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Factures" sheetId="3" state="visible" r:id="rId3"/>
    <sheet xmlns:r="http://schemas.openxmlformats.org/officeDocument/2006/relationships" name="Lignes de factures" sheetId="4" state="visible" r:id="rId4"/>
    <sheet xmlns:r="http://schemas.openxmlformats.org/officeDocument/2006/relationships" name="Paiements" sheetId="5" state="visible" r:id="rId5"/>
    <sheet xmlns:r="http://schemas.openxmlformats.org/officeDocument/2006/relationships" name="Suivi des impayés" sheetId="6" state="visible" r:id="rId6"/>
    <sheet xmlns:r="http://schemas.openxmlformats.org/officeDocument/2006/relationships" name="Devis" sheetId="7" state="visible" r:id="rId7"/>
    <sheet xmlns:r="http://schemas.openxmlformats.org/officeDocument/2006/relationships" name="Lignes de devis" sheetId="8" state="visible" r:id="rId8"/>
    <sheet xmlns:r="http://schemas.openxmlformats.org/officeDocument/2006/relationships" name="Imprimer facture" sheetId="9" state="visible" r:id="rId9"/>
    <sheet xmlns:r="http://schemas.openxmlformats.org/officeDocument/2006/relationships" name="Imprimer devis" sheetId="10" state="visible" r:id="rId10"/>
    <sheet xmlns:r="http://schemas.openxmlformats.org/officeDocument/2006/relationships" name="Clients" sheetId="11" state="visible" r:id="rId11"/>
    <sheet xmlns:r="http://schemas.openxmlformats.org/officeDocument/2006/relationships" name="Produits et services" sheetId="12" state="visible" r:id="rId12"/>
    <sheet xmlns:r="http://schemas.openxmlformats.org/officeDocument/2006/relationships" name="Paramètres" sheetId="13" state="visible" r:id="rId13"/>
    <sheet xmlns:r="http://schemas.openxmlformats.org/officeDocument/2006/relationships" name="Pourquoi Qualis ERP" sheetId="14" state="visible" r:id="rId14"/>
  </sheets>
  <definedNames>
    <definedName name="p_country">'Paramètres'!$B$5</definedName>
    <definedName name="p_name">'Paramètres'!$B$7</definedName>
    <definedName name="p_form">'Paramètres'!$B$8</definedName>
    <definedName name="p_capital">'Paramètres'!$B$9</definedName>
    <definedName name="p_addr">'Paramètres'!$B$10</definedName>
    <definedName name="p_city">'Paramètres'!$B$11</definedName>
    <definedName name="p_tel">'Paramètres'!$B$12</definedName>
    <definedName name="p_mail">'Paramètres'!$B$13</definedName>
    <definedName name="p_ice">'Paramètres'!$B$16</definedName>
    <definedName name="p_if">'Paramètres'!$B$17</definedName>
    <definedName name="p_rc">'Paramètres'!$B$18</definedName>
    <definedName name="p_rcville">'Paramètres'!$B$19</definedName>
    <definedName name="p_tp">'Paramètres'!$B$20</definedName>
    <definedName name="p_cnss">'Paramètres'!$B$21</definedName>
    <definedName name="p_siret">'Paramètres'!$B$24</definedName>
    <definedName name="p_rcs">'Paramètres'!$B$25</definedName>
    <definedName name="p_tvai">'Paramètres'!$B$26</definedName>
    <definedName name="p_bank">'Paramètres'!$B$29</definedName>
    <definedName name="p_iban">'Paramètres'!$B$30</definedName>
    <definedName name="p_bic">'Paramètres'!$B$31</definedName>
    <definedName name="p_pdv">'Paramètres'!$B$34</definedName>
    <definedName name="p_pfa">'Paramètres'!$B$35</definedName>
    <definedName name="p_pac">'Paramètres'!$B$36</definedName>
    <definedName name="p_pav">'Paramètres'!$B$37</definedName>
    <definedName name="p_validity">'Paramètres'!$B$38</definedName>
    <definedName name="p_delay">'Paramètres'!$B$39</definedName>
    <definedName name="p_mode">'Paramètres'!$B$40</definedName>
    <definedName name="p_asof_in">'Paramètres'!$B$41</definedName>
    <definedName name="p_penalty">'Paramètres'!$B$44</definedName>
    <definedName name="p_escompte">'Paramètres'!$B$45</definedName>
    <definedName name="p_debits">'Paramètres'!$B$46</definedName>
    <definedName name="p_exempt">'Paramètres'!$B$47</definedName>
    <definedName name="p_footer">'Paramètres'!$B$48</definedName>
    <definedName name="p_words">'Paramètres'!$B$49</definedName>
    <definedName name="p_asof">'Paramètres'!$B$52</definedName>
    <definedName name="db_year">'Paramètres'!$B$53</definedName>
    <definedName name="p_check">'Paramètres'!$B$54</definedName>
    <definedName name="p_rates_ma">'Paramètres'!$D$6:$D$11</definedName>
    <definedName name="p_rates_fr">'Paramètres'!$E$6:$E$11</definedName>
    <definedName name="p_rates">'Paramètres'!$F$6:$F$11</definedName>
    <definedName name="p_wtbl">'Paramètres'!$Z$6:$Z$105</definedName>
    <definedName name="db_year_in">'Tableau de bord'!$M$3</definedName>
    <definedName name="fa_num">'Factures'!$A$6:$A$805</definedName>
    <definedName name="fa_type_in">'Factures'!$B$6:$B$805</definedName>
    <definedName name="fa_date_in">'Factures'!$C$6:$C$805</definedName>
    <definedName name="fa_client">'Factures'!$D$6:$D$805</definedName>
    <definedName name="fa_cname">'Factures'!$E$6:$E$805</definedName>
    <definedName name="fa_devis">'Factures'!$F$6:$F$805</definedName>
    <definedName name="fa_po">'Factures'!$G$6:$G$805</definedName>
    <definedName name="fa_deliv">'Factures'!$H$6:$H$805</definedName>
    <definedName name="fa_ship">'Factures'!$I$6:$I$805</definedName>
    <definedName name="fa_nature">'Factures'!$J$6:$J$805</definedName>
    <definedName name="fa_due_in">'Factures'!$K$6:$K$805</definedName>
    <definedName name="fa_ac">'Factures'!$L$6:$L$805</definedName>
    <definedName name="fa_avof">'Factures'!$M$6:$M$805</definedName>
    <definedName name="fa_mode">'Factures'!$N$6:$N$805</definedName>
    <definedName name="fa_relance">'Factures'!$O$6:$O$805</definedName>
    <definedName name="fa_due">'Factures'!$P$6:$P$805</definedName>
    <definedName name="fa_ht">'Factures'!$Q$6:$Q$805</definedName>
    <definedName name="fa_tva">'Factures'!$R$6:$R$805</definedName>
    <definedName name="fa_ttc">'Factures'!$S$6:$S$805</definedName>
    <definedName name="fa_acded">'Factures'!$T$6:$T$805</definedName>
    <definedName name="fa_paid">'Factures'!$U$6:$U$805</definedName>
    <definedName name="fa_avoirs">'Factures'!$V$6:$V$805</definedName>
    <definedName name="fa_reste">'Factures'!$W$6:$W$805</definedName>
    <definedName name="fa_late">'Factures'!$X$6:$X$805</definedName>
    <definedName name="fa_etat">'Factures'!$Y$6:$Y$805</definedName>
    <definedName name="fa_check">'Factures'!$Z$6:$Z$805</definedName>
    <definedName name="fa_type">'Factures'!$AA$6:$AA$805</definedName>
    <definedName name="fa_prefix">'Factures'!$AB$6:$AB$805</definedName>
    <definedName name="fa_date">'Factures'!$AC$6:$AC$805</definedName>
    <definedName name="fa_year">'Factures'!$AD$6:$AD$805</definedName>
    <definedName name="fa_seq">'Factures'!$AE$6:$AE$805</definedName>
    <definedName name="fa_nown">'Factures'!$AF$6:$AF$805</definedName>
    <definedName name="fa_src">'Factures'!$AG$6:$AG$805</definedName>
    <definedName name="fa_dvkey">'Factures'!$AH$6:$AH$805</definedName>
    <definedName name="fa_inh">'Factures'!$AI$6:$AI$805</definedName>
    <definedName name="fa_htb">'Factures'!$AJ$6:$AJ$805</definedName>
    <definedName name="fa_b1">'Factures'!$AK$6:$AK$805</definedName>
    <definedName name="fa_b2">'Factures'!$AL$6:$AL$805</definedName>
    <definedName name="fa_b3">'Factures'!$AM$6:$AM$805</definedName>
    <definedName name="fa_b4">'Factures'!$AN$6:$AN$805</definedName>
    <definedName name="fa_b5">'Factures'!$AO$6:$AO$805</definedName>
    <definedName name="fa_b6">'Factures'!$AP$6:$AP$805</definedName>
    <definedName name="fa_tvab">'Factures'!$AQ$6:$AQ$805</definedName>
    <definedName name="fa_acidx">'Factures'!$AR$6:$AR$805</definedName>
    <definedName name="fa_tranche">'Factures'!$AS$6:$AS$805</definedName>
    <definedName name="fa_score">'Factures'!$AT$6:$AT$805</definedName>
    <definedName name="fa_rank">'Factures'!$AU$6:$AU$805</definedName>
    <definedName name="dv_num">'Devis'!$A$6:$A$405</definedName>
    <definedName name="dv_date_in">'Devis'!$B$6:$B$405</definedName>
    <definedName name="dv_client">'Devis'!$C$6:$C$405</definedName>
    <definedName name="dv_cname">'Devis'!$D$6:$D$405</definedName>
    <definedName name="dv_objet">'Devis'!$E$6:$E$405</definedName>
    <definedName name="dv_valid_in">'Devis'!$F$6:$F$405</definedName>
    <definedName name="dv_statut">'Devis'!$G$6:$G$405</definedName>
    <definedName name="dv_valid">'Devis'!$H$6:$H$405</definedName>
    <definedName name="dv_ht">'Devis'!$I$6:$I$405</definedName>
    <definedName name="dv_tva">'Devis'!$J$6:$J$405</definedName>
    <definedName name="dv_ttc">'Devis'!$K$6:$K$405</definedName>
    <definedName name="dv_inv">'Devis'!$L$6:$L$405</definedName>
    <definedName name="dv_etat">'Devis'!$M$6:$M$405</definedName>
    <definedName name="dv_check">'Devis'!$N$6:$N$405</definedName>
    <definedName name="dv_date">'Devis'!$O$6:$O$405</definedName>
    <definedName name="dv_year">'Devis'!$P$6:$P$405</definedName>
    <definedName name="dv_seq">'Devis'!$Q$6:$Q$405</definedName>
    <definedName name="dv_nlines">'Devis'!$R$6:$R$405</definedName>
    <definedName name="dl_doc">'Lignes de devis'!$A$6:$A$2505</definedName>
    <definedName name="fl_doc">'Lignes de factures'!$A$6:$A$4005</definedName>
    <definedName name="dl_code">'Lignes de devis'!$B$6:$B$2505</definedName>
    <definedName name="fl_code">'Lignes de factures'!$B$6:$B$4005</definedName>
    <definedName name="dl_des_in">'Lignes de devis'!$C$6:$C$2505</definedName>
    <definedName name="fl_des_in">'Lignes de factures'!$C$6:$C$4005</definedName>
    <definedName name="dl_qty">'Lignes de devis'!$D$6:$D$2505</definedName>
    <definedName name="fl_qty">'Lignes de factures'!$D$6:$D$4005</definedName>
    <definedName name="dl_pu_in">'Lignes de devis'!$E$6:$E$2505</definedName>
    <definedName name="fl_pu_in">'Lignes de factures'!$E$6:$E$4005</definedName>
    <definedName name="dl_disc">'Lignes de devis'!$F$6:$F$2505</definedName>
    <definedName name="fl_disc">'Lignes de factures'!$F$6:$F$4005</definedName>
    <definedName name="dl_rate_in">'Lignes de devis'!$G$6:$G$2505</definedName>
    <definedName name="fl_rate_in">'Lignes de factures'!$G$6:$G$4005</definedName>
    <definedName name="dl_des">'Lignes de devis'!$H$6:$H$2505</definedName>
    <definedName name="fl_des">'Lignes de factures'!$H$6:$H$4005</definedName>
    <definedName name="dl_unit">'Lignes de devis'!$I$6:$I$2505</definedName>
    <definedName name="fl_unit">'Lignes de factures'!$I$6:$I$4005</definedName>
    <definedName name="dl_pu">'Lignes de devis'!$J$6:$J$2505</definedName>
    <definedName name="fl_pu">'Lignes de factures'!$J$6:$J$4005</definedName>
    <definedName name="dl_rate">'Lignes de devis'!$K$6:$K$2505</definedName>
    <definedName name="fl_rate">'Lignes de factures'!$K$6:$K$4005</definedName>
    <definedName name="dl_ht">'Lignes de devis'!$L$6:$L$2505</definedName>
    <definedName name="fl_ht">'Lignes de factures'!$L$6:$L$4005</definedName>
    <definedName name="dl_client">'Lignes de devis'!$M$6:$M$2505</definedName>
    <definedName name="fl_client">'Lignes de factures'!$M$6:$M$4005</definedName>
    <definedName name="dl_check">'Lignes de devis'!$N$6:$N$2505</definedName>
    <definedName name="fl_check">'Lignes de factures'!$N$6:$N$4005</definedName>
    <definedName name="dl_no">'Lignes de devis'!$O$6:$O$2505</definedName>
    <definedName name="fl_no">'Lignes de factures'!$O$6:$O$4005</definedName>
    <definedName name="dl_key">'Lignes de devis'!$P$6:$P$2505</definedName>
    <definedName name="fl_key">'Lignes de factures'!$P$6:$P$4005</definedName>
    <definedName name="cli_code">'Clients'!$A$6:$A$305</definedName>
    <definedName name="cli_name">'Clients'!$B$6:$B$305</definedName>
    <definedName name="cli_type">'Clients'!$C$6:$C$305</definedName>
    <definedName name="cli_addr">'Clients'!$D$6:$D$305</definedName>
    <definedName name="cli_city">'Clients'!$E$6:$E$305</definedName>
    <definedName name="cli_country">'Clients'!$F$6:$F$305</definedName>
    <definedName name="cli_ice">'Clients'!$G$6:$G$305</definedName>
    <definedName name="cli_siren">'Clients'!$H$6:$H$305</definedName>
    <definedName name="cli_tvai">'Clients'!$I$6:$I$305</definedName>
    <definedName name="cli_contact">'Clients'!$J$6:$J$305</definedName>
    <definedName name="cli_mail">'Clients'!$K$6:$K$305</definedName>
    <definedName name="cli_tel">'Clients'!$L$6:$L$305</definedName>
    <definedName name="cli_delay">'Clients'!$M$6:$M$305</definedName>
    <definedName name="cli_ca">'Clients'!$N$6:$N$305</definedName>
    <definedName name="cli_due">'Clients'!$O$6:$O$305</definedName>
    <definedName name="cli_check">'Clients'!$P$6:$P$305</definedName>
    <definedName name="cli_cay">'Clients'!$Q$6:$Q$305</definedName>
    <definedName name="cli_rkca">'Clients'!$R$6:$R$305</definedName>
    <definedName name="cli_duepos">'Clients'!$S$6:$S$305</definedName>
    <definedName name="cli_rkdue">'Clients'!$T$6:$T$305</definedName>
    <definedName name="pr_code">'Produits et services'!$A$6:$A$505</definedName>
    <definedName name="pr_des">'Produits et services'!$B$6:$B$505</definedName>
    <definedName name="pr_type">'Produits et services'!$C$6:$C$505</definedName>
    <definedName name="pr_unit">'Produits et services'!$D$6:$D$505</definedName>
    <definedName name="pr_price">'Produits et services'!$E$6:$E$505</definedName>
    <definedName name="pr_rate">'Produits et services'!$F$6:$F$505</definedName>
    <definedName name="pr_check">'Produits et services'!$G$6:$G$505</definedName>
    <definedName name="pa_date">'Paiements'!$A$6:$A$1505</definedName>
    <definedName name="pa_inv">'Paiements'!$B$6:$B$1505</definedName>
    <definedName name="pa_amt">'Paiements'!$C$6:$C$1505</definedName>
    <definedName name="pa_mode">'Paiements'!$D$6:$D$1505</definedName>
    <definedName name="pa_ref">'Paiements'!$E$6:$E$1505</definedName>
    <definedName name="pa_note">'Paiements'!$F$6:$F$1505</definedName>
    <definedName name="pa_client">'Paiements'!$G$6:$G$1505</definedName>
    <definedName name="pa_check">'Paiements'!$H$6:$H$1505</definedName>
    <definedName name="p_currency">'Paramètres'!$B$6</definedName>
    <definedName name="_xlnm._FilterDatabase" localSheetId="2" hidden="1">'Factures'!$A$5:$Z$805</definedName>
    <definedName name="_xlnm.Print_Titles" localSheetId="2">'Factures'!$5:$5</definedName>
    <definedName name="_xlnm._FilterDatabase" localSheetId="3" hidden="1">'Lignes de factures'!$A$5:$N$4005</definedName>
    <definedName name="_xlnm.Print_Titles" localSheetId="3">'Lignes de factures'!$5:$5</definedName>
    <definedName name="_xlnm._FilterDatabase" localSheetId="4" hidden="1">'Paiements'!$A$5:$H$1505</definedName>
    <definedName name="_xlnm.Print_Titles" localSheetId="4">'Paiements'!$5:$5</definedName>
    <definedName name="_xlnm.Print_Titles" localSheetId="5">'Suivi des impayés'!$31:$31</definedName>
    <definedName name="_xlnm._FilterDatabase" localSheetId="6" hidden="1">'Devis'!$A$5:$N$405</definedName>
    <definedName name="_xlnm.Print_Titles" localSheetId="6">'Devis'!$5:$5</definedName>
    <definedName name="_xlnm._FilterDatabase" localSheetId="7" hidden="1">'Lignes de devis'!$A$5:$N$2505</definedName>
    <definedName name="_xlnm.Print_Titles" localSheetId="7">'Lignes de devis'!$5:$5</definedName>
    <definedName name="_xlnm.Print_Area" localSheetId="8">'Imprimer facture'!$B$5:$I$59</definedName>
    <definedName name="_xlnm.Print_Area" localSheetId="9">'Imprimer devis'!$B$5:$I$63</definedName>
    <definedName name="_xlnm._FilterDatabase" localSheetId="10" hidden="1">'Clients'!$A$5:$P$305</definedName>
    <definedName name="_xlnm.Print_Titles" localSheetId="10">'Clients'!$5:$5</definedName>
    <definedName name="_xlnm._FilterDatabase" localSheetId="11" hidden="1">'Produits et services'!$A$5:$G$505</definedName>
    <definedName name="_xlnm.Print_Titles" localSheetId="11">'Produits et services'!$5:$5</definedName>
  </definedNames>
  <calcPr calcId="124519" fullCalcOnLoad="1"/>
</workbook>
</file>

<file path=xl/styles.xml><?xml version="1.0" encoding="utf-8"?>
<styleSheet xmlns="http://schemas.openxmlformats.org/spreadsheetml/2006/main">
  <numFmts count="6">
    <numFmt numFmtId="164" formatCode="dd/mm/yyyy"/>
    <numFmt numFmtId="165" formatCode="0.0%"/>
    <numFmt numFmtId="166" formatCode="dd/mm/yyyy;;;@"/>
    <numFmt numFmtId="167" formatCode="#,##0.##"/>
    <numFmt numFmtId="168" formatCode="0.0%;-0.0%;&quot;&quot;"/>
    <numFmt numFmtId="169" formatCode="0;-0;"/>
  </numFmts>
  <fonts count="48">
    <font>
      <name val="Calibri"/>
      <family val="2"/>
      <color theme="1"/>
      <sz val="11"/>
      <scheme val="minor"/>
    </font>
    <font>
      <name val="Calibri"/>
      <b val="1"/>
      <color rgb="FFFFFFFF"/>
      <sz val="18"/>
    </font>
    <font>
      <name val="Calibri"/>
      <i val="1"/>
      <color rgb="FFBE185D"/>
      <sz val="10"/>
    </font>
    <font>
      <name val="Calibri"/>
      <b val="1"/>
      <color rgb="FF0F172A"/>
      <sz val="12"/>
    </font>
    <font>
      <name val="Calibri"/>
      <b val="1"/>
      <color rgb="FFBE185D"/>
      <sz val="10"/>
      <u val="single"/>
    </font>
    <font>
      <name val="Calibri"/>
      <color rgb="FF1E293B"/>
      <sz val="10"/>
    </font>
    <font>
      <name val="Calibri"/>
      <b val="1"/>
      <color rgb="FF0F172A"/>
      <sz val="10"/>
    </font>
    <font>
      <name val="Calibri"/>
      <color rgb="FF1E293B"/>
      <sz val="9"/>
    </font>
    <font>
      <name val="Calibri"/>
      <color rgb="FF64748B"/>
      <sz val="9"/>
    </font>
    <font>
      <name val="Calibri"/>
      <b val="1"/>
      <color rgb="FFFFFFFF"/>
      <sz val="10"/>
      <u val="single"/>
    </font>
    <font>
      <name val="Calibri"/>
      <b val="1"/>
      <color rgb="FF1E293B"/>
      <sz val="10"/>
    </font>
    <font>
      <name val="Calibri"/>
      <b val="1"/>
      <color rgb="FF1E293B"/>
      <sz val="11"/>
    </font>
    <font>
      <name val="Calibri"/>
      <color rgb="FF64748B"/>
      <sz val="10"/>
    </font>
    <font>
      <name val="Calibri"/>
      <b val="1"/>
      <color rgb="FFFFFFFF"/>
      <sz val="10"/>
    </font>
    <font>
      <name val="Calibri"/>
      <i val="1"/>
      <color rgb="FF64748B"/>
      <sz val="9"/>
    </font>
    <font>
      <name val="Calibri"/>
      <color rgb="FF334155"/>
      <sz val="10"/>
    </font>
    <font>
      <name val="Calibri"/>
      <b val="1"/>
      <color rgb="FF64748B"/>
      <sz val="9"/>
    </font>
    <font>
      <name val="Calibri"/>
      <b val="1"/>
      <color rgb="FFBE185D"/>
      <sz val="20"/>
    </font>
    <font>
      <name val="Calibri"/>
      <i val="1"/>
      <color rgb="FF94A3B8"/>
      <sz val="8"/>
    </font>
    <font>
      <name val="Calibri"/>
      <b val="1"/>
      <color rgb="FF166534"/>
      <sz val="20"/>
    </font>
    <font>
      <name val="Calibri"/>
      <b val="1"/>
      <color rgb="FF0F172A"/>
      <sz val="20"/>
    </font>
    <font>
      <name val="Calibri"/>
      <b val="1"/>
      <color rgb="FFB91C1C"/>
      <sz val="20"/>
    </font>
    <font>
      <name val="Calibri"/>
      <b val="1"/>
      <color rgb="FF92400E"/>
      <sz val="20"/>
    </font>
    <font>
      <name val="Calibri"/>
      <b val="1"/>
      <color rgb="FFBE185D"/>
      <sz val="11"/>
    </font>
    <font>
      <name val="Calibri"/>
      <i val="1"/>
      <color rgb="FFB91C1C"/>
      <sz val="9"/>
    </font>
    <font>
      <name val="Calibri"/>
      <b val="1"/>
      <color rgb="FF0F172A"/>
      <sz val="16"/>
    </font>
    <font>
      <name val="Calibri"/>
      <color rgb="FF334155"/>
      <sz val="9"/>
    </font>
    <font>
      <name val="Calibri"/>
      <b val="1"/>
      <color rgb="FFBE185D"/>
      <sz val="18"/>
    </font>
    <font>
      <name val="Calibri"/>
      <b val="1"/>
      <color rgb="FF0F172A"/>
      <sz val="11"/>
    </font>
    <font>
      <name val="Calibri"/>
      <color rgb="FF0F172A"/>
      <sz val="10"/>
    </font>
    <font>
      <name val="Calibri"/>
      <color rgb="FF0F172A"/>
      <sz val="9"/>
    </font>
    <font>
      <name val="Calibri"/>
      <b val="1"/>
      <color rgb="FFFFFFFF"/>
      <sz val="9"/>
    </font>
    <font>
      <name val="Calibri"/>
      <b val="1"/>
      <color rgb="FF1E293B"/>
      <sz val="9"/>
    </font>
    <font>
      <name val="Calibri"/>
      <i val="1"/>
      <color rgb="FFB91C1C"/>
      <sz val="8"/>
    </font>
    <font>
      <name val="Calibri"/>
      <b val="1"/>
      <color rgb="FFFFFFFF"/>
      <sz val="12"/>
    </font>
    <font>
      <name val="Calibri"/>
      <i val="1"/>
      <color rgb="FF0F172A"/>
      <sz val="9"/>
    </font>
    <font>
      <name val="Calibri"/>
      <color rgb="FF64748B"/>
      <sz val="8"/>
    </font>
    <font>
      <name val="Calibri"/>
      <i val="1"/>
      <color rgb="FF64748B"/>
      <sz val="8"/>
    </font>
    <font>
      <name val="Calibri"/>
      <color rgb="FF334155"/>
      <sz val="8"/>
    </font>
    <font>
      <name val="Calibri"/>
      <b val="1"/>
      <color rgb="FFFFFFFF"/>
      <sz val="22"/>
    </font>
    <font>
      <name val="Calibri"/>
      <b val="1"/>
      <color rgb="FFBFDBFE"/>
      <sz val="13"/>
    </font>
    <font>
      <name val="Calibri"/>
      <color rgb="FFE2E8F0"/>
      <sz val="10"/>
    </font>
    <font>
      <name val="Calibri"/>
      <color rgb="FF166534"/>
      <sz val="10"/>
    </font>
    <font>
      <name val="Calibri"/>
      <b val="1"/>
      <color rgb="FF475569"/>
      <sz val="9"/>
    </font>
    <font>
      <name val="Calibri"/>
      <b val="1"/>
      <color rgb="FF166534"/>
      <sz val="9"/>
    </font>
    <font>
      <name val="Calibri"/>
      <b val="1"/>
      <color rgb="FF1E3A8A"/>
      <sz val="13"/>
      <u val="single"/>
    </font>
    <font>
      <name val="Calibri"/>
      <b val="1"/>
      <color rgb="FF2563EB"/>
      <sz val="11"/>
      <u val="single"/>
    </font>
    <font>
      <name val="Calibri"/>
      <color rgb="FF2563EB"/>
      <sz val="10"/>
      <u val="single"/>
    </font>
  </fonts>
  <fills count="17">
    <fill>
      <patternFill/>
    </fill>
    <fill>
      <patternFill patternType="gray125"/>
    </fill>
    <fill>
      <patternFill patternType="solid">
        <fgColor rgb="FFBE185D"/>
        <bgColor rgb="FFBE185D"/>
      </patternFill>
    </fill>
    <fill>
      <patternFill patternType="solid">
        <fgColor rgb="FFFCE7F3"/>
        <bgColor rgb="FFFCE7F3"/>
      </patternFill>
    </fill>
    <fill>
      <patternFill patternType="solid">
        <fgColor rgb="FFFFFFFF"/>
        <bgColor rgb="FFFFFFFF"/>
      </patternFill>
    </fill>
    <fill>
      <patternFill patternType="solid">
        <fgColor rgb="FFF8FAFC"/>
        <bgColor rgb="FFF8FAFC"/>
      </patternFill>
    </fill>
    <fill>
      <patternFill patternType="solid">
        <fgColor rgb="FFF1F5F9"/>
        <bgColor rgb="FFF1F5F9"/>
      </patternFill>
    </fill>
    <fill>
      <patternFill patternType="solid">
        <fgColor rgb="FF1E293B"/>
        <bgColor rgb="FF1E293B"/>
      </patternFill>
    </fill>
    <fill>
      <patternFill patternType="solid">
        <fgColor rgb="FF1D4ED8"/>
        <bgColor rgb="FF1D4ED8"/>
      </patternFill>
    </fill>
    <fill>
      <patternFill patternType="solid">
        <fgColor rgb="FF92400E"/>
        <bgColor rgb="FF92400E"/>
      </patternFill>
    </fill>
    <fill>
      <patternFill patternType="solid">
        <fgColor rgb="FFB91C1C"/>
        <bgColor rgb="FFB91C1C"/>
      </patternFill>
    </fill>
    <fill>
      <patternFill patternType="solid">
        <fgColor rgb="FF475569"/>
        <bgColor rgb="FF475569"/>
      </patternFill>
    </fill>
    <fill>
      <patternFill patternType="solid">
        <fgColor rgb="FFF6F8FB"/>
        <bgColor rgb="FFF6F8FB"/>
      </patternFill>
    </fill>
    <fill>
      <patternFill patternType="solid">
        <fgColor rgb="FF1E3A8A"/>
        <bgColor rgb="FF1E3A8A"/>
      </patternFill>
    </fill>
    <fill>
      <patternFill patternType="solid">
        <fgColor rgb="FF2563EB"/>
        <bgColor rgb="FF2563EB"/>
      </patternFill>
    </fill>
    <fill>
      <patternFill patternType="solid">
        <fgColor rgb="FFDBEAFE"/>
        <bgColor rgb="FFDBEAFE"/>
      </patternFill>
    </fill>
    <fill>
      <patternFill patternType="solid">
        <fgColor rgb="FFDCFCE7"/>
        <bgColor rgb="FFDCFCE7"/>
      </patternFill>
    </fill>
  </fills>
  <borders count="43">
    <border>
      <left/>
      <right/>
      <top/>
      <bottom/>
      <diagonal/>
    </border>
    <border>
      <bottom style="medium">
        <color rgb="FFBE185D"/>
      </bottom>
    </border>
    <border>
      <bottom style="thin">
        <color rgb="FFE2E8F0"/>
      </bottom>
    </border>
    <border>
      <left style="thin">
        <color rgb="FFCBD5E1"/>
      </left>
      <right style="thin">
        <color rgb="FFCBD5E1"/>
      </right>
      <top style="thin">
        <color rgb="FFCBD5E1"/>
      </top>
      <bottom style="thin">
        <color rgb="FFCBD5E1"/>
      </bottom>
    </border>
    <border>
      <left/>
      <right/>
      <top style="thin">
        <color rgb="FFCBD5E1"/>
      </top>
      <bottom/>
      <diagonal/>
    </border>
    <border>
      <left/>
      <right style="thin">
        <color rgb="FFCBD5E1"/>
      </right>
      <top style="thin">
        <color rgb="FFCBD5E1"/>
      </top>
      <bottom/>
      <diagonal/>
    </border>
    <border>
      <left/>
      <right style="thin">
        <color rgb="FFCBD5E1"/>
      </right>
      <top style="thin">
        <color rgb="FFCBD5E1"/>
      </top>
      <bottom style="thin">
        <color rgb="FFCBD5E1"/>
      </bottom>
      <diagonal/>
    </border>
    <border>
      <left style="thick">
        <color rgb="FFBE185D"/>
      </left>
      <top style="thin">
        <color rgb="FFE2E8F0"/>
      </top>
    </border>
    <border>
      <top style="thin">
        <color rgb="FFE2E8F0"/>
      </top>
    </border>
    <border>
      <right style="thin">
        <color rgb="FFE2E8F0"/>
      </right>
      <top style="thin">
        <color rgb="FFE2E8F0"/>
      </top>
    </border>
    <border>
      <left style="thick">
        <color rgb="FFBE185D"/>
      </left>
    </border>
    <border/>
    <border>
      <right style="thin">
        <color rgb="FFE2E8F0"/>
      </right>
    </border>
    <border>
      <left style="thick">
        <color rgb="FFBE185D"/>
      </left>
      <bottom style="thin">
        <color rgb="FFE2E8F0"/>
      </bottom>
    </border>
    <border>
      <right style="thin">
        <color rgb="FFE2E8F0"/>
      </right>
      <bottom style="thin">
        <color rgb="FFE2E8F0"/>
      </bottom>
    </border>
    <border>
      <left style="thick">
        <color rgb="FF166534"/>
      </left>
      <top style="thin">
        <color rgb="FFE2E8F0"/>
      </top>
    </border>
    <border>
      <left style="thick">
        <color rgb="FF166534"/>
      </left>
    </border>
    <border>
      <left style="thick">
        <color rgb="FF166534"/>
      </left>
      <bottom style="thin">
        <color rgb="FFE2E8F0"/>
      </bottom>
    </border>
    <border>
      <left style="thick">
        <color rgb="FF0F172A"/>
      </left>
      <top style="thin">
        <color rgb="FFE2E8F0"/>
      </top>
    </border>
    <border>
      <left style="thick">
        <color rgb="FF0F172A"/>
      </left>
    </border>
    <border>
      <left style="thick">
        <color rgb="FF0F172A"/>
      </left>
      <bottom style="thin">
        <color rgb="FFE2E8F0"/>
      </bottom>
    </border>
    <border>
      <left style="thick">
        <color rgb="FFB91C1C"/>
      </left>
      <top style="thin">
        <color rgb="FFE2E8F0"/>
      </top>
    </border>
    <border>
      <left style="thick">
        <color rgb="FFB91C1C"/>
      </left>
    </border>
    <border>
      <left style="thick">
        <color rgb="FFB91C1C"/>
      </left>
      <bottom style="thin">
        <color rgb="FFE2E8F0"/>
      </bottom>
    </border>
    <border>
      <left style="thick">
        <color rgb="FF92400E"/>
      </left>
      <top style="thin">
        <color rgb="FFE2E8F0"/>
      </top>
    </border>
    <border>
      <left style="thick">
        <color rgb="FF92400E"/>
      </left>
    </border>
    <border>
      <left style="thick">
        <color rgb="FF92400E"/>
      </left>
      <bottom style="thin">
        <color rgb="FFE2E8F0"/>
      </bottom>
    </border>
    <border>
      <left/>
      <right/>
      <top style="thin">
        <color rgb="FFCBD5E1"/>
      </top>
      <bottom style="thin">
        <color rgb="FFCBD5E1"/>
      </bottom>
      <diagonal/>
    </border>
    <border>
      <left style="thin">
        <color rgb="FFCBD5E1"/>
      </left>
      <top style="thin">
        <color rgb="FFCBD5E1"/>
      </top>
    </border>
    <border>
      <top style="thin">
        <color rgb="FFCBD5E1"/>
      </top>
    </border>
    <border>
      <right style="thin">
        <color rgb="FFCBD5E1"/>
      </right>
      <top style="thin">
        <color rgb="FFCBD5E1"/>
      </top>
    </border>
    <border>
      <left style="thin">
        <color rgb="FFCBD5E1"/>
      </left>
    </border>
    <border>
      <right style="thin">
        <color rgb="FFCBD5E1"/>
      </right>
    </border>
    <border>
      <left style="thin">
        <color rgb="FFCBD5E1"/>
      </left>
      <bottom style="thin">
        <color rgb="FFCBD5E1"/>
      </bottom>
    </border>
    <border>
      <bottom style="thin">
        <color rgb="FFCBD5E1"/>
      </bottom>
    </border>
    <border>
      <right style="thin">
        <color rgb="FFCBD5E1"/>
      </right>
      <bottom style="thin">
        <color rgb="FFCBD5E1"/>
      </bottom>
    </border>
    <border>
      <bottom style="medium">
        <color rgb="FF2563EB"/>
      </bottom>
    </border>
    <border>
      <left style="medium">
        <color rgb="FF2563EB"/>
      </left>
      <top style="medium">
        <color rgb="FF2563EB"/>
      </top>
      <bottom style="medium">
        <color rgb="FF2563EB"/>
      </bottom>
    </border>
    <border>
      <right style="medium">
        <color rgb="FF2563EB"/>
      </right>
      <top style="medium">
        <color rgb="FF2563EB"/>
      </top>
      <bottom style="medium">
        <color rgb="FF2563EB"/>
      </bottom>
    </border>
    <border>
      <left style="medium">
        <color rgb="FF2563EB"/>
      </left>
      <right style="medium">
        <color rgb="FF2563EB"/>
      </right>
      <top style="medium">
        <color rgb="FF2563EB"/>
      </top>
      <bottom style="medium">
        <color rgb="FF2563EB"/>
      </bottom>
    </border>
    <border>
      <left/>
      <right/>
      <top style="medium">
        <color rgb="FF2563EB"/>
      </top>
      <bottom/>
      <diagonal/>
    </border>
    <border>
      <left/>
      <right style="medium">
        <color rgb="FF2563EB"/>
      </right>
      <top style="medium">
        <color rgb="FF2563EB"/>
      </top>
      <bottom/>
      <diagonal/>
    </border>
    <border>
      <left/>
      <right style="medium">
        <color rgb="FF2563EB"/>
      </right>
      <top style="medium">
        <color rgb="FF2563EB"/>
      </top>
      <bottom style="medium">
        <color rgb="FF2563EB"/>
      </bottom>
      <diagonal/>
    </border>
  </borders>
  <cellStyleXfs count="1">
    <xf numFmtId="0" fontId="0" fillId="0" borderId="0"/>
  </cellStyleXfs>
  <cellXfs count="180">
    <xf numFmtId="0" fontId="0" fillId="0" borderId="0" pivotButton="0" quotePrefix="0" xfId="0"/>
    <xf numFmtId="0" fontId="0" fillId="2" borderId="0" pivotButton="0" quotePrefix="0" xfId="0"/>
    <xf numFmtId="0" fontId="1" fillId="2" borderId="0" applyAlignment="1" pivotButton="0" quotePrefix="0" xfId="0">
      <alignment vertical="center" indent="1"/>
    </xf>
    <xf numFmtId="0" fontId="0" fillId="3" borderId="0" pivotButton="0" quotePrefix="0" xfId="0"/>
    <xf numFmtId="0" fontId="2" fillId="3" borderId="0" applyAlignment="1" pivotButton="0" quotePrefix="0" xfId="0">
      <alignment vertical="center" indent="1"/>
    </xf>
    <xf numFmtId="0" fontId="3" fillId="0" borderId="1" pivotButton="0" quotePrefix="0" xfId="0"/>
    <xf numFmtId="0" fontId="0" fillId="0" borderId="1" pivotButton="0" quotePrefix="0" xfId="0"/>
    <xf numFmtId="0" fontId="4" fillId="4" borderId="2" applyAlignment="1" pivotButton="0" quotePrefix="0" xfId="0">
      <alignment vertical="center"/>
    </xf>
    <xf numFmtId="0" fontId="5" fillId="4" borderId="2" applyAlignment="1" pivotButton="0" quotePrefix="0" xfId="0">
      <alignment vertical="center" wrapText="1"/>
    </xf>
    <xf numFmtId="0" fontId="0" fillId="4" borderId="2" pivotButton="0" quotePrefix="0" xfId="0"/>
    <xf numFmtId="0" fontId="4" fillId="5" borderId="2" applyAlignment="1" pivotButton="0" quotePrefix="0" xfId="0">
      <alignment vertical="center"/>
    </xf>
    <xf numFmtId="0" fontId="5" fillId="5" borderId="2" applyAlignment="1" pivotButton="0" quotePrefix="0" xfId="0">
      <alignment vertical="center" wrapText="1"/>
    </xf>
    <xf numFmtId="0" fontId="0" fillId="5" borderId="2"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4" borderId="3" applyAlignment="1" pivotButton="0" quotePrefix="0" xfId="0">
      <alignment horizontal="center"/>
    </xf>
    <xf numFmtId="0" fontId="8" fillId="6" borderId="3" applyAlignment="1" pivotButton="0" quotePrefix="0" xfId="0">
      <alignment horizontal="center"/>
    </xf>
    <xf numFmtId="0" fontId="9" fillId="2" borderId="0" applyAlignment="1" pivotButton="0" quotePrefix="0" xfId="0">
      <alignment horizontal="right" vertical="center"/>
    </xf>
    <xf numFmtId="0" fontId="14" fillId="0" borderId="0" applyAlignment="1" pivotButton="0" quotePrefix="0" xfId="0">
      <alignment horizontal="right" vertical="center"/>
    </xf>
    <xf numFmtId="0" fontId="10" fillId="4" borderId="3" applyAlignment="1" pivotButton="0" quotePrefix="0" xfId="0">
      <alignment horizontal="center"/>
    </xf>
    <xf numFmtId="164" fontId="16" fillId="0" borderId="0" applyAlignment="1" pivotButton="0" quotePrefix="0" xfId="0">
      <alignment horizontal="center" vertical="center"/>
    </xf>
    <xf numFmtId="0" fontId="16" fillId="4" borderId="7" applyAlignment="1" pivotButton="0" quotePrefix="0" xfId="0">
      <alignment vertical="bottom" indent="1"/>
    </xf>
    <xf numFmtId="0" fontId="0" fillId="4" borderId="8" pivotButton="0" quotePrefix="0" xfId="0"/>
    <xf numFmtId="0" fontId="0" fillId="4" borderId="9" pivotButton="0" quotePrefix="0" xfId="0"/>
    <xf numFmtId="0" fontId="16" fillId="4" borderId="15" applyAlignment="1" pivotButton="0" quotePrefix="0" xfId="0">
      <alignment vertical="bottom" indent="1"/>
    </xf>
    <xf numFmtId="0" fontId="16" fillId="4" borderId="18" applyAlignment="1" pivotButton="0" quotePrefix="0" xfId="0">
      <alignment vertical="bottom" indent="1"/>
    </xf>
    <xf numFmtId="0" fontId="16" fillId="4" borderId="21" applyAlignment="1" pivotButton="0" quotePrefix="0" xfId="0">
      <alignment vertical="bottom" indent="1"/>
    </xf>
    <xf numFmtId="0" fontId="16" fillId="4" borderId="24" applyAlignment="1" pivotButton="0" quotePrefix="0" xfId="0">
      <alignment vertical="bottom" indent="1"/>
    </xf>
    <xf numFmtId="3" fontId="17" fillId="4" borderId="10" applyAlignment="1" pivotButton="0" quotePrefix="0" xfId="0">
      <alignment horizontal="left" vertical="center" indent="1"/>
    </xf>
    <xf numFmtId="0" fontId="0" fillId="4" borderId="11" pivotButton="0" quotePrefix="0" xfId="0"/>
    <xf numFmtId="0" fontId="0" fillId="4" borderId="12" pivotButton="0" quotePrefix="0" xfId="0"/>
    <xf numFmtId="3" fontId="19" fillId="4" borderId="16" applyAlignment="1" pivotButton="0" quotePrefix="0" xfId="0">
      <alignment horizontal="left" vertical="center" indent="1"/>
    </xf>
    <xf numFmtId="3" fontId="20" fillId="4" borderId="19" applyAlignment="1" pivotButton="0" quotePrefix="0" xfId="0">
      <alignment horizontal="left" vertical="center" indent="1"/>
    </xf>
    <xf numFmtId="3" fontId="21" fillId="4" borderId="22" applyAlignment="1" pivotButton="0" quotePrefix="0" xfId="0">
      <alignment horizontal="left" vertical="center" indent="1"/>
    </xf>
    <xf numFmtId="9" fontId="22" fillId="4" borderId="25" applyAlignment="1" pivotButton="0" quotePrefix="0" xfId="0">
      <alignment horizontal="left" vertical="center" indent="1"/>
    </xf>
    <xf numFmtId="0" fontId="18" fillId="4" borderId="13" applyAlignment="1" pivotButton="0" quotePrefix="0" xfId="0">
      <alignment vertical="top" indent="1"/>
    </xf>
    <xf numFmtId="0" fontId="0" fillId="4" borderId="14" pivotButton="0" quotePrefix="0" xfId="0"/>
    <xf numFmtId="0" fontId="18" fillId="4" borderId="17" applyAlignment="1" pivotButton="0" quotePrefix="0" xfId="0">
      <alignment vertical="top" indent="1"/>
    </xf>
    <xf numFmtId="0" fontId="18" fillId="4" borderId="20" applyAlignment="1" pivotButton="0" quotePrefix="0" xfId="0">
      <alignment vertical="top" indent="1"/>
    </xf>
    <xf numFmtId="0" fontId="18" fillId="4" borderId="23" applyAlignment="1" pivotButton="0" quotePrefix="0" xfId="0">
      <alignment vertical="top" indent="1"/>
    </xf>
    <xf numFmtId="0" fontId="18" fillId="4" borderId="26" applyAlignment="1" pivotButton="0" quotePrefix="0" xfId="0">
      <alignment vertical="top" indent="1"/>
    </xf>
    <xf numFmtId="0" fontId="14" fillId="0" borderId="0" pivotButton="0" quotePrefix="0" xfId="0"/>
    <xf numFmtId="0" fontId="13" fillId="7" borderId="3" applyAlignment="1" pivotButton="0" quotePrefix="0" xfId="0">
      <alignment horizontal="center" vertical="center" wrapText="1"/>
    </xf>
    <xf numFmtId="0" fontId="5" fillId="4" borderId="3" applyAlignment="1" pivotButton="0" quotePrefix="0" xfId="0">
      <alignment horizontal="center"/>
    </xf>
    <xf numFmtId="3" fontId="5" fillId="6" borderId="3" pivotButton="0" quotePrefix="0" xfId="0"/>
    <xf numFmtId="0" fontId="10" fillId="5" borderId="3" applyAlignment="1" pivotButton="0" quotePrefix="0" xfId="0">
      <alignment horizontal="center"/>
    </xf>
    <xf numFmtId="3" fontId="10" fillId="5" borderId="3" pivotButton="0" quotePrefix="0" xfId="0"/>
    <xf numFmtId="0" fontId="0" fillId="0" borderId="6" pivotButton="0" quotePrefix="0" xfId="0"/>
    <xf numFmtId="0" fontId="0" fillId="0" borderId="27" pivotButton="0" quotePrefix="0" xfId="0"/>
    <xf numFmtId="0" fontId="5" fillId="0" borderId="3" pivotButton="0" quotePrefix="0" xfId="0"/>
    <xf numFmtId="0" fontId="5" fillId="6" borderId="3" applyAlignment="1" pivotButton="0" quotePrefix="0" xfId="0">
      <alignment horizontal="center"/>
    </xf>
    <xf numFmtId="0" fontId="5" fillId="6" borderId="3" pivotButton="0" quotePrefix="0" xfId="0"/>
    <xf numFmtId="0" fontId="13" fillId="7" borderId="3" applyAlignment="1" pivotButton="0" quotePrefix="0" xfId="0">
      <alignment horizontal="center" vertical="center"/>
    </xf>
    <xf numFmtId="0" fontId="5" fillId="6" borderId="3" applyAlignment="1" pivotButton="0" quotePrefix="0" xfId="0">
      <alignment horizontal="center" vertical="center"/>
    </xf>
    <xf numFmtId="0" fontId="5" fillId="6" borderId="3" applyAlignment="1" pivotButton="0" quotePrefix="0" xfId="0">
      <alignment horizontal="left" vertical="center"/>
    </xf>
    <xf numFmtId="166" fontId="5" fillId="6" borderId="3" applyAlignment="1" pivotButton="0" quotePrefix="0" xfId="0">
      <alignment horizontal="center" vertical="center"/>
    </xf>
    <xf numFmtId="0" fontId="5" fillId="6" borderId="3" applyAlignment="1" pivotButton="0" quotePrefix="0" xfId="0">
      <alignment horizontal="right" vertical="center"/>
    </xf>
    <xf numFmtId="169" fontId="5" fillId="6" borderId="3" applyAlignment="1" pivotButton="0" quotePrefix="0" xfId="0">
      <alignment horizontal="center" vertical="center"/>
    </xf>
    <xf numFmtId="0" fontId="15" fillId="6" borderId="3" applyAlignment="1" pivotButton="0" quotePrefix="0" xfId="0">
      <alignment horizontal="center" vertical="center"/>
    </xf>
    <xf numFmtId="0" fontId="5" fillId="4" borderId="3" applyAlignment="1" pivotButton="0" quotePrefix="0" xfId="0">
      <alignment horizontal="center" vertical="center"/>
    </xf>
    <xf numFmtId="164" fontId="5" fillId="4" borderId="3" applyAlignment="1" pivotButton="0" quotePrefix="0" xfId="0">
      <alignment horizontal="center" vertical="center"/>
    </xf>
    <xf numFmtId="0" fontId="15" fillId="6" borderId="3" applyAlignment="1" pivotButton="0" quotePrefix="0" xfId="0">
      <alignment vertical="center"/>
    </xf>
    <xf numFmtId="0" fontId="5" fillId="4" borderId="3" applyAlignment="1" pivotButton="0" quotePrefix="0" xfId="0">
      <alignment vertical="center"/>
    </xf>
    <xf numFmtId="166" fontId="15" fillId="6" borderId="3" applyAlignment="1" pivotButton="0" quotePrefix="0" xfId="0">
      <alignment horizontal="center" vertical="center"/>
    </xf>
    <xf numFmtId="4" fontId="15" fillId="6" borderId="3" applyAlignment="1" pivotButton="0" quotePrefix="0" xfId="0">
      <alignment vertical="center"/>
    </xf>
    <xf numFmtId="3" fontId="15" fillId="6" borderId="3" applyAlignment="1" pivotButton="0" quotePrefix="0" xfId="0">
      <alignment horizontal="center" vertical="center"/>
    </xf>
    <xf numFmtId="167" fontId="5" fillId="4" borderId="3" applyAlignment="1" pivotButton="0" quotePrefix="0" xfId="0">
      <alignment horizontal="right" vertical="center"/>
    </xf>
    <xf numFmtId="4" fontId="5" fillId="4" borderId="3" applyAlignment="1" pivotButton="0" quotePrefix="0" xfId="0">
      <alignment vertical="center"/>
    </xf>
    <xf numFmtId="168" fontId="5" fillId="4" borderId="3" applyAlignment="1" pivotButton="0" quotePrefix="0" xfId="0">
      <alignment horizontal="center" vertical="center"/>
    </xf>
    <xf numFmtId="165" fontId="5" fillId="4" borderId="3" applyAlignment="1" pivotButton="0" quotePrefix="0" xfId="0">
      <alignment horizontal="center" vertical="center"/>
    </xf>
    <xf numFmtId="165" fontId="15" fillId="6" borderId="3" applyAlignment="1" pivotButton="0" quotePrefix="0" xfId="0">
      <alignment horizontal="center" vertical="center"/>
    </xf>
    <xf numFmtId="0" fontId="13" fillId="8" borderId="3" applyAlignment="1" pivotButton="0" quotePrefix="0" xfId="0">
      <alignment horizontal="center" vertical="center" wrapText="1"/>
    </xf>
    <xf numFmtId="0" fontId="13" fillId="9" borderId="3" applyAlignment="1" pivotButton="0" quotePrefix="0" xfId="0">
      <alignment horizontal="center" vertical="center" wrapText="1"/>
    </xf>
    <xf numFmtId="0" fontId="13" fillId="10" borderId="3" applyAlignment="1" pivotButton="0" quotePrefix="0" xfId="0">
      <alignment horizontal="center" vertical="center" wrapText="1"/>
    </xf>
    <xf numFmtId="0" fontId="5" fillId="6" borderId="3" applyAlignment="1" pivotButton="0" quotePrefix="0" xfId="0">
      <alignment vertical="center"/>
    </xf>
    <xf numFmtId="0" fontId="10" fillId="6" borderId="3" applyAlignment="1" pivotButton="0" quotePrefix="0" xfId="0">
      <alignment vertical="center"/>
    </xf>
    <xf numFmtId="0" fontId="10" fillId="5" borderId="3" pivotButton="0" quotePrefix="0" xfId="0"/>
    <xf numFmtId="49" fontId="5" fillId="6" borderId="3" applyAlignment="1" pivotButton="0" quotePrefix="0" xfId="0">
      <alignment horizontal="center" vertical="center"/>
    </xf>
    <xf numFmtId="49" fontId="5" fillId="6" borderId="3" applyAlignment="1" pivotButton="0" quotePrefix="0" xfId="0">
      <alignment vertical="center"/>
    </xf>
    <xf numFmtId="0" fontId="6" fillId="0" borderId="0" applyAlignment="1" pivotButton="0" quotePrefix="0" xfId="0">
      <alignment vertical="center"/>
    </xf>
    <xf numFmtId="0" fontId="23" fillId="4" borderId="3" applyAlignment="1" pivotButton="0" quotePrefix="0" xfId="0">
      <alignment horizontal="center"/>
    </xf>
    <xf numFmtId="0" fontId="24" fillId="0" borderId="0" applyAlignment="1" pivotButton="0" quotePrefix="0" xfId="0">
      <alignment vertical="center"/>
    </xf>
    <xf numFmtId="0" fontId="25" fillId="0" borderId="0" applyAlignment="1" pivotButton="0" quotePrefix="0" xfId="0">
      <alignment vertical="center"/>
    </xf>
    <xf numFmtId="0" fontId="27" fillId="0" borderId="0" applyAlignment="1" pivotButton="0" quotePrefix="0" xfId="0">
      <alignment horizontal="right" vertical="center"/>
    </xf>
    <xf numFmtId="0" fontId="26" fillId="0" borderId="0" applyAlignment="1" pivotButton="0" quotePrefix="0" xfId="0">
      <alignment vertical="center"/>
    </xf>
    <xf numFmtId="0" fontId="8" fillId="0" borderId="0" applyAlignment="1" pivotButton="0" quotePrefix="0" xfId="0">
      <alignment horizontal="right" vertical="center"/>
    </xf>
    <xf numFmtId="49" fontId="6" fillId="0" borderId="0" applyAlignment="1" pivotButton="0" quotePrefix="0" xfId="0">
      <alignment horizontal="right" vertical="center"/>
    </xf>
    <xf numFmtId="166" fontId="6" fillId="0" borderId="0" applyAlignment="1" pivotButton="0" quotePrefix="0" xfId="0">
      <alignment horizontal="right" vertical="center"/>
    </xf>
    <xf numFmtId="0" fontId="16" fillId="0" borderId="0" applyAlignment="1" pivotButton="0" quotePrefix="0" xfId="0">
      <alignment vertical="center"/>
    </xf>
    <xf numFmtId="0" fontId="16" fillId="5" borderId="28" applyAlignment="1" pivotButton="0" quotePrefix="0" xfId="0">
      <alignment vertical="center"/>
    </xf>
    <xf numFmtId="0" fontId="0" fillId="5" borderId="29" pivotButton="0" quotePrefix="0" xfId="0"/>
    <xf numFmtId="0" fontId="0" fillId="5" borderId="30" pivotButton="0" quotePrefix="0" xfId="0"/>
    <xf numFmtId="0" fontId="8" fillId="0" borderId="0" applyAlignment="1" pivotButton="0" quotePrefix="0" xfId="0">
      <alignment vertical="center"/>
    </xf>
    <xf numFmtId="166" fontId="30" fillId="0" borderId="0" applyAlignment="1" pivotButton="0" quotePrefix="0" xfId="0">
      <alignment horizontal="left" vertical="center"/>
    </xf>
    <xf numFmtId="0" fontId="28" fillId="5" borderId="31" applyAlignment="1" pivotButton="0" quotePrefix="0" xfId="0">
      <alignment vertical="center"/>
    </xf>
    <xf numFmtId="0" fontId="0" fillId="5" borderId="11" pivotButton="0" quotePrefix="0" xfId="0"/>
    <xf numFmtId="0" fontId="0" fillId="5" borderId="32" pivotButton="0" quotePrefix="0" xfId="0"/>
    <xf numFmtId="49" fontId="30" fillId="0" borderId="0" applyAlignment="1" pivotButton="0" quotePrefix="0" xfId="0">
      <alignment horizontal="left" vertical="center"/>
    </xf>
    <xf numFmtId="0" fontId="29" fillId="5" borderId="31" applyAlignment="1" pivotButton="0" quotePrefix="0" xfId="0">
      <alignment vertical="center"/>
    </xf>
    <xf numFmtId="0" fontId="30" fillId="5" borderId="33" applyAlignment="1" pivotButton="0" quotePrefix="0" xfId="0">
      <alignment vertical="center"/>
    </xf>
    <xf numFmtId="0" fontId="0" fillId="5" borderId="34" pivotButton="0" quotePrefix="0" xfId="0"/>
    <xf numFmtId="0" fontId="0" fillId="5" borderId="35" pivotButton="0" quotePrefix="0" xfId="0"/>
    <xf numFmtId="0" fontId="31" fillId="2" borderId="0" applyAlignment="1" pivotButton="0" quotePrefix="0" xfId="0">
      <alignment horizontal="center" vertical="center" wrapText="1"/>
    </xf>
    <xf numFmtId="0" fontId="7" fillId="0" borderId="2" applyAlignment="1" pivotButton="0" quotePrefix="0" xfId="0">
      <alignment horizontal="center" vertical="center" shrinkToFit="1"/>
    </xf>
    <xf numFmtId="0" fontId="7" fillId="0" borderId="2" applyAlignment="1" pivotButton="0" quotePrefix="0" xfId="0">
      <alignment horizontal="left" vertical="center" wrapText="1"/>
    </xf>
    <xf numFmtId="167" fontId="7" fillId="0" borderId="2" applyAlignment="1" pivotButton="0" quotePrefix="0" xfId="0">
      <alignment horizontal="center" vertical="center"/>
    </xf>
    <xf numFmtId="0" fontId="7" fillId="0" borderId="2" applyAlignment="1" pivotButton="0" quotePrefix="0" xfId="0">
      <alignment horizontal="center" vertical="center"/>
    </xf>
    <xf numFmtId="0" fontId="7" fillId="0" borderId="2" applyAlignment="1" pivotButton="0" quotePrefix="0" xfId="0">
      <alignment vertical="center"/>
    </xf>
    <xf numFmtId="168" fontId="7" fillId="0" borderId="2" applyAlignment="1" pivotButton="0" quotePrefix="0" xfId="0">
      <alignment horizontal="center" vertical="center"/>
    </xf>
    <xf numFmtId="165" fontId="7" fillId="0" borderId="2" applyAlignment="1" pivotButton="0" quotePrefix="0" xfId="0">
      <alignment horizontal="center" vertical="center"/>
    </xf>
    <xf numFmtId="0" fontId="32" fillId="0" borderId="2" applyAlignment="1" pivotButton="0" quotePrefix="0" xfId="0">
      <alignment vertical="center"/>
    </xf>
    <xf numFmtId="0" fontId="7" fillId="5" borderId="2" applyAlignment="1" pivotButton="0" quotePrefix="0" xfId="0">
      <alignment horizontal="center" vertical="center" shrinkToFit="1"/>
    </xf>
    <xf numFmtId="0" fontId="7" fillId="5" borderId="2" applyAlignment="1" pivotButton="0" quotePrefix="0" xfId="0">
      <alignment horizontal="left" vertical="center" wrapText="1"/>
    </xf>
    <xf numFmtId="167" fontId="7" fillId="5" borderId="2" applyAlignment="1" pivotButton="0" quotePrefix="0" xfId="0">
      <alignment horizontal="center" vertical="center"/>
    </xf>
    <xf numFmtId="0" fontId="7" fillId="5" borderId="2" applyAlignment="1" pivotButton="0" quotePrefix="0" xfId="0">
      <alignment horizontal="center" vertical="center"/>
    </xf>
    <xf numFmtId="0" fontId="7" fillId="5" borderId="2" applyAlignment="1" pivotButton="0" quotePrefix="0" xfId="0">
      <alignment vertical="center"/>
    </xf>
    <xf numFmtId="168" fontId="7" fillId="5" borderId="2" applyAlignment="1" pivotButton="0" quotePrefix="0" xfId="0">
      <alignment horizontal="center" vertical="center"/>
    </xf>
    <xf numFmtId="165" fontId="7" fillId="5" borderId="2" applyAlignment="1" pivotButton="0" quotePrefix="0" xfId="0">
      <alignment horizontal="center" vertical="center"/>
    </xf>
    <xf numFmtId="0" fontId="32" fillId="5" borderId="2" applyAlignment="1" pivotButton="0" quotePrefix="0" xfId="0">
      <alignment vertical="center"/>
    </xf>
    <xf numFmtId="0" fontId="33" fillId="0" borderId="0" applyAlignment="1" pivotButton="0" quotePrefix="0" xfId="0">
      <alignment vertical="center"/>
    </xf>
    <xf numFmtId="0" fontId="26" fillId="0" borderId="2" applyAlignment="1" pivotButton="0" quotePrefix="0" xfId="0">
      <alignment horizontal="left" vertical="center" indent="1"/>
    </xf>
    <xf numFmtId="0" fontId="0" fillId="0" borderId="2" pivotButton="0" quotePrefix="0" xfId="0"/>
    <xf numFmtId="0" fontId="6" fillId="0" borderId="2" applyAlignment="1" pivotButton="0" quotePrefix="0" xfId="0">
      <alignment horizontal="right" vertical="center"/>
    </xf>
    <xf numFmtId="0" fontId="31" fillId="11" borderId="3" applyAlignment="1" pivotButton="0" quotePrefix="0" xfId="0">
      <alignment horizontal="center"/>
    </xf>
    <xf numFmtId="165" fontId="7" fillId="0" borderId="2" applyAlignment="1" pivotButton="0" quotePrefix="0" xfId="0">
      <alignment horizontal="center"/>
    </xf>
    <xf numFmtId="0" fontId="7" fillId="0" borderId="2" pivotButton="0" quotePrefix="0" xfId="0"/>
    <xf numFmtId="0" fontId="34" fillId="2" borderId="0" applyAlignment="1" pivotButton="0" quotePrefix="0" xfId="0">
      <alignment horizontal="left" vertical="center" indent="1"/>
    </xf>
    <xf numFmtId="0" fontId="34" fillId="2" borderId="0" applyAlignment="1" pivotButton="0" quotePrefix="0" xfId="0">
      <alignment horizontal="right" vertical="center"/>
    </xf>
    <xf numFmtId="0" fontId="35" fillId="0" borderId="0" applyAlignment="1" pivotButton="0" quotePrefix="0" xfId="0">
      <alignment vertical="center" wrapText="1"/>
    </xf>
    <xf numFmtId="0" fontId="30" fillId="0" borderId="0" applyAlignment="1" pivotButton="0" quotePrefix="0" xfId="0">
      <alignment vertical="center" wrapText="1"/>
    </xf>
    <xf numFmtId="0" fontId="36" fillId="0" borderId="0" applyAlignment="1" pivotButton="0" quotePrefix="0" xfId="0">
      <alignment vertical="center" wrapText="1"/>
    </xf>
    <xf numFmtId="49" fontId="30" fillId="0" borderId="0" applyAlignment="1" pivotButton="0" quotePrefix="0" xfId="0">
      <alignment horizontal="left" vertical="center" wrapText="1"/>
    </xf>
    <xf numFmtId="0" fontId="6" fillId="0" borderId="28" applyAlignment="1" pivotButton="0" quotePrefix="0" xfId="0">
      <alignment vertical="center"/>
    </xf>
    <xf numFmtId="0" fontId="0" fillId="0" borderId="29" pivotButton="0" quotePrefix="0" xfId="0"/>
    <xf numFmtId="0" fontId="0" fillId="0" borderId="30" pivotButton="0" quotePrefix="0" xfId="0"/>
    <xf numFmtId="0" fontId="38" fillId="0" borderId="0" applyAlignment="1" pivotButton="0" quotePrefix="0" xfId="0">
      <alignment vertical="center" wrapText="1"/>
    </xf>
    <xf numFmtId="0" fontId="0" fillId="0" borderId="31" pivotButton="0" quotePrefix="0" xfId="0"/>
    <xf numFmtId="0" fontId="0" fillId="0" borderId="11" pivotButton="0" quotePrefix="0" xfId="0"/>
    <xf numFmtId="0" fontId="0" fillId="0" borderId="32" pivotButton="0" quotePrefix="0" xfId="0"/>
    <xf numFmtId="0" fontId="37" fillId="0" borderId="33" applyAlignment="1" pivotButton="0" quotePrefix="0" xfId="0">
      <alignment vertical="center"/>
    </xf>
    <xf numFmtId="0" fontId="0" fillId="0" borderId="34" pivotButton="0" quotePrefix="0" xfId="0"/>
    <xf numFmtId="0" fontId="0" fillId="0" borderId="35" pivotButton="0" quotePrefix="0" xfId="0"/>
    <xf numFmtId="49" fontId="5" fillId="4" borderId="3" applyAlignment="1" pivotButton="0" quotePrefix="0" xfId="0">
      <alignment vertical="center"/>
    </xf>
    <xf numFmtId="3" fontId="5" fillId="4" borderId="3" applyAlignment="1" pivotButton="0" quotePrefix="0" xfId="0">
      <alignment horizontal="center" vertical="center"/>
    </xf>
    <xf numFmtId="0" fontId="5" fillId="4" borderId="3" applyAlignment="1" pivotButton="0" quotePrefix="0" xfId="0">
      <alignment horizontal="left" vertical="center"/>
    </xf>
    <xf numFmtId="0" fontId="10" fillId="0" borderId="0" pivotButton="0" quotePrefix="0" xfId="0"/>
    <xf numFmtId="0" fontId="5" fillId="4" borderId="3" applyAlignment="1" pivotButton="0" quotePrefix="0" xfId="0">
      <alignment horizontal="left" vertical="center" indent="1"/>
    </xf>
    <xf numFmtId="0" fontId="14" fillId="0" borderId="0" applyAlignment="1" pivotButton="0" quotePrefix="0" xfId="0">
      <alignment vertical="top" wrapText="1"/>
    </xf>
    <xf numFmtId="0" fontId="11" fillId="4" borderId="3" applyAlignment="1" pivotButton="0" quotePrefix="0" xfId="0">
      <alignment horizontal="center"/>
    </xf>
    <xf numFmtId="165" fontId="5" fillId="4" borderId="3" applyAlignment="1" pivotButton="0" quotePrefix="0" xfId="0">
      <alignment horizontal="center"/>
    </xf>
    <xf numFmtId="165" fontId="10" fillId="6" borderId="3" applyAlignment="1" pivotButton="0" quotePrefix="0" xfId="0">
      <alignment horizontal="center"/>
    </xf>
    <xf numFmtId="49" fontId="5" fillId="4" borderId="3" applyAlignment="1" pivotButton="0" quotePrefix="0" xfId="0">
      <alignment horizontal="left" vertical="center" indent="1"/>
    </xf>
    <xf numFmtId="164" fontId="5" fillId="4" borderId="3" applyAlignment="1" pivotButton="0" quotePrefix="0" xfId="0">
      <alignment horizontal="left" vertical="center" indent="1"/>
    </xf>
    <xf numFmtId="0" fontId="12" fillId="0" borderId="0" pivotButton="0" quotePrefix="0" xfId="0"/>
    <xf numFmtId="164" fontId="12" fillId="6" borderId="3" applyAlignment="1" pivotButton="0" quotePrefix="0" xfId="0">
      <alignment horizontal="left" indent="1"/>
    </xf>
    <xf numFmtId="1" fontId="12" fillId="6" borderId="3" applyAlignment="1" pivotButton="0" quotePrefix="0" xfId="0">
      <alignment horizontal="left" indent="1"/>
    </xf>
    <xf numFmtId="49" fontId="12" fillId="6" borderId="3" applyAlignment="1" pivotButton="0" quotePrefix="0" xfId="0">
      <alignment horizontal="left" indent="1"/>
    </xf>
    <xf numFmtId="0" fontId="0" fillId="12" borderId="0" pivotButton="0" quotePrefix="0" xfId="0"/>
    <xf numFmtId="0" fontId="39" fillId="13" borderId="0" applyAlignment="1" pivotButton="0" quotePrefix="0" xfId="0">
      <alignment vertical="bottom" indent="1"/>
    </xf>
    <xf numFmtId="0" fontId="0" fillId="13" borderId="0" pivotButton="0" quotePrefix="0" xfId="0"/>
    <xf numFmtId="0" fontId="40" fillId="13" borderId="0" applyAlignment="1" pivotButton="0" quotePrefix="0" xfId="0">
      <alignment indent="1"/>
    </xf>
    <xf numFmtId="0" fontId="41" fillId="13" borderId="0" applyAlignment="1" pivotButton="0" quotePrefix="0" xfId="0">
      <alignment vertical="top" wrapText="1" indent="1"/>
    </xf>
    <xf numFmtId="0" fontId="3" fillId="12" borderId="36" pivotButton="0" quotePrefix="0" xfId="0"/>
    <xf numFmtId="0" fontId="0" fillId="12" borderId="36" pivotButton="0" quotePrefix="0" xfId="0"/>
    <xf numFmtId="0" fontId="42" fillId="12" borderId="0" applyAlignment="1" pivotButton="0" quotePrefix="0" xfId="0">
      <alignment vertical="center" wrapText="1"/>
    </xf>
    <xf numFmtId="0" fontId="29" fillId="12" borderId="0" applyAlignment="1" pivotButton="0" quotePrefix="0" xfId="0">
      <alignment vertical="center" wrapText="1"/>
    </xf>
    <xf numFmtId="0" fontId="13" fillId="12" borderId="11" applyAlignment="1" pivotButton="0" quotePrefix="0" xfId="0">
      <alignment vertical="center" wrapText="1" indent="1"/>
    </xf>
    <xf numFmtId="0" fontId="13" fillId="7" borderId="3" applyAlignment="1" pivotButton="0" quotePrefix="0" xfId="0">
      <alignment vertical="center" wrapText="1" indent="1"/>
    </xf>
    <xf numFmtId="0" fontId="13" fillId="14" borderId="3" applyAlignment="1" pivotButton="0" quotePrefix="0" xfId="0">
      <alignment vertical="center" wrapText="1" indent="1"/>
    </xf>
    <xf numFmtId="0" fontId="6" fillId="4" borderId="3" applyAlignment="1" pivotButton="0" quotePrefix="0" xfId="0">
      <alignment vertical="center" wrapText="1" indent="1"/>
    </xf>
    <xf numFmtId="0" fontId="29" fillId="4" borderId="3" applyAlignment="1" pivotButton="0" quotePrefix="0" xfId="0">
      <alignment vertical="center" wrapText="1" indent="1"/>
    </xf>
    <xf numFmtId="0" fontId="29" fillId="15" borderId="3" applyAlignment="1" pivotButton="0" quotePrefix="0" xfId="0">
      <alignment vertical="center" wrapText="1" indent="1"/>
    </xf>
    <xf numFmtId="0" fontId="43" fillId="6" borderId="3" applyAlignment="1" pivotButton="0" quotePrefix="0" xfId="0">
      <alignment horizontal="center" vertical="center" wrapText="1" indent="1"/>
    </xf>
    <xf numFmtId="0" fontId="44" fillId="16" borderId="3" applyAlignment="1" pivotButton="0" quotePrefix="0" xfId="0">
      <alignment horizontal="center" vertical="center" wrapText="1" indent="1"/>
    </xf>
    <xf numFmtId="0" fontId="45" fillId="15" borderId="39" applyAlignment="1" pivotButton="0" quotePrefix="0" xfId="0">
      <alignment horizontal="center" vertical="center"/>
    </xf>
    <xf numFmtId="0" fontId="0" fillId="0" borderId="42" pivotButton="0" quotePrefix="0" xfId="0"/>
    <xf numFmtId="0" fontId="46" fillId="12" borderId="0" applyAlignment="1" pivotButton="0" quotePrefix="0" xfId="0">
      <alignment horizontal="center" vertical="center"/>
    </xf>
    <xf numFmtId="0" fontId="47" fillId="12" borderId="0" applyAlignment="1" pivotButton="0" quotePrefix="0" xfId="0">
      <alignment horizontal="center" vertical="center"/>
    </xf>
    <xf numFmtId="0" fontId="8" fillId="12" borderId="0" applyAlignment="1" pivotButton="0" quotePrefix="0" xfId="0">
      <alignment vertical="top" wrapText="1"/>
    </xf>
  </cellXfs>
  <cellStyles count="1">
    <cellStyle name="Normal" xfId="0" builtinId="0" hidden="0"/>
  </cellStyles>
  <dxfs count="15">
    <dxf>
      <font>
        <color rgb="FF1D4ED8"/>
      </font>
      <fill>
        <patternFill patternType="solid">
          <fgColor rgb="FFDBEAFE"/>
          <bgColor rgb="FFDBEAFE"/>
        </patternFill>
      </fill>
    </dxf>
    <dxf>
      <font>
        <color rgb="FF92400E"/>
      </font>
      <fill>
        <patternFill patternType="solid">
          <fgColor rgb="FFFEF3C7"/>
          <bgColor rgb="FFFEF3C7"/>
        </patternFill>
      </fill>
    </dxf>
    <dxf>
      <font>
        <b val="1"/>
        <color rgb="FF92400E"/>
      </font>
      <fill>
        <patternFill patternType="solid">
          <fgColor rgb="FFFEF3C7"/>
          <bgColor rgb="FFFEF3C7"/>
        </patternFill>
      </fill>
    </dxf>
    <dxf>
      <font>
        <color rgb="FFB91C1C"/>
      </font>
      <fill>
        <patternFill patternType="solid">
          <fgColor rgb="FFFEE2E2"/>
          <bgColor rgb="FFFEE2E2"/>
        </patternFill>
      </fill>
    </dxf>
    <dxf>
      <font>
        <b val="1"/>
        <color rgb="FFB91C1C"/>
      </font>
      <fill>
        <patternFill patternType="solid">
          <fgColor rgb="FFFEE2E2"/>
          <bgColor rgb="FFFEE2E2"/>
        </patternFill>
      </fill>
    </dxf>
    <dxf>
      <numFmt numFmtId="180" formatCode="#,##0.00&quot; DH&quot;"/>
    </dxf>
    <dxf>
      <numFmt numFmtId="181" formatCode="#,##0.00&quot; €&quot;"/>
    </dxf>
    <dxf>
      <numFmt numFmtId="182" formatCode="&quot;$&quot;#,##0.00"/>
    </dxf>
    <dxf>
      <numFmt numFmtId="190" formatCode="#,##0&quot; DH&quot;"/>
    </dxf>
    <dxf>
      <numFmt numFmtId="191" formatCode="#,##0&quot; €&quot;"/>
    </dxf>
    <dxf>
      <numFmt numFmtId="192" formatCode="&quot;$&quot;#,##0"/>
    </dxf>
    <dxf>
      <font>
        <color rgb="FF166534"/>
      </font>
      <fill>
        <patternFill patternType="solid">
          <fgColor rgb="FFDCFCE7"/>
          <bgColor rgb="FFDCFCE7"/>
        </patternFill>
      </fill>
    </dxf>
    <dxf>
      <font>
        <color rgb="FF475569"/>
      </font>
      <fill>
        <patternFill patternType="solid">
          <fgColor rgb="FFF1F5F9"/>
          <bgColor rgb="FFF1F5F9"/>
        </patternFill>
      </fill>
    </dxf>
    <dxf>
      <font>
        <color rgb="FF94A3B8"/>
      </font>
      <numFmt numFmtId="199" formatCode="&quot;-&quot;"/>
    </dxf>
    <dxf>
      <font>
        <b val="1"/>
        <color rgb="FF166534"/>
      </font>
      <fill>
        <patternFill patternType="solid">
          <fgColor rgb="FFDCFCE7"/>
          <bgColor rgb="FF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Chiffre d'affaires HT et encaissements</a:t>
            </a:r>
          </a:p>
        </rich>
      </tx>
    </title>
    <plotArea>
      <barChart>
        <barDir val="col"/>
        <grouping val="clustered"/>
        <ser>
          <idx val="0"/>
          <order val="0"/>
          <tx>
            <strRef>
              <f>'Tableau de bord'!C12</f>
            </strRef>
          </tx>
          <spPr>
            <a:solidFill xmlns:a="http://schemas.openxmlformats.org/drawingml/2006/main">
              <a:srgbClr val="BE185D"/>
            </a:solidFill>
            <a:ln xmlns:a="http://schemas.openxmlformats.org/drawingml/2006/main">
              <a:solidFill>
                <a:srgbClr val="BE185D"/>
              </a:solidFill>
              <a:prstDash val="solid"/>
            </a:ln>
          </spPr>
          <cat>
            <numRef>
              <f>'Tableau de bord'!$B$13:$B$24</f>
            </numRef>
          </cat>
          <val>
            <numRef>
              <f>'Tableau de bord'!$C$13:$C$24</f>
            </numRef>
          </val>
        </ser>
        <ser>
          <idx val="1"/>
          <order val="1"/>
          <tx>
            <strRef>
              <f>'Tableau de bord'!D12</f>
            </strRef>
          </tx>
          <spPr>
            <a:solidFill xmlns:a="http://schemas.openxmlformats.org/drawingml/2006/main">
              <a:srgbClr val="94A3B8"/>
            </a:solidFill>
            <a:ln xmlns:a="http://schemas.openxmlformats.org/drawingml/2006/main">
              <a:solidFill>
                <a:srgbClr val="94A3B8"/>
              </a:solidFill>
              <a:prstDash val="solid"/>
            </a:ln>
          </spPr>
          <cat>
            <numRef>
              <f>'Tableau de bord'!$B$13:$B$24</f>
            </numRef>
          </cat>
          <val>
            <numRef>
              <f>'Tableau de bord'!$D$13:$D$24</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Reste dû par tranche</a:t>
            </a:r>
          </a:p>
        </rich>
      </tx>
    </title>
    <plotArea>
      <barChart>
        <barDir val="col"/>
        <grouping val="clustered"/>
        <ser>
          <idx val="0"/>
          <order val="0"/>
          <tx>
            <strRef>
              <f>'Tableau de bord'!E29</f>
            </strRef>
          </tx>
          <spPr>
            <a:solidFill xmlns:a="http://schemas.openxmlformats.org/drawingml/2006/main">
              <a:srgbClr val="BE185D"/>
            </a:solidFill>
            <a:ln xmlns:a="http://schemas.openxmlformats.org/drawingml/2006/main">
              <a:solidFill>
                <a:srgbClr val="BE185D"/>
              </a:solidFill>
              <a:prstDash val="solid"/>
            </a:ln>
          </spPr>
          <cat>
            <numRef>
              <f>'Tableau de bord'!$B$30:$B$34</f>
            </numRef>
          </cat>
          <val>
            <numRef>
              <f>'Tableau de bord'!$E$30:$E$34</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CA HT des meilleurs clients</a:t>
            </a:r>
          </a:p>
        </rich>
      </tx>
    </title>
    <plotArea>
      <barChart>
        <barDir val="bar"/>
        <grouping val="clustered"/>
        <ser>
          <idx val="0"/>
          <order val="0"/>
          <tx>
            <strRef>
              <f>'Tableau de bord'!L29</f>
            </strRef>
          </tx>
          <spPr>
            <a:solidFill xmlns:a="http://schemas.openxmlformats.org/drawingml/2006/main">
              <a:srgbClr val="0F766E"/>
            </a:solidFill>
            <a:ln xmlns:a="http://schemas.openxmlformats.org/drawingml/2006/main">
              <a:solidFill>
                <a:srgbClr val="0F766E"/>
              </a:solidFill>
              <a:prstDash val="solid"/>
            </a:ln>
          </spPr>
          <cat>
            <numRef>
              <f>'Tableau de bord'!$I$30:$I$34</f>
            </numRef>
          </cat>
          <val>
            <numRef>
              <f>'Tableau de bord'!$L$30:$L$34</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6</col>
      <colOff>0</colOff>
      <row>10</row>
      <rowOff>0</rowOff>
    </from>
    <ext cx="7020000" cy="273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35</row>
      <rowOff>0</rowOff>
    </from>
    <ext cx="4248000" cy="2304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7</col>
      <colOff>0</colOff>
      <row>35</row>
      <rowOff>0</rowOff>
    </from>
    <ext cx="4752000" cy="2304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14.xml.rels><Relationships xmlns="http://schemas.openxmlformats.org/package/2006/relationships"><Relationship Type="http://schemas.openxmlformats.org/officeDocument/2006/relationships/hyperlink" Target="https://qualis-erp.com/register?utm_source=excel&amp;utm_medium=modele&amp;utm_campaign=devis-facture-excel" TargetMode="External" Id="rId1"/><Relationship Type="http://schemas.openxmlformats.org/officeDocument/2006/relationships/hyperlink" Target="https://qualis-erp.com/pricing?utm_source=excel&amp;utm_medium=modele&amp;utm_campaign=devis-facture-excel" TargetMode="External" Id="rId2"/><Relationship Type="http://schemas.openxmlformats.org/officeDocument/2006/relationships/hyperlink" Target="https://qualis-erp.com/?utm_source=excel&amp;utm_medium=modele&amp;utm_campaign=devis-facture-excel" TargetMode="External" Id="rId3"/></Relationships>
</file>

<file path=xl/worksheets/sheet1.xml><?xml version="1.0" encoding="utf-8"?>
<worksheet xmlns="http://schemas.openxmlformats.org/spreadsheetml/2006/main">
  <sheetPr>
    <tabColor rgb="FF475569"/>
    <outlinePr summaryBelow="1" summaryRight="1"/>
    <pageSetUpPr fitToPage="1"/>
  </sheetPr>
  <dimension ref="A1:E51"/>
  <sheetViews>
    <sheetView showGridLines="0" tabSelected="1" zoomScale="100" workbookViewId="0">
      <selection activeCell="A1" sqref="A1"/>
    </sheetView>
  </sheetViews>
  <sheetFormatPr baseColWidth="8" defaultRowHeight="15"/>
  <cols>
    <col width="3" customWidth="1" min="1" max="1"/>
    <col width="28" customWidth="1" min="2" max="2"/>
    <col width="44" customWidth="1" min="3" max="3"/>
    <col width="44" customWidth="1" min="4" max="4"/>
    <col width="3" customWidth="1" min="5" max="5"/>
  </cols>
  <sheetData>
    <row r="1" ht="38" customHeight="1">
      <c r="A1" s="1" t="n"/>
      <c r="B1" s="2" t="inlineStr">
        <is>
          <t>Devis et factures</t>
        </is>
      </c>
      <c r="C1" s="1" t="n"/>
      <c r="D1" s="1" t="n"/>
      <c r="E1" s="1" t="n"/>
    </row>
    <row r="2" ht="22" customHeight="1">
      <c r="A2" s="3" t="n"/>
      <c r="B2" s="4" t="inlineStr">
        <is>
          <t>Mode d'emploi. Lisez cette page une fois, puis travaillez dans « Devis », « Factures » et « Paiements ».</t>
        </is>
      </c>
      <c r="C2" s="3" t="n"/>
      <c r="D2" s="3" t="n"/>
      <c r="E2" s="3" t="n"/>
    </row>
    <row r="3" ht="18" customHeight="1"/>
    <row r="5" ht="22" customHeight="1">
      <c r="B5" s="5" t="inlineStr">
        <is>
          <t>Les feuilles du classeur</t>
        </is>
      </c>
      <c r="C5" s="6" t="n"/>
      <c r="D5" s="6" t="n"/>
    </row>
    <row r="6" ht="30" customHeight="1">
      <c r="B6" s="7" t="inlineStr">
        <is>
          <t>→ Tableau de bord</t>
        </is>
      </c>
      <c r="C6" s="8" t="inlineStr">
        <is>
          <t>Chiffre d'affaires, encaissements, impayés par tranche, devis transformés et factures à relancer.</t>
        </is>
      </c>
      <c r="D6" s="9" t="n"/>
    </row>
    <row r="7" ht="30" customHeight="1">
      <c r="B7" s="10" t="inlineStr">
        <is>
          <t>→ Factures</t>
        </is>
      </c>
      <c r="C7" s="11" t="inlineStr">
        <is>
          <t>Le registre des factures, factures d'acompte et avoirs. Le numéro, l'échéance, les totaux et le reste dû se calculent.</t>
        </is>
      </c>
      <c r="D7" s="12" t="n"/>
    </row>
    <row r="8" ht="30" customHeight="1">
      <c r="B8" s="7" t="inlineStr">
        <is>
          <t>→ Lignes de factures</t>
        </is>
      </c>
      <c r="C8" s="8" t="inlineStr">
        <is>
          <t>Les lignes de chaque facture. Inutile si la facture reprend toutes les lignes d'un devis.</t>
        </is>
      </c>
      <c r="D8" s="9" t="n"/>
    </row>
    <row r="9" ht="20" customHeight="1">
      <c r="B9" s="10" t="inlineStr">
        <is>
          <t>→ Paiements</t>
        </is>
      </c>
      <c r="C9" s="11" t="inlineStr">
        <is>
          <t>Les encaissements : un paiement par ligne, paiements partiels compris.</t>
        </is>
      </c>
      <c r="D9" s="12" t="n"/>
    </row>
    <row r="10" ht="30" customHeight="1">
      <c r="B10" s="7" t="inlineStr">
        <is>
          <t>→ Suivi des impayés</t>
        </is>
      </c>
      <c r="C10" s="8" t="inlineStr">
        <is>
          <t>Balance âgée par client et liste des factures à encaisser, de la plus en retard à la plus récente, avec la relance à faire.</t>
        </is>
      </c>
      <c r="D10" s="9" t="n"/>
    </row>
    <row r="11" ht="30" customHeight="1">
      <c r="B11" s="10" t="inlineStr">
        <is>
          <t>→ Devis</t>
        </is>
      </c>
      <c r="C11" s="11" t="inlineStr">
        <is>
          <t>Le registre des devis : numéro automatique, validité, état (en attente, expiré, accepté, facturé...).</t>
        </is>
      </c>
      <c r="D11" s="12" t="n"/>
    </row>
    <row r="12" ht="20" customHeight="1">
      <c r="B12" s="7" t="inlineStr">
        <is>
          <t>→ Lignes de devis</t>
        </is>
      </c>
      <c r="C12" s="8" t="inlineStr">
        <is>
          <t>Les lignes de chaque devis : article, quantité, prix, remise, TVA.</t>
        </is>
      </c>
      <c r="D12" s="9" t="n"/>
    </row>
    <row r="13" ht="20" customHeight="1">
      <c r="B13" s="10" t="inlineStr">
        <is>
          <t>→ Imprimer facture</t>
        </is>
      </c>
      <c r="C13" s="11" t="inlineStr">
        <is>
          <t>La facture prête à imprimer ou à enregistrer en PDF. Choisissez son numéro.</t>
        </is>
      </c>
      <c r="D13" s="12" t="n"/>
    </row>
    <row r="14" ht="20" customHeight="1">
      <c r="B14" s="7" t="inlineStr">
        <is>
          <t>→ Imprimer devis</t>
        </is>
      </c>
      <c r="C14" s="8" t="inlineStr">
        <is>
          <t>Le devis prêt à imprimer, avec la case « Bon pour accord ».</t>
        </is>
      </c>
      <c r="D14" s="9" t="n"/>
    </row>
    <row r="15" ht="30" customHeight="1">
      <c r="B15" s="10" t="inlineStr">
        <is>
          <t>→ Clients</t>
        </is>
      </c>
      <c r="C15" s="11" t="inlineStr">
        <is>
          <t>Votre fichier clients : adresse, ICE ou SIREN, délai de paiement. Chiffre d'affaires et reste dû par client.</t>
        </is>
      </c>
      <c r="D15" s="12" t="n"/>
    </row>
    <row r="16" ht="20" customHeight="1">
      <c r="B16" s="7" t="inlineStr">
        <is>
          <t>→ Produits et services</t>
        </is>
      </c>
      <c r="C16" s="8" t="inlineStr">
        <is>
          <t>Vos articles et prestations : désignation, unité, prix HT et taux de TVA.</t>
        </is>
      </c>
      <c r="D16" s="9" t="n"/>
    </row>
    <row r="17" ht="30" customHeight="1">
      <c r="B17" s="10" t="inlineStr">
        <is>
          <t>→ Paramètres</t>
        </is>
      </c>
      <c r="C17" s="11" t="inlineStr">
        <is>
          <t>Pays (Maroc ou France), devise, identité de l'entreprise, identifiants légaux, banque, préfixes, taux de TVA.</t>
        </is>
      </c>
      <c r="D17" s="12" t="n"/>
    </row>
    <row r="20" ht="22" customHeight="1">
      <c r="B20" s="5" t="inlineStr">
        <is>
          <t>Démarrer en 6 étapes</t>
        </is>
      </c>
      <c r="C20" s="6" t="n"/>
      <c r="D20" s="6" t="n"/>
    </row>
    <row r="21" ht="46" customHeight="1">
      <c r="B21" s="13" t="inlineStr">
        <is>
          <t>1. Paramètres</t>
        </is>
      </c>
      <c r="C21" s="14" t="inlineStr">
        <is>
          <t>Choisissez le pays (Maroc ou France) : il décide des identifiants et des mentions légales imprimés. Choisissez la devise, saisissez la raison sociale, l'adresse, les identifiants (ICE, IF, RC, taxe professionnelle au Maroc ; SIRET, RCS, n° de TVA en France) et votre RIB. Vérifiez la liste des taux de TVA.</t>
        </is>
      </c>
    </row>
    <row r="22" ht="46" customHeight="1">
      <c r="B22" s="13" t="inlineStr">
        <is>
          <t>2. Clients</t>
        </is>
      </c>
      <c r="C22" s="14" t="inlineStr">
        <is>
          <t>Une ligne par client, avec un code court (C001...). L'ICE d'un client professionnel marocain est obligatoire sur la facture : la colonne Contrôle le signale s'il manque ou s'il n'a pas 15 chiffres. Laissez le délai de paiement vide pour appliquer le délai par défaut.</t>
        </is>
      </c>
    </row>
    <row r="23" ht="32" customHeight="1">
      <c r="B23" s="13" t="inlineStr">
        <is>
          <t>3. Produits et services</t>
        </is>
      </c>
      <c r="C23" s="14" t="inlineStr">
        <is>
          <t>Une ligne par article ou prestation : code, désignation, unité, prix unitaire HT et taux de TVA. Le prix et le taux se recopient dans les lignes de devis et de facture, et restent modifiables ligne par ligne.</t>
        </is>
      </c>
    </row>
    <row r="24" ht="46" customHeight="1">
      <c r="B24" s="13" t="inlineStr">
        <is>
          <t>4. Devis</t>
        </is>
      </c>
      <c r="C24" s="14" t="inlineStr">
        <is>
          <t>Saisissez la date et le client dans « Devis » : le numéro apparaît (DV-2026-0001...). Ajoutez ensuite les lignes dans « Lignes de devis » en choisissant ce numéro. Imprimez avec « Imprimer devis ». Passez le statut à Accepté ou Refusé quand le client répond.</t>
        </is>
      </c>
    </row>
    <row r="25" ht="46" customHeight="1">
      <c r="B25" s="13" t="inlineStr">
        <is>
          <t>5. Factures</t>
        </is>
      </c>
      <c r="C25" s="14" t="inlineStr">
        <is>
          <t>Dans « Factures », saisissez la date et le client. Pour transformer un devis, indiquez son numéro dans « Devis d'origine » et ne saisissez aucune ligne : la facture reprend toutes les lignes du devis. Pour une facture partielle ou sans devis, saisissez ses lignes dans « Lignes de factures ».</t>
        </is>
      </c>
    </row>
    <row r="26" ht="32" customHeight="1">
      <c r="B26" s="13" t="inlineStr">
        <is>
          <t>6. Paiements et relances</t>
        </is>
      </c>
      <c r="C26" s="14" t="inlineStr">
        <is>
          <t>Chaque encaissement va dans « Paiements », même partiel. Le reste dû, l'état (soldée, partielle, en retard) et la tranche de retard se calculent. « Suivi des impayés » dit qui relancer et comment.</t>
        </is>
      </c>
    </row>
    <row r="28" ht="22" customHeight="1">
      <c r="B28" s="5" t="inlineStr">
        <is>
          <t>Numérotation, acomptes et avoirs</t>
        </is>
      </c>
      <c r="C28" s="6" t="n"/>
      <c r="D28" s="6" t="n"/>
    </row>
    <row r="29" ht="60" customHeight="1">
      <c r="B29" s="15" t="inlineStr">
        <is>
          <t>Numéro automatique</t>
        </is>
      </c>
      <c r="C29" s="14" t="inlineStr">
        <is>
          <t>Préfixe + année + compteur sur 4 chiffres (FA-2026-0001). Le compteur repart à 1 chaque année et suit l'ordre des lignes : saisissez les factures dans l'ordre chronologique. Ne supprimez jamais une ligne de facture et n'en insérez pas au milieu : les numéros suivants changeraient. Une facture émise par erreur s'annule par un avoir.</t>
        </is>
      </c>
    </row>
    <row r="30" ht="32" customHeight="1">
      <c r="B30" s="15" t="inlineStr">
        <is>
          <t>Facture d'acompte</t>
        </is>
      </c>
      <c r="C30" s="14" t="inlineStr">
        <is>
          <t>Type « Facture d'acompte », avec une ligne du montant HT de l'acompte (par exemple 30 % du devis) et son taux de TVA. Par défaut, elle partage le compteur des factures (même préfixe).</t>
        </is>
      </c>
    </row>
    <row r="31" ht="46" customHeight="1">
      <c r="B31" s="15" t="inlineStr">
        <is>
          <t>Facture de solde</t>
        </is>
      </c>
      <c r="C31" s="14" t="inlineStr">
        <is>
          <t>Sur la facture finale, indiquez le n° de la facture d'acompte dans « Acompte à déduire ». Le fichier retire son HT et sa TVA, taux par taux : la TVA n'est facturée qu'une fois et le client ne paie que le solde.</t>
        </is>
      </c>
    </row>
    <row r="32" ht="46" customHeight="1">
      <c r="B32" s="15" t="inlineStr">
        <is>
          <t>Avoir</t>
        </is>
      </c>
      <c r="C32" s="14" t="inlineStr">
        <is>
          <t>Type « Avoir », avec la facture corrigée dans « Avoir sur facture » et les lignes remboursées dans « Lignes de factures » (quantités positives). L'avoir a son propre compteur (AV) et réduit le reste dû de la facture d'origine.</t>
        </is>
      </c>
    </row>
    <row r="34" ht="22" customHeight="1">
      <c r="B34" s="5" t="inlineStr">
        <is>
          <t>Couleurs et contrôles</t>
        </is>
      </c>
      <c r="C34" s="6" t="n"/>
      <c r="D34" s="6" t="n"/>
    </row>
    <row r="35" ht="18" customHeight="1">
      <c r="B35" s="15" t="inlineStr">
        <is>
          <t>Cellules blanches</t>
        </is>
      </c>
      <c r="C35" s="14" t="inlineStr">
        <is>
          <t>À remplir par vous.</t>
        </is>
      </c>
    </row>
    <row r="36" ht="18" customHeight="1">
      <c r="B36" s="15" t="inlineStr">
        <is>
          <t>Cellules grises</t>
        </is>
      </c>
      <c r="C36" s="14" t="inlineStr">
        <is>
          <t>Calculées par une formule. Ne tapez pas dedans.</t>
        </is>
      </c>
    </row>
    <row r="37" ht="46" customHeight="1">
      <c r="B37" s="15" t="inlineStr">
        <is>
          <t>Colonne Contrôle</t>
        </is>
      </c>
      <c r="C37" s="14" t="inlineStr">
        <is>
          <t>Chaque ligne de chaque feuille est vérifiée : client ou article inconnu, ICE incomplet, quantité invalide, taux de TVA hors liste, date hors ordre, acompte déjà déduit, paiement supérieur à la facture... Une ligne correcte affiche OK. Le tableau de bord compte les lignes à corriger.</t>
        </is>
      </c>
    </row>
    <row r="38" ht="32" customHeight="1">
      <c r="B38" s="15" t="inlineStr">
        <is>
          <t>Date d'analyse</t>
        </is>
      </c>
      <c r="C38" s="14" t="inlineStr">
        <is>
          <t>Les retards et l'expiration des devis se calculent à la date d'analyse des Paramètres. Laissez-la vide pour utiliser la date du jour.</t>
        </is>
      </c>
    </row>
    <row r="40" ht="22" customHeight="1">
      <c r="B40" s="5" t="inlineStr">
        <is>
          <t>Mentions légales</t>
        </is>
      </c>
      <c r="C40" s="6" t="n"/>
      <c r="D40" s="6" t="n"/>
    </row>
    <row r="41" ht="60" customHeight="1">
      <c r="B41" s="15" t="inlineStr">
        <is>
          <t>Maroc</t>
        </is>
      </c>
      <c r="C41" s="14" t="inlineStr">
        <is>
          <t>La facture imprime l'ICE de l'entreprise et du client, l'IF, le RC et sa ville, la taxe professionnelle, le numéro de série continue, les dates, les quantités, les prix, les remises, la TVA par taux et le total TTC, les modalités de paiement (article 145 du CGI, loi 104-12). Le CNSS est facultatif. Depuis 2026, l'article 99 du CGI ne prévoit plus que deux taux, 20 % et 10 %.</t>
        </is>
      </c>
    </row>
    <row r="42" ht="60" customHeight="1">
      <c r="B42" s="15" t="inlineStr">
        <is>
          <t>France</t>
        </is>
      </c>
      <c r="C42" s="14" t="inlineStr">
        <is>
          <t>La facture imprime le SIRET, le RCS, le n° de TVA intracommunautaire, la date de livraison, l'échéance, le taux des pénalités de retard et l'indemnité forfaitaire de 40 € pour frais de recouvrement. Le SIREN du client, l'adresse de livraison et la nature des opérations, obligatoires pour les PME à partir de septembre 2027, ont leurs colonnes.</t>
        </is>
      </c>
    </row>
    <row r="43" ht="46" customHeight="1">
      <c r="B43" s="15" t="inlineStr">
        <is>
          <t>Montant en lettres</t>
        </is>
      </c>
      <c r="C43" s="14" t="inlineStr">
        <is>
          <t>« Arrêtée la présente facture à la somme de... » s'écrit en français jusqu'à 999 999 999,99, en dirhams, en euros ou en dollars. C'est un usage, pas une obligation : désactivez-le dans les Paramètres si vous n'en voulez pas.</t>
        </is>
      </c>
    </row>
    <row r="45" ht="22" customHeight="1">
      <c r="B45" s="5" t="inlineStr">
        <is>
          <t>Bonnes pratiques et limites</t>
        </is>
      </c>
      <c r="C45" s="6" t="n"/>
      <c r="D45" s="6" t="n"/>
    </row>
    <row r="46" ht="32" customHeight="1">
      <c r="B46" s="15" t="inlineStr">
        <is>
          <t>Imprimer</t>
        </is>
      </c>
      <c r="C46" s="14" t="inlineStr">
        <is>
          <t>Dans « Imprimer facture », choisissez le numéro, puis Fichier &gt; Imprimer ou Enregistrer en PDF. La zone d'impression est réglée sur une page A4. Une facture imprime 25 lignes au maximum.</t>
        </is>
      </c>
    </row>
    <row r="47" ht="32" customHeight="1">
      <c r="B47" s="15" t="inlineStr">
        <is>
          <t>Logo</t>
        </is>
      </c>
      <c r="C47" s="14" t="inlineStr">
        <is>
          <t>Insérez votre logo sur les feuilles « Imprimer facture » et « Imprimer devis » (Insertion &gt; Image), au-dessus du nom de l'entreprise.</t>
        </is>
      </c>
    </row>
    <row r="48" ht="32" customHeight="1">
      <c r="B48" s="15" t="inlineStr">
        <is>
          <t>Capacité</t>
        </is>
      </c>
      <c r="C48" s="14" t="inlineStr">
        <is>
          <t>300 clients, 500 articles, 400 devis et 2500 lignes de devis, 800 factures et 4000 lignes de factures, 1500 paiements. Au-delà, archivez l'année écoulée dans une copie du fichier.</t>
        </is>
      </c>
    </row>
    <row r="49" ht="32" customHeight="1">
      <c r="B49" s="15" t="inlineStr">
        <is>
          <t>Compatibilité</t>
        </is>
      </c>
      <c r="C49" s="14" t="inlineStr">
        <is>
          <t>Excel 2010 et suivants (Windows, Mac), Excel en ligne, LibreOffice Calc et Google Sheets. Aucune macro, aucune feuille protégée.</t>
        </is>
      </c>
    </row>
    <row r="51">
      <c r="B51" s="16" t="inlineStr">
        <is>
          <t>Saisie</t>
        </is>
      </c>
      <c r="C51" s="17" t="inlineStr">
        <is>
          <t>Calcul auto</t>
        </is>
      </c>
    </row>
  </sheetData>
  <mergeCells count="33">
    <mergeCell ref="C6:D6"/>
    <mergeCell ref="C24:D24"/>
    <mergeCell ref="C30:D30"/>
    <mergeCell ref="C15:D15"/>
    <mergeCell ref="C42:D42"/>
    <mergeCell ref="C14:D14"/>
    <mergeCell ref="C26:D26"/>
    <mergeCell ref="C35:D35"/>
    <mergeCell ref="C29:D29"/>
    <mergeCell ref="C10:D10"/>
    <mergeCell ref="C16:D16"/>
    <mergeCell ref="C47:D47"/>
    <mergeCell ref="C25:D25"/>
    <mergeCell ref="C41:D41"/>
    <mergeCell ref="C22:D22"/>
    <mergeCell ref="C9:D9"/>
    <mergeCell ref="C31:D31"/>
    <mergeCell ref="C43:D43"/>
    <mergeCell ref="C12:D12"/>
    <mergeCell ref="C46:D46"/>
    <mergeCell ref="C21:D21"/>
    <mergeCell ref="C11:D11"/>
    <mergeCell ref="C36:D36"/>
    <mergeCell ref="C48:D48"/>
    <mergeCell ref="C23:D23"/>
    <mergeCell ref="C17:D17"/>
    <mergeCell ref="C8:D8"/>
    <mergeCell ref="C32:D32"/>
    <mergeCell ref="C7:D7"/>
    <mergeCell ref="C38:D38"/>
    <mergeCell ref="C37:D37"/>
    <mergeCell ref="C13:D13"/>
    <mergeCell ref="C49:D49"/>
  </mergeCells>
  <hyperlinks>
    <hyperlink ref="B6" location="'Tableau de bord'!A1"/>
    <hyperlink ref="B7" location="'Factures'!A1"/>
    <hyperlink ref="B8" location="'Lignes de factures'!A1"/>
    <hyperlink ref="B9" location="'Paiements'!A1"/>
    <hyperlink ref="B10" location="'Suivi des impayés'!A1"/>
    <hyperlink ref="B11" location="'Devis'!A1"/>
    <hyperlink ref="B12" location="'Lignes de devis'!A1"/>
    <hyperlink ref="B13" location="'Imprimer facture'!A1"/>
    <hyperlink ref="B14" location="'Imprimer devis'!A1"/>
    <hyperlink ref="B15" location="'Clients'!A1"/>
    <hyperlink ref="B16" location="'Produits et services'!A1"/>
    <hyperlink ref="B17" location="'Paramètres'!A1"/>
    <hyperlink ref="B21" location="'Paramètres'!A1"/>
    <hyperlink ref="B22" location="'Clients'!A1"/>
    <hyperlink ref="B23" location="'Produits et services'!A1"/>
    <hyperlink ref="B24" location="'Devis'!A1"/>
    <hyperlink ref="B25" location="'Factures'!A1"/>
    <hyperlink ref="B26" location="'Suivi des impayés'!A1"/>
  </hyperlinks>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tabColor rgb="FF0F172A"/>
    <outlinePr summaryBelow="1" summaryRight="1"/>
    <pageSetUpPr fitToPage="1"/>
  </sheetPr>
  <dimension ref="A1:P62"/>
  <sheetViews>
    <sheetView showGridLines="0" tabSelected="0" zoomScale="100" workbookViewId="0">
      <selection activeCell="A1" sqref="A1"/>
    </sheetView>
  </sheetViews>
  <sheetFormatPr baseColWidth="8" defaultRowHeight="15"/>
  <cols>
    <col width="2" customWidth="1" min="1" max="1"/>
    <col width="10" customWidth="1" min="2" max="2"/>
    <col width="12.5" customWidth="1" min="3" max="3"/>
    <col width="12.5" customWidth="1" min="4" max="4"/>
    <col width="12.5"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2" customWidth="1" min="17" max="17"/>
  </cols>
  <sheetData>
    <row r="1" ht="38" customHeight="1">
      <c r="A1" s="1" t="n"/>
      <c r="B1" s="2" t="str">
        <f>"Devis et factures"&amp;IF(p_name&lt;&gt;""," : "&amp;p_name,"")</f>
        <v>Devis et factures</v>
      </c>
      <c r="C1" s="1" t="n"/>
      <c r="D1" s="1" t="n"/>
      <c r="E1" s="1" t="n"/>
      <c r="F1" s="1" t="n"/>
      <c r="G1" s="1" t="n"/>
      <c r="H1" s="1" t="n"/>
      <c r="I1" s="1" t="n"/>
      <c r="J1" s="1" t="n"/>
      <c r="K1" s="1" t="n"/>
      <c r="L1" s="1" t="n"/>
      <c r="M1" s="1" t="n"/>
      <c r="N1" s="1" t="n"/>
      <c r="O1" s="1" t="n"/>
      <c r="P1" s="18" t="inlineStr">
        <is>
          <t>⌂ Mode d'emploi</t>
        </is>
      </c>
    </row>
    <row r="2" ht="22" customHeight="1">
      <c r="A2" s="3" t="n"/>
      <c r="B2" s="4" t="inlineStr">
        <is>
          <t>Tout se calcule depuis les feuilles Devis, Factures et Paiements.</t>
        </is>
      </c>
      <c r="C2" s="3" t="n"/>
      <c r="D2" s="3" t="n"/>
      <c r="E2" s="3" t="n"/>
      <c r="F2" s="3" t="n"/>
      <c r="G2" s="3" t="n"/>
      <c r="H2" s="3" t="n"/>
      <c r="I2" s="3" t="n"/>
      <c r="J2" s="3" t="n"/>
      <c r="K2" s="3" t="n"/>
      <c r="L2" s="3" t="n"/>
      <c r="M2" s="3" t="n"/>
      <c r="N2" s="3" t="n"/>
      <c r="O2" s="3" t="n"/>
      <c r="P2" s="3" t="n"/>
    </row>
    <row r="3" ht="18" customHeight="1">
      <c r="J3" s="19" t="inlineStr">
        <is>
          <t>Année (vide = en cours)</t>
        </is>
      </c>
      <c r="M3" s="20" t="n"/>
      <c r="N3" s="19" t="inlineStr">
        <is>
          <t>Situation au</t>
        </is>
      </c>
      <c r="P3" s="21">
        <f>p_asof</f>
        <v>46331.0</v>
      </c>
    </row>
    <row r="5" ht="18" customHeight="1">
      <c r="B5" s="22" t="inlineStr">
        <is>
          <t>CA HT FACTURÉ</t>
        </is>
      </c>
      <c r="C5" s="23" t="n"/>
      <c r="D5" s="24" t="n"/>
      <c r="E5" s="25" t="inlineStr">
        <is>
          <t>ENCAISSÉ</t>
        </is>
      </c>
      <c r="F5" s="23" t="n"/>
      <c r="G5" s="24" t="n"/>
      <c r="H5" s="26" t="inlineStr">
        <is>
          <t>RESTE À ENCAISSER</t>
        </is>
      </c>
      <c r="I5" s="23" t="n"/>
      <c r="J5" s="24" t="n"/>
      <c r="K5" s="27" t="inlineStr">
        <is>
          <t>DONT EN RETARD</t>
        </is>
      </c>
      <c r="L5" s="23" t="n"/>
      <c r="M5" s="24" t="n"/>
      <c r="N5" s="28" t="inlineStr">
        <is>
          <t>DEVIS TRANSFORMÉS</t>
        </is>
      </c>
      <c r="O5" s="23" t="n"/>
      <c r="P5" s="24" t="n"/>
    </row>
    <row r="6" ht="32" customHeight="1">
      <c r="B6" s="29">
        <f>SUMIFS(fa_ht,fa_year,db_year)</f>
        <v>0.0</v>
      </c>
      <c r="C6" s="30" t="n"/>
      <c r="D6" s="31" t="n"/>
      <c r="E6" s="32">
        <f>SUMIFS(pa_amt,pa_date,"&gt;="&amp;DATE(db_year,1,1),pa_date,"&lt;"&amp;DATE(db_year+1,1,1))</f>
        <v>0.0</v>
      </c>
      <c r="F6" s="30" t="n"/>
      <c r="G6" s="31" t="n"/>
      <c r="H6" s="33">
        <f>SUMIF(fa_reste,"&gt;0")</f>
        <v>0.0</v>
      </c>
      <c r="I6" s="30" t="n"/>
      <c r="J6" s="31" t="n"/>
      <c r="K6" s="34">
        <f>SUMIFS(fa_reste,fa_etat,"En retard")</f>
        <v>0.0</v>
      </c>
      <c r="L6" s="30" t="n"/>
      <c r="M6" s="31" t="n"/>
      <c r="N6" s="35">
        <f>IF(COUNTIFS(dv_year,db_year,dv_etat,"&lt;&gt;Annulé")=0,0,(COUNTIFS(dv_year,db_year,dv_etat,"Accepté")+COUNTIFS(dv_year,db_year,dv_etat,"Facturé"))/COUNTIFS(dv_year,db_year,dv_etat,"&lt;&gt;Annulé"))</f>
        <v>0.0</v>
      </c>
      <c r="O6" s="30" t="n"/>
      <c r="P6" s="31" t="n"/>
    </row>
    <row r="7" ht="16" customHeight="1">
      <c r="B7" s="36" t="str">
        <f>"Année "&amp;db_year&amp;", avoirs déduits"</f>
        <v>Année 2026, avoirs déduits</v>
      </c>
      <c r="C7" s="9" t="n"/>
      <c r="D7" s="37" t="n"/>
      <c r="E7" s="38" t="str">
        <f>"Paiements reçus en "&amp;db_year</f>
        <v>Paiements reçus en 2026</v>
      </c>
      <c r="F7" s="9" t="n"/>
      <c r="G7" s="37" t="n"/>
      <c r="H7" s="39" t="str">
        <f>COUNTIF(fa_reste,"&gt;0")&amp;" facture(s) non soldée(s)"</f>
        <v>0 facture(s) non soldée(s)</v>
      </c>
      <c r="I7" s="9" t="n"/>
      <c r="J7" s="37" t="n"/>
      <c r="K7" s="40" t="str">
        <f>COUNTIF(fa_etat,"En retard")&amp;" facture(s) échue(s)"</f>
        <v>0 facture(s) échue(s)</v>
      </c>
      <c r="L7" s="9" t="n"/>
      <c r="M7" s="37" t="n"/>
      <c r="N7" s="41" t="str">
        <f>(COUNTIFS(dv_year,db_year,dv_etat,"Accepté")+COUNTIFS(dv_year,db_year,dv_etat,"Facturé"))&amp;" sur "&amp;COUNTIFS(dv_year,db_year,dv_etat,"&lt;&gt;Annulé")&amp;" devis de l'année"</f>
        <v>0 sur 0 devis de l'année</v>
      </c>
      <c r="O7" s="9" t="n"/>
      <c r="P7" s="37" t="n"/>
    </row>
    <row r="9">
      <c r="B9" s="42" t="str">
        <f>IF(((COUNTIF(fa_check,"?*")-COUNTIF(fa_check,"OK"))+(COUNTIF(fl_check,"?*")-COUNTIF(fl_check,"OK"))+(COUNTIF(dv_check,"?*")-COUNTIF(dv_check,"OK"))+(COUNTIF(dl_check,"?*")-COUNTIF(dl_check,"OK"))+(COUNTIF(pa_check,"?*")-COUNTIF(pa_check,"OK"))+(COUNTIF(cli_check,"?*")-COUNTIF(cli_check,"OK"))+(COUNTIF(pr_check,"?*")-COUNTIF(pr_check,"OK")))+IF(p_check="OK",0,1)&gt;0,((COUNTIF(fa_check,"?*")-COUNTIF(fa_check,"OK"))+(COUNTIF(fl_check,"?*")-COUNTIF(fl_check,"OK"))+(COUNTIF(dv_check,"?*")-COUNTIF(dv_check,"OK"))+(COUNTIF(dl_check,"?*")-COUNTIF(dl_check,"OK"))+(COUNTIF(pa_check,"?*")-COUNTIF(pa_check,"OK"))+(COUNTIF(cli_check,"?*")-COUNTIF(cli_check,"OK"))+(COUNTIF(pr_check,"?*")-COUNTIF(pr_check,"OK")))+IF(p_check="OK",0,1)&amp;" ligne(s) signalée(s) dans les colonnes Contrôle (Paramètres compris) : filtrez-les pour les corriger.","Toutes les lignes saisies sont valides.")</f>
        <v>1 ligne(s) signalée(s) dans les colonnes Contrôle (Paramètres compris) : filtrez-les pour les corriger.</v>
      </c>
    </row>
    <row r="11" ht="22" customHeight="1">
      <c r="B11" s="5" t="inlineStr">
        <is>
          <t>Mois par mois</t>
        </is>
      </c>
      <c r="C11" s="6" t="n"/>
      <c r="D11" s="6" t="n"/>
      <c r="E11" s="6" t="n"/>
      <c r="F11" s="6" t="n"/>
    </row>
    <row r="12" ht="20" customHeight="1">
      <c r="B12" s="43" t="inlineStr">
        <is>
          <t>Mois</t>
        </is>
      </c>
      <c r="C12" s="43" t="inlineStr">
        <is>
          <t>CA HT</t>
        </is>
      </c>
      <c r="D12" s="43" t="inlineStr">
        <is>
          <t>Encaissé</t>
        </is>
      </c>
      <c r="E12" s="43" t="inlineStr">
        <is>
          <t>Devis émis HT</t>
        </is>
      </c>
    </row>
    <row r="13">
      <c r="B13" s="44" t="inlineStr">
        <is>
          <t>janv.</t>
        </is>
      </c>
      <c r="C13" s="45">
        <f>SUMIFS(fa_ht,fa_date,"&gt;="&amp;DATE(db_year,1,1),fa_date,"&lt;"&amp;DATE(db_year,2,1))</f>
        <v>0.0</v>
      </c>
      <c r="D13" s="45">
        <f>SUMIFS(pa_amt,pa_date,"&gt;="&amp;DATE(db_year,1,1),pa_date,"&lt;"&amp;DATE(db_year,2,1))</f>
        <v>0.0</v>
      </c>
      <c r="E13" s="45">
        <f>SUMIFS(dv_ht,dv_date,"&gt;="&amp;DATE(db_year,1,1),dv_date,"&lt;"&amp;DATE(db_year,2,1),dv_etat,"&lt;&gt;Annulé")</f>
        <v>0.0</v>
      </c>
    </row>
    <row r="14">
      <c r="B14" s="44" t="inlineStr">
        <is>
          <t>févr.</t>
        </is>
      </c>
      <c r="C14" s="45">
        <f>SUMIFS(fa_ht,fa_date,"&gt;="&amp;DATE(db_year,2,1),fa_date,"&lt;"&amp;DATE(db_year,3,1))</f>
        <v>0.0</v>
      </c>
      <c r="D14" s="45">
        <f>SUMIFS(pa_amt,pa_date,"&gt;="&amp;DATE(db_year,2,1),pa_date,"&lt;"&amp;DATE(db_year,3,1))</f>
        <v>0.0</v>
      </c>
      <c r="E14" s="45">
        <f>SUMIFS(dv_ht,dv_date,"&gt;="&amp;DATE(db_year,2,1),dv_date,"&lt;"&amp;DATE(db_year,3,1),dv_etat,"&lt;&gt;Annulé")</f>
        <v>0.0</v>
      </c>
    </row>
    <row r="15">
      <c r="B15" s="44" t="inlineStr">
        <is>
          <t>mars</t>
        </is>
      </c>
      <c r="C15" s="45">
        <f>SUMIFS(fa_ht,fa_date,"&gt;="&amp;DATE(db_year,3,1),fa_date,"&lt;"&amp;DATE(db_year,4,1))</f>
        <v>0.0</v>
      </c>
      <c r="D15" s="45">
        <f>SUMIFS(pa_amt,pa_date,"&gt;="&amp;DATE(db_year,3,1),pa_date,"&lt;"&amp;DATE(db_year,4,1))</f>
        <v>0.0</v>
      </c>
      <c r="E15" s="45">
        <f>SUMIFS(dv_ht,dv_date,"&gt;="&amp;DATE(db_year,3,1),dv_date,"&lt;"&amp;DATE(db_year,4,1),dv_etat,"&lt;&gt;Annulé")</f>
        <v>0.0</v>
      </c>
    </row>
    <row r="16">
      <c r="B16" s="44" t="inlineStr">
        <is>
          <t>avr.</t>
        </is>
      </c>
      <c r="C16" s="45">
        <f>SUMIFS(fa_ht,fa_date,"&gt;="&amp;DATE(db_year,4,1),fa_date,"&lt;"&amp;DATE(db_year,5,1))</f>
        <v>0.0</v>
      </c>
      <c r="D16" s="45">
        <f>SUMIFS(pa_amt,pa_date,"&gt;="&amp;DATE(db_year,4,1),pa_date,"&lt;"&amp;DATE(db_year,5,1))</f>
        <v>0.0</v>
      </c>
      <c r="E16" s="45">
        <f>SUMIFS(dv_ht,dv_date,"&gt;="&amp;DATE(db_year,4,1),dv_date,"&lt;"&amp;DATE(db_year,5,1),dv_etat,"&lt;&gt;Annulé")</f>
        <v>0.0</v>
      </c>
    </row>
    <row r="17">
      <c r="B17" s="44" t="inlineStr">
        <is>
          <t>mai</t>
        </is>
      </c>
      <c r="C17" s="45">
        <f>SUMIFS(fa_ht,fa_date,"&gt;="&amp;DATE(db_year,5,1),fa_date,"&lt;"&amp;DATE(db_year,6,1))</f>
        <v>0.0</v>
      </c>
      <c r="D17" s="45">
        <f>SUMIFS(pa_amt,pa_date,"&gt;="&amp;DATE(db_year,5,1),pa_date,"&lt;"&amp;DATE(db_year,6,1))</f>
        <v>0.0</v>
      </c>
      <c r="E17" s="45">
        <f>SUMIFS(dv_ht,dv_date,"&gt;="&amp;DATE(db_year,5,1),dv_date,"&lt;"&amp;DATE(db_year,6,1),dv_etat,"&lt;&gt;Annulé")</f>
        <v>0.0</v>
      </c>
    </row>
    <row r="18">
      <c r="B18" s="44" t="inlineStr">
        <is>
          <t>juin</t>
        </is>
      </c>
      <c r="C18" s="45">
        <f>SUMIFS(fa_ht,fa_date,"&gt;="&amp;DATE(db_year,6,1),fa_date,"&lt;"&amp;DATE(db_year,7,1))</f>
        <v>0.0</v>
      </c>
      <c r="D18" s="45">
        <f>SUMIFS(pa_amt,pa_date,"&gt;="&amp;DATE(db_year,6,1),pa_date,"&lt;"&amp;DATE(db_year,7,1))</f>
        <v>0.0</v>
      </c>
      <c r="E18" s="45">
        <f>SUMIFS(dv_ht,dv_date,"&gt;="&amp;DATE(db_year,6,1),dv_date,"&lt;"&amp;DATE(db_year,7,1),dv_etat,"&lt;&gt;Annulé")</f>
        <v>0.0</v>
      </c>
    </row>
    <row r="19">
      <c r="B19" s="44" t="inlineStr">
        <is>
          <t>juil.</t>
        </is>
      </c>
      <c r="C19" s="45">
        <f>SUMIFS(fa_ht,fa_date,"&gt;="&amp;DATE(db_year,7,1),fa_date,"&lt;"&amp;DATE(db_year,8,1))</f>
        <v>0.0</v>
      </c>
      <c r="D19" s="45">
        <f>SUMIFS(pa_amt,pa_date,"&gt;="&amp;DATE(db_year,7,1),pa_date,"&lt;"&amp;DATE(db_year,8,1))</f>
        <v>0.0</v>
      </c>
      <c r="E19" s="45">
        <f>SUMIFS(dv_ht,dv_date,"&gt;="&amp;DATE(db_year,7,1),dv_date,"&lt;"&amp;DATE(db_year,8,1),dv_etat,"&lt;&gt;Annulé")</f>
        <v>0.0</v>
      </c>
    </row>
    <row r="20">
      <c r="B20" s="44" t="inlineStr">
        <is>
          <t>août</t>
        </is>
      </c>
      <c r="C20" s="45">
        <f>SUMIFS(fa_ht,fa_date,"&gt;="&amp;DATE(db_year,8,1),fa_date,"&lt;"&amp;DATE(db_year,9,1))</f>
        <v>0.0</v>
      </c>
      <c r="D20" s="45">
        <f>SUMIFS(pa_amt,pa_date,"&gt;="&amp;DATE(db_year,8,1),pa_date,"&lt;"&amp;DATE(db_year,9,1))</f>
        <v>0.0</v>
      </c>
      <c r="E20" s="45">
        <f>SUMIFS(dv_ht,dv_date,"&gt;="&amp;DATE(db_year,8,1),dv_date,"&lt;"&amp;DATE(db_year,9,1),dv_etat,"&lt;&gt;Annulé")</f>
        <v>0.0</v>
      </c>
    </row>
    <row r="21">
      <c r="B21" s="44" t="inlineStr">
        <is>
          <t>sept.</t>
        </is>
      </c>
      <c r="C21" s="45">
        <f>SUMIFS(fa_ht,fa_date,"&gt;="&amp;DATE(db_year,9,1),fa_date,"&lt;"&amp;DATE(db_year,10,1))</f>
        <v>0.0</v>
      </c>
      <c r="D21" s="45">
        <f>SUMIFS(pa_amt,pa_date,"&gt;="&amp;DATE(db_year,9,1),pa_date,"&lt;"&amp;DATE(db_year,10,1))</f>
        <v>0.0</v>
      </c>
      <c r="E21" s="45">
        <f>SUMIFS(dv_ht,dv_date,"&gt;="&amp;DATE(db_year,9,1),dv_date,"&lt;"&amp;DATE(db_year,10,1),dv_etat,"&lt;&gt;Annulé")</f>
        <v>0.0</v>
      </c>
    </row>
    <row r="22">
      <c r="B22" s="44" t="inlineStr">
        <is>
          <t>oct.</t>
        </is>
      </c>
      <c r="C22" s="45">
        <f>SUMIFS(fa_ht,fa_date,"&gt;="&amp;DATE(db_year,10,1),fa_date,"&lt;"&amp;DATE(db_year,11,1))</f>
        <v>0.0</v>
      </c>
      <c r="D22" s="45">
        <f>SUMIFS(pa_amt,pa_date,"&gt;="&amp;DATE(db_year,10,1),pa_date,"&lt;"&amp;DATE(db_year,11,1))</f>
        <v>0.0</v>
      </c>
      <c r="E22" s="45">
        <f>SUMIFS(dv_ht,dv_date,"&gt;="&amp;DATE(db_year,10,1),dv_date,"&lt;"&amp;DATE(db_year,11,1),dv_etat,"&lt;&gt;Annulé")</f>
        <v>0.0</v>
      </c>
    </row>
    <row r="23">
      <c r="B23" s="44" t="inlineStr">
        <is>
          <t>nov.</t>
        </is>
      </c>
      <c r="C23" s="45">
        <f>SUMIFS(fa_ht,fa_date,"&gt;="&amp;DATE(db_year,11,1),fa_date,"&lt;"&amp;DATE(db_year,12,1))</f>
        <v>0.0</v>
      </c>
      <c r="D23" s="45">
        <f>SUMIFS(pa_amt,pa_date,"&gt;="&amp;DATE(db_year,11,1),pa_date,"&lt;"&amp;DATE(db_year,12,1))</f>
        <v>0.0</v>
      </c>
      <c r="E23" s="45">
        <f>SUMIFS(dv_ht,dv_date,"&gt;="&amp;DATE(db_year,11,1),dv_date,"&lt;"&amp;DATE(db_year,12,1),dv_etat,"&lt;&gt;Annulé")</f>
        <v>0.0</v>
      </c>
    </row>
    <row r="24">
      <c r="B24" s="44" t="inlineStr">
        <is>
          <t>déc.</t>
        </is>
      </c>
      <c r="C24" s="45">
        <f>SUMIFS(fa_ht,fa_date,"&gt;="&amp;DATE(db_year,12,1),fa_date,"&lt;"&amp;DATE(db_year,13,1))</f>
        <v>0.0</v>
      </c>
      <c r="D24" s="45">
        <f>SUMIFS(pa_amt,pa_date,"&gt;="&amp;DATE(db_year,12,1),pa_date,"&lt;"&amp;DATE(db_year,13,1))</f>
        <v>0.0</v>
      </c>
      <c r="E24" s="45">
        <f>SUMIFS(dv_ht,dv_date,"&gt;="&amp;DATE(db_year,12,1),dv_date,"&lt;"&amp;DATE(db_year,13,1),dv_etat,"&lt;&gt;Annulé")</f>
        <v>0.0</v>
      </c>
    </row>
    <row r="25">
      <c r="B25" s="46" t="inlineStr">
        <is>
          <t>Total</t>
        </is>
      </c>
      <c r="C25" s="47">
        <f>SUM(C13:C24)</f>
        <v>0.0</v>
      </c>
      <c r="D25" s="47">
        <f>SUM(D13:D24)</f>
        <v>0.0</v>
      </c>
      <c r="E25" s="47">
        <f>SUM(E13:E24)</f>
        <v>0.0</v>
      </c>
    </row>
    <row r="28" ht="22" customHeight="1">
      <c r="B28" s="5" t="inlineStr">
        <is>
          <t>Impayés par tranche de retard</t>
        </is>
      </c>
      <c r="C28" s="6" t="n"/>
      <c r="D28" s="6" t="n"/>
      <c r="E28" s="6" t="n"/>
      <c r="F28" s="6" t="n"/>
      <c r="H28" s="5" t="inlineStr">
        <is>
          <t>Meilleurs clients de l'année (CA HT)</t>
        </is>
      </c>
      <c r="I28" s="6" t="n"/>
      <c r="J28" s="6" t="n"/>
      <c r="K28" s="6" t="n"/>
      <c r="L28" s="6" t="n"/>
      <c r="M28" s="6" t="n"/>
      <c r="N28" s="6" t="n"/>
      <c r="O28" s="6" t="n"/>
      <c r="P28" s="6" t="n"/>
    </row>
    <row r="29" ht="20" customHeight="1">
      <c r="B29" s="43" t="inlineStr">
        <is>
          <t>Tranche</t>
        </is>
      </c>
      <c r="C29" s="48" t="n"/>
      <c r="D29" s="43" t="inlineStr">
        <is>
          <t>Factures</t>
        </is>
      </c>
      <c r="E29" s="43" t="inlineStr">
        <is>
          <t>Montant</t>
        </is>
      </c>
      <c r="H29" s="43" t="inlineStr">
        <is>
          <t>Rang</t>
        </is>
      </c>
      <c r="I29" s="43" t="inlineStr">
        <is>
          <t>Client</t>
        </is>
      </c>
      <c r="J29" s="49" t="n"/>
      <c r="K29" s="48" t="n"/>
      <c r="L29" s="43" t="inlineStr">
        <is>
          <t>CA HT</t>
        </is>
      </c>
      <c r="M29" s="48" t="n"/>
    </row>
    <row r="30">
      <c r="B30" s="50" t="inlineStr">
        <is>
          <t>Non échu</t>
        </is>
      </c>
      <c r="C30" s="50" t="n"/>
      <c r="D30" s="51">
        <f>COUNTIF(fa_tranche,"Non échu")</f>
        <v>0.0</v>
      </c>
      <c r="E30" s="45">
        <f>SUMIF(fa_tranche,"Non échu",fa_reste)</f>
        <v>0.0</v>
      </c>
      <c r="H30" s="44" t="n">
        <v>1</v>
      </c>
      <c r="I30" s="52" t="str">
        <f>IFERROR(INDEX(cli_name,MATCH(1,cli_rkca,0))&amp;"","")</f>
        <v/>
      </c>
      <c r="J30" s="52" t="n"/>
      <c r="K30" s="52" t="n"/>
      <c r="L30" s="45" t="str">
        <f>IFERROR(INDEX(cli_cay,MATCH(1,cli_rkca,0))/100,"")</f>
        <v/>
      </c>
      <c r="M30" s="52" t="n"/>
    </row>
    <row r="31">
      <c r="B31" s="50" t="inlineStr">
        <is>
          <t>1-30 j</t>
        </is>
      </c>
      <c r="C31" s="50" t="n"/>
      <c r="D31" s="51">
        <f>COUNTIF(fa_tranche,"1-30 j")</f>
        <v>0.0</v>
      </c>
      <c r="E31" s="45">
        <f>SUMIF(fa_tranche,"1-30 j",fa_reste)</f>
        <v>0.0</v>
      </c>
      <c r="H31" s="44" t="n">
        <v>2</v>
      </c>
      <c r="I31" s="52" t="str">
        <f>IFERROR(INDEX(cli_name,MATCH(2,cli_rkca,0))&amp;"","")</f>
        <v/>
      </c>
      <c r="J31" s="52" t="n"/>
      <c r="K31" s="52" t="n"/>
      <c r="L31" s="45" t="str">
        <f>IFERROR(INDEX(cli_cay,MATCH(2,cli_rkca,0))/100,"")</f>
        <v/>
      </c>
      <c r="M31" s="52" t="n"/>
    </row>
    <row r="32">
      <c r="B32" s="50" t="inlineStr">
        <is>
          <t>31-60 j</t>
        </is>
      </c>
      <c r="C32" s="50" t="n"/>
      <c r="D32" s="51">
        <f>COUNTIF(fa_tranche,"31-60 j")</f>
        <v>0.0</v>
      </c>
      <c r="E32" s="45">
        <f>SUMIF(fa_tranche,"31-60 j",fa_reste)</f>
        <v>0.0</v>
      </c>
      <c r="H32" s="44" t="n">
        <v>3</v>
      </c>
      <c r="I32" s="52" t="str">
        <f>IFERROR(INDEX(cli_name,MATCH(3,cli_rkca,0))&amp;"","")</f>
        <v/>
      </c>
      <c r="J32" s="52" t="n"/>
      <c r="K32" s="52" t="n"/>
      <c r="L32" s="45" t="str">
        <f>IFERROR(INDEX(cli_cay,MATCH(3,cli_rkca,0))/100,"")</f>
        <v/>
      </c>
      <c r="M32" s="52" t="n"/>
    </row>
    <row r="33">
      <c r="B33" s="50" t="inlineStr">
        <is>
          <t>61-90 j</t>
        </is>
      </c>
      <c r="C33" s="50" t="n"/>
      <c r="D33" s="51">
        <f>COUNTIF(fa_tranche,"61-90 j")</f>
        <v>0.0</v>
      </c>
      <c r="E33" s="45">
        <f>SUMIF(fa_tranche,"61-90 j",fa_reste)</f>
        <v>0.0</v>
      </c>
      <c r="H33" s="44" t="n">
        <v>4</v>
      </c>
      <c r="I33" s="52" t="str">
        <f>IFERROR(INDEX(cli_name,MATCH(4,cli_rkca,0))&amp;"","")</f>
        <v/>
      </c>
      <c r="J33" s="52" t="n"/>
      <c r="K33" s="52" t="n"/>
      <c r="L33" s="45" t="str">
        <f>IFERROR(INDEX(cli_cay,MATCH(4,cli_rkca,0))/100,"")</f>
        <v/>
      </c>
      <c r="M33" s="52" t="n"/>
    </row>
    <row r="34">
      <c r="B34" s="50" t="inlineStr">
        <is>
          <t>Plus de 90 j</t>
        </is>
      </c>
      <c r="C34" s="50" t="n"/>
      <c r="D34" s="51">
        <f>COUNTIF(fa_tranche,"Plus de 90 j")</f>
        <v>0.0</v>
      </c>
      <c r="E34" s="45">
        <f>SUMIF(fa_tranche,"Plus de 90 j",fa_reste)</f>
        <v>0.0</v>
      </c>
      <c r="H34" s="44" t="n">
        <v>5</v>
      </c>
      <c r="I34" s="52" t="str">
        <f>IFERROR(INDEX(cli_name,MATCH(5,cli_rkca,0))&amp;"","")</f>
        <v/>
      </c>
      <c r="J34" s="52" t="n"/>
      <c r="K34" s="52" t="n"/>
      <c r="L34" s="45" t="str">
        <f>IFERROR(INDEX(cli_cay,MATCH(5,cli_rkca,0))/100,"")</f>
        <v/>
      </c>
      <c r="M34" s="52" t="n"/>
    </row>
    <row r="50" ht="22" customHeight="1">
      <c r="B50" s="5" t="inlineStr">
        <is>
          <t>Factures à relancer en priorité (les 10 plus en retard)</t>
        </is>
      </c>
      <c r="C50" s="6" t="n"/>
      <c r="D50" s="6" t="n"/>
      <c r="E50" s="6" t="n"/>
      <c r="F50" s="6" t="n"/>
      <c r="G50" s="6" t="n"/>
      <c r="H50" s="6" t="n"/>
      <c r="I50" s="6" t="n"/>
      <c r="J50" s="6" t="n"/>
      <c r="K50" s="6" t="n"/>
      <c r="L50" s="6" t="n"/>
      <c r="M50" s="6" t="n"/>
      <c r="N50" s="6" t="n"/>
      <c r="O50" s="6" t="n"/>
      <c r="P50" s="6" t="n"/>
    </row>
    <row r="51">
      <c r="B51" s="53" t="inlineStr">
        <is>
          <t>N° facture</t>
        </is>
      </c>
      <c r="C51" s="48" t="n"/>
      <c r="D51" s="53" t="inlineStr">
        <is>
          <t>Client</t>
        </is>
      </c>
      <c r="E51" s="49" t="n"/>
      <c r="F51" s="48" t="n"/>
      <c r="G51" s="53" t="inlineStr">
        <is>
          <t>Échéance</t>
        </is>
      </c>
      <c r="H51" s="53" t="inlineStr">
        <is>
          <t>Reste dû</t>
        </is>
      </c>
      <c r="I51" s="48" t="n"/>
      <c r="J51" s="53" t="inlineStr">
        <is>
          <t>Retard (j)</t>
        </is>
      </c>
      <c r="K51" s="53" t="inlineStr">
        <is>
          <t>Relance suggérée</t>
        </is>
      </c>
      <c r="L51" s="49" t="n"/>
      <c r="M51" s="49" t="n"/>
      <c r="N51" s="49" t="n"/>
      <c r="O51" s="49" t="n"/>
      <c r="P51" s="48" t="n"/>
    </row>
    <row r="52">
      <c r="B52" s="54" t="str">
        <f>'Suivi des impayés'!B32</f>
        <v/>
      </c>
      <c r="C52" s="55" t="n"/>
      <c r="D52" s="55" t="str">
        <f>'Suivi des impayés'!C32</f>
        <v/>
      </c>
      <c r="E52" s="55" t="n"/>
      <c r="F52" s="55" t="n"/>
      <c r="G52" s="56" t="str">
        <f>'Suivi des impayés'!E32</f>
        <v/>
      </c>
      <c r="H52" s="57" t="str">
        <f>'Suivi des impayés'!H32</f>
        <v/>
      </c>
      <c r="I52" s="57" t="n"/>
      <c r="J52" s="58" t="str">
        <f>'Suivi des impayés'!I32</f>
        <v/>
      </c>
      <c r="K52" s="55" t="str">
        <f>'Suivi des impayés'!L32</f>
        <v/>
      </c>
      <c r="L52" s="55" t="n"/>
      <c r="M52" s="55" t="n"/>
      <c r="N52" s="55" t="n"/>
      <c r="O52" s="55" t="n"/>
      <c r="P52" s="55" t="n"/>
    </row>
    <row r="53">
      <c r="B53" s="54" t="str">
        <f>'Suivi des impayés'!B33</f>
        <v/>
      </c>
      <c r="C53" s="55" t="n"/>
      <c r="D53" s="55" t="str">
        <f>'Suivi des impayés'!C33</f>
        <v/>
      </c>
      <c r="E53" s="55" t="n"/>
      <c r="F53" s="55" t="n"/>
      <c r="G53" s="56" t="str">
        <f>'Suivi des impayés'!E33</f>
        <v/>
      </c>
      <c r="H53" s="57" t="str">
        <f>'Suivi des impayés'!H33</f>
        <v/>
      </c>
      <c r="I53" s="57" t="n"/>
      <c r="J53" s="58" t="str">
        <f>'Suivi des impayés'!I33</f>
        <v/>
      </c>
      <c r="K53" s="55" t="str">
        <f>'Suivi des impayés'!L33</f>
        <v/>
      </c>
      <c r="L53" s="55" t="n"/>
      <c r="M53" s="55" t="n"/>
      <c r="N53" s="55" t="n"/>
      <c r="O53" s="55" t="n"/>
      <c r="P53" s="55" t="n"/>
    </row>
    <row r="54">
      <c r="B54" s="54" t="str">
        <f>'Suivi des impayés'!B34</f>
        <v/>
      </c>
      <c r="C54" s="55" t="n"/>
      <c r="D54" s="55" t="str">
        <f>'Suivi des impayés'!C34</f>
        <v/>
      </c>
      <c r="E54" s="55" t="n"/>
      <c r="F54" s="55" t="n"/>
      <c r="G54" s="56" t="str">
        <f>'Suivi des impayés'!E34</f>
        <v/>
      </c>
      <c r="H54" s="57" t="str">
        <f>'Suivi des impayés'!H34</f>
        <v/>
      </c>
      <c r="I54" s="57" t="n"/>
      <c r="J54" s="58" t="str">
        <f>'Suivi des impayés'!I34</f>
        <v/>
      </c>
      <c r="K54" s="55" t="str">
        <f>'Suivi des impayés'!L34</f>
        <v/>
      </c>
      <c r="L54" s="55" t="n"/>
      <c r="M54" s="55" t="n"/>
      <c r="N54" s="55" t="n"/>
      <c r="O54" s="55" t="n"/>
      <c r="P54" s="55" t="n"/>
    </row>
    <row r="55">
      <c r="B55" s="54" t="str">
        <f>'Suivi des impayés'!B35</f>
        <v/>
      </c>
      <c r="C55" s="55" t="n"/>
      <c r="D55" s="55" t="str">
        <f>'Suivi des impayés'!C35</f>
        <v/>
      </c>
      <c r="E55" s="55" t="n"/>
      <c r="F55" s="55" t="n"/>
      <c r="G55" s="56" t="str">
        <f>'Suivi des impayés'!E35</f>
        <v/>
      </c>
      <c r="H55" s="57" t="str">
        <f>'Suivi des impayés'!H35</f>
        <v/>
      </c>
      <c r="I55" s="57" t="n"/>
      <c r="J55" s="58" t="str">
        <f>'Suivi des impayés'!I35</f>
        <v/>
      </c>
      <c r="K55" s="55" t="str">
        <f>'Suivi des impayés'!L35</f>
        <v/>
      </c>
      <c r="L55" s="55" t="n"/>
      <c r="M55" s="55" t="n"/>
      <c r="N55" s="55" t="n"/>
      <c r="O55" s="55" t="n"/>
      <c r="P55" s="55" t="n"/>
    </row>
    <row r="56">
      <c r="B56" s="54" t="str">
        <f>'Suivi des impayés'!B36</f>
        <v/>
      </c>
      <c r="C56" s="55" t="n"/>
      <c r="D56" s="55" t="str">
        <f>'Suivi des impayés'!C36</f>
        <v/>
      </c>
      <c r="E56" s="55" t="n"/>
      <c r="F56" s="55" t="n"/>
      <c r="G56" s="56" t="str">
        <f>'Suivi des impayés'!E36</f>
        <v/>
      </c>
      <c r="H56" s="57" t="str">
        <f>'Suivi des impayés'!H36</f>
        <v/>
      </c>
      <c r="I56" s="57" t="n"/>
      <c r="J56" s="58" t="str">
        <f>'Suivi des impayés'!I36</f>
        <v/>
      </c>
      <c r="K56" s="55" t="str">
        <f>'Suivi des impayés'!L36</f>
        <v/>
      </c>
      <c r="L56" s="55" t="n"/>
      <c r="M56" s="55" t="n"/>
      <c r="N56" s="55" t="n"/>
      <c r="O56" s="55" t="n"/>
      <c r="P56" s="55" t="n"/>
    </row>
    <row r="57">
      <c r="B57" s="54" t="str">
        <f>'Suivi des impayés'!B37</f>
        <v/>
      </c>
      <c r="C57" s="55" t="n"/>
      <c r="D57" s="55" t="str">
        <f>'Suivi des impayés'!C37</f>
        <v/>
      </c>
      <c r="E57" s="55" t="n"/>
      <c r="F57" s="55" t="n"/>
      <c r="G57" s="56" t="str">
        <f>'Suivi des impayés'!E37</f>
        <v/>
      </c>
      <c r="H57" s="57" t="str">
        <f>'Suivi des impayés'!H37</f>
        <v/>
      </c>
      <c r="I57" s="57" t="n"/>
      <c r="J57" s="58" t="str">
        <f>'Suivi des impayés'!I37</f>
        <v/>
      </c>
      <c r="K57" s="55" t="str">
        <f>'Suivi des impayés'!L37</f>
        <v/>
      </c>
      <c r="L57" s="55" t="n"/>
      <c r="M57" s="55" t="n"/>
      <c r="N57" s="55" t="n"/>
      <c r="O57" s="55" t="n"/>
      <c r="P57" s="55" t="n"/>
    </row>
    <row r="58">
      <c r="B58" s="54" t="str">
        <f>'Suivi des impayés'!B38</f>
        <v/>
      </c>
      <c r="C58" s="55" t="n"/>
      <c r="D58" s="55" t="str">
        <f>'Suivi des impayés'!C38</f>
        <v/>
      </c>
      <c r="E58" s="55" t="n"/>
      <c r="F58" s="55" t="n"/>
      <c r="G58" s="56" t="str">
        <f>'Suivi des impayés'!E38</f>
        <v/>
      </c>
      <c r="H58" s="57" t="str">
        <f>'Suivi des impayés'!H38</f>
        <v/>
      </c>
      <c r="I58" s="57" t="n"/>
      <c r="J58" s="58" t="str">
        <f>'Suivi des impayés'!I38</f>
        <v/>
      </c>
      <c r="K58" s="55" t="str">
        <f>'Suivi des impayés'!L38</f>
        <v/>
      </c>
      <c r="L58" s="55" t="n"/>
      <c r="M58" s="55" t="n"/>
      <c r="N58" s="55" t="n"/>
      <c r="O58" s="55" t="n"/>
      <c r="P58" s="55" t="n"/>
    </row>
    <row r="59">
      <c r="B59" s="54" t="str">
        <f>'Suivi des impayés'!B39</f>
        <v/>
      </c>
      <c r="C59" s="55" t="n"/>
      <c r="D59" s="55" t="str">
        <f>'Suivi des impayés'!C39</f>
        <v/>
      </c>
      <c r="E59" s="55" t="n"/>
      <c r="F59" s="55" t="n"/>
      <c r="G59" s="56" t="str">
        <f>'Suivi des impayés'!E39</f>
        <v/>
      </c>
      <c r="H59" s="57" t="str">
        <f>'Suivi des impayés'!H39</f>
        <v/>
      </c>
      <c r="I59" s="57" t="n"/>
      <c r="J59" s="58" t="str">
        <f>'Suivi des impayés'!I39</f>
        <v/>
      </c>
      <c r="K59" s="55" t="str">
        <f>'Suivi des impayés'!L39</f>
        <v/>
      </c>
      <c r="L59" s="55" t="n"/>
      <c r="M59" s="55" t="n"/>
      <c r="N59" s="55" t="n"/>
      <c r="O59" s="55" t="n"/>
      <c r="P59" s="55" t="n"/>
    </row>
    <row r="60">
      <c r="B60" s="54" t="str">
        <f>'Suivi des impayés'!B40</f>
        <v/>
      </c>
      <c r="C60" s="55" t="n"/>
      <c r="D60" s="55" t="str">
        <f>'Suivi des impayés'!C40</f>
        <v/>
      </c>
      <c r="E60" s="55" t="n"/>
      <c r="F60" s="55" t="n"/>
      <c r="G60" s="56" t="str">
        <f>'Suivi des impayés'!E40</f>
        <v/>
      </c>
      <c r="H60" s="57" t="str">
        <f>'Suivi des impayés'!H40</f>
        <v/>
      </c>
      <c r="I60" s="57" t="n"/>
      <c r="J60" s="58" t="str">
        <f>'Suivi des impayés'!I40</f>
        <v/>
      </c>
      <c r="K60" s="55" t="str">
        <f>'Suivi des impayés'!L40</f>
        <v/>
      </c>
      <c r="L60" s="55" t="n"/>
      <c r="M60" s="55" t="n"/>
      <c r="N60" s="55" t="n"/>
      <c r="O60" s="55" t="n"/>
      <c r="P60" s="55" t="n"/>
    </row>
    <row r="61">
      <c r="B61" s="54" t="str">
        <f>'Suivi des impayés'!B41</f>
        <v/>
      </c>
      <c r="C61" s="55" t="n"/>
      <c r="D61" s="55" t="str">
        <f>'Suivi des impayés'!C41</f>
        <v/>
      </c>
      <c r="E61" s="55" t="n"/>
      <c r="F61" s="55" t="n"/>
      <c r="G61" s="56" t="str">
        <f>'Suivi des impayés'!E41</f>
        <v/>
      </c>
      <c r="H61" s="57" t="str">
        <f>'Suivi des impayés'!H41</f>
        <v/>
      </c>
      <c r="I61" s="57" t="n"/>
      <c r="J61" s="58" t="str">
        <f>'Suivi des impayés'!I41</f>
        <v/>
      </c>
      <c r="K61" s="55" t="str">
        <f>'Suivi des impayés'!L41</f>
        <v/>
      </c>
      <c r="L61" s="55" t="n"/>
      <c r="M61" s="55" t="n"/>
      <c r="N61" s="55" t="n"/>
      <c r="O61" s="55" t="n"/>
      <c r="P61" s="55" t="n"/>
    </row>
    <row r="62">
      <c r="B62" s="42" t="str">
        <f>IF(COUNT(fa_rank)=0,"Aucune facture à encaisser.",IF(COUNT(fa_rank)&gt;10,"Et "&amp;(COUNT(fa_rank)-10)&amp;" autre(s) facture(s) à encaisser : voir la feuille « Suivi des impayés ».",""))</f>
        <v>Aucune facture à encaisser.</v>
      </c>
    </row>
  </sheetData>
  <mergeCells count="79">
    <mergeCell ref="H53:I53"/>
    <mergeCell ref="I32:K32"/>
    <mergeCell ref="H55:I55"/>
    <mergeCell ref="B31:C31"/>
    <mergeCell ref="D53:F53"/>
    <mergeCell ref="N3:O3"/>
    <mergeCell ref="K61:P61"/>
    <mergeCell ref="B61:C61"/>
    <mergeCell ref="J3:L3"/>
    <mergeCell ref="E7:G7"/>
    <mergeCell ref="B6:D6"/>
    <mergeCell ref="H52:I52"/>
    <mergeCell ref="L29:M29"/>
    <mergeCell ref="H5:J5"/>
    <mergeCell ref="I34:K34"/>
    <mergeCell ref="L31:M31"/>
    <mergeCell ref="B55:C55"/>
    <mergeCell ref="B33:C33"/>
    <mergeCell ref="K5:M5"/>
    <mergeCell ref="B51:C51"/>
    <mergeCell ref="B32:C32"/>
    <mergeCell ref="D57:F57"/>
    <mergeCell ref="H54:I54"/>
    <mergeCell ref="H7:J7"/>
    <mergeCell ref="E6:G6"/>
    <mergeCell ref="H56:I56"/>
    <mergeCell ref="K59:P59"/>
    <mergeCell ref="K53:P53"/>
    <mergeCell ref="K7:M7"/>
    <mergeCell ref="B53:C53"/>
    <mergeCell ref="D55:F55"/>
    <mergeCell ref="L30:M30"/>
    <mergeCell ref="B5:D5"/>
    <mergeCell ref="B29:C29"/>
    <mergeCell ref="D54:F54"/>
    <mergeCell ref="D60:F60"/>
    <mergeCell ref="K51:P51"/>
    <mergeCell ref="H6:J6"/>
    <mergeCell ref="B54:C54"/>
    <mergeCell ref="L32:M32"/>
    <mergeCell ref="K56:P56"/>
    <mergeCell ref="B56:C56"/>
    <mergeCell ref="H58:I58"/>
    <mergeCell ref="K58:P58"/>
    <mergeCell ref="K52:P52"/>
    <mergeCell ref="B58:C58"/>
    <mergeCell ref="B52:C52"/>
    <mergeCell ref="H60:I60"/>
    <mergeCell ref="D58:F58"/>
    <mergeCell ref="L33:M33"/>
    <mergeCell ref="B60:C60"/>
    <mergeCell ref="B57:C57"/>
    <mergeCell ref="I29:K29"/>
    <mergeCell ref="D51:F51"/>
    <mergeCell ref="B34:C34"/>
    <mergeCell ref="I31:K31"/>
    <mergeCell ref="H57:I57"/>
    <mergeCell ref="D59:F59"/>
    <mergeCell ref="B30:C30"/>
    <mergeCell ref="K54:P54"/>
    <mergeCell ref="K55:P55"/>
    <mergeCell ref="B59:C59"/>
    <mergeCell ref="D61:F61"/>
    <mergeCell ref="N5:P5"/>
    <mergeCell ref="I33:K33"/>
    <mergeCell ref="H59:I59"/>
    <mergeCell ref="H51:I51"/>
    <mergeCell ref="D56:F56"/>
    <mergeCell ref="H61:I61"/>
    <mergeCell ref="N6:P6"/>
    <mergeCell ref="K57:P57"/>
    <mergeCell ref="K6:M6"/>
    <mergeCell ref="B7:D7"/>
    <mergeCell ref="I30:K30"/>
    <mergeCell ref="N7:P7"/>
    <mergeCell ref="L34:M34"/>
    <mergeCell ref="E5:G5"/>
    <mergeCell ref="D52:F52"/>
    <mergeCell ref="K60:P60"/>
  </mergeCells>
  <conditionalFormatting sqref="B30:C34">
    <cfRule type="expression" priority="1" dxfId="0">
      <formula>$B30="Non échu"</formula>
    </cfRule>
    <cfRule type="expression" priority="2" dxfId="1">
      <formula>$B30="1-30 j"</formula>
    </cfRule>
    <cfRule type="expression" priority="3" dxfId="2">
      <formula>$B30="31-60 j"</formula>
    </cfRule>
    <cfRule type="expression" priority="4" dxfId="3">
      <formula>$B30="61-90 j"</formula>
    </cfRule>
    <cfRule type="expression" priority="5" dxfId="4">
      <formula>$B30="Plus de 90 j"</formula>
    </cfRule>
  </conditionalFormatting>
  <conditionalFormatting sqref="J52:J61">
    <cfRule type="expression" priority="6" dxfId="4">
      <formula>N(J52)&gt;30</formula>
    </cfRule>
  </conditionalFormatting>
  <conditionalFormatting sqref="H52">
    <cfRule type="expression" priority="7" dxfId="5">
      <formula>p_currency="MAD"</formula>
    </cfRule>
    <cfRule type="expression" priority="17" dxfId="6">
      <formula>p_currency="EUR"</formula>
    </cfRule>
    <cfRule type="expression" priority="27" dxfId="7">
      <formula>p_currency="USD"</formula>
    </cfRule>
  </conditionalFormatting>
  <conditionalFormatting sqref="H53">
    <cfRule type="expression" priority="8" dxfId="5">
      <formula>p_currency="MAD"</formula>
    </cfRule>
    <cfRule type="expression" priority="18" dxfId="6">
      <formula>p_currency="EUR"</formula>
    </cfRule>
    <cfRule type="expression" priority="28" dxfId="7">
      <formula>p_currency="USD"</formula>
    </cfRule>
  </conditionalFormatting>
  <conditionalFormatting sqref="H54">
    <cfRule type="expression" priority="9" dxfId="5">
      <formula>p_currency="MAD"</formula>
    </cfRule>
    <cfRule type="expression" priority="19" dxfId="6">
      <formula>p_currency="EUR"</formula>
    </cfRule>
    <cfRule type="expression" priority="29" dxfId="7">
      <formula>p_currency="USD"</formula>
    </cfRule>
  </conditionalFormatting>
  <conditionalFormatting sqref="H55">
    <cfRule type="expression" priority="10" dxfId="5">
      <formula>p_currency="MAD"</formula>
    </cfRule>
    <cfRule type="expression" priority="20" dxfId="6">
      <formula>p_currency="EUR"</formula>
    </cfRule>
    <cfRule type="expression" priority="30" dxfId="7">
      <formula>p_currency="USD"</formula>
    </cfRule>
  </conditionalFormatting>
  <conditionalFormatting sqref="H56">
    <cfRule type="expression" priority="11" dxfId="5">
      <formula>p_currency="MAD"</formula>
    </cfRule>
    <cfRule type="expression" priority="21" dxfId="6">
      <formula>p_currency="EUR"</formula>
    </cfRule>
    <cfRule type="expression" priority="31" dxfId="7">
      <formula>p_currency="USD"</formula>
    </cfRule>
  </conditionalFormatting>
  <conditionalFormatting sqref="H57">
    <cfRule type="expression" priority="12" dxfId="5">
      <formula>p_currency="MAD"</formula>
    </cfRule>
    <cfRule type="expression" priority="22" dxfId="6">
      <formula>p_currency="EUR"</formula>
    </cfRule>
    <cfRule type="expression" priority="32" dxfId="7">
      <formula>p_currency="USD"</formula>
    </cfRule>
  </conditionalFormatting>
  <conditionalFormatting sqref="H58">
    <cfRule type="expression" priority="13" dxfId="5">
      <formula>p_currency="MAD"</formula>
    </cfRule>
    <cfRule type="expression" priority="23" dxfId="6">
      <formula>p_currency="EUR"</formula>
    </cfRule>
    <cfRule type="expression" priority="33" dxfId="7">
      <formula>p_currency="USD"</formula>
    </cfRule>
  </conditionalFormatting>
  <conditionalFormatting sqref="H59">
    <cfRule type="expression" priority="14" dxfId="5">
      <formula>p_currency="MAD"</formula>
    </cfRule>
    <cfRule type="expression" priority="24" dxfId="6">
      <formula>p_currency="EUR"</formula>
    </cfRule>
    <cfRule type="expression" priority="34" dxfId="7">
      <formula>p_currency="USD"</formula>
    </cfRule>
  </conditionalFormatting>
  <conditionalFormatting sqref="H60">
    <cfRule type="expression" priority="15" dxfId="5">
      <formula>p_currency="MAD"</formula>
    </cfRule>
    <cfRule type="expression" priority="25" dxfId="6">
      <formula>p_currency="EUR"</formula>
    </cfRule>
    <cfRule type="expression" priority="35" dxfId="7">
      <formula>p_currency="USD"</formula>
    </cfRule>
  </conditionalFormatting>
  <conditionalFormatting sqref="H61">
    <cfRule type="expression" priority="16" dxfId="5">
      <formula>p_currency="MAD"</formula>
    </cfRule>
    <cfRule type="expression" priority="26" dxfId="6">
      <formula>p_currency="EUR"</formula>
    </cfRule>
    <cfRule type="expression" priority="36" dxfId="7">
      <formula>p_currency="USD"</formula>
    </cfRule>
  </conditionalFormatting>
  <conditionalFormatting sqref="B6">
    <cfRule type="expression" priority="37" dxfId="8">
      <formula>p_currency="MAD"</formula>
    </cfRule>
    <cfRule type="expression" priority="64" dxfId="9">
      <formula>p_currency="EUR"</formula>
    </cfRule>
    <cfRule type="expression" priority="91" dxfId="10">
      <formula>p_currency="USD"</formula>
    </cfRule>
  </conditionalFormatting>
  <conditionalFormatting sqref="E6">
    <cfRule type="expression" priority="38" dxfId="8">
      <formula>p_currency="MAD"</formula>
    </cfRule>
    <cfRule type="expression" priority="65" dxfId="9">
      <formula>p_currency="EUR"</formula>
    </cfRule>
    <cfRule type="expression" priority="92" dxfId="10">
      <formula>p_currency="USD"</formula>
    </cfRule>
  </conditionalFormatting>
  <conditionalFormatting sqref="H6">
    <cfRule type="expression" priority="39" dxfId="8">
      <formula>p_currency="MAD"</formula>
    </cfRule>
    <cfRule type="expression" priority="66" dxfId="9">
      <formula>p_currency="EUR"</formula>
    </cfRule>
    <cfRule type="expression" priority="93" dxfId="10">
      <formula>p_currency="USD"</formula>
    </cfRule>
  </conditionalFormatting>
  <conditionalFormatting sqref="K6">
    <cfRule type="expression" priority="40" dxfId="8">
      <formula>p_currency="MAD"</formula>
    </cfRule>
    <cfRule type="expression" priority="67" dxfId="9">
      <formula>p_currency="EUR"</formula>
    </cfRule>
    <cfRule type="expression" priority="94" dxfId="10">
      <formula>p_currency="USD"</formula>
    </cfRule>
  </conditionalFormatting>
  <conditionalFormatting sqref="C13:E13">
    <cfRule type="expression" priority="41" dxfId="8">
      <formula>p_currency="MAD"</formula>
    </cfRule>
    <cfRule type="expression" priority="68" dxfId="9">
      <formula>p_currency="EUR"</formula>
    </cfRule>
    <cfRule type="expression" priority="95" dxfId="10">
      <formula>p_currency="USD"</formula>
    </cfRule>
  </conditionalFormatting>
  <conditionalFormatting sqref="C14:E14">
    <cfRule type="expression" priority="42" dxfId="8">
      <formula>p_currency="MAD"</formula>
    </cfRule>
    <cfRule type="expression" priority="69" dxfId="9">
      <formula>p_currency="EUR"</formula>
    </cfRule>
    <cfRule type="expression" priority="96" dxfId="10">
      <formula>p_currency="USD"</formula>
    </cfRule>
  </conditionalFormatting>
  <conditionalFormatting sqref="C15:E15">
    <cfRule type="expression" priority="43" dxfId="8">
      <formula>p_currency="MAD"</formula>
    </cfRule>
    <cfRule type="expression" priority="70" dxfId="9">
      <formula>p_currency="EUR"</formula>
    </cfRule>
    <cfRule type="expression" priority="97" dxfId="10">
      <formula>p_currency="USD"</formula>
    </cfRule>
  </conditionalFormatting>
  <conditionalFormatting sqref="C16:E16">
    <cfRule type="expression" priority="44" dxfId="8">
      <formula>p_currency="MAD"</formula>
    </cfRule>
    <cfRule type="expression" priority="71" dxfId="9">
      <formula>p_currency="EUR"</formula>
    </cfRule>
    <cfRule type="expression" priority="98" dxfId="10">
      <formula>p_currency="USD"</formula>
    </cfRule>
  </conditionalFormatting>
  <conditionalFormatting sqref="C17:E17">
    <cfRule type="expression" priority="45" dxfId="8">
      <formula>p_currency="MAD"</formula>
    </cfRule>
    <cfRule type="expression" priority="72" dxfId="9">
      <formula>p_currency="EUR"</formula>
    </cfRule>
    <cfRule type="expression" priority="99" dxfId="10">
      <formula>p_currency="USD"</formula>
    </cfRule>
  </conditionalFormatting>
  <conditionalFormatting sqref="C18:E18">
    <cfRule type="expression" priority="46" dxfId="8">
      <formula>p_currency="MAD"</formula>
    </cfRule>
    <cfRule type="expression" priority="73" dxfId="9">
      <formula>p_currency="EUR"</formula>
    </cfRule>
    <cfRule type="expression" priority="100" dxfId="10">
      <formula>p_currency="USD"</formula>
    </cfRule>
  </conditionalFormatting>
  <conditionalFormatting sqref="C19:E19">
    <cfRule type="expression" priority="47" dxfId="8">
      <formula>p_currency="MAD"</formula>
    </cfRule>
    <cfRule type="expression" priority="74" dxfId="9">
      <formula>p_currency="EUR"</formula>
    </cfRule>
    <cfRule type="expression" priority="101" dxfId="10">
      <formula>p_currency="USD"</formula>
    </cfRule>
  </conditionalFormatting>
  <conditionalFormatting sqref="C20:E20">
    <cfRule type="expression" priority="48" dxfId="8">
      <formula>p_currency="MAD"</formula>
    </cfRule>
    <cfRule type="expression" priority="75" dxfId="9">
      <formula>p_currency="EUR"</formula>
    </cfRule>
    <cfRule type="expression" priority="102" dxfId="10">
      <formula>p_currency="USD"</formula>
    </cfRule>
  </conditionalFormatting>
  <conditionalFormatting sqref="C21:E21">
    <cfRule type="expression" priority="49" dxfId="8">
      <formula>p_currency="MAD"</formula>
    </cfRule>
    <cfRule type="expression" priority="76" dxfId="9">
      <formula>p_currency="EUR"</formula>
    </cfRule>
    <cfRule type="expression" priority="103" dxfId="10">
      <formula>p_currency="USD"</formula>
    </cfRule>
  </conditionalFormatting>
  <conditionalFormatting sqref="C22:E22">
    <cfRule type="expression" priority="50" dxfId="8">
      <formula>p_currency="MAD"</formula>
    </cfRule>
    <cfRule type="expression" priority="77" dxfId="9">
      <formula>p_currency="EUR"</formula>
    </cfRule>
    <cfRule type="expression" priority="104" dxfId="10">
      <formula>p_currency="USD"</formula>
    </cfRule>
  </conditionalFormatting>
  <conditionalFormatting sqref="C23:E23">
    <cfRule type="expression" priority="51" dxfId="8">
      <formula>p_currency="MAD"</formula>
    </cfRule>
    <cfRule type="expression" priority="78" dxfId="9">
      <formula>p_currency="EUR"</formula>
    </cfRule>
    <cfRule type="expression" priority="105" dxfId="10">
      <formula>p_currency="USD"</formula>
    </cfRule>
  </conditionalFormatting>
  <conditionalFormatting sqref="C24:E24">
    <cfRule type="expression" priority="52" dxfId="8">
      <formula>p_currency="MAD"</formula>
    </cfRule>
    <cfRule type="expression" priority="79" dxfId="9">
      <formula>p_currency="EUR"</formula>
    </cfRule>
    <cfRule type="expression" priority="106" dxfId="10">
      <formula>p_currency="USD"</formula>
    </cfRule>
  </conditionalFormatting>
  <conditionalFormatting sqref="C25:E25">
    <cfRule type="expression" priority="53" dxfId="8">
      <formula>p_currency="MAD"</formula>
    </cfRule>
    <cfRule type="expression" priority="80" dxfId="9">
      <formula>p_currency="EUR"</formula>
    </cfRule>
    <cfRule type="expression" priority="107" dxfId="10">
      <formula>p_currency="USD"</formula>
    </cfRule>
  </conditionalFormatting>
  <conditionalFormatting sqref="E30">
    <cfRule type="expression" priority="54" dxfId="8">
      <formula>p_currency="MAD"</formula>
    </cfRule>
    <cfRule type="expression" priority="81" dxfId="9">
      <formula>p_currency="EUR"</formula>
    </cfRule>
    <cfRule type="expression" priority="108" dxfId="10">
      <formula>p_currency="USD"</formula>
    </cfRule>
  </conditionalFormatting>
  <conditionalFormatting sqref="E31">
    <cfRule type="expression" priority="55" dxfId="8">
      <formula>p_currency="MAD"</formula>
    </cfRule>
    <cfRule type="expression" priority="82" dxfId="9">
      <formula>p_currency="EUR"</formula>
    </cfRule>
    <cfRule type="expression" priority="109" dxfId="10">
      <formula>p_currency="USD"</formula>
    </cfRule>
  </conditionalFormatting>
  <conditionalFormatting sqref="E32">
    <cfRule type="expression" priority="56" dxfId="8">
      <formula>p_currency="MAD"</formula>
    </cfRule>
    <cfRule type="expression" priority="83" dxfId="9">
      <formula>p_currency="EUR"</formula>
    </cfRule>
    <cfRule type="expression" priority="110" dxfId="10">
      <formula>p_currency="USD"</formula>
    </cfRule>
  </conditionalFormatting>
  <conditionalFormatting sqref="E33">
    <cfRule type="expression" priority="57" dxfId="8">
      <formula>p_currency="MAD"</formula>
    </cfRule>
    <cfRule type="expression" priority="84" dxfId="9">
      <formula>p_currency="EUR"</formula>
    </cfRule>
    <cfRule type="expression" priority="111" dxfId="10">
      <formula>p_currency="USD"</formula>
    </cfRule>
  </conditionalFormatting>
  <conditionalFormatting sqref="E34">
    <cfRule type="expression" priority="58" dxfId="8">
      <formula>p_currency="MAD"</formula>
    </cfRule>
    <cfRule type="expression" priority="85" dxfId="9">
      <formula>p_currency="EUR"</formula>
    </cfRule>
    <cfRule type="expression" priority="112" dxfId="10">
      <formula>p_currency="USD"</formula>
    </cfRule>
  </conditionalFormatting>
  <conditionalFormatting sqref="L30">
    <cfRule type="expression" priority="59" dxfId="8">
      <formula>p_currency="MAD"</formula>
    </cfRule>
    <cfRule type="expression" priority="86" dxfId="9">
      <formula>p_currency="EUR"</formula>
    </cfRule>
    <cfRule type="expression" priority="113" dxfId="10">
      <formula>p_currency="USD"</formula>
    </cfRule>
  </conditionalFormatting>
  <conditionalFormatting sqref="L31">
    <cfRule type="expression" priority="60" dxfId="8">
      <formula>p_currency="MAD"</formula>
    </cfRule>
    <cfRule type="expression" priority="87" dxfId="9">
      <formula>p_currency="EUR"</formula>
    </cfRule>
    <cfRule type="expression" priority="114" dxfId="10">
      <formula>p_currency="USD"</formula>
    </cfRule>
  </conditionalFormatting>
  <conditionalFormatting sqref="L32">
    <cfRule type="expression" priority="61" dxfId="8">
      <formula>p_currency="MAD"</formula>
    </cfRule>
    <cfRule type="expression" priority="88" dxfId="9">
      <formula>p_currency="EUR"</formula>
    </cfRule>
    <cfRule type="expression" priority="115" dxfId="10">
      <formula>p_currency="USD"</formula>
    </cfRule>
  </conditionalFormatting>
  <conditionalFormatting sqref="L33">
    <cfRule type="expression" priority="62" dxfId="8">
      <formula>p_currency="MAD"</formula>
    </cfRule>
    <cfRule type="expression" priority="89" dxfId="9">
      <formula>p_currency="EUR"</formula>
    </cfRule>
    <cfRule type="expression" priority="116" dxfId="10">
      <formula>p_currency="USD"</formula>
    </cfRule>
  </conditionalFormatting>
  <conditionalFormatting sqref="L34">
    <cfRule type="expression" priority="63" dxfId="8">
      <formula>p_currency="MAD"</formula>
    </cfRule>
    <cfRule type="expression" priority="90" dxfId="9">
      <formula>p_currency="EUR"</formula>
    </cfRule>
    <cfRule type="expression" priority="117" dxfId="10">
      <formula>p_currency="USD"</formula>
    </cfRule>
  </conditionalFormatting>
  <dataValidations count="1">
    <dataValidation sqref="M3" showDropDown="0" showInputMessage="1" showErrorMessage="1" allowBlank="1" errorTitle="Année" error="Année à afficher (2026...). Vide = année de la date d'analyse." promptTitle="Année" prompt="Année à afficher (2026...). Vide = année de la date d'analyse." type="whole" operator="between">
      <formula1>2000</formula1>
      <formula2>2100</formula2>
    </dataValidation>
  </dataValidations>
  <hyperlinks>
    <hyperlink ref="P1" location="'Mode d''emploi'!A1"/>
  </hyperlinks>
  <printOptions horizontalCentered="1"/>
  <pageMargins left="0.4" right="0.4" top="0.5" bottom="0.5"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FFBE185D"/>
    <outlinePr summaryBelow="1" summaryRight="1"/>
    <pageSetUpPr fitToPage="1"/>
  </sheetPr>
  <dimension ref="A1:AU8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5" customWidth="1" min="1" max="1"/>
    <col width="15" customWidth="1" min="2" max="2"/>
    <col width="11" customWidth="1" min="3" max="3"/>
    <col width="9" customWidth="1" min="4" max="4"/>
    <col width="24" customWidth="1" min="5" max="5"/>
    <col width="15" customWidth="1" min="6" max="6"/>
    <col width="13" customWidth="1" min="7" max="7"/>
    <col width="11" customWidth="1" min="8" max="8"/>
    <col width="22" customWidth="1" min="9" max="9"/>
    <col width="13" customWidth="1" min="10" max="10"/>
    <col width="11" customWidth="1" min="11" max="11"/>
    <col width="15" customWidth="1" min="12" max="12"/>
    <col width="15" customWidth="1" min="13" max="13"/>
    <col width="13" customWidth="1" min="14" max="14"/>
    <col width="11" customWidth="1" min="15" max="15"/>
    <col width="11" customWidth="1" min="16" max="16"/>
    <col width="14" customWidth="1" min="17" max="17"/>
    <col width="13" customWidth="1" min="18" max="18"/>
    <col width="14" customWidth="1" min="19" max="19"/>
    <col width="13" customWidth="1" min="20" max="20"/>
    <col width="14" customWidth="1" min="21" max="21"/>
    <col width="12" customWidth="1" min="22" max="22"/>
    <col width="14" customWidth="1" min="23" max="23"/>
    <col width="9" customWidth="1" min="24" max="24"/>
    <col width="12" customWidth="1" min="25" max="25"/>
    <col width="32"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 hidden="1" width="13" customWidth="1" min="40" max="40"/>
    <col hidden="1" width="13" customWidth="1" min="41" max="41"/>
    <col hidden="1" width="13" customWidth="1" min="42" max="42"/>
    <col hidden="1" width="13" customWidth="1" min="43" max="43"/>
    <col hidden="1" width="13" customWidth="1" min="44" max="44"/>
    <col hidden="1" width="13" customWidth="1" min="45" max="45"/>
    <col hidden="1" width="13" customWidth="1" min="46" max="46"/>
    <col hidden="1" width="13" customWidth="1" min="47" max="47"/>
  </cols>
  <sheetData>
    <row r="1" ht="38" customHeight="1">
      <c r="A1" s="2" t="inlineStr">
        <is>
          <t>Factures</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8" t="inlineStr">
        <is>
          <t>⌂ Mode d'emploi</t>
        </is>
      </c>
    </row>
    <row r="2" ht="22" customHeight="1">
      <c r="A2" s="4" t="inlineStr">
        <is>
          <t>Une ligne par facture, facture d'acompte ou avoir, dans l'ordre chronologique. Le numéro apparaît dès que la date est saisie.</t>
        </is>
      </c>
      <c r="B2" s="3" t="n"/>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row>
    <row r="3" ht="18" customHeight="1">
      <c r="X3" s="16" t="inlineStr">
        <is>
          <t>Saisie</t>
        </is>
      </c>
      <c r="Y3" s="17" t="inlineStr">
        <is>
          <t>Calcul auto</t>
        </is>
      </c>
    </row>
    <row r="5" ht="34" customHeight="1">
      <c r="A5" s="43" t="inlineStr">
        <is>
          <t>N° facture</t>
        </is>
      </c>
      <c r="B5" s="43" t="inlineStr">
        <is>
          <t>Type</t>
        </is>
      </c>
      <c r="C5" s="43" t="inlineStr">
        <is>
          <t>Date</t>
        </is>
      </c>
      <c r="D5" s="43" t="inlineStr">
        <is>
          <t>Code client</t>
        </is>
      </c>
      <c r="E5" s="43" t="inlineStr">
        <is>
          <t>Client</t>
        </is>
      </c>
      <c r="F5" s="43" t="inlineStr">
        <is>
          <t>Devis d'origine</t>
        </is>
      </c>
      <c r="G5" s="43" t="inlineStr">
        <is>
          <t>Votre commande</t>
        </is>
      </c>
      <c r="H5" s="43" t="inlineStr">
        <is>
          <t>Date de livraison</t>
        </is>
      </c>
      <c r="I5" s="43" t="inlineStr">
        <is>
          <t>Adresse de livraison (si autre)</t>
        </is>
      </c>
      <c r="J5" s="43" t="inlineStr">
        <is>
          <t>Nature des opérations</t>
        </is>
      </c>
      <c r="K5" s="43" t="inlineStr">
        <is>
          <t>Échéance (si convenue)</t>
        </is>
      </c>
      <c r="L5" s="43" t="inlineStr">
        <is>
          <t>Acompte à déduire (n°)</t>
        </is>
      </c>
      <c r="M5" s="43" t="inlineStr">
        <is>
          <t>Avoir sur facture (n°)</t>
        </is>
      </c>
      <c r="N5" s="43" t="inlineStr">
        <is>
          <t>Mode de paiement</t>
        </is>
      </c>
      <c r="O5" s="43" t="inlineStr">
        <is>
          <t>Dernière relance</t>
        </is>
      </c>
      <c r="P5" s="43" t="inlineStr">
        <is>
          <t>Échéance</t>
        </is>
      </c>
      <c r="Q5" s="43" t="inlineStr">
        <is>
          <t>Total HT</t>
        </is>
      </c>
      <c r="R5" s="43" t="inlineStr">
        <is>
          <t>TVA</t>
        </is>
      </c>
      <c r="S5" s="43" t="inlineStr">
        <is>
          <t>Total TTC</t>
        </is>
      </c>
      <c r="T5" s="43" t="inlineStr">
        <is>
          <t>Acompte déduit (TTC)</t>
        </is>
      </c>
      <c r="U5" s="43" t="inlineStr">
        <is>
          <t>Encaissé</t>
        </is>
      </c>
      <c r="V5" s="43" t="inlineStr">
        <is>
          <t>Avoirs imputés</t>
        </is>
      </c>
      <c r="W5" s="43" t="inlineStr">
        <is>
          <t>Reste dû</t>
        </is>
      </c>
      <c r="X5" s="43" t="inlineStr">
        <is>
          <t>Retard (j)</t>
        </is>
      </c>
      <c r="Y5" s="43" t="inlineStr">
        <is>
          <t>État</t>
        </is>
      </c>
      <c r="Z5" s="43" t="inlineStr">
        <is>
          <t>Contrôle</t>
        </is>
      </c>
      <c r="AA5" s="43" t="inlineStr">
        <is>
          <t>Type</t>
        </is>
      </c>
      <c r="AB5" s="43" t="inlineStr">
        <is>
          <t>Préfixe</t>
        </is>
      </c>
      <c r="AC5" s="43" t="inlineStr">
        <is>
          <t>Date (n)</t>
        </is>
      </c>
      <c r="AD5" s="43" t="inlineStr">
        <is>
          <t>Année</t>
        </is>
      </c>
      <c r="AE5" s="43" t="inlineStr">
        <is>
          <t>Rang</t>
        </is>
      </c>
      <c r="AF5" s="43" t="inlineStr">
        <is>
          <t>Lignes</t>
        </is>
      </c>
      <c r="AG5" s="43" t="inlineStr">
        <is>
          <t>Source</t>
        </is>
      </c>
      <c r="AH5" s="43" t="inlineStr">
        <is>
          <t>Devis lié</t>
        </is>
      </c>
      <c r="AI5" s="43" t="inlineStr">
        <is>
          <t>Devis repris</t>
        </is>
      </c>
      <c r="AJ5" s="43" t="inlineStr">
        <is>
          <t>HT brut</t>
        </is>
      </c>
      <c r="AK5" s="43" t="inlineStr">
        <is>
          <t>Base 1</t>
        </is>
      </c>
      <c r="AL5" s="43" t="inlineStr">
        <is>
          <t>Base 2</t>
        </is>
      </c>
      <c r="AM5" s="43" t="inlineStr">
        <is>
          <t>Base 3</t>
        </is>
      </c>
      <c r="AN5" s="43" t="inlineStr">
        <is>
          <t>Base 4</t>
        </is>
      </c>
      <c r="AO5" s="43" t="inlineStr">
        <is>
          <t>Base 5</t>
        </is>
      </c>
      <c r="AP5" s="43" t="inlineStr">
        <is>
          <t>Base 6</t>
        </is>
      </c>
      <c r="AQ5" s="43" t="inlineStr">
        <is>
          <t>TVA brute</t>
        </is>
      </c>
      <c r="AR5" s="43" t="inlineStr">
        <is>
          <t>Acompte (ligne)</t>
        </is>
      </c>
      <c r="AS5" s="43" t="inlineStr">
        <is>
          <t>Tranche</t>
        </is>
      </c>
      <c r="AT5" s="43" t="inlineStr">
        <is>
          <t>Score</t>
        </is>
      </c>
      <c r="AU5" s="43" t="inlineStr">
        <is>
          <t>Rang dû</t>
        </is>
      </c>
    </row>
    <row r="6">
      <c r="A6" s="59" t="str">
        <f>IF(AE6="","",AB6&amp;"-"&amp;AD6&amp;"-"&amp;RIGHT("000"&amp;AE6,4))</f>
        <v/>
      </c>
      <c r="B6" s="60" t="n"/>
      <c r="C6" s="61" t="n"/>
      <c r="D6" s="60" t="n"/>
      <c r="E6" s="62" t="str">
        <f>IF(D6="","",IFERROR(INDEX(cli_name,MATCH(D6,cli_code,0))&amp;"","Client inconnu"))</f>
        <v/>
      </c>
      <c r="F6" s="60" t="n"/>
      <c r="G6" s="63" t="n"/>
      <c r="H6" s="61" t="n"/>
      <c r="I6" s="63" t="n"/>
      <c r="J6" s="60" t="n"/>
      <c r="K6" s="61" t="n"/>
      <c r="L6" s="60" t="n"/>
      <c r="M6" s="60" t="n"/>
      <c r="N6" s="60" t="n"/>
      <c r="O6" s="61" t="n"/>
      <c r="P6" s="64" t="str">
        <f>IF(A6="","",IF(AA6="Avoir",AC6,IF(ISNUMBER(K6),K6,AC6+IF(D6="",N(p_delay),IFERROR(IF(ISNUMBER(INDEX(cli_delay,MATCH(D6,cli_code,0))),INDEX(cli_delay,MATCH(D6,cli_code,0)),N(p_delay)),N(p_delay))))))</f>
        <v/>
      </c>
      <c r="Q6" s="65" t="str">
        <f>IF(A6="","",IF(AA6="Avoir",-1,1)*ROUND(AJ6-IF(AR6="",0,INDEX(fa_htb,AR6)),2))</f>
        <v/>
      </c>
      <c r="R6" s="65" t="str">
        <f>IF(A6="","",IF(AA6="Avoir",-1,1)*ROUND(AQ6-IF(AR6="",0,INDEX(fa_tvab,AR6)),2))</f>
        <v/>
      </c>
      <c r="S6" s="65" t="str">
        <f>IF(A6="","",Q6+R6)</f>
        <v/>
      </c>
      <c r="T6" s="65" t="str">
        <f>IF(AR6="","",INDEX(fa_htb,AR6)+INDEX(fa_tvab,AR6))</f>
        <v/>
      </c>
      <c r="U6" s="65" t="str">
        <f>IF(A6="","",SUMIF(pa_inv,A6,pa_amt))</f>
        <v/>
      </c>
      <c r="V6" s="65" t="str">
        <f>IF(OR(A6="",AA6="Avoir"),"",-SUMIFS(fa_ttc,fa_avof,A6,fa_type,"Avoir"))</f>
        <v/>
      </c>
      <c r="W6" s="65" t="str">
        <f>IF(OR(A6="",AA6="Avoir"),"",ROUND(S6-U6-V6,2))</f>
        <v/>
      </c>
      <c r="X6" s="66" t="str">
        <f>IF(W6="","",IF(AND(W6&gt;0,p_asof&gt;P6),p_asof-P6,""))</f>
        <v/>
      </c>
      <c r="Y6" s="59" t="str">
        <f>IF(A6="","",IF(AA6="Avoir","Avoir",IF(W6&lt;0,"Trop-perçu",IF(W6=0,"Soldée",IF(p_asof&gt;P6,"En retard",IF(U6+V6&gt;0,"Partielle","À échoir"))))))</f>
        <v/>
      </c>
      <c r="Z6" s="59" t="str">
        <f>IF(NOT(COUNTA(B6:D6,F6:O6)&gt;0),"",IF(C6="","Date manquante",IF(NOT(ISNUMBER(C6)),"Date invalide",IF(D6="","Client manquant",IF(ISNA(MATCH(D6,cli_code,0)),"Client inconnu",IF(AND(F6&lt;&gt;"",ISNA(MATCH(F6,dv_num,0))),"Devis inconnu",IF(AND(F6&lt;&gt;"",IFERROR(INDEX(dv_client,MATCH(F6,dv_num,0)),D6)&lt;&gt;D6),"Client différent de celui du devis",IF(AG6="","Aucune ligne : saisissez des lignes ou un devis",IF(AND(AI6&lt;&gt;"",COUNTIF($AI$6:AI6,AI6)&gt;1),"Devis déjà repris par une autre facture",IF(AND(AA6="Avoir",M6=""),"Avoir : indiquez la facture d'origine",IF(AND(AA6="Avoir",ISNA(MATCH(M6,fa_num,0))),"Facture d'origine inconnue",IF(AND(AA6&lt;&gt;"Avoir",M6&lt;&gt;""),"« Avoir sur facture » : réservé aux avoirs",IF(AND(L6&lt;&gt;"",AA6&lt;&gt;"Facture"),"Acompte à déduire : réservé aux factures",IF(AND(L6&lt;&gt;"",ISNA(MATCH(L6,fa_num,0))),"Facture d'acompte inconnue",IF(AND(L6&lt;&gt;"",IFERROR(INDEX(fa_type,MATCH(L6,fa_num,0)),"")&lt;&gt;"Facture d'acompte"),"Le n° à déduire n'est pas une facture d'acompte",IF(AND(L6&lt;&gt;"",COUNTIF($L$6:L6,L6)&gt;1),"Acompte déjà déduit sur une autre facture",IF(AND(L6&lt;&gt;"",IFERROR(INDEX(fa_client,MATCH(L6,fa_num,0)),D6)&lt;&gt;D6),"Acompte d'un autre client",IF(AND(AR6&lt;&gt;"",N(Q6)&lt;0),"Acompte supérieur au total de la facture",IF(IF(AG6="Facture",COUNTIFS(fl_doc,A6,fl_check,"&lt;&gt;OK"),IF(AG6="Devis",COUNTIFS(dl_doc,F6,dl_check,"&lt;&gt;OK"),0))&gt;0,"Ligne(s) à corriger",IF(AND(W6&lt;&gt;"",N(W6)&lt;0),"Trop-perçu : vérifiez paiements et avoirs","OK"))))))))))))))))))))</f>
        <v/>
      </c>
      <c r="AA6" s="62" t="str">
        <f>IF(COUNTA(B6:D6,F6:O6)&gt;0,IF(B6="","Facture",B6),"")</f>
        <v/>
      </c>
      <c r="AB6" s="62" t="str">
        <f>IF(AA6="","",IF(AA6="Avoir",p_pav,IF(AA6="Facture d'acompte",p_pac,p_pfa)))</f>
        <v/>
      </c>
      <c r="AC6" s="62">
        <f>IF(ISNUMBER(C6),C6,0)</f>
        <v>0.0</v>
      </c>
      <c r="AD6" s="62" t="str">
        <f>IF(OR(AA6="",AC6=0),"",YEAR(AC6))</f>
        <v/>
      </c>
      <c r="AE6" s="62" t="str">
        <f>IF(AD6="","",COUNTIFS($AB$6:AB6,AB6,$AD$6:AD6,AD6))</f>
        <v/>
      </c>
      <c r="AF6" s="62">
        <f>IF(A6="",0,COUNTIF(fl_doc,A6))</f>
        <v>0.0</v>
      </c>
      <c r="AG6" s="62" t="str">
        <f>IF(A6="","",IF(AF6&gt;0,"Facture",IF(AND(F6&lt;&gt;"",AA6="Facture",ISNUMBER(MATCH(F6,dv_num,0))),"Devis","")))</f>
        <v/>
      </c>
      <c r="AH6" s="62" t="str">
        <f>IF(AND(A6&lt;&gt;"",F6&lt;&gt;"",AA6&lt;&gt;"Avoir"),F6,"")</f>
        <v/>
      </c>
      <c r="AI6" s="62" t="str">
        <f>IF(AG6="Devis",F6,"")</f>
        <v/>
      </c>
      <c r="AJ6" s="62">
        <f>IF(AG6="Facture",SUMIF(fl_doc,A6,fl_ht),IF(AG6="Devis",SUMIF(dl_doc,F6,dl_ht),0))</f>
        <v>0.0</v>
      </c>
      <c r="AK6" s="62">
        <f>IF(OR(AG6="",INDEX(p_rates,1)=""),0,IF(AG6="Facture",SUMIFS(fl_ht,fl_doc,A6,fl_rate,INDEX(p_rates,1)),SUMIFS(dl_ht,dl_doc,F6,dl_rate,INDEX(p_rates,1))))</f>
        <v>0.0</v>
      </c>
      <c r="AL6" s="62">
        <f>IF(OR(AG6="",INDEX(p_rates,2)=""),0,IF(AG6="Facture",SUMIFS(fl_ht,fl_doc,A6,fl_rate,INDEX(p_rates,2)),SUMIFS(dl_ht,dl_doc,F6,dl_rate,INDEX(p_rates,2))))</f>
        <v>0.0</v>
      </c>
      <c r="AM6" s="62">
        <f>IF(OR(AG6="",INDEX(p_rates,3)=""),0,IF(AG6="Facture",SUMIFS(fl_ht,fl_doc,A6,fl_rate,INDEX(p_rates,3)),SUMIFS(dl_ht,dl_doc,F6,dl_rate,INDEX(p_rates,3))))</f>
        <v>0.0</v>
      </c>
      <c r="AN6" s="62">
        <f>IF(OR(AG6="",INDEX(p_rates,4)=""),0,IF(AG6="Facture",SUMIFS(fl_ht,fl_doc,A6,fl_rate,INDEX(p_rates,4)),SUMIFS(dl_ht,dl_doc,F6,dl_rate,INDEX(p_rates,4))))</f>
        <v>0.0</v>
      </c>
      <c r="AO6" s="62">
        <f>IF(OR(AG6="",INDEX(p_rates,5)=""),0,IF(AG6="Facture",SUMIFS(fl_ht,fl_doc,A6,fl_rate,INDEX(p_rates,5)),SUMIFS(dl_ht,dl_doc,F6,dl_rate,INDEX(p_rates,5))))</f>
        <v>0.0</v>
      </c>
      <c r="AP6" s="62">
        <f>IF(OR(AG6="",INDEX(p_rates,6)=""),0,IF(AG6="Facture",SUMIFS(fl_ht,fl_doc,A6,fl_rate,INDEX(p_rates,6)),SUMIFS(dl_ht,dl_doc,F6,dl_rate,INDEX(p_rates,6))))</f>
        <v>0.0</v>
      </c>
      <c r="AQ6" s="62">
        <f>ROUND(AK6*N(INDEX(p_rates,1)),2)+ROUND(AL6*N(INDEX(p_rates,2)),2)+ROUND(AM6*N(INDEX(p_rates,3)),2)+ROUND(AN6*N(INDEX(p_rates,4)),2)+ROUND(AO6*N(INDEX(p_rates,5)),2)+ROUND(AP6*N(INDEX(p_rates,6)),2)</f>
        <v>0.0</v>
      </c>
      <c r="AR6" s="62" t="str">
        <f>IF(OR(L6="",AA6&lt;&gt;"Facture"),"",IFERROR(IF(INDEX(fa_type,MATCH(L6,fa_num,0))="Facture d'acompte",MATCH(L6,fa_num,0),""),""))</f>
        <v/>
      </c>
      <c r="AS6" s="62" t="str">
        <f>IF(W6="","",IF(W6&lt;=0,"",IF(p_asof-P6&lt;=0,"Non échu",IF(p_asof-P6&lt;=30,"1-30 j",IF(p_asof-P6&lt;=60,"31-60 j",IF(p_asof-P6&lt;=90,"61-90 j","Plus de 90 j"))))))</f>
        <v/>
      </c>
      <c r="AT6" s="62" t="str">
        <f>IF(AS6="","",p_asof-P6)</f>
        <v/>
      </c>
      <c r="AU6" s="62" t="str">
        <f>IF(AT6="","",COUNTIF($AT$6:$AT$805,"&gt;"&amp;AT6)+COUNTIF($AT$6:AT6,AT6))</f>
        <v/>
      </c>
    </row>
    <row r="7">
      <c r="A7" s="59" t="str">
        <f>IF(AE7="","",AB7&amp;"-"&amp;AD7&amp;"-"&amp;RIGHT("000"&amp;AE7,4))</f>
        <v/>
      </c>
      <c r="B7" s="60" t="n"/>
      <c r="C7" s="61" t="n"/>
      <c r="D7" s="60" t="n"/>
      <c r="E7" s="62" t="str">
        <f>IF(D7="","",IFERROR(INDEX(cli_name,MATCH(D7,cli_code,0))&amp;"","Client inconnu"))</f>
        <v/>
      </c>
      <c r="F7" s="60" t="n"/>
      <c r="G7" s="63" t="n"/>
      <c r="H7" s="61" t="n"/>
      <c r="I7" s="63" t="n"/>
      <c r="J7" s="60" t="n"/>
      <c r="K7" s="61" t="n"/>
      <c r="L7" s="60" t="n"/>
      <c r="M7" s="60" t="n"/>
      <c r="N7" s="60" t="n"/>
      <c r="O7" s="61" t="n"/>
      <c r="P7" s="64" t="str">
        <f>IF(A7="","",IF(AA7="Avoir",AC7,IF(ISNUMBER(K7),K7,AC7+IF(D7="",N(p_delay),IFERROR(IF(ISNUMBER(INDEX(cli_delay,MATCH(D7,cli_code,0))),INDEX(cli_delay,MATCH(D7,cli_code,0)),N(p_delay)),N(p_delay))))))</f>
        <v/>
      </c>
      <c r="Q7" s="65" t="str">
        <f>IF(A7="","",IF(AA7="Avoir",-1,1)*ROUND(AJ7-IF(AR7="",0,INDEX(fa_htb,AR7)),2))</f>
        <v/>
      </c>
      <c r="R7" s="65" t="str">
        <f>IF(A7="","",IF(AA7="Avoir",-1,1)*ROUND(AQ7-IF(AR7="",0,INDEX(fa_tvab,AR7)),2))</f>
        <v/>
      </c>
      <c r="S7" s="65" t="str">
        <f>IF(A7="","",Q7+R7)</f>
        <v/>
      </c>
      <c r="T7" s="65" t="str">
        <f>IF(AR7="","",INDEX(fa_htb,AR7)+INDEX(fa_tvab,AR7))</f>
        <v/>
      </c>
      <c r="U7" s="65" t="str">
        <f>IF(A7="","",SUMIF(pa_inv,A7,pa_amt))</f>
        <v/>
      </c>
      <c r="V7" s="65" t="str">
        <f>IF(OR(A7="",AA7="Avoir"),"",-SUMIFS(fa_ttc,fa_avof,A7,fa_type,"Avoir"))</f>
        <v/>
      </c>
      <c r="W7" s="65" t="str">
        <f>IF(OR(A7="",AA7="Avoir"),"",ROUND(S7-U7-V7,2))</f>
        <v/>
      </c>
      <c r="X7" s="66" t="str">
        <f>IF(W7="","",IF(AND(W7&gt;0,p_asof&gt;P7),p_asof-P7,""))</f>
        <v/>
      </c>
      <c r="Y7" s="59" t="str">
        <f>IF(A7="","",IF(AA7="Avoir","Avoir",IF(W7&lt;0,"Trop-perçu",IF(W7=0,"Soldée",IF(p_asof&gt;P7,"En retard",IF(U7+V7&gt;0,"Partielle","À échoir"))))))</f>
        <v/>
      </c>
      <c r="Z7" s="59" t="str">
        <f>IF(NOT(COUNTA(B7:D7,F7:O7)&gt;0),"",IF(C7="","Date manquante",IF(NOT(ISNUMBER(C7)),"Date invalide",IF(D7="","Client manquant",IF(ISNA(MATCH(D7,cli_code,0)),"Client inconnu",IF(AC7&lt;SUMPRODUCT(MAX(($AB$6:AB6=AB7)*$AC$6:AC6)),"Date antérieure à la facture précédente",IF(AND(F7&lt;&gt;"",ISNA(MATCH(F7,dv_num,0))),"Devis inconnu",IF(AND(F7&lt;&gt;"",IFERROR(INDEX(dv_client,MATCH(F7,dv_num,0)),D7)&lt;&gt;D7),"Client différent de celui du devis",IF(AG7="","Aucune ligne : saisissez des lignes ou un devis",IF(AND(AI7&lt;&gt;"",COUNTIF($AI$6:AI7,AI7)&gt;1),"Devis déjà repris par une autre facture",IF(AND(AA7="Avoir",M7=""),"Avoir : indiquez la facture d'origine",IF(AND(AA7="Avoir",ISNA(MATCH(M7,fa_num,0))),"Facture d'origine inconnue",IF(AND(AA7&lt;&gt;"Avoir",M7&lt;&gt;""),"« Avoir sur facture » : réservé aux avoirs",IF(AND(L7&lt;&gt;"",AA7&lt;&gt;"Facture"),"Acompte à déduire : réservé aux factures",IF(AND(L7&lt;&gt;"",ISNA(MATCH(L7,fa_num,0))),"Facture d'acompte inconnue",IF(AND(L7&lt;&gt;"",IFERROR(INDEX(fa_type,MATCH(L7,fa_num,0)),"")&lt;&gt;"Facture d'acompte"),"Le n° à déduire n'est pas une facture d'acompte",IF(AND(L7&lt;&gt;"",COUNTIF($L$6:L7,L7)&gt;1),"Acompte déjà déduit sur une autre facture",IF(AND(L7&lt;&gt;"",IFERROR(INDEX(fa_client,MATCH(L7,fa_num,0)),D7)&lt;&gt;D7),"Acompte d'un autre client",IF(AND(AR7&lt;&gt;"",N(Q7)&lt;0),"Acompte supérieur au total de la facture",IF(IF(AG7="Facture",COUNTIFS(fl_doc,A7,fl_check,"&lt;&gt;OK"),IF(AG7="Devis",COUNTIFS(dl_doc,F7,dl_check,"&lt;&gt;OK"),0))&gt;0,"Ligne(s) à corriger",IF(AND(W7&lt;&gt;"",N(W7)&lt;0),"Trop-perçu : vérifiez paiements et avoirs","OK")))))))))))))))))))))</f>
        <v/>
      </c>
      <c r="AA7" s="62" t="str">
        <f>IF(COUNTA(B7:D7,F7:O7)&gt;0,IF(B7="","Facture",B7),"")</f>
        <v/>
      </c>
      <c r="AB7" s="62" t="str">
        <f>IF(AA7="","",IF(AA7="Avoir",p_pav,IF(AA7="Facture d'acompte",p_pac,p_pfa)))</f>
        <v/>
      </c>
      <c r="AC7" s="62">
        <f>IF(ISNUMBER(C7),C7,0)</f>
        <v>0.0</v>
      </c>
      <c r="AD7" s="62" t="str">
        <f>IF(OR(AA7="",AC7=0),"",YEAR(AC7))</f>
        <v/>
      </c>
      <c r="AE7" s="62" t="str">
        <f>IF(AD7="","",COUNTIFS($AB$6:AB7,AB7,$AD$6:AD7,AD7))</f>
        <v/>
      </c>
      <c r="AF7" s="62">
        <f>IF(A7="",0,COUNTIF(fl_doc,A7))</f>
        <v>0.0</v>
      </c>
      <c r="AG7" s="62" t="str">
        <f>IF(A7="","",IF(AF7&gt;0,"Facture",IF(AND(F7&lt;&gt;"",AA7="Facture",ISNUMBER(MATCH(F7,dv_num,0))),"Devis","")))</f>
        <v/>
      </c>
      <c r="AH7" s="62" t="str">
        <f>IF(AND(A7&lt;&gt;"",F7&lt;&gt;"",AA7&lt;&gt;"Avoir"),F7,"")</f>
        <v/>
      </c>
      <c r="AI7" s="62" t="str">
        <f>IF(AG7="Devis",F7,"")</f>
        <v/>
      </c>
      <c r="AJ7" s="62">
        <f>IF(AG7="Facture",SUMIF(fl_doc,A7,fl_ht),IF(AG7="Devis",SUMIF(dl_doc,F7,dl_ht),0))</f>
        <v>0.0</v>
      </c>
      <c r="AK7" s="62">
        <f>IF(OR(AG7="",INDEX(p_rates,1)=""),0,IF(AG7="Facture",SUMIFS(fl_ht,fl_doc,A7,fl_rate,INDEX(p_rates,1)),SUMIFS(dl_ht,dl_doc,F7,dl_rate,INDEX(p_rates,1))))</f>
        <v>0.0</v>
      </c>
      <c r="AL7" s="62">
        <f>IF(OR(AG7="",INDEX(p_rates,2)=""),0,IF(AG7="Facture",SUMIFS(fl_ht,fl_doc,A7,fl_rate,INDEX(p_rates,2)),SUMIFS(dl_ht,dl_doc,F7,dl_rate,INDEX(p_rates,2))))</f>
        <v>0.0</v>
      </c>
      <c r="AM7" s="62">
        <f>IF(OR(AG7="",INDEX(p_rates,3)=""),0,IF(AG7="Facture",SUMIFS(fl_ht,fl_doc,A7,fl_rate,INDEX(p_rates,3)),SUMIFS(dl_ht,dl_doc,F7,dl_rate,INDEX(p_rates,3))))</f>
        <v>0.0</v>
      </c>
      <c r="AN7" s="62">
        <f>IF(OR(AG7="",INDEX(p_rates,4)=""),0,IF(AG7="Facture",SUMIFS(fl_ht,fl_doc,A7,fl_rate,INDEX(p_rates,4)),SUMIFS(dl_ht,dl_doc,F7,dl_rate,INDEX(p_rates,4))))</f>
        <v>0.0</v>
      </c>
      <c r="AO7" s="62">
        <f>IF(OR(AG7="",INDEX(p_rates,5)=""),0,IF(AG7="Facture",SUMIFS(fl_ht,fl_doc,A7,fl_rate,INDEX(p_rates,5)),SUMIFS(dl_ht,dl_doc,F7,dl_rate,INDEX(p_rates,5))))</f>
        <v>0.0</v>
      </c>
      <c r="AP7" s="62">
        <f>IF(OR(AG7="",INDEX(p_rates,6)=""),0,IF(AG7="Facture",SUMIFS(fl_ht,fl_doc,A7,fl_rate,INDEX(p_rates,6)),SUMIFS(dl_ht,dl_doc,F7,dl_rate,INDEX(p_rates,6))))</f>
        <v>0.0</v>
      </c>
      <c r="AQ7" s="62">
        <f>ROUND(AK7*N(INDEX(p_rates,1)),2)+ROUND(AL7*N(INDEX(p_rates,2)),2)+ROUND(AM7*N(INDEX(p_rates,3)),2)+ROUND(AN7*N(INDEX(p_rates,4)),2)+ROUND(AO7*N(INDEX(p_rates,5)),2)+ROUND(AP7*N(INDEX(p_rates,6)),2)</f>
        <v>0.0</v>
      </c>
      <c r="AR7" s="62" t="str">
        <f>IF(OR(L7="",AA7&lt;&gt;"Facture"),"",IFERROR(IF(INDEX(fa_type,MATCH(L7,fa_num,0))="Facture d'acompte",MATCH(L7,fa_num,0),""),""))</f>
        <v/>
      </c>
      <c r="AS7" s="62" t="str">
        <f>IF(W7="","",IF(W7&lt;=0,"",IF(p_asof-P7&lt;=0,"Non échu",IF(p_asof-P7&lt;=30,"1-30 j",IF(p_asof-P7&lt;=60,"31-60 j",IF(p_asof-P7&lt;=90,"61-90 j","Plus de 90 j"))))))</f>
        <v/>
      </c>
      <c r="AT7" s="62" t="str">
        <f>IF(AS7="","",p_asof-P7)</f>
        <v/>
      </c>
      <c r="AU7" s="62" t="str">
        <f>IF(AT7="","",COUNTIF($AT$6:$AT$805,"&gt;"&amp;AT7)+COUNTIF($AT$6:AT7,AT7))</f>
        <v/>
      </c>
    </row>
    <row r="8">
      <c r="A8" s="59" t="str">
        <f>IF(AE8="","",AB8&amp;"-"&amp;AD8&amp;"-"&amp;RIGHT("000"&amp;AE8,4))</f>
        <v/>
      </c>
      <c r="B8" s="60" t="n"/>
      <c r="C8" s="61" t="n"/>
      <c r="D8" s="60" t="n"/>
      <c r="E8" s="62" t="str">
        <f>IF(D8="","",IFERROR(INDEX(cli_name,MATCH(D8,cli_code,0))&amp;"","Client inconnu"))</f>
        <v/>
      </c>
      <c r="F8" s="60" t="n"/>
      <c r="G8" s="63" t="n"/>
      <c r="H8" s="61" t="n"/>
      <c r="I8" s="63" t="n"/>
      <c r="J8" s="60" t="n"/>
      <c r="K8" s="61" t="n"/>
      <c r="L8" s="60" t="n"/>
      <c r="M8" s="60" t="n"/>
      <c r="N8" s="60" t="n"/>
      <c r="O8" s="61" t="n"/>
      <c r="P8" s="64" t="str">
        <f>IF(A8="","",IF(AA8="Avoir",AC8,IF(ISNUMBER(K8),K8,AC8+IF(D8="",N(p_delay),IFERROR(IF(ISNUMBER(INDEX(cli_delay,MATCH(D8,cli_code,0))),INDEX(cli_delay,MATCH(D8,cli_code,0)),N(p_delay)),N(p_delay))))))</f>
        <v/>
      </c>
      <c r="Q8" s="65" t="str">
        <f>IF(A8="","",IF(AA8="Avoir",-1,1)*ROUND(AJ8-IF(AR8="",0,INDEX(fa_htb,AR8)),2))</f>
        <v/>
      </c>
      <c r="R8" s="65" t="str">
        <f>IF(A8="","",IF(AA8="Avoir",-1,1)*ROUND(AQ8-IF(AR8="",0,INDEX(fa_tvab,AR8)),2))</f>
        <v/>
      </c>
      <c r="S8" s="65" t="str">
        <f>IF(A8="","",Q8+R8)</f>
        <v/>
      </c>
      <c r="T8" s="65" t="str">
        <f>IF(AR8="","",INDEX(fa_htb,AR8)+INDEX(fa_tvab,AR8))</f>
        <v/>
      </c>
      <c r="U8" s="65" t="str">
        <f>IF(A8="","",SUMIF(pa_inv,A8,pa_amt))</f>
        <v/>
      </c>
      <c r="V8" s="65" t="str">
        <f>IF(OR(A8="",AA8="Avoir"),"",-SUMIFS(fa_ttc,fa_avof,A8,fa_type,"Avoir"))</f>
        <v/>
      </c>
      <c r="W8" s="65" t="str">
        <f>IF(OR(A8="",AA8="Avoir"),"",ROUND(S8-U8-V8,2))</f>
        <v/>
      </c>
      <c r="X8" s="66" t="str">
        <f>IF(W8="","",IF(AND(W8&gt;0,p_asof&gt;P8),p_asof-P8,""))</f>
        <v/>
      </c>
      <c r="Y8" s="59" t="str">
        <f>IF(A8="","",IF(AA8="Avoir","Avoir",IF(W8&lt;0,"Trop-perçu",IF(W8=0,"Soldée",IF(p_asof&gt;P8,"En retard",IF(U8+V8&gt;0,"Partielle","À échoir"))))))</f>
        <v/>
      </c>
      <c r="Z8" s="59" t="str">
        <f>IF(NOT(COUNTA(B8:D8,F8:O8)&gt;0),"",IF(C8="","Date manquante",IF(NOT(ISNUMBER(C8)),"Date invalide",IF(D8="","Client manquant",IF(ISNA(MATCH(D8,cli_code,0)),"Client inconnu",IF(AC8&lt;SUMPRODUCT(MAX(($AB$6:AB7=AB8)*$AC$6:AC7)),"Date antérieure à la facture précédente",IF(AND(F8&lt;&gt;"",ISNA(MATCH(F8,dv_num,0))),"Devis inconnu",IF(AND(F8&lt;&gt;"",IFERROR(INDEX(dv_client,MATCH(F8,dv_num,0)),D8)&lt;&gt;D8),"Client différent de celui du devis",IF(AG8="","Aucune ligne : saisissez des lignes ou un devis",IF(AND(AI8&lt;&gt;"",COUNTIF($AI$6:AI8,AI8)&gt;1),"Devis déjà repris par une autre facture",IF(AND(AA8="Avoir",M8=""),"Avoir : indiquez la facture d'origine",IF(AND(AA8="Avoir",ISNA(MATCH(M8,fa_num,0))),"Facture d'origine inconnue",IF(AND(AA8&lt;&gt;"Avoir",M8&lt;&gt;""),"« Avoir sur facture » : réservé aux avoirs",IF(AND(L8&lt;&gt;"",AA8&lt;&gt;"Facture"),"Acompte à déduire : réservé aux factures",IF(AND(L8&lt;&gt;"",ISNA(MATCH(L8,fa_num,0))),"Facture d'acompte inconnue",IF(AND(L8&lt;&gt;"",IFERROR(INDEX(fa_type,MATCH(L8,fa_num,0)),"")&lt;&gt;"Facture d'acompte"),"Le n° à déduire n'est pas une facture d'acompte",IF(AND(L8&lt;&gt;"",COUNTIF($L$6:L8,L8)&gt;1),"Acompte déjà déduit sur une autre facture",IF(AND(L8&lt;&gt;"",IFERROR(INDEX(fa_client,MATCH(L8,fa_num,0)),D8)&lt;&gt;D8),"Acompte d'un autre client",IF(AND(AR8&lt;&gt;"",N(Q8)&lt;0),"Acompte supérieur au total de la facture",IF(IF(AG8="Facture",COUNTIFS(fl_doc,A8,fl_check,"&lt;&gt;OK"),IF(AG8="Devis",COUNTIFS(dl_doc,F8,dl_check,"&lt;&gt;OK"),0))&gt;0,"Ligne(s) à corriger",IF(AND(W8&lt;&gt;"",N(W8)&lt;0),"Trop-perçu : vérifiez paiements et avoirs","OK")))))))))))))))))))))</f>
        <v/>
      </c>
      <c r="AA8" s="62" t="str">
        <f>IF(COUNTA(B8:D8,F8:O8)&gt;0,IF(B8="","Facture",B8),"")</f>
        <v/>
      </c>
      <c r="AB8" s="62" t="str">
        <f>IF(AA8="","",IF(AA8="Avoir",p_pav,IF(AA8="Facture d'acompte",p_pac,p_pfa)))</f>
        <v/>
      </c>
      <c r="AC8" s="62">
        <f>IF(ISNUMBER(C8),C8,0)</f>
        <v>0.0</v>
      </c>
      <c r="AD8" s="62" t="str">
        <f>IF(OR(AA8="",AC8=0),"",YEAR(AC8))</f>
        <v/>
      </c>
      <c r="AE8" s="62" t="str">
        <f>IF(AD8="","",COUNTIFS($AB$6:AB8,AB8,$AD$6:AD8,AD8))</f>
        <v/>
      </c>
      <c r="AF8" s="62">
        <f>IF(A8="",0,COUNTIF(fl_doc,A8))</f>
        <v>0.0</v>
      </c>
      <c r="AG8" s="62" t="str">
        <f>IF(A8="","",IF(AF8&gt;0,"Facture",IF(AND(F8&lt;&gt;"",AA8="Facture",ISNUMBER(MATCH(F8,dv_num,0))),"Devis","")))</f>
        <v/>
      </c>
      <c r="AH8" s="62" t="str">
        <f>IF(AND(A8&lt;&gt;"",F8&lt;&gt;"",AA8&lt;&gt;"Avoir"),F8,"")</f>
        <v/>
      </c>
      <c r="AI8" s="62" t="str">
        <f>IF(AG8="Devis",F8,"")</f>
        <v/>
      </c>
      <c r="AJ8" s="62">
        <f>IF(AG8="Facture",SUMIF(fl_doc,A8,fl_ht),IF(AG8="Devis",SUMIF(dl_doc,F8,dl_ht),0))</f>
        <v>0.0</v>
      </c>
      <c r="AK8" s="62">
        <f>IF(OR(AG8="",INDEX(p_rates,1)=""),0,IF(AG8="Facture",SUMIFS(fl_ht,fl_doc,A8,fl_rate,INDEX(p_rates,1)),SUMIFS(dl_ht,dl_doc,F8,dl_rate,INDEX(p_rates,1))))</f>
        <v>0.0</v>
      </c>
      <c r="AL8" s="62">
        <f>IF(OR(AG8="",INDEX(p_rates,2)=""),0,IF(AG8="Facture",SUMIFS(fl_ht,fl_doc,A8,fl_rate,INDEX(p_rates,2)),SUMIFS(dl_ht,dl_doc,F8,dl_rate,INDEX(p_rates,2))))</f>
        <v>0.0</v>
      </c>
      <c r="AM8" s="62">
        <f>IF(OR(AG8="",INDEX(p_rates,3)=""),0,IF(AG8="Facture",SUMIFS(fl_ht,fl_doc,A8,fl_rate,INDEX(p_rates,3)),SUMIFS(dl_ht,dl_doc,F8,dl_rate,INDEX(p_rates,3))))</f>
        <v>0.0</v>
      </c>
      <c r="AN8" s="62">
        <f>IF(OR(AG8="",INDEX(p_rates,4)=""),0,IF(AG8="Facture",SUMIFS(fl_ht,fl_doc,A8,fl_rate,INDEX(p_rates,4)),SUMIFS(dl_ht,dl_doc,F8,dl_rate,INDEX(p_rates,4))))</f>
        <v>0.0</v>
      </c>
      <c r="AO8" s="62">
        <f>IF(OR(AG8="",INDEX(p_rates,5)=""),0,IF(AG8="Facture",SUMIFS(fl_ht,fl_doc,A8,fl_rate,INDEX(p_rates,5)),SUMIFS(dl_ht,dl_doc,F8,dl_rate,INDEX(p_rates,5))))</f>
        <v>0.0</v>
      </c>
      <c r="AP8" s="62">
        <f>IF(OR(AG8="",INDEX(p_rates,6)=""),0,IF(AG8="Facture",SUMIFS(fl_ht,fl_doc,A8,fl_rate,INDEX(p_rates,6)),SUMIFS(dl_ht,dl_doc,F8,dl_rate,INDEX(p_rates,6))))</f>
        <v>0.0</v>
      </c>
      <c r="AQ8" s="62">
        <f>ROUND(AK8*N(INDEX(p_rates,1)),2)+ROUND(AL8*N(INDEX(p_rates,2)),2)+ROUND(AM8*N(INDEX(p_rates,3)),2)+ROUND(AN8*N(INDEX(p_rates,4)),2)+ROUND(AO8*N(INDEX(p_rates,5)),2)+ROUND(AP8*N(INDEX(p_rates,6)),2)</f>
        <v>0.0</v>
      </c>
      <c r="AR8" s="62" t="str">
        <f>IF(OR(L8="",AA8&lt;&gt;"Facture"),"",IFERROR(IF(INDEX(fa_type,MATCH(L8,fa_num,0))="Facture d'acompte",MATCH(L8,fa_num,0),""),""))</f>
        <v/>
      </c>
      <c r="AS8" s="62" t="str">
        <f>IF(W8="","",IF(W8&lt;=0,"",IF(p_asof-P8&lt;=0,"Non échu",IF(p_asof-P8&lt;=30,"1-30 j",IF(p_asof-P8&lt;=60,"31-60 j",IF(p_asof-P8&lt;=90,"61-90 j","Plus de 90 j"))))))</f>
        <v/>
      </c>
      <c r="AT8" s="62" t="str">
        <f>IF(AS8="","",p_asof-P8)</f>
        <v/>
      </c>
      <c r="AU8" s="62" t="str">
        <f>IF(AT8="","",COUNTIF($AT$6:$AT$805,"&gt;"&amp;AT8)+COUNTIF($AT$6:AT8,AT8))</f>
        <v/>
      </c>
    </row>
    <row r="9">
      <c r="A9" s="59" t="str">
        <f>IF(AE9="","",AB9&amp;"-"&amp;AD9&amp;"-"&amp;RIGHT("000"&amp;AE9,4))</f>
        <v/>
      </c>
      <c r="B9" s="60" t="n"/>
      <c r="C9" s="61" t="n"/>
      <c r="D9" s="60" t="n"/>
      <c r="E9" s="62" t="str">
        <f>IF(D9="","",IFERROR(INDEX(cli_name,MATCH(D9,cli_code,0))&amp;"","Client inconnu"))</f>
        <v/>
      </c>
      <c r="F9" s="60" t="n"/>
      <c r="G9" s="63" t="n"/>
      <c r="H9" s="61" t="n"/>
      <c r="I9" s="63" t="n"/>
      <c r="J9" s="60" t="n"/>
      <c r="K9" s="61" t="n"/>
      <c r="L9" s="60" t="n"/>
      <c r="M9" s="60" t="n"/>
      <c r="N9" s="60" t="n"/>
      <c r="O9" s="61" t="n"/>
      <c r="P9" s="64" t="str">
        <f>IF(A9="","",IF(AA9="Avoir",AC9,IF(ISNUMBER(K9),K9,AC9+IF(D9="",N(p_delay),IFERROR(IF(ISNUMBER(INDEX(cli_delay,MATCH(D9,cli_code,0))),INDEX(cli_delay,MATCH(D9,cli_code,0)),N(p_delay)),N(p_delay))))))</f>
        <v/>
      </c>
      <c r="Q9" s="65" t="str">
        <f>IF(A9="","",IF(AA9="Avoir",-1,1)*ROUND(AJ9-IF(AR9="",0,INDEX(fa_htb,AR9)),2))</f>
        <v/>
      </c>
      <c r="R9" s="65" t="str">
        <f>IF(A9="","",IF(AA9="Avoir",-1,1)*ROUND(AQ9-IF(AR9="",0,INDEX(fa_tvab,AR9)),2))</f>
        <v/>
      </c>
      <c r="S9" s="65" t="str">
        <f>IF(A9="","",Q9+R9)</f>
        <v/>
      </c>
      <c r="T9" s="65" t="str">
        <f>IF(AR9="","",INDEX(fa_htb,AR9)+INDEX(fa_tvab,AR9))</f>
        <v/>
      </c>
      <c r="U9" s="65" t="str">
        <f>IF(A9="","",SUMIF(pa_inv,A9,pa_amt))</f>
        <v/>
      </c>
      <c r="V9" s="65" t="str">
        <f>IF(OR(A9="",AA9="Avoir"),"",-SUMIFS(fa_ttc,fa_avof,A9,fa_type,"Avoir"))</f>
        <v/>
      </c>
      <c r="W9" s="65" t="str">
        <f>IF(OR(A9="",AA9="Avoir"),"",ROUND(S9-U9-V9,2))</f>
        <v/>
      </c>
      <c r="X9" s="66" t="str">
        <f>IF(W9="","",IF(AND(W9&gt;0,p_asof&gt;P9),p_asof-P9,""))</f>
        <v/>
      </c>
      <c r="Y9" s="59" t="str">
        <f>IF(A9="","",IF(AA9="Avoir","Avoir",IF(W9&lt;0,"Trop-perçu",IF(W9=0,"Soldée",IF(p_asof&gt;P9,"En retard",IF(U9+V9&gt;0,"Partielle","À échoir"))))))</f>
        <v/>
      </c>
      <c r="Z9" s="59" t="str">
        <f>IF(NOT(COUNTA(B9:D9,F9:O9)&gt;0),"",IF(C9="","Date manquante",IF(NOT(ISNUMBER(C9)),"Date invalide",IF(D9="","Client manquant",IF(ISNA(MATCH(D9,cli_code,0)),"Client inconnu",IF(AC9&lt;SUMPRODUCT(MAX(($AB$6:AB8=AB9)*$AC$6:AC8)),"Date antérieure à la facture précédente",IF(AND(F9&lt;&gt;"",ISNA(MATCH(F9,dv_num,0))),"Devis inconnu",IF(AND(F9&lt;&gt;"",IFERROR(INDEX(dv_client,MATCH(F9,dv_num,0)),D9)&lt;&gt;D9),"Client différent de celui du devis",IF(AG9="","Aucune ligne : saisissez des lignes ou un devis",IF(AND(AI9&lt;&gt;"",COUNTIF($AI$6:AI9,AI9)&gt;1),"Devis déjà repris par une autre facture",IF(AND(AA9="Avoir",M9=""),"Avoir : indiquez la facture d'origine",IF(AND(AA9="Avoir",ISNA(MATCH(M9,fa_num,0))),"Facture d'origine inconnue",IF(AND(AA9&lt;&gt;"Avoir",M9&lt;&gt;""),"« Avoir sur facture » : réservé aux avoirs",IF(AND(L9&lt;&gt;"",AA9&lt;&gt;"Facture"),"Acompte à déduire : réservé aux factures",IF(AND(L9&lt;&gt;"",ISNA(MATCH(L9,fa_num,0))),"Facture d'acompte inconnue",IF(AND(L9&lt;&gt;"",IFERROR(INDEX(fa_type,MATCH(L9,fa_num,0)),"")&lt;&gt;"Facture d'acompte"),"Le n° à déduire n'est pas une facture d'acompte",IF(AND(L9&lt;&gt;"",COUNTIF($L$6:L9,L9)&gt;1),"Acompte déjà déduit sur une autre facture",IF(AND(L9&lt;&gt;"",IFERROR(INDEX(fa_client,MATCH(L9,fa_num,0)),D9)&lt;&gt;D9),"Acompte d'un autre client",IF(AND(AR9&lt;&gt;"",N(Q9)&lt;0),"Acompte supérieur au total de la facture",IF(IF(AG9="Facture",COUNTIFS(fl_doc,A9,fl_check,"&lt;&gt;OK"),IF(AG9="Devis",COUNTIFS(dl_doc,F9,dl_check,"&lt;&gt;OK"),0))&gt;0,"Ligne(s) à corriger",IF(AND(W9&lt;&gt;"",N(W9)&lt;0),"Trop-perçu : vérifiez paiements et avoirs","OK")))))))))))))))))))))</f>
        <v/>
      </c>
      <c r="AA9" s="62" t="str">
        <f>IF(COUNTA(B9:D9,F9:O9)&gt;0,IF(B9="","Facture",B9),"")</f>
        <v/>
      </c>
      <c r="AB9" s="62" t="str">
        <f>IF(AA9="","",IF(AA9="Avoir",p_pav,IF(AA9="Facture d'acompte",p_pac,p_pfa)))</f>
        <v/>
      </c>
      <c r="AC9" s="62">
        <f>IF(ISNUMBER(C9),C9,0)</f>
        <v>0.0</v>
      </c>
      <c r="AD9" s="62" t="str">
        <f>IF(OR(AA9="",AC9=0),"",YEAR(AC9))</f>
        <v/>
      </c>
      <c r="AE9" s="62" t="str">
        <f>IF(AD9="","",COUNTIFS($AB$6:AB9,AB9,$AD$6:AD9,AD9))</f>
        <v/>
      </c>
      <c r="AF9" s="62">
        <f>IF(A9="",0,COUNTIF(fl_doc,A9))</f>
        <v>0.0</v>
      </c>
      <c r="AG9" s="62" t="str">
        <f>IF(A9="","",IF(AF9&gt;0,"Facture",IF(AND(F9&lt;&gt;"",AA9="Facture",ISNUMBER(MATCH(F9,dv_num,0))),"Devis","")))</f>
        <v/>
      </c>
      <c r="AH9" s="62" t="str">
        <f>IF(AND(A9&lt;&gt;"",F9&lt;&gt;"",AA9&lt;&gt;"Avoir"),F9,"")</f>
        <v/>
      </c>
      <c r="AI9" s="62" t="str">
        <f>IF(AG9="Devis",F9,"")</f>
        <v/>
      </c>
      <c r="AJ9" s="62">
        <f>IF(AG9="Facture",SUMIF(fl_doc,A9,fl_ht),IF(AG9="Devis",SUMIF(dl_doc,F9,dl_ht),0))</f>
        <v>0.0</v>
      </c>
      <c r="AK9" s="62">
        <f>IF(OR(AG9="",INDEX(p_rates,1)=""),0,IF(AG9="Facture",SUMIFS(fl_ht,fl_doc,A9,fl_rate,INDEX(p_rates,1)),SUMIFS(dl_ht,dl_doc,F9,dl_rate,INDEX(p_rates,1))))</f>
        <v>0.0</v>
      </c>
      <c r="AL9" s="62">
        <f>IF(OR(AG9="",INDEX(p_rates,2)=""),0,IF(AG9="Facture",SUMIFS(fl_ht,fl_doc,A9,fl_rate,INDEX(p_rates,2)),SUMIFS(dl_ht,dl_doc,F9,dl_rate,INDEX(p_rates,2))))</f>
        <v>0.0</v>
      </c>
      <c r="AM9" s="62">
        <f>IF(OR(AG9="",INDEX(p_rates,3)=""),0,IF(AG9="Facture",SUMIFS(fl_ht,fl_doc,A9,fl_rate,INDEX(p_rates,3)),SUMIFS(dl_ht,dl_doc,F9,dl_rate,INDEX(p_rates,3))))</f>
        <v>0.0</v>
      </c>
      <c r="AN9" s="62">
        <f>IF(OR(AG9="",INDEX(p_rates,4)=""),0,IF(AG9="Facture",SUMIFS(fl_ht,fl_doc,A9,fl_rate,INDEX(p_rates,4)),SUMIFS(dl_ht,dl_doc,F9,dl_rate,INDEX(p_rates,4))))</f>
        <v>0.0</v>
      </c>
      <c r="AO9" s="62">
        <f>IF(OR(AG9="",INDEX(p_rates,5)=""),0,IF(AG9="Facture",SUMIFS(fl_ht,fl_doc,A9,fl_rate,INDEX(p_rates,5)),SUMIFS(dl_ht,dl_doc,F9,dl_rate,INDEX(p_rates,5))))</f>
        <v>0.0</v>
      </c>
      <c r="AP9" s="62">
        <f>IF(OR(AG9="",INDEX(p_rates,6)=""),0,IF(AG9="Facture",SUMIFS(fl_ht,fl_doc,A9,fl_rate,INDEX(p_rates,6)),SUMIFS(dl_ht,dl_doc,F9,dl_rate,INDEX(p_rates,6))))</f>
        <v>0.0</v>
      </c>
      <c r="AQ9" s="62">
        <f>ROUND(AK9*N(INDEX(p_rates,1)),2)+ROUND(AL9*N(INDEX(p_rates,2)),2)+ROUND(AM9*N(INDEX(p_rates,3)),2)+ROUND(AN9*N(INDEX(p_rates,4)),2)+ROUND(AO9*N(INDEX(p_rates,5)),2)+ROUND(AP9*N(INDEX(p_rates,6)),2)</f>
        <v>0.0</v>
      </c>
      <c r="AR9" s="62" t="str">
        <f>IF(OR(L9="",AA9&lt;&gt;"Facture"),"",IFERROR(IF(INDEX(fa_type,MATCH(L9,fa_num,0))="Facture d'acompte",MATCH(L9,fa_num,0),""),""))</f>
        <v/>
      </c>
      <c r="AS9" s="62" t="str">
        <f>IF(W9="","",IF(W9&lt;=0,"",IF(p_asof-P9&lt;=0,"Non échu",IF(p_asof-P9&lt;=30,"1-30 j",IF(p_asof-P9&lt;=60,"31-60 j",IF(p_asof-P9&lt;=90,"61-90 j","Plus de 90 j"))))))</f>
        <v/>
      </c>
      <c r="AT9" s="62" t="str">
        <f>IF(AS9="","",p_asof-P9)</f>
        <v/>
      </c>
      <c r="AU9" s="62" t="str">
        <f>IF(AT9="","",COUNTIF($AT$6:$AT$805,"&gt;"&amp;AT9)+COUNTIF($AT$6:AT9,AT9))</f>
        <v/>
      </c>
    </row>
    <row r="10">
      <c r="A10" s="59" t="str">
        <f>IF(AE10="","",AB10&amp;"-"&amp;AD10&amp;"-"&amp;RIGHT("000"&amp;AE10,4))</f>
        <v/>
      </c>
      <c r="B10" s="60" t="n"/>
      <c r="C10" s="61" t="n"/>
      <c r="D10" s="60" t="n"/>
      <c r="E10" s="62" t="str">
        <f>IF(D10="","",IFERROR(INDEX(cli_name,MATCH(D10,cli_code,0))&amp;"","Client inconnu"))</f>
        <v/>
      </c>
      <c r="F10" s="60" t="n"/>
      <c r="G10" s="63" t="n"/>
      <c r="H10" s="61" t="n"/>
      <c r="I10" s="63" t="n"/>
      <c r="J10" s="60" t="n"/>
      <c r="K10" s="61" t="n"/>
      <c r="L10" s="60" t="n"/>
      <c r="M10" s="60" t="n"/>
      <c r="N10" s="60" t="n"/>
      <c r="O10" s="61" t="n"/>
      <c r="P10" s="64" t="str">
        <f>IF(A10="","",IF(AA10="Avoir",AC10,IF(ISNUMBER(K10),K10,AC10+IF(D10="",N(p_delay),IFERROR(IF(ISNUMBER(INDEX(cli_delay,MATCH(D10,cli_code,0))),INDEX(cli_delay,MATCH(D10,cli_code,0)),N(p_delay)),N(p_delay))))))</f>
        <v/>
      </c>
      <c r="Q10" s="65" t="str">
        <f>IF(A10="","",IF(AA10="Avoir",-1,1)*ROUND(AJ10-IF(AR10="",0,INDEX(fa_htb,AR10)),2))</f>
        <v/>
      </c>
      <c r="R10" s="65" t="str">
        <f>IF(A10="","",IF(AA10="Avoir",-1,1)*ROUND(AQ10-IF(AR10="",0,INDEX(fa_tvab,AR10)),2))</f>
        <v/>
      </c>
      <c r="S10" s="65" t="str">
        <f>IF(A10="","",Q10+R10)</f>
        <v/>
      </c>
      <c r="T10" s="65" t="str">
        <f>IF(AR10="","",INDEX(fa_htb,AR10)+INDEX(fa_tvab,AR10))</f>
        <v/>
      </c>
      <c r="U10" s="65" t="str">
        <f>IF(A10="","",SUMIF(pa_inv,A10,pa_amt))</f>
        <v/>
      </c>
      <c r="V10" s="65" t="str">
        <f>IF(OR(A10="",AA10="Avoir"),"",-SUMIFS(fa_ttc,fa_avof,A10,fa_type,"Avoir"))</f>
        <v/>
      </c>
      <c r="W10" s="65" t="str">
        <f>IF(OR(A10="",AA10="Avoir"),"",ROUND(S10-U10-V10,2))</f>
        <v/>
      </c>
      <c r="X10" s="66" t="str">
        <f>IF(W10="","",IF(AND(W10&gt;0,p_asof&gt;P10),p_asof-P10,""))</f>
        <v/>
      </c>
      <c r="Y10" s="59" t="str">
        <f>IF(A10="","",IF(AA10="Avoir","Avoir",IF(W10&lt;0,"Trop-perçu",IF(W10=0,"Soldée",IF(p_asof&gt;P10,"En retard",IF(U10+V10&gt;0,"Partielle","À échoir"))))))</f>
        <v/>
      </c>
      <c r="Z10" s="59" t="str">
        <f>IF(NOT(COUNTA(B10:D10,F10:O10)&gt;0),"",IF(C10="","Date manquante",IF(NOT(ISNUMBER(C10)),"Date invalide",IF(D10="","Client manquant",IF(ISNA(MATCH(D10,cli_code,0)),"Client inconnu",IF(AC10&lt;SUMPRODUCT(MAX(($AB$6:AB9=AB10)*$AC$6:AC9)),"Date antérieure à la facture précédente",IF(AND(F10&lt;&gt;"",ISNA(MATCH(F10,dv_num,0))),"Devis inconnu",IF(AND(F10&lt;&gt;"",IFERROR(INDEX(dv_client,MATCH(F10,dv_num,0)),D10)&lt;&gt;D10),"Client différent de celui du devis",IF(AG10="","Aucune ligne : saisissez des lignes ou un devis",IF(AND(AI10&lt;&gt;"",COUNTIF($AI$6:AI10,AI10)&gt;1),"Devis déjà repris par une autre facture",IF(AND(AA10="Avoir",M10=""),"Avoir : indiquez la facture d'origine",IF(AND(AA10="Avoir",ISNA(MATCH(M10,fa_num,0))),"Facture d'origine inconnue",IF(AND(AA10&lt;&gt;"Avoir",M10&lt;&gt;""),"« Avoir sur facture » : réservé aux avoirs",IF(AND(L10&lt;&gt;"",AA10&lt;&gt;"Facture"),"Acompte à déduire : réservé aux factures",IF(AND(L10&lt;&gt;"",ISNA(MATCH(L10,fa_num,0))),"Facture d'acompte inconnue",IF(AND(L10&lt;&gt;"",IFERROR(INDEX(fa_type,MATCH(L10,fa_num,0)),"")&lt;&gt;"Facture d'acompte"),"Le n° à déduire n'est pas une facture d'acompte",IF(AND(L10&lt;&gt;"",COUNTIF($L$6:L10,L10)&gt;1),"Acompte déjà déduit sur une autre facture",IF(AND(L10&lt;&gt;"",IFERROR(INDEX(fa_client,MATCH(L10,fa_num,0)),D10)&lt;&gt;D10),"Acompte d'un autre client",IF(AND(AR10&lt;&gt;"",N(Q10)&lt;0),"Acompte supérieur au total de la facture",IF(IF(AG10="Facture",COUNTIFS(fl_doc,A10,fl_check,"&lt;&gt;OK"),IF(AG10="Devis",COUNTIFS(dl_doc,F10,dl_check,"&lt;&gt;OK"),0))&gt;0,"Ligne(s) à corriger",IF(AND(W10&lt;&gt;"",N(W10)&lt;0),"Trop-perçu : vérifiez paiements et avoirs","OK")))))))))))))))))))))</f>
        <v/>
      </c>
      <c r="AA10" s="62" t="str">
        <f>IF(COUNTA(B10:D10,F10:O10)&gt;0,IF(B10="","Facture",B10),"")</f>
        <v/>
      </c>
      <c r="AB10" s="62" t="str">
        <f>IF(AA10="","",IF(AA10="Avoir",p_pav,IF(AA10="Facture d'acompte",p_pac,p_pfa)))</f>
        <v/>
      </c>
      <c r="AC10" s="62">
        <f>IF(ISNUMBER(C10),C10,0)</f>
        <v>0.0</v>
      </c>
      <c r="AD10" s="62" t="str">
        <f>IF(OR(AA10="",AC10=0),"",YEAR(AC10))</f>
        <v/>
      </c>
      <c r="AE10" s="62" t="str">
        <f>IF(AD10="","",COUNTIFS($AB$6:AB10,AB10,$AD$6:AD10,AD10))</f>
        <v/>
      </c>
      <c r="AF10" s="62">
        <f>IF(A10="",0,COUNTIF(fl_doc,A10))</f>
        <v>0.0</v>
      </c>
      <c r="AG10" s="62" t="str">
        <f>IF(A10="","",IF(AF10&gt;0,"Facture",IF(AND(F10&lt;&gt;"",AA10="Facture",ISNUMBER(MATCH(F10,dv_num,0))),"Devis","")))</f>
        <v/>
      </c>
      <c r="AH10" s="62" t="str">
        <f>IF(AND(A10&lt;&gt;"",F10&lt;&gt;"",AA10&lt;&gt;"Avoir"),F10,"")</f>
        <v/>
      </c>
      <c r="AI10" s="62" t="str">
        <f>IF(AG10="Devis",F10,"")</f>
        <v/>
      </c>
      <c r="AJ10" s="62">
        <f>IF(AG10="Facture",SUMIF(fl_doc,A10,fl_ht),IF(AG10="Devis",SUMIF(dl_doc,F10,dl_ht),0))</f>
        <v>0.0</v>
      </c>
      <c r="AK10" s="62">
        <f>IF(OR(AG10="",INDEX(p_rates,1)=""),0,IF(AG10="Facture",SUMIFS(fl_ht,fl_doc,A10,fl_rate,INDEX(p_rates,1)),SUMIFS(dl_ht,dl_doc,F10,dl_rate,INDEX(p_rates,1))))</f>
        <v>0.0</v>
      </c>
      <c r="AL10" s="62">
        <f>IF(OR(AG10="",INDEX(p_rates,2)=""),0,IF(AG10="Facture",SUMIFS(fl_ht,fl_doc,A10,fl_rate,INDEX(p_rates,2)),SUMIFS(dl_ht,dl_doc,F10,dl_rate,INDEX(p_rates,2))))</f>
        <v>0.0</v>
      </c>
      <c r="AM10" s="62">
        <f>IF(OR(AG10="",INDEX(p_rates,3)=""),0,IF(AG10="Facture",SUMIFS(fl_ht,fl_doc,A10,fl_rate,INDEX(p_rates,3)),SUMIFS(dl_ht,dl_doc,F10,dl_rate,INDEX(p_rates,3))))</f>
        <v>0.0</v>
      </c>
      <c r="AN10" s="62">
        <f>IF(OR(AG10="",INDEX(p_rates,4)=""),0,IF(AG10="Facture",SUMIFS(fl_ht,fl_doc,A10,fl_rate,INDEX(p_rates,4)),SUMIFS(dl_ht,dl_doc,F10,dl_rate,INDEX(p_rates,4))))</f>
        <v>0.0</v>
      </c>
      <c r="AO10" s="62">
        <f>IF(OR(AG10="",INDEX(p_rates,5)=""),0,IF(AG10="Facture",SUMIFS(fl_ht,fl_doc,A10,fl_rate,INDEX(p_rates,5)),SUMIFS(dl_ht,dl_doc,F10,dl_rate,INDEX(p_rates,5))))</f>
        <v>0.0</v>
      </c>
      <c r="AP10" s="62">
        <f>IF(OR(AG10="",INDEX(p_rates,6)=""),0,IF(AG10="Facture",SUMIFS(fl_ht,fl_doc,A10,fl_rate,INDEX(p_rates,6)),SUMIFS(dl_ht,dl_doc,F10,dl_rate,INDEX(p_rates,6))))</f>
        <v>0.0</v>
      </c>
      <c r="AQ10" s="62">
        <f>ROUND(AK10*N(INDEX(p_rates,1)),2)+ROUND(AL10*N(INDEX(p_rates,2)),2)+ROUND(AM10*N(INDEX(p_rates,3)),2)+ROUND(AN10*N(INDEX(p_rates,4)),2)+ROUND(AO10*N(INDEX(p_rates,5)),2)+ROUND(AP10*N(INDEX(p_rates,6)),2)</f>
        <v>0.0</v>
      </c>
      <c r="AR10" s="62" t="str">
        <f>IF(OR(L10="",AA10&lt;&gt;"Facture"),"",IFERROR(IF(INDEX(fa_type,MATCH(L10,fa_num,0))="Facture d'acompte",MATCH(L10,fa_num,0),""),""))</f>
        <v/>
      </c>
      <c r="AS10" s="62" t="str">
        <f>IF(W10="","",IF(W10&lt;=0,"",IF(p_asof-P10&lt;=0,"Non échu",IF(p_asof-P10&lt;=30,"1-30 j",IF(p_asof-P10&lt;=60,"31-60 j",IF(p_asof-P10&lt;=90,"61-90 j","Plus de 90 j"))))))</f>
        <v/>
      </c>
      <c r="AT10" s="62" t="str">
        <f>IF(AS10="","",p_asof-P10)</f>
        <v/>
      </c>
      <c r="AU10" s="62" t="str">
        <f>IF(AT10="","",COUNTIF($AT$6:$AT$805,"&gt;"&amp;AT10)+COUNTIF($AT$6:AT10,AT10))</f>
        <v/>
      </c>
    </row>
    <row r="11">
      <c r="A11" s="59" t="str">
        <f>IF(AE11="","",AB11&amp;"-"&amp;AD11&amp;"-"&amp;RIGHT("000"&amp;AE11,4))</f>
        <v/>
      </c>
      <c r="B11" s="60" t="n"/>
      <c r="C11" s="61" t="n"/>
      <c r="D11" s="60" t="n"/>
      <c r="E11" s="62" t="str">
        <f>IF(D11="","",IFERROR(INDEX(cli_name,MATCH(D11,cli_code,0))&amp;"","Client inconnu"))</f>
        <v/>
      </c>
      <c r="F11" s="60" t="n"/>
      <c r="G11" s="63" t="n"/>
      <c r="H11" s="61" t="n"/>
      <c r="I11" s="63" t="n"/>
      <c r="J11" s="60" t="n"/>
      <c r="K11" s="61" t="n"/>
      <c r="L11" s="60" t="n"/>
      <c r="M11" s="60" t="n"/>
      <c r="N11" s="60" t="n"/>
      <c r="O11" s="61" t="n"/>
      <c r="P11" s="64" t="str">
        <f>IF(A11="","",IF(AA11="Avoir",AC11,IF(ISNUMBER(K11),K11,AC11+IF(D11="",N(p_delay),IFERROR(IF(ISNUMBER(INDEX(cli_delay,MATCH(D11,cli_code,0))),INDEX(cli_delay,MATCH(D11,cli_code,0)),N(p_delay)),N(p_delay))))))</f>
        <v/>
      </c>
      <c r="Q11" s="65" t="str">
        <f>IF(A11="","",IF(AA11="Avoir",-1,1)*ROUND(AJ11-IF(AR11="",0,INDEX(fa_htb,AR11)),2))</f>
        <v/>
      </c>
      <c r="R11" s="65" t="str">
        <f>IF(A11="","",IF(AA11="Avoir",-1,1)*ROUND(AQ11-IF(AR11="",0,INDEX(fa_tvab,AR11)),2))</f>
        <v/>
      </c>
      <c r="S11" s="65" t="str">
        <f>IF(A11="","",Q11+R11)</f>
        <v/>
      </c>
      <c r="T11" s="65" t="str">
        <f>IF(AR11="","",INDEX(fa_htb,AR11)+INDEX(fa_tvab,AR11))</f>
        <v/>
      </c>
      <c r="U11" s="65" t="str">
        <f>IF(A11="","",SUMIF(pa_inv,A11,pa_amt))</f>
        <v/>
      </c>
      <c r="V11" s="65" t="str">
        <f>IF(OR(A11="",AA11="Avoir"),"",-SUMIFS(fa_ttc,fa_avof,A11,fa_type,"Avoir"))</f>
        <v/>
      </c>
      <c r="W11" s="65" t="str">
        <f>IF(OR(A11="",AA11="Avoir"),"",ROUND(S11-U11-V11,2))</f>
        <v/>
      </c>
      <c r="X11" s="66" t="str">
        <f>IF(W11="","",IF(AND(W11&gt;0,p_asof&gt;P11),p_asof-P11,""))</f>
        <v/>
      </c>
      <c r="Y11" s="59" t="str">
        <f>IF(A11="","",IF(AA11="Avoir","Avoir",IF(W11&lt;0,"Trop-perçu",IF(W11=0,"Soldée",IF(p_asof&gt;P11,"En retard",IF(U11+V11&gt;0,"Partielle","À échoir"))))))</f>
        <v/>
      </c>
      <c r="Z11" s="59" t="str">
        <f>IF(NOT(COUNTA(B11:D11,F11:O11)&gt;0),"",IF(C11="","Date manquante",IF(NOT(ISNUMBER(C11)),"Date invalide",IF(D11="","Client manquant",IF(ISNA(MATCH(D11,cli_code,0)),"Client inconnu",IF(AC11&lt;SUMPRODUCT(MAX(($AB$6:AB10=AB11)*$AC$6:AC10)),"Date antérieure à la facture précédente",IF(AND(F11&lt;&gt;"",ISNA(MATCH(F11,dv_num,0))),"Devis inconnu",IF(AND(F11&lt;&gt;"",IFERROR(INDEX(dv_client,MATCH(F11,dv_num,0)),D11)&lt;&gt;D11),"Client différent de celui du devis",IF(AG11="","Aucune ligne : saisissez des lignes ou un devis",IF(AND(AI11&lt;&gt;"",COUNTIF($AI$6:AI11,AI11)&gt;1),"Devis déjà repris par une autre facture",IF(AND(AA11="Avoir",M11=""),"Avoir : indiquez la facture d'origine",IF(AND(AA11="Avoir",ISNA(MATCH(M11,fa_num,0))),"Facture d'origine inconnue",IF(AND(AA11&lt;&gt;"Avoir",M11&lt;&gt;""),"« Avoir sur facture » : réservé aux avoirs",IF(AND(L11&lt;&gt;"",AA11&lt;&gt;"Facture"),"Acompte à déduire : réservé aux factures",IF(AND(L11&lt;&gt;"",ISNA(MATCH(L11,fa_num,0))),"Facture d'acompte inconnue",IF(AND(L11&lt;&gt;"",IFERROR(INDEX(fa_type,MATCH(L11,fa_num,0)),"")&lt;&gt;"Facture d'acompte"),"Le n° à déduire n'est pas une facture d'acompte",IF(AND(L11&lt;&gt;"",COUNTIF($L$6:L11,L11)&gt;1),"Acompte déjà déduit sur une autre facture",IF(AND(L11&lt;&gt;"",IFERROR(INDEX(fa_client,MATCH(L11,fa_num,0)),D11)&lt;&gt;D11),"Acompte d'un autre client",IF(AND(AR11&lt;&gt;"",N(Q11)&lt;0),"Acompte supérieur au total de la facture",IF(IF(AG11="Facture",COUNTIFS(fl_doc,A11,fl_check,"&lt;&gt;OK"),IF(AG11="Devis",COUNTIFS(dl_doc,F11,dl_check,"&lt;&gt;OK"),0))&gt;0,"Ligne(s) à corriger",IF(AND(W11&lt;&gt;"",N(W11)&lt;0),"Trop-perçu : vérifiez paiements et avoirs","OK")))))))))))))))))))))</f>
        <v/>
      </c>
      <c r="AA11" s="62" t="str">
        <f>IF(COUNTA(B11:D11,F11:O11)&gt;0,IF(B11="","Facture",B11),"")</f>
        <v/>
      </c>
      <c r="AB11" s="62" t="str">
        <f>IF(AA11="","",IF(AA11="Avoir",p_pav,IF(AA11="Facture d'acompte",p_pac,p_pfa)))</f>
        <v/>
      </c>
      <c r="AC11" s="62">
        <f>IF(ISNUMBER(C11),C11,0)</f>
        <v>0.0</v>
      </c>
      <c r="AD11" s="62" t="str">
        <f>IF(OR(AA11="",AC11=0),"",YEAR(AC11))</f>
        <v/>
      </c>
      <c r="AE11" s="62" t="str">
        <f>IF(AD11="","",COUNTIFS($AB$6:AB11,AB11,$AD$6:AD11,AD11))</f>
        <v/>
      </c>
      <c r="AF11" s="62">
        <f>IF(A11="",0,COUNTIF(fl_doc,A11))</f>
        <v>0.0</v>
      </c>
      <c r="AG11" s="62" t="str">
        <f>IF(A11="","",IF(AF11&gt;0,"Facture",IF(AND(F11&lt;&gt;"",AA11="Facture",ISNUMBER(MATCH(F11,dv_num,0))),"Devis","")))</f>
        <v/>
      </c>
      <c r="AH11" s="62" t="str">
        <f>IF(AND(A11&lt;&gt;"",F11&lt;&gt;"",AA11&lt;&gt;"Avoir"),F11,"")</f>
        <v/>
      </c>
      <c r="AI11" s="62" t="str">
        <f>IF(AG11="Devis",F11,"")</f>
        <v/>
      </c>
      <c r="AJ11" s="62">
        <f>IF(AG11="Facture",SUMIF(fl_doc,A11,fl_ht),IF(AG11="Devis",SUMIF(dl_doc,F11,dl_ht),0))</f>
        <v>0.0</v>
      </c>
      <c r="AK11" s="62">
        <f>IF(OR(AG11="",INDEX(p_rates,1)=""),0,IF(AG11="Facture",SUMIFS(fl_ht,fl_doc,A11,fl_rate,INDEX(p_rates,1)),SUMIFS(dl_ht,dl_doc,F11,dl_rate,INDEX(p_rates,1))))</f>
        <v>0.0</v>
      </c>
      <c r="AL11" s="62">
        <f>IF(OR(AG11="",INDEX(p_rates,2)=""),0,IF(AG11="Facture",SUMIFS(fl_ht,fl_doc,A11,fl_rate,INDEX(p_rates,2)),SUMIFS(dl_ht,dl_doc,F11,dl_rate,INDEX(p_rates,2))))</f>
        <v>0.0</v>
      </c>
      <c r="AM11" s="62">
        <f>IF(OR(AG11="",INDEX(p_rates,3)=""),0,IF(AG11="Facture",SUMIFS(fl_ht,fl_doc,A11,fl_rate,INDEX(p_rates,3)),SUMIFS(dl_ht,dl_doc,F11,dl_rate,INDEX(p_rates,3))))</f>
        <v>0.0</v>
      </c>
      <c r="AN11" s="62">
        <f>IF(OR(AG11="",INDEX(p_rates,4)=""),0,IF(AG11="Facture",SUMIFS(fl_ht,fl_doc,A11,fl_rate,INDEX(p_rates,4)),SUMIFS(dl_ht,dl_doc,F11,dl_rate,INDEX(p_rates,4))))</f>
        <v>0.0</v>
      </c>
      <c r="AO11" s="62">
        <f>IF(OR(AG11="",INDEX(p_rates,5)=""),0,IF(AG11="Facture",SUMIFS(fl_ht,fl_doc,A11,fl_rate,INDEX(p_rates,5)),SUMIFS(dl_ht,dl_doc,F11,dl_rate,INDEX(p_rates,5))))</f>
        <v>0.0</v>
      </c>
      <c r="AP11" s="62">
        <f>IF(OR(AG11="",INDEX(p_rates,6)=""),0,IF(AG11="Facture",SUMIFS(fl_ht,fl_doc,A11,fl_rate,INDEX(p_rates,6)),SUMIFS(dl_ht,dl_doc,F11,dl_rate,INDEX(p_rates,6))))</f>
        <v>0.0</v>
      </c>
      <c r="AQ11" s="62">
        <f>ROUND(AK11*N(INDEX(p_rates,1)),2)+ROUND(AL11*N(INDEX(p_rates,2)),2)+ROUND(AM11*N(INDEX(p_rates,3)),2)+ROUND(AN11*N(INDEX(p_rates,4)),2)+ROUND(AO11*N(INDEX(p_rates,5)),2)+ROUND(AP11*N(INDEX(p_rates,6)),2)</f>
        <v>0.0</v>
      </c>
      <c r="AR11" s="62" t="str">
        <f>IF(OR(L11="",AA11&lt;&gt;"Facture"),"",IFERROR(IF(INDEX(fa_type,MATCH(L11,fa_num,0))="Facture d'acompte",MATCH(L11,fa_num,0),""),""))</f>
        <v/>
      </c>
      <c r="AS11" s="62" t="str">
        <f>IF(W11="","",IF(W11&lt;=0,"",IF(p_asof-P11&lt;=0,"Non échu",IF(p_asof-P11&lt;=30,"1-30 j",IF(p_asof-P11&lt;=60,"31-60 j",IF(p_asof-P11&lt;=90,"61-90 j","Plus de 90 j"))))))</f>
        <v/>
      </c>
      <c r="AT11" s="62" t="str">
        <f>IF(AS11="","",p_asof-P11)</f>
        <v/>
      </c>
      <c r="AU11" s="62" t="str">
        <f>IF(AT11="","",COUNTIF($AT$6:$AT$805,"&gt;"&amp;AT11)+COUNTIF($AT$6:AT11,AT11))</f>
        <v/>
      </c>
    </row>
    <row r="12">
      <c r="A12" s="59" t="str">
        <f>IF(AE12="","",AB12&amp;"-"&amp;AD12&amp;"-"&amp;RIGHT("000"&amp;AE12,4))</f>
        <v/>
      </c>
      <c r="B12" s="60" t="n"/>
      <c r="C12" s="61" t="n"/>
      <c r="D12" s="60" t="n"/>
      <c r="E12" s="62" t="str">
        <f>IF(D12="","",IFERROR(INDEX(cli_name,MATCH(D12,cli_code,0))&amp;"","Client inconnu"))</f>
        <v/>
      </c>
      <c r="F12" s="60" t="n"/>
      <c r="G12" s="63" t="n"/>
      <c r="H12" s="61" t="n"/>
      <c r="I12" s="63" t="n"/>
      <c r="J12" s="60" t="n"/>
      <c r="K12" s="61" t="n"/>
      <c r="L12" s="60" t="n"/>
      <c r="M12" s="60" t="n"/>
      <c r="N12" s="60" t="n"/>
      <c r="O12" s="61" t="n"/>
      <c r="P12" s="64" t="str">
        <f>IF(A12="","",IF(AA12="Avoir",AC12,IF(ISNUMBER(K12),K12,AC12+IF(D12="",N(p_delay),IFERROR(IF(ISNUMBER(INDEX(cli_delay,MATCH(D12,cli_code,0))),INDEX(cli_delay,MATCH(D12,cli_code,0)),N(p_delay)),N(p_delay))))))</f>
        <v/>
      </c>
      <c r="Q12" s="65" t="str">
        <f>IF(A12="","",IF(AA12="Avoir",-1,1)*ROUND(AJ12-IF(AR12="",0,INDEX(fa_htb,AR12)),2))</f>
        <v/>
      </c>
      <c r="R12" s="65" t="str">
        <f>IF(A12="","",IF(AA12="Avoir",-1,1)*ROUND(AQ12-IF(AR12="",0,INDEX(fa_tvab,AR12)),2))</f>
        <v/>
      </c>
      <c r="S12" s="65" t="str">
        <f>IF(A12="","",Q12+R12)</f>
        <v/>
      </c>
      <c r="T12" s="65" t="str">
        <f>IF(AR12="","",INDEX(fa_htb,AR12)+INDEX(fa_tvab,AR12))</f>
        <v/>
      </c>
      <c r="U12" s="65" t="str">
        <f>IF(A12="","",SUMIF(pa_inv,A12,pa_amt))</f>
        <v/>
      </c>
      <c r="V12" s="65" t="str">
        <f>IF(OR(A12="",AA12="Avoir"),"",-SUMIFS(fa_ttc,fa_avof,A12,fa_type,"Avoir"))</f>
        <v/>
      </c>
      <c r="W12" s="65" t="str">
        <f>IF(OR(A12="",AA12="Avoir"),"",ROUND(S12-U12-V12,2))</f>
        <v/>
      </c>
      <c r="X12" s="66" t="str">
        <f>IF(W12="","",IF(AND(W12&gt;0,p_asof&gt;P12),p_asof-P12,""))</f>
        <v/>
      </c>
      <c r="Y12" s="59" t="str">
        <f>IF(A12="","",IF(AA12="Avoir","Avoir",IF(W12&lt;0,"Trop-perçu",IF(W12=0,"Soldée",IF(p_asof&gt;P12,"En retard",IF(U12+V12&gt;0,"Partielle","À échoir"))))))</f>
        <v/>
      </c>
      <c r="Z12" s="59" t="str">
        <f>IF(NOT(COUNTA(B12:D12,F12:O12)&gt;0),"",IF(C12="","Date manquante",IF(NOT(ISNUMBER(C12)),"Date invalide",IF(D12="","Client manquant",IF(ISNA(MATCH(D12,cli_code,0)),"Client inconnu",IF(AC12&lt;SUMPRODUCT(MAX(($AB$6:AB11=AB12)*$AC$6:AC11)),"Date antérieure à la facture précédente",IF(AND(F12&lt;&gt;"",ISNA(MATCH(F12,dv_num,0))),"Devis inconnu",IF(AND(F12&lt;&gt;"",IFERROR(INDEX(dv_client,MATCH(F12,dv_num,0)),D12)&lt;&gt;D12),"Client différent de celui du devis",IF(AG12="","Aucune ligne : saisissez des lignes ou un devis",IF(AND(AI12&lt;&gt;"",COUNTIF($AI$6:AI12,AI12)&gt;1),"Devis déjà repris par une autre facture",IF(AND(AA12="Avoir",M12=""),"Avoir : indiquez la facture d'origine",IF(AND(AA12="Avoir",ISNA(MATCH(M12,fa_num,0))),"Facture d'origine inconnue",IF(AND(AA12&lt;&gt;"Avoir",M12&lt;&gt;""),"« Avoir sur facture » : réservé aux avoirs",IF(AND(L12&lt;&gt;"",AA12&lt;&gt;"Facture"),"Acompte à déduire : réservé aux factures",IF(AND(L12&lt;&gt;"",ISNA(MATCH(L12,fa_num,0))),"Facture d'acompte inconnue",IF(AND(L12&lt;&gt;"",IFERROR(INDEX(fa_type,MATCH(L12,fa_num,0)),"")&lt;&gt;"Facture d'acompte"),"Le n° à déduire n'est pas une facture d'acompte",IF(AND(L12&lt;&gt;"",COUNTIF($L$6:L12,L12)&gt;1),"Acompte déjà déduit sur une autre facture",IF(AND(L12&lt;&gt;"",IFERROR(INDEX(fa_client,MATCH(L12,fa_num,0)),D12)&lt;&gt;D12),"Acompte d'un autre client",IF(AND(AR12&lt;&gt;"",N(Q12)&lt;0),"Acompte supérieur au total de la facture",IF(IF(AG12="Facture",COUNTIFS(fl_doc,A12,fl_check,"&lt;&gt;OK"),IF(AG12="Devis",COUNTIFS(dl_doc,F12,dl_check,"&lt;&gt;OK"),0))&gt;0,"Ligne(s) à corriger",IF(AND(W12&lt;&gt;"",N(W12)&lt;0),"Trop-perçu : vérifiez paiements et avoirs","OK")))))))))))))))))))))</f>
        <v/>
      </c>
      <c r="AA12" s="62" t="str">
        <f>IF(COUNTA(B12:D12,F12:O12)&gt;0,IF(B12="","Facture",B12),"")</f>
        <v/>
      </c>
      <c r="AB12" s="62" t="str">
        <f>IF(AA12="","",IF(AA12="Avoir",p_pav,IF(AA12="Facture d'acompte",p_pac,p_pfa)))</f>
        <v/>
      </c>
      <c r="AC12" s="62">
        <f>IF(ISNUMBER(C12),C12,0)</f>
        <v>0.0</v>
      </c>
      <c r="AD12" s="62" t="str">
        <f>IF(OR(AA12="",AC12=0),"",YEAR(AC12))</f>
        <v/>
      </c>
      <c r="AE12" s="62" t="str">
        <f>IF(AD12="","",COUNTIFS($AB$6:AB12,AB12,$AD$6:AD12,AD12))</f>
        <v/>
      </c>
      <c r="AF12" s="62">
        <f>IF(A12="",0,COUNTIF(fl_doc,A12))</f>
        <v>0.0</v>
      </c>
      <c r="AG12" s="62" t="str">
        <f>IF(A12="","",IF(AF12&gt;0,"Facture",IF(AND(F12&lt;&gt;"",AA12="Facture",ISNUMBER(MATCH(F12,dv_num,0))),"Devis","")))</f>
        <v/>
      </c>
      <c r="AH12" s="62" t="str">
        <f>IF(AND(A12&lt;&gt;"",F12&lt;&gt;"",AA12&lt;&gt;"Avoir"),F12,"")</f>
        <v/>
      </c>
      <c r="AI12" s="62" t="str">
        <f>IF(AG12="Devis",F12,"")</f>
        <v/>
      </c>
      <c r="AJ12" s="62">
        <f>IF(AG12="Facture",SUMIF(fl_doc,A12,fl_ht),IF(AG12="Devis",SUMIF(dl_doc,F12,dl_ht),0))</f>
        <v>0.0</v>
      </c>
      <c r="AK12" s="62">
        <f>IF(OR(AG12="",INDEX(p_rates,1)=""),0,IF(AG12="Facture",SUMIFS(fl_ht,fl_doc,A12,fl_rate,INDEX(p_rates,1)),SUMIFS(dl_ht,dl_doc,F12,dl_rate,INDEX(p_rates,1))))</f>
        <v>0.0</v>
      </c>
      <c r="AL12" s="62">
        <f>IF(OR(AG12="",INDEX(p_rates,2)=""),0,IF(AG12="Facture",SUMIFS(fl_ht,fl_doc,A12,fl_rate,INDEX(p_rates,2)),SUMIFS(dl_ht,dl_doc,F12,dl_rate,INDEX(p_rates,2))))</f>
        <v>0.0</v>
      </c>
      <c r="AM12" s="62">
        <f>IF(OR(AG12="",INDEX(p_rates,3)=""),0,IF(AG12="Facture",SUMIFS(fl_ht,fl_doc,A12,fl_rate,INDEX(p_rates,3)),SUMIFS(dl_ht,dl_doc,F12,dl_rate,INDEX(p_rates,3))))</f>
        <v>0.0</v>
      </c>
      <c r="AN12" s="62">
        <f>IF(OR(AG12="",INDEX(p_rates,4)=""),0,IF(AG12="Facture",SUMIFS(fl_ht,fl_doc,A12,fl_rate,INDEX(p_rates,4)),SUMIFS(dl_ht,dl_doc,F12,dl_rate,INDEX(p_rates,4))))</f>
        <v>0.0</v>
      </c>
      <c r="AO12" s="62">
        <f>IF(OR(AG12="",INDEX(p_rates,5)=""),0,IF(AG12="Facture",SUMIFS(fl_ht,fl_doc,A12,fl_rate,INDEX(p_rates,5)),SUMIFS(dl_ht,dl_doc,F12,dl_rate,INDEX(p_rates,5))))</f>
        <v>0.0</v>
      </c>
      <c r="AP12" s="62">
        <f>IF(OR(AG12="",INDEX(p_rates,6)=""),0,IF(AG12="Facture",SUMIFS(fl_ht,fl_doc,A12,fl_rate,INDEX(p_rates,6)),SUMIFS(dl_ht,dl_doc,F12,dl_rate,INDEX(p_rates,6))))</f>
        <v>0.0</v>
      </c>
      <c r="AQ12" s="62">
        <f>ROUND(AK12*N(INDEX(p_rates,1)),2)+ROUND(AL12*N(INDEX(p_rates,2)),2)+ROUND(AM12*N(INDEX(p_rates,3)),2)+ROUND(AN12*N(INDEX(p_rates,4)),2)+ROUND(AO12*N(INDEX(p_rates,5)),2)+ROUND(AP12*N(INDEX(p_rates,6)),2)</f>
        <v>0.0</v>
      </c>
      <c r="AR12" s="62" t="str">
        <f>IF(OR(L12="",AA12&lt;&gt;"Facture"),"",IFERROR(IF(INDEX(fa_type,MATCH(L12,fa_num,0))="Facture d'acompte",MATCH(L12,fa_num,0),""),""))</f>
        <v/>
      </c>
      <c r="AS12" s="62" t="str">
        <f>IF(W12="","",IF(W12&lt;=0,"",IF(p_asof-P12&lt;=0,"Non échu",IF(p_asof-P12&lt;=30,"1-30 j",IF(p_asof-P12&lt;=60,"31-60 j",IF(p_asof-P12&lt;=90,"61-90 j","Plus de 90 j"))))))</f>
        <v/>
      </c>
      <c r="AT12" s="62" t="str">
        <f>IF(AS12="","",p_asof-P12)</f>
        <v/>
      </c>
      <c r="AU12" s="62" t="str">
        <f>IF(AT12="","",COUNTIF($AT$6:$AT$805,"&gt;"&amp;AT12)+COUNTIF($AT$6:AT12,AT12))</f>
        <v/>
      </c>
    </row>
    <row r="13">
      <c r="A13" s="59" t="str">
        <f>IF(AE13="","",AB13&amp;"-"&amp;AD13&amp;"-"&amp;RIGHT("000"&amp;AE13,4))</f>
        <v/>
      </c>
      <c r="B13" s="60" t="n"/>
      <c r="C13" s="61" t="n"/>
      <c r="D13" s="60" t="n"/>
      <c r="E13" s="62" t="str">
        <f>IF(D13="","",IFERROR(INDEX(cli_name,MATCH(D13,cli_code,0))&amp;"","Client inconnu"))</f>
        <v/>
      </c>
      <c r="F13" s="60" t="n"/>
      <c r="G13" s="63" t="n"/>
      <c r="H13" s="61" t="n"/>
      <c r="I13" s="63" t="n"/>
      <c r="J13" s="60" t="n"/>
      <c r="K13" s="61" t="n"/>
      <c r="L13" s="60" t="n"/>
      <c r="M13" s="60" t="n"/>
      <c r="N13" s="60" t="n"/>
      <c r="O13" s="61" t="n"/>
      <c r="P13" s="64" t="str">
        <f>IF(A13="","",IF(AA13="Avoir",AC13,IF(ISNUMBER(K13),K13,AC13+IF(D13="",N(p_delay),IFERROR(IF(ISNUMBER(INDEX(cli_delay,MATCH(D13,cli_code,0))),INDEX(cli_delay,MATCH(D13,cli_code,0)),N(p_delay)),N(p_delay))))))</f>
        <v/>
      </c>
      <c r="Q13" s="65" t="str">
        <f>IF(A13="","",IF(AA13="Avoir",-1,1)*ROUND(AJ13-IF(AR13="",0,INDEX(fa_htb,AR13)),2))</f>
        <v/>
      </c>
      <c r="R13" s="65" t="str">
        <f>IF(A13="","",IF(AA13="Avoir",-1,1)*ROUND(AQ13-IF(AR13="",0,INDEX(fa_tvab,AR13)),2))</f>
        <v/>
      </c>
      <c r="S13" s="65" t="str">
        <f>IF(A13="","",Q13+R13)</f>
        <v/>
      </c>
      <c r="T13" s="65" t="str">
        <f>IF(AR13="","",INDEX(fa_htb,AR13)+INDEX(fa_tvab,AR13))</f>
        <v/>
      </c>
      <c r="U13" s="65" t="str">
        <f>IF(A13="","",SUMIF(pa_inv,A13,pa_amt))</f>
        <v/>
      </c>
      <c r="V13" s="65" t="str">
        <f>IF(OR(A13="",AA13="Avoir"),"",-SUMIFS(fa_ttc,fa_avof,A13,fa_type,"Avoir"))</f>
        <v/>
      </c>
      <c r="W13" s="65" t="str">
        <f>IF(OR(A13="",AA13="Avoir"),"",ROUND(S13-U13-V13,2))</f>
        <v/>
      </c>
      <c r="X13" s="66" t="str">
        <f>IF(W13="","",IF(AND(W13&gt;0,p_asof&gt;P13),p_asof-P13,""))</f>
        <v/>
      </c>
      <c r="Y13" s="59" t="str">
        <f>IF(A13="","",IF(AA13="Avoir","Avoir",IF(W13&lt;0,"Trop-perçu",IF(W13=0,"Soldée",IF(p_asof&gt;P13,"En retard",IF(U13+V13&gt;0,"Partielle","À échoir"))))))</f>
        <v/>
      </c>
      <c r="Z13" s="59" t="str">
        <f>IF(NOT(COUNTA(B13:D13,F13:O13)&gt;0),"",IF(C13="","Date manquante",IF(NOT(ISNUMBER(C13)),"Date invalide",IF(D13="","Client manquant",IF(ISNA(MATCH(D13,cli_code,0)),"Client inconnu",IF(AC13&lt;SUMPRODUCT(MAX(($AB$6:AB12=AB13)*$AC$6:AC12)),"Date antérieure à la facture précédente",IF(AND(F13&lt;&gt;"",ISNA(MATCH(F13,dv_num,0))),"Devis inconnu",IF(AND(F13&lt;&gt;"",IFERROR(INDEX(dv_client,MATCH(F13,dv_num,0)),D13)&lt;&gt;D13),"Client différent de celui du devis",IF(AG13="","Aucune ligne : saisissez des lignes ou un devis",IF(AND(AI13&lt;&gt;"",COUNTIF($AI$6:AI13,AI13)&gt;1),"Devis déjà repris par une autre facture",IF(AND(AA13="Avoir",M13=""),"Avoir : indiquez la facture d'origine",IF(AND(AA13="Avoir",ISNA(MATCH(M13,fa_num,0))),"Facture d'origine inconnue",IF(AND(AA13&lt;&gt;"Avoir",M13&lt;&gt;""),"« Avoir sur facture » : réservé aux avoirs",IF(AND(L13&lt;&gt;"",AA13&lt;&gt;"Facture"),"Acompte à déduire : réservé aux factures",IF(AND(L13&lt;&gt;"",ISNA(MATCH(L13,fa_num,0))),"Facture d'acompte inconnue",IF(AND(L13&lt;&gt;"",IFERROR(INDEX(fa_type,MATCH(L13,fa_num,0)),"")&lt;&gt;"Facture d'acompte"),"Le n° à déduire n'est pas une facture d'acompte",IF(AND(L13&lt;&gt;"",COUNTIF($L$6:L13,L13)&gt;1),"Acompte déjà déduit sur une autre facture",IF(AND(L13&lt;&gt;"",IFERROR(INDEX(fa_client,MATCH(L13,fa_num,0)),D13)&lt;&gt;D13),"Acompte d'un autre client",IF(AND(AR13&lt;&gt;"",N(Q13)&lt;0),"Acompte supérieur au total de la facture",IF(IF(AG13="Facture",COUNTIFS(fl_doc,A13,fl_check,"&lt;&gt;OK"),IF(AG13="Devis",COUNTIFS(dl_doc,F13,dl_check,"&lt;&gt;OK"),0))&gt;0,"Ligne(s) à corriger",IF(AND(W13&lt;&gt;"",N(W13)&lt;0),"Trop-perçu : vérifiez paiements et avoirs","OK")))))))))))))))))))))</f>
        <v/>
      </c>
      <c r="AA13" s="62" t="str">
        <f>IF(COUNTA(B13:D13,F13:O13)&gt;0,IF(B13="","Facture",B13),"")</f>
        <v/>
      </c>
      <c r="AB13" s="62" t="str">
        <f>IF(AA13="","",IF(AA13="Avoir",p_pav,IF(AA13="Facture d'acompte",p_pac,p_pfa)))</f>
        <v/>
      </c>
      <c r="AC13" s="62">
        <f>IF(ISNUMBER(C13),C13,0)</f>
        <v>0.0</v>
      </c>
      <c r="AD13" s="62" t="str">
        <f>IF(OR(AA13="",AC13=0),"",YEAR(AC13))</f>
        <v/>
      </c>
      <c r="AE13" s="62" t="str">
        <f>IF(AD13="","",COUNTIFS($AB$6:AB13,AB13,$AD$6:AD13,AD13))</f>
        <v/>
      </c>
      <c r="AF13" s="62">
        <f>IF(A13="",0,COUNTIF(fl_doc,A13))</f>
        <v>0.0</v>
      </c>
      <c r="AG13" s="62" t="str">
        <f>IF(A13="","",IF(AF13&gt;0,"Facture",IF(AND(F13&lt;&gt;"",AA13="Facture",ISNUMBER(MATCH(F13,dv_num,0))),"Devis","")))</f>
        <v/>
      </c>
      <c r="AH13" s="62" t="str">
        <f>IF(AND(A13&lt;&gt;"",F13&lt;&gt;"",AA13&lt;&gt;"Avoir"),F13,"")</f>
        <v/>
      </c>
      <c r="AI13" s="62" t="str">
        <f>IF(AG13="Devis",F13,"")</f>
        <v/>
      </c>
      <c r="AJ13" s="62">
        <f>IF(AG13="Facture",SUMIF(fl_doc,A13,fl_ht),IF(AG13="Devis",SUMIF(dl_doc,F13,dl_ht),0))</f>
        <v>0.0</v>
      </c>
      <c r="AK13" s="62">
        <f>IF(OR(AG13="",INDEX(p_rates,1)=""),0,IF(AG13="Facture",SUMIFS(fl_ht,fl_doc,A13,fl_rate,INDEX(p_rates,1)),SUMIFS(dl_ht,dl_doc,F13,dl_rate,INDEX(p_rates,1))))</f>
        <v>0.0</v>
      </c>
      <c r="AL13" s="62">
        <f>IF(OR(AG13="",INDEX(p_rates,2)=""),0,IF(AG13="Facture",SUMIFS(fl_ht,fl_doc,A13,fl_rate,INDEX(p_rates,2)),SUMIFS(dl_ht,dl_doc,F13,dl_rate,INDEX(p_rates,2))))</f>
        <v>0.0</v>
      </c>
      <c r="AM13" s="62">
        <f>IF(OR(AG13="",INDEX(p_rates,3)=""),0,IF(AG13="Facture",SUMIFS(fl_ht,fl_doc,A13,fl_rate,INDEX(p_rates,3)),SUMIFS(dl_ht,dl_doc,F13,dl_rate,INDEX(p_rates,3))))</f>
        <v>0.0</v>
      </c>
      <c r="AN13" s="62">
        <f>IF(OR(AG13="",INDEX(p_rates,4)=""),0,IF(AG13="Facture",SUMIFS(fl_ht,fl_doc,A13,fl_rate,INDEX(p_rates,4)),SUMIFS(dl_ht,dl_doc,F13,dl_rate,INDEX(p_rates,4))))</f>
        <v>0.0</v>
      </c>
      <c r="AO13" s="62">
        <f>IF(OR(AG13="",INDEX(p_rates,5)=""),0,IF(AG13="Facture",SUMIFS(fl_ht,fl_doc,A13,fl_rate,INDEX(p_rates,5)),SUMIFS(dl_ht,dl_doc,F13,dl_rate,INDEX(p_rates,5))))</f>
        <v>0.0</v>
      </c>
      <c r="AP13" s="62">
        <f>IF(OR(AG13="",INDEX(p_rates,6)=""),0,IF(AG13="Facture",SUMIFS(fl_ht,fl_doc,A13,fl_rate,INDEX(p_rates,6)),SUMIFS(dl_ht,dl_doc,F13,dl_rate,INDEX(p_rates,6))))</f>
        <v>0.0</v>
      </c>
      <c r="AQ13" s="62">
        <f>ROUND(AK13*N(INDEX(p_rates,1)),2)+ROUND(AL13*N(INDEX(p_rates,2)),2)+ROUND(AM13*N(INDEX(p_rates,3)),2)+ROUND(AN13*N(INDEX(p_rates,4)),2)+ROUND(AO13*N(INDEX(p_rates,5)),2)+ROUND(AP13*N(INDEX(p_rates,6)),2)</f>
        <v>0.0</v>
      </c>
      <c r="AR13" s="62" t="str">
        <f>IF(OR(L13="",AA13&lt;&gt;"Facture"),"",IFERROR(IF(INDEX(fa_type,MATCH(L13,fa_num,0))="Facture d'acompte",MATCH(L13,fa_num,0),""),""))</f>
        <v/>
      </c>
      <c r="AS13" s="62" t="str">
        <f>IF(W13="","",IF(W13&lt;=0,"",IF(p_asof-P13&lt;=0,"Non échu",IF(p_asof-P13&lt;=30,"1-30 j",IF(p_asof-P13&lt;=60,"31-60 j",IF(p_asof-P13&lt;=90,"61-90 j","Plus de 90 j"))))))</f>
        <v/>
      </c>
      <c r="AT13" s="62" t="str">
        <f>IF(AS13="","",p_asof-P13)</f>
        <v/>
      </c>
      <c r="AU13" s="62" t="str">
        <f>IF(AT13="","",COUNTIF($AT$6:$AT$805,"&gt;"&amp;AT13)+COUNTIF($AT$6:AT13,AT13))</f>
        <v/>
      </c>
    </row>
    <row r="14">
      <c r="A14" s="59" t="str">
        <f>IF(AE14="","",AB14&amp;"-"&amp;AD14&amp;"-"&amp;RIGHT("000"&amp;AE14,4))</f>
        <v/>
      </c>
      <c r="B14" s="60" t="n"/>
      <c r="C14" s="61" t="n"/>
      <c r="D14" s="60" t="n"/>
      <c r="E14" s="62" t="str">
        <f>IF(D14="","",IFERROR(INDEX(cli_name,MATCH(D14,cli_code,0))&amp;"","Client inconnu"))</f>
        <v/>
      </c>
      <c r="F14" s="60" t="n"/>
      <c r="G14" s="63" t="n"/>
      <c r="H14" s="61" t="n"/>
      <c r="I14" s="63" t="n"/>
      <c r="J14" s="60" t="n"/>
      <c r="K14" s="61" t="n"/>
      <c r="L14" s="60" t="n"/>
      <c r="M14" s="60" t="n"/>
      <c r="N14" s="60" t="n"/>
      <c r="O14" s="61" t="n"/>
      <c r="P14" s="64" t="str">
        <f>IF(A14="","",IF(AA14="Avoir",AC14,IF(ISNUMBER(K14),K14,AC14+IF(D14="",N(p_delay),IFERROR(IF(ISNUMBER(INDEX(cli_delay,MATCH(D14,cli_code,0))),INDEX(cli_delay,MATCH(D14,cli_code,0)),N(p_delay)),N(p_delay))))))</f>
        <v/>
      </c>
      <c r="Q14" s="65" t="str">
        <f>IF(A14="","",IF(AA14="Avoir",-1,1)*ROUND(AJ14-IF(AR14="",0,INDEX(fa_htb,AR14)),2))</f>
        <v/>
      </c>
      <c r="R14" s="65" t="str">
        <f>IF(A14="","",IF(AA14="Avoir",-1,1)*ROUND(AQ14-IF(AR14="",0,INDEX(fa_tvab,AR14)),2))</f>
        <v/>
      </c>
      <c r="S14" s="65" t="str">
        <f>IF(A14="","",Q14+R14)</f>
        <v/>
      </c>
      <c r="T14" s="65" t="str">
        <f>IF(AR14="","",INDEX(fa_htb,AR14)+INDEX(fa_tvab,AR14))</f>
        <v/>
      </c>
      <c r="U14" s="65" t="str">
        <f>IF(A14="","",SUMIF(pa_inv,A14,pa_amt))</f>
        <v/>
      </c>
      <c r="V14" s="65" t="str">
        <f>IF(OR(A14="",AA14="Avoir"),"",-SUMIFS(fa_ttc,fa_avof,A14,fa_type,"Avoir"))</f>
        <v/>
      </c>
      <c r="W14" s="65" t="str">
        <f>IF(OR(A14="",AA14="Avoir"),"",ROUND(S14-U14-V14,2))</f>
        <v/>
      </c>
      <c r="X14" s="66" t="str">
        <f>IF(W14="","",IF(AND(W14&gt;0,p_asof&gt;P14),p_asof-P14,""))</f>
        <v/>
      </c>
      <c r="Y14" s="59" t="str">
        <f>IF(A14="","",IF(AA14="Avoir","Avoir",IF(W14&lt;0,"Trop-perçu",IF(W14=0,"Soldée",IF(p_asof&gt;P14,"En retard",IF(U14+V14&gt;0,"Partielle","À échoir"))))))</f>
        <v/>
      </c>
      <c r="Z14" s="59" t="str">
        <f>IF(NOT(COUNTA(B14:D14,F14:O14)&gt;0),"",IF(C14="","Date manquante",IF(NOT(ISNUMBER(C14)),"Date invalide",IF(D14="","Client manquant",IF(ISNA(MATCH(D14,cli_code,0)),"Client inconnu",IF(AC14&lt;SUMPRODUCT(MAX(($AB$6:AB13=AB14)*$AC$6:AC13)),"Date antérieure à la facture précédente",IF(AND(F14&lt;&gt;"",ISNA(MATCH(F14,dv_num,0))),"Devis inconnu",IF(AND(F14&lt;&gt;"",IFERROR(INDEX(dv_client,MATCH(F14,dv_num,0)),D14)&lt;&gt;D14),"Client différent de celui du devis",IF(AG14="","Aucune ligne : saisissez des lignes ou un devis",IF(AND(AI14&lt;&gt;"",COUNTIF($AI$6:AI14,AI14)&gt;1),"Devis déjà repris par une autre facture",IF(AND(AA14="Avoir",M14=""),"Avoir : indiquez la facture d'origine",IF(AND(AA14="Avoir",ISNA(MATCH(M14,fa_num,0))),"Facture d'origine inconnue",IF(AND(AA14&lt;&gt;"Avoir",M14&lt;&gt;""),"« Avoir sur facture » : réservé aux avoirs",IF(AND(L14&lt;&gt;"",AA14&lt;&gt;"Facture"),"Acompte à déduire : réservé aux factures",IF(AND(L14&lt;&gt;"",ISNA(MATCH(L14,fa_num,0))),"Facture d'acompte inconnue",IF(AND(L14&lt;&gt;"",IFERROR(INDEX(fa_type,MATCH(L14,fa_num,0)),"")&lt;&gt;"Facture d'acompte"),"Le n° à déduire n'est pas une facture d'acompte",IF(AND(L14&lt;&gt;"",COUNTIF($L$6:L14,L14)&gt;1),"Acompte déjà déduit sur une autre facture",IF(AND(L14&lt;&gt;"",IFERROR(INDEX(fa_client,MATCH(L14,fa_num,0)),D14)&lt;&gt;D14),"Acompte d'un autre client",IF(AND(AR14&lt;&gt;"",N(Q14)&lt;0),"Acompte supérieur au total de la facture",IF(IF(AG14="Facture",COUNTIFS(fl_doc,A14,fl_check,"&lt;&gt;OK"),IF(AG14="Devis",COUNTIFS(dl_doc,F14,dl_check,"&lt;&gt;OK"),0))&gt;0,"Ligne(s) à corriger",IF(AND(W14&lt;&gt;"",N(W14)&lt;0),"Trop-perçu : vérifiez paiements et avoirs","OK")))))))))))))))))))))</f>
        <v/>
      </c>
      <c r="AA14" s="62" t="str">
        <f>IF(COUNTA(B14:D14,F14:O14)&gt;0,IF(B14="","Facture",B14),"")</f>
        <v/>
      </c>
      <c r="AB14" s="62" t="str">
        <f>IF(AA14="","",IF(AA14="Avoir",p_pav,IF(AA14="Facture d'acompte",p_pac,p_pfa)))</f>
        <v/>
      </c>
      <c r="AC14" s="62">
        <f>IF(ISNUMBER(C14),C14,0)</f>
        <v>0.0</v>
      </c>
      <c r="AD14" s="62" t="str">
        <f>IF(OR(AA14="",AC14=0),"",YEAR(AC14))</f>
        <v/>
      </c>
      <c r="AE14" s="62" t="str">
        <f>IF(AD14="","",COUNTIFS($AB$6:AB14,AB14,$AD$6:AD14,AD14))</f>
        <v/>
      </c>
      <c r="AF14" s="62">
        <f>IF(A14="",0,COUNTIF(fl_doc,A14))</f>
        <v>0.0</v>
      </c>
      <c r="AG14" s="62" t="str">
        <f>IF(A14="","",IF(AF14&gt;0,"Facture",IF(AND(F14&lt;&gt;"",AA14="Facture",ISNUMBER(MATCH(F14,dv_num,0))),"Devis","")))</f>
        <v/>
      </c>
      <c r="AH14" s="62" t="str">
        <f>IF(AND(A14&lt;&gt;"",F14&lt;&gt;"",AA14&lt;&gt;"Avoir"),F14,"")</f>
        <v/>
      </c>
      <c r="AI14" s="62" t="str">
        <f>IF(AG14="Devis",F14,"")</f>
        <v/>
      </c>
      <c r="AJ14" s="62">
        <f>IF(AG14="Facture",SUMIF(fl_doc,A14,fl_ht),IF(AG14="Devis",SUMIF(dl_doc,F14,dl_ht),0))</f>
        <v>0.0</v>
      </c>
      <c r="AK14" s="62">
        <f>IF(OR(AG14="",INDEX(p_rates,1)=""),0,IF(AG14="Facture",SUMIFS(fl_ht,fl_doc,A14,fl_rate,INDEX(p_rates,1)),SUMIFS(dl_ht,dl_doc,F14,dl_rate,INDEX(p_rates,1))))</f>
        <v>0.0</v>
      </c>
      <c r="AL14" s="62">
        <f>IF(OR(AG14="",INDEX(p_rates,2)=""),0,IF(AG14="Facture",SUMIFS(fl_ht,fl_doc,A14,fl_rate,INDEX(p_rates,2)),SUMIFS(dl_ht,dl_doc,F14,dl_rate,INDEX(p_rates,2))))</f>
        <v>0.0</v>
      </c>
      <c r="AM14" s="62">
        <f>IF(OR(AG14="",INDEX(p_rates,3)=""),0,IF(AG14="Facture",SUMIFS(fl_ht,fl_doc,A14,fl_rate,INDEX(p_rates,3)),SUMIFS(dl_ht,dl_doc,F14,dl_rate,INDEX(p_rates,3))))</f>
        <v>0.0</v>
      </c>
      <c r="AN14" s="62">
        <f>IF(OR(AG14="",INDEX(p_rates,4)=""),0,IF(AG14="Facture",SUMIFS(fl_ht,fl_doc,A14,fl_rate,INDEX(p_rates,4)),SUMIFS(dl_ht,dl_doc,F14,dl_rate,INDEX(p_rates,4))))</f>
        <v>0.0</v>
      </c>
      <c r="AO14" s="62">
        <f>IF(OR(AG14="",INDEX(p_rates,5)=""),0,IF(AG14="Facture",SUMIFS(fl_ht,fl_doc,A14,fl_rate,INDEX(p_rates,5)),SUMIFS(dl_ht,dl_doc,F14,dl_rate,INDEX(p_rates,5))))</f>
        <v>0.0</v>
      </c>
      <c r="AP14" s="62">
        <f>IF(OR(AG14="",INDEX(p_rates,6)=""),0,IF(AG14="Facture",SUMIFS(fl_ht,fl_doc,A14,fl_rate,INDEX(p_rates,6)),SUMIFS(dl_ht,dl_doc,F14,dl_rate,INDEX(p_rates,6))))</f>
        <v>0.0</v>
      </c>
      <c r="AQ14" s="62">
        <f>ROUND(AK14*N(INDEX(p_rates,1)),2)+ROUND(AL14*N(INDEX(p_rates,2)),2)+ROUND(AM14*N(INDEX(p_rates,3)),2)+ROUND(AN14*N(INDEX(p_rates,4)),2)+ROUND(AO14*N(INDEX(p_rates,5)),2)+ROUND(AP14*N(INDEX(p_rates,6)),2)</f>
        <v>0.0</v>
      </c>
      <c r="AR14" s="62" t="str">
        <f>IF(OR(L14="",AA14&lt;&gt;"Facture"),"",IFERROR(IF(INDEX(fa_type,MATCH(L14,fa_num,0))="Facture d'acompte",MATCH(L14,fa_num,0),""),""))</f>
        <v/>
      </c>
      <c r="AS14" s="62" t="str">
        <f>IF(W14="","",IF(W14&lt;=0,"",IF(p_asof-P14&lt;=0,"Non échu",IF(p_asof-P14&lt;=30,"1-30 j",IF(p_asof-P14&lt;=60,"31-60 j",IF(p_asof-P14&lt;=90,"61-90 j","Plus de 90 j"))))))</f>
        <v/>
      </c>
      <c r="AT14" s="62" t="str">
        <f>IF(AS14="","",p_asof-P14)</f>
        <v/>
      </c>
      <c r="AU14" s="62" t="str">
        <f>IF(AT14="","",COUNTIF($AT$6:$AT$805,"&gt;"&amp;AT14)+COUNTIF($AT$6:AT14,AT14))</f>
        <v/>
      </c>
    </row>
    <row r="15">
      <c r="A15" s="59" t="str">
        <f>IF(AE15="","",AB15&amp;"-"&amp;AD15&amp;"-"&amp;RIGHT("000"&amp;AE15,4))</f>
        <v/>
      </c>
      <c r="B15" s="60" t="n"/>
      <c r="C15" s="61" t="n"/>
      <c r="D15" s="60" t="n"/>
      <c r="E15" s="62" t="str">
        <f>IF(D15="","",IFERROR(INDEX(cli_name,MATCH(D15,cli_code,0))&amp;"","Client inconnu"))</f>
        <v/>
      </c>
      <c r="F15" s="60" t="n"/>
      <c r="G15" s="63" t="n"/>
      <c r="H15" s="61" t="n"/>
      <c r="I15" s="63" t="n"/>
      <c r="J15" s="60" t="n"/>
      <c r="K15" s="61" t="n"/>
      <c r="L15" s="60" t="n"/>
      <c r="M15" s="60" t="n"/>
      <c r="N15" s="60" t="n"/>
      <c r="O15" s="61" t="n"/>
      <c r="P15" s="64" t="str">
        <f>IF(A15="","",IF(AA15="Avoir",AC15,IF(ISNUMBER(K15),K15,AC15+IF(D15="",N(p_delay),IFERROR(IF(ISNUMBER(INDEX(cli_delay,MATCH(D15,cli_code,0))),INDEX(cli_delay,MATCH(D15,cli_code,0)),N(p_delay)),N(p_delay))))))</f>
        <v/>
      </c>
      <c r="Q15" s="65" t="str">
        <f>IF(A15="","",IF(AA15="Avoir",-1,1)*ROUND(AJ15-IF(AR15="",0,INDEX(fa_htb,AR15)),2))</f>
        <v/>
      </c>
      <c r="R15" s="65" t="str">
        <f>IF(A15="","",IF(AA15="Avoir",-1,1)*ROUND(AQ15-IF(AR15="",0,INDEX(fa_tvab,AR15)),2))</f>
        <v/>
      </c>
      <c r="S15" s="65" t="str">
        <f>IF(A15="","",Q15+R15)</f>
        <v/>
      </c>
      <c r="T15" s="65" t="str">
        <f>IF(AR15="","",INDEX(fa_htb,AR15)+INDEX(fa_tvab,AR15))</f>
        <v/>
      </c>
      <c r="U15" s="65" t="str">
        <f>IF(A15="","",SUMIF(pa_inv,A15,pa_amt))</f>
        <v/>
      </c>
      <c r="V15" s="65" t="str">
        <f>IF(OR(A15="",AA15="Avoir"),"",-SUMIFS(fa_ttc,fa_avof,A15,fa_type,"Avoir"))</f>
        <v/>
      </c>
      <c r="W15" s="65" t="str">
        <f>IF(OR(A15="",AA15="Avoir"),"",ROUND(S15-U15-V15,2))</f>
        <v/>
      </c>
      <c r="X15" s="66" t="str">
        <f>IF(W15="","",IF(AND(W15&gt;0,p_asof&gt;P15),p_asof-P15,""))</f>
        <v/>
      </c>
      <c r="Y15" s="59" t="str">
        <f>IF(A15="","",IF(AA15="Avoir","Avoir",IF(W15&lt;0,"Trop-perçu",IF(W15=0,"Soldée",IF(p_asof&gt;P15,"En retard",IF(U15+V15&gt;0,"Partielle","À échoir"))))))</f>
        <v/>
      </c>
      <c r="Z15" s="59" t="str">
        <f>IF(NOT(COUNTA(B15:D15,F15:O15)&gt;0),"",IF(C15="","Date manquante",IF(NOT(ISNUMBER(C15)),"Date invalide",IF(D15="","Client manquant",IF(ISNA(MATCH(D15,cli_code,0)),"Client inconnu",IF(AC15&lt;SUMPRODUCT(MAX(($AB$6:AB14=AB15)*$AC$6:AC14)),"Date antérieure à la facture précédente",IF(AND(F15&lt;&gt;"",ISNA(MATCH(F15,dv_num,0))),"Devis inconnu",IF(AND(F15&lt;&gt;"",IFERROR(INDEX(dv_client,MATCH(F15,dv_num,0)),D15)&lt;&gt;D15),"Client différent de celui du devis",IF(AG15="","Aucune ligne : saisissez des lignes ou un devis",IF(AND(AI15&lt;&gt;"",COUNTIF($AI$6:AI15,AI15)&gt;1),"Devis déjà repris par une autre facture",IF(AND(AA15="Avoir",M15=""),"Avoir : indiquez la facture d'origine",IF(AND(AA15="Avoir",ISNA(MATCH(M15,fa_num,0))),"Facture d'origine inconnue",IF(AND(AA15&lt;&gt;"Avoir",M15&lt;&gt;""),"« Avoir sur facture » : réservé aux avoirs",IF(AND(L15&lt;&gt;"",AA15&lt;&gt;"Facture"),"Acompte à déduire : réservé aux factures",IF(AND(L15&lt;&gt;"",ISNA(MATCH(L15,fa_num,0))),"Facture d'acompte inconnue",IF(AND(L15&lt;&gt;"",IFERROR(INDEX(fa_type,MATCH(L15,fa_num,0)),"")&lt;&gt;"Facture d'acompte"),"Le n° à déduire n'est pas une facture d'acompte",IF(AND(L15&lt;&gt;"",COUNTIF($L$6:L15,L15)&gt;1),"Acompte déjà déduit sur une autre facture",IF(AND(L15&lt;&gt;"",IFERROR(INDEX(fa_client,MATCH(L15,fa_num,0)),D15)&lt;&gt;D15),"Acompte d'un autre client",IF(AND(AR15&lt;&gt;"",N(Q15)&lt;0),"Acompte supérieur au total de la facture",IF(IF(AG15="Facture",COUNTIFS(fl_doc,A15,fl_check,"&lt;&gt;OK"),IF(AG15="Devis",COUNTIFS(dl_doc,F15,dl_check,"&lt;&gt;OK"),0))&gt;0,"Ligne(s) à corriger",IF(AND(W15&lt;&gt;"",N(W15)&lt;0),"Trop-perçu : vérifiez paiements et avoirs","OK")))))))))))))))))))))</f>
        <v/>
      </c>
      <c r="AA15" s="62" t="str">
        <f>IF(COUNTA(B15:D15,F15:O15)&gt;0,IF(B15="","Facture",B15),"")</f>
        <v/>
      </c>
      <c r="AB15" s="62" t="str">
        <f>IF(AA15="","",IF(AA15="Avoir",p_pav,IF(AA15="Facture d'acompte",p_pac,p_pfa)))</f>
        <v/>
      </c>
      <c r="AC15" s="62">
        <f>IF(ISNUMBER(C15),C15,0)</f>
        <v>0.0</v>
      </c>
      <c r="AD15" s="62" t="str">
        <f>IF(OR(AA15="",AC15=0),"",YEAR(AC15))</f>
        <v/>
      </c>
      <c r="AE15" s="62" t="str">
        <f>IF(AD15="","",COUNTIFS($AB$6:AB15,AB15,$AD$6:AD15,AD15))</f>
        <v/>
      </c>
      <c r="AF15" s="62">
        <f>IF(A15="",0,COUNTIF(fl_doc,A15))</f>
        <v>0.0</v>
      </c>
      <c r="AG15" s="62" t="str">
        <f>IF(A15="","",IF(AF15&gt;0,"Facture",IF(AND(F15&lt;&gt;"",AA15="Facture",ISNUMBER(MATCH(F15,dv_num,0))),"Devis","")))</f>
        <v/>
      </c>
      <c r="AH15" s="62" t="str">
        <f>IF(AND(A15&lt;&gt;"",F15&lt;&gt;"",AA15&lt;&gt;"Avoir"),F15,"")</f>
        <v/>
      </c>
      <c r="AI15" s="62" t="str">
        <f>IF(AG15="Devis",F15,"")</f>
        <v/>
      </c>
      <c r="AJ15" s="62">
        <f>IF(AG15="Facture",SUMIF(fl_doc,A15,fl_ht),IF(AG15="Devis",SUMIF(dl_doc,F15,dl_ht),0))</f>
        <v>0.0</v>
      </c>
      <c r="AK15" s="62">
        <f>IF(OR(AG15="",INDEX(p_rates,1)=""),0,IF(AG15="Facture",SUMIFS(fl_ht,fl_doc,A15,fl_rate,INDEX(p_rates,1)),SUMIFS(dl_ht,dl_doc,F15,dl_rate,INDEX(p_rates,1))))</f>
        <v>0.0</v>
      </c>
      <c r="AL15" s="62">
        <f>IF(OR(AG15="",INDEX(p_rates,2)=""),0,IF(AG15="Facture",SUMIFS(fl_ht,fl_doc,A15,fl_rate,INDEX(p_rates,2)),SUMIFS(dl_ht,dl_doc,F15,dl_rate,INDEX(p_rates,2))))</f>
        <v>0.0</v>
      </c>
      <c r="AM15" s="62">
        <f>IF(OR(AG15="",INDEX(p_rates,3)=""),0,IF(AG15="Facture",SUMIFS(fl_ht,fl_doc,A15,fl_rate,INDEX(p_rates,3)),SUMIFS(dl_ht,dl_doc,F15,dl_rate,INDEX(p_rates,3))))</f>
        <v>0.0</v>
      </c>
      <c r="AN15" s="62">
        <f>IF(OR(AG15="",INDEX(p_rates,4)=""),0,IF(AG15="Facture",SUMIFS(fl_ht,fl_doc,A15,fl_rate,INDEX(p_rates,4)),SUMIFS(dl_ht,dl_doc,F15,dl_rate,INDEX(p_rates,4))))</f>
        <v>0.0</v>
      </c>
      <c r="AO15" s="62">
        <f>IF(OR(AG15="",INDEX(p_rates,5)=""),0,IF(AG15="Facture",SUMIFS(fl_ht,fl_doc,A15,fl_rate,INDEX(p_rates,5)),SUMIFS(dl_ht,dl_doc,F15,dl_rate,INDEX(p_rates,5))))</f>
        <v>0.0</v>
      </c>
      <c r="AP15" s="62">
        <f>IF(OR(AG15="",INDEX(p_rates,6)=""),0,IF(AG15="Facture",SUMIFS(fl_ht,fl_doc,A15,fl_rate,INDEX(p_rates,6)),SUMIFS(dl_ht,dl_doc,F15,dl_rate,INDEX(p_rates,6))))</f>
        <v>0.0</v>
      </c>
      <c r="AQ15" s="62">
        <f>ROUND(AK15*N(INDEX(p_rates,1)),2)+ROUND(AL15*N(INDEX(p_rates,2)),2)+ROUND(AM15*N(INDEX(p_rates,3)),2)+ROUND(AN15*N(INDEX(p_rates,4)),2)+ROUND(AO15*N(INDEX(p_rates,5)),2)+ROUND(AP15*N(INDEX(p_rates,6)),2)</f>
        <v>0.0</v>
      </c>
      <c r="AR15" s="62" t="str">
        <f>IF(OR(L15="",AA15&lt;&gt;"Facture"),"",IFERROR(IF(INDEX(fa_type,MATCH(L15,fa_num,0))="Facture d'acompte",MATCH(L15,fa_num,0),""),""))</f>
        <v/>
      </c>
      <c r="AS15" s="62" t="str">
        <f>IF(W15="","",IF(W15&lt;=0,"",IF(p_asof-P15&lt;=0,"Non échu",IF(p_asof-P15&lt;=30,"1-30 j",IF(p_asof-P15&lt;=60,"31-60 j",IF(p_asof-P15&lt;=90,"61-90 j","Plus de 90 j"))))))</f>
        <v/>
      </c>
      <c r="AT15" s="62" t="str">
        <f>IF(AS15="","",p_asof-P15)</f>
        <v/>
      </c>
      <c r="AU15" s="62" t="str">
        <f>IF(AT15="","",COUNTIF($AT$6:$AT$805,"&gt;"&amp;AT15)+COUNTIF($AT$6:AT15,AT15))</f>
        <v/>
      </c>
    </row>
    <row r="16">
      <c r="A16" s="59" t="str">
        <f>IF(AE16="","",AB16&amp;"-"&amp;AD16&amp;"-"&amp;RIGHT("000"&amp;AE16,4))</f>
        <v/>
      </c>
      <c r="B16" s="60" t="n"/>
      <c r="C16" s="61" t="n"/>
      <c r="D16" s="60" t="n"/>
      <c r="E16" s="62" t="str">
        <f>IF(D16="","",IFERROR(INDEX(cli_name,MATCH(D16,cli_code,0))&amp;"","Client inconnu"))</f>
        <v/>
      </c>
      <c r="F16" s="60" t="n"/>
      <c r="G16" s="63" t="n"/>
      <c r="H16" s="61" t="n"/>
      <c r="I16" s="63" t="n"/>
      <c r="J16" s="60" t="n"/>
      <c r="K16" s="61" t="n"/>
      <c r="L16" s="60" t="n"/>
      <c r="M16" s="60" t="n"/>
      <c r="N16" s="60" t="n"/>
      <c r="O16" s="61" t="n"/>
      <c r="P16" s="64" t="str">
        <f>IF(A16="","",IF(AA16="Avoir",AC16,IF(ISNUMBER(K16),K16,AC16+IF(D16="",N(p_delay),IFERROR(IF(ISNUMBER(INDEX(cli_delay,MATCH(D16,cli_code,0))),INDEX(cli_delay,MATCH(D16,cli_code,0)),N(p_delay)),N(p_delay))))))</f>
        <v/>
      </c>
      <c r="Q16" s="65" t="str">
        <f>IF(A16="","",IF(AA16="Avoir",-1,1)*ROUND(AJ16-IF(AR16="",0,INDEX(fa_htb,AR16)),2))</f>
        <v/>
      </c>
      <c r="R16" s="65" t="str">
        <f>IF(A16="","",IF(AA16="Avoir",-1,1)*ROUND(AQ16-IF(AR16="",0,INDEX(fa_tvab,AR16)),2))</f>
        <v/>
      </c>
      <c r="S16" s="65" t="str">
        <f>IF(A16="","",Q16+R16)</f>
        <v/>
      </c>
      <c r="T16" s="65" t="str">
        <f>IF(AR16="","",INDEX(fa_htb,AR16)+INDEX(fa_tvab,AR16))</f>
        <v/>
      </c>
      <c r="U16" s="65" t="str">
        <f>IF(A16="","",SUMIF(pa_inv,A16,pa_amt))</f>
        <v/>
      </c>
      <c r="V16" s="65" t="str">
        <f>IF(OR(A16="",AA16="Avoir"),"",-SUMIFS(fa_ttc,fa_avof,A16,fa_type,"Avoir"))</f>
        <v/>
      </c>
      <c r="W16" s="65" t="str">
        <f>IF(OR(A16="",AA16="Avoir"),"",ROUND(S16-U16-V16,2))</f>
        <v/>
      </c>
      <c r="X16" s="66" t="str">
        <f>IF(W16="","",IF(AND(W16&gt;0,p_asof&gt;P16),p_asof-P16,""))</f>
        <v/>
      </c>
      <c r="Y16" s="59" t="str">
        <f>IF(A16="","",IF(AA16="Avoir","Avoir",IF(W16&lt;0,"Trop-perçu",IF(W16=0,"Soldée",IF(p_asof&gt;P16,"En retard",IF(U16+V16&gt;0,"Partielle","À échoir"))))))</f>
        <v/>
      </c>
      <c r="Z16" s="59" t="str">
        <f>IF(NOT(COUNTA(B16:D16,F16:O16)&gt;0),"",IF(C16="","Date manquante",IF(NOT(ISNUMBER(C16)),"Date invalide",IF(D16="","Client manquant",IF(ISNA(MATCH(D16,cli_code,0)),"Client inconnu",IF(AC16&lt;SUMPRODUCT(MAX(($AB$6:AB15=AB16)*$AC$6:AC15)),"Date antérieure à la facture précédente",IF(AND(F16&lt;&gt;"",ISNA(MATCH(F16,dv_num,0))),"Devis inconnu",IF(AND(F16&lt;&gt;"",IFERROR(INDEX(dv_client,MATCH(F16,dv_num,0)),D16)&lt;&gt;D16),"Client différent de celui du devis",IF(AG16="","Aucune ligne : saisissez des lignes ou un devis",IF(AND(AI16&lt;&gt;"",COUNTIF($AI$6:AI16,AI16)&gt;1),"Devis déjà repris par une autre facture",IF(AND(AA16="Avoir",M16=""),"Avoir : indiquez la facture d'origine",IF(AND(AA16="Avoir",ISNA(MATCH(M16,fa_num,0))),"Facture d'origine inconnue",IF(AND(AA16&lt;&gt;"Avoir",M16&lt;&gt;""),"« Avoir sur facture » : réservé aux avoirs",IF(AND(L16&lt;&gt;"",AA16&lt;&gt;"Facture"),"Acompte à déduire : réservé aux factures",IF(AND(L16&lt;&gt;"",ISNA(MATCH(L16,fa_num,0))),"Facture d'acompte inconnue",IF(AND(L16&lt;&gt;"",IFERROR(INDEX(fa_type,MATCH(L16,fa_num,0)),"")&lt;&gt;"Facture d'acompte"),"Le n° à déduire n'est pas une facture d'acompte",IF(AND(L16&lt;&gt;"",COUNTIF($L$6:L16,L16)&gt;1),"Acompte déjà déduit sur une autre facture",IF(AND(L16&lt;&gt;"",IFERROR(INDEX(fa_client,MATCH(L16,fa_num,0)),D16)&lt;&gt;D16),"Acompte d'un autre client",IF(AND(AR16&lt;&gt;"",N(Q16)&lt;0),"Acompte supérieur au total de la facture",IF(IF(AG16="Facture",COUNTIFS(fl_doc,A16,fl_check,"&lt;&gt;OK"),IF(AG16="Devis",COUNTIFS(dl_doc,F16,dl_check,"&lt;&gt;OK"),0))&gt;0,"Ligne(s) à corriger",IF(AND(W16&lt;&gt;"",N(W16)&lt;0),"Trop-perçu : vérifiez paiements et avoirs","OK")))))))))))))))))))))</f>
        <v/>
      </c>
      <c r="AA16" s="62" t="str">
        <f>IF(COUNTA(B16:D16,F16:O16)&gt;0,IF(B16="","Facture",B16),"")</f>
        <v/>
      </c>
      <c r="AB16" s="62" t="str">
        <f>IF(AA16="","",IF(AA16="Avoir",p_pav,IF(AA16="Facture d'acompte",p_pac,p_pfa)))</f>
        <v/>
      </c>
      <c r="AC16" s="62">
        <f>IF(ISNUMBER(C16),C16,0)</f>
        <v>0.0</v>
      </c>
      <c r="AD16" s="62" t="str">
        <f>IF(OR(AA16="",AC16=0),"",YEAR(AC16))</f>
        <v/>
      </c>
      <c r="AE16" s="62" t="str">
        <f>IF(AD16="","",COUNTIFS($AB$6:AB16,AB16,$AD$6:AD16,AD16))</f>
        <v/>
      </c>
      <c r="AF16" s="62">
        <f>IF(A16="",0,COUNTIF(fl_doc,A16))</f>
        <v>0.0</v>
      </c>
      <c r="AG16" s="62" t="str">
        <f>IF(A16="","",IF(AF16&gt;0,"Facture",IF(AND(F16&lt;&gt;"",AA16="Facture",ISNUMBER(MATCH(F16,dv_num,0))),"Devis","")))</f>
        <v/>
      </c>
      <c r="AH16" s="62" t="str">
        <f>IF(AND(A16&lt;&gt;"",F16&lt;&gt;"",AA16&lt;&gt;"Avoir"),F16,"")</f>
        <v/>
      </c>
      <c r="AI16" s="62" t="str">
        <f>IF(AG16="Devis",F16,"")</f>
        <v/>
      </c>
      <c r="AJ16" s="62">
        <f>IF(AG16="Facture",SUMIF(fl_doc,A16,fl_ht),IF(AG16="Devis",SUMIF(dl_doc,F16,dl_ht),0))</f>
        <v>0.0</v>
      </c>
      <c r="AK16" s="62">
        <f>IF(OR(AG16="",INDEX(p_rates,1)=""),0,IF(AG16="Facture",SUMIFS(fl_ht,fl_doc,A16,fl_rate,INDEX(p_rates,1)),SUMIFS(dl_ht,dl_doc,F16,dl_rate,INDEX(p_rates,1))))</f>
        <v>0.0</v>
      </c>
      <c r="AL16" s="62">
        <f>IF(OR(AG16="",INDEX(p_rates,2)=""),0,IF(AG16="Facture",SUMIFS(fl_ht,fl_doc,A16,fl_rate,INDEX(p_rates,2)),SUMIFS(dl_ht,dl_doc,F16,dl_rate,INDEX(p_rates,2))))</f>
        <v>0.0</v>
      </c>
      <c r="AM16" s="62">
        <f>IF(OR(AG16="",INDEX(p_rates,3)=""),0,IF(AG16="Facture",SUMIFS(fl_ht,fl_doc,A16,fl_rate,INDEX(p_rates,3)),SUMIFS(dl_ht,dl_doc,F16,dl_rate,INDEX(p_rates,3))))</f>
        <v>0.0</v>
      </c>
      <c r="AN16" s="62">
        <f>IF(OR(AG16="",INDEX(p_rates,4)=""),0,IF(AG16="Facture",SUMIFS(fl_ht,fl_doc,A16,fl_rate,INDEX(p_rates,4)),SUMIFS(dl_ht,dl_doc,F16,dl_rate,INDEX(p_rates,4))))</f>
        <v>0.0</v>
      </c>
      <c r="AO16" s="62">
        <f>IF(OR(AG16="",INDEX(p_rates,5)=""),0,IF(AG16="Facture",SUMIFS(fl_ht,fl_doc,A16,fl_rate,INDEX(p_rates,5)),SUMIFS(dl_ht,dl_doc,F16,dl_rate,INDEX(p_rates,5))))</f>
        <v>0.0</v>
      </c>
      <c r="AP16" s="62">
        <f>IF(OR(AG16="",INDEX(p_rates,6)=""),0,IF(AG16="Facture",SUMIFS(fl_ht,fl_doc,A16,fl_rate,INDEX(p_rates,6)),SUMIFS(dl_ht,dl_doc,F16,dl_rate,INDEX(p_rates,6))))</f>
        <v>0.0</v>
      </c>
      <c r="AQ16" s="62">
        <f>ROUND(AK16*N(INDEX(p_rates,1)),2)+ROUND(AL16*N(INDEX(p_rates,2)),2)+ROUND(AM16*N(INDEX(p_rates,3)),2)+ROUND(AN16*N(INDEX(p_rates,4)),2)+ROUND(AO16*N(INDEX(p_rates,5)),2)+ROUND(AP16*N(INDEX(p_rates,6)),2)</f>
        <v>0.0</v>
      </c>
      <c r="AR16" s="62" t="str">
        <f>IF(OR(L16="",AA16&lt;&gt;"Facture"),"",IFERROR(IF(INDEX(fa_type,MATCH(L16,fa_num,0))="Facture d'acompte",MATCH(L16,fa_num,0),""),""))</f>
        <v/>
      </c>
      <c r="AS16" s="62" t="str">
        <f>IF(W16="","",IF(W16&lt;=0,"",IF(p_asof-P16&lt;=0,"Non échu",IF(p_asof-P16&lt;=30,"1-30 j",IF(p_asof-P16&lt;=60,"31-60 j",IF(p_asof-P16&lt;=90,"61-90 j","Plus de 90 j"))))))</f>
        <v/>
      </c>
      <c r="AT16" s="62" t="str">
        <f>IF(AS16="","",p_asof-P16)</f>
        <v/>
      </c>
      <c r="AU16" s="62" t="str">
        <f>IF(AT16="","",COUNTIF($AT$6:$AT$805,"&gt;"&amp;AT16)+COUNTIF($AT$6:AT16,AT16))</f>
        <v/>
      </c>
    </row>
    <row r="17">
      <c r="A17" s="59" t="str">
        <f>IF(AE17="","",AB17&amp;"-"&amp;AD17&amp;"-"&amp;RIGHT("000"&amp;AE17,4))</f>
        <v/>
      </c>
      <c r="B17" s="60" t="n"/>
      <c r="C17" s="61" t="n"/>
      <c r="D17" s="60" t="n"/>
      <c r="E17" s="62" t="str">
        <f>IF(D17="","",IFERROR(INDEX(cli_name,MATCH(D17,cli_code,0))&amp;"","Client inconnu"))</f>
        <v/>
      </c>
      <c r="F17" s="60" t="n"/>
      <c r="G17" s="63" t="n"/>
      <c r="H17" s="61" t="n"/>
      <c r="I17" s="63" t="n"/>
      <c r="J17" s="60" t="n"/>
      <c r="K17" s="61" t="n"/>
      <c r="L17" s="60" t="n"/>
      <c r="M17" s="60" t="n"/>
      <c r="N17" s="60" t="n"/>
      <c r="O17" s="61" t="n"/>
      <c r="P17" s="64" t="str">
        <f>IF(A17="","",IF(AA17="Avoir",AC17,IF(ISNUMBER(K17),K17,AC17+IF(D17="",N(p_delay),IFERROR(IF(ISNUMBER(INDEX(cli_delay,MATCH(D17,cli_code,0))),INDEX(cli_delay,MATCH(D17,cli_code,0)),N(p_delay)),N(p_delay))))))</f>
        <v/>
      </c>
      <c r="Q17" s="65" t="str">
        <f>IF(A17="","",IF(AA17="Avoir",-1,1)*ROUND(AJ17-IF(AR17="",0,INDEX(fa_htb,AR17)),2))</f>
        <v/>
      </c>
      <c r="R17" s="65" t="str">
        <f>IF(A17="","",IF(AA17="Avoir",-1,1)*ROUND(AQ17-IF(AR17="",0,INDEX(fa_tvab,AR17)),2))</f>
        <v/>
      </c>
      <c r="S17" s="65" t="str">
        <f>IF(A17="","",Q17+R17)</f>
        <v/>
      </c>
      <c r="T17" s="65" t="str">
        <f>IF(AR17="","",INDEX(fa_htb,AR17)+INDEX(fa_tvab,AR17))</f>
        <v/>
      </c>
      <c r="U17" s="65" t="str">
        <f>IF(A17="","",SUMIF(pa_inv,A17,pa_amt))</f>
        <v/>
      </c>
      <c r="V17" s="65" t="str">
        <f>IF(OR(A17="",AA17="Avoir"),"",-SUMIFS(fa_ttc,fa_avof,A17,fa_type,"Avoir"))</f>
        <v/>
      </c>
      <c r="W17" s="65" t="str">
        <f>IF(OR(A17="",AA17="Avoir"),"",ROUND(S17-U17-V17,2))</f>
        <v/>
      </c>
      <c r="X17" s="66" t="str">
        <f>IF(W17="","",IF(AND(W17&gt;0,p_asof&gt;P17),p_asof-P17,""))</f>
        <v/>
      </c>
      <c r="Y17" s="59" t="str">
        <f>IF(A17="","",IF(AA17="Avoir","Avoir",IF(W17&lt;0,"Trop-perçu",IF(W17=0,"Soldée",IF(p_asof&gt;P17,"En retard",IF(U17+V17&gt;0,"Partielle","À échoir"))))))</f>
        <v/>
      </c>
      <c r="Z17" s="59" t="str">
        <f>IF(NOT(COUNTA(B17:D17,F17:O17)&gt;0),"",IF(C17="","Date manquante",IF(NOT(ISNUMBER(C17)),"Date invalide",IF(D17="","Client manquant",IF(ISNA(MATCH(D17,cli_code,0)),"Client inconnu",IF(AC17&lt;SUMPRODUCT(MAX(($AB$6:AB16=AB17)*$AC$6:AC16)),"Date antérieure à la facture précédente",IF(AND(F17&lt;&gt;"",ISNA(MATCH(F17,dv_num,0))),"Devis inconnu",IF(AND(F17&lt;&gt;"",IFERROR(INDEX(dv_client,MATCH(F17,dv_num,0)),D17)&lt;&gt;D17),"Client différent de celui du devis",IF(AG17="","Aucune ligne : saisissez des lignes ou un devis",IF(AND(AI17&lt;&gt;"",COUNTIF($AI$6:AI17,AI17)&gt;1),"Devis déjà repris par une autre facture",IF(AND(AA17="Avoir",M17=""),"Avoir : indiquez la facture d'origine",IF(AND(AA17="Avoir",ISNA(MATCH(M17,fa_num,0))),"Facture d'origine inconnue",IF(AND(AA17&lt;&gt;"Avoir",M17&lt;&gt;""),"« Avoir sur facture » : réservé aux avoirs",IF(AND(L17&lt;&gt;"",AA17&lt;&gt;"Facture"),"Acompte à déduire : réservé aux factures",IF(AND(L17&lt;&gt;"",ISNA(MATCH(L17,fa_num,0))),"Facture d'acompte inconnue",IF(AND(L17&lt;&gt;"",IFERROR(INDEX(fa_type,MATCH(L17,fa_num,0)),"")&lt;&gt;"Facture d'acompte"),"Le n° à déduire n'est pas une facture d'acompte",IF(AND(L17&lt;&gt;"",COUNTIF($L$6:L17,L17)&gt;1),"Acompte déjà déduit sur une autre facture",IF(AND(L17&lt;&gt;"",IFERROR(INDEX(fa_client,MATCH(L17,fa_num,0)),D17)&lt;&gt;D17),"Acompte d'un autre client",IF(AND(AR17&lt;&gt;"",N(Q17)&lt;0),"Acompte supérieur au total de la facture",IF(IF(AG17="Facture",COUNTIFS(fl_doc,A17,fl_check,"&lt;&gt;OK"),IF(AG17="Devis",COUNTIFS(dl_doc,F17,dl_check,"&lt;&gt;OK"),0))&gt;0,"Ligne(s) à corriger",IF(AND(W17&lt;&gt;"",N(W17)&lt;0),"Trop-perçu : vérifiez paiements et avoirs","OK")))))))))))))))))))))</f>
        <v/>
      </c>
      <c r="AA17" s="62" t="str">
        <f>IF(COUNTA(B17:D17,F17:O17)&gt;0,IF(B17="","Facture",B17),"")</f>
        <v/>
      </c>
      <c r="AB17" s="62" t="str">
        <f>IF(AA17="","",IF(AA17="Avoir",p_pav,IF(AA17="Facture d'acompte",p_pac,p_pfa)))</f>
        <v/>
      </c>
      <c r="AC17" s="62">
        <f>IF(ISNUMBER(C17),C17,0)</f>
        <v>0.0</v>
      </c>
      <c r="AD17" s="62" t="str">
        <f>IF(OR(AA17="",AC17=0),"",YEAR(AC17))</f>
        <v/>
      </c>
      <c r="AE17" s="62" t="str">
        <f>IF(AD17="","",COUNTIFS($AB$6:AB17,AB17,$AD$6:AD17,AD17))</f>
        <v/>
      </c>
      <c r="AF17" s="62">
        <f>IF(A17="",0,COUNTIF(fl_doc,A17))</f>
        <v>0.0</v>
      </c>
      <c r="AG17" s="62" t="str">
        <f>IF(A17="","",IF(AF17&gt;0,"Facture",IF(AND(F17&lt;&gt;"",AA17="Facture",ISNUMBER(MATCH(F17,dv_num,0))),"Devis","")))</f>
        <v/>
      </c>
      <c r="AH17" s="62" t="str">
        <f>IF(AND(A17&lt;&gt;"",F17&lt;&gt;"",AA17&lt;&gt;"Avoir"),F17,"")</f>
        <v/>
      </c>
      <c r="AI17" s="62" t="str">
        <f>IF(AG17="Devis",F17,"")</f>
        <v/>
      </c>
      <c r="AJ17" s="62">
        <f>IF(AG17="Facture",SUMIF(fl_doc,A17,fl_ht),IF(AG17="Devis",SUMIF(dl_doc,F17,dl_ht),0))</f>
        <v>0.0</v>
      </c>
      <c r="AK17" s="62">
        <f>IF(OR(AG17="",INDEX(p_rates,1)=""),0,IF(AG17="Facture",SUMIFS(fl_ht,fl_doc,A17,fl_rate,INDEX(p_rates,1)),SUMIFS(dl_ht,dl_doc,F17,dl_rate,INDEX(p_rates,1))))</f>
        <v>0.0</v>
      </c>
      <c r="AL17" s="62">
        <f>IF(OR(AG17="",INDEX(p_rates,2)=""),0,IF(AG17="Facture",SUMIFS(fl_ht,fl_doc,A17,fl_rate,INDEX(p_rates,2)),SUMIFS(dl_ht,dl_doc,F17,dl_rate,INDEX(p_rates,2))))</f>
        <v>0.0</v>
      </c>
      <c r="AM17" s="62">
        <f>IF(OR(AG17="",INDEX(p_rates,3)=""),0,IF(AG17="Facture",SUMIFS(fl_ht,fl_doc,A17,fl_rate,INDEX(p_rates,3)),SUMIFS(dl_ht,dl_doc,F17,dl_rate,INDEX(p_rates,3))))</f>
        <v>0.0</v>
      </c>
      <c r="AN17" s="62">
        <f>IF(OR(AG17="",INDEX(p_rates,4)=""),0,IF(AG17="Facture",SUMIFS(fl_ht,fl_doc,A17,fl_rate,INDEX(p_rates,4)),SUMIFS(dl_ht,dl_doc,F17,dl_rate,INDEX(p_rates,4))))</f>
        <v>0.0</v>
      </c>
      <c r="AO17" s="62">
        <f>IF(OR(AG17="",INDEX(p_rates,5)=""),0,IF(AG17="Facture",SUMIFS(fl_ht,fl_doc,A17,fl_rate,INDEX(p_rates,5)),SUMIFS(dl_ht,dl_doc,F17,dl_rate,INDEX(p_rates,5))))</f>
        <v>0.0</v>
      </c>
      <c r="AP17" s="62">
        <f>IF(OR(AG17="",INDEX(p_rates,6)=""),0,IF(AG17="Facture",SUMIFS(fl_ht,fl_doc,A17,fl_rate,INDEX(p_rates,6)),SUMIFS(dl_ht,dl_doc,F17,dl_rate,INDEX(p_rates,6))))</f>
        <v>0.0</v>
      </c>
      <c r="AQ17" s="62">
        <f>ROUND(AK17*N(INDEX(p_rates,1)),2)+ROUND(AL17*N(INDEX(p_rates,2)),2)+ROUND(AM17*N(INDEX(p_rates,3)),2)+ROUND(AN17*N(INDEX(p_rates,4)),2)+ROUND(AO17*N(INDEX(p_rates,5)),2)+ROUND(AP17*N(INDEX(p_rates,6)),2)</f>
        <v>0.0</v>
      </c>
      <c r="AR17" s="62" t="str">
        <f>IF(OR(L17="",AA17&lt;&gt;"Facture"),"",IFERROR(IF(INDEX(fa_type,MATCH(L17,fa_num,0))="Facture d'acompte",MATCH(L17,fa_num,0),""),""))</f>
        <v/>
      </c>
      <c r="AS17" s="62" t="str">
        <f>IF(W17="","",IF(W17&lt;=0,"",IF(p_asof-P17&lt;=0,"Non échu",IF(p_asof-P17&lt;=30,"1-30 j",IF(p_asof-P17&lt;=60,"31-60 j",IF(p_asof-P17&lt;=90,"61-90 j","Plus de 90 j"))))))</f>
        <v/>
      </c>
      <c r="AT17" s="62" t="str">
        <f>IF(AS17="","",p_asof-P17)</f>
        <v/>
      </c>
      <c r="AU17" s="62" t="str">
        <f>IF(AT17="","",COUNTIF($AT$6:$AT$805,"&gt;"&amp;AT17)+COUNTIF($AT$6:AT17,AT17))</f>
        <v/>
      </c>
    </row>
    <row r="18">
      <c r="A18" s="59" t="str">
        <f>IF(AE18="","",AB18&amp;"-"&amp;AD18&amp;"-"&amp;RIGHT("000"&amp;AE18,4))</f>
        <v/>
      </c>
      <c r="B18" s="60" t="n"/>
      <c r="C18" s="61" t="n"/>
      <c r="D18" s="60" t="n"/>
      <c r="E18" s="62" t="str">
        <f>IF(D18="","",IFERROR(INDEX(cli_name,MATCH(D18,cli_code,0))&amp;"","Client inconnu"))</f>
        <v/>
      </c>
      <c r="F18" s="60" t="n"/>
      <c r="G18" s="63" t="n"/>
      <c r="H18" s="61" t="n"/>
      <c r="I18" s="63" t="n"/>
      <c r="J18" s="60" t="n"/>
      <c r="K18" s="61" t="n"/>
      <c r="L18" s="60" t="n"/>
      <c r="M18" s="60" t="n"/>
      <c r="N18" s="60" t="n"/>
      <c r="O18" s="61" t="n"/>
      <c r="P18" s="64" t="str">
        <f>IF(A18="","",IF(AA18="Avoir",AC18,IF(ISNUMBER(K18),K18,AC18+IF(D18="",N(p_delay),IFERROR(IF(ISNUMBER(INDEX(cli_delay,MATCH(D18,cli_code,0))),INDEX(cli_delay,MATCH(D18,cli_code,0)),N(p_delay)),N(p_delay))))))</f>
        <v/>
      </c>
      <c r="Q18" s="65" t="str">
        <f>IF(A18="","",IF(AA18="Avoir",-1,1)*ROUND(AJ18-IF(AR18="",0,INDEX(fa_htb,AR18)),2))</f>
        <v/>
      </c>
      <c r="R18" s="65" t="str">
        <f>IF(A18="","",IF(AA18="Avoir",-1,1)*ROUND(AQ18-IF(AR18="",0,INDEX(fa_tvab,AR18)),2))</f>
        <v/>
      </c>
      <c r="S18" s="65" t="str">
        <f>IF(A18="","",Q18+R18)</f>
        <v/>
      </c>
      <c r="T18" s="65" t="str">
        <f>IF(AR18="","",INDEX(fa_htb,AR18)+INDEX(fa_tvab,AR18))</f>
        <v/>
      </c>
      <c r="U18" s="65" t="str">
        <f>IF(A18="","",SUMIF(pa_inv,A18,pa_amt))</f>
        <v/>
      </c>
      <c r="V18" s="65" t="str">
        <f>IF(OR(A18="",AA18="Avoir"),"",-SUMIFS(fa_ttc,fa_avof,A18,fa_type,"Avoir"))</f>
        <v/>
      </c>
      <c r="W18" s="65" t="str">
        <f>IF(OR(A18="",AA18="Avoir"),"",ROUND(S18-U18-V18,2))</f>
        <v/>
      </c>
      <c r="X18" s="66" t="str">
        <f>IF(W18="","",IF(AND(W18&gt;0,p_asof&gt;P18),p_asof-P18,""))</f>
        <v/>
      </c>
      <c r="Y18" s="59" t="str">
        <f>IF(A18="","",IF(AA18="Avoir","Avoir",IF(W18&lt;0,"Trop-perçu",IF(W18=0,"Soldée",IF(p_asof&gt;P18,"En retard",IF(U18+V18&gt;0,"Partielle","À échoir"))))))</f>
        <v/>
      </c>
      <c r="Z18" s="59" t="str">
        <f>IF(NOT(COUNTA(B18:D18,F18:O18)&gt;0),"",IF(C18="","Date manquante",IF(NOT(ISNUMBER(C18)),"Date invalide",IF(D18="","Client manquant",IF(ISNA(MATCH(D18,cli_code,0)),"Client inconnu",IF(AC18&lt;SUMPRODUCT(MAX(($AB$6:AB17=AB18)*$AC$6:AC17)),"Date antérieure à la facture précédente",IF(AND(F18&lt;&gt;"",ISNA(MATCH(F18,dv_num,0))),"Devis inconnu",IF(AND(F18&lt;&gt;"",IFERROR(INDEX(dv_client,MATCH(F18,dv_num,0)),D18)&lt;&gt;D18),"Client différent de celui du devis",IF(AG18="","Aucune ligne : saisissez des lignes ou un devis",IF(AND(AI18&lt;&gt;"",COUNTIF($AI$6:AI18,AI18)&gt;1),"Devis déjà repris par une autre facture",IF(AND(AA18="Avoir",M18=""),"Avoir : indiquez la facture d'origine",IF(AND(AA18="Avoir",ISNA(MATCH(M18,fa_num,0))),"Facture d'origine inconnue",IF(AND(AA18&lt;&gt;"Avoir",M18&lt;&gt;""),"« Avoir sur facture » : réservé aux avoirs",IF(AND(L18&lt;&gt;"",AA18&lt;&gt;"Facture"),"Acompte à déduire : réservé aux factures",IF(AND(L18&lt;&gt;"",ISNA(MATCH(L18,fa_num,0))),"Facture d'acompte inconnue",IF(AND(L18&lt;&gt;"",IFERROR(INDEX(fa_type,MATCH(L18,fa_num,0)),"")&lt;&gt;"Facture d'acompte"),"Le n° à déduire n'est pas une facture d'acompte",IF(AND(L18&lt;&gt;"",COUNTIF($L$6:L18,L18)&gt;1),"Acompte déjà déduit sur une autre facture",IF(AND(L18&lt;&gt;"",IFERROR(INDEX(fa_client,MATCH(L18,fa_num,0)),D18)&lt;&gt;D18),"Acompte d'un autre client",IF(AND(AR18&lt;&gt;"",N(Q18)&lt;0),"Acompte supérieur au total de la facture",IF(IF(AG18="Facture",COUNTIFS(fl_doc,A18,fl_check,"&lt;&gt;OK"),IF(AG18="Devis",COUNTIFS(dl_doc,F18,dl_check,"&lt;&gt;OK"),0))&gt;0,"Ligne(s) à corriger",IF(AND(W18&lt;&gt;"",N(W18)&lt;0),"Trop-perçu : vérifiez paiements et avoirs","OK")))))))))))))))))))))</f>
        <v/>
      </c>
      <c r="AA18" s="62" t="str">
        <f>IF(COUNTA(B18:D18,F18:O18)&gt;0,IF(B18="","Facture",B18),"")</f>
        <v/>
      </c>
      <c r="AB18" s="62" t="str">
        <f>IF(AA18="","",IF(AA18="Avoir",p_pav,IF(AA18="Facture d'acompte",p_pac,p_pfa)))</f>
        <v/>
      </c>
      <c r="AC18" s="62">
        <f>IF(ISNUMBER(C18),C18,0)</f>
        <v>0.0</v>
      </c>
      <c r="AD18" s="62" t="str">
        <f>IF(OR(AA18="",AC18=0),"",YEAR(AC18))</f>
        <v/>
      </c>
      <c r="AE18" s="62" t="str">
        <f>IF(AD18="","",COUNTIFS($AB$6:AB18,AB18,$AD$6:AD18,AD18))</f>
        <v/>
      </c>
      <c r="AF18" s="62">
        <f>IF(A18="",0,COUNTIF(fl_doc,A18))</f>
        <v>0.0</v>
      </c>
      <c r="AG18" s="62" t="str">
        <f>IF(A18="","",IF(AF18&gt;0,"Facture",IF(AND(F18&lt;&gt;"",AA18="Facture",ISNUMBER(MATCH(F18,dv_num,0))),"Devis","")))</f>
        <v/>
      </c>
      <c r="AH18" s="62" t="str">
        <f>IF(AND(A18&lt;&gt;"",F18&lt;&gt;"",AA18&lt;&gt;"Avoir"),F18,"")</f>
        <v/>
      </c>
      <c r="AI18" s="62" t="str">
        <f>IF(AG18="Devis",F18,"")</f>
        <v/>
      </c>
      <c r="AJ18" s="62">
        <f>IF(AG18="Facture",SUMIF(fl_doc,A18,fl_ht),IF(AG18="Devis",SUMIF(dl_doc,F18,dl_ht),0))</f>
        <v>0.0</v>
      </c>
      <c r="AK18" s="62">
        <f>IF(OR(AG18="",INDEX(p_rates,1)=""),0,IF(AG18="Facture",SUMIFS(fl_ht,fl_doc,A18,fl_rate,INDEX(p_rates,1)),SUMIFS(dl_ht,dl_doc,F18,dl_rate,INDEX(p_rates,1))))</f>
        <v>0.0</v>
      </c>
      <c r="AL18" s="62">
        <f>IF(OR(AG18="",INDEX(p_rates,2)=""),0,IF(AG18="Facture",SUMIFS(fl_ht,fl_doc,A18,fl_rate,INDEX(p_rates,2)),SUMIFS(dl_ht,dl_doc,F18,dl_rate,INDEX(p_rates,2))))</f>
        <v>0.0</v>
      </c>
      <c r="AM18" s="62">
        <f>IF(OR(AG18="",INDEX(p_rates,3)=""),0,IF(AG18="Facture",SUMIFS(fl_ht,fl_doc,A18,fl_rate,INDEX(p_rates,3)),SUMIFS(dl_ht,dl_doc,F18,dl_rate,INDEX(p_rates,3))))</f>
        <v>0.0</v>
      </c>
      <c r="AN18" s="62">
        <f>IF(OR(AG18="",INDEX(p_rates,4)=""),0,IF(AG18="Facture",SUMIFS(fl_ht,fl_doc,A18,fl_rate,INDEX(p_rates,4)),SUMIFS(dl_ht,dl_doc,F18,dl_rate,INDEX(p_rates,4))))</f>
        <v>0.0</v>
      </c>
      <c r="AO18" s="62">
        <f>IF(OR(AG18="",INDEX(p_rates,5)=""),0,IF(AG18="Facture",SUMIFS(fl_ht,fl_doc,A18,fl_rate,INDEX(p_rates,5)),SUMIFS(dl_ht,dl_doc,F18,dl_rate,INDEX(p_rates,5))))</f>
        <v>0.0</v>
      </c>
      <c r="AP18" s="62">
        <f>IF(OR(AG18="",INDEX(p_rates,6)=""),0,IF(AG18="Facture",SUMIFS(fl_ht,fl_doc,A18,fl_rate,INDEX(p_rates,6)),SUMIFS(dl_ht,dl_doc,F18,dl_rate,INDEX(p_rates,6))))</f>
        <v>0.0</v>
      </c>
      <c r="AQ18" s="62">
        <f>ROUND(AK18*N(INDEX(p_rates,1)),2)+ROUND(AL18*N(INDEX(p_rates,2)),2)+ROUND(AM18*N(INDEX(p_rates,3)),2)+ROUND(AN18*N(INDEX(p_rates,4)),2)+ROUND(AO18*N(INDEX(p_rates,5)),2)+ROUND(AP18*N(INDEX(p_rates,6)),2)</f>
        <v>0.0</v>
      </c>
      <c r="AR18" s="62" t="str">
        <f>IF(OR(L18="",AA18&lt;&gt;"Facture"),"",IFERROR(IF(INDEX(fa_type,MATCH(L18,fa_num,0))="Facture d'acompte",MATCH(L18,fa_num,0),""),""))</f>
        <v/>
      </c>
      <c r="AS18" s="62" t="str">
        <f>IF(W18="","",IF(W18&lt;=0,"",IF(p_asof-P18&lt;=0,"Non échu",IF(p_asof-P18&lt;=30,"1-30 j",IF(p_asof-P18&lt;=60,"31-60 j",IF(p_asof-P18&lt;=90,"61-90 j","Plus de 90 j"))))))</f>
        <v/>
      </c>
      <c r="AT18" s="62" t="str">
        <f>IF(AS18="","",p_asof-P18)</f>
        <v/>
      </c>
      <c r="AU18" s="62" t="str">
        <f>IF(AT18="","",COUNTIF($AT$6:$AT$805,"&gt;"&amp;AT18)+COUNTIF($AT$6:AT18,AT18))</f>
        <v/>
      </c>
    </row>
    <row r="19">
      <c r="A19" s="59" t="str">
        <f>IF(AE19="","",AB19&amp;"-"&amp;AD19&amp;"-"&amp;RIGHT("000"&amp;AE19,4))</f>
        <v/>
      </c>
      <c r="B19" s="60" t="n"/>
      <c r="C19" s="61" t="n"/>
      <c r="D19" s="60" t="n"/>
      <c r="E19" s="62" t="str">
        <f>IF(D19="","",IFERROR(INDEX(cli_name,MATCH(D19,cli_code,0))&amp;"","Client inconnu"))</f>
        <v/>
      </c>
      <c r="F19" s="60" t="n"/>
      <c r="G19" s="63" t="n"/>
      <c r="H19" s="61" t="n"/>
      <c r="I19" s="63" t="n"/>
      <c r="J19" s="60" t="n"/>
      <c r="K19" s="61" t="n"/>
      <c r="L19" s="60" t="n"/>
      <c r="M19" s="60" t="n"/>
      <c r="N19" s="60" t="n"/>
      <c r="O19" s="61" t="n"/>
      <c r="P19" s="64" t="str">
        <f>IF(A19="","",IF(AA19="Avoir",AC19,IF(ISNUMBER(K19),K19,AC19+IF(D19="",N(p_delay),IFERROR(IF(ISNUMBER(INDEX(cli_delay,MATCH(D19,cli_code,0))),INDEX(cli_delay,MATCH(D19,cli_code,0)),N(p_delay)),N(p_delay))))))</f>
        <v/>
      </c>
      <c r="Q19" s="65" t="str">
        <f>IF(A19="","",IF(AA19="Avoir",-1,1)*ROUND(AJ19-IF(AR19="",0,INDEX(fa_htb,AR19)),2))</f>
        <v/>
      </c>
      <c r="R19" s="65" t="str">
        <f>IF(A19="","",IF(AA19="Avoir",-1,1)*ROUND(AQ19-IF(AR19="",0,INDEX(fa_tvab,AR19)),2))</f>
        <v/>
      </c>
      <c r="S19" s="65" t="str">
        <f>IF(A19="","",Q19+R19)</f>
        <v/>
      </c>
      <c r="T19" s="65" t="str">
        <f>IF(AR19="","",INDEX(fa_htb,AR19)+INDEX(fa_tvab,AR19))</f>
        <v/>
      </c>
      <c r="U19" s="65" t="str">
        <f>IF(A19="","",SUMIF(pa_inv,A19,pa_amt))</f>
        <v/>
      </c>
      <c r="V19" s="65" t="str">
        <f>IF(OR(A19="",AA19="Avoir"),"",-SUMIFS(fa_ttc,fa_avof,A19,fa_type,"Avoir"))</f>
        <v/>
      </c>
      <c r="W19" s="65" t="str">
        <f>IF(OR(A19="",AA19="Avoir"),"",ROUND(S19-U19-V19,2))</f>
        <v/>
      </c>
      <c r="X19" s="66" t="str">
        <f>IF(W19="","",IF(AND(W19&gt;0,p_asof&gt;P19),p_asof-P19,""))</f>
        <v/>
      </c>
      <c r="Y19" s="59" t="str">
        <f>IF(A19="","",IF(AA19="Avoir","Avoir",IF(W19&lt;0,"Trop-perçu",IF(W19=0,"Soldée",IF(p_asof&gt;P19,"En retard",IF(U19+V19&gt;0,"Partielle","À échoir"))))))</f>
        <v/>
      </c>
      <c r="Z19" s="59" t="str">
        <f>IF(NOT(COUNTA(B19:D19,F19:O19)&gt;0),"",IF(C19="","Date manquante",IF(NOT(ISNUMBER(C19)),"Date invalide",IF(D19="","Client manquant",IF(ISNA(MATCH(D19,cli_code,0)),"Client inconnu",IF(AC19&lt;SUMPRODUCT(MAX(($AB$6:AB18=AB19)*$AC$6:AC18)),"Date antérieure à la facture précédente",IF(AND(F19&lt;&gt;"",ISNA(MATCH(F19,dv_num,0))),"Devis inconnu",IF(AND(F19&lt;&gt;"",IFERROR(INDEX(dv_client,MATCH(F19,dv_num,0)),D19)&lt;&gt;D19),"Client différent de celui du devis",IF(AG19="","Aucune ligne : saisissez des lignes ou un devis",IF(AND(AI19&lt;&gt;"",COUNTIF($AI$6:AI19,AI19)&gt;1),"Devis déjà repris par une autre facture",IF(AND(AA19="Avoir",M19=""),"Avoir : indiquez la facture d'origine",IF(AND(AA19="Avoir",ISNA(MATCH(M19,fa_num,0))),"Facture d'origine inconnue",IF(AND(AA19&lt;&gt;"Avoir",M19&lt;&gt;""),"« Avoir sur facture » : réservé aux avoirs",IF(AND(L19&lt;&gt;"",AA19&lt;&gt;"Facture"),"Acompte à déduire : réservé aux factures",IF(AND(L19&lt;&gt;"",ISNA(MATCH(L19,fa_num,0))),"Facture d'acompte inconnue",IF(AND(L19&lt;&gt;"",IFERROR(INDEX(fa_type,MATCH(L19,fa_num,0)),"")&lt;&gt;"Facture d'acompte"),"Le n° à déduire n'est pas une facture d'acompte",IF(AND(L19&lt;&gt;"",COUNTIF($L$6:L19,L19)&gt;1),"Acompte déjà déduit sur une autre facture",IF(AND(L19&lt;&gt;"",IFERROR(INDEX(fa_client,MATCH(L19,fa_num,0)),D19)&lt;&gt;D19),"Acompte d'un autre client",IF(AND(AR19&lt;&gt;"",N(Q19)&lt;0),"Acompte supérieur au total de la facture",IF(IF(AG19="Facture",COUNTIFS(fl_doc,A19,fl_check,"&lt;&gt;OK"),IF(AG19="Devis",COUNTIFS(dl_doc,F19,dl_check,"&lt;&gt;OK"),0))&gt;0,"Ligne(s) à corriger",IF(AND(W19&lt;&gt;"",N(W19)&lt;0),"Trop-perçu : vérifiez paiements et avoirs","OK")))))))))))))))))))))</f>
        <v/>
      </c>
      <c r="AA19" s="62" t="str">
        <f>IF(COUNTA(B19:D19,F19:O19)&gt;0,IF(B19="","Facture",B19),"")</f>
        <v/>
      </c>
      <c r="AB19" s="62" t="str">
        <f>IF(AA19="","",IF(AA19="Avoir",p_pav,IF(AA19="Facture d'acompte",p_pac,p_pfa)))</f>
        <v/>
      </c>
      <c r="AC19" s="62">
        <f>IF(ISNUMBER(C19),C19,0)</f>
        <v>0.0</v>
      </c>
      <c r="AD19" s="62" t="str">
        <f>IF(OR(AA19="",AC19=0),"",YEAR(AC19))</f>
        <v/>
      </c>
      <c r="AE19" s="62" t="str">
        <f>IF(AD19="","",COUNTIFS($AB$6:AB19,AB19,$AD$6:AD19,AD19))</f>
        <v/>
      </c>
      <c r="AF19" s="62">
        <f>IF(A19="",0,COUNTIF(fl_doc,A19))</f>
        <v>0.0</v>
      </c>
      <c r="AG19" s="62" t="str">
        <f>IF(A19="","",IF(AF19&gt;0,"Facture",IF(AND(F19&lt;&gt;"",AA19="Facture",ISNUMBER(MATCH(F19,dv_num,0))),"Devis","")))</f>
        <v/>
      </c>
      <c r="AH19" s="62" t="str">
        <f>IF(AND(A19&lt;&gt;"",F19&lt;&gt;"",AA19&lt;&gt;"Avoir"),F19,"")</f>
        <v/>
      </c>
      <c r="AI19" s="62" t="str">
        <f>IF(AG19="Devis",F19,"")</f>
        <v/>
      </c>
      <c r="AJ19" s="62">
        <f>IF(AG19="Facture",SUMIF(fl_doc,A19,fl_ht),IF(AG19="Devis",SUMIF(dl_doc,F19,dl_ht),0))</f>
        <v>0.0</v>
      </c>
      <c r="AK19" s="62">
        <f>IF(OR(AG19="",INDEX(p_rates,1)=""),0,IF(AG19="Facture",SUMIFS(fl_ht,fl_doc,A19,fl_rate,INDEX(p_rates,1)),SUMIFS(dl_ht,dl_doc,F19,dl_rate,INDEX(p_rates,1))))</f>
        <v>0.0</v>
      </c>
      <c r="AL19" s="62">
        <f>IF(OR(AG19="",INDEX(p_rates,2)=""),0,IF(AG19="Facture",SUMIFS(fl_ht,fl_doc,A19,fl_rate,INDEX(p_rates,2)),SUMIFS(dl_ht,dl_doc,F19,dl_rate,INDEX(p_rates,2))))</f>
        <v>0.0</v>
      </c>
      <c r="AM19" s="62">
        <f>IF(OR(AG19="",INDEX(p_rates,3)=""),0,IF(AG19="Facture",SUMIFS(fl_ht,fl_doc,A19,fl_rate,INDEX(p_rates,3)),SUMIFS(dl_ht,dl_doc,F19,dl_rate,INDEX(p_rates,3))))</f>
        <v>0.0</v>
      </c>
      <c r="AN19" s="62">
        <f>IF(OR(AG19="",INDEX(p_rates,4)=""),0,IF(AG19="Facture",SUMIFS(fl_ht,fl_doc,A19,fl_rate,INDEX(p_rates,4)),SUMIFS(dl_ht,dl_doc,F19,dl_rate,INDEX(p_rates,4))))</f>
        <v>0.0</v>
      </c>
      <c r="AO19" s="62">
        <f>IF(OR(AG19="",INDEX(p_rates,5)=""),0,IF(AG19="Facture",SUMIFS(fl_ht,fl_doc,A19,fl_rate,INDEX(p_rates,5)),SUMIFS(dl_ht,dl_doc,F19,dl_rate,INDEX(p_rates,5))))</f>
        <v>0.0</v>
      </c>
      <c r="AP19" s="62">
        <f>IF(OR(AG19="",INDEX(p_rates,6)=""),0,IF(AG19="Facture",SUMIFS(fl_ht,fl_doc,A19,fl_rate,INDEX(p_rates,6)),SUMIFS(dl_ht,dl_doc,F19,dl_rate,INDEX(p_rates,6))))</f>
        <v>0.0</v>
      </c>
      <c r="AQ19" s="62">
        <f>ROUND(AK19*N(INDEX(p_rates,1)),2)+ROUND(AL19*N(INDEX(p_rates,2)),2)+ROUND(AM19*N(INDEX(p_rates,3)),2)+ROUND(AN19*N(INDEX(p_rates,4)),2)+ROUND(AO19*N(INDEX(p_rates,5)),2)+ROUND(AP19*N(INDEX(p_rates,6)),2)</f>
        <v>0.0</v>
      </c>
      <c r="AR19" s="62" t="str">
        <f>IF(OR(L19="",AA19&lt;&gt;"Facture"),"",IFERROR(IF(INDEX(fa_type,MATCH(L19,fa_num,0))="Facture d'acompte",MATCH(L19,fa_num,0),""),""))</f>
        <v/>
      </c>
      <c r="AS19" s="62" t="str">
        <f>IF(W19="","",IF(W19&lt;=0,"",IF(p_asof-P19&lt;=0,"Non échu",IF(p_asof-P19&lt;=30,"1-30 j",IF(p_asof-P19&lt;=60,"31-60 j",IF(p_asof-P19&lt;=90,"61-90 j","Plus de 90 j"))))))</f>
        <v/>
      </c>
      <c r="AT19" s="62" t="str">
        <f>IF(AS19="","",p_asof-P19)</f>
        <v/>
      </c>
      <c r="AU19" s="62" t="str">
        <f>IF(AT19="","",COUNTIF($AT$6:$AT$805,"&gt;"&amp;AT19)+COUNTIF($AT$6:AT19,AT19))</f>
        <v/>
      </c>
    </row>
    <row r="20">
      <c r="A20" s="59" t="str">
        <f>IF(AE20="","",AB20&amp;"-"&amp;AD20&amp;"-"&amp;RIGHT("000"&amp;AE20,4))</f>
        <v/>
      </c>
      <c r="B20" s="60" t="n"/>
      <c r="C20" s="61" t="n"/>
      <c r="D20" s="60" t="n"/>
      <c r="E20" s="62" t="str">
        <f>IF(D20="","",IFERROR(INDEX(cli_name,MATCH(D20,cli_code,0))&amp;"","Client inconnu"))</f>
        <v/>
      </c>
      <c r="F20" s="60" t="n"/>
      <c r="G20" s="63" t="n"/>
      <c r="H20" s="61" t="n"/>
      <c r="I20" s="63" t="n"/>
      <c r="J20" s="60" t="n"/>
      <c r="K20" s="61" t="n"/>
      <c r="L20" s="60" t="n"/>
      <c r="M20" s="60" t="n"/>
      <c r="N20" s="60" t="n"/>
      <c r="O20" s="61" t="n"/>
      <c r="P20" s="64" t="str">
        <f>IF(A20="","",IF(AA20="Avoir",AC20,IF(ISNUMBER(K20),K20,AC20+IF(D20="",N(p_delay),IFERROR(IF(ISNUMBER(INDEX(cli_delay,MATCH(D20,cli_code,0))),INDEX(cli_delay,MATCH(D20,cli_code,0)),N(p_delay)),N(p_delay))))))</f>
        <v/>
      </c>
      <c r="Q20" s="65" t="str">
        <f>IF(A20="","",IF(AA20="Avoir",-1,1)*ROUND(AJ20-IF(AR20="",0,INDEX(fa_htb,AR20)),2))</f>
        <v/>
      </c>
      <c r="R20" s="65" t="str">
        <f>IF(A20="","",IF(AA20="Avoir",-1,1)*ROUND(AQ20-IF(AR20="",0,INDEX(fa_tvab,AR20)),2))</f>
        <v/>
      </c>
      <c r="S20" s="65" t="str">
        <f>IF(A20="","",Q20+R20)</f>
        <v/>
      </c>
      <c r="T20" s="65" t="str">
        <f>IF(AR20="","",INDEX(fa_htb,AR20)+INDEX(fa_tvab,AR20))</f>
        <v/>
      </c>
      <c r="U20" s="65" t="str">
        <f>IF(A20="","",SUMIF(pa_inv,A20,pa_amt))</f>
        <v/>
      </c>
      <c r="V20" s="65" t="str">
        <f>IF(OR(A20="",AA20="Avoir"),"",-SUMIFS(fa_ttc,fa_avof,A20,fa_type,"Avoir"))</f>
        <v/>
      </c>
      <c r="W20" s="65" t="str">
        <f>IF(OR(A20="",AA20="Avoir"),"",ROUND(S20-U20-V20,2))</f>
        <v/>
      </c>
      <c r="X20" s="66" t="str">
        <f>IF(W20="","",IF(AND(W20&gt;0,p_asof&gt;P20),p_asof-P20,""))</f>
        <v/>
      </c>
      <c r="Y20" s="59" t="str">
        <f>IF(A20="","",IF(AA20="Avoir","Avoir",IF(W20&lt;0,"Trop-perçu",IF(W20=0,"Soldée",IF(p_asof&gt;P20,"En retard",IF(U20+V20&gt;0,"Partielle","À échoir"))))))</f>
        <v/>
      </c>
      <c r="Z20" s="59" t="str">
        <f>IF(NOT(COUNTA(B20:D20,F20:O20)&gt;0),"",IF(C20="","Date manquante",IF(NOT(ISNUMBER(C20)),"Date invalide",IF(D20="","Client manquant",IF(ISNA(MATCH(D20,cli_code,0)),"Client inconnu",IF(AC20&lt;SUMPRODUCT(MAX(($AB$6:AB19=AB20)*$AC$6:AC19)),"Date antérieure à la facture précédente",IF(AND(F20&lt;&gt;"",ISNA(MATCH(F20,dv_num,0))),"Devis inconnu",IF(AND(F20&lt;&gt;"",IFERROR(INDEX(dv_client,MATCH(F20,dv_num,0)),D20)&lt;&gt;D20),"Client différent de celui du devis",IF(AG20="","Aucune ligne : saisissez des lignes ou un devis",IF(AND(AI20&lt;&gt;"",COUNTIF($AI$6:AI20,AI20)&gt;1),"Devis déjà repris par une autre facture",IF(AND(AA20="Avoir",M20=""),"Avoir : indiquez la facture d'origine",IF(AND(AA20="Avoir",ISNA(MATCH(M20,fa_num,0))),"Facture d'origine inconnue",IF(AND(AA20&lt;&gt;"Avoir",M20&lt;&gt;""),"« Avoir sur facture » : réservé aux avoirs",IF(AND(L20&lt;&gt;"",AA20&lt;&gt;"Facture"),"Acompte à déduire : réservé aux factures",IF(AND(L20&lt;&gt;"",ISNA(MATCH(L20,fa_num,0))),"Facture d'acompte inconnue",IF(AND(L20&lt;&gt;"",IFERROR(INDEX(fa_type,MATCH(L20,fa_num,0)),"")&lt;&gt;"Facture d'acompte"),"Le n° à déduire n'est pas une facture d'acompte",IF(AND(L20&lt;&gt;"",COUNTIF($L$6:L20,L20)&gt;1),"Acompte déjà déduit sur une autre facture",IF(AND(L20&lt;&gt;"",IFERROR(INDEX(fa_client,MATCH(L20,fa_num,0)),D20)&lt;&gt;D20),"Acompte d'un autre client",IF(AND(AR20&lt;&gt;"",N(Q20)&lt;0),"Acompte supérieur au total de la facture",IF(IF(AG20="Facture",COUNTIFS(fl_doc,A20,fl_check,"&lt;&gt;OK"),IF(AG20="Devis",COUNTIFS(dl_doc,F20,dl_check,"&lt;&gt;OK"),0))&gt;0,"Ligne(s) à corriger",IF(AND(W20&lt;&gt;"",N(W20)&lt;0),"Trop-perçu : vérifiez paiements et avoirs","OK")))))))))))))))))))))</f>
        <v/>
      </c>
      <c r="AA20" s="62" t="str">
        <f>IF(COUNTA(B20:D20,F20:O20)&gt;0,IF(B20="","Facture",B20),"")</f>
        <v/>
      </c>
      <c r="AB20" s="62" t="str">
        <f>IF(AA20="","",IF(AA20="Avoir",p_pav,IF(AA20="Facture d'acompte",p_pac,p_pfa)))</f>
        <v/>
      </c>
      <c r="AC20" s="62">
        <f>IF(ISNUMBER(C20),C20,0)</f>
        <v>0.0</v>
      </c>
      <c r="AD20" s="62" t="str">
        <f>IF(OR(AA20="",AC20=0),"",YEAR(AC20))</f>
        <v/>
      </c>
      <c r="AE20" s="62" t="str">
        <f>IF(AD20="","",COUNTIFS($AB$6:AB20,AB20,$AD$6:AD20,AD20))</f>
        <v/>
      </c>
      <c r="AF20" s="62">
        <f>IF(A20="",0,COUNTIF(fl_doc,A20))</f>
        <v>0.0</v>
      </c>
      <c r="AG20" s="62" t="str">
        <f>IF(A20="","",IF(AF20&gt;0,"Facture",IF(AND(F20&lt;&gt;"",AA20="Facture",ISNUMBER(MATCH(F20,dv_num,0))),"Devis","")))</f>
        <v/>
      </c>
      <c r="AH20" s="62" t="str">
        <f>IF(AND(A20&lt;&gt;"",F20&lt;&gt;"",AA20&lt;&gt;"Avoir"),F20,"")</f>
        <v/>
      </c>
      <c r="AI20" s="62" t="str">
        <f>IF(AG20="Devis",F20,"")</f>
        <v/>
      </c>
      <c r="AJ20" s="62">
        <f>IF(AG20="Facture",SUMIF(fl_doc,A20,fl_ht),IF(AG20="Devis",SUMIF(dl_doc,F20,dl_ht),0))</f>
        <v>0.0</v>
      </c>
      <c r="AK20" s="62">
        <f>IF(OR(AG20="",INDEX(p_rates,1)=""),0,IF(AG20="Facture",SUMIFS(fl_ht,fl_doc,A20,fl_rate,INDEX(p_rates,1)),SUMIFS(dl_ht,dl_doc,F20,dl_rate,INDEX(p_rates,1))))</f>
        <v>0.0</v>
      </c>
      <c r="AL20" s="62">
        <f>IF(OR(AG20="",INDEX(p_rates,2)=""),0,IF(AG20="Facture",SUMIFS(fl_ht,fl_doc,A20,fl_rate,INDEX(p_rates,2)),SUMIFS(dl_ht,dl_doc,F20,dl_rate,INDEX(p_rates,2))))</f>
        <v>0.0</v>
      </c>
      <c r="AM20" s="62">
        <f>IF(OR(AG20="",INDEX(p_rates,3)=""),0,IF(AG20="Facture",SUMIFS(fl_ht,fl_doc,A20,fl_rate,INDEX(p_rates,3)),SUMIFS(dl_ht,dl_doc,F20,dl_rate,INDEX(p_rates,3))))</f>
        <v>0.0</v>
      </c>
      <c r="AN20" s="62">
        <f>IF(OR(AG20="",INDEX(p_rates,4)=""),0,IF(AG20="Facture",SUMIFS(fl_ht,fl_doc,A20,fl_rate,INDEX(p_rates,4)),SUMIFS(dl_ht,dl_doc,F20,dl_rate,INDEX(p_rates,4))))</f>
        <v>0.0</v>
      </c>
      <c r="AO20" s="62">
        <f>IF(OR(AG20="",INDEX(p_rates,5)=""),0,IF(AG20="Facture",SUMIFS(fl_ht,fl_doc,A20,fl_rate,INDEX(p_rates,5)),SUMIFS(dl_ht,dl_doc,F20,dl_rate,INDEX(p_rates,5))))</f>
        <v>0.0</v>
      </c>
      <c r="AP20" s="62">
        <f>IF(OR(AG20="",INDEX(p_rates,6)=""),0,IF(AG20="Facture",SUMIFS(fl_ht,fl_doc,A20,fl_rate,INDEX(p_rates,6)),SUMIFS(dl_ht,dl_doc,F20,dl_rate,INDEX(p_rates,6))))</f>
        <v>0.0</v>
      </c>
      <c r="AQ20" s="62">
        <f>ROUND(AK20*N(INDEX(p_rates,1)),2)+ROUND(AL20*N(INDEX(p_rates,2)),2)+ROUND(AM20*N(INDEX(p_rates,3)),2)+ROUND(AN20*N(INDEX(p_rates,4)),2)+ROUND(AO20*N(INDEX(p_rates,5)),2)+ROUND(AP20*N(INDEX(p_rates,6)),2)</f>
        <v>0.0</v>
      </c>
      <c r="AR20" s="62" t="str">
        <f>IF(OR(L20="",AA20&lt;&gt;"Facture"),"",IFERROR(IF(INDEX(fa_type,MATCH(L20,fa_num,0))="Facture d'acompte",MATCH(L20,fa_num,0),""),""))</f>
        <v/>
      </c>
      <c r="AS20" s="62" t="str">
        <f>IF(W20="","",IF(W20&lt;=0,"",IF(p_asof-P20&lt;=0,"Non échu",IF(p_asof-P20&lt;=30,"1-30 j",IF(p_asof-P20&lt;=60,"31-60 j",IF(p_asof-P20&lt;=90,"61-90 j","Plus de 90 j"))))))</f>
        <v/>
      </c>
      <c r="AT20" s="62" t="str">
        <f>IF(AS20="","",p_asof-P20)</f>
        <v/>
      </c>
      <c r="AU20" s="62" t="str">
        <f>IF(AT20="","",COUNTIF($AT$6:$AT$805,"&gt;"&amp;AT20)+COUNTIF($AT$6:AT20,AT20))</f>
        <v/>
      </c>
    </row>
    <row r="21">
      <c r="A21" s="59" t="str">
        <f>IF(AE21="","",AB21&amp;"-"&amp;AD21&amp;"-"&amp;RIGHT("000"&amp;AE21,4))</f>
        <v/>
      </c>
      <c r="B21" s="60" t="n"/>
      <c r="C21" s="61" t="n"/>
      <c r="D21" s="60" t="n"/>
      <c r="E21" s="62" t="str">
        <f>IF(D21="","",IFERROR(INDEX(cli_name,MATCH(D21,cli_code,0))&amp;"","Client inconnu"))</f>
        <v/>
      </c>
      <c r="F21" s="60" t="n"/>
      <c r="G21" s="63" t="n"/>
      <c r="H21" s="61" t="n"/>
      <c r="I21" s="63" t="n"/>
      <c r="J21" s="60" t="n"/>
      <c r="K21" s="61" t="n"/>
      <c r="L21" s="60" t="n"/>
      <c r="M21" s="60" t="n"/>
      <c r="N21" s="60" t="n"/>
      <c r="O21" s="61" t="n"/>
      <c r="P21" s="64" t="str">
        <f>IF(A21="","",IF(AA21="Avoir",AC21,IF(ISNUMBER(K21),K21,AC21+IF(D21="",N(p_delay),IFERROR(IF(ISNUMBER(INDEX(cli_delay,MATCH(D21,cli_code,0))),INDEX(cli_delay,MATCH(D21,cli_code,0)),N(p_delay)),N(p_delay))))))</f>
        <v/>
      </c>
      <c r="Q21" s="65" t="str">
        <f>IF(A21="","",IF(AA21="Avoir",-1,1)*ROUND(AJ21-IF(AR21="",0,INDEX(fa_htb,AR21)),2))</f>
        <v/>
      </c>
      <c r="R21" s="65" t="str">
        <f>IF(A21="","",IF(AA21="Avoir",-1,1)*ROUND(AQ21-IF(AR21="",0,INDEX(fa_tvab,AR21)),2))</f>
        <v/>
      </c>
      <c r="S21" s="65" t="str">
        <f>IF(A21="","",Q21+R21)</f>
        <v/>
      </c>
      <c r="T21" s="65" t="str">
        <f>IF(AR21="","",INDEX(fa_htb,AR21)+INDEX(fa_tvab,AR21))</f>
        <v/>
      </c>
      <c r="U21" s="65" t="str">
        <f>IF(A21="","",SUMIF(pa_inv,A21,pa_amt))</f>
        <v/>
      </c>
      <c r="V21" s="65" t="str">
        <f>IF(OR(A21="",AA21="Avoir"),"",-SUMIFS(fa_ttc,fa_avof,A21,fa_type,"Avoir"))</f>
        <v/>
      </c>
      <c r="W21" s="65" t="str">
        <f>IF(OR(A21="",AA21="Avoir"),"",ROUND(S21-U21-V21,2))</f>
        <v/>
      </c>
      <c r="X21" s="66" t="str">
        <f>IF(W21="","",IF(AND(W21&gt;0,p_asof&gt;P21),p_asof-P21,""))</f>
        <v/>
      </c>
      <c r="Y21" s="59" t="str">
        <f>IF(A21="","",IF(AA21="Avoir","Avoir",IF(W21&lt;0,"Trop-perçu",IF(W21=0,"Soldée",IF(p_asof&gt;P21,"En retard",IF(U21+V21&gt;0,"Partielle","À échoir"))))))</f>
        <v/>
      </c>
      <c r="Z21" s="59" t="str">
        <f>IF(NOT(COUNTA(B21:D21,F21:O21)&gt;0),"",IF(C21="","Date manquante",IF(NOT(ISNUMBER(C21)),"Date invalide",IF(D21="","Client manquant",IF(ISNA(MATCH(D21,cli_code,0)),"Client inconnu",IF(AC21&lt;SUMPRODUCT(MAX(($AB$6:AB20=AB21)*$AC$6:AC20)),"Date antérieure à la facture précédente",IF(AND(F21&lt;&gt;"",ISNA(MATCH(F21,dv_num,0))),"Devis inconnu",IF(AND(F21&lt;&gt;"",IFERROR(INDEX(dv_client,MATCH(F21,dv_num,0)),D21)&lt;&gt;D21),"Client différent de celui du devis",IF(AG21="","Aucune ligne : saisissez des lignes ou un devis",IF(AND(AI21&lt;&gt;"",COUNTIF($AI$6:AI21,AI21)&gt;1),"Devis déjà repris par une autre facture",IF(AND(AA21="Avoir",M21=""),"Avoir : indiquez la facture d'origine",IF(AND(AA21="Avoir",ISNA(MATCH(M21,fa_num,0))),"Facture d'origine inconnue",IF(AND(AA21&lt;&gt;"Avoir",M21&lt;&gt;""),"« Avoir sur facture » : réservé aux avoirs",IF(AND(L21&lt;&gt;"",AA21&lt;&gt;"Facture"),"Acompte à déduire : réservé aux factures",IF(AND(L21&lt;&gt;"",ISNA(MATCH(L21,fa_num,0))),"Facture d'acompte inconnue",IF(AND(L21&lt;&gt;"",IFERROR(INDEX(fa_type,MATCH(L21,fa_num,0)),"")&lt;&gt;"Facture d'acompte"),"Le n° à déduire n'est pas une facture d'acompte",IF(AND(L21&lt;&gt;"",COUNTIF($L$6:L21,L21)&gt;1),"Acompte déjà déduit sur une autre facture",IF(AND(L21&lt;&gt;"",IFERROR(INDEX(fa_client,MATCH(L21,fa_num,0)),D21)&lt;&gt;D21),"Acompte d'un autre client",IF(AND(AR21&lt;&gt;"",N(Q21)&lt;0),"Acompte supérieur au total de la facture",IF(IF(AG21="Facture",COUNTIFS(fl_doc,A21,fl_check,"&lt;&gt;OK"),IF(AG21="Devis",COUNTIFS(dl_doc,F21,dl_check,"&lt;&gt;OK"),0))&gt;0,"Ligne(s) à corriger",IF(AND(W21&lt;&gt;"",N(W21)&lt;0),"Trop-perçu : vérifiez paiements et avoirs","OK")))))))))))))))))))))</f>
        <v/>
      </c>
      <c r="AA21" s="62" t="str">
        <f>IF(COUNTA(B21:D21,F21:O21)&gt;0,IF(B21="","Facture",B21),"")</f>
        <v/>
      </c>
      <c r="AB21" s="62" t="str">
        <f>IF(AA21="","",IF(AA21="Avoir",p_pav,IF(AA21="Facture d'acompte",p_pac,p_pfa)))</f>
        <v/>
      </c>
      <c r="AC21" s="62">
        <f>IF(ISNUMBER(C21),C21,0)</f>
        <v>0.0</v>
      </c>
      <c r="AD21" s="62" t="str">
        <f>IF(OR(AA21="",AC21=0),"",YEAR(AC21))</f>
        <v/>
      </c>
      <c r="AE21" s="62" t="str">
        <f>IF(AD21="","",COUNTIFS($AB$6:AB21,AB21,$AD$6:AD21,AD21))</f>
        <v/>
      </c>
      <c r="AF21" s="62">
        <f>IF(A21="",0,COUNTIF(fl_doc,A21))</f>
        <v>0.0</v>
      </c>
      <c r="AG21" s="62" t="str">
        <f>IF(A21="","",IF(AF21&gt;0,"Facture",IF(AND(F21&lt;&gt;"",AA21="Facture",ISNUMBER(MATCH(F21,dv_num,0))),"Devis","")))</f>
        <v/>
      </c>
      <c r="AH21" s="62" t="str">
        <f>IF(AND(A21&lt;&gt;"",F21&lt;&gt;"",AA21&lt;&gt;"Avoir"),F21,"")</f>
        <v/>
      </c>
      <c r="AI21" s="62" t="str">
        <f>IF(AG21="Devis",F21,"")</f>
        <v/>
      </c>
      <c r="AJ21" s="62">
        <f>IF(AG21="Facture",SUMIF(fl_doc,A21,fl_ht),IF(AG21="Devis",SUMIF(dl_doc,F21,dl_ht),0))</f>
        <v>0.0</v>
      </c>
      <c r="AK21" s="62">
        <f>IF(OR(AG21="",INDEX(p_rates,1)=""),0,IF(AG21="Facture",SUMIFS(fl_ht,fl_doc,A21,fl_rate,INDEX(p_rates,1)),SUMIFS(dl_ht,dl_doc,F21,dl_rate,INDEX(p_rates,1))))</f>
        <v>0.0</v>
      </c>
      <c r="AL21" s="62">
        <f>IF(OR(AG21="",INDEX(p_rates,2)=""),0,IF(AG21="Facture",SUMIFS(fl_ht,fl_doc,A21,fl_rate,INDEX(p_rates,2)),SUMIFS(dl_ht,dl_doc,F21,dl_rate,INDEX(p_rates,2))))</f>
        <v>0.0</v>
      </c>
      <c r="AM21" s="62">
        <f>IF(OR(AG21="",INDEX(p_rates,3)=""),0,IF(AG21="Facture",SUMIFS(fl_ht,fl_doc,A21,fl_rate,INDEX(p_rates,3)),SUMIFS(dl_ht,dl_doc,F21,dl_rate,INDEX(p_rates,3))))</f>
        <v>0.0</v>
      </c>
      <c r="AN21" s="62">
        <f>IF(OR(AG21="",INDEX(p_rates,4)=""),0,IF(AG21="Facture",SUMIFS(fl_ht,fl_doc,A21,fl_rate,INDEX(p_rates,4)),SUMIFS(dl_ht,dl_doc,F21,dl_rate,INDEX(p_rates,4))))</f>
        <v>0.0</v>
      </c>
      <c r="AO21" s="62">
        <f>IF(OR(AG21="",INDEX(p_rates,5)=""),0,IF(AG21="Facture",SUMIFS(fl_ht,fl_doc,A21,fl_rate,INDEX(p_rates,5)),SUMIFS(dl_ht,dl_doc,F21,dl_rate,INDEX(p_rates,5))))</f>
        <v>0.0</v>
      </c>
      <c r="AP21" s="62">
        <f>IF(OR(AG21="",INDEX(p_rates,6)=""),0,IF(AG21="Facture",SUMIFS(fl_ht,fl_doc,A21,fl_rate,INDEX(p_rates,6)),SUMIFS(dl_ht,dl_doc,F21,dl_rate,INDEX(p_rates,6))))</f>
        <v>0.0</v>
      </c>
      <c r="AQ21" s="62">
        <f>ROUND(AK21*N(INDEX(p_rates,1)),2)+ROUND(AL21*N(INDEX(p_rates,2)),2)+ROUND(AM21*N(INDEX(p_rates,3)),2)+ROUND(AN21*N(INDEX(p_rates,4)),2)+ROUND(AO21*N(INDEX(p_rates,5)),2)+ROUND(AP21*N(INDEX(p_rates,6)),2)</f>
        <v>0.0</v>
      </c>
      <c r="AR21" s="62" t="str">
        <f>IF(OR(L21="",AA21&lt;&gt;"Facture"),"",IFERROR(IF(INDEX(fa_type,MATCH(L21,fa_num,0))="Facture d'acompte",MATCH(L21,fa_num,0),""),""))</f>
        <v/>
      </c>
      <c r="AS21" s="62" t="str">
        <f>IF(W21="","",IF(W21&lt;=0,"",IF(p_asof-P21&lt;=0,"Non échu",IF(p_asof-P21&lt;=30,"1-30 j",IF(p_asof-P21&lt;=60,"31-60 j",IF(p_asof-P21&lt;=90,"61-90 j","Plus de 90 j"))))))</f>
        <v/>
      </c>
      <c r="AT21" s="62" t="str">
        <f>IF(AS21="","",p_asof-P21)</f>
        <v/>
      </c>
      <c r="AU21" s="62" t="str">
        <f>IF(AT21="","",COUNTIF($AT$6:$AT$805,"&gt;"&amp;AT21)+COUNTIF($AT$6:AT21,AT21))</f>
        <v/>
      </c>
    </row>
    <row r="22">
      <c r="A22" s="59" t="str">
        <f>IF(AE22="","",AB22&amp;"-"&amp;AD22&amp;"-"&amp;RIGHT("000"&amp;AE22,4))</f>
        <v/>
      </c>
      <c r="B22" s="60" t="n"/>
      <c r="C22" s="61" t="n"/>
      <c r="D22" s="60" t="n"/>
      <c r="E22" s="62" t="str">
        <f>IF(D22="","",IFERROR(INDEX(cli_name,MATCH(D22,cli_code,0))&amp;"","Client inconnu"))</f>
        <v/>
      </c>
      <c r="F22" s="60" t="n"/>
      <c r="G22" s="63" t="n"/>
      <c r="H22" s="61" t="n"/>
      <c r="I22" s="63" t="n"/>
      <c r="J22" s="60" t="n"/>
      <c r="K22" s="61" t="n"/>
      <c r="L22" s="60" t="n"/>
      <c r="M22" s="60" t="n"/>
      <c r="N22" s="60" t="n"/>
      <c r="O22" s="61" t="n"/>
      <c r="P22" s="64" t="str">
        <f>IF(A22="","",IF(AA22="Avoir",AC22,IF(ISNUMBER(K22),K22,AC22+IF(D22="",N(p_delay),IFERROR(IF(ISNUMBER(INDEX(cli_delay,MATCH(D22,cli_code,0))),INDEX(cli_delay,MATCH(D22,cli_code,0)),N(p_delay)),N(p_delay))))))</f>
        <v/>
      </c>
      <c r="Q22" s="65" t="str">
        <f>IF(A22="","",IF(AA22="Avoir",-1,1)*ROUND(AJ22-IF(AR22="",0,INDEX(fa_htb,AR22)),2))</f>
        <v/>
      </c>
      <c r="R22" s="65" t="str">
        <f>IF(A22="","",IF(AA22="Avoir",-1,1)*ROUND(AQ22-IF(AR22="",0,INDEX(fa_tvab,AR22)),2))</f>
        <v/>
      </c>
      <c r="S22" s="65" t="str">
        <f>IF(A22="","",Q22+R22)</f>
        <v/>
      </c>
      <c r="T22" s="65" t="str">
        <f>IF(AR22="","",INDEX(fa_htb,AR22)+INDEX(fa_tvab,AR22))</f>
        <v/>
      </c>
      <c r="U22" s="65" t="str">
        <f>IF(A22="","",SUMIF(pa_inv,A22,pa_amt))</f>
        <v/>
      </c>
      <c r="V22" s="65" t="str">
        <f>IF(OR(A22="",AA22="Avoir"),"",-SUMIFS(fa_ttc,fa_avof,A22,fa_type,"Avoir"))</f>
        <v/>
      </c>
      <c r="W22" s="65" t="str">
        <f>IF(OR(A22="",AA22="Avoir"),"",ROUND(S22-U22-V22,2))</f>
        <v/>
      </c>
      <c r="X22" s="66" t="str">
        <f>IF(W22="","",IF(AND(W22&gt;0,p_asof&gt;P22),p_asof-P22,""))</f>
        <v/>
      </c>
      <c r="Y22" s="59" t="str">
        <f>IF(A22="","",IF(AA22="Avoir","Avoir",IF(W22&lt;0,"Trop-perçu",IF(W22=0,"Soldée",IF(p_asof&gt;P22,"En retard",IF(U22+V22&gt;0,"Partielle","À échoir"))))))</f>
        <v/>
      </c>
      <c r="Z22" s="59" t="str">
        <f>IF(NOT(COUNTA(B22:D22,F22:O22)&gt;0),"",IF(C22="","Date manquante",IF(NOT(ISNUMBER(C22)),"Date invalide",IF(D22="","Client manquant",IF(ISNA(MATCH(D22,cli_code,0)),"Client inconnu",IF(AC22&lt;SUMPRODUCT(MAX(($AB$6:AB21=AB22)*$AC$6:AC21)),"Date antérieure à la facture précédente",IF(AND(F22&lt;&gt;"",ISNA(MATCH(F22,dv_num,0))),"Devis inconnu",IF(AND(F22&lt;&gt;"",IFERROR(INDEX(dv_client,MATCH(F22,dv_num,0)),D22)&lt;&gt;D22),"Client différent de celui du devis",IF(AG22="","Aucune ligne : saisissez des lignes ou un devis",IF(AND(AI22&lt;&gt;"",COUNTIF($AI$6:AI22,AI22)&gt;1),"Devis déjà repris par une autre facture",IF(AND(AA22="Avoir",M22=""),"Avoir : indiquez la facture d'origine",IF(AND(AA22="Avoir",ISNA(MATCH(M22,fa_num,0))),"Facture d'origine inconnue",IF(AND(AA22&lt;&gt;"Avoir",M22&lt;&gt;""),"« Avoir sur facture » : réservé aux avoirs",IF(AND(L22&lt;&gt;"",AA22&lt;&gt;"Facture"),"Acompte à déduire : réservé aux factures",IF(AND(L22&lt;&gt;"",ISNA(MATCH(L22,fa_num,0))),"Facture d'acompte inconnue",IF(AND(L22&lt;&gt;"",IFERROR(INDEX(fa_type,MATCH(L22,fa_num,0)),"")&lt;&gt;"Facture d'acompte"),"Le n° à déduire n'est pas une facture d'acompte",IF(AND(L22&lt;&gt;"",COUNTIF($L$6:L22,L22)&gt;1),"Acompte déjà déduit sur une autre facture",IF(AND(L22&lt;&gt;"",IFERROR(INDEX(fa_client,MATCH(L22,fa_num,0)),D22)&lt;&gt;D22),"Acompte d'un autre client",IF(AND(AR22&lt;&gt;"",N(Q22)&lt;0),"Acompte supérieur au total de la facture",IF(IF(AG22="Facture",COUNTIFS(fl_doc,A22,fl_check,"&lt;&gt;OK"),IF(AG22="Devis",COUNTIFS(dl_doc,F22,dl_check,"&lt;&gt;OK"),0))&gt;0,"Ligne(s) à corriger",IF(AND(W22&lt;&gt;"",N(W22)&lt;0),"Trop-perçu : vérifiez paiements et avoirs","OK")))))))))))))))))))))</f>
        <v/>
      </c>
      <c r="AA22" s="62" t="str">
        <f>IF(COUNTA(B22:D22,F22:O22)&gt;0,IF(B22="","Facture",B22),"")</f>
        <v/>
      </c>
      <c r="AB22" s="62" t="str">
        <f>IF(AA22="","",IF(AA22="Avoir",p_pav,IF(AA22="Facture d'acompte",p_pac,p_pfa)))</f>
        <v/>
      </c>
      <c r="AC22" s="62">
        <f>IF(ISNUMBER(C22),C22,0)</f>
        <v>0.0</v>
      </c>
      <c r="AD22" s="62" t="str">
        <f>IF(OR(AA22="",AC22=0),"",YEAR(AC22))</f>
        <v/>
      </c>
      <c r="AE22" s="62" t="str">
        <f>IF(AD22="","",COUNTIFS($AB$6:AB22,AB22,$AD$6:AD22,AD22))</f>
        <v/>
      </c>
      <c r="AF22" s="62">
        <f>IF(A22="",0,COUNTIF(fl_doc,A22))</f>
        <v>0.0</v>
      </c>
      <c r="AG22" s="62" t="str">
        <f>IF(A22="","",IF(AF22&gt;0,"Facture",IF(AND(F22&lt;&gt;"",AA22="Facture",ISNUMBER(MATCH(F22,dv_num,0))),"Devis","")))</f>
        <v/>
      </c>
      <c r="AH22" s="62" t="str">
        <f>IF(AND(A22&lt;&gt;"",F22&lt;&gt;"",AA22&lt;&gt;"Avoir"),F22,"")</f>
        <v/>
      </c>
      <c r="AI22" s="62" t="str">
        <f>IF(AG22="Devis",F22,"")</f>
        <v/>
      </c>
      <c r="AJ22" s="62">
        <f>IF(AG22="Facture",SUMIF(fl_doc,A22,fl_ht),IF(AG22="Devis",SUMIF(dl_doc,F22,dl_ht),0))</f>
        <v>0.0</v>
      </c>
      <c r="AK22" s="62">
        <f>IF(OR(AG22="",INDEX(p_rates,1)=""),0,IF(AG22="Facture",SUMIFS(fl_ht,fl_doc,A22,fl_rate,INDEX(p_rates,1)),SUMIFS(dl_ht,dl_doc,F22,dl_rate,INDEX(p_rates,1))))</f>
        <v>0.0</v>
      </c>
      <c r="AL22" s="62">
        <f>IF(OR(AG22="",INDEX(p_rates,2)=""),0,IF(AG22="Facture",SUMIFS(fl_ht,fl_doc,A22,fl_rate,INDEX(p_rates,2)),SUMIFS(dl_ht,dl_doc,F22,dl_rate,INDEX(p_rates,2))))</f>
        <v>0.0</v>
      </c>
      <c r="AM22" s="62">
        <f>IF(OR(AG22="",INDEX(p_rates,3)=""),0,IF(AG22="Facture",SUMIFS(fl_ht,fl_doc,A22,fl_rate,INDEX(p_rates,3)),SUMIFS(dl_ht,dl_doc,F22,dl_rate,INDEX(p_rates,3))))</f>
        <v>0.0</v>
      </c>
      <c r="AN22" s="62">
        <f>IF(OR(AG22="",INDEX(p_rates,4)=""),0,IF(AG22="Facture",SUMIFS(fl_ht,fl_doc,A22,fl_rate,INDEX(p_rates,4)),SUMIFS(dl_ht,dl_doc,F22,dl_rate,INDEX(p_rates,4))))</f>
        <v>0.0</v>
      </c>
      <c r="AO22" s="62">
        <f>IF(OR(AG22="",INDEX(p_rates,5)=""),0,IF(AG22="Facture",SUMIFS(fl_ht,fl_doc,A22,fl_rate,INDEX(p_rates,5)),SUMIFS(dl_ht,dl_doc,F22,dl_rate,INDEX(p_rates,5))))</f>
        <v>0.0</v>
      </c>
      <c r="AP22" s="62">
        <f>IF(OR(AG22="",INDEX(p_rates,6)=""),0,IF(AG22="Facture",SUMIFS(fl_ht,fl_doc,A22,fl_rate,INDEX(p_rates,6)),SUMIFS(dl_ht,dl_doc,F22,dl_rate,INDEX(p_rates,6))))</f>
        <v>0.0</v>
      </c>
      <c r="AQ22" s="62">
        <f>ROUND(AK22*N(INDEX(p_rates,1)),2)+ROUND(AL22*N(INDEX(p_rates,2)),2)+ROUND(AM22*N(INDEX(p_rates,3)),2)+ROUND(AN22*N(INDEX(p_rates,4)),2)+ROUND(AO22*N(INDEX(p_rates,5)),2)+ROUND(AP22*N(INDEX(p_rates,6)),2)</f>
        <v>0.0</v>
      </c>
      <c r="AR22" s="62" t="str">
        <f>IF(OR(L22="",AA22&lt;&gt;"Facture"),"",IFERROR(IF(INDEX(fa_type,MATCH(L22,fa_num,0))="Facture d'acompte",MATCH(L22,fa_num,0),""),""))</f>
        <v/>
      </c>
      <c r="AS22" s="62" t="str">
        <f>IF(W22="","",IF(W22&lt;=0,"",IF(p_asof-P22&lt;=0,"Non échu",IF(p_asof-P22&lt;=30,"1-30 j",IF(p_asof-P22&lt;=60,"31-60 j",IF(p_asof-P22&lt;=90,"61-90 j","Plus de 90 j"))))))</f>
        <v/>
      </c>
      <c r="AT22" s="62" t="str">
        <f>IF(AS22="","",p_asof-P22)</f>
        <v/>
      </c>
      <c r="AU22" s="62" t="str">
        <f>IF(AT22="","",COUNTIF($AT$6:$AT$805,"&gt;"&amp;AT22)+COUNTIF($AT$6:AT22,AT22))</f>
        <v/>
      </c>
    </row>
    <row r="23">
      <c r="A23" s="59" t="str">
        <f>IF(AE23="","",AB23&amp;"-"&amp;AD23&amp;"-"&amp;RIGHT("000"&amp;AE23,4))</f>
        <v/>
      </c>
      <c r="B23" s="60" t="n"/>
      <c r="C23" s="61" t="n"/>
      <c r="D23" s="60" t="n"/>
      <c r="E23" s="62" t="str">
        <f>IF(D23="","",IFERROR(INDEX(cli_name,MATCH(D23,cli_code,0))&amp;"","Client inconnu"))</f>
        <v/>
      </c>
      <c r="F23" s="60" t="n"/>
      <c r="G23" s="63" t="n"/>
      <c r="H23" s="61" t="n"/>
      <c r="I23" s="63" t="n"/>
      <c r="J23" s="60" t="n"/>
      <c r="K23" s="61" t="n"/>
      <c r="L23" s="60" t="n"/>
      <c r="M23" s="60" t="n"/>
      <c r="N23" s="60" t="n"/>
      <c r="O23" s="61" t="n"/>
      <c r="P23" s="64" t="str">
        <f>IF(A23="","",IF(AA23="Avoir",AC23,IF(ISNUMBER(K23),K23,AC23+IF(D23="",N(p_delay),IFERROR(IF(ISNUMBER(INDEX(cli_delay,MATCH(D23,cli_code,0))),INDEX(cli_delay,MATCH(D23,cli_code,0)),N(p_delay)),N(p_delay))))))</f>
        <v/>
      </c>
      <c r="Q23" s="65" t="str">
        <f>IF(A23="","",IF(AA23="Avoir",-1,1)*ROUND(AJ23-IF(AR23="",0,INDEX(fa_htb,AR23)),2))</f>
        <v/>
      </c>
      <c r="R23" s="65" t="str">
        <f>IF(A23="","",IF(AA23="Avoir",-1,1)*ROUND(AQ23-IF(AR23="",0,INDEX(fa_tvab,AR23)),2))</f>
        <v/>
      </c>
      <c r="S23" s="65" t="str">
        <f>IF(A23="","",Q23+R23)</f>
        <v/>
      </c>
      <c r="T23" s="65" t="str">
        <f>IF(AR23="","",INDEX(fa_htb,AR23)+INDEX(fa_tvab,AR23))</f>
        <v/>
      </c>
      <c r="U23" s="65" t="str">
        <f>IF(A23="","",SUMIF(pa_inv,A23,pa_amt))</f>
        <v/>
      </c>
      <c r="V23" s="65" t="str">
        <f>IF(OR(A23="",AA23="Avoir"),"",-SUMIFS(fa_ttc,fa_avof,A23,fa_type,"Avoir"))</f>
        <v/>
      </c>
      <c r="W23" s="65" t="str">
        <f>IF(OR(A23="",AA23="Avoir"),"",ROUND(S23-U23-V23,2))</f>
        <v/>
      </c>
      <c r="X23" s="66" t="str">
        <f>IF(W23="","",IF(AND(W23&gt;0,p_asof&gt;P23),p_asof-P23,""))</f>
        <v/>
      </c>
      <c r="Y23" s="59" t="str">
        <f>IF(A23="","",IF(AA23="Avoir","Avoir",IF(W23&lt;0,"Trop-perçu",IF(W23=0,"Soldée",IF(p_asof&gt;P23,"En retard",IF(U23+V23&gt;0,"Partielle","À échoir"))))))</f>
        <v/>
      </c>
      <c r="Z23" s="59" t="str">
        <f>IF(NOT(COUNTA(B23:D23,F23:O23)&gt;0),"",IF(C23="","Date manquante",IF(NOT(ISNUMBER(C23)),"Date invalide",IF(D23="","Client manquant",IF(ISNA(MATCH(D23,cli_code,0)),"Client inconnu",IF(AC23&lt;SUMPRODUCT(MAX(($AB$6:AB22=AB23)*$AC$6:AC22)),"Date antérieure à la facture précédente",IF(AND(F23&lt;&gt;"",ISNA(MATCH(F23,dv_num,0))),"Devis inconnu",IF(AND(F23&lt;&gt;"",IFERROR(INDEX(dv_client,MATCH(F23,dv_num,0)),D23)&lt;&gt;D23),"Client différent de celui du devis",IF(AG23="","Aucune ligne : saisissez des lignes ou un devis",IF(AND(AI23&lt;&gt;"",COUNTIF($AI$6:AI23,AI23)&gt;1),"Devis déjà repris par une autre facture",IF(AND(AA23="Avoir",M23=""),"Avoir : indiquez la facture d'origine",IF(AND(AA23="Avoir",ISNA(MATCH(M23,fa_num,0))),"Facture d'origine inconnue",IF(AND(AA23&lt;&gt;"Avoir",M23&lt;&gt;""),"« Avoir sur facture » : réservé aux avoirs",IF(AND(L23&lt;&gt;"",AA23&lt;&gt;"Facture"),"Acompte à déduire : réservé aux factures",IF(AND(L23&lt;&gt;"",ISNA(MATCH(L23,fa_num,0))),"Facture d'acompte inconnue",IF(AND(L23&lt;&gt;"",IFERROR(INDEX(fa_type,MATCH(L23,fa_num,0)),"")&lt;&gt;"Facture d'acompte"),"Le n° à déduire n'est pas une facture d'acompte",IF(AND(L23&lt;&gt;"",COUNTIF($L$6:L23,L23)&gt;1),"Acompte déjà déduit sur une autre facture",IF(AND(L23&lt;&gt;"",IFERROR(INDEX(fa_client,MATCH(L23,fa_num,0)),D23)&lt;&gt;D23),"Acompte d'un autre client",IF(AND(AR23&lt;&gt;"",N(Q23)&lt;0),"Acompte supérieur au total de la facture",IF(IF(AG23="Facture",COUNTIFS(fl_doc,A23,fl_check,"&lt;&gt;OK"),IF(AG23="Devis",COUNTIFS(dl_doc,F23,dl_check,"&lt;&gt;OK"),0))&gt;0,"Ligne(s) à corriger",IF(AND(W23&lt;&gt;"",N(W23)&lt;0),"Trop-perçu : vérifiez paiements et avoirs","OK")))))))))))))))))))))</f>
        <v/>
      </c>
      <c r="AA23" s="62" t="str">
        <f>IF(COUNTA(B23:D23,F23:O23)&gt;0,IF(B23="","Facture",B23),"")</f>
        <v/>
      </c>
      <c r="AB23" s="62" t="str">
        <f>IF(AA23="","",IF(AA23="Avoir",p_pav,IF(AA23="Facture d'acompte",p_pac,p_pfa)))</f>
        <v/>
      </c>
      <c r="AC23" s="62">
        <f>IF(ISNUMBER(C23),C23,0)</f>
        <v>0.0</v>
      </c>
      <c r="AD23" s="62" t="str">
        <f>IF(OR(AA23="",AC23=0),"",YEAR(AC23))</f>
        <v/>
      </c>
      <c r="AE23" s="62" t="str">
        <f>IF(AD23="","",COUNTIFS($AB$6:AB23,AB23,$AD$6:AD23,AD23))</f>
        <v/>
      </c>
      <c r="AF23" s="62">
        <f>IF(A23="",0,COUNTIF(fl_doc,A23))</f>
        <v>0.0</v>
      </c>
      <c r="AG23" s="62" t="str">
        <f>IF(A23="","",IF(AF23&gt;0,"Facture",IF(AND(F23&lt;&gt;"",AA23="Facture",ISNUMBER(MATCH(F23,dv_num,0))),"Devis","")))</f>
        <v/>
      </c>
      <c r="AH23" s="62" t="str">
        <f>IF(AND(A23&lt;&gt;"",F23&lt;&gt;"",AA23&lt;&gt;"Avoir"),F23,"")</f>
        <v/>
      </c>
      <c r="AI23" s="62" t="str">
        <f>IF(AG23="Devis",F23,"")</f>
        <v/>
      </c>
      <c r="AJ23" s="62">
        <f>IF(AG23="Facture",SUMIF(fl_doc,A23,fl_ht),IF(AG23="Devis",SUMIF(dl_doc,F23,dl_ht),0))</f>
        <v>0.0</v>
      </c>
      <c r="AK23" s="62">
        <f>IF(OR(AG23="",INDEX(p_rates,1)=""),0,IF(AG23="Facture",SUMIFS(fl_ht,fl_doc,A23,fl_rate,INDEX(p_rates,1)),SUMIFS(dl_ht,dl_doc,F23,dl_rate,INDEX(p_rates,1))))</f>
        <v>0.0</v>
      </c>
      <c r="AL23" s="62">
        <f>IF(OR(AG23="",INDEX(p_rates,2)=""),0,IF(AG23="Facture",SUMIFS(fl_ht,fl_doc,A23,fl_rate,INDEX(p_rates,2)),SUMIFS(dl_ht,dl_doc,F23,dl_rate,INDEX(p_rates,2))))</f>
        <v>0.0</v>
      </c>
      <c r="AM23" s="62">
        <f>IF(OR(AG23="",INDEX(p_rates,3)=""),0,IF(AG23="Facture",SUMIFS(fl_ht,fl_doc,A23,fl_rate,INDEX(p_rates,3)),SUMIFS(dl_ht,dl_doc,F23,dl_rate,INDEX(p_rates,3))))</f>
        <v>0.0</v>
      </c>
      <c r="AN23" s="62">
        <f>IF(OR(AG23="",INDEX(p_rates,4)=""),0,IF(AG23="Facture",SUMIFS(fl_ht,fl_doc,A23,fl_rate,INDEX(p_rates,4)),SUMIFS(dl_ht,dl_doc,F23,dl_rate,INDEX(p_rates,4))))</f>
        <v>0.0</v>
      </c>
      <c r="AO23" s="62">
        <f>IF(OR(AG23="",INDEX(p_rates,5)=""),0,IF(AG23="Facture",SUMIFS(fl_ht,fl_doc,A23,fl_rate,INDEX(p_rates,5)),SUMIFS(dl_ht,dl_doc,F23,dl_rate,INDEX(p_rates,5))))</f>
        <v>0.0</v>
      </c>
      <c r="AP23" s="62">
        <f>IF(OR(AG23="",INDEX(p_rates,6)=""),0,IF(AG23="Facture",SUMIFS(fl_ht,fl_doc,A23,fl_rate,INDEX(p_rates,6)),SUMIFS(dl_ht,dl_doc,F23,dl_rate,INDEX(p_rates,6))))</f>
        <v>0.0</v>
      </c>
      <c r="AQ23" s="62">
        <f>ROUND(AK23*N(INDEX(p_rates,1)),2)+ROUND(AL23*N(INDEX(p_rates,2)),2)+ROUND(AM23*N(INDEX(p_rates,3)),2)+ROUND(AN23*N(INDEX(p_rates,4)),2)+ROUND(AO23*N(INDEX(p_rates,5)),2)+ROUND(AP23*N(INDEX(p_rates,6)),2)</f>
        <v>0.0</v>
      </c>
      <c r="AR23" s="62" t="str">
        <f>IF(OR(L23="",AA23&lt;&gt;"Facture"),"",IFERROR(IF(INDEX(fa_type,MATCH(L23,fa_num,0))="Facture d'acompte",MATCH(L23,fa_num,0),""),""))</f>
        <v/>
      </c>
      <c r="AS23" s="62" t="str">
        <f>IF(W23="","",IF(W23&lt;=0,"",IF(p_asof-P23&lt;=0,"Non échu",IF(p_asof-P23&lt;=30,"1-30 j",IF(p_asof-P23&lt;=60,"31-60 j",IF(p_asof-P23&lt;=90,"61-90 j","Plus de 90 j"))))))</f>
        <v/>
      </c>
      <c r="AT23" s="62" t="str">
        <f>IF(AS23="","",p_asof-P23)</f>
        <v/>
      </c>
      <c r="AU23" s="62" t="str">
        <f>IF(AT23="","",COUNTIF($AT$6:$AT$805,"&gt;"&amp;AT23)+COUNTIF($AT$6:AT23,AT23))</f>
        <v/>
      </c>
    </row>
    <row r="24">
      <c r="A24" s="59" t="str">
        <f>IF(AE24="","",AB24&amp;"-"&amp;AD24&amp;"-"&amp;RIGHT("000"&amp;AE24,4))</f>
        <v/>
      </c>
      <c r="B24" s="60" t="n"/>
      <c r="C24" s="61" t="n"/>
      <c r="D24" s="60" t="n"/>
      <c r="E24" s="62" t="str">
        <f>IF(D24="","",IFERROR(INDEX(cli_name,MATCH(D24,cli_code,0))&amp;"","Client inconnu"))</f>
        <v/>
      </c>
      <c r="F24" s="60" t="n"/>
      <c r="G24" s="63" t="n"/>
      <c r="H24" s="61" t="n"/>
      <c r="I24" s="63" t="n"/>
      <c r="J24" s="60" t="n"/>
      <c r="K24" s="61" t="n"/>
      <c r="L24" s="60" t="n"/>
      <c r="M24" s="60" t="n"/>
      <c r="N24" s="60" t="n"/>
      <c r="O24" s="61" t="n"/>
      <c r="P24" s="64" t="str">
        <f>IF(A24="","",IF(AA24="Avoir",AC24,IF(ISNUMBER(K24),K24,AC24+IF(D24="",N(p_delay),IFERROR(IF(ISNUMBER(INDEX(cli_delay,MATCH(D24,cli_code,0))),INDEX(cli_delay,MATCH(D24,cli_code,0)),N(p_delay)),N(p_delay))))))</f>
        <v/>
      </c>
      <c r="Q24" s="65" t="str">
        <f>IF(A24="","",IF(AA24="Avoir",-1,1)*ROUND(AJ24-IF(AR24="",0,INDEX(fa_htb,AR24)),2))</f>
        <v/>
      </c>
      <c r="R24" s="65" t="str">
        <f>IF(A24="","",IF(AA24="Avoir",-1,1)*ROUND(AQ24-IF(AR24="",0,INDEX(fa_tvab,AR24)),2))</f>
        <v/>
      </c>
      <c r="S24" s="65" t="str">
        <f>IF(A24="","",Q24+R24)</f>
        <v/>
      </c>
      <c r="T24" s="65" t="str">
        <f>IF(AR24="","",INDEX(fa_htb,AR24)+INDEX(fa_tvab,AR24))</f>
        <v/>
      </c>
      <c r="U24" s="65" t="str">
        <f>IF(A24="","",SUMIF(pa_inv,A24,pa_amt))</f>
        <v/>
      </c>
      <c r="V24" s="65" t="str">
        <f>IF(OR(A24="",AA24="Avoir"),"",-SUMIFS(fa_ttc,fa_avof,A24,fa_type,"Avoir"))</f>
        <v/>
      </c>
      <c r="W24" s="65" t="str">
        <f>IF(OR(A24="",AA24="Avoir"),"",ROUND(S24-U24-V24,2))</f>
        <v/>
      </c>
      <c r="X24" s="66" t="str">
        <f>IF(W24="","",IF(AND(W24&gt;0,p_asof&gt;P24),p_asof-P24,""))</f>
        <v/>
      </c>
      <c r="Y24" s="59" t="str">
        <f>IF(A24="","",IF(AA24="Avoir","Avoir",IF(W24&lt;0,"Trop-perçu",IF(W24=0,"Soldée",IF(p_asof&gt;P24,"En retard",IF(U24+V24&gt;0,"Partielle","À échoir"))))))</f>
        <v/>
      </c>
      <c r="Z24" s="59" t="str">
        <f>IF(NOT(COUNTA(B24:D24,F24:O24)&gt;0),"",IF(C24="","Date manquante",IF(NOT(ISNUMBER(C24)),"Date invalide",IF(D24="","Client manquant",IF(ISNA(MATCH(D24,cli_code,0)),"Client inconnu",IF(AC24&lt;SUMPRODUCT(MAX(($AB$6:AB23=AB24)*$AC$6:AC23)),"Date antérieure à la facture précédente",IF(AND(F24&lt;&gt;"",ISNA(MATCH(F24,dv_num,0))),"Devis inconnu",IF(AND(F24&lt;&gt;"",IFERROR(INDEX(dv_client,MATCH(F24,dv_num,0)),D24)&lt;&gt;D24),"Client différent de celui du devis",IF(AG24="","Aucune ligne : saisissez des lignes ou un devis",IF(AND(AI24&lt;&gt;"",COUNTIF($AI$6:AI24,AI24)&gt;1),"Devis déjà repris par une autre facture",IF(AND(AA24="Avoir",M24=""),"Avoir : indiquez la facture d'origine",IF(AND(AA24="Avoir",ISNA(MATCH(M24,fa_num,0))),"Facture d'origine inconnue",IF(AND(AA24&lt;&gt;"Avoir",M24&lt;&gt;""),"« Avoir sur facture » : réservé aux avoirs",IF(AND(L24&lt;&gt;"",AA24&lt;&gt;"Facture"),"Acompte à déduire : réservé aux factures",IF(AND(L24&lt;&gt;"",ISNA(MATCH(L24,fa_num,0))),"Facture d'acompte inconnue",IF(AND(L24&lt;&gt;"",IFERROR(INDEX(fa_type,MATCH(L24,fa_num,0)),"")&lt;&gt;"Facture d'acompte"),"Le n° à déduire n'est pas une facture d'acompte",IF(AND(L24&lt;&gt;"",COUNTIF($L$6:L24,L24)&gt;1),"Acompte déjà déduit sur une autre facture",IF(AND(L24&lt;&gt;"",IFERROR(INDEX(fa_client,MATCH(L24,fa_num,0)),D24)&lt;&gt;D24),"Acompte d'un autre client",IF(AND(AR24&lt;&gt;"",N(Q24)&lt;0),"Acompte supérieur au total de la facture",IF(IF(AG24="Facture",COUNTIFS(fl_doc,A24,fl_check,"&lt;&gt;OK"),IF(AG24="Devis",COUNTIFS(dl_doc,F24,dl_check,"&lt;&gt;OK"),0))&gt;0,"Ligne(s) à corriger",IF(AND(W24&lt;&gt;"",N(W24)&lt;0),"Trop-perçu : vérifiez paiements et avoirs","OK")))))))))))))))))))))</f>
        <v/>
      </c>
      <c r="AA24" s="62" t="str">
        <f>IF(COUNTA(B24:D24,F24:O24)&gt;0,IF(B24="","Facture",B24),"")</f>
        <v/>
      </c>
      <c r="AB24" s="62" t="str">
        <f>IF(AA24="","",IF(AA24="Avoir",p_pav,IF(AA24="Facture d'acompte",p_pac,p_pfa)))</f>
        <v/>
      </c>
      <c r="AC24" s="62">
        <f>IF(ISNUMBER(C24),C24,0)</f>
        <v>0.0</v>
      </c>
      <c r="AD24" s="62" t="str">
        <f>IF(OR(AA24="",AC24=0),"",YEAR(AC24))</f>
        <v/>
      </c>
      <c r="AE24" s="62" t="str">
        <f>IF(AD24="","",COUNTIFS($AB$6:AB24,AB24,$AD$6:AD24,AD24))</f>
        <v/>
      </c>
      <c r="AF24" s="62">
        <f>IF(A24="",0,COUNTIF(fl_doc,A24))</f>
        <v>0.0</v>
      </c>
      <c r="AG24" s="62" t="str">
        <f>IF(A24="","",IF(AF24&gt;0,"Facture",IF(AND(F24&lt;&gt;"",AA24="Facture",ISNUMBER(MATCH(F24,dv_num,0))),"Devis","")))</f>
        <v/>
      </c>
      <c r="AH24" s="62" t="str">
        <f>IF(AND(A24&lt;&gt;"",F24&lt;&gt;"",AA24&lt;&gt;"Avoir"),F24,"")</f>
        <v/>
      </c>
      <c r="AI24" s="62" t="str">
        <f>IF(AG24="Devis",F24,"")</f>
        <v/>
      </c>
      <c r="AJ24" s="62">
        <f>IF(AG24="Facture",SUMIF(fl_doc,A24,fl_ht),IF(AG24="Devis",SUMIF(dl_doc,F24,dl_ht),0))</f>
        <v>0.0</v>
      </c>
      <c r="AK24" s="62">
        <f>IF(OR(AG24="",INDEX(p_rates,1)=""),0,IF(AG24="Facture",SUMIFS(fl_ht,fl_doc,A24,fl_rate,INDEX(p_rates,1)),SUMIFS(dl_ht,dl_doc,F24,dl_rate,INDEX(p_rates,1))))</f>
        <v>0.0</v>
      </c>
      <c r="AL24" s="62">
        <f>IF(OR(AG24="",INDEX(p_rates,2)=""),0,IF(AG24="Facture",SUMIFS(fl_ht,fl_doc,A24,fl_rate,INDEX(p_rates,2)),SUMIFS(dl_ht,dl_doc,F24,dl_rate,INDEX(p_rates,2))))</f>
        <v>0.0</v>
      </c>
      <c r="AM24" s="62">
        <f>IF(OR(AG24="",INDEX(p_rates,3)=""),0,IF(AG24="Facture",SUMIFS(fl_ht,fl_doc,A24,fl_rate,INDEX(p_rates,3)),SUMIFS(dl_ht,dl_doc,F24,dl_rate,INDEX(p_rates,3))))</f>
        <v>0.0</v>
      </c>
      <c r="AN24" s="62">
        <f>IF(OR(AG24="",INDEX(p_rates,4)=""),0,IF(AG24="Facture",SUMIFS(fl_ht,fl_doc,A24,fl_rate,INDEX(p_rates,4)),SUMIFS(dl_ht,dl_doc,F24,dl_rate,INDEX(p_rates,4))))</f>
        <v>0.0</v>
      </c>
      <c r="AO24" s="62">
        <f>IF(OR(AG24="",INDEX(p_rates,5)=""),0,IF(AG24="Facture",SUMIFS(fl_ht,fl_doc,A24,fl_rate,INDEX(p_rates,5)),SUMIFS(dl_ht,dl_doc,F24,dl_rate,INDEX(p_rates,5))))</f>
        <v>0.0</v>
      </c>
      <c r="AP24" s="62">
        <f>IF(OR(AG24="",INDEX(p_rates,6)=""),0,IF(AG24="Facture",SUMIFS(fl_ht,fl_doc,A24,fl_rate,INDEX(p_rates,6)),SUMIFS(dl_ht,dl_doc,F24,dl_rate,INDEX(p_rates,6))))</f>
        <v>0.0</v>
      </c>
      <c r="AQ24" s="62">
        <f>ROUND(AK24*N(INDEX(p_rates,1)),2)+ROUND(AL24*N(INDEX(p_rates,2)),2)+ROUND(AM24*N(INDEX(p_rates,3)),2)+ROUND(AN24*N(INDEX(p_rates,4)),2)+ROUND(AO24*N(INDEX(p_rates,5)),2)+ROUND(AP24*N(INDEX(p_rates,6)),2)</f>
        <v>0.0</v>
      </c>
      <c r="AR24" s="62" t="str">
        <f>IF(OR(L24="",AA24&lt;&gt;"Facture"),"",IFERROR(IF(INDEX(fa_type,MATCH(L24,fa_num,0))="Facture d'acompte",MATCH(L24,fa_num,0),""),""))</f>
        <v/>
      </c>
      <c r="AS24" s="62" t="str">
        <f>IF(W24="","",IF(W24&lt;=0,"",IF(p_asof-P24&lt;=0,"Non échu",IF(p_asof-P24&lt;=30,"1-30 j",IF(p_asof-P24&lt;=60,"31-60 j",IF(p_asof-P24&lt;=90,"61-90 j","Plus de 90 j"))))))</f>
        <v/>
      </c>
      <c r="AT24" s="62" t="str">
        <f>IF(AS24="","",p_asof-P24)</f>
        <v/>
      </c>
      <c r="AU24" s="62" t="str">
        <f>IF(AT24="","",COUNTIF($AT$6:$AT$805,"&gt;"&amp;AT24)+COUNTIF($AT$6:AT24,AT24))</f>
        <v/>
      </c>
    </row>
    <row r="25">
      <c r="A25" s="59" t="str">
        <f>IF(AE25="","",AB25&amp;"-"&amp;AD25&amp;"-"&amp;RIGHT("000"&amp;AE25,4))</f>
        <v/>
      </c>
      <c r="B25" s="60" t="n"/>
      <c r="C25" s="61" t="n"/>
      <c r="D25" s="60" t="n"/>
      <c r="E25" s="62" t="str">
        <f>IF(D25="","",IFERROR(INDEX(cli_name,MATCH(D25,cli_code,0))&amp;"","Client inconnu"))</f>
        <v/>
      </c>
      <c r="F25" s="60" t="n"/>
      <c r="G25" s="63" t="n"/>
      <c r="H25" s="61" t="n"/>
      <c r="I25" s="63" t="n"/>
      <c r="J25" s="60" t="n"/>
      <c r="K25" s="61" t="n"/>
      <c r="L25" s="60" t="n"/>
      <c r="M25" s="60" t="n"/>
      <c r="N25" s="60" t="n"/>
      <c r="O25" s="61" t="n"/>
      <c r="P25" s="64" t="str">
        <f>IF(A25="","",IF(AA25="Avoir",AC25,IF(ISNUMBER(K25),K25,AC25+IF(D25="",N(p_delay),IFERROR(IF(ISNUMBER(INDEX(cli_delay,MATCH(D25,cli_code,0))),INDEX(cli_delay,MATCH(D25,cli_code,0)),N(p_delay)),N(p_delay))))))</f>
        <v/>
      </c>
      <c r="Q25" s="65" t="str">
        <f>IF(A25="","",IF(AA25="Avoir",-1,1)*ROUND(AJ25-IF(AR25="",0,INDEX(fa_htb,AR25)),2))</f>
        <v/>
      </c>
      <c r="R25" s="65" t="str">
        <f>IF(A25="","",IF(AA25="Avoir",-1,1)*ROUND(AQ25-IF(AR25="",0,INDEX(fa_tvab,AR25)),2))</f>
        <v/>
      </c>
      <c r="S25" s="65" t="str">
        <f>IF(A25="","",Q25+R25)</f>
        <v/>
      </c>
      <c r="T25" s="65" t="str">
        <f>IF(AR25="","",INDEX(fa_htb,AR25)+INDEX(fa_tvab,AR25))</f>
        <v/>
      </c>
      <c r="U25" s="65" t="str">
        <f>IF(A25="","",SUMIF(pa_inv,A25,pa_amt))</f>
        <v/>
      </c>
      <c r="V25" s="65" t="str">
        <f>IF(OR(A25="",AA25="Avoir"),"",-SUMIFS(fa_ttc,fa_avof,A25,fa_type,"Avoir"))</f>
        <v/>
      </c>
      <c r="W25" s="65" t="str">
        <f>IF(OR(A25="",AA25="Avoir"),"",ROUND(S25-U25-V25,2))</f>
        <v/>
      </c>
      <c r="X25" s="66" t="str">
        <f>IF(W25="","",IF(AND(W25&gt;0,p_asof&gt;P25),p_asof-P25,""))</f>
        <v/>
      </c>
      <c r="Y25" s="59" t="str">
        <f>IF(A25="","",IF(AA25="Avoir","Avoir",IF(W25&lt;0,"Trop-perçu",IF(W25=0,"Soldée",IF(p_asof&gt;P25,"En retard",IF(U25+V25&gt;0,"Partielle","À échoir"))))))</f>
        <v/>
      </c>
      <c r="Z25" s="59" t="str">
        <f>IF(NOT(COUNTA(B25:D25,F25:O25)&gt;0),"",IF(C25="","Date manquante",IF(NOT(ISNUMBER(C25)),"Date invalide",IF(D25="","Client manquant",IF(ISNA(MATCH(D25,cli_code,0)),"Client inconnu",IF(AC25&lt;SUMPRODUCT(MAX(($AB$6:AB24=AB25)*$AC$6:AC24)),"Date antérieure à la facture précédente",IF(AND(F25&lt;&gt;"",ISNA(MATCH(F25,dv_num,0))),"Devis inconnu",IF(AND(F25&lt;&gt;"",IFERROR(INDEX(dv_client,MATCH(F25,dv_num,0)),D25)&lt;&gt;D25),"Client différent de celui du devis",IF(AG25="","Aucune ligne : saisissez des lignes ou un devis",IF(AND(AI25&lt;&gt;"",COUNTIF($AI$6:AI25,AI25)&gt;1),"Devis déjà repris par une autre facture",IF(AND(AA25="Avoir",M25=""),"Avoir : indiquez la facture d'origine",IF(AND(AA25="Avoir",ISNA(MATCH(M25,fa_num,0))),"Facture d'origine inconnue",IF(AND(AA25&lt;&gt;"Avoir",M25&lt;&gt;""),"« Avoir sur facture » : réservé aux avoirs",IF(AND(L25&lt;&gt;"",AA25&lt;&gt;"Facture"),"Acompte à déduire : réservé aux factures",IF(AND(L25&lt;&gt;"",ISNA(MATCH(L25,fa_num,0))),"Facture d'acompte inconnue",IF(AND(L25&lt;&gt;"",IFERROR(INDEX(fa_type,MATCH(L25,fa_num,0)),"")&lt;&gt;"Facture d'acompte"),"Le n° à déduire n'est pas une facture d'acompte",IF(AND(L25&lt;&gt;"",COUNTIF($L$6:L25,L25)&gt;1),"Acompte déjà déduit sur une autre facture",IF(AND(L25&lt;&gt;"",IFERROR(INDEX(fa_client,MATCH(L25,fa_num,0)),D25)&lt;&gt;D25),"Acompte d'un autre client",IF(AND(AR25&lt;&gt;"",N(Q25)&lt;0),"Acompte supérieur au total de la facture",IF(IF(AG25="Facture",COUNTIFS(fl_doc,A25,fl_check,"&lt;&gt;OK"),IF(AG25="Devis",COUNTIFS(dl_doc,F25,dl_check,"&lt;&gt;OK"),0))&gt;0,"Ligne(s) à corriger",IF(AND(W25&lt;&gt;"",N(W25)&lt;0),"Trop-perçu : vérifiez paiements et avoirs","OK")))))))))))))))))))))</f>
        <v/>
      </c>
      <c r="AA25" s="62" t="str">
        <f>IF(COUNTA(B25:D25,F25:O25)&gt;0,IF(B25="","Facture",B25),"")</f>
        <v/>
      </c>
      <c r="AB25" s="62" t="str">
        <f>IF(AA25="","",IF(AA25="Avoir",p_pav,IF(AA25="Facture d'acompte",p_pac,p_pfa)))</f>
        <v/>
      </c>
      <c r="AC25" s="62">
        <f>IF(ISNUMBER(C25),C25,0)</f>
        <v>0.0</v>
      </c>
      <c r="AD25" s="62" t="str">
        <f>IF(OR(AA25="",AC25=0),"",YEAR(AC25))</f>
        <v/>
      </c>
      <c r="AE25" s="62" t="str">
        <f>IF(AD25="","",COUNTIFS($AB$6:AB25,AB25,$AD$6:AD25,AD25))</f>
        <v/>
      </c>
      <c r="AF25" s="62">
        <f>IF(A25="",0,COUNTIF(fl_doc,A25))</f>
        <v>0.0</v>
      </c>
      <c r="AG25" s="62" t="str">
        <f>IF(A25="","",IF(AF25&gt;0,"Facture",IF(AND(F25&lt;&gt;"",AA25="Facture",ISNUMBER(MATCH(F25,dv_num,0))),"Devis","")))</f>
        <v/>
      </c>
      <c r="AH25" s="62" t="str">
        <f>IF(AND(A25&lt;&gt;"",F25&lt;&gt;"",AA25&lt;&gt;"Avoir"),F25,"")</f>
        <v/>
      </c>
      <c r="AI25" s="62" t="str">
        <f>IF(AG25="Devis",F25,"")</f>
        <v/>
      </c>
      <c r="AJ25" s="62">
        <f>IF(AG25="Facture",SUMIF(fl_doc,A25,fl_ht),IF(AG25="Devis",SUMIF(dl_doc,F25,dl_ht),0))</f>
        <v>0.0</v>
      </c>
      <c r="AK25" s="62">
        <f>IF(OR(AG25="",INDEX(p_rates,1)=""),0,IF(AG25="Facture",SUMIFS(fl_ht,fl_doc,A25,fl_rate,INDEX(p_rates,1)),SUMIFS(dl_ht,dl_doc,F25,dl_rate,INDEX(p_rates,1))))</f>
        <v>0.0</v>
      </c>
      <c r="AL25" s="62">
        <f>IF(OR(AG25="",INDEX(p_rates,2)=""),0,IF(AG25="Facture",SUMIFS(fl_ht,fl_doc,A25,fl_rate,INDEX(p_rates,2)),SUMIFS(dl_ht,dl_doc,F25,dl_rate,INDEX(p_rates,2))))</f>
        <v>0.0</v>
      </c>
      <c r="AM25" s="62">
        <f>IF(OR(AG25="",INDEX(p_rates,3)=""),0,IF(AG25="Facture",SUMIFS(fl_ht,fl_doc,A25,fl_rate,INDEX(p_rates,3)),SUMIFS(dl_ht,dl_doc,F25,dl_rate,INDEX(p_rates,3))))</f>
        <v>0.0</v>
      </c>
      <c r="AN25" s="62">
        <f>IF(OR(AG25="",INDEX(p_rates,4)=""),0,IF(AG25="Facture",SUMIFS(fl_ht,fl_doc,A25,fl_rate,INDEX(p_rates,4)),SUMIFS(dl_ht,dl_doc,F25,dl_rate,INDEX(p_rates,4))))</f>
        <v>0.0</v>
      </c>
      <c r="AO25" s="62">
        <f>IF(OR(AG25="",INDEX(p_rates,5)=""),0,IF(AG25="Facture",SUMIFS(fl_ht,fl_doc,A25,fl_rate,INDEX(p_rates,5)),SUMIFS(dl_ht,dl_doc,F25,dl_rate,INDEX(p_rates,5))))</f>
        <v>0.0</v>
      </c>
      <c r="AP25" s="62">
        <f>IF(OR(AG25="",INDEX(p_rates,6)=""),0,IF(AG25="Facture",SUMIFS(fl_ht,fl_doc,A25,fl_rate,INDEX(p_rates,6)),SUMIFS(dl_ht,dl_doc,F25,dl_rate,INDEX(p_rates,6))))</f>
        <v>0.0</v>
      </c>
      <c r="AQ25" s="62">
        <f>ROUND(AK25*N(INDEX(p_rates,1)),2)+ROUND(AL25*N(INDEX(p_rates,2)),2)+ROUND(AM25*N(INDEX(p_rates,3)),2)+ROUND(AN25*N(INDEX(p_rates,4)),2)+ROUND(AO25*N(INDEX(p_rates,5)),2)+ROUND(AP25*N(INDEX(p_rates,6)),2)</f>
        <v>0.0</v>
      </c>
      <c r="AR25" s="62" t="str">
        <f>IF(OR(L25="",AA25&lt;&gt;"Facture"),"",IFERROR(IF(INDEX(fa_type,MATCH(L25,fa_num,0))="Facture d'acompte",MATCH(L25,fa_num,0),""),""))</f>
        <v/>
      </c>
      <c r="AS25" s="62" t="str">
        <f>IF(W25="","",IF(W25&lt;=0,"",IF(p_asof-P25&lt;=0,"Non échu",IF(p_asof-P25&lt;=30,"1-30 j",IF(p_asof-P25&lt;=60,"31-60 j",IF(p_asof-P25&lt;=90,"61-90 j","Plus de 90 j"))))))</f>
        <v/>
      </c>
      <c r="AT25" s="62" t="str">
        <f>IF(AS25="","",p_asof-P25)</f>
        <v/>
      </c>
      <c r="AU25" s="62" t="str">
        <f>IF(AT25="","",COUNTIF($AT$6:$AT$805,"&gt;"&amp;AT25)+COUNTIF($AT$6:AT25,AT25))</f>
        <v/>
      </c>
    </row>
    <row r="26">
      <c r="A26" s="59" t="str">
        <f>IF(AE26="","",AB26&amp;"-"&amp;AD26&amp;"-"&amp;RIGHT("000"&amp;AE26,4))</f>
        <v/>
      </c>
      <c r="B26" s="60" t="n"/>
      <c r="C26" s="61" t="n"/>
      <c r="D26" s="60" t="n"/>
      <c r="E26" s="62" t="str">
        <f>IF(D26="","",IFERROR(INDEX(cli_name,MATCH(D26,cli_code,0))&amp;"","Client inconnu"))</f>
        <v/>
      </c>
      <c r="F26" s="60" t="n"/>
      <c r="G26" s="63" t="n"/>
      <c r="H26" s="61" t="n"/>
      <c r="I26" s="63" t="n"/>
      <c r="J26" s="60" t="n"/>
      <c r="K26" s="61" t="n"/>
      <c r="L26" s="60" t="n"/>
      <c r="M26" s="60" t="n"/>
      <c r="N26" s="60" t="n"/>
      <c r="O26" s="61" t="n"/>
      <c r="P26" s="64" t="str">
        <f>IF(A26="","",IF(AA26="Avoir",AC26,IF(ISNUMBER(K26),K26,AC26+IF(D26="",N(p_delay),IFERROR(IF(ISNUMBER(INDEX(cli_delay,MATCH(D26,cli_code,0))),INDEX(cli_delay,MATCH(D26,cli_code,0)),N(p_delay)),N(p_delay))))))</f>
        <v/>
      </c>
      <c r="Q26" s="65" t="str">
        <f>IF(A26="","",IF(AA26="Avoir",-1,1)*ROUND(AJ26-IF(AR26="",0,INDEX(fa_htb,AR26)),2))</f>
        <v/>
      </c>
      <c r="R26" s="65" t="str">
        <f>IF(A26="","",IF(AA26="Avoir",-1,1)*ROUND(AQ26-IF(AR26="",0,INDEX(fa_tvab,AR26)),2))</f>
        <v/>
      </c>
      <c r="S26" s="65" t="str">
        <f>IF(A26="","",Q26+R26)</f>
        <v/>
      </c>
      <c r="T26" s="65" t="str">
        <f>IF(AR26="","",INDEX(fa_htb,AR26)+INDEX(fa_tvab,AR26))</f>
        <v/>
      </c>
      <c r="U26" s="65" t="str">
        <f>IF(A26="","",SUMIF(pa_inv,A26,pa_amt))</f>
        <v/>
      </c>
      <c r="V26" s="65" t="str">
        <f>IF(OR(A26="",AA26="Avoir"),"",-SUMIFS(fa_ttc,fa_avof,A26,fa_type,"Avoir"))</f>
        <v/>
      </c>
      <c r="W26" s="65" t="str">
        <f>IF(OR(A26="",AA26="Avoir"),"",ROUND(S26-U26-V26,2))</f>
        <v/>
      </c>
      <c r="X26" s="66" t="str">
        <f>IF(W26="","",IF(AND(W26&gt;0,p_asof&gt;P26),p_asof-P26,""))</f>
        <v/>
      </c>
      <c r="Y26" s="59" t="str">
        <f>IF(A26="","",IF(AA26="Avoir","Avoir",IF(W26&lt;0,"Trop-perçu",IF(W26=0,"Soldée",IF(p_asof&gt;P26,"En retard",IF(U26+V26&gt;0,"Partielle","À échoir"))))))</f>
        <v/>
      </c>
      <c r="Z26" s="59" t="str">
        <f>IF(NOT(COUNTA(B26:D26,F26:O26)&gt;0),"",IF(C26="","Date manquante",IF(NOT(ISNUMBER(C26)),"Date invalide",IF(D26="","Client manquant",IF(ISNA(MATCH(D26,cli_code,0)),"Client inconnu",IF(AC26&lt;SUMPRODUCT(MAX(($AB$6:AB25=AB26)*$AC$6:AC25)),"Date antérieure à la facture précédente",IF(AND(F26&lt;&gt;"",ISNA(MATCH(F26,dv_num,0))),"Devis inconnu",IF(AND(F26&lt;&gt;"",IFERROR(INDEX(dv_client,MATCH(F26,dv_num,0)),D26)&lt;&gt;D26),"Client différent de celui du devis",IF(AG26="","Aucune ligne : saisissez des lignes ou un devis",IF(AND(AI26&lt;&gt;"",COUNTIF($AI$6:AI26,AI26)&gt;1),"Devis déjà repris par une autre facture",IF(AND(AA26="Avoir",M26=""),"Avoir : indiquez la facture d'origine",IF(AND(AA26="Avoir",ISNA(MATCH(M26,fa_num,0))),"Facture d'origine inconnue",IF(AND(AA26&lt;&gt;"Avoir",M26&lt;&gt;""),"« Avoir sur facture » : réservé aux avoirs",IF(AND(L26&lt;&gt;"",AA26&lt;&gt;"Facture"),"Acompte à déduire : réservé aux factures",IF(AND(L26&lt;&gt;"",ISNA(MATCH(L26,fa_num,0))),"Facture d'acompte inconnue",IF(AND(L26&lt;&gt;"",IFERROR(INDEX(fa_type,MATCH(L26,fa_num,0)),"")&lt;&gt;"Facture d'acompte"),"Le n° à déduire n'est pas une facture d'acompte",IF(AND(L26&lt;&gt;"",COUNTIF($L$6:L26,L26)&gt;1),"Acompte déjà déduit sur une autre facture",IF(AND(L26&lt;&gt;"",IFERROR(INDEX(fa_client,MATCH(L26,fa_num,0)),D26)&lt;&gt;D26),"Acompte d'un autre client",IF(AND(AR26&lt;&gt;"",N(Q26)&lt;0),"Acompte supérieur au total de la facture",IF(IF(AG26="Facture",COUNTIFS(fl_doc,A26,fl_check,"&lt;&gt;OK"),IF(AG26="Devis",COUNTIFS(dl_doc,F26,dl_check,"&lt;&gt;OK"),0))&gt;0,"Ligne(s) à corriger",IF(AND(W26&lt;&gt;"",N(W26)&lt;0),"Trop-perçu : vérifiez paiements et avoirs","OK")))))))))))))))))))))</f>
        <v/>
      </c>
      <c r="AA26" s="62" t="str">
        <f>IF(COUNTA(B26:D26,F26:O26)&gt;0,IF(B26="","Facture",B26),"")</f>
        <v/>
      </c>
      <c r="AB26" s="62" t="str">
        <f>IF(AA26="","",IF(AA26="Avoir",p_pav,IF(AA26="Facture d'acompte",p_pac,p_pfa)))</f>
        <v/>
      </c>
      <c r="AC26" s="62">
        <f>IF(ISNUMBER(C26),C26,0)</f>
        <v>0.0</v>
      </c>
      <c r="AD26" s="62" t="str">
        <f>IF(OR(AA26="",AC26=0),"",YEAR(AC26))</f>
        <v/>
      </c>
      <c r="AE26" s="62" t="str">
        <f>IF(AD26="","",COUNTIFS($AB$6:AB26,AB26,$AD$6:AD26,AD26))</f>
        <v/>
      </c>
      <c r="AF26" s="62">
        <f>IF(A26="",0,COUNTIF(fl_doc,A26))</f>
        <v>0.0</v>
      </c>
      <c r="AG26" s="62" t="str">
        <f>IF(A26="","",IF(AF26&gt;0,"Facture",IF(AND(F26&lt;&gt;"",AA26="Facture",ISNUMBER(MATCH(F26,dv_num,0))),"Devis","")))</f>
        <v/>
      </c>
      <c r="AH26" s="62" t="str">
        <f>IF(AND(A26&lt;&gt;"",F26&lt;&gt;"",AA26&lt;&gt;"Avoir"),F26,"")</f>
        <v/>
      </c>
      <c r="AI26" s="62" t="str">
        <f>IF(AG26="Devis",F26,"")</f>
        <v/>
      </c>
      <c r="AJ26" s="62">
        <f>IF(AG26="Facture",SUMIF(fl_doc,A26,fl_ht),IF(AG26="Devis",SUMIF(dl_doc,F26,dl_ht),0))</f>
        <v>0.0</v>
      </c>
      <c r="AK26" s="62">
        <f>IF(OR(AG26="",INDEX(p_rates,1)=""),0,IF(AG26="Facture",SUMIFS(fl_ht,fl_doc,A26,fl_rate,INDEX(p_rates,1)),SUMIFS(dl_ht,dl_doc,F26,dl_rate,INDEX(p_rates,1))))</f>
        <v>0.0</v>
      </c>
      <c r="AL26" s="62">
        <f>IF(OR(AG26="",INDEX(p_rates,2)=""),0,IF(AG26="Facture",SUMIFS(fl_ht,fl_doc,A26,fl_rate,INDEX(p_rates,2)),SUMIFS(dl_ht,dl_doc,F26,dl_rate,INDEX(p_rates,2))))</f>
        <v>0.0</v>
      </c>
      <c r="AM26" s="62">
        <f>IF(OR(AG26="",INDEX(p_rates,3)=""),0,IF(AG26="Facture",SUMIFS(fl_ht,fl_doc,A26,fl_rate,INDEX(p_rates,3)),SUMIFS(dl_ht,dl_doc,F26,dl_rate,INDEX(p_rates,3))))</f>
        <v>0.0</v>
      </c>
      <c r="AN26" s="62">
        <f>IF(OR(AG26="",INDEX(p_rates,4)=""),0,IF(AG26="Facture",SUMIFS(fl_ht,fl_doc,A26,fl_rate,INDEX(p_rates,4)),SUMIFS(dl_ht,dl_doc,F26,dl_rate,INDEX(p_rates,4))))</f>
        <v>0.0</v>
      </c>
      <c r="AO26" s="62">
        <f>IF(OR(AG26="",INDEX(p_rates,5)=""),0,IF(AG26="Facture",SUMIFS(fl_ht,fl_doc,A26,fl_rate,INDEX(p_rates,5)),SUMIFS(dl_ht,dl_doc,F26,dl_rate,INDEX(p_rates,5))))</f>
        <v>0.0</v>
      </c>
      <c r="AP26" s="62">
        <f>IF(OR(AG26="",INDEX(p_rates,6)=""),0,IF(AG26="Facture",SUMIFS(fl_ht,fl_doc,A26,fl_rate,INDEX(p_rates,6)),SUMIFS(dl_ht,dl_doc,F26,dl_rate,INDEX(p_rates,6))))</f>
        <v>0.0</v>
      </c>
      <c r="AQ26" s="62">
        <f>ROUND(AK26*N(INDEX(p_rates,1)),2)+ROUND(AL26*N(INDEX(p_rates,2)),2)+ROUND(AM26*N(INDEX(p_rates,3)),2)+ROUND(AN26*N(INDEX(p_rates,4)),2)+ROUND(AO26*N(INDEX(p_rates,5)),2)+ROUND(AP26*N(INDEX(p_rates,6)),2)</f>
        <v>0.0</v>
      </c>
      <c r="AR26" s="62" t="str">
        <f>IF(OR(L26="",AA26&lt;&gt;"Facture"),"",IFERROR(IF(INDEX(fa_type,MATCH(L26,fa_num,0))="Facture d'acompte",MATCH(L26,fa_num,0),""),""))</f>
        <v/>
      </c>
      <c r="AS26" s="62" t="str">
        <f>IF(W26="","",IF(W26&lt;=0,"",IF(p_asof-P26&lt;=0,"Non échu",IF(p_asof-P26&lt;=30,"1-30 j",IF(p_asof-P26&lt;=60,"31-60 j",IF(p_asof-P26&lt;=90,"61-90 j","Plus de 90 j"))))))</f>
        <v/>
      </c>
      <c r="AT26" s="62" t="str">
        <f>IF(AS26="","",p_asof-P26)</f>
        <v/>
      </c>
      <c r="AU26" s="62" t="str">
        <f>IF(AT26="","",COUNTIF($AT$6:$AT$805,"&gt;"&amp;AT26)+COUNTIF($AT$6:AT26,AT26))</f>
        <v/>
      </c>
    </row>
    <row r="27">
      <c r="A27" s="59" t="str">
        <f>IF(AE27="","",AB27&amp;"-"&amp;AD27&amp;"-"&amp;RIGHT("000"&amp;AE27,4))</f>
        <v/>
      </c>
      <c r="B27" s="60" t="n"/>
      <c r="C27" s="61" t="n"/>
      <c r="D27" s="60" t="n"/>
      <c r="E27" s="62" t="str">
        <f>IF(D27="","",IFERROR(INDEX(cli_name,MATCH(D27,cli_code,0))&amp;"","Client inconnu"))</f>
        <v/>
      </c>
      <c r="F27" s="60" t="n"/>
      <c r="G27" s="63" t="n"/>
      <c r="H27" s="61" t="n"/>
      <c r="I27" s="63" t="n"/>
      <c r="J27" s="60" t="n"/>
      <c r="K27" s="61" t="n"/>
      <c r="L27" s="60" t="n"/>
      <c r="M27" s="60" t="n"/>
      <c r="N27" s="60" t="n"/>
      <c r="O27" s="61" t="n"/>
      <c r="P27" s="64" t="str">
        <f>IF(A27="","",IF(AA27="Avoir",AC27,IF(ISNUMBER(K27),K27,AC27+IF(D27="",N(p_delay),IFERROR(IF(ISNUMBER(INDEX(cli_delay,MATCH(D27,cli_code,0))),INDEX(cli_delay,MATCH(D27,cli_code,0)),N(p_delay)),N(p_delay))))))</f>
        <v/>
      </c>
      <c r="Q27" s="65" t="str">
        <f>IF(A27="","",IF(AA27="Avoir",-1,1)*ROUND(AJ27-IF(AR27="",0,INDEX(fa_htb,AR27)),2))</f>
        <v/>
      </c>
      <c r="R27" s="65" t="str">
        <f>IF(A27="","",IF(AA27="Avoir",-1,1)*ROUND(AQ27-IF(AR27="",0,INDEX(fa_tvab,AR27)),2))</f>
        <v/>
      </c>
      <c r="S27" s="65" t="str">
        <f>IF(A27="","",Q27+R27)</f>
        <v/>
      </c>
      <c r="T27" s="65" t="str">
        <f>IF(AR27="","",INDEX(fa_htb,AR27)+INDEX(fa_tvab,AR27))</f>
        <v/>
      </c>
      <c r="U27" s="65" t="str">
        <f>IF(A27="","",SUMIF(pa_inv,A27,pa_amt))</f>
        <v/>
      </c>
      <c r="V27" s="65" t="str">
        <f>IF(OR(A27="",AA27="Avoir"),"",-SUMIFS(fa_ttc,fa_avof,A27,fa_type,"Avoir"))</f>
        <v/>
      </c>
      <c r="W27" s="65" t="str">
        <f>IF(OR(A27="",AA27="Avoir"),"",ROUND(S27-U27-V27,2))</f>
        <v/>
      </c>
      <c r="X27" s="66" t="str">
        <f>IF(W27="","",IF(AND(W27&gt;0,p_asof&gt;P27),p_asof-P27,""))</f>
        <v/>
      </c>
      <c r="Y27" s="59" t="str">
        <f>IF(A27="","",IF(AA27="Avoir","Avoir",IF(W27&lt;0,"Trop-perçu",IF(W27=0,"Soldée",IF(p_asof&gt;P27,"En retard",IF(U27+V27&gt;0,"Partielle","À échoir"))))))</f>
        <v/>
      </c>
      <c r="Z27" s="59" t="str">
        <f>IF(NOT(COUNTA(B27:D27,F27:O27)&gt;0),"",IF(C27="","Date manquante",IF(NOT(ISNUMBER(C27)),"Date invalide",IF(D27="","Client manquant",IF(ISNA(MATCH(D27,cli_code,0)),"Client inconnu",IF(AC27&lt;SUMPRODUCT(MAX(($AB$6:AB26=AB27)*$AC$6:AC26)),"Date antérieure à la facture précédente",IF(AND(F27&lt;&gt;"",ISNA(MATCH(F27,dv_num,0))),"Devis inconnu",IF(AND(F27&lt;&gt;"",IFERROR(INDEX(dv_client,MATCH(F27,dv_num,0)),D27)&lt;&gt;D27),"Client différent de celui du devis",IF(AG27="","Aucune ligne : saisissez des lignes ou un devis",IF(AND(AI27&lt;&gt;"",COUNTIF($AI$6:AI27,AI27)&gt;1),"Devis déjà repris par une autre facture",IF(AND(AA27="Avoir",M27=""),"Avoir : indiquez la facture d'origine",IF(AND(AA27="Avoir",ISNA(MATCH(M27,fa_num,0))),"Facture d'origine inconnue",IF(AND(AA27&lt;&gt;"Avoir",M27&lt;&gt;""),"« Avoir sur facture » : réservé aux avoirs",IF(AND(L27&lt;&gt;"",AA27&lt;&gt;"Facture"),"Acompte à déduire : réservé aux factures",IF(AND(L27&lt;&gt;"",ISNA(MATCH(L27,fa_num,0))),"Facture d'acompte inconnue",IF(AND(L27&lt;&gt;"",IFERROR(INDEX(fa_type,MATCH(L27,fa_num,0)),"")&lt;&gt;"Facture d'acompte"),"Le n° à déduire n'est pas une facture d'acompte",IF(AND(L27&lt;&gt;"",COUNTIF($L$6:L27,L27)&gt;1),"Acompte déjà déduit sur une autre facture",IF(AND(L27&lt;&gt;"",IFERROR(INDEX(fa_client,MATCH(L27,fa_num,0)),D27)&lt;&gt;D27),"Acompte d'un autre client",IF(AND(AR27&lt;&gt;"",N(Q27)&lt;0),"Acompte supérieur au total de la facture",IF(IF(AG27="Facture",COUNTIFS(fl_doc,A27,fl_check,"&lt;&gt;OK"),IF(AG27="Devis",COUNTIFS(dl_doc,F27,dl_check,"&lt;&gt;OK"),0))&gt;0,"Ligne(s) à corriger",IF(AND(W27&lt;&gt;"",N(W27)&lt;0),"Trop-perçu : vérifiez paiements et avoirs","OK")))))))))))))))))))))</f>
        <v/>
      </c>
      <c r="AA27" s="62" t="str">
        <f>IF(COUNTA(B27:D27,F27:O27)&gt;0,IF(B27="","Facture",B27),"")</f>
        <v/>
      </c>
      <c r="AB27" s="62" t="str">
        <f>IF(AA27="","",IF(AA27="Avoir",p_pav,IF(AA27="Facture d'acompte",p_pac,p_pfa)))</f>
        <v/>
      </c>
      <c r="AC27" s="62">
        <f>IF(ISNUMBER(C27),C27,0)</f>
        <v>0.0</v>
      </c>
      <c r="AD27" s="62" t="str">
        <f>IF(OR(AA27="",AC27=0),"",YEAR(AC27))</f>
        <v/>
      </c>
      <c r="AE27" s="62" t="str">
        <f>IF(AD27="","",COUNTIFS($AB$6:AB27,AB27,$AD$6:AD27,AD27))</f>
        <v/>
      </c>
      <c r="AF27" s="62">
        <f>IF(A27="",0,COUNTIF(fl_doc,A27))</f>
        <v>0.0</v>
      </c>
      <c r="AG27" s="62" t="str">
        <f>IF(A27="","",IF(AF27&gt;0,"Facture",IF(AND(F27&lt;&gt;"",AA27="Facture",ISNUMBER(MATCH(F27,dv_num,0))),"Devis","")))</f>
        <v/>
      </c>
      <c r="AH27" s="62" t="str">
        <f>IF(AND(A27&lt;&gt;"",F27&lt;&gt;"",AA27&lt;&gt;"Avoir"),F27,"")</f>
        <v/>
      </c>
      <c r="AI27" s="62" t="str">
        <f>IF(AG27="Devis",F27,"")</f>
        <v/>
      </c>
      <c r="AJ27" s="62">
        <f>IF(AG27="Facture",SUMIF(fl_doc,A27,fl_ht),IF(AG27="Devis",SUMIF(dl_doc,F27,dl_ht),0))</f>
        <v>0.0</v>
      </c>
      <c r="AK27" s="62">
        <f>IF(OR(AG27="",INDEX(p_rates,1)=""),0,IF(AG27="Facture",SUMIFS(fl_ht,fl_doc,A27,fl_rate,INDEX(p_rates,1)),SUMIFS(dl_ht,dl_doc,F27,dl_rate,INDEX(p_rates,1))))</f>
        <v>0.0</v>
      </c>
      <c r="AL27" s="62">
        <f>IF(OR(AG27="",INDEX(p_rates,2)=""),0,IF(AG27="Facture",SUMIFS(fl_ht,fl_doc,A27,fl_rate,INDEX(p_rates,2)),SUMIFS(dl_ht,dl_doc,F27,dl_rate,INDEX(p_rates,2))))</f>
        <v>0.0</v>
      </c>
      <c r="AM27" s="62">
        <f>IF(OR(AG27="",INDEX(p_rates,3)=""),0,IF(AG27="Facture",SUMIFS(fl_ht,fl_doc,A27,fl_rate,INDEX(p_rates,3)),SUMIFS(dl_ht,dl_doc,F27,dl_rate,INDEX(p_rates,3))))</f>
        <v>0.0</v>
      </c>
      <c r="AN27" s="62">
        <f>IF(OR(AG27="",INDEX(p_rates,4)=""),0,IF(AG27="Facture",SUMIFS(fl_ht,fl_doc,A27,fl_rate,INDEX(p_rates,4)),SUMIFS(dl_ht,dl_doc,F27,dl_rate,INDEX(p_rates,4))))</f>
        <v>0.0</v>
      </c>
      <c r="AO27" s="62">
        <f>IF(OR(AG27="",INDEX(p_rates,5)=""),0,IF(AG27="Facture",SUMIFS(fl_ht,fl_doc,A27,fl_rate,INDEX(p_rates,5)),SUMIFS(dl_ht,dl_doc,F27,dl_rate,INDEX(p_rates,5))))</f>
        <v>0.0</v>
      </c>
      <c r="AP27" s="62">
        <f>IF(OR(AG27="",INDEX(p_rates,6)=""),0,IF(AG27="Facture",SUMIFS(fl_ht,fl_doc,A27,fl_rate,INDEX(p_rates,6)),SUMIFS(dl_ht,dl_doc,F27,dl_rate,INDEX(p_rates,6))))</f>
        <v>0.0</v>
      </c>
      <c r="AQ27" s="62">
        <f>ROUND(AK27*N(INDEX(p_rates,1)),2)+ROUND(AL27*N(INDEX(p_rates,2)),2)+ROUND(AM27*N(INDEX(p_rates,3)),2)+ROUND(AN27*N(INDEX(p_rates,4)),2)+ROUND(AO27*N(INDEX(p_rates,5)),2)+ROUND(AP27*N(INDEX(p_rates,6)),2)</f>
        <v>0.0</v>
      </c>
      <c r="AR27" s="62" t="str">
        <f>IF(OR(L27="",AA27&lt;&gt;"Facture"),"",IFERROR(IF(INDEX(fa_type,MATCH(L27,fa_num,0))="Facture d'acompte",MATCH(L27,fa_num,0),""),""))</f>
        <v/>
      </c>
      <c r="AS27" s="62" t="str">
        <f>IF(W27="","",IF(W27&lt;=0,"",IF(p_asof-P27&lt;=0,"Non échu",IF(p_asof-P27&lt;=30,"1-30 j",IF(p_asof-P27&lt;=60,"31-60 j",IF(p_asof-P27&lt;=90,"61-90 j","Plus de 90 j"))))))</f>
        <v/>
      </c>
      <c r="AT27" s="62" t="str">
        <f>IF(AS27="","",p_asof-P27)</f>
        <v/>
      </c>
      <c r="AU27" s="62" t="str">
        <f>IF(AT27="","",COUNTIF($AT$6:$AT$805,"&gt;"&amp;AT27)+COUNTIF($AT$6:AT27,AT27))</f>
        <v/>
      </c>
    </row>
    <row r="28">
      <c r="A28" s="59" t="str">
        <f>IF(AE28="","",AB28&amp;"-"&amp;AD28&amp;"-"&amp;RIGHT("000"&amp;AE28,4))</f>
        <v/>
      </c>
      <c r="B28" s="60" t="n"/>
      <c r="C28" s="61" t="n"/>
      <c r="D28" s="60" t="n"/>
      <c r="E28" s="62" t="str">
        <f>IF(D28="","",IFERROR(INDEX(cli_name,MATCH(D28,cli_code,0))&amp;"","Client inconnu"))</f>
        <v/>
      </c>
      <c r="F28" s="60" t="n"/>
      <c r="G28" s="63" t="n"/>
      <c r="H28" s="61" t="n"/>
      <c r="I28" s="63" t="n"/>
      <c r="J28" s="60" t="n"/>
      <c r="K28" s="61" t="n"/>
      <c r="L28" s="60" t="n"/>
      <c r="M28" s="60" t="n"/>
      <c r="N28" s="60" t="n"/>
      <c r="O28" s="61" t="n"/>
      <c r="P28" s="64" t="str">
        <f>IF(A28="","",IF(AA28="Avoir",AC28,IF(ISNUMBER(K28),K28,AC28+IF(D28="",N(p_delay),IFERROR(IF(ISNUMBER(INDEX(cli_delay,MATCH(D28,cli_code,0))),INDEX(cli_delay,MATCH(D28,cli_code,0)),N(p_delay)),N(p_delay))))))</f>
        <v/>
      </c>
      <c r="Q28" s="65" t="str">
        <f>IF(A28="","",IF(AA28="Avoir",-1,1)*ROUND(AJ28-IF(AR28="",0,INDEX(fa_htb,AR28)),2))</f>
        <v/>
      </c>
      <c r="R28" s="65" t="str">
        <f>IF(A28="","",IF(AA28="Avoir",-1,1)*ROUND(AQ28-IF(AR28="",0,INDEX(fa_tvab,AR28)),2))</f>
        <v/>
      </c>
      <c r="S28" s="65" t="str">
        <f>IF(A28="","",Q28+R28)</f>
        <v/>
      </c>
      <c r="T28" s="65" t="str">
        <f>IF(AR28="","",INDEX(fa_htb,AR28)+INDEX(fa_tvab,AR28))</f>
        <v/>
      </c>
      <c r="U28" s="65" t="str">
        <f>IF(A28="","",SUMIF(pa_inv,A28,pa_amt))</f>
        <v/>
      </c>
      <c r="V28" s="65" t="str">
        <f>IF(OR(A28="",AA28="Avoir"),"",-SUMIFS(fa_ttc,fa_avof,A28,fa_type,"Avoir"))</f>
        <v/>
      </c>
      <c r="W28" s="65" t="str">
        <f>IF(OR(A28="",AA28="Avoir"),"",ROUND(S28-U28-V28,2))</f>
        <v/>
      </c>
      <c r="X28" s="66" t="str">
        <f>IF(W28="","",IF(AND(W28&gt;0,p_asof&gt;P28),p_asof-P28,""))</f>
        <v/>
      </c>
      <c r="Y28" s="59" t="str">
        <f>IF(A28="","",IF(AA28="Avoir","Avoir",IF(W28&lt;0,"Trop-perçu",IF(W28=0,"Soldée",IF(p_asof&gt;P28,"En retard",IF(U28+V28&gt;0,"Partielle","À échoir"))))))</f>
        <v/>
      </c>
      <c r="Z28" s="59" t="str">
        <f>IF(NOT(COUNTA(B28:D28,F28:O28)&gt;0),"",IF(C28="","Date manquante",IF(NOT(ISNUMBER(C28)),"Date invalide",IF(D28="","Client manquant",IF(ISNA(MATCH(D28,cli_code,0)),"Client inconnu",IF(AC28&lt;SUMPRODUCT(MAX(($AB$6:AB27=AB28)*$AC$6:AC27)),"Date antérieure à la facture précédente",IF(AND(F28&lt;&gt;"",ISNA(MATCH(F28,dv_num,0))),"Devis inconnu",IF(AND(F28&lt;&gt;"",IFERROR(INDEX(dv_client,MATCH(F28,dv_num,0)),D28)&lt;&gt;D28),"Client différent de celui du devis",IF(AG28="","Aucune ligne : saisissez des lignes ou un devis",IF(AND(AI28&lt;&gt;"",COUNTIF($AI$6:AI28,AI28)&gt;1),"Devis déjà repris par une autre facture",IF(AND(AA28="Avoir",M28=""),"Avoir : indiquez la facture d'origine",IF(AND(AA28="Avoir",ISNA(MATCH(M28,fa_num,0))),"Facture d'origine inconnue",IF(AND(AA28&lt;&gt;"Avoir",M28&lt;&gt;""),"« Avoir sur facture » : réservé aux avoirs",IF(AND(L28&lt;&gt;"",AA28&lt;&gt;"Facture"),"Acompte à déduire : réservé aux factures",IF(AND(L28&lt;&gt;"",ISNA(MATCH(L28,fa_num,0))),"Facture d'acompte inconnue",IF(AND(L28&lt;&gt;"",IFERROR(INDEX(fa_type,MATCH(L28,fa_num,0)),"")&lt;&gt;"Facture d'acompte"),"Le n° à déduire n'est pas une facture d'acompte",IF(AND(L28&lt;&gt;"",COUNTIF($L$6:L28,L28)&gt;1),"Acompte déjà déduit sur une autre facture",IF(AND(L28&lt;&gt;"",IFERROR(INDEX(fa_client,MATCH(L28,fa_num,0)),D28)&lt;&gt;D28),"Acompte d'un autre client",IF(AND(AR28&lt;&gt;"",N(Q28)&lt;0),"Acompte supérieur au total de la facture",IF(IF(AG28="Facture",COUNTIFS(fl_doc,A28,fl_check,"&lt;&gt;OK"),IF(AG28="Devis",COUNTIFS(dl_doc,F28,dl_check,"&lt;&gt;OK"),0))&gt;0,"Ligne(s) à corriger",IF(AND(W28&lt;&gt;"",N(W28)&lt;0),"Trop-perçu : vérifiez paiements et avoirs","OK")))))))))))))))))))))</f>
        <v/>
      </c>
      <c r="AA28" s="62" t="str">
        <f>IF(COUNTA(B28:D28,F28:O28)&gt;0,IF(B28="","Facture",B28),"")</f>
        <v/>
      </c>
      <c r="AB28" s="62" t="str">
        <f>IF(AA28="","",IF(AA28="Avoir",p_pav,IF(AA28="Facture d'acompte",p_pac,p_pfa)))</f>
        <v/>
      </c>
      <c r="AC28" s="62">
        <f>IF(ISNUMBER(C28),C28,0)</f>
        <v>0.0</v>
      </c>
      <c r="AD28" s="62" t="str">
        <f>IF(OR(AA28="",AC28=0),"",YEAR(AC28))</f>
        <v/>
      </c>
      <c r="AE28" s="62" t="str">
        <f>IF(AD28="","",COUNTIFS($AB$6:AB28,AB28,$AD$6:AD28,AD28))</f>
        <v/>
      </c>
      <c r="AF28" s="62">
        <f>IF(A28="",0,COUNTIF(fl_doc,A28))</f>
        <v>0.0</v>
      </c>
      <c r="AG28" s="62" t="str">
        <f>IF(A28="","",IF(AF28&gt;0,"Facture",IF(AND(F28&lt;&gt;"",AA28="Facture",ISNUMBER(MATCH(F28,dv_num,0))),"Devis","")))</f>
        <v/>
      </c>
      <c r="AH28" s="62" t="str">
        <f>IF(AND(A28&lt;&gt;"",F28&lt;&gt;"",AA28&lt;&gt;"Avoir"),F28,"")</f>
        <v/>
      </c>
      <c r="AI28" s="62" t="str">
        <f>IF(AG28="Devis",F28,"")</f>
        <v/>
      </c>
      <c r="AJ28" s="62">
        <f>IF(AG28="Facture",SUMIF(fl_doc,A28,fl_ht),IF(AG28="Devis",SUMIF(dl_doc,F28,dl_ht),0))</f>
        <v>0.0</v>
      </c>
      <c r="AK28" s="62">
        <f>IF(OR(AG28="",INDEX(p_rates,1)=""),0,IF(AG28="Facture",SUMIFS(fl_ht,fl_doc,A28,fl_rate,INDEX(p_rates,1)),SUMIFS(dl_ht,dl_doc,F28,dl_rate,INDEX(p_rates,1))))</f>
        <v>0.0</v>
      </c>
      <c r="AL28" s="62">
        <f>IF(OR(AG28="",INDEX(p_rates,2)=""),0,IF(AG28="Facture",SUMIFS(fl_ht,fl_doc,A28,fl_rate,INDEX(p_rates,2)),SUMIFS(dl_ht,dl_doc,F28,dl_rate,INDEX(p_rates,2))))</f>
        <v>0.0</v>
      </c>
      <c r="AM28" s="62">
        <f>IF(OR(AG28="",INDEX(p_rates,3)=""),0,IF(AG28="Facture",SUMIFS(fl_ht,fl_doc,A28,fl_rate,INDEX(p_rates,3)),SUMIFS(dl_ht,dl_doc,F28,dl_rate,INDEX(p_rates,3))))</f>
        <v>0.0</v>
      </c>
      <c r="AN28" s="62">
        <f>IF(OR(AG28="",INDEX(p_rates,4)=""),0,IF(AG28="Facture",SUMIFS(fl_ht,fl_doc,A28,fl_rate,INDEX(p_rates,4)),SUMIFS(dl_ht,dl_doc,F28,dl_rate,INDEX(p_rates,4))))</f>
        <v>0.0</v>
      </c>
      <c r="AO28" s="62">
        <f>IF(OR(AG28="",INDEX(p_rates,5)=""),0,IF(AG28="Facture",SUMIFS(fl_ht,fl_doc,A28,fl_rate,INDEX(p_rates,5)),SUMIFS(dl_ht,dl_doc,F28,dl_rate,INDEX(p_rates,5))))</f>
        <v>0.0</v>
      </c>
      <c r="AP28" s="62">
        <f>IF(OR(AG28="",INDEX(p_rates,6)=""),0,IF(AG28="Facture",SUMIFS(fl_ht,fl_doc,A28,fl_rate,INDEX(p_rates,6)),SUMIFS(dl_ht,dl_doc,F28,dl_rate,INDEX(p_rates,6))))</f>
        <v>0.0</v>
      </c>
      <c r="AQ28" s="62">
        <f>ROUND(AK28*N(INDEX(p_rates,1)),2)+ROUND(AL28*N(INDEX(p_rates,2)),2)+ROUND(AM28*N(INDEX(p_rates,3)),2)+ROUND(AN28*N(INDEX(p_rates,4)),2)+ROUND(AO28*N(INDEX(p_rates,5)),2)+ROUND(AP28*N(INDEX(p_rates,6)),2)</f>
        <v>0.0</v>
      </c>
      <c r="AR28" s="62" t="str">
        <f>IF(OR(L28="",AA28&lt;&gt;"Facture"),"",IFERROR(IF(INDEX(fa_type,MATCH(L28,fa_num,0))="Facture d'acompte",MATCH(L28,fa_num,0),""),""))</f>
        <v/>
      </c>
      <c r="AS28" s="62" t="str">
        <f>IF(W28="","",IF(W28&lt;=0,"",IF(p_asof-P28&lt;=0,"Non échu",IF(p_asof-P28&lt;=30,"1-30 j",IF(p_asof-P28&lt;=60,"31-60 j",IF(p_asof-P28&lt;=90,"61-90 j","Plus de 90 j"))))))</f>
        <v/>
      </c>
      <c r="AT28" s="62" t="str">
        <f>IF(AS28="","",p_asof-P28)</f>
        <v/>
      </c>
      <c r="AU28" s="62" t="str">
        <f>IF(AT28="","",COUNTIF($AT$6:$AT$805,"&gt;"&amp;AT28)+COUNTIF($AT$6:AT28,AT28))</f>
        <v/>
      </c>
    </row>
    <row r="29">
      <c r="A29" s="59" t="str">
        <f>IF(AE29="","",AB29&amp;"-"&amp;AD29&amp;"-"&amp;RIGHT("000"&amp;AE29,4))</f>
        <v/>
      </c>
      <c r="B29" s="60" t="n"/>
      <c r="C29" s="61" t="n"/>
      <c r="D29" s="60" t="n"/>
      <c r="E29" s="62" t="str">
        <f>IF(D29="","",IFERROR(INDEX(cli_name,MATCH(D29,cli_code,0))&amp;"","Client inconnu"))</f>
        <v/>
      </c>
      <c r="F29" s="60" t="n"/>
      <c r="G29" s="63" t="n"/>
      <c r="H29" s="61" t="n"/>
      <c r="I29" s="63" t="n"/>
      <c r="J29" s="60" t="n"/>
      <c r="K29" s="61" t="n"/>
      <c r="L29" s="60" t="n"/>
      <c r="M29" s="60" t="n"/>
      <c r="N29" s="60" t="n"/>
      <c r="O29" s="61" t="n"/>
      <c r="P29" s="64" t="str">
        <f>IF(A29="","",IF(AA29="Avoir",AC29,IF(ISNUMBER(K29),K29,AC29+IF(D29="",N(p_delay),IFERROR(IF(ISNUMBER(INDEX(cli_delay,MATCH(D29,cli_code,0))),INDEX(cli_delay,MATCH(D29,cli_code,0)),N(p_delay)),N(p_delay))))))</f>
        <v/>
      </c>
      <c r="Q29" s="65" t="str">
        <f>IF(A29="","",IF(AA29="Avoir",-1,1)*ROUND(AJ29-IF(AR29="",0,INDEX(fa_htb,AR29)),2))</f>
        <v/>
      </c>
      <c r="R29" s="65" t="str">
        <f>IF(A29="","",IF(AA29="Avoir",-1,1)*ROUND(AQ29-IF(AR29="",0,INDEX(fa_tvab,AR29)),2))</f>
        <v/>
      </c>
      <c r="S29" s="65" t="str">
        <f>IF(A29="","",Q29+R29)</f>
        <v/>
      </c>
      <c r="T29" s="65" t="str">
        <f>IF(AR29="","",INDEX(fa_htb,AR29)+INDEX(fa_tvab,AR29))</f>
        <v/>
      </c>
      <c r="U29" s="65" t="str">
        <f>IF(A29="","",SUMIF(pa_inv,A29,pa_amt))</f>
        <v/>
      </c>
      <c r="V29" s="65" t="str">
        <f>IF(OR(A29="",AA29="Avoir"),"",-SUMIFS(fa_ttc,fa_avof,A29,fa_type,"Avoir"))</f>
        <v/>
      </c>
      <c r="W29" s="65" t="str">
        <f>IF(OR(A29="",AA29="Avoir"),"",ROUND(S29-U29-V29,2))</f>
        <v/>
      </c>
      <c r="X29" s="66" t="str">
        <f>IF(W29="","",IF(AND(W29&gt;0,p_asof&gt;P29),p_asof-P29,""))</f>
        <v/>
      </c>
      <c r="Y29" s="59" t="str">
        <f>IF(A29="","",IF(AA29="Avoir","Avoir",IF(W29&lt;0,"Trop-perçu",IF(W29=0,"Soldée",IF(p_asof&gt;P29,"En retard",IF(U29+V29&gt;0,"Partielle","À échoir"))))))</f>
        <v/>
      </c>
      <c r="Z29" s="59" t="str">
        <f>IF(NOT(COUNTA(B29:D29,F29:O29)&gt;0),"",IF(C29="","Date manquante",IF(NOT(ISNUMBER(C29)),"Date invalide",IF(D29="","Client manquant",IF(ISNA(MATCH(D29,cli_code,0)),"Client inconnu",IF(AC29&lt;SUMPRODUCT(MAX(($AB$6:AB28=AB29)*$AC$6:AC28)),"Date antérieure à la facture précédente",IF(AND(F29&lt;&gt;"",ISNA(MATCH(F29,dv_num,0))),"Devis inconnu",IF(AND(F29&lt;&gt;"",IFERROR(INDEX(dv_client,MATCH(F29,dv_num,0)),D29)&lt;&gt;D29),"Client différent de celui du devis",IF(AG29="","Aucune ligne : saisissez des lignes ou un devis",IF(AND(AI29&lt;&gt;"",COUNTIF($AI$6:AI29,AI29)&gt;1),"Devis déjà repris par une autre facture",IF(AND(AA29="Avoir",M29=""),"Avoir : indiquez la facture d'origine",IF(AND(AA29="Avoir",ISNA(MATCH(M29,fa_num,0))),"Facture d'origine inconnue",IF(AND(AA29&lt;&gt;"Avoir",M29&lt;&gt;""),"« Avoir sur facture » : réservé aux avoirs",IF(AND(L29&lt;&gt;"",AA29&lt;&gt;"Facture"),"Acompte à déduire : réservé aux factures",IF(AND(L29&lt;&gt;"",ISNA(MATCH(L29,fa_num,0))),"Facture d'acompte inconnue",IF(AND(L29&lt;&gt;"",IFERROR(INDEX(fa_type,MATCH(L29,fa_num,0)),"")&lt;&gt;"Facture d'acompte"),"Le n° à déduire n'est pas une facture d'acompte",IF(AND(L29&lt;&gt;"",COUNTIF($L$6:L29,L29)&gt;1),"Acompte déjà déduit sur une autre facture",IF(AND(L29&lt;&gt;"",IFERROR(INDEX(fa_client,MATCH(L29,fa_num,0)),D29)&lt;&gt;D29),"Acompte d'un autre client",IF(AND(AR29&lt;&gt;"",N(Q29)&lt;0),"Acompte supérieur au total de la facture",IF(IF(AG29="Facture",COUNTIFS(fl_doc,A29,fl_check,"&lt;&gt;OK"),IF(AG29="Devis",COUNTIFS(dl_doc,F29,dl_check,"&lt;&gt;OK"),0))&gt;0,"Ligne(s) à corriger",IF(AND(W29&lt;&gt;"",N(W29)&lt;0),"Trop-perçu : vérifiez paiements et avoirs","OK")))))))))))))))))))))</f>
        <v/>
      </c>
      <c r="AA29" s="62" t="str">
        <f>IF(COUNTA(B29:D29,F29:O29)&gt;0,IF(B29="","Facture",B29),"")</f>
        <v/>
      </c>
      <c r="AB29" s="62" t="str">
        <f>IF(AA29="","",IF(AA29="Avoir",p_pav,IF(AA29="Facture d'acompte",p_pac,p_pfa)))</f>
        <v/>
      </c>
      <c r="AC29" s="62">
        <f>IF(ISNUMBER(C29),C29,0)</f>
        <v>0.0</v>
      </c>
      <c r="AD29" s="62" t="str">
        <f>IF(OR(AA29="",AC29=0),"",YEAR(AC29))</f>
        <v/>
      </c>
      <c r="AE29" s="62" t="str">
        <f>IF(AD29="","",COUNTIFS($AB$6:AB29,AB29,$AD$6:AD29,AD29))</f>
        <v/>
      </c>
      <c r="AF29" s="62">
        <f>IF(A29="",0,COUNTIF(fl_doc,A29))</f>
        <v>0.0</v>
      </c>
      <c r="AG29" s="62" t="str">
        <f>IF(A29="","",IF(AF29&gt;0,"Facture",IF(AND(F29&lt;&gt;"",AA29="Facture",ISNUMBER(MATCH(F29,dv_num,0))),"Devis","")))</f>
        <v/>
      </c>
      <c r="AH29" s="62" t="str">
        <f>IF(AND(A29&lt;&gt;"",F29&lt;&gt;"",AA29&lt;&gt;"Avoir"),F29,"")</f>
        <v/>
      </c>
      <c r="AI29" s="62" t="str">
        <f>IF(AG29="Devis",F29,"")</f>
        <v/>
      </c>
      <c r="AJ29" s="62">
        <f>IF(AG29="Facture",SUMIF(fl_doc,A29,fl_ht),IF(AG29="Devis",SUMIF(dl_doc,F29,dl_ht),0))</f>
        <v>0.0</v>
      </c>
      <c r="AK29" s="62">
        <f>IF(OR(AG29="",INDEX(p_rates,1)=""),0,IF(AG29="Facture",SUMIFS(fl_ht,fl_doc,A29,fl_rate,INDEX(p_rates,1)),SUMIFS(dl_ht,dl_doc,F29,dl_rate,INDEX(p_rates,1))))</f>
        <v>0.0</v>
      </c>
      <c r="AL29" s="62">
        <f>IF(OR(AG29="",INDEX(p_rates,2)=""),0,IF(AG29="Facture",SUMIFS(fl_ht,fl_doc,A29,fl_rate,INDEX(p_rates,2)),SUMIFS(dl_ht,dl_doc,F29,dl_rate,INDEX(p_rates,2))))</f>
        <v>0.0</v>
      </c>
      <c r="AM29" s="62">
        <f>IF(OR(AG29="",INDEX(p_rates,3)=""),0,IF(AG29="Facture",SUMIFS(fl_ht,fl_doc,A29,fl_rate,INDEX(p_rates,3)),SUMIFS(dl_ht,dl_doc,F29,dl_rate,INDEX(p_rates,3))))</f>
        <v>0.0</v>
      </c>
      <c r="AN29" s="62">
        <f>IF(OR(AG29="",INDEX(p_rates,4)=""),0,IF(AG29="Facture",SUMIFS(fl_ht,fl_doc,A29,fl_rate,INDEX(p_rates,4)),SUMIFS(dl_ht,dl_doc,F29,dl_rate,INDEX(p_rates,4))))</f>
        <v>0.0</v>
      </c>
      <c r="AO29" s="62">
        <f>IF(OR(AG29="",INDEX(p_rates,5)=""),0,IF(AG29="Facture",SUMIFS(fl_ht,fl_doc,A29,fl_rate,INDEX(p_rates,5)),SUMIFS(dl_ht,dl_doc,F29,dl_rate,INDEX(p_rates,5))))</f>
        <v>0.0</v>
      </c>
      <c r="AP29" s="62">
        <f>IF(OR(AG29="",INDEX(p_rates,6)=""),0,IF(AG29="Facture",SUMIFS(fl_ht,fl_doc,A29,fl_rate,INDEX(p_rates,6)),SUMIFS(dl_ht,dl_doc,F29,dl_rate,INDEX(p_rates,6))))</f>
        <v>0.0</v>
      </c>
      <c r="AQ29" s="62">
        <f>ROUND(AK29*N(INDEX(p_rates,1)),2)+ROUND(AL29*N(INDEX(p_rates,2)),2)+ROUND(AM29*N(INDEX(p_rates,3)),2)+ROUND(AN29*N(INDEX(p_rates,4)),2)+ROUND(AO29*N(INDEX(p_rates,5)),2)+ROUND(AP29*N(INDEX(p_rates,6)),2)</f>
        <v>0.0</v>
      </c>
      <c r="AR29" s="62" t="str">
        <f>IF(OR(L29="",AA29&lt;&gt;"Facture"),"",IFERROR(IF(INDEX(fa_type,MATCH(L29,fa_num,0))="Facture d'acompte",MATCH(L29,fa_num,0),""),""))</f>
        <v/>
      </c>
      <c r="AS29" s="62" t="str">
        <f>IF(W29="","",IF(W29&lt;=0,"",IF(p_asof-P29&lt;=0,"Non échu",IF(p_asof-P29&lt;=30,"1-30 j",IF(p_asof-P29&lt;=60,"31-60 j",IF(p_asof-P29&lt;=90,"61-90 j","Plus de 90 j"))))))</f>
        <v/>
      </c>
      <c r="AT29" s="62" t="str">
        <f>IF(AS29="","",p_asof-P29)</f>
        <v/>
      </c>
      <c r="AU29" s="62" t="str">
        <f>IF(AT29="","",COUNTIF($AT$6:$AT$805,"&gt;"&amp;AT29)+COUNTIF($AT$6:AT29,AT29))</f>
        <v/>
      </c>
    </row>
    <row r="30">
      <c r="A30" s="59" t="str">
        <f>IF(AE30="","",AB30&amp;"-"&amp;AD30&amp;"-"&amp;RIGHT("000"&amp;AE30,4))</f>
        <v/>
      </c>
      <c r="B30" s="60" t="n"/>
      <c r="C30" s="61" t="n"/>
      <c r="D30" s="60" t="n"/>
      <c r="E30" s="62" t="str">
        <f>IF(D30="","",IFERROR(INDEX(cli_name,MATCH(D30,cli_code,0))&amp;"","Client inconnu"))</f>
        <v/>
      </c>
      <c r="F30" s="60" t="n"/>
      <c r="G30" s="63" t="n"/>
      <c r="H30" s="61" t="n"/>
      <c r="I30" s="63" t="n"/>
      <c r="J30" s="60" t="n"/>
      <c r="K30" s="61" t="n"/>
      <c r="L30" s="60" t="n"/>
      <c r="M30" s="60" t="n"/>
      <c r="N30" s="60" t="n"/>
      <c r="O30" s="61" t="n"/>
      <c r="P30" s="64" t="str">
        <f>IF(A30="","",IF(AA30="Avoir",AC30,IF(ISNUMBER(K30),K30,AC30+IF(D30="",N(p_delay),IFERROR(IF(ISNUMBER(INDEX(cli_delay,MATCH(D30,cli_code,0))),INDEX(cli_delay,MATCH(D30,cli_code,0)),N(p_delay)),N(p_delay))))))</f>
        <v/>
      </c>
      <c r="Q30" s="65" t="str">
        <f>IF(A30="","",IF(AA30="Avoir",-1,1)*ROUND(AJ30-IF(AR30="",0,INDEX(fa_htb,AR30)),2))</f>
        <v/>
      </c>
      <c r="R30" s="65" t="str">
        <f>IF(A30="","",IF(AA30="Avoir",-1,1)*ROUND(AQ30-IF(AR30="",0,INDEX(fa_tvab,AR30)),2))</f>
        <v/>
      </c>
      <c r="S30" s="65" t="str">
        <f>IF(A30="","",Q30+R30)</f>
        <v/>
      </c>
      <c r="T30" s="65" t="str">
        <f>IF(AR30="","",INDEX(fa_htb,AR30)+INDEX(fa_tvab,AR30))</f>
        <v/>
      </c>
      <c r="U30" s="65" t="str">
        <f>IF(A30="","",SUMIF(pa_inv,A30,pa_amt))</f>
        <v/>
      </c>
      <c r="V30" s="65" t="str">
        <f>IF(OR(A30="",AA30="Avoir"),"",-SUMIFS(fa_ttc,fa_avof,A30,fa_type,"Avoir"))</f>
        <v/>
      </c>
      <c r="W30" s="65" t="str">
        <f>IF(OR(A30="",AA30="Avoir"),"",ROUND(S30-U30-V30,2))</f>
        <v/>
      </c>
      <c r="X30" s="66" t="str">
        <f>IF(W30="","",IF(AND(W30&gt;0,p_asof&gt;P30),p_asof-P30,""))</f>
        <v/>
      </c>
      <c r="Y30" s="59" t="str">
        <f>IF(A30="","",IF(AA30="Avoir","Avoir",IF(W30&lt;0,"Trop-perçu",IF(W30=0,"Soldée",IF(p_asof&gt;P30,"En retard",IF(U30+V30&gt;0,"Partielle","À échoir"))))))</f>
        <v/>
      </c>
      <c r="Z30" s="59" t="str">
        <f>IF(NOT(COUNTA(B30:D30,F30:O30)&gt;0),"",IF(C30="","Date manquante",IF(NOT(ISNUMBER(C30)),"Date invalide",IF(D30="","Client manquant",IF(ISNA(MATCH(D30,cli_code,0)),"Client inconnu",IF(AC30&lt;SUMPRODUCT(MAX(($AB$6:AB29=AB30)*$AC$6:AC29)),"Date antérieure à la facture précédente",IF(AND(F30&lt;&gt;"",ISNA(MATCH(F30,dv_num,0))),"Devis inconnu",IF(AND(F30&lt;&gt;"",IFERROR(INDEX(dv_client,MATCH(F30,dv_num,0)),D30)&lt;&gt;D30),"Client différent de celui du devis",IF(AG30="","Aucune ligne : saisissez des lignes ou un devis",IF(AND(AI30&lt;&gt;"",COUNTIF($AI$6:AI30,AI30)&gt;1),"Devis déjà repris par une autre facture",IF(AND(AA30="Avoir",M30=""),"Avoir : indiquez la facture d'origine",IF(AND(AA30="Avoir",ISNA(MATCH(M30,fa_num,0))),"Facture d'origine inconnue",IF(AND(AA30&lt;&gt;"Avoir",M30&lt;&gt;""),"« Avoir sur facture » : réservé aux avoirs",IF(AND(L30&lt;&gt;"",AA30&lt;&gt;"Facture"),"Acompte à déduire : réservé aux factures",IF(AND(L30&lt;&gt;"",ISNA(MATCH(L30,fa_num,0))),"Facture d'acompte inconnue",IF(AND(L30&lt;&gt;"",IFERROR(INDEX(fa_type,MATCH(L30,fa_num,0)),"")&lt;&gt;"Facture d'acompte"),"Le n° à déduire n'est pas une facture d'acompte",IF(AND(L30&lt;&gt;"",COUNTIF($L$6:L30,L30)&gt;1),"Acompte déjà déduit sur une autre facture",IF(AND(L30&lt;&gt;"",IFERROR(INDEX(fa_client,MATCH(L30,fa_num,0)),D30)&lt;&gt;D30),"Acompte d'un autre client",IF(AND(AR30&lt;&gt;"",N(Q30)&lt;0),"Acompte supérieur au total de la facture",IF(IF(AG30="Facture",COUNTIFS(fl_doc,A30,fl_check,"&lt;&gt;OK"),IF(AG30="Devis",COUNTIFS(dl_doc,F30,dl_check,"&lt;&gt;OK"),0))&gt;0,"Ligne(s) à corriger",IF(AND(W30&lt;&gt;"",N(W30)&lt;0),"Trop-perçu : vérifiez paiements et avoirs","OK")))))))))))))))))))))</f>
        <v/>
      </c>
      <c r="AA30" s="62" t="str">
        <f>IF(COUNTA(B30:D30,F30:O30)&gt;0,IF(B30="","Facture",B30),"")</f>
        <v/>
      </c>
      <c r="AB30" s="62" t="str">
        <f>IF(AA30="","",IF(AA30="Avoir",p_pav,IF(AA30="Facture d'acompte",p_pac,p_pfa)))</f>
        <v/>
      </c>
      <c r="AC30" s="62">
        <f>IF(ISNUMBER(C30),C30,0)</f>
        <v>0.0</v>
      </c>
      <c r="AD30" s="62" t="str">
        <f>IF(OR(AA30="",AC30=0),"",YEAR(AC30))</f>
        <v/>
      </c>
      <c r="AE30" s="62" t="str">
        <f>IF(AD30="","",COUNTIFS($AB$6:AB30,AB30,$AD$6:AD30,AD30))</f>
        <v/>
      </c>
      <c r="AF30" s="62">
        <f>IF(A30="",0,COUNTIF(fl_doc,A30))</f>
        <v>0.0</v>
      </c>
      <c r="AG30" s="62" t="str">
        <f>IF(A30="","",IF(AF30&gt;0,"Facture",IF(AND(F30&lt;&gt;"",AA30="Facture",ISNUMBER(MATCH(F30,dv_num,0))),"Devis","")))</f>
        <v/>
      </c>
      <c r="AH30" s="62" t="str">
        <f>IF(AND(A30&lt;&gt;"",F30&lt;&gt;"",AA30&lt;&gt;"Avoir"),F30,"")</f>
        <v/>
      </c>
      <c r="AI30" s="62" t="str">
        <f>IF(AG30="Devis",F30,"")</f>
        <v/>
      </c>
      <c r="AJ30" s="62">
        <f>IF(AG30="Facture",SUMIF(fl_doc,A30,fl_ht),IF(AG30="Devis",SUMIF(dl_doc,F30,dl_ht),0))</f>
        <v>0.0</v>
      </c>
      <c r="AK30" s="62">
        <f>IF(OR(AG30="",INDEX(p_rates,1)=""),0,IF(AG30="Facture",SUMIFS(fl_ht,fl_doc,A30,fl_rate,INDEX(p_rates,1)),SUMIFS(dl_ht,dl_doc,F30,dl_rate,INDEX(p_rates,1))))</f>
        <v>0.0</v>
      </c>
      <c r="AL30" s="62">
        <f>IF(OR(AG30="",INDEX(p_rates,2)=""),0,IF(AG30="Facture",SUMIFS(fl_ht,fl_doc,A30,fl_rate,INDEX(p_rates,2)),SUMIFS(dl_ht,dl_doc,F30,dl_rate,INDEX(p_rates,2))))</f>
        <v>0.0</v>
      </c>
      <c r="AM30" s="62">
        <f>IF(OR(AG30="",INDEX(p_rates,3)=""),0,IF(AG30="Facture",SUMIFS(fl_ht,fl_doc,A30,fl_rate,INDEX(p_rates,3)),SUMIFS(dl_ht,dl_doc,F30,dl_rate,INDEX(p_rates,3))))</f>
        <v>0.0</v>
      </c>
      <c r="AN30" s="62">
        <f>IF(OR(AG30="",INDEX(p_rates,4)=""),0,IF(AG30="Facture",SUMIFS(fl_ht,fl_doc,A30,fl_rate,INDEX(p_rates,4)),SUMIFS(dl_ht,dl_doc,F30,dl_rate,INDEX(p_rates,4))))</f>
        <v>0.0</v>
      </c>
      <c r="AO30" s="62">
        <f>IF(OR(AG30="",INDEX(p_rates,5)=""),0,IF(AG30="Facture",SUMIFS(fl_ht,fl_doc,A30,fl_rate,INDEX(p_rates,5)),SUMIFS(dl_ht,dl_doc,F30,dl_rate,INDEX(p_rates,5))))</f>
        <v>0.0</v>
      </c>
      <c r="AP30" s="62">
        <f>IF(OR(AG30="",INDEX(p_rates,6)=""),0,IF(AG30="Facture",SUMIFS(fl_ht,fl_doc,A30,fl_rate,INDEX(p_rates,6)),SUMIFS(dl_ht,dl_doc,F30,dl_rate,INDEX(p_rates,6))))</f>
        <v>0.0</v>
      </c>
      <c r="AQ30" s="62">
        <f>ROUND(AK30*N(INDEX(p_rates,1)),2)+ROUND(AL30*N(INDEX(p_rates,2)),2)+ROUND(AM30*N(INDEX(p_rates,3)),2)+ROUND(AN30*N(INDEX(p_rates,4)),2)+ROUND(AO30*N(INDEX(p_rates,5)),2)+ROUND(AP30*N(INDEX(p_rates,6)),2)</f>
        <v>0.0</v>
      </c>
      <c r="AR30" s="62" t="str">
        <f>IF(OR(L30="",AA30&lt;&gt;"Facture"),"",IFERROR(IF(INDEX(fa_type,MATCH(L30,fa_num,0))="Facture d'acompte",MATCH(L30,fa_num,0),""),""))</f>
        <v/>
      </c>
      <c r="AS30" s="62" t="str">
        <f>IF(W30="","",IF(W30&lt;=0,"",IF(p_asof-P30&lt;=0,"Non échu",IF(p_asof-P30&lt;=30,"1-30 j",IF(p_asof-P30&lt;=60,"31-60 j",IF(p_asof-P30&lt;=90,"61-90 j","Plus de 90 j"))))))</f>
        <v/>
      </c>
      <c r="AT30" s="62" t="str">
        <f>IF(AS30="","",p_asof-P30)</f>
        <v/>
      </c>
      <c r="AU30" s="62" t="str">
        <f>IF(AT30="","",COUNTIF($AT$6:$AT$805,"&gt;"&amp;AT30)+COUNTIF($AT$6:AT30,AT30))</f>
        <v/>
      </c>
    </row>
    <row r="31">
      <c r="A31" s="59" t="str">
        <f>IF(AE31="","",AB31&amp;"-"&amp;AD31&amp;"-"&amp;RIGHT("000"&amp;AE31,4))</f>
        <v/>
      </c>
      <c r="B31" s="60" t="n"/>
      <c r="C31" s="61" t="n"/>
      <c r="D31" s="60" t="n"/>
      <c r="E31" s="62" t="str">
        <f>IF(D31="","",IFERROR(INDEX(cli_name,MATCH(D31,cli_code,0))&amp;"","Client inconnu"))</f>
        <v/>
      </c>
      <c r="F31" s="60" t="n"/>
      <c r="G31" s="63" t="n"/>
      <c r="H31" s="61" t="n"/>
      <c r="I31" s="63" t="n"/>
      <c r="J31" s="60" t="n"/>
      <c r="K31" s="61" t="n"/>
      <c r="L31" s="60" t="n"/>
      <c r="M31" s="60" t="n"/>
      <c r="N31" s="60" t="n"/>
      <c r="O31" s="61" t="n"/>
      <c r="P31" s="64" t="str">
        <f>IF(A31="","",IF(AA31="Avoir",AC31,IF(ISNUMBER(K31),K31,AC31+IF(D31="",N(p_delay),IFERROR(IF(ISNUMBER(INDEX(cli_delay,MATCH(D31,cli_code,0))),INDEX(cli_delay,MATCH(D31,cli_code,0)),N(p_delay)),N(p_delay))))))</f>
        <v/>
      </c>
      <c r="Q31" s="65" t="str">
        <f>IF(A31="","",IF(AA31="Avoir",-1,1)*ROUND(AJ31-IF(AR31="",0,INDEX(fa_htb,AR31)),2))</f>
        <v/>
      </c>
      <c r="R31" s="65" t="str">
        <f>IF(A31="","",IF(AA31="Avoir",-1,1)*ROUND(AQ31-IF(AR31="",0,INDEX(fa_tvab,AR31)),2))</f>
        <v/>
      </c>
      <c r="S31" s="65" t="str">
        <f>IF(A31="","",Q31+R31)</f>
        <v/>
      </c>
      <c r="T31" s="65" t="str">
        <f>IF(AR31="","",INDEX(fa_htb,AR31)+INDEX(fa_tvab,AR31))</f>
        <v/>
      </c>
      <c r="U31" s="65" t="str">
        <f>IF(A31="","",SUMIF(pa_inv,A31,pa_amt))</f>
        <v/>
      </c>
      <c r="V31" s="65" t="str">
        <f>IF(OR(A31="",AA31="Avoir"),"",-SUMIFS(fa_ttc,fa_avof,A31,fa_type,"Avoir"))</f>
        <v/>
      </c>
      <c r="W31" s="65" t="str">
        <f>IF(OR(A31="",AA31="Avoir"),"",ROUND(S31-U31-V31,2))</f>
        <v/>
      </c>
      <c r="X31" s="66" t="str">
        <f>IF(W31="","",IF(AND(W31&gt;0,p_asof&gt;P31),p_asof-P31,""))</f>
        <v/>
      </c>
      <c r="Y31" s="59" t="str">
        <f>IF(A31="","",IF(AA31="Avoir","Avoir",IF(W31&lt;0,"Trop-perçu",IF(W31=0,"Soldée",IF(p_asof&gt;P31,"En retard",IF(U31+V31&gt;0,"Partielle","À échoir"))))))</f>
        <v/>
      </c>
      <c r="Z31" s="59" t="str">
        <f>IF(NOT(COUNTA(B31:D31,F31:O31)&gt;0),"",IF(C31="","Date manquante",IF(NOT(ISNUMBER(C31)),"Date invalide",IF(D31="","Client manquant",IF(ISNA(MATCH(D31,cli_code,0)),"Client inconnu",IF(AC31&lt;SUMPRODUCT(MAX(($AB$6:AB30=AB31)*$AC$6:AC30)),"Date antérieure à la facture précédente",IF(AND(F31&lt;&gt;"",ISNA(MATCH(F31,dv_num,0))),"Devis inconnu",IF(AND(F31&lt;&gt;"",IFERROR(INDEX(dv_client,MATCH(F31,dv_num,0)),D31)&lt;&gt;D31),"Client différent de celui du devis",IF(AG31="","Aucune ligne : saisissez des lignes ou un devis",IF(AND(AI31&lt;&gt;"",COUNTIF($AI$6:AI31,AI31)&gt;1),"Devis déjà repris par une autre facture",IF(AND(AA31="Avoir",M31=""),"Avoir : indiquez la facture d'origine",IF(AND(AA31="Avoir",ISNA(MATCH(M31,fa_num,0))),"Facture d'origine inconnue",IF(AND(AA31&lt;&gt;"Avoir",M31&lt;&gt;""),"« Avoir sur facture » : réservé aux avoirs",IF(AND(L31&lt;&gt;"",AA31&lt;&gt;"Facture"),"Acompte à déduire : réservé aux factures",IF(AND(L31&lt;&gt;"",ISNA(MATCH(L31,fa_num,0))),"Facture d'acompte inconnue",IF(AND(L31&lt;&gt;"",IFERROR(INDEX(fa_type,MATCH(L31,fa_num,0)),"")&lt;&gt;"Facture d'acompte"),"Le n° à déduire n'est pas une facture d'acompte",IF(AND(L31&lt;&gt;"",COUNTIF($L$6:L31,L31)&gt;1),"Acompte déjà déduit sur une autre facture",IF(AND(L31&lt;&gt;"",IFERROR(INDEX(fa_client,MATCH(L31,fa_num,0)),D31)&lt;&gt;D31),"Acompte d'un autre client",IF(AND(AR31&lt;&gt;"",N(Q31)&lt;0),"Acompte supérieur au total de la facture",IF(IF(AG31="Facture",COUNTIFS(fl_doc,A31,fl_check,"&lt;&gt;OK"),IF(AG31="Devis",COUNTIFS(dl_doc,F31,dl_check,"&lt;&gt;OK"),0))&gt;0,"Ligne(s) à corriger",IF(AND(W31&lt;&gt;"",N(W31)&lt;0),"Trop-perçu : vérifiez paiements et avoirs","OK")))))))))))))))))))))</f>
        <v/>
      </c>
      <c r="AA31" s="62" t="str">
        <f>IF(COUNTA(B31:D31,F31:O31)&gt;0,IF(B31="","Facture",B31),"")</f>
        <v/>
      </c>
      <c r="AB31" s="62" t="str">
        <f>IF(AA31="","",IF(AA31="Avoir",p_pav,IF(AA31="Facture d'acompte",p_pac,p_pfa)))</f>
        <v/>
      </c>
      <c r="AC31" s="62">
        <f>IF(ISNUMBER(C31),C31,0)</f>
        <v>0.0</v>
      </c>
      <c r="AD31" s="62" t="str">
        <f>IF(OR(AA31="",AC31=0),"",YEAR(AC31))</f>
        <v/>
      </c>
      <c r="AE31" s="62" t="str">
        <f>IF(AD31="","",COUNTIFS($AB$6:AB31,AB31,$AD$6:AD31,AD31))</f>
        <v/>
      </c>
      <c r="AF31" s="62">
        <f>IF(A31="",0,COUNTIF(fl_doc,A31))</f>
        <v>0.0</v>
      </c>
      <c r="AG31" s="62" t="str">
        <f>IF(A31="","",IF(AF31&gt;0,"Facture",IF(AND(F31&lt;&gt;"",AA31="Facture",ISNUMBER(MATCH(F31,dv_num,0))),"Devis","")))</f>
        <v/>
      </c>
      <c r="AH31" s="62" t="str">
        <f>IF(AND(A31&lt;&gt;"",F31&lt;&gt;"",AA31&lt;&gt;"Avoir"),F31,"")</f>
        <v/>
      </c>
      <c r="AI31" s="62" t="str">
        <f>IF(AG31="Devis",F31,"")</f>
        <v/>
      </c>
      <c r="AJ31" s="62">
        <f>IF(AG31="Facture",SUMIF(fl_doc,A31,fl_ht),IF(AG31="Devis",SUMIF(dl_doc,F31,dl_ht),0))</f>
        <v>0.0</v>
      </c>
      <c r="AK31" s="62">
        <f>IF(OR(AG31="",INDEX(p_rates,1)=""),0,IF(AG31="Facture",SUMIFS(fl_ht,fl_doc,A31,fl_rate,INDEX(p_rates,1)),SUMIFS(dl_ht,dl_doc,F31,dl_rate,INDEX(p_rates,1))))</f>
        <v>0.0</v>
      </c>
      <c r="AL31" s="62">
        <f>IF(OR(AG31="",INDEX(p_rates,2)=""),0,IF(AG31="Facture",SUMIFS(fl_ht,fl_doc,A31,fl_rate,INDEX(p_rates,2)),SUMIFS(dl_ht,dl_doc,F31,dl_rate,INDEX(p_rates,2))))</f>
        <v>0.0</v>
      </c>
      <c r="AM31" s="62">
        <f>IF(OR(AG31="",INDEX(p_rates,3)=""),0,IF(AG31="Facture",SUMIFS(fl_ht,fl_doc,A31,fl_rate,INDEX(p_rates,3)),SUMIFS(dl_ht,dl_doc,F31,dl_rate,INDEX(p_rates,3))))</f>
        <v>0.0</v>
      </c>
      <c r="AN31" s="62">
        <f>IF(OR(AG31="",INDEX(p_rates,4)=""),0,IF(AG31="Facture",SUMIFS(fl_ht,fl_doc,A31,fl_rate,INDEX(p_rates,4)),SUMIFS(dl_ht,dl_doc,F31,dl_rate,INDEX(p_rates,4))))</f>
        <v>0.0</v>
      </c>
      <c r="AO31" s="62">
        <f>IF(OR(AG31="",INDEX(p_rates,5)=""),0,IF(AG31="Facture",SUMIFS(fl_ht,fl_doc,A31,fl_rate,INDEX(p_rates,5)),SUMIFS(dl_ht,dl_doc,F31,dl_rate,INDEX(p_rates,5))))</f>
        <v>0.0</v>
      </c>
      <c r="AP31" s="62">
        <f>IF(OR(AG31="",INDEX(p_rates,6)=""),0,IF(AG31="Facture",SUMIFS(fl_ht,fl_doc,A31,fl_rate,INDEX(p_rates,6)),SUMIFS(dl_ht,dl_doc,F31,dl_rate,INDEX(p_rates,6))))</f>
        <v>0.0</v>
      </c>
      <c r="AQ31" s="62">
        <f>ROUND(AK31*N(INDEX(p_rates,1)),2)+ROUND(AL31*N(INDEX(p_rates,2)),2)+ROUND(AM31*N(INDEX(p_rates,3)),2)+ROUND(AN31*N(INDEX(p_rates,4)),2)+ROUND(AO31*N(INDEX(p_rates,5)),2)+ROUND(AP31*N(INDEX(p_rates,6)),2)</f>
        <v>0.0</v>
      </c>
      <c r="AR31" s="62" t="str">
        <f>IF(OR(L31="",AA31&lt;&gt;"Facture"),"",IFERROR(IF(INDEX(fa_type,MATCH(L31,fa_num,0))="Facture d'acompte",MATCH(L31,fa_num,0),""),""))</f>
        <v/>
      </c>
      <c r="AS31" s="62" t="str">
        <f>IF(W31="","",IF(W31&lt;=0,"",IF(p_asof-P31&lt;=0,"Non échu",IF(p_asof-P31&lt;=30,"1-30 j",IF(p_asof-P31&lt;=60,"31-60 j",IF(p_asof-P31&lt;=90,"61-90 j","Plus de 90 j"))))))</f>
        <v/>
      </c>
      <c r="AT31" s="62" t="str">
        <f>IF(AS31="","",p_asof-P31)</f>
        <v/>
      </c>
      <c r="AU31" s="62" t="str">
        <f>IF(AT31="","",COUNTIF($AT$6:$AT$805,"&gt;"&amp;AT31)+COUNTIF($AT$6:AT31,AT31))</f>
        <v/>
      </c>
    </row>
    <row r="32">
      <c r="A32" s="59" t="str">
        <f>IF(AE32="","",AB32&amp;"-"&amp;AD32&amp;"-"&amp;RIGHT("000"&amp;AE32,4))</f>
        <v/>
      </c>
      <c r="B32" s="60" t="n"/>
      <c r="C32" s="61" t="n"/>
      <c r="D32" s="60" t="n"/>
      <c r="E32" s="62" t="str">
        <f>IF(D32="","",IFERROR(INDEX(cli_name,MATCH(D32,cli_code,0))&amp;"","Client inconnu"))</f>
        <v/>
      </c>
      <c r="F32" s="60" t="n"/>
      <c r="G32" s="63" t="n"/>
      <c r="H32" s="61" t="n"/>
      <c r="I32" s="63" t="n"/>
      <c r="J32" s="60" t="n"/>
      <c r="K32" s="61" t="n"/>
      <c r="L32" s="60" t="n"/>
      <c r="M32" s="60" t="n"/>
      <c r="N32" s="60" t="n"/>
      <c r="O32" s="61" t="n"/>
      <c r="P32" s="64" t="str">
        <f>IF(A32="","",IF(AA32="Avoir",AC32,IF(ISNUMBER(K32),K32,AC32+IF(D32="",N(p_delay),IFERROR(IF(ISNUMBER(INDEX(cli_delay,MATCH(D32,cli_code,0))),INDEX(cli_delay,MATCH(D32,cli_code,0)),N(p_delay)),N(p_delay))))))</f>
        <v/>
      </c>
      <c r="Q32" s="65" t="str">
        <f>IF(A32="","",IF(AA32="Avoir",-1,1)*ROUND(AJ32-IF(AR32="",0,INDEX(fa_htb,AR32)),2))</f>
        <v/>
      </c>
      <c r="R32" s="65" t="str">
        <f>IF(A32="","",IF(AA32="Avoir",-1,1)*ROUND(AQ32-IF(AR32="",0,INDEX(fa_tvab,AR32)),2))</f>
        <v/>
      </c>
      <c r="S32" s="65" t="str">
        <f>IF(A32="","",Q32+R32)</f>
        <v/>
      </c>
      <c r="T32" s="65" t="str">
        <f>IF(AR32="","",INDEX(fa_htb,AR32)+INDEX(fa_tvab,AR32))</f>
        <v/>
      </c>
      <c r="U32" s="65" t="str">
        <f>IF(A32="","",SUMIF(pa_inv,A32,pa_amt))</f>
        <v/>
      </c>
      <c r="V32" s="65" t="str">
        <f>IF(OR(A32="",AA32="Avoir"),"",-SUMIFS(fa_ttc,fa_avof,A32,fa_type,"Avoir"))</f>
        <v/>
      </c>
      <c r="W32" s="65" t="str">
        <f>IF(OR(A32="",AA32="Avoir"),"",ROUND(S32-U32-V32,2))</f>
        <v/>
      </c>
      <c r="X32" s="66" t="str">
        <f>IF(W32="","",IF(AND(W32&gt;0,p_asof&gt;P32),p_asof-P32,""))</f>
        <v/>
      </c>
      <c r="Y32" s="59" t="str">
        <f>IF(A32="","",IF(AA32="Avoir","Avoir",IF(W32&lt;0,"Trop-perçu",IF(W32=0,"Soldée",IF(p_asof&gt;P32,"En retard",IF(U32+V32&gt;0,"Partielle","À échoir"))))))</f>
        <v/>
      </c>
      <c r="Z32" s="59" t="str">
        <f>IF(NOT(COUNTA(B32:D32,F32:O32)&gt;0),"",IF(C32="","Date manquante",IF(NOT(ISNUMBER(C32)),"Date invalide",IF(D32="","Client manquant",IF(ISNA(MATCH(D32,cli_code,0)),"Client inconnu",IF(AC32&lt;SUMPRODUCT(MAX(($AB$6:AB31=AB32)*$AC$6:AC31)),"Date antérieure à la facture précédente",IF(AND(F32&lt;&gt;"",ISNA(MATCH(F32,dv_num,0))),"Devis inconnu",IF(AND(F32&lt;&gt;"",IFERROR(INDEX(dv_client,MATCH(F32,dv_num,0)),D32)&lt;&gt;D32),"Client différent de celui du devis",IF(AG32="","Aucune ligne : saisissez des lignes ou un devis",IF(AND(AI32&lt;&gt;"",COUNTIF($AI$6:AI32,AI32)&gt;1),"Devis déjà repris par une autre facture",IF(AND(AA32="Avoir",M32=""),"Avoir : indiquez la facture d'origine",IF(AND(AA32="Avoir",ISNA(MATCH(M32,fa_num,0))),"Facture d'origine inconnue",IF(AND(AA32&lt;&gt;"Avoir",M32&lt;&gt;""),"« Avoir sur facture » : réservé aux avoirs",IF(AND(L32&lt;&gt;"",AA32&lt;&gt;"Facture"),"Acompte à déduire : réservé aux factures",IF(AND(L32&lt;&gt;"",ISNA(MATCH(L32,fa_num,0))),"Facture d'acompte inconnue",IF(AND(L32&lt;&gt;"",IFERROR(INDEX(fa_type,MATCH(L32,fa_num,0)),"")&lt;&gt;"Facture d'acompte"),"Le n° à déduire n'est pas une facture d'acompte",IF(AND(L32&lt;&gt;"",COUNTIF($L$6:L32,L32)&gt;1),"Acompte déjà déduit sur une autre facture",IF(AND(L32&lt;&gt;"",IFERROR(INDEX(fa_client,MATCH(L32,fa_num,0)),D32)&lt;&gt;D32),"Acompte d'un autre client",IF(AND(AR32&lt;&gt;"",N(Q32)&lt;0),"Acompte supérieur au total de la facture",IF(IF(AG32="Facture",COUNTIFS(fl_doc,A32,fl_check,"&lt;&gt;OK"),IF(AG32="Devis",COUNTIFS(dl_doc,F32,dl_check,"&lt;&gt;OK"),0))&gt;0,"Ligne(s) à corriger",IF(AND(W32&lt;&gt;"",N(W32)&lt;0),"Trop-perçu : vérifiez paiements et avoirs","OK")))))))))))))))))))))</f>
        <v/>
      </c>
      <c r="AA32" s="62" t="str">
        <f>IF(COUNTA(B32:D32,F32:O32)&gt;0,IF(B32="","Facture",B32),"")</f>
        <v/>
      </c>
      <c r="AB32" s="62" t="str">
        <f>IF(AA32="","",IF(AA32="Avoir",p_pav,IF(AA32="Facture d'acompte",p_pac,p_pfa)))</f>
        <v/>
      </c>
      <c r="AC32" s="62">
        <f>IF(ISNUMBER(C32),C32,0)</f>
        <v>0.0</v>
      </c>
      <c r="AD32" s="62" t="str">
        <f>IF(OR(AA32="",AC32=0),"",YEAR(AC32))</f>
        <v/>
      </c>
      <c r="AE32" s="62" t="str">
        <f>IF(AD32="","",COUNTIFS($AB$6:AB32,AB32,$AD$6:AD32,AD32))</f>
        <v/>
      </c>
      <c r="AF32" s="62">
        <f>IF(A32="",0,COUNTIF(fl_doc,A32))</f>
        <v>0.0</v>
      </c>
      <c r="AG32" s="62" t="str">
        <f>IF(A32="","",IF(AF32&gt;0,"Facture",IF(AND(F32&lt;&gt;"",AA32="Facture",ISNUMBER(MATCH(F32,dv_num,0))),"Devis","")))</f>
        <v/>
      </c>
      <c r="AH32" s="62" t="str">
        <f>IF(AND(A32&lt;&gt;"",F32&lt;&gt;"",AA32&lt;&gt;"Avoir"),F32,"")</f>
        <v/>
      </c>
      <c r="AI32" s="62" t="str">
        <f>IF(AG32="Devis",F32,"")</f>
        <v/>
      </c>
      <c r="AJ32" s="62">
        <f>IF(AG32="Facture",SUMIF(fl_doc,A32,fl_ht),IF(AG32="Devis",SUMIF(dl_doc,F32,dl_ht),0))</f>
        <v>0.0</v>
      </c>
      <c r="AK32" s="62">
        <f>IF(OR(AG32="",INDEX(p_rates,1)=""),0,IF(AG32="Facture",SUMIFS(fl_ht,fl_doc,A32,fl_rate,INDEX(p_rates,1)),SUMIFS(dl_ht,dl_doc,F32,dl_rate,INDEX(p_rates,1))))</f>
        <v>0.0</v>
      </c>
      <c r="AL32" s="62">
        <f>IF(OR(AG32="",INDEX(p_rates,2)=""),0,IF(AG32="Facture",SUMIFS(fl_ht,fl_doc,A32,fl_rate,INDEX(p_rates,2)),SUMIFS(dl_ht,dl_doc,F32,dl_rate,INDEX(p_rates,2))))</f>
        <v>0.0</v>
      </c>
      <c r="AM32" s="62">
        <f>IF(OR(AG32="",INDEX(p_rates,3)=""),0,IF(AG32="Facture",SUMIFS(fl_ht,fl_doc,A32,fl_rate,INDEX(p_rates,3)),SUMIFS(dl_ht,dl_doc,F32,dl_rate,INDEX(p_rates,3))))</f>
        <v>0.0</v>
      </c>
      <c r="AN32" s="62">
        <f>IF(OR(AG32="",INDEX(p_rates,4)=""),0,IF(AG32="Facture",SUMIFS(fl_ht,fl_doc,A32,fl_rate,INDEX(p_rates,4)),SUMIFS(dl_ht,dl_doc,F32,dl_rate,INDEX(p_rates,4))))</f>
        <v>0.0</v>
      </c>
      <c r="AO32" s="62">
        <f>IF(OR(AG32="",INDEX(p_rates,5)=""),0,IF(AG32="Facture",SUMIFS(fl_ht,fl_doc,A32,fl_rate,INDEX(p_rates,5)),SUMIFS(dl_ht,dl_doc,F32,dl_rate,INDEX(p_rates,5))))</f>
        <v>0.0</v>
      </c>
      <c r="AP32" s="62">
        <f>IF(OR(AG32="",INDEX(p_rates,6)=""),0,IF(AG32="Facture",SUMIFS(fl_ht,fl_doc,A32,fl_rate,INDEX(p_rates,6)),SUMIFS(dl_ht,dl_doc,F32,dl_rate,INDEX(p_rates,6))))</f>
        <v>0.0</v>
      </c>
      <c r="AQ32" s="62">
        <f>ROUND(AK32*N(INDEX(p_rates,1)),2)+ROUND(AL32*N(INDEX(p_rates,2)),2)+ROUND(AM32*N(INDEX(p_rates,3)),2)+ROUND(AN32*N(INDEX(p_rates,4)),2)+ROUND(AO32*N(INDEX(p_rates,5)),2)+ROUND(AP32*N(INDEX(p_rates,6)),2)</f>
        <v>0.0</v>
      </c>
      <c r="AR32" s="62" t="str">
        <f>IF(OR(L32="",AA32&lt;&gt;"Facture"),"",IFERROR(IF(INDEX(fa_type,MATCH(L32,fa_num,0))="Facture d'acompte",MATCH(L32,fa_num,0),""),""))</f>
        <v/>
      </c>
      <c r="AS32" s="62" t="str">
        <f>IF(W32="","",IF(W32&lt;=0,"",IF(p_asof-P32&lt;=0,"Non échu",IF(p_asof-P32&lt;=30,"1-30 j",IF(p_asof-P32&lt;=60,"31-60 j",IF(p_asof-P32&lt;=90,"61-90 j","Plus de 90 j"))))))</f>
        <v/>
      </c>
      <c r="AT32" s="62" t="str">
        <f>IF(AS32="","",p_asof-P32)</f>
        <v/>
      </c>
      <c r="AU32" s="62" t="str">
        <f>IF(AT32="","",COUNTIF($AT$6:$AT$805,"&gt;"&amp;AT32)+COUNTIF($AT$6:AT32,AT32))</f>
        <v/>
      </c>
    </row>
    <row r="33">
      <c r="A33" s="59" t="str">
        <f>IF(AE33="","",AB33&amp;"-"&amp;AD33&amp;"-"&amp;RIGHT("000"&amp;AE33,4))</f>
        <v/>
      </c>
      <c r="B33" s="60" t="n"/>
      <c r="C33" s="61" t="n"/>
      <c r="D33" s="60" t="n"/>
      <c r="E33" s="62" t="str">
        <f>IF(D33="","",IFERROR(INDEX(cli_name,MATCH(D33,cli_code,0))&amp;"","Client inconnu"))</f>
        <v/>
      </c>
      <c r="F33" s="60" t="n"/>
      <c r="G33" s="63" t="n"/>
      <c r="H33" s="61" t="n"/>
      <c r="I33" s="63" t="n"/>
      <c r="J33" s="60" t="n"/>
      <c r="K33" s="61" t="n"/>
      <c r="L33" s="60" t="n"/>
      <c r="M33" s="60" t="n"/>
      <c r="N33" s="60" t="n"/>
      <c r="O33" s="61" t="n"/>
      <c r="P33" s="64" t="str">
        <f>IF(A33="","",IF(AA33="Avoir",AC33,IF(ISNUMBER(K33),K33,AC33+IF(D33="",N(p_delay),IFERROR(IF(ISNUMBER(INDEX(cli_delay,MATCH(D33,cli_code,0))),INDEX(cli_delay,MATCH(D33,cli_code,0)),N(p_delay)),N(p_delay))))))</f>
        <v/>
      </c>
      <c r="Q33" s="65" t="str">
        <f>IF(A33="","",IF(AA33="Avoir",-1,1)*ROUND(AJ33-IF(AR33="",0,INDEX(fa_htb,AR33)),2))</f>
        <v/>
      </c>
      <c r="R33" s="65" t="str">
        <f>IF(A33="","",IF(AA33="Avoir",-1,1)*ROUND(AQ33-IF(AR33="",0,INDEX(fa_tvab,AR33)),2))</f>
        <v/>
      </c>
      <c r="S33" s="65" t="str">
        <f>IF(A33="","",Q33+R33)</f>
        <v/>
      </c>
      <c r="T33" s="65" t="str">
        <f>IF(AR33="","",INDEX(fa_htb,AR33)+INDEX(fa_tvab,AR33))</f>
        <v/>
      </c>
      <c r="U33" s="65" t="str">
        <f>IF(A33="","",SUMIF(pa_inv,A33,pa_amt))</f>
        <v/>
      </c>
      <c r="V33" s="65" t="str">
        <f>IF(OR(A33="",AA33="Avoir"),"",-SUMIFS(fa_ttc,fa_avof,A33,fa_type,"Avoir"))</f>
        <v/>
      </c>
      <c r="W33" s="65" t="str">
        <f>IF(OR(A33="",AA33="Avoir"),"",ROUND(S33-U33-V33,2))</f>
        <v/>
      </c>
      <c r="X33" s="66" t="str">
        <f>IF(W33="","",IF(AND(W33&gt;0,p_asof&gt;P33),p_asof-P33,""))</f>
        <v/>
      </c>
      <c r="Y33" s="59" t="str">
        <f>IF(A33="","",IF(AA33="Avoir","Avoir",IF(W33&lt;0,"Trop-perçu",IF(W33=0,"Soldée",IF(p_asof&gt;P33,"En retard",IF(U33+V33&gt;0,"Partielle","À échoir"))))))</f>
        <v/>
      </c>
      <c r="Z33" s="59" t="str">
        <f>IF(NOT(COUNTA(B33:D33,F33:O33)&gt;0),"",IF(C33="","Date manquante",IF(NOT(ISNUMBER(C33)),"Date invalide",IF(D33="","Client manquant",IF(ISNA(MATCH(D33,cli_code,0)),"Client inconnu",IF(AC33&lt;SUMPRODUCT(MAX(($AB$6:AB32=AB33)*$AC$6:AC32)),"Date antérieure à la facture précédente",IF(AND(F33&lt;&gt;"",ISNA(MATCH(F33,dv_num,0))),"Devis inconnu",IF(AND(F33&lt;&gt;"",IFERROR(INDEX(dv_client,MATCH(F33,dv_num,0)),D33)&lt;&gt;D33),"Client différent de celui du devis",IF(AG33="","Aucune ligne : saisissez des lignes ou un devis",IF(AND(AI33&lt;&gt;"",COUNTIF($AI$6:AI33,AI33)&gt;1),"Devis déjà repris par une autre facture",IF(AND(AA33="Avoir",M33=""),"Avoir : indiquez la facture d'origine",IF(AND(AA33="Avoir",ISNA(MATCH(M33,fa_num,0))),"Facture d'origine inconnue",IF(AND(AA33&lt;&gt;"Avoir",M33&lt;&gt;""),"« Avoir sur facture » : réservé aux avoirs",IF(AND(L33&lt;&gt;"",AA33&lt;&gt;"Facture"),"Acompte à déduire : réservé aux factures",IF(AND(L33&lt;&gt;"",ISNA(MATCH(L33,fa_num,0))),"Facture d'acompte inconnue",IF(AND(L33&lt;&gt;"",IFERROR(INDEX(fa_type,MATCH(L33,fa_num,0)),"")&lt;&gt;"Facture d'acompte"),"Le n° à déduire n'est pas une facture d'acompte",IF(AND(L33&lt;&gt;"",COUNTIF($L$6:L33,L33)&gt;1),"Acompte déjà déduit sur une autre facture",IF(AND(L33&lt;&gt;"",IFERROR(INDEX(fa_client,MATCH(L33,fa_num,0)),D33)&lt;&gt;D33),"Acompte d'un autre client",IF(AND(AR33&lt;&gt;"",N(Q33)&lt;0),"Acompte supérieur au total de la facture",IF(IF(AG33="Facture",COUNTIFS(fl_doc,A33,fl_check,"&lt;&gt;OK"),IF(AG33="Devis",COUNTIFS(dl_doc,F33,dl_check,"&lt;&gt;OK"),0))&gt;0,"Ligne(s) à corriger",IF(AND(W33&lt;&gt;"",N(W33)&lt;0),"Trop-perçu : vérifiez paiements et avoirs","OK")))))))))))))))))))))</f>
        <v/>
      </c>
      <c r="AA33" s="62" t="str">
        <f>IF(COUNTA(B33:D33,F33:O33)&gt;0,IF(B33="","Facture",B33),"")</f>
        <v/>
      </c>
      <c r="AB33" s="62" t="str">
        <f>IF(AA33="","",IF(AA33="Avoir",p_pav,IF(AA33="Facture d'acompte",p_pac,p_pfa)))</f>
        <v/>
      </c>
      <c r="AC33" s="62">
        <f>IF(ISNUMBER(C33),C33,0)</f>
        <v>0.0</v>
      </c>
      <c r="AD33" s="62" t="str">
        <f>IF(OR(AA33="",AC33=0),"",YEAR(AC33))</f>
        <v/>
      </c>
      <c r="AE33" s="62" t="str">
        <f>IF(AD33="","",COUNTIFS($AB$6:AB33,AB33,$AD$6:AD33,AD33))</f>
        <v/>
      </c>
      <c r="AF33" s="62">
        <f>IF(A33="",0,COUNTIF(fl_doc,A33))</f>
        <v>0.0</v>
      </c>
      <c r="AG33" s="62" t="str">
        <f>IF(A33="","",IF(AF33&gt;0,"Facture",IF(AND(F33&lt;&gt;"",AA33="Facture",ISNUMBER(MATCH(F33,dv_num,0))),"Devis","")))</f>
        <v/>
      </c>
      <c r="AH33" s="62" t="str">
        <f>IF(AND(A33&lt;&gt;"",F33&lt;&gt;"",AA33&lt;&gt;"Avoir"),F33,"")</f>
        <v/>
      </c>
      <c r="AI33" s="62" t="str">
        <f>IF(AG33="Devis",F33,"")</f>
        <v/>
      </c>
      <c r="AJ33" s="62">
        <f>IF(AG33="Facture",SUMIF(fl_doc,A33,fl_ht),IF(AG33="Devis",SUMIF(dl_doc,F33,dl_ht),0))</f>
        <v>0.0</v>
      </c>
      <c r="AK33" s="62">
        <f>IF(OR(AG33="",INDEX(p_rates,1)=""),0,IF(AG33="Facture",SUMIFS(fl_ht,fl_doc,A33,fl_rate,INDEX(p_rates,1)),SUMIFS(dl_ht,dl_doc,F33,dl_rate,INDEX(p_rates,1))))</f>
        <v>0.0</v>
      </c>
      <c r="AL33" s="62">
        <f>IF(OR(AG33="",INDEX(p_rates,2)=""),0,IF(AG33="Facture",SUMIFS(fl_ht,fl_doc,A33,fl_rate,INDEX(p_rates,2)),SUMIFS(dl_ht,dl_doc,F33,dl_rate,INDEX(p_rates,2))))</f>
        <v>0.0</v>
      </c>
      <c r="AM33" s="62">
        <f>IF(OR(AG33="",INDEX(p_rates,3)=""),0,IF(AG33="Facture",SUMIFS(fl_ht,fl_doc,A33,fl_rate,INDEX(p_rates,3)),SUMIFS(dl_ht,dl_doc,F33,dl_rate,INDEX(p_rates,3))))</f>
        <v>0.0</v>
      </c>
      <c r="AN33" s="62">
        <f>IF(OR(AG33="",INDEX(p_rates,4)=""),0,IF(AG33="Facture",SUMIFS(fl_ht,fl_doc,A33,fl_rate,INDEX(p_rates,4)),SUMIFS(dl_ht,dl_doc,F33,dl_rate,INDEX(p_rates,4))))</f>
        <v>0.0</v>
      </c>
      <c r="AO33" s="62">
        <f>IF(OR(AG33="",INDEX(p_rates,5)=""),0,IF(AG33="Facture",SUMIFS(fl_ht,fl_doc,A33,fl_rate,INDEX(p_rates,5)),SUMIFS(dl_ht,dl_doc,F33,dl_rate,INDEX(p_rates,5))))</f>
        <v>0.0</v>
      </c>
      <c r="AP33" s="62">
        <f>IF(OR(AG33="",INDEX(p_rates,6)=""),0,IF(AG33="Facture",SUMIFS(fl_ht,fl_doc,A33,fl_rate,INDEX(p_rates,6)),SUMIFS(dl_ht,dl_doc,F33,dl_rate,INDEX(p_rates,6))))</f>
        <v>0.0</v>
      </c>
      <c r="AQ33" s="62">
        <f>ROUND(AK33*N(INDEX(p_rates,1)),2)+ROUND(AL33*N(INDEX(p_rates,2)),2)+ROUND(AM33*N(INDEX(p_rates,3)),2)+ROUND(AN33*N(INDEX(p_rates,4)),2)+ROUND(AO33*N(INDEX(p_rates,5)),2)+ROUND(AP33*N(INDEX(p_rates,6)),2)</f>
        <v>0.0</v>
      </c>
      <c r="AR33" s="62" t="str">
        <f>IF(OR(L33="",AA33&lt;&gt;"Facture"),"",IFERROR(IF(INDEX(fa_type,MATCH(L33,fa_num,0))="Facture d'acompte",MATCH(L33,fa_num,0),""),""))</f>
        <v/>
      </c>
      <c r="AS33" s="62" t="str">
        <f>IF(W33="","",IF(W33&lt;=0,"",IF(p_asof-P33&lt;=0,"Non échu",IF(p_asof-P33&lt;=30,"1-30 j",IF(p_asof-P33&lt;=60,"31-60 j",IF(p_asof-P33&lt;=90,"61-90 j","Plus de 90 j"))))))</f>
        <v/>
      </c>
      <c r="AT33" s="62" t="str">
        <f>IF(AS33="","",p_asof-P33)</f>
        <v/>
      </c>
      <c r="AU33" s="62" t="str">
        <f>IF(AT33="","",COUNTIF($AT$6:$AT$805,"&gt;"&amp;AT33)+COUNTIF($AT$6:AT33,AT33))</f>
        <v/>
      </c>
    </row>
    <row r="34">
      <c r="A34" s="59" t="str">
        <f>IF(AE34="","",AB34&amp;"-"&amp;AD34&amp;"-"&amp;RIGHT("000"&amp;AE34,4))</f>
        <v/>
      </c>
      <c r="B34" s="60" t="n"/>
      <c r="C34" s="61" t="n"/>
      <c r="D34" s="60" t="n"/>
      <c r="E34" s="62" t="str">
        <f>IF(D34="","",IFERROR(INDEX(cli_name,MATCH(D34,cli_code,0))&amp;"","Client inconnu"))</f>
        <v/>
      </c>
      <c r="F34" s="60" t="n"/>
      <c r="G34" s="63" t="n"/>
      <c r="H34" s="61" t="n"/>
      <c r="I34" s="63" t="n"/>
      <c r="J34" s="60" t="n"/>
      <c r="K34" s="61" t="n"/>
      <c r="L34" s="60" t="n"/>
      <c r="M34" s="60" t="n"/>
      <c r="N34" s="60" t="n"/>
      <c r="O34" s="61" t="n"/>
      <c r="P34" s="64" t="str">
        <f>IF(A34="","",IF(AA34="Avoir",AC34,IF(ISNUMBER(K34),K34,AC34+IF(D34="",N(p_delay),IFERROR(IF(ISNUMBER(INDEX(cli_delay,MATCH(D34,cli_code,0))),INDEX(cli_delay,MATCH(D34,cli_code,0)),N(p_delay)),N(p_delay))))))</f>
        <v/>
      </c>
      <c r="Q34" s="65" t="str">
        <f>IF(A34="","",IF(AA34="Avoir",-1,1)*ROUND(AJ34-IF(AR34="",0,INDEX(fa_htb,AR34)),2))</f>
        <v/>
      </c>
      <c r="R34" s="65" t="str">
        <f>IF(A34="","",IF(AA34="Avoir",-1,1)*ROUND(AQ34-IF(AR34="",0,INDEX(fa_tvab,AR34)),2))</f>
        <v/>
      </c>
      <c r="S34" s="65" t="str">
        <f>IF(A34="","",Q34+R34)</f>
        <v/>
      </c>
      <c r="T34" s="65" t="str">
        <f>IF(AR34="","",INDEX(fa_htb,AR34)+INDEX(fa_tvab,AR34))</f>
        <v/>
      </c>
      <c r="U34" s="65" t="str">
        <f>IF(A34="","",SUMIF(pa_inv,A34,pa_amt))</f>
        <v/>
      </c>
      <c r="V34" s="65" t="str">
        <f>IF(OR(A34="",AA34="Avoir"),"",-SUMIFS(fa_ttc,fa_avof,A34,fa_type,"Avoir"))</f>
        <v/>
      </c>
      <c r="W34" s="65" t="str">
        <f>IF(OR(A34="",AA34="Avoir"),"",ROUND(S34-U34-V34,2))</f>
        <v/>
      </c>
      <c r="X34" s="66" t="str">
        <f>IF(W34="","",IF(AND(W34&gt;0,p_asof&gt;P34),p_asof-P34,""))</f>
        <v/>
      </c>
      <c r="Y34" s="59" t="str">
        <f>IF(A34="","",IF(AA34="Avoir","Avoir",IF(W34&lt;0,"Trop-perçu",IF(W34=0,"Soldée",IF(p_asof&gt;P34,"En retard",IF(U34+V34&gt;0,"Partielle","À échoir"))))))</f>
        <v/>
      </c>
      <c r="Z34" s="59" t="str">
        <f>IF(NOT(COUNTA(B34:D34,F34:O34)&gt;0),"",IF(C34="","Date manquante",IF(NOT(ISNUMBER(C34)),"Date invalide",IF(D34="","Client manquant",IF(ISNA(MATCH(D34,cli_code,0)),"Client inconnu",IF(AC34&lt;SUMPRODUCT(MAX(($AB$6:AB33=AB34)*$AC$6:AC33)),"Date antérieure à la facture précédente",IF(AND(F34&lt;&gt;"",ISNA(MATCH(F34,dv_num,0))),"Devis inconnu",IF(AND(F34&lt;&gt;"",IFERROR(INDEX(dv_client,MATCH(F34,dv_num,0)),D34)&lt;&gt;D34),"Client différent de celui du devis",IF(AG34="","Aucune ligne : saisissez des lignes ou un devis",IF(AND(AI34&lt;&gt;"",COUNTIF($AI$6:AI34,AI34)&gt;1),"Devis déjà repris par une autre facture",IF(AND(AA34="Avoir",M34=""),"Avoir : indiquez la facture d'origine",IF(AND(AA34="Avoir",ISNA(MATCH(M34,fa_num,0))),"Facture d'origine inconnue",IF(AND(AA34&lt;&gt;"Avoir",M34&lt;&gt;""),"« Avoir sur facture » : réservé aux avoirs",IF(AND(L34&lt;&gt;"",AA34&lt;&gt;"Facture"),"Acompte à déduire : réservé aux factures",IF(AND(L34&lt;&gt;"",ISNA(MATCH(L34,fa_num,0))),"Facture d'acompte inconnue",IF(AND(L34&lt;&gt;"",IFERROR(INDEX(fa_type,MATCH(L34,fa_num,0)),"")&lt;&gt;"Facture d'acompte"),"Le n° à déduire n'est pas une facture d'acompte",IF(AND(L34&lt;&gt;"",COUNTIF($L$6:L34,L34)&gt;1),"Acompte déjà déduit sur une autre facture",IF(AND(L34&lt;&gt;"",IFERROR(INDEX(fa_client,MATCH(L34,fa_num,0)),D34)&lt;&gt;D34),"Acompte d'un autre client",IF(AND(AR34&lt;&gt;"",N(Q34)&lt;0),"Acompte supérieur au total de la facture",IF(IF(AG34="Facture",COUNTIFS(fl_doc,A34,fl_check,"&lt;&gt;OK"),IF(AG34="Devis",COUNTIFS(dl_doc,F34,dl_check,"&lt;&gt;OK"),0))&gt;0,"Ligne(s) à corriger",IF(AND(W34&lt;&gt;"",N(W34)&lt;0),"Trop-perçu : vérifiez paiements et avoirs","OK")))))))))))))))))))))</f>
        <v/>
      </c>
      <c r="AA34" s="62" t="str">
        <f>IF(COUNTA(B34:D34,F34:O34)&gt;0,IF(B34="","Facture",B34),"")</f>
        <v/>
      </c>
      <c r="AB34" s="62" t="str">
        <f>IF(AA34="","",IF(AA34="Avoir",p_pav,IF(AA34="Facture d'acompte",p_pac,p_pfa)))</f>
        <v/>
      </c>
      <c r="AC34" s="62">
        <f>IF(ISNUMBER(C34),C34,0)</f>
        <v>0.0</v>
      </c>
      <c r="AD34" s="62" t="str">
        <f>IF(OR(AA34="",AC34=0),"",YEAR(AC34))</f>
        <v/>
      </c>
      <c r="AE34" s="62" t="str">
        <f>IF(AD34="","",COUNTIFS($AB$6:AB34,AB34,$AD$6:AD34,AD34))</f>
        <v/>
      </c>
      <c r="AF34" s="62">
        <f>IF(A34="",0,COUNTIF(fl_doc,A34))</f>
        <v>0.0</v>
      </c>
      <c r="AG34" s="62" t="str">
        <f>IF(A34="","",IF(AF34&gt;0,"Facture",IF(AND(F34&lt;&gt;"",AA34="Facture",ISNUMBER(MATCH(F34,dv_num,0))),"Devis","")))</f>
        <v/>
      </c>
      <c r="AH34" s="62" t="str">
        <f>IF(AND(A34&lt;&gt;"",F34&lt;&gt;"",AA34&lt;&gt;"Avoir"),F34,"")</f>
        <v/>
      </c>
      <c r="AI34" s="62" t="str">
        <f>IF(AG34="Devis",F34,"")</f>
        <v/>
      </c>
      <c r="AJ34" s="62">
        <f>IF(AG34="Facture",SUMIF(fl_doc,A34,fl_ht),IF(AG34="Devis",SUMIF(dl_doc,F34,dl_ht),0))</f>
        <v>0.0</v>
      </c>
      <c r="AK34" s="62">
        <f>IF(OR(AG34="",INDEX(p_rates,1)=""),0,IF(AG34="Facture",SUMIFS(fl_ht,fl_doc,A34,fl_rate,INDEX(p_rates,1)),SUMIFS(dl_ht,dl_doc,F34,dl_rate,INDEX(p_rates,1))))</f>
        <v>0.0</v>
      </c>
      <c r="AL34" s="62">
        <f>IF(OR(AG34="",INDEX(p_rates,2)=""),0,IF(AG34="Facture",SUMIFS(fl_ht,fl_doc,A34,fl_rate,INDEX(p_rates,2)),SUMIFS(dl_ht,dl_doc,F34,dl_rate,INDEX(p_rates,2))))</f>
        <v>0.0</v>
      </c>
      <c r="AM34" s="62">
        <f>IF(OR(AG34="",INDEX(p_rates,3)=""),0,IF(AG34="Facture",SUMIFS(fl_ht,fl_doc,A34,fl_rate,INDEX(p_rates,3)),SUMIFS(dl_ht,dl_doc,F34,dl_rate,INDEX(p_rates,3))))</f>
        <v>0.0</v>
      </c>
      <c r="AN34" s="62">
        <f>IF(OR(AG34="",INDEX(p_rates,4)=""),0,IF(AG34="Facture",SUMIFS(fl_ht,fl_doc,A34,fl_rate,INDEX(p_rates,4)),SUMIFS(dl_ht,dl_doc,F34,dl_rate,INDEX(p_rates,4))))</f>
        <v>0.0</v>
      </c>
      <c r="AO34" s="62">
        <f>IF(OR(AG34="",INDEX(p_rates,5)=""),0,IF(AG34="Facture",SUMIFS(fl_ht,fl_doc,A34,fl_rate,INDEX(p_rates,5)),SUMIFS(dl_ht,dl_doc,F34,dl_rate,INDEX(p_rates,5))))</f>
        <v>0.0</v>
      </c>
      <c r="AP34" s="62">
        <f>IF(OR(AG34="",INDEX(p_rates,6)=""),0,IF(AG34="Facture",SUMIFS(fl_ht,fl_doc,A34,fl_rate,INDEX(p_rates,6)),SUMIFS(dl_ht,dl_doc,F34,dl_rate,INDEX(p_rates,6))))</f>
        <v>0.0</v>
      </c>
      <c r="AQ34" s="62">
        <f>ROUND(AK34*N(INDEX(p_rates,1)),2)+ROUND(AL34*N(INDEX(p_rates,2)),2)+ROUND(AM34*N(INDEX(p_rates,3)),2)+ROUND(AN34*N(INDEX(p_rates,4)),2)+ROUND(AO34*N(INDEX(p_rates,5)),2)+ROUND(AP34*N(INDEX(p_rates,6)),2)</f>
        <v>0.0</v>
      </c>
      <c r="AR34" s="62" t="str">
        <f>IF(OR(L34="",AA34&lt;&gt;"Facture"),"",IFERROR(IF(INDEX(fa_type,MATCH(L34,fa_num,0))="Facture d'acompte",MATCH(L34,fa_num,0),""),""))</f>
        <v/>
      </c>
      <c r="AS34" s="62" t="str">
        <f>IF(W34="","",IF(W34&lt;=0,"",IF(p_asof-P34&lt;=0,"Non échu",IF(p_asof-P34&lt;=30,"1-30 j",IF(p_asof-P34&lt;=60,"31-60 j",IF(p_asof-P34&lt;=90,"61-90 j","Plus de 90 j"))))))</f>
        <v/>
      </c>
      <c r="AT34" s="62" t="str">
        <f>IF(AS34="","",p_asof-P34)</f>
        <v/>
      </c>
      <c r="AU34" s="62" t="str">
        <f>IF(AT34="","",COUNTIF($AT$6:$AT$805,"&gt;"&amp;AT34)+COUNTIF($AT$6:AT34,AT34))</f>
        <v/>
      </c>
    </row>
    <row r="35">
      <c r="A35" s="59" t="str">
        <f>IF(AE35="","",AB35&amp;"-"&amp;AD35&amp;"-"&amp;RIGHT("000"&amp;AE35,4))</f>
        <v/>
      </c>
      <c r="B35" s="60" t="n"/>
      <c r="C35" s="61" t="n"/>
      <c r="D35" s="60" t="n"/>
      <c r="E35" s="62" t="str">
        <f>IF(D35="","",IFERROR(INDEX(cli_name,MATCH(D35,cli_code,0))&amp;"","Client inconnu"))</f>
        <v/>
      </c>
      <c r="F35" s="60" t="n"/>
      <c r="G35" s="63" t="n"/>
      <c r="H35" s="61" t="n"/>
      <c r="I35" s="63" t="n"/>
      <c r="J35" s="60" t="n"/>
      <c r="K35" s="61" t="n"/>
      <c r="L35" s="60" t="n"/>
      <c r="M35" s="60" t="n"/>
      <c r="N35" s="60" t="n"/>
      <c r="O35" s="61" t="n"/>
      <c r="P35" s="64" t="str">
        <f>IF(A35="","",IF(AA35="Avoir",AC35,IF(ISNUMBER(K35),K35,AC35+IF(D35="",N(p_delay),IFERROR(IF(ISNUMBER(INDEX(cli_delay,MATCH(D35,cli_code,0))),INDEX(cli_delay,MATCH(D35,cli_code,0)),N(p_delay)),N(p_delay))))))</f>
        <v/>
      </c>
      <c r="Q35" s="65" t="str">
        <f>IF(A35="","",IF(AA35="Avoir",-1,1)*ROUND(AJ35-IF(AR35="",0,INDEX(fa_htb,AR35)),2))</f>
        <v/>
      </c>
      <c r="R35" s="65" t="str">
        <f>IF(A35="","",IF(AA35="Avoir",-1,1)*ROUND(AQ35-IF(AR35="",0,INDEX(fa_tvab,AR35)),2))</f>
        <v/>
      </c>
      <c r="S35" s="65" t="str">
        <f>IF(A35="","",Q35+R35)</f>
        <v/>
      </c>
      <c r="T35" s="65" t="str">
        <f>IF(AR35="","",INDEX(fa_htb,AR35)+INDEX(fa_tvab,AR35))</f>
        <v/>
      </c>
      <c r="U35" s="65" t="str">
        <f>IF(A35="","",SUMIF(pa_inv,A35,pa_amt))</f>
        <v/>
      </c>
      <c r="V35" s="65" t="str">
        <f>IF(OR(A35="",AA35="Avoir"),"",-SUMIFS(fa_ttc,fa_avof,A35,fa_type,"Avoir"))</f>
        <v/>
      </c>
      <c r="W35" s="65" t="str">
        <f>IF(OR(A35="",AA35="Avoir"),"",ROUND(S35-U35-V35,2))</f>
        <v/>
      </c>
      <c r="X35" s="66" t="str">
        <f>IF(W35="","",IF(AND(W35&gt;0,p_asof&gt;P35),p_asof-P35,""))</f>
        <v/>
      </c>
      <c r="Y35" s="59" t="str">
        <f>IF(A35="","",IF(AA35="Avoir","Avoir",IF(W35&lt;0,"Trop-perçu",IF(W35=0,"Soldée",IF(p_asof&gt;P35,"En retard",IF(U35+V35&gt;0,"Partielle","À échoir"))))))</f>
        <v/>
      </c>
      <c r="Z35" s="59" t="str">
        <f>IF(NOT(COUNTA(B35:D35,F35:O35)&gt;0),"",IF(C35="","Date manquante",IF(NOT(ISNUMBER(C35)),"Date invalide",IF(D35="","Client manquant",IF(ISNA(MATCH(D35,cli_code,0)),"Client inconnu",IF(AC35&lt;SUMPRODUCT(MAX(($AB$6:AB34=AB35)*$AC$6:AC34)),"Date antérieure à la facture précédente",IF(AND(F35&lt;&gt;"",ISNA(MATCH(F35,dv_num,0))),"Devis inconnu",IF(AND(F35&lt;&gt;"",IFERROR(INDEX(dv_client,MATCH(F35,dv_num,0)),D35)&lt;&gt;D35),"Client différent de celui du devis",IF(AG35="","Aucune ligne : saisissez des lignes ou un devis",IF(AND(AI35&lt;&gt;"",COUNTIF($AI$6:AI35,AI35)&gt;1),"Devis déjà repris par une autre facture",IF(AND(AA35="Avoir",M35=""),"Avoir : indiquez la facture d'origine",IF(AND(AA35="Avoir",ISNA(MATCH(M35,fa_num,0))),"Facture d'origine inconnue",IF(AND(AA35&lt;&gt;"Avoir",M35&lt;&gt;""),"« Avoir sur facture » : réservé aux avoirs",IF(AND(L35&lt;&gt;"",AA35&lt;&gt;"Facture"),"Acompte à déduire : réservé aux factures",IF(AND(L35&lt;&gt;"",ISNA(MATCH(L35,fa_num,0))),"Facture d'acompte inconnue",IF(AND(L35&lt;&gt;"",IFERROR(INDEX(fa_type,MATCH(L35,fa_num,0)),"")&lt;&gt;"Facture d'acompte"),"Le n° à déduire n'est pas une facture d'acompte",IF(AND(L35&lt;&gt;"",COUNTIF($L$6:L35,L35)&gt;1),"Acompte déjà déduit sur une autre facture",IF(AND(L35&lt;&gt;"",IFERROR(INDEX(fa_client,MATCH(L35,fa_num,0)),D35)&lt;&gt;D35),"Acompte d'un autre client",IF(AND(AR35&lt;&gt;"",N(Q35)&lt;0),"Acompte supérieur au total de la facture",IF(IF(AG35="Facture",COUNTIFS(fl_doc,A35,fl_check,"&lt;&gt;OK"),IF(AG35="Devis",COUNTIFS(dl_doc,F35,dl_check,"&lt;&gt;OK"),0))&gt;0,"Ligne(s) à corriger",IF(AND(W35&lt;&gt;"",N(W35)&lt;0),"Trop-perçu : vérifiez paiements et avoirs","OK")))))))))))))))))))))</f>
        <v/>
      </c>
      <c r="AA35" s="62" t="str">
        <f>IF(COUNTA(B35:D35,F35:O35)&gt;0,IF(B35="","Facture",B35),"")</f>
        <v/>
      </c>
      <c r="AB35" s="62" t="str">
        <f>IF(AA35="","",IF(AA35="Avoir",p_pav,IF(AA35="Facture d'acompte",p_pac,p_pfa)))</f>
        <v/>
      </c>
      <c r="AC35" s="62">
        <f>IF(ISNUMBER(C35),C35,0)</f>
        <v>0.0</v>
      </c>
      <c r="AD35" s="62" t="str">
        <f>IF(OR(AA35="",AC35=0),"",YEAR(AC35))</f>
        <v/>
      </c>
      <c r="AE35" s="62" t="str">
        <f>IF(AD35="","",COUNTIFS($AB$6:AB35,AB35,$AD$6:AD35,AD35))</f>
        <v/>
      </c>
      <c r="AF35" s="62">
        <f>IF(A35="",0,COUNTIF(fl_doc,A35))</f>
        <v>0.0</v>
      </c>
      <c r="AG35" s="62" t="str">
        <f>IF(A35="","",IF(AF35&gt;0,"Facture",IF(AND(F35&lt;&gt;"",AA35="Facture",ISNUMBER(MATCH(F35,dv_num,0))),"Devis","")))</f>
        <v/>
      </c>
      <c r="AH35" s="62" t="str">
        <f>IF(AND(A35&lt;&gt;"",F35&lt;&gt;"",AA35&lt;&gt;"Avoir"),F35,"")</f>
        <v/>
      </c>
      <c r="AI35" s="62" t="str">
        <f>IF(AG35="Devis",F35,"")</f>
        <v/>
      </c>
      <c r="AJ35" s="62">
        <f>IF(AG35="Facture",SUMIF(fl_doc,A35,fl_ht),IF(AG35="Devis",SUMIF(dl_doc,F35,dl_ht),0))</f>
        <v>0.0</v>
      </c>
      <c r="AK35" s="62">
        <f>IF(OR(AG35="",INDEX(p_rates,1)=""),0,IF(AG35="Facture",SUMIFS(fl_ht,fl_doc,A35,fl_rate,INDEX(p_rates,1)),SUMIFS(dl_ht,dl_doc,F35,dl_rate,INDEX(p_rates,1))))</f>
        <v>0.0</v>
      </c>
      <c r="AL35" s="62">
        <f>IF(OR(AG35="",INDEX(p_rates,2)=""),0,IF(AG35="Facture",SUMIFS(fl_ht,fl_doc,A35,fl_rate,INDEX(p_rates,2)),SUMIFS(dl_ht,dl_doc,F35,dl_rate,INDEX(p_rates,2))))</f>
        <v>0.0</v>
      </c>
      <c r="AM35" s="62">
        <f>IF(OR(AG35="",INDEX(p_rates,3)=""),0,IF(AG35="Facture",SUMIFS(fl_ht,fl_doc,A35,fl_rate,INDEX(p_rates,3)),SUMIFS(dl_ht,dl_doc,F35,dl_rate,INDEX(p_rates,3))))</f>
        <v>0.0</v>
      </c>
      <c r="AN35" s="62">
        <f>IF(OR(AG35="",INDEX(p_rates,4)=""),0,IF(AG35="Facture",SUMIFS(fl_ht,fl_doc,A35,fl_rate,INDEX(p_rates,4)),SUMIFS(dl_ht,dl_doc,F35,dl_rate,INDEX(p_rates,4))))</f>
        <v>0.0</v>
      </c>
      <c r="AO35" s="62">
        <f>IF(OR(AG35="",INDEX(p_rates,5)=""),0,IF(AG35="Facture",SUMIFS(fl_ht,fl_doc,A35,fl_rate,INDEX(p_rates,5)),SUMIFS(dl_ht,dl_doc,F35,dl_rate,INDEX(p_rates,5))))</f>
        <v>0.0</v>
      </c>
      <c r="AP35" s="62">
        <f>IF(OR(AG35="",INDEX(p_rates,6)=""),0,IF(AG35="Facture",SUMIFS(fl_ht,fl_doc,A35,fl_rate,INDEX(p_rates,6)),SUMIFS(dl_ht,dl_doc,F35,dl_rate,INDEX(p_rates,6))))</f>
        <v>0.0</v>
      </c>
      <c r="AQ35" s="62">
        <f>ROUND(AK35*N(INDEX(p_rates,1)),2)+ROUND(AL35*N(INDEX(p_rates,2)),2)+ROUND(AM35*N(INDEX(p_rates,3)),2)+ROUND(AN35*N(INDEX(p_rates,4)),2)+ROUND(AO35*N(INDEX(p_rates,5)),2)+ROUND(AP35*N(INDEX(p_rates,6)),2)</f>
        <v>0.0</v>
      </c>
      <c r="AR35" s="62" t="str">
        <f>IF(OR(L35="",AA35&lt;&gt;"Facture"),"",IFERROR(IF(INDEX(fa_type,MATCH(L35,fa_num,0))="Facture d'acompte",MATCH(L35,fa_num,0),""),""))</f>
        <v/>
      </c>
      <c r="AS35" s="62" t="str">
        <f>IF(W35="","",IF(W35&lt;=0,"",IF(p_asof-P35&lt;=0,"Non échu",IF(p_asof-P35&lt;=30,"1-30 j",IF(p_asof-P35&lt;=60,"31-60 j",IF(p_asof-P35&lt;=90,"61-90 j","Plus de 90 j"))))))</f>
        <v/>
      </c>
      <c r="AT35" s="62" t="str">
        <f>IF(AS35="","",p_asof-P35)</f>
        <v/>
      </c>
      <c r="AU35" s="62" t="str">
        <f>IF(AT35="","",COUNTIF($AT$6:$AT$805,"&gt;"&amp;AT35)+COUNTIF($AT$6:AT35,AT35))</f>
        <v/>
      </c>
    </row>
    <row r="36">
      <c r="A36" s="59" t="str">
        <f>IF(AE36="","",AB36&amp;"-"&amp;AD36&amp;"-"&amp;RIGHT("000"&amp;AE36,4))</f>
        <v/>
      </c>
      <c r="B36" s="60" t="n"/>
      <c r="C36" s="61" t="n"/>
      <c r="D36" s="60" t="n"/>
      <c r="E36" s="62" t="str">
        <f>IF(D36="","",IFERROR(INDEX(cli_name,MATCH(D36,cli_code,0))&amp;"","Client inconnu"))</f>
        <v/>
      </c>
      <c r="F36" s="60" t="n"/>
      <c r="G36" s="63" t="n"/>
      <c r="H36" s="61" t="n"/>
      <c r="I36" s="63" t="n"/>
      <c r="J36" s="60" t="n"/>
      <c r="K36" s="61" t="n"/>
      <c r="L36" s="60" t="n"/>
      <c r="M36" s="60" t="n"/>
      <c r="N36" s="60" t="n"/>
      <c r="O36" s="61" t="n"/>
      <c r="P36" s="64" t="str">
        <f>IF(A36="","",IF(AA36="Avoir",AC36,IF(ISNUMBER(K36),K36,AC36+IF(D36="",N(p_delay),IFERROR(IF(ISNUMBER(INDEX(cli_delay,MATCH(D36,cli_code,0))),INDEX(cli_delay,MATCH(D36,cli_code,0)),N(p_delay)),N(p_delay))))))</f>
        <v/>
      </c>
      <c r="Q36" s="65" t="str">
        <f>IF(A36="","",IF(AA36="Avoir",-1,1)*ROUND(AJ36-IF(AR36="",0,INDEX(fa_htb,AR36)),2))</f>
        <v/>
      </c>
      <c r="R36" s="65" t="str">
        <f>IF(A36="","",IF(AA36="Avoir",-1,1)*ROUND(AQ36-IF(AR36="",0,INDEX(fa_tvab,AR36)),2))</f>
        <v/>
      </c>
      <c r="S36" s="65" t="str">
        <f>IF(A36="","",Q36+R36)</f>
        <v/>
      </c>
      <c r="T36" s="65" t="str">
        <f>IF(AR36="","",INDEX(fa_htb,AR36)+INDEX(fa_tvab,AR36))</f>
        <v/>
      </c>
      <c r="U36" s="65" t="str">
        <f>IF(A36="","",SUMIF(pa_inv,A36,pa_amt))</f>
        <v/>
      </c>
      <c r="V36" s="65" t="str">
        <f>IF(OR(A36="",AA36="Avoir"),"",-SUMIFS(fa_ttc,fa_avof,A36,fa_type,"Avoir"))</f>
        <v/>
      </c>
      <c r="W36" s="65" t="str">
        <f>IF(OR(A36="",AA36="Avoir"),"",ROUND(S36-U36-V36,2))</f>
        <v/>
      </c>
      <c r="X36" s="66" t="str">
        <f>IF(W36="","",IF(AND(W36&gt;0,p_asof&gt;P36),p_asof-P36,""))</f>
        <v/>
      </c>
      <c r="Y36" s="59" t="str">
        <f>IF(A36="","",IF(AA36="Avoir","Avoir",IF(W36&lt;0,"Trop-perçu",IF(W36=0,"Soldée",IF(p_asof&gt;P36,"En retard",IF(U36+V36&gt;0,"Partielle","À échoir"))))))</f>
        <v/>
      </c>
      <c r="Z36" s="59" t="str">
        <f>IF(NOT(COUNTA(B36:D36,F36:O36)&gt;0),"",IF(C36="","Date manquante",IF(NOT(ISNUMBER(C36)),"Date invalide",IF(D36="","Client manquant",IF(ISNA(MATCH(D36,cli_code,0)),"Client inconnu",IF(AC36&lt;SUMPRODUCT(MAX(($AB$6:AB35=AB36)*$AC$6:AC35)),"Date antérieure à la facture précédente",IF(AND(F36&lt;&gt;"",ISNA(MATCH(F36,dv_num,0))),"Devis inconnu",IF(AND(F36&lt;&gt;"",IFERROR(INDEX(dv_client,MATCH(F36,dv_num,0)),D36)&lt;&gt;D36),"Client différent de celui du devis",IF(AG36="","Aucune ligne : saisissez des lignes ou un devis",IF(AND(AI36&lt;&gt;"",COUNTIF($AI$6:AI36,AI36)&gt;1),"Devis déjà repris par une autre facture",IF(AND(AA36="Avoir",M36=""),"Avoir : indiquez la facture d'origine",IF(AND(AA36="Avoir",ISNA(MATCH(M36,fa_num,0))),"Facture d'origine inconnue",IF(AND(AA36&lt;&gt;"Avoir",M36&lt;&gt;""),"« Avoir sur facture » : réservé aux avoirs",IF(AND(L36&lt;&gt;"",AA36&lt;&gt;"Facture"),"Acompte à déduire : réservé aux factures",IF(AND(L36&lt;&gt;"",ISNA(MATCH(L36,fa_num,0))),"Facture d'acompte inconnue",IF(AND(L36&lt;&gt;"",IFERROR(INDEX(fa_type,MATCH(L36,fa_num,0)),"")&lt;&gt;"Facture d'acompte"),"Le n° à déduire n'est pas une facture d'acompte",IF(AND(L36&lt;&gt;"",COUNTIF($L$6:L36,L36)&gt;1),"Acompte déjà déduit sur une autre facture",IF(AND(L36&lt;&gt;"",IFERROR(INDEX(fa_client,MATCH(L36,fa_num,0)),D36)&lt;&gt;D36),"Acompte d'un autre client",IF(AND(AR36&lt;&gt;"",N(Q36)&lt;0),"Acompte supérieur au total de la facture",IF(IF(AG36="Facture",COUNTIFS(fl_doc,A36,fl_check,"&lt;&gt;OK"),IF(AG36="Devis",COUNTIFS(dl_doc,F36,dl_check,"&lt;&gt;OK"),0))&gt;0,"Ligne(s) à corriger",IF(AND(W36&lt;&gt;"",N(W36)&lt;0),"Trop-perçu : vérifiez paiements et avoirs","OK")))))))))))))))))))))</f>
        <v/>
      </c>
      <c r="AA36" s="62" t="str">
        <f>IF(COUNTA(B36:D36,F36:O36)&gt;0,IF(B36="","Facture",B36),"")</f>
        <v/>
      </c>
      <c r="AB36" s="62" t="str">
        <f>IF(AA36="","",IF(AA36="Avoir",p_pav,IF(AA36="Facture d'acompte",p_pac,p_pfa)))</f>
        <v/>
      </c>
      <c r="AC36" s="62">
        <f>IF(ISNUMBER(C36),C36,0)</f>
        <v>0.0</v>
      </c>
      <c r="AD36" s="62" t="str">
        <f>IF(OR(AA36="",AC36=0),"",YEAR(AC36))</f>
        <v/>
      </c>
      <c r="AE36" s="62" t="str">
        <f>IF(AD36="","",COUNTIFS($AB$6:AB36,AB36,$AD$6:AD36,AD36))</f>
        <v/>
      </c>
      <c r="AF36" s="62">
        <f>IF(A36="",0,COUNTIF(fl_doc,A36))</f>
        <v>0.0</v>
      </c>
      <c r="AG36" s="62" t="str">
        <f>IF(A36="","",IF(AF36&gt;0,"Facture",IF(AND(F36&lt;&gt;"",AA36="Facture",ISNUMBER(MATCH(F36,dv_num,0))),"Devis","")))</f>
        <v/>
      </c>
      <c r="AH36" s="62" t="str">
        <f>IF(AND(A36&lt;&gt;"",F36&lt;&gt;"",AA36&lt;&gt;"Avoir"),F36,"")</f>
        <v/>
      </c>
      <c r="AI36" s="62" t="str">
        <f>IF(AG36="Devis",F36,"")</f>
        <v/>
      </c>
      <c r="AJ36" s="62">
        <f>IF(AG36="Facture",SUMIF(fl_doc,A36,fl_ht),IF(AG36="Devis",SUMIF(dl_doc,F36,dl_ht),0))</f>
        <v>0.0</v>
      </c>
      <c r="AK36" s="62">
        <f>IF(OR(AG36="",INDEX(p_rates,1)=""),0,IF(AG36="Facture",SUMIFS(fl_ht,fl_doc,A36,fl_rate,INDEX(p_rates,1)),SUMIFS(dl_ht,dl_doc,F36,dl_rate,INDEX(p_rates,1))))</f>
        <v>0.0</v>
      </c>
      <c r="AL36" s="62">
        <f>IF(OR(AG36="",INDEX(p_rates,2)=""),0,IF(AG36="Facture",SUMIFS(fl_ht,fl_doc,A36,fl_rate,INDEX(p_rates,2)),SUMIFS(dl_ht,dl_doc,F36,dl_rate,INDEX(p_rates,2))))</f>
        <v>0.0</v>
      </c>
      <c r="AM36" s="62">
        <f>IF(OR(AG36="",INDEX(p_rates,3)=""),0,IF(AG36="Facture",SUMIFS(fl_ht,fl_doc,A36,fl_rate,INDEX(p_rates,3)),SUMIFS(dl_ht,dl_doc,F36,dl_rate,INDEX(p_rates,3))))</f>
        <v>0.0</v>
      </c>
      <c r="AN36" s="62">
        <f>IF(OR(AG36="",INDEX(p_rates,4)=""),0,IF(AG36="Facture",SUMIFS(fl_ht,fl_doc,A36,fl_rate,INDEX(p_rates,4)),SUMIFS(dl_ht,dl_doc,F36,dl_rate,INDEX(p_rates,4))))</f>
        <v>0.0</v>
      </c>
      <c r="AO36" s="62">
        <f>IF(OR(AG36="",INDEX(p_rates,5)=""),0,IF(AG36="Facture",SUMIFS(fl_ht,fl_doc,A36,fl_rate,INDEX(p_rates,5)),SUMIFS(dl_ht,dl_doc,F36,dl_rate,INDEX(p_rates,5))))</f>
        <v>0.0</v>
      </c>
      <c r="AP36" s="62">
        <f>IF(OR(AG36="",INDEX(p_rates,6)=""),0,IF(AG36="Facture",SUMIFS(fl_ht,fl_doc,A36,fl_rate,INDEX(p_rates,6)),SUMIFS(dl_ht,dl_doc,F36,dl_rate,INDEX(p_rates,6))))</f>
        <v>0.0</v>
      </c>
      <c r="AQ36" s="62">
        <f>ROUND(AK36*N(INDEX(p_rates,1)),2)+ROUND(AL36*N(INDEX(p_rates,2)),2)+ROUND(AM36*N(INDEX(p_rates,3)),2)+ROUND(AN36*N(INDEX(p_rates,4)),2)+ROUND(AO36*N(INDEX(p_rates,5)),2)+ROUND(AP36*N(INDEX(p_rates,6)),2)</f>
        <v>0.0</v>
      </c>
      <c r="AR36" s="62" t="str">
        <f>IF(OR(L36="",AA36&lt;&gt;"Facture"),"",IFERROR(IF(INDEX(fa_type,MATCH(L36,fa_num,0))="Facture d'acompte",MATCH(L36,fa_num,0),""),""))</f>
        <v/>
      </c>
      <c r="AS36" s="62" t="str">
        <f>IF(W36="","",IF(W36&lt;=0,"",IF(p_asof-P36&lt;=0,"Non échu",IF(p_asof-P36&lt;=30,"1-30 j",IF(p_asof-P36&lt;=60,"31-60 j",IF(p_asof-P36&lt;=90,"61-90 j","Plus de 90 j"))))))</f>
        <v/>
      </c>
      <c r="AT36" s="62" t="str">
        <f>IF(AS36="","",p_asof-P36)</f>
        <v/>
      </c>
      <c r="AU36" s="62" t="str">
        <f>IF(AT36="","",COUNTIF($AT$6:$AT$805,"&gt;"&amp;AT36)+COUNTIF($AT$6:AT36,AT36))</f>
        <v/>
      </c>
    </row>
    <row r="37">
      <c r="A37" s="59" t="str">
        <f>IF(AE37="","",AB37&amp;"-"&amp;AD37&amp;"-"&amp;RIGHT("000"&amp;AE37,4))</f>
        <v/>
      </c>
      <c r="B37" s="60" t="n"/>
      <c r="C37" s="61" t="n"/>
      <c r="D37" s="60" t="n"/>
      <c r="E37" s="62" t="str">
        <f>IF(D37="","",IFERROR(INDEX(cli_name,MATCH(D37,cli_code,0))&amp;"","Client inconnu"))</f>
        <v/>
      </c>
      <c r="F37" s="60" t="n"/>
      <c r="G37" s="63" t="n"/>
      <c r="H37" s="61" t="n"/>
      <c r="I37" s="63" t="n"/>
      <c r="J37" s="60" t="n"/>
      <c r="K37" s="61" t="n"/>
      <c r="L37" s="60" t="n"/>
      <c r="M37" s="60" t="n"/>
      <c r="N37" s="60" t="n"/>
      <c r="O37" s="61" t="n"/>
      <c r="P37" s="64" t="str">
        <f>IF(A37="","",IF(AA37="Avoir",AC37,IF(ISNUMBER(K37),K37,AC37+IF(D37="",N(p_delay),IFERROR(IF(ISNUMBER(INDEX(cli_delay,MATCH(D37,cli_code,0))),INDEX(cli_delay,MATCH(D37,cli_code,0)),N(p_delay)),N(p_delay))))))</f>
        <v/>
      </c>
      <c r="Q37" s="65" t="str">
        <f>IF(A37="","",IF(AA37="Avoir",-1,1)*ROUND(AJ37-IF(AR37="",0,INDEX(fa_htb,AR37)),2))</f>
        <v/>
      </c>
      <c r="R37" s="65" t="str">
        <f>IF(A37="","",IF(AA37="Avoir",-1,1)*ROUND(AQ37-IF(AR37="",0,INDEX(fa_tvab,AR37)),2))</f>
        <v/>
      </c>
      <c r="S37" s="65" t="str">
        <f>IF(A37="","",Q37+R37)</f>
        <v/>
      </c>
      <c r="T37" s="65" t="str">
        <f>IF(AR37="","",INDEX(fa_htb,AR37)+INDEX(fa_tvab,AR37))</f>
        <v/>
      </c>
      <c r="U37" s="65" t="str">
        <f>IF(A37="","",SUMIF(pa_inv,A37,pa_amt))</f>
        <v/>
      </c>
      <c r="V37" s="65" t="str">
        <f>IF(OR(A37="",AA37="Avoir"),"",-SUMIFS(fa_ttc,fa_avof,A37,fa_type,"Avoir"))</f>
        <v/>
      </c>
      <c r="W37" s="65" t="str">
        <f>IF(OR(A37="",AA37="Avoir"),"",ROUND(S37-U37-V37,2))</f>
        <v/>
      </c>
      <c r="X37" s="66" t="str">
        <f>IF(W37="","",IF(AND(W37&gt;0,p_asof&gt;P37),p_asof-P37,""))</f>
        <v/>
      </c>
      <c r="Y37" s="59" t="str">
        <f>IF(A37="","",IF(AA37="Avoir","Avoir",IF(W37&lt;0,"Trop-perçu",IF(W37=0,"Soldée",IF(p_asof&gt;P37,"En retard",IF(U37+V37&gt;0,"Partielle","À échoir"))))))</f>
        <v/>
      </c>
      <c r="Z37" s="59" t="str">
        <f>IF(NOT(COUNTA(B37:D37,F37:O37)&gt;0),"",IF(C37="","Date manquante",IF(NOT(ISNUMBER(C37)),"Date invalide",IF(D37="","Client manquant",IF(ISNA(MATCH(D37,cli_code,0)),"Client inconnu",IF(AC37&lt;SUMPRODUCT(MAX(($AB$6:AB36=AB37)*$AC$6:AC36)),"Date antérieure à la facture précédente",IF(AND(F37&lt;&gt;"",ISNA(MATCH(F37,dv_num,0))),"Devis inconnu",IF(AND(F37&lt;&gt;"",IFERROR(INDEX(dv_client,MATCH(F37,dv_num,0)),D37)&lt;&gt;D37),"Client différent de celui du devis",IF(AG37="","Aucune ligne : saisissez des lignes ou un devis",IF(AND(AI37&lt;&gt;"",COUNTIF($AI$6:AI37,AI37)&gt;1),"Devis déjà repris par une autre facture",IF(AND(AA37="Avoir",M37=""),"Avoir : indiquez la facture d'origine",IF(AND(AA37="Avoir",ISNA(MATCH(M37,fa_num,0))),"Facture d'origine inconnue",IF(AND(AA37&lt;&gt;"Avoir",M37&lt;&gt;""),"« Avoir sur facture » : réservé aux avoirs",IF(AND(L37&lt;&gt;"",AA37&lt;&gt;"Facture"),"Acompte à déduire : réservé aux factures",IF(AND(L37&lt;&gt;"",ISNA(MATCH(L37,fa_num,0))),"Facture d'acompte inconnue",IF(AND(L37&lt;&gt;"",IFERROR(INDEX(fa_type,MATCH(L37,fa_num,0)),"")&lt;&gt;"Facture d'acompte"),"Le n° à déduire n'est pas une facture d'acompte",IF(AND(L37&lt;&gt;"",COUNTIF($L$6:L37,L37)&gt;1),"Acompte déjà déduit sur une autre facture",IF(AND(L37&lt;&gt;"",IFERROR(INDEX(fa_client,MATCH(L37,fa_num,0)),D37)&lt;&gt;D37),"Acompte d'un autre client",IF(AND(AR37&lt;&gt;"",N(Q37)&lt;0),"Acompte supérieur au total de la facture",IF(IF(AG37="Facture",COUNTIFS(fl_doc,A37,fl_check,"&lt;&gt;OK"),IF(AG37="Devis",COUNTIFS(dl_doc,F37,dl_check,"&lt;&gt;OK"),0))&gt;0,"Ligne(s) à corriger",IF(AND(W37&lt;&gt;"",N(W37)&lt;0),"Trop-perçu : vérifiez paiements et avoirs","OK")))))))))))))))))))))</f>
        <v/>
      </c>
      <c r="AA37" s="62" t="str">
        <f>IF(COUNTA(B37:D37,F37:O37)&gt;0,IF(B37="","Facture",B37),"")</f>
        <v/>
      </c>
      <c r="AB37" s="62" t="str">
        <f>IF(AA37="","",IF(AA37="Avoir",p_pav,IF(AA37="Facture d'acompte",p_pac,p_pfa)))</f>
        <v/>
      </c>
      <c r="AC37" s="62">
        <f>IF(ISNUMBER(C37),C37,0)</f>
        <v>0.0</v>
      </c>
      <c r="AD37" s="62" t="str">
        <f>IF(OR(AA37="",AC37=0),"",YEAR(AC37))</f>
        <v/>
      </c>
      <c r="AE37" s="62" t="str">
        <f>IF(AD37="","",COUNTIFS($AB$6:AB37,AB37,$AD$6:AD37,AD37))</f>
        <v/>
      </c>
      <c r="AF37" s="62">
        <f>IF(A37="",0,COUNTIF(fl_doc,A37))</f>
        <v>0.0</v>
      </c>
      <c r="AG37" s="62" t="str">
        <f>IF(A37="","",IF(AF37&gt;0,"Facture",IF(AND(F37&lt;&gt;"",AA37="Facture",ISNUMBER(MATCH(F37,dv_num,0))),"Devis","")))</f>
        <v/>
      </c>
      <c r="AH37" s="62" t="str">
        <f>IF(AND(A37&lt;&gt;"",F37&lt;&gt;"",AA37&lt;&gt;"Avoir"),F37,"")</f>
        <v/>
      </c>
      <c r="AI37" s="62" t="str">
        <f>IF(AG37="Devis",F37,"")</f>
        <v/>
      </c>
      <c r="AJ37" s="62">
        <f>IF(AG37="Facture",SUMIF(fl_doc,A37,fl_ht),IF(AG37="Devis",SUMIF(dl_doc,F37,dl_ht),0))</f>
        <v>0.0</v>
      </c>
      <c r="AK37" s="62">
        <f>IF(OR(AG37="",INDEX(p_rates,1)=""),0,IF(AG37="Facture",SUMIFS(fl_ht,fl_doc,A37,fl_rate,INDEX(p_rates,1)),SUMIFS(dl_ht,dl_doc,F37,dl_rate,INDEX(p_rates,1))))</f>
        <v>0.0</v>
      </c>
      <c r="AL37" s="62">
        <f>IF(OR(AG37="",INDEX(p_rates,2)=""),0,IF(AG37="Facture",SUMIFS(fl_ht,fl_doc,A37,fl_rate,INDEX(p_rates,2)),SUMIFS(dl_ht,dl_doc,F37,dl_rate,INDEX(p_rates,2))))</f>
        <v>0.0</v>
      </c>
      <c r="AM37" s="62">
        <f>IF(OR(AG37="",INDEX(p_rates,3)=""),0,IF(AG37="Facture",SUMIFS(fl_ht,fl_doc,A37,fl_rate,INDEX(p_rates,3)),SUMIFS(dl_ht,dl_doc,F37,dl_rate,INDEX(p_rates,3))))</f>
        <v>0.0</v>
      </c>
      <c r="AN37" s="62">
        <f>IF(OR(AG37="",INDEX(p_rates,4)=""),0,IF(AG37="Facture",SUMIFS(fl_ht,fl_doc,A37,fl_rate,INDEX(p_rates,4)),SUMIFS(dl_ht,dl_doc,F37,dl_rate,INDEX(p_rates,4))))</f>
        <v>0.0</v>
      </c>
      <c r="AO37" s="62">
        <f>IF(OR(AG37="",INDEX(p_rates,5)=""),0,IF(AG37="Facture",SUMIFS(fl_ht,fl_doc,A37,fl_rate,INDEX(p_rates,5)),SUMIFS(dl_ht,dl_doc,F37,dl_rate,INDEX(p_rates,5))))</f>
        <v>0.0</v>
      </c>
      <c r="AP37" s="62">
        <f>IF(OR(AG37="",INDEX(p_rates,6)=""),0,IF(AG37="Facture",SUMIFS(fl_ht,fl_doc,A37,fl_rate,INDEX(p_rates,6)),SUMIFS(dl_ht,dl_doc,F37,dl_rate,INDEX(p_rates,6))))</f>
        <v>0.0</v>
      </c>
      <c r="AQ37" s="62">
        <f>ROUND(AK37*N(INDEX(p_rates,1)),2)+ROUND(AL37*N(INDEX(p_rates,2)),2)+ROUND(AM37*N(INDEX(p_rates,3)),2)+ROUND(AN37*N(INDEX(p_rates,4)),2)+ROUND(AO37*N(INDEX(p_rates,5)),2)+ROUND(AP37*N(INDEX(p_rates,6)),2)</f>
        <v>0.0</v>
      </c>
      <c r="AR37" s="62" t="str">
        <f>IF(OR(L37="",AA37&lt;&gt;"Facture"),"",IFERROR(IF(INDEX(fa_type,MATCH(L37,fa_num,0))="Facture d'acompte",MATCH(L37,fa_num,0),""),""))</f>
        <v/>
      </c>
      <c r="AS37" s="62" t="str">
        <f>IF(W37="","",IF(W37&lt;=0,"",IF(p_asof-P37&lt;=0,"Non échu",IF(p_asof-P37&lt;=30,"1-30 j",IF(p_asof-P37&lt;=60,"31-60 j",IF(p_asof-P37&lt;=90,"61-90 j","Plus de 90 j"))))))</f>
        <v/>
      </c>
      <c r="AT37" s="62" t="str">
        <f>IF(AS37="","",p_asof-P37)</f>
        <v/>
      </c>
      <c r="AU37" s="62" t="str">
        <f>IF(AT37="","",COUNTIF($AT$6:$AT$805,"&gt;"&amp;AT37)+COUNTIF($AT$6:AT37,AT37))</f>
        <v/>
      </c>
    </row>
    <row r="38">
      <c r="A38" s="59" t="str">
        <f>IF(AE38="","",AB38&amp;"-"&amp;AD38&amp;"-"&amp;RIGHT("000"&amp;AE38,4))</f>
        <v/>
      </c>
      <c r="B38" s="60" t="n"/>
      <c r="C38" s="61" t="n"/>
      <c r="D38" s="60" t="n"/>
      <c r="E38" s="62" t="str">
        <f>IF(D38="","",IFERROR(INDEX(cli_name,MATCH(D38,cli_code,0))&amp;"","Client inconnu"))</f>
        <v/>
      </c>
      <c r="F38" s="60" t="n"/>
      <c r="G38" s="63" t="n"/>
      <c r="H38" s="61" t="n"/>
      <c r="I38" s="63" t="n"/>
      <c r="J38" s="60" t="n"/>
      <c r="K38" s="61" t="n"/>
      <c r="L38" s="60" t="n"/>
      <c r="M38" s="60" t="n"/>
      <c r="N38" s="60" t="n"/>
      <c r="O38" s="61" t="n"/>
      <c r="P38" s="64" t="str">
        <f>IF(A38="","",IF(AA38="Avoir",AC38,IF(ISNUMBER(K38),K38,AC38+IF(D38="",N(p_delay),IFERROR(IF(ISNUMBER(INDEX(cli_delay,MATCH(D38,cli_code,0))),INDEX(cli_delay,MATCH(D38,cli_code,0)),N(p_delay)),N(p_delay))))))</f>
        <v/>
      </c>
      <c r="Q38" s="65" t="str">
        <f>IF(A38="","",IF(AA38="Avoir",-1,1)*ROUND(AJ38-IF(AR38="",0,INDEX(fa_htb,AR38)),2))</f>
        <v/>
      </c>
      <c r="R38" s="65" t="str">
        <f>IF(A38="","",IF(AA38="Avoir",-1,1)*ROUND(AQ38-IF(AR38="",0,INDEX(fa_tvab,AR38)),2))</f>
        <v/>
      </c>
      <c r="S38" s="65" t="str">
        <f>IF(A38="","",Q38+R38)</f>
        <v/>
      </c>
      <c r="T38" s="65" t="str">
        <f>IF(AR38="","",INDEX(fa_htb,AR38)+INDEX(fa_tvab,AR38))</f>
        <v/>
      </c>
      <c r="U38" s="65" t="str">
        <f>IF(A38="","",SUMIF(pa_inv,A38,pa_amt))</f>
        <v/>
      </c>
      <c r="V38" s="65" t="str">
        <f>IF(OR(A38="",AA38="Avoir"),"",-SUMIFS(fa_ttc,fa_avof,A38,fa_type,"Avoir"))</f>
        <v/>
      </c>
      <c r="W38" s="65" t="str">
        <f>IF(OR(A38="",AA38="Avoir"),"",ROUND(S38-U38-V38,2))</f>
        <v/>
      </c>
      <c r="X38" s="66" t="str">
        <f>IF(W38="","",IF(AND(W38&gt;0,p_asof&gt;P38),p_asof-P38,""))</f>
        <v/>
      </c>
      <c r="Y38" s="59" t="str">
        <f>IF(A38="","",IF(AA38="Avoir","Avoir",IF(W38&lt;0,"Trop-perçu",IF(W38=0,"Soldée",IF(p_asof&gt;P38,"En retard",IF(U38+V38&gt;0,"Partielle","À échoir"))))))</f>
        <v/>
      </c>
      <c r="Z38" s="59" t="str">
        <f>IF(NOT(COUNTA(B38:D38,F38:O38)&gt;0),"",IF(C38="","Date manquante",IF(NOT(ISNUMBER(C38)),"Date invalide",IF(D38="","Client manquant",IF(ISNA(MATCH(D38,cli_code,0)),"Client inconnu",IF(AC38&lt;SUMPRODUCT(MAX(($AB$6:AB37=AB38)*$AC$6:AC37)),"Date antérieure à la facture précédente",IF(AND(F38&lt;&gt;"",ISNA(MATCH(F38,dv_num,0))),"Devis inconnu",IF(AND(F38&lt;&gt;"",IFERROR(INDEX(dv_client,MATCH(F38,dv_num,0)),D38)&lt;&gt;D38),"Client différent de celui du devis",IF(AG38="","Aucune ligne : saisissez des lignes ou un devis",IF(AND(AI38&lt;&gt;"",COUNTIF($AI$6:AI38,AI38)&gt;1),"Devis déjà repris par une autre facture",IF(AND(AA38="Avoir",M38=""),"Avoir : indiquez la facture d'origine",IF(AND(AA38="Avoir",ISNA(MATCH(M38,fa_num,0))),"Facture d'origine inconnue",IF(AND(AA38&lt;&gt;"Avoir",M38&lt;&gt;""),"« Avoir sur facture » : réservé aux avoirs",IF(AND(L38&lt;&gt;"",AA38&lt;&gt;"Facture"),"Acompte à déduire : réservé aux factures",IF(AND(L38&lt;&gt;"",ISNA(MATCH(L38,fa_num,0))),"Facture d'acompte inconnue",IF(AND(L38&lt;&gt;"",IFERROR(INDEX(fa_type,MATCH(L38,fa_num,0)),"")&lt;&gt;"Facture d'acompte"),"Le n° à déduire n'est pas une facture d'acompte",IF(AND(L38&lt;&gt;"",COUNTIF($L$6:L38,L38)&gt;1),"Acompte déjà déduit sur une autre facture",IF(AND(L38&lt;&gt;"",IFERROR(INDEX(fa_client,MATCH(L38,fa_num,0)),D38)&lt;&gt;D38),"Acompte d'un autre client",IF(AND(AR38&lt;&gt;"",N(Q38)&lt;0),"Acompte supérieur au total de la facture",IF(IF(AG38="Facture",COUNTIFS(fl_doc,A38,fl_check,"&lt;&gt;OK"),IF(AG38="Devis",COUNTIFS(dl_doc,F38,dl_check,"&lt;&gt;OK"),0))&gt;0,"Ligne(s) à corriger",IF(AND(W38&lt;&gt;"",N(W38)&lt;0),"Trop-perçu : vérifiez paiements et avoirs","OK")))))))))))))))))))))</f>
        <v/>
      </c>
      <c r="AA38" s="62" t="str">
        <f>IF(COUNTA(B38:D38,F38:O38)&gt;0,IF(B38="","Facture",B38),"")</f>
        <v/>
      </c>
      <c r="AB38" s="62" t="str">
        <f>IF(AA38="","",IF(AA38="Avoir",p_pav,IF(AA38="Facture d'acompte",p_pac,p_pfa)))</f>
        <v/>
      </c>
      <c r="AC38" s="62">
        <f>IF(ISNUMBER(C38),C38,0)</f>
        <v>0.0</v>
      </c>
      <c r="AD38" s="62" t="str">
        <f>IF(OR(AA38="",AC38=0),"",YEAR(AC38))</f>
        <v/>
      </c>
      <c r="AE38" s="62" t="str">
        <f>IF(AD38="","",COUNTIFS($AB$6:AB38,AB38,$AD$6:AD38,AD38))</f>
        <v/>
      </c>
      <c r="AF38" s="62">
        <f>IF(A38="",0,COUNTIF(fl_doc,A38))</f>
        <v>0.0</v>
      </c>
      <c r="AG38" s="62" t="str">
        <f>IF(A38="","",IF(AF38&gt;0,"Facture",IF(AND(F38&lt;&gt;"",AA38="Facture",ISNUMBER(MATCH(F38,dv_num,0))),"Devis","")))</f>
        <v/>
      </c>
      <c r="AH38" s="62" t="str">
        <f>IF(AND(A38&lt;&gt;"",F38&lt;&gt;"",AA38&lt;&gt;"Avoir"),F38,"")</f>
        <v/>
      </c>
      <c r="AI38" s="62" t="str">
        <f>IF(AG38="Devis",F38,"")</f>
        <v/>
      </c>
      <c r="AJ38" s="62">
        <f>IF(AG38="Facture",SUMIF(fl_doc,A38,fl_ht),IF(AG38="Devis",SUMIF(dl_doc,F38,dl_ht),0))</f>
        <v>0.0</v>
      </c>
      <c r="AK38" s="62">
        <f>IF(OR(AG38="",INDEX(p_rates,1)=""),0,IF(AG38="Facture",SUMIFS(fl_ht,fl_doc,A38,fl_rate,INDEX(p_rates,1)),SUMIFS(dl_ht,dl_doc,F38,dl_rate,INDEX(p_rates,1))))</f>
        <v>0.0</v>
      </c>
      <c r="AL38" s="62">
        <f>IF(OR(AG38="",INDEX(p_rates,2)=""),0,IF(AG38="Facture",SUMIFS(fl_ht,fl_doc,A38,fl_rate,INDEX(p_rates,2)),SUMIFS(dl_ht,dl_doc,F38,dl_rate,INDEX(p_rates,2))))</f>
        <v>0.0</v>
      </c>
      <c r="AM38" s="62">
        <f>IF(OR(AG38="",INDEX(p_rates,3)=""),0,IF(AG38="Facture",SUMIFS(fl_ht,fl_doc,A38,fl_rate,INDEX(p_rates,3)),SUMIFS(dl_ht,dl_doc,F38,dl_rate,INDEX(p_rates,3))))</f>
        <v>0.0</v>
      </c>
      <c r="AN38" s="62">
        <f>IF(OR(AG38="",INDEX(p_rates,4)=""),0,IF(AG38="Facture",SUMIFS(fl_ht,fl_doc,A38,fl_rate,INDEX(p_rates,4)),SUMIFS(dl_ht,dl_doc,F38,dl_rate,INDEX(p_rates,4))))</f>
        <v>0.0</v>
      </c>
      <c r="AO38" s="62">
        <f>IF(OR(AG38="",INDEX(p_rates,5)=""),0,IF(AG38="Facture",SUMIFS(fl_ht,fl_doc,A38,fl_rate,INDEX(p_rates,5)),SUMIFS(dl_ht,dl_doc,F38,dl_rate,INDEX(p_rates,5))))</f>
        <v>0.0</v>
      </c>
      <c r="AP38" s="62">
        <f>IF(OR(AG38="",INDEX(p_rates,6)=""),0,IF(AG38="Facture",SUMIFS(fl_ht,fl_doc,A38,fl_rate,INDEX(p_rates,6)),SUMIFS(dl_ht,dl_doc,F38,dl_rate,INDEX(p_rates,6))))</f>
        <v>0.0</v>
      </c>
      <c r="AQ38" s="62">
        <f>ROUND(AK38*N(INDEX(p_rates,1)),2)+ROUND(AL38*N(INDEX(p_rates,2)),2)+ROUND(AM38*N(INDEX(p_rates,3)),2)+ROUND(AN38*N(INDEX(p_rates,4)),2)+ROUND(AO38*N(INDEX(p_rates,5)),2)+ROUND(AP38*N(INDEX(p_rates,6)),2)</f>
        <v>0.0</v>
      </c>
      <c r="AR38" s="62" t="str">
        <f>IF(OR(L38="",AA38&lt;&gt;"Facture"),"",IFERROR(IF(INDEX(fa_type,MATCH(L38,fa_num,0))="Facture d'acompte",MATCH(L38,fa_num,0),""),""))</f>
        <v/>
      </c>
      <c r="AS38" s="62" t="str">
        <f>IF(W38="","",IF(W38&lt;=0,"",IF(p_asof-P38&lt;=0,"Non échu",IF(p_asof-P38&lt;=30,"1-30 j",IF(p_asof-P38&lt;=60,"31-60 j",IF(p_asof-P38&lt;=90,"61-90 j","Plus de 90 j"))))))</f>
        <v/>
      </c>
      <c r="AT38" s="62" t="str">
        <f>IF(AS38="","",p_asof-P38)</f>
        <v/>
      </c>
      <c r="AU38" s="62" t="str">
        <f>IF(AT38="","",COUNTIF($AT$6:$AT$805,"&gt;"&amp;AT38)+COUNTIF($AT$6:AT38,AT38))</f>
        <v/>
      </c>
    </row>
    <row r="39">
      <c r="A39" s="59" t="str">
        <f>IF(AE39="","",AB39&amp;"-"&amp;AD39&amp;"-"&amp;RIGHT("000"&amp;AE39,4))</f>
        <v/>
      </c>
      <c r="B39" s="60" t="n"/>
      <c r="C39" s="61" t="n"/>
      <c r="D39" s="60" t="n"/>
      <c r="E39" s="62" t="str">
        <f>IF(D39="","",IFERROR(INDEX(cli_name,MATCH(D39,cli_code,0))&amp;"","Client inconnu"))</f>
        <v/>
      </c>
      <c r="F39" s="60" t="n"/>
      <c r="G39" s="63" t="n"/>
      <c r="H39" s="61" t="n"/>
      <c r="I39" s="63" t="n"/>
      <c r="J39" s="60" t="n"/>
      <c r="K39" s="61" t="n"/>
      <c r="L39" s="60" t="n"/>
      <c r="M39" s="60" t="n"/>
      <c r="N39" s="60" t="n"/>
      <c r="O39" s="61" t="n"/>
      <c r="P39" s="64" t="str">
        <f>IF(A39="","",IF(AA39="Avoir",AC39,IF(ISNUMBER(K39),K39,AC39+IF(D39="",N(p_delay),IFERROR(IF(ISNUMBER(INDEX(cli_delay,MATCH(D39,cli_code,0))),INDEX(cli_delay,MATCH(D39,cli_code,0)),N(p_delay)),N(p_delay))))))</f>
        <v/>
      </c>
      <c r="Q39" s="65" t="str">
        <f>IF(A39="","",IF(AA39="Avoir",-1,1)*ROUND(AJ39-IF(AR39="",0,INDEX(fa_htb,AR39)),2))</f>
        <v/>
      </c>
      <c r="R39" s="65" t="str">
        <f>IF(A39="","",IF(AA39="Avoir",-1,1)*ROUND(AQ39-IF(AR39="",0,INDEX(fa_tvab,AR39)),2))</f>
        <v/>
      </c>
      <c r="S39" s="65" t="str">
        <f>IF(A39="","",Q39+R39)</f>
        <v/>
      </c>
      <c r="T39" s="65" t="str">
        <f>IF(AR39="","",INDEX(fa_htb,AR39)+INDEX(fa_tvab,AR39))</f>
        <v/>
      </c>
      <c r="U39" s="65" t="str">
        <f>IF(A39="","",SUMIF(pa_inv,A39,pa_amt))</f>
        <v/>
      </c>
      <c r="V39" s="65" t="str">
        <f>IF(OR(A39="",AA39="Avoir"),"",-SUMIFS(fa_ttc,fa_avof,A39,fa_type,"Avoir"))</f>
        <v/>
      </c>
      <c r="W39" s="65" t="str">
        <f>IF(OR(A39="",AA39="Avoir"),"",ROUND(S39-U39-V39,2))</f>
        <v/>
      </c>
      <c r="X39" s="66" t="str">
        <f>IF(W39="","",IF(AND(W39&gt;0,p_asof&gt;P39),p_asof-P39,""))</f>
        <v/>
      </c>
      <c r="Y39" s="59" t="str">
        <f>IF(A39="","",IF(AA39="Avoir","Avoir",IF(W39&lt;0,"Trop-perçu",IF(W39=0,"Soldée",IF(p_asof&gt;P39,"En retard",IF(U39+V39&gt;0,"Partielle","À échoir"))))))</f>
        <v/>
      </c>
      <c r="Z39" s="59" t="str">
        <f>IF(NOT(COUNTA(B39:D39,F39:O39)&gt;0),"",IF(C39="","Date manquante",IF(NOT(ISNUMBER(C39)),"Date invalide",IF(D39="","Client manquant",IF(ISNA(MATCH(D39,cli_code,0)),"Client inconnu",IF(AC39&lt;SUMPRODUCT(MAX(($AB$6:AB38=AB39)*$AC$6:AC38)),"Date antérieure à la facture précédente",IF(AND(F39&lt;&gt;"",ISNA(MATCH(F39,dv_num,0))),"Devis inconnu",IF(AND(F39&lt;&gt;"",IFERROR(INDEX(dv_client,MATCH(F39,dv_num,0)),D39)&lt;&gt;D39),"Client différent de celui du devis",IF(AG39="","Aucune ligne : saisissez des lignes ou un devis",IF(AND(AI39&lt;&gt;"",COUNTIF($AI$6:AI39,AI39)&gt;1),"Devis déjà repris par une autre facture",IF(AND(AA39="Avoir",M39=""),"Avoir : indiquez la facture d'origine",IF(AND(AA39="Avoir",ISNA(MATCH(M39,fa_num,0))),"Facture d'origine inconnue",IF(AND(AA39&lt;&gt;"Avoir",M39&lt;&gt;""),"« Avoir sur facture » : réservé aux avoirs",IF(AND(L39&lt;&gt;"",AA39&lt;&gt;"Facture"),"Acompte à déduire : réservé aux factures",IF(AND(L39&lt;&gt;"",ISNA(MATCH(L39,fa_num,0))),"Facture d'acompte inconnue",IF(AND(L39&lt;&gt;"",IFERROR(INDEX(fa_type,MATCH(L39,fa_num,0)),"")&lt;&gt;"Facture d'acompte"),"Le n° à déduire n'est pas une facture d'acompte",IF(AND(L39&lt;&gt;"",COUNTIF($L$6:L39,L39)&gt;1),"Acompte déjà déduit sur une autre facture",IF(AND(L39&lt;&gt;"",IFERROR(INDEX(fa_client,MATCH(L39,fa_num,0)),D39)&lt;&gt;D39),"Acompte d'un autre client",IF(AND(AR39&lt;&gt;"",N(Q39)&lt;0),"Acompte supérieur au total de la facture",IF(IF(AG39="Facture",COUNTIFS(fl_doc,A39,fl_check,"&lt;&gt;OK"),IF(AG39="Devis",COUNTIFS(dl_doc,F39,dl_check,"&lt;&gt;OK"),0))&gt;0,"Ligne(s) à corriger",IF(AND(W39&lt;&gt;"",N(W39)&lt;0),"Trop-perçu : vérifiez paiements et avoirs","OK")))))))))))))))))))))</f>
        <v/>
      </c>
      <c r="AA39" s="62" t="str">
        <f>IF(COUNTA(B39:D39,F39:O39)&gt;0,IF(B39="","Facture",B39),"")</f>
        <v/>
      </c>
      <c r="AB39" s="62" t="str">
        <f>IF(AA39="","",IF(AA39="Avoir",p_pav,IF(AA39="Facture d'acompte",p_pac,p_pfa)))</f>
        <v/>
      </c>
      <c r="AC39" s="62">
        <f>IF(ISNUMBER(C39),C39,0)</f>
        <v>0.0</v>
      </c>
      <c r="AD39" s="62" t="str">
        <f>IF(OR(AA39="",AC39=0),"",YEAR(AC39))</f>
        <v/>
      </c>
      <c r="AE39" s="62" t="str">
        <f>IF(AD39="","",COUNTIFS($AB$6:AB39,AB39,$AD$6:AD39,AD39))</f>
        <v/>
      </c>
      <c r="AF39" s="62">
        <f>IF(A39="",0,COUNTIF(fl_doc,A39))</f>
        <v>0.0</v>
      </c>
      <c r="AG39" s="62" t="str">
        <f>IF(A39="","",IF(AF39&gt;0,"Facture",IF(AND(F39&lt;&gt;"",AA39="Facture",ISNUMBER(MATCH(F39,dv_num,0))),"Devis","")))</f>
        <v/>
      </c>
      <c r="AH39" s="62" t="str">
        <f>IF(AND(A39&lt;&gt;"",F39&lt;&gt;"",AA39&lt;&gt;"Avoir"),F39,"")</f>
        <v/>
      </c>
      <c r="AI39" s="62" t="str">
        <f>IF(AG39="Devis",F39,"")</f>
        <v/>
      </c>
      <c r="AJ39" s="62">
        <f>IF(AG39="Facture",SUMIF(fl_doc,A39,fl_ht),IF(AG39="Devis",SUMIF(dl_doc,F39,dl_ht),0))</f>
        <v>0.0</v>
      </c>
      <c r="AK39" s="62">
        <f>IF(OR(AG39="",INDEX(p_rates,1)=""),0,IF(AG39="Facture",SUMIFS(fl_ht,fl_doc,A39,fl_rate,INDEX(p_rates,1)),SUMIFS(dl_ht,dl_doc,F39,dl_rate,INDEX(p_rates,1))))</f>
        <v>0.0</v>
      </c>
      <c r="AL39" s="62">
        <f>IF(OR(AG39="",INDEX(p_rates,2)=""),0,IF(AG39="Facture",SUMIFS(fl_ht,fl_doc,A39,fl_rate,INDEX(p_rates,2)),SUMIFS(dl_ht,dl_doc,F39,dl_rate,INDEX(p_rates,2))))</f>
        <v>0.0</v>
      </c>
      <c r="AM39" s="62">
        <f>IF(OR(AG39="",INDEX(p_rates,3)=""),0,IF(AG39="Facture",SUMIFS(fl_ht,fl_doc,A39,fl_rate,INDEX(p_rates,3)),SUMIFS(dl_ht,dl_doc,F39,dl_rate,INDEX(p_rates,3))))</f>
        <v>0.0</v>
      </c>
      <c r="AN39" s="62">
        <f>IF(OR(AG39="",INDEX(p_rates,4)=""),0,IF(AG39="Facture",SUMIFS(fl_ht,fl_doc,A39,fl_rate,INDEX(p_rates,4)),SUMIFS(dl_ht,dl_doc,F39,dl_rate,INDEX(p_rates,4))))</f>
        <v>0.0</v>
      </c>
      <c r="AO39" s="62">
        <f>IF(OR(AG39="",INDEX(p_rates,5)=""),0,IF(AG39="Facture",SUMIFS(fl_ht,fl_doc,A39,fl_rate,INDEX(p_rates,5)),SUMIFS(dl_ht,dl_doc,F39,dl_rate,INDEX(p_rates,5))))</f>
        <v>0.0</v>
      </c>
      <c r="AP39" s="62">
        <f>IF(OR(AG39="",INDEX(p_rates,6)=""),0,IF(AG39="Facture",SUMIFS(fl_ht,fl_doc,A39,fl_rate,INDEX(p_rates,6)),SUMIFS(dl_ht,dl_doc,F39,dl_rate,INDEX(p_rates,6))))</f>
        <v>0.0</v>
      </c>
      <c r="AQ39" s="62">
        <f>ROUND(AK39*N(INDEX(p_rates,1)),2)+ROUND(AL39*N(INDEX(p_rates,2)),2)+ROUND(AM39*N(INDEX(p_rates,3)),2)+ROUND(AN39*N(INDEX(p_rates,4)),2)+ROUND(AO39*N(INDEX(p_rates,5)),2)+ROUND(AP39*N(INDEX(p_rates,6)),2)</f>
        <v>0.0</v>
      </c>
      <c r="AR39" s="62" t="str">
        <f>IF(OR(L39="",AA39&lt;&gt;"Facture"),"",IFERROR(IF(INDEX(fa_type,MATCH(L39,fa_num,0))="Facture d'acompte",MATCH(L39,fa_num,0),""),""))</f>
        <v/>
      </c>
      <c r="AS39" s="62" t="str">
        <f>IF(W39="","",IF(W39&lt;=0,"",IF(p_asof-P39&lt;=0,"Non échu",IF(p_asof-P39&lt;=30,"1-30 j",IF(p_asof-P39&lt;=60,"31-60 j",IF(p_asof-P39&lt;=90,"61-90 j","Plus de 90 j"))))))</f>
        <v/>
      </c>
      <c r="AT39" s="62" t="str">
        <f>IF(AS39="","",p_asof-P39)</f>
        <v/>
      </c>
      <c r="AU39" s="62" t="str">
        <f>IF(AT39="","",COUNTIF($AT$6:$AT$805,"&gt;"&amp;AT39)+COUNTIF($AT$6:AT39,AT39))</f>
        <v/>
      </c>
    </row>
    <row r="40">
      <c r="A40" s="59" t="str">
        <f>IF(AE40="","",AB40&amp;"-"&amp;AD40&amp;"-"&amp;RIGHT("000"&amp;AE40,4))</f>
        <v/>
      </c>
      <c r="B40" s="60" t="n"/>
      <c r="C40" s="61" t="n"/>
      <c r="D40" s="60" t="n"/>
      <c r="E40" s="62" t="str">
        <f>IF(D40="","",IFERROR(INDEX(cli_name,MATCH(D40,cli_code,0))&amp;"","Client inconnu"))</f>
        <v/>
      </c>
      <c r="F40" s="60" t="n"/>
      <c r="G40" s="63" t="n"/>
      <c r="H40" s="61" t="n"/>
      <c r="I40" s="63" t="n"/>
      <c r="J40" s="60" t="n"/>
      <c r="K40" s="61" t="n"/>
      <c r="L40" s="60" t="n"/>
      <c r="M40" s="60" t="n"/>
      <c r="N40" s="60" t="n"/>
      <c r="O40" s="61" t="n"/>
      <c r="P40" s="64" t="str">
        <f>IF(A40="","",IF(AA40="Avoir",AC40,IF(ISNUMBER(K40),K40,AC40+IF(D40="",N(p_delay),IFERROR(IF(ISNUMBER(INDEX(cli_delay,MATCH(D40,cli_code,0))),INDEX(cli_delay,MATCH(D40,cli_code,0)),N(p_delay)),N(p_delay))))))</f>
        <v/>
      </c>
      <c r="Q40" s="65" t="str">
        <f>IF(A40="","",IF(AA40="Avoir",-1,1)*ROUND(AJ40-IF(AR40="",0,INDEX(fa_htb,AR40)),2))</f>
        <v/>
      </c>
      <c r="R40" s="65" t="str">
        <f>IF(A40="","",IF(AA40="Avoir",-1,1)*ROUND(AQ40-IF(AR40="",0,INDEX(fa_tvab,AR40)),2))</f>
        <v/>
      </c>
      <c r="S40" s="65" t="str">
        <f>IF(A40="","",Q40+R40)</f>
        <v/>
      </c>
      <c r="T40" s="65" t="str">
        <f>IF(AR40="","",INDEX(fa_htb,AR40)+INDEX(fa_tvab,AR40))</f>
        <v/>
      </c>
      <c r="U40" s="65" t="str">
        <f>IF(A40="","",SUMIF(pa_inv,A40,pa_amt))</f>
        <v/>
      </c>
      <c r="V40" s="65" t="str">
        <f>IF(OR(A40="",AA40="Avoir"),"",-SUMIFS(fa_ttc,fa_avof,A40,fa_type,"Avoir"))</f>
        <v/>
      </c>
      <c r="W40" s="65" t="str">
        <f>IF(OR(A40="",AA40="Avoir"),"",ROUND(S40-U40-V40,2))</f>
        <v/>
      </c>
      <c r="X40" s="66" t="str">
        <f>IF(W40="","",IF(AND(W40&gt;0,p_asof&gt;P40),p_asof-P40,""))</f>
        <v/>
      </c>
      <c r="Y40" s="59" t="str">
        <f>IF(A40="","",IF(AA40="Avoir","Avoir",IF(W40&lt;0,"Trop-perçu",IF(W40=0,"Soldée",IF(p_asof&gt;P40,"En retard",IF(U40+V40&gt;0,"Partielle","À échoir"))))))</f>
        <v/>
      </c>
      <c r="Z40" s="59" t="str">
        <f>IF(NOT(COUNTA(B40:D40,F40:O40)&gt;0),"",IF(C40="","Date manquante",IF(NOT(ISNUMBER(C40)),"Date invalide",IF(D40="","Client manquant",IF(ISNA(MATCH(D40,cli_code,0)),"Client inconnu",IF(AC40&lt;SUMPRODUCT(MAX(($AB$6:AB39=AB40)*$AC$6:AC39)),"Date antérieure à la facture précédente",IF(AND(F40&lt;&gt;"",ISNA(MATCH(F40,dv_num,0))),"Devis inconnu",IF(AND(F40&lt;&gt;"",IFERROR(INDEX(dv_client,MATCH(F40,dv_num,0)),D40)&lt;&gt;D40),"Client différent de celui du devis",IF(AG40="","Aucune ligne : saisissez des lignes ou un devis",IF(AND(AI40&lt;&gt;"",COUNTIF($AI$6:AI40,AI40)&gt;1),"Devis déjà repris par une autre facture",IF(AND(AA40="Avoir",M40=""),"Avoir : indiquez la facture d'origine",IF(AND(AA40="Avoir",ISNA(MATCH(M40,fa_num,0))),"Facture d'origine inconnue",IF(AND(AA40&lt;&gt;"Avoir",M40&lt;&gt;""),"« Avoir sur facture » : réservé aux avoirs",IF(AND(L40&lt;&gt;"",AA40&lt;&gt;"Facture"),"Acompte à déduire : réservé aux factures",IF(AND(L40&lt;&gt;"",ISNA(MATCH(L40,fa_num,0))),"Facture d'acompte inconnue",IF(AND(L40&lt;&gt;"",IFERROR(INDEX(fa_type,MATCH(L40,fa_num,0)),"")&lt;&gt;"Facture d'acompte"),"Le n° à déduire n'est pas une facture d'acompte",IF(AND(L40&lt;&gt;"",COUNTIF($L$6:L40,L40)&gt;1),"Acompte déjà déduit sur une autre facture",IF(AND(L40&lt;&gt;"",IFERROR(INDEX(fa_client,MATCH(L40,fa_num,0)),D40)&lt;&gt;D40),"Acompte d'un autre client",IF(AND(AR40&lt;&gt;"",N(Q40)&lt;0),"Acompte supérieur au total de la facture",IF(IF(AG40="Facture",COUNTIFS(fl_doc,A40,fl_check,"&lt;&gt;OK"),IF(AG40="Devis",COUNTIFS(dl_doc,F40,dl_check,"&lt;&gt;OK"),0))&gt;0,"Ligne(s) à corriger",IF(AND(W40&lt;&gt;"",N(W40)&lt;0),"Trop-perçu : vérifiez paiements et avoirs","OK")))))))))))))))))))))</f>
        <v/>
      </c>
      <c r="AA40" s="62" t="str">
        <f>IF(COUNTA(B40:D40,F40:O40)&gt;0,IF(B40="","Facture",B40),"")</f>
        <v/>
      </c>
      <c r="AB40" s="62" t="str">
        <f>IF(AA40="","",IF(AA40="Avoir",p_pav,IF(AA40="Facture d'acompte",p_pac,p_pfa)))</f>
        <v/>
      </c>
      <c r="AC40" s="62">
        <f>IF(ISNUMBER(C40),C40,0)</f>
        <v>0.0</v>
      </c>
      <c r="AD40" s="62" t="str">
        <f>IF(OR(AA40="",AC40=0),"",YEAR(AC40))</f>
        <v/>
      </c>
      <c r="AE40" s="62" t="str">
        <f>IF(AD40="","",COUNTIFS($AB$6:AB40,AB40,$AD$6:AD40,AD40))</f>
        <v/>
      </c>
      <c r="AF40" s="62">
        <f>IF(A40="",0,COUNTIF(fl_doc,A40))</f>
        <v>0.0</v>
      </c>
      <c r="AG40" s="62" t="str">
        <f>IF(A40="","",IF(AF40&gt;0,"Facture",IF(AND(F40&lt;&gt;"",AA40="Facture",ISNUMBER(MATCH(F40,dv_num,0))),"Devis","")))</f>
        <v/>
      </c>
      <c r="AH40" s="62" t="str">
        <f>IF(AND(A40&lt;&gt;"",F40&lt;&gt;"",AA40&lt;&gt;"Avoir"),F40,"")</f>
        <v/>
      </c>
      <c r="AI40" s="62" t="str">
        <f>IF(AG40="Devis",F40,"")</f>
        <v/>
      </c>
      <c r="AJ40" s="62">
        <f>IF(AG40="Facture",SUMIF(fl_doc,A40,fl_ht),IF(AG40="Devis",SUMIF(dl_doc,F40,dl_ht),0))</f>
        <v>0.0</v>
      </c>
      <c r="AK40" s="62">
        <f>IF(OR(AG40="",INDEX(p_rates,1)=""),0,IF(AG40="Facture",SUMIFS(fl_ht,fl_doc,A40,fl_rate,INDEX(p_rates,1)),SUMIFS(dl_ht,dl_doc,F40,dl_rate,INDEX(p_rates,1))))</f>
        <v>0.0</v>
      </c>
      <c r="AL40" s="62">
        <f>IF(OR(AG40="",INDEX(p_rates,2)=""),0,IF(AG40="Facture",SUMIFS(fl_ht,fl_doc,A40,fl_rate,INDEX(p_rates,2)),SUMIFS(dl_ht,dl_doc,F40,dl_rate,INDEX(p_rates,2))))</f>
        <v>0.0</v>
      </c>
      <c r="AM40" s="62">
        <f>IF(OR(AG40="",INDEX(p_rates,3)=""),0,IF(AG40="Facture",SUMIFS(fl_ht,fl_doc,A40,fl_rate,INDEX(p_rates,3)),SUMIFS(dl_ht,dl_doc,F40,dl_rate,INDEX(p_rates,3))))</f>
        <v>0.0</v>
      </c>
      <c r="AN40" s="62">
        <f>IF(OR(AG40="",INDEX(p_rates,4)=""),0,IF(AG40="Facture",SUMIFS(fl_ht,fl_doc,A40,fl_rate,INDEX(p_rates,4)),SUMIFS(dl_ht,dl_doc,F40,dl_rate,INDEX(p_rates,4))))</f>
        <v>0.0</v>
      </c>
      <c r="AO40" s="62">
        <f>IF(OR(AG40="",INDEX(p_rates,5)=""),0,IF(AG40="Facture",SUMIFS(fl_ht,fl_doc,A40,fl_rate,INDEX(p_rates,5)),SUMIFS(dl_ht,dl_doc,F40,dl_rate,INDEX(p_rates,5))))</f>
        <v>0.0</v>
      </c>
      <c r="AP40" s="62">
        <f>IF(OR(AG40="",INDEX(p_rates,6)=""),0,IF(AG40="Facture",SUMIFS(fl_ht,fl_doc,A40,fl_rate,INDEX(p_rates,6)),SUMIFS(dl_ht,dl_doc,F40,dl_rate,INDEX(p_rates,6))))</f>
        <v>0.0</v>
      </c>
      <c r="AQ40" s="62">
        <f>ROUND(AK40*N(INDEX(p_rates,1)),2)+ROUND(AL40*N(INDEX(p_rates,2)),2)+ROUND(AM40*N(INDEX(p_rates,3)),2)+ROUND(AN40*N(INDEX(p_rates,4)),2)+ROUND(AO40*N(INDEX(p_rates,5)),2)+ROUND(AP40*N(INDEX(p_rates,6)),2)</f>
        <v>0.0</v>
      </c>
      <c r="AR40" s="62" t="str">
        <f>IF(OR(L40="",AA40&lt;&gt;"Facture"),"",IFERROR(IF(INDEX(fa_type,MATCH(L40,fa_num,0))="Facture d'acompte",MATCH(L40,fa_num,0),""),""))</f>
        <v/>
      </c>
      <c r="AS40" s="62" t="str">
        <f>IF(W40="","",IF(W40&lt;=0,"",IF(p_asof-P40&lt;=0,"Non échu",IF(p_asof-P40&lt;=30,"1-30 j",IF(p_asof-P40&lt;=60,"31-60 j",IF(p_asof-P40&lt;=90,"61-90 j","Plus de 90 j"))))))</f>
        <v/>
      </c>
      <c r="AT40" s="62" t="str">
        <f>IF(AS40="","",p_asof-P40)</f>
        <v/>
      </c>
      <c r="AU40" s="62" t="str">
        <f>IF(AT40="","",COUNTIF($AT$6:$AT$805,"&gt;"&amp;AT40)+COUNTIF($AT$6:AT40,AT40))</f>
        <v/>
      </c>
    </row>
    <row r="41">
      <c r="A41" s="59" t="str">
        <f>IF(AE41="","",AB41&amp;"-"&amp;AD41&amp;"-"&amp;RIGHT("000"&amp;AE41,4))</f>
        <v/>
      </c>
      <c r="B41" s="60" t="n"/>
      <c r="C41" s="61" t="n"/>
      <c r="D41" s="60" t="n"/>
      <c r="E41" s="62" t="str">
        <f>IF(D41="","",IFERROR(INDEX(cli_name,MATCH(D41,cli_code,0))&amp;"","Client inconnu"))</f>
        <v/>
      </c>
      <c r="F41" s="60" t="n"/>
      <c r="G41" s="63" t="n"/>
      <c r="H41" s="61" t="n"/>
      <c r="I41" s="63" t="n"/>
      <c r="J41" s="60" t="n"/>
      <c r="K41" s="61" t="n"/>
      <c r="L41" s="60" t="n"/>
      <c r="M41" s="60" t="n"/>
      <c r="N41" s="60" t="n"/>
      <c r="O41" s="61" t="n"/>
      <c r="P41" s="64" t="str">
        <f>IF(A41="","",IF(AA41="Avoir",AC41,IF(ISNUMBER(K41),K41,AC41+IF(D41="",N(p_delay),IFERROR(IF(ISNUMBER(INDEX(cli_delay,MATCH(D41,cli_code,0))),INDEX(cli_delay,MATCH(D41,cli_code,0)),N(p_delay)),N(p_delay))))))</f>
        <v/>
      </c>
      <c r="Q41" s="65" t="str">
        <f>IF(A41="","",IF(AA41="Avoir",-1,1)*ROUND(AJ41-IF(AR41="",0,INDEX(fa_htb,AR41)),2))</f>
        <v/>
      </c>
      <c r="R41" s="65" t="str">
        <f>IF(A41="","",IF(AA41="Avoir",-1,1)*ROUND(AQ41-IF(AR41="",0,INDEX(fa_tvab,AR41)),2))</f>
        <v/>
      </c>
      <c r="S41" s="65" t="str">
        <f>IF(A41="","",Q41+R41)</f>
        <v/>
      </c>
      <c r="T41" s="65" t="str">
        <f>IF(AR41="","",INDEX(fa_htb,AR41)+INDEX(fa_tvab,AR41))</f>
        <v/>
      </c>
      <c r="U41" s="65" t="str">
        <f>IF(A41="","",SUMIF(pa_inv,A41,pa_amt))</f>
        <v/>
      </c>
      <c r="V41" s="65" t="str">
        <f>IF(OR(A41="",AA41="Avoir"),"",-SUMIFS(fa_ttc,fa_avof,A41,fa_type,"Avoir"))</f>
        <v/>
      </c>
      <c r="W41" s="65" t="str">
        <f>IF(OR(A41="",AA41="Avoir"),"",ROUND(S41-U41-V41,2))</f>
        <v/>
      </c>
      <c r="X41" s="66" t="str">
        <f>IF(W41="","",IF(AND(W41&gt;0,p_asof&gt;P41),p_asof-P41,""))</f>
        <v/>
      </c>
      <c r="Y41" s="59" t="str">
        <f>IF(A41="","",IF(AA41="Avoir","Avoir",IF(W41&lt;0,"Trop-perçu",IF(W41=0,"Soldée",IF(p_asof&gt;P41,"En retard",IF(U41+V41&gt;0,"Partielle","À échoir"))))))</f>
        <v/>
      </c>
      <c r="Z41" s="59" t="str">
        <f>IF(NOT(COUNTA(B41:D41,F41:O41)&gt;0),"",IF(C41="","Date manquante",IF(NOT(ISNUMBER(C41)),"Date invalide",IF(D41="","Client manquant",IF(ISNA(MATCH(D41,cli_code,0)),"Client inconnu",IF(AC41&lt;SUMPRODUCT(MAX(($AB$6:AB40=AB41)*$AC$6:AC40)),"Date antérieure à la facture précédente",IF(AND(F41&lt;&gt;"",ISNA(MATCH(F41,dv_num,0))),"Devis inconnu",IF(AND(F41&lt;&gt;"",IFERROR(INDEX(dv_client,MATCH(F41,dv_num,0)),D41)&lt;&gt;D41),"Client différent de celui du devis",IF(AG41="","Aucune ligne : saisissez des lignes ou un devis",IF(AND(AI41&lt;&gt;"",COUNTIF($AI$6:AI41,AI41)&gt;1),"Devis déjà repris par une autre facture",IF(AND(AA41="Avoir",M41=""),"Avoir : indiquez la facture d'origine",IF(AND(AA41="Avoir",ISNA(MATCH(M41,fa_num,0))),"Facture d'origine inconnue",IF(AND(AA41&lt;&gt;"Avoir",M41&lt;&gt;""),"« Avoir sur facture » : réservé aux avoirs",IF(AND(L41&lt;&gt;"",AA41&lt;&gt;"Facture"),"Acompte à déduire : réservé aux factures",IF(AND(L41&lt;&gt;"",ISNA(MATCH(L41,fa_num,0))),"Facture d'acompte inconnue",IF(AND(L41&lt;&gt;"",IFERROR(INDEX(fa_type,MATCH(L41,fa_num,0)),"")&lt;&gt;"Facture d'acompte"),"Le n° à déduire n'est pas une facture d'acompte",IF(AND(L41&lt;&gt;"",COUNTIF($L$6:L41,L41)&gt;1),"Acompte déjà déduit sur une autre facture",IF(AND(L41&lt;&gt;"",IFERROR(INDEX(fa_client,MATCH(L41,fa_num,0)),D41)&lt;&gt;D41),"Acompte d'un autre client",IF(AND(AR41&lt;&gt;"",N(Q41)&lt;0),"Acompte supérieur au total de la facture",IF(IF(AG41="Facture",COUNTIFS(fl_doc,A41,fl_check,"&lt;&gt;OK"),IF(AG41="Devis",COUNTIFS(dl_doc,F41,dl_check,"&lt;&gt;OK"),0))&gt;0,"Ligne(s) à corriger",IF(AND(W41&lt;&gt;"",N(W41)&lt;0),"Trop-perçu : vérifiez paiements et avoirs","OK")))))))))))))))))))))</f>
        <v/>
      </c>
      <c r="AA41" s="62" t="str">
        <f>IF(COUNTA(B41:D41,F41:O41)&gt;0,IF(B41="","Facture",B41),"")</f>
        <v/>
      </c>
      <c r="AB41" s="62" t="str">
        <f>IF(AA41="","",IF(AA41="Avoir",p_pav,IF(AA41="Facture d'acompte",p_pac,p_pfa)))</f>
        <v/>
      </c>
      <c r="AC41" s="62">
        <f>IF(ISNUMBER(C41),C41,0)</f>
        <v>0.0</v>
      </c>
      <c r="AD41" s="62" t="str">
        <f>IF(OR(AA41="",AC41=0),"",YEAR(AC41))</f>
        <v/>
      </c>
      <c r="AE41" s="62" t="str">
        <f>IF(AD41="","",COUNTIFS($AB$6:AB41,AB41,$AD$6:AD41,AD41))</f>
        <v/>
      </c>
      <c r="AF41" s="62">
        <f>IF(A41="",0,COUNTIF(fl_doc,A41))</f>
        <v>0.0</v>
      </c>
      <c r="AG41" s="62" t="str">
        <f>IF(A41="","",IF(AF41&gt;0,"Facture",IF(AND(F41&lt;&gt;"",AA41="Facture",ISNUMBER(MATCH(F41,dv_num,0))),"Devis","")))</f>
        <v/>
      </c>
      <c r="AH41" s="62" t="str">
        <f>IF(AND(A41&lt;&gt;"",F41&lt;&gt;"",AA41&lt;&gt;"Avoir"),F41,"")</f>
        <v/>
      </c>
      <c r="AI41" s="62" t="str">
        <f>IF(AG41="Devis",F41,"")</f>
        <v/>
      </c>
      <c r="AJ41" s="62">
        <f>IF(AG41="Facture",SUMIF(fl_doc,A41,fl_ht),IF(AG41="Devis",SUMIF(dl_doc,F41,dl_ht),0))</f>
        <v>0.0</v>
      </c>
      <c r="AK41" s="62">
        <f>IF(OR(AG41="",INDEX(p_rates,1)=""),0,IF(AG41="Facture",SUMIFS(fl_ht,fl_doc,A41,fl_rate,INDEX(p_rates,1)),SUMIFS(dl_ht,dl_doc,F41,dl_rate,INDEX(p_rates,1))))</f>
        <v>0.0</v>
      </c>
      <c r="AL41" s="62">
        <f>IF(OR(AG41="",INDEX(p_rates,2)=""),0,IF(AG41="Facture",SUMIFS(fl_ht,fl_doc,A41,fl_rate,INDEX(p_rates,2)),SUMIFS(dl_ht,dl_doc,F41,dl_rate,INDEX(p_rates,2))))</f>
        <v>0.0</v>
      </c>
      <c r="AM41" s="62">
        <f>IF(OR(AG41="",INDEX(p_rates,3)=""),0,IF(AG41="Facture",SUMIFS(fl_ht,fl_doc,A41,fl_rate,INDEX(p_rates,3)),SUMIFS(dl_ht,dl_doc,F41,dl_rate,INDEX(p_rates,3))))</f>
        <v>0.0</v>
      </c>
      <c r="AN41" s="62">
        <f>IF(OR(AG41="",INDEX(p_rates,4)=""),0,IF(AG41="Facture",SUMIFS(fl_ht,fl_doc,A41,fl_rate,INDEX(p_rates,4)),SUMIFS(dl_ht,dl_doc,F41,dl_rate,INDEX(p_rates,4))))</f>
        <v>0.0</v>
      </c>
      <c r="AO41" s="62">
        <f>IF(OR(AG41="",INDEX(p_rates,5)=""),0,IF(AG41="Facture",SUMIFS(fl_ht,fl_doc,A41,fl_rate,INDEX(p_rates,5)),SUMIFS(dl_ht,dl_doc,F41,dl_rate,INDEX(p_rates,5))))</f>
        <v>0.0</v>
      </c>
      <c r="AP41" s="62">
        <f>IF(OR(AG41="",INDEX(p_rates,6)=""),0,IF(AG41="Facture",SUMIFS(fl_ht,fl_doc,A41,fl_rate,INDEX(p_rates,6)),SUMIFS(dl_ht,dl_doc,F41,dl_rate,INDEX(p_rates,6))))</f>
        <v>0.0</v>
      </c>
      <c r="AQ41" s="62">
        <f>ROUND(AK41*N(INDEX(p_rates,1)),2)+ROUND(AL41*N(INDEX(p_rates,2)),2)+ROUND(AM41*N(INDEX(p_rates,3)),2)+ROUND(AN41*N(INDEX(p_rates,4)),2)+ROUND(AO41*N(INDEX(p_rates,5)),2)+ROUND(AP41*N(INDEX(p_rates,6)),2)</f>
        <v>0.0</v>
      </c>
      <c r="AR41" s="62" t="str">
        <f>IF(OR(L41="",AA41&lt;&gt;"Facture"),"",IFERROR(IF(INDEX(fa_type,MATCH(L41,fa_num,0))="Facture d'acompte",MATCH(L41,fa_num,0),""),""))</f>
        <v/>
      </c>
      <c r="AS41" s="62" t="str">
        <f>IF(W41="","",IF(W41&lt;=0,"",IF(p_asof-P41&lt;=0,"Non échu",IF(p_asof-P41&lt;=30,"1-30 j",IF(p_asof-P41&lt;=60,"31-60 j",IF(p_asof-P41&lt;=90,"61-90 j","Plus de 90 j"))))))</f>
        <v/>
      </c>
      <c r="AT41" s="62" t="str">
        <f>IF(AS41="","",p_asof-P41)</f>
        <v/>
      </c>
      <c r="AU41" s="62" t="str">
        <f>IF(AT41="","",COUNTIF($AT$6:$AT$805,"&gt;"&amp;AT41)+COUNTIF($AT$6:AT41,AT41))</f>
        <v/>
      </c>
    </row>
    <row r="42">
      <c r="A42" s="59" t="str">
        <f>IF(AE42="","",AB42&amp;"-"&amp;AD42&amp;"-"&amp;RIGHT("000"&amp;AE42,4))</f>
        <v/>
      </c>
      <c r="B42" s="60" t="n"/>
      <c r="C42" s="61" t="n"/>
      <c r="D42" s="60" t="n"/>
      <c r="E42" s="62" t="str">
        <f>IF(D42="","",IFERROR(INDEX(cli_name,MATCH(D42,cli_code,0))&amp;"","Client inconnu"))</f>
        <v/>
      </c>
      <c r="F42" s="60" t="n"/>
      <c r="G42" s="63" t="n"/>
      <c r="H42" s="61" t="n"/>
      <c r="I42" s="63" t="n"/>
      <c r="J42" s="60" t="n"/>
      <c r="K42" s="61" t="n"/>
      <c r="L42" s="60" t="n"/>
      <c r="M42" s="60" t="n"/>
      <c r="N42" s="60" t="n"/>
      <c r="O42" s="61" t="n"/>
      <c r="P42" s="64" t="str">
        <f>IF(A42="","",IF(AA42="Avoir",AC42,IF(ISNUMBER(K42),K42,AC42+IF(D42="",N(p_delay),IFERROR(IF(ISNUMBER(INDEX(cli_delay,MATCH(D42,cli_code,0))),INDEX(cli_delay,MATCH(D42,cli_code,0)),N(p_delay)),N(p_delay))))))</f>
        <v/>
      </c>
      <c r="Q42" s="65" t="str">
        <f>IF(A42="","",IF(AA42="Avoir",-1,1)*ROUND(AJ42-IF(AR42="",0,INDEX(fa_htb,AR42)),2))</f>
        <v/>
      </c>
      <c r="R42" s="65" t="str">
        <f>IF(A42="","",IF(AA42="Avoir",-1,1)*ROUND(AQ42-IF(AR42="",0,INDEX(fa_tvab,AR42)),2))</f>
        <v/>
      </c>
      <c r="S42" s="65" t="str">
        <f>IF(A42="","",Q42+R42)</f>
        <v/>
      </c>
      <c r="T42" s="65" t="str">
        <f>IF(AR42="","",INDEX(fa_htb,AR42)+INDEX(fa_tvab,AR42))</f>
        <v/>
      </c>
      <c r="U42" s="65" t="str">
        <f>IF(A42="","",SUMIF(pa_inv,A42,pa_amt))</f>
        <v/>
      </c>
      <c r="V42" s="65" t="str">
        <f>IF(OR(A42="",AA42="Avoir"),"",-SUMIFS(fa_ttc,fa_avof,A42,fa_type,"Avoir"))</f>
        <v/>
      </c>
      <c r="W42" s="65" t="str">
        <f>IF(OR(A42="",AA42="Avoir"),"",ROUND(S42-U42-V42,2))</f>
        <v/>
      </c>
      <c r="X42" s="66" t="str">
        <f>IF(W42="","",IF(AND(W42&gt;0,p_asof&gt;P42),p_asof-P42,""))</f>
        <v/>
      </c>
      <c r="Y42" s="59" t="str">
        <f>IF(A42="","",IF(AA42="Avoir","Avoir",IF(W42&lt;0,"Trop-perçu",IF(W42=0,"Soldée",IF(p_asof&gt;P42,"En retard",IF(U42+V42&gt;0,"Partielle","À échoir"))))))</f>
        <v/>
      </c>
      <c r="Z42" s="59" t="str">
        <f>IF(NOT(COUNTA(B42:D42,F42:O42)&gt;0),"",IF(C42="","Date manquante",IF(NOT(ISNUMBER(C42)),"Date invalide",IF(D42="","Client manquant",IF(ISNA(MATCH(D42,cli_code,0)),"Client inconnu",IF(AC42&lt;SUMPRODUCT(MAX(($AB$6:AB41=AB42)*$AC$6:AC41)),"Date antérieure à la facture précédente",IF(AND(F42&lt;&gt;"",ISNA(MATCH(F42,dv_num,0))),"Devis inconnu",IF(AND(F42&lt;&gt;"",IFERROR(INDEX(dv_client,MATCH(F42,dv_num,0)),D42)&lt;&gt;D42),"Client différent de celui du devis",IF(AG42="","Aucune ligne : saisissez des lignes ou un devis",IF(AND(AI42&lt;&gt;"",COUNTIF($AI$6:AI42,AI42)&gt;1),"Devis déjà repris par une autre facture",IF(AND(AA42="Avoir",M42=""),"Avoir : indiquez la facture d'origine",IF(AND(AA42="Avoir",ISNA(MATCH(M42,fa_num,0))),"Facture d'origine inconnue",IF(AND(AA42&lt;&gt;"Avoir",M42&lt;&gt;""),"« Avoir sur facture » : réservé aux avoirs",IF(AND(L42&lt;&gt;"",AA42&lt;&gt;"Facture"),"Acompte à déduire : réservé aux factures",IF(AND(L42&lt;&gt;"",ISNA(MATCH(L42,fa_num,0))),"Facture d'acompte inconnue",IF(AND(L42&lt;&gt;"",IFERROR(INDEX(fa_type,MATCH(L42,fa_num,0)),"")&lt;&gt;"Facture d'acompte"),"Le n° à déduire n'est pas une facture d'acompte",IF(AND(L42&lt;&gt;"",COUNTIF($L$6:L42,L42)&gt;1),"Acompte déjà déduit sur une autre facture",IF(AND(L42&lt;&gt;"",IFERROR(INDEX(fa_client,MATCH(L42,fa_num,0)),D42)&lt;&gt;D42),"Acompte d'un autre client",IF(AND(AR42&lt;&gt;"",N(Q42)&lt;0),"Acompte supérieur au total de la facture",IF(IF(AG42="Facture",COUNTIFS(fl_doc,A42,fl_check,"&lt;&gt;OK"),IF(AG42="Devis",COUNTIFS(dl_doc,F42,dl_check,"&lt;&gt;OK"),0))&gt;0,"Ligne(s) à corriger",IF(AND(W42&lt;&gt;"",N(W42)&lt;0),"Trop-perçu : vérifiez paiements et avoirs","OK")))))))))))))))))))))</f>
        <v/>
      </c>
      <c r="AA42" s="62" t="str">
        <f>IF(COUNTA(B42:D42,F42:O42)&gt;0,IF(B42="","Facture",B42),"")</f>
        <v/>
      </c>
      <c r="AB42" s="62" t="str">
        <f>IF(AA42="","",IF(AA42="Avoir",p_pav,IF(AA42="Facture d'acompte",p_pac,p_pfa)))</f>
        <v/>
      </c>
      <c r="AC42" s="62">
        <f>IF(ISNUMBER(C42),C42,0)</f>
        <v>0.0</v>
      </c>
      <c r="AD42" s="62" t="str">
        <f>IF(OR(AA42="",AC42=0),"",YEAR(AC42))</f>
        <v/>
      </c>
      <c r="AE42" s="62" t="str">
        <f>IF(AD42="","",COUNTIFS($AB$6:AB42,AB42,$AD$6:AD42,AD42))</f>
        <v/>
      </c>
      <c r="AF42" s="62">
        <f>IF(A42="",0,COUNTIF(fl_doc,A42))</f>
        <v>0.0</v>
      </c>
      <c r="AG42" s="62" t="str">
        <f>IF(A42="","",IF(AF42&gt;0,"Facture",IF(AND(F42&lt;&gt;"",AA42="Facture",ISNUMBER(MATCH(F42,dv_num,0))),"Devis","")))</f>
        <v/>
      </c>
      <c r="AH42" s="62" t="str">
        <f>IF(AND(A42&lt;&gt;"",F42&lt;&gt;"",AA42&lt;&gt;"Avoir"),F42,"")</f>
        <v/>
      </c>
      <c r="AI42" s="62" t="str">
        <f>IF(AG42="Devis",F42,"")</f>
        <v/>
      </c>
      <c r="AJ42" s="62">
        <f>IF(AG42="Facture",SUMIF(fl_doc,A42,fl_ht),IF(AG42="Devis",SUMIF(dl_doc,F42,dl_ht),0))</f>
        <v>0.0</v>
      </c>
      <c r="AK42" s="62">
        <f>IF(OR(AG42="",INDEX(p_rates,1)=""),0,IF(AG42="Facture",SUMIFS(fl_ht,fl_doc,A42,fl_rate,INDEX(p_rates,1)),SUMIFS(dl_ht,dl_doc,F42,dl_rate,INDEX(p_rates,1))))</f>
        <v>0.0</v>
      </c>
      <c r="AL42" s="62">
        <f>IF(OR(AG42="",INDEX(p_rates,2)=""),0,IF(AG42="Facture",SUMIFS(fl_ht,fl_doc,A42,fl_rate,INDEX(p_rates,2)),SUMIFS(dl_ht,dl_doc,F42,dl_rate,INDEX(p_rates,2))))</f>
        <v>0.0</v>
      </c>
      <c r="AM42" s="62">
        <f>IF(OR(AG42="",INDEX(p_rates,3)=""),0,IF(AG42="Facture",SUMIFS(fl_ht,fl_doc,A42,fl_rate,INDEX(p_rates,3)),SUMIFS(dl_ht,dl_doc,F42,dl_rate,INDEX(p_rates,3))))</f>
        <v>0.0</v>
      </c>
      <c r="AN42" s="62">
        <f>IF(OR(AG42="",INDEX(p_rates,4)=""),0,IF(AG42="Facture",SUMIFS(fl_ht,fl_doc,A42,fl_rate,INDEX(p_rates,4)),SUMIFS(dl_ht,dl_doc,F42,dl_rate,INDEX(p_rates,4))))</f>
        <v>0.0</v>
      </c>
      <c r="AO42" s="62">
        <f>IF(OR(AG42="",INDEX(p_rates,5)=""),0,IF(AG42="Facture",SUMIFS(fl_ht,fl_doc,A42,fl_rate,INDEX(p_rates,5)),SUMIFS(dl_ht,dl_doc,F42,dl_rate,INDEX(p_rates,5))))</f>
        <v>0.0</v>
      </c>
      <c r="AP42" s="62">
        <f>IF(OR(AG42="",INDEX(p_rates,6)=""),0,IF(AG42="Facture",SUMIFS(fl_ht,fl_doc,A42,fl_rate,INDEX(p_rates,6)),SUMIFS(dl_ht,dl_doc,F42,dl_rate,INDEX(p_rates,6))))</f>
        <v>0.0</v>
      </c>
      <c r="AQ42" s="62">
        <f>ROUND(AK42*N(INDEX(p_rates,1)),2)+ROUND(AL42*N(INDEX(p_rates,2)),2)+ROUND(AM42*N(INDEX(p_rates,3)),2)+ROUND(AN42*N(INDEX(p_rates,4)),2)+ROUND(AO42*N(INDEX(p_rates,5)),2)+ROUND(AP42*N(INDEX(p_rates,6)),2)</f>
        <v>0.0</v>
      </c>
      <c r="AR42" s="62" t="str">
        <f>IF(OR(L42="",AA42&lt;&gt;"Facture"),"",IFERROR(IF(INDEX(fa_type,MATCH(L42,fa_num,0))="Facture d'acompte",MATCH(L42,fa_num,0),""),""))</f>
        <v/>
      </c>
      <c r="AS42" s="62" t="str">
        <f>IF(W42="","",IF(W42&lt;=0,"",IF(p_asof-P42&lt;=0,"Non échu",IF(p_asof-P42&lt;=30,"1-30 j",IF(p_asof-P42&lt;=60,"31-60 j",IF(p_asof-P42&lt;=90,"61-90 j","Plus de 90 j"))))))</f>
        <v/>
      </c>
      <c r="AT42" s="62" t="str">
        <f>IF(AS42="","",p_asof-P42)</f>
        <v/>
      </c>
      <c r="AU42" s="62" t="str">
        <f>IF(AT42="","",COUNTIF($AT$6:$AT$805,"&gt;"&amp;AT42)+COUNTIF($AT$6:AT42,AT42))</f>
        <v/>
      </c>
    </row>
    <row r="43">
      <c r="A43" s="59" t="str">
        <f>IF(AE43="","",AB43&amp;"-"&amp;AD43&amp;"-"&amp;RIGHT("000"&amp;AE43,4))</f>
        <v/>
      </c>
      <c r="B43" s="60" t="n"/>
      <c r="C43" s="61" t="n"/>
      <c r="D43" s="60" t="n"/>
      <c r="E43" s="62" t="str">
        <f>IF(D43="","",IFERROR(INDEX(cli_name,MATCH(D43,cli_code,0))&amp;"","Client inconnu"))</f>
        <v/>
      </c>
      <c r="F43" s="60" t="n"/>
      <c r="G43" s="63" t="n"/>
      <c r="H43" s="61" t="n"/>
      <c r="I43" s="63" t="n"/>
      <c r="J43" s="60" t="n"/>
      <c r="K43" s="61" t="n"/>
      <c r="L43" s="60" t="n"/>
      <c r="M43" s="60" t="n"/>
      <c r="N43" s="60" t="n"/>
      <c r="O43" s="61" t="n"/>
      <c r="P43" s="64" t="str">
        <f>IF(A43="","",IF(AA43="Avoir",AC43,IF(ISNUMBER(K43),K43,AC43+IF(D43="",N(p_delay),IFERROR(IF(ISNUMBER(INDEX(cli_delay,MATCH(D43,cli_code,0))),INDEX(cli_delay,MATCH(D43,cli_code,0)),N(p_delay)),N(p_delay))))))</f>
        <v/>
      </c>
      <c r="Q43" s="65" t="str">
        <f>IF(A43="","",IF(AA43="Avoir",-1,1)*ROUND(AJ43-IF(AR43="",0,INDEX(fa_htb,AR43)),2))</f>
        <v/>
      </c>
      <c r="R43" s="65" t="str">
        <f>IF(A43="","",IF(AA43="Avoir",-1,1)*ROUND(AQ43-IF(AR43="",0,INDEX(fa_tvab,AR43)),2))</f>
        <v/>
      </c>
      <c r="S43" s="65" t="str">
        <f>IF(A43="","",Q43+R43)</f>
        <v/>
      </c>
      <c r="T43" s="65" t="str">
        <f>IF(AR43="","",INDEX(fa_htb,AR43)+INDEX(fa_tvab,AR43))</f>
        <v/>
      </c>
      <c r="U43" s="65" t="str">
        <f>IF(A43="","",SUMIF(pa_inv,A43,pa_amt))</f>
        <v/>
      </c>
      <c r="V43" s="65" t="str">
        <f>IF(OR(A43="",AA43="Avoir"),"",-SUMIFS(fa_ttc,fa_avof,A43,fa_type,"Avoir"))</f>
        <v/>
      </c>
      <c r="W43" s="65" t="str">
        <f>IF(OR(A43="",AA43="Avoir"),"",ROUND(S43-U43-V43,2))</f>
        <v/>
      </c>
      <c r="X43" s="66" t="str">
        <f>IF(W43="","",IF(AND(W43&gt;0,p_asof&gt;P43),p_asof-P43,""))</f>
        <v/>
      </c>
      <c r="Y43" s="59" t="str">
        <f>IF(A43="","",IF(AA43="Avoir","Avoir",IF(W43&lt;0,"Trop-perçu",IF(W43=0,"Soldée",IF(p_asof&gt;P43,"En retard",IF(U43+V43&gt;0,"Partielle","À échoir"))))))</f>
        <v/>
      </c>
      <c r="Z43" s="59" t="str">
        <f>IF(NOT(COUNTA(B43:D43,F43:O43)&gt;0),"",IF(C43="","Date manquante",IF(NOT(ISNUMBER(C43)),"Date invalide",IF(D43="","Client manquant",IF(ISNA(MATCH(D43,cli_code,0)),"Client inconnu",IF(AC43&lt;SUMPRODUCT(MAX(($AB$6:AB42=AB43)*$AC$6:AC42)),"Date antérieure à la facture précédente",IF(AND(F43&lt;&gt;"",ISNA(MATCH(F43,dv_num,0))),"Devis inconnu",IF(AND(F43&lt;&gt;"",IFERROR(INDEX(dv_client,MATCH(F43,dv_num,0)),D43)&lt;&gt;D43),"Client différent de celui du devis",IF(AG43="","Aucune ligne : saisissez des lignes ou un devis",IF(AND(AI43&lt;&gt;"",COUNTIF($AI$6:AI43,AI43)&gt;1),"Devis déjà repris par une autre facture",IF(AND(AA43="Avoir",M43=""),"Avoir : indiquez la facture d'origine",IF(AND(AA43="Avoir",ISNA(MATCH(M43,fa_num,0))),"Facture d'origine inconnue",IF(AND(AA43&lt;&gt;"Avoir",M43&lt;&gt;""),"« Avoir sur facture » : réservé aux avoirs",IF(AND(L43&lt;&gt;"",AA43&lt;&gt;"Facture"),"Acompte à déduire : réservé aux factures",IF(AND(L43&lt;&gt;"",ISNA(MATCH(L43,fa_num,0))),"Facture d'acompte inconnue",IF(AND(L43&lt;&gt;"",IFERROR(INDEX(fa_type,MATCH(L43,fa_num,0)),"")&lt;&gt;"Facture d'acompte"),"Le n° à déduire n'est pas une facture d'acompte",IF(AND(L43&lt;&gt;"",COUNTIF($L$6:L43,L43)&gt;1),"Acompte déjà déduit sur une autre facture",IF(AND(L43&lt;&gt;"",IFERROR(INDEX(fa_client,MATCH(L43,fa_num,0)),D43)&lt;&gt;D43),"Acompte d'un autre client",IF(AND(AR43&lt;&gt;"",N(Q43)&lt;0),"Acompte supérieur au total de la facture",IF(IF(AG43="Facture",COUNTIFS(fl_doc,A43,fl_check,"&lt;&gt;OK"),IF(AG43="Devis",COUNTIFS(dl_doc,F43,dl_check,"&lt;&gt;OK"),0))&gt;0,"Ligne(s) à corriger",IF(AND(W43&lt;&gt;"",N(W43)&lt;0),"Trop-perçu : vérifiez paiements et avoirs","OK")))))))))))))))))))))</f>
        <v/>
      </c>
      <c r="AA43" s="62" t="str">
        <f>IF(COUNTA(B43:D43,F43:O43)&gt;0,IF(B43="","Facture",B43),"")</f>
        <v/>
      </c>
      <c r="AB43" s="62" t="str">
        <f>IF(AA43="","",IF(AA43="Avoir",p_pav,IF(AA43="Facture d'acompte",p_pac,p_pfa)))</f>
        <v/>
      </c>
      <c r="AC43" s="62">
        <f>IF(ISNUMBER(C43),C43,0)</f>
        <v>0.0</v>
      </c>
      <c r="AD43" s="62" t="str">
        <f>IF(OR(AA43="",AC43=0),"",YEAR(AC43))</f>
        <v/>
      </c>
      <c r="AE43" s="62" t="str">
        <f>IF(AD43="","",COUNTIFS($AB$6:AB43,AB43,$AD$6:AD43,AD43))</f>
        <v/>
      </c>
      <c r="AF43" s="62">
        <f>IF(A43="",0,COUNTIF(fl_doc,A43))</f>
        <v>0.0</v>
      </c>
      <c r="AG43" s="62" t="str">
        <f>IF(A43="","",IF(AF43&gt;0,"Facture",IF(AND(F43&lt;&gt;"",AA43="Facture",ISNUMBER(MATCH(F43,dv_num,0))),"Devis","")))</f>
        <v/>
      </c>
      <c r="AH43" s="62" t="str">
        <f>IF(AND(A43&lt;&gt;"",F43&lt;&gt;"",AA43&lt;&gt;"Avoir"),F43,"")</f>
        <v/>
      </c>
      <c r="AI43" s="62" t="str">
        <f>IF(AG43="Devis",F43,"")</f>
        <v/>
      </c>
      <c r="AJ43" s="62">
        <f>IF(AG43="Facture",SUMIF(fl_doc,A43,fl_ht),IF(AG43="Devis",SUMIF(dl_doc,F43,dl_ht),0))</f>
        <v>0.0</v>
      </c>
      <c r="AK43" s="62">
        <f>IF(OR(AG43="",INDEX(p_rates,1)=""),0,IF(AG43="Facture",SUMIFS(fl_ht,fl_doc,A43,fl_rate,INDEX(p_rates,1)),SUMIFS(dl_ht,dl_doc,F43,dl_rate,INDEX(p_rates,1))))</f>
        <v>0.0</v>
      </c>
      <c r="AL43" s="62">
        <f>IF(OR(AG43="",INDEX(p_rates,2)=""),0,IF(AG43="Facture",SUMIFS(fl_ht,fl_doc,A43,fl_rate,INDEX(p_rates,2)),SUMIFS(dl_ht,dl_doc,F43,dl_rate,INDEX(p_rates,2))))</f>
        <v>0.0</v>
      </c>
      <c r="AM43" s="62">
        <f>IF(OR(AG43="",INDEX(p_rates,3)=""),0,IF(AG43="Facture",SUMIFS(fl_ht,fl_doc,A43,fl_rate,INDEX(p_rates,3)),SUMIFS(dl_ht,dl_doc,F43,dl_rate,INDEX(p_rates,3))))</f>
        <v>0.0</v>
      </c>
      <c r="AN43" s="62">
        <f>IF(OR(AG43="",INDEX(p_rates,4)=""),0,IF(AG43="Facture",SUMIFS(fl_ht,fl_doc,A43,fl_rate,INDEX(p_rates,4)),SUMIFS(dl_ht,dl_doc,F43,dl_rate,INDEX(p_rates,4))))</f>
        <v>0.0</v>
      </c>
      <c r="AO43" s="62">
        <f>IF(OR(AG43="",INDEX(p_rates,5)=""),0,IF(AG43="Facture",SUMIFS(fl_ht,fl_doc,A43,fl_rate,INDEX(p_rates,5)),SUMIFS(dl_ht,dl_doc,F43,dl_rate,INDEX(p_rates,5))))</f>
        <v>0.0</v>
      </c>
      <c r="AP43" s="62">
        <f>IF(OR(AG43="",INDEX(p_rates,6)=""),0,IF(AG43="Facture",SUMIFS(fl_ht,fl_doc,A43,fl_rate,INDEX(p_rates,6)),SUMIFS(dl_ht,dl_doc,F43,dl_rate,INDEX(p_rates,6))))</f>
        <v>0.0</v>
      </c>
      <c r="AQ43" s="62">
        <f>ROUND(AK43*N(INDEX(p_rates,1)),2)+ROUND(AL43*N(INDEX(p_rates,2)),2)+ROUND(AM43*N(INDEX(p_rates,3)),2)+ROUND(AN43*N(INDEX(p_rates,4)),2)+ROUND(AO43*N(INDEX(p_rates,5)),2)+ROUND(AP43*N(INDEX(p_rates,6)),2)</f>
        <v>0.0</v>
      </c>
      <c r="AR43" s="62" t="str">
        <f>IF(OR(L43="",AA43&lt;&gt;"Facture"),"",IFERROR(IF(INDEX(fa_type,MATCH(L43,fa_num,0))="Facture d'acompte",MATCH(L43,fa_num,0),""),""))</f>
        <v/>
      </c>
      <c r="AS43" s="62" t="str">
        <f>IF(W43="","",IF(W43&lt;=0,"",IF(p_asof-P43&lt;=0,"Non échu",IF(p_asof-P43&lt;=30,"1-30 j",IF(p_asof-P43&lt;=60,"31-60 j",IF(p_asof-P43&lt;=90,"61-90 j","Plus de 90 j"))))))</f>
        <v/>
      </c>
      <c r="AT43" s="62" t="str">
        <f>IF(AS43="","",p_asof-P43)</f>
        <v/>
      </c>
      <c r="AU43" s="62" t="str">
        <f>IF(AT43="","",COUNTIF($AT$6:$AT$805,"&gt;"&amp;AT43)+COUNTIF($AT$6:AT43,AT43))</f>
        <v/>
      </c>
    </row>
    <row r="44">
      <c r="A44" s="59" t="str">
        <f>IF(AE44="","",AB44&amp;"-"&amp;AD44&amp;"-"&amp;RIGHT("000"&amp;AE44,4))</f>
        <v/>
      </c>
      <c r="B44" s="60" t="n"/>
      <c r="C44" s="61" t="n"/>
      <c r="D44" s="60" t="n"/>
      <c r="E44" s="62" t="str">
        <f>IF(D44="","",IFERROR(INDEX(cli_name,MATCH(D44,cli_code,0))&amp;"","Client inconnu"))</f>
        <v/>
      </c>
      <c r="F44" s="60" t="n"/>
      <c r="G44" s="63" t="n"/>
      <c r="H44" s="61" t="n"/>
      <c r="I44" s="63" t="n"/>
      <c r="J44" s="60" t="n"/>
      <c r="K44" s="61" t="n"/>
      <c r="L44" s="60" t="n"/>
      <c r="M44" s="60" t="n"/>
      <c r="N44" s="60" t="n"/>
      <c r="O44" s="61" t="n"/>
      <c r="P44" s="64" t="str">
        <f>IF(A44="","",IF(AA44="Avoir",AC44,IF(ISNUMBER(K44),K44,AC44+IF(D44="",N(p_delay),IFERROR(IF(ISNUMBER(INDEX(cli_delay,MATCH(D44,cli_code,0))),INDEX(cli_delay,MATCH(D44,cli_code,0)),N(p_delay)),N(p_delay))))))</f>
        <v/>
      </c>
      <c r="Q44" s="65" t="str">
        <f>IF(A44="","",IF(AA44="Avoir",-1,1)*ROUND(AJ44-IF(AR44="",0,INDEX(fa_htb,AR44)),2))</f>
        <v/>
      </c>
      <c r="R44" s="65" t="str">
        <f>IF(A44="","",IF(AA44="Avoir",-1,1)*ROUND(AQ44-IF(AR44="",0,INDEX(fa_tvab,AR44)),2))</f>
        <v/>
      </c>
      <c r="S44" s="65" t="str">
        <f>IF(A44="","",Q44+R44)</f>
        <v/>
      </c>
      <c r="T44" s="65" t="str">
        <f>IF(AR44="","",INDEX(fa_htb,AR44)+INDEX(fa_tvab,AR44))</f>
        <v/>
      </c>
      <c r="U44" s="65" t="str">
        <f>IF(A44="","",SUMIF(pa_inv,A44,pa_amt))</f>
        <v/>
      </c>
      <c r="V44" s="65" t="str">
        <f>IF(OR(A44="",AA44="Avoir"),"",-SUMIFS(fa_ttc,fa_avof,A44,fa_type,"Avoir"))</f>
        <v/>
      </c>
      <c r="W44" s="65" t="str">
        <f>IF(OR(A44="",AA44="Avoir"),"",ROUND(S44-U44-V44,2))</f>
        <v/>
      </c>
      <c r="X44" s="66" t="str">
        <f>IF(W44="","",IF(AND(W44&gt;0,p_asof&gt;P44),p_asof-P44,""))</f>
        <v/>
      </c>
      <c r="Y44" s="59" t="str">
        <f>IF(A44="","",IF(AA44="Avoir","Avoir",IF(W44&lt;0,"Trop-perçu",IF(W44=0,"Soldée",IF(p_asof&gt;P44,"En retard",IF(U44+V44&gt;0,"Partielle","À échoir"))))))</f>
        <v/>
      </c>
      <c r="Z44" s="59" t="str">
        <f>IF(NOT(COUNTA(B44:D44,F44:O44)&gt;0),"",IF(C44="","Date manquante",IF(NOT(ISNUMBER(C44)),"Date invalide",IF(D44="","Client manquant",IF(ISNA(MATCH(D44,cli_code,0)),"Client inconnu",IF(AC44&lt;SUMPRODUCT(MAX(($AB$6:AB43=AB44)*$AC$6:AC43)),"Date antérieure à la facture précédente",IF(AND(F44&lt;&gt;"",ISNA(MATCH(F44,dv_num,0))),"Devis inconnu",IF(AND(F44&lt;&gt;"",IFERROR(INDEX(dv_client,MATCH(F44,dv_num,0)),D44)&lt;&gt;D44),"Client différent de celui du devis",IF(AG44="","Aucune ligne : saisissez des lignes ou un devis",IF(AND(AI44&lt;&gt;"",COUNTIF($AI$6:AI44,AI44)&gt;1),"Devis déjà repris par une autre facture",IF(AND(AA44="Avoir",M44=""),"Avoir : indiquez la facture d'origine",IF(AND(AA44="Avoir",ISNA(MATCH(M44,fa_num,0))),"Facture d'origine inconnue",IF(AND(AA44&lt;&gt;"Avoir",M44&lt;&gt;""),"« Avoir sur facture » : réservé aux avoirs",IF(AND(L44&lt;&gt;"",AA44&lt;&gt;"Facture"),"Acompte à déduire : réservé aux factures",IF(AND(L44&lt;&gt;"",ISNA(MATCH(L44,fa_num,0))),"Facture d'acompte inconnue",IF(AND(L44&lt;&gt;"",IFERROR(INDEX(fa_type,MATCH(L44,fa_num,0)),"")&lt;&gt;"Facture d'acompte"),"Le n° à déduire n'est pas une facture d'acompte",IF(AND(L44&lt;&gt;"",COUNTIF($L$6:L44,L44)&gt;1),"Acompte déjà déduit sur une autre facture",IF(AND(L44&lt;&gt;"",IFERROR(INDEX(fa_client,MATCH(L44,fa_num,0)),D44)&lt;&gt;D44),"Acompte d'un autre client",IF(AND(AR44&lt;&gt;"",N(Q44)&lt;0),"Acompte supérieur au total de la facture",IF(IF(AG44="Facture",COUNTIFS(fl_doc,A44,fl_check,"&lt;&gt;OK"),IF(AG44="Devis",COUNTIFS(dl_doc,F44,dl_check,"&lt;&gt;OK"),0))&gt;0,"Ligne(s) à corriger",IF(AND(W44&lt;&gt;"",N(W44)&lt;0),"Trop-perçu : vérifiez paiements et avoirs","OK")))))))))))))))))))))</f>
        <v/>
      </c>
      <c r="AA44" s="62" t="str">
        <f>IF(COUNTA(B44:D44,F44:O44)&gt;0,IF(B44="","Facture",B44),"")</f>
        <v/>
      </c>
      <c r="AB44" s="62" t="str">
        <f>IF(AA44="","",IF(AA44="Avoir",p_pav,IF(AA44="Facture d'acompte",p_pac,p_pfa)))</f>
        <v/>
      </c>
      <c r="AC44" s="62">
        <f>IF(ISNUMBER(C44),C44,0)</f>
        <v>0.0</v>
      </c>
      <c r="AD44" s="62" t="str">
        <f>IF(OR(AA44="",AC44=0),"",YEAR(AC44))</f>
        <v/>
      </c>
      <c r="AE44" s="62" t="str">
        <f>IF(AD44="","",COUNTIFS($AB$6:AB44,AB44,$AD$6:AD44,AD44))</f>
        <v/>
      </c>
      <c r="AF44" s="62">
        <f>IF(A44="",0,COUNTIF(fl_doc,A44))</f>
        <v>0.0</v>
      </c>
      <c r="AG44" s="62" t="str">
        <f>IF(A44="","",IF(AF44&gt;0,"Facture",IF(AND(F44&lt;&gt;"",AA44="Facture",ISNUMBER(MATCH(F44,dv_num,0))),"Devis","")))</f>
        <v/>
      </c>
      <c r="AH44" s="62" t="str">
        <f>IF(AND(A44&lt;&gt;"",F44&lt;&gt;"",AA44&lt;&gt;"Avoir"),F44,"")</f>
        <v/>
      </c>
      <c r="AI44" s="62" t="str">
        <f>IF(AG44="Devis",F44,"")</f>
        <v/>
      </c>
      <c r="AJ44" s="62">
        <f>IF(AG44="Facture",SUMIF(fl_doc,A44,fl_ht),IF(AG44="Devis",SUMIF(dl_doc,F44,dl_ht),0))</f>
        <v>0.0</v>
      </c>
      <c r="AK44" s="62">
        <f>IF(OR(AG44="",INDEX(p_rates,1)=""),0,IF(AG44="Facture",SUMIFS(fl_ht,fl_doc,A44,fl_rate,INDEX(p_rates,1)),SUMIFS(dl_ht,dl_doc,F44,dl_rate,INDEX(p_rates,1))))</f>
        <v>0.0</v>
      </c>
      <c r="AL44" s="62">
        <f>IF(OR(AG44="",INDEX(p_rates,2)=""),0,IF(AG44="Facture",SUMIFS(fl_ht,fl_doc,A44,fl_rate,INDEX(p_rates,2)),SUMIFS(dl_ht,dl_doc,F44,dl_rate,INDEX(p_rates,2))))</f>
        <v>0.0</v>
      </c>
      <c r="AM44" s="62">
        <f>IF(OR(AG44="",INDEX(p_rates,3)=""),0,IF(AG44="Facture",SUMIFS(fl_ht,fl_doc,A44,fl_rate,INDEX(p_rates,3)),SUMIFS(dl_ht,dl_doc,F44,dl_rate,INDEX(p_rates,3))))</f>
        <v>0.0</v>
      </c>
      <c r="AN44" s="62">
        <f>IF(OR(AG44="",INDEX(p_rates,4)=""),0,IF(AG44="Facture",SUMIFS(fl_ht,fl_doc,A44,fl_rate,INDEX(p_rates,4)),SUMIFS(dl_ht,dl_doc,F44,dl_rate,INDEX(p_rates,4))))</f>
        <v>0.0</v>
      </c>
      <c r="AO44" s="62">
        <f>IF(OR(AG44="",INDEX(p_rates,5)=""),0,IF(AG44="Facture",SUMIFS(fl_ht,fl_doc,A44,fl_rate,INDEX(p_rates,5)),SUMIFS(dl_ht,dl_doc,F44,dl_rate,INDEX(p_rates,5))))</f>
        <v>0.0</v>
      </c>
      <c r="AP44" s="62">
        <f>IF(OR(AG44="",INDEX(p_rates,6)=""),0,IF(AG44="Facture",SUMIFS(fl_ht,fl_doc,A44,fl_rate,INDEX(p_rates,6)),SUMIFS(dl_ht,dl_doc,F44,dl_rate,INDEX(p_rates,6))))</f>
        <v>0.0</v>
      </c>
      <c r="AQ44" s="62">
        <f>ROUND(AK44*N(INDEX(p_rates,1)),2)+ROUND(AL44*N(INDEX(p_rates,2)),2)+ROUND(AM44*N(INDEX(p_rates,3)),2)+ROUND(AN44*N(INDEX(p_rates,4)),2)+ROUND(AO44*N(INDEX(p_rates,5)),2)+ROUND(AP44*N(INDEX(p_rates,6)),2)</f>
        <v>0.0</v>
      </c>
      <c r="AR44" s="62" t="str">
        <f>IF(OR(L44="",AA44&lt;&gt;"Facture"),"",IFERROR(IF(INDEX(fa_type,MATCH(L44,fa_num,0))="Facture d'acompte",MATCH(L44,fa_num,0),""),""))</f>
        <v/>
      </c>
      <c r="AS44" s="62" t="str">
        <f>IF(W44="","",IF(W44&lt;=0,"",IF(p_asof-P44&lt;=0,"Non échu",IF(p_asof-P44&lt;=30,"1-30 j",IF(p_asof-P44&lt;=60,"31-60 j",IF(p_asof-P44&lt;=90,"61-90 j","Plus de 90 j"))))))</f>
        <v/>
      </c>
      <c r="AT44" s="62" t="str">
        <f>IF(AS44="","",p_asof-P44)</f>
        <v/>
      </c>
      <c r="AU44" s="62" t="str">
        <f>IF(AT44="","",COUNTIF($AT$6:$AT$805,"&gt;"&amp;AT44)+COUNTIF($AT$6:AT44,AT44))</f>
        <v/>
      </c>
    </row>
    <row r="45">
      <c r="A45" s="59" t="str">
        <f>IF(AE45="","",AB45&amp;"-"&amp;AD45&amp;"-"&amp;RIGHT("000"&amp;AE45,4))</f>
        <v/>
      </c>
      <c r="B45" s="60" t="n"/>
      <c r="C45" s="61" t="n"/>
      <c r="D45" s="60" t="n"/>
      <c r="E45" s="62" t="str">
        <f>IF(D45="","",IFERROR(INDEX(cli_name,MATCH(D45,cli_code,0))&amp;"","Client inconnu"))</f>
        <v/>
      </c>
      <c r="F45" s="60" t="n"/>
      <c r="G45" s="63" t="n"/>
      <c r="H45" s="61" t="n"/>
      <c r="I45" s="63" t="n"/>
      <c r="J45" s="60" t="n"/>
      <c r="K45" s="61" t="n"/>
      <c r="L45" s="60" t="n"/>
      <c r="M45" s="60" t="n"/>
      <c r="N45" s="60" t="n"/>
      <c r="O45" s="61" t="n"/>
      <c r="P45" s="64" t="str">
        <f>IF(A45="","",IF(AA45="Avoir",AC45,IF(ISNUMBER(K45),K45,AC45+IF(D45="",N(p_delay),IFERROR(IF(ISNUMBER(INDEX(cli_delay,MATCH(D45,cli_code,0))),INDEX(cli_delay,MATCH(D45,cli_code,0)),N(p_delay)),N(p_delay))))))</f>
        <v/>
      </c>
      <c r="Q45" s="65" t="str">
        <f>IF(A45="","",IF(AA45="Avoir",-1,1)*ROUND(AJ45-IF(AR45="",0,INDEX(fa_htb,AR45)),2))</f>
        <v/>
      </c>
      <c r="R45" s="65" t="str">
        <f>IF(A45="","",IF(AA45="Avoir",-1,1)*ROUND(AQ45-IF(AR45="",0,INDEX(fa_tvab,AR45)),2))</f>
        <v/>
      </c>
      <c r="S45" s="65" t="str">
        <f>IF(A45="","",Q45+R45)</f>
        <v/>
      </c>
      <c r="T45" s="65" t="str">
        <f>IF(AR45="","",INDEX(fa_htb,AR45)+INDEX(fa_tvab,AR45))</f>
        <v/>
      </c>
      <c r="U45" s="65" t="str">
        <f>IF(A45="","",SUMIF(pa_inv,A45,pa_amt))</f>
        <v/>
      </c>
      <c r="V45" s="65" t="str">
        <f>IF(OR(A45="",AA45="Avoir"),"",-SUMIFS(fa_ttc,fa_avof,A45,fa_type,"Avoir"))</f>
        <v/>
      </c>
      <c r="W45" s="65" t="str">
        <f>IF(OR(A45="",AA45="Avoir"),"",ROUND(S45-U45-V45,2))</f>
        <v/>
      </c>
      <c r="X45" s="66" t="str">
        <f>IF(W45="","",IF(AND(W45&gt;0,p_asof&gt;P45),p_asof-P45,""))</f>
        <v/>
      </c>
      <c r="Y45" s="59" t="str">
        <f>IF(A45="","",IF(AA45="Avoir","Avoir",IF(W45&lt;0,"Trop-perçu",IF(W45=0,"Soldée",IF(p_asof&gt;P45,"En retard",IF(U45+V45&gt;0,"Partielle","À échoir"))))))</f>
        <v/>
      </c>
      <c r="Z45" s="59" t="str">
        <f>IF(NOT(COUNTA(B45:D45,F45:O45)&gt;0),"",IF(C45="","Date manquante",IF(NOT(ISNUMBER(C45)),"Date invalide",IF(D45="","Client manquant",IF(ISNA(MATCH(D45,cli_code,0)),"Client inconnu",IF(AC45&lt;SUMPRODUCT(MAX(($AB$6:AB44=AB45)*$AC$6:AC44)),"Date antérieure à la facture précédente",IF(AND(F45&lt;&gt;"",ISNA(MATCH(F45,dv_num,0))),"Devis inconnu",IF(AND(F45&lt;&gt;"",IFERROR(INDEX(dv_client,MATCH(F45,dv_num,0)),D45)&lt;&gt;D45),"Client différent de celui du devis",IF(AG45="","Aucune ligne : saisissez des lignes ou un devis",IF(AND(AI45&lt;&gt;"",COUNTIF($AI$6:AI45,AI45)&gt;1),"Devis déjà repris par une autre facture",IF(AND(AA45="Avoir",M45=""),"Avoir : indiquez la facture d'origine",IF(AND(AA45="Avoir",ISNA(MATCH(M45,fa_num,0))),"Facture d'origine inconnue",IF(AND(AA45&lt;&gt;"Avoir",M45&lt;&gt;""),"« Avoir sur facture » : réservé aux avoirs",IF(AND(L45&lt;&gt;"",AA45&lt;&gt;"Facture"),"Acompte à déduire : réservé aux factures",IF(AND(L45&lt;&gt;"",ISNA(MATCH(L45,fa_num,0))),"Facture d'acompte inconnue",IF(AND(L45&lt;&gt;"",IFERROR(INDEX(fa_type,MATCH(L45,fa_num,0)),"")&lt;&gt;"Facture d'acompte"),"Le n° à déduire n'est pas une facture d'acompte",IF(AND(L45&lt;&gt;"",COUNTIF($L$6:L45,L45)&gt;1),"Acompte déjà déduit sur une autre facture",IF(AND(L45&lt;&gt;"",IFERROR(INDEX(fa_client,MATCH(L45,fa_num,0)),D45)&lt;&gt;D45),"Acompte d'un autre client",IF(AND(AR45&lt;&gt;"",N(Q45)&lt;0),"Acompte supérieur au total de la facture",IF(IF(AG45="Facture",COUNTIFS(fl_doc,A45,fl_check,"&lt;&gt;OK"),IF(AG45="Devis",COUNTIFS(dl_doc,F45,dl_check,"&lt;&gt;OK"),0))&gt;0,"Ligne(s) à corriger",IF(AND(W45&lt;&gt;"",N(W45)&lt;0),"Trop-perçu : vérifiez paiements et avoirs","OK")))))))))))))))))))))</f>
        <v/>
      </c>
      <c r="AA45" s="62" t="str">
        <f>IF(COUNTA(B45:D45,F45:O45)&gt;0,IF(B45="","Facture",B45),"")</f>
        <v/>
      </c>
      <c r="AB45" s="62" t="str">
        <f>IF(AA45="","",IF(AA45="Avoir",p_pav,IF(AA45="Facture d'acompte",p_pac,p_pfa)))</f>
        <v/>
      </c>
      <c r="AC45" s="62">
        <f>IF(ISNUMBER(C45),C45,0)</f>
        <v>0.0</v>
      </c>
      <c r="AD45" s="62" t="str">
        <f>IF(OR(AA45="",AC45=0),"",YEAR(AC45))</f>
        <v/>
      </c>
      <c r="AE45" s="62" t="str">
        <f>IF(AD45="","",COUNTIFS($AB$6:AB45,AB45,$AD$6:AD45,AD45))</f>
        <v/>
      </c>
      <c r="AF45" s="62">
        <f>IF(A45="",0,COUNTIF(fl_doc,A45))</f>
        <v>0.0</v>
      </c>
      <c r="AG45" s="62" t="str">
        <f>IF(A45="","",IF(AF45&gt;0,"Facture",IF(AND(F45&lt;&gt;"",AA45="Facture",ISNUMBER(MATCH(F45,dv_num,0))),"Devis","")))</f>
        <v/>
      </c>
      <c r="AH45" s="62" t="str">
        <f>IF(AND(A45&lt;&gt;"",F45&lt;&gt;"",AA45&lt;&gt;"Avoir"),F45,"")</f>
        <v/>
      </c>
      <c r="AI45" s="62" t="str">
        <f>IF(AG45="Devis",F45,"")</f>
        <v/>
      </c>
      <c r="AJ45" s="62">
        <f>IF(AG45="Facture",SUMIF(fl_doc,A45,fl_ht),IF(AG45="Devis",SUMIF(dl_doc,F45,dl_ht),0))</f>
        <v>0.0</v>
      </c>
      <c r="AK45" s="62">
        <f>IF(OR(AG45="",INDEX(p_rates,1)=""),0,IF(AG45="Facture",SUMIFS(fl_ht,fl_doc,A45,fl_rate,INDEX(p_rates,1)),SUMIFS(dl_ht,dl_doc,F45,dl_rate,INDEX(p_rates,1))))</f>
        <v>0.0</v>
      </c>
      <c r="AL45" s="62">
        <f>IF(OR(AG45="",INDEX(p_rates,2)=""),0,IF(AG45="Facture",SUMIFS(fl_ht,fl_doc,A45,fl_rate,INDEX(p_rates,2)),SUMIFS(dl_ht,dl_doc,F45,dl_rate,INDEX(p_rates,2))))</f>
        <v>0.0</v>
      </c>
      <c r="AM45" s="62">
        <f>IF(OR(AG45="",INDEX(p_rates,3)=""),0,IF(AG45="Facture",SUMIFS(fl_ht,fl_doc,A45,fl_rate,INDEX(p_rates,3)),SUMIFS(dl_ht,dl_doc,F45,dl_rate,INDEX(p_rates,3))))</f>
        <v>0.0</v>
      </c>
      <c r="AN45" s="62">
        <f>IF(OR(AG45="",INDEX(p_rates,4)=""),0,IF(AG45="Facture",SUMIFS(fl_ht,fl_doc,A45,fl_rate,INDEX(p_rates,4)),SUMIFS(dl_ht,dl_doc,F45,dl_rate,INDEX(p_rates,4))))</f>
        <v>0.0</v>
      </c>
      <c r="AO45" s="62">
        <f>IF(OR(AG45="",INDEX(p_rates,5)=""),0,IF(AG45="Facture",SUMIFS(fl_ht,fl_doc,A45,fl_rate,INDEX(p_rates,5)),SUMIFS(dl_ht,dl_doc,F45,dl_rate,INDEX(p_rates,5))))</f>
        <v>0.0</v>
      </c>
      <c r="AP45" s="62">
        <f>IF(OR(AG45="",INDEX(p_rates,6)=""),0,IF(AG45="Facture",SUMIFS(fl_ht,fl_doc,A45,fl_rate,INDEX(p_rates,6)),SUMIFS(dl_ht,dl_doc,F45,dl_rate,INDEX(p_rates,6))))</f>
        <v>0.0</v>
      </c>
      <c r="AQ45" s="62">
        <f>ROUND(AK45*N(INDEX(p_rates,1)),2)+ROUND(AL45*N(INDEX(p_rates,2)),2)+ROUND(AM45*N(INDEX(p_rates,3)),2)+ROUND(AN45*N(INDEX(p_rates,4)),2)+ROUND(AO45*N(INDEX(p_rates,5)),2)+ROUND(AP45*N(INDEX(p_rates,6)),2)</f>
        <v>0.0</v>
      </c>
      <c r="AR45" s="62" t="str">
        <f>IF(OR(L45="",AA45&lt;&gt;"Facture"),"",IFERROR(IF(INDEX(fa_type,MATCH(L45,fa_num,0))="Facture d'acompte",MATCH(L45,fa_num,0),""),""))</f>
        <v/>
      </c>
      <c r="AS45" s="62" t="str">
        <f>IF(W45="","",IF(W45&lt;=0,"",IF(p_asof-P45&lt;=0,"Non échu",IF(p_asof-P45&lt;=30,"1-30 j",IF(p_asof-P45&lt;=60,"31-60 j",IF(p_asof-P45&lt;=90,"61-90 j","Plus de 90 j"))))))</f>
        <v/>
      </c>
      <c r="AT45" s="62" t="str">
        <f>IF(AS45="","",p_asof-P45)</f>
        <v/>
      </c>
      <c r="AU45" s="62" t="str">
        <f>IF(AT45="","",COUNTIF($AT$6:$AT$805,"&gt;"&amp;AT45)+COUNTIF($AT$6:AT45,AT45))</f>
        <v/>
      </c>
    </row>
    <row r="46">
      <c r="A46" s="59" t="str">
        <f>IF(AE46="","",AB46&amp;"-"&amp;AD46&amp;"-"&amp;RIGHT("000"&amp;AE46,4))</f>
        <v/>
      </c>
      <c r="B46" s="60" t="n"/>
      <c r="C46" s="61" t="n"/>
      <c r="D46" s="60" t="n"/>
      <c r="E46" s="62" t="str">
        <f>IF(D46="","",IFERROR(INDEX(cli_name,MATCH(D46,cli_code,0))&amp;"","Client inconnu"))</f>
        <v/>
      </c>
      <c r="F46" s="60" t="n"/>
      <c r="G46" s="63" t="n"/>
      <c r="H46" s="61" t="n"/>
      <c r="I46" s="63" t="n"/>
      <c r="J46" s="60" t="n"/>
      <c r="K46" s="61" t="n"/>
      <c r="L46" s="60" t="n"/>
      <c r="M46" s="60" t="n"/>
      <c r="N46" s="60" t="n"/>
      <c r="O46" s="61" t="n"/>
      <c r="P46" s="64" t="str">
        <f>IF(A46="","",IF(AA46="Avoir",AC46,IF(ISNUMBER(K46),K46,AC46+IF(D46="",N(p_delay),IFERROR(IF(ISNUMBER(INDEX(cli_delay,MATCH(D46,cli_code,0))),INDEX(cli_delay,MATCH(D46,cli_code,0)),N(p_delay)),N(p_delay))))))</f>
        <v/>
      </c>
      <c r="Q46" s="65" t="str">
        <f>IF(A46="","",IF(AA46="Avoir",-1,1)*ROUND(AJ46-IF(AR46="",0,INDEX(fa_htb,AR46)),2))</f>
        <v/>
      </c>
      <c r="R46" s="65" t="str">
        <f>IF(A46="","",IF(AA46="Avoir",-1,1)*ROUND(AQ46-IF(AR46="",0,INDEX(fa_tvab,AR46)),2))</f>
        <v/>
      </c>
      <c r="S46" s="65" t="str">
        <f>IF(A46="","",Q46+R46)</f>
        <v/>
      </c>
      <c r="T46" s="65" t="str">
        <f>IF(AR46="","",INDEX(fa_htb,AR46)+INDEX(fa_tvab,AR46))</f>
        <v/>
      </c>
      <c r="U46" s="65" t="str">
        <f>IF(A46="","",SUMIF(pa_inv,A46,pa_amt))</f>
        <v/>
      </c>
      <c r="V46" s="65" t="str">
        <f>IF(OR(A46="",AA46="Avoir"),"",-SUMIFS(fa_ttc,fa_avof,A46,fa_type,"Avoir"))</f>
        <v/>
      </c>
      <c r="W46" s="65" t="str">
        <f>IF(OR(A46="",AA46="Avoir"),"",ROUND(S46-U46-V46,2))</f>
        <v/>
      </c>
      <c r="X46" s="66" t="str">
        <f>IF(W46="","",IF(AND(W46&gt;0,p_asof&gt;P46),p_asof-P46,""))</f>
        <v/>
      </c>
      <c r="Y46" s="59" t="str">
        <f>IF(A46="","",IF(AA46="Avoir","Avoir",IF(W46&lt;0,"Trop-perçu",IF(W46=0,"Soldée",IF(p_asof&gt;P46,"En retard",IF(U46+V46&gt;0,"Partielle","À échoir"))))))</f>
        <v/>
      </c>
      <c r="Z46" s="59" t="str">
        <f>IF(NOT(COUNTA(B46:D46,F46:O46)&gt;0),"",IF(C46="","Date manquante",IF(NOT(ISNUMBER(C46)),"Date invalide",IF(D46="","Client manquant",IF(ISNA(MATCH(D46,cli_code,0)),"Client inconnu",IF(AC46&lt;SUMPRODUCT(MAX(($AB$6:AB45=AB46)*$AC$6:AC45)),"Date antérieure à la facture précédente",IF(AND(F46&lt;&gt;"",ISNA(MATCH(F46,dv_num,0))),"Devis inconnu",IF(AND(F46&lt;&gt;"",IFERROR(INDEX(dv_client,MATCH(F46,dv_num,0)),D46)&lt;&gt;D46),"Client différent de celui du devis",IF(AG46="","Aucune ligne : saisissez des lignes ou un devis",IF(AND(AI46&lt;&gt;"",COUNTIF($AI$6:AI46,AI46)&gt;1),"Devis déjà repris par une autre facture",IF(AND(AA46="Avoir",M46=""),"Avoir : indiquez la facture d'origine",IF(AND(AA46="Avoir",ISNA(MATCH(M46,fa_num,0))),"Facture d'origine inconnue",IF(AND(AA46&lt;&gt;"Avoir",M46&lt;&gt;""),"« Avoir sur facture » : réservé aux avoirs",IF(AND(L46&lt;&gt;"",AA46&lt;&gt;"Facture"),"Acompte à déduire : réservé aux factures",IF(AND(L46&lt;&gt;"",ISNA(MATCH(L46,fa_num,0))),"Facture d'acompte inconnue",IF(AND(L46&lt;&gt;"",IFERROR(INDEX(fa_type,MATCH(L46,fa_num,0)),"")&lt;&gt;"Facture d'acompte"),"Le n° à déduire n'est pas une facture d'acompte",IF(AND(L46&lt;&gt;"",COUNTIF($L$6:L46,L46)&gt;1),"Acompte déjà déduit sur une autre facture",IF(AND(L46&lt;&gt;"",IFERROR(INDEX(fa_client,MATCH(L46,fa_num,0)),D46)&lt;&gt;D46),"Acompte d'un autre client",IF(AND(AR46&lt;&gt;"",N(Q46)&lt;0),"Acompte supérieur au total de la facture",IF(IF(AG46="Facture",COUNTIFS(fl_doc,A46,fl_check,"&lt;&gt;OK"),IF(AG46="Devis",COUNTIFS(dl_doc,F46,dl_check,"&lt;&gt;OK"),0))&gt;0,"Ligne(s) à corriger",IF(AND(W46&lt;&gt;"",N(W46)&lt;0),"Trop-perçu : vérifiez paiements et avoirs","OK")))))))))))))))))))))</f>
        <v/>
      </c>
      <c r="AA46" s="62" t="str">
        <f>IF(COUNTA(B46:D46,F46:O46)&gt;0,IF(B46="","Facture",B46),"")</f>
        <v/>
      </c>
      <c r="AB46" s="62" t="str">
        <f>IF(AA46="","",IF(AA46="Avoir",p_pav,IF(AA46="Facture d'acompte",p_pac,p_pfa)))</f>
        <v/>
      </c>
      <c r="AC46" s="62">
        <f>IF(ISNUMBER(C46),C46,0)</f>
        <v>0.0</v>
      </c>
      <c r="AD46" s="62" t="str">
        <f>IF(OR(AA46="",AC46=0),"",YEAR(AC46))</f>
        <v/>
      </c>
      <c r="AE46" s="62" t="str">
        <f>IF(AD46="","",COUNTIFS($AB$6:AB46,AB46,$AD$6:AD46,AD46))</f>
        <v/>
      </c>
      <c r="AF46" s="62">
        <f>IF(A46="",0,COUNTIF(fl_doc,A46))</f>
        <v>0.0</v>
      </c>
      <c r="AG46" s="62" t="str">
        <f>IF(A46="","",IF(AF46&gt;0,"Facture",IF(AND(F46&lt;&gt;"",AA46="Facture",ISNUMBER(MATCH(F46,dv_num,0))),"Devis","")))</f>
        <v/>
      </c>
      <c r="AH46" s="62" t="str">
        <f>IF(AND(A46&lt;&gt;"",F46&lt;&gt;"",AA46&lt;&gt;"Avoir"),F46,"")</f>
        <v/>
      </c>
      <c r="AI46" s="62" t="str">
        <f>IF(AG46="Devis",F46,"")</f>
        <v/>
      </c>
      <c r="AJ46" s="62">
        <f>IF(AG46="Facture",SUMIF(fl_doc,A46,fl_ht),IF(AG46="Devis",SUMIF(dl_doc,F46,dl_ht),0))</f>
        <v>0.0</v>
      </c>
      <c r="AK46" s="62">
        <f>IF(OR(AG46="",INDEX(p_rates,1)=""),0,IF(AG46="Facture",SUMIFS(fl_ht,fl_doc,A46,fl_rate,INDEX(p_rates,1)),SUMIFS(dl_ht,dl_doc,F46,dl_rate,INDEX(p_rates,1))))</f>
        <v>0.0</v>
      </c>
      <c r="AL46" s="62">
        <f>IF(OR(AG46="",INDEX(p_rates,2)=""),0,IF(AG46="Facture",SUMIFS(fl_ht,fl_doc,A46,fl_rate,INDEX(p_rates,2)),SUMIFS(dl_ht,dl_doc,F46,dl_rate,INDEX(p_rates,2))))</f>
        <v>0.0</v>
      </c>
      <c r="AM46" s="62">
        <f>IF(OR(AG46="",INDEX(p_rates,3)=""),0,IF(AG46="Facture",SUMIFS(fl_ht,fl_doc,A46,fl_rate,INDEX(p_rates,3)),SUMIFS(dl_ht,dl_doc,F46,dl_rate,INDEX(p_rates,3))))</f>
        <v>0.0</v>
      </c>
      <c r="AN46" s="62">
        <f>IF(OR(AG46="",INDEX(p_rates,4)=""),0,IF(AG46="Facture",SUMIFS(fl_ht,fl_doc,A46,fl_rate,INDEX(p_rates,4)),SUMIFS(dl_ht,dl_doc,F46,dl_rate,INDEX(p_rates,4))))</f>
        <v>0.0</v>
      </c>
      <c r="AO46" s="62">
        <f>IF(OR(AG46="",INDEX(p_rates,5)=""),0,IF(AG46="Facture",SUMIFS(fl_ht,fl_doc,A46,fl_rate,INDEX(p_rates,5)),SUMIFS(dl_ht,dl_doc,F46,dl_rate,INDEX(p_rates,5))))</f>
        <v>0.0</v>
      </c>
      <c r="AP46" s="62">
        <f>IF(OR(AG46="",INDEX(p_rates,6)=""),0,IF(AG46="Facture",SUMIFS(fl_ht,fl_doc,A46,fl_rate,INDEX(p_rates,6)),SUMIFS(dl_ht,dl_doc,F46,dl_rate,INDEX(p_rates,6))))</f>
        <v>0.0</v>
      </c>
      <c r="AQ46" s="62">
        <f>ROUND(AK46*N(INDEX(p_rates,1)),2)+ROUND(AL46*N(INDEX(p_rates,2)),2)+ROUND(AM46*N(INDEX(p_rates,3)),2)+ROUND(AN46*N(INDEX(p_rates,4)),2)+ROUND(AO46*N(INDEX(p_rates,5)),2)+ROUND(AP46*N(INDEX(p_rates,6)),2)</f>
        <v>0.0</v>
      </c>
      <c r="AR46" s="62" t="str">
        <f>IF(OR(L46="",AA46&lt;&gt;"Facture"),"",IFERROR(IF(INDEX(fa_type,MATCH(L46,fa_num,0))="Facture d'acompte",MATCH(L46,fa_num,0),""),""))</f>
        <v/>
      </c>
      <c r="AS46" s="62" t="str">
        <f>IF(W46="","",IF(W46&lt;=0,"",IF(p_asof-P46&lt;=0,"Non échu",IF(p_asof-P46&lt;=30,"1-30 j",IF(p_asof-P46&lt;=60,"31-60 j",IF(p_asof-P46&lt;=90,"61-90 j","Plus de 90 j"))))))</f>
        <v/>
      </c>
      <c r="AT46" s="62" t="str">
        <f>IF(AS46="","",p_asof-P46)</f>
        <v/>
      </c>
      <c r="AU46" s="62" t="str">
        <f>IF(AT46="","",COUNTIF($AT$6:$AT$805,"&gt;"&amp;AT46)+COUNTIF($AT$6:AT46,AT46))</f>
        <v/>
      </c>
    </row>
    <row r="47">
      <c r="A47" s="59" t="str">
        <f>IF(AE47="","",AB47&amp;"-"&amp;AD47&amp;"-"&amp;RIGHT("000"&amp;AE47,4))</f>
        <v/>
      </c>
      <c r="B47" s="60" t="n"/>
      <c r="C47" s="61" t="n"/>
      <c r="D47" s="60" t="n"/>
      <c r="E47" s="62" t="str">
        <f>IF(D47="","",IFERROR(INDEX(cli_name,MATCH(D47,cli_code,0))&amp;"","Client inconnu"))</f>
        <v/>
      </c>
      <c r="F47" s="60" t="n"/>
      <c r="G47" s="63" t="n"/>
      <c r="H47" s="61" t="n"/>
      <c r="I47" s="63" t="n"/>
      <c r="J47" s="60" t="n"/>
      <c r="K47" s="61" t="n"/>
      <c r="L47" s="60" t="n"/>
      <c r="M47" s="60" t="n"/>
      <c r="N47" s="60" t="n"/>
      <c r="O47" s="61" t="n"/>
      <c r="P47" s="64" t="str">
        <f>IF(A47="","",IF(AA47="Avoir",AC47,IF(ISNUMBER(K47),K47,AC47+IF(D47="",N(p_delay),IFERROR(IF(ISNUMBER(INDEX(cli_delay,MATCH(D47,cli_code,0))),INDEX(cli_delay,MATCH(D47,cli_code,0)),N(p_delay)),N(p_delay))))))</f>
        <v/>
      </c>
      <c r="Q47" s="65" t="str">
        <f>IF(A47="","",IF(AA47="Avoir",-1,1)*ROUND(AJ47-IF(AR47="",0,INDEX(fa_htb,AR47)),2))</f>
        <v/>
      </c>
      <c r="R47" s="65" t="str">
        <f>IF(A47="","",IF(AA47="Avoir",-1,1)*ROUND(AQ47-IF(AR47="",0,INDEX(fa_tvab,AR47)),2))</f>
        <v/>
      </c>
      <c r="S47" s="65" t="str">
        <f>IF(A47="","",Q47+R47)</f>
        <v/>
      </c>
      <c r="T47" s="65" t="str">
        <f>IF(AR47="","",INDEX(fa_htb,AR47)+INDEX(fa_tvab,AR47))</f>
        <v/>
      </c>
      <c r="U47" s="65" t="str">
        <f>IF(A47="","",SUMIF(pa_inv,A47,pa_amt))</f>
        <v/>
      </c>
      <c r="V47" s="65" t="str">
        <f>IF(OR(A47="",AA47="Avoir"),"",-SUMIFS(fa_ttc,fa_avof,A47,fa_type,"Avoir"))</f>
        <v/>
      </c>
      <c r="W47" s="65" t="str">
        <f>IF(OR(A47="",AA47="Avoir"),"",ROUND(S47-U47-V47,2))</f>
        <v/>
      </c>
      <c r="X47" s="66" t="str">
        <f>IF(W47="","",IF(AND(W47&gt;0,p_asof&gt;P47),p_asof-P47,""))</f>
        <v/>
      </c>
      <c r="Y47" s="59" t="str">
        <f>IF(A47="","",IF(AA47="Avoir","Avoir",IF(W47&lt;0,"Trop-perçu",IF(W47=0,"Soldée",IF(p_asof&gt;P47,"En retard",IF(U47+V47&gt;0,"Partielle","À échoir"))))))</f>
        <v/>
      </c>
      <c r="Z47" s="59" t="str">
        <f>IF(NOT(COUNTA(B47:D47,F47:O47)&gt;0),"",IF(C47="","Date manquante",IF(NOT(ISNUMBER(C47)),"Date invalide",IF(D47="","Client manquant",IF(ISNA(MATCH(D47,cli_code,0)),"Client inconnu",IF(AC47&lt;SUMPRODUCT(MAX(($AB$6:AB46=AB47)*$AC$6:AC46)),"Date antérieure à la facture précédente",IF(AND(F47&lt;&gt;"",ISNA(MATCH(F47,dv_num,0))),"Devis inconnu",IF(AND(F47&lt;&gt;"",IFERROR(INDEX(dv_client,MATCH(F47,dv_num,0)),D47)&lt;&gt;D47),"Client différent de celui du devis",IF(AG47="","Aucune ligne : saisissez des lignes ou un devis",IF(AND(AI47&lt;&gt;"",COUNTIF($AI$6:AI47,AI47)&gt;1),"Devis déjà repris par une autre facture",IF(AND(AA47="Avoir",M47=""),"Avoir : indiquez la facture d'origine",IF(AND(AA47="Avoir",ISNA(MATCH(M47,fa_num,0))),"Facture d'origine inconnue",IF(AND(AA47&lt;&gt;"Avoir",M47&lt;&gt;""),"« Avoir sur facture » : réservé aux avoirs",IF(AND(L47&lt;&gt;"",AA47&lt;&gt;"Facture"),"Acompte à déduire : réservé aux factures",IF(AND(L47&lt;&gt;"",ISNA(MATCH(L47,fa_num,0))),"Facture d'acompte inconnue",IF(AND(L47&lt;&gt;"",IFERROR(INDEX(fa_type,MATCH(L47,fa_num,0)),"")&lt;&gt;"Facture d'acompte"),"Le n° à déduire n'est pas une facture d'acompte",IF(AND(L47&lt;&gt;"",COUNTIF($L$6:L47,L47)&gt;1),"Acompte déjà déduit sur une autre facture",IF(AND(L47&lt;&gt;"",IFERROR(INDEX(fa_client,MATCH(L47,fa_num,0)),D47)&lt;&gt;D47),"Acompte d'un autre client",IF(AND(AR47&lt;&gt;"",N(Q47)&lt;0),"Acompte supérieur au total de la facture",IF(IF(AG47="Facture",COUNTIFS(fl_doc,A47,fl_check,"&lt;&gt;OK"),IF(AG47="Devis",COUNTIFS(dl_doc,F47,dl_check,"&lt;&gt;OK"),0))&gt;0,"Ligne(s) à corriger",IF(AND(W47&lt;&gt;"",N(W47)&lt;0),"Trop-perçu : vérifiez paiements et avoirs","OK")))))))))))))))))))))</f>
        <v/>
      </c>
      <c r="AA47" s="62" t="str">
        <f>IF(COUNTA(B47:D47,F47:O47)&gt;0,IF(B47="","Facture",B47),"")</f>
        <v/>
      </c>
      <c r="AB47" s="62" t="str">
        <f>IF(AA47="","",IF(AA47="Avoir",p_pav,IF(AA47="Facture d'acompte",p_pac,p_pfa)))</f>
        <v/>
      </c>
      <c r="AC47" s="62">
        <f>IF(ISNUMBER(C47),C47,0)</f>
        <v>0.0</v>
      </c>
      <c r="AD47" s="62" t="str">
        <f>IF(OR(AA47="",AC47=0),"",YEAR(AC47))</f>
        <v/>
      </c>
      <c r="AE47" s="62" t="str">
        <f>IF(AD47="","",COUNTIFS($AB$6:AB47,AB47,$AD$6:AD47,AD47))</f>
        <v/>
      </c>
      <c r="AF47" s="62">
        <f>IF(A47="",0,COUNTIF(fl_doc,A47))</f>
        <v>0.0</v>
      </c>
      <c r="AG47" s="62" t="str">
        <f>IF(A47="","",IF(AF47&gt;0,"Facture",IF(AND(F47&lt;&gt;"",AA47="Facture",ISNUMBER(MATCH(F47,dv_num,0))),"Devis","")))</f>
        <v/>
      </c>
      <c r="AH47" s="62" t="str">
        <f>IF(AND(A47&lt;&gt;"",F47&lt;&gt;"",AA47&lt;&gt;"Avoir"),F47,"")</f>
        <v/>
      </c>
      <c r="AI47" s="62" t="str">
        <f>IF(AG47="Devis",F47,"")</f>
        <v/>
      </c>
      <c r="AJ47" s="62">
        <f>IF(AG47="Facture",SUMIF(fl_doc,A47,fl_ht),IF(AG47="Devis",SUMIF(dl_doc,F47,dl_ht),0))</f>
        <v>0.0</v>
      </c>
      <c r="AK47" s="62">
        <f>IF(OR(AG47="",INDEX(p_rates,1)=""),0,IF(AG47="Facture",SUMIFS(fl_ht,fl_doc,A47,fl_rate,INDEX(p_rates,1)),SUMIFS(dl_ht,dl_doc,F47,dl_rate,INDEX(p_rates,1))))</f>
        <v>0.0</v>
      </c>
      <c r="AL47" s="62">
        <f>IF(OR(AG47="",INDEX(p_rates,2)=""),0,IF(AG47="Facture",SUMIFS(fl_ht,fl_doc,A47,fl_rate,INDEX(p_rates,2)),SUMIFS(dl_ht,dl_doc,F47,dl_rate,INDEX(p_rates,2))))</f>
        <v>0.0</v>
      </c>
      <c r="AM47" s="62">
        <f>IF(OR(AG47="",INDEX(p_rates,3)=""),0,IF(AG47="Facture",SUMIFS(fl_ht,fl_doc,A47,fl_rate,INDEX(p_rates,3)),SUMIFS(dl_ht,dl_doc,F47,dl_rate,INDEX(p_rates,3))))</f>
        <v>0.0</v>
      </c>
      <c r="AN47" s="62">
        <f>IF(OR(AG47="",INDEX(p_rates,4)=""),0,IF(AG47="Facture",SUMIFS(fl_ht,fl_doc,A47,fl_rate,INDEX(p_rates,4)),SUMIFS(dl_ht,dl_doc,F47,dl_rate,INDEX(p_rates,4))))</f>
        <v>0.0</v>
      </c>
      <c r="AO47" s="62">
        <f>IF(OR(AG47="",INDEX(p_rates,5)=""),0,IF(AG47="Facture",SUMIFS(fl_ht,fl_doc,A47,fl_rate,INDEX(p_rates,5)),SUMIFS(dl_ht,dl_doc,F47,dl_rate,INDEX(p_rates,5))))</f>
        <v>0.0</v>
      </c>
      <c r="AP47" s="62">
        <f>IF(OR(AG47="",INDEX(p_rates,6)=""),0,IF(AG47="Facture",SUMIFS(fl_ht,fl_doc,A47,fl_rate,INDEX(p_rates,6)),SUMIFS(dl_ht,dl_doc,F47,dl_rate,INDEX(p_rates,6))))</f>
        <v>0.0</v>
      </c>
      <c r="AQ47" s="62">
        <f>ROUND(AK47*N(INDEX(p_rates,1)),2)+ROUND(AL47*N(INDEX(p_rates,2)),2)+ROUND(AM47*N(INDEX(p_rates,3)),2)+ROUND(AN47*N(INDEX(p_rates,4)),2)+ROUND(AO47*N(INDEX(p_rates,5)),2)+ROUND(AP47*N(INDEX(p_rates,6)),2)</f>
        <v>0.0</v>
      </c>
      <c r="AR47" s="62" t="str">
        <f>IF(OR(L47="",AA47&lt;&gt;"Facture"),"",IFERROR(IF(INDEX(fa_type,MATCH(L47,fa_num,0))="Facture d'acompte",MATCH(L47,fa_num,0),""),""))</f>
        <v/>
      </c>
      <c r="AS47" s="62" t="str">
        <f>IF(W47="","",IF(W47&lt;=0,"",IF(p_asof-P47&lt;=0,"Non échu",IF(p_asof-P47&lt;=30,"1-30 j",IF(p_asof-P47&lt;=60,"31-60 j",IF(p_asof-P47&lt;=90,"61-90 j","Plus de 90 j"))))))</f>
        <v/>
      </c>
      <c r="AT47" s="62" t="str">
        <f>IF(AS47="","",p_asof-P47)</f>
        <v/>
      </c>
      <c r="AU47" s="62" t="str">
        <f>IF(AT47="","",COUNTIF($AT$6:$AT$805,"&gt;"&amp;AT47)+COUNTIF($AT$6:AT47,AT47))</f>
        <v/>
      </c>
    </row>
    <row r="48">
      <c r="A48" s="59" t="str">
        <f>IF(AE48="","",AB48&amp;"-"&amp;AD48&amp;"-"&amp;RIGHT("000"&amp;AE48,4))</f>
        <v/>
      </c>
      <c r="B48" s="60" t="n"/>
      <c r="C48" s="61" t="n"/>
      <c r="D48" s="60" t="n"/>
      <c r="E48" s="62" t="str">
        <f>IF(D48="","",IFERROR(INDEX(cli_name,MATCH(D48,cli_code,0))&amp;"","Client inconnu"))</f>
        <v/>
      </c>
      <c r="F48" s="60" t="n"/>
      <c r="G48" s="63" t="n"/>
      <c r="H48" s="61" t="n"/>
      <c r="I48" s="63" t="n"/>
      <c r="J48" s="60" t="n"/>
      <c r="K48" s="61" t="n"/>
      <c r="L48" s="60" t="n"/>
      <c r="M48" s="60" t="n"/>
      <c r="N48" s="60" t="n"/>
      <c r="O48" s="61" t="n"/>
      <c r="P48" s="64" t="str">
        <f>IF(A48="","",IF(AA48="Avoir",AC48,IF(ISNUMBER(K48),K48,AC48+IF(D48="",N(p_delay),IFERROR(IF(ISNUMBER(INDEX(cli_delay,MATCH(D48,cli_code,0))),INDEX(cli_delay,MATCH(D48,cli_code,0)),N(p_delay)),N(p_delay))))))</f>
        <v/>
      </c>
      <c r="Q48" s="65" t="str">
        <f>IF(A48="","",IF(AA48="Avoir",-1,1)*ROUND(AJ48-IF(AR48="",0,INDEX(fa_htb,AR48)),2))</f>
        <v/>
      </c>
      <c r="R48" s="65" t="str">
        <f>IF(A48="","",IF(AA48="Avoir",-1,1)*ROUND(AQ48-IF(AR48="",0,INDEX(fa_tvab,AR48)),2))</f>
        <v/>
      </c>
      <c r="S48" s="65" t="str">
        <f>IF(A48="","",Q48+R48)</f>
        <v/>
      </c>
      <c r="T48" s="65" t="str">
        <f>IF(AR48="","",INDEX(fa_htb,AR48)+INDEX(fa_tvab,AR48))</f>
        <v/>
      </c>
      <c r="U48" s="65" t="str">
        <f>IF(A48="","",SUMIF(pa_inv,A48,pa_amt))</f>
        <v/>
      </c>
      <c r="V48" s="65" t="str">
        <f>IF(OR(A48="",AA48="Avoir"),"",-SUMIFS(fa_ttc,fa_avof,A48,fa_type,"Avoir"))</f>
        <v/>
      </c>
      <c r="W48" s="65" t="str">
        <f>IF(OR(A48="",AA48="Avoir"),"",ROUND(S48-U48-V48,2))</f>
        <v/>
      </c>
      <c r="X48" s="66" t="str">
        <f>IF(W48="","",IF(AND(W48&gt;0,p_asof&gt;P48),p_asof-P48,""))</f>
        <v/>
      </c>
      <c r="Y48" s="59" t="str">
        <f>IF(A48="","",IF(AA48="Avoir","Avoir",IF(W48&lt;0,"Trop-perçu",IF(W48=0,"Soldée",IF(p_asof&gt;P48,"En retard",IF(U48+V48&gt;0,"Partielle","À échoir"))))))</f>
        <v/>
      </c>
      <c r="Z48" s="59" t="str">
        <f>IF(NOT(COUNTA(B48:D48,F48:O48)&gt;0),"",IF(C48="","Date manquante",IF(NOT(ISNUMBER(C48)),"Date invalide",IF(D48="","Client manquant",IF(ISNA(MATCH(D48,cli_code,0)),"Client inconnu",IF(AC48&lt;SUMPRODUCT(MAX(($AB$6:AB47=AB48)*$AC$6:AC47)),"Date antérieure à la facture précédente",IF(AND(F48&lt;&gt;"",ISNA(MATCH(F48,dv_num,0))),"Devis inconnu",IF(AND(F48&lt;&gt;"",IFERROR(INDEX(dv_client,MATCH(F48,dv_num,0)),D48)&lt;&gt;D48),"Client différent de celui du devis",IF(AG48="","Aucune ligne : saisissez des lignes ou un devis",IF(AND(AI48&lt;&gt;"",COUNTIF($AI$6:AI48,AI48)&gt;1),"Devis déjà repris par une autre facture",IF(AND(AA48="Avoir",M48=""),"Avoir : indiquez la facture d'origine",IF(AND(AA48="Avoir",ISNA(MATCH(M48,fa_num,0))),"Facture d'origine inconnue",IF(AND(AA48&lt;&gt;"Avoir",M48&lt;&gt;""),"« Avoir sur facture » : réservé aux avoirs",IF(AND(L48&lt;&gt;"",AA48&lt;&gt;"Facture"),"Acompte à déduire : réservé aux factures",IF(AND(L48&lt;&gt;"",ISNA(MATCH(L48,fa_num,0))),"Facture d'acompte inconnue",IF(AND(L48&lt;&gt;"",IFERROR(INDEX(fa_type,MATCH(L48,fa_num,0)),"")&lt;&gt;"Facture d'acompte"),"Le n° à déduire n'est pas une facture d'acompte",IF(AND(L48&lt;&gt;"",COUNTIF($L$6:L48,L48)&gt;1),"Acompte déjà déduit sur une autre facture",IF(AND(L48&lt;&gt;"",IFERROR(INDEX(fa_client,MATCH(L48,fa_num,0)),D48)&lt;&gt;D48),"Acompte d'un autre client",IF(AND(AR48&lt;&gt;"",N(Q48)&lt;0),"Acompte supérieur au total de la facture",IF(IF(AG48="Facture",COUNTIFS(fl_doc,A48,fl_check,"&lt;&gt;OK"),IF(AG48="Devis",COUNTIFS(dl_doc,F48,dl_check,"&lt;&gt;OK"),0))&gt;0,"Ligne(s) à corriger",IF(AND(W48&lt;&gt;"",N(W48)&lt;0),"Trop-perçu : vérifiez paiements et avoirs","OK")))))))))))))))))))))</f>
        <v/>
      </c>
      <c r="AA48" s="62" t="str">
        <f>IF(COUNTA(B48:D48,F48:O48)&gt;0,IF(B48="","Facture",B48),"")</f>
        <v/>
      </c>
      <c r="AB48" s="62" t="str">
        <f>IF(AA48="","",IF(AA48="Avoir",p_pav,IF(AA48="Facture d'acompte",p_pac,p_pfa)))</f>
        <v/>
      </c>
      <c r="AC48" s="62">
        <f>IF(ISNUMBER(C48),C48,0)</f>
        <v>0.0</v>
      </c>
      <c r="AD48" s="62" t="str">
        <f>IF(OR(AA48="",AC48=0),"",YEAR(AC48))</f>
        <v/>
      </c>
      <c r="AE48" s="62" t="str">
        <f>IF(AD48="","",COUNTIFS($AB$6:AB48,AB48,$AD$6:AD48,AD48))</f>
        <v/>
      </c>
      <c r="AF48" s="62">
        <f>IF(A48="",0,COUNTIF(fl_doc,A48))</f>
        <v>0.0</v>
      </c>
      <c r="AG48" s="62" t="str">
        <f>IF(A48="","",IF(AF48&gt;0,"Facture",IF(AND(F48&lt;&gt;"",AA48="Facture",ISNUMBER(MATCH(F48,dv_num,0))),"Devis","")))</f>
        <v/>
      </c>
      <c r="AH48" s="62" t="str">
        <f>IF(AND(A48&lt;&gt;"",F48&lt;&gt;"",AA48&lt;&gt;"Avoir"),F48,"")</f>
        <v/>
      </c>
      <c r="AI48" s="62" t="str">
        <f>IF(AG48="Devis",F48,"")</f>
        <v/>
      </c>
      <c r="AJ48" s="62">
        <f>IF(AG48="Facture",SUMIF(fl_doc,A48,fl_ht),IF(AG48="Devis",SUMIF(dl_doc,F48,dl_ht),0))</f>
        <v>0.0</v>
      </c>
      <c r="AK48" s="62">
        <f>IF(OR(AG48="",INDEX(p_rates,1)=""),0,IF(AG48="Facture",SUMIFS(fl_ht,fl_doc,A48,fl_rate,INDEX(p_rates,1)),SUMIFS(dl_ht,dl_doc,F48,dl_rate,INDEX(p_rates,1))))</f>
        <v>0.0</v>
      </c>
      <c r="AL48" s="62">
        <f>IF(OR(AG48="",INDEX(p_rates,2)=""),0,IF(AG48="Facture",SUMIFS(fl_ht,fl_doc,A48,fl_rate,INDEX(p_rates,2)),SUMIFS(dl_ht,dl_doc,F48,dl_rate,INDEX(p_rates,2))))</f>
        <v>0.0</v>
      </c>
      <c r="AM48" s="62">
        <f>IF(OR(AG48="",INDEX(p_rates,3)=""),0,IF(AG48="Facture",SUMIFS(fl_ht,fl_doc,A48,fl_rate,INDEX(p_rates,3)),SUMIFS(dl_ht,dl_doc,F48,dl_rate,INDEX(p_rates,3))))</f>
        <v>0.0</v>
      </c>
      <c r="AN48" s="62">
        <f>IF(OR(AG48="",INDEX(p_rates,4)=""),0,IF(AG48="Facture",SUMIFS(fl_ht,fl_doc,A48,fl_rate,INDEX(p_rates,4)),SUMIFS(dl_ht,dl_doc,F48,dl_rate,INDEX(p_rates,4))))</f>
        <v>0.0</v>
      </c>
      <c r="AO48" s="62">
        <f>IF(OR(AG48="",INDEX(p_rates,5)=""),0,IF(AG48="Facture",SUMIFS(fl_ht,fl_doc,A48,fl_rate,INDEX(p_rates,5)),SUMIFS(dl_ht,dl_doc,F48,dl_rate,INDEX(p_rates,5))))</f>
        <v>0.0</v>
      </c>
      <c r="AP48" s="62">
        <f>IF(OR(AG48="",INDEX(p_rates,6)=""),0,IF(AG48="Facture",SUMIFS(fl_ht,fl_doc,A48,fl_rate,INDEX(p_rates,6)),SUMIFS(dl_ht,dl_doc,F48,dl_rate,INDEX(p_rates,6))))</f>
        <v>0.0</v>
      </c>
      <c r="AQ48" s="62">
        <f>ROUND(AK48*N(INDEX(p_rates,1)),2)+ROUND(AL48*N(INDEX(p_rates,2)),2)+ROUND(AM48*N(INDEX(p_rates,3)),2)+ROUND(AN48*N(INDEX(p_rates,4)),2)+ROUND(AO48*N(INDEX(p_rates,5)),2)+ROUND(AP48*N(INDEX(p_rates,6)),2)</f>
        <v>0.0</v>
      </c>
      <c r="AR48" s="62" t="str">
        <f>IF(OR(L48="",AA48&lt;&gt;"Facture"),"",IFERROR(IF(INDEX(fa_type,MATCH(L48,fa_num,0))="Facture d'acompte",MATCH(L48,fa_num,0),""),""))</f>
        <v/>
      </c>
      <c r="AS48" s="62" t="str">
        <f>IF(W48="","",IF(W48&lt;=0,"",IF(p_asof-P48&lt;=0,"Non échu",IF(p_asof-P48&lt;=30,"1-30 j",IF(p_asof-P48&lt;=60,"31-60 j",IF(p_asof-P48&lt;=90,"61-90 j","Plus de 90 j"))))))</f>
        <v/>
      </c>
      <c r="AT48" s="62" t="str">
        <f>IF(AS48="","",p_asof-P48)</f>
        <v/>
      </c>
      <c r="AU48" s="62" t="str">
        <f>IF(AT48="","",COUNTIF($AT$6:$AT$805,"&gt;"&amp;AT48)+COUNTIF($AT$6:AT48,AT48))</f>
        <v/>
      </c>
    </row>
    <row r="49">
      <c r="A49" s="59" t="str">
        <f>IF(AE49="","",AB49&amp;"-"&amp;AD49&amp;"-"&amp;RIGHT("000"&amp;AE49,4))</f>
        <v/>
      </c>
      <c r="B49" s="60" t="n"/>
      <c r="C49" s="61" t="n"/>
      <c r="D49" s="60" t="n"/>
      <c r="E49" s="62" t="str">
        <f>IF(D49="","",IFERROR(INDEX(cli_name,MATCH(D49,cli_code,0))&amp;"","Client inconnu"))</f>
        <v/>
      </c>
      <c r="F49" s="60" t="n"/>
      <c r="G49" s="63" t="n"/>
      <c r="H49" s="61" t="n"/>
      <c r="I49" s="63" t="n"/>
      <c r="J49" s="60" t="n"/>
      <c r="K49" s="61" t="n"/>
      <c r="L49" s="60" t="n"/>
      <c r="M49" s="60" t="n"/>
      <c r="N49" s="60" t="n"/>
      <c r="O49" s="61" t="n"/>
      <c r="P49" s="64" t="str">
        <f>IF(A49="","",IF(AA49="Avoir",AC49,IF(ISNUMBER(K49),K49,AC49+IF(D49="",N(p_delay),IFERROR(IF(ISNUMBER(INDEX(cli_delay,MATCH(D49,cli_code,0))),INDEX(cli_delay,MATCH(D49,cli_code,0)),N(p_delay)),N(p_delay))))))</f>
        <v/>
      </c>
      <c r="Q49" s="65" t="str">
        <f>IF(A49="","",IF(AA49="Avoir",-1,1)*ROUND(AJ49-IF(AR49="",0,INDEX(fa_htb,AR49)),2))</f>
        <v/>
      </c>
      <c r="R49" s="65" t="str">
        <f>IF(A49="","",IF(AA49="Avoir",-1,1)*ROUND(AQ49-IF(AR49="",0,INDEX(fa_tvab,AR49)),2))</f>
        <v/>
      </c>
      <c r="S49" s="65" t="str">
        <f>IF(A49="","",Q49+R49)</f>
        <v/>
      </c>
      <c r="T49" s="65" t="str">
        <f>IF(AR49="","",INDEX(fa_htb,AR49)+INDEX(fa_tvab,AR49))</f>
        <v/>
      </c>
      <c r="U49" s="65" t="str">
        <f>IF(A49="","",SUMIF(pa_inv,A49,pa_amt))</f>
        <v/>
      </c>
      <c r="V49" s="65" t="str">
        <f>IF(OR(A49="",AA49="Avoir"),"",-SUMIFS(fa_ttc,fa_avof,A49,fa_type,"Avoir"))</f>
        <v/>
      </c>
      <c r="W49" s="65" t="str">
        <f>IF(OR(A49="",AA49="Avoir"),"",ROUND(S49-U49-V49,2))</f>
        <v/>
      </c>
      <c r="X49" s="66" t="str">
        <f>IF(W49="","",IF(AND(W49&gt;0,p_asof&gt;P49),p_asof-P49,""))</f>
        <v/>
      </c>
      <c r="Y49" s="59" t="str">
        <f>IF(A49="","",IF(AA49="Avoir","Avoir",IF(W49&lt;0,"Trop-perçu",IF(W49=0,"Soldée",IF(p_asof&gt;P49,"En retard",IF(U49+V49&gt;0,"Partielle","À échoir"))))))</f>
        <v/>
      </c>
      <c r="Z49" s="59" t="str">
        <f>IF(NOT(COUNTA(B49:D49,F49:O49)&gt;0),"",IF(C49="","Date manquante",IF(NOT(ISNUMBER(C49)),"Date invalide",IF(D49="","Client manquant",IF(ISNA(MATCH(D49,cli_code,0)),"Client inconnu",IF(AC49&lt;SUMPRODUCT(MAX(($AB$6:AB48=AB49)*$AC$6:AC48)),"Date antérieure à la facture précédente",IF(AND(F49&lt;&gt;"",ISNA(MATCH(F49,dv_num,0))),"Devis inconnu",IF(AND(F49&lt;&gt;"",IFERROR(INDEX(dv_client,MATCH(F49,dv_num,0)),D49)&lt;&gt;D49),"Client différent de celui du devis",IF(AG49="","Aucune ligne : saisissez des lignes ou un devis",IF(AND(AI49&lt;&gt;"",COUNTIF($AI$6:AI49,AI49)&gt;1),"Devis déjà repris par une autre facture",IF(AND(AA49="Avoir",M49=""),"Avoir : indiquez la facture d'origine",IF(AND(AA49="Avoir",ISNA(MATCH(M49,fa_num,0))),"Facture d'origine inconnue",IF(AND(AA49&lt;&gt;"Avoir",M49&lt;&gt;""),"« Avoir sur facture » : réservé aux avoirs",IF(AND(L49&lt;&gt;"",AA49&lt;&gt;"Facture"),"Acompte à déduire : réservé aux factures",IF(AND(L49&lt;&gt;"",ISNA(MATCH(L49,fa_num,0))),"Facture d'acompte inconnue",IF(AND(L49&lt;&gt;"",IFERROR(INDEX(fa_type,MATCH(L49,fa_num,0)),"")&lt;&gt;"Facture d'acompte"),"Le n° à déduire n'est pas une facture d'acompte",IF(AND(L49&lt;&gt;"",COUNTIF($L$6:L49,L49)&gt;1),"Acompte déjà déduit sur une autre facture",IF(AND(L49&lt;&gt;"",IFERROR(INDEX(fa_client,MATCH(L49,fa_num,0)),D49)&lt;&gt;D49),"Acompte d'un autre client",IF(AND(AR49&lt;&gt;"",N(Q49)&lt;0),"Acompte supérieur au total de la facture",IF(IF(AG49="Facture",COUNTIFS(fl_doc,A49,fl_check,"&lt;&gt;OK"),IF(AG49="Devis",COUNTIFS(dl_doc,F49,dl_check,"&lt;&gt;OK"),0))&gt;0,"Ligne(s) à corriger",IF(AND(W49&lt;&gt;"",N(W49)&lt;0),"Trop-perçu : vérifiez paiements et avoirs","OK")))))))))))))))))))))</f>
        <v/>
      </c>
      <c r="AA49" s="62" t="str">
        <f>IF(COUNTA(B49:D49,F49:O49)&gt;0,IF(B49="","Facture",B49),"")</f>
        <v/>
      </c>
      <c r="AB49" s="62" t="str">
        <f>IF(AA49="","",IF(AA49="Avoir",p_pav,IF(AA49="Facture d'acompte",p_pac,p_pfa)))</f>
        <v/>
      </c>
      <c r="AC49" s="62">
        <f>IF(ISNUMBER(C49),C49,0)</f>
        <v>0.0</v>
      </c>
      <c r="AD49" s="62" t="str">
        <f>IF(OR(AA49="",AC49=0),"",YEAR(AC49))</f>
        <v/>
      </c>
      <c r="AE49" s="62" t="str">
        <f>IF(AD49="","",COUNTIFS($AB$6:AB49,AB49,$AD$6:AD49,AD49))</f>
        <v/>
      </c>
      <c r="AF49" s="62">
        <f>IF(A49="",0,COUNTIF(fl_doc,A49))</f>
        <v>0.0</v>
      </c>
      <c r="AG49" s="62" t="str">
        <f>IF(A49="","",IF(AF49&gt;0,"Facture",IF(AND(F49&lt;&gt;"",AA49="Facture",ISNUMBER(MATCH(F49,dv_num,0))),"Devis","")))</f>
        <v/>
      </c>
      <c r="AH49" s="62" t="str">
        <f>IF(AND(A49&lt;&gt;"",F49&lt;&gt;"",AA49&lt;&gt;"Avoir"),F49,"")</f>
        <v/>
      </c>
      <c r="AI49" s="62" t="str">
        <f>IF(AG49="Devis",F49,"")</f>
        <v/>
      </c>
      <c r="AJ49" s="62">
        <f>IF(AG49="Facture",SUMIF(fl_doc,A49,fl_ht),IF(AG49="Devis",SUMIF(dl_doc,F49,dl_ht),0))</f>
        <v>0.0</v>
      </c>
      <c r="AK49" s="62">
        <f>IF(OR(AG49="",INDEX(p_rates,1)=""),0,IF(AG49="Facture",SUMIFS(fl_ht,fl_doc,A49,fl_rate,INDEX(p_rates,1)),SUMIFS(dl_ht,dl_doc,F49,dl_rate,INDEX(p_rates,1))))</f>
        <v>0.0</v>
      </c>
      <c r="AL49" s="62">
        <f>IF(OR(AG49="",INDEX(p_rates,2)=""),0,IF(AG49="Facture",SUMIFS(fl_ht,fl_doc,A49,fl_rate,INDEX(p_rates,2)),SUMIFS(dl_ht,dl_doc,F49,dl_rate,INDEX(p_rates,2))))</f>
        <v>0.0</v>
      </c>
      <c r="AM49" s="62">
        <f>IF(OR(AG49="",INDEX(p_rates,3)=""),0,IF(AG49="Facture",SUMIFS(fl_ht,fl_doc,A49,fl_rate,INDEX(p_rates,3)),SUMIFS(dl_ht,dl_doc,F49,dl_rate,INDEX(p_rates,3))))</f>
        <v>0.0</v>
      </c>
      <c r="AN49" s="62">
        <f>IF(OR(AG49="",INDEX(p_rates,4)=""),0,IF(AG49="Facture",SUMIFS(fl_ht,fl_doc,A49,fl_rate,INDEX(p_rates,4)),SUMIFS(dl_ht,dl_doc,F49,dl_rate,INDEX(p_rates,4))))</f>
        <v>0.0</v>
      </c>
      <c r="AO49" s="62">
        <f>IF(OR(AG49="",INDEX(p_rates,5)=""),0,IF(AG49="Facture",SUMIFS(fl_ht,fl_doc,A49,fl_rate,INDEX(p_rates,5)),SUMIFS(dl_ht,dl_doc,F49,dl_rate,INDEX(p_rates,5))))</f>
        <v>0.0</v>
      </c>
      <c r="AP49" s="62">
        <f>IF(OR(AG49="",INDEX(p_rates,6)=""),0,IF(AG49="Facture",SUMIFS(fl_ht,fl_doc,A49,fl_rate,INDEX(p_rates,6)),SUMIFS(dl_ht,dl_doc,F49,dl_rate,INDEX(p_rates,6))))</f>
        <v>0.0</v>
      </c>
      <c r="AQ49" s="62">
        <f>ROUND(AK49*N(INDEX(p_rates,1)),2)+ROUND(AL49*N(INDEX(p_rates,2)),2)+ROUND(AM49*N(INDEX(p_rates,3)),2)+ROUND(AN49*N(INDEX(p_rates,4)),2)+ROUND(AO49*N(INDEX(p_rates,5)),2)+ROUND(AP49*N(INDEX(p_rates,6)),2)</f>
        <v>0.0</v>
      </c>
      <c r="AR49" s="62" t="str">
        <f>IF(OR(L49="",AA49&lt;&gt;"Facture"),"",IFERROR(IF(INDEX(fa_type,MATCH(L49,fa_num,0))="Facture d'acompte",MATCH(L49,fa_num,0),""),""))</f>
        <v/>
      </c>
      <c r="AS49" s="62" t="str">
        <f>IF(W49="","",IF(W49&lt;=0,"",IF(p_asof-P49&lt;=0,"Non échu",IF(p_asof-P49&lt;=30,"1-30 j",IF(p_asof-P49&lt;=60,"31-60 j",IF(p_asof-P49&lt;=90,"61-90 j","Plus de 90 j"))))))</f>
        <v/>
      </c>
      <c r="AT49" s="62" t="str">
        <f>IF(AS49="","",p_asof-P49)</f>
        <v/>
      </c>
      <c r="AU49" s="62" t="str">
        <f>IF(AT49="","",COUNTIF($AT$6:$AT$805,"&gt;"&amp;AT49)+COUNTIF($AT$6:AT49,AT49))</f>
        <v/>
      </c>
    </row>
    <row r="50">
      <c r="A50" s="59" t="str">
        <f>IF(AE50="","",AB50&amp;"-"&amp;AD50&amp;"-"&amp;RIGHT("000"&amp;AE50,4))</f>
        <v/>
      </c>
      <c r="B50" s="60" t="n"/>
      <c r="C50" s="61" t="n"/>
      <c r="D50" s="60" t="n"/>
      <c r="E50" s="62" t="str">
        <f>IF(D50="","",IFERROR(INDEX(cli_name,MATCH(D50,cli_code,0))&amp;"","Client inconnu"))</f>
        <v/>
      </c>
      <c r="F50" s="60" t="n"/>
      <c r="G50" s="63" t="n"/>
      <c r="H50" s="61" t="n"/>
      <c r="I50" s="63" t="n"/>
      <c r="J50" s="60" t="n"/>
      <c r="K50" s="61" t="n"/>
      <c r="L50" s="60" t="n"/>
      <c r="M50" s="60" t="n"/>
      <c r="N50" s="60" t="n"/>
      <c r="O50" s="61" t="n"/>
      <c r="P50" s="64" t="str">
        <f>IF(A50="","",IF(AA50="Avoir",AC50,IF(ISNUMBER(K50),K50,AC50+IF(D50="",N(p_delay),IFERROR(IF(ISNUMBER(INDEX(cli_delay,MATCH(D50,cli_code,0))),INDEX(cli_delay,MATCH(D50,cli_code,0)),N(p_delay)),N(p_delay))))))</f>
        <v/>
      </c>
      <c r="Q50" s="65" t="str">
        <f>IF(A50="","",IF(AA50="Avoir",-1,1)*ROUND(AJ50-IF(AR50="",0,INDEX(fa_htb,AR50)),2))</f>
        <v/>
      </c>
      <c r="R50" s="65" t="str">
        <f>IF(A50="","",IF(AA50="Avoir",-1,1)*ROUND(AQ50-IF(AR50="",0,INDEX(fa_tvab,AR50)),2))</f>
        <v/>
      </c>
      <c r="S50" s="65" t="str">
        <f>IF(A50="","",Q50+R50)</f>
        <v/>
      </c>
      <c r="T50" s="65" t="str">
        <f>IF(AR50="","",INDEX(fa_htb,AR50)+INDEX(fa_tvab,AR50))</f>
        <v/>
      </c>
      <c r="U50" s="65" t="str">
        <f>IF(A50="","",SUMIF(pa_inv,A50,pa_amt))</f>
        <v/>
      </c>
      <c r="V50" s="65" t="str">
        <f>IF(OR(A50="",AA50="Avoir"),"",-SUMIFS(fa_ttc,fa_avof,A50,fa_type,"Avoir"))</f>
        <v/>
      </c>
      <c r="W50" s="65" t="str">
        <f>IF(OR(A50="",AA50="Avoir"),"",ROUND(S50-U50-V50,2))</f>
        <v/>
      </c>
      <c r="X50" s="66" t="str">
        <f>IF(W50="","",IF(AND(W50&gt;0,p_asof&gt;P50),p_asof-P50,""))</f>
        <v/>
      </c>
      <c r="Y50" s="59" t="str">
        <f>IF(A50="","",IF(AA50="Avoir","Avoir",IF(W50&lt;0,"Trop-perçu",IF(W50=0,"Soldée",IF(p_asof&gt;P50,"En retard",IF(U50+V50&gt;0,"Partielle","À échoir"))))))</f>
        <v/>
      </c>
      <c r="Z50" s="59" t="str">
        <f>IF(NOT(COUNTA(B50:D50,F50:O50)&gt;0),"",IF(C50="","Date manquante",IF(NOT(ISNUMBER(C50)),"Date invalide",IF(D50="","Client manquant",IF(ISNA(MATCH(D50,cli_code,0)),"Client inconnu",IF(AC50&lt;SUMPRODUCT(MAX(($AB$6:AB49=AB50)*$AC$6:AC49)),"Date antérieure à la facture précédente",IF(AND(F50&lt;&gt;"",ISNA(MATCH(F50,dv_num,0))),"Devis inconnu",IF(AND(F50&lt;&gt;"",IFERROR(INDEX(dv_client,MATCH(F50,dv_num,0)),D50)&lt;&gt;D50),"Client différent de celui du devis",IF(AG50="","Aucune ligne : saisissez des lignes ou un devis",IF(AND(AI50&lt;&gt;"",COUNTIF($AI$6:AI50,AI50)&gt;1),"Devis déjà repris par une autre facture",IF(AND(AA50="Avoir",M50=""),"Avoir : indiquez la facture d'origine",IF(AND(AA50="Avoir",ISNA(MATCH(M50,fa_num,0))),"Facture d'origine inconnue",IF(AND(AA50&lt;&gt;"Avoir",M50&lt;&gt;""),"« Avoir sur facture » : réservé aux avoirs",IF(AND(L50&lt;&gt;"",AA50&lt;&gt;"Facture"),"Acompte à déduire : réservé aux factures",IF(AND(L50&lt;&gt;"",ISNA(MATCH(L50,fa_num,0))),"Facture d'acompte inconnue",IF(AND(L50&lt;&gt;"",IFERROR(INDEX(fa_type,MATCH(L50,fa_num,0)),"")&lt;&gt;"Facture d'acompte"),"Le n° à déduire n'est pas une facture d'acompte",IF(AND(L50&lt;&gt;"",COUNTIF($L$6:L50,L50)&gt;1),"Acompte déjà déduit sur une autre facture",IF(AND(L50&lt;&gt;"",IFERROR(INDEX(fa_client,MATCH(L50,fa_num,0)),D50)&lt;&gt;D50),"Acompte d'un autre client",IF(AND(AR50&lt;&gt;"",N(Q50)&lt;0),"Acompte supérieur au total de la facture",IF(IF(AG50="Facture",COUNTIFS(fl_doc,A50,fl_check,"&lt;&gt;OK"),IF(AG50="Devis",COUNTIFS(dl_doc,F50,dl_check,"&lt;&gt;OK"),0))&gt;0,"Ligne(s) à corriger",IF(AND(W50&lt;&gt;"",N(W50)&lt;0),"Trop-perçu : vérifiez paiements et avoirs","OK")))))))))))))))))))))</f>
        <v/>
      </c>
      <c r="AA50" s="62" t="str">
        <f>IF(COUNTA(B50:D50,F50:O50)&gt;0,IF(B50="","Facture",B50),"")</f>
        <v/>
      </c>
      <c r="AB50" s="62" t="str">
        <f>IF(AA50="","",IF(AA50="Avoir",p_pav,IF(AA50="Facture d'acompte",p_pac,p_pfa)))</f>
        <v/>
      </c>
      <c r="AC50" s="62">
        <f>IF(ISNUMBER(C50),C50,0)</f>
        <v>0.0</v>
      </c>
      <c r="AD50" s="62" t="str">
        <f>IF(OR(AA50="",AC50=0),"",YEAR(AC50))</f>
        <v/>
      </c>
      <c r="AE50" s="62" t="str">
        <f>IF(AD50="","",COUNTIFS($AB$6:AB50,AB50,$AD$6:AD50,AD50))</f>
        <v/>
      </c>
      <c r="AF50" s="62">
        <f>IF(A50="",0,COUNTIF(fl_doc,A50))</f>
        <v>0.0</v>
      </c>
      <c r="AG50" s="62" t="str">
        <f>IF(A50="","",IF(AF50&gt;0,"Facture",IF(AND(F50&lt;&gt;"",AA50="Facture",ISNUMBER(MATCH(F50,dv_num,0))),"Devis","")))</f>
        <v/>
      </c>
      <c r="AH50" s="62" t="str">
        <f>IF(AND(A50&lt;&gt;"",F50&lt;&gt;"",AA50&lt;&gt;"Avoir"),F50,"")</f>
        <v/>
      </c>
      <c r="AI50" s="62" t="str">
        <f>IF(AG50="Devis",F50,"")</f>
        <v/>
      </c>
      <c r="AJ50" s="62">
        <f>IF(AG50="Facture",SUMIF(fl_doc,A50,fl_ht),IF(AG50="Devis",SUMIF(dl_doc,F50,dl_ht),0))</f>
        <v>0.0</v>
      </c>
      <c r="AK50" s="62">
        <f>IF(OR(AG50="",INDEX(p_rates,1)=""),0,IF(AG50="Facture",SUMIFS(fl_ht,fl_doc,A50,fl_rate,INDEX(p_rates,1)),SUMIFS(dl_ht,dl_doc,F50,dl_rate,INDEX(p_rates,1))))</f>
        <v>0.0</v>
      </c>
      <c r="AL50" s="62">
        <f>IF(OR(AG50="",INDEX(p_rates,2)=""),0,IF(AG50="Facture",SUMIFS(fl_ht,fl_doc,A50,fl_rate,INDEX(p_rates,2)),SUMIFS(dl_ht,dl_doc,F50,dl_rate,INDEX(p_rates,2))))</f>
        <v>0.0</v>
      </c>
      <c r="AM50" s="62">
        <f>IF(OR(AG50="",INDEX(p_rates,3)=""),0,IF(AG50="Facture",SUMIFS(fl_ht,fl_doc,A50,fl_rate,INDEX(p_rates,3)),SUMIFS(dl_ht,dl_doc,F50,dl_rate,INDEX(p_rates,3))))</f>
        <v>0.0</v>
      </c>
      <c r="AN50" s="62">
        <f>IF(OR(AG50="",INDEX(p_rates,4)=""),0,IF(AG50="Facture",SUMIFS(fl_ht,fl_doc,A50,fl_rate,INDEX(p_rates,4)),SUMIFS(dl_ht,dl_doc,F50,dl_rate,INDEX(p_rates,4))))</f>
        <v>0.0</v>
      </c>
      <c r="AO50" s="62">
        <f>IF(OR(AG50="",INDEX(p_rates,5)=""),0,IF(AG50="Facture",SUMIFS(fl_ht,fl_doc,A50,fl_rate,INDEX(p_rates,5)),SUMIFS(dl_ht,dl_doc,F50,dl_rate,INDEX(p_rates,5))))</f>
        <v>0.0</v>
      </c>
      <c r="AP50" s="62">
        <f>IF(OR(AG50="",INDEX(p_rates,6)=""),0,IF(AG50="Facture",SUMIFS(fl_ht,fl_doc,A50,fl_rate,INDEX(p_rates,6)),SUMIFS(dl_ht,dl_doc,F50,dl_rate,INDEX(p_rates,6))))</f>
        <v>0.0</v>
      </c>
      <c r="AQ50" s="62">
        <f>ROUND(AK50*N(INDEX(p_rates,1)),2)+ROUND(AL50*N(INDEX(p_rates,2)),2)+ROUND(AM50*N(INDEX(p_rates,3)),2)+ROUND(AN50*N(INDEX(p_rates,4)),2)+ROUND(AO50*N(INDEX(p_rates,5)),2)+ROUND(AP50*N(INDEX(p_rates,6)),2)</f>
        <v>0.0</v>
      </c>
      <c r="AR50" s="62" t="str">
        <f>IF(OR(L50="",AA50&lt;&gt;"Facture"),"",IFERROR(IF(INDEX(fa_type,MATCH(L50,fa_num,0))="Facture d'acompte",MATCH(L50,fa_num,0),""),""))</f>
        <v/>
      </c>
      <c r="AS50" s="62" t="str">
        <f>IF(W50="","",IF(W50&lt;=0,"",IF(p_asof-P50&lt;=0,"Non échu",IF(p_asof-P50&lt;=30,"1-30 j",IF(p_asof-P50&lt;=60,"31-60 j",IF(p_asof-P50&lt;=90,"61-90 j","Plus de 90 j"))))))</f>
        <v/>
      </c>
      <c r="AT50" s="62" t="str">
        <f>IF(AS50="","",p_asof-P50)</f>
        <v/>
      </c>
      <c r="AU50" s="62" t="str">
        <f>IF(AT50="","",COUNTIF($AT$6:$AT$805,"&gt;"&amp;AT50)+COUNTIF($AT$6:AT50,AT50))</f>
        <v/>
      </c>
    </row>
    <row r="51">
      <c r="A51" s="59" t="str">
        <f>IF(AE51="","",AB51&amp;"-"&amp;AD51&amp;"-"&amp;RIGHT("000"&amp;AE51,4))</f>
        <v/>
      </c>
      <c r="B51" s="60" t="n"/>
      <c r="C51" s="61" t="n"/>
      <c r="D51" s="60" t="n"/>
      <c r="E51" s="62" t="str">
        <f>IF(D51="","",IFERROR(INDEX(cli_name,MATCH(D51,cli_code,0))&amp;"","Client inconnu"))</f>
        <v/>
      </c>
      <c r="F51" s="60" t="n"/>
      <c r="G51" s="63" t="n"/>
      <c r="H51" s="61" t="n"/>
      <c r="I51" s="63" t="n"/>
      <c r="J51" s="60" t="n"/>
      <c r="K51" s="61" t="n"/>
      <c r="L51" s="60" t="n"/>
      <c r="M51" s="60" t="n"/>
      <c r="N51" s="60" t="n"/>
      <c r="O51" s="61" t="n"/>
      <c r="P51" s="64" t="str">
        <f>IF(A51="","",IF(AA51="Avoir",AC51,IF(ISNUMBER(K51),K51,AC51+IF(D51="",N(p_delay),IFERROR(IF(ISNUMBER(INDEX(cli_delay,MATCH(D51,cli_code,0))),INDEX(cli_delay,MATCH(D51,cli_code,0)),N(p_delay)),N(p_delay))))))</f>
        <v/>
      </c>
      <c r="Q51" s="65" t="str">
        <f>IF(A51="","",IF(AA51="Avoir",-1,1)*ROUND(AJ51-IF(AR51="",0,INDEX(fa_htb,AR51)),2))</f>
        <v/>
      </c>
      <c r="R51" s="65" t="str">
        <f>IF(A51="","",IF(AA51="Avoir",-1,1)*ROUND(AQ51-IF(AR51="",0,INDEX(fa_tvab,AR51)),2))</f>
        <v/>
      </c>
      <c r="S51" s="65" t="str">
        <f>IF(A51="","",Q51+R51)</f>
        <v/>
      </c>
      <c r="T51" s="65" t="str">
        <f>IF(AR51="","",INDEX(fa_htb,AR51)+INDEX(fa_tvab,AR51))</f>
        <v/>
      </c>
      <c r="U51" s="65" t="str">
        <f>IF(A51="","",SUMIF(pa_inv,A51,pa_amt))</f>
        <v/>
      </c>
      <c r="V51" s="65" t="str">
        <f>IF(OR(A51="",AA51="Avoir"),"",-SUMIFS(fa_ttc,fa_avof,A51,fa_type,"Avoir"))</f>
        <v/>
      </c>
      <c r="W51" s="65" t="str">
        <f>IF(OR(A51="",AA51="Avoir"),"",ROUND(S51-U51-V51,2))</f>
        <v/>
      </c>
      <c r="X51" s="66" t="str">
        <f>IF(W51="","",IF(AND(W51&gt;0,p_asof&gt;P51),p_asof-P51,""))</f>
        <v/>
      </c>
      <c r="Y51" s="59" t="str">
        <f>IF(A51="","",IF(AA51="Avoir","Avoir",IF(W51&lt;0,"Trop-perçu",IF(W51=0,"Soldée",IF(p_asof&gt;P51,"En retard",IF(U51+V51&gt;0,"Partielle","À échoir"))))))</f>
        <v/>
      </c>
      <c r="Z51" s="59" t="str">
        <f>IF(NOT(COUNTA(B51:D51,F51:O51)&gt;0),"",IF(C51="","Date manquante",IF(NOT(ISNUMBER(C51)),"Date invalide",IF(D51="","Client manquant",IF(ISNA(MATCH(D51,cli_code,0)),"Client inconnu",IF(AC51&lt;SUMPRODUCT(MAX(($AB$6:AB50=AB51)*$AC$6:AC50)),"Date antérieure à la facture précédente",IF(AND(F51&lt;&gt;"",ISNA(MATCH(F51,dv_num,0))),"Devis inconnu",IF(AND(F51&lt;&gt;"",IFERROR(INDEX(dv_client,MATCH(F51,dv_num,0)),D51)&lt;&gt;D51),"Client différent de celui du devis",IF(AG51="","Aucune ligne : saisissez des lignes ou un devis",IF(AND(AI51&lt;&gt;"",COUNTIF($AI$6:AI51,AI51)&gt;1),"Devis déjà repris par une autre facture",IF(AND(AA51="Avoir",M51=""),"Avoir : indiquez la facture d'origine",IF(AND(AA51="Avoir",ISNA(MATCH(M51,fa_num,0))),"Facture d'origine inconnue",IF(AND(AA51&lt;&gt;"Avoir",M51&lt;&gt;""),"« Avoir sur facture » : réservé aux avoirs",IF(AND(L51&lt;&gt;"",AA51&lt;&gt;"Facture"),"Acompte à déduire : réservé aux factures",IF(AND(L51&lt;&gt;"",ISNA(MATCH(L51,fa_num,0))),"Facture d'acompte inconnue",IF(AND(L51&lt;&gt;"",IFERROR(INDEX(fa_type,MATCH(L51,fa_num,0)),"")&lt;&gt;"Facture d'acompte"),"Le n° à déduire n'est pas une facture d'acompte",IF(AND(L51&lt;&gt;"",COUNTIF($L$6:L51,L51)&gt;1),"Acompte déjà déduit sur une autre facture",IF(AND(L51&lt;&gt;"",IFERROR(INDEX(fa_client,MATCH(L51,fa_num,0)),D51)&lt;&gt;D51),"Acompte d'un autre client",IF(AND(AR51&lt;&gt;"",N(Q51)&lt;0),"Acompte supérieur au total de la facture",IF(IF(AG51="Facture",COUNTIFS(fl_doc,A51,fl_check,"&lt;&gt;OK"),IF(AG51="Devis",COUNTIFS(dl_doc,F51,dl_check,"&lt;&gt;OK"),0))&gt;0,"Ligne(s) à corriger",IF(AND(W51&lt;&gt;"",N(W51)&lt;0),"Trop-perçu : vérifiez paiements et avoirs","OK")))))))))))))))))))))</f>
        <v/>
      </c>
      <c r="AA51" s="62" t="str">
        <f>IF(COUNTA(B51:D51,F51:O51)&gt;0,IF(B51="","Facture",B51),"")</f>
        <v/>
      </c>
      <c r="AB51" s="62" t="str">
        <f>IF(AA51="","",IF(AA51="Avoir",p_pav,IF(AA51="Facture d'acompte",p_pac,p_pfa)))</f>
        <v/>
      </c>
      <c r="AC51" s="62">
        <f>IF(ISNUMBER(C51),C51,0)</f>
        <v>0.0</v>
      </c>
      <c r="AD51" s="62" t="str">
        <f>IF(OR(AA51="",AC51=0),"",YEAR(AC51))</f>
        <v/>
      </c>
      <c r="AE51" s="62" t="str">
        <f>IF(AD51="","",COUNTIFS($AB$6:AB51,AB51,$AD$6:AD51,AD51))</f>
        <v/>
      </c>
      <c r="AF51" s="62">
        <f>IF(A51="",0,COUNTIF(fl_doc,A51))</f>
        <v>0.0</v>
      </c>
      <c r="AG51" s="62" t="str">
        <f>IF(A51="","",IF(AF51&gt;0,"Facture",IF(AND(F51&lt;&gt;"",AA51="Facture",ISNUMBER(MATCH(F51,dv_num,0))),"Devis","")))</f>
        <v/>
      </c>
      <c r="AH51" s="62" t="str">
        <f>IF(AND(A51&lt;&gt;"",F51&lt;&gt;"",AA51&lt;&gt;"Avoir"),F51,"")</f>
        <v/>
      </c>
      <c r="AI51" s="62" t="str">
        <f>IF(AG51="Devis",F51,"")</f>
        <v/>
      </c>
      <c r="AJ51" s="62">
        <f>IF(AG51="Facture",SUMIF(fl_doc,A51,fl_ht),IF(AG51="Devis",SUMIF(dl_doc,F51,dl_ht),0))</f>
        <v>0.0</v>
      </c>
      <c r="AK51" s="62">
        <f>IF(OR(AG51="",INDEX(p_rates,1)=""),0,IF(AG51="Facture",SUMIFS(fl_ht,fl_doc,A51,fl_rate,INDEX(p_rates,1)),SUMIFS(dl_ht,dl_doc,F51,dl_rate,INDEX(p_rates,1))))</f>
        <v>0.0</v>
      </c>
      <c r="AL51" s="62">
        <f>IF(OR(AG51="",INDEX(p_rates,2)=""),0,IF(AG51="Facture",SUMIFS(fl_ht,fl_doc,A51,fl_rate,INDEX(p_rates,2)),SUMIFS(dl_ht,dl_doc,F51,dl_rate,INDEX(p_rates,2))))</f>
        <v>0.0</v>
      </c>
      <c r="AM51" s="62">
        <f>IF(OR(AG51="",INDEX(p_rates,3)=""),0,IF(AG51="Facture",SUMIFS(fl_ht,fl_doc,A51,fl_rate,INDEX(p_rates,3)),SUMIFS(dl_ht,dl_doc,F51,dl_rate,INDEX(p_rates,3))))</f>
        <v>0.0</v>
      </c>
      <c r="AN51" s="62">
        <f>IF(OR(AG51="",INDEX(p_rates,4)=""),0,IF(AG51="Facture",SUMIFS(fl_ht,fl_doc,A51,fl_rate,INDEX(p_rates,4)),SUMIFS(dl_ht,dl_doc,F51,dl_rate,INDEX(p_rates,4))))</f>
        <v>0.0</v>
      </c>
      <c r="AO51" s="62">
        <f>IF(OR(AG51="",INDEX(p_rates,5)=""),0,IF(AG51="Facture",SUMIFS(fl_ht,fl_doc,A51,fl_rate,INDEX(p_rates,5)),SUMIFS(dl_ht,dl_doc,F51,dl_rate,INDEX(p_rates,5))))</f>
        <v>0.0</v>
      </c>
      <c r="AP51" s="62">
        <f>IF(OR(AG51="",INDEX(p_rates,6)=""),0,IF(AG51="Facture",SUMIFS(fl_ht,fl_doc,A51,fl_rate,INDEX(p_rates,6)),SUMIFS(dl_ht,dl_doc,F51,dl_rate,INDEX(p_rates,6))))</f>
        <v>0.0</v>
      </c>
      <c r="AQ51" s="62">
        <f>ROUND(AK51*N(INDEX(p_rates,1)),2)+ROUND(AL51*N(INDEX(p_rates,2)),2)+ROUND(AM51*N(INDEX(p_rates,3)),2)+ROUND(AN51*N(INDEX(p_rates,4)),2)+ROUND(AO51*N(INDEX(p_rates,5)),2)+ROUND(AP51*N(INDEX(p_rates,6)),2)</f>
        <v>0.0</v>
      </c>
      <c r="AR51" s="62" t="str">
        <f>IF(OR(L51="",AA51&lt;&gt;"Facture"),"",IFERROR(IF(INDEX(fa_type,MATCH(L51,fa_num,0))="Facture d'acompte",MATCH(L51,fa_num,0),""),""))</f>
        <v/>
      </c>
      <c r="AS51" s="62" t="str">
        <f>IF(W51="","",IF(W51&lt;=0,"",IF(p_asof-P51&lt;=0,"Non échu",IF(p_asof-P51&lt;=30,"1-30 j",IF(p_asof-P51&lt;=60,"31-60 j",IF(p_asof-P51&lt;=90,"61-90 j","Plus de 90 j"))))))</f>
        <v/>
      </c>
      <c r="AT51" s="62" t="str">
        <f>IF(AS51="","",p_asof-P51)</f>
        <v/>
      </c>
      <c r="AU51" s="62" t="str">
        <f>IF(AT51="","",COUNTIF($AT$6:$AT$805,"&gt;"&amp;AT51)+COUNTIF($AT$6:AT51,AT51))</f>
        <v/>
      </c>
    </row>
    <row r="52">
      <c r="A52" s="59" t="str">
        <f>IF(AE52="","",AB52&amp;"-"&amp;AD52&amp;"-"&amp;RIGHT("000"&amp;AE52,4))</f>
        <v/>
      </c>
      <c r="B52" s="60" t="n"/>
      <c r="C52" s="61" t="n"/>
      <c r="D52" s="60" t="n"/>
      <c r="E52" s="62" t="str">
        <f>IF(D52="","",IFERROR(INDEX(cli_name,MATCH(D52,cli_code,0))&amp;"","Client inconnu"))</f>
        <v/>
      </c>
      <c r="F52" s="60" t="n"/>
      <c r="G52" s="63" t="n"/>
      <c r="H52" s="61" t="n"/>
      <c r="I52" s="63" t="n"/>
      <c r="J52" s="60" t="n"/>
      <c r="K52" s="61" t="n"/>
      <c r="L52" s="60" t="n"/>
      <c r="M52" s="60" t="n"/>
      <c r="N52" s="60" t="n"/>
      <c r="O52" s="61" t="n"/>
      <c r="P52" s="64" t="str">
        <f>IF(A52="","",IF(AA52="Avoir",AC52,IF(ISNUMBER(K52),K52,AC52+IF(D52="",N(p_delay),IFERROR(IF(ISNUMBER(INDEX(cli_delay,MATCH(D52,cli_code,0))),INDEX(cli_delay,MATCH(D52,cli_code,0)),N(p_delay)),N(p_delay))))))</f>
        <v/>
      </c>
      <c r="Q52" s="65" t="str">
        <f>IF(A52="","",IF(AA52="Avoir",-1,1)*ROUND(AJ52-IF(AR52="",0,INDEX(fa_htb,AR52)),2))</f>
        <v/>
      </c>
      <c r="R52" s="65" t="str">
        <f>IF(A52="","",IF(AA52="Avoir",-1,1)*ROUND(AQ52-IF(AR52="",0,INDEX(fa_tvab,AR52)),2))</f>
        <v/>
      </c>
      <c r="S52" s="65" t="str">
        <f>IF(A52="","",Q52+R52)</f>
        <v/>
      </c>
      <c r="T52" s="65" t="str">
        <f>IF(AR52="","",INDEX(fa_htb,AR52)+INDEX(fa_tvab,AR52))</f>
        <v/>
      </c>
      <c r="U52" s="65" t="str">
        <f>IF(A52="","",SUMIF(pa_inv,A52,pa_amt))</f>
        <v/>
      </c>
      <c r="V52" s="65" t="str">
        <f>IF(OR(A52="",AA52="Avoir"),"",-SUMIFS(fa_ttc,fa_avof,A52,fa_type,"Avoir"))</f>
        <v/>
      </c>
      <c r="W52" s="65" t="str">
        <f>IF(OR(A52="",AA52="Avoir"),"",ROUND(S52-U52-V52,2))</f>
        <v/>
      </c>
      <c r="X52" s="66" t="str">
        <f>IF(W52="","",IF(AND(W52&gt;0,p_asof&gt;P52),p_asof-P52,""))</f>
        <v/>
      </c>
      <c r="Y52" s="59" t="str">
        <f>IF(A52="","",IF(AA52="Avoir","Avoir",IF(W52&lt;0,"Trop-perçu",IF(W52=0,"Soldée",IF(p_asof&gt;P52,"En retard",IF(U52+V52&gt;0,"Partielle","À échoir"))))))</f>
        <v/>
      </c>
      <c r="Z52" s="59" t="str">
        <f>IF(NOT(COUNTA(B52:D52,F52:O52)&gt;0),"",IF(C52="","Date manquante",IF(NOT(ISNUMBER(C52)),"Date invalide",IF(D52="","Client manquant",IF(ISNA(MATCH(D52,cli_code,0)),"Client inconnu",IF(AC52&lt;SUMPRODUCT(MAX(($AB$6:AB51=AB52)*$AC$6:AC51)),"Date antérieure à la facture précédente",IF(AND(F52&lt;&gt;"",ISNA(MATCH(F52,dv_num,0))),"Devis inconnu",IF(AND(F52&lt;&gt;"",IFERROR(INDEX(dv_client,MATCH(F52,dv_num,0)),D52)&lt;&gt;D52),"Client différent de celui du devis",IF(AG52="","Aucune ligne : saisissez des lignes ou un devis",IF(AND(AI52&lt;&gt;"",COUNTIF($AI$6:AI52,AI52)&gt;1),"Devis déjà repris par une autre facture",IF(AND(AA52="Avoir",M52=""),"Avoir : indiquez la facture d'origine",IF(AND(AA52="Avoir",ISNA(MATCH(M52,fa_num,0))),"Facture d'origine inconnue",IF(AND(AA52&lt;&gt;"Avoir",M52&lt;&gt;""),"« Avoir sur facture » : réservé aux avoirs",IF(AND(L52&lt;&gt;"",AA52&lt;&gt;"Facture"),"Acompte à déduire : réservé aux factures",IF(AND(L52&lt;&gt;"",ISNA(MATCH(L52,fa_num,0))),"Facture d'acompte inconnue",IF(AND(L52&lt;&gt;"",IFERROR(INDEX(fa_type,MATCH(L52,fa_num,0)),"")&lt;&gt;"Facture d'acompte"),"Le n° à déduire n'est pas une facture d'acompte",IF(AND(L52&lt;&gt;"",COUNTIF($L$6:L52,L52)&gt;1),"Acompte déjà déduit sur une autre facture",IF(AND(L52&lt;&gt;"",IFERROR(INDEX(fa_client,MATCH(L52,fa_num,0)),D52)&lt;&gt;D52),"Acompte d'un autre client",IF(AND(AR52&lt;&gt;"",N(Q52)&lt;0),"Acompte supérieur au total de la facture",IF(IF(AG52="Facture",COUNTIFS(fl_doc,A52,fl_check,"&lt;&gt;OK"),IF(AG52="Devis",COUNTIFS(dl_doc,F52,dl_check,"&lt;&gt;OK"),0))&gt;0,"Ligne(s) à corriger",IF(AND(W52&lt;&gt;"",N(W52)&lt;0),"Trop-perçu : vérifiez paiements et avoirs","OK")))))))))))))))))))))</f>
        <v/>
      </c>
      <c r="AA52" s="62" t="str">
        <f>IF(COUNTA(B52:D52,F52:O52)&gt;0,IF(B52="","Facture",B52),"")</f>
        <v/>
      </c>
      <c r="AB52" s="62" t="str">
        <f>IF(AA52="","",IF(AA52="Avoir",p_pav,IF(AA52="Facture d'acompte",p_pac,p_pfa)))</f>
        <v/>
      </c>
      <c r="AC52" s="62">
        <f>IF(ISNUMBER(C52),C52,0)</f>
        <v>0.0</v>
      </c>
      <c r="AD52" s="62" t="str">
        <f>IF(OR(AA52="",AC52=0),"",YEAR(AC52))</f>
        <v/>
      </c>
      <c r="AE52" s="62" t="str">
        <f>IF(AD52="","",COUNTIFS($AB$6:AB52,AB52,$AD$6:AD52,AD52))</f>
        <v/>
      </c>
      <c r="AF52" s="62">
        <f>IF(A52="",0,COUNTIF(fl_doc,A52))</f>
        <v>0.0</v>
      </c>
      <c r="AG52" s="62" t="str">
        <f>IF(A52="","",IF(AF52&gt;0,"Facture",IF(AND(F52&lt;&gt;"",AA52="Facture",ISNUMBER(MATCH(F52,dv_num,0))),"Devis","")))</f>
        <v/>
      </c>
      <c r="AH52" s="62" t="str">
        <f>IF(AND(A52&lt;&gt;"",F52&lt;&gt;"",AA52&lt;&gt;"Avoir"),F52,"")</f>
        <v/>
      </c>
      <c r="AI52" s="62" t="str">
        <f>IF(AG52="Devis",F52,"")</f>
        <v/>
      </c>
      <c r="AJ52" s="62">
        <f>IF(AG52="Facture",SUMIF(fl_doc,A52,fl_ht),IF(AG52="Devis",SUMIF(dl_doc,F52,dl_ht),0))</f>
        <v>0.0</v>
      </c>
      <c r="AK52" s="62">
        <f>IF(OR(AG52="",INDEX(p_rates,1)=""),0,IF(AG52="Facture",SUMIFS(fl_ht,fl_doc,A52,fl_rate,INDEX(p_rates,1)),SUMIFS(dl_ht,dl_doc,F52,dl_rate,INDEX(p_rates,1))))</f>
        <v>0.0</v>
      </c>
      <c r="AL52" s="62">
        <f>IF(OR(AG52="",INDEX(p_rates,2)=""),0,IF(AG52="Facture",SUMIFS(fl_ht,fl_doc,A52,fl_rate,INDEX(p_rates,2)),SUMIFS(dl_ht,dl_doc,F52,dl_rate,INDEX(p_rates,2))))</f>
        <v>0.0</v>
      </c>
      <c r="AM52" s="62">
        <f>IF(OR(AG52="",INDEX(p_rates,3)=""),0,IF(AG52="Facture",SUMIFS(fl_ht,fl_doc,A52,fl_rate,INDEX(p_rates,3)),SUMIFS(dl_ht,dl_doc,F52,dl_rate,INDEX(p_rates,3))))</f>
        <v>0.0</v>
      </c>
      <c r="AN52" s="62">
        <f>IF(OR(AG52="",INDEX(p_rates,4)=""),0,IF(AG52="Facture",SUMIFS(fl_ht,fl_doc,A52,fl_rate,INDEX(p_rates,4)),SUMIFS(dl_ht,dl_doc,F52,dl_rate,INDEX(p_rates,4))))</f>
        <v>0.0</v>
      </c>
      <c r="AO52" s="62">
        <f>IF(OR(AG52="",INDEX(p_rates,5)=""),0,IF(AG52="Facture",SUMIFS(fl_ht,fl_doc,A52,fl_rate,INDEX(p_rates,5)),SUMIFS(dl_ht,dl_doc,F52,dl_rate,INDEX(p_rates,5))))</f>
        <v>0.0</v>
      </c>
      <c r="AP52" s="62">
        <f>IF(OR(AG52="",INDEX(p_rates,6)=""),0,IF(AG52="Facture",SUMIFS(fl_ht,fl_doc,A52,fl_rate,INDEX(p_rates,6)),SUMIFS(dl_ht,dl_doc,F52,dl_rate,INDEX(p_rates,6))))</f>
        <v>0.0</v>
      </c>
      <c r="AQ52" s="62">
        <f>ROUND(AK52*N(INDEX(p_rates,1)),2)+ROUND(AL52*N(INDEX(p_rates,2)),2)+ROUND(AM52*N(INDEX(p_rates,3)),2)+ROUND(AN52*N(INDEX(p_rates,4)),2)+ROUND(AO52*N(INDEX(p_rates,5)),2)+ROUND(AP52*N(INDEX(p_rates,6)),2)</f>
        <v>0.0</v>
      </c>
      <c r="AR52" s="62" t="str">
        <f>IF(OR(L52="",AA52&lt;&gt;"Facture"),"",IFERROR(IF(INDEX(fa_type,MATCH(L52,fa_num,0))="Facture d'acompte",MATCH(L52,fa_num,0),""),""))</f>
        <v/>
      </c>
      <c r="AS52" s="62" t="str">
        <f>IF(W52="","",IF(W52&lt;=0,"",IF(p_asof-P52&lt;=0,"Non échu",IF(p_asof-P52&lt;=30,"1-30 j",IF(p_asof-P52&lt;=60,"31-60 j",IF(p_asof-P52&lt;=90,"61-90 j","Plus de 90 j"))))))</f>
        <v/>
      </c>
      <c r="AT52" s="62" t="str">
        <f>IF(AS52="","",p_asof-P52)</f>
        <v/>
      </c>
      <c r="AU52" s="62" t="str">
        <f>IF(AT52="","",COUNTIF($AT$6:$AT$805,"&gt;"&amp;AT52)+COUNTIF($AT$6:AT52,AT52))</f>
        <v/>
      </c>
    </row>
    <row r="53">
      <c r="A53" s="59" t="str">
        <f>IF(AE53="","",AB53&amp;"-"&amp;AD53&amp;"-"&amp;RIGHT("000"&amp;AE53,4))</f>
        <v/>
      </c>
      <c r="B53" s="60" t="n"/>
      <c r="C53" s="61" t="n"/>
      <c r="D53" s="60" t="n"/>
      <c r="E53" s="62" t="str">
        <f>IF(D53="","",IFERROR(INDEX(cli_name,MATCH(D53,cli_code,0))&amp;"","Client inconnu"))</f>
        <v/>
      </c>
      <c r="F53" s="60" t="n"/>
      <c r="G53" s="63" t="n"/>
      <c r="H53" s="61" t="n"/>
      <c r="I53" s="63" t="n"/>
      <c r="J53" s="60" t="n"/>
      <c r="K53" s="61" t="n"/>
      <c r="L53" s="60" t="n"/>
      <c r="M53" s="60" t="n"/>
      <c r="N53" s="60" t="n"/>
      <c r="O53" s="61" t="n"/>
      <c r="P53" s="64" t="str">
        <f>IF(A53="","",IF(AA53="Avoir",AC53,IF(ISNUMBER(K53),K53,AC53+IF(D53="",N(p_delay),IFERROR(IF(ISNUMBER(INDEX(cli_delay,MATCH(D53,cli_code,0))),INDEX(cli_delay,MATCH(D53,cli_code,0)),N(p_delay)),N(p_delay))))))</f>
        <v/>
      </c>
      <c r="Q53" s="65" t="str">
        <f>IF(A53="","",IF(AA53="Avoir",-1,1)*ROUND(AJ53-IF(AR53="",0,INDEX(fa_htb,AR53)),2))</f>
        <v/>
      </c>
      <c r="R53" s="65" t="str">
        <f>IF(A53="","",IF(AA53="Avoir",-1,1)*ROUND(AQ53-IF(AR53="",0,INDEX(fa_tvab,AR53)),2))</f>
        <v/>
      </c>
      <c r="S53" s="65" t="str">
        <f>IF(A53="","",Q53+R53)</f>
        <v/>
      </c>
      <c r="T53" s="65" t="str">
        <f>IF(AR53="","",INDEX(fa_htb,AR53)+INDEX(fa_tvab,AR53))</f>
        <v/>
      </c>
      <c r="U53" s="65" t="str">
        <f>IF(A53="","",SUMIF(pa_inv,A53,pa_amt))</f>
        <v/>
      </c>
      <c r="V53" s="65" t="str">
        <f>IF(OR(A53="",AA53="Avoir"),"",-SUMIFS(fa_ttc,fa_avof,A53,fa_type,"Avoir"))</f>
        <v/>
      </c>
      <c r="W53" s="65" t="str">
        <f>IF(OR(A53="",AA53="Avoir"),"",ROUND(S53-U53-V53,2))</f>
        <v/>
      </c>
      <c r="X53" s="66" t="str">
        <f>IF(W53="","",IF(AND(W53&gt;0,p_asof&gt;P53),p_asof-P53,""))</f>
        <v/>
      </c>
      <c r="Y53" s="59" t="str">
        <f>IF(A53="","",IF(AA53="Avoir","Avoir",IF(W53&lt;0,"Trop-perçu",IF(W53=0,"Soldée",IF(p_asof&gt;P53,"En retard",IF(U53+V53&gt;0,"Partielle","À échoir"))))))</f>
        <v/>
      </c>
      <c r="Z53" s="59" t="str">
        <f>IF(NOT(COUNTA(B53:D53,F53:O53)&gt;0),"",IF(C53="","Date manquante",IF(NOT(ISNUMBER(C53)),"Date invalide",IF(D53="","Client manquant",IF(ISNA(MATCH(D53,cli_code,0)),"Client inconnu",IF(AC53&lt;SUMPRODUCT(MAX(($AB$6:AB52=AB53)*$AC$6:AC52)),"Date antérieure à la facture précédente",IF(AND(F53&lt;&gt;"",ISNA(MATCH(F53,dv_num,0))),"Devis inconnu",IF(AND(F53&lt;&gt;"",IFERROR(INDEX(dv_client,MATCH(F53,dv_num,0)),D53)&lt;&gt;D53),"Client différent de celui du devis",IF(AG53="","Aucune ligne : saisissez des lignes ou un devis",IF(AND(AI53&lt;&gt;"",COUNTIF($AI$6:AI53,AI53)&gt;1),"Devis déjà repris par une autre facture",IF(AND(AA53="Avoir",M53=""),"Avoir : indiquez la facture d'origine",IF(AND(AA53="Avoir",ISNA(MATCH(M53,fa_num,0))),"Facture d'origine inconnue",IF(AND(AA53&lt;&gt;"Avoir",M53&lt;&gt;""),"« Avoir sur facture » : réservé aux avoirs",IF(AND(L53&lt;&gt;"",AA53&lt;&gt;"Facture"),"Acompte à déduire : réservé aux factures",IF(AND(L53&lt;&gt;"",ISNA(MATCH(L53,fa_num,0))),"Facture d'acompte inconnue",IF(AND(L53&lt;&gt;"",IFERROR(INDEX(fa_type,MATCH(L53,fa_num,0)),"")&lt;&gt;"Facture d'acompte"),"Le n° à déduire n'est pas une facture d'acompte",IF(AND(L53&lt;&gt;"",COUNTIF($L$6:L53,L53)&gt;1),"Acompte déjà déduit sur une autre facture",IF(AND(L53&lt;&gt;"",IFERROR(INDEX(fa_client,MATCH(L53,fa_num,0)),D53)&lt;&gt;D53),"Acompte d'un autre client",IF(AND(AR53&lt;&gt;"",N(Q53)&lt;0),"Acompte supérieur au total de la facture",IF(IF(AG53="Facture",COUNTIFS(fl_doc,A53,fl_check,"&lt;&gt;OK"),IF(AG53="Devis",COUNTIFS(dl_doc,F53,dl_check,"&lt;&gt;OK"),0))&gt;0,"Ligne(s) à corriger",IF(AND(W53&lt;&gt;"",N(W53)&lt;0),"Trop-perçu : vérifiez paiements et avoirs","OK")))))))))))))))))))))</f>
        <v/>
      </c>
      <c r="AA53" s="62" t="str">
        <f>IF(COUNTA(B53:D53,F53:O53)&gt;0,IF(B53="","Facture",B53),"")</f>
        <v/>
      </c>
      <c r="AB53" s="62" t="str">
        <f>IF(AA53="","",IF(AA53="Avoir",p_pav,IF(AA53="Facture d'acompte",p_pac,p_pfa)))</f>
        <v/>
      </c>
      <c r="AC53" s="62">
        <f>IF(ISNUMBER(C53),C53,0)</f>
        <v>0.0</v>
      </c>
      <c r="AD53" s="62" t="str">
        <f>IF(OR(AA53="",AC53=0),"",YEAR(AC53))</f>
        <v/>
      </c>
      <c r="AE53" s="62" t="str">
        <f>IF(AD53="","",COUNTIFS($AB$6:AB53,AB53,$AD$6:AD53,AD53))</f>
        <v/>
      </c>
      <c r="AF53" s="62">
        <f>IF(A53="",0,COUNTIF(fl_doc,A53))</f>
        <v>0.0</v>
      </c>
      <c r="AG53" s="62" t="str">
        <f>IF(A53="","",IF(AF53&gt;0,"Facture",IF(AND(F53&lt;&gt;"",AA53="Facture",ISNUMBER(MATCH(F53,dv_num,0))),"Devis","")))</f>
        <v/>
      </c>
      <c r="AH53" s="62" t="str">
        <f>IF(AND(A53&lt;&gt;"",F53&lt;&gt;"",AA53&lt;&gt;"Avoir"),F53,"")</f>
        <v/>
      </c>
      <c r="AI53" s="62" t="str">
        <f>IF(AG53="Devis",F53,"")</f>
        <v/>
      </c>
      <c r="AJ53" s="62">
        <f>IF(AG53="Facture",SUMIF(fl_doc,A53,fl_ht),IF(AG53="Devis",SUMIF(dl_doc,F53,dl_ht),0))</f>
        <v>0.0</v>
      </c>
      <c r="AK53" s="62">
        <f>IF(OR(AG53="",INDEX(p_rates,1)=""),0,IF(AG53="Facture",SUMIFS(fl_ht,fl_doc,A53,fl_rate,INDEX(p_rates,1)),SUMIFS(dl_ht,dl_doc,F53,dl_rate,INDEX(p_rates,1))))</f>
        <v>0.0</v>
      </c>
      <c r="AL53" s="62">
        <f>IF(OR(AG53="",INDEX(p_rates,2)=""),0,IF(AG53="Facture",SUMIFS(fl_ht,fl_doc,A53,fl_rate,INDEX(p_rates,2)),SUMIFS(dl_ht,dl_doc,F53,dl_rate,INDEX(p_rates,2))))</f>
        <v>0.0</v>
      </c>
      <c r="AM53" s="62">
        <f>IF(OR(AG53="",INDEX(p_rates,3)=""),0,IF(AG53="Facture",SUMIFS(fl_ht,fl_doc,A53,fl_rate,INDEX(p_rates,3)),SUMIFS(dl_ht,dl_doc,F53,dl_rate,INDEX(p_rates,3))))</f>
        <v>0.0</v>
      </c>
      <c r="AN53" s="62">
        <f>IF(OR(AG53="",INDEX(p_rates,4)=""),0,IF(AG53="Facture",SUMIFS(fl_ht,fl_doc,A53,fl_rate,INDEX(p_rates,4)),SUMIFS(dl_ht,dl_doc,F53,dl_rate,INDEX(p_rates,4))))</f>
        <v>0.0</v>
      </c>
      <c r="AO53" s="62">
        <f>IF(OR(AG53="",INDEX(p_rates,5)=""),0,IF(AG53="Facture",SUMIFS(fl_ht,fl_doc,A53,fl_rate,INDEX(p_rates,5)),SUMIFS(dl_ht,dl_doc,F53,dl_rate,INDEX(p_rates,5))))</f>
        <v>0.0</v>
      </c>
      <c r="AP53" s="62">
        <f>IF(OR(AG53="",INDEX(p_rates,6)=""),0,IF(AG53="Facture",SUMIFS(fl_ht,fl_doc,A53,fl_rate,INDEX(p_rates,6)),SUMIFS(dl_ht,dl_doc,F53,dl_rate,INDEX(p_rates,6))))</f>
        <v>0.0</v>
      </c>
      <c r="AQ53" s="62">
        <f>ROUND(AK53*N(INDEX(p_rates,1)),2)+ROUND(AL53*N(INDEX(p_rates,2)),2)+ROUND(AM53*N(INDEX(p_rates,3)),2)+ROUND(AN53*N(INDEX(p_rates,4)),2)+ROUND(AO53*N(INDEX(p_rates,5)),2)+ROUND(AP53*N(INDEX(p_rates,6)),2)</f>
        <v>0.0</v>
      </c>
      <c r="AR53" s="62" t="str">
        <f>IF(OR(L53="",AA53&lt;&gt;"Facture"),"",IFERROR(IF(INDEX(fa_type,MATCH(L53,fa_num,0))="Facture d'acompte",MATCH(L53,fa_num,0),""),""))</f>
        <v/>
      </c>
      <c r="AS53" s="62" t="str">
        <f>IF(W53="","",IF(W53&lt;=0,"",IF(p_asof-P53&lt;=0,"Non échu",IF(p_asof-P53&lt;=30,"1-30 j",IF(p_asof-P53&lt;=60,"31-60 j",IF(p_asof-P53&lt;=90,"61-90 j","Plus de 90 j"))))))</f>
        <v/>
      </c>
      <c r="AT53" s="62" t="str">
        <f>IF(AS53="","",p_asof-P53)</f>
        <v/>
      </c>
      <c r="AU53" s="62" t="str">
        <f>IF(AT53="","",COUNTIF($AT$6:$AT$805,"&gt;"&amp;AT53)+COUNTIF($AT$6:AT53,AT53))</f>
        <v/>
      </c>
    </row>
    <row r="54">
      <c r="A54" s="59" t="str">
        <f>IF(AE54="","",AB54&amp;"-"&amp;AD54&amp;"-"&amp;RIGHT("000"&amp;AE54,4))</f>
        <v/>
      </c>
      <c r="B54" s="60" t="n"/>
      <c r="C54" s="61" t="n"/>
      <c r="D54" s="60" t="n"/>
      <c r="E54" s="62" t="str">
        <f>IF(D54="","",IFERROR(INDEX(cli_name,MATCH(D54,cli_code,0))&amp;"","Client inconnu"))</f>
        <v/>
      </c>
      <c r="F54" s="60" t="n"/>
      <c r="G54" s="63" t="n"/>
      <c r="H54" s="61" t="n"/>
      <c r="I54" s="63" t="n"/>
      <c r="J54" s="60" t="n"/>
      <c r="K54" s="61" t="n"/>
      <c r="L54" s="60" t="n"/>
      <c r="M54" s="60" t="n"/>
      <c r="N54" s="60" t="n"/>
      <c r="O54" s="61" t="n"/>
      <c r="P54" s="64" t="str">
        <f>IF(A54="","",IF(AA54="Avoir",AC54,IF(ISNUMBER(K54),K54,AC54+IF(D54="",N(p_delay),IFERROR(IF(ISNUMBER(INDEX(cli_delay,MATCH(D54,cli_code,0))),INDEX(cli_delay,MATCH(D54,cli_code,0)),N(p_delay)),N(p_delay))))))</f>
        <v/>
      </c>
      <c r="Q54" s="65" t="str">
        <f>IF(A54="","",IF(AA54="Avoir",-1,1)*ROUND(AJ54-IF(AR54="",0,INDEX(fa_htb,AR54)),2))</f>
        <v/>
      </c>
      <c r="R54" s="65" t="str">
        <f>IF(A54="","",IF(AA54="Avoir",-1,1)*ROUND(AQ54-IF(AR54="",0,INDEX(fa_tvab,AR54)),2))</f>
        <v/>
      </c>
      <c r="S54" s="65" t="str">
        <f>IF(A54="","",Q54+R54)</f>
        <v/>
      </c>
      <c r="T54" s="65" t="str">
        <f>IF(AR54="","",INDEX(fa_htb,AR54)+INDEX(fa_tvab,AR54))</f>
        <v/>
      </c>
      <c r="U54" s="65" t="str">
        <f>IF(A54="","",SUMIF(pa_inv,A54,pa_amt))</f>
        <v/>
      </c>
      <c r="V54" s="65" t="str">
        <f>IF(OR(A54="",AA54="Avoir"),"",-SUMIFS(fa_ttc,fa_avof,A54,fa_type,"Avoir"))</f>
        <v/>
      </c>
      <c r="W54" s="65" t="str">
        <f>IF(OR(A54="",AA54="Avoir"),"",ROUND(S54-U54-V54,2))</f>
        <v/>
      </c>
      <c r="X54" s="66" t="str">
        <f>IF(W54="","",IF(AND(W54&gt;0,p_asof&gt;P54),p_asof-P54,""))</f>
        <v/>
      </c>
      <c r="Y54" s="59" t="str">
        <f>IF(A54="","",IF(AA54="Avoir","Avoir",IF(W54&lt;0,"Trop-perçu",IF(W54=0,"Soldée",IF(p_asof&gt;P54,"En retard",IF(U54+V54&gt;0,"Partielle","À échoir"))))))</f>
        <v/>
      </c>
      <c r="Z54" s="59" t="str">
        <f>IF(NOT(COUNTA(B54:D54,F54:O54)&gt;0),"",IF(C54="","Date manquante",IF(NOT(ISNUMBER(C54)),"Date invalide",IF(D54="","Client manquant",IF(ISNA(MATCH(D54,cli_code,0)),"Client inconnu",IF(AC54&lt;SUMPRODUCT(MAX(($AB$6:AB53=AB54)*$AC$6:AC53)),"Date antérieure à la facture précédente",IF(AND(F54&lt;&gt;"",ISNA(MATCH(F54,dv_num,0))),"Devis inconnu",IF(AND(F54&lt;&gt;"",IFERROR(INDEX(dv_client,MATCH(F54,dv_num,0)),D54)&lt;&gt;D54),"Client différent de celui du devis",IF(AG54="","Aucune ligne : saisissez des lignes ou un devis",IF(AND(AI54&lt;&gt;"",COUNTIF($AI$6:AI54,AI54)&gt;1),"Devis déjà repris par une autre facture",IF(AND(AA54="Avoir",M54=""),"Avoir : indiquez la facture d'origine",IF(AND(AA54="Avoir",ISNA(MATCH(M54,fa_num,0))),"Facture d'origine inconnue",IF(AND(AA54&lt;&gt;"Avoir",M54&lt;&gt;""),"« Avoir sur facture » : réservé aux avoirs",IF(AND(L54&lt;&gt;"",AA54&lt;&gt;"Facture"),"Acompte à déduire : réservé aux factures",IF(AND(L54&lt;&gt;"",ISNA(MATCH(L54,fa_num,0))),"Facture d'acompte inconnue",IF(AND(L54&lt;&gt;"",IFERROR(INDEX(fa_type,MATCH(L54,fa_num,0)),"")&lt;&gt;"Facture d'acompte"),"Le n° à déduire n'est pas une facture d'acompte",IF(AND(L54&lt;&gt;"",COUNTIF($L$6:L54,L54)&gt;1),"Acompte déjà déduit sur une autre facture",IF(AND(L54&lt;&gt;"",IFERROR(INDEX(fa_client,MATCH(L54,fa_num,0)),D54)&lt;&gt;D54),"Acompte d'un autre client",IF(AND(AR54&lt;&gt;"",N(Q54)&lt;0),"Acompte supérieur au total de la facture",IF(IF(AG54="Facture",COUNTIFS(fl_doc,A54,fl_check,"&lt;&gt;OK"),IF(AG54="Devis",COUNTIFS(dl_doc,F54,dl_check,"&lt;&gt;OK"),0))&gt;0,"Ligne(s) à corriger",IF(AND(W54&lt;&gt;"",N(W54)&lt;0),"Trop-perçu : vérifiez paiements et avoirs","OK")))))))))))))))))))))</f>
        <v/>
      </c>
      <c r="AA54" s="62" t="str">
        <f>IF(COUNTA(B54:D54,F54:O54)&gt;0,IF(B54="","Facture",B54),"")</f>
        <v/>
      </c>
      <c r="AB54" s="62" t="str">
        <f>IF(AA54="","",IF(AA54="Avoir",p_pav,IF(AA54="Facture d'acompte",p_pac,p_pfa)))</f>
        <v/>
      </c>
      <c r="AC54" s="62">
        <f>IF(ISNUMBER(C54),C54,0)</f>
        <v>0.0</v>
      </c>
      <c r="AD54" s="62" t="str">
        <f>IF(OR(AA54="",AC54=0),"",YEAR(AC54))</f>
        <v/>
      </c>
      <c r="AE54" s="62" t="str">
        <f>IF(AD54="","",COUNTIFS($AB$6:AB54,AB54,$AD$6:AD54,AD54))</f>
        <v/>
      </c>
      <c r="AF54" s="62">
        <f>IF(A54="",0,COUNTIF(fl_doc,A54))</f>
        <v>0.0</v>
      </c>
      <c r="AG54" s="62" t="str">
        <f>IF(A54="","",IF(AF54&gt;0,"Facture",IF(AND(F54&lt;&gt;"",AA54="Facture",ISNUMBER(MATCH(F54,dv_num,0))),"Devis","")))</f>
        <v/>
      </c>
      <c r="AH54" s="62" t="str">
        <f>IF(AND(A54&lt;&gt;"",F54&lt;&gt;"",AA54&lt;&gt;"Avoir"),F54,"")</f>
        <v/>
      </c>
      <c r="AI54" s="62" t="str">
        <f>IF(AG54="Devis",F54,"")</f>
        <v/>
      </c>
      <c r="AJ54" s="62">
        <f>IF(AG54="Facture",SUMIF(fl_doc,A54,fl_ht),IF(AG54="Devis",SUMIF(dl_doc,F54,dl_ht),0))</f>
        <v>0.0</v>
      </c>
      <c r="AK54" s="62">
        <f>IF(OR(AG54="",INDEX(p_rates,1)=""),0,IF(AG54="Facture",SUMIFS(fl_ht,fl_doc,A54,fl_rate,INDEX(p_rates,1)),SUMIFS(dl_ht,dl_doc,F54,dl_rate,INDEX(p_rates,1))))</f>
        <v>0.0</v>
      </c>
      <c r="AL54" s="62">
        <f>IF(OR(AG54="",INDEX(p_rates,2)=""),0,IF(AG54="Facture",SUMIFS(fl_ht,fl_doc,A54,fl_rate,INDEX(p_rates,2)),SUMIFS(dl_ht,dl_doc,F54,dl_rate,INDEX(p_rates,2))))</f>
        <v>0.0</v>
      </c>
      <c r="AM54" s="62">
        <f>IF(OR(AG54="",INDEX(p_rates,3)=""),0,IF(AG54="Facture",SUMIFS(fl_ht,fl_doc,A54,fl_rate,INDEX(p_rates,3)),SUMIFS(dl_ht,dl_doc,F54,dl_rate,INDEX(p_rates,3))))</f>
        <v>0.0</v>
      </c>
      <c r="AN54" s="62">
        <f>IF(OR(AG54="",INDEX(p_rates,4)=""),0,IF(AG54="Facture",SUMIFS(fl_ht,fl_doc,A54,fl_rate,INDEX(p_rates,4)),SUMIFS(dl_ht,dl_doc,F54,dl_rate,INDEX(p_rates,4))))</f>
        <v>0.0</v>
      </c>
      <c r="AO54" s="62">
        <f>IF(OR(AG54="",INDEX(p_rates,5)=""),0,IF(AG54="Facture",SUMIFS(fl_ht,fl_doc,A54,fl_rate,INDEX(p_rates,5)),SUMIFS(dl_ht,dl_doc,F54,dl_rate,INDEX(p_rates,5))))</f>
        <v>0.0</v>
      </c>
      <c r="AP54" s="62">
        <f>IF(OR(AG54="",INDEX(p_rates,6)=""),0,IF(AG54="Facture",SUMIFS(fl_ht,fl_doc,A54,fl_rate,INDEX(p_rates,6)),SUMIFS(dl_ht,dl_doc,F54,dl_rate,INDEX(p_rates,6))))</f>
        <v>0.0</v>
      </c>
      <c r="AQ54" s="62">
        <f>ROUND(AK54*N(INDEX(p_rates,1)),2)+ROUND(AL54*N(INDEX(p_rates,2)),2)+ROUND(AM54*N(INDEX(p_rates,3)),2)+ROUND(AN54*N(INDEX(p_rates,4)),2)+ROUND(AO54*N(INDEX(p_rates,5)),2)+ROUND(AP54*N(INDEX(p_rates,6)),2)</f>
        <v>0.0</v>
      </c>
      <c r="AR54" s="62" t="str">
        <f>IF(OR(L54="",AA54&lt;&gt;"Facture"),"",IFERROR(IF(INDEX(fa_type,MATCH(L54,fa_num,0))="Facture d'acompte",MATCH(L54,fa_num,0),""),""))</f>
        <v/>
      </c>
      <c r="AS54" s="62" t="str">
        <f>IF(W54="","",IF(W54&lt;=0,"",IF(p_asof-P54&lt;=0,"Non échu",IF(p_asof-P54&lt;=30,"1-30 j",IF(p_asof-P54&lt;=60,"31-60 j",IF(p_asof-P54&lt;=90,"61-90 j","Plus de 90 j"))))))</f>
        <v/>
      </c>
      <c r="AT54" s="62" t="str">
        <f>IF(AS54="","",p_asof-P54)</f>
        <v/>
      </c>
      <c r="AU54" s="62" t="str">
        <f>IF(AT54="","",COUNTIF($AT$6:$AT$805,"&gt;"&amp;AT54)+COUNTIF($AT$6:AT54,AT54))</f>
        <v/>
      </c>
    </row>
    <row r="55">
      <c r="A55" s="59" t="str">
        <f>IF(AE55="","",AB55&amp;"-"&amp;AD55&amp;"-"&amp;RIGHT("000"&amp;AE55,4))</f>
        <v/>
      </c>
      <c r="B55" s="60" t="n"/>
      <c r="C55" s="61" t="n"/>
      <c r="D55" s="60" t="n"/>
      <c r="E55" s="62" t="str">
        <f>IF(D55="","",IFERROR(INDEX(cli_name,MATCH(D55,cli_code,0))&amp;"","Client inconnu"))</f>
        <v/>
      </c>
      <c r="F55" s="60" t="n"/>
      <c r="G55" s="63" t="n"/>
      <c r="H55" s="61" t="n"/>
      <c r="I55" s="63" t="n"/>
      <c r="J55" s="60" t="n"/>
      <c r="K55" s="61" t="n"/>
      <c r="L55" s="60" t="n"/>
      <c r="M55" s="60" t="n"/>
      <c r="N55" s="60" t="n"/>
      <c r="O55" s="61" t="n"/>
      <c r="P55" s="64" t="str">
        <f>IF(A55="","",IF(AA55="Avoir",AC55,IF(ISNUMBER(K55),K55,AC55+IF(D55="",N(p_delay),IFERROR(IF(ISNUMBER(INDEX(cli_delay,MATCH(D55,cli_code,0))),INDEX(cli_delay,MATCH(D55,cli_code,0)),N(p_delay)),N(p_delay))))))</f>
        <v/>
      </c>
      <c r="Q55" s="65" t="str">
        <f>IF(A55="","",IF(AA55="Avoir",-1,1)*ROUND(AJ55-IF(AR55="",0,INDEX(fa_htb,AR55)),2))</f>
        <v/>
      </c>
      <c r="R55" s="65" t="str">
        <f>IF(A55="","",IF(AA55="Avoir",-1,1)*ROUND(AQ55-IF(AR55="",0,INDEX(fa_tvab,AR55)),2))</f>
        <v/>
      </c>
      <c r="S55" s="65" t="str">
        <f>IF(A55="","",Q55+R55)</f>
        <v/>
      </c>
      <c r="T55" s="65" t="str">
        <f>IF(AR55="","",INDEX(fa_htb,AR55)+INDEX(fa_tvab,AR55))</f>
        <v/>
      </c>
      <c r="U55" s="65" t="str">
        <f>IF(A55="","",SUMIF(pa_inv,A55,pa_amt))</f>
        <v/>
      </c>
      <c r="V55" s="65" t="str">
        <f>IF(OR(A55="",AA55="Avoir"),"",-SUMIFS(fa_ttc,fa_avof,A55,fa_type,"Avoir"))</f>
        <v/>
      </c>
      <c r="W55" s="65" t="str">
        <f>IF(OR(A55="",AA55="Avoir"),"",ROUND(S55-U55-V55,2))</f>
        <v/>
      </c>
      <c r="X55" s="66" t="str">
        <f>IF(W55="","",IF(AND(W55&gt;0,p_asof&gt;P55),p_asof-P55,""))</f>
        <v/>
      </c>
      <c r="Y55" s="59" t="str">
        <f>IF(A55="","",IF(AA55="Avoir","Avoir",IF(W55&lt;0,"Trop-perçu",IF(W55=0,"Soldée",IF(p_asof&gt;P55,"En retard",IF(U55+V55&gt;0,"Partielle","À échoir"))))))</f>
        <v/>
      </c>
      <c r="Z55" s="59" t="str">
        <f>IF(NOT(COUNTA(B55:D55,F55:O55)&gt;0),"",IF(C55="","Date manquante",IF(NOT(ISNUMBER(C55)),"Date invalide",IF(D55="","Client manquant",IF(ISNA(MATCH(D55,cli_code,0)),"Client inconnu",IF(AC55&lt;SUMPRODUCT(MAX(($AB$6:AB54=AB55)*$AC$6:AC54)),"Date antérieure à la facture précédente",IF(AND(F55&lt;&gt;"",ISNA(MATCH(F55,dv_num,0))),"Devis inconnu",IF(AND(F55&lt;&gt;"",IFERROR(INDEX(dv_client,MATCH(F55,dv_num,0)),D55)&lt;&gt;D55),"Client différent de celui du devis",IF(AG55="","Aucune ligne : saisissez des lignes ou un devis",IF(AND(AI55&lt;&gt;"",COUNTIF($AI$6:AI55,AI55)&gt;1),"Devis déjà repris par une autre facture",IF(AND(AA55="Avoir",M55=""),"Avoir : indiquez la facture d'origine",IF(AND(AA55="Avoir",ISNA(MATCH(M55,fa_num,0))),"Facture d'origine inconnue",IF(AND(AA55&lt;&gt;"Avoir",M55&lt;&gt;""),"« Avoir sur facture » : réservé aux avoirs",IF(AND(L55&lt;&gt;"",AA55&lt;&gt;"Facture"),"Acompte à déduire : réservé aux factures",IF(AND(L55&lt;&gt;"",ISNA(MATCH(L55,fa_num,0))),"Facture d'acompte inconnue",IF(AND(L55&lt;&gt;"",IFERROR(INDEX(fa_type,MATCH(L55,fa_num,0)),"")&lt;&gt;"Facture d'acompte"),"Le n° à déduire n'est pas une facture d'acompte",IF(AND(L55&lt;&gt;"",COUNTIF($L$6:L55,L55)&gt;1),"Acompte déjà déduit sur une autre facture",IF(AND(L55&lt;&gt;"",IFERROR(INDEX(fa_client,MATCH(L55,fa_num,0)),D55)&lt;&gt;D55),"Acompte d'un autre client",IF(AND(AR55&lt;&gt;"",N(Q55)&lt;0),"Acompte supérieur au total de la facture",IF(IF(AG55="Facture",COUNTIFS(fl_doc,A55,fl_check,"&lt;&gt;OK"),IF(AG55="Devis",COUNTIFS(dl_doc,F55,dl_check,"&lt;&gt;OK"),0))&gt;0,"Ligne(s) à corriger",IF(AND(W55&lt;&gt;"",N(W55)&lt;0),"Trop-perçu : vérifiez paiements et avoirs","OK")))))))))))))))))))))</f>
        <v/>
      </c>
      <c r="AA55" s="62" t="str">
        <f>IF(COUNTA(B55:D55,F55:O55)&gt;0,IF(B55="","Facture",B55),"")</f>
        <v/>
      </c>
      <c r="AB55" s="62" t="str">
        <f>IF(AA55="","",IF(AA55="Avoir",p_pav,IF(AA55="Facture d'acompte",p_pac,p_pfa)))</f>
        <v/>
      </c>
      <c r="AC55" s="62">
        <f>IF(ISNUMBER(C55),C55,0)</f>
        <v>0.0</v>
      </c>
      <c r="AD55" s="62" t="str">
        <f>IF(OR(AA55="",AC55=0),"",YEAR(AC55))</f>
        <v/>
      </c>
      <c r="AE55" s="62" t="str">
        <f>IF(AD55="","",COUNTIFS($AB$6:AB55,AB55,$AD$6:AD55,AD55))</f>
        <v/>
      </c>
      <c r="AF55" s="62">
        <f>IF(A55="",0,COUNTIF(fl_doc,A55))</f>
        <v>0.0</v>
      </c>
      <c r="AG55" s="62" t="str">
        <f>IF(A55="","",IF(AF55&gt;0,"Facture",IF(AND(F55&lt;&gt;"",AA55="Facture",ISNUMBER(MATCH(F55,dv_num,0))),"Devis","")))</f>
        <v/>
      </c>
      <c r="AH55" s="62" t="str">
        <f>IF(AND(A55&lt;&gt;"",F55&lt;&gt;"",AA55&lt;&gt;"Avoir"),F55,"")</f>
        <v/>
      </c>
      <c r="AI55" s="62" t="str">
        <f>IF(AG55="Devis",F55,"")</f>
        <v/>
      </c>
      <c r="AJ55" s="62">
        <f>IF(AG55="Facture",SUMIF(fl_doc,A55,fl_ht),IF(AG55="Devis",SUMIF(dl_doc,F55,dl_ht),0))</f>
        <v>0.0</v>
      </c>
      <c r="AK55" s="62">
        <f>IF(OR(AG55="",INDEX(p_rates,1)=""),0,IF(AG55="Facture",SUMIFS(fl_ht,fl_doc,A55,fl_rate,INDEX(p_rates,1)),SUMIFS(dl_ht,dl_doc,F55,dl_rate,INDEX(p_rates,1))))</f>
        <v>0.0</v>
      </c>
      <c r="AL55" s="62">
        <f>IF(OR(AG55="",INDEX(p_rates,2)=""),0,IF(AG55="Facture",SUMIFS(fl_ht,fl_doc,A55,fl_rate,INDEX(p_rates,2)),SUMIFS(dl_ht,dl_doc,F55,dl_rate,INDEX(p_rates,2))))</f>
        <v>0.0</v>
      </c>
      <c r="AM55" s="62">
        <f>IF(OR(AG55="",INDEX(p_rates,3)=""),0,IF(AG55="Facture",SUMIFS(fl_ht,fl_doc,A55,fl_rate,INDEX(p_rates,3)),SUMIFS(dl_ht,dl_doc,F55,dl_rate,INDEX(p_rates,3))))</f>
        <v>0.0</v>
      </c>
      <c r="AN55" s="62">
        <f>IF(OR(AG55="",INDEX(p_rates,4)=""),0,IF(AG55="Facture",SUMIFS(fl_ht,fl_doc,A55,fl_rate,INDEX(p_rates,4)),SUMIFS(dl_ht,dl_doc,F55,dl_rate,INDEX(p_rates,4))))</f>
        <v>0.0</v>
      </c>
      <c r="AO55" s="62">
        <f>IF(OR(AG55="",INDEX(p_rates,5)=""),0,IF(AG55="Facture",SUMIFS(fl_ht,fl_doc,A55,fl_rate,INDEX(p_rates,5)),SUMIFS(dl_ht,dl_doc,F55,dl_rate,INDEX(p_rates,5))))</f>
        <v>0.0</v>
      </c>
      <c r="AP55" s="62">
        <f>IF(OR(AG55="",INDEX(p_rates,6)=""),0,IF(AG55="Facture",SUMIFS(fl_ht,fl_doc,A55,fl_rate,INDEX(p_rates,6)),SUMIFS(dl_ht,dl_doc,F55,dl_rate,INDEX(p_rates,6))))</f>
        <v>0.0</v>
      </c>
      <c r="AQ55" s="62">
        <f>ROUND(AK55*N(INDEX(p_rates,1)),2)+ROUND(AL55*N(INDEX(p_rates,2)),2)+ROUND(AM55*N(INDEX(p_rates,3)),2)+ROUND(AN55*N(INDEX(p_rates,4)),2)+ROUND(AO55*N(INDEX(p_rates,5)),2)+ROUND(AP55*N(INDEX(p_rates,6)),2)</f>
        <v>0.0</v>
      </c>
      <c r="AR55" s="62" t="str">
        <f>IF(OR(L55="",AA55&lt;&gt;"Facture"),"",IFERROR(IF(INDEX(fa_type,MATCH(L55,fa_num,0))="Facture d'acompte",MATCH(L55,fa_num,0),""),""))</f>
        <v/>
      </c>
      <c r="AS55" s="62" t="str">
        <f>IF(W55="","",IF(W55&lt;=0,"",IF(p_asof-P55&lt;=0,"Non échu",IF(p_asof-P55&lt;=30,"1-30 j",IF(p_asof-P55&lt;=60,"31-60 j",IF(p_asof-P55&lt;=90,"61-90 j","Plus de 90 j"))))))</f>
        <v/>
      </c>
      <c r="AT55" s="62" t="str">
        <f>IF(AS55="","",p_asof-P55)</f>
        <v/>
      </c>
      <c r="AU55" s="62" t="str">
        <f>IF(AT55="","",COUNTIF($AT$6:$AT$805,"&gt;"&amp;AT55)+COUNTIF($AT$6:AT55,AT55))</f>
        <v/>
      </c>
    </row>
    <row r="56">
      <c r="A56" s="59" t="str">
        <f>IF(AE56="","",AB56&amp;"-"&amp;AD56&amp;"-"&amp;RIGHT("000"&amp;AE56,4))</f>
        <v/>
      </c>
      <c r="B56" s="60" t="n"/>
      <c r="C56" s="61" t="n"/>
      <c r="D56" s="60" t="n"/>
      <c r="E56" s="62" t="str">
        <f>IF(D56="","",IFERROR(INDEX(cli_name,MATCH(D56,cli_code,0))&amp;"","Client inconnu"))</f>
        <v/>
      </c>
      <c r="F56" s="60" t="n"/>
      <c r="G56" s="63" t="n"/>
      <c r="H56" s="61" t="n"/>
      <c r="I56" s="63" t="n"/>
      <c r="J56" s="60" t="n"/>
      <c r="K56" s="61" t="n"/>
      <c r="L56" s="60" t="n"/>
      <c r="M56" s="60" t="n"/>
      <c r="N56" s="60" t="n"/>
      <c r="O56" s="61" t="n"/>
      <c r="P56" s="64" t="str">
        <f>IF(A56="","",IF(AA56="Avoir",AC56,IF(ISNUMBER(K56),K56,AC56+IF(D56="",N(p_delay),IFERROR(IF(ISNUMBER(INDEX(cli_delay,MATCH(D56,cli_code,0))),INDEX(cli_delay,MATCH(D56,cli_code,0)),N(p_delay)),N(p_delay))))))</f>
        <v/>
      </c>
      <c r="Q56" s="65" t="str">
        <f>IF(A56="","",IF(AA56="Avoir",-1,1)*ROUND(AJ56-IF(AR56="",0,INDEX(fa_htb,AR56)),2))</f>
        <v/>
      </c>
      <c r="R56" s="65" t="str">
        <f>IF(A56="","",IF(AA56="Avoir",-1,1)*ROUND(AQ56-IF(AR56="",0,INDEX(fa_tvab,AR56)),2))</f>
        <v/>
      </c>
      <c r="S56" s="65" t="str">
        <f>IF(A56="","",Q56+R56)</f>
        <v/>
      </c>
      <c r="T56" s="65" t="str">
        <f>IF(AR56="","",INDEX(fa_htb,AR56)+INDEX(fa_tvab,AR56))</f>
        <v/>
      </c>
      <c r="U56" s="65" t="str">
        <f>IF(A56="","",SUMIF(pa_inv,A56,pa_amt))</f>
        <v/>
      </c>
      <c r="V56" s="65" t="str">
        <f>IF(OR(A56="",AA56="Avoir"),"",-SUMIFS(fa_ttc,fa_avof,A56,fa_type,"Avoir"))</f>
        <v/>
      </c>
      <c r="W56" s="65" t="str">
        <f>IF(OR(A56="",AA56="Avoir"),"",ROUND(S56-U56-V56,2))</f>
        <v/>
      </c>
      <c r="X56" s="66" t="str">
        <f>IF(W56="","",IF(AND(W56&gt;0,p_asof&gt;P56),p_asof-P56,""))</f>
        <v/>
      </c>
      <c r="Y56" s="59" t="str">
        <f>IF(A56="","",IF(AA56="Avoir","Avoir",IF(W56&lt;0,"Trop-perçu",IF(W56=0,"Soldée",IF(p_asof&gt;P56,"En retard",IF(U56+V56&gt;0,"Partielle","À échoir"))))))</f>
        <v/>
      </c>
      <c r="Z56" s="59" t="str">
        <f>IF(NOT(COUNTA(B56:D56,F56:O56)&gt;0),"",IF(C56="","Date manquante",IF(NOT(ISNUMBER(C56)),"Date invalide",IF(D56="","Client manquant",IF(ISNA(MATCH(D56,cli_code,0)),"Client inconnu",IF(AC56&lt;SUMPRODUCT(MAX(($AB$6:AB55=AB56)*$AC$6:AC55)),"Date antérieure à la facture précédente",IF(AND(F56&lt;&gt;"",ISNA(MATCH(F56,dv_num,0))),"Devis inconnu",IF(AND(F56&lt;&gt;"",IFERROR(INDEX(dv_client,MATCH(F56,dv_num,0)),D56)&lt;&gt;D56),"Client différent de celui du devis",IF(AG56="","Aucune ligne : saisissez des lignes ou un devis",IF(AND(AI56&lt;&gt;"",COUNTIF($AI$6:AI56,AI56)&gt;1),"Devis déjà repris par une autre facture",IF(AND(AA56="Avoir",M56=""),"Avoir : indiquez la facture d'origine",IF(AND(AA56="Avoir",ISNA(MATCH(M56,fa_num,0))),"Facture d'origine inconnue",IF(AND(AA56&lt;&gt;"Avoir",M56&lt;&gt;""),"« Avoir sur facture » : réservé aux avoirs",IF(AND(L56&lt;&gt;"",AA56&lt;&gt;"Facture"),"Acompte à déduire : réservé aux factures",IF(AND(L56&lt;&gt;"",ISNA(MATCH(L56,fa_num,0))),"Facture d'acompte inconnue",IF(AND(L56&lt;&gt;"",IFERROR(INDEX(fa_type,MATCH(L56,fa_num,0)),"")&lt;&gt;"Facture d'acompte"),"Le n° à déduire n'est pas une facture d'acompte",IF(AND(L56&lt;&gt;"",COUNTIF($L$6:L56,L56)&gt;1),"Acompte déjà déduit sur une autre facture",IF(AND(L56&lt;&gt;"",IFERROR(INDEX(fa_client,MATCH(L56,fa_num,0)),D56)&lt;&gt;D56),"Acompte d'un autre client",IF(AND(AR56&lt;&gt;"",N(Q56)&lt;0),"Acompte supérieur au total de la facture",IF(IF(AG56="Facture",COUNTIFS(fl_doc,A56,fl_check,"&lt;&gt;OK"),IF(AG56="Devis",COUNTIFS(dl_doc,F56,dl_check,"&lt;&gt;OK"),0))&gt;0,"Ligne(s) à corriger",IF(AND(W56&lt;&gt;"",N(W56)&lt;0),"Trop-perçu : vérifiez paiements et avoirs","OK")))))))))))))))))))))</f>
        <v/>
      </c>
      <c r="AA56" s="62" t="str">
        <f>IF(COUNTA(B56:D56,F56:O56)&gt;0,IF(B56="","Facture",B56),"")</f>
        <v/>
      </c>
      <c r="AB56" s="62" t="str">
        <f>IF(AA56="","",IF(AA56="Avoir",p_pav,IF(AA56="Facture d'acompte",p_pac,p_pfa)))</f>
        <v/>
      </c>
      <c r="AC56" s="62">
        <f>IF(ISNUMBER(C56),C56,0)</f>
        <v>0.0</v>
      </c>
      <c r="AD56" s="62" t="str">
        <f>IF(OR(AA56="",AC56=0),"",YEAR(AC56))</f>
        <v/>
      </c>
      <c r="AE56" s="62" t="str">
        <f>IF(AD56="","",COUNTIFS($AB$6:AB56,AB56,$AD$6:AD56,AD56))</f>
        <v/>
      </c>
      <c r="AF56" s="62">
        <f>IF(A56="",0,COUNTIF(fl_doc,A56))</f>
        <v>0.0</v>
      </c>
      <c r="AG56" s="62" t="str">
        <f>IF(A56="","",IF(AF56&gt;0,"Facture",IF(AND(F56&lt;&gt;"",AA56="Facture",ISNUMBER(MATCH(F56,dv_num,0))),"Devis","")))</f>
        <v/>
      </c>
      <c r="AH56" s="62" t="str">
        <f>IF(AND(A56&lt;&gt;"",F56&lt;&gt;"",AA56&lt;&gt;"Avoir"),F56,"")</f>
        <v/>
      </c>
      <c r="AI56" s="62" t="str">
        <f>IF(AG56="Devis",F56,"")</f>
        <v/>
      </c>
      <c r="AJ56" s="62">
        <f>IF(AG56="Facture",SUMIF(fl_doc,A56,fl_ht),IF(AG56="Devis",SUMIF(dl_doc,F56,dl_ht),0))</f>
        <v>0.0</v>
      </c>
      <c r="AK56" s="62">
        <f>IF(OR(AG56="",INDEX(p_rates,1)=""),0,IF(AG56="Facture",SUMIFS(fl_ht,fl_doc,A56,fl_rate,INDEX(p_rates,1)),SUMIFS(dl_ht,dl_doc,F56,dl_rate,INDEX(p_rates,1))))</f>
        <v>0.0</v>
      </c>
      <c r="AL56" s="62">
        <f>IF(OR(AG56="",INDEX(p_rates,2)=""),0,IF(AG56="Facture",SUMIFS(fl_ht,fl_doc,A56,fl_rate,INDEX(p_rates,2)),SUMIFS(dl_ht,dl_doc,F56,dl_rate,INDEX(p_rates,2))))</f>
        <v>0.0</v>
      </c>
      <c r="AM56" s="62">
        <f>IF(OR(AG56="",INDEX(p_rates,3)=""),0,IF(AG56="Facture",SUMIFS(fl_ht,fl_doc,A56,fl_rate,INDEX(p_rates,3)),SUMIFS(dl_ht,dl_doc,F56,dl_rate,INDEX(p_rates,3))))</f>
        <v>0.0</v>
      </c>
      <c r="AN56" s="62">
        <f>IF(OR(AG56="",INDEX(p_rates,4)=""),0,IF(AG56="Facture",SUMIFS(fl_ht,fl_doc,A56,fl_rate,INDEX(p_rates,4)),SUMIFS(dl_ht,dl_doc,F56,dl_rate,INDEX(p_rates,4))))</f>
        <v>0.0</v>
      </c>
      <c r="AO56" s="62">
        <f>IF(OR(AG56="",INDEX(p_rates,5)=""),0,IF(AG56="Facture",SUMIFS(fl_ht,fl_doc,A56,fl_rate,INDEX(p_rates,5)),SUMIFS(dl_ht,dl_doc,F56,dl_rate,INDEX(p_rates,5))))</f>
        <v>0.0</v>
      </c>
      <c r="AP56" s="62">
        <f>IF(OR(AG56="",INDEX(p_rates,6)=""),0,IF(AG56="Facture",SUMIFS(fl_ht,fl_doc,A56,fl_rate,INDEX(p_rates,6)),SUMIFS(dl_ht,dl_doc,F56,dl_rate,INDEX(p_rates,6))))</f>
        <v>0.0</v>
      </c>
      <c r="AQ56" s="62">
        <f>ROUND(AK56*N(INDEX(p_rates,1)),2)+ROUND(AL56*N(INDEX(p_rates,2)),2)+ROUND(AM56*N(INDEX(p_rates,3)),2)+ROUND(AN56*N(INDEX(p_rates,4)),2)+ROUND(AO56*N(INDEX(p_rates,5)),2)+ROUND(AP56*N(INDEX(p_rates,6)),2)</f>
        <v>0.0</v>
      </c>
      <c r="AR56" s="62" t="str">
        <f>IF(OR(L56="",AA56&lt;&gt;"Facture"),"",IFERROR(IF(INDEX(fa_type,MATCH(L56,fa_num,0))="Facture d'acompte",MATCH(L56,fa_num,0),""),""))</f>
        <v/>
      </c>
      <c r="AS56" s="62" t="str">
        <f>IF(W56="","",IF(W56&lt;=0,"",IF(p_asof-P56&lt;=0,"Non échu",IF(p_asof-P56&lt;=30,"1-30 j",IF(p_asof-P56&lt;=60,"31-60 j",IF(p_asof-P56&lt;=90,"61-90 j","Plus de 90 j"))))))</f>
        <v/>
      </c>
      <c r="AT56" s="62" t="str">
        <f>IF(AS56="","",p_asof-P56)</f>
        <v/>
      </c>
      <c r="AU56" s="62" t="str">
        <f>IF(AT56="","",COUNTIF($AT$6:$AT$805,"&gt;"&amp;AT56)+COUNTIF($AT$6:AT56,AT56))</f>
        <v/>
      </c>
    </row>
    <row r="57">
      <c r="A57" s="59" t="str">
        <f>IF(AE57="","",AB57&amp;"-"&amp;AD57&amp;"-"&amp;RIGHT("000"&amp;AE57,4))</f>
        <v/>
      </c>
      <c r="B57" s="60" t="n"/>
      <c r="C57" s="61" t="n"/>
      <c r="D57" s="60" t="n"/>
      <c r="E57" s="62" t="str">
        <f>IF(D57="","",IFERROR(INDEX(cli_name,MATCH(D57,cli_code,0))&amp;"","Client inconnu"))</f>
        <v/>
      </c>
      <c r="F57" s="60" t="n"/>
      <c r="G57" s="63" t="n"/>
      <c r="H57" s="61" t="n"/>
      <c r="I57" s="63" t="n"/>
      <c r="J57" s="60" t="n"/>
      <c r="K57" s="61" t="n"/>
      <c r="L57" s="60" t="n"/>
      <c r="M57" s="60" t="n"/>
      <c r="N57" s="60" t="n"/>
      <c r="O57" s="61" t="n"/>
      <c r="P57" s="64" t="str">
        <f>IF(A57="","",IF(AA57="Avoir",AC57,IF(ISNUMBER(K57),K57,AC57+IF(D57="",N(p_delay),IFERROR(IF(ISNUMBER(INDEX(cli_delay,MATCH(D57,cli_code,0))),INDEX(cli_delay,MATCH(D57,cli_code,0)),N(p_delay)),N(p_delay))))))</f>
        <v/>
      </c>
      <c r="Q57" s="65" t="str">
        <f>IF(A57="","",IF(AA57="Avoir",-1,1)*ROUND(AJ57-IF(AR57="",0,INDEX(fa_htb,AR57)),2))</f>
        <v/>
      </c>
      <c r="R57" s="65" t="str">
        <f>IF(A57="","",IF(AA57="Avoir",-1,1)*ROUND(AQ57-IF(AR57="",0,INDEX(fa_tvab,AR57)),2))</f>
        <v/>
      </c>
      <c r="S57" s="65" t="str">
        <f>IF(A57="","",Q57+R57)</f>
        <v/>
      </c>
      <c r="T57" s="65" t="str">
        <f>IF(AR57="","",INDEX(fa_htb,AR57)+INDEX(fa_tvab,AR57))</f>
        <v/>
      </c>
      <c r="U57" s="65" t="str">
        <f>IF(A57="","",SUMIF(pa_inv,A57,pa_amt))</f>
        <v/>
      </c>
      <c r="V57" s="65" t="str">
        <f>IF(OR(A57="",AA57="Avoir"),"",-SUMIFS(fa_ttc,fa_avof,A57,fa_type,"Avoir"))</f>
        <v/>
      </c>
      <c r="W57" s="65" t="str">
        <f>IF(OR(A57="",AA57="Avoir"),"",ROUND(S57-U57-V57,2))</f>
        <v/>
      </c>
      <c r="X57" s="66" t="str">
        <f>IF(W57="","",IF(AND(W57&gt;0,p_asof&gt;P57),p_asof-P57,""))</f>
        <v/>
      </c>
      <c r="Y57" s="59" t="str">
        <f>IF(A57="","",IF(AA57="Avoir","Avoir",IF(W57&lt;0,"Trop-perçu",IF(W57=0,"Soldée",IF(p_asof&gt;P57,"En retard",IF(U57+V57&gt;0,"Partielle","À échoir"))))))</f>
        <v/>
      </c>
      <c r="Z57" s="59" t="str">
        <f>IF(NOT(COUNTA(B57:D57,F57:O57)&gt;0),"",IF(C57="","Date manquante",IF(NOT(ISNUMBER(C57)),"Date invalide",IF(D57="","Client manquant",IF(ISNA(MATCH(D57,cli_code,0)),"Client inconnu",IF(AC57&lt;SUMPRODUCT(MAX(($AB$6:AB56=AB57)*$AC$6:AC56)),"Date antérieure à la facture précédente",IF(AND(F57&lt;&gt;"",ISNA(MATCH(F57,dv_num,0))),"Devis inconnu",IF(AND(F57&lt;&gt;"",IFERROR(INDEX(dv_client,MATCH(F57,dv_num,0)),D57)&lt;&gt;D57),"Client différent de celui du devis",IF(AG57="","Aucune ligne : saisissez des lignes ou un devis",IF(AND(AI57&lt;&gt;"",COUNTIF($AI$6:AI57,AI57)&gt;1),"Devis déjà repris par une autre facture",IF(AND(AA57="Avoir",M57=""),"Avoir : indiquez la facture d'origine",IF(AND(AA57="Avoir",ISNA(MATCH(M57,fa_num,0))),"Facture d'origine inconnue",IF(AND(AA57&lt;&gt;"Avoir",M57&lt;&gt;""),"« Avoir sur facture » : réservé aux avoirs",IF(AND(L57&lt;&gt;"",AA57&lt;&gt;"Facture"),"Acompte à déduire : réservé aux factures",IF(AND(L57&lt;&gt;"",ISNA(MATCH(L57,fa_num,0))),"Facture d'acompte inconnue",IF(AND(L57&lt;&gt;"",IFERROR(INDEX(fa_type,MATCH(L57,fa_num,0)),"")&lt;&gt;"Facture d'acompte"),"Le n° à déduire n'est pas une facture d'acompte",IF(AND(L57&lt;&gt;"",COUNTIF($L$6:L57,L57)&gt;1),"Acompte déjà déduit sur une autre facture",IF(AND(L57&lt;&gt;"",IFERROR(INDEX(fa_client,MATCH(L57,fa_num,0)),D57)&lt;&gt;D57),"Acompte d'un autre client",IF(AND(AR57&lt;&gt;"",N(Q57)&lt;0),"Acompte supérieur au total de la facture",IF(IF(AG57="Facture",COUNTIFS(fl_doc,A57,fl_check,"&lt;&gt;OK"),IF(AG57="Devis",COUNTIFS(dl_doc,F57,dl_check,"&lt;&gt;OK"),0))&gt;0,"Ligne(s) à corriger",IF(AND(W57&lt;&gt;"",N(W57)&lt;0),"Trop-perçu : vérifiez paiements et avoirs","OK")))))))))))))))))))))</f>
        <v/>
      </c>
      <c r="AA57" s="62" t="str">
        <f>IF(COUNTA(B57:D57,F57:O57)&gt;0,IF(B57="","Facture",B57),"")</f>
        <v/>
      </c>
      <c r="AB57" s="62" t="str">
        <f>IF(AA57="","",IF(AA57="Avoir",p_pav,IF(AA57="Facture d'acompte",p_pac,p_pfa)))</f>
        <v/>
      </c>
      <c r="AC57" s="62">
        <f>IF(ISNUMBER(C57),C57,0)</f>
        <v>0.0</v>
      </c>
      <c r="AD57" s="62" t="str">
        <f>IF(OR(AA57="",AC57=0),"",YEAR(AC57))</f>
        <v/>
      </c>
      <c r="AE57" s="62" t="str">
        <f>IF(AD57="","",COUNTIFS($AB$6:AB57,AB57,$AD$6:AD57,AD57))</f>
        <v/>
      </c>
      <c r="AF57" s="62">
        <f>IF(A57="",0,COUNTIF(fl_doc,A57))</f>
        <v>0.0</v>
      </c>
      <c r="AG57" s="62" t="str">
        <f>IF(A57="","",IF(AF57&gt;0,"Facture",IF(AND(F57&lt;&gt;"",AA57="Facture",ISNUMBER(MATCH(F57,dv_num,0))),"Devis","")))</f>
        <v/>
      </c>
      <c r="AH57" s="62" t="str">
        <f>IF(AND(A57&lt;&gt;"",F57&lt;&gt;"",AA57&lt;&gt;"Avoir"),F57,"")</f>
        <v/>
      </c>
      <c r="AI57" s="62" t="str">
        <f>IF(AG57="Devis",F57,"")</f>
        <v/>
      </c>
      <c r="AJ57" s="62">
        <f>IF(AG57="Facture",SUMIF(fl_doc,A57,fl_ht),IF(AG57="Devis",SUMIF(dl_doc,F57,dl_ht),0))</f>
        <v>0.0</v>
      </c>
      <c r="AK57" s="62">
        <f>IF(OR(AG57="",INDEX(p_rates,1)=""),0,IF(AG57="Facture",SUMIFS(fl_ht,fl_doc,A57,fl_rate,INDEX(p_rates,1)),SUMIFS(dl_ht,dl_doc,F57,dl_rate,INDEX(p_rates,1))))</f>
        <v>0.0</v>
      </c>
      <c r="AL57" s="62">
        <f>IF(OR(AG57="",INDEX(p_rates,2)=""),0,IF(AG57="Facture",SUMIFS(fl_ht,fl_doc,A57,fl_rate,INDEX(p_rates,2)),SUMIFS(dl_ht,dl_doc,F57,dl_rate,INDEX(p_rates,2))))</f>
        <v>0.0</v>
      </c>
      <c r="AM57" s="62">
        <f>IF(OR(AG57="",INDEX(p_rates,3)=""),0,IF(AG57="Facture",SUMIFS(fl_ht,fl_doc,A57,fl_rate,INDEX(p_rates,3)),SUMIFS(dl_ht,dl_doc,F57,dl_rate,INDEX(p_rates,3))))</f>
        <v>0.0</v>
      </c>
      <c r="AN57" s="62">
        <f>IF(OR(AG57="",INDEX(p_rates,4)=""),0,IF(AG57="Facture",SUMIFS(fl_ht,fl_doc,A57,fl_rate,INDEX(p_rates,4)),SUMIFS(dl_ht,dl_doc,F57,dl_rate,INDEX(p_rates,4))))</f>
        <v>0.0</v>
      </c>
      <c r="AO57" s="62">
        <f>IF(OR(AG57="",INDEX(p_rates,5)=""),0,IF(AG57="Facture",SUMIFS(fl_ht,fl_doc,A57,fl_rate,INDEX(p_rates,5)),SUMIFS(dl_ht,dl_doc,F57,dl_rate,INDEX(p_rates,5))))</f>
        <v>0.0</v>
      </c>
      <c r="AP57" s="62">
        <f>IF(OR(AG57="",INDEX(p_rates,6)=""),0,IF(AG57="Facture",SUMIFS(fl_ht,fl_doc,A57,fl_rate,INDEX(p_rates,6)),SUMIFS(dl_ht,dl_doc,F57,dl_rate,INDEX(p_rates,6))))</f>
        <v>0.0</v>
      </c>
      <c r="AQ57" s="62">
        <f>ROUND(AK57*N(INDEX(p_rates,1)),2)+ROUND(AL57*N(INDEX(p_rates,2)),2)+ROUND(AM57*N(INDEX(p_rates,3)),2)+ROUND(AN57*N(INDEX(p_rates,4)),2)+ROUND(AO57*N(INDEX(p_rates,5)),2)+ROUND(AP57*N(INDEX(p_rates,6)),2)</f>
        <v>0.0</v>
      </c>
      <c r="AR57" s="62" t="str">
        <f>IF(OR(L57="",AA57&lt;&gt;"Facture"),"",IFERROR(IF(INDEX(fa_type,MATCH(L57,fa_num,0))="Facture d'acompte",MATCH(L57,fa_num,0),""),""))</f>
        <v/>
      </c>
      <c r="AS57" s="62" t="str">
        <f>IF(W57="","",IF(W57&lt;=0,"",IF(p_asof-P57&lt;=0,"Non échu",IF(p_asof-P57&lt;=30,"1-30 j",IF(p_asof-P57&lt;=60,"31-60 j",IF(p_asof-P57&lt;=90,"61-90 j","Plus de 90 j"))))))</f>
        <v/>
      </c>
      <c r="AT57" s="62" t="str">
        <f>IF(AS57="","",p_asof-P57)</f>
        <v/>
      </c>
      <c r="AU57" s="62" t="str">
        <f>IF(AT57="","",COUNTIF($AT$6:$AT$805,"&gt;"&amp;AT57)+COUNTIF($AT$6:AT57,AT57))</f>
        <v/>
      </c>
    </row>
    <row r="58">
      <c r="A58" s="59" t="str">
        <f>IF(AE58="","",AB58&amp;"-"&amp;AD58&amp;"-"&amp;RIGHT("000"&amp;AE58,4))</f>
        <v/>
      </c>
      <c r="B58" s="60" t="n"/>
      <c r="C58" s="61" t="n"/>
      <c r="D58" s="60" t="n"/>
      <c r="E58" s="62" t="str">
        <f>IF(D58="","",IFERROR(INDEX(cli_name,MATCH(D58,cli_code,0))&amp;"","Client inconnu"))</f>
        <v/>
      </c>
      <c r="F58" s="60" t="n"/>
      <c r="G58" s="63" t="n"/>
      <c r="H58" s="61" t="n"/>
      <c r="I58" s="63" t="n"/>
      <c r="J58" s="60" t="n"/>
      <c r="K58" s="61" t="n"/>
      <c r="L58" s="60" t="n"/>
      <c r="M58" s="60" t="n"/>
      <c r="N58" s="60" t="n"/>
      <c r="O58" s="61" t="n"/>
      <c r="P58" s="64" t="str">
        <f>IF(A58="","",IF(AA58="Avoir",AC58,IF(ISNUMBER(K58),K58,AC58+IF(D58="",N(p_delay),IFERROR(IF(ISNUMBER(INDEX(cli_delay,MATCH(D58,cli_code,0))),INDEX(cli_delay,MATCH(D58,cli_code,0)),N(p_delay)),N(p_delay))))))</f>
        <v/>
      </c>
      <c r="Q58" s="65" t="str">
        <f>IF(A58="","",IF(AA58="Avoir",-1,1)*ROUND(AJ58-IF(AR58="",0,INDEX(fa_htb,AR58)),2))</f>
        <v/>
      </c>
      <c r="R58" s="65" t="str">
        <f>IF(A58="","",IF(AA58="Avoir",-1,1)*ROUND(AQ58-IF(AR58="",0,INDEX(fa_tvab,AR58)),2))</f>
        <v/>
      </c>
      <c r="S58" s="65" t="str">
        <f>IF(A58="","",Q58+R58)</f>
        <v/>
      </c>
      <c r="T58" s="65" t="str">
        <f>IF(AR58="","",INDEX(fa_htb,AR58)+INDEX(fa_tvab,AR58))</f>
        <v/>
      </c>
      <c r="U58" s="65" t="str">
        <f>IF(A58="","",SUMIF(pa_inv,A58,pa_amt))</f>
        <v/>
      </c>
      <c r="V58" s="65" t="str">
        <f>IF(OR(A58="",AA58="Avoir"),"",-SUMIFS(fa_ttc,fa_avof,A58,fa_type,"Avoir"))</f>
        <v/>
      </c>
      <c r="W58" s="65" t="str">
        <f>IF(OR(A58="",AA58="Avoir"),"",ROUND(S58-U58-V58,2))</f>
        <v/>
      </c>
      <c r="X58" s="66" t="str">
        <f>IF(W58="","",IF(AND(W58&gt;0,p_asof&gt;P58),p_asof-P58,""))</f>
        <v/>
      </c>
      <c r="Y58" s="59" t="str">
        <f>IF(A58="","",IF(AA58="Avoir","Avoir",IF(W58&lt;0,"Trop-perçu",IF(W58=0,"Soldée",IF(p_asof&gt;P58,"En retard",IF(U58+V58&gt;0,"Partielle","À échoir"))))))</f>
        <v/>
      </c>
      <c r="Z58" s="59" t="str">
        <f>IF(NOT(COUNTA(B58:D58,F58:O58)&gt;0),"",IF(C58="","Date manquante",IF(NOT(ISNUMBER(C58)),"Date invalide",IF(D58="","Client manquant",IF(ISNA(MATCH(D58,cli_code,0)),"Client inconnu",IF(AC58&lt;SUMPRODUCT(MAX(($AB$6:AB57=AB58)*$AC$6:AC57)),"Date antérieure à la facture précédente",IF(AND(F58&lt;&gt;"",ISNA(MATCH(F58,dv_num,0))),"Devis inconnu",IF(AND(F58&lt;&gt;"",IFERROR(INDEX(dv_client,MATCH(F58,dv_num,0)),D58)&lt;&gt;D58),"Client différent de celui du devis",IF(AG58="","Aucune ligne : saisissez des lignes ou un devis",IF(AND(AI58&lt;&gt;"",COUNTIF($AI$6:AI58,AI58)&gt;1),"Devis déjà repris par une autre facture",IF(AND(AA58="Avoir",M58=""),"Avoir : indiquez la facture d'origine",IF(AND(AA58="Avoir",ISNA(MATCH(M58,fa_num,0))),"Facture d'origine inconnue",IF(AND(AA58&lt;&gt;"Avoir",M58&lt;&gt;""),"« Avoir sur facture » : réservé aux avoirs",IF(AND(L58&lt;&gt;"",AA58&lt;&gt;"Facture"),"Acompte à déduire : réservé aux factures",IF(AND(L58&lt;&gt;"",ISNA(MATCH(L58,fa_num,0))),"Facture d'acompte inconnue",IF(AND(L58&lt;&gt;"",IFERROR(INDEX(fa_type,MATCH(L58,fa_num,0)),"")&lt;&gt;"Facture d'acompte"),"Le n° à déduire n'est pas une facture d'acompte",IF(AND(L58&lt;&gt;"",COUNTIF($L$6:L58,L58)&gt;1),"Acompte déjà déduit sur une autre facture",IF(AND(L58&lt;&gt;"",IFERROR(INDEX(fa_client,MATCH(L58,fa_num,0)),D58)&lt;&gt;D58),"Acompte d'un autre client",IF(AND(AR58&lt;&gt;"",N(Q58)&lt;0),"Acompte supérieur au total de la facture",IF(IF(AG58="Facture",COUNTIFS(fl_doc,A58,fl_check,"&lt;&gt;OK"),IF(AG58="Devis",COUNTIFS(dl_doc,F58,dl_check,"&lt;&gt;OK"),0))&gt;0,"Ligne(s) à corriger",IF(AND(W58&lt;&gt;"",N(W58)&lt;0),"Trop-perçu : vérifiez paiements et avoirs","OK")))))))))))))))))))))</f>
        <v/>
      </c>
      <c r="AA58" s="62" t="str">
        <f>IF(COUNTA(B58:D58,F58:O58)&gt;0,IF(B58="","Facture",B58),"")</f>
        <v/>
      </c>
      <c r="AB58" s="62" t="str">
        <f>IF(AA58="","",IF(AA58="Avoir",p_pav,IF(AA58="Facture d'acompte",p_pac,p_pfa)))</f>
        <v/>
      </c>
      <c r="AC58" s="62">
        <f>IF(ISNUMBER(C58),C58,0)</f>
        <v>0.0</v>
      </c>
      <c r="AD58" s="62" t="str">
        <f>IF(OR(AA58="",AC58=0),"",YEAR(AC58))</f>
        <v/>
      </c>
      <c r="AE58" s="62" t="str">
        <f>IF(AD58="","",COUNTIFS($AB$6:AB58,AB58,$AD$6:AD58,AD58))</f>
        <v/>
      </c>
      <c r="AF58" s="62">
        <f>IF(A58="",0,COUNTIF(fl_doc,A58))</f>
        <v>0.0</v>
      </c>
      <c r="AG58" s="62" t="str">
        <f>IF(A58="","",IF(AF58&gt;0,"Facture",IF(AND(F58&lt;&gt;"",AA58="Facture",ISNUMBER(MATCH(F58,dv_num,0))),"Devis","")))</f>
        <v/>
      </c>
      <c r="AH58" s="62" t="str">
        <f>IF(AND(A58&lt;&gt;"",F58&lt;&gt;"",AA58&lt;&gt;"Avoir"),F58,"")</f>
        <v/>
      </c>
      <c r="AI58" s="62" t="str">
        <f>IF(AG58="Devis",F58,"")</f>
        <v/>
      </c>
      <c r="AJ58" s="62">
        <f>IF(AG58="Facture",SUMIF(fl_doc,A58,fl_ht),IF(AG58="Devis",SUMIF(dl_doc,F58,dl_ht),0))</f>
        <v>0.0</v>
      </c>
      <c r="AK58" s="62">
        <f>IF(OR(AG58="",INDEX(p_rates,1)=""),0,IF(AG58="Facture",SUMIFS(fl_ht,fl_doc,A58,fl_rate,INDEX(p_rates,1)),SUMIFS(dl_ht,dl_doc,F58,dl_rate,INDEX(p_rates,1))))</f>
        <v>0.0</v>
      </c>
      <c r="AL58" s="62">
        <f>IF(OR(AG58="",INDEX(p_rates,2)=""),0,IF(AG58="Facture",SUMIFS(fl_ht,fl_doc,A58,fl_rate,INDEX(p_rates,2)),SUMIFS(dl_ht,dl_doc,F58,dl_rate,INDEX(p_rates,2))))</f>
        <v>0.0</v>
      </c>
      <c r="AM58" s="62">
        <f>IF(OR(AG58="",INDEX(p_rates,3)=""),0,IF(AG58="Facture",SUMIFS(fl_ht,fl_doc,A58,fl_rate,INDEX(p_rates,3)),SUMIFS(dl_ht,dl_doc,F58,dl_rate,INDEX(p_rates,3))))</f>
        <v>0.0</v>
      </c>
      <c r="AN58" s="62">
        <f>IF(OR(AG58="",INDEX(p_rates,4)=""),0,IF(AG58="Facture",SUMIFS(fl_ht,fl_doc,A58,fl_rate,INDEX(p_rates,4)),SUMIFS(dl_ht,dl_doc,F58,dl_rate,INDEX(p_rates,4))))</f>
        <v>0.0</v>
      </c>
      <c r="AO58" s="62">
        <f>IF(OR(AG58="",INDEX(p_rates,5)=""),0,IF(AG58="Facture",SUMIFS(fl_ht,fl_doc,A58,fl_rate,INDEX(p_rates,5)),SUMIFS(dl_ht,dl_doc,F58,dl_rate,INDEX(p_rates,5))))</f>
        <v>0.0</v>
      </c>
      <c r="AP58" s="62">
        <f>IF(OR(AG58="",INDEX(p_rates,6)=""),0,IF(AG58="Facture",SUMIFS(fl_ht,fl_doc,A58,fl_rate,INDEX(p_rates,6)),SUMIFS(dl_ht,dl_doc,F58,dl_rate,INDEX(p_rates,6))))</f>
        <v>0.0</v>
      </c>
      <c r="AQ58" s="62">
        <f>ROUND(AK58*N(INDEX(p_rates,1)),2)+ROUND(AL58*N(INDEX(p_rates,2)),2)+ROUND(AM58*N(INDEX(p_rates,3)),2)+ROUND(AN58*N(INDEX(p_rates,4)),2)+ROUND(AO58*N(INDEX(p_rates,5)),2)+ROUND(AP58*N(INDEX(p_rates,6)),2)</f>
        <v>0.0</v>
      </c>
      <c r="AR58" s="62" t="str">
        <f>IF(OR(L58="",AA58&lt;&gt;"Facture"),"",IFERROR(IF(INDEX(fa_type,MATCH(L58,fa_num,0))="Facture d'acompte",MATCH(L58,fa_num,0),""),""))</f>
        <v/>
      </c>
      <c r="AS58" s="62" t="str">
        <f>IF(W58="","",IF(W58&lt;=0,"",IF(p_asof-P58&lt;=0,"Non échu",IF(p_asof-P58&lt;=30,"1-30 j",IF(p_asof-P58&lt;=60,"31-60 j",IF(p_asof-P58&lt;=90,"61-90 j","Plus de 90 j"))))))</f>
        <v/>
      </c>
      <c r="AT58" s="62" t="str">
        <f>IF(AS58="","",p_asof-P58)</f>
        <v/>
      </c>
      <c r="AU58" s="62" t="str">
        <f>IF(AT58="","",COUNTIF($AT$6:$AT$805,"&gt;"&amp;AT58)+COUNTIF($AT$6:AT58,AT58))</f>
        <v/>
      </c>
    </row>
    <row r="59">
      <c r="A59" s="59" t="str">
        <f>IF(AE59="","",AB59&amp;"-"&amp;AD59&amp;"-"&amp;RIGHT("000"&amp;AE59,4))</f>
        <v/>
      </c>
      <c r="B59" s="60" t="n"/>
      <c r="C59" s="61" t="n"/>
      <c r="D59" s="60" t="n"/>
      <c r="E59" s="62" t="str">
        <f>IF(D59="","",IFERROR(INDEX(cli_name,MATCH(D59,cli_code,0))&amp;"","Client inconnu"))</f>
        <v/>
      </c>
      <c r="F59" s="60" t="n"/>
      <c r="G59" s="63" t="n"/>
      <c r="H59" s="61" t="n"/>
      <c r="I59" s="63" t="n"/>
      <c r="J59" s="60" t="n"/>
      <c r="K59" s="61" t="n"/>
      <c r="L59" s="60" t="n"/>
      <c r="M59" s="60" t="n"/>
      <c r="N59" s="60" t="n"/>
      <c r="O59" s="61" t="n"/>
      <c r="P59" s="64" t="str">
        <f>IF(A59="","",IF(AA59="Avoir",AC59,IF(ISNUMBER(K59),K59,AC59+IF(D59="",N(p_delay),IFERROR(IF(ISNUMBER(INDEX(cli_delay,MATCH(D59,cli_code,0))),INDEX(cli_delay,MATCH(D59,cli_code,0)),N(p_delay)),N(p_delay))))))</f>
        <v/>
      </c>
      <c r="Q59" s="65" t="str">
        <f>IF(A59="","",IF(AA59="Avoir",-1,1)*ROUND(AJ59-IF(AR59="",0,INDEX(fa_htb,AR59)),2))</f>
        <v/>
      </c>
      <c r="R59" s="65" t="str">
        <f>IF(A59="","",IF(AA59="Avoir",-1,1)*ROUND(AQ59-IF(AR59="",0,INDEX(fa_tvab,AR59)),2))</f>
        <v/>
      </c>
      <c r="S59" s="65" t="str">
        <f>IF(A59="","",Q59+R59)</f>
        <v/>
      </c>
      <c r="T59" s="65" t="str">
        <f>IF(AR59="","",INDEX(fa_htb,AR59)+INDEX(fa_tvab,AR59))</f>
        <v/>
      </c>
      <c r="U59" s="65" t="str">
        <f>IF(A59="","",SUMIF(pa_inv,A59,pa_amt))</f>
        <v/>
      </c>
      <c r="V59" s="65" t="str">
        <f>IF(OR(A59="",AA59="Avoir"),"",-SUMIFS(fa_ttc,fa_avof,A59,fa_type,"Avoir"))</f>
        <v/>
      </c>
      <c r="W59" s="65" t="str">
        <f>IF(OR(A59="",AA59="Avoir"),"",ROUND(S59-U59-V59,2))</f>
        <v/>
      </c>
      <c r="X59" s="66" t="str">
        <f>IF(W59="","",IF(AND(W59&gt;0,p_asof&gt;P59),p_asof-P59,""))</f>
        <v/>
      </c>
      <c r="Y59" s="59" t="str">
        <f>IF(A59="","",IF(AA59="Avoir","Avoir",IF(W59&lt;0,"Trop-perçu",IF(W59=0,"Soldée",IF(p_asof&gt;P59,"En retard",IF(U59+V59&gt;0,"Partielle","À échoir"))))))</f>
        <v/>
      </c>
      <c r="Z59" s="59" t="str">
        <f>IF(NOT(COUNTA(B59:D59,F59:O59)&gt;0),"",IF(C59="","Date manquante",IF(NOT(ISNUMBER(C59)),"Date invalide",IF(D59="","Client manquant",IF(ISNA(MATCH(D59,cli_code,0)),"Client inconnu",IF(AC59&lt;SUMPRODUCT(MAX(($AB$6:AB58=AB59)*$AC$6:AC58)),"Date antérieure à la facture précédente",IF(AND(F59&lt;&gt;"",ISNA(MATCH(F59,dv_num,0))),"Devis inconnu",IF(AND(F59&lt;&gt;"",IFERROR(INDEX(dv_client,MATCH(F59,dv_num,0)),D59)&lt;&gt;D59),"Client différent de celui du devis",IF(AG59="","Aucune ligne : saisissez des lignes ou un devis",IF(AND(AI59&lt;&gt;"",COUNTIF($AI$6:AI59,AI59)&gt;1),"Devis déjà repris par une autre facture",IF(AND(AA59="Avoir",M59=""),"Avoir : indiquez la facture d'origine",IF(AND(AA59="Avoir",ISNA(MATCH(M59,fa_num,0))),"Facture d'origine inconnue",IF(AND(AA59&lt;&gt;"Avoir",M59&lt;&gt;""),"« Avoir sur facture » : réservé aux avoirs",IF(AND(L59&lt;&gt;"",AA59&lt;&gt;"Facture"),"Acompte à déduire : réservé aux factures",IF(AND(L59&lt;&gt;"",ISNA(MATCH(L59,fa_num,0))),"Facture d'acompte inconnue",IF(AND(L59&lt;&gt;"",IFERROR(INDEX(fa_type,MATCH(L59,fa_num,0)),"")&lt;&gt;"Facture d'acompte"),"Le n° à déduire n'est pas une facture d'acompte",IF(AND(L59&lt;&gt;"",COUNTIF($L$6:L59,L59)&gt;1),"Acompte déjà déduit sur une autre facture",IF(AND(L59&lt;&gt;"",IFERROR(INDEX(fa_client,MATCH(L59,fa_num,0)),D59)&lt;&gt;D59),"Acompte d'un autre client",IF(AND(AR59&lt;&gt;"",N(Q59)&lt;0),"Acompte supérieur au total de la facture",IF(IF(AG59="Facture",COUNTIFS(fl_doc,A59,fl_check,"&lt;&gt;OK"),IF(AG59="Devis",COUNTIFS(dl_doc,F59,dl_check,"&lt;&gt;OK"),0))&gt;0,"Ligne(s) à corriger",IF(AND(W59&lt;&gt;"",N(W59)&lt;0),"Trop-perçu : vérifiez paiements et avoirs","OK")))))))))))))))))))))</f>
        <v/>
      </c>
      <c r="AA59" s="62" t="str">
        <f>IF(COUNTA(B59:D59,F59:O59)&gt;0,IF(B59="","Facture",B59),"")</f>
        <v/>
      </c>
      <c r="AB59" s="62" t="str">
        <f>IF(AA59="","",IF(AA59="Avoir",p_pav,IF(AA59="Facture d'acompte",p_pac,p_pfa)))</f>
        <v/>
      </c>
      <c r="AC59" s="62">
        <f>IF(ISNUMBER(C59),C59,0)</f>
        <v>0.0</v>
      </c>
      <c r="AD59" s="62" t="str">
        <f>IF(OR(AA59="",AC59=0),"",YEAR(AC59))</f>
        <v/>
      </c>
      <c r="AE59" s="62" t="str">
        <f>IF(AD59="","",COUNTIFS($AB$6:AB59,AB59,$AD$6:AD59,AD59))</f>
        <v/>
      </c>
      <c r="AF59" s="62">
        <f>IF(A59="",0,COUNTIF(fl_doc,A59))</f>
        <v>0.0</v>
      </c>
      <c r="AG59" s="62" t="str">
        <f>IF(A59="","",IF(AF59&gt;0,"Facture",IF(AND(F59&lt;&gt;"",AA59="Facture",ISNUMBER(MATCH(F59,dv_num,0))),"Devis","")))</f>
        <v/>
      </c>
      <c r="AH59" s="62" t="str">
        <f>IF(AND(A59&lt;&gt;"",F59&lt;&gt;"",AA59&lt;&gt;"Avoir"),F59,"")</f>
        <v/>
      </c>
      <c r="AI59" s="62" t="str">
        <f>IF(AG59="Devis",F59,"")</f>
        <v/>
      </c>
      <c r="AJ59" s="62">
        <f>IF(AG59="Facture",SUMIF(fl_doc,A59,fl_ht),IF(AG59="Devis",SUMIF(dl_doc,F59,dl_ht),0))</f>
        <v>0.0</v>
      </c>
      <c r="AK59" s="62">
        <f>IF(OR(AG59="",INDEX(p_rates,1)=""),0,IF(AG59="Facture",SUMIFS(fl_ht,fl_doc,A59,fl_rate,INDEX(p_rates,1)),SUMIFS(dl_ht,dl_doc,F59,dl_rate,INDEX(p_rates,1))))</f>
        <v>0.0</v>
      </c>
      <c r="AL59" s="62">
        <f>IF(OR(AG59="",INDEX(p_rates,2)=""),0,IF(AG59="Facture",SUMIFS(fl_ht,fl_doc,A59,fl_rate,INDEX(p_rates,2)),SUMIFS(dl_ht,dl_doc,F59,dl_rate,INDEX(p_rates,2))))</f>
        <v>0.0</v>
      </c>
      <c r="AM59" s="62">
        <f>IF(OR(AG59="",INDEX(p_rates,3)=""),0,IF(AG59="Facture",SUMIFS(fl_ht,fl_doc,A59,fl_rate,INDEX(p_rates,3)),SUMIFS(dl_ht,dl_doc,F59,dl_rate,INDEX(p_rates,3))))</f>
        <v>0.0</v>
      </c>
      <c r="AN59" s="62">
        <f>IF(OR(AG59="",INDEX(p_rates,4)=""),0,IF(AG59="Facture",SUMIFS(fl_ht,fl_doc,A59,fl_rate,INDEX(p_rates,4)),SUMIFS(dl_ht,dl_doc,F59,dl_rate,INDEX(p_rates,4))))</f>
        <v>0.0</v>
      </c>
      <c r="AO59" s="62">
        <f>IF(OR(AG59="",INDEX(p_rates,5)=""),0,IF(AG59="Facture",SUMIFS(fl_ht,fl_doc,A59,fl_rate,INDEX(p_rates,5)),SUMIFS(dl_ht,dl_doc,F59,dl_rate,INDEX(p_rates,5))))</f>
        <v>0.0</v>
      </c>
      <c r="AP59" s="62">
        <f>IF(OR(AG59="",INDEX(p_rates,6)=""),0,IF(AG59="Facture",SUMIFS(fl_ht,fl_doc,A59,fl_rate,INDEX(p_rates,6)),SUMIFS(dl_ht,dl_doc,F59,dl_rate,INDEX(p_rates,6))))</f>
        <v>0.0</v>
      </c>
      <c r="AQ59" s="62">
        <f>ROUND(AK59*N(INDEX(p_rates,1)),2)+ROUND(AL59*N(INDEX(p_rates,2)),2)+ROUND(AM59*N(INDEX(p_rates,3)),2)+ROUND(AN59*N(INDEX(p_rates,4)),2)+ROUND(AO59*N(INDEX(p_rates,5)),2)+ROUND(AP59*N(INDEX(p_rates,6)),2)</f>
        <v>0.0</v>
      </c>
      <c r="AR59" s="62" t="str">
        <f>IF(OR(L59="",AA59&lt;&gt;"Facture"),"",IFERROR(IF(INDEX(fa_type,MATCH(L59,fa_num,0))="Facture d'acompte",MATCH(L59,fa_num,0),""),""))</f>
        <v/>
      </c>
      <c r="AS59" s="62" t="str">
        <f>IF(W59="","",IF(W59&lt;=0,"",IF(p_asof-P59&lt;=0,"Non échu",IF(p_asof-P59&lt;=30,"1-30 j",IF(p_asof-P59&lt;=60,"31-60 j",IF(p_asof-P59&lt;=90,"61-90 j","Plus de 90 j"))))))</f>
        <v/>
      </c>
      <c r="AT59" s="62" t="str">
        <f>IF(AS59="","",p_asof-P59)</f>
        <v/>
      </c>
      <c r="AU59" s="62" t="str">
        <f>IF(AT59="","",COUNTIF($AT$6:$AT$805,"&gt;"&amp;AT59)+COUNTIF($AT$6:AT59,AT59))</f>
        <v/>
      </c>
    </row>
    <row r="60">
      <c r="A60" s="59" t="str">
        <f>IF(AE60="","",AB60&amp;"-"&amp;AD60&amp;"-"&amp;RIGHT("000"&amp;AE60,4))</f>
        <v/>
      </c>
      <c r="B60" s="60" t="n"/>
      <c r="C60" s="61" t="n"/>
      <c r="D60" s="60" t="n"/>
      <c r="E60" s="62" t="str">
        <f>IF(D60="","",IFERROR(INDEX(cli_name,MATCH(D60,cli_code,0))&amp;"","Client inconnu"))</f>
        <v/>
      </c>
      <c r="F60" s="60" t="n"/>
      <c r="G60" s="63" t="n"/>
      <c r="H60" s="61" t="n"/>
      <c r="I60" s="63" t="n"/>
      <c r="J60" s="60" t="n"/>
      <c r="K60" s="61" t="n"/>
      <c r="L60" s="60" t="n"/>
      <c r="M60" s="60" t="n"/>
      <c r="N60" s="60" t="n"/>
      <c r="O60" s="61" t="n"/>
      <c r="P60" s="64" t="str">
        <f>IF(A60="","",IF(AA60="Avoir",AC60,IF(ISNUMBER(K60),K60,AC60+IF(D60="",N(p_delay),IFERROR(IF(ISNUMBER(INDEX(cli_delay,MATCH(D60,cli_code,0))),INDEX(cli_delay,MATCH(D60,cli_code,0)),N(p_delay)),N(p_delay))))))</f>
        <v/>
      </c>
      <c r="Q60" s="65" t="str">
        <f>IF(A60="","",IF(AA60="Avoir",-1,1)*ROUND(AJ60-IF(AR60="",0,INDEX(fa_htb,AR60)),2))</f>
        <v/>
      </c>
      <c r="R60" s="65" t="str">
        <f>IF(A60="","",IF(AA60="Avoir",-1,1)*ROUND(AQ60-IF(AR60="",0,INDEX(fa_tvab,AR60)),2))</f>
        <v/>
      </c>
      <c r="S60" s="65" t="str">
        <f>IF(A60="","",Q60+R60)</f>
        <v/>
      </c>
      <c r="T60" s="65" t="str">
        <f>IF(AR60="","",INDEX(fa_htb,AR60)+INDEX(fa_tvab,AR60))</f>
        <v/>
      </c>
      <c r="U60" s="65" t="str">
        <f>IF(A60="","",SUMIF(pa_inv,A60,pa_amt))</f>
        <v/>
      </c>
      <c r="V60" s="65" t="str">
        <f>IF(OR(A60="",AA60="Avoir"),"",-SUMIFS(fa_ttc,fa_avof,A60,fa_type,"Avoir"))</f>
        <v/>
      </c>
      <c r="W60" s="65" t="str">
        <f>IF(OR(A60="",AA60="Avoir"),"",ROUND(S60-U60-V60,2))</f>
        <v/>
      </c>
      <c r="X60" s="66" t="str">
        <f>IF(W60="","",IF(AND(W60&gt;0,p_asof&gt;P60),p_asof-P60,""))</f>
        <v/>
      </c>
      <c r="Y60" s="59" t="str">
        <f>IF(A60="","",IF(AA60="Avoir","Avoir",IF(W60&lt;0,"Trop-perçu",IF(W60=0,"Soldée",IF(p_asof&gt;P60,"En retard",IF(U60+V60&gt;0,"Partielle","À échoir"))))))</f>
        <v/>
      </c>
      <c r="Z60" s="59" t="str">
        <f>IF(NOT(COUNTA(B60:D60,F60:O60)&gt;0),"",IF(C60="","Date manquante",IF(NOT(ISNUMBER(C60)),"Date invalide",IF(D60="","Client manquant",IF(ISNA(MATCH(D60,cli_code,0)),"Client inconnu",IF(AC60&lt;SUMPRODUCT(MAX(($AB$6:AB59=AB60)*$AC$6:AC59)),"Date antérieure à la facture précédente",IF(AND(F60&lt;&gt;"",ISNA(MATCH(F60,dv_num,0))),"Devis inconnu",IF(AND(F60&lt;&gt;"",IFERROR(INDEX(dv_client,MATCH(F60,dv_num,0)),D60)&lt;&gt;D60),"Client différent de celui du devis",IF(AG60="","Aucune ligne : saisissez des lignes ou un devis",IF(AND(AI60&lt;&gt;"",COUNTIF($AI$6:AI60,AI60)&gt;1),"Devis déjà repris par une autre facture",IF(AND(AA60="Avoir",M60=""),"Avoir : indiquez la facture d'origine",IF(AND(AA60="Avoir",ISNA(MATCH(M60,fa_num,0))),"Facture d'origine inconnue",IF(AND(AA60&lt;&gt;"Avoir",M60&lt;&gt;""),"« Avoir sur facture » : réservé aux avoirs",IF(AND(L60&lt;&gt;"",AA60&lt;&gt;"Facture"),"Acompte à déduire : réservé aux factures",IF(AND(L60&lt;&gt;"",ISNA(MATCH(L60,fa_num,0))),"Facture d'acompte inconnue",IF(AND(L60&lt;&gt;"",IFERROR(INDEX(fa_type,MATCH(L60,fa_num,0)),"")&lt;&gt;"Facture d'acompte"),"Le n° à déduire n'est pas une facture d'acompte",IF(AND(L60&lt;&gt;"",COUNTIF($L$6:L60,L60)&gt;1),"Acompte déjà déduit sur une autre facture",IF(AND(L60&lt;&gt;"",IFERROR(INDEX(fa_client,MATCH(L60,fa_num,0)),D60)&lt;&gt;D60),"Acompte d'un autre client",IF(AND(AR60&lt;&gt;"",N(Q60)&lt;0),"Acompte supérieur au total de la facture",IF(IF(AG60="Facture",COUNTIFS(fl_doc,A60,fl_check,"&lt;&gt;OK"),IF(AG60="Devis",COUNTIFS(dl_doc,F60,dl_check,"&lt;&gt;OK"),0))&gt;0,"Ligne(s) à corriger",IF(AND(W60&lt;&gt;"",N(W60)&lt;0),"Trop-perçu : vérifiez paiements et avoirs","OK")))))))))))))))))))))</f>
        <v/>
      </c>
      <c r="AA60" s="62" t="str">
        <f>IF(COUNTA(B60:D60,F60:O60)&gt;0,IF(B60="","Facture",B60),"")</f>
        <v/>
      </c>
      <c r="AB60" s="62" t="str">
        <f>IF(AA60="","",IF(AA60="Avoir",p_pav,IF(AA60="Facture d'acompte",p_pac,p_pfa)))</f>
        <v/>
      </c>
      <c r="AC60" s="62">
        <f>IF(ISNUMBER(C60),C60,0)</f>
        <v>0.0</v>
      </c>
      <c r="AD60" s="62" t="str">
        <f>IF(OR(AA60="",AC60=0),"",YEAR(AC60))</f>
        <v/>
      </c>
      <c r="AE60" s="62" t="str">
        <f>IF(AD60="","",COUNTIFS($AB$6:AB60,AB60,$AD$6:AD60,AD60))</f>
        <v/>
      </c>
      <c r="AF60" s="62">
        <f>IF(A60="",0,COUNTIF(fl_doc,A60))</f>
        <v>0.0</v>
      </c>
      <c r="AG60" s="62" t="str">
        <f>IF(A60="","",IF(AF60&gt;0,"Facture",IF(AND(F60&lt;&gt;"",AA60="Facture",ISNUMBER(MATCH(F60,dv_num,0))),"Devis","")))</f>
        <v/>
      </c>
      <c r="AH60" s="62" t="str">
        <f>IF(AND(A60&lt;&gt;"",F60&lt;&gt;"",AA60&lt;&gt;"Avoir"),F60,"")</f>
        <v/>
      </c>
      <c r="AI60" s="62" t="str">
        <f>IF(AG60="Devis",F60,"")</f>
        <v/>
      </c>
      <c r="AJ60" s="62">
        <f>IF(AG60="Facture",SUMIF(fl_doc,A60,fl_ht),IF(AG60="Devis",SUMIF(dl_doc,F60,dl_ht),0))</f>
        <v>0.0</v>
      </c>
      <c r="AK60" s="62">
        <f>IF(OR(AG60="",INDEX(p_rates,1)=""),0,IF(AG60="Facture",SUMIFS(fl_ht,fl_doc,A60,fl_rate,INDEX(p_rates,1)),SUMIFS(dl_ht,dl_doc,F60,dl_rate,INDEX(p_rates,1))))</f>
        <v>0.0</v>
      </c>
      <c r="AL60" s="62">
        <f>IF(OR(AG60="",INDEX(p_rates,2)=""),0,IF(AG60="Facture",SUMIFS(fl_ht,fl_doc,A60,fl_rate,INDEX(p_rates,2)),SUMIFS(dl_ht,dl_doc,F60,dl_rate,INDEX(p_rates,2))))</f>
        <v>0.0</v>
      </c>
      <c r="AM60" s="62">
        <f>IF(OR(AG60="",INDEX(p_rates,3)=""),0,IF(AG60="Facture",SUMIFS(fl_ht,fl_doc,A60,fl_rate,INDEX(p_rates,3)),SUMIFS(dl_ht,dl_doc,F60,dl_rate,INDEX(p_rates,3))))</f>
        <v>0.0</v>
      </c>
      <c r="AN60" s="62">
        <f>IF(OR(AG60="",INDEX(p_rates,4)=""),0,IF(AG60="Facture",SUMIFS(fl_ht,fl_doc,A60,fl_rate,INDEX(p_rates,4)),SUMIFS(dl_ht,dl_doc,F60,dl_rate,INDEX(p_rates,4))))</f>
        <v>0.0</v>
      </c>
      <c r="AO60" s="62">
        <f>IF(OR(AG60="",INDEX(p_rates,5)=""),0,IF(AG60="Facture",SUMIFS(fl_ht,fl_doc,A60,fl_rate,INDEX(p_rates,5)),SUMIFS(dl_ht,dl_doc,F60,dl_rate,INDEX(p_rates,5))))</f>
        <v>0.0</v>
      </c>
      <c r="AP60" s="62">
        <f>IF(OR(AG60="",INDEX(p_rates,6)=""),0,IF(AG60="Facture",SUMIFS(fl_ht,fl_doc,A60,fl_rate,INDEX(p_rates,6)),SUMIFS(dl_ht,dl_doc,F60,dl_rate,INDEX(p_rates,6))))</f>
        <v>0.0</v>
      </c>
      <c r="AQ60" s="62">
        <f>ROUND(AK60*N(INDEX(p_rates,1)),2)+ROUND(AL60*N(INDEX(p_rates,2)),2)+ROUND(AM60*N(INDEX(p_rates,3)),2)+ROUND(AN60*N(INDEX(p_rates,4)),2)+ROUND(AO60*N(INDEX(p_rates,5)),2)+ROUND(AP60*N(INDEX(p_rates,6)),2)</f>
        <v>0.0</v>
      </c>
      <c r="AR60" s="62" t="str">
        <f>IF(OR(L60="",AA60&lt;&gt;"Facture"),"",IFERROR(IF(INDEX(fa_type,MATCH(L60,fa_num,0))="Facture d'acompte",MATCH(L60,fa_num,0),""),""))</f>
        <v/>
      </c>
      <c r="AS60" s="62" t="str">
        <f>IF(W60="","",IF(W60&lt;=0,"",IF(p_asof-P60&lt;=0,"Non échu",IF(p_asof-P60&lt;=30,"1-30 j",IF(p_asof-P60&lt;=60,"31-60 j",IF(p_asof-P60&lt;=90,"61-90 j","Plus de 90 j"))))))</f>
        <v/>
      </c>
      <c r="AT60" s="62" t="str">
        <f>IF(AS60="","",p_asof-P60)</f>
        <v/>
      </c>
      <c r="AU60" s="62" t="str">
        <f>IF(AT60="","",COUNTIF($AT$6:$AT$805,"&gt;"&amp;AT60)+COUNTIF($AT$6:AT60,AT60))</f>
        <v/>
      </c>
    </row>
    <row r="61">
      <c r="A61" s="59" t="str">
        <f>IF(AE61="","",AB61&amp;"-"&amp;AD61&amp;"-"&amp;RIGHT("000"&amp;AE61,4))</f>
        <v/>
      </c>
      <c r="B61" s="60" t="n"/>
      <c r="C61" s="61" t="n"/>
      <c r="D61" s="60" t="n"/>
      <c r="E61" s="62" t="str">
        <f>IF(D61="","",IFERROR(INDEX(cli_name,MATCH(D61,cli_code,0))&amp;"","Client inconnu"))</f>
        <v/>
      </c>
      <c r="F61" s="60" t="n"/>
      <c r="G61" s="63" t="n"/>
      <c r="H61" s="61" t="n"/>
      <c r="I61" s="63" t="n"/>
      <c r="J61" s="60" t="n"/>
      <c r="K61" s="61" t="n"/>
      <c r="L61" s="60" t="n"/>
      <c r="M61" s="60" t="n"/>
      <c r="N61" s="60" t="n"/>
      <c r="O61" s="61" t="n"/>
      <c r="P61" s="64" t="str">
        <f>IF(A61="","",IF(AA61="Avoir",AC61,IF(ISNUMBER(K61),K61,AC61+IF(D61="",N(p_delay),IFERROR(IF(ISNUMBER(INDEX(cli_delay,MATCH(D61,cli_code,0))),INDEX(cli_delay,MATCH(D61,cli_code,0)),N(p_delay)),N(p_delay))))))</f>
        <v/>
      </c>
      <c r="Q61" s="65" t="str">
        <f>IF(A61="","",IF(AA61="Avoir",-1,1)*ROUND(AJ61-IF(AR61="",0,INDEX(fa_htb,AR61)),2))</f>
        <v/>
      </c>
      <c r="R61" s="65" t="str">
        <f>IF(A61="","",IF(AA61="Avoir",-1,1)*ROUND(AQ61-IF(AR61="",0,INDEX(fa_tvab,AR61)),2))</f>
        <v/>
      </c>
      <c r="S61" s="65" t="str">
        <f>IF(A61="","",Q61+R61)</f>
        <v/>
      </c>
      <c r="T61" s="65" t="str">
        <f>IF(AR61="","",INDEX(fa_htb,AR61)+INDEX(fa_tvab,AR61))</f>
        <v/>
      </c>
      <c r="U61" s="65" t="str">
        <f>IF(A61="","",SUMIF(pa_inv,A61,pa_amt))</f>
        <v/>
      </c>
      <c r="V61" s="65" t="str">
        <f>IF(OR(A61="",AA61="Avoir"),"",-SUMIFS(fa_ttc,fa_avof,A61,fa_type,"Avoir"))</f>
        <v/>
      </c>
      <c r="W61" s="65" t="str">
        <f>IF(OR(A61="",AA61="Avoir"),"",ROUND(S61-U61-V61,2))</f>
        <v/>
      </c>
      <c r="X61" s="66" t="str">
        <f>IF(W61="","",IF(AND(W61&gt;0,p_asof&gt;P61),p_asof-P61,""))</f>
        <v/>
      </c>
      <c r="Y61" s="59" t="str">
        <f>IF(A61="","",IF(AA61="Avoir","Avoir",IF(W61&lt;0,"Trop-perçu",IF(W61=0,"Soldée",IF(p_asof&gt;P61,"En retard",IF(U61+V61&gt;0,"Partielle","À échoir"))))))</f>
        <v/>
      </c>
      <c r="Z61" s="59" t="str">
        <f>IF(NOT(COUNTA(B61:D61,F61:O61)&gt;0),"",IF(C61="","Date manquante",IF(NOT(ISNUMBER(C61)),"Date invalide",IF(D61="","Client manquant",IF(ISNA(MATCH(D61,cli_code,0)),"Client inconnu",IF(AC61&lt;SUMPRODUCT(MAX(($AB$6:AB60=AB61)*$AC$6:AC60)),"Date antérieure à la facture précédente",IF(AND(F61&lt;&gt;"",ISNA(MATCH(F61,dv_num,0))),"Devis inconnu",IF(AND(F61&lt;&gt;"",IFERROR(INDEX(dv_client,MATCH(F61,dv_num,0)),D61)&lt;&gt;D61),"Client différent de celui du devis",IF(AG61="","Aucune ligne : saisissez des lignes ou un devis",IF(AND(AI61&lt;&gt;"",COUNTIF($AI$6:AI61,AI61)&gt;1),"Devis déjà repris par une autre facture",IF(AND(AA61="Avoir",M61=""),"Avoir : indiquez la facture d'origine",IF(AND(AA61="Avoir",ISNA(MATCH(M61,fa_num,0))),"Facture d'origine inconnue",IF(AND(AA61&lt;&gt;"Avoir",M61&lt;&gt;""),"« Avoir sur facture » : réservé aux avoirs",IF(AND(L61&lt;&gt;"",AA61&lt;&gt;"Facture"),"Acompte à déduire : réservé aux factures",IF(AND(L61&lt;&gt;"",ISNA(MATCH(L61,fa_num,0))),"Facture d'acompte inconnue",IF(AND(L61&lt;&gt;"",IFERROR(INDEX(fa_type,MATCH(L61,fa_num,0)),"")&lt;&gt;"Facture d'acompte"),"Le n° à déduire n'est pas une facture d'acompte",IF(AND(L61&lt;&gt;"",COUNTIF($L$6:L61,L61)&gt;1),"Acompte déjà déduit sur une autre facture",IF(AND(L61&lt;&gt;"",IFERROR(INDEX(fa_client,MATCH(L61,fa_num,0)),D61)&lt;&gt;D61),"Acompte d'un autre client",IF(AND(AR61&lt;&gt;"",N(Q61)&lt;0),"Acompte supérieur au total de la facture",IF(IF(AG61="Facture",COUNTIFS(fl_doc,A61,fl_check,"&lt;&gt;OK"),IF(AG61="Devis",COUNTIFS(dl_doc,F61,dl_check,"&lt;&gt;OK"),0))&gt;0,"Ligne(s) à corriger",IF(AND(W61&lt;&gt;"",N(W61)&lt;0),"Trop-perçu : vérifiez paiements et avoirs","OK")))))))))))))))))))))</f>
        <v/>
      </c>
      <c r="AA61" s="62" t="str">
        <f>IF(COUNTA(B61:D61,F61:O61)&gt;0,IF(B61="","Facture",B61),"")</f>
        <v/>
      </c>
      <c r="AB61" s="62" t="str">
        <f>IF(AA61="","",IF(AA61="Avoir",p_pav,IF(AA61="Facture d'acompte",p_pac,p_pfa)))</f>
        <v/>
      </c>
      <c r="AC61" s="62">
        <f>IF(ISNUMBER(C61),C61,0)</f>
        <v>0.0</v>
      </c>
      <c r="AD61" s="62" t="str">
        <f>IF(OR(AA61="",AC61=0),"",YEAR(AC61))</f>
        <v/>
      </c>
      <c r="AE61" s="62" t="str">
        <f>IF(AD61="","",COUNTIFS($AB$6:AB61,AB61,$AD$6:AD61,AD61))</f>
        <v/>
      </c>
      <c r="AF61" s="62">
        <f>IF(A61="",0,COUNTIF(fl_doc,A61))</f>
        <v>0.0</v>
      </c>
      <c r="AG61" s="62" t="str">
        <f>IF(A61="","",IF(AF61&gt;0,"Facture",IF(AND(F61&lt;&gt;"",AA61="Facture",ISNUMBER(MATCH(F61,dv_num,0))),"Devis","")))</f>
        <v/>
      </c>
      <c r="AH61" s="62" t="str">
        <f>IF(AND(A61&lt;&gt;"",F61&lt;&gt;"",AA61&lt;&gt;"Avoir"),F61,"")</f>
        <v/>
      </c>
      <c r="AI61" s="62" t="str">
        <f>IF(AG61="Devis",F61,"")</f>
        <v/>
      </c>
      <c r="AJ61" s="62">
        <f>IF(AG61="Facture",SUMIF(fl_doc,A61,fl_ht),IF(AG61="Devis",SUMIF(dl_doc,F61,dl_ht),0))</f>
        <v>0.0</v>
      </c>
      <c r="AK61" s="62">
        <f>IF(OR(AG61="",INDEX(p_rates,1)=""),0,IF(AG61="Facture",SUMIFS(fl_ht,fl_doc,A61,fl_rate,INDEX(p_rates,1)),SUMIFS(dl_ht,dl_doc,F61,dl_rate,INDEX(p_rates,1))))</f>
        <v>0.0</v>
      </c>
      <c r="AL61" s="62">
        <f>IF(OR(AG61="",INDEX(p_rates,2)=""),0,IF(AG61="Facture",SUMIFS(fl_ht,fl_doc,A61,fl_rate,INDEX(p_rates,2)),SUMIFS(dl_ht,dl_doc,F61,dl_rate,INDEX(p_rates,2))))</f>
        <v>0.0</v>
      </c>
      <c r="AM61" s="62">
        <f>IF(OR(AG61="",INDEX(p_rates,3)=""),0,IF(AG61="Facture",SUMIFS(fl_ht,fl_doc,A61,fl_rate,INDEX(p_rates,3)),SUMIFS(dl_ht,dl_doc,F61,dl_rate,INDEX(p_rates,3))))</f>
        <v>0.0</v>
      </c>
      <c r="AN61" s="62">
        <f>IF(OR(AG61="",INDEX(p_rates,4)=""),0,IF(AG61="Facture",SUMIFS(fl_ht,fl_doc,A61,fl_rate,INDEX(p_rates,4)),SUMIFS(dl_ht,dl_doc,F61,dl_rate,INDEX(p_rates,4))))</f>
        <v>0.0</v>
      </c>
      <c r="AO61" s="62">
        <f>IF(OR(AG61="",INDEX(p_rates,5)=""),0,IF(AG61="Facture",SUMIFS(fl_ht,fl_doc,A61,fl_rate,INDEX(p_rates,5)),SUMIFS(dl_ht,dl_doc,F61,dl_rate,INDEX(p_rates,5))))</f>
        <v>0.0</v>
      </c>
      <c r="AP61" s="62">
        <f>IF(OR(AG61="",INDEX(p_rates,6)=""),0,IF(AG61="Facture",SUMIFS(fl_ht,fl_doc,A61,fl_rate,INDEX(p_rates,6)),SUMIFS(dl_ht,dl_doc,F61,dl_rate,INDEX(p_rates,6))))</f>
        <v>0.0</v>
      </c>
      <c r="AQ61" s="62">
        <f>ROUND(AK61*N(INDEX(p_rates,1)),2)+ROUND(AL61*N(INDEX(p_rates,2)),2)+ROUND(AM61*N(INDEX(p_rates,3)),2)+ROUND(AN61*N(INDEX(p_rates,4)),2)+ROUND(AO61*N(INDEX(p_rates,5)),2)+ROUND(AP61*N(INDEX(p_rates,6)),2)</f>
        <v>0.0</v>
      </c>
      <c r="AR61" s="62" t="str">
        <f>IF(OR(L61="",AA61&lt;&gt;"Facture"),"",IFERROR(IF(INDEX(fa_type,MATCH(L61,fa_num,0))="Facture d'acompte",MATCH(L61,fa_num,0),""),""))</f>
        <v/>
      </c>
      <c r="AS61" s="62" t="str">
        <f>IF(W61="","",IF(W61&lt;=0,"",IF(p_asof-P61&lt;=0,"Non échu",IF(p_asof-P61&lt;=30,"1-30 j",IF(p_asof-P61&lt;=60,"31-60 j",IF(p_asof-P61&lt;=90,"61-90 j","Plus de 90 j"))))))</f>
        <v/>
      </c>
      <c r="AT61" s="62" t="str">
        <f>IF(AS61="","",p_asof-P61)</f>
        <v/>
      </c>
      <c r="AU61" s="62" t="str">
        <f>IF(AT61="","",COUNTIF($AT$6:$AT$805,"&gt;"&amp;AT61)+COUNTIF($AT$6:AT61,AT61))</f>
        <v/>
      </c>
    </row>
    <row r="62">
      <c r="A62" s="59" t="str">
        <f>IF(AE62="","",AB62&amp;"-"&amp;AD62&amp;"-"&amp;RIGHT("000"&amp;AE62,4))</f>
        <v/>
      </c>
      <c r="B62" s="60" t="n"/>
      <c r="C62" s="61" t="n"/>
      <c r="D62" s="60" t="n"/>
      <c r="E62" s="62" t="str">
        <f>IF(D62="","",IFERROR(INDEX(cli_name,MATCH(D62,cli_code,0))&amp;"","Client inconnu"))</f>
        <v/>
      </c>
      <c r="F62" s="60" t="n"/>
      <c r="G62" s="63" t="n"/>
      <c r="H62" s="61" t="n"/>
      <c r="I62" s="63" t="n"/>
      <c r="J62" s="60" t="n"/>
      <c r="K62" s="61" t="n"/>
      <c r="L62" s="60" t="n"/>
      <c r="M62" s="60" t="n"/>
      <c r="N62" s="60" t="n"/>
      <c r="O62" s="61" t="n"/>
      <c r="P62" s="64" t="str">
        <f>IF(A62="","",IF(AA62="Avoir",AC62,IF(ISNUMBER(K62),K62,AC62+IF(D62="",N(p_delay),IFERROR(IF(ISNUMBER(INDEX(cli_delay,MATCH(D62,cli_code,0))),INDEX(cli_delay,MATCH(D62,cli_code,0)),N(p_delay)),N(p_delay))))))</f>
        <v/>
      </c>
      <c r="Q62" s="65" t="str">
        <f>IF(A62="","",IF(AA62="Avoir",-1,1)*ROUND(AJ62-IF(AR62="",0,INDEX(fa_htb,AR62)),2))</f>
        <v/>
      </c>
      <c r="R62" s="65" t="str">
        <f>IF(A62="","",IF(AA62="Avoir",-1,1)*ROUND(AQ62-IF(AR62="",0,INDEX(fa_tvab,AR62)),2))</f>
        <v/>
      </c>
      <c r="S62" s="65" t="str">
        <f>IF(A62="","",Q62+R62)</f>
        <v/>
      </c>
      <c r="T62" s="65" t="str">
        <f>IF(AR62="","",INDEX(fa_htb,AR62)+INDEX(fa_tvab,AR62))</f>
        <v/>
      </c>
      <c r="U62" s="65" t="str">
        <f>IF(A62="","",SUMIF(pa_inv,A62,pa_amt))</f>
        <v/>
      </c>
      <c r="V62" s="65" t="str">
        <f>IF(OR(A62="",AA62="Avoir"),"",-SUMIFS(fa_ttc,fa_avof,A62,fa_type,"Avoir"))</f>
        <v/>
      </c>
      <c r="W62" s="65" t="str">
        <f>IF(OR(A62="",AA62="Avoir"),"",ROUND(S62-U62-V62,2))</f>
        <v/>
      </c>
      <c r="X62" s="66" t="str">
        <f>IF(W62="","",IF(AND(W62&gt;0,p_asof&gt;P62),p_asof-P62,""))</f>
        <v/>
      </c>
      <c r="Y62" s="59" t="str">
        <f>IF(A62="","",IF(AA62="Avoir","Avoir",IF(W62&lt;0,"Trop-perçu",IF(W62=0,"Soldée",IF(p_asof&gt;P62,"En retard",IF(U62+V62&gt;0,"Partielle","À échoir"))))))</f>
        <v/>
      </c>
      <c r="Z62" s="59" t="str">
        <f>IF(NOT(COUNTA(B62:D62,F62:O62)&gt;0),"",IF(C62="","Date manquante",IF(NOT(ISNUMBER(C62)),"Date invalide",IF(D62="","Client manquant",IF(ISNA(MATCH(D62,cli_code,0)),"Client inconnu",IF(AC62&lt;SUMPRODUCT(MAX(($AB$6:AB61=AB62)*$AC$6:AC61)),"Date antérieure à la facture précédente",IF(AND(F62&lt;&gt;"",ISNA(MATCH(F62,dv_num,0))),"Devis inconnu",IF(AND(F62&lt;&gt;"",IFERROR(INDEX(dv_client,MATCH(F62,dv_num,0)),D62)&lt;&gt;D62),"Client différent de celui du devis",IF(AG62="","Aucune ligne : saisissez des lignes ou un devis",IF(AND(AI62&lt;&gt;"",COUNTIF($AI$6:AI62,AI62)&gt;1),"Devis déjà repris par une autre facture",IF(AND(AA62="Avoir",M62=""),"Avoir : indiquez la facture d'origine",IF(AND(AA62="Avoir",ISNA(MATCH(M62,fa_num,0))),"Facture d'origine inconnue",IF(AND(AA62&lt;&gt;"Avoir",M62&lt;&gt;""),"« Avoir sur facture » : réservé aux avoirs",IF(AND(L62&lt;&gt;"",AA62&lt;&gt;"Facture"),"Acompte à déduire : réservé aux factures",IF(AND(L62&lt;&gt;"",ISNA(MATCH(L62,fa_num,0))),"Facture d'acompte inconnue",IF(AND(L62&lt;&gt;"",IFERROR(INDEX(fa_type,MATCH(L62,fa_num,0)),"")&lt;&gt;"Facture d'acompte"),"Le n° à déduire n'est pas une facture d'acompte",IF(AND(L62&lt;&gt;"",COUNTIF($L$6:L62,L62)&gt;1),"Acompte déjà déduit sur une autre facture",IF(AND(L62&lt;&gt;"",IFERROR(INDEX(fa_client,MATCH(L62,fa_num,0)),D62)&lt;&gt;D62),"Acompte d'un autre client",IF(AND(AR62&lt;&gt;"",N(Q62)&lt;0),"Acompte supérieur au total de la facture",IF(IF(AG62="Facture",COUNTIFS(fl_doc,A62,fl_check,"&lt;&gt;OK"),IF(AG62="Devis",COUNTIFS(dl_doc,F62,dl_check,"&lt;&gt;OK"),0))&gt;0,"Ligne(s) à corriger",IF(AND(W62&lt;&gt;"",N(W62)&lt;0),"Trop-perçu : vérifiez paiements et avoirs","OK")))))))))))))))))))))</f>
        <v/>
      </c>
      <c r="AA62" s="62" t="str">
        <f>IF(COUNTA(B62:D62,F62:O62)&gt;0,IF(B62="","Facture",B62),"")</f>
        <v/>
      </c>
      <c r="AB62" s="62" t="str">
        <f>IF(AA62="","",IF(AA62="Avoir",p_pav,IF(AA62="Facture d'acompte",p_pac,p_pfa)))</f>
        <v/>
      </c>
      <c r="AC62" s="62">
        <f>IF(ISNUMBER(C62),C62,0)</f>
        <v>0.0</v>
      </c>
      <c r="AD62" s="62" t="str">
        <f>IF(OR(AA62="",AC62=0),"",YEAR(AC62))</f>
        <v/>
      </c>
      <c r="AE62" s="62" t="str">
        <f>IF(AD62="","",COUNTIFS($AB$6:AB62,AB62,$AD$6:AD62,AD62))</f>
        <v/>
      </c>
      <c r="AF62" s="62">
        <f>IF(A62="",0,COUNTIF(fl_doc,A62))</f>
        <v>0.0</v>
      </c>
      <c r="AG62" s="62" t="str">
        <f>IF(A62="","",IF(AF62&gt;0,"Facture",IF(AND(F62&lt;&gt;"",AA62="Facture",ISNUMBER(MATCH(F62,dv_num,0))),"Devis","")))</f>
        <v/>
      </c>
      <c r="AH62" s="62" t="str">
        <f>IF(AND(A62&lt;&gt;"",F62&lt;&gt;"",AA62&lt;&gt;"Avoir"),F62,"")</f>
        <v/>
      </c>
      <c r="AI62" s="62" t="str">
        <f>IF(AG62="Devis",F62,"")</f>
        <v/>
      </c>
      <c r="AJ62" s="62">
        <f>IF(AG62="Facture",SUMIF(fl_doc,A62,fl_ht),IF(AG62="Devis",SUMIF(dl_doc,F62,dl_ht),0))</f>
        <v>0.0</v>
      </c>
      <c r="AK62" s="62">
        <f>IF(OR(AG62="",INDEX(p_rates,1)=""),0,IF(AG62="Facture",SUMIFS(fl_ht,fl_doc,A62,fl_rate,INDEX(p_rates,1)),SUMIFS(dl_ht,dl_doc,F62,dl_rate,INDEX(p_rates,1))))</f>
        <v>0.0</v>
      </c>
      <c r="AL62" s="62">
        <f>IF(OR(AG62="",INDEX(p_rates,2)=""),0,IF(AG62="Facture",SUMIFS(fl_ht,fl_doc,A62,fl_rate,INDEX(p_rates,2)),SUMIFS(dl_ht,dl_doc,F62,dl_rate,INDEX(p_rates,2))))</f>
        <v>0.0</v>
      </c>
      <c r="AM62" s="62">
        <f>IF(OR(AG62="",INDEX(p_rates,3)=""),0,IF(AG62="Facture",SUMIFS(fl_ht,fl_doc,A62,fl_rate,INDEX(p_rates,3)),SUMIFS(dl_ht,dl_doc,F62,dl_rate,INDEX(p_rates,3))))</f>
        <v>0.0</v>
      </c>
      <c r="AN62" s="62">
        <f>IF(OR(AG62="",INDEX(p_rates,4)=""),0,IF(AG62="Facture",SUMIFS(fl_ht,fl_doc,A62,fl_rate,INDEX(p_rates,4)),SUMIFS(dl_ht,dl_doc,F62,dl_rate,INDEX(p_rates,4))))</f>
        <v>0.0</v>
      </c>
      <c r="AO62" s="62">
        <f>IF(OR(AG62="",INDEX(p_rates,5)=""),0,IF(AG62="Facture",SUMIFS(fl_ht,fl_doc,A62,fl_rate,INDEX(p_rates,5)),SUMIFS(dl_ht,dl_doc,F62,dl_rate,INDEX(p_rates,5))))</f>
        <v>0.0</v>
      </c>
      <c r="AP62" s="62">
        <f>IF(OR(AG62="",INDEX(p_rates,6)=""),0,IF(AG62="Facture",SUMIFS(fl_ht,fl_doc,A62,fl_rate,INDEX(p_rates,6)),SUMIFS(dl_ht,dl_doc,F62,dl_rate,INDEX(p_rates,6))))</f>
        <v>0.0</v>
      </c>
      <c r="AQ62" s="62">
        <f>ROUND(AK62*N(INDEX(p_rates,1)),2)+ROUND(AL62*N(INDEX(p_rates,2)),2)+ROUND(AM62*N(INDEX(p_rates,3)),2)+ROUND(AN62*N(INDEX(p_rates,4)),2)+ROUND(AO62*N(INDEX(p_rates,5)),2)+ROUND(AP62*N(INDEX(p_rates,6)),2)</f>
        <v>0.0</v>
      </c>
      <c r="AR62" s="62" t="str">
        <f>IF(OR(L62="",AA62&lt;&gt;"Facture"),"",IFERROR(IF(INDEX(fa_type,MATCH(L62,fa_num,0))="Facture d'acompte",MATCH(L62,fa_num,0),""),""))</f>
        <v/>
      </c>
      <c r="AS62" s="62" t="str">
        <f>IF(W62="","",IF(W62&lt;=0,"",IF(p_asof-P62&lt;=0,"Non échu",IF(p_asof-P62&lt;=30,"1-30 j",IF(p_asof-P62&lt;=60,"31-60 j",IF(p_asof-P62&lt;=90,"61-90 j","Plus de 90 j"))))))</f>
        <v/>
      </c>
      <c r="AT62" s="62" t="str">
        <f>IF(AS62="","",p_asof-P62)</f>
        <v/>
      </c>
      <c r="AU62" s="62" t="str">
        <f>IF(AT62="","",COUNTIF($AT$6:$AT$805,"&gt;"&amp;AT62)+COUNTIF($AT$6:AT62,AT62))</f>
        <v/>
      </c>
    </row>
    <row r="63">
      <c r="A63" s="59" t="str">
        <f>IF(AE63="","",AB63&amp;"-"&amp;AD63&amp;"-"&amp;RIGHT("000"&amp;AE63,4))</f>
        <v/>
      </c>
      <c r="B63" s="60" t="n"/>
      <c r="C63" s="61" t="n"/>
      <c r="D63" s="60" t="n"/>
      <c r="E63" s="62" t="str">
        <f>IF(D63="","",IFERROR(INDEX(cli_name,MATCH(D63,cli_code,0))&amp;"","Client inconnu"))</f>
        <v/>
      </c>
      <c r="F63" s="60" t="n"/>
      <c r="G63" s="63" t="n"/>
      <c r="H63" s="61" t="n"/>
      <c r="I63" s="63" t="n"/>
      <c r="J63" s="60" t="n"/>
      <c r="K63" s="61" t="n"/>
      <c r="L63" s="60" t="n"/>
      <c r="M63" s="60" t="n"/>
      <c r="N63" s="60" t="n"/>
      <c r="O63" s="61" t="n"/>
      <c r="P63" s="64" t="str">
        <f>IF(A63="","",IF(AA63="Avoir",AC63,IF(ISNUMBER(K63),K63,AC63+IF(D63="",N(p_delay),IFERROR(IF(ISNUMBER(INDEX(cli_delay,MATCH(D63,cli_code,0))),INDEX(cli_delay,MATCH(D63,cli_code,0)),N(p_delay)),N(p_delay))))))</f>
        <v/>
      </c>
      <c r="Q63" s="65" t="str">
        <f>IF(A63="","",IF(AA63="Avoir",-1,1)*ROUND(AJ63-IF(AR63="",0,INDEX(fa_htb,AR63)),2))</f>
        <v/>
      </c>
      <c r="R63" s="65" t="str">
        <f>IF(A63="","",IF(AA63="Avoir",-1,1)*ROUND(AQ63-IF(AR63="",0,INDEX(fa_tvab,AR63)),2))</f>
        <v/>
      </c>
      <c r="S63" s="65" t="str">
        <f>IF(A63="","",Q63+R63)</f>
        <v/>
      </c>
      <c r="T63" s="65" t="str">
        <f>IF(AR63="","",INDEX(fa_htb,AR63)+INDEX(fa_tvab,AR63))</f>
        <v/>
      </c>
      <c r="U63" s="65" t="str">
        <f>IF(A63="","",SUMIF(pa_inv,A63,pa_amt))</f>
        <v/>
      </c>
      <c r="V63" s="65" t="str">
        <f>IF(OR(A63="",AA63="Avoir"),"",-SUMIFS(fa_ttc,fa_avof,A63,fa_type,"Avoir"))</f>
        <v/>
      </c>
      <c r="W63" s="65" t="str">
        <f>IF(OR(A63="",AA63="Avoir"),"",ROUND(S63-U63-V63,2))</f>
        <v/>
      </c>
      <c r="X63" s="66" t="str">
        <f>IF(W63="","",IF(AND(W63&gt;0,p_asof&gt;P63),p_asof-P63,""))</f>
        <v/>
      </c>
      <c r="Y63" s="59" t="str">
        <f>IF(A63="","",IF(AA63="Avoir","Avoir",IF(W63&lt;0,"Trop-perçu",IF(W63=0,"Soldée",IF(p_asof&gt;P63,"En retard",IF(U63+V63&gt;0,"Partielle","À échoir"))))))</f>
        <v/>
      </c>
      <c r="Z63" s="59" t="str">
        <f>IF(NOT(COUNTA(B63:D63,F63:O63)&gt;0),"",IF(C63="","Date manquante",IF(NOT(ISNUMBER(C63)),"Date invalide",IF(D63="","Client manquant",IF(ISNA(MATCH(D63,cli_code,0)),"Client inconnu",IF(AC63&lt;SUMPRODUCT(MAX(($AB$6:AB62=AB63)*$AC$6:AC62)),"Date antérieure à la facture précédente",IF(AND(F63&lt;&gt;"",ISNA(MATCH(F63,dv_num,0))),"Devis inconnu",IF(AND(F63&lt;&gt;"",IFERROR(INDEX(dv_client,MATCH(F63,dv_num,0)),D63)&lt;&gt;D63),"Client différent de celui du devis",IF(AG63="","Aucune ligne : saisissez des lignes ou un devis",IF(AND(AI63&lt;&gt;"",COUNTIF($AI$6:AI63,AI63)&gt;1),"Devis déjà repris par une autre facture",IF(AND(AA63="Avoir",M63=""),"Avoir : indiquez la facture d'origine",IF(AND(AA63="Avoir",ISNA(MATCH(M63,fa_num,0))),"Facture d'origine inconnue",IF(AND(AA63&lt;&gt;"Avoir",M63&lt;&gt;""),"« Avoir sur facture » : réservé aux avoirs",IF(AND(L63&lt;&gt;"",AA63&lt;&gt;"Facture"),"Acompte à déduire : réservé aux factures",IF(AND(L63&lt;&gt;"",ISNA(MATCH(L63,fa_num,0))),"Facture d'acompte inconnue",IF(AND(L63&lt;&gt;"",IFERROR(INDEX(fa_type,MATCH(L63,fa_num,0)),"")&lt;&gt;"Facture d'acompte"),"Le n° à déduire n'est pas une facture d'acompte",IF(AND(L63&lt;&gt;"",COUNTIF($L$6:L63,L63)&gt;1),"Acompte déjà déduit sur une autre facture",IF(AND(L63&lt;&gt;"",IFERROR(INDEX(fa_client,MATCH(L63,fa_num,0)),D63)&lt;&gt;D63),"Acompte d'un autre client",IF(AND(AR63&lt;&gt;"",N(Q63)&lt;0),"Acompte supérieur au total de la facture",IF(IF(AG63="Facture",COUNTIFS(fl_doc,A63,fl_check,"&lt;&gt;OK"),IF(AG63="Devis",COUNTIFS(dl_doc,F63,dl_check,"&lt;&gt;OK"),0))&gt;0,"Ligne(s) à corriger",IF(AND(W63&lt;&gt;"",N(W63)&lt;0),"Trop-perçu : vérifiez paiements et avoirs","OK")))))))))))))))))))))</f>
        <v/>
      </c>
      <c r="AA63" s="62" t="str">
        <f>IF(COUNTA(B63:D63,F63:O63)&gt;0,IF(B63="","Facture",B63),"")</f>
        <v/>
      </c>
      <c r="AB63" s="62" t="str">
        <f>IF(AA63="","",IF(AA63="Avoir",p_pav,IF(AA63="Facture d'acompte",p_pac,p_pfa)))</f>
        <v/>
      </c>
      <c r="AC63" s="62">
        <f>IF(ISNUMBER(C63),C63,0)</f>
        <v>0.0</v>
      </c>
      <c r="AD63" s="62" t="str">
        <f>IF(OR(AA63="",AC63=0),"",YEAR(AC63))</f>
        <v/>
      </c>
      <c r="AE63" s="62" t="str">
        <f>IF(AD63="","",COUNTIFS($AB$6:AB63,AB63,$AD$6:AD63,AD63))</f>
        <v/>
      </c>
      <c r="AF63" s="62">
        <f>IF(A63="",0,COUNTIF(fl_doc,A63))</f>
        <v>0.0</v>
      </c>
      <c r="AG63" s="62" t="str">
        <f>IF(A63="","",IF(AF63&gt;0,"Facture",IF(AND(F63&lt;&gt;"",AA63="Facture",ISNUMBER(MATCH(F63,dv_num,0))),"Devis","")))</f>
        <v/>
      </c>
      <c r="AH63" s="62" t="str">
        <f>IF(AND(A63&lt;&gt;"",F63&lt;&gt;"",AA63&lt;&gt;"Avoir"),F63,"")</f>
        <v/>
      </c>
      <c r="AI63" s="62" t="str">
        <f>IF(AG63="Devis",F63,"")</f>
        <v/>
      </c>
      <c r="AJ63" s="62">
        <f>IF(AG63="Facture",SUMIF(fl_doc,A63,fl_ht),IF(AG63="Devis",SUMIF(dl_doc,F63,dl_ht),0))</f>
        <v>0.0</v>
      </c>
      <c r="AK63" s="62">
        <f>IF(OR(AG63="",INDEX(p_rates,1)=""),0,IF(AG63="Facture",SUMIFS(fl_ht,fl_doc,A63,fl_rate,INDEX(p_rates,1)),SUMIFS(dl_ht,dl_doc,F63,dl_rate,INDEX(p_rates,1))))</f>
        <v>0.0</v>
      </c>
      <c r="AL63" s="62">
        <f>IF(OR(AG63="",INDEX(p_rates,2)=""),0,IF(AG63="Facture",SUMIFS(fl_ht,fl_doc,A63,fl_rate,INDEX(p_rates,2)),SUMIFS(dl_ht,dl_doc,F63,dl_rate,INDEX(p_rates,2))))</f>
        <v>0.0</v>
      </c>
      <c r="AM63" s="62">
        <f>IF(OR(AG63="",INDEX(p_rates,3)=""),0,IF(AG63="Facture",SUMIFS(fl_ht,fl_doc,A63,fl_rate,INDEX(p_rates,3)),SUMIFS(dl_ht,dl_doc,F63,dl_rate,INDEX(p_rates,3))))</f>
        <v>0.0</v>
      </c>
      <c r="AN63" s="62">
        <f>IF(OR(AG63="",INDEX(p_rates,4)=""),0,IF(AG63="Facture",SUMIFS(fl_ht,fl_doc,A63,fl_rate,INDEX(p_rates,4)),SUMIFS(dl_ht,dl_doc,F63,dl_rate,INDEX(p_rates,4))))</f>
        <v>0.0</v>
      </c>
      <c r="AO63" s="62">
        <f>IF(OR(AG63="",INDEX(p_rates,5)=""),0,IF(AG63="Facture",SUMIFS(fl_ht,fl_doc,A63,fl_rate,INDEX(p_rates,5)),SUMIFS(dl_ht,dl_doc,F63,dl_rate,INDEX(p_rates,5))))</f>
        <v>0.0</v>
      </c>
      <c r="AP63" s="62">
        <f>IF(OR(AG63="",INDEX(p_rates,6)=""),0,IF(AG63="Facture",SUMIFS(fl_ht,fl_doc,A63,fl_rate,INDEX(p_rates,6)),SUMIFS(dl_ht,dl_doc,F63,dl_rate,INDEX(p_rates,6))))</f>
        <v>0.0</v>
      </c>
      <c r="AQ63" s="62">
        <f>ROUND(AK63*N(INDEX(p_rates,1)),2)+ROUND(AL63*N(INDEX(p_rates,2)),2)+ROUND(AM63*N(INDEX(p_rates,3)),2)+ROUND(AN63*N(INDEX(p_rates,4)),2)+ROUND(AO63*N(INDEX(p_rates,5)),2)+ROUND(AP63*N(INDEX(p_rates,6)),2)</f>
        <v>0.0</v>
      </c>
      <c r="AR63" s="62" t="str">
        <f>IF(OR(L63="",AA63&lt;&gt;"Facture"),"",IFERROR(IF(INDEX(fa_type,MATCH(L63,fa_num,0))="Facture d'acompte",MATCH(L63,fa_num,0),""),""))</f>
        <v/>
      </c>
      <c r="AS63" s="62" t="str">
        <f>IF(W63="","",IF(W63&lt;=0,"",IF(p_asof-P63&lt;=0,"Non échu",IF(p_asof-P63&lt;=30,"1-30 j",IF(p_asof-P63&lt;=60,"31-60 j",IF(p_asof-P63&lt;=90,"61-90 j","Plus de 90 j"))))))</f>
        <v/>
      </c>
      <c r="AT63" s="62" t="str">
        <f>IF(AS63="","",p_asof-P63)</f>
        <v/>
      </c>
      <c r="AU63" s="62" t="str">
        <f>IF(AT63="","",COUNTIF($AT$6:$AT$805,"&gt;"&amp;AT63)+COUNTIF($AT$6:AT63,AT63))</f>
        <v/>
      </c>
    </row>
    <row r="64">
      <c r="A64" s="59" t="str">
        <f>IF(AE64="","",AB64&amp;"-"&amp;AD64&amp;"-"&amp;RIGHT("000"&amp;AE64,4))</f>
        <v/>
      </c>
      <c r="B64" s="60" t="n"/>
      <c r="C64" s="61" t="n"/>
      <c r="D64" s="60" t="n"/>
      <c r="E64" s="62" t="str">
        <f>IF(D64="","",IFERROR(INDEX(cli_name,MATCH(D64,cli_code,0))&amp;"","Client inconnu"))</f>
        <v/>
      </c>
      <c r="F64" s="60" t="n"/>
      <c r="G64" s="63" t="n"/>
      <c r="H64" s="61" t="n"/>
      <c r="I64" s="63" t="n"/>
      <c r="J64" s="60" t="n"/>
      <c r="K64" s="61" t="n"/>
      <c r="L64" s="60" t="n"/>
      <c r="M64" s="60" t="n"/>
      <c r="N64" s="60" t="n"/>
      <c r="O64" s="61" t="n"/>
      <c r="P64" s="64" t="str">
        <f>IF(A64="","",IF(AA64="Avoir",AC64,IF(ISNUMBER(K64),K64,AC64+IF(D64="",N(p_delay),IFERROR(IF(ISNUMBER(INDEX(cli_delay,MATCH(D64,cli_code,0))),INDEX(cli_delay,MATCH(D64,cli_code,0)),N(p_delay)),N(p_delay))))))</f>
        <v/>
      </c>
      <c r="Q64" s="65" t="str">
        <f>IF(A64="","",IF(AA64="Avoir",-1,1)*ROUND(AJ64-IF(AR64="",0,INDEX(fa_htb,AR64)),2))</f>
        <v/>
      </c>
      <c r="R64" s="65" t="str">
        <f>IF(A64="","",IF(AA64="Avoir",-1,1)*ROUND(AQ64-IF(AR64="",0,INDEX(fa_tvab,AR64)),2))</f>
        <v/>
      </c>
      <c r="S64" s="65" t="str">
        <f>IF(A64="","",Q64+R64)</f>
        <v/>
      </c>
      <c r="T64" s="65" t="str">
        <f>IF(AR64="","",INDEX(fa_htb,AR64)+INDEX(fa_tvab,AR64))</f>
        <v/>
      </c>
      <c r="U64" s="65" t="str">
        <f>IF(A64="","",SUMIF(pa_inv,A64,pa_amt))</f>
        <v/>
      </c>
      <c r="V64" s="65" t="str">
        <f>IF(OR(A64="",AA64="Avoir"),"",-SUMIFS(fa_ttc,fa_avof,A64,fa_type,"Avoir"))</f>
        <v/>
      </c>
      <c r="W64" s="65" t="str">
        <f>IF(OR(A64="",AA64="Avoir"),"",ROUND(S64-U64-V64,2))</f>
        <v/>
      </c>
      <c r="X64" s="66" t="str">
        <f>IF(W64="","",IF(AND(W64&gt;0,p_asof&gt;P64),p_asof-P64,""))</f>
        <v/>
      </c>
      <c r="Y64" s="59" t="str">
        <f>IF(A64="","",IF(AA64="Avoir","Avoir",IF(W64&lt;0,"Trop-perçu",IF(W64=0,"Soldée",IF(p_asof&gt;P64,"En retard",IF(U64+V64&gt;0,"Partielle","À échoir"))))))</f>
        <v/>
      </c>
      <c r="Z64" s="59" t="str">
        <f>IF(NOT(COUNTA(B64:D64,F64:O64)&gt;0),"",IF(C64="","Date manquante",IF(NOT(ISNUMBER(C64)),"Date invalide",IF(D64="","Client manquant",IF(ISNA(MATCH(D64,cli_code,0)),"Client inconnu",IF(AC64&lt;SUMPRODUCT(MAX(($AB$6:AB63=AB64)*$AC$6:AC63)),"Date antérieure à la facture précédente",IF(AND(F64&lt;&gt;"",ISNA(MATCH(F64,dv_num,0))),"Devis inconnu",IF(AND(F64&lt;&gt;"",IFERROR(INDEX(dv_client,MATCH(F64,dv_num,0)),D64)&lt;&gt;D64),"Client différent de celui du devis",IF(AG64="","Aucune ligne : saisissez des lignes ou un devis",IF(AND(AI64&lt;&gt;"",COUNTIF($AI$6:AI64,AI64)&gt;1),"Devis déjà repris par une autre facture",IF(AND(AA64="Avoir",M64=""),"Avoir : indiquez la facture d'origine",IF(AND(AA64="Avoir",ISNA(MATCH(M64,fa_num,0))),"Facture d'origine inconnue",IF(AND(AA64&lt;&gt;"Avoir",M64&lt;&gt;""),"« Avoir sur facture » : réservé aux avoirs",IF(AND(L64&lt;&gt;"",AA64&lt;&gt;"Facture"),"Acompte à déduire : réservé aux factures",IF(AND(L64&lt;&gt;"",ISNA(MATCH(L64,fa_num,0))),"Facture d'acompte inconnue",IF(AND(L64&lt;&gt;"",IFERROR(INDEX(fa_type,MATCH(L64,fa_num,0)),"")&lt;&gt;"Facture d'acompte"),"Le n° à déduire n'est pas une facture d'acompte",IF(AND(L64&lt;&gt;"",COUNTIF($L$6:L64,L64)&gt;1),"Acompte déjà déduit sur une autre facture",IF(AND(L64&lt;&gt;"",IFERROR(INDEX(fa_client,MATCH(L64,fa_num,0)),D64)&lt;&gt;D64),"Acompte d'un autre client",IF(AND(AR64&lt;&gt;"",N(Q64)&lt;0),"Acompte supérieur au total de la facture",IF(IF(AG64="Facture",COUNTIFS(fl_doc,A64,fl_check,"&lt;&gt;OK"),IF(AG64="Devis",COUNTIFS(dl_doc,F64,dl_check,"&lt;&gt;OK"),0))&gt;0,"Ligne(s) à corriger",IF(AND(W64&lt;&gt;"",N(W64)&lt;0),"Trop-perçu : vérifiez paiements et avoirs","OK")))))))))))))))))))))</f>
        <v/>
      </c>
      <c r="AA64" s="62" t="str">
        <f>IF(COUNTA(B64:D64,F64:O64)&gt;0,IF(B64="","Facture",B64),"")</f>
        <v/>
      </c>
      <c r="AB64" s="62" t="str">
        <f>IF(AA64="","",IF(AA64="Avoir",p_pav,IF(AA64="Facture d'acompte",p_pac,p_pfa)))</f>
        <v/>
      </c>
      <c r="AC64" s="62">
        <f>IF(ISNUMBER(C64),C64,0)</f>
        <v>0.0</v>
      </c>
      <c r="AD64" s="62" t="str">
        <f>IF(OR(AA64="",AC64=0),"",YEAR(AC64))</f>
        <v/>
      </c>
      <c r="AE64" s="62" t="str">
        <f>IF(AD64="","",COUNTIFS($AB$6:AB64,AB64,$AD$6:AD64,AD64))</f>
        <v/>
      </c>
      <c r="AF64" s="62">
        <f>IF(A64="",0,COUNTIF(fl_doc,A64))</f>
        <v>0.0</v>
      </c>
      <c r="AG64" s="62" t="str">
        <f>IF(A64="","",IF(AF64&gt;0,"Facture",IF(AND(F64&lt;&gt;"",AA64="Facture",ISNUMBER(MATCH(F64,dv_num,0))),"Devis","")))</f>
        <v/>
      </c>
      <c r="AH64" s="62" t="str">
        <f>IF(AND(A64&lt;&gt;"",F64&lt;&gt;"",AA64&lt;&gt;"Avoir"),F64,"")</f>
        <v/>
      </c>
      <c r="AI64" s="62" t="str">
        <f>IF(AG64="Devis",F64,"")</f>
        <v/>
      </c>
      <c r="AJ64" s="62">
        <f>IF(AG64="Facture",SUMIF(fl_doc,A64,fl_ht),IF(AG64="Devis",SUMIF(dl_doc,F64,dl_ht),0))</f>
        <v>0.0</v>
      </c>
      <c r="AK64" s="62">
        <f>IF(OR(AG64="",INDEX(p_rates,1)=""),0,IF(AG64="Facture",SUMIFS(fl_ht,fl_doc,A64,fl_rate,INDEX(p_rates,1)),SUMIFS(dl_ht,dl_doc,F64,dl_rate,INDEX(p_rates,1))))</f>
        <v>0.0</v>
      </c>
      <c r="AL64" s="62">
        <f>IF(OR(AG64="",INDEX(p_rates,2)=""),0,IF(AG64="Facture",SUMIFS(fl_ht,fl_doc,A64,fl_rate,INDEX(p_rates,2)),SUMIFS(dl_ht,dl_doc,F64,dl_rate,INDEX(p_rates,2))))</f>
        <v>0.0</v>
      </c>
      <c r="AM64" s="62">
        <f>IF(OR(AG64="",INDEX(p_rates,3)=""),0,IF(AG64="Facture",SUMIFS(fl_ht,fl_doc,A64,fl_rate,INDEX(p_rates,3)),SUMIFS(dl_ht,dl_doc,F64,dl_rate,INDEX(p_rates,3))))</f>
        <v>0.0</v>
      </c>
      <c r="AN64" s="62">
        <f>IF(OR(AG64="",INDEX(p_rates,4)=""),0,IF(AG64="Facture",SUMIFS(fl_ht,fl_doc,A64,fl_rate,INDEX(p_rates,4)),SUMIFS(dl_ht,dl_doc,F64,dl_rate,INDEX(p_rates,4))))</f>
        <v>0.0</v>
      </c>
      <c r="AO64" s="62">
        <f>IF(OR(AG64="",INDEX(p_rates,5)=""),0,IF(AG64="Facture",SUMIFS(fl_ht,fl_doc,A64,fl_rate,INDEX(p_rates,5)),SUMIFS(dl_ht,dl_doc,F64,dl_rate,INDEX(p_rates,5))))</f>
        <v>0.0</v>
      </c>
      <c r="AP64" s="62">
        <f>IF(OR(AG64="",INDEX(p_rates,6)=""),0,IF(AG64="Facture",SUMIFS(fl_ht,fl_doc,A64,fl_rate,INDEX(p_rates,6)),SUMIFS(dl_ht,dl_doc,F64,dl_rate,INDEX(p_rates,6))))</f>
        <v>0.0</v>
      </c>
      <c r="AQ64" s="62">
        <f>ROUND(AK64*N(INDEX(p_rates,1)),2)+ROUND(AL64*N(INDEX(p_rates,2)),2)+ROUND(AM64*N(INDEX(p_rates,3)),2)+ROUND(AN64*N(INDEX(p_rates,4)),2)+ROUND(AO64*N(INDEX(p_rates,5)),2)+ROUND(AP64*N(INDEX(p_rates,6)),2)</f>
        <v>0.0</v>
      </c>
      <c r="AR64" s="62" t="str">
        <f>IF(OR(L64="",AA64&lt;&gt;"Facture"),"",IFERROR(IF(INDEX(fa_type,MATCH(L64,fa_num,0))="Facture d'acompte",MATCH(L64,fa_num,0),""),""))</f>
        <v/>
      </c>
      <c r="AS64" s="62" t="str">
        <f>IF(W64="","",IF(W64&lt;=0,"",IF(p_asof-P64&lt;=0,"Non échu",IF(p_asof-P64&lt;=30,"1-30 j",IF(p_asof-P64&lt;=60,"31-60 j",IF(p_asof-P64&lt;=90,"61-90 j","Plus de 90 j"))))))</f>
        <v/>
      </c>
      <c r="AT64" s="62" t="str">
        <f>IF(AS64="","",p_asof-P64)</f>
        <v/>
      </c>
      <c r="AU64" s="62" t="str">
        <f>IF(AT64="","",COUNTIF($AT$6:$AT$805,"&gt;"&amp;AT64)+COUNTIF($AT$6:AT64,AT64))</f>
        <v/>
      </c>
    </row>
    <row r="65">
      <c r="A65" s="59" t="str">
        <f>IF(AE65="","",AB65&amp;"-"&amp;AD65&amp;"-"&amp;RIGHT("000"&amp;AE65,4))</f>
        <v/>
      </c>
      <c r="B65" s="60" t="n"/>
      <c r="C65" s="61" t="n"/>
      <c r="D65" s="60" t="n"/>
      <c r="E65" s="62" t="str">
        <f>IF(D65="","",IFERROR(INDEX(cli_name,MATCH(D65,cli_code,0))&amp;"","Client inconnu"))</f>
        <v/>
      </c>
      <c r="F65" s="60" t="n"/>
      <c r="G65" s="63" t="n"/>
      <c r="H65" s="61" t="n"/>
      <c r="I65" s="63" t="n"/>
      <c r="J65" s="60" t="n"/>
      <c r="K65" s="61" t="n"/>
      <c r="L65" s="60" t="n"/>
      <c r="M65" s="60" t="n"/>
      <c r="N65" s="60" t="n"/>
      <c r="O65" s="61" t="n"/>
      <c r="P65" s="64" t="str">
        <f>IF(A65="","",IF(AA65="Avoir",AC65,IF(ISNUMBER(K65),K65,AC65+IF(D65="",N(p_delay),IFERROR(IF(ISNUMBER(INDEX(cli_delay,MATCH(D65,cli_code,0))),INDEX(cli_delay,MATCH(D65,cli_code,0)),N(p_delay)),N(p_delay))))))</f>
        <v/>
      </c>
      <c r="Q65" s="65" t="str">
        <f>IF(A65="","",IF(AA65="Avoir",-1,1)*ROUND(AJ65-IF(AR65="",0,INDEX(fa_htb,AR65)),2))</f>
        <v/>
      </c>
      <c r="R65" s="65" t="str">
        <f>IF(A65="","",IF(AA65="Avoir",-1,1)*ROUND(AQ65-IF(AR65="",0,INDEX(fa_tvab,AR65)),2))</f>
        <v/>
      </c>
      <c r="S65" s="65" t="str">
        <f>IF(A65="","",Q65+R65)</f>
        <v/>
      </c>
      <c r="T65" s="65" t="str">
        <f>IF(AR65="","",INDEX(fa_htb,AR65)+INDEX(fa_tvab,AR65))</f>
        <v/>
      </c>
      <c r="U65" s="65" t="str">
        <f>IF(A65="","",SUMIF(pa_inv,A65,pa_amt))</f>
        <v/>
      </c>
      <c r="V65" s="65" t="str">
        <f>IF(OR(A65="",AA65="Avoir"),"",-SUMIFS(fa_ttc,fa_avof,A65,fa_type,"Avoir"))</f>
        <v/>
      </c>
      <c r="W65" s="65" t="str">
        <f>IF(OR(A65="",AA65="Avoir"),"",ROUND(S65-U65-V65,2))</f>
        <v/>
      </c>
      <c r="X65" s="66" t="str">
        <f>IF(W65="","",IF(AND(W65&gt;0,p_asof&gt;P65),p_asof-P65,""))</f>
        <v/>
      </c>
      <c r="Y65" s="59" t="str">
        <f>IF(A65="","",IF(AA65="Avoir","Avoir",IF(W65&lt;0,"Trop-perçu",IF(W65=0,"Soldée",IF(p_asof&gt;P65,"En retard",IF(U65+V65&gt;0,"Partielle","À échoir"))))))</f>
        <v/>
      </c>
      <c r="Z65" s="59" t="str">
        <f>IF(NOT(COUNTA(B65:D65,F65:O65)&gt;0),"",IF(C65="","Date manquante",IF(NOT(ISNUMBER(C65)),"Date invalide",IF(D65="","Client manquant",IF(ISNA(MATCH(D65,cli_code,0)),"Client inconnu",IF(AC65&lt;SUMPRODUCT(MAX(($AB$6:AB64=AB65)*$AC$6:AC64)),"Date antérieure à la facture précédente",IF(AND(F65&lt;&gt;"",ISNA(MATCH(F65,dv_num,0))),"Devis inconnu",IF(AND(F65&lt;&gt;"",IFERROR(INDEX(dv_client,MATCH(F65,dv_num,0)),D65)&lt;&gt;D65),"Client différent de celui du devis",IF(AG65="","Aucune ligne : saisissez des lignes ou un devis",IF(AND(AI65&lt;&gt;"",COUNTIF($AI$6:AI65,AI65)&gt;1),"Devis déjà repris par une autre facture",IF(AND(AA65="Avoir",M65=""),"Avoir : indiquez la facture d'origine",IF(AND(AA65="Avoir",ISNA(MATCH(M65,fa_num,0))),"Facture d'origine inconnue",IF(AND(AA65&lt;&gt;"Avoir",M65&lt;&gt;""),"« Avoir sur facture » : réservé aux avoirs",IF(AND(L65&lt;&gt;"",AA65&lt;&gt;"Facture"),"Acompte à déduire : réservé aux factures",IF(AND(L65&lt;&gt;"",ISNA(MATCH(L65,fa_num,0))),"Facture d'acompte inconnue",IF(AND(L65&lt;&gt;"",IFERROR(INDEX(fa_type,MATCH(L65,fa_num,0)),"")&lt;&gt;"Facture d'acompte"),"Le n° à déduire n'est pas une facture d'acompte",IF(AND(L65&lt;&gt;"",COUNTIF($L$6:L65,L65)&gt;1),"Acompte déjà déduit sur une autre facture",IF(AND(L65&lt;&gt;"",IFERROR(INDEX(fa_client,MATCH(L65,fa_num,0)),D65)&lt;&gt;D65),"Acompte d'un autre client",IF(AND(AR65&lt;&gt;"",N(Q65)&lt;0),"Acompte supérieur au total de la facture",IF(IF(AG65="Facture",COUNTIFS(fl_doc,A65,fl_check,"&lt;&gt;OK"),IF(AG65="Devis",COUNTIFS(dl_doc,F65,dl_check,"&lt;&gt;OK"),0))&gt;0,"Ligne(s) à corriger",IF(AND(W65&lt;&gt;"",N(W65)&lt;0),"Trop-perçu : vérifiez paiements et avoirs","OK")))))))))))))))))))))</f>
        <v/>
      </c>
      <c r="AA65" s="62" t="str">
        <f>IF(COUNTA(B65:D65,F65:O65)&gt;0,IF(B65="","Facture",B65),"")</f>
        <v/>
      </c>
      <c r="AB65" s="62" t="str">
        <f>IF(AA65="","",IF(AA65="Avoir",p_pav,IF(AA65="Facture d'acompte",p_pac,p_pfa)))</f>
        <v/>
      </c>
      <c r="AC65" s="62">
        <f>IF(ISNUMBER(C65),C65,0)</f>
        <v>0.0</v>
      </c>
      <c r="AD65" s="62" t="str">
        <f>IF(OR(AA65="",AC65=0),"",YEAR(AC65))</f>
        <v/>
      </c>
      <c r="AE65" s="62" t="str">
        <f>IF(AD65="","",COUNTIFS($AB$6:AB65,AB65,$AD$6:AD65,AD65))</f>
        <v/>
      </c>
      <c r="AF65" s="62">
        <f>IF(A65="",0,COUNTIF(fl_doc,A65))</f>
        <v>0.0</v>
      </c>
      <c r="AG65" s="62" t="str">
        <f>IF(A65="","",IF(AF65&gt;0,"Facture",IF(AND(F65&lt;&gt;"",AA65="Facture",ISNUMBER(MATCH(F65,dv_num,0))),"Devis","")))</f>
        <v/>
      </c>
      <c r="AH65" s="62" t="str">
        <f>IF(AND(A65&lt;&gt;"",F65&lt;&gt;"",AA65&lt;&gt;"Avoir"),F65,"")</f>
        <v/>
      </c>
      <c r="AI65" s="62" t="str">
        <f>IF(AG65="Devis",F65,"")</f>
        <v/>
      </c>
      <c r="AJ65" s="62">
        <f>IF(AG65="Facture",SUMIF(fl_doc,A65,fl_ht),IF(AG65="Devis",SUMIF(dl_doc,F65,dl_ht),0))</f>
        <v>0.0</v>
      </c>
      <c r="AK65" s="62">
        <f>IF(OR(AG65="",INDEX(p_rates,1)=""),0,IF(AG65="Facture",SUMIFS(fl_ht,fl_doc,A65,fl_rate,INDEX(p_rates,1)),SUMIFS(dl_ht,dl_doc,F65,dl_rate,INDEX(p_rates,1))))</f>
        <v>0.0</v>
      </c>
      <c r="AL65" s="62">
        <f>IF(OR(AG65="",INDEX(p_rates,2)=""),0,IF(AG65="Facture",SUMIFS(fl_ht,fl_doc,A65,fl_rate,INDEX(p_rates,2)),SUMIFS(dl_ht,dl_doc,F65,dl_rate,INDEX(p_rates,2))))</f>
        <v>0.0</v>
      </c>
      <c r="AM65" s="62">
        <f>IF(OR(AG65="",INDEX(p_rates,3)=""),0,IF(AG65="Facture",SUMIFS(fl_ht,fl_doc,A65,fl_rate,INDEX(p_rates,3)),SUMIFS(dl_ht,dl_doc,F65,dl_rate,INDEX(p_rates,3))))</f>
        <v>0.0</v>
      </c>
      <c r="AN65" s="62">
        <f>IF(OR(AG65="",INDEX(p_rates,4)=""),0,IF(AG65="Facture",SUMIFS(fl_ht,fl_doc,A65,fl_rate,INDEX(p_rates,4)),SUMIFS(dl_ht,dl_doc,F65,dl_rate,INDEX(p_rates,4))))</f>
        <v>0.0</v>
      </c>
      <c r="AO65" s="62">
        <f>IF(OR(AG65="",INDEX(p_rates,5)=""),0,IF(AG65="Facture",SUMIFS(fl_ht,fl_doc,A65,fl_rate,INDEX(p_rates,5)),SUMIFS(dl_ht,dl_doc,F65,dl_rate,INDEX(p_rates,5))))</f>
        <v>0.0</v>
      </c>
      <c r="AP65" s="62">
        <f>IF(OR(AG65="",INDEX(p_rates,6)=""),0,IF(AG65="Facture",SUMIFS(fl_ht,fl_doc,A65,fl_rate,INDEX(p_rates,6)),SUMIFS(dl_ht,dl_doc,F65,dl_rate,INDEX(p_rates,6))))</f>
        <v>0.0</v>
      </c>
      <c r="AQ65" s="62">
        <f>ROUND(AK65*N(INDEX(p_rates,1)),2)+ROUND(AL65*N(INDEX(p_rates,2)),2)+ROUND(AM65*N(INDEX(p_rates,3)),2)+ROUND(AN65*N(INDEX(p_rates,4)),2)+ROUND(AO65*N(INDEX(p_rates,5)),2)+ROUND(AP65*N(INDEX(p_rates,6)),2)</f>
        <v>0.0</v>
      </c>
      <c r="AR65" s="62" t="str">
        <f>IF(OR(L65="",AA65&lt;&gt;"Facture"),"",IFERROR(IF(INDEX(fa_type,MATCH(L65,fa_num,0))="Facture d'acompte",MATCH(L65,fa_num,0),""),""))</f>
        <v/>
      </c>
      <c r="AS65" s="62" t="str">
        <f>IF(W65="","",IF(W65&lt;=0,"",IF(p_asof-P65&lt;=0,"Non échu",IF(p_asof-P65&lt;=30,"1-30 j",IF(p_asof-P65&lt;=60,"31-60 j",IF(p_asof-P65&lt;=90,"61-90 j","Plus de 90 j"))))))</f>
        <v/>
      </c>
      <c r="AT65" s="62" t="str">
        <f>IF(AS65="","",p_asof-P65)</f>
        <v/>
      </c>
      <c r="AU65" s="62" t="str">
        <f>IF(AT65="","",COUNTIF($AT$6:$AT$805,"&gt;"&amp;AT65)+COUNTIF($AT$6:AT65,AT65))</f>
        <v/>
      </c>
    </row>
    <row r="66">
      <c r="A66" s="59" t="str">
        <f>IF(AE66="","",AB66&amp;"-"&amp;AD66&amp;"-"&amp;RIGHT("000"&amp;AE66,4))</f>
        <v/>
      </c>
      <c r="B66" s="60" t="n"/>
      <c r="C66" s="61" t="n"/>
      <c r="D66" s="60" t="n"/>
      <c r="E66" s="62" t="str">
        <f>IF(D66="","",IFERROR(INDEX(cli_name,MATCH(D66,cli_code,0))&amp;"","Client inconnu"))</f>
        <v/>
      </c>
      <c r="F66" s="60" t="n"/>
      <c r="G66" s="63" t="n"/>
      <c r="H66" s="61" t="n"/>
      <c r="I66" s="63" t="n"/>
      <c r="J66" s="60" t="n"/>
      <c r="K66" s="61" t="n"/>
      <c r="L66" s="60" t="n"/>
      <c r="M66" s="60" t="n"/>
      <c r="N66" s="60" t="n"/>
      <c r="O66" s="61" t="n"/>
      <c r="P66" s="64" t="str">
        <f>IF(A66="","",IF(AA66="Avoir",AC66,IF(ISNUMBER(K66),K66,AC66+IF(D66="",N(p_delay),IFERROR(IF(ISNUMBER(INDEX(cli_delay,MATCH(D66,cli_code,0))),INDEX(cli_delay,MATCH(D66,cli_code,0)),N(p_delay)),N(p_delay))))))</f>
        <v/>
      </c>
      <c r="Q66" s="65" t="str">
        <f>IF(A66="","",IF(AA66="Avoir",-1,1)*ROUND(AJ66-IF(AR66="",0,INDEX(fa_htb,AR66)),2))</f>
        <v/>
      </c>
      <c r="R66" s="65" t="str">
        <f>IF(A66="","",IF(AA66="Avoir",-1,1)*ROUND(AQ66-IF(AR66="",0,INDEX(fa_tvab,AR66)),2))</f>
        <v/>
      </c>
      <c r="S66" s="65" t="str">
        <f>IF(A66="","",Q66+R66)</f>
        <v/>
      </c>
      <c r="T66" s="65" t="str">
        <f>IF(AR66="","",INDEX(fa_htb,AR66)+INDEX(fa_tvab,AR66))</f>
        <v/>
      </c>
      <c r="U66" s="65" t="str">
        <f>IF(A66="","",SUMIF(pa_inv,A66,pa_amt))</f>
        <v/>
      </c>
      <c r="V66" s="65" t="str">
        <f>IF(OR(A66="",AA66="Avoir"),"",-SUMIFS(fa_ttc,fa_avof,A66,fa_type,"Avoir"))</f>
        <v/>
      </c>
      <c r="W66" s="65" t="str">
        <f>IF(OR(A66="",AA66="Avoir"),"",ROUND(S66-U66-V66,2))</f>
        <v/>
      </c>
      <c r="X66" s="66" t="str">
        <f>IF(W66="","",IF(AND(W66&gt;0,p_asof&gt;P66),p_asof-P66,""))</f>
        <v/>
      </c>
      <c r="Y66" s="59" t="str">
        <f>IF(A66="","",IF(AA66="Avoir","Avoir",IF(W66&lt;0,"Trop-perçu",IF(W66=0,"Soldée",IF(p_asof&gt;P66,"En retard",IF(U66+V66&gt;0,"Partielle","À échoir"))))))</f>
        <v/>
      </c>
      <c r="Z66" s="59" t="str">
        <f>IF(NOT(COUNTA(B66:D66,F66:O66)&gt;0),"",IF(C66="","Date manquante",IF(NOT(ISNUMBER(C66)),"Date invalide",IF(D66="","Client manquant",IF(ISNA(MATCH(D66,cli_code,0)),"Client inconnu",IF(AC66&lt;SUMPRODUCT(MAX(($AB$6:AB65=AB66)*$AC$6:AC65)),"Date antérieure à la facture précédente",IF(AND(F66&lt;&gt;"",ISNA(MATCH(F66,dv_num,0))),"Devis inconnu",IF(AND(F66&lt;&gt;"",IFERROR(INDEX(dv_client,MATCH(F66,dv_num,0)),D66)&lt;&gt;D66),"Client différent de celui du devis",IF(AG66="","Aucune ligne : saisissez des lignes ou un devis",IF(AND(AI66&lt;&gt;"",COUNTIF($AI$6:AI66,AI66)&gt;1),"Devis déjà repris par une autre facture",IF(AND(AA66="Avoir",M66=""),"Avoir : indiquez la facture d'origine",IF(AND(AA66="Avoir",ISNA(MATCH(M66,fa_num,0))),"Facture d'origine inconnue",IF(AND(AA66&lt;&gt;"Avoir",M66&lt;&gt;""),"« Avoir sur facture » : réservé aux avoirs",IF(AND(L66&lt;&gt;"",AA66&lt;&gt;"Facture"),"Acompte à déduire : réservé aux factures",IF(AND(L66&lt;&gt;"",ISNA(MATCH(L66,fa_num,0))),"Facture d'acompte inconnue",IF(AND(L66&lt;&gt;"",IFERROR(INDEX(fa_type,MATCH(L66,fa_num,0)),"")&lt;&gt;"Facture d'acompte"),"Le n° à déduire n'est pas une facture d'acompte",IF(AND(L66&lt;&gt;"",COUNTIF($L$6:L66,L66)&gt;1),"Acompte déjà déduit sur une autre facture",IF(AND(L66&lt;&gt;"",IFERROR(INDEX(fa_client,MATCH(L66,fa_num,0)),D66)&lt;&gt;D66),"Acompte d'un autre client",IF(AND(AR66&lt;&gt;"",N(Q66)&lt;0),"Acompte supérieur au total de la facture",IF(IF(AG66="Facture",COUNTIFS(fl_doc,A66,fl_check,"&lt;&gt;OK"),IF(AG66="Devis",COUNTIFS(dl_doc,F66,dl_check,"&lt;&gt;OK"),0))&gt;0,"Ligne(s) à corriger",IF(AND(W66&lt;&gt;"",N(W66)&lt;0),"Trop-perçu : vérifiez paiements et avoirs","OK")))))))))))))))))))))</f>
        <v/>
      </c>
      <c r="AA66" s="62" t="str">
        <f>IF(COUNTA(B66:D66,F66:O66)&gt;0,IF(B66="","Facture",B66),"")</f>
        <v/>
      </c>
      <c r="AB66" s="62" t="str">
        <f>IF(AA66="","",IF(AA66="Avoir",p_pav,IF(AA66="Facture d'acompte",p_pac,p_pfa)))</f>
        <v/>
      </c>
      <c r="AC66" s="62">
        <f>IF(ISNUMBER(C66),C66,0)</f>
        <v>0.0</v>
      </c>
      <c r="AD66" s="62" t="str">
        <f>IF(OR(AA66="",AC66=0),"",YEAR(AC66))</f>
        <v/>
      </c>
      <c r="AE66" s="62" t="str">
        <f>IF(AD66="","",COUNTIFS($AB$6:AB66,AB66,$AD$6:AD66,AD66))</f>
        <v/>
      </c>
      <c r="AF66" s="62">
        <f>IF(A66="",0,COUNTIF(fl_doc,A66))</f>
        <v>0.0</v>
      </c>
      <c r="AG66" s="62" t="str">
        <f>IF(A66="","",IF(AF66&gt;0,"Facture",IF(AND(F66&lt;&gt;"",AA66="Facture",ISNUMBER(MATCH(F66,dv_num,0))),"Devis","")))</f>
        <v/>
      </c>
      <c r="AH66" s="62" t="str">
        <f>IF(AND(A66&lt;&gt;"",F66&lt;&gt;"",AA66&lt;&gt;"Avoir"),F66,"")</f>
        <v/>
      </c>
      <c r="AI66" s="62" t="str">
        <f>IF(AG66="Devis",F66,"")</f>
        <v/>
      </c>
      <c r="AJ66" s="62">
        <f>IF(AG66="Facture",SUMIF(fl_doc,A66,fl_ht),IF(AG66="Devis",SUMIF(dl_doc,F66,dl_ht),0))</f>
        <v>0.0</v>
      </c>
      <c r="AK66" s="62">
        <f>IF(OR(AG66="",INDEX(p_rates,1)=""),0,IF(AG66="Facture",SUMIFS(fl_ht,fl_doc,A66,fl_rate,INDEX(p_rates,1)),SUMIFS(dl_ht,dl_doc,F66,dl_rate,INDEX(p_rates,1))))</f>
        <v>0.0</v>
      </c>
      <c r="AL66" s="62">
        <f>IF(OR(AG66="",INDEX(p_rates,2)=""),0,IF(AG66="Facture",SUMIFS(fl_ht,fl_doc,A66,fl_rate,INDEX(p_rates,2)),SUMIFS(dl_ht,dl_doc,F66,dl_rate,INDEX(p_rates,2))))</f>
        <v>0.0</v>
      </c>
      <c r="AM66" s="62">
        <f>IF(OR(AG66="",INDEX(p_rates,3)=""),0,IF(AG66="Facture",SUMIFS(fl_ht,fl_doc,A66,fl_rate,INDEX(p_rates,3)),SUMIFS(dl_ht,dl_doc,F66,dl_rate,INDEX(p_rates,3))))</f>
        <v>0.0</v>
      </c>
      <c r="AN66" s="62">
        <f>IF(OR(AG66="",INDEX(p_rates,4)=""),0,IF(AG66="Facture",SUMIFS(fl_ht,fl_doc,A66,fl_rate,INDEX(p_rates,4)),SUMIFS(dl_ht,dl_doc,F66,dl_rate,INDEX(p_rates,4))))</f>
        <v>0.0</v>
      </c>
      <c r="AO66" s="62">
        <f>IF(OR(AG66="",INDEX(p_rates,5)=""),0,IF(AG66="Facture",SUMIFS(fl_ht,fl_doc,A66,fl_rate,INDEX(p_rates,5)),SUMIFS(dl_ht,dl_doc,F66,dl_rate,INDEX(p_rates,5))))</f>
        <v>0.0</v>
      </c>
      <c r="AP66" s="62">
        <f>IF(OR(AG66="",INDEX(p_rates,6)=""),0,IF(AG66="Facture",SUMIFS(fl_ht,fl_doc,A66,fl_rate,INDEX(p_rates,6)),SUMIFS(dl_ht,dl_doc,F66,dl_rate,INDEX(p_rates,6))))</f>
        <v>0.0</v>
      </c>
      <c r="AQ66" s="62">
        <f>ROUND(AK66*N(INDEX(p_rates,1)),2)+ROUND(AL66*N(INDEX(p_rates,2)),2)+ROUND(AM66*N(INDEX(p_rates,3)),2)+ROUND(AN66*N(INDEX(p_rates,4)),2)+ROUND(AO66*N(INDEX(p_rates,5)),2)+ROUND(AP66*N(INDEX(p_rates,6)),2)</f>
        <v>0.0</v>
      </c>
      <c r="AR66" s="62" t="str">
        <f>IF(OR(L66="",AA66&lt;&gt;"Facture"),"",IFERROR(IF(INDEX(fa_type,MATCH(L66,fa_num,0))="Facture d'acompte",MATCH(L66,fa_num,0),""),""))</f>
        <v/>
      </c>
      <c r="AS66" s="62" t="str">
        <f>IF(W66="","",IF(W66&lt;=0,"",IF(p_asof-P66&lt;=0,"Non échu",IF(p_asof-P66&lt;=30,"1-30 j",IF(p_asof-P66&lt;=60,"31-60 j",IF(p_asof-P66&lt;=90,"61-90 j","Plus de 90 j"))))))</f>
        <v/>
      </c>
      <c r="AT66" s="62" t="str">
        <f>IF(AS66="","",p_asof-P66)</f>
        <v/>
      </c>
      <c r="AU66" s="62" t="str">
        <f>IF(AT66="","",COUNTIF($AT$6:$AT$805,"&gt;"&amp;AT66)+COUNTIF($AT$6:AT66,AT66))</f>
        <v/>
      </c>
    </row>
    <row r="67">
      <c r="A67" s="59" t="str">
        <f>IF(AE67="","",AB67&amp;"-"&amp;AD67&amp;"-"&amp;RIGHT("000"&amp;AE67,4))</f>
        <v/>
      </c>
      <c r="B67" s="60" t="n"/>
      <c r="C67" s="61" t="n"/>
      <c r="D67" s="60" t="n"/>
      <c r="E67" s="62" t="str">
        <f>IF(D67="","",IFERROR(INDEX(cli_name,MATCH(D67,cli_code,0))&amp;"","Client inconnu"))</f>
        <v/>
      </c>
      <c r="F67" s="60" t="n"/>
      <c r="G67" s="63" t="n"/>
      <c r="H67" s="61" t="n"/>
      <c r="I67" s="63" t="n"/>
      <c r="J67" s="60" t="n"/>
      <c r="K67" s="61" t="n"/>
      <c r="L67" s="60" t="n"/>
      <c r="M67" s="60" t="n"/>
      <c r="N67" s="60" t="n"/>
      <c r="O67" s="61" t="n"/>
      <c r="P67" s="64" t="str">
        <f>IF(A67="","",IF(AA67="Avoir",AC67,IF(ISNUMBER(K67),K67,AC67+IF(D67="",N(p_delay),IFERROR(IF(ISNUMBER(INDEX(cli_delay,MATCH(D67,cli_code,0))),INDEX(cli_delay,MATCH(D67,cli_code,0)),N(p_delay)),N(p_delay))))))</f>
        <v/>
      </c>
      <c r="Q67" s="65" t="str">
        <f>IF(A67="","",IF(AA67="Avoir",-1,1)*ROUND(AJ67-IF(AR67="",0,INDEX(fa_htb,AR67)),2))</f>
        <v/>
      </c>
      <c r="R67" s="65" t="str">
        <f>IF(A67="","",IF(AA67="Avoir",-1,1)*ROUND(AQ67-IF(AR67="",0,INDEX(fa_tvab,AR67)),2))</f>
        <v/>
      </c>
      <c r="S67" s="65" t="str">
        <f>IF(A67="","",Q67+R67)</f>
        <v/>
      </c>
      <c r="T67" s="65" t="str">
        <f>IF(AR67="","",INDEX(fa_htb,AR67)+INDEX(fa_tvab,AR67))</f>
        <v/>
      </c>
      <c r="U67" s="65" t="str">
        <f>IF(A67="","",SUMIF(pa_inv,A67,pa_amt))</f>
        <v/>
      </c>
      <c r="V67" s="65" t="str">
        <f>IF(OR(A67="",AA67="Avoir"),"",-SUMIFS(fa_ttc,fa_avof,A67,fa_type,"Avoir"))</f>
        <v/>
      </c>
      <c r="W67" s="65" t="str">
        <f>IF(OR(A67="",AA67="Avoir"),"",ROUND(S67-U67-V67,2))</f>
        <v/>
      </c>
      <c r="X67" s="66" t="str">
        <f>IF(W67="","",IF(AND(W67&gt;0,p_asof&gt;P67),p_asof-P67,""))</f>
        <v/>
      </c>
      <c r="Y67" s="59" t="str">
        <f>IF(A67="","",IF(AA67="Avoir","Avoir",IF(W67&lt;0,"Trop-perçu",IF(W67=0,"Soldée",IF(p_asof&gt;P67,"En retard",IF(U67+V67&gt;0,"Partielle","À échoir"))))))</f>
        <v/>
      </c>
      <c r="Z67" s="59" t="str">
        <f>IF(NOT(COUNTA(B67:D67,F67:O67)&gt;0),"",IF(C67="","Date manquante",IF(NOT(ISNUMBER(C67)),"Date invalide",IF(D67="","Client manquant",IF(ISNA(MATCH(D67,cli_code,0)),"Client inconnu",IF(AC67&lt;SUMPRODUCT(MAX(($AB$6:AB66=AB67)*$AC$6:AC66)),"Date antérieure à la facture précédente",IF(AND(F67&lt;&gt;"",ISNA(MATCH(F67,dv_num,0))),"Devis inconnu",IF(AND(F67&lt;&gt;"",IFERROR(INDEX(dv_client,MATCH(F67,dv_num,0)),D67)&lt;&gt;D67),"Client différent de celui du devis",IF(AG67="","Aucune ligne : saisissez des lignes ou un devis",IF(AND(AI67&lt;&gt;"",COUNTIF($AI$6:AI67,AI67)&gt;1),"Devis déjà repris par une autre facture",IF(AND(AA67="Avoir",M67=""),"Avoir : indiquez la facture d'origine",IF(AND(AA67="Avoir",ISNA(MATCH(M67,fa_num,0))),"Facture d'origine inconnue",IF(AND(AA67&lt;&gt;"Avoir",M67&lt;&gt;""),"« Avoir sur facture » : réservé aux avoirs",IF(AND(L67&lt;&gt;"",AA67&lt;&gt;"Facture"),"Acompte à déduire : réservé aux factures",IF(AND(L67&lt;&gt;"",ISNA(MATCH(L67,fa_num,0))),"Facture d'acompte inconnue",IF(AND(L67&lt;&gt;"",IFERROR(INDEX(fa_type,MATCH(L67,fa_num,0)),"")&lt;&gt;"Facture d'acompte"),"Le n° à déduire n'est pas une facture d'acompte",IF(AND(L67&lt;&gt;"",COUNTIF($L$6:L67,L67)&gt;1),"Acompte déjà déduit sur une autre facture",IF(AND(L67&lt;&gt;"",IFERROR(INDEX(fa_client,MATCH(L67,fa_num,0)),D67)&lt;&gt;D67),"Acompte d'un autre client",IF(AND(AR67&lt;&gt;"",N(Q67)&lt;0),"Acompte supérieur au total de la facture",IF(IF(AG67="Facture",COUNTIFS(fl_doc,A67,fl_check,"&lt;&gt;OK"),IF(AG67="Devis",COUNTIFS(dl_doc,F67,dl_check,"&lt;&gt;OK"),0))&gt;0,"Ligne(s) à corriger",IF(AND(W67&lt;&gt;"",N(W67)&lt;0),"Trop-perçu : vérifiez paiements et avoirs","OK")))))))))))))))))))))</f>
        <v/>
      </c>
      <c r="AA67" s="62" t="str">
        <f>IF(COUNTA(B67:D67,F67:O67)&gt;0,IF(B67="","Facture",B67),"")</f>
        <v/>
      </c>
      <c r="AB67" s="62" t="str">
        <f>IF(AA67="","",IF(AA67="Avoir",p_pav,IF(AA67="Facture d'acompte",p_pac,p_pfa)))</f>
        <v/>
      </c>
      <c r="AC67" s="62">
        <f>IF(ISNUMBER(C67),C67,0)</f>
        <v>0.0</v>
      </c>
      <c r="AD67" s="62" t="str">
        <f>IF(OR(AA67="",AC67=0),"",YEAR(AC67))</f>
        <v/>
      </c>
      <c r="AE67" s="62" t="str">
        <f>IF(AD67="","",COUNTIFS($AB$6:AB67,AB67,$AD$6:AD67,AD67))</f>
        <v/>
      </c>
      <c r="AF67" s="62">
        <f>IF(A67="",0,COUNTIF(fl_doc,A67))</f>
        <v>0.0</v>
      </c>
      <c r="AG67" s="62" t="str">
        <f>IF(A67="","",IF(AF67&gt;0,"Facture",IF(AND(F67&lt;&gt;"",AA67="Facture",ISNUMBER(MATCH(F67,dv_num,0))),"Devis","")))</f>
        <v/>
      </c>
      <c r="AH67" s="62" t="str">
        <f>IF(AND(A67&lt;&gt;"",F67&lt;&gt;"",AA67&lt;&gt;"Avoir"),F67,"")</f>
        <v/>
      </c>
      <c r="AI67" s="62" t="str">
        <f>IF(AG67="Devis",F67,"")</f>
        <v/>
      </c>
      <c r="AJ67" s="62">
        <f>IF(AG67="Facture",SUMIF(fl_doc,A67,fl_ht),IF(AG67="Devis",SUMIF(dl_doc,F67,dl_ht),0))</f>
        <v>0.0</v>
      </c>
      <c r="AK67" s="62">
        <f>IF(OR(AG67="",INDEX(p_rates,1)=""),0,IF(AG67="Facture",SUMIFS(fl_ht,fl_doc,A67,fl_rate,INDEX(p_rates,1)),SUMIFS(dl_ht,dl_doc,F67,dl_rate,INDEX(p_rates,1))))</f>
        <v>0.0</v>
      </c>
      <c r="AL67" s="62">
        <f>IF(OR(AG67="",INDEX(p_rates,2)=""),0,IF(AG67="Facture",SUMIFS(fl_ht,fl_doc,A67,fl_rate,INDEX(p_rates,2)),SUMIFS(dl_ht,dl_doc,F67,dl_rate,INDEX(p_rates,2))))</f>
        <v>0.0</v>
      </c>
      <c r="AM67" s="62">
        <f>IF(OR(AG67="",INDEX(p_rates,3)=""),0,IF(AG67="Facture",SUMIFS(fl_ht,fl_doc,A67,fl_rate,INDEX(p_rates,3)),SUMIFS(dl_ht,dl_doc,F67,dl_rate,INDEX(p_rates,3))))</f>
        <v>0.0</v>
      </c>
      <c r="AN67" s="62">
        <f>IF(OR(AG67="",INDEX(p_rates,4)=""),0,IF(AG67="Facture",SUMIFS(fl_ht,fl_doc,A67,fl_rate,INDEX(p_rates,4)),SUMIFS(dl_ht,dl_doc,F67,dl_rate,INDEX(p_rates,4))))</f>
        <v>0.0</v>
      </c>
      <c r="AO67" s="62">
        <f>IF(OR(AG67="",INDEX(p_rates,5)=""),0,IF(AG67="Facture",SUMIFS(fl_ht,fl_doc,A67,fl_rate,INDEX(p_rates,5)),SUMIFS(dl_ht,dl_doc,F67,dl_rate,INDEX(p_rates,5))))</f>
        <v>0.0</v>
      </c>
      <c r="AP67" s="62">
        <f>IF(OR(AG67="",INDEX(p_rates,6)=""),0,IF(AG67="Facture",SUMIFS(fl_ht,fl_doc,A67,fl_rate,INDEX(p_rates,6)),SUMIFS(dl_ht,dl_doc,F67,dl_rate,INDEX(p_rates,6))))</f>
        <v>0.0</v>
      </c>
      <c r="AQ67" s="62">
        <f>ROUND(AK67*N(INDEX(p_rates,1)),2)+ROUND(AL67*N(INDEX(p_rates,2)),2)+ROUND(AM67*N(INDEX(p_rates,3)),2)+ROUND(AN67*N(INDEX(p_rates,4)),2)+ROUND(AO67*N(INDEX(p_rates,5)),2)+ROUND(AP67*N(INDEX(p_rates,6)),2)</f>
        <v>0.0</v>
      </c>
      <c r="AR67" s="62" t="str">
        <f>IF(OR(L67="",AA67&lt;&gt;"Facture"),"",IFERROR(IF(INDEX(fa_type,MATCH(L67,fa_num,0))="Facture d'acompte",MATCH(L67,fa_num,0),""),""))</f>
        <v/>
      </c>
      <c r="AS67" s="62" t="str">
        <f>IF(W67="","",IF(W67&lt;=0,"",IF(p_asof-P67&lt;=0,"Non échu",IF(p_asof-P67&lt;=30,"1-30 j",IF(p_asof-P67&lt;=60,"31-60 j",IF(p_asof-P67&lt;=90,"61-90 j","Plus de 90 j"))))))</f>
        <v/>
      </c>
      <c r="AT67" s="62" t="str">
        <f>IF(AS67="","",p_asof-P67)</f>
        <v/>
      </c>
      <c r="AU67" s="62" t="str">
        <f>IF(AT67="","",COUNTIF($AT$6:$AT$805,"&gt;"&amp;AT67)+COUNTIF($AT$6:AT67,AT67))</f>
        <v/>
      </c>
    </row>
    <row r="68">
      <c r="A68" s="59" t="str">
        <f>IF(AE68="","",AB68&amp;"-"&amp;AD68&amp;"-"&amp;RIGHT("000"&amp;AE68,4))</f>
        <v/>
      </c>
      <c r="B68" s="60" t="n"/>
      <c r="C68" s="61" t="n"/>
      <c r="D68" s="60" t="n"/>
      <c r="E68" s="62" t="str">
        <f>IF(D68="","",IFERROR(INDEX(cli_name,MATCH(D68,cli_code,0))&amp;"","Client inconnu"))</f>
        <v/>
      </c>
      <c r="F68" s="60" t="n"/>
      <c r="G68" s="63" t="n"/>
      <c r="H68" s="61" t="n"/>
      <c r="I68" s="63" t="n"/>
      <c r="J68" s="60" t="n"/>
      <c r="K68" s="61" t="n"/>
      <c r="L68" s="60" t="n"/>
      <c r="M68" s="60" t="n"/>
      <c r="N68" s="60" t="n"/>
      <c r="O68" s="61" t="n"/>
      <c r="P68" s="64" t="str">
        <f>IF(A68="","",IF(AA68="Avoir",AC68,IF(ISNUMBER(K68),K68,AC68+IF(D68="",N(p_delay),IFERROR(IF(ISNUMBER(INDEX(cli_delay,MATCH(D68,cli_code,0))),INDEX(cli_delay,MATCH(D68,cli_code,0)),N(p_delay)),N(p_delay))))))</f>
        <v/>
      </c>
      <c r="Q68" s="65" t="str">
        <f>IF(A68="","",IF(AA68="Avoir",-1,1)*ROUND(AJ68-IF(AR68="",0,INDEX(fa_htb,AR68)),2))</f>
        <v/>
      </c>
      <c r="R68" s="65" t="str">
        <f>IF(A68="","",IF(AA68="Avoir",-1,1)*ROUND(AQ68-IF(AR68="",0,INDEX(fa_tvab,AR68)),2))</f>
        <v/>
      </c>
      <c r="S68" s="65" t="str">
        <f>IF(A68="","",Q68+R68)</f>
        <v/>
      </c>
      <c r="T68" s="65" t="str">
        <f>IF(AR68="","",INDEX(fa_htb,AR68)+INDEX(fa_tvab,AR68))</f>
        <v/>
      </c>
      <c r="U68" s="65" t="str">
        <f>IF(A68="","",SUMIF(pa_inv,A68,pa_amt))</f>
        <v/>
      </c>
      <c r="V68" s="65" t="str">
        <f>IF(OR(A68="",AA68="Avoir"),"",-SUMIFS(fa_ttc,fa_avof,A68,fa_type,"Avoir"))</f>
        <v/>
      </c>
      <c r="W68" s="65" t="str">
        <f>IF(OR(A68="",AA68="Avoir"),"",ROUND(S68-U68-V68,2))</f>
        <v/>
      </c>
      <c r="X68" s="66" t="str">
        <f>IF(W68="","",IF(AND(W68&gt;0,p_asof&gt;P68),p_asof-P68,""))</f>
        <v/>
      </c>
      <c r="Y68" s="59" t="str">
        <f>IF(A68="","",IF(AA68="Avoir","Avoir",IF(W68&lt;0,"Trop-perçu",IF(W68=0,"Soldée",IF(p_asof&gt;P68,"En retard",IF(U68+V68&gt;0,"Partielle","À échoir"))))))</f>
        <v/>
      </c>
      <c r="Z68" s="59" t="str">
        <f>IF(NOT(COUNTA(B68:D68,F68:O68)&gt;0),"",IF(C68="","Date manquante",IF(NOT(ISNUMBER(C68)),"Date invalide",IF(D68="","Client manquant",IF(ISNA(MATCH(D68,cli_code,0)),"Client inconnu",IF(AC68&lt;SUMPRODUCT(MAX(($AB$6:AB67=AB68)*$AC$6:AC67)),"Date antérieure à la facture précédente",IF(AND(F68&lt;&gt;"",ISNA(MATCH(F68,dv_num,0))),"Devis inconnu",IF(AND(F68&lt;&gt;"",IFERROR(INDEX(dv_client,MATCH(F68,dv_num,0)),D68)&lt;&gt;D68),"Client différent de celui du devis",IF(AG68="","Aucune ligne : saisissez des lignes ou un devis",IF(AND(AI68&lt;&gt;"",COUNTIF($AI$6:AI68,AI68)&gt;1),"Devis déjà repris par une autre facture",IF(AND(AA68="Avoir",M68=""),"Avoir : indiquez la facture d'origine",IF(AND(AA68="Avoir",ISNA(MATCH(M68,fa_num,0))),"Facture d'origine inconnue",IF(AND(AA68&lt;&gt;"Avoir",M68&lt;&gt;""),"« Avoir sur facture » : réservé aux avoirs",IF(AND(L68&lt;&gt;"",AA68&lt;&gt;"Facture"),"Acompte à déduire : réservé aux factures",IF(AND(L68&lt;&gt;"",ISNA(MATCH(L68,fa_num,0))),"Facture d'acompte inconnue",IF(AND(L68&lt;&gt;"",IFERROR(INDEX(fa_type,MATCH(L68,fa_num,0)),"")&lt;&gt;"Facture d'acompte"),"Le n° à déduire n'est pas une facture d'acompte",IF(AND(L68&lt;&gt;"",COUNTIF($L$6:L68,L68)&gt;1),"Acompte déjà déduit sur une autre facture",IF(AND(L68&lt;&gt;"",IFERROR(INDEX(fa_client,MATCH(L68,fa_num,0)),D68)&lt;&gt;D68),"Acompte d'un autre client",IF(AND(AR68&lt;&gt;"",N(Q68)&lt;0),"Acompte supérieur au total de la facture",IF(IF(AG68="Facture",COUNTIFS(fl_doc,A68,fl_check,"&lt;&gt;OK"),IF(AG68="Devis",COUNTIFS(dl_doc,F68,dl_check,"&lt;&gt;OK"),0))&gt;0,"Ligne(s) à corriger",IF(AND(W68&lt;&gt;"",N(W68)&lt;0),"Trop-perçu : vérifiez paiements et avoirs","OK")))))))))))))))))))))</f>
        <v/>
      </c>
      <c r="AA68" s="62" t="str">
        <f>IF(COUNTA(B68:D68,F68:O68)&gt;0,IF(B68="","Facture",B68),"")</f>
        <v/>
      </c>
      <c r="AB68" s="62" t="str">
        <f>IF(AA68="","",IF(AA68="Avoir",p_pav,IF(AA68="Facture d'acompte",p_pac,p_pfa)))</f>
        <v/>
      </c>
      <c r="AC68" s="62">
        <f>IF(ISNUMBER(C68),C68,0)</f>
        <v>0.0</v>
      </c>
      <c r="AD68" s="62" t="str">
        <f>IF(OR(AA68="",AC68=0),"",YEAR(AC68))</f>
        <v/>
      </c>
      <c r="AE68" s="62" t="str">
        <f>IF(AD68="","",COUNTIFS($AB$6:AB68,AB68,$AD$6:AD68,AD68))</f>
        <v/>
      </c>
      <c r="AF68" s="62">
        <f>IF(A68="",0,COUNTIF(fl_doc,A68))</f>
        <v>0.0</v>
      </c>
      <c r="AG68" s="62" t="str">
        <f>IF(A68="","",IF(AF68&gt;0,"Facture",IF(AND(F68&lt;&gt;"",AA68="Facture",ISNUMBER(MATCH(F68,dv_num,0))),"Devis","")))</f>
        <v/>
      </c>
      <c r="AH68" s="62" t="str">
        <f>IF(AND(A68&lt;&gt;"",F68&lt;&gt;"",AA68&lt;&gt;"Avoir"),F68,"")</f>
        <v/>
      </c>
      <c r="AI68" s="62" t="str">
        <f>IF(AG68="Devis",F68,"")</f>
        <v/>
      </c>
      <c r="AJ68" s="62">
        <f>IF(AG68="Facture",SUMIF(fl_doc,A68,fl_ht),IF(AG68="Devis",SUMIF(dl_doc,F68,dl_ht),0))</f>
        <v>0.0</v>
      </c>
      <c r="AK68" s="62">
        <f>IF(OR(AG68="",INDEX(p_rates,1)=""),0,IF(AG68="Facture",SUMIFS(fl_ht,fl_doc,A68,fl_rate,INDEX(p_rates,1)),SUMIFS(dl_ht,dl_doc,F68,dl_rate,INDEX(p_rates,1))))</f>
        <v>0.0</v>
      </c>
      <c r="AL68" s="62">
        <f>IF(OR(AG68="",INDEX(p_rates,2)=""),0,IF(AG68="Facture",SUMIFS(fl_ht,fl_doc,A68,fl_rate,INDEX(p_rates,2)),SUMIFS(dl_ht,dl_doc,F68,dl_rate,INDEX(p_rates,2))))</f>
        <v>0.0</v>
      </c>
      <c r="AM68" s="62">
        <f>IF(OR(AG68="",INDEX(p_rates,3)=""),0,IF(AG68="Facture",SUMIFS(fl_ht,fl_doc,A68,fl_rate,INDEX(p_rates,3)),SUMIFS(dl_ht,dl_doc,F68,dl_rate,INDEX(p_rates,3))))</f>
        <v>0.0</v>
      </c>
      <c r="AN68" s="62">
        <f>IF(OR(AG68="",INDEX(p_rates,4)=""),0,IF(AG68="Facture",SUMIFS(fl_ht,fl_doc,A68,fl_rate,INDEX(p_rates,4)),SUMIFS(dl_ht,dl_doc,F68,dl_rate,INDEX(p_rates,4))))</f>
        <v>0.0</v>
      </c>
      <c r="AO68" s="62">
        <f>IF(OR(AG68="",INDEX(p_rates,5)=""),0,IF(AG68="Facture",SUMIFS(fl_ht,fl_doc,A68,fl_rate,INDEX(p_rates,5)),SUMIFS(dl_ht,dl_doc,F68,dl_rate,INDEX(p_rates,5))))</f>
        <v>0.0</v>
      </c>
      <c r="AP68" s="62">
        <f>IF(OR(AG68="",INDEX(p_rates,6)=""),0,IF(AG68="Facture",SUMIFS(fl_ht,fl_doc,A68,fl_rate,INDEX(p_rates,6)),SUMIFS(dl_ht,dl_doc,F68,dl_rate,INDEX(p_rates,6))))</f>
        <v>0.0</v>
      </c>
      <c r="AQ68" s="62">
        <f>ROUND(AK68*N(INDEX(p_rates,1)),2)+ROUND(AL68*N(INDEX(p_rates,2)),2)+ROUND(AM68*N(INDEX(p_rates,3)),2)+ROUND(AN68*N(INDEX(p_rates,4)),2)+ROUND(AO68*N(INDEX(p_rates,5)),2)+ROUND(AP68*N(INDEX(p_rates,6)),2)</f>
        <v>0.0</v>
      </c>
      <c r="AR68" s="62" t="str">
        <f>IF(OR(L68="",AA68&lt;&gt;"Facture"),"",IFERROR(IF(INDEX(fa_type,MATCH(L68,fa_num,0))="Facture d'acompte",MATCH(L68,fa_num,0),""),""))</f>
        <v/>
      </c>
      <c r="AS68" s="62" t="str">
        <f>IF(W68="","",IF(W68&lt;=0,"",IF(p_asof-P68&lt;=0,"Non échu",IF(p_asof-P68&lt;=30,"1-30 j",IF(p_asof-P68&lt;=60,"31-60 j",IF(p_asof-P68&lt;=90,"61-90 j","Plus de 90 j"))))))</f>
        <v/>
      </c>
      <c r="AT68" s="62" t="str">
        <f>IF(AS68="","",p_asof-P68)</f>
        <v/>
      </c>
      <c r="AU68" s="62" t="str">
        <f>IF(AT68="","",COUNTIF($AT$6:$AT$805,"&gt;"&amp;AT68)+COUNTIF($AT$6:AT68,AT68))</f>
        <v/>
      </c>
    </row>
    <row r="69">
      <c r="A69" s="59" t="str">
        <f>IF(AE69="","",AB69&amp;"-"&amp;AD69&amp;"-"&amp;RIGHT("000"&amp;AE69,4))</f>
        <v/>
      </c>
      <c r="B69" s="60" t="n"/>
      <c r="C69" s="61" t="n"/>
      <c r="D69" s="60" t="n"/>
      <c r="E69" s="62" t="str">
        <f>IF(D69="","",IFERROR(INDEX(cli_name,MATCH(D69,cli_code,0))&amp;"","Client inconnu"))</f>
        <v/>
      </c>
      <c r="F69" s="60" t="n"/>
      <c r="G69" s="63" t="n"/>
      <c r="H69" s="61" t="n"/>
      <c r="I69" s="63" t="n"/>
      <c r="J69" s="60" t="n"/>
      <c r="K69" s="61" t="n"/>
      <c r="L69" s="60" t="n"/>
      <c r="M69" s="60" t="n"/>
      <c r="N69" s="60" t="n"/>
      <c r="O69" s="61" t="n"/>
      <c r="P69" s="64" t="str">
        <f>IF(A69="","",IF(AA69="Avoir",AC69,IF(ISNUMBER(K69),K69,AC69+IF(D69="",N(p_delay),IFERROR(IF(ISNUMBER(INDEX(cli_delay,MATCH(D69,cli_code,0))),INDEX(cli_delay,MATCH(D69,cli_code,0)),N(p_delay)),N(p_delay))))))</f>
        <v/>
      </c>
      <c r="Q69" s="65" t="str">
        <f>IF(A69="","",IF(AA69="Avoir",-1,1)*ROUND(AJ69-IF(AR69="",0,INDEX(fa_htb,AR69)),2))</f>
        <v/>
      </c>
      <c r="R69" s="65" t="str">
        <f>IF(A69="","",IF(AA69="Avoir",-1,1)*ROUND(AQ69-IF(AR69="",0,INDEX(fa_tvab,AR69)),2))</f>
        <v/>
      </c>
      <c r="S69" s="65" t="str">
        <f>IF(A69="","",Q69+R69)</f>
        <v/>
      </c>
      <c r="T69" s="65" t="str">
        <f>IF(AR69="","",INDEX(fa_htb,AR69)+INDEX(fa_tvab,AR69))</f>
        <v/>
      </c>
      <c r="U69" s="65" t="str">
        <f>IF(A69="","",SUMIF(pa_inv,A69,pa_amt))</f>
        <v/>
      </c>
      <c r="V69" s="65" t="str">
        <f>IF(OR(A69="",AA69="Avoir"),"",-SUMIFS(fa_ttc,fa_avof,A69,fa_type,"Avoir"))</f>
        <v/>
      </c>
      <c r="W69" s="65" t="str">
        <f>IF(OR(A69="",AA69="Avoir"),"",ROUND(S69-U69-V69,2))</f>
        <v/>
      </c>
      <c r="X69" s="66" t="str">
        <f>IF(W69="","",IF(AND(W69&gt;0,p_asof&gt;P69),p_asof-P69,""))</f>
        <v/>
      </c>
      <c r="Y69" s="59" t="str">
        <f>IF(A69="","",IF(AA69="Avoir","Avoir",IF(W69&lt;0,"Trop-perçu",IF(W69=0,"Soldée",IF(p_asof&gt;P69,"En retard",IF(U69+V69&gt;0,"Partielle","À échoir"))))))</f>
        <v/>
      </c>
      <c r="Z69" s="59" t="str">
        <f>IF(NOT(COUNTA(B69:D69,F69:O69)&gt;0),"",IF(C69="","Date manquante",IF(NOT(ISNUMBER(C69)),"Date invalide",IF(D69="","Client manquant",IF(ISNA(MATCH(D69,cli_code,0)),"Client inconnu",IF(AC69&lt;SUMPRODUCT(MAX(($AB$6:AB68=AB69)*$AC$6:AC68)),"Date antérieure à la facture précédente",IF(AND(F69&lt;&gt;"",ISNA(MATCH(F69,dv_num,0))),"Devis inconnu",IF(AND(F69&lt;&gt;"",IFERROR(INDEX(dv_client,MATCH(F69,dv_num,0)),D69)&lt;&gt;D69),"Client différent de celui du devis",IF(AG69="","Aucune ligne : saisissez des lignes ou un devis",IF(AND(AI69&lt;&gt;"",COUNTIF($AI$6:AI69,AI69)&gt;1),"Devis déjà repris par une autre facture",IF(AND(AA69="Avoir",M69=""),"Avoir : indiquez la facture d'origine",IF(AND(AA69="Avoir",ISNA(MATCH(M69,fa_num,0))),"Facture d'origine inconnue",IF(AND(AA69&lt;&gt;"Avoir",M69&lt;&gt;""),"« Avoir sur facture » : réservé aux avoirs",IF(AND(L69&lt;&gt;"",AA69&lt;&gt;"Facture"),"Acompte à déduire : réservé aux factures",IF(AND(L69&lt;&gt;"",ISNA(MATCH(L69,fa_num,0))),"Facture d'acompte inconnue",IF(AND(L69&lt;&gt;"",IFERROR(INDEX(fa_type,MATCH(L69,fa_num,0)),"")&lt;&gt;"Facture d'acompte"),"Le n° à déduire n'est pas une facture d'acompte",IF(AND(L69&lt;&gt;"",COUNTIF($L$6:L69,L69)&gt;1),"Acompte déjà déduit sur une autre facture",IF(AND(L69&lt;&gt;"",IFERROR(INDEX(fa_client,MATCH(L69,fa_num,0)),D69)&lt;&gt;D69),"Acompte d'un autre client",IF(AND(AR69&lt;&gt;"",N(Q69)&lt;0),"Acompte supérieur au total de la facture",IF(IF(AG69="Facture",COUNTIFS(fl_doc,A69,fl_check,"&lt;&gt;OK"),IF(AG69="Devis",COUNTIFS(dl_doc,F69,dl_check,"&lt;&gt;OK"),0))&gt;0,"Ligne(s) à corriger",IF(AND(W69&lt;&gt;"",N(W69)&lt;0),"Trop-perçu : vérifiez paiements et avoirs","OK")))))))))))))))))))))</f>
        <v/>
      </c>
      <c r="AA69" s="62" t="str">
        <f>IF(COUNTA(B69:D69,F69:O69)&gt;0,IF(B69="","Facture",B69),"")</f>
        <v/>
      </c>
      <c r="AB69" s="62" t="str">
        <f>IF(AA69="","",IF(AA69="Avoir",p_pav,IF(AA69="Facture d'acompte",p_pac,p_pfa)))</f>
        <v/>
      </c>
      <c r="AC69" s="62">
        <f>IF(ISNUMBER(C69),C69,0)</f>
        <v>0.0</v>
      </c>
      <c r="AD69" s="62" t="str">
        <f>IF(OR(AA69="",AC69=0),"",YEAR(AC69))</f>
        <v/>
      </c>
      <c r="AE69" s="62" t="str">
        <f>IF(AD69="","",COUNTIFS($AB$6:AB69,AB69,$AD$6:AD69,AD69))</f>
        <v/>
      </c>
      <c r="AF69" s="62">
        <f>IF(A69="",0,COUNTIF(fl_doc,A69))</f>
        <v>0.0</v>
      </c>
      <c r="AG69" s="62" t="str">
        <f>IF(A69="","",IF(AF69&gt;0,"Facture",IF(AND(F69&lt;&gt;"",AA69="Facture",ISNUMBER(MATCH(F69,dv_num,0))),"Devis","")))</f>
        <v/>
      </c>
      <c r="AH69" s="62" t="str">
        <f>IF(AND(A69&lt;&gt;"",F69&lt;&gt;"",AA69&lt;&gt;"Avoir"),F69,"")</f>
        <v/>
      </c>
      <c r="AI69" s="62" t="str">
        <f>IF(AG69="Devis",F69,"")</f>
        <v/>
      </c>
      <c r="AJ69" s="62">
        <f>IF(AG69="Facture",SUMIF(fl_doc,A69,fl_ht),IF(AG69="Devis",SUMIF(dl_doc,F69,dl_ht),0))</f>
        <v>0.0</v>
      </c>
      <c r="AK69" s="62">
        <f>IF(OR(AG69="",INDEX(p_rates,1)=""),0,IF(AG69="Facture",SUMIFS(fl_ht,fl_doc,A69,fl_rate,INDEX(p_rates,1)),SUMIFS(dl_ht,dl_doc,F69,dl_rate,INDEX(p_rates,1))))</f>
        <v>0.0</v>
      </c>
      <c r="AL69" s="62">
        <f>IF(OR(AG69="",INDEX(p_rates,2)=""),0,IF(AG69="Facture",SUMIFS(fl_ht,fl_doc,A69,fl_rate,INDEX(p_rates,2)),SUMIFS(dl_ht,dl_doc,F69,dl_rate,INDEX(p_rates,2))))</f>
        <v>0.0</v>
      </c>
      <c r="AM69" s="62">
        <f>IF(OR(AG69="",INDEX(p_rates,3)=""),0,IF(AG69="Facture",SUMIFS(fl_ht,fl_doc,A69,fl_rate,INDEX(p_rates,3)),SUMIFS(dl_ht,dl_doc,F69,dl_rate,INDEX(p_rates,3))))</f>
        <v>0.0</v>
      </c>
      <c r="AN69" s="62">
        <f>IF(OR(AG69="",INDEX(p_rates,4)=""),0,IF(AG69="Facture",SUMIFS(fl_ht,fl_doc,A69,fl_rate,INDEX(p_rates,4)),SUMIFS(dl_ht,dl_doc,F69,dl_rate,INDEX(p_rates,4))))</f>
        <v>0.0</v>
      </c>
      <c r="AO69" s="62">
        <f>IF(OR(AG69="",INDEX(p_rates,5)=""),0,IF(AG69="Facture",SUMIFS(fl_ht,fl_doc,A69,fl_rate,INDEX(p_rates,5)),SUMIFS(dl_ht,dl_doc,F69,dl_rate,INDEX(p_rates,5))))</f>
        <v>0.0</v>
      </c>
      <c r="AP69" s="62">
        <f>IF(OR(AG69="",INDEX(p_rates,6)=""),0,IF(AG69="Facture",SUMIFS(fl_ht,fl_doc,A69,fl_rate,INDEX(p_rates,6)),SUMIFS(dl_ht,dl_doc,F69,dl_rate,INDEX(p_rates,6))))</f>
        <v>0.0</v>
      </c>
      <c r="AQ69" s="62">
        <f>ROUND(AK69*N(INDEX(p_rates,1)),2)+ROUND(AL69*N(INDEX(p_rates,2)),2)+ROUND(AM69*N(INDEX(p_rates,3)),2)+ROUND(AN69*N(INDEX(p_rates,4)),2)+ROUND(AO69*N(INDEX(p_rates,5)),2)+ROUND(AP69*N(INDEX(p_rates,6)),2)</f>
        <v>0.0</v>
      </c>
      <c r="AR69" s="62" t="str">
        <f>IF(OR(L69="",AA69&lt;&gt;"Facture"),"",IFERROR(IF(INDEX(fa_type,MATCH(L69,fa_num,0))="Facture d'acompte",MATCH(L69,fa_num,0),""),""))</f>
        <v/>
      </c>
      <c r="AS69" s="62" t="str">
        <f>IF(W69="","",IF(W69&lt;=0,"",IF(p_asof-P69&lt;=0,"Non échu",IF(p_asof-P69&lt;=30,"1-30 j",IF(p_asof-P69&lt;=60,"31-60 j",IF(p_asof-P69&lt;=90,"61-90 j","Plus de 90 j"))))))</f>
        <v/>
      </c>
      <c r="AT69" s="62" t="str">
        <f>IF(AS69="","",p_asof-P69)</f>
        <v/>
      </c>
      <c r="AU69" s="62" t="str">
        <f>IF(AT69="","",COUNTIF($AT$6:$AT$805,"&gt;"&amp;AT69)+COUNTIF($AT$6:AT69,AT69))</f>
        <v/>
      </c>
    </row>
    <row r="70">
      <c r="A70" s="59" t="str">
        <f>IF(AE70="","",AB70&amp;"-"&amp;AD70&amp;"-"&amp;RIGHT("000"&amp;AE70,4))</f>
        <v/>
      </c>
      <c r="B70" s="60" t="n"/>
      <c r="C70" s="61" t="n"/>
      <c r="D70" s="60" t="n"/>
      <c r="E70" s="62" t="str">
        <f>IF(D70="","",IFERROR(INDEX(cli_name,MATCH(D70,cli_code,0))&amp;"","Client inconnu"))</f>
        <v/>
      </c>
      <c r="F70" s="60" t="n"/>
      <c r="G70" s="63" t="n"/>
      <c r="H70" s="61" t="n"/>
      <c r="I70" s="63" t="n"/>
      <c r="J70" s="60" t="n"/>
      <c r="K70" s="61" t="n"/>
      <c r="L70" s="60" t="n"/>
      <c r="M70" s="60" t="n"/>
      <c r="N70" s="60" t="n"/>
      <c r="O70" s="61" t="n"/>
      <c r="P70" s="64" t="str">
        <f>IF(A70="","",IF(AA70="Avoir",AC70,IF(ISNUMBER(K70),K70,AC70+IF(D70="",N(p_delay),IFERROR(IF(ISNUMBER(INDEX(cli_delay,MATCH(D70,cli_code,0))),INDEX(cli_delay,MATCH(D70,cli_code,0)),N(p_delay)),N(p_delay))))))</f>
        <v/>
      </c>
      <c r="Q70" s="65" t="str">
        <f>IF(A70="","",IF(AA70="Avoir",-1,1)*ROUND(AJ70-IF(AR70="",0,INDEX(fa_htb,AR70)),2))</f>
        <v/>
      </c>
      <c r="R70" s="65" t="str">
        <f>IF(A70="","",IF(AA70="Avoir",-1,1)*ROUND(AQ70-IF(AR70="",0,INDEX(fa_tvab,AR70)),2))</f>
        <v/>
      </c>
      <c r="S70" s="65" t="str">
        <f>IF(A70="","",Q70+R70)</f>
        <v/>
      </c>
      <c r="T70" s="65" t="str">
        <f>IF(AR70="","",INDEX(fa_htb,AR70)+INDEX(fa_tvab,AR70))</f>
        <v/>
      </c>
      <c r="U70" s="65" t="str">
        <f>IF(A70="","",SUMIF(pa_inv,A70,pa_amt))</f>
        <v/>
      </c>
      <c r="V70" s="65" t="str">
        <f>IF(OR(A70="",AA70="Avoir"),"",-SUMIFS(fa_ttc,fa_avof,A70,fa_type,"Avoir"))</f>
        <v/>
      </c>
      <c r="W70" s="65" t="str">
        <f>IF(OR(A70="",AA70="Avoir"),"",ROUND(S70-U70-V70,2))</f>
        <v/>
      </c>
      <c r="X70" s="66" t="str">
        <f>IF(W70="","",IF(AND(W70&gt;0,p_asof&gt;P70),p_asof-P70,""))</f>
        <v/>
      </c>
      <c r="Y70" s="59" t="str">
        <f>IF(A70="","",IF(AA70="Avoir","Avoir",IF(W70&lt;0,"Trop-perçu",IF(W70=0,"Soldée",IF(p_asof&gt;P70,"En retard",IF(U70+V70&gt;0,"Partielle","À échoir"))))))</f>
        <v/>
      </c>
      <c r="Z70" s="59" t="str">
        <f>IF(NOT(COUNTA(B70:D70,F70:O70)&gt;0),"",IF(C70="","Date manquante",IF(NOT(ISNUMBER(C70)),"Date invalide",IF(D70="","Client manquant",IF(ISNA(MATCH(D70,cli_code,0)),"Client inconnu",IF(AC70&lt;SUMPRODUCT(MAX(($AB$6:AB69=AB70)*$AC$6:AC69)),"Date antérieure à la facture précédente",IF(AND(F70&lt;&gt;"",ISNA(MATCH(F70,dv_num,0))),"Devis inconnu",IF(AND(F70&lt;&gt;"",IFERROR(INDEX(dv_client,MATCH(F70,dv_num,0)),D70)&lt;&gt;D70),"Client différent de celui du devis",IF(AG70="","Aucune ligne : saisissez des lignes ou un devis",IF(AND(AI70&lt;&gt;"",COUNTIF($AI$6:AI70,AI70)&gt;1),"Devis déjà repris par une autre facture",IF(AND(AA70="Avoir",M70=""),"Avoir : indiquez la facture d'origine",IF(AND(AA70="Avoir",ISNA(MATCH(M70,fa_num,0))),"Facture d'origine inconnue",IF(AND(AA70&lt;&gt;"Avoir",M70&lt;&gt;""),"« Avoir sur facture » : réservé aux avoirs",IF(AND(L70&lt;&gt;"",AA70&lt;&gt;"Facture"),"Acompte à déduire : réservé aux factures",IF(AND(L70&lt;&gt;"",ISNA(MATCH(L70,fa_num,0))),"Facture d'acompte inconnue",IF(AND(L70&lt;&gt;"",IFERROR(INDEX(fa_type,MATCH(L70,fa_num,0)),"")&lt;&gt;"Facture d'acompte"),"Le n° à déduire n'est pas une facture d'acompte",IF(AND(L70&lt;&gt;"",COUNTIF($L$6:L70,L70)&gt;1),"Acompte déjà déduit sur une autre facture",IF(AND(L70&lt;&gt;"",IFERROR(INDEX(fa_client,MATCH(L70,fa_num,0)),D70)&lt;&gt;D70),"Acompte d'un autre client",IF(AND(AR70&lt;&gt;"",N(Q70)&lt;0),"Acompte supérieur au total de la facture",IF(IF(AG70="Facture",COUNTIFS(fl_doc,A70,fl_check,"&lt;&gt;OK"),IF(AG70="Devis",COUNTIFS(dl_doc,F70,dl_check,"&lt;&gt;OK"),0))&gt;0,"Ligne(s) à corriger",IF(AND(W70&lt;&gt;"",N(W70)&lt;0),"Trop-perçu : vérifiez paiements et avoirs","OK")))))))))))))))))))))</f>
        <v/>
      </c>
      <c r="AA70" s="62" t="str">
        <f>IF(COUNTA(B70:D70,F70:O70)&gt;0,IF(B70="","Facture",B70),"")</f>
        <v/>
      </c>
      <c r="AB70" s="62" t="str">
        <f>IF(AA70="","",IF(AA70="Avoir",p_pav,IF(AA70="Facture d'acompte",p_pac,p_pfa)))</f>
        <v/>
      </c>
      <c r="AC70" s="62">
        <f>IF(ISNUMBER(C70),C70,0)</f>
        <v>0.0</v>
      </c>
      <c r="AD70" s="62" t="str">
        <f>IF(OR(AA70="",AC70=0),"",YEAR(AC70))</f>
        <v/>
      </c>
      <c r="AE70" s="62" t="str">
        <f>IF(AD70="","",COUNTIFS($AB$6:AB70,AB70,$AD$6:AD70,AD70))</f>
        <v/>
      </c>
      <c r="AF70" s="62">
        <f>IF(A70="",0,COUNTIF(fl_doc,A70))</f>
        <v>0.0</v>
      </c>
      <c r="AG70" s="62" t="str">
        <f>IF(A70="","",IF(AF70&gt;0,"Facture",IF(AND(F70&lt;&gt;"",AA70="Facture",ISNUMBER(MATCH(F70,dv_num,0))),"Devis","")))</f>
        <v/>
      </c>
      <c r="AH70" s="62" t="str">
        <f>IF(AND(A70&lt;&gt;"",F70&lt;&gt;"",AA70&lt;&gt;"Avoir"),F70,"")</f>
        <v/>
      </c>
      <c r="AI70" s="62" t="str">
        <f>IF(AG70="Devis",F70,"")</f>
        <v/>
      </c>
      <c r="AJ70" s="62">
        <f>IF(AG70="Facture",SUMIF(fl_doc,A70,fl_ht),IF(AG70="Devis",SUMIF(dl_doc,F70,dl_ht),0))</f>
        <v>0.0</v>
      </c>
      <c r="AK70" s="62">
        <f>IF(OR(AG70="",INDEX(p_rates,1)=""),0,IF(AG70="Facture",SUMIFS(fl_ht,fl_doc,A70,fl_rate,INDEX(p_rates,1)),SUMIFS(dl_ht,dl_doc,F70,dl_rate,INDEX(p_rates,1))))</f>
        <v>0.0</v>
      </c>
      <c r="AL70" s="62">
        <f>IF(OR(AG70="",INDEX(p_rates,2)=""),0,IF(AG70="Facture",SUMIFS(fl_ht,fl_doc,A70,fl_rate,INDEX(p_rates,2)),SUMIFS(dl_ht,dl_doc,F70,dl_rate,INDEX(p_rates,2))))</f>
        <v>0.0</v>
      </c>
      <c r="AM70" s="62">
        <f>IF(OR(AG70="",INDEX(p_rates,3)=""),0,IF(AG70="Facture",SUMIFS(fl_ht,fl_doc,A70,fl_rate,INDEX(p_rates,3)),SUMIFS(dl_ht,dl_doc,F70,dl_rate,INDEX(p_rates,3))))</f>
        <v>0.0</v>
      </c>
      <c r="AN70" s="62">
        <f>IF(OR(AG70="",INDEX(p_rates,4)=""),0,IF(AG70="Facture",SUMIFS(fl_ht,fl_doc,A70,fl_rate,INDEX(p_rates,4)),SUMIFS(dl_ht,dl_doc,F70,dl_rate,INDEX(p_rates,4))))</f>
        <v>0.0</v>
      </c>
      <c r="AO70" s="62">
        <f>IF(OR(AG70="",INDEX(p_rates,5)=""),0,IF(AG70="Facture",SUMIFS(fl_ht,fl_doc,A70,fl_rate,INDEX(p_rates,5)),SUMIFS(dl_ht,dl_doc,F70,dl_rate,INDEX(p_rates,5))))</f>
        <v>0.0</v>
      </c>
      <c r="AP70" s="62">
        <f>IF(OR(AG70="",INDEX(p_rates,6)=""),0,IF(AG70="Facture",SUMIFS(fl_ht,fl_doc,A70,fl_rate,INDEX(p_rates,6)),SUMIFS(dl_ht,dl_doc,F70,dl_rate,INDEX(p_rates,6))))</f>
        <v>0.0</v>
      </c>
      <c r="AQ70" s="62">
        <f>ROUND(AK70*N(INDEX(p_rates,1)),2)+ROUND(AL70*N(INDEX(p_rates,2)),2)+ROUND(AM70*N(INDEX(p_rates,3)),2)+ROUND(AN70*N(INDEX(p_rates,4)),2)+ROUND(AO70*N(INDEX(p_rates,5)),2)+ROUND(AP70*N(INDEX(p_rates,6)),2)</f>
        <v>0.0</v>
      </c>
      <c r="AR70" s="62" t="str">
        <f>IF(OR(L70="",AA70&lt;&gt;"Facture"),"",IFERROR(IF(INDEX(fa_type,MATCH(L70,fa_num,0))="Facture d'acompte",MATCH(L70,fa_num,0),""),""))</f>
        <v/>
      </c>
      <c r="AS70" s="62" t="str">
        <f>IF(W70="","",IF(W70&lt;=0,"",IF(p_asof-P70&lt;=0,"Non échu",IF(p_asof-P70&lt;=30,"1-30 j",IF(p_asof-P70&lt;=60,"31-60 j",IF(p_asof-P70&lt;=90,"61-90 j","Plus de 90 j"))))))</f>
        <v/>
      </c>
      <c r="AT70" s="62" t="str">
        <f>IF(AS70="","",p_asof-P70)</f>
        <v/>
      </c>
      <c r="AU70" s="62" t="str">
        <f>IF(AT70="","",COUNTIF($AT$6:$AT$805,"&gt;"&amp;AT70)+COUNTIF($AT$6:AT70,AT70))</f>
        <v/>
      </c>
    </row>
    <row r="71">
      <c r="A71" s="59" t="str">
        <f>IF(AE71="","",AB71&amp;"-"&amp;AD71&amp;"-"&amp;RIGHT("000"&amp;AE71,4))</f>
        <v/>
      </c>
      <c r="B71" s="60" t="n"/>
      <c r="C71" s="61" t="n"/>
      <c r="D71" s="60" t="n"/>
      <c r="E71" s="62" t="str">
        <f>IF(D71="","",IFERROR(INDEX(cli_name,MATCH(D71,cli_code,0))&amp;"","Client inconnu"))</f>
        <v/>
      </c>
      <c r="F71" s="60" t="n"/>
      <c r="G71" s="63" t="n"/>
      <c r="H71" s="61" t="n"/>
      <c r="I71" s="63" t="n"/>
      <c r="J71" s="60" t="n"/>
      <c r="K71" s="61" t="n"/>
      <c r="L71" s="60" t="n"/>
      <c r="M71" s="60" t="n"/>
      <c r="N71" s="60" t="n"/>
      <c r="O71" s="61" t="n"/>
      <c r="P71" s="64" t="str">
        <f>IF(A71="","",IF(AA71="Avoir",AC71,IF(ISNUMBER(K71),K71,AC71+IF(D71="",N(p_delay),IFERROR(IF(ISNUMBER(INDEX(cli_delay,MATCH(D71,cli_code,0))),INDEX(cli_delay,MATCH(D71,cli_code,0)),N(p_delay)),N(p_delay))))))</f>
        <v/>
      </c>
      <c r="Q71" s="65" t="str">
        <f>IF(A71="","",IF(AA71="Avoir",-1,1)*ROUND(AJ71-IF(AR71="",0,INDEX(fa_htb,AR71)),2))</f>
        <v/>
      </c>
      <c r="R71" s="65" t="str">
        <f>IF(A71="","",IF(AA71="Avoir",-1,1)*ROUND(AQ71-IF(AR71="",0,INDEX(fa_tvab,AR71)),2))</f>
        <v/>
      </c>
      <c r="S71" s="65" t="str">
        <f>IF(A71="","",Q71+R71)</f>
        <v/>
      </c>
      <c r="T71" s="65" t="str">
        <f>IF(AR71="","",INDEX(fa_htb,AR71)+INDEX(fa_tvab,AR71))</f>
        <v/>
      </c>
      <c r="U71" s="65" t="str">
        <f>IF(A71="","",SUMIF(pa_inv,A71,pa_amt))</f>
        <v/>
      </c>
      <c r="V71" s="65" t="str">
        <f>IF(OR(A71="",AA71="Avoir"),"",-SUMIFS(fa_ttc,fa_avof,A71,fa_type,"Avoir"))</f>
        <v/>
      </c>
      <c r="W71" s="65" t="str">
        <f>IF(OR(A71="",AA71="Avoir"),"",ROUND(S71-U71-V71,2))</f>
        <v/>
      </c>
      <c r="X71" s="66" t="str">
        <f>IF(W71="","",IF(AND(W71&gt;0,p_asof&gt;P71),p_asof-P71,""))</f>
        <v/>
      </c>
      <c r="Y71" s="59" t="str">
        <f>IF(A71="","",IF(AA71="Avoir","Avoir",IF(W71&lt;0,"Trop-perçu",IF(W71=0,"Soldée",IF(p_asof&gt;P71,"En retard",IF(U71+V71&gt;0,"Partielle","À échoir"))))))</f>
        <v/>
      </c>
      <c r="Z71" s="59" t="str">
        <f>IF(NOT(COUNTA(B71:D71,F71:O71)&gt;0),"",IF(C71="","Date manquante",IF(NOT(ISNUMBER(C71)),"Date invalide",IF(D71="","Client manquant",IF(ISNA(MATCH(D71,cli_code,0)),"Client inconnu",IF(AC71&lt;SUMPRODUCT(MAX(($AB$6:AB70=AB71)*$AC$6:AC70)),"Date antérieure à la facture précédente",IF(AND(F71&lt;&gt;"",ISNA(MATCH(F71,dv_num,0))),"Devis inconnu",IF(AND(F71&lt;&gt;"",IFERROR(INDEX(dv_client,MATCH(F71,dv_num,0)),D71)&lt;&gt;D71),"Client différent de celui du devis",IF(AG71="","Aucune ligne : saisissez des lignes ou un devis",IF(AND(AI71&lt;&gt;"",COUNTIF($AI$6:AI71,AI71)&gt;1),"Devis déjà repris par une autre facture",IF(AND(AA71="Avoir",M71=""),"Avoir : indiquez la facture d'origine",IF(AND(AA71="Avoir",ISNA(MATCH(M71,fa_num,0))),"Facture d'origine inconnue",IF(AND(AA71&lt;&gt;"Avoir",M71&lt;&gt;""),"« Avoir sur facture » : réservé aux avoirs",IF(AND(L71&lt;&gt;"",AA71&lt;&gt;"Facture"),"Acompte à déduire : réservé aux factures",IF(AND(L71&lt;&gt;"",ISNA(MATCH(L71,fa_num,0))),"Facture d'acompte inconnue",IF(AND(L71&lt;&gt;"",IFERROR(INDEX(fa_type,MATCH(L71,fa_num,0)),"")&lt;&gt;"Facture d'acompte"),"Le n° à déduire n'est pas une facture d'acompte",IF(AND(L71&lt;&gt;"",COUNTIF($L$6:L71,L71)&gt;1),"Acompte déjà déduit sur une autre facture",IF(AND(L71&lt;&gt;"",IFERROR(INDEX(fa_client,MATCH(L71,fa_num,0)),D71)&lt;&gt;D71),"Acompte d'un autre client",IF(AND(AR71&lt;&gt;"",N(Q71)&lt;0),"Acompte supérieur au total de la facture",IF(IF(AG71="Facture",COUNTIFS(fl_doc,A71,fl_check,"&lt;&gt;OK"),IF(AG71="Devis",COUNTIFS(dl_doc,F71,dl_check,"&lt;&gt;OK"),0))&gt;0,"Ligne(s) à corriger",IF(AND(W71&lt;&gt;"",N(W71)&lt;0),"Trop-perçu : vérifiez paiements et avoirs","OK")))))))))))))))))))))</f>
        <v/>
      </c>
      <c r="AA71" s="62" t="str">
        <f>IF(COUNTA(B71:D71,F71:O71)&gt;0,IF(B71="","Facture",B71),"")</f>
        <v/>
      </c>
      <c r="AB71" s="62" t="str">
        <f>IF(AA71="","",IF(AA71="Avoir",p_pav,IF(AA71="Facture d'acompte",p_pac,p_pfa)))</f>
        <v/>
      </c>
      <c r="AC71" s="62">
        <f>IF(ISNUMBER(C71),C71,0)</f>
        <v>0.0</v>
      </c>
      <c r="AD71" s="62" t="str">
        <f>IF(OR(AA71="",AC71=0),"",YEAR(AC71))</f>
        <v/>
      </c>
      <c r="AE71" s="62" t="str">
        <f>IF(AD71="","",COUNTIFS($AB$6:AB71,AB71,$AD$6:AD71,AD71))</f>
        <v/>
      </c>
      <c r="AF71" s="62">
        <f>IF(A71="",0,COUNTIF(fl_doc,A71))</f>
        <v>0.0</v>
      </c>
      <c r="AG71" s="62" t="str">
        <f>IF(A71="","",IF(AF71&gt;0,"Facture",IF(AND(F71&lt;&gt;"",AA71="Facture",ISNUMBER(MATCH(F71,dv_num,0))),"Devis","")))</f>
        <v/>
      </c>
      <c r="AH71" s="62" t="str">
        <f>IF(AND(A71&lt;&gt;"",F71&lt;&gt;"",AA71&lt;&gt;"Avoir"),F71,"")</f>
        <v/>
      </c>
      <c r="AI71" s="62" t="str">
        <f>IF(AG71="Devis",F71,"")</f>
        <v/>
      </c>
      <c r="AJ71" s="62">
        <f>IF(AG71="Facture",SUMIF(fl_doc,A71,fl_ht),IF(AG71="Devis",SUMIF(dl_doc,F71,dl_ht),0))</f>
        <v>0.0</v>
      </c>
      <c r="AK71" s="62">
        <f>IF(OR(AG71="",INDEX(p_rates,1)=""),0,IF(AG71="Facture",SUMIFS(fl_ht,fl_doc,A71,fl_rate,INDEX(p_rates,1)),SUMIFS(dl_ht,dl_doc,F71,dl_rate,INDEX(p_rates,1))))</f>
        <v>0.0</v>
      </c>
      <c r="AL71" s="62">
        <f>IF(OR(AG71="",INDEX(p_rates,2)=""),0,IF(AG71="Facture",SUMIFS(fl_ht,fl_doc,A71,fl_rate,INDEX(p_rates,2)),SUMIFS(dl_ht,dl_doc,F71,dl_rate,INDEX(p_rates,2))))</f>
        <v>0.0</v>
      </c>
      <c r="AM71" s="62">
        <f>IF(OR(AG71="",INDEX(p_rates,3)=""),0,IF(AG71="Facture",SUMIFS(fl_ht,fl_doc,A71,fl_rate,INDEX(p_rates,3)),SUMIFS(dl_ht,dl_doc,F71,dl_rate,INDEX(p_rates,3))))</f>
        <v>0.0</v>
      </c>
      <c r="AN71" s="62">
        <f>IF(OR(AG71="",INDEX(p_rates,4)=""),0,IF(AG71="Facture",SUMIFS(fl_ht,fl_doc,A71,fl_rate,INDEX(p_rates,4)),SUMIFS(dl_ht,dl_doc,F71,dl_rate,INDEX(p_rates,4))))</f>
        <v>0.0</v>
      </c>
      <c r="AO71" s="62">
        <f>IF(OR(AG71="",INDEX(p_rates,5)=""),0,IF(AG71="Facture",SUMIFS(fl_ht,fl_doc,A71,fl_rate,INDEX(p_rates,5)),SUMIFS(dl_ht,dl_doc,F71,dl_rate,INDEX(p_rates,5))))</f>
        <v>0.0</v>
      </c>
      <c r="AP71" s="62">
        <f>IF(OR(AG71="",INDEX(p_rates,6)=""),0,IF(AG71="Facture",SUMIFS(fl_ht,fl_doc,A71,fl_rate,INDEX(p_rates,6)),SUMIFS(dl_ht,dl_doc,F71,dl_rate,INDEX(p_rates,6))))</f>
        <v>0.0</v>
      </c>
      <c r="AQ71" s="62">
        <f>ROUND(AK71*N(INDEX(p_rates,1)),2)+ROUND(AL71*N(INDEX(p_rates,2)),2)+ROUND(AM71*N(INDEX(p_rates,3)),2)+ROUND(AN71*N(INDEX(p_rates,4)),2)+ROUND(AO71*N(INDEX(p_rates,5)),2)+ROUND(AP71*N(INDEX(p_rates,6)),2)</f>
        <v>0.0</v>
      </c>
      <c r="AR71" s="62" t="str">
        <f>IF(OR(L71="",AA71&lt;&gt;"Facture"),"",IFERROR(IF(INDEX(fa_type,MATCH(L71,fa_num,0))="Facture d'acompte",MATCH(L71,fa_num,0),""),""))</f>
        <v/>
      </c>
      <c r="AS71" s="62" t="str">
        <f>IF(W71="","",IF(W71&lt;=0,"",IF(p_asof-P71&lt;=0,"Non échu",IF(p_asof-P71&lt;=30,"1-30 j",IF(p_asof-P71&lt;=60,"31-60 j",IF(p_asof-P71&lt;=90,"61-90 j","Plus de 90 j"))))))</f>
        <v/>
      </c>
      <c r="AT71" s="62" t="str">
        <f>IF(AS71="","",p_asof-P71)</f>
        <v/>
      </c>
      <c r="AU71" s="62" t="str">
        <f>IF(AT71="","",COUNTIF($AT$6:$AT$805,"&gt;"&amp;AT71)+COUNTIF($AT$6:AT71,AT71))</f>
        <v/>
      </c>
    </row>
    <row r="72">
      <c r="A72" s="59" t="str">
        <f>IF(AE72="","",AB72&amp;"-"&amp;AD72&amp;"-"&amp;RIGHT("000"&amp;AE72,4))</f>
        <v/>
      </c>
      <c r="B72" s="60" t="n"/>
      <c r="C72" s="61" t="n"/>
      <c r="D72" s="60" t="n"/>
      <c r="E72" s="62" t="str">
        <f>IF(D72="","",IFERROR(INDEX(cli_name,MATCH(D72,cli_code,0))&amp;"","Client inconnu"))</f>
        <v/>
      </c>
      <c r="F72" s="60" t="n"/>
      <c r="G72" s="63" t="n"/>
      <c r="H72" s="61" t="n"/>
      <c r="I72" s="63" t="n"/>
      <c r="J72" s="60" t="n"/>
      <c r="K72" s="61" t="n"/>
      <c r="L72" s="60" t="n"/>
      <c r="M72" s="60" t="n"/>
      <c r="N72" s="60" t="n"/>
      <c r="O72" s="61" t="n"/>
      <c r="P72" s="64" t="str">
        <f>IF(A72="","",IF(AA72="Avoir",AC72,IF(ISNUMBER(K72),K72,AC72+IF(D72="",N(p_delay),IFERROR(IF(ISNUMBER(INDEX(cli_delay,MATCH(D72,cli_code,0))),INDEX(cli_delay,MATCH(D72,cli_code,0)),N(p_delay)),N(p_delay))))))</f>
        <v/>
      </c>
      <c r="Q72" s="65" t="str">
        <f>IF(A72="","",IF(AA72="Avoir",-1,1)*ROUND(AJ72-IF(AR72="",0,INDEX(fa_htb,AR72)),2))</f>
        <v/>
      </c>
      <c r="R72" s="65" t="str">
        <f>IF(A72="","",IF(AA72="Avoir",-1,1)*ROUND(AQ72-IF(AR72="",0,INDEX(fa_tvab,AR72)),2))</f>
        <v/>
      </c>
      <c r="S72" s="65" t="str">
        <f>IF(A72="","",Q72+R72)</f>
        <v/>
      </c>
      <c r="T72" s="65" t="str">
        <f>IF(AR72="","",INDEX(fa_htb,AR72)+INDEX(fa_tvab,AR72))</f>
        <v/>
      </c>
      <c r="U72" s="65" t="str">
        <f>IF(A72="","",SUMIF(pa_inv,A72,pa_amt))</f>
        <v/>
      </c>
      <c r="V72" s="65" t="str">
        <f>IF(OR(A72="",AA72="Avoir"),"",-SUMIFS(fa_ttc,fa_avof,A72,fa_type,"Avoir"))</f>
        <v/>
      </c>
      <c r="W72" s="65" t="str">
        <f>IF(OR(A72="",AA72="Avoir"),"",ROUND(S72-U72-V72,2))</f>
        <v/>
      </c>
      <c r="X72" s="66" t="str">
        <f>IF(W72="","",IF(AND(W72&gt;0,p_asof&gt;P72),p_asof-P72,""))</f>
        <v/>
      </c>
      <c r="Y72" s="59" t="str">
        <f>IF(A72="","",IF(AA72="Avoir","Avoir",IF(W72&lt;0,"Trop-perçu",IF(W72=0,"Soldée",IF(p_asof&gt;P72,"En retard",IF(U72+V72&gt;0,"Partielle","À échoir"))))))</f>
        <v/>
      </c>
      <c r="Z72" s="59" t="str">
        <f>IF(NOT(COUNTA(B72:D72,F72:O72)&gt;0),"",IF(C72="","Date manquante",IF(NOT(ISNUMBER(C72)),"Date invalide",IF(D72="","Client manquant",IF(ISNA(MATCH(D72,cli_code,0)),"Client inconnu",IF(AC72&lt;SUMPRODUCT(MAX(($AB$6:AB71=AB72)*$AC$6:AC71)),"Date antérieure à la facture précédente",IF(AND(F72&lt;&gt;"",ISNA(MATCH(F72,dv_num,0))),"Devis inconnu",IF(AND(F72&lt;&gt;"",IFERROR(INDEX(dv_client,MATCH(F72,dv_num,0)),D72)&lt;&gt;D72),"Client différent de celui du devis",IF(AG72="","Aucune ligne : saisissez des lignes ou un devis",IF(AND(AI72&lt;&gt;"",COUNTIF($AI$6:AI72,AI72)&gt;1),"Devis déjà repris par une autre facture",IF(AND(AA72="Avoir",M72=""),"Avoir : indiquez la facture d'origine",IF(AND(AA72="Avoir",ISNA(MATCH(M72,fa_num,0))),"Facture d'origine inconnue",IF(AND(AA72&lt;&gt;"Avoir",M72&lt;&gt;""),"« Avoir sur facture » : réservé aux avoirs",IF(AND(L72&lt;&gt;"",AA72&lt;&gt;"Facture"),"Acompte à déduire : réservé aux factures",IF(AND(L72&lt;&gt;"",ISNA(MATCH(L72,fa_num,0))),"Facture d'acompte inconnue",IF(AND(L72&lt;&gt;"",IFERROR(INDEX(fa_type,MATCH(L72,fa_num,0)),"")&lt;&gt;"Facture d'acompte"),"Le n° à déduire n'est pas une facture d'acompte",IF(AND(L72&lt;&gt;"",COUNTIF($L$6:L72,L72)&gt;1),"Acompte déjà déduit sur une autre facture",IF(AND(L72&lt;&gt;"",IFERROR(INDEX(fa_client,MATCH(L72,fa_num,0)),D72)&lt;&gt;D72),"Acompte d'un autre client",IF(AND(AR72&lt;&gt;"",N(Q72)&lt;0),"Acompte supérieur au total de la facture",IF(IF(AG72="Facture",COUNTIFS(fl_doc,A72,fl_check,"&lt;&gt;OK"),IF(AG72="Devis",COUNTIFS(dl_doc,F72,dl_check,"&lt;&gt;OK"),0))&gt;0,"Ligne(s) à corriger",IF(AND(W72&lt;&gt;"",N(W72)&lt;0),"Trop-perçu : vérifiez paiements et avoirs","OK")))))))))))))))))))))</f>
        <v/>
      </c>
      <c r="AA72" s="62" t="str">
        <f>IF(COUNTA(B72:D72,F72:O72)&gt;0,IF(B72="","Facture",B72),"")</f>
        <v/>
      </c>
      <c r="AB72" s="62" t="str">
        <f>IF(AA72="","",IF(AA72="Avoir",p_pav,IF(AA72="Facture d'acompte",p_pac,p_pfa)))</f>
        <v/>
      </c>
      <c r="AC72" s="62">
        <f>IF(ISNUMBER(C72),C72,0)</f>
        <v>0.0</v>
      </c>
      <c r="AD72" s="62" t="str">
        <f>IF(OR(AA72="",AC72=0),"",YEAR(AC72))</f>
        <v/>
      </c>
      <c r="AE72" s="62" t="str">
        <f>IF(AD72="","",COUNTIFS($AB$6:AB72,AB72,$AD$6:AD72,AD72))</f>
        <v/>
      </c>
      <c r="AF72" s="62">
        <f>IF(A72="",0,COUNTIF(fl_doc,A72))</f>
        <v>0.0</v>
      </c>
      <c r="AG72" s="62" t="str">
        <f>IF(A72="","",IF(AF72&gt;0,"Facture",IF(AND(F72&lt;&gt;"",AA72="Facture",ISNUMBER(MATCH(F72,dv_num,0))),"Devis","")))</f>
        <v/>
      </c>
      <c r="AH72" s="62" t="str">
        <f>IF(AND(A72&lt;&gt;"",F72&lt;&gt;"",AA72&lt;&gt;"Avoir"),F72,"")</f>
        <v/>
      </c>
      <c r="AI72" s="62" t="str">
        <f>IF(AG72="Devis",F72,"")</f>
        <v/>
      </c>
      <c r="AJ72" s="62">
        <f>IF(AG72="Facture",SUMIF(fl_doc,A72,fl_ht),IF(AG72="Devis",SUMIF(dl_doc,F72,dl_ht),0))</f>
        <v>0.0</v>
      </c>
      <c r="AK72" s="62">
        <f>IF(OR(AG72="",INDEX(p_rates,1)=""),0,IF(AG72="Facture",SUMIFS(fl_ht,fl_doc,A72,fl_rate,INDEX(p_rates,1)),SUMIFS(dl_ht,dl_doc,F72,dl_rate,INDEX(p_rates,1))))</f>
        <v>0.0</v>
      </c>
      <c r="AL72" s="62">
        <f>IF(OR(AG72="",INDEX(p_rates,2)=""),0,IF(AG72="Facture",SUMIFS(fl_ht,fl_doc,A72,fl_rate,INDEX(p_rates,2)),SUMIFS(dl_ht,dl_doc,F72,dl_rate,INDEX(p_rates,2))))</f>
        <v>0.0</v>
      </c>
      <c r="AM72" s="62">
        <f>IF(OR(AG72="",INDEX(p_rates,3)=""),0,IF(AG72="Facture",SUMIFS(fl_ht,fl_doc,A72,fl_rate,INDEX(p_rates,3)),SUMIFS(dl_ht,dl_doc,F72,dl_rate,INDEX(p_rates,3))))</f>
        <v>0.0</v>
      </c>
      <c r="AN72" s="62">
        <f>IF(OR(AG72="",INDEX(p_rates,4)=""),0,IF(AG72="Facture",SUMIFS(fl_ht,fl_doc,A72,fl_rate,INDEX(p_rates,4)),SUMIFS(dl_ht,dl_doc,F72,dl_rate,INDEX(p_rates,4))))</f>
        <v>0.0</v>
      </c>
      <c r="AO72" s="62">
        <f>IF(OR(AG72="",INDEX(p_rates,5)=""),0,IF(AG72="Facture",SUMIFS(fl_ht,fl_doc,A72,fl_rate,INDEX(p_rates,5)),SUMIFS(dl_ht,dl_doc,F72,dl_rate,INDEX(p_rates,5))))</f>
        <v>0.0</v>
      </c>
      <c r="AP72" s="62">
        <f>IF(OR(AG72="",INDEX(p_rates,6)=""),0,IF(AG72="Facture",SUMIFS(fl_ht,fl_doc,A72,fl_rate,INDEX(p_rates,6)),SUMIFS(dl_ht,dl_doc,F72,dl_rate,INDEX(p_rates,6))))</f>
        <v>0.0</v>
      </c>
      <c r="AQ72" s="62">
        <f>ROUND(AK72*N(INDEX(p_rates,1)),2)+ROUND(AL72*N(INDEX(p_rates,2)),2)+ROUND(AM72*N(INDEX(p_rates,3)),2)+ROUND(AN72*N(INDEX(p_rates,4)),2)+ROUND(AO72*N(INDEX(p_rates,5)),2)+ROUND(AP72*N(INDEX(p_rates,6)),2)</f>
        <v>0.0</v>
      </c>
      <c r="AR72" s="62" t="str">
        <f>IF(OR(L72="",AA72&lt;&gt;"Facture"),"",IFERROR(IF(INDEX(fa_type,MATCH(L72,fa_num,0))="Facture d'acompte",MATCH(L72,fa_num,0),""),""))</f>
        <v/>
      </c>
      <c r="AS72" s="62" t="str">
        <f>IF(W72="","",IF(W72&lt;=0,"",IF(p_asof-P72&lt;=0,"Non échu",IF(p_asof-P72&lt;=30,"1-30 j",IF(p_asof-P72&lt;=60,"31-60 j",IF(p_asof-P72&lt;=90,"61-90 j","Plus de 90 j"))))))</f>
        <v/>
      </c>
      <c r="AT72" s="62" t="str">
        <f>IF(AS72="","",p_asof-P72)</f>
        <v/>
      </c>
      <c r="AU72" s="62" t="str">
        <f>IF(AT72="","",COUNTIF($AT$6:$AT$805,"&gt;"&amp;AT72)+COUNTIF($AT$6:AT72,AT72))</f>
        <v/>
      </c>
    </row>
    <row r="73">
      <c r="A73" s="59" t="str">
        <f>IF(AE73="","",AB73&amp;"-"&amp;AD73&amp;"-"&amp;RIGHT("000"&amp;AE73,4))</f>
        <v/>
      </c>
      <c r="B73" s="60" t="n"/>
      <c r="C73" s="61" t="n"/>
      <c r="D73" s="60" t="n"/>
      <c r="E73" s="62" t="str">
        <f>IF(D73="","",IFERROR(INDEX(cli_name,MATCH(D73,cli_code,0))&amp;"","Client inconnu"))</f>
        <v/>
      </c>
      <c r="F73" s="60" t="n"/>
      <c r="G73" s="63" t="n"/>
      <c r="H73" s="61" t="n"/>
      <c r="I73" s="63" t="n"/>
      <c r="J73" s="60" t="n"/>
      <c r="K73" s="61" t="n"/>
      <c r="L73" s="60" t="n"/>
      <c r="M73" s="60" t="n"/>
      <c r="N73" s="60" t="n"/>
      <c r="O73" s="61" t="n"/>
      <c r="P73" s="64" t="str">
        <f>IF(A73="","",IF(AA73="Avoir",AC73,IF(ISNUMBER(K73),K73,AC73+IF(D73="",N(p_delay),IFERROR(IF(ISNUMBER(INDEX(cli_delay,MATCH(D73,cli_code,0))),INDEX(cli_delay,MATCH(D73,cli_code,0)),N(p_delay)),N(p_delay))))))</f>
        <v/>
      </c>
      <c r="Q73" s="65" t="str">
        <f>IF(A73="","",IF(AA73="Avoir",-1,1)*ROUND(AJ73-IF(AR73="",0,INDEX(fa_htb,AR73)),2))</f>
        <v/>
      </c>
      <c r="R73" s="65" t="str">
        <f>IF(A73="","",IF(AA73="Avoir",-1,1)*ROUND(AQ73-IF(AR73="",0,INDEX(fa_tvab,AR73)),2))</f>
        <v/>
      </c>
      <c r="S73" s="65" t="str">
        <f>IF(A73="","",Q73+R73)</f>
        <v/>
      </c>
      <c r="T73" s="65" t="str">
        <f>IF(AR73="","",INDEX(fa_htb,AR73)+INDEX(fa_tvab,AR73))</f>
        <v/>
      </c>
      <c r="U73" s="65" t="str">
        <f>IF(A73="","",SUMIF(pa_inv,A73,pa_amt))</f>
        <v/>
      </c>
      <c r="V73" s="65" t="str">
        <f>IF(OR(A73="",AA73="Avoir"),"",-SUMIFS(fa_ttc,fa_avof,A73,fa_type,"Avoir"))</f>
        <v/>
      </c>
      <c r="W73" s="65" t="str">
        <f>IF(OR(A73="",AA73="Avoir"),"",ROUND(S73-U73-V73,2))</f>
        <v/>
      </c>
      <c r="X73" s="66" t="str">
        <f>IF(W73="","",IF(AND(W73&gt;0,p_asof&gt;P73),p_asof-P73,""))</f>
        <v/>
      </c>
      <c r="Y73" s="59" t="str">
        <f>IF(A73="","",IF(AA73="Avoir","Avoir",IF(W73&lt;0,"Trop-perçu",IF(W73=0,"Soldée",IF(p_asof&gt;P73,"En retard",IF(U73+V73&gt;0,"Partielle","À échoir"))))))</f>
        <v/>
      </c>
      <c r="Z73" s="59" t="str">
        <f>IF(NOT(COUNTA(B73:D73,F73:O73)&gt;0),"",IF(C73="","Date manquante",IF(NOT(ISNUMBER(C73)),"Date invalide",IF(D73="","Client manquant",IF(ISNA(MATCH(D73,cli_code,0)),"Client inconnu",IF(AC73&lt;SUMPRODUCT(MAX(($AB$6:AB72=AB73)*$AC$6:AC72)),"Date antérieure à la facture précédente",IF(AND(F73&lt;&gt;"",ISNA(MATCH(F73,dv_num,0))),"Devis inconnu",IF(AND(F73&lt;&gt;"",IFERROR(INDEX(dv_client,MATCH(F73,dv_num,0)),D73)&lt;&gt;D73),"Client différent de celui du devis",IF(AG73="","Aucune ligne : saisissez des lignes ou un devis",IF(AND(AI73&lt;&gt;"",COUNTIF($AI$6:AI73,AI73)&gt;1),"Devis déjà repris par une autre facture",IF(AND(AA73="Avoir",M73=""),"Avoir : indiquez la facture d'origine",IF(AND(AA73="Avoir",ISNA(MATCH(M73,fa_num,0))),"Facture d'origine inconnue",IF(AND(AA73&lt;&gt;"Avoir",M73&lt;&gt;""),"« Avoir sur facture » : réservé aux avoirs",IF(AND(L73&lt;&gt;"",AA73&lt;&gt;"Facture"),"Acompte à déduire : réservé aux factures",IF(AND(L73&lt;&gt;"",ISNA(MATCH(L73,fa_num,0))),"Facture d'acompte inconnue",IF(AND(L73&lt;&gt;"",IFERROR(INDEX(fa_type,MATCH(L73,fa_num,0)),"")&lt;&gt;"Facture d'acompte"),"Le n° à déduire n'est pas une facture d'acompte",IF(AND(L73&lt;&gt;"",COUNTIF($L$6:L73,L73)&gt;1),"Acompte déjà déduit sur une autre facture",IF(AND(L73&lt;&gt;"",IFERROR(INDEX(fa_client,MATCH(L73,fa_num,0)),D73)&lt;&gt;D73),"Acompte d'un autre client",IF(AND(AR73&lt;&gt;"",N(Q73)&lt;0),"Acompte supérieur au total de la facture",IF(IF(AG73="Facture",COUNTIFS(fl_doc,A73,fl_check,"&lt;&gt;OK"),IF(AG73="Devis",COUNTIFS(dl_doc,F73,dl_check,"&lt;&gt;OK"),0))&gt;0,"Ligne(s) à corriger",IF(AND(W73&lt;&gt;"",N(W73)&lt;0),"Trop-perçu : vérifiez paiements et avoirs","OK")))))))))))))))))))))</f>
        <v/>
      </c>
      <c r="AA73" s="62" t="str">
        <f>IF(COUNTA(B73:D73,F73:O73)&gt;0,IF(B73="","Facture",B73),"")</f>
        <v/>
      </c>
      <c r="AB73" s="62" t="str">
        <f>IF(AA73="","",IF(AA73="Avoir",p_pav,IF(AA73="Facture d'acompte",p_pac,p_pfa)))</f>
        <v/>
      </c>
      <c r="AC73" s="62">
        <f>IF(ISNUMBER(C73),C73,0)</f>
        <v>0.0</v>
      </c>
      <c r="AD73" s="62" t="str">
        <f>IF(OR(AA73="",AC73=0),"",YEAR(AC73))</f>
        <v/>
      </c>
      <c r="AE73" s="62" t="str">
        <f>IF(AD73="","",COUNTIFS($AB$6:AB73,AB73,$AD$6:AD73,AD73))</f>
        <v/>
      </c>
      <c r="AF73" s="62">
        <f>IF(A73="",0,COUNTIF(fl_doc,A73))</f>
        <v>0.0</v>
      </c>
      <c r="AG73" s="62" t="str">
        <f>IF(A73="","",IF(AF73&gt;0,"Facture",IF(AND(F73&lt;&gt;"",AA73="Facture",ISNUMBER(MATCH(F73,dv_num,0))),"Devis","")))</f>
        <v/>
      </c>
      <c r="AH73" s="62" t="str">
        <f>IF(AND(A73&lt;&gt;"",F73&lt;&gt;"",AA73&lt;&gt;"Avoir"),F73,"")</f>
        <v/>
      </c>
      <c r="AI73" s="62" t="str">
        <f>IF(AG73="Devis",F73,"")</f>
        <v/>
      </c>
      <c r="AJ73" s="62">
        <f>IF(AG73="Facture",SUMIF(fl_doc,A73,fl_ht),IF(AG73="Devis",SUMIF(dl_doc,F73,dl_ht),0))</f>
        <v>0.0</v>
      </c>
      <c r="AK73" s="62">
        <f>IF(OR(AG73="",INDEX(p_rates,1)=""),0,IF(AG73="Facture",SUMIFS(fl_ht,fl_doc,A73,fl_rate,INDEX(p_rates,1)),SUMIFS(dl_ht,dl_doc,F73,dl_rate,INDEX(p_rates,1))))</f>
        <v>0.0</v>
      </c>
      <c r="AL73" s="62">
        <f>IF(OR(AG73="",INDEX(p_rates,2)=""),0,IF(AG73="Facture",SUMIFS(fl_ht,fl_doc,A73,fl_rate,INDEX(p_rates,2)),SUMIFS(dl_ht,dl_doc,F73,dl_rate,INDEX(p_rates,2))))</f>
        <v>0.0</v>
      </c>
      <c r="AM73" s="62">
        <f>IF(OR(AG73="",INDEX(p_rates,3)=""),0,IF(AG73="Facture",SUMIFS(fl_ht,fl_doc,A73,fl_rate,INDEX(p_rates,3)),SUMIFS(dl_ht,dl_doc,F73,dl_rate,INDEX(p_rates,3))))</f>
        <v>0.0</v>
      </c>
      <c r="AN73" s="62">
        <f>IF(OR(AG73="",INDEX(p_rates,4)=""),0,IF(AG73="Facture",SUMIFS(fl_ht,fl_doc,A73,fl_rate,INDEX(p_rates,4)),SUMIFS(dl_ht,dl_doc,F73,dl_rate,INDEX(p_rates,4))))</f>
        <v>0.0</v>
      </c>
      <c r="AO73" s="62">
        <f>IF(OR(AG73="",INDEX(p_rates,5)=""),0,IF(AG73="Facture",SUMIFS(fl_ht,fl_doc,A73,fl_rate,INDEX(p_rates,5)),SUMIFS(dl_ht,dl_doc,F73,dl_rate,INDEX(p_rates,5))))</f>
        <v>0.0</v>
      </c>
      <c r="AP73" s="62">
        <f>IF(OR(AG73="",INDEX(p_rates,6)=""),0,IF(AG73="Facture",SUMIFS(fl_ht,fl_doc,A73,fl_rate,INDEX(p_rates,6)),SUMIFS(dl_ht,dl_doc,F73,dl_rate,INDEX(p_rates,6))))</f>
        <v>0.0</v>
      </c>
      <c r="AQ73" s="62">
        <f>ROUND(AK73*N(INDEX(p_rates,1)),2)+ROUND(AL73*N(INDEX(p_rates,2)),2)+ROUND(AM73*N(INDEX(p_rates,3)),2)+ROUND(AN73*N(INDEX(p_rates,4)),2)+ROUND(AO73*N(INDEX(p_rates,5)),2)+ROUND(AP73*N(INDEX(p_rates,6)),2)</f>
        <v>0.0</v>
      </c>
      <c r="AR73" s="62" t="str">
        <f>IF(OR(L73="",AA73&lt;&gt;"Facture"),"",IFERROR(IF(INDEX(fa_type,MATCH(L73,fa_num,0))="Facture d'acompte",MATCH(L73,fa_num,0),""),""))</f>
        <v/>
      </c>
      <c r="AS73" s="62" t="str">
        <f>IF(W73="","",IF(W73&lt;=0,"",IF(p_asof-P73&lt;=0,"Non échu",IF(p_asof-P73&lt;=30,"1-30 j",IF(p_asof-P73&lt;=60,"31-60 j",IF(p_asof-P73&lt;=90,"61-90 j","Plus de 90 j"))))))</f>
        <v/>
      </c>
      <c r="AT73" s="62" t="str">
        <f>IF(AS73="","",p_asof-P73)</f>
        <v/>
      </c>
      <c r="AU73" s="62" t="str">
        <f>IF(AT73="","",COUNTIF($AT$6:$AT$805,"&gt;"&amp;AT73)+COUNTIF($AT$6:AT73,AT73))</f>
        <v/>
      </c>
    </row>
    <row r="74">
      <c r="A74" s="59" t="str">
        <f>IF(AE74="","",AB74&amp;"-"&amp;AD74&amp;"-"&amp;RIGHT("000"&amp;AE74,4))</f>
        <v/>
      </c>
      <c r="B74" s="60" t="n"/>
      <c r="C74" s="61" t="n"/>
      <c r="D74" s="60" t="n"/>
      <c r="E74" s="62" t="str">
        <f>IF(D74="","",IFERROR(INDEX(cli_name,MATCH(D74,cli_code,0))&amp;"","Client inconnu"))</f>
        <v/>
      </c>
      <c r="F74" s="60" t="n"/>
      <c r="G74" s="63" t="n"/>
      <c r="H74" s="61" t="n"/>
      <c r="I74" s="63" t="n"/>
      <c r="J74" s="60" t="n"/>
      <c r="K74" s="61" t="n"/>
      <c r="L74" s="60" t="n"/>
      <c r="M74" s="60" t="n"/>
      <c r="N74" s="60" t="n"/>
      <c r="O74" s="61" t="n"/>
      <c r="P74" s="64" t="str">
        <f>IF(A74="","",IF(AA74="Avoir",AC74,IF(ISNUMBER(K74),K74,AC74+IF(D74="",N(p_delay),IFERROR(IF(ISNUMBER(INDEX(cli_delay,MATCH(D74,cli_code,0))),INDEX(cli_delay,MATCH(D74,cli_code,0)),N(p_delay)),N(p_delay))))))</f>
        <v/>
      </c>
      <c r="Q74" s="65" t="str">
        <f>IF(A74="","",IF(AA74="Avoir",-1,1)*ROUND(AJ74-IF(AR74="",0,INDEX(fa_htb,AR74)),2))</f>
        <v/>
      </c>
      <c r="R74" s="65" t="str">
        <f>IF(A74="","",IF(AA74="Avoir",-1,1)*ROUND(AQ74-IF(AR74="",0,INDEX(fa_tvab,AR74)),2))</f>
        <v/>
      </c>
      <c r="S74" s="65" t="str">
        <f>IF(A74="","",Q74+R74)</f>
        <v/>
      </c>
      <c r="T74" s="65" t="str">
        <f>IF(AR74="","",INDEX(fa_htb,AR74)+INDEX(fa_tvab,AR74))</f>
        <v/>
      </c>
      <c r="U74" s="65" t="str">
        <f>IF(A74="","",SUMIF(pa_inv,A74,pa_amt))</f>
        <v/>
      </c>
      <c r="V74" s="65" t="str">
        <f>IF(OR(A74="",AA74="Avoir"),"",-SUMIFS(fa_ttc,fa_avof,A74,fa_type,"Avoir"))</f>
        <v/>
      </c>
      <c r="W74" s="65" t="str">
        <f>IF(OR(A74="",AA74="Avoir"),"",ROUND(S74-U74-V74,2))</f>
        <v/>
      </c>
      <c r="X74" s="66" t="str">
        <f>IF(W74="","",IF(AND(W74&gt;0,p_asof&gt;P74),p_asof-P74,""))</f>
        <v/>
      </c>
      <c r="Y74" s="59" t="str">
        <f>IF(A74="","",IF(AA74="Avoir","Avoir",IF(W74&lt;0,"Trop-perçu",IF(W74=0,"Soldée",IF(p_asof&gt;P74,"En retard",IF(U74+V74&gt;0,"Partielle","À échoir"))))))</f>
        <v/>
      </c>
      <c r="Z74" s="59" t="str">
        <f>IF(NOT(COUNTA(B74:D74,F74:O74)&gt;0),"",IF(C74="","Date manquante",IF(NOT(ISNUMBER(C74)),"Date invalide",IF(D74="","Client manquant",IF(ISNA(MATCH(D74,cli_code,0)),"Client inconnu",IF(AC74&lt;SUMPRODUCT(MAX(($AB$6:AB73=AB74)*$AC$6:AC73)),"Date antérieure à la facture précédente",IF(AND(F74&lt;&gt;"",ISNA(MATCH(F74,dv_num,0))),"Devis inconnu",IF(AND(F74&lt;&gt;"",IFERROR(INDEX(dv_client,MATCH(F74,dv_num,0)),D74)&lt;&gt;D74),"Client différent de celui du devis",IF(AG74="","Aucune ligne : saisissez des lignes ou un devis",IF(AND(AI74&lt;&gt;"",COUNTIF($AI$6:AI74,AI74)&gt;1),"Devis déjà repris par une autre facture",IF(AND(AA74="Avoir",M74=""),"Avoir : indiquez la facture d'origine",IF(AND(AA74="Avoir",ISNA(MATCH(M74,fa_num,0))),"Facture d'origine inconnue",IF(AND(AA74&lt;&gt;"Avoir",M74&lt;&gt;""),"« Avoir sur facture » : réservé aux avoirs",IF(AND(L74&lt;&gt;"",AA74&lt;&gt;"Facture"),"Acompte à déduire : réservé aux factures",IF(AND(L74&lt;&gt;"",ISNA(MATCH(L74,fa_num,0))),"Facture d'acompte inconnue",IF(AND(L74&lt;&gt;"",IFERROR(INDEX(fa_type,MATCH(L74,fa_num,0)),"")&lt;&gt;"Facture d'acompte"),"Le n° à déduire n'est pas une facture d'acompte",IF(AND(L74&lt;&gt;"",COUNTIF($L$6:L74,L74)&gt;1),"Acompte déjà déduit sur une autre facture",IF(AND(L74&lt;&gt;"",IFERROR(INDEX(fa_client,MATCH(L74,fa_num,0)),D74)&lt;&gt;D74),"Acompte d'un autre client",IF(AND(AR74&lt;&gt;"",N(Q74)&lt;0),"Acompte supérieur au total de la facture",IF(IF(AG74="Facture",COUNTIFS(fl_doc,A74,fl_check,"&lt;&gt;OK"),IF(AG74="Devis",COUNTIFS(dl_doc,F74,dl_check,"&lt;&gt;OK"),0))&gt;0,"Ligne(s) à corriger",IF(AND(W74&lt;&gt;"",N(W74)&lt;0),"Trop-perçu : vérifiez paiements et avoirs","OK")))))))))))))))))))))</f>
        <v/>
      </c>
      <c r="AA74" s="62" t="str">
        <f>IF(COUNTA(B74:D74,F74:O74)&gt;0,IF(B74="","Facture",B74),"")</f>
        <v/>
      </c>
      <c r="AB74" s="62" t="str">
        <f>IF(AA74="","",IF(AA74="Avoir",p_pav,IF(AA74="Facture d'acompte",p_pac,p_pfa)))</f>
        <v/>
      </c>
      <c r="AC74" s="62">
        <f>IF(ISNUMBER(C74),C74,0)</f>
        <v>0.0</v>
      </c>
      <c r="AD74" s="62" t="str">
        <f>IF(OR(AA74="",AC74=0),"",YEAR(AC74))</f>
        <v/>
      </c>
      <c r="AE74" s="62" t="str">
        <f>IF(AD74="","",COUNTIFS($AB$6:AB74,AB74,$AD$6:AD74,AD74))</f>
        <v/>
      </c>
      <c r="AF74" s="62">
        <f>IF(A74="",0,COUNTIF(fl_doc,A74))</f>
        <v>0.0</v>
      </c>
      <c r="AG74" s="62" t="str">
        <f>IF(A74="","",IF(AF74&gt;0,"Facture",IF(AND(F74&lt;&gt;"",AA74="Facture",ISNUMBER(MATCH(F74,dv_num,0))),"Devis","")))</f>
        <v/>
      </c>
      <c r="AH74" s="62" t="str">
        <f>IF(AND(A74&lt;&gt;"",F74&lt;&gt;"",AA74&lt;&gt;"Avoir"),F74,"")</f>
        <v/>
      </c>
      <c r="AI74" s="62" t="str">
        <f>IF(AG74="Devis",F74,"")</f>
        <v/>
      </c>
      <c r="AJ74" s="62">
        <f>IF(AG74="Facture",SUMIF(fl_doc,A74,fl_ht),IF(AG74="Devis",SUMIF(dl_doc,F74,dl_ht),0))</f>
        <v>0.0</v>
      </c>
      <c r="AK74" s="62">
        <f>IF(OR(AG74="",INDEX(p_rates,1)=""),0,IF(AG74="Facture",SUMIFS(fl_ht,fl_doc,A74,fl_rate,INDEX(p_rates,1)),SUMIFS(dl_ht,dl_doc,F74,dl_rate,INDEX(p_rates,1))))</f>
        <v>0.0</v>
      </c>
      <c r="AL74" s="62">
        <f>IF(OR(AG74="",INDEX(p_rates,2)=""),0,IF(AG74="Facture",SUMIFS(fl_ht,fl_doc,A74,fl_rate,INDEX(p_rates,2)),SUMIFS(dl_ht,dl_doc,F74,dl_rate,INDEX(p_rates,2))))</f>
        <v>0.0</v>
      </c>
      <c r="AM74" s="62">
        <f>IF(OR(AG74="",INDEX(p_rates,3)=""),0,IF(AG74="Facture",SUMIFS(fl_ht,fl_doc,A74,fl_rate,INDEX(p_rates,3)),SUMIFS(dl_ht,dl_doc,F74,dl_rate,INDEX(p_rates,3))))</f>
        <v>0.0</v>
      </c>
      <c r="AN74" s="62">
        <f>IF(OR(AG74="",INDEX(p_rates,4)=""),0,IF(AG74="Facture",SUMIFS(fl_ht,fl_doc,A74,fl_rate,INDEX(p_rates,4)),SUMIFS(dl_ht,dl_doc,F74,dl_rate,INDEX(p_rates,4))))</f>
        <v>0.0</v>
      </c>
      <c r="AO74" s="62">
        <f>IF(OR(AG74="",INDEX(p_rates,5)=""),0,IF(AG74="Facture",SUMIFS(fl_ht,fl_doc,A74,fl_rate,INDEX(p_rates,5)),SUMIFS(dl_ht,dl_doc,F74,dl_rate,INDEX(p_rates,5))))</f>
        <v>0.0</v>
      </c>
      <c r="AP74" s="62">
        <f>IF(OR(AG74="",INDEX(p_rates,6)=""),0,IF(AG74="Facture",SUMIFS(fl_ht,fl_doc,A74,fl_rate,INDEX(p_rates,6)),SUMIFS(dl_ht,dl_doc,F74,dl_rate,INDEX(p_rates,6))))</f>
        <v>0.0</v>
      </c>
      <c r="AQ74" s="62">
        <f>ROUND(AK74*N(INDEX(p_rates,1)),2)+ROUND(AL74*N(INDEX(p_rates,2)),2)+ROUND(AM74*N(INDEX(p_rates,3)),2)+ROUND(AN74*N(INDEX(p_rates,4)),2)+ROUND(AO74*N(INDEX(p_rates,5)),2)+ROUND(AP74*N(INDEX(p_rates,6)),2)</f>
        <v>0.0</v>
      </c>
      <c r="AR74" s="62" t="str">
        <f>IF(OR(L74="",AA74&lt;&gt;"Facture"),"",IFERROR(IF(INDEX(fa_type,MATCH(L74,fa_num,0))="Facture d'acompte",MATCH(L74,fa_num,0),""),""))</f>
        <v/>
      </c>
      <c r="AS74" s="62" t="str">
        <f>IF(W74="","",IF(W74&lt;=0,"",IF(p_asof-P74&lt;=0,"Non échu",IF(p_asof-P74&lt;=30,"1-30 j",IF(p_asof-P74&lt;=60,"31-60 j",IF(p_asof-P74&lt;=90,"61-90 j","Plus de 90 j"))))))</f>
        <v/>
      </c>
      <c r="AT74" s="62" t="str">
        <f>IF(AS74="","",p_asof-P74)</f>
        <v/>
      </c>
      <c r="AU74" s="62" t="str">
        <f>IF(AT74="","",COUNTIF($AT$6:$AT$805,"&gt;"&amp;AT74)+COUNTIF($AT$6:AT74,AT74))</f>
        <v/>
      </c>
    </row>
    <row r="75">
      <c r="A75" s="59" t="str">
        <f>IF(AE75="","",AB75&amp;"-"&amp;AD75&amp;"-"&amp;RIGHT("000"&amp;AE75,4))</f>
        <v/>
      </c>
      <c r="B75" s="60" t="n"/>
      <c r="C75" s="61" t="n"/>
      <c r="D75" s="60" t="n"/>
      <c r="E75" s="62" t="str">
        <f>IF(D75="","",IFERROR(INDEX(cli_name,MATCH(D75,cli_code,0))&amp;"","Client inconnu"))</f>
        <v/>
      </c>
      <c r="F75" s="60" t="n"/>
      <c r="G75" s="63" t="n"/>
      <c r="H75" s="61" t="n"/>
      <c r="I75" s="63" t="n"/>
      <c r="J75" s="60" t="n"/>
      <c r="K75" s="61" t="n"/>
      <c r="L75" s="60" t="n"/>
      <c r="M75" s="60" t="n"/>
      <c r="N75" s="60" t="n"/>
      <c r="O75" s="61" t="n"/>
      <c r="P75" s="64" t="str">
        <f>IF(A75="","",IF(AA75="Avoir",AC75,IF(ISNUMBER(K75),K75,AC75+IF(D75="",N(p_delay),IFERROR(IF(ISNUMBER(INDEX(cli_delay,MATCH(D75,cli_code,0))),INDEX(cli_delay,MATCH(D75,cli_code,0)),N(p_delay)),N(p_delay))))))</f>
        <v/>
      </c>
      <c r="Q75" s="65" t="str">
        <f>IF(A75="","",IF(AA75="Avoir",-1,1)*ROUND(AJ75-IF(AR75="",0,INDEX(fa_htb,AR75)),2))</f>
        <v/>
      </c>
      <c r="R75" s="65" t="str">
        <f>IF(A75="","",IF(AA75="Avoir",-1,1)*ROUND(AQ75-IF(AR75="",0,INDEX(fa_tvab,AR75)),2))</f>
        <v/>
      </c>
      <c r="S75" s="65" t="str">
        <f>IF(A75="","",Q75+R75)</f>
        <v/>
      </c>
      <c r="T75" s="65" t="str">
        <f>IF(AR75="","",INDEX(fa_htb,AR75)+INDEX(fa_tvab,AR75))</f>
        <v/>
      </c>
      <c r="U75" s="65" t="str">
        <f>IF(A75="","",SUMIF(pa_inv,A75,pa_amt))</f>
        <v/>
      </c>
      <c r="V75" s="65" t="str">
        <f>IF(OR(A75="",AA75="Avoir"),"",-SUMIFS(fa_ttc,fa_avof,A75,fa_type,"Avoir"))</f>
        <v/>
      </c>
      <c r="W75" s="65" t="str">
        <f>IF(OR(A75="",AA75="Avoir"),"",ROUND(S75-U75-V75,2))</f>
        <v/>
      </c>
      <c r="X75" s="66" t="str">
        <f>IF(W75="","",IF(AND(W75&gt;0,p_asof&gt;P75),p_asof-P75,""))</f>
        <v/>
      </c>
      <c r="Y75" s="59" t="str">
        <f>IF(A75="","",IF(AA75="Avoir","Avoir",IF(W75&lt;0,"Trop-perçu",IF(W75=0,"Soldée",IF(p_asof&gt;P75,"En retard",IF(U75+V75&gt;0,"Partielle","À échoir"))))))</f>
        <v/>
      </c>
      <c r="Z75" s="59" t="str">
        <f>IF(NOT(COUNTA(B75:D75,F75:O75)&gt;0),"",IF(C75="","Date manquante",IF(NOT(ISNUMBER(C75)),"Date invalide",IF(D75="","Client manquant",IF(ISNA(MATCH(D75,cli_code,0)),"Client inconnu",IF(AC75&lt;SUMPRODUCT(MAX(($AB$6:AB74=AB75)*$AC$6:AC74)),"Date antérieure à la facture précédente",IF(AND(F75&lt;&gt;"",ISNA(MATCH(F75,dv_num,0))),"Devis inconnu",IF(AND(F75&lt;&gt;"",IFERROR(INDEX(dv_client,MATCH(F75,dv_num,0)),D75)&lt;&gt;D75),"Client différent de celui du devis",IF(AG75="","Aucune ligne : saisissez des lignes ou un devis",IF(AND(AI75&lt;&gt;"",COUNTIF($AI$6:AI75,AI75)&gt;1),"Devis déjà repris par une autre facture",IF(AND(AA75="Avoir",M75=""),"Avoir : indiquez la facture d'origine",IF(AND(AA75="Avoir",ISNA(MATCH(M75,fa_num,0))),"Facture d'origine inconnue",IF(AND(AA75&lt;&gt;"Avoir",M75&lt;&gt;""),"« Avoir sur facture » : réservé aux avoirs",IF(AND(L75&lt;&gt;"",AA75&lt;&gt;"Facture"),"Acompte à déduire : réservé aux factures",IF(AND(L75&lt;&gt;"",ISNA(MATCH(L75,fa_num,0))),"Facture d'acompte inconnue",IF(AND(L75&lt;&gt;"",IFERROR(INDEX(fa_type,MATCH(L75,fa_num,0)),"")&lt;&gt;"Facture d'acompte"),"Le n° à déduire n'est pas une facture d'acompte",IF(AND(L75&lt;&gt;"",COUNTIF($L$6:L75,L75)&gt;1),"Acompte déjà déduit sur une autre facture",IF(AND(L75&lt;&gt;"",IFERROR(INDEX(fa_client,MATCH(L75,fa_num,0)),D75)&lt;&gt;D75),"Acompte d'un autre client",IF(AND(AR75&lt;&gt;"",N(Q75)&lt;0),"Acompte supérieur au total de la facture",IF(IF(AG75="Facture",COUNTIFS(fl_doc,A75,fl_check,"&lt;&gt;OK"),IF(AG75="Devis",COUNTIFS(dl_doc,F75,dl_check,"&lt;&gt;OK"),0))&gt;0,"Ligne(s) à corriger",IF(AND(W75&lt;&gt;"",N(W75)&lt;0),"Trop-perçu : vérifiez paiements et avoirs","OK")))))))))))))))))))))</f>
        <v/>
      </c>
      <c r="AA75" s="62" t="str">
        <f>IF(COUNTA(B75:D75,F75:O75)&gt;0,IF(B75="","Facture",B75),"")</f>
        <v/>
      </c>
      <c r="AB75" s="62" t="str">
        <f>IF(AA75="","",IF(AA75="Avoir",p_pav,IF(AA75="Facture d'acompte",p_pac,p_pfa)))</f>
        <v/>
      </c>
      <c r="AC75" s="62">
        <f>IF(ISNUMBER(C75),C75,0)</f>
        <v>0.0</v>
      </c>
      <c r="AD75" s="62" t="str">
        <f>IF(OR(AA75="",AC75=0),"",YEAR(AC75))</f>
        <v/>
      </c>
      <c r="AE75" s="62" t="str">
        <f>IF(AD75="","",COUNTIFS($AB$6:AB75,AB75,$AD$6:AD75,AD75))</f>
        <v/>
      </c>
      <c r="AF75" s="62">
        <f>IF(A75="",0,COUNTIF(fl_doc,A75))</f>
        <v>0.0</v>
      </c>
      <c r="AG75" s="62" t="str">
        <f>IF(A75="","",IF(AF75&gt;0,"Facture",IF(AND(F75&lt;&gt;"",AA75="Facture",ISNUMBER(MATCH(F75,dv_num,0))),"Devis","")))</f>
        <v/>
      </c>
      <c r="AH75" s="62" t="str">
        <f>IF(AND(A75&lt;&gt;"",F75&lt;&gt;"",AA75&lt;&gt;"Avoir"),F75,"")</f>
        <v/>
      </c>
      <c r="AI75" s="62" t="str">
        <f>IF(AG75="Devis",F75,"")</f>
        <v/>
      </c>
      <c r="AJ75" s="62">
        <f>IF(AG75="Facture",SUMIF(fl_doc,A75,fl_ht),IF(AG75="Devis",SUMIF(dl_doc,F75,dl_ht),0))</f>
        <v>0.0</v>
      </c>
      <c r="AK75" s="62">
        <f>IF(OR(AG75="",INDEX(p_rates,1)=""),0,IF(AG75="Facture",SUMIFS(fl_ht,fl_doc,A75,fl_rate,INDEX(p_rates,1)),SUMIFS(dl_ht,dl_doc,F75,dl_rate,INDEX(p_rates,1))))</f>
        <v>0.0</v>
      </c>
      <c r="AL75" s="62">
        <f>IF(OR(AG75="",INDEX(p_rates,2)=""),0,IF(AG75="Facture",SUMIFS(fl_ht,fl_doc,A75,fl_rate,INDEX(p_rates,2)),SUMIFS(dl_ht,dl_doc,F75,dl_rate,INDEX(p_rates,2))))</f>
        <v>0.0</v>
      </c>
      <c r="AM75" s="62">
        <f>IF(OR(AG75="",INDEX(p_rates,3)=""),0,IF(AG75="Facture",SUMIFS(fl_ht,fl_doc,A75,fl_rate,INDEX(p_rates,3)),SUMIFS(dl_ht,dl_doc,F75,dl_rate,INDEX(p_rates,3))))</f>
        <v>0.0</v>
      </c>
      <c r="AN75" s="62">
        <f>IF(OR(AG75="",INDEX(p_rates,4)=""),0,IF(AG75="Facture",SUMIFS(fl_ht,fl_doc,A75,fl_rate,INDEX(p_rates,4)),SUMIFS(dl_ht,dl_doc,F75,dl_rate,INDEX(p_rates,4))))</f>
        <v>0.0</v>
      </c>
      <c r="AO75" s="62">
        <f>IF(OR(AG75="",INDEX(p_rates,5)=""),0,IF(AG75="Facture",SUMIFS(fl_ht,fl_doc,A75,fl_rate,INDEX(p_rates,5)),SUMIFS(dl_ht,dl_doc,F75,dl_rate,INDEX(p_rates,5))))</f>
        <v>0.0</v>
      </c>
      <c r="AP75" s="62">
        <f>IF(OR(AG75="",INDEX(p_rates,6)=""),0,IF(AG75="Facture",SUMIFS(fl_ht,fl_doc,A75,fl_rate,INDEX(p_rates,6)),SUMIFS(dl_ht,dl_doc,F75,dl_rate,INDEX(p_rates,6))))</f>
        <v>0.0</v>
      </c>
      <c r="AQ75" s="62">
        <f>ROUND(AK75*N(INDEX(p_rates,1)),2)+ROUND(AL75*N(INDEX(p_rates,2)),2)+ROUND(AM75*N(INDEX(p_rates,3)),2)+ROUND(AN75*N(INDEX(p_rates,4)),2)+ROUND(AO75*N(INDEX(p_rates,5)),2)+ROUND(AP75*N(INDEX(p_rates,6)),2)</f>
        <v>0.0</v>
      </c>
      <c r="AR75" s="62" t="str">
        <f>IF(OR(L75="",AA75&lt;&gt;"Facture"),"",IFERROR(IF(INDEX(fa_type,MATCH(L75,fa_num,0))="Facture d'acompte",MATCH(L75,fa_num,0),""),""))</f>
        <v/>
      </c>
      <c r="AS75" s="62" t="str">
        <f>IF(W75="","",IF(W75&lt;=0,"",IF(p_asof-P75&lt;=0,"Non échu",IF(p_asof-P75&lt;=30,"1-30 j",IF(p_asof-P75&lt;=60,"31-60 j",IF(p_asof-P75&lt;=90,"61-90 j","Plus de 90 j"))))))</f>
        <v/>
      </c>
      <c r="AT75" s="62" t="str">
        <f>IF(AS75="","",p_asof-P75)</f>
        <v/>
      </c>
      <c r="AU75" s="62" t="str">
        <f>IF(AT75="","",COUNTIF($AT$6:$AT$805,"&gt;"&amp;AT75)+COUNTIF($AT$6:AT75,AT75))</f>
        <v/>
      </c>
    </row>
    <row r="76">
      <c r="A76" s="59" t="str">
        <f>IF(AE76="","",AB76&amp;"-"&amp;AD76&amp;"-"&amp;RIGHT("000"&amp;AE76,4))</f>
        <v/>
      </c>
      <c r="B76" s="60" t="n"/>
      <c r="C76" s="61" t="n"/>
      <c r="D76" s="60" t="n"/>
      <c r="E76" s="62" t="str">
        <f>IF(D76="","",IFERROR(INDEX(cli_name,MATCH(D76,cli_code,0))&amp;"","Client inconnu"))</f>
        <v/>
      </c>
      <c r="F76" s="60" t="n"/>
      <c r="G76" s="63" t="n"/>
      <c r="H76" s="61" t="n"/>
      <c r="I76" s="63" t="n"/>
      <c r="J76" s="60" t="n"/>
      <c r="K76" s="61" t="n"/>
      <c r="L76" s="60" t="n"/>
      <c r="M76" s="60" t="n"/>
      <c r="N76" s="60" t="n"/>
      <c r="O76" s="61" t="n"/>
      <c r="P76" s="64" t="str">
        <f>IF(A76="","",IF(AA76="Avoir",AC76,IF(ISNUMBER(K76),K76,AC76+IF(D76="",N(p_delay),IFERROR(IF(ISNUMBER(INDEX(cli_delay,MATCH(D76,cli_code,0))),INDEX(cli_delay,MATCH(D76,cli_code,0)),N(p_delay)),N(p_delay))))))</f>
        <v/>
      </c>
      <c r="Q76" s="65" t="str">
        <f>IF(A76="","",IF(AA76="Avoir",-1,1)*ROUND(AJ76-IF(AR76="",0,INDEX(fa_htb,AR76)),2))</f>
        <v/>
      </c>
      <c r="R76" s="65" t="str">
        <f>IF(A76="","",IF(AA76="Avoir",-1,1)*ROUND(AQ76-IF(AR76="",0,INDEX(fa_tvab,AR76)),2))</f>
        <v/>
      </c>
      <c r="S76" s="65" t="str">
        <f>IF(A76="","",Q76+R76)</f>
        <v/>
      </c>
      <c r="T76" s="65" t="str">
        <f>IF(AR76="","",INDEX(fa_htb,AR76)+INDEX(fa_tvab,AR76))</f>
        <v/>
      </c>
      <c r="U76" s="65" t="str">
        <f>IF(A76="","",SUMIF(pa_inv,A76,pa_amt))</f>
        <v/>
      </c>
      <c r="V76" s="65" t="str">
        <f>IF(OR(A76="",AA76="Avoir"),"",-SUMIFS(fa_ttc,fa_avof,A76,fa_type,"Avoir"))</f>
        <v/>
      </c>
      <c r="W76" s="65" t="str">
        <f>IF(OR(A76="",AA76="Avoir"),"",ROUND(S76-U76-V76,2))</f>
        <v/>
      </c>
      <c r="X76" s="66" t="str">
        <f>IF(W76="","",IF(AND(W76&gt;0,p_asof&gt;P76),p_asof-P76,""))</f>
        <v/>
      </c>
      <c r="Y76" s="59" t="str">
        <f>IF(A76="","",IF(AA76="Avoir","Avoir",IF(W76&lt;0,"Trop-perçu",IF(W76=0,"Soldée",IF(p_asof&gt;P76,"En retard",IF(U76+V76&gt;0,"Partielle","À échoir"))))))</f>
        <v/>
      </c>
      <c r="Z76" s="59" t="str">
        <f>IF(NOT(COUNTA(B76:D76,F76:O76)&gt;0),"",IF(C76="","Date manquante",IF(NOT(ISNUMBER(C76)),"Date invalide",IF(D76="","Client manquant",IF(ISNA(MATCH(D76,cli_code,0)),"Client inconnu",IF(AC76&lt;SUMPRODUCT(MAX(($AB$6:AB75=AB76)*$AC$6:AC75)),"Date antérieure à la facture précédente",IF(AND(F76&lt;&gt;"",ISNA(MATCH(F76,dv_num,0))),"Devis inconnu",IF(AND(F76&lt;&gt;"",IFERROR(INDEX(dv_client,MATCH(F76,dv_num,0)),D76)&lt;&gt;D76),"Client différent de celui du devis",IF(AG76="","Aucune ligne : saisissez des lignes ou un devis",IF(AND(AI76&lt;&gt;"",COUNTIF($AI$6:AI76,AI76)&gt;1),"Devis déjà repris par une autre facture",IF(AND(AA76="Avoir",M76=""),"Avoir : indiquez la facture d'origine",IF(AND(AA76="Avoir",ISNA(MATCH(M76,fa_num,0))),"Facture d'origine inconnue",IF(AND(AA76&lt;&gt;"Avoir",M76&lt;&gt;""),"« Avoir sur facture » : réservé aux avoirs",IF(AND(L76&lt;&gt;"",AA76&lt;&gt;"Facture"),"Acompte à déduire : réservé aux factures",IF(AND(L76&lt;&gt;"",ISNA(MATCH(L76,fa_num,0))),"Facture d'acompte inconnue",IF(AND(L76&lt;&gt;"",IFERROR(INDEX(fa_type,MATCH(L76,fa_num,0)),"")&lt;&gt;"Facture d'acompte"),"Le n° à déduire n'est pas une facture d'acompte",IF(AND(L76&lt;&gt;"",COUNTIF($L$6:L76,L76)&gt;1),"Acompte déjà déduit sur une autre facture",IF(AND(L76&lt;&gt;"",IFERROR(INDEX(fa_client,MATCH(L76,fa_num,0)),D76)&lt;&gt;D76),"Acompte d'un autre client",IF(AND(AR76&lt;&gt;"",N(Q76)&lt;0),"Acompte supérieur au total de la facture",IF(IF(AG76="Facture",COUNTIFS(fl_doc,A76,fl_check,"&lt;&gt;OK"),IF(AG76="Devis",COUNTIFS(dl_doc,F76,dl_check,"&lt;&gt;OK"),0))&gt;0,"Ligne(s) à corriger",IF(AND(W76&lt;&gt;"",N(W76)&lt;0),"Trop-perçu : vérifiez paiements et avoirs","OK")))))))))))))))))))))</f>
        <v/>
      </c>
      <c r="AA76" s="62" t="str">
        <f>IF(COUNTA(B76:D76,F76:O76)&gt;0,IF(B76="","Facture",B76),"")</f>
        <v/>
      </c>
      <c r="AB76" s="62" t="str">
        <f>IF(AA76="","",IF(AA76="Avoir",p_pav,IF(AA76="Facture d'acompte",p_pac,p_pfa)))</f>
        <v/>
      </c>
      <c r="AC76" s="62">
        <f>IF(ISNUMBER(C76),C76,0)</f>
        <v>0.0</v>
      </c>
      <c r="AD76" s="62" t="str">
        <f>IF(OR(AA76="",AC76=0),"",YEAR(AC76))</f>
        <v/>
      </c>
      <c r="AE76" s="62" t="str">
        <f>IF(AD76="","",COUNTIFS($AB$6:AB76,AB76,$AD$6:AD76,AD76))</f>
        <v/>
      </c>
      <c r="AF76" s="62">
        <f>IF(A76="",0,COUNTIF(fl_doc,A76))</f>
        <v>0.0</v>
      </c>
      <c r="AG76" s="62" t="str">
        <f>IF(A76="","",IF(AF76&gt;0,"Facture",IF(AND(F76&lt;&gt;"",AA76="Facture",ISNUMBER(MATCH(F76,dv_num,0))),"Devis","")))</f>
        <v/>
      </c>
      <c r="AH76" s="62" t="str">
        <f>IF(AND(A76&lt;&gt;"",F76&lt;&gt;"",AA76&lt;&gt;"Avoir"),F76,"")</f>
        <v/>
      </c>
      <c r="AI76" s="62" t="str">
        <f>IF(AG76="Devis",F76,"")</f>
        <v/>
      </c>
      <c r="AJ76" s="62">
        <f>IF(AG76="Facture",SUMIF(fl_doc,A76,fl_ht),IF(AG76="Devis",SUMIF(dl_doc,F76,dl_ht),0))</f>
        <v>0.0</v>
      </c>
      <c r="AK76" s="62">
        <f>IF(OR(AG76="",INDEX(p_rates,1)=""),0,IF(AG76="Facture",SUMIFS(fl_ht,fl_doc,A76,fl_rate,INDEX(p_rates,1)),SUMIFS(dl_ht,dl_doc,F76,dl_rate,INDEX(p_rates,1))))</f>
        <v>0.0</v>
      </c>
      <c r="AL76" s="62">
        <f>IF(OR(AG76="",INDEX(p_rates,2)=""),0,IF(AG76="Facture",SUMIFS(fl_ht,fl_doc,A76,fl_rate,INDEX(p_rates,2)),SUMIFS(dl_ht,dl_doc,F76,dl_rate,INDEX(p_rates,2))))</f>
        <v>0.0</v>
      </c>
      <c r="AM76" s="62">
        <f>IF(OR(AG76="",INDEX(p_rates,3)=""),0,IF(AG76="Facture",SUMIFS(fl_ht,fl_doc,A76,fl_rate,INDEX(p_rates,3)),SUMIFS(dl_ht,dl_doc,F76,dl_rate,INDEX(p_rates,3))))</f>
        <v>0.0</v>
      </c>
      <c r="AN76" s="62">
        <f>IF(OR(AG76="",INDEX(p_rates,4)=""),0,IF(AG76="Facture",SUMIFS(fl_ht,fl_doc,A76,fl_rate,INDEX(p_rates,4)),SUMIFS(dl_ht,dl_doc,F76,dl_rate,INDEX(p_rates,4))))</f>
        <v>0.0</v>
      </c>
      <c r="AO76" s="62">
        <f>IF(OR(AG76="",INDEX(p_rates,5)=""),0,IF(AG76="Facture",SUMIFS(fl_ht,fl_doc,A76,fl_rate,INDEX(p_rates,5)),SUMIFS(dl_ht,dl_doc,F76,dl_rate,INDEX(p_rates,5))))</f>
        <v>0.0</v>
      </c>
      <c r="AP76" s="62">
        <f>IF(OR(AG76="",INDEX(p_rates,6)=""),0,IF(AG76="Facture",SUMIFS(fl_ht,fl_doc,A76,fl_rate,INDEX(p_rates,6)),SUMIFS(dl_ht,dl_doc,F76,dl_rate,INDEX(p_rates,6))))</f>
        <v>0.0</v>
      </c>
      <c r="AQ76" s="62">
        <f>ROUND(AK76*N(INDEX(p_rates,1)),2)+ROUND(AL76*N(INDEX(p_rates,2)),2)+ROUND(AM76*N(INDEX(p_rates,3)),2)+ROUND(AN76*N(INDEX(p_rates,4)),2)+ROUND(AO76*N(INDEX(p_rates,5)),2)+ROUND(AP76*N(INDEX(p_rates,6)),2)</f>
        <v>0.0</v>
      </c>
      <c r="AR76" s="62" t="str">
        <f>IF(OR(L76="",AA76&lt;&gt;"Facture"),"",IFERROR(IF(INDEX(fa_type,MATCH(L76,fa_num,0))="Facture d'acompte",MATCH(L76,fa_num,0),""),""))</f>
        <v/>
      </c>
      <c r="AS76" s="62" t="str">
        <f>IF(W76="","",IF(W76&lt;=0,"",IF(p_asof-P76&lt;=0,"Non échu",IF(p_asof-P76&lt;=30,"1-30 j",IF(p_asof-P76&lt;=60,"31-60 j",IF(p_asof-P76&lt;=90,"61-90 j","Plus de 90 j"))))))</f>
        <v/>
      </c>
      <c r="AT76" s="62" t="str">
        <f>IF(AS76="","",p_asof-P76)</f>
        <v/>
      </c>
      <c r="AU76" s="62" t="str">
        <f>IF(AT76="","",COUNTIF($AT$6:$AT$805,"&gt;"&amp;AT76)+COUNTIF($AT$6:AT76,AT76))</f>
        <v/>
      </c>
    </row>
    <row r="77">
      <c r="A77" s="59" t="str">
        <f>IF(AE77="","",AB77&amp;"-"&amp;AD77&amp;"-"&amp;RIGHT("000"&amp;AE77,4))</f>
        <v/>
      </c>
      <c r="B77" s="60" t="n"/>
      <c r="C77" s="61" t="n"/>
      <c r="D77" s="60" t="n"/>
      <c r="E77" s="62" t="str">
        <f>IF(D77="","",IFERROR(INDEX(cli_name,MATCH(D77,cli_code,0))&amp;"","Client inconnu"))</f>
        <v/>
      </c>
      <c r="F77" s="60" t="n"/>
      <c r="G77" s="63" t="n"/>
      <c r="H77" s="61" t="n"/>
      <c r="I77" s="63" t="n"/>
      <c r="J77" s="60" t="n"/>
      <c r="K77" s="61" t="n"/>
      <c r="L77" s="60" t="n"/>
      <c r="M77" s="60" t="n"/>
      <c r="N77" s="60" t="n"/>
      <c r="O77" s="61" t="n"/>
      <c r="P77" s="64" t="str">
        <f>IF(A77="","",IF(AA77="Avoir",AC77,IF(ISNUMBER(K77),K77,AC77+IF(D77="",N(p_delay),IFERROR(IF(ISNUMBER(INDEX(cli_delay,MATCH(D77,cli_code,0))),INDEX(cli_delay,MATCH(D77,cli_code,0)),N(p_delay)),N(p_delay))))))</f>
        <v/>
      </c>
      <c r="Q77" s="65" t="str">
        <f>IF(A77="","",IF(AA77="Avoir",-1,1)*ROUND(AJ77-IF(AR77="",0,INDEX(fa_htb,AR77)),2))</f>
        <v/>
      </c>
      <c r="R77" s="65" t="str">
        <f>IF(A77="","",IF(AA77="Avoir",-1,1)*ROUND(AQ77-IF(AR77="",0,INDEX(fa_tvab,AR77)),2))</f>
        <v/>
      </c>
      <c r="S77" s="65" t="str">
        <f>IF(A77="","",Q77+R77)</f>
        <v/>
      </c>
      <c r="T77" s="65" t="str">
        <f>IF(AR77="","",INDEX(fa_htb,AR77)+INDEX(fa_tvab,AR77))</f>
        <v/>
      </c>
      <c r="U77" s="65" t="str">
        <f>IF(A77="","",SUMIF(pa_inv,A77,pa_amt))</f>
        <v/>
      </c>
      <c r="V77" s="65" t="str">
        <f>IF(OR(A77="",AA77="Avoir"),"",-SUMIFS(fa_ttc,fa_avof,A77,fa_type,"Avoir"))</f>
        <v/>
      </c>
      <c r="W77" s="65" t="str">
        <f>IF(OR(A77="",AA77="Avoir"),"",ROUND(S77-U77-V77,2))</f>
        <v/>
      </c>
      <c r="X77" s="66" t="str">
        <f>IF(W77="","",IF(AND(W77&gt;0,p_asof&gt;P77),p_asof-P77,""))</f>
        <v/>
      </c>
      <c r="Y77" s="59" t="str">
        <f>IF(A77="","",IF(AA77="Avoir","Avoir",IF(W77&lt;0,"Trop-perçu",IF(W77=0,"Soldée",IF(p_asof&gt;P77,"En retard",IF(U77+V77&gt;0,"Partielle","À échoir"))))))</f>
        <v/>
      </c>
      <c r="Z77" s="59" t="str">
        <f>IF(NOT(COUNTA(B77:D77,F77:O77)&gt;0),"",IF(C77="","Date manquante",IF(NOT(ISNUMBER(C77)),"Date invalide",IF(D77="","Client manquant",IF(ISNA(MATCH(D77,cli_code,0)),"Client inconnu",IF(AC77&lt;SUMPRODUCT(MAX(($AB$6:AB76=AB77)*$AC$6:AC76)),"Date antérieure à la facture précédente",IF(AND(F77&lt;&gt;"",ISNA(MATCH(F77,dv_num,0))),"Devis inconnu",IF(AND(F77&lt;&gt;"",IFERROR(INDEX(dv_client,MATCH(F77,dv_num,0)),D77)&lt;&gt;D77),"Client différent de celui du devis",IF(AG77="","Aucune ligne : saisissez des lignes ou un devis",IF(AND(AI77&lt;&gt;"",COUNTIF($AI$6:AI77,AI77)&gt;1),"Devis déjà repris par une autre facture",IF(AND(AA77="Avoir",M77=""),"Avoir : indiquez la facture d'origine",IF(AND(AA77="Avoir",ISNA(MATCH(M77,fa_num,0))),"Facture d'origine inconnue",IF(AND(AA77&lt;&gt;"Avoir",M77&lt;&gt;""),"« Avoir sur facture » : réservé aux avoirs",IF(AND(L77&lt;&gt;"",AA77&lt;&gt;"Facture"),"Acompte à déduire : réservé aux factures",IF(AND(L77&lt;&gt;"",ISNA(MATCH(L77,fa_num,0))),"Facture d'acompte inconnue",IF(AND(L77&lt;&gt;"",IFERROR(INDEX(fa_type,MATCH(L77,fa_num,0)),"")&lt;&gt;"Facture d'acompte"),"Le n° à déduire n'est pas une facture d'acompte",IF(AND(L77&lt;&gt;"",COUNTIF($L$6:L77,L77)&gt;1),"Acompte déjà déduit sur une autre facture",IF(AND(L77&lt;&gt;"",IFERROR(INDEX(fa_client,MATCH(L77,fa_num,0)),D77)&lt;&gt;D77),"Acompte d'un autre client",IF(AND(AR77&lt;&gt;"",N(Q77)&lt;0),"Acompte supérieur au total de la facture",IF(IF(AG77="Facture",COUNTIFS(fl_doc,A77,fl_check,"&lt;&gt;OK"),IF(AG77="Devis",COUNTIFS(dl_doc,F77,dl_check,"&lt;&gt;OK"),0))&gt;0,"Ligne(s) à corriger",IF(AND(W77&lt;&gt;"",N(W77)&lt;0),"Trop-perçu : vérifiez paiements et avoirs","OK")))))))))))))))))))))</f>
        <v/>
      </c>
      <c r="AA77" s="62" t="str">
        <f>IF(COUNTA(B77:D77,F77:O77)&gt;0,IF(B77="","Facture",B77),"")</f>
        <v/>
      </c>
      <c r="AB77" s="62" t="str">
        <f>IF(AA77="","",IF(AA77="Avoir",p_pav,IF(AA77="Facture d'acompte",p_pac,p_pfa)))</f>
        <v/>
      </c>
      <c r="AC77" s="62">
        <f>IF(ISNUMBER(C77),C77,0)</f>
        <v>0.0</v>
      </c>
      <c r="AD77" s="62" t="str">
        <f>IF(OR(AA77="",AC77=0),"",YEAR(AC77))</f>
        <v/>
      </c>
      <c r="AE77" s="62" t="str">
        <f>IF(AD77="","",COUNTIFS($AB$6:AB77,AB77,$AD$6:AD77,AD77))</f>
        <v/>
      </c>
      <c r="AF77" s="62">
        <f>IF(A77="",0,COUNTIF(fl_doc,A77))</f>
        <v>0.0</v>
      </c>
      <c r="AG77" s="62" t="str">
        <f>IF(A77="","",IF(AF77&gt;0,"Facture",IF(AND(F77&lt;&gt;"",AA77="Facture",ISNUMBER(MATCH(F77,dv_num,0))),"Devis","")))</f>
        <v/>
      </c>
      <c r="AH77" s="62" t="str">
        <f>IF(AND(A77&lt;&gt;"",F77&lt;&gt;"",AA77&lt;&gt;"Avoir"),F77,"")</f>
        <v/>
      </c>
      <c r="AI77" s="62" t="str">
        <f>IF(AG77="Devis",F77,"")</f>
        <v/>
      </c>
      <c r="AJ77" s="62">
        <f>IF(AG77="Facture",SUMIF(fl_doc,A77,fl_ht),IF(AG77="Devis",SUMIF(dl_doc,F77,dl_ht),0))</f>
        <v>0.0</v>
      </c>
      <c r="AK77" s="62">
        <f>IF(OR(AG77="",INDEX(p_rates,1)=""),0,IF(AG77="Facture",SUMIFS(fl_ht,fl_doc,A77,fl_rate,INDEX(p_rates,1)),SUMIFS(dl_ht,dl_doc,F77,dl_rate,INDEX(p_rates,1))))</f>
        <v>0.0</v>
      </c>
      <c r="AL77" s="62">
        <f>IF(OR(AG77="",INDEX(p_rates,2)=""),0,IF(AG77="Facture",SUMIFS(fl_ht,fl_doc,A77,fl_rate,INDEX(p_rates,2)),SUMIFS(dl_ht,dl_doc,F77,dl_rate,INDEX(p_rates,2))))</f>
        <v>0.0</v>
      </c>
      <c r="AM77" s="62">
        <f>IF(OR(AG77="",INDEX(p_rates,3)=""),0,IF(AG77="Facture",SUMIFS(fl_ht,fl_doc,A77,fl_rate,INDEX(p_rates,3)),SUMIFS(dl_ht,dl_doc,F77,dl_rate,INDEX(p_rates,3))))</f>
        <v>0.0</v>
      </c>
      <c r="AN77" s="62">
        <f>IF(OR(AG77="",INDEX(p_rates,4)=""),0,IF(AG77="Facture",SUMIFS(fl_ht,fl_doc,A77,fl_rate,INDEX(p_rates,4)),SUMIFS(dl_ht,dl_doc,F77,dl_rate,INDEX(p_rates,4))))</f>
        <v>0.0</v>
      </c>
      <c r="AO77" s="62">
        <f>IF(OR(AG77="",INDEX(p_rates,5)=""),0,IF(AG77="Facture",SUMIFS(fl_ht,fl_doc,A77,fl_rate,INDEX(p_rates,5)),SUMIFS(dl_ht,dl_doc,F77,dl_rate,INDEX(p_rates,5))))</f>
        <v>0.0</v>
      </c>
      <c r="AP77" s="62">
        <f>IF(OR(AG77="",INDEX(p_rates,6)=""),0,IF(AG77="Facture",SUMIFS(fl_ht,fl_doc,A77,fl_rate,INDEX(p_rates,6)),SUMIFS(dl_ht,dl_doc,F77,dl_rate,INDEX(p_rates,6))))</f>
        <v>0.0</v>
      </c>
      <c r="AQ77" s="62">
        <f>ROUND(AK77*N(INDEX(p_rates,1)),2)+ROUND(AL77*N(INDEX(p_rates,2)),2)+ROUND(AM77*N(INDEX(p_rates,3)),2)+ROUND(AN77*N(INDEX(p_rates,4)),2)+ROUND(AO77*N(INDEX(p_rates,5)),2)+ROUND(AP77*N(INDEX(p_rates,6)),2)</f>
        <v>0.0</v>
      </c>
      <c r="AR77" s="62" t="str">
        <f>IF(OR(L77="",AA77&lt;&gt;"Facture"),"",IFERROR(IF(INDEX(fa_type,MATCH(L77,fa_num,0))="Facture d'acompte",MATCH(L77,fa_num,0),""),""))</f>
        <v/>
      </c>
      <c r="AS77" s="62" t="str">
        <f>IF(W77="","",IF(W77&lt;=0,"",IF(p_asof-P77&lt;=0,"Non échu",IF(p_asof-P77&lt;=30,"1-30 j",IF(p_asof-P77&lt;=60,"31-60 j",IF(p_asof-P77&lt;=90,"61-90 j","Plus de 90 j"))))))</f>
        <v/>
      </c>
      <c r="AT77" s="62" t="str">
        <f>IF(AS77="","",p_asof-P77)</f>
        <v/>
      </c>
      <c r="AU77" s="62" t="str">
        <f>IF(AT77="","",COUNTIF($AT$6:$AT$805,"&gt;"&amp;AT77)+COUNTIF($AT$6:AT77,AT77))</f>
        <v/>
      </c>
    </row>
    <row r="78">
      <c r="A78" s="59" t="str">
        <f>IF(AE78="","",AB78&amp;"-"&amp;AD78&amp;"-"&amp;RIGHT("000"&amp;AE78,4))</f>
        <v/>
      </c>
      <c r="B78" s="60" t="n"/>
      <c r="C78" s="61" t="n"/>
      <c r="D78" s="60" t="n"/>
      <c r="E78" s="62" t="str">
        <f>IF(D78="","",IFERROR(INDEX(cli_name,MATCH(D78,cli_code,0))&amp;"","Client inconnu"))</f>
        <v/>
      </c>
      <c r="F78" s="60" t="n"/>
      <c r="G78" s="63" t="n"/>
      <c r="H78" s="61" t="n"/>
      <c r="I78" s="63" t="n"/>
      <c r="J78" s="60" t="n"/>
      <c r="K78" s="61" t="n"/>
      <c r="L78" s="60" t="n"/>
      <c r="M78" s="60" t="n"/>
      <c r="N78" s="60" t="n"/>
      <c r="O78" s="61" t="n"/>
      <c r="P78" s="64" t="str">
        <f>IF(A78="","",IF(AA78="Avoir",AC78,IF(ISNUMBER(K78),K78,AC78+IF(D78="",N(p_delay),IFERROR(IF(ISNUMBER(INDEX(cli_delay,MATCH(D78,cli_code,0))),INDEX(cli_delay,MATCH(D78,cli_code,0)),N(p_delay)),N(p_delay))))))</f>
        <v/>
      </c>
      <c r="Q78" s="65" t="str">
        <f>IF(A78="","",IF(AA78="Avoir",-1,1)*ROUND(AJ78-IF(AR78="",0,INDEX(fa_htb,AR78)),2))</f>
        <v/>
      </c>
      <c r="R78" s="65" t="str">
        <f>IF(A78="","",IF(AA78="Avoir",-1,1)*ROUND(AQ78-IF(AR78="",0,INDEX(fa_tvab,AR78)),2))</f>
        <v/>
      </c>
      <c r="S78" s="65" t="str">
        <f>IF(A78="","",Q78+R78)</f>
        <v/>
      </c>
      <c r="T78" s="65" t="str">
        <f>IF(AR78="","",INDEX(fa_htb,AR78)+INDEX(fa_tvab,AR78))</f>
        <v/>
      </c>
      <c r="U78" s="65" t="str">
        <f>IF(A78="","",SUMIF(pa_inv,A78,pa_amt))</f>
        <v/>
      </c>
      <c r="V78" s="65" t="str">
        <f>IF(OR(A78="",AA78="Avoir"),"",-SUMIFS(fa_ttc,fa_avof,A78,fa_type,"Avoir"))</f>
        <v/>
      </c>
      <c r="W78" s="65" t="str">
        <f>IF(OR(A78="",AA78="Avoir"),"",ROUND(S78-U78-V78,2))</f>
        <v/>
      </c>
      <c r="X78" s="66" t="str">
        <f>IF(W78="","",IF(AND(W78&gt;0,p_asof&gt;P78),p_asof-P78,""))</f>
        <v/>
      </c>
      <c r="Y78" s="59" t="str">
        <f>IF(A78="","",IF(AA78="Avoir","Avoir",IF(W78&lt;0,"Trop-perçu",IF(W78=0,"Soldée",IF(p_asof&gt;P78,"En retard",IF(U78+V78&gt;0,"Partielle","À échoir"))))))</f>
        <v/>
      </c>
      <c r="Z78" s="59" t="str">
        <f>IF(NOT(COUNTA(B78:D78,F78:O78)&gt;0),"",IF(C78="","Date manquante",IF(NOT(ISNUMBER(C78)),"Date invalide",IF(D78="","Client manquant",IF(ISNA(MATCH(D78,cli_code,0)),"Client inconnu",IF(AC78&lt;SUMPRODUCT(MAX(($AB$6:AB77=AB78)*$AC$6:AC77)),"Date antérieure à la facture précédente",IF(AND(F78&lt;&gt;"",ISNA(MATCH(F78,dv_num,0))),"Devis inconnu",IF(AND(F78&lt;&gt;"",IFERROR(INDEX(dv_client,MATCH(F78,dv_num,0)),D78)&lt;&gt;D78),"Client différent de celui du devis",IF(AG78="","Aucune ligne : saisissez des lignes ou un devis",IF(AND(AI78&lt;&gt;"",COUNTIF($AI$6:AI78,AI78)&gt;1),"Devis déjà repris par une autre facture",IF(AND(AA78="Avoir",M78=""),"Avoir : indiquez la facture d'origine",IF(AND(AA78="Avoir",ISNA(MATCH(M78,fa_num,0))),"Facture d'origine inconnue",IF(AND(AA78&lt;&gt;"Avoir",M78&lt;&gt;""),"« Avoir sur facture » : réservé aux avoirs",IF(AND(L78&lt;&gt;"",AA78&lt;&gt;"Facture"),"Acompte à déduire : réservé aux factures",IF(AND(L78&lt;&gt;"",ISNA(MATCH(L78,fa_num,0))),"Facture d'acompte inconnue",IF(AND(L78&lt;&gt;"",IFERROR(INDEX(fa_type,MATCH(L78,fa_num,0)),"")&lt;&gt;"Facture d'acompte"),"Le n° à déduire n'est pas une facture d'acompte",IF(AND(L78&lt;&gt;"",COUNTIF($L$6:L78,L78)&gt;1),"Acompte déjà déduit sur une autre facture",IF(AND(L78&lt;&gt;"",IFERROR(INDEX(fa_client,MATCH(L78,fa_num,0)),D78)&lt;&gt;D78),"Acompte d'un autre client",IF(AND(AR78&lt;&gt;"",N(Q78)&lt;0),"Acompte supérieur au total de la facture",IF(IF(AG78="Facture",COUNTIFS(fl_doc,A78,fl_check,"&lt;&gt;OK"),IF(AG78="Devis",COUNTIFS(dl_doc,F78,dl_check,"&lt;&gt;OK"),0))&gt;0,"Ligne(s) à corriger",IF(AND(W78&lt;&gt;"",N(W78)&lt;0),"Trop-perçu : vérifiez paiements et avoirs","OK")))))))))))))))))))))</f>
        <v/>
      </c>
      <c r="AA78" s="62" t="str">
        <f>IF(COUNTA(B78:D78,F78:O78)&gt;0,IF(B78="","Facture",B78),"")</f>
        <v/>
      </c>
      <c r="AB78" s="62" t="str">
        <f>IF(AA78="","",IF(AA78="Avoir",p_pav,IF(AA78="Facture d'acompte",p_pac,p_pfa)))</f>
        <v/>
      </c>
      <c r="AC78" s="62">
        <f>IF(ISNUMBER(C78),C78,0)</f>
        <v>0.0</v>
      </c>
      <c r="AD78" s="62" t="str">
        <f>IF(OR(AA78="",AC78=0),"",YEAR(AC78))</f>
        <v/>
      </c>
      <c r="AE78" s="62" t="str">
        <f>IF(AD78="","",COUNTIFS($AB$6:AB78,AB78,$AD$6:AD78,AD78))</f>
        <v/>
      </c>
      <c r="AF78" s="62">
        <f>IF(A78="",0,COUNTIF(fl_doc,A78))</f>
        <v>0.0</v>
      </c>
      <c r="AG78" s="62" t="str">
        <f>IF(A78="","",IF(AF78&gt;0,"Facture",IF(AND(F78&lt;&gt;"",AA78="Facture",ISNUMBER(MATCH(F78,dv_num,0))),"Devis","")))</f>
        <v/>
      </c>
      <c r="AH78" s="62" t="str">
        <f>IF(AND(A78&lt;&gt;"",F78&lt;&gt;"",AA78&lt;&gt;"Avoir"),F78,"")</f>
        <v/>
      </c>
      <c r="AI78" s="62" t="str">
        <f>IF(AG78="Devis",F78,"")</f>
        <v/>
      </c>
      <c r="AJ78" s="62">
        <f>IF(AG78="Facture",SUMIF(fl_doc,A78,fl_ht),IF(AG78="Devis",SUMIF(dl_doc,F78,dl_ht),0))</f>
        <v>0.0</v>
      </c>
      <c r="AK78" s="62">
        <f>IF(OR(AG78="",INDEX(p_rates,1)=""),0,IF(AG78="Facture",SUMIFS(fl_ht,fl_doc,A78,fl_rate,INDEX(p_rates,1)),SUMIFS(dl_ht,dl_doc,F78,dl_rate,INDEX(p_rates,1))))</f>
        <v>0.0</v>
      </c>
      <c r="AL78" s="62">
        <f>IF(OR(AG78="",INDEX(p_rates,2)=""),0,IF(AG78="Facture",SUMIFS(fl_ht,fl_doc,A78,fl_rate,INDEX(p_rates,2)),SUMIFS(dl_ht,dl_doc,F78,dl_rate,INDEX(p_rates,2))))</f>
        <v>0.0</v>
      </c>
      <c r="AM78" s="62">
        <f>IF(OR(AG78="",INDEX(p_rates,3)=""),0,IF(AG78="Facture",SUMIFS(fl_ht,fl_doc,A78,fl_rate,INDEX(p_rates,3)),SUMIFS(dl_ht,dl_doc,F78,dl_rate,INDEX(p_rates,3))))</f>
        <v>0.0</v>
      </c>
      <c r="AN78" s="62">
        <f>IF(OR(AG78="",INDEX(p_rates,4)=""),0,IF(AG78="Facture",SUMIFS(fl_ht,fl_doc,A78,fl_rate,INDEX(p_rates,4)),SUMIFS(dl_ht,dl_doc,F78,dl_rate,INDEX(p_rates,4))))</f>
        <v>0.0</v>
      </c>
      <c r="AO78" s="62">
        <f>IF(OR(AG78="",INDEX(p_rates,5)=""),0,IF(AG78="Facture",SUMIFS(fl_ht,fl_doc,A78,fl_rate,INDEX(p_rates,5)),SUMIFS(dl_ht,dl_doc,F78,dl_rate,INDEX(p_rates,5))))</f>
        <v>0.0</v>
      </c>
      <c r="AP78" s="62">
        <f>IF(OR(AG78="",INDEX(p_rates,6)=""),0,IF(AG78="Facture",SUMIFS(fl_ht,fl_doc,A78,fl_rate,INDEX(p_rates,6)),SUMIFS(dl_ht,dl_doc,F78,dl_rate,INDEX(p_rates,6))))</f>
        <v>0.0</v>
      </c>
      <c r="AQ78" s="62">
        <f>ROUND(AK78*N(INDEX(p_rates,1)),2)+ROUND(AL78*N(INDEX(p_rates,2)),2)+ROUND(AM78*N(INDEX(p_rates,3)),2)+ROUND(AN78*N(INDEX(p_rates,4)),2)+ROUND(AO78*N(INDEX(p_rates,5)),2)+ROUND(AP78*N(INDEX(p_rates,6)),2)</f>
        <v>0.0</v>
      </c>
      <c r="AR78" s="62" t="str">
        <f>IF(OR(L78="",AA78&lt;&gt;"Facture"),"",IFERROR(IF(INDEX(fa_type,MATCH(L78,fa_num,0))="Facture d'acompte",MATCH(L78,fa_num,0),""),""))</f>
        <v/>
      </c>
      <c r="AS78" s="62" t="str">
        <f>IF(W78="","",IF(W78&lt;=0,"",IF(p_asof-P78&lt;=0,"Non échu",IF(p_asof-P78&lt;=30,"1-30 j",IF(p_asof-P78&lt;=60,"31-60 j",IF(p_asof-P78&lt;=90,"61-90 j","Plus de 90 j"))))))</f>
        <v/>
      </c>
      <c r="AT78" s="62" t="str">
        <f>IF(AS78="","",p_asof-P78)</f>
        <v/>
      </c>
      <c r="AU78" s="62" t="str">
        <f>IF(AT78="","",COUNTIF($AT$6:$AT$805,"&gt;"&amp;AT78)+COUNTIF($AT$6:AT78,AT78))</f>
        <v/>
      </c>
    </row>
    <row r="79">
      <c r="A79" s="59" t="str">
        <f>IF(AE79="","",AB79&amp;"-"&amp;AD79&amp;"-"&amp;RIGHT("000"&amp;AE79,4))</f>
        <v/>
      </c>
      <c r="B79" s="60" t="n"/>
      <c r="C79" s="61" t="n"/>
      <c r="D79" s="60" t="n"/>
      <c r="E79" s="62" t="str">
        <f>IF(D79="","",IFERROR(INDEX(cli_name,MATCH(D79,cli_code,0))&amp;"","Client inconnu"))</f>
        <v/>
      </c>
      <c r="F79" s="60" t="n"/>
      <c r="G79" s="63" t="n"/>
      <c r="H79" s="61" t="n"/>
      <c r="I79" s="63" t="n"/>
      <c r="J79" s="60" t="n"/>
      <c r="K79" s="61" t="n"/>
      <c r="L79" s="60" t="n"/>
      <c r="M79" s="60" t="n"/>
      <c r="N79" s="60" t="n"/>
      <c r="O79" s="61" t="n"/>
      <c r="P79" s="64" t="str">
        <f>IF(A79="","",IF(AA79="Avoir",AC79,IF(ISNUMBER(K79),K79,AC79+IF(D79="",N(p_delay),IFERROR(IF(ISNUMBER(INDEX(cli_delay,MATCH(D79,cli_code,0))),INDEX(cli_delay,MATCH(D79,cli_code,0)),N(p_delay)),N(p_delay))))))</f>
        <v/>
      </c>
      <c r="Q79" s="65" t="str">
        <f>IF(A79="","",IF(AA79="Avoir",-1,1)*ROUND(AJ79-IF(AR79="",0,INDEX(fa_htb,AR79)),2))</f>
        <v/>
      </c>
      <c r="R79" s="65" t="str">
        <f>IF(A79="","",IF(AA79="Avoir",-1,1)*ROUND(AQ79-IF(AR79="",0,INDEX(fa_tvab,AR79)),2))</f>
        <v/>
      </c>
      <c r="S79" s="65" t="str">
        <f>IF(A79="","",Q79+R79)</f>
        <v/>
      </c>
      <c r="T79" s="65" t="str">
        <f>IF(AR79="","",INDEX(fa_htb,AR79)+INDEX(fa_tvab,AR79))</f>
        <v/>
      </c>
      <c r="U79" s="65" t="str">
        <f>IF(A79="","",SUMIF(pa_inv,A79,pa_amt))</f>
        <v/>
      </c>
      <c r="V79" s="65" t="str">
        <f>IF(OR(A79="",AA79="Avoir"),"",-SUMIFS(fa_ttc,fa_avof,A79,fa_type,"Avoir"))</f>
        <v/>
      </c>
      <c r="W79" s="65" t="str">
        <f>IF(OR(A79="",AA79="Avoir"),"",ROUND(S79-U79-V79,2))</f>
        <v/>
      </c>
      <c r="X79" s="66" t="str">
        <f>IF(W79="","",IF(AND(W79&gt;0,p_asof&gt;P79),p_asof-P79,""))</f>
        <v/>
      </c>
      <c r="Y79" s="59" t="str">
        <f>IF(A79="","",IF(AA79="Avoir","Avoir",IF(W79&lt;0,"Trop-perçu",IF(W79=0,"Soldée",IF(p_asof&gt;P79,"En retard",IF(U79+V79&gt;0,"Partielle","À échoir"))))))</f>
        <v/>
      </c>
      <c r="Z79" s="59" t="str">
        <f>IF(NOT(COUNTA(B79:D79,F79:O79)&gt;0),"",IF(C79="","Date manquante",IF(NOT(ISNUMBER(C79)),"Date invalide",IF(D79="","Client manquant",IF(ISNA(MATCH(D79,cli_code,0)),"Client inconnu",IF(AC79&lt;SUMPRODUCT(MAX(($AB$6:AB78=AB79)*$AC$6:AC78)),"Date antérieure à la facture précédente",IF(AND(F79&lt;&gt;"",ISNA(MATCH(F79,dv_num,0))),"Devis inconnu",IF(AND(F79&lt;&gt;"",IFERROR(INDEX(dv_client,MATCH(F79,dv_num,0)),D79)&lt;&gt;D79),"Client différent de celui du devis",IF(AG79="","Aucune ligne : saisissez des lignes ou un devis",IF(AND(AI79&lt;&gt;"",COUNTIF($AI$6:AI79,AI79)&gt;1),"Devis déjà repris par une autre facture",IF(AND(AA79="Avoir",M79=""),"Avoir : indiquez la facture d'origine",IF(AND(AA79="Avoir",ISNA(MATCH(M79,fa_num,0))),"Facture d'origine inconnue",IF(AND(AA79&lt;&gt;"Avoir",M79&lt;&gt;""),"« Avoir sur facture » : réservé aux avoirs",IF(AND(L79&lt;&gt;"",AA79&lt;&gt;"Facture"),"Acompte à déduire : réservé aux factures",IF(AND(L79&lt;&gt;"",ISNA(MATCH(L79,fa_num,0))),"Facture d'acompte inconnue",IF(AND(L79&lt;&gt;"",IFERROR(INDEX(fa_type,MATCH(L79,fa_num,0)),"")&lt;&gt;"Facture d'acompte"),"Le n° à déduire n'est pas une facture d'acompte",IF(AND(L79&lt;&gt;"",COUNTIF($L$6:L79,L79)&gt;1),"Acompte déjà déduit sur une autre facture",IF(AND(L79&lt;&gt;"",IFERROR(INDEX(fa_client,MATCH(L79,fa_num,0)),D79)&lt;&gt;D79),"Acompte d'un autre client",IF(AND(AR79&lt;&gt;"",N(Q79)&lt;0),"Acompte supérieur au total de la facture",IF(IF(AG79="Facture",COUNTIFS(fl_doc,A79,fl_check,"&lt;&gt;OK"),IF(AG79="Devis",COUNTIFS(dl_doc,F79,dl_check,"&lt;&gt;OK"),0))&gt;0,"Ligne(s) à corriger",IF(AND(W79&lt;&gt;"",N(W79)&lt;0),"Trop-perçu : vérifiez paiements et avoirs","OK")))))))))))))))))))))</f>
        <v/>
      </c>
      <c r="AA79" s="62" t="str">
        <f>IF(COUNTA(B79:D79,F79:O79)&gt;0,IF(B79="","Facture",B79),"")</f>
        <v/>
      </c>
      <c r="AB79" s="62" t="str">
        <f>IF(AA79="","",IF(AA79="Avoir",p_pav,IF(AA79="Facture d'acompte",p_pac,p_pfa)))</f>
        <v/>
      </c>
      <c r="AC79" s="62">
        <f>IF(ISNUMBER(C79),C79,0)</f>
        <v>0.0</v>
      </c>
      <c r="AD79" s="62" t="str">
        <f>IF(OR(AA79="",AC79=0),"",YEAR(AC79))</f>
        <v/>
      </c>
      <c r="AE79" s="62" t="str">
        <f>IF(AD79="","",COUNTIFS($AB$6:AB79,AB79,$AD$6:AD79,AD79))</f>
        <v/>
      </c>
      <c r="AF79" s="62">
        <f>IF(A79="",0,COUNTIF(fl_doc,A79))</f>
        <v>0.0</v>
      </c>
      <c r="AG79" s="62" t="str">
        <f>IF(A79="","",IF(AF79&gt;0,"Facture",IF(AND(F79&lt;&gt;"",AA79="Facture",ISNUMBER(MATCH(F79,dv_num,0))),"Devis","")))</f>
        <v/>
      </c>
      <c r="AH79" s="62" t="str">
        <f>IF(AND(A79&lt;&gt;"",F79&lt;&gt;"",AA79&lt;&gt;"Avoir"),F79,"")</f>
        <v/>
      </c>
      <c r="AI79" s="62" t="str">
        <f>IF(AG79="Devis",F79,"")</f>
        <v/>
      </c>
      <c r="AJ79" s="62">
        <f>IF(AG79="Facture",SUMIF(fl_doc,A79,fl_ht),IF(AG79="Devis",SUMIF(dl_doc,F79,dl_ht),0))</f>
        <v>0.0</v>
      </c>
      <c r="AK79" s="62">
        <f>IF(OR(AG79="",INDEX(p_rates,1)=""),0,IF(AG79="Facture",SUMIFS(fl_ht,fl_doc,A79,fl_rate,INDEX(p_rates,1)),SUMIFS(dl_ht,dl_doc,F79,dl_rate,INDEX(p_rates,1))))</f>
        <v>0.0</v>
      </c>
      <c r="AL79" s="62">
        <f>IF(OR(AG79="",INDEX(p_rates,2)=""),0,IF(AG79="Facture",SUMIFS(fl_ht,fl_doc,A79,fl_rate,INDEX(p_rates,2)),SUMIFS(dl_ht,dl_doc,F79,dl_rate,INDEX(p_rates,2))))</f>
        <v>0.0</v>
      </c>
      <c r="AM79" s="62">
        <f>IF(OR(AG79="",INDEX(p_rates,3)=""),0,IF(AG79="Facture",SUMIFS(fl_ht,fl_doc,A79,fl_rate,INDEX(p_rates,3)),SUMIFS(dl_ht,dl_doc,F79,dl_rate,INDEX(p_rates,3))))</f>
        <v>0.0</v>
      </c>
      <c r="AN79" s="62">
        <f>IF(OR(AG79="",INDEX(p_rates,4)=""),0,IF(AG79="Facture",SUMIFS(fl_ht,fl_doc,A79,fl_rate,INDEX(p_rates,4)),SUMIFS(dl_ht,dl_doc,F79,dl_rate,INDEX(p_rates,4))))</f>
        <v>0.0</v>
      </c>
      <c r="AO79" s="62">
        <f>IF(OR(AG79="",INDEX(p_rates,5)=""),0,IF(AG79="Facture",SUMIFS(fl_ht,fl_doc,A79,fl_rate,INDEX(p_rates,5)),SUMIFS(dl_ht,dl_doc,F79,dl_rate,INDEX(p_rates,5))))</f>
        <v>0.0</v>
      </c>
      <c r="AP79" s="62">
        <f>IF(OR(AG79="",INDEX(p_rates,6)=""),0,IF(AG79="Facture",SUMIFS(fl_ht,fl_doc,A79,fl_rate,INDEX(p_rates,6)),SUMIFS(dl_ht,dl_doc,F79,dl_rate,INDEX(p_rates,6))))</f>
        <v>0.0</v>
      </c>
      <c r="AQ79" s="62">
        <f>ROUND(AK79*N(INDEX(p_rates,1)),2)+ROUND(AL79*N(INDEX(p_rates,2)),2)+ROUND(AM79*N(INDEX(p_rates,3)),2)+ROUND(AN79*N(INDEX(p_rates,4)),2)+ROUND(AO79*N(INDEX(p_rates,5)),2)+ROUND(AP79*N(INDEX(p_rates,6)),2)</f>
        <v>0.0</v>
      </c>
      <c r="AR79" s="62" t="str">
        <f>IF(OR(L79="",AA79&lt;&gt;"Facture"),"",IFERROR(IF(INDEX(fa_type,MATCH(L79,fa_num,0))="Facture d'acompte",MATCH(L79,fa_num,0),""),""))</f>
        <v/>
      </c>
      <c r="AS79" s="62" t="str">
        <f>IF(W79="","",IF(W79&lt;=0,"",IF(p_asof-P79&lt;=0,"Non échu",IF(p_asof-P79&lt;=30,"1-30 j",IF(p_asof-P79&lt;=60,"31-60 j",IF(p_asof-P79&lt;=90,"61-90 j","Plus de 90 j"))))))</f>
        <v/>
      </c>
      <c r="AT79" s="62" t="str">
        <f>IF(AS79="","",p_asof-P79)</f>
        <v/>
      </c>
      <c r="AU79" s="62" t="str">
        <f>IF(AT79="","",COUNTIF($AT$6:$AT$805,"&gt;"&amp;AT79)+COUNTIF($AT$6:AT79,AT79))</f>
        <v/>
      </c>
    </row>
    <row r="80">
      <c r="A80" s="59" t="str">
        <f>IF(AE80="","",AB80&amp;"-"&amp;AD80&amp;"-"&amp;RIGHT("000"&amp;AE80,4))</f>
        <v/>
      </c>
      <c r="B80" s="60" t="n"/>
      <c r="C80" s="61" t="n"/>
      <c r="D80" s="60" t="n"/>
      <c r="E80" s="62" t="str">
        <f>IF(D80="","",IFERROR(INDEX(cli_name,MATCH(D80,cli_code,0))&amp;"","Client inconnu"))</f>
        <v/>
      </c>
      <c r="F80" s="60" t="n"/>
      <c r="G80" s="63" t="n"/>
      <c r="H80" s="61" t="n"/>
      <c r="I80" s="63" t="n"/>
      <c r="J80" s="60" t="n"/>
      <c r="K80" s="61" t="n"/>
      <c r="L80" s="60" t="n"/>
      <c r="M80" s="60" t="n"/>
      <c r="N80" s="60" t="n"/>
      <c r="O80" s="61" t="n"/>
      <c r="P80" s="64" t="str">
        <f>IF(A80="","",IF(AA80="Avoir",AC80,IF(ISNUMBER(K80),K80,AC80+IF(D80="",N(p_delay),IFERROR(IF(ISNUMBER(INDEX(cli_delay,MATCH(D80,cli_code,0))),INDEX(cli_delay,MATCH(D80,cli_code,0)),N(p_delay)),N(p_delay))))))</f>
        <v/>
      </c>
      <c r="Q80" s="65" t="str">
        <f>IF(A80="","",IF(AA80="Avoir",-1,1)*ROUND(AJ80-IF(AR80="",0,INDEX(fa_htb,AR80)),2))</f>
        <v/>
      </c>
      <c r="R80" s="65" t="str">
        <f>IF(A80="","",IF(AA80="Avoir",-1,1)*ROUND(AQ80-IF(AR80="",0,INDEX(fa_tvab,AR80)),2))</f>
        <v/>
      </c>
      <c r="S80" s="65" t="str">
        <f>IF(A80="","",Q80+R80)</f>
        <v/>
      </c>
      <c r="T80" s="65" t="str">
        <f>IF(AR80="","",INDEX(fa_htb,AR80)+INDEX(fa_tvab,AR80))</f>
        <v/>
      </c>
      <c r="U80" s="65" t="str">
        <f>IF(A80="","",SUMIF(pa_inv,A80,pa_amt))</f>
        <v/>
      </c>
      <c r="V80" s="65" t="str">
        <f>IF(OR(A80="",AA80="Avoir"),"",-SUMIFS(fa_ttc,fa_avof,A80,fa_type,"Avoir"))</f>
        <v/>
      </c>
      <c r="W80" s="65" t="str">
        <f>IF(OR(A80="",AA80="Avoir"),"",ROUND(S80-U80-V80,2))</f>
        <v/>
      </c>
      <c r="X80" s="66" t="str">
        <f>IF(W80="","",IF(AND(W80&gt;0,p_asof&gt;P80),p_asof-P80,""))</f>
        <v/>
      </c>
      <c r="Y80" s="59" t="str">
        <f>IF(A80="","",IF(AA80="Avoir","Avoir",IF(W80&lt;0,"Trop-perçu",IF(W80=0,"Soldée",IF(p_asof&gt;P80,"En retard",IF(U80+V80&gt;0,"Partielle","À échoir"))))))</f>
        <v/>
      </c>
      <c r="Z80" s="59" t="str">
        <f>IF(NOT(COUNTA(B80:D80,F80:O80)&gt;0),"",IF(C80="","Date manquante",IF(NOT(ISNUMBER(C80)),"Date invalide",IF(D80="","Client manquant",IF(ISNA(MATCH(D80,cli_code,0)),"Client inconnu",IF(AC80&lt;SUMPRODUCT(MAX(($AB$6:AB79=AB80)*$AC$6:AC79)),"Date antérieure à la facture précédente",IF(AND(F80&lt;&gt;"",ISNA(MATCH(F80,dv_num,0))),"Devis inconnu",IF(AND(F80&lt;&gt;"",IFERROR(INDEX(dv_client,MATCH(F80,dv_num,0)),D80)&lt;&gt;D80),"Client différent de celui du devis",IF(AG80="","Aucune ligne : saisissez des lignes ou un devis",IF(AND(AI80&lt;&gt;"",COUNTIF($AI$6:AI80,AI80)&gt;1),"Devis déjà repris par une autre facture",IF(AND(AA80="Avoir",M80=""),"Avoir : indiquez la facture d'origine",IF(AND(AA80="Avoir",ISNA(MATCH(M80,fa_num,0))),"Facture d'origine inconnue",IF(AND(AA80&lt;&gt;"Avoir",M80&lt;&gt;""),"« Avoir sur facture » : réservé aux avoirs",IF(AND(L80&lt;&gt;"",AA80&lt;&gt;"Facture"),"Acompte à déduire : réservé aux factures",IF(AND(L80&lt;&gt;"",ISNA(MATCH(L80,fa_num,0))),"Facture d'acompte inconnue",IF(AND(L80&lt;&gt;"",IFERROR(INDEX(fa_type,MATCH(L80,fa_num,0)),"")&lt;&gt;"Facture d'acompte"),"Le n° à déduire n'est pas une facture d'acompte",IF(AND(L80&lt;&gt;"",COUNTIF($L$6:L80,L80)&gt;1),"Acompte déjà déduit sur une autre facture",IF(AND(L80&lt;&gt;"",IFERROR(INDEX(fa_client,MATCH(L80,fa_num,0)),D80)&lt;&gt;D80),"Acompte d'un autre client",IF(AND(AR80&lt;&gt;"",N(Q80)&lt;0),"Acompte supérieur au total de la facture",IF(IF(AG80="Facture",COUNTIFS(fl_doc,A80,fl_check,"&lt;&gt;OK"),IF(AG80="Devis",COUNTIFS(dl_doc,F80,dl_check,"&lt;&gt;OK"),0))&gt;0,"Ligne(s) à corriger",IF(AND(W80&lt;&gt;"",N(W80)&lt;0),"Trop-perçu : vérifiez paiements et avoirs","OK")))))))))))))))))))))</f>
        <v/>
      </c>
      <c r="AA80" s="62" t="str">
        <f>IF(COUNTA(B80:D80,F80:O80)&gt;0,IF(B80="","Facture",B80),"")</f>
        <v/>
      </c>
      <c r="AB80" s="62" t="str">
        <f>IF(AA80="","",IF(AA80="Avoir",p_pav,IF(AA80="Facture d'acompte",p_pac,p_pfa)))</f>
        <v/>
      </c>
      <c r="AC80" s="62">
        <f>IF(ISNUMBER(C80),C80,0)</f>
        <v>0.0</v>
      </c>
      <c r="AD80" s="62" t="str">
        <f>IF(OR(AA80="",AC80=0),"",YEAR(AC80))</f>
        <v/>
      </c>
      <c r="AE80" s="62" t="str">
        <f>IF(AD80="","",COUNTIFS($AB$6:AB80,AB80,$AD$6:AD80,AD80))</f>
        <v/>
      </c>
      <c r="AF80" s="62">
        <f>IF(A80="",0,COUNTIF(fl_doc,A80))</f>
        <v>0.0</v>
      </c>
      <c r="AG80" s="62" t="str">
        <f>IF(A80="","",IF(AF80&gt;0,"Facture",IF(AND(F80&lt;&gt;"",AA80="Facture",ISNUMBER(MATCH(F80,dv_num,0))),"Devis","")))</f>
        <v/>
      </c>
      <c r="AH80" s="62" t="str">
        <f>IF(AND(A80&lt;&gt;"",F80&lt;&gt;"",AA80&lt;&gt;"Avoir"),F80,"")</f>
        <v/>
      </c>
      <c r="AI80" s="62" t="str">
        <f>IF(AG80="Devis",F80,"")</f>
        <v/>
      </c>
      <c r="AJ80" s="62">
        <f>IF(AG80="Facture",SUMIF(fl_doc,A80,fl_ht),IF(AG80="Devis",SUMIF(dl_doc,F80,dl_ht),0))</f>
        <v>0.0</v>
      </c>
      <c r="AK80" s="62">
        <f>IF(OR(AG80="",INDEX(p_rates,1)=""),0,IF(AG80="Facture",SUMIFS(fl_ht,fl_doc,A80,fl_rate,INDEX(p_rates,1)),SUMIFS(dl_ht,dl_doc,F80,dl_rate,INDEX(p_rates,1))))</f>
        <v>0.0</v>
      </c>
      <c r="AL80" s="62">
        <f>IF(OR(AG80="",INDEX(p_rates,2)=""),0,IF(AG80="Facture",SUMIFS(fl_ht,fl_doc,A80,fl_rate,INDEX(p_rates,2)),SUMIFS(dl_ht,dl_doc,F80,dl_rate,INDEX(p_rates,2))))</f>
        <v>0.0</v>
      </c>
      <c r="AM80" s="62">
        <f>IF(OR(AG80="",INDEX(p_rates,3)=""),0,IF(AG80="Facture",SUMIFS(fl_ht,fl_doc,A80,fl_rate,INDEX(p_rates,3)),SUMIFS(dl_ht,dl_doc,F80,dl_rate,INDEX(p_rates,3))))</f>
        <v>0.0</v>
      </c>
      <c r="AN80" s="62">
        <f>IF(OR(AG80="",INDEX(p_rates,4)=""),0,IF(AG80="Facture",SUMIFS(fl_ht,fl_doc,A80,fl_rate,INDEX(p_rates,4)),SUMIFS(dl_ht,dl_doc,F80,dl_rate,INDEX(p_rates,4))))</f>
        <v>0.0</v>
      </c>
      <c r="AO80" s="62">
        <f>IF(OR(AG80="",INDEX(p_rates,5)=""),0,IF(AG80="Facture",SUMIFS(fl_ht,fl_doc,A80,fl_rate,INDEX(p_rates,5)),SUMIFS(dl_ht,dl_doc,F80,dl_rate,INDEX(p_rates,5))))</f>
        <v>0.0</v>
      </c>
      <c r="AP80" s="62">
        <f>IF(OR(AG80="",INDEX(p_rates,6)=""),0,IF(AG80="Facture",SUMIFS(fl_ht,fl_doc,A80,fl_rate,INDEX(p_rates,6)),SUMIFS(dl_ht,dl_doc,F80,dl_rate,INDEX(p_rates,6))))</f>
        <v>0.0</v>
      </c>
      <c r="AQ80" s="62">
        <f>ROUND(AK80*N(INDEX(p_rates,1)),2)+ROUND(AL80*N(INDEX(p_rates,2)),2)+ROUND(AM80*N(INDEX(p_rates,3)),2)+ROUND(AN80*N(INDEX(p_rates,4)),2)+ROUND(AO80*N(INDEX(p_rates,5)),2)+ROUND(AP80*N(INDEX(p_rates,6)),2)</f>
        <v>0.0</v>
      </c>
      <c r="AR80" s="62" t="str">
        <f>IF(OR(L80="",AA80&lt;&gt;"Facture"),"",IFERROR(IF(INDEX(fa_type,MATCH(L80,fa_num,0))="Facture d'acompte",MATCH(L80,fa_num,0),""),""))</f>
        <v/>
      </c>
      <c r="AS80" s="62" t="str">
        <f>IF(W80="","",IF(W80&lt;=0,"",IF(p_asof-P80&lt;=0,"Non échu",IF(p_asof-P80&lt;=30,"1-30 j",IF(p_asof-P80&lt;=60,"31-60 j",IF(p_asof-P80&lt;=90,"61-90 j","Plus de 90 j"))))))</f>
        <v/>
      </c>
      <c r="AT80" s="62" t="str">
        <f>IF(AS80="","",p_asof-P80)</f>
        <v/>
      </c>
      <c r="AU80" s="62" t="str">
        <f>IF(AT80="","",COUNTIF($AT$6:$AT$805,"&gt;"&amp;AT80)+COUNTIF($AT$6:AT80,AT80))</f>
        <v/>
      </c>
    </row>
    <row r="81">
      <c r="A81" s="59" t="str">
        <f>IF(AE81="","",AB81&amp;"-"&amp;AD81&amp;"-"&amp;RIGHT("000"&amp;AE81,4))</f>
        <v/>
      </c>
      <c r="B81" s="60" t="n"/>
      <c r="C81" s="61" t="n"/>
      <c r="D81" s="60" t="n"/>
      <c r="E81" s="62" t="str">
        <f>IF(D81="","",IFERROR(INDEX(cli_name,MATCH(D81,cli_code,0))&amp;"","Client inconnu"))</f>
        <v/>
      </c>
      <c r="F81" s="60" t="n"/>
      <c r="G81" s="63" t="n"/>
      <c r="H81" s="61" t="n"/>
      <c r="I81" s="63" t="n"/>
      <c r="J81" s="60" t="n"/>
      <c r="K81" s="61" t="n"/>
      <c r="L81" s="60" t="n"/>
      <c r="M81" s="60" t="n"/>
      <c r="N81" s="60" t="n"/>
      <c r="O81" s="61" t="n"/>
      <c r="P81" s="64" t="str">
        <f>IF(A81="","",IF(AA81="Avoir",AC81,IF(ISNUMBER(K81),K81,AC81+IF(D81="",N(p_delay),IFERROR(IF(ISNUMBER(INDEX(cli_delay,MATCH(D81,cli_code,0))),INDEX(cli_delay,MATCH(D81,cli_code,0)),N(p_delay)),N(p_delay))))))</f>
        <v/>
      </c>
      <c r="Q81" s="65" t="str">
        <f>IF(A81="","",IF(AA81="Avoir",-1,1)*ROUND(AJ81-IF(AR81="",0,INDEX(fa_htb,AR81)),2))</f>
        <v/>
      </c>
      <c r="R81" s="65" t="str">
        <f>IF(A81="","",IF(AA81="Avoir",-1,1)*ROUND(AQ81-IF(AR81="",0,INDEX(fa_tvab,AR81)),2))</f>
        <v/>
      </c>
      <c r="S81" s="65" t="str">
        <f>IF(A81="","",Q81+R81)</f>
        <v/>
      </c>
      <c r="T81" s="65" t="str">
        <f>IF(AR81="","",INDEX(fa_htb,AR81)+INDEX(fa_tvab,AR81))</f>
        <v/>
      </c>
      <c r="U81" s="65" t="str">
        <f>IF(A81="","",SUMIF(pa_inv,A81,pa_amt))</f>
        <v/>
      </c>
      <c r="V81" s="65" t="str">
        <f>IF(OR(A81="",AA81="Avoir"),"",-SUMIFS(fa_ttc,fa_avof,A81,fa_type,"Avoir"))</f>
        <v/>
      </c>
      <c r="W81" s="65" t="str">
        <f>IF(OR(A81="",AA81="Avoir"),"",ROUND(S81-U81-V81,2))</f>
        <v/>
      </c>
      <c r="X81" s="66" t="str">
        <f>IF(W81="","",IF(AND(W81&gt;0,p_asof&gt;P81),p_asof-P81,""))</f>
        <v/>
      </c>
      <c r="Y81" s="59" t="str">
        <f>IF(A81="","",IF(AA81="Avoir","Avoir",IF(W81&lt;0,"Trop-perçu",IF(W81=0,"Soldée",IF(p_asof&gt;P81,"En retard",IF(U81+V81&gt;0,"Partielle","À échoir"))))))</f>
        <v/>
      </c>
      <c r="Z81" s="59" t="str">
        <f>IF(NOT(COUNTA(B81:D81,F81:O81)&gt;0),"",IF(C81="","Date manquante",IF(NOT(ISNUMBER(C81)),"Date invalide",IF(D81="","Client manquant",IF(ISNA(MATCH(D81,cli_code,0)),"Client inconnu",IF(AC81&lt;SUMPRODUCT(MAX(($AB$6:AB80=AB81)*$AC$6:AC80)),"Date antérieure à la facture précédente",IF(AND(F81&lt;&gt;"",ISNA(MATCH(F81,dv_num,0))),"Devis inconnu",IF(AND(F81&lt;&gt;"",IFERROR(INDEX(dv_client,MATCH(F81,dv_num,0)),D81)&lt;&gt;D81),"Client différent de celui du devis",IF(AG81="","Aucune ligne : saisissez des lignes ou un devis",IF(AND(AI81&lt;&gt;"",COUNTIF($AI$6:AI81,AI81)&gt;1),"Devis déjà repris par une autre facture",IF(AND(AA81="Avoir",M81=""),"Avoir : indiquez la facture d'origine",IF(AND(AA81="Avoir",ISNA(MATCH(M81,fa_num,0))),"Facture d'origine inconnue",IF(AND(AA81&lt;&gt;"Avoir",M81&lt;&gt;""),"« Avoir sur facture » : réservé aux avoirs",IF(AND(L81&lt;&gt;"",AA81&lt;&gt;"Facture"),"Acompte à déduire : réservé aux factures",IF(AND(L81&lt;&gt;"",ISNA(MATCH(L81,fa_num,0))),"Facture d'acompte inconnue",IF(AND(L81&lt;&gt;"",IFERROR(INDEX(fa_type,MATCH(L81,fa_num,0)),"")&lt;&gt;"Facture d'acompte"),"Le n° à déduire n'est pas une facture d'acompte",IF(AND(L81&lt;&gt;"",COUNTIF($L$6:L81,L81)&gt;1),"Acompte déjà déduit sur une autre facture",IF(AND(L81&lt;&gt;"",IFERROR(INDEX(fa_client,MATCH(L81,fa_num,0)),D81)&lt;&gt;D81),"Acompte d'un autre client",IF(AND(AR81&lt;&gt;"",N(Q81)&lt;0),"Acompte supérieur au total de la facture",IF(IF(AG81="Facture",COUNTIFS(fl_doc,A81,fl_check,"&lt;&gt;OK"),IF(AG81="Devis",COUNTIFS(dl_doc,F81,dl_check,"&lt;&gt;OK"),0))&gt;0,"Ligne(s) à corriger",IF(AND(W81&lt;&gt;"",N(W81)&lt;0),"Trop-perçu : vérifiez paiements et avoirs","OK")))))))))))))))))))))</f>
        <v/>
      </c>
      <c r="AA81" s="62" t="str">
        <f>IF(COUNTA(B81:D81,F81:O81)&gt;0,IF(B81="","Facture",B81),"")</f>
        <v/>
      </c>
      <c r="AB81" s="62" t="str">
        <f>IF(AA81="","",IF(AA81="Avoir",p_pav,IF(AA81="Facture d'acompte",p_pac,p_pfa)))</f>
        <v/>
      </c>
      <c r="AC81" s="62">
        <f>IF(ISNUMBER(C81),C81,0)</f>
        <v>0.0</v>
      </c>
      <c r="AD81" s="62" t="str">
        <f>IF(OR(AA81="",AC81=0),"",YEAR(AC81))</f>
        <v/>
      </c>
      <c r="AE81" s="62" t="str">
        <f>IF(AD81="","",COUNTIFS($AB$6:AB81,AB81,$AD$6:AD81,AD81))</f>
        <v/>
      </c>
      <c r="AF81" s="62">
        <f>IF(A81="",0,COUNTIF(fl_doc,A81))</f>
        <v>0.0</v>
      </c>
      <c r="AG81" s="62" t="str">
        <f>IF(A81="","",IF(AF81&gt;0,"Facture",IF(AND(F81&lt;&gt;"",AA81="Facture",ISNUMBER(MATCH(F81,dv_num,0))),"Devis","")))</f>
        <v/>
      </c>
      <c r="AH81" s="62" t="str">
        <f>IF(AND(A81&lt;&gt;"",F81&lt;&gt;"",AA81&lt;&gt;"Avoir"),F81,"")</f>
        <v/>
      </c>
      <c r="AI81" s="62" t="str">
        <f>IF(AG81="Devis",F81,"")</f>
        <v/>
      </c>
      <c r="AJ81" s="62">
        <f>IF(AG81="Facture",SUMIF(fl_doc,A81,fl_ht),IF(AG81="Devis",SUMIF(dl_doc,F81,dl_ht),0))</f>
        <v>0.0</v>
      </c>
      <c r="AK81" s="62">
        <f>IF(OR(AG81="",INDEX(p_rates,1)=""),0,IF(AG81="Facture",SUMIFS(fl_ht,fl_doc,A81,fl_rate,INDEX(p_rates,1)),SUMIFS(dl_ht,dl_doc,F81,dl_rate,INDEX(p_rates,1))))</f>
        <v>0.0</v>
      </c>
      <c r="AL81" s="62">
        <f>IF(OR(AG81="",INDEX(p_rates,2)=""),0,IF(AG81="Facture",SUMIFS(fl_ht,fl_doc,A81,fl_rate,INDEX(p_rates,2)),SUMIFS(dl_ht,dl_doc,F81,dl_rate,INDEX(p_rates,2))))</f>
        <v>0.0</v>
      </c>
      <c r="AM81" s="62">
        <f>IF(OR(AG81="",INDEX(p_rates,3)=""),0,IF(AG81="Facture",SUMIFS(fl_ht,fl_doc,A81,fl_rate,INDEX(p_rates,3)),SUMIFS(dl_ht,dl_doc,F81,dl_rate,INDEX(p_rates,3))))</f>
        <v>0.0</v>
      </c>
      <c r="AN81" s="62">
        <f>IF(OR(AG81="",INDEX(p_rates,4)=""),0,IF(AG81="Facture",SUMIFS(fl_ht,fl_doc,A81,fl_rate,INDEX(p_rates,4)),SUMIFS(dl_ht,dl_doc,F81,dl_rate,INDEX(p_rates,4))))</f>
        <v>0.0</v>
      </c>
      <c r="AO81" s="62">
        <f>IF(OR(AG81="",INDEX(p_rates,5)=""),0,IF(AG81="Facture",SUMIFS(fl_ht,fl_doc,A81,fl_rate,INDEX(p_rates,5)),SUMIFS(dl_ht,dl_doc,F81,dl_rate,INDEX(p_rates,5))))</f>
        <v>0.0</v>
      </c>
      <c r="AP81" s="62">
        <f>IF(OR(AG81="",INDEX(p_rates,6)=""),0,IF(AG81="Facture",SUMIFS(fl_ht,fl_doc,A81,fl_rate,INDEX(p_rates,6)),SUMIFS(dl_ht,dl_doc,F81,dl_rate,INDEX(p_rates,6))))</f>
        <v>0.0</v>
      </c>
      <c r="AQ81" s="62">
        <f>ROUND(AK81*N(INDEX(p_rates,1)),2)+ROUND(AL81*N(INDEX(p_rates,2)),2)+ROUND(AM81*N(INDEX(p_rates,3)),2)+ROUND(AN81*N(INDEX(p_rates,4)),2)+ROUND(AO81*N(INDEX(p_rates,5)),2)+ROUND(AP81*N(INDEX(p_rates,6)),2)</f>
        <v>0.0</v>
      </c>
      <c r="AR81" s="62" t="str">
        <f>IF(OR(L81="",AA81&lt;&gt;"Facture"),"",IFERROR(IF(INDEX(fa_type,MATCH(L81,fa_num,0))="Facture d'acompte",MATCH(L81,fa_num,0),""),""))</f>
        <v/>
      </c>
      <c r="AS81" s="62" t="str">
        <f>IF(W81="","",IF(W81&lt;=0,"",IF(p_asof-P81&lt;=0,"Non échu",IF(p_asof-P81&lt;=30,"1-30 j",IF(p_asof-P81&lt;=60,"31-60 j",IF(p_asof-P81&lt;=90,"61-90 j","Plus de 90 j"))))))</f>
        <v/>
      </c>
      <c r="AT81" s="62" t="str">
        <f>IF(AS81="","",p_asof-P81)</f>
        <v/>
      </c>
      <c r="AU81" s="62" t="str">
        <f>IF(AT81="","",COUNTIF($AT$6:$AT$805,"&gt;"&amp;AT81)+COUNTIF($AT$6:AT81,AT81))</f>
        <v/>
      </c>
    </row>
    <row r="82">
      <c r="A82" s="59" t="str">
        <f>IF(AE82="","",AB82&amp;"-"&amp;AD82&amp;"-"&amp;RIGHT("000"&amp;AE82,4))</f>
        <v/>
      </c>
      <c r="B82" s="60" t="n"/>
      <c r="C82" s="61" t="n"/>
      <c r="D82" s="60" t="n"/>
      <c r="E82" s="62" t="str">
        <f>IF(D82="","",IFERROR(INDEX(cli_name,MATCH(D82,cli_code,0))&amp;"","Client inconnu"))</f>
        <v/>
      </c>
      <c r="F82" s="60" t="n"/>
      <c r="G82" s="63" t="n"/>
      <c r="H82" s="61" t="n"/>
      <c r="I82" s="63" t="n"/>
      <c r="J82" s="60" t="n"/>
      <c r="K82" s="61" t="n"/>
      <c r="L82" s="60" t="n"/>
      <c r="M82" s="60" t="n"/>
      <c r="N82" s="60" t="n"/>
      <c r="O82" s="61" t="n"/>
      <c r="P82" s="64" t="str">
        <f>IF(A82="","",IF(AA82="Avoir",AC82,IF(ISNUMBER(K82),K82,AC82+IF(D82="",N(p_delay),IFERROR(IF(ISNUMBER(INDEX(cli_delay,MATCH(D82,cli_code,0))),INDEX(cli_delay,MATCH(D82,cli_code,0)),N(p_delay)),N(p_delay))))))</f>
        <v/>
      </c>
      <c r="Q82" s="65" t="str">
        <f>IF(A82="","",IF(AA82="Avoir",-1,1)*ROUND(AJ82-IF(AR82="",0,INDEX(fa_htb,AR82)),2))</f>
        <v/>
      </c>
      <c r="R82" s="65" t="str">
        <f>IF(A82="","",IF(AA82="Avoir",-1,1)*ROUND(AQ82-IF(AR82="",0,INDEX(fa_tvab,AR82)),2))</f>
        <v/>
      </c>
      <c r="S82" s="65" t="str">
        <f>IF(A82="","",Q82+R82)</f>
        <v/>
      </c>
      <c r="T82" s="65" t="str">
        <f>IF(AR82="","",INDEX(fa_htb,AR82)+INDEX(fa_tvab,AR82))</f>
        <v/>
      </c>
      <c r="U82" s="65" t="str">
        <f>IF(A82="","",SUMIF(pa_inv,A82,pa_amt))</f>
        <v/>
      </c>
      <c r="V82" s="65" t="str">
        <f>IF(OR(A82="",AA82="Avoir"),"",-SUMIFS(fa_ttc,fa_avof,A82,fa_type,"Avoir"))</f>
        <v/>
      </c>
      <c r="W82" s="65" t="str">
        <f>IF(OR(A82="",AA82="Avoir"),"",ROUND(S82-U82-V82,2))</f>
        <v/>
      </c>
      <c r="X82" s="66" t="str">
        <f>IF(W82="","",IF(AND(W82&gt;0,p_asof&gt;P82),p_asof-P82,""))</f>
        <v/>
      </c>
      <c r="Y82" s="59" t="str">
        <f>IF(A82="","",IF(AA82="Avoir","Avoir",IF(W82&lt;0,"Trop-perçu",IF(W82=0,"Soldée",IF(p_asof&gt;P82,"En retard",IF(U82+V82&gt;0,"Partielle","À échoir"))))))</f>
        <v/>
      </c>
      <c r="Z82" s="59" t="str">
        <f>IF(NOT(COUNTA(B82:D82,F82:O82)&gt;0),"",IF(C82="","Date manquante",IF(NOT(ISNUMBER(C82)),"Date invalide",IF(D82="","Client manquant",IF(ISNA(MATCH(D82,cli_code,0)),"Client inconnu",IF(AC82&lt;SUMPRODUCT(MAX(($AB$6:AB81=AB82)*$AC$6:AC81)),"Date antérieure à la facture précédente",IF(AND(F82&lt;&gt;"",ISNA(MATCH(F82,dv_num,0))),"Devis inconnu",IF(AND(F82&lt;&gt;"",IFERROR(INDEX(dv_client,MATCH(F82,dv_num,0)),D82)&lt;&gt;D82),"Client différent de celui du devis",IF(AG82="","Aucune ligne : saisissez des lignes ou un devis",IF(AND(AI82&lt;&gt;"",COUNTIF($AI$6:AI82,AI82)&gt;1),"Devis déjà repris par une autre facture",IF(AND(AA82="Avoir",M82=""),"Avoir : indiquez la facture d'origine",IF(AND(AA82="Avoir",ISNA(MATCH(M82,fa_num,0))),"Facture d'origine inconnue",IF(AND(AA82&lt;&gt;"Avoir",M82&lt;&gt;""),"« Avoir sur facture » : réservé aux avoirs",IF(AND(L82&lt;&gt;"",AA82&lt;&gt;"Facture"),"Acompte à déduire : réservé aux factures",IF(AND(L82&lt;&gt;"",ISNA(MATCH(L82,fa_num,0))),"Facture d'acompte inconnue",IF(AND(L82&lt;&gt;"",IFERROR(INDEX(fa_type,MATCH(L82,fa_num,0)),"")&lt;&gt;"Facture d'acompte"),"Le n° à déduire n'est pas une facture d'acompte",IF(AND(L82&lt;&gt;"",COUNTIF($L$6:L82,L82)&gt;1),"Acompte déjà déduit sur une autre facture",IF(AND(L82&lt;&gt;"",IFERROR(INDEX(fa_client,MATCH(L82,fa_num,0)),D82)&lt;&gt;D82),"Acompte d'un autre client",IF(AND(AR82&lt;&gt;"",N(Q82)&lt;0),"Acompte supérieur au total de la facture",IF(IF(AG82="Facture",COUNTIFS(fl_doc,A82,fl_check,"&lt;&gt;OK"),IF(AG82="Devis",COUNTIFS(dl_doc,F82,dl_check,"&lt;&gt;OK"),0))&gt;0,"Ligne(s) à corriger",IF(AND(W82&lt;&gt;"",N(W82)&lt;0),"Trop-perçu : vérifiez paiements et avoirs","OK")))))))))))))))))))))</f>
        <v/>
      </c>
      <c r="AA82" s="62" t="str">
        <f>IF(COUNTA(B82:D82,F82:O82)&gt;0,IF(B82="","Facture",B82),"")</f>
        <v/>
      </c>
      <c r="AB82" s="62" t="str">
        <f>IF(AA82="","",IF(AA82="Avoir",p_pav,IF(AA82="Facture d'acompte",p_pac,p_pfa)))</f>
        <v/>
      </c>
      <c r="AC82" s="62">
        <f>IF(ISNUMBER(C82),C82,0)</f>
        <v>0.0</v>
      </c>
      <c r="AD82" s="62" t="str">
        <f>IF(OR(AA82="",AC82=0),"",YEAR(AC82))</f>
        <v/>
      </c>
      <c r="AE82" s="62" t="str">
        <f>IF(AD82="","",COUNTIFS($AB$6:AB82,AB82,$AD$6:AD82,AD82))</f>
        <v/>
      </c>
      <c r="AF82" s="62">
        <f>IF(A82="",0,COUNTIF(fl_doc,A82))</f>
        <v>0.0</v>
      </c>
      <c r="AG82" s="62" t="str">
        <f>IF(A82="","",IF(AF82&gt;0,"Facture",IF(AND(F82&lt;&gt;"",AA82="Facture",ISNUMBER(MATCH(F82,dv_num,0))),"Devis","")))</f>
        <v/>
      </c>
      <c r="AH82" s="62" t="str">
        <f>IF(AND(A82&lt;&gt;"",F82&lt;&gt;"",AA82&lt;&gt;"Avoir"),F82,"")</f>
        <v/>
      </c>
      <c r="AI82" s="62" t="str">
        <f>IF(AG82="Devis",F82,"")</f>
        <v/>
      </c>
      <c r="AJ82" s="62">
        <f>IF(AG82="Facture",SUMIF(fl_doc,A82,fl_ht),IF(AG82="Devis",SUMIF(dl_doc,F82,dl_ht),0))</f>
        <v>0.0</v>
      </c>
      <c r="AK82" s="62">
        <f>IF(OR(AG82="",INDEX(p_rates,1)=""),0,IF(AG82="Facture",SUMIFS(fl_ht,fl_doc,A82,fl_rate,INDEX(p_rates,1)),SUMIFS(dl_ht,dl_doc,F82,dl_rate,INDEX(p_rates,1))))</f>
        <v>0.0</v>
      </c>
      <c r="AL82" s="62">
        <f>IF(OR(AG82="",INDEX(p_rates,2)=""),0,IF(AG82="Facture",SUMIFS(fl_ht,fl_doc,A82,fl_rate,INDEX(p_rates,2)),SUMIFS(dl_ht,dl_doc,F82,dl_rate,INDEX(p_rates,2))))</f>
        <v>0.0</v>
      </c>
      <c r="AM82" s="62">
        <f>IF(OR(AG82="",INDEX(p_rates,3)=""),0,IF(AG82="Facture",SUMIFS(fl_ht,fl_doc,A82,fl_rate,INDEX(p_rates,3)),SUMIFS(dl_ht,dl_doc,F82,dl_rate,INDEX(p_rates,3))))</f>
        <v>0.0</v>
      </c>
      <c r="AN82" s="62">
        <f>IF(OR(AG82="",INDEX(p_rates,4)=""),0,IF(AG82="Facture",SUMIFS(fl_ht,fl_doc,A82,fl_rate,INDEX(p_rates,4)),SUMIFS(dl_ht,dl_doc,F82,dl_rate,INDEX(p_rates,4))))</f>
        <v>0.0</v>
      </c>
      <c r="AO82" s="62">
        <f>IF(OR(AG82="",INDEX(p_rates,5)=""),0,IF(AG82="Facture",SUMIFS(fl_ht,fl_doc,A82,fl_rate,INDEX(p_rates,5)),SUMIFS(dl_ht,dl_doc,F82,dl_rate,INDEX(p_rates,5))))</f>
        <v>0.0</v>
      </c>
      <c r="AP82" s="62">
        <f>IF(OR(AG82="",INDEX(p_rates,6)=""),0,IF(AG82="Facture",SUMIFS(fl_ht,fl_doc,A82,fl_rate,INDEX(p_rates,6)),SUMIFS(dl_ht,dl_doc,F82,dl_rate,INDEX(p_rates,6))))</f>
        <v>0.0</v>
      </c>
      <c r="AQ82" s="62">
        <f>ROUND(AK82*N(INDEX(p_rates,1)),2)+ROUND(AL82*N(INDEX(p_rates,2)),2)+ROUND(AM82*N(INDEX(p_rates,3)),2)+ROUND(AN82*N(INDEX(p_rates,4)),2)+ROUND(AO82*N(INDEX(p_rates,5)),2)+ROUND(AP82*N(INDEX(p_rates,6)),2)</f>
        <v>0.0</v>
      </c>
      <c r="AR82" s="62" t="str">
        <f>IF(OR(L82="",AA82&lt;&gt;"Facture"),"",IFERROR(IF(INDEX(fa_type,MATCH(L82,fa_num,0))="Facture d'acompte",MATCH(L82,fa_num,0),""),""))</f>
        <v/>
      </c>
      <c r="AS82" s="62" t="str">
        <f>IF(W82="","",IF(W82&lt;=0,"",IF(p_asof-P82&lt;=0,"Non échu",IF(p_asof-P82&lt;=30,"1-30 j",IF(p_asof-P82&lt;=60,"31-60 j",IF(p_asof-P82&lt;=90,"61-90 j","Plus de 90 j"))))))</f>
        <v/>
      </c>
      <c r="AT82" s="62" t="str">
        <f>IF(AS82="","",p_asof-P82)</f>
        <v/>
      </c>
      <c r="AU82" s="62" t="str">
        <f>IF(AT82="","",COUNTIF($AT$6:$AT$805,"&gt;"&amp;AT82)+COUNTIF($AT$6:AT82,AT82))</f>
        <v/>
      </c>
    </row>
    <row r="83">
      <c r="A83" s="59" t="str">
        <f>IF(AE83="","",AB83&amp;"-"&amp;AD83&amp;"-"&amp;RIGHT("000"&amp;AE83,4))</f>
        <v/>
      </c>
      <c r="B83" s="60" t="n"/>
      <c r="C83" s="61" t="n"/>
      <c r="D83" s="60" t="n"/>
      <c r="E83" s="62" t="str">
        <f>IF(D83="","",IFERROR(INDEX(cli_name,MATCH(D83,cli_code,0))&amp;"","Client inconnu"))</f>
        <v/>
      </c>
      <c r="F83" s="60" t="n"/>
      <c r="G83" s="63" t="n"/>
      <c r="H83" s="61" t="n"/>
      <c r="I83" s="63" t="n"/>
      <c r="J83" s="60" t="n"/>
      <c r="K83" s="61" t="n"/>
      <c r="L83" s="60" t="n"/>
      <c r="M83" s="60" t="n"/>
      <c r="N83" s="60" t="n"/>
      <c r="O83" s="61" t="n"/>
      <c r="P83" s="64" t="str">
        <f>IF(A83="","",IF(AA83="Avoir",AC83,IF(ISNUMBER(K83),K83,AC83+IF(D83="",N(p_delay),IFERROR(IF(ISNUMBER(INDEX(cli_delay,MATCH(D83,cli_code,0))),INDEX(cli_delay,MATCH(D83,cli_code,0)),N(p_delay)),N(p_delay))))))</f>
        <v/>
      </c>
      <c r="Q83" s="65" t="str">
        <f>IF(A83="","",IF(AA83="Avoir",-1,1)*ROUND(AJ83-IF(AR83="",0,INDEX(fa_htb,AR83)),2))</f>
        <v/>
      </c>
      <c r="R83" s="65" t="str">
        <f>IF(A83="","",IF(AA83="Avoir",-1,1)*ROUND(AQ83-IF(AR83="",0,INDEX(fa_tvab,AR83)),2))</f>
        <v/>
      </c>
      <c r="S83" s="65" t="str">
        <f>IF(A83="","",Q83+R83)</f>
        <v/>
      </c>
      <c r="T83" s="65" t="str">
        <f>IF(AR83="","",INDEX(fa_htb,AR83)+INDEX(fa_tvab,AR83))</f>
        <v/>
      </c>
      <c r="U83" s="65" t="str">
        <f>IF(A83="","",SUMIF(pa_inv,A83,pa_amt))</f>
        <v/>
      </c>
      <c r="V83" s="65" t="str">
        <f>IF(OR(A83="",AA83="Avoir"),"",-SUMIFS(fa_ttc,fa_avof,A83,fa_type,"Avoir"))</f>
        <v/>
      </c>
      <c r="W83" s="65" t="str">
        <f>IF(OR(A83="",AA83="Avoir"),"",ROUND(S83-U83-V83,2))</f>
        <v/>
      </c>
      <c r="X83" s="66" t="str">
        <f>IF(W83="","",IF(AND(W83&gt;0,p_asof&gt;P83),p_asof-P83,""))</f>
        <v/>
      </c>
      <c r="Y83" s="59" t="str">
        <f>IF(A83="","",IF(AA83="Avoir","Avoir",IF(W83&lt;0,"Trop-perçu",IF(W83=0,"Soldée",IF(p_asof&gt;P83,"En retard",IF(U83+V83&gt;0,"Partielle","À échoir"))))))</f>
        <v/>
      </c>
      <c r="Z83" s="59" t="str">
        <f>IF(NOT(COUNTA(B83:D83,F83:O83)&gt;0),"",IF(C83="","Date manquante",IF(NOT(ISNUMBER(C83)),"Date invalide",IF(D83="","Client manquant",IF(ISNA(MATCH(D83,cli_code,0)),"Client inconnu",IF(AC83&lt;SUMPRODUCT(MAX(($AB$6:AB82=AB83)*$AC$6:AC82)),"Date antérieure à la facture précédente",IF(AND(F83&lt;&gt;"",ISNA(MATCH(F83,dv_num,0))),"Devis inconnu",IF(AND(F83&lt;&gt;"",IFERROR(INDEX(dv_client,MATCH(F83,dv_num,0)),D83)&lt;&gt;D83),"Client différent de celui du devis",IF(AG83="","Aucune ligne : saisissez des lignes ou un devis",IF(AND(AI83&lt;&gt;"",COUNTIF($AI$6:AI83,AI83)&gt;1),"Devis déjà repris par une autre facture",IF(AND(AA83="Avoir",M83=""),"Avoir : indiquez la facture d'origine",IF(AND(AA83="Avoir",ISNA(MATCH(M83,fa_num,0))),"Facture d'origine inconnue",IF(AND(AA83&lt;&gt;"Avoir",M83&lt;&gt;""),"« Avoir sur facture » : réservé aux avoirs",IF(AND(L83&lt;&gt;"",AA83&lt;&gt;"Facture"),"Acompte à déduire : réservé aux factures",IF(AND(L83&lt;&gt;"",ISNA(MATCH(L83,fa_num,0))),"Facture d'acompte inconnue",IF(AND(L83&lt;&gt;"",IFERROR(INDEX(fa_type,MATCH(L83,fa_num,0)),"")&lt;&gt;"Facture d'acompte"),"Le n° à déduire n'est pas une facture d'acompte",IF(AND(L83&lt;&gt;"",COUNTIF($L$6:L83,L83)&gt;1),"Acompte déjà déduit sur une autre facture",IF(AND(L83&lt;&gt;"",IFERROR(INDEX(fa_client,MATCH(L83,fa_num,0)),D83)&lt;&gt;D83),"Acompte d'un autre client",IF(AND(AR83&lt;&gt;"",N(Q83)&lt;0),"Acompte supérieur au total de la facture",IF(IF(AG83="Facture",COUNTIFS(fl_doc,A83,fl_check,"&lt;&gt;OK"),IF(AG83="Devis",COUNTIFS(dl_doc,F83,dl_check,"&lt;&gt;OK"),0))&gt;0,"Ligne(s) à corriger",IF(AND(W83&lt;&gt;"",N(W83)&lt;0),"Trop-perçu : vérifiez paiements et avoirs","OK")))))))))))))))))))))</f>
        <v/>
      </c>
      <c r="AA83" s="62" t="str">
        <f>IF(COUNTA(B83:D83,F83:O83)&gt;0,IF(B83="","Facture",B83),"")</f>
        <v/>
      </c>
      <c r="AB83" s="62" t="str">
        <f>IF(AA83="","",IF(AA83="Avoir",p_pav,IF(AA83="Facture d'acompte",p_pac,p_pfa)))</f>
        <v/>
      </c>
      <c r="AC83" s="62">
        <f>IF(ISNUMBER(C83),C83,0)</f>
        <v>0.0</v>
      </c>
      <c r="AD83" s="62" t="str">
        <f>IF(OR(AA83="",AC83=0),"",YEAR(AC83))</f>
        <v/>
      </c>
      <c r="AE83" s="62" t="str">
        <f>IF(AD83="","",COUNTIFS($AB$6:AB83,AB83,$AD$6:AD83,AD83))</f>
        <v/>
      </c>
      <c r="AF83" s="62">
        <f>IF(A83="",0,COUNTIF(fl_doc,A83))</f>
        <v>0.0</v>
      </c>
      <c r="AG83" s="62" t="str">
        <f>IF(A83="","",IF(AF83&gt;0,"Facture",IF(AND(F83&lt;&gt;"",AA83="Facture",ISNUMBER(MATCH(F83,dv_num,0))),"Devis","")))</f>
        <v/>
      </c>
      <c r="AH83" s="62" t="str">
        <f>IF(AND(A83&lt;&gt;"",F83&lt;&gt;"",AA83&lt;&gt;"Avoir"),F83,"")</f>
        <v/>
      </c>
      <c r="AI83" s="62" t="str">
        <f>IF(AG83="Devis",F83,"")</f>
        <v/>
      </c>
      <c r="AJ83" s="62">
        <f>IF(AG83="Facture",SUMIF(fl_doc,A83,fl_ht),IF(AG83="Devis",SUMIF(dl_doc,F83,dl_ht),0))</f>
        <v>0.0</v>
      </c>
      <c r="AK83" s="62">
        <f>IF(OR(AG83="",INDEX(p_rates,1)=""),0,IF(AG83="Facture",SUMIFS(fl_ht,fl_doc,A83,fl_rate,INDEX(p_rates,1)),SUMIFS(dl_ht,dl_doc,F83,dl_rate,INDEX(p_rates,1))))</f>
        <v>0.0</v>
      </c>
      <c r="AL83" s="62">
        <f>IF(OR(AG83="",INDEX(p_rates,2)=""),0,IF(AG83="Facture",SUMIFS(fl_ht,fl_doc,A83,fl_rate,INDEX(p_rates,2)),SUMIFS(dl_ht,dl_doc,F83,dl_rate,INDEX(p_rates,2))))</f>
        <v>0.0</v>
      </c>
      <c r="AM83" s="62">
        <f>IF(OR(AG83="",INDEX(p_rates,3)=""),0,IF(AG83="Facture",SUMIFS(fl_ht,fl_doc,A83,fl_rate,INDEX(p_rates,3)),SUMIFS(dl_ht,dl_doc,F83,dl_rate,INDEX(p_rates,3))))</f>
        <v>0.0</v>
      </c>
      <c r="AN83" s="62">
        <f>IF(OR(AG83="",INDEX(p_rates,4)=""),0,IF(AG83="Facture",SUMIFS(fl_ht,fl_doc,A83,fl_rate,INDEX(p_rates,4)),SUMIFS(dl_ht,dl_doc,F83,dl_rate,INDEX(p_rates,4))))</f>
        <v>0.0</v>
      </c>
      <c r="AO83" s="62">
        <f>IF(OR(AG83="",INDEX(p_rates,5)=""),0,IF(AG83="Facture",SUMIFS(fl_ht,fl_doc,A83,fl_rate,INDEX(p_rates,5)),SUMIFS(dl_ht,dl_doc,F83,dl_rate,INDEX(p_rates,5))))</f>
        <v>0.0</v>
      </c>
      <c r="AP83" s="62">
        <f>IF(OR(AG83="",INDEX(p_rates,6)=""),0,IF(AG83="Facture",SUMIFS(fl_ht,fl_doc,A83,fl_rate,INDEX(p_rates,6)),SUMIFS(dl_ht,dl_doc,F83,dl_rate,INDEX(p_rates,6))))</f>
        <v>0.0</v>
      </c>
      <c r="AQ83" s="62">
        <f>ROUND(AK83*N(INDEX(p_rates,1)),2)+ROUND(AL83*N(INDEX(p_rates,2)),2)+ROUND(AM83*N(INDEX(p_rates,3)),2)+ROUND(AN83*N(INDEX(p_rates,4)),2)+ROUND(AO83*N(INDEX(p_rates,5)),2)+ROUND(AP83*N(INDEX(p_rates,6)),2)</f>
        <v>0.0</v>
      </c>
      <c r="AR83" s="62" t="str">
        <f>IF(OR(L83="",AA83&lt;&gt;"Facture"),"",IFERROR(IF(INDEX(fa_type,MATCH(L83,fa_num,0))="Facture d'acompte",MATCH(L83,fa_num,0),""),""))</f>
        <v/>
      </c>
      <c r="AS83" s="62" t="str">
        <f>IF(W83="","",IF(W83&lt;=0,"",IF(p_asof-P83&lt;=0,"Non échu",IF(p_asof-P83&lt;=30,"1-30 j",IF(p_asof-P83&lt;=60,"31-60 j",IF(p_asof-P83&lt;=90,"61-90 j","Plus de 90 j"))))))</f>
        <v/>
      </c>
      <c r="AT83" s="62" t="str">
        <f>IF(AS83="","",p_asof-P83)</f>
        <v/>
      </c>
      <c r="AU83" s="62" t="str">
        <f>IF(AT83="","",COUNTIF($AT$6:$AT$805,"&gt;"&amp;AT83)+COUNTIF($AT$6:AT83,AT83))</f>
        <v/>
      </c>
    </row>
    <row r="84">
      <c r="A84" s="59" t="str">
        <f>IF(AE84="","",AB84&amp;"-"&amp;AD84&amp;"-"&amp;RIGHT("000"&amp;AE84,4))</f>
        <v/>
      </c>
      <c r="B84" s="60" t="n"/>
      <c r="C84" s="61" t="n"/>
      <c r="D84" s="60" t="n"/>
      <c r="E84" s="62" t="str">
        <f>IF(D84="","",IFERROR(INDEX(cli_name,MATCH(D84,cli_code,0))&amp;"","Client inconnu"))</f>
        <v/>
      </c>
      <c r="F84" s="60" t="n"/>
      <c r="G84" s="63" t="n"/>
      <c r="H84" s="61" t="n"/>
      <c r="I84" s="63" t="n"/>
      <c r="J84" s="60" t="n"/>
      <c r="K84" s="61" t="n"/>
      <c r="L84" s="60" t="n"/>
      <c r="M84" s="60" t="n"/>
      <c r="N84" s="60" t="n"/>
      <c r="O84" s="61" t="n"/>
      <c r="P84" s="64" t="str">
        <f>IF(A84="","",IF(AA84="Avoir",AC84,IF(ISNUMBER(K84),K84,AC84+IF(D84="",N(p_delay),IFERROR(IF(ISNUMBER(INDEX(cli_delay,MATCH(D84,cli_code,0))),INDEX(cli_delay,MATCH(D84,cli_code,0)),N(p_delay)),N(p_delay))))))</f>
        <v/>
      </c>
      <c r="Q84" s="65" t="str">
        <f>IF(A84="","",IF(AA84="Avoir",-1,1)*ROUND(AJ84-IF(AR84="",0,INDEX(fa_htb,AR84)),2))</f>
        <v/>
      </c>
      <c r="R84" s="65" t="str">
        <f>IF(A84="","",IF(AA84="Avoir",-1,1)*ROUND(AQ84-IF(AR84="",0,INDEX(fa_tvab,AR84)),2))</f>
        <v/>
      </c>
      <c r="S84" s="65" t="str">
        <f>IF(A84="","",Q84+R84)</f>
        <v/>
      </c>
      <c r="T84" s="65" t="str">
        <f>IF(AR84="","",INDEX(fa_htb,AR84)+INDEX(fa_tvab,AR84))</f>
        <v/>
      </c>
      <c r="U84" s="65" t="str">
        <f>IF(A84="","",SUMIF(pa_inv,A84,pa_amt))</f>
        <v/>
      </c>
      <c r="V84" s="65" t="str">
        <f>IF(OR(A84="",AA84="Avoir"),"",-SUMIFS(fa_ttc,fa_avof,A84,fa_type,"Avoir"))</f>
        <v/>
      </c>
      <c r="W84" s="65" t="str">
        <f>IF(OR(A84="",AA84="Avoir"),"",ROUND(S84-U84-V84,2))</f>
        <v/>
      </c>
      <c r="X84" s="66" t="str">
        <f>IF(W84="","",IF(AND(W84&gt;0,p_asof&gt;P84),p_asof-P84,""))</f>
        <v/>
      </c>
      <c r="Y84" s="59" t="str">
        <f>IF(A84="","",IF(AA84="Avoir","Avoir",IF(W84&lt;0,"Trop-perçu",IF(W84=0,"Soldée",IF(p_asof&gt;P84,"En retard",IF(U84+V84&gt;0,"Partielle","À échoir"))))))</f>
        <v/>
      </c>
      <c r="Z84" s="59" t="str">
        <f>IF(NOT(COUNTA(B84:D84,F84:O84)&gt;0),"",IF(C84="","Date manquante",IF(NOT(ISNUMBER(C84)),"Date invalide",IF(D84="","Client manquant",IF(ISNA(MATCH(D84,cli_code,0)),"Client inconnu",IF(AC84&lt;SUMPRODUCT(MAX(($AB$6:AB83=AB84)*$AC$6:AC83)),"Date antérieure à la facture précédente",IF(AND(F84&lt;&gt;"",ISNA(MATCH(F84,dv_num,0))),"Devis inconnu",IF(AND(F84&lt;&gt;"",IFERROR(INDEX(dv_client,MATCH(F84,dv_num,0)),D84)&lt;&gt;D84),"Client différent de celui du devis",IF(AG84="","Aucune ligne : saisissez des lignes ou un devis",IF(AND(AI84&lt;&gt;"",COUNTIF($AI$6:AI84,AI84)&gt;1),"Devis déjà repris par une autre facture",IF(AND(AA84="Avoir",M84=""),"Avoir : indiquez la facture d'origine",IF(AND(AA84="Avoir",ISNA(MATCH(M84,fa_num,0))),"Facture d'origine inconnue",IF(AND(AA84&lt;&gt;"Avoir",M84&lt;&gt;""),"« Avoir sur facture » : réservé aux avoirs",IF(AND(L84&lt;&gt;"",AA84&lt;&gt;"Facture"),"Acompte à déduire : réservé aux factures",IF(AND(L84&lt;&gt;"",ISNA(MATCH(L84,fa_num,0))),"Facture d'acompte inconnue",IF(AND(L84&lt;&gt;"",IFERROR(INDEX(fa_type,MATCH(L84,fa_num,0)),"")&lt;&gt;"Facture d'acompte"),"Le n° à déduire n'est pas une facture d'acompte",IF(AND(L84&lt;&gt;"",COUNTIF($L$6:L84,L84)&gt;1),"Acompte déjà déduit sur une autre facture",IF(AND(L84&lt;&gt;"",IFERROR(INDEX(fa_client,MATCH(L84,fa_num,0)),D84)&lt;&gt;D84),"Acompte d'un autre client",IF(AND(AR84&lt;&gt;"",N(Q84)&lt;0),"Acompte supérieur au total de la facture",IF(IF(AG84="Facture",COUNTIFS(fl_doc,A84,fl_check,"&lt;&gt;OK"),IF(AG84="Devis",COUNTIFS(dl_doc,F84,dl_check,"&lt;&gt;OK"),0))&gt;0,"Ligne(s) à corriger",IF(AND(W84&lt;&gt;"",N(W84)&lt;0),"Trop-perçu : vérifiez paiements et avoirs","OK")))))))))))))))))))))</f>
        <v/>
      </c>
      <c r="AA84" s="62" t="str">
        <f>IF(COUNTA(B84:D84,F84:O84)&gt;0,IF(B84="","Facture",B84),"")</f>
        <v/>
      </c>
      <c r="AB84" s="62" t="str">
        <f>IF(AA84="","",IF(AA84="Avoir",p_pav,IF(AA84="Facture d'acompte",p_pac,p_pfa)))</f>
        <v/>
      </c>
      <c r="AC84" s="62">
        <f>IF(ISNUMBER(C84),C84,0)</f>
        <v>0.0</v>
      </c>
      <c r="AD84" s="62" t="str">
        <f>IF(OR(AA84="",AC84=0),"",YEAR(AC84))</f>
        <v/>
      </c>
      <c r="AE84" s="62" t="str">
        <f>IF(AD84="","",COUNTIFS($AB$6:AB84,AB84,$AD$6:AD84,AD84))</f>
        <v/>
      </c>
      <c r="AF84" s="62">
        <f>IF(A84="",0,COUNTIF(fl_doc,A84))</f>
        <v>0.0</v>
      </c>
      <c r="AG84" s="62" t="str">
        <f>IF(A84="","",IF(AF84&gt;0,"Facture",IF(AND(F84&lt;&gt;"",AA84="Facture",ISNUMBER(MATCH(F84,dv_num,0))),"Devis","")))</f>
        <v/>
      </c>
      <c r="AH84" s="62" t="str">
        <f>IF(AND(A84&lt;&gt;"",F84&lt;&gt;"",AA84&lt;&gt;"Avoir"),F84,"")</f>
        <v/>
      </c>
      <c r="AI84" s="62" t="str">
        <f>IF(AG84="Devis",F84,"")</f>
        <v/>
      </c>
      <c r="AJ84" s="62">
        <f>IF(AG84="Facture",SUMIF(fl_doc,A84,fl_ht),IF(AG84="Devis",SUMIF(dl_doc,F84,dl_ht),0))</f>
        <v>0.0</v>
      </c>
      <c r="AK84" s="62">
        <f>IF(OR(AG84="",INDEX(p_rates,1)=""),0,IF(AG84="Facture",SUMIFS(fl_ht,fl_doc,A84,fl_rate,INDEX(p_rates,1)),SUMIFS(dl_ht,dl_doc,F84,dl_rate,INDEX(p_rates,1))))</f>
        <v>0.0</v>
      </c>
      <c r="AL84" s="62">
        <f>IF(OR(AG84="",INDEX(p_rates,2)=""),0,IF(AG84="Facture",SUMIFS(fl_ht,fl_doc,A84,fl_rate,INDEX(p_rates,2)),SUMIFS(dl_ht,dl_doc,F84,dl_rate,INDEX(p_rates,2))))</f>
        <v>0.0</v>
      </c>
      <c r="AM84" s="62">
        <f>IF(OR(AG84="",INDEX(p_rates,3)=""),0,IF(AG84="Facture",SUMIFS(fl_ht,fl_doc,A84,fl_rate,INDEX(p_rates,3)),SUMIFS(dl_ht,dl_doc,F84,dl_rate,INDEX(p_rates,3))))</f>
        <v>0.0</v>
      </c>
      <c r="AN84" s="62">
        <f>IF(OR(AG84="",INDEX(p_rates,4)=""),0,IF(AG84="Facture",SUMIFS(fl_ht,fl_doc,A84,fl_rate,INDEX(p_rates,4)),SUMIFS(dl_ht,dl_doc,F84,dl_rate,INDEX(p_rates,4))))</f>
        <v>0.0</v>
      </c>
      <c r="AO84" s="62">
        <f>IF(OR(AG84="",INDEX(p_rates,5)=""),0,IF(AG84="Facture",SUMIFS(fl_ht,fl_doc,A84,fl_rate,INDEX(p_rates,5)),SUMIFS(dl_ht,dl_doc,F84,dl_rate,INDEX(p_rates,5))))</f>
        <v>0.0</v>
      </c>
      <c r="AP84" s="62">
        <f>IF(OR(AG84="",INDEX(p_rates,6)=""),0,IF(AG84="Facture",SUMIFS(fl_ht,fl_doc,A84,fl_rate,INDEX(p_rates,6)),SUMIFS(dl_ht,dl_doc,F84,dl_rate,INDEX(p_rates,6))))</f>
        <v>0.0</v>
      </c>
      <c r="AQ84" s="62">
        <f>ROUND(AK84*N(INDEX(p_rates,1)),2)+ROUND(AL84*N(INDEX(p_rates,2)),2)+ROUND(AM84*N(INDEX(p_rates,3)),2)+ROUND(AN84*N(INDEX(p_rates,4)),2)+ROUND(AO84*N(INDEX(p_rates,5)),2)+ROUND(AP84*N(INDEX(p_rates,6)),2)</f>
        <v>0.0</v>
      </c>
      <c r="AR84" s="62" t="str">
        <f>IF(OR(L84="",AA84&lt;&gt;"Facture"),"",IFERROR(IF(INDEX(fa_type,MATCH(L84,fa_num,0))="Facture d'acompte",MATCH(L84,fa_num,0),""),""))</f>
        <v/>
      </c>
      <c r="AS84" s="62" t="str">
        <f>IF(W84="","",IF(W84&lt;=0,"",IF(p_asof-P84&lt;=0,"Non échu",IF(p_asof-P84&lt;=30,"1-30 j",IF(p_asof-P84&lt;=60,"31-60 j",IF(p_asof-P84&lt;=90,"61-90 j","Plus de 90 j"))))))</f>
        <v/>
      </c>
      <c r="AT84" s="62" t="str">
        <f>IF(AS84="","",p_asof-P84)</f>
        <v/>
      </c>
      <c r="AU84" s="62" t="str">
        <f>IF(AT84="","",COUNTIF($AT$6:$AT$805,"&gt;"&amp;AT84)+COUNTIF($AT$6:AT84,AT84))</f>
        <v/>
      </c>
    </row>
    <row r="85">
      <c r="A85" s="59" t="str">
        <f>IF(AE85="","",AB85&amp;"-"&amp;AD85&amp;"-"&amp;RIGHT("000"&amp;AE85,4))</f>
        <v/>
      </c>
      <c r="B85" s="60" t="n"/>
      <c r="C85" s="61" t="n"/>
      <c r="D85" s="60" t="n"/>
      <c r="E85" s="62" t="str">
        <f>IF(D85="","",IFERROR(INDEX(cli_name,MATCH(D85,cli_code,0))&amp;"","Client inconnu"))</f>
        <v/>
      </c>
      <c r="F85" s="60" t="n"/>
      <c r="G85" s="63" t="n"/>
      <c r="H85" s="61" t="n"/>
      <c r="I85" s="63" t="n"/>
      <c r="J85" s="60" t="n"/>
      <c r="K85" s="61" t="n"/>
      <c r="L85" s="60" t="n"/>
      <c r="M85" s="60" t="n"/>
      <c r="N85" s="60" t="n"/>
      <c r="O85" s="61" t="n"/>
      <c r="P85" s="64" t="str">
        <f>IF(A85="","",IF(AA85="Avoir",AC85,IF(ISNUMBER(K85),K85,AC85+IF(D85="",N(p_delay),IFERROR(IF(ISNUMBER(INDEX(cli_delay,MATCH(D85,cli_code,0))),INDEX(cli_delay,MATCH(D85,cli_code,0)),N(p_delay)),N(p_delay))))))</f>
        <v/>
      </c>
      <c r="Q85" s="65" t="str">
        <f>IF(A85="","",IF(AA85="Avoir",-1,1)*ROUND(AJ85-IF(AR85="",0,INDEX(fa_htb,AR85)),2))</f>
        <v/>
      </c>
      <c r="R85" s="65" t="str">
        <f>IF(A85="","",IF(AA85="Avoir",-1,1)*ROUND(AQ85-IF(AR85="",0,INDEX(fa_tvab,AR85)),2))</f>
        <v/>
      </c>
      <c r="S85" s="65" t="str">
        <f>IF(A85="","",Q85+R85)</f>
        <v/>
      </c>
      <c r="T85" s="65" t="str">
        <f>IF(AR85="","",INDEX(fa_htb,AR85)+INDEX(fa_tvab,AR85))</f>
        <v/>
      </c>
      <c r="U85" s="65" t="str">
        <f>IF(A85="","",SUMIF(pa_inv,A85,pa_amt))</f>
        <v/>
      </c>
      <c r="V85" s="65" t="str">
        <f>IF(OR(A85="",AA85="Avoir"),"",-SUMIFS(fa_ttc,fa_avof,A85,fa_type,"Avoir"))</f>
        <v/>
      </c>
      <c r="W85" s="65" t="str">
        <f>IF(OR(A85="",AA85="Avoir"),"",ROUND(S85-U85-V85,2))</f>
        <v/>
      </c>
      <c r="X85" s="66" t="str">
        <f>IF(W85="","",IF(AND(W85&gt;0,p_asof&gt;P85),p_asof-P85,""))</f>
        <v/>
      </c>
      <c r="Y85" s="59" t="str">
        <f>IF(A85="","",IF(AA85="Avoir","Avoir",IF(W85&lt;0,"Trop-perçu",IF(W85=0,"Soldée",IF(p_asof&gt;P85,"En retard",IF(U85+V85&gt;0,"Partielle","À échoir"))))))</f>
        <v/>
      </c>
      <c r="Z85" s="59" t="str">
        <f>IF(NOT(COUNTA(B85:D85,F85:O85)&gt;0),"",IF(C85="","Date manquante",IF(NOT(ISNUMBER(C85)),"Date invalide",IF(D85="","Client manquant",IF(ISNA(MATCH(D85,cli_code,0)),"Client inconnu",IF(AC85&lt;SUMPRODUCT(MAX(($AB$6:AB84=AB85)*$AC$6:AC84)),"Date antérieure à la facture précédente",IF(AND(F85&lt;&gt;"",ISNA(MATCH(F85,dv_num,0))),"Devis inconnu",IF(AND(F85&lt;&gt;"",IFERROR(INDEX(dv_client,MATCH(F85,dv_num,0)),D85)&lt;&gt;D85),"Client différent de celui du devis",IF(AG85="","Aucune ligne : saisissez des lignes ou un devis",IF(AND(AI85&lt;&gt;"",COUNTIF($AI$6:AI85,AI85)&gt;1),"Devis déjà repris par une autre facture",IF(AND(AA85="Avoir",M85=""),"Avoir : indiquez la facture d'origine",IF(AND(AA85="Avoir",ISNA(MATCH(M85,fa_num,0))),"Facture d'origine inconnue",IF(AND(AA85&lt;&gt;"Avoir",M85&lt;&gt;""),"« Avoir sur facture » : réservé aux avoirs",IF(AND(L85&lt;&gt;"",AA85&lt;&gt;"Facture"),"Acompte à déduire : réservé aux factures",IF(AND(L85&lt;&gt;"",ISNA(MATCH(L85,fa_num,0))),"Facture d'acompte inconnue",IF(AND(L85&lt;&gt;"",IFERROR(INDEX(fa_type,MATCH(L85,fa_num,0)),"")&lt;&gt;"Facture d'acompte"),"Le n° à déduire n'est pas une facture d'acompte",IF(AND(L85&lt;&gt;"",COUNTIF($L$6:L85,L85)&gt;1),"Acompte déjà déduit sur une autre facture",IF(AND(L85&lt;&gt;"",IFERROR(INDEX(fa_client,MATCH(L85,fa_num,0)),D85)&lt;&gt;D85),"Acompte d'un autre client",IF(AND(AR85&lt;&gt;"",N(Q85)&lt;0),"Acompte supérieur au total de la facture",IF(IF(AG85="Facture",COUNTIFS(fl_doc,A85,fl_check,"&lt;&gt;OK"),IF(AG85="Devis",COUNTIFS(dl_doc,F85,dl_check,"&lt;&gt;OK"),0))&gt;0,"Ligne(s) à corriger",IF(AND(W85&lt;&gt;"",N(W85)&lt;0),"Trop-perçu : vérifiez paiements et avoirs","OK")))))))))))))))))))))</f>
        <v/>
      </c>
      <c r="AA85" s="62" t="str">
        <f>IF(COUNTA(B85:D85,F85:O85)&gt;0,IF(B85="","Facture",B85),"")</f>
        <v/>
      </c>
      <c r="AB85" s="62" t="str">
        <f>IF(AA85="","",IF(AA85="Avoir",p_pav,IF(AA85="Facture d'acompte",p_pac,p_pfa)))</f>
        <v/>
      </c>
      <c r="AC85" s="62">
        <f>IF(ISNUMBER(C85),C85,0)</f>
        <v>0.0</v>
      </c>
      <c r="AD85" s="62" t="str">
        <f>IF(OR(AA85="",AC85=0),"",YEAR(AC85))</f>
        <v/>
      </c>
      <c r="AE85" s="62" t="str">
        <f>IF(AD85="","",COUNTIFS($AB$6:AB85,AB85,$AD$6:AD85,AD85))</f>
        <v/>
      </c>
      <c r="AF85" s="62">
        <f>IF(A85="",0,COUNTIF(fl_doc,A85))</f>
        <v>0.0</v>
      </c>
      <c r="AG85" s="62" t="str">
        <f>IF(A85="","",IF(AF85&gt;0,"Facture",IF(AND(F85&lt;&gt;"",AA85="Facture",ISNUMBER(MATCH(F85,dv_num,0))),"Devis","")))</f>
        <v/>
      </c>
      <c r="AH85" s="62" t="str">
        <f>IF(AND(A85&lt;&gt;"",F85&lt;&gt;"",AA85&lt;&gt;"Avoir"),F85,"")</f>
        <v/>
      </c>
      <c r="AI85" s="62" t="str">
        <f>IF(AG85="Devis",F85,"")</f>
        <v/>
      </c>
      <c r="AJ85" s="62">
        <f>IF(AG85="Facture",SUMIF(fl_doc,A85,fl_ht),IF(AG85="Devis",SUMIF(dl_doc,F85,dl_ht),0))</f>
        <v>0.0</v>
      </c>
      <c r="AK85" s="62">
        <f>IF(OR(AG85="",INDEX(p_rates,1)=""),0,IF(AG85="Facture",SUMIFS(fl_ht,fl_doc,A85,fl_rate,INDEX(p_rates,1)),SUMIFS(dl_ht,dl_doc,F85,dl_rate,INDEX(p_rates,1))))</f>
        <v>0.0</v>
      </c>
      <c r="AL85" s="62">
        <f>IF(OR(AG85="",INDEX(p_rates,2)=""),0,IF(AG85="Facture",SUMIFS(fl_ht,fl_doc,A85,fl_rate,INDEX(p_rates,2)),SUMIFS(dl_ht,dl_doc,F85,dl_rate,INDEX(p_rates,2))))</f>
        <v>0.0</v>
      </c>
      <c r="AM85" s="62">
        <f>IF(OR(AG85="",INDEX(p_rates,3)=""),0,IF(AG85="Facture",SUMIFS(fl_ht,fl_doc,A85,fl_rate,INDEX(p_rates,3)),SUMIFS(dl_ht,dl_doc,F85,dl_rate,INDEX(p_rates,3))))</f>
        <v>0.0</v>
      </c>
      <c r="AN85" s="62">
        <f>IF(OR(AG85="",INDEX(p_rates,4)=""),0,IF(AG85="Facture",SUMIFS(fl_ht,fl_doc,A85,fl_rate,INDEX(p_rates,4)),SUMIFS(dl_ht,dl_doc,F85,dl_rate,INDEX(p_rates,4))))</f>
        <v>0.0</v>
      </c>
      <c r="AO85" s="62">
        <f>IF(OR(AG85="",INDEX(p_rates,5)=""),0,IF(AG85="Facture",SUMIFS(fl_ht,fl_doc,A85,fl_rate,INDEX(p_rates,5)),SUMIFS(dl_ht,dl_doc,F85,dl_rate,INDEX(p_rates,5))))</f>
        <v>0.0</v>
      </c>
      <c r="AP85" s="62">
        <f>IF(OR(AG85="",INDEX(p_rates,6)=""),0,IF(AG85="Facture",SUMIFS(fl_ht,fl_doc,A85,fl_rate,INDEX(p_rates,6)),SUMIFS(dl_ht,dl_doc,F85,dl_rate,INDEX(p_rates,6))))</f>
        <v>0.0</v>
      </c>
      <c r="AQ85" s="62">
        <f>ROUND(AK85*N(INDEX(p_rates,1)),2)+ROUND(AL85*N(INDEX(p_rates,2)),2)+ROUND(AM85*N(INDEX(p_rates,3)),2)+ROUND(AN85*N(INDEX(p_rates,4)),2)+ROUND(AO85*N(INDEX(p_rates,5)),2)+ROUND(AP85*N(INDEX(p_rates,6)),2)</f>
        <v>0.0</v>
      </c>
      <c r="AR85" s="62" t="str">
        <f>IF(OR(L85="",AA85&lt;&gt;"Facture"),"",IFERROR(IF(INDEX(fa_type,MATCH(L85,fa_num,0))="Facture d'acompte",MATCH(L85,fa_num,0),""),""))</f>
        <v/>
      </c>
      <c r="AS85" s="62" t="str">
        <f>IF(W85="","",IF(W85&lt;=0,"",IF(p_asof-P85&lt;=0,"Non échu",IF(p_asof-P85&lt;=30,"1-30 j",IF(p_asof-P85&lt;=60,"31-60 j",IF(p_asof-P85&lt;=90,"61-90 j","Plus de 90 j"))))))</f>
        <v/>
      </c>
      <c r="AT85" s="62" t="str">
        <f>IF(AS85="","",p_asof-P85)</f>
        <v/>
      </c>
      <c r="AU85" s="62" t="str">
        <f>IF(AT85="","",COUNTIF($AT$6:$AT$805,"&gt;"&amp;AT85)+COUNTIF($AT$6:AT85,AT85))</f>
        <v/>
      </c>
    </row>
    <row r="86">
      <c r="A86" s="59" t="str">
        <f>IF(AE86="","",AB86&amp;"-"&amp;AD86&amp;"-"&amp;RIGHT("000"&amp;AE86,4))</f>
        <v/>
      </c>
      <c r="B86" s="60" t="n"/>
      <c r="C86" s="61" t="n"/>
      <c r="D86" s="60" t="n"/>
      <c r="E86" s="62" t="str">
        <f>IF(D86="","",IFERROR(INDEX(cli_name,MATCH(D86,cli_code,0))&amp;"","Client inconnu"))</f>
        <v/>
      </c>
      <c r="F86" s="60" t="n"/>
      <c r="G86" s="63" t="n"/>
      <c r="H86" s="61" t="n"/>
      <c r="I86" s="63" t="n"/>
      <c r="J86" s="60" t="n"/>
      <c r="K86" s="61" t="n"/>
      <c r="L86" s="60" t="n"/>
      <c r="M86" s="60" t="n"/>
      <c r="N86" s="60" t="n"/>
      <c r="O86" s="61" t="n"/>
      <c r="P86" s="64" t="str">
        <f>IF(A86="","",IF(AA86="Avoir",AC86,IF(ISNUMBER(K86),K86,AC86+IF(D86="",N(p_delay),IFERROR(IF(ISNUMBER(INDEX(cli_delay,MATCH(D86,cli_code,0))),INDEX(cli_delay,MATCH(D86,cli_code,0)),N(p_delay)),N(p_delay))))))</f>
        <v/>
      </c>
      <c r="Q86" s="65" t="str">
        <f>IF(A86="","",IF(AA86="Avoir",-1,1)*ROUND(AJ86-IF(AR86="",0,INDEX(fa_htb,AR86)),2))</f>
        <v/>
      </c>
      <c r="R86" s="65" t="str">
        <f>IF(A86="","",IF(AA86="Avoir",-1,1)*ROUND(AQ86-IF(AR86="",0,INDEX(fa_tvab,AR86)),2))</f>
        <v/>
      </c>
      <c r="S86" s="65" t="str">
        <f>IF(A86="","",Q86+R86)</f>
        <v/>
      </c>
      <c r="T86" s="65" t="str">
        <f>IF(AR86="","",INDEX(fa_htb,AR86)+INDEX(fa_tvab,AR86))</f>
        <v/>
      </c>
      <c r="U86" s="65" t="str">
        <f>IF(A86="","",SUMIF(pa_inv,A86,pa_amt))</f>
        <v/>
      </c>
      <c r="V86" s="65" t="str">
        <f>IF(OR(A86="",AA86="Avoir"),"",-SUMIFS(fa_ttc,fa_avof,A86,fa_type,"Avoir"))</f>
        <v/>
      </c>
      <c r="W86" s="65" t="str">
        <f>IF(OR(A86="",AA86="Avoir"),"",ROUND(S86-U86-V86,2))</f>
        <v/>
      </c>
      <c r="X86" s="66" t="str">
        <f>IF(W86="","",IF(AND(W86&gt;0,p_asof&gt;P86),p_asof-P86,""))</f>
        <v/>
      </c>
      <c r="Y86" s="59" t="str">
        <f>IF(A86="","",IF(AA86="Avoir","Avoir",IF(W86&lt;0,"Trop-perçu",IF(W86=0,"Soldée",IF(p_asof&gt;P86,"En retard",IF(U86+V86&gt;0,"Partielle","À échoir"))))))</f>
        <v/>
      </c>
      <c r="Z86" s="59" t="str">
        <f>IF(NOT(COUNTA(B86:D86,F86:O86)&gt;0),"",IF(C86="","Date manquante",IF(NOT(ISNUMBER(C86)),"Date invalide",IF(D86="","Client manquant",IF(ISNA(MATCH(D86,cli_code,0)),"Client inconnu",IF(AC86&lt;SUMPRODUCT(MAX(($AB$6:AB85=AB86)*$AC$6:AC85)),"Date antérieure à la facture précédente",IF(AND(F86&lt;&gt;"",ISNA(MATCH(F86,dv_num,0))),"Devis inconnu",IF(AND(F86&lt;&gt;"",IFERROR(INDEX(dv_client,MATCH(F86,dv_num,0)),D86)&lt;&gt;D86),"Client différent de celui du devis",IF(AG86="","Aucune ligne : saisissez des lignes ou un devis",IF(AND(AI86&lt;&gt;"",COUNTIF($AI$6:AI86,AI86)&gt;1),"Devis déjà repris par une autre facture",IF(AND(AA86="Avoir",M86=""),"Avoir : indiquez la facture d'origine",IF(AND(AA86="Avoir",ISNA(MATCH(M86,fa_num,0))),"Facture d'origine inconnue",IF(AND(AA86&lt;&gt;"Avoir",M86&lt;&gt;""),"« Avoir sur facture » : réservé aux avoirs",IF(AND(L86&lt;&gt;"",AA86&lt;&gt;"Facture"),"Acompte à déduire : réservé aux factures",IF(AND(L86&lt;&gt;"",ISNA(MATCH(L86,fa_num,0))),"Facture d'acompte inconnue",IF(AND(L86&lt;&gt;"",IFERROR(INDEX(fa_type,MATCH(L86,fa_num,0)),"")&lt;&gt;"Facture d'acompte"),"Le n° à déduire n'est pas une facture d'acompte",IF(AND(L86&lt;&gt;"",COUNTIF($L$6:L86,L86)&gt;1),"Acompte déjà déduit sur une autre facture",IF(AND(L86&lt;&gt;"",IFERROR(INDEX(fa_client,MATCH(L86,fa_num,0)),D86)&lt;&gt;D86),"Acompte d'un autre client",IF(AND(AR86&lt;&gt;"",N(Q86)&lt;0),"Acompte supérieur au total de la facture",IF(IF(AG86="Facture",COUNTIFS(fl_doc,A86,fl_check,"&lt;&gt;OK"),IF(AG86="Devis",COUNTIFS(dl_doc,F86,dl_check,"&lt;&gt;OK"),0))&gt;0,"Ligne(s) à corriger",IF(AND(W86&lt;&gt;"",N(W86)&lt;0),"Trop-perçu : vérifiez paiements et avoirs","OK")))))))))))))))))))))</f>
        <v/>
      </c>
      <c r="AA86" s="62" t="str">
        <f>IF(COUNTA(B86:D86,F86:O86)&gt;0,IF(B86="","Facture",B86),"")</f>
        <v/>
      </c>
      <c r="AB86" s="62" t="str">
        <f>IF(AA86="","",IF(AA86="Avoir",p_pav,IF(AA86="Facture d'acompte",p_pac,p_pfa)))</f>
        <v/>
      </c>
      <c r="AC86" s="62">
        <f>IF(ISNUMBER(C86),C86,0)</f>
        <v>0.0</v>
      </c>
      <c r="AD86" s="62" t="str">
        <f>IF(OR(AA86="",AC86=0),"",YEAR(AC86))</f>
        <v/>
      </c>
      <c r="AE86" s="62" t="str">
        <f>IF(AD86="","",COUNTIFS($AB$6:AB86,AB86,$AD$6:AD86,AD86))</f>
        <v/>
      </c>
      <c r="AF86" s="62">
        <f>IF(A86="",0,COUNTIF(fl_doc,A86))</f>
        <v>0.0</v>
      </c>
      <c r="AG86" s="62" t="str">
        <f>IF(A86="","",IF(AF86&gt;0,"Facture",IF(AND(F86&lt;&gt;"",AA86="Facture",ISNUMBER(MATCH(F86,dv_num,0))),"Devis","")))</f>
        <v/>
      </c>
      <c r="AH86" s="62" t="str">
        <f>IF(AND(A86&lt;&gt;"",F86&lt;&gt;"",AA86&lt;&gt;"Avoir"),F86,"")</f>
        <v/>
      </c>
      <c r="AI86" s="62" t="str">
        <f>IF(AG86="Devis",F86,"")</f>
        <v/>
      </c>
      <c r="AJ86" s="62">
        <f>IF(AG86="Facture",SUMIF(fl_doc,A86,fl_ht),IF(AG86="Devis",SUMIF(dl_doc,F86,dl_ht),0))</f>
        <v>0.0</v>
      </c>
      <c r="AK86" s="62">
        <f>IF(OR(AG86="",INDEX(p_rates,1)=""),0,IF(AG86="Facture",SUMIFS(fl_ht,fl_doc,A86,fl_rate,INDEX(p_rates,1)),SUMIFS(dl_ht,dl_doc,F86,dl_rate,INDEX(p_rates,1))))</f>
        <v>0.0</v>
      </c>
      <c r="AL86" s="62">
        <f>IF(OR(AG86="",INDEX(p_rates,2)=""),0,IF(AG86="Facture",SUMIFS(fl_ht,fl_doc,A86,fl_rate,INDEX(p_rates,2)),SUMIFS(dl_ht,dl_doc,F86,dl_rate,INDEX(p_rates,2))))</f>
        <v>0.0</v>
      </c>
      <c r="AM86" s="62">
        <f>IF(OR(AG86="",INDEX(p_rates,3)=""),0,IF(AG86="Facture",SUMIFS(fl_ht,fl_doc,A86,fl_rate,INDEX(p_rates,3)),SUMIFS(dl_ht,dl_doc,F86,dl_rate,INDEX(p_rates,3))))</f>
        <v>0.0</v>
      </c>
      <c r="AN86" s="62">
        <f>IF(OR(AG86="",INDEX(p_rates,4)=""),0,IF(AG86="Facture",SUMIFS(fl_ht,fl_doc,A86,fl_rate,INDEX(p_rates,4)),SUMIFS(dl_ht,dl_doc,F86,dl_rate,INDEX(p_rates,4))))</f>
        <v>0.0</v>
      </c>
      <c r="AO86" s="62">
        <f>IF(OR(AG86="",INDEX(p_rates,5)=""),0,IF(AG86="Facture",SUMIFS(fl_ht,fl_doc,A86,fl_rate,INDEX(p_rates,5)),SUMIFS(dl_ht,dl_doc,F86,dl_rate,INDEX(p_rates,5))))</f>
        <v>0.0</v>
      </c>
      <c r="AP86" s="62">
        <f>IF(OR(AG86="",INDEX(p_rates,6)=""),0,IF(AG86="Facture",SUMIFS(fl_ht,fl_doc,A86,fl_rate,INDEX(p_rates,6)),SUMIFS(dl_ht,dl_doc,F86,dl_rate,INDEX(p_rates,6))))</f>
        <v>0.0</v>
      </c>
      <c r="AQ86" s="62">
        <f>ROUND(AK86*N(INDEX(p_rates,1)),2)+ROUND(AL86*N(INDEX(p_rates,2)),2)+ROUND(AM86*N(INDEX(p_rates,3)),2)+ROUND(AN86*N(INDEX(p_rates,4)),2)+ROUND(AO86*N(INDEX(p_rates,5)),2)+ROUND(AP86*N(INDEX(p_rates,6)),2)</f>
        <v>0.0</v>
      </c>
      <c r="AR86" s="62" t="str">
        <f>IF(OR(L86="",AA86&lt;&gt;"Facture"),"",IFERROR(IF(INDEX(fa_type,MATCH(L86,fa_num,0))="Facture d'acompte",MATCH(L86,fa_num,0),""),""))</f>
        <v/>
      </c>
      <c r="AS86" s="62" t="str">
        <f>IF(W86="","",IF(W86&lt;=0,"",IF(p_asof-P86&lt;=0,"Non échu",IF(p_asof-P86&lt;=30,"1-30 j",IF(p_asof-P86&lt;=60,"31-60 j",IF(p_asof-P86&lt;=90,"61-90 j","Plus de 90 j"))))))</f>
        <v/>
      </c>
      <c r="AT86" s="62" t="str">
        <f>IF(AS86="","",p_asof-P86)</f>
        <v/>
      </c>
      <c r="AU86" s="62" t="str">
        <f>IF(AT86="","",COUNTIF($AT$6:$AT$805,"&gt;"&amp;AT86)+COUNTIF($AT$6:AT86,AT86))</f>
        <v/>
      </c>
    </row>
    <row r="87">
      <c r="A87" s="59" t="str">
        <f>IF(AE87="","",AB87&amp;"-"&amp;AD87&amp;"-"&amp;RIGHT("000"&amp;AE87,4))</f>
        <v/>
      </c>
      <c r="B87" s="60" t="n"/>
      <c r="C87" s="61" t="n"/>
      <c r="D87" s="60" t="n"/>
      <c r="E87" s="62" t="str">
        <f>IF(D87="","",IFERROR(INDEX(cli_name,MATCH(D87,cli_code,0))&amp;"","Client inconnu"))</f>
        <v/>
      </c>
      <c r="F87" s="60" t="n"/>
      <c r="G87" s="63" t="n"/>
      <c r="H87" s="61" t="n"/>
      <c r="I87" s="63" t="n"/>
      <c r="J87" s="60" t="n"/>
      <c r="K87" s="61" t="n"/>
      <c r="L87" s="60" t="n"/>
      <c r="M87" s="60" t="n"/>
      <c r="N87" s="60" t="n"/>
      <c r="O87" s="61" t="n"/>
      <c r="P87" s="64" t="str">
        <f>IF(A87="","",IF(AA87="Avoir",AC87,IF(ISNUMBER(K87),K87,AC87+IF(D87="",N(p_delay),IFERROR(IF(ISNUMBER(INDEX(cli_delay,MATCH(D87,cli_code,0))),INDEX(cli_delay,MATCH(D87,cli_code,0)),N(p_delay)),N(p_delay))))))</f>
        <v/>
      </c>
      <c r="Q87" s="65" t="str">
        <f>IF(A87="","",IF(AA87="Avoir",-1,1)*ROUND(AJ87-IF(AR87="",0,INDEX(fa_htb,AR87)),2))</f>
        <v/>
      </c>
      <c r="R87" s="65" t="str">
        <f>IF(A87="","",IF(AA87="Avoir",-1,1)*ROUND(AQ87-IF(AR87="",0,INDEX(fa_tvab,AR87)),2))</f>
        <v/>
      </c>
      <c r="S87" s="65" t="str">
        <f>IF(A87="","",Q87+R87)</f>
        <v/>
      </c>
      <c r="T87" s="65" t="str">
        <f>IF(AR87="","",INDEX(fa_htb,AR87)+INDEX(fa_tvab,AR87))</f>
        <v/>
      </c>
      <c r="U87" s="65" t="str">
        <f>IF(A87="","",SUMIF(pa_inv,A87,pa_amt))</f>
        <v/>
      </c>
      <c r="V87" s="65" t="str">
        <f>IF(OR(A87="",AA87="Avoir"),"",-SUMIFS(fa_ttc,fa_avof,A87,fa_type,"Avoir"))</f>
        <v/>
      </c>
      <c r="W87" s="65" t="str">
        <f>IF(OR(A87="",AA87="Avoir"),"",ROUND(S87-U87-V87,2))</f>
        <v/>
      </c>
      <c r="X87" s="66" t="str">
        <f>IF(W87="","",IF(AND(W87&gt;0,p_asof&gt;P87),p_asof-P87,""))</f>
        <v/>
      </c>
      <c r="Y87" s="59" t="str">
        <f>IF(A87="","",IF(AA87="Avoir","Avoir",IF(W87&lt;0,"Trop-perçu",IF(W87=0,"Soldée",IF(p_asof&gt;P87,"En retard",IF(U87+V87&gt;0,"Partielle","À échoir"))))))</f>
        <v/>
      </c>
      <c r="Z87" s="59" t="str">
        <f>IF(NOT(COUNTA(B87:D87,F87:O87)&gt;0),"",IF(C87="","Date manquante",IF(NOT(ISNUMBER(C87)),"Date invalide",IF(D87="","Client manquant",IF(ISNA(MATCH(D87,cli_code,0)),"Client inconnu",IF(AC87&lt;SUMPRODUCT(MAX(($AB$6:AB86=AB87)*$AC$6:AC86)),"Date antérieure à la facture précédente",IF(AND(F87&lt;&gt;"",ISNA(MATCH(F87,dv_num,0))),"Devis inconnu",IF(AND(F87&lt;&gt;"",IFERROR(INDEX(dv_client,MATCH(F87,dv_num,0)),D87)&lt;&gt;D87),"Client différent de celui du devis",IF(AG87="","Aucune ligne : saisissez des lignes ou un devis",IF(AND(AI87&lt;&gt;"",COUNTIF($AI$6:AI87,AI87)&gt;1),"Devis déjà repris par une autre facture",IF(AND(AA87="Avoir",M87=""),"Avoir : indiquez la facture d'origine",IF(AND(AA87="Avoir",ISNA(MATCH(M87,fa_num,0))),"Facture d'origine inconnue",IF(AND(AA87&lt;&gt;"Avoir",M87&lt;&gt;""),"« Avoir sur facture » : réservé aux avoirs",IF(AND(L87&lt;&gt;"",AA87&lt;&gt;"Facture"),"Acompte à déduire : réservé aux factures",IF(AND(L87&lt;&gt;"",ISNA(MATCH(L87,fa_num,0))),"Facture d'acompte inconnue",IF(AND(L87&lt;&gt;"",IFERROR(INDEX(fa_type,MATCH(L87,fa_num,0)),"")&lt;&gt;"Facture d'acompte"),"Le n° à déduire n'est pas une facture d'acompte",IF(AND(L87&lt;&gt;"",COUNTIF($L$6:L87,L87)&gt;1),"Acompte déjà déduit sur une autre facture",IF(AND(L87&lt;&gt;"",IFERROR(INDEX(fa_client,MATCH(L87,fa_num,0)),D87)&lt;&gt;D87),"Acompte d'un autre client",IF(AND(AR87&lt;&gt;"",N(Q87)&lt;0),"Acompte supérieur au total de la facture",IF(IF(AG87="Facture",COUNTIFS(fl_doc,A87,fl_check,"&lt;&gt;OK"),IF(AG87="Devis",COUNTIFS(dl_doc,F87,dl_check,"&lt;&gt;OK"),0))&gt;0,"Ligne(s) à corriger",IF(AND(W87&lt;&gt;"",N(W87)&lt;0),"Trop-perçu : vérifiez paiements et avoirs","OK")))))))))))))))))))))</f>
        <v/>
      </c>
      <c r="AA87" s="62" t="str">
        <f>IF(COUNTA(B87:D87,F87:O87)&gt;0,IF(B87="","Facture",B87),"")</f>
        <v/>
      </c>
      <c r="AB87" s="62" t="str">
        <f>IF(AA87="","",IF(AA87="Avoir",p_pav,IF(AA87="Facture d'acompte",p_pac,p_pfa)))</f>
        <v/>
      </c>
      <c r="AC87" s="62">
        <f>IF(ISNUMBER(C87),C87,0)</f>
        <v>0.0</v>
      </c>
      <c r="AD87" s="62" t="str">
        <f>IF(OR(AA87="",AC87=0),"",YEAR(AC87))</f>
        <v/>
      </c>
      <c r="AE87" s="62" t="str">
        <f>IF(AD87="","",COUNTIFS($AB$6:AB87,AB87,$AD$6:AD87,AD87))</f>
        <v/>
      </c>
      <c r="AF87" s="62">
        <f>IF(A87="",0,COUNTIF(fl_doc,A87))</f>
        <v>0.0</v>
      </c>
      <c r="AG87" s="62" t="str">
        <f>IF(A87="","",IF(AF87&gt;0,"Facture",IF(AND(F87&lt;&gt;"",AA87="Facture",ISNUMBER(MATCH(F87,dv_num,0))),"Devis","")))</f>
        <v/>
      </c>
      <c r="AH87" s="62" t="str">
        <f>IF(AND(A87&lt;&gt;"",F87&lt;&gt;"",AA87&lt;&gt;"Avoir"),F87,"")</f>
        <v/>
      </c>
      <c r="AI87" s="62" t="str">
        <f>IF(AG87="Devis",F87,"")</f>
        <v/>
      </c>
      <c r="AJ87" s="62">
        <f>IF(AG87="Facture",SUMIF(fl_doc,A87,fl_ht),IF(AG87="Devis",SUMIF(dl_doc,F87,dl_ht),0))</f>
        <v>0.0</v>
      </c>
      <c r="AK87" s="62">
        <f>IF(OR(AG87="",INDEX(p_rates,1)=""),0,IF(AG87="Facture",SUMIFS(fl_ht,fl_doc,A87,fl_rate,INDEX(p_rates,1)),SUMIFS(dl_ht,dl_doc,F87,dl_rate,INDEX(p_rates,1))))</f>
        <v>0.0</v>
      </c>
      <c r="AL87" s="62">
        <f>IF(OR(AG87="",INDEX(p_rates,2)=""),0,IF(AG87="Facture",SUMIFS(fl_ht,fl_doc,A87,fl_rate,INDEX(p_rates,2)),SUMIFS(dl_ht,dl_doc,F87,dl_rate,INDEX(p_rates,2))))</f>
        <v>0.0</v>
      </c>
      <c r="AM87" s="62">
        <f>IF(OR(AG87="",INDEX(p_rates,3)=""),0,IF(AG87="Facture",SUMIFS(fl_ht,fl_doc,A87,fl_rate,INDEX(p_rates,3)),SUMIFS(dl_ht,dl_doc,F87,dl_rate,INDEX(p_rates,3))))</f>
        <v>0.0</v>
      </c>
      <c r="AN87" s="62">
        <f>IF(OR(AG87="",INDEX(p_rates,4)=""),0,IF(AG87="Facture",SUMIFS(fl_ht,fl_doc,A87,fl_rate,INDEX(p_rates,4)),SUMIFS(dl_ht,dl_doc,F87,dl_rate,INDEX(p_rates,4))))</f>
        <v>0.0</v>
      </c>
      <c r="AO87" s="62">
        <f>IF(OR(AG87="",INDEX(p_rates,5)=""),0,IF(AG87="Facture",SUMIFS(fl_ht,fl_doc,A87,fl_rate,INDEX(p_rates,5)),SUMIFS(dl_ht,dl_doc,F87,dl_rate,INDEX(p_rates,5))))</f>
        <v>0.0</v>
      </c>
      <c r="AP87" s="62">
        <f>IF(OR(AG87="",INDEX(p_rates,6)=""),0,IF(AG87="Facture",SUMIFS(fl_ht,fl_doc,A87,fl_rate,INDEX(p_rates,6)),SUMIFS(dl_ht,dl_doc,F87,dl_rate,INDEX(p_rates,6))))</f>
        <v>0.0</v>
      </c>
      <c r="AQ87" s="62">
        <f>ROUND(AK87*N(INDEX(p_rates,1)),2)+ROUND(AL87*N(INDEX(p_rates,2)),2)+ROUND(AM87*N(INDEX(p_rates,3)),2)+ROUND(AN87*N(INDEX(p_rates,4)),2)+ROUND(AO87*N(INDEX(p_rates,5)),2)+ROUND(AP87*N(INDEX(p_rates,6)),2)</f>
        <v>0.0</v>
      </c>
      <c r="AR87" s="62" t="str">
        <f>IF(OR(L87="",AA87&lt;&gt;"Facture"),"",IFERROR(IF(INDEX(fa_type,MATCH(L87,fa_num,0))="Facture d'acompte",MATCH(L87,fa_num,0),""),""))</f>
        <v/>
      </c>
      <c r="AS87" s="62" t="str">
        <f>IF(W87="","",IF(W87&lt;=0,"",IF(p_asof-P87&lt;=0,"Non échu",IF(p_asof-P87&lt;=30,"1-30 j",IF(p_asof-P87&lt;=60,"31-60 j",IF(p_asof-P87&lt;=90,"61-90 j","Plus de 90 j"))))))</f>
        <v/>
      </c>
      <c r="AT87" s="62" t="str">
        <f>IF(AS87="","",p_asof-P87)</f>
        <v/>
      </c>
      <c r="AU87" s="62" t="str">
        <f>IF(AT87="","",COUNTIF($AT$6:$AT$805,"&gt;"&amp;AT87)+COUNTIF($AT$6:AT87,AT87))</f>
        <v/>
      </c>
    </row>
    <row r="88">
      <c r="A88" s="59" t="str">
        <f>IF(AE88="","",AB88&amp;"-"&amp;AD88&amp;"-"&amp;RIGHT("000"&amp;AE88,4))</f>
        <v/>
      </c>
      <c r="B88" s="60" t="n"/>
      <c r="C88" s="61" t="n"/>
      <c r="D88" s="60" t="n"/>
      <c r="E88" s="62" t="str">
        <f>IF(D88="","",IFERROR(INDEX(cli_name,MATCH(D88,cli_code,0))&amp;"","Client inconnu"))</f>
        <v/>
      </c>
      <c r="F88" s="60" t="n"/>
      <c r="G88" s="63" t="n"/>
      <c r="H88" s="61" t="n"/>
      <c r="I88" s="63" t="n"/>
      <c r="J88" s="60" t="n"/>
      <c r="K88" s="61" t="n"/>
      <c r="L88" s="60" t="n"/>
      <c r="M88" s="60" t="n"/>
      <c r="N88" s="60" t="n"/>
      <c r="O88" s="61" t="n"/>
      <c r="P88" s="64" t="str">
        <f>IF(A88="","",IF(AA88="Avoir",AC88,IF(ISNUMBER(K88),K88,AC88+IF(D88="",N(p_delay),IFERROR(IF(ISNUMBER(INDEX(cli_delay,MATCH(D88,cli_code,0))),INDEX(cli_delay,MATCH(D88,cli_code,0)),N(p_delay)),N(p_delay))))))</f>
        <v/>
      </c>
      <c r="Q88" s="65" t="str">
        <f>IF(A88="","",IF(AA88="Avoir",-1,1)*ROUND(AJ88-IF(AR88="",0,INDEX(fa_htb,AR88)),2))</f>
        <v/>
      </c>
      <c r="R88" s="65" t="str">
        <f>IF(A88="","",IF(AA88="Avoir",-1,1)*ROUND(AQ88-IF(AR88="",0,INDEX(fa_tvab,AR88)),2))</f>
        <v/>
      </c>
      <c r="S88" s="65" t="str">
        <f>IF(A88="","",Q88+R88)</f>
        <v/>
      </c>
      <c r="T88" s="65" t="str">
        <f>IF(AR88="","",INDEX(fa_htb,AR88)+INDEX(fa_tvab,AR88))</f>
        <v/>
      </c>
      <c r="U88" s="65" t="str">
        <f>IF(A88="","",SUMIF(pa_inv,A88,pa_amt))</f>
        <v/>
      </c>
      <c r="V88" s="65" t="str">
        <f>IF(OR(A88="",AA88="Avoir"),"",-SUMIFS(fa_ttc,fa_avof,A88,fa_type,"Avoir"))</f>
        <v/>
      </c>
      <c r="W88" s="65" t="str">
        <f>IF(OR(A88="",AA88="Avoir"),"",ROUND(S88-U88-V88,2))</f>
        <v/>
      </c>
      <c r="X88" s="66" t="str">
        <f>IF(W88="","",IF(AND(W88&gt;0,p_asof&gt;P88),p_asof-P88,""))</f>
        <v/>
      </c>
      <c r="Y88" s="59" t="str">
        <f>IF(A88="","",IF(AA88="Avoir","Avoir",IF(W88&lt;0,"Trop-perçu",IF(W88=0,"Soldée",IF(p_asof&gt;P88,"En retard",IF(U88+V88&gt;0,"Partielle","À échoir"))))))</f>
        <v/>
      </c>
      <c r="Z88" s="59" t="str">
        <f>IF(NOT(COUNTA(B88:D88,F88:O88)&gt;0),"",IF(C88="","Date manquante",IF(NOT(ISNUMBER(C88)),"Date invalide",IF(D88="","Client manquant",IF(ISNA(MATCH(D88,cli_code,0)),"Client inconnu",IF(AC88&lt;SUMPRODUCT(MAX(($AB$6:AB87=AB88)*$AC$6:AC87)),"Date antérieure à la facture précédente",IF(AND(F88&lt;&gt;"",ISNA(MATCH(F88,dv_num,0))),"Devis inconnu",IF(AND(F88&lt;&gt;"",IFERROR(INDEX(dv_client,MATCH(F88,dv_num,0)),D88)&lt;&gt;D88),"Client différent de celui du devis",IF(AG88="","Aucune ligne : saisissez des lignes ou un devis",IF(AND(AI88&lt;&gt;"",COUNTIF($AI$6:AI88,AI88)&gt;1),"Devis déjà repris par une autre facture",IF(AND(AA88="Avoir",M88=""),"Avoir : indiquez la facture d'origine",IF(AND(AA88="Avoir",ISNA(MATCH(M88,fa_num,0))),"Facture d'origine inconnue",IF(AND(AA88&lt;&gt;"Avoir",M88&lt;&gt;""),"« Avoir sur facture » : réservé aux avoirs",IF(AND(L88&lt;&gt;"",AA88&lt;&gt;"Facture"),"Acompte à déduire : réservé aux factures",IF(AND(L88&lt;&gt;"",ISNA(MATCH(L88,fa_num,0))),"Facture d'acompte inconnue",IF(AND(L88&lt;&gt;"",IFERROR(INDEX(fa_type,MATCH(L88,fa_num,0)),"")&lt;&gt;"Facture d'acompte"),"Le n° à déduire n'est pas une facture d'acompte",IF(AND(L88&lt;&gt;"",COUNTIF($L$6:L88,L88)&gt;1),"Acompte déjà déduit sur une autre facture",IF(AND(L88&lt;&gt;"",IFERROR(INDEX(fa_client,MATCH(L88,fa_num,0)),D88)&lt;&gt;D88),"Acompte d'un autre client",IF(AND(AR88&lt;&gt;"",N(Q88)&lt;0),"Acompte supérieur au total de la facture",IF(IF(AG88="Facture",COUNTIFS(fl_doc,A88,fl_check,"&lt;&gt;OK"),IF(AG88="Devis",COUNTIFS(dl_doc,F88,dl_check,"&lt;&gt;OK"),0))&gt;0,"Ligne(s) à corriger",IF(AND(W88&lt;&gt;"",N(W88)&lt;0),"Trop-perçu : vérifiez paiements et avoirs","OK")))))))))))))))))))))</f>
        <v/>
      </c>
      <c r="AA88" s="62" t="str">
        <f>IF(COUNTA(B88:D88,F88:O88)&gt;0,IF(B88="","Facture",B88),"")</f>
        <v/>
      </c>
      <c r="AB88" s="62" t="str">
        <f>IF(AA88="","",IF(AA88="Avoir",p_pav,IF(AA88="Facture d'acompte",p_pac,p_pfa)))</f>
        <v/>
      </c>
      <c r="AC88" s="62">
        <f>IF(ISNUMBER(C88),C88,0)</f>
        <v>0.0</v>
      </c>
      <c r="AD88" s="62" t="str">
        <f>IF(OR(AA88="",AC88=0),"",YEAR(AC88))</f>
        <v/>
      </c>
      <c r="AE88" s="62" t="str">
        <f>IF(AD88="","",COUNTIFS($AB$6:AB88,AB88,$AD$6:AD88,AD88))</f>
        <v/>
      </c>
      <c r="AF88" s="62">
        <f>IF(A88="",0,COUNTIF(fl_doc,A88))</f>
        <v>0.0</v>
      </c>
      <c r="AG88" s="62" t="str">
        <f>IF(A88="","",IF(AF88&gt;0,"Facture",IF(AND(F88&lt;&gt;"",AA88="Facture",ISNUMBER(MATCH(F88,dv_num,0))),"Devis","")))</f>
        <v/>
      </c>
      <c r="AH88" s="62" t="str">
        <f>IF(AND(A88&lt;&gt;"",F88&lt;&gt;"",AA88&lt;&gt;"Avoir"),F88,"")</f>
        <v/>
      </c>
      <c r="AI88" s="62" t="str">
        <f>IF(AG88="Devis",F88,"")</f>
        <v/>
      </c>
      <c r="AJ88" s="62">
        <f>IF(AG88="Facture",SUMIF(fl_doc,A88,fl_ht),IF(AG88="Devis",SUMIF(dl_doc,F88,dl_ht),0))</f>
        <v>0.0</v>
      </c>
      <c r="AK88" s="62">
        <f>IF(OR(AG88="",INDEX(p_rates,1)=""),0,IF(AG88="Facture",SUMIFS(fl_ht,fl_doc,A88,fl_rate,INDEX(p_rates,1)),SUMIFS(dl_ht,dl_doc,F88,dl_rate,INDEX(p_rates,1))))</f>
        <v>0.0</v>
      </c>
      <c r="AL88" s="62">
        <f>IF(OR(AG88="",INDEX(p_rates,2)=""),0,IF(AG88="Facture",SUMIFS(fl_ht,fl_doc,A88,fl_rate,INDEX(p_rates,2)),SUMIFS(dl_ht,dl_doc,F88,dl_rate,INDEX(p_rates,2))))</f>
        <v>0.0</v>
      </c>
      <c r="AM88" s="62">
        <f>IF(OR(AG88="",INDEX(p_rates,3)=""),0,IF(AG88="Facture",SUMIFS(fl_ht,fl_doc,A88,fl_rate,INDEX(p_rates,3)),SUMIFS(dl_ht,dl_doc,F88,dl_rate,INDEX(p_rates,3))))</f>
        <v>0.0</v>
      </c>
      <c r="AN88" s="62">
        <f>IF(OR(AG88="",INDEX(p_rates,4)=""),0,IF(AG88="Facture",SUMIFS(fl_ht,fl_doc,A88,fl_rate,INDEX(p_rates,4)),SUMIFS(dl_ht,dl_doc,F88,dl_rate,INDEX(p_rates,4))))</f>
        <v>0.0</v>
      </c>
      <c r="AO88" s="62">
        <f>IF(OR(AG88="",INDEX(p_rates,5)=""),0,IF(AG88="Facture",SUMIFS(fl_ht,fl_doc,A88,fl_rate,INDEX(p_rates,5)),SUMIFS(dl_ht,dl_doc,F88,dl_rate,INDEX(p_rates,5))))</f>
        <v>0.0</v>
      </c>
      <c r="AP88" s="62">
        <f>IF(OR(AG88="",INDEX(p_rates,6)=""),0,IF(AG88="Facture",SUMIFS(fl_ht,fl_doc,A88,fl_rate,INDEX(p_rates,6)),SUMIFS(dl_ht,dl_doc,F88,dl_rate,INDEX(p_rates,6))))</f>
        <v>0.0</v>
      </c>
      <c r="AQ88" s="62">
        <f>ROUND(AK88*N(INDEX(p_rates,1)),2)+ROUND(AL88*N(INDEX(p_rates,2)),2)+ROUND(AM88*N(INDEX(p_rates,3)),2)+ROUND(AN88*N(INDEX(p_rates,4)),2)+ROUND(AO88*N(INDEX(p_rates,5)),2)+ROUND(AP88*N(INDEX(p_rates,6)),2)</f>
        <v>0.0</v>
      </c>
      <c r="AR88" s="62" t="str">
        <f>IF(OR(L88="",AA88&lt;&gt;"Facture"),"",IFERROR(IF(INDEX(fa_type,MATCH(L88,fa_num,0))="Facture d'acompte",MATCH(L88,fa_num,0),""),""))</f>
        <v/>
      </c>
      <c r="AS88" s="62" t="str">
        <f>IF(W88="","",IF(W88&lt;=0,"",IF(p_asof-P88&lt;=0,"Non échu",IF(p_asof-P88&lt;=30,"1-30 j",IF(p_asof-P88&lt;=60,"31-60 j",IF(p_asof-P88&lt;=90,"61-90 j","Plus de 90 j"))))))</f>
        <v/>
      </c>
      <c r="AT88" s="62" t="str">
        <f>IF(AS88="","",p_asof-P88)</f>
        <v/>
      </c>
      <c r="AU88" s="62" t="str">
        <f>IF(AT88="","",COUNTIF($AT$6:$AT$805,"&gt;"&amp;AT88)+COUNTIF($AT$6:AT88,AT88))</f>
        <v/>
      </c>
    </row>
    <row r="89">
      <c r="A89" s="59" t="str">
        <f>IF(AE89="","",AB89&amp;"-"&amp;AD89&amp;"-"&amp;RIGHT("000"&amp;AE89,4))</f>
        <v/>
      </c>
      <c r="B89" s="60" t="n"/>
      <c r="C89" s="61" t="n"/>
      <c r="D89" s="60" t="n"/>
      <c r="E89" s="62" t="str">
        <f>IF(D89="","",IFERROR(INDEX(cli_name,MATCH(D89,cli_code,0))&amp;"","Client inconnu"))</f>
        <v/>
      </c>
      <c r="F89" s="60" t="n"/>
      <c r="G89" s="63" t="n"/>
      <c r="H89" s="61" t="n"/>
      <c r="I89" s="63" t="n"/>
      <c r="J89" s="60" t="n"/>
      <c r="K89" s="61" t="n"/>
      <c r="L89" s="60" t="n"/>
      <c r="M89" s="60" t="n"/>
      <c r="N89" s="60" t="n"/>
      <c r="O89" s="61" t="n"/>
      <c r="P89" s="64" t="str">
        <f>IF(A89="","",IF(AA89="Avoir",AC89,IF(ISNUMBER(K89),K89,AC89+IF(D89="",N(p_delay),IFERROR(IF(ISNUMBER(INDEX(cli_delay,MATCH(D89,cli_code,0))),INDEX(cli_delay,MATCH(D89,cli_code,0)),N(p_delay)),N(p_delay))))))</f>
        <v/>
      </c>
      <c r="Q89" s="65" t="str">
        <f>IF(A89="","",IF(AA89="Avoir",-1,1)*ROUND(AJ89-IF(AR89="",0,INDEX(fa_htb,AR89)),2))</f>
        <v/>
      </c>
      <c r="R89" s="65" t="str">
        <f>IF(A89="","",IF(AA89="Avoir",-1,1)*ROUND(AQ89-IF(AR89="",0,INDEX(fa_tvab,AR89)),2))</f>
        <v/>
      </c>
      <c r="S89" s="65" t="str">
        <f>IF(A89="","",Q89+R89)</f>
        <v/>
      </c>
      <c r="T89" s="65" t="str">
        <f>IF(AR89="","",INDEX(fa_htb,AR89)+INDEX(fa_tvab,AR89))</f>
        <v/>
      </c>
      <c r="U89" s="65" t="str">
        <f>IF(A89="","",SUMIF(pa_inv,A89,pa_amt))</f>
        <v/>
      </c>
      <c r="V89" s="65" t="str">
        <f>IF(OR(A89="",AA89="Avoir"),"",-SUMIFS(fa_ttc,fa_avof,A89,fa_type,"Avoir"))</f>
        <v/>
      </c>
      <c r="W89" s="65" t="str">
        <f>IF(OR(A89="",AA89="Avoir"),"",ROUND(S89-U89-V89,2))</f>
        <v/>
      </c>
      <c r="X89" s="66" t="str">
        <f>IF(W89="","",IF(AND(W89&gt;0,p_asof&gt;P89),p_asof-P89,""))</f>
        <v/>
      </c>
      <c r="Y89" s="59" t="str">
        <f>IF(A89="","",IF(AA89="Avoir","Avoir",IF(W89&lt;0,"Trop-perçu",IF(W89=0,"Soldée",IF(p_asof&gt;P89,"En retard",IF(U89+V89&gt;0,"Partielle","À échoir"))))))</f>
        <v/>
      </c>
      <c r="Z89" s="59" t="str">
        <f>IF(NOT(COUNTA(B89:D89,F89:O89)&gt;0),"",IF(C89="","Date manquante",IF(NOT(ISNUMBER(C89)),"Date invalide",IF(D89="","Client manquant",IF(ISNA(MATCH(D89,cli_code,0)),"Client inconnu",IF(AC89&lt;SUMPRODUCT(MAX(($AB$6:AB88=AB89)*$AC$6:AC88)),"Date antérieure à la facture précédente",IF(AND(F89&lt;&gt;"",ISNA(MATCH(F89,dv_num,0))),"Devis inconnu",IF(AND(F89&lt;&gt;"",IFERROR(INDEX(dv_client,MATCH(F89,dv_num,0)),D89)&lt;&gt;D89),"Client différent de celui du devis",IF(AG89="","Aucune ligne : saisissez des lignes ou un devis",IF(AND(AI89&lt;&gt;"",COUNTIF($AI$6:AI89,AI89)&gt;1),"Devis déjà repris par une autre facture",IF(AND(AA89="Avoir",M89=""),"Avoir : indiquez la facture d'origine",IF(AND(AA89="Avoir",ISNA(MATCH(M89,fa_num,0))),"Facture d'origine inconnue",IF(AND(AA89&lt;&gt;"Avoir",M89&lt;&gt;""),"« Avoir sur facture » : réservé aux avoirs",IF(AND(L89&lt;&gt;"",AA89&lt;&gt;"Facture"),"Acompte à déduire : réservé aux factures",IF(AND(L89&lt;&gt;"",ISNA(MATCH(L89,fa_num,0))),"Facture d'acompte inconnue",IF(AND(L89&lt;&gt;"",IFERROR(INDEX(fa_type,MATCH(L89,fa_num,0)),"")&lt;&gt;"Facture d'acompte"),"Le n° à déduire n'est pas une facture d'acompte",IF(AND(L89&lt;&gt;"",COUNTIF($L$6:L89,L89)&gt;1),"Acompte déjà déduit sur une autre facture",IF(AND(L89&lt;&gt;"",IFERROR(INDEX(fa_client,MATCH(L89,fa_num,0)),D89)&lt;&gt;D89),"Acompte d'un autre client",IF(AND(AR89&lt;&gt;"",N(Q89)&lt;0),"Acompte supérieur au total de la facture",IF(IF(AG89="Facture",COUNTIFS(fl_doc,A89,fl_check,"&lt;&gt;OK"),IF(AG89="Devis",COUNTIFS(dl_doc,F89,dl_check,"&lt;&gt;OK"),0))&gt;0,"Ligne(s) à corriger",IF(AND(W89&lt;&gt;"",N(W89)&lt;0),"Trop-perçu : vérifiez paiements et avoirs","OK")))))))))))))))))))))</f>
        <v/>
      </c>
      <c r="AA89" s="62" t="str">
        <f>IF(COUNTA(B89:D89,F89:O89)&gt;0,IF(B89="","Facture",B89),"")</f>
        <v/>
      </c>
      <c r="AB89" s="62" t="str">
        <f>IF(AA89="","",IF(AA89="Avoir",p_pav,IF(AA89="Facture d'acompte",p_pac,p_pfa)))</f>
        <v/>
      </c>
      <c r="AC89" s="62">
        <f>IF(ISNUMBER(C89),C89,0)</f>
        <v>0.0</v>
      </c>
      <c r="AD89" s="62" t="str">
        <f>IF(OR(AA89="",AC89=0),"",YEAR(AC89))</f>
        <v/>
      </c>
      <c r="AE89" s="62" t="str">
        <f>IF(AD89="","",COUNTIFS($AB$6:AB89,AB89,$AD$6:AD89,AD89))</f>
        <v/>
      </c>
      <c r="AF89" s="62">
        <f>IF(A89="",0,COUNTIF(fl_doc,A89))</f>
        <v>0.0</v>
      </c>
      <c r="AG89" s="62" t="str">
        <f>IF(A89="","",IF(AF89&gt;0,"Facture",IF(AND(F89&lt;&gt;"",AA89="Facture",ISNUMBER(MATCH(F89,dv_num,0))),"Devis","")))</f>
        <v/>
      </c>
      <c r="AH89" s="62" t="str">
        <f>IF(AND(A89&lt;&gt;"",F89&lt;&gt;"",AA89&lt;&gt;"Avoir"),F89,"")</f>
        <v/>
      </c>
      <c r="AI89" s="62" t="str">
        <f>IF(AG89="Devis",F89,"")</f>
        <v/>
      </c>
      <c r="AJ89" s="62">
        <f>IF(AG89="Facture",SUMIF(fl_doc,A89,fl_ht),IF(AG89="Devis",SUMIF(dl_doc,F89,dl_ht),0))</f>
        <v>0.0</v>
      </c>
      <c r="AK89" s="62">
        <f>IF(OR(AG89="",INDEX(p_rates,1)=""),0,IF(AG89="Facture",SUMIFS(fl_ht,fl_doc,A89,fl_rate,INDEX(p_rates,1)),SUMIFS(dl_ht,dl_doc,F89,dl_rate,INDEX(p_rates,1))))</f>
        <v>0.0</v>
      </c>
      <c r="AL89" s="62">
        <f>IF(OR(AG89="",INDEX(p_rates,2)=""),0,IF(AG89="Facture",SUMIFS(fl_ht,fl_doc,A89,fl_rate,INDEX(p_rates,2)),SUMIFS(dl_ht,dl_doc,F89,dl_rate,INDEX(p_rates,2))))</f>
        <v>0.0</v>
      </c>
      <c r="AM89" s="62">
        <f>IF(OR(AG89="",INDEX(p_rates,3)=""),0,IF(AG89="Facture",SUMIFS(fl_ht,fl_doc,A89,fl_rate,INDEX(p_rates,3)),SUMIFS(dl_ht,dl_doc,F89,dl_rate,INDEX(p_rates,3))))</f>
        <v>0.0</v>
      </c>
      <c r="AN89" s="62">
        <f>IF(OR(AG89="",INDEX(p_rates,4)=""),0,IF(AG89="Facture",SUMIFS(fl_ht,fl_doc,A89,fl_rate,INDEX(p_rates,4)),SUMIFS(dl_ht,dl_doc,F89,dl_rate,INDEX(p_rates,4))))</f>
        <v>0.0</v>
      </c>
      <c r="AO89" s="62">
        <f>IF(OR(AG89="",INDEX(p_rates,5)=""),0,IF(AG89="Facture",SUMIFS(fl_ht,fl_doc,A89,fl_rate,INDEX(p_rates,5)),SUMIFS(dl_ht,dl_doc,F89,dl_rate,INDEX(p_rates,5))))</f>
        <v>0.0</v>
      </c>
      <c r="AP89" s="62">
        <f>IF(OR(AG89="",INDEX(p_rates,6)=""),0,IF(AG89="Facture",SUMIFS(fl_ht,fl_doc,A89,fl_rate,INDEX(p_rates,6)),SUMIFS(dl_ht,dl_doc,F89,dl_rate,INDEX(p_rates,6))))</f>
        <v>0.0</v>
      </c>
      <c r="AQ89" s="62">
        <f>ROUND(AK89*N(INDEX(p_rates,1)),2)+ROUND(AL89*N(INDEX(p_rates,2)),2)+ROUND(AM89*N(INDEX(p_rates,3)),2)+ROUND(AN89*N(INDEX(p_rates,4)),2)+ROUND(AO89*N(INDEX(p_rates,5)),2)+ROUND(AP89*N(INDEX(p_rates,6)),2)</f>
        <v>0.0</v>
      </c>
      <c r="AR89" s="62" t="str">
        <f>IF(OR(L89="",AA89&lt;&gt;"Facture"),"",IFERROR(IF(INDEX(fa_type,MATCH(L89,fa_num,0))="Facture d'acompte",MATCH(L89,fa_num,0),""),""))</f>
        <v/>
      </c>
      <c r="AS89" s="62" t="str">
        <f>IF(W89="","",IF(W89&lt;=0,"",IF(p_asof-P89&lt;=0,"Non échu",IF(p_asof-P89&lt;=30,"1-30 j",IF(p_asof-P89&lt;=60,"31-60 j",IF(p_asof-P89&lt;=90,"61-90 j","Plus de 90 j"))))))</f>
        <v/>
      </c>
      <c r="AT89" s="62" t="str">
        <f>IF(AS89="","",p_asof-P89)</f>
        <v/>
      </c>
      <c r="AU89" s="62" t="str">
        <f>IF(AT89="","",COUNTIF($AT$6:$AT$805,"&gt;"&amp;AT89)+COUNTIF($AT$6:AT89,AT89))</f>
        <v/>
      </c>
    </row>
    <row r="90">
      <c r="A90" s="59" t="str">
        <f>IF(AE90="","",AB90&amp;"-"&amp;AD90&amp;"-"&amp;RIGHT("000"&amp;AE90,4))</f>
        <v/>
      </c>
      <c r="B90" s="60" t="n"/>
      <c r="C90" s="61" t="n"/>
      <c r="D90" s="60" t="n"/>
      <c r="E90" s="62" t="str">
        <f>IF(D90="","",IFERROR(INDEX(cli_name,MATCH(D90,cli_code,0))&amp;"","Client inconnu"))</f>
        <v/>
      </c>
      <c r="F90" s="60" t="n"/>
      <c r="G90" s="63" t="n"/>
      <c r="H90" s="61" t="n"/>
      <c r="I90" s="63" t="n"/>
      <c r="J90" s="60" t="n"/>
      <c r="K90" s="61" t="n"/>
      <c r="L90" s="60" t="n"/>
      <c r="M90" s="60" t="n"/>
      <c r="N90" s="60" t="n"/>
      <c r="O90" s="61" t="n"/>
      <c r="P90" s="64" t="str">
        <f>IF(A90="","",IF(AA90="Avoir",AC90,IF(ISNUMBER(K90),K90,AC90+IF(D90="",N(p_delay),IFERROR(IF(ISNUMBER(INDEX(cli_delay,MATCH(D90,cli_code,0))),INDEX(cli_delay,MATCH(D90,cli_code,0)),N(p_delay)),N(p_delay))))))</f>
        <v/>
      </c>
      <c r="Q90" s="65" t="str">
        <f>IF(A90="","",IF(AA90="Avoir",-1,1)*ROUND(AJ90-IF(AR90="",0,INDEX(fa_htb,AR90)),2))</f>
        <v/>
      </c>
      <c r="R90" s="65" t="str">
        <f>IF(A90="","",IF(AA90="Avoir",-1,1)*ROUND(AQ90-IF(AR90="",0,INDEX(fa_tvab,AR90)),2))</f>
        <v/>
      </c>
      <c r="S90" s="65" t="str">
        <f>IF(A90="","",Q90+R90)</f>
        <v/>
      </c>
      <c r="T90" s="65" t="str">
        <f>IF(AR90="","",INDEX(fa_htb,AR90)+INDEX(fa_tvab,AR90))</f>
        <v/>
      </c>
      <c r="U90" s="65" t="str">
        <f>IF(A90="","",SUMIF(pa_inv,A90,pa_amt))</f>
        <v/>
      </c>
      <c r="V90" s="65" t="str">
        <f>IF(OR(A90="",AA90="Avoir"),"",-SUMIFS(fa_ttc,fa_avof,A90,fa_type,"Avoir"))</f>
        <v/>
      </c>
      <c r="W90" s="65" t="str">
        <f>IF(OR(A90="",AA90="Avoir"),"",ROUND(S90-U90-V90,2))</f>
        <v/>
      </c>
      <c r="X90" s="66" t="str">
        <f>IF(W90="","",IF(AND(W90&gt;0,p_asof&gt;P90),p_asof-P90,""))</f>
        <v/>
      </c>
      <c r="Y90" s="59" t="str">
        <f>IF(A90="","",IF(AA90="Avoir","Avoir",IF(W90&lt;0,"Trop-perçu",IF(W90=0,"Soldée",IF(p_asof&gt;P90,"En retard",IF(U90+V90&gt;0,"Partielle","À échoir"))))))</f>
        <v/>
      </c>
      <c r="Z90" s="59" t="str">
        <f>IF(NOT(COUNTA(B90:D90,F90:O90)&gt;0),"",IF(C90="","Date manquante",IF(NOT(ISNUMBER(C90)),"Date invalide",IF(D90="","Client manquant",IF(ISNA(MATCH(D90,cli_code,0)),"Client inconnu",IF(AC90&lt;SUMPRODUCT(MAX(($AB$6:AB89=AB90)*$AC$6:AC89)),"Date antérieure à la facture précédente",IF(AND(F90&lt;&gt;"",ISNA(MATCH(F90,dv_num,0))),"Devis inconnu",IF(AND(F90&lt;&gt;"",IFERROR(INDEX(dv_client,MATCH(F90,dv_num,0)),D90)&lt;&gt;D90),"Client différent de celui du devis",IF(AG90="","Aucune ligne : saisissez des lignes ou un devis",IF(AND(AI90&lt;&gt;"",COUNTIF($AI$6:AI90,AI90)&gt;1),"Devis déjà repris par une autre facture",IF(AND(AA90="Avoir",M90=""),"Avoir : indiquez la facture d'origine",IF(AND(AA90="Avoir",ISNA(MATCH(M90,fa_num,0))),"Facture d'origine inconnue",IF(AND(AA90&lt;&gt;"Avoir",M90&lt;&gt;""),"« Avoir sur facture » : réservé aux avoirs",IF(AND(L90&lt;&gt;"",AA90&lt;&gt;"Facture"),"Acompte à déduire : réservé aux factures",IF(AND(L90&lt;&gt;"",ISNA(MATCH(L90,fa_num,0))),"Facture d'acompte inconnue",IF(AND(L90&lt;&gt;"",IFERROR(INDEX(fa_type,MATCH(L90,fa_num,0)),"")&lt;&gt;"Facture d'acompte"),"Le n° à déduire n'est pas une facture d'acompte",IF(AND(L90&lt;&gt;"",COUNTIF($L$6:L90,L90)&gt;1),"Acompte déjà déduit sur une autre facture",IF(AND(L90&lt;&gt;"",IFERROR(INDEX(fa_client,MATCH(L90,fa_num,0)),D90)&lt;&gt;D90),"Acompte d'un autre client",IF(AND(AR90&lt;&gt;"",N(Q90)&lt;0),"Acompte supérieur au total de la facture",IF(IF(AG90="Facture",COUNTIFS(fl_doc,A90,fl_check,"&lt;&gt;OK"),IF(AG90="Devis",COUNTIFS(dl_doc,F90,dl_check,"&lt;&gt;OK"),0))&gt;0,"Ligne(s) à corriger",IF(AND(W90&lt;&gt;"",N(W90)&lt;0),"Trop-perçu : vérifiez paiements et avoirs","OK")))))))))))))))))))))</f>
        <v/>
      </c>
      <c r="AA90" s="62" t="str">
        <f>IF(COUNTA(B90:D90,F90:O90)&gt;0,IF(B90="","Facture",B90),"")</f>
        <v/>
      </c>
      <c r="AB90" s="62" t="str">
        <f>IF(AA90="","",IF(AA90="Avoir",p_pav,IF(AA90="Facture d'acompte",p_pac,p_pfa)))</f>
        <v/>
      </c>
      <c r="AC90" s="62">
        <f>IF(ISNUMBER(C90),C90,0)</f>
        <v>0.0</v>
      </c>
      <c r="AD90" s="62" t="str">
        <f>IF(OR(AA90="",AC90=0),"",YEAR(AC90))</f>
        <v/>
      </c>
      <c r="AE90" s="62" t="str">
        <f>IF(AD90="","",COUNTIFS($AB$6:AB90,AB90,$AD$6:AD90,AD90))</f>
        <v/>
      </c>
      <c r="AF90" s="62">
        <f>IF(A90="",0,COUNTIF(fl_doc,A90))</f>
        <v>0.0</v>
      </c>
      <c r="AG90" s="62" t="str">
        <f>IF(A90="","",IF(AF90&gt;0,"Facture",IF(AND(F90&lt;&gt;"",AA90="Facture",ISNUMBER(MATCH(F90,dv_num,0))),"Devis","")))</f>
        <v/>
      </c>
      <c r="AH90" s="62" t="str">
        <f>IF(AND(A90&lt;&gt;"",F90&lt;&gt;"",AA90&lt;&gt;"Avoir"),F90,"")</f>
        <v/>
      </c>
      <c r="AI90" s="62" t="str">
        <f>IF(AG90="Devis",F90,"")</f>
        <v/>
      </c>
      <c r="AJ90" s="62">
        <f>IF(AG90="Facture",SUMIF(fl_doc,A90,fl_ht),IF(AG90="Devis",SUMIF(dl_doc,F90,dl_ht),0))</f>
        <v>0.0</v>
      </c>
      <c r="AK90" s="62">
        <f>IF(OR(AG90="",INDEX(p_rates,1)=""),0,IF(AG90="Facture",SUMIFS(fl_ht,fl_doc,A90,fl_rate,INDEX(p_rates,1)),SUMIFS(dl_ht,dl_doc,F90,dl_rate,INDEX(p_rates,1))))</f>
        <v>0.0</v>
      </c>
      <c r="AL90" s="62">
        <f>IF(OR(AG90="",INDEX(p_rates,2)=""),0,IF(AG90="Facture",SUMIFS(fl_ht,fl_doc,A90,fl_rate,INDEX(p_rates,2)),SUMIFS(dl_ht,dl_doc,F90,dl_rate,INDEX(p_rates,2))))</f>
        <v>0.0</v>
      </c>
      <c r="AM90" s="62">
        <f>IF(OR(AG90="",INDEX(p_rates,3)=""),0,IF(AG90="Facture",SUMIFS(fl_ht,fl_doc,A90,fl_rate,INDEX(p_rates,3)),SUMIFS(dl_ht,dl_doc,F90,dl_rate,INDEX(p_rates,3))))</f>
        <v>0.0</v>
      </c>
      <c r="AN90" s="62">
        <f>IF(OR(AG90="",INDEX(p_rates,4)=""),0,IF(AG90="Facture",SUMIFS(fl_ht,fl_doc,A90,fl_rate,INDEX(p_rates,4)),SUMIFS(dl_ht,dl_doc,F90,dl_rate,INDEX(p_rates,4))))</f>
        <v>0.0</v>
      </c>
      <c r="AO90" s="62">
        <f>IF(OR(AG90="",INDEX(p_rates,5)=""),0,IF(AG90="Facture",SUMIFS(fl_ht,fl_doc,A90,fl_rate,INDEX(p_rates,5)),SUMIFS(dl_ht,dl_doc,F90,dl_rate,INDEX(p_rates,5))))</f>
        <v>0.0</v>
      </c>
      <c r="AP90" s="62">
        <f>IF(OR(AG90="",INDEX(p_rates,6)=""),0,IF(AG90="Facture",SUMIFS(fl_ht,fl_doc,A90,fl_rate,INDEX(p_rates,6)),SUMIFS(dl_ht,dl_doc,F90,dl_rate,INDEX(p_rates,6))))</f>
        <v>0.0</v>
      </c>
      <c r="AQ90" s="62">
        <f>ROUND(AK90*N(INDEX(p_rates,1)),2)+ROUND(AL90*N(INDEX(p_rates,2)),2)+ROUND(AM90*N(INDEX(p_rates,3)),2)+ROUND(AN90*N(INDEX(p_rates,4)),2)+ROUND(AO90*N(INDEX(p_rates,5)),2)+ROUND(AP90*N(INDEX(p_rates,6)),2)</f>
        <v>0.0</v>
      </c>
      <c r="AR90" s="62" t="str">
        <f>IF(OR(L90="",AA90&lt;&gt;"Facture"),"",IFERROR(IF(INDEX(fa_type,MATCH(L90,fa_num,0))="Facture d'acompte",MATCH(L90,fa_num,0),""),""))</f>
        <v/>
      </c>
      <c r="AS90" s="62" t="str">
        <f>IF(W90="","",IF(W90&lt;=0,"",IF(p_asof-P90&lt;=0,"Non échu",IF(p_asof-P90&lt;=30,"1-30 j",IF(p_asof-P90&lt;=60,"31-60 j",IF(p_asof-P90&lt;=90,"61-90 j","Plus de 90 j"))))))</f>
        <v/>
      </c>
      <c r="AT90" s="62" t="str">
        <f>IF(AS90="","",p_asof-P90)</f>
        <v/>
      </c>
      <c r="AU90" s="62" t="str">
        <f>IF(AT90="","",COUNTIF($AT$6:$AT$805,"&gt;"&amp;AT90)+COUNTIF($AT$6:AT90,AT90))</f>
        <v/>
      </c>
    </row>
    <row r="91">
      <c r="A91" s="59" t="str">
        <f>IF(AE91="","",AB91&amp;"-"&amp;AD91&amp;"-"&amp;RIGHT("000"&amp;AE91,4))</f>
        <v/>
      </c>
      <c r="B91" s="60" t="n"/>
      <c r="C91" s="61" t="n"/>
      <c r="D91" s="60" t="n"/>
      <c r="E91" s="62" t="str">
        <f>IF(D91="","",IFERROR(INDEX(cli_name,MATCH(D91,cli_code,0))&amp;"","Client inconnu"))</f>
        <v/>
      </c>
      <c r="F91" s="60" t="n"/>
      <c r="G91" s="63" t="n"/>
      <c r="H91" s="61" t="n"/>
      <c r="I91" s="63" t="n"/>
      <c r="J91" s="60" t="n"/>
      <c r="K91" s="61" t="n"/>
      <c r="L91" s="60" t="n"/>
      <c r="M91" s="60" t="n"/>
      <c r="N91" s="60" t="n"/>
      <c r="O91" s="61" t="n"/>
      <c r="P91" s="64" t="str">
        <f>IF(A91="","",IF(AA91="Avoir",AC91,IF(ISNUMBER(K91),K91,AC91+IF(D91="",N(p_delay),IFERROR(IF(ISNUMBER(INDEX(cli_delay,MATCH(D91,cli_code,0))),INDEX(cli_delay,MATCH(D91,cli_code,0)),N(p_delay)),N(p_delay))))))</f>
        <v/>
      </c>
      <c r="Q91" s="65" t="str">
        <f>IF(A91="","",IF(AA91="Avoir",-1,1)*ROUND(AJ91-IF(AR91="",0,INDEX(fa_htb,AR91)),2))</f>
        <v/>
      </c>
      <c r="R91" s="65" t="str">
        <f>IF(A91="","",IF(AA91="Avoir",-1,1)*ROUND(AQ91-IF(AR91="",0,INDEX(fa_tvab,AR91)),2))</f>
        <v/>
      </c>
      <c r="S91" s="65" t="str">
        <f>IF(A91="","",Q91+R91)</f>
        <v/>
      </c>
      <c r="T91" s="65" t="str">
        <f>IF(AR91="","",INDEX(fa_htb,AR91)+INDEX(fa_tvab,AR91))</f>
        <v/>
      </c>
      <c r="U91" s="65" t="str">
        <f>IF(A91="","",SUMIF(pa_inv,A91,pa_amt))</f>
        <v/>
      </c>
      <c r="V91" s="65" t="str">
        <f>IF(OR(A91="",AA91="Avoir"),"",-SUMIFS(fa_ttc,fa_avof,A91,fa_type,"Avoir"))</f>
        <v/>
      </c>
      <c r="W91" s="65" t="str">
        <f>IF(OR(A91="",AA91="Avoir"),"",ROUND(S91-U91-V91,2))</f>
        <v/>
      </c>
      <c r="X91" s="66" t="str">
        <f>IF(W91="","",IF(AND(W91&gt;0,p_asof&gt;P91),p_asof-P91,""))</f>
        <v/>
      </c>
      <c r="Y91" s="59" t="str">
        <f>IF(A91="","",IF(AA91="Avoir","Avoir",IF(W91&lt;0,"Trop-perçu",IF(W91=0,"Soldée",IF(p_asof&gt;P91,"En retard",IF(U91+V91&gt;0,"Partielle","À échoir"))))))</f>
        <v/>
      </c>
      <c r="Z91" s="59" t="str">
        <f>IF(NOT(COUNTA(B91:D91,F91:O91)&gt;0),"",IF(C91="","Date manquante",IF(NOT(ISNUMBER(C91)),"Date invalide",IF(D91="","Client manquant",IF(ISNA(MATCH(D91,cli_code,0)),"Client inconnu",IF(AC91&lt;SUMPRODUCT(MAX(($AB$6:AB90=AB91)*$AC$6:AC90)),"Date antérieure à la facture précédente",IF(AND(F91&lt;&gt;"",ISNA(MATCH(F91,dv_num,0))),"Devis inconnu",IF(AND(F91&lt;&gt;"",IFERROR(INDEX(dv_client,MATCH(F91,dv_num,0)),D91)&lt;&gt;D91),"Client différent de celui du devis",IF(AG91="","Aucune ligne : saisissez des lignes ou un devis",IF(AND(AI91&lt;&gt;"",COUNTIF($AI$6:AI91,AI91)&gt;1),"Devis déjà repris par une autre facture",IF(AND(AA91="Avoir",M91=""),"Avoir : indiquez la facture d'origine",IF(AND(AA91="Avoir",ISNA(MATCH(M91,fa_num,0))),"Facture d'origine inconnue",IF(AND(AA91&lt;&gt;"Avoir",M91&lt;&gt;""),"« Avoir sur facture » : réservé aux avoirs",IF(AND(L91&lt;&gt;"",AA91&lt;&gt;"Facture"),"Acompte à déduire : réservé aux factures",IF(AND(L91&lt;&gt;"",ISNA(MATCH(L91,fa_num,0))),"Facture d'acompte inconnue",IF(AND(L91&lt;&gt;"",IFERROR(INDEX(fa_type,MATCH(L91,fa_num,0)),"")&lt;&gt;"Facture d'acompte"),"Le n° à déduire n'est pas une facture d'acompte",IF(AND(L91&lt;&gt;"",COUNTIF($L$6:L91,L91)&gt;1),"Acompte déjà déduit sur une autre facture",IF(AND(L91&lt;&gt;"",IFERROR(INDEX(fa_client,MATCH(L91,fa_num,0)),D91)&lt;&gt;D91),"Acompte d'un autre client",IF(AND(AR91&lt;&gt;"",N(Q91)&lt;0),"Acompte supérieur au total de la facture",IF(IF(AG91="Facture",COUNTIFS(fl_doc,A91,fl_check,"&lt;&gt;OK"),IF(AG91="Devis",COUNTIFS(dl_doc,F91,dl_check,"&lt;&gt;OK"),0))&gt;0,"Ligne(s) à corriger",IF(AND(W91&lt;&gt;"",N(W91)&lt;0),"Trop-perçu : vérifiez paiements et avoirs","OK")))))))))))))))))))))</f>
        <v/>
      </c>
      <c r="AA91" s="62" t="str">
        <f>IF(COUNTA(B91:D91,F91:O91)&gt;0,IF(B91="","Facture",B91),"")</f>
        <v/>
      </c>
      <c r="AB91" s="62" t="str">
        <f>IF(AA91="","",IF(AA91="Avoir",p_pav,IF(AA91="Facture d'acompte",p_pac,p_pfa)))</f>
        <v/>
      </c>
      <c r="AC91" s="62">
        <f>IF(ISNUMBER(C91),C91,0)</f>
        <v>0.0</v>
      </c>
      <c r="AD91" s="62" t="str">
        <f>IF(OR(AA91="",AC91=0),"",YEAR(AC91))</f>
        <v/>
      </c>
      <c r="AE91" s="62" t="str">
        <f>IF(AD91="","",COUNTIFS($AB$6:AB91,AB91,$AD$6:AD91,AD91))</f>
        <v/>
      </c>
      <c r="AF91" s="62">
        <f>IF(A91="",0,COUNTIF(fl_doc,A91))</f>
        <v>0.0</v>
      </c>
      <c r="AG91" s="62" t="str">
        <f>IF(A91="","",IF(AF91&gt;0,"Facture",IF(AND(F91&lt;&gt;"",AA91="Facture",ISNUMBER(MATCH(F91,dv_num,0))),"Devis","")))</f>
        <v/>
      </c>
      <c r="AH91" s="62" t="str">
        <f>IF(AND(A91&lt;&gt;"",F91&lt;&gt;"",AA91&lt;&gt;"Avoir"),F91,"")</f>
        <v/>
      </c>
      <c r="AI91" s="62" t="str">
        <f>IF(AG91="Devis",F91,"")</f>
        <v/>
      </c>
      <c r="AJ91" s="62">
        <f>IF(AG91="Facture",SUMIF(fl_doc,A91,fl_ht),IF(AG91="Devis",SUMIF(dl_doc,F91,dl_ht),0))</f>
        <v>0.0</v>
      </c>
      <c r="AK91" s="62">
        <f>IF(OR(AG91="",INDEX(p_rates,1)=""),0,IF(AG91="Facture",SUMIFS(fl_ht,fl_doc,A91,fl_rate,INDEX(p_rates,1)),SUMIFS(dl_ht,dl_doc,F91,dl_rate,INDEX(p_rates,1))))</f>
        <v>0.0</v>
      </c>
      <c r="AL91" s="62">
        <f>IF(OR(AG91="",INDEX(p_rates,2)=""),0,IF(AG91="Facture",SUMIFS(fl_ht,fl_doc,A91,fl_rate,INDEX(p_rates,2)),SUMIFS(dl_ht,dl_doc,F91,dl_rate,INDEX(p_rates,2))))</f>
        <v>0.0</v>
      </c>
      <c r="AM91" s="62">
        <f>IF(OR(AG91="",INDEX(p_rates,3)=""),0,IF(AG91="Facture",SUMIFS(fl_ht,fl_doc,A91,fl_rate,INDEX(p_rates,3)),SUMIFS(dl_ht,dl_doc,F91,dl_rate,INDEX(p_rates,3))))</f>
        <v>0.0</v>
      </c>
      <c r="AN91" s="62">
        <f>IF(OR(AG91="",INDEX(p_rates,4)=""),0,IF(AG91="Facture",SUMIFS(fl_ht,fl_doc,A91,fl_rate,INDEX(p_rates,4)),SUMIFS(dl_ht,dl_doc,F91,dl_rate,INDEX(p_rates,4))))</f>
        <v>0.0</v>
      </c>
      <c r="AO91" s="62">
        <f>IF(OR(AG91="",INDEX(p_rates,5)=""),0,IF(AG91="Facture",SUMIFS(fl_ht,fl_doc,A91,fl_rate,INDEX(p_rates,5)),SUMIFS(dl_ht,dl_doc,F91,dl_rate,INDEX(p_rates,5))))</f>
        <v>0.0</v>
      </c>
      <c r="AP91" s="62">
        <f>IF(OR(AG91="",INDEX(p_rates,6)=""),0,IF(AG91="Facture",SUMIFS(fl_ht,fl_doc,A91,fl_rate,INDEX(p_rates,6)),SUMIFS(dl_ht,dl_doc,F91,dl_rate,INDEX(p_rates,6))))</f>
        <v>0.0</v>
      </c>
      <c r="AQ91" s="62">
        <f>ROUND(AK91*N(INDEX(p_rates,1)),2)+ROUND(AL91*N(INDEX(p_rates,2)),2)+ROUND(AM91*N(INDEX(p_rates,3)),2)+ROUND(AN91*N(INDEX(p_rates,4)),2)+ROUND(AO91*N(INDEX(p_rates,5)),2)+ROUND(AP91*N(INDEX(p_rates,6)),2)</f>
        <v>0.0</v>
      </c>
      <c r="AR91" s="62" t="str">
        <f>IF(OR(L91="",AA91&lt;&gt;"Facture"),"",IFERROR(IF(INDEX(fa_type,MATCH(L91,fa_num,0))="Facture d'acompte",MATCH(L91,fa_num,0),""),""))</f>
        <v/>
      </c>
      <c r="AS91" s="62" t="str">
        <f>IF(W91="","",IF(W91&lt;=0,"",IF(p_asof-P91&lt;=0,"Non échu",IF(p_asof-P91&lt;=30,"1-30 j",IF(p_asof-P91&lt;=60,"31-60 j",IF(p_asof-P91&lt;=90,"61-90 j","Plus de 90 j"))))))</f>
        <v/>
      </c>
      <c r="AT91" s="62" t="str">
        <f>IF(AS91="","",p_asof-P91)</f>
        <v/>
      </c>
      <c r="AU91" s="62" t="str">
        <f>IF(AT91="","",COUNTIF($AT$6:$AT$805,"&gt;"&amp;AT91)+COUNTIF($AT$6:AT91,AT91))</f>
        <v/>
      </c>
    </row>
    <row r="92">
      <c r="A92" s="59" t="str">
        <f>IF(AE92="","",AB92&amp;"-"&amp;AD92&amp;"-"&amp;RIGHT("000"&amp;AE92,4))</f>
        <v/>
      </c>
      <c r="B92" s="60" t="n"/>
      <c r="C92" s="61" t="n"/>
      <c r="D92" s="60" t="n"/>
      <c r="E92" s="62" t="str">
        <f>IF(D92="","",IFERROR(INDEX(cli_name,MATCH(D92,cli_code,0))&amp;"","Client inconnu"))</f>
        <v/>
      </c>
      <c r="F92" s="60" t="n"/>
      <c r="G92" s="63" t="n"/>
      <c r="H92" s="61" t="n"/>
      <c r="I92" s="63" t="n"/>
      <c r="J92" s="60" t="n"/>
      <c r="K92" s="61" t="n"/>
      <c r="L92" s="60" t="n"/>
      <c r="M92" s="60" t="n"/>
      <c r="N92" s="60" t="n"/>
      <c r="O92" s="61" t="n"/>
      <c r="P92" s="64" t="str">
        <f>IF(A92="","",IF(AA92="Avoir",AC92,IF(ISNUMBER(K92),K92,AC92+IF(D92="",N(p_delay),IFERROR(IF(ISNUMBER(INDEX(cli_delay,MATCH(D92,cli_code,0))),INDEX(cli_delay,MATCH(D92,cli_code,0)),N(p_delay)),N(p_delay))))))</f>
        <v/>
      </c>
      <c r="Q92" s="65" t="str">
        <f>IF(A92="","",IF(AA92="Avoir",-1,1)*ROUND(AJ92-IF(AR92="",0,INDEX(fa_htb,AR92)),2))</f>
        <v/>
      </c>
      <c r="R92" s="65" t="str">
        <f>IF(A92="","",IF(AA92="Avoir",-1,1)*ROUND(AQ92-IF(AR92="",0,INDEX(fa_tvab,AR92)),2))</f>
        <v/>
      </c>
      <c r="S92" s="65" t="str">
        <f>IF(A92="","",Q92+R92)</f>
        <v/>
      </c>
      <c r="T92" s="65" t="str">
        <f>IF(AR92="","",INDEX(fa_htb,AR92)+INDEX(fa_tvab,AR92))</f>
        <v/>
      </c>
      <c r="U92" s="65" t="str">
        <f>IF(A92="","",SUMIF(pa_inv,A92,pa_amt))</f>
        <v/>
      </c>
      <c r="V92" s="65" t="str">
        <f>IF(OR(A92="",AA92="Avoir"),"",-SUMIFS(fa_ttc,fa_avof,A92,fa_type,"Avoir"))</f>
        <v/>
      </c>
      <c r="W92" s="65" t="str">
        <f>IF(OR(A92="",AA92="Avoir"),"",ROUND(S92-U92-V92,2))</f>
        <v/>
      </c>
      <c r="X92" s="66" t="str">
        <f>IF(W92="","",IF(AND(W92&gt;0,p_asof&gt;P92),p_asof-P92,""))</f>
        <v/>
      </c>
      <c r="Y92" s="59" t="str">
        <f>IF(A92="","",IF(AA92="Avoir","Avoir",IF(W92&lt;0,"Trop-perçu",IF(W92=0,"Soldée",IF(p_asof&gt;P92,"En retard",IF(U92+V92&gt;0,"Partielle","À échoir"))))))</f>
        <v/>
      </c>
      <c r="Z92" s="59" t="str">
        <f>IF(NOT(COUNTA(B92:D92,F92:O92)&gt;0),"",IF(C92="","Date manquante",IF(NOT(ISNUMBER(C92)),"Date invalide",IF(D92="","Client manquant",IF(ISNA(MATCH(D92,cli_code,0)),"Client inconnu",IF(AC92&lt;SUMPRODUCT(MAX(($AB$6:AB91=AB92)*$AC$6:AC91)),"Date antérieure à la facture précédente",IF(AND(F92&lt;&gt;"",ISNA(MATCH(F92,dv_num,0))),"Devis inconnu",IF(AND(F92&lt;&gt;"",IFERROR(INDEX(dv_client,MATCH(F92,dv_num,0)),D92)&lt;&gt;D92),"Client différent de celui du devis",IF(AG92="","Aucune ligne : saisissez des lignes ou un devis",IF(AND(AI92&lt;&gt;"",COUNTIF($AI$6:AI92,AI92)&gt;1),"Devis déjà repris par une autre facture",IF(AND(AA92="Avoir",M92=""),"Avoir : indiquez la facture d'origine",IF(AND(AA92="Avoir",ISNA(MATCH(M92,fa_num,0))),"Facture d'origine inconnue",IF(AND(AA92&lt;&gt;"Avoir",M92&lt;&gt;""),"« Avoir sur facture » : réservé aux avoirs",IF(AND(L92&lt;&gt;"",AA92&lt;&gt;"Facture"),"Acompte à déduire : réservé aux factures",IF(AND(L92&lt;&gt;"",ISNA(MATCH(L92,fa_num,0))),"Facture d'acompte inconnue",IF(AND(L92&lt;&gt;"",IFERROR(INDEX(fa_type,MATCH(L92,fa_num,0)),"")&lt;&gt;"Facture d'acompte"),"Le n° à déduire n'est pas une facture d'acompte",IF(AND(L92&lt;&gt;"",COUNTIF($L$6:L92,L92)&gt;1),"Acompte déjà déduit sur une autre facture",IF(AND(L92&lt;&gt;"",IFERROR(INDEX(fa_client,MATCH(L92,fa_num,0)),D92)&lt;&gt;D92),"Acompte d'un autre client",IF(AND(AR92&lt;&gt;"",N(Q92)&lt;0),"Acompte supérieur au total de la facture",IF(IF(AG92="Facture",COUNTIFS(fl_doc,A92,fl_check,"&lt;&gt;OK"),IF(AG92="Devis",COUNTIFS(dl_doc,F92,dl_check,"&lt;&gt;OK"),0))&gt;0,"Ligne(s) à corriger",IF(AND(W92&lt;&gt;"",N(W92)&lt;0),"Trop-perçu : vérifiez paiements et avoirs","OK")))))))))))))))))))))</f>
        <v/>
      </c>
      <c r="AA92" s="62" t="str">
        <f>IF(COUNTA(B92:D92,F92:O92)&gt;0,IF(B92="","Facture",B92),"")</f>
        <v/>
      </c>
      <c r="AB92" s="62" t="str">
        <f>IF(AA92="","",IF(AA92="Avoir",p_pav,IF(AA92="Facture d'acompte",p_pac,p_pfa)))</f>
        <v/>
      </c>
      <c r="AC92" s="62">
        <f>IF(ISNUMBER(C92),C92,0)</f>
        <v>0.0</v>
      </c>
      <c r="AD92" s="62" t="str">
        <f>IF(OR(AA92="",AC92=0),"",YEAR(AC92))</f>
        <v/>
      </c>
      <c r="AE92" s="62" t="str">
        <f>IF(AD92="","",COUNTIFS($AB$6:AB92,AB92,$AD$6:AD92,AD92))</f>
        <v/>
      </c>
      <c r="AF92" s="62">
        <f>IF(A92="",0,COUNTIF(fl_doc,A92))</f>
        <v>0.0</v>
      </c>
      <c r="AG92" s="62" t="str">
        <f>IF(A92="","",IF(AF92&gt;0,"Facture",IF(AND(F92&lt;&gt;"",AA92="Facture",ISNUMBER(MATCH(F92,dv_num,0))),"Devis","")))</f>
        <v/>
      </c>
      <c r="AH92" s="62" t="str">
        <f>IF(AND(A92&lt;&gt;"",F92&lt;&gt;"",AA92&lt;&gt;"Avoir"),F92,"")</f>
        <v/>
      </c>
      <c r="AI92" s="62" t="str">
        <f>IF(AG92="Devis",F92,"")</f>
        <v/>
      </c>
      <c r="AJ92" s="62">
        <f>IF(AG92="Facture",SUMIF(fl_doc,A92,fl_ht),IF(AG92="Devis",SUMIF(dl_doc,F92,dl_ht),0))</f>
        <v>0.0</v>
      </c>
      <c r="AK92" s="62">
        <f>IF(OR(AG92="",INDEX(p_rates,1)=""),0,IF(AG92="Facture",SUMIFS(fl_ht,fl_doc,A92,fl_rate,INDEX(p_rates,1)),SUMIFS(dl_ht,dl_doc,F92,dl_rate,INDEX(p_rates,1))))</f>
        <v>0.0</v>
      </c>
      <c r="AL92" s="62">
        <f>IF(OR(AG92="",INDEX(p_rates,2)=""),0,IF(AG92="Facture",SUMIFS(fl_ht,fl_doc,A92,fl_rate,INDEX(p_rates,2)),SUMIFS(dl_ht,dl_doc,F92,dl_rate,INDEX(p_rates,2))))</f>
        <v>0.0</v>
      </c>
      <c r="AM92" s="62">
        <f>IF(OR(AG92="",INDEX(p_rates,3)=""),0,IF(AG92="Facture",SUMIFS(fl_ht,fl_doc,A92,fl_rate,INDEX(p_rates,3)),SUMIFS(dl_ht,dl_doc,F92,dl_rate,INDEX(p_rates,3))))</f>
        <v>0.0</v>
      </c>
      <c r="AN92" s="62">
        <f>IF(OR(AG92="",INDEX(p_rates,4)=""),0,IF(AG92="Facture",SUMIFS(fl_ht,fl_doc,A92,fl_rate,INDEX(p_rates,4)),SUMIFS(dl_ht,dl_doc,F92,dl_rate,INDEX(p_rates,4))))</f>
        <v>0.0</v>
      </c>
      <c r="AO92" s="62">
        <f>IF(OR(AG92="",INDEX(p_rates,5)=""),0,IF(AG92="Facture",SUMIFS(fl_ht,fl_doc,A92,fl_rate,INDEX(p_rates,5)),SUMIFS(dl_ht,dl_doc,F92,dl_rate,INDEX(p_rates,5))))</f>
        <v>0.0</v>
      </c>
      <c r="AP92" s="62">
        <f>IF(OR(AG92="",INDEX(p_rates,6)=""),0,IF(AG92="Facture",SUMIFS(fl_ht,fl_doc,A92,fl_rate,INDEX(p_rates,6)),SUMIFS(dl_ht,dl_doc,F92,dl_rate,INDEX(p_rates,6))))</f>
        <v>0.0</v>
      </c>
      <c r="AQ92" s="62">
        <f>ROUND(AK92*N(INDEX(p_rates,1)),2)+ROUND(AL92*N(INDEX(p_rates,2)),2)+ROUND(AM92*N(INDEX(p_rates,3)),2)+ROUND(AN92*N(INDEX(p_rates,4)),2)+ROUND(AO92*N(INDEX(p_rates,5)),2)+ROUND(AP92*N(INDEX(p_rates,6)),2)</f>
        <v>0.0</v>
      </c>
      <c r="AR92" s="62" t="str">
        <f>IF(OR(L92="",AA92&lt;&gt;"Facture"),"",IFERROR(IF(INDEX(fa_type,MATCH(L92,fa_num,0))="Facture d'acompte",MATCH(L92,fa_num,0),""),""))</f>
        <v/>
      </c>
      <c r="AS92" s="62" t="str">
        <f>IF(W92="","",IF(W92&lt;=0,"",IF(p_asof-P92&lt;=0,"Non échu",IF(p_asof-P92&lt;=30,"1-30 j",IF(p_asof-P92&lt;=60,"31-60 j",IF(p_asof-P92&lt;=90,"61-90 j","Plus de 90 j"))))))</f>
        <v/>
      </c>
      <c r="AT92" s="62" t="str">
        <f>IF(AS92="","",p_asof-P92)</f>
        <v/>
      </c>
      <c r="AU92" s="62" t="str">
        <f>IF(AT92="","",COUNTIF($AT$6:$AT$805,"&gt;"&amp;AT92)+COUNTIF($AT$6:AT92,AT92))</f>
        <v/>
      </c>
    </row>
    <row r="93">
      <c r="A93" s="59" t="str">
        <f>IF(AE93="","",AB93&amp;"-"&amp;AD93&amp;"-"&amp;RIGHT("000"&amp;AE93,4))</f>
        <v/>
      </c>
      <c r="B93" s="60" t="n"/>
      <c r="C93" s="61" t="n"/>
      <c r="D93" s="60" t="n"/>
      <c r="E93" s="62" t="str">
        <f>IF(D93="","",IFERROR(INDEX(cli_name,MATCH(D93,cli_code,0))&amp;"","Client inconnu"))</f>
        <v/>
      </c>
      <c r="F93" s="60" t="n"/>
      <c r="G93" s="63" t="n"/>
      <c r="H93" s="61" t="n"/>
      <c r="I93" s="63" t="n"/>
      <c r="J93" s="60" t="n"/>
      <c r="K93" s="61" t="n"/>
      <c r="L93" s="60" t="n"/>
      <c r="M93" s="60" t="n"/>
      <c r="N93" s="60" t="n"/>
      <c r="O93" s="61" t="n"/>
      <c r="P93" s="64" t="str">
        <f>IF(A93="","",IF(AA93="Avoir",AC93,IF(ISNUMBER(K93),K93,AC93+IF(D93="",N(p_delay),IFERROR(IF(ISNUMBER(INDEX(cli_delay,MATCH(D93,cli_code,0))),INDEX(cli_delay,MATCH(D93,cli_code,0)),N(p_delay)),N(p_delay))))))</f>
        <v/>
      </c>
      <c r="Q93" s="65" t="str">
        <f>IF(A93="","",IF(AA93="Avoir",-1,1)*ROUND(AJ93-IF(AR93="",0,INDEX(fa_htb,AR93)),2))</f>
        <v/>
      </c>
      <c r="R93" s="65" t="str">
        <f>IF(A93="","",IF(AA93="Avoir",-1,1)*ROUND(AQ93-IF(AR93="",0,INDEX(fa_tvab,AR93)),2))</f>
        <v/>
      </c>
      <c r="S93" s="65" t="str">
        <f>IF(A93="","",Q93+R93)</f>
        <v/>
      </c>
      <c r="T93" s="65" t="str">
        <f>IF(AR93="","",INDEX(fa_htb,AR93)+INDEX(fa_tvab,AR93))</f>
        <v/>
      </c>
      <c r="U93" s="65" t="str">
        <f>IF(A93="","",SUMIF(pa_inv,A93,pa_amt))</f>
        <v/>
      </c>
      <c r="V93" s="65" t="str">
        <f>IF(OR(A93="",AA93="Avoir"),"",-SUMIFS(fa_ttc,fa_avof,A93,fa_type,"Avoir"))</f>
        <v/>
      </c>
      <c r="W93" s="65" t="str">
        <f>IF(OR(A93="",AA93="Avoir"),"",ROUND(S93-U93-V93,2))</f>
        <v/>
      </c>
      <c r="X93" s="66" t="str">
        <f>IF(W93="","",IF(AND(W93&gt;0,p_asof&gt;P93),p_asof-P93,""))</f>
        <v/>
      </c>
      <c r="Y93" s="59" t="str">
        <f>IF(A93="","",IF(AA93="Avoir","Avoir",IF(W93&lt;0,"Trop-perçu",IF(W93=0,"Soldée",IF(p_asof&gt;P93,"En retard",IF(U93+V93&gt;0,"Partielle","À échoir"))))))</f>
        <v/>
      </c>
      <c r="Z93" s="59" t="str">
        <f>IF(NOT(COUNTA(B93:D93,F93:O93)&gt;0),"",IF(C93="","Date manquante",IF(NOT(ISNUMBER(C93)),"Date invalide",IF(D93="","Client manquant",IF(ISNA(MATCH(D93,cli_code,0)),"Client inconnu",IF(AC93&lt;SUMPRODUCT(MAX(($AB$6:AB92=AB93)*$AC$6:AC92)),"Date antérieure à la facture précédente",IF(AND(F93&lt;&gt;"",ISNA(MATCH(F93,dv_num,0))),"Devis inconnu",IF(AND(F93&lt;&gt;"",IFERROR(INDEX(dv_client,MATCH(F93,dv_num,0)),D93)&lt;&gt;D93),"Client différent de celui du devis",IF(AG93="","Aucune ligne : saisissez des lignes ou un devis",IF(AND(AI93&lt;&gt;"",COUNTIF($AI$6:AI93,AI93)&gt;1),"Devis déjà repris par une autre facture",IF(AND(AA93="Avoir",M93=""),"Avoir : indiquez la facture d'origine",IF(AND(AA93="Avoir",ISNA(MATCH(M93,fa_num,0))),"Facture d'origine inconnue",IF(AND(AA93&lt;&gt;"Avoir",M93&lt;&gt;""),"« Avoir sur facture » : réservé aux avoirs",IF(AND(L93&lt;&gt;"",AA93&lt;&gt;"Facture"),"Acompte à déduire : réservé aux factures",IF(AND(L93&lt;&gt;"",ISNA(MATCH(L93,fa_num,0))),"Facture d'acompte inconnue",IF(AND(L93&lt;&gt;"",IFERROR(INDEX(fa_type,MATCH(L93,fa_num,0)),"")&lt;&gt;"Facture d'acompte"),"Le n° à déduire n'est pas une facture d'acompte",IF(AND(L93&lt;&gt;"",COUNTIF($L$6:L93,L93)&gt;1),"Acompte déjà déduit sur une autre facture",IF(AND(L93&lt;&gt;"",IFERROR(INDEX(fa_client,MATCH(L93,fa_num,0)),D93)&lt;&gt;D93),"Acompte d'un autre client",IF(AND(AR93&lt;&gt;"",N(Q93)&lt;0),"Acompte supérieur au total de la facture",IF(IF(AG93="Facture",COUNTIFS(fl_doc,A93,fl_check,"&lt;&gt;OK"),IF(AG93="Devis",COUNTIFS(dl_doc,F93,dl_check,"&lt;&gt;OK"),0))&gt;0,"Ligne(s) à corriger",IF(AND(W93&lt;&gt;"",N(W93)&lt;0),"Trop-perçu : vérifiez paiements et avoirs","OK")))))))))))))))))))))</f>
        <v/>
      </c>
      <c r="AA93" s="62" t="str">
        <f>IF(COUNTA(B93:D93,F93:O93)&gt;0,IF(B93="","Facture",B93),"")</f>
        <v/>
      </c>
      <c r="AB93" s="62" t="str">
        <f>IF(AA93="","",IF(AA93="Avoir",p_pav,IF(AA93="Facture d'acompte",p_pac,p_pfa)))</f>
        <v/>
      </c>
      <c r="AC93" s="62">
        <f>IF(ISNUMBER(C93),C93,0)</f>
        <v>0.0</v>
      </c>
      <c r="AD93" s="62" t="str">
        <f>IF(OR(AA93="",AC93=0),"",YEAR(AC93))</f>
        <v/>
      </c>
      <c r="AE93" s="62" t="str">
        <f>IF(AD93="","",COUNTIFS($AB$6:AB93,AB93,$AD$6:AD93,AD93))</f>
        <v/>
      </c>
      <c r="AF93" s="62">
        <f>IF(A93="",0,COUNTIF(fl_doc,A93))</f>
        <v>0.0</v>
      </c>
      <c r="AG93" s="62" t="str">
        <f>IF(A93="","",IF(AF93&gt;0,"Facture",IF(AND(F93&lt;&gt;"",AA93="Facture",ISNUMBER(MATCH(F93,dv_num,0))),"Devis","")))</f>
        <v/>
      </c>
      <c r="AH93" s="62" t="str">
        <f>IF(AND(A93&lt;&gt;"",F93&lt;&gt;"",AA93&lt;&gt;"Avoir"),F93,"")</f>
        <v/>
      </c>
      <c r="AI93" s="62" t="str">
        <f>IF(AG93="Devis",F93,"")</f>
        <v/>
      </c>
      <c r="AJ93" s="62">
        <f>IF(AG93="Facture",SUMIF(fl_doc,A93,fl_ht),IF(AG93="Devis",SUMIF(dl_doc,F93,dl_ht),0))</f>
        <v>0.0</v>
      </c>
      <c r="AK93" s="62">
        <f>IF(OR(AG93="",INDEX(p_rates,1)=""),0,IF(AG93="Facture",SUMIFS(fl_ht,fl_doc,A93,fl_rate,INDEX(p_rates,1)),SUMIFS(dl_ht,dl_doc,F93,dl_rate,INDEX(p_rates,1))))</f>
        <v>0.0</v>
      </c>
      <c r="AL93" s="62">
        <f>IF(OR(AG93="",INDEX(p_rates,2)=""),0,IF(AG93="Facture",SUMIFS(fl_ht,fl_doc,A93,fl_rate,INDEX(p_rates,2)),SUMIFS(dl_ht,dl_doc,F93,dl_rate,INDEX(p_rates,2))))</f>
        <v>0.0</v>
      </c>
      <c r="AM93" s="62">
        <f>IF(OR(AG93="",INDEX(p_rates,3)=""),0,IF(AG93="Facture",SUMIFS(fl_ht,fl_doc,A93,fl_rate,INDEX(p_rates,3)),SUMIFS(dl_ht,dl_doc,F93,dl_rate,INDEX(p_rates,3))))</f>
        <v>0.0</v>
      </c>
      <c r="AN93" s="62">
        <f>IF(OR(AG93="",INDEX(p_rates,4)=""),0,IF(AG93="Facture",SUMIFS(fl_ht,fl_doc,A93,fl_rate,INDEX(p_rates,4)),SUMIFS(dl_ht,dl_doc,F93,dl_rate,INDEX(p_rates,4))))</f>
        <v>0.0</v>
      </c>
      <c r="AO93" s="62">
        <f>IF(OR(AG93="",INDEX(p_rates,5)=""),0,IF(AG93="Facture",SUMIFS(fl_ht,fl_doc,A93,fl_rate,INDEX(p_rates,5)),SUMIFS(dl_ht,dl_doc,F93,dl_rate,INDEX(p_rates,5))))</f>
        <v>0.0</v>
      </c>
      <c r="AP93" s="62">
        <f>IF(OR(AG93="",INDEX(p_rates,6)=""),0,IF(AG93="Facture",SUMIFS(fl_ht,fl_doc,A93,fl_rate,INDEX(p_rates,6)),SUMIFS(dl_ht,dl_doc,F93,dl_rate,INDEX(p_rates,6))))</f>
        <v>0.0</v>
      </c>
      <c r="AQ93" s="62">
        <f>ROUND(AK93*N(INDEX(p_rates,1)),2)+ROUND(AL93*N(INDEX(p_rates,2)),2)+ROUND(AM93*N(INDEX(p_rates,3)),2)+ROUND(AN93*N(INDEX(p_rates,4)),2)+ROUND(AO93*N(INDEX(p_rates,5)),2)+ROUND(AP93*N(INDEX(p_rates,6)),2)</f>
        <v>0.0</v>
      </c>
      <c r="AR93" s="62" t="str">
        <f>IF(OR(L93="",AA93&lt;&gt;"Facture"),"",IFERROR(IF(INDEX(fa_type,MATCH(L93,fa_num,0))="Facture d'acompte",MATCH(L93,fa_num,0),""),""))</f>
        <v/>
      </c>
      <c r="AS93" s="62" t="str">
        <f>IF(W93="","",IF(W93&lt;=0,"",IF(p_asof-P93&lt;=0,"Non échu",IF(p_asof-P93&lt;=30,"1-30 j",IF(p_asof-P93&lt;=60,"31-60 j",IF(p_asof-P93&lt;=90,"61-90 j","Plus de 90 j"))))))</f>
        <v/>
      </c>
      <c r="AT93" s="62" t="str">
        <f>IF(AS93="","",p_asof-P93)</f>
        <v/>
      </c>
      <c r="AU93" s="62" t="str">
        <f>IF(AT93="","",COUNTIF($AT$6:$AT$805,"&gt;"&amp;AT93)+COUNTIF($AT$6:AT93,AT93))</f>
        <v/>
      </c>
    </row>
    <row r="94">
      <c r="A94" s="59" t="str">
        <f>IF(AE94="","",AB94&amp;"-"&amp;AD94&amp;"-"&amp;RIGHT("000"&amp;AE94,4))</f>
        <v/>
      </c>
      <c r="B94" s="60" t="n"/>
      <c r="C94" s="61" t="n"/>
      <c r="D94" s="60" t="n"/>
      <c r="E94" s="62" t="str">
        <f>IF(D94="","",IFERROR(INDEX(cli_name,MATCH(D94,cli_code,0))&amp;"","Client inconnu"))</f>
        <v/>
      </c>
      <c r="F94" s="60" t="n"/>
      <c r="G94" s="63" t="n"/>
      <c r="H94" s="61" t="n"/>
      <c r="I94" s="63" t="n"/>
      <c r="J94" s="60" t="n"/>
      <c r="K94" s="61" t="n"/>
      <c r="L94" s="60" t="n"/>
      <c r="M94" s="60" t="n"/>
      <c r="N94" s="60" t="n"/>
      <c r="O94" s="61" t="n"/>
      <c r="P94" s="64" t="str">
        <f>IF(A94="","",IF(AA94="Avoir",AC94,IF(ISNUMBER(K94),K94,AC94+IF(D94="",N(p_delay),IFERROR(IF(ISNUMBER(INDEX(cli_delay,MATCH(D94,cli_code,0))),INDEX(cli_delay,MATCH(D94,cli_code,0)),N(p_delay)),N(p_delay))))))</f>
        <v/>
      </c>
      <c r="Q94" s="65" t="str">
        <f>IF(A94="","",IF(AA94="Avoir",-1,1)*ROUND(AJ94-IF(AR94="",0,INDEX(fa_htb,AR94)),2))</f>
        <v/>
      </c>
      <c r="R94" s="65" t="str">
        <f>IF(A94="","",IF(AA94="Avoir",-1,1)*ROUND(AQ94-IF(AR94="",0,INDEX(fa_tvab,AR94)),2))</f>
        <v/>
      </c>
      <c r="S94" s="65" t="str">
        <f>IF(A94="","",Q94+R94)</f>
        <v/>
      </c>
      <c r="T94" s="65" t="str">
        <f>IF(AR94="","",INDEX(fa_htb,AR94)+INDEX(fa_tvab,AR94))</f>
        <v/>
      </c>
      <c r="U94" s="65" t="str">
        <f>IF(A94="","",SUMIF(pa_inv,A94,pa_amt))</f>
        <v/>
      </c>
      <c r="V94" s="65" t="str">
        <f>IF(OR(A94="",AA94="Avoir"),"",-SUMIFS(fa_ttc,fa_avof,A94,fa_type,"Avoir"))</f>
        <v/>
      </c>
      <c r="W94" s="65" t="str">
        <f>IF(OR(A94="",AA94="Avoir"),"",ROUND(S94-U94-V94,2))</f>
        <v/>
      </c>
      <c r="X94" s="66" t="str">
        <f>IF(W94="","",IF(AND(W94&gt;0,p_asof&gt;P94),p_asof-P94,""))</f>
        <v/>
      </c>
      <c r="Y94" s="59" t="str">
        <f>IF(A94="","",IF(AA94="Avoir","Avoir",IF(W94&lt;0,"Trop-perçu",IF(W94=0,"Soldée",IF(p_asof&gt;P94,"En retard",IF(U94+V94&gt;0,"Partielle","À échoir"))))))</f>
        <v/>
      </c>
      <c r="Z94" s="59" t="str">
        <f>IF(NOT(COUNTA(B94:D94,F94:O94)&gt;0),"",IF(C94="","Date manquante",IF(NOT(ISNUMBER(C94)),"Date invalide",IF(D94="","Client manquant",IF(ISNA(MATCH(D94,cli_code,0)),"Client inconnu",IF(AC94&lt;SUMPRODUCT(MAX(($AB$6:AB93=AB94)*$AC$6:AC93)),"Date antérieure à la facture précédente",IF(AND(F94&lt;&gt;"",ISNA(MATCH(F94,dv_num,0))),"Devis inconnu",IF(AND(F94&lt;&gt;"",IFERROR(INDEX(dv_client,MATCH(F94,dv_num,0)),D94)&lt;&gt;D94),"Client différent de celui du devis",IF(AG94="","Aucune ligne : saisissez des lignes ou un devis",IF(AND(AI94&lt;&gt;"",COUNTIF($AI$6:AI94,AI94)&gt;1),"Devis déjà repris par une autre facture",IF(AND(AA94="Avoir",M94=""),"Avoir : indiquez la facture d'origine",IF(AND(AA94="Avoir",ISNA(MATCH(M94,fa_num,0))),"Facture d'origine inconnue",IF(AND(AA94&lt;&gt;"Avoir",M94&lt;&gt;""),"« Avoir sur facture » : réservé aux avoirs",IF(AND(L94&lt;&gt;"",AA94&lt;&gt;"Facture"),"Acompte à déduire : réservé aux factures",IF(AND(L94&lt;&gt;"",ISNA(MATCH(L94,fa_num,0))),"Facture d'acompte inconnue",IF(AND(L94&lt;&gt;"",IFERROR(INDEX(fa_type,MATCH(L94,fa_num,0)),"")&lt;&gt;"Facture d'acompte"),"Le n° à déduire n'est pas une facture d'acompte",IF(AND(L94&lt;&gt;"",COUNTIF($L$6:L94,L94)&gt;1),"Acompte déjà déduit sur une autre facture",IF(AND(L94&lt;&gt;"",IFERROR(INDEX(fa_client,MATCH(L94,fa_num,0)),D94)&lt;&gt;D94),"Acompte d'un autre client",IF(AND(AR94&lt;&gt;"",N(Q94)&lt;0),"Acompte supérieur au total de la facture",IF(IF(AG94="Facture",COUNTIFS(fl_doc,A94,fl_check,"&lt;&gt;OK"),IF(AG94="Devis",COUNTIFS(dl_doc,F94,dl_check,"&lt;&gt;OK"),0))&gt;0,"Ligne(s) à corriger",IF(AND(W94&lt;&gt;"",N(W94)&lt;0),"Trop-perçu : vérifiez paiements et avoirs","OK")))))))))))))))))))))</f>
        <v/>
      </c>
      <c r="AA94" s="62" t="str">
        <f>IF(COUNTA(B94:D94,F94:O94)&gt;0,IF(B94="","Facture",B94),"")</f>
        <v/>
      </c>
      <c r="AB94" s="62" t="str">
        <f>IF(AA94="","",IF(AA94="Avoir",p_pav,IF(AA94="Facture d'acompte",p_pac,p_pfa)))</f>
        <v/>
      </c>
      <c r="AC94" s="62">
        <f>IF(ISNUMBER(C94),C94,0)</f>
        <v>0.0</v>
      </c>
      <c r="AD94" s="62" t="str">
        <f>IF(OR(AA94="",AC94=0),"",YEAR(AC94))</f>
        <v/>
      </c>
      <c r="AE94" s="62" t="str">
        <f>IF(AD94="","",COUNTIFS($AB$6:AB94,AB94,$AD$6:AD94,AD94))</f>
        <v/>
      </c>
      <c r="AF94" s="62">
        <f>IF(A94="",0,COUNTIF(fl_doc,A94))</f>
        <v>0.0</v>
      </c>
      <c r="AG94" s="62" t="str">
        <f>IF(A94="","",IF(AF94&gt;0,"Facture",IF(AND(F94&lt;&gt;"",AA94="Facture",ISNUMBER(MATCH(F94,dv_num,0))),"Devis","")))</f>
        <v/>
      </c>
      <c r="AH94" s="62" t="str">
        <f>IF(AND(A94&lt;&gt;"",F94&lt;&gt;"",AA94&lt;&gt;"Avoir"),F94,"")</f>
        <v/>
      </c>
      <c r="AI94" s="62" t="str">
        <f>IF(AG94="Devis",F94,"")</f>
        <v/>
      </c>
      <c r="AJ94" s="62">
        <f>IF(AG94="Facture",SUMIF(fl_doc,A94,fl_ht),IF(AG94="Devis",SUMIF(dl_doc,F94,dl_ht),0))</f>
        <v>0.0</v>
      </c>
      <c r="AK94" s="62">
        <f>IF(OR(AG94="",INDEX(p_rates,1)=""),0,IF(AG94="Facture",SUMIFS(fl_ht,fl_doc,A94,fl_rate,INDEX(p_rates,1)),SUMIFS(dl_ht,dl_doc,F94,dl_rate,INDEX(p_rates,1))))</f>
        <v>0.0</v>
      </c>
      <c r="AL94" s="62">
        <f>IF(OR(AG94="",INDEX(p_rates,2)=""),0,IF(AG94="Facture",SUMIFS(fl_ht,fl_doc,A94,fl_rate,INDEX(p_rates,2)),SUMIFS(dl_ht,dl_doc,F94,dl_rate,INDEX(p_rates,2))))</f>
        <v>0.0</v>
      </c>
      <c r="AM94" s="62">
        <f>IF(OR(AG94="",INDEX(p_rates,3)=""),0,IF(AG94="Facture",SUMIFS(fl_ht,fl_doc,A94,fl_rate,INDEX(p_rates,3)),SUMIFS(dl_ht,dl_doc,F94,dl_rate,INDEX(p_rates,3))))</f>
        <v>0.0</v>
      </c>
      <c r="AN94" s="62">
        <f>IF(OR(AG94="",INDEX(p_rates,4)=""),0,IF(AG94="Facture",SUMIFS(fl_ht,fl_doc,A94,fl_rate,INDEX(p_rates,4)),SUMIFS(dl_ht,dl_doc,F94,dl_rate,INDEX(p_rates,4))))</f>
        <v>0.0</v>
      </c>
      <c r="AO94" s="62">
        <f>IF(OR(AG94="",INDEX(p_rates,5)=""),0,IF(AG94="Facture",SUMIFS(fl_ht,fl_doc,A94,fl_rate,INDEX(p_rates,5)),SUMIFS(dl_ht,dl_doc,F94,dl_rate,INDEX(p_rates,5))))</f>
        <v>0.0</v>
      </c>
      <c r="AP94" s="62">
        <f>IF(OR(AG94="",INDEX(p_rates,6)=""),0,IF(AG94="Facture",SUMIFS(fl_ht,fl_doc,A94,fl_rate,INDEX(p_rates,6)),SUMIFS(dl_ht,dl_doc,F94,dl_rate,INDEX(p_rates,6))))</f>
        <v>0.0</v>
      </c>
      <c r="AQ94" s="62">
        <f>ROUND(AK94*N(INDEX(p_rates,1)),2)+ROUND(AL94*N(INDEX(p_rates,2)),2)+ROUND(AM94*N(INDEX(p_rates,3)),2)+ROUND(AN94*N(INDEX(p_rates,4)),2)+ROUND(AO94*N(INDEX(p_rates,5)),2)+ROUND(AP94*N(INDEX(p_rates,6)),2)</f>
        <v>0.0</v>
      </c>
      <c r="AR94" s="62" t="str">
        <f>IF(OR(L94="",AA94&lt;&gt;"Facture"),"",IFERROR(IF(INDEX(fa_type,MATCH(L94,fa_num,0))="Facture d'acompte",MATCH(L94,fa_num,0),""),""))</f>
        <v/>
      </c>
      <c r="AS94" s="62" t="str">
        <f>IF(W94="","",IF(W94&lt;=0,"",IF(p_asof-P94&lt;=0,"Non échu",IF(p_asof-P94&lt;=30,"1-30 j",IF(p_asof-P94&lt;=60,"31-60 j",IF(p_asof-P94&lt;=90,"61-90 j","Plus de 90 j"))))))</f>
        <v/>
      </c>
      <c r="AT94" s="62" t="str">
        <f>IF(AS94="","",p_asof-P94)</f>
        <v/>
      </c>
      <c r="AU94" s="62" t="str">
        <f>IF(AT94="","",COUNTIF($AT$6:$AT$805,"&gt;"&amp;AT94)+COUNTIF($AT$6:AT94,AT94))</f>
        <v/>
      </c>
    </row>
    <row r="95">
      <c r="A95" s="59" t="str">
        <f>IF(AE95="","",AB95&amp;"-"&amp;AD95&amp;"-"&amp;RIGHT("000"&amp;AE95,4))</f>
        <v/>
      </c>
      <c r="B95" s="60" t="n"/>
      <c r="C95" s="61" t="n"/>
      <c r="D95" s="60" t="n"/>
      <c r="E95" s="62" t="str">
        <f>IF(D95="","",IFERROR(INDEX(cli_name,MATCH(D95,cli_code,0))&amp;"","Client inconnu"))</f>
        <v/>
      </c>
      <c r="F95" s="60" t="n"/>
      <c r="G95" s="63" t="n"/>
      <c r="H95" s="61" t="n"/>
      <c r="I95" s="63" t="n"/>
      <c r="J95" s="60" t="n"/>
      <c r="K95" s="61" t="n"/>
      <c r="L95" s="60" t="n"/>
      <c r="M95" s="60" t="n"/>
      <c r="N95" s="60" t="n"/>
      <c r="O95" s="61" t="n"/>
      <c r="P95" s="64" t="str">
        <f>IF(A95="","",IF(AA95="Avoir",AC95,IF(ISNUMBER(K95),K95,AC95+IF(D95="",N(p_delay),IFERROR(IF(ISNUMBER(INDEX(cli_delay,MATCH(D95,cli_code,0))),INDEX(cli_delay,MATCH(D95,cli_code,0)),N(p_delay)),N(p_delay))))))</f>
        <v/>
      </c>
      <c r="Q95" s="65" t="str">
        <f>IF(A95="","",IF(AA95="Avoir",-1,1)*ROUND(AJ95-IF(AR95="",0,INDEX(fa_htb,AR95)),2))</f>
        <v/>
      </c>
      <c r="R95" s="65" t="str">
        <f>IF(A95="","",IF(AA95="Avoir",-1,1)*ROUND(AQ95-IF(AR95="",0,INDEX(fa_tvab,AR95)),2))</f>
        <v/>
      </c>
      <c r="S95" s="65" t="str">
        <f>IF(A95="","",Q95+R95)</f>
        <v/>
      </c>
      <c r="T95" s="65" t="str">
        <f>IF(AR95="","",INDEX(fa_htb,AR95)+INDEX(fa_tvab,AR95))</f>
        <v/>
      </c>
      <c r="U95" s="65" t="str">
        <f>IF(A95="","",SUMIF(pa_inv,A95,pa_amt))</f>
        <v/>
      </c>
      <c r="V95" s="65" t="str">
        <f>IF(OR(A95="",AA95="Avoir"),"",-SUMIFS(fa_ttc,fa_avof,A95,fa_type,"Avoir"))</f>
        <v/>
      </c>
      <c r="W95" s="65" t="str">
        <f>IF(OR(A95="",AA95="Avoir"),"",ROUND(S95-U95-V95,2))</f>
        <v/>
      </c>
      <c r="X95" s="66" t="str">
        <f>IF(W95="","",IF(AND(W95&gt;0,p_asof&gt;P95),p_asof-P95,""))</f>
        <v/>
      </c>
      <c r="Y95" s="59" t="str">
        <f>IF(A95="","",IF(AA95="Avoir","Avoir",IF(W95&lt;0,"Trop-perçu",IF(W95=0,"Soldée",IF(p_asof&gt;P95,"En retard",IF(U95+V95&gt;0,"Partielle","À échoir"))))))</f>
        <v/>
      </c>
      <c r="Z95" s="59" t="str">
        <f>IF(NOT(COUNTA(B95:D95,F95:O95)&gt;0),"",IF(C95="","Date manquante",IF(NOT(ISNUMBER(C95)),"Date invalide",IF(D95="","Client manquant",IF(ISNA(MATCH(D95,cli_code,0)),"Client inconnu",IF(AC95&lt;SUMPRODUCT(MAX(($AB$6:AB94=AB95)*$AC$6:AC94)),"Date antérieure à la facture précédente",IF(AND(F95&lt;&gt;"",ISNA(MATCH(F95,dv_num,0))),"Devis inconnu",IF(AND(F95&lt;&gt;"",IFERROR(INDEX(dv_client,MATCH(F95,dv_num,0)),D95)&lt;&gt;D95),"Client différent de celui du devis",IF(AG95="","Aucune ligne : saisissez des lignes ou un devis",IF(AND(AI95&lt;&gt;"",COUNTIF($AI$6:AI95,AI95)&gt;1),"Devis déjà repris par une autre facture",IF(AND(AA95="Avoir",M95=""),"Avoir : indiquez la facture d'origine",IF(AND(AA95="Avoir",ISNA(MATCH(M95,fa_num,0))),"Facture d'origine inconnue",IF(AND(AA95&lt;&gt;"Avoir",M95&lt;&gt;""),"« Avoir sur facture » : réservé aux avoirs",IF(AND(L95&lt;&gt;"",AA95&lt;&gt;"Facture"),"Acompte à déduire : réservé aux factures",IF(AND(L95&lt;&gt;"",ISNA(MATCH(L95,fa_num,0))),"Facture d'acompte inconnue",IF(AND(L95&lt;&gt;"",IFERROR(INDEX(fa_type,MATCH(L95,fa_num,0)),"")&lt;&gt;"Facture d'acompte"),"Le n° à déduire n'est pas une facture d'acompte",IF(AND(L95&lt;&gt;"",COUNTIF($L$6:L95,L95)&gt;1),"Acompte déjà déduit sur une autre facture",IF(AND(L95&lt;&gt;"",IFERROR(INDEX(fa_client,MATCH(L95,fa_num,0)),D95)&lt;&gt;D95),"Acompte d'un autre client",IF(AND(AR95&lt;&gt;"",N(Q95)&lt;0),"Acompte supérieur au total de la facture",IF(IF(AG95="Facture",COUNTIFS(fl_doc,A95,fl_check,"&lt;&gt;OK"),IF(AG95="Devis",COUNTIFS(dl_doc,F95,dl_check,"&lt;&gt;OK"),0))&gt;0,"Ligne(s) à corriger",IF(AND(W95&lt;&gt;"",N(W95)&lt;0),"Trop-perçu : vérifiez paiements et avoirs","OK")))))))))))))))))))))</f>
        <v/>
      </c>
      <c r="AA95" s="62" t="str">
        <f>IF(COUNTA(B95:D95,F95:O95)&gt;0,IF(B95="","Facture",B95),"")</f>
        <v/>
      </c>
      <c r="AB95" s="62" t="str">
        <f>IF(AA95="","",IF(AA95="Avoir",p_pav,IF(AA95="Facture d'acompte",p_pac,p_pfa)))</f>
        <v/>
      </c>
      <c r="AC95" s="62">
        <f>IF(ISNUMBER(C95),C95,0)</f>
        <v>0.0</v>
      </c>
      <c r="AD95" s="62" t="str">
        <f>IF(OR(AA95="",AC95=0),"",YEAR(AC95))</f>
        <v/>
      </c>
      <c r="AE95" s="62" t="str">
        <f>IF(AD95="","",COUNTIFS($AB$6:AB95,AB95,$AD$6:AD95,AD95))</f>
        <v/>
      </c>
      <c r="AF95" s="62">
        <f>IF(A95="",0,COUNTIF(fl_doc,A95))</f>
        <v>0.0</v>
      </c>
      <c r="AG95" s="62" t="str">
        <f>IF(A95="","",IF(AF95&gt;0,"Facture",IF(AND(F95&lt;&gt;"",AA95="Facture",ISNUMBER(MATCH(F95,dv_num,0))),"Devis","")))</f>
        <v/>
      </c>
      <c r="AH95" s="62" t="str">
        <f>IF(AND(A95&lt;&gt;"",F95&lt;&gt;"",AA95&lt;&gt;"Avoir"),F95,"")</f>
        <v/>
      </c>
      <c r="AI95" s="62" t="str">
        <f>IF(AG95="Devis",F95,"")</f>
        <v/>
      </c>
      <c r="AJ95" s="62">
        <f>IF(AG95="Facture",SUMIF(fl_doc,A95,fl_ht),IF(AG95="Devis",SUMIF(dl_doc,F95,dl_ht),0))</f>
        <v>0.0</v>
      </c>
      <c r="AK95" s="62">
        <f>IF(OR(AG95="",INDEX(p_rates,1)=""),0,IF(AG95="Facture",SUMIFS(fl_ht,fl_doc,A95,fl_rate,INDEX(p_rates,1)),SUMIFS(dl_ht,dl_doc,F95,dl_rate,INDEX(p_rates,1))))</f>
        <v>0.0</v>
      </c>
      <c r="AL95" s="62">
        <f>IF(OR(AG95="",INDEX(p_rates,2)=""),0,IF(AG95="Facture",SUMIFS(fl_ht,fl_doc,A95,fl_rate,INDEX(p_rates,2)),SUMIFS(dl_ht,dl_doc,F95,dl_rate,INDEX(p_rates,2))))</f>
        <v>0.0</v>
      </c>
      <c r="AM95" s="62">
        <f>IF(OR(AG95="",INDEX(p_rates,3)=""),0,IF(AG95="Facture",SUMIFS(fl_ht,fl_doc,A95,fl_rate,INDEX(p_rates,3)),SUMIFS(dl_ht,dl_doc,F95,dl_rate,INDEX(p_rates,3))))</f>
        <v>0.0</v>
      </c>
      <c r="AN95" s="62">
        <f>IF(OR(AG95="",INDEX(p_rates,4)=""),0,IF(AG95="Facture",SUMIFS(fl_ht,fl_doc,A95,fl_rate,INDEX(p_rates,4)),SUMIFS(dl_ht,dl_doc,F95,dl_rate,INDEX(p_rates,4))))</f>
        <v>0.0</v>
      </c>
      <c r="AO95" s="62">
        <f>IF(OR(AG95="",INDEX(p_rates,5)=""),0,IF(AG95="Facture",SUMIFS(fl_ht,fl_doc,A95,fl_rate,INDEX(p_rates,5)),SUMIFS(dl_ht,dl_doc,F95,dl_rate,INDEX(p_rates,5))))</f>
        <v>0.0</v>
      </c>
      <c r="AP95" s="62">
        <f>IF(OR(AG95="",INDEX(p_rates,6)=""),0,IF(AG95="Facture",SUMIFS(fl_ht,fl_doc,A95,fl_rate,INDEX(p_rates,6)),SUMIFS(dl_ht,dl_doc,F95,dl_rate,INDEX(p_rates,6))))</f>
        <v>0.0</v>
      </c>
      <c r="AQ95" s="62">
        <f>ROUND(AK95*N(INDEX(p_rates,1)),2)+ROUND(AL95*N(INDEX(p_rates,2)),2)+ROUND(AM95*N(INDEX(p_rates,3)),2)+ROUND(AN95*N(INDEX(p_rates,4)),2)+ROUND(AO95*N(INDEX(p_rates,5)),2)+ROUND(AP95*N(INDEX(p_rates,6)),2)</f>
        <v>0.0</v>
      </c>
      <c r="AR95" s="62" t="str">
        <f>IF(OR(L95="",AA95&lt;&gt;"Facture"),"",IFERROR(IF(INDEX(fa_type,MATCH(L95,fa_num,0))="Facture d'acompte",MATCH(L95,fa_num,0),""),""))</f>
        <v/>
      </c>
      <c r="AS95" s="62" t="str">
        <f>IF(W95="","",IF(W95&lt;=0,"",IF(p_asof-P95&lt;=0,"Non échu",IF(p_asof-P95&lt;=30,"1-30 j",IF(p_asof-P95&lt;=60,"31-60 j",IF(p_asof-P95&lt;=90,"61-90 j","Plus de 90 j"))))))</f>
        <v/>
      </c>
      <c r="AT95" s="62" t="str">
        <f>IF(AS95="","",p_asof-P95)</f>
        <v/>
      </c>
      <c r="AU95" s="62" t="str">
        <f>IF(AT95="","",COUNTIF($AT$6:$AT$805,"&gt;"&amp;AT95)+COUNTIF($AT$6:AT95,AT95))</f>
        <v/>
      </c>
    </row>
    <row r="96">
      <c r="A96" s="59" t="str">
        <f>IF(AE96="","",AB96&amp;"-"&amp;AD96&amp;"-"&amp;RIGHT("000"&amp;AE96,4))</f>
        <v/>
      </c>
      <c r="B96" s="60" t="n"/>
      <c r="C96" s="61" t="n"/>
      <c r="D96" s="60" t="n"/>
      <c r="E96" s="62" t="str">
        <f>IF(D96="","",IFERROR(INDEX(cli_name,MATCH(D96,cli_code,0))&amp;"","Client inconnu"))</f>
        <v/>
      </c>
      <c r="F96" s="60" t="n"/>
      <c r="G96" s="63" t="n"/>
      <c r="H96" s="61" t="n"/>
      <c r="I96" s="63" t="n"/>
      <c r="J96" s="60" t="n"/>
      <c r="K96" s="61" t="n"/>
      <c r="L96" s="60" t="n"/>
      <c r="M96" s="60" t="n"/>
      <c r="N96" s="60" t="n"/>
      <c r="O96" s="61" t="n"/>
      <c r="P96" s="64" t="str">
        <f>IF(A96="","",IF(AA96="Avoir",AC96,IF(ISNUMBER(K96),K96,AC96+IF(D96="",N(p_delay),IFERROR(IF(ISNUMBER(INDEX(cli_delay,MATCH(D96,cli_code,0))),INDEX(cli_delay,MATCH(D96,cli_code,0)),N(p_delay)),N(p_delay))))))</f>
        <v/>
      </c>
      <c r="Q96" s="65" t="str">
        <f>IF(A96="","",IF(AA96="Avoir",-1,1)*ROUND(AJ96-IF(AR96="",0,INDEX(fa_htb,AR96)),2))</f>
        <v/>
      </c>
      <c r="R96" s="65" t="str">
        <f>IF(A96="","",IF(AA96="Avoir",-1,1)*ROUND(AQ96-IF(AR96="",0,INDEX(fa_tvab,AR96)),2))</f>
        <v/>
      </c>
      <c r="S96" s="65" t="str">
        <f>IF(A96="","",Q96+R96)</f>
        <v/>
      </c>
      <c r="T96" s="65" t="str">
        <f>IF(AR96="","",INDEX(fa_htb,AR96)+INDEX(fa_tvab,AR96))</f>
        <v/>
      </c>
      <c r="U96" s="65" t="str">
        <f>IF(A96="","",SUMIF(pa_inv,A96,pa_amt))</f>
        <v/>
      </c>
      <c r="V96" s="65" t="str">
        <f>IF(OR(A96="",AA96="Avoir"),"",-SUMIFS(fa_ttc,fa_avof,A96,fa_type,"Avoir"))</f>
        <v/>
      </c>
      <c r="W96" s="65" t="str">
        <f>IF(OR(A96="",AA96="Avoir"),"",ROUND(S96-U96-V96,2))</f>
        <v/>
      </c>
      <c r="X96" s="66" t="str">
        <f>IF(W96="","",IF(AND(W96&gt;0,p_asof&gt;P96),p_asof-P96,""))</f>
        <v/>
      </c>
      <c r="Y96" s="59" t="str">
        <f>IF(A96="","",IF(AA96="Avoir","Avoir",IF(W96&lt;0,"Trop-perçu",IF(W96=0,"Soldée",IF(p_asof&gt;P96,"En retard",IF(U96+V96&gt;0,"Partielle","À échoir"))))))</f>
        <v/>
      </c>
      <c r="Z96" s="59" t="str">
        <f>IF(NOT(COUNTA(B96:D96,F96:O96)&gt;0),"",IF(C96="","Date manquante",IF(NOT(ISNUMBER(C96)),"Date invalide",IF(D96="","Client manquant",IF(ISNA(MATCH(D96,cli_code,0)),"Client inconnu",IF(AC96&lt;SUMPRODUCT(MAX(($AB$6:AB95=AB96)*$AC$6:AC95)),"Date antérieure à la facture précédente",IF(AND(F96&lt;&gt;"",ISNA(MATCH(F96,dv_num,0))),"Devis inconnu",IF(AND(F96&lt;&gt;"",IFERROR(INDEX(dv_client,MATCH(F96,dv_num,0)),D96)&lt;&gt;D96),"Client différent de celui du devis",IF(AG96="","Aucune ligne : saisissez des lignes ou un devis",IF(AND(AI96&lt;&gt;"",COUNTIF($AI$6:AI96,AI96)&gt;1),"Devis déjà repris par une autre facture",IF(AND(AA96="Avoir",M96=""),"Avoir : indiquez la facture d'origine",IF(AND(AA96="Avoir",ISNA(MATCH(M96,fa_num,0))),"Facture d'origine inconnue",IF(AND(AA96&lt;&gt;"Avoir",M96&lt;&gt;""),"« Avoir sur facture » : réservé aux avoirs",IF(AND(L96&lt;&gt;"",AA96&lt;&gt;"Facture"),"Acompte à déduire : réservé aux factures",IF(AND(L96&lt;&gt;"",ISNA(MATCH(L96,fa_num,0))),"Facture d'acompte inconnue",IF(AND(L96&lt;&gt;"",IFERROR(INDEX(fa_type,MATCH(L96,fa_num,0)),"")&lt;&gt;"Facture d'acompte"),"Le n° à déduire n'est pas une facture d'acompte",IF(AND(L96&lt;&gt;"",COUNTIF($L$6:L96,L96)&gt;1),"Acompte déjà déduit sur une autre facture",IF(AND(L96&lt;&gt;"",IFERROR(INDEX(fa_client,MATCH(L96,fa_num,0)),D96)&lt;&gt;D96),"Acompte d'un autre client",IF(AND(AR96&lt;&gt;"",N(Q96)&lt;0),"Acompte supérieur au total de la facture",IF(IF(AG96="Facture",COUNTIFS(fl_doc,A96,fl_check,"&lt;&gt;OK"),IF(AG96="Devis",COUNTIFS(dl_doc,F96,dl_check,"&lt;&gt;OK"),0))&gt;0,"Ligne(s) à corriger",IF(AND(W96&lt;&gt;"",N(W96)&lt;0),"Trop-perçu : vérifiez paiements et avoirs","OK")))))))))))))))))))))</f>
        <v/>
      </c>
      <c r="AA96" s="62" t="str">
        <f>IF(COUNTA(B96:D96,F96:O96)&gt;0,IF(B96="","Facture",B96),"")</f>
        <v/>
      </c>
      <c r="AB96" s="62" t="str">
        <f>IF(AA96="","",IF(AA96="Avoir",p_pav,IF(AA96="Facture d'acompte",p_pac,p_pfa)))</f>
        <v/>
      </c>
      <c r="AC96" s="62">
        <f>IF(ISNUMBER(C96),C96,0)</f>
        <v>0.0</v>
      </c>
      <c r="AD96" s="62" t="str">
        <f>IF(OR(AA96="",AC96=0),"",YEAR(AC96))</f>
        <v/>
      </c>
      <c r="AE96" s="62" t="str">
        <f>IF(AD96="","",COUNTIFS($AB$6:AB96,AB96,$AD$6:AD96,AD96))</f>
        <v/>
      </c>
      <c r="AF96" s="62">
        <f>IF(A96="",0,COUNTIF(fl_doc,A96))</f>
        <v>0.0</v>
      </c>
      <c r="AG96" s="62" t="str">
        <f>IF(A96="","",IF(AF96&gt;0,"Facture",IF(AND(F96&lt;&gt;"",AA96="Facture",ISNUMBER(MATCH(F96,dv_num,0))),"Devis","")))</f>
        <v/>
      </c>
      <c r="AH96" s="62" t="str">
        <f>IF(AND(A96&lt;&gt;"",F96&lt;&gt;"",AA96&lt;&gt;"Avoir"),F96,"")</f>
        <v/>
      </c>
      <c r="AI96" s="62" t="str">
        <f>IF(AG96="Devis",F96,"")</f>
        <v/>
      </c>
      <c r="AJ96" s="62">
        <f>IF(AG96="Facture",SUMIF(fl_doc,A96,fl_ht),IF(AG96="Devis",SUMIF(dl_doc,F96,dl_ht),0))</f>
        <v>0.0</v>
      </c>
      <c r="AK96" s="62">
        <f>IF(OR(AG96="",INDEX(p_rates,1)=""),0,IF(AG96="Facture",SUMIFS(fl_ht,fl_doc,A96,fl_rate,INDEX(p_rates,1)),SUMIFS(dl_ht,dl_doc,F96,dl_rate,INDEX(p_rates,1))))</f>
        <v>0.0</v>
      </c>
      <c r="AL96" s="62">
        <f>IF(OR(AG96="",INDEX(p_rates,2)=""),0,IF(AG96="Facture",SUMIFS(fl_ht,fl_doc,A96,fl_rate,INDEX(p_rates,2)),SUMIFS(dl_ht,dl_doc,F96,dl_rate,INDEX(p_rates,2))))</f>
        <v>0.0</v>
      </c>
      <c r="AM96" s="62">
        <f>IF(OR(AG96="",INDEX(p_rates,3)=""),0,IF(AG96="Facture",SUMIFS(fl_ht,fl_doc,A96,fl_rate,INDEX(p_rates,3)),SUMIFS(dl_ht,dl_doc,F96,dl_rate,INDEX(p_rates,3))))</f>
        <v>0.0</v>
      </c>
      <c r="AN96" s="62">
        <f>IF(OR(AG96="",INDEX(p_rates,4)=""),0,IF(AG96="Facture",SUMIFS(fl_ht,fl_doc,A96,fl_rate,INDEX(p_rates,4)),SUMIFS(dl_ht,dl_doc,F96,dl_rate,INDEX(p_rates,4))))</f>
        <v>0.0</v>
      </c>
      <c r="AO96" s="62">
        <f>IF(OR(AG96="",INDEX(p_rates,5)=""),0,IF(AG96="Facture",SUMIFS(fl_ht,fl_doc,A96,fl_rate,INDEX(p_rates,5)),SUMIFS(dl_ht,dl_doc,F96,dl_rate,INDEX(p_rates,5))))</f>
        <v>0.0</v>
      </c>
      <c r="AP96" s="62">
        <f>IF(OR(AG96="",INDEX(p_rates,6)=""),0,IF(AG96="Facture",SUMIFS(fl_ht,fl_doc,A96,fl_rate,INDEX(p_rates,6)),SUMIFS(dl_ht,dl_doc,F96,dl_rate,INDEX(p_rates,6))))</f>
        <v>0.0</v>
      </c>
      <c r="AQ96" s="62">
        <f>ROUND(AK96*N(INDEX(p_rates,1)),2)+ROUND(AL96*N(INDEX(p_rates,2)),2)+ROUND(AM96*N(INDEX(p_rates,3)),2)+ROUND(AN96*N(INDEX(p_rates,4)),2)+ROUND(AO96*N(INDEX(p_rates,5)),2)+ROUND(AP96*N(INDEX(p_rates,6)),2)</f>
        <v>0.0</v>
      </c>
      <c r="AR96" s="62" t="str">
        <f>IF(OR(L96="",AA96&lt;&gt;"Facture"),"",IFERROR(IF(INDEX(fa_type,MATCH(L96,fa_num,0))="Facture d'acompte",MATCH(L96,fa_num,0),""),""))</f>
        <v/>
      </c>
      <c r="AS96" s="62" t="str">
        <f>IF(W96="","",IF(W96&lt;=0,"",IF(p_asof-P96&lt;=0,"Non échu",IF(p_asof-P96&lt;=30,"1-30 j",IF(p_asof-P96&lt;=60,"31-60 j",IF(p_asof-P96&lt;=90,"61-90 j","Plus de 90 j"))))))</f>
        <v/>
      </c>
      <c r="AT96" s="62" t="str">
        <f>IF(AS96="","",p_asof-P96)</f>
        <v/>
      </c>
      <c r="AU96" s="62" t="str">
        <f>IF(AT96="","",COUNTIF($AT$6:$AT$805,"&gt;"&amp;AT96)+COUNTIF($AT$6:AT96,AT96))</f>
        <v/>
      </c>
    </row>
    <row r="97">
      <c r="A97" s="59" t="str">
        <f>IF(AE97="","",AB97&amp;"-"&amp;AD97&amp;"-"&amp;RIGHT("000"&amp;AE97,4))</f>
        <v/>
      </c>
      <c r="B97" s="60" t="n"/>
      <c r="C97" s="61" t="n"/>
      <c r="D97" s="60" t="n"/>
      <c r="E97" s="62" t="str">
        <f>IF(D97="","",IFERROR(INDEX(cli_name,MATCH(D97,cli_code,0))&amp;"","Client inconnu"))</f>
        <v/>
      </c>
      <c r="F97" s="60" t="n"/>
      <c r="G97" s="63" t="n"/>
      <c r="H97" s="61" t="n"/>
      <c r="I97" s="63" t="n"/>
      <c r="J97" s="60" t="n"/>
      <c r="K97" s="61" t="n"/>
      <c r="L97" s="60" t="n"/>
      <c r="M97" s="60" t="n"/>
      <c r="N97" s="60" t="n"/>
      <c r="O97" s="61" t="n"/>
      <c r="P97" s="64" t="str">
        <f>IF(A97="","",IF(AA97="Avoir",AC97,IF(ISNUMBER(K97),K97,AC97+IF(D97="",N(p_delay),IFERROR(IF(ISNUMBER(INDEX(cli_delay,MATCH(D97,cli_code,0))),INDEX(cli_delay,MATCH(D97,cli_code,0)),N(p_delay)),N(p_delay))))))</f>
        <v/>
      </c>
      <c r="Q97" s="65" t="str">
        <f>IF(A97="","",IF(AA97="Avoir",-1,1)*ROUND(AJ97-IF(AR97="",0,INDEX(fa_htb,AR97)),2))</f>
        <v/>
      </c>
      <c r="R97" s="65" t="str">
        <f>IF(A97="","",IF(AA97="Avoir",-1,1)*ROUND(AQ97-IF(AR97="",0,INDEX(fa_tvab,AR97)),2))</f>
        <v/>
      </c>
      <c r="S97" s="65" t="str">
        <f>IF(A97="","",Q97+R97)</f>
        <v/>
      </c>
      <c r="T97" s="65" t="str">
        <f>IF(AR97="","",INDEX(fa_htb,AR97)+INDEX(fa_tvab,AR97))</f>
        <v/>
      </c>
      <c r="U97" s="65" t="str">
        <f>IF(A97="","",SUMIF(pa_inv,A97,pa_amt))</f>
        <v/>
      </c>
      <c r="V97" s="65" t="str">
        <f>IF(OR(A97="",AA97="Avoir"),"",-SUMIFS(fa_ttc,fa_avof,A97,fa_type,"Avoir"))</f>
        <v/>
      </c>
      <c r="W97" s="65" t="str">
        <f>IF(OR(A97="",AA97="Avoir"),"",ROUND(S97-U97-V97,2))</f>
        <v/>
      </c>
      <c r="X97" s="66" t="str">
        <f>IF(W97="","",IF(AND(W97&gt;0,p_asof&gt;P97),p_asof-P97,""))</f>
        <v/>
      </c>
      <c r="Y97" s="59" t="str">
        <f>IF(A97="","",IF(AA97="Avoir","Avoir",IF(W97&lt;0,"Trop-perçu",IF(W97=0,"Soldée",IF(p_asof&gt;P97,"En retard",IF(U97+V97&gt;0,"Partielle","À échoir"))))))</f>
        <v/>
      </c>
      <c r="Z97" s="59" t="str">
        <f>IF(NOT(COUNTA(B97:D97,F97:O97)&gt;0),"",IF(C97="","Date manquante",IF(NOT(ISNUMBER(C97)),"Date invalide",IF(D97="","Client manquant",IF(ISNA(MATCH(D97,cli_code,0)),"Client inconnu",IF(AC97&lt;SUMPRODUCT(MAX(($AB$6:AB96=AB97)*$AC$6:AC96)),"Date antérieure à la facture précédente",IF(AND(F97&lt;&gt;"",ISNA(MATCH(F97,dv_num,0))),"Devis inconnu",IF(AND(F97&lt;&gt;"",IFERROR(INDEX(dv_client,MATCH(F97,dv_num,0)),D97)&lt;&gt;D97),"Client différent de celui du devis",IF(AG97="","Aucune ligne : saisissez des lignes ou un devis",IF(AND(AI97&lt;&gt;"",COUNTIF($AI$6:AI97,AI97)&gt;1),"Devis déjà repris par une autre facture",IF(AND(AA97="Avoir",M97=""),"Avoir : indiquez la facture d'origine",IF(AND(AA97="Avoir",ISNA(MATCH(M97,fa_num,0))),"Facture d'origine inconnue",IF(AND(AA97&lt;&gt;"Avoir",M97&lt;&gt;""),"« Avoir sur facture » : réservé aux avoirs",IF(AND(L97&lt;&gt;"",AA97&lt;&gt;"Facture"),"Acompte à déduire : réservé aux factures",IF(AND(L97&lt;&gt;"",ISNA(MATCH(L97,fa_num,0))),"Facture d'acompte inconnue",IF(AND(L97&lt;&gt;"",IFERROR(INDEX(fa_type,MATCH(L97,fa_num,0)),"")&lt;&gt;"Facture d'acompte"),"Le n° à déduire n'est pas une facture d'acompte",IF(AND(L97&lt;&gt;"",COUNTIF($L$6:L97,L97)&gt;1),"Acompte déjà déduit sur une autre facture",IF(AND(L97&lt;&gt;"",IFERROR(INDEX(fa_client,MATCH(L97,fa_num,0)),D97)&lt;&gt;D97),"Acompte d'un autre client",IF(AND(AR97&lt;&gt;"",N(Q97)&lt;0),"Acompte supérieur au total de la facture",IF(IF(AG97="Facture",COUNTIFS(fl_doc,A97,fl_check,"&lt;&gt;OK"),IF(AG97="Devis",COUNTIFS(dl_doc,F97,dl_check,"&lt;&gt;OK"),0))&gt;0,"Ligne(s) à corriger",IF(AND(W97&lt;&gt;"",N(W97)&lt;0),"Trop-perçu : vérifiez paiements et avoirs","OK")))))))))))))))))))))</f>
        <v/>
      </c>
      <c r="AA97" s="62" t="str">
        <f>IF(COUNTA(B97:D97,F97:O97)&gt;0,IF(B97="","Facture",B97),"")</f>
        <v/>
      </c>
      <c r="AB97" s="62" t="str">
        <f>IF(AA97="","",IF(AA97="Avoir",p_pav,IF(AA97="Facture d'acompte",p_pac,p_pfa)))</f>
        <v/>
      </c>
      <c r="AC97" s="62">
        <f>IF(ISNUMBER(C97),C97,0)</f>
        <v>0.0</v>
      </c>
      <c r="AD97" s="62" t="str">
        <f>IF(OR(AA97="",AC97=0),"",YEAR(AC97))</f>
        <v/>
      </c>
      <c r="AE97" s="62" t="str">
        <f>IF(AD97="","",COUNTIFS($AB$6:AB97,AB97,$AD$6:AD97,AD97))</f>
        <v/>
      </c>
      <c r="AF97" s="62">
        <f>IF(A97="",0,COUNTIF(fl_doc,A97))</f>
        <v>0.0</v>
      </c>
      <c r="AG97" s="62" t="str">
        <f>IF(A97="","",IF(AF97&gt;0,"Facture",IF(AND(F97&lt;&gt;"",AA97="Facture",ISNUMBER(MATCH(F97,dv_num,0))),"Devis","")))</f>
        <v/>
      </c>
      <c r="AH97" s="62" t="str">
        <f>IF(AND(A97&lt;&gt;"",F97&lt;&gt;"",AA97&lt;&gt;"Avoir"),F97,"")</f>
        <v/>
      </c>
      <c r="AI97" s="62" t="str">
        <f>IF(AG97="Devis",F97,"")</f>
        <v/>
      </c>
      <c r="AJ97" s="62">
        <f>IF(AG97="Facture",SUMIF(fl_doc,A97,fl_ht),IF(AG97="Devis",SUMIF(dl_doc,F97,dl_ht),0))</f>
        <v>0.0</v>
      </c>
      <c r="AK97" s="62">
        <f>IF(OR(AG97="",INDEX(p_rates,1)=""),0,IF(AG97="Facture",SUMIFS(fl_ht,fl_doc,A97,fl_rate,INDEX(p_rates,1)),SUMIFS(dl_ht,dl_doc,F97,dl_rate,INDEX(p_rates,1))))</f>
        <v>0.0</v>
      </c>
      <c r="AL97" s="62">
        <f>IF(OR(AG97="",INDEX(p_rates,2)=""),0,IF(AG97="Facture",SUMIFS(fl_ht,fl_doc,A97,fl_rate,INDEX(p_rates,2)),SUMIFS(dl_ht,dl_doc,F97,dl_rate,INDEX(p_rates,2))))</f>
        <v>0.0</v>
      </c>
      <c r="AM97" s="62">
        <f>IF(OR(AG97="",INDEX(p_rates,3)=""),0,IF(AG97="Facture",SUMIFS(fl_ht,fl_doc,A97,fl_rate,INDEX(p_rates,3)),SUMIFS(dl_ht,dl_doc,F97,dl_rate,INDEX(p_rates,3))))</f>
        <v>0.0</v>
      </c>
      <c r="AN97" s="62">
        <f>IF(OR(AG97="",INDEX(p_rates,4)=""),0,IF(AG97="Facture",SUMIFS(fl_ht,fl_doc,A97,fl_rate,INDEX(p_rates,4)),SUMIFS(dl_ht,dl_doc,F97,dl_rate,INDEX(p_rates,4))))</f>
        <v>0.0</v>
      </c>
      <c r="AO97" s="62">
        <f>IF(OR(AG97="",INDEX(p_rates,5)=""),0,IF(AG97="Facture",SUMIFS(fl_ht,fl_doc,A97,fl_rate,INDEX(p_rates,5)),SUMIFS(dl_ht,dl_doc,F97,dl_rate,INDEX(p_rates,5))))</f>
        <v>0.0</v>
      </c>
      <c r="AP97" s="62">
        <f>IF(OR(AG97="",INDEX(p_rates,6)=""),0,IF(AG97="Facture",SUMIFS(fl_ht,fl_doc,A97,fl_rate,INDEX(p_rates,6)),SUMIFS(dl_ht,dl_doc,F97,dl_rate,INDEX(p_rates,6))))</f>
        <v>0.0</v>
      </c>
      <c r="AQ97" s="62">
        <f>ROUND(AK97*N(INDEX(p_rates,1)),2)+ROUND(AL97*N(INDEX(p_rates,2)),2)+ROUND(AM97*N(INDEX(p_rates,3)),2)+ROUND(AN97*N(INDEX(p_rates,4)),2)+ROUND(AO97*N(INDEX(p_rates,5)),2)+ROUND(AP97*N(INDEX(p_rates,6)),2)</f>
        <v>0.0</v>
      </c>
      <c r="AR97" s="62" t="str">
        <f>IF(OR(L97="",AA97&lt;&gt;"Facture"),"",IFERROR(IF(INDEX(fa_type,MATCH(L97,fa_num,0))="Facture d'acompte",MATCH(L97,fa_num,0),""),""))</f>
        <v/>
      </c>
      <c r="AS97" s="62" t="str">
        <f>IF(W97="","",IF(W97&lt;=0,"",IF(p_asof-P97&lt;=0,"Non échu",IF(p_asof-P97&lt;=30,"1-30 j",IF(p_asof-P97&lt;=60,"31-60 j",IF(p_asof-P97&lt;=90,"61-90 j","Plus de 90 j"))))))</f>
        <v/>
      </c>
      <c r="AT97" s="62" t="str">
        <f>IF(AS97="","",p_asof-P97)</f>
        <v/>
      </c>
      <c r="AU97" s="62" t="str">
        <f>IF(AT97="","",COUNTIF($AT$6:$AT$805,"&gt;"&amp;AT97)+COUNTIF($AT$6:AT97,AT97))</f>
        <v/>
      </c>
    </row>
    <row r="98">
      <c r="A98" s="59" t="str">
        <f>IF(AE98="","",AB98&amp;"-"&amp;AD98&amp;"-"&amp;RIGHT("000"&amp;AE98,4))</f>
        <v/>
      </c>
      <c r="B98" s="60" t="n"/>
      <c r="C98" s="61" t="n"/>
      <c r="D98" s="60" t="n"/>
      <c r="E98" s="62" t="str">
        <f>IF(D98="","",IFERROR(INDEX(cli_name,MATCH(D98,cli_code,0))&amp;"","Client inconnu"))</f>
        <v/>
      </c>
      <c r="F98" s="60" t="n"/>
      <c r="G98" s="63" t="n"/>
      <c r="H98" s="61" t="n"/>
      <c r="I98" s="63" t="n"/>
      <c r="J98" s="60" t="n"/>
      <c r="K98" s="61" t="n"/>
      <c r="L98" s="60" t="n"/>
      <c r="M98" s="60" t="n"/>
      <c r="N98" s="60" t="n"/>
      <c r="O98" s="61" t="n"/>
      <c r="P98" s="64" t="str">
        <f>IF(A98="","",IF(AA98="Avoir",AC98,IF(ISNUMBER(K98),K98,AC98+IF(D98="",N(p_delay),IFERROR(IF(ISNUMBER(INDEX(cli_delay,MATCH(D98,cli_code,0))),INDEX(cli_delay,MATCH(D98,cli_code,0)),N(p_delay)),N(p_delay))))))</f>
        <v/>
      </c>
      <c r="Q98" s="65" t="str">
        <f>IF(A98="","",IF(AA98="Avoir",-1,1)*ROUND(AJ98-IF(AR98="",0,INDEX(fa_htb,AR98)),2))</f>
        <v/>
      </c>
      <c r="R98" s="65" t="str">
        <f>IF(A98="","",IF(AA98="Avoir",-1,1)*ROUND(AQ98-IF(AR98="",0,INDEX(fa_tvab,AR98)),2))</f>
        <v/>
      </c>
      <c r="S98" s="65" t="str">
        <f>IF(A98="","",Q98+R98)</f>
        <v/>
      </c>
      <c r="T98" s="65" t="str">
        <f>IF(AR98="","",INDEX(fa_htb,AR98)+INDEX(fa_tvab,AR98))</f>
        <v/>
      </c>
      <c r="U98" s="65" t="str">
        <f>IF(A98="","",SUMIF(pa_inv,A98,pa_amt))</f>
        <v/>
      </c>
      <c r="V98" s="65" t="str">
        <f>IF(OR(A98="",AA98="Avoir"),"",-SUMIFS(fa_ttc,fa_avof,A98,fa_type,"Avoir"))</f>
        <v/>
      </c>
      <c r="W98" s="65" t="str">
        <f>IF(OR(A98="",AA98="Avoir"),"",ROUND(S98-U98-V98,2))</f>
        <v/>
      </c>
      <c r="X98" s="66" t="str">
        <f>IF(W98="","",IF(AND(W98&gt;0,p_asof&gt;P98),p_asof-P98,""))</f>
        <v/>
      </c>
      <c r="Y98" s="59" t="str">
        <f>IF(A98="","",IF(AA98="Avoir","Avoir",IF(W98&lt;0,"Trop-perçu",IF(W98=0,"Soldée",IF(p_asof&gt;P98,"En retard",IF(U98+V98&gt;0,"Partielle","À échoir"))))))</f>
        <v/>
      </c>
      <c r="Z98" s="59" t="str">
        <f>IF(NOT(COUNTA(B98:D98,F98:O98)&gt;0),"",IF(C98="","Date manquante",IF(NOT(ISNUMBER(C98)),"Date invalide",IF(D98="","Client manquant",IF(ISNA(MATCH(D98,cli_code,0)),"Client inconnu",IF(AC98&lt;SUMPRODUCT(MAX(($AB$6:AB97=AB98)*$AC$6:AC97)),"Date antérieure à la facture précédente",IF(AND(F98&lt;&gt;"",ISNA(MATCH(F98,dv_num,0))),"Devis inconnu",IF(AND(F98&lt;&gt;"",IFERROR(INDEX(dv_client,MATCH(F98,dv_num,0)),D98)&lt;&gt;D98),"Client différent de celui du devis",IF(AG98="","Aucune ligne : saisissez des lignes ou un devis",IF(AND(AI98&lt;&gt;"",COUNTIF($AI$6:AI98,AI98)&gt;1),"Devis déjà repris par une autre facture",IF(AND(AA98="Avoir",M98=""),"Avoir : indiquez la facture d'origine",IF(AND(AA98="Avoir",ISNA(MATCH(M98,fa_num,0))),"Facture d'origine inconnue",IF(AND(AA98&lt;&gt;"Avoir",M98&lt;&gt;""),"« Avoir sur facture » : réservé aux avoirs",IF(AND(L98&lt;&gt;"",AA98&lt;&gt;"Facture"),"Acompte à déduire : réservé aux factures",IF(AND(L98&lt;&gt;"",ISNA(MATCH(L98,fa_num,0))),"Facture d'acompte inconnue",IF(AND(L98&lt;&gt;"",IFERROR(INDEX(fa_type,MATCH(L98,fa_num,0)),"")&lt;&gt;"Facture d'acompte"),"Le n° à déduire n'est pas une facture d'acompte",IF(AND(L98&lt;&gt;"",COUNTIF($L$6:L98,L98)&gt;1),"Acompte déjà déduit sur une autre facture",IF(AND(L98&lt;&gt;"",IFERROR(INDEX(fa_client,MATCH(L98,fa_num,0)),D98)&lt;&gt;D98),"Acompte d'un autre client",IF(AND(AR98&lt;&gt;"",N(Q98)&lt;0),"Acompte supérieur au total de la facture",IF(IF(AG98="Facture",COUNTIFS(fl_doc,A98,fl_check,"&lt;&gt;OK"),IF(AG98="Devis",COUNTIFS(dl_doc,F98,dl_check,"&lt;&gt;OK"),0))&gt;0,"Ligne(s) à corriger",IF(AND(W98&lt;&gt;"",N(W98)&lt;0),"Trop-perçu : vérifiez paiements et avoirs","OK")))))))))))))))))))))</f>
        <v/>
      </c>
      <c r="AA98" s="62" t="str">
        <f>IF(COUNTA(B98:D98,F98:O98)&gt;0,IF(B98="","Facture",B98),"")</f>
        <v/>
      </c>
      <c r="AB98" s="62" t="str">
        <f>IF(AA98="","",IF(AA98="Avoir",p_pav,IF(AA98="Facture d'acompte",p_pac,p_pfa)))</f>
        <v/>
      </c>
      <c r="AC98" s="62">
        <f>IF(ISNUMBER(C98),C98,0)</f>
        <v>0.0</v>
      </c>
      <c r="AD98" s="62" t="str">
        <f>IF(OR(AA98="",AC98=0),"",YEAR(AC98))</f>
        <v/>
      </c>
      <c r="AE98" s="62" t="str">
        <f>IF(AD98="","",COUNTIFS($AB$6:AB98,AB98,$AD$6:AD98,AD98))</f>
        <v/>
      </c>
      <c r="AF98" s="62">
        <f>IF(A98="",0,COUNTIF(fl_doc,A98))</f>
        <v>0.0</v>
      </c>
      <c r="AG98" s="62" t="str">
        <f>IF(A98="","",IF(AF98&gt;0,"Facture",IF(AND(F98&lt;&gt;"",AA98="Facture",ISNUMBER(MATCH(F98,dv_num,0))),"Devis","")))</f>
        <v/>
      </c>
      <c r="AH98" s="62" t="str">
        <f>IF(AND(A98&lt;&gt;"",F98&lt;&gt;"",AA98&lt;&gt;"Avoir"),F98,"")</f>
        <v/>
      </c>
      <c r="AI98" s="62" t="str">
        <f>IF(AG98="Devis",F98,"")</f>
        <v/>
      </c>
      <c r="AJ98" s="62">
        <f>IF(AG98="Facture",SUMIF(fl_doc,A98,fl_ht),IF(AG98="Devis",SUMIF(dl_doc,F98,dl_ht),0))</f>
        <v>0.0</v>
      </c>
      <c r="AK98" s="62">
        <f>IF(OR(AG98="",INDEX(p_rates,1)=""),0,IF(AG98="Facture",SUMIFS(fl_ht,fl_doc,A98,fl_rate,INDEX(p_rates,1)),SUMIFS(dl_ht,dl_doc,F98,dl_rate,INDEX(p_rates,1))))</f>
        <v>0.0</v>
      </c>
      <c r="AL98" s="62">
        <f>IF(OR(AG98="",INDEX(p_rates,2)=""),0,IF(AG98="Facture",SUMIFS(fl_ht,fl_doc,A98,fl_rate,INDEX(p_rates,2)),SUMIFS(dl_ht,dl_doc,F98,dl_rate,INDEX(p_rates,2))))</f>
        <v>0.0</v>
      </c>
      <c r="AM98" s="62">
        <f>IF(OR(AG98="",INDEX(p_rates,3)=""),0,IF(AG98="Facture",SUMIFS(fl_ht,fl_doc,A98,fl_rate,INDEX(p_rates,3)),SUMIFS(dl_ht,dl_doc,F98,dl_rate,INDEX(p_rates,3))))</f>
        <v>0.0</v>
      </c>
      <c r="AN98" s="62">
        <f>IF(OR(AG98="",INDEX(p_rates,4)=""),0,IF(AG98="Facture",SUMIFS(fl_ht,fl_doc,A98,fl_rate,INDEX(p_rates,4)),SUMIFS(dl_ht,dl_doc,F98,dl_rate,INDEX(p_rates,4))))</f>
        <v>0.0</v>
      </c>
      <c r="AO98" s="62">
        <f>IF(OR(AG98="",INDEX(p_rates,5)=""),0,IF(AG98="Facture",SUMIFS(fl_ht,fl_doc,A98,fl_rate,INDEX(p_rates,5)),SUMIFS(dl_ht,dl_doc,F98,dl_rate,INDEX(p_rates,5))))</f>
        <v>0.0</v>
      </c>
      <c r="AP98" s="62">
        <f>IF(OR(AG98="",INDEX(p_rates,6)=""),0,IF(AG98="Facture",SUMIFS(fl_ht,fl_doc,A98,fl_rate,INDEX(p_rates,6)),SUMIFS(dl_ht,dl_doc,F98,dl_rate,INDEX(p_rates,6))))</f>
        <v>0.0</v>
      </c>
      <c r="AQ98" s="62">
        <f>ROUND(AK98*N(INDEX(p_rates,1)),2)+ROUND(AL98*N(INDEX(p_rates,2)),2)+ROUND(AM98*N(INDEX(p_rates,3)),2)+ROUND(AN98*N(INDEX(p_rates,4)),2)+ROUND(AO98*N(INDEX(p_rates,5)),2)+ROUND(AP98*N(INDEX(p_rates,6)),2)</f>
        <v>0.0</v>
      </c>
      <c r="AR98" s="62" t="str">
        <f>IF(OR(L98="",AA98&lt;&gt;"Facture"),"",IFERROR(IF(INDEX(fa_type,MATCH(L98,fa_num,0))="Facture d'acompte",MATCH(L98,fa_num,0),""),""))</f>
        <v/>
      </c>
      <c r="AS98" s="62" t="str">
        <f>IF(W98="","",IF(W98&lt;=0,"",IF(p_asof-P98&lt;=0,"Non échu",IF(p_asof-P98&lt;=30,"1-30 j",IF(p_asof-P98&lt;=60,"31-60 j",IF(p_asof-P98&lt;=90,"61-90 j","Plus de 90 j"))))))</f>
        <v/>
      </c>
      <c r="AT98" s="62" t="str">
        <f>IF(AS98="","",p_asof-P98)</f>
        <v/>
      </c>
      <c r="AU98" s="62" t="str">
        <f>IF(AT98="","",COUNTIF($AT$6:$AT$805,"&gt;"&amp;AT98)+COUNTIF($AT$6:AT98,AT98))</f>
        <v/>
      </c>
    </row>
    <row r="99">
      <c r="A99" s="59" t="str">
        <f>IF(AE99="","",AB99&amp;"-"&amp;AD99&amp;"-"&amp;RIGHT("000"&amp;AE99,4))</f>
        <v/>
      </c>
      <c r="B99" s="60" t="n"/>
      <c r="C99" s="61" t="n"/>
      <c r="D99" s="60" t="n"/>
      <c r="E99" s="62" t="str">
        <f>IF(D99="","",IFERROR(INDEX(cli_name,MATCH(D99,cli_code,0))&amp;"","Client inconnu"))</f>
        <v/>
      </c>
      <c r="F99" s="60" t="n"/>
      <c r="G99" s="63" t="n"/>
      <c r="H99" s="61" t="n"/>
      <c r="I99" s="63" t="n"/>
      <c r="J99" s="60" t="n"/>
      <c r="K99" s="61" t="n"/>
      <c r="L99" s="60" t="n"/>
      <c r="M99" s="60" t="n"/>
      <c r="N99" s="60" t="n"/>
      <c r="O99" s="61" t="n"/>
      <c r="P99" s="64" t="str">
        <f>IF(A99="","",IF(AA99="Avoir",AC99,IF(ISNUMBER(K99),K99,AC99+IF(D99="",N(p_delay),IFERROR(IF(ISNUMBER(INDEX(cli_delay,MATCH(D99,cli_code,0))),INDEX(cli_delay,MATCH(D99,cli_code,0)),N(p_delay)),N(p_delay))))))</f>
        <v/>
      </c>
      <c r="Q99" s="65" t="str">
        <f>IF(A99="","",IF(AA99="Avoir",-1,1)*ROUND(AJ99-IF(AR99="",0,INDEX(fa_htb,AR99)),2))</f>
        <v/>
      </c>
      <c r="R99" s="65" t="str">
        <f>IF(A99="","",IF(AA99="Avoir",-1,1)*ROUND(AQ99-IF(AR99="",0,INDEX(fa_tvab,AR99)),2))</f>
        <v/>
      </c>
      <c r="S99" s="65" t="str">
        <f>IF(A99="","",Q99+R99)</f>
        <v/>
      </c>
      <c r="T99" s="65" t="str">
        <f>IF(AR99="","",INDEX(fa_htb,AR99)+INDEX(fa_tvab,AR99))</f>
        <v/>
      </c>
      <c r="U99" s="65" t="str">
        <f>IF(A99="","",SUMIF(pa_inv,A99,pa_amt))</f>
        <v/>
      </c>
      <c r="V99" s="65" t="str">
        <f>IF(OR(A99="",AA99="Avoir"),"",-SUMIFS(fa_ttc,fa_avof,A99,fa_type,"Avoir"))</f>
        <v/>
      </c>
      <c r="W99" s="65" t="str">
        <f>IF(OR(A99="",AA99="Avoir"),"",ROUND(S99-U99-V99,2))</f>
        <v/>
      </c>
      <c r="X99" s="66" t="str">
        <f>IF(W99="","",IF(AND(W99&gt;0,p_asof&gt;P99),p_asof-P99,""))</f>
        <v/>
      </c>
      <c r="Y99" s="59" t="str">
        <f>IF(A99="","",IF(AA99="Avoir","Avoir",IF(W99&lt;0,"Trop-perçu",IF(W99=0,"Soldée",IF(p_asof&gt;P99,"En retard",IF(U99+V99&gt;0,"Partielle","À échoir"))))))</f>
        <v/>
      </c>
      <c r="Z99" s="59" t="str">
        <f>IF(NOT(COUNTA(B99:D99,F99:O99)&gt;0),"",IF(C99="","Date manquante",IF(NOT(ISNUMBER(C99)),"Date invalide",IF(D99="","Client manquant",IF(ISNA(MATCH(D99,cli_code,0)),"Client inconnu",IF(AC99&lt;SUMPRODUCT(MAX(($AB$6:AB98=AB99)*$AC$6:AC98)),"Date antérieure à la facture précédente",IF(AND(F99&lt;&gt;"",ISNA(MATCH(F99,dv_num,0))),"Devis inconnu",IF(AND(F99&lt;&gt;"",IFERROR(INDEX(dv_client,MATCH(F99,dv_num,0)),D99)&lt;&gt;D99),"Client différent de celui du devis",IF(AG99="","Aucune ligne : saisissez des lignes ou un devis",IF(AND(AI99&lt;&gt;"",COUNTIF($AI$6:AI99,AI99)&gt;1),"Devis déjà repris par une autre facture",IF(AND(AA99="Avoir",M99=""),"Avoir : indiquez la facture d'origine",IF(AND(AA99="Avoir",ISNA(MATCH(M99,fa_num,0))),"Facture d'origine inconnue",IF(AND(AA99&lt;&gt;"Avoir",M99&lt;&gt;""),"« Avoir sur facture » : réservé aux avoirs",IF(AND(L99&lt;&gt;"",AA99&lt;&gt;"Facture"),"Acompte à déduire : réservé aux factures",IF(AND(L99&lt;&gt;"",ISNA(MATCH(L99,fa_num,0))),"Facture d'acompte inconnue",IF(AND(L99&lt;&gt;"",IFERROR(INDEX(fa_type,MATCH(L99,fa_num,0)),"")&lt;&gt;"Facture d'acompte"),"Le n° à déduire n'est pas une facture d'acompte",IF(AND(L99&lt;&gt;"",COUNTIF($L$6:L99,L99)&gt;1),"Acompte déjà déduit sur une autre facture",IF(AND(L99&lt;&gt;"",IFERROR(INDEX(fa_client,MATCH(L99,fa_num,0)),D99)&lt;&gt;D99),"Acompte d'un autre client",IF(AND(AR99&lt;&gt;"",N(Q99)&lt;0),"Acompte supérieur au total de la facture",IF(IF(AG99="Facture",COUNTIFS(fl_doc,A99,fl_check,"&lt;&gt;OK"),IF(AG99="Devis",COUNTIFS(dl_doc,F99,dl_check,"&lt;&gt;OK"),0))&gt;0,"Ligne(s) à corriger",IF(AND(W99&lt;&gt;"",N(W99)&lt;0),"Trop-perçu : vérifiez paiements et avoirs","OK")))))))))))))))))))))</f>
        <v/>
      </c>
      <c r="AA99" s="62" t="str">
        <f>IF(COUNTA(B99:D99,F99:O99)&gt;0,IF(B99="","Facture",B99),"")</f>
        <v/>
      </c>
      <c r="AB99" s="62" t="str">
        <f>IF(AA99="","",IF(AA99="Avoir",p_pav,IF(AA99="Facture d'acompte",p_pac,p_pfa)))</f>
        <v/>
      </c>
      <c r="AC99" s="62">
        <f>IF(ISNUMBER(C99),C99,0)</f>
        <v>0.0</v>
      </c>
      <c r="AD99" s="62" t="str">
        <f>IF(OR(AA99="",AC99=0),"",YEAR(AC99))</f>
        <v/>
      </c>
      <c r="AE99" s="62" t="str">
        <f>IF(AD99="","",COUNTIFS($AB$6:AB99,AB99,$AD$6:AD99,AD99))</f>
        <v/>
      </c>
      <c r="AF99" s="62">
        <f>IF(A99="",0,COUNTIF(fl_doc,A99))</f>
        <v>0.0</v>
      </c>
      <c r="AG99" s="62" t="str">
        <f>IF(A99="","",IF(AF99&gt;0,"Facture",IF(AND(F99&lt;&gt;"",AA99="Facture",ISNUMBER(MATCH(F99,dv_num,0))),"Devis","")))</f>
        <v/>
      </c>
      <c r="AH99" s="62" t="str">
        <f>IF(AND(A99&lt;&gt;"",F99&lt;&gt;"",AA99&lt;&gt;"Avoir"),F99,"")</f>
        <v/>
      </c>
      <c r="AI99" s="62" t="str">
        <f>IF(AG99="Devis",F99,"")</f>
        <v/>
      </c>
      <c r="AJ99" s="62">
        <f>IF(AG99="Facture",SUMIF(fl_doc,A99,fl_ht),IF(AG99="Devis",SUMIF(dl_doc,F99,dl_ht),0))</f>
        <v>0.0</v>
      </c>
      <c r="AK99" s="62">
        <f>IF(OR(AG99="",INDEX(p_rates,1)=""),0,IF(AG99="Facture",SUMIFS(fl_ht,fl_doc,A99,fl_rate,INDEX(p_rates,1)),SUMIFS(dl_ht,dl_doc,F99,dl_rate,INDEX(p_rates,1))))</f>
        <v>0.0</v>
      </c>
      <c r="AL99" s="62">
        <f>IF(OR(AG99="",INDEX(p_rates,2)=""),0,IF(AG99="Facture",SUMIFS(fl_ht,fl_doc,A99,fl_rate,INDEX(p_rates,2)),SUMIFS(dl_ht,dl_doc,F99,dl_rate,INDEX(p_rates,2))))</f>
        <v>0.0</v>
      </c>
      <c r="AM99" s="62">
        <f>IF(OR(AG99="",INDEX(p_rates,3)=""),0,IF(AG99="Facture",SUMIFS(fl_ht,fl_doc,A99,fl_rate,INDEX(p_rates,3)),SUMIFS(dl_ht,dl_doc,F99,dl_rate,INDEX(p_rates,3))))</f>
        <v>0.0</v>
      </c>
      <c r="AN99" s="62">
        <f>IF(OR(AG99="",INDEX(p_rates,4)=""),0,IF(AG99="Facture",SUMIFS(fl_ht,fl_doc,A99,fl_rate,INDEX(p_rates,4)),SUMIFS(dl_ht,dl_doc,F99,dl_rate,INDEX(p_rates,4))))</f>
        <v>0.0</v>
      </c>
      <c r="AO99" s="62">
        <f>IF(OR(AG99="",INDEX(p_rates,5)=""),0,IF(AG99="Facture",SUMIFS(fl_ht,fl_doc,A99,fl_rate,INDEX(p_rates,5)),SUMIFS(dl_ht,dl_doc,F99,dl_rate,INDEX(p_rates,5))))</f>
        <v>0.0</v>
      </c>
      <c r="AP99" s="62">
        <f>IF(OR(AG99="",INDEX(p_rates,6)=""),0,IF(AG99="Facture",SUMIFS(fl_ht,fl_doc,A99,fl_rate,INDEX(p_rates,6)),SUMIFS(dl_ht,dl_doc,F99,dl_rate,INDEX(p_rates,6))))</f>
        <v>0.0</v>
      </c>
      <c r="AQ99" s="62">
        <f>ROUND(AK99*N(INDEX(p_rates,1)),2)+ROUND(AL99*N(INDEX(p_rates,2)),2)+ROUND(AM99*N(INDEX(p_rates,3)),2)+ROUND(AN99*N(INDEX(p_rates,4)),2)+ROUND(AO99*N(INDEX(p_rates,5)),2)+ROUND(AP99*N(INDEX(p_rates,6)),2)</f>
        <v>0.0</v>
      </c>
      <c r="AR99" s="62" t="str">
        <f>IF(OR(L99="",AA99&lt;&gt;"Facture"),"",IFERROR(IF(INDEX(fa_type,MATCH(L99,fa_num,0))="Facture d'acompte",MATCH(L99,fa_num,0),""),""))</f>
        <v/>
      </c>
      <c r="AS99" s="62" t="str">
        <f>IF(W99="","",IF(W99&lt;=0,"",IF(p_asof-P99&lt;=0,"Non échu",IF(p_asof-P99&lt;=30,"1-30 j",IF(p_asof-P99&lt;=60,"31-60 j",IF(p_asof-P99&lt;=90,"61-90 j","Plus de 90 j"))))))</f>
        <v/>
      </c>
      <c r="AT99" s="62" t="str">
        <f>IF(AS99="","",p_asof-P99)</f>
        <v/>
      </c>
      <c r="AU99" s="62" t="str">
        <f>IF(AT99="","",COUNTIF($AT$6:$AT$805,"&gt;"&amp;AT99)+COUNTIF($AT$6:AT99,AT99))</f>
        <v/>
      </c>
    </row>
    <row r="100">
      <c r="A100" s="59" t="str">
        <f>IF(AE100="","",AB100&amp;"-"&amp;AD100&amp;"-"&amp;RIGHT("000"&amp;AE100,4))</f>
        <v/>
      </c>
      <c r="B100" s="60" t="n"/>
      <c r="C100" s="61" t="n"/>
      <c r="D100" s="60" t="n"/>
      <c r="E100" s="62" t="str">
        <f>IF(D100="","",IFERROR(INDEX(cli_name,MATCH(D100,cli_code,0))&amp;"","Client inconnu"))</f>
        <v/>
      </c>
      <c r="F100" s="60" t="n"/>
      <c r="G100" s="63" t="n"/>
      <c r="H100" s="61" t="n"/>
      <c r="I100" s="63" t="n"/>
      <c r="J100" s="60" t="n"/>
      <c r="K100" s="61" t="n"/>
      <c r="L100" s="60" t="n"/>
      <c r="M100" s="60" t="n"/>
      <c r="N100" s="60" t="n"/>
      <c r="O100" s="61" t="n"/>
      <c r="P100" s="64" t="str">
        <f>IF(A100="","",IF(AA100="Avoir",AC100,IF(ISNUMBER(K100),K100,AC100+IF(D100="",N(p_delay),IFERROR(IF(ISNUMBER(INDEX(cli_delay,MATCH(D100,cli_code,0))),INDEX(cli_delay,MATCH(D100,cli_code,0)),N(p_delay)),N(p_delay))))))</f>
        <v/>
      </c>
      <c r="Q100" s="65" t="str">
        <f>IF(A100="","",IF(AA100="Avoir",-1,1)*ROUND(AJ100-IF(AR100="",0,INDEX(fa_htb,AR100)),2))</f>
        <v/>
      </c>
      <c r="R100" s="65" t="str">
        <f>IF(A100="","",IF(AA100="Avoir",-1,1)*ROUND(AQ100-IF(AR100="",0,INDEX(fa_tvab,AR100)),2))</f>
        <v/>
      </c>
      <c r="S100" s="65" t="str">
        <f>IF(A100="","",Q100+R100)</f>
        <v/>
      </c>
      <c r="T100" s="65" t="str">
        <f>IF(AR100="","",INDEX(fa_htb,AR100)+INDEX(fa_tvab,AR100))</f>
        <v/>
      </c>
      <c r="U100" s="65" t="str">
        <f>IF(A100="","",SUMIF(pa_inv,A100,pa_amt))</f>
        <v/>
      </c>
      <c r="V100" s="65" t="str">
        <f>IF(OR(A100="",AA100="Avoir"),"",-SUMIFS(fa_ttc,fa_avof,A100,fa_type,"Avoir"))</f>
        <v/>
      </c>
      <c r="W100" s="65" t="str">
        <f>IF(OR(A100="",AA100="Avoir"),"",ROUND(S100-U100-V100,2))</f>
        <v/>
      </c>
      <c r="X100" s="66" t="str">
        <f>IF(W100="","",IF(AND(W100&gt;0,p_asof&gt;P100),p_asof-P100,""))</f>
        <v/>
      </c>
      <c r="Y100" s="59" t="str">
        <f>IF(A100="","",IF(AA100="Avoir","Avoir",IF(W100&lt;0,"Trop-perçu",IF(W100=0,"Soldée",IF(p_asof&gt;P100,"En retard",IF(U100+V100&gt;0,"Partielle","À échoir"))))))</f>
        <v/>
      </c>
      <c r="Z100" s="59" t="str">
        <f>IF(NOT(COUNTA(B100:D100,F100:O100)&gt;0),"",IF(C100="","Date manquante",IF(NOT(ISNUMBER(C100)),"Date invalide",IF(D100="","Client manquant",IF(ISNA(MATCH(D100,cli_code,0)),"Client inconnu",IF(AC100&lt;SUMPRODUCT(MAX(($AB$6:AB99=AB100)*$AC$6:AC99)),"Date antérieure à la facture précédente",IF(AND(F100&lt;&gt;"",ISNA(MATCH(F100,dv_num,0))),"Devis inconnu",IF(AND(F100&lt;&gt;"",IFERROR(INDEX(dv_client,MATCH(F100,dv_num,0)),D100)&lt;&gt;D100),"Client différent de celui du devis",IF(AG100="","Aucune ligne : saisissez des lignes ou un devis",IF(AND(AI100&lt;&gt;"",COUNTIF($AI$6:AI100,AI100)&gt;1),"Devis déjà repris par une autre facture",IF(AND(AA100="Avoir",M100=""),"Avoir : indiquez la facture d'origine",IF(AND(AA100="Avoir",ISNA(MATCH(M100,fa_num,0))),"Facture d'origine inconnue",IF(AND(AA100&lt;&gt;"Avoir",M100&lt;&gt;""),"« Avoir sur facture » : réservé aux avoirs",IF(AND(L100&lt;&gt;"",AA100&lt;&gt;"Facture"),"Acompte à déduire : réservé aux factures",IF(AND(L100&lt;&gt;"",ISNA(MATCH(L100,fa_num,0))),"Facture d'acompte inconnue",IF(AND(L100&lt;&gt;"",IFERROR(INDEX(fa_type,MATCH(L100,fa_num,0)),"")&lt;&gt;"Facture d'acompte"),"Le n° à déduire n'est pas une facture d'acompte",IF(AND(L100&lt;&gt;"",COUNTIF($L$6:L100,L100)&gt;1),"Acompte déjà déduit sur une autre facture",IF(AND(L100&lt;&gt;"",IFERROR(INDEX(fa_client,MATCH(L100,fa_num,0)),D100)&lt;&gt;D100),"Acompte d'un autre client",IF(AND(AR100&lt;&gt;"",N(Q100)&lt;0),"Acompte supérieur au total de la facture",IF(IF(AG100="Facture",COUNTIFS(fl_doc,A100,fl_check,"&lt;&gt;OK"),IF(AG100="Devis",COUNTIFS(dl_doc,F100,dl_check,"&lt;&gt;OK"),0))&gt;0,"Ligne(s) à corriger",IF(AND(W100&lt;&gt;"",N(W100)&lt;0),"Trop-perçu : vérifiez paiements et avoirs","OK")))))))))))))))))))))</f>
        <v/>
      </c>
      <c r="AA100" s="62" t="str">
        <f>IF(COUNTA(B100:D100,F100:O100)&gt;0,IF(B100="","Facture",B100),"")</f>
        <v/>
      </c>
      <c r="AB100" s="62" t="str">
        <f>IF(AA100="","",IF(AA100="Avoir",p_pav,IF(AA100="Facture d'acompte",p_pac,p_pfa)))</f>
        <v/>
      </c>
      <c r="AC100" s="62">
        <f>IF(ISNUMBER(C100),C100,0)</f>
        <v>0.0</v>
      </c>
      <c r="AD100" s="62" t="str">
        <f>IF(OR(AA100="",AC100=0),"",YEAR(AC100))</f>
        <v/>
      </c>
      <c r="AE100" s="62" t="str">
        <f>IF(AD100="","",COUNTIFS($AB$6:AB100,AB100,$AD$6:AD100,AD100))</f>
        <v/>
      </c>
      <c r="AF100" s="62">
        <f>IF(A100="",0,COUNTIF(fl_doc,A100))</f>
        <v>0.0</v>
      </c>
      <c r="AG100" s="62" t="str">
        <f>IF(A100="","",IF(AF100&gt;0,"Facture",IF(AND(F100&lt;&gt;"",AA100="Facture",ISNUMBER(MATCH(F100,dv_num,0))),"Devis","")))</f>
        <v/>
      </c>
      <c r="AH100" s="62" t="str">
        <f>IF(AND(A100&lt;&gt;"",F100&lt;&gt;"",AA100&lt;&gt;"Avoir"),F100,"")</f>
        <v/>
      </c>
      <c r="AI100" s="62" t="str">
        <f>IF(AG100="Devis",F100,"")</f>
        <v/>
      </c>
      <c r="AJ100" s="62">
        <f>IF(AG100="Facture",SUMIF(fl_doc,A100,fl_ht),IF(AG100="Devis",SUMIF(dl_doc,F100,dl_ht),0))</f>
        <v>0.0</v>
      </c>
      <c r="AK100" s="62">
        <f>IF(OR(AG100="",INDEX(p_rates,1)=""),0,IF(AG100="Facture",SUMIFS(fl_ht,fl_doc,A100,fl_rate,INDEX(p_rates,1)),SUMIFS(dl_ht,dl_doc,F100,dl_rate,INDEX(p_rates,1))))</f>
        <v>0.0</v>
      </c>
      <c r="AL100" s="62">
        <f>IF(OR(AG100="",INDEX(p_rates,2)=""),0,IF(AG100="Facture",SUMIFS(fl_ht,fl_doc,A100,fl_rate,INDEX(p_rates,2)),SUMIFS(dl_ht,dl_doc,F100,dl_rate,INDEX(p_rates,2))))</f>
        <v>0.0</v>
      </c>
      <c r="AM100" s="62">
        <f>IF(OR(AG100="",INDEX(p_rates,3)=""),0,IF(AG100="Facture",SUMIFS(fl_ht,fl_doc,A100,fl_rate,INDEX(p_rates,3)),SUMIFS(dl_ht,dl_doc,F100,dl_rate,INDEX(p_rates,3))))</f>
        <v>0.0</v>
      </c>
      <c r="AN100" s="62">
        <f>IF(OR(AG100="",INDEX(p_rates,4)=""),0,IF(AG100="Facture",SUMIFS(fl_ht,fl_doc,A100,fl_rate,INDEX(p_rates,4)),SUMIFS(dl_ht,dl_doc,F100,dl_rate,INDEX(p_rates,4))))</f>
        <v>0.0</v>
      </c>
      <c r="AO100" s="62">
        <f>IF(OR(AG100="",INDEX(p_rates,5)=""),0,IF(AG100="Facture",SUMIFS(fl_ht,fl_doc,A100,fl_rate,INDEX(p_rates,5)),SUMIFS(dl_ht,dl_doc,F100,dl_rate,INDEX(p_rates,5))))</f>
        <v>0.0</v>
      </c>
      <c r="AP100" s="62">
        <f>IF(OR(AG100="",INDEX(p_rates,6)=""),0,IF(AG100="Facture",SUMIFS(fl_ht,fl_doc,A100,fl_rate,INDEX(p_rates,6)),SUMIFS(dl_ht,dl_doc,F100,dl_rate,INDEX(p_rates,6))))</f>
        <v>0.0</v>
      </c>
      <c r="AQ100" s="62">
        <f>ROUND(AK100*N(INDEX(p_rates,1)),2)+ROUND(AL100*N(INDEX(p_rates,2)),2)+ROUND(AM100*N(INDEX(p_rates,3)),2)+ROUND(AN100*N(INDEX(p_rates,4)),2)+ROUND(AO100*N(INDEX(p_rates,5)),2)+ROUND(AP100*N(INDEX(p_rates,6)),2)</f>
        <v>0.0</v>
      </c>
      <c r="AR100" s="62" t="str">
        <f>IF(OR(L100="",AA100&lt;&gt;"Facture"),"",IFERROR(IF(INDEX(fa_type,MATCH(L100,fa_num,0))="Facture d'acompte",MATCH(L100,fa_num,0),""),""))</f>
        <v/>
      </c>
      <c r="AS100" s="62" t="str">
        <f>IF(W100="","",IF(W100&lt;=0,"",IF(p_asof-P100&lt;=0,"Non échu",IF(p_asof-P100&lt;=30,"1-30 j",IF(p_asof-P100&lt;=60,"31-60 j",IF(p_asof-P100&lt;=90,"61-90 j","Plus de 90 j"))))))</f>
        <v/>
      </c>
      <c r="AT100" s="62" t="str">
        <f>IF(AS100="","",p_asof-P100)</f>
        <v/>
      </c>
      <c r="AU100" s="62" t="str">
        <f>IF(AT100="","",COUNTIF($AT$6:$AT$805,"&gt;"&amp;AT100)+COUNTIF($AT$6:AT100,AT100))</f>
        <v/>
      </c>
    </row>
    <row r="101">
      <c r="A101" s="59" t="str">
        <f>IF(AE101="","",AB101&amp;"-"&amp;AD101&amp;"-"&amp;RIGHT("000"&amp;AE101,4))</f>
        <v/>
      </c>
      <c r="B101" s="60" t="n"/>
      <c r="C101" s="61" t="n"/>
      <c r="D101" s="60" t="n"/>
      <c r="E101" s="62" t="str">
        <f>IF(D101="","",IFERROR(INDEX(cli_name,MATCH(D101,cli_code,0))&amp;"","Client inconnu"))</f>
        <v/>
      </c>
      <c r="F101" s="60" t="n"/>
      <c r="G101" s="63" t="n"/>
      <c r="H101" s="61" t="n"/>
      <c r="I101" s="63" t="n"/>
      <c r="J101" s="60" t="n"/>
      <c r="K101" s="61" t="n"/>
      <c r="L101" s="60" t="n"/>
      <c r="M101" s="60" t="n"/>
      <c r="N101" s="60" t="n"/>
      <c r="O101" s="61" t="n"/>
      <c r="P101" s="64" t="str">
        <f>IF(A101="","",IF(AA101="Avoir",AC101,IF(ISNUMBER(K101),K101,AC101+IF(D101="",N(p_delay),IFERROR(IF(ISNUMBER(INDEX(cli_delay,MATCH(D101,cli_code,0))),INDEX(cli_delay,MATCH(D101,cli_code,0)),N(p_delay)),N(p_delay))))))</f>
        <v/>
      </c>
      <c r="Q101" s="65" t="str">
        <f>IF(A101="","",IF(AA101="Avoir",-1,1)*ROUND(AJ101-IF(AR101="",0,INDEX(fa_htb,AR101)),2))</f>
        <v/>
      </c>
      <c r="R101" s="65" t="str">
        <f>IF(A101="","",IF(AA101="Avoir",-1,1)*ROUND(AQ101-IF(AR101="",0,INDEX(fa_tvab,AR101)),2))</f>
        <v/>
      </c>
      <c r="S101" s="65" t="str">
        <f>IF(A101="","",Q101+R101)</f>
        <v/>
      </c>
      <c r="T101" s="65" t="str">
        <f>IF(AR101="","",INDEX(fa_htb,AR101)+INDEX(fa_tvab,AR101))</f>
        <v/>
      </c>
      <c r="U101" s="65" t="str">
        <f>IF(A101="","",SUMIF(pa_inv,A101,pa_amt))</f>
        <v/>
      </c>
      <c r="V101" s="65" t="str">
        <f>IF(OR(A101="",AA101="Avoir"),"",-SUMIFS(fa_ttc,fa_avof,A101,fa_type,"Avoir"))</f>
        <v/>
      </c>
      <c r="W101" s="65" t="str">
        <f>IF(OR(A101="",AA101="Avoir"),"",ROUND(S101-U101-V101,2))</f>
        <v/>
      </c>
      <c r="X101" s="66" t="str">
        <f>IF(W101="","",IF(AND(W101&gt;0,p_asof&gt;P101),p_asof-P101,""))</f>
        <v/>
      </c>
      <c r="Y101" s="59" t="str">
        <f>IF(A101="","",IF(AA101="Avoir","Avoir",IF(W101&lt;0,"Trop-perçu",IF(W101=0,"Soldée",IF(p_asof&gt;P101,"En retard",IF(U101+V101&gt;0,"Partielle","À échoir"))))))</f>
        <v/>
      </c>
      <c r="Z101" s="59" t="str">
        <f>IF(NOT(COUNTA(B101:D101,F101:O101)&gt;0),"",IF(C101="","Date manquante",IF(NOT(ISNUMBER(C101)),"Date invalide",IF(D101="","Client manquant",IF(ISNA(MATCH(D101,cli_code,0)),"Client inconnu",IF(AC101&lt;SUMPRODUCT(MAX(($AB$6:AB100=AB101)*$AC$6:AC100)),"Date antérieure à la facture précédente",IF(AND(F101&lt;&gt;"",ISNA(MATCH(F101,dv_num,0))),"Devis inconnu",IF(AND(F101&lt;&gt;"",IFERROR(INDEX(dv_client,MATCH(F101,dv_num,0)),D101)&lt;&gt;D101),"Client différent de celui du devis",IF(AG101="","Aucune ligne : saisissez des lignes ou un devis",IF(AND(AI101&lt;&gt;"",COUNTIF($AI$6:AI101,AI101)&gt;1),"Devis déjà repris par une autre facture",IF(AND(AA101="Avoir",M101=""),"Avoir : indiquez la facture d'origine",IF(AND(AA101="Avoir",ISNA(MATCH(M101,fa_num,0))),"Facture d'origine inconnue",IF(AND(AA101&lt;&gt;"Avoir",M101&lt;&gt;""),"« Avoir sur facture » : réservé aux avoirs",IF(AND(L101&lt;&gt;"",AA101&lt;&gt;"Facture"),"Acompte à déduire : réservé aux factures",IF(AND(L101&lt;&gt;"",ISNA(MATCH(L101,fa_num,0))),"Facture d'acompte inconnue",IF(AND(L101&lt;&gt;"",IFERROR(INDEX(fa_type,MATCH(L101,fa_num,0)),"")&lt;&gt;"Facture d'acompte"),"Le n° à déduire n'est pas une facture d'acompte",IF(AND(L101&lt;&gt;"",COUNTIF($L$6:L101,L101)&gt;1),"Acompte déjà déduit sur une autre facture",IF(AND(L101&lt;&gt;"",IFERROR(INDEX(fa_client,MATCH(L101,fa_num,0)),D101)&lt;&gt;D101),"Acompte d'un autre client",IF(AND(AR101&lt;&gt;"",N(Q101)&lt;0),"Acompte supérieur au total de la facture",IF(IF(AG101="Facture",COUNTIFS(fl_doc,A101,fl_check,"&lt;&gt;OK"),IF(AG101="Devis",COUNTIFS(dl_doc,F101,dl_check,"&lt;&gt;OK"),0))&gt;0,"Ligne(s) à corriger",IF(AND(W101&lt;&gt;"",N(W101)&lt;0),"Trop-perçu : vérifiez paiements et avoirs","OK")))))))))))))))))))))</f>
        <v/>
      </c>
      <c r="AA101" s="62" t="str">
        <f>IF(COUNTA(B101:D101,F101:O101)&gt;0,IF(B101="","Facture",B101),"")</f>
        <v/>
      </c>
      <c r="AB101" s="62" t="str">
        <f>IF(AA101="","",IF(AA101="Avoir",p_pav,IF(AA101="Facture d'acompte",p_pac,p_pfa)))</f>
        <v/>
      </c>
      <c r="AC101" s="62">
        <f>IF(ISNUMBER(C101),C101,0)</f>
        <v>0.0</v>
      </c>
      <c r="AD101" s="62" t="str">
        <f>IF(OR(AA101="",AC101=0),"",YEAR(AC101))</f>
        <v/>
      </c>
      <c r="AE101" s="62" t="str">
        <f>IF(AD101="","",COUNTIFS($AB$6:AB101,AB101,$AD$6:AD101,AD101))</f>
        <v/>
      </c>
      <c r="AF101" s="62">
        <f>IF(A101="",0,COUNTIF(fl_doc,A101))</f>
        <v>0.0</v>
      </c>
      <c r="AG101" s="62" t="str">
        <f>IF(A101="","",IF(AF101&gt;0,"Facture",IF(AND(F101&lt;&gt;"",AA101="Facture",ISNUMBER(MATCH(F101,dv_num,0))),"Devis","")))</f>
        <v/>
      </c>
      <c r="AH101" s="62" t="str">
        <f>IF(AND(A101&lt;&gt;"",F101&lt;&gt;"",AA101&lt;&gt;"Avoir"),F101,"")</f>
        <v/>
      </c>
      <c r="AI101" s="62" t="str">
        <f>IF(AG101="Devis",F101,"")</f>
        <v/>
      </c>
      <c r="AJ101" s="62">
        <f>IF(AG101="Facture",SUMIF(fl_doc,A101,fl_ht),IF(AG101="Devis",SUMIF(dl_doc,F101,dl_ht),0))</f>
        <v>0.0</v>
      </c>
      <c r="AK101" s="62">
        <f>IF(OR(AG101="",INDEX(p_rates,1)=""),0,IF(AG101="Facture",SUMIFS(fl_ht,fl_doc,A101,fl_rate,INDEX(p_rates,1)),SUMIFS(dl_ht,dl_doc,F101,dl_rate,INDEX(p_rates,1))))</f>
        <v>0.0</v>
      </c>
      <c r="AL101" s="62">
        <f>IF(OR(AG101="",INDEX(p_rates,2)=""),0,IF(AG101="Facture",SUMIFS(fl_ht,fl_doc,A101,fl_rate,INDEX(p_rates,2)),SUMIFS(dl_ht,dl_doc,F101,dl_rate,INDEX(p_rates,2))))</f>
        <v>0.0</v>
      </c>
      <c r="AM101" s="62">
        <f>IF(OR(AG101="",INDEX(p_rates,3)=""),0,IF(AG101="Facture",SUMIFS(fl_ht,fl_doc,A101,fl_rate,INDEX(p_rates,3)),SUMIFS(dl_ht,dl_doc,F101,dl_rate,INDEX(p_rates,3))))</f>
        <v>0.0</v>
      </c>
      <c r="AN101" s="62">
        <f>IF(OR(AG101="",INDEX(p_rates,4)=""),0,IF(AG101="Facture",SUMIFS(fl_ht,fl_doc,A101,fl_rate,INDEX(p_rates,4)),SUMIFS(dl_ht,dl_doc,F101,dl_rate,INDEX(p_rates,4))))</f>
        <v>0.0</v>
      </c>
      <c r="AO101" s="62">
        <f>IF(OR(AG101="",INDEX(p_rates,5)=""),0,IF(AG101="Facture",SUMIFS(fl_ht,fl_doc,A101,fl_rate,INDEX(p_rates,5)),SUMIFS(dl_ht,dl_doc,F101,dl_rate,INDEX(p_rates,5))))</f>
        <v>0.0</v>
      </c>
      <c r="AP101" s="62">
        <f>IF(OR(AG101="",INDEX(p_rates,6)=""),0,IF(AG101="Facture",SUMIFS(fl_ht,fl_doc,A101,fl_rate,INDEX(p_rates,6)),SUMIFS(dl_ht,dl_doc,F101,dl_rate,INDEX(p_rates,6))))</f>
        <v>0.0</v>
      </c>
      <c r="AQ101" s="62">
        <f>ROUND(AK101*N(INDEX(p_rates,1)),2)+ROUND(AL101*N(INDEX(p_rates,2)),2)+ROUND(AM101*N(INDEX(p_rates,3)),2)+ROUND(AN101*N(INDEX(p_rates,4)),2)+ROUND(AO101*N(INDEX(p_rates,5)),2)+ROUND(AP101*N(INDEX(p_rates,6)),2)</f>
        <v>0.0</v>
      </c>
      <c r="AR101" s="62" t="str">
        <f>IF(OR(L101="",AA101&lt;&gt;"Facture"),"",IFERROR(IF(INDEX(fa_type,MATCH(L101,fa_num,0))="Facture d'acompte",MATCH(L101,fa_num,0),""),""))</f>
        <v/>
      </c>
      <c r="AS101" s="62" t="str">
        <f>IF(W101="","",IF(W101&lt;=0,"",IF(p_asof-P101&lt;=0,"Non échu",IF(p_asof-P101&lt;=30,"1-30 j",IF(p_asof-P101&lt;=60,"31-60 j",IF(p_asof-P101&lt;=90,"61-90 j","Plus de 90 j"))))))</f>
        <v/>
      </c>
      <c r="AT101" s="62" t="str">
        <f>IF(AS101="","",p_asof-P101)</f>
        <v/>
      </c>
      <c r="AU101" s="62" t="str">
        <f>IF(AT101="","",COUNTIF($AT$6:$AT$805,"&gt;"&amp;AT101)+COUNTIF($AT$6:AT101,AT101))</f>
        <v/>
      </c>
    </row>
    <row r="102">
      <c r="A102" s="59" t="str">
        <f>IF(AE102="","",AB102&amp;"-"&amp;AD102&amp;"-"&amp;RIGHT("000"&amp;AE102,4))</f>
        <v/>
      </c>
      <c r="B102" s="60" t="n"/>
      <c r="C102" s="61" t="n"/>
      <c r="D102" s="60" t="n"/>
      <c r="E102" s="62" t="str">
        <f>IF(D102="","",IFERROR(INDEX(cli_name,MATCH(D102,cli_code,0))&amp;"","Client inconnu"))</f>
        <v/>
      </c>
      <c r="F102" s="60" t="n"/>
      <c r="G102" s="63" t="n"/>
      <c r="H102" s="61" t="n"/>
      <c r="I102" s="63" t="n"/>
      <c r="J102" s="60" t="n"/>
      <c r="K102" s="61" t="n"/>
      <c r="L102" s="60" t="n"/>
      <c r="M102" s="60" t="n"/>
      <c r="N102" s="60" t="n"/>
      <c r="O102" s="61" t="n"/>
      <c r="P102" s="64" t="str">
        <f>IF(A102="","",IF(AA102="Avoir",AC102,IF(ISNUMBER(K102),K102,AC102+IF(D102="",N(p_delay),IFERROR(IF(ISNUMBER(INDEX(cli_delay,MATCH(D102,cli_code,0))),INDEX(cli_delay,MATCH(D102,cli_code,0)),N(p_delay)),N(p_delay))))))</f>
        <v/>
      </c>
      <c r="Q102" s="65" t="str">
        <f>IF(A102="","",IF(AA102="Avoir",-1,1)*ROUND(AJ102-IF(AR102="",0,INDEX(fa_htb,AR102)),2))</f>
        <v/>
      </c>
      <c r="R102" s="65" t="str">
        <f>IF(A102="","",IF(AA102="Avoir",-1,1)*ROUND(AQ102-IF(AR102="",0,INDEX(fa_tvab,AR102)),2))</f>
        <v/>
      </c>
      <c r="S102" s="65" t="str">
        <f>IF(A102="","",Q102+R102)</f>
        <v/>
      </c>
      <c r="T102" s="65" t="str">
        <f>IF(AR102="","",INDEX(fa_htb,AR102)+INDEX(fa_tvab,AR102))</f>
        <v/>
      </c>
      <c r="U102" s="65" t="str">
        <f>IF(A102="","",SUMIF(pa_inv,A102,pa_amt))</f>
        <v/>
      </c>
      <c r="V102" s="65" t="str">
        <f>IF(OR(A102="",AA102="Avoir"),"",-SUMIFS(fa_ttc,fa_avof,A102,fa_type,"Avoir"))</f>
        <v/>
      </c>
      <c r="W102" s="65" t="str">
        <f>IF(OR(A102="",AA102="Avoir"),"",ROUND(S102-U102-V102,2))</f>
        <v/>
      </c>
      <c r="X102" s="66" t="str">
        <f>IF(W102="","",IF(AND(W102&gt;0,p_asof&gt;P102),p_asof-P102,""))</f>
        <v/>
      </c>
      <c r="Y102" s="59" t="str">
        <f>IF(A102="","",IF(AA102="Avoir","Avoir",IF(W102&lt;0,"Trop-perçu",IF(W102=0,"Soldée",IF(p_asof&gt;P102,"En retard",IF(U102+V102&gt;0,"Partielle","À échoir"))))))</f>
        <v/>
      </c>
      <c r="Z102" s="59" t="str">
        <f>IF(NOT(COUNTA(B102:D102,F102:O102)&gt;0),"",IF(C102="","Date manquante",IF(NOT(ISNUMBER(C102)),"Date invalide",IF(D102="","Client manquant",IF(ISNA(MATCH(D102,cli_code,0)),"Client inconnu",IF(AC102&lt;SUMPRODUCT(MAX(($AB$6:AB101=AB102)*$AC$6:AC101)),"Date antérieure à la facture précédente",IF(AND(F102&lt;&gt;"",ISNA(MATCH(F102,dv_num,0))),"Devis inconnu",IF(AND(F102&lt;&gt;"",IFERROR(INDEX(dv_client,MATCH(F102,dv_num,0)),D102)&lt;&gt;D102),"Client différent de celui du devis",IF(AG102="","Aucune ligne : saisissez des lignes ou un devis",IF(AND(AI102&lt;&gt;"",COUNTIF($AI$6:AI102,AI102)&gt;1),"Devis déjà repris par une autre facture",IF(AND(AA102="Avoir",M102=""),"Avoir : indiquez la facture d'origine",IF(AND(AA102="Avoir",ISNA(MATCH(M102,fa_num,0))),"Facture d'origine inconnue",IF(AND(AA102&lt;&gt;"Avoir",M102&lt;&gt;""),"« Avoir sur facture » : réservé aux avoirs",IF(AND(L102&lt;&gt;"",AA102&lt;&gt;"Facture"),"Acompte à déduire : réservé aux factures",IF(AND(L102&lt;&gt;"",ISNA(MATCH(L102,fa_num,0))),"Facture d'acompte inconnue",IF(AND(L102&lt;&gt;"",IFERROR(INDEX(fa_type,MATCH(L102,fa_num,0)),"")&lt;&gt;"Facture d'acompte"),"Le n° à déduire n'est pas une facture d'acompte",IF(AND(L102&lt;&gt;"",COUNTIF($L$6:L102,L102)&gt;1),"Acompte déjà déduit sur une autre facture",IF(AND(L102&lt;&gt;"",IFERROR(INDEX(fa_client,MATCH(L102,fa_num,0)),D102)&lt;&gt;D102),"Acompte d'un autre client",IF(AND(AR102&lt;&gt;"",N(Q102)&lt;0),"Acompte supérieur au total de la facture",IF(IF(AG102="Facture",COUNTIFS(fl_doc,A102,fl_check,"&lt;&gt;OK"),IF(AG102="Devis",COUNTIFS(dl_doc,F102,dl_check,"&lt;&gt;OK"),0))&gt;0,"Ligne(s) à corriger",IF(AND(W102&lt;&gt;"",N(W102)&lt;0),"Trop-perçu : vérifiez paiements et avoirs","OK")))))))))))))))))))))</f>
        <v/>
      </c>
      <c r="AA102" s="62" t="str">
        <f>IF(COUNTA(B102:D102,F102:O102)&gt;0,IF(B102="","Facture",B102),"")</f>
        <v/>
      </c>
      <c r="AB102" s="62" t="str">
        <f>IF(AA102="","",IF(AA102="Avoir",p_pav,IF(AA102="Facture d'acompte",p_pac,p_pfa)))</f>
        <v/>
      </c>
      <c r="AC102" s="62">
        <f>IF(ISNUMBER(C102),C102,0)</f>
        <v>0.0</v>
      </c>
      <c r="AD102" s="62" t="str">
        <f>IF(OR(AA102="",AC102=0),"",YEAR(AC102))</f>
        <v/>
      </c>
      <c r="AE102" s="62" t="str">
        <f>IF(AD102="","",COUNTIFS($AB$6:AB102,AB102,$AD$6:AD102,AD102))</f>
        <v/>
      </c>
      <c r="AF102" s="62">
        <f>IF(A102="",0,COUNTIF(fl_doc,A102))</f>
        <v>0.0</v>
      </c>
      <c r="AG102" s="62" t="str">
        <f>IF(A102="","",IF(AF102&gt;0,"Facture",IF(AND(F102&lt;&gt;"",AA102="Facture",ISNUMBER(MATCH(F102,dv_num,0))),"Devis","")))</f>
        <v/>
      </c>
      <c r="AH102" s="62" t="str">
        <f>IF(AND(A102&lt;&gt;"",F102&lt;&gt;"",AA102&lt;&gt;"Avoir"),F102,"")</f>
        <v/>
      </c>
      <c r="AI102" s="62" t="str">
        <f>IF(AG102="Devis",F102,"")</f>
        <v/>
      </c>
      <c r="AJ102" s="62">
        <f>IF(AG102="Facture",SUMIF(fl_doc,A102,fl_ht),IF(AG102="Devis",SUMIF(dl_doc,F102,dl_ht),0))</f>
        <v>0.0</v>
      </c>
      <c r="AK102" s="62">
        <f>IF(OR(AG102="",INDEX(p_rates,1)=""),0,IF(AG102="Facture",SUMIFS(fl_ht,fl_doc,A102,fl_rate,INDEX(p_rates,1)),SUMIFS(dl_ht,dl_doc,F102,dl_rate,INDEX(p_rates,1))))</f>
        <v>0.0</v>
      </c>
      <c r="AL102" s="62">
        <f>IF(OR(AG102="",INDEX(p_rates,2)=""),0,IF(AG102="Facture",SUMIFS(fl_ht,fl_doc,A102,fl_rate,INDEX(p_rates,2)),SUMIFS(dl_ht,dl_doc,F102,dl_rate,INDEX(p_rates,2))))</f>
        <v>0.0</v>
      </c>
      <c r="AM102" s="62">
        <f>IF(OR(AG102="",INDEX(p_rates,3)=""),0,IF(AG102="Facture",SUMIFS(fl_ht,fl_doc,A102,fl_rate,INDEX(p_rates,3)),SUMIFS(dl_ht,dl_doc,F102,dl_rate,INDEX(p_rates,3))))</f>
        <v>0.0</v>
      </c>
      <c r="AN102" s="62">
        <f>IF(OR(AG102="",INDEX(p_rates,4)=""),0,IF(AG102="Facture",SUMIFS(fl_ht,fl_doc,A102,fl_rate,INDEX(p_rates,4)),SUMIFS(dl_ht,dl_doc,F102,dl_rate,INDEX(p_rates,4))))</f>
        <v>0.0</v>
      </c>
      <c r="AO102" s="62">
        <f>IF(OR(AG102="",INDEX(p_rates,5)=""),0,IF(AG102="Facture",SUMIFS(fl_ht,fl_doc,A102,fl_rate,INDEX(p_rates,5)),SUMIFS(dl_ht,dl_doc,F102,dl_rate,INDEX(p_rates,5))))</f>
        <v>0.0</v>
      </c>
      <c r="AP102" s="62">
        <f>IF(OR(AG102="",INDEX(p_rates,6)=""),0,IF(AG102="Facture",SUMIFS(fl_ht,fl_doc,A102,fl_rate,INDEX(p_rates,6)),SUMIFS(dl_ht,dl_doc,F102,dl_rate,INDEX(p_rates,6))))</f>
        <v>0.0</v>
      </c>
      <c r="AQ102" s="62">
        <f>ROUND(AK102*N(INDEX(p_rates,1)),2)+ROUND(AL102*N(INDEX(p_rates,2)),2)+ROUND(AM102*N(INDEX(p_rates,3)),2)+ROUND(AN102*N(INDEX(p_rates,4)),2)+ROUND(AO102*N(INDEX(p_rates,5)),2)+ROUND(AP102*N(INDEX(p_rates,6)),2)</f>
        <v>0.0</v>
      </c>
      <c r="AR102" s="62" t="str">
        <f>IF(OR(L102="",AA102&lt;&gt;"Facture"),"",IFERROR(IF(INDEX(fa_type,MATCH(L102,fa_num,0))="Facture d'acompte",MATCH(L102,fa_num,0),""),""))</f>
        <v/>
      </c>
      <c r="AS102" s="62" t="str">
        <f>IF(W102="","",IF(W102&lt;=0,"",IF(p_asof-P102&lt;=0,"Non échu",IF(p_asof-P102&lt;=30,"1-30 j",IF(p_asof-P102&lt;=60,"31-60 j",IF(p_asof-P102&lt;=90,"61-90 j","Plus de 90 j"))))))</f>
        <v/>
      </c>
      <c r="AT102" s="62" t="str">
        <f>IF(AS102="","",p_asof-P102)</f>
        <v/>
      </c>
      <c r="AU102" s="62" t="str">
        <f>IF(AT102="","",COUNTIF($AT$6:$AT$805,"&gt;"&amp;AT102)+COUNTIF($AT$6:AT102,AT102))</f>
        <v/>
      </c>
    </row>
    <row r="103">
      <c r="A103" s="59" t="str">
        <f>IF(AE103="","",AB103&amp;"-"&amp;AD103&amp;"-"&amp;RIGHT("000"&amp;AE103,4))</f>
        <v/>
      </c>
      <c r="B103" s="60" t="n"/>
      <c r="C103" s="61" t="n"/>
      <c r="D103" s="60" t="n"/>
      <c r="E103" s="62" t="str">
        <f>IF(D103="","",IFERROR(INDEX(cli_name,MATCH(D103,cli_code,0))&amp;"","Client inconnu"))</f>
        <v/>
      </c>
      <c r="F103" s="60" t="n"/>
      <c r="G103" s="63" t="n"/>
      <c r="H103" s="61" t="n"/>
      <c r="I103" s="63" t="n"/>
      <c r="J103" s="60" t="n"/>
      <c r="K103" s="61" t="n"/>
      <c r="L103" s="60" t="n"/>
      <c r="M103" s="60" t="n"/>
      <c r="N103" s="60" t="n"/>
      <c r="O103" s="61" t="n"/>
      <c r="P103" s="64" t="str">
        <f>IF(A103="","",IF(AA103="Avoir",AC103,IF(ISNUMBER(K103),K103,AC103+IF(D103="",N(p_delay),IFERROR(IF(ISNUMBER(INDEX(cli_delay,MATCH(D103,cli_code,0))),INDEX(cli_delay,MATCH(D103,cli_code,0)),N(p_delay)),N(p_delay))))))</f>
        <v/>
      </c>
      <c r="Q103" s="65" t="str">
        <f>IF(A103="","",IF(AA103="Avoir",-1,1)*ROUND(AJ103-IF(AR103="",0,INDEX(fa_htb,AR103)),2))</f>
        <v/>
      </c>
      <c r="R103" s="65" t="str">
        <f>IF(A103="","",IF(AA103="Avoir",-1,1)*ROUND(AQ103-IF(AR103="",0,INDEX(fa_tvab,AR103)),2))</f>
        <v/>
      </c>
      <c r="S103" s="65" t="str">
        <f>IF(A103="","",Q103+R103)</f>
        <v/>
      </c>
      <c r="T103" s="65" t="str">
        <f>IF(AR103="","",INDEX(fa_htb,AR103)+INDEX(fa_tvab,AR103))</f>
        <v/>
      </c>
      <c r="U103" s="65" t="str">
        <f>IF(A103="","",SUMIF(pa_inv,A103,pa_amt))</f>
        <v/>
      </c>
      <c r="V103" s="65" t="str">
        <f>IF(OR(A103="",AA103="Avoir"),"",-SUMIFS(fa_ttc,fa_avof,A103,fa_type,"Avoir"))</f>
        <v/>
      </c>
      <c r="W103" s="65" t="str">
        <f>IF(OR(A103="",AA103="Avoir"),"",ROUND(S103-U103-V103,2))</f>
        <v/>
      </c>
      <c r="X103" s="66" t="str">
        <f>IF(W103="","",IF(AND(W103&gt;0,p_asof&gt;P103),p_asof-P103,""))</f>
        <v/>
      </c>
      <c r="Y103" s="59" t="str">
        <f>IF(A103="","",IF(AA103="Avoir","Avoir",IF(W103&lt;0,"Trop-perçu",IF(W103=0,"Soldée",IF(p_asof&gt;P103,"En retard",IF(U103+V103&gt;0,"Partielle","À échoir"))))))</f>
        <v/>
      </c>
      <c r="Z103" s="59" t="str">
        <f>IF(NOT(COUNTA(B103:D103,F103:O103)&gt;0),"",IF(C103="","Date manquante",IF(NOT(ISNUMBER(C103)),"Date invalide",IF(D103="","Client manquant",IF(ISNA(MATCH(D103,cli_code,0)),"Client inconnu",IF(AC103&lt;SUMPRODUCT(MAX(($AB$6:AB102=AB103)*$AC$6:AC102)),"Date antérieure à la facture précédente",IF(AND(F103&lt;&gt;"",ISNA(MATCH(F103,dv_num,0))),"Devis inconnu",IF(AND(F103&lt;&gt;"",IFERROR(INDEX(dv_client,MATCH(F103,dv_num,0)),D103)&lt;&gt;D103),"Client différent de celui du devis",IF(AG103="","Aucune ligne : saisissez des lignes ou un devis",IF(AND(AI103&lt;&gt;"",COUNTIF($AI$6:AI103,AI103)&gt;1),"Devis déjà repris par une autre facture",IF(AND(AA103="Avoir",M103=""),"Avoir : indiquez la facture d'origine",IF(AND(AA103="Avoir",ISNA(MATCH(M103,fa_num,0))),"Facture d'origine inconnue",IF(AND(AA103&lt;&gt;"Avoir",M103&lt;&gt;""),"« Avoir sur facture » : réservé aux avoirs",IF(AND(L103&lt;&gt;"",AA103&lt;&gt;"Facture"),"Acompte à déduire : réservé aux factures",IF(AND(L103&lt;&gt;"",ISNA(MATCH(L103,fa_num,0))),"Facture d'acompte inconnue",IF(AND(L103&lt;&gt;"",IFERROR(INDEX(fa_type,MATCH(L103,fa_num,0)),"")&lt;&gt;"Facture d'acompte"),"Le n° à déduire n'est pas une facture d'acompte",IF(AND(L103&lt;&gt;"",COUNTIF($L$6:L103,L103)&gt;1),"Acompte déjà déduit sur une autre facture",IF(AND(L103&lt;&gt;"",IFERROR(INDEX(fa_client,MATCH(L103,fa_num,0)),D103)&lt;&gt;D103),"Acompte d'un autre client",IF(AND(AR103&lt;&gt;"",N(Q103)&lt;0),"Acompte supérieur au total de la facture",IF(IF(AG103="Facture",COUNTIFS(fl_doc,A103,fl_check,"&lt;&gt;OK"),IF(AG103="Devis",COUNTIFS(dl_doc,F103,dl_check,"&lt;&gt;OK"),0))&gt;0,"Ligne(s) à corriger",IF(AND(W103&lt;&gt;"",N(W103)&lt;0),"Trop-perçu : vérifiez paiements et avoirs","OK")))))))))))))))))))))</f>
        <v/>
      </c>
      <c r="AA103" s="62" t="str">
        <f>IF(COUNTA(B103:D103,F103:O103)&gt;0,IF(B103="","Facture",B103),"")</f>
        <v/>
      </c>
      <c r="AB103" s="62" t="str">
        <f>IF(AA103="","",IF(AA103="Avoir",p_pav,IF(AA103="Facture d'acompte",p_pac,p_pfa)))</f>
        <v/>
      </c>
      <c r="AC103" s="62">
        <f>IF(ISNUMBER(C103),C103,0)</f>
        <v>0.0</v>
      </c>
      <c r="AD103" s="62" t="str">
        <f>IF(OR(AA103="",AC103=0),"",YEAR(AC103))</f>
        <v/>
      </c>
      <c r="AE103" s="62" t="str">
        <f>IF(AD103="","",COUNTIFS($AB$6:AB103,AB103,$AD$6:AD103,AD103))</f>
        <v/>
      </c>
      <c r="AF103" s="62">
        <f>IF(A103="",0,COUNTIF(fl_doc,A103))</f>
        <v>0.0</v>
      </c>
      <c r="AG103" s="62" t="str">
        <f>IF(A103="","",IF(AF103&gt;0,"Facture",IF(AND(F103&lt;&gt;"",AA103="Facture",ISNUMBER(MATCH(F103,dv_num,0))),"Devis","")))</f>
        <v/>
      </c>
      <c r="AH103" s="62" t="str">
        <f>IF(AND(A103&lt;&gt;"",F103&lt;&gt;"",AA103&lt;&gt;"Avoir"),F103,"")</f>
        <v/>
      </c>
      <c r="AI103" s="62" t="str">
        <f>IF(AG103="Devis",F103,"")</f>
        <v/>
      </c>
      <c r="AJ103" s="62">
        <f>IF(AG103="Facture",SUMIF(fl_doc,A103,fl_ht),IF(AG103="Devis",SUMIF(dl_doc,F103,dl_ht),0))</f>
        <v>0.0</v>
      </c>
      <c r="AK103" s="62">
        <f>IF(OR(AG103="",INDEX(p_rates,1)=""),0,IF(AG103="Facture",SUMIFS(fl_ht,fl_doc,A103,fl_rate,INDEX(p_rates,1)),SUMIFS(dl_ht,dl_doc,F103,dl_rate,INDEX(p_rates,1))))</f>
        <v>0.0</v>
      </c>
      <c r="AL103" s="62">
        <f>IF(OR(AG103="",INDEX(p_rates,2)=""),0,IF(AG103="Facture",SUMIFS(fl_ht,fl_doc,A103,fl_rate,INDEX(p_rates,2)),SUMIFS(dl_ht,dl_doc,F103,dl_rate,INDEX(p_rates,2))))</f>
        <v>0.0</v>
      </c>
      <c r="AM103" s="62">
        <f>IF(OR(AG103="",INDEX(p_rates,3)=""),0,IF(AG103="Facture",SUMIFS(fl_ht,fl_doc,A103,fl_rate,INDEX(p_rates,3)),SUMIFS(dl_ht,dl_doc,F103,dl_rate,INDEX(p_rates,3))))</f>
        <v>0.0</v>
      </c>
      <c r="AN103" s="62">
        <f>IF(OR(AG103="",INDEX(p_rates,4)=""),0,IF(AG103="Facture",SUMIFS(fl_ht,fl_doc,A103,fl_rate,INDEX(p_rates,4)),SUMIFS(dl_ht,dl_doc,F103,dl_rate,INDEX(p_rates,4))))</f>
        <v>0.0</v>
      </c>
      <c r="AO103" s="62">
        <f>IF(OR(AG103="",INDEX(p_rates,5)=""),0,IF(AG103="Facture",SUMIFS(fl_ht,fl_doc,A103,fl_rate,INDEX(p_rates,5)),SUMIFS(dl_ht,dl_doc,F103,dl_rate,INDEX(p_rates,5))))</f>
        <v>0.0</v>
      </c>
      <c r="AP103" s="62">
        <f>IF(OR(AG103="",INDEX(p_rates,6)=""),0,IF(AG103="Facture",SUMIFS(fl_ht,fl_doc,A103,fl_rate,INDEX(p_rates,6)),SUMIFS(dl_ht,dl_doc,F103,dl_rate,INDEX(p_rates,6))))</f>
        <v>0.0</v>
      </c>
      <c r="AQ103" s="62">
        <f>ROUND(AK103*N(INDEX(p_rates,1)),2)+ROUND(AL103*N(INDEX(p_rates,2)),2)+ROUND(AM103*N(INDEX(p_rates,3)),2)+ROUND(AN103*N(INDEX(p_rates,4)),2)+ROUND(AO103*N(INDEX(p_rates,5)),2)+ROUND(AP103*N(INDEX(p_rates,6)),2)</f>
        <v>0.0</v>
      </c>
      <c r="AR103" s="62" t="str">
        <f>IF(OR(L103="",AA103&lt;&gt;"Facture"),"",IFERROR(IF(INDEX(fa_type,MATCH(L103,fa_num,0))="Facture d'acompte",MATCH(L103,fa_num,0),""),""))</f>
        <v/>
      </c>
      <c r="AS103" s="62" t="str">
        <f>IF(W103="","",IF(W103&lt;=0,"",IF(p_asof-P103&lt;=0,"Non échu",IF(p_asof-P103&lt;=30,"1-30 j",IF(p_asof-P103&lt;=60,"31-60 j",IF(p_asof-P103&lt;=90,"61-90 j","Plus de 90 j"))))))</f>
        <v/>
      </c>
      <c r="AT103" s="62" t="str">
        <f>IF(AS103="","",p_asof-P103)</f>
        <v/>
      </c>
      <c r="AU103" s="62" t="str">
        <f>IF(AT103="","",COUNTIF($AT$6:$AT$805,"&gt;"&amp;AT103)+COUNTIF($AT$6:AT103,AT103))</f>
        <v/>
      </c>
    </row>
    <row r="104">
      <c r="A104" s="59" t="str">
        <f>IF(AE104="","",AB104&amp;"-"&amp;AD104&amp;"-"&amp;RIGHT("000"&amp;AE104,4))</f>
        <v/>
      </c>
      <c r="B104" s="60" t="n"/>
      <c r="C104" s="61" t="n"/>
      <c r="D104" s="60" t="n"/>
      <c r="E104" s="62" t="str">
        <f>IF(D104="","",IFERROR(INDEX(cli_name,MATCH(D104,cli_code,0))&amp;"","Client inconnu"))</f>
        <v/>
      </c>
      <c r="F104" s="60" t="n"/>
      <c r="G104" s="63" t="n"/>
      <c r="H104" s="61" t="n"/>
      <c r="I104" s="63" t="n"/>
      <c r="J104" s="60" t="n"/>
      <c r="K104" s="61" t="n"/>
      <c r="L104" s="60" t="n"/>
      <c r="M104" s="60" t="n"/>
      <c r="N104" s="60" t="n"/>
      <c r="O104" s="61" t="n"/>
      <c r="P104" s="64" t="str">
        <f>IF(A104="","",IF(AA104="Avoir",AC104,IF(ISNUMBER(K104),K104,AC104+IF(D104="",N(p_delay),IFERROR(IF(ISNUMBER(INDEX(cli_delay,MATCH(D104,cli_code,0))),INDEX(cli_delay,MATCH(D104,cli_code,0)),N(p_delay)),N(p_delay))))))</f>
        <v/>
      </c>
      <c r="Q104" s="65" t="str">
        <f>IF(A104="","",IF(AA104="Avoir",-1,1)*ROUND(AJ104-IF(AR104="",0,INDEX(fa_htb,AR104)),2))</f>
        <v/>
      </c>
      <c r="R104" s="65" t="str">
        <f>IF(A104="","",IF(AA104="Avoir",-1,1)*ROUND(AQ104-IF(AR104="",0,INDEX(fa_tvab,AR104)),2))</f>
        <v/>
      </c>
      <c r="S104" s="65" t="str">
        <f>IF(A104="","",Q104+R104)</f>
        <v/>
      </c>
      <c r="T104" s="65" t="str">
        <f>IF(AR104="","",INDEX(fa_htb,AR104)+INDEX(fa_tvab,AR104))</f>
        <v/>
      </c>
      <c r="U104" s="65" t="str">
        <f>IF(A104="","",SUMIF(pa_inv,A104,pa_amt))</f>
        <v/>
      </c>
      <c r="V104" s="65" t="str">
        <f>IF(OR(A104="",AA104="Avoir"),"",-SUMIFS(fa_ttc,fa_avof,A104,fa_type,"Avoir"))</f>
        <v/>
      </c>
      <c r="W104" s="65" t="str">
        <f>IF(OR(A104="",AA104="Avoir"),"",ROUND(S104-U104-V104,2))</f>
        <v/>
      </c>
      <c r="X104" s="66" t="str">
        <f>IF(W104="","",IF(AND(W104&gt;0,p_asof&gt;P104),p_asof-P104,""))</f>
        <v/>
      </c>
      <c r="Y104" s="59" t="str">
        <f>IF(A104="","",IF(AA104="Avoir","Avoir",IF(W104&lt;0,"Trop-perçu",IF(W104=0,"Soldée",IF(p_asof&gt;P104,"En retard",IF(U104+V104&gt;0,"Partielle","À échoir"))))))</f>
        <v/>
      </c>
      <c r="Z104" s="59" t="str">
        <f>IF(NOT(COUNTA(B104:D104,F104:O104)&gt;0),"",IF(C104="","Date manquante",IF(NOT(ISNUMBER(C104)),"Date invalide",IF(D104="","Client manquant",IF(ISNA(MATCH(D104,cli_code,0)),"Client inconnu",IF(AC104&lt;SUMPRODUCT(MAX(($AB$6:AB103=AB104)*$AC$6:AC103)),"Date antérieure à la facture précédente",IF(AND(F104&lt;&gt;"",ISNA(MATCH(F104,dv_num,0))),"Devis inconnu",IF(AND(F104&lt;&gt;"",IFERROR(INDEX(dv_client,MATCH(F104,dv_num,0)),D104)&lt;&gt;D104),"Client différent de celui du devis",IF(AG104="","Aucune ligne : saisissez des lignes ou un devis",IF(AND(AI104&lt;&gt;"",COUNTIF($AI$6:AI104,AI104)&gt;1),"Devis déjà repris par une autre facture",IF(AND(AA104="Avoir",M104=""),"Avoir : indiquez la facture d'origine",IF(AND(AA104="Avoir",ISNA(MATCH(M104,fa_num,0))),"Facture d'origine inconnue",IF(AND(AA104&lt;&gt;"Avoir",M104&lt;&gt;""),"« Avoir sur facture » : réservé aux avoirs",IF(AND(L104&lt;&gt;"",AA104&lt;&gt;"Facture"),"Acompte à déduire : réservé aux factures",IF(AND(L104&lt;&gt;"",ISNA(MATCH(L104,fa_num,0))),"Facture d'acompte inconnue",IF(AND(L104&lt;&gt;"",IFERROR(INDEX(fa_type,MATCH(L104,fa_num,0)),"")&lt;&gt;"Facture d'acompte"),"Le n° à déduire n'est pas une facture d'acompte",IF(AND(L104&lt;&gt;"",COUNTIF($L$6:L104,L104)&gt;1),"Acompte déjà déduit sur une autre facture",IF(AND(L104&lt;&gt;"",IFERROR(INDEX(fa_client,MATCH(L104,fa_num,0)),D104)&lt;&gt;D104),"Acompte d'un autre client",IF(AND(AR104&lt;&gt;"",N(Q104)&lt;0),"Acompte supérieur au total de la facture",IF(IF(AG104="Facture",COUNTIFS(fl_doc,A104,fl_check,"&lt;&gt;OK"),IF(AG104="Devis",COUNTIFS(dl_doc,F104,dl_check,"&lt;&gt;OK"),0))&gt;0,"Ligne(s) à corriger",IF(AND(W104&lt;&gt;"",N(W104)&lt;0),"Trop-perçu : vérifiez paiements et avoirs","OK")))))))))))))))))))))</f>
        <v/>
      </c>
      <c r="AA104" s="62" t="str">
        <f>IF(COUNTA(B104:D104,F104:O104)&gt;0,IF(B104="","Facture",B104),"")</f>
        <v/>
      </c>
      <c r="AB104" s="62" t="str">
        <f>IF(AA104="","",IF(AA104="Avoir",p_pav,IF(AA104="Facture d'acompte",p_pac,p_pfa)))</f>
        <v/>
      </c>
      <c r="AC104" s="62">
        <f>IF(ISNUMBER(C104),C104,0)</f>
        <v>0.0</v>
      </c>
      <c r="AD104" s="62" t="str">
        <f>IF(OR(AA104="",AC104=0),"",YEAR(AC104))</f>
        <v/>
      </c>
      <c r="AE104" s="62" t="str">
        <f>IF(AD104="","",COUNTIFS($AB$6:AB104,AB104,$AD$6:AD104,AD104))</f>
        <v/>
      </c>
      <c r="AF104" s="62">
        <f>IF(A104="",0,COUNTIF(fl_doc,A104))</f>
        <v>0.0</v>
      </c>
      <c r="AG104" s="62" t="str">
        <f>IF(A104="","",IF(AF104&gt;0,"Facture",IF(AND(F104&lt;&gt;"",AA104="Facture",ISNUMBER(MATCH(F104,dv_num,0))),"Devis","")))</f>
        <v/>
      </c>
      <c r="AH104" s="62" t="str">
        <f>IF(AND(A104&lt;&gt;"",F104&lt;&gt;"",AA104&lt;&gt;"Avoir"),F104,"")</f>
        <v/>
      </c>
      <c r="AI104" s="62" t="str">
        <f>IF(AG104="Devis",F104,"")</f>
        <v/>
      </c>
      <c r="AJ104" s="62">
        <f>IF(AG104="Facture",SUMIF(fl_doc,A104,fl_ht),IF(AG104="Devis",SUMIF(dl_doc,F104,dl_ht),0))</f>
        <v>0.0</v>
      </c>
      <c r="AK104" s="62">
        <f>IF(OR(AG104="",INDEX(p_rates,1)=""),0,IF(AG104="Facture",SUMIFS(fl_ht,fl_doc,A104,fl_rate,INDEX(p_rates,1)),SUMIFS(dl_ht,dl_doc,F104,dl_rate,INDEX(p_rates,1))))</f>
        <v>0.0</v>
      </c>
      <c r="AL104" s="62">
        <f>IF(OR(AG104="",INDEX(p_rates,2)=""),0,IF(AG104="Facture",SUMIFS(fl_ht,fl_doc,A104,fl_rate,INDEX(p_rates,2)),SUMIFS(dl_ht,dl_doc,F104,dl_rate,INDEX(p_rates,2))))</f>
        <v>0.0</v>
      </c>
      <c r="AM104" s="62">
        <f>IF(OR(AG104="",INDEX(p_rates,3)=""),0,IF(AG104="Facture",SUMIFS(fl_ht,fl_doc,A104,fl_rate,INDEX(p_rates,3)),SUMIFS(dl_ht,dl_doc,F104,dl_rate,INDEX(p_rates,3))))</f>
        <v>0.0</v>
      </c>
      <c r="AN104" s="62">
        <f>IF(OR(AG104="",INDEX(p_rates,4)=""),0,IF(AG104="Facture",SUMIFS(fl_ht,fl_doc,A104,fl_rate,INDEX(p_rates,4)),SUMIFS(dl_ht,dl_doc,F104,dl_rate,INDEX(p_rates,4))))</f>
        <v>0.0</v>
      </c>
      <c r="AO104" s="62">
        <f>IF(OR(AG104="",INDEX(p_rates,5)=""),0,IF(AG104="Facture",SUMIFS(fl_ht,fl_doc,A104,fl_rate,INDEX(p_rates,5)),SUMIFS(dl_ht,dl_doc,F104,dl_rate,INDEX(p_rates,5))))</f>
        <v>0.0</v>
      </c>
      <c r="AP104" s="62">
        <f>IF(OR(AG104="",INDEX(p_rates,6)=""),0,IF(AG104="Facture",SUMIFS(fl_ht,fl_doc,A104,fl_rate,INDEX(p_rates,6)),SUMIFS(dl_ht,dl_doc,F104,dl_rate,INDEX(p_rates,6))))</f>
        <v>0.0</v>
      </c>
      <c r="AQ104" s="62">
        <f>ROUND(AK104*N(INDEX(p_rates,1)),2)+ROUND(AL104*N(INDEX(p_rates,2)),2)+ROUND(AM104*N(INDEX(p_rates,3)),2)+ROUND(AN104*N(INDEX(p_rates,4)),2)+ROUND(AO104*N(INDEX(p_rates,5)),2)+ROUND(AP104*N(INDEX(p_rates,6)),2)</f>
        <v>0.0</v>
      </c>
      <c r="AR104" s="62" t="str">
        <f>IF(OR(L104="",AA104&lt;&gt;"Facture"),"",IFERROR(IF(INDEX(fa_type,MATCH(L104,fa_num,0))="Facture d'acompte",MATCH(L104,fa_num,0),""),""))</f>
        <v/>
      </c>
      <c r="AS104" s="62" t="str">
        <f>IF(W104="","",IF(W104&lt;=0,"",IF(p_asof-P104&lt;=0,"Non échu",IF(p_asof-P104&lt;=30,"1-30 j",IF(p_asof-P104&lt;=60,"31-60 j",IF(p_asof-P104&lt;=90,"61-90 j","Plus de 90 j"))))))</f>
        <v/>
      </c>
      <c r="AT104" s="62" t="str">
        <f>IF(AS104="","",p_asof-P104)</f>
        <v/>
      </c>
      <c r="AU104" s="62" t="str">
        <f>IF(AT104="","",COUNTIF($AT$6:$AT$805,"&gt;"&amp;AT104)+COUNTIF($AT$6:AT104,AT104))</f>
        <v/>
      </c>
    </row>
    <row r="105">
      <c r="A105" s="59" t="str">
        <f>IF(AE105="","",AB105&amp;"-"&amp;AD105&amp;"-"&amp;RIGHT("000"&amp;AE105,4))</f>
        <v/>
      </c>
      <c r="B105" s="60" t="n"/>
      <c r="C105" s="61" t="n"/>
      <c r="D105" s="60" t="n"/>
      <c r="E105" s="62" t="str">
        <f>IF(D105="","",IFERROR(INDEX(cli_name,MATCH(D105,cli_code,0))&amp;"","Client inconnu"))</f>
        <v/>
      </c>
      <c r="F105" s="60" t="n"/>
      <c r="G105" s="63" t="n"/>
      <c r="H105" s="61" t="n"/>
      <c r="I105" s="63" t="n"/>
      <c r="J105" s="60" t="n"/>
      <c r="K105" s="61" t="n"/>
      <c r="L105" s="60" t="n"/>
      <c r="M105" s="60" t="n"/>
      <c r="N105" s="60" t="n"/>
      <c r="O105" s="61" t="n"/>
      <c r="P105" s="64" t="str">
        <f>IF(A105="","",IF(AA105="Avoir",AC105,IF(ISNUMBER(K105),K105,AC105+IF(D105="",N(p_delay),IFERROR(IF(ISNUMBER(INDEX(cli_delay,MATCH(D105,cli_code,0))),INDEX(cli_delay,MATCH(D105,cli_code,0)),N(p_delay)),N(p_delay))))))</f>
        <v/>
      </c>
      <c r="Q105" s="65" t="str">
        <f>IF(A105="","",IF(AA105="Avoir",-1,1)*ROUND(AJ105-IF(AR105="",0,INDEX(fa_htb,AR105)),2))</f>
        <v/>
      </c>
      <c r="R105" s="65" t="str">
        <f>IF(A105="","",IF(AA105="Avoir",-1,1)*ROUND(AQ105-IF(AR105="",0,INDEX(fa_tvab,AR105)),2))</f>
        <v/>
      </c>
      <c r="S105" s="65" t="str">
        <f>IF(A105="","",Q105+R105)</f>
        <v/>
      </c>
      <c r="T105" s="65" t="str">
        <f>IF(AR105="","",INDEX(fa_htb,AR105)+INDEX(fa_tvab,AR105))</f>
        <v/>
      </c>
      <c r="U105" s="65" t="str">
        <f>IF(A105="","",SUMIF(pa_inv,A105,pa_amt))</f>
        <v/>
      </c>
      <c r="V105" s="65" t="str">
        <f>IF(OR(A105="",AA105="Avoir"),"",-SUMIFS(fa_ttc,fa_avof,A105,fa_type,"Avoir"))</f>
        <v/>
      </c>
      <c r="W105" s="65" t="str">
        <f>IF(OR(A105="",AA105="Avoir"),"",ROUND(S105-U105-V105,2))</f>
        <v/>
      </c>
      <c r="X105" s="66" t="str">
        <f>IF(W105="","",IF(AND(W105&gt;0,p_asof&gt;P105),p_asof-P105,""))</f>
        <v/>
      </c>
      <c r="Y105" s="59" t="str">
        <f>IF(A105="","",IF(AA105="Avoir","Avoir",IF(W105&lt;0,"Trop-perçu",IF(W105=0,"Soldée",IF(p_asof&gt;P105,"En retard",IF(U105+V105&gt;0,"Partielle","À échoir"))))))</f>
        <v/>
      </c>
      <c r="Z105" s="59" t="str">
        <f>IF(NOT(COUNTA(B105:D105,F105:O105)&gt;0),"",IF(C105="","Date manquante",IF(NOT(ISNUMBER(C105)),"Date invalide",IF(D105="","Client manquant",IF(ISNA(MATCH(D105,cli_code,0)),"Client inconnu",IF(AC105&lt;SUMPRODUCT(MAX(($AB$6:AB104=AB105)*$AC$6:AC104)),"Date antérieure à la facture précédente",IF(AND(F105&lt;&gt;"",ISNA(MATCH(F105,dv_num,0))),"Devis inconnu",IF(AND(F105&lt;&gt;"",IFERROR(INDEX(dv_client,MATCH(F105,dv_num,0)),D105)&lt;&gt;D105),"Client différent de celui du devis",IF(AG105="","Aucune ligne : saisissez des lignes ou un devis",IF(AND(AI105&lt;&gt;"",COUNTIF($AI$6:AI105,AI105)&gt;1),"Devis déjà repris par une autre facture",IF(AND(AA105="Avoir",M105=""),"Avoir : indiquez la facture d'origine",IF(AND(AA105="Avoir",ISNA(MATCH(M105,fa_num,0))),"Facture d'origine inconnue",IF(AND(AA105&lt;&gt;"Avoir",M105&lt;&gt;""),"« Avoir sur facture » : réservé aux avoirs",IF(AND(L105&lt;&gt;"",AA105&lt;&gt;"Facture"),"Acompte à déduire : réservé aux factures",IF(AND(L105&lt;&gt;"",ISNA(MATCH(L105,fa_num,0))),"Facture d'acompte inconnue",IF(AND(L105&lt;&gt;"",IFERROR(INDEX(fa_type,MATCH(L105,fa_num,0)),"")&lt;&gt;"Facture d'acompte"),"Le n° à déduire n'est pas une facture d'acompte",IF(AND(L105&lt;&gt;"",COUNTIF($L$6:L105,L105)&gt;1),"Acompte déjà déduit sur une autre facture",IF(AND(L105&lt;&gt;"",IFERROR(INDEX(fa_client,MATCH(L105,fa_num,0)),D105)&lt;&gt;D105),"Acompte d'un autre client",IF(AND(AR105&lt;&gt;"",N(Q105)&lt;0),"Acompte supérieur au total de la facture",IF(IF(AG105="Facture",COUNTIFS(fl_doc,A105,fl_check,"&lt;&gt;OK"),IF(AG105="Devis",COUNTIFS(dl_doc,F105,dl_check,"&lt;&gt;OK"),0))&gt;0,"Ligne(s) à corriger",IF(AND(W105&lt;&gt;"",N(W105)&lt;0),"Trop-perçu : vérifiez paiements et avoirs","OK")))))))))))))))))))))</f>
        <v/>
      </c>
      <c r="AA105" s="62" t="str">
        <f>IF(COUNTA(B105:D105,F105:O105)&gt;0,IF(B105="","Facture",B105),"")</f>
        <v/>
      </c>
      <c r="AB105" s="62" t="str">
        <f>IF(AA105="","",IF(AA105="Avoir",p_pav,IF(AA105="Facture d'acompte",p_pac,p_pfa)))</f>
        <v/>
      </c>
      <c r="AC105" s="62">
        <f>IF(ISNUMBER(C105),C105,0)</f>
        <v>0.0</v>
      </c>
      <c r="AD105" s="62" t="str">
        <f>IF(OR(AA105="",AC105=0),"",YEAR(AC105))</f>
        <v/>
      </c>
      <c r="AE105" s="62" t="str">
        <f>IF(AD105="","",COUNTIFS($AB$6:AB105,AB105,$AD$6:AD105,AD105))</f>
        <v/>
      </c>
      <c r="AF105" s="62">
        <f>IF(A105="",0,COUNTIF(fl_doc,A105))</f>
        <v>0.0</v>
      </c>
      <c r="AG105" s="62" t="str">
        <f>IF(A105="","",IF(AF105&gt;0,"Facture",IF(AND(F105&lt;&gt;"",AA105="Facture",ISNUMBER(MATCH(F105,dv_num,0))),"Devis","")))</f>
        <v/>
      </c>
      <c r="AH105" s="62" t="str">
        <f>IF(AND(A105&lt;&gt;"",F105&lt;&gt;"",AA105&lt;&gt;"Avoir"),F105,"")</f>
        <v/>
      </c>
      <c r="AI105" s="62" t="str">
        <f>IF(AG105="Devis",F105,"")</f>
        <v/>
      </c>
      <c r="AJ105" s="62">
        <f>IF(AG105="Facture",SUMIF(fl_doc,A105,fl_ht),IF(AG105="Devis",SUMIF(dl_doc,F105,dl_ht),0))</f>
        <v>0.0</v>
      </c>
      <c r="AK105" s="62">
        <f>IF(OR(AG105="",INDEX(p_rates,1)=""),0,IF(AG105="Facture",SUMIFS(fl_ht,fl_doc,A105,fl_rate,INDEX(p_rates,1)),SUMIFS(dl_ht,dl_doc,F105,dl_rate,INDEX(p_rates,1))))</f>
        <v>0.0</v>
      </c>
      <c r="AL105" s="62">
        <f>IF(OR(AG105="",INDEX(p_rates,2)=""),0,IF(AG105="Facture",SUMIFS(fl_ht,fl_doc,A105,fl_rate,INDEX(p_rates,2)),SUMIFS(dl_ht,dl_doc,F105,dl_rate,INDEX(p_rates,2))))</f>
        <v>0.0</v>
      </c>
      <c r="AM105" s="62">
        <f>IF(OR(AG105="",INDEX(p_rates,3)=""),0,IF(AG105="Facture",SUMIFS(fl_ht,fl_doc,A105,fl_rate,INDEX(p_rates,3)),SUMIFS(dl_ht,dl_doc,F105,dl_rate,INDEX(p_rates,3))))</f>
        <v>0.0</v>
      </c>
      <c r="AN105" s="62">
        <f>IF(OR(AG105="",INDEX(p_rates,4)=""),0,IF(AG105="Facture",SUMIFS(fl_ht,fl_doc,A105,fl_rate,INDEX(p_rates,4)),SUMIFS(dl_ht,dl_doc,F105,dl_rate,INDEX(p_rates,4))))</f>
        <v>0.0</v>
      </c>
      <c r="AO105" s="62">
        <f>IF(OR(AG105="",INDEX(p_rates,5)=""),0,IF(AG105="Facture",SUMIFS(fl_ht,fl_doc,A105,fl_rate,INDEX(p_rates,5)),SUMIFS(dl_ht,dl_doc,F105,dl_rate,INDEX(p_rates,5))))</f>
        <v>0.0</v>
      </c>
      <c r="AP105" s="62">
        <f>IF(OR(AG105="",INDEX(p_rates,6)=""),0,IF(AG105="Facture",SUMIFS(fl_ht,fl_doc,A105,fl_rate,INDEX(p_rates,6)),SUMIFS(dl_ht,dl_doc,F105,dl_rate,INDEX(p_rates,6))))</f>
        <v>0.0</v>
      </c>
      <c r="AQ105" s="62">
        <f>ROUND(AK105*N(INDEX(p_rates,1)),2)+ROUND(AL105*N(INDEX(p_rates,2)),2)+ROUND(AM105*N(INDEX(p_rates,3)),2)+ROUND(AN105*N(INDEX(p_rates,4)),2)+ROUND(AO105*N(INDEX(p_rates,5)),2)+ROUND(AP105*N(INDEX(p_rates,6)),2)</f>
        <v>0.0</v>
      </c>
      <c r="AR105" s="62" t="str">
        <f>IF(OR(L105="",AA105&lt;&gt;"Facture"),"",IFERROR(IF(INDEX(fa_type,MATCH(L105,fa_num,0))="Facture d'acompte",MATCH(L105,fa_num,0),""),""))</f>
        <v/>
      </c>
      <c r="AS105" s="62" t="str">
        <f>IF(W105="","",IF(W105&lt;=0,"",IF(p_asof-P105&lt;=0,"Non échu",IF(p_asof-P105&lt;=30,"1-30 j",IF(p_asof-P105&lt;=60,"31-60 j",IF(p_asof-P105&lt;=90,"61-90 j","Plus de 90 j"))))))</f>
        <v/>
      </c>
      <c r="AT105" s="62" t="str">
        <f>IF(AS105="","",p_asof-P105)</f>
        <v/>
      </c>
      <c r="AU105" s="62" t="str">
        <f>IF(AT105="","",COUNTIF($AT$6:$AT$805,"&gt;"&amp;AT105)+COUNTIF($AT$6:AT105,AT105))</f>
        <v/>
      </c>
    </row>
    <row r="106">
      <c r="A106" s="59" t="str">
        <f>IF(AE106="","",AB106&amp;"-"&amp;AD106&amp;"-"&amp;RIGHT("000"&amp;AE106,4))</f>
        <v/>
      </c>
      <c r="B106" s="60" t="n"/>
      <c r="C106" s="61" t="n"/>
      <c r="D106" s="60" t="n"/>
      <c r="E106" s="62" t="str">
        <f>IF(D106="","",IFERROR(INDEX(cli_name,MATCH(D106,cli_code,0))&amp;"","Client inconnu"))</f>
        <v/>
      </c>
      <c r="F106" s="60" t="n"/>
      <c r="G106" s="63" t="n"/>
      <c r="H106" s="61" t="n"/>
      <c r="I106" s="63" t="n"/>
      <c r="J106" s="60" t="n"/>
      <c r="K106" s="61" t="n"/>
      <c r="L106" s="60" t="n"/>
      <c r="M106" s="60" t="n"/>
      <c r="N106" s="60" t="n"/>
      <c r="O106" s="61" t="n"/>
      <c r="P106" s="64" t="str">
        <f>IF(A106="","",IF(AA106="Avoir",AC106,IF(ISNUMBER(K106),K106,AC106+IF(D106="",N(p_delay),IFERROR(IF(ISNUMBER(INDEX(cli_delay,MATCH(D106,cli_code,0))),INDEX(cli_delay,MATCH(D106,cli_code,0)),N(p_delay)),N(p_delay))))))</f>
        <v/>
      </c>
      <c r="Q106" s="65" t="str">
        <f>IF(A106="","",IF(AA106="Avoir",-1,1)*ROUND(AJ106-IF(AR106="",0,INDEX(fa_htb,AR106)),2))</f>
        <v/>
      </c>
      <c r="R106" s="65" t="str">
        <f>IF(A106="","",IF(AA106="Avoir",-1,1)*ROUND(AQ106-IF(AR106="",0,INDEX(fa_tvab,AR106)),2))</f>
        <v/>
      </c>
      <c r="S106" s="65" t="str">
        <f>IF(A106="","",Q106+R106)</f>
        <v/>
      </c>
      <c r="T106" s="65" t="str">
        <f>IF(AR106="","",INDEX(fa_htb,AR106)+INDEX(fa_tvab,AR106))</f>
        <v/>
      </c>
      <c r="U106" s="65" t="str">
        <f>IF(A106="","",SUMIF(pa_inv,A106,pa_amt))</f>
        <v/>
      </c>
      <c r="V106" s="65" t="str">
        <f>IF(OR(A106="",AA106="Avoir"),"",-SUMIFS(fa_ttc,fa_avof,A106,fa_type,"Avoir"))</f>
        <v/>
      </c>
      <c r="W106" s="65" t="str">
        <f>IF(OR(A106="",AA106="Avoir"),"",ROUND(S106-U106-V106,2))</f>
        <v/>
      </c>
      <c r="X106" s="66" t="str">
        <f>IF(W106="","",IF(AND(W106&gt;0,p_asof&gt;P106),p_asof-P106,""))</f>
        <v/>
      </c>
      <c r="Y106" s="59" t="str">
        <f>IF(A106="","",IF(AA106="Avoir","Avoir",IF(W106&lt;0,"Trop-perçu",IF(W106=0,"Soldée",IF(p_asof&gt;P106,"En retard",IF(U106+V106&gt;0,"Partielle","À échoir"))))))</f>
        <v/>
      </c>
      <c r="Z106" s="59" t="str">
        <f>IF(NOT(COUNTA(B106:D106,F106:O106)&gt;0),"",IF(C106="","Date manquante",IF(NOT(ISNUMBER(C106)),"Date invalide",IF(D106="","Client manquant",IF(ISNA(MATCH(D106,cli_code,0)),"Client inconnu",IF(AC106&lt;SUMPRODUCT(MAX(($AB$6:AB105=AB106)*$AC$6:AC105)),"Date antérieure à la facture précédente",IF(AND(F106&lt;&gt;"",ISNA(MATCH(F106,dv_num,0))),"Devis inconnu",IF(AND(F106&lt;&gt;"",IFERROR(INDEX(dv_client,MATCH(F106,dv_num,0)),D106)&lt;&gt;D106),"Client différent de celui du devis",IF(AG106="","Aucune ligne : saisissez des lignes ou un devis",IF(AND(AI106&lt;&gt;"",COUNTIF($AI$6:AI106,AI106)&gt;1),"Devis déjà repris par une autre facture",IF(AND(AA106="Avoir",M106=""),"Avoir : indiquez la facture d'origine",IF(AND(AA106="Avoir",ISNA(MATCH(M106,fa_num,0))),"Facture d'origine inconnue",IF(AND(AA106&lt;&gt;"Avoir",M106&lt;&gt;""),"« Avoir sur facture » : réservé aux avoirs",IF(AND(L106&lt;&gt;"",AA106&lt;&gt;"Facture"),"Acompte à déduire : réservé aux factures",IF(AND(L106&lt;&gt;"",ISNA(MATCH(L106,fa_num,0))),"Facture d'acompte inconnue",IF(AND(L106&lt;&gt;"",IFERROR(INDEX(fa_type,MATCH(L106,fa_num,0)),"")&lt;&gt;"Facture d'acompte"),"Le n° à déduire n'est pas une facture d'acompte",IF(AND(L106&lt;&gt;"",COUNTIF($L$6:L106,L106)&gt;1),"Acompte déjà déduit sur une autre facture",IF(AND(L106&lt;&gt;"",IFERROR(INDEX(fa_client,MATCH(L106,fa_num,0)),D106)&lt;&gt;D106),"Acompte d'un autre client",IF(AND(AR106&lt;&gt;"",N(Q106)&lt;0),"Acompte supérieur au total de la facture",IF(IF(AG106="Facture",COUNTIFS(fl_doc,A106,fl_check,"&lt;&gt;OK"),IF(AG106="Devis",COUNTIFS(dl_doc,F106,dl_check,"&lt;&gt;OK"),0))&gt;0,"Ligne(s) à corriger",IF(AND(W106&lt;&gt;"",N(W106)&lt;0),"Trop-perçu : vérifiez paiements et avoirs","OK")))))))))))))))))))))</f>
        <v/>
      </c>
      <c r="AA106" s="62" t="str">
        <f>IF(COUNTA(B106:D106,F106:O106)&gt;0,IF(B106="","Facture",B106),"")</f>
        <v/>
      </c>
      <c r="AB106" s="62" t="str">
        <f>IF(AA106="","",IF(AA106="Avoir",p_pav,IF(AA106="Facture d'acompte",p_pac,p_pfa)))</f>
        <v/>
      </c>
      <c r="AC106" s="62">
        <f>IF(ISNUMBER(C106),C106,0)</f>
        <v>0.0</v>
      </c>
      <c r="AD106" s="62" t="str">
        <f>IF(OR(AA106="",AC106=0),"",YEAR(AC106))</f>
        <v/>
      </c>
      <c r="AE106" s="62" t="str">
        <f>IF(AD106="","",COUNTIFS($AB$6:AB106,AB106,$AD$6:AD106,AD106))</f>
        <v/>
      </c>
      <c r="AF106" s="62">
        <f>IF(A106="",0,COUNTIF(fl_doc,A106))</f>
        <v>0.0</v>
      </c>
      <c r="AG106" s="62" t="str">
        <f>IF(A106="","",IF(AF106&gt;0,"Facture",IF(AND(F106&lt;&gt;"",AA106="Facture",ISNUMBER(MATCH(F106,dv_num,0))),"Devis","")))</f>
        <v/>
      </c>
      <c r="AH106" s="62" t="str">
        <f>IF(AND(A106&lt;&gt;"",F106&lt;&gt;"",AA106&lt;&gt;"Avoir"),F106,"")</f>
        <v/>
      </c>
      <c r="AI106" s="62" t="str">
        <f>IF(AG106="Devis",F106,"")</f>
        <v/>
      </c>
      <c r="AJ106" s="62">
        <f>IF(AG106="Facture",SUMIF(fl_doc,A106,fl_ht),IF(AG106="Devis",SUMIF(dl_doc,F106,dl_ht),0))</f>
        <v>0.0</v>
      </c>
      <c r="AK106" s="62">
        <f>IF(OR(AG106="",INDEX(p_rates,1)=""),0,IF(AG106="Facture",SUMIFS(fl_ht,fl_doc,A106,fl_rate,INDEX(p_rates,1)),SUMIFS(dl_ht,dl_doc,F106,dl_rate,INDEX(p_rates,1))))</f>
        <v>0.0</v>
      </c>
      <c r="AL106" s="62">
        <f>IF(OR(AG106="",INDEX(p_rates,2)=""),0,IF(AG106="Facture",SUMIFS(fl_ht,fl_doc,A106,fl_rate,INDEX(p_rates,2)),SUMIFS(dl_ht,dl_doc,F106,dl_rate,INDEX(p_rates,2))))</f>
        <v>0.0</v>
      </c>
      <c r="AM106" s="62">
        <f>IF(OR(AG106="",INDEX(p_rates,3)=""),0,IF(AG106="Facture",SUMIFS(fl_ht,fl_doc,A106,fl_rate,INDEX(p_rates,3)),SUMIFS(dl_ht,dl_doc,F106,dl_rate,INDEX(p_rates,3))))</f>
        <v>0.0</v>
      </c>
      <c r="AN106" s="62">
        <f>IF(OR(AG106="",INDEX(p_rates,4)=""),0,IF(AG106="Facture",SUMIFS(fl_ht,fl_doc,A106,fl_rate,INDEX(p_rates,4)),SUMIFS(dl_ht,dl_doc,F106,dl_rate,INDEX(p_rates,4))))</f>
        <v>0.0</v>
      </c>
      <c r="AO106" s="62">
        <f>IF(OR(AG106="",INDEX(p_rates,5)=""),0,IF(AG106="Facture",SUMIFS(fl_ht,fl_doc,A106,fl_rate,INDEX(p_rates,5)),SUMIFS(dl_ht,dl_doc,F106,dl_rate,INDEX(p_rates,5))))</f>
        <v>0.0</v>
      </c>
      <c r="AP106" s="62">
        <f>IF(OR(AG106="",INDEX(p_rates,6)=""),0,IF(AG106="Facture",SUMIFS(fl_ht,fl_doc,A106,fl_rate,INDEX(p_rates,6)),SUMIFS(dl_ht,dl_doc,F106,dl_rate,INDEX(p_rates,6))))</f>
        <v>0.0</v>
      </c>
      <c r="AQ106" s="62">
        <f>ROUND(AK106*N(INDEX(p_rates,1)),2)+ROUND(AL106*N(INDEX(p_rates,2)),2)+ROUND(AM106*N(INDEX(p_rates,3)),2)+ROUND(AN106*N(INDEX(p_rates,4)),2)+ROUND(AO106*N(INDEX(p_rates,5)),2)+ROUND(AP106*N(INDEX(p_rates,6)),2)</f>
        <v>0.0</v>
      </c>
      <c r="AR106" s="62" t="str">
        <f>IF(OR(L106="",AA106&lt;&gt;"Facture"),"",IFERROR(IF(INDEX(fa_type,MATCH(L106,fa_num,0))="Facture d'acompte",MATCH(L106,fa_num,0),""),""))</f>
        <v/>
      </c>
      <c r="AS106" s="62" t="str">
        <f>IF(W106="","",IF(W106&lt;=0,"",IF(p_asof-P106&lt;=0,"Non échu",IF(p_asof-P106&lt;=30,"1-30 j",IF(p_asof-P106&lt;=60,"31-60 j",IF(p_asof-P106&lt;=90,"61-90 j","Plus de 90 j"))))))</f>
        <v/>
      </c>
      <c r="AT106" s="62" t="str">
        <f>IF(AS106="","",p_asof-P106)</f>
        <v/>
      </c>
      <c r="AU106" s="62" t="str">
        <f>IF(AT106="","",COUNTIF($AT$6:$AT$805,"&gt;"&amp;AT106)+COUNTIF($AT$6:AT106,AT106))</f>
        <v/>
      </c>
    </row>
    <row r="107">
      <c r="A107" s="59" t="str">
        <f>IF(AE107="","",AB107&amp;"-"&amp;AD107&amp;"-"&amp;RIGHT("000"&amp;AE107,4))</f>
        <v/>
      </c>
      <c r="B107" s="60" t="n"/>
      <c r="C107" s="61" t="n"/>
      <c r="D107" s="60" t="n"/>
      <c r="E107" s="62" t="str">
        <f>IF(D107="","",IFERROR(INDEX(cli_name,MATCH(D107,cli_code,0))&amp;"","Client inconnu"))</f>
        <v/>
      </c>
      <c r="F107" s="60" t="n"/>
      <c r="G107" s="63" t="n"/>
      <c r="H107" s="61" t="n"/>
      <c r="I107" s="63" t="n"/>
      <c r="J107" s="60" t="n"/>
      <c r="K107" s="61" t="n"/>
      <c r="L107" s="60" t="n"/>
      <c r="M107" s="60" t="n"/>
      <c r="N107" s="60" t="n"/>
      <c r="O107" s="61" t="n"/>
      <c r="P107" s="64" t="str">
        <f>IF(A107="","",IF(AA107="Avoir",AC107,IF(ISNUMBER(K107),K107,AC107+IF(D107="",N(p_delay),IFERROR(IF(ISNUMBER(INDEX(cli_delay,MATCH(D107,cli_code,0))),INDEX(cli_delay,MATCH(D107,cli_code,0)),N(p_delay)),N(p_delay))))))</f>
        <v/>
      </c>
      <c r="Q107" s="65" t="str">
        <f>IF(A107="","",IF(AA107="Avoir",-1,1)*ROUND(AJ107-IF(AR107="",0,INDEX(fa_htb,AR107)),2))</f>
        <v/>
      </c>
      <c r="R107" s="65" t="str">
        <f>IF(A107="","",IF(AA107="Avoir",-1,1)*ROUND(AQ107-IF(AR107="",0,INDEX(fa_tvab,AR107)),2))</f>
        <v/>
      </c>
      <c r="S107" s="65" t="str">
        <f>IF(A107="","",Q107+R107)</f>
        <v/>
      </c>
      <c r="T107" s="65" t="str">
        <f>IF(AR107="","",INDEX(fa_htb,AR107)+INDEX(fa_tvab,AR107))</f>
        <v/>
      </c>
      <c r="U107" s="65" t="str">
        <f>IF(A107="","",SUMIF(pa_inv,A107,pa_amt))</f>
        <v/>
      </c>
      <c r="V107" s="65" t="str">
        <f>IF(OR(A107="",AA107="Avoir"),"",-SUMIFS(fa_ttc,fa_avof,A107,fa_type,"Avoir"))</f>
        <v/>
      </c>
      <c r="W107" s="65" t="str">
        <f>IF(OR(A107="",AA107="Avoir"),"",ROUND(S107-U107-V107,2))</f>
        <v/>
      </c>
      <c r="X107" s="66" t="str">
        <f>IF(W107="","",IF(AND(W107&gt;0,p_asof&gt;P107),p_asof-P107,""))</f>
        <v/>
      </c>
      <c r="Y107" s="59" t="str">
        <f>IF(A107="","",IF(AA107="Avoir","Avoir",IF(W107&lt;0,"Trop-perçu",IF(W107=0,"Soldée",IF(p_asof&gt;P107,"En retard",IF(U107+V107&gt;0,"Partielle","À échoir"))))))</f>
        <v/>
      </c>
      <c r="Z107" s="59" t="str">
        <f>IF(NOT(COUNTA(B107:D107,F107:O107)&gt;0),"",IF(C107="","Date manquante",IF(NOT(ISNUMBER(C107)),"Date invalide",IF(D107="","Client manquant",IF(ISNA(MATCH(D107,cli_code,0)),"Client inconnu",IF(AC107&lt;SUMPRODUCT(MAX(($AB$6:AB106=AB107)*$AC$6:AC106)),"Date antérieure à la facture précédente",IF(AND(F107&lt;&gt;"",ISNA(MATCH(F107,dv_num,0))),"Devis inconnu",IF(AND(F107&lt;&gt;"",IFERROR(INDEX(dv_client,MATCH(F107,dv_num,0)),D107)&lt;&gt;D107),"Client différent de celui du devis",IF(AG107="","Aucune ligne : saisissez des lignes ou un devis",IF(AND(AI107&lt;&gt;"",COUNTIF($AI$6:AI107,AI107)&gt;1),"Devis déjà repris par une autre facture",IF(AND(AA107="Avoir",M107=""),"Avoir : indiquez la facture d'origine",IF(AND(AA107="Avoir",ISNA(MATCH(M107,fa_num,0))),"Facture d'origine inconnue",IF(AND(AA107&lt;&gt;"Avoir",M107&lt;&gt;""),"« Avoir sur facture » : réservé aux avoirs",IF(AND(L107&lt;&gt;"",AA107&lt;&gt;"Facture"),"Acompte à déduire : réservé aux factures",IF(AND(L107&lt;&gt;"",ISNA(MATCH(L107,fa_num,0))),"Facture d'acompte inconnue",IF(AND(L107&lt;&gt;"",IFERROR(INDEX(fa_type,MATCH(L107,fa_num,0)),"")&lt;&gt;"Facture d'acompte"),"Le n° à déduire n'est pas une facture d'acompte",IF(AND(L107&lt;&gt;"",COUNTIF($L$6:L107,L107)&gt;1),"Acompte déjà déduit sur une autre facture",IF(AND(L107&lt;&gt;"",IFERROR(INDEX(fa_client,MATCH(L107,fa_num,0)),D107)&lt;&gt;D107),"Acompte d'un autre client",IF(AND(AR107&lt;&gt;"",N(Q107)&lt;0),"Acompte supérieur au total de la facture",IF(IF(AG107="Facture",COUNTIFS(fl_doc,A107,fl_check,"&lt;&gt;OK"),IF(AG107="Devis",COUNTIFS(dl_doc,F107,dl_check,"&lt;&gt;OK"),0))&gt;0,"Ligne(s) à corriger",IF(AND(W107&lt;&gt;"",N(W107)&lt;0),"Trop-perçu : vérifiez paiements et avoirs","OK")))))))))))))))))))))</f>
        <v/>
      </c>
      <c r="AA107" s="62" t="str">
        <f>IF(COUNTA(B107:D107,F107:O107)&gt;0,IF(B107="","Facture",B107),"")</f>
        <v/>
      </c>
      <c r="AB107" s="62" t="str">
        <f>IF(AA107="","",IF(AA107="Avoir",p_pav,IF(AA107="Facture d'acompte",p_pac,p_pfa)))</f>
        <v/>
      </c>
      <c r="AC107" s="62">
        <f>IF(ISNUMBER(C107),C107,0)</f>
        <v>0.0</v>
      </c>
      <c r="AD107" s="62" t="str">
        <f>IF(OR(AA107="",AC107=0),"",YEAR(AC107))</f>
        <v/>
      </c>
      <c r="AE107" s="62" t="str">
        <f>IF(AD107="","",COUNTIFS($AB$6:AB107,AB107,$AD$6:AD107,AD107))</f>
        <v/>
      </c>
      <c r="AF107" s="62">
        <f>IF(A107="",0,COUNTIF(fl_doc,A107))</f>
        <v>0.0</v>
      </c>
      <c r="AG107" s="62" t="str">
        <f>IF(A107="","",IF(AF107&gt;0,"Facture",IF(AND(F107&lt;&gt;"",AA107="Facture",ISNUMBER(MATCH(F107,dv_num,0))),"Devis","")))</f>
        <v/>
      </c>
      <c r="AH107" s="62" t="str">
        <f>IF(AND(A107&lt;&gt;"",F107&lt;&gt;"",AA107&lt;&gt;"Avoir"),F107,"")</f>
        <v/>
      </c>
      <c r="AI107" s="62" t="str">
        <f>IF(AG107="Devis",F107,"")</f>
        <v/>
      </c>
      <c r="AJ107" s="62">
        <f>IF(AG107="Facture",SUMIF(fl_doc,A107,fl_ht),IF(AG107="Devis",SUMIF(dl_doc,F107,dl_ht),0))</f>
        <v>0.0</v>
      </c>
      <c r="AK107" s="62">
        <f>IF(OR(AG107="",INDEX(p_rates,1)=""),0,IF(AG107="Facture",SUMIFS(fl_ht,fl_doc,A107,fl_rate,INDEX(p_rates,1)),SUMIFS(dl_ht,dl_doc,F107,dl_rate,INDEX(p_rates,1))))</f>
        <v>0.0</v>
      </c>
      <c r="AL107" s="62">
        <f>IF(OR(AG107="",INDEX(p_rates,2)=""),0,IF(AG107="Facture",SUMIFS(fl_ht,fl_doc,A107,fl_rate,INDEX(p_rates,2)),SUMIFS(dl_ht,dl_doc,F107,dl_rate,INDEX(p_rates,2))))</f>
        <v>0.0</v>
      </c>
      <c r="AM107" s="62">
        <f>IF(OR(AG107="",INDEX(p_rates,3)=""),0,IF(AG107="Facture",SUMIFS(fl_ht,fl_doc,A107,fl_rate,INDEX(p_rates,3)),SUMIFS(dl_ht,dl_doc,F107,dl_rate,INDEX(p_rates,3))))</f>
        <v>0.0</v>
      </c>
      <c r="AN107" s="62">
        <f>IF(OR(AG107="",INDEX(p_rates,4)=""),0,IF(AG107="Facture",SUMIFS(fl_ht,fl_doc,A107,fl_rate,INDEX(p_rates,4)),SUMIFS(dl_ht,dl_doc,F107,dl_rate,INDEX(p_rates,4))))</f>
        <v>0.0</v>
      </c>
      <c r="AO107" s="62">
        <f>IF(OR(AG107="",INDEX(p_rates,5)=""),0,IF(AG107="Facture",SUMIFS(fl_ht,fl_doc,A107,fl_rate,INDEX(p_rates,5)),SUMIFS(dl_ht,dl_doc,F107,dl_rate,INDEX(p_rates,5))))</f>
        <v>0.0</v>
      </c>
      <c r="AP107" s="62">
        <f>IF(OR(AG107="",INDEX(p_rates,6)=""),0,IF(AG107="Facture",SUMIFS(fl_ht,fl_doc,A107,fl_rate,INDEX(p_rates,6)),SUMIFS(dl_ht,dl_doc,F107,dl_rate,INDEX(p_rates,6))))</f>
        <v>0.0</v>
      </c>
      <c r="AQ107" s="62">
        <f>ROUND(AK107*N(INDEX(p_rates,1)),2)+ROUND(AL107*N(INDEX(p_rates,2)),2)+ROUND(AM107*N(INDEX(p_rates,3)),2)+ROUND(AN107*N(INDEX(p_rates,4)),2)+ROUND(AO107*N(INDEX(p_rates,5)),2)+ROUND(AP107*N(INDEX(p_rates,6)),2)</f>
        <v>0.0</v>
      </c>
      <c r="AR107" s="62" t="str">
        <f>IF(OR(L107="",AA107&lt;&gt;"Facture"),"",IFERROR(IF(INDEX(fa_type,MATCH(L107,fa_num,0))="Facture d'acompte",MATCH(L107,fa_num,0),""),""))</f>
        <v/>
      </c>
      <c r="AS107" s="62" t="str">
        <f>IF(W107="","",IF(W107&lt;=0,"",IF(p_asof-P107&lt;=0,"Non échu",IF(p_asof-P107&lt;=30,"1-30 j",IF(p_asof-P107&lt;=60,"31-60 j",IF(p_asof-P107&lt;=90,"61-90 j","Plus de 90 j"))))))</f>
        <v/>
      </c>
      <c r="AT107" s="62" t="str">
        <f>IF(AS107="","",p_asof-P107)</f>
        <v/>
      </c>
      <c r="AU107" s="62" t="str">
        <f>IF(AT107="","",COUNTIF($AT$6:$AT$805,"&gt;"&amp;AT107)+COUNTIF($AT$6:AT107,AT107))</f>
        <v/>
      </c>
    </row>
    <row r="108">
      <c r="A108" s="59" t="str">
        <f>IF(AE108="","",AB108&amp;"-"&amp;AD108&amp;"-"&amp;RIGHT("000"&amp;AE108,4))</f>
        <v/>
      </c>
      <c r="B108" s="60" t="n"/>
      <c r="C108" s="61" t="n"/>
      <c r="D108" s="60" t="n"/>
      <c r="E108" s="62" t="str">
        <f>IF(D108="","",IFERROR(INDEX(cli_name,MATCH(D108,cli_code,0))&amp;"","Client inconnu"))</f>
        <v/>
      </c>
      <c r="F108" s="60" t="n"/>
      <c r="G108" s="63" t="n"/>
      <c r="H108" s="61" t="n"/>
      <c r="I108" s="63" t="n"/>
      <c r="J108" s="60" t="n"/>
      <c r="K108" s="61" t="n"/>
      <c r="L108" s="60" t="n"/>
      <c r="M108" s="60" t="n"/>
      <c r="N108" s="60" t="n"/>
      <c r="O108" s="61" t="n"/>
      <c r="P108" s="64" t="str">
        <f>IF(A108="","",IF(AA108="Avoir",AC108,IF(ISNUMBER(K108),K108,AC108+IF(D108="",N(p_delay),IFERROR(IF(ISNUMBER(INDEX(cli_delay,MATCH(D108,cli_code,0))),INDEX(cli_delay,MATCH(D108,cli_code,0)),N(p_delay)),N(p_delay))))))</f>
        <v/>
      </c>
      <c r="Q108" s="65" t="str">
        <f>IF(A108="","",IF(AA108="Avoir",-1,1)*ROUND(AJ108-IF(AR108="",0,INDEX(fa_htb,AR108)),2))</f>
        <v/>
      </c>
      <c r="R108" s="65" t="str">
        <f>IF(A108="","",IF(AA108="Avoir",-1,1)*ROUND(AQ108-IF(AR108="",0,INDEX(fa_tvab,AR108)),2))</f>
        <v/>
      </c>
      <c r="S108" s="65" t="str">
        <f>IF(A108="","",Q108+R108)</f>
        <v/>
      </c>
      <c r="T108" s="65" t="str">
        <f>IF(AR108="","",INDEX(fa_htb,AR108)+INDEX(fa_tvab,AR108))</f>
        <v/>
      </c>
      <c r="U108" s="65" t="str">
        <f>IF(A108="","",SUMIF(pa_inv,A108,pa_amt))</f>
        <v/>
      </c>
      <c r="V108" s="65" t="str">
        <f>IF(OR(A108="",AA108="Avoir"),"",-SUMIFS(fa_ttc,fa_avof,A108,fa_type,"Avoir"))</f>
        <v/>
      </c>
      <c r="W108" s="65" t="str">
        <f>IF(OR(A108="",AA108="Avoir"),"",ROUND(S108-U108-V108,2))</f>
        <v/>
      </c>
      <c r="X108" s="66" t="str">
        <f>IF(W108="","",IF(AND(W108&gt;0,p_asof&gt;P108),p_asof-P108,""))</f>
        <v/>
      </c>
      <c r="Y108" s="59" t="str">
        <f>IF(A108="","",IF(AA108="Avoir","Avoir",IF(W108&lt;0,"Trop-perçu",IF(W108=0,"Soldée",IF(p_asof&gt;P108,"En retard",IF(U108+V108&gt;0,"Partielle","À échoir"))))))</f>
        <v/>
      </c>
      <c r="Z108" s="59" t="str">
        <f>IF(NOT(COUNTA(B108:D108,F108:O108)&gt;0),"",IF(C108="","Date manquante",IF(NOT(ISNUMBER(C108)),"Date invalide",IF(D108="","Client manquant",IF(ISNA(MATCH(D108,cli_code,0)),"Client inconnu",IF(AC108&lt;SUMPRODUCT(MAX(($AB$6:AB107=AB108)*$AC$6:AC107)),"Date antérieure à la facture précédente",IF(AND(F108&lt;&gt;"",ISNA(MATCH(F108,dv_num,0))),"Devis inconnu",IF(AND(F108&lt;&gt;"",IFERROR(INDEX(dv_client,MATCH(F108,dv_num,0)),D108)&lt;&gt;D108),"Client différent de celui du devis",IF(AG108="","Aucune ligne : saisissez des lignes ou un devis",IF(AND(AI108&lt;&gt;"",COUNTIF($AI$6:AI108,AI108)&gt;1),"Devis déjà repris par une autre facture",IF(AND(AA108="Avoir",M108=""),"Avoir : indiquez la facture d'origine",IF(AND(AA108="Avoir",ISNA(MATCH(M108,fa_num,0))),"Facture d'origine inconnue",IF(AND(AA108&lt;&gt;"Avoir",M108&lt;&gt;""),"« Avoir sur facture » : réservé aux avoirs",IF(AND(L108&lt;&gt;"",AA108&lt;&gt;"Facture"),"Acompte à déduire : réservé aux factures",IF(AND(L108&lt;&gt;"",ISNA(MATCH(L108,fa_num,0))),"Facture d'acompte inconnue",IF(AND(L108&lt;&gt;"",IFERROR(INDEX(fa_type,MATCH(L108,fa_num,0)),"")&lt;&gt;"Facture d'acompte"),"Le n° à déduire n'est pas une facture d'acompte",IF(AND(L108&lt;&gt;"",COUNTIF($L$6:L108,L108)&gt;1),"Acompte déjà déduit sur une autre facture",IF(AND(L108&lt;&gt;"",IFERROR(INDEX(fa_client,MATCH(L108,fa_num,0)),D108)&lt;&gt;D108),"Acompte d'un autre client",IF(AND(AR108&lt;&gt;"",N(Q108)&lt;0),"Acompte supérieur au total de la facture",IF(IF(AG108="Facture",COUNTIFS(fl_doc,A108,fl_check,"&lt;&gt;OK"),IF(AG108="Devis",COUNTIFS(dl_doc,F108,dl_check,"&lt;&gt;OK"),0))&gt;0,"Ligne(s) à corriger",IF(AND(W108&lt;&gt;"",N(W108)&lt;0),"Trop-perçu : vérifiez paiements et avoirs","OK")))))))))))))))))))))</f>
        <v/>
      </c>
      <c r="AA108" s="62" t="str">
        <f>IF(COUNTA(B108:D108,F108:O108)&gt;0,IF(B108="","Facture",B108),"")</f>
        <v/>
      </c>
      <c r="AB108" s="62" t="str">
        <f>IF(AA108="","",IF(AA108="Avoir",p_pav,IF(AA108="Facture d'acompte",p_pac,p_pfa)))</f>
        <v/>
      </c>
      <c r="AC108" s="62">
        <f>IF(ISNUMBER(C108),C108,0)</f>
        <v>0.0</v>
      </c>
      <c r="AD108" s="62" t="str">
        <f>IF(OR(AA108="",AC108=0),"",YEAR(AC108))</f>
        <v/>
      </c>
      <c r="AE108" s="62" t="str">
        <f>IF(AD108="","",COUNTIFS($AB$6:AB108,AB108,$AD$6:AD108,AD108))</f>
        <v/>
      </c>
      <c r="AF108" s="62">
        <f>IF(A108="",0,COUNTIF(fl_doc,A108))</f>
        <v>0.0</v>
      </c>
      <c r="AG108" s="62" t="str">
        <f>IF(A108="","",IF(AF108&gt;0,"Facture",IF(AND(F108&lt;&gt;"",AA108="Facture",ISNUMBER(MATCH(F108,dv_num,0))),"Devis","")))</f>
        <v/>
      </c>
      <c r="AH108" s="62" t="str">
        <f>IF(AND(A108&lt;&gt;"",F108&lt;&gt;"",AA108&lt;&gt;"Avoir"),F108,"")</f>
        <v/>
      </c>
      <c r="AI108" s="62" t="str">
        <f>IF(AG108="Devis",F108,"")</f>
        <v/>
      </c>
      <c r="AJ108" s="62">
        <f>IF(AG108="Facture",SUMIF(fl_doc,A108,fl_ht),IF(AG108="Devis",SUMIF(dl_doc,F108,dl_ht),0))</f>
        <v>0.0</v>
      </c>
      <c r="AK108" s="62">
        <f>IF(OR(AG108="",INDEX(p_rates,1)=""),0,IF(AG108="Facture",SUMIFS(fl_ht,fl_doc,A108,fl_rate,INDEX(p_rates,1)),SUMIFS(dl_ht,dl_doc,F108,dl_rate,INDEX(p_rates,1))))</f>
        <v>0.0</v>
      </c>
      <c r="AL108" s="62">
        <f>IF(OR(AG108="",INDEX(p_rates,2)=""),0,IF(AG108="Facture",SUMIFS(fl_ht,fl_doc,A108,fl_rate,INDEX(p_rates,2)),SUMIFS(dl_ht,dl_doc,F108,dl_rate,INDEX(p_rates,2))))</f>
        <v>0.0</v>
      </c>
      <c r="AM108" s="62">
        <f>IF(OR(AG108="",INDEX(p_rates,3)=""),0,IF(AG108="Facture",SUMIFS(fl_ht,fl_doc,A108,fl_rate,INDEX(p_rates,3)),SUMIFS(dl_ht,dl_doc,F108,dl_rate,INDEX(p_rates,3))))</f>
        <v>0.0</v>
      </c>
      <c r="AN108" s="62">
        <f>IF(OR(AG108="",INDEX(p_rates,4)=""),0,IF(AG108="Facture",SUMIFS(fl_ht,fl_doc,A108,fl_rate,INDEX(p_rates,4)),SUMIFS(dl_ht,dl_doc,F108,dl_rate,INDEX(p_rates,4))))</f>
        <v>0.0</v>
      </c>
      <c r="AO108" s="62">
        <f>IF(OR(AG108="",INDEX(p_rates,5)=""),0,IF(AG108="Facture",SUMIFS(fl_ht,fl_doc,A108,fl_rate,INDEX(p_rates,5)),SUMIFS(dl_ht,dl_doc,F108,dl_rate,INDEX(p_rates,5))))</f>
        <v>0.0</v>
      </c>
      <c r="AP108" s="62">
        <f>IF(OR(AG108="",INDEX(p_rates,6)=""),0,IF(AG108="Facture",SUMIFS(fl_ht,fl_doc,A108,fl_rate,INDEX(p_rates,6)),SUMIFS(dl_ht,dl_doc,F108,dl_rate,INDEX(p_rates,6))))</f>
        <v>0.0</v>
      </c>
      <c r="AQ108" s="62">
        <f>ROUND(AK108*N(INDEX(p_rates,1)),2)+ROUND(AL108*N(INDEX(p_rates,2)),2)+ROUND(AM108*N(INDEX(p_rates,3)),2)+ROUND(AN108*N(INDEX(p_rates,4)),2)+ROUND(AO108*N(INDEX(p_rates,5)),2)+ROUND(AP108*N(INDEX(p_rates,6)),2)</f>
        <v>0.0</v>
      </c>
      <c r="AR108" s="62" t="str">
        <f>IF(OR(L108="",AA108&lt;&gt;"Facture"),"",IFERROR(IF(INDEX(fa_type,MATCH(L108,fa_num,0))="Facture d'acompte",MATCH(L108,fa_num,0),""),""))</f>
        <v/>
      </c>
      <c r="AS108" s="62" t="str">
        <f>IF(W108="","",IF(W108&lt;=0,"",IF(p_asof-P108&lt;=0,"Non échu",IF(p_asof-P108&lt;=30,"1-30 j",IF(p_asof-P108&lt;=60,"31-60 j",IF(p_asof-P108&lt;=90,"61-90 j","Plus de 90 j"))))))</f>
        <v/>
      </c>
      <c r="AT108" s="62" t="str">
        <f>IF(AS108="","",p_asof-P108)</f>
        <v/>
      </c>
      <c r="AU108" s="62" t="str">
        <f>IF(AT108="","",COUNTIF($AT$6:$AT$805,"&gt;"&amp;AT108)+COUNTIF($AT$6:AT108,AT108))</f>
        <v/>
      </c>
    </row>
    <row r="109">
      <c r="A109" s="59" t="str">
        <f>IF(AE109="","",AB109&amp;"-"&amp;AD109&amp;"-"&amp;RIGHT("000"&amp;AE109,4))</f>
        <v/>
      </c>
      <c r="B109" s="60" t="n"/>
      <c r="C109" s="61" t="n"/>
      <c r="D109" s="60" t="n"/>
      <c r="E109" s="62" t="str">
        <f>IF(D109="","",IFERROR(INDEX(cli_name,MATCH(D109,cli_code,0))&amp;"","Client inconnu"))</f>
        <v/>
      </c>
      <c r="F109" s="60" t="n"/>
      <c r="G109" s="63" t="n"/>
      <c r="H109" s="61" t="n"/>
      <c r="I109" s="63" t="n"/>
      <c r="J109" s="60" t="n"/>
      <c r="K109" s="61" t="n"/>
      <c r="L109" s="60" t="n"/>
      <c r="M109" s="60" t="n"/>
      <c r="N109" s="60" t="n"/>
      <c r="O109" s="61" t="n"/>
      <c r="P109" s="64" t="str">
        <f>IF(A109="","",IF(AA109="Avoir",AC109,IF(ISNUMBER(K109),K109,AC109+IF(D109="",N(p_delay),IFERROR(IF(ISNUMBER(INDEX(cli_delay,MATCH(D109,cli_code,0))),INDEX(cli_delay,MATCH(D109,cli_code,0)),N(p_delay)),N(p_delay))))))</f>
        <v/>
      </c>
      <c r="Q109" s="65" t="str">
        <f>IF(A109="","",IF(AA109="Avoir",-1,1)*ROUND(AJ109-IF(AR109="",0,INDEX(fa_htb,AR109)),2))</f>
        <v/>
      </c>
      <c r="R109" s="65" t="str">
        <f>IF(A109="","",IF(AA109="Avoir",-1,1)*ROUND(AQ109-IF(AR109="",0,INDEX(fa_tvab,AR109)),2))</f>
        <v/>
      </c>
      <c r="S109" s="65" t="str">
        <f>IF(A109="","",Q109+R109)</f>
        <v/>
      </c>
      <c r="T109" s="65" t="str">
        <f>IF(AR109="","",INDEX(fa_htb,AR109)+INDEX(fa_tvab,AR109))</f>
        <v/>
      </c>
      <c r="U109" s="65" t="str">
        <f>IF(A109="","",SUMIF(pa_inv,A109,pa_amt))</f>
        <v/>
      </c>
      <c r="V109" s="65" t="str">
        <f>IF(OR(A109="",AA109="Avoir"),"",-SUMIFS(fa_ttc,fa_avof,A109,fa_type,"Avoir"))</f>
        <v/>
      </c>
      <c r="W109" s="65" t="str">
        <f>IF(OR(A109="",AA109="Avoir"),"",ROUND(S109-U109-V109,2))</f>
        <v/>
      </c>
      <c r="X109" s="66" t="str">
        <f>IF(W109="","",IF(AND(W109&gt;0,p_asof&gt;P109),p_asof-P109,""))</f>
        <v/>
      </c>
      <c r="Y109" s="59" t="str">
        <f>IF(A109="","",IF(AA109="Avoir","Avoir",IF(W109&lt;0,"Trop-perçu",IF(W109=0,"Soldée",IF(p_asof&gt;P109,"En retard",IF(U109+V109&gt;0,"Partielle","À échoir"))))))</f>
        <v/>
      </c>
      <c r="Z109" s="59" t="str">
        <f>IF(NOT(COUNTA(B109:D109,F109:O109)&gt;0),"",IF(C109="","Date manquante",IF(NOT(ISNUMBER(C109)),"Date invalide",IF(D109="","Client manquant",IF(ISNA(MATCH(D109,cli_code,0)),"Client inconnu",IF(AC109&lt;SUMPRODUCT(MAX(($AB$6:AB108=AB109)*$AC$6:AC108)),"Date antérieure à la facture précédente",IF(AND(F109&lt;&gt;"",ISNA(MATCH(F109,dv_num,0))),"Devis inconnu",IF(AND(F109&lt;&gt;"",IFERROR(INDEX(dv_client,MATCH(F109,dv_num,0)),D109)&lt;&gt;D109),"Client différent de celui du devis",IF(AG109="","Aucune ligne : saisissez des lignes ou un devis",IF(AND(AI109&lt;&gt;"",COUNTIF($AI$6:AI109,AI109)&gt;1),"Devis déjà repris par une autre facture",IF(AND(AA109="Avoir",M109=""),"Avoir : indiquez la facture d'origine",IF(AND(AA109="Avoir",ISNA(MATCH(M109,fa_num,0))),"Facture d'origine inconnue",IF(AND(AA109&lt;&gt;"Avoir",M109&lt;&gt;""),"« Avoir sur facture » : réservé aux avoirs",IF(AND(L109&lt;&gt;"",AA109&lt;&gt;"Facture"),"Acompte à déduire : réservé aux factures",IF(AND(L109&lt;&gt;"",ISNA(MATCH(L109,fa_num,0))),"Facture d'acompte inconnue",IF(AND(L109&lt;&gt;"",IFERROR(INDEX(fa_type,MATCH(L109,fa_num,0)),"")&lt;&gt;"Facture d'acompte"),"Le n° à déduire n'est pas une facture d'acompte",IF(AND(L109&lt;&gt;"",COUNTIF($L$6:L109,L109)&gt;1),"Acompte déjà déduit sur une autre facture",IF(AND(L109&lt;&gt;"",IFERROR(INDEX(fa_client,MATCH(L109,fa_num,0)),D109)&lt;&gt;D109),"Acompte d'un autre client",IF(AND(AR109&lt;&gt;"",N(Q109)&lt;0),"Acompte supérieur au total de la facture",IF(IF(AG109="Facture",COUNTIFS(fl_doc,A109,fl_check,"&lt;&gt;OK"),IF(AG109="Devis",COUNTIFS(dl_doc,F109,dl_check,"&lt;&gt;OK"),0))&gt;0,"Ligne(s) à corriger",IF(AND(W109&lt;&gt;"",N(W109)&lt;0),"Trop-perçu : vérifiez paiements et avoirs","OK")))))))))))))))))))))</f>
        <v/>
      </c>
      <c r="AA109" s="62" t="str">
        <f>IF(COUNTA(B109:D109,F109:O109)&gt;0,IF(B109="","Facture",B109),"")</f>
        <v/>
      </c>
      <c r="AB109" s="62" t="str">
        <f>IF(AA109="","",IF(AA109="Avoir",p_pav,IF(AA109="Facture d'acompte",p_pac,p_pfa)))</f>
        <v/>
      </c>
      <c r="AC109" s="62">
        <f>IF(ISNUMBER(C109),C109,0)</f>
        <v>0.0</v>
      </c>
      <c r="AD109" s="62" t="str">
        <f>IF(OR(AA109="",AC109=0),"",YEAR(AC109))</f>
        <v/>
      </c>
      <c r="AE109" s="62" t="str">
        <f>IF(AD109="","",COUNTIFS($AB$6:AB109,AB109,$AD$6:AD109,AD109))</f>
        <v/>
      </c>
      <c r="AF109" s="62">
        <f>IF(A109="",0,COUNTIF(fl_doc,A109))</f>
        <v>0.0</v>
      </c>
      <c r="AG109" s="62" t="str">
        <f>IF(A109="","",IF(AF109&gt;0,"Facture",IF(AND(F109&lt;&gt;"",AA109="Facture",ISNUMBER(MATCH(F109,dv_num,0))),"Devis","")))</f>
        <v/>
      </c>
      <c r="AH109" s="62" t="str">
        <f>IF(AND(A109&lt;&gt;"",F109&lt;&gt;"",AA109&lt;&gt;"Avoir"),F109,"")</f>
        <v/>
      </c>
      <c r="AI109" s="62" t="str">
        <f>IF(AG109="Devis",F109,"")</f>
        <v/>
      </c>
      <c r="AJ109" s="62">
        <f>IF(AG109="Facture",SUMIF(fl_doc,A109,fl_ht),IF(AG109="Devis",SUMIF(dl_doc,F109,dl_ht),0))</f>
        <v>0.0</v>
      </c>
      <c r="AK109" s="62">
        <f>IF(OR(AG109="",INDEX(p_rates,1)=""),0,IF(AG109="Facture",SUMIFS(fl_ht,fl_doc,A109,fl_rate,INDEX(p_rates,1)),SUMIFS(dl_ht,dl_doc,F109,dl_rate,INDEX(p_rates,1))))</f>
        <v>0.0</v>
      </c>
      <c r="AL109" s="62">
        <f>IF(OR(AG109="",INDEX(p_rates,2)=""),0,IF(AG109="Facture",SUMIFS(fl_ht,fl_doc,A109,fl_rate,INDEX(p_rates,2)),SUMIFS(dl_ht,dl_doc,F109,dl_rate,INDEX(p_rates,2))))</f>
        <v>0.0</v>
      </c>
      <c r="AM109" s="62">
        <f>IF(OR(AG109="",INDEX(p_rates,3)=""),0,IF(AG109="Facture",SUMIFS(fl_ht,fl_doc,A109,fl_rate,INDEX(p_rates,3)),SUMIFS(dl_ht,dl_doc,F109,dl_rate,INDEX(p_rates,3))))</f>
        <v>0.0</v>
      </c>
      <c r="AN109" s="62">
        <f>IF(OR(AG109="",INDEX(p_rates,4)=""),0,IF(AG109="Facture",SUMIFS(fl_ht,fl_doc,A109,fl_rate,INDEX(p_rates,4)),SUMIFS(dl_ht,dl_doc,F109,dl_rate,INDEX(p_rates,4))))</f>
        <v>0.0</v>
      </c>
      <c r="AO109" s="62">
        <f>IF(OR(AG109="",INDEX(p_rates,5)=""),0,IF(AG109="Facture",SUMIFS(fl_ht,fl_doc,A109,fl_rate,INDEX(p_rates,5)),SUMIFS(dl_ht,dl_doc,F109,dl_rate,INDEX(p_rates,5))))</f>
        <v>0.0</v>
      </c>
      <c r="AP109" s="62">
        <f>IF(OR(AG109="",INDEX(p_rates,6)=""),0,IF(AG109="Facture",SUMIFS(fl_ht,fl_doc,A109,fl_rate,INDEX(p_rates,6)),SUMIFS(dl_ht,dl_doc,F109,dl_rate,INDEX(p_rates,6))))</f>
        <v>0.0</v>
      </c>
      <c r="AQ109" s="62">
        <f>ROUND(AK109*N(INDEX(p_rates,1)),2)+ROUND(AL109*N(INDEX(p_rates,2)),2)+ROUND(AM109*N(INDEX(p_rates,3)),2)+ROUND(AN109*N(INDEX(p_rates,4)),2)+ROUND(AO109*N(INDEX(p_rates,5)),2)+ROUND(AP109*N(INDEX(p_rates,6)),2)</f>
        <v>0.0</v>
      </c>
      <c r="AR109" s="62" t="str">
        <f>IF(OR(L109="",AA109&lt;&gt;"Facture"),"",IFERROR(IF(INDEX(fa_type,MATCH(L109,fa_num,0))="Facture d'acompte",MATCH(L109,fa_num,0),""),""))</f>
        <v/>
      </c>
      <c r="AS109" s="62" t="str">
        <f>IF(W109="","",IF(W109&lt;=0,"",IF(p_asof-P109&lt;=0,"Non échu",IF(p_asof-P109&lt;=30,"1-30 j",IF(p_asof-P109&lt;=60,"31-60 j",IF(p_asof-P109&lt;=90,"61-90 j","Plus de 90 j"))))))</f>
        <v/>
      </c>
      <c r="AT109" s="62" t="str">
        <f>IF(AS109="","",p_asof-P109)</f>
        <v/>
      </c>
      <c r="AU109" s="62" t="str">
        <f>IF(AT109="","",COUNTIF($AT$6:$AT$805,"&gt;"&amp;AT109)+COUNTIF($AT$6:AT109,AT109))</f>
        <v/>
      </c>
    </row>
    <row r="110">
      <c r="A110" s="59" t="str">
        <f>IF(AE110="","",AB110&amp;"-"&amp;AD110&amp;"-"&amp;RIGHT("000"&amp;AE110,4))</f>
        <v/>
      </c>
      <c r="B110" s="60" t="n"/>
      <c r="C110" s="61" t="n"/>
      <c r="D110" s="60" t="n"/>
      <c r="E110" s="62" t="str">
        <f>IF(D110="","",IFERROR(INDEX(cli_name,MATCH(D110,cli_code,0))&amp;"","Client inconnu"))</f>
        <v/>
      </c>
      <c r="F110" s="60" t="n"/>
      <c r="G110" s="63" t="n"/>
      <c r="H110" s="61" t="n"/>
      <c r="I110" s="63" t="n"/>
      <c r="J110" s="60" t="n"/>
      <c r="K110" s="61" t="n"/>
      <c r="L110" s="60" t="n"/>
      <c r="M110" s="60" t="n"/>
      <c r="N110" s="60" t="n"/>
      <c r="O110" s="61" t="n"/>
      <c r="P110" s="64" t="str">
        <f>IF(A110="","",IF(AA110="Avoir",AC110,IF(ISNUMBER(K110),K110,AC110+IF(D110="",N(p_delay),IFERROR(IF(ISNUMBER(INDEX(cli_delay,MATCH(D110,cli_code,0))),INDEX(cli_delay,MATCH(D110,cli_code,0)),N(p_delay)),N(p_delay))))))</f>
        <v/>
      </c>
      <c r="Q110" s="65" t="str">
        <f>IF(A110="","",IF(AA110="Avoir",-1,1)*ROUND(AJ110-IF(AR110="",0,INDEX(fa_htb,AR110)),2))</f>
        <v/>
      </c>
      <c r="R110" s="65" t="str">
        <f>IF(A110="","",IF(AA110="Avoir",-1,1)*ROUND(AQ110-IF(AR110="",0,INDEX(fa_tvab,AR110)),2))</f>
        <v/>
      </c>
      <c r="S110" s="65" t="str">
        <f>IF(A110="","",Q110+R110)</f>
        <v/>
      </c>
      <c r="T110" s="65" t="str">
        <f>IF(AR110="","",INDEX(fa_htb,AR110)+INDEX(fa_tvab,AR110))</f>
        <v/>
      </c>
      <c r="U110" s="65" t="str">
        <f>IF(A110="","",SUMIF(pa_inv,A110,pa_amt))</f>
        <v/>
      </c>
      <c r="V110" s="65" t="str">
        <f>IF(OR(A110="",AA110="Avoir"),"",-SUMIFS(fa_ttc,fa_avof,A110,fa_type,"Avoir"))</f>
        <v/>
      </c>
      <c r="W110" s="65" t="str">
        <f>IF(OR(A110="",AA110="Avoir"),"",ROUND(S110-U110-V110,2))</f>
        <v/>
      </c>
      <c r="X110" s="66" t="str">
        <f>IF(W110="","",IF(AND(W110&gt;0,p_asof&gt;P110),p_asof-P110,""))</f>
        <v/>
      </c>
      <c r="Y110" s="59" t="str">
        <f>IF(A110="","",IF(AA110="Avoir","Avoir",IF(W110&lt;0,"Trop-perçu",IF(W110=0,"Soldée",IF(p_asof&gt;P110,"En retard",IF(U110+V110&gt;0,"Partielle","À échoir"))))))</f>
        <v/>
      </c>
      <c r="Z110" s="59" t="str">
        <f>IF(NOT(COUNTA(B110:D110,F110:O110)&gt;0),"",IF(C110="","Date manquante",IF(NOT(ISNUMBER(C110)),"Date invalide",IF(D110="","Client manquant",IF(ISNA(MATCH(D110,cli_code,0)),"Client inconnu",IF(AC110&lt;SUMPRODUCT(MAX(($AB$6:AB109=AB110)*$AC$6:AC109)),"Date antérieure à la facture précédente",IF(AND(F110&lt;&gt;"",ISNA(MATCH(F110,dv_num,0))),"Devis inconnu",IF(AND(F110&lt;&gt;"",IFERROR(INDEX(dv_client,MATCH(F110,dv_num,0)),D110)&lt;&gt;D110),"Client différent de celui du devis",IF(AG110="","Aucune ligne : saisissez des lignes ou un devis",IF(AND(AI110&lt;&gt;"",COUNTIF($AI$6:AI110,AI110)&gt;1),"Devis déjà repris par une autre facture",IF(AND(AA110="Avoir",M110=""),"Avoir : indiquez la facture d'origine",IF(AND(AA110="Avoir",ISNA(MATCH(M110,fa_num,0))),"Facture d'origine inconnue",IF(AND(AA110&lt;&gt;"Avoir",M110&lt;&gt;""),"« Avoir sur facture » : réservé aux avoirs",IF(AND(L110&lt;&gt;"",AA110&lt;&gt;"Facture"),"Acompte à déduire : réservé aux factures",IF(AND(L110&lt;&gt;"",ISNA(MATCH(L110,fa_num,0))),"Facture d'acompte inconnue",IF(AND(L110&lt;&gt;"",IFERROR(INDEX(fa_type,MATCH(L110,fa_num,0)),"")&lt;&gt;"Facture d'acompte"),"Le n° à déduire n'est pas une facture d'acompte",IF(AND(L110&lt;&gt;"",COUNTIF($L$6:L110,L110)&gt;1),"Acompte déjà déduit sur une autre facture",IF(AND(L110&lt;&gt;"",IFERROR(INDEX(fa_client,MATCH(L110,fa_num,0)),D110)&lt;&gt;D110),"Acompte d'un autre client",IF(AND(AR110&lt;&gt;"",N(Q110)&lt;0),"Acompte supérieur au total de la facture",IF(IF(AG110="Facture",COUNTIFS(fl_doc,A110,fl_check,"&lt;&gt;OK"),IF(AG110="Devis",COUNTIFS(dl_doc,F110,dl_check,"&lt;&gt;OK"),0))&gt;0,"Ligne(s) à corriger",IF(AND(W110&lt;&gt;"",N(W110)&lt;0),"Trop-perçu : vérifiez paiements et avoirs","OK")))))))))))))))))))))</f>
        <v/>
      </c>
      <c r="AA110" s="62" t="str">
        <f>IF(COUNTA(B110:D110,F110:O110)&gt;0,IF(B110="","Facture",B110),"")</f>
        <v/>
      </c>
      <c r="AB110" s="62" t="str">
        <f>IF(AA110="","",IF(AA110="Avoir",p_pav,IF(AA110="Facture d'acompte",p_pac,p_pfa)))</f>
        <v/>
      </c>
      <c r="AC110" s="62">
        <f>IF(ISNUMBER(C110),C110,0)</f>
        <v>0.0</v>
      </c>
      <c r="AD110" s="62" t="str">
        <f>IF(OR(AA110="",AC110=0),"",YEAR(AC110))</f>
        <v/>
      </c>
      <c r="AE110" s="62" t="str">
        <f>IF(AD110="","",COUNTIFS($AB$6:AB110,AB110,$AD$6:AD110,AD110))</f>
        <v/>
      </c>
      <c r="AF110" s="62">
        <f>IF(A110="",0,COUNTIF(fl_doc,A110))</f>
        <v>0.0</v>
      </c>
      <c r="AG110" s="62" t="str">
        <f>IF(A110="","",IF(AF110&gt;0,"Facture",IF(AND(F110&lt;&gt;"",AA110="Facture",ISNUMBER(MATCH(F110,dv_num,0))),"Devis","")))</f>
        <v/>
      </c>
      <c r="AH110" s="62" t="str">
        <f>IF(AND(A110&lt;&gt;"",F110&lt;&gt;"",AA110&lt;&gt;"Avoir"),F110,"")</f>
        <v/>
      </c>
      <c r="AI110" s="62" t="str">
        <f>IF(AG110="Devis",F110,"")</f>
        <v/>
      </c>
      <c r="AJ110" s="62">
        <f>IF(AG110="Facture",SUMIF(fl_doc,A110,fl_ht),IF(AG110="Devis",SUMIF(dl_doc,F110,dl_ht),0))</f>
        <v>0.0</v>
      </c>
      <c r="AK110" s="62">
        <f>IF(OR(AG110="",INDEX(p_rates,1)=""),0,IF(AG110="Facture",SUMIFS(fl_ht,fl_doc,A110,fl_rate,INDEX(p_rates,1)),SUMIFS(dl_ht,dl_doc,F110,dl_rate,INDEX(p_rates,1))))</f>
        <v>0.0</v>
      </c>
      <c r="AL110" s="62">
        <f>IF(OR(AG110="",INDEX(p_rates,2)=""),0,IF(AG110="Facture",SUMIFS(fl_ht,fl_doc,A110,fl_rate,INDEX(p_rates,2)),SUMIFS(dl_ht,dl_doc,F110,dl_rate,INDEX(p_rates,2))))</f>
        <v>0.0</v>
      </c>
      <c r="AM110" s="62">
        <f>IF(OR(AG110="",INDEX(p_rates,3)=""),0,IF(AG110="Facture",SUMIFS(fl_ht,fl_doc,A110,fl_rate,INDEX(p_rates,3)),SUMIFS(dl_ht,dl_doc,F110,dl_rate,INDEX(p_rates,3))))</f>
        <v>0.0</v>
      </c>
      <c r="AN110" s="62">
        <f>IF(OR(AG110="",INDEX(p_rates,4)=""),0,IF(AG110="Facture",SUMIFS(fl_ht,fl_doc,A110,fl_rate,INDEX(p_rates,4)),SUMIFS(dl_ht,dl_doc,F110,dl_rate,INDEX(p_rates,4))))</f>
        <v>0.0</v>
      </c>
      <c r="AO110" s="62">
        <f>IF(OR(AG110="",INDEX(p_rates,5)=""),0,IF(AG110="Facture",SUMIFS(fl_ht,fl_doc,A110,fl_rate,INDEX(p_rates,5)),SUMIFS(dl_ht,dl_doc,F110,dl_rate,INDEX(p_rates,5))))</f>
        <v>0.0</v>
      </c>
      <c r="AP110" s="62">
        <f>IF(OR(AG110="",INDEX(p_rates,6)=""),0,IF(AG110="Facture",SUMIFS(fl_ht,fl_doc,A110,fl_rate,INDEX(p_rates,6)),SUMIFS(dl_ht,dl_doc,F110,dl_rate,INDEX(p_rates,6))))</f>
        <v>0.0</v>
      </c>
      <c r="AQ110" s="62">
        <f>ROUND(AK110*N(INDEX(p_rates,1)),2)+ROUND(AL110*N(INDEX(p_rates,2)),2)+ROUND(AM110*N(INDEX(p_rates,3)),2)+ROUND(AN110*N(INDEX(p_rates,4)),2)+ROUND(AO110*N(INDEX(p_rates,5)),2)+ROUND(AP110*N(INDEX(p_rates,6)),2)</f>
        <v>0.0</v>
      </c>
      <c r="AR110" s="62" t="str">
        <f>IF(OR(L110="",AA110&lt;&gt;"Facture"),"",IFERROR(IF(INDEX(fa_type,MATCH(L110,fa_num,0))="Facture d'acompte",MATCH(L110,fa_num,0),""),""))</f>
        <v/>
      </c>
      <c r="AS110" s="62" t="str">
        <f>IF(W110="","",IF(W110&lt;=0,"",IF(p_asof-P110&lt;=0,"Non échu",IF(p_asof-P110&lt;=30,"1-30 j",IF(p_asof-P110&lt;=60,"31-60 j",IF(p_asof-P110&lt;=90,"61-90 j","Plus de 90 j"))))))</f>
        <v/>
      </c>
      <c r="AT110" s="62" t="str">
        <f>IF(AS110="","",p_asof-P110)</f>
        <v/>
      </c>
      <c r="AU110" s="62" t="str">
        <f>IF(AT110="","",COUNTIF($AT$6:$AT$805,"&gt;"&amp;AT110)+COUNTIF($AT$6:AT110,AT110))</f>
        <v/>
      </c>
    </row>
    <row r="111">
      <c r="A111" s="59" t="str">
        <f>IF(AE111="","",AB111&amp;"-"&amp;AD111&amp;"-"&amp;RIGHT("000"&amp;AE111,4))</f>
        <v/>
      </c>
      <c r="B111" s="60" t="n"/>
      <c r="C111" s="61" t="n"/>
      <c r="D111" s="60" t="n"/>
      <c r="E111" s="62" t="str">
        <f>IF(D111="","",IFERROR(INDEX(cli_name,MATCH(D111,cli_code,0))&amp;"","Client inconnu"))</f>
        <v/>
      </c>
      <c r="F111" s="60" t="n"/>
      <c r="G111" s="63" t="n"/>
      <c r="H111" s="61" t="n"/>
      <c r="I111" s="63" t="n"/>
      <c r="J111" s="60" t="n"/>
      <c r="K111" s="61" t="n"/>
      <c r="L111" s="60" t="n"/>
      <c r="M111" s="60" t="n"/>
      <c r="N111" s="60" t="n"/>
      <c r="O111" s="61" t="n"/>
      <c r="P111" s="64" t="str">
        <f>IF(A111="","",IF(AA111="Avoir",AC111,IF(ISNUMBER(K111),K111,AC111+IF(D111="",N(p_delay),IFERROR(IF(ISNUMBER(INDEX(cli_delay,MATCH(D111,cli_code,0))),INDEX(cli_delay,MATCH(D111,cli_code,0)),N(p_delay)),N(p_delay))))))</f>
        <v/>
      </c>
      <c r="Q111" s="65" t="str">
        <f>IF(A111="","",IF(AA111="Avoir",-1,1)*ROUND(AJ111-IF(AR111="",0,INDEX(fa_htb,AR111)),2))</f>
        <v/>
      </c>
      <c r="R111" s="65" t="str">
        <f>IF(A111="","",IF(AA111="Avoir",-1,1)*ROUND(AQ111-IF(AR111="",0,INDEX(fa_tvab,AR111)),2))</f>
        <v/>
      </c>
      <c r="S111" s="65" t="str">
        <f>IF(A111="","",Q111+R111)</f>
        <v/>
      </c>
      <c r="T111" s="65" t="str">
        <f>IF(AR111="","",INDEX(fa_htb,AR111)+INDEX(fa_tvab,AR111))</f>
        <v/>
      </c>
      <c r="U111" s="65" t="str">
        <f>IF(A111="","",SUMIF(pa_inv,A111,pa_amt))</f>
        <v/>
      </c>
      <c r="V111" s="65" t="str">
        <f>IF(OR(A111="",AA111="Avoir"),"",-SUMIFS(fa_ttc,fa_avof,A111,fa_type,"Avoir"))</f>
        <v/>
      </c>
      <c r="W111" s="65" t="str">
        <f>IF(OR(A111="",AA111="Avoir"),"",ROUND(S111-U111-V111,2))</f>
        <v/>
      </c>
      <c r="X111" s="66" t="str">
        <f>IF(W111="","",IF(AND(W111&gt;0,p_asof&gt;P111),p_asof-P111,""))</f>
        <v/>
      </c>
      <c r="Y111" s="59" t="str">
        <f>IF(A111="","",IF(AA111="Avoir","Avoir",IF(W111&lt;0,"Trop-perçu",IF(W111=0,"Soldée",IF(p_asof&gt;P111,"En retard",IF(U111+V111&gt;0,"Partielle","À échoir"))))))</f>
        <v/>
      </c>
      <c r="Z111" s="59" t="str">
        <f>IF(NOT(COUNTA(B111:D111,F111:O111)&gt;0),"",IF(C111="","Date manquante",IF(NOT(ISNUMBER(C111)),"Date invalide",IF(D111="","Client manquant",IF(ISNA(MATCH(D111,cli_code,0)),"Client inconnu",IF(AC111&lt;SUMPRODUCT(MAX(($AB$6:AB110=AB111)*$AC$6:AC110)),"Date antérieure à la facture précédente",IF(AND(F111&lt;&gt;"",ISNA(MATCH(F111,dv_num,0))),"Devis inconnu",IF(AND(F111&lt;&gt;"",IFERROR(INDEX(dv_client,MATCH(F111,dv_num,0)),D111)&lt;&gt;D111),"Client différent de celui du devis",IF(AG111="","Aucune ligne : saisissez des lignes ou un devis",IF(AND(AI111&lt;&gt;"",COUNTIF($AI$6:AI111,AI111)&gt;1),"Devis déjà repris par une autre facture",IF(AND(AA111="Avoir",M111=""),"Avoir : indiquez la facture d'origine",IF(AND(AA111="Avoir",ISNA(MATCH(M111,fa_num,0))),"Facture d'origine inconnue",IF(AND(AA111&lt;&gt;"Avoir",M111&lt;&gt;""),"« Avoir sur facture » : réservé aux avoirs",IF(AND(L111&lt;&gt;"",AA111&lt;&gt;"Facture"),"Acompte à déduire : réservé aux factures",IF(AND(L111&lt;&gt;"",ISNA(MATCH(L111,fa_num,0))),"Facture d'acompte inconnue",IF(AND(L111&lt;&gt;"",IFERROR(INDEX(fa_type,MATCH(L111,fa_num,0)),"")&lt;&gt;"Facture d'acompte"),"Le n° à déduire n'est pas une facture d'acompte",IF(AND(L111&lt;&gt;"",COUNTIF($L$6:L111,L111)&gt;1),"Acompte déjà déduit sur une autre facture",IF(AND(L111&lt;&gt;"",IFERROR(INDEX(fa_client,MATCH(L111,fa_num,0)),D111)&lt;&gt;D111),"Acompte d'un autre client",IF(AND(AR111&lt;&gt;"",N(Q111)&lt;0),"Acompte supérieur au total de la facture",IF(IF(AG111="Facture",COUNTIFS(fl_doc,A111,fl_check,"&lt;&gt;OK"),IF(AG111="Devis",COUNTIFS(dl_doc,F111,dl_check,"&lt;&gt;OK"),0))&gt;0,"Ligne(s) à corriger",IF(AND(W111&lt;&gt;"",N(W111)&lt;0),"Trop-perçu : vérifiez paiements et avoirs","OK")))))))))))))))))))))</f>
        <v/>
      </c>
      <c r="AA111" s="62" t="str">
        <f>IF(COUNTA(B111:D111,F111:O111)&gt;0,IF(B111="","Facture",B111),"")</f>
        <v/>
      </c>
      <c r="AB111" s="62" t="str">
        <f>IF(AA111="","",IF(AA111="Avoir",p_pav,IF(AA111="Facture d'acompte",p_pac,p_pfa)))</f>
        <v/>
      </c>
      <c r="AC111" s="62">
        <f>IF(ISNUMBER(C111),C111,0)</f>
        <v>0.0</v>
      </c>
      <c r="AD111" s="62" t="str">
        <f>IF(OR(AA111="",AC111=0),"",YEAR(AC111))</f>
        <v/>
      </c>
      <c r="AE111" s="62" t="str">
        <f>IF(AD111="","",COUNTIFS($AB$6:AB111,AB111,$AD$6:AD111,AD111))</f>
        <v/>
      </c>
      <c r="AF111" s="62">
        <f>IF(A111="",0,COUNTIF(fl_doc,A111))</f>
        <v>0.0</v>
      </c>
      <c r="AG111" s="62" t="str">
        <f>IF(A111="","",IF(AF111&gt;0,"Facture",IF(AND(F111&lt;&gt;"",AA111="Facture",ISNUMBER(MATCH(F111,dv_num,0))),"Devis","")))</f>
        <v/>
      </c>
      <c r="AH111" s="62" t="str">
        <f>IF(AND(A111&lt;&gt;"",F111&lt;&gt;"",AA111&lt;&gt;"Avoir"),F111,"")</f>
        <v/>
      </c>
      <c r="AI111" s="62" t="str">
        <f>IF(AG111="Devis",F111,"")</f>
        <v/>
      </c>
      <c r="AJ111" s="62">
        <f>IF(AG111="Facture",SUMIF(fl_doc,A111,fl_ht),IF(AG111="Devis",SUMIF(dl_doc,F111,dl_ht),0))</f>
        <v>0.0</v>
      </c>
      <c r="AK111" s="62">
        <f>IF(OR(AG111="",INDEX(p_rates,1)=""),0,IF(AG111="Facture",SUMIFS(fl_ht,fl_doc,A111,fl_rate,INDEX(p_rates,1)),SUMIFS(dl_ht,dl_doc,F111,dl_rate,INDEX(p_rates,1))))</f>
        <v>0.0</v>
      </c>
      <c r="AL111" s="62">
        <f>IF(OR(AG111="",INDEX(p_rates,2)=""),0,IF(AG111="Facture",SUMIFS(fl_ht,fl_doc,A111,fl_rate,INDEX(p_rates,2)),SUMIFS(dl_ht,dl_doc,F111,dl_rate,INDEX(p_rates,2))))</f>
        <v>0.0</v>
      </c>
      <c r="AM111" s="62">
        <f>IF(OR(AG111="",INDEX(p_rates,3)=""),0,IF(AG111="Facture",SUMIFS(fl_ht,fl_doc,A111,fl_rate,INDEX(p_rates,3)),SUMIFS(dl_ht,dl_doc,F111,dl_rate,INDEX(p_rates,3))))</f>
        <v>0.0</v>
      </c>
      <c r="AN111" s="62">
        <f>IF(OR(AG111="",INDEX(p_rates,4)=""),0,IF(AG111="Facture",SUMIFS(fl_ht,fl_doc,A111,fl_rate,INDEX(p_rates,4)),SUMIFS(dl_ht,dl_doc,F111,dl_rate,INDEX(p_rates,4))))</f>
        <v>0.0</v>
      </c>
      <c r="AO111" s="62">
        <f>IF(OR(AG111="",INDEX(p_rates,5)=""),0,IF(AG111="Facture",SUMIFS(fl_ht,fl_doc,A111,fl_rate,INDEX(p_rates,5)),SUMIFS(dl_ht,dl_doc,F111,dl_rate,INDEX(p_rates,5))))</f>
        <v>0.0</v>
      </c>
      <c r="AP111" s="62">
        <f>IF(OR(AG111="",INDEX(p_rates,6)=""),0,IF(AG111="Facture",SUMIFS(fl_ht,fl_doc,A111,fl_rate,INDEX(p_rates,6)),SUMIFS(dl_ht,dl_doc,F111,dl_rate,INDEX(p_rates,6))))</f>
        <v>0.0</v>
      </c>
      <c r="AQ111" s="62">
        <f>ROUND(AK111*N(INDEX(p_rates,1)),2)+ROUND(AL111*N(INDEX(p_rates,2)),2)+ROUND(AM111*N(INDEX(p_rates,3)),2)+ROUND(AN111*N(INDEX(p_rates,4)),2)+ROUND(AO111*N(INDEX(p_rates,5)),2)+ROUND(AP111*N(INDEX(p_rates,6)),2)</f>
        <v>0.0</v>
      </c>
      <c r="AR111" s="62" t="str">
        <f>IF(OR(L111="",AA111&lt;&gt;"Facture"),"",IFERROR(IF(INDEX(fa_type,MATCH(L111,fa_num,0))="Facture d'acompte",MATCH(L111,fa_num,0),""),""))</f>
        <v/>
      </c>
      <c r="AS111" s="62" t="str">
        <f>IF(W111="","",IF(W111&lt;=0,"",IF(p_asof-P111&lt;=0,"Non échu",IF(p_asof-P111&lt;=30,"1-30 j",IF(p_asof-P111&lt;=60,"31-60 j",IF(p_asof-P111&lt;=90,"61-90 j","Plus de 90 j"))))))</f>
        <v/>
      </c>
      <c r="AT111" s="62" t="str">
        <f>IF(AS111="","",p_asof-P111)</f>
        <v/>
      </c>
      <c r="AU111" s="62" t="str">
        <f>IF(AT111="","",COUNTIF($AT$6:$AT$805,"&gt;"&amp;AT111)+COUNTIF($AT$6:AT111,AT111))</f>
        <v/>
      </c>
    </row>
    <row r="112">
      <c r="A112" s="59" t="str">
        <f>IF(AE112="","",AB112&amp;"-"&amp;AD112&amp;"-"&amp;RIGHT("000"&amp;AE112,4))</f>
        <v/>
      </c>
      <c r="B112" s="60" t="n"/>
      <c r="C112" s="61" t="n"/>
      <c r="D112" s="60" t="n"/>
      <c r="E112" s="62" t="str">
        <f>IF(D112="","",IFERROR(INDEX(cli_name,MATCH(D112,cli_code,0))&amp;"","Client inconnu"))</f>
        <v/>
      </c>
      <c r="F112" s="60" t="n"/>
      <c r="G112" s="63" t="n"/>
      <c r="H112" s="61" t="n"/>
      <c r="I112" s="63" t="n"/>
      <c r="J112" s="60" t="n"/>
      <c r="K112" s="61" t="n"/>
      <c r="L112" s="60" t="n"/>
      <c r="M112" s="60" t="n"/>
      <c r="N112" s="60" t="n"/>
      <c r="O112" s="61" t="n"/>
      <c r="P112" s="64" t="str">
        <f>IF(A112="","",IF(AA112="Avoir",AC112,IF(ISNUMBER(K112),K112,AC112+IF(D112="",N(p_delay),IFERROR(IF(ISNUMBER(INDEX(cli_delay,MATCH(D112,cli_code,0))),INDEX(cli_delay,MATCH(D112,cli_code,0)),N(p_delay)),N(p_delay))))))</f>
        <v/>
      </c>
      <c r="Q112" s="65" t="str">
        <f>IF(A112="","",IF(AA112="Avoir",-1,1)*ROUND(AJ112-IF(AR112="",0,INDEX(fa_htb,AR112)),2))</f>
        <v/>
      </c>
      <c r="R112" s="65" t="str">
        <f>IF(A112="","",IF(AA112="Avoir",-1,1)*ROUND(AQ112-IF(AR112="",0,INDEX(fa_tvab,AR112)),2))</f>
        <v/>
      </c>
      <c r="S112" s="65" t="str">
        <f>IF(A112="","",Q112+R112)</f>
        <v/>
      </c>
      <c r="T112" s="65" t="str">
        <f>IF(AR112="","",INDEX(fa_htb,AR112)+INDEX(fa_tvab,AR112))</f>
        <v/>
      </c>
      <c r="U112" s="65" t="str">
        <f>IF(A112="","",SUMIF(pa_inv,A112,pa_amt))</f>
        <v/>
      </c>
      <c r="V112" s="65" t="str">
        <f>IF(OR(A112="",AA112="Avoir"),"",-SUMIFS(fa_ttc,fa_avof,A112,fa_type,"Avoir"))</f>
        <v/>
      </c>
      <c r="W112" s="65" t="str">
        <f>IF(OR(A112="",AA112="Avoir"),"",ROUND(S112-U112-V112,2))</f>
        <v/>
      </c>
      <c r="X112" s="66" t="str">
        <f>IF(W112="","",IF(AND(W112&gt;0,p_asof&gt;P112),p_asof-P112,""))</f>
        <v/>
      </c>
      <c r="Y112" s="59" t="str">
        <f>IF(A112="","",IF(AA112="Avoir","Avoir",IF(W112&lt;0,"Trop-perçu",IF(W112=0,"Soldée",IF(p_asof&gt;P112,"En retard",IF(U112+V112&gt;0,"Partielle","À échoir"))))))</f>
        <v/>
      </c>
      <c r="Z112" s="59" t="str">
        <f>IF(NOT(COUNTA(B112:D112,F112:O112)&gt;0),"",IF(C112="","Date manquante",IF(NOT(ISNUMBER(C112)),"Date invalide",IF(D112="","Client manquant",IF(ISNA(MATCH(D112,cli_code,0)),"Client inconnu",IF(AC112&lt;SUMPRODUCT(MAX(($AB$6:AB111=AB112)*$AC$6:AC111)),"Date antérieure à la facture précédente",IF(AND(F112&lt;&gt;"",ISNA(MATCH(F112,dv_num,0))),"Devis inconnu",IF(AND(F112&lt;&gt;"",IFERROR(INDEX(dv_client,MATCH(F112,dv_num,0)),D112)&lt;&gt;D112),"Client différent de celui du devis",IF(AG112="","Aucune ligne : saisissez des lignes ou un devis",IF(AND(AI112&lt;&gt;"",COUNTIF($AI$6:AI112,AI112)&gt;1),"Devis déjà repris par une autre facture",IF(AND(AA112="Avoir",M112=""),"Avoir : indiquez la facture d'origine",IF(AND(AA112="Avoir",ISNA(MATCH(M112,fa_num,0))),"Facture d'origine inconnue",IF(AND(AA112&lt;&gt;"Avoir",M112&lt;&gt;""),"« Avoir sur facture » : réservé aux avoirs",IF(AND(L112&lt;&gt;"",AA112&lt;&gt;"Facture"),"Acompte à déduire : réservé aux factures",IF(AND(L112&lt;&gt;"",ISNA(MATCH(L112,fa_num,0))),"Facture d'acompte inconnue",IF(AND(L112&lt;&gt;"",IFERROR(INDEX(fa_type,MATCH(L112,fa_num,0)),"")&lt;&gt;"Facture d'acompte"),"Le n° à déduire n'est pas une facture d'acompte",IF(AND(L112&lt;&gt;"",COUNTIF($L$6:L112,L112)&gt;1),"Acompte déjà déduit sur une autre facture",IF(AND(L112&lt;&gt;"",IFERROR(INDEX(fa_client,MATCH(L112,fa_num,0)),D112)&lt;&gt;D112),"Acompte d'un autre client",IF(AND(AR112&lt;&gt;"",N(Q112)&lt;0),"Acompte supérieur au total de la facture",IF(IF(AG112="Facture",COUNTIFS(fl_doc,A112,fl_check,"&lt;&gt;OK"),IF(AG112="Devis",COUNTIFS(dl_doc,F112,dl_check,"&lt;&gt;OK"),0))&gt;0,"Ligne(s) à corriger",IF(AND(W112&lt;&gt;"",N(W112)&lt;0),"Trop-perçu : vérifiez paiements et avoirs","OK")))))))))))))))))))))</f>
        <v/>
      </c>
      <c r="AA112" s="62" t="str">
        <f>IF(COUNTA(B112:D112,F112:O112)&gt;0,IF(B112="","Facture",B112),"")</f>
        <v/>
      </c>
      <c r="AB112" s="62" t="str">
        <f>IF(AA112="","",IF(AA112="Avoir",p_pav,IF(AA112="Facture d'acompte",p_pac,p_pfa)))</f>
        <v/>
      </c>
      <c r="AC112" s="62">
        <f>IF(ISNUMBER(C112),C112,0)</f>
        <v>0.0</v>
      </c>
      <c r="AD112" s="62" t="str">
        <f>IF(OR(AA112="",AC112=0),"",YEAR(AC112))</f>
        <v/>
      </c>
      <c r="AE112" s="62" t="str">
        <f>IF(AD112="","",COUNTIFS($AB$6:AB112,AB112,$AD$6:AD112,AD112))</f>
        <v/>
      </c>
      <c r="AF112" s="62">
        <f>IF(A112="",0,COUNTIF(fl_doc,A112))</f>
        <v>0.0</v>
      </c>
      <c r="AG112" s="62" t="str">
        <f>IF(A112="","",IF(AF112&gt;0,"Facture",IF(AND(F112&lt;&gt;"",AA112="Facture",ISNUMBER(MATCH(F112,dv_num,0))),"Devis","")))</f>
        <v/>
      </c>
      <c r="AH112" s="62" t="str">
        <f>IF(AND(A112&lt;&gt;"",F112&lt;&gt;"",AA112&lt;&gt;"Avoir"),F112,"")</f>
        <v/>
      </c>
      <c r="AI112" s="62" t="str">
        <f>IF(AG112="Devis",F112,"")</f>
        <v/>
      </c>
      <c r="AJ112" s="62">
        <f>IF(AG112="Facture",SUMIF(fl_doc,A112,fl_ht),IF(AG112="Devis",SUMIF(dl_doc,F112,dl_ht),0))</f>
        <v>0.0</v>
      </c>
      <c r="AK112" s="62">
        <f>IF(OR(AG112="",INDEX(p_rates,1)=""),0,IF(AG112="Facture",SUMIFS(fl_ht,fl_doc,A112,fl_rate,INDEX(p_rates,1)),SUMIFS(dl_ht,dl_doc,F112,dl_rate,INDEX(p_rates,1))))</f>
        <v>0.0</v>
      </c>
      <c r="AL112" s="62">
        <f>IF(OR(AG112="",INDEX(p_rates,2)=""),0,IF(AG112="Facture",SUMIFS(fl_ht,fl_doc,A112,fl_rate,INDEX(p_rates,2)),SUMIFS(dl_ht,dl_doc,F112,dl_rate,INDEX(p_rates,2))))</f>
        <v>0.0</v>
      </c>
      <c r="AM112" s="62">
        <f>IF(OR(AG112="",INDEX(p_rates,3)=""),0,IF(AG112="Facture",SUMIFS(fl_ht,fl_doc,A112,fl_rate,INDEX(p_rates,3)),SUMIFS(dl_ht,dl_doc,F112,dl_rate,INDEX(p_rates,3))))</f>
        <v>0.0</v>
      </c>
      <c r="AN112" s="62">
        <f>IF(OR(AG112="",INDEX(p_rates,4)=""),0,IF(AG112="Facture",SUMIFS(fl_ht,fl_doc,A112,fl_rate,INDEX(p_rates,4)),SUMIFS(dl_ht,dl_doc,F112,dl_rate,INDEX(p_rates,4))))</f>
        <v>0.0</v>
      </c>
      <c r="AO112" s="62">
        <f>IF(OR(AG112="",INDEX(p_rates,5)=""),0,IF(AG112="Facture",SUMIFS(fl_ht,fl_doc,A112,fl_rate,INDEX(p_rates,5)),SUMIFS(dl_ht,dl_doc,F112,dl_rate,INDEX(p_rates,5))))</f>
        <v>0.0</v>
      </c>
      <c r="AP112" s="62">
        <f>IF(OR(AG112="",INDEX(p_rates,6)=""),0,IF(AG112="Facture",SUMIFS(fl_ht,fl_doc,A112,fl_rate,INDEX(p_rates,6)),SUMIFS(dl_ht,dl_doc,F112,dl_rate,INDEX(p_rates,6))))</f>
        <v>0.0</v>
      </c>
      <c r="AQ112" s="62">
        <f>ROUND(AK112*N(INDEX(p_rates,1)),2)+ROUND(AL112*N(INDEX(p_rates,2)),2)+ROUND(AM112*N(INDEX(p_rates,3)),2)+ROUND(AN112*N(INDEX(p_rates,4)),2)+ROUND(AO112*N(INDEX(p_rates,5)),2)+ROUND(AP112*N(INDEX(p_rates,6)),2)</f>
        <v>0.0</v>
      </c>
      <c r="AR112" s="62" t="str">
        <f>IF(OR(L112="",AA112&lt;&gt;"Facture"),"",IFERROR(IF(INDEX(fa_type,MATCH(L112,fa_num,0))="Facture d'acompte",MATCH(L112,fa_num,0),""),""))</f>
        <v/>
      </c>
      <c r="AS112" s="62" t="str">
        <f>IF(W112="","",IF(W112&lt;=0,"",IF(p_asof-P112&lt;=0,"Non échu",IF(p_asof-P112&lt;=30,"1-30 j",IF(p_asof-P112&lt;=60,"31-60 j",IF(p_asof-P112&lt;=90,"61-90 j","Plus de 90 j"))))))</f>
        <v/>
      </c>
      <c r="AT112" s="62" t="str">
        <f>IF(AS112="","",p_asof-P112)</f>
        <v/>
      </c>
      <c r="AU112" s="62" t="str">
        <f>IF(AT112="","",COUNTIF($AT$6:$AT$805,"&gt;"&amp;AT112)+COUNTIF($AT$6:AT112,AT112))</f>
        <v/>
      </c>
    </row>
    <row r="113">
      <c r="A113" s="59" t="str">
        <f>IF(AE113="","",AB113&amp;"-"&amp;AD113&amp;"-"&amp;RIGHT("000"&amp;AE113,4))</f>
        <v/>
      </c>
      <c r="B113" s="60" t="n"/>
      <c r="C113" s="61" t="n"/>
      <c r="D113" s="60" t="n"/>
      <c r="E113" s="62" t="str">
        <f>IF(D113="","",IFERROR(INDEX(cli_name,MATCH(D113,cli_code,0))&amp;"","Client inconnu"))</f>
        <v/>
      </c>
      <c r="F113" s="60" t="n"/>
      <c r="G113" s="63" t="n"/>
      <c r="H113" s="61" t="n"/>
      <c r="I113" s="63" t="n"/>
      <c r="J113" s="60" t="n"/>
      <c r="K113" s="61" t="n"/>
      <c r="L113" s="60" t="n"/>
      <c r="M113" s="60" t="n"/>
      <c r="N113" s="60" t="n"/>
      <c r="O113" s="61" t="n"/>
      <c r="P113" s="64" t="str">
        <f>IF(A113="","",IF(AA113="Avoir",AC113,IF(ISNUMBER(K113),K113,AC113+IF(D113="",N(p_delay),IFERROR(IF(ISNUMBER(INDEX(cli_delay,MATCH(D113,cli_code,0))),INDEX(cli_delay,MATCH(D113,cli_code,0)),N(p_delay)),N(p_delay))))))</f>
        <v/>
      </c>
      <c r="Q113" s="65" t="str">
        <f>IF(A113="","",IF(AA113="Avoir",-1,1)*ROUND(AJ113-IF(AR113="",0,INDEX(fa_htb,AR113)),2))</f>
        <v/>
      </c>
      <c r="R113" s="65" t="str">
        <f>IF(A113="","",IF(AA113="Avoir",-1,1)*ROUND(AQ113-IF(AR113="",0,INDEX(fa_tvab,AR113)),2))</f>
        <v/>
      </c>
      <c r="S113" s="65" t="str">
        <f>IF(A113="","",Q113+R113)</f>
        <v/>
      </c>
      <c r="T113" s="65" t="str">
        <f>IF(AR113="","",INDEX(fa_htb,AR113)+INDEX(fa_tvab,AR113))</f>
        <v/>
      </c>
      <c r="U113" s="65" t="str">
        <f>IF(A113="","",SUMIF(pa_inv,A113,pa_amt))</f>
        <v/>
      </c>
      <c r="V113" s="65" t="str">
        <f>IF(OR(A113="",AA113="Avoir"),"",-SUMIFS(fa_ttc,fa_avof,A113,fa_type,"Avoir"))</f>
        <v/>
      </c>
      <c r="W113" s="65" t="str">
        <f>IF(OR(A113="",AA113="Avoir"),"",ROUND(S113-U113-V113,2))</f>
        <v/>
      </c>
      <c r="X113" s="66" t="str">
        <f>IF(W113="","",IF(AND(W113&gt;0,p_asof&gt;P113),p_asof-P113,""))</f>
        <v/>
      </c>
      <c r="Y113" s="59" t="str">
        <f>IF(A113="","",IF(AA113="Avoir","Avoir",IF(W113&lt;0,"Trop-perçu",IF(W113=0,"Soldée",IF(p_asof&gt;P113,"En retard",IF(U113+V113&gt;0,"Partielle","À échoir"))))))</f>
        <v/>
      </c>
      <c r="Z113" s="59" t="str">
        <f>IF(NOT(COUNTA(B113:D113,F113:O113)&gt;0),"",IF(C113="","Date manquante",IF(NOT(ISNUMBER(C113)),"Date invalide",IF(D113="","Client manquant",IF(ISNA(MATCH(D113,cli_code,0)),"Client inconnu",IF(AC113&lt;SUMPRODUCT(MAX(($AB$6:AB112=AB113)*$AC$6:AC112)),"Date antérieure à la facture précédente",IF(AND(F113&lt;&gt;"",ISNA(MATCH(F113,dv_num,0))),"Devis inconnu",IF(AND(F113&lt;&gt;"",IFERROR(INDEX(dv_client,MATCH(F113,dv_num,0)),D113)&lt;&gt;D113),"Client différent de celui du devis",IF(AG113="","Aucune ligne : saisissez des lignes ou un devis",IF(AND(AI113&lt;&gt;"",COUNTIF($AI$6:AI113,AI113)&gt;1),"Devis déjà repris par une autre facture",IF(AND(AA113="Avoir",M113=""),"Avoir : indiquez la facture d'origine",IF(AND(AA113="Avoir",ISNA(MATCH(M113,fa_num,0))),"Facture d'origine inconnue",IF(AND(AA113&lt;&gt;"Avoir",M113&lt;&gt;""),"« Avoir sur facture » : réservé aux avoirs",IF(AND(L113&lt;&gt;"",AA113&lt;&gt;"Facture"),"Acompte à déduire : réservé aux factures",IF(AND(L113&lt;&gt;"",ISNA(MATCH(L113,fa_num,0))),"Facture d'acompte inconnue",IF(AND(L113&lt;&gt;"",IFERROR(INDEX(fa_type,MATCH(L113,fa_num,0)),"")&lt;&gt;"Facture d'acompte"),"Le n° à déduire n'est pas une facture d'acompte",IF(AND(L113&lt;&gt;"",COUNTIF($L$6:L113,L113)&gt;1),"Acompte déjà déduit sur une autre facture",IF(AND(L113&lt;&gt;"",IFERROR(INDEX(fa_client,MATCH(L113,fa_num,0)),D113)&lt;&gt;D113),"Acompte d'un autre client",IF(AND(AR113&lt;&gt;"",N(Q113)&lt;0),"Acompte supérieur au total de la facture",IF(IF(AG113="Facture",COUNTIFS(fl_doc,A113,fl_check,"&lt;&gt;OK"),IF(AG113="Devis",COUNTIFS(dl_doc,F113,dl_check,"&lt;&gt;OK"),0))&gt;0,"Ligne(s) à corriger",IF(AND(W113&lt;&gt;"",N(W113)&lt;0),"Trop-perçu : vérifiez paiements et avoirs","OK")))))))))))))))))))))</f>
        <v/>
      </c>
      <c r="AA113" s="62" t="str">
        <f>IF(COUNTA(B113:D113,F113:O113)&gt;0,IF(B113="","Facture",B113),"")</f>
        <v/>
      </c>
      <c r="AB113" s="62" t="str">
        <f>IF(AA113="","",IF(AA113="Avoir",p_pav,IF(AA113="Facture d'acompte",p_pac,p_pfa)))</f>
        <v/>
      </c>
      <c r="AC113" s="62">
        <f>IF(ISNUMBER(C113),C113,0)</f>
        <v>0.0</v>
      </c>
      <c r="AD113" s="62" t="str">
        <f>IF(OR(AA113="",AC113=0),"",YEAR(AC113))</f>
        <v/>
      </c>
      <c r="AE113" s="62" t="str">
        <f>IF(AD113="","",COUNTIFS($AB$6:AB113,AB113,$AD$6:AD113,AD113))</f>
        <v/>
      </c>
      <c r="AF113" s="62">
        <f>IF(A113="",0,COUNTIF(fl_doc,A113))</f>
        <v>0.0</v>
      </c>
      <c r="AG113" s="62" t="str">
        <f>IF(A113="","",IF(AF113&gt;0,"Facture",IF(AND(F113&lt;&gt;"",AA113="Facture",ISNUMBER(MATCH(F113,dv_num,0))),"Devis","")))</f>
        <v/>
      </c>
      <c r="AH113" s="62" t="str">
        <f>IF(AND(A113&lt;&gt;"",F113&lt;&gt;"",AA113&lt;&gt;"Avoir"),F113,"")</f>
        <v/>
      </c>
      <c r="AI113" s="62" t="str">
        <f>IF(AG113="Devis",F113,"")</f>
        <v/>
      </c>
      <c r="AJ113" s="62">
        <f>IF(AG113="Facture",SUMIF(fl_doc,A113,fl_ht),IF(AG113="Devis",SUMIF(dl_doc,F113,dl_ht),0))</f>
        <v>0.0</v>
      </c>
      <c r="AK113" s="62">
        <f>IF(OR(AG113="",INDEX(p_rates,1)=""),0,IF(AG113="Facture",SUMIFS(fl_ht,fl_doc,A113,fl_rate,INDEX(p_rates,1)),SUMIFS(dl_ht,dl_doc,F113,dl_rate,INDEX(p_rates,1))))</f>
        <v>0.0</v>
      </c>
      <c r="AL113" s="62">
        <f>IF(OR(AG113="",INDEX(p_rates,2)=""),0,IF(AG113="Facture",SUMIFS(fl_ht,fl_doc,A113,fl_rate,INDEX(p_rates,2)),SUMIFS(dl_ht,dl_doc,F113,dl_rate,INDEX(p_rates,2))))</f>
        <v>0.0</v>
      </c>
      <c r="AM113" s="62">
        <f>IF(OR(AG113="",INDEX(p_rates,3)=""),0,IF(AG113="Facture",SUMIFS(fl_ht,fl_doc,A113,fl_rate,INDEX(p_rates,3)),SUMIFS(dl_ht,dl_doc,F113,dl_rate,INDEX(p_rates,3))))</f>
        <v>0.0</v>
      </c>
      <c r="AN113" s="62">
        <f>IF(OR(AG113="",INDEX(p_rates,4)=""),0,IF(AG113="Facture",SUMIFS(fl_ht,fl_doc,A113,fl_rate,INDEX(p_rates,4)),SUMIFS(dl_ht,dl_doc,F113,dl_rate,INDEX(p_rates,4))))</f>
        <v>0.0</v>
      </c>
      <c r="AO113" s="62">
        <f>IF(OR(AG113="",INDEX(p_rates,5)=""),0,IF(AG113="Facture",SUMIFS(fl_ht,fl_doc,A113,fl_rate,INDEX(p_rates,5)),SUMIFS(dl_ht,dl_doc,F113,dl_rate,INDEX(p_rates,5))))</f>
        <v>0.0</v>
      </c>
      <c r="AP113" s="62">
        <f>IF(OR(AG113="",INDEX(p_rates,6)=""),0,IF(AG113="Facture",SUMIFS(fl_ht,fl_doc,A113,fl_rate,INDEX(p_rates,6)),SUMIFS(dl_ht,dl_doc,F113,dl_rate,INDEX(p_rates,6))))</f>
        <v>0.0</v>
      </c>
      <c r="AQ113" s="62">
        <f>ROUND(AK113*N(INDEX(p_rates,1)),2)+ROUND(AL113*N(INDEX(p_rates,2)),2)+ROUND(AM113*N(INDEX(p_rates,3)),2)+ROUND(AN113*N(INDEX(p_rates,4)),2)+ROUND(AO113*N(INDEX(p_rates,5)),2)+ROUND(AP113*N(INDEX(p_rates,6)),2)</f>
        <v>0.0</v>
      </c>
      <c r="AR113" s="62" t="str">
        <f>IF(OR(L113="",AA113&lt;&gt;"Facture"),"",IFERROR(IF(INDEX(fa_type,MATCH(L113,fa_num,0))="Facture d'acompte",MATCH(L113,fa_num,0),""),""))</f>
        <v/>
      </c>
      <c r="AS113" s="62" t="str">
        <f>IF(W113="","",IF(W113&lt;=0,"",IF(p_asof-P113&lt;=0,"Non échu",IF(p_asof-P113&lt;=30,"1-30 j",IF(p_asof-P113&lt;=60,"31-60 j",IF(p_asof-P113&lt;=90,"61-90 j","Plus de 90 j"))))))</f>
        <v/>
      </c>
      <c r="AT113" s="62" t="str">
        <f>IF(AS113="","",p_asof-P113)</f>
        <v/>
      </c>
      <c r="AU113" s="62" t="str">
        <f>IF(AT113="","",COUNTIF($AT$6:$AT$805,"&gt;"&amp;AT113)+COUNTIF($AT$6:AT113,AT113))</f>
        <v/>
      </c>
    </row>
    <row r="114">
      <c r="A114" s="59" t="str">
        <f>IF(AE114="","",AB114&amp;"-"&amp;AD114&amp;"-"&amp;RIGHT("000"&amp;AE114,4))</f>
        <v/>
      </c>
      <c r="B114" s="60" t="n"/>
      <c r="C114" s="61" t="n"/>
      <c r="D114" s="60" t="n"/>
      <c r="E114" s="62" t="str">
        <f>IF(D114="","",IFERROR(INDEX(cli_name,MATCH(D114,cli_code,0))&amp;"","Client inconnu"))</f>
        <v/>
      </c>
      <c r="F114" s="60" t="n"/>
      <c r="G114" s="63" t="n"/>
      <c r="H114" s="61" t="n"/>
      <c r="I114" s="63" t="n"/>
      <c r="J114" s="60" t="n"/>
      <c r="K114" s="61" t="n"/>
      <c r="L114" s="60" t="n"/>
      <c r="M114" s="60" t="n"/>
      <c r="N114" s="60" t="n"/>
      <c r="O114" s="61" t="n"/>
      <c r="P114" s="64" t="str">
        <f>IF(A114="","",IF(AA114="Avoir",AC114,IF(ISNUMBER(K114),K114,AC114+IF(D114="",N(p_delay),IFERROR(IF(ISNUMBER(INDEX(cli_delay,MATCH(D114,cli_code,0))),INDEX(cli_delay,MATCH(D114,cli_code,0)),N(p_delay)),N(p_delay))))))</f>
        <v/>
      </c>
      <c r="Q114" s="65" t="str">
        <f>IF(A114="","",IF(AA114="Avoir",-1,1)*ROUND(AJ114-IF(AR114="",0,INDEX(fa_htb,AR114)),2))</f>
        <v/>
      </c>
      <c r="R114" s="65" t="str">
        <f>IF(A114="","",IF(AA114="Avoir",-1,1)*ROUND(AQ114-IF(AR114="",0,INDEX(fa_tvab,AR114)),2))</f>
        <v/>
      </c>
      <c r="S114" s="65" t="str">
        <f>IF(A114="","",Q114+R114)</f>
        <v/>
      </c>
      <c r="T114" s="65" t="str">
        <f>IF(AR114="","",INDEX(fa_htb,AR114)+INDEX(fa_tvab,AR114))</f>
        <v/>
      </c>
      <c r="U114" s="65" t="str">
        <f>IF(A114="","",SUMIF(pa_inv,A114,pa_amt))</f>
        <v/>
      </c>
      <c r="V114" s="65" t="str">
        <f>IF(OR(A114="",AA114="Avoir"),"",-SUMIFS(fa_ttc,fa_avof,A114,fa_type,"Avoir"))</f>
        <v/>
      </c>
      <c r="W114" s="65" t="str">
        <f>IF(OR(A114="",AA114="Avoir"),"",ROUND(S114-U114-V114,2))</f>
        <v/>
      </c>
      <c r="X114" s="66" t="str">
        <f>IF(W114="","",IF(AND(W114&gt;0,p_asof&gt;P114),p_asof-P114,""))</f>
        <v/>
      </c>
      <c r="Y114" s="59" t="str">
        <f>IF(A114="","",IF(AA114="Avoir","Avoir",IF(W114&lt;0,"Trop-perçu",IF(W114=0,"Soldée",IF(p_asof&gt;P114,"En retard",IF(U114+V114&gt;0,"Partielle","À échoir"))))))</f>
        <v/>
      </c>
      <c r="Z114" s="59" t="str">
        <f>IF(NOT(COUNTA(B114:D114,F114:O114)&gt;0),"",IF(C114="","Date manquante",IF(NOT(ISNUMBER(C114)),"Date invalide",IF(D114="","Client manquant",IF(ISNA(MATCH(D114,cli_code,0)),"Client inconnu",IF(AC114&lt;SUMPRODUCT(MAX(($AB$6:AB113=AB114)*$AC$6:AC113)),"Date antérieure à la facture précédente",IF(AND(F114&lt;&gt;"",ISNA(MATCH(F114,dv_num,0))),"Devis inconnu",IF(AND(F114&lt;&gt;"",IFERROR(INDEX(dv_client,MATCH(F114,dv_num,0)),D114)&lt;&gt;D114),"Client différent de celui du devis",IF(AG114="","Aucune ligne : saisissez des lignes ou un devis",IF(AND(AI114&lt;&gt;"",COUNTIF($AI$6:AI114,AI114)&gt;1),"Devis déjà repris par une autre facture",IF(AND(AA114="Avoir",M114=""),"Avoir : indiquez la facture d'origine",IF(AND(AA114="Avoir",ISNA(MATCH(M114,fa_num,0))),"Facture d'origine inconnue",IF(AND(AA114&lt;&gt;"Avoir",M114&lt;&gt;""),"« Avoir sur facture » : réservé aux avoirs",IF(AND(L114&lt;&gt;"",AA114&lt;&gt;"Facture"),"Acompte à déduire : réservé aux factures",IF(AND(L114&lt;&gt;"",ISNA(MATCH(L114,fa_num,0))),"Facture d'acompte inconnue",IF(AND(L114&lt;&gt;"",IFERROR(INDEX(fa_type,MATCH(L114,fa_num,0)),"")&lt;&gt;"Facture d'acompte"),"Le n° à déduire n'est pas une facture d'acompte",IF(AND(L114&lt;&gt;"",COUNTIF($L$6:L114,L114)&gt;1),"Acompte déjà déduit sur une autre facture",IF(AND(L114&lt;&gt;"",IFERROR(INDEX(fa_client,MATCH(L114,fa_num,0)),D114)&lt;&gt;D114),"Acompte d'un autre client",IF(AND(AR114&lt;&gt;"",N(Q114)&lt;0),"Acompte supérieur au total de la facture",IF(IF(AG114="Facture",COUNTIFS(fl_doc,A114,fl_check,"&lt;&gt;OK"),IF(AG114="Devis",COUNTIFS(dl_doc,F114,dl_check,"&lt;&gt;OK"),0))&gt;0,"Ligne(s) à corriger",IF(AND(W114&lt;&gt;"",N(W114)&lt;0),"Trop-perçu : vérifiez paiements et avoirs","OK")))))))))))))))))))))</f>
        <v/>
      </c>
      <c r="AA114" s="62" t="str">
        <f>IF(COUNTA(B114:D114,F114:O114)&gt;0,IF(B114="","Facture",B114),"")</f>
        <v/>
      </c>
      <c r="AB114" s="62" t="str">
        <f>IF(AA114="","",IF(AA114="Avoir",p_pav,IF(AA114="Facture d'acompte",p_pac,p_pfa)))</f>
        <v/>
      </c>
      <c r="AC114" s="62">
        <f>IF(ISNUMBER(C114),C114,0)</f>
        <v>0.0</v>
      </c>
      <c r="AD114" s="62" t="str">
        <f>IF(OR(AA114="",AC114=0),"",YEAR(AC114))</f>
        <v/>
      </c>
      <c r="AE114" s="62" t="str">
        <f>IF(AD114="","",COUNTIFS($AB$6:AB114,AB114,$AD$6:AD114,AD114))</f>
        <v/>
      </c>
      <c r="AF114" s="62">
        <f>IF(A114="",0,COUNTIF(fl_doc,A114))</f>
        <v>0.0</v>
      </c>
      <c r="AG114" s="62" t="str">
        <f>IF(A114="","",IF(AF114&gt;0,"Facture",IF(AND(F114&lt;&gt;"",AA114="Facture",ISNUMBER(MATCH(F114,dv_num,0))),"Devis","")))</f>
        <v/>
      </c>
      <c r="AH114" s="62" t="str">
        <f>IF(AND(A114&lt;&gt;"",F114&lt;&gt;"",AA114&lt;&gt;"Avoir"),F114,"")</f>
        <v/>
      </c>
      <c r="AI114" s="62" t="str">
        <f>IF(AG114="Devis",F114,"")</f>
        <v/>
      </c>
      <c r="AJ114" s="62">
        <f>IF(AG114="Facture",SUMIF(fl_doc,A114,fl_ht),IF(AG114="Devis",SUMIF(dl_doc,F114,dl_ht),0))</f>
        <v>0.0</v>
      </c>
      <c r="AK114" s="62">
        <f>IF(OR(AG114="",INDEX(p_rates,1)=""),0,IF(AG114="Facture",SUMIFS(fl_ht,fl_doc,A114,fl_rate,INDEX(p_rates,1)),SUMIFS(dl_ht,dl_doc,F114,dl_rate,INDEX(p_rates,1))))</f>
        <v>0.0</v>
      </c>
      <c r="AL114" s="62">
        <f>IF(OR(AG114="",INDEX(p_rates,2)=""),0,IF(AG114="Facture",SUMIFS(fl_ht,fl_doc,A114,fl_rate,INDEX(p_rates,2)),SUMIFS(dl_ht,dl_doc,F114,dl_rate,INDEX(p_rates,2))))</f>
        <v>0.0</v>
      </c>
      <c r="AM114" s="62">
        <f>IF(OR(AG114="",INDEX(p_rates,3)=""),0,IF(AG114="Facture",SUMIFS(fl_ht,fl_doc,A114,fl_rate,INDEX(p_rates,3)),SUMIFS(dl_ht,dl_doc,F114,dl_rate,INDEX(p_rates,3))))</f>
        <v>0.0</v>
      </c>
      <c r="AN114" s="62">
        <f>IF(OR(AG114="",INDEX(p_rates,4)=""),0,IF(AG114="Facture",SUMIFS(fl_ht,fl_doc,A114,fl_rate,INDEX(p_rates,4)),SUMIFS(dl_ht,dl_doc,F114,dl_rate,INDEX(p_rates,4))))</f>
        <v>0.0</v>
      </c>
      <c r="AO114" s="62">
        <f>IF(OR(AG114="",INDEX(p_rates,5)=""),0,IF(AG114="Facture",SUMIFS(fl_ht,fl_doc,A114,fl_rate,INDEX(p_rates,5)),SUMIFS(dl_ht,dl_doc,F114,dl_rate,INDEX(p_rates,5))))</f>
        <v>0.0</v>
      </c>
      <c r="AP114" s="62">
        <f>IF(OR(AG114="",INDEX(p_rates,6)=""),0,IF(AG114="Facture",SUMIFS(fl_ht,fl_doc,A114,fl_rate,INDEX(p_rates,6)),SUMIFS(dl_ht,dl_doc,F114,dl_rate,INDEX(p_rates,6))))</f>
        <v>0.0</v>
      </c>
      <c r="AQ114" s="62">
        <f>ROUND(AK114*N(INDEX(p_rates,1)),2)+ROUND(AL114*N(INDEX(p_rates,2)),2)+ROUND(AM114*N(INDEX(p_rates,3)),2)+ROUND(AN114*N(INDEX(p_rates,4)),2)+ROUND(AO114*N(INDEX(p_rates,5)),2)+ROUND(AP114*N(INDEX(p_rates,6)),2)</f>
        <v>0.0</v>
      </c>
      <c r="AR114" s="62" t="str">
        <f>IF(OR(L114="",AA114&lt;&gt;"Facture"),"",IFERROR(IF(INDEX(fa_type,MATCH(L114,fa_num,0))="Facture d'acompte",MATCH(L114,fa_num,0),""),""))</f>
        <v/>
      </c>
      <c r="AS114" s="62" t="str">
        <f>IF(W114="","",IF(W114&lt;=0,"",IF(p_asof-P114&lt;=0,"Non échu",IF(p_asof-P114&lt;=30,"1-30 j",IF(p_asof-P114&lt;=60,"31-60 j",IF(p_asof-P114&lt;=90,"61-90 j","Plus de 90 j"))))))</f>
        <v/>
      </c>
      <c r="AT114" s="62" t="str">
        <f>IF(AS114="","",p_asof-P114)</f>
        <v/>
      </c>
      <c r="AU114" s="62" t="str">
        <f>IF(AT114="","",COUNTIF($AT$6:$AT$805,"&gt;"&amp;AT114)+COUNTIF($AT$6:AT114,AT114))</f>
        <v/>
      </c>
    </row>
    <row r="115">
      <c r="A115" s="59" t="str">
        <f>IF(AE115="","",AB115&amp;"-"&amp;AD115&amp;"-"&amp;RIGHT("000"&amp;AE115,4))</f>
        <v/>
      </c>
      <c r="B115" s="60" t="n"/>
      <c r="C115" s="61" t="n"/>
      <c r="D115" s="60" t="n"/>
      <c r="E115" s="62" t="str">
        <f>IF(D115="","",IFERROR(INDEX(cli_name,MATCH(D115,cli_code,0))&amp;"","Client inconnu"))</f>
        <v/>
      </c>
      <c r="F115" s="60" t="n"/>
      <c r="G115" s="63" t="n"/>
      <c r="H115" s="61" t="n"/>
      <c r="I115" s="63" t="n"/>
      <c r="J115" s="60" t="n"/>
      <c r="K115" s="61" t="n"/>
      <c r="L115" s="60" t="n"/>
      <c r="M115" s="60" t="n"/>
      <c r="N115" s="60" t="n"/>
      <c r="O115" s="61" t="n"/>
      <c r="P115" s="64" t="str">
        <f>IF(A115="","",IF(AA115="Avoir",AC115,IF(ISNUMBER(K115),K115,AC115+IF(D115="",N(p_delay),IFERROR(IF(ISNUMBER(INDEX(cli_delay,MATCH(D115,cli_code,0))),INDEX(cli_delay,MATCH(D115,cli_code,0)),N(p_delay)),N(p_delay))))))</f>
        <v/>
      </c>
      <c r="Q115" s="65" t="str">
        <f>IF(A115="","",IF(AA115="Avoir",-1,1)*ROUND(AJ115-IF(AR115="",0,INDEX(fa_htb,AR115)),2))</f>
        <v/>
      </c>
      <c r="R115" s="65" t="str">
        <f>IF(A115="","",IF(AA115="Avoir",-1,1)*ROUND(AQ115-IF(AR115="",0,INDEX(fa_tvab,AR115)),2))</f>
        <v/>
      </c>
      <c r="S115" s="65" t="str">
        <f>IF(A115="","",Q115+R115)</f>
        <v/>
      </c>
      <c r="T115" s="65" t="str">
        <f>IF(AR115="","",INDEX(fa_htb,AR115)+INDEX(fa_tvab,AR115))</f>
        <v/>
      </c>
      <c r="U115" s="65" t="str">
        <f>IF(A115="","",SUMIF(pa_inv,A115,pa_amt))</f>
        <v/>
      </c>
      <c r="V115" s="65" t="str">
        <f>IF(OR(A115="",AA115="Avoir"),"",-SUMIFS(fa_ttc,fa_avof,A115,fa_type,"Avoir"))</f>
        <v/>
      </c>
      <c r="W115" s="65" t="str">
        <f>IF(OR(A115="",AA115="Avoir"),"",ROUND(S115-U115-V115,2))</f>
        <v/>
      </c>
      <c r="X115" s="66" t="str">
        <f>IF(W115="","",IF(AND(W115&gt;0,p_asof&gt;P115),p_asof-P115,""))</f>
        <v/>
      </c>
      <c r="Y115" s="59" t="str">
        <f>IF(A115="","",IF(AA115="Avoir","Avoir",IF(W115&lt;0,"Trop-perçu",IF(W115=0,"Soldée",IF(p_asof&gt;P115,"En retard",IF(U115+V115&gt;0,"Partielle","À échoir"))))))</f>
        <v/>
      </c>
      <c r="Z115" s="59" t="str">
        <f>IF(NOT(COUNTA(B115:D115,F115:O115)&gt;0),"",IF(C115="","Date manquante",IF(NOT(ISNUMBER(C115)),"Date invalide",IF(D115="","Client manquant",IF(ISNA(MATCH(D115,cli_code,0)),"Client inconnu",IF(AC115&lt;SUMPRODUCT(MAX(($AB$6:AB114=AB115)*$AC$6:AC114)),"Date antérieure à la facture précédente",IF(AND(F115&lt;&gt;"",ISNA(MATCH(F115,dv_num,0))),"Devis inconnu",IF(AND(F115&lt;&gt;"",IFERROR(INDEX(dv_client,MATCH(F115,dv_num,0)),D115)&lt;&gt;D115),"Client différent de celui du devis",IF(AG115="","Aucune ligne : saisissez des lignes ou un devis",IF(AND(AI115&lt;&gt;"",COUNTIF($AI$6:AI115,AI115)&gt;1),"Devis déjà repris par une autre facture",IF(AND(AA115="Avoir",M115=""),"Avoir : indiquez la facture d'origine",IF(AND(AA115="Avoir",ISNA(MATCH(M115,fa_num,0))),"Facture d'origine inconnue",IF(AND(AA115&lt;&gt;"Avoir",M115&lt;&gt;""),"« Avoir sur facture » : réservé aux avoirs",IF(AND(L115&lt;&gt;"",AA115&lt;&gt;"Facture"),"Acompte à déduire : réservé aux factures",IF(AND(L115&lt;&gt;"",ISNA(MATCH(L115,fa_num,0))),"Facture d'acompte inconnue",IF(AND(L115&lt;&gt;"",IFERROR(INDEX(fa_type,MATCH(L115,fa_num,0)),"")&lt;&gt;"Facture d'acompte"),"Le n° à déduire n'est pas une facture d'acompte",IF(AND(L115&lt;&gt;"",COUNTIF($L$6:L115,L115)&gt;1),"Acompte déjà déduit sur une autre facture",IF(AND(L115&lt;&gt;"",IFERROR(INDEX(fa_client,MATCH(L115,fa_num,0)),D115)&lt;&gt;D115),"Acompte d'un autre client",IF(AND(AR115&lt;&gt;"",N(Q115)&lt;0),"Acompte supérieur au total de la facture",IF(IF(AG115="Facture",COUNTIFS(fl_doc,A115,fl_check,"&lt;&gt;OK"),IF(AG115="Devis",COUNTIFS(dl_doc,F115,dl_check,"&lt;&gt;OK"),0))&gt;0,"Ligne(s) à corriger",IF(AND(W115&lt;&gt;"",N(W115)&lt;0),"Trop-perçu : vérifiez paiements et avoirs","OK")))))))))))))))))))))</f>
        <v/>
      </c>
      <c r="AA115" s="62" t="str">
        <f>IF(COUNTA(B115:D115,F115:O115)&gt;0,IF(B115="","Facture",B115),"")</f>
        <v/>
      </c>
      <c r="AB115" s="62" t="str">
        <f>IF(AA115="","",IF(AA115="Avoir",p_pav,IF(AA115="Facture d'acompte",p_pac,p_pfa)))</f>
        <v/>
      </c>
      <c r="AC115" s="62">
        <f>IF(ISNUMBER(C115),C115,0)</f>
        <v>0.0</v>
      </c>
      <c r="AD115" s="62" t="str">
        <f>IF(OR(AA115="",AC115=0),"",YEAR(AC115))</f>
        <v/>
      </c>
      <c r="AE115" s="62" t="str">
        <f>IF(AD115="","",COUNTIFS($AB$6:AB115,AB115,$AD$6:AD115,AD115))</f>
        <v/>
      </c>
      <c r="AF115" s="62">
        <f>IF(A115="",0,COUNTIF(fl_doc,A115))</f>
        <v>0.0</v>
      </c>
      <c r="AG115" s="62" t="str">
        <f>IF(A115="","",IF(AF115&gt;0,"Facture",IF(AND(F115&lt;&gt;"",AA115="Facture",ISNUMBER(MATCH(F115,dv_num,0))),"Devis","")))</f>
        <v/>
      </c>
      <c r="AH115" s="62" t="str">
        <f>IF(AND(A115&lt;&gt;"",F115&lt;&gt;"",AA115&lt;&gt;"Avoir"),F115,"")</f>
        <v/>
      </c>
      <c r="AI115" s="62" t="str">
        <f>IF(AG115="Devis",F115,"")</f>
        <v/>
      </c>
      <c r="AJ115" s="62">
        <f>IF(AG115="Facture",SUMIF(fl_doc,A115,fl_ht),IF(AG115="Devis",SUMIF(dl_doc,F115,dl_ht),0))</f>
        <v>0.0</v>
      </c>
      <c r="AK115" s="62">
        <f>IF(OR(AG115="",INDEX(p_rates,1)=""),0,IF(AG115="Facture",SUMIFS(fl_ht,fl_doc,A115,fl_rate,INDEX(p_rates,1)),SUMIFS(dl_ht,dl_doc,F115,dl_rate,INDEX(p_rates,1))))</f>
        <v>0.0</v>
      </c>
      <c r="AL115" s="62">
        <f>IF(OR(AG115="",INDEX(p_rates,2)=""),0,IF(AG115="Facture",SUMIFS(fl_ht,fl_doc,A115,fl_rate,INDEX(p_rates,2)),SUMIFS(dl_ht,dl_doc,F115,dl_rate,INDEX(p_rates,2))))</f>
        <v>0.0</v>
      </c>
      <c r="AM115" s="62">
        <f>IF(OR(AG115="",INDEX(p_rates,3)=""),0,IF(AG115="Facture",SUMIFS(fl_ht,fl_doc,A115,fl_rate,INDEX(p_rates,3)),SUMIFS(dl_ht,dl_doc,F115,dl_rate,INDEX(p_rates,3))))</f>
        <v>0.0</v>
      </c>
      <c r="AN115" s="62">
        <f>IF(OR(AG115="",INDEX(p_rates,4)=""),0,IF(AG115="Facture",SUMIFS(fl_ht,fl_doc,A115,fl_rate,INDEX(p_rates,4)),SUMIFS(dl_ht,dl_doc,F115,dl_rate,INDEX(p_rates,4))))</f>
        <v>0.0</v>
      </c>
      <c r="AO115" s="62">
        <f>IF(OR(AG115="",INDEX(p_rates,5)=""),0,IF(AG115="Facture",SUMIFS(fl_ht,fl_doc,A115,fl_rate,INDEX(p_rates,5)),SUMIFS(dl_ht,dl_doc,F115,dl_rate,INDEX(p_rates,5))))</f>
        <v>0.0</v>
      </c>
      <c r="AP115" s="62">
        <f>IF(OR(AG115="",INDEX(p_rates,6)=""),0,IF(AG115="Facture",SUMIFS(fl_ht,fl_doc,A115,fl_rate,INDEX(p_rates,6)),SUMIFS(dl_ht,dl_doc,F115,dl_rate,INDEX(p_rates,6))))</f>
        <v>0.0</v>
      </c>
      <c r="AQ115" s="62">
        <f>ROUND(AK115*N(INDEX(p_rates,1)),2)+ROUND(AL115*N(INDEX(p_rates,2)),2)+ROUND(AM115*N(INDEX(p_rates,3)),2)+ROUND(AN115*N(INDEX(p_rates,4)),2)+ROUND(AO115*N(INDEX(p_rates,5)),2)+ROUND(AP115*N(INDEX(p_rates,6)),2)</f>
        <v>0.0</v>
      </c>
      <c r="AR115" s="62" t="str">
        <f>IF(OR(L115="",AA115&lt;&gt;"Facture"),"",IFERROR(IF(INDEX(fa_type,MATCH(L115,fa_num,0))="Facture d'acompte",MATCH(L115,fa_num,0),""),""))</f>
        <v/>
      </c>
      <c r="AS115" s="62" t="str">
        <f>IF(W115="","",IF(W115&lt;=0,"",IF(p_asof-P115&lt;=0,"Non échu",IF(p_asof-P115&lt;=30,"1-30 j",IF(p_asof-P115&lt;=60,"31-60 j",IF(p_asof-P115&lt;=90,"61-90 j","Plus de 90 j"))))))</f>
        <v/>
      </c>
      <c r="AT115" s="62" t="str">
        <f>IF(AS115="","",p_asof-P115)</f>
        <v/>
      </c>
      <c r="AU115" s="62" t="str">
        <f>IF(AT115="","",COUNTIF($AT$6:$AT$805,"&gt;"&amp;AT115)+COUNTIF($AT$6:AT115,AT115))</f>
        <v/>
      </c>
    </row>
    <row r="116">
      <c r="A116" s="59" t="str">
        <f>IF(AE116="","",AB116&amp;"-"&amp;AD116&amp;"-"&amp;RIGHT("000"&amp;AE116,4))</f>
        <v/>
      </c>
      <c r="B116" s="60" t="n"/>
      <c r="C116" s="61" t="n"/>
      <c r="D116" s="60" t="n"/>
      <c r="E116" s="62" t="str">
        <f>IF(D116="","",IFERROR(INDEX(cli_name,MATCH(D116,cli_code,0))&amp;"","Client inconnu"))</f>
        <v/>
      </c>
      <c r="F116" s="60" t="n"/>
      <c r="G116" s="63" t="n"/>
      <c r="H116" s="61" t="n"/>
      <c r="I116" s="63" t="n"/>
      <c r="J116" s="60" t="n"/>
      <c r="K116" s="61" t="n"/>
      <c r="L116" s="60" t="n"/>
      <c r="M116" s="60" t="n"/>
      <c r="N116" s="60" t="n"/>
      <c r="O116" s="61" t="n"/>
      <c r="P116" s="64" t="str">
        <f>IF(A116="","",IF(AA116="Avoir",AC116,IF(ISNUMBER(K116),K116,AC116+IF(D116="",N(p_delay),IFERROR(IF(ISNUMBER(INDEX(cli_delay,MATCH(D116,cli_code,0))),INDEX(cli_delay,MATCH(D116,cli_code,0)),N(p_delay)),N(p_delay))))))</f>
        <v/>
      </c>
      <c r="Q116" s="65" t="str">
        <f>IF(A116="","",IF(AA116="Avoir",-1,1)*ROUND(AJ116-IF(AR116="",0,INDEX(fa_htb,AR116)),2))</f>
        <v/>
      </c>
      <c r="R116" s="65" t="str">
        <f>IF(A116="","",IF(AA116="Avoir",-1,1)*ROUND(AQ116-IF(AR116="",0,INDEX(fa_tvab,AR116)),2))</f>
        <v/>
      </c>
      <c r="S116" s="65" t="str">
        <f>IF(A116="","",Q116+R116)</f>
        <v/>
      </c>
      <c r="T116" s="65" t="str">
        <f>IF(AR116="","",INDEX(fa_htb,AR116)+INDEX(fa_tvab,AR116))</f>
        <v/>
      </c>
      <c r="U116" s="65" t="str">
        <f>IF(A116="","",SUMIF(pa_inv,A116,pa_amt))</f>
        <v/>
      </c>
      <c r="V116" s="65" t="str">
        <f>IF(OR(A116="",AA116="Avoir"),"",-SUMIFS(fa_ttc,fa_avof,A116,fa_type,"Avoir"))</f>
        <v/>
      </c>
      <c r="W116" s="65" t="str">
        <f>IF(OR(A116="",AA116="Avoir"),"",ROUND(S116-U116-V116,2))</f>
        <v/>
      </c>
      <c r="X116" s="66" t="str">
        <f>IF(W116="","",IF(AND(W116&gt;0,p_asof&gt;P116),p_asof-P116,""))</f>
        <v/>
      </c>
      <c r="Y116" s="59" t="str">
        <f>IF(A116="","",IF(AA116="Avoir","Avoir",IF(W116&lt;0,"Trop-perçu",IF(W116=0,"Soldée",IF(p_asof&gt;P116,"En retard",IF(U116+V116&gt;0,"Partielle","À échoir"))))))</f>
        <v/>
      </c>
      <c r="Z116" s="59" t="str">
        <f>IF(NOT(COUNTA(B116:D116,F116:O116)&gt;0),"",IF(C116="","Date manquante",IF(NOT(ISNUMBER(C116)),"Date invalide",IF(D116="","Client manquant",IF(ISNA(MATCH(D116,cli_code,0)),"Client inconnu",IF(AC116&lt;SUMPRODUCT(MAX(($AB$6:AB115=AB116)*$AC$6:AC115)),"Date antérieure à la facture précédente",IF(AND(F116&lt;&gt;"",ISNA(MATCH(F116,dv_num,0))),"Devis inconnu",IF(AND(F116&lt;&gt;"",IFERROR(INDEX(dv_client,MATCH(F116,dv_num,0)),D116)&lt;&gt;D116),"Client différent de celui du devis",IF(AG116="","Aucune ligne : saisissez des lignes ou un devis",IF(AND(AI116&lt;&gt;"",COUNTIF($AI$6:AI116,AI116)&gt;1),"Devis déjà repris par une autre facture",IF(AND(AA116="Avoir",M116=""),"Avoir : indiquez la facture d'origine",IF(AND(AA116="Avoir",ISNA(MATCH(M116,fa_num,0))),"Facture d'origine inconnue",IF(AND(AA116&lt;&gt;"Avoir",M116&lt;&gt;""),"« Avoir sur facture » : réservé aux avoirs",IF(AND(L116&lt;&gt;"",AA116&lt;&gt;"Facture"),"Acompte à déduire : réservé aux factures",IF(AND(L116&lt;&gt;"",ISNA(MATCH(L116,fa_num,0))),"Facture d'acompte inconnue",IF(AND(L116&lt;&gt;"",IFERROR(INDEX(fa_type,MATCH(L116,fa_num,0)),"")&lt;&gt;"Facture d'acompte"),"Le n° à déduire n'est pas une facture d'acompte",IF(AND(L116&lt;&gt;"",COUNTIF($L$6:L116,L116)&gt;1),"Acompte déjà déduit sur une autre facture",IF(AND(L116&lt;&gt;"",IFERROR(INDEX(fa_client,MATCH(L116,fa_num,0)),D116)&lt;&gt;D116),"Acompte d'un autre client",IF(AND(AR116&lt;&gt;"",N(Q116)&lt;0),"Acompte supérieur au total de la facture",IF(IF(AG116="Facture",COUNTIFS(fl_doc,A116,fl_check,"&lt;&gt;OK"),IF(AG116="Devis",COUNTIFS(dl_doc,F116,dl_check,"&lt;&gt;OK"),0))&gt;0,"Ligne(s) à corriger",IF(AND(W116&lt;&gt;"",N(W116)&lt;0),"Trop-perçu : vérifiez paiements et avoirs","OK")))))))))))))))))))))</f>
        <v/>
      </c>
      <c r="AA116" s="62" t="str">
        <f>IF(COUNTA(B116:D116,F116:O116)&gt;0,IF(B116="","Facture",B116),"")</f>
        <v/>
      </c>
      <c r="AB116" s="62" t="str">
        <f>IF(AA116="","",IF(AA116="Avoir",p_pav,IF(AA116="Facture d'acompte",p_pac,p_pfa)))</f>
        <v/>
      </c>
      <c r="AC116" s="62">
        <f>IF(ISNUMBER(C116),C116,0)</f>
        <v>0.0</v>
      </c>
      <c r="AD116" s="62" t="str">
        <f>IF(OR(AA116="",AC116=0),"",YEAR(AC116))</f>
        <v/>
      </c>
      <c r="AE116" s="62" t="str">
        <f>IF(AD116="","",COUNTIFS($AB$6:AB116,AB116,$AD$6:AD116,AD116))</f>
        <v/>
      </c>
      <c r="AF116" s="62">
        <f>IF(A116="",0,COUNTIF(fl_doc,A116))</f>
        <v>0.0</v>
      </c>
      <c r="AG116" s="62" t="str">
        <f>IF(A116="","",IF(AF116&gt;0,"Facture",IF(AND(F116&lt;&gt;"",AA116="Facture",ISNUMBER(MATCH(F116,dv_num,0))),"Devis","")))</f>
        <v/>
      </c>
      <c r="AH116" s="62" t="str">
        <f>IF(AND(A116&lt;&gt;"",F116&lt;&gt;"",AA116&lt;&gt;"Avoir"),F116,"")</f>
        <v/>
      </c>
      <c r="AI116" s="62" t="str">
        <f>IF(AG116="Devis",F116,"")</f>
        <v/>
      </c>
      <c r="AJ116" s="62">
        <f>IF(AG116="Facture",SUMIF(fl_doc,A116,fl_ht),IF(AG116="Devis",SUMIF(dl_doc,F116,dl_ht),0))</f>
        <v>0.0</v>
      </c>
      <c r="AK116" s="62">
        <f>IF(OR(AG116="",INDEX(p_rates,1)=""),0,IF(AG116="Facture",SUMIFS(fl_ht,fl_doc,A116,fl_rate,INDEX(p_rates,1)),SUMIFS(dl_ht,dl_doc,F116,dl_rate,INDEX(p_rates,1))))</f>
        <v>0.0</v>
      </c>
      <c r="AL116" s="62">
        <f>IF(OR(AG116="",INDEX(p_rates,2)=""),0,IF(AG116="Facture",SUMIFS(fl_ht,fl_doc,A116,fl_rate,INDEX(p_rates,2)),SUMIFS(dl_ht,dl_doc,F116,dl_rate,INDEX(p_rates,2))))</f>
        <v>0.0</v>
      </c>
      <c r="AM116" s="62">
        <f>IF(OR(AG116="",INDEX(p_rates,3)=""),0,IF(AG116="Facture",SUMIFS(fl_ht,fl_doc,A116,fl_rate,INDEX(p_rates,3)),SUMIFS(dl_ht,dl_doc,F116,dl_rate,INDEX(p_rates,3))))</f>
        <v>0.0</v>
      </c>
      <c r="AN116" s="62">
        <f>IF(OR(AG116="",INDEX(p_rates,4)=""),0,IF(AG116="Facture",SUMIFS(fl_ht,fl_doc,A116,fl_rate,INDEX(p_rates,4)),SUMIFS(dl_ht,dl_doc,F116,dl_rate,INDEX(p_rates,4))))</f>
        <v>0.0</v>
      </c>
      <c r="AO116" s="62">
        <f>IF(OR(AG116="",INDEX(p_rates,5)=""),0,IF(AG116="Facture",SUMIFS(fl_ht,fl_doc,A116,fl_rate,INDEX(p_rates,5)),SUMIFS(dl_ht,dl_doc,F116,dl_rate,INDEX(p_rates,5))))</f>
        <v>0.0</v>
      </c>
      <c r="AP116" s="62">
        <f>IF(OR(AG116="",INDEX(p_rates,6)=""),0,IF(AG116="Facture",SUMIFS(fl_ht,fl_doc,A116,fl_rate,INDEX(p_rates,6)),SUMIFS(dl_ht,dl_doc,F116,dl_rate,INDEX(p_rates,6))))</f>
        <v>0.0</v>
      </c>
      <c r="AQ116" s="62">
        <f>ROUND(AK116*N(INDEX(p_rates,1)),2)+ROUND(AL116*N(INDEX(p_rates,2)),2)+ROUND(AM116*N(INDEX(p_rates,3)),2)+ROUND(AN116*N(INDEX(p_rates,4)),2)+ROUND(AO116*N(INDEX(p_rates,5)),2)+ROUND(AP116*N(INDEX(p_rates,6)),2)</f>
        <v>0.0</v>
      </c>
      <c r="AR116" s="62" t="str">
        <f>IF(OR(L116="",AA116&lt;&gt;"Facture"),"",IFERROR(IF(INDEX(fa_type,MATCH(L116,fa_num,0))="Facture d'acompte",MATCH(L116,fa_num,0),""),""))</f>
        <v/>
      </c>
      <c r="AS116" s="62" t="str">
        <f>IF(W116="","",IF(W116&lt;=0,"",IF(p_asof-P116&lt;=0,"Non échu",IF(p_asof-P116&lt;=30,"1-30 j",IF(p_asof-P116&lt;=60,"31-60 j",IF(p_asof-P116&lt;=90,"61-90 j","Plus de 90 j"))))))</f>
        <v/>
      </c>
      <c r="AT116" s="62" t="str">
        <f>IF(AS116="","",p_asof-P116)</f>
        <v/>
      </c>
      <c r="AU116" s="62" t="str">
        <f>IF(AT116="","",COUNTIF($AT$6:$AT$805,"&gt;"&amp;AT116)+COUNTIF($AT$6:AT116,AT116))</f>
        <v/>
      </c>
    </row>
    <row r="117">
      <c r="A117" s="59" t="str">
        <f>IF(AE117="","",AB117&amp;"-"&amp;AD117&amp;"-"&amp;RIGHT("000"&amp;AE117,4))</f>
        <v/>
      </c>
      <c r="B117" s="60" t="n"/>
      <c r="C117" s="61" t="n"/>
      <c r="D117" s="60" t="n"/>
      <c r="E117" s="62" t="str">
        <f>IF(D117="","",IFERROR(INDEX(cli_name,MATCH(D117,cli_code,0))&amp;"","Client inconnu"))</f>
        <v/>
      </c>
      <c r="F117" s="60" t="n"/>
      <c r="G117" s="63" t="n"/>
      <c r="H117" s="61" t="n"/>
      <c r="I117" s="63" t="n"/>
      <c r="J117" s="60" t="n"/>
      <c r="K117" s="61" t="n"/>
      <c r="L117" s="60" t="n"/>
      <c r="M117" s="60" t="n"/>
      <c r="N117" s="60" t="n"/>
      <c r="O117" s="61" t="n"/>
      <c r="P117" s="64" t="str">
        <f>IF(A117="","",IF(AA117="Avoir",AC117,IF(ISNUMBER(K117),K117,AC117+IF(D117="",N(p_delay),IFERROR(IF(ISNUMBER(INDEX(cli_delay,MATCH(D117,cli_code,0))),INDEX(cli_delay,MATCH(D117,cli_code,0)),N(p_delay)),N(p_delay))))))</f>
        <v/>
      </c>
      <c r="Q117" s="65" t="str">
        <f>IF(A117="","",IF(AA117="Avoir",-1,1)*ROUND(AJ117-IF(AR117="",0,INDEX(fa_htb,AR117)),2))</f>
        <v/>
      </c>
      <c r="R117" s="65" t="str">
        <f>IF(A117="","",IF(AA117="Avoir",-1,1)*ROUND(AQ117-IF(AR117="",0,INDEX(fa_tvab,AR117)),2))</f>
        <v/>
      </c>
      <c r="S117" s="65" t="str">
        <f>IF(A117="","",Q117+R117)</f>
        <v/>
      </c>
      <c r="T117" s="65" t="str">
        <f>IF(AR117="","",INDEX(fa_htb,AR117)+INDEX(fa_tvab,AR117))</f>
        <v/>
      </c>
      <c r="U117" s="65" t="str">
        <f>IF(A117="","",SUMIF(pa_inv,A117,pa_amt))</f>
        <v/>
      </c>
      <c r="V117" s="65" t="str">
        <f>IF(OR(A117="",AA117="Avoir"),"",-SUMIFS(fa_ttc,fa_avof,A117,fa_type,"Avoir"))</f>
        <v/>
      </c>
      <c r="W117" s="65" t="str">
        <f>IF(OR(A117="",AA117="Avoir"),"",ROUND(S117-U117-V117,2))</f>
        <v/>
      </c>
      <c r="X117" s="66" t="str">
        <f>IF(W117="","",IF(AND(W117&gt;0,p_asof&gt;P117),p_asof-P117,""))</f>
        <v/>
      </c>
      <c r="Y117" s="59" t="str">
        <f>IF(A117="","",IF(AA117="Avoir","Avoir",IF(W117&lt;0,"Trop-perçu",IF(W117=0,"Soldée",IF(p_asof&gt;P117,"En retard",IF(U117+V117&gt;0,"Partielle","À échoir"))))))</f>
        <v/>
      </c>
      <c r="Z117" s="59" t="str">
        <f>IF(NOT(COUNTA(B117:D117,F117:O117)&gt;0),"",IF(C117="","Date manquante",IF(NOT(ISNUMBER(C117)),"Date invalide",IF(D117="","Client manquant",IF(ISNA(MATCH(D117,cli_code,0)),"Client inconnu",IF(AC117&lt;SUMPRODUCT(MAX(($AB$6:AB116=AB117)*$AC$6:AC116)),"Date antérieure à la facture précédente",IF(AND(F117&lt;&gt;"",ISNA(MATCH(F117,dv_num,0))),"Devis inconnu",IF(AND(F117&lt;&gt;"",IFERROR(INDEX(dv_client,MATCH(F117,dv_num,0)),D117)&lt;&gt;D117),"Client différent de celui du devis",IF(AG117="","Aucune ligne : saisissez des lignes ou un devis",IF(AND(AI117&lt;&gt;"",COUNTIF($AI$6:AI117,AI117)&gt;1),"Devis déjà repris par une autre facture",IF(AND(AA117="Avoir",M117=""),"Avoir : indiquez la facture d'origine",IF(AND(AA117="Avoir",ISNA(MATCH(M117,fa_num,0))),"Facture d'origine inconnue",IF(AND(AA117&lt;&gt;"Avoir",M117&lt;&gt;""),"« Avoir sur facture » : réservé aux avoirs",IF(AND(L117&lt;&gt;"",AA117&lt;&gt;"Facture"),"Acompte à déduire : réservé aux factures",IF(AND(L117&lt;&gt;"",ISNA(MATCH(L117,fa_num,0))),"Facture d'acompte inconnue",IF(AND(L117&lt;&gt;"",IFERROR(INDEX(fa_type,MATCH(L117,fa_num,0)),"")&lt;&gt;"Facture d'acompte"),"Le n° à déduire n'est pas une facture d'acompte",IF(AND(L117&lt;&gt;"",COUNTIF($L$6:L117,L117)&gt;1),"Acompte déjà déduit sur une autre facture",IF(AND(L117&lt;&gt;"",IFERROR(INDEX(fa_client,MATCH(L117,fa_num,0)),D117)&lt;&gt;D117),"Acompte d'un autre client",IF(AND(AR117&lt;&gt;"",N(Q117)&lt;0),"Acompte supérieur au total de la facture",IF(IF(AG117="Facture",COUNTIFS(fl_doc,A117,fl_check,"&lt;&gt;OK"),IF(AG117="Devis",COUNTIFS(dl_doc,F117,dl_check,"&lt;&gt;OK"),0))&gt;0,"Ligne(s) à corriger",IF(AND(W117&lt;&gt;"",N(W117)&lt;0),"Trop-perçu : vérifiez paiements et avoirs","OK")))))))))))))))))))))</f>
        <v/>
      </c>
      <c r="AA117" s="62" t="str">
        <f>IF(COUNTA(B117:D117,F117:O117)&gt;0,IF(B117="","Facture",B117),"")</f>
        <v/>
      </c>
      <c r="AB117" s="62" t="str">
        <f>IF(AA117="","",IF(AA117="Avoir",p_pav,IF(AA117="Facture d'acompte",p_pac,p_pfa)))</f>
        <v/>
      </c>
      <c r="AC117" s="62">
        <f>IF(ISNUMBER(C117),C117,0)</f>
        <v>0.0</v>
      </c>
      <c r="AD117" s="62" t="str">
        <f>IF(OR(AA117="",AC117=0),"",YEAR(AC117))</f>
        <v/>
      </c>
      <c r="AE117" s="62" t="str">
        <f>IF(AD117="","",COUNTIFS($AB$6:AB117,AB117,$AD$6:AD117,AD117))</f>
        <v/>
      </c>
      <c r="AF117" s="62">
        <f>IF(A117="",0,COUNTIF(fl_doc,A117))</f>
        <v>0.0</v>
      </c>
      <c r="AG117" s="62" t="str">
        <f>IF(A117="","",IF(AF117&gt;0,"Facture",IF(AND(F117&lt;&gt;"",AA117="Facture",ISNUMBER(MATCH(F117,dv_num,0))),"Devis","")))</f>
        <v/>
      </c>
      <c r="AH117" s="62" t="str">
        <f>IF(AND(A117&lt;&gt;"",F117&lt;&gt;"",AA117&lt;&gt;"Avoir"),F117,"")</f>
        <v/>
      </c>
      <c r="AI117" s="62" t="str">
        <f>IF(AG117="Devis",F117,"")</f>
        <v/>
      </c>
      <c r="AJ117" s="62">
        <f>IF(AG117="Facture",SUMIF(fl_doc,A117,fl_ht),IF(AG117="Devis",SUMIF(dl_doc,F117,dl_ht),0))</f>
        <v>0.0</v>
      </c>
      <c r="AK117" s="62">
        <f>IF(OR(AG117="",INDEX(p_rates,1)=""),0,IF(AG117="Facture",SUMIFS(fl_ht,fl_doc,A117,fl_rate,INDEX(p_rates,1)),SUMIFS(dl_ht,dl_doc,F117,dl_rate,INDEX(p_rates,1))))</f>
        <v>0.0</v>
      </c>
      <c r="AL117" s="62">
        <f>IF(OR(AG117="",INDEX(p_rates,2)=""),0,IF(AG117="Facture",SUMIFS(fl_ht,fl_doc,A117,fl_rate,INDEX(p_rates,2)),SUMIFS(dl_ht,dl_doc,F117,dl_rate,INDEX(p_rates,2))))</f>
        <v>0.0</v>
      </c>
      <c r="AM117" s="62">
        <f>IF(OR(AG117="",INDEX(p_rates,3)=""),0,IF(AG117="Facture",SUMIFS(fl_ht,fl_doc,A117,fl_rate,INDEX(p_rates,3)),SUMIFS(dl_ht,dl_doc,F117,dl_rate,INDEX(p_rates,3))))</f>
        <v>0.0</v>
      </c>
      <c r="AN117" s="62">
        <f>IF(OR(AG117="",INDEX(p_rates,4)=""),0,IF(AG117="Facture",SUMIFS(fl_ht,fl_doc,A117,fl_rate,INDEX(p_rates,4)),SUMIFS(dl_ht,dl_doc,F117,dl_rate,INDEX(p_rates,4))))</f>
        <v>0.0</v>
      </c>
      <c r="AO117" s="62">
        <f>IF(OR(AG117="",INDEX(p_rates,5)=""),0,IF(AG117="Facture",SUMIFS(fl_ht,fl_doc,A117,fl_rate,INDEX(p_rates,5)),SUMIFS(dl_ht,dl_doc,F117,dl_rate,INDEX(p_rates,5))))</f>
        <v>0.0</v>
      </c>
      <c r="AP117" s="62">
        <f>IF(OR(AG117="",INDEX(p_rates,6)=""),0,IF(AG117="Facture",SUMIFS(fl_ht,fl_doc,A117,fl_rate,INDEX(p_rates,6)),SUMIFS(dl_ht,dl_doc,F117,dl_rate,INDEX(p_rates,6))))</f>
        <v>0.0</v>
      </c>
      <c r="AQ117" s="62">
        <f>ROUND(AK117*N(INDEX(p_rates,1)),2)+ROUND(AL117*N(INDEX(p_rates,2)),2)+ROUND(AM117*N(INDEX(p_rates,3)),2)+ROUND(AN117*N(INDEX(p_rates,4)),2)+ROUND(AO117*N(INDEX(p_rates,5)),2)+ROUND(AP117*N(INDEX(p_rates,6)),2)</f>
        <v>0.0</v>
      </c>
      <c r="AR117" s="62" t="str">
        <f>IF(OR(L117="",AA117&lt;&gt;"Facture"),"",IFERROR(IF(INDEX(fa_type,MATCH(L117,fa_num,0))="Facture d'acompte",MATCH(L117,fa_num,0),""),""))</f>
        <v/>
      </c>
      <c r="AS117" s="62" t="str">
        <f>IF(W117="","",IF(W117&lt;=0,"",IF(p_asof-P117&lt;=0,"Non échu",IF(p_asof-P117&lt;=30,"1-30 j",IF(p_asof-P117&lt;=60,"31-60 j",IF(p_asof-P117&lt;=90,"61-90 j","Plus de 90 j"))))))</f>
        <v/>
      </c>
      <c r="AT117" s="62" t="str">
        <f>IF(AS117="","",p_asof-P117)</f>
        <v/>
      </c>
      <c r="AU117" s="62" t="str">
        <f>IF(AT117="","",COUNTIF($AT$6:$AT$805,"&gt;"&amp;AT117)+COUNTIF($AT$6:AT117,AT117))</f>
        <v/>
      </c>
    </row>
    <row r="118">
      <c r="A118" s="59" t="str">
        <f>IF(AE118="","",AB118&amp;"-"&amp;AD118&amp;"-"&amp;RIGHT("000"&amp;AE118,4))</f>
        <v/>
      </c>
      <c r="B118" s="60" t="n"/>
      <c r="C118" s="61" t="n"/>
      <c r="D118" s="60" t="n"/>
      <c r="E118" s="62" t="str">
        <f>IF(D118="","",IFERROR(INDEX(cli_name,MATCH(D118,cli_code,0))&amp;"","Client inconnu"))</f>
        <v/>
      </c>
      <c r="F118" s="60" t="n"/>
      <c r="G118" s="63" t="n"/>
      <c r="H118" s="61" t="n"/>
      <c r="I118" s="63" t="n"/>
      <c r="J118" s="60" t="n"/>
      <c r="K118" s="61" t="n"/>
      <c r="L118" s="60" t="n"/>
      <c r="M118" s="60" t="n"/>
      <c r="N118" s="60" t="n"/>
      <c r="O118" s="61" t="n"/>
      <c r="P118" s="64" t="str">
        <f>IF(A118="","",IF(AA118="Avoir",AC118,IF(ISNUMBER(K118),K118,AC118+IF(D118="",N(p_delay),IFERROR(IF(ISNUMBER(INDEX(cli_delay,MATCH(D118,cli_code,0))),INDEX(cli_delay,MATCH(D118,cli_code,0)),N(p_delay)),N(p_delay))))))</f>
        <v/>
      </c>
      <c r="Q118" s="65" t="str">
        <f>IF(A118="","",IF(AA118="Avoir",-1,1)*ROUND(AJ118-IF(AR118="",0,INDEX(fa_htb,AR118)),2))</f>
        <v/>
      </c>
      <c r="R118" s="65" t="str">
        <f>IF(A118="","",IF(AA118="Avoir",-1,1)*ROUND(AQ118-IF(AR118="",0,INDEX(fa_tvab,AR118)),2))</f>
        <v/>
      </c>
      <c r="S118" s="65" t="str">
        <f>IF(A118="","",Q118+R118)</f>
        <v/>
      </c>
      <c r="T118" s="65" t="str">
        <f>IF(AR118="","",INDEX(fa_htb,AR118)+INDEX(fa_tvab,AR118))</f>
        <v/>
      </c>
      <c r="U118" s="65" t="str">
        <f>IF(A118="","",SUMIF(pa_inv,A118,pa_amt))</f>
        <v/>
      </c>
      <c r="V118" s="65" t="str">
        <f>IF(OR(A118="",AA118="Avoir"),"",-SUMIFS(fa_ttc,fa_avof,A118,fa_type,"Avoir"))</f>
        <v/>
      </c>
      <c r="W118" s="65" t="str">
        <f>IF(OR(A118="",AA118="Avoir"),"",ROUND(S118-U118-V118,2))</f>
        <v/>
      </c>
      <c r="X118" s="66" t="str">
        <f>IF(W118="","",IF(AND(W118&gt;0,p_asof&gt;P118),p_asof-P118,""))</f>
        <v/>
      </c>
      <c r="Y118" s="59" t="str">
        <f>IF(A118="","",IF(AA118="Avoir","Avoir",IF(W118&lt;0,"Trop-perçu",IF(W118=0,"Soldée",IF(p_asof&gt;P118,"En retard",IF(U118+V118&gt;0,"Partielle","À échoir"))))))</f>
        <v/>
      </c>
      <c r="Z118" s="59" t="str">
        <f>IF(NOT(COUNTA(B118:D118,F118:O118)&gt;0),"",IF(C118="","Date manquante",IF(NOT(ISNUMBER(C118)),"Date invalide",IF(D118="","Client manquant",IF(ISNA(MATCH(D118,cli_code,0)),"Client inconnu",IF(AC118&lt;SUMPRODUCT(MAX(($AB$6:AB117=AB118)*$AC$6:AC117)),"Date antérieure à la facture précédente",IF(AND(F118&lt;&gt;"",ISNA(MATCH(F118,dv_num,0))),"Devis inconnu",IF(AND(F118&lt;&gt;"",IFERROR(INDEX(dv_client,MATCH(F118,dv_num,0)),D118)&lt;&gt;D118),"Client différent de celui du devis",IF(AG118="","Aucune ligne : saisissez des lignes ou un devis",IF(AND(AI118&lt;&gt;"",COUNTIF($AI$6:AI118,AI118)&gt;1),"Devis déjà repris par une autre facture",IF(AND(AA118="Avoir",M118=""),"Avoir : indiquez la facture d'origine",IF(AND(AA118="Avoir",ISNA(MATCH(M118,fa_num,0))),"Facture d'origine inconnue",IF(AND(AA118&lt;&gt;"Avoir",M118&lt;&gt;""),"« Avoir sur facture » : réservé aux avoirs",IF(AND(L118&lt;&gt;"",AA118&lt;&gt;"Facture"),"Acompte à déduire : réservé aux factures",IF(AND(L118&lt;&gt;"",ISNA(MATCH(L118,fa_num,0))),"Facture d'acompte inconnue",IF(AND(L118&lt;&gt;"",IFERROR(INDEX(fa_type,MATCH(L118,fa_num,0)),"")&lt;&gt;"Facture d'acompte"),"Le n° à déduire n'est pas une facture d'acompte",IF(AND(L118&lt;&gt;"",COUNTIF($L$6:L118,L118)&gt;1),"Acompte déjà déduit sur une autre facture",IF(AND(L118&lt;&gt;"",IFERROR(INDEX(fa_client,MATCH(L118,fa_num,0)),D118)&lt;&gt;D118),"Acompte d'un autre client",IF(AND(AR118&lt;&gt;"",N(Q118)&lt;0),"Acompte supérieur au total de la facture",IF(IF(AG118="Facture",COUNTIFS(fl_doc,A118,fl_check,"&lt;&gt;OK"),IF(AG118="Devis",COUNTIFS(dl_doc,F118,dl_check,"&lt;&gt;OK"),0))&gt;0,"Ligne(s) à corriger",IF(AND(W118&lt;&gt;"",N(W118)&lt;0),"Trop-perçu : vérifiez paiements et avoirs","OK")))))))))))))))))))))</f>
        <v/>
      </c>
      <c r="AA118" s="62" t="str">
        <f>IF(COUNTA(B118:D118,F118:O118)&gt;0,IF(B118="","Facture",B118),"")</f>
        <v/>
      </c>
      <c r="AB118" s="62" t="str">
        <f>IF(AA118="","",IF(AA118="Avoir",p_pav,IF(AA118="Facture d'acompte",p_pac,p_pfa)))</f>
        <v/>
      </c>
      <c r="AC118" s="62">
        <f>IF(ISNUMBER(C118),C118,0)</f>
        <v>0.0</v>
      </c>
      <c r="AD118" s="62" t="str">
        <f>IF(OR(AA118="",AC118=0),"",YEAR(AC118))</f>
        <v/>
      </c>
      <c r="AE118" s="62" t="str">
        <f>IF(AD118="","",COUNTIFS($AB$6:AB118,AB118,$AD$6:AD118,AD118))</f>
        <v/>
      </c>
      <c r="AF118" s="62">
        <f>IF(A118="",0,COUNTIF(fl_doc,A118))</f>
        <v>0.0</v>
      </c>
      <c r="AG118" s="62" t="str">
        <f>IF(A118="","",IF(AF118&gt;0,"Facture",IF(AND(F118&lt;&gt;"",AA118="Facture",ISNUMBER(MATCH(F118,dv_num,0))),"Devis","")))</f>
        <v/>
      </c>
      <c r="AH118" s="62" t="str">
        <f>IF(AND(A118&lt;&gt;"",F118&lt;&gt;"",AA118&lt;&gt;"Avoir"),F118,"")</f>
        <v/>
      </c>
      <c r="AI118" s="62" t="str">
        <f>IF(AG118="Devis",F118,"")</f>
        <v/>
      </c>
      <c r="AJ118" s="62">
        <f>IF(AG118="Facture",SUMIF(fl_doc,A118,fl_ht),IF(AG118="Devis",SUMIF(dl_doc,F118,dl_ht),0))</f>
        <v>0.0</v>
      </c>
      <c r="AK118" s="62">
        <f>IF(OR(AG118="",INDEX(p_rates,1)=""),0,IF(AG118="Facture",SUMIFS(fl_ht,fl_doc,A118,fl_rate,INDEX(p_rates,1)),SUMIFS(dl_ht,dl_doc,F118,dl_rate,INDEX(p_rates,1))))</f>
        <v>0.0</v>
      </c>
      <c r="AL118" s="62">
        <f>IF(OR(AG118="",INDEX(p_rates,2)=""),0,IF(AG118="Facture",SUMIFS(fl_ht,fl_doc,A118,fl_rate,INDEX(p_rates,2)),SUMIFS(dl_ht,dl_doc,F118,dl_rate,INDEX(p_rates,2))))</f>
        <v>0.0</v>
      </c>
      <c r="AM118" s="62">
        <f>IF(OR(AG118="",INDEX(p_rates,3)=""),0,IF(AG118="Facture",SUMIFS(fl_ht,fl_doc,A118,fl_rate,INDEX(p_rates,3)),SUMIFS(dl_ht,dl_doc,F118,dl_rate,INDEX(p_rates,3))))</f>
        <v>0.0</v>
      </c>
      <c r="AN118" s="62">
        <f>IF(OR(AG118="",INDEX(p_rates,4)=""),0,IF(AG118="Facture",SUMIFS(fl_ht,fl_doc,A118,fl_rate,INDEX(p_rates,4)),SUMIFS(dl_ht,dl_doc,F118,dl_rate,INDEX(p_rates,4))))</f>
        <v>0.0</v>
      </c>
      <c r="AO118" s="62">
        <f>IF(OR(AG118="",INDEX(p_rates,5)=""),0,IF(AG118="Facture",SUMIFS(fl_ht,fl_doc,A118,fl_rate,INDEX(p_rates,5)),SUMIFS(dl_ht,dl_doc,F118,dl_rate,INDEX(p_rates,5))))</f>
        <v>0.0</v>
      </c>
      <c r="AP118" s="62">
        <f>IF(OR(AG118="",INDEX(p_rates,6)=""),0,IF(AG118="Facture",SUMIFS(fl_ht,fl_doc,A118,fl_rate,INDEX(p_rates,6)),SUMIFS(dl_ht,dl_doc,F118,dl_rate,INDEX(p_rates,6))))</f>
        <v>0.0</v>
      </c>
      <c r="AQ118" s="62">
        <f>ROUND(AK118*N(INDEX(p_rates,1)),2)+ROUND(AL118*N(INDEX(p_rates,2)),2)+ROUND(AM118*N(INDEX(p_rates,3)),2)+ROUND(AN118*N(INDEX(p_rates,4)),2)+ROUND(AO118*N(INDEX(p_rates,5)),2)+ROUND(AP118*N(INDEX(p_rates,6)),2)</f>
        <v>0.0</v>
      </c>
      <c r="AR118" s="62" t="str">
        <f>IF(OR(L118="",AA118&lt;&gt;"Facture"),"",IFERROR(IF(INDEX(fa_type,MATCH(L118,fa_num,0))="Facture d'acompte",MATCH(L118,fa_num,0),""),""))</f>
        <v/>
      </c>
      <c r="AS118" s="62" t="str">
        <f>IF(W118="","",IF(W118&lt;=0,"",IF(p_asof-P118&lt;=0,"Non échu",IF(p_asof-P118&lt;=30,"1-30 j",IF(p_asof-P118&lt;=60,"31-60 j",IF(p_asof-P118&lt;=90,"61-90 j","Plus de 90 j"))))))</f>
        <v/>
      </c>
      <c r="AT118" s="62" t="str">
        <f>IF(AS118="","",p_asof-P118)</f>
        <v/>
      </c>
      <c r="AU118" s="62" t="str">
        <f>IF(AT118="","",COUNTIF($AT$6:$AT$805,"&gt;"&amp;AT118)+COUNTIF($AT$6:AT118,AT118))</f>
        <v/>
      </c>
    </row>
    <row r="119">
      <c r="A119" s="59" t="str">
        <f>IF(AE119="","",AB119&amp;"-"&amp;AD119&amp;"-"&amp;RIGHT("000"&amp;AE119,4))</f>
        <v/>
      </c>
      <c r="B119" s="60" t="n"/>
      <c r="C119" s="61" t="n"/>
      <c r="D119" s="60" t="n"/>
      <c r="E119" s="62" t="str">
        <f>IF(D119="","",IFERROR(INDEX(cli_name,MATCH(D119,cli_code,0))&amp;"","Client inconnu"))</f>
        <v/>
      </c>
      <c r="F119" s="60" t="n"/>
      <c r="G119" s="63" t="n"/>
      <c r="H119" s="61" t="n"/>
      <c r="I119" s="63" t="n"/>
      <c r="J119" s="60" t="n"/>
      <c r="K119" s="61" t="n"/>
      <c r="L119" s="60" t="n"/>
      <c r="M119" s="60" t="n"/>
      <c r="N119" s="60" t="n"/>
      <c r="O119" s="61" t="n"/>
      <c r="P119" s="64" t="str">
        <f>IF(A119="","",IF(AA119="Avoir",AC119,IF(ISNUMBER(K119),K119,AC119+IF(D119="",N(p_delay),IFERROR(IF(ISNUMBER(INDEX(cli_delay,MATCH(D119,cli_code,0))),INDEX(cli_delay,MATCH(D119,cli_code,0)),N(p_delay)),N(p_delay))))))</f>
        <v/>
      </c>
      <c r="Q119" s="65" t="str">
        <f>IF(A119="","",IF(AA119="Avoir",-1,1)*ROUND(AJ119-IF(AR119="",0,INDEX(fa_htb,AR119)),2))</f>
        <v/>
      </c>
      <c r="R119" s="65" t="str">
        <f>IF(A119="","",IF(AA119="Avoir",-1,1)*ROUND(AQ119-IF(AR119="",0,INDEX(fa_tvab,AR119)),2))</f>
        <v/>
      </c>
      <c r="S119" s="65" t="str">
        <f>IF(A119="","",Q119+R119)</f>
        <v/>
      </c>
      <c r="T119" s="65" t="str">
        <f>IF(AR119="","",INDEX(fa_htb,AR119)+INDEX(fa_tvab,AR119))</f>
        <v/>
      </c>
      <c r="U119" s="65" t="str">
        <f>IF(A119="","",SUMIF(pa_inv,A119,pa_amt))</f>
        <v/>
      </c>
      <c r="V119" s="65" t="str">
        <f>IF(OR(A119="",AA119="Avoir"),"",-SUMIFS(fa_ttc,fa_avof,A119,fa_type,"Avoir"))</f>
        <v/>
      </c>
      <c r="W119" s="65" t="str">
        <f>IF(OR(A119="",AA119="Avoir"),"",ROUND(S119-U119-V119,2))</f>
        <v/>
      </c>
      <c r="X119" s="66" t="str">
        <f>IF(W119="","",IF(AND(W119&gt;0,p_asof&gt;P119),p_asof-P119,""))</f>
        <v/>
      </c>
      <c r="Y119" s="59" t="str">
        <f>IF(A119="","",IF(AA119="Avoir","Avoir",IF(W119&lt;0,"Trop-perçu",IF(W119=0,"Soldée",IF(p_asof&gt;P119,"En retard",IF(U119+V119&gt;0,"Partielle","À échoir"))))))</f>
        <v/>
      </c>
      <c r="Z119" s="59" t="str">
        <f>IF(NOT(COUNTA(B119:D119,F119:O119)&gt;0),"",IF(C119="","Date manquante",IF(NOT(ISNUMBER(C119)),"Date invalide",IF(D119="","Client manquant",IF(ISNA(MATCH(D119,cli_code,0)),"Client inconnu",IF(AC119&lt;SUMPRODUCT(MAX(($AB$6:AB118=AB119)*$AC$6:AC118)),"Date antérieure à la facture précédente",IF(AND(F119&lt;&gt;"",ISNA(MATCH(F119,dv_num,0))),"Devis inconnu",IF(AND(F119&lt;&gt;"",IFERROR(INDEX(dv_client,MATCH(F119,dv_num,0)),D119)&lt;&gt;D119),"Client différent de celui du devis",IF(AG119="","Aucune ligne : saisissez des lignes ou un devis",IF(AND(AI119&lt;&gt;"",COUNTIF($AI$6:AI119,AI119)&gt;1),"Devis déjà repris par une autre facture",IF(AND(AA119="Avoir",M119=""),"Avoir : indiquez la facture d'origine",IF(AND(AA119="Avoir",ISNA(MATCH(M119,fa_num,0))),"Facture d'origine inconnue",IF(AND(AA119&lt;&gt;"Avoir",M119&lt;&gt;""),"« Avoir sur facture » : réservé aux avoirs",IF(AND(L119&lt;&gt;"",AA119&lt;&gt;"Facture"),"Acompte à déduire : réservé aux factures",IF(AND(L119&lt;&gt;"",ISNA(MATCH(L119,fa_num,0))),"Facture d'acompte inconnue",IF(AND(L119&lt;&gt;"",IFERROR(INDEX(fa_type,MATCH(L119,fa_num,0)),"")&lt;&gt;"Facture d'acompte"),"Le n° à déduire n'est pas une facture d'acompte",IF(AND(L119&lt;&gt;"",COUNTIF($L$6:L119,L119)&gt;1),"Acompte déjà déduit sur une autre facture",IF(AND(L119&lt;&gt;"",IFERROR(INDEX(fa_client,MATCH(L119,fa_num,0)),D119)&lt;&gt;D119),"Acompte d'un autre client",IF(AND(AR119&lt;&gt;"",N(Q119)&lt;0),"Acompte supérieur au total de la facture",IF(IF(AG119="Facture",COUNTIFS(fl_doc,A119,fl_check,"&lt;&gt;OK"),IF(AG119="Devis",COUNTIFS(dl_doc,F119,dl_check,"&lt;&gt;OK"),0))&gt;0,"Ligne(s) à corriger",IF(AND(W119&lt;&gt;"",N(W119)&lt;0),"Trop-perçu : vérifiez paiements et avoirs","OK")))))))))))))))))))))</f>
        <v/>
      </c>
      <c r="AA119" s="62" t="str">
        <f>IF(COUNTA(B119:D119,F119:O119)&gt;0,IF(B119="","Facture",B119),"")</f>
        <v/>
      </c>
      <c r="AB119" s="62" t="str">
        <f>IF(AA119="","",IF(AA119="Avoir",p_pav,IF(AA119="Facture d'acompte",p_pac,p_pfa)))</f>
        <v/>
      </c>
      <c r="AC119" s="62">
        <f>IF(ISNUMBER(C119),C119,0)</f>
        <v>0.0</v>
      </c>
      <c r="AD119" s="62" t="str">
        <f>IF(OR(AA119="",AC119=0),"",YEAR(AC119))</f>
        <v/>
      </c>
      <c r="AE119" s="62" t="str">
        <f>IF(AD119="","",COUNTIFS($AB$6:AB119,AB119,$AD$6:AD119,AD119))</f>
        <v/>
      </c>
      <c r="AF119" s="62">
        <f>IF(A119="",0,COUNTIF(fl_doc,A119))</f>
        <v>0.0</v>
      </c>
      <c r="AG119" s="62" t="str">
        <f>IF(A119="","",IF(AF119&gt;0,"Facture",IF(AND(F119&lt;&gt;"",AA119="Facture",ISNUMBER(MATCH(F119,dv_num,0))),"Devis","")))</f>
        <v/>
      </c>
      <c r="AH119" s="62" t="str">
        <f>IF(AND(A119&lt;&gt;"",F119&lt;&gt;"",AA119&lt;&gt;"Avoir"),F119,"")</f>
        <v/>
      </c>
      <c r="AI119" s="62" t="str">
        <f>IF(AG119="Devis",F119,"")</f>
        <v/>
      </c>
      <c r="AJ119" s="62">
        <f>IF(AG119="Facture",SUMIF(fl_doc,A119,fl_ht),IF(AG119="Devis",SUMIF(dl_doc,F119,dl_ht),0))</f>
        <v>0.0</v>
      </c>
      <c r="AK119" s="62">
        <f>IF(OR(AG119="",INDEX(p_rates,1)=""),0,IF(AG119="Facture",SUMIFS(fl_ht,fl_doc,A119,fl_rate,INDEX(p_rates,1)),SUMIFS(dl_ht,dl_doc,F119,dl_rate,INDEX(p_rates,1))))</f>
        <v>0.0</v>
      </c>
      <c r="AL119" s="62">
        <f>IF(OR(AG119="",INDEX(p_rates,2)=""),0,IF(AG119="Facture",SUMIFS(fl_ht,fl_doc,A119,fl_rate,INDEX(p_rates,2)),SUMIFS(dl_ht,dl_doc,F119,dl_rate,INDEX(p_rates,2))))</f>
        <v>0.0</v>
      </c>
      <c r="AM119" s="62">
        <f>IF(OR(AG119="",INDEX(p_rates,3)=""),0,IF(AG119="Facture",SUMIFS(fl_ht,fl_doc,A119,fl_rate,INDEX(p_rates,3)),SUMIFS(dl_ht,dl_doc,F119,dl_rate,INDEX(p_rates,3))))</f>
        <v>0.0</v>
      </c>
      <c r="AN119" s="62">
        <f>IF(OR(AG119="",INDEX(p_rates,4)=""),0,IF(AG119="Facture",SUMIFS(fl_ht,fl_doc,A119,fl_rate,INDEX(p_rates,4)),SUMIFS(dl_ht,dl_doc,F119,dl_rate,INDEX(p_rates,4))))</f>
        <v>0.0</v>
      </c>
      <c r="AO119" s="62">
        <f>IF(OR(AG119="",INDEX(p_rates,5)=""),0,IF(AG119="Facture",SUMIFS(fl_ht,fl_doc,A119,fl_rate,INDEX(p_rates,5)),SUMIFS(dl_ht,dl_doc,F119,dl_rate,INDEX(p_rates,5))))</f>
        <v>0.0</v>
      </c>
      <c r="AP119" s="62">
        <f>IF(OR(AG119="",INDEX(p_rates,6)=""),0,IF(AG119="Facture",SUMIFS(fl_ht,fl_doc,A119,fl_rate,INDEX(p_rates,6)),SUMIFS(dl_ht,dl_doc,F119,dl_rate,INDEX(p_rates,6))))</f>
        <v>0.0</v>
      </c>
      <c r="AQ119" s="62">
        <f>ROUND(AK119*N(INDEX(p_rates,1)),2)+ROUND(AL119*N(INDEX(p_rates,2)),2)+ROUND(AM119*N(INDEX(p_rates,3)),2)+ROUND(AN119*N(INDEX(p_rates,4)),2)+ROUND(AO119*N(INDEX(p_rates,5)),2)+ROUND(AP119*N(INDEX(p_rates,6)),2)</f>
        <v>0.0</v>
      </c>
      <c r="AR119" s="62" t="str">
        <f>IF(OR(L119="",AA119&lt;&gt;"Facture"),"",IFERROR(IF(INDEX(fa_type,MATCH(L119,fa_num,0))="Facture d'acompte",MATCH(L119,fa_num,0),""),""))</f>
        <v/>
      </c>
      <c r="AS119" s="62" t="str">
        <f>IF(W119="","",IF(W119&lt;=0,"",IF(p_asof-P119&lt;=0,"Non échu",IF(p_asof-P119&lt;=30,"1-30 j",IF(p_asof-P119&lt;=60,"31-60 j",IF(p_asof-P119&lt;=90,"61-90 j","Plus de 90 j"))))))</f>
        <v/>
      </c>
      <c r="AT119" s="62" t="str">
        <f>IF(AS119="","",p_asof-P119)</f>
        <v/>
      </c>
      <c r="AU119" s="62" t="str">
        <f>IF(AT119="","",COUNTIF($AT$6:$AT$805,"&gt;"&amp;AT119)+COUNTIF($AT$6:AT119,AT119))</f>
        <v/>
      </c>
    </row>
    <row r="120">
      <c r="A120" s="59" t="str">
        <f>IF(AE120="","",AB120&amp;"-"&amp;AD120&amp;"-"&amp;RIGHT("000"&amp;AE120,4))</f>
        <v/>
      </c>
      <c r="B120" s="60" t="n"/>
      <c r="C120" s="61" t="n"/>
      <c r="D120" s="60" t="n"/>
      <c r="E120" s="62" t="str">
        <f>IF(D120="","",IFERROR(INDEX(cli_name,MATCH(D120,cli_code,0))&amp;"","Client inconnu"))</f>
        <v/>
      </c>
      <c r="F120" s="60" t="n"/>
      <c r="G120" s="63" t="n"/>
      <c r="H120" s="61" t="n"/>
      <c r="I120" s="63" t="n"/>
      <c r="J120" s="60" t="n"/>
      <c r="K120" s="61" t="n"/>
      <c r="L120" s="60" t="n"/>
      <c r="M120" s="60" t="n"/>
      <c r="N120" s="60" t="n"/>
      <c r="O120" s="61" t="n"/>
      <c r="P120" s="64" t="str">
        <f>IF(A120="","",IF(AA120="Avoir",AC120,IF(ISNUMBER(K120),K120,AC120+IF(D120="",N(p_delay),IFERROR(IF(ISNUMBER(INDEX(cli_delay,MATCH(D120,cli_code,0))),INDEX(cli_delay,MATCH(D120,cli_code,0)),N(p_delay)),N(p_delay))))))</f>
        <v/>
      </c>
      <c r="Q120" s="65" t="str">
        <f>IF(A120="","",IF(AA120="Avoir",-1,1)*ROUND(AJ120-IF(AR120="",0,INDEX(fa_htb,AR120)),2))</f>
        <v/>
      </c>
      <c r="R120" s="65" t="str">
        <f>IF(A120="","",IF(AA120="Avoir",-1,1)*ROUND(AQ120-IF(AR120="",0,INDEX(fa_tvab,AR120)),2))</f>
        <v/>
      </c>
      <c r="S120" s="65" t="str">
        <f>IF(A120="","",Q120+R120)</f>
        <v/>
      </c>
      <c r="T120" s="65" t="str">
        <f>IF(AR120="","",INDEX(fa_htb,AR120)+INDEX(fa_tvab,AR120))</f>
        <v/>
      </c>
      <c r="U120" s="65" t="str">
        <f>IF(A120="","",SUMIF(pa_inv,A120,pa_amt))</f>
        <v/>
      </c>
      <c r="V120" s="65" t="str">
        <f>IF(OR(A120="",AA120="Avoir"),"",-SUMIFS(fa_ttc,fa_avof,A120,fa_type,"Avoir"))</f>
        <v/>
      </c>
      <c r="W120" s="65" t="str">
        <f>IF(OR(A120="",AA120="Avoir"),"",ROUND(S120-U120-V120,2))</f>
        <v/>
      </c>
      <c r="X120" s="66" t="str">
        <f>IF(W120="","",IF(AND(W120&gt;0,p_asof&gt;P120),p_asof-P120,""))</f>
        <v/>
      </c>
      <c r="Y120" s="59" t="str">
        <f>IF(A120="","",IF(AA120="Avoir","Avoir",IF(W120&lt;0,"Trop-perçu",IF(W120=0,"Soldée",IF(p_asof&gt;P120,"En retard",IF(U120+V120&gt;0,"Partielle","À échoir"))))))</f>
        <v/>
      </c>
      <c r="Z120" s="59" t="str">
        <f>IF(NOT(COUNTA(B120:D120,F120:O120)&gt;0),"",IF(C120="","Date manquante",IF(NOT(ISNUMBER(C120)),"Date invalide",IF(D120="","Client manquant",IF(ISNA(MATCH(D120,cli_code,0)),"Client inconnu",IF(AC120&lt;SUMPRODUCT(MAX(($AB$6:AB119=AB120)*$AC$6:AC119)),"Date antérieure à la facture précédente",IF(AND(F120&lt;&gt;"",ISNA(MATCH(F120,dv_num,0))),"Devis inconnu",IF(AND(F120&lt;&gt;"",IFERROR(INDEX(dv_client,MATCH(F120,dv_num,0)),D120)&lt;&gt;D120),"Client différent de celui du devis",IF(AG120="","Aucune ligne : saisissez des lignes ou un devis",IF(AND(AI120&lt;&gt;"",COUNTIF($AI$6:AI120,AI120)&gt;1),"Devis déjà repris par une autre facture",IF(AND(AA120="Avoir",M120=""),"Avoir : indiquez la facture d'origine",IF(AND(AA120="Avoir",ISNA(MATCH(M120,fa_num,0))),"Facture d'origine inconnue",IF(AND(AA120&lt;&gt;"Avoir",M120&lt;&gt;""),"« Avoir sur facture » : réservé aux avoirs",IF(AND(L120&lt;&gt;"",AA120&lt;&gt;"Facture"),"Acompte à déduire : réservé aux factures",IF(AND(L120&lt;&gt;"",ISNA(MATCH(L120,fa_num,0))),"Facture d'acompte inconnue",IF(AND(L120&lt;&gt;"",IFERROR(INDEX(fa_type,MATCH(L120,fa_num,0)),"")&lt;&gt;"Facture d'acompte"),"Le n° à déduire n'est pas une facture d'acompte",IF(AND(L120&lt;&gt;"",COUNTIF($L$6:L120,L120)&gt;1),"Acompte déjà déduit sur une autre facture",IF(AND(L120&lt;&gt;"",IFERROR(INDEX(fa_client,MATCH(L120,fa_num,0)),D120)&lt;&gt;D120),"Acompte d'un autre client",IF(AND(AR120&lt;&gt;"",N(Q120)&lt;0),"Acompte supérieur au total de la facture",IF(IF(AG120="Facture",COUNTIFS(fl_doc,A120,fl_check,"&lt;&gt;OK"),IF(AG120="Devis",COUNTIFS(dl_doc,F120,dl_check,"&lt;&gt;OK"),0))&gt;0,"Ligne(s) à corriger",IF(AND(W120&lt;&gt;"",N(W120)&lt;0),"Trop-perçu : vérifiez paiements et avoirs","OK")))))))))))))))))))))</f>
        <v/>
      </c>
      <c r="AA120" s="62" t="str">
        <f>IF(COUNTA(B120:D120,F120:O120)&gt;0,IF(B120="","Facture",B120),"")</f>
        <v/>
      </c>
      <c r="AB120" s="62" t="str">
        <f>IF(AA120="","",IF(AA120="Avoir",p_pav,IF(AA120="Facture d'acompte",p_pac,p_pfa)))</f>
        <v/>
      </c>
      <c r="AC120" s="62">
        <f>IF(ISNUMBER(C120),C120,0)</f>
        <v>0.0</v>
      </c>
      <c r="AD120" s="62" t="str">
        <f>IF(OR(AA120="",AC120=0),"",YEAR(AC120))</f>
        <v/>
      </c>
      <c r="AE120" s="62" t="str">
        <f>IF(AD120="","",COUNTIFS($AB$6:AB120,AB120,$AD$6:AD120,AD120))</f>
        <v/>
      </c>
      <c r="AF120" s="62">
        <f>IF(A120="",0,COUNTIF(fl_doc,A120))</f>
        <v>0.0</v>
      </c>
      <c r="AG120" s="62" t="str">
        <f>IF(A120="","",IF(AF120&gt;0,"Facture",IF(AND(F120&lt;&gt;"",AA120="Facture",ISNUMBER(MATCH(F120,dv_num,0))),"Devis","")))</f>
        <v/>
      </c>
      <c r="AH120" s="62" t="str">
        <f>IF(AND(A120&lt;&gt;"",F120&lt;&gt;"",AA120&lt;&gt;"Avoir"),F120,"")</f>
        <v/>
      </c>
      <c r="AI120" s="62" t="str">
        <f>IF(AG120="Devis",F120,"")</f>
        <v/>
      </c>
      <c r="AJ120" s="62">
        <f>IF(AG120="Facture",SUMIF(fl_doc,A120,fl_ht),IF(AG120="Devis",SUMIF(dl_doc,F120,dl_ht),0))</f>
        <v>0.0</v>
      </c>
      <c r="AK120" s="62">
        <f>IF(OR(AG120="",INDEX(p_rates,1)=""),0,IF(AG120="Facture",SUMIFS(fl_ht,fl_doc,A120,fl_rate,INDEX(p_rates,1)),SUMIFS(dl_ht,dl_doc,F120,dl_rate,INDEX(p_rates,1))))</f>
        <v>0.0</v>
      </c>
      <c r="AL120" s="62">
        <f>IF(OR(AG120="",INDEX(p_rates,2)=""),0,IF(AG120="Facture",SUMIFS(fl_ht,fl_doc,A120,fl_rate,INDEX(p_rates,2)),SUMIFS(dl_ht,dl_doc,F120,dl_rate,INDEX(p_rates,2))))</f>
        <v>0.0</v>
      </c>
      <c r="AM120" s="62">
        <f>IF(OR(AG120="",INDEX(p_rates,3)=""),0,IF(AG120="Facture",SUMIFS(fl_ht,fl_doc,A120,fl_rate,INDEX(p_rates,3)),SUMIFS(dl_ht,dl_doc,F120,dl_rate,INDEX(p_rates,3))))</f>
        <v>0.0</v>
      </c>
      <c r="AN120" s="62">
        <f>IF(OR(AG120="",INDEX(p_rates,4)=""),0,IF(AG120="Facture",SUMIFS(fl_ht,fl_doc,A120,fl_rate,INDEX(p_rates,4)),SUMIFS(dl_ht,dl_doc,F120,dl_rate,INDEX(p_rates,4))))</f>
        <v>0.0</v>
      </c>
      <c r="AO120" s="62">
        <f>IF(OR(AG120="",INDEX(p_rates,5)=""),0,IF(AG120="Facture",SUMIFS(fl_ht,fl_doc,A120,fl_rate,INDEX(p_rates,5)),SUMIFS(dl_ht,dl_doc,F120,dl_rate,INDEX(p_rates,5))))</f>
        <v>0.0</v>
      </c>
      <c r="AP120" s="62">
        <f>IF(OR(AG120="",INDEX(p_rates,6)=""),0,IF(AG120="Facture",SUMIFS(fl_ht,fl_doc,A120,fl_rate,INDEX(p_rates,6)),SUMIFS(dl_ht,dl_doc,F120,dl_rate,INDEX(p_rates,6))))</f>
        <v>0.0</v>
      </c>
      <c r="AQ120" s="62">
        <f>ROUND(AK120*N(INDEX(p_rates,1)),2)+ROUND(AL120*N(INDEX(p_rates,2)),2)+ROUND(AM120*N(INDEX(p_rates,3)),2)+ROUND(AN120*N(INDEX(p_rates,4)),2)+ROUND(AO120*N(INDEX(p_rates,5)),2)+ROUND(AP120*N(INDEX(p_rates,6)),2)</f>
        <v>0.0</v>
      </c>
      <c r="AR120" s="62" t="str">
        <f>IF(OR(L120="",AA120&lt;&gt;"Facture"),"",IFERROR(IF(INDEX(fa_type,MATCH(L120,fa_num,0))="Facture d'acompte",MATCH(L120,fa_num,0),""),""))</f>
        <v/>
      </c>
      <c r="AS120" s="62" t="str">
        <f>IF(W120="","",IF(W120&lt;=0,"",IF(p_asof-P120&lt;=0,"Non échu",IF(p_asof-P120&lt;=30,"1-30 j",IF(p_asof-P120&lt;=60,"31-60 j",IF(p_asof-P120&lt;=90,"61-90 j","Plus de 90 j"))))))</f>
        <v/>
      </c>
      <c r="AT120" s="62" t="str">
        <f>IF(AS120="","",p_asof-P120)</f>
        <v/>
      </c>
      <c r="AU120" s="62" t="str">
        <f>IF(AT120="","",COUNTIF($AT$6:$AT$805,"&gt;"&amp;AT120)+COUNTIF($AT$6:AT120,AT120))</f>
        <v/>
      </c>
    </row>
    <row r="121">
      <c r="A121" s="59" t="str">
        <f>IF(AE121="","",AB121&amp;"-"&amp;AD121&amp;"-"&amp;RIGHT("000"&amp;AE121,4))</f>
        <v/>
      </c>
      <c r="B121" s="60" t="n"/>
      <c r="C121" s="61" t="n"/>
      <c r="D121" s="60" t="n"/>
      <c r="E121" s="62" t="str">
        <f>IF(D121="","",IFERROR(INDEX(cli_name,MATCH(D121,cli_code,0))&amp;"","Client inconnu"))</f>
        <v/>
      </c>
      <c r="F121" s="60" t="n"/>
      <c r="G121" s="63" t="n"/>
      <c r="H121" s="61" t="n"/>
      <c r="I121" s="63" t="n"/>
      <c r="J121" s="60" t="n"/>
      <c r="K121" s="61" t="n"/>
      <c r="L121" s="60" t="n"/>
      <c r="M121" s="60" t="n"/>
      <c r="N121" s="60" t="n"/>
      <c r="O121" s="61" t="n"/>
      <c r="P121" s="64" t="str">
        <f>IF(A121="","",IF(AA121="Avoir",AC121,IF(ISNUMBER(K121),K121,AC121+IF(D121="",N(p_delay),IFERROR(IF(ISNUMBER(INDEX(cli_delay,MATCH(D121,cli_code,0))),INDEX(cli_delay,MATCH(D121,cli_code,0)),N(p_delay)),N(p_delay))))))</f>
        <v/>
      </c>
      <c r="Q121" s="65" t="str">
        <f>IF(A121="","",IF(AA121="Avoir",-1,1)*ROUND(AJ121-IF(AR121="",0,INDEX(fa_htb,AR121)),2))</f>
        <v/>
      </c>
      <c r="R121" s="65" t="str">
        <f>IF(A121="","",IF(AA121="Avoir",-1,1)*ROUND(AQ121-IF(AR121="",0,INDEX(fa_tvab,AR121)),2))</f>
        <v/>
      </c>
      <c r="S121" s="65" t="str">
        <f>IF(A121="","",Q121+R121)</f>
        <v/>
      </c>
      <c r="T121" s="65" t="str">
        <f>IF(AR121="","",INDEX(fa_htb,AR121)+INDEX(fa_tvab,AR121))</f>
        <v/>
      </c>
      <c r="U121" s="65" t="str">
        <f>IF(A121="","",SUMIF(pa_inv,A121,pa_amt))</f>
        <v/>
      </c>
      <c r="V121" s="65" t="str">
        <f>IF(OR(A121="",AA121="Avoir"),"",-SUMIFS(fa_ttc,fa_avof,A121,fa_type,"Avoir"))</f>
        <v/>
      </c>
      <c r="W121" s="65" t="str">
        <f>IF(OR(A121="",AA121="Avoir"),"",ROUND(S121-U121-V121,2))</f>
        <v/>
      </c>
      <c r="X121" s="66" t="str">
        <f>IF(W121="","",IF(AND(W121&gt;0,p_asof&gt;P121),p_asof-P121,""))</f>
        <v/>
      </c>
      <c r="Y121" s="59" t="str">
        <f>IF(A121="","",IF(AA121="Avoir","Avoir",IF(W121&lt;0,"Trop-perçu",IF(W121=0,"Soldée",IF(p_asof&gt;P121,"En retard",IF(U121+V121&gt;0,"Partielle","À échoir"))))))</f>
        <v/>
      </c>
      <c r="Z121" s="59" t="str">
        <f>IF(NOT(COUNTA(B121:D121,F121:O121)&gt;0),"",IF(C121="","Date manquante",IF(NOT(ISNUMBER(C121)),"Date invalide",IF(D121="","Client manquant",IF(ISNA(MATCH(D121,cli_code,0)),"Client inconnu",IF(AC121&lt;SUMPRODUCT(MAX(($AB$6:AB120=AB121)*$AC$6:AC120)),"Date antérieure à la facture précédente",IF(AND(F121&lt;&gt;"",ISNA(MATCH(F121,dv_num,0))),"Devis inconnu",IF(AND(F121&lt;&gt;"",IFERROR(INDEX(dv_client,MATCH(F121,dv_num,0)),D121)&lt;&gt;D121),"Client différent de celui du devis",IF(AG121="","Aucune ligne : saisissez des lignes ou un devis",IF(AND(AI121&lt;&gt;"",COUNTIF($AI$6:AI121,AI121)&gt;1),"Devis déjà repris par une autre facture",IF(AND(AA121="Avoir",M121=""),"Avoir : indiquez la facture d'origine",IF(AND(AA121="Avoir",ISNA(MATCH(M121,fa_num,0))),"Facture d'origine inconnue",IF(AND(AA121&lt;&gt;"Avoir",M121&lt;&gt;""),"« Avoir sur facture » : réservé aux avoirs",IF(AND(L121&lt;&gt;"",AA121&lt;&gt;"Facture"),"Acompte à déduire : réservé aux factures",IF(AND(L121&lt;&gt;"",ISNA(MATCH(L121,fa_num,0))),"Facture d'acompte inconnue",IF(AND(L121&lt;&gt;"",IFERROR(INDEX(fa_type,MATCH(L121,fa_num,0)),"")&lt;&gt;"Facture d'acompte"),"Le n° à déduire n'est pas une facture d'acompte",IF(AND(L121&lt;&gt;"",COUNTIF($L$6:L121,L121)&gt;1),"Acompte déjà déduit sur une autre facture",IF(AND(L121&lt;&gt;"",IFERROR(INDEX(fa_client,MATCH(L121,fa_num,0)),D121)&lt;&gt;D121),"Acompte d'un autre client",IF(AND(AR121&lt;&gt;"",N(Q121)&lt;0),"Acompte supérieur au total de la facture",IF(IF(AG121="Facture",COUNTIFS(fl_doc,A121,fl_check,"&lt;&gt;OK"),IF(AG121="Devis",COUNTIFS(dl_doc,F121,dl_check,"&lt;&gt;OK"),0))&gt;0,"Ligne(s) à corriger",IF(AND(W121&lt;&gt;"",N(W121)&lt;0),"Trop-perçu : vérifiez paiements et avoirs","OK")))))))))))))))))))))</f>
        <v/>
      </c>
      <c r="AA121" s="62" t="str">
        <f>IF(COUNTA(B121:D121,F121:O121)&gt;0,IF(B121="","Facture",B121),"")</f>
        <v/>
      </c>
      <c r="AB121" s="62" t="str">
        <f>IF(AA121="","",IF(AA121="Avoir",p_pav,IF(AA121="Facture d'acompte",p_pac,p_pfa)))</f>
        <v/>
      </c>
      <c r="AC121" s="62">
        <f>IF(ISNUMBER(C121),C121,0)</f>
        <v>0.0</v>
      </c>
      <c r="AD121" s="62" t="str">
        <f>IF(OR(AA121="",AC121=0),"",YEAR(AC121))</f>
        <v/>
      </c>
      <c r="AE121" s="62" t="str">
        <f>IF(AD121="","",COUNTIFS($AB$6:AB121,AB121,$AD$6:AD121,AD121))</f>
        <v/>
      </c>
      <c r="AF121" s="62">
        <f>IF(A121="",0,COUNTIF(fl_doc,A121))</f>
        <v>0.0</v>
      </c>
      <c r="AG121" s="62" t="str">
        <f>IF(A121="","",IF(AF121&gt;0,"Facture",IF(AND(F121&lt;&gt;"",AA121="Facture",ISNUMBER(MATCH(F121,dv_num,0))),"Devis","")))</f>
        <v/>
      </c>
      <c r="AH121" s="62" t="str">
        <f>IF(AND(A121&lt;&gt;"",F121&lt;&gt;"",AA121&lt;&gt;"Avoir"),F121,"")</f>
        <v/>
      </c>
      <c r="AI121" s="62" t="str">
        <f>IF(AG121="Devis",F121,"")</f>
        <v/>
      </c>
      <c r="AJ121" s="62">
        <f>IF(AG121="Facture",SUMIF(fl_doc,A121,fl_ht),IF(AG121="Devis",SUMIF(dl_doc,F121,dl_ht),0))</f>
        <v>0.0</v>
      </c>
      <c r="AK121" s="62">
        <f>IF(OR(AG121="",INDEX(p_rates,1)=""),0,IF(AG121="Facture",SUMIFS(fl_ht,fl_doc,A121,fl_rate,INDEX(p_rates,1)),SUMIFS(dl_ht,dl_doc,F121,dl_rate,INDEX(p_rates,1))))</f>
        <v>0.0</v>
      </c>
      <c r="AL121" s="62">
        <f>IF(OR(AG121="",INDEX(p_rates,2)=""),0,IF(AG121="Facture",SUMIFS(fl_ht,fl_doc,A121,fl_rate,INDEX(p_rates,2)),SUMIFS(dl_ht,dl_doc,F121,dl_rate,INDEX(p_rates,2))))</f>
        <v>0.0</v>
      </c>
      <c r="AM121" s="62">
        <f>IF(OR(AG121="",INDEX(p_rates,3)=""),0,IF(AG121="Facture",SUMIFS(fl_ht,fl_doc,A121,fl_rate,INDEX(p_rates,3)),SUMIFS(dl_ht,dl_doc,F121,dl_rate,INDEX(p_rates,3))))</f>
        <v>0.0</v>
      </c>
      <c r="AN121" s="62">
        <f>IF(OR(AG121="",INDEX(p_rates,4)=""),0,IF(AG121="Facture",SUMIFS(fl_ht,fl_doc,A121,fl_rate,INDEX(p_rates,4)),SUMIFS(dl_ht,dl_doc,F121,dl_rate,INDEX(p_rates,4))))</f>
        <v>0.0</v>
      </c>
      <c r="AO121" s="62">
        <f>IF(OR(AG121="",INDEX(p_rates,5)=""),0,IF(AG121="Facture",SUMIFS(fl_ht,fl_doc,A121,fl_rate,INDEX(p_rates,5)),SUMIFS(dl_ht,dl_doc,F121,dl_rate,INDEX(p_rates,5))))</f>
        <v>0.0</v>
      </c>
      <c r="AP121" s="62">
        <f>IF(OR(AG121="",INDEX(p_rates,6)=""),0,IF(AG121="Facture",SUMIFS(fl_ht,fl_doc,A121,fl_rate,INDEX(p_rates,6)),SUMIFS(dl_ht,dl_doc,F121,dl_rate,INDEX(p_rates,6))))</f>
        <v>0.0</v>
      </c>
      <c r="AQ121" s="62">
        <f>ROUND(AK121*N(INDEX(p_rates,1)),2)+ROUND(AL121*N(INDEX(p_rates,2)),2)+ROUND(AM121*N(INDEX(p_rates,3)),2)+ROUND(AN121*N(INDEX(p_rates,4)),2)+ROUND(AO121*N(INDEX(p_rates,5)),2)+ROUND(AP121*N(INDEX(p_rates,6)),2)</f>
        <v>0.0</v>
      </c>
      <c r="AR121" s="62" t="str">
        <f>IF(OR(L121="",AA121&lt;&gt;"Facture"),"",IFERROR(IF(INDEX(fa_type,MATCH(L121,fa_num,0))="Facture d'acompte",MATCH(L121,fa_num,0),""),""))</f>
        <v/>
      </c>
      <c r="AS121" s="62" t="str">
        <f>IF(W121="","",IF(W121&lt;=0,"",IF(p_asof-P121&lt;=0,"Non échu",IF(p_asof-P121&lt;=30,"1-30 j",IF(p_asof-P121&lt;=60,"31-60 j",IF(p_asof-P121&lt;=90,"61-90 j","Plus de 90 j"))))))</f>
        <v/>
      </c>
      <c r="AT121" s="62" t="str">
        <f>IF(AS121="","",p_asof-P121)</f>
        <v/>
      </c>
      <c r="AU121" s="62" t="str">
        <f>IF(AT121="","",COUNTIF($AT$6:$AT$805,"&gt;"&amp;AT121)+COUNTIF($AT$6:AT121,AT121))</f>
        <v/>
      </c>
    </row>
    <row r="122">
      <c r="A122" s="59" t="str">
        <f>IF(AE122="","",AB122&amp;"-"&amp;AD122&amp;"-"&amp;RIGHT("000"&amp;AE122,4))</f>
        <v/>
      </c>
      <c r="B122" s="60" t="n"/>
      <c r="C122" s="61" t="n"/>
      <c r="D122" s="60" t="n"/>
      <c r="E122" s="62" t="str">
        <f>IF(D122="","",IFERROR(INDEX(cli_name,MATCH(D122,cli_code,0))&amp;"","Client inconnu"))</f>
        <v/>
      </c>
      <c r="F122" s="60" t="n"/>
      <c r="G122" s="63" t="n"/>
      <c r="H122" s="61" t="n"/>
      <c r="I122" s="63" t="n"/>
      <c r="J122" s="60" t="n"/>
      <c r="K122" s="61" t="n"/>
      <c r="L122" s="60" t="n"/>
      <c r="M122" s="60" t="n"/>
      <c r="N122" s="60" t="n"/>
      <c r="O122" s="61" t="n"/>
      <c r="P122" s="64" t="str">
        <f>IF(A122="","",IF(AA122="Avoir",AC122,IF(ISNUMBER(K122),K122,AC122+IF(D122="",N(p_delay),IFERROR(IF(ISNUMBER(INDEX(cli_delay,MATCH(D122,cli_code,0))),INDEX(cli_delay,MATCH(D122,cli_code,0)),N(p_delay)),N(p_delay))))))</f>
        <v/>
      </c>
      <c r="Q122" s="65" t="str">
        <f>IF(A122="","",IF(AA122="Avoir",-1,1)*ROUND(AJ122-IF(AR122="",0,INDEX(fa_htb,AR122)),2))</f>
        <v/>
      </c>
      <c r="R122" s="65" t="str">
        <f>IF(A122="","",IF(AA122="Avoir",-1,1)*ROUND(AQ122-IF(AR122="",0,INDEX(fa_tvab,AR122)),2))</f>
        <v/>
      </c>
      <c r="S122" s="65" t="str">
        <f>IF(A122="","",Q122+R122)</f>
        <v/>
      </c>
      <c r="T122" s="65" t="str">
        <f>IF(AR122="","",INDEX(fa_htb,AR122)+INDEX(fa_tvab,AR122))</f>
        <v/>
      </c>
      <c r="U122" s="65" t="str">
        <f>IF(A122="","",SUMIF(pa_inv,A122,pa_amt))</f>
        <v/>
      </c>
      <c r="V122" s="65" t="str">
        <f>IF(OR(A122="",AA122="Avoir"),"",-SUMIFS(fa_ttc,fa_avof,A122,fa_type,"Avoir"))</f>
        <v/>
      </c>
      <c r="W122" s="65" t="str">
        <f>IF(OR(A122="",AA122="Avoir"),"",ROUND(S122-U122-V122,2))</f>
        <v/>
      </c>
      <c r="X122" s="66" t="str">
        <f>IF(W122="","",IF(AND(W122&gt;0,p_asof&gt;P122),p_asof-P122,""))</f>
        <v/>
      </c>
      <c r="Y122" s="59" t="str">
        <f>IF(A122="","",IF(AA122="Avoir","Avoir",IF(W122&lt;0,"Trop-perçu",IF(W122=0,"Soldée",IF(p_asof&gt;P122,"En retard",IF(U122+V122&gt;0,"Partielle","À échoir"))))))</f>
        <v/>
      </c>
      <c r="Z122" s="59" t="str">
        <f>IF(NOT(COUNTA(B122:D122,F122:O122)&gt;0),"",IF(C122="","Date manquante",IF(NOT(ISNUMBER(C122)),"Date invalide",IF(D122="","Client manquant",IF(ISNA(MATCH(D122,cli_code,0)),"Client inconnu",IF(AC122&lt;SUMPRODUCT(MAX(($AB$6:AB121=AB122)*$AC$6:AC121)),"Date antérieure à la facture précédente",IF(AND(F122&lt;&gt;"",ISNA(MATCH(F122,dv_num,0))),"Devis inconnu",IF(AND(F122&lt;&gt;"",IFERROR(INDEX(dv_client,MATCH(F122,dv_num,0)),D122)&lt;&gt;D122),"Client différent de celui du devis",IF(AG122="","Aucune ligne : saisissez des lignes ou un devis",IF(AND(AI122&lt;&gt;"",COUNTIF($AI$6:AI122,AI122)&gt;1),"Devis déjà repris par une autre facture",IF(AND(AA122="Avoir",M122=""),"Avoir : indiquez la facture d'origine",IF(AND(AA122="Avoir",ISNA(MATCH(M122,fa_num,0))),"Facture d'origine inconnue",IF(AND(AA122&lt;&gt;"Avoir",M122&lt;&gt;""),"« Avoir sur facture » : réservé aux avoirs",IF(AND(L122&lt;&gt;"",AA122&lt;&gt;"Facture"),"Acompte à déduire : réservé aux factures",IF(AND(L122&lt;&gt;"",ISNA(MATCH(L122,fa_num,0))),"Facture d'acompte inconnue",IF(AND(L122&lt;&gt;"",IFERROR(INDEX(fa_type,MATCH(L122,fa_num,0)),"")&lt;&gt;"Facture d'acompte"),"Le n° à déduire n'est pas une facture d'acompte",IF(AND(L122&lt;&gt;"",COUNTIF($L$6:L122,L122)&gt;1),"Acompte déjà déduit sur une autre facture",IF(AND(L122&lt;&gt;"",IFERROR(INDEX(fa_client,MATCH(L122,fa_num,0)),D122)&lt;&gt;D122),"Acompte d'un autre client",IF(AND(AR122&lt;&gt;"",N(Q122)&lt;0),"Acompte supérieur au total de la facture",IF(IF(AG122="Facture",COUNTIFS(fl_doc,A122,fl_check,"&lt;&gt;OK"),IF(AG122="Devis",COUNTIFS(dl_doc,F122,dl_check,"&lt;&gt;OK"),0))&gt;0,"Ligne(s) à corriger",IF(AND(W122&lt;&gt;"",N(W122)&lt;0),"Trop-perçu : vérifiez paiements et avoirs","OK")))))))))))))))))))))</f>
        <v/>
      </c>
      <c r="AA122" s="62" t="str">
        <f>IF(COUNTA(B122:D122,F122:O122)&gt;0,IF(B122="","Facture",B122),"")</f>
        <v/>
      </c>
      <c r="AB122" s="62" t="str">
        <f>IF(AA122="","",IF(AA122="Avoir",p_pav,IF(AA122="Facture d'acompte",p_pac,p_pfa)))</f>
        <v/>
      </c>
      <c r="AC122" s="62">
        <f>IF(ISNUMBER(C122),C122,0)</f>
        <v>0.0</v>
      </c>
      <c r="AD122" s="62" t="str">
        <f>IF(OR(AA122="",AC122=0),"",YEAR(AC122))</f>
        <v/>
      </c>
      <c r="AE122" s="62" t="str">
        <f>IF(AD122="","",COUNTIFS($AB$6:AB122,AB122,$AD$6:AD122,AD122))</f>
        <v/>
      </c>
      <c r="AF122" s="62">
        <f>IF(A122="",0,COUNTIF(fl_doc,A122))</f>
        <v>0.0</v>
      </c>
      <c r="AG122" s="62" t="str">
        <f>IF(A122="","",IF(AF122&gt;0,"Facture",IF(AND(F122&lt;&gt;"",AA122="Facture",ISNUMBER(MATCH(F122,dv_num,0))),"Devis","")))</f>
        <v/>
      </c>
      <c r="AH122" s="62" t="str">
        <f>IF(AND(A122&lt;&gt;"",F122&lt;&gt;"",AA122&lt;&gt;"Avoir"),F122,"")</f>
        <v/>
      </c>
      <c r="AI122" s="62" t="str">
        <f>IF(AG122="Devis",F122,"")</f>
        <v/>
      </c>
      <c r="AJ122" s="62">
        <f>IF(AG122="Facture",SUMIF(fl_doc,A122,fl_ht),IF(AG122="Devis",SUMIF(dl_doc,F122,dl_ht),0))</f>
        <v>0.0</v>
      </c>
      <c r="AK122" s="62">
        <f>IF(OR(AG122="",INDEX(p_rates,1)=""),0,IF(AG122="Facture",SUMIFS(fl_ht,fl_doc,A122,fl_rate,INDEX(p_rates,1)),SUMIFS(dl_ht,dl_doc,F122,dl_rate,INDEX(p_rates,1))))</f>
        <v>0.0</v>
      </c>
      <c r="AL122" s="62">
        <f>IF(OR(AG122="",INDEX(p_rates,2)=""),0,IF(AG122="Facture",SUMIFS(fl_ht,fl_doc,A122,fl_rate,INDEX(p_rates,2)),SUMIFS(dl_ht,dl_doc,F122,dl_rate,INDEX(p_rates,2))))</f>
        <v>0.0</v>
      </c>
      <c r="AM122" s="62">
        <f>IF(OR(AG122="",INDEX(p_rates,3)=""),0,IF(AG122="Facture",SUMIFS(fl_ht,fl_doc,A122,fl_rate,INDEX(p_rates,3)),SUMIFS(dl_ht,dl_doc,F122,dl_rate,INDEX(p_rates,3))))</f>
        <v>0.0</v>
      </c>
      <c r="AN122" s="62">
        <f>IF(OR(AG122="",INDEX(p_rates,4)=""),0,IF(AG122="Facture",SUMIFS(fl_ht,fl_doc,A122,fl_rate,INDEX(p_rates,4)),SUMIFS(dl_ht,dl_doc,F122,dl_rate,INDEX(p_rates,4))))</f>
        <v>0.0</v>
      </c>
      <c r="AO122" s="62">
        <f>IF(OR(AG122="",INDEX(p_rates,5)=""),0,IF(AG122="Facture",SUMIFS(fl_ht,fl_doc,A122,fl_rate,INDEX(p_rates,5)),SUMIFS(dl_ht,dl_doc,F122,dl_rate,INDEX(p_rates,5))))</f>
        <v>0.0</v>
      </c>
      <c r="AP122" s="62">
        <f>IF(OR(AG122="",INDEX(p_rates,6)=""),0,IF(AG122="Facture",SUMIFS(fl_ht,fl_doc,A122,fl_rate,INDEX(p_rates,6)),SUMIFS(dl_ht,dl_doc,F122,dl_rate,INDEX(p_rates,6))))</f>
        <v>0.0</v>
      </c>
      <c r="AQ122" s="62">
        <f>ROUND(AK122*N(INDEX(p_rates,1)),2)+ROUND(AL122*N(INDEX(p_rates,2)),2)+ROUND(AM122*N(INDEX(p_rates,3)),2)+ROUND(AN122*N(INDEX(p_rates,4)),2)+ROUND(AO122*N(INDEX(p_rates,5)),2)+ROUND(AP122*N(INDEX(p_rates,6)),2)</f>
        <v>0.0</v>
      </c>
      <c r="AR122" s="62" t="str">
        <f>IF(OR(L122="",AA122&lt;&gt;"Facture"),"",IFERROR(IF(INDEX(fa_type,MATCH(L122,fa_num,0))="Facture d'acompte",MATCH(L122,fa_num,0),""),""))</f>
        <v/>
      </c>
      <c r="AS122" s="62" t="str">
        <f>IF(W122="","",IF(W122&lt;=0,"",IF(p_asof-P122&lt;=0,"Non échu",IF(p_asof-P122&lt;=30,"1-30 j",IF(p_asof-P122&lt;=60,"31-60 j",IF(p_asof-P122&lt;=90,"61-90 j","Plus de 90 j"))))))</f>
        <v/>
      </c>
      <c r="AT122" s="62" t="str">
        <f>IF(AS122="","",p_asof-P122)</f>
        <v/>
      </c>
      <c r="AU122" s="62" t="str">
        <f>IF(AT122="","",COUNTIF($AT$6:$AT$805,"&gt;"&amp;AT122)+COUNTIF($AT$6:AT122,AT122))</f>
        <v/>
      </c>
    </row>
    <row r="123">
      <c r="A123" s="59" t="str">
        <f>IF(AE123="","",AB123&amp;"-"&amp;AD123&amp;"-"&amp;RIGHT("000"&amp;AE123,4))</f>
        <v/>
      </c>
      <c r="B123" s="60" t="n"/>
      <c r="C123" s="61" t="n"/>
      <c r="D123" s="60" t="n"/>
      <c r="E123" s="62" t="str">
        <f>IF(D123="","",IFERROR(INDEX(cli_name,MATCH(D123,cli_code,0))&amp;"","Client inconnu"))</f>
        <v/>
      </c>
      <c r="F123" s="60" t="n"/>
      <c r="G123" s="63" t="n"/>
      <c r="H123" s="61" t="n"/>
      <c r="I123" s="63" t="n"/>
      <c r="J123" s="60" t="n"/>
      <c r="K123" s="61" t="n"/>
      <c r="L123" s="60" t="n"/>
      <c r="M123" s="60" t="n"/>
      <c r="N123" s="60" t="n"/>
      <c r="O123" s="61" t="n"/>
      <c r="P123" s="64" t="str">
        <f>IF(A123="","",IF(AA123="Avoir",AC123,IF(ISNUMBER(K123),K123,AC123+IF(D123="",N(p_delay),IFERROR(IF(ISNUMBER(INDEX(cli_delay,MATCH(D123,cli_code,0))),INDEX(cli_delay,MATCH(D123,cli_code,0)),N(p_delay)),N(p_delay))))))</f>
        <v/>
      </c>
      <c r="Q123" s="65" t="str">
        <f>IF(A123="","",IF(AA123="Avoir",-1,1)*ROUND(AJ123-IF(AR123="",0,INDEX(fa_htb,AR123)),2))</f>
        <v/>
      </c>
      <c r="R123" s="65" t="str">
        <f>IF(A123="","",IF(AA123="Avoir",-1,1)*ROUND(AQ123-IF(AR123="",0,INDEX(fa_tvab,AR123)),2))</f>
        <v/>
      </c>
      <c r="S123" s="65" t="str">
        <f>IF(A123="","",Q123+R123)</f>
        <v/>
      </c>
      <c r="T123" s="65" t="str">
        <f>IF(AR123="","",INDEX(fa_htb,AR123)+INDEX(fa_tvab,AR123))</f>
        <v/>
      </c>
      <c r="U123" s="65" t="str">
        <f>IF(A123="","",SUMIF(pa_inv,A123,pa_amt))</f>
        <v/>
      </c>
      <c r="V123" s="65" t="str">
        <f>IF(OR(A123="",AA123="Avoir"),"",-SUMIFS(fa_ttc,fa_avof,A123,fa_type,"Avoir"))</f>
        <v/>
      </c>
      <c r="W123" s="65" t="str">
        <f>IF(OR(A123="",AA123="Avoir"),"",ROUND(S123-U123-V123,2))</f>
        <v/>
      </c>
      <c r="X123" s="66" t="str">
        <f>IF(W123="","",IF(AND(W123&gt;0,p_asof&gt;P123),p_asof-P123,""))</f>
        <v/>
      </c>
      <c r="Y123" s="59" t="str">
        <f>IF(A123="","",IF(AA123="Avoir","Avoir",IF(W123&lt;0,"Trop-perçu",IF(W123=0,"Soldée",IF(p_asof&gt;P123,"En retard",IF(U123+V123&gt;0,"Partielle","À échoir"))))))</f>
        <v/>
      </c>
      <c r="Z123" s="59" t="str">
        <f>IF(NOT(COUNTA(B123:D123,F123:O123)&gt;0),"",IF(C123="","Date manquante",IF(NOT(ISNUMBER(C123)),"Date invalide",IF(D123="","Client manquant",IF(ISNA(MATCH(D123,cli_code,0)),"Client inconnu",IF(AC123&lt;SUMPRODUCT(MAX(($AB$6:AB122=AB123)*$AC$6:AC122)),"Date antérieure à la facture précédente",IF(AND(F123&lt;&gt;"",ISNA(MATCH(F123,dv_num,0))),"Devis inconnu",IF(AND(F123&lt;&gt;"",IFERROR(INDEX(dv_client,MATCH(F123,dv_num,0)),D123)&lt;&gt;D123),"Client différent de celui du devis",IF(AG123="","Aucune ligne : saisissez des lignes ou un devis",IF(AND(AI123&lt;&gt;"",COUNTIF($AI$6:AI123,AI123)&gt;1),"Devis déjà repris par une autre facture",IF(AND(AA123="Avoir",M123=""),"Avoir : indiquez la facture d'origine",IF(AND(AA123="Avoir",ISNA(MATCH(M123,fa_num,0))),"Facture d'origine inconnue",IF(AND(AA123&lt;&gt;"Avoir",M123&lt;&gt;""),"« Avoir sur facture » : réservé aux avoirs",IF(AND(L123&lt;&gt;"",AA123&lt;&gt;"Facture"),"Acompte à déduire : réservé aux factures",IF(AND(L123&lt;&gt;"",ISNA(MATCH(L123,fa_num,0))),"Facture d'acompte inconnue",IF(AND(L123&lt;&gt;"",IFERROR(INDEX(fa_type,MATCH(L123,fa_num,0)),"")&lt;&gt;"Facture d'acompte"),"Le n° à déduire n'est pas une facture d'acompte",IF(AND(L123&lt;&gt;"",COUNTIF($L$6:L123,L123)&gt;1),"Acompte déjà déduit sur une autre facture",IF(AND(L123&lt;&gt;"",IFERROR(INDEX(fa_client,MATCH(L123,fa_num,0)),D123)&lt;&gt;D123),"Acompte d'un autre client",IF(AND(AR123&lt;&gt;"",N(Q123)&lt;0),"Acompte supérieur au total de la facture",IF(IF(AG123="Facture",COUNTIFS(fl_doc,A123,fl_check,"&lt;&gt;OK"),IF(AG123="Devis",COUNTIFS(dl_doc,F123,dl_check,"&lt;&gt;OK"),0))&gt;0,"Ligne(s) à corriger",IF(AND(W123&lt;&gt;"",N(W123)&lt;0),"Trop-perçu : vérifiez paiements et avoirs","OK")))))))))))))))))))))</f>
        <v/>
      </c>
      <c r="AA123" s="62" t="str">
        <f>IF(COUNTA(B123:D123,F123:O123)&gt;0,IF(B123="","Facture",B123),"")</f>
        <v/>
      </c>
      <c r="AB123" s="62" t="str">
        <f>IF(AA123="","",IF(AA123="Avoir",p_pav,IF(AA123="Facture d'acompte",p_pac,p_pfa)))</f>
        <v/>
      </c>
      <c r="AC123" s="62">
        <f>IF(ISNUMBER(C123),C123,0)</f>
        <v>0.0</v>
      </c>
      <c r="AD123" s="62" t="str">
        <f>IF(OR(AA123="",AC123=0),"",YEAR(AC123))</f>
        <v/>
      </c>
      <c r="AE123" s="62" t="str">
        <f>IF(AD123="","",COUNTIFS($AB$6:AB123,AB123,$AD$6:AD123,AD123))</f>
        <v/>
      </c>
      <c r="AF123" s="62">
        <f>IF(A123="",0,COUNTIF(fl_doc,A123))</f>
        <v>0.0</v>
      </c>
      <c r="AG123" s="62" t="str">
        <f>IF(A123="","",IF(AF123&gt;0,"Facture",IF(AND(F123&lt;&gt;"",AA123="Facture",ISNUMBER(MATCH(F123,dv_num,0))),"Devis","")))</f>
        <v/>
      </c>
      <c r="AH123" s="62" t="str">
        <f>IF(AND(A123&lt;&gt;"",F123&lt;&gt;"",AA123&lt;&gt;"Avoir"),F123,"")</f>
        <v/>
      </c>
      <c r="AI123" s="62" t="str">
        <f>IF(AG123="Devis",F123,"")</f>
        <v/>
      </c>
      <c r="AJ123" s="62">
        <f>IF(AG123="Facture",SUMIF(fl_doc,A123,fl_ht),IF(AG123="Devis",SUMIF(dl_doc,F123,dl_ht),0))</f>
        <v>0.0</v>
      </c>
      <c r="AK123" s="62">
        <f>IF(OR(AG123="",INDEX(p_rates,1)=""),0,IF(AG123="Facture",SUMIFS(fl_ht,fl_doc,A123,fl_rate,INDEX(p_rates,1)),SUMIFS(dl_ht,dl_doc,F123,dl_rate,INDEX(p_rates,1))))</f>
        <v>0.0</v>
      </c>
      <c r="AL123" s="62">
        <f>IF(OR(AG123="",INDEX(p_rates,2)=""),0,IF(AG123="Facture",SUMIFS(fl_ht,fl_doc,A123,fl_rate,INDEX(p_rates,2)),SUMIFS(dl_ht,dl_doc,F123,dl_rate,INDEX(p_rates,2))))</f>
        <v>0.0</v>
      </c>
      <c r="AM123" s="62">
        <f>IF(OR(AG123="",INDEX(p_rates,3)=""),0,IF(AG123="Facture",SUMIFS(fl_ht,fl_doc,A123,fl_rate,INDEX(p_rates,3)),SUMIFS(dl_ht,dl_doc,F123,dl_rate,INDEX(p_rates,3))))</f>
        <v>0.0</v>
      </c>
      <c r="AN123" s="62">
        <f>IF(OR(AG123="",INDEX(p_rates,4)=""),0,IF(AG123="Facture",SUMIFS(fl_ht,fl_doc,A123,fl_rate,INDEX(p_rates,4)),SUMIFS(dl_ht,dl_doc,F123,dl_rate,INDEX(p_rates,4))))</f>
        <v>0.0</v>
      </c>
      <c r="AO123" s="62">
        <f>IF(OR(AG123="",INDEX(p_rates,5)=""),0,IF(AG123="Facture",SUMIFS(fl_ht,fl_doc,A123,fl_rate,INDEX(p_rates,5)),SUMIFS(dl_ht,dl_doc,F123,dl_rate,INDEX(p_rates,5))))</f>
        <v>0.0</v>
      </c>
      <c r="AP123" s="62">
        <f>IF(OR(AG123="",INDEX(p_rates,6)=""),0,IF(AG123="Facture",SUMIFS(fl_ht,fl_doc,A123,fl_rate,INDEX(p_rates,6)),SUMIFS(dl_ht,dl_doc,F123,dl_rate,INDEX(p_rates,6))))</f>
        <v>0.0</v>
      </c>
      <c r="AQ123" s="62">
        <f>ROUND(AK123*N(INDEX(p_rates,1)),2)+ROUND(AL123*N(INDEX(p_rates,2)),2)+ROUND(AM123*N(INDEX(p_rates,3)),2)+ROUND(AN123*N(INDEX(p_rates,4)),2)+ROUND(AO123*N(INDEX(p_rates,5)),2)+ROUND(AP123*N(INDEX(p_rates,6)),2)</f>
        <v>0.0</v>
      </c>
      <c r="AR123" s="62" t="str">
        <f>IF(OR(L123="",AA123&lt;&gt;"Facture"),"",IFERROR(IF(INDEX(fa_type,MATCH(L123,fa_num,0))="Facture d'acompte",MATCH(L123,fa_num,0),""),""))</f>
        <v/>
      </c>
      <c r="AS123" s="62" t="str">
        <f>IF(W123="","",IF(W123&lt;=0,"",IF(p_asof-P123&lt;=0,"Non échu",IF(p_asof-P123&lt;=30,"1-30 j",IF(p_asof-P123&lt;=60,"31-60 j",IF(p_asof-P123&lt;=90,"61-90 j","Plus de 90 j"))))))</f>
        <v/>
      </c>
      <c r="AT123" s="62" t="str">
        <f>IF(AS123="","",p_asof-P123)</f>
        <v/>
      </c>
      <c r="AU123" s="62" t="str">
        <f>IF(AT123="","",COUNTIF($AT$6:$AT$805,"&gt;"&amp;AT123)+COUNTIF($AT$6:AT123,AT123))</f>
        <v/>
      </c>
    </row>
    <row r="124">
      <c r="A124" s="59" t="str">
        <f>IF(AE124="","",AB124&amp;"-"&amp;AD124&amp;"-"&amp;RIGHT("000"&amp;AE124,4))</f>
        <v/>
      </c>
      <c r="B124" s="60" t="n"/>
      <c r="C124" s="61" t="n"/>
      <c r="D124" s="60" t="n"/>
      <c r="E124" s="62" t="str">
        <f>IF(D124="","",IFERROR(INDEX(cli_name,MATCH(D124,cli_code,0))&amp;"","Client inconnu"))</f>
        <v/>
      </c>
      <c r="F124" s="60" t="n"/>
      <c r="G124" s="63" t="n"/>
      <c r="H124" s="61" t="n"/>
      <c r="I124" s="63" t="n"/>
      <c r="J124" s="60" t="n"/>
      <c r="K124" s="61" t="n"/>
      <c r="L124" s="60" t="n"/>
      <c r="M124" s="60" t="n"/>
      <c r="N124" s="60" t="n"/>
      <c r="O124" s="61" t="n"/>
      <c r="P124" s="64" t="str">
        <f>IF(A124="","",IF(AA124="Avoir",AC124,IF(ISNUMBER(K124),K124,AC124+IF(D124="",N(p_delay),IFERROR(IF(ISNUMBER(INDEX(cli_delay,MATCH(D124,cli_code,0))),INDEX(cli_delay,MATCH(D124,cli_code,0)),N(p_delay)),N(p_delay))))))</f>
        <v/>
      </c>
      <c r="Q124" s="65" t="str">
        <f>IF(A124="","",IF(AA124="Avoir",-1,1)*ROUND(AJ124-IF(AR124="",0,INDEX(fa_htb,AR124)),2))</f>
        <v/>
      </c>
      <c r="R124" s="65" t="str">
        <f>IF(A124="","",IF(AA124="Avoir",-1,1)*ROUND(AQ124-IF(AR124="",0,INDEX(fa_tvab,AR124)),2))</f>
        <v/>
      </c>
      <c r="S124" s="65" t="str">
        <f>IF(A124="","",Q124+R124)</f>
        <v/>
      </c>
      <c r="T124" s="65" t="str">
        <f>IF(AR124="","",INDEX(fa_htb,AR124)+INDEX(fa_tvab,AR124))</f>
        <v/>
      </c>
      <c r="U124" s="65" t="str">
        <f>IF(A124="","",SUMIF(pa_inv,A124,pa_amt))</f>
        <v/>
      </c>
      <c r="V124" s="65" t="str">
        <f>IF(OR(A124="",AA124="Avoir"),"",-SUMIFS(fa_ttc,fa_avof,A124,fa_type,"Avoir"))</f>
        <v/>
      </c>
      <c r="W124" s="65" t="str">
        <f>IF(OR(A124="",AA124="Avoir"),"",ROUND(S124-U124-V124,2))</f>
        <v/>
      </c>
      <c r="X124" s="66" t="str">
        <f>IF(W124="","",IF(AND(W124&gt;0,p_asof&gt;P124),p_asof-P124,""))</f>
        <v/>
      </c>
      <c r="Y124" s="59" t="str">
        <f>IF(A124="","",IF(AA124="Avoir","Avoir",IF(W124&lt;0,"Trop-perçu",IF(W124=0,"Soldée",IF(p_asof&gt;P124,"En retard",IF(U124+V124&gt;0,"Partielle","À échoir"))))))</f>
        <v/>
      </c>
      <c r="Z124" s="59" t="str">
        <f>IF(NOT(COUNTA(B124:D124,F124:O124)&gt;0),"",IF(C124="","Date manquante",IF(NOT(ISNUMBER(C124)),"Date invalide",IF(D124="","Client manquant",IF(ISNA(MATCH(D124,cli_code,0)),"Client inconnu",IF(AC124&lt;SUMPRODUCT(MAX(($AB$6:AB123=AB124)*$AC$6:AC123)),"Date antérieure à la facture précédente",IF(AND(F124&lt;&gt;"",ISNA(MATCH(F124,dv_num,0))),"Devis inconnu",IF(AND(F124&lt;&gt;"",IFERROR(INDEX(dv_client,MATCH(F124,dv_num,0)),D124)&lt;&gt;D124),"Client différent de celui du devis",IF(AG124="","Aucune ligne : saisissez des lignes ou un devis",IF(AND(AI124&lt;&gt;"",COUNTIF($AI$6:AI124,AI124)&gt;1),"Devis déjà repris par une autre facture",IF(AND(AA124="Avoir",M124=""),"Avoir : indiquez la facture d'origine",IF(AND(AA124="Avoir",ISNA(MATCH(M124,fa_num,0))),"Facture d'origine inconnue",IF(AND(AA124&lt;&gt;"Avoir",M124&lt;&gt;""),"« Avoir sur facture » : réservé aux avoirs",IF(AND(L124&lt;&gt;"",AA124&lt;&gt;"Facture"),"Acompte à déduire : réservé aux factures",IF(AND(L124&lt;&gt;"",ISNA(MATCH(L124,fa_num,0))),"Facture d'acompte inconnue",IF(AND(L124&lt;&gt;"",IFERROR(INDEX(fa_type,MATCH(L124,fa_num,0)),"")&lt;&gt;"Facture d'acompte"),"Le n° à déduire n'est pas une facture d'acompte",IF(AND(L124&lt;&gt;"",COUNTIF($L$6:L124,L124)&gt;1),"Acompte déjà déduit sur une autre facture",IF(AND(L124&lt;&gt;"",IFERROR(INDEX(fa_client,MATCH(L124,fa_num,0)),D124)&lt;&gt;D124),"Acompte d'un autre client",IF(AND(AR124&lt;&gt;"",N(Q124)&lt;0),"Acompte supérieur au total de la facture",IF(IF(AG124="Facture",COUNTIFS(fl_doc,A124,fl_check,"&lt;&gt;OK"),IF(AG124="Devis",COUNTIFS(dl_doc,F124,dl_check,"&lt;&gt;OK"),0))&gt;0,"Ligne(s) à corriger",IF(AND(W124&lt;&gt;"",N(W124)&lt;0),"Trop-perçu : vérifiez paiements et avoirs","OK")))))))))))))))))))))</f>
        <v/>
      </c>
      <c r="AA124" s="62" t="str">
        <f>IF(COUNTA(B124:D124,F124:O124)&gt;0,IF(B124="","Facture",B124),"")</f>
        <v/>
      </c>
      <c r="AB124" s="62" t="str">
        <f>IF(AA124="","",IF(AA124="Avoir",p_pav,IF(AA124="Facture d'acompte",p_pac,p_pfa)))</f>
        <v/>
      </c>
      <c r="AC124" s="62">
        <f>IF(ISNUMBER(C124),C124,0)</f>
        <v>0.0</v>
      </c>
      <c r="AD124" s="62" t="str">
        <f>IF(OR(AA124="",AC124=0),"",YEAR(AC124))</f>
        <v/>
      </c>
      <c r="AE124" s="62" t="str">
        <f>IF(AD124="","",COUNTIFS($AB$6:AB124,AB124,$AD$6:AD124,AD124))</f>
        <v/>
      </c>
      <c r="AF124" s="62">
        <f>IF(A124="",0,COUNTIF(fl_doc,A124))</f>
        <v>0.0</v>
      </c>
      <c r="AG124" s="62" t="str">
        <f>IF(A124="","",IF(AF124&gt;0,"Facture",IF(AND(F124&lt;&gt;"",AA124="Facture",ISNUMBER(MATCH(F124,dv_num,0))),"Devis","")))</f>
        <v/>
      </c>
      <c r="AH124" s="62" t="str">
        <f>IF(AND(A124&lt;&gt;"",F124&lt;&gt;"",AA124&lt;&gt;"Avoir"),F124,"")</f>
        <v/>
      </c>
      <c r="AI124" s="62" t="str">
        <f>IF(AG124="Devis",F124,"")</f>
        <v/>
      </c>
      <c r="AJ124" s="62">
        <f>IF(AG124="Facture",SUMIF(fl_doc,A124,fl_ht),IF(AG124="Devis",SUMIF(dl_doc,F124,dl_ht),0))</f>
        <v>0.0</v>
      </c>
      <c r="AK124" s="62">
        <f>IF(OR(AG124="",INDEX(p_rates,1)=""),0,IF(AG124="Facture",SUMIFS(fl_ht,fl_doc,A124,fl_rate,INDEX(p_rates,1)),SUMIFS(dl_ht,dl_doc,F124,dl_rate,INDEX(p_rates,1))))</f>
        <v>0.0</v>
      </c>
      <c r="AL124" s="62">
        <f>IF(OR(AG124="",INDEX(p_rates,2)=""),0,IF(AG124="Facture",SUMIFS(fl_ht,fl_doc,A124,fl_rate,INDEX(p_rates,2)),SUMIFS(dl_ht,dl_doc,F124,dl_rate,INDEX(p_rates,2))))</f>
        <v>0.0</v>
      </c>
      <c r="AM124" s="62">
        <f>IF(OR(AG124="",INDEX(p_rates,3)=""),0,IF(AG124="Facture",SUMIFS(fl_ht,fl_doc,A124,fl_rate,INDEX(p_rates,3)),SUMIFS(dl_ht,dl_doc,F124,dl_rate,INDEX(p_rates,3))))</f>
        <v>0.0</v>
      </c>
      <c r="AN124" s="62">
        <f>IF(OR(AG124="",INDEX(p_rates,4)=""),0,IF(AG124="Facture",SUMIFS(fl_ht,fl_doc,A124,fl_rate,INDEX(p_rates,4)),SUMIFS(dl_ht,dl_doc,F124,dl_rate,INDEX(p_rates,4))))</f>
        <v>0.0</v>
      </c>
      <c r="AO124" s="62">
        <f>IF(OR(AG124="",INDEX(p_rates,5)=""),0,IF(AG124="Facture",SUMIFS(fl_ht,fl_doc,A124,fl_rate,INDEX(p_rates,5)),SUMIFS(dl_ht,dl_doc,F124,dl_rate,INDEX(p_rates,5))))</f>
        <v>0.0</v>
      </c>
      <c r="AP124" s="62">
        <f>IF(OR(AG124="",INDEX(p_rates,6)=""),0,IF(AG124="Facture",SUMIFS(fl_ht,fl_doc,A124,fl_rate,INDEX(p_rates,6)),SUMIFS(dl_ht,dl_doc,F124,dl_rate,INDEX(p_rates,6))))</f>
        <v>0.0</v>
      </c>
      <c r="AQ124" s="62">
        <f>ROUND(AK124*N(INDEX(p_rates,1)),2)+ROUND(AL124*N(INDEX(p_rates,2)),2)+ROUND(AM124*N(INDEX(p_rates,3)),2)+ROUND(AN124*N(INDEX(p_rates,4)),2)+ROUND(AO124*N(INDEX(p_rates,5)),2)+ROUND(AP124*N(INDEX(p_rates,6)),2)</f>
        <v>0.0</v>
      </c>
      <c r="AR124" s="62" t="str">
        <f>IF(OR(L124="",AA124&lt;&gt;"Facture"),"",IFERROR(IF(INDEX(fa_type,MATCH(L124,fa_num,0))="Facture d'acompte",MATCH(L124,fa_num,0),""),""))</f>
        <v/>
      </c>
      <c r="AS124" s="62" t="str">
        <f>IF(W124="","",IF(W124&lt;=0,"",IF(p_asof-P124&lt;=0,"Non échu",IF(p_asof-P124&lt;=30,"1-30 j",IF(p_asof-P124&lt;=60,"31-60 j",IF(p_asof-P124&lt;=90,"61-90 j","Plus de 90 j"))))))</f>
        <v/>
      </c>
      <c r="AT124" s="62" t="str">
        <f>IF(AS124="","",p_asof-P124)</f>
        <v/>
      </c>
      <c r="AU124" s="62" t="str">
        <f>IF(AT124="","",COUNTIF($AT$6:$AT$805,"&gt;"&amp;AT124)+COUNTIF($AT$6:AT124,AT124))</f>
        <v/>
      </c>
    </row>
    <row r="125">
      <c r="A125" s="59" t="str">
        <f>IF(AE125="","",AB125&amp;"-"&amp;AD125&amp;"-"&amp;RIGHT("000"&amp;AE125,4))</f>
        <v/>
      </c>
      <c r="B125" s="60" t="n"/>
      <c r="C125" s="61" t="n"/>
      <c r="D125" s="60" t="n"/>
      <c r="E125" s="62" t="str">
        <f>IF(D125="","",IFERROR(INDEX(cli_name,MATCH(D125,cli_code,0))&amp;"","Client inconnu"))</f>
        <v/>
      </c>
      <c r="F125" s="60" t="n"/>
      <c r="G125" s="63" t="n"/>
      <c r="H125" s="61" t="n"/>
      <c r="I125" s="63" t="n"/>
      <c r="J125" s="60" t="n"/>
      <c r="K125" s="61" t="n"/>
      <c r="L125" s="60" t="n"/>
      <c r="M125" s="60" t="n"/>
      <c r="N125" s="60" t="n"/>
      <c r="O125" s="61" t="n"/>
      <c r="P125" s="64" t="str">
        <f>IF(A125="","",IF(AA125="Avoir",AC125,IF(ISNUMBER(K125),K125,AC125+IF(D125="",N(p_delay),IFERROR(IF(ISNUMBER(INDEX(cli_delay,MATCH(D125,cli_code,0))),INDEX(cli_delay,MATCH(D125,cli_code,0)),N(p_delay)),N(p_delay))))))</f>
        <v/>
      </c>
      <c r="Q125" s="65" t="str">
        <f>IF(A125="","",IF(AA125="Avoir",-1,1)*ROUND(AJ125-IF(AR125="",0,INDEX(fa_htb,AR125)),2))</f>
        <v/>
      </c>
      <c r="R125" s="65" t="str">
        <f>IF(A125="","",IF(AA125="Avoir",-1,1)*ROUND(AQ125-IF(AR125="",0,INDEX(fa_tvab,AR125)),2))</f>
        <v/>
      </c>
      <c r="S125" s="65" t="str">
        <f>IF(A125="","",Q125+R125)</f>
        <v/>
      </c>
      <c r="T125" s="65" t="str">
        <f>IF(AR125="","",INDEX(fa_htb,AR125)+INDEX(fa_tvab,AR125))</f>
        <v/>
      </c>
      <c r="U125" s="65" t="str">
        <f>IF(A125="","",SUMIF(pa_inv,A125,pa_amt))</f>
        <v/>
      </c>
      <c r="V125" s="65" t="str">
        <f>IF(OR(A125="",AA125="Avoir"),"",-SUMIFS(fa_ttc,fa_avof,A125,fa_type,"Avoir"))</f>
        <v/>
      </c>
      <c r="W125" s="65" t="str">
        <f>IF(OR(A125="",AA125="Avoir"),"",ROUND(S125-U125-V125,2))</f>
        <v/>
      </c>
      <c r="X125" s="66" t="str">
        <f>IF(W125="","",IF(AND(W125&gt;0,p_asof&gt;P125),p_asof-P125,""))</f>
        <v/>
      </c>
      <c r="Y125" s="59" t="str">
        <f>IF(A125="","",IF(AA125="Avoir","Avoir",IF(W125&lt;0,"Trop-perçu",IF(W125=0,"Soldée",IF(p_asof&gt;P125,"En retard",IF(U125+V125&gt;0,"Partielle","À échoir"))))))</f>
        <v/>
      </c>
      <c r="Z125" s="59" t="str">
        <f>IF(NOT(COUNTA(B125:D125,F125:O125)&gt;0),"",IF(C125="","Date manquante",IF(NOT(ISNUMBER(C125)),"Date invalide",IF(D125="","Client manquant",IF(ISNA(MATCH(D125,cli_code,0)),"Client inconnu",IF(AC125&lt;SUMPRODUCT(MAX(($AB$6:AB124=AB125)*$AC$6:AC124)),"Date antérieure à la facture précédente",IF(AND(F125&lt;&gt;"",ISNA(MATCH(F125,dv_num,0))),"Devis inconnu",IF(AND(F125&lt;&gt;"",IFERROR(INDEX(dv_client,MATCH(F125,dv_num,0)),D125)&lt;&gt;D125),"Client différent de celui du devis",IF(AG125="","Aucune ligne : saisissez des lignes ou un devis",IF(AND(AI125&lt;&gt;"",COUNTIF($AI$6:AI125,AI125)&gt;1),"Devis déjà repris par une autre facture",IF(AND(AA125="Avoir",M125=""),"Avoir : indiquez la facture d'origine",IF(AND(AA125="Avoir",ISNA(MATCH(M125,fa_num,0))),"Facture d'origine inconnue",IF(AND(AA125&lt;&gt;"Avoir",M125&lt;&gt;""),"« Avoir sur facture » : réservé aux avoirs",IF(AND(L125&lt;&gt;"",AA125&lt;&gt;"Facture"),"Acompte à déduire : réservé aux factures",IF(AND(L125&lt;&gt;"",ISNA(MATCH(L125,fa_num,0))),"Facture d'acompte inconnue",IF(AND(L125&lt;&gt;"",IFERROR(INDEX(fa_type,MATCH(L125,fa_num,0)),"")&lt;&gt;"Facture d'acompte"),"Le n° à déduire n'est pas une facture d'acompte",IF(AND(L125&lt;&gt;"",COUNTIF($L$6:L125,L125)&gt;1),"Acompte déjà déduit sur une autre facture",IF(AND(L125&lt;&gt;"",IFERROR(INDEX(fa_client,MATCH(L125,fa_num,0)),D125)&lt;&gt;D125),"Acompte d'un autre client",IF(AND(AR125&lt;&gt;"",N(Q125)&lt;0),"Acompte supérieur au total de la facture",IF(IF(AG125="Facture",COUNTIFS(fl_doc,A125,fl_check,"&lt;&gt;OK"),IF(AG125="Devis",COUNTIFS(dl_doc,F125,dl_check,"&lt;&gt;OK"),0))&gt;0,"Ligne(s) à corriger",IF(AND(W125&lt;&gt;"",N(W125)&lt;0),"Trop-perçu : vérifiez paiements et avoirs","OK")))))))))))))))))))))</f>
        <v/>
      </c>
      <c r="AA125" s="62" t="str">
        <f>IF(COUNTA(B125:D125,F125:O125)&gt;0,IF(B125="","Facture",B125),"")</f>
        <v/>
      </c>
      <c r="AB125" s="62" t="str">
        <f>IF(AA125="","",IF(AA125="Avoir",p_pav,IF(AA125="Facture d'acompte",p_pac,p_pfa)))</f>
        <v/>
      </c>
      <c r="AC125" s="62">
        <f>IF(ISNUMBER(C125),C125,0)</f>
        <v>0.0</v>
      </c>
      <c r="AD125" s="62" t="str">
        <f>IF(OR(AA125="",AC125=0),"",YEAR(AC125))</f>
        <v/>
      </c>
      <c r="AE125" s="62" t="str">
        <f>IF(AD125="","",COUNTIFS($AB$6:AB125,AB125,$AD$6:AD125,AD125))</f>
        <v/>
      </c>
      <c r="AF125" s="62">
        <f>IF(A125="",0,COUNTIF(fl_doc,A125))</f>
        <v>0.0</v>
      </c>
      <c r="AG125" s="62" t="str">
        <f>IF(A125="","",IF(AF125&gt;0,"Facture",IF(AND(F125&lt;&gt;"",AA125="Facture",ISNUMBER(MATCH(F125,dv_num,0))),"Devis","")))</f>
        <v/>
      </c>
      <c r="AH125" s="62" t="str">
        <f>IF(AND(A125&lt;&gt;"",F125&lt;&gt;"",AA125&lt;&gt;"Avoir"),F125,"")</f>
        <v/>
      </c>
      <c r="AI125" s="62" t="str">
        <f>IF(AG125="Devis",F125,"")</f>
        <v/>
      </c>
      <c r="AJ125" s="62">
        <f>IF(AG125="Facture",SUMIF(fl_doc,A125,fl_ht),IF(AG125="Devis",SUMIF(dl_doc,F125,dl_ht),0))</f>
        <v>0.0</v>
      </c>
      <c r="AK125" s="62">
        <f>IF(OR(AG125="",INDEX(p_rates,1)=""),0,IF(AG125="Facture",SUMIFS(fl_ht,fl_doc,A125,fl_rate,INDEX(p_rates,1)),SUMIFS(dl_ht,dl_doc,F125,dl_rate,INDEX(p_rates,1))))</f>
        <v>0.0</v>
      </c>
      <c r="AL125" s="62">
        <f>IF(OR(AG125="",INDEX(p_rates,2)=""),0,IF(AG125="Facture",SUMIFS(fl_ht,fl_doc,A125,fl_rate,INDEX(p_rates,2)),SUMIFS(dl_ht,dl_doc,F125,dl_rate,INDEX(p_rates,2))))</f>
        <v>0.0</v>
      </c>
      <c r="AM125" s="62">
        <f>IF(OR(AG125="",INDEX(p_rates,3)=""),0,IF(AG125="Facture",SUMIFS(fl_ht,fl_doc,A125,fl_rate,INDEX(p_rates,3)),SUMIFS(dl_ht,dl_doc,F125,dl_rate,INDEX(p_rates,3))))</f>
        <v>0.0</v>
      </c>
      <c r="AN125" s="62">
        <f>IF(OR(AG125="",INDEX(p_rates,4)=""),0,IF(AG125="Facture",SUMIFS(fl_ht,fl_doc,A125,fl_rate,INDEX(p_rates,4)),SUMIFS(dl_ht,dl_doc,F125,dl_rate,INDEX(p_rates,4))))</f>
        <v>0.0</v>
      </c>
      <c r="AO125" s="62">
        <f>IF(OR(AG125="",INDEX(p_rates,5)=""),0,IF(AG125="Facture",SUMIFS(fl_ht,fl_doc,A125,fl_rate,INDEX(p_rates,5)),SUMIFS(dl_ht,dl_doc,F125,dl_rate,INDEX(p_rates,5))))</f>
        <v>0.0</v>
      </c>
      <c r="AP125" s="62">
        <f>IF(OR(AG125="",INDEX(p_rates,6)=""),0,IF(AG125="Facture",SUMIFS(fl_ht,fl_doc,A125,fl_rate,INDEX(p_rates,6)),SUMIFS(dl_ht,dl_doc,F125,dl_rate,INDEX(p_rates,6))))</f>
        <v>0.0</v>
      </c>
      <c r="AQ125" s="62">
        <f>ROUND(AK125*N(INDEX(p_rates,1)),2)+ROUND(AL125*N(INDEX(p_rates,2)),2)+ROUND(AM125*N(INDEX(p_rates,3)),2)+ROUND(AN125*N(INDEX(p_rates,4)),2)+ROUND(AO125*N(INDEX(p_rates,5)),2)+ROUND(AP125*N(INDEX(p_rates,6)),2)</f>
        <v>0.0</v>
      </c>
      <c r="AR125" s="62" t="str">
        <f>IF(OR(L125="",AA125&lt;&gt;"Facture"),"",IFERROR(IF(INDEX(fa_type,MATCH(L125,fa_num,0))="Facture d'acompte",MATCH(L125,fa_num,0),""),""))</f>
        <v/>
      </c>
      <c r="AS125" s="62" t="str">
        <f>IF(W125="","",IF(W125&lt;=0,"",IF(p_asof-P125&lt;=0,"Non échu",IF(p_asof-P125&lt;=30,"1-30 j",IF(p_asof-P125&lt;=60,"31-60 j",IF(p_asof-P125&lt;=90,"61-90 j","Plus de 90 j"))))))</f>
        <v/>
      </c>
      <c r="AT125" s="62" t="str">
        <f>IF(AS125="","",p_asof-P125)</f>
        <v/>
      </c>
      <c r="AU125" s="62" t="str">
        <f>IF(AT125="","",COUNTIF($AT$6:$AT$805,"&gt;"&amp;AT125)+COUNTIF($AT$6:AT125,AT125))</f>
        <v/>
      </c>
    </row>
    <row r="126">
      <c r="A126" s="59" t="str">
        <f>IF(AE126="","",AB126&amp;"-"&amp;AD126&amp;"-"&amp;RIGHT("000"&amp;AE126,4))</f>
        <v/>
      </c>
      <c r="B126" s="60" t="n"/>
      <c r="C126" s="61" t="n"/>
      <c r="D126" s="60" t="n"/>
      <c r="E126" s="62" t="str">
        <f>IF(D126="","",IFERROR(INDEX(cli_name,MATCH(D126,cli_code,0))&amp;"","Client inconnu"))</f>
        <v/>
      </c>
      <c r="F126" s="60" t="n"/>
      <c r="G126" s="63" t="n"/>
      <c r="H126" s="61" t="n"/>
      <c r="I126" s="63" t="n"/>
      <c r="J126" s="60" t="n"/>
      <c r="K126" s="61" t="n"/>
      <c r="L126" s="60" t="n"/>
      <c r="M126" s="60" t="n"/>
      <c r="N126" s="60" t="n"/>
      <c r="O126" s="61" t="n"/>
      <c r="P126" s="64" t="str">
        <f>IF(A126="","",IF(AA126="Avoir",AC126,IF(ISNUMBER(K126),K126,AC126+IF(D126="",N(p_delay),IFERROR(IF(ISNUMBER(INDEX(cli_delay,MATCH(D126,cli_code,0))),INDEX(cli_delay,MATCH(D126,cli_code,0)),N(p_delay)),N(p_delay))))))</f>
        <v/>
      </c>
      <c r="Q126" s="65" t="str">
        <f>IF(A126="","",IF(AA126="Avoir",-1,1)*ROUND(AJ126-IF(AR126="",0,INDEX(fa_htb,AR126)),2))</f>
        <v/>
      </c>
      <c r="R126" s="65" t="str">
        <f>IF(A126="","",IF(AA126="Avoir",-1,1)*ROUND(AQ126-IF(AR126="",0,INDEX(fa_tvab,AR126)),2))</f>
        <v/>
      </c>
      <c r="S126" s="65" t="str">
        <f>IF(A126="","",Q126+R126)</f>
        <v/>
      </c>
      <c r="T126" s="65" t="str">
        <f>IF(AR126="","",INDEX(fa_htb,AR126)+INDEX(fa_tvab,AR126))</f>
        <v/>
      </c>
      <c r="U126" s="65" t="str">
        <f>IF(A126="","",SUMIF(pa_inv,A126,pa_amt))</f>
        <v/>
      </c>
      <c r="V126" s="65" t="str">
        <f>IF(OR(A126="",AA126="Avoir"),"",-SUMIFS(fa_ttc,fa_avof,A126,fa_type,"Avoir"))</f>
        <v/>
      </c>
      <c r="W126" s="65" t="str">
        <f>IF(OR(A126="",AA126="Avoir"),"",ROUND(S126-U126-V126,2))</f>
        <v/>
      </c>
      <c r="X126" s="66" t="str">
        <f>IF(W126="","",IF(AND(W126&gt;0,p_asof&gt;P126),p_asof-P126,""))</f>
        <v/>
      </c>
      <c r="Y126" s="59" t="str">
        <f>IF(A126="","",IF(AA126="Avoir","Avoir",IF(W126&lt;0,"Trop-perçu",IF(W126=0,"Soldée",IF(p_asof&gt;P126,"En retard",IF(U126+V126&gt;0,"Partielle","À échoir"))))))</f>
        <v/>
      </c>
      <c r="Z126" s="59" t="str">
        <f>IF(NOT(COUNTA(B126:D126,F126:O126)&gt;0),"",IF(C126="","Date manquante",IF(NOT(ISNUMBER(C126)),"Date invalide",IF(D126="","Client manquant",IF(ISNA(MATCH(D126,cli_code,0)),"Client inconnu",IF(AC126&lt;SUMPRODUCT(MAX(($AB$6:AB125=AB126)*$AC$6:AC125)),"Date antérieure à la facture précédente",IF(AND(F126&lt;&gt;"",ISNA(MATCH(F126,dv_num,0))),"Devis inconnu",IF(AND(F126&lt;&gt;"",IFERROR(INDEX(dv_client,MATCH(F126,dv_num,0)),D126)&lt;&gt;D126),"Client différent de celui du devis",IF(AG126="","Aucune ligne : saisissez des lignes ou un devis",IF(AND(AI126&lt;&gt;"",COUNTIF($AI$6:AI126,AI126)&gt;1),"Devis déjà repris par une autre facture",IF(AND(AA126="Avoir",M126=""),"Avoir : indiquez la facture d'origine",IF(AND(AA126="Avoir",ISNA(MATCH(M126,fa_num,0))),"Facture d'origine inconnue",IF(AND(AA126&lt;&gt;"Avoir",M126&lt;&gt;""),"« Avoir sur facture » : réservé aux avoirs",IF(AND(L126&lt;&gt;"",AA126&lt;&gt;"Facture"),"Acompte à déduire : réservé aux factures",IF(AND(L126&lt;&gt;"",ISNA(MATCH(L126,fa_num,0))),"Facture d'acompte inconnue",IF(AND(L126&lt;&gt;"",IFERROR(INDEX(fa_type,MATCH(L126,fa_num,0)),"")&lt;&gt;"Facture d'acompte"),"Le n° à déduire n'est pas une facture d'acompte",IF(AND(L126&lt;&gt;"",COUNTIF($L$6:L126,L126)&gt;1),"Acompte déjà déduit sur une autre facture",IF(AND(L126&lt;&gt;"",IFERROR(INDEX(fa_client,MATCH(L126,fa_num,0)),D126)&lt;&gt;D126),"Acompte d'un autre client",IF(AND(AR126&lt;&gt;"",N(Q126)&lt;0),"Acompte supérieur au total de la facture",IF(IF(AG126="Facture",COUNTIFS(fl_doc,A126,fl_check,"&lt;&gt;OK"),IF(AG126="Devis",COUNTIFS(dl_doc,F126,dl_check,"&lt;&gt;OK"),0))&gt;0,"Ligne(s) à corriger",IF(AND(W126&lt;&gt;"",N(W126)&lt;0),"Trop-perçu : vérifiez paiements et avoirs","OK")))))))))))))))))))))</f>
        <v/>
      </c>
      <c r="AA126" s="62" t="str">
        <f>IF(COUNTA(B126:D126,F126:O126)&gt;0,IF(B126="","Facture",B126),"")</f>
        <v/>
      </c>
      <c r="AB126" s="62" t="str">
        <f>IF(AA126="","",IF(AA126="Avoir",p_pav,IF(AA126="Facture d'acompte",p_pac,p_pfa)))</f>
        <v/>
      </c>
      <c r="AC126" s="62">
        <f>IF(ISNUMBER(C126),C126,0)</f>
        <v>0.0</v>
      </c>
      <c r="AD126" s="62" t="str">
        <f>IF(OR(AA126="",AC126=0),"",YEAR(AC126))</f>
        <v/>
      </c>
      <c r="AE126" s="62" t="str">
        <f>IF(AD126="","",COUNTIFS($AB$6:AB126,AB126,$AD$6:AD126,AD126))</f>
        <v/>
      </c>
      <c r="AF126" s="62">
        <f>IF(A126="",0,COUNTIF(fl_doc,A126))</f>
        <v>0.0</v>
      </c>
      <c r="AG126" s="62" t="str">
        <f>IF(A126="","",IF(AF126&gt;0,"Facture",IF(AND(F126&lt;&gt;"",AA126="Facture",ISNUMBER(MATCH(F126,dv_num,0))),"Devis","")))</f>
        <v/>
      </c>
      <c r="AH126" s="62" t="str">
        <f>IF(AND(A126&lt;&gt;"",F126&lt;&gt;"",AA126&lt;&gt;"Avoir"),F126,"")</f>
        <v/>
      </c>
      <c r="AI126" s="62" t="str">
        <f>IF(AG126="Devis",F126,"")</f>
        <v/>
      </c>
      <c r="AJ126" s="62">
        <f>IF(AG126="Facture",SUMIF(fl_doc,A126,fl_ht),IF(AG126="Devis",SUMIF(dl_doc,F126,dl_ht),0))</f>
        <v>0.0</v>
      </c>
      <c r="AK126" s="62">
        <f>IF(OR(AG126="",INDEX(p_rates,1)=""),0,IF(AG126="Facture",SUMIFS(fl_ht,fl_doc,A126,fl_rate,INDEX(p_rates,1)),SUMIFS(dl_ht,dl_doc,F126,dl_rate,INDEX(p_rates,1))))</f>
        <v>0.0</v>
      </c>
      <c r="AL126" s="62">
        <f>IF(OR(AG126="",INDEX(p_rates,2)=""),0,IF(AG126="Facture",SUMIFS(fl_ht,fl_doc,A126,fl_rate,INDEX(p_rates,2)),SUMIFS(dl_ht,dl_doc,F126,dl_rate,INDEX(p_rates,2))))</f>
        <v>0.0</v>
      </c>
      <c r="AM126" s="62">
        <f>IF(OR(AG126="",INDEX(p_rates,3)=""),0,IF(AG126="Facture",SUMIFS(fl_ht,fl_doc,A126,fl_rate,INDEX(p_rates,3)),SUMIFS(dl_ht,dl_doc,F126,dl_rate,INDEX(p_rates,3))))</f>
        <v>0.0</v>
      </c>
      <c r="AN126" s="62">
        <f>IF(OR(AG126="",INDEX(p_rates,4)=""),0,IF(AG126="Facture",SUMIFS(fl_ht,fl_doc,A126,fl_rate,INDEX(p_rates,4)),SUMIFS(dl_ht,dl_doc,F126,dl_rate,INDEX(p_rates,4))))</f>
        <v>0.0</v>
      </c>
      <c r="AO126" s="62">
        <f>IF(OR(AG126="",INDEX(p_rates,5)=""),0,IF(AG126="Facture",SUMIFS(fl_ht,fl_doc,A126,fl_rate,INDEX(p_rates,5)),SUMIFS(dl_ht,dl_doc,F126,dl_rate,INDEX(p_rates,5))))</f>
        <v>0.0</v>
      </c>
      <c r="AP126" s="62">
        <f>IF(OR(AG126="",INDEX(p_rates,6)=""),0,IF(AG126="Facture",SUMIFS(fl_ht,fl_doc,A126,fl_rate,INDEX(p_rates,6)),SUMIFS(dl_ht,dl_doc,F126,dl_rate,INDEX(p_rates,6))))</f>
        <v>0.0</v>
      </c>
      <c r="AQ126" s="62">
        <f>ROUND(AK126*N(INDEX(p_rates,1)),2)+ROUND(AL126*N(INDEX(p_rates,2)),2)+ROUND(AM126*N(INDEX(p_rates,3)),2)+ROUND(AN126*N(INDEX(p_rates,4)),2)+ROUND(AO126*N(INDEX(p_rates,5)),2)+ROUND(AP126*N(INDEX(p_rates,6)),2)</f>
        <v>0.0</v>
      </c>
      <c r="AR126" s="62" t="str">
        <f>IF(OR(L126="",AA126&lt;&gt;"Facture"),"",IFERROR(IF(INDEX(fa_type,MATCH(L126,fa_num,0))="Facture d'acompte",MATCH(L126,fa_num,0),""),""))</f>
        <v/>
      </c>
      <c r="AS126" s="62" t="str">
        <f>IF(W126="","",IF(W126&lt;=0,"",IF(p_asof-P126&lt;=0,"Non échu",IF(p_asof-P126&lt;=30,"1-30 j",IF(p_asof-P126&lt;=60,"31-60 j",IF(p_asof-P126&lt;=90,"61-90 j","Plus de 90 j"))))))</f>
        <v/>
      </c>
      <c r="AT126" s="62" t="str">
        <f>IF(AS126="","",p_asof-P126)</f>
        <v/>
      </c>
      <c r="AU126" s="62" t="str">
        <f>IF(AT126="","",COUNTIF($AT$6:$AT$805,"&gt;"&amp;AT126)+COUNTIF($AT$6:AT126,AT126))</f>
        <v/>
      </c>
    </row>
    <row r="127">
      <c r="A127" s="59" t="str">
        <f>IF(AE127="","",AB127&amp;"-"&amp;AD127&amp;"-"&amp;RIGHT("000"&amp;AE127,4))</f>
        <v/>
      </c>
      <c r="B127" s="60" t="n"/>
      <c r="C127" s="61" t="n"/>
      <c r="D127" s="60" t="n"/>
      <c r="E127" s="62" t="str">
        <f>IF(D127="","",IFERROR(INDEX(cli_name,MATCH(D127,cli_code,0))&amp;"","Client inconnu"))</f>
        <v/>
      </c>
      <c r="F127" s="60" t="n"/>
      <c r="G127" s="63" t="n"/>
      <c r="H127" s="61" t="n"/>
      <c r="I127" s="63" t="n"/>
      <c r="J127" s="60" t="n"/>
      <c r="K127" s="61" t="n"/>
      <c r="L127" s="60" t="n"/>
      <c r="M127" s="60" t="n"/>
      <c r="N127" s="60" t="n"/>
      <c r="O127" s="61" t="n"/>
      <c r="P127" s="64" t="str">
        <f>IF(A127="","",IF(AA127="Avoir",AC127,IF(ISNUMBER(K127),K127,AC127+IF(D127="",N(p_delay),IFERROR(IF(ISNUMBER(INDEX(cli_delay,MATCH(D127,cli_code,0))),INDEX(cli_delay,MATCH(D127,cli_code,0)),N(p_delay)),N(p_delay))))))</f>
        <v/>
      </c>
      <c r="Q127" s="65" t="str">
        <f>IF(A127="","",IF(AA127="Avoir",-1,1)*ROUND(AJ127-IF(AR127="",0,INDEX(fa_htb,AR127)),2))</f>
        <v/>
      </c>
      <c r="R127" s="65" t="str">
        <f>IF(A127="","",IF(AA127="Avoir",-1,1)*ROUND(AQ127-IF(AR127="",0,INDEX(fa_tvab,AR127)),2))</f>
        <v/>
      </c>
      <c r="S127" s="65" t="str">
        <f>IF(A127="","",Q127+R127)</f>
        <v/>
      </c>
      <c r="T127" s="65" t="str">
        <f>IF(AR127="","",INDEX(fa_htb,AR127)+INDEX(fa_tvab,AR127))</f>
        <v/>
      </c>
      <c r="U127" s="65" t="str">
        <f>IF(A127="","",SUMIF(pa_inv,A127,pa_amt))</f>
        <v/>
      </c>
      <c r="V127" s="65" t="str">
        <f>IF(OR(A127="",AA127="Avoir"),"",-SUMIFS(fa_ttc,fa_avof,A127,fa_type,"Avoir"))</f>
        <v/>
      </c>
      <c r="W127" s="65" t="str">
        <f>IF(OR(A127="",AA127="Avoir"),"",ROUND(S127-U127-V127,2))</f>
        <v/>
      </c>
      <c r="X127" s="66" t="str">
        <f>IF(W127="","",IF(AND(W127&gt;0,p_asof&gt;P127),p_asof-P127,""))</f>
        <v/>
      </c>
      <c r="Y127" s="59" t="str">
        <f>IF(A127="","",IF(AA127="Avoir","Avoir",IF(W127&lt;0,"Trop-perçu",IF(W127=0,"Soldée",IF(p_asof&gt;P127,"En retard",IF(U127+V127&gt;0,"Partielle","À échoir"))))))</f>
        <v/>
      </c>
      <c r="Z127" s="59" t="str">
        <f>IF(NOT(COUNTA(B127:D127,F127:O127)&gt;0),"",IF(C127="","Date manquante",IF(NOT(ISNUMBER(C127)),"Date invalide",IF(D127="","Client manquant",IF(ISNA(MATCH(D127,cli_code,0)),"Client inconnu",IF(AC127&lt;SUMPRODUCT(MAX(($AB$6:AB126=AB127)*$AC$6:AC126)),"Date antérieure à la facture précédente",IF(AND(F127&lt;&gt;"",ISNA(MATCH(F127,dv_num,0))),"Devis inconnu",IF(AND(F127&lt;&gt;"",IFERROR(INDEX(dv_client,MATCH(F127,dv_num,0)),D127)&lt;&gt;D127),"Client différent de celui du devis",IF(AG127="","Aucune ligne : saisissez des lignes ou un devis",IF(AND(AI127&lt;&gt;"",COUNTIF($AI$6:AI127,AI127)&gt;1),"Devis déjà repris par une autre facture",IF(AND(AA127="Avoir",M127=""),"Avoir : indiquez la facture d'origine",IF(AND(AA127="Avoir",ISNA(MATCH(M127,fa_num,0))),"Facture d'origine inconnue",IF(AND(AA127&lt;&gt;"Avoir",M127&lt;&gt;""),"« Avoir sur facture » : réservé aux avoirs",IF(AND(L127&lt;&gt;"",AA127&lt;&gt;"Facture"),"Acompte à déduire : réservé aux factures",IF(AND(L127&lt;&gt;"",ISNA(MATCH(L127,fa_num,0))),"Facture d'acompte inconnue",IF(AND(L127&lt;&gt;"",IFERROR(INDEX(fa_type,MATCH(L127,fa_num,0)),"")&lt;&gt;"Facture d'acompte"),"Le n° à déduire n'est pas une facture d'acompte",IF(AND(L127&lt;&gt;"",COUNTIF($L$6:L127,L127)&gt;1),"Acompte déjà déduit sur une autre facture",IF(AND(L127&lt;&gt;"",IFERROR(INDEX(fa_client,MATCH(L127,fa_num,0)),D127)&lt;&gt;D127),"Acompte d'un autre client",IF(AND(AR127&lt;&gt;"",N(Q127)&lt;0),"Acompte supérieur au total de la facture",IF(IF(AG127="Facture",COUNTIFS(fl_doc,A127,fl_check,"&lt;&gt;OK"),IF(AG127="Devis",COUNTIFS(dl_doc,F127,dl_check,"&lt;&gt;OK"),0))&gt;0,"Ligne(s) à corriger",IF(AND(W127&lt;&gt;"",N(W127)&lt;0),"Trop-perçu : vérifiez paiements et avoirs","OK")))))))))))))))))))))</f>
        <v/>
      </c>
      <c r="AA127" s="62" t="str">
        <f>IF(COUNTA(B127:D127,F127:O127)&gt;0,IF(B127="","Facture",B127),"")</f>
        <v/>
      </c>
      <c r="AB127" s="62" t="str">
        <f>IF(AA127="","",IF(AA127="Avoir",p_pav,IF(AA127="Facture d'acompte",p_pac,p_pfa)))</f>
        <v/>
      </c>
      <c r="AC127" s="62">
        <f>IF(ISNUMBER(C127),C127,0)</f>
        <v>0.0</v>
      </c>
      <c r="AD127" s="62" t="str">
        <f>IF(OR(AA127="",AC127=0),"",YEAR(AC127))</f>
        <v/>
      </c>
      <c r="AE127" s="62" t="str">
        <f>IF(AD127="","",COUNTIFS($AB$6:AB127,AB127,$AD$6:AD127,AD127))</f>
        <v/>
      </c>
      <c r="AF127" s="62">
        <f>IF(A127="",0,COUNTIF(fl_doc,A127))</f>
        <v>0.0</v>
      </c>
      <c r="AG127" s="62" t="str">
        <f>IF(A127="","",IF(AF127&gt;0,"Facture",IF(AND(F127&lt;&gt;"",AA127="Facture",ISNUMBER(MATCH(F127,dv_num,0))),"Devis","")))</f>
        <v/>
      </c>
      <c r="AH127" s="62" t="str">
        <f>IF(AND(A127&lt;&gt;"",F127&lt;&gt;"",AA127&lt;&gt;"Avoir"),F127,"")</f>
        <v/>
      </c>
      <c r="AI127" s="62" t="str">
        <f>IF(AG127="Devis",F127,"")</f>
        <v/>
      </c>
      <c r="AJ127" s="62">
        <f>IF(AG127="Facture",SUMIF(fl_doc,A127,fl_ht),IF(AG127="Devis",SUMIF(dl_doc,F127,dl_ht),0))</f>
        <v>0.0</v>
      </c>
      <c r="AK127" s="62">
        <f>IF(OR(AG127="",INDEX(p_rates,1)=""),0,IF(AG127="Facture",SUMIFS(fl_ht,fl_doc,A127,fl_rate,INDEX(p_rates,1)),SUMIFS(dl_ht,dl_doc,F127,dl_rate,INDEX(p_rates,1))))</f>
        <v>0.0</v>
      </c>
      <c r="AL127" s="62">
        <f>IF(OR(AG127="",INDEX(p_rates,2)=""),0,IF(AG127="Facture",SUMIFS(fl_ht,fl_doc,A127,fl_rate,INDEX(p_rates,2)),SUMIFS(dl_ht,dl_doc,F127,dl_rate,INDEX(p_rates,2))))</f>
        <v>0.0</v>
      </c>
      <c r="AM127" s="62">
        <f>IF(OR(AG127="",INDEX(p_rates,3)=""),0,IF(AG127="Facture",SUMIFS(fl_ht,fl_doc,A127,fl_rate,INDEX(p_rates,3)),SUMIFS(dl_ht,dl_doc,F127,dl_rate,INDEX(p_rates,3))))</f>
        <v>0.0</v>
      </c>
      <c r="AN127" s="62">
        <f>IF(OR(AG127="",INDEX(p_rates,4)=""),0,IF(AG127="Facture",SUMIFS(fl_ht,fl_doc,A127,fl_rate,INDEX(p_rates,4)),SUMIFS(dl_ht,dl_doc,F127,dl_rate,INDEX(p_rates,4))))</f>
        <v>0.0</v>
      </c>
      <c r="AO127" s="62">
        <f>IF(OR(AG127="",INDEX(p_rates,5)=""),0,IF(AG127="Facture",SUMIFS(fl_ht,fl_doc,A127,fl_rate,INDEX(p_rates,5)),SUMIFS(dl_ht,dl_doc,F127,dl_rate,INDEX(p_rates,5))))</f>
        <v>0.0</v>
      </c>
      <c r="AP127" s="62">
        <f>IF(OR(AG127="",INDEX(p_rates,6)=""),0,IF(AG127="Facture",SUMIFS(fl_ht,fl_doc,A127,fl_rate,INDEX(p_rates,6)),SUMIFS(dl_ht,dl_doc,F127,dl_rate,INDEX(p_rates,6))))</f>
        <v>0.0</v>
      </c>
      <c r="AQ127" s="62">
        <f>ROUND(AK127*N(INDEX(p_rates,1)),2)+ROUND(AL127*N(INDEX(p_rates,2)),2)+ROUND(AM127*N(INDEX(p_rates,3)),2)+ROUND(AN127*N(INDEX(p_rates,4)),2)+ROUND(AO127*N(INDEX(p_rates,5)),2)+ROUND(AP127*N(INDEX(p_rates,6)),2)</f>
        <v>0.0</v>
      </c>
      <c r="AR127" s="62" t="str">
        <f>IF(OR(L127="",AA127&lt;&gt;"Facture"),"",IFERROR(IF(INDEX(fa_type,MATCH(L127,fa_num,0))="Facture d'acompte",MATCH(L127,fa_num,0),""),""))</f>
        <v/>
      </c>
      <c r="AS127" s="62" t="str">
        <f>IF(W127="","",IF(W127&lt;=0,"",IF(p_asof-P127&lt;=0,"Non échu",IF(p_asof-P127&lt;=30,"1-30 j",IF(p_asof-P127&lt;=60,"31-60 j",IF(p_asof-P127&lt;=90,"61-90 j","Plus de 90 j"))))))</f>
        <v/>
      </c>
      <c r="AT127" s="62" t="str">
        <f>IF(AS127="","",p_asof-P127)</f>
        <v/>
      </c>
      <c r="AU127" s="62" t="str">
        <f>IF(AT127="","",COUNTIF($AT$6:$AT$805,"&gt;"&amp;AT127)+COUNTIF($AT$6:AT127,AT127))</f>
        <v/>
      </c>
    </row>
    <row r="128">
      <c r="A128" s="59" t="str">
        <f>IF(AE128="","",AB128&amp;"-"&amp;AD128&amp;"-"&amp;RIGHT("000"&amp;AE128,4))</f>
        <v/>
      </c>
      <c r="B128" s="60" t="n"/>
      <c r="C128" s="61" t="n"/>
      <c r="D128" s="60" t="n"/>
      <c r="E128" s="62" t="str">
        <f>IF(D128="","",IFERROR(INDEX(cli_name,MATCH(D128,cli_code,0))&amp;"","Client inconnu"))</f>
        <v/>
      </c>
      <c r="F128" s="60" t="n"/>
      <c r="G128" s="63" t="n"/>
      <c r="H128" s="61" t="n"/>
      <c r="I128" s="63" t="n"/>
      <c r="J128" s="60" t="n"/>
      <c r="K128" s="61" t="n"/>
      <c r="L128" s="60" t="n"/>
      <c r="M128" s="60" t="n"/>
      <c r="N128" s="60" t="n"/>
      <c r="O128" s="61" t="n"/>
      <c r="P128" s="64" t="str">
        <f>IF(A128="","",IF(AA128="Avoir",AC128,IF(ISNUMBER(K128),K128,AC128+IF(D128="",N(p_delay),IFERROR(IF(ISNUMBER(INDEX(cli_delay,MATCH(D128,cli_code,0))),INDEX(cli_delay,MATCH(D128,cli_code,0)),N(p_delay)),N(p_delay))))))</f>
        <v/>
      </c>
      <c r="Q128" s="65" t="str">
        <f>IF(A128="","",IF(AA128="Avoir",-1,1)*ROUND(AJ128-IF(AR128="",0,INDEX(fa_htb,AR128)),2))</f>
        <v/>
      </c>
      <c r="R128" s="65" t="str">
        <f>IF(A128="","",IF(AA128="Avoir",-1,1)*ROUND(AQ128-IF(AR128="",0,INDEX(fa_tvab,AR128)),2))</f>
        <v/>
      </c>
      <c r="S128" s="65" t="str">
        <f>IF(A128="","",Q128+R128)</f>
        <v/>
      </c>
      <c r="T128" s="65" t="str">
        <f>IF(AR128="","",INDEX(fa_htb,AR128)+INDEX(fa_tvab,AR128))</f>
        <v/>
      </c>
      <c r="U128" s="65" t="str">
        <f>IF(A128="","",SUMIF(pa_inv,A128,pa_amt))</f>
        <v/>
      </c>
      <c r="V128" s="65" t="str">
        <f>IF(OR(A128="",AA128="Avoir"),"",-SUMIFS(fa_ttc,fa_avof,A128,fa_type,"Avoir"))</f>
        <v/>
      </c>
      <c r="W128" s="65" t="str">
        <f>IF(OR(A128="",AA128="Avoir"),"",ROUND(S128-U128-V128,2))</f>
        <v/>
      </c>
      <c r="X128" s="66" t="str">
        <f>IF(W128="","",IF(AND(W128&gt;0,p_asof&gt;P128),p_asof-P128,""))</f>
        <v/>
      </c>
      <c r="Y128" s="59" t="str">
        <f>IF(A128="","",IF(AA128="Avoir","Avoir",IF(W128&lt;0,"Trop-perçu",IF(W128=0,"Soldée",IF(p_asof&gt;P128,"En retard",IF(U128+V128&gt;0,"Partielle","À échoir"))))))</f>
        <v/>
      </c>
      <c r="Z128" s="59" t="str">
        <f>IF(NOT(COUNTA(B128:D128,F128:O128)&gt;0),"",IF(C128="","Date manquante",IF(NOT(ISNUMBER(C128)),"Date invalide",IF(D128="","Client manquant",IF(ISNA(MATCH(D128,cli_code,0)),"Client inconnu",IF(AC128&lt;SUMPRODUCT(MAX(($AB$6:AB127=AB128)*$AC$6:AC127)),"Date antérieure à la facture précédente",IF(AND(F128&lt;&gt;"",ISNA(MATCH(F128,dv_num,0))),"Devis inconnu",IF(AND(F128&lt;&gt;"",IFERROR(INDEX(dv_client,MATCH(F128,dv_num,0)),D128)&lt;&gt;D128),"Client différent de celui du devis",IF(AG128="","Aucune ligne : saisissez des lignes ou un devis",IF(AND(AI128&lt;&gt;"",COUNTIF($AI$6:AI128,AI128)&gt;1),"Devis déjà repris par une autre facture",IF(AND(AA128="Avoir",M128=""),"Avoir : indiquez la facture d'origine",IF(AND(AA128="Avoir",ISNA(MATCH(M128,fa_num,0))),"Facture d'origine inconnue",IF(AND(AA128&lt;&gt;"Avoir",M128&lt;&gt;""),"« Avoir sur facture » : réservé aux avoirs",IF(AND(L128&lt;&gt;"",AA128&lt;&gt;"Facture"),"Acompte à déduire : réservé aux factures",IF(AND(L128&lt;&gt;"",ISNA(MATCH(L128,fa_num,0))),"Facture d'acompte inconnue",IF(AND(L128&lt;&gt;"",IFERROR(INDEX(fa_type,MATCH(L128,fa_num,0)),"")&lt;&gt;"Facture d'acompte"),"Le n° à déduire n'est pas une facture d'acompte",IF(AND(L128&lt;&gt;"",COUNTIF($L$6:L128,L128)&gt;1),"Acompte déjà déduit sur une autre facture",IF(AND(L128&lt;&gt;"",IFERROR(INDEX(fa_client,MATCH(L128,fa_num,0)),D128)&lt;&gt;D128),"Acompte d'un autre client",IF(AND(AR128&lt;&gt;"",N(Q128)&lt;0),"Acompte supérieur au total de la facture",IF(IF(AG128="Facture",COUNTIFS(fl_doc,A128,fl_check,"&lt;&gt;OK"),IF(AG128="Devis",COUNTIFS(dl_doc,F128,dl_check,"&lt;&gt;OK"),0))&gt;0,"Ligne(s) à corriger",IF(AND(W128&lt;&gt;"",N(W128)&lt;0),"Trop-perçu : vérifiez paiements et avoirs","OK")))))))))))))))))))))</f>
        <v/>
      </c>
      <c r="AA128" s="62" t="str">
        <f>IF(COUNTA(B128:D128,F128:O128)&gt;0,IF(B128="","Facture",B128),"")</f>
        <v/>
      </c>
      <c r="AB128" s="62" t="str">
        <f>IF(AA128="","",IF(AA128="Avoir",p_pav,IF(AA128="Facture d'acompte",p_pac,p_pfa)))</f>
        <v/>
      </c>
      <c r="AC128" s="62">
        <f>IF(ISNUMBER(C128),C128,0)</f>
        <v>0.0</v>
      </c>
      <c r="AD128" s="62" t="str">
        <f>IF(OR(AA128="",AC128=0),"",YEAR(AC128))</f>
        <v/>
      </c>
      <c r="AE128" s="62" t="str">
        <f>IF(AD128="","",COUNTIFS($AB$6:AB128,AB128,$AD$6:AD128,AD128))</f>
        <v/>
      </c>
      <c r="AF128" s="62">
        <f>IF(A128="",0,COUNTIF(fl_doc,A128))</f>
        <v>0.0</v>
      </c>
      <c r="AG128" s="62" t="str">
        <f>IF(A128="","",IF(AF128&gt;0,"Facture",IF(AND(F128&lt;&gt;"",AA128="Facture",ISNUMBER(MATCH(F128,dv_num,0))),"Devis","")))</f>
        <v/>
      </c>
      <c r="AH128" s="62" t="str">
        <f>IF(AND(A128&lt;&gt;"",F128&lt;&gt;"",AA128&lt;&gt;"Avoir"),F128,"")</f>
        <v/>
      </c>
      <c r="AI128" s="62" t="str">
        <f>IF(AG128="Devis",F128,"")</f>
        <v/>
      </c>
      <c r="AJ128" s="62">
        <f>IF(AG128="Facture",SUMIF(fl_doc,A128,fl_ht),IF(AG128="Devis",SUMIF(dl_doc,F128,dl_ht),0))</f>
        <v>0.0</v>
      </c>
      <c r="AK128" s="62">
        <f>IF(OR(AG128="",INDEX(p_rates,1)=""),0,IF(AG128="Facture",SUMIFS(fl_ht,fl_doc,A128,fl_rate,INDEX(p_rates,1)),SUMIFS(dl_ht,dl_doc,F128,dl_rate,INDEX(p_rates,1))))</f>
        <v>0.0</v>
      </c>
      <c r="AL128" s="62">
        <f>IF(OR(AG128="",INDEX(p_rates,2)=""),0,IF(AG128="Facture",SUMIFS(fl_ht,fl_doc,A128,fl_rate,INDEX(p_rates,2)),SUMIFS(dl_ht,dl_doc,F128,dl_rate,INDEX(p_rates,2))))</f>
        <v>0.0</v>
      </c>
      <c r="AM128" s="62">
        <f>IF(OR(AG128="",INDEX(p_rates,3)=""),0,IF(AG128="Facture",SUMIFS(fl_ht,fl_doc,A128,fl_rate,INDEX(p_rates,3)),SUMIFS(dl_ht,dl_doc,F128,dl_rate,INDEX(p_rates,3))))</f>
        <v>0.0</v>
      </c>
      <c r="AN128" s="62">
        <f>IF(OR(AG128="",INDEX(p_rates,4)=""),0,IF(AG128="Facture",SUMIFS(fl_ht,fl_doc,A128,fl_rate,INDEX(p_rates,4)),SUMIFS(dl_ht,dl_doc,F128,dl_rate,INDEX(p_rates,4))))</f>
        <v>0.0</v>
      </c>
      <c r="AO128" s="62">
        <f>IF(OR(AG128="",INDEX(p_rates,5)=""),0,IF(AG128="Facture",SUMIFS(fl_ht,fl_doc,A128,fl_rate,INDEX(p_rates,5)),SUMIFS(dl_ht,dl_doc,F128,dl_rate,INDEX(p_rates,5))))</f>
        <v>0.0</v>
      </c>
      <c r="AP128" s="62">
        <f>IF(OR(AG128="",INDEX(p_rates,6)=""),0,IF(AG128="Facture",SUMIFS(fl_ht,fl_doc,A128,fl_rate,INDEX(p_rates,6)),SUMIFS(dl_ht,dl_doc,F128,dl_rate,INDEX(p_rates,6))))</f>
        <v>0.0</v>
      </c>
      <c r="AQ128" s="62">
        <f>ROUND(AK128*N(INDEX(p_rates,1)),2)+ROUND(AL128*N(INDEX(p_rates,2)),2)+ROUND(AM128*N(INDEX(p_rates,3)),2)+ROUND(AN128*N(INDEX(p_rates,4)),2)+ROUND(AO128*N(INDEX(p_rates,5)),2)+ROUND(AP128*N(INDEX(p_rates,6)),2)</f>
        <v>0.0</v>
      </c>
      <c r="AR128" s="62" t="str">
        <f>IF(OR(L128="",AA128&lt;&gt;"Facture"),"",IFERROR(IF(INDEX(fa_type,MATCH(L128,fa_num,0))="Facture d'acompte",MATCH(L128,fa_num,0),""),""))</f>
        <v/>
      </c>
      <c r="AS128" s="62" t="str">
        <f>IF(W128="","",IF(W128&lt;=0,"",IF(p_asof-P128&lt;=0,"Non échu",IF(p_asof-P128&lt;=30,"1-30 j",IF(p_asof-P128&lt;=60,"31-60 j",IF(p_asof-P128&lt;=90,"61-90 j","Plus de 90 j"))))))</f>
        <v/>
      </c>
      <c r="AT128" s="62" t="str">
        <f>IF(AS128="","",p_asof-P128)</f>
        <v/>
      </c>
      <c r="AU128" s="62" t="str">
        <f>IF(AT128="","",COUNTIF($AT$6:$AT$805,"&gt;"&amp;AT128)+COUNTIF($AT$6:AT128,AT128))</f>
        <v/>
      </c>
    </row>
    <row r="129">
      <c r="A129" s="59" t="str">
        <f>IF(AE129="","",AB129&amp;"-"&amp;AD129&amp;"-"&amp;RIGHT("000"&amp;AE129,4))</f>
        <v/>
      </c>
      <c r="B129" s="60" t="n"/>
      <c r="C129" s="61" t="n"/>
      <c r="D129" s="60" t="n"/>
      <c r="E129" s="62" t="str">
        <f>IF(D129="","",IFERROR(INDEX(cli_name,MATCH(D129,cli_code,0))&amp;"","Client inconnu"))</f>
        <v/>
      </c>
      <c r="F129" s="60" t="n"/>
      <c r="G129" s="63" t="n"/>
      <c r="H129" s="61" t="n"/>
      <c r="I129" s="63" t="n"/>
      <c r="J129" s="60" t="n"/>
      <c r="K129" s="61" t="n"/>
      <c r="L129" s="60" t="n"/>
      <c r="M129" s="60" t="n"/>
      <c r="N129" s="60" t="n"/>
      <c r="O129" s="61" t="n"/>
      <c r="P129" s="64" t="str">
        <f>IF(A129="","",IF(AA129="Avoir",AC129,IF(ISNUMBER(K129),K129,AC129+IF(D129="",N(p_delay),IFERROR(IF(ISNUMBER(INDEX(cli_delay,MATCH(D129,cli_code,0))),INDEX(cli_delay,MATCH(D129,cli_code,0)),N(p_delay)),N(p_delay))))))</f>
        <v/>
      </c>
      <c r="Q129" s="65" t="str">
        <f>IF(A129="","",IF(AA129="Avoir",-1,1)*ROUND(AJ129-IF(AR129="",0,INDEX(fa_htb,AR129)),2))</f>
        <v/>
      </c>
      <c r="R129" s="65" t="str">
        <f>IF(A129="","",IF(AA129="Avoir",-1,1)*ROUND(AQ129-IF(AR129="",0,INDEX(fa_tvab,AR129)),2))</f>
        <v/>
      </c>
      <c r="S129" s="65" t="str">
        <f>IF(A129="","",Q129+R129)</f>
        <v/>
      </c>
      <c r="T129" s="65" t="str">
        <f>IF(AR129="","",INDEX(fa_htb,AR129)+INDEX(fa_tvab,AR129))</f>
        <v/>
      </c>
      <c r="U129" s="65" t="str">
        <f>IF(A129="","",SUMIF(pa_inv,A129,pa_amt))</f>
        <v/>
      </c>
      <c r="V129" s="65" t="str">
        <f>IF(OR(A129="",AA129="Avoir"),"",-SUMIFS(fa_ttc,fa_avof,A129,fa_type,"Avoir"))</f>
        <v/>
      </c>
      <c r="W129" s="65" t="str">
        <f>IF(OR(A129="",AA129="Avoir"),"",ROUND(S129-U129-V129,2))</f>
        <v/>
      </c>
      <c r="X129" s="66" t="str">
        <f>IF(W129="","",IF(AND(W129&gt;0,p_asof&gt;P129),p_asof-P129,""))</f>
        <v/>
      </c>
      <c r="Y129" s="59" t="str">
        <f>IF(A129="","",IF(AA129="Avoir","Avoir",IF(W129&lt;0,"Trop-perçu",IF(W129=0,"Soldée",IF(p_asof&gt;P129,"En retard",IF(U129+V129&gt;0,"Partielle","À échoir"))))))</f>
        <v/>
      </c>
      <c r="Z129" s="59" t="str">
        <f>IF(NOT(COUNTA(B129:D129,F129:O129)&gt;0),"",IF(C129="","Date manquante",IF(NOT(ISNUMBER(C129)),"Date invalide",IF(D129="","Client manquant",IF(ISNA(MATCH(D129,cli_code,0)),"Client inconnu",IF(AC129&lt;SUMPRODUCT(MAX(($AB$6:AB128=AB129)*$AC$6:AC128)),"Date antérieure à la facture précédente",IF(AND(F129&lt;&gt;"",ISNA(MATCH(F129,dv_num,0))),"Devis inconnu",IF(AND(F129&lt;&gt;"",IFERROR(INDEX(dv_client,MATCH(F129,dv_num,0)),D129)&lt;&gt;D129),"Client différent de celui du devis",IF(AG129="","Aucune ligne : saisissez des lignes ou un devis",IF(AND(AI129&lt;&gt;"",COUNTIF($AI$6:AI129,AI129)&gt;1),"Devis déjà repris par une autre facture",IF(AND(AA129="Avoir",M129=""),"Avoir : indiquez la facture d'origine",IF(AND(AA129="Avoir",ISNA(MATCH(M129,fa_num,0))),"Facture d'origine inconnue",IF(AND(AA129&lt;&gt;"Avoir",M129&lt;&gt;""),"« Avoir sur facture » : réservé aux avoirs",IF(AND(L129&lt;&gt;"",AA129&lt;&gt;"Facture"),"Acompte à déduire : réservé aux factures",IF(AND(L129&lt;&gt;"",ISNA(MATCH(L129,fa_num,0))),"Facture d'acompte inconnue",IF(AND(L129&lt;&gt;"",IFERROR(INDEX(fa_type,MATCH(L129,fa_num,0)),"")&lt;&gt;"Facture d'acompte"),"Le n° à déduire n'est pas une facture d'acompte",IF(AND(L129&lt;&gt;"",COUNTIF($L$6:L129,L129)&gt;1),"Acompte déjà déduit sur une autre facture",IF(AND(L129&lt;&gt;"",IFERROR(INDEX(fa_client,MATCH(L129,fa_num,0)),D129)&lt;&gt;D129),"Acompte d'un autre client",IF(AND(AR129&lt;&gt;"",N(Q129)&lt;0),"Acompte supérieur au total de la facture",IF(IF(AG129="Facture",COUNTIFS(fl_doc,A129,fl_check,"&lt;&gt;OK"),IF(AG129="Devis",COUNTIFS(dl_doc,F129,dl_check,"&lt;&gt;OK"),0))&gt;0,"Ligne(s) à corriger",IF(AND(W129&lt;&gt;"",N(W129)&lt;0),"Trop-perçu : vérifiez paiements et avoirs","OK")))))))))))))))))))))</f>
        <v/>
      </c>
      <c r="AA129" s="62" t="str">
        <f>IF(COUNTA(B129:D129,F129:O129)&gt;0,IF(B129="","Facture",B129),"")</f>
        <v/>
      </c>
      <c r="AB129" s="62" t="str">
        <f>IF(AA129="","",IF(AA129="Avoir",p_pav,IF(AA129="Facture d'acompte",p_pac,p_pfa)))</f>
        <v/>
      </c>
      <c r="AC129" s="62">
        <f>IF(ISNUMBER(C129),C129,0)</f>
        <v>0.0</v>
      </c>
      <c r="AD129" s="62" t="str">
        <f>IF(OR(AA129="",AC129=0),"",YEAR(AC129))</f>
        <v/>
      </c>
      <c r="AE129" s="62" t="str">
        <f>IF(AD129="","",COUNTIFS($AB$6:AB129,AB129,$AD$6:AD129,AD129))</f>
        <v/>
      </c>
      <c r="AF129" s="62">
        <f>IF(A129="",0,COUNTIF(fl_doc,A129))</f>
        <v>0.0</v>
      </c>
      <c r="AG129" s="62" t="str">
        <f>IF(A129="","",IF(AF129&gt;0,"Facture",IF(AND(F129&lt;&gt;"",AA129="Facture",ISNUMBER(MATCH(F129,dv_num,0))),"Devis","")))</f>
        <v/>
      </c>
      <c r="AH129" s="62" t="str">
        <f>IF(AND(A129&lt;&gt;"",F129&lt;&gt;"",AA129&lt;&gt;"Avoir"),F129,"")</f>
        <v/>
      </c>
      <c r="AI129" s="62" t="str">
        <f>IF(AG129="Devis",F129,"")</f>
        <v/>
      </c>
      <c r="AJ129" s="62">
        <f>IF(AG129="Facture",SUMIF(fl_doc,A129,fl_ht),IF(AG129="Devis",SUMIF(dl_doc,F129,dl_ht),0))</f>
        <v>0.0</v>
      </c>
      <c r="AK129" s="62">
        <f>IF(OR(AG129="",INDEX(p_rates,1)=""),0,IF(AG129="Facture",SUMIFS(fl_ht,fl_doc,A129,fl_rate,INDEX(p_rates,1)),SUMIFS(dl_ht,dl_doc,F129,dl_rate,INDEX(p_rates,1))))</f>
        <v>0.0</v>
      </c>
      <c r="AL129" s="62">
        <f>IF(OR(AG129="",INDEX(p_rates,2)=""),0,IF(AG129="Facture",SUMIFS(fl_ht,fl_doc,A129,fl_rate,INDEX(p_rates,2)),SUMIFS(dl_ht,dl_doc,F129,dl_rate,INDEX(p_rates,2))))</f>
        <v>0.0</v>
      </c>
      <c r="AM129" s="62">
        <f>IF(OR(AG129="",INDEX(p_rates,3)=""),0,IF(AG129="Facture",SUMIFS(fl_ht,fl_doc,A129,fl_rate,INDEX(p_rates,3)),SUMIFS(dl_ht,dl_doc,F129,dl_rate,INDEX(p_rates,3))))</f>
        <v>0.0</v>
      </c>
      <c r="AN129" s="62">
        <f>IF(OR(AG129="",INDEX(p_rates,4)=""),0,IF(AG129="Facture",SUMIFS(fl_ht,fl_doc,A129,fl_rate,INDEX(p_rates,4)),SUMIFS(dl_ht,dl_doc,F129,dl_rate,INDEX(p_rates,4))))</f>
        <v>0.0</v>
      </c>
      <c r="AO129" s="62">
        <f>IF(OR(AG129="",INDEX(p_rates,5)=""),0,IF(AG129="Facture",SUMIFS(fl_ht,fl_doc,A129,fl_rate,INDEX(p_rates,5)),SUMIFS(dl_ht,dl_doc,F129,dl_rate,INDEX(p_rates,5))))</f>
        <v>0.0</v>
      </c>
      <c r="AP129" s="62">
        <f>IF(OR(AG129="",INDEX(p_rates,6)=""),0,IF(AG129="Facture",SUMIFS(fl_ht,fl_doc,A129,fl_rate,INDEX(p_rates,6)),SUMIFS(dl_ht,dl_doc,F129,dl_rate,INDEX(p_rates,6))))</f>
        <v>0.0</v>
      </c>
      <c r="AQ129" s="62">
        <f>ROUND(AK129*N(INDEX(p_rates,1)),2)+ROUND(AL129*N(INDEX(p_rates,2)),2)+ROUND(AM129*N(INDEX(p_rates,3)),2)+ROUND(AN129*N(INDEX(p_rates,4)),2)+ROUND(AO129*N(INDEX(p_rates,5)),2)+ROUND(AP129*N(INDEX(p_rates,6)),2)</f>
        <v>0.0</v>
      </c>
      <c r="AR129" s="62" t="str">
        <f>IF(OR(L129="",AA129&lt;&gt;"Facture"),"",IFERROR(IF(INDEX(fa_type,MATCH(L129,fa_num,0))="Facture d'acompte",MATCH(L129,fa_num,0),""),""))</f>
        <v/>
      </c>
      <c r="AS129" s="62" t="str">
        <f>IF(W129="","",IF(W129&lt;=0,"",IF(p_asof-P129&lt;=0,"Non échu",IF(p_asof-P129&lt;=30,"1-30 j",IF(p_asof-P129&lt;=60,"31-60 j",IF(p_asof-P129&lt;=90,"61-90 j","Plus de 90 j"))))))</f>
        <v/>
      </c>
      <c r="AT129" s="62" t="str">
        <f>IF(AS129="","",p_asof-P129)</f>
        <v/>
      </c>
      <c r="AU129" s="62" t="str">
        <f>IF(AT129="","",COUNTIF($AT$6:$AT$805,"&gt;"&amp;AT129)+COUNTIF($AT$6:AT129,AT129))</f>
        <v/>
      </c>
    </row>
    <row r="130">
      <c r="A130" s="59" t="str">
        <f>IF(AE130="","",AB130&amp;"-"&amp;AD130&amp;"-"&amp;RIGHT("000"&amp;AE130,4))</f>
        <v/>
      </c>
      <c r="B130" s="60" t="n"/>
      <c r="C130" s="61" t="n"/>
      <c r="D130" s="60" t="n"/>
      <c r="E130" s="62" t="str">
        <f>IF(D130="","",IFERROR(INDEX(cli_name,MATCH(D130,cli_code,0))&amp;"","Client inconnu"))</f>
        <v/>
      </c>
      <c r="F130" s="60" t="n"/>
      <c r="G130" s="63" t="n"/>
      <c r="H130" s="61" t="n"/>
      <c r="I130" s="63" t="n"/>
      <c r="J130" s="60" t="n"/>
      <c r="K130" s="61" t="n"/>
      <c r="L130" s="60" t="n"/>
      <c r="M130" s="60" t="n"/>
      <c r="N130" s="60" t="n"/>
      <c r="O130" s="61" t="n"/>
      <c r="P130" s="64" t="str">
        <f>IF(A130="","",IF(AA130="Avoir",AC130,IF(ISNUMBER(K130),K130,AC130+IF(D130="",N(p_delay),IFERROR(IF(ISNUMBER(INDEX(cli_delay,MATCH(D130,cli_code,0))),INDEX(cli_delay,MATCH(D130,cli_code,0)),N(p_delay)),N(p_delay))))))</f>
        <v/>
      </c>
      <c r="Q130" s="65" t="str">
        <f>IF(A130="","",IF(AA130="Avoir",-1,1)*ROUND(AJ130-IF(AR130="",0,INDEX(fa_htb,AR130)),2))</f>
        <v/>
      </c>
      <c r="R130" s="65" t="str">
        <f>IF(A130="","",IF(AA130="Avoir",-1,1)*ROUND(AQ130-IF(AR130="",0,INDEX(fa_tvab,AR130)),2))</f>
        <v/>
      </c>
      <c r="S130" s="65" t="str">
        <f>IF(A130="","",Q130+R130)</f>
        <v/>
      </c>
      <c r="T130" s="65" t="str">
        <f>IF(AR130="","",INDEX(fa_htb,AR130)+INDEX(fa_tvab,AR130))</f>
        <v/>
      </c>
      <c r="U130" s="65" t="str">
        <f>IF(A130="","",SUMIF(pa_inv,A130,pa_amt))</f>
        <v/>
      </c>
      <c r="V130" s="65" t="str">
        <f>IF(OR(A130="",AA130="Avoir"),"",-SUMIFS(fa_ttc,fa_avof,A130,fa_type,"Avoir"))</f>
        <v/>
      </c>
      <c r="W130" s="65" t="str">
        <f>IF(OR(A130="",AA130="Avoir"),"",ROUND(S130-U130-V130,2))</f>
        <v/>
      </c>
      <c r="X130" s="66" t="str">
        <f>IF(W130="","",IF(AND(W130&gt;0,p_asof&gt;P130),p_asof-P130,""))</f>
        <v/>
      </c>
      <c r="Y130" s="59" t="str">
        <f>IF(A130="","",IF(AA130="Avoir","Avoir",IF(W130&lt;0,"Trop-perçu",IF(W130=0,"Soldée",IF(p_asof&gt;P130,"En retard",IF(U130+V130&gt;0,"Partielle","À échoir"))))))</f>
        <v/>
      </c>
      <c r="Z130" s="59" t="str">
        <f>IF(NOT(COUNTA(B130:D130,F130:O130)&gt;0),"",IF(C130="","Date manquante",IF(NOT(ISNUMBER(C130)),"Date invalide",IF(D130="","Client manquant",IF(ISNA(MATCH(D130,cli_code,0)),"Client inconnu",IF(AC130&lt;SUMPRODUCT(MAX(($AB$6:AB129=AB130)*$AC$6:AC129)),"Date antérieure à la facture précédente",IF(AND(F130&lt;&gt;"",ISNA(MATCH(F130,dv_num,0))),"Devis inconnu",IF(AND(F130&lt;&gt;"",IFERROR(INDEX(dv_client,MATCH(F130,dv_num,0)),D130)&lt;&gt;D130),"Client différent de celui du devis",IF(AG130="","Aucune ligne : saisissez des lignes ou un devis",IF(AND(AI130&lt;&gt;"",COUNTIF($AI$6:AI130,AI130)&gt;1),"Devis déjà repris par une autre facture",IF(AND(AA130="Avoir",M130=""),"Avoir : indiquez la facture d'origine",IF(AND(AA130="Avoir",ISNA(MATCH(M130,fa_num,0))),"Facture d'origine inconnue",IF(AND(AA130&lt;&gt;"Avoir",M130&lt;&gt;""),"« Avoir sur facture » : réservé aux avoirs",IF(AND(L130&lt;&gt;"",AA130&lt;&gt;"Facture"),"Acompte à déduire : réservé aux factures",IF(AND(L130&lt;&gt;"",ISNA(MATCH(L130,fa_num,0))),"Facture d'acompte inconnue",IF(AND(L130&lt;&gt;"",IFERROR(INDEX(fa_type,MATCH(L130,fa_num,0)),"")&lt;&gt;"Facture d'acompte"),"Le n° à déduire n'est pas une facture d'acompte",IF(AND(L130&lt;&gt;"",COUNTIF($L$6:L130,L130)&gt;1),"Acompte déjà déduit sur une autre facture",IF(AND(L130&lt;&gt;"",IFERROR(INDEX(fa_client,MATCH(L130,fa_num,0)),D130)&lt;&gt;D130),"Acompte d'un autre client",IF(AND(AR130&lt;&gt;"",N(Q130)&lt;0),"Acompte supérieur au total de la facture",IF(IF(AG130="Facture",COUNTIFS(fl_doc,A130,fl_check,"&lt;&gt;OK"),IF(AG130="Devis",COUNTIFS(dl_doc,F130,dl_check,"&lt;&gt;OK"),0))&gt;0,"Ligne(s) à corriger",IF(AND(W130&lt;&gt;"",N(W130)&lt;0),"Trop-perçu : vérifiez paiements et avoirs","OK")))))))))))))))))))))</f>
        <v/>
      </c>
      <c r="AA130" s="62" t="str">
        <f>IF(COUNTA(B130:D130,F130:O130)&gt;0,IF(B130="","Facture",B130),"")</f>
        <v/>
      </c>
      <c r="AB130" s="62" t="str">
        <f>IF(AA130="","",IF(AA130="Avoir",p_pav,IF(AA130="Facture d'acompte",p_pac,p_pfa)))</f>
        <v/>
      </c>
      <c r="AC130" s="62">
        <f>IF(ISNUMBER(C130),C130,0)</f>
        <v>0.0</v>
      </c>
      <c r="AD130" s="62" t="str">
        <f>IF(OR(AA130="",AC130=0),"",YEAR(AC130))</f>
        <v/>
      </c>
      <c r="AE130" s="62" t="str">
        <f>IF(AD130="","",COUNTIFS($AB$6:AB130,AB130,$AD$6:AD130,AD130))</f>
        <v/>
      </c>
      <c r="AF130" s="62">
        <f>IF(A130="",0,COUNTIF(fl_doc,A130))</f>
        <v>0.0</v>
      </c>
      <c r="AG130" s="62" t="str">
        <f>IF(A130="","",IF(AF130&gt;0,"Facture",IF(AND(F130&lt;&gt;"",AA130="Facture",ISNUMBER(MATCH(F130,dv_num,0))),"Devis","")))</f>
        <v/>
      </c>
      <c r="AH130" s="62" t="str">
        <f>IF(AND(A130&lt;&gt;"",F130&lt;&gt;"",AA130&lt;&gt;"Avoir"),F130,"")</f>
        <v/>
      </c>
      <c r="AI130" s="62" t="str">
        <f>IF(AG130="Devis",F130,"")</f>
        <v/>
      </c>
      <c r="AJ130" s="62">
        <f>IF(AG130="Facture",SUMIF(fl_doc,A130,fl_ht),IF(AG130="Devis",SUMIF(dl_doc,F130,dl_ht),0))</f>
        <v>0.0</v>
      </c>
      <c r="AK130" s="62">
        <f>IF(OR(AG130="",INDEX(p_rates,1)=""),0,IF(AG130="Facture",SUMIFS(fl_ht,fl_doc,A130,fl_rate,INDEX(p_rates,1)),SUMIFS(dl_ht,dl_doc,F130,dl_rate,INDEX(p_rates,1))))</f>
        <v>0.0</v>
      </c>
      <c r="AL130" s="62">
        <f>IF(OR(AG130="",INDEX(p_rates,2)=""),0,IF(AG130="Facture",SUMIFS(fl_ht,fl_doc,A130,fl_rate,INDEX(p_rates,2)),SUMIFS(dl_ht,dl_doc,F130,dl_rate,INDEX(p_rates,2))))</f>
        <v>0.0</v>
      </c>
      <c r="AM130" s="62">
        <f>IF(OR(AG130="",INDEX(p_rates,3)=""),0,IF(AG130="Facture",SUMIFS(fl_ht,fl_doc,A130,fl_rate,INDEX(p_rates,3)),SUMIFS(dl_ht,dl_doc,F130,dl_rate,INDEX(p_rates,3))))</f>
        <v>0.0</v>
      </c>
      <c r="AN130" s="62">
        <f>IF(OR(AG130="",INDEX(p_rates,4)=""),0,IF(AG130="Facture",SUMIFS(fl_ht,fl_doc,A130,fl_rate,INDEX(p_rates,4)),SUMIFS(dl_ht,dl_doc,F130,dl_rate,INDEX(p_rates,4))))</f>
        <v>0.0</v>
      </c>
      <c r="AO130" s="62">
        <f>IF(OR(AG130="",INDEX(p_rates,5)=""),0,IF(AG130="Facture",SUMIFS(fl_ht,fl_doc,A130,fl_rate,INDEX(p_rates,5)),SUMIFS(dl_ht,dl_doc,F130,dl_rate,INDEX(p_rates,5))))</f>
        <v>0.0</v>
      </c>
      <c r="AP130" s="62">
        <f>IF(OR(AG130="",INDEX(p_rates,6)=""),0,IF(AG130="Facture",SUMIFS(fl_ht,fl_doc,A130,fl_rate,INDEX(p_rates,6)),SUMIFS(dl_ht,dl_doc,F130,dl_rate,INDEX(p_rates,6))))</f>
        <v>0.0</v>
      </c>
      <c r="AQ130" s="62">
        <f>ROUND(AK130*N(INDEX(p_rates,1)),2)+ROUND(AL130*N(INDEX(p_rates,2)),2)+ROUND(AM130*N(INDEX(p_rates,3)),2)+ROUND(AN130*N(INDEX(p_rates,4)),2)+ROUND(AO130*N(INDEX(p_rates,5)),2)+ROUND(AP130*N(INDEX(p_rates,6)),2)</f>
        <v>0.0</v>
      </c>
      <c r="AR130" s="62" t="str">
        <f>IF(OR(L130="",AA130&lt;&gt;"Facture"),"",IFERROR(IF(INDEX(fa_type,MATCH(L130,fa_num,0))="Facture d'acompte",MATCH(L130,fa_num,0),""),""))</f>
        <v/>
      </c>
      <c r="AS130" s="62" t="str">
        <f>IF(W130="","",IF(W130&lt;=0,"",IF(p_asof-P130&lt;=0,"Non échu",IF(p_asof-P130&lt;=30,"1-30 j",IF(p_asof-P130&lt;=60,"31-60 j",IF(p_asof-P130&lt;=90,"61-90 j","Plus de 90 j"))))))</f>
        <v/>
      </c>
      <c r="AT130" s="62" t="str">
        <f>IF(AS130="","",p_asof-P130)</f>
        <v/>
      </c>
      <c r="AU130" s="62" t="str">
        <f>IF(AT130="","",COUNTIF($AT$6:$AT$805,"&gt;"&amp;AT130)+COUNTIF($AT$6:AT130,AT130))</f>
        <v/>
      </c>
    </row>
    <row r="131">
      <c r="A131" s="59" t="str">
        <f>IF(AE131="","",AB131&amp;"-"&amp;AD131&amp;"-"&amp;RIGHT("000"&amp;AE131,4))</f>
        <v/>
      </c>
      <c r="B131" s="60" t="n"/>
      <c r="C131" s="61" t="n"/>
      <c r="D131" s="60" t="n"/>
      <c r="E131" s="62" t="str">
        <f>IF(D131="","",IFERROR(INDEX(cli_name,MATCH(D131,cli_code,0))&amp;"","Client inconnu"))</f>
        <v/>
      </c>
      <c r="F131" s="60" t="n"/>
      <c r="G131" s="63" t="n"/>
      <c r="H131" s="61" t="n"/>
      <c r="I131" s="63" t="n"/>
      <c r="J131" s="60" t="n"/>
      <c r="K131" s="61" t="n"/>
      <c r="L131" s="60" t="n"/>
      <c r="M131" s="60" t="n"/>
      <c r="N131" s="60" t="n"/>
      <c r="O131" s="61" t="n"/>
      <c r="P131" s="64" t="str">
        <f>IF(A131="","",IF(AA131="Avoir",AC131,IF(ISNUMBER(K131),K131,AC131+IF(D131="",N(p_delay),IFERROR(IF(ISNUMBER(INDEX(cli_delay,MATCH(D131,cli_code,0))),INDEX(cli_delay,MATCH(D131,cli_code,0)),N(p_delay)),N(p_delay))))))</f>
        <v/>
      </c>
      <c r="Q131" s="65" t="str">
        <f>IF(A131="","",IF(AA131="Avoir",-1,1)*ROUND(AJ131-IF(AR131="",0,INDEX(fa_htb,AR131)),2))</f>
        <v/>
      </c>
      <c r="R131" s="65" t="str">
        <f>IF(A131="","",IF(AA131="Avoir",-1,1)*ROUND(AQ131-IF(AR131="",0,INDEX(fa_tvab,AR131)),2))</f>
        <v/>
      </c>
      <c r="S131" s="65" t="str">
        <f>IF(A131="","",Q131+R131)</f>
        <v/>
      </c>
      <c r="T131" s="65" t="str">
        <f>IF(AR131="","",INDEX(fa_htb,AR131)+INDEX(fa_tvab,AR131))</f>
        <v/>
      </c>
      <c r="U131" s="65" t="str">
        <f>IF(A131="","",SUMIF(pa_inv,A131,pa_amt))</f>
        <v/>
      </c>
      <c r="V131" s="65" t="str">
        <f>IF(OR(A131="",AA131="Avoir"),"",-SUMIFS(fa_ttc,fa_avof,A131,fa_type,"Avoir"))</f>
        <v/>
      </c>
      <c r="W131" s="65" t="str">
        <f>IF(OR(A131="",AA131="Avoir"),"",ROUND(S131-U131-V131,2))</f>
        <v/>
      </c>
      <c r="X131" s="66" t="str">
        <f>IF(W131="","",IF(AND(W131&gt;0,p_asof&gt;P131),p_asof-P131,""))</f>
        <v/>
      </c>
      <c r="Y131" s="59" t="str">
        <f>IF(A131="","",IF(AA131="Avoir","Avoir",IF(W131&lt;0,"Trop-perçu",IF(W131=0,"Soldée",IF(p_asof&gt;P131,"En retard",IF(U131+V131&gt;0,"Partielle","À échoir"))))))</f>
        <v/>
      </c>
      <c r="Z131" s="59" t="str">
        <f>IF(NOT(COUNTA(B131:D131,F131:O131)&gt;0),"",IF(C131="","Date manquante",IF(NOT(ISNUMBER(C131)),"Date invalide",IF(D131="","Client manquant",IF(ISNA(MATCH(D131,cli_code,0)),"Client inconnu",IF(AC131&lt;SUMPRODUCT(MAX(($AB$6:AB130=AB131)*$AC$6:AC130)),"Date antérieure à la facture précédente",IF(AND(F131&lt;&gt;"",ISNA(MATCH(F131,dv_num,0))),"Devis inconnu",IF(AND(F131&lt;&gt;"",IFERROR(INDEX(dv_client,MATCH(F131,dv_num,0)),D131)&lt;&gt;D131),"Client différent de celui du devis",IF(AG131="","Aucune ligne : saisissez des lignes ou un devis",IF(AND(AI131&lt;&gt;"",COUNTIF($AI$6:AI131,AI131)&gt;1),"Devis déjà repris par une autre facture",IF(AND(AA131="Avoir",M131=""),"Avoir : indiquez la facture d'origine",IF(AND(AA131="Avoir",ISNA(MATCH(M131,fa_num,0))),"Facture d'origine inconnue",IF(AND(AA131&lt;&gt;"Avoir",M131&lt;&gt;""),"« Avoir sur facture » : réservé aux avoirs",IF(AND(L131&lt;&gt;"",AA131&lt;&gt;"Facture"),"Acompte à déduire : réservé aux factures",IF(AND(L131&lt;&gt;"",ISNA(MATCH(L131,fa_num,0))),"Facture d'acompte inconnue",IF(AND(L131&lt;&gt;"",IFERROR(INDEX(fa_type,MATCH(L131,fa_num,0)),"")&lt;&gt;"Facture d'acompte"),"Le n° à déduire n'est pas une facture d'acompte",IF(AND(L131&lt;&gt;"",COUNTIF($L$6:L131,L131)&gt;1),"Acompte déjà déduit sur une autre facture",IF(AND(L131&lt;&gt;"",IFERROR(INDEX(fa_client,MATCH(L131,fa_num,0)),D131)&lt;&gt;D131),"Acompte d'un autre client",IF(AND(AR131&lt;&gt;"",N(Q131)&lt;0),"Acompte supérieur au total de la facture",IF(IF(AG131="Facture",COUNTIFS(fl_doc,A131,fl_check,"&lt;&gt;OK"),IF(AG131="Devis",COUNTIFS(dl_doc,F131,dl_check,"&lt;&gt;OK"),0))&gt;0,"Ligne(s) à corriger",IF(AND(W131&lt;&gt;"",N(W131)&lt;0),"Trop-perçu : vérifiez paiements et avoirs","OK")))))))))))))))))))))</f>
        <v/>
      </c>
      <c r="AA131" s="62" t="str">
        <f>IF(COUNTA(B131:D131,F131:O131)&gt;0,IF(B131="","Facture",B131),"")</f>
        <v/>
      </c>
      <c r="AB131" s="62" t="str">
        <f>IF(AA131="","",IF(AA131="Avoir",p_pav,IF(AA131="Facture d'acompte",p_pac,p_pfa)))</f>
        <v/>
      </c>
      <c r="AC131" s="62">
        <f>IF(ISNUMBER(C131),C131,0)</f>
        <v>0.0</v>
      </c>
      <c r="AD131" s="62" t="str">
        <f>IF(OR(AA131="",AC131=0),"",YEAR(AC131))</f>
        <v/>
      </c>
      <c r="AE131" s="62" t="str">
        <f>IF(AD131="","",COUNTIFS($AB$6:AB131,AB131,$AD$6:AD131,AD131))</f>
        <v/>
      </c>
      <c r="AF131" s="62">
        <f>IF(A131="",0,COUNTIF(fl_doc,A131))</f>
        <v>0.0</v>
      </c>
      <c r="AG131" s="62" t="str">
        <f>IF(A131="","",IF(AF131&gt;0,"Facture",IF(AND(F131&lt;&gt;"",AA131="Facture",ISNUMBER(MATCH(F131,dv_num,0))),"Devis","")))</f>
        <v/>
      </c>
      <c r="AH131" s="62" t="str">
        <f>IF(AND(A131&lt;&gt;"",F131&lt;&gt;"",AA131&lt;&gt;"Avoir"),F131,"")</f>
        <v/>
      </c>
      <c r="AI131" s="62" t="str">
        <f>IF(AG131="Devis",F131,"")</f>
        <v/>
      </c>
      <c r="AJ131" s="62">
        <f>IF(AG131="Facture",SUMIF(fl_doc,A131,fl_ht),IF(AG131="Devis",SUMIF(dl_doc,F131,dl_ht),0))</f>
        <v>0.0</v>
      </c>
      <c r="AK131" s="62">
        <f>IF(OR(AG131="",INDEX(p_rates,1)=""),0,IF(AG131="Facture",SUMIFS(fl_ht,fl_doc,A131,fl_rate,INDEX(p_rates,1)),SUMIFS(dl_ht,dl_doc,F131,dl_rate,INDEX(p_rates,1))))</f>
        <v>0.0</v>
      </c>
      <c r="AL131" s="62">
        <f>IF(OR(AG131="",INDEX(p_rates,2)=""),0,IF(AG131="Facture",SUMIFS(fl_ht,fl_doc,A131,fl_rate,INDEX(p_rates,2)),SUMIFS(dl_ht,dl_doc,F131,dl_rate,INDEX(p_rates,2))))</f>
        <v>0.0</v>
      </c>
      <c r="AM131" s="62">
        <f>IF(OR(AG131="",INDEX(p_rates,3)=""),0,IF(AG131="Facture",SUMIFS(fl_ht,fl_doc,A131,fl_rate,INDEX(p_rates,3)),SUMIFS(dl_ht,dl_doc,F131,dl_rate,INDEX(p_rates,3))))</f>
        <v>0.0</v>
      </c>
      <c r="AN131" s="62">
        <f>IF(OR(AG131="",INDEX(p_rates,4)=""),0,IF(AG131="Facture",SUMIFS(fl_ht,fl_doc,A131,fl_rate,INDEX(p_rates,4)),SUMIFS(dl_ht,dl_doc,F131,dl_rate,INDEX(p_rates,4))))</f>
        <v>0.0</v>
      </c>
      <c r="AO131" s="62">
        <f>IF(OR(AG131="",INDEX(p_rates,5)=""),0,IF(AG131="Facture",SUMIFS(fl_ht,fl_doc,A131,fl_rate,INDEX(p_rates,5)),SUMIFS(dl_ht,dl_doc,F131,dl_rate,INDEX(p_rates,5))))</f>
        <v>0.0</v>
      </c>
      <c r="AP131" s="62">
        <f>IF(OR(AG131="",INDEX(p_rates,6)=""),0,IF(AG131="Facture",SUMIFS(fl_ht,fl_doc,A131,fl_rate,INDEX(p_rates,6)),SUMIFS(dl_ht,dl_doc,F131,dl_rate,INDEX(p_rates,6))))</f>
        <v>0.0</v>
      </c>
      <c r="AQ131" s="62">
        <f>ROUND(AK131*N(INDEX(p_rates,1)),2)+ROUND(AL131*N(INDEX(p_rates,2)),2)+ROUND(AM131*N(INDEX(p_rates,3)),2)+ROUND(AN131*N(INDEX(p_rates,4)),2)+ROUND(AO131*N(INDEX(p_rates,5)),2)+ROUND(AP131*N(INDEX(p_rates,6)),2)</f>
        <v>0.0</v>
      </c>
      <c r="AR131" s="62" t="str">
        <f>IF(OR(L131="",AA131&lt;&gt;"Facture"),"",IFERROR(IF(INDEX(fa_type,MATCH(L131,fa_num,0))="Facture d'acompte",MATCH(L131,fa_num,0),""),""))</f>
        <v/>
      </c>
      <c r="AS131" s="62" t="str">
        <f>IF(W131="","",IF(W131&lt;=0,"",IF(p_asof-P131&lt;=0,"Non échu",IF(p_asof-P131&lt;=30,"1-30 j",IF(p_asof-P131&lt;=60,"31-60 j",IF(p_asof-P131&lt;=90,"61-90 j","Plus de 90 j"))))))</f>
        <v/>
      </c>
      <c r="AT131" s="62" t="str">
        <f>IF(AS131="","",p_asof-P131)</f>
        <v/>
      </c>
      <c r="AU131" s="62" t="str">
        <f>IF(AT131="","",COUNTIF($AT$6:$AT$805,"&gt;"&amp;AT131)+COUNTIF($AT$6:AT131,AT131))</f>
        <v/>
      </c>
    </row>
    <row r="132">
      <c r="A132" s="59" t="str">
        <f>IF(AE132="","",AB132&amp;"-"&amp;AD132&amp;"-"&amp;RIGHT("000"&amp;AE132,4))</f>
        <v/>
      </c>
      <c r="B132" s="60" t="n"/>
      <c r="C132" s="61" t="n"/>
      <c r="D132" s="60" t="n"/>
      <c r="E132" s="62" t="str">
        <f>IF(D132="","",IFERROR(INDEX(cli_name,MATCH(D132,cli_code,0))&amp;"","Client inconnu"))</f>
        <v/>
      </c>
      <c r="F132" s="60" t="n"/>
      <c r="G132" s="63" t="n"/>
      <c r="H132" s="61" t="n"/>
      <c r="I132" s="63" t="n"/>
      <c r="J132" s="60" t="n"/>
      <c r="K132" s="61" t="n"/>
      <c r="L132" s="60" t="n"/>
      <c r="M132" s="60" t="n"/>
      <c r="N132" s="60" t="n"/>
      <c r="O132" s="61" t="n"/>
      <c r="P132" s="64" t="str">
        <f>IF(A132="","",IF(AA132="Avoir",AC132,IF(ISNUMBER(K132),K132,AC132+IF(D132="",N(p_delay),IFERROR(IF(ISNUMBER(INDEX(cli_delay,MATCH(D132,cli_code,0))),INDEX(cli_delay,MATCH(D132,cli_code,0)),N(p_delay)),N(p_delay))))))</f>
        <v/>
      </c>
      <c r="Q132" s="65" t="str">
        <f>IF(A132="","",IF(AA132="Avoir",-1,1)*ROUND(AJ132-IF(AR132="",0,INDEX(fa_htb,AR132)),2))</f>
        <v/>
      </c>
      <c r="R132" s="65" t="str">
        <f>IF(A132="","",IF(AA132="Avoir",-1,1)*ROUND(AQ132-IF(AR132="",0,INDEX(fa_tvab,AR132)),2))</f>
        <v/>
      </c>
      <c r="S132" s="65" t="str">
        <f>IF(A132="","",Q132+R132)</f>
        <v/>
      </c>
      <c r="T132" s="65" t="str">
        <f>IF(AR132="","",INDEX(fa_htb,AR132)+INDEX(fa_tvab,AR132))</f>
        <v/>
      </c>
      <c r="U132" s="65" t="str">
        <f>IF(A132="","",SUMIF(pa_inv,A132,pa_amt))</f>
        <v/>
      </c>
      <c r="V132" s="65" t="str">
        <f>IF(OR(A132="",AA132="Avoir"),"",-SUMIFS(fa_ttc,fa_avof,A132,fa_type,"Avoir"))</f>
        <v/>
      </c>
      <c r="W132" s="65" t="str">
        <f>IF(OR(A132="",AA132="Avoir"),"",ROUND(S132-U132-V132,2))</f>
        <v/>
      </c>
      <c r="X132" s="66" t="str">
        <f>IF(W132="","",IF(AND(W132&gt;0,p_asof&gt;P132),p_asof-P132,""))</f>
        <v/>
      </c>
      <c r="Y132" s="59" t="str">
        <f>IF(A132="","",IF(AA132="Avoir","Avoir",IF(W132&lt;0,"Trop-perçu",IF(W132=0,"Soldée",IF(p_asof&gt;P132,"En retard",IF(U132+V132&gt;0,"Partielle","À échoir"))))))</f>
        <v/>
      </c>
      <c r="Z132" s="59" t="str">
        <f>IF(NOT(COUNTA(B132:D132,F132:O132)&gt;0),"",IF(C132="","Date manquante",IF(NOT(ISNUMBER(C132)),"Date invalide",IF(D132="","Client manquant",IF(ISNA(MATCH(D132,cli_code,0)),"Client inconnu",IF(AC132&lt;SUMPRODUCT(MAX(($AB$6:AB131=AB132)*$AC$6:AC131)),"Date antérieure à la facture précédente",IF(AND(F132&lt;&gt;"",ISNA(MATCH(F132,dv_num,0))),"Devis inconnu",IF(AND(F132&lt;&gt;"",IFERROR(INDEX(dv_client,MATCH(F132,dv_num,0)),D132)&lt;&gt;D132),"Client différent de celui du devis",IF(AG132="","Aucune ligne : saisissez des lignes ou un devis",IF(AND(AI132&lt;&gt;"",COUNTIF($AI$6:AI132,AI132)&gt;1),"Devis déjà repris par une autre facture",IF(AND(AA132="Avoir",M132=""),"Avoir : indiquez la facture d'origine",IF(AND(AA132="Avoir",ISNA(MATCH(M132,fa_num,0))),"Facture d'origine inconnue",IF(AND(AA132&lt;&gt;"Avoir",M132&lt;&gt;""),"« Avoir sur facture » : réservé aux avoirs",IF(AND(L132&lt;&gt;"",AA132&lt;&gt;"Facture"),"Acompte à déduire : réservé aux factures",IF(AND(L132&lt;&gt;"",ISNA(MATCH(L132,fa_num,0))),"Facture d'acompte inconnue",IF(AND(L132&lt;&gt;"",IFERROR(INDEX(fa_type,MATCH(L132,fa_num,0)),"")&lt;&gt;"Facture d'acompte"),"Le n° à déduire n'est pas une facture d'acompte",IF(AND(L132&lt;&gt;"",COUNTIF($L$6:L132,L132)&gt;1),"Acompte déjà déduit sur une autre facture",IF(AND(L132&lt;&gt;"",IFERROR(INDEX(fa_client,MATCH(L132,fa_num,0)),D132)&lt;&gt;D132),"Acompte d'un autre client",IF(AND(AR132&lt;&gt;"",N(Q132)&lt;0),"Acompte supérieur au total de la facture",IF(IF(AG132="Facture",COUNTIFS(fl_doc,A132,fl_check,"&lt;&gt;OK"),IF(AG132="Devis",COUNTIFS(dl_doc,F132,dl_check,"&lt;&gt;OK"),0))&gt;0,"Ligne(s) à corriger",IF(AND(W132&lt;&gt;"",N(W132)&lt;0),"Trop-perçu : vérifiez paiements et avoirs","OK")))))))))))))))))))))</f>
        <v/>
      </c>
      <c r="AA132" s="62" t="str">
        <f>IF(COUNTA(B132:D132,F132:O132)&gt;0,IF(B132="","Facture",B132),"")</f>
        <v/>
      </c>
      <c r="AB132" s="62" t="str">
        <f>IF(AA132="","",IF(AA132="Avoir",p_pav,IF(AA132="Facture d'acompte",p_pac,p_pfa)))</f>
        <v/>
      </c>
      <c r="AC132" s="62">
        <f>IF(ISNUMBER(C132),C132,0)</f>
        <v>0.0</v>
      </c>
      <c r="AD132" s="62" t="str">
        <f>IF(OR(AA132="",AC132=0),"",YEAR(AC132))</f>
        <v/>
      </c>
      <c r="AE132" s="62" t="str">
        <f>IF(AD132="","",COUNTIFS($AB$6:AB132,AB132,$AD$6:AD132,AD132))</f>
        <v/>
      </c>
      <c r="AF132" s="62">
        <f>IF(A132="",0,COUNTIF(fl_doc,A132))</f>
        <v>0.0</v>
      </c>
      <c r="AG132" s="62" t="str">
        <f>IF(A132="","",IF(AF132&gt;0,"Facture",IF(AND(F132&lt;&gt;"",AA132="Facture",ISNUMBER(MATCH(F132,dv_num,0))),"Devis","")))</f>
        <v/>
      </c>
      <c r="AH132" s="62" t="str">
        <f>IF(AND(A132&lt;&gt;"",F132&lt;&gt;"",AA132&lt;&gt;"Avoir"),F132,"")</f>
        <v/>
      </c>
      <c r="AI132" s="62" t="str">
        <f>IF(AG132="Devis",F132,"")</f>
        <v/>
      </c>
      <c r="AJ132" s="62">
        <f>IF(AG132="Facture",SUMIF(fl_doc,A132,fl_ht),IF(AG132="Devis",SUMIF(dl_doc,F132,dl_ht),0))</f>
        <v>0.0</v>
      </c>
      <c r="AK132" s="62">
        <f>IF(OR(AG132="",INDEX(p_rates,1)=""),0,IF(AG132="Facture",SUMIFS(fl_ht,fl_doc,A132,fl_rate,INDEX(p_rates,1)),SUMIFS(dl_ht,dl_doc,F132,dl_rate,INDEX(p_rates,1))))</f>
        <v>0.0</v>
      </c>
      <c r="AL132" s="62">
        <f>IF(OR(AG132="",INDEX(p_rates,2)=""),0,IF(AG132="Facture",SUMIFS(fl_ht,fl_doc,A132,fl_rate,INDEX(p_rates,2)),SUMIFS(dl_ht,dl_doc,F132,dl_rate,INDEX(p_rates,2))))</f>
        <v>0.0</v>
      </c>
      <c r="AM132" s="62">
        <f>IF(OR(AG132="",INDEX(p_rates,3)=""),0,IF(AG132="Facture",SUMIFS(fl_ht,fl_doc,A132,fl_rate,INDEX(p_rates,3)),SUMIFS(dl_ht,dl_doc,F132,dl_rate,INDEX(p_rates,3))))</f>
        <v>0.0</v>
      </c>
      <c r="AN132" s="62">
        <f>IF(OR(AG132="",INDEX(p_rates,4)=""),0,IF(AG132="Facture",SUMIFS(fl_ht,fl_doc,A132,fl_rate,INDEX(p_rates,4)),SUMIFS(dl_ht,dl_doc,F132,dl_rate,INDEX(p_rates,4))))</f>
        <v>0.0</v>
      </c>
      <c r="AO132" s="62">
        <f>IF(OR(AG132="",INDEX(p_rates,5)=""),0,IF(AG132="Facture",SUMIFS(fl_ht,fl_doc,A132,fl_rate,INDEX(p_rates,5)),SUMIFS(dl_ht,dl_doc,F132,dl_rate,INDEX(p_rates,5))))</f>
        <v>0.0</v>
      </c>
      <c r="AP132" s="62">
        <f>IF(OR(AG132="",INDEX(p_rates,6)=""),0,IF(AG132="Facture",SUMIFS(fl_ht,fl_doc,A132,fl_rate,INDEX(p_rates,6)),SUMIFS(dl_ht,dl_doc,F132,dl_rate,INDEX(p_rates,6))))</f>
        <v>0.0</v>
      </c>
      <c r="AQ132" s="62">
        <f>ROUND(AK132*N(INDEX(p_rates,1)),2)+ROUND(AL132*N(INDEX(p_rates,2)),2)+ROUND(AM132*N(INDEX(p_rates,3)),2)+ROUND(AN132*N(INDEX(p_rates,4)),2)+ROUND(AO132*N(INDEX(p_rates,5)),2)+ROUND(AP132*N(INDEX(p_rates,6)),2)</f>
        <v>0.0</v>
      </c>
      <c r="AR132" s="62" t="str">
        <f>IF(OR(L132="",AA132&lt;&gt;"Facture"),"",IFERROR(IF(INDEX(fa_type,MATCH(L132,fa_num,0))="Facture d'acompte",MATCH(L132,fa_num,0),""),""))</f>
        <v/>
      </c>
      <c r="AS132" s="62" t="str">
        <f>IF(W132="","",IF(W132&lt;=0,"",IF(p_asof-P132&lt;=0,"Non échu",IF(p_asof-P132&lt;=30,"1-30 j",IF(p_asof-P132&lt;=60,"31-60 j",IF(p_asof-P132&lt;=90,"61-90 j","Plus de 90 j"))))))</f>
        <v/>
      </c>
      <c r="AT132" s="62" t="str">
        <f>IF(AS132="","",p_asof-P132)</f>
        <v/>
      </c>
      <c r="AU132" s="62" t="str">
        <f>IF(AT132="","",COUNTIF($AT$6:$AT$805,"&gt;"&amp;AT132)+COUNTIF($AT$6:AT132,AT132))</f>
        <v/>
      </c>
    </row>
    <row r="133">
      <c r="A133" s="59" t="str">
        <f>IF(AE133="","",AB133&amp;"-"&amp;AD133&amp;"-"&amp;RIGHT("000"&amp;AE133,4))</f>
        <v/>
      </c>
      <c r="B133" s="60" t="n"/>
      <c r="C133" s="61" t="n"/>
      <c r="D133" s="60" t="n"/>
      <c r="E133" s="62" t="str">
        <f>IF(D133="","",IFERROR(INDEX(cli_name,MATCH(D133,cli_code,0))&amp;"","Client inconnu"))</f>
        <v/>
      </c>
      <c r="F133" s="60" t="n"/>
      <c r="G133" s="63" t="n"/>
      <c r="H133" s="61" t="n"/>
      <c r="I133" s="63" t="n"/>
      <c r="J133" s="60" t="n"/>
      <c r="K133" s="61" t="n"/>
      <c r="L133" s="60" t="n"/>
      <c r="M133" s="60" t="n"/>
      <c r="N133" s="60" t="n"/>
      <c r="O133" s="61" t="n"/>
      <c r="P133" s="64" t="str">
        <f>IF(A133="","",IF(AA133="Avoir",AC133,IF(ISNUMBER(K133),K133,AC133+IF(D133="",N(p_delay),IFERROR(IF(ISNUMBER(INDEX(cli_delay,MATCH(D133,cli_code,0))),INDEX(cli_delay,MATCH(D133,cli_code,0)),N(p_delay)),N(p_delay))))))</f>
        <v/>
      </c>
      <c r="Q133" s="65" t="str">
        <f>IF(A133="","",IF(AA133="Avoir",-1,1)*ROUND(AJ133-IF(AR133="",0,INDEX(fa_htb,AR133)),2))</f>
        <v/>
      </c>
      <c r="R133" s="65" t="str">
        <f>IF(A133="","",IF(AA133="Avoir",-1,1)*ROUND(AQ133-IF(AR133="",0,INDEX(fa_tvab,AR133)),2))</f>
        <v/>
      </c>
      <c r="S133" s="65" t="str">
        <f>IF(A133="","",Q133+R133)</f>
        <v/>
      </c>
      <c r="T133" s="65" t="str">
        <f>IF(AR133="","",INDEX(fa_htb,AR133)+INDEX(fa_tvab,AR133))</f>
        <v/>
      </c>
      <c r="U133" s="65" t="str">
        <f>IF(A133="","",SUMIF(pa_inv,A133,pa_amt))</f>
        <v/>
      </c>
      <c r="V133" s="65" t="str">
        <f>IF(OR(A133="",AA133="Avoir"),"",-SUMIFS(fa_ttc,fa_avof,A133,fa_type,"Avoir"))</f>
        <v/>
      </c>
      <c r="W133" s="65" t="str">
        <f>IF(OR(A133="",AA133="Avoir"),"",ROUND(S133-U133-V133,2))</f>
        <v/>
      </c>
      <c r="X133" s="66" t="str">
        <f>IF(W133="","",IF(AND(W133&gt;0,p_asof&gt;P133),p_asof-P133,""))</f>
        <v/>
      </c>
      <c r="Y133" s="59" t="str">
        <f>IF(A133="","",IF(AA133="Avoir","Avoir",IF(W133&lt;0,"Trop-perçu",IF(W133=0,"Soldée",IF(p_asof&gt;P133,"En retard",IF(U133+V133&gt;0,"Partielle","À échoir"))))))</f>
        <v/>
      </c>
      <c r="Z133" s="59" t="str">
        <f>IF(NOT(COUNTA(B133:D133,F133:O133)&gt;0),"",IF(C133="","Date manquante",IF(NOT(ISNUMBER(C133)),"Date invalide",IF(D133="","Client manquant",IF(ISNA(MATCH(D133,cli_code,0)),"Client inconnu",IF(AC133&lt;SUMPRODUCT(MAX(($AB$6:AB132=AB133)*$AC$6:AC132)),"Date antérieure à la facture précédente",IF(AND(F133&lt;&gt;"",ISNA(MATCH(F133,dv_num,0))),"Devis inconnu",IF(AND(F133&lt;&gt;"",IFERROR(INDEX(dv_client,MATCH(F133,dv_num,0)),D133)&lt;&gt;D133),"Client différent de celui du devis",IF(AG133="","Aucune ligne : saisissez des lignes ou un devis",IF(AND(AI133&lt;&gt;"",COUNTIF($AI$6:AI133,AI133)&gt;1),"Devis déjà repris par une autre facture",IF(AND(AA133="Avoir",M133=""),"Avoir : indiquez la facture d'origine",IF(AND(AA133="Avoir",ISNA(MATCH(M133,fa_num,0))),"Facture d'origine inconnue",IF(AND(AA133&lt;&gt;"Avoir",M133&lt;&gt;""),"« Avoir sur facture » : réservé aux avoirs",IF(AND(L133&lt;&gt;"",AA133&lt;&gt;"Facture"),"Acompte à déduire : réservé aux factures",IF(AND(L133&lt;&gt;"",ISNA(MATCH(L133,fa_num,0))),"Facture d'acompte inconnue",IF(AND(L133&lt;&gt;"",IFERROR(INDEX(fa_type,MATCH(L133,fa_num,0)),"")&lt;&gt;"Facture d'acompte"),"Le n° à déduire n'est pas une facture d'acompte",IF(AND(L133&lt;&gt;"",COUNTIF($L$6:L133,L133)&gt;1),"Acompte déjà déduit sur une autre facture",IF(AND(L133&lt;&gt;"",IFERROR(INDEX(fa_client,MATCH(L133,fa_num,0)),D133)&lt;&gt;D133),"Acompte d'un autre client",IF(AND(AR133&lt;&gt;"",N(Q133)&lt;0),"Acompte supérieur au total de la facture",IF(IF(AG133="Facture",COUNTIFS(fl_doc,A133,fl_check,"&lt;&gt;OK"),IF(AG133="Devis",COUNTIFS(dl_doc,F133,dl_check,"&lt;&gt;OK"),0))&gt;0,"Ligne(s) à corriger",IF(AND(W133&lt;&gt;"",N(W133)&lt;0),"Trop-perçu : vérifiez paiements et avoirs","OK")))))))))))))))))))))</f>
        <v/>
      </c>
      <c r="AA133" s="62" t="str">
        <f>IF(COUNTA(B133:D133,F133:O133)&gt;0,IF(B133="","Facture",B133),"")</f>
        <v/>
      </c>
      <c r="AB133" s="62" t="str">
        <f>IF(AA133="","",IF(AA133="Avoir",p_pav,IF(AA133="Facture d'acompte",p_pac,p_pfa)))</f>
        <v/>
      </c>
      <c r="AC133" s="62">
        <f>IF(ISNUMBER(C133),C133,0)</f>
        <v>0.0</v>
      </c>
      <c r="AD133" s="62" t="str">
        <f>IF(OR(AA133="",AC133=0),"",YEAR(AC133))</f>
        <v/>
      </c>
      <c r="AE133" s="62" t="str">
        <f>IF(AD133="","",COUNTIFS($AB$6:AB133,AB133,$AD$6:AD133,AD133))</f>
        <v/>
      </c>
      <c r="AF133" s="62">
        <f>IF(A133="",0,COUNTIF(fl_doc,A133))</f>
        <v>0.0</v>
      </c>
      <c r="AG133" s="62" t="str">
        <f>IF(A133="","",IF(AF133&gt;0,"Facture",IF(AND(F133&lt;&gt;"",AA133="Facture",ISNUMBER(MATCH(F133,dv_num,0))),"Devis","")))</f>
        <v/>
      </c>
      <c r="AH133" s="62" t="str">
        <f>IF(AND(A133&lt;&gt;"",F133&lt;&gt;"",AA133&lt;&gt;"Avoir"),F133,"")</f>
        <v/>
      </c>
      <c r="AI133" s="62" t="str">
        <f>IF(AG133="Devis",F133,"")</f>
        <v/>
      </c>
      <c r="AJ133" s="62">
        <f>IF(AG133="Facture",SUMIF(fl_doc,A133,fl_ht),IF(AG133="Devis",SUMIF(dl_doc,F133,dl_ht),0))</f>
        <v>0.0</v>
      </c>
      <c r="AK133" s="62">
        <f>IF(OR(AG133="",INDEX(p_rates,1)=""),0,IF(AG133="Facture",SUMIFS(fl_ht,fl_doc,A133,fl_rate,INDEX(p_rates,1)),SUMIFS(dl_ht,dl_doc,F133,dl_rate,INDEX(p_rates,1))))</f>
        <v>0.0</v>
      </c>
      <c r="AL133" s="62">
        <f>IF(OR(AG133="",INDEX(p_rates,2)=""),0,IF(AG133="Facture",SUMIFS(fl_ht,fl_doc,A133,fl_rate,INDEX(p_rates,2)),SUMIFS(dl_ht,dl_doc,F133,dl_rate,INDEX(p_rates,2))))</f>
        <v>0.0</v>
      </c>
      <c r="AM133" s="62">
        <f>IF(OR(AG133="",INDEX(p_rates,3)=""),0,IF(AG133="Facture",SUMIFS(fl_ht,fl_doc,A133,fl_rate,INDEX(p_rates,3)),SUMIFS(dl_ht,dl_doc,F133,dl_rate,INDEX(p_rates,3))))</f>
        <v>0.0</v>
      </c>
      <c r="AN133" s="62">
        <f>IF(OR(AG133="",INDEX(p_rates,4)=""),0,IF(AG133="Facture",SUMIFS(fl_ht,fl_doc,A133,fl_rate,INDEX(p_rates,4)),SUMIFS(dl_ht,dl_doc,F133,dl_rate,INDEX(p_rates,4))))</f>
        <v>0.0</v>
      </c>
      <c r="AO133" s="62">
        <f>IF(OR(AG133="",INDEX(p_rates,5)=""),0,IF(AG133="Facture",SUMIFS(fl_ht,fl_doc,A133,fl_rate,INDEX(p_rates,5)),SUMIFS(dl_ht,dl_doc,F133,dl_rate,INDEX(p_rates,5))))</f>
        <v>0.0</v>
      </c>
      <c r="AP133" s="62">
        <f>IF(OR(AG133="",INDEX(p_rates,6)=""),0,IF(AG133="Facture",SUMIFS(fl_ht,fl_doc,A133,fl_rate,INDEX(p_rates,6)),SUMIFS(dl_ht,dl_doc,F133,dl_rate,INDEX(p_rates,6))))</f>
        <v>0.0</v>
      </c>
      <c r="AQ133" s="62">
        <f>ROUND(AK133*N(INDEX(p_rates,1)),2)+ROUND(AL133*N(INDEX(p_rates,2)),2)+ROUND(AM133*N(INDEX(p_rates,3)),2)+ROUND(AN133*N(INDEX(p_rates,4)),2)+ROUND(AO133*N(INDEX(p_rates,5)),2)+ROUND(AP133*N(INDEX(p_rates,6)),2)</f>
        <v>0.0</v>
      </c>
      <c r="AR133" s="62" t="str">
        <f>IF(OR(L133="",AA133&lt;&gt;"Facture"),"",IFERROR(IF(INDEX(fa_type,MATCH(L133,fa_num,0))="Facture d'acompte",MATCH(L133,fa_num,0),""),""))</f>
        <v/>
      </c>
      <c r="AS133" s="62" t="str">
        <f>IF(W133="","",IF(W133&lt;=0,"",IF(p_asof-P133&lt;=0,"Non échu",IF(p_asof-P133&lt;=30,"1-30 j",IF(p_asof-P133&lt;=60,"31-60 j",IF(p_asof-P133&lt;=90,"61-90 j","Plus de 90 j"))))))</f>
        <v/>
      </c>
      <c r="AT133" s="62" t="str">
        <f>IF(AS133="","",p_asof-P133)</f>
        <v/>
      </c>
      <c r="AU133" s="62" t="str">
        <f>IF(AT133="","",COUNTIF($AT$6:$AT$805,"&gt;"&amp;AT133)+COUNTIF($AT$6:AT133,AT133))</f>
        <v/>
      </c>
    </row>
    <row r="134">
      <c r="A134" s="59" t="str">
        <f>IF(AE134="","",AB134&amp;"-"&amp;AD134&amp;"-"&amp;RIGHT("000"&amp;AE134,4))</f>
        <v/>
      </c>
      <c r="B134" s="60" t="n"/>
      <c r="C134" s="61" t="n"/>
      <c r="D134" s="60" t="n"/>
      <c r="E134" s="62" t="str">
        <f>IF(D134="","",IFERROR(INDEX(cli_name,MATCH(D134,cli_code,0))&amp;"","Client inconnu"))</f>
        <v/>
      </c>
      <c r="F134" s="60" t="n"/>
      <c r="G134" s="63" t="n"/>
      <c r="H134" s="61" t="n"/>
      <c r="I134" s="63" t="n"/>
      <c r="J134" s="60" t="n"/>
      <c r="K134" s="61" t="n"/>
      <c r="L134" s="60" t="n"/>
      <c r="M134" s="60" t="n"/>
      <c r="N134" s="60" t="n"/>
      <c r="O134" s="61" t="n"/>
      <c r="P134" s="64" t="str">
        <f>IF(A134="","",IF(AA134="Avoir",AC134,IF(ISNUMBER(K134),K134,AC134+IF(D134="",N(p_delay),IFERROR(IF(ISNUMBER(INDEX(cli_delay,MATCH(D134,cli_code,0))),INDEX(cli_delay,MATCH(D134,cli_code,0)),N(p_delay)),N(p_delay))))))</f>
        <v/>
      </c>
      <c r="Q134" s="65" t="str">
        <f>IF(A134="","",IF(AA134="Avoir",-1,1)*ROUND(AJ134-IF(AR134="",0,INDEX(fa_htb,AR134)),2))</f>
        <v/>
      </c>
      <c r="R134" s="65" t="str">
        <f>IF(A134="","",IF(AA134="Avoir",-1,1)*ROUND(AQ134-IF(AR134="",0,INDEX(fa_tvab,AR134)),2))</f>
        <v/>
      </c>
      <c r="S134" s="65" t="str">
        <f>IF(A134="","",Q134+R134)</f>
        <v/>
      </c>
      <c r="T134" s="65" t="str">
        <f>IF(AR134="","",INDEX(fa_htb,AR134)+INDEX(fa_tvab,AR134))</f>
        <v/>
      </c>
      <c r="U134" s="65" t="str">
        <f>IF(A134="","",SUMIF(pa_inv,A134,pa_amt))</f>
        <v/>
      </c>
      <c r="V134" s="65" t="str">
        <f>IF(OR(A134="",AA134="Avoir"),"",-SUMIFS(fa_ttc,fa_avof,A134,fa_type,"Avoir"))</f>
        <v/>
      </c>
      <c r="W134" s="65" t="str">
        <f>IF(OR(A134="",AA134="Avoir"),"",ROUND(S134-U134-V134,2))</f>
        <v/>
      </c>
      <c r="X134" s="66" t="str">
        <f>IF(W134="","",IF(AND(W134&gt;0,p_asof&gt;P134),p_asof-P134,""))</f>
        <v/>
      </c>
      <c r="Y134" s="59" t="str">
        <f>IF(A134="","",IF(AA134="Avoir","Avoir",IF(W134&lt;0,"Trop-perçu",IF(W134=0,"Soldée",IF(p_asof&gt;P134,"En retard",IF(U134+V134&gt;0,"Partielle","À échoir"))))))</f>
        <v/>
      </c>
      <c r="Z134" s="59" t="str">
        <f>IF(NOT(COUNTA(B134:D134,F134:O134)&gt;0),"",IF(C134="","Date manquante",IF(NOT(ISNUMBER(C134)),"Date invalide",IF(D134="","Client manquant",IF(ISNA(MATCH(D134,cli_code,0)),"Client inconnu",IF(AC134&lt;SUMPRODUCT(MAX(($AB$6:AB133=AB134)*$AC$6:AC133)),"Date antérieure à la facture précédente",IF(AND(F134&lt;&gt;"",ISNA(MATCH(F134,dv_num,0))),"Devis inconnu",IF(AND(F134&lt;&gt;"",IFERROR(INDEX(dv_client,MATCH(F134,dv_num,0)),D134)&lt;&gt;D134),"Client différent de celui du devis",IF(AG134="","Aucune ligne : saisissez des lignes ou un devis",IF(AND(AI134&lt;&gt;"",COUNTIF($AI$6:AI134,AI134)&gt;1),"Devis déjà repris par une autre facture",IF(AND(AA134="Avoir",M134=""),"Avoir : indiquez la facture d'origine",IF(AND(AA134="Avoir",ISNA(MATCH(M134,fa_num,0))),"Facture d'origine inconnue",IF(AND(AA134&lt;&gt;"Avoir",M134&lt;&gt;""),"« Avoir sur facture » : réservé aux avoirs",IF(AND(L134&lt;&gt;"",AA134&lt;&gt;"Facture"),"Acompte à déduire : réservé aux factures",IF(AND(L134&lt;&gt;"",ISNA(MATCH(L134,fa_num,0))),"Facture d'acompte inconnue",IF(AND(L134&lt;&gt;"",IFERROR(INDEX(fa_type,MATCH(L134,fa_num,0)),"")&lt;&gt;"Facture d'acompte"),"Le n° à déduire n'est pas une facture d'acompte",IF(AND(L134&lt;&gt;"",COUNTIF($L$6:L134,L134)&gt;1),"Acompte déjà déduit sur une autre facture",IF(AND(L134&lt;&gt;"",IFERROR(INDEX(fa_client,MATCH(L134,fa_num,0)),D134)&lt;&gt;D134),"Acompte d'un autre client",IF(AND(AR134&lt;&gt;"",N(Q134)&lt;0),"Acompte supérieur au total de la facture",IF(IF(AG134="Facture",COUNTIFS(fl_doc,A134,fl_check,"&lt;&gt;OK"),IF(AG134="Devis",COUNTIFS(dl_doc,F134,dl_check,"&lt;&gt;OK"),0))&gt;0,"Ligne(s) à corriger",IF(AND(W134&lt;&gt;"",N(W134)&lt;0),"Trop-perçu : vérifiez paiements et avoirs","OK")))))))))))))))))))))</f>
        <v/>
      </c>
      <c r="AA134" s="62" t="str">
        <f>IF(COUNTA(B134:D134,F134:O134)&gt;0,IF(B134="","Facture",B134),"")</f>
        <v/>
      </c>
      <c r="AB134" s="62" t="str">
        <f>IF(AA134="","",IF(AA134="Avoir",p_pav,IF(AA134="Facture d'acompte",p_pac,p_pfa)))</f>
        <v/>
      </c>
      <c r="AC134" s="62">
        <f>IF(ISNUMBER(C134),C134,0)</f>
        <v>0.0</v>
      </c>
      <c r="AD134" s="62" t="str">
        <f>IF(OR(AA134="",AC134=0),"",YEAR(AC134))</f>
        <v/>
      </c>
      <c r="AE134" s="62" t="str">
        <f>IF(AD134="","",COUNTIFS($AB$6:AB134,AB134,$AD$6:AD134,AD134))</f>
        <v/>
      </c>
      <c r="AF134" s="62">
        <f>IF(A134="",0,COUNTIF(fl_doc,A134))</f>
        <v>0.0</v>
      </c>
      <c r="AG134" s="62" t="str">
        <f>IF(A134="","",IF(AF134&gt;0,"Facture",IF(AND(F134&lt;&gt;"",AA134="Facture",ISNUMBER(MATCH(F134,dv_num,0))),"Devis","")))</f>
        <v/>
      </c>
      <c r="AH134" s="62" t="str">
        <f>IF(AND(A134&lt;&gt;"",F134&lt;&gt;"",AA134&lt;&gt;"Avoir"),F134,"")</f>
        <v/>
      </c>
      <c r="AI134" s="62" t="str">
        <f>IF(AG134="Devis",F134,"")</f>
        <v/>
      </c>
      <c r="AJ134" s="62">
        <f>IF(AG134="Facture",SUMIF(fl_doc,A134,fl_ht),IF(AG134="Devis",SUMIF(dl_doc,F134,dl_ht),0))</f>
        <v>0.0</v>
      </c>
      <c r="AK134" s="62">
        <f>IF(OR(AG134="",INDEX(p_rates,1)=""),0,IF(AG134="Facture",SUMIFS(fl_ht,fl_doc,A134,fl_rate,INDEX(p_rates,1)),SUMIFS(dl_ht,dl_doc,F134,dl_rate,INDEX(p_rates,1))))</f>
        <v>0.0</v>
      </c>
      <c r="AL134" s="62">
        <f>IF(OR(AG134="",INDEX(p_rates,2)=""),0,IF(AG134="Facture",SUMIFS(fl_ht,fl_doc,A134,fl_rate,INDEX(p_rates,2)),SUMIFS(dl_ht,dl_doc,F134,dl_rate,INDEX(p_rates,2))))</f>
        <v>0.0</v>
      </c>
      <c r="AM134" s="62">
        <f>IF(OR(AG134="",INDEX(p_rates,3)=""),0,IF(AG134="Facture",SUMIFS(fl_ht,fl_doc,A134,fl_rate,INDEX(p_rates,3)),SUMIFS(dl_ht,dl_doc,F134,dl_rate,INDEX(p_rates,3))))</f>
        <v>0.0</v>
      </c>
      <c r="AN134" s="62">
        <f>IF(OR(AG134="",INDEX(p_rates,4)=""),0,IF(AG134="Facture",SUMIFS(fl_ht,fl_doc,A134,fl_rate,INDEX(p_rates,4)),SUMIFS(dl_ht,dl_doc,F134,dl_rate,INDEX(p_rates,4))))</f>
        <v>0.0</v>
      </c>
      <c r="AO134" s="62">
        <f>IF(OR(AG134="",INDEX(p_rates,5)=""),0,IF(AG134="Facture",SUMIFS(fl_ht,fl_doc,A134,fl_rate,INDEX(p_rates,5)),SUMIFS(dl_ht,dl_doc,F134,dl_rate,INDEX(p_rates,5))))</f>
        <v>0.0</v>
      </c>
      <c r="AP134" s="62">
        <f>IF(OR(AG134="",INDEX(p_rates,6)=""),0,IF(AG134="Facture",SUMIFS(fl_ht,fl_doc,A134,fl_rate,INDEX(p_rates,6)),SUMIFS(dl_ht,dl_doc,F134,dl_rate,INDEX(p_rates,6))))</f>
        <v>0.0</v>
      </c>
      <c r="AQ134" s="62">
        <f>ROUND(AK134*N(INDEX(p_rates,1)),2)+ROUND(AL134*N(INDEX(p_rates,2)),2)+ROUND(AM134*N(INDEX(p_rates,3)),2)+ROUND(AN134*N(INDEX(p_rates,4)),2)+ROUND(AO134*N(INDEX(p_rates,5)),2)+ROUND(AP134*N(INDEX(p_rates,6)),2)</f>
        <v>0.0</v>
      </c>
      <c r="AR134" s="62" t="str">
        <f>IF(OR(L134="",AA134&lt;&gt;"Facture"),"",IFERROR(IF(INDEX(fa_type,MATCH(L134,fa_num,0))="Facture d'acompte",MATCH(L134,fa_num,0),""),""))</f>
        <v/>
      </c>
      <c r="AS134" s="62" t="str">
        <f>IF(W134="","",IF(W134&lt;=0,"",IF(p_asof-P134&lt;=0,"Non échu",IF(p_asof-P134&lt;=30,"1-30 j",IF(p_asof-P134&lt;=60,"31-60 j",IF(p_asof-P134&lt;=90,"61-90 j","Plus de 90 j"))))))</f>
        <v/>
      </c>
      <c r="AT134" s="62" t="str">
        <f>IF(AS134="","",p_asof-P134)</f>
        <v/>
      </c>
      <c r="AU134" s="62" t="str">
        <f>IF(AT134="","",COUNTIF($AT$6:$AT$805,"&gt;"&amp;AT134)+COUNTIF($AT$6:AT134,AT134))</f>
        <v/>
      </c>
    </row>
    <row r="135">
      <c r="A135" s="59" t="str">
        <f>IF(AE135="","",AB135&amp;"-"&amp;AD135&amp;"-"&amp;RIGHT("000"&amp;AE135,4))</f>
        <v/>
      </c>
      <c r="B135" s="60" t="n"/>
      <c r="C135" s="61" t="n"/>
      <c r="D135" s="60" t="n"/>
      <c r="E135" s="62" t="str">
        <f>IF(D135="","",IFERROR(INDEX(cli_name,MATCH(D135,cli_code,0))&amp;"","Client inconnu"))</f>
        <v/>
      </c>
      <c r="F135" s="60" t="n"/>
      <c r="G135" s="63" t="n"/>
      <c r="H135" s="61" t="n"/>
      <c r="I135" s="63" t="n"/>
      <c r="J135" s="60" t="n"/>
      <c r="K135" s="61" t="n"/>
      <c r="L135" s="60" t="n"/>
      <c r="M135" s="60" t="n"/>
      <c r="N135" s="60" t="n"/>
      <c r="O135" s="61" t="n"/>
      <c r="P135" s="64" t="str">
        <f>IF(A135="","",IF(AA135="Avoir",AC135,IF(ISNUMBER(K135),K135,AC135+IF(D135="",N(p_delay),IFERROR(IF(ISNUMBER(INDEX(cli_delay,MATCH(D135,cli_code,0))),INDEX(cli_delay,MATCH(D135,cli_code,0)),N(p_delay)),N(p_delay))))))</f>
        <v/>
      </c>
      <c r="Q135" s="65" t="str">
        <f>IF(A135="","",IF(AA135="Avoir",-1,1)*ROUND(AJ135-IF(AR135="",0,INDEX(fa_htb,AR135)),2))</f>
        <v/>
      </c>
      <c r="R135" s="65" t="str">
        <f>IF(A135="","",IF(AA135="Avoir",-1,1)*ROUND(AQ135-IF(AR135="",0,INDEX(fa_tvab,AR135)),2))</f>
        <v/>
      </c>
      <c r="S135" s="65" t="str">
        <f>IF(A135="","",Q135+R135)</f>
        <v/>
      </c>
      <c r="T135" s="65" t="str">
        <f>IF(AR135="","",INDEX(fa_htb,AR135)+INDEX(fa_tvab,AR135))</f>
        <v/>
      </c>
      <c r="U135" s="65" t="str">
        <f>IF(A135="","",SUMIF(pa_inv,A135,pa_amt))</f>
        <v/>
      </c>
      <c r="V135" s="65" t="str">
        <f>IF(OR(A135="",AA135="Avoir"),"",-SUMIFS(fa_ttc,fa_avof,A135,fa_type,"Avoir"))</f>
        <v/>
      </c>
      <c r="W135" s="65" t="str">
        <f>IF(OR(A135="",AA135="Avoir"),"",ROUND(S135-U135-V135,2))</f>
        <v/>
      </c>
      <c r="X135" s="66" t="str">
        <f>IF(W135="","",IF(AND(W135&gt;0,p_asof&gt;P135),p_asof-P135,""))</f>
        <v/>
      </c>
      <c r="Y135" s="59" t="str">
        <f>IF(A135="","",IF(AA135="Avoir","Avoir",IF(W135&lt;0,"Trop-perçu",IF(W135=0,"Soldée",IF(p_asof&gt;P135,"En retard",IF(U135+V135&gt;0,"Partielle","À échoir"))))))</f>
        <v/>
      </c>
      <c r="Z135" s="59" t="str">
        <f>IF(NOT(COUNTA(B135:D135,F135:O135)&gt;0),"",IF(C135="","Date manquante",IF(NOT(ISNUMBER(C135)),"Date invalide",IF(D135="","Client manquant",IF(ISNA(MATCH(D135,cli_code,0)),"Client inconnu",IF(AC135&lt;SUMPRODUCT(MAX(($AB$6:AB134=AB135)*$AC$6:AC134)),"Date antérieure à la facture précédente",IF(AND(F135&lt;&gt;"",ISNA(MATCH(F135,dv_num,0))),"Devis inconnu",IF(AND(F135&lt;&gt;"",IFERROR(INDEX(dv_client,MATCH(F135,dv_num,0)),D135)&lt;&gt;D135),"Client différent de celui du devis",IF(AG135="","Aucune ligne : saisissez des lignes ou un devis",IF(AND(AI135&lt;&gt;"",COUNTIF($AI$6:AI135,AI135)&gt;1),"Devis déjà repris par une autre facture",IF(AND(AA135="Avoir",M135=""),"Avoir : indiquez la facture d'origine",IF(AND(AA135="Avoir",ISNA(MATCH(M135,fa_num,0))),"Facture d'origine inconnue",IF(AND(AA135&lt;&gt;"Avoir",M135&lt;&gt;""),"« Avoir sur facture » : réservé aux avoirs",IF(AND(L135&lt;&gt;"",AA135&lt;&gt;"Facture"),"Acompte à déduire : réservé aux factures",IF(AND(L135&lt;&gt;"",ISNA(MATCH(L135,fa_num,0))),"Facture d'acompte inconnue",IF(AND(L135&lt;&gt;"",IFERROR(INDEX(fa_type,MATCH(L135,fa_num,0)),"")&lt;&gt;"Facture d'acompte"),"Le n° à déduire n'est pas une facture d'acompte",IF(AND(L135&lt;&gt;"",COUNTIF($L$6:L135,L135)&gt;1),"Acompte déjà déduit sur une autre facture",IF(AND(L135&lt;&gt;"",IFERROR(INDEX(fa_client,MATCH(L135,fa_num,0)),D135)&lt;&gt;D135),"Acompte d'un autre client",IF(AND(AR135&lt;&gt;"",N(Q135)&lt;0),"Acompte supérieur au total de la facture",IF(IF(AG135="Facture",COUNTIFS(fl_doc,A135,fl_check,"&lt;&gt;OK"),IF(AG135="Devis",COUNTIFS(dl_doc,F135,dl_check,"&lt;&gt;OK"),0))&gt;0,"Ligne(s) à corriger",IF(AND(W135&lt;&gt;"",N(W135)&lt;0),"Trop-perçu : vérifiez paiements et avoirs","OK")))))))))))))))))))))</f>
        <v/>
      </c>
      <c r="AA135" s="62" t="str">
        <f>IF(COUNTA(B135:D135,F135:O135)&gt;0,IF(B135="","Facture",B135),"")</f>
        <v/>
      </c>
      <c r="AB135" s="62" t="str">
        <f>IF(AA135="","",IF(AA135="Avoir",p_pav,IF(AA135="Facture d'acompte",p_pac,p_pfa)))</f>
        <v/>
      </c>
      <c r="AC135" s="62">
        <f>IF(ISNUMBER(C135),C135,0)</f>
        <v>0.0</v>
      </c>
      <c r="AD135" s="62" t="str">
        <f>IF(OR(AA135="",AC135=0),"",YEAR(AC135))</f>
        <v/>
      </c>
      <c r="AE135" s="62" t="str">
        <f>IF(AD135="","",COUNTIFS($AB$6:AB135,AB135,$AD$6:AD135,AD135))</f>
        <v/>
      </c>
      <c r="AF135" s="62">
        <f>IF(A135="",0,COUNTIF(fl_doc,A135))</f>
        <v>0.0</v>
      </c>
      <c r="AG135" s="62" t="str">
        <f>IF(A135="","",IF(AF135&gt;0,"Facture",IF(AND(F135&lt;&gt;"",AA135="Facture",ISNUMBER(MATCH(F135,dv_num,0))),"Devis","")))</f>
        <v/>
      </c>
      <c r="AH135" s="62" t="str">
        <f>IF(AND(A135&lt;&gt;"",F135&lt;&gt;"",AA135&lt;&gt;"Avoir"),F135,"")</f>
        <v/>
      </c>
      <c r="AI135" s="62" t="str">
        <f>IF(AG135="Devis",F135,"")</f>
        <v/>
      </c>
      <c r="AJ135" s="62">
        <f>IF(AG135="Facture",SUMIF(fl_doc,A135,fl_ht),IF(AG135="Devis",SUMIF(dl_doc,F135,dl_ht),0))</f>
        <v>0.0</v>
      </c>
      <c r="AK135" s="62">
        <f>IF(OR(AG135="",INDEX(p_rates,1)=""),0,IF(AG135="Facture",SUMIFS(fl_ht,fl_doc,A135,fl_rate,INDEX(p_rates,1)),SUMIFS(dl_ht,dl_doc,F135,dl_rate,INDEX(p_rates,1))))</f>
        <v>0.0</v>
      </c>
      <c r="AL135" s="62">
        <f>IF(OR(AG135="",INDEX(p_rates,2)=""),0,IF(AG135="Facture",SUMIFS(fl_ht,fl_doc,A135,fl_rate,INDEX(p_rates,2)),SUMIFS(dl_ht,dl_doc,F135,dl_rate,INDEX(p_rates,2))))</f>
        <v>0.0</v>
      </c>
      <c r="AM135" s="62">
        <f>IF(OR(AG135="",INDEX(p_rates,3)=""),0,IF(AG135="Facture",SUMIFS(fl_ht,fl_doc,A135,fl_rate,INDEX(p_rates,3)),SUMIFS(dl_ht,dl_doc,F135,dl_rate,INDEX(p_rates,3))))</f>
        <v>0.0</v>
      </c>
      <c r="AN135" s="62">
        <f>IF(OR(AG135="",INDEX(p_rates,4)=""),0,IF(AG135="Facture",SUMIFS(fl_ht,fl_doc,A135,fl_rate,INDEX(p_rates,4)),SUMIFS(dl_ht,dl_doc,F135,dl_rate,INDEX(p_rates,4))))</f>
        <v>0.0</v>
      </c>
      <c r="AO135" s="62">
        <f>IF(OR(AG135="",INDEX(p_rates,5)=""),0,IF(AG135="Facture",SUMIFS(fl_ht,fl_doc,A135,fl_rate,INDEX(p_rates,5)),SUMIFS(dl_ht,dl_doc,F135,dl_rate,INDEX(p_rates,5))))</f>
        <v>0.0</v>
      </c>
      <c r="AP135" s="62">
        <f>IF(OR(AG135="",INDEX(p_rates,6)=""),0,IF(AG135="Facture",SUMIFS(fl_ht,fl_doc,A135,fl_rate,INDEX(p_rates,6)),SUMIFS(dl_ht,dl_doc,F135,dl_rate,INDEX(p_rates,6))))</f>
        <v>0.0</v>
      </c>
      <c r="AQ135" s="62">
        <f>ROUND(AK135*N(INDEX(p_rates,1)),2)+ROUND(AL135*N(INDEX(p_rates,2)),2)+ROUND(AM135*N(INDEX(p_rates,3)),2)+ROUND(AN135*N(INDEX(p_rates,4)),2)+ROUND(AO135*N(INDEX(p_rates,5)),2)+ROUND(AP135*N(INDEX(p_rates,6)),2)</f>
        <v>0.0</v>
      </c>
      <c r="AR135" s="62" t="str">
        <f>IF(OR(L135="",AA135&lt;&gt;"Facture"),"",IFERROR(IF(INDEX(fa_type,MATCH(L135,fa_num,0))="Facture d'acompte",MATCH(L135,fa_num,0),""),""))</f>
        <v/>
      </c>
      <c r="AS135" s="62" t="str">
        <f>IF(W135="","",IF(W135&lt;=0,"",IF(p_asof-P135&lt;=0,"Non échu",IF(p_asof-P135&lt;=30,"1-30 j",IF(p_asof-P135&lt;=60,"31-60 j",IF(p_asof-P135&lt;=90,"61-90 j","Plus de 90 j"))))))</f>
        <v/>
      </c>
      <c r="AT135" s="62" t="str">
        <f>IF(AS135="","",p_asof-P135)</f>
        <v/>
      </c>
      <c r="AU135" s="62" t="str">
        <f>IF(AT135="","",COUNTIF($AT$6:$AT$805,"&gt;"&amp;AT135)+COUNTIF($AT$6:AT135,AT135))</f>
        <v/>
      </c>
    </row>
    <row r="136">
      <c r="A136" s="59" t="str">
        <f>IF(AE136="","",AB136&amp;"-"&amp;AD136&amp;"-"&amp;RIGHT("000"&amp;AE136,4))</f>
        <v/>
      </c>
      <c r="B136" s="60" t="n"/>
      <c r="C136" s="61" t="n"/>
      <c r="D136" s="60" t="n"/>
      <c r="E136" s="62" t="str">
        <f>IF(D136="","",IFERROR(INDEX(cli_name,MATCH(D136,cli_code,0))&amp;"","Client inconnu"))</f>
        <v/>
      </c>
      <c r="F136" s="60" t="n"/>
      <c r="G136" s="63" t="n"/>
      <c r="H136" s="61" t="n"/>
      <c r="I136" s="63" t="n"/>
      <c r="J136" s="60" t="n"/>
      <c r="K136" s="61" t="n"/>
      <c r="L136" s="60" t="n"/>
      <c r="M136" s="60" t="n"/>
      <c r="N136" s="60" t="n"/>
      <c r="O136" s="61" t="n"/>
      <c r="P136" s="64" t="str">
        <f>IF(A136="","",IF(AA136="Avoir",AC136,IF(ISNUMBER(K136),K136,AC136+IF(D136="",N(p_delay),IFERROR(IF(ISNUMBER(INDEX(cli_delay,MATCH(D136,cli_code,0))),INDEX(cli_delay,MATCH(D136,cli_code,0)),N(p_delay)),N(p_delay))))))</f>
        <v/>
      </c>
      <c r="Q136" s="65" t="str">
        <f>IF(A136="","",IF(AA136="Avoir",-1,1)*ROUND(AJ136-IF(AR136="",0,INDEX(fa_htb,AR136)),2))</f>
        <v/>
      </c>
      <c r="R136" s="65" t="str">
        <f>IF(A136="","",IF(AA136="Avoir",-1,1)*ROUND(AQ136-IF(AR136="",0,INDEX(fa_tvab,AR136)),2))</f>
        <v/>
      </c>
      <c r="S136" s="65" t="str">
        <f>IF(A136="","",Q136+R136)</f>
        <v/>
      </c>
      <c r="T136" s="65" t="str">
        <f>IF(AR136="","",INDEX(fa_htb,AR136)+INDEX(fa_tvab,AR136))</f>
        <v/>
      </c>
      <c r="U136" s="65" t="str">
        <f>IF(A136="","",SUMIF(pa_inv,A136,pa_amt))</f>
        <v/>
      </c>
      <c r="V136" s="65" t="str">
        <f>IF(OR(A136="",AA136="Avoir"),"",-SUMIFS(fa_ttc,fa_avof,A136,fa_type,"Avoir"))</f>
        <v/>
      </c>
      <c r="W136" s="65" t="str">
        <f>IF(OR(A136="",AA136="Avoir"),"",ROUND(S136-U136-V136,2))</f>
        <v/>
      </c>
      <c r="X136" s="66" t="str">
        <f>IF(W136="","",IF(AND(W136&gt;0,p_asof&gt;P136),p_asof-P136,""))</f>
        <v/>
      </c>
      <c r="Y136" s="59" t="str">
        <f>IF(A136="","",IF(AA136="Avoir","Avoir",IF(W136&lt;0,"Trop-perçu",IF(W136=0,"Soldée",IF(p_asof&gt;P136,"En retard",IF(U136+V136&gt;0,"Partielle","À échoir"))))))</f>
        <v/>
      </c>
      <c r="Z136" s="59" t="str">
        <f>IF(NOT(COUNTA(B136:D136,F136:O136)&gt;0),"",IF(C136="","Date manquante",IF(NOT(ISNUMBER(C136)),"Date invalide",IF(D136="","Client manquant",IF(ISNA(MATCH(D136,cli_code,0)),"Client inconnu",IF(AC136&lt;SUMPRODUCT(MAX(($AB$6:AB135=AB136)*$AC$6:AC135)),"Date antérieure à la facture précédente",IF(AND(F136&lt;&gt;"",ISNA(MATCH(F136,dv_num,0))),"Devis inconnu",IF(AND(F136&lt;&gt;"",IFERROR(INDEX(dv_client,MATCH(F136,dv_num,0)),D136)&lt;&gt;D136),"Client différent de celui du devis",IF(AG136="","Aucune ligne : saisissez des lignes ou un devis",IF(AND(AI136&lt;&gt;"",COUNTIF($AI$6:AI136,AI136)&gt;1),"Devis déjà repris par une autre facture",IF(AND(AA136="Avoir",M136=""),"Avoir : indiquez la facture d'origine",IF(AND(AA136="Avoir",ISNA(MATCH(M136,fa_num,0))),"Facture d'origine inconnue",IF(AND(AA136&lt;&gt;"Avoir",M136&lt;&gt;""),"« Avoir sur facture » : réservé aux avoirs",IF(AND(L136&lt;&gt;"",AA136&lt;&gt;"Facture"),"Acompte à déduire : réservé aux factures",IF(AND(L136&lt;&gt;"",ISNA(MATCH(L136,fa_num,0))),"Facture d'acompte inconnue",IF(AND(L136&lt;&gt;"",IFERROR(INDEX(fa_type,MATCH(L136,fa_num,0)),"")&lt;&gt;"Facture d'acompte"),"Le n° à déduire n'est pas une facture d'acompte",IF(AND(L136&lt;&gt;"",COUNTIF($L$6:L136,L136)&gt;1),"Acompte déjà déduit sur une autre facture",IF(AND(L136&lt;&gt;"",IFERROR(INDEX(fa_client,MATCH(L136,fa_num,0)),D136)&lt;&gt;D136),"Acompte d'un autre client",IF(AND(AR136&lt;&gt;"",N(Q136)&lt;0),"Acompte supérieur au total de la facture",IF(IF(AG136="Facture",COUNTIFS(fl_doc,A136,fl_check,"&lt;&gt;OK"),IF(AG136="Devis",COUNTIFS(dl_doc,F136,dl_check,"&lt;&gt;OK"),0))&gt;0,"Ligne(s) à corriger",IF(AND(W136&lt;&gt;"",N(W136)&lt;0),"Trop-perçu : vérifiez paiements et avoirs","OK")))))))))))))))))))))</f>
        <v/>
      </c>
      <c r="AA136" s="62" t="str">
        <f>IF(COUNTA(B136:D136,F136:O136)&gt;0,IF(B136="","Facture",B136),"")</f>
        <v/>
      </c>
      <c r="AB136" s="62" t="str">
        <f>IF(AA136="","",IF(AA136="Avoir",p_pav,IF(AA136="Facture d'acompte",p_pac,p_pfa)))</f>
        <v/>
      </c>
      <c r="AC136" s="62">
        <f>IF(ISNUMBER(C136),C136,0)</f>
        <v>0.0</v>
      </c>
      <c r="AD136" s="62" t="str">
        <f>IF(OR(AA136="",AC136=0),"",YEAR(AC136))</f>
        <v/>
      </c>
      <c r="AE136" s="62" t="str">
        <f>IF(AD136="","",COUNTIFS($AB$6:AB136,AB136,$AD$6:AD136,AD136))</f>
        <v/>
      </c>
      <c r="AF136" s="62">
        <f>IF(A136="",0,COUNTIF(fl_doc,A136))</f>
        <v>0.0</v>
      </c>
      <c r="AG136" s="62" t="str">
        <f>IF(A136="","",IF(AF136&gt;0,"Facture",IF(AND(F136&lt;&gt;"",AA136="Facture",ISNUMBER(MATCH(F136,dv_num,0))),"Devis","")))</f>
        <v/>
      </c>
      <c r="AH136" s="62" t="str">
        <f>IF(AND(A136&lt;&gt;"",F136&lt;&gt;"",AA136&lt;&gt;"Avoir"),F136,"")</f>
        <v/>
      </c>
      <c r="AI136" s="62" t="str">
        <f>IF(AG136="Devis",F136,"")</f>
        <v/>
      </c>
      <c r="AJ136" s="62">
        <f>IF(AG136="Facture",SUMIF(fl_doc,A136,fl_ht),IF(AG136="Devis",SUMIF(dl_doc,F136,dl_ht),0))</f>
        <v>0.0</v>
      </c>
      <c r="AK136" s="62">
        <f>IF(OR(AG136="",INDEX(p_rates,1)=""),0,IF(AG136="Facture",SUMIFS(fl_ht,fl_doc,A136,fl_rate,INDEX(p_rates,1)),SUMIFS(dl_ht,dl_doc,F136,dl_rate,INDEX(p_rates,1))))</f>
        <v>0.0</v>
      </c>
      <c r="AL136" s="62">
        <f>IF(OR(AG136="",INDEX(p_rates,2)=""),0,IF(AG136="Facture",SUMIFS(fl_ht,fl_doc,A136,fl_rate,INDEX(p_rates,2)),SUMIFS(dl_ht,dl_doc,F136,dl_rate,INDEX(p_rates,2))))</f>
        <v>0.0</v>
      </c>
      <c r="AM136" s="62">
        <f>IF(OR(AG136="",INDEX(p_rates,3)=""),0,IF(AG136="Facture",SUMIFS(fl_ht,fl_doc,A136,fl_rate,INDEX(p_rates,3)),SUMIFS(dl_ht,dl_doc,F136,dl_rate,INDEX(p_rates,3))))</f>
        <v>0.0</v>
      </c>
      <c r="AN136" s="62">
        <f>IF(OR(AG136="",INDEX(p_rates,4)=""),0,IF(AG136="Facture",SUMIFS(fl_ht,fl_doc,A136,fl_rate,INDEX(p_rates,4)),SUMIFS(dl_ht,dl_doc,F136,dl_rate,INDEX(p_rates,4))))</f>
        <v>0.0</v>
      </c>
      <c r="AO136" s="62">
        <f>IF(OR(AG136="",INDEX(p_rates,5)=""),0,IF(AG136="Facture",SUMIFS(fl_ht,fl_doc,A136,fl_rate,INDEX(p_rates,5)),SUMIFS(dl_ht,dl_doc,F136,dl_rate,INDEX(p_rates,5))))</f>
        <v>0.0</v>
      </c>
      <c r="AP136" s="62">
        <f>IF(OR(AG136="",INDEX(p_rates,6)=""),0,IF(AG136="Facture",SUMIFS(fl_ht,fl_doc,A136,fl_rate,INDEX(p_rates,6)),SUMIFS(dl_ht,dl_doc,F136,dl_rate,INDEX(p_rates,6))))</f>
        <v>0.0</v>
      </c>
      <c r="AQ136" s="62">
        <f>ROUND(AK136*N(INDEX(p_rates,1)),2)+ROUND(AL136*N(INDEX(p_rates,2)),2)+ROUND(AM136*N(INDEX(p_rates,3)),2)+ROUND(AN136*N(INDEX(p_rates,4)),2)+ROUND(AO136*N(INDEX(p_rates,5)),2)+ROUND(AP136*N(INDEX(p_rates,6)),2)</f>
        <v>0.0</v>
      </c>
      <c r="AR136" s="62" t="str">
        <f>IF(OR(L136="",AA136&lt;&gt;"Facture"),"",IFERROR(IF(INDEX(fa_type,MATCH(L136,fa_num,0))="Facture d'acompte",MATCH(L136,fa_num,0),""),""))</f>
        <v/>
      </c>
      <c r="AS136" s="62" t="str">
        <f>IF(W136="","",IF(W136&lt;=0,"",IF(p_asof-P136&lt;=0,"Non échu",IF(p_asof-P136&lt;=30,"1-30 j",IF(p_asof-P136&lt;=60,"31-60 j",IF(p_asof-P136&lt;=90,"61-90 j","Plus de 90 j"))))))</f>
        <v/>
      </c>
      <c r="AT136" s="62" t="str">
        <f>IF(AS136="","",p_asof-P136)</f>
        <v/>
      </c>
      <c r="AU136" s="62" t="str">
        <f>IF(AT136="","",COUNTIF($AT$6:$AT$805,"&gt;"&amp;AT136)+COUNTIF($AT$6:AT136,AT136))</f>
        <v/>
      </c>
    </row>
    <row r="137">
      <c r="A137" s="59" t="str">
        <f>IF(AE137="","",AB137&amp;"-"&amp;AD137&amp;"-"&amp;RIGHT("000"&amp;AE137,4))</f>
        <v/>
      </c>
      <c r="B137" s="60" t="n"/>
      <c r="C137" s="61" t="n"/>
      <c r="D137" s="60" t="n"/>
      <c r="E137" s="62" t="str">
        <f>IF(D137="","",IFERROR(INDEX(cli_name,MATCH(D137,cli_code,0))&amp;"","Client inconnu"))</f>
        <v/>
      </c>
      <c r="F137" s="60" t="n"/>
      <c r="G137" s="63" t="n"/>
      <c r="H137" s="61" t="n"/>
      <c r="I137" s="63" t="n"/>
      <c r="J137" s="60" t="n"/>
      <c r="K137" s="61" t="n"/>
      <c r="L137" s="60" t="n"/>
      <c r="M137" s="60" t="n"/>
      <c r="N137" s="60" t="n"/>
      <c r="O137" s="61" t="n"/>
      <c r="P137" s="64" t="str">
        <f>IF(A137="","",IF(AA137="Avoir",AC137,IF(ISNUMBER(K137),K137,AC137+IF(D137="",N(p_delay),IFERROR(IF(ISNUMBER(INDEX(cli_delay,MATCH(D137,cli_code,0))),INDEX(cli_delay,MATCH(D137,cli_code,0)),N(p_delay)),N(p_delay))))))</f>
        <v/>
      </c>
      <c r="Q137" s="65" t="str">
        <f>IF(A137="","",IF(AA137="Avoir",-1,1)*ROUND(AJ137-IF(AR137="",0,INDEX(fa_htb,AR137)),2))</f>
        <v/>
      </c>
      <c r="R137" s="65" t="str">
        <f>IF(A137="","",IF(AA137="Avoir",-1,1)*ROUND(AQ137-IF(AR137="",0,INDEX(fa_tvab,AR137)),2))</f>
        <v/>
      </c>
      <c r="S137" s="65" t="str">
        <f>IF(A137="","",Q137+R137)</f>
        <v/>
      </c>
      <c r="T137" s="65" t="str">
        <f>IF(AR137="","",INDEX(fa_htb,AR137)+INDEX(fa_tvab,AR137))</f>
        <v/>
      </c>
      <c r="U137" s="65" t="str">
        <f>IF(A137="","",SUMIF(pa_inv,A137,pa_amt))</f>
        <v/>
      </c>
      <c r="V137" s="65" t="str">
        <f>IF(OR(A137="",AA137="Avoir"),"",-SUMIFS(fa_ttc,fa_avof,A137,fa_type,"Avoir"))</f>
        <v/>
      </c>
      <c r="W137" s="65" t="str">
        <f>IF(OR(A137="",AA137="Avoir"),"",ROUND(S137-U137-V137,2))</f>
        <v/>
      </c>
      <c r="X137" s="66" t="str">
        <f>IF(W137="","",IF(AND(W137&gt;0,p_asof&gt;P137),p_asof-P137,""))</f>
        <v/>
      </c>
      <c r="Y137" s="59" t="str">
        <f>IF(A137="","",IF(AA137="Avoir","Avoir",IF(W137&lt;0,"Trop-perçu",IF(W137=0,"Soldée",IF(p_asof&gt;P137,"En retard",IF(U137+V137&gt;0,"Partielle","À échoir"))))))</f>
        <v/>
      </c>
      <c r="Z137" s="59" t="str">
        <f>IF(NOT(COUNTA(B137:D137,F137:O137)&gt;0),"",IF(C137="","Date manquante",IF(NOT(ISNUMBER(C137)),"Date invalide",IF(D137="","Client manquant",IF(ISNA(MATCH(D137,cli_code,0)),"Client inconnu",IF(AC137&lt;SUMPRODUCT(MAX(($AB$6:AB136=AB137)*$AC$6:AC136)),"Date antérieure à la facture précédente",IF(AND(F137&lt;&gt;"",ISNA(MATCH(F137,dv_num,0))),"Devis inconnu",IF(AND(F137&lt;&gt;"",IFERROR(INDEX(dv_client,MATCH(F137,dv_num,0)),D137)&lt;&gt;D137),"Client différent de celui du devis",IF(AG137="","Aucune ligne : saisissez des lignes ou un devis",IF(AND(AI137&lt;&gt;"",COUNTIF($AI$6:AI137,AI137)&gt;1),"Devis déjà repris par une autre facture",IF(AND(AA137="Avoir",M137=""),"Avoir : indiquez la facture d'origine",IF(AND(AA137="Avoir",ISNA(MATCH(M137,fa_num,0))),"Facture d'origine inconnue",IF(AND(AA137&lt;&gt;"Avoir",M137&lt;&gt;""),"« Avoir sur facture » : réservé aux avoirs",IF(AND(L137&lt;&gt;"",AA137&lt;&gt;"Facture"),"Acompte à déduire : réservé aux factures",IF(AND(L137&lt;&gt;"",ISNA(MATCH(L137,fa_num,0))),"Facture d'acompte inconnue",IF(AND(L137&lt;&gt;"",IFERROR(INDEX(fa_type,MATCH(L137,fa_num,0)),"")&lt;&gt;"Facture d'acompte"),"Le n° à déduire n'est pas une facture d'acompte",IF(AND(L137&lt;&gt;"",COUNTIF($L$6:L137,L137)&gt;1),"Acompte déjà déduit sur une autre facture",IF(AND(L137&lt;&gt;"",IFERROR(INDEX(fa_client,MATCH(L137,fa_num,0)),D137)&lt;&gt;D137),"Acompte d'un autre client",IF(AND(AR137&lt;&gt;"",N(Q137)&lt;0),"Acompte supérieur au total de la facture",IF(IF(AG137="Facture",COUNTIFS(fl_doc,A137,fl_check,"&lt;&gt;OK"),IF(AG137="Devis",COUNTIFS(dl_doc,F137,dl_check,"&lt;&gt;OK"),0))&gt;0,"Ligne(s) à corriger",IF(AND(W137&lt;&gt;"",N(W137)&lt;0),"Trop-perçu : vérifiez paiements et avoirs","OK")))))))))))))))))))))</f>
        <v/>
      </c>
      <c r="AA137" s="62" t="str">
        <f>IF(COUNTA(B137:D137,F137:O137)&gt;0,IF(B137="","Facture",B137),"")</f>
        <v/>
      </c>
      <c r="AB137" s="62" t="str">
        <f>IF(AA137="","",IF(AA137="Avoir",p_pav,IF(AA137="Facture d'acompte",p_pac,p_pfa)))</f>
        <v/>
      </c>
      <c r="AC137" s="62">
        <f>IF(ISNUMBER(C137),C137,0)</f>
        <v>0.0</v>
      </c>
      <c r="AD137" s="62" t="str">
        <f>IF(OR(AA137="",AC137=0),"",YEAR(AC137))</f>
        <v/>
      </c>
      <c r="AE137" s="62" t="str">
        <f>IF(AD137="","",COUNTIFS($AB$6:AB137,AB137,$AD$6:AD137,AD137))</f>
        <v/>
      </c>
      <c r="AF137" s="62">
        <f>IF(A137="",0,COUNTIF(fl_doc,A137))</f>
        <v>0.0</v>
      </c>
      <c r="AG137" s="62" t="str">
        <f>IF(A137="","",IF(AF137&gt;0,"Facture",IF(AND(F137&lt;&gt;"",AA137="Facture",ISNUMBER(MATCH(F137,dv_num,0))),"Devis","")))</f>
        <v/>
      </c>
      <c r="AH137" s="62" t="str">
        <f>IF(AND(A137&lt;&gt;"",F137&lt;&gt;"",AA137&lt;&gt;"Avoir"),F137,"")</f>
        <v/>
      </c>
      <c r="AI137" s="62" t="str">
        <f>IF(AG137="Devis",F137,"")</f>
        <v/>
      </c>
      <c r="AJ137" s="62">
        <f>IF(AG137="Facture",SUMIF(fl_doc,A137,fl_ht),IF(AG137="Devis",SUMIF(dl_doc,F137,dl_ht),0))</f>
        <v>0.0</v>
      </c>
      <c r="AK137" s="62">
        <f>IF(OR(AG137="",INDEX(p_rates,1)=""),0,IF(AG137="Facture",SUMIFS(fl_ht,fl_doc,A137,fl_rate,INDEX(p_rates,1)),SUMIFS(dl_ht,dl_doc,F137,dl_rate,INDEX(p_rates,1))))</f>
        <v>0.0</v>
      </c>
      <c r="AL137" s="62">
        <f>IF(OR(AG137="",INDEX(p_rates,2)=""),0,IF(AG137="Facture",SUMIFS(fl_ht,fl_doc,A137,fl_rate,INDEX(p_rates,2)),SUMIFS(dl_ht,dl_doc,F137,dl_rate,INDEX(p_rates,2))))</f>
        <v>0.0</v>
      </c>
      <c r="AM137" s="62">
        <f>IF(OR(AG137="",INDEX(p_rates,3)=""),0,IF(AG137="Facture",SUMIFS(fl_ht,fl_doc,A137,fl_rate,INDEX(p_rates,3)),SUMIFS(dl_ht,dl_doc,F137,dl_rate,INDEX(p_rates,3))))</f>
        <v>0.0</v>
      </c>
      <c r="AN137" s="62">
        <f>IF(OR(AG137="",INDEX(p_rates,4)=""),0,IF(AG137="Facture",SUMIFS(fl_ht,fl_doc,A137,fl_rate,INDEX(p_rates,4)),SUMIFS(dl_ht,dl_doc,F137,dl_rate,INDEX(p_rates,4))))</f>
        <v>0.0</v>
      </c>
      <c r="AO137" s="62">
        <f>IF(OR(AG137="",INDEX(p_rates,5)=""),0,IF(AG137="Facture",SUMIFS(fl_ht,fl_doc,A137,fl_rate,INDEX(p_rates,5)),SUMIFS(dl_ht,dl_doc,F137,dl_rate,INDEX(p_rates,5))))</f>
        <v>0.0</v>
      </c>
      <c r="AP137" s="62">
        <f>IF(OR(AG137="",INDEX(p_rates,6)=""),0,IF(AG137="Facture",SUMIFS(fl_ht,fl_doc,A137,fl_rate,INDEX(p_rates,6)),SUMIFS(dl_ht,dl_doc,F137,dl_rate,INDEX(p_rates,6))))</f>
        <v>0.0</v>
      </c>
      <c r="AQ137" s="62">
        <f>ROUND(AK137*N(INDEX(p_rates,1)),2)+ROUND(AL137*N(INDEX(p_rates,2)),2)+ROUND(AM137*N(INDEX(p_rates,3)),2)+ROUND(AN137*N(INDEX(p_rates,4)),2)+ROUND(AO137*N(INDEX(p_rates,5)),2)+ROUND(AP137*N(INDEX(p_rates,6)),2)</f>
        <v>0.0</v>
      </c>
      <c r="AR137" s="62" t="str">
        <f>IF(OR(L137="",AA137&lt;&gt;"Facture"),"",IFERROR(IF(INDEX(fa_type,MATCH(L137,fa_num,0))="Facture d'acompte",MATCH(L137,fa_num,0),""),""))</f>
        <v/>
      </c>
      <c r="AS137" s="62" t="str">
        <f>IF(W137="","",IF(W137&lt;=0,"",IF(p_asof-P137&lt;=0,"Non échu",IF(p_asof-P137&lt;=30,"1-30 j",IF(p_asof-P137&lt;=60,"31-60 j",IF(p_asof-P137&lt;=90,"61-90 j","Plus de 90 j"))))))</f>
        <v/>
      </c>
      <c r="AT137" s="62" t="str">
        <f>IF(AS137="","",p_asof-P137)</f>
        <v/>
      </c>
      <c r="AU137" s="62" t="str">
        <f>IF(AT137="","",COUNTIF($AT$6:$AT$805,"&gt;"&amp;AT137)+COUNTIF($AT$6:AT137,AT137))</f>
        <v/>
      </c>
    </row>
    <row r="138">
      <c r="A138" s="59" t="str">
        <f>IF(AE138="","",AB138&amp;"-"&amp;AD138&amp;"-"&amp;RIGHT("000"&amp;AE138,4))</f>
        <v/>
      </c>
      <c r="B138" s="60" t="n"/>
      <c r="C138" s="61" t="n"/>
      <c r="D138" s="60" t="n"/>
      <c r="E138" s="62" t="str">
        <f>IF(D138="","",IFERROR(INDEX(cli_name,MATCH(D138,cli_code,0))&amp;"","Client inconnu"))</f>
        <v/>
      </c>
      <c r="F138" s="60" t="n"/>
      <c r="G138" s="63" t="n"/>
      <c r="H138" s="61" t="n"/>
      <c r="I138" s="63" t="n"/>
      <c r="J138" s="60" t="n"/>
      <c r="K138" s="61" t="n"/>
      <c r="L138" s="60" t="n"/>
      <c r="M138" s="60" t="n"/>
      <c r="N138" s="60" t="n"/>
      <c r="O138" s="61" t="n"/>
      <c r="P138" s="64" t="str">
        <f>IF(A138="","",IF(AA138="Avoir",AC138,IF(ISNUMBER(K138),K138,AC138+IF(D138="",N(p_delay),IFERROR(IF(ISNUMBER(INDEX(cli_delay,MATCH(D138,cli_code,0))),INDEX(cli_delay,MATCH(D138,cli_code,0)),N(p_delay)),N(p_delay))))))</f>
        <v/>
      </c>
      <c r="Q138" s="65" t="str">
        <f>IF(A138="","",IF(AA138="Avoir",-1,1)*ROUND(AJ138-IF(AR138="",0,INDEX(fa_htb,AR138)),2))</f>
        <v/>
      </c>
      <c r="R138" s="65" t="str">
        <f>IF(A138="","",IF(AA138="Avoir",-1,1)*ROUND(AQ138-IF(AR138="",0,INDEX(fa_tvab,AR138)),2))</f>
        <v/>
      </c>
      <c r="S138" s="65" t="str">
        <f>IF(A138="","",Q138+R138)</f>
        <v/>
      </c>
      <c r="T138" s="65" t="str">
        <f>IF(AR138="","",INDEX(fa_htb,AR138)+INDEX(fa_tvab,AR138))</f>
        <v/>
      </c>
      <c r="U138" s="65" t="str">
        <f>IF(A138="","",SUMIF(pa_inv,A138,pa_amt))</f>
        <v/>
      </c>
      <c r="V138" s="65" t="str">
        <f>IF(OR(A138="",AA138="Avoir"),"",-SUMIFS(fa_ttc,fa_avof,A138,fa_type,"Avoir"))</f>
        <v/>
      </c>
      <c r="W138" s="65" t="str">
        <f>IF(OR(A138="",AA138="Avoir"),"",ROUND(S138-U138-V138,2))</f>
        <v/>
      </c>
      <c r="X138" s="66" t="str">
        <f>IF(W138="","",IF(AND(W138&gt;0,p_asof&gt;P138),p_asof-P138,""))</f>
        <v/>
      </c>
      <c r="Y138" s="59" t="str">
        <f>IF(A138="","",IF(AA138="Avoir","Avoir",IF(W138&lt;0,"Trop-perçu",IF(W138=0,"Soldée",IF(p_asof&gt;P138,"En retard",IF(U138+V138&gt;0,"Partielle","À échoir"))))))</f>
        <v/>
      </c>
      <c r="Z138" s="59" t="str">
        <f>IF(NOT(COUNTA(B138:D138,F138:O138)&gt;0),"",IF(C138="","Date manquante",IF(NOT(ISNUMBER(C138)),"Date invalide",IF(D138="","Client manquant",IF(ISNA(MATCH(D138,cli_code,0)),"Client inconnu",IF(AC138&lt;SUMPRODUCT(MAX(($AB$6:AB137=AB138)*$AC$6:AC137)),"Date antérieure à la facture précédente",IF(AND(F138&lt;&gt;"",ISNA(MATCH(F138,dv_num,0))),"Devis inconnu",IF(AND(F138&lt;&gt;"",IFERROR(INDEX(dv_client,MATCH(F138,dv_num,0)),D138)&lt;&gt;D138),"Client différent de celui du devis",IF(AG138="","Aucune ligne : saisissez des lignes ou un devis",IF(AND(AI138&lt;&gt;"",COUNTIF($AI$6:AI138,AI138)&gt;1),"Devis déjà repris par une autre facture",IF(AND(AA138="Avoir",M138=""),"Avoir : indiquez la facture d'origine",IF(AND(AA138="Avoir",ISNA(MATCH(M138,fa_num,0))),"Facture d'origine inconnue",IF(AND(AA138&lt;&gt;"Avoir",M138&lt;&gt;""),"« Avoir sur facture » : réservé aux avoirs",IF(AND(L138&lt;&gt;"",AA138&lt;&gt;"Facture"),"Acompte à déduire : réservé aux factures",IF(AND(L138&lt;&gt;"",ISNA(MATCH(L138,fa_num,0))),"Facture d'acompte inconnue",IF(AND(L138&lt;&gt;"",IFERROR(INDEX(fa_type,MATCH(L138,fa_num,0)),"")&lt;&gt;"Facture d'acompte"),"Le n° à déduire n'est pas une facture d'acompte",IF(AND(L138&lt;&gt;"",COUNTIF($L$6:L138,L138)&gt;1),"Acompte déjà déduit sur une autre facture",IF(AND(L138&lt;&gt;"",IFERROR(INDEX(fa_client,MATCH(L138,fa_num,0)),D138)&lt;&gt;D138),"Acompte d'un autre client",IF(AND(AR138&lt;&gt;"",N(Q138)&lt;0),"Acompte supérieur au total de la facture",IF(IF(AG138="Facture",COUNTIFS(fl_doc,A138,fl_check,"&lt;&gt;OK"),IF(AG138="Devis",COUNTIFS(dl_doc,F138,dl_check,"&lt;&gt;OK"),0))&gt;0,"Ligne(s) à corriger",IF(AND(W138&lt;&gt;"",N(W138)&lt;0),"Trop-perçu : vérifiez paiements et avoirs","OK")))))))))))))))))))))</f>
        <v/>
      </c>
      <c r="AA138" s="62" t="str">
        <f>IF(COUNTA(B138:D138,F138:O138)&gt;0,IF(B138="","Facture",B138),"")</f>
        <v/>
      </c>
      <c r="AB138" s="62" t="str">
        <f>IF(AA138="","",IF(AA138="Avoir",p_pav,IF(AA138="Facture d'acompte",p_pac,p_pfa)))</f>
        <v/>
      </c>
      <c r="AC138" s="62">
        <f>IF(ISNUMBER(C138),C138,0)</f>
        <v>0.0</v>
      </c>
      <c r="AD138" s="62" t="str">
        <f>IF(OR(AA138="",AC138=0),"",YEAR(AC138))</f>
        <v/>
      </c>
      <c r="AE138" s="62" t="str">
        <f>IF(AD138="","",COUNTIFS($AB$6:AB138,AB138,$AD$6:AD138,AD138))</f>
        <v/>
      </c>
      <c r="AF138" s="62">
        <f>IF(A138="",0,COUNTIF(fl_doc,A138))</f>
        <v>0.0</v>
      </c>
      <c r="AG138" s="62" t="str">
        <f>IF(A138="","",IF(AF138&gt;0,"Facture",IF(AND(F138&lt;&gt;"",AA138="Facture",ISNUMBER(MATCH(F138,dv_num,0))),"Devis","")))</f>
        <v/>
      </c>
      <c r="AH138" s="62" t="str">
        <f>IF(AND(A138&lt;&gt;"",F138&lt;&gt;"",AA138&lt;&gt;"Avoir"),F138,"")</f>
        <v/>
      </c>
      <c r="AI138" s="62" t="str">
        <f>IF(AG138="Devis",F138,"")</f>
        <v/>
      </c>
      <c r="AJ138" s="62">
        <f>IF(AG138="Facture",SUMIF(fl_doc,A138,fl_ht),IF(AG138="Devis",SUMIF(dl_doc,F138,dl_ht),0))</f>
        <v>0.0</v>
      </c>
      <c r="AK138" s="62">
        <f>IF(OR(AG138="",INDEX(p_rates,1)=""),0,IF(AG138="Facture",SUMIFS(fl_ht,fl_doc,A138,fl_rate,INDEX(p_rates,1)),SUMIFS(dl_ht,dl_doc,F138,dl_rate,INDEX(p_rates,1))))</f>
        <v>0.0</v>
      </c>
      <c r="AL138" s="62">
        <f>IF(OR(AG138="",INDEX(p_rates,2)=""),0,IF(AG138="Facture",SUMIFS(fl_ht,fl_doc,A138,fl_rate,INDEX(p_rates,2)),SUMIFS(dl_ht,dl_doc,F138,dl_rate,INDEX(p_rates,2))))</f>
        <v>0.0</v>
      </c>
      <c r="AM138" s="62">
        <f>IF(OR(AG138="",INDEX(p_rates,3)=""),0,IF(AG138="Facture",SUMIFS(fl_ht,fl_doc,A138,fl_rate,INDEX(p_rates,3)),SUMIFS(dl_ht,dl_doc,F138,dl_rate,INDEX(p_rates,3))))</f>
        <v>0.0</v>
      </c>
      <c r="AN138" s="62">
        <f>IF(OR(AG138="",INDEX(p_rates,4)=""),0,IF(AG138="Facture",SUMIFS(fl_ht,fl_doc,A138,fl_rate,INDEX(p_rates,4)),SUMIFS(dl_ht,dl_doc,F138,dl_rate,INDEX(p_rates,4))))</f>
        <v>0.0</v>
      </c>
      <c r="AO138" s="62">
        <f>IF(OR(AG138="",INDEX(p_rates,5)=""),0,IF(AG138="Facture",SUMIFS(fl_ht,fl_doc,A138,fl_rate,INDEX(p_rates,5)),SUMIFS(dl_ht,dl_doc,F138,dl_rate,INDEX(p_rates,5))))</f>
        <v>0.0</v>
      </c>
      <c r="AP138" s="62">
        <f>IF(OR(AG138="",INDEX(p_rates,6)=""),0,IF(AG138="Facture",SUMIFS(fl_ht,fl_doc,A138,fl_rate,INDEX(p_rates,6)),SUMIFS(dl_ht,dl_doc,F138,dl_rate,INDEX(p_rates,6))))</f>
        <v>0.0</v>
      </c>
      <c r="AQ138" s="62">
        <f>ROUND(AK138*N(INDEX(p_rates,1)),2)+ROUND(AL138*N(INDEX(p_rates,2)),2)+ROUND(AM138*N(INDEX(p_rates,3)),2)+ROUND(AN138*N(INDEX(p_rates,4)),2)+ROUND(AO138*N(INDEX(p_rates,5)),2)+ROUND(AP138*N(INDEX(p_rates,6)),2)</f>
        <v>0.0</v>
      </c>
      <c r="AR138" s="62" t="str">
        <f>IF(OR(L138="",AA138&lt;&gt;"Facture"),"",IFERROR(IF(INDEX(fa_type,MATCH(L138,fa_num,0))="Facture d'acompte",MATCH(L138,fa_num,0),""),""))</f>
        <v/>
      </c>
      <c r="AS138" s="62" t="str">
        <f>IF(W138="","",IF(W138&lt;=0,"",IF(p_asof-P138&lt;=0,"Non échu",IF(p_asof-P138&lt;=30,"1-30 j",IF(p_asof-P138&lt;=60,"31-60 j",IF(p_asof-P138&lt;=90,"61-90 j","Plus de 90 j"))))))</f>
        <v/>
      </c>
      <c r="AT138" s="62" t="str">
        <f>IF(AS138="","",p_asof-P138)</f>
        <v/>
      </c>
      <c r="AU138" s="62" t="str">
        <f>IF(AT138="","",COUNTIF($AT$6:$AT$805,"&gt;"&amp;AT138)+COUNTIF($AT$6:AT138,AT138))</f>
        <v/>
      </c>
    </row>
    <row r="139">
      <c r="A139" s="59" t="str">
        <f>IF(AE139="","",AB139&amp;"-"&amp;AD139&amp;"-"&amp;RIGHT("000"&amp;AE139,4))</f>
        <v/>
      </c>
      <c r="B139" s="60" t="n"/>
      <c r="C139" s="61" t="n"/>
      <c r="D139" s="60" t="n"/>
      <c r="E139" s="62" t="str">
        <f>IF(D139="","",IFERROR(INDEX(cli_name,MATCH(D139,cli_code,0))&amp;"","Client inconnu"))</f>
        <v/>
      </c>
      <c r="F139" s="60" t="n"/>
      <c r="G139" s="63" t="n"/>
      <c r="H139" s="61" t="n"/>
      <c r="I139" s="63" t="n"/>
      <c r="J139" s="60" t="n"/>
      <c r="K139" s="61" t="n"/>
      <c r="L139" s="60" t="n"/>
      <c r="M139" s="60" t="n"/>
      <c r="N139" s="60" t="n"/>
      <c r="O139" s="61" t="n"/>
      <c r="P139" s="64" t="str">
        <f>IF(A139="","",IF(AA139="Avoir",AC139,IF(ISNUMBER(K139),K139,AC139+IF(D139="",N(p_delay),IFERROR(IF(ISNUMBER(INDEX(cli_delay,MATCH(D139,cli_code,0))),INDEX(cli_delay,MATCH(D139,cli_code,0)),N(p_delay)),N(p_delay))))))</f>
        <v/>
      </c>
      <c r="Q139" s="65" t="str">
        <f>IF(A139="","",IF(AA139="Avoir",-1,1)*ROUND(AJ139-IF(AR139="",0,INDEX(fa_htb,AR139)),2))</f>
        <v/>
      </c>
      <c r="R139" s="65" t="str">
        <f>IF(A139="","",IF(AA139="Avoir",-1,1)*ROUND(AQ139-IF(AR139="",0,INDEX(fa_tvab,AR139)),2))</f>
        <v/>
      </c>
      <c r="S139" s="65" t="str">
        <f>IF(A139="","",Q139+R139)</f>
        <v/>
      </c>
      <c r="T139" s="65" t="str">
        <f>IF(AR139="","",INDEX(fa_htb,AR139)+INDEX(fa_tvab,AR139))</f>
        <v/>
      </c>
      <c r="U139" s="65" t="str">
        <f>IF(A139="","",SUMIF(pa_inv,A139,pa_amt))</f>
        <v/>
      </c>
      <c r="V139" s="65" t="str">
        <f>IF(OR(A139="",AA139="Avoir"),"",-SUMIFS(fa_ttc,fa_avof,A139,fa_type,"Avoir"))</f>
        <v/>
      </c>
      <c r="W139" s="65" t="str">
        <f>IF(OR(A139="",AA139="Avoir"),"",ROUND(S139-U139-V139,2))</f>
        <v/>
      </c>
      <c r="X139" s="66" t="str">
        <f>IF(W139="","",IF(AND(W139&gt;0,p_asof&gt;P139),p_asof-P139,""))</f>
        <v/>
      </c>
      <c r="Y139" s="59" t="str">
        <f>IF(A139="","",IF(AA139="Avoir","Avoir",IF(W139&lt;0,"Trop-perçu",IF(W139=0,"Soldée",IF(p_asof&gt;P139,"En retard",IF(U139+V139&gt;0,"Partielle","À échoir"))))))</f>
        <v/>
      </c>
      <c r="Z139" s="59" t="str">
        <f>IF(NOT(COUNTA(B139:D139,F139:O139)&gt;0),"",IF(C139="","Date manquante",IF(NOT(ISNUMBER(C139)),"Date invalide",IF(D139="","Client manquant",IF(ISNA(MATCH(D139,cli_code,0)),"Client inconnu",IF(AC139&lt;SUMPRODUCT(MAX(($AB$6:AB138=AB139)*$AC$6:AC138)),"Date antérieure à la facture précédente",IF(AND(F139&lt;&gt;"",ISNA(MATCH(F139,dv_num,0))),"Devis inconnu",IF(AND(F139&lt;&gt;"",IFERROR(INDEX(dv_client,MATCH(F139,dv_num,0)),D139)&lt;&gt;D139),"Client différent de celui du devis",IF(AG139="","Aucune ligne : saisissez des lignes ou un devis",IF(AND(AI139&lt;&gt;"",COUNTIF($AI$6:AI139,AI139)&gt;1),"Devis déjà repris par une autre facture",IF(AND(AA139="Avoir",M139=""),"Avoir : indiquez la facture d'origine",IF(AND(AA139="Avoir",ISNA(MATCH(M139,fa_num,0))),"Facture d'origine inconnue",IF(AND(AA139&lt;&gt;"Avoir",M139&lt;&gt;""),"« Avoir sur facture » : réservé aux avoirs",IF(AND(L139&lt;&gt;"",AA139&lt;&gt;"Facture"),"Acompte à déduire : réservé aux factures",IF(AND(L139&lt;&gt;"",ISNA(MATCH(L139,fa_num,0))),"Facture d'acompte inconnue",IF(AND(L139&lt;&gt;"",IFERROR(INDEX(fa_type,MATCH(L139,fa_num,0)),"")&lt;&gt;"Facture d'acompte"),"Le n° à déduire n'est pas une facture d'acompte",IF(AND(L139&lt;&gt;"",COUNTIF($L$6:L139,L139)&gt;1),"Acompte déjà déduit sur une autre facture",IF(AND(L139&lt;&gt;"",IFERROR(INDEX(fa_client,MATCH(L139,fa_num,0)),D139)&lt;&gt;D139),"Acompte d'un autre client",IF(AND(AR139&lt;&gt;"",N(Q139)&lt;0),"Acompte supérieur au total de la facture",IF(IF(AG139="Facture",COUNTIFS(fl_doc,A139,fl_check,"&lt;&gt;OK"),IF(AG139="Devis",COUNTIFS(dl_doc,F139,dl_check,"&lt;&gt;OK"),0))&gt;0,"Ligne(s) à corriger",IF(AND(W139&lt;&gt;"",N(W139)&lt;0),"Trop-perçu : vérifiez paiements et avoirs","OK")))))))))))))))))))))</f>
        <v/>
      </c>
      <c r="AA139" s="62" t="str">
        <f>IF(COUNTA(B139:D139,F139:O139)&gt;0,IF(B139="","Facture",B139),"")</f>
        <v/>
      </c>
      <c r="AB139" s="62" t="str">
        <f>IF(AA139="","",IF(AA139="Avoir",p_pav,IF(AA139="Facture d'acompte",p_pac,p_pfa)))</f>
        <v/>
      </c>
      <c r="AC139" s="62">
        <f>IF(ISNUMBER(C139),C139,0)</f>
        <v>0.0</v>
      </c>
      <c r="AD139" s="62" t="str">
        <f>IF(OR(AA139="",AC139=0),"",YEAR(AC139))</f>
        <v/>
      </c>
      <c r="AE139" s="62" t="str">
        <f>IF(AD139="","",COUNTIFS($AB$6:AB139,AB139,$AD$6:AD139,AD139))</f>
        <v/>
      </c>
      <c r="AF139" s="62">
        <f>IF(A139="",0,COUNTIF(fl_doc,A139))</f>
        <v>0.0</v>
      </c>
      <c r="AG139" s="62" t="str">
        <f>IF(A139="","",IF(AF139&gt;0,"Facture",IF(AND(F139&lt;&gt;"",AA139="Facture",ISNUMBER(MATCH(F139,dv_num,0))),"Devis","")))</f>
        <v/>
      </c>
      <c r="AH139" s="62" t="str">
        <f>IF(AND(A139&lt;&gt;"",F139&lt;&gt;"",AA139&lt;&gt;"Avoir"),F139,"")</f>
        <v/>
      </c>
      <c r="AI139" s="62" t="str">
        <f>IF(AG139="Devis",F139,"")</f>
        <v/>
      </c>
      <c r="AJ139" s="62">
        <f>IF(AG139="Facture",SUMIF(fl_doc,A139,fl_ht),IF(AG139="Devis",SUMIF(dl_doc,F139,dl_ht),0))</f>
        <v>0.0</v>
      </c>
      <c r="AK139" s="62">
        <f>IF(OR(AG139="",INDEX(p_rates,1)=""),0,IF(AG139="Facture",SUMIFS(fl_ht,fl_doc,A139,fl_rate,INDEX(p_rates,1)),SUMIFS(dl_ht,dl_doc,F139,dl_rate,INDEX(p_rates,1))))</f>
        <v>0.0</v>
      </c>
      <c r="AL139" s="62">
        <f>IF(OR(AG139="",INDEX(p_rates,2)=""),0,IF(AG139="Facture",SUMIFS(fl_ht,fl_doc,A139,fl_rate,INDEX(p_rates,2)),SUMIFS(dl_ht,dl_doc,F139,dl_rate,INDEX(p_rates,2))))</f>
        <v>0.0</v>
      </c>
      <c r="AM139" s="62">
        <f>IF(OR(AG139="",INDEX(p_rates,3)=""),0,IF(AG139="Facture",SUMIFS(fl_ht,fl_doc,A139,fl_rate,INDEX(p_rates,3)),SUMIFS(dl_ht,dl_doc,F139,dl_rate,INDEX(p_rates,3))))</f>
        <v>0.0</v>
      </c>
      <c r="AN139" s="62">
        <f>IF(OR(AG139="",INDEX(p_rates,4)=""),0,IF(AG139="Facture",SUMIFS(fl_ht,fl_doc,A139,fl_rate,INDEX(p_rates,4)),SUMIFS(dl_ht,dl_doc,F139,dl_rate,INDEX(p_rates,4))))</f>
        <v>0.0</v>
      </c>
      <c r="AO139" s="62">
        <f>IF(OR(AG139="",INDEX(p_rates,5)=""),0,IF(AG139="Facture",SUMIFS(fl_ht,fl_doc,A139,fl_rate,INDEX(p_rates,5)),SUMIFS(dl_ht,dl_doc,F139,dl_rate,INDEX(p_rates,5))))</f>
        <v>0.0</v>
      </c>
      <c r="AP139" s="62">
        <f>IF(OR(AG139="",INDEX(p_rates,6)=""),0,IF(AG139="Facture",SUMIFS(fl_ht,fl_doc,A139,fl_rate,INDEX(p_rates,6)),SUMIFS(dl_ht,dl_doc,F139,dl_rate,INDEX(p_rates,6))))</f>
        <v>0.0</v>
      </c>
      <c r="AQ139" s="62">
        <f>ROUND(AK139*N(INDEX(p_rates,1)),2)+ROUND(AL139*N(INDEX(p_rates,2)),2)+ROUND(AM139*N(INDEX(p_rates,3)),2)+ROUND(AN139*N(INDEX(p_rates,4)),2)+ROUND(AO139*N(INDEX(p_rates,5)),2)+ROUND(AP139*N(INDEX(p_rates,6)),2)</f>
        <v>0.0</v>
      </c>
      <c r="AR139" s="62" t="str">
        <f>IF(OR(L139="",AA139&lt;&gt;"Facture"),"",IFERROR(IF(INDEX(fa_type,MATCH(L139,fa_num,0))="Facture d'acompte",MATCH(L139,fa_num,0),""),""))</f>
        <v/>
      </c>
      <c r="AS139" s="62" t="str">
        <f>IF(W139="","",IF(W139&lt;=0,"",IF(p_asof-P139&lt;=0,"Non échu",IF(p_asof-P139&lt;=30,"1-30 j",IF(p_asof-P139&lt;=60,"31-60 j",IF(p_asof-P139&lt;=90,"61-90 j","Plus de 90 j"))))))</f>
        <v/>
      </c>
      <c r="AT139" s="62" t="str">
        <f>IF(AS139="","",p_asof-P139)</f>
        <v/>
      </c>
      <c r="AU139" s="62" t="str">
        <f>IF(AT139="","",COUNTIF($AT$6:$AT$805,"&gt;"&amp;AT139)+COUNTIF($AT$6:AT139,AT139))</f>
        <v/>
      </c>
    </row>
    <row r="140">
      <c r="A140" s="59" t="str">
        <f>IF(AE140="","",AB140&amp;"-"&amp;AD140&amp;"-"&amp;RIGHT("000"&amp;AE140,4))</f>
        <v/>
      </c>
      <c r="B140" s="60" t="n"/>
      <c r="C140" s="61" t="n"/>
      <c r="D140" s="60" t="n"/>
      <c r="E140" s="62" t="str">
        <f>IF(D140="","",IFERROR(INDEX(cli_name,MATCH(D140,cli_code,0))&amp;"","Client inconnu"))</f>
        <v/>
      </c>
      <c r="F140" s="60" t="n"/>
      <c r="G140" s="63" t="n"/>
      <c r="H140" s="61" t="n"/>
      <c r="I140" s="63" t="n"/>
      <c r="J140" s="60" t="n"/>
      <c r="K140" s="61" t="n"/>
      <c r="L140" s="60" t="n"/>
      <c r="M140" s="60" t="n"/>
      <c r="N140" s="60" t="n"/>
      <c r="O140" s="61" t="n"/>
      <c r="P140" s="64" t="str">
        <f>IF(A140="","",IF(AA140="Avoir",AC140,IF(ISNUMBER(K140),K140,AC140+IF(D140="",N(p_delay),IFERROR(IF(ISNUMBER(INDEX(cli_delay,MATCH(D140,cli_code,0))),INDEX(cli_delay,MATCH(D140,cli_code,0)),N(p_delay)),N(p_delay))))))</f>
        <v/>
      </c>
      <c r="Q140" s="65" t="str">
        <f>IF(A140="","",IF(AA140="Avoir",-1,1)*ROUND(AJ140-IF(AR140="",0,INDEX(fa_htb,AR140)),2))</f>
        <v/>
      </c>
      <c r="R140" s="65" t="str">
        <f>IF(A140="","",IF(AA140="Avoir",-1,1)*ROUND(AQ140-IF(AR140="",0,INDEX(fa_tvab,AR140)),2))</f>
        <v/>
      </c>
      <c r="S140" s="65" t="str">
        <f>IF(A140="","",Q140+R140)</f>
        <v/>
      </c>
      <c r="T140" s="65" t="str">
        <f>IF(AR140="","",INDEX(fa_htb,AR140)+INDEX(fa_tvab,AR140))</f>
        <v/>
      </c>
      <c r="U140" s="65" t="str">
        <f>IF(A140="","",SUMIF(pa_inv,A140,pa_amt))</f>
        <v/>
      </c>
      <c r="V140" s="65" t="str">
        <f>IF(OR(A140="",AA140="Avoir"),"",-SUMIFS(fa_ttc,fa_avof,A140,fa_type,"Avoir"))</f>
        <v/>
      </c>
      <c r="W140" s="65" t="str">
        <f>IF(OR(A140="",AA140="Avoir"),"",ROUND(S140-U140-V140,2))</f>
        <v/>
      </c>
      <c r="X140" s="66" t="str">
        <f>IF(W140="","",IF(AND(W140&gt;0,p_asof&gt;P140),p_asof-P140,""))</f>
        <v/>
      </c>
      <c r="Y140" s="59" t="str">
        <f>IF(A140="","",IF(AA140="Avoir","Avoir",IF(W140&lt;0,"Trop-perçu",IF(W140=0,"Soldée",IF(p_asof&gt;P140,"En retard",IF(U140+V140&gt;0,"Partielle","À échoir"))))))</f>
        <v/>
      </c>
      <c r="Z140" s="59" t="str">
        <f>IF(NOT(COUNTA(B140:D140,F140:O140)&gt;0),"",IF(C140="","Date manquante",IF(NOT(ISNUMBER(C140)),"Date invalide",IF(D140="","Client manquant",IF(ISNA(MATCH(D140,cli_code,0)),"Client inconnu",IF(AC140&lt;SUMPRODUCT(MAX(($AB$6:AB139=AB140)*$AC$6:AC139)),"Date antérieure à la facture précédente",IF(AND(F140&lt;&gt;"",ISNA(MATCH(F140,dv_num,0))),"Devis inconnu",IF(AND(F140&lt;&gt;"",IFERROR(INDEX(dv_client,MATCH(F140,dv_num,0)),D140)&lt;&gt;D140),"Client différent de celui du devis",IF(AG140="","Aucune ligne : saisissez des lignes ou un devis",IF(AND(AI140&lt;&gt;"",COUNTIF($AI$6:AI140,AI140)&gt;1),"Devis déjà repris par une autre facture",IF(AND(AA140="Avoir",M140=""),"Avoir : indiquez la facture d'origine",IF(AND(AA140="Avoir",ISNA(MATCH(M140,fa_num,0))),"Facture d'origine inconnue",IF(AND(AA140&lt;&gt;"Avoir",M140&lt;&gt;""),"« Avoir sur facture » : réservé aux avoirs",IF(AND(L140&lt;&gt;"",AA140&lt;&gt;"Facture"),"Acompte à déduire : réservé aux factures",IF(AND(L140&lt;&gt;"",ISNA(MATCH(L140,fa_num,0))),"Facture d'acompte inconnue",IF(AND(L140&lt;&gt;"",IFERROR(INDEX(fa_type,MATCH(L140,fa_num,0)),"")&lt;&gt;"Facture d'acompte"),"Le n° à déduire n'est pas une facture d'acompte",IF(AND(L140&lt;&gt;"",COUNTIF($L$6:L140,L140)&gt;1),"Acompte déjà déduit sur une autre facture",IF(AND(L140&lt;&gt;"",IFERROR(INDEX(fa_client,MATCH(L140,fa_num,0)),D140)&lt;&gt;D140),"Acompte d'un autre client",IF(AND(AR140&lt;&gt;"",N(Q140)&lt;0),"Acompte supérieur au total de la facture",IF(IF(AG140="Facture",COUNTIFS(fl_doc,A140,fl_check,"&lt;&gt;OK"),IF(AG140="Devis",COUNTIFS(dl_doc,F140,dl_check,"&lt;&gt;OK"),0))&gt;0,"Ligne(s) à corriger",IF(AND(W140&lt;&gt;"",N(W140)&lt;0),"Trop-perçu : vérifiez paiements et avoirs","OK")))))))))))))))))))))</f>
        <v/>
      </c>
      <c r="AA140" s="62" t="str">
        <f>IF(COUNTA(B140:D140,F140:O140)&gt;0,IF(B140="","Facture",B140),"")</f>
        <v/>
      </c>
      <c r="AB140" s="62" t="str">
        <f>IF(AA140="","",IF(AA140="Avoir",p_pav,IF(AA140="Facture d'acompte",p_pac,p_pfa)))</f>
        <v/>
      </c>
      <c r="AC140" s="62">
        <f>IF(ISNUMBER(C140),C140,0)</f>
        <v>0.0</v>
      </c>
      <c r="AD140" s="62" t="str">
        <f>IF(OR(AA140="",AC140=0),"",YEAR(AC140))</f>
        <v/>
      </c>
      <c r="AE140" s="62" t="str">
        <f>IF(AD140="","",COUNTIFS($AB$6:AB140,AB140,$AD$6:AD140,AD140))</f>
        <v/>
      </c>
      <c r="AF140" s="62">
        <f>IF(A140="",0,COUNTIF(fl_doc,A140))</f>
        <v>0.0</v>
      </c>
      <c r="AG140" s="62" t="str">
        <f>IF(A140="","",IF(AF140&gt;0,"Facture",IF(AND(F140&lt;&gt;"",AA140="Facture",ISNUMBER(MATCH(F140,dv_num,0))),"Devis","")))</f>
        <v/>
      </c>
      <c r="AH140" s="62" t="str">
        <f>IF(AND(A140&lt;&gt;"",F140&lt;&gt;"",AA140&lt;&gt;"Avoir"),F140,"")</f>
        <v/>
      </c>
      <c r="AI140" s="62" t="str">
        <f>IF(AG140="Devis",F140,"")</f>
        <v/>
      </c>
      <c r="AJ140" s="62">
        <f>IF(AG140="Facture",SUMIF(fl_doc,A140,fl_ht),IF(AG140="Devis",SUMIF(dl_doc,F140,dl_ht),0))</f>
        <v>0.0</v>
      </c>
      <c r="AK140" s="62">
        <f>IF(OR(AG140="",INDEX(p_rates,1)=""),0,IF(AG140="Facture",SUMIFS(fl_ht,fl_doc,A140,fl_rate,INDEX(p_rates,1)),SUMIFS(dl_ht,dl_doc,F140,dl_rate,INDEX(p_rates,1))))</f>
        <v>0.0</v>
      </c>
      <c r="AL140" s="62">
        <f>IF(OR(AG140="",INDEX(p_rates,2)=""),0,IF(AG140="Facture",SUMIFS(fl_ht,fl_doc,A140,fl_rate,INDEX(p_rates,2)),SUMIFS(dl_ht,dl_doc,F140,dl_rate,INDEX(p_rates,2))))</f>
        <v>0.0</v>
      </c>
      <c r="AM140" s="62">
        <f>IF(OR(AG140="",INDEX(p_rates,3)=""),0,IF(AG140="Facture",SUMIFS(fl_ht,fl_doc,A140,fl_rate,INDEX(p_rates,3)),SUMIFS(dl_ht,dl_doc,F140,dl_rate,INDEX(p_rates,3))))</f>
        <v>0.0</v>
      </c>
      <c r="AN140" s="62">
        <f>IF(OR(AG140="",INDEX(p_rates,4)=""),0,IF(AG140="Facture",SUMIFS(fl_ht,fl_doc,A140,fl_rate,INDEX(p_rates,4)),SUMIFS(dl_ht,dl_doc,F140,dl_rate,INDEX(p_rates,4))))</f>
        <v>0.0</v>
      </c>
      <c r="AO140" s="62">
        <f>IF(OR(AG140="",INDEX(p_rates,5)=""),0,IF(AG140="Facture",SUMIFS(fl_ht,fl_doc,A140,fl_rate,INDEX(p_rates,5)),SUMIFS(dl_ht,dl_doc,F140,dl_rate,INDEX(p_rates,5))))</f>
        <v>0.0</v>
      </c>
      <c r="AP140" s="62">
        <f>IF(OR(AG140="",INDEX(p_rates,6)=""),0,IF(AG140="Facture",SUMIFS(fl_ht,fl_doc,A140,fl_rate,INDEX(p_rates,6)),SUMIFS(dl_ht,dl_doc,F140,dl_rate,INDEX(p_rates,6))))</f>
        <v>0.0</v>
      </c>
      <c r="AQ140" s="62">
        <f>ROUND(AK140*N(INDEX(p_rates,1)),2)+ROUND(AL140*N(INDEX(p_rates,2)),2)+ROUND(AM140*N(INDEX(p_rates,3)),2)+ROUND(AN140*N(INDEX(p_rates,4)),2)+ROUND(AO140*N(INDEX(p_rates,5)),2)+ROUND(AP140*N(INDEX(p_rates,6)),2)</f>
        <v>0.0</v>
      </c>
      <c r="AR140" s="62" t="str">
        <f>IF(OR(L140="",AA140&lt;&gt;"Facture"),"",IFERROR(IF(INDEX(fa_type,MATCH(L140,fa_num,0))="Facture d'acompte",MATCH(L140,fa_num,0),""),""))</f>
        <v/>
      </c>
      <c r="AS140" s="62" t="str">
        <f>IF(W140="","",IF(W140&lt;=0,"",IF(p_asof-P140&lt;=0,"Non échu",IF(p_asof-P140&lt;=30,"1-30 j",IF(p_asof-P140&lt;=60,"31-60 j",IF(p_asof-P140&lt;=90,"61-90 j","Plus de 90 j"))))))</f>
        <v/>
      </c>
      <c r="AT140" s="62" t="str">
        <f>IF(AS140="","",p_asof-P140)</f>
        <v/>
      </c>
      <c r="AU140" s="62" t="str">
        <f>IF(AT140="","",COUNTIF($AT$6:$AT$805,"&gt;"&amp;AT140)+COUNTIF($AT$6:AT140,AT140))</f>
        <v/>
      </c>
    </row>
    <row r="141">
      <c r="A141" s="59" t="str">
        <f>IF(AE141="","",AB141&amp;"-"&amp;AD141&amp;"-"&amp;RIGHT("000"&amp;AE141,4))</f>
        <v/>
      </c>
      <c r="B141" s="60" t="n"/>
      <c r="C141" s="61" t="n"/>
      <c r="D141" s="60" t="n"/>
      <c r="E141" s="62" t="str">
        <f>IF(D141="","",IFERROR(INDEX(cli_name,MATCH(D141,cli_code,0))&amp;"","Client inconnu"))</f>
        <v/>
      </c>
      <c r="F141" s="60" t="n"/>
      <c r="G141" s="63" t="n"/>
      <c r="H141" s="61" t="n"/>
      <c r="I141" s="63" t="n"/>
      <c r="J141" s="60" t="n"/>
      <c r="K141" s="61" t="n"/>
      <c r="L141" s="60" t="n"/>
      <c r="M141" s="60" t="n"/>
      <c r="N141" s="60" t="n"/>
      <c r="O141" s="61" t="n"/>
      <c r="P141" s="64" t="str">
        <f>IF(A141="","",IF(AA141="Avoir",AC141,IF(ISNUMBER(K141),K141,AC141+IF(D141="",N(p_delay),IFERROR(IF(ISNUMBER(INDEX(cli_delay,MATCH(D141,cli_code,0))),INDEX(cli_delay,MATCH(D141,cli_code,0)),N(p_delay)),N(p_delay))))))</f>
        <v/>
      </c>
      <c r="Q141" s="65" t="str">
        <f>IF(A141="","",IF(AA141="Avoir",-1,1)*ROUND(AJ141-IF(AR141="",0,INDEX(fa_htb,AR141)),2))</f>
        <v/>
      </c>
      <c r="R141" s="65" t="str">
        <f>IF(A141="","",IF(AA141="Avoir",-1,1)*ROUND(AQ141-IF(AR141="",0,INDEX(fa_tvab,AR141)),2))</f>
        <v/>
      </c>
      <c r="S141" s="65" t="str">
        <f>IF(A141="","",Q141+R141)</f>
        <v/>
      </c>
      <c r="T141" s="65" t="str">
        <f>IF(AR141="","",INDEX(fa_htb,AR141)+INDEX(fa_tvab,AR141))</f>
        <v/>
      </c>
      <c r="U141" s="65" t="str">
        <f>IF(A141="","",SUMIF(pa_inv,A141,pa_amt))</f>
        <v/>
      </c>
      <c r="V141" s="65" t="str">
        <f>IF(OR(A141="",AA141="Avoir"),"",-SUMIFS(fa_ttc,fa_avof,A141,fa_type,"Avoir"))</f>
        <v/>
      </c>
      <c r="W141" s="65" t="str">
        <f>IF(OR(A141="",AA141="Avoir"),"",ROUND(S141-U141-V141,2))</f>
        <v/>
      </c>
      <c r="X141" s="66" t="str">
        <f>IF(W141="","",IF(AND(W141&gt;0,p_asof&gt;P141),p_asof-P141,""))</f>
        <v/>
      </c>
      <c r="Y141" s="59" t="str">
        <f>IF(A141="","",IF(AA141="Avoir","Avoir",IF(W141&lt;0,"Trop-perçu",IF(W141=0,"Soldée",IF(p_asof&gt;P141,"En retard",IF(U141+V141&gt;0,"Partielle","À échoir"))))))</f>
        <v/>
      </c>
      <c r="Z141" s="59" t="str">
        <f>IF(NOT(COUNTA(B141:D141,F141:O141)&gt;0),"",IF(C141="","Date manquante",IF(NOT(ISNUMBER(C141)),"Date invalide",IF(D141="","Client manquant",IF(ISNA(MATCH(D141,cli_code,0)),"Client inconnu",IF(AC141&lt;SUMPRODUCT(MAX(($AB$6:AB140=AB141)*$AC$6:AC140)),"Date antérieure à la facture précédente",IF(AND(F141&lt;&gt;"",ISNA(MATCH(F141,dv_num,0))),"Devis inconnu",IF(AND(F141&lt;&gt;"",IFERROR(INDEX(dv_client,MATCH(F141,dv_num,0)),D141)&lt;&gt;D141),"Client différent de celui du devis",IF(AG141="","Aucune ligne : saisissez des lignes ou un devis",IF(AND(AI141&lt;&gt;"",COUNTIF($AI$6:AI141,AI141)&gt;1),"Devis déjà repris par une autre facture",IF(AND(AA141="Avoir",M141=""),"Avoir : indiquez la facture d'origine",IF(AND(AA141="Avoir",ISNA(MATCH(M141,fa_num,0))),"Facture d'origine inconnue",IF(AND(AA141&lt;&gt;"Avoir",M141&lt;&gt;""),"« Avoir sur facture » : réservé aux avoirs",IF(AND(L141&lt;&gt;"",AA141&lt;&gt;"Facture"),"Acompte à déduire : réservé aux factures",IF(AND(L141&lt;&gt;"",ISNA(MATCH(L141,fa_num,0))),"Facture d'acompte inconnue",IF(AND(L141&lt;&gt;"",IFERROR(INDEX(fa_type,MATCH(L141,fa_num,0)),"")&lt;&gt;"Facture d'acompte"),"Le n° à déduire n'est pas une facture d'acompte",IF(AND(L141&lt;&gt;"",COUNTIF($L$6:L141,L141)&gt;1),"Acompte déjà déduit sur une autre facture",IF(AND(L141&lt;&gt;"",IFERROR(INDEX(fa_client,MATCH(L141,fa_num,0)),D141)&lt;&gt;D141),"Acompte d'un autre client",IF(AND(AR141&lt;&gt;"",N(Q141)&lt;0),"Acompte supérieur au total de la facture",IF(IF(AG141="Facture",COUNTIFS(fl_doc,A141,fl_check,"&lt;&gt;OK"),IF(AG141="Devis",COUNTIFS(dl_doc,F141,dl_check,"&lt;&gt;OK"),0))&gt;0,"Ligne(s) à corriger",IF(AND(W141&lt;&gt;"",N(W141)&lt;0),"Trop-perçu : vérifiez paiements et avoirs","OK")))))))))))))))))))))</f>
        <v/>
      </c>
      <c r="AA141" s="62" t="str">
        <f>IF(COUNTA(B141:D141,F141:O141)&gt;0,IF(B141="","Facture",B141),"")</f>
        <v/>
      </c>
      <c r="AB141" s="62" t="str">
        <f>IF(AA141="","",IF(AA141="Avoir",p_pav,IF(AA141="Facture d'acompte",p_pac,p_pfa)))</f>
        <v/>
      </c>
      <c r="AC141" s="62">
        <f>IF(ISNUMBER(C141),C141,0)</f>
        <v>0.0</v>
      </c>
      <c r="AD141" s="62" t="str">
        <f>IF(OR(AA141="",AC141=0),"",YEAR(AC141))</f>
        <v/>
      </c>
      <c r="AE141" s="62" t="str">
        <f>IF(AD141="","",COUNTIFS($AB$6:AB141,AB141,$AD$6:AD141,AD141))</f>
        <v/>
      </c>
      <c r="AF141" s="62">
        <f>IF(A141="",0,COUNTIF(fl_doc,A141))</f>
        <v>0.0</v>
      </c>
      <c r="AG141" s="62" t="str">
        <f>IF(A141="","",IF(AF141&gt;0,"Facture",IF(AND(F141&lt;&gt;"",AA141="Facture",ISNUMBER(MATCH(F141,dv_num,0))),"Devis","")))</f>
        <v/>
      </c>
      <c r="AH141" s="62" t="str">
        <f>IF(AND(A141&lt;&gt;"",F141&lt;&gt;"",AA141&lt;&gt;"Avoir"),F141,"")</f>
        <v/>
      </c>
      <c r="AI141" s="62" t="str">
        <f>IF(AG141="Devis",F141,"")</f>
        <v/>
      </c>
      <c r="AJ141" s="62">
        <f>IF(AG141="Facture",SUMIF(fl_doc,A141,fl_ht),IF(AG141="Devis",SUMIF(dl_doc,F141,dl_ht),0))</f>
        <v>0.0</v>
      </c>
      <c r="AK141" s="62">
        <f>IF(OR(AG141="",INDEX(p_rates,1)=""),0,IF(AG141="Facture",SUMIFS(fl_ht,fl_doc,A141,fl_rate,INDEX(p_rates,1)),SUMIFS(dl_ht,dl_doc,F141,dl_rate,INDEX(p_rates,1))))</f>
        <v>0.0</v>
      </c>
      <c r="AL141" s="62">
        <f>IF(OR(AG141="",INDEX(p_rates,2)=""),0,IF(AG141="Facture",SUMIFS(fl_ht,fl_doc,A141,fl_rate,INDEX(p_rates,2)),SUMIFS(dl_ht,dl_doc,F141,dl_rate,INDEX(p_rates,2))))</f>
        <v>0.0</v>
      </c>
      <c r="AM141" s="62">
        <f>IF(OR(AG141="",INDEX(p_rates,3)=""),0,IF(AG141="Facture",SUMIFS(fl_ht,fl_doc,A141,fl_rate,INDEX(p_rates,3)),SUMIFS(dl_ht,dl_doc,F141,dl_rate,INDEX(p_rates,3))))</f>
        <v>0.0</v>
      </c>
      <c r="AN141" s="62">
        <f>IF(OR(AG141="",INDEX(p_rates,4)=""),0,IF(AG141="Facture",SUMIFS(fl_ht,fl_doc,A141,fl_rate,INDEX(p_rates,4)),SUMIFS(dl_ht,dl_doc,F141,dl_rate,INDEX(p_rates,4))))</f>
        <v>0.0</v>
      </c>
      <c r="AO141" s="62">
        <f>IF(OR(AG141="",INDEX(p_rates,5)=""),0,IF(AG141="Facture",SUMIFS(fl_ht,fl_doc,A141,fl_rate,INDEX(p_rates,5)),SUMIFS(dl_ht,dl_doc,F141,dl_rate,INDEX(p_rates,5))))</f>
        <v>0.0</v>
      </c>
      <c r="AP141" s="62">
        <f>IF(OR(AG141="",INDEX(p_rates,6)=""),0,IF(AG141="Facture",SUMIFS(fl_ht,fl_doc,A141,fl_rate,INDEX(p_rates,6)),SUMIFS(dl_ht,dl_doc,F141,dl_rate,INDEX(p_rates,6))))</f>
        <v>0.0</v>
      </c>
      <c r="AQ141" s="62">
        <f>ROUND(AK141*N(INDEX(p_rates,1)),2)+ROUND(AL141*N(INDEX(p_rates,2)),2)+ROUND(AM141*N(INDEX(p_rates,3)),2)+ROUND(AN141*N(INDEX(p_rates,4)),2)+ROUND(AO141*N(INDEX(p_rates,5)),2)+ROUND(AP141*N(INDEX(p_rates,6)),2)</f>
        <v>0.0</v>
      </c>
      <c r="AR141" s="62" t="str">
        <f>IF(OR(L141="",AA141&lt;&gt;"Facture"),"",IFERROR(IF(INDEX(fa_type,MATCH(L141,fa_num,0))="Facture d'acompte",MATCH(L141,fa_num,0),""),""))</f>
        <v/>
      </c>
      <c r="AS141" s="62" t="str">
        <f>IF(W141="","",IF(W141&lt;=0,"",IF(p_asof-P141&lt;=0,"Non échu",IF(p_asof-P141&lt;=30,"1-30 j",IF(p_asof-P141&lt;=60,"31-60 j",IF(p_asof-P141&lt;=90,"61-90 j","Plus de 90 j"))))))</f>
        <v/>
      </c>
      <c r="AT141" s="62" t="str">
        <f>IF(AS141="","",p_asof-P141)</f>
        <v/>
      </c>
      <c r="AU141" s="62" t="str">
        <f>IF(AT141="","",COUNTIF($AT$6:$AT$805,"&gt;"&amp;AT141)+COUNTIF($AT$6:AT141,AT141))</f>
        <v/>
      </c>
    </row>
    <row r="142">
      <c r="A142" s="59" t="str">
        <f>IF(AE142="","",AB142&amp;"-"&amp;AD142&amp;"-"&amp;RIGHT("000"&amp;AE142,4))</f>
        <v/>
      </c>
      <c r="B142" s="60" t="n"/>
      <c r="C142" s="61" t="n"/>
      <c r="D142" s="60" t="n"/>
      <c r="E142" s="62" t="str">
        <f>IF(D142="","",IFERROR(INDEX(cli_name,MATCH(D142,cli_code,0))&amp;"","Client inconnu"))</f>
        <v/>
      </c>
      <c r="F142" s="60" t="n"/>
      <c r="G142" s="63" t="n"/>
      <c r="H142" s="61" t="n"/>
      <c r="I142" s="63" t="n"/>
      <c r="J142" s="60" t="n"/>
      <c r="K142" s="61" t="n"/>
      <c r="L142" s="60" t="n"/>
      <c r="M142" s="60" t="n"/>
      <c r="N142" s="60" t="n"/>
      <c r="O142" s="61" t="n"/>
      <c r="P142" s="64" t="str">
        <f>IF(A142="","",IF(AA142="Avoir",AC142,IF(ISNUMBER(K142),K142,AC142+IF(D142="",N(p_delay),IFERROR(IF(ISNUMBER(INDEX(cli_delay,MATCH(D142,cli_code,0))),INDEX(cli_delay,MATCH(D142,cli_code,0)),N(p_delay)),N(p_delay))))))</f>
        <v/>
      </c>
      <c r="Q142" s="65" t="str">
        <f>IF(A142="","",IF(AA142="Avoir",-1,1)*ROUND(AJ142-IF(AR142="",0,INDEX(fa_htb,AR142)),2))</f>
        <v/>
      </c>
      <c r="R142" s="65" t="str">
        <f>IF(A142="","",IF(AA142="Avoir",-1,1)*ROUND(AQ142-IF(AR142="",0,INDEX(fa_tvab,AR142)),2))</f>
        <v/>
      </c>
      <c r="S142" s="65" t="str">
        <f>IF(A142="","",Q142+R142)</f>
        <v/>
      </c>
      <c r="T142" s="65" t="str">
        <f>IF(AR142="","",INDEX(fa_htb,AR142)+INDEX(fa_tvab,AR142))</f>
        <v/>
      </c>
      <c r="U142" s="65" t="str">
        <f>IF(A142="","",SUMIF(pa_inv,A142,pa_amt))</f>
        <v/>
      </c>
      <c r="V142" s="65" t="str">
        <f>IF(OR(A142="",AA142="Avoir"),"",-SUMIFS(fa_ttc,fa_avof,A142,fa_type,"Avoir"))</f>
        <v/>
      </c>
      <c r="W142" s="65" t="str">
        <f>IF(OR(A142="",AA142="Avoir"),"",ROUND(S142-U142-V142,2))</f>
        <v/>
      </c>
      <c r="X142" s="66" t="str">
        <f>IF(W142="","",IF(AND(W142&gt;0,p_asof&gt;P142),p_asof-P142,""))</f>
        <v/>
      </c>
      <c r="Y142" s="59" t="str">
        <f>IF(A142="","",IF(AA142="Avoir","Avoir",IF(W142&lt;0,"Trop-perçu",IF(W142=0,"Soldée",IF(p_asof&gt;P142,"En retard",IF(U142+V142&gt;0,"Partielle","À échoir"))))))</f>
        <v/>
      </c>
      <c r="Z142" s="59" t="str">
        <f>IF(NOT(COUNTA(B142:D142,F142:O142)&gt;0),"",IF(C142="","Date manquante",IF(NOT(ISNUMBER(C142)),"Date invalide",IF(D142="","Client manquant",IF(ISNA(MATCH(D142,cli_code,0)),"Client inconnu",IF(AC142&lt;SUMPRODUCT(MAX(($AB$6:AB141=AB142)*$AC$6:AC141)),"Date antérieure à la facture précédente",IF(AND(F142&lt;&gt;"",ISNA(MATCH(F142,dv_num,0))),"Devis inconnu",IF(AND(F142&lt;&gt;"",IFERROR(INDEX(dv_client,MATCH(F142,dv_num,0)),D142)&lt;&gt;D142),"Client différent de celui du devis",IF(AG142="","Aucune ligne : saisissez des lignes ou un devis",IF(AND(AI142&lt;&gt;"",COUNTIF($AI$6:AI142,AI142)&gt;1),"Devis déjà repris par une autre facture",IF(AND(AA142="Avoir",M142=""),"Avoir : indiquez la facture d'origine",IF(AND(AA142="Avoir",ISNA(MATCH(M142,fa_num,0))),"Facture d'origine inconnue",IF(AND(AA142&lt;&gt;"Avoir",M142&lt;&gt;""),"« Avoir sur facture » : réservé aux avoirs",IF(AND(L142&lt;&gt;"",AA142&lt;&gt;"Facture"),"Acompte à déduire : réservé aux factures",IF(AND(L142&lt;&gt;"",ISNA(MATCH(L142,fa_num,0))),"Facture d'acompte inconnue",IF(AND(L142&lt;&gt;"",IFERROR(INDEX(fa_type,MATCH(L142,fa_num,0)),"")&lt;&gt;"Facture d'acompte"),"Le n° à déduire n'est pas une facture d'acompte",IF(AND(L142&lt;&gt;"",COUNTIF($L$6:L142,L142)&gt;1),"Acompte déjà déduit sur une autre facture",IF(AND(L142&lt;&gt;"",IFERROR(INDEX(fa_client,MATCH(L142,fa_num,0)),D142)&lt;&gt;D142),"Acompte d'un autre client",IF(AND(AR142&lt;&gt;"",N(Q142)&lt;0),"Acompte supérieur au total de la facture",IF(IF(AG142="Facture",COUNTIFS(fl_doc,A142,fl_check,"&lt;&gt;OK"),IF(AG142="Devis",COUNTIFS(dl_doc,F142,dl_check,"&lt;&gt;OK"),0))&gt;0,"Ligne(s) à corriger",IF(AND(W142&lt;&gt;"",N(W142)&lt;0),"Trop-perçu : vérifiez paiements et avoirs","OK")))))))))))))))))))))</f>
        <v/>
      </c>
      <c r="AA142" s="62" t="str">
        <f>IF(COUNTA(B142:D142,F142:O142)&gt;0,IF(B142="","Facture",B142),"")</f>
        <v/>
      </c>
      <c r="AB142" s="62" t="str">
        <f>IF(AA142="","",IF(AA142="Avoir",p_pav,IF(AA142="Facture d'acompte",p_pac,p_pfa)))</f>
        <v/>
      </c>
      <c r="AC142" s="62">
        <f>IF(ISNUMBER(C142),C142,0)</f>
        <v>0.0</v>
      </c>
      <c r="AD142" s="62" t="str">
        <f>IF(OR(AA142="",AC142=0),"",YEAR(AC142))</f>
        <v/>
      </c>
      <c r="AE142" s="62" t="str">
        <f>IF(AD142="","",COUNTIFS($AB$6:AB142,AB142,$AD$6:AD142,AD142))</f>
        <v/>
      </c>
      <c r="AF142" s="62">
        <f>IF(A142="",0,COUNTIF(fl_doc,A142))</f>
        <v>0.0</v>
      </c>
      <c r="AG142" s="62" t="str">
        <f>IF(A142="","",IF(AF142&gt;0,"Facture",IF(AND(F142&lt;&gt;"",AA142="Facture",ISNUMBER(MATCH(F142,dv_num,0))),"Devis","")))</f>
        <v/>
      </c>
      <c r="AH142" s="62" t="str">
        <f>IF(AND(A142&lt;&gt;"",F142&lt;&gt;"",AA142&lt;&gt;"Avoir"),F142,"")</f>
        <v/>
      </c>
      <c r="AI142" s="62" t="str">
        <f>IF(AG142="Devis",F142,"")</f>
        <v/>
      </c>
      <c r="AJ142" s="62">
        <f>IF(AG142="Facture",SUMIF(fl_doc,A142,fl_ht),IF(AG142="Devis",SUMIF(dl_doc,F142,dl_ht),0))</f>
        <v>0.0</v>
      </c>
      <c r="AK142" s="62">
        <f>IF(OR(AG142="",INDEX(p_rates,1)=""),0,IF(AG142="Facture",SUMIFS(fl_ht,fl_doc,A142,fl_rate,INDEX(p_rates,1)),SUMIFS(dl_ht,dl_doc,F142,dl_rate,INDEX(p_rates,1))))</f>
        <v>0.0</v>
      </c>
      <c r="AL142" s="62">
        <f>IF(OR(AG142="",INDEX(p_rates,2)=""),0,IF(AG142="Facture",SUMIFS(fl_ht,fl_doc,A142,fl_rate,INDEX(p_rates,2)),SUMIFS(dl_ht,dl_doc,F142,dl_rate,INDEX(p_rates,2))))</f>
        <v>0.0</v>
      </c>
      <c r="AM142" s="62">
        <f>IF(OR(AG142="",INDEX(p_rates,3)=""),0,IF(AG142="Facture",SUMIFS(fl_ht,fl_doc,A142,fl_rate,INDEX(p_rates,3)),SUMIFS(dl_ht,dl_doc,F142,dl_rate,INDEX(p_rates,3))))</f>
        <v>0.0</v>
      </c>
      <c r="AN142" s="62">
        <f>IF(OR(AG142="",INDEX(p_rates,4)=""),0,IF(AG142="Facture",SUMIFS(fl_ht,fl_doc,A142,fl_rate,INDEX(p_rates,4)),SUMIFS(dl_ht,dl_doc,F142,dl_rate,INDEX(p_rates,4))))</f>
        <v>0.0</v>
      </c>
      <c r="AO142" s="62">
        <f>IF(OR(AG142="",INDEX(p_rates,5)=""),0,IF(AG142="Facture",SUMIFS(fl_ht,fl_doc,A142,fl_rate,INDEX(p_rates,5)),SUMIFS(dl_ht,dl_doc,F142,dl_rate,INDEX(p_rates,5))))</f>
        <v>0.0</v>
      </c>
      <c r="AP142" s="62">
        <f>IF(OR(AG142="",INDEX(p_rates,6)=""),0,IF(AG142="Facture",SUMIFS(fl_ht,fl_doc,A142,fl_rate,INDEX(p_rates,6)),SUMIFS(dl_ht,dl_doc,F142,dl_rate,INDEX(p_rates,6))))</f>
        <v>0.0</v>
      </c>
      <c r="AQ142" s="62">
        <f>ROUND(AK142*N(INDEX(p_rates,1)),2)+ROUND(AL142*N(INDEX(p_rates,2)),2)+ROUND(AM142*N(INDEX(p_rates,3)),2)+ROUND(AN142*N(INDEX(p_rates,4)),2)+ROUND(AO142*N(INDEX(p_rates,5)),2)+ROUND(AP142*N(INDEX(p_rates,6)),2)</f>
        <v>0.0</v>
      </c>
      <c r="AR142" s="62" t="str">
        <f>IF(OR(L142="",AA142&lt;&gt;"Facture"),"",IFERROR(IF(INDEX(fa_type,MATCH(L142,fa_num,0))="Facture d'acompte",MATCH(L142,fa_num,0),""),""))</f>
        <v/>
      </c>
      <c r="AS142" s="62" t="str">
        <f>IF(W142="","",IF(W142&lt;=0,"",IF(p_asof-P142&lt;=0,"Non échu",IF(p_asof-P142&lt;=30,"1-30 j",IF(p_asof-P142&lt;=60,"31-60 j",IF(p_asof-P142&lt;=90,"61-90 j","Plus de 90 j"))))))</f>
        <v/>
      </c>
      <c r="AT142" s="62" t="str">
        <f>IF(AS142="","",p_asof-P142)</f>
        <v/>
      </c>
      <c r="AU142" s="62" t="str">
        <f>IF(AT142="","",COUNTIF($AT$6:$AT$805,"&gt;"&amp;AT142)+COUNTIF($AT$6:AT142,AT142))</f>
        <v/>
      </c>
    </row>
    <row r="143">
      <c r="A143" s="59" t="str">
        <f>IF(AE143="","",AB143&amp;"-"&amp;AD143&amp;"-"&amp;RIGHT("000"&amp;AE143,4))</f>
        <v/>
      </c>
      <c r="B143" s="60" t="n"/>
      <c r="C143" s="61" t="n"/>
      <c r="D143" s="60" t="n"/>
      <c r="E143" s="62" t="str">
        <f>IF(D143="","",IFERROR(INDEX(cli_name,MATCH(D143,cli_code,0))&amp;"","Client inconnu"))</f>
        <v/>
      </c>
      <c r="F143" s="60" t="n"/>
      <c r="G143" s="63" t="n"/>
      <c r="H143" s="61" t="n"/>
      <c r="I143" s="63" t="n"/>
      <c r="J143" s="60" t="n"/>
      <c r="K143" s="61" t="n"/>
      <c r="L143" s="60" t="n"/>
      <c r="M143" s="60" t="n"/>
      <c r="N143" s="60" t="n"/>
      <c r="O143" s="61" t="n"/>
      <c r="P143" s="64" t="str">
        <f>IF(A143="","",IF(AA143="Avoir",AC143,IF(ISNUMBER(K143),K143,AC143+IF(D143="",N(p_delay),IFERROR(IF(ISNUMBER(INDEX(cli_delay,MATCH(D143,cli_code,0))),INDEX(cli_delay,MATCH(D143,cli_code,0)),N(p_delay)),N(p_delay))))))</f>
        <v/>
      </c>
      <c r="Q143" s="65" t="str">
        <f>IF(A143="","",IF(AA143="Avoir",-1,1)*ROUND(AJ143-IF(AR143="",0,INDEX(fa_htb,AR143)),2))</f>
        <v/>
      </c>
      <c r="R143" s="65" t="str">
        <f>IF(A143="","",IF(AA143="Avoir",-1,1)*ROUND(AQ143-IF(AR143="",0,INDEX(fa_tvab,AR143)),2))</f>
        <v/>
      </c>
      <c r="S143" s="65" t="str">
        <f>IF(A143="","",Q143+R143)</f>
        <v/>
      </c>
      <c r="T143" s="65" t="str">
        <f>IF(AR143="","",INDEX(fa_htb,AR143)+INDEX(fa_tvab,AR143))</f>
        <v/>
      </c>
      <c r="U143" s="65" t="str">
        <f>IF(A143="","",SUMIF(pa_inv,A143,pa_amt))</f>
        <v/>
      </c>
      <c r="V143" s="65" t="str">
        <f>IF(OR(A143="",AA143="Avoir"),"",-SUMIFS(fa_ttc,fa_avof,A143,fa_type,"Avoir"))</f>
        <v/>
      </c>
      <c r="W143" s="65" t="str">
        <f>IF(OR(A143="",AA143="Avoir"),"",ROUND(S143-U143-V143,2))</f>
        <v/>
      </c>
      <c r="X143" s="66" t="str">
        <f>IF(W143="","",IF(AND(W143&gt;0,p_asof&gt;P143),p_asof-P143,""))</f>
        <v/>
      </c>
      <c r="Y143" s="59" t="str">
        <f>IF(A143="","",IF(AA143="Avoir","Avoir",IF(W143&lt;0,"Trop-perçu",IF(W143=0,"Soldée",IF(p_asof&gt;P143,"En retard",IF(U143+V143&gt;0,"Partielle","À échoir"))))))</f>
        <v/>
      </c>
      <c r="Z143" s="59" t="str">
        <f>IF(NOT(COUNTA(B143:D143,F143:O143)&gt;0),"",IF(C143="","Date manquante",IF(NOT(ISNUMBER(C143)),"Date invalide",IF(D143="","Client manquant",IF(ISNA(MATCH(D143,cli_code,0)),"Client inconnu",IF(AC143&lt;SUMPRODUCT(MAX(($AB$6:AB142=AB143)*$AC$6:AC142)),"Date antérieure à la facture précédente",IF(AND(F143&lt;&gt;"",ISNA(MATCH(F143,dv_num,0))),"Devis inconnu",IF(AND(F143&lt;&gt;"",IFERROR(INDEX(dv_client,MATCH(F143,dv_num,0)),D143)&lt;&gt;D143),"Client différent de celui du devis",IF(AG143="","Aucune ligne : saisissez des lignes ou un devis",IF(AND(AI143&lt;&gt;"",COUNTIF($AI$6:AI143,AI143)&gt;1),"Devis déjà repris par une autre facture",IF(AND(AA143="Avoir",M143=""),"Avoir : indiquez la facture d'origine",IF(AND(AA143="Avoir",ISNA(MATCH(M143,fa_num,0))),"Facture d'origine inconnue",IF(AND(AA143&lt;&gt;"Avoir",M143&lt;&gt;""),"« Avoir sur facture » : réservé aux avoirs",IF(AND(L143&lt;&gt;"",AA143&lt;&gt;"Facture"),"Acompte à déduire : réservé aux factures",IF(AND(L143&lt;&gt;"",ISNA(MATCH(L143,fa_num,0))),"Facture d'acompte inconnue",IF(AND(L143&lt;&gt;"",IFERROR(INDEX(fa_type,MATCH(L143,fa_num,0)),"")&lt;&gt;"Facture d'acompte"),"Le n° à déduire n'est pas une facture d'acompte",IF(AND(L143&lt;&gt;"",COUNTIF($L$6:L143,L143)&gt;1),"Acompte déjà déduit sur une autre facture",IF(AND(L143&lt;&gt;"",IFERROR(INDEX(fa_client,MATCH(L143,fa_num,0)),D143)&lt;&gt;D143),"Acompte d'un autre client",IF(AND(AR143&lt;&gt;"",N(Q143)&lt;0),"Acompte supérieur au total de la facture",IF(IF(AG143="Facture",COUNTIFS(fl_doc,A143,fl_check,"&lt;&gt;OK"),IF(AG143="Devis",COUNTIFS(dl_doc,F143,dl_check,"&lt;&gt;OK"),0))&gt;0,"Ligne(s) à corriger",IF(AND(W143&lt;&gt;"",N(W143)&lt;0),"Trop-perçu : vérifiez paiements et avoirs","OK")))))))))))))))))))))</f>
        <v/>
      </c>
      <c r="AA143" s="62" t="str">
        <f>IF(COUNTA(B143:D143,F143:O143)&gt;0,IF(B143="","Facture",B143),"")</f>
        <v/>
      </c>
      <c r="AB143" s="62" t="str">
        <f>IF(AA143="","",IF(AA143="Avoir",p_pav,IF(AA143="Facture d'acompte",p_pac,p_pfa)))</f>
        <v/>
      </c>
      <c r="AC143" s="62">
        <f>IF(ISNUMBER(C143),C143,0)</f>
        <v>0.0</v>
      </c>
      <c r="AD143" s="62" t="str">
        <f>IF(OR(AA143="",AC143=0),"",YEAR(AC143))</f>
        <v/>
      </c>
      <c r="AE143" s="62" t="str">
        <f>IF(AD143="","",COUNTIFS($AB$6:AB143,AB143,$AD$6:AD143,AD143))</f>
        <v/>
      </c>
      <c r="AF143" s="62">
        <f>IF(A143="",0,COUNTIF(fl_doc,A143))</f>
        <v>0.0</v>
      </c>
      <c r="AG143" s="62" t="str">
        <f>IF(A143="","",IF(AF143&gt;0,"Facture",IF(AND(F143&lt;&gt;"",AA143="Facture",ISNUMBER(MATCH(F143,dv_num,0))),"Devis","")))</f>
        <v/>
      </c>
      <c r="AH143" s="62" t="str">
        <f>IF(AND(A143&lt;&gt;"",F143&lt;&gt;"",AA143&lt;&gt;"Avoir"),F143,"")</f>
        <v/>
      </c>
      <c r="AI143" s="62" t="str">
        <f>IF(AG143="Devis",F143,"")</f>
        <v/>
      </c>
      <c r="AJ143" s="62">
        <f>IF(AG143="Facture",SUMIF(fl_doc,A143,fl_ht),IF(AG143="Devis",SUMIF(dl_doc,F143,dl_ht),0))</f>
        <v>0.0</v>
      </c>
      <c r="AK143" s="62">
        <f>IF(OR(AG143="",INDEX(p_rates,1)=""),0,IF(AG143="Facture",SUMIFS(fl_ht,fl_doc,A143,fl_rate,INDEX(p_rates,1)),SUMIFS(dl_ht,dl_doc,F143,dl_rate,INDEX(p_rates,1))))</f>
        <v>0.0</v>
      </c>
      <c r="AL143" s="62">
        <f>IF(OR(AG143="",INDEX(p_rates,2)=""),0,IF(AG143="Facture",SUMIFS(fl_ht,fl_doc,A143,fl_rate,INDEX(p_rates,2)),SUMIFS(dl_ht,dl_doc,F143,dl_rate,INDEX(p_rates,2))))</f>
        <v>0.0</v>
      </c>
      <c r="AM143" s="62">
        <f>IF(OR(AG143="",INDEX(p_rates,3)=""),0,IF(AG143="Facture",SUMIFS(fl_ht,fl_doc,A143,fl_rate,INDEX(p_rates,3)),SUMIFS(dl_ht,dl_doc,F143,dl_rate,INDEX(p_rates,3))))</f>
        <v>0.0</v>
      </c>
      <c r="AN143" s="62">
        <f>IF(OR(AG143="",INDEX(p_rates,4)=""),0,IF(AG143="Facture",SUMIFS(fl_ht,fl_doc,A143,fl_rate,INDEX(p_rates,4)),SUMIFS(dl_ht,dl_doc,F143,dl_rate,INDEX(p_rates,4))))</f>
        <v>0.0</v>
      </c>
      <c r="AO143" s="62">
        <f>IF(OR(AG143="",INDEX(p_rates,5)=""),0,IF(AG143="Facture",SUMIFS(fl_ht,fl_doc,A143,fl_rate,INDEX(p_rates,5)),SUMIFS(dl_ht,dl_doc,F143,dl_rate,INDEX(p_rates,5))))</f>
        <v>0.0</v>
      </c>
      <c r="AP143" s="62">
        <f>IF(OR(AG143="",INDEX(p_rates,6)=""),0,IF(AG143="Facture",SUMIFS(fl_ht,fl_doc,A143,fl_rate,INDEX(p_rates,6)),SUMIFS(dl_ht,dl_doc,F143,dl_rate,INDEX(p_rates,6))))</f>
        <v>0.0</v>
      </c>
      <c r="AQ143" s="62">
        <f>ROUND(AK143*N(INDEX(p_rates,1)),2)+ROUND(AL143*N(INDEX(p_rates,2)),2)+ROUND(AM143*N(INDEX(p_rates,3)),2)+ROUND(AN143*N(INDEX(p_rates,4)),2)+ROUND(AO143*N(INDEX(p_rates,5)),2)+ROUND(AP143*N(INDEX(p_rates,6)),2)</f>
        <v>0.0</v>
      </c>
      <c r="AR143" s="62" t="str">
        <f>IF(OR(L143="",AA143&lt;&gt;"Facture"),"",IFERROR(IF(INDEX(fa_type,MATCH(L143,fa_num,0))="Facture d'acompte",MATCH(L143,fa_num,0),""),""))</f>
        <v/>
      </c>
      <c r="AS143" s="62" t="str">
        <f>IF(W143="","",IF(W143&lt;=0,"",IF(p_asof-P143&lt;=0,"Non échu",IF(p_asof-P143&lt;=30,"1-30 j",IF(p_asof-P143&lt;=60,"31-60 j",IF(p_asof-P143&lt;=90,"61-90 j","Plus de 90 j"))))))</f>
        <v/>
      </c>
      <c r="AT143" s="62" t="str">
        <f>IF(AS143="","",p_asof-P143)</f>
        <v/>
      </c>
      <c r="AU143" s="62" t="str">
        <f>IF(AT143="","",COUNTIF($AT$6:$AT$805,"&gt;"&amp;AT143)+COUNTIF($AT$6:AT143,AT143))</f>
        <v/>
      </c>
    </row>
    <row r="144">
      <c r="A144" s="59" t="str">
        <f>IF(AE144="","",AB144&amp;"-"&amp;AD144&amp;"-"&amp;RIGHT("000"&amp;AE144,4))</f>
        <v/>
      </c>
      <c r="B144" s="60" t="n"/>
      <c r="C144" s="61" t="n"/>
      <c r="D144" s="60" t="n"/>
      <c r="E144" s="62" t="str">
        <f>IF(D144="","",IFERROR(INDEX(cli_name,MATCH(D144,cli_code,0))&amp;"","Client inconnu"))</f>
        <v/>
      </c>
      <c r="F144" s="60" t="n"/>
      <c r="G144" s="63" t="n"/>
      <c r="H144" s="61" t="n"/>
      <c r="I144" s="63" t="n"/>
      <c r="J144" s="60" t="n"/>
      <c r="K144" s="61" t="n"/>
      <c r="L144" s="60" t="n"/>
      <c r="M144" s="60" t="n"/>
      <c r="N144" s="60" t="n"/>
      <c r="O144" s="61" t="n"/>
      <c r="P144" s="64" t="str">
        <f>IF(A144="","",IF(AA144="Avoir",AC144,IF(ISNUMBER(K144),K144,AC144+IF(D144="",N(p_delay),IFERROR(IF(ISNUMBER(INDEX(cli_delay,MATCH(D144,cli_code,0))),INDEX(cli_delay,MATCH(D144,cli_code,0)),N(p_delay)),N(p_delay))))))</f>
        <v/>
      </c>
      <c r="Q144" s="65" t="str">
        <f>IF(A144="","",IF(AA144="Avoir",-1,1)*ROUND(AJ144-IF(AR144="",0,INDEX(fa_htb,AR144)),2))</f>
        <v/>
      </c>
      <c r="R144" s="65" t="str">
        <f>IF(A144="","",IF(AA144="Avoir",-1,1)*ROUND(AQ144-IF(AR144="",0,INDEX(fa_tvab,AR144)),2))</f>
        <v/>
      </c>
      <c r="S144" s="65" t="str">
        <f>IF(A144="","",Q144+R144)</f>
        <v/>
      </c>
      <c r="T144" s="65" t="str">
        <f>IF(AR144="","",INDEX(fa_htb,AR144)+INDEX(fa_tvab,AR144))</f>
        <v/>
      </c>
      <c r="U144" s="65" t="str">
        <f>IF(A144="","",SUMIF(pa_inv,A144,pa_amt))</f>
        <v/>
      </c>
      <c r="V144" s="65" t="str">
        <f>IF(OR(A144="",AA144="Avoir"),"",-SUMIFS(fa_ttc,fa_avof,A144,fa_type,"Avoir"))</f>
        <v/>
      </c>
      <c r="W144" s="65" t="str">
        <f>IF(OR(A144="",AA144="Avoir"),"",ROUND(S144-U144-V144,2))</f>
        <v/>
      </c>
      <c r="X144" s="66" t="str">
        <f>IF(W144="","",IF(AND(W144&gt;0,p_asof&gt;P144),p_asof-P144,""))</f>
        <v/>
      </c>
      <c r="Y144" s="59" t="str">
        <f>IF(A144="","",IF(AA144="Avoir","Avoir",IF(W144&lt;0,"Trop-perçu",IF(W144=0,"Soldée",IF(p_asof&gt;P144,"En retard",IF(U144+V144&gt;0,"Partielle","À échoir"))))))</f>
        <v/>
      </c>
      <c r="Z144" s="59" t="str">
        <f>IF(NOT(COUNTA(B144:D144,F144:O144)&gt;0),"",IF(C144="","Date manquante",IF(NOT(ISNUMBER(C144)),"Date invalide",IF(D144="","Client manquant",IF(ISNA(MATCH(D144,cli_code,0)),"Client inconnu",IF(AC144&lt;SUMPRODUCT(MAX(($AB$6:AB143=AB144)*$AC$6:AC143)),"Date antérieure à la facture précédente",IF(AND(F144&lt;&gt;"",ISNA(MATCH(F144,dv_num,0))),"Devis inconnu",IF(AND(F144&lt;&gt;"",IFERROR(INDEX(dv_client,MATCH(F144,dv_num,0)),D144)&lt;&gt;D144),"Client différent de celui du devis",IF(AG144="","Aucune ligne : saisissez des lignes ou un devis",IF(AND(AI144&lt;&gt;"",COUNTIF($AI$6:AI144,AI144)&gt;1),"Devis déjà repris par une autre facture",IF(AND(AA144="Avoir",M144=""),"Avoir : indiquez la facture d'origine",IF(AND(AA144="Avoir",ISNA(MATCH(M144,fa_num,0))),"Facture d'origine inconnue",IF(AND(AA144&lt;&gt;"Avoir",M144&lt;&gt;""),"« Avoir sur facture » : réservé aux avoirs",IF(AND(L144&lt;&gt;"",AA144&lt;&gt;"Facture"),"Acompte à déduire : réservé aux factures",IF(AND(L144&lt;&gt;"",ISNA(MATCH(L144,fa_num,0))),"Facture d'acompte inconnue",IF(AND(L144&lt;&gt;"",IFERROR(INDEX(fa_type,MATCH(L144,fa_num,0)),"")&lt;&gt;"Facture d'acompte"),"Le n° à déduire n'est pas une facture d'acompte",IF(AND(L144&lt;&gt;"",COUNTIF($L$6:L144,L144)&gt;1),"Acompte déjà déduit sur une autre facture",IF(AND(L144&lt;&gt;"",IFERROR(INDEX(fa_client,MATCH(L144,fa_num,0)),D144)&lt;&gt;D144),"Acompte d'un autre client",IF(AND(AR144&lt;&gt;"",N(Q144)&lt;0),"Acompte supérieur au total de la facture",IF(IF(AG144="Facture",COUNTIFS(fl_doc,A144,fl_check,"&lt;&gt;OK"),IF(AG144="Devis",COUNTIFS(dl_doc,F144,dl_check,"&lt;&gt;OK"),0))&gt;0,"Ligne(s) à corriger",IF(AND(W144&lt;&gt;"",N(W144)&lt;0),"Trop-perçu : vérifiez paiements et avoirs","OK")))))))))))))))))))))</f>
        <v/>
      </c>
      <c r="AA144" s="62" t="str">
        <f>IF(COUNTA(B144:D144,F144:O144)&gt;0,IF(B144="","Facture",B144),"")</f>
        <v/>
      </c>
      <c r="AB144" s="62" t="str">
        <f>IF(AA144="","",IF(AA144="Avoir",p_pav,IF(AA144="Facture d'acompte",p_pac,p_pfa)))</f>
        <v/>
      </c>
      <c r="AC144" s="62">
        <f>IF(ISNUMBER(C144),C144,0)</f>
        <v>0.0</v>
      </c>
      <c r="AD144" s="62" t="str">
        <f>IF(OR(AA144="",AC144=0),"",YEAR(AC144))</f>
        <v/>
      </c>
      <c r="AE144" s="62" t="str">
        <f>IF(AD144="","",COUNTIFS($AB$6:AB144,AB144,$AD$6:AD144,AD144))</f>
        <v/>
      </c>
      <c r="AF144" s="62">
        <f>IF(A144="",0,COUNTIF(fl_doc,A144))</f>
        <v>0.0</v>
      </c>
      <c r="AG144" s="62" t="str">
        <f>IF(A144="","",IF(AF144&gt;0,"Facture",IF(AND(F144&lt;&gt;"",AA144="Facture",ISNUMBER(MATCH(F144,dv_num,0))),"Devis","")))</f>
        <v/>
      </c>
      <c r="AH144" s="62" t="str">
        <f>IF(AND(A144&lt;&gt;"",F144&lt;&gt;"",AA144&lt;&gt;"Avoir"),F144,"")</f>
        <v/>
      </c>
      <c r="AI144" s="62" t="str">
        <f>IF(AG144="Devis",F144,"")</f>
        <v/>
      </c>
      <c r="AJ144" s="62">
        <f>IF(AG144="Facture",SUMIF(fl_doc,A144,fl_ht),IF(AG144="Devis",SUMIF(dl_doc,F144,dl_ht),0))</f>
        <v>0.0</v>
      </c>
      <c r="AK144" s="62">
        <f>IF(OR(AG144="",INDEX(p_rates,1)=""),0,IF(AG144="Facture",SUMIFS(fl_ht,fl_doc,A144,fl_rate,INDEX(p_rates,1)),SUMIFS(dl_ht,dl_doc,F144,dl_rate,INDEX(p_rates,1))))</f>
        <v>0.0</v>
      </c>
      <c r="AL144" s="62">
        <f>IF(OR(AG144="",INDEX(p_rates,2)=""),0,IF(AG144="Facture",SUMIFS(fl_ht,fl_doc,A144,fl_rate,INDEX(p_rates,2)),SUMIFS(dl_ht,dl_doc,F144,dl_rate,INDEX(p_rates,2))))</f>
        <v>0.0</v>
      </c>
      <c r="AM144" s="62">
        <f>IF(OR(AG144="",INDEX(p_rates,3)=""),0,IF(AG144="Facture",SUMIFS(fl_ht,fl_doc,A144,fl_rate,INDEX(p_rates,3)),SUMIFS(dl_ht,dl_doc,F144,dl_rate,INDEX(p_rates,3))))</f>
        <v>0.0</v>
      </c>
      <c r="AN144" s="62">
        <f>IF(OR(AG144="",INDEX(p_rates,4)=""),0,IF(AG144="Facture",SUMIFS(fl_ht,fl_doc,A144,fl_rate,INDEX(p_rates,4)),SUMIFS(dl_ht,dl_doc,F144,dl_rate,INDEX(p_rates,4))))</f>
        <v>0.0</v>
      </c>
      <c r="AO144" s="62">
        <f>IF(OR(AG144="",INDEX(p_rates,5)=""),0,IF(AG144="Facture",SUMIFS(fl_ht,fl_doc,A144,fl_rate,INDEX(p_rates,5)),SUMIFS(dl_ht,dl_doc,F144,dl_rate,INDEX(p_rates,5))))</f>
        <v>0.0</v>
      </c>
      <c r="AP144" s="62">
        <f>IF(OR(AG144="",INDEX(p_rates,6)=""),0,IF(AG144="Facture",SUMIFS(fl_ht,fl_doc,A144,fl_rate,INDEX(p_rates,6)),SUMIFS(dl_ht,dl_doc,F144,dl_rate,INDEX(p_rates,6))))</f>
        <v>0.0</v>
      </c>
      <c r="AQ144" s="62">
        <f>ROUND(AK144*N(INDEX(p_rates,1)),2)+ROUND(AL144*N(INDEX(p_rates,2)),2)+ROUND(AM144*N(INDEX(p_rates,3)),2)+ROUND(AN144*N(INDEX(p_rates,4)),2)+ROUND(AO144*N(INDEX(p_rates,5)),2)+ROUND(AP144*N(INDEX(p_rates,6)),2)</f>
        <v>0.0</v>
      </c>
      <c r="AR144" s="62" t="str">
        <f>IF(OR(L144="",AA144&lt;&gt;"Facture"),"",IFERROR(IF(INDEX(fa_type,MATCH(L144,fa_num,0))="Facture d'acompte",MATCH(L144,fa_num,0),""),""))</f>
        <v/>
      </c>
      <c r="AS144" s="62" t="str">
        <f>IF(W144="","",IF(W144&lt;=0,"",IF(p_asof-P144&lt;=0,"Non échu",IF(p_asof-P144&lt;=30,"1-30 j",IF(p_asof-P144&lt;=60,"31-60 j",IF(p_asof-P144&lt;=90,"61-90 j","Plus de 90 j"))))))</f>
        <v/>
      </c>
      <c r="AT144" s="62" t="str">
        <f>IF(AS144="","",p_asof-P144)</f>
        <v/>
      </c>
      <c r="AU144" s="62" t="str">
        <f>IF(AT144="","",COUNTIF($AT$6:$AT$805,"&gt;"&amp;AT144)+COUNTIF($AT$6:AT144,AT144))</f>
        <v/>
      </c>
    </row>
    <row r="145">
      <c r="A145" s="59" t="str">
        <f>IF(AE145="","",AB145&amp;"-"&amp;AD145&amp;"-"&amp;RIGHT("000"&amp;AE145,4))</f>
        <v/>
      </c>
      <c r="B145" s="60" t="n"/>
      <c r="C145" s="61" t="n"/>
      <c r="D145" s="60" t="n"/>
      <c r="E145" s="62" t="str">
        <f>IF(D145="","",IFERROR(INDEX(cli_name,MATCH(D145,cli_code,0))&amp;"","Client inconnu"))</f>
        <v/>
      </c>
      <c r="F145" s="60" t="n"/>
      <c r="G145" s="63" t="n"/>
      <c r="H145" s="61" t="n"/>
      <c r="I145" s="63" t="n"/>
      <c r="J145" s="60" t="n"/>
      <c r="K145" s="61" t="n"/>
      <c r="L145" s="60" t="n"/>
      <c r="M145" s="60" t="n"/>
      <c r="N145" s="60" t="n"/>
      <c r="O145" s="61" t="n"/>
      <c r="P145" s="64" t="str">
        <f>IF(A145="","",IF(AA145="Avoir",AC145,IF(ISNUMBER(K145),K145,AC145+IF(D145="",N(p_delay),IFERROR(IF(ISNUMBER(INDEX(cli_delay,MATCH(D145,cli_code,0))),INDEX(cli_delay,MATCH(D145,cli_code,0)),N(p_delay)),N(p_delay))))))</f>
        <v/>
      </c>
      <c r="Q145" s="65" t="str">
        <f>IF(A145="","",IF(AA145="Avoir",-1,1)*ROUND(AJ145-IF(AR145="",0,INDEX(fa_htb,AR145)),2))</f>
        <v/>
      </c>
      <c r="R145" s="65" t="str">
        <f>IF(A145="","",IF(AA145="Avoir",-1,1)*ROUND(AQ145-IF(AR145="",0,INDEX(fa_tvab,AR145)),2))</f>
        <v/>
      </c>
      <c r="S145" s="65" t="str">
        <f>IF(A145="","",Q145+R145)</f>
        <v/>
      </c>
      <c r="T145" s="65" t="str">
        <f>IF(AR145="","",INDEX(fa_htb,AR145)+INDEX(fa_tvab,AR145))</f>
        <v/>
      </c>
      <c r="U145" s="65" t="str">
        <f>IF(A145="","",SUMIF(pa_inv,A145,pa_amt))</f>
        <v/>
      </c>
      <c r="V145" s="65" t="str">
        <f>IF(OR(A145="",AA145="Avoir"),"",-SUMIFS(fa_ttc,fa_avof,A145,fa_type,"Avoir"))</f>
        <v/>
      </c>
      <c r="W145" s="65" t="str">
        <f>IF(OR(A145="",AA145="Avoir"),"",ROUND(S145-U145-V145,2))</f>
        <v/>
      </c>
      <c r="X145" s="66" t="str">
        <f>IF(W145="","",IF(AND(W145&gt;0,p_asof&gt;P145),p_asof-P145,""))</f>
        <v/>
      </c>
      <c r="Y145" s="59" t="str">
        <f>IF(A145="","",IF(AA145="Avoir","Avoir",IF(W145&lt;0,"Trop-perçu",IF(W145=0,"Soldée",IF(p_asof&gt;P145,"En retard",IF(U145+V145&gt;0,"Partielle","À échoir"))))))</f>
        <v/>
      </c>
      <c r="Z145" s="59" t="str">
        <f>IF(NOT(COUNTA(B145:D145,F145:O145)&gt;0),"",IF(C145="","Date manquante",IF(NOT(ISNUMBER(C145)),"Date invalide",IF(D145="","Client manquant",IF(ISNA(MATCH(D145,cli_code,0)),"Client inconnu",IF(AC145&lt;SUMPRODUCT(MAX(($AB$6:AB144=AB145)*$AC$6:AC144)),"Date antérieure à la facture précédente",IF(AND(F145&lt;&gt;"",ISNA(MATCH(F145,dv_num,0))),"Devis inconnu",IF(AND(F145&lt;&gt;"",IFERROR(INDEX(dv_client,MATCH(F145,dv_num,0)),D145)&lt;&gt;D145),"Client différent de celui du devis",IF(AG145="","Aucune ligne : saisissez des lignes ou un devis",IF(AND(AI145&lt;&gt;"",COUNTIF($AI$6:AI145,AI145)&gt;1),"Devis déjà repris par une autre facture",IF(AND(AA145="Avoir",M145=""),"Avoir : indiquez la facture d'origine",IF(AND(AA145="Avoir",ISNA(MATCH(M145,fa_num,0))),"Facture d'origine inconnue",IF(AND(AA145&lt;&gt;"Avoir",M145&lt;&gt;""),"« Avoir sur facture » : réservé aux avoirs",IF(AND(L145&lt;&gt;"",AA145&lt;&gt;"Facture"),"Acompte à déduire : réservé aux factures",IF(AND(L145&lt;&gt;"",ISNA(MATCH(L145,fa_num,0))),"Facture d'acompte inconnue",IF(AND(L145&lt;&gt;"",IFERROR(INDEX(fa_type,MATCH(L145,fa_num,0)),"")&lt;&gt;"Facture d'acompte"),"Le n° à déduire n'est pas une facture d'acompte",IF(AND(L145&lt;&gt;"",COUNTIF($L$6:L145,L145)&gt;1),"Acompte déjà déduit sur une autre facture",IF(AND(L145&lt;&gt;"",IFERROR(INDEX(fa_client,MATCH(L145,fa_num,0)),D145)&lt;&gt;D145),"Acompte d'un autre client",IF(AND(AR145&lt;&gt;"",N(Q145)&lt;0),"Acompte supérieur au total de la facture",IF(IF(AG145="Facture",COUNTIFS(fl_doc,A145,fl_check,"&lt;&gt;OK"),IF(AG145="Devis",COUNTIFS(dl_doc,F145,dl_check,"&lt;&gt;OK"),0))&gt;0,"Ligne(s) à corriger",IF(AND(W145&lt;&gt;"",N(W145)&lt;0),"Trop-perçu : vérifiez paiements et avoirs","OK")))))))))))))))))))))</f>
        <v/>
      </c>
      <c r="AA145" s="62" t="str">
        <f>IF(COUNTA(B145:D145,F145:O145)&gt;0,IF(B145="","Facture",B145),"")</f>
        <v/>
      </c>
      <c r="AB145" s="62" t="str">
        <f>IF(AA145="","",IF(AA145="Avoir",p_pav,IF(AA145="Facture d'acompte",p_pac,p_pfa)))</f>
        <v/>
      </c>
      <c r="AC145" s="62">
        <f>IF(ISNUMBER(C145),C145,0)</f>
        <v>0.0</v>
      </c>
      <c r="AD145" s="62" t="str">
        <f>IF(OR(AA145="",AC145=0),"",YEAR(AC145))</f>
        <v/>
      </c>
      <c r="AE145" s="62" t="str">
        <f>IF(AD145="","",COUNTIFS($AB$6:AB145,AB145,$AD$6:AD145,AD145))</f>
        <v/>
      </c>
      <c r="AF145" s="62">
        <f>IF(A145="",0,COUNTIF(fl_doc,A145))</f>
        <v>0.0</v>
      </c>
      <c r="AG145" s="62" t="str">
        <f>IF(A145="","",IF(AF145&gt;0,"Facture",IF(AND(F145&lt;&gt;"",AA145="Facture",ISNUMBER(MATCH(F145,dv_num,0))),"Devis","")))</f>
        <v/>
      </c>
      <c r="AH145" s="62" t="str">
        <f>IF(AND(A145&lt;&gt;"",F145&lt;&gt;"",AA145&lt;&gt;"Avoir"),F145,"")</f>
        <v/>
      </c>
      <c r="AI145" s="62" t="str">
        <f>IF(AG145="Devis",F145,"")</f>
        <v/>
      </c>
      <c r="AJ145" s="62">
        <f>IF(AG145="Facture",SUMIF(fl_doc,A145,fl_ht),IF(AG145="Devis",SUMIF(dl_doc,F145,dl_ht),0))</f>
        <v>0.0</v>
      </c>
      <c r="AK145" s="62">
        <f>IF(OR(AG145="",INDEX(p_rates,1)=""),0,IF(AG145="Facture",SUMIFS(fl_ht,fl_doc,A145,fl_rate,INDEX(p_rates,1)),SUMIFS(dl_ht,dl_doc,F145,dl_rate,INDEX(p_rates,1))))</f>
        <v>0.0</v>
      </c>
      <c r="AL145" s="62">
        <f>IF(OR(AG145="",INDEX(p_rates,2)=""),0,IF(AG145="Facture",SUMIFS(fl_ht,fl_doc,A145,fl_rate,INDEX(p_rates,2)),SUMIFS(dl_ht,dl_doc,F145,dl_rate,INDEX(p_rates,2))))</f>
        <v>0.0</v>
      </c>
      <c r="AM145" s="62">
        <f>IF(OR(AG145="",INDEX(p_rates,3)=""),0,IF(AG145="Facture",SUMIFS(fl_ht,fl_doc,A145,fl_rate,INDEX(p_rates,3)),SUMIFS(dl_ht,dl_doc,F145,dl_rate,INDEX(p_rates,3))))</f>
        <v>0.0</v>
      </c>
      <c r="AN145" s="62">
        <f>IF(OR(AG145="",INDEX(p_rates,4)=""),0,IF(AG145="Facture",SUMIFS(fl_ht,fl_doc,A145,fl_rate,INDEX(p_rates,4)),SUMIFS(dl_ht,dl_doc,F145,dl_rate,INDEX(p_rates,4))))</f>
        <v>0.0</v>
      </c>
      <c r="AO145" s="62">
        <f>IF(OR(AG145="",INDEX(p_rates,5)=""),0,IF(AG145="Facture",SUMIFS(fl_ht,fl_doc,A145,fl_rate,INDEX(p_rates,5)),SUMIFS(dl_ht,dl_doc,F145,dl_rate,INDEX(p_rates,5))))</f>
        <v>0.0</v>
      </c>
      <c r="AP145" s="62">
        <f>IF(OR(AG145="",INDEX(p_rates,6)=""),0,IF(AG145="Facture",SUMIFS(fl_ht,fl_doc,A145,fl_rate,INDEX(p_rates,6)),SUMIFS(dl_ht,dl_doc,F145,dl_rate,INDEX(p_rates,6))))</f>
        <v>0.0</v>
      </c>
      <c r="AQ145" s="62">
        <f>ROUND(AK145*N(INDEX(p_rates,1)),2)+ROUND(AL145*N(INDEX(p_rates,2)),2)+ROUND(AM145*N(INDEX(p_rates,3)),2)+ROUND(AN145*N(INDEX(p_rates,4)),2)+ROUND(AO145*N(INDEX(p_rates,5)),2)+ROUND(AP145*N(INDEX(p_rates,6)),2)</f>
        <v>0.0</v>
      </c>
      <c r="AR145" s="62" t="str">
        <f>IF(OR(L145="",AA145&lt;&gt;"Facture"),"",IFERROR(IF(INDEX(fa_type,MATCH(L145,fa_num,0))="Facture d'acompte",MATCH(L145,fa_num,0),""),""))</f>
        <v/>
      </c>
      <c r="AS145" s="62" t="str">
        <f>IF(W145="","",IF(W145&lt;=0,"",IF(p_asof-P145&lt;=0,"Non échu",IF(p_asof-P145&lt;=30,"1-30 j",IF(p_asof-P145&lt;=60,"31-60 j",IF(p_asof-P145&lt;=90,"61-90 j","Plus de 90 j"))))))</f>
        <v/>
      </c>
      <c r="AT145" s="62" t="str">
        <f>IF(AS145="","",p_asof-P145)</f>
        <v/>
      </c>
      <c r="AU145" s="62" t="str">
        <f>IF(AT145="","",COUNTIF($AT$6:$AT$805,"&gt;"&amp;AT145)+COUNTIF($AT$6:AT145,AT145))</f>
        <v/>
      </c>
    </row>
    <row r="146">
      <c r="A146" s="59" t="str">
        <f>IF(AE146="","",AB146&amp;"-"&amp;AD146&amp;"-"&amp;RIGHT("000"&amp;AE146,4))</f>
        <v/>
      </c>
      <c r="B146" s="60" t="n"/>
      <c r="C146" s="61" t="n"/>
      <c r="D146" s="60" t="n"/>
      <c r="E146" s="62" t="str">
        <f>IF(D146="","",IFERROR(INDEX(cli_name,MATCH(D146,cli_code,0))&amp;"","Client inconnu"))</f>
        <v/>
      </c>
      <c r="F146" s="60" t="n"/>
      <c r="G146" s="63" t="n"/>
      <c r="H146" s="61" t="n"/>
      <c r="I146" s="63" t="n"/>
      <c r="J146" s="60" t="n"/>
      <c r="K146" s="61" t="n"/>
      <c r="L146" s="60" t="n"/>
      <c r="M146" s="60" t="n"/>
      <c r="N146" s="60" t="n"/>
      <c r="O146" s="61" t="n"/>
      <c r="P146" s="64" t="str">
        <f>IF(A146="","",IF(AA146="Avoir",AC146,IF(ISNUMBER(K146),K146,AC146+IF(D146="",N(p_delay),IFERROR(IF(ISNUMBER(INDEX(cli_delay,MATCH(D146,cli_code,0))),INDEX(cli_delay,MATCH(D146,cli_code,0)),N(p_delay)),N(p_delay))))))</f>
        <v/>
      </c>
      <c r="Q146" s="65" t="str">
        <f>IF(A146="","",IF(AA146="Avoir",-1,1)*ROUND(AJ146-IF(AR146="",0,INDEX(fa_htb,AR146)),2))</f>
        <v/>
      </c>
      <c r="R146" s="65" t="str">
        <f>IF(A146="","",IF(AA146="Avoir",-1,1)*ROUND(AQ146-IF(AR146="",0,INDEX(fa_tvab,AR146)),2))</f>
        <v/>
      </c>
      <c r="S146" s="65" t="str">
        <f>IF(A146="","",Q146+R146)</f>
        <v/>
      </c>
      <c r="T146" s="65" t="str">
        <f>IF(AR146="","",INDEX(fa_htb,AR146)+INDEX(fa_tvab,AR146))</f>
        <v/>
      </c>
      <c r="U146" s="65" t="str">
        <f>IF(A146="","",SUMIF(pa_inv,A146,pa_amt))</f>
        <v/>
      </c>
      <c r="V146" s="65" t="str">
        <f>IF(OR(A146="",AA146="Avoir"),"",-SUMIFS(fa_ttc,fa_avof,A146,fa_type,"Avoir"))</f>
        <v/>
      </c>
      <c r="W146" s="65" t="str">
        <f>IF(OR(A146="",AA146="Avoir"),"",ROUND(S146-U146-V146,2))</f>
        <v/>
      </c>
      <c r="X146" s="66" t="str">
        <f>IF(W146="","",IF(AND(W146&gt;0,p_asof&gt;P146),p_asof-P146,""))</f>
        <v/>
      </c>
      <c r="Y146" s="59" t="str">
        <f>IF(A146="","",IF(AA146="Avoir","Avoir",IF(W146&lt;0,"Trop-perçu",IF(W146=0,"Soldée",IF(p_asof&gt;P146,"En retard",IF(U146+V146&gt;0,"Partielle","À échoir"))))))</f>
        <v/>
      </c>
      <c r="Z146" s="59" t="str">
        <f>IF(NOT(COUNTA(B146:D146,F146:O146)&gt;0),"",IF(C146="","Date manquante",IF(NOT(ISNUMBER(C146)),"Date invalide",IF(D146="","Client manquant",IF(ISNA(MATCH(D146,cli_code,0)),"Client inconnu",IF(AC146&lt;SUMPRODUCT(MAX(($AB$6:AB145=AB146)*$AC$6:AC145)),"Date antérieure à la facture précédente",IF(AND(F146&lt;&gt;"",ISNA(MATCH(F146,dv_num,0))),"Devis inconnu",IF(AND(F146&lt;&gt;"",IFERROR(INDEX(dv_client,MATCH(F146,dv_num,0)),D146)&lt;&gt;D146),"Client différent de celui du devis",IF(AG146="","Aucune ligne : saisissez des lignes ou un devis",IF(AND(AI146&lt;&gt;"",COUNTIF($AI$6:AI146,AI146)&gt;1),"Devis déjà repris par une autre facture",IF(AND(AA146="Avoir",M146=""),"Avoir : indiquez la facture d'origine",IF(AND(AA146="Avoir",ISNA(MATCH(M146,fa_num,0))),"Facture d'origine inconnue",IF(AND(AA146&lt;&gt;"Avoir",M146&lt;&gt;""),"« Avoir sur facture » : réservé aux avoirs",IF(AND(L146&lt;&gt;"",AA146&lt;&gt;"Facture"),"Acompte à déduire : réservé aux factures",IF(AND(L146&lt;&gt;"",ISNA(MATCH(L146,fa_num,0))),"Facture d'acompte inconnue",IF(AND(L146&lt;&gt;"",IFERROR(INDEX(fa_type,MATCH(L146,fa_num,0)),"")&lt;&gt;"Facture d'acompte"),"Le n° à déduire n'est pas une facture d'acompte",IF(AND(L146&lt;&gt;"",COUNTIF($L$6:L146,L146)&gt;1),"Acompte déjà déduit sur une autre facture",IF(AND(L146&lt;&gt;"",IFERROR(INDEX(fa_client,MATCH(L146,fa_num,0)),D146)&lt;&gt;D146),"Acompte d'un autre client",IF(AND(AR146&lt;&gt;"",N(Q146)&lt;0),"Acompte supérieur au total de la facture",IF(IF(AG146="Facture",COUNTIFS(fl_doc,A146,fl_check,"&lt;&gt;OK"),IF(AG146="Devis",COUNTIFS(dl_doc,F146,dl_check,"&lt;&gt;OK"),0))&gt;0,"Ligne(s) à corriger",IF(AND(W146&lt;&gt;"",N(W146)&lt;0),"Trop-perçu : vérifiez paiements et avoirs","OK")))))))))))))))))))))</f>
        <v/>
      </c>
      <c r="AA146" s="62" t="str">
        <f>IF(COUNTA(B146:D146,F146:O146)&gt;0,IF(B146="","Facture",B146),"")</f>
        <v/>
      </c>
      <c r="AB146" s="62" t="str">
        <f>IF(AA146="","",IF(AA146="Avoir",p_pav,IF(AA146="Facture d'acompte",p_pac,p_pfa)))</f>
        <v/>
      </c>
      <c r="AC146" s="62">
        <f>IF(ISNUMBER(C146),C146,0)</f>
        <v>0.0</v>
      </c>
      <c r="AD146" s="62" t="str">
        <f>IF(OR(AA146="",AC146=0),"",YEAR(AC146))</f>
        <v/>
      </c>
      <c r="AE146" s="62" t="str">
        <f>IF(AD146="","",COUNTIFS($AB$6:AB146,AB146,$AD$6:AD146,AD146))</f>
        <v/>
      </c>
      <c r="AF146" s="62">
        <f>IF(A146="",0,COUNTIF(fl_doc,A146))</f>
        <v>0.0</v>
      </c>
      <c r="AG146" s="62" t="str">
        <f>IF(A146="","",IF(AF146&gt;0,"Facture",IF(AND(F146&lt;&gt;"",AA146="Facture",ISNUMBER(MATCH(F146,dv_num,0))),"Devis","")))</f>
        <v/>
      </c>
      <c r="AH146" s="62" t="str">
        <f>IF(AND(A146&lt;&gt;"",F146&lt;&gt;"",AA146&lt;&gt;"Avoir"),F146,"")</f>
        <v/>
      </c>
      <c r="AI146" s="62" t="str">
        <f>IF(AG146="Devis",F146,"")</f>
        <v/>
      </c>
      <c r="AJ146" s="62">
        <f>IF(AG146="Facture",SUMIF(fl_doc,A146,fl_ht),IF(AG146="Devis",SUMIF(dl_doc,F146,dl_ht),0))</f>
        <v>0.0</v>
      </c>
      <c r="AK146" s="62">
        <f>IF(OR(AG146="",INDEX(p_rates,1)=""),0,IF(AG146="Facture",SUMIFS(fl_ht,fl_doc,A146,fl_rate,INDEX(p_rates,1)),SUMIFS(dl_ht,dl_doc,F146,dl_rate,INDEX(p_rates,1))))</f>
        <v>0.0</v>
      </c>
      <c r="AL146" s="62">
        <f>IF(OR(AG146="",INDEX(p_rates,2)=""),0,IF(AG146="Facture",SUMIFS(fl_ht,fl_doc,A146,fl_rate,INDEX(p_rates,2)),SUMIFS(dl_ht,dl_doc,F146,dl_rate,INDEX(p_rates,2))))</f>
        <v>0.0</v>
      </c>
      <c r="AM146" s="62">
        <f>IF(OR(AG146="",INDEX(p_rates,3)=""),0,IF(AG146="Facture",SUMIFS(fl_ht,fl_doc,A146,fl_rate,INDEX(p_rates,3)),SUMIFS(dl_ht,dl_doc,F146,dl_rate,INDEX(p_rates,3))))</f>
        <v>0.0</v>
      </c>
      <c r="AN146" s="62">
        <f>IF(OR(AG146="",INDEX(p_rates,4)=""),0,IF(AG146="Facture",SUMIFS(fl_ht,fl_doc,A146,fl_rate,INDEX(p_rates,4)),SUMIFS(dl_ht,dl_doc,F146,dl_rate,INDEX(p_rates,4))))</f>
        <v>0.0</v>
      </c>
      <c r="AO146" s="62">
        <f>IF(OR(AG146="",INDEX(p_rates,5)=""),0,IF(AG146="Facture",SUMIFS(fl_ht,fl_doc,A146,fl_rate,INDEX(p_rates,5)),SUMIFS(dl_ht,dl_doc,F146,dl_rate,INDEX(p_rates,5))))</f>
        <v>0.0</v>
      </c>
      <c r="AP146" s="62">
        <f>IF(OR(AG146="",INDEX(p_rates,6)=""),0,IF(AG146="Facture",SUMIFS(fl_ht,fl_doc,A146,fl_rate,INDEX(p_rates,6)),SUMIFS(dl_ht,dl_doc,F146,dl_rate,INDEX(p_rates,6))))</f>
        <v>0.0</v>
      </c>
      <c r="AQ146" s="62">
        <f>ROUND(AK146*N(INDEX(p_rates,1)),2)+ROUND(AL146*N(INDEX(p_rates,2)),2)+ROUND(AM146*N(INDEX(p_rates,3)),2)+ROUND(AN146*N(INDEX(p_rates,4)),2)+ROUND(AO146*N(INDEX(p_rates,5)),2)+ROUND(AP146*N(INDEX(p_rates,6)),2)</f>
        <v>0.0</v>
      </c>
      <c r="AR146" s="62" t="str">
        <f>IF(OR(L146="",AA146&lt;&gt;"Facture"),"",IFERROR(IF(INDEX(fa_type,MATCH(L146,fa_num,0))="Facture d'acompte",MATCH(L146,fa_num,0),""),""))</f>
        <v/>
      </c>
      <c r="AS146" s="62" t="str">
        <f>IF(W146="","",IF(W146&lt;=0,"",IF(p_asof-P146&lt;=0,"Non échu",IF(p_asof-P146&lt;=30,"1-30 j",IF(p_asof-P146&lt;=60,"31-60 j",IF(p_asof-P146&lt;=90,"61-90 j","Plus de 90 j"))))))</f>
        <v/>
      </c>
      <c r="AT146" s="62" t="str">
        <f>IF(AS146="","",p_asof-P146)</f>
        <v/>
      </c>
      <c r="AU146" s="62" t="str">
        <f>IF(AT146="","",COUNTIF($AT$6:$AT$805,"&gt;"&amp;AT146)+COUNTIF($AT$6:AT146,AT146))</f>
        <v/>
      </c>
    </row>
    <row r="147">
      <c r="A147" s="59" t="str">
        <f>IF(AE147="","",AB147&amp;"-"&amp;AD147&amp;"-"&amp;RIGHT("000"&amp;AE147,4))</f>
        <v/>
      </c>
      <c r="B147" s="60" t="n"/>
      <c r="C147" s="61" t="n"/>
      <c r="D147" s="60" t="n"/>
      <c r="E147" s="62" t="str">
        <f>IF(D147="","",IFERROR(INDEX(cli_name,MATCH(D147,cli_code,0))&amp;"","Client inconnu"))</f>
        <v/>
      </c>
      <c r="F147" s="60" t="n"/>
      <c r="G147" s="63" t="n"/>
      <c r="H147" s="61" t="n"/>
      <c r="I147" s="63" t="n"/>
      <c r="J147" s="60" t="n"/>
      <c r="K147" s="61" t="n"/>
      <c r="L147" s="60" t="n"/>
      <c r="M147" s="60" t="n"/>
      <c r="N147" s="60" t="n"/>
      <c r="O147" s="61" t="n"/>
      <c r="P147" s="64" t="str">
        <f>IF(A147="","",IF(AA147="Avoir",AC147,IF(ISNUMBER(K147),K147,AC147+IF(D147="",N(p_delay),IFERROR(IF(ISNUMBER(INDEX(cli_delay,MATCH(D147,cli_code,0))),INDEX(cli_delay,MATCH(D147,cli_code,0)),N(p_delay)),N(p_delay))))))</f>
        <v/>
      </c>
      <c r="Q147" s="65" t="str">
        <f>IF(A147="","",IF(AA147="Avoir",-1,1)*ROUND(AJ147-IF(AR147="",0,INDEX(fa_htb,AR147)),2))</f>
        <v/>
      </c>
      <c r="R147" s="65" t="str">
        <f>IF(A147="","",IF(AA147="Avoir",-1,1)*ROUND(AQ147-IF(AR147="",0,INDEX(fa_tvab,AR147)),2))</f>
        <v/>
      </c>
      <c r="S147" s="65" t="str">
        <f>IF(A147="","",Q147+R147)</f>
        <v/>
      </c>
      <c r="T147" s="65" t="str">
        <f>IF(AR147="","",INDEX(fa_htb,AR147)+INDEX(fa_tvab,AR147))</f>
        <v/>
      </c>
      <c r="U147" s="65" t="str">
        <f>IF(A147="","",SUMIF(pa_inv,A147,pa_amt))</f>
        <v/>
      </c>
      <c r="V147" s="65" t="str">
        <f>IF(OR(A147="",AA147="Avoir"),"",-SUMIFS(fa_ttc,fa_avof,A147,fa_type,"Avoir"))</f>
        <v/>
      </c>
      <c r="W147" s="65" t="str">
        <f>IF(OR(A147="",AA147="Avoir"),"",ROUND(S147-U147-V147,2))</f>
        <v/>
      </c>
      <c r="X147" s="66" t="str">
        <f>IF(W147="","",IF(AND(W147&gt;0,p_asof&gt;P147),p_asof-P147,""))</f>
        <v/>
      </c>
      <c r="Y147" s="59" t="str">
        <f>IF(A147="","",IF(AA147="Avoir","Avoir",IF(W147&lt;0,"Trop-perçu",IF(W147=0,"Soldée",IF(p_asof&gt;P147,"En retard",IF(U147+V147&gt;0,"Partielle","À échoir"))))))</f>
        <v/>
      </c>
      <c r="Z147" s="59" t="str">
        <f>IF(NOT(COUNTA(B147:D147,F147:O147)&gt;0),"",IF(C147="","Date manquante",IF(NOT(ISNUMBER(C147)),"Date invalide",IF(D147="","Client manquant",IF(ISNA(MATCH(D147,cli_code,0)),"Client inconnu",IF(AC147&lt;SUMPRODUCT(MAX(($AB$6:AB146=AB147)*$AC$6:AC146)),"Date antérieure à la facture précédente",IF(AND(F147&lt;&gt;"",ISNA(MATCH(F147,dv_num,0))),"Devis inconnu",IF(AND(F147&lt;&gt;"",IFERROR(INDEX(dv_client,MATCH(F147,dv_num,0)),D147)&lt;&gt;D147),"Client différent de celui du devis",IF(AG147="","Aucune ligne : saisissez des lignes ou un devis",IF(AND(AI147&lt;&gt;"",COUNTIF($AI$6:AI147,AI147)&gt;1),"Devis déjà repris par une autre facture",IF(AND(AA147="Avoir",M147=""),"Avoir : indiquez la facture d'origine",IF(AND(AA147="Avoir",ISNA(MATCH(M147,fa_num,0))),"Facture d'origine inconnue",IF(AND(AA147&lt;&gt;"Avoir",M147&lt;&gt;""),"« Avoir sur facture » : réservé aux avoirs",IF(AND(L147&lt;&gt;"",AA147&lt;&gt;"Facture"),"Acompte à déduire : réservé aux factures",IF(AND(L147&lt;&gt;"",ISNA(MATCH(L147,fa_num,0))),"Facture d'acompte inconnue",IF(AND(L147&lt;&gt;"",IFERROR(INDEX(fa_type,MATCH(L147,fa_num,0)),"")&lt;&gt;"Facture d'acompte"),"Le n° à déduire n'est pas une facture d'acompte",IF(AND(L147&lt;&gt;"",COUNTIF($L$6:L147,L147)&gt;1),"Acompte déjà déduit sur une autre facture",IF(AND(L147&lt;&gt;"",IFERROR(INDEX(fa_client,MATCH(L147,fa_num,0)),D147)&lt;&gt;D147),"Acompte d'un autre client",IF(AND(AR147&lt;&gt;"",N(Q147)&lt;0),"Acompte supérieur au total de la facture",IF(IF(AG147="Facture",COUNTIFS(fl_doc,A147,fl_check,"&lt;&gt;OK"),IF(AG147="Devis",COUNTIFS(dl_doc,F147,dl_check,"&lt;&gt;OK"),0))&gt;0,"Ligne(s) à corriger",IF(AND(W147&lt;&gt;"",N(W147)&lt;0),"Trop-perçu : vérifiez paiements et avoirs","OK")))))))))))))))))))))</f>
        <v/>
      </c>
      <c r="AA147" s="62" t="str">
        <f>IF(COUNTA(B147:D147,F147:O147)&gt;0,IF(B147="","Facture",B147),"")</f>
        <v/>
      </c>
      <c r="AB147" s="62" t="str">
        <f>IF(AA147="","",IF(AA147="Avoir",p_pav,IF(AA147="Facture d'acompte",p_pac,p_pfa)))</f>
        <v/>
      </c>
      <c r="AC147" s="62">
        <f>IF(ISNUMBER(C147),C147,0)</f>
        <v>0.0</v>
      </c>
      <c r="AD147" s="62" t="str">
        <f>IF(OR(AA147="",AC147=0),"",YEAR(AC147))</f>
        <v/>
      </c>
      <c r="AE147" s="62" t="str">
        <f>IF(AD147="","",COUNTIFS($AB$6:AB147,AB147,$AD$6:AD147,AD147))</f>
        <v/>
      </c>
      <c r="AF147" s="62">
        <f>IF(A147="",0,COUNTIF(fl_doc,A147))</f>
        <v>0.0</v>
      </c>
      <c r="AG147" s="62" t="str">
        <f>IF(A147="","",IF(AF147&gt;0,"Facture",IF(AND(F147&lt;&gt;"",AA147="Facture",ISNUMBER(MATCH(F147,dv_num,0))),"Devis","")))</f>
        <v/>
      </c>
      <c r="AH147" s="62" t="str">
        <f>IF(AND(A147&lt;&gt;"",F147&lt;&gt;"",AA147&lt;&gt;"Avoir"),F147,"")</f>
        <v/>
      </c>
      <c r="AI147" s="62" t="str">
        <f>IF(AG147="Devis",F147,"")</f>
        <v/>
      </c>
      <c r="AJ147" s="62">
        <f>IF(AG147="Facture",SUMIF(fl_doc,A147,fl_ht),IF(AG147="Devis",SUMIF(dl_doc,F147,dl_ht),0))</f>
        <v>0.0</v>
      </c>
      <c r="AK147" s="62">
        <f>IF(OR(AG147="",INDEX(p_rates,1)=""),0,IF(AG147="Facture",SUMIFS(fl_ht,fl_doc,A147,fl_rate,INDEX(p_rates,1)),SUMIFS(dl_ht,dl_doc,F147,dl_rate,INDEX(p_rates,1))))</f>
        <v>0.0</v>
      </c>
      <c r="AL147" s="62">
        <f>IF(OR(AG147="",INDEX(p_rates,2)=""),0,IF(AG147="Facture",SUMIFS(fl_ht,fl_doc,A147,fl_rate,INDEX(p_rates,2)),SUMIFS(dl_ht,dl_doc,F147,dl_rate,INDEX(p_rates,2))))</f>
        <v>0.0</v>
      </c>
      <c r="AM147" s="62">
        <f>IF(OR(AG147="",INDEX(p_rates,3)=""),0,IF(AG147="Facture",SUMIFS(fl_ht,fl_doc,A147,fl_rate,INDEX(p_rates,3)),SUMIFS(dl_ht,dl_doc,F147,dl_rate,INDEX(p_rates,3))))</f>
        <v>0.0</v>
      </c>
      <c r="AN147" s="62">
        <f>IF(OR(AG147="",INDEX(p_rates,4)=""),0,IF(AG147="Facture",SUMIFS(fl_ht,fl_doc,A147,fl_rate,INDEX(p_rates,4)),SUMIFS(dl_ht,dl_doc,F147,dl_rate,INDEX(p_rates,4))))</f>
        <v>0.0</v>
      </c>
      <c r="AO147" s="62">
        <f>IF(OR(AG147="",INDEX(p_rates,5)=""),0,IF(AG147="Facture",SUMIFS(fl_ht,fl_doc,A147,fl_rate,INDEX(p_rates,5)),SUMIFS(dl_ht,dl_doc,F147,dl_rate,INDEX(p_rates,5))))</f>
        <v>0.0</v>
      </c>
      <c r="AP147" s="62">
        <f>IF(OR(AG147="",INDEX(p_rates,6)=""),0,IF(AG147="Facture",SUMIFS(fl_ht,fl_doc,A147,fl_rate,INDEX(p_rates,6)),SUMIFS(dl_ht,dl_doc,F147,dl_rate,INDEX(p_rates,6))))</f>
        <v>0.0</v>
      </c>
      <c r="AQ147" s="62">
        <f>ROUND(AK147*N(INDEX(p_rates,1)),2)+ROUND(AL147*N(INDEX(p_rates,2)),2)+ROUND(AM147*N(INDEX(p_rates,3)),2)+ROUND(AN147*N(INDEX(p_rates,4)),2)+ROUND(AO147*N(INDEX(p_rates,5)),2)+ROUND(AP147*N(INDEX(p_rates,6)),2)</f>
        <v>0.0</v>
      </c>
      <c r="AR147" s="62" t="str">
        <f>IF(OR(L147="",AA147&lt;&gt;"Facture"),"",IFERROR(IF(INDEX(fa_type,MATCH(L147,fa_num,0))="Facture d'acompte",MATCH(L147,fa_num,0),""),""))</f>
        <v/>
      </c>
      <c r="AS147" s="62" t="str">
        <f>IF(W147="","",IF(W147&lt;=0,"",IF(p_asof-P147&lt;=0,"Non échu",IF(p_asof-P147&lt;=30,"1-30 j",IF(p_asof-P147&lt;=60,"31-60 j",IF(p_asof-P147&lt;=90,"61-90 j","Plus de 90 j"))))))</f>
        <v/>
      </c>
      <c r="AT147" s="62" t="str">
        <f>IF(AS147="","",p_asof-P147)</f>
        <v/>
      </c>
      <c r="AU147" s="62" t="str">
        <f>IF(AT147="","",COUNTIF($AT$6:$AT$805,"&gt;"&amp;AT147)+COUNTIF($AT$6:AT147,AT147))</f>
        <v/>
      </c>
    </row>
    <row r="148">
      <c r="A148" s="59" t="str">
        <f>IF(AE148="","",AB148&amp;"-"&amp;AD148&amp;"-"&amp;RIGHT("000"&amp;AE148,4))</f>
        <v/>
      </c>
      <c r="B148" s="60" t="n"/>
      <c r="C148" s="61" t="n"/>
      <c r="D148" s="60" t="n"/>
      <c r="E148" s="62" t="str">
        <f>IF(D148="","",IFERROR(INDEX(cli_name,MATCH(D148,cli_code,0))&amp;"","Client inconnu"))</f>
        <v/>
      </c>
      <c r="F148" s="60" t="n"/>
      <c r="G148" s="63" t="n"/>
      <c r="H148" s="61" t="n"/>
      <c r="I148" s="63" t="n"/>
      <c r="J148" s="60" t="n"/>
      <c r="K148" s="61" t="n"/>
      <c r="L148" s="60" t="n"/>
      <c r="M148" s="60" t="n"/>
      <c r="N148" s="60" t="n"/>
      <c r="O148" s="61" t="n"/>
      <c r="P148" s="64" t="str">
        <f>IF(A148="","",IF(AA148="Avoir",AC148,IF(ISNUMBER(K148),K148,AC148+IF(D148="",N(p_delay),IFERROR(IF(ISNUMBER(INDEX(cli_delay,MATCH(D148,cli_code,0))),INDEX(cli_delay,MATCH(D148,cli_code,0)),N(p_delay)),N(p_delay))))))</f>
        <v/>
      </c>
      <c r="Q148" s="65" t="str">
        <f>IF(A148="","",IF(AA148="Avoir",-1,1)*ROUND(AJ148-IF(AR148="",0,INDEX(fa_htb,AR148)),2))</f>
        <v/>
      </c>
      <c r="R148" s="65" t="str">
        <f>IF(A148="","",IF(AA148="Avoir",-1,1)*ROUND(AQ148-IF(AR148="",0,INDEX(fa_tvab,AR148)),2))</f>
        <v/>
      </c>
      <c r="S148" s="65" t="str">
        <f>IF(A148="","",Q148+R148)</f>
        <v/>
      </c>
      <c r="T148" s="65" t="str">
        <f>IF(AR148="","",INDEX(fa_htb,AR148)+INDEX(fa_tvab,AR148))</f>
        <v/>
      </c>
      <c r="U148" s="65" t="str">
        <f>IF(A148="","",SUMIF(pa_inv,A148,pa_amt))</f>
        <v/>
      </c>
      <c r="V148" s="65" t="str">
        <f>IF(OR(A148="",AA148="Avoir"),"",-SUMIFS(fa_ttc,fa_avof,A148,fa_type,"Avoir"))</f>
        <v/>
      </c>
      <c r="W148" s="65" t="str">
        <f>IF(OR(A148="",AA148="Avoir"),"",ROUND(S148-U148-V148,2))</f>
        <v/>
      </c>
      <c r="X148" s="66" t="str">
        <f>IF(W148="","",IF(AND(W148&gt;0,p_asof&gt;P148),p_asof-P148,""))</f>
        <v/>
      </c>
      <c r="Y148" s="59" t="str">
        <f>IF(A148="","",IF(AA148="Avoir","Avoir",IF(W148&lt;0,"Trop-perçu",IF(W148=0,"Soldée",IF(p_asof&gt;P148,"En retard",IF(U148+V148&gt;0,"Partielle","À échoir"))))))</f>
        <v/>
      </c>
      <c r="Z148" s="59" t="str">
        <f>IF(NOT(COUNTA(B148:D148,F148:O148)&gt;0),"",IF(C148="","Date manquante",IF(NOT(ISNUMBER(C148)),"Date invalide",IF(D148="","Client manquant",IF(ISNA(MATCH(D148,cli_code,0)),"Client inconnu",IF(AC148&lt;SUMPRODUCT(MAX(($AB$6:AB147=AB148)*$AC$6:AC147)),"Date antérieure à la facture précédente",IF(AND(F148&lt;&gt;"",ISNA(MATCH(F148,dv_num,0))),"Devis inconnu",IF(AND(F148&lt;&gt;"",IFERROR(INDEX(dv_client,MATCH(F148,dv_num,0)),D148)&lt;&gt;D148),"Client différent de celui du devis",IF(AG148="","Aucune ligne : saisissez des lignes ou un devis",IF(AND(AI148&lt;&gt;"",COUNTIF($AI$6:AI148,AI148)&gt;1),"Devis déjà repris par une autre facture",IF(AND(AA148="Avoir",M148=""),"Avoir : indiquez la facture d'origine",IF(AND(AA148="Avoir",ISNA(MATCH(M148,fa_num,0))),"Facture d'origine inconnue",IF(AND(AA148&lt;&gt;"Avoir",M148&lt;&gt;""),"« Avoir sur facture » : réservé aux avoirs",IF(AND(L148&lt;&gt;"",AA148&lt;&gt;"Facture"),"Acompte à déduire : réservé aux factures",IF(AND(L148&lt;&gt;"",ISNA(MATCH(L148,fa_num,0))),"Facture d'acompte inconnue",IF(AND(L148&lt;&gt;"",IFERROR(INDEX(fa_type,MATCH(L148,fa_num,0)),"")&lt;&gt;"Facture d'acompte"),"Le n° à déduire n'est pas une facture d'acompte",IF(AND(L148&lt;&gt;"",COUNTIF($L$6:L148,L148)&gt;1),"Acompte déjà déduit sur une autre facture",IF(AND(L148&lt;&gt;"",IFERROR(INDEX(fa_client,MATCH(L148,fa_num,0)),D148)&lt;&gt;D148),"Acompte d'un autre client",IF(AND(AR148&lt;&gt;"",N(Q148)&lt;0),"Acompte supérieur au total de la facture",IF(IF(AG148="Facture",COUNTIFS(fl_doc,A148,fl_check,"&lt;&gt;OK"),IF(AG148="Devis",COUNTIFS(dl_doc,F148,dl_check,"&lt;&gt;OK"),0))&gt;0,"Ligne(s) à corriger",IF(AND(W148&lt;&gt;"",N(W148)&lt;0),"Trop-perçu : vérifiez paiements et avoirs","OK")))))))))))))))))))))</f>
        <v/>
      </c>
      <c r="AA148" s="62" t="str">
        <f>IF(COUNTA(B148:D148,F148:O148)&gt;0,IF(B148="","Facture",B148),"")</f>
        <v/>
      </c>
      <c r="AB148" s="62" t="str">
        <f>IF(AA148="","",IF(AA148="Avoir",p_pav,IF(AA148="Facture d'acompte",p_pac,p_pfa)))</f>
        <v/>
      </c>
      <c r="AC148" s="62">
        <f>IF(ISNUMBER(C148),C148,0)</f>
        <v>0.0</v>
      </c>
      <c r="AD148" s="62" t="str">
        <f>IF(OR(AA148="",AC148=0),"",YEAR(AC148))</f>
        <v/>
      </c>
      <c r="AE148" s="62" t="str">
        <f>IF(AD148="","",COUNTIFS($AB$6:AB148,AB148,$AD$6:AD148,AD148))</f>
        <v/>
      </c>
      <c r="AF148" s="62">
        <f>IF(A148="",0,COUNTIF(fl_doc,A148))</f>
        <v>0.0</v>
      </c>
      <c r="AG148" s="62" t="str">
        <f>IF(A148="","",IF(AF148&gt;0,"Facture",IF(AND(F148&lt;&gt;"",AA148="Facture",ISNUMBER(MATCH(F148,dv_num,0))),"Devis","")))</f>
        <v/>
      </c>
      <c r="AH148" s="62" t="str">
        <f>IF(AND(A148&lt;&gt;"",F148&lt;&gt;"",AA148&lt;&gt;"Avoir"),F148,"")</f>
        <v/>
      </c>
      <c r="AI148" s="62" t="str">
        <f>IF(AG148="Devis",F148,"")</f>
        <v/>
      </c>
      <c r="AJ148" s="62">
        <f>IF(AG148="Facture",SUMIF(fl_doc,A148,fl_ht),IF(AG148="Devis",SUMIF(dl_doc,F148,dl_ht),0))</f>
        <v>0.0</v>
      </c>
      <c r="AK148" s="62">
        <f>IF(OR(AG148="",INDEX(p_rates,1)=""),0,IF(AG148="Facture",SUMIFS(fl_ht,fl_doc,A148,fl_rate,INDEX(p_rates,1)),SUMIFS(dl_ht,dl_doc,F148,dl_rate,INDEX(p_rates,1))))</f>
        <v>0.0</v>
      </c>
      <c r="AL148" s="62">
        <f>IF(OR(AG148="",INDEX(p_rates,2)=""),0,IF(AG148="Facture",SUMIFS(fl_ht,fl_doc,A148,fl_rate,INDEX(p_rates,2)),SUMIFS(dl_ht,dl_doc,F148,dl_rate,INDEX(p_rates,2))))</f>
        <v>0.0</v>
      </c>
      <c r="AM148" s="62">
        <f>IF(OR(AG148="",INDEX(p_rates,3)=""),0,IF(AG148="Facture",SUMIFS(fl_ht,fl_doc,A148,fl_rate,INDEX(p_rates,3)),SUMIFS(dl_ht,dl_doc,F148,dl_rate,INDEX(p_rates,3))))</f>
        <v>0.0</v>
      </c>
      <c r="AN148" s="62">
        <f>IF(OR(AG148="",INDEX(p_rates,4)=""),0,IF(AG148="Facture",SUMIFS(fl_ht,fl_doc,A148,fl_rate,INDEX(p_rates,4)),SUMIFS(dl_ht,dl_doc,F148,dl_rate,INDEX(p_rates,4))))</f>
        <v>0.0</v>
      </c>
      <c r="AO148" s="62">
        <f>IF(OR(AG148="",INDEX(p_rates,5)=""),0,IF(AG148="Facture",SUMIFS(fl_ht,fl_doc,A148,fl_rate,INDEX(p_rates,5)),SUMIFS(dl_ht,dl_doc,F148,dl_rate,INDEX(p_rates,5))))</f>
        <v>0.0</v>
      </c>
      <c r="AP148" s="62">
        <f>IF(OR(AG148="",INDEX(p_rates,6)=""),0,IF(AG148="Facture",SUMIFS(fl_ht,fl_doc,A148,fl_rate,INDEX(p_rates,6)),SUMIFS(dl_ht,dl_doc,F148,dl_rate,INDEX(p_rates,6))))</f>
        <v>0.0</v>
      </c>
      <c r="AQ148" s="62">
        <f>ROUND(AK148*N(INDEX(p_rates,1)),2)+ROUND(AL148*N(INDEX(p_rates,2)),2)+ROUND(AM148*N(INDEX(p_rates,3)),2)+ROUND(AN148*N(INDEX(p_rates,4)),2)+ROUND(AO148*N(INDEX(p_rates,5)),2)+ROUND(AP148*N(INDEX(p_rates,6)),2)</f>
        <v>0.0</v>
      </c>
      <c r="AR148" s="62" t="str">
        <f>IF(OR(L148="",AA148&lt;&gt;"Facture"),"",IFERROR(IF(INDEX(fa_type,MATCH(L148,fa_num,0))="Facture d'acompte",MATCH(L148,fa_num,0),""),""))</f>
        <v/>
      </c>
      <c r="AS148" s="62" t="str">
        <f>IF(W148="","",IF(W148&lt;=0,"",IF(p_asof-P148&lt;=0,"Non échu",IF(p_asof-P148&lt;=30,"1-30 j",IF(p_asof-P148&lt;=60,"31-60 j",IF(p_asof-P148&lt;=90,"61-90 j","Plus de 90 j"))))))</f>
        <v/>
      </c>
      <c r="AT148" s="62" t="str">
        <f>IF(AS148="","",p_asof-P148)</f>
        <v/>
      </c>
      <c r="AU148" s="62" t="str">
        <f>IF(AT148="","",COUNTIF($AT$6:$AT$805,"&gt;"&amp;AT148)+COUNTIF($AT$6:AT148,AT148))</f>
        <v/>
      </c>
    </row>
    <row r="149">
      <c r="A149" s="59" t="str">
        <f>IF(AE149="","",AB149&amp;"-"&amp;AD149&amp;"-"&amp;RIGHT("000"&amp;AE149,4))</f>
        <v/>
      </c>
      <c r="B149" s="60" t="n"/>
      <c r="C149" s="61" t="n"/>
      <c r="D149" s="60" t="n"/>
      <c r="E149" s="62" t="str">
        <f>IF(D149="","",IFERROR(INDEX(cli_name,MATCH(D149,cli_code,0))&amp;"","Client inconnu"))</f>
        <v/>
      </c>
      <c r="F149" s="60" t="n"/>
      <c r="G149" s="63" t="n"/>
      <c r="H149" s="61" t="n"/>
      <c r="I149" s="63" t="n"/>
      <c r="J149" s="60" t="n"/>
      <c r="K149" s="61" t="n"/>
      <c r="L149" s="60" t="n"/>
      <c r="M149" s="60" t="n"/>
      <c r="N149" s="60" t="n"/>
      <c r="O149" s="61" t="n"/>
      <c r="P149" s="64" t="str">
        <f>IF(A149="","",IF(AA149="Avoir",AC149,IF(ISNUMBER(K149),K149,AC149+IF(D149="",N(p_delay),IFERROR(IF(ISNUMBER(INDEX(cli_delay,MATCH(D149,cli_code,0))),INDEX(cli_delay,MATCH(D149,cli_code,0)),N(p_delay)),N(p_delay))))))</f>
        <v/>
      </c>
      <c r="Q149" s="65" t="str">
        <f>IF(A149="","",IF(AA149="Avoir",-1,1)*ROUND(AJ149-IF(AR149="",0,INDEX(fa_htb,AR149)),2))</f>
        <v/>
      </c>
      <c r="R149" s="65" t="str">
        <f>IF(A149="","",IF(AA149="Avoir",-1,1)*ROUND(AQ149-IF(AR149="",0,INDEX(fa_tvab,AR149)),2))</f>
        <v/>
      </c>
      <c r="S149" s="65" t="str">
        <f>IF(A149="","",Q149+R149)</f>
        <v/>
      </c>
      <c r="T149" s="65" t="str">
        <f>IF(AR149="","",INDEX(fa_htb,AR149)+INDEX(fa_tvab,AR149))</f>
        <v/>
      </c>
      <c r="U149" s="65" t="str">
        <f>IF(A149="","",SUMIF(pa_inv,A149,pa_amt))</f>
        <v/>
      </c>
      <c r="V149" s="65" t="str">
        <f>IF(OR(A149="",AA149="Avoir"),"",-SUMIFS(fa_ttc,fa_avof,A149,fa_type,"Avoir"))</f>
        <v/>
      </c>
      <c r="W149" s="65" t="str">
        <f>IF(OR(A149="",AA149="Avoir"),"",ROUND(S149-U149-V149,2))</f>
        <v/>
      </c>
      <c r="X149" s="66" t="str">
        <f>IF(W149="","",IF(AND(W149&gt;0,p_asof&gt;P149),p_asof-P149,""))</f>
        <v/>
      </c>
      <c r="Y149" s="59" t="str">
        <f>IF(A149="","",IF(AA149="Avoir","Avoir",IF(W149&lt;0,"Trop-perçu",IF(W149=0,"Soldée",IF(p_asof&gt;P149,"En retard",IF(U149+V149&gt;0,"Partielle","À échoir"))))))</f>
        <v/>
      </c>
      <c r="Z149" s="59" t="str">
        <f>IF(NOT(COUNTA(B149:D149,F149:O149)&gt;0),"",IF(C149="","Date manquante",IF(NOT(ISNUMBER(C149)),"Date invalide",IF(D149="","Client manquant",IF(ISNA(MATCH(D149,cli_code,0)),"Client inconnu",IF(AC149&lt;SUMPRODUCT(MAX(($AB$6:AB148=AB149)*$AC$6:AC148)),"Date antérieure à la facture précédente",IF(AND(F149&lt;&gt;"",ISNA(MATCH(F149,dv_num,0))),"Devis inconnu",IF(AND(F149&lt;&gt;"",IFERROR(INDEX(dv_client,MATCH(F149,dv_num,0)),D149)&lt;&gt;D149),"Client différent de celui du devis",IF(AG149="","Aucune ligne : saisissez des lignes ou un devis",IF(AND(AI149&lt;&gt;"",COUNTIF($AI$6:AI149,AI149)&gt;1),"Devis déjà repris par une autre facture",IF(AND(AA149="Avoir",M149=""),"Avoir : indiquez la facture d'origine",IF(AND(AA149="Avoir",ISNA(MATCH(M149,fa_num,0))),"Facture d'origine inconnue",IF(AND(AA149&lt;&gt;"Avoir",M149&lt;&gt;""),"« Avoir sur facture » : réservé aux avoirs",IF(AND(L149&lt;&gt;"",AA149&lt;&gt;"Facture"),"Acompte à déduire : réservé aux factures",IF(AND(L149&lt;&gt;"",ISNA(MATCH(L149,fa_num,0))),"Facture d'acompte inconnue",IF(AND(L149&lt;&gt;"",IFERROR(INDEX(fa_type,MATCH(L149,fa_num,0)),"")&lt;&gt;"Facture d'acompte"),"Le n° à déduire n'est pas une facture d'acompte",IF(AND(L149&lt;&gt;"",COUNTIF($L$6:L149,L149)&gt;1),"Acompte déjà déduit sur une autre facture",IF(AND(L149&lt;&gt;"",IFERROR(INDEX(fa_client,MATCH(L149,fa_num,0)),D149)&lt;&gt;D149),"Acompte d'un autre client",IF(AND(AR149&lt;&gt;"",N(Q149)&lt;0),"Acompte supérieur au total de la facture",IF(IF(AG149="Facture",COUNTIFS(fl_doc,A149,fl_check,"&lt;&gt;OK"),IF(AG149="Devis",COUNTIFS(dl_doc,F149,dl_check,"&lt;&gt;OK"),0))&gt;0,"Ligne(s) à corriger",IF(AND(W149&lt;&gt;"",N(W149)&lt;0),"Trop-perçu : vérifiez paiements et avoirs","OK")))))))))))))))))))))</f>
        <v/>
      </c>
      <c r="AA149" s="62" t="str">
        <f>IF(COUNTA(B149:D149,F149:O149)&gt;0,IF(B149="","Facture",B149),"")</f>
        <v/>
      </c>
      <c r="AB149" s="62" t="str">
        <f>IF(AA149="","",IF(AA149="Avoir",p_pav,IF(AA149="Facture d'acompte",p_pac,p_pfa)))</f>
        <v/>
      </c>
      <c r="AC149" s="62">
        <f>IF(ISNUMBER(C149),C149,0)</f>
        <v>0.0</v>
      </c>
      <c r="AD149" s="62" t="str">
        <f>IF(OR(AA149="",AC149=0),"",YEAR(AC149))</f>
        <v/>
      </c>
      <c r="AE149" s="62" t="str">
        <f>IF(AD149="","",COUNTIFS($AB$6:AB149,AB149,$AD$6:AD149,AD149))</f>
        <v/>
      </c>
      <c r="AF149" s="62">
        <f>IF(A149="",0,COUNTIF(fl_doc,A149))</f>
        <v>0.0</v>
      </c>
      <c r="AG149" s="62" t="str">
        <f>IF(A149="","",IF(AF149&gt;0,"Facture",IF(AND(F149&lt;&gt;"",AA149="Facture",ISNUMBER(MATCH(F149,dv_num,0))),"Devis","")))</f>
        <v/>
      </c>
      <c r="AH149" s="62" t="str">
        <f>IF(AND(A149&lt;&gt;"",F149&lt;&gt;"",AA149&lt;&gt;"Avoir"),F149,"")</f>
        <v/>
      </c>
      <c r="AI149" s="62" t="str">
        <f>IF(AG149="Devis",F149,"")</f>
        <v/>
      </c>
      <c r="AJ149" s="62">
        <f>IF(AG149="Facture",SUMIF(fl_doc,A149,fl_ht),IF(AG149="Devis",SUMIF(dl_doc,F149,dl_ht),0))</f>
        <v>0.0</v>
      </c>
      <c r="AK149" s="62">
        <f>IF(OR(AG149="",INDEX(p_rates,1)=""),0,IF(AG149="Facture",SUMIFS(fl_ht,fl_doc,A149,fl_rate,INDEX(p_rates,1)),SUMIFS(dl_ht,dl_doc,F149,dl_rate,INDEX(p_rates,1))))</f>
        <v>0.0</v>
      </c>
      <c r="AL149" s="62">
        <f>IF(OR(AG149="",INDEX(p_rates,2)=""),0,IF(AG149="Facture",SUMIFS(fl_ht,fl_doc,A149,fl_rate,INDEX(p_rates,2)),SUMIFS(dl_ht,dl_doc,F149,dl_rate,INDEX(p_rates,2))))</f>
        <v>0.0</v>
      </c>
      <c r="AM149" s="62">
        <f>IF(OR(AG149="",INDEX(p_rates,3)=""),0,IF(AG149="Facture",SUMIFS(fl_ht,fl_doc,A149,fl_rate,INDEX(p_rates,3)),SUMIFS(dl_ht,dl_doc,F149,dl_rate,INDEX(p_rates,3))))</f>
        <v>0.0</v>
      </c>
      <c r="AN149" s="62">
        <f>IF(OR(AG149="",INDEX(p_rates,4)=""),0,IF(AG149="Facture",SUMIFS(fl_ht,fl_doc,A149,fl_rate,INDEX(p_rates,4)),SUMIFS(dl_ht,dl_doc,F149,dl_rate,INDEX(p_rates,4))))</f>
        <v>0.0</v>
      </c>
      <c r="AO149" s="62">
        <f>IF(OR(AG149="",INDEX(p_rates,5)=""),0,IF(AG149="Facture",SUMIFS(fl_ht,fl_doc,A149,fl_rate,INDEX(p_rates,5)),SUMIFS(dl_ht,dl_doc,F149,dl_rate,INDEX(p_rates,5))))</f>
        <v>0.0</v>
      </c>
      <c r="AP149" s="62">
        <f>IF(OR(AG149="",INDEX(p_rates,6)=""),0,IF(AG149="Facture",SUMIFS(fl_ht,fl_doc,A149,fl_rate,INDEX(p_rates,6)),SUMIFS(dl_ht,dl_doc,F149,dl_rate,INDEX(p_rates,6))))</f>
        <v>0.0</v>
      </c>
      <c r="AQ149" s="62">
        <f>ROUND(AK149*N(INDEX(p_rates,1)),2)+ROUND(AL149*N(INDEX(p_rates,2)),2)+ROUND(AM149*N(INDEX(p_rates,3)),2)+ROUND(AN149*N(INDEX(p_rates,4)),2)+ROUND(AO149*N(INDEX(p_rates,5)),2)+ROUND(AP149*N(INDEX(p_rates,6)),2)</f>
        <v>0.0</v>
      </c>
      <c r="AR149" s="62" t="str">
        <f>IF(OR(L149="",AA149&lt;&gt;"Facture"),"",IFERROR(IF(INDEX(fa_type,MATCH(L149,fa_num,0))="Facture d'acompte",MATCH(L149,fa_num,0),""),""))</f>
        <v/>
      </c>
      <c r="AS149" s="62" t="str">
        <f>IF(W149="","",IF(W149&lt;=0,"",IF(p_asof-P149&lt;=0,"Non échu",IF(p_asof-P149&lt;=30,"1-30 j",IF(p_asof-P149&lt;=60,"31-60 j",IF(p_asof-P149&lt;=90,"61-90 j","Plus de 90 j"))))))</f>
        <v/>
      </c>
      <c r="AT149" s="62" t="str">
        <f>IF(AS149="","",p_asof-P149)</f>
        <v/>
      </c>
      <c r="AU149" s="62" t="str">
        <f>IF(AT149="","",COUNTIF($AT$6:$AT$805,"&gt;"&amp;AT149)+COUNTIF($AT$6:AT149,AT149))</f>
        <v/>
      </c>
    </row>
    <row r="150">
      <c r="A150" s="59" t="str">
        <f>IF(AE150="","",AB150&amp;"-"&amp;AD150&amp;"-"&amp;RIGHT("000"&amp;AE150,4))</f>
        <v/>
      </c>
      <c r="B150" s="60" t="n"/>
      <c r="C150" s="61" t="n"/>
      <c r="D150" s="60" t="n"/>
      <c r="E150" s="62" t="str">
        <f>IF(D150="","",IFERROR(INDEX(cli_name,MATCH(D150,cli_code,0))&amp;"","Client inconnu"))</f>
        <v/>
      </c>
      <c r="F150" s="60" t="n"/>
      <c r="G150" s="63" t="n"/>
      <c r="H150" s="61" t="n"/>
      <c r="I150" s="63" t="n"/>
      <c r="J150" s="60" t="n"/>
      <c r="K150" s="61" t="n"/>
      <c r="L150" s="60" t="n"/>
      <c r="M150" s="60" t="n"/>
      <c r="N150" s="60" t="n"/>
      <c r="O150" s="61" t="n"/>
      <c r="P150" s="64" t="str">
        <f>IF(A150="","",IF(AA150="Avoir",AC150,IF(ISNUMBER(K150),K150,AC150+IF(D150="",N(p_delay),IFERROR(IF(ISNUMBER(INDEX(cli_delay,MATCH(D150,cli_code,0))),INDEX(cli_delay,MATCH(D150,cli_code,0)),N(p_delay)),N(p_delay))))))</f>
        <v/>
      </c>
      <c r="Q150" s="65" t="str">
        <f>IF(A150="","",IF(AA150="Avoir",-1,1)*ROUND(AJ150-IF(AR150="",0,INDEX(fa_htb,AR150)),2))</f>
        <v/>
      </c>
      <c r="R150" s="65" t="str">
        <f>IF(A150="","",IF(AA150="Avoir",-1,1)*ROUND(AQ150-IF(AR150="",0,INDEX(fa_tvab,AR150)),2))</f>
        <v/>
      </c>
      <c r="S150" s="65" t="str">
        <f>IF(A150="","",Q150+R150)</f>
        <v/>
      </c>
      <c r="T150" s="65" t="str">
        <f>IF(AR150="","",INDEX(fa_htb,AR150)+INDEX(fa_tvab,AR150))</f>
        <v/>
      </c>
      <c r="U150" s="65" t="str">
        <f>IF(A150="","",SUMIF(pa_inv,A150,pa_amt))</f>
        <v/>
      </c>
      <c r="V150" s="65" t="str">
        <f>IF(OR(A150="",AA150="Avoir"),"",-SUMIFS(fa_ttc,fa_avof,A150,fa_type,"Avoir"))</f>
        <v/>
      </c>
      <c r="W150" s="65" t="str">
        <f>IF(OR(A150="",AA150="Avoir"),"",ROUND(S150-U150-V150,2))</f>
        <v/>
      </c>
      <c r="X150" s="66" t="str">
        <f>IF(W150="","",IF(AND(W150&gt;0,p_asof&gt;P150),p_asof-P150,""))</f>
        <v/>
      </c>
      <c r="Y150" s="59" t="str">
        <f>IF(A150="","",IF(AA150="Avoir","Avoir",IF(W150&lt;0,"Trop-perçu",IF(W150=0,"Soldée",IF(p_asof&gt;P150,"En retard",IF(U150+V150&gt;0,"Partielle","À échoir"))))))</f>
        <v/>
      </c>
      <c r="Z150" s="59" t="str">
        <f>IF(NOT(COUNTA(B150:D150,F150:O150)&gt;0),"",IF(C150="","Date manquante",IF(NOT(ISNUMBER(C150)),"Date invalide",IF(D150="","Client manquant",IF(ISNA(MATCH(D150,cli_code,0)),"Client inconnu",IF(AC150&lt;SUMPRODUCT(MAX(($AB$6:AB149=AB150)*$AC$6:AC149)),"Date antérieure à la facture précédente",IF(AND(F150&lt;&gt;"",ISNA(MATCH(F150,dv_num,0))),"Devis inconnu",IF(AND(F150&lt;&gt;"",IFERROR(INDEX(dv_client,MATCH(F150,dv_num,0)),D150)&lt;&gt;D150),"Client différent de celui du devis",IF(AG150="","Aucune ligne : saisissez des lignes ou un devis",IF(AND(AI150&lt;&gt;"",COUNTIF($AI$6:AI150,AI150)&gt;1),"Devis déjà repris par une autre facture",IF(AND(AA150="Avoir",M150=""),"Avoir : indiquez la facture d'origine",IF(AND(AA150="Avoir",ISNA(MATCH(M150,fa_num,0))),"Facture d'origine inconnue",IF(AND(AA150&lt;&gt;"Avoir",M150&lt;&gt;""),"« Avoir sur facture » : réservé aux avoirs",IF(AND(L150&lt;&gt;"",AA150&lt;&gt;"Facture"),"Acompte à déduire : réservé aux factures",IF(AND(L150&lt;&gt;"",ISNA(MATCH(L150,fa_num,0))),"Facture d'acompte inconnue",IF(AND(L150&lt;&gt;"",IFERROR(INDEX(fa_type,MATCH(L150,fa_num,0)),"")&lt;&gt;"Facture d'acompte"),"Le n° à déduire n'est pas une facture d'acompte",IF(AND(L150&lt;&gt;"",COUNTIF($L$6:L150,L150)&gt;1),"Acompte déjà déduit sur une autre facture",IF(AND(L150&lt;&gt;"",IFERROR(INDEX(fa_client,MATCH(L150,fa_num,0)),D150)&lt;&gt;D150),"Acompte d'un autre client",IF(AND(AR150&lt;&gt;"",N(Q150)&lt;0),"Acompte supérieur au total de la facture",IF(IF(AG150="Facture",COUNTIFS(fl_doc,A150,fl_check,"&lt;&gt;OK"),IF(AG150="Devis",COUNTIFS(dl_doc,F150,dl_check,"&lt;&gt;OK"),0))&gt;0,"Ligne(s) à corriger",IF(AND(W150&lt;&gt;"",N(W150)&lt;0),"Trop-perçu : vérifiez paiements et avoirs","OK")))))))))))))))))))))</f>
        <v/>
      </c>
      <c r="AA150" s="62" t="str">
        <f>IF(COUNTA(B150:D150,F150:O150)&gt;0,IF(B150="","Facture",B150),"")</f>
        <v/>
      </c>
      <c r="AB150" s="62" t="str">
        <f>IF(AA150="","",IF(AA150="Avoir",p_pav,IF(AA150="Facture d'acompte",p_pac,p_pfa)))</f>
        <v/>
      </c>
      <c r="AC150" s="62">
        <f>IF(ISNUMBER(C150),C150,0)</f>
        <v>0.0</v>
      </c>
      <c r="AD150" s="62" t="str">
        <f>IF(OR(AA150="",AC150=0),"",YEAR(AC150))</f>
        <v/>
      </c>
      <c r="AE150" s="62" t="str">
        <f>IF(AD150="","",COUNTIFS($AB$6:AB150,AB150,$AD$6:AD150,AD150))</f>
        <v/>
      </c>
      <c r="AF150" s="62">
        <f>IF(A150="",0,COUNTIF(fl_doc,A150))</f>
        <v>0.0</v>
      </c>
      <c r="AG150" s="62" t="str">
        <f>IF(A150="","",IF(AF150&gt;0,"Facture",IF(AND(F150&lt;&gt;"",AA150="Facture",ISNUMBER(MATCH(F150,dv_num,0))),"Devis","")))</f>
        <v/>
      </c>
      <c r="AH150" s="62" t="str">
        <f>IF(AND(A150&lt;&gt;"",F150&lt;&gt;"",AA150&lt;&gt;"Avoir"),F150,"")</f>
        <v/>
      </c>
      <c r="AI150" s="62" t="str">
        <f>IF(AG150="Devis",F150,"")</f>
        <v/>
      </c>
      <c r="AJ150" s="62">
        <f>IF(AG150="Facture",SUMIF(fl_doc,A150,fl_ht),IF(AG150="Devis",SUMIF(dl_doc,F150,dl_ht),0))</f>
        <v>0.0</v>
      </c>
      <c r="AK150" s="62">
        <f>IF(OR(AG150="",INDEX(p_rates,1)=""),0,IF(AG150="Facture",SUMIFS(fl_ht,fl_doc,A150,fl_rate,INDEX(p_rates,1)),SUMIFS(dl_ht,dl_doc,F150,dl_rate,INDEX(p_rates,1))))</f>
        <v>0.0</v>
      </c>
      <c r="AL150" s="62">
        <f>IF(OR(AG150="",INDEX(p_rates,2)=""),0,IF(AG150="Facture",SUMIFS(fl_ht,fl_doc,A150,fl_rate,INDEX(p_rates,2)),SUMIFS(dl_ht,dl_doc,F150,dl_rate,INDEX(p_rates,2))))</f>
        <v>0.0</v>
      </c>
      <c r="AM150" s="62">
        <f>IF(OR(AG150="",INDEX(p_rates,3)=""),0,IF(AG150="Facture",SUMIFS(fl_ht,fl_doc,A150,fl_rate,INDEX(p_rates,3)),SUMIFS(dl_ht,dl_doc,F150,dl_rate,INDEX(p_rates,3))))</f>
        <v>0.0</v>
      </c>
      <c r="AN150" s="62">
        <f>IF(OR(AG150="",INDEX(p_rates,4)=""),0,IF(AG150="Facture",SUMIFS(fl_ht,fl_doc,A150,fl_rate,INDEX(p_rates,4)),SUMIFS(dl_ht,dl_doc,F150,dl_rate,INDEX(p_rates,4))))</f>
        <v>0.0</v>
      </c>
      <c r="AO150" s="62">
        <f>IF(OR(AG150="",INDEX(p_rates,5)=""),0,IF(AG150="Facture",SUMIFS(fl_ht,fl_doc,A150,fl_rate,INDEX(p_rates,5)),SUMIFS(dl_ht,dl_doc,F150,dl_rate,INDEX(p_rates,5))))</f>
        <v>0.0</v>
      </c>
      <c r="AP150" s="62">
        <f>IF(OR(AG150="",INDEX(p_rates,6)=""),0,IF(AG150="Facture",SUMIFS(fl_ht,fl_doc,A150,fl_rate,INDEX(p_rates,6)),SUMIFS(dl_ht,dl_doc,F150,dl_rate,INDEX(p_rates,6))))</f>
        <v>0.0</v>
      </c>
      <c r="AQ150" s="62">
        <f>ROUND(AK150*N(INDEX(p_rates,1)),2)+ROUND(AL150*N(INDEX(p_rates,2)),2)+ROUND(AM150*N(INDEX(p_rates,3)),2)+ROUND(AN150*N(INDEX(p_rates,4)),2)+ROUND(AO150*N(INDEX(p_rates,5)),2)+ROUND(AP150*N(INDEX(p_rates,6)),2)</f>
        <v>0.0</v>
      </c>
      <c r="AR150" s="62" t="str">
        <f>IF(OR(L150="",AA150&lt;&gt;"Facture"),"",IFERROR(IF(INDEX(fa_type,MATCH(L150,fa_num,0))="Facture d'acompte",MATCH(L150,fa_num,0),""),""))</f>
        <v/>
      </c>
      <c r="AS150" s="62" t="str">
        <f>IF(W150="","",IF(W150&lt;=0,"",IF(p_asof-P150&lt;=0,"Non échu",IF(p_asof-P150&lt;=30,"1-30 j",IF(p_asof-P150&lt;=60,"31-60 j",IF(p_asof-P150&lt;=90,"61-90 j","Plus de 90 j"))))))</f>
        <v/>
      </c>
      <c r="AT150" s="62" t="str">
        <f>IF(AS150="","",p_asof-P150)</f>
        <v/>
      </c>
      <c r="AU150" s="62" t="str">
        <f>IF(AT150="","",COUNTIF($AT$6:$AT$805,"&gt;"&amp;AT150)+COUNTIF($AT$6:AT150,AT150))</f>
        <v/>
      </c>
    </row>
    <row r="151">
      <c r="A151" s="59" t="str">
        <f>IF(AE151="","",AB151&amp;"-"&amp;AD151&amp;"-"&amp;RIGHT("000"&amp;AE151,4))</f>
        <v/>
      </c>
      <c r="B151" s="60" t="n"/>
      <c r="C151" s="61" t="n"/>
      <c r="D151" s="60" t="n"/>
      <c r="E151" s="62" t="str">
        <f>IF(D151="","",IFERROR(INDEX(cli_name,MATCH(D151,cli_code,0))&amp;"","Client inconnu"))</f>
        <v/>
      </c>
      <c r="F151" s="60" t="n"/>
      <c r="G151" s="63" t="n"/>
      <c r="H151" s="61" t="n"/>
      <c r="I151" s="63" t="n"/>
      <c r="J151" s="60" t="n"/>
      <c r="K151" s="61" t="n"/>
      <c r="L151" s="60" t="n"/>
      <c r="M151" s="60" t="n"/>
      <c r="N151" s="60" t="n"/>
      <c r="O151" s="61" t="n"/>
      <c r="P151" s="64" t="str">
        <f>IF(A151="","",IF(AA151="Avoir",AC151,IF(ISNUMBER(K151),K151,AC151+IF(D151="",N(p_delay),IFERROR(IF(ISNUMBER(INDEX(cli_delay,MATCH(D151,cli_code,0))),INDEX(cli_delay,MATCH(D151,cli_code,0)),N(p_delay)),N(p_delay))))))</f>
        <v/>
      </c>
      <c r="Q151" s="65" t="str">
        <f>IF(A151="","",IF(AA151="Avoir",-1,1)*ROUND(AJ151-IF(AR151="",0,INDEX(fa_htb,AR151)),2))</f>
        <v/>
      </c>
      <c r="R151" s="65" t="str">
        <f>IF(A151="","",IF(AA151="Avoir",-1,1)*ROUND(AQ151-IF(AR151="",0,INDEX(fa_tvab,AR151)),2))</f>
        <v/>
      </c>
      <c r="S151" s="65" t="str">
        <f>IF(A151="","",Q151+R151)</f>
        <v/>
      </c>
      <c r="T151" s="65" t="str">
        <f>IF(AR151="","",INDEX(fa_htb,AR151)+INDEX(fa_tvab,AR151))</f>
        <v/>
      </c>
      <c r="U151" s="65" t="str">
        <f>IF(A151="","",SUMIF(pa_inv,A151,pa_amt))</f>
        <v/>
      </c>
      <c r="V151" s="65" t="str">
        <f>IF(OR(A151="",AA151="Avoir"),"",-SUMIFS(fa_ttc,fa_avof,A151,fa_type,"Avoir"))</f>
        <v/>
      </c>
      <c r="W151" s="65" t="str">
        <f>IF(OR(A151="",AA151="Avoir"),"",ROUND(S151-U151-V151,2))</f>
        <v/>
      </c>
      <c r="X151" s="66" t="str">
        <f>IF(W151="","",IF(AND(W151&gt;0,p_asof&gt;P151),p_asof-P151,""))</f>
        <v/>
      </c>
      <c r="Y151" s="59" t="str">
        <f>IF(A151="","",IF(AA151="Avoir","Avoir",IF(W151&lt;0,"Trop-perçu",IF(W151=0,"Soldée",IF(p_asof&gt;P151,"En retard",IF(U151+V151&gt;0,"Partielle","À échoir"))))))</f>
        <v/>
      </c>
      <c r="Z151" s="59" t="str">
        <f>IF(NOT(COUNTA(B151:D151,F151:O151)&gt;0),"",IF(C151="","Date manquante",IF(NOT(ISNUMBER(C151)),"Date invalide",IF(D151="","Client manquant",IF(ISNA(MATCH(D151,cli_code,0)),"Client inconnu",IF(AC151&lt;SUMPRODUCT(MAX(($AB$6:AB150=AB151)*$AC$6:AC150)),"Date antérieure à la facture précédente",IF(AND(F151&lt;&gt;"",ISNA(MATCH(F151,dv_num,0))),"Devis inconnu",IF(AND(F151&lt;&gt;"",IFERROR(INDEX(dv_client,MATCH(F151,dv_num,0)),D151)&lt;&gt;D151),"Client différent de celui du devis",IF(AG151="","Aucune ligne : saisissez des lignes ou un devis",IF(AND(AI151&lt;&gt;"",COUNTIF($AI$6:AI151,AI151)&gt;1),"Devis déjà repris par une autre facture",IF(AND(AA151="Avoir",M151=""),"Avoir : indiquez la facture d'origine",IF(AND(AA151="Avoir",ISNA(MATCH(M151,fa_num,0))),"Facture d'origine inconnue",IF(AND(AA151&lt;&gt;"Avoir",M151&lt;&gt;""),"« Avoir sur facture » : réservé aux avoirs",IF(AND(L151&lt;&gt;"",AA151&lt;&gt;"Facture"),"Acompte à déduire : réservé aux factures",IF(AND(L151&lt;&gt;"",ISNA(MATCH(L151,fa_num,0))),"Facture d'acompte inconnue",IF(AND(L151&lt;&gt;"",IFERROR(INDEX(fa_type,MATCH(L151,fa_num,0)),"")&lt;&gt;"Facture d'acompte"),"Le n° à déduire n'est pas une facture d'acompte",IF(AND(L151&lt;&gt;"",COUNTIF($L$6:L151,L151)&gt;1),"Acompte déjà déduit sur une autre facture",IF(AND(L151&lt;&gt;"",IFERROR(INDEX(fa_client,MATCH(L151,fa_num,0)),D151)&lt;&gt;D151),"Acompte d'un autre client",IF(AND(AR151&lt;&gt;"",N(Q151)&lt;0),"Acompte supérieur au total de la facture",IF(IF(AG151="Facture",COUNTIFS(fl_doc,A151,fl_check,"&lt;&gt;OK"),IF(AG151="Devis",COUNTIFS(dl_doc,F151,dl_check,"&lt;&gt;OK"),0))&gt;0,"Ligne(s) à corriger",IF(AND(W151&lt;&gt;"",N(W151)&lt;0),"Trop-perçu : vérifiez paiements et avoirs","OK")))))))))))))))))))))</f>
        <v/>
      </c>
      <c r="AA151" s="62" t="str">
        <f>IF(COUNTA(B151:D151,F151:O151)&gt;0,IF(B151="","Facture",B151),"")</f>
        <v/>
      </c>
      <c r="AB151" s="62" t="str">
        <f>IF(AA151="","",IF(AA151="Avoir",p_pav,IF(AA151="Facture d'acompte",p_pac,p_pfa)))</f>
        <v/>
      </c>
      <c r="AC151" s="62">
        <f>IF(ISNUMBER(C151),C151,0)</f>
        <v>0.0</v>
      </c>
      <c r="AD151" s="62" t="str">
        <f>IF(OR(AA151="",AC151=0),"",YEAR(AC151))</f>
        <v/>
      </c>
      <c r="AE151" s="62" t="str">
        <f>IF(AD151="","",COUNTIFS($AB$6:AB151,AB151,$AD$6:AD151,AD151))</f>
        <v/>
      </c>
      <c r="AF151" s="62">
        <f>IF(A151="",0,COUNTIF(fl_doc,A151))</f>
        <v>0.0</v>
      </c>
      <c r="AG151" s="62" t="str">
        <f>IF(A151="","",IF(AF151&gt;0,"Facture",IF(AND(F151&lt;&gt;"",AA151="Facture",ISNUMBER(MATCH(F151,dv_num,0))),"Devis","")))</f>
        <v/>
      </c>
      <c r="AH151" s="62" t="str">
        <f>IF(AND(A151&lt;&gt;"",F151&lt;&gt;"",AA151&lt;&gt;"Avoir"),F151,"")</f>
        <v/>
      </c>
      <c r="AI151" s="62" t="str">
        <f>IF(AG151="Devis",F151,"")</f>
        <v/>
      </c>
      <c r="AJ151" s="62">
        <f>IF(AG151="Facture",SUMIF(fl_doc,A151,fl_ht),IF(AG151="Devis",SUMIF(dl_doc,F151,dl_ht),0))</f>
        <v>0.0</v>
      </c>
      <c r="AK151" s="62">
        <f>IF(OR(AG151="",INDEX(p_rates,1)=""),0,IF(AG151="Facture",SUMIFS(fl_ht,fl_doc,A151,fl_rate,INDEX(p_rates,1)),SUMIFS(dl_ht,dl_doc,F151,dl_rate,INDEX(p_rates,1))))</f>
        <v>0.0</v>
      </c>
      <c r="AL151" s="62">
        <f>IF(OR(AG151="",INDEX(p_rates,2)=""),0,IF(AG151="Facture",SUMIFS(fl_ht,fl_doc,A151,fl_rate,INDEX(p_rates,2)),SUMIFS(dl_ht,dl_doc,F151,dl_rate,INDEX(p_rates,2))))</f>
        <v>0.0</v>
      </c>
      <c r="AM151" s="62">
        <f>IF(OR(AG151="",INDEX(p_rates,3)=""),0,IF(AG151="Facture",SUMIFS(fl_ht,fl_doc,A151,fl_rate,INDEX(p_rates,3)),SUMIFS(dl_ht,dl_doc,F151,dl_rate,INDEX(p_rates,3))))</f>
        <v>0.0</v>
      </c>
      <c r="AN151" s="62">
        <f>IF(OR(AG151="",INDEX(p_rates,4)=""),0,IF(AG151="Facture",SUMIFS(fl_ht,fl_doc,A151,fl_rate,INDEX(p_rates,4)),SUMIFS(dl_ht,dl_doc,F151,dl_rate,INDEX(p_rates,4))))</f>
        <v>0.0</v>
      </c>
      <c r="AO151" s="62">
        <f>IF(OR(AG151="",INDEX(p_rates,5)=""),0,IF(AG151="Facture",SUMIFS(fl_ht,fl_doc,A151,fl_rate,INDEX(p_rates,5)),SUMIFS(dl_ht,dl_doc,F151,dl_rate,INDEX(p_rates,5))))</f>
        <v>0.0</v>
      </c>
      <c r="AP151" s="62">
        <f>IF(OR(AG151="",INDEX(p_rates,6)=""),0,IF(AG151="Facture",SUMIFS(fl_ht,fl_doc,A151,fl_rate,INDEX(p_rates,6)),SUMIFS(dl_ht,dl_doc,F151,dl_rate,INDEX(p_rates,6))))</f>
        <v>0.0</v>
      </c>
      <c r="AQ151" s="62">
        <f>ROUND(AK151*N(INDEX(p_rates,1)),2)+ROUND(AL151*N(INDEX(p_rates,2)),2)+ROUND(AM151*N(INDEX(p_rates,3)),2)+ROUND(AN151*N(INDEX(p_rates,4)),2)+ROUND(AO151*N(INDEX(p_rates,5)),2)+ROUND(AP151*N(INDEX(p_rates,6)),2)</f>
        <v>0.0</v>
      </c>
      <c r="AR151" s="62" t="str">
        <f>IF(OR(L151="",AA151&lt;&gt;"Facture"),"",IFERROR(IF(INDEX(fa_type,MATCH(L151,fa_num,0))="Facture d'acompte",MATCH(L151,fa_num,0),""),""))</f>
        <v/>
      </c>
      <c r="AS151" s="62" t="str">
        <f>IF(W151="","",IF(W151&lt;=0,"",IF(p_asof-P151&lt;=0,"Non échu",IF(p_asof-P151&lt;=30,"1-30 j",IF(p_asof-P151&lt;=60,"31-60 j",IF(p_asof-P151&lt;=90,"61-90 j","Plus de 90 j"))))))</f>
        <v/>
      </c>
      <c r="AT151" s="62" t="str">
        <f>IF(AS151="","",p_asof-P151)</f>
        <v/>
      </c>
      <c r="AU151" s="62" t="str">
        <f>IF(AT151="","",COUNTIF($AT$6:$AT$805,"&gt;"&amp;AT151)+COUNTIF($AT$6:AT151,AT151))</f>
        <v/>
      </c>
    </row>
    <row r="152">
      <c r="A152" s="59" t="str">
        <f>IF(AE152="","",AB152&amp;"-"&amp;AD152&amp;"-"&amp;RIGHT("000"&amp;AE152,4))</f>
        <v/>
      </c>
      <c r="B152" s="60" t="n"/>
      <c r="C152" s="61" t="n"/>
      <c r="D152" s="60" t="n"/>
      <c r="E152" s="62" t="str">
        <f>IF(D152="","",IFERROR(INDEX(cli_name,MATCH(D152,cli_code,0))&amp;"","Client inconnu"))</f>
        <v/>
      </c>
      <c r="F152" s="60" t="n"/>
      <c r="G152" s="63" t="n"/>
      <c r="H152" s="61" t="n"/>
      <c r="I152" s="63" t="n"/>
      <c r="J152" s="60" t="n"/>
      <c r="K152" s="61" t="n"/>
      <c r="L152" s="60" t="n"/>
      <c r="M152" s="60" t="n"/>
      <c r="N152" s="60" t="n"/>
      <c r="O152" s="61" t="n"/>
      <c r="P152" s="64" t="str">
        <f>IF(A152="","",IF(AA152="Avoir",AC152,IF(ISNUMBER(K152),K152,AC152+IF(D152="",N(p_delay),IFERROR(IF(ISNUMBER(INDEX(cli_delay,MATCH(D152,cli_code,0))),INDEX(cli_delay,MATCH(D152,cli_code,0)),N(p_delay)),N(p_delay))))))</f>
        <v/>
      </c>
      <c r="Q152" s="65" t="str">
        <f>IF(A152="","",IF(AA152="Avoir",-1,1)*ROUND(AJ152-IF(AR152="",0,INDEX(fa_htb,AR152)),2))</f>
        <v/>
      </c>
      <c r="R152" s="65" t="str">
        <f>IF(A152="","",IF(AA152="Avoir",-1,1)*ROUND(AQ152-IF(AR152="",0,INDEX(fa_tvab,AR152)),2))</f>
        <v/>
      </c>
      <c r="S152" s="65" t="str">
        <f>IF(A152="","",Q152+R152)</f>
        <v/>
      </c>
      <c r="T152" s="65" t="str">
        <f>IF(AR152="","",INDEX(fa_htb,AR152)+INDEX(fa_tvab,AR152))</f>
        <v/>
      </c>
      <c r="U152" s="65" t="str">
        <f>IF(A152="","",SUMIF(pa_inv,A152,pa_amt))</f>
        <v/>
      </c>
      <c r="V152" s="65" t="str">
        <f>IF(OR(A152="",AA152="Avoir"),"",-SUMIFS(fa_ttc,fa_avof,A152,fa_type,"Avoir"))</f>
        <v/>
      </c>
      <c r="W152" s="65" t="str">
        <f>IF(OR(A152="",AA152="Avoir"),"",ROUND(S152-U152-V152,2))</f>
        <v/>
      </c>
      <c r="X152" s="66" t="str">
        <f>IF(W152="","",IF(AND(W152&gt;0,p_asof&gt;P152),p_asof-P152,""))</f>
        <v/>
      </c>
      <c r="Y152" s="59" t="str">
        <f>IF(A152="","",IF(AA152="Avoir","Avoir",IF(W152&lt;0,"Trop-perçu",IF(W152=0,"Soldée",IF(p_asof&gt;P152,"En retard",IF(U152+V152&gt;0,"Partielle","À échoir"))))))</f>
        <v/>
      </c>
      <c r="Z152" s="59" t="str">
        <f>IF(NOT(COUNTA(B152:D152,F152:O152)&gt;0),"",IF(C152="","Date manquante",IF(NOT(ISNUMBER(C152)),"Date invalide",IF(D152="","Client manquant",IF(ISNA(MATCH(D152,cli_code,0)),"Client inconnu",IF(AC152&lt;SUMPRODUCT(MAX(($AB$6:AB151=AB152)*$AC$6:AC151)),"Date antérieure à la facture précédente",IF(AND(F152&lt;&gt;"",ISNA(MATCH(F152,dv_num,0))),"Devis inconnu",IF(AND(F152&lt;&gt;"",IFERROR(INDEX(dv_client,MATCH(F152,dv_num,0)),D152)&lt;&gt;D152),"Client différent de celui du devis",IF(AG152="","Aucune ligne : saisissez des lignes ou un devis",IF(AND(AI152&lt;&gt;"",COUNTIF($AI$6:AI152,AI152)&gt;1),"Devis déjà repris par une autre facture",IF(AND(AA152="Avoir",M152=""),"Avoir : indiquez la facture d'origine",IF(AND(AA152="Avoir",ISNA(MATCH(M152,fa_num,0))),"Facture d'origine inconnue",IF(AND(AA152&lt;&gt;"Avoir",M152&lt;&gt;""),"« Avoir sur facture » : réservé aux avoirs",IF(AND(L152&lt;&gt;"",AA152&lt;&gt;"Facture"),"Acompte à déduire : réservé aux factures",IF(AND(L152&lt;&gt;"",ISNA(MATCH(L152,fa_num,0))),"Facture d'acompte inconnue",IF(AND(L152&lt;&gt;"",IFERROR(INDEX(fa_type,MATCH(L152,fa_num,0)),"")&lt;&gt;"Facture d'acompte"),"Le n° à déduire n'est pas une facture d'acompte",IF(AND(L152&lt;&gt;"",COUNTIF($L$6:L152,L152)&gt;1),"Acompte déjà déduit sur une autre facture",IF(AND(L152&lt;&gt;"",IFERROR(INDEX(fa_client,MATCH(L152,fa_num,0)),D152)&lt;&gt;D152),"Acompte d'un autre client",IF(AND(AR152&lt;&gt;"",N(Q152)&lt;0),"Acompte supérieur au total de la facture",IF(IF(AG152="Facture",COUNTIFS(fl_doc,A152,fl_check,"&lt;&gt;OK"),IF(AG152="Devis",COUNTIFS(dl_doc,F152,dl_check,"&lt;&gt;OK"),0))&gt;0,"Ligne(s) à corriger",IF(AND(W152&lt;&gt;"",N(W152)&lt;0),"Trop-perçu : vérifiez paiements et avoirs","OK")))))))))))))))))))))</f>
        <v/>
      </c>
      <c r="AA152" s="62" t="str">
        <f>IF(COUNTA(B152:D152,F152:O152)&gt;0,IF(B152="","Facture",B152),"")</f>
        <v/>
      </c>
      <c r="AB152" s="62" t="str">
        <f>IF(AA152="","",IF(AA152="Avoir",p_pav,IF(AA152="Facture d'acompte",p_pac,p_pfa)))</f>
        <v/>
      </c>
      <c r="AC152" s="62">
        <f>IF(ISNUMBER(C152),C152,0)</f>
        <v>0.0</v>
      </c>
      <c r="AD152" s="62" t="str">
        <f>IF(OR(AA152="",AC152=0),"",YEAR(AC152))</f>
        <v/>
      </c>
      <c r="AE152" s="62" t="str">
        <f>IF(AD152="","",COUNTIFS($AB$6:AB152,AB152,$AD$6:AD152,AD152))</f>
        <v/>
      </c>
      <c r="AF152" s="62">
        <f>IF(A152="",0,COUNTIF(fl_doc,A152))</f>
        <v>0.0</v>
      </c>
      <c r="AG152" s="62" t="str">
        <f>IF(A152="","",IF(AF152&gt;0,"Facture",IF(AND(F152&lt;&gt;"",AA152="Facture",ISNUMBER(MATCH(F152,dv_num,0))),"Devis","")))</f>
        <v/>
      </c>
      <c r="AH152" s="62" t="str">
        <f>IF(AND(A152&lt;&gt;"",F152&lt;&gt;"",AA152&lt;&gt;"Avoir"),F152,"")</f>
        <v/>
      </c>
      <c r="AI152" s="62" t="str">
        <f>IF(AG152="Devis",F152,"")</f>
        <v/>
      </c>
      <c r="AJ152" s="62">
        <f>IF(AG152="Facture",SUMIF(fl_doc,A152,fl_ht),IF(AG152="Devis",SUMIF(dl_doc,F152,dl_ht),0))</f>
        <v>0.0</v>
      </c>
      <c r="AK152" s="62">
        <f>IF(OR(AG152="",INDEX(p_rates,1)=""),0,IF(AG152="Facture",SUMIFS(fl_ht,fl_doc,A152,fl_rate,INDEX(p_rates,1)),SUMIFS(dl_ht,dl_doc,F152,dl_rate,INDEX(p_rates,1))))</f>
        <v>0.0</v>
      </c>
      <c r="AL152" s="62">
        <f>IF(OR(AG152="",INDEX(p_rates,2)=""),0,IF(AG152="Facture",SUMIFS(fl_ht,fl_doc,A152,fl_rate,INDEX(p_rates,2)),SUMIFS(dl_ht,dl_doc,F152,dl_rate,INDEX(p_rates,2))))</f>
        <v>0.0</v>
      </c>
      <c r="AM152" s="62">
        <f>IF(OR(AG152="",INDEX(p_rates,3)=""),0,IF(AG152="Facture",SUMIFS(fl_ht,fl_doc,A152,fl_rate,INDEX(p_rates,3)),SUMIFS(dl_ht,dl_doc,F152,dl_rate,INDEX(p_rates,3))))</f>
        <v>0.0</v>
      </c>
      <c r="AN152" s="62">
        <f>IF(OR(AG152="",INDEX(p_rates,4)=""),0,IF(AG152="Facture",SUMIFS(fl_ht,fl_doc,A152,fl_rate,INDEX(p_rates,4)),SUMIFS(dl_ht,dl_doc,F152,dl_rate,INDEX(p_rates,4))))</f>
        <v>0.0</v>
      </c>
      <c r="AO152" s="62">
        <f>IF(OR(AG152="",INDEX(p_rates,5)=""),0,IF(AG152="Facture",SUMIFS(fl_ht,fl_doc,A152,fl_rate,INDEX(p_rates,5)),SUMIFS(dl_ht,dl_doc,F152,dl_rate,INDEX(p_rates,5))))</f>
        <v>0.0</v>
      </c>
      <c r="AP152" s="62">
        <f>IF(OR(AG152="",INDEX(p_rates,6)=""),0,IF(AG152="Facture",SUMIFS(fl_ht,fl_doc,A152,fl_rate,INDEX(p_rates,6)),SUMIFS(dl_ht,dl_doc,F152,dl_rate,INDEX(p_rates,6))))</f>
        <v>0.0</v>
      </c>
      <c r="AQ152" s="62">
        <f>ROUND(AK152*N(INDEX(p_rates,1)),2)+ROUND(AL152*N(INDEX(p_rates,2)),2)+ROUND(AM152*N(INDEX(p_rates,3)),2)+ROUND(AN152*N(INDEX(p_rates,4)),2)+ROUND(AO152*N(INDEX(p_rates,5)),2)+ROUND(AP152*N(INDEX(p_rates,6)),2)</f>
        <v>0.0</v>
      </c>
      <c r="AR152" s="62" t="str">
        <f>IF(OR(L152="",AA152&lt;&gt;"Facture"),"",IFERROR(IF(INDEX(fa_type,MATCH(L152,fa_num,0))="Facture d'acompte",MATCH(L152,fa_num,0),""),""))</f>
        <v/>
      </c>
      <c r="AS152" s="62" t="str">
        <f>IF(W152="","",IF(W152&lt;=0,"",IF(p_asof-P152&lt;=0,"Non échu",IF(p_asof-P152&lt;=30,"1-30 j",IF(p_asof-P152&lt;=60,"31-60 j",IF(p_asof-P152&lt;=90,"61-90 j","Plus de 90 j"))))))</f>
        <v/>
      </c>
      <c r="AT152" s="62" t="str">
        <f>IF(AS152="","",p_asof-P152)</f>
        <v/>
      </c>
      <c r="AU152" s="62" t="str">
        <f>IF(AT152="","",COUNTIF($AT$6:$AT$805,"&gt;"&amp;AT152)+COUNTIF($AT$6:AT152,AT152))</f>
        <v/>
      </c>
    </row>
    <row r="153">
      <c r="A153" s="59" t="str">
        <f>IF(AE153="","",AB153&amp;"-"&amp;AD153&amp;"-"&amp;RIGHT("000"&amp;AE153,4))</f>
        <v/>
      </c>
      <c r="B153" s="60" t="n"/>
      <c r="C153" s="61" t="n"/>
      <c r="D153" s="60" t="n"/>
      <c r="E153" s="62" t="str">
        <f>IF(D153="","",IFERROR(INDEX(cli_name,MATCH(D153,cli_code,0))&amp;"","Client inconnu"))</f>
        <v/>
      </c>
      <c r="F153" s="60" t="n"/>
      <c r="G153" s="63" t="n"/>
      <c r="H153" s="61" t="n"/>
      <c r="I153" s="63" t="n"/>
      <c r="J153" s="60" t="n"/>
      <c r="K153" s="61" t="n"/>
      <c r="L153" s="60" t="n"/>
      <c r="M153" s="60" t="n"/>
      <c r="N153" s="60" t="n"/>
      <c r="O153" s="61" t="n"/>
      <c r="P153" s="64" t="str">
        <f>IF(A153="","",IF(AA153="Avoir",AC153,IF(ISNUMBER(K153),K153,AC153+IF(D153="",N(p_delay),IFERROR(IF(ISNUMBER(INDEX(cli_delay,MATCH(D153,cli_code,0))),INDEX(cli_delay,MATCH(D153,cli_code,0)),N(p_delay)),N(p_delay))))))</f>
        <v/>
      </c>
      <c r="Q153" s="65" t="str">
        <f>IF(A153="","",IF(AA153="Avoir",-1,1)*ROUND(AJ153-IF(AR153="",0,INDEX(fa_htb,AR153)),2))</f>
        <v/>
      </c>
      <c r="R153" s="65" t="str">
        <f>IF(A153="","",IF(AA153="Avoir",-1,1)*ROUND(AQ153-IF(AR153="",0,INDEX(fa_tvab,AR153)),2))</f>
        <v/>
      </c>
      <c r="S153" s="65" t="str">
        <f>IF(A153="","",Q153+R153)</f>
        <v/>
      </c>
      <c r="T153" s="65" t="str">
        <f>IF(AR153="","",INDEX(fa_htb,AR153)+INDEX(fa_tvab,AR153))</f>
        <v/>
      </c>
      <c r="U153" s="65" t="str">
        <f>IF(A153="","",SUMIF(pa_inv,A153,pa_amt))</f>
        <v/>
      </c>
      <c r="V153" s="65" t="str">
        <f>IF(OR(A153="",AA153="Avoir"),"",-SUMIFS(fa_ttc,fa_avof,A153,fa_type,"Avoir"))</f>
        <v/>
      </c>
      <c r="W153" s="65" t="str">
        <f>IF(OR(A153="",AA153="Avoir"),"",ROUND(S153-U153-V153,2))</f>
        <v/>
      </c>
      <c r="X153" s="66" t="str">
        <f>IF(W153="","",IF(AND(W153&gt;0,p_asof&gt;P153),p_asof-P153,""))</f>
        <v/>
      </c>
      <c r="Y153" s="59" t="str">
        <f>IF(A153="","",IF(AA153="Avoir","Avoir",IF(W153&lt;0,"Trop-perçu",IF(W153=0,"Soldée",IF(p_asof&gt;P153,"En retard",IF(U153+V153&gt;0,"Partielle","À échoir"))))))</f>
        <v/>
      </c>
      <c r="Z153" s="59" t="str">
        <f>IF(NOT(COUNTA(B153:D153,F153:O153)&gt;0),"",IF(C153="","Date manquante",IF(NOT(ISNUMBER(C153)),"Date invalide",IF(D153="","Client manquant",IF(ISNA(MATCH(D153,cli_code,0)),"Client inconnu",IF(AC153&lt;SUMPRODUCT(MAX(($AB$6:AB152=AB153)*$AC$6:AC152)),"Date antérieure à la facture précédente",IF(AND(F153&lt;&gt;"",ISNA(MATCH(F153,dv_num,0))),"Devis inconnu",IF(AND(F153&lt;&gt;"",IFERROR(INDEX(dv_client,MATCH(F153,dv_num,0)),D153)&lt;&gt;D153),"Client différent de celui du devis",IF(AG153="","Aucune ligne : saisissez des lignes ou un devis",IF(AND(AI153&lt;&gt;"",COUNTIF($AI$6:AI153,AI153)&gt;1),"Devis déjà repris par une autre facture",IF(AND(AA153="Avoir",M153=""),"Avoir : indiquez la facture d'origine",IF(AND(AA153="Avoir",ISNA(MATCH(M153,fa_num,0))),"Facture d'origine inconnue",IF(AND(AA153&lt;&gt;"Avoir",M153&lt;&gt;""),"« Avoir sur facture » : réservé aux avoirs",IF(AND(L153&lt;&gt;"",AA153&lt;&gt;"Facture"),"Acompte à déduire : réservé aux factures",IF(AND(L153&lt;&gt;"",ISNA(MATCH(L153,fa_num,0))),"Facture d'acompte inconnue",IF(AND(L153&lt;&gt;"",IFERROR(INDEX(fa_type,MATCH(L153,fa_num,0)),"")&lt;&gt;"Facture d'acompte"),"Le n° à déduire n'est pas une facture d'acompte",IF(AND(L153&lt;&gt;"",COUNTIF($L$6:L153,L153)&gt;1),"Acompte déjà déduit sur une autre facture",IF(AND(L153&lt;&gt;"",IFERROR(INDEX(fa_client,MATCH(L153,fa_num,0)),D153)&lt;&gt;D153),"Acompte d'un autre client",IF(AND(AR153&lt;&gt;"",N(Q153)&lt;0),"Acompte supérieur au total de la facture",IF(IF(AG153="Facture",COUNTIFS(fl_doc,A153,fl_check,"&lt;&gt;OK"),IF(AG153="Devis",COUNTIFS(dl_doc,F153,dl_check,"&lt;&gt;OK"),0))&gt;0,"Ligne(s) à corriger",IF(AND(W153&lt;&gt;"",N(W153)&lt;0),"Trop-perçu : vérifiez paiements et avoirs","OK")))))))))))))))))))))</f>
        <v/>
      </c>
      <c r="AA153" s="62" t="str">
        <f>IF(COUNTA(B153:D153,F153:O153)&gt;0,IF(B153="","Facture",B153),"")</f>
        <v/>
      </c>
      <c r="AB153" s="62" t="str">
        <f>IF(AA153="","",IF(AA153="Avoir",p_pav,IF(AA153="Facture d'acompte",p_pac,p_pfa)))</f>
        <v/>
      </c>
      <c r="AC153" s="62">
        <f>IF(ISNUMBER(C153),C153,0)</f>
        <v>0.0</v>
      </c>
      <c r="AD153" s="62" t="str">
        <f>IF(OR(AA153="",AC153=0),"",YEAR(AC153))</f>
        <v/>
      </c>
      <c r="AE153" s="62" t="str">
        <f>IF(AD153="","",COUNTIFS($AB$6:AB153,AB153,$AD$6:AD153,AD153))</f>
        <v/>
      </c>
      <c r="AF153" s="62">
        <f>IF(A153="",0,COUNTIF(fl_doc,A153))</f>
        <v>0.0</v>
      </c>
      <c r="AG153" s="62" t="str">
        <f>IF(A153="","",IF(AF153&gt;0,"Facture",IF(AND(F153&lt;&gt;"",AA153="Facture",ISNUMBER(MATCH(F153,dv_num,0))),"Devis","")))</f>
        <v/>
      </c>
      <c r="AH153" s="62" t="str">
        <f>IF(AND(A153&lt;&gt;"",F153&lt;&gt;"",AA153&lt;&gt;"Avoir"),F153,"")</f>
        <v/>
      </c>
      <c r="AI153" s="62" t="str">
        <f>IF(AG153="Devis",F153,"")</f>
        <v/>
      </c>
      <c r="AJ153" s="62">
        <f>IF(AG153="Facture",SUMIF(fl_doc,A153,fl_ht),IF(AG153="Devis",SUMIF(dl_doc,F153,dl_ht),0))</f>
        <v>0.0</v>
      </c>
      <c r="AK153" s="62">
        <f>IF(OR(AG153="",INDEX(p_rates,1)=""),0,IF(AG153="Facture",SUMIFS(fl_ht,fl_doc,A153,fl_rate,INDEX(p_rates,1)),SUMIFS(dl_ht,dl_doc,F153,dl_rate,INDEX(p_rates,1))))</f>
        <v>0.0</v>
      </c>
      <c r="AL153" s="62">
        <f>IF(OR(AG153="",INDEX(p_rates,2)=""),0,IF(AG153="Facture",SUMIFS(fl_ht,fl_doc,A153,fl_rate,INDEX(p_rates,2)),SUMIFS(dl_ht,dl_doc,F153,dl_rate,INDEX(p_rates,2))))</f>
        <v>0.0</v>
      </c>
      <c r="AM153" s="62">
        <f>IF(OR(AG153="",INDEX(p_rates,3)=""),0,IF(AG153="Facture",SUMIFS(fl_ht,fl_doc,A153,fl_rate,INDEX(p_rates,3)),SUMIFS(dl_ht,dl_doc,F153,dl_rate,INDEX(p_rates,3))))</f>
        <v>0.0</v>
      </c>
      <c r="AN153" s="62">
        <f>IF(OR(AG153="",INDEX(p_rates,4)=""),0,IF(AG153="Facture",SUMIFS(fl_ht,fl_doc,A153,fl_rate,INDEX(p_rates,4)),SUMIFS(dl_ht,dl_doc,F153,dl_rate,INDEX(p_rates,4))))</f>
        <v>0.0</v>
      </c>
      <c r="AO153" s="62">
        <f>IF(OR(AG153="",INDEX(p_rates,5)=""),0,IF(AG153="Facture",SUMIFS(fl_ht,fl_doc,A153,fl_rate,INDEX(p_rates,5)),SUMIFS(dl_ht,dl_doc,F153,dl_rate,INDEX(p_rates,5))))</f>
        <v>0.0</v>
      </c>
      <c r="AP153" s="62">
        <f>IF(OR(AG153="",INDEX(p_rates,6)=""),0,IF(AG153="Facture",SUMIFS(fl_ht,fl_doc,A153,fl_rate,INDEX(p_rates,6)),SUMIFS(dl_ht,dl_doc,F153,dl_rate,INDEX(p_rates,6))))</f>
        <v>0.0</v>
      </c>
      <c r="AQ153" s="62">
        <f>ROUND(AK153*N(INDEX(p_rates,1)),2)+ROUND(AL153*N(INDEX(p_rates,2)),2)+ROUND(AM153*N(INDEX(p_rates,3)),2)+ROUND(AN153*N(INDEX(p_rates,4)),2)+ROUND(AO153*N(INDEX(p_rates,5)),2)+ROUND(AP153*N(INDEX(p_rates,6)),2)</f>
        <v>0.0</v>
      </c>
      <c r="AR153" s="62" t="str">
        <f>IF(OR(L153="",AA153&lt;&gt;"Facture"),"",IFERROR(IF(INDEX(fa_type,MATCH(L153,fa_num,0))="Facture d'acompte",MATCH(L153,fa_num,0),""),""))</f>
        <v/>
      </c>
      <c r="AS153" s="62" t="str">
        <f>IF(W153="","",IF(W153&lt;=0,"",IF(p_asof-P153&lt;=0,"Non échu",IF(p_asof-P153&lt;=30,"1-30 j",IF(p_asof-P153&lt;=60,"31-60 j",IF(p_asof-P153&lt;=90,"61-90 j","Plus de 90 j"))))))</f>
        <v/>
      </c>
      <c r="AT153" s="62" t="str">
        <f>IF(AS153="","",p_asof-P153)</f>
        <v/>
      </c>
      <c r="AU153" s="62" t="str">
        <f>IF(AT153="","",COUNTIF($AT$6:$AT$805,"&gt;"&amp;AT153)+COUNTIF($AT$6:AT153,AT153))</f>
        <v/>
      </c>
    </row>
    <row r="154">
      <c r="A154" s="59" t="str">
        <f>IF(AE154="","",AB154&amp;"-"&amp;AD154&amp;"-"&amp;RIGHT("000"&amp;AE154,4))</f>
        <v/>
      </c>
      <c r="B154" s="60" t="n"/>
      <c r="C154" s="61" t="n"/>
      <c r="D154" s="60" t="n"/>
      <c r="E154" s="62" t="str">
        <f>IF(D154="","",IFERROR(INDEX(cli_name,MATCH(D154,cli_code,0))&amp;"","Client inconnu"))</f>
        <v/>
      </c>
      <c r="F154" s="60" t="n"/>
      <c r="G154" s="63" t="n"/>
      <c r="H154" s="61" t="n"/>
      <c r="I154" s="63" t="n"/>
      <c r="J154" s="60" t="n"/>
      <c r="K154" s="61" t="n"/>
      <c r="L154" s="60" t="n"/>
      <c r="M154" s="60" t="n"/>
      <c r="N154" s="60" t="n"/>
      <c r="O154" s="61" t="n"/>
      <c r="P154" s="64" t="str">
        <f>IF(A154="","",IF(AA154="Avoir",AC154,IF(ISNUMBER(K154),K154,AC154+IF(D154="",N(p_delay),IFERROR(IF(ISNUMBER(INDEX(cli_delay,MATCH(D154,cli_code,0))),INDEX(cli_delay,MATCH(D154,cli_code,0)),N(p_delay)),N(p_delay))))))</f>
        <v/>
      </c>
      <c r="Q154" s="65" t="str">
        <f>IF(A154="","",IF(AA154="Avoir",-1,1)*ROUND(AJ154-IF(AR154="",0,INDEX(fa_htb,AR154)),2))</f>
        <v/>
      </c>
      <c r="R154" s="65" t="str">
        <f>IF(A154="","",IF(AA154="Avoir",-1,1)*ROUND(AQ154-IF(AR154="",0,INDEX(fa_tvab,AR154)),2))</f>
        <v/>
      </c>
      <c r="S154" s="65" t="str">
        <f>IF(A154="","",Q154+R154)</f>
        <v/>
      </c>
      <c r="T154" s="65" t="str">
        <f>IF(AR154="","",INDEX(fa_htb,AR154)+INDEX(fa_tvab,AR154))</f>
        <v/>
      </c>
      <c r="U154" s="65" t="str">
        <f>IF(A154="","",SUMIF(pa_inv,A154,pa_amt))</f>
        <v/>
      </c>
      <c r="V154" s="65" t="str">
        <f>IF(OR(A154="",AA154="Avoir"),"",-SUMIFS(fa_ttc,fa_avof,A154,fa_type,"Avoir"))</f>
        <v/>
      </c>
      <c r="W154" s="65" t="str">
        <f>IF(OR(A154="",AA154="Avoir"),"",ROUND(S154-U154-V154,2))</f>
        <v/>
      </c>
      <c r="X154" s="66" t="str">
        <f>IF(W154="","",IF(AND(W154&gt;0,p_asof&gt;P154),p_asof-P154,""))</f>
        <v/>
      </c>
      <c r="Y154" s="59" t="str">
        <f>IF(A154="","",IF(AA154="Avoir","Avoir",IF(W154&lt;0,"Trop-perçu",IF(W154=0,"Soldée",IF(p_asof&gt;P154,"En retard",IF(U154+V154&gt;0,"Partielle","À échoir"))))))</f>
        <v/>
      </c>
      <c r="Z154" s="59" t="str">
        <f>IF(NOT(COUNTA(B154:D154,F154:O154)&gt;0),"",IF(C154="","Date manquante",IF(NOT(ISNUMBER(C154)),"Date invalide",IF(D154="","Client manquant",IF(ISNA(MATCH(D154,cli_code,0)),"Client inconnu",IF(AC154&lt;SUMPRODUCT(MAX(($AB$6:AB153=AB154)*$AC$6:AC153)),"Date antérieure à la facture précédente",IF(AND(F154&lt;&gt;"",ISNA(MATCH(F154,dv_num,0))),"Devis inconnu",IF(AND(F154&lt;&gt;"",IFERROR(INDEX(dv_client,MATCH(F154,dv_num,0)),D154)&lt;&gt;D154),"Client différent de celui du devis",IF(AG154="","Aucune ligne : saisissez des lignes ou un devis",IF(AND(AI154&lt;&gt;"",COUNTIF($AI$6:AI154,AI154)&gt;1),"Devis déjà repris par une autre facture",IF(AND(AA154="Avoir",M154=""),"Avoir : indiquez la facture d'origine",IF(AND(AA154="Avoir",ISNA(MATCH(M154,fa_num,0))),"Facture d'origine inconnue",IF(AND(AA154&lt;&gt;"Avoir",M154&lt;&gt;""),"« Avoir sur facture » : réservé aux avoirs",IF(AND(L154&lt;&gt;"",AA154&lt;&gt;"Facture"),"Acompte à déduire : réservé aux factures",IF(AND(L154&lt;&gt;"",ISNA(MATCH(L154,fa_num,0))),"Facture d'acompte inconnue",IF(AND(L154&lt;&gt;"",IFERROR(INDEX(fa_type,MATCH(L154,fa_num,0)),"")&lt;&gt;"Facture d'acompte"),"Le n° à déduire n'est pas une facture d'acompte",IF(AND(L154&lt;&gt;"",COUNTIF($L$6:L154,L154)&gt;1),"Acompte déjà déduit sur une autre facture",IF(AND(L154&lt;&gt;"",IFERROR(INDEX(fa_client,MATCH(L154,fa_num,0)),D154)&lt;&gt;D154),"Acompte d'un autre client",IF(AND(AR154&lt;&gt;"",N(Q154)&lt;0),"Acompte supérieur au total de la facture",IF(IF(AG154="Facture",COUNTIFS(fl_doc,A154,fl_check,"&lt;&gt;OK"),IF(AG154="Devis",COUNTIFS(dl_doc,F154,dl_check,"&lt;&gt;OK"),0))&gt;0,"Ligne(s) à corriger",IF(AND(W154&lt;&gt;"",N(W154)&lt;0),"Trop-perçu : vérifiez paiements et avoirs","OK")))))))))))))))))))))</f>
        <v/>
      </c>
      <c r="AA154" s="62" t="str">
        <f>IF(COUNTA(B154:D154,F154:O154)&gt;0,IF(B154="","Facture",B154),"")</f>
        <v/>
      </c>
      <c r="AB154" s="62" t="str">
        <f>IF(AA154="","",IF(AA154="Avoir",p_pav,IF(AA154="Facture d'acompte",p_pac,p_pfa)))</f>
        <v/>
      </c>
      <c r="AC154" s="62">
        <f>IF(ISNUMBER(C154),C154,0)</f>
        <v>0.0</v>
      </c>
      <c r="AD154" s="62" t="str">
        <f>IF(OR(AA154="",AC154=0),"",YEAR(AC154))</f>
        <v/>
      </c>
      <c r="AE154" s="62" t="str">
        <f>IF(AD154="","",COUNTIFS($AB$6:AB154,AB154,$AD$6:AD154,AD154))</f>
        <v/>
      </c>
      <c r="AF154" s="62">
        <f>IF(A154="",0,COUNTIF(fl_doc,A154))</f>
        <v>0.0</v>
      </c>
      <c r="AG154" s="62" t="str">
        <f>IF(A154="","",IF(AF154&gt;0,"Facture",IF(AND(F154&lt;&gt;"",AA154="Facture",ISNUMBER(MATCH(F154,dv_num,0))),"Devis","")))</f>
        <v/>
      </c>
      <c r="AH154" s="62" t="str">
        <f>IF(AND(A154&lt;&gt;"",F154&lt;&gt;"",AA154&lt;&gt;"Avoir"),F154,"")</f>
        <v/>
      </c>
      <c r="AI154" s="62" t="str">
        <f>IF(AG154="Devis",F154,"")</f>
        <v/>
      </c>
      <c r="AJ154" s="62">
        <f>IF(AG154="Facture",SUMIF(fl_doc,A154,fl_ht),IF(AG154="Devis",SUMIF(dl_doc,F154,dl_ht),0))</f>
        <v>0.0</v>
      </c>
      <c r="AK154" s="62">
        <f>IF(OR(AG154="",INDEX(p_rates,1)=""),0,IF(AG154="Facture",SUMIFS(fl_ht,fl_doc,A154,fl_rate,INDEX(p_rates,1)),SUMIFS(dl_ht,dl_doc,F154,dl_rate,INDEX(p_rates,1))))</f>
        <v>0.0</v>
      </c>
      <c r="AL154" s="62">
        <f>IF(OR(AG154="",INDEX(p_rates,2)=""),0,IF(AG154="Facture",SUMIFS(fl_ht,fl_doc,A154,fl_rate,INDEX(p_rates,2)),SUMIFS(dl_ht,dl_doc,F154,dl_rate,INDEX(p_rates,2))))</f>
        <v>0.0</v>
      </c>
      <c r="AM154" s="62">
        <f>IF(OR(AG154="",INDEX(p_rates,3)=""),0,IF(AG154="Facture",SUMIFS(fl_ht,fl_doc,A154,fl_rate,INDEX(p_rates,3)),SUMIFS(dl_ht,dl_doc,F154,dl_rate,INDEX(p_rates,3))))</f>
        <v>0.0</v>
      </c>
      <c r="AN154" s="62">
        <f>IF(OR(AG154="",INDEX(p_rates,4)=""),0,IF(AG154="Facture",SUMIFS(fl_ht,fl_doc,A154,fl_rate,INDEX(p_rates,4)),SUMIFS(dl_ht,dl_doc,F154,dl_rate,INDEX(p_rates,4))))</f>
        <v>0.0</v>
      </c>
      <c r="AO154" s="62">
        <f>IF(OR(AG154="",INDEX(p_rates,5)=""),0,IF(AG154="Facture",SUMIFS(fl_ht,fl_doc,A154,fl_rate,INDEX(p_rates,5)),SUMIFS(dl_ht,dl_doc,F154,dl_rate,INDEX(p_rates,5))))</f>
        <v>0.0</v>
      </c>
      <c r="AP154" s="62">
        <f>IF(OR(AG154="",INDEX(p_rates,6)=""),0,IF(AG154="Facture",SUMIFS(fl_ht,fl_doc,A154,fl_rate,INDEX(p_rates,6)),SUMIFS(dl_ht,dl_doc,F154,dl_rate,INDEX(p_rates,6))))</f>
        <v>0.0</v>
      </c>
      <c r="AQ154" s="62">
        <f>ROUND(AK154*N(INDEX(p_rates,1)),2)+ROUND(AL154*N(INDEX(p_rates,2)),2)+ROUND(AM154*N(INDEX(p_rates,3)),2)+ROUND(AN154*N(INDEX(p_rates,4)),2)+ROUND(AO154*N(INDEX(p_rates,5)),2)+ROUND(AP154*N(INDEX(p_rates,6)),2)</f>
        <v>0.0</v>
      </c>
      <c r="AR154" s="62" t="str">
        <f>IF(OR(L154="",AA154&lt;&gt;"Facture"),"",IFERROR(IF(INDEX(fa_type,MATCH(L154,fa_num,0))="Facture d'acompte",MATCH(L154,fa_num,0),""),""))</f>
        <v/>
      </c>
      <c r="AS154" s="62" t="str">
        <f>IF(W154="","",IF(W154&lt;=0,"",IF(p_asof-P154&lt;=0,"Non échu",IF(p_asof-P154&lt;=30,"1-30 j",IF(p_asof-P154&lt;=60,"31-60 j",IF(p_asof-P154&lt;=90,"61-90 j","Plus de 90 j"))))))</f>
        <v/>
      </c>
      <c r="AT154" s="62" t="str">
        <f>IF(AS154="","",p_asof-P154)</f>
        <v/>
      </c>
      <c r="AU154" s="62" t="str">
        <f>IF(AT154="","",COUNTIF($AT$6:$AT$805,"&gt;"&amp;AT154)+COUNTIF($AT$6:AT154,AT154))</f>
        <v/>
      </c>
    </row>
    <row r="155">
      <c r="A155" s="59" t="str">
        <f>IF(AE155="","",AB155&amp;"-"&amp;AD155&amp;"-"&amp;RIGHT("000"&amp;AE155,4))</f>
        <v/>
      </c>
      <c r="B155" s="60" t="n"/>
      <c r="C155" s="61" t="n"/>
      <c r="D155" s="60" t="n"/>
      <c r="E155" s="62" t="str">
        <f>IF(D155="","",IFERROR(INDEX(cli_name,MATCH(D155,cli_code,0))&amp;"","Client inconnu"))</f>
        <v/>
      </c>
      <c r="F155" s="60" t="n"/>
      <c r="G155" s="63" t="n"/>
      <c r="H155" s="61" t="n"/>
      <c r="I155" s="63" t="n"/>
      <c r="J155" s="60" t="n"/>
      <c r="K155" s="61" t="n"/>
      <c r="L155" s="60" t="n"/>
      <c r="M155" s="60" t="n"/>
      <c r="N155" s="60" t="n"/>
      <c r="O155" s="61" t="n"/>
      <c r="P155" s="64" t="str">
        <f>IF(A155="","",IF(AA155="Avoir",AC155,IF(ISNUMBER(K155),K155,AC155+IF(D155="",N(p_delay),IFERROR(IF(ISNUMBER(INDEX(cli_delay,MATCH(D155,cli_code,0))),INDEX(cli_delay,MATCH(D155,cli_code,0)),N(p_delay)),N(p_delay))))))</f>
        <v/>
      </c>
      <c r="Q155" s="65" t="str">
        <f>IF(A155="","",IF(AA155="Avoir",-1,1)*ROUND(AJ155-IF(AR155="",0,INDEX(fa_htb,AR155)),2))</f>
        <v/>
      </c>
      <c r="R155" s="65" t="str">
        <f>IF(A155="","",IF(AA155="Avoir",-1,1)*ROUND(AQ155-IF(AR155="",0,INDEX(fa_tvab,AR155)),2))</f>
        <v/>
      </c>
      <c r="S155" s="65" t="str">
        <f>IF(A155="","",Q155+R155)</f>
        <v/>
      </c>
      <c r="T155" s="65" t="str">
        <f>IF(AR155="","",INDEX(fa_htb,AR155)+INDEX(fa_tvab,AR155))</f>
        <v/>
      </c>
      <c r="U155" s="65" t="str">
        <f>IF(A155="","",SUMIF(pa_inv,A155,pa_amt))</f>
        <v/>
      </c>
      <c r="V155" s="65" t="str">
        <f>IF(OR(A155="",AA155="Avoir"),"",-SUMIFS(fa_ttc,fa_avof,A155,fa_type,"Avoir"))</f>
        <v/>
      </c>
      <c r="W155" s="65" t="str">
        <f>IF(OR(A155="",AA155="Avoir"),"",ROUND(S155-U155-V155,2))</f>
        <v/>
      </c>
      <c r="X155" s="66" t="str">
        <f>IF(W155="","",IF(AND(W155&gt;0,p_asof&gt;P155),p_asof-P155,""))</f>
        <v/>
      </c>
      <c r="Y155" s="59" t="str">
        <f>IF(A155="","",IF(AA155="Avoir","Avoir",IF(W155&lt;0,"Trop-perçu",IF(W155=0,"Soldée",IF(p_asof&gt;P155,"En retard",IF(U155+V155&gt;0,"Partielle","À échoir"))))))</f>
        <v/>
      </c>
      <c r="Z155" s="59" t="str">
        <f>IF(NOT(COUNTA(B155:D155,F155:O155)&gt;0),"",IF(C155="","Date manquante",IF(NOT(ISNUMBER(C155)),"Date invalide",IF(D155="","Client manquant",IF(ISNA(MATCH(D155,cli_code,0)),"Client inconnu",IF(AC155&lt;SUMPRODUCT(MAX(($AB$6:AB154=AB155)*$AC$6:AC154)),"Date antérieure à la facture précédente",IF(AND(F155&lt;&gt;"",ISNA(MATCH(F155,dv_num,0))),"Devis inconnu",IF(AND(F155&lt;&gt;"",IFERROR(INDEX(dv_client,MATCH(F155,dv_num,0)),D155)&lt;&gt;D155),"Client différent de celui du devis",IF(AG155="","Aucune ligne : saisissez des lignes ou un devis",IF(AND(AI155&lt;&gt;"",COUNTIF($AI$6:AI155,AI155)&gt;1),"Devis déjà repris par une autre facture",IF(AND(AA155="Avoir",M155=""),"Avoir : indiquez la facture d'origine",IF(AND(AA155="Avoir",ISNA(MATCH(M155,fa_num,0))),"Facture d'origine inconnue",IF(AND(AA155&lt;&gt;"Avoir",M155&lt;&gt;""),"« Avoir sur facture » : réservé aux avoirs",IF(AND(L155&lt;&gt;"",AA155&lt;&gt;"Facture"),"Acompte à déduire : réservé aux factures",IF(AND(L155&lt;&gt;"",ISNA(MATCH(L155,fa_num,0))),"Facture d'acompte inconnue",IF(AND(L155&lt;&gt;"",IFERROR(INDEX(fa_type,MATCH(L155,fa_num,0)),"")&lt;&gt;"Facture d'acompte"),"Le n° à déduire n'est pas une facture d'acompte",IF(AND(L155&lt;&gt;"",COUNTIF($L$6:L155,L155)&gt;1),"Acompte déjà déduit sur une autre facture",IF(AND(L155&lt;&gt;"",IFERROR(INDEX(fa_client,MATCH(L155,fa_num,0)),D155)&lt;&gt;D155),"Acompte d'un autre client",IF(AND(AR155&lt;&gt;"",N(Q155)&lt;0),"Acompte supérieur au total de la facture",IF(IF(AG155="Facture",COUNTIFS(fl_doc,A155,fl_check,"&lt;&gt;OK"),IF(AG155="Devis",COUNTIFS(dl_doc,F155,dl_check,"&lt;&gt;OK"),0))&gt;0,"Ligne(s) à corriger",IF(AND(W155&lt;&gt;"",N(W155)&lt;0),"Trop-perçu : vérifiez paiements et avoirs","OK")))))))))))))))))))))</f>
        <v/>
      </c>
      <c r="AA155" s="62" t="str">
        <f>IF(COUNTA(B155:D155,F155:O155)&gt;0,IF(B155="","Facture",B155),"")</f>
        <v/>
      </c>
      <c r="AB155" s="62" t="str">
        <f>IF(AA155="","",IF(AA155="Avoir",p_pav,IF(AA155="Facture d'acompte",p_pac,p_pfa)))</f>
        <v/>
      </c>
      <c r="AC155" s="62">
        <f>IF(ISNUMBER(C155),C155,0)</f>
        <v>0.0</v>
      </c>
      <c r="AD155" s="62" t="str">
        <f>IF(OR(AA155="",AC155=0),"",YEAR(AC155))</f>
        <v/>
      </c>
      <c r="AE155" s="62" t="str">
        <f>IF(AD155="","",COUNTIFS($AB$6:AB155,AB155,$AD$6:AD155,AD155))</f>
        <v/>
      </c>
      <c r="AF155" s="62">
        <f>IF(A155="",0,COUNTIF(fl_doc,A155))</f>
        <v>0.0</v>
      </c>
      <c r="AG155" s="62" t="str">
        <f>IF(A155="","",IF(AF155&gt;0,"Facture",IF(AND(F155&lt;&gt;"",AA155="Facture",ISNUMBER(MATCH(F155,dv_num,0))),"Devis","")))</f>
        <v/>
      </c>
      <c r="AH155" s="62" t="str">
        <f>IF(AND(A155&lt;&gt;"",F155&lt;&gt;"",AA155&lt;&gt;"Avoir"),F155,"")</f>
        <v/>
      </c>
      <c r="AI155" s="62" t="str">
        <f>IF(AG155="Devis",F155,"")</f>
        <v/>
      </c>
      <c r="AJ155" s="62">
        <f>IF(AG155="Facture",SUMIF(fl_doc,A155,fl_ht),IF(AG155="Devis",SUMIF(dl_doc,F155,dl_ht),0))</f>
        <v>0.0</v>
      </c>
      <c r="AK155" s="62">
        <f>IF(OR(AG155="",INDEX(p_rates,1)=""),0,IF(AG155="Facture",SUMIFS(fl_ht,fl_doc,A155,fl_rate,INDEX(p_rates,1)),SUMIFS(dl_ht,dl_doc,F155,dl_rate,INDEX(p_rates,1))))</f>
        <v>0.0</v>
      </c>
      <c r="AL155" s="62">
        <f>IF(OR(AG155="",INDEX(p_rates,2)=""),0,IF(AG155="Facture",SUMIFS(fl_ht,fl_doc,A155,fl_rate,INDEX(p_rates,2)),SUMIFS(dl_ht,dl_doc,F155,dl_rate,INDEX(p_rates,2))))</f>
        <v>0.0</v>
      </c>
      <c r="AM155" s="62">
        <f>IF(OR(AG155="",INDEX(p_rates,3)=""),0,IF(AG155="Facture",SUMIFS(fl_ht,fl_doc,A155,fl_rate,INDEX(p_rates,3)),SUMIFS(dl_ht,dl_doc,F155,dl_rate,INDEX(p_rates,3))))</f>
        <v>0.0</v>
      </c>
      <c r="AN155" s="62">
        <f>IF(OR(AG155="",INDEX(p_rates,4)=""),0,IF(AG155="Facture",SUMIFS(fl_ht,fl_doc,A155,fl_rate,INDEX(p_rates,4)),SUMIFS(dl_ht,dl_doc,F155,dl_rate,INDEX(p_rates,4))))</f>
        <v>0.0</v>
      </c>
      <c r="AO155" s="62">
        <f>IF(OR(AG155="",INDEX(p_rates,5)=""),0,IF(AG155="Facture",SUMIFS(fl_ht,fl_doc,A155,fl_rate,INDEX(p_rates,5)),SUMIFS(dl_ht,dl_doc,F155,dl_rate,INDEX(p_rates,5))))</f>
        <v>0.0</v>
      </c>
      <c r="AP155" s="62">
        <f>IF(OR(AG155="",INDEX(p_rates,6)=""),0,IF(AG155="Facture",SUMIFS(fl_ht,fl_doc,A155,fl_rate,INDEX(p_rates,6)),SUMIFS(dl_ht,dl_doc,F155,dl_rate,INDEX(p_rates,6))))</f>
        <v>0.0</v>
      </c>
      <c r="AQ155" s="62">
        <f>ROUND(AK155*N(INDEX(p_rates,1)),2)+ROUND(AL155*N(INDEX(p_rates,2)),2)+ROUND(AM155*N(INDEX(p_rates,3)),2)+ROUND(AN155*N(INDEX(p_rates,4)),2)+ROUND(AO155*N(INDEX(p_rates,5)),2)+ROUND(AP155*N(INDEX(p_rates,6)),2)</f>
        <v>0.0</v>
      </c>
      <c r="AR155" s="62" t="str">
        <f>IF(OR(L155="",AA155&lt;&gt;"Facture"),"",IFERROR(IF(INDEX(fa_type,MATCH(L155,fa_num,0))="Facture d'acompte",MATCH(L155,fa_num,0),""),""))</f>
        <v/>
      </c>
      <c r="AS155" s="62" t="str">
        <f>IF(W155="","",IF(W155&lt;=0,"",IF(p_asof-P155&lt;=0,"Non échu",IF(p_asof-P155&lt;=30,"1-30 j",IF(p_asof-P155&lt;=60,"31-60 j",IF(p_asof-P155&lt;=90,"61-90 j","Plus de 90 j"))))))</f>
        <v/>
      </c>
      <c r="AT155" s="62" t="str">
        <f>IF(AS155="","",p_asof-P155)</f>
        <v/>
      </c>
      <c r="AU155" s="62" t="str">
        <f>IF(AT155="","",COUNTIF($AT$6:$AT$805,"&gt;"&amp;AT155)+COUNTIF($AT$6:AT155,AT155))</f>
        <v/>
      </c>
    </row>
    <row r="156">
      <c r="A156" s="59" t="str">
        <f>IF(AE156="","",AB156&amp;"-"&amp;AD156&amp;"-"&amp;RIGHT("000"&amp;AE156,4))</f>
        <v/>
      </c>
      <c r="B156" s="60" t="n"/>
      <c r="C156" s="61" t="n"/>
      <c r="D156" s="60" t="n"/>
      <c r="E156" s="62" t="str">
        <f>IF(D156="","",IFERROR(INDEX(cli_name,MATCH(D156,cli_code,0))&amp;"","Client inconnu"))</f>
        <v/>
      </c>
      <c r="F156" s="60" t="n"/>
      <c r="G156" s="63" t="n"/>
      <c r="H156" s="61" t="n"/>
      <c r="I156" s="63" t="n"/>
      <c r="J156" s="60" t="n"/>
      <c r="K156" s="61" t="n"/>
      <c r="L156" s="60" t="n"/>
      <c r="M156" s="60" t="n"/>
      <c r="N156" s="60" t="n"/>
      <c r="O156" s="61" t="n"/>
      <c r="P156" s="64" t="str">
        <f>IF(A156="","",IF(AA156="Avoir",AC156,IF(ISNUMBER(K156),K156,AC156+IF(D156="",N(p_delay),IFERROR(IF(ISNUMBER(INDEX(cli_delay,MATCH(D156,cli_code,0))),INDEX(cli_delay,MATCH(D156,cli_code,0)),N(p_delay)),N(p_delay))))))</f>
        <v/>
      </c>
      <c r="Q156" s="65" t="str">
        <f>IF(A156="","",IF(AA156="Avoir",-1,1)*ROUND(AJ156-IF(AR156="",0,INDEX(fa_htb,AR156)),2))</f>
        <v/>
      </c>
      <c r="R156" s="65" t="str">
        <f>IF(A156="","",IF(AA156="Avoir",-1,1)*ROUND(AQ156-IF(AR156="",0,INDEX(fa_tvab,AR156)),2))</f>
        <v/>
      </c>
      <c r="S156" s="65" t="str">
        <f>IF(A156="","",Q156+R156)</f>
        <v/>
      </c>
      <c r="T156" s="65" t="str">
        <f>IF(AR156="","",INDEX(fa_htb,AR156)+INDEX(fa_tvab,AR156))</f>
        <v/>
      </c>
      <c r="U156" s="65" t="str">
        <f>IF(A156="","",SUMIF(pa_inv,A156,pa_amt))</f>
        <v/>
      </c>
      <c r="V156" s="65" t="str">
        <f>IF(OR(A156="",AA156="Avoir"),"",-SUMIFS(fa_ttc,fa_avof,A156,fa_type,"Avoir"))</f>
        <v/>
      </c>
      <c r="W156" s="65" t="str">
        <f>IF(OR(A156="",AA156="Avoir"),"",ROUND(S156-U156-V156,2))</f>
        <v/>
      </c>
      <c r="X156" s="66" t="str">
        <f>IF(W156="","",IF(AND(W156&gt;0,p_asof&gt;P156),p_asof-P156,""))</f>
        <v/>
      </c>
      <c r="Y156" s="59" t="str">
        <f>IF(A156="","",IF(AA156="Avoir","Avoir",IF(W156&lt;0,"Trop-perçu",IF(W156=0,"Soldée",IF(p_asof&gt;P156,"En retard",IF(U156+V156&gt;0,"Partielle","À échoir"))))))</f>
        <v/>
      </c>
      <c r="Z156" s="59" t="str">
        <f>IF(NOT(COUNTA(B156:D156,F156:O156)&gt;0),"",IF(C156="","Date manquante",IF(NOT(ISNUMBER(C156)),"Date invalide",IF(D156="","Client manquant",IF(ISNA(MATCH(D156,cli_code,0)),"Client inconnu",IF(AC156&lt;SUMPRODUCT(MAX(($AB$6:AB155=AB156)*$AC$6:AC155)),"Date antérieure à la facture précédente",IF(AND(F156&lt;&gt;"",ISNA(MATCH(F156,dv_num,0))),"Devis inconnu",IF(AND(F156&lt;&gt;"",IFERROR(INDEX(dv_client,MATCH(F156,dv_num,0)),D156)&lt;&gt;D156),"Client différent de celui du devis",IF(AG156="","Aucune ligne : saisissez des lignes ou un devis",IF(AND(AI156&lt;&gt;"",COUNTIF($AI$6:AI156,AI156)&gt;1),"Devis déjà repris par une autre facture",IF(AND(AA156="Avoir",M156=""),"Avoir : indiquez la facture d'origine",IF(AND(AA156="Avoir",ISNA(MATCH(M156,fa_num,0))),"Facture d'origine inconnue",IF(AND(AA156&lt;&gt;"Avoir",M156&lt;&gt;""),"« Avoir sur facture » : réservé aux avoirs",IF(AND(L156&lt;&gt;"",AA156&lt;&gt;"Facture"),"Acompte à déduire : réservé aux factures",IF(AND(L156&lt;&gt;"",ISNA(MATCH(L156,fa_num,0))),"Facture d'acompte inconnue",IF(AND(L156&lt;&gt;"",IFERROR(INDEX(fa_type,MATCH(L156,fa_num,0)),"")&lt;&gt;"Facture d'acompte"),"Le n° à déduire n'est pas une facture d'acompte",IF(AND(L156&lt;&gt;"",COUNTIF($L$6:L156,L156)&gt;1),"Acompte déjà déduit sur une autre facture",IF(AND(L156&lt;&gt;"",IFERROR(INDEX(fa_client,MATCH(L156,fa_num,0)),D156)&lt;&gt;D156),"Acompte d'un autre client",IF(AND(AR156&lt;&gt;"",N(Q156)&lt;0),"Acompte supérieur au total de la facture",IF(IF(AG156="Facture",COUNTIFS(fl_doc,A156,fl_check,"&lt;&gt;OK"),IF(AG156="Devis",COUNTIFS(dl_doc,F156,dl_check,"&lt;&gt;OK"),0))&gt;0,"Ligne(s) à corriger",IF(AND(W156&lt;&gt;"",N(W156)&lt;0),"Trop-perçu : vérifiez paiements et avoirs","OK")))))))))))))))))))))</f>
        <v/>
      </c>
      <c r="AA156" s="62" t="str">
        <f>IF(COUNTA(B156:D156,F156:O156)&gt;0,IF(B156="","Facture",B156),"")</f>
        <v/>
      </c>
      <c r="AB156" s="62" t="str">
        <f>IF(AA156="","",IF(AA156="Avoir",p_pav,IF(AA156="Facture d'acompte",p_pac,p_pfa)))</f>
        <v/>
      </c>
      <c r="AC156" s="62">
        <f>IF(ISNUMBER(C156),C156,0)</f>
        <v>0.0</v>
      </c>
      <c r="AD156" s="62" t="str">
        <f>IF(OR(AA156="",AC156=0),"",YEAR(AC156))</f>
        <v/>
      </c>
      <c r="AE156" s="62" t="str">
        <f>IF(AD156="","",COUNTIFS($AB$6:AB156,AB156,$AD$6:AD156,AD156))</f>
        <v/>
      </c>
      <c r="AF156" s="62">
        <f>IF(A156="",0,COUNTIF(fl_doc,A156))</f>
        <v>0.0</v>
      </c>
      <c r="AG156" s="62" t="str">
        <f>IF(A156="","",IF(AF156&gt;0,"Facture",IF(AND(F156&lt;&gt;"",AA156="Facture",ISNUMBER(MATCH(F156,dv_num,0))),"Devis","")))</f>
        <v/>
      </c>
      <c r="AH156" s="62" t="str">
        <f>IF(AND(A156&lt;&gt;"",F156&lt;&gt;"",AA156&lt;&gt;"Avoir"),F156,"")</f>
        <v/>
      </c>
      <c r="AI156" s="62" t="str">
        <f>IF(AG156="Devis",F156,"")</f>
        <v/>
      </c>
      <c r="AJ156" s="62">
        <f>IF(AG156="Facture",SUMIF(fl_doc,A156,fl_ht),IF(AG156="Devis",SUMIF(dl_doc,F156,dl_ht),0))</f>
        <v>0.0</v>
      </c>
      <c r="AK156" s="62">
        <f>IF(OR(AG156="",INDEX(p_rates,1)=""),0,IF(AG156="Facture",SUMIFS(fl_ht,fl_doc,A156,fl_rate,INDEX(p_rates,1)),SUMIFS(dl_ht,dl_doc,F156,dl_rate,INDEX(p_rates,1))))</f>
        <v>0.0</v>
      </c>
      <c r="AL156" s="62">
        <f>IF(OR(AG156="",INDEX(p_rates,2)=""),0,IF(AG156="Facture",SUMIFS(fl_ht,fl_doc,A156,fl_rate,INDEX(p_rates,2)),SUMIFS(dl_ht,dl_doc,F156,dl_rate,INDEX(p_rates,2))))</f>
        <v>0.0</v>
      </c>
      <c r="AM156" s="62">
        <f>IF(OR(AG156="",INDEX(p_rates,3)=""),0,IF(AG156="Facture",SUMIFS(fl_ht,fl_doc,A156,fl_rate,INDEX(p_rates,3)),SUMIFS(dl_ht,dl_doc,F156,dl_rate,INDEX(p_rates,3))))</f>
        <v>0.0</v>
      </c>
      <c r="AN156" s="62">
        <f>IF(OR(AG156="",INDEX(p_rates,4)=""),0,IF(AG156="Facture",SUMIFS(fl_ht,fl_doc,A156,fl_rate,INDEX(p_rates,4)),SUMIFS(dl_ht,dl_doc,F156,dl_rate,INDEX(p_rates,4))))</f>
        <v>0.0</v>
      </c>
      <c r="AO156" s="62">
        <f>IF(OR(AG156="",INDEX(p_rates,5)=""),0,IF(AG156="Facture",SUMIFS(fl_ht,fl_doc,A156,fl_rate,INDEX(p_rates,5)),SUMIFS(dl_ht,dl_doc,F156,dl_rate,INDEX(p_rates,5))))</f>
        <v>0.0</v>
      </c>
      <c r="AP156" s="62">
        <f>IF(OR(AG156="",INDEX(p_rates,6)=""),0,IF(AG156="Facture",SUMIFS(fl_ht,fl_doc,A156,fl_rate,INDEX(p_rates,6)),SUMIFS(dl_ht,dl_doc,F156,dl_rate,INDEX(p_rates,6))))</f>
        <v>0.0</v>
      </c>
      <c r="AQ156" s="62">
        <f>ROUND(AK156*N(INDEX(p_rates,1)),2)+ROUND(AL156*N(INDEX(p_rates,2)),2)+ROUND(AM156*N(INDEX(p_rates,3)),2)+ROUND(AN156*N(INDEX(p_rates,4)),2)+ROUND(AO156*N(INDEX(p_rates,5)),2)+ROUND(AP156*N(INDEX(p_rates,6)),2)</f>
        <v>0.0</v>
      </c>
      <c r="AR156" s="62" t="str">
        <f>IF(OR(L156="",AA156&lt;&gt;"Facture"),"",IFERROR(IF(INDEX(fa_type,MATCH(L156,fa_num,0))="Facture d'acompte",MATCH(L156,fa_num,0),""),""))</f>
        <v/>
      </c>
      <c r="AS156" s="62" t="str">
        <f>IF(W156="","",IF(W156&lt;=0,"",IF(p_asof-P156&lt;=0,"Non échu",IF(p_asof-P156&lt;=30,"1-30 j",IF(p_asof-P156&lt;=60,"31-60 j",IF(p_asof-P156&lt;=90,"61-90 j","Plus de 90 j"))))))</f>
        <v/>
      </c>
      <c r="AT156" s="62" t="str">
        <f>IF(AS156="","",p_asof-P156)</f>
        <v/>
      </c>
      <c r="AU156" s="62" t="str">
        <f>IF(AT156="","",COUNTIF($AT$6:$AT$805,"&gt;"&amp;AT156)+COUNTIF($AT$6:AT156,AT156))</f>
        <v/>
      </c>
    </row>
    <row r="157">
      <c r="A157" s="59" t="str">
        <f>IF(AE157="","",AB157&amp;"-"&amp;AD157&amp;"-"&amp;RIGHT("000"&amp;AE157,4))</f>
        <v/>
      </c>
      <c r="B157" s="60" t="n"/>
      <c r="C157" s="61" t="n"/>
      <c r="D157" s="60" t="n"/>
      <c r="E157" s="62" t="str">
        <f>IF(D157="","",IFERROR(INDEX(cli_name,MATCH(D157,cli_code,0))&amp;"","Client inconnu"))</f>
        <v/>
      </c>
      <c r="F157" s="60" t="n"/>
      <c r="G157" s="63" t="n"/>
      <c r="H157" s="61" t="n"/>
      <c r="I157" s="63" t="n"/>
      <c r="J157" s="60" t="n"/>
      <c r="K157" s="61" t="n"/>
      <c r="L157" s="60" t="n"/>
      <c r="M157" s="60" t="n"/>
      <c r="N157" s="60" t="n"/>
      <c r="O157" s="61" t="n"/>
      <c r="P157" s="64" t="str">
        <f>IF(A157="","",IF(AA157="Avoir",AC157,IF(ISNUMBER(K157),K157,AC157+IF(D157="",N(p_delay),IFERROR(IF(ISNUMBER(INDEX(cli_delay,MATCH(D157,cli_code,0))),INDEX(cli_delay,MATCH(D157,cli_code,0)),N(p_delay)),N(p_delay))))))</f>
        <v/>
      </c>
      <c r="Q157" s="65" t="str">
        <f>IF(A157="","",IF(AA157="Avoir",-1,1)*ROUND(AJ157-IF(AR157="",0,INDEX(fa_htb,AR157)),2))</f>
        <v/>
      </c>
      <c r="R157" s="65" t="str">
        <f>IF(A157="","",IF(AA157="Avoir",-1,1)*ROUND(AQ157-IF(AR157="",0,INDEX(fa_tvab,AR157)),2))</f>
        <v/>
      </c>
      <c r="S157" s="65" t="str">
        <f>IF(A157="","",Q157+R157)</f>
        <v/>
      </c>
      <c r="T157" s="65" t="str">
        <f>IF(AR157="","",INDEX(fa_htb,AR157)+INDEX(fa_tvab,AR157))</f>
        <v/>
      </c>
      <c r="U157" s="65" t="str">
        <f>IF(A157="","",SUMIF(pa_inv,A157,pa_amt))</f>
        <v/>
      </c>
      <c r="V157" s="65" t="str">
        <f>IF(OR(A157="",AA157="Avoir"),"",-SUMIFS(fa_ttc,fa_avof,A157,fa_type,"Avoir"))</f>
        <v/>
      </c>
      <c r="W157" s="65" t="str">
        <f>IF(OR(A157="",AA157="Avoir"),"",ROUND(S157-U157-V157,2))</f>
        <v/>
      </c>
      <c r="X157" s="66" t="str">
        <f>IF(W157="","",IF(AND(W157&gt;0,p_asof&gt;P157),p_asof-P157,""))</f>
        <v/>
      </c>
      <c r="Y157" s="59" t="str">
        <f>IF(A157="","",IF(AA157="Avoir","Avoir",IF(W157&lt;0,"Trop-perçu",IF(W157=0,"Soldée",IF(p_asof&gt;P157,"En retard",IF(U157+V157&gt;0,"Partielle","À échoir"))))))</f>
        <v/>
      </c>
      <c r="Z157" s="59" t="str">
        <f>IF(NOT(COUNTA(B157:D157,F157:O157)&gt;0),"",IF(C157="","Date manquante",IF(NOT(ISNUMBER(C157)),"Date invalide",IF(D157="","Client manquant",IF(ISNA(MATCH(D157,cli_code,0)),"Client inconnu",IF(AC157&lt;SUMPRODUCT(MAX(($AB$6:AB156=AB157)*$AC$6:AC156)),"Date antérieure à la facture précédente",IF(AND(F157&lt;&gt;"",ISNA(MATCH(F157,dv_num,0))),"Devis inconnu",IF(AND(F157&lt;&gt;"",IFERROR(INDEX(dv_client,MATCH(F157,dv_num,0)),D157)&lt;&gt;D157),"Client différent de celui du devis",IF(AG157="","Aucune ligne : saisissez des lignes ou un devis",IF(AND(AI157&lt;&gt;"",COUNTIF($AI$6:AI157,AI157)&gt;1),"Devis déjà repris par une autre facture",IF(AND(AA157="Avoir",M157=""),"Avoir : indiquez la facture d'origine",IF(AND(AA157="Avoir",ISNA(MATCH(M157,fa_num,0))),"Facture d'origine inconnue",IF(AND(AA157&lt;&gt;"Avoir",M157&lt;&gt;""),"« Avoir sur facture » : réservé aux avoirs",IF(AND(L157&lt;&gt;"",AA157&lt;&gt;"Facture"),"Acompte à déduire : réservé aux factures",IF(AND(L157&lt;&gt;"",ISNA(MATCH(L157,fa_num,0))),"Facture d'acompte inconnue",IF(AND(L157&lt;&gt;"",IFERROR(INDEX(fa_type,MATCH(L157,fa_num,0)),"")&lt;&gt;"Facture d'acompte"),"Le n° à déduire n'est pas une facture d'acompte",IF(AND(L157&lt;&gt;"",COUNTIF($L$6:L157,L157)&gt;1),"Acompte déjà déduit sur une autre facture",IF(AND(L157&lt;&gt;"",IFERROR(INDEX(fa_client,MATCH(L157,fa_num,0)),D157)&lt;&gt;D157),"Acompte d'un autre client",IF(AND(AR157&lt;&gt;"",N(Q157)&lt;0),"Acompte supérieur au total de la facture",IF(IF(AG157="Facture",COUNTIFS(fl_doc,A157,fl_check,"&lt;&gt;OK"),IF(AG157="Devis",COUNTIFS(dl_doc,F157,dl_check,"&lt;&gt;OK"),0))&gt;0,"Ligne(s) à corriger",IF(AND(W157&lt;&gt;"",N(W157)&lt;0),"Trop-perçu : vérifiez paiements et avoirs","OK")))))))))))))))))))))</f>
        <v/>
      </c>
      <c r="AA157" s="62" t="str">
        <f>IF(COUNTA(B157:D157,F157:O157)&gt;0,IF(B157="","Facture",B157),"")</f>
        <v/>
      </c>
      <c r="AB157" s="62" t="str">
        <f>IF(AA157="","",IF(AA157="Avoir",p_pav,IF(AA157="Facture d'acompte",p_pac,p_pfa)))</f>
        <v/>
      </c>
      <c r="AC157" s="62">
        <f>IF(ISNUMBER(C157),C157,0)</f>
        <v>0.0</v>
      </c>
      <c r="AD157" s="62" t="str">
        <f>IF(OR(AA157="",AC157=0),"",YEAR(AC157))</f>
        <v/>
      </c>
      <c r="AE157" s="62" t="str">
        <f>IF(AD157="","",COUNTIFS($AB$6:AB157,AB157,$AD$6:AD157,AD157))</f>
        <v/>
      </c>
      <c r="AF157" s="62">
        <f>IF(A157="",0,COUNTIF(fl_doc,A157))</f>
        <v>0.0</v>
      </c>
      <c r="AG157" s="62" t="str">
        <f>IF(A157="","",IF(AF157&gt;0,"Facture",IF(AND(F157&lt;&gt;"",AA157="Facture",ISNUMBER(MATCH(F157,dv_num,0))),"Devis","")))</f>
        <v/>
      </c>
      <c r="AH157" s="62" t="str">
        <f>IF(AND(A157&lt;&gt;"",F157&lt;&gt;"",AA157&lt;&gt;"Avoir"),F157,"")</f>
        <v/>
      </c>
      <c r="AI157" s="62" t="str">
        <f>IF(AG157="Devis",F157,"")</f>
        <v/>
      </c>
      <c r="AJ157" s="62">
        <f>IF(AG157="Facture",SUMIF(fl_doc,A157,fl_ht),IF(AG157="Devis",SUMIF(dl_doc,F157,dl_ht),0))</f>
        <v>0.0</v>
      </c>
      <c r="AK157" s="62">
        <f>IF(OR(AG157="",INDEX(p_rates,1)=""),0,IF(AG157="Facture",SUMIFS(fl_ht,fl_doc,A157,fl_rate,INDEX(p_rates,1)),SUMIFS(dl_ht,dl_doc,F157,dl_rate,INDEX(p_rates,1))))</f>
        <v>0.0</v>
      </c>
      <c r="AL157" s="62">
        <f>IF(OR(AG157="",INDEX(p_rates,2)=""),0,IF(AG157="Facture",SUMIFS(fl_ht,fl_doc,A157,fl_rate,INDEX(p_rates,2)),SUMIFS(dl_ht,dl_doc,F157,dl_rate,INDEX(p_rates,2))))</f>
        <v>0.0</v>
      </c>
      <c r="AM157" s="62">
        <f>IF(OR(AG157="",INDEX(p_rates,3)=""),0,IF(AG157="Facture",SUMIFS(fl_ht,fl_doc,A157,fl_rate,INDEX(p_rates,3)),SUMIFS(dl_ht,dl_doc,F157,dl_rate,INDEX(p_rates,3))))</f>
        <v>0.0</v>
      </c>
      <c r="AN157" s="62">
        <f>IF(OR(AG157="",INDEX(p_rates,4)=""),0,IF(AG157="Facture",SUMIFS(fl_ht,fl_doc,A157,fl_rate,INDEX(p_rates,4)),SUMIFS(dl_ht,dl_doc,F157,dl_rate,INDEX(p_rates,4))))</f>
        <v>0.0</v>
      </c>
      <c r="AO157" s="62">
        <f>IF(OR(AG157="",INDEX(p_rates,5)=""),0,IF(AG157="Facture",SUMIFS(fl_ht,fl_doc,A157,fl_rate,INDEX(p_rates,5)),SUMIFS(dl_ht,dl_doc,F157,dl_rate,INDEX(p_rates,5))))</f>
        <v>0.0</v>
      </c>
      <c r="AP157" s="62">
        <f>IF(OR(AG157="",INDEX(p_rates,6)=""),0,IF(AG157="Facture",SUMIFS(fl_ht,fl_doc,A157,fl_rate,INDEX(p_rates,6)),SUMIFS(dl_ht,dl_doc,F157,dl_rate,INDEX(p_rates,6))))</f>
        <v>0.0</v>
      </c>
      <c r="AQ157" s="62">
        <f>ROUND(AK157*N(INDEX(p_rates,1)),2)+ROUND(AL157*N(INDEX(p_rates,2)),2)+ROUND(AM157*N(INDEX(p_rates,3)),2)+ROUND(AN157*N(INDEX(p_rates,4)),2)+ROUND(AO157*N(INDEX(p_rates,5)),2)+ROUND(AP157*N(INDEX(p_rates,6)),2)</f>
        <v>0.0</v>
      </c>
      <c r="AR157" s="62" t="str">
        <f>IF(OR(L157="",AA157&lt;&gt;"Facture"),"",IFERROR(IF(INDEX(fa_type,MATCH(L157,fa_num,0))="Facture d'acompte",MATCH(L157,fa_num,0),""),""))</f>
        <v/>
      </c>
      <c r="AS157" s="62" t="str">
        <f>IF(W157="","",IF(W157&lt;=0,"",IF(p_asof-P157&lt;=0,"Non échu",IF(p_asof-P157&lt;=30,"1-30 j",IF(p_asof-P157&lt;=60,"31-60 j",IF(p_asof-P157&lt;=90,"61-90 j","Plus de 90 j"))))))</f>
        <v/>
      </c>
      <c r="AT157" s="62" t="str">
        <f>IF(AS157="","",p_asof-P157)</f>
        <v/>
      </c>
      <c r="AU157" s="62" t="str">
        <f>IF(AT157="","",COUNTIF($AT$6:$AT$805,"&gt;"&amp;AT157)+COUNTIF($AT$6:AT157,AT157))</f>
        <v/>
      </c>
    </row>
    <row r="158">
      <c r="A158" s="59" t="str">
        <f>IF(AE158="","",AB158&amp;"-"&amp;AD158&amp;"-"&amp;RIGHT("000"&amp;AE158,4))</f>
        <v/>
      </c>
      <c r="B158" s="60" t="n"/>
      <c r="C158" s="61" t="n"/>
      <c r="D158" s="60" t="n"/>
      <c r="E158" s="62" t="str">
        <f>IF(D158="","",IFERROR(INDEX(cli_name,MATCH(D158,cli_code,0))&amp;"","Client inconnu"))</f>
        <v/>
      </c>
      <c r="F158" s="60" t="n"/>
      <c r="G158" s="63" t="n"/>
      <c r="H158" s="61" t="n"/>
      <c r="I158" s="63" t="n"/>
      <c r="J158" s="60" t="n"/>
      <c r="K158" s="61" t="n"/>
      <c r="L158" s="60" t="n"/>
      <c r="M158" s="60" t="n"/>
      <c r="N158" s="60" t="n"/>
      <c r="O158" s="61" t="n"/>
      <c r="P158" s="64" t="str">
        <f>IF(A158="","",IF(AA158="Avoir",AC158,IF(ISNUMBER(K158),K158,AC158+IF(D158="",N(p_delay),IFERROR(IF(ISNUMBER(INDEX(cli_delay,MATCH(D158,cli_code,0))),INDEX(cli_delay,MATCH(D158,cli_code,0)),N(p_delay)),N(p_delay))))))</f>
        <v/>
      </c>
      <c r="Q158" s="65" t="str">
        <f>IF(A158="","",IF(AA158="Avoir",-1,1)*ROUND(AJ158-IF(AR158="",0,INDEX(fa_htb,AR158)),2))</f>
        <v/>
      </c>
      <c r="R158" s="65" t="str">
        <f>IF(A158="","",IF(AA158="Avoir",-1,1)*ROUND(AQ158-IF(AR158="",0,INDEX(fa_tvab,AR158)),2))</f>
        <v/>
      </c>
      <c r="S158" s="65" t="str">
        <f>IF(A158="","",Q158+R158)</f>
        <v/>
      </c>
      <c r="T158" s="65" t="str">
        <f>IF(AR158="","",INDEX(fa_htb,AR158)+INDEX(fa_tvab,AR158))</f>
        <v/>
      </c>
      <c r="U158" s="65" t="str">
        <f>IF(A158="","",SUMIF(pa_inv,A158,pa_amt))</f>
        <v/>
      </c>
      <c r="V158" s="65" t="str">
        <f>IF(OR(A158="",AA158="Avoir"),"",-SUMIFS(fa_ttc,fa_avof,A158,fa_type,"Avoir"))</f>
        <v/>
      </c>
      <c r="W158" s="65" t="str">
        <f>IF(OR(A158="",AA158="Avoir"),"",ROUND(S158-U158-V158,2))</f>
        <v/>
      </c>
      <c r="X158" s="66" t="str">
        <f>IF(W158="","",IF(AND(W158&gt;0,p_asof&gt;P158),p_asof-P158,""))</f>
        <v/>
      </c>
      <c r="Y158" s="59" t="str">
        <f>IF(A158="","",IF(AA158="Avoir","Avoir",IF(W158&lt;0,"Trop-perçu",IF(W158=0,"Soldée",IF(p_asof&gt;P158,"En retard",IF(U158+V158&gt;0,"Partielle","À échoir"))))))</f>
        <v/>
      </c>
      <c r="Z158" s="59" t="str">
        <f>IF(NOT(COUNTA(B158:D158,F158:O158)&gt;0),"",IF(C158="","Date manquante",IF(NOT(ISNUMBER(C158)),"Date invalide",IF(D158="","Client manquant",IF(ISNA(MATCH(D158,cli_code,0)),"Client inconnu",IF(AC158&lt;SUMPRODUCT(MAX(($AB$6:AB157=AB158)*$AC$6:AC157)),"Date antérieure à la facture précédente",IF(AND(F158&lt;&gt;"",ISNA(MATCH(F158,dv_num,0))),"Devis inconnu",IF(AND(F158&lt;&gt;"",IFERROR(INDEX(dv_client,MATCH(F158,dv_num,0)),D158)&lt;&gt;D158),"Client différent de celui du devis",IF(AG158="","Aucune ligne : saisissez des lignes ou un devis",IF(AND(AI158&lt;&gt;"",COUNTIF($AI$6:AI158,AI158)&gt;1),"Devis déjà repris par une autre facture",IF(AND(AA158="Avoir",M158=""),"Avoir : indiquez la facture d'origine",IF(AND(AA158="Avoir",ISNA(MATCH(M158,fa_num,0))),"Facture d'origine inconnue",IF(AND(AA158&lt;&gt;"Avoir",M158&lt;&gt;""),"« Avoir sur facture » : réservé aux avoirs",IF(AND(L158&lt;&gt;"",AA158&lt;&gt;"Facture"),"Acompte à déduire : réservé aux factures",IF(AND(L158&lt;&gt;"",ISNA(MATCH(L158,fa_num,0))),"Facture d'acompte inconnue",IF(AND(L158&lt;&gt;"",IFERROR(INDEX(fa_type,MATCH(L158,fa_num,0)),"")&lt;&gt;"Facture d'acompte"),"Le n° à déduire n'est pas une facture d'acompte",IF(AND(L158&lt;&gt;"",COUNTIF($L$6:L158,L158)&gt;1),"Acompte déjà déduit sur une autre facture",IF(AND(L158&lt;&gt;"",IFERROR(INDEX(fa_client,MATCH(L158,fa_num,0)),D158)&lt;&gt;D158),"Acompte d'un autre client",IF(AND(AR158&lt;&gt;"",N(Q158)&lt;0),"Acompte supérieur au total de la facture",IF(IF(AG158="Facture",COUNTIFS(fl_doc,A158,fl_check,"&lt;&gt;OK"),IF(AG158="Devis",COUNTIFS(dl_doc,F158,dl_check,"&lt;&gt;OK"),0))&gt;0,"Ligne(s) à corriger",IF(AND(W158&lt;&gt;"",N(W158)&lt;0),"Trop-perçu : vérifiez paiements et avoirs","OK")))))))))))))))))))))</f>
        <v/>
      </c>
      <c r="AA158" s="62" t="str">
        <f>IF(COUNTA(B158:D158,F158:O158)&gt;0,IF(B158="","Facture",B158),"")</f>
        <v/>
      </c>
      <c r="AB158" s="62" t="str">
        <f>IF(AA158="","",IF(AA158="Avoir",p_pav,IF(AA158="Facture d'acompte",p_pac,p_pfa)))</f>
        <v/>
      </c>
      <c r="AC158" s="62">
        <f>IF(ISNUMBER(C158),C158,0)</f>
        <v>0.0</v>
      </c>
      <c r="AD158" s="62" t="str">
        <f>IF(OR(AA158="",AC158=0),"",YEAR(AC158))</f>
        <v/>
      </c>
      <c r="AE158" s="62" t="str">
        <f>IF(AD158="","",COUNTIFS($AB$6:AB158,AB158,$AD$6:AD158,AD158))</f>
        <v/>
      </c>
      <c r="AF158" s="62">
        <f>IF(A158="",0,COUNTIF(fl_doc,A158))</f>
        <v>0.0</v>
      </c>
      <c r="AG158" s="62" t="str">
        <f>IF(A158="","",IF(AF158&gt;0,"Facture",IF(AND(F158&lt;&gt;"",AA158="Facture",ISNUMBER(MATCH(F158,dv_num,0))),"Devis","")))</f>
        <v/>
      </c>
      <c r="AH158" s="62" t="str">
        <f>IF(AND(A158&lt;&gt;"",F158&lt;&gt;"",AA158&lt;&gt;"Avoir"),F158,"")</f>
        <v/>
      </c>
      <c r="AI158" s="62" t="str">
        <f>IF(AG158="Devis",F158,"")</f>
        <v/>
      </c>
      <c r="AJ158" s="62">
        <f>IF(AG158="Facture",SUMIF(fl_doc,A158,fl_ht),IF(AG158="Devis",SUMIF(dl_doc,F158,dl_ht),0))</f>
        <v>0.0</v>
      </c>
      <c r="AK158" s="62">
        <f>IF(OR(AG158="",INDEX(p_rates,1)=""),0,IF(AG158="Facture",SUMIFS(fl_ht,fl_doc,A158,fl_rate,INDEX(p_rates,1)),SUMIFS(dl_ht,dl_doc,F158,dl_rate,INDEX(p_rates,1))))</f>
        <v>0.0</v>
      </c>
      <c r="AL158" s="62">
        <f>IF(OR(AG158="",INDEX(p_rates,2)=""),0,IF(AG158="Facture",SUMIFS(fl_ht,fl_doc,A158,fl_rate,INDEX(p_rates,2)),SUMIFS(dl_ht,dl_doc,F158,dl_rate,INDEX(p_rates,2))))</f>
        <v>0.0</v>
      </c>
      <c r="AM158" s="62">
        <f>IF(OR(AG158="",INDEX(p_rates,3)=""),0,IF(AG158="Facture",SUMIFS(fl_ht,fl_doc,A158,fl_rate,INDEX(p_rates,3)),SUMIFS(dl_ht,dl_doc,F158,dl_rate,INDEX(p_rates,3))))</f>
        <v>0.0</v>
      </c>
      <c r="AN158" s="62">
        <f>IF(OR(AG158="",INDEX(p_rates,4)=""),0,IF(AG158="Facture",SUMIFS(fl_ht,fl_doc,A158,fl_rate,INDEX(p_rates,4)),SUMIFS(dl_ht,dl_doc,F158,dl_rate,INDEX(p_rates,4))))</f>
        <v>0.0</v>
      </c>
      <c r="AO158" s="62">
        <f>IF(OR(AG158="",INDEX(p_rates,5)=""),0,IF(AG158="Facture",SUMIFS(fl_ht,fl_doc,A158,fl_rate,INDEX(p_rates,5)),SUMIFS(dl_ht,dl_doc,F158,dl_rate,INDEX(p_rates,5))))</f>
        <v>0.0</v>
      </c>
      <c r="AP158" s="62">
        <f>IF(OR(AG158="",INDEX(p_rates,6)=""),0,IF(AG158="Facture",SUMIFS(fl_ht,fl_doc,A158,fl_rate,INDEX(p_rates,6)),SUMIFS(dl_ht,dl_doc,F158,dl_rate,INDEX(p_rates,6))))</f>
        <v>0.0</v>
      </c>
      <c r="AQ158" s="62">
        <f>ROUND(AK158*N(INDEX(p_rates,1)),2)+ROUND(AL158*N(INDEX(p_rates,2)),2)+ROUND(AM158*N(INDEX(p_rates,3)),2)+ROUND(AN158*N(INDEX(p_rates,4)),2)+ROUND(AO158*N(INDEX(p_rates,5)),2)+ROUND(AP158*N(INDEX(p_rates,6)),2)</f>
        <v>0.0</v>
      </c>
      <c r="AR158" s="62" t="str">
        <f>IF(OR(L158="",AA158&lt;&gt;"Facture"),"",IFERROR(IF(INDEX(fa_type,MATCH(L158,fa_num,0))="Facture d'acompte",MATCH(L158,fa_num,0),""),""))</f>
        <v/>
      </c>
      <c r="AS158" s="62" t="str">
        <f>IF(W158="","",IF(W158&lt;=0,"",IF(p_asof-P158&lt;=0,"Non échu",IF(p_asof-P158&lt;=30,"1-30 j",IF(p_asof-P158&lt;=60,"31-60 j",IF(p_asof-P158&lt;=90,"61-90 j","Plus de 90 j"))))))</f>
        <v/>
      </c>
      <c r="AT158" s="62" t="str">
        <f>IF(AS158="","",p_asof-P158)</f>
        <v/>
      </c>
      <c r="AU158" s="62" t="str">
        <f>IF(AT158="","",COUNTIF($AT$6:$AT$805,"&gt;"&amp;AT158)+COUNTIF($AT$6:AT158,AT158))</f>
        <v/>
      </c>
    </row>
    <row r="159">
      <c r="A159" s="59" t="str">
        <f>IF(AE159="","",AB159&amp;"-"&amp;AD159&amp;"-"&amp;RIGHT("000"&amp;AE159,4))</f>
        <v/>
      </c>
      <c r="B159" s="60" t="n"/>
      <c r="C159" s="61" t="n"/>
      <c r="D159" s="60" t="n"/>
      <c r="E159" s="62" t="str">
        <f>IF(D159="","",IFERROR(INDEX(cli_name,MATCH(D159,cli_code,0))&amp;"","Client inconnu"))</f>
        <v/>
      </c>
      <c r="F159" s="60" t="n"/>
      <c r="G159" s="63" t="n"/>
      <c r="H159" s="61" t="n"/>
      <c r="I159" s="63" t="n"/>
      <c r="J159" s="60" t="n"/>
      <c r="K159" s="61" t="n"/>
      <c r="L159" s="60" t="n"/>
      <c r="M159" s="60" t="n"/>
      <c r="N159" s="60" t="n"/>
      <c r="O159" s="61" t="n"/>
      <c r="P159" s="64" t="str">
        <f>IF(A159="","",IF(AA159="Avoir",AC159,IF(ISNUMBER(K159),K159,AC159+IF(D159="",N(p_delay),IFERROR(IF(ISNUMBER(INDEX(cli_delay,MATCH(D159,cli_code,0))),INDEX(cli_delay,MATCH(D159,cli_code,0)),N(p_delay)),N(p_delay))))))</f>
        <v/>
      </c>
      <c r="Q159" s="65" t="str">
        <f>IF(A159="","",IF(AA159="Avoir",-1,1)*ROUND(AJ159-IF(AR159="",0,INDEX(fa_htb,AR159)),2))</f>
        <v/>
      </c>
      <c r="R159" s="65" t="str">
        <f>IF(A159="","",IF(AA159="Avoir",-1,1)*ROUND(AQ159-IF(AR159="",0,INDEX(fa_tvab,AR159)),2))</f>
        <v/>
      </c>
      <c r="S159" s="65" t="str">
        <f>IF(A159="","",Q159+R159)</f>
        <v/>
      </c>
      <c r="T159" s="65" t="str">
        <f>IF(AR159="","",INDEX(fa_htb,AR159)+INDEX(fa_tvab,AR159))</f>
        <v/>
      </c>
      <c r="U159" s="65" t="str">
        <f>IF(A159="","",SUMIF(pa_inv,A159,pa_amt))</f>
        <v/>
      </c>
      <c r="V159" s="65" t="str">
        <f>IF(OR(A159="",AA159="Avoir"),"",-SUMIFS(fa_ttc,fa_avof,A159,fa_type,"Avoir"))</f>
        <v/>
      </c>
      <c r="W159" s="65" t="str">
        <f>IF(OR(A159="",AA159="Avoir"),"",ROUND(S159-U159-V159,2))</f>
        <v/>
      </c>
      <c r="X159" s="66" t="str">
        <f>IF(W159="","",IF(AND(W159&gt;0,p_asof&gt;P159),p_asof-P159,""))</f>
        <v/>
      </c>
      <c r="Y159" s="59" t="str">
        <f>IF(A159="","",IF(AA159="Avoir","Avoir",IF(W159&lt;0,"Trop-perçu",IF(W159=0,"Soldée",IF(p_asof&gt;P159,"En retard",IF(U159+V159&gt;0,"Partielle","À échoir"))))))</f>
        <v/>
      </c>
      <c r="Z159" s="59" t="str">
        <f>IF(NOT(COUNTA(B159:D159,F159:O159)&gt;0),"",IF(C159="","Date manquante",IF(NOT(ISNUMBER(C159)),"Date invalide",IF(D159="","Client manquant",IF(ISNA(MATCH(D159,cli_code,0)),"Client inconnu",IF(AC159&lt;SUMPRODUCT(MAX(($AB$6:AB158=AB159)*$AC$6:AC158)),"Date antérieure à la facture précédente",IF(AND(F159&lt;&gt;"",ISNA(MATCH(F159,dv_num,0))),"Devis inconnu",IF(AND(F159&lt;&gt;"",IFERROR(INDEX(dv_client,MATCH(F159,dv_num,0)),D159)&lt;&gt;D159),"Client différent de celui du devis",IF(AG159="","Aucune ligne : saisissez des lignes ou un devis",IF(AND(AI159&lt;&gt;"",COUNTIF($AI$6:AI159,AI159)&gt;1),"Devis déjà repris par une autre facture",IF(AND(AA159="Avoir",M159=""),"Avoir : indiquez la facture d'origine",IF(AND(AA159="Avoir",ISNA(MATCH(M159,fa_num,0))),"Facture d'origine inconnue",IF(AND(AA159&lt;&gt;"Avoir",M159&lt;&gt;""),"« Avoir sur facture » : réservé aux avoirs",IF(AND(L159&lt;&gt;"",AA159&lt;&gt;"Facture"),"Acompte à déduire : réservé aux factures",IF(AND(L159&lt;&gt;"",ISNA(MATCH(L159,fa_num,0))),"Facture d'acompte inconnue",IF(AND(L159&lt;&gt;"",IFERROR(INDEX(fa_type,MATCH(L159,fa_num,0)),"")&lt;&gt;"Facture d'acompte"),"Le n° à déduire n'est pas une facture d'acompte",IF(AND(L159&lt;&gt;"",COUNTIF($L$6:L159,L159)&gt;1),"Acompte déjà déduit sur une autre facture",IF(AND(L159&lt;&gt;"",IFERROR(INDEX(fa_client,MATCH(L159,fa_num,0)),D159)&lt;&gt;D159),"Acompte d'un autre client",IF(AND(AR159&lt;&gt;"",N(Q159)&lt;0),"Acompte supérieur au total de la facture",IF(IF(AG159="Facture",COUNTIFS(fl_doc,A159,fl_check,"&lt;&gt;OK"),IF(AG159="Devis",COUNTIFS(dl_doc,F159,dl_check,"&lt;&gt;OK"),0))&gt;0,"Ligne(s) à corriger",IF(AND(W159&lt;&gt;"",N(W159)&lt;0),"Trop-perçu : vérifiez paiements et avoirs","OK")))))))))))))))))))))</f>
        <v/>
      </c>
      <c r="AA159" s="62" t="str">
        <f>IF(COUNTA(B159:D159,F159:O159)&gt;0,IF(B159="","Facture",B159),"")</f>
        <v/>
      </c>
      <c r="AB159" s="62" t="str">
        <f>IF(AA159="","",IF(AA159="Avoir",p_pav,IF(AA159="Facture d'acompte",p_pac,p_pfa)))</f>
        <v/>
      </c>
      <c r="AC159" s="62">
        <f>IF(ISNUMBER(C159),C159,0)</f>
        <v>0.0</v>
      </c>
      <c r="AD159" s="62" t="str">
        <f>IF(OR(AA159="",AC159=0),"",YEAR(AC159))</f>
        <v/>
      </c>
      <c r="AE159" s="62" t="str">
        <f>IF(AD159="","",COUNTIFS($AB$6:AB159,AB159,$AD$6:AD159,AD159))</f>
        <v/>
      </c>
      <c r="AF159" s="62">
        <f>IF(A159="",0,COUNTIF(fl_doc,A159))</f>
        <v>0.0</v>
      </c>
      <c r="AG159" s="62" t="str">
        <f>IF(A159="","",IF(AF159&gt;0,"Facture",IF(AND(F159&lt;&gt;"",AA159="Facture",ISNUMBER(MATCH(F159,dv_num,0))),"Devis","")))</f>
        <v/>
      </c>
      <c r="AH159" s="62" t="str">
        <f>IF(AND(A159&lt;&gt;"",F159&lt;&gt;"",AA159&lt;&gt;"Avoir"),F159,"")</f>
        <v/>
      </c>
      <c r="AI159" s="62" t="str">
        <f>IF(AG159="Devis",F159,"")</f>
        <v/>
      </c>
      <c r="AJ159" s="62">
        <f>IF(AG159="Facture",SUMIF(fl_doc,A159,fl_ht),IF(AG159="Devis",SUMIF(dl_doc,F159,dl_ht),0))</f>
        <v>0.0</v>
      </c>
      <c r="AK159" s="62">
        <f>IF(OR(AG159="",INDEX(p_rates,1)=""),0,IF(AG159="Facture",SUMIFS(fl_ht,fl_doc,A159,fl_rate,INDEX(p_rates,1)),SUMIFS(dl_ht,dl_doc,F159,dl_rate,INDEX(p_rates,1))))</f>
        <v>0.0</v>
      </c>
      <c r="AL159" s="62">
        <f>IF(OR(AG159="",INDEX(p_rates,2)=""),0,IF(AG159="Facture",SUMIFS(fl_ht,fl_doc,A159,fl_rate,INDEX(p_rates,2)),SUMIFS(dl_ht,dl_doc,F159,dl_rate,INDEX(p_rates,2))))</f>
        <v>0.0</v>
      </c>
      <c r="AM159" s="62">
        <f>IF(OR(AG159="",INDEX(p_rates,3)=""),0,IF(AG159="Facture",SUMIFS(fl_ht,fl_doc,A159,fl_rate,INDEX(p_rates,3)),SUMIFS(dl_ht,dl_doc,F159,dl_rate,INDEX(p_rates,3))))</f>
        <v>0.0</v>
      </c>
      <c r="AN159" s="62">
        <f>IF(OR(AG159="",INDEX(p_rates,4)=""),0,IF(AG159="Facture",SUMIFS(fl_ht,fl_doc,A159,fl_rate,INDEX(p_rates,4)),SUMIFS(dl_ht,dl_doc,F159,dl_rate,INDEX(p_rates,4))))</f>
        <v>0.0</v>
      </c>
      <c r="AO159" s="62">
        <f>IF(OR(AG159="",INDEX(p_rates,5)=""),0,IF(AG159="Facture",SUMIFS(fl_ht,fl_doc,A159,fl_rate,INDEX(p_rates,5)),SUMIFS(dl_ht,dl_doc,F159,dl_rate,INDEX(p_rates,5))))</f>
        <v>0.0</v>
      </c>
      <c r="AP159" s="62">
        <f>IF(OR(AG159="",INDEX(p_rates,6)=""),0,IF(AG159="Facture",SUMIFS(fl_ht,fl_doc,A159,fl_rate,INDEX(p_rates,6)),SUMIFS(dl_ht,dl_doc,F159,dl_rate,INDEX(p_rates,6))))</f>
        <v>0.0</v>
      </c>
      <c r="AQ159" s="62">
        <f>ROUND(AK159*N(INDEX(p_rates,1)),2)+ROUND(AL159*N(INDEX(p_rates,2)),2)+ROUND(AM159*N(INDEX(p_rates,3)),2)+ROUND(AN159*N(INDEX(p_rates,4)),2)+ROUND(AO159*N(INDEX(p_rates,5)),2)+ROUND(AP159*N(INDEX(p_rates,6)),2)</f>
        <v>0.0</v>
      </c>
      <c r="AR159" s="62" t="str">
        <f>IF(OR(L159="",AA159&lt;&gt;"Facture"),"",IFERROR(IF(INDEX(fa_type,MATCH(L159,fa_num,0))="Facture d'acompte",MATCH(L159,fa_num,0),""),""))</f>
        <v/>
      </c>
      <c r="AS159" s="62" t="str">
        <f>IF(W159="","",IF(W159&lt;=0,"",IF(p_asof-P159&lt;=0,"Non échu",IF(p_asof-P159&lt;=30,"1-30 j",IF(p_asof-P159&lt;=60,"31-60 j",IF(p_asof-P159&lt;=90,"61-90 j","Plus de 90 j"))))))</f>
        <v/>
      </c>
      <c r="AT159" s="62" t="str">
        <f>IF(AS159="","",p_asof-P159)</f>
        <v/>
      </c>
      <c r="AU159" s="62" t="str">
        <f>IF(AT159="","",COUNTIF($AT$6:$AT$805,"&gt;"&amp;AT159)+COUNTIF($AT$6:AT159,AT159))</f>
        <v/>
      </c>
    </row>
    <row r="160">
      <c r="A160" s="59" t="str">
        <f>IF(AE160="","",AB160&amp;"-"&amp;AD160&amp;"-"&amp;RIGHT("000"&amp;AE160,4))</f>
        <v/>
      </c>
      <c r="B160" s="60" t="n"/>
      <c r="C160" s="61" t="n"/>
      <c r="D160" s="60" t="n"/>
      <c r="E160" s="62" t="str">
        <f>IF(D160="","",IFERROR(INDEX(cli_name,MATCH(D160,cli_code,0))&amp;"","Client inconnu"))</f>
        <v/>
      </c>
      <c r="F160" s="60" t="n"/>
      <c r="G160" s="63" t="n"/>
      <c r="H160" s="61" t="n"/>
      <c r="I160" s="63" t="n"/>
      <c r="J160" s="60" t="n"/>
      <c r="K160" s="61" t="n"/>
      <c r="L160" s="60" t="n"/>
      <c r="M160" s="60" t="n"/>
      <c r="N160" s="60" t="n"/>
      <c r="O160" s="61" t="n"/>
      <c r="P160" s="64" t="str">
        <f>IF(A160="","",IF(AA160="Avoir",AC160,IF(ISNUMBER(K160),K160,AC160+IF(D160="",N(p_delay),IFERROR(IF(ISNUMBER(INDEX(cli_delay,MATCH(D160,cli_code,0))),INDEX(cli_delay,MATCH(D160,cli_code,0)),N(p_delay)),N(p_delay))))))</f>
        <v/>
      </c>
      <c r="Q160" s="65" t="str">
        <f>IF(A160="","",IF(AA160="Avoir",-1,1)*ROUND(AJ160-IF(AR160="",0,INDEX(fa_htb,AR160)),2))</f>
        <v/>
      </c>
      <c r="R160" s="65" t="str">
        <f>IF(A160="","",IF(AA160="Avoir",-1,1)*ROUND(AQ160-IF(AR160="",0,INDEX(fa_tvab,AR160)),2))</f>
        <v/>
      </c>
      <c r="S160" s="65" t="str">
        <f>IF(A160="","",Q160+R160)</f>
        <v/>
      </c>
      <c r="T160" s="65" t="str">
        <f>IF(AR160="","",INDEX(fa_htb,AR160)+INDEX(fa_tvab,AR160))</f>
        <v/>
      </c>
      <c r="U160" s="65" t="str">
        <f>IF(A160="","",SUMIF(pa_inv,A160,pa_amt))</f>
        <v/>
      </c>
      <c r="V160" s="65" t="str">
        <f>IF(OR(A160="",AA160="Avoir"),"",-SUMIFS(fa_ttc,fa_avof,A160,fa_type,"Avoir"))</f>
        <v/>
      </c>
      <c r="W160" s="65" t="str">
        <f>IF(OR(A160="",AA160="Avoir"),"",ROUND(S160-U160-V160,2))</f>
        <v/>
      </c>
      <c r="X160" s="66" t="str">
        <f>IF(W160="","",IF(AND(W160&gt;0,p_asof&gt;P160),p_asof-P160,""))</f>
        <v/>
      </c>
      <c r="Y160" s="59" t="str">
        <f>IF(A160="","",IF(AA160="Avoir","Avoir",IF(W160&lt;0,"Trop-perçu",IF(W160=0,"Soldée",IF(p_asof&gt;P160,"En retard",IF(U160+V160&gt;0,"Partielle","À échoir"))))))</f>
        <v/>
      </c>
      <c r="Z160" s="59" t="str">
        <f>IF(NOT(COUNTA(B160:D160,F160:O160)&gt;0),"",IF(C160="","Date manquante",IF(NOT(ISNUMBER(C160)),"Date invalide",IF(D160="","Client manquant",IF(ISNA(MATCH(D160,cli_code,0)),"Client inconnu",IF(AC160&lt;SUMPRODUCT(MAX(($AB$6:AB159=AB160)*$AC$6:AC159)),"Date antérieure à la facture précédente",IF(AND(F160&lt;&gt;"",ISNA(MATCH(F160,dv_num,0))),"Devis inconnu",IF(AND(F160&lt;&gt;"",IFERROR(INDEX(dv_client,MATCH(F160,dv_num,0)),D160)&lt;&gt;D160),"Client différent de celui du devis",IF(AG160="","Aucune ligne : saisissez des lignes ou un devis",IF(AND(AI160&lt;&gt;"",COUNTIF($AI$6:AI160,AI160)&gt;1),"Devis déjà repris par une autre facture",IF(AND(AA160="Avoir",M160=""),"Avoir : indiquez la facture d'origine",IF(AND(AA160="Avoir",ISNA(MATCH(M160,fa_num,0))),"Facture d'origine inconnue",IF(AND(AA160&lt;&gt;"Avoir",M160&lt;&gt;""),"« Avoir sur facture » : réservé aux avoirs",IF(AND(L160&lt;&gt;"",AA160&lt;&gt;"Facture"),"Acompte à déduire : réservé aux factures",IF(AND(L160&lt;&gt;"",ISNA(MATCH(L160,fa_num,0))),"Facture d'acompte inconnue",IF(AND(L160&lt;&gt;"",IFERROR(INDEX(fa_type,MATCH(L160,fa_num,0)),"")&lt;&gt;"Facture d'acompte"),"Le n° à déduire n'est pas une facture d'acompte",IF(AND(L160&lt;&gt;"",COUNTIF($L$6:L160,L160)&gt;1),"Acompte déjà déduit sur une autre facture",IF(AND(L160&lt;&gt;"",IFERROR(INDEX(fa_client,MATCH(L160,fa_num,0)),D160)&lt;&gt;D160),"Acompte d'un autre client",IF(AND(AR160&lt;&gt;"",N(Q160)&lt;0),"Acompte supérieur au total de la facture",IF(IF(AG160="Facture",COUNTIFS(fl_doc,A160,fl_check,"&lt;&gt;OK"),IF(AG160="Devis",COUNTIFS(dl_doc,F160,dl_check,"&lt;&gt;OK"),0))&gt;0,"Ligne(s) à corriger",IF(AND(W160&lt;&gt;"",N(W160)&lt;0),"Trop-perçu : vérifiez paiements et avoirs","OK")))))))))))))))))))))</f>
        <v/>
      </c>
      <c r="AA160" s="62" t="str">
        <f>IF(COUNTA(B160:D160,F160:O160)&gt;0,IF(B160="","Facture",B160),"")</f>
        <v/>
      </c>
      <c r="AB160" s="62" t="str">
        <f>IF(AA160="","",IF(AA160="Avoir",p_pav,IF(AA160="Facture d'acompte",p_pac,p_pfa)))</f>
        <v/>
      </c>
      <c r="AC160" s="62">
        <f>IF(ISNUMBER(C160),C160,0)</f>
        <v>0.0</v>
      </c>
      <c r="AD160" s="62" t="str">
        <f>IF(OR(AA160="",AC160=0),"",YEAR(AC160))</f>
        <v/>
      </c>
      <c r="AE160" s="62" t="str">
        <f>IF(AD160="","",COUNTIFS($AB$6:AB160,AB160,$AD$6:AD160,AD160))</f>
        <v/>
      </c>
      <c r="AF160" s="62">
        <f>IF(A160="",0,COUNTIF(fl_doc,A160))</f>
        <v>0.0</v>
      </c>
      <c r="AG160" s="62" t="str">
        <f>IF(A160="","",IF(AF160&gt;0,"Facture",IF(AND(F160&lt;&gt;"",AA160="Facture",ISNUMBER(MATCH(F160,dv_num,0))),"Devis","")))</f>
        <v/>
      </c>
      <c r="AH160" s="62" t="str">
        <f>IF(AND(A160&lt;&gt;"",F160&lt;&gt;"",AA160&lt;&gt;"Avoir"),F160,"")</f>
        <v/>
      </c>
      <c r="AI160" s="62" t="str">
        <f>IF(AG160="Devis",F160,"")</f>
        <v/>
      </c>
      <c r="AJ160" s="62">
        <f>IF(AG160="Facture",SUMIF(fl_doc,A160,fl_ht),IF(AG160="Devis",SUMIF(dl_doc,F160,dl_ht),0))</f>
        <v>0.0</v>
      </c>
      <c r="AK160" s="62">
        <f>IF(OR(AG160="",INDEX(p_rates,1)=""),0,IF(AG160="Facture",SUMIFS(fl_ht,fl_doc,A160,fl_rate,INDEX(p_rates,1)),SUMIFS(dl_ht,dl_doc,F160,dl_rate,INDEX(p_rates,1))))</f>
        <v>0.0</v>
      </c>
      <c r="AL160" s="62">
        <f>IF(OR(AG160="",INDEX(p_rates,2)=""),0,IF(AG160="Facture",SUMIFS(fl_ht,fl_doc,A160,fl_rate,INDEX(p_rates,2)),SUMIFS(dl_ht,dl_doc,F160,dl_rate,INDEX(p_rates,2))))</f>
        <v>0.0</v>
      </c>
      <c r="AM160" s="62">
        <f>IF(OR(AG160="",INDEX(p_rates,3)=""),0,IF(AG160="Facture",SUMIFS(fl_ht,fl_doc,A160,fl_rate,INDEX(p_rates,3)),SUMIFS(dl_ht,dl_doc,F160,dl_rate,INDEX(p_rates,3))))</f>
        <v>0.0</v>
      </c>
      <c r="AN160" s="62">
        <f>IF(OR(AG160="",INDEX(p_rates,4)=""),0,IF(AG160="Facture",SUMIFS(fl_ht,fl_doc,A160,fl_rate,INDEX(p_rates,4)),SUMIFS(dl_ht,dl_doc,F160,dl_rate,INDEX(p_rates,4))))</f>
        <v>0.0</v>
      </c>
      <c r="AO160" s="62">
        <f>IF(OR(AG160="",INDEX(p_rates,5)=""),0,IF(AG160="Facture",SUMIFS(fl_ht,fl_doc,A160,fl_rate,INDEX(p_rates,5)),SUMIFS(dl_ht,dl_doc,F160,dl_rate,INDEX(p_rates,5))))</f>
        <v>0.0</v>
      </c>
      <c r="AP160" s="62">
        <f>IF(OR(AG160="",INDEX(p_rates,6)=""),0,IF(AG160="Facture",SUMIFS(fl_ht,fl_doc,A160,fl_rate,INDEX(p_rates,6)),SUMIFS(dl_ht,dl_doc,F160,dl_rate,INDEX(p_rates,6))))</f>
        <v>0.0</v>
      </c>
      <c r="AQ160" s="62">
        <f>ROUND(AK160*N(INDEX(p_rates,1)),2)+ROUND(AL160*N(INDEX(p_rates,2)),2)+ROUND(AM160*N(INDEX(p_rates,3)),2)+ROUND(AN160*N(INDEX(p_rates,4)),2)+ROUND(AO160*N(INDEX(p_rates,5)),2)+ROUND(AP160*N(INDEX(p_rates,6)),2)</f>
        <v>0.0</v>
      </c>
      <c r="AR160" s="62" t="str">
        <f>IF(OR(L160="",AA160&lt;&gt;"Facture"),"",IFERROR(IF(INDEX(fa_type,MATCH(L160,fa_num,0))="Facture d'acompte",MATCH(L160,fa_num,0),""),""))</f>
        <v/>
      </c>
      <c r="AS160" s="62" t="str">
        <f>IF(W160="","",IF(W160&lt;=0,"",IF(p_asof-P160&lt;=0,"Non échu",IF(p_asof-P160&lt;=30,"1-30 j",IF(p_asof-P160&lt;=60,"31-60 j",IF(p_asof-P160&lt;=90,"61-90 j","Plus de 90 j"))))))</f>
        <v/>
      </c>
      <c r="AT160" s="62" t="str">
        <f>IF(AS160="","",p_asof-P160)</f>
        <v/>
      </c>
      <c r="AU160" s="62" t="str">
        <f>IF(AT160="","",COUNTIF($AT$6:$AT$805,"&gt;"&amp;AT160)+COUNTIF($AT$6:AT160,AT160))</f>
        <v/>
      </c>
    </row>
    <row r="161">
      <c r="A161" s="59" t="str">
        <f>IF(AE161="","",AB161&amp;"-"&amp;AD161&amp;"-"&amp;RIGHT("000"&amp;AE161,4))</f>
        <v/>
      </c>
      <c r="B161" s="60" t="n"/>
      <c r="C161" s="61" t="n"/>
      <c r="D161" s="60" t="n"/>
      <c r="E161" s="62" t="str">
        <f>IF(D161="","",IFERROR(INDEX(cli_name,MATCH(D161,cli_code,0))&amp;"","Client inconnu"))</f>
        <v/>
      </c>
      <c r="F161" s="60" t="n"/>
      <c r="G161" s="63" t="n"/>
      <c r="H161" s="61" t="n"/>
      <c r="I161" s="63" t="n"/>
      <c r="J161" s="60" t="n"/>
      <c r="K161" s="61" t="n"/>
      <c r="L161" s="60" t="n"/>
      <c r="M161" s="60" t="n"/>
      <c r="N161" s="60" t="n"/>
      <c r="O161" s="61" t="n"/>
      <c r="P161" s="64" t="str">
        <f>IF(A161="","",IF(AA161="Avoir",AC161,IF(ISNUMBER(K161),K161,AC161+IF(D161="",N(p_delay),IFERROR(IF(ISNUMBER(INDEX(cli_delay,MATCH(D161,cli_code,0))),INDEX(cli_delay,MATCH(D161,cli_code,0)),N(p_delay)),N(p_delay))))))</f>
        <v/>
      </c>
      <c r="Q161" s="65" t="str">
        <f>IF(A161="","",IF(AA161="Avoir",-1,1)*ROUND(AJ161-IF(AR161="",0,INDEX(fa_htb,AR161)),2))</f>
        <v/>
      </c>
      <c r="R161" s="65" t="str">
        <f>IF(A161="","",IF(AA161="Avoir",-1,1)*ROUND(AQ161-IF(AR161="",0,INDEX(fa_tvab,AR161)),2))</f>
        <v/>
      </c>
      <c r="S161" s="65" t="str">
        <f>IF(A161="","",Q161+R161)</f>
        <v/>
      </c>
      <c r="T161" s="65" t="str">
        <f>IF(AR161="","",INDEX(fa_htb,AR161)+INDEX(fa_tvab,AR161))</f>
        <v/>
      </c>
      <c r="U161" s="65" t="str">
        <f>IF(A161="","",SUMIF(pa_inv,A161,pa_amt))</f>
        <v/>
      </c>
      <c r="V161" s="65" t="str">
        <f>IF(OR(A161="",AA161="Avoir"),"",-SUMIFS(fa_ttc,fa_avof,A161,fa_type,"Avoir"))</f>
        <v/>
      </c>
      <c r="W161" s="65" t="str">
        <f>IF(OR(A161="",AA161="Avoir"),"",ROUND(S161-U161-V161,2))</f>
        <v/>
      </c>
      <c r="X161" s="66" t="str">
        <f>IF(W161="","",IF(AND(W161&gt;0,p_asof&gt;P161),p_asof-P161,""))</f>
        <v/>
      </c>
      <c r="Y161" s="59" t="str">
        <f>IF(A161="","",IF(AA161="Avoir","Avoir",IF(W161&lt;0,"Trop-perçu",IF(W161=0,"Soldée",IF(p_asof&gt;P161,"En retard",IF(U161+V161&gt;0,"Partielle","À échoir"))))))</f>
        <v/>
      </c>
      <c r="Z161" s="59" t="str">
        <f>IF(NOT(COUNTA(B161:D161,F161:O161)&gt;0),"",IF(C161="","Date manquante",IF(NOT(ISNUMBER(C161)),"Date invalide",IF(D161="","Client manquant",IF(ISNA(MATCH(D161,cli_code,0)),"Client inconnu",IF(AC161&lt;SUMPRODUCT(MAX(($AB$6:AB160=AB161)*$AC$6:AC160)),"Date antérieure à la facture précédente",IF(AND(F161&lt;&gt;"",ISNA(MATCH(F161,dv_num,0))),"Devis inconnu",IF(AND(F161&lt;&gt;"",IFERROR(INDEX(dv_client,MATCH(F161,dv_num,0)),D161)&lt;&gt;D161),"Client différent de celui du devis",IF(AG161="","Aucune ligne : saisissez des lignes ou un devis",IF(AND(AI161&lt;&gt;"",COUNTIF($AI$6:AI161,AI161)&gt;1),"Devis déjà repris par une autre facture",IF(AND(AA161="Avoir",M161=""),"Avoir : indiquez la facture d'origine",IF(AND(AA161="Avoir",ISNA(MATCH(M161,fa_num,0))),"Facture d'origine inconnue",IF(AND(AA161&lt;&gt;"Avoir",M161&lt;&gt;""),"« Avoir sur facture » : réservé aux avoirs",IF(AND(L161&lt;&gt;"",AA161&lt;&gt;"Facture"),"Acompte à déduire : réservé aux factures",IF(AND(L161&lt;&gt;"",ISNA(MATCH(L161,fa_num,0))),"Facture d'acompte inconnue",IF(AND(L161&lt;&gt;"",IFERROR(INDEX(fa_type,MATCH(L161,fa_num,0)),"")&lt;&gt;"Facture d'acompte"),"Le n° à déduire n'est pas une facture d'acompte",IF(AND(L161&lt;&gt;"",COUNTIF($L$6:L161,L161)&gt;1),"Acompte déjà déduit sur une autre facture",IF(AND(L161&lt;&gt;"",IFERROR(INDEX(fa_client,MATCH(L161,fa_num,0)),D161)&lt;&gt;D161),"Acompte d'un autre client",IF(AND(AR161&lt;&gt;"",N(Q161)&lt;0),"Acompte supérieur au total de la facture",IF(IF(AG161="Facture",COUNTIFS(fl_doc,A161,fl_check,"&lt;&gt;OK"),IF(AG161="Devis",COUNTIFS(dl_doc,F161,dl_check,"&lt;&gt;OK"),0))&gt;0,"Ligne(s) à corriger",IF(AND(W161&lt;&gt;"",N(W161)&lt;0),"Trop-perçu : vérifiez paiements et avoirs","OK")))))))))))))))))))))</f>
        <v/>
      </c>
      <c r="AA161" s="62" t="str">
        <f>IF(COUNTA(B161:D161,F161:O161)&gt;0,IF(B161="","Facture",B161),"")</f>
        <v/>
      </c>
      <c r="AB161" s="62" t="str">
        <f>IF(AA161="","",IF(AA161="Avoir",p_pav,IF(AA161="Facture d'acompte",p_pac,p_pfa)))</f>
        <v/>
      </c>
      <c r="AC161" s="62">
        <f>IF(ISNUMBER(C161),C161,0)</f>
        <v>0.0</v>
      </c>
      <c r="AD161" s="62" t="str">
        <f>IF(OR(AA161="",AC161=0),"",YEAR(AC161))</f>
        <v/>
      </c>
      <c r="AE161" s="62" t="str">
        <f>IF(AD161="","",COUNTIFS($AB$6:AB161,AB161,$AD$6:AD161,AD161))</f>
        <v/>
      </c>
      <c r="AF161" s="62">
        <f>IF(A161="",0,COUNTIF(fl_doc,A161))</f>
        <v>0.0</v>
      </c>
      <c r="AG161" s="62" t="str">
        <f>IF(A161="","",IF(AF161&gt;0,"Facture",IF(AND(F161&lt;&gt;"",AA161="Facture",ISNUMBER(MATCH(F161,dv_num,0))),"Devis","")))</f>
        <v/>
      </c>
      <c r="AH161" s="62" t="str">
        <f>IF(AND(A161&lt;&gt;"",F161&lt;&gt;"",AA161&lt;&gt;"Avoir"),F161,"")</f>
        <v/>
      </c>
      <c r="AI161" s="62" t="str">
        <f>IF(AG161="Devis",F161,"")</f>
        <v/>
      </c>
      <c r="AJ161" s="62">
        <f>IF(AG161="Facture",SUMIF(fl_doc,A161,fl_ht),IF(AG161="Devis",SUMIF(dl_doc,F161,dl_ht),0))</f>
        <v>0.0</v>
      </c>
      <c r="AK161" s="62">
        <f>IF(OR(AG161="",INDEX(p_rates,1)=""),0,IF(AG161="Facture",SUMIFS(fl_ht,fl_doc,A161,fl_rate,INDEX(p_rates,1)),SUMIFS(dl_ht,dl_doc,F161,dl_rate,INDEX(p_rates,1))))</f>
        <v>0.0</v>
      </c>
      <c r="AL161" s="62">
        <f>IF(OR(AG161="",INDEX(p_rates,2)=""),0,IF(AG161="Facture",SUMIFS(fl_ht,fl_doc,A161,fl_rate,INDEX(p_rates,2)),SUMIFS(dl_ht,dl_doc,F161,dl_rate,INDEX(p_rates,2))))</f>
        <v>0.0</v>
      </c>
      <c r="AM161" s="62">
        <f>IF(OR(AG161="",INDEX(p_rates,3)=""),0,IF(AG161="Facture",SUMIFS(fl_ht,fl_doc,A161,fl_rate,INDEX(p_rates,3)),SUMIFS(dl_ht,dl_doc,F161,dl_rate,INDEX(p_rates,3))))</f>
        <v>0.0</v>
      </c>
      <c r="AN161" s="62">
        <f>IF(OR(AG161="",INDEX(p_rates,4)=""),0,IF(AG161="Facture",SUMIFS(fl_ht,fl_doc,A161,fl_rate,INDEX(p_rates,4)),SUMIFS(dl_ht,dl_doc,F161,dl_rate,INDEX(p_rates,4))))</f>
        <v>0.0</v>
      </c>
      <c r="AO161" s="62">
        <f>IF(OR(AG161="",INDEX(p_rates,5)=""),0,IF(AG161="Facture",SUMIFS(fl_ht,fl_doc,A161,fl_rate,INDEX(p_rates,5)),SUMIFS(dl_ht,dl_doc,F161,dl_rate,INDEX(p_rates,5))))</f>
        <v>0.0</v>
      </c>
      <c r="AP161" s="62">
        <f>IF(OR(AG161="",INDEX(p_rates,6)=""),0,IF(AG161="Facture",SUMIFS(fl_ht,fl_doc,A161,fl_rate,INDEX(p_rates,6)),SUMIFS(dl_ht,dl_doc,F161,dl_rate,INDEX(p_rates,6))))</f>
        <v>0.0</v>
      </c>
      <c r="AQ161" s="62">
        <f>ROUND(AK161*N(INDEX(p_rates,1)),2)+ROUND(AL161*N(INDEX(p_rates,2)),2)+ROUND(AM161*N(INDEX(p_rates,3)),2)+ROUND(AN161*N(INDEX(p_rates,4)),2)+ROUND(AO161*N(INDEX(p_rates,5)),2)+ROUND(AP161*N(INDEX(p_rates,6)),2)</f>
        <v>0.0</v>
      </c>
      <c r="AR161" s="62" t="str">
        <f>IF(OR(L161="",AA161&lt;&gt;"Facture"),"",IFERROR(IF(INDEX(fa_type,MATCH(L161,fa_num,0))="Facture d'acompte",MATCH(L161,fa_num,0),""),""))</f>
        <v/>
      </c>
      <c r="AS161" s="62" t="str">
        <f>IF(W161="","",IF(W161&lt;=0,"",IF(p_asof-P161&lt;=0,"Non échu",IF(p_asof-P161&lt;=30,"1-30 j",IF(p_asof-P161&lt;=60,"31-60 j",IF(p_asof-P161&lt;=90,"61-90 j","Plus de 90 j"))))))</f>
        <v/>
      </c>
      <c r="AT161" s="62" t="str">
        <f>IF(AS161="","",p_asof-P161)</f>
        <v/>
      </c>
      <c r="AU161" s="62" t="str">
        <f>IF(AT161="","",COUNTIF($AT$6:$AT$805,"&gt;"&amp;AT161)+COUNTIF($AT$6:AT161,AT161))</f>
        <v/>
      </c>
    </row>
    <row r="162">
      <c r="A162" s="59" t="str">
        <f>IF(AE162="","",AB162&amp;"-"&amp;AD162&amp;"-"&amp;RIGHT("000"&amp;AE162,4))</f>
        <v/>
      </c>
      <c r="B162" s="60" t="n"/>
      <c r="C162" s="61" t="n"/>
      <c r="D162" s="60" t="n"/>
      <c r="E162" s="62" t="str">
        <f>IF(D162="","",IFERROR(INDEX(cli_name,MATCH(D162,cli_code,0))&amp;"","Client inconnu"))</f>
        <v/>
      </c>
      <c r="F162" s="60" t="n"/>
      <c r="G162" s="63" t="n"/>
      <c r="H162" s="61" t="n"/>
      <c r="I162" s="63" t="n"/>
      <c r="J162" s="60" t="n"/>
      <c r="K162" s="61" t="n"/>
      <c r="L162" s="60" t="n"/>
      <c r="M162" s="60" t="n"/>
      <c r="N162" s="60" t="n"/>
      <c r="O162" s="61" t="n"/>
      <c r="P162" s="64" t="str">
        <f>IF(A162="","",IF(AA162="Avoir",AC162,IF(ISNUMBER(K162),K162,AC162+IF(D162="",N(p_delay),IFERROR(IF(ISNUMBER(INDEX(cli_delay,MATCH(D162,cli_code,0))),INDEX(cli_delay,MATCH(D162,cli_code,0)),N(p_delay)),N(p_delay))))))</f>
        <v/>
      </c>
      <c r="Q162" s="65" t="str">
        <f>IF(A162="","",IF(AA162="Avoir",-1,1)*ROUND(AJ162-IF(AR162="",0,INDEX(fa_htb,AR162)),2))</f>
        <v/>
      </c>
      <c r="R162" s="65" t="str">
        <f>IF(A162="","",IF(AA162="Avoir",-1,1)*ROUND(AQ162-IF(AR162="",0,INDEX(fa_tvab,AR162)),2))</f>
        <v/>
      </c>
      <c r="S162" s="65" t="str">
        <f>IF(A162="","",Q162+R162)</f>
        <v/>
      </c>
      <c r="T162" s="65" t="str">
        <f>IF(AR162="","",INDEX(fa_htb,AR162)+INDEX(fa_tvab,AR162))</f>
        <v/>
      </c>
      <c r="U162" s="65" t="str">
        <f>IF(A162="","",SUMIF(pa_inv,A162,pa_amt))</f>
        <v/>
      </c>
      <c r="V162" s="65" t="str">
        <f>IF(OR(A162="",AA162="Avoir"),"",-SUMIFS(fa_ttc,fa_avof,A162,fa_type,"Avoir"))</f>
        <v/>
      </c>
      <c r="W162" s="65" t="str">
        <f>IF(OR(A162="",AA162="Avoir"),"",ROUND(S162-U162-V162,2))</f>
        <v/>
      </c>
      <c r="X162" s="66" t="str">
        <f>IF(W162="","",IF(AND(W162&gt;0,p_asof&gt;P162),p_asof-P162,""))</f>
        <v/>
      </c>
      <c r="Y162" s="59" t="str">
        <f>IF(A162="","",IF(AA162="Avoir","Avoir",IF(W162&lt;0,"Trop-perçu",IF(W162=0,"Soldée",IF(p_asof&gt;P162,"En retard",IF(U162+V162&gt;0,"Partielle","À échoir"))))))</f>
        <v/>
      </c>
      <c r="Z162" s="59" t="str">
        <f>IF(NOT(COUNTA(B162:D162,F162:O162)&gt;0),"",IF(C162="","Date manquante",IF(NOT(ISNUMBER(C162)),"Date invalide",IF(D162="","Client manquant",IF(ISNA(MATCH(D162,cli_code,0)),"Client inconnu",IF(AC162&lt;SUMPRODUCT(MAX(($AB$6:AB161=AB162)*$AC$6:AC161)),"Date antérieure à la facture précédente",IF(AND(F162&lt;&gt;"",ISNA(MATCH(F162,dv_num,0))),"Devis inconnu",IF(AND(F162&lt;&gt;"",IFERROR(INDEX(dv_client,MATCH(F162,dv_num,0)),D162)&lt;&gt;D162),"Client différent de celui du devis",IF(AG162="","Aucune ligne : saisissez des lignes ou un devis",IF(AND(AI162&lt;&gt;"",COUNTIF($AI$6:AI162,AI162)&gt;1),"Devis déjà repris par une autre facture",IF(AND(AA162="Avoir",M162=""),"Avoir : indiquez la facture d'origine",IF(AND(AA162="Avoir",ISNA(MATCH(M162,fa_num,0))),"Facture d'origine inconnue",IF(AND(AA162&lt;&gt;"Avoir",M162&lt;&gt;""),"« Avoir sur facture » : réservé aux avoirs",IF(AND(L162&lt;&gt;"",AA162&lt;&gt;"Facture"),"Acompte à déduire : réservé aux factures",IF(AND(L162&lt;&gt;"",ISNA(MATCH(L162,fa_num,0))),"Facture d'acompte inconnue",IF(AND(L162&lt;&gt;"",IFERROR(INDEX(fa_type,MATCH(L162,fa_num,0)),"")&lt;&gt;"Facture d'acompte"),"Le n° à déduire n'est pas une facture d'acompte",IF(AND(L162&lt;&gt;"",COUNTIF($L$6:L162,L162)&gt;1),"Acompte déjà déduit sur une autre facture",IF(AND(L162&lt;&gt;"",IFERROR(INDEX(fa_client,MATCH(L162,fa_num,0)),D162)&lt;&gt;D162),"Acompte d'un autre client",IF(AND(AR162&lt;&gt;"",N(Q162)&lt;0),"Acompte supérieur au total de la facture",IF(IF(AG162="Facture",COUNTIFS(fl_doc,A162,fl_check,"&lt;&gt;OK"),IF(AG162="Devis",COUNTIFS(dl_doc,F162,dl_check,"&lt;&gt;OK"),0))&gt;0,"Ligne(s) à corriger",IF(AND(W162&lt;&gt;"",N(W162)&lt;0),"Trop-perçu : vérifiez paiements et avoirs","OK")))))))))))))))))))))</f>
        <v/>
      </c>
      <c r="AA162" s="62" t="str">
        <f>IF(COUNTA(B162:D162,F162:O162)&gt;0,IF(B162="","Facture",B162),"")</f>
        <v/>
      </c>
      <c r="AB162" s="62" t="str">
        <f>IF(AA162="","",IF(AA162="Avoir",p_pav,IF(AA162="Facture d'acompte",p_pac,p_pfa)))</f>
        <v/>
      </c>
      <c r="AC162" s="62">
        <f>IF(ISNUMBER(C162),C162,0)</f>
        <v>0.0</v>
      </c>
      <c r="AD162" s="62" t="str">
        <f>IF(OR(AA162="",AC162=0),"",YEAR(AC162))</f>
        <v/>
      </c>
      <c r="AE162" s="62" t="str">
        <f>IF(AD162="","",COUNTIFS($AB$6:AB162,AB162,$AD$6:AD162,AD162))</f>
        <v/>
      </c>
      <c r="AF162" s="62">
        <f>IF(A162="",0,COUNTIF(fl_doc,A162))</f>
        <v>0.0</v>
      </c>
      <c r="AG162" s="62" t="str">
        <f>IF(A162="","",IF(AF162&gt;0,"Facture",IF(AND(F162&lt;&gt;"",AA162="Facture",ISNUMBER(MATCH(F162,dv_num,0))),"Devis","")))</f>
        <v/>
      </c>
      <c r="AH162" s="62" t="str">
        <f>IF(AND(A162&lt;&gt;"",F162&lt;&gt;"",AA162&lt;&gt;"Avoir"),F162,"")</f>
        <v/>
      </c>
      <c r="AI162" s="62" t="str">
        <f>IF(AG162="Devis",F162,"")</f>
        <v/>
      </c>
      <c r="AJ162" s="62">
        <f>IF(AG162="Facture",SUMIF(fl_doc,A162,fl_ht),IF(AG162="Devis",SUMIF(dl_doc,F162,dl_ht),0))</f>
        <v>0.0</v>
      </c>
      <c r="AK162" s="62">
        <f>IF(OR(AG162="",INDEX(p_rates,1)=""),0,IF(AG162="Facture",SUMIFS(fl_ht,fl_doc,A162,fl_rate,INDEX(p_rates,1)),SUMIFS(dl_ht,dl_doc,F162,dl_rate,INDEX(p_rates,1))))</f>
        <v>0.0</v>
      </c>
      <c r="AL162" s="62">
        <f>IF(OR(AG162="",INDEX(p_rates,2)=""),0,IF(AG162="Facture",SUMIFS(fl_ht,fl_doc,A162,fl_rate,INDEX(p_rates,2)),SUMIFS(dl_ht,dl_doc,F162,dl_rate,INDEX(p_rates,2))))</f>
        <v>0.0</v>
      </c>
      <c r="AM162" s="62">
        <f>IF(OR(AG162="",INDEX(p_rates,3)=""),0,IF(AG162="Facture",SUMIFS(fl_ht,fl_doc,A162,fl_rate,INDEX(p_rates,3)),SUMIFS(dl_ht,dl_doc,F162,dl_rate,INDEX(p_rates,3))))</f>
        <v>0.0</v>
      </c>
      <c r="AN162" s="62">
        <f>IF(OR(AG162="",INDEX(p_rates,4)=""),0,IF(AG162="Facture",SUMIFS(fl_ht,fl_doc,A162,fl_rate,INDEX(p_rates,4)),SUMIFS(dl_ht,dl_doc,F162,dl_rate,INDEX(p_rates,4))))</f>
        <v>0.0</v>
      </c>
      <c r="AO162" s="62">
        <f>IF(OR(AG162="",INDEX(p_rates,5)=""),0,IF(AG162="Facture",SUMIFS(fl_ht,fl_doc,A162,fl_rate,INDEX(p_rates,5)),SUMIFS(dl_ht,dl_doc,F162,dl_rate,INDEX(p_rates,5))))</f>
        <v>0.0</v>
      </c>
      <c r="AP162" s="62">
        <f>IF(OR(AG162="",INDEX(p_rates,6)=""),0,IF(AG162="Facture",SUMIFS(fl_ht,fl_doc,A162,fl_rate,INDEX(p_rates,6)),SUMIFS(dl_ht,dl_doc,F162,dl_rate,INDEX(p_rates,6))))</f>
        <v>0.0</v>
      </c>
      <c r="AQ162" s="62">
        <f>ROUND(AK162*N(INDEX(p_rates,1)),2)+ROUND(AL162*N(INDEX(p_rates,2)),2)+ROUND(AM162*N(INDEX(p_rates,3)),2)+ROUND(AN162*N(INDEX(p_rates,4)),2)+ROUND(AO162*N(INDEX(p_rates,5)),2)+ROUND(AP162*N(INDEX(p_rates,6)),2)</f>
        <v>0.0</v>
      </c>
      <c r="AR162" s="62" t="str">
        <f>IF(OR(L162="",AA162&lt;&gt;"Facture"),"",IFERROR(IF(INDEX(fa_type,MATCH(L162,fa_num,0))="Facture d'acompte",MATCH(L162,fa_num,0),""),""))</f>
        <v/>
      </c>
      <c r="AS162" s="62" t="str">
        <f>IF(W162="","",IF(W162&lt;=0,"",IF(p_asof-P162&lt;=0,"Non échu",IF(p_asof-P162&lt;=30,"1-30 j",IF(p_asof-P162&lt;=60,"31-60 j",IF(p_asof-P162&lt;=90,"61-90 j","Plus de 90 j"))))))</f>
        <v/>
      </c>
      <c r="AT162" s="62" t="str">
        <f>IF(AS162="","",p_asof-P162)</f>
        <v/>
      </c>
      <c r="AU162" s="62" t="str">
        <f>IF(AT162="","",COUNTIF($AT$6:$AT$805,"&gt;"&amp;AT162)+COUNTIF($AT$6:AT162,AT162))</f>
        <v/>
      </c>
    </row>
    <row r="163">
      <c r="A163" s="59" t="str">
        <f>IF(AE163="","",AB163&amp;"-"&amp;AD163&amp;"-"&amp;RIGHT("000"&amp;AE163,4))</f>
        <v/>
      </c>
      <c r="B163" s="60" t="n"/>
      <c r="C163" s="61" t="n"/>
      <c r="D163" s="60" t="n"/>
      <c r="E163" s="62" t="str">
        <f>IF(D163="","",IFERROR(INDEX(cli_name,MATCH(D163,cli_code,0))&amp;"","Client inconnu"))</f>
        <v/>
      </c>
      <c r="F163" s="60" t="n"/>
      <c r="G163" s="63" t="n"/>
      <c r="H163" s="61" t="n"/>
      <c r="I163" s="63" t="n"/>
      <c r="J163" s="60" t="n"/>
      <c r="K163" s="61" t="n"/>
      <c r="L163" s="60" t="n"/>
      <c r="M163" s="60" t="n"/>
      <c r="N163" s="60" t="n"/>
      <c r="O163" s="61" t="n"/>
      <c r="P163" s="64" t="str">
        <f>IF(A163="","",IF(AA163="Avoir",AC163,IF(ISNUMBER(K163),K163,AC163+IF(D163="",N(p_delay),IFERROR(IF(ISNUMBER(INDEX(cli_delay,MATCH(D163,cli_code,0))),INDEX(cli_delay,MATCH(D163,cli_code,0)),N(p_delay)),N(p_delay))))))</f>
        <v/>
      </c>
      <c r="Q163" s="65" t="str">
        <f>IF(A163="","",IF(AA163="Avoir",-1,1)*ROUND(AJ163-IF(AR163="",0,INDEX(fa_htb,AR163)),2))</f>
        <v/>
      </c>
      <c r="R163" s="65" t="str">
        <f>IF(A163="","",IF(AA163="Avoir",-1,1)*ROUND(AQ163-IF(AR163="",0,INDEX(fa_tvab,AR163)),2))</f>
        <v/>
      </c>
      <c r="S163" s="65" t="str">
        <f>IF(A163="","",Q163+R163)</f>
        <v/>
      </c>
      <c r="T163" s="65" t="str">
        <f>IF(AR163="","",INDEX(fa_htb,AR163)+INDEX(fa_tvab,AR163))</f>
        <v/>
      </c>
      <c r="U163" s="65" t="str">
        <f>IF(A163="","",SUMIF(pa_inv,A163,pa_amt))</f>
        <v/>
      </c>
      <c r="V163" s="65" t="str">
        <f>IF(OR(A163="",AA163="Avoir"),"",-SUMIFS(fa_ttc,fa_avof,A163,fa_type,"Avoir"))</f>
        <v/>
      </c>
      <c r="W163" s="65" t="str">
        <f>IF(OR(A163="",AA163="Avoir"),"",ROUND(S163-U163-V163,2))</f>
        <v/>
      </c>
      <c r="X163" s="66" t="str">
        <f>IF(W163="","",IF(AND(W163&gt;0,p_asof&gt;P163),p_asof-P163,""))</f>
        <v/>
      </c>
      <c r="Y163" s="59" t="str">
        <f>IF(A163="","",IF(AA163="Avoir","Avoir",IF(W163&lt;0,"Trop-perçu",IF(W163=0,"Soldée",IF(p_asof&gt;P163,"En retard",IF(U163+V163&gt;0,"Partielle","À échoir"))))))</f>
        <v/>
      </c>
      <c r="Z163" s="59" t="str">
        <f>IF(NOT(COUNTA(B163:D163,F163:O163)&gt;0),"",IF(C163="","Date manquante",IF(NOT(ISNUMBER(C163)),"Date invalide",IF(D163="","Client manquant",IF(ISNA(MATCH(D163,cli_code,0)),"Client inconnu",IF(AC163&lt;SUMPRODUCT(MAX(($AB$6:AB162=AB163)*$AC$6:AC162)),"Date antérieure à la facture précédente",IF(AND(F163&lt;&gt;"",ISNA(MATCH(F163,dv_num,0))),"Devis inconnu",IF(AND(F163&lt;&gt;"",IFERROR(INDEX(dv_client,MATCH(F163,dv_num,0)),D163)&lt;&gt;D163),"Client différent de celui du devis",IF(AG163="","Aucune ligne : saisissez des lignes ou un devis",IF(AND(AI163&lt;&gt;"",COUNTIF($AI$6:AI163,AI163)&gt;1),"Devis déjà repris par une autre facture",IF(AND(AA163="Avoir",M163=""),"Avoir : indiquez la facture d'origine",IF(AND(AA163="Avoir",ISNA(MATCH(M163,fa_num,0))),"Facture d'origine inconnue",IF(AND(AA163&lt;&gt;"Avoir",M163&lt;&gt;""),"« Avoir sur facture » : réservé aux avoirs",IF(AND(L163&lt;&gt;"",AA163&lt;&gt;"Facture"),"Acompte à déduire : réservé aux factures",IF(AND(L163&lt;&gt;"",ISNA(MATCH(L163,fa_num,0))),"Facture d'acompte inconnue",IF(AND(L163&lt;&gt;"",IFERROR(INDEX(fa_type,MATCH(L163,fa_num,0)),"")&lt;&gt;"Facture d'acompte"),"Le n° à déduire n'est pas une facture d'acompte",IF(AND(L163&lt;&gt;"",COUNTIF($L$6:L163,L163)&gt;1),"Acompte déjà déduit sur une autre facture",IF(AND(L163&lt;&gt;"",IFERROR(INDEX(fa_client,MATCH(L163,fa_num,0)),D163)&lt;&gt;D163),"Acompte d'un autre client",IF(AND(AR163&lt;&gt;"",N(Q163)&lt;0),"Acompte supérieur au total de la facture",IF(IF(AG163="Facture",COUNTIFS(fl_doc,A163,fl_check,"&lt;&gt;OK"),IF(AG163="Devis",COUNTIFS(dl_doc,F163,dl_check,"&lt;&gt;OK"),0))&gt;0,"Ligne(s) à corriger",IF(AND(W163&lt;&gt;"",N(W163)&lt;0),"Trop-perçu : vérifiez paiements et avoirs","OK")))))))))))))))))))))</f>
        <v/>
      </c>
      <c r="AA163" s="62" t="str">
        <f>IF(COUNTA(B163:D163,F163:O163)&gt;0,IF(B163="","Facture",B163),"")</f>
        <v/>
      </c>
      <c r="AB163" s="62" t="str">
        <f>IF(AA163="","",IF(AA163="Avoir",p_pav,IF(AA163="Facture d'acompte",p_pac,p_pfa)))</f>
        <v/>
      </c>
      <c r="AC163" s="62">
        <f>IF(ISNUMBER(C163),C163,0)</f>
        <v>0.0</v>
      </c>
      <c r="AD163" s="62" t="str">
        <f>IF(OR(AA163="",AC163=0),"",YEAR(AC163))</f>
        <v/>
      </c>
      <c r="AE163" s="62" t="str">
        <f>IF(AD163="","",COUNTIFS($AB$6:AB163,AB163,$AD$6:AD163,AD163))</f>
        <v/>
      </c>
      <c r="AF163" s="62">
        <f>IF(A163="",0,COUNTIF(fl_doc,A163))</f>
        <v>0.0</v>
      </c>
      <c r="AG163" s="62" t="str">
        <f>IF(A163="","",IF(AF163&gt;0,"Facture",IF(AND(F163&lt;&gt;"",AA163="Facture",ISNUMBER(MATCH(F163,dv_num,0))),"Devis","")))</f>
        <v/>
      </c>
      <c r="AH163" s="62" t="str">
        <f>IF(AND(A163&lt;&gt;"",F163&lt;&gt;"",AA163&lt;&gt;"Avoir"),F163,"")</f>
        <v/>
      </c>
      <c r="AI163" s="62" t="str">
        <f>IF(AG163="Devis",F163,"")</f>
        <v/>
      </c>
      <c r="AJ163" s="62">
        <f>IF(AG163="Facture",SUMIF(fl_doc,A163,fl_ht),IF(AG163="Devis",SUMIF(dl_doc,F163,dl_ht),0))</f>
        <v>0.0</v>
      </c>
      <c r="AK163" s="62">
        <f>IF(OR(AG163="",INDEX(p_rates,1)=""),0,IF(AG163="Facture",SUMIFS(fl_ht,fl_doc,A163,fl_rate,INDEX(p_rates,1)),SUMIFS(dl_ht,dl_doc,F163,dl_rate,INDEX(p_rates,1))))</f>
        <v>0.0</v>
      </c>
      <c r="AL163" s="62">
        <f>IF(OR(AG163="",INDEX(p_rates,2)=""),0,IF(AG163="Facture",SUMIFS(fl_ht,fl_doc,A163,fl_rate,INDEX(p_rates,2)),SUMIFS(dl_ht,dl_doc,F163,dl_rate,INDEX(p_rates,2))))</f>
        <v>0.0</v>
      </c>
      <c r="AM163" s="62">
        <f>IF(OR(AG163="",INDEX(p_rates,3)=""),0,IF(AG163="Facture",SUMIFS(fl_ht,fl_doc,A163,fl_rate,INDEX(p_rates,3)),SUMIFS(dl_ht,dl_doc,F163,dl_rate,INDEX(p_rates,3))))</f>
        <v>0.0</v>
      </c>
      <c r="AN163" s="62">
        <f>IF(OR(AG163="",INDEX(p_rates,4)=""),0,IF(AG163="Facture",SUMIFS(fl_ht,fl_doc,A163,fl_rate,INDEX(p_rates,4)),SUMIFS(dl_ht,dl_doc,F163,dl_rate,INDEX(p_rates,4))))</f>
        <v>0.0</v>
      </c>
      <c r="AO163" s="62">
        <f>IF(OR(AG163="",INDEX(p_rates,5)=""),0,IF(AG163="Facture",SUMIFS(fl_ht,fl_doc,A163,fl_rate,INDEX(p_rates,5)),SUMIFS(dl_ht,dl_doc,F163,dl_rate,INDEX(p_rates,5))))</f>
        <v>0.0</v>
      </c>
      <c r="AP163" s="62">
        <f>IF(OR(AG163="",INDEX(p_rates,6)=""),0,IF(AG163="Facture",SUMIFS(fl_ht,fl_doc,A163,fl_rate,INDEX(p_rates,6)),SUMIFS(dl_ht,dl_doc,F163,dl_rate,INDEX(p_rates,6))))</f>
        <v>0.0</v>
      </c>
      <c r="AQ163" s="62">
        <f>ROUND(AK163*N(INDEX(p_rates,1)),2)+ROUND(AL163*N(INDEX(p_rates,2)),2)+ROUND(AM163*N(INDEX(p_rates,3)),2)+ROUND(AN163*N(INDEX(p_rates,4)),2)+ROUND(AO163*N(INDEX(p_rates,5)),2)+ROUND(AP163*N(INDEX(p_rates,6)),2)</f>
        <v>0.0</v>
      </c>
      <c r="AR163" s="62" t="str">
        <f>IF(OR(L163="",AA163&lt;&gt;"Facture"),"",IFERROR(IF(INDEX(fa_type,MATCH(L163,fa_num,0))="Facture d'acompte",MATCH(L163,fa_num,0),""),""))</f>
        <v/>
      </c>
      <c r="AS163" s="62" t="str">
        <f>IF(W163="","",IF(W163&lt;=0,"",IF(p_asof-P163&lt;=0,"Non échu",IF(p_asof-P163&lt;=30,"1-30 j",IF(p_asof-P163&lt;=60,"31-60 j",IF(p_asof-P163&lt;=90,"61-90 j","Plus de 90 j"))))))</f>
        <v/>
      </c>
      <c r="AT163" s="62" t="str">
        <f>IF(AS163="","",p_asof-P163)</f>
        <v/>
      </c>
      <c r="AU163" s="62" t="str">
        <f>IF(AT163="","",COUNTIF($AT$6:$AT$805,"&gt;"&amp;AT163)+COUNTIF($AT$6:AT163,AT163))</f>
        <v/>
      </c>
    </row>
    <row r="164">
      <c r="A164" s="59" t="str">
        <f>IF(AE164="","",AB164&amp;"-"&amp;AD164&amp;"-"&amp;RIGHT("000"&amp;AE164,4))</f>
        <v/>
      </c>
      <c r="B164" s="60" t="n"/>
      <c r="C164" s="61" t="n"/>
      <c r="D164" s="60" t="n"/>
      <c r="E164" s="62" t="str">
        <f>IF(D164="","",IFERROR(INDEX(cli_name,MATCH(D164,cli_code,0))&amp;"","Client inconnu"))</f>
        <v/>
      </c>
      <c r="F164" s="60" t="n"/>
      <c r="G164" s="63" t="n"/>
      <c r="H164" s="61" t="n"/>
      <c r="I164" s="63" t="n"/>
      <c r="J164" s="60" t="n"/>
      <c r="K164" s="61" t="n"/>
      <c r="L164" s="60" t="n"/>
      <c r="M164" s="60" t="n"/>
      <c r="N164" s="60" t="n"/>
      <c r="O164" s="61" t="n"/>
      <c r="P164" s="64" t="str">
        <f>IF(A164="","",IF(AA164="Avoir",AC164,IF(ISNUMBER(K164),K164,AC164+IF(D164="",N(p_delay),IFERROR(IF(ISNUMBER(INDEX(cli_delay,MATCH(D164,cli_code,0))),INDEX(cli_delay,MATCH(D164,cli_code,0)),N(p_delay)),N(p_delay))))))</f>
        <v/>
      </c>
      <c r="Q164" s="65" t="str">
        <f>IF(A164="","",IF(AA164="Avoir",-1,1)*ROUND(AJ164-IF(AR164="",0,INDEX(fa_htb,AR164)),2))</f>
        <v/>
      </c>
      <c r="R164" s="65" t="str">
        <f>IF(A164="","",IF(AA164="Avoir",-1,1)*ROUND(AQ164-IF(AR164="",0,INDEX(fa_tvab,AR164)),2))</f>
        <v/>
      </c>
      <c r="S164" s="65" t="str">
        <f>IF(A164="","",Q164+R164)</f>
        <v/>
      </c>
      <c r="T164" s="65" t="str">
        <f>IF(AR164="","",INDEX(fa_htb,AR164)+INDEX(fa_tvab,AR164))</f>
        <v/>
      </c>
      <c r="U164" s="65" t="str">
        <f>IF(A164="","",SUMIF(pa_inv,A164,pa_amt))</f>
        <v/>
      </c>
      <c r="V164" s="65" t="str">
        <f>IF(OR(A164="",AA164="Avoir"),"",-SUMIFS(fa_ttc,fa_avof,A164,fa_type,"Avoir"))</f>
        <v/>
      </c>
      <c r="W164" s="65" t="str">
        <f>IF(OR(A164="",AA164="Avoir"),"",ROUND(S164-U164-V164,2))</f>
        <v/>
      </c>
      <c r="X164" s="66" t="str">
        <f>IF(W164="","",IF(AND(W164&gt;0,p_asof&gt;P164),p_asof-P164,""))</f>
        <v/>
      </c>
      <c r="Y164" s="59" t="str">
        <f>IF(A164="","",IF(AA164="Avoir","Avoir",IF(W164&lt;0,"Trop-perçu",IF(W164=0,"Soldée",IF(p_asof&gt;P164,"En retard",IF(U164+V164&gt;0,"Partielle","À échoir"))))))</f>
        <v/>
      </c>
      <c r="Z164" s="59" t="str">
        <f>IF(NOT(COUNTA(B164:D164,F164:O164)&gt;0),"",IF(C164="","Date manquante",IF(NOT(ISNUMBER(C164)),"Date invalide",IF(D164="","Client manquant",IF(ISNA(MATCH(D164,cli_code,0)),"Client inconnu",IF(AC164&lt;SUMPRODUCT(MAX(($AB$6:AB163=AB164)*$AC$6:AC163)),"Date antérieure à la facture précédente",IF(AND(F164&lt;&gt;"",ISNA(MATCH(F164,dv_num,0))),"Devis inconnu",IF(AND(F164&lt;&gt;"",IFERROR(INDEX(dv_client,MATCH(F164,dv_num,0)),D164)&lt;&gt;D164),"Client différent de celui du devis",IF(AG164="","Aucune ligne : saisissez des lignes ou un devis",IF(AND(AI164&lt;&gt;"",COUNTIF($AI$6:AI164,AI164)&gt;1),"Devis déjà repris par une autre facture",IF(AND(AA164="Avoir",M164=""),"Avoir : indiquez la facture d'origine",IF(AND(AA164="Avoir",ISNA(MATCH(M164,fa_num,0))),"Facture d'origine inconnue",IF(AND(AA164&lt;&gt;"Avoir",M164&lt;&gt;""),"« Avoir sur facture » : réservé aux avoirs",IF(AND(L164&lt;&gt;"",AA164&lt;&gt;"Facture"),"Acompte à déduire : réservé aux factures",IF(AND(L164&lt;&gt;"",ISNA(MATCH(L164,fa_num,0))),"Facture d'acompte inconnue",IF(AND(L164&lt;&gt;"",IFERROR(INDEX(fa_type,MATCH(L164,fa_num,0)),"")&lt;&gt;"Facture d'acompte"),"Le n° à déduire n'est pas une facture d'acompte",IF(AND(L164&lt;&gt;"",COUNTIF($L$6:L164,L164)&gt;1),"Acompte déjà déduit sur une autre facture",IF(AND(L164&lt;&gt;"",IFERROR(INDEX(fa_client,MATCH(L164,fa_num,0)),D164)&lt;&gt;D164),"Acompte d'un autre client",IF(AND(AR164&lt;&gt;"",N(Q164)&lt;0),"Acompte supérieur au total de la facture",IF(IF(AG164="Facture",COUNTIFS(fl_doc,A164,fl_check,"&lt;&gt;OK"),IF(AG164="Devis",COUNTIFS(dl_doc,F164,dl_check,"&lt;&gt;OK"),0))&gt;0,"Ligne(s) à corriger",IF(AND(W164&lt;&gt;"",N(W164)&lt;0),"Trop-perçu : vérifiez paiements et avoirs","OK")))))))))))))))))))))</f>
        <v/>
      </c>
      <c r="AA164" s="62" t="str">
        <f>IF(COUNTA(B164:D164,F164:O164)&gt;0,IF(B164="","Facture",B164),"")</f>
        <v/>
      </c>
      <c r="AB164" s="62" t="str">
        <f>IF(AA164="","",IF(AA164="Avoir",p_pav,IF(AA164="Facture d'acompte",p_pac,p_pfa)))</f>
        <v/>
      </c>
      <c r="AC164" s="62">
        <f>IF(ISNUMBER(C164),C164,0)</f>
        <v>0.0</v>
      </c>
      <c r="AD164" s="62" t="str">
        <f>IF(OR(AA164="",AC164=0),"",YEAR(AC164))</f>
        <v/>
      </c>
      <c r="AE164" s="62" t="str">
        <f>IF(AD164="","",COUNTIFS($AB$6:AB164,AB164,$AD$6:AD164,AD164))</f>
        <v/>
      </c>
      <c r="AF164" s="62">
        <f>IF(A164="",0,COUNTIF(fl_doc,A164))</f>
        <v>0.0</v>
      </c>
      <c r="AG164" s="62" t="str">
        <f>IF(A164="","",IF(AF164&gt;0,"Facture",IF(AND(F164&lt;&gt;"",AA164="Facture",ISNUMBER(MATCH(F164,dv_num,0))),"Devis","")))</f>
        <v/>
      </c>
      <c r="AH164" s="62" t="str">
        <f>IF(AND(A164&lt;&gt;"",F164&lt;&gt;"",AA164&lt;&gt;"Avoir"),F164,"")</f>
        <v/>
      </c>
      <c r="AI164" s="62" t="str">
        <f>IF(AG164="Devis",F164,"")</f>
        <v/>
      </c>
      <c r="AJ164" s="62">
        <f>IF(AG164="Facture",SUMIF(fl_doc,A164,fl_ht),IF(AG164="Devis",SUMIF(dl_doc,F164,dl_ht),0))</f>
        <v>0.0</v>
      </c>
      <c r="AK164" s="62">
        <f>IF(OR(AG164="",INDEX(p_rates,1)=""),0,IF(AG164="Facture",SUMIFS(fl_ht,fl_doc,A164,fl_rate,INDEX(p_rates,1)),SUMIFS(dl_ht,dl_doc,F164,dl_rate,INDEX(p_rates,1))))</f>
        <v>0.0</v>
      </c>
      <c r="AL164" s="62">
        <f>IF(OR(AG164="",INDEX(p_rates,2)=""),0,IF(AG164="Facture",SUMIFS(fl_ht,fl_doc,A164,fl_rate,INDEX(p_rates,2)),SUMIFS(dl_ht,dl_doc,F164,dl_rate,INDEX(p_rates,2))))</f>
        <v>0.0</v>
      </c>
      <c r="AM164" s="62">
        <f>IF(OR(AG164="",INDEX(p_rates,3)=""),0,IF(AG164="Facture",SUMIFS(fl_ht,fl_doc,A164,fl_rate,INDEX(p_rates,3)),SUMIFS(dl_ht,dl_doc,F164,dl_rate,INDEX(p_rates,3))))</f>
        <v>0.0</v>
      </c>
      <c r="AN164" s="62">
        <f>IF(OR(AG164="",INDEX(p_rates,4)=""),0,IF(AG164="Facture",SUMIFS(fl_ht,fl_doc,A164,fl_rate,INDEX(p_rates,4)),SUMIFS(dl_ht,dl_doc,F164,dl_rate,INDEX(p_rates,4))))</f>
        <v>0.0</v>
      </c>
      <c r="AO164" s="62">
        <f>IF(OR(AG164="",INDEX(p_rates,5)=""),0,IF(AG164="Facture",SUMIFS(fl_ht,fl_doc,A164,fl_rate,INDEX(p_rates,5)),SUMIFS(dl_ht,dl_doc,F164,dl_rate,INDEX(p_rates,5))))</f>
        <v>0.0</v>
      </c>
      <c r="AP164" s="62">
        <f>IF(OR(AG164="",INDEX(p_rates,6)=""),0,IF(AG164="Facture",SUMIFS(fl_ht,fl_doc,A164,fl_rate,INDEX(p_rates,6)),SUMIFS(dl_ht,dl_doc,F164,dl_rate,INDEX(p_rates,6))))</f>
        <v>0.0</v>
      </c>
      <c r="AQ164" s="62">
        <f>ROUND(AK164*N(INDEX(p_rates,1)),2)+ROUND(AL164*N(INDEX(p_rates,2)),2)+ROUND(AM164*N(INDEX(p_rates,3)),2)+ROUND(AN164*N(INDEX(p_rates,4)),2)+ROUND(AO164*N(INDEX(p_rates,5)),2)+ROUND(AP164*N(INDEX(p_rates,6)),2)</f>
        <v>0.0</v>
      </c>
      <c r="AR164" s="62" t="str">
        <f>IF(OR(L164="",AA164&lt;&gt;"Facture"),"",IFERROR(IF(INDEX(fa_type,MATCH(L164,fa_num,0))="Facture d'acompte",MATCH(L164,fa_num,0),""),""))</f>
        <v/>
      </c>
      <c r="AS164" s="62" t="str">
        <f>IF(W164="","",IF(W164&lt;=0,"",IF(p_asof-P164&lt;=0,"Non échu",IF(p_asof-P164&lt;=30,"1-30 j",IF(p_asof-P164&lt;=60,"31-60 j",IF(p_asof-P164&lt;=90,"61-90 j","Plus de 90 j"))))))</f>
        <v/>
      </c>
      <c r="AT164" s="62" t="str">
        <f>IF(AS164="","",p_asof-P164)</f>
        <v/>
      </c>
      <c r="AU164" s="62" t="str">
        <f>IF(AT164="","",COUNTIF($AT$6:$AT$805,"&gt;"&amp;AT164)+COUNTIF($AT$6:AT164,AT164))</f>
        <v/>
      </c>
    </row>
    <row r="165">
      <c r="A165" s="59" t="str">
        <f>IF(AE165="","",AB165&amp;"-"&amp;AD165&amp;"-"&amp;RIGHT("000"&amp;AE165,4))</f>
        <v/>
      </c>
      <c r="B165" s="60" t="n"/>
      <c r="C165" s="61" t="n"/>
      <c r="D165" s="60" t="n"/>
      <c r="E165" s="62" t="str">
        <f>IF(D165="","",IFERROR(INDEX(cli_name,MATCH(D165,cli_code,0))&amp;"","Client inconnu"))</f>
        <v/>
      </c>
      <c r="F165" s="60" t="n"/>
      <c r="G165" s="63" t="n"/>
      <c r="H165" s="61" t="n"/>
      <c r="I165" s="63" t="n"/>
      <c r="J165" s="60" t="n"/>
      <c r="K165" s="61" t="n"/>
      <c r="L165" s="60" t="n"/>
      <c r="M165" s="60" t="n"/>
      <c r="N165" s="60" t="n"/>
      <c r="O165" s="61" t="n"/>
      <c r="P165" s="64" t="str">
        <f>IF(A165="","",IF(AA165="Avoir",AC165,IF(ISNUMBER(K165),K165,AC165+IF(D165="",N(p_delay),IFERROR(IF(ISNUMBER(INDEX(cli_delay,MATCH(D165,cli_code,0))),INDEX(cli_delay,MATCH(D165,cli_code,0)),N(p_delay)),N(p_delay))))))</f>
        <v/>
      </c>
      <c r="Q165" s="65" t="str">
        <f>IF(A165="","",IF(AA165="Avoir",-1,1)*ROUND(AJ165-IF(AR165="",0,INDEX(fa_htb,AR165)),2))</f>
        <v/>
      </c>
      <c r="R165" s="65" t="str">
        <f>IF(A165="","",IF(AA165="Avoir",-1,1)*ROUND(AQ165-IF(AR165="",0,INDEX(fa_tvab,AR165)),2))</f>
        <v/>
      </c>
      <c r="S165" s="65" t="str">
        <f>IF(A165="","",Q165+R165)</f>
        <v/>
      </c>
      <c r="T165" s="65" t="str">
        <f>IF(AR165="","",INDEX(fa_htb,AR165)+INDEX(fa_tvab,AR165))</f>
        <v/>
      </c>
      <c r="U165" s="65" t="str">
        <f>IF(A165="","",SUMIF(pa_inv,A165,pa_amt))</f>
        <v/>
      </c>
      <c r="V165" s="65" t="str">
        <f>IF(OR(A165="",AA165="Avoir"),"",-SUMIFS(fa_ttc,fa_avof,A165,fa_type,"Avoir"))</f>
        <v/>
      </c>
      <c r="W165" s="65" t="str">
        <f>IF(OR(A165="",AA165="Avoir"),"",ROUND(S165-U165-V165,2))</f>
        <v/>
      </c>
      <c r="X165" s="66" t="str">
        <f>IF(W165="","",IF(AND(W165&gt;0,p_asof&gt;P165),p_asof-P165,""))</f>
        <v/>
      </c>
      <c r="Y165" s="59" t="str">
        <f>IF(A165="","",IF(AA165="Avoir","Avoir",IF(W165&lt;0,"Trop-perçu",IF(W165=0,"Soldée",IF(p_asof&gt;P165,"En retard",IF(U165+V165&gt;0,"Partielle","À échoir"))))))</f>
        <v/>
      </c>
      <c r="Z165" s="59" t="str">
        <f>IF(NOT(COUNTA(B165:D165,F165:O165)&gt;0),"",IF(C165="","Date manquante",IF(NOT(ISNUMBER(C165)),"Date invalide",IF(D165="","Client manquant",IF(ISNA(MATCH(D165,cli_code,0)),"Client inconnu",IF(AC165&lt;SUMPRODUCT(MAX(($AB$6:AB164=AB165)*$AC$6:AC164)),"Date antérieure à la facture précédente",IF(AND(F165&lt;&gt;"",ISNA(MATCH(F165,dv_num,0))),"Devis inconnu",IF(AND(F165&lt;&gt;"",IFERROR(INDEX(dv_client,MATCH(F165,dv_num,0)),D165)&lt;&gt;D165),"Client différent de celui du devis",IF(AG165="","Aucune ligne : saisissez des lignes ou un devis",IF(AND(AI165&lt;&gt;"",COUNTIF($AI$6:AI165,AI165)&gt;1),"Devis déjà repris par une autre facture",IF(AND(AA165="Avoir",M165=""),"Avoir : indiquez la facture d'origine",IF(AND(AA165="Avoir",ISNA(MATCH(M165,fa_num,0))),"Facture d'origine inconnue",IF(AND(AA165&lt;&gt;"Avoir",M165&lt;&gt;""),"« Avoir sur facture » : réservé aux avoirs",IF(AND(L165&lt;&gt;"",AA165&lt;&gt;"Facture"),"Acompte à déduire : réservé aux factures",IF(AND(L165&lt;&gt;"",ISNA(MATCH(L165,fa_num,0))),"Facture d'acompte inconnue",IF(AND(L165&lt;&gt;"",IFERROR(INDEX(fa_type,MATCH(L165,fa_num,0)),"")&lt;&gt;"Facture d'acompte"),"Le n° à déduire n'est pas une facture d'acompte",IF(AND(L165&lt;&gt;"",COUNTIF($L$6:L165,L165)&gt;1),"Acompte déjà déduit sur une autre facture",IF(AND(L165&lt;&gt;"",IFERROR(INDEX(fa_client,MATCH(L165,fa_num,0)),D165)&lt;&gt;D165),"Acompte d'un autre client",IF(AND(AR165&lt;&gt;"",N(Q165)&lt;0),"Acompte supérieur au total de la facture",IF(IF(AG165="Facture",COUNTIFS(fl_doc,A165,fl_check,"&lt;&gt;OK"),IF(AG165="Devis",COUNTIFS(dl_doc,F165,dl_check,"&lt;&gt;OK"),0))&gt;0,"Ligne(s) à corriger",IF(AND(W165&lt;&gt;"",N(W165)&lt;0),"Trop-perçu : vérifiez paiements et avoirs","OK")))))))))))))))))))))</f>
        <v/>
      </c>
      <c r="AA165" s="62" t="str">
        <f>IF(COUNTA(B165:D165,F165:O165)&gt;0,IF(B165="","Facture",B165),"")</f>
        <v/>
      </c>
      <c r="AB165" s="62" t="str">
        <f>IF(AA165="","",IF(AA165="Avoir",p_pav,IF(AA165="Facture d'acompte",p_pac,p_pfa)))</f>
        <v/>
      </c>
      <c r="AC165" s="62">
        <f>IF(ISNUMBER(C165),C165,0)</f>
        <v>0.0</v>
      </c>
      <c r="AD165" s="62" t="str">
        <f>IF(OR(AA165="",AC165=0),"",YEAR(AC165))</f>
        <v/>
      </c>
      <c r="AE165" s="62" t="str">
        <f>IF(AD165="","",COUNTIFS($AB$6:AB165,AB165,$AD$6:AD165,AD165))</f>
        <v/>
      </c>
      <c r="AF165" s="62">
        <f>IF(A165="",0,COUNTIF(fl_doc,A165))</f>
        <v>0.0</v>
      </c>
      <c r="AG165" s="62" t="str">
        <f>IF(A165="","",IF(AF165&gt;0,"Facture",IF(AND(F165&lt;&gt;"",AA165="Facture",ISNUMBER(MATCH(F165,dv_num,0))),"Devis","")))</f>
        <v/>
      </c>
      <c r="AH165" s="62" t="str">
        <f>IF(AND(A165&lt;&gt;"",F165&lt;&gt;"",AA165&lt;&gt;"Avoir"),F165,"")</f>
        <v/>
      </c>
      <c r="AI165" s="62" t="str">
        <f>IF(AG165="Devis",F165,"")</f>
        <v/>
      </c>
      <c r="AJ165" s="62">
        <f>IF(AG165="Facture",SUMIF(fl_doc,A165,fl_ht),IF(AG165="Devis",SUMIF(dl_doc,F165,dl_ht),0))</f>
        <v>0.0</v>
      </c>
      <c r="AK165" s="62">
        <f>IF(OR(AG165="",INDEX(p_rates,1)=""),0,IF(AG165="Facture",SUMIFS(fl_ht,fl_doc,A165,fl_rate,INDEX(p_rates,1)),SUMIFS(dl_ht,dl_doc,F165,dl_rate,INDEX(p_rates,1))))</f>
        <v>0.0</v>
      </c>
      <c r="AL165" s="62">
        <f>IF(OR(AG165="",INDEX(p_rates,2)=""),0,IF(AG165="Facture",SUMIFS(fl_ht,fl_doc,A165,fl_rate,INDEX(p_rates,2)),SUMIFS(dl_ht,dl_doc,F165,dl_rate,INDEX(p_rates,2))))</f>
        <v>0.0</v>
      </c>
      <c r="AM165" s="62">
        <f>IF(OR(AG165="",INDEX(p_rates,3)=""),0,IF(AG165="Facture",SUMIFS(fl_ht,fl_doc,A165,fl_rate,INDEX(p_rates,3)),SUMIFS(dl_ht,dl_doc,F165,dl_rate,INDEX(p_rates,3))))</f>
        <v>0.0</v>
      </c>
      <c r="AN165" s="62">
        <f>IF(OR(AG165="",INDEX(p_rates,4)=""),0,IF(AG165="Facture",SUMIFS(fl_ht,fl_doc,A165,fl_rate,INDEX(p_rates,4)),SUMIFS(dl_ht,dl_doc,F165,dl_rate,INDEX(p_rates,4))))</f>
        <v>0.0</v>
      </c>
      <c r="AO165" s="62">
        <f>IF(OR(AG165="",INDEX(p_rates,5)=""),0,IF(AG165="Facture",SUMIFS(fl_ht,fl_doc,A165,fl_rate,INDEX(p_rates,5)),SUMIFS(dl_ht,dl_doc,F165,dl_rate,INDEX(p_rates,5))))</f>
        <v>0.0</v>
      </c>
      <c r="AP165" s="62">
        <f>IF(OR(AG165="",INDEX(p_rates,6)=""),0,IF(AG165="Facture",SUMIFS(fl_ht,fl_doc,A165,fl_rate,INDEX(p_rates,6)),SUMIFS(dl_ht,dl_doc,F165,dl_rate,INDEX(p_rates,6))))</f>
        <v>0.0</v>
      </c>
      <c r="AQ165" s="62">
        <f>ROUND(AK165*N(INDEX(p_rates,1)),2)+ROUND(AL165*N(INDEX(p_rates,2)),2)+ROUND(AM165*N(INDEX(p_rates,3)),2)+ROUND(AN165*N(INDEX(p_rates,4)),2)+ROUND(AO165*N(INDEX(p_rates,5)),2)+ROUND(AP165*N(INDEX(p_rates,6)),2)</f>
        <v>0.0</v>
      </c>
      <c r="AR165" s="62" t="str">
        <f>IF(OR(L165="",AA165&lt;&gt;"Facture"),"",IFERROR(IF(INDEX(fa_type,MATCH(L165,fa_num,0))="Facture d'acompte",MATCH(L165,fa_num,0),""),""))</f>
        <v/>
      </c>
      <c r="AS165" s="62" t="str">
        <f>IF(W165="","",IF(W165&lt;=0,"",IF(p_asof-P165&lt;=0,"Non échu",IF(p_asof-P165&lt;=30,"1-30 j",IF(p_asof-P165&lt;=60,"31-60 j",IF(p_asof-P165&lt;=90,"61-90 j","Plus de 90 j"))))))</f>
        <v/>
      </c>
      <c r="AT165" s="62" t="str">
        <f>IF(AS165="","",p_asof-P165)</f>
        <v/>
      </c>
      <c r="AU165" s="62" t="str">
        <f>IF(AT165="","",COUNTIF($AT$6:$AT$805,"&gt;"&amp;AT165)+COUNTIF($AT$6:AT165,AT165))</f>
        <v/>
      </c>
    </row>
    <row r="166">
      <c r="A166" s="59" t="str">
        <f>IF(AE166="","",AB166&amp;"-"&amp;AD166&amp;"-"&amp;RIGHT("000"&amp;AE166,4))</f>
        <v/>
      </c>
      <c r="B166" s="60" t="n"/>
      <c r="C166" s="61" t="n"/>
      <c r="D166" s="60" t="n"/>
      <c r="E166" s="62" t="str">
        <f>IF(D166="","",IFERROR(INDEX(cli_name,MATCH(D166,cli_code,0))&amp;"","Client inconnu"))</f>
        <v/>
      </c>
      <c r="F166" s="60" t="n"/>
      <c r="G166" s="63" t="n"/>
      <c r="H166" s="61" t="n"/>
      <c r="I166" s="63" t="n"/>
      <c r="J166" s="60" t="n"/>
      <c r="K166" s="61" t="n"/>
      <c r="L166" s="60" t="n"/>
      <c r="M166" s="60" t="n"/>
      <c r="N166" s="60" t="n"/>
      <c r="O166" s="61" t="n"/>
      <c r="P166" s="64" t="str">
        <f>IF(A166="","",IF(AA166="Avoir",AC166,IF(ISNUMBER(K166),K166,AC166+IF(D166="",N(p_delay),IFERROR(IF(ISNUMBER(INDEX(cli_delay,MATCH(D166,cli_code,0))),INDEX(cli_delay,MATCH(D166,cli_code,0)),N(p_delay)),N(p_delay))))))</f>
        <v/>
      </c>
      <c r="Q166" s="65" t="str">
        <f>IF(A166="","",IF(AA166="Avoir",-1,1)*ROUND(AJ166-IF(AR166="",0,INDEX(fa_htb,AR166)),2))</f>
        <v/>
      </c>
      <c r="R166" s="65" t="str">
        <f>IF(A166="","",IF(AA166="Avoir",-1,1)*ROUND(AQ166-IF(AR166="",0,INDEX(fa_tvab,AR166)),2))</f>
        <v/>
      </c>
      <c r="S166" s="65" t="str">
        <f>IF(A166="","",Q166+R166)</f>
        <v/>
      </c>
      <c r="T166" s="65" t="str">
        <f>IF(AR166="","",INDEX(fa_htb,AR166)+INDEX(fa_tvab,AR166))</f>
        <v/>
      </c>
      <c r="U166" s="65" t="str">
        <f>IF(A166="","",SUMIF(pa_inv,A166,pa_amt))</f>
        <v/>
      </c>
      <c r="V166" s="65" t="str">
        <f>IF(OR(A166="",AA166="Avoir"),"",-SUMIFS(fa_ttc,fa_avof,A166,fa_type,"Avoir"))</f>
        <v/>
      </c>
      <c r="W166" s="65" t="str">
        <f>IF(OR(A166="",AA166="Avoir"),"",ROUND(S166-U166-V166,2))</f>
        <v/>
      </c>
      <c r="X166" s="66" t="str">
        <f>IF(W166="","",IF(AND(W166&gt;0,p_asof&gt;P166),p_asof-P166,""))</f>
        <v/>
      </c>
      <c r="Y166" s="59" t="str">
        <f>IF(A166="","",IF(AA166="Avoir","Avoir",IF(W166&lt;0,"Trop-perçu",IF(W166=0,"Soldée",IF(p_asof&gt;P166,"En retard",IF(U166+V166&gt;0,"Partielle","À échoir"))))))</f>
        <v/>
      </c>
      <c r="Z166" s="59" t="str">
        <f>IF(NOT(COUNTA(B166:D166,F166:O166)&gt;0),"",IF(C166="","Date manquante",IF(NOT(ISNUMBER(C166)),"Date invalide",IF(D166="","Client manquant",IF(ISNA(MATCH(D166,cli_code,0)),"Client inconnu",IF(AC166&lt;SUMPRODUCT(MAX(($AB$6:AB165=AB166)*$AC$6:AC165)),"Date antérieure à la facture précédente",IF(AND(F166&lt;&gt;"",ISNA(MATCH(F166,dv_num,0))),"Devis inconnu",IF(AND(F166&lt;&gt;"",IFERROR(INDEX(dv_client,MATCH(F166,dv_num,0)),D166)&lt;&gt;D166),"Client différent de celui du devis",IF(AG166="","Aucune ligne : saisissez des lignes ou un devis",IF(AND(AI166&lt;&gt;"",COUNTIF($AI$6:AI166,AI166)&gt;1),"Devis déjà repris par une autre facture",IF(AND(AA166="Avoir",M166=""),"Avoir : indiquez la facture d'origine",IF(AND(AA166="Avoir",ISNA(MATCH(M166,fa_num,0))),"Facture d'origine inconnue",IF(AND(AA166&lt;&gt;"Avoir",M166&lt;&gt;""),"« Avoir sur facture » : réservé aux avoirs",IF(AND(L166&lt;&gt;"",AA166&lt;&gt;"Facture"),"Acompte à déduire : réservé aux factures",IF(AND(L166&lt;&gt;"",ISNA(MATCH(L166,fa_num,0))),"Facture d'acompte inconnue",IF(AND(L166&lt;&gt;"",IFERROR(INDEX(fa_type,MATCH(L166,fa_num,0)),"")&lt;&gt;"Facture d'acompte"),"Le n° à déduire n'est pas une facture d'acompte",IF(AND(L166&lt;&gt;"",COUNTIF($L$6:L166,L166)&gt;1),"Acompte déjà déduit sur une autre facture",IF(AND(L166&lt;&gt;"",IFERROR(INDEX(fa_client,MATCH(L166,fa_num,0)),D166)&lt;&gt;D166),"Acompte d'un autre client",IF(AND(AR166&lt;&gt;"",N(Q166)&lt;0),"Acompte supérieur au total de la facture",IF(IF(AG166="Facture",COUNTIFS(fl_doc,A166,fl_check,"&lt;&gt;OK"),IF(AG166="Devis",COUNTIFS(dl_doc,F166,dl_check,"&lt;&gt;OK"),0))&gt;0,"Ligne(s) à corriger",IF(AND(W166&lt;&gt;"",N(W166)&lt;0),"Trop-perçu : vérifiez paiements et avoirs","OK")))))))))))))))))))))</f>
        <v/>
      </c>
      <c r="AA166" s="62" t="str">
        <f>IF(COUNTA(B166:D166,F166:O166)&gt;0,IF(B166="","Facture",B166),"")</f>
        <v/>
      </c>
      <c r="AB166" s="62" t="str">
        <f>IF(AA166="","",IF(AA166="Avoir",p_pav,IF(AA166="Facture d'acompte",p_pac,p_pfa)))</f>
        <v/>
      </c>
      <c r="AC166" s="62">
        <f>IF(ISNUMBER(C166),C166,0)</f>
        <v>0.0</v>
      </c>
      <c r="AD166" s="62" t="str">
        <f>IF(OR(AA166="",AC166=0),"",YEAR(AC166))</f>
        <v/>
      </c>
      <c r="AE166" s="62" t="str">
        <f>IF(AD166="","",COUNTIFS($AB$6:AB166,AB166,$AD$6:AD166,AD166))</f>
        <v/>
      </c>
      <c r="AF166" s="62">
        <f>IF(A166="",0,COUNTIF(fl_doc,A166))</f>
        <v>0.0</v>
      </c>
      <c r="AG166" s="62" t="str">
        <f>IF(A166="","",IF(AF166&gt;0,"Facture",IF(AND(F166&lt;&gt;"",AA166="Facture",ISNUMBER(MATCH(F166,dv_num,0))),"Devis","")))</f>
        <v/>
      </c>
      <c r="AH166" s="62" t="str">
        <f>IF(AND(A166&lt;&gt;"",F166&lt;&gt;"",AA166&lt;&gt;"Avoir"),F166,"")</f>
        <v/>
      </c>
      <c r="AI166" s="62" t="str">
        <f>IF(AG166="Devis",F166,"")</f>
        <v/>
      </c>
      <c r="AJ166" s="62">
        <f>IF(AG166="Facture",SUMIF(fl_doc,A166,fl_ht),IF(AG166="Devis",SUMIF(dl_doc,F166,dl_ht),0))</f>
        <v>0.0</v>
      </c>
      <c r="AK166" s="62">
        <f>IF(OR(AG166="",INDEX(p_rates,1)=""),0,IF(AG166="Facture",SUMIFS(fl_ht,fl_doc,A166,fl_rate,INDEX(p_rates,1)),SUMIFS(dl_ht,dl_doc,F166,dl_rate,INDEX(p_rates,1))))</f>
        <v>0.0</v>
      </c>
      <c r="AL166" s="62">
        <f>IF(OR(AG166="",INDEX(p_rates,2)=""),0,IF(AG166="Facture",SUMIFS(fl_ht,fl_doc,A166,fl_rate,INDEX(p_rates,2)),SUMIFS(dl_ht,dl_doc,F166,dl_rate,INDEX(p_rates,2))))</f>
        <v>0.0</v>
      </c>
      <c r="AM166" s="62">
        <f>IF(OR(AG166="",INDEX(p_rates,3)=""),0,IF(AG166="Facture",SUMIFS(fl_ht,fl_doc,A166,fl_rate,INDEX(p_rates,3)),SUMIFS(dl_ht,dl_doc,F166,dl_rate,INDEX(p_rates,3))))</f>
        <v>0.0</v>
      </c>
      <c r="AN166" s="62">
        <f>IF(OR(AG166="",INDEX(p_rates,4)=""),0,IF(AG166="Facture",SUMIFS(fl_ht,fl_doc,A166,fl_rate,INDEX(p_rates,4)),SUMIFS(dl_ht,dl_doc,F166,dl_rate,INDEX(p_rates,4))))</f>
        <v>0.0</v>
      </c>
      <c r="AO166" s="62">
        <f>IF(OR(AG166="",INDEX(p_rates,5)=""),0,IF(AG166="Facture",SUMIFS(fl_ht,fl_doc,A166,fl_rate,INDEX(p_rates,5)),SUMIFS(dl_ht,dl_doc,F166,dl_rate,INDEX(p_rates,5))))</f>
        <v>0.0</v>
      </c>
      <c r="AP166" s="62">
        <f>IF(OR(AG166="",INDEX(p_rates,6)=""),0,IF(AG166="Facture",SUMIFS(fl_ht,fl_doc,A166,fl_rate,INDEX(p_rates,6)),SUMIFS(dl_ht,dl_doc,F166,dl_rate,INDEX(p_rates,6))))</f>
        <v>0.0</v>
      </c>
      <c r="AQ166" s="62">
        <f>ROUND(AK166*N(INDEX(p_rates,1)),2)+ROUND(AL166*N(INDEX(p_rates,2)),2)+ROUND(AM166*N(INDEX(p_rates,3)),2)+ROUND(AN166*N(INDEX(p_rates,4)),2)+ROUND(AO166*N(INDEX(p_rates,5)),2)+ROUND(AP166*N(INDEX(p_rates,6)),2)</f>
        <v>0.0</v>
      </c>
      <c r="AR166" s="62" t="str">
        <f>IF(OR(L166="",AA166&lt;&gt;"Facture"),"",IFERROR(IF(INDEX(fa_type,MATCH(L166,fa_num,0))="Facture d'acompte",MATCH(L166,fa_num,0),""),""))</f>
        <v/>
      </c>
      <c r="AS166" s="62" t="str">
        <f>IF(W166="","",IF(W166&lt;=0,"",IF(p_asof-P166&lt;=0,"Non échu",IF(p_asof-P166&lt;=30,"1-30 j",IF(p_asof-P166&lt;=60,"31-60 j",IF(p_asof-P166&lt;=90,"61-90 j","Plus de 90 j"))))))</f>
        <v/>
      </c>
      <c r="AT166" s="62" t="str">
        <f>IF(AS166="","",p_asof-P166)</f>
        <v/>
      </c>
      <c r="AU166" s="62" t="str">
        <f>IF(AT166="","",COUNTIF($AT$6:$AT$805,"&gt;"&amp;AT166)+COUNTIF($AT$6:AT166,AT166))</f>
        <v/>
      </c>
    </row>
    <row r="167">
      <c r="A167" s="59" t="str">
        <f>IF(AE167="","",AB167&amp;"-"&amp;AD167&amp;"-"&amp;RIGHT("000"&amp;AE167,4))</f>
        <v/>
      </c>
      <c r="B167" s="60" t="n"/>
      <c r="C167" s="61" t="n"/>
      <c r="D167" s="60" t="n"/>
      <c r="E167" s="62" t="str">
        <f>IF(D167="","",IFERROR(INDEX(cli_name,MATCH(D167,cli_code,0))&amp;"","Client inconnu"))</f>
        <v/>
      </c>
      <c r="F167" s="60" t="n"/>
      <c r="G167" s="63" t="n"/>
      <c r="H167" s="61" t="n"/>
      <c r="I167" s="63" t="n"/>
      <c r="J167" s="60" t="n"/>
      <c r="K167" s="61" t="n"/>
      <c r="L167" s="60" t="n"/>
      <c r="M167" s="60" t="n"/>
      <c r="N167" s="60" t="n"/>
      <c r="O167" s="61" t="n"/>
      <c r="P167" s="64" t="str">
        <f>IF(A167="","",IF(AA167="Avoir",AC167,IF(ISNUMBER(K167),K167,AC167+IF(D167="",N(p_delay),IFERROR(IF(ISNUMBER(INDEX(cli_delay,MATCH(D167,cli_code,0))),INDEX(cli_delay,MATCH(D167,cli_code,0)),N(p_delay)),N(p_delay))))))</f>
        <v/>
      </c>
      <c r="Q167" s="65" t="str">
        <f>IF(A167="","",IF(AA167="Avoir",-1,1)*ROUND(AJ167-IF(AR167="",0,INDEX(fa_htb,AR167)),2))</f>
        <v/>
      </c>
      <c r="R167" s="65" t="str">
        <f>IF(A167="","",IF(AA167="Avoir",-1,1)*ROUND(AQ167-IF(AR167="",0,INDEX(fa_tvab,AR167)),2))</f>
        <v/>
      </c>
      <c r="S167" s="65" t="str">
        <f>IF(A167="","",Q167+R167)</f>
        <v/>
      </c>
      <c r="T167" s="65" t="str">
        <f>IF(AR167="","",INDEX(fa_htb,AR167)+INDEX(fa_tvab,AR167))</f>
        <v/>
      </c>
      <c r="U167" s="65" t="str">
        <f>IF(A167="","",SUMIF(pa_inv,A167,pa_amt))</f>
        <v/>
      </c>
      <c r="V167" s="65" t="str">
        <f>IF(OR(A167="",AA167="Avoir"),"",-SUMIFS(fa_ttc,fa_avof,A167,fa_type,"Avoir"))</f>
        <v/>
      </c>
      <c r="W167" s="65" t="str">
        <f>IF(OR(A167="",AA167="Avoir"),"",ROUND(S167-U167-V167,2))</f>
        <v/>
      </c>
      <c r="X167" s="66" t="str">
        <f>IF(W167="","",IF(AND(W167&gt;0,p_asof&gt;P167),p_asof-P167,""))</f>
        <v/>
      </c>
      <c r="Y167" s="59" t="str">
        <f>IF(A167="","",IF(AA167="Avoir","Avoir",IF(W167&lt;0,"Trop-perçu",IF(W167=0,"Soldée",IF(p_asof&gt;P167,"En retard",IF(U167+V167&gt;0,"Partielle","À échoir"))))))</f>
        <v/>
      </c>
      <c r="Z167" s="59" t="str">
        <f>IF(NOT(COUNTA(B167:D167,F167:O167)&gt;0),"",IF(C167="","Date manquante",IF(NOT(ISNUMBER(C167)),"Date invalide",IF(D167="","Client manquant",IF(ISNA(MATCH(D167,cli_code,0)),"Client inconnu",IF(AC167&lt;SUMPRODUCT(MAX(($AB$6:AB166=AB167)*$AC$6:AC166)),"Date antérieure à la facture précédente",IF(AND(F167&lt;&gt;"",ISNA(MATCH(F167,dv_num,0))),"Devis inconnu",IF(AND(F167&lt;&gt;"",IFERROR(INDEX(dv_client,MATCH(F167,dv_num,0)),D167)&lt;&gt;D167),"Client différent de celui du devis",IF(AG167="","Aucune ligne : saisissez des lignes ou un devis",IF(AND(AI167&lt;&gt;"",COUNTIF($AI$6:AI167,AI167)&gt;1),"Devis déjà repris par une autre facture",IF(AND(AA167="Avoir",M167=""),"Avoir : indiquez la facture d'origine",IF(AND(AA167="Avoir",ISNA(MATCH(M167,fa_num,0))),"Facture d'origine inconnue",IF(AND(AA167&lt;&gt;"Avoir",M167&lt;&gt;""),"« Avoir sur facture » : réservé aux avoirs",IF(AND(L167&lt;&gt;"",AA167&lt;&gt;"Facture"),"Acompte à déduire : réservé aux factures",IF(AND(L167&lt;&gt;"",ISNA(MATCH(L167,fa_num,0))),"Facture d'acompte inconnue",IF(AND(L167&lt;&gt;"",IFERROR(INDEX(fa_type,MATCH(L167,fa_num,0)),"")&lt;&gt;"Facture d'acompte"),"Le n° à déduire n'est pas une facture d'acompte",IF(AND(L167&lt;&gt;"",COUNTIF($L$6:L167,L167)&gt;1),"Acompte déjà déduit sur une autre facture",IF(AND(L167&lt;&gt;"",IFERROR(INDEX(fa_client,MATCH(L167,fa_num,0)),D167)&lt;&gt;D167),"Acompte d'un autre client",IF(AND(AR167&lt;&gt;"",N(Q167)&lt;0),"Acompte supérieur au total de la facture",IF(IF(AG167="Facture",COUNTIFS(fl_doc,A167,fl_check,"&lt;&gt;OK"),IF(AG167="Devis",COUNTIFS(dl_doc,F167,dl_check,"&lt;&gt;OK"),0))&gt;0,"Ligne(s) à corriger",IF(AND(W167&lt;&gt;"",N(W167)&lt;0),"Trop-perçu : vérifiez paiements et avoirs","OK")))))))))))))))))))))</f>
        <v/>
      </c>
      <c r="AA167" s="62" t="str">
        <f>IF(COUNTA(B167:D167,F167:O167)&gt;0,IF(B167="","Facture",B167),"")</f>
        <v/>
      </c>
      <c r="AB167" s="62" t="str">
        <f>IF(AA167="","",IF(AA167="Avoir",p_pav,IF(AA167="Facture d'acompte",p_pac,p_pfa)))</f>
        <v/>
      </c>
      <c r="AC167" s="62">
        <f>IF(ISNUMBER(C167),C167,0)</f>
        <v>0.0</v>
      </c>
      <c r="AD167" s="62" t="str">
        <f>IF(OR(AA167="",AC167=0),"",YEAR(AC167))</f>
        <v/>
      </c>
      <c r="AE167" s="62" t="str">
        <f>IF(AD167="","",COUNTIFS($AB$6:AB167,AB167,$AD$6:AD167,AD167))</f>
        <v/>
      </c>
      <c r="AF167" s="62">
        <f>IF(A167="",0,COUNTIF(fl_doc,A167))</f>
        <v>0.0</v>
      </c>
      <c r="AG167" s="62" t="str">
        <f>IF(A167="","",IF(AF167&gt;0,"Facture",IF(AND(F167&lt;&gt;"",AA167="Facture",ISNUMBER(MATCH(F167,dv_num,0))),"Devis","")))</f>
        <v/>
      </c>
      <c r="AH167" s="62" t="str">
        <f>IF(AND(A167&lt;&gt;"",F167&lt;&gt;"",AA167&lt;&gt;"Avoir"),F167,"")</f>
        <v/>
      </c>
      <c r="AI167" s="62" t="str">
        <f>IF(AG167="Devis",F167,"")</f>
        <v/>
      </c>
      <c r="AJ167" s="62">
        <f>IF(AG167="Facture",SUMIF(fl_doc,A167,fl_ht),IF(AG167="Devis",SUMIF(dl_doc,F167,dl_ht),0))</f>
        <v>0.0</v>
      </c>
      <c r="AK167" s="62">
        <f>IF(OR(AG167="",INDEX(p_rates,1)=""),0,IF(AG167="Facture",SUMIFS(fl_ht,fl_doc,A167,fl_rate,INDEX(p_rates,1)),SUMIFS(dl_ht,dl_doc,F167,dl_rate,INDEX(p_rates,1))))</f>
        <v>0.0</v>
      </c>
      <c r="AL167" s="62">
        <f>IF(OR(AG167="",INDEX(p_rates,2)=""),0,IF(AG167="Facture",SUMIFS(fl_ht,fl_doc,A167,fl_rate,INDEX(p_rates,2)),SUMIFS(dl_ht,dl_doc,F167,dl_rate,INDEX(p_rates,2))))</f>
        <v>0.0</v>
      </c>
      <c r="AM167" s="62">
        <f>IF(OR(AG167="",INDEX(p_rates,3)=""),0,IF(AG167="Facture",SUMIFS(fl_ht,fl_doc,A167,fl_rate,INDEX(p_rates,3)),SUMIFS(dl_ht,dl_doc,F167,dl_rate,INDEX(p_rates,3))))</f>
        <v>0.0</v>
      </c>
      <c r="AN167" s="62">
        <f>IF(OR(AG167="",INDEX(p_rates,4)=""),0,IF(AG167="Facture",SUMIFS(fl_ht,fl_doc,A167,fl_rate,INDEX(p_rates,4)),SUMIFS(dl_ht,dl_doc,F167,dl_rate,INDEX(p_rates,4))))</f>
        <v>0.0</v>
      </c>
      <c r="AO167" s="62">
        <f>IF(OR(AG167="",INDEX(p_rates,5)=""),0,IF(AG167="Facture",SUMIFS(fl_ht,fl_doc,A167,fl_rate,INDEX(p_rates,5)),SUMIFS(dl_ht,dl_doc,F167,dl_rate,INDEX(p_rates,5))))</f>
        <v>0.0</v>
      </c>
      <c r="AP167" s="62">
        <f>IF(OR(AG167="",INDEX(p_rates,6)=""),0,IF(AG167="Facture",SUMIFS(fl_ht,fl_doc,A167,fl_rate,INDEX(p_rates,6)),SUMIFS(dl_ht,dl_doc,F167,dl_rate,INDEX(p_rates,6))))</f>
        <v>0.0</v>
      </c>
      <c r="AQ167" s="62">
        <f>ROUND(AK167*N(INDEX(p_rates,1)),2)+ROUND(AL167*N(INDEX(p_rates,2)),2)+ROUND(AM167*N(INDEX(p_rates,3)),2)+ROUND(AN167*N(INDEX(p_rates,4)),2)+ROUND(AO167*N(INDEX(p_rates,5)),2)+ROUND(AP167*N(INDEX(p_rates,6)),2)</f>
        <v>0.0</v>
      </c>
      <c r="AR167" s="62" t="str">
        <f>IF(OR(L167="",AA167&lt;&gt;"Facture"),"",IFERROR(IF(INDEX(fa_type,MATCH(L167,fa_num,0))="Facture d'acompte",MATCH(L167,fa_num,0),""),""))</f>
        <v/>
      </c>
      <c r="AS167" s="62" t="str">
        <f>IF(W167="","",IF(W167&lt;=0,"",IF(p_asof-P167&lt;=0,"Non échu",IF(p_asof-P167&lt;=30,"1-30 j",IF(p_asof-P167&lt;=60,"31-60 j",IF(p_asof-P167&lt;=90,"61-90 j","Plus de 90 j"))))))</f>
        <v/>
      </c>
      <c r="AT167" s="62" t="str">
        <f>IF(AS167="","",p_asof-P167)</f>
        <v/>
      </c>
      <c r="AU167" s="62" t="str">
        <f>IF(AT167="","",COUNTIF($AT$6:$AT$805,"&gt;"&amp;AT167)+COUNTIF($AT$6:AT167,AT167))</f>
        <v/>
      </c>
    </row>
    <row r="168">
      <c r="A168" s="59" t="str">
        <f>IF(AE168="","",AB168&amp;"-"&amp;AD168&amp;"-"&amp;RIGHT("000"&amp;AE168,4))</f>
        <v/>
      </c>
      <c r="B168" s="60" t="n"/>
      <c r="C168" s="61" t="n"/>
      <c r="D168" s="60" t="n"/>
      <c r="E168" s="62" t="str">
        <f>IF(D168="","",IFERROR(INDEX(cli_name,MATCH(D168,cli_code,0))&amp;"","Client inconnu"))</f>
        <v/>
      </c>
      <c r="F168" s="60" t="n"/>
      <c r="G168" s="63" t="n"/>
      <c r="H168" s="61" t="n"/>
      <c r="I168" s="63" t="n"/>
      <c r="J168" s="60" t="n"/>
      <c r="K168" s="61" t="n"/>
      <c r="L168" s="60" t="n"/>
      <c r="M168" s="60" t="n"/>
      <c r="N168" s="60" t="n"/>
      <c r="O168" s="61" t="n"/>
      <c r="P168" s="64" t="str">
        <f>IF(A168="","",IF(AA168="Avoir",AC168,IF(ISNUMBER(K168),K168,AC168+IF(D168="",N(p_delay),IFERROR(IF(ISNUMBER(INDEX(cli_delay,MATCH(D168,cli_code,0))),INDEX(cli_delay,MATCH(D168,cli_code,0)),N(p_delay)),N(p_delay))))))</f>
        <v/>
      </c>
      <c r="Q168" s="65" t="str">
        <f>IF(A168="","",IF(AA168="Avoir",-1,1)*ROUND(AJ168-IF(AR168="",0,INDEX(fa_htb,AR168)),2))</f>
        <v/>
      </c>
      <c r="R168" s="65" t="str">
        <f>IF(A168="","",IF(AA168="Avoir",-1,1)*ROUND(AQ168-IF(AR168="",0,INDEX(fa_tvab,AR168)),2))</f>
        <v/>
      </c>
      <c r="S168" s="65" t="str">
        <f>IF(A168="","",Q168+R168)</f>
        <v/>
      </c>
      <c r="T168" s="65" t="str">
        <f>IF(AR168="","",INDEX(fa_htb,AR168)+INDEX(fa_tvab,AR168))</f>
        <v/>
      </c>
      <c r="U168" s="65" t="str">
        <f>IF(A168="","",SUMIF(pa_inv,A168,pa_amt))</f>
        <v/>
      </c>
      <c r="V168" s="65" t="str">
        <f>IF(OR(A168="",AA168="Avoir"),"",-SUMIFS(fa_ttc,fa_avof,A168,fa_type,"Avoir"))</f>
        <v/>
      </c>
      <c r="W168" s="65" t="str">
        <f>IF(OR(A168="",AA168="Avoir"),"",ROUND(S168-U168-V168,2))</f>
        <v/>
      </c>
      <c r="X168" s="66" t="str">
        <f>IF(W168="","",IF(AND(W168&gt;0,p_asof&gt;P168),p_asof-P168,""))</f>
        <v/>
      </c>
      <c r="Y168" s="59" t="str">
        <f>IF(A168="","",IF(AA168="Avoir","Avoir",IF(W168&lt;0,"Trop-perçu",IF(W168=0,"Soldée",IF(p_asof&gt;P168,"En retard",IF(U168+V168&gt;0,"Partielle","À échoir"))))))</f>
        <v/>
      </c>
      <c r="Z168" s="59" t="str">
        <f>IF(NOT(COUNTA(B168:D168,F168:O168)&gt;0),"",IF(C168="","Date manquante",IF(NOT(ISNUMBER(C168)),"Date invalide",IF(D168="","Client manquant",IF(ISNA(MATCH(D168,cli_code,0)),"Client inconnu",IF(AC168&lt;SUMPRODUCT(MAX(($AB$6:AB167=AB168)*$AC$6:AC167)),"Date antérieure à la facture précédente",IF(AND(F168&lt;&gt;"",ISNA(MATCH(F168,dv_num,0))),"Devis inconnu",IF(AND(F168&lt;&gt;"",IFERROR(INDEX(dv_client,MATCH(F168,dv_num,0)),D168)&lt;&gt;D168),"Client différent de celui du devis",IF(AG168="","Aucune ligne : saisissez des lignes ou un devis",IF(AND(AI168&lt;&gt;"",COUNTIF($AI$6:AI168,AI168)&gt;1),"Devis déjà repris par une autre facture",IF(AND(AA168="Avoir",M168=""),"Avoir : indiquez la facture d'origine",IF(AND(AA168="Avoir",ISNA(MATCH(M168,fa_num,0))),"Facture d'origine inconnue",IF(AND(AA168&lt;&gt;"Avoir",M168&lt;&gt;""),"« Avoir sur facture » : réservé aux avoirs",IF(AND(L168&lt;&gt;"",AA168&lt;&gt;"Facture"),"Acompte à déduire : réservé aux factures",IF(AND(L168&lt;&gt;"",ISNA(MATCH(L168,fa_num,0))),"Facture d'acompte inconnue",IF(AND(L168&lt;&gt;"",IFERROR(INDEX(fa_type,MATCH(L168,fa_num,0)),"")&lt;&gt;"Facture d'acompte"),"Le n° à déduire n'est pas une facture d'acompte",IF(AND(L168&lt;&gt;"",COUNTIF($L$6:L168,L168)&gt;1),"Acompte déjà déduit sur une autre facture",IF(AND(L168&lt;&gt;"",IFERROR(INDEX(fa_client,MATCH(L168,fa_num,0)),D168)&lt;&gt;D168),"Acompte d'un autre client",IF(AND(AR168&lt;&gt;"",N(Q168)&lt;0),"Acompte supérieur au total de la facture",IF(IF(AG168="Facture",COUNTIFS(fl_doc,A168,fl_check,"&lt;&gt;OK"),IF(AG168="Devis",COUNTIFS(dl_doc,F168,dl_check,"&lt;&gt;OK"),0))&gt;0,"Ligne(s) à corriger",IF(AND(W168&lt;&gt;"",N(W168)&lt;0),"Trop-perçu : vérifiez paiements et avoirs","OK")))))))))))))))))))))</f>
        <v/>
      </c>
      <c r="AA168" s="62" t="str">
        <f>IF(COUNTA(B168:D168,F168:O168)&gt;0,IF(B168="","Facture",B168),"")</f>
        <v/>
      </c>
      <c r="AB168" s="62" t="str">
        <f>IF(AA168="","",IF(AA168="Avoir",p_pav,IF(AA168="Facture d'acompte",p_pac,p_pfa)))</f>
        <v/>
      </c>
      <c r="AC168" s="62">
        <f>IF(ISNUMBER(C168),C168,0)</f>
        <v>0.0</v>
      </c>
      <c r="AD168" s="62" t="str">
        <f>IF(OR(AA168="",AC168=0),"",YEAR(AC168))</f>
        <v/>
      </c>
      <c r="AE168" s="62" t="str">
        <f>IF(AD168="","",COUNTIFS($AB$6:AB168,AB168,$AD$6:AD168,AD168))</f>
        <v/>
      </c>
      <c r="AF168" s="62">
        <f>IF(A168="",0,COUNTIF(fl_doc,A168))</f>
        <v>0.0</v>
      </c>
      <c r="AG168" s="62" t="str">
        <f>IF(A168="","",IF(AF168&gt;0,"Facture",IF(AND(F168&lt;&gt;"",AA168="Facture",ISNUMBER(MATCH(F168,dv_num,0))),"Devis","")))</f>
        <v/>
      </c>
      <c r="AH168" s="62" t="str">
        <f>IF(AND(A168&lt;&gt;"",F168&lt;&gt;"",AA168&lt;&gt;"Avoir"),F168,"")</f>
        <v/>
      </c>
      <c r="AI168" s="62" t="str">
        <f>IF(AG168="Devis",F168,"")</f>
        <v/>
      </c>
      <c r="AJ168" s="62">
        <f>IF(AG168="Facture",SUMIF(fl_doc,A168,fl_ht),IF(AG168="Devis",SUMIF(dl_doc,F168,dl_ht),0))</f>
        <v>0.0</v>
      </c>
      <c r="AK168" s="62">
        <f>IF(OR(AG168="",INDEX(p_rates,1)=""),0,IF(AG168="Facture",SUMIFS(fl_ht,fl_doc,A168,fl_rate,INDEX(p_rates,1)),SUMIFS(dl_ht,dl_doc,F168,dl_rate,INDEX(p_rates,1))))</f>
        <v>0.0</v>
      </c>
      <c r="AL168" s="62">
        <f>IF(OR(AG168="",INDEX(p_rates,2)=""),0,IF(AG168="Facture",SUMIFS(fl_ht,fl_doc,A168,fl_rate,INDEX(p_rates,2)),SUMIFS(dl_ht,dl_doc,F168,dl_rate,INDEX(p_rates,2))))</f>
        <v>0.0</v>
      </c>
      <c r="AM168" s="62">
        <f>IF(OR(AG168="",INDEX(p_rates,3)=""),0,IF(AG168="Facture",SUMIFS(fl_ht,fl_doc,A168,fl_rate,INDEX(p_rates,3)),SUMIFS(dl_ht,dl_doc,F168,dl_rate,INDEX(p_rates,3))))</f>
        <v>0.0</v>
      </c>
      <c r="AN168" s="62">
        <f>IF(OR(AG168="",INDEX(p_rates,4)=""),0,IF(AG168="Facture",SUMIFS(fl_ht,fl_doc,A168,fl_rate,INDEX(p_rates,4)),SUMIFS(dl_ht,dl_doc,F168,dl_rate,INDEX(p_rates,4))))</f>
        <v>0.0</v>
      </c>
      <c r="AO168" s="62">
        <f>IF(OR(AG168="",INDEX(p_rates,5)=""),0,IF(AG168="Facture",SUMIFS(fl_ht,fl_doc,A168,fl_rate,INDEX(p_rates,5)),SUMIFS(dl_ht,dl_doc,F168,dl_rate,INDEX(p_rates,5))))</f>
        <v>0.0</v>
      </c>
      <c r="AP168" s="62">
        <f>IF(OR(AG168="",INDEX(p_rates,6)=""),0,IF(AG168="Facture",SUMIFS(fl_ht,fl_doc,A168,fl_rate,INDEX(p_rates,6)),SUMIFS(dl_ht,dl_doc,F168,dl_rate,INDEX(p_rates,6))))</f>
        <v>0.0</v>
      </c>
      <c r="AQ168" s="62">
        <f>ROUND(AK168*N(INDEX(p_rates,1)),2)+ROUND(AL168*N(INDEX(p_rates,2)),2)+ROUND(AM168*N(INDEX(p_rates,3)),2)+ROUND(AN168*N(INDEX(p_rates,4)),2)+ROUND(AO168*N(INDEX(p_rates,5)),2)+ROUND(AP168*N(INDEX(p_rates,6)),2)</f>
        <v>0.0</v>
      </c>
      <c r="AR168" s="62" t="str">
        <f>IF(OR(L168="",AA168&lt;&gt;"Facture"),"",IFERROR(IF(INDEX(fa_type,MATCH(L168,fa_num,0))="Facture d'acompte",MATCH(L168,fa_num,0),""),""))</f>
        <v/>
      </c>
      <c r="AS168" s="62" t="str">
        <f>IF(W168="","",IF(W168&lt;=0,"",IF(p_asof-P168&lt;=0,"Non échu",IF(p_asof-P168&lt;=30,"1-30 j",IF(p_asof-P168&lt;=60,"31-60 j",IF(p_asof-P168&lt;=90,"61-90 j","Plus de 90 j"))))))</f>
        <v/>
      </c>
      <c r="AT168" s="62" t="str">
        <f>IF(AS168="","",p_asof-P168)</f>
        <v/>
      </c>
      <c r="AU168" s="62" t="str">
        <f>IF(AT168="","",COUNTIF($AT$6:$AT$805,"&gt;"&amp;AT168)+COUNTIF($AT$6:AT168,AT168))</f>
        <v/>
      </c>
    </row>
    <row r="169">
      <c r="A169" s="59" t="str">
        <f>IF(AE169="","",AB169&amp;"-"&amp;AD169&amp;"-"&amp;RIGHT("000"&amp;AE169,4))</f>
        <v/>
      </c>
      <c r="B169" s="60" t="n"/>
      <c r="C169" s="61" t="n"/>
      <c r="D169" s="60" t="n"/>
      <c r="E169" s="62" t="str">
        <f>IF(D169="","",IFERROR(INDEX(cli_name,MATCH(D169,cli_code,0))&amp;"","Client inconnu"))</f>
        <v/>
      </c>
      <c r="F169" s="60" t="n"/>
      <c r="G169" s="63" t="n"/>
      <c r="H169" s="61" t="n"/>
      <c r="I169" s="63" t="n"/>
      <c r="J169" s="60" t="n"/>
      <c r="K169" s="61" t="n"/>
      <c r="L169" s="60" t="n"/>
      <c r="M169" s="60" t="n"/>
      <c r="N169" s="60" t="n"/>
      <c r="O169" s="61" t="n"/>
      <c r="P169" s="64" t="str">
        <f>IF(A169="","",IF(AA169="Avoir",AC169,IF(ISNUMBER(K169),K169,AC169+IF(D169="",N(p_delay),IFERROR(IF(ISNUMBER(INDEX(cli_delay,MATCH(D169,cli_code,0))),INDEX(cli_delay,MATCH(D169,cli_code,0)),N(p_delay)),N(p_delay))))))</f>
        <v/>
      </c>
      <c r="Q169" s="65" t="str">
        <f>IF(A169="","",IF(AA169="Avoir",-1,1)*ROUND(AJ169-IF(AR169="",0,INDEX(fa_htb,AR169)),2))</f>
        <v/>
      </c>
      <c r="R169" s="65" t="str">
        <f>IF(A169="","",IF(AA169="Avoir",-1,1)*ROUND(AQ169-IF(AR169="",0,INDEX(fa_tvab,AR169)),2))</f>
        <v/>
      </c>
      <c r="S169" s="65" t="str">
        <f>IF(A169="","",Q169+R169)</f>
        <v/>
      </c>
      <c r="T169" s="65" t="str">
        <f>IF(AR169="","",INDEX(fa_htb,AR169)+INDEX(fa_tvab,AR169))</f>
        <v/>
      </c>
      <c r="U169" s="65" t="str">
        <f>IF(A169="","",SUMIF(pa_inv,A169,pa_amt))</f>
        <v/>
      </c>
      <c r="V169" s="65" t="str">
        <f>IF(OR(A169="",AA169="Avoir"),"",-SUMIFS(fa_ttc,fa_avof,A169,fa_type,"Avoir"))</f>
        <v/>
      </c>
      <c r="W169" s="65" t="str">
        <f>IF(OR(A169="",AA169="Avoir"),"",ROUND(S169-U169-V169,2))</f>
        <v/>
      </c>
      <c r="X169" s="66" t="str">
        <f>IF(W169="","",IF(AND(W169&gt;0,p_asof&gt;P169),p_asof-P169,""))</f>
        <v/>
      </c>
      <c r="Y169" s="59" t="str">
        <f>IF(A169="","",IF(AA169="Avoir","Avoir",IF(W169&lt;0,"Trop-perçu",IF(W169=0,"Soldée",IF(p_asof&gt;P169,"En retard",IF(U169+V169&gt;0,"Partielle","À échoir"))))))</f>
        <v/>
      </c>
      <c r="Z169" s="59" t="str">
        <f>IF(NOT(COUNTA(B169:D169,F169:O169)&gt;0),"",IF(C169="","Date manquante",IF(NOT(ISNUMBER(C169)),"Date invalide",IF(D169="","Client manquant",IF(ISNA(MATCH(D169,cli_code,0)),"Client inconnu",IF(AC169&lt;SUMPRODUCT(MAX(($AB$6:AB168=AB169)*$AC$6:AC168)),"Date antérieure à la facture précédente",IF(AND(F169&lt;&gt;"",ISNA(MATCH(F169,dv_num,0))),"Devis inconnu",IF(AND(F169&lt;&gt;"",IFERROR(INDEX(dv_client,MATCH(F169,dv_num,0)),D169)&lt;&gt;D169),"Client différent de celui du devis",IF(AG169="","Aucune ligne : saisissez des lignes ou un devis",IF(AND(AI169&lt;&gt;"",COUNTIF($AI$6:AI169,AI169)&gt;1),"Devis déjà repris par une autre facture",IF(AND(AA169="Avoir",M169=""),"Avoir : indiquez la facture d'origine",IF(AND(AA169="Avoir",ISNA(MATCH(M169,fa_num,0))),"Facture d'origine inconnue",IF(AND(AA169&lt;&gt;"Avoir",M169&lt;&gt;""),"« Avoir sur facture » : réservé aux avoirs",IF(AND(L169&lt;&gt;"",AA169&lt;&gt;"Facture"),"Acompte à déduire : réservé aux factures",IF(AND(L169&lt;&gt;"",ISNA(MATCH(L169,fa_num,0))),"Facture d'acompte inconnue",IF(AND(L169&lt;&gt;"",IFERROR(INDEX(fa_type,MATCH(L169,fa_num,0)),"")&lt;&gt;"Facture d'acompte"),"Le n° à déduire n'est pas une facture d'acompte",IF(AND(L169&lt;&gt;"",COUNTIF($L$6:L169,L169)&gt;1),"Acompte déjà déduit sur une autre facture",IF(AND(L169&lt;&gt;"",IFERROR(INDEX(fa_client,MATCH(L169,fa_num,0)),D169)&lt;&gt;D169),"Acompte d'un autre client",IF(AND(AR169&lt;&gt;"",N(Q169)&lt;0),"Acompte supérieur au total de la facture",IF(IF(AG169="Facture",COUNTIFS(fl_doc,A169,fl_check,"&lt;&gt;OK"),IF(AG169="Devis",COUNTIFS(dl_doc,F169,dl_check,"&lt;&gt;OK"),0))&gt;0,"Ligne(s) à corriger",IF(AND(W169&lt;&gt;"",N(W169)&lt;0),"Trop-perçu : vérifiez paiements et avoirs","OK")))))))))))))))))))))</f>
        <v/>
      </c>
      <c r="AA169" s="62" t="str">
        <f>IF(COUNTA(B169:D169,F169:O169)&gt;0,IF(B169="","Facture",B169),"")</f>
        <v/>
      </c>
      <c r="AB169" s="62" t="str">
        <f>IF(AA169="","",IF(AA169="Avoir",p_pav,IF(AA169="Facture d'acompte",p_pac,p_pfa)))</f>
        <v/>
      </c>
      <c r="AC169" s="62">
        <f>IF(ISNUMBER(C169),C169,0)</f>
        <v>0.0</v>
      </c>
      <c r="AD169" s="62" t="str">
        <f>IF(OR(AA169="",AC169=0),"",YEAR(AC169))</f>
        <v/>
      </c>
      <c r="AE169" s="62" t="str">
        <f>IF(AD169="","",COUNTIFS($AB$6:AB169,AB169,$AD$6:AD169,AD169))</f>
        <v/>
      </c>
      <c r="AF169" s="62">
        <f>IF(A169="",0,COUNTIF(fl_doc,A169))</f>
        <v>0.0</v>
      </c>
      <c r="AG169" s="62" t="str">
        <f>IF(A169="","",IF(AF169&gt;0,"Facture",IF(AND(F169&lt;&gt;"",AA169="Facture",ISNUMBER(MATCH(F169,dv_num,0))),"Devis","")))</f>
        <v/>
      </c>
      <c r="AH169" s="62" t="str">
        <f>IF(AND(A169&lt;&gt;"",F169&lt;&gt;"",AA169&lt;&gt;"Avoir"),F169,"")</f>
        <v/>
      </c>
      <c r="AI169" s="62" t="str">
        <f>IF(AG169="Devis",F169,"")</f>
        <v/>
      </c>
      <c r="AJ169" s="62">
        <f>IF(AG169="Facture",SUMIF(fl_doc,A169,fl_ht),IF(AG169="Devis",SUMIF(dl_doc,F169,dl_ht),0))</f>
        <v>0.0</v>
      </c>
      <c r="AK169" s="62">
        <f>IF(OR(AG169="",INDEX(p_rates,1)=""),0,IF(AG169="Facture",SUMIFS(fl_ht,fl_doc,A169,fl_rate,INDEX(p_rates,1)),SUMIFS(dl_ht,dl_doc,F169,dl_rate,INDEX(p_rates,1))))</f>
        <v>0.0</v>
      </c>
      <c r="AL169" s="62">
        <f>IF(OR(AG169="",INDEX(p_rates,2)=""),0,IF(AG169="Facture",SUMIFS(fl_ht,fl_doc,A169,fl_rate,INDEX(p_rates,2)),SUMIFS(dl_ht,dl_doc,F169,dl_rate,INDEX(p_rates,2))))</f>
        <v>0.0</v>
      </c>
      <c r="AM169" s="62">
        <f>IF(OR(AG169="",INDEX(p_rates,3)=""),0,IF(AG169="Facture",SUMIFS(fl_ht,fl_doc,A169,fl_rate,INDEX(p_rates,3)),SUMIFS(dl_ht,dl_doc,F169,dl_rate,INDEX(p_rates,3))))</f>
        <v>0.0</v>
      </c>
      <c r="AN169" s="62">
        <f>IF(OR(AG169="",INDEX(p_rates,4)=""),0,IF(AG169="Facture",SUMIFS(fl_ht,fl_doc,A169,fl_rate,INDEX(p_rates,4)),SUMIFS(dl_ht,dl_doc,F169,dl_rate,INDEX(p_rates,4))))</f>
        <v>0.0</v>
      </c>
      <c r="AO169" s="62">
        <f>IF(OR(AG169="",INDEX(p_rates,5)=""),0,IF(AG169="Facture",SUMIFS(fl_ht,fl_doc,A169,fl_rate,INDEX(p_rates,5)),SUMIFS(dl_ht,dl_doc,F169,dl_rate,INDEX(p_rates,5))))</f>
        <v>0.0</v>
      </c>
      <c r="AP169" s="62">
        <f>IF(OR(AG169="",INDEX(p_rates,6)=""),0,IF(AG169="Facture",SUMIFS(fl_ht,fl_doc,A169,fl_rate,INDEX(p_rates,6)),SUMIFS(dl_ht,dl_doc,F169,dl_rate,INDEX(p_rates,6))))</f>
        <v>0.0</v>
      </c>
      <c r="AQ169" s="62">
        <f>ROUND(AK169*N(INDEX(p_rates,1)),2)+ROUND(AL169*N(INDEX(p_rates,2)),2)+ROUND(AM169*N(INDEX(p_rates,3)),2)+ROUND(AN169*N(INDEX(p_rates,4)),2)+ROUND(AO169*N(INDEX(p_rates,5)),2)+ROUND(AP169*N(INDEX(p_rates,6)),2)</f>
        <v>0.0</v>
      </c>
      <c r="AR169" s="62" t="str">
        <f>IF(OR(L169="",AA169&lt;&gt;"Facture"),"",IFERROR(IF(INDEX(fa_type,MATCH(L169,fa_num,0))="Facture d'acompte",MATCH(L169,fa_num,0),""),""))</f>
        <v/>
      </c>
      <c r="AS169" s="62" t="str">
        <f>IF(W169="","",IF(W169&lt;=0,"",IF(p_asof-P169&lt;=0,"Non échu",IF(p_asof-P169&lt;=30,"1-30 j",IF(p_asof-P169&lt;=60,"31-60 j",IF(p_asof-P169&lt;=90,"61-90 j","Plus de 90 j"))))))</f>
        <v/>
      </c>
      <c r="AT169" s="62" t="str">
        <f>IF(AS169="","",p_asof-P169)</f>
        <v/>
      </c>
      <c r="AU169" s="62" t="str">
        <f>IF(AT169="","",COUNTIF($AT$6:$AT$805,"&gt;"&amp;AT169)+COUNTIF($AT$6:AT169,AT169))</f>
        <v/>
      </c>
    </row>
    <row r="170">
      <c r="A170" s="59" t="str">
        <f>IF(AE170="","",AB170&amp;"-"&amp;AD170&amp;"-"&amp;RIGHT("000"&amp;AE170,4))</f>
        <v/>
      </c>
      <c r="B170" s="60" t="n"/>
      <c r="C170" s="61" t="n"/>
      <c r="D170" s="60" t="n"/>
      <c r="E170" s="62" t="str">
        <f>IF(D170="","",IFERROR(INDEX(cli_name,MATCH(D170,cli_code,0))&amp;"","Client inconnu"))</f>
        <v/>
      </c>
      <c r="F170" s="60" t="n"/>
      <c r="G170" s="63" t="n"/>
      <c r="H170" s="61" t="n"/>
      <c r="I170" s="63" t="n"/>
      <c r="J170" s="60" t="n"/>
      <c r="K170" s="61" t="n"/>
      <c r="L170" s="60" t="n"/>
      <c r="M170" s="60" t="n"/>
      <c r="N170" s="60" t="n"/>
      <c r="O170" s="61" t="n"/>
      <c r="P170" s="64" t="str">
        <f>IF(A170="","",IF(AA170="Avoir",AC170,IF(ISNUMBER(K170),K170,AC170+IF(D170="",N(p_delay),IFERROR(IF(ISNUMBER(INDEX(cli_delay,MATCH(D170,cli_code,0))),INDEX(cli_delay,MATCH(D170,cli_code,0)),N(p_delay)),N(p_delay))))))</f>
        <v/>
      </c>
      <c r="Q170" s="65" t="str">
        <f>IF(A170="","",IF(AA170="Avoir",-1,1)*ROUND(AJ170-IF(AR170="",0,INDEX(fa_htb,AR170)),2))</f>
        <v/>
      </c>
      <c r="R170" s="65" t="str">
        <f>IF(A170="","",IF(AA170="Avoir",-1,1)*ROUND(AQ170-IF(AR170="",0,INDEX(fa_tvab,AR170)),2))</f>
        <v/>
      </c>
      <c r="S170" s="65" t="str">
        <f>IF(A170="","",Q170+R170)</f>
        <v/>
      </c>
      <c r="T170" s="65" t="str">
        <f>IF(AR170="","",INDEX(fa_htb,AR170)+INDEX(fa_tvab,AR170))</f>
        <v/>
      </c>
      <c r="U170" s="65" t="str">
        <f>IF(A170="","",SUMIF(pa_inv,A170,pa_amt))</f>
        <v/>
      </c>
      <c r="V170" s="65" t="str">
        <f>IF(OR(A170="",AA170="Avoir"),"",-SUMIFS(fa_ttc,fa_avof,A170,fa_type,"Avoir"))</f>
        <v/>
      </c>
      <c r="W170" s="65" t="str">
        <f>IF(OR(A170="",AA170="Avoir"),"",ROUND(S170-U170-V170,2))</f>
        <v/>
      </c>
      <c r="X170" s="66" t="str">
        <f>IF(W170="","",IF(AND(W170&gt;0,p_asof&gt;P170),p_asof-P170,""))</f>
        <v/>
      </c>
      <c r="Y170" s="59" t="str">
        <f>IF(A170="","",IF(AA170="Avoir","Avoir",IF(W170&lt;0,"Trop-perçu",IF(W170=0,"Soldée",IF(p_asof&gt;P170,"En retard",IF(U170+V170&gt;0,"Partielle","À échoir"))))))</f>
        <v/>
      </c>
      <c r="Z170" s="59" t="str">
        <f>IF(NOT(COUNTA(B170:D170,F170:O170)&gt;0),"",IF(C170="","Date manquante",IF(NOT(ISNUMBER(C170)),"Date invalide",IF(D170="","Client manquant",IF(ISNA(MATCH(D170,cli_code,0)),"Client inconnu",IF(AC170&lt;SUMPRODUCT(MAX(($AB$6:AB169=AB170)*$AC$6:AC169)),"Date antérieure à la facture précédente",IF(AND(F170&lt;&gt;"",ISNA(MATCH(F170,dv_num,0))),"Devis inconnu",IF(AND(F170&lt;&gt;"",IFERROR(INDEX(dv_client,MATCH(F170,dv_num,0)),D170)&lt;&gt;D170),"Client différent de celui du devis",IF(AG170="","Aucune ligne : saisissez des lignes ou un devis",IF(AND(AI170&lt;&gt;"",COUNTIF($AI$6:AI170,AI170)&gt;1),"Devis déjà repris par une autre facture",IF(AND(AA170="Avoir",M170=""),"Avoir : indiquez la facture d'origine",IF(AND(AA170="Avoir",ISNA(MATCH(M170,fa_num,0))),"Facture d'origine inconnue",IF(AND(AA170&lt;&gt;"Avoir",M170&lt;&gt;""),"« Avoir sur facture » : réservé aux avoirs",IF(AND(L170&lt;&gt;"",AA170&lt;&gt;"Facture"),"Acompte à déduire : réservé aux factures",IF(AND(L170&lt;&gt;"",ISNA(MATCH(L170,fa_num,0))),"Facture d'acompte inconnue",IF(AND(L170&lt;&gt;"",IFERROR(INDEX(fa_type,MATCH(L170,fa_num,0)),"")&lt;&gt;"Facture d'acompte"),"Le n° à déduire n'est pas une facture d'acompte",IF(AND(L170&lt;&gt;"",COUNTIF($L$6:L170,L170)&gt;1),"Acompte déjà déduit sur une autre facture",IF(AND(L170&lt;&gt;"",IFERROR(INDEX(fa_client,MATCH(L170,fa_num,0)),D170)&lt;&gt;D170),"Acompte d'un autre client",IF(AND(AR170&lt;&gt;"",N(Q170)&lt;0),"Acompte supérieur au total de la facture",IF(IF(AG170="Facture",COUNTIFS(fl_doc,A170,fl_check,"&lt;&gt;OK"),IF(AG170="Devis",COUNTIFS(dl_doc,F170,dl_check,"&lt;&gt;OK"),0))&gt;0,"Ligne(s) à corriger",IF(AND(W170&lt;&gt;"",N(W170)&lt;0),"Trop-perçu : vérifiez paiements et avoirs","OK")))))))))))))))))))))</f>
        <v/>
      </c>
      <c r="AA170" s="62" t="str">
        <f>IF(COUNTA(B170:D170,F170:O170)&gt;0,IF(B170="","Facture",B170),"")</f>
        <v/>
      </c>
      <c r="AB170" s="62" t="str">
        <f>IF(AA170="","",IF(AA170="Avoir",p_pav,IF(AA170="Facture d'acompte",p_pac,p_pfa)))</f>
        <v/>
      </c>
      <c r="AC170" s="62">
        <f>IF(ISNUMBER(C170),C170,0)</f>
        <v>0.0</v>
      </c>
      <c r="AD170" s="62" t="str">
        <f>IF(OR(AA170="",AC170=0),"",YEAR(AC170))</f>
        <v/>
      </c>
      <c r="AE170" s="62" t="str">
        <f>IF(AD170="","",COUNTIFS($AB$6:AB170,AB170,$AD$6:AD170,AD170))</f>
        <v/>
      </c>
      <c r="AF170" s="62">
        <f>IF(A170="",0,COUNTIF(fl_doc,A170))</f>
        <v>0.0</v>
      </c>
      <c r="AG170" s="62" t="str">
        <f>IF(A170="","",IF(AF170&gt;0,"Facture",IF(AND(F170&lt;&gt;"",AA170="Facture",ISNUMBER(MATCH(F170,dv_num,0))),"Devis","")))</f>
        <v/>
      </c>
      <c r="AH170" s="62" t="str">
        <f>IF(AND(A170&lt;&gt;"",F170&lt;&gt;"",AA170&lt;&gt;"Avoir"),F170,"")</f>
        <v/>
      </c>
      <c r="AI170" s="62" t="str">
        <f>IF(AG170="Devis",F170,"")</f>
        <v/>
      </c>
      <c r="AJ170" s="62">
        <f>IF(AG170="Facture",SUMIF(fl_doc,A170,fl_ht),IF(AG170="Devis",SUMIF(dl_doc,F170,dl_ht),0))</f>
        <v>0.0</v>
      </c>
      <c r="AK170" s="62">
        <f>IF(OR(AG170="",INDEX(p_rates,1)=""),0,IF(AG170="Facture",SUMIFS(fl_ht,fl_doc,A170,fl_rate,INDEX(p_rates,1)),SUMIFS(dl_ht,dl_doc,F170,dl_rate,INDEX(p_rates,1))))</f>
        <v>0.0</v>
      </c>
      <c r="AL170" s="62">
        <f>IF(OR(AG170="",INDEX(p_rates,2)=""),0,IF(AG170="Facture",SUMIFS(fl_ht,fl_doc,A170,fl_rate,INDEX(p_rates,2)),SUMIFS(dl_ht,dl_doc,F170,dl_rate,INDEX(p_rates,2))))</f>
        <v>0.0</v>
      </c>
      <c r="AM170" s="62">
        <f>IF(OR(AG170="",INDEX(p_rates,3)=""),0,IF(AG170="Facture",SUMIFS(fl_ht,fl_doc,A170,fl_rate,INDEX(p_rates,3)),SUMIFS(dl_ht,dl_doc,F170,dl_rate,INDEX(p_rates,3))))</f>
        <v>0.0</v>
      </c>
      <c r="AN170" s="62">
        <f>IF(OR(AG170="",INDEX(p_rates,4)=""),0,IF(AG170="Facture",SUMIFS(fl_ht,fl_doc,A170,fl_rate,INDEX(p_rates,4)),SUMIFS(dl_ht,dl_doc,F170,dl_rate,INDEX(p_rates,4))))</f>
        <v>0.0</v>
      </c>
      <c r="AO170" s="62">
        <f>IF(OR(AG170="",INDEX(p_rates,5)=""),0,IF(AG170="Facture",SUMIFS(fl_ht,fl_doc,A170,fl_rate,INDEX(p_rates,5)),SUMIFS(dl_ht,dl_doc,F170,dl_rate,INDEX(p_rates,5))))</f>
        <v>0.0</v>
      </c>
      <c r="AP170" s="62">
        <f>IF(OR(AG170="",INDEX(p_rates,6)=""),0,IF(AG170="Facture",SUMIFS(fl_ht,fl_doc,A170,fl_rate,INDEX(p_rates,6)),SUMIFS(dl_ht,dl_doc,F170,dl_rate,INDEX(p_rates,6))))</f>
        <v>0.0</v>
      </c>
      <c r="AQ170" s="62">
        <f>ROUND(AK170*N(INDEX(p_rates,1)),2)+ROUND(AL170*N(INDEX(p_rates,2)),2)+ROUND(AM170*N(INDEX(p_rates,3)),2)+ROUND(AN170*N(INDEX(p_rates,4)),2)+ROUND(AO170*N(INDEX(p_rates,5)),2)+ROUND(AP170*N(INDEX(p_rates,6)),2)</f>
        <v>0.0</v>
      </c>
      <c r="AR170" s="62" t="str">
        <f>IF(OR(L170="",AA170&lt;&gt;"Facture"),"",IFERROR(IF(INDEX(fa_type,MATCH(L170,fa_num,0))="Facture d'acompte",MATCH(L170,fa_num,0),""),""))</f>
        <v/>
      </c>
      <c r="AS170" s="62" t="str">
        <f>IF(W170="","",IF(W170&lt;=0,"",IF(p_asof-P170&lt;=0,"Non échu",IF(p_asof-P170&lt;=30,"1-30 j",IF(p_asof-P170&lt;=60,"31-60 j",IF(p_asof-P170&lt;=90,"61-90 j","Plus de 90 j"))))))</f>
        <v/>
      </c>
      <c r="AT170" s="62" t="str">
        <f>IF(AS170="","",p_asof-P170)</f>
        <v/>
      </c>
      <c r="AU170" s="62" t="str">
        <f>IF(AT170="","",COUNTIF($AT$6:$AT$805,"&gt;"&amp;AT170)+COUNTIF($AT$6:AT170,AT170))</f>
        <v/>
      </c>
    </row>
    <row r="171">
      <c r="A171" s="59" t="str">
        <f>IF(AE171="","",AB171&amp;"-"&amp;AD171&amp;"-"&amp;RIGHT("000"&amp;AE171,4))</f>
        <v/>
      </c>
      <c r="B171" s="60" t="n"/>
      <c r="C171" s="61" t="n"/>
      <c r="D171" s="60" t="n"/>
      <c r="E171" s="62" t="str">
        <f>IF(D171="","",IFERROR(INDEX(cli_name,MATCH(D171,cli_code,0))&amp;"","Client inconnu"))</f>
        <v/>
      </c>
      <c r="F171" s="60" t="n"/>
      <c r="G171" s="63" t="n"/>
      <c r="H171" s="61" t="n"/>
      <c r="I171" s="63" t="n"/>
      <c r="J171" s="60" t="n"/>
      <c r="K171" s="61" t="n"/>
      <c r="L171" s="60" t="n"/>
      <c r="M171" s="60" t="n"/>
      <c r="N171" s="60" t="n"/>
      <c r="O171" s="61" t="n"/>
      <c r="P171" s="64" t="str">
        <f>IF(A171="","",IF(AA171="Avoir",AC171,IF(ISNUMBER(K171),K171,AC171+IF(D171="",N(p_delay),IFERROR(IF(ISNUMBER(INDEX(cli_delay,MATCH(D171,cli_code,0))),INDEX(cli_delay,MATCH(D171,cli_code,0)),N(p_delay)),N(p_delay))))))</f>
        <v/>
      </c>
      <c r="Q171" s="65" t="str">
        <f>IF(A171="","",IF(AA171="Avoir",-1,1)*ROUND(AJ171-IF(AR171="",0,INDEX(fa_htb,AR171)),2))</f>
        <v/>
      </c>
      <c r="R171" s="65" t="str">
        <f>IF(A171="","",IF(AA171="Avoir",-1,1)*ROUND(AQ171-IF(AR171="",0,INDEX(fa_tvab,AR171)),2))</f>
        <v/>
      </c>
      <c r="S171" s="65" t="str">
        <f>IF(A171="","",Q171+R171)</f>
        <v/>
      </c>
      <c r="T171" s="65" t="str">
        <f>IF(AR171="","",INDEX(fa_htb,AR171)+INDEX(fa_tvab,AR171))</f>
        <v/>
      </c>
      <c r="U171" s="65" t="str">
        <f>IF(A171="","",SUMIF(pa_inv,A171,pa_amt))</f>
        <v/>
      </c>
      <c r="V171" s="65" t="str">
        <f>IF(OR(A171="",AA171="Avoir"),"",-SUMIFS(fa_ttc,fa_avof,A171,fa_type,"Avoir"))</f>
        <v/>
      </c>
      <c r="W171" s="65" t="str">
        <f>IF(OR(A171="",AA171="Avoir"),"",ROUND(S171-U171-V171,2))</f>
        <v/>
      </c>
      <c r="X171" s="66" t="str">
        <f>IF(W171="","",IF(AND(W171&gt;0,p_asof&gt;P171),p_asof-P171,""))</f>
        <v/>
      </c>
      <c r="Y171" s="59" t="str">
        <f>IF(A171="","",IF(AA171="Avoir","Avoir",IF(W171&lt;0,"Trop-perçu",IF(W171=0,"Soldée",IF(p_asof&gt;P171,"En retard",IF(U171+V171&gt;0,"Partielle","À échoir"))))))</f>
        <v/>
      </c>
      <c r="Z171" s="59" t="str">
        <f>IF(NOT(COUNTA(B171:D171,F171:O171)&gt;0),"",IF(C171="","Date manquante",IF(NOT(ISNUMBER(C171)),"Date invalide",IF(D171="","Client manquant",IF(ISNA(MATCH(D171,cli_code,0)),"Client inconnu",IF(AC171&lt;SUMPRODUCT(MAX(($AB$6:AB170=AB171)*$AC$6:AC170)),"Date antérieure à la facture précédente",IF(AND(F171&lt;&gt;"",ISNA(MATCH(F171,dv_num,0))),"Devis inconnu",IF(AND(F171&lt;&gt;"",IFERROR(INDEX(dv_client,MATCH(F171,dv_num,0)),D171)&lt;&gt;D171),"Client différent de celui du devis",IF(AG171="","Aucune ligne : saisissez des lignes ou un devis",IF(AND(AI171&lt;&gt;"",COUNTIF($AI$6:AI171,AI171)&gt;1),"Devis déjà repris par une autre facture",IF(AND(AA171="Avoir",M171=""),"Avoir : indiquez la facture d'origine",IF(AND(AA171="Avoir",ISNA(MATCH(M171,fa_num,0))),"Facture d'origine inconnue",IF(AND(AA171&lt;&gt;"Avoir",M171&lt;&gt;""),"« Avoir sur facture » : réservé aux avoirs",IF(AND(L171&lt;&gt;"",AA171&lt;&gt;"Facture"),"Acompte à déduire : réservé aux factures",IF(AND(L171&lt;&gt;"",ISNA(MATCH(L171,fa_num,0))),"Facture d'acompte inconnue",IF(AND(L171&lt;&gt;"",IFERROR(INDEX(fa_type,MATCH(L171,fa_num,0)),"")&lt;&gt;"Facture d'acompte"),"Le n° à déduire n'est pas une facture d'acompte",IF(AND(L171&lt;&gt;"",COUNTIF($L$6:L171,L171)&gt;1),"Acompte déjà déduit sur une autre facture",IF(AND(L171&lt;&gt;"",IFERROR(INDEX(fa_client,MATCH(L171,fa_num,0)),D171)&lt;&gt;D171),"Acompte d'un autre client",IF(AND(AR171&lt;&gt;"",N(Q171)&lt;0),"Acompte supérieur au total de la facture",IF(IF(AG171="Facture",COUNTIFS(fl_doc,A171,fl_check,"&lt;&gt;OK"),IF(AG171="Devis",COUNTIFS(dl_doc,F171,dl_check,"&lt;&gt;OK"),0))&gt;0,"Ligne(s) à corriger",IF(AND(W171&lt;&gt;"",N(W171)&lt;0),"Trop-perçu : vérifiez paiements et avoirs","OK")))))))))))))))))))))</f>
        <v/>
      </c>
      <c r="AA171" s="62" t="str">
        <f>IF(COUNTA(B171:D171,F171:O171)&gt;0,IF(B171="","Facture",B171),"")</f>
        <v/>
      </c>
      <c r="AB171" s="62" t="str">
        <f>IF(AA171="","",IF(AA171="Avoir",p_pav,IF(AA171="Facture d'acompte",p_pac,p_pfa)))</f>
        <v/>
      </c>
      <c r="AC171" s="62">
        <f>IF(ISNUMBER(C171),C171,0)</f>
        <v>0.0</v>
      </c>
      <c r="AD171" s="62" t="str">
        <f>IF(OR(AA171="",AC171=0),"",YEAR(AC171))</f>
        <v/>
      </c>
      <c r="AE171" s="62" t="str">
        <f>IF(AD171="","",COUNTIFS($AB$6:AB171,AB171,$AD$6:AD171,AD171))</f>
        <v/>
      </c>
      <c r="AF171" s="62">
        <f>IF(A171="",0,COUNTIF(fl_doc,A171))</f>
        <v>0.0</v>
      </c>
      <c r="AG171" s="62" t="str">
        <f>IF(A171="","",IF(AF171&gt;0,"Facture",IF(AND(F171&lt;&gt;"",AA171="Facture",ISNUMBER(MATCH(F171,dv_num,0))),"Devis","")))</f>
        <v/>
      </c>
      <c r="AH171" s="62" t="str">
        <f>IF(AND(A171&lt;&gt;"",F171&lt;&gt;"",AA171&lt;&gt;"Avoir"),F171,"")</f>
        <v/>
      </c>
      <c r="AI171" s="62" t="str">
        <f>IF(AG171="Devis",F171,"")</f>
        <v/>
      </c>
      <c r="AJ171" s="62">
        <f>IF(AG171="Facture",SUMIF(fl_doc,A171,fl_ht),IF(AG171="Devis",SUMIF(dl_doc,F171,dl_ht),0))</f>
        <v>0.0</v>
      </c>
      <c r="AK171" s="62">
        <f>IF(OR(AG171="",INDEX(p_rates,1)=""),0,IF(AG171="Facture",SUMIFS(fl_ht,fl_doc,A171,fl_rate,INDEX(p_rates,1)),SUMIFS(dl_ht,dl_doc,F171,dl_rate,INDEX(p_rates,1))))</f>
        <v>0.0</v>
      </c>
      <c r="AL171" s="62">
        <f>IF(OR(AG171="",INDEX(p_rates,2)=""),0,IF(AG171="Facture",SUMIFS(fl_ht,fl_doc,A171,fl_rate,INDEX(p_rates,2)),SUMIFS(dl_ht,dl_doc,F171,dl_rate,INDEX(p_rates,2))))</f>
        <v>0.0</v>
      </c>
      <c r="AM171" s="62">
        <f>IF(OR(AG171="",INDEX(p_rates,3)=""),0,IF(AG171="Facture",SUMIFS(fl_ht,fl_doc,A171,fl_rate,INDEX(p_rates,3)),SUMIFS(dl_ht,dl_doc,F171,dl_rate,INDEX(p_rates,3))))</f>
        <v>0.0</v>
      </c>
      <c r="AN171" s="62">
        <f>IF(OR(AG171="",INDEX(p_rates,4)=""),0,IF(AG171="Facture",SUMIFS(fl_ht,fl_doc,A171,fl_rate,INDEX(p_rates,4)),SUMIFS(dl_ht,dl_doc,F171,dl_rate,INDEX(p_rates,4))))</f>
        <v>0.0</v>
      </c>
      <c r="AO171" s="62">
        <f>IF(OR(AG171="",INDEX(p_rates,5)=""),0,IF(AG171="Facture",SUMIFS(fl_ht,fl_doc,A171,fl_rate,INDEX(p_rates,5)),SUMIFS(dl_ht,dl_doc,F171,dl_rate,INDEX(p_rates,5))))</f>
        <v>0.0</v>
      </c>
      <c r="AP171" s="62">
        <f>IF(OR(AG171="",INDEX(p_rates,6)=""),0,IF(AG171="Facture",SUMIFS(fl_ht,fl_doc,A171,fl_rate,INDEX(p_rates,6)),SUMIFS(dl_ht,dl_doc,F171,dl_rate,INDEX(p_rates,6))))</f>
        <v>0.0</v>
      </c>
      <c r="AQ171" s="62">
        <f>ROUND(AK171*N(INDEX(p_rates,1)),2)+ROUND(AL171*N(INDEX(p_rates,2)),2)+ROUND(AM171*N(INDEX(p_rates,3)),2)+ROUND(AN171*N(INDEX(p_rates,4)),2)+ROUND(AO171*N(INDEX(p_rates,5)),2)+ROUND(AP171*N(INDEX(p_rates,6)),2)</f>
        <v>0.0</v>
      </c>
      <c r="AR171" s="62" t="str">
        <f>IF(OR(L171="",AA171&lt;&gt;"Facture"),"",IFERROR(IF(INDEX(fa_type,MATCH(L171,fa_num,0))="Facture d'acompte",MATCH(L171,fa_num,0),""),""))</f>
        <v/>
      </c>
      <c r="AS171" s="62" t="str">
        <f>IF(W171="","",IF(W171&lt;=0,"",IF(p_asof-P171&lt;=0,"Non échu",IF(p_asof-P171&lt;=30,"1-30 j",IF(p_asof-P171&lt;=60,"31-60 j",IF(p_asof-P171&lt;=90,"61-90 j","Plus de 90 j"))))))</f>
        <v/>
      </c>
      <c r="AT171" s="62" t="str">
        <f>IF(AS171="","",p_asof-P171)</f>
        <v/>
      </c>
      <c r="AU171" s="62" t="str">
        <f>IF(AT171="","",COUNTIF($AT$6:$AT$805,"&gt;"&amp;AT171)+COUNTIF($AT$6:AT171,AT171))</f>
        <v/>
      </c>
    </row>
    <row r="172">
      <c r="A172" s="59" t="str">
        <f>IF(AE172="","",AB172&amp;"-"&amp;AD172&amp;"-"&amp;RIGHT("000"&amp;AE172,4))</f>
        <v/>
      </c>
      <c r="B172" s="60" t="n"/>
      <c r="C172" s="61" t="n"/>
      <c r="D172" s="60" t="n"/>
      <c r="E172" s="62" t="str">
        <f>IF(D172="","",IFERROR(INDEX(cli_name,MATCH(D172,cli_code,0))&amp;"","Client inconnu"))</f>
        <v/>
      </c>
      <c r="F172" s="60" t="n"/>
      <c r="G172" s="63" t="n"/>
      <c r="H172" s="61" t="n"/>
      <c r="I172" s="63" t="n"/>
      <c r="J172" s="60" t="n"/>
      <c r="K172" s="61" t="n"/>
      <c r="L172" s="60" t="n"/>
      <c r="M172" s="60" t="n"/>
      <c r="N172" s="60" t="n"/>
      <c r="O172" s="61" t="n"/>
      <c r="P172" s="64" t="str">
        <f>IF(A172="","",IF(AA172="Avoir",AC172,IF(ISNUMBER(K172),K172,AC172+IF(D172="",N(p_delay),IFERROR(IF(ISNUMBER(INDEX(cli_delay,MATCH(D172,cli_code,0))),INDEX(cli_delay,MATCH(D172,cli_code,0)),N(p_delay)),N(p_delay))))))</f>
        <v/>
      </c>
      <c r="Q172" s="65" t="str">
        <f>IF(A172="","",IF(AA172="Avoir",-1,1)*ROUND(AJ172-IF(AR172="",0,INDEX(fa_htb,AR172)),2))</f>
        <v/>
      </c>
      <c r="R172" s="65" t="str">
        <f>IF(A172="","",IF(AA172="Avoir",-1,1)*ROUND(AQ172-IF(AR172="",0,INDEX(fa_tvab,AR172)),2))</f>
        <v/>
      </c>
      <c r="S172" s="65" t="str">
        <f>IF(A172="","",Q172+R172)</f>
        <v/>
      </c>
      <c r="T172" s="65" t="str">
        <f>IF(AR172="","",INDEX(fa_htb,AR172)+INDEX(fa_tvab,AR172))</f>
        <v/>
      </c>
      <c r="U172" s="65" t="str">
        <f>IF(A172="","",SUMIF(pa_inv,A172,pa_amt))</f>
        <v/>
      </c>
      <c r="V172" s="65" t="str">
        <f>IF(OR(A172="",AA172="Avoir"),"",-SUMIFS(fa_ttc,fa_avof,A172,fa_type,"Avoir"))</f>
        <v/>
      </c>
      <c r="W172" s="65" t="str">
        <f>IF(OR(A172="",AA172="Avoir"),"",ROUND(S172-U172-V172,2))</f>
        <v/>
      </c>
      <c r="X172" s="66" t="str">
        <f>IF(W172="","",IF(AND(W172&gt;0,p_asof&gt;P172),p_asof-P172,""))</f>
        <v/>
      </c>
      <c r="Y172" s="59" t="str">
        <f>IF(A172="","",IF(AA172="Avoir","Avoir",IF(W172&lt;0,"Trop-perçu",IF(W172=0,"Soldée",IF(p_asof&gt;P172,"En retard",IF(U172+V172&gt;0,"Partielle","À échoir"))))))</f>
        <v/>
      </c>
      <c r="Z172" s="59" t="str">
        <f>IF(NOT(COUNTA(B172:D172,F172:O172)&gt;0),"",IF(C172="","Date manquante",IF(NOT(ISNUMBER(C172)),"Date invalide",IF(D172="","Client manquant",IF(ISNA(MATCH(D172,cli_code,0)),"Client inconnu",IF(AC172&lt;SUMPRODUCT(MAX(($AB$6:AB171=AB172)*$AC$6:AC171)),"Date antérieure à la facture précédente",IF(AND(F172&lt;&gt;"",ISNA(MATCH(F172,dv_num,0))),"Devis inconnu",IF(AND(F172&lt;&gt;"",IFERROR(INDEX(dv_client,MATCH(F172,dv_num,0)),D172)&lt;&gt;D172),"Client différent de celui du devis",IF(AG172="","Aucune ligne : saisissez des lignes ou un devis",IF(AND(AI172&lt;&gt;"",COUNTIF($AI$6:AI172,AI172)&gt;1),"Devis déjà repris par une autre facture",IF(AND(AA172="Avoir",M172=""),"Avoir : indiquez la facture d'origine",IF(AND(AA172="Avoir",ISNA(MATCH(M172,fa_num,0))),"Facture d'origine inconnue",IF(AND(AA172&lt;&gt;"Avoir",M172&lt;&gt;""),"« Avoir sur facture » : réservé aux avoirs",IF(AND(L172&lt;&gt;"",AA172&lt;&gt;"Facture"),"Acompte à déduire : réservé aux factures",IF(AND(L172&lt;&gt;"",ISNA(MATCH(L172,fa_num,0))),"Facture d'acompte inconnue",IF(AND(L172&lt;&gt;"",IFERROR(INDEX(fa_type,MATCH(L172,fa_num,0)),"")&lt;&gt;"Facture d'acompte"),"Le n° à déduire n'est pas une facture d'acompte",IF(AND(L172&lt;&gt;"",COUNTIF($L$6:L172,L172)&gt;1),"Acompte déjà déduit sur une autre facture",IF(AND(L172&lt;&gt;"",IFERROR(INDEX(fa_client,MATCH(L172,fa_num,0)),D172)&lt;&gt;D172),"Acompte d'un autre client",IF(AND(AR172&lt;&gt;"",N(Q172)&lt;0),"Acompte supérieur au total de la facture",IF(IF(AG172="Facture",COUNTIFS(fl_doc,A172,fl_check,"&lt;&gt;OK"),IF(AG172="Devis",COUNTIFS(dl_doc,F172,dl_check,"&lt;&gt;OK"),0))&gt;0,"Ligne(s) à corriger",IF(AND(W172&lt;&gt;"",N(W172)&lt;0),"Trop-perçu : vérifiez paiements et avoirs","OK")))))))))))))))))))))</f>
        <v/>
      </c>
      <c r="AA172" s="62" t="str">
        <f>IF(COUNTA(B172:D172,F172:O172)&gt;0,IF(B172="","Facture",B172),"")</f>
        <v/>
      </c>
      <c r="AB172" s="62" t="str">
        <f>IF(AA172="","",IF(AA172="Avoir",p_pav,IF(AA172="Facture d'acompte",p_pac,p_pfa)))</f>
        <v/>
      </c>
      <c r="AC172" s="62">
        <f>IF(ISNUMBER(C172),C172,0)</f>
        <v>0.0</v>
      </c>
      <c r="AD172" s="62" t="str">
        <f>IF(OR(AA172="",AC172=0),"",YEAR(AC172))</f>
        <v/>
      </c>
      <c r="AE172" s="62" t="str">
        <f>IF(AD172="","",COUNTIFS($AB$6:AB172,AB172,$AD$6:AD172,AD172))</f>
        <v/>
      </c>
      <c r="AF172" s="62">
        <f>IF(A172="",0,COUNTIF(fl_doc,A172))</f>
        <v>0.0</v>
      </c>
      <c r="AG172" s="62" t="str">
        <f>IF(A172="","",IF(AF172&gt;0,"Facture",IF(AND(F172&lt;&gt;"",AA172="Facture",ISNUMBER(MATCH(F172,dv_num,0))),"Devis","")))</f>
        <v/>
      </c>
      <c r="AH172" s="62" t="str">
        <f>IF(AND(A172&lt;&gt;"",F172&lt;&gt;"",AA172&lt;&gt;"Avoir"),F172,"")</f>
        <v/>
      </c>
      <c r="AI172" s="62" t="str">
        <f>IF(AG172="Devis",F172,"")</f>
        <v/>
      </c>
      <c r="AJ172" s="62">
        <f>IF(AG172="Facture",SUMIF(fl_doc,A172,fl_ht),IF(AG172="Devis",SUMIF(dl_doc,F172,dl_ht),0))</f>
        <v>0.0</v>
      </c>
      <c r="AK172" s="62">
        <f>IF(OR(AG172="",INDEX(p_rates,1)=""),0,IF(AG172="Facture",SUMIFS(fl_ht,fl_doc,A172,fl_rate,INDEX(p_rates,1)),SUMIFS(dl_ht,dl_doc,F172,dl_rate,INDEX(p_rates,1))))</f>
        <v>0.0</v>
      </c>
      <c r="AL172" s="62">
        <f>IF(OR(AG172="",INDEX(p_rates,2)=""),0,IF(AG172="Facture",SUMIFS(fl_ht,fl_doc,A172,fl_rate,INDEX(p_rates,2)),SUMIFS(dl_ht,dl_doc,F172,dl_rate,INDEX(p_rates,2))))</f>
        <v>0.0</v>
      </c>
      <c r="AM172" s="62">
        <f>IF(OR(AG172="",INDEX(p_rates,3)=""),0,IF(AG172="Facture",SUMIFS(fl_ht,fl_doc,A172,fl_rate,INDEX(p_rates,3)),SUMIFS(dl_ht,dl_doc,F172,dl_rate,INDEX(p_rates,3))))</f>
        <v>0.0</v>
      </c>
      <c r="AN172" s="62">
        <f>IF(OR(AG172="",INDEX(p_rates,4)=""),0,IF(AG172="Facture",SUMIFS(fl_ht,fl_doc,A172,fl_rate,INDEX(p_rates,4)),SUMIFS(dl_ht,dl_doc,F172,dl_rate,INDEX(p_rates,4))))</f>
        <v>0.0</v>
      </c>
      <c r="AO172" s="62">
        <f>IF(OR(AG172="",INDEX(p_rates,5)=""),0,IF(AG172="Facture",SUMIFS(fl_ht,fl_doc,A172,fl_rate,INDEX(p_rates,5)),SUMIFS(dl_ht,dl_doc,F172,dl_rate,INDEX(p_rates,5))))</f>
        <v>0.0</v>
      </c>
      <c r="AP172" s="62">
        <f>IF(OR(AG172="",INDEX(p_rates,6)=""),0,IF(AG172="Facture",SUMIFS(fl_ht,fl_doc,A172,fl_rate,INDEX(p_rates,6)),SUMIFS(dl_ht,dl_doc,F172,dl_rate,INDEX(p_rates,6))))</f>
        <v>0.0</v>
      </c>
      <c r="AQ172" s="62">
        <f>ROUND(AK172*N(INDEX(p_rates,1)),2)+ROUND(AL172*N(INDEX(p_rates,2)),2)+ROUND(AM172*N(INDEX(p_rates,3)),2)+ROUND(AN172*N(INDEX(p_rates,4)),2)+ROUND(AO172*N(INDEX(p_rates,5)),2)+ROUND(AP172*N(INDEX(p_rates,6)),2)</f>
        <v>0.0</v>
      </c>
      <c r="AR172" s="62" t="str">
        <f>IF(OR(L172="",AA172&lt;&gt;"Facture"),"",IFERROR(IF(INDEX(fa_type,MATCH(L172,fa_num,0))="Facture d'acompte",MATCH(L172,fa_num,0),""),""))</f>
        <v/>
      </c>
      <c r="AS172" s="62" t="str">
        <f>IF(W172="","",IF(W172&lt;=0,"",IF(p_asof-P172&lt;=0,"Non échu",IF(p_asof-P172&lt;=30,"1-30 j",IF(p_asof-P172&lt;=60,"31-60 j",IF(p_asof-P172&lt;=90,"61-90 j","Plus de 90 j"))))))</f>
        <v/>
      </c>
      <c r="AT172" s="62" t="str">
        <f>IF(AS172="","",p_asof-P172)</f>
        <v/>
      </c>
      <c r="AU172" s="62" t="str">
        <f>IF(AT172="","",COUNTIF($AT$6:$AT$805,"&gt;"&amp;AT172)+COUNTIF($AT$6:AT172,AT172))</f>
        <v/>
      </c>
    </row>
    <row r="173">
      <c r="A173" s="59" t="str">
        <f>IF(AE173="","",AB173&amp;"-"&amp;AD173&amp;"-"&amp;RIGHT("000"&amp;AE173,4))</f>
        <v/>
      </c>
      <c r="B173" s="60" t="n"/>
      <c r="C173" s="61" t="n"/>
      <c r="D173" s="60" t="n"/>
      <c r="E173" s="62" t="str">
        <f>IF(D173="","",IFERROR(INDEX(cli_name,MATCH(D173,cli_code,0))&amp;"","Client inconnu"))</f>
        <v/>
      </c>
      <c r="F173" s="60" t="n"/>
      <c r="G173" s="63" t="n"/>
      <c r="H173" s="61" t="n"/>
      <c r="I173" s="63" t="n"/>
      <c r="J173" s="60" t="n"/>
      <c r="K173" s="61" t="n"/>
      <c r="L173" s="60" t="n"/>
      <c r="M173" s="60" t="n"/>
      <c r="N173" s="60" t="n"/>
      <c r="O173" s="61" t="n"/>
      <c r="P173" s="64" t="str">
        <f>IF(A173="","",IF(AA173="Avoir",AC173,IF(ISNUMBER(K173),K173,AC173+IF(D173="",N(p_delay),IFERROR(IF(ISNUMBER(INDEX(cli_delay,MATCH(D173,cli_code,0))),INDEX(cli_delay,MATCH(D173,cli_code,0)),N(p_delay)),N(p_delay))))))</f>
        <v/>
      </c>
      <c r="Q173" s="65" t="str">
        <f>IF(A173="","",IF(AA173="Avoir",-1,1)*ROUND(AJ173-IF(AR173="",0,INDEX(fa_htb,AR173)),2))</f>
        <v/>
      </c>
      <c r="R173" s="65" t="str">
        <f>IF(A173="","",IF(AA173="Avoir",-1,1)*ROUND(AQ173-IF(AR173="",0,INDEX(fa_tvab,AR173)),2))</f>
        <v/>
      </c>
      <c r="S173" s="65" t="str">
        <f>IF(A173="","",Q173+R173)</f>
        <v/>
      </c>
      <c r="T173" s="65" t="str">
        <f>IF(AR173="","",INDEX(fa_htb,AR173)+INDEX(fa_tvab,AR173))</f>
        <v/>
      </c>
      <c r="U173" s="65" t="str">
        <f>IF(A173="","",SUMIF(pa_inv,A173,pa_amt))</f>
        <v/>
      </c>
      <c r="V173" s="65" t="str">
        <f>IF(OR(A173="",AA173="Avoir"),"",-SUMIFS(fa_ttc,fa_avof,A173,fa_type,"Avoir"))</f>
        <v/>
      </c>
      <c r="W173" s="65" t="str">
        <f>IF(OR(A173="",AA173="Avoir"),"",ROUND(S173-U173-V173,2))</f>
        <v/>
      </c>
      <c r="X173" s="66" t="str">
        <f>IF(W173="","",IF(AND(W173&gt;0,p_asof&gt;P173),p_asof-P173,""))</f>
        <v/>
      </c>
      <c r="Y173" s="59" t="str">
        <f>IF(A173="","",IF(AA173="Avoir","Avoir",IF(W173&lt;0,"Trop-perçu",IF(W173=0,"Soldée",IF(p_asof&gt;P173,"En retard",IF(U173+V173&gt;0,"Partielle","À échoir"))))))</f>
        <v/>
      </c>
      <c r="Z173" s="59" t="str">
        <f>IF(NOT(COUNTA(B173:D173,F173:O173)&gt;0),"",IF(C173="","Date manquante",IF(NOT(ISNUMBER(C173)),"Date invalide",IF(D173="","Client manquant",IF(ISNA(MATCH(D173,cli_code,0)),"Client inconnu",IF(AC173&lt;SUMPRODUCT(MAX(($AB$6:AB172=AB173)*$AC$6:AC172)),"Date antérieure à la facture précédente",IF(AND(F173&lt;&gt;"",ISNA(MATCH(F173,dv_num,0))),"Devis inconnu",IF(AND(F173&lt;&gt;"",IFERROR(INDEX(dv_client,MATCH(F173,dv_num,0)),D173)&lt;&gt;D173),"Client différent de celui du devis",IF(AG173="","Aucune ligne : saisissez des lignes ou un devis",IF(AND(AI173&lt;&gt;"",COUNTIF($AI$6:AI173,AI173)&gt;1),"Devis déjà repris par une autre facture",IF(AND(AA173="Avoir",M173=""),"Avoir : indiquez la facture d'origine",IF(AND(AA173="Avoir",ISNA(MATCH(M173,fa_num,0))),"Facture d'origine inconnue",IF(AND(AA173&lt;&gt;"Avoir",M173&lt;&gt;""),"« Avoir sur facture » : réservé aux avoirs",IF(AND(L173&lt;&gt;"",AA173&lt;&gt;"Facture"),"Acompte à déduire : réservé aux factures",IF(AND(L173&lt;&gt;"",ISNA(MATCH(L173,fa_num,0))),"Facture d'acompte inconnue",IF(AND(L173&lt;&gt;"",IFERROR(INDEX(fa_type,MATCH(L173,fa_num,0)),"")&lt;&gt;"Facture d'acompte"),"Le n° à déduire n'est pas une facture d'acompte",IF(AND(L173&lt;&gt;"",COUNTIF($L$6:L173,L173)&gt;1),"Acompte déjà déduit sur une autre facture",IF(AND(L173&lt;&gt;"",IFERROR(INDEX(fa_client,MATCH(L173,fa_num,0)),D173)&lt;&gt;D173),"Acompte d'un autre client",IF(AND(AR173&lt;&gt;"",N(Q173)&lt;0),"Acompte supérieur au total de la facture",IF(IF(AG173="Facture",COUNTIFS(fl_doc,A173,fl_check,"&lt;&gt;OK"),IF(AG173="Devis",COUNTIFS(dl_doc,F173,dl_check,"&lt;&gt;OK"),0))&gt;0,"Ligne(s) à corriger",IF(AND(W173&lt;&gt;"",N(W173)&lt;0),"Trop-perçu : vérifiez paiements et avoirs","OK")))))))))))))))))))))</f>
        <v/>
      </c>
      <c r="AA173" s="62" t="str">
        <f>IF(COUNTA(B173:D173,F173:O173)&gt;0,IF(B173="","Facture",B173),"")</f>
        <v/>
      </c>
      <c r="AB173" s="62" t="str">
        <f>IF(AA173="","",IF(AA173="Avoir",p_pav,IF(AA173="Facture d'acompte",p_pac,p_pfa)))</f>
        <v/>
      </c>
      <c r="AC173" s="62">
        <f>IF(ISNUMBER(C173),C173,0)</f>
        <v>0.0</v>
      </c>
      <c r="AD173" s="62" t="str">
        <f>IF(OR(AA173="",AC173=0),"",YEAR(AC173))</f>
        <v/>
      </c>
      <c r="AE173" s="62" t="str">
        <f>IF(AD173="","",COUNTIFS($AB$6:AB173,AB173,$AD$6:AD173,AD173))</f>
        <v/>
      </c>
      <c r="AF173" s="62">
        <f>IF(A173="",0,COUNTIF(fl_doc,A173))</f>
        <v>0.0</v>
      </c>
      <c r="AG173" s="62" t="str">
        <f>IF(A173="","",IF(AF173&gt;0,"Facture",IF(AND(F173&lt;&gt;"",AA173="Facture",ISNUMBER(MATCH(F173,dv_num,0))),"Devis","")))</f>
        <v/>
      </c>
      <c r="AH173" s="62" t="str">
        <f>IF(AND(A173&lt;&gt;"",F173&lt;&gt;"",AA173&lt;&gt;"Avoir"),F173,"")</f>
        <v/>
      </c>
      <c r="AI173" s="62" t="str">
        <f>IF(AG173="Devis",F173,"")</f>
        <v/>
      </c>
      <c r="AJ173" s="62">
        <f>IF(AG173="Facture",SUMIF(fl_doc,A173,fl_ht),IF(AG173="Devis",SUMIF(dl_doc,F173,dl_ht),0))</f>
        <v>0.0</v>
      </c>
      <c r="AK173" s="62">
        <f>IF(OR(AG173="",INDEX(p_rates,1)=""),0,IF(AG173="Facture",SUMIFS(fl_ht,fl_doc,A173,fl_rate,INDEX(p_rates,1)),SUMIFS(dl_ht,dl_doc,F173,dl_rate,INDEX(p_rates,1))))</f>
        <v>0.0</v>
      </c>
      <c r="AL173" s="62">
        <f>IF(OR(AG173="",INDEX(p_rates,2)=""),0,IF(AG173="Facture",SUMIFS(fl_ht,fl_doc,A173,fl_rate,INDEX(p_rates,2)),SUMIFS(dl_ht,dl_doc,F173,dl_rate,INDEX(p_rates,2))))</f>
        <v>0.0</v>
      </c>
      <c r="AM173" s="62">
        <f>IF(OR(AG173="",INDEX(p_rates,3)=""),0,IF(AG173="Facture",SUMIFS(fl_ht,fl_doc,A173,fl_rate,INDEX(p_rates,3)),SUMIFS(dl_ht,dl_doc,F173,dl_rate,INDEX(p_rates,3))))</f>
        <v>0.0</v>
      </c>
      <c r="AN173" s="62">
        <f>IF(OR(AG173="",INDEX(p_rates,4)=""),0,IF(AG173="Facture",SUMIFS(fl_ht,fl_doc,A173,fl_rate,INDEX(p_rates,4)),SUMIFS(dl_ht,dl_doc,F173,dl_rate,INDEX(p_rates,4))))</f>
        <v>0.0</v>
      </c>
      <c r="AO173" s="62">
        <f>IF(OR(AG173="",INDEX(p_rates,5)=""),0,IF(AG173="Facture",SUMIFS(fl_ht,fl_doc,A173,fl_rate,INDEX(p_rates,5)),SUMIFS(dl_ht,dl_doc,F173,dl_rate,INDEX(p_rates,5))))</f>
        <v>0.0</v>
      </c>
      <c r="AP173" s="62">
        <f>IF(OR(AG173="",INDEX(p_rates,6)=""),0,IF(AG173="Facture",SUMIFS(fl_ht,fl_doc,A173,fl_rate,INDEX(p_rates,6)),SUMIFS(dl_ht,dl_doc,F173,dl_rate,INDEX(p_rates,6))))</f>
        <v>0.0</v>
      </c>
      <c r="AQ173" s="62">
        <f>ROUND(AK173*N(INDEX(p_rates,1)),2)+ROUND(AL173*N(INDEX(p_rates,2)),2)+ROUND(AM173*N(INDEX(p_rates,3)),2)+ROUND(AN173*N(INDEX(p_rates,4)),2)+ROUND(AO173*N(INDEX(p_rates,5)),2)+ROUND(AP173*N(INDEX(p_rates,6)),2)</f>
        <v>0.0</v>
      </c>
      <c r="AR173" s="62" t="str">
        <f>IF(OR(L173="",AA173&lt;&gt;"Facture"),"",IFERROR(IF(INDEX(fa_type,MATCH(L173,fa_num,0))="Facture d'acompte",MATCH(L173,fa_num,0),""),""))</f>
        <v/>
      </c>
      <c r="AS173" s="62" t="str">
        <f>IF(W173="","",IF(W173&lt;=0,"",IF(p_asof-P173&lt;=0,"Non échu",IF(p_asof-P173&lt;=30,"1-30 j",IF(p_asof-P173&lt;=60,"31-60 j",IF(p_asof-P173&lt;=90,"61-90 j","Plus de 90 j"))))))</f>
        <v/>
      </c>
      <c r="AT173" s="62" t="str">
        <f>IF(AS173="","",p_asof-P173)</f>
        <v/>
      </c>
      <c r="AU173" s="62" t="str">
        <f>IF(AT173="","",COUNTIF($AT$6:$AT$805,"&gt;"&amp;AT173)+COUNTIF($AT$6:AT173,AT173))</f>
        <v/>
      </c>
    </row>
    <row r="174">
      <c r="A174" s="59" t="str">
        <f>IF(AE174="","",AB174&amp;"-"&amp;AD174&amp;"-"&amp;RIGHT("000"&amp;AE174,4))</f>
        <v/>
      </c>
      <c r="B174" s="60" t="n"/>
      <c r="C174" s="61" t="n"/>
      <c r="D174" s="60" t="n"/>
      <c r="E174" s="62" t="str">
        <f>IF(D174="","",IFERROR(INDEX(cli_name,MATCH(D174,cli_code,0))&amp;"","Client inconnu"))</f>
        <v/>
      </c>
      <c r="F174" s="60" t="n"/>
      <c r="G174" s="63" t="n"/>
      <c r="H174" s="61" t="n"/>
      <c r="I174" s="63" t="n"/>
      <c r="J174" s="60" t="n"/>
      <c r="K174" s="61" t="n"/>
      <c r="L174" s="60" t="n"/>
      <c r="M174" s="60" t="n"/>
      <c r="N174" s="60" t="n"/>
      <c r="O174" s="61" t="n"/>
      <c r="P174" s="64" t="str">
        <f>IF(A174="","",IF(AA174="Avoir",AC174,IF(ISNUMBER(K174),K174,AC174+IF(D174="",N(p_delay),IFERROR(IF(ISNUMBER(INDEX(cli_delay,MATCH(D174,cli_code,0))),INDEX(cli_delay,MATCH(D174,cli_code,0)),N(p_delay)),N(p_delay))))))</f>
        <v/>
      </c>
      <c r="Q174" s="65" t="str">
        <f>IF(A174="","",IF(AA174="Avoir",-1,1)*ROUND(AJ174-IF(AR174="",0,INDEX(fa_htb,AR174)),2))</f>
        <v/>
      </c>
      <c r="R174" s="65" t="str">
        <f>IF(A174="","",IF(AA174="Avoir",-1,1)*ROUND(AQ174-IF(AR174="",0,INDEX(fa_tvab,AR174)),2))</f>
        <v/>
      </c>
      <c r="S174" s="65" t="str">
        <f>IF(A174="","",Q174+R174)</f>
        <v/>
      </c>
      <c r="T174" s="65" t="str">
        <f>IF(AR174="","",INDEX(fa_htb,AR174)+INDEX(fa_tvab,AR174))</f>
        <v/>
      </c>
      <c r="U174" s="65" t="str">
        <f>IF(A174="","",SUMIF(pa_inv,A174,pa_amt))</f>
        <v/>
      </c>
      <c r="V174" s="65" t="str">
        <f>IF(OR(A174="",AA174="Avoir"),"",-SUMIFS(fa_ttc,fa_avof,A174,fa_type,"Avoir"))</f>
        <v/>
      </c>
      <c r="W174" s="65" t="str">
        <f>IF(OR(A174="",AA174="Avoir"),"",ROUND(S174-U174-V174,2))</f>
        <v/>
      </c>
      <c r="X174" s="66" t="str">
        <f>IF(W174="","",IF(AND(W174&gt;0,p_asof&gt;P174),p_asof-P174,""))</f>
        <v/>
      </c>
      <c r="Y174" s="59" t="str">
        <f>IF(A174="","",IF(AA174="Avoir","Avoir",IF(W174&lt;0,"Trop-perçu",IF(W174=0,"Soldée",IF(p_asof&gt;P174,"En retard",IF(U174+V174&gt;0,"Partielle","À échoir"))))))</f>
        <v/>
      </c>
      <c r="Z174" s="59" t="str">
        <f>IF(NOT(COUNTA(B174:D174,F174:O174)&gt;0),"",IF(C174="","Date manquante",IF(NOT(ISNUMBER(C174)),"Date invalide",IF(D174="","Client manquant",IF(ISNA(MATCH(D174,cli_code,0)),"Client inconnu",IF(AC174&lt;SUMPRODUCT(MAX(($AB$6:AB173=AB174)*$AC$6:AC173)),"Date antérieure à la facture précédente",IF(AND(F174&lt;&gt;"",ISNA(MATCH(F174,dv_num,0))),"Devis inconnu",IF(AND(F174&lt;&gt;"",IFERROR(INDEX(dv_client,MATCH(F174,dv_num,0)),D174)&lt;&gt;D174),"Client différent de celui du devis",IF(AG174="","Aucune ligne : saisissez des lignes ou un devis",IF(AND(AI174&lt;&gt;"",COUNTIF($AI$6:AI174,AI174)&gt;1),"Devis déjà repris par une autre facture",IF(AND(AA174="Avoir",M174=""),"Avoir : indiquez la facture d'origine",IF(AND(AA174="Avoir",ISNA(MATCH(M174,fa_num,0))),"Facture d'origine inconnue",IF(AND(AA174&lt;&gt;"Avoir",M174&lt;&gt;""),"« Avoir sur facture » : réservé aux avoirs",IF(AND(L174&lt;&gt;"",AA174&lt;&gt;"Facture"),"Acompte à déduire : réservé aux factures",IF(AND(L174&lt;&gt;"",ISNA(MATCH(L174,fa_num,0))),"Facture d'acompte inconnue",IF(AND(L174&lt;&gt;"",IFERROR(INDEX(fa_type,MATCH(L174,fa_num,0)),"")&lt;&gt;"Facture d'acompte"),"Le n° à déduire n'est pas une facture d'acompte",IF(AND(L174&lt;&gt;"",COUNTIF($L$6:L174,L174)&gt;1),"Acompte déjà déduit sur une autre facture",IF(AND(L174&lt;&gt;"",IFERROR(INDEX(fa_client,MATCH(L174,fa_num,0)),D174)&lt;&gt;D174),"Acompte d'un autre client",IF(AND(AR174&lt;&gt;"",N(Q174)&lt;0),"Acompte supérieur au total de la facture",IF(IF(AG174="Facture",COUNTIFS(fl_doc,A174,fl_check,"&lt;&gt;OK"),IF(AG174="Devis",COUNTIFS(dl_doc,F174,dl_check,"&lt;&gt;OK"),0))&gt;0,"Ligne(s) à corriger",IF(AND(W174&lt;&gt;"",N(W174)&lt;0),"Trop-perçu : vérifiez paiements et avoirs","OK")))))))))))))))))))))</f>
        <v/>
      </c>
      <c r="AA174" s="62" t="str">
        <f>IF(COUNTA(B174:D174,F174:O174)&gt;0,IF(B174="","Facture",B174),"")</f>
        <v/>
      </c>
      <c r="AB174" s="62" t="str">
        <f>IF(AA174="","",IF(AA174="Avoir",p_pav,IF(AA174="Facture d'acompte",p_pac,p_pfa)))</f>
        <v/>
      </c>
      <c r="AC174" s="62">
        <f>IF(ISNUMBER(C174),C174,0)</f>
        <v>0.0</v>
      </c>
      <c r="AD174" s="62" t="str">
        <f>IF(OR(AA174="",AC174=0),"",YEAR(AC174))</f>
        <v/>
      </c>
      <c r="AE174" s="62" t="str">
        <f>IF(AD174="","",COUNTIFS($AB$6:AB174,AB174,$AD$6:AD174,AD174))</f>
        <v/>
      </c>
      <c r="AF174" s="62">
        <f>IF(A174="",0,COUNTIF(fl_doc,A174))</f>
        <v>0.0</v>
      </c>
      <c r="AG174" s="62" t="str">
        <f>IF(A174="","",IF(AF174&gt;0,"Facture",IF(AND(F174&lt;&gt;"",AA174="Facture",ISNUMBER(MATCH(F174,dv_num,0))),"Devis","")))</f>
        <v/>
      </c>
      <c r="AH174" s="62" t="str">
        <f>IF(AND(A174&lt;&gt;"",F174&lt;&gt;"",AA174&lt;&gt;"Avoir"),F174,"")</f>
        <v/>
      </c>
      <c r="AI174" s="62" t="str">
        <f>IF(AG174="Devis",F174,"")</f>
        <v/>
      </c>
      <c r="AJ174" s="62">
        <f>IF(AG174="Facture",SUMIF(fl_doc,A174,fl_ht),IF(AG174="Devis",SUMIF(dl_doc,F174,dl_ht),0))</f>
        <v>0.0</v>
      </c>
      <c r="AK174" s="62">
        <f>IF(OR(AG174="",INDEX(p_rates,1)=""),0,IF(AG174="Facture",SUMIFS(fl_ht,fl_doc,A174,fl_rate,INDEX(p_rates,1)),SUMIFS(dl_ht,dl_doc,F174,dl_rate,INDEX(p_rates,1))))</f>
        <v>0.0</v>
      </c>
      <c r="AL174" s="62">
        <f>IF(OR(AG174="",INDEX(p_rates,2)=""),0,IF(AG174="Facture",SUMIFS(fl_ht,fl_doc,A174,fl_rate,INDEX(p_rates,2)),SUMIFS(dl_ht,dl_doc,F174,dl_rate,INDEX(p_rates,2))))</f>
        <v>0.0</v>
      </c>
      <c r="AM174" s="62">
        <f>IF(OR(AG174="",INDEX(p_rates,3)=""),0,IF(AG174="Facture",SUMIFS(fl_ht,fl_doc,A174,fl_rate,INDEX(p_rates,3)),SUMIFS(dl_ht,dl_doc,F174,dl_rate,INDEX(p_rates,3))))</f>
        <v>0.0</v>
      </c>
      <c r="AN174" s="62">
        <f>IF(OR(AG174="",INDEX(p_rates,4)=""),0,IF(AG174="Facture",SUMIFS(fl_ht,fl_doc,A174,fl_rate,INDEX(p_rates,4)),SUMIFS(dl_ht,dl_doc,F174,dl_rate,INDEX(p_rates,4))))</f>
        <v>0.0</v>
      </c>
      <c r="AO174" s="62">
        <f>IF(OR(AG174="",INDEX(p_rates,5)=""),0,IF(AG174="Facture",SUMIFS(fl_ht,fl_doc,A174,fl_rate,INDEX(p_rates,5)),SUMIFS(dl_ht,dl_doc,F174,dl_rate,INDEX(p_rates,5))))</f>
        <v>0.0</v>
      </c>
      <c r="AP174" s="62">
        <f>IF(OR(AG174="",INDEX(p_rates,6)=""),0,IF(AG174="Facture",SUMIFS(fl_ht,fl_doc,A174,fl_rate,INDEX(p_rates,6)),SUMIFS(dl_ht,dl_doc,F174,dl_rate,INDEX(p_rates,6))))</f>
        <v>0.0</v>
      </c>
      <c r="AQ174" s="62">
        <f>ROUND(AK174*N(INDEX(p_rates,1)),2)+ROUND(AL174*N(INDEX(p_rates,2)),2)+ROUND(AM174*N(INDEX(p_rates,3)),2)+ROUND(AN174*N(INDEX(p_rates,4)),2)+ROUND(AO174*N(INDEX(p_rates,5)),2)+ROUND(AP174*N(INDEX(p_rates,6)),2)</f>
        <v>0.0</v>
      </c>
      <c r="AR174" s="62" t="str">
        <f>IF(OR(L174="",AA174&lt;&gt;"Facture"),"",IFERROR(IF(INDEX(fa_type,MATCH(L174,fa_num,0))="Facture d'acompte",MATCH(L174,fa_num,0),""),""))</f>
        <v/>
      </c>
      <c r="AS174" s="62" t="str">
        <f>IF(W174="","",IF(W174&lt;=0,"",IF(p_asof-P174&lt;=0,"Non échu",IF(p_asof-P174&lt;=30,"1-30 j",IF(p_asof-P174&lt;=60,"31-60 j",IF(p_asof-P174&lt;=90,"61-90 j","Plus de 90 j"))))))</f>
        <v/>
      </c>
      <c r="AT174" s="62" t="str">
        <f>IF(AS174="","",p_asof-P174)</f>
        <v/>
      </c>
      <c r="AU174" s="62" t="str">
        <f>IF(AT174="","",COUNTIF($AT$6:$AT$805,"&gt;"&amp;AT174)+COUNTIF($AT$6:AT174,AT174))</f>
        <v/>
      </c>
    </row>
    <row r="175">
      <c r="A175" s="59" t="str">
        <f>IF(AE175="","",AB175&amp;"-"&amp;AD175&amp;"-"&amp;RIGHT("000"&amp;AE175,4))</f>
        <v/>
      </c>
      <c r="B175" s="60" t="n"/>
      <c r="C175" s="61" t="n"/>
      <c r="D175" s="60" t="n"/>
      <c r="E175" s="62" t="str">
        <f>IF(D175="","",IFERROR(INDEX(cli_name,MATCH(D175,cli_code,0))&amp;"","Client inconnu"))</f>
        <v/>
      </c>
      <c r="F175" s="60" t="n"/>
      <c r="G175" s="63" t="n"/>
      <c r="H175" s="61" t="n"/>
      <c r="I175" s="63" t="n"/>
      <c r="J175" s="60" t="n"/>
      <c r="K175" s="61" t="n"/>
      <c r="L175" s="60" t="n"/>
      <c r="M175" s="60" t="n"/>
      <c r="N175" s="60" t="n"/>
      <c r="O175" s="61" t="n"/>
      <c r="P175" s="64" t="str">
        <f>IF(A175="","",IF(AA175="Avoir",AC175,IF(ISNUMBER(K175),K175,AC175+IF(D175="",N(p_delay),IFERROR(IF(ISNUMBER(INDEX(cli_delay,MATCH(D175,cli_code,0))),INDEX(cli_delay,MATCH(D175,cli_code,0)),N(p_delay)),N(p_delay))))))</f>
        <v/>
      </c>
      <c r="Q175" s="65" t="str">
        <f>IF(A175="","",IF(AA175="Avoir",-1,1)*ROUND(AJ175-IF(AR175="",0,INDEX(fa_htb,AR175)),2))</f>
        <v/>
      </c>
      <c r="R175" s="65" t="str">
        <f>IF(A175="","",IF(AA175="Avoir",-1,1)*ROUND(AQ175-IF(AR175="",0,INDEX(fa_tvab,AR175)),2))</f>
        <v/>
      </c>
      <c r="S175" s="65" t="str">
        <f>IF(A175="","",Q175+R175)</f>
        <v/>
      </c>
      <c r="T175" s="65" t="str">
        <f>IF(AR175="","",INDEX(fa_htb,AR175)+INDEX(fa_tvab,AR175))</f>
        <v/>
      </c>
      <c r="U175" s="65" t="str">
        <f>IF(A175="","",SUMIF(pa_inv,A175,pa_amt))</f>
        <v/>
      </c>
      <c r="V175" s="65" t="str">
        <f>IF(OR(A175="",AA175="Avoir"),"",-SUMIFS(fa_ttc,fa_avof,A175,fa_type,"Avoir"))</f>
        <v/>
      </c>
      <c r="W175" s="65" t="str">
        <f>IF(OR(A175="",AA175="Avoir"),"",ROUND(S175-U175-V175,2))</f>
        <v/>
      </c>
      <c r="X175" s="66" t="str">
        <f>IF(W175="","",IF(AND(W175&gt;0,p_asof&gt;P175),p_asof-P175,""))</f>
        <v/>
      </c>
      <c r="Y175" s="59" t="str">
        <f>IF(A175="","",IF(AA175="Avoir","Avoir",IF(W175&lt;0,"Trop-perçu",IF(W175=0,"Soldée",IF(p_asof&gt;P175,"En retard",IF(U175+V175&gt;0,"Partielle","À échoir"))))))</f>
        <v/>
      </c>
      <c r="Z175" s="59" t="str">
        <f>IF(NOT(COUNTA(B175:D175,F175:O175)&gt;0),"",IF(C175="","Date manquante",IF(NOT(ISNUMBER(C175)),"Date invalide",IF(D175="","Client manquant",IF(ISNA(MATCH(D175,cli_code,0)),"Client inconnu",IF(AC175&lt;SUMPRODUCT(MAX(($AB$6:AB174=AB175)*$AC$6:AC174)),"Date antérieure à la facture précédente",IF(AND(F175&lt;&gt;"",ISNA(MATCH(F175,dv_num,0))),"Devis inconnu",IF(AND(F175&lt;&gt;"",IFERROR(INDEX(dv_client,MATCH(F175,dv_num,0)),D175)&lt;&gt;D175),"Client différent de celui du devis",IF(AG175="","Aucune ligne : saisissez des lignes ou un devis",IF(AND(AI175&lt;&gt;"",COUNTIF($AI$6:AI175,AI175)&gt;1),"Devis déjà repris par une autre facture",IF(AND(AA175="Avoir",M175=""),"Avoir : indiquez la facture d'origine",IF(AND(AA175="Avoir",ISNA(MATCH(M175,fa_num,0))),"Facture d'origine inconnue",IF(AND(AA175&lt;&gt;"Avoir",M175&lt;&gt;""),"« Avoir sur facture » : réservé aux avoirs",IF(AND(L175&lt;&gt;"",AA175&lt;&gt;"Facture"),"Acompte à déduire : réservé aux factures",IF(AND(L175&lt;&gt;"",ISNA(MATCH(L175,fa_num,0))),"Facture d'acompte inconnue",IF(AND(L175&lt;&gt;"",IFERROR(INDEX(fa_type,MATCH(L175,fa_num,0)),"")&lt;&gt;"Facture d'acompte"),"Le n° à déduire n'est pas une facture d'acompte",IF(AND(L175&lt;&gt;"",COUNTIF($L$6:L175,L175)&gt;1),"Acompte déjà déduit sur une autre facture",IF(AND(L175&lt;&gt;"",IFERROR(INDEX(fa_client,MATCH(L175,fa_num,0)),D175)&lt;&gt;D175),"Acompte d'un autre client",IF(AND(AR175&lt;&gt;"",N(Q175)&lt;0),"Acompte supérieur au total de la facture",IF(IF(AG175="Facture",COUNTIFS(fl_doc,A175,fl_check,"&lt;&gt;OK"),IF(AG175="Devis",COUNTIFS(dl_doc,F175,dl_check,"&lt;&gt;OK"),0))&gt;0,"Ligne(s) à corriger",IF(AND(W175&lt;&gt;"",N(W175)&lt;0),"Trop-perçu : vérifiez paiements et avoirs","OK")))))))))))))))))))))</f>
        <v/>
      </c>
      <c r="AA175" s="62" t="str">
        <f>IF(COUNTA(B175:D175,F175:O175)&gt;0,IF(B175="","Facture",B175),"")</f>
        <v/>
      </c>
      <c r="AB175" s="62" t="str">
        <f>IF(AA175="","",IF(AA175="Avoir",p_pav,IF(AA175="Facture d'acompte",p_pac,p_pfa)))</f>
        <v/>
      </c>
      <c r="AC175" s="62">
        <f>IF(ISNUMBER(C175),C175,0)</f>
        <v>0.0</v>
      </c>
      <c r="AD175" s="62" t="str">
        <f>IF(OR(AA175="",AC175=0),"",YEAR(AC175))</f>
        <v/>
      </c>
      <c r="AE175" s="62" t="str">
        <f>IF(AD175="","",COUNTIFS($AB$6:AB175,AB175,$AD$6:AD175,AD175))</f>
        <v/>
      </c>
      <c r="AF175" s="62">
        <f>IF(A175="",0,COUNTIF(fl_doc,A175))</f>
        <v>0.0</v>
      </c>
      <c r="AG175" s="62" t="str">
        <f>IF(A175="","",IF(AF175&gt;0,"Facture",IF(AND(F175&lt;&gt;"",AA175="Facture",ISNUMBER(MATCH(F175,dv_num,0))),"Devis","")))</f>
        <v/>
      </c>
      <c r="AH175" s="62" t="str">
        <f>IF(AND(A175&lt;&gt;"",F175&lt;&gt;"",AA175&lt;&gt;"Avoir"),F175,"")</f>
        <v/>
      </c>
      <c r="AI175" s="62" t="str">
        <f>IF(AG175="Devis",F175,"")</f>
        <v/>
      </c>
      <c r="AJ175" s="62">
        <f>IF(AG175="Facture",SUMIF(fl_doc,A175,fl_ht),IF(AG175="Devis",SUMIF(dl_doc,F175,dl_ht),0))</f>
        <v>0.0</v>
      </c>
      <c r="AK175" s="62">
        <f>IF(OR(AG175="",INDEX(p_rates,1)=""),0,IF(AG175="Facture",SUMIFS(fl_ht,fl_doc,A175,fl_rate,INDEX(p_rates,1)),SUMIFS(dl_ht,dl_doc,F175,dl_rate,INDEX(p_rates,1))))</f>
        <v>0.0</v>
      </c>
      <c r="AL175" s="62">
        <f>IF(OR(AG175="",INDEX(p_rates,2)=""),0,IF(AG175="Facture",SUMIFS(fl_ht,fl_doc,A175,fl_rate,INDEX(p_rates,2)),SUMIFS(dl_ht,dl_doc,F175,dl_rate,INDEX(p_rates,2))))</f>
        <v>0.0</v>
      </c>
      <c r="AM175" s="62">
        <f>IF(OR(AG175="",INDEX(p_rates,3)=""),0,IF(AG175="Facture",SUMIFS(fl_ht,fl_doc,A175,fl_rate,INDEX(p_rates,3)),SUMIFS(dl_ht,dl_doc,F175,dl_rate,INDEX(p_rates,3))))</f>
        <v>0.0</v>
      </c>
      <c r="AN175" s="62">
        <f>IF(OR(AG175="",INDEX(p_rates,4)=""),0,IF(AG175="Facture",SUMIFS(fl_ht,fl_doc,A175,fl_rate,INDEX(p_rates,4)),SUMIFS(dl_ht,dl_doc,F175,dl_rate,INDEX(p_rates,4))))</f>
        <v>0.0</v>
      </c>
      <c r="AO175" s="62">
        <f>IF(OR(AG175="",INDEX(p_rates,5)=""),0,IF(AG175="Facture",SUMIFS(fl_ht,fl_doc,A175,fl_rate,INDEX(p_rates,5)),SUMIFS(dl_ht,dl_doc,F175,dl_rate,INDEX(p_rates,5))))</f>
        <v>0.0</v>
      </c>
      <c r="AP175" s="62">
        <f>IF(OR(AG175="",INDEX(p_rates,6)=""),0,IF(AG175="Facture",SUMIFS(fl_ht,fl_doc,A175,fl_rate,INDEX(p_rates,6)),SUMIFS(dl_ht,dl_doc,F175,dl_rate,INDEX(p_rates,6))))</f>
        <v>0.0</v>
      </c>
      <c r="AQ175" s="62">
        <f>ROUND(AK175*N(INDEX(p_rates,1)),2)+ROUND(AL175*N(INDEX(p_rates,2)),2)+ROUND(AM175*N(INDEX(p_rates,3)),2)+ROUND(AN175*N(INDEX(p_rates,4)),2)+ROUND(AO175*N(INDEX(p_rates,5)),2)+ROUND(AP175*N(INDEX(p_rates,6)),2)</f>
        <v>0.0</v>
      </c>
      <c r="AR175" s="62" t="str">
        <f>IF(OR(L175="",AA175&lt;&gt;"Facture"),"",IFERROR(IF(INDEX(fa_type,MATCH(L175,fa_num,0))="Facture d'acompte",MATCH(L175,fa_num,0),""),""))</f>
        <v/>
      </c>
      <c r="AS175" s="62" t="str">
        <f>IF(W175="","",IF(W175&lt;=0,"",IF(p_asof-P175&lt;=0,"Non échu",IF(p_asof-P175&lt;=30,"1-30 j",IF(p_asof-P175&lt;=60,"31-60 j",IF(p_asof-P175&lt;=90,"61-90 j","Plus de 90 j"))))))</f>
        <v/>
      </c>
      <c r="AT175" s="62" t="str">
        <f>IF(AS175="","",p_asof-P175)</f>
        <v/>
      </c>
      <c r="AU175" s="62" t="str">
        <f>IF(AT175="","",COUNTIF($AT$6:$AT$805,"&gt;"&amp;AT175)+COUNTIF($AT$6:AT175,AT175))</f>
        <v/>
      </c>
    </row>
    <row r="176">
      <c r="A176" s="59" t="str">
        <f>IF(AE176="","",AB176&amp;"-"&amp;AD176&amp;"-"&amp;RIGHT("000"&amp;AE176,4))</f>
        <v/>
      </c>
      <c r="B176" s="60" t="n"/>
      <c r="C176" s="61" t="n"/>
      <c r="D176" s="60" t="n"/>
      <c r="E176" s="62" t="str">
        <f>IF(D176="","",IFERROR(INDEX(cli_name,MATCH(D176,cli_code,0))&amp;"","Client inconnu"))</f>
        <v/>
      </c>
      <c r="F176" s="60" t="n"/>
      <c r="G176" s="63" t="n"/>
      <c r="H176" s="61" t="n"/>
      <c r="I176" s="63" t="n"/>
      <c r="J176" s="60" t="n"/>
      <c r="K176" s="61" t="n"/>
      <c r="L176" s="60" t="n"/>
      <c r="M176" s="60" t="n"/>
      <c r="N176" s="60" t="n"/>
      <c r="O176" s="61" t="n"/>
      <c r="P176" s="64" t="str">
        <f>IF(A176="","",IF(AA176="Avoir",AC176,IF(ISNUMBER(K176),K176,AC176+IF(D176="",N(p_delay),IFERROR(IF(ISNUMBER(INDEX(cli_delay,MATCH(D176,cli_code,0))),INDEX(cli_delay,MATCH(D176,cli_code,0)),N(p_delay)),N(p_delay))))))</f>
        <v/>
      </c>
      <c r="Q176" s="65" t="str">
        <f>IF(A176="","",IF(AA176="Avoir",-1,1)*ROUND(AJ176-IF(AR176="",0,INDEX(fa_htb,AR176)),2))</f>
        <v/>
      </c>
      <c r="R176" s="65" t="str">
        <f>IF(A176="","",IF(AA176="Avoir",-1,1)*ROUND(AQ176-IF(AR176="",0,INDEX(fa_tvab,AR176)),2))</f>
        <v/>
      </c>
      <c r="S176" s="65" t="str">
        <f>IF(A176="","",Q176+R176)</f>
        <v/>
      </c>
      <c r="T176" s="65" t="str">
        <f>IF(AR176="","",INDEX(fa_htb,AR176)+INDEX(fa_tvab,AR176))</f>
        <v/>
      </c>
      <c r="U176" s="65" t="str">
        <f>IF(A176="","",SUMIF(pa_inv,A176,pa_amt))</f>
        <v/>
      </c>
      <c r="V176" s="65" t="str">
        <f>IF(OR(A176="",AA176="Avoir"),"",-SUMIFS(fa_ttc,fa_avof,A176,fa_type,"Avoir"))</f>
        <v/>
      </c>
      <c r="W176" s="65" t="str">
        <f>IF(OR(A176="",AA176="Avoir"),"",ROUND(S176-U176-V176,2))</f>
        <v/>
      </c>
      <c r="X176" s="66" t="str">
        <f>IF(W176="","",IF(AND(W176&gt;0,p_asof&gt;P176),p_asof-P176,""))</f>
        <v/>
      </c>
      <c r="Y176" s="59" t="str">
        <f>IF(A176="","",IF(AA176="Avoir","Avoir",IF(W176&lt;0,"Trop-perçu",IF(W176=0,"Soldée",IF(p_asof&gt;P176,"En retard",IF(U176+V176&gt;0,"Partielle","À échoir"))))))</f>
        <v/>
      </c>
      <c r="Z176" s="59" t="str">
        <f>IF(NOT(COUNTA(B176:D176,F176:O176)&gt;0),"",IF(C176="","Date manquante",IF(NOT(ISNUMBER(C176)),"Date invalide",IF(D176="","Client manquant",IF(ISNA(MATCH(D176,cli_code,0)),"Client inconnu",IF(AC176&lt;SUMPRODUCT(MAX(($AB$6:AB175=AB176)*$AC$6:AC175)),"Date antérieure à la facture précédente",IF(AND(F176&lt;&gt;"",ISNA(MATCH(F176,dv_num,0))),"Devis inconnu",IF(AND(F176&lt;&gt;"",IFERROR(INDEX(dv_client,MATCH(F176,dv_num,0)),D176)&lt;&gt;D176),"Client différent de celui du devis",IF(AG176="","Aucune ligne : saisissez des lignes ou un devis",IF(AND(AI176&lt;&gt;"",COUNTIF($AI$6:AI176,AI176)&gt;1),"Devis déjà repris par une autre facture",IF(AND(AA176="Avoir",M176=""),"Avoir : indiquez la facture d'origine",IF(AND(AA176="Avoir",ISNA(MATCH(M176,fa_num,0))),"Facture d'origine inconnue",IF(AND(AA176&lt;&gt;"Avoir",M176&lt;&gt;""),"« Avoir sur facture » : réservé aux avoirs",IF(AND(L176&lt;&gt;"",AA176&lt;&gt;"Facture"),"Acompte à déduire : réservé aux factures",IF(AND(L176&lt;&gt;"",ISNA(MATCH(L176,fa_num,0))),"Facture d'acompte inconnue",IF(AND(L176&lt;&gt;"",IFERROR(INDEX(fa_type,MATCH(L176,fa_num,0)),"")&lt;&gt;"Facture d'acompte"),"Le n° à déduire n'est pas une facture d'acompte",IF(AND(L176&lt;&gt;"",COUNTIF($L$6:L176,L176)&gt;1),"Acompte déjà déduit sur une autre facture",IF(AND(L176&lt;&gt;"",IFERROR(INDEX(fa_client,MATCH(L176,fa_num,0)),D176)&lt;&gt;D176),"Acompte d'un autre client",IF(AND(AR176&lt;&gt;"",N(Q176)&lt;0),"Acompte supérieur au total de la facture",IF(IF(AG176="Facture",COUNTIFS(fl_doc,A176,fl_check,"&lt;&gt;OK"),IF(AG176="Devis",COUNTIFS(dl_doc,F176,dl_check,"&lt;&gt;OK"),0))&gt;0,"Ligne(s) à corriger",IF(AND(W176&lt;&gt;"",N(W176)&lt;0),"Trop-perçu : vérifiez paiements et avoirs","OK")))))))))))))))))))))</f>
        <v/>
      </c>
      <c r="AA176" s="62" t="str">
        <f>IF(COUNTA(B176:D176,F176:O176)&gt;0,IF(B176="","Facture",B176),"")</f>
        <v/>
      </c>
      <c r="AB176" s="62" t="str">
        <f>IF(AA176="","",IF(AA176="Avoir",p_pav,IF(AA176="Facture d'acompte",p_pac,p_pfa)))</f>
        <v/>
      </c>
      <c r="AC176" s="62">
        <f>IF(ISNUMBER(C176),C176,0)</f>
        <v>0.0</v>
      </c>
      <c r="AD176" s="62" t="str">
        <f>IF(OR(AA176="",AC176=0),"",YEAR(AC176))</f>
        <v/>
      </c>
      <c r="AE176" s="62" t="str">
        <f>IF(AD176="","",COUNTIFS($AB$6:AB176,AB176,$AD$6:AD176,AD176))</f>
        <v/>
      </c>
      <c r="AF176" s="62">
        <f>IF(A176="",0,COUNTIF(fl_doc,A176))</f>
        <v>0.0</v>
      </c>
      <c r="AG176" s="62" t="str">
        <f>IF(A176="","",IF(AF176&gt;0,"Facture",IF(AND(F176&lt;&gt;"",AA176="Facture",ISNUMBER(MATCH(F176,dv_num,0))),"Devis","")))</f>
        <v/>
      </c>
      <c r="AH176" s="62" t="str">
        <f>IF(AND(A176&lt;&gt;"",F176&lt;&gt;"",AA176&lt;&gt;"Avoir"),F176,"")</f>
        <v/>
      </c>
      <c r="AI176" s="62" t="str">
        <f>IF(AG176="Devis",F176,"")</f>
        <v/>
      </c>
      <c r="AJ176" s="62">
        <f>IF(AG176="Facture",SUMIF(fl_doc,A176,fl_ht),IF(AG176="Devis",SUMIF(dl_doc,F176,dl_ht),0))</f>
        <v>0.0</v>
      </c>
      <c r="AK176" s="62">
        <f>IF(OR(AG176="",INDEX(p_rates,1)=""),0,IF(AG176="Facture",SUMIFS(fl_ht,fl_doc,A176,fl_rate,INDEX(p_rates,1)),SUMIFS(dl_ht,dl_doc,F176,dl_rate,INDEX(p_rates,1))))</f>
        <v>0.0</v>
      </c>
      <c r="AL176" s="62">
        <f>IF(OR(AG176="",INDEX(p_rates,2)=""),0,IF(AG176="Facture",SUMIFS(fl_ht,fl_doc,A176,fl_rate,INDEX(p_rates,2)),SUMIFS(dl_ht,dl_doc,F176,dl_rate,INDEX(p_rates,2))))</f>
        <v>0.0</v>
      </c>
      <c r="AM176" s="62">
        <f>IF(OR(AG176="",INDEX(p_rates,3)=""),0,IF(AG176="Facture",SUMIFS(fl_ht,fl_doc,A176,fl_rate,INDEX(p_rates,3)),SUMIFS(dl_ht,dl_doc,F176,dl_rate,INDEX(p_rates,3))))</f>
        <v>0.0</v>
      </c>
      <c r="AN176" s="62">
        <f>IF(OR(AG176="",INDEX(p_rates,4)=""),0,IF(AG176="Facture",SUMIFS(fl_ht,fl_doc,A176,fl_rate,INDEX(p_rates,4)),SUMIFS(dl_ht,dl_doc,F176,dl_rate,INDEX(p_rates,4))))</f>
        <v>0.0</v>
      </c>
      <c r="AO176" s="62">
        <f>IF(OR(AG176="",INDEX(p_rates,5)=""),0,IF(AG176="Facture",SUMIFS(fl_ht,fl_doc,A176,fl_rate,INDEX(p_rates,5)),SUMIFS(dl_ht,dl_doc,F176,dl_rate,INDEX(p_rates,5))))</f>
        <v>0.0</v>
      </c>
      <c r="AP176" s="62">
        <f>IF(OR(AG176="",INDEX(p_rates,6)=""),0,IF(AG176="Facture",SUMIFS(fl_ht,fl_doc,A176,fl_rate,INDEX(p_rates,6)),SUMIFS(dl_ht,dl_doc,F176,dl_rate,INDEX(p_rates,6))))</f>
        <v>0.0</v>
      </c>
      <c r="AQ176" s="62">
        <f>ROUND(AK176*N(INDEX(p_rates,1)),2)+ROUND(AL176*N(INDEX(p_rates,2)),2)+ROUND(AM176*N(INDEX(p_rates,3)),2)+ROUND(AN176*N(INDEX(p_rates,4)),2)+ROUND(AO176*N(INDEX(p_rates,5)),2)+ROUND(AP176*N(INDEX(p_rates,6)),2)</f>
        <v>0.0</v>
      </c>
      <c r="AR176" s="62" t="str">
        <f>IF(OR(L176="",AA176&lt;&gt;"Facture"),"",IFERROR(IF(INDEX(fa_type,MATCH(L176,fa_num,0))="Facture d'acompte",MATCH(L176,fa_num,0),""),""))</f>
        <v/>
      </c>
      <c r="AS176" s="62" t="str">
        <f>IF(W176="","",IF(W176&lt;=0,"",IF(p_asof-P176&lt;=0,"Non échu",IF(p_asof-P176&lt;=30,"1-30 j",IF(p_asof-P176&lt;=60,"31-60 j",IF(p_asof-P176&lt;=90,"61-90 j","Plus de 90 j"))))))</f>
        <v/>
      </c>
      <c r="AT176" s="62" t="str">
        <f>IF(AS176="","",p_asof-P176)</f>
        <v/>
      </c>
      <c r="AU176" s="62" t="str">
        <f>IF(AT176="","",COUNTIF($AT$6:$AT$805,"&gt;"&amp;AT176)+COUNTIF($AT$6:AT176,AT176))</f>
        <v/>
      </c>
    </row>
    <row r="177">
      <c r="A177" s="59" t="str">
        <f>IF(AE177="","",AB177&amp;"-"&amp;AD177&amp;"-"&amp;RIGHT("000"&amp;AE177,4))</f>
        <v/>
      </c>
      <c r="B177" s="60" t="n"/>
      <c r="C177" s="61" t="n"/>
      <c r="D177" s="60" t="n"/>
      <c r="E177" s="62" t="str">
        <f>IF(D177="","",IFERROR(INDEX(cli_name,MATCH(D177,cli_code,0))&amp;"","Client inconnu"))</f>
        <v/>
      </c>
      <c r="F177" s="60" t="n"/>
      <c r="G177" s="63" t="n"/>
      <c r="H177" s="61" t="n"/>
      <c r="I177" s="63" t="n"/>
      <c r="J177" s="60" t="n"/>
      <c r="K177" s="61" t="n"/>
      <c r="L177" s="60" t="n"/>
      <c r="M177" s="60" t="n"/>
      <c r="N177" s="60" t="n"/>
      <c r="O177" s="61" t="n"/>
      <c r="P177" s="64" t="str">
        <f>IF(A177="","",IF(AA177="Avoir",AC177,IF(ISNUMBER(K177),K177,AC177+IF(D177="",N(p_delay),IFERROR(IF(ISNUMBER(INDEX(cli_delay,MATCH(D177,cli_code,0))),INDEX(cli_delay,MATCH(D177,cli_code,0)),N(p_delay)),N(p_delay))))))</f>
        <v/>
      </c>
      <c r="Q177" s="65" t="str">
        <f>IF(A177="","",IF(AA177="Avoir",-1,1)*ROUND(AJ177-IF(AR177="",0,INDEX(fa_htb,AR177)),2))</f>
        <v/>
      </c>
      <c r="R177" s="65" t="str">
        <f>IF(A177="","",IF(AA177="Avoir",-1,1)*ROUND(AQ177-IF(AR177="",0,INDEX(fa_tvab,AR177)),2))</f>
        <v/>
      </c>
      <c r="S177" s="65" t="str">
        <f>IF(A177="","",Q177+R177)</f>
        <v/>
      </c>
      <c r="T177" s="65" t="str">
        <f>IF(AR177="","",INDEX(fa_htb,AR177)+INDEX(fa_tvab,AR177))</f>
        <v/>
      </c>
      <c r="U177" s="65" t="str">
        <f>IF(A177="","",SUMIF(pa_inv,A177,pa_amt))</f>
        <v/>
      </c>
      <c r="V177" s="65" t="str">
        <f>IF(OR(A177="",AA177="Avoir"),"",-SUMIFS(fa_ttc,fa_avof,A177,fa_type,"Avoir"))</f>
        <v/>
      </c>
      <c r="W177" s="65" t="str">
        <f>IF(OR(A177="",AA177="Avoir"),"",ROUND(S177-U177-V177,2))</f>
        <v/>
      </c>
      <c r="X177" s="66" t="str">
        <f>IF(W177="","",IF(AND(W177&gt;0,p_asof&gt;P177),p_asof-P177,""))</f>
        <v/>
      </c>
      <c r="Y177" s="59" t="str">
        <f>IF(A177="","",IF(AA177="Avoir","Avoir",IF(W177&lt;0,"Trop-perçu",IF(W177=0,"Soldée",IF(p_asof&gt;P177,"En retard",IF(U177+V177&gt;0,"Partielle","À échoir"))))))</f>
        <v/>
      </c>
      <c r="Z177" s="59" t="str">
        <f>IF(NOT(COUNTA(B177:D177,F177:O177)&gt;0),"",IF(C177="","Date manquante",IF(NOT(ISNUMBER(C177)),"Date invalide",IF(D177="","Client manquant",IF(ISNA(MATCH(D177,cli_code,0)),"Client inconnu",IF(AC177&lt;SUMPRODUCT(MAX(($AB$6:AB176=AB177)*$AC$6:AC176)),"Date antérieure à la facture précédente",IF(AND(F177&lt;&gt;"",ISNA(MATCH(F177,dv_num,0))),"Devis inconnu",IF(AND(F177&lt;&gt;"",IFERROR(INDEX(dv_client,MATCH(F177,dv_num,0)),D177)&lt;&gt;D177),"Client différent de celui du devis",IF(AG177="","Aucune ligne : saisissez des lignes ou un devis",IF(AND(AI177&lt;&gt;"",COUNTIF($AI$6:AI177,AI177)&gt;1),"Devis déjà repris par une autre facture",IF(AND(AA177="Avoir",M177=""),"Avoir : indiquez la facture d'origine",IF(AND(AA177="Avoir",ISNA(MATCH(M177,fa_num,0))),"Facture d'origine inconnue",IF(AND(AA177&lt;&gt;"Avoir",M177&lt;&gt;""),"« Avoir sur facture » : réservé aux avoirs",IF(AND(L177&lt;&gt;"",AA177&lt;&gt;"Facture"),"Acompte à déduire : réservé aux factures",IF(AND(L177&lt;&gt;"",ISNA(MATCH(L177,fa_num,0))),"Facture d'acompte inconnue",IF(AND(L177&lt;&gt;"",IFERROR(INDEX(fa_type,MATCH(L177,fa_num,0)),"")&lt;&gt;"Facture d'acompte"),"Le n° à déduire n'est pas une facture d'acompte",IF(AND(L177&lt;&gt;"",COUNTIF($L$6:L177,L177)&gt;1),"Acompte déjà déduit sur une autre facture",IF(AND(L177&lt;&gt;"",IFERROR(INDEX(fa_client,MATCH(L177,fa_num,0)),D177)&lt;&gt;D177),"Acompte d'un autre client",IF(AND(AR177&lt;&gt;"",N(Q177)&lt;0),"Acompte supérieur au total de la facture",IF(IF(AG177="Facture",COUNTIFS(fl_doc,A177,fl_check,"&lt;&gt;OK"),IF(AG177="Devis",COUNTIFS(dl_doc,F177,dl_check,"&lt;&gt;OK"),0))&gt;0,"Ligne(s) à corriger",IF(AND(W177&lt;&gt;"",N(W177)&lt;0),"Trop-perçu : vérifiez paiements et avoirs","OK")))))))))))))))))))))</f>
        <v/>
      </c>
      <c r="AA177" s="62" t="str">
        <f>IF(COUNTA(B177:D177,F177:O177)&gt;0,IF(B177="","Facture",B177),"")</f>
        <v/>
      </c>
      <c r="AB177" s="62" t="str">
        <f>IF(AA177="","",IF(AA177="Avoir",p_pav,IF(AA177="Facture d'acompte",p_pac,p_pfa)))</f>
        <v/>
      </c>
      <c r="AC177" s="62">
        <f>IF(ISNUMBER(C177),C177,0)</f>
        <v>0.0</v>
      </c>
      <c r="AD177" s="62" t="str">
        <f>IF(OR(AA177="",AC177=0),"",YEAR(AC177))</f>
        <v/>
      </c>
      <c r="AE177" s="62" t="str">
        <f>IF(AD177="","",COUNTIFS($AB$6:AB177,AB177,$AD$6:AD177,AD177))</f>
        <v/>
      </c>
      <c r="AF177" s="62">
        <f>IF(A177="",0,COUNTIF(fl_doc,A177))</f>
        <v>0.0</v>
      </c>
      <c r="AG177" s="62" t="str">
        <f>IF(A177="","",IF(AF177&gt;0,"Facture",IF(AND(F177&lt;&gt;"",AA177="Facture",ISNUMBER(MATCH(F177,dv_num,0))),"Devis","")))</f>
        <v/>
      </c>
      <c r="AH177" s="62" t="str">
        <f>IF(AND(A177&lt;&gt;"",F177&lt;&gt;"",AA177&lt;&gt;"Avoir"),F177,"")</f>
        <v/>
      </c>
      <c r="AI177" s="62" t="str">
        <f>IF(AG177="Devis",F177,"")</f>
        <v/>
      </c>
      <c r="AJ177" s="62">
        <f>IF(AG177="Facture",SUMIF(fl_doc,A177,fl_ht),IF(AG177="Devis",SUMIF(dl_doc,F177,dl_ht),0))</f>
        <v>0.0</v>
      </c>
      <c r="AK177" s="62">
        <f>IF(OR(AG177="",INDEX(p_rates,1)=""),0,IF(AG177="Facture",SUMIFS(fl_ht,fl_doc,A177,fl_rate,INDEX(p_rates,1)),SUMIFS(dl_ht,dl_doc,F177,dl_rate,INDEX(p_rates,1))))</f>
        <v>0.0</v>
      </c>
      <c r="AL177" s="62">
        <f>IF(OR(AG177="",INDEX(p_rates,2)=""),0,IF(AG177="Facture",SUMIFS(fl_ht,fl_doc,A177,fl_rate,INDEX(p_rates,2)),SUMIFS(dl_ht,dl_doc,F177,dl_rate,INDEX(p_rates,2))))</f>
        <v>0.0</v>
      </c>
      <c r="AM177" s="62">
        <f>IF(OR(AG177="",INDEX(p_rates,3)=""),0,IF(AG177="Facture",SUMIFS(fl_ht,fl_doc,A177,fl_rate,INDEX(p_rates,3)),SUMIFS(dl_ht,dl_doc,F177,dl_rate,INDEX(p_rates,3))))</f>
        <v>0.0</v>
      </c>
      <c r="AN177" s="62">
        <f>IF(OR(AG177="",INDEX(p_rates,4)=""),0,IF(AG177="Facture",SUMIFS(fl_ht,fl_doc,A177,fl_rate,INDEX(p_rates,4)),SUMIFS(dl_ht,dl_doc,F177,dl_rate,INDEX(p_rates,4))))</f>
        <v>0.0</v>
      </c>
      <c r="AO177" s="62">
        <f>IF(OR(AG177="",INDEX(p_rates,5)=""),0,IF(AG177="Facture",SUMIFS(fl_ht,fl_doc,A177,fl_rate,INDEX(p_rates,5)),SUMIFS(dl_ht,dl_doc,F177,dl_rate,INDEX(p_rates,5))))</f>
        <v>0.0</v>
      </c>
      <c r="AP177" s="62">
        <f>IF(OR(AG177="",INDEX(p_rates,6)=""),0,IF(AG177="Facture",SUMIFS(fl_ht,fl_doc,A177,fl_rate,INDEX(p_rates,6)),SUMIFS(dl_ht,dl_doc,F177,dl_rate,INDEX(p_rates,6))))</f>
        <v>0.0</v>
      </c>
      <c r="AQ177" s="62">
        <f>ROUND(AK177*N(INDEX(p_rates,1)),2)+ROUND(AL177*N(INDEX(p_rates,2)),2)+ROUND(AM177*N(INDEX(p_rates,3)),2)+ROUND(AN177*N(INDEX(p_rates,4)),2)+ROUND(AO177*N(INDEX(p_rates,5)),2)+ROUND(AP177*N(INDEX(p_rates,6)),2)</f>
        <v>0.0</v>
      </c>
      <c r="AR177" s="62" t="str">
        <f>IF(OR(L177="",AA177&lt;&gt;"Facture"),"",IFERROR(IF(INDEX(fa_type,MATCH(L177,fa_num,0))="Facture d'acompte",MATCH(L177,fa_num,0),""),""))</f>
        <v/>
      </c>
      <c r="AS177" s="62" t="str">
        <f>IF(W177="","",IF(W177&lt;=0,"",IF(p_asof-P177&lt;=0,"Non échu",IF(p_asof-P177&lt;=30,"1-30 j",IF(p_asof-P177&lt;=60,"31-60 j",IF(p_asof-P177&lt;=90,"61-90 j","Plus de 90 j"))))))</f>
        <v/>
      </c>
      <c r="AT177" s="62" t="str">
        <f>IF(AS177="","",p_asof-P177)</f>
        <v/>
      </c>
      <c r="AU177" s="62" t="str">
        <f>IF(AT177="","",COUNTIF($AT$6:$AT$805,"&gt;"&amp;AT177)+COUNTIF($AT$6:AT177,AT177))</f>
        <v/>
      </c>
    </row>
    <row r="178">
      <c r="A178" s="59" t="str">
        <f>IF(AE178="","",AB178&amp;"-"&amp;AD178&amp;"-"&amp;RIGHT("000"&amp;AE178,4))</f>
        <v/>
      </c>
      <c r="B178" s="60" t="n"/>
      <c r="C178" s="61" t="n"/>
      <c r="D178" s="60" t="n"/>
      <c r="E178" s="62" t="str">
        <f>IF(D178="","",IFERROR(INDEX(cli_name,MATCH(D178,cli_code,0))&amp;"","Client inconnu"))</f>
        <v/>
      </c>
      <c r="F178" s="60" t="n"/>
      <c r="G178" s="63" t="n"/>
      <c r="H178" s="61" t="n"/>
      <c r="I178" s="63" t="n"/>
      <c r="J178" s="60" t="n"/>
      <c r="K178" s="61" t="n"/>
      <c r="L178" s="60" t="n"/>
      <c r="M178" s="60" t="n"/>
      <c r="N178" s="60" t="n"/>
      <c r="O178" s="61" t="n"/>
      <c r="P178" s="64" t="str">
        <f>IF(A178="","",IF(AA178="Avoir",AC178,IF(ISNUMBER(K178),K178,AC178+IF(D178="",N(p_delay),IFERROR(IF(ISNUMBER(INDEX(cli_delay,MATCH(D178,cli_code,0))),INDEX(cli_delay,MATCH(D178,cli_code,0)),N(p_delay)),N(p_delay))))))</f>
        <v/>
      </c>
      <c r="Q178" s="65" t="str">
        <f>IF(A178="","",IF(AA178="Avoir",-1,1)*ROUND(AJ178-IF(AR178="",0,INDEX(fa_htb,AR178)),2))</f>
        <v/>
      </c>
      <c r="R178" s="65" t="str">
        <f>IF(A178="","",IF(AA178="Avoir",-1,1)*ROUND(AQ178-IF(AR178="",0,INDEX(fa_tvab,AR178)),2))</f>
        <v/>
      </c>
      <c r="S178" s="65" t="str">
        <f>IF(A178="","",Q178+R178)</f>
        <v/>
      </c>
      <c r="T178" s="65" t="str">
        <f>IF(AR178="","",INDEX(fa_htb,AR178)+INDEX(fa_tvab,AR178))</f>
        <v/>
      </c>
      <c r="U178" s="65" t="str">
        <f>IF(A178="","",SUMIF(pa_inv,A178,pa_amt))</f>
        <v/>
      </c>
      <c r="V178" s="65" t="str">
        <f>IF(OR(A178="",AA178="Avoir"),"",-SUMIFS(fa_ttc,fa_avof,A178,fa_type,"Avoir"))</f>
        <v/>
      </c>
      <c r="W178" s="65" t="str">
        <f>IF(OR(A178="",AA178="Avoir"),"",ROUND(S178-U178-V178,2))</f>
        <v/>
      </c>
      <c r="X178" s="66" t="str">
        <f>IF(W178="","",IF(AND(W178&gt;0,p_asof&gt;P178),p_asof-P178,""))</f>
        <v/>
      </c>
      <c r="Y178" s="59" t="str">
        <f>IF(A178="","",IF(AA178="Avoir","Avoir",IF(W178&lt;0,"Trop-perçu",IF(W178=0,"Soldée",IF(p_asof&gt;P178,"En retard",IF(U178+V178&gt;0,"Partielle","À échoir"))))))</f>
        <v/>
      </c>
      <c r="Z178" s="59" t="str">
        <f>IF(NOT(COUNTA(B178:D178,F178:O178)&gt;0),"",IF(C178="","Date manquante",IF(NOT(ISNUMBER(C178)),"Date invalide",IF(D178="","Client manquant",IF(ISNA(MATCH(D178,cli_code,0)),"Client inconnu",IF(AC178&lt;SUMPRODUCT(MAX(($AB$6:AB177=AB178)*$AC$6:AC177)),"Date antérieure à la facture précédente",IF(AND(F178&lt;&gt;"",ISNA(MATCH(F178,dv_num,0))),"Devis inconnu",IF(AND(F178&lt;&gt;"",IFERROR(INDEX(dv_client,MATCH(F178,dv_num,0)),D178)&lt;&gt;D178),"Client différent de celui du devis",IF(AG178="","Aucune ligne : saisissez des lignes ou un devis",IF(AND(AI178&lt;&gt;"",COUNTIF($AI$6:AI178,AI178)&gt;1),"Devis déjà repris par une autre facture",IF(AND(AA178="Avoir",M178=""),"Avoir : indiquez la facture d'origine",IF(AND(AA178="Avoir",ISNA(MATCH(M178,fa_num,0))),"Facture d'origine inconnue",IF(AND(AA178&lt;&gt;"Avoir",M178&lt;&gt;""),"« Avoir sur facture » : réservé aux avoirs",IF(AND(L178&lt;&gt;"",AA178&lt;&gt;"Facture"),"Acompte à déduire : réservé aux factures",IF(AND(L178&lt;&gt;"",ISNA(MATCH(L178,fa_num,0))),"Facture d'acompte inconnue",IF(AND(L178&lt;&gt;"",IFERROR(INDEX(fa_type,MATCH(L178,fa_num,0)),"")&lt;&gt;"Facture d'acompte"),"Le n° à déduire n'est pas une facture d'acompte",IF(AND(L178&lt;&gt;"",COUNTIF($L$6:L178,L178)&gt;1),"Acompte déjà déduit sur une autre facture",IF(AND(L178&lt;&gt;"",IFERROR(INDEX(fa_client,MATCH(L178,fa_num,0)),D178)&lt;&gt;D178),"Acompte d'un autre client",IF(AND(AR178&lt;&gt;"",N(Q178)&lt;0),"Acompte supérieur au total de la facture",IF(IF(AG178="Facture",COUNTIFS(fl_doc,A178,fl_check,"&lt;&gt;OK"),IF(AG178="Devis",COUNTIFS(dl_doc,F178,dl_check,"&lt;&gt;OK"),0))&gt;0,"Ligne(s) à corriger",IF(AND(W178&lt;&gt;"",N(W178)&lt;0),"Trop-perçu : vérifiez paiements et avoirs","OK")))))))))))))))))))))</f>
        <v/>
      </c>
      <c r="AA178" s="62" t="str">
        <f>IF(COUNTA(B178:D178,F178:O178)&gt;0,IF(B178="","Facture",B178),"")</f>
        <v/>
      </c>
      <c r="AB178" s="62" t="str">
        <f>IF(AA178="","",IF(AA178="Avoir",p_pav,IF(AA178="Facture d'acompte",p_pac,p_pfa)))</f>
        <v/>
      </c>
      <c r="AC178" s="62">
        <f>IF(ISNUMBER(C178),C178,0)</f>
        <v>0.0</v>
      </c>
      <c r="AD178" s="62" t="str">
        <f>IF(OR(AA178="",AC178=0),"",YEAR(AC178))</f>
        <v/>
      </c>
      <c r="AE178" s="62" t="str">
        <f>IF(AD178="","",COUNTIFS($AB$6:AB178,AB178,$AD$6:AD178,AD178))</f>
        <v/>
      </c>
      <c r="AF178" s="62">
        <f>IF(A178="",0,COUNTIF(fl_doc,A178))</f>
        <v>0.0</v>
      </c>
      <c r="AG178" s="62" t="str">
        <f>IF(A178="","",IF(AF178&gt;0,"Facture",IF(AND(F178&lt;&gt;"",AA178="Facture",ISNUMBER(MATCH(F178,dv_num,0))),"Devis","")))</f>
        <v/>
      </c>
      <c r="AH178" s="62" t="str">
        <f>IF(AND(A178&lt;&gt;"",F178&lt;&gt;"",AA178&lt;&gt;"Avoir"),F178,"")</f>
        <v/>
      </c>
      <c r="AI178" s="62" t="str">
        <f>IF(AG178="Devis",F178,"")</f>
        <v/>
      </c>
      <c r="AJ178" s="62">
        <f>IF(AG178="Facture",SUMIF(fl_doc,A178,fl_ht),IF(AG178="Devis",SUMIF(dl_doc,F178,dl_ht),0))</f>
        <v>0.0</v>
      </c>
      <c r="AK178" s="62">
        <f>IF(OR(AG178="",INDEX(p_rates,1)=""),0,IF(AG178="Facture",SUMIFS(fl_ht,fl_doc,A178,fl_rate,INDEX(p_rates,1)),SUMIFS(dl_ht,dl_doc,F178,dl_rate,INDEX(p_rates,1))))</f>
        <v>0.0</v>
      </c>
      <c r="AL178" s="62">
        <f>IF(OR(AG178="",INDEX(p_rates,2)=""),0,IF(AG178="Facture",SUMIFS(fl_ht,fl_doc,A178,fl_rate,INDEX(p_rates,2)),SUMIFS(dl_ht,dl_doc,F178,dl_rate,INDEX(p_rates,2))))</f>
        <v>0.0</v>
      </c>
      <c r="AM178" s="62">
        <f>IF(OR(AG178="",INDEX(p_rates,3)=""),0,IF(AG178="Facture",SUMIFS(fl_ht,fl_doc,A178,fl_rate,INDEX(p_rates,3)),SUMIFS(dl_ht,dl_doc,F178,dl_rate,INDEX(p_rates,3))))</f>
        <v>0.0</v>
      </c>
      <c r="AN178" s="62">
        <f>IF(OR(AG178="",INDEX(p_rates,4)=""),0,IF(AG178="Facture",SUMIFS(fl_ht,fl_doc,A178,fl_rate,INDEX(p_rates,4)),SUMIFS(dl_ht,dl_doc,F178,dl_rate,INDEX(p_rates,4))))</f>
        <v>0.0</v>
      </c>
      <c r="AO178" s="62">
        <f>IF(OR(AG178="",INDEX(p_rates,5)=""),0,IF(AG178="Facture",SUMIFS(fl_ht,fl_doc,A178,fl_rate,INDEX(p_rates,5)),SUMIFS(dl_ht,dl_doc,F178,dl_rate,INDEX(p_rates,5))))</f>
        <v>0.0</v>
      </c>
      <c r="AP178" s="62">
        <f>IF(OR(AG178="",INDEX(p_rates,6)=""),0,IF(AG178="Facture",SUMIFS(fl_ht,fl_doc,A178,fl_rate,INDEX(p_rates,6)),SUMIFS(dl_ht,dl_doc,F178,dl_rate,INDEX(p_rates,6))))</f>
        <v>0.0</v>
      </c>
      <c r="AQ178" s="62">
        <f>ROUND(AK178*N(INDEX(p_rates,1)),2)+ROUND(AL178*N(INDEX(p_rates,2)),2)+ROUND(AM178*N(INDEX(p_rates,3)),2)+ROUND(AN178*N(INDEX(p_rates,4)),2)+ROUND(AO178*N(INDEX(p_rates,5)),2)+ROUND(AP178*N(INDEX(p_rates,6)),2)</f>
        <v>0.0</v>
      </c>
      <c r="AR178" s="62" t="str">
        <f>IF(OR(L178="",AA178&lt;&gt;"Facture"),"",IFERROR(IF(INDEX(fa_type,MATCH(L178,fa_num,0))="Facture d'acompte",MATCH(L178,fa_num,0),""),""))</f>
        <v/>
      </c>
      <c r="AS178" s="62" t="str">
        <f>IF(W178="","",IF(W178&lt;=0,"",IF(p_asof-P178&lt;=0,"Non échu",IF(p_asof-P178&lt;=30,"1-30 j",IF(p_asof-P178&lt;=60,"31-60 j",IF(p_asof-P178&lt;=90,"61-90 j","Plus de 90 j"))))))</f>
        <v/>
      </c>
      <c r="AT178" s="62" t="str">
        <f>IF(AS178="","",p_asof-P178)</f>
        <v/>
      </c>
      <c r="AU178" s="62" t="str">
        <f>IF(AT178="","",COUNTIF($AT$6:$AT$805,"&gt;"&amp;AT178)+COUNTIF($AT$6:AT178,AT178))</f>
        <v/>
      </c>
    </row>
    <row r="179">
      <c r="A179" s="59" t="str">
        <f>IF(AE179="","",AB179&amp;"-"&amp;AD179&amp;"-"&amp;RIGHT("000"&amp;AE179,4))</f>
        <v/>
      </c>
      <c r="B179" s="60" t="n"/>
      <c r="C179" s="61" t="n"/>
      <c r="D179" s="60" t="n"/>
      <c r="E179" s="62" t="str">
        <f>IF(D179="","",IFERROR(INDEX(cli_name,MATCH(D179,cli_code,0))&amp;"","Client inconnu"))</f>
        <v/>
      </c>
      <c r="F179" s="60" t="n"/>
      <c r="G179" s="63" t="n"/>
      <c r="H179" s="61" t="n"/>
      <c r="I179" s="63" t="n"/>
      <c r="J179" s="60" t="n"/>
      <c r="K179" s="61" t="n"/>
      <c r="L179" s="60" t="n"/>
      <c r="M179" s="60" t="n"/>
      <c r="N179" s="60" t="n"/>
      <c r="O179" s="61" t="n"/>
      <c r="P179" s="64" t="str">
        <f>IF(A179="","",IF(AA179="Avoir",AC179,IF(ISNUMBER(K179),K179,AC179+IF(D179="",N(p_delay),IFERROR(IF(ISNUMBER(INDEX(cli_delay,MATCH(D179,cli_code,0))),INDEX(cli_delay,MATCH(D179,cli_code,0)),N(p_delay)),N(p_delay))))))</f>
        <v/>
      </c>
      <c r="Q179" s="65" t="str">
        <f>IF(A179="","",IF(AA179="Avoir",-1,1)*ROUND(AJ179-IF(AR179="",0,INDEX(fa_htb,AR179)),2))</f>
        <v/>
      </c>
      <c r="R179" s="65" t="str">
        <f>IF(A179="","",IF(AA179="Avoir",-1,1)*ROUND(AQ179-IF(AR179="",0,INDEX(fa_tvab,AR179)),2))</f>
        <v/>
      </c>
      <c r="S179" s="65" t="str">
        <f>IF(A179="","",Q179+R179)</f>
        <v/>
      </c>
      <c r="T179" s="65" t="str">
        <f>IF(AR179="","",INDEX(fa_htb,AR179)+INDEX(fa_tvab,AR179))</f>
        <v/>
      </c>
      <c r="U179" s="65" t="str">
        <f>IF(A179="","",SUMIF(pa_inv,A179,pa_amt))</f>
        <v/>
      </c>
      <c r="V179" s="65" t="str">
        <f>IF(OR(A179="",AA179="Avoir"),"",-SUMIFS(fa_ttc,fa_avof,A179,fa_type,"Avoir"))</f>
        <v/>
      </c>
      <c r="W179" s="65" t="str">
        <f>IF(OR(A179="",AA179="Avoir"),"",ROUND(S179-U179-V179,2))</f>
        <v/>
      </c>
      <c r="X179" s="66" t="str">
        <f>IF(W179="","",IF(AND(W179&gt;0,p_asof&gt;P179),p_asof-P179,""))</f>
        <v/>
      </c>
      <c r="Y179" s="59" t="str">
        <f>IF(A179="","",IF(AA179="Avoir","Avoir",IF(W179&lt;0,"Trop-perçu",IF(W179=0,"Soldée",IF(p_asof&gt;P179,"En retard",IF(U179+V179&gt;0,"Partielle","À échoir"))))))</f>
        <v/>
      </c>
      <c r="Z179" s="59" t="str">
        <f>IF(NOT(COUNTA(B179:D179,F179:O179)&gt;0),"",IF(C179="","Date manquante",IF(NOT(ISNUMBER(C179)),"Date invalide",IF(D179="","Client manquant",IF(ISNA(MATCH(D179,cli_code,0)),"Client inconnu",IF(AC179&lt;SUMPRODUCT(MAX(($AB$6:AB178=AB179)*$AC$6:AC178)),"Date antérieure à la facture précédente",IF(AND(F179&lt;&gt;"",ISNA(MATCH(F179,dv_num,0))),"Devis inconnu",IF(AND(F179&lt;&gt;"",IFERROR(INDEX(dv_client,MATCH(F179,dv_num,0)),D179)&lt;&gt;D179),"Client différent de celui du devis",IF(AG179="","Aucune ligne : saisissez des lignes ou un devis",IF(AND(AI179&lt;&gt;"",COUNTIF($AI$6:AI179,AI179)&gt;1),"Devis déjà repris par une autre facture",IF(AND(AA179="Avoir",M179=""),"Avoir : indiquez la facture d'origine",IF(AND(AA179="Avoir",ISNA(MATCH(M179,fa_num,0))),"Facture d'origine inconnue",IF(AND(AA179&lt;&gt;"Avoir",M179&lt;&gt;""),"« Avoir sur facture » : réservé aux avoirs",IF(AND(L179&lt;&gt;"",AA179&lt;&gt;"Facture"),"Acompte à déduire : réservé aux factures",IF(AND(L179&lt;&gt;"",ISNA(MATCH(L179,fa_num,0))),"Facture d'acompte inconnue",IF(AND(L179&lt;&gt;"",IFERROR(INDEX(fa_type,MATCH(L179,fa_num,0)),"")&lt;&gt;"Facture d'acompte"),"Le n° à déduire n'est pas une facture d'acompte",IF(AND(L179&lt;&gt;"",COUNTIF($L$6:L179,L179)&gt;1),"Acompte déjà déduit sur une autre facture",IF(AND(L179&lt;&gt;"",IFERROR(INDEX(fa_client,MATCH(L179,fa_num,0)),D179)&lt;&gt;D179),"Acompte d'un autre client",IF(AND(AR179&lt;&gt;"",N(Q179)&lt;0),"Acompte supérieur au total de la facture",IF(IF(AG179="Facture",COUNTIFS(fl_doc,A179,fl_check,"&lt;&gt;OK"),IF(AG179="Devis",COUNTIFS(dl_doc,F179,dl_check,"&lt;&gt;OK"),0))&gt;0,"Ligne(s) à corriger",IF(AND(W179&lt;&gt;"",N(W179)&lt;0),"Trop-perçu : vérifiez paiements et avoirs","OK")))))))))))))))))))))</f>
        <v/>
      </c>
      <c r="AA179" s="62" t="str">
        <f>IF(COUNTA(B179:D179,F179:O179)&gt;0,IF(B179="","Facture",B179),"")</f>
        <v/>
      </c>
      <c r="AB179" s="62" t="str">
        <f>IF(AA179="","",IF(AA179="Avoir",p_pav,IF(AA179="Facture d'acompte",p_pac,p_pfa)))</f>
        <v/>
      </c>
      <c r="AC179" s="62">
        <f>IF(ISNUMBER(C179),C179,0)</f>
        <v>0.0</v>
      </c>
      <c r="AD179" s="62" t="str">
        <f>IF(OR(AA179="",AC179=0),"",YEAR(AC179))</f>
        <v/>
      </c>
      <c r="AE179" s="62" t="str">
        <f>IF(AD179="","",COUNTIFS($AB$6:AB179,AB179,$AD$6:AD179,AD179))</f>
        <v/>
      </c>
      <c r="AF179" s="62">
        <f>IF(A179="",0,COUNTIF(fl_doc,A179))</f>
        <v>0.0</v>
      </c>
      <c r="AG179" s="62" t="str">
        <f>IF(A179="","",IF(AF179&gt;0,"Facture",IF(AND(F179&lt;&gt;"",AA179="Facture",ISNUMBER(MATCH(F179,dv_num,0))),"Devis","")))</f>
        <v/>
      </c>
      <c r="AH179" s="62" t="str">
        <f>IF(AND(A179&lt;&gt;"",F179&lt;&gt;"",AA179&lt;&gt;"Avoir"),F179,"")</f>
        <v/>
      </c>
      <c r="AI179" s="62" t="str">
        <f>IF(AG179="Devis",F179,"")</f>
        <v/>
      </c>
      <c r="AJ179" s="62">
        <f>IF(AG179="Facture",SUMIF(fl_doc,A179,fl_ht),IF(AG179="Devis",SUMIF(dl_doc,F179,dl_ht),0))</f>
        <v>0.0</v>
      </c>
      <c r="AK179" s="62">
        <f>IF(OR(AG179="",INDEX(p_rates,1)=""),0,IF(AG179="Facture",SUMIFS(fl_ht,fl_doc,A179,fl_rate,INDEX(p_rates,1)),SUMIFS(dl_ht,dl_doc,F179,dl_rate,INDEX(p_rates,1))))</f>
        <v>0.0</v>
      </c>
      <c r="AL179" s="62">
        <f>IF(OR(AG179="",INDEX(p_rates,2)=""),0,IF(AG179="Facture",SUMIFS(fl_ht,fl_doc,A179,fl_rate,INDEX(p_rates,2)),SUMIFS(dl_ht,dl_doc,F179,dl_rate,INDEX(p_rates,2))))</f>
        <v>0.0</v>
      </c>
      <c r="AM179" s="62">
        <f>IF(OR(AG179="",INDEX(p_rates,3)=""),0,IF(AG179="Facture",SUMIFS(fl_ht,fl_doc,A179,fl_rate,INDEX(p_rates,3)),SUMIFS(dl_ht,dl_doc,F179,dl_rate,INDEX(p_rates,3))))</f>
        <v>0.0</v>
      </c>
      <c r="AN179" s="62">
        <f>IF(OR(AG179="",INDEX(p_rates,4)=""),0,IF(AG179="Facture",SUMIFS(fl_ht,fl_doc,A179,fl_rate,INDEX(p_rates,4)),SUMIFS(dl_ht,dl_doc,F179,dl_rate,INDEX(p_rates,4))))</f>
        <v>0.0</v>
      </c>
      <c r="AO179" s="62">
        <f>IF(OR(AG179="",INDEX(p_rates,5)=""),0,IF(AG179="Facture",SUMIFS(fl_ht,fl_doc,A179,fl_rate,INDEX(p_rates,5)),SUMIFS(dl_ht,dl_doc,F179,dl_rate,INDEX(p_rates,5))))</f>
        <v>0.0</v>
      </c>
      <c r="AP179" s="62">
        <f>IF(OR(AG179="",INDEX(p_rates,6)=""),0,IF(AG179="Facture",SUMIFS(fl_ht,fl_doc,A179,fl_rate,INDEX(p_rates,6)),SUMIFS(dl_ht,dl_doc,F179,dl_rate,INDEX(p_rates,6))))</f>
        <v>0.0</v>
      </c>
      <c r="AQ179" s="62">
        <f>ROUND(AK179*N(INDEX(p_rates,1)),2)+ROUND(AL179*N(INDEX(p_rates,2)),2)+ROUND(AM179*N(INDEX(p_rates,3)),2)+ROUND(AN179*N(INDEX(p_rates,4)),2)+ROUND(AO179*N(INDEX(p_rates,5)),2)+ROUND(AP179*N(INDEX(p_rates,6)),2)</f>
        <v>0.0</v>
      </c>
      <c r="AR179" s="62" t="str">
        <f>IF(OR(L179="",AA179&lt;&gt;"Facture"),"",IFERROR(IF(INDEX(fa_type,MATCH(L179,fa_num,0))="Facture d'acompte",MATCH(L179,fa_num,0),""),""))</f>
        <v/>
      </c>
      <c r="AS179" s="62" t="str">
        <f>IF(W179="","",IF(W179&lt;=0,"",IF(p_asof-P179&lt;=0,"Non échu",IF(p_asof-P179&lt;=30,"1-30 j",IF(p_asof-P179&lt;=60,"31-60 j",IF(p_asof-P179&lt;=90,"61-90 j","Plus de 90 j"))))))</f>
        <v/>
      </c>
      <c r="AT179" s="62" t="str">
        <f>IF(AS179="","",p_asof-P179)</f>
        <v/>
      </c>
      <c r="AU179" s="62" t="str">
        <f>IF(AT179="","",COUNTIF($AT$6:$AT$805,"&gt;"&amp;AT179)+COUNTIF($AT$6:AT179,AT179))</f>
        <v/>
      </c>
    </row>
    <row r="180">
      <c r="A180" s="59" t="str">
        <f>IF(AE180="","",AB180&amp;"-"&amp;AD180&amp;"-"&amp;RIGHT("000"&amp;AE180,4))</f>
        <v/>
      </c>
      <c r="B180" s="60" t="n"/>
      <c r="C180" s="61" t="n"/>
      <c r="D180" s="60" t="n"/>
      <c r="E180" s="62" t="str">
        <f>IF(D180="","",IFERROR(INDEX(cli_name,MATCH(D180,cli_code,0))&amp;"","Client inconnu"))</f>
        <v/>
      </c>
      <c r="F180" s="60" t="n"/>
      <c r="G180" s="63" t="n"/>
      <c r="H180" s="61" t="n"/>
      <c r="I180" s="63" t="n"/>
      <c r="J180" s="60" t="n"/>
      <c r="K180" s="61" t="n"/>
      <c r="L180" s="60" t="n"/>
      <c r="M180" s="60" t="n"/>
      <c r="N180" s="60" t="n"/>
      <c r="O180" s="61" t="n"/>
      <c r="P180" s="64" t="str">
        <f>IF(A180="","",IF(AA180="Avoir",AC180,IF(ISNUMBER(K180),K180,AC180+IF(D180="",N(p_delay),IFERROR(IF(ISNUMBER(INDEX(cli_delay,MATCH(D180,cli_code,0))),INDEX(cli_delay,MATCH(D180,cli_code,0)),N(p_delay)),N(p_delay))))))</f>
        <v/>
      </c>
      <c r="Q180" s="65" t="str">
        <f>IF(A180="","",IF(AA180="Avoir",-1,1)*ROUND(AJ180-IF(AR180="",0,INDEX(fa_htb,AR180)),2))</f>
        <v/>
      </c>
      <c r="R180" s="65" t="str">
        <f>IF(A180="","",IF(AA180="Avoir",-1,1)*ROUND(AQ180-IF(AR180="",0,INDEX(fa_tvab,AR180)),2))</f>
        <v/>
      </c>
      <c r="S180" s="65" t="str">
        <f>IF(A180="","",Q180+R180)</f>
        <v/>
      </c>
      <c r="T180" s="65" t="str">
        <f>IF(AR180="","",INDEX(fa_htb,AR180)+INDEX(fa_tvab,AR180))</f>
        <v/>
      </c>
      <c r="U180" s="65" t="str">
        <f>IF(A180="","",SUMIF(pa_inv,A180,pa_amt))</f>
        <v/>
      </c>
      <c r="V180" s="65" t="str">
        <f>IF(OR(A180="",AA180="Avoir"),"",-SUMIFS(fa_ttc,fa_avof,A180,fa_type,"Avoir"))</f>
        <v/>
      </c>
      <c r="W180" s="65" t="str">
        <f>IF(OR(A180="",AA180="Avoir"),"",ROUND(S180-U180-V180,2))</f>
        <v/>
      </c>
      <c r="X180" s="66" t="str">
        <f>IF(W180="","",IF(AND(W180&gt;0,p_asof&gt;P180),p_asof-P180,""))</f>
        <v/>
      </c>
      <c r="Y180" s="59" t="str">
        <f>IF(A180="","",IF(AA180="Avoir","Avoir",IF(W180&lt;0,"Trop-perçu",IF(W180=0,"Soldée",IF(p_asof&gt;P180,"En retard",IF(U180+V180&gt;0,"Partielle","À échoir"))))))</f>
        <v/>
      </c>
      <c r="Z180" s="59" t="str">
        <f>IF(NOT(COUNTA(B180:D180,F180:O180)&gt;0),"",IF(C180="","Date manquante",IF(NOT(ISNUMBER(C180)),"Date invalide",IF(D180="","Client manquant",IF(ISNA(MATCH(D180,cli_code,0)),"Client inconnu",IF(AC180&lt;SUMPRODUCT(MAX(($AB$6:AB179=AB180)*$AC$6:AC179)),"Date antérieure à la facture précédente",IF(AND(F180&lt;&gt;"",ISNA(MATCH(F180,dv_num,0))),"Devis inconnu",IF(AND(F180&lt;&gt;"",IFERROR(INDEX(dv_client,MATCH(F180,dv_num,0)),D180)&lt;&gt;D180),"Client différent de celui du devis",IF(AG180="","Aucune ligne : saisissez des lignes ou un devis",IF(AND(AI180&lt;&gt;"",COUNTIF($AI$6:AI180,AI180)&gt;1),"Devis déjà repris par une autre facture",IF(AND(AA180="Avoir",M180=""),"Avoir : indiquez la facture d'origine",IF(AND(AA180="Avoir",ISNA(MATCH(M180,fa_num,0))),"Facture d'origine inconnue",IF(AND(AA180&lt;&gt;"Avoir",M180&lt;&gt;""),"« Avoir sur facture » : réservé aux avoirs",IF(AND(L180&lt;&gt;"",AA180&lt;&gt;"Facture"),"Acompte à déduire : réservé aux factures",IF(AND(L180&lt;&gt;"",ISNA(MATCH(L180,fa_num,0))),"Facture d'acompte inconnue",IF(AND(L180&lt;&gt;"",IFERROR(INDEX(fa_type,MATCH(L180,fa_num,0)),"")&lt;&gt;"Facture d'acompte"),"Le n° à déduire n'est pas une facture d'acompte",IF(AND(L180&lt;&gt;"",COUNTIF($L$6:L180,L180)&gt;1),"Acompte déjà déduit sur une autre facture",IF(AND(L180&lt;&gt;"",IFERROR(INDEX(fa_client,MATCH(L180,fa_num,0)),D180)&lt;&gt;D180),"Acompte d'un autre client",IF(AND(AR180&lt;&gt;"",N(Q180)&lt;0),"Acompte supérieur au total de la facture",IF(IF(AG180="Facture",COUNTIFS(fl_doc,A180,fl_check,"&lt;&gt;OK"),IF(AG180="Devis",COUNTIFS(dl_doc,F180,dl_check,"&lt;&gt;OK"),0))&gt;0,"Ligne(s) à corriger",IF(AND(W180&lt;&gt;"",N(W180)&lt;0),"Trop-perçu : vérifiez paiements et avoirs","OK")))))))))))))))))))))</f>
        <v/>
      </c>
      <c r="AA180" s="62" t="str">
        <f>IF(COUNTA(B180:D180,F180:O180)&gt;0,IF(B180="","Facture",B180),"")</f>
        <v/>
      </c>
      <c r="AB180" s="62" t="str">
        <f>IF(AA180="","",IF(AA180="Avoir",p_pav,IF(AA180="Facture d'acompte",p_pac,p_pfa)))</f>
        <v/>
      </c>
      <c r="AC180" s="62">
        <f>IF(ISNUMBER(C180),C180,0)</f>
        <v>0.0</v>
      </c>
      <c r="AD180" s="62" t="str">
        <f>IF(OR(AA180="",AC180=0),"",YEAR(AC180))</f>
        <v/>
      </c>
      <c r="AE180" s="62" t="str">
        <f>IF(AD180="","",COUNTIFS($AB$6:AB180,AB180,$AD$6:AD180,AD180))</f>
        <v/>
      </c>
      <c r="AF180" s="62">
        <f>IF(A180="",0,COUNTIF(fl_doc,A180))</f>
        <v>0.0</v>
      </c>
      <c r="AG180" s="62" t="str">
        <f>IF(A180="","",IF(AF180&gt;0,"Facture",IF(AND(F180&lt;&gt;"",AA180="Facture",ISNUMBER(MATCH(F180,dv_num,0))),"Devis","")))</f>
        <v/>
      </c>
      <c r="AH180" s="62" t="str">
        <f>IF(AND(A180&lt;&gt;"",F180&lt;&gt;"",AA180&lt;&gt;"Avoir"),F180,"")</f>
        <v/>
      </c>
      <c r="AI180" s="62" t="str">
        <f>IF(AG180="Devis",F180,"")</f>
        <v/>
      </c>
      <c r="AJ180" s="62">
        <f>IF(AG180="Facture",SUMIF(fl_doc,A180,fl_ht),IF(AG180="Devis",SUMIF(dl_doc,F180,dl_ht),0))</f>
        <v>0.0</v>
      </c>
      <c r="AK180" s="62">
        <f>IF(OR(AG180="",INDEX(p_rates,1)=""),0,IF(AG180="Facture",SUMIFS(fl_ht,fl_doc,A180,fl_rate,INDEX(p_rates,1)),SUMIFS(dl_ht,dl_doc,F180,dl_rate,INDEX(p_rates,1))))</f>
        <v>0.0</v>
      </c>
      <c r="AL180" s="62">
        <f>IF(OR(AG180="",INDEX(p_rates,2)=""),0,IF(AG180="Facture",SUMIFS(fl_ht,fl_doc,A180,fl_rate,INDEX(p_rates,2)),SUMIFS(dl_ht,dl_doc,F180,dl_rate,INDEX(p_rates,2))))</f>
        <v>0.0</v>
      </c>
      <c r="AM180" s="62">
        <f>IF(OR(AG180="",INDEX(p_rates,3)=""),0,IF(AG180="Facture",SUMIFS(fl_ht,fl_doc,A180,fl_rate,INDEX(p_rates,3)),SUMIFS(dl_ht,dl_doc,F180,dl_rate,INDEX(p_rates,3))))</f>
        <v>0.0</v>
      </c>
      <c r="AN180" s="62">
        <f>IF(OR(AG180="",INDEX(p_rates,4)=""),0,IF(AG180="Facture",SUMIFS(fl_ht,fl_doc,A180,fl_rate,INDEX(p_rates,4)),SUMIFS(dl_ht,dl_doc,F180,dl_rate,INDEX(p_rates,4))))</f>
        <v>0.0</v>
      </c>
      <c r="AO180" s="62">
        <f>IF(OR(AG180="",INDEX(p_rates,5)=""),0,IF(AG180="Facture",SUMIFS(fl_ht,fl_doc,A180,fl_rate,INDEX(p_rates,5)),SUMIFS(dl_ht,dl_doc,F180,dl_rate,INDEX(p_rates,5))))</f>
        <v>0.0</v>
      </c>
      <c r="AP180" s="62">
        <f>IF(OR(AG180="",INDEX(p_rates,6)=""),0,IF(AG180="Facture",SUMIFS(fl_ht,fl_doc,A180,fl_rate,INDEX(p_rates,6)),SUMIFS(dl_ht,dl_doc,F180,dl_rate,INDEX(p_rates,6))))</f>
        <v>0.0</v>
      </c>
      <c r="AQ180" s="62">
        <f>ROUND(AK180*N(INDEX(p_rates,1)),2)+ROUND(AL180*N(INDEX(p_rates,2)),2)+ROUND(AM180*N(INDEX(p_rates,3)),2)+ROUND(AN180*N(INDEX(p_rates,4)),2)+ROUND(AO180*N(INDEX(p_rates,5)),2)+ROUND(AP180*N(INDEX(p_rates,6)),2)</f>
        <v>0.0</v>
      </c>
      <c r="AR180" s="62" t="str">
        <f>IF(OR(L180="",AA180&lt;&gt;"Facture"),"",IFERROR(IF(INDEX(fa_type,MATCH(L180,fa_num,0))="Facture d'acompte",MATCH(L180,fa_num,0),""),""))</f>
        <v/>
      </c>
      <c r="AS180" s="62" t="str">
        <f>IF(W180="","",IF(W180&lt;=0,"",IF(p_asof-P180&lt;=0,"Non échu",IF(p_asof-P180&lt;=30,"1-30 j",IF(p_asof-P180&lt;=60,"31-60 j",IF(p_asof-P180&lt;=90,"61-90 j","Plus de 90 j"))))))</f>
        <v/>
      </c>
      <c r="AT180" s="62" t="str">
        <f>IF(AS180="","",p_asof-P180)</f>
        <v/>
      </c>
      <c r="AU180" s="62" t="str">
        <f>IF(AT180="","",COUNTIF($AT$6:$AT$805,"&gt;"&amp;AT180)+COUNTIF($AT$6:AT180,AT180))</f>
        <v/>
      </c>
    </row>
    <row r="181">
      <c r="A181" s="59" t="str">
        <f>IF(AE181="","",AB181&amp;"-"&amp;AD181&amp;"-"&amp;RIGHT("000"&amp;AE181,4))</f>
        <v/>
      </c>
      <c r="B181" s="60" t="n"/>
      <c r="C181" s="61" t="n"/>
      <c r="D181" s="60" t="n"/>
      <c r="E181" s="62" t="str">
        <f>IF(D181="","",IFERROR(INDEX(cli_name,MATCH(D181,cli_code,0))&amp;"","Client inconnu"))</f>
        <v/>
      </c>
      <c r="F181" s="60" t="n"/>
      <c r="G181" s="63" t="n"/>
      <c r="H181" s="61" t="n"/>
      <c r="I181" s="63" t="n"/>
      <c r="J181" s="60" t="n"/>
      <c r="K181" s="61" t="n"/>
      <c r="L181" s="60" t="n"/>
      <c r="M181" s="60" t="n"/>
      <c r="N181" s="60" t="n"/>
      <c r="O181" s="61" t="n"/>
      <c r="P181" s="64" t="str">
        <f>IF(A181="","",IF(AA181="Avoir",AC181,IF(ISNUMBER(K181),K181,AC181+IF(D181="",N(p_delay),IFERROR(IF(ISNUMBER(INDEX(cli_delay,MATCH(D181,cli_code,0))),INDEX(cli_delay,MATCH(D181,cli_code,0)),N(p_delay)),N(p_delay))))))</f>
        <v/>
      </c>
      <c r="Q181" s="65" t="str">
        <f>IF(A181="","",IF(AA181="Avoir",-1,1)*ROUND(AJ181-IF(AR181="",0,INDEX(fa_htb,AR181)),2))</f>
        <v/>
      </c>
      <c r="R181" s="65" t="str">
        <f>IF(A181="","",IF(AA181="Avoir",-1,1)*ROUND(AQ181-IF(AR181="",0,INDEX(fa_tvab,AR181)),2))</f>
        <v/>
      </c>
      <c r="S181" s="65" t="str">
        <f>IF(A181="","",Q181+R181)</f>
        <v/>
      </c>
      <c r="T181" s="65" t="str">
        <f>IF(AR181="","",INDEX(fa_htb,AR181)+INDEX(fa_tvab,AR181))</f>
        <v/>
      </c>
      <c r="U181" s="65" t="str">
        <f>IF(A181="","",SUMIF(pa_inv,A181,pa_amt))</f>
        <v/>
      </c>
      <c r="V181" s="65" t="str">
        <f>IF(OR(A181="",AA181="Avoir"),"",-SUMIFS(fa_ttc,fa_avof,A181,fa_type,"Avoir"))</f>
        <v/>
      </c>
      <c r="W181" s="65" t="str">
        <f>IF(OR(A181="",AA181="Avoir"),"",ROUND(S181-U181-V181,2))</f>
        <v/>
      </c>
      <c r="X181" s="66" t="str">
        <f>IF(W181="","",IF(AND(W181&gt;0,p_asof&gt;P181),p_asof-P181,""))</f>
        <v/>
      </c>
      <c r="Y181" s="59" t="str">
        <f>IF(A181="","",IF(AA181="Avoir","Avoir",IF(W181&lt;0,"Trop-perçu",IF(W181=0,"Soldée",IF(p_asof&gt;P181,"En retard",IF(U181+V181&gt;0,"Partielle","À échoir"))))))</f>
        <v/>
      </c>
      <c r="Z181" s="59" t="str">
        <f>IF(NOT(COUNTA(B181:D181,F181:O181)&gt;0),"",IF(C181="","Date manquante",IF(NOT(ISNUMBER(C181)),"Date invalide",IF(D181="","Client manquant",IF(ISNA(MATCH(D181,cli_code,0)),"Client inconnu",IF(AC181&lt;SUMPRODUCT(MAX(($AB$6:AB180=AB181)*$AC$6:AC180)),"Date antérieure à la facture précédente",IF(AND(F181&lt;&gt;"",ISNA(MATCH(F181,dv_num,0))),"Devis inconnu",IF(AND(F181&lt;&gt;"",IFERROR(INDEX(dv_client,MATCH(F181,dv_num,0)),D181)&lt;&gt;D181),"Client différent de celui du devis",IF(AG181="","Aucune ligne : saisissez des lignes ou un devis",IF(AND(AI181&lt;&gt;"",COUNTIF($AI$6:AI181,AI181)&gt;1),"Devis déjà repris par une autre facture",IF(AND(AA181="Avoir",M181=""),"Avoir : indiquez la facture d'origine",IF(AND(AA181="Avoir",ISNA(MATCH(M181,fa_num,0))),"Facture d'origine inconnue",IF(AND(AA181&lt;&gt;"Avoir",M181&lt;&gt;""),"« Avoir sur facture » : réservé aux avoirs",IF(AND(L181&lt;&gt;"",AA181&lt;&gt;"Facture"),"Acompte à déduire : réservé aux factures",IF(AND(L181&lt;&gt;"",ISNA(MATCH(L181,fa_num,0))),"Facture d'acompte inconnue",IF(AND(L181&lt;&gt;"",IFERROR(INDEX(fa_type,MATCH(L181,fa_num,0)),"")&lt;&gt;"Facture d'acompte"),"Le n° à déduire n'est pas une facture d'acompte",IF(AND(L181&lt;&gt;"",COUNTIF($L$6:L181,L181)&gt;1),"Acompte déjà déduit sur une autre facture",IF(AND(L181&lt;&gt;"",IFERROR(INDEX(fa_client,MATCH(L181,fa_num,0)),D181)&lt;&gt;D181),"Acompte d'un autre client",IF(AND(AR181&lt;&gt;"",N(Q181)&lt;0),"Acompte supérieur au total de la facture",IF(IF(AG181="Facture",COUNTIFS(fl_doc,A181,fl_check,"&lt;&gt;OK"),IF(AG181="Devis",COUNTIFS(dl_doc,F181,dl_check,"&lt;&gt;OK"),0))&gt;0,"Ligne(s) à corriger",IF(AND(W181&lt;&gt;"",N(W181)&lt;0),"Trop-perçu : vérifiez paiements et avoirs","OK")))))))))))))))))))))</f>
        <v/>
      </c>
      <c r="AA181" s="62" t="str">
        <f>IF(COUNTA(B181:D181,F181:O181)&gt;0,IF(B181="","Facture",B181),"")</f>
        <v/>
      </c>
      <c r="AB181" s="62" t="str">
        <f>IF(AA181="","",IF(AA181="Avoir",p_pav,IF(AA181="Facture d'acompte",p_pac,p_pfa)))</f>
        <v/>
      </c>
      <c r="AC181" s="62">
        <f>IF(ISNUMBER(C181),C181,0)</f>
        <v>0.0</v>
      </c>
      <c r="AD181" s="62" t="str">
        <f>IF(OR(AA181="",AC181=0),"",YEAR(AC181))</f>
        <v/>
      </c>
      <c r="AE181" s="62" t="str">
        <f>IF(AD181="","",COUNTIFS($AB$6:AB181,AB181,$AD$6:AD181,AD181))</f>
        <v/>
      </c>
      <c r="AF181" s="62">
        <f>IF(A181="",0,COUNTIF(fl_doc,A181))</f>
        <v>0.0</v>
      </c>
      <c r="AG181" s="62" t="str">
        <f>IF(A181="","",IF(AF181&gt;0,"Facture",IF(AND(F181&lt;&gt;"",AA181="Facture",ISNUMBER(MATCH(F181,dv_num,0))),"Devis","")))</f>
        <v/>
      </c>
      <c r="AH181" s="62" t="str">
        <f>IF(AND(A181&lt;&gt;"",F181&lt;&gt;"",AA181&lt;&gt;"Avoir"),F181,"")</f>
        <v/>
      </c>
      <c r="AI181" s="62" t="str">
        <f>IF(AG181="Devis",F181,"")</f>
        <v/>
      </c>
      <c r="AJ181" s="62">
        <f>IF(AG181="Facture",SUMIF(fl_doc,A181,fl_ht),IF(AG181="Devis",SUMIF(dl_doc,F181,dl_ht),0))</f>
        <v>0.0</v>
      </c>
      <c r="AK181" s="62">
        <f>IF(OR(AG181="",INDEX(p_rates,1)=""),0,IF(AG181="Facture",SUMIFS(fl_ht,fl_doc,A181,fl_rate,INDEX(p_rates,1)),SUMIFS(dl_ht,dl_doc,F181,dl_rate,INDEX(p_rates,1))))</f>
        <v>0.0</v>
      </c>
      <c r="AL181" s="62">
        <f>IF(OR(AG181="",INDEX(p_rates,2)=""),0,IF(AG181="Facture",SUMIFS(fl_ht,fl_doc,A181,fl_rate,INDEX(p_rates,2)),SUMIFS(dl_ht,dl_doc,F181,dl_rate,INDEX(p_rates,2))))</f>
        <v>0.0</v>
      </c>
      <c r="AM181" s="62">
        <f>IF(OR(AG181="",INDEX(p_rates,3)=""),0,IF(AG181="Facture",SUMIFS(fl_ht,fl_doc,A181,fl_rate,INDEX(p_rates,3)),SUMIFS(dl_ht,dl_doc,F181,dl_rate,INDEX(p_rates,3))))</f>
        <v>0.0</v>
      </c>
      <c r="AN181" s="62">
        <f>IF(OR(AG181="",INDEX(p_rates,4)=""),0,IF(AG181="Facture",SUMIFS(fl_ht,fl_doc,A181,fl_rate,INDEX(p_rates,4)),SUMIFS(dl_ht,dl_doc,F181,dl_rate,INDEX(p_rates,4))))</f>
        <v>0.0</v>
      </c>
      <c r="AO181" s="62">
        <f>IF(OR(AG181="",INDEX(p_rates,5)=""),0,IF(AG181="Facture",SUMIFS(fl_ht,fl_doc,A181,fl_rate,INDEX(p_rates,5)),SUMIFS(dl_ht,dl_doc,F181,dl_rate,INDEX(p_rates,5))))</f>
        <v>0.0</v>
      </c>
      <c r="AP181" s="62">
        <f>IF(OR(AG181="",INDEX(p_rates,6)=""),0,IF(AG181="Facture",SUMIFS(fl_ht,fl_doc,A181,fl_rate,INDEX(p_rates,6)),SUMIFS(dl_ht,dl_doc,F181,dl_rate,INDEX(p_rates,6))))</f>
        <v>0.0</v>
      </c>
      <c r="AQ181" s="62">
        <f>ROUND(AK181*N(INDEX(p_rates,1)),2)+ROUND(AL181*N(INDEX(p_rates,2)),2)+ROUND(AM181*N(INDEX(p_rates,3)),2)+ROUND(AN181*N(INDEX(p_rates,4)),2)+ROUND(AO181*N(INDEX(p_rates,5)),2)+ROUND(AP181*N(INDEX(p_rates,6)),2)</f>
        <v>0.0</v>
      </c>
      <c r="AR181" s="62" t="str">
        <f>IF(OR(L181="",AA181&lt;&gt;"Facture"),"",IFERROR(IF(INDEX(fa_type,MATCH(L181,fa_num,0))="Facture d'acompte",MATCH(L181,fa_num,0),""),""))</f>
        <v/>
      </c>
      <c r="AS181" s="62" t="str">
        <f>IF(W181="","",IF(W181&lt;=0,"",IF(p_asof-P181&lt;=0,"Non échu",IF(p_asof-P181&lt;=30,"1-30 j",IF(p_asof-P181&lt;=60,"31-60 j",IF(p_asof-P181&lt;=90,"61-90 j","Plus de 90 j"))))))</f>
        <v/>
      </c>
      <c r="AT181" s="62" t="str">
        <f>IF(AS181="","",p_asof-P181)</f>
        <v/>
      </c>
      <c r="AU181" s="62" t="str">
        <f>IF(AT181="","",COUNTIF($AT$6:$AT$805,"&gt;"&amp;AT181)+COUNTIF($AT$6:AT181,AT181))</f>
        <v/>
      </c>
    </row>
    <row r="182">
      <c r="A182" s="59" t="str">
        <f>IF(AE182="","",AB182&amp;"-"&amp;AD182&amp;"-"&amp;RIGHT("000"&amp;AE182,4))</f>
        <v/>
      </c>
      <c r="B182" s="60" t="n"/>
      <c r="C182" s="61" t="n"/>
      <c r="D182" s="60" t="n"/>
      <c r="E182" s="62" t="str">
        <f>IF(D182="","",IFERROR(INDEX(cli_name,MATCH(D182,cli_code,0))&amp;"","Client inconnu"))</f>
        <v/>
      </c>
      <c r="F182" s="60" t="n"/>
      <c r="G182" s="63" t="n"/>
      <c r="H182" s="61" t="n"/>
      <c r="I182" s="63" t="n"/>
      <c r="J182" s="60" t="n"/>
      <c r="K182" s="61" t="n"/>
      <c r="L182" s="60" t="n"/>
      <c r="M182" s="60" t="n"/>
      <c r="N182" s="60" t="n"/>
      <c r="O182" s="61" t="n"/>
      <c r="P182" s="64" t="str">
        <f>IF(A182="","",IF(AA182="Avoir",AC182,IF(ISNUMBER(K182),K182,AC182+IF(D182="",N(p_delay),IFERROR(IF(ISNUMBER(INDEX(cli_delay,MATCH(D182,cli_code,0))),INDEX(cli_delay,MATCH(D182,cli_code,0)),N(p_delay)),N(p_delay))))))</f>
        <v/>
      </c>
      <c r="Q182" s="65" t="str">
        <f>IF(A182="","",IF(AA182="Avoir",-1,1)*ROUND(AJ182-IF(AR182="",0,INDEX(fa_htb,AR182)),2))</f>
        <v/>
      </c>
      <c r="R182" s="65" t="str">
        <f>IF(A182="","",IF(AA182="Avoir",-1,1)*ROUND(AQ182-IF(AR182="",0,INDEX(fa_tvab,AR182)),2))</f>
        <v/>
      </c>
      <c r="S182" s="65" t="str">
        <f>IF(A182="","",Q182+R182)</f>
        <v/>
      </c>
      <c r="T182" s="65" t="str">
        <f>IF(AR182="","",INDEX(fa_htb,AR182)+INDEX(fa_tvab,AR182))</f>
        <v/>
      </c>
      <c r="U182" s="65" t="str">
        <f>IF(A182="","",SUMIF(pa_inv,A182,pa_amt))</f>
        <v/>
      </c>
      <c r="V182" s="65" t="str">
        <f>IF(OR(A182="",AA182="Avoir"),"",-SUMIFS(fa_ttc,fa_avof,A182,fa_type,"Avoir"))</f>
        <v/>
      </c>
      <c r="W182" s="65" t="str">
        <f>IF(OR(A182="",AA182="Avoir"),"",ROUND(S182-U182-V182,2))</f>
        <v/>
      </c>
      <c r="X182" s="66" t="str">
        <f>IF(W182="","",IF(AND(W182&gt;0,p_asof&gt;P182),p_asof-P182,""))</f>
        <v/>
      </c>
      <c r="Y182" s="59" t="str">
        <f>IF(A182="","",IF(AA182="Avoir","Avoir",IF(W182&lt;0,"Trop-perçu",IF(W182=0,"Soldée",IF(p_asof&gt;P182,"En retard",IF(U182+V182&gt;0,"Partielle","À échoir"))))))</f>
        <v/>
      </c>
      <c r="Z182" s="59" t="str">
        <f>IF(NOT(COUNTA(B182:D182,F182:O182)&gt;0),"",IF(C182="","Date manquante",IF(NOT(ISNUMBER(C182)),"Date invalide",IF(D182="","Client manquant",IF(ISNA(MATCH(D182,cli_code,0)),"Client inconnu",IF(AC182&lt;SUMPRODUCT(MAX(($AB$6:AB181=AB182)*$AC$6:AC181)),"Date antérieure à la facture précédente",IF(AND(F182&lt;&gt;"",ISNA(MATCH(F182,dv_num,0))),"Devis inconnu",IF(AND(F182&lt;&gt;"",IFERROR(INDEX(dv_client,MATCH(F182,dv_num,0)),D182)&lt;&gt;D182),"Client différent de celui du devis",IF(AG182="","Aucune ligne : saisissez des lignes ou un devis",IF(AND(AI182&lt;&gt;"",COUNTIF($AI$6:AI182,AI182)&gt;1),"Devis déjà repris par une autre facture",IF(AND(AA182="Avoir",M182=""),"Avoir : indiquez la facture d'origine",IF(AND(AA182="Avoir",ISNA(MATCH(M182,fa_num,0))),"Facture d'origine inconnue",IF(AND(AA182&lt;&gt;"Avoir",M182&lt;&gt;""),"« Avoir sur facture » : réservé aux avoirs",IF(AND(L182&lt;&gt;"",AA182&lt;&gt;"Facture"),"Acompte à déduire : réservé aux factures",IF(AND(L182&lt;&gt;"",ISNA(MATCH(L182,fa_num,0))),"Facture d'acompte inconnue",IF(AND(L182&lt;&gt;"",IFERROR(INDEX(fa_type,MATCH(L182,fa_num,0)),"")&lt;&gt;"Facture d'acompte"),"Le n° à déduire n'est pas une facture d'acompte",IF(AND(L182&lt;&gt;"",COUNTIF($L$6:L182,L182)&gt;1),"Acompte déjà déduit sur une autre facture",IF(AND(L182&lt;&gt;"",IFERROR(INDEX(fa_client,MATCH(L182,fa_num,0)),D182)&lt;&gt;D182),"Acompte d'un autre client",IF(AND(AR182&lt;&gt;"",N(Q182)&lt;0),"Acompte supérieur au total de la facture",IF(IF(AG182="Facture",COUNTIFS(fl_doc,A182,fl_check,"&lt;&gt;OK"),IF(AG182="Devis",COUNTIFS(dl_doc,F182,dl_check,"&lt;&gt;OK"),0))&gt;0,"Ligne(s) à corriger",IF(AND(W182&lt;&gt;"",N(W182)&lt;0),"Trop-perçu : vérifiez paiements et avoirs","OK")))))))))))))))))))))</f>
        <v/>
      </c>
      <c r="AA182" s="62" t="str">
        <f>IF(COUNTA(B182:D182,F182:O182)&gt;0,IF(B182="","Facture",B182),"")</f>
        <v/>
      </c>
      <c r="AB182" s="62" t="str">
        <f>IF(AA182="","",IF(AA182="Avoir",p_pav,IF(AA182="Facture d'acompte",p_pac,p_pfa)))</f>
        <v/>
      </c>
      <c r="AC182" s="62">
        <f>IF(ISNUMBER(C182),C182,0)</f>
        <v>0.0</v>
      </c>
      <c r="AD182" s="62" t="str">
        <f>IF(OR(AA182="",AC182=0),"",YEAR(AC182))</f>
        <v/>
      </c>
      <c r="AE182" s="62" t="str">
        <f>IF(AD182="","",COUNTIFS($AB$6:AB182,AB182,$AD$6:AD182,AD182))</f>
        <v/>
      </c>
      <c r="AF182" s="62">
        <f>IF(A182="",0,COUNTIF(fl_doc,A182))</f>
        <v>0.0</v>
      </c>
      <c r="AG182" s="62" t="str">
        <f>IF(A182="","",IF(AF182&gt;0,"Facture",IF(AND(F182&lt;&gt;"",AA182="Facture",ISNUMBER(MATCH(F182,dv_num,0))),"Devis","")))</f>
        <v/>
      </c>
      <c r="AH182" s="62" t="str">
        <f>IF(AND(A182&lt;&gt;"",F182&lt;&gt;"",AA182&lt;&gt;"Avoir"),F182,"")</f>
        <v/>
      </c>
      <c r="AI182" s="62" t="str">
        <f>IF(AG182="Devis",F182,"")</f>
        <v/>
      </c>
      <c r="AJ182" s="62">
        <f>IF(AG182="Facture",SUMIF(fl_doc,A182,fl_ht),IF(AG182="Devis",SUMIF(dl_doc,F182,dl_ht),0))</f>
        <v>0.0</v>
      </c>
      <c r="AK182" s="62">
        <f>IF(OR(AG182="",INDEX(p_rates,1)=""),0,IF(AG182="Facture",SUMIFS(fl_ht,fl_doc,A182,fl_rate,INDEX(p_rates,1)),SUMIFS(dl_ht,dl_doc,F182,dl_rate,INDEX(p_rates,1))))</f>
        <v>0.0</v>
      </c>
      <c r="AL182" s="62">
        <f>IF(OR(AG182="",INDEX(p_rates,2)=""),0,IF(AG182="Facture",SUMIFS(fl_ht,fl_doc,A182,fl_rate,INDEX(p_rates,2)),SUMIFS(dl_ht,dl_doc,F182,dl_rate,INDEX(p_rates,2))))</f>
        <v>0.0</v>
      </c>
      <c r="AM182" s="62">
        <f>IF(OR(AG182="",INDEX(p_rates,3)=""),0,IF(AG182="Facture",SUMIFS(fl_ht,fl_doc,A182,fl_rate,INDEX(p_rates,3)),SUMIFS(dl_ht,dl_doc,F182,dl_rate,INDEX(p_rates,3))))</f>
        <v>0.0</v>
      </c>
      <c r="AN182" s="62">
        <f>IF(OR(AG182="",INDEX(p_rates,4)=""),0,IF(AG182="Facture",SUMIFS(fl_ht,fl_doc,A182,fl_rate,INDEX(p_rates,4)),SUMIFS(dl_ht,dl_doc,F182,dl_rate,INDEX(p_rates,4))))</f>
        <v>0.0</v>
      </c>
      <c r="AO182" s="62">
        <f>IF(OR(AG182="",INDEX(p_rates,5)=""),0,IF(AG182="Facture",SUMIFS(fl_ht,fl_doc,A182,fl_rate,INDEX(p_rates,5)),SUMIFS(dl_ht,dl_doc,F182,dl_rate,INDEX(p_rates,5))))</f>
        <v>0.0</v>
      </c>
      <c r="AP182" s="62">
        <f>IF(OR(AG182="",INDEX(p_rates,6)=""),0,IF(AG182="Facture",SUMIFS(fl_ht,fl_doc,A182,fl_rate,INDEX(p_rates,6)),SUMIFS(dl_ht,dl_doc,F182,dl_rate,INDEX(p_rates,6))))</f>
        <v>0.0</v>
      </c>
      <c r="AQ182" s="62">
        <f>ROUND(AK182*N(INDEX(p_rates,1)),2)+ROUND(AL182*N(INDEX(p_rates,2)),2)+ROUND(AM182*N(INDEX(p_rates,3)),2)+ROUND(AN182*N(INDEX(p_rates,4)),2)+ROUND(AO182*N(INDEX(p_rates,5)),2)+ROUND(AP182*N(INDEX(p_rates,6)),2)</f>
        <v>0.0</v>
      </c>
      <c r="AR182" s="62" t="str">
        <f>IF(OR(L182="",AA182&lt;&gt;"Facture"),"",IFERROR(IF(INDEX(fa_type,MATCH(L182,fa_num,0))="Facture d'acompte",MATCH(L182,fa_num,0),""),""))</f>
        <v/>
      </c>
      <c r="AS182" s="62" t="str">
        <f>IF(W182="","",IF(W182&lt;=0,"",IF(p_asof-P182&lt;=0,"Non échu",IF(p_asof-P182&lt;=30,"1-30 j",IF(p_asof-P182&lt;=60,"31-60 j",IF(p_asof-P182&lt;=90,"61-90 j","Plus de 90 j"))))))</f>
        <v/>
      </c>
      <c r="AT182" s="62" t="str">
        <f>IF(AS182="","",p_asof-P182)</f>
        <v/>
      </c>
      <c r="AU182" s="62" t="str">
        <f>IF(AT182="","",COUNTIF($AT$6:$AT$805,"&gt;"&amp;AT182)+COUNTIF($AT$6:AT182,AT182))</f>
        <v/>
      </c>
    </row>
    <row r="183">
      <c r="A183" s="59" t="str">
        <f>IF(AE183="","",AB183&amp;"-"&amp;AD183&amp;"-"&amp;RIGHT("000"&amp;AE183,4))</f>
        <v/>
      </c>
      <c r="B183" s="60" t="n"/>
      <c r="C183" s="61" t="n"/>
      <c r="D183" s="60" t="n"/>
      <c r="E183" s="62" t="str">
        <f>IF(D183="","",IFERROR(INDEX(cli_name,MATCH(D183,cli_code,0))&amp;"","Client inconnu"))</f>
        <v/>
      </c>
      <c r="F183" s="60" t="n"/>
      <c r="G183" s="63" t="n"/>
      <c r="H183" s="61" t="n"/>
      <c r="I183" s="63" t="n"/>
      <c r="J183" s="60" t="n"/>
      <c r="K183" s="61" t="n"/>
      <c r="L183" s="60" t="n"/>
      <c r="M183" s="60" t="n"/>
      <c r="N183" s="60" t="n"/>
      <c r="O183" s="61" t="n"/>
      <c r="P183" s="64" t="str">
        <f>IF(A183="","",IF(AA183="Avoir",AC183,IF(ISNUMBER(K183),K183,AC183+IF(D183="",N(p_delay),IFERROR(IF(ISNUMBER(INDEX(cli_delay,MATCH(D183,cli_code,0))),INDEX(cli_delay,MATCH(D183,cli_code,0)),N(p_delay)),N(p_delay))))))</f>
        <v/>
      </c>
      <c r="Q183" s="65" t="str">
        <f>IF(A183="","",IF(AA183="Avoir",-1,1)*ROUND(AJ183-IF(AR183="",0,INDEX(fa_htb,AR183)),2))</f>
        <v/>
      </c>
      <c r="R183" s="65" t="str">
        <f>IF(A183="","",IF(AA183="Avoir",-1,1)*ROUND(AQ183-IF(AR183="",0,INDEX(fa_tvab,AR183)),2))</f>
        <v/>
      </c>
      <c r="S183" s="65" t="str">
        <f>IF(A183="","",Q183+R183)</f>
        <v/>
      </c>
      <c r="T183" s="65" t="str">
        <f>IF(AR183="","",INDEX(fa_htb,AR183)+INDEX(fa_tvab,AR183))</f>
        <v/>
      </c>
      <c r="U183" s="65" t="str">
        <f>IF(A183="","",SUMIF(pa_inv,A183,pa_amt))</f>
        <v/>
      </c>
      <c r="V183" s="65" t="str">
        <f>IF(OR(A183="",AA183="Avoir"),"",-SUMIFS(fa_ttc,fa_avof,A183,fa_type,"Avoir"))</f>
        <v/>
      </c>
      <c r="W183" s="65" t="str">
        <f>IF(OR(A183="",AA183="Avoir"),"",ROUND(S183-U183-V183,2))</f>
        <v/>
      </c>
      <c r="X183" s="66" t="str">
        <f>IF(W183="","",IF(AND(W183&gt;0,p_asof&gt;P183),p_asof-P183,""))</f>
        <v/>
      </c>
      <c r="Y183" s="59" t="str">
        <f>IF(A183="","",IF(AA183="Avoir","Avoir",IF(W183&lt;0,"Trop-perçu",IF(W183=0,"Soldée",IF(p_asof&gt;P183,"En retard",IF(U183+V183&gt;0,"Partielle","À échoir"))))))</f>
        <v/>
      </c>
      <c r="Z183" s="59" t="str">
        <f>IF(NOT(COUNTA(B183:D183,F183:O183)&gt;0),"",IF(C183="","Date manquante",IF(NOT(ISNUMBER(C183)),"Date invalide",IF(D183="","Client manquant",IF(ISNA(MATCH(D183,cli_code,0)),"Client inconnu",IF(AC183&lt;SUMPRODUCT(MAX(($AB$6:AB182=AB183)*$AC$6:AC182)),"Date antérieure à la facture précédente",IF(AND(F183&lt;&gt;"",ISNA(MATCH(F183,dv_num,0))),"Devis inconnu",IF(AND(F183&lt;&gt;"",IFERROR(INDEX(dv_client,MATCH(F183,dv_num,0)),D183)&lt;&gt;D183),"Client différent de celui du devis",IF(AG183="","Aucune ligne : saisissez des lignes ou un devis",IF(AND(AI183&lt;&gt;"",COUNTIF($AI$6:AI183,AI183)&gt;1),"Devis déjà repris par une autre facture",IF(AND(AA183="Avoir",M183=""),"Avoir : indiquez la facture d'origine",IF(AND(AA183="Avoir",ISNA(MATCH(M183,fa_num,0))),"Facture d'origine inconnue",IF(AND(AA183&lt;&gt;"Avoir",M183&lt;&gt;""),"« Avoir sur facture » : réservé aux avoirs",IF(AND(L183&lt;&gt;"",AA183&lt;&gt;"Facture"),"Acompte à déduire : réservé aux factures",IF(AND(L183&lt;&gt;"",ISNA(MATCH(L183,fa_num,0))),"Facture d'acompte inconnue",IF(AND(L183&lt;&gt;"",IFERROR(INDEX(fa_type,MATCH(L183,fa_num,0)),"")&lt;&gt;"Facture d'acompte"),"Le n° à déduire n'est pas une facture d'acompte",IF(AND(L183&lt;&gt;"",COUNTIF($L$6:L183,L183)&gt;1),"Acompte déjà déduit sur une autre facture",IF(AND(L183&lt;&gt;"",IFERROR(INDEX(fa_client,MATCH(L183,fa_num,0)),D183)&lt;&gt;D183),"Acompte d'un autre client",IF(AND(AR183&lt;&gt;"",N(Q183)&lt;0),"Acompte supérieur au total de la facture",IF(IF(AG183="Facture",COUNTIFS(fl_doc,A183,fl_check,"&lt;&gt;OK"),IF(AG183="Devis",COUNTIFS(dl_doc,F183,dl_check,"&lt;&gt;OK"),0))&gt;0,"Ligne(s) à corriger",IF(AND(W183&lt;&gt;"",N(W183)&lt;0),"Trop-perçu : vérifiez paiements et avoirs","OK")))))))))))))))))))))</f>
        <v/>
      </c>
      <c r="AA183" s="62" t="str">
        <f>IF(COUNTA(B183:D183,F183:O183)&gt;0,IF(B183="","Facture",B183),"")</f>
        <v/>
      </c>
      <c r="AB183" s="62" t="str">
        <f>IF(AA183="","",IF(AA183="Avoir",p_pav,IF(AA183="Facture d'acompte",p_pac,p_pfa)))</f>
        <v/>
      </c>
      <c r="AC183" s="62">
        <f>IF(ISNUMBER(C183),C183,0)</f>
        <v>0.0</v>
      </c>
      <c r="AD183" s="62" t="str">
        <f>IF(OR(AA183="",AC183=0),"",YEAR(AC183))</f>
        <v/>
      </c>
      <c r="AE183" s="62" t="str">
        <f>IF(AD183="","",COUNTIFS($AB$6:AB183,AB183,$AD$6:AD183,AD183))</f>
        <v/>
      </c>
      <c r="AF183" s="62">
        <f>IF(A183="",0,COUNTIF(fl_doc,A183))</f>
        <v>0.0</v>
      </c>
      <c r="AG183" s="62" t="str">
        <f>IF(A183="","",IF(AF183&gt;0,"Facture",IF(AND(F183&lt;&gt;"",AA183="Facture",ISNUMBER(MATCH(F183,dv_num,0))),"Devis","")))</f>
        <v/>
      </c>
      <c r="AH183" s="62" t="str">
        <f>IF(AND(A183&lt;&gt;"",F183&lt;&gt;"",AA183&lt;&gt;"Avoir"),F183,"")</f>
        <v/>
      </c>
      <c r="AI183" s="62" t="str">
        <f>IF(AG183="Devis",F183,"")</f>
        <v/>
      </c>
      <c r="AJ183" s="62">
        <f>IF(AG183="Facture",SUMIF(fl_doc,A183,fl_ht),IF(AG183="Devis",SUMIF(dl_doc,F183,dl_ht),0))</f>
        <v>0.0</v>
      </c>
      <c r="AK183" s="62">
        <f>IF(OR(AG183="",INDEX(p_rates,1)=""),0,IF(AG183="Facture",SUMIFS(fl_ht,fl_doc,A183,fl_rate,INDEX(p_rates,1)),SUMIFS(dl_ht,dl_doc,F183,dl_rate,INDEX(p_rates,1))))</f>
        <v>0.0</v>
      </c>
      <c r="AL183" s="62">
        <f>IF(OR(AG183="",INDEX(p_rates,2)=""),0,IF(AG183="Facture",SUMIFS(fl_ht,fl_doc,A183,fl_rate,INDEX(p_rates,2)),SUMIFS(dl_ht,dl_doc,F183,dl_rate,INDEX(p_rates,2))))</f>
        <v>0.0</v>
      </c>
      <c r="AM183" s="62">
        <f>IF(OR(AG183="",INDEX(p_rates,3)=""),0,IF(AG183="Facture",SUMIFS(fl_ht,fl_doc,A183,fl_rate,INDEX(p_rates,3)),SUMIFS(dl_ht,dl_doc,F183,dl_rate,INDEX(p_rates,3))))</f>
        <v>0.0</v>
      </c>
      <c r="AN183" s="62">
        <f>IF(OR(AG183="",INDEX(p_rates,4)=""),0,IF(AG183="Facture",SUMIFS(fl_ht,fl_doc,A183,fl_rate,INDEX(p_rates,4)),SUMIFS(dl_ht,dl_doc,F183,dl_rate,INDEX(p_rates,4))))</f>
        <v>0.0</v>
      </c>
      <c r="AO183" s="62">
        <f>IF(OR(AG183="",INDEX(p_rates,5)=""),0,IF(AG183="Facture",SUMIFS(fl_ht,fl_doc,A183,fl_rate,INDEX(p_rates,5)),SUMIFS(dl_ht,dl_doc,F183,dl_rate,INDEX(p_rates,5))))</f>
        <v>0.0</v>
      </c>
      <c r="AP183" s="62">
        <f>IF(OR(AG183="",INDEX(p_rates,6)=""),0,IF(AG183="Facture",SUMIFS(fl_ht,fl_doc,A183,fl_rate,INDEX(p_rates,6)),SUMIFS(dl_ht,dl_doc,F183,dl_rate,INDEX(p_rates,6))))</f>
        <v>0.0</v>
      </c>
      <c r="AQ183" s="62">
        <f>ROUND(AK183*N(INDEX(p_rates,1)),2)+ROUND(AL183*N(INDEX(p_rates,2)),2)+ROUND(AM183*N(INDEX(p_rates,3)),2)+ROUND(AN183*N(INDEX(p_rates,4)),2)+ROUND(AO183*N(INDEX(p_rates,5)),2)+ROUND(AP183*N(INDEX(p_rates,6)),2)</f>
        <v>0.0</v>
      </c>
      <c r="AR183" s="62" t="str">
        <f>IF(OR(L183="",AA183&lt;&gt;"Facture"),"",IFERROR(IF(INDEX(fa_type,MATCH(L183,fa_num,0))="Facture d'acompte",MATCH(L183,fa_num,0),""),""))</f>
        <v/>
      </c>
      <c r="AS183" s="62" t="str">
        <f>IF(W183="","",IF(W183&lt;=0,"",IF(p_asof-P183&lt;=0,"Non échu",IF(p_asof-P183&lt;=30,"1-30 j",IF(p_asof-P183&lt;=60,"31-60 j",IF(p_asof-P183&lt;=90,"61-90 j","Plus de 90 j"))))))</f>
        <v/>
      </c>
      <c r="AT183" s="62" t="str">
        <f>IF(AS183="","",p_asof-P183)</f>
        <v/>
      </c>
      <c r="AU183" s="62" t="str">
        <f>IF(AT183="","",COUNTIF($AT$6:$AT$805,"&gt;"&amp;AT183)+COUNTIF($AT$6:AT183,AT183))</f>
        <v/>
      </c>
    </row>
    <row r="184">
      <c r="A184" s="59" t="str">
        <f>IF(AE184="","",AB184&amp;"-"&amp;AD184&amp;"-"&amp;RIGHT("000"&amp;AE184,4))</f>
        <v/>
      </c>
      <c r="B184" s="60" t="n"/>
      <c r="C184" s="61" t="n"/>
      <c r="D184" s="60" t="n"/>
      <c r="E184" s="62" t="str">
        <f>IF(D184="","",IFERROR(INDEX(cli_name,MATCH(D184,cli_code,0))&amp;"","Client inconnu"))</f>
        <v/>
      </c>
      <c r="F184" s="60" t="n"/>
      <c r="G184" s="63" t="n"/>
      <c r="H184" s="61" t="n"/>
      <c r="I184" s="63" t="n"/>
      <c r="J184" s="60" t="n"/>
      <c r="K184" s="61" t="n"/>
      <c r="L184" s="60" t="n"/>
      <c r="M184" s="60" t="n"/>
      <c r="N184" s="60" t="n"/>
      <c r="O184" s="61" t="n"/>
      <c r="P184" s="64" t="str">
        <f>IF(A184="","",IF(AA184="Avoir",AC184,IF(ISNUMBER(K184),K184,AC184+IF(D184="",N(p_delay),IFERROR(IF(ISNUMBER(INDEX(cli_delay,MATCH(D184,cli_code,0))),INDEX(cli_delay,MATCH(D184,cli_code,0)),N(p_delay)),N(p_delay))))))</f>
        <v/>
      </c>
      <c r="Q184" s="65" t="str">
        <f>IF(A184="","",IF(AA184="Avoir",-1,1)*ROUND(AJ184-IF(AR184="",0,INDEX(fa_htb,AR184)),2))</f>
        <v/>
      </c>
      <c r="R184" s="65" t="str">
        <f>IF(A184="","",IF(AA184="Avoir",-1,1)*ROUND(AQ184-IF(AR184="",0,INDEX(fa_tvab,AR184)),2))</f>
        <v/>
      </c>
      <c r="S184" s="65" t="str">
        <f>IF(A184="","",Q184+R184)</f>
        <v/>
      </c>
      <c r="T184" s="65" t="str">
        <f>IF(AR184="","",INDEX(fa_htb,AR184)+INDEX(fa_tvab,AR184))</f>
        <v/>
      </c>
      <c r="U184" s="65" t="str">
        <f>IF(A184="","",SUMIF(pa_inv,A184,pa_amt))</f>
        <v/>
      </c>
      <c r="V184" s="65" t="str">
        <f>IF(OR(A184="",AA184="Avoir"),"",-SUMIFS(fa_ttc,fa_avof,A184,fa_type,"Avoir"))</f>
        <v/>
      </c>
      <c r="W184" s="65" t="str">
        <f>IF(OR(A184="",AA184="Avoir"),"",ROUND(S184-U184-V184,2))</f>
        <v/>
      </c>
      <c r="X184" s="66" t="str">
        <f>IF(W184="","",IF(AND(W184&gt;0,p_asof&gt;P184),p_asof-P184,""))</f>
        <v/>
      </c>
      <c r="Y184" s="59" t="str">
        <f>IF(A184="","",IF(AA184="Avoir","Avoir",IF(W184&lt;0,"Trop-perçu",IF(W184=0,"Soldée",IF(p_asof&gt;P184,"En retard",IF(U184+V184&gt;0,"Partielle","À échoir"))))))</f>
        <v/>
      </c>
      <c r="Z184" s="59" t="str">
        <f>IF(NOT(COUNTA(B184:D184,F184:O184)&gt;0),"",IF(C184="","Date manquante",IF(NOT(ISNUMBER(C184)),"Date invalide",IF(D184="","Client manquant",IF(ISNA(MATCH(D184,cli_code,0)),"Client inconnu",IF(AC184&lt;SUMPRODUCT(MAX(($AB$6:AB183=AB184)*$AC$6:AC183)),"Date antérieure à la facture précédente",IF(AND(F184&lt;&gt;"",ISNA(MATCH(F184,dv_num,0))),"Devis inconnu",IF(AND(F184&lt;&gt;"",IFERROR(INDEX(dv_client,MATCH(F184,dv_num,0)),D184)&lt;&gt;D184),"Client différent de celui du devis",IF(AG184="","Aucune ligne : saisissez des lignes ou un devis",IF(AND(AI184&lt;&gt;"",COUNTIF($AI$6:AI184,AI184)&gt;1),"Devis déjà repris par une autre facture",IF(AND(AA184="Avoir",M184=""),"Avoir : indiquez la facture d'origine",IF(AND(AA184="Avoir",ISNA(MATCH(M184,fa_num,0))),"Facture d'origine inconnue",IF(AND(AA184&lt;&gt;"Avoir",M184&lt;&gt;""),"« Avoir sur facture » : réservé aux avoirs",IF(AND(L184&lt;&gt;"",AA184&lt;&gt;"Facture"),"Acompte à déduire : réservé aux factures",IF(AND(L184&lt;&gt;"",ISNA(MATCH(L184,fa_num,0))),"Facture d'acompte inconnue",IF(AND(L184&lt;&gt;"",IFERROR(INDEX(fa_type,MATCH(L184,fa_num,0)),"")&lt;&gt;"Facture d'acompte"),"Le n° à déduire n'est pas une facture d'acompte",IF(AND(L184&lt;&gt;"",COUNTIF($L$6:L184,L184)&gt;1),"Acompte déjà déduit sur une autre facture",IF(AND(L184&lt;&gt;"",IFERROR(INDEX(fa_client,MATCH(L184,fa_num,0)),D184)&lt;&gt;D184),"Acompte d'un autre client",IF(AND(AR184&lt;&gt;"",N(Q184)&lt;0),"Acompte supérieur au total de la facture",IF(IF(AG184="Facture",COUNTIFS(fl_doc,A184,fl_check,"&lt;&gt;OK"),IF(AG184="Devis",COUNTIFS(dl_doc,F184,dl_check,"&lt;&gt;OK"),0))&gt;0,"Ligne(s) à corriger",IF(AND(W184&lt;&gt;"",N(W184)&lt;0),"Trop-perçu : vérifiez paiements et avoirs","OK")))))))))))))))))))))</f>
        <v/>
      </c>
      <c r="AA184" s="62" t="str">
        <f>IF(COUNTA(B184:D184,F184:O184)&gt;0,IF(B184="","Facture",B184),"")</f>
        <v/>
      </c>
      <c r="AB184" s="62" t="str">
        <f>IF(AA184="","",IF(AA184="Avoir",p_pav,IF(AA184="Facture d'acompte",p_pac,p_pfa)))</f>
        <v/>
      </c>
      <c r="AC184" s="62">
        <f>IF(ISNUMBER(C184),C184,0)</f>
        <v>0.0</v>
      </c>
      <c r="AD184" s="62" t="str">
        <f>IF(OR(AA184="",AC184=0),"",YEAR(AC184))</f>
        <v/>
      </c>
      <c r="AE184" s="62" t="str">
        <f>IF(AD184="","",COUNTIFS($AB$6:AB184,AB184,$AD$6:AD184,AD184))</f>
        <v/>
      </c>
      <c r="AF184" s="62">
        <f>IF(A184="",0,COUNTIF(fl_doc,A184))</f>
        <v>0.0</v>
      </c>
      <c r="AG184" s="62" t="str">
        <f>IF(A184="","",IF(AF184&gt;0,"Facture",IF(AND(F184&lt;&gt;"",AA184="Facture",ISNUMBER(MATCH(F184,dv_num,0))),"Devis","")))</f>
        <v/>
      </c>
      <c r="AH184" s="62" t="str">
        <f>IF(AND(A184&lt;&gt;"",F184&lt;&gt;"",AA184&lt;&gt;"Avoir"),F184,"")</f>
        <v/>
      </c>
      <c r="AI184" s="62" t="str">
        <f>IF(AG184="Devis",F184,"")</f>
        <v/>
      </c>
      <c r="AJ184" s="62">
        <f>IF(AG184="Facture",SUMIF(fl_doc,A184,fl_ht),IF(AG184="Devis",SUMIF(dl_doc,F184,dl_ht),0))</f>
        <v>0.0</v>
      </c>
      <c r="AK184" s="62">
        <f>IF(OR(AG184="",INDEX(p_rates,1)=""),0,IF(AG184="Facture",SUMIFS(fl_ht,fl_doc,A184,fl_rate,INDEX(p_rates,1)),SUMIFS(dl_ht,dl_doc,F184,dl_rate,INDEX(p_rates,1))))</f>
        <v>0.0</v>
      </c>
      <c r="AL184" s="62">
        <f>IF(OR(AG184="",INDEX(p_rates,2)=""),0,IF(AG184="Facture",SUMIFS(fl_ht,fl_doc,A184,fl_rate,INDEX(p_rates,2)),SUMIFS(dl_ht,dl_doc,F184,dl_rate,INDEX(p_rates,2))))</f>
        <v>0.0</v>
      </c>
      <c r="AM184" s="62">
        <f>IF(OR(AG184="",INDEX(p_rates,3)=""),0,IF(AG184="Facture",SUMIFS(fl_ht,fl_doc,A184,fl_rate,INDEX(p_rates,3)),SUMIFS(dl_ht,dl_doc,F184,dl_rate,INDEX(p_rates,3))))</f>
        <v>0.0</v>
      </c>
      <c r="AN184" s="62">
        <f>IF(OR(AG184="",INDEX(p_rates,4)=""),0,IF(AG184="Facture",SUMIFS(fl_ht,fl_doc,A184,fl_rate,INDEX(p_rates,4)),SUMIFS(dl_ht,dl_doc,F184,dl_rate,INDEX(p_rates,4))))</f>
        <v>0.0</v>
      </c>
      <c r="AO184" s="62">
        <f>IF(OR(AG184="",INDEX(p_rates,5)=""),0,IF(AG184="Facture",SUMIFS(fl_ht,fl_doc,A184,fl_rate,INDEX(p_rates,5)),SUMIFS(dl_ht,dl_doc,F184,dl_rate,INDEX(p_rates,5))))</f>
        <v>0.0</v>
      </c>
      <c r="AP184" s="62">
        <f>IF(OR(AG184="",INDEX(p_rates,6)=""),0,IF(AG184="Facture",SUMIFS(fl_ht,fl_doc,A184,fl_rate,INDEX(p_rates,6)),SUMIFS(dl_ht,dl_doc,F184,dl_rate,INDEX(p_rates,6))))</f>
        <v>0.0</v>
      </c>
      <c r="AQ184" s="62">
        <f>ROUND(AK184*N(INDEX(p_rates,1)),2)+ROUND(AL184*N(INDEX(p_rates,2)),2)+ROUND(AM184*N(INDEX(p_rates,3)),2)+ROUND(AN184*N(INDEX(p_rates,4)),2)+ROUND(AO184*N(INDEX(p_rates,5)),2)+ROUND(AP184*N(INDEX(p_rates,6)),2)</f>
        <v>0.0</v>
      </c>
      <c r="AR184" s="62" t="str">
        <f>IF(OR(L184="",AA184&lt;&gt;"Facture"),"",IFERROR(IF(INDEX(fa_type,MATCH(L184,fa_num,0))="Facture d'acompte",MATCH(L184,fa_num,0),""),""))</f>
        <v/>
      </c>
      <c r="AS184" s="62" t="str">
        <f>IF(W184="","",IF(W184&lt;=0,"",IF(p_asof-P184&lt;=0,"Non échu",IF(p_asof-P184&lt;=30,"1-30 j",IF(p_asof-P184&lt;=60,"31-60 j",IF(p_asof-P184&lt;=90,"61-90 j","Plus de 90 j"))))))</f>
        <v/>
      </c>
      <c r="AT184" s="62" t="str">
        <f>IF(AS184="","",p_asof-P184)</f>
        <v/>
      </c>
      <c r="AU184" s="62" t="str">
        <f>IF(AT184="","",COUNTIF($AT$6:$AT$805,"&gt;"&amp;AT184)+COUNTIF($AT$6:AT184,AT184))</f>
        <v/>
      </c>
    </row>
    <row r="185">
      <c r="A185" s="59" t="str">
        <f>IF(AE185="","",AB185&amp;"-"&amp;AD185&amp;"-"&amp;RIGHT("000"&amp;AE185,4))</f>
        <v/>
      </c>
      <c r="B185" s="60" t="n"/>
      <c r="C185" s="61" t="n"/>
      <c r="D185" s="60" t="n"/>
      <c r="E185" s="62" t="str">
        <f>IF(D185="","",IFERROR(INDEX(cli_name,MATCH(D185,cli_code,0))&amp;"","Client inconnu"))</f>
        <v/>
      </c>
      <c r="F185" s="60" t="n"/>
      <c r="G185" s="63" t="n"/>
      <c r="H185" s="61" t="n"/>
      <c r="I185" s="63" t="n"/>
      <c r="J185" s="60" t="n"/>
      <c r="K185" s="61" t="n"/>
      <c r="L185" s="60" t="n"/>
      <c r="M185" s="60" t="n"/>
      <c r="N185" s="60" t="n"/>
      <c r="O185" s="61" t="n"/>
      <c r="P185" s="64" t="str">
        <f>IF(A185="","",IF(AA185="Avoir",AC185,IF(ISNUMBER(K185),K185,AC185+IF(D185="",N(p_delay),IFERROR(IF(ISNUMBER(INDEX(cli_delay,MATCH(D185,cli_code,0))),INDEX(cli_delay,MATCH(D185,cli_code,0)),N(p_delay)),N(p_delay))))))</f>
        <v/>
      </c>
      <c r="Q185" s="65" t="str">
        <f>IF(A185="","",IF(AA185="Avoir",-1,1)*ROUND(AJ185-IF(AR185="",0,INDEX(fa_htb,AR185)),2))</f>
        <v/>
      </c>
      <c r="R185" s="65" t="str">
        <f>IF(A185="","",IF(AA185="Avoir",-1,1)*ROUND(AQ185-IF(AR185="",0,INDEX(fa_tvab,AR185)),2))</f>
        <v/>
      </c>
      <c r="S185" s="65" t="str">
        <f>IF(A185="","",Q185+R185)</f>
        <v/>
      </c>
      <c r="T185" s="65" t="str">
        <f>IF(AR185="","",INDEX(fa_htb,AR185)+INDEX(fa_tvab,AR185))</f>
        <v/>
      </c>
      <c r="U185" s="65" t="str">
        <f>IF(A185="","",SUMIF(pa_inv,A185,pa_amt))</f>
        <v/>
      </c>
      <c r="V185" s="65" t="str">
        <f>IF(OR(A185="",AA185="Avoir"),"",-SUMIFS(fa_ttc,fa_avof,A185,fa_type,"Avoir"))</f>
        <v/>
      </c>
      <c r="W185" s="65" t="str">
        <f>IF(OR(A185="",AA185="Avoir"),"",ROUND(S185-U185-V185,2))</f>
        <v/>
      </c>
      <c r="X185" s="66" t="str">
        <f>IF(W185="","",IF(AND(W185&gt;0,p_asof&gt;P185),p_asof-P185,""))</f>
        <v/>
      </c>
      <c r="Y185" s="59" t="str">
        <f>IF(A185="","",IF(AA185="Avoir","Avoir",IF(W185&lt;0,"Trop-perçu",IF(W185=0,"Soldée",IF(p_asof&gt;P185,"En retard",IF(U185+V185&gt;0,"Partielle","À échoir"))))))</f>
        <v/>
      </c>
      <c r="Z185" s="59" t="str">
        <f>IF(NOT(COUNTA(B185:D185,F185:O185)&gt;0),"",IF(C185="","Date manquante",IF(NOT(ISNUMBER(C185)),"Date invalide",IF(D185="","Client manquant",IF(ISNA(MATCH(D185,cli_code,0)),"Client inconnu",IF(AC185&lt;SUMPRODUCT(MAX(($AB$6:AB184=AB185)*$AC$6:AC184)),"Date antérieure à la facture précédente",IF(AND(F185&lt;&gt;"",ISNA(MATCH(F185,dv_num,0))),"Devis inconnu",IF(AND(F185&lt;&gt;"",IFERROR(INDEX(dv_client,MATCH(F185,dv_num,0)),D185)&lt;&gt;D185),"Client différent de celui du devis",IF(AG185="","Aucune ligne : saisissez des lignes ou un devis",IF(AND(AI185&lt;&gt;"",COUNTIF($AI$6:AI185,AI185)&gt;1),"Devis déjà repris par une autre facture",IF(AND(AA185="Avoir",M185=""),"Avoir : indiquez la facture d'origine",IF(AND(AA185="Avoir",ISNA(MATCH(M185,fa_num,0))),"Facture d'origine inconnue",IF(AND(AA185&lt;&gt;"Avoir",M185&lt;&gt;""),"« Avoir sur facture » : réservé aux avoirs",IF(AND(L185&lt;&gt;"",AA185&lt;&gt;"Facture"),"Acompte à déduire : réservé aux factures",IF(AND(L185&lt;&gt;"",ISNA(MATCH(L185,fa_num,0))),"Facture d'acompte inconnue",IF(AND(L185&lt;&gt;"",IFERROR(INDEX(fa_type,MATCH(L185,fa_num,0)),"")&lt;&gt;"Facture d'acompte"),"Le n° à déduire n'est pas une facture d'acompte",IF(AND(L185&lt;&gt;"",COUNTIF($L$6:L185,L185)&gt;1),"Acompte déjà déduit sur une autre facture",IF(AND(L185&lt;&gt;"",IFERROR(INDEX(fa_client,MATCH(L185,fa_num,0)),D185)&lt;&gt;D185),"Acompte d'un autre client",IF(AND(AR185&lt;&gt;"",N(Q185)&lt;0),"Acompte supérieur au total de la facture",IF(IF(AG185="Facture",COUNTIFS(fl_doc,A185,fl_check,"&lt;&gt;OK"),IF(AG185="Devis",COUNTIFS(dl_doc,F185,dl_check,"&lt;&gt;OK"),0))&gt;0,"Ligne(s) à corriger",IF(AND(W185&lt;&gt;"",N(W185)&lt;0),"Trop-perçu : vérifiez paiements et avoirs","OK")))))))))))))))))))))</f>
        <v/>
      </c>
      <c r="AA185" s="62" t="str">
        <f>IF(COUNTA(B185:D185,F185:O185)&gt;0,IF(B185="","Facture",B185),"")</f>
        <v/>
      </c>
      <c r="AB185" s="62" t="str">
        <f>IF(AA185="","",IF(AA185="Avoir",p_pav,IF(AA185="Facture d'acompte",p_pac,p_pfa)))</f>
        <v/>
      </c>
      <c r="AC185" s="62">
        <f>IF(ISNUMBER(C185),C185,0)</f>
        <v>0.0</v>
      </c>
      <c r="AD185" s="62" t="str">
        <f>IF(OR(AA185="",AC185=0),"",YEAR(AC185))</f>
        <v/>
      </c>
      <c r="AE185" s="62" t="str">
        <f>IF(AD185="","",COUNTIFS($AB$6:AB185,AB185,$AD$6:AD185,AD185))</f>
        <v/>
      </c>
      <c r="AF185" s="62">
        <f>IF(A185="",0,COUNTIF(fl_doc,A185))</f>
        <v>0.0</v>
      </c>
      <c r="AG185" s="62" t="str">
        <f>IF(A185="","",IF(AF185&gt;0,"Facture",IF(AND(F185&lt;&gt;"",AA185="Facture",ISNUMBER(MATCH(F185,dv_num,0))),"Devis","")))</f>
        <v/>
      </c>
      <c r="AH185" s="62" t="str">
        <f>IF(AND(A185&lt;&gt;"",F185&lt;&gt;"",AA185&lt;&gt;"Avoir"),F185,"")</f>
        <v/>
      </c>
      <c r="AI185" s="62" t="str">
        <f>IF(AG185="Devis",F185,"")</f>
        <v/>
      </c>
      <c r="AJ185" s="62">
        <f>IF(AG185="Facture",SUMIF(fl_doc,A185,fl_ht),IF(AG185="Devis",SUMIF(dl_doc,F185,dl_ht),0))</f>
        <v>0.0</v>
      </c>
      <c r="AK185" s="62">
        <f>IF(OR(AG185="",INDEX(p_rates,1)=""),0,IF(AG185="Facture",SUMIFS(fl_ht,fl_doc,A185,fl_rate,INDEX(p_rates,1)),SUMIFS(dl_ht,dl_doc,F185,dl_rate,INDEX(p_rates,1))))</f>
        <v>0.0</v>
      </c>
      <c r="AL185" s="62">
        <f>IF(OR(AG185="",INDEX(p_rates,2)=""),0,IF(AG185="Facture",SUMIFS(fl_ht,fl_doc,A185,fl_rate,INDEX(p_rates,2)),SUMIFS(dl_ht,dl_doc,F185,dl_rate,INDEX(p_rates,2))))</f>
        <v>0.0</v>
      </c>
      <c r="AM185" s="62">
        <f>IF(OR(AG185="",INDEX(p_rates,3)=""),0,IF(AG185="Facture",SUMIFS(fl_ht,fl_doc,A185,fl_rate,INDEX(p_rates,3)),SUMIFS(dl_ht,dl_doc,F185,dl_rate,INDEX(p_rates,3))))</f>
        <v>0.0</v>
      </c>
      <c r="AN185" s="62">
        <f>IF(OR(AG185="",INDEX(p_rates,4)=""),0,IF(AG185="Facture",SUMIFS(fl_ht,fl_doc,A185,fl_rate,INDEX(p_rates,4)),SUMIFS(dl_ht,dl_doc,F185,dl_rate,INDEX(p_rates,4))))</f>
        <v>0.0</v>
      </c>
      <c r="AO185" s="62">
        <f>IF(OR(AG185="",INDEX(p_rates,5)=""),0,IF(AG185="Facture",SUMIFS(fl_ht,fl_doc,A185,fl_rate,INDEX(p_rates,5)),SUMIFS(dl_ht,dl_doc,F185,dl_rate,INDEX(p_rates,5))))</f>
        <v>0.0</v>
      </c>
      <c r="AP185" s="62">
        <f>IF(OR(AG185="",INDEX(p_rates,6)=""),0,IF(AG185="Facture",SUMIFS(fl_ht,fl_doc,A185,fl_rate,INDEX(p_rates,6)),SUMIFS(dl_ht,dl_doc,F185,dl_rate,INDEX(p_rates,6))))</f>
        <v>0.0</v>
      </c>
      <c r="AQ185" s="62">
        <f>ROUND(AK185*N(INDEX(p_rates,1)),2)+ROUND(AL185*N(INDEX(p_rates,2)),2)+ROUND(AM185*N(INDEX(p_rates,3)),2)+ROUND(AN185*N(INDEX(p_rates,4)),2)+ROUND(AO185*N(INDEX(p_rates,5)),2)+ROUND(AP185*N(INDEX(p_rates,6)),2)</f>
        <v>0.0</v>
      </c>
      <c r="AR185" s="62" t="str">
        <f>IF(OR(L185="",AA185&lt;&gt;"Facture"),"",IFERROR(IF(INDEX(fa_type,MATCH(L185,fa_num,0))="Facture d'acompte",MATCH(L185,fa_num,0),""),""))</f>
        <v/>
      </c>
      <c r="AS185" s="62" t="str">
        <f>IF(W185="","",IF(W185&lt;=0,"",IF(p_asof-P185&lt;=0,"Non échu",IF(p_asof-P185&lt;=30,"1-30 j",IF(p_asof-P185&lt;=60,"31-60 j",IF(p_asof-P185&lt;=90,"61-90 j","Plus de 90 j"))))))</f>
        <v/>
      </c>
      <c r="AT185" s="62" t="str">
        <f>IF(AS185="","",p_asof-P185)</f>
        <v/>
      </c>
      <c r="AU185" s="62" t="str">
        <f>IF(AT185="","",COUNTIF($AT$6:$AT$805,"&gt;"&amp;AT185)+COUNTIF($AT$6:AT185,AT185))</f>
        <v/>
      </c>
    </row>
    <row r="186">
      <c r="A186" s="59" t="str">
        <f>IF(AE186="","",AB186&amp;"-"&amp;AD186&amp;"-"&amp;RIGHT("000"&amp;AE186,4))</f>
        <v/>
      </c>
      <c r="B186" s="60" t="n"/>
      <c r="C186" s="61" t="n"/>
      <c r="D186" s="60" t="n"/>
      <c r="E186" s="62" t="str">
        <f>IF(D186="","",IFERROR(INDEX(cli_name,MATCH(D186,cli_code,0))&amp;"","Client inconnu"))</f>
        <v/>
      </c>
      <c r="F186" s="60" t="n"/>
      <c r="G186" s="63" t="n"/>
      <c r="H186" s="61" t="n"/>
      <c r="I186" s="63" t="n"/>
      <c r="J186" s="60" t="n"/>
      <c r="K186" s="61" t="n"/>
      <c r="L186" s="60" t="n"/>
      <c r="M186" s="60" t="n"/>
      <c r="N186" s="60" t="n"/>
      <c r="O186" s="61" t="n"/>
      <c r="P186" s="64" t="str">
        <f>IF(A186="","",IF(AA186="Avoir",AC186,IF(ISNUMBER(K186),K186,AC186+IF(D186="",N(p_delay),IFERROR(IF(ISNUMBER(INDEX(cli_delay,MATCH(D186,cli_code,0))),INDEX(cli_delay,MATCH(D186,cli_code,0)),N(p_delay)),N(p_delay))))))</f>
        <v/>
      </c>
      <c r="Q186" s="65" t="str">
        <f>IF(A186="","",IF(AA186="Avoir",-1,1)*ROUND(AJ186-IF(AR186="",0,INDEX(fa_htb,AR186)),2))</f>
        <v/>
      </c>
      <c r="R186" s="65" t="str">
        <f>IF(A186="","",IF(AA186="Avoir",-1,1)*ROUND(AQ186-IF(AR186="",0,INDEX(fa_tvab,AR186)),2))</f>
        <v/>
      </c>
      <c r="S186" s="65" t="str">
        <f>IF(A186="","",Q186+R186)</f>
        <v/>
      </c>
      <c r="T186" s="65" t="str">
        <f>IF(AR186="","",INDEX(fa_htb,AR186)+INDEX(fa_tvab,AR186))</f>
        <v/>
      </c>
      <c r="U186" s="65" t="str">
        <f>IF(A186="","",SUMIF(pa_inv,A186,pa_amt))</f>
        <v/>
      </c>
      <c r="V186" s="65" t="str">
        <f>IF(OR(A186="",AA186="Avoir"),"",-SUMIFS(fa_ttc,fa_avof,A186,fa_type,"Avoir"))</f>
        <v/>
      </c>
      <c r="W186" s="65" t="str">
        <f>IF(OR(A186="",AA186="Avoir"),"",ROUND(S186-U186-V186,2))</f>
        <v/>
      </c>
      <c r="X186" s="66" t="str">
        <f>IF(W186="","",IF(AND(W186&gt;0,p_asof&gt;P186),p_asof-P186,""))</f>
        <v/>
      </c>
      <c r="Y186" s="59" t="str">
        <f>IF(A186="","",IF(AA186="Avoir","Avoir",IF(W186&lt;0,"Trop-perçu",IF(W186=0,"Soldée",IF(p_asof&gt;P186,"En retard",IF(U186+V186&gt;0,"Partielle","À échoir"))))))</f>
        <v/>
      </c>
      <c r="Z186" s="59" t="str">
        <f>IF(NOT(COUNTA(B186:D186,F186:O186)&gt;0),"",IF(C186="","Date manquante",IF(NOT(ISNUMBER(C186)),"Date invalide",IF(D186="","Client manquant",IF(ISNA(MATCH(D186,cli_code,0)),"Client inconnu",IF(AC186&lt;SUMPRODUCT(MAX(($AB$6:AB185=AB186)*$AC$6:AC185)),"Date antérieure à la facture précédente",IF(AND(F186&lt;&gt;"",ISNA(MATCH(F186,dv_num,0))),"Devis inconnu",IF(AND(F186&lt;&gt;"",IFERROR(INDEX(dv_client,MATCH(F186,dv_num,0)),D186)&lt;&gt;D186),"Client différent de celui du devis",IF(AG186="","Aucune ligne : saisissez des lignes ou un devis",IF(AND(AI186&lt;&gt;"",COUNTIF($AI$6:AI186,AI186)&gt;1),"Devis déjà repris par une autre facture",IF(AND(AA186="Avoir",M186=""),"Avoir : indiquez la facture d'origine",IF(AND(AA186="Avoir",ISNA(MATCH(M186,fa_num,0))),"Facture d'origine inconnue",IF(AND(AA186&lt;&gt;"Avoir",M186&lt;&gt;""),"« Avoir sur facture » : réservé aux avoirs",IF(AND(L186&lt;&gt;"",AA186&lt;&gt;"Facture"),"Acompte à déduire : réservé aux factures",IF(AND(L186&lt;&gt;"",ISNA(MATCH(L186,fa_num,0))),"Facture d'acompte inconnue",IF(AND(L186&lt;&gt;"",IFERROR(INDEX(fa_type,MATCH(L186,fa_num,0)),"")&lt;&gt;"Facture d'acompte"),"Le n° à déduire n'est pas une facture d'acompte",IF(AND(L186&lt;&gt;"",COUNTIF($L$6:L186,L186)&gt;1),"Acompte déjà déduit sur une autre facture",IF(AND(L186&lt;&gt;"",IFERROR(INDEX(fa_client,MATCH(L186,fa_num,0)),D186)&lt;&gt;D186),"Acompte d'un autre client",IF(AND(AR186&lt;&gt;"",N(Q186)&lt;0),"Acompte supérieur au total de la facture",IF(IF(AG186="Facture",COUNTIFS(fl_doc,A186,fl_check,"&lt;&gt;OK"),IF(AG186="Devis",COUNTIFS(dl_doc,F186,dl_check,"&lt;&gt;OK"),0))&gt;0,"Ligne(s) à corriger",IF(AND(W186&lt;&gt;"",N(W186)&lt;0),"Trop-perçu : vérifiez paiements et avoirs","OK")))))))))))))))))))))</f>
        <v/>
      </c>
      <c r="AA186" s="62" t="str">
        <f>IF(COUNTA(B186:D186,F186:O186)&gt;0,IF(B186="","Facture",B186),"")</f>
        <v/>
      </c>
      <c r="AB186" s="62" t="str">
        <f>IF(AA186="","",IF(AA186="Avoir",p_pav,IF(AA186="Facture d'acompte",p_pac,p_pfa)))</f>
        <v/>
      </c>
      <c r="AC186" s="62">
        <f>IF(ISNUMBER(C186),C186,0)</f>
        <v>0.0</v>
      </c>
      <c r="AD186" s="62" t="str">
        <f>IF(OR(AA186="",AC186=0),"",YEAR(AC186))</f>
        <v/>
      </c>
      <c r="AE186" s="62" t="str">
        <f>IF(AD186="","",COUNTIFS($AB$6:AB186,AB186,$AD$6:AD186,AD186))</f>
        <v/>
      </c>
      <c r="AF186" s="62">
        <f>IF(A186="",0,COUNTIF(fl_doc,A186))</f>
        <v>0.0</v>
      </c>
      <c r="AG186" s="62" t="str">
        <f>IF(A186="","",IF(AF186&gt;0,"Facture",IF(AND(F186&lt;&gt;"",AA186="Facture",ISNUMBER(MATCH(F186,dv_num,0))),"Devis","")))</f>
        <v/>
      </c>
      <c r="AH186" s="62" t="str">
        <f>IF(AND(A186&lt;&gt;"",F186&lt;&gt;"",AA186&lt;&gt;"Avoir"),F186,"")</f>
        <v/>
      </c>
      <c r="AI186" s="62" t="str">
        <f>IF(AG186="Devis",F186,"")</f>
        <v/>
      </c>
      <c r="AJ186" s="62">
        <f>IF(AG186="Facture",SUMIF(fl_doc,A186,fl_ht),IF(AG186="Devis",SUMIF(dl_doc,F186,dl_ht),0))</f>
        <v>0.0</v>
      </c>
      <c r="AK186" s="62">
        <f>IF(OR(AG186="",INDEX(p_rates,1)=""),0,IF(AG186="Facture",SUMIFS(fl_ht,fl_doc,A186,fl_rate,INDEX(p_rates,1)),SUMIFS(dl_ht,dl_doc,F186,dl_rate,INDEX(p_rates,1))))</f>
        <v>0.0</v>
      </c>
      <c r="AL186" s="62">
        <f>IF(OR(AG186="",INDEX(p_rates,2)=""),0,IF(AG186="Facture",SUMIFS(fl_ht,fl_doc,A186,fl_rate,INDEX(p_rates,2)),SUMIFS(dl_ht,dl_doc,F186,dl_rate,INDEX(p_rates,2))))</f>
        <v>0.0</v>
      </c>
      <c r="AM186" s="62">
        <f>IF(OR(AG186="",INDEX(p_rates,3)=""),0,IF(AG186="Facture",SUMIFS(fl_ht,fl_doc,A186,fl_rate,INDEX(p_rates,3)),SUMIFS(dl_ht,dl_doc,F186,dl_rate,INDEX(p_rates,3))))</f>
        <v>0.0</v>
      </c>
      <c r="AN186" s="62">
        <f>IF(OR(AG186="",INDEX(p_rates,4)=""),0,IF(AG186="Facture",SUMIFS(fl_ht,fl_doc,A186,fl_rate,INDEX(p_rates,4)),SUMIFS(dl_ht,dl_doc,F186,dl_rate,INDEX(p_rates,4))))</f>
        <v>0.0</v>
      </c>
      <c r="AO186" s="62">
        <f>IF(OR(AG186="",INDEX(p_rates,5)=""),0,IF(AG186="Facture",SUMIFS(fl_ht,fl_doc,A186,fl_rate,INDEX(p_rates,5)),SUMIFS(dl_ht,dl_doc,F186,dl_rate,INDEX(p_rates,5))))</f>
        <v>0.0</v>
      </c>
      <c r="AP186" s="62">
        <f>IF(OR(AG186="",INDEX(p_rates,6)=""),0,IF(AG186="Facture",SUMIFS(fl_ht,fl_doc,A186,fl_rate,INDEX(p_rates,6)),SUMIFS(dl_ht,dl_doc,F186,dl_rate,INDEX(p_rates,6))))</f>
        <v>0.0</v>
      </c>
      <c r="AQ186" s="62">
        <f>ROUND(AK186*N(INDEX(p_rates,1)),2)+ROUND(AL186*N(INDEX(p_rates,2)),2)+ROUND(AM186*N(INDEX(p_rates,3)),2)+ROUND(AN186*N(INDEX(p_rates,4)),2)+ROUND(AO186*N(INDEX(p_rates,5)),2)+ROUND(AP186*N(INDEX(p_rates,6)),2)</f>
        <v>0.0</v>
      </c>
      <c r="AR186" s="62" t="str">
        <f>IF(OR(L186="",AA186&lt;&gt;"Facture"),"",IFERROR(IF(INDEX(fa_type,MATCH(L186,fa_num,0))="Facture d'acompte",MATCH(L186,fa_num,0),""),""))</f>
        <v/>
      </c>
      <c r="AS186" s="62" t="str">
        <f>IF(W186="","",IF(W186&lt;=0,"",IF(p_asof-P186&lt;=0,"Non échu",IF(p_asof-P186&lt;=30,"1-30 j",IF(p_asof-P186&lt;=60,"31-60 j",IF(p_asof-P186&lt;=90,"61-90 j","Plus de 90 j"))))))</f>
        <v/>
      </c>
      <c r="AT186" s="62" t="str">
        <f>IF(AS186="","",p_asof-P186)</f>
        <v/>
      </c>
      <c r="AU186" s="62" t="str">
        <f>IF(AT186="","",COUNTIF($AT$6:$AT$805,"&gt;"&amp;AT186)+COUNTIF($AT$6:AT186,AT186))</f>
        <v/>
      </c>
    </row>
    <row r="187">
      <c r="A187" s="59" t="str">
        <f>IF(AE187="","",AB187&amp;"-"&amp;AD187&amp;"-"&amp;RIGHT("000"&amp;AE187,4))</f>
        <v/>
      </c>
      <c r="B187" s="60" t="n"/>
      <c r="C187" s="61" t="n"/>
      <c r="D187" s="60" t="n"/>
      <c r="E187" s="62" t="str">
        <f>IF(D187="","",IFERROR(INDEX(cli_name,MATCH(D187,cli_code,0))&amp;"","Client inconnu"))</f>
        <v/>
      </c>
      <c r="F187" s="60" t="n"/>
      <c r="G187" s="63" t="n"/>
      <c r="H187" s="61" t="n"/>
      <c r="I187" s="63" t="n"/>
      <c r="J187" s="60" t="n"/>
      <c r="K187" s="61" t="n"/>
      <c r="L187" s="60" t="n"/>
      <c r="M187" s="60" t="n"/>
      <c r="N187" s="60" t="n"/>
      <c r="O187" s="61" t="n"/>
      <c r="P187" s="64" t="str">
        <f>IF(A187="","",IF(AA187="Avoir",AC187,IF(ISNUMBER(K187),K187,AC187+IF(D187="",N(p_delay),IFERROR(IF(ISNUMBER(INDEX(cli_delay,MATCH(D187,cli_code,0))),INDEX(cli_delay,MATCH(D187,cli_code,0)),N(p_delay)),N(p_delay))))))</f>
        <v/>
      </c>
      <c r="Q187" s="65" t="str">
        <f>IF(A187="","",IF(AA187="Avoir",-1,1)*ROUND(AJ187-IF(AR187="",0,INDEX(fa_htb,AR187)),2))</f>
        <v/>
      </c>
      <c r="R187" s="65" t="str">
        <f>IF(A187="","",IF(AA187="Avoir",-1,1)*ROUND(AQ187-IF(AR187="",0,INDEX(fa_tvab,AR187)),2))</f>
        <v/>
      </c>
      <c r="S187" s="65" t="str">
        <f>IF(A187="","",Q187+R187)</f>
        <v/>
      </c>
      <c r="T187" s="65" t="str">
        <f>IF(AR187="","",INDEX(fa_htb,AR187)+INDEX(fa_tvab,AR187))</f>
        <v/>
      </c>
      <c r="U187" s="65" t="str">
        <f>IF(A187="","",SUMIF(pa_inv,A187,pa_amt))</f>
        <v/>
      </c>
      <c r="V187" s="65" t="str">
        <f>IF(OR(A187="",AA187="Avoir"),"",-SUMIFS(fa_ttc,fa_avof,A187,fa_type,"Avoir"))</f>
        <v/>
      </c>
      <c r="W187" s="65" t="str">
        <f>IF(OR(A187="",AA187="Avoir"),"",ROUND(S187-U187-V187,2))</f>
        <v/>
      </c>
      <c r="X187" s="66" t="str">
        <f>IF(W187="","",IF(AND(W187&gt;0,p_asof&gt;P187),p_asof-P187,""))</f>
        <v/>
      </c>
      <c r="Y187" s="59" t="str">
        <f>IF(A187="","",IF(AA187="Avoir","Avoir",IF(W187&lt;0,"Trop-perçu",IF(W187=0,"Soldée",IF(p_asof&gt;P187,"En retard",IF(U187+V187&gt;0,"Partielle","À échoir"))))))</f>
        <v/>
      </c>
      <c r="Z187" s="59" t="str">
        <f>IF(NOT(COUNTA(B187:D187,F187:O187)&gt;0),"",IF(C187="","Date manquante",IF(NOT(ISNUMBER(C187)),"Date invalide",IF(D187="","Client manquant",IF(ISNA(MATCH(D187,cli_code,0)),"Client inconnu",IF(AC187&lt;SUMPRODUCT(MAX(($AB$6:AB186=AB187)*$AC$6:AC186)),"Date antérieure à la facture précédente",IF(AND(F187&lt;&gt;"",ISNA(MATCH(F187,dv_num,0))),"Devis inconnu",IF(AND(F187&lt;&gt;"",IFERROR(INDEX(dv_client,MATCH(F187,dv_num,0)),D187)&lt;&gt;D187),"Client différent de celui du devis",IF(AG187="","Aucune ligne : saisissez des lignes ou un devis",IF(AND(AI187&lt;&gt;"",COUNTIF($AI$6:AI187,AI187)&gt;1),"Devis déjà repris par une autre facture",IF(AND(AA187="Avoir",M187=""),"Avoir : indiquez la facture d'origine",IF(AND(AA187="Avoir",ISNA(MATCH(M187,fa_num,0))),"Facture d'origine inconnue",IF(AND(AA187&lt;&gt;"Avoir",M187&lt;&gt;""),"« Avoir sur facture » : réservé aux avoirs",IF(AND(L187&lt;&gt;"",AA187&lt;&gt;"Facture"),"Acompte à déduire : réservé aux factures",IF(AND(L187&lt;&gt;"",ISNA(MATCH(L187,fa_num,0))),"Facture d'acompte inconnue",IF(AND(L187&lt;&gt;"",IFERROR(INDEX(fa_type,MATCH(L187,fa_num,0)),"")&lt;&gt;"Facture d'acompte"),"Le n° à déduire n'est pas une facture d'acompte",IF(AND(L187&lt;&gt;"",COUNTIF($L$6:L187,L187)&gt;1),"Acompte déjà déduit sur une autre facture",IF(AND(L187&lt;&gt;"",IFERROR(INDEX(fa_client,MATCH(L187,fa_num,0)),D187)&lt;&gt;D187),"Acompte d'un autre client",IF(AND(AR187&lt;&gt;"",N(Q187)&lt;0),"Acompte supérieur au total de la facture",IF(IF(AG187="Facture",COUNTIFS(fl_doc,A187,fl_check,"&lt;&gt;OK"),IF(AG187="Devis",COUNTIFS(dl_doc,F187,dl_check,"&lt;&gt;OK"),0))&gt;0,"Ligne(s) à corriger",IF(AND(W187&lt;&gt;"",N(W187)&lt;0),"Trop-perçu : vérifiez paiements et avoirs","OK")))))))))))))))))))))</f>
        <v/>
      </c>
      <c r="AA187" s="62" t="str">
        <f>IF(COUNTA(B187:D187,F187:O187)&gt;0,IF(B187="","Facture",B187),"")</f>
        <v/>
      </c>
      <c r="AB187" s="62" t="str">
        <f>IF(AA187="","",IF(AA187="Avoir",p_pav,IF(AA187="Facture d'acompte",p_pac,p_pfa)))</f>
        <v/>
      </c>
      <c r="AC187" s="62">
        <f>IF(ISNUMBER(C187),C187,0)</f>
        <v>0.0</v>
      </c>
      <c r="AD187" s="62" t="str">
        <f>IF(OR(AA187="",AC187=0),"",YEAR(AC187))</f>
        <v/>
      </c>
      <c r="AE187" s="62" t="str">
        <f>IF(AD187="","",COUNTIFS($AB$6:AB187,AB187,$AD$6:AD187,AD187))</f>
        <v/>
      </c>
      <c r="AF187" s="62">
        <f>IF(A187="",0,COUNTIF(fl_doc,A187))</f>
        <v>0.0</v>
      </c>
      <c r="AG187" s="62" t="str">
        <f>IF(A187="","",IF(AF187&gt;0,"Facture",IF(AND(F187&lt;&gt;"",AA187="Facture",ISNUMBER(MATCH(F187,dv_num,0))),"Devis","")))</f>
        <v/>
      </c>
      <c r="AH187" s="62" t="str">
        <f>IF(AND(A187&lt;&gt;"",F187&lt;&gt;"",AA187&lt;&gt;"Avoir"),F187,"")</f>
        <v/>
      </c>
      <c r="AI187" s="62" t="str">
        <f>IF(AG187="Devis",F187,"")</f>
        <v/>
      </c>
      <c r="AJ187" s="62">
        <f>IF(AG187="Facture",SUMIF(fl_doc,A187,fl_ht),IF(AG187="Devis",SUMIF(dl_doc,F187,dl_ht),0))</f>
        <v>0.0</v>
      </c>
      <c r="AK187" s="62">
        <f>IF(OR(AG187="",INDEX(p_rates,1)=""),0,IF(AG187="Facture",SUMIFS(fl_ht,fl_doc,A187,fl_rate,INDEX(p_rates,1)),SUMIFS(dl_ht,dl_doc,F187,dl_rate,INDEX(p_rates,1))))</f>
        <v>0.0</v>
      </c>
      <c r="AL187" s="62">
        <f>IF(OR(AG187="",INDEX(p_rates,2)=""),0,IF(AG187="Facture",SUMIFS(fl_ht,fl_doc,A187,fl_rate,INDEX(p_rates,2)),SUMIFS(dl_ht,dl_doc,F187,dl_rate,INDEX(p_rates,2))))</f>
        <v>0.0</v>
      </c>
      <c r="AM187" s="62">
        <f>IF(OR(AG187="",INDEX(p_rates,3)=""),0,IF(AG187="Facture",SUMIFS(fl_ht,fl_doc,A187,fl_rate,INDEX(p_rates,3)),SUMIFS(dl_ht,dl_doc,F187,dl_rate,INDEX(p_rates,3))))</f>
        <v>0.0</v>
      </c>
      <c r="AN187" s="62">
        <f>IF(OR(AG187="",INDEX(p_rates,4)=""),0,IF(AG187="Facture",SUMIFS(fl_ht,fl_doc,A187,fl_rate,INDEX(p_rates,4)),SUMIFS(dl_ht,dl_doc,F187,dl_rate,INDEX(p_rates,4))))</f>
        <v>0.0</v>
      </c>
      <c r="AO187" s="62">
        <f>IF(OR(AG187="",INDEX(p_rates,5)=""),0,IF(AG187="Facture",SUMIFS(fl_ht,fl_doc,A187,fl_rate,INDEX(p_rates,5)),SUMIFS(dl_ht,dl_doc,F187,dl_rate,INDEX(p_rates,5))))</f>
        <v>0.0</v>
      </c>
      <c r="AP187" s="62">
        <f>IF(OR(AG187="",INDEX(p_rates,6)=""),0,IF(AG187="Facture",SUMIFS(fl_ht,fl_doc,A187,fl_rate,INDEX(p_rates,6)),SUMIFS(dl_ht,dl_doc,F187,dl_rate,INDEX(p_rates,6))))</f>
        <v>0.0</v>
      </c>
      <c r="AQ187" s="62">
        <f>ROUND(AK187*N(INDEX(p_rates,1)),2)+ROUND(AL187*N(INDEX(p_rates,2)),2)+ROUND(AM187*N(INDEX(p_rates,3)),2)+ROUND(AN187*N(INDEX(p_rates,4)),2)+ROUND(AO187*N(INDEX(p_rates,5)),2)+ROUND(AP187*N(INDEX(p_rates,6)),2)</f>
        <v>0.0</v>
      </c>
      <c r="AR187" s="62" t="str">
        <f>IF(OR(L187="",AA187&lt;&gt;"Facture"),"",IFERROR(IF(INDEX(fa_type,MATCH(L187,fa_num,0))="Facture d'acompte",MATCH(L187,fa_num,0),""),""))</f>
        <v/>
      </c>
      <c r="AS187" s="62" t="str">
        <f>IF(W187="","",IF(W187&lt;=0,"",IF(p_asof-P187&lt;=0,"Non échu",IF(p_asof-P187&lt;=30,"1-30 j",IF(p_asof-P187&lt;=60,"31-60 j",IF(p_asof-P187&lt;=90,"61-90 j","Plus de 90 j"))))))</f>
        <v/>
      </c>
      <c r="AT187" s="62" t="str">
        <f>IF(AS187="","",p_asof-P187)</f>
        <v/>
      </c>
      <c r="AU187" s="62" t="str">
        <f>IF(AT187="","",COUNTIF($AT$6:$AT$805,"&gt;"&amp;AT187)+COUNTIF($AT$6:AT187,AT187))</f>
        <v/>
      </c>
    </row>
    <row r="188">
      <c r="A188" s="59" t="str">
        <f>IF(AE188="","",AB188&amp;"-"&amp;AD188&amp;"-"&amp;RIGHT("000"&amp;AE188,4))</f>
        <v/>
      </c>
      <c r="B188" s="60" t="n"/>
      <c r="C188" s="61" t="n"/>
      <c r="D188" s="60" t="n"/>
      <c r="E188" s="62" t="str">
        <f>IF(D188="","",IFERROR(INDEX(cli_name,MATCH(D188,cli_code,0))&amp;"","Client inconnu"))</f>
        <v/>
      </c>
      <c r="F188" s="60" t="n"/>
      <c r="G188" s="63" t="n"/>
      <c r="H188" s="61" t="n"/>
      <c r="I188" s="63" t="n"/>
      <c r="J188" s="60" t="n"/>
      <c r="K188" s="61" t="n"/>
      <c r="L188" s="60" t="n"/>
      <c r="M188" s="60" t="n"/>
      <c r="N188" s="60" t="n"/>
      <c r="O188" s="61" t="n"/>
      <c r="P188" s="64" t="str">
        <f>IF(A188="","",IF(AA188="Avoir",AC188,IF(ISNUMBER(K188),K188,AC188+IF(D188="",N(p_delay),IFERROR(IF(ISNUMBER(INDEX(cli_delay,MATCH(D188,cli_code,0))),INDEX(cli_delay,MATCH(D188,cli_code,0)),N(p_delay)),N(p_delay))))))</f>
        <v/>
      </c>
      <c r="Q188" s="65" t="str">
        <f>IF(A188="","",IF(AA188="Avoir",-1,1)*ROUND(AJ188-IF(AR188="",0,INDEX(fa_htb,AR188)),2))</f>
        <v/>
      </c>
      <c r="R188" s="65" t="str">
        <f>IF(A188="","",IF(AA188="Avoir",-1,1)*ROUND(AQ188-IF(AR188="",0,INDEX(fa_tvab,AR188)),2))</f>
        <v/>
      </c>
      <c r="S188" s="65" t="str">
        <f>IF(A188="","",Q188+R188)</f>
        <v/>
      </c>
      <c r="T188" s="65" t="str">
        <f>IF(AR188="","",INDEX(fa_htb,AR188)+INDEX(fa_tvab,AR188))</f>
        <v/>
      </c>
      <c r="U188" s="65" t="str">
        <f>IF(A188="","",SUMIF(pa_inv,A188,pa_amt))</f>
        <v/>
      </c>
      <c r="V188" s="65" t="str">
        <f>IF(OR(A188="",AA188="Avoir"),"",-SUMIFS(fa_ttc,fa_avof,A188,fa_type,"Avoir"))</f>
        <v/>
      </c>
      <c r="W188" s="65" t="str">
        <f>IF(OR(A188="",AA188="Avoir"),"",ROUND(S188-U188-V188,2))</f>
        <v/>
      </c>
      <c r="X188" s="66" t="str">
        <f>IF(W188="","",IF(AND(W188&gt;0,p_asof&gt;P188),p_asof-P188,""))</f>
        <v/>
      </c>
      <c r="Y188" s="59" t="str">
        <f>IF(A188="","",IF(AA188="Avoir","Avoir",IF(W188&lt;0,"Trop-perçu",IF(W188=0,"Soldée",IF(p_asof&gt;P188,"En retard",IF(U188+V188&gt;0,"Partielle","À échoir"))))))</f>
        <v/>
      </c>
      <c r="Z188" s="59" t="str">
        <f>IF(NOT(COUNTA(B188:D188,F188:O188)&gt;0),"",IF(C188="","Date manquante",IF(NOT(ISNUMBER(C188)),"Date invalide",IF(D188="","Client manquant",IF(ISNA(MATCH(D188,cli_code,0)),"Client inconnu",IF(AC188&lt;SUMPRODUCT(MAX(($AB$6:AB187=AB188)*$AC$6:AC187)),"Date antérieure à la facture précédente",IF(AND(F188&lt;&gt;"",ISNA(MATCH(F188,dv_num,0))),"Devis inconnu",IF(AND(F188&lt;&gt;"",IFERROR(INDEX(dv_client,MATCH(F188,dv_num,0)),D188)&lt;&gt;D188),"Client différent de celui du devis",IF(AG188="","Aucune ligne : saisissez des lignes ou un devis",IF(AND(AI188&lt;&gt;"",COUNTIF($AI$6:AI188,AI188)&gt;1),"Devis déjà repris par une autre facture",IF(AND(AA188="Avoir",M188=""),"Avoir : indiquez la facture d'origine",IF(AND(AA188="Avoir",ISNA(MATCH(M188,fa_num,0))),"Facture d'origine inconnue",IF(AND(AA188&lt;&gt;"Avoir",M188&lt;&gt;""),"« Avoir sur facture » : réservé aux avoirs",IF(AND(L188&lt;&gt;"",AA188&lt;&gt;"Facture"),"Acompte à déduire : réservé aux factures",IF(AND(L188&lt;&gt;"",ISNA(MATCH(L188,fa_num,0))),"Facture d'acompte inconnue",IF(AND(L188&lt;&gt;"",IFERROR(INDEX(fa_type,MATCH(L188,fa_num,0)),"")&lt;&gt;"Facture d'acompte"),"Le n° à déduire n'est pas une facture d'acompte",IF(AND(L188&lt;&gt;"",COUNTIF($L$6:L188,L188)&gt;1),"Acompte déjà déduit sur une autre facture",IF(AND(L188&lt;&gt;"",IFERROR(INDEX(fa_client,MATCH(L188,fa_num,0)),D188)&lt;&gt;D188),"Acompte d'un autre client",IF(AND(AR188&lt;&gt;"",N(Q188)&lt;0),"Acompte supérieur au total de la facture",IF(IF(AG188="Facture",COUNTIFS(fl_doc,A188,fl_check,"&lt;&gt;OK"),IF(AG188="Devis",COUNTIFS(dl_doc,F188,dl_check,"&lt;&gt;OK"),0))&gt;0,"Ligne(s) à corriger",IF(AND(W188&lt;&gt;"",N(W188)&lt;0),"Trop-perçu : vérifiez paiements et avoirs","OK")))))))))))))))))))))</f>
        <v/>
      </c>
      <c r="AA188" s="62" t="str">
        <f>IF(COUNTA(B188:D188,F188:O188)&gt;0,IF(B188="","Facture",B188),"")</f>
        <v/>
      </c>
      <c r="AB188" s="62" t="str">
        <f>IF(AA188="","",IF(AA188="Avoir",p_pav,IF(AA188="Facture d'acompte",p_pac,p_pfa)))</f>
        <v/>
      </c>
      <c r="AC188" s="62">
        <f>IF(ISNUMBER(C188),C188,0)</f>
        <v>0.0</v>
      </c>
      <c r="AD188" s="62" t="str">
        <f>IF(OR(AA188="",AC188=0),"",YEAR(AC188))</f>
        <v/>
      </c>
      <c r="AE188" s="62" t="str">
        <f>IF(AD188="","",COUNTIFS($AB$6:AB188,AB188,$AD$6:AD188,AD188))</f>
        <v/>
      </c>
      <c r="AF188" s="62">
        <f>IF(A188="",0,COUNTIF(fl_doc,A188))</f>
        <v>0.0</v>
      </c>
      <c r="AG188" s="62" t="str">
        <f>IF(A188="","",IF(AF188&gt;0,"Facture",IF(AND(F188&lt;&gt;"",AA188="Facture",ISNUMBER(MATCH(F188,dv_num,0))),"Devis","")))</f>
        <v/>
      </c>
      <c r="AH188" s="62" t="str">
        <f>IF(AND(A188&lt;&gt;"",F188&lt;&gt;"",AA188&lt;&gt;"Avoir"),F188,"")</f>
        <v/>
      </c>
      <c r="AI188" s="62" t="str">
        <f>IF(AG188="Devis",F188,"")</f>
        <v/>
      </c>
      <c r="AJ188" s="62">
        <f>IF(AG188="Facture",SUMIF(fl_doc,A188,fl_ht),IF(AG188="Devis",SUMIF(dl_doc,F188,dl_ht),0))</f>
        <v>0.0</v>
      </c>
      <c r="AK188" s="62">
        <f>IF(OR(AG188="",INDEX(p_rates,1)=""),0,IF(AG188="Facture",SUMIFS(fl_ht,fl_doc,A188,fl_rate,INDEX(p_rates,1)),SUMIFS(dl_ht,dl_doc,F188,dl_rate,INDEX(p_rates,1))))</f>
        <v>0.0</v>
      </c>
      <c r="AL188" s="62">
        <f>IF(OR(AG188="",INDEX(p_rates,2)=""),0,IF(AG188="Facture",SUMIFS(fl_ht,fl_doc,A188,fl_rate,INDEX(p_rates,2)),SUMIFS(dl_ht,dl_doc,F188,dl_rate,INDEX(p_rates,2))))</f>
        <v>0.0</v>
      </c>
      <c r="AM188" s="62">
        <f>IF(OR(AG188="",INDEX(p_rates,3)=""),0,IF(AG188="Facture",SUMIFS(fl_ht,fl_doc,A188,fl_rate,INDEX(p_rates,3)),SUMIFS(dl_ht,dl_doc,F188,dl_rate,INDEX(p_rates,3))))</f>
        <v>0.0</v>
      </c>
      <c r="AN188" s="62">
        <f>IF(OR(AG188="",INDEX(p_rates,4)=""),0,IF(AG188="Facture",SUMIFS(fl_ht,fl_doc,A188,fl_rate,INDEX(p_rates,4)),SUMIFS(dl_ht,dl_doc,F188,dl_rate,INDEX(p_rates,4))))</f>
        <v>0.0</v>
      </c>
      <c r="AO188" s="62">
        <f>IF(OR(AG188="",INDEX(p_rates,5)=""),0,IF(AG188="Facture",SUMIFS(fl_ht,fl_doc,A188,fl_rate,INDEX(p_rates,5)),SUMIFS(dl_ht,dl_doc,F188,dl_rate,INDEX(p_rates,5))))</f>
        <v>0.0</v>
      </c>
      <c r="AP188" s="62">
        <f>IF(OR(AG188="",INDEX(p_rates,6)=""),0,IF(AG188="Facture",SUMIFS(fl_ht,fl_doc,A188,fl_rate,INDEX(p_rates,6)),SUMIFS(dl_ht,dl_doc,F188,dl_rate,INDEX(p_rates,6))))</f>
        <v>0.0</v>
      </c>
      <c r="AQ188" s="62">
        <f>ROUND(AK188*N(INDEX(p_rates,1)),2)+ROUND(AL188*N(INDEX(p_rates,2)),2)+ROUND(AM188*N(INDEX(p_rates,3)),2)+ROUND(AN188*N(INDEX(p_rates,4)),2)+ROUND(AO188*N(INDEX(p_rates,5)),2)+ROUND(AP188*N(INDEX(p_rates,6)),2)</f>
        <v>0.0</v>
      </c>
      <c r="AR188" s="62" t="str">
        <f>IF(OR(L188="",AA188&lt;&gt;"Facture"),"",IFERROR(IF(INDEX(fa_type,MATCH(L188,fa_num,0))="Facture d'acompte",MATCH(L188,fa_num,0),""),""))</f>
        <v/>
      </c>
      <c r="AS188" s="62" t="str">
        <f>IF(W188="","",IF(W188&lt;=0,"",IF(p_asof-P188&lt;=0,"Non échu",IF(p_asof-P188&lt;=30,"1-30 j",IF(p_asof-P188&lt;=60,"31-60 j",IF(p_asof-P188&lt;=90,"61-90 j","Plus de 90 j"))))))</f>
        <v/>
      </c>
      <c r="AT188" s="62" t="str">
        <f>IF(AS188="","",p_asof-P188)</f>
        <v/>
      </c>
      <c r="AU188" s="62" t="str">
        <f>IF(AT188="","",COUNTIF($AT$6:$AT$805,"&gt;"&amp;AT188)+COUNTIF($AT$6:AT188,AT188))</f>
        <v/>
      </c>
    </row>
    <row r="189">
      <c r="A189" s="59" t="str">
        <f>IF(AE189="","",AB189&amp;"-"&amp;AD189&amp;"-"&amp;RIGHT("000"&amp;AE189,4))</f>
        <v/>
      </c>
      <c r="B189" s="60" t="n"/>
      <c r="C189" s="61" t="n"/>
      <c r="D189" s="60" t="n"/>
      <c r="E189" s="62" t="str">
        <f>IF(D189="","",IFERROR(INDEX(cli_name,MATCH(D189,cli_code,0))&amp;"","Client inconnu"))</f>
        <v/>
      </c>
      <c r="F189" s="60" t="n"/>
      <c r="G189" s="63" t="n"/>
      <c r="H189" s="61" t="n"/>
      <c r="I189" s="63" t="n"/>
      <c r="J189" s="60" t="n"/>
      <c r="K189" s="61" t="n"/>
      <c r="L189" s="60" t="n"/>
      <c r="M189" s="60" t="n"/>
      <c r="N189" s="60" t="n"/>
      <c r="O189" s="61" t="n"/>
      <c r="P189" s="64" t="str">
        <f>IF(A189="","",IF(AA189="Avoir",AC189,IF(ISNUMBER(K189),K189,AC189+IF(D189="",N(p_delay),IFERROR(IF(ISNUMBER(INDEX(cli_delay,MATCH(D189,cli_code,0))),INDEX(cli_delay,MATCH(D189,cli_code,0)),N(p_delay)),N(p_delay))))))</f>
        <v/>
      </c>
      <c r="Q189" s="65" t="str">
        <f>IF(A189="","",IF(AA189="Avoir",-1,1)*ROUND(AJ189-IF(AR189="",0,INDEX(fa_htb,AR189)),2))</f>
        <v/>
      </c>
      <c r="R189" s="65" t="str">
        <f>IF(A189="","",IF(AA189="Avoir",-1,1)*ROUND(AQ189-IF(AR189="",0,INDEX(fa_tvab,AR189)),2))</f>
        <v/>
      </c>
      <c r="S189" s="65" t="str">
        <f>IF(A189="","",Q189+R189)</f>
        <v/>
      </c>
      <c r="T189" s="65" t="str">
        <f>IF(AR189="","",INDEX(fa_htb,AR189)+INDEX(fa_tvab,AR189))</f>
        <v/>
      </c>
      <c r="U189" s="65" t="str">
        <f>IF(A189="","",SUMIF(pa_inv,A189,pa_amt))</f>
        <v/>
      </c>
      <c r="V189" s="65" t="str">
        <f>IF(OR(A189="",AA189="Avoir"),"",-SUMIFS(fa_ttc,fa_avof,A189,fa_type,"Avoir"))</f>
        <v/>
      </c>
      <c r="W189" s="65" t="str">
        <f>IF(OR(A189="",AA189="Avoir"),"",ROUND(S189-U189-V189,2))</f>
        <v/>
      </c>
      <c r="X189" s="66" t="str">
        <f>IF(W189="","",IF(AND(W189&gt;0,p_asof&gt;P189),p_asof-P189,""))</f>
        <v/>
      </c>
      <c r="Y189" s="59" t="str">
        <f>IF(A189="","",IF(AA189="Avoir","Avoir",IF(W189&lt;0,"Trop-perçu",IF(W189=0,"Soldée",IF(p_asof&gt;P189,"En retard",IF(U189+V189&gt;0,"Partielle","À échoir"))))))</f>
        <v/>
      </c>
      <c r="Z189" s="59" t="str">
        <f>IF(NOT(COUNTA(B189:D189,F189:O189)&gt;0),"",IF(C189="","Date manquante",IF(NOT(ISNUMBER(C189)),"Date invalide",IF(D189="","Client manquant",IF(ISNA(MATCH(D189,cli_code,0)),"Client inconnu",IF(AC189&lt;SUMPRODUCT(MAX(($AB$6:AB188=AB189)*$AC$6:AC188)),"Date antérieure à la facture précédente",IF(AND(F189&lt;&gt;"",ISNA(MATCH(F189,dv_num,0))),"Devis inconnu",IF(AND(F189&lt;&gt;"",IFERROR(INDEX(dv_client,MATCH(F189,dv_num,0)),D189)&lt;&gt;D189),"Client différent de celui du devis",IF(AG189="","Aucune ligne : saisissez des lignes ou un devis",IF(AND(AI189&lt;&gt;"",COUNTIF($AI$6:AI189,AI189)&gt;1),"Devis déjà repris par une autre facture",IF(AND(AA189="Avoir",M189=""),"Avoir : indiquez la facture d'origine",IF(AND(AA189="Avoir",ISNA(MATCH(M189,fa_num,0))),"Facture d'origine inconnue",IF(AND(AA189&lt;&gt;"Avoir",M189&lt;&gt;""),"« Avoir sur facture » : réservé aux avoirs",IF(AND(L189&lt;&gt;"",AA189&lt;&gt;"Facture"),"Acompte à déduire : réservé aux factures",IF(AND(L189&lt;&gt;"",ISNA(MATCH(L189,fa_num,0))),"Facture d'acompte inconnue",IF(AND(L189&lt;&gt;"",IFERROR(INDEX(fa_type,MATCH(L189,fa_num,0)),"")&lt;&gt;"Facture d'acompte"),"Le n° à déduire n'est pas une facture d'acompte",IF(AND(L189&lt;&gt;"",COUNTIF($L$6:L189,L189)&gt;1),"Acompte déjà déduit sur une autre facture",IF(AND(L189&lt;&gt;"",IFERROR(INDEX(fa_client,MATCH(L189,fa_num,0)),D189)&lt;&gt;D189),"Acompte d'un autre client",IF(AND(AR189&lt;&gt;"",N(Q189)&lt;0),"Acompte supérieur au total de la facture",IF(IF(AG189="Facture",COUNTIFS(fl_doc,A189,fl_check,"&lt;&gt;OK"),IF(AG189="Devis",COUNTIFS(dl_doc,F189,dl_check,"&lt;&gt;OK"),0))&gt;0,"Ligne(s) à corriger",IF(AND(W189&lt;&gt;"",N(W189)&lt;0),"Trop-perçu : vérifiez paiements et avoirs","OK")))))))))))))))))))))</f>
        <v/>
      </c>
      <c r="AA189" s="62" t="str">
        <f>IF(COUNTA(B189:D189,F189:O189)&gt;0,IF(B189="","Facture",B189),"")</f>
        <v/>
      </c>
      <c r="AB189" s="62" t="str">
        <f>IF(AA189="","",IF(AA189="Avoir",p_pav,IF(AA189="Facture d'acompte",p_pac,p_pfa)))</f>
        <v/>
      </c>
      <c r="AC189" s="62">
        <f>IF(ISNUMBER(C189),C189,0)</f>
        <v>0.0</v>
      </c>
      <c r="AD189" s="62" t="str">
        <f>IF(OR(AA189="",AC189=0),"",YEAR(AC189))</f>
        <v/>
      </c>
      <c r="AE189" s="62" t="str">
        <f>IF(AD189="","",COUNTIFS($AB$6:AB189,AB189,$AD$6:AD189,AD189))</f>
        <v/>
      </c>
      <c r="AF189" s="62">
        <f>IF(A189="",0,COUNTIF(fl_doc,A189))</f>
        <v>0.0</v>
      </c>
      <c r="AG189" s="62" t="str">
        <f>IF(A189="","",IF(AF189&gt;0,"Facture",IF(AND(F189&lt;&gt;"",AA189="Facture",ISNUMBER(MATCH(F189,dv_num,0))),"Devis","")))</f>
        <v/>
      </c>
      <c r="AH189" s="62" t="str">
        <f>IF(AND(A189&lt;&gt;"",F189&lt;&gt;"",AA189&lt;&gt;"Avoir"),F189,"")</f>
        <v/>
      </c>
      <c r="AI189" s="62" t="str">
        <f>IF(AG189="Devis",F189,"")</f>
        <v/>
      </c>
      <c r="AJ189" s="62">
        <f>IF(AG189="Facture",SUMIF(fl_doc,A189,fl_ht),IF(AG189="Devis",SUMIF(dl_doc,F189,dl_ht),0))</f>
        <v>0.0</v>
      </c>
      <c r="AK189" s="62">
        <f>IF(OR(AG189="",INDEX(p_rates,1)=""),0,IF(AG189="Facture",SUMIFS(fl_ht,fl_doc,A189,fl_rate,INDEX(p_rates,1)),SUMIFS(dl_ht,dl_doc,F189,dl_rate,INDEX(p_rates,1))))</f>
        <v>0.0</v>
      </c>
      <c r="AL189" s="62">
        <f>IF(OR(AG189="",INDEX(p_rates,2)=""),0,IF(AG189="Facture",SUMIFS(fl_ht,fl_doc,A189,fl_rate,INDEX(p_rates,2)),SUMIFS(dl_ht,dl_doc,F189,dl_rate,INDEX(p_rates,2))))</f>
        <v>0.0</v>
      </c>
      <c r="AM189" s="62">
        <f>IF(OR(AG189="",INDEX(p_rates,3)=""),0,IF(AG189="Facture",SUMIFS(fl_ht,fl_doc,A189,fl_rate,INDEX(p_rates,3)),SUMIFS(dl_ht,dl_doc,F189,dl_rate,INDEX(p_rates,3))))</f>
        <v>0.0</v>
      </c>
      <c r="AN189" s="62">
        <f>IF(OR(AG189="",INDEX(p_rates,4)=""),0,IF(AG189="Facture",SUMIFS(fl_ht,fl_doc,A189,fl_rate,INDEX(p_rates,4)),SUMIFS(dl_ht,dl_doc,F189,dl_rate,INDEX(p_rates,4))))</f>
        <v>0.0</v>
      </c>
      <c r="AO189" s="62">
        <f>IF(OR(AG189="",INDEX(p_rates,5)=""),0,IF(AG189="Facture",SUMIFS(fl_ht,fl_doc,A189,fl_rate,INDEX(p_rates,5)),SUMIFS(dl_ht,dl_doc,F189,dl_rate,INDEX(p_rates,5))))</f>
        <v>0.0</v>
      </c>
      <c r="AP189" s="62">
        <f>IF(OR(AG189="",INDEX(p_rates,6)=""),0,IF(AG189="Facture",SUMIFS(fl_ht,fl_doc,A189,fl_rate,INDEX(p_rates,6)),SUMIFS(dl_ht,dl_doc,F189,dl_rate,INDEX(p_rates,6))))</f>
        <v>0.0</v>
      </c>
      <c r="AQ189" s="62">
        <f>ROUND(AK189*N(INDEX(p_rates,1)),2)+ROUND(AL189*N(INDEX(p_rates,2)),2)+ROUND(AM189*N(INDEX(p_rates,3)),2)+ROUND(AN189*N(INDEX(p_rates,4)),2)+ROUND(AO189*N(INDEX(p_rates,5)),2)+ROUND(AP189*N(INDEX(p_rates,6)),2)</f>
        <v>0.0</v>
      </c>
      <c r="AR189" s="62" t="str">
        <f>IF(OR(L189="",AA189&lt;&gt;"Facture"),"",IFERROR(IF(INDEX(fa_type,MATCH(L189,fa_num,0))="Facture d'acompte",MATCH(L189,fa_num,0),""),""))</f>
        <v/>
      </c>
      <c r="AS189" s="62" t="str">
        <f>IF(W189="","",IF(W189&lt;=0,"",IF(p_asof-P189&lt;=0,"Non échu",IF(p_asof-P189&lt;=30,"1-30 j",IF(p_asof-P189&lt;=60,"31-60 j",IF(p_asof-P189&lt;=90,"61-90 j","Plus de 90 j"))))))</f>
        <v/>
      </c>
      <c r="AT189" s="62" t="str">
        <f>IF(AS189="","",p_asof-P189)</f>
        <v/>
      </c>
      <c r="AU189" s="62" t="str">
        <f>IF(AT189="","",COUNTIF($AT$6:$AT$805,"&gt;"&amp;AT189)+COUNTIF($AT$6:AT189,AT189))</f>
        <v/>
      </c>
    </row>
    <row r="190">
      <c r="A190" s="59" t="str">
        <f>IF(AE190="","",AB190&amp;"-"&amp;AD190&amp;"-"&amp;RIGHT("000"&amp;AE190,4))</f>
        <v/>
      </c>
      <c r="B190" s="60" t="n"/>
      <c r="C190" s="61" t="n"/>
      <c r="D190" s="60" t="n"/>
      <c r="E190" s="62" t="str">
        <f>IF(D190="","",IFERROR(INDEX(cli_name,MATCH(D190,cli_code,0))&amp;"","Client inconnu"))</f>
        <v/>
      </c>
      <c r="F190" s="60" t="n"/>
      <c r="G190" s="63" t="n"/>
      <c r="H190" s="61" t="n"/>
      <c r="I190" s="63" t="n"/>
      <c r="J190" s="60" t="n"/>
      <c r="K190" s="61" t="n"/>
      <c r="L190" s="60" t="n"/>
      <c r="M190" s="60" t="n"/>
      <c r="N190" s="60" t="n"/>
      <c r="O190" s="61" t="n"/>
      <c r="P190" s="64" t="str">
        <f>IF(A190="","",IF(AA190="Avoir",AC190,IF(ISNUMBER(K190),K190,AC190+IF(D190="",N(p_delay),IFERROR(IF(ISNUMBER(INDEX(cli_delay,MATCH(D190,cli_code,0))),INDEX(cli_delay,MATCH(D190,cli_code,0)),N(p_delay)),N(p_delay))))))</f>
        <v/>
      </c>
      <c r="Q190" s="65" t="str">
        <f>IF(A190="","",IF(AA190="Avoir",-1,1)*ROUND(AJ190-IF(AR190="",0,INDEX(fa_htb,AR190)),2))</f>
        <v/>
      </c>
      <c r="R190" s="65" t="str">
        <f>IF(A190="","",IF(AA190="Avoir",-1,1)*ROUND(AQ190-IF(AR190="",0,INDEX(fa_tvab,AR190)),2))</f>
        <v/>
      </c>
      <c r="S190" s="65" t="str">
        <f>IF(A190="","",Q190+R190)</f>
        <v/>
      </c>
      <c r="T190" s="65" t="str">
        <f>IF(AR190="","",INDEX(fa_htb,AR190)+INDEX(fa_tvab,AR190))</f>
        <v/>
      </c>
      <c r="U190" s="65" t="str">
        <f>IF(A190="","",SUMIF(pa_inv,A190,pa_amt))</f>
        <v/>
      </c>
      <c r="V190" s="65" t="str">
        <f>IF(OR(A190="",AA190="Avoir"),"",-SUMIFS(fa_ttc,fa_avof,A190,fa_type,"Avoir"))</f>
        <v/>
      </c>
      <c r="W190" s="65" t="str">
        <f>IF(OR(A190="",AA190="Avoir"),"",ROUND(S190-U190-V190,2))</f>
        <v/>
      </c>
      <c r="X190" s="66" t="str">
        <f>IF(W190="","",IF(AND(W190&gt;0,p_asof&gt;P190),p_asof-P190,""))</f>
        <v/>
      </c>
      <c r="Y190" s="59" t="str">
        <f>IF(A190="","",IF(AA190="Avoir","Avoir",IF(W190&lt;0,"Trop-perçu",IF(W190=0,"Soldée",IF(p_asof&gt;P190,"En retard",IF(U190+V190&gt;0,"Partielle","À échoir"))))))</f>
        <v/>
      </c>
      <c r="Z190" s="59" t="str">
        <f>IF(NOT(COUNTA(B190:D190,F190:O190)&gt;0),"",IF(C190="","Date manquante",IF(NOT(ISNUMBER(C190)),"Date invalide",IF(D190="","Client manquant",IF(ISNA(MATCH(D190,cli_code,0)),"Client inconnu",IF(AC190&lt;SUMPRODUCT(MAX(($AB$6:AB189=AB190)*$AC$6:AC189)),"Date antérieure à la facture précédente",IF(AND(F190&lt;&gt;"",ISNA(MATCH(F190,dv_num,0))),"Devis inconnu",IF(AND(F190&lt;&gt;"",IFERROR(INDEX(dv_client,MATCH(F190,dv_num,0)),D190)&lt;&gt;D190),"Client différent de celui du devis",IF(AG190="","Aucune ligne : saisissez des lignes ou un devis",IF(AND(AI190&lt;&gt;"",COUNTIF($AI$6:AI190,AI190)&gt;1),"Devis déjà repris par une autre facture",IF(AND(AA190="Avoir",M190=""),"Avoir : indiquez la facture d'origine",IF(AND(AA190="Avoir",ISNA(MATCH(M190,fa_num,0))),"Facture d'origine inconnue",IF(AND(AA190&lt;&gt;"Avoir",M190&lt;&gt;""),"« Avoir sur facture » : réservé aux avoirs",IF(AND(L190&lt;&gt;"",AA190&lt;&gt;"Facture"),"Acompte à déduire : réservé aux factures",IF(AND(L190&lt;&gt;"",ISNA(MATCH(L190,fa_num,0))),"Facture d'acompte inconnue",IF(AND(L190&lt;&gt;"",IFERROR(INDEX(fa_type,MATCH(L190,fa_num,0)),"")&lt;&gt;"Facture d'acompte"),"Le n° à déduire n'est pas une facture d'acompte",IF(AND(L190&lt;&gt;"",COUNTIF($L$6:L190,L190)&gt;1),"Acompte déjà déduit sur une autre facture",IF(AND(L190&lt;&gt;"",IFERROR(INDEX(fa_client,MATCH(L190,fa_num,0)),D190)&lt;&gt;D190),"Acompte d'un autre client",IF(AND(AR190&lt;&gt;"",N(Q190)&lt;0),"Acompte supérieur au total de la facture",IF(IF(AG190="Facture",COUNTIFS(fl_doc,A190,fl_check,"&lt;&gt;OK"),IF(AG190="Devis",COUNTIFS(dl_doc,F190,dl_check,"&lt;&gt;OK"),0))&gt;0,"Ligne(s) à corriger",IF(AND(W190&lt;&gt;"",N(W190)&lt;0),"Trop-perçu : vérifiez paiements et avoirs","OK")))))))))))))))))))))</f>
        <v/>
      </c>
      <c r="AA190" s="62" t="str">
        <f>IF(COUNTA(B190:D190,F190:O190)&gt;0,IF(B190="","Facture",B190),"")</f>
        <v/>
      </c>
      <c r="AB190" s="62" t="str">
        <f>IF(AA190="","",IF(AA190="Avoir",p_pav,IF(AA190="Facture d'acompte",p_pac,p_pfa)))</f>
        <v/>
      </c>
      <c r="AC190" s="62">
        <f>IF(ISNUMBER(C190),C190,0)</f>
        <v>0.0</v>
      </c>
      <c r="AD190" s="62" t="str">
        <f>IF(OR(AA190="",AC190=0),"",YEAR(AC190))</f>
        <v/>
      </c>
      <c r="AE190" s="62" t="str">
        <f>IF(AD190="","",COUNTIFS($AB$6:AB190,AB190,$AD$6:AD190,AD190))</f>
        <v/>
      </c>
      <c r="AF190" s="62">
        <f>IF(A190="",0,COUNTIF(fl_doc,A190))</f>
        <v>0.0</v>
      </c>
      <c r="AG190" s="62" t="str">
        <f>IF(A190="","",IF(AF190&gt;0,"Facture",IF(AND(F190&lt;&gt;"",AA190="Facture",ISNUMBER(MATCH(F190,dv_num,0))),"Devis","")))</f>
        <v/>
      </c>
      <c r="AH190" s="62" t="str">
        <f>IF(AND(A190&lt;&gt;"",F190&lt;&gt;"",AA190&lt;&gt;"Avoir"),F190,"")</f>
        <v/>
      </c>
      <c r="AI190" s="62" t="str">
        <f>IF(AG190="Devis",F190,"")</f>
        <v/>
      </c>
      <c r="AJ190" s="62">
        <f>IF(AG190="Facture",SUMIF(fl_doc,A190,fl_ht),IF(AG190="Devis",SUMIF(dl_doc,F190,dl_ht),0))</f>
        <v>0.0</v>
      </c>
      <c r="AK190" s="62">
        <f>IF(OR(AG190="",INDEX(p_rates,1)=""),0,IF(AG190="Facture",SUMIFS(fl_ht,fl_doc,A190,fl_rate,INDEX(p_rates,1)),SUMIFS(dl_ht,dl_doc,F190,dl_rate,INDEX(p_rates,1))))</f>
        <v>0.0</v>
      </c>
      <c r="AL190" s="62">
        <f>IF(OR(AG190="",INDEX(p_rates,2)=""),0,IF(AG190="Facture",SUMIFS(fl_ht,fl_doc,A190,fl_rate,INDEX(p_rates,2)),SUMIFS(dl_ht,dl_doc,F190,dl_rate,INDEX(p_rates,2))))</f>
        <v>0.0</v>
      </c>
      <c r="AM190" s="62">
        <f>IF(OR(AG190="",INDEX(p_rates,3)=""),0,IF(AG190="Facture",SUMIFS(fl_ht,fl_doc,A190,fl_rate,INDEX(p_rates,3)),SUMIFS(dl_ht,dl_doc,F190,dl_rate,INDEX(p_rates,3))))</f>
        <v>0.0</v>
      </c>
      <c r="AN190" s="62">
        <f>IF(OR(AG190="",INDEX(p_rates,4)=""),0,IF(AG190="Facture",SUMIFS(fl_ht,fl_doc,A190,fl_rate,INDEX(p_rates,4)),SUMIFS(dl_ht,dl_doc,F190,dl_rate,INDEX(p_rates,4))))</f>
        <v>0.0</v>
      </c>
      <c r="AO190" s="62">
        <f>IF(OR(AG190="",INDEX(p_rates,5)=""),0,IF(AG190="Facture",SUMIFS(fl_ht,fl_doc,A190,fl_rate,INDEX(p_rates,5)),SUMIFS(dl_ht,dl_doc,F190,dl_rate,INDEX(p_rates,5))))</f>
        <v>0.0</v>
      </c>
      <c r="AP190" s="62">
        <f>IF(OR(AG190="",INDEX(p_rates,6)=""),0,IF(AG190="Facture",SUMIFS(fl_ht,fl_doc,A190,fl_rate,INDEX(p_rates,6)),SUMIFS(dl_ht,dl_doc,F190,dl_rate,INDEX(p_rates,6))))</f>
        <v>0.0</v>
      </c>
      <c r="AQ190" s="62">
        <f>ROUND(AK190*N(INDEX(p_rates,1)),2)+ROUND(AL190*N(INDEX(p_rates,2)),2)+ROUND(AM190*N(INDEX(p_rates,3)),2)+ROUND(AN190*N(INDEX(p_rates,4)),2)+ROUND(AO190*N(INDEX(p_rates,5)),2)+ROUND(AP190*N(INDEX(p_rates,6)),2)</f>
        <v>0.0</v>
      </c>
      <c r="AR190" s="62" t="str">
        <f>IF(OR(L190="",AA190&lt;&gt;"Facture"),"",IFERROR(IF(INDEX(fa_type,MATCH(L190,fa_num,0))="Facture d'acompte",MATCH(L190,fa_num,0),""),""))</f>
        <v/>
      </c>
      <c r="AS190" s="62" t="str">
        <f>IF(W190="","",IF(W190&lt;=0,"",IF(p_asof-P190&lt;=0,"Non échu",IF(p_asof-P190&lt;=30,"1-30 j",IF(p_asof-P190&lt;=60,"31-60 j",IF(p_asof-P190&lt;=90,"61-90 j","Plus de 90 j"))))))</f>
        <v/>
      </c>
      <c r="AT190" s="62" t="str">
        <f>IF(AS190="","",p_asof-P190)</f>
        <v/>
      </c>
      <c r="AU190" s="62" t="str">
        <f>IF(AT190="","",COUNTIF($AT$6:$AT$805,"&gt;"&amp;AT190)+COUNTIF($AT$6:AT190,AT190))</f>
        <v/>
      </c>
    </row>
    <row r="191">
      <c r="A191" s="59" t="str">
        <f>IF(AE191="","",AB191&amp;"-"&amp;AD191&amp;"-"&amp;RIGHT("000"&amp;AE191,4))</f>
        <v/>
      </c>
      <c r="B191" s="60" t="n"/>
      <c r="C191" s="61" t="n"/>
      <c r="D191" s="60" t="n"/>
      <c r="E191" s="62" t="str">
        <f>IF(D191="","",IFERROR(INDEX(cli_name,MATCH(D191,cli_code,0))&amp;"","Client inconnu"))</f>
        <v/>
      </c>
      <c r="F191" s="60" t="n"/>
      <c r="G191" s="63" t="n"/>
      <c r="H191" s="61" t="n"/>
      <c r="I191" s="63" t="n"/>
      <c r="J191" s="60" t="n"/>
      <c r="K191" s="61" t="n"/>
      <c r="L191" s="60" t="n"/>
      <c r="M191" s="60" t="n"/>
      <c r="N191" s="60" t="n"/>
      <c r="O191" s="61" t="n"/>
      <c r="P191" s="64" t="str">
        <f>IF(A191="","",IF(AA191="Avoir",AC191,IF(ISNUMBER(K191),K191,AC191+IF(D191="",N(p_delay),IFERROR(IF(ISNUMBER(INDEX(cli_delay,MATCH(D191,cli_code,0))),INDEX(cli_delay,MATCH(D191,cli_code,0)),N(p_delay)),N(p_delay))))))</f>
        <v/>
      </c>
      <c r="Q191" s="65" t="str">
        <f>IF(A191="","",IF(AA191="Avoir",-1,1)*ROUND(AJ191-IF(AR191="",0,INDEX(fa_htb,AR191)),2))</f>
        <v/>
      </c>
      <c r="R191" s="65" t="str">
        <f>IF(A191="","",IF(AA191="Avoir",-1,1)*ROUND(AQ191-IF(AR191="",0,INDEX(fa_tvab,AR191)),2))</f>
        <v/>
      </c>
      <c r="S191" s="65" t="str">
        <f>IF(A191="","",Q191+R191)</f>
        <v/>
      </c>
      <c r="T191" s="65" t="str">
        <f>IF(AR191="","",INDEX(fa_htb,AR191)+INDEX(fa_tvab,AR191))</f>
        <v/>
      </c>
      <c r="U191" s="65" t="str">
        <f>IF(A191="","",SUMIF(pa_inv,A191,pa_amt))</f>
        <v/>
      </c>
      <c r="V191" s="65" t="str">
        <f>IF(OR(A191="",AA191="Avoir"),"",-SUMIFS(fa_ttc,fa_avof,A191,fa_type,"Avoir"))</f>
        <v/>
      </c>
      <c r="W191" s="65" t="str">
        <f>IF(OR(A191="",AA191="Avoir"),"",ROUND(S191-U191-V191,2))</f>
        <v/>
      </c>
      <c r="X191" s="66" t="str">
        <f>IF(W191="","",IF(AND(W191&gt;0,p_asof&gt;P191),p_asof-P191,""))</f>
        <v/>
      </c>
      <c r="Y191" s="59" t="str">
        <f>IF(A191="","",IF(AA191="Avoir","Avoir",IF(W191&lt;0,"Trop-perçu",IF(W191=0,"Soldée",IF(p_asof&gt;P191,"En retard",IF(U191+V191&gt;0,"Partielle","À échoir"))))))</f>
        <v/>
      </c>
      <c r="Z191" s="59" t="str">
        <f>IF(NOT(COUNTA(B191:D191,F191:O191)&gt;0),"",IF(C191="","Date manquante",IF(NOT(ISNUMBER(C191)),"Date invalide",IF(D191="","Client manquant",IF(ISNA(MATCH(D191,cli_code,0)),"Client inconnu",IF(AC191&lt;SUMPRODUCT(MAX(($AB$6:AB190=AB191)*$AC$6:AC190)),"Date antérieure à la facture précédente",IF(AND(F191&lt;&gt;"",ISNA(MATCH(F191,dv_num,0))),"Devis inconnu",IF(AND(F191&lt;&gt;"",IFERROR(INDEX(dv_client,MATCH(F191,dv_num,0)),D191)&lt;&gt;D191),"Client différent de celui du devis",IF(AG191="","Aucune ligne : saisissez des lignes ou un devis",IF(AND(AI191&lt;&gt;"",COUNTIF($AI$6:AI191,AI191)&gt;1),"Devis déjà repris par une autre facture",IF(AND(AA191="Avoir",M191=""),"Avoir : indiquez la facture d'origine",IF(AND(AA191="Avoir",ISNA(MATCH(M191,fa_num,0))),"Facture d'origine inconnue",IF(AND(AA191&lt;&gt;"Avoir",M191&lt;&gt;""),"« Avoir sur facture » : réservé aux avoirs",IF(AND(L191&lt;&gt;"",AA191&lt;&gt;"Facture"),"Acompte à déduire : réservé aux factures",IF(AND(L191&lt;&gt;"",ISNA(MATCH(L191,fa_num,0))),"Facture d'acompte inconnue",IF(AND(L191&lt;&gt;"",IFERROR(INDEX(fa_type,MATCH(L191,fa_num,0)),"")&lt;&gt;"Facture d'acompte"),"Le n° à déduire n'est pas une facture d'acompte",IF(AND(L191&lt;&gt;"",COUNTIF($L$6:L191,L191)&gt;1),"Acompte déjà déduit sur une autre facture",IF(AND(L191&lt;&gt;"",IFERROR(INDEX(fa_client,MATCH(L191,fa_num,0)),D191)&lt;&gt;D191),"Acompte d'un autre client",IF(AND(AR191&lt;&gt;"",N(Q191)&lt;0),"Acompte supérieur au total de la facture",IF(IF(AG191="Facture",COUNTIFS(fl_doc,A191,fl_check,"&lt;&gt;OK"),IF(AG191="Devis",COUNTIFS(dl_doc,F191,dl_check,"&lt;&gt;OK"),0))&gt;0,"Ligne(s) à corriger",IF(AND(W191&lt;&gt;"",N(W191)&lt;0),"Trop-perçu : vérifiez paiements et avoirs","OK")))))))))))))))))))))</f>
        <v/>
      </c>
      <c r="AA191" s="62" t="str">
        <f>IF(COUNTA(B191:D191,F191:O191)&gt;0,IF(B191="","Facture",B191),"")</f>
        <v/>
      </c>
      <c r="AB191" s="62" t="str">
        <f>IF(AA191="","",IF(AA191="Avoir",p_pav,IF(AA191="Facture d'acompte",p_pac,p_pfa)))</f>
        <v/>
      </c>
      <c r="AC191" s="62">
        <f>IF(ISNUMBER(C191),C191,0)</f>
        <v>0.0</v>
      </c>
      <c r="AD191" s="62" t="str">
        <f>IF(OR(AA191="",AC191=0),"",YEAR(AC191))</f>
        <v/>
      </c>
      <c r="AE191" s="62" t="str">
        <f>IF(AD191="","",COUNTIFS($AB$6:AB191,AB191,$AD$6:AD191,AD191))</f>
        <v/>
      </c>
      <c r="AF191" s="62">
        <f>IF(A191="",0,COUNTIF(fl_doc,A191))</f>
        <v>0.0</v>
      </c>
      <c r="AG191" s="62" t="str">
        <f>IF(A191="","",IF(AF191&gt;0,"Facture",IF(AND(F191&lt;&gt;"",AA191="Facture",ISNUMBER(MATCH(F191,dv_num,0))),"Devis","")))</f>
        <v/>
      </c>
      <c r="AH191" s="62" t="str">
        <f>IF(AND(A191&lt;&gt;"",F191&lt;&gt;"",AA191&lt;&gt;"Avoir"),F191,"")</f>
        <v/>
      </c>
      <c r="AI191" s="62" t="str">
        <f>IF(AG191="Devis",F191,"")</f>
        <v/>
      </c>
      <c r="AJ191" s="62">
        <f>IF(AG191="Facture",SUMIF(fl_doc,A191,fl_ht),IF(AG191="Devis",SUMIF(dl_doc,F191,dl_ht),0))</f>
        <v>0.0</v>
      </c>
      <c r="AK191" s="62">
        <f>IF(OR(AG191="",INDEX(p_rates,1)=""),0,IF(AG191="Facture",SUMIFS(fl_ht,fl_doc,A191,fl_rate,INDEX(p_rates,1)),SUMIFS(dl_ht,dl_doc,F191,dl_rate,INDEX(p_rates,1))))</f>
        <v>0.0</v>
      </c>
      <c r="AL191" s="62">
        <f>IF(OR(AG191="",INDEX(p_rates,2)=""),0,IF(AG191="Facture",SUMIFS(fl_ht,fl_doc,A191,fl_rate,INDEX(p_rates,2)),SUMIFS(dl_ht,dl_doc,F191,dl_rate,INDEX(p_rates,2))))</f>
        <v>0.0</v>
      </c>
      <c r="AM191" s="62">
        <f>IF(OR(AG191="",INDEX(p_rates,3)=""),0,IF(AG191="Facture",SUMIFS(fl_ht,fl_doc,A191,fl_rate,INDEX(p_rates,3)),SUMIFS(dl_ht,dl_doc,F191,dl_rate,INDEX(p_rates,3))))</f>
        <v>0.0</v>
      </c>
      <c r="AN191" s="62">
        <f>IF(OR(AG191="",INDEX(p_rates,4)=""),0,IF(AG191="Facture",SUMIFS(fl_ht,fl_doc,A191,fl_rate,INDEX(p_rates,4)),SUMIFS(dl_ht,dl_doc,F191,dl_rate,INDEX(p_rates,4))))</f>
        <v>0.0</v>
      </c>
      <c r="AO191" s="62">
        <f>IF(OR(AG191="",INDEX(p_rates,5)=""),0,IF(AG191="Facture",SUMIFS(fl_ht,fl_doc,A191,fl_rate,INDEX(p_rates,5)),SUMIFS(dl_ht,dl_doc,F191,dl_rate,INDEX(p_rates,5))))</f>
        <v>0.0</v>
      </c>
      <c r="AP191" s="62">
        <f>IF(OR(AG191="",INDEX(p_rates,6)=""),0,IF(AG191="Facture",SUMIFS(fl_ht,fl_doc,A191,fl_rate,INDEX(p_rates,6)),SUMIFS(dl_ht,dl_doc,F191,dl_rate,INDEX(p_rates,6))))</f>
        <v>0.0</v>
      </c>
      <c r="AQ191" s="62">
        <f>ROUND(AK191*N(INDEX(p_rates,1)),2)+ROUND(AL191*N(INDEX(p_rates,2)),2)+ROUND(AM191*N(INDEX(p_rates,3)),2)+ROUND(AN191*N(INDEX(p_rates,4)),2)+ROUND(AO191*N(INDEX(p_rates,5)),2)+ROUND(AP191*N(INDEX(p_rates,6)),2)</f>
        <v>0.0</v>
      </c>
      <c r="AR191" s="62" t="str">
        <f>IF(OR(L191="",AA191&lt;&gt;"Facture"),"",IFERROR(IF(INDEX(fa_type,MATCH(L191,fa_num,0))="Facture d'acompte",MATCH(L191,fa_num,0),""),""))</f>
        <v/>
      </c>
      <c r="AS191" s="62" t="str">
        <f>IF(W191="","",IF(W191&lt;=0,"",IF(p_asof-P191&lt;=0,"Non échu",IF(p_asof-P191&lt;=30,"1-30 j",IF(p_asof-P191&lt;=60,"31-60 j",IF(p_asof-P191&lt;=90,"61-90 j","Plus de 90 j"))))))</f>
        <v/>
      </c>
      <c r="AT191" s="62" t="str">
        <f>IF(AS191="","",p_asof-P191)</f>
        <v/>
      </c>
      <c r="AU191" s="62" t="str">
        <f>IF(AT191="","",COUNTIF($AT$6:$AT$805,"&gt;"&amp;AT191)+COUNTIF($AT$6:AT191,AT191))</f>
        <v/>
      </c>
    </row>
    <row r="192">
      <c r="A192" s="59" t="str">
        <f>IF(AE192="","",AB192&amp;"-"&amp;AD192&amp;"-"&amp;RIGHT("000"&amp;AE192,4))</f>
        <v/>
      </c>
      <c r="B192" s="60" t="n"/>
      <c r="C192" s="61" t="n"/>
      <c r="D192" s="60" t="n"/>
      <c r="E192" s="62" t="str">
        <f>IF(D192="","",IFERROR(INDEX(cli_name,MATCH(D192,cli_code,0))&amp;"","Client inconnu"))</f>
        <v/>
      </c>
      <c r="F192" s="60" t="n"/>
      <c r="G192" s="63" t="n"/>
      <c r="H192" s="61" t="n"/>
      <c r="I192" s="63" t="n"/>
      <c r="J192" s="60" t="n"/>
      <c r="K192" s="61" t="n"/>
      <c r="L192" s="60" t="n"/>
      <c r="M192" s="60" t="n"/>
      <c r="N192" s="60" t="n"/>
      <c r="O192" s="61" t="n"/>
      <c r="P192" s="64" t="str">
        <f>IF(A192="","",IF(AA192="Avoir",AC192,IF(ISNUMBER(K192),K192,AC192+IF(D192="",N(p_delay),IFERROR(IF(ISNUMBER(INDEX(cli_delay,MATCH(D192,cli_code,0))),INDEX(cli_delay,MATCH(D192,cli_code,0)),N(p_delay)),N(p_delay))))))</f>
        <v/>
      </c>
      <c r="Q192" s="65" t="str">
        <f>IF(A192="","",IF(AA192="Avoir",-1,1)*ROUND(AJ192-IF(AR192="",0,INDEX(fa_htb,AR192)),2))</f>
        <v/>
      </c>
      <c r="R192" s="65" t="str">
        <f>IF(A192="","",IF(AA192="Avoir",-1,1)*ROUND(AQ192-IF(AR192="",0,INDEX(fa_tvab,AR192)),2))</f>
        <v/>
      </c>
      <c r="S192" s="65" t="str">
        <f>IF(A192="","",Q192+R192)</f>
        <v/>
      </c>
      <c r="T192" s="65" t="str">
        <f>IF(AR192="","",INDEX(fa_htb,AR192)+INDEX(fa_tvab,AR192))</f>
        <v/>
      </c>
      <c r="U192" s="65" t="str">
        <f>IF(A192="","",SUMIF(pa_inv,A192,pa_amt))</f>
        <v/>
      </c>
      <c r="V192" s="65" t="str">
        <f>IF(OR(A192="",AA192="Avoir"),"",-SUMIFS(fa_ttc,fa_avof,A192,fa_type,"Avoir"))</f>
        <v/>
      </c>
      <c r="W192" s="65" t="str">
        <f>IF(OR(A192="",AA192="Avoir"),"",ROUND(S192-U192-V192,2))</f>
        <v/>
      </c>
      <c r="X192" s="66" t="str">
        <f>IF(W192="","",IF(AND(W192&gt;0,p_asof&gt;P192),p_asof-P192,""))</f>
        <v/>
      </c>
      <c r="Y192" s="59" t="str">
        <f>IF(A192="","",IF(AA192="Avoir","Avoir",IF(W192&lt;0,"Trop-perçu",IF(W192=0,"Soldée",IF(p_asof&gt;P192,"En retard",IF(U192+V192&gt;0,"Partielle","À échoir"))))))</f>
        <v/>
      </c>
      <c r="Z192" s="59" t="str">
        <f>IF(NOT(COUNTA(B192:D192,F192:O192)&gt;0),"",IF(C192="","Date manquante",IF(NOT(ISNUMBER(C192)),"Date invalide",IF(D192="","Client manquant",IF(ISNA(MATCH(D192,cli_code,0)),"Client inconnu",IF(AC192&lt;SUMPRODUCT(MAX(($AB$6:AB191=AB192)*$AC$6:AC191)),"Date antérieure à la facture précédente",IF(AND(F192&lt;&gt;"",ISNA(MATCH(F192,dv_num,0))),"Devis inconnu",IF(AND(F192&lt;&gt;"",IFERROR(INDEX(dv_client,MATCH(F192,dv_num,0)),D192)&lt;&gt;D192),"Client différent de celui du devis",IF(AG192="","Aucune ligne : saisissez des lignes ou un devis",IF(AND(AI192&lt;&gt;"",COUNTIF($AI$6:AI192,AI192)&gt;1),"Devis déjà repris par une autre facture",IF(AND(AA192="Avoir",M192=""),"Avoir : indiquez la facture d'origine",IF(AND(AA192="Avoir",ISNA(MATCH(M192,fa_num,0))),"Facture d'origine inconnue",IF(AND(AA192&lt;&gt;"Avoir",M192&lt;&gt;""),"« Avoir sur facture » : réservé aux avoirs",IF(AND(L192&lt;&gt;"",AA192&lt;&gt;"Facture"),"Acompte à déduire : réservé aux factures",IF(AND(L192&lt;&gt;"",ISNA(MATCH(L192,fa_num,0))),"Facture d'acompte inconnue",IF(AND(L192&lt;&gt;"",IFERROR(INDEX(fa_type,MATCH(L192,fa_num,0)),"")&lt;&gt;"Facture d'acompte"),"Le n° à déduire n'est pas une facture d'acompte",IF(AND(L192&lt;&gt;"",COUNTIF($L$6:L192,L192)&gt;1),"Acompte déjà déduit sur une autre facture",IF(AND(L192&lt;&gt;"",IFERROR(INDEX(fa_client,MATCH(L192,fa_num,0)),D192)&lt;&gt;D192),"Acompte d'un autre client",IF(AND(AR192&lt;&gt;"",N(Q192)&lt;0),"Acompte supérieur au total de la facture",IF(IF(AG192="Facture",COUNTIFS(fl_doc,A192,fl_check,"&lt;&gt;OK"),IF(AG192="Devis",COUNTIFS(dl_doc,F192,dl_check,"&lt;&gt;OK"),0))&gt;0,"Ligne(s) à corriger",IF(AND(W192&lt;&gt;"",N(W192)&lt;0),"Trop-perçu : vérifiez paiements et avoirs","OK")))))))))))))))))))))</f>
        <v/>
      </c>
      <c r="AA192" s="62" t="str">
        <f>IF(COUNTA(B192:D192,F192:O192)&gt;0,IF(B192="","Facture",B192),"")</f>
        <v/>
      </c>
      <c r="AB192" s="62" t="str">
        <f>IF(AA192="","",IF(AA192="Avoir",p_pav,IF(AA192="Facture d'acompte",p_pac,p_pfa)))</f>
        <v/>
      </c>
      <c r="AC192" s="62">
        <f>IF(ISNUMBER(C192),C192,0)</f>
        <v>0.0</v>
      </c>
      <c r="AD192" s="62" t="str">
        <f>IF(OR(AA192="",AC192=0),"",YEAR(AC192))</f>
        <v/>
      </c>
      <c r="AE192" s="62" t="str">
        <f>IF(AD192="","",COUNTIFS($AB$6:AB192,AB192,$AD$6:AD192,AD192))</f>
        <v/>
      </c>
      <c r="AF192" s="62">
        <f>IF(A192="",0,COUNTIF(fl_doc,A192))</f>
        <v>0.0</v>
      </c>
      <c r="AG192" s="62" t="str">
        <f>IF(A192="","",IF(AF192&gt;0,"Facture",IF(AND(F192&lt;&gt;"",AA192="Facture",ISNUMBER(MATCH(F192,dv_num,0))),"Devis","")))</f>
        <v/>
      </c>
      <c r="AH192" s="62" t="str">
        <f>IF(AND(A192&lt;&gt;"",F192&lt;&gt;"",AA192&lt;&gt;"Avoir"),F192,"")</f>
        <v/>
      </c>
      <c r="AI192" s="62" t="str">
        <f>IF(AG192="Devis",F192,"")</f>
        <v/>
      </c>
      <c r="AJ192" s="62">
        <f>IF(AG192="Facture",SUMIF(fl_doc,A192,fl_ht),IF(AG192="Devis",SUMIF(dl_doc,F192,dl_ht),0))</f>
        <v>0.0</v>
      </c>
      <c r="AK192" s="62">
        <f>IF(OR(AG192="",INDEX(p_rates,1)=""),0,IF(AG192="Facture",SUMIFS(fl_ht,fl_doc,A192,fl_rate,INDEX(p_rates,1)),SUMIFS(dl_ht,dl_doc,F192,dl_rate,INDEX(p_rates,1))))</f>
        <v>0.0</v>
      </c>
      <c r="AL192" s="62">
        <f>IF(OR(AG192="",INDEX(p_rates,2)=""),0,IF(AG192="Facture",SUMIFS(fl_ht,fl_doc,A192,fl_rate,INDEX(p_rates,2)),SUMIFS(dl_ht,dl_doc,F192,dl_rate,INDEX(p_rates,2))))</f>
        <v>0.0</v>
      </c>
      <c r="AM192" s="62">
        <f>IF(OR(AG192="",INDEX(p_rates,3)=""),0,IF(AG192="Facture",SUMIFS(fl_ht,fl_doc,A192,fl_rate,INDEX(p_rates,3)),SUMIFS(dl_ht,dl_doc,F192,dl_rate,INDEX(p_rates,3))))</f>
        <v>0.0</v>
      </c>
      <c r="AN192" s="62">
        <f>IF(OR(AG192="",INDEX(p_rates,4)=""),0,IF(AG192="Facture",SUMIFS(fl_ht,fl_doc,A192,fl_rate,INDEX(p_rates,4)),SUMIFS(dl_ht,dl_doc,F192,dl_rate,INDEX(p_rates,4))))</f>
        <v>0.0</v>
      </c>
      <c r="AO192" s="62">
        <f>IF(OR(AG192="",INDEX(p_rates,5)=""),0,IF(AG192="Facture",SUMIFS(fl_ht,fl_doc,A192,fl_rate,INDEX(p_rates,5)),SUMIFS(dl_ht,dl_doc,F192,dl_rate,INDEX(p_rates,5))))</f>
        <v>0.0</v>
      </c>
      <c r="AP192" s="62">
        <f>IF(OR(AG192="",INDEX(p_rates,6)=""),0,IF(AG192="Facture",SUMIFS(fl_ht,fl_doc,A192,fl_rate,INDEX(p_rates,6)),SUMIFS(dl_ht,dl_doc,F192,dl_rate,INDEX(p_rates,6))))</f>
        <v>0.0</v>
      </c>
      <c r="AQ192" s="62">
        <f>ROUND(AK192*N(INDEX(p_rates,1)),2)+ROUND(AL192*N(INDEX(p_rates,2)),2)+ROUND(AM192*N(INDEX(p_rates,3)),2)+ROUND(AN192*N(INDEX(p_rates,4)),2)+ROUND(AO192*N(INDEX(p_rates,5)),2)+ROUND(AP192*N(INDEX(p_rates,6)),2)</f>
        <v>0.0</v>
      </c>
      <c r="AR192" s="62" t="str">
        <f>IF(OR(L192="",AA192&lt;&gt;"Facture"),"",IFERROR(IF(INDEX(fa_type,MATCH(L192,fa_num,0))="Facture d'acompte",MATCH(L192,fa_num,0),""),""))</f>
        <v/>
      </c>
      <c r="AS192" s="62" t="str">
        <f>IF(W192="","",IF(W192&lt;=0,"",IF(p_asof-P192&lt;=0,"Non échu",IF(p_asof-P192&lt;=30,"1-30 j",IF(p_asof-P192&lt;=60,"31-60 j",IF(p_asof-P192&lt;=90,"61-90 j","Plus de 90 j"))))))</f>
        <v/>
      </c>
      <c r="AT192" s="62" t="str">
        <f>IF(AS192="","",p_asof-P192)</f>
        <v/>
      </c>
      <c r="AU192" s="62" t="str">
        <f>IF(AT192="","",COUNTIF($AT$6:$AT$805,"&gt;"&amp;AT192)+COUNTIF($AT$6:AT192,AT192))</f>
        <v/>
      </c>
    </row>
    <row r="193">
      <c r="A193" s="59" t="str">
        <f>IF(AE193="","",AB193&amp;"-"&amp;AD193&amp;"-"&amp;RIGHT("000"&amp;AE193,4))</f>
        <v/>
      </c>
      <c r="B193" s="60" t="n"/>
      <c r="C193" s="61" t="n"/>
      <c r="D193" s="60" t="n"/>
      <c r="E193" s="62" t="str">
        <f>IF(D193="","",IFERROR(INDEX(cli_name,MATCH(D193,cli_code,0))&amp;"","Client inconnu"))</f>
        <v/>
      </c>
      <c r="F193" s="60" t="n"/>
      <c r="G193" s="63" t="n"/>
      <c r="H193" s="61" t="n"/>
      <c r="I193" s="63" t="n"/>
      <c r="J193" s="60" t="n"/>
      <c r="K193" s="61" t="n"/>
      <c r="L193" s="60" t="n"/>
      <c r="M193" s="60" t="n"/>
      <c r="N193" s="60" t="n"/>
      <c r="O193" s="61" t="n"/>
      <c r="P193" s="64" t="str">
        <f>IF(A193="","",IF(AA193="Avoir",AC193,IF(ISNUMBER(K193),K193,AC193+IF(D193="",N(p_delay),IFERROR(IF(ISNUMBER(INDEX(cli_delay,MATCH(D193,cli_code,0))),INDEX(cli_delay,MATCH(D193,cli_code,0)),N(p_delay)),N(p_delay))))))</f>
        <v/>
      </c>
      <c r="Q193" s="65" t="str">
        <f>IF(A193="","",IF(AA193="Avoir",-1,1)*ROUND(AJ193-IF(AR193="",0,INDEX(fa_htb,AR193)),2))</f>
        <v/>
      </c>
      <c r="R193" s="65" t="str">
        <f>IF(A193="","",IF(AA193="Avoir",-1,1)*ROUND(AQ193-IF(AR193="",0,INDEX(fa_tvab,AR193)),2))</f>
        <v/>
      </c>
      <c r="S193" s="65" t="str">
        <f>IF(A193="","",Q193+R193)</f>
        <v/>
      </c>
      <c r="T193" s="65" t="str">
        <f>IF(AR193="","",INDEX(fa_htb,AR193)+INDEX(fa_tvab,AR193))</f>
        <v/>
      </c>
      <c r="U193" s="65" t="str">
        <f>IF(A193="","",SUMIF(pa_inv,A193,pa_amt))</f>
        <v/>
      </c>
      <c r="V193" s="65" t="str">
        <f>IF(OR(A193="",AA193="Avoir"),"",-SUMIFS(fa_ttc,fa_avof,A193,fa_type,"Avoir"))</f>
        <v/>
      </c>
      <c r="W193" s="65" t="str">
        <f>IF(OR(A193="",AA193="Avoir"),"",ROUND(S193-U193-V193,2))</f>
        <v/>
      </c>
      <c r="X193" s="66" t="str">
        <f>IF(W193="","",IF(AND(W193&gt;0,p_asof&gt;P193),p_asof-P193,""))</f>
        <v/>
      </c>
      <c r="Y193" s="59" t="str">
        <f>IF(A193="","",IF(AA193="Avoir","Avoir",IF(W193&lt;0,"Trop-perçu",IF(W193=0,"Soldée",IF(p_asof&gt;P193,"En retard",IF(U193+V193&gt;0,"Partielle","À échoir"))))))</f>
        <v/>
      </c>
      <c r="Z193" s="59" t="str">
        <f>IF(NOT(COUNTA(B193:D193,F193:O193)&gt;0),"",IF(C193="","Date manquante",IF(NOT(ISNUMBER(C193)),"Date invalide",IF(D193="","Client manquant",IF(ISNA(MATCH(D193,cli_code,0)),"Client inconnu",IF(AC193&lt;SUMPRODUCT(MAX(($AB$6:AB192=AB193)*$AC$6:AC192)),"Date antérieure à la facture précédente",IF(AND(F193&lt;&gt;"",ISNA(MATCH(F193,dv_num,0))),"Devis inconnu",IF(AND(F193&lt;&gt;"",IFERROR(INDEX(dv_client,MATCH(F193,dv_num,0)),D193)&lt;&gt;D193),"Client différent de celui du devis",IF(AG193="","Aucune ligne : saisissez des lignes ou un devis",IF(AND(AI193&lt;&gt;"",COUNTIF($AI$6:AI193,AI193)&gt;1),"Devis déjà repris par une autre facture",IF(AND(AA193="Avoir",M193=""),"Avoir : indiquez la facture d'origine",IF(AND(AA193="Avoir",ISNA(MATCH(M193,fa_num,0))),"Facture d'origine inconnue",IF(AND(AA193&lt;&gt;"Avoir",M193&lt;&gt;""),"« Avoir sur facture » : réservé aux avoirs",IF(AND(L193&lt;&gt;"",AA193&lt;&gt;"Facture"),"Acompte à déduire : réservé aux factures",IF(AND(L193&lt;&gt;"",ISNA(MATCH(L193,fa_num,0))),"Facture d'acompte inconnue",IF(AND(L193&lt;&gt;"",IFERROR(INDEX(fa_type,MATCH(L193,fa_num,0)),"")&lt;&gt;"Facture d'acompte"),"Le n° à déduire n'est pas une facture d'acompte",IF(AND(L193&lt;&gt;"",COUNTIF($L$6:L193,L193)&gt;1),"Acompte déjà déduit sur une autre facture",IF(AND(L193&lt;&gt;"",IFERROR(INDEX(fa_client,MATCH(L193,fa_num,0)),D193)&lt;&gt;D193),"Acompte d'un autre client",IF(AND(AR193&lt;&gt;"",N(Q193)&lt;0),"Acompte supérieur au total de la facture",IF(IF(AG193="Facture",COUNTIFS(fl_doc,A193,fl_check,"&lt;&gt;OK"),IF(AG193="Devis",COUNTIFS(dl_doc,F193,dl_check,"&lt;&gt;OK"),0))&gt;0,"Ligne(s) à corriger",IF(AND(W193&lt;&gt;"",N(W193)&lt;0),"Trop-perçu : vérifiez paiements et avoirs","OK")))))))))))))))))))))</f>
        <v/>
      </c>
      <c r="AA193" s="62" t="str">
        <f>IF(COUNTA(B193:D193,F193:O193)&gt;0,IF(B193="","Facture",B193),"")</f>
        <v/>
      </c>
      <c r="AB193" s="62" t="str">
        <f>IF(AA193="","",IF(AA193="Avoir",p_pav,IF(AA193="Facture d'acompte",p_pac,p_pfa)))</f>
        <v/>
      </c>
      <c r="AC193" s="62">
        <f>IF(ISNUMBER(C193),C193,0)</f>
        <v>0.0</v>
      </c>
      <c r="AD193" s="62" t="str">
        <f>IF(OR(AA193="",AC193=0),"",YEAR(AC193))</f>
        <v/>
      </c>
      <c r="AE193" s="62" t="str">
        <f>IF(AD193="","",COUNTIFS($AB$6:AB193,AB193,$AD$6:AD193,AD193))</f>
        <v/>
      </c>
      <c r="AF193" s="62">
        <f>IF(A193="",0,COUNTIF(fl_doc,A193))</f>
        <v>0.0</v>
      </c>
      <c r="AG193" s="62" t="str">
        <f>IF(A193="","",IF(AF193&gt;0,"Facture",IF(AND(F193&lt;&gt;"",AA193="Facture",ISNUMBER(MATCH(F193,dv_num,0))),"Devis","")))</f>
        <v/>
      </c>
      <c r="AH193" s="62" t="str">
        <f>IF(AND(A193&lt;&gt;"",F193&lt;&gt;"",AA193&lt;&gt;"Avoir"),F193,"")</f>
        <v/>
      </c>
      <c r="AI193" s="62" t="str">
        <f>IF(AG193="Devis",F193,"")</f>
        <v/>
      </c>
      <c r="AJ193" s="62">
        <f>IF(AG193="Facture",SUMIF(fl_doc,A193,fl_ht),IF(AG193="Devis",SUMIF(dl_doc,F193,dl_ht),0))</f>
        <v>0.0</v>
      </c>
      <c r="AK193" s="62">
        <f>IF(OR(AG193="",INDEX(p_rates,1)=""),0,IF(AG193="Facture",SUMIFS(fl_ht,fl_doc,A193,fl_rate,INDEX(p_rates,1)),SUMIFS(dl_ht,dl_doc,F193,dl_rate,INDEX(p_rates,1))))</f>
        <v>0.0</v>
      </c>
      <c r="AL193" s="62">
        <f>IF(OR(AG193="",INDEX(p_rates,2)=""),0,IF(AG193="Facture",SUMIFS(fl_ht,fl_doc,A193,fl_rate,INDEX(p_rates,2)),SUMIFS(dl_ht,dl_doc,F193,dl_rate,INDEX(p_rates,2))))</f>
        <v>0.0</v>
      </c>
      <c r="AM193" s="62">
        <f>IF(OR(AG193="",INDEX(p_rates,3)=""),0,IF(AG193="Facture",SUMIFS(fl_ht,fl_doc,A193,fl_rate,INDEX(p_rates,3)),SUMIFS(dl_ht,dl_doc,F193,dl_rate,INDEX(p_rates,3))))</f>
        <v>0.0</v>
      </c>
      <c r="AN193" s="62">
        <f>IF(OR(AG193="",INDEX(p_rates,4)=""),0,IF(AG193="Facture",SUMIFS(fl_ht,fl_doc,A193,fl_rate,INDEX(p_rates,4)),SUMIFS(dl_ht,dl_doc,F193,dl_rate,INDEX(p_rates,4))))</f>
        <v>0.0</v>
      </c>
      <c r="AO193" s="62">
        <f>IF(OR(AG193="",INDEX(p_rates,5)=""),0,IF(AG193="Facture",SUMIFS(fl_ht,fl_doc,A193,fl_rate,INDEX(p_rates,5)),SUMIFS(dl_ht,dl_doc,F193,dl_rate,INDEX(p_rates,5))))</f>
        <v>0.0</v>
      </c>
      <c r="AP193" s="62">
        <f>IF(OR(AG193="",INDEX(p_rates,6)=""),0,IF(AG193="Facture",SUMIFS(fl_ht,fl_doc,A193,fl_rate,INDEX(p_rates,6)),SUMIFS(dl_ht,dl_doc,F193,dl_rate,INDEX(p_rates,6))))</f>
        <v>0.0</v>
      </c>
      <c r="AQ193" s="62">
        <f>ROUND(AK193*N(INDEX(p_rates,1)),2)+ROUND(AL193*N(INDEX(p_rates,2)),2)+ROUND(AM193*N(INDEX(p_rates,3)),2)+ROUND(AN193*N(INDEX(p_rates,4)),2)+ROUND(AO193*N(INDEX(p_rates,5)),2)+ROUND(AP193*N(INDEX(p_rates,6)),2)</f>
        <v>0.0</v>
      </c>
      <c r="AR193" s="62" t="str">
        <f>IF(OR(L193="",AA193&lt;&gt;"Facture"),"",IFERROR(IF(INDEX(fa_type,MATCH(L193,fa_num,0))="Facture d'acompte",MATCH(L193,fa_num,0),""),""))</f>
        <v/>
      </c>
      <c r="AS193" s="62" t="str">
        <f>IF(W193="","",IF(W193&lt;=0,"",IF(p_asof-P193&lt;=0,"Non échu",IF(p_asof-P193&lt;=30,"1-30 j",IF(p_asof-P193&lt;=60,"31-60 j",IF(p_asof-P193&lt;=90,"61-90 j","Plus de 90 j"))))))</f>
        <v/>
      </c>
      <c r="AT193" s="62" t="str">
        <f>IF(AS193="","",p_asof-P193)</f>
        <v/>
      </c>
      <c r="AU193" s="62" t="str">
        <f>IF(AT193="","",COUNTIF($AT$6:$AT$805,"&gt;"&amp;AT193)+COUNTIF($AT$6:AT193,AT193))</f>
        <v/>
      </c>
    </row>
    <row r="194">
      <c r="A194" s="59" t="str">
        <f>IF(AE194="","",AB194&amp;"-"&amp;AD194&amp;"-"&amp;RIGHT("000"&amp;AE194,4))</f>
        <v/>
      </c>
      <c r="B194" s="60" t="n"/>
      <c r="C194" s="61" t="n"/>
      <c r="D194" s="60" t="n"/>
      <c r="E194" s="62" t="str">
        <f>IF(D194="","",IFERROR(INDEX(cli_name,MATCH(D194,cli_code,0))&amp;"","Client inconnu"))</f>
        <v/>
      </c>
      <c r="F194" s="60" t="n"/>
      <c r="G194" s="63" t="n"/>
      <c r="H194" s="61" t="n"/>
      <c r="I194" s="63" t="n"/>
      <c r="J194" s="60" t="n"/>
      <c r="K194" s="61" t="n"/>
      <c r="L194" s="60" t="n"/>
      <c r="M194" s="60" t="n"/>
      <c r="N194" s="60" t="n"/>
      <c r="O194" s="61" t="n"/>
      <c r="P194" s="64" t="str">
        <f>IF(A194="","",IF(AA194="Avoir",AC194,IF(ISNUMBER(K194),K194,AC194+IF(D194="",N(p_delay),IFERROR(IF(ISNUMBER(INDEX(cli_delay,MATCH(D194,cli_code,0))),INDEX(cli_delay,MATCH(D194,cli_code,0)),N(p_delay)),N(p_delay))))))</f>
        <v/>
      </c>
      <c r="Q194" s="65" t="str">
        <f>IF(A194="","",IF(AA194="Avoir",-1,1)*ROUND(AJ194-IF(AR194="",0,INDEX(fa_htb,AR194)),2))</f>
        <v/>
      </c>
      <c r="R194" s="65" t="str">
        <f>IF(A194="","",IF(AA194="Avoir",-1,1)*ROUND(AQ194-IF(AR194="",0,INDEX(fa_tvab,AR194)),2))</f>
        <v/>
      </c>
      <c r="S194" s="65" t="str">
        <f>IF(A194="","",Q194+R194)</f>
        <v/>
      </c>
      <c r="T194" s="65" t="str">
        <f>IF(AR194="","",INDEX(fa_htb,AR194)+INDEX(fa_tvab,AR194))</f>
        <v/>
      </c>
      <c r="U194" s="65" t="str">
        <f>IF(A194="","",SUMIF(pa_inv,A194,pa_amt))</f>
        <v/>
      </c>
      <c r="V194" s="65" t="str">
        <f>IF(OR(A194="",AA194="Avoir"),"",-SUMIFS(fa_ttc,fa_avof,A194,fa_type,"Avoir"))</f>
        <v/>
      </c>
      <c r="W194" s="65" t="str">
        <f>IF(OR(A194="",AA194="Avoir"),"",ROUND(S194-U194-V194,2))</f>
        <v/>
      </c>
      <c r="X194" s="66" t="str">
        <f>IF(W194="","",IF(AND(W194&gt;0,p_asof&gt;P194),p_asof-P194,""))</f>
        <v/>
      </c>
      <c r="Y194" s="59" t="str">
        <f>IF(A194="","",IF(AA194="Avoir","Avoir",IF(W194&lt;0,"Trop-perçu",IF(W194=0,"Soldée",IF(p_asof&gt;P194,"En retard",IF(U194+V194&gt;0,"Partielle","À échoir"))))))</f>
        <v/>
      </c>
      <c r="Z194" s="59" t="str">
        <f>IF(NOT(COUNTA(B194:D194,F194:O194)&gt;0),"",IF(C194="","Date manquante",IF(NOT(ISNUMBER(C194)),"Date invalide",IF(D194="","Client manquant",IF(ISNA(MATCH(D194,cli_code,0)),"Client inconnu",IF(AC194&lt;SUMPRODUCT(MAX(($AB$6:AB193=AB194)*$AC$6:AC193)),"Date antérieure à la facture précédente",IF(AND(F194&lt;&gt;"",ISNA(MATCH(F194,dv_num,0))),"Devis inconnu",IF(AND(F194&lt;&gt;"",IFERROR(INDEX(dv_client,MATCH(F194,dv_num,0)),D194)&lt;&gt;D194),"Client différent de celui du devis",IF(AG194="","Aucune ligne : saisissez des lignes ou un devis",IF(AND(AI194&lt;&gt;"",COUNTIF($AI$6:AI194,AI194)&gt;1),"Devis déjà repris par une autre facture",IF(AND(AA194="Avoir",M194=""),"Avoir : indiquez la facture d'origine",IF(AND(AA194="Avoir",ISNA(MATCH(M194,fa_num,0))),"Facture d'origine inconnue",IF(AND(AA194&lt;&gt;"Avoir",M194&lt;&gt;""),"« Avoir sur facture » : réservé aux avoirs",IF(AND(L194&lt;&gt;"",AA194&lt;&gt;"Facture"),"Acompte à déduire : réservé aux factures",IF(AND(L194&lt;&gt;"",ISNA(MATCH(L194,fa_num,0))),"Facture d'acompte inconnue",IF(AND(L194&lt;&gt;"",IFERROR(INDEX(fa_type,MATCH(L194,fa_num,0)),"")&lt;&gt;"Facture d'acompte"),"Le n° à déduire n'est pas une facture d'acompte",IF(AND(L194&lt;&gt;"",COUNTIF($L$6:L194,L194)&gt;1),"Acompte déjà déduit sur une autre facture",IF(AND(L194&lt;&gt;"",IFERROR(INDEX(fa_client,MATCH(L194,fa_num,0)),D194)&lt;&gt;D194),"Acompte d'un autre client",IF(AND(AR194&lt;&gt;"",N(Q194)&lt;0),"Acompte supérieur au total de la facture",IF(IF(AG194="Facture",COUNTIFS(fl_doc,A194,fl_check,"&lt;&gt;OK"),IF(AG194="Devis",COUNTIFS(dl_doc,F194,dl_check,"&lt;&gt;OK"),0))&gt;0,"Ligne(s) à corriger",IF(AND(W194&lt;&gt;"",N(W194)&lt;0),"Trop-perçu : vérifiez paiements et avoirs","OK")))))))))))))))))))))</f>
        <v/>
      </c>
      <c r="AA194" s="62" t="str">
        <f>IF(COUNTA(B194:D194,F194:O194)&gt;0,IF(B194="","Facture",B194),"")</f>
        <v/>
      </c>
      <c r="AB194" s="62" t="str">
        <f>IF(AA194="","",IF(AA194="Avoir",p_pav,IF(AA194="Facture d'acompte",p_pac,p_pfa)))</f>
        <v/>
      </c>
      <c r="AC194" s="62">
        <f>IF(ISNUMBER(C194),C194,0)</f>
        <v>0.0</v>
      </c>
      <c r="AD194" s="62" t="str">
        <f>IF(OR(AA194="",AC194=0),"",YEAR(AC194))</f>
        <v/>
      </c>
      <c r="AE194" s="62" t="str">
        <f>IF(AD194="","",COUNTIFS($AB$6:AB194,AB194,$AD$6:AD194,AD194))</f>
        <v/>
      </c>
      <c r="AF194" s="62">
        <f>IF(A194="",0,COUNTIF(fl_doc,A194))</f>
        <v>0.0</v>
      </c>
      <c r="AG194" s="62" t="str">
        <f>IF(A194="","",IF(AF194&gt;0,"Facture",IF(AND(F194&lt;&gt;"",AA194="Facture",ISNUMBER(MATCH(F194,dv_num,0))),"Devis","")))</f>
        <v/>
      </c>
      <c r="AH194" s="62" t="str">
        <f>IF(AND(A194&lt;&gt;"",F194&lt;&gt;"",AA194&lt;&gt;"Avoir"),F194,"")</f>
        <v/>
      </c>
      <c r="AI194" s="62" t="str">
        <f>IF(AG194="Devis",F194,"")</f>
        <v/>
      </c>
      <c r="AJ194" s="62">
        <f>IF(AG194="Facture",SUMIF(fl_doc,A194,fl_ht),IF(AG194="Devis",SUMIF(dl_doc,F194,dl_ht),0))</f>
        <v>0.0</v>
      </c>
      <c r="AK194" s="62">
        <f>IF(OR(AG194="",INDEX(p_rates,1)=""),0,IF(AG194="Facture",SUMIFS(fl_ht,fl_doc,A194,fl_rate,INDEX(p_rates,1)),SUMIFS(dl_ht,dl_doc,F194,dl_rate,INDEX(p_rates,1))))</f>
        <v>0.0</v>
      </c>
      <c r="AL194" s="62">
        <f>IF(OR(AG194="",INDEX(p_rates,2)=""),0,IF(AG194="Facture",SUMIFS(fl_ht,fl_doc,A194,fl_rate,INDEX(p_rates,2)),SUMIFS(dl_ht,dl_doc,F194,dl_rate,INDEX(p_rates,2))))</f>
        <v>0.0</v>
      </c>
      <c r="AM194" s="62">
        <f>IF(OR(AG194="",INDEX(p_rates,3)=""),0,IF(AG194="Facture",SUMIFS(fl_ht,fl_doc,A194,fl_rate,INDEX(p_rates,3)),SUMIFS(dl_ht,dl_doc,F194,dl_rate,INDEX(p_rates,3))))</f>
        <v>0.0</v>
      </c>
      <c r="AN194" s="62">
        <f>IF(OR(AG194="",INDEX(p_rates,4)=""),0,IF(AG194="Facture",SUMIFS(fl_ht,fl_doc,A194,fl_rate,INDEX(p_rates,4)),SUMIFS(dl_ht,dl_doc,F194,dl_rate,INDEX(p_rates,4))))</f>
        <v>0.0</v>
      </c>
      <c r="AO194" s="62">
        <f>IF(OR(AG194="",INDEX(p_rates,5)=""),0,IF(AG194="Facture",SUMIFS(fl_ht,fl_doc,A194,fl_rate,INDEX(p_rates,5)),SUMIFS(dl_ht,dl_doc,F194,dl_rate,INDEX(p_rates,5))))</f>
        <v>0.0</v>
      </c>
      <c r="AP194" s="62">
        <f>IF(OR(AG194="",INDEX(p_rates,6)=""),0,IF(AG194="Facture",SUMIFS(fl_ht,fl_doc,A194,fl_rate,INDEX(p_rates,6)),SUMIFS(dl_ht,dl_doc,F194,dl_rate,INDEX(p_rates,6))))</f>
        <v>0.0</v>
      </c>
      <c r="AQ194" s="62">
        <f>ROUND(AK194*N(INDEX(p_rates,1)),2)+ROUND(AL194*N(INDEX(p_rates,2)),2)+ROUND(AM194*N(INDEX(p_rates,3)),2)+ROUND(AN194*N(INDEX(p_rates,4)),2)+ROUND(AO194*N(INDEX(p_rates,5)),2)+ROUND(AP194*N(INDEX(p_rates,6)),2)</f>
        <v>0.0</v>
      </c>
      <c r="AR194" s="62" t="str">
        <f>IF(OR(L194="",AA194&lt;&gt;"Facture"),"",IFERROR(IF(INDEX(fa_type,MATCH(L194,fa_num,0))="Facture d'acompte",MATCH(L194,fa_num,0),""),""))</f>
        <v/>
      </c>
      <c r="AS194" s="62" t="str">
        <f>IF(W194="","",IF(W194&lt;=0,"",IF(p_asof-P194&lt;=0,"Non échu",IF(p_asof-P194&lt;=30,"1-30 j",IF(p_asof-P194&lt;=60,"31-60 j",IF(p_asof-P194&lt;=90,"61-90 j","Plus de 90 j"))))))</f>
        <v/>
      </c>
      <c r="AT194" s="62" t="str">
        <f>IF(AS194="","",p_asof-P194)</f>
        <v/>
      </c>
      <c r="AU194" s="62" t="str">
        <f>IF(AT194="","",COUNTIF($AT$6:$AT$805,"&gt;"&amp;AT194)+COUNTIF($AT$6:AT194,AT194))</f>
        <v/>
      </c>
    </row>
    <row r="195">
      <c r="A195" s="59" t="str">
        <f>IF(AE195="","",AB195&amp;"-"&amp;AD195&amp;"-"&amp;RIGHT("000"&amp;AE195,4))</f>
        <v/>
      </c>
      <c r="B195" s="60" t="n"/>
      <c r="C195" s="61" t="n"/>
      <c r="D195" s="60" t="n"/>
      <c r="E195" s="62" t="str">
        <f>IF(D195="","",IFERROR(INDEX(cli_name,MATCH(D195,cli_code,0))&amp;"","Client inconnu"))</f>
        <v/>
      </c>
      <c r="F195" s="60" t="n"/>
      <c r="G195" s="63" t="n"/>
      <c r="H195" s="61" t="n"/>
      <c r="I195" s="63" t="n"/>
      <c r="J195" s="60" t="n"/>
      <c r="K195" s="61" t="n"/>
      <c r="L195" s="60" t="n"/>
      <c r="M195" s="60" t="n"/>
      <c r="N195" s="60" t="n"/>
      <c r="O195" s="61" t="n"/>
      <c r="P195" s="64" t="str">
        <f>IF(A195="","",IF(AA195="Avoir",AC195,IF(ISNUMBER(K195),K195,AC195+IF(D195="",N(p_delay),IFERROR(IF(ISNUMBER(INDEX(cli_delay,MATCH(D195,cli_code,0))),INDEX(cli_delay,MATCH(D195,cli_code,0)),N(p_delay)),N(p_delay))))))</f>
        <v/>
      </c>
      <c r="Q195" s="65" t="str">
        <f>IF(A195="","",IF(AA195="Avoir",-1,1)*ROUND(AJ195-IF(AR195="",0,INDEX(fa_htb,AR195)),2))</f>
        <v/>
      </c>
      <c r="R195" s="65" t="str">
        <f>IF(A195="","",IF(AA195="Avoir",-1,1)*ROUND(AQ195-IF(AR195="",0,INDEX(fa_tvab,AR195)),2))</f>
        <v/>
      </c>
      <c r="S195" s="65" t="str">
        <f>IF(A195="","",Q195+R195)</f>
        <v/>
      </c>
      <c r="T195" s="65" t="str">
        <f>IF(AR195="","",INDEX(fa_htb,AR195)+INDEX(fa_tvab,AR195))</f>
        <v/>
      </c>
      <c r="U195" s="65" t="str">
        <f>IF(A195="","",SUMIF(pa_inv,A195,pa_amt))</f>
        <v/>
      </c>
      <c r="V195" s="65" t="str">
        <f>IF(OR(A195="",AA195="Avoir"),"",-SUMIFS(fa_ttc,fa_avof,A195,fa_type,"Avoir"))</f>
        <v/>
      </c>
      <c r="W195" s="65" t="str">
        <f>IF(OR(A195="",AA195="Avoir"),"",ROUND(S195-U195-V195,2))</f>
        <v/>
      </c>
      <c r="X195" s="66" t="str">
        <f>IF(W195="","",IF(AND(W195&gt;0,p_asof&gt;P195),p_asof-P195,""))</f>
        <v/>
      </c>
      <c r="Y195" s="59" t="str">
        <f>IF(A195="","",IF(AA195="Avoir","Avoir",IF(W195&lt;0,"Trop-perçu",IF(W195=0,"Soldée",IF(p_asof&gt;P195,"En retard",IF(U195+V195&gt;0,"Partielle","À échoir"))))))</f>
        <v/>
      </c>
      <c r="Z195" s="59" t="str">
        <f>IF(NOT(COUNTA(B195:D195,F195:O195)&gt;0),"",IF(C195="","Date manquante",IF(NOT(ISNUMBER(C195)),"Date invalide",IF(D195="","Client manquant",IF(ISNA(MATCH(D195,cli_code,0)),"Client inconnu",IF(AC195&lt;SUMPRODUCT(MAX(($AB$6:AB194=AB195)*$AC$6:AC194)),"Date antérieure à la facture précédente",IF(AND(F195&lt;&gt;"",ISNA(MATCH(F195,dv_num,0))),"Devis inconnu",IF(AND(F195&lt;&gt;"",IFERROR(INDEX(dv_client,MATCH(F195,dv_num,0)),D195)&lt;&gt;D195),"Client différent de celui du devis",IF(AG195="","Aucune ligne : saisissez des lignes ou un devis",IF(AND(AI195&lt;&gt;"",COUNTIF($AI$6:AI195,AI195)&gt;1),"Devis déjà repris par une autre facture",IF(AND(AA195="Avoir",M195=""),"Avoir : indiquez la facture d'origine",IF(AND(AA195="Avoir",ISNA(MATCH(M195,fa_num,0))),"Facture d'origine inconnue",IF(AND(AA195&lt;&gt;"Avoir",M195&lt;&gt;""),"« Avoir sur facture » : réservé aux avoirs",IF(AND(L195&lt;&gt;"",AA195&lt;&gt;"Facture"),"Acompte à déduire : réservé aux factures",IF(AND(L195&lt;&gt;"",ISNA(MATCH(L195,fa_num,0))),"Facture d'acompte inconnue",IF(AND(L195&lt;&gt;"",IFERROR(INDEX(fa_type,MATCH(L195,fa_num,0)),"")&lt;&gt;"Facture d'acompte"),"Le n° à déduire n'est pas une facture d'acompte",IF(AND(L195&lt;&gt;"",COUNTIF($L$6:L195,L195)&gt;1),"Acompte déjà déduit sur une autre facture",IF(AND(L195&lt;&gt;"",IFERROR(INDEX(fa_client,MATCH(L195,fa_num,0)),D195)&lt;&gt;D195),"Acompte d'un autre client",IF(AND(AR195&lt;&gt;"",N(Q195)&lt;0),"Acompte supérieur au total de la facture",IF(IF(AG195="Facture",COUNTIFS(fl_doc,A195,fl_check,"&lt;&gt;OK"),IF(AG195="Devis",COUNTIFS(dl_doc,F195,dl_check,"&lt;&gt;OK"),0))&gt;0,"Ligne(s) à corriger",IF(AND(W195&lt;&gt;"",N(W195)&lt;0),"Trop-perçu : vérifiez paiements et avoirs","OK")))))))))))))))))))))</f>
        <v/>
      </c>
      <c r="AA195" s="62" t="str">
        <f>IF(COUNTA(B195:D195,F195:O195)&gt;0,IF(B195="","Facture",B195),"")</f>
        <v/>
      </c>
      <c r="AB195" s="62" t="str">
        <f>IF(AA195="","",IF(AA195="Avoir",p_pav,IF(AA195="Facture d'acompte",p_pac,p_pfa)))</f>
        <v/>
      </c>
      <c r="AC195" s="62">
        <f>IF(ISNUMBER(C195),C195,0)</f>
        <v>0.0</v>
      </c>
      <c r="AD195" s="62" t="str">
        <f>IF(OR(AA195="",AC195=0),"",YEAR(AC195))</f>
        <v/>
      </c>
      <c r="AE195" s="62" t="str">
        <f>IF(AD195="","",COUNTIFS($AB$6:AB195,AB195,$AD$6:AD195,AD195))</f>
        <v/>
      </c>
      <c r="AF195" s="62">
        <f>IF(A195="",0,COUNTIF(fl_doc,A195))</f>
        <v>0.0</v>
      </c>
      <c r="AG195" s="62" t="str">
        <f>IF(A195="","",IF(AF195&gt;0,"Facture",IF(AND(F195&lt;&gt;"",AA195="Facture",ISNUMBER(MATCH(F195,dv_num,0))),"Devis","")))</f>
        <v/>
      </c>
      <c r="AH195" s="62" t="str">
        <f>IF(AND(A195&lt;&gt;"",F195&lt;&gt;"",AA195&lt;&gt;"Avoir"),F195,"")</f>
        <v/>
      </c>
      <c r="AI195" s="62" t="str">
        <f>IF(AG195="Devis",F195,"")</f>
        <v/>
      </c>
      <c r="AJ195" s="62">
        <f>IF(AG195="Facture",SUMIF(fl_doc,A195,fl_ht),IF(AG195="Devis",SUMIF(dl_doc,F195,dl_ht),0))</f>
        <v>0.0</v>
      </c>
      <c r="AK195" s="62">
        <f>IF(OR(AG195="",INDEX(p_rates,1)=""),0,IF(AG195="Facture",SUMIFS(fl_ht,fl_doc,A195,fl_rate,INDEX(p_rates,1)),SUMIFS(dl_ht,dl_doc,F195,dl_rate,INDEX(p_rates,1))))</f>
        <v>0.0</v>
      </c>
      <c r="AL195" s="62">
        <f>IF(OR(AG195="",INDEX(p_rates,2)=""),0,IF(AG195="Facture",SUMIFS(fl_ht,fl_doc,A195,fl_rate,INDEX(p_rates,2)),SUMIFS(dl_ht,dl_doc,F195,dl_rate,INDEX(p_rates,2))))</f>
        <v>0.0</v>
      </c>
      <c r="AM195" s="62">
        <f>IF(OR(AG195="",INDEX(p_rates,3)=""),0,IF(AG195="Facture",SUMIFS(fl_ht,fl_doc,A195,fl_rate,INDEX(p_rates,3)),SUMIFS(dl_ht,dl_doc,F195,dl_rate,INDEX(p_rates,3))))</f>
        <v>0.0</v>
      </c>
      <c r="AN195" s="62">
        <f>IF(OR(AG195="",INDEX(p_rates,4)=""),0,IF(AG195="Facture",SUMIFS(fl_ht,fl_doc,A195,fl_rate,INDEX(p_rates,4)),SUMIFS(dl_ht,dl_doc,F195,dl_rate,INDEX(p_rates,4))))</f>
        <v>0.0</v>
      </c>
      <c r="AO195" s="62">
        <f>IF(OR(AG195="",INDEX(p_rates,5)=""),0,IF(AG195="Facture",SUMIFS(fl_ht,fl_doc,A195,fl_rate,INDEX(p_rates,5)),SUMIFS(dl_ht,dl_doc,F195,dl_rate,INDEX(p_rates,5))))</f>
        <v>0.0</v>
      </c>
      <c r="AP195" s="62">
        <f>IF(OR(AG195="",INDEX(p_rates,6)=""),0,IF(AG195="Facture",SUMIFS(fl_ht,fl_doc,A195,fl_rate,INDEX(p_rates,6)),SUMIFS(dl_ht,dl_doc,F195,dl_rate,INDEX(p_rates,6))))</f>
        <v>0.0</v>
      </c>
      <c r="AQ195" s="62">
        <f>ROUND(AK195*N(INDEX(p_rates,1)),2)+ROUND(AL195*N(INDEX(p_rates,2)),2)+ROUND(AM195*N(INDEX(p_rates,3)),2)+ROUND(AN195*N(INDEX(p_rates,4)),2)+ROUND(AO195*N(INDEX(p_rates,5)),2)+ROUND(AP195*N(INDEX(p_rates,6)),2)</f>
        <v>0.0</v>
      </c>
      <c r="AR195" s="62" t="str">
        <f>IF(OR(L195="",AA195&lt;&gt;"Facture"),"",IFERROR(IF(INDEX(fa_type,MATCH(L195,fa_num,0))="Facture d'acompte",MATCH(L195,fa_num,0),""),""))</f>
        <v/>
      </c>
      <c r="AS195" s="62" t="str">
        <f>IF(W195="","",IF(W195&lt;=0,"",IF(p_asof-P195&lt;=0,"Non échu",IF(p_asof-P195&lt;=30,"1-30 j",IF(p_asof-P195&lt;=60,"31-60 j",IF(p_asof-P195&lt;=90,"61-90 j","Plus de 90 j"))))))</f>
        <v/>
      </c>
      <c r="AT195" s="62" t="str">
        <f>IF(AS195="","",p_asof-P195)</f>
        <v/>
      </c>
      <c r="AU195" s="62" t="str">
        <f>IF(AT195="","",COUNTIF($AT$6:$AT$805,"&gt;"&amp;AT195)+COUNTIF($AT$6:AT195,AT195))</f>
        <v/>
      </c>
    </row>
    <row r="196">
      <c r="A196" s="59" t="str">
        <f>IF(AE196="","",AB196&amp;"-"&amp;AD196&amp;"-"&amp;RIGHT("000"&amp;AE196,4))</f>
        <v/>
      </c>
      <c r="B196" s="60" t="n"/>
      <c r="C196" s="61" t="n"/>
      <c r="D196" s="60" t="n"/>
      <c r="E196" s="62" t="str">
        <f>IF(D196="","",IFERROR(INDEX(cli_name,MATCH(D196,cli_code,0))&amp;"","Client inconnu"))</f>
        <v/>
      </c>
      <c r="F196" s="60" t="n"/>
      <c r="G196" s="63" t="n"/>
      <c r="H196" s="61" t="n"/>
      <c r="I196" s="63" t="n"/>
      <c r="J196" s="60" t="n"/>
      <c r="K196" s="61" t="n"/>
      <c r="L196" s="60" t="n"/>
      <c r="M196" s="60" t="n"/>
      <c r="N196" s="60" t="n"/>
      <c r="O196" s="61" t="n"/>
      <c r="P196" s="64" t="str">
        <f>IF(A196="","",IF(AA196="Avoir",AC196,IF(ISNUMBER(K196),K196,AC196+IF(D196="",N(p_delay),IFERROR(IF(ISNUMBER(INDEX(cli_delay,MATCH(D196,cli_code,0))),INDEX(cli_delay,MATCH(D196,cli_code,0)),N(p_delay)),N(p_delay))))))</f>
        <v/>
      </c>
      <c r="Q196" s="65" t="str">
        <f>IF(A196="","",IF(AA196="Avoir",-1,1)*ROUND(AJ196-IF(AR196="",0,INDEX(fa_htb,AR196)),2))</f>
        <v/>
      </c>
      <c r="R196" s="65" t="str">
        <f>IF(A196="","",IF(AA196="Avoir",-1,1)*ROUND(AQ196-IF(AR196="",0,INDEX(fa_tvab,AR196)),2))</f>
        <v/>
      </c>
      <c r="S196" s="65" t="str">
        <f>IF(A196="","",Q196+R196)</f>
        <v/>
      </c>
      <c r="T196" s="65" t="str">
        <f>IF(AR196="","",INDEX(fa_htb,AR196)+INDEX(fa_tvab,AR196))</f>
        <v/>
      </c>
      <c r="U196" s="65" t="str">
        <f>IF(A196="","",SUMIF(pa_inv,A196,pa_amt))</f>
        <v/>
      </c>
      <c r="V196" s="65" t="str">
        <f>IF(OR(A196="",AA196="Avoir"),"",-SUMIFS(fa_ttc,fa_avof,A196,fa_type,"Avoir"))</f>
        <v/>
      </c>
      <c r="W196" s="65" t="str">
        <f>IF(OR(A196="",AA196="Avoir"),"",ROUND(S196-U196-V196,2))</f>
        <v/>
      </c>
      <c r="X196" s="66" t="str">
        <f>IF(W196="","",IF(AND(W196&gt;0,p_asof&gt;P196),p_asof-P196,""))</f>
        <v/>
      </c>
      <c r="Y196" s="59" t="str">
        <f>IF(A196="","",IF(AA196="Avoir","Avoir",IF(W196&lt;0,"Trop-perçu",IF(W196=0,"Soldée",IF(p_asof&gt;P196,"En retard",IF(U196+V196&gt;0,"Partielle","À échoir"))))))</f>
        <v/>
      </c>
      <c r="Z196" s="59" t="str">
        <f>IF(NOT(COUNTA(B196:D196,F196:O196)&gt;0),"",IF(C196="","Date manquante",IF(NOT(ISNUMBER(C196)),"Date invalide",IF(D196="","Client manquant",IF(ISNA(MATCH(D196,cli_code,0)),"Client inconnu",IF(AC196&lt;SUMPRODUCT(MAX(($AB$6:AB195=AB196)*$AC$6:AC195)),"Date antérieure à la facture précédente",IF(AND(F196&lt;&gt;"",ISNA(MATCH(F196,dv_num,0))),"Devis inconnu",IF(AND(F196&lt;&gt;"",IFERROR(INDEX(dv_client,MATCH(F196,dv_num,0)),D196)&lt;&gt;D196),"Client différent de celui du devis",IF(AG196="","Aucune ligne : saisissez des lignes ou un devis",IF(AND(AI196&lt;&gt;"",COUNTIF($AI$6:AI196,AI196)&gt;1),"Devis déjà repris par une autre facture",IF(AND(AA196="Avoir",M196=""),"Avoir : indiquez la facture d'origine",IF(AND(AA196="Avoir",ISNA(MATCH(M196,fa_num,0))),"Facture d'origine inconnue",IF(AND(AA196&lt;&gt;"Avoir",M196&lt;&gt;""),"« Avoir sur facture » : réservé aux avoirs",IF(AND(L196&lt;&gt;"",AA196&lt;&gt;"Facture"),"Acompte à déduire : réservé aux factures",IF(AND(L196&lt;&gt;"",ISNA(MATCH(L196,fa_num,0))),"Facture d'acompte inconnue",IF(AND(L196&lt;&gt;"",IFERROR(INDEX(fa_type,MATCH(L196,fa_num,0)),"")&lt;&gt;"Facture d'acompte"),"Le n° à déduire n'est pas une facture d'acompte",IF(AND(L196&lt;&gt;"",COUNTIF($L$6:L196,L196)&gt;1),"Acompte déjà déduit sur une autre facture",IF(AND(L196&lt;&gt;"",IFERROR(INDEX(fa_client,MATCH(L196,fa_num,0)),D196)&lt;&gt;D196),"Acompte d'un autre client",IF(AND(AR196&lt;&gt;"",N(Q196)&lt;0),"Acompte supérieur au total de la facture",IF(IF(AG196="Facture",COUNTIFS(fl_doc,A196,fl_check,"&lt;&gt;OK"),IF(AG196="Devis",COUNTIFS(dl_doc,F196,dl_check,"&lt;&gt;OK"),0))&gt;0,"Ligne(s) à corriger",IF(AND(W196&lt;&gt;"",N(W196)&lt;0),"Trop-perçu : vérifiez paiements et avoirs","OK")))))))))))))))))))))</f>
        <v/>
      </c>
      <c r="AA196" s="62" t="str">
        <f>IF(COUNTA(B196:D196,F196:O196)&gt;0,IF(B196="","Facture",B196),"")</f>
        <v/>
      </c>
      <c r="AB196" s="62" t="str">
        <f>IF(AA196="","",IF(AA196="Avoir",p_pav,IF(AA196="Facture d'acompte",p_pac,p_pfa)))</f>
        <v/>
      </c>
      <c r="AC196" s="62">
        <f>IF(ISNUMBER(C196),C196,0)</f>
        <v>0.0</v>
      </c>
      <c r="AD196" s="62" t="str">
        <f>IF(OR(AA196="",AC196=0),"",YEAR(AC196))</f>
        <v/>
      </c>
      <c r="AE196" s="62" t="str">
        <f>IF(AD196="","",COUNTIFS($AB$6:AB196,AB196,$AD$6:AD196,AD196))</f>
        <v/>
      </c>
      <c r="AF196" s="62">
        <f>IF(A196="",0,COUNTIF(fl_doc,A196))</f>
        <v>0.0</v>
      </c>
      <c r="AG196" s="62" t="str">
        <f>IF(A196="","",IF(AF196&gt;0,"Facture",IF(AND(F196&lt;&gt;"",AA196="Facture",ISNUMBER(MATCH(F196,dv_num,0))),"Devis","")))</f>
        <v/>
      </c>
      <c r="AH196" s="62" t="str">
        <f>IF(AND(A196&lt;&gt;"",F196&lt;&gt;"",AA196&lt;&gt;"Avoir"),F196,"")</f>
        <v/>
      </c>
      <c r="AI196" s="62" t="str">
        <f>IF(AG196="Devis",F196,"")</f>
        <v/>
      </c>
      <c r="AJ196" s="62">
        <f>IF(AG196="Facture",SUMIF(fl_doc,A196,fl_ht),IF(AG196="Devis",SUMIF(dl_doc,F196,dl_ht),0))</f>
        <v>0.0</v>
      </c>
      <c r="AK196" s="62">
        <f>IF(OR(AG196="",INDEX(p_rates,1)=""),0,IF(AG196="Facture",SUMIFS(fl_ht,fl_doc,A196,fl_rate,INDEX(p_rates,1)),SUMIFS(dl_ht,dl_doc,F196,dl_rate,INDEX(p_rates,1))))</f>
        <v>0.0</v>
      </c>
      <c r="AL196" s="62">
        <f>IF(OR(AG196="",INDEX(p_rates,2)=""),0,IF(AG196="Facture",SUMIFS(fl_ht,fl_doc,A196,fl_rate,INDEX(p_rates,2)),SUMIFS(dl_ht,dl_doc,F196,dl_rate,INDEX(p_rates,2))))</f>
        <v>0.0</v>
      </c>
      <c r="AM196" s="62">
        <f>IF(OR(AG196="",INDEX(p_rates,3)=""),0,IF(AG196="Facture",SUMIFS(fl_ht,fl_doc,A196,fl_rate,INDEX(p_rates,3)),SUMIFS(dl_ht,dl_doc,F196,dl_rate,INDEX(p_rates,3))))</f>
        <v>0.0</v>
      </c>
      <c r="AN196" s="62">
        <f>IF(OR(AG196="",INDEX(p_rates,4)=""),0,IF(AG196="Facture",SUMIFS(fl_ht,fl_doc,A196,fl_rate,INDEX(p_rates,4)),SUMIFS(dl_ht,dl_doc,F196,dl_rate,INDEX(p_rates,4))))</f>
        <v>0.0</v>
      </c>
      <c r="AO196" s="62">
        <f>IF(OR(AG196="",INDEX(p_rates,5)=""),0,IF(AG196="Facture",SUMIFS(fl_ht,fl_doc,A196,fl_rate,INDEX(p_rates,5)),SUMIFS(dl_ht,dl_doc,F196,dl_rate,INDEX(p_rates,5))))</f>
        <v>0.0</v>
      </c>
      <c r="AP196" s="62">
        <f>IF(OR(AG196="",INDEX(p_rates,6)=""),0,IF(AG196="Facture",SUMIFS(fl_ht,fl_doc,A196,fl_rate,INDEX(p_rates,6)),SUMIFS(dl_ht,dl_doc,F196,dl_rate,INDEX(p_rates,6))))</f>
        <v>0.0</v>
      </c>
      <c r="AQ196" s="62">
        <f>ROUND(AK196*N(INDEX(p_rates,1)),2)+ROUND(AL196*N(INDEX(p_rates,2)),2)+ROUND(AM196*N(INDEX(p_rates,3)),2)+ROUND(AN196*N(INDEX(p_rates,4)),2)+ROUND(AO196*N(INDEX(p_rates,5)),2)+ROUND(AP196*N(INDEX(p_rates,6)),2)</f>
        <v>0.0</v>
      </c>
      <c r="AR196" s="62" t="str">
        <f>IF(OR(L196="",AA196&lt;&gt;"Facture"),"",IFERROR(IF(INDEX(fa_type,MATCH(L196,fa_num,0))="Facture d'acompte",MATCH(L196,fa_num,0),""),""))</f>
        <v/>
      </c>
      <c r="AS196" s="62" t="str">
        <f>IF(W196="","",IF(W196&lt;=0,"",IF(p_asof-P196&lt;=0,"Non échu",IF(p_asof-P196&lt;=30,"1-30 j",IF(p_asof-P196&lt;=60,"31-60 j",IF(p_asof-P196&lt;=90,"61-90 j","Plus de 90 j"))))))</f>
        <v/>
      </c>
      <c r="AT196" s="62" t="str">
        <f>IF(AS196="","",p_asof-P196)</f>
        <v/>
      </c>
      <c r="AU196" s="62" t="str">
        <f>IF(AT196="","",COUNTIF($AT$6:$AT$805,"&gt;"&amp;AT196)+COUNTIF($AT$6:AT196,AT196))</f>
        <v/>
      </c>
    </row>
    <row r="197">
      <c r="A197" s="59" t="str">
        <f>IF(AE197="","",AB197&amp;"-"&amp;AD197&amp;"-"&amp;RIGHT("000"&amp;AE197,4))</f>
        <v/>
      </c>
      <c r="B197" s="60" t="n"/>
      <c r="C197" s="61" t="n"/>
      <c r="D197" s="60" t="n"/>
      <c r="E197" s="62" t="str">
        <f>IF(D197="","",IFERROR(INDEX(cli_name,MATCH(D197,cli_code,0))&amp;"","Client inconnu"))</f>
        <v/>
      </c>
      <c r="F197" s="60" t="n"/>
      <c r="G197" s="63" t="n"/>
      <c r="H197" s="61" t="n"/>
      <c r="I197" s="63" t="n"/>
      <c r="J197" s="60" t="n"/>
      <c r="K197" s="61" t="n"/>
      <c r="L197" s="60" t="n"/>
      <c r="M197" s="60" t="n"/>
      <c r="N197" s="60" t="n"/>
      <c r="O197" s="61" t="n"/>
      <c r="P197" s="64" t="str">
        <f>IF(A197="","",IF(AA197="Avoir",AC197,IF(ISNUMBER(K197),K197,AC197+IF(D197="",N(p_delay),IFERROR(IF(ISNUMBER(INDEX(cli_delay,MATCH(D197,cli_code,0))),INDEX(cli_delay,MATCH(D197,cli_code,0)),N(p_delay)),N(p_delay))))))</f>
        <v/>
      </c>
      <c r="Q197" s="65" t="str">
        <f>IF(A197="","",IF(AA197="Avoir",-1,1)*ROUND(AJ197-IF(AR197="",0,INDEX(fa_htb,AR197)),2))</f>
        <v/>
      </c>
      <c r="R197" s="65" t="str">
        <f>IF(A197="","",IF(AA197="Avoir",-1,1)*ROUND(AQ197-IF(AR197="",0,INDEX(fa_tvab,AR197)),2))</f>
        <v/>
      </c>
      <c r="S197" s="65" t="str">
        <f>IF(A197="","",Q197+R197)</f>
        <v/>
      </c>
      <c r="T197" s="65" t="str">
        <f>IF(AR197="","",INDEX(fa_htb,AR197)+INDEX(fa_tvab,AR197))</f>
        <v/>
      </c>
      <c r="U197" s="65" t="str">
        <f>IF(A197="","",SUMIF(pa_inv,A197,pa_amt))</f>
        <v/>
      </c>
      <c r="V197" s="65" t="str">
        <f>IF(OR(A197="",AA197="Avoir"),"",-SUMIFS(fa_ttc,fa_avof,A197,fa_type,"Avoir"))</f>
        <v/>
      </c>
      <c r="W197" s="65" t="str">
        <f>IF(OR(A197="",AA197="Avoir"),"",ROUND(S197-U197-V197,2))</f>
        <v/>
      </c>
      <c r="X197" s="66" t="str">
        <f>IF(W197="","",IF(AND(W197&gt;0,p_asof&gt;P197),p_asof-P197,""))</f>
        <v/>
      </c>
      <c r="Y197" s="59" t="str">
        <f>IF(A197="","",IF(AA197="Avoir","Avoir",IF(W197&lt;0,"Trop-perçu",IF(W197=0,"Soldée",IF(p_asof&gt;P197,"En retard",IF(U197+V197&gt;0,"Partielle","À échoir"))))))</f>
        <v/>
      </c>
      <c r="Z197" s="59" t="str">
        <f>IF(NOT(COUNTA(B197:D197,F197:O197)&gt;0),"",IF(C197="","Date manquante",IF(NOT(ISNUMBER(C197)),"Date invalide",IF(D197="","Client manquant",IF(ISNA(MATCH(D197,cli_code,0)),"Client inconnu",IF(AC197&lt;SUMPRODUCT(MAX(($AB$6:AB196=AB197)*$AC$6:AC196)),"Date antérieure à la facture précédente",IF(AND(F197&lt;&gt;"",ISNA(MATCH(F197,dv_num,0))),"Devis inconnu",IF(AND(F197&lt;&gt;"",IFERROR(INDEX(dv_client,MATCH(F197,dv_num,0)),D197)&lt;&gt;D197),"Client différent de celui du devis",IF(AG197="","Aucune ligne : saisissez des lignes ou un devis",IF(AND(AI197&lt;&gt;"",COUNTIF($AI$6:AI197,AI197)&gt;1),"Devis déjà repris par une autre facture",IF(AND(AA197="Avoir",M197=""),"Avoir : indiquez la facture d'origine",IF(AND(AA197="Avoir",ISNA(MATCH(M197,fa_num,0))),"Facture d'origine inconnue",IF(AND(AA197&lt;&gt;"Avoir",M197&lt;&gt;""),"« Avoir sur facture » : réservé aux avoirs",IF(AND(L197&lt;&gt;"",AA197&lt;&gt;"Facture"),"Acompte à déduire : réservé aux factures",IF(AND(L197&lt;&gt;"",ISNA(MATCH(L197,fa_num,0))),"Facture d'acompte inconnue",IF(AND(L197&lt;&gt;"",IFERROR(INDEX(fa_type,MATCH(L197,fa_num,0)),"")&lt;&gt;"Facture d'acompte"),"Le n° à déduire n'est pas une facture d'acompte",IF(AND(L197&lt;&gt;"",COUNTIF($L$6:L197,L197)&gt;1),"Acompte déjà déduit sur une autre facture",IF(AND(L197&lt;&gt;"",IFERROR(INDEX(fa_client,MATCH(L197,fa_num,0)),D197)&lt;&gt;D197),"Acompte d'un autre client",IF(AND(AR197&lt;&gt;"",N(Q197)&lt;0),"Acompte supérieur au total de la facture",IF(IF(AG197="Facture",COUNTIFS(fl_doc,A197,fl_check,"&lt;&gt;OK"),IF(AG197="Devis",COUNTIFS(dl_doc,F197,dl_check,"&lt;&gt;OK"),0))&gt;0,"Ligne(s) à corriger",IF(AND(W197&lt;&gt;"",N(W197)&lt;0),"Trop-perçu : vérifiez paiements et avoirs","OK")))))))))))))))))))))</f>
        <v/>
      </c>
      <c r="AA197" s="62" t="str">
        <f>IF(COUNTA(B197:D197,F197:O197)&gt;0,IF(B197="","Facture",B197),"")</f>
        <v/>
      </c>
      <c r="AB197" s="62" t="str">
        <f>IF(AA197="","",IF(AA197="Avoir",p_pav,IF(AA197="Facture d'acompte",p_pac,p_pfa)))</f>
        <v/>
      </c>
      <c r="AC197" s="62">
        <f>IF(ISNUMBER(C197),C197,0)</f>
        <v>0.0</v>
      </c>
      <c r="AD197" s="62" t="str">
        <f>IF(OR(AA197="",AC197=0),"",YEAR(AC197))</f>
        <v/>
      </c>
      <c r="AE197" s="62" t="str">
        <f>IF(AD197="","",COUNTIFS($AB$6:AB197,AB197,$AD$6:AD197,AD197))</f>
        <v/>
      </c>
      <c r="AF197" s="62">
        <f>IF(A197="",0,COUNTIF(fl_doc,A197))</f>
        <v>0.0</v>
      </c>
      <c r="AG197" s="62" t="str">
        <f>IF(A197="","",IF(AF197&gt;0,"Facture",IF(AND(F197&lt;&gt;"",AA197="Facture",ISNUMBER(MATCH(F197,dv_num,0))),"Devis","")))</f>
        <v/>
      </c>
      <c r="AH197" s="62" t="str">
        <f>IF(AND(A197&lt;&gt;"",F197&lt;&gt;"",AA197&lt;&gt;"Avoir"),F197,"")</f>
        <v/>
      </c>
      <c r="AI197" s="62" t="str">
        <f>IF(AG197="Devis",F197,"")</f>
        <v/>
      </c>
      <c r="AJ197" s="62">
        <f>IF(AG197="Facture",SUMIF(fl_doc,A197,fl_ht),IF(AG197="Devis",SUMIF(dl_doc,F197,dl_ht),0))</f>
        <v>0.0</v>
      </c>
      <c r="AK197" s="62">
        <f>IF(OR(AG197="",INDEX(p_rates,1)=""),0,IF(AG197="Facture",SUMIFS(fl_ht,fl_doc,A197,fl_rate,INDEX(p_rates,1)),SUMIFS(dl_ht,dl_doc,F197,dl_rate,INDEX(p_rates,1))))</f>
        <v>0.0</v>
      </c>
      <c r="AL197" s="62">
        <f>IF(OR(AG197="",INDEX(p_rates,2)=""),0,IF(AG197="Facture",SUMIFS(fl_ht,fl_doc,A197,fl_rate,INDEX(p_rates,2)),SUMIFS(dl_ht,dl_doc,F197,dl_rate,INDEX(p_rates,2))))</f>
        <v>0.0</v>
      </c>
      <c r="AM197" s="62">
        <f>IF(OR(AG197="",INDEX(p_rates,3)=""),0,IF(AG197="Facture",SUMIFS(fl_ht,fl_doc,A197,fl_rate,INDEX(p_rates,3)),SUMIFS(dl_ht,dl_doc,F197,dl_rate,INDEX(p_rates,3))))</f>
        <v>0.0</v>
      </c>
      <c r="AN197" s="62">
        <f>IF(OR(AG197="",INDEX(p_rates,4)=""),0,IF(AG197="Facture",SUMIFS(fl_ht,fl_doc,A197,fl_rate,INDEX(p_rates,4)),SUMIFS(dl_ht,dl_doc,F197,dl_rate,INDEX(p_rates,4))))</f>
        <v>0.0</v>
      </c>
      <c r="AO197" s="62">
        <f>IF(OR(AG197="",INDEX(p_rates,5)=""),0,IF(AG197="Facture",SUMIFS(fl_ht,fl_doc,A197,fl_rate,INDEX(p_rates,5)),SUMIFS(dl_ht,dl_doc,F197,dl_rate,INDEX(p_rates,5))))</f>
        <v>0.0</v>
      </c>
      <c r="AP197" s="62">
        <f>IF(OR(AG197="",INDEX(p_rates,6)=""),0,IF(AG197="Facture",SUMIFS(fl_ht,fl_doc,A197,fl_rate,INDEX(p_rates,6)),SUMIFS(dl_ht,dl_doc,F197,dl_rate,INDEX(p_rates,6))))</f>
        <v>0.0</v>
      </c>
      <c r="AQ197" s="62">
        <f>ROUND(AK197*N(INDEX(p_rates,1)),2)+ROUND(AL197*N(INDEX(p_rates,2)),2)+ROUND(AM197*N(INDEX(p_rates,3)),2)+ROUND(AN197*N(INDEX(p_rates,4)),2)+ROUND(AO197*N(INDEX(p_rates,5)),2)+ROUND(AP197*N(INDEX(p_rates,6)),2)</f>
        <v>0.0</v>
      </c>
      <c r="AR197" s="62" t="str">
        <f>IF(OR(L197="",AA197&lt;&gt;"Facture"),"",IFERROR(IF(INDEX(fa_type,MATCH(L197,fa_num,0))="Facture d'acompte",MATCH(L197,fa_num,0),""),""))</f>
        <v/>
      </c>
      <c r="AS197" s="62" t="str">
        <f>IF(W197="","",IF(W197&lt;=0,"",IF(p_asof-P197&lt;=0,"Non échu",IF(p_asof-P197&lt;=30,"1-30 j",IF(p_asof-P197&lt;=60,"31-60 j",IF(p_asof-P197&lt;=90,"61-90 j","Plus de 90 j"))))))</f>
        <v/>
      </c>
      <c r="AT197" s="62" t="str">
        <f>IF(AS197="","",p_asof-P197)</f>
        <v/>
      </c>
      <c r="AU197" s="62" t="str">
        <f>IF(AT197="","",COUNTIF($AT$6:$AT$805,"&gt;"&amp;AT197)+COUNTIF($AT$6:AT197,AT197))</f>
        <v/>
      </c>
    </row>
    <row r="198">
      <c r="A198" s="59" t="str">
        <f>IF(AE198="","",AB198&amp;"-"&amp;AD198&amp;"-"&amp;RIGHT("000"&amp;AE198,4))</f>
        <v/>
      </c>
      <c r="B198" s="60" t="n"/>
      <c r="C198" s="61" t="n"/>
      <c r="D198" s="60" t="n"/>
      <c r="E198" s="62" t="str">
        <f>IF(D198="","",IFERROR(INDEX(cli_name,MATCH(D198,cli_code,0))&amp;"","Client inconnu"))</f>
        <v/>
      </c>
      <c r="F198" s="60" t="n"/>
      <c r="G198" s="63" t="n"/>
      <c r="H198" s="61" t="n"/>
      <c r="I198" s="63" t="n"/>
      <c r="J198" s="60" t="n"/>
      <c r="K198" s="61" t="n"/>
      <c r="L198" s="60" t="n"/>
      <c r="M198" s="60" t="n"/>
      <c r="N198" s="60" t="n"/>
      <c r="O198" s="61" t="n"/>
      <c r="P198" s="64" t="str">
        <f>IF(A198="","",IF(AA198="Avoir",AC198,IF(ISNUMBER(K198),K198,AC198+IF(D198="",N(p_delay),IFERROR(IF(ISNUMBER(INDEX(cli_delay,MATCH(D198,cli_code,0))),INDEX(cli_delay,MATCH(D198,cli_code,0)),N(p_delay)),N(p_delay))))))</f>
        <v/>
      </c>
      <c r="Q198" s="65" t="str">
        <f>IF(A198="","",IF(AA198="Avoir",-1,1)*ROUND(AJ198-IF(AR198="",0,INDEX(fa_htb,AR198)),2))</f>
        <v/>
      </c>
      <c r="R198" s="65" t="str">
        <f>IF(A198="","",IF(AA198="Avoir",-1,1)*ROUND(AQ198-IF(AR198="",0,INDEX(fa_tvab,AR198)),2))</f>
        <v/>
      </c>
      <c r="S198" s="65" t="str">
        <f>IF(A198="","",Q198+R198)</f>
        <v/>
      </c>
      <c r="T198" s="65" t="str">
        <f>IF(AR198="","",INDEX(fa_htb,AR198)+INDEX(fa_tvab,AR198))</f>
        <v/>
      </c>
      <c r="U198" s="65" t="str">
        <f>IF(A198="","",SUMIF(pa_inv,A198,pa_amt))</f>
        <v/>
      </c>
      <c r="V198" s="65" t="str">
        <f>IF(OR(A198="",AA198="Avoir"),"",-SUMIFS(fa_ttc,fa_avof,A198,fa_type,"Avoir"))</f>
        <v/>
      </c>
      <c r="W198" s="65" t="str">
        <f>IF(OR(A198="",AA198="Avoir"),"",ROUND(S198-U198-V198,2))</f>
        <v/>
      </c>
      <c r="X198" s="66" t="str">
        <f>IF(W198="","",IF(AND(W198&gt;0,p_asof&gt;P198),p_asof-P198,""))</f>
        <v/>
      </c>
      <c r="Y198" s="59" t="str">
        <f>IF(A198="","",IF(AA198="Avoir","Avoir",IF(W198&lt;0,"Trop-perçu",IF(W198=0,"Soldée",IF(p_asof&gt;P198,"En retard",IF(U198+V198&gt;0,"Partielle","À échoir"))))))</f>
        <v/>
      </c>
      <c r="Z198" s="59" t="str">
        <f>IF(NOT(COUNTA(B198:D198,F198:O198)&gt;0),"",IF(C198="","Date manquante",IF(NOT(ISNUMBER(C198)),"Date invalide",IF(D198="","Client manquant",IF(ISNA(MATCH(D198,cli_code,0)),"Client inconnu",IF(AC198&lt;SUMPRODUCT(MAX(($AB$6:AB197=AB198)*$AC$6:AC197)),"Date antérieure à la facture précédente",IF(AND(F198&lt;&gt;"",ISNA(MATCH(F198,dv_num,0))),"Devis inconnu",IF(AND(F198&lt;&gt;"",IFERROR(INDEX(dv_client,MATCH(F198,dv_num,0)),D198)&lt;&gt;D198),"Client différent de celui du devis",IF(AG198="","Aucune ligne : saisissez des lignes ou un devis",IF(AND(AI198&lt;&gt;"",COUNTIF($AI$6:AI198,AI198)&gt;1),"Devis déjà repris par une autre facture",IF(AND(AA198="Avoir",M198=""),"Avoir : indiquez la facture d'origine",IF(AND(AA198="Avoir",ISNA(MATCH(M198,fa_num,0))),"Facture d'origine inconnue",IF(AND(AA198&lt;&gt;"Avoir",M198&lt;&gt;""),"« Avoir sur facture » : réservé aux avoirs",IF(AND(L198&lt;&gt;"",AA198&lt;&gt;"Facture"),"Acompte à déduire : réservé aux factures",IF(AND(L198&lt;&gt;"",ISNA(MATCH(L198,fa_num,0))),"Facture d'acompte inconnue",IF(AND(L198&lt;&gt;"",IFERROR(INDEX(fa_type,MATCH(L198,fa_num,0)),"")&lt;&gt;"Facture d'acompte"),"Le n° à déduire n'est pas une facture d'acompte",IF(AND(L198&lt;&gt;"",COUNTIF($L$6:L198,L198)&gt;1),"Acompte déjà déduit sur une autre facture",IF(AND(L198&lt;&gt;"",IFERROR(INDEX(fa_client,MATCH(L198,fa_num,0)),D198)&lt;&gt;D198),"Acompte d'un autre client",IF(AND(AR198&lt;&gt;"",N(Q198)&lt;0),"Acompte supérieur au total de la facture",IF(IF(AG198="Facture",COUNTIFS(fl_doc,A198,fl_check,"&lt;&gt;OK"),IF(AG198="Devis",COUNTIFS(dl_doc,F198,dl_check,"&lt;&gt;OK"),0))&gt;0,"Ligne(s) à corriger",IF(AND(W198&lt;&gt;"",N(W198)&lt;0),"Trop-perçu : vérifiez paiements et avoirs","OK")))))))))))))))))))))</f>
        <v/>
      </c>
      <c r="AA198" s="62" t="str">
        <f>IF(COUNTA(B198:D198,F198:O198)&gt;0,IF(B198="","Facture",B198),"")</f>
        <v/>
      </c>
      <c r="AB198" s="62" t="str">
        <f>IF(AA198="","",IF(AA198="Avoir",p_pav,IF(AA198="Facture d'acompte",p_pac,p_pfa)))</f>
        <v/>
      </c>
      <c r="AC198" s="62">
        <f>IF(ISNUMBER(C198),C198,0)</f>
        <v>0.0</v>
      </c>
      <c r="AD198" s="62" t="str">
        <f>IF(OR(AA198="",AC198=0),"",YEAR(AC198))</f>
        <v/>
      </c>
      <c r="AE198" s="62" t="str">
        <f>IF(AD198="","",COUNTIFS($AB$6:AB198,AB198,$AD$6:AD198,AD198))</f>
        <v/>
      </c>
      <c r="AF198" s="62">
        <f>IF(A198="",0,COUNTIF(fl_doc,A198))</f>
        <v>0.0</v>
      </c>
      <c r="AG198" s="62" t="str">
        <f>IF(A198="","",IF(AF198&gt;0,"Facture",IF(AND(F198&lt;&gt;"",AA198="Facture",ISNUMBER(MATCH(F198,dv_num,0))),"Devis","")))</f>
        <v/>
      </c>
      <c r="AH198" s="62" t="str">
        <f>IF(AND(A198&lt;&gt;"",F198&lt;&gt;"",AA198&lt;&gt;"Avoir"),F198,"")</f>
        <v/>
      </c>
      <c r="AI198" s="62" t="str">
        <f>IF(AG198="Devis",F198,"")</f>
        <v/>
      </c>
      <c r="AJ198" s="62">
        <f>IF(AG198="Facture",SUMIF(fl_doc,A198,fl_ht),IF(AG198="Devis",SUMIF(dl_doc,F198,dl_ht),0))</f>
        <v>0.0</v>
      </c>
      <c r="AK198" s="62">
        <f>IF(OR(AG198="",INDEX(p_rates,1)=""),0,IF(AG198="Facture",SUMIFS(fl_ht,fl_doc,A198,fl_rate,INDEX(p_rates,1)),SUMIFS(dl_ht,dl_doc,F198,dl_rate,INDEX(p_rates,1))))</f>
        <v>0.0</v>
      </c>
      <c r="AL198" s="62">
        <f>IF(OR(AG198="",INDEX(p_rates,2)=""),0,IF(AG198="Facture",SUMIFS(fl_ht,fl_doc,A198,fl_rate,INDEX(p_rates,2)),SUMIFS(dl_ht,dl_doc,F198,dl_rate,INDEX(p_rates,2))))</f>
        <v>0.0</v>
      </c>
      <c r="AM198" s="62">
        <f>IF(OR(AG198="",INDEX(p_rates,3)=""),0,IF(AG198="Facture",SUMIFS(fl_ht,fl_doc,A198,fl_rate,INDEX(p_rates,3)),SUMIFS(dl_ht,dl_doc,F198,dl_rate,INDEX(p_rates,3))))</f>
        <v>0.0</v>
      </c>
      <c r="AN198" s="62">
        <f>IF(OR(AG198="",INDEX(p_rates,4)=""),0,IF(AG198="Facture",SUMIFS(fl_ht,fl_doc,A198,fl_rate,INDEX(p_rates,4)),SUMIFS(dl_ht,dl_doc,F198,dl_rate,INDEX(p_rates,4))))</f>
        <v>0.0</v>
      </c>
      <c r="AO198" s="62">
        <f>IF(OR(AG198="",INDEX(p_rates,5)=""),0,IF(AG198="Facture",SUMIFS(fl_ht,fl_doc,A198,fl_rate,INDEX(p_rates,5)),SUMIFS(dl_ht,dl_doc,F198,dl_rate,INDEX(p_rates,5))))</f>
        <v>0.0</v>
      </c>
      <c r="AP198" s="62">
        <f>IF(OR(AG198="",INDEX(p_rates,6)=""),0,IF(AG198="Facture",SUMIFS(fl_ht,fl_doc,A198,fl_rate,INDEX(p_rates,6)),SUMIFS(dl_ht,dl_doc,F198,dl_rate,INDEX(p_rates,6))))</f>
        <v>0.0</v>
      </c>
      <c r="AQ198" s="62">
        <f>ROUND(AK198*N(INDEX(p_rates,1)),2)+ROUND(AL198*N(INDEX(p_rates,2)),2)+ROUND(AM198*N(INDEX(p_rates,3)),2)+ROUND(AN198*N(INDEX(p_rates,4)),2)+ROUND(AO198*N(INDEX(p_rates,5)),2)+ROUND(AP198*N(INDEX(p_rates,6)),2)</f>
        <v>0.0</v>
      </c>
      <c r="AR198" s="62" t="str">
        <f>IF(OR(L198="",AA198&lt;&gt;"Facture"),"",IFERROR(IF(INDEX(fa_type,MATCH(L198,fa_num,0))="Facture d'acompte",MATCH(L198,fa_num,0),""),""))</f>
        <v/>
      </c>
      <c r="AS198" s="62" t="str">
        <f>IF(W198="","",IF(W198&lt;=0,"",IF(p_asof-P198&lt;=0,"Non échu",IF(p_asof-P198&lt;=30,"1-30 j",IF(p_asof-P198&lt;=60,"31-60 j",IF(p_asof-P198&lt;=90,"61-90 j","Plus de 90 j"))))))</f>
        <v/>
      </c>
      <c r="AT198" s="62" t="str">
        <f>IF(AS198="","",p_asof-P198)</f>
        <v/>
      </c>
      <c r="AU198" s="62" t="str">
        <f>IF(AT198="","",COUNTIF($AT$6:$AT$805,"&gt;"&amp;AT198)+COUNTIF($AT$6:AT198,AT198))</f>
        <v/>
      </c>
    </row>
    <row r="199">
      <c r="A199" s="59" t="str">
        <f>IF(AE199="","",AB199&amp;"-"&amp;AD199&amp;"-"&amp;RIGHT("000"&amp;AE199,4))</f>
        <v/>
      </c>
      <c r="B199" s="60" t="n"/>
      <c r="C199" s="61" t="n"/>
      <c r="D199" s="60" t="n"/>
      <c r="E199" s="62" t="str">
        <f>IF(D199="","",IFERROR(INDEX(cli_name,MATCH(D199,cli_code,0))&amp;"","Client inconnu"))</f>
        <v/>
      </c>
      <c r="F199" s="60" t="n"/>
      <c r="G199" s="63" t="n"/>
      <c r="H199" s="61" t="n"/>
      <c r="I199" s="63" t="n"/>
      <c r="J199" s="60" t="n"/>
      <c r="K199" s="61" t="n"/>
      <c r="L199" s="60" t="n"/>
      <c r="M199" s="60" t="n"/>
      <c r="N199" s="60" t="n"/>
      <c r="O199" s="61" t="n"/>
      <c r="P199" s="64" t="str">
        <f>IF(A199="","",IF(AA199="Avoir",AC199,IF(ISNUMBER(K199),K199,AC199+IF(D199="",N(p_delay),IFERROR(IF(ISNUMBER(INDEX(cli_delay,MATCH(D199,cli_code,0))),INDEX(cli_delay,MATCH(D199,cli_code,0)),N(p_delay)),N(p_delay))))))</f>
        <v/>
      </c>
      <c r="Q199" s="65" t="str">
        <f>IF(A199="","",IF(AA199="Avoir",-1,1)*ROUND(AJ199-IF(AR199="",0,INDEX(fa_htb,AR199)),2))</f>
        <v/>
      </c>
      <c r="R199" s="65" t="str">
        <f>IF(A199="","",IF(AA199="Avoir",-1,1)*ROUND(AQ199-IF(AR199="",0,INDEX(fa_tvab,AR199)),2))</f>
        <v/>
      </c>
      <c r="S199" s="65" t="str">
        <f>IF(A199="","",Q199+R199)</f>
        <v/>
      </c>
      <c r="T199" s="65" t="str">
        <f>IF(AR199="","",INDEX(fa_htb,AR199)+INDEX(fa_tvab,AR199))</f>
        <v/>
      </c>
      <c r="U199" s="65" t="str">
        <f>IF(A199="","",SUMIF(pa_inv,A199,pa_amt))</f>
        <v/>
      </c>
      <c r="V199" s="65" t="str">
        <f>IF(OR(A199="",AA199="Avoir"),"",-SUMIFS(fa_ttc,fa_avof,A199,fa_type,"Avoir"))</f>
        <v/>
      </c>
      <c r="W199" s="65" t="str">
        <f>IF(OR(A199="",AA199="Avoir"),"",ROUND(S199-U199-V199,2))</f>
        <v/>
      </c>
      <c r="X199" s="66" t="str">
        <f>IF(W199="","",IF(AND(W199&gt;0,p_asof&gt;P199),p_asof-P199,""))</f>
        <v/>
      </c>
      <c r="Y199" s="59" t="str">
        <f>IF(A199="","",IF(AA199="Avoir","Avoir",IF(W199&lt;0,"Trop-perçu",IF(W199=0,"Soldée",IF(p_asof&gt;P199,"En retard",IF(U199+V199&gt;0,"Partielle","À échoir"))))))</f>
        <v/>
      </c>
      <c r="Z199" s="59" t="str">
        <f>IF(NOT(COUNTA(B199:D199,F199:O199)&gt;0),"",IF(C199="","Date manquante",IF(NOT(ISNUMBER(C199)),"Date invalide",IF(D199="","Client manquant",IF(ISNA(MATCH(D199,cli_code,0)),"Client inconnu",IF(AC199&lt;SUMPRODUCT(MAX(($AB$6:AB198=AB199)*$AC$6:AC198)),"Date antérieure à la facture précédente",IF(AND(F199&lt;&gt;"",ISNA(MATCH(F199,dv_num,0))),"Devis inconnu",IF(AND(F199&lt;&gt;"",IFERROR(INDEX(dv_client,MATCH(F199,dv_num,0)),D199)&lt;&gt;D199),"Client différent de celui du devis",IF(AG199="","Aucune ligne : saisissez des lignes ou un devis",IF(AND(AI199&lt;&gt;"",COUNTIF($AI$6:AI199,AI199)&gt;1),"Devis déjà repris par une autre facture",IF(AND(AA199="Avoir",M199=""),"Avoir : indiquez la facture d'origine",IF(AND(AA199="Avoir",ISNA(MATCH(M199,fa_num,0))),"Facture d'origine inconnue",IF(AND(AA199&lt;&gt;"Avoir",M199&lt;&gt;""),"« Avoir sur facture » : réservé aux avoirs",IF(AND(L199&lt;&gt;"",AA199&lt;&gt;"Facture"),"Acompte à déduire : réservé aux factures",IF(AND(L199&lt;&gt;"",ISNA(MATCH(L199,fa_num,0))),"Facture d'acompte inconnue",IF(AND(L199&lt;&gt;"",IFERROR(INDEX(fa_type,MATCH(L199,fa_num,0)),"")&lt;&gt;"Facture d'acompte"),"Le n° à déduire n'est pas une facture d'acompte",IF(AND(L199&lt;&gt;"",COUNTIF($L$6:L199,L199)&gt;1),"Acompte déjà déduit sur une autre facture",IF(AND(L199&lt;&gt;"",IFERROR(INDEX(fa_client,MATCH(L199,fa_num,0)),D199)&lt;&gt;D199),"Acompte d'un autre client",IF(AND(AR199&lt;&gt;"",N(Q199)&lt;0),"Acompte supérieur au total de la facture",IF(IF(AG199="Facture",COUNTIFS(fl_doc,A199,fl_check,"&lt;&gt;OK"),IF(AG199="Devis",COUNTIFS(dl_doc,F199,dl_check,"&lt;&gt;OK"),0))&gt;0,"Ligne(s) à corriger",IF(AND(W199&lt;&gt;"",N(W199)&lt;0),"Trop-perçu : vérifiez paiements et avoirs","OK")))))))))))))))))))))</f>
        <v/>
      </c>
      <c r="AA199" s="62" t="str">
        <f>IF(COUNTA(B199:D199,F199:O199)&gt;0,IF(B199="","Facture",B199),"")</f>
        <v/>
      </c>
      <c r="AB199" s="62" t="str">
        <f>IF(AA199="","",IF(AA199="Avoir",p_pav,IF(AA199="Facture d'acompte",p_pac,p_pfa)))</f>
        <v/>
      </c>
      <c r="AC199" s="62">
        <f>IF(ISNUMBER(C199),C199,0)</f>
        <v>0.0</v>
      </c>
      <c r="AD199" s="62" t="str">
        <f>IF(OR(AA199="",AC199=0),"",YEAR(AC199))</f>
        <v/>
      </c>
      <c r="AE199" s="62" t="str">
        <f>IF(AD199="","",COUNTIFS($AB$6:AB199,AB199,$AD$6:AD199,AD199))</f>
        <v/>
      </c>
      <c r="AF199" s="62">
        <f>IF(A199="",0,COUNTIF(fl_doc,A199))</f>
        <v>0.0</v>
      </c>
      <c r="AG199" s="62" t="str">
        <f>IF(A199="","",IF(AF199&gt;0,"Facture",IF(AND(F199&lt;&gt;"",AA199="Facture",ISNUMBER(MATCH(F199,dv_num,0))),"Devis","")))</f>
        <v/>
      </c>
      <c r="AH199" s="62" t="str">
        <f>IF(AND(A199&lt;&gt;"",F199&lt;&gt;"",AA199&lt;&gt;"Avoir"),F199,"")</f>
        <v/>
      </c>
      <c r="AI199" s="62" t="str">
        <f>IF(AG199="Devis",F199,"")</f>
        <v/>
      </c>
      <c r="AJ199" s="62">
        <f>IF(AG199="Facture",SUMIF(fl_doc,A199,fl_ht),IF(AG199="Devis",SUMIF(dl_doc,F199,dl_ht),0))</f>
        <v>0.0</v>
      </c>
      <c r="AK199" s="62">
        <f>IF(OR(AG199="",INDEX(p_rates,1)=""),0,IF(AG199="Facture",SUMIFS(fl_ht,fl_doc,A199,fl_rate,INDEX(p_rates,1)),SUMIFS(dl_ht,dl_doc,F199,dl_rate,INDEX(p_rates,1))))</f>
        <v>0.0</v>
      </c>
      <c r="AL199" s="62">
        <f>IF(OR(AG199="",INDEX(p_rates,2)=""),0,IF(AG199="Facture",SUMIFS(fl_ht,fl_doc,A199,fl_rate,INDEX(p_rates,2)),SUMIFS(dl_ht,dl_doc,F199,dl_rate,INDEX(p_rates,2))))</f>
        <v>0.0</v>
      </c>
      <c r="AM199" s="62">
        <f>IF(OR(AG199="",INDEX(p_rates,3)=""),0,IF(AG199="Facture",SUMIFS(fl_ht,fl_doc,A199,fl_rate,INDEX(p_rates,3)),SUMIFS(dl_ht,dl_doc,F199,dl_rate,INDEX(p_rates,3))))</f>
        <v>0.0</v>
      </c>
      <c r="AN199" s="62">
        <f>IF(OR(AG199="",INDEX(p_rates,4)=""),0,IF(AG199="Facture",SUMIFS(fl_ht,fl_doc,A199,fl_rate,INDEX(p_rates,4)),SUMIFS(dl_ht,dl_doc,F199,dl_rate,INDEX(p_rates,4))))</f>
        <v>0.0</v>
      </c>
      <c r="AO199" s="62">
        <f>IF(OR(AG199="",INDEX(p_rates,5)=""),0,IF(AG199="Facture",SUMIFS(fl_ht,fl_doc,A199,fl_rate,INDEX(p_rates,5)),SUMIFS(dl_ht,dl_doc,F199,dl_rate,INDEX(p_rates,5))))</f>
        <v>0.0</v>
      </c>
      <c r="AP199" s="62">
        <f>IF(OR(AG199="",INDEX(p_rates,6)=""),0,IF(AG199="Facture",SUMIFS(fl_ht,fl_doc,A199,fl_rate,INDEX(p_rates,6)),SUMIFS(dl_ht,dl_doc,F199,dl_rate,INDEX(p_rates,6))))</f>
        <v>0.0</v>
      </c>
      <c r="AQ199" s="62">
        <f>ROUND(AK199*N(INDEX(p_rates,1)),2)+ROUND(AL199*N(INDEX(p_rates,2)),2)+ROUND(AM199*N(INDEX(p_rates,3)),2)+ROUND(AN199*N(INDEX(p_rates,4)),2)+ROUND(AO199*N(INDEX(p_rates,5)),2)+ROUND(AP199*N(INDEX(p_rates,6)),2)</f>
        <v>0.0</v>
      </c>
      <c r="AR199" s="62" t="str">
        <f>IF(OR(L199="",AA199&lt;&gt;"Facture"),"",IFERROR(IF(INDEX(fa_type,MATCH(L199,fa_num,0))="Facture d'acompte",MATCH(L199,fa_num,0),""),""))</f>
        <v/>
      </c>
      <c r="AS199" s="62" t="str">
        <f>IF(W199="","",IF(W199&lt;=0,"",IF(p_asof-P199&lt;=0,"Non échu",IF(p_asof-P199&lt;=30,"1-30 j",IF(p_asof-P199&lt;=60,"31-60 j",IF(p_asof-P199&lt;=90,"61-90 j","Plus de 90 j"))))))</f>
        <v/>
      </c>
      <c r="AT199" s="62" t="str">
        <f>IF(AS199="","",p_asof-P199)</f>
        <v/>
      </c>
      <c r="AU199" s="62" t="str">
        <f>IF(AT199="","",COUNTIF($AT$6:$AT$805,"&gt;"&amp;AT199)+COUNTIF($AT$6:AT199,AT199))</f>
        <v/>
      </c>
    </row>
    <row r="200">
      <c r="A200" s="59" t="str">
        <f>IF(AE200="","",AB200&amp;"-"&amp;AD200&amp;"-"&amp;RIGHT("000"&amp;AE200,4))</f>
        <v/>
      </c>
      <c r="B200" s="60" t="n"/>
      <c r="C200" s="61" t="n"/>
      <c r="D200" s="60" t="n"/>
      <c r="E200" s="62" t="str">
        <f>IF(D200="","",IFERROR(INDEX(cli_name,MATCH(D200,cli_code,0))&amp;"","Client inconnu"))</f>
        <v/>
      </c>
      <c r="F200" s="60" t="n"/>
      <c r="G200" s="63" t="n"/>
      <c r="H200" s="61" t="n"/>
      <c r="I200" s="63" t="n"/>
      <c r="J200" s="60" t="n"/>
      <c r="K200" s="61" t="n"/>
      <c r="L200" s="60" t="n"/>
      <c r="M200" s="60" t="n"/>
      <c r="N200" s="60" t="n"/>
      <c r="O200" s="61" t="n"/>
      <c r="P200" s="64" t="str">
        <f>IF(A200="","",IF(AA200="Avoir",AC200,IF(ISNUMBER(K200),K200,AC200+IF(D200="",N(p_delay),IFERROR(IF(ISNUMBER(INDEX(cli_delay,MATCH(D200,cli_code,0))),INDEX(cli_delay,MATCH(D200,cli_code,0)),N(p_delay)),N(p_delay))))))</f>
        <v/>
      </c>
      <c r="Q200" s="65" t="str">
        <f>IF(A200="","",IF(AA200="Avoir",-1,1)*ROUND(AJ200-IF(AR200="",0,INDEX(fa_htb,AR200)),2))</f>
        <v/>
      </c>
      <c r="R200" s="65" t="str">
        <f>IF(A200="","",IF(AA200="Avoir",-1,1)*ROUND(AQ200-IF(AR200="",0,INDEX(fa_tvab,AR200)),2))</f>
        <v/>
      </c>
      <c r="S200" s="65" t="str">
        <f>IF(A200="","",Q200+R200)</f>
        <v/>
      </c>
      <c r="T200" s="65" t="str">
        <f>IF(AR200="","",INDEX(fa_htb,AR200)+INDEX(fa_tvab,AR200))</f>
        <v/>
      </c>
      <c r="U200" s="65" t="str">
        <f>IF(A200="","",SUMIF(pa_inv,A200,pa_amt))</f>
        <v/>
      </c>
      <c r="V200" s="65" t="str">
        <f>IF(OR(A200="",AA200="Avoir"),"",-SUMIFS(fa_ttc,fa_avof,A200,fa_type,"Avoir"))</f>
        <v/>
      </c>
      <c r="W200" s="65" t="str">
        <f>IF(OR(A200="",AA200="Avoir"),"",ROUND(S200-U200-V200,2))</f>
        <v/>
      </c>
      <c r="X200" s="66" t="str">
        <f>IF(W200="","",IF(AND(W200&gt;0,p_asof&gt;P200),p_asof-P200,""))</f>
        <v/>
      </c>
      <c r="Y200" s="59" t="str">
        <f>IF(A200="","",IF(AA200="Avoir","Avoir",IF(W200&lt;0,"Trop-perçu",IF(W200=0,"Soldée",IF(p_asof&gt;P200,"En retard",IF(U200+V200&gt;0,"Partielle","À échoir"))))))</f>
        <v/>
      </c>
      <c r="Z200" s="59" t="str">
        <f>IF(NOT(COUNTA(B200:D200,F200:O200)&gt;0),"",IF(C200="","Date manquante",IF(NOT(ISNUMBER(C200)),"Date invalide",IF(D200="","Client manquant",IF(ISNA(MATCH(D200,cli_code,0)),"Client inconnu",IF(AC200&lt;SUMPRODUCT(MAX(($AB$6:AB199=AB200)*$AC$6:AC199)),"Date antérieure à la facture précédente",IF(AND(F200&lt;&gt;"",ISNA(MATCH(F200,dv_num,0))),"Devis inconnu",IF(AND(F200&lt;&gt;"",IFERROR(INDEX(dv_client,MATCH(F200,dv_num,0)),D200)&lt;&gt;D200),"Client différent de celui du devis",IF(AG200="","Aucune ligne : saisissez des lignes ou un devis",IF(AND(AI200&lt;&gt;"",COUNTIF($AI$6:AI200,AI200)&gt;1),"Devis déjà repris par une autre facture",IF(AND(AA200="Avoir",M200=""),"Avoir : indiquez la facture d'origine",IF(AND(AA200="Avoir",ISNA(MATCH(M200,fa_num,0))),"Facture d'origine inconnue",IF(AND(AA200&lt;&gt;"Avoir",M200&lt;&gt;""),"« Avoir sur facture » : réservé aux avoirs",IF(AND(L200&lt;&gt;"",AA200&lt;&gt;"Facture"),"Acompte à déduire : réservé aux factures",IF(AND(L200&lt;&gt;"",ISNA(MATCH(L200,fa_num,0))),"Facture d'acompte inconnue",IF(AND(L200&lt;&gt;"",IFERROR(INDEX(fa_type,MATCH(L200,fa_num,0)),"")&lt;&gt;"Facture d'acompte"),"Le n° à déduire n'est pas une facture d'acompte",IF(AND(L200&lt;&gt;"",COUNTIF($L$6:L200,L200)&gt;1),"Acompte déjà déduit sur une autre facture",IF(AND(L200&lt;&gt;"",IFERROR(INDEX(fa_client,MATCH(L200,fa_num,0)),D200)&lt;&gt;D200),"Acompte d'un autre client",IF(AND(AR200&lt;&gt;"",N(Q200)&lt;0),"Acompte supérieur au total de la facture",IF(IF(AG200="Facture",COUNTIFS(fl_doc,A200,fl_check,"&lt;&gt;OK"),IF(AG200="Devis",COUNTIFS(dl_doc,F200,dl_check,"&lt;&gt;OK"),0))&gt;0,"Ligne(s) à corriger",IF(AND(W200&lt;&gt;"",N(W200)&lt;0),"Trop-perçu : vérifiez paiements et avoirs","OK")))))))))))))))))))))</f>
        <v/>
      </c>
      <c r="AA200" s="62" t="str">
        <f>IF(COUNTA(B200:D200,F200:O200)&gt;0,IF(B200="","Facture",B200),"")</f>
        <v/>
      </c>
      <c r="AB200" s="62" t="str">
        <f>IF(AA200="","",IF(AA200="Avoir",p_pav,IF(AA200="Facture d'acompte",p_pac,p_pfa)))</f>
        <v/>
      </c>
      <c r="AC200" s="62">
        <f>IF(ISNUMBER(C200),C200,0)</f>
        <v>0.0</v>
      </c>
      <c r="AD200" s="62" t="str">
        <f>IF(OR(AA200="",AC200=0),"",YEAR(AC200))</f>
        <v/>
      </c>
      <c r="AE200" s="62" t="str">
        <f>IF(AD200="","",COUNTIFS($AB$6:AB200,AB200,$AD$6:AD200,AD200))</f>
        <v/>
      </c>
      <c r="AF200" s="62">
        <f>IF(A200="",0,COUNTIF(fl_doc,A200))</f>
        <v>0.0</v>
      </c>
      <c r="AG200" s="62" t="str">
        <f>IF(A200="","",IF(AF200&gt;0,"Facture",IF(AND(F200&lt;&gt;"",AA200="Facture",ISNUMBER(MATCH(F200,dv_num,0))),"Devis","")))</f>
        <v/>
      </c>
      <c r="AH200" s="62" t="str">
        <f>IF(AND(A200&lt;&gt;"",F200&lt;&gt;"",AA200&lt;&gt;"Avoir"),F200,"")</f>
        <v/>
      </c>
      <c r="AI200" s="62" t="str">
        <f>IF(AG200="Devis",F200,"")</f>
        <v/>
      </c>
      <c r="AJ200" s="62">
        <f>IF(AG200="Facture",SUMIF(fl_doc,A200,fl_ht),IF(AG200="Devis",SUMIF(dl_doc,F200,dl_ht),0))</f>
        <v>0.0</v>
      </c>
      <c r="AK200" s="62">
        <f>IF(OR(AG200="",INDEX(p_rates,1)=""),0,IF(AG200="Facture",SUMIFS(fl_ht,fl_doc,A200,fl_rate,INDEX(p_rates,1)),SUMIFS(dl_ht,dl_doc,F200,dl_rate,INDEX(p_rates,1))))</f>
        <v>0.0</v>
      </c>
      <c r="AL200" s="62">
        <f>IF(OR(AG200="",INDEX(p_rates,2)=""),0,IF(AG200="Facture",SUMIFS(fl_ht,fl_doc,A200,fl_rate,INDEX(p_rates,2)),SUMIFS(dl_ht,dl_doc,F200,dl_rate,INDEX(p_rates,2))))</f>
        <v>0.0</v>
      </c>
      <c r="AM200" s="62">
        <f>IF(OR(AG200="",INDEX(p_rates,3)=""),0,IF(AG200="Facture",SUMIFS(fl_ht,fl_doc,A200,fl_rate,INDEX(p_rates,3)),SUMIFS(dl_ht,dl_doc,F200,dl_rate,INDEX(p_rates,3))))</f>
        <v>0.0</v>
      </c>
      <c r="AN200" s="62">
        <f>IF(OR(AG200="",INDEX(p_rates,4)=""),0,IF(AG200="Facture",SUMIFS(fl_ht,fl_doc,A200,fl_rate,INDEX(p_rates,4)),SUMIFS(dl_ht,dl_doc,F200,dl_rate,INDEX(p_rates,4))))</f>
        <v>0.0</v>
      </c>
      <c r="AO200" s="62">
        <f>IF(OR(AG200="",INDEX(p_rates,5)=""),0,IF(AG200="Facture",SUMIFS(fl_ht,fl_doc,A200,fl_rate,INDEX(p_rates,5)),SUMIFS(dl_ht,dl_doc,F200,dl_rate,INDEX(p_rates,5))))</f>
        <v>0.0</v>
      </c>
      <c r="AP200" s="62">
        <f>IF(OR(AG200="",INDEX(p_rates,6)=""),0,IF(AG200="Facture",SUMIFS(fl_ht,fl_doc,A200,fl_rate,INDEX(p_rates,6)),SUMIFS(dl_ht,dl_doc,F200,dl_rate,INDEX(p_rates,6))))</f>
        <v>0.0</v>
      </c>
      <c r="AQ200" s="62">
        <f>ROUND(AK200*N(INDEX(p_rates,1)),2)+ROUND(AL200*N(INDEX(p_rates,2)),2)+ROUND(AM200*N(INDEX(p_rates,3)),2)+ROUND(AN200*N(INDEX(p_rates,4)),2)+ROUND(AO200*N(INDEX(p_rates,5)),2)+ROUND(AP200*N(INDEX(p_rates,6)),2)</f>
        <v>0.0</v>
      </c>
      <c r="AR200" s="62" t="str">
        <f>IF(OR(L200="",AA200&lt;&gt;"Facture"),"",IFERROR(IF(INDEX(fa_type,MATCH(L200,fa_num,0))="Facture d'acompte",MATCH(L200,fa_num,0),""),""))</f>
        <v/>
      </c>
      <c r="AS200" s="62" t="str">
        <f>IF(W200="","",IF(W200&lt;=0,"",IF(p_asof-P200&lt;=0,"Non échu",IF(p_asof-P200&lt;=30,"1-30 j",IF(p_asof-P200&lt;=60,"31-60 j",IF(p_asof-P200&lt;=90,"61-90 j","Plus de 90 j"))))))</f>
        <v/>
      </c>
      <c r="AT200" s="62" t="str">
        <f>IF(AS200="","",p_asof-P200)</f>
        <v/>
      </c>
      <c r="AU200" s="62" t="str">
        <f>IF(AT200="","",COUNTIF($AT$6:$AT$805,"&gt;"&amp;AT200)+COUNTIF($AT$6:AT200,AT200))</f>
        <v/>
      </c>
    </row>
    <row r="201">
      <c r="A201" s="59" t="str">
        <f>IF(AE201="","",AB201&amp;"-"&amp;AD201&amp;"-"&amp;RIGHT("000"&amp;AE201,4))</f>
        <v/>
      </c>
      <c r="B201" s="60" t="n"/>
      <c r="C201" s="61" t="n"/>
      <c r="D201" s="60" t="n"/>
      <c r="E201" s="62" t="str">
        <f>IF(D201="","",IFERROR(INDEX(cli_name,MATCH(D201,cli_code,0))&amp;"","Client inconnu"))</f>
        <v/>
      </c>
      <c r="F201" s="60" t="n"/>
      <c r="G201" s="63" t="n"/>
      <c r="H201" s="61" t="n"/>
      <c r="I201" s="63" t="n"/>
      <c r="J201" s="60" t="n"/>
      <c r="K201" s="61" t="n"/>
      <c r="L201" s="60" t="n"/>
      <c r="M201" s="60" t="n"/>
      <c r="N201" s="60" t="n"/>
      <c r="O201" s="61" t="n"/>
      <c r="P201" s="64" t="str">
        <f>IF(A201="","",IF(AA201="Avoir",AC201,IF(ISNUMBER(K201),K201,AC201+IF(D201="",N(p_delay),IFERROR(IF(ISNUMBER(INDEX(cli_delay,MATCH(D201,cli_code,0))),INDEX(cli_delay,MATCH(D201,cli_code,0)),N(p_delay)),N(p_delay))))))</f>
        <v/>
      </c>
      <c r="Q201" s="65" t="str">
        <f>IF(A201="","",IF(AA201="Avoir",-1,1)*ROUND(AJ201-IF(AR201="",0,INDEX(fa_htb,AR201)),2))</f>
        <v/>
      </c>
      <c r="R201" s="65" t="str">
        <f>IF(A201="","",IF(AA201="Avoir",-1,1)*ROUND(AQ201-IF(AR201="",0,INDEX(fa_tvab,AR201)),2))</f>
        <v/>
      </c>
      <c r="S201" s="65" t="str">
        <f>IF(A201="","",Q201+R201)</f>
        <v/>
      </c>
      <c r="T201" s="65" t="str">
        <f>IF(AR201="","",INDEX(fa_htb,AR201)+INDEX(fa_tvab,AR201))</f>
        <v/>
      </c>
      <c r="U201" s="65" t="str">
        <f>IF(A201="","",SUMIF(pa_inv,A201,pa_amt))</f>
        <v/>
      </c>
      <c r="V201" s="65" t="str">
        <f>IF(OR(A201="",AA201="Avoir"),"",-SUMIFS(fa_ttc,fa_avof,A201,fa_type,"Avoir"))</f>
        <v/>
      </c>
      <c r="W201" s="65" t="str">
        <f>IF(OR(A201="",AA201="Avoir"),"",ROUND(S201-U201-V201,2))</f>
        <v/>
      </c>
      <c r="X201" s="66" t="str">
        <f>IF(W201="","",IF(AND(W201&gt;0,p_asof&gt;P201),p_asof-P201,""))</f>
        <v/>
      </c>
      <c r="Y201" s="59" t="str">
        <f>IF(A201="","",IF(AA201="Avoir","Avoir",IF(W201&lt;0,"Trop-perçu",IF(W201=0,"Soldée",IF(p_asof&gt;P201,"En retard",IF(U201+V201&gt;0,"Partielle","À échoir"))))))</f>
        <v/>
      </c>
      <c r="Z201" s="59" t="str">
        <f>IF(NOT(COUNTA(B201:D201,F201:O201)&gt;0),"",IF(C201="","Date manquante",IF(NOT(ISNUMBER(C201)),"Date invalide",IF(D201="","Client manquant",IF(ISNA(MATCH(D201,cli_code,0)),"Client inconnu",IF(AC201&lt;SUMPRODUCT(MAX(($AB$6:AB200=AB201)*$AC$6:AC200)),"Date antérieure à la facture précédente",IF(AND(F201&lt;&gt;"",ISNA(MATCH(F201,dv_num,0))),"Devis inconnu",IF(AND(F201&lt;&gt;"",IFERROR(INDEX(dv_client,MATCH(F201,dv_num,0)),D201)&lt;&gt;D201),"Client différent de celui du devis",IF(AG201="","Aucune ligne : saisissez des lignes ou un devis",IF(AND(AI201&lt;&gt;"",COUNTIF($AI$6:AI201,AI201)&gt;1),"Devis déjà repris par une autre facture",IF(AND(AA201="Avoir",M201=""),"Avoir : indiquez la facture d'origine",IF(AND(AA201="Avoir",ISNA(MATCH(M201,fa_num,0))),"Facture d'origine inconnue",IF(AND(AA201&lt;&gt;"Avoir",M201&lt;&gt;""),"« Avoir sur facture » : réservé aux avoirs",IF(AND(L201&lt;&gt;"",AA201&lt;&gt;"Facture"),"Acompte à déduire : réservé aux factures",IF(AND(L201&lt;&gt;"",ISNA(MATCH(L201,fa_num,0))),"Facture d'acompte inconnue",IF(AND(L201&lt;&gt;"",IFERROR(INDEX(fa_type,MATCH(L201,fa_num,0)),"")&lt;&gt;"Facture d'acompte"),"Le n° à déduire n'est pas une facture d'acompte",IF(AND(L201&lt;&gt;"",COUNTIF($L$6:L201,L201)&gt;1),"Acompte déjà déduit sur une autre facture",IF(AND(L201&lt;&gt;"",IFERROR(INDEX(fa_client,MATCH(L201,fa_num,0)),D201)&lt;&gt;D201),"Acompte d'un autre client",IF(AND(AR201&lt;&gt;"",N(Q201)&lt;0),"Acompte supérieur au total de la facture",IF(IF(AG201="Facture",COUNTIFS(fl_doc,A201,fl_check,"&lt;&gt;OK"),IF(AG201="Devis",COUNTIFS(dl_doc,F201,dl_check,"&lt;&gt;OK"),0))&gt;0,"Ligne(s) à corriger",IF(AND(W201&lt;&gt;"",N(W201)&lt;0),"Trop-perçu : vérifiez paiements et avoirs","OK")))))))))))))))))))))</f>
        <v/>
      </c>
      <c r="AA201" s="62" t="str">
        <f>IF(COUNTA(B201:D201,F201:O201)&gt;0,IF(B201="","Facture",B201),"")</f>
        <v/>
      </c>
      <c r="AB201" s="62" t="str">
        <f>IF(AA201="","",IF(AA201="Avoir",p_pav,IF(AA201="Facture d'acompte",p_pac,p_pfa)))</f>
        <v/>
      </c>
      <c r="AC201" s="62">
        <f>IF(ISNUMBER(C201),C201,0)</f>
        <v>0.0</v>
      </c>
      <c r="AD201" s="62" t="str">
        <f>IF(OR(AA201="",AC201=0),"",YEAR(AC201))</f>
        <v/>
      </c>
      <c r="AE201" s="62" t="str">
        <f>IF(AD201="","",COUNTIFS($AB$6:AB201,AB201,$AD$6:AD201,AD201))</f>
        <v/>
      </c>
      <c r="AF201" s="62">
        <f>IF(A201="",0,COUNTIF(fl_doc,A201))</f>
        <v>0.0</v>
      </c>
      <c r="AG201" s="62" t="str">
        <f>IF(A201="","",IF(AF201&gt;0,"Facture",IF(AND(F201&lt;&gt;"",AA201="Facture",ISNUMBER(MATCH(F201,dv_num,0))),"Devis","")))</f>
        <v/>
      </c>
      <c r="AH201" s="62" t="str">
        <f>IF(AND(A201&lt;&gt;"",F201&lt;&gt;"",AA201&lt;&gt;"Avoir"),F201,"")</f>
        <v/>
      </c>
      <c r="AI201" s="62" t="str">
        <f>IF(AG201="Devis",F201,"")</f>
        <v/>
      </c>
      <c r="AJ201" s="62">
        <f>IF(AG201="Facture",SUMIF(fl_doc,A201,fl_ht),IF(AG201="Devis",SUMIF(dl_doc,F201,dl_ht),0))</f>
        <v>0.0</v>
      </c>
      <c r="AK201" s="62">
        <f>IF(OR(AG201="",INDEX(p_rates,1)=""),0,IF(AG201="Facture",SUMIFS(fl_ht,fl_doc,A201,fl_rate,INDEX(p_rates,1)),SUMIFS(dl_ht,dl_doc,F201,dl_rate,INDEX(p_rates,1))))</f>
        <v>0.0</v>
      </c>
      <c r="AL201" s="62">
        <f>IF(OR(AG201="",INDEX(p_rates,2)=""),0,IF(AG201="Facture",SUMIFS(fl_ht,fl_doc,A201,fl_rate,INDEX(p_rates,2)),SUMIFS(dl_ht,dl_doc,F201,dl_rate,INDEX(p_rates,2))))</f>
        <v>0.0</v>
      </c>
      <c r="AM201" s="62">
        <f>IF(OR(AG201="",INDEX(p_rates,3)=""),0,IF(AG201="Facture",SUMIFS(fl_ht,fl_doc,A201,fl_rate,INDEX(p_rates,3)),SUMIFS(dl_ht,dl_doc,F201,dl_rate,INDEX(p_rates,3))))</f>
        <v>0.0</v>
      </c>
      <c r="AN201" s="62">
        <f>IF(OR(AG201="",INDEX(p_rates,4)=""),0,IF(AG201="Facture",SUMIFS(fl_ht,fl_doc,A201,fl_rate,INDEX(p_rates,4)),SUMIFS(dl_ht,dl_doc,F201,dl_rate,INDEX(p_rates,4))))</f>
        <v>0.0</v>
      </c>
      <c r="AO201" s="62">
        <f>IF(OR(AG201="",INDEX(p_rates,5)=""),0,IF(AG201="Facture",SUMIFS(fl_ht,fl_doc,A201,fl_rate,INDEX(p_rates,5)),SUMIFS(dl_ht,dl_doc,F201,dl_rate,INDEX(p_rates,5))))</f>
        <v>0.0</v>
      </c>
      <c r="AP201" s="62">
        <f>IF(OR(AG201="",INDEX(p_rates,6)=""),0,IF(AG201="Facture",SUMIFS(fl_ht,fl_doc,A201,fl_rate,INDEX(p_rates,6)),SUMIFS(dl_ht,dl_doc,F201,dl_rate,INDEX(p_rates,6))))</f>
        <v>0.0</v>
      </c>
      <c r="AQ201" s="62">
        <f>ROUND(AK201*N(INDEX(p_rates,1)),2)+ROUND(AL201*N(INDEX(p_rates,2)),2)+ROUND(AM201*N(INDEX(p_rates,3)),2)+ROUND(AN201*N(INDEX(p_rates,4)),2)+ROUND(AO201*N(INDEX(p_rates,5)),2)+ROUND(AP201*N(INDEX(p_rates,6)),2)</f>
        <v>0.0</v>
      </c>
      <c r="AR201" s="62" t="str">
        <f>IF(OR(L201="",AA201&lt;&gt;"Facture"),"",IFERROR(IF(INDEX(fa_type,MATCH(L201,fa_num,0))="Facture d'acompte",MATCH(L201,fa_num,0),""),""))</f>
        <v/>
      </c>
      <c r="AS201" s="62" t="str">
        <f>IF(W201="","",IF(W201&lt;=0,"",IF(p_asof-P201&lt;=0,"Non échu",IF(p_asof-P201&lt;=30,"1-30 j",IF(p_asof-P201&lt;=60,"31-60 j",IF(p_asof-P201&lt;=90,"61-90 j","Plus de 90 j"))))))</f>
        <v/>
      </c>
      <c r="AT201" s="62" t="str">
        <f>IF(AS201="","",p_asof-P201)</f>
        <v/>
      </c>
      <c r="AU201" s="62" t="str">
        <f>IF(AT201="","",COUNTIF($AT$6:$AT$805,"&gt;"&amp;AT201)+COUNTIF($AT$6:AT201,AT201))</f>
        <v/>
      </c>
    </row>
    <row r="202">
      <c r="A202" s="59" t="str">
        <f>IF(AE202="","",AB202&amp;"-"&amp;AD202&amp;"-"&amp;RIGHT("000"&amp;AE202,4))</f>
        <v/>
      </c>
      <c r="B202" s="60" t="n"/>
      <c r="C202" s="61" t="n"/>
      <c r="D202" s="60" t="n"/>
      <c r="E202" s="62" t="str">
        <f>IF(D202="","",IFERROR(INDEX(cli_name,MATCH(D202,cli_code,0))&amp;"","Client inconnu"))</f>
        <v/>
      </c>
      <c r="F202" s="60" t="n"/>
      <c r="G202" s="63" t="n"/>
      <c r="H202" s="61" t="n"/>
      <c r="I202" s="63" t="n"/>
      <c r="J202" s="60" t="n"/>
      <c r="K202" s="61" t="n"/>
      <c r="L202" s="60" t="n"/>
      <c r="M202" s="60" t="n"/>
      <c r="N202" s="60" t="n"/>
      <c r="O202" s="61" t="n"/>
      <c r="P202" s="64" t="str">
        <f>IF(A202="","",IF(AA202="Avoir",AC202,IF(ISNUMBER(K202),K202,AC202+IF(D202="",N(p_delay),IFERROR(IF(ISNUMBER(INDEX(cli_delay,MATCH(D202,cli_code,0))),INDEX(cli_delay,MATCH(D202,cli_code,0)),N(p_delay)),N(p_delay))))))</f>
        <v/>
      </c>
      <c r="Q202" s="65" t="str">
        <f>IF(A202="","",IF(AA202="Avoir",-1,1)*ROUND(AJ202-IF(AR202="",0,INDEX(fa_htb,AR202)),2))</f>
        <v/>
      </c>
      <c r="R202" s="65" t="str">
        <f>IF(A202="","",IF(AA202="Avoir",-1,1)*ROUND(AQ202-IF(AR202="",0,INDEX(fa_tvab,AR202)),2))</f>
        <v/>
      </c>
      <c r="S202" s="65" t="str">
        <f>IF(A202="","",Q202+R202)</f>
        <v/>
      </c>
      <c r="T202" s="65" t="str">
        <f>IF(AR202="","",INDEX(fa_htb,AR202)+INDEX(fa_tvab,AR202))</f>
        <v/>
      </c>
      <c r="U202" s="65" t="str">
        <f>IF(A202="","",SUMIF(pa_inv,A202,pa_amt))</f>
        <v/>
      </c>
      <c r="V202" s="65" t="str">
        <f>IF(OR(A202="",AA202="Avoir"),"",-SUMIFS(fa_ttc,fa_avof,A202,fa_type,"Avoir"))</f>
        <v/>
      </c>
      <c r="W202" s="65" t="str">
        <f>IF(OR(A202="",AA202="Avoir"),"",ROUND(S202-U202-V202,2))</f>
        <v/>
      </c>
      <c r="X202" s="66" t="str">
        <f>IF(W202="","",IF(AND(W202&gt;0,p_asof&gt;P202),p_asof-P202,""))</f>
        <v/>
      </c>
      <c r="Y202" s="59" t="str">
        <f>IF(A202="","",IF(AA202="Avoir","Avoir",IF(W202&lt;0,"Trop-perçu",IF(W202=0,"Soldée",IF(p_asof&gt;P202,"En retard",IF(U202+V202&gt;0,"Partielle","À échoir"))))))</f>
        <v/>
      </c>
      <c r="Z202" s="59" t="str">
        <f>IF(NOT(COUNTA(B202:D202,F202:O202)&gt;0),"",IF(C202="","Date manquante",IF(NOT(ISNUMBER(C202)),"Date invalide",IF(D202="","Client manquant",IF(ISNA(MATCH(D202,cli_code,0)),"Client inconnu",IF(AC202&lt;SUMPRODUCT(MAX(($AB$6:AB201=AB202)*$AC$6:AC201)),"Date antérieure à la facture précédente",IF(AND(F202&lt;&gt;"",ISNA(MATCH(F202,dv_num,0))),"Devis inconnu",IF(AND(F202&lt;&gt;"",IFERROR(INDEX(dv_client,MATCH(F202,dv_num,0)),D202)&lt;&gt;D202),"Client différent de celui du devis",IF(AG202="","Aucune ligne : saisissez des lignes ou un devis",IF(AND(AI202&lt;&gt;"",COUNTIF($AI$6:AI202,AI202)&gt;1),"Devis déjà repris par une autre facture",IF(AND(AA202="Avoir",M202=""),"Avoir : indiquez la facture d'origine",IF(AND(AA202="Avoir",ISNA(MATCH(M202,fa_num,0))),"Facture d'origine inconnue",IF(AND(AA202&lt;&gt;"Avoir",M202&lt;&gt;""),"« Avoir sur facture » : réservé aux avoirs",IF(AND(L202&lt;&gt;"",AA202&lt;&gt;"Facture"),"Acompte à déduire : réservé aux factures",IF(AND(L202&lt;&gt;"",ISNA(MATCH(L202,fa_num,0))),"Facture d'acompte inconnue",IF(AND(L202&lt;&gt;"",IFERROR(INDEX(fa_type,MATCH(L202,fa_num,0)),"")&lt;&gt;"Facture d'acompte"),"Le n° à déduire n'est pas une facture d'acompte",IF(AND(L202&lt;&gt;"",COUNTIF($L$6:L202,L202)&gt;1),"Acompte déjà déduit sur une autre facture",IF(AND(L202&lt;&gt;"",IFERROR(INDEX(fa_client,MATCH(L202,fa_num,0)),D202)&lt;&gt;D202),"Acompte d'un autre client",IF(AND(AR202&lt;&gt;"",N(Q202)&lt;0),"Acompte supérieur au total de la facture",IF(IF(AG202="Facture",COUNTIFS(fl_doc,A202,fl_check,"&lt;&gt;OK"),IF(AG202="Devis",COUNTIFS(dl_doc,F202,dl_check,"&lt;&gt;OK"),0))&gt;0,"Ligne(s) à corriger",IF(AND(W202&lt;&gt;"",N(W202)&lt;0),"Trop-perçu : vérifiez paiements et avoirs","OK")))))))))))))))))))))</f>
        <v/>
      </c>
      <c r="AA202" s="62" t="str">
        <f>IF(COUNTA(B202:D202,F202:O202)&gt;0,IF(B202="","Facture",B202),"")</f>
        <v/>
      </c>
      <c r="AB202" s="62" t="str">
        <f>IF(AA202="","",IF(AA202="Avoir",p_pav,IF(AA202="Facture d'acompte",p_pac,p_pfa)))</f>
        <v/>
      </c>
      <c r="AC202" s="62">
        <f>IF(ISNUMBER(C202),C202,0)</f>
        <v>0.0</v>
      </c>
      <c r="AD202" s="62" t="str">
        <f>IF(OR(AA202="",AC202=0),"",YEAR(AC202))</f>
        <v/>
      </c>
      <c r="AE202" s="62" t="str">
        <f>IF(AD202="","",COUNTIFS($AB$6:AB202,AB202,$AD$6:AD202,AD202))</f>
        <v/>
      </c>
      <c r="AF202" s="62">
        <f>IF(A202="",0,COUNTIF(fl_doc,A202))</f>
        <v>0.0</v>
      </c>
      <c r="AG202" s="62" t="str">
        <f>IF(A202="","",IF(AF202&gt;0,"Facture",IF(AND(F202&lt;&gt;"",AA202="Facture",ISNUMBER(MATCH(F202,dv_num,0))),"Devis","")))</f>
        <v/>
      </c>
      <c r="AH202" s="62" t="str">
        <f>IF(AND(A202&lt;&gt;"",F202&lt;&gt;"",AA202&lt;&gt;"Avoir"),F202,"")</f>
        <v/>
      </c>
      <c r="AI202" s="62" t="str">
        <f>IF(AG202="Devis",F202,"")</f>
        <v/>
      </c>
      <c r="AJ202" s="62">
        <f>IF(AG202="Facture",SUMIF(fl_doc,A202,fl_ht),IF(AG202="Devis",SUMIF(dl_doc,F202,dl_ht),0))</f>
        <v>0.0</v>
      </c>
      <c r="AK202" s="62">
        <f>IF(OR(AG202="",INDEX(p_rates,1)=""),0,IF(AG202="Facture",SUMIFS(fl_ht,fl_doc,A202,fl_rate,INDEX(p_rates,1)),SUMIFS(dl_ht,dl_doc,F202,dl_rate,INDEX(p_rates,1))))</f>
        <v>0.0</v>
      </c>
      <c r="AL202" s="62">
        <f>IF(OR(AG202="",INDEX(p_rates,2)=""),0,IF(AG202="Facture",SUMIFS(fl_ht,fl_doc,A202,fl_rate,INDEX(p_rates,2)),SUMIFS(dl_ht,dl_doc,F202,dl_rate,INDEX(p_rates,2))))</f>
        <v>0.0</v>
      </c>
      <c r="AM202" s="62">
        <f>IF(OR(AG202="",INDEX(p_rates,3)=""),0,IF(AG202="Facture",SUMIFS(fl_ht,fl_doc,A202,fl_rate,INDEX(p_rates,3)),SUMIFS(dl_ht,dl_doc,F202,dl_rate,INDEX(p_rates,3))))</f>
        <v>0.0</v>
      </c>
      <c r="AN202" s="62">
        <f>IF(OR(AG202="",INDEX(p_rates,4)=""),0,IF(AG202="Facture",SUMIFS(fl_ht,fl_doc,A202,fl_rate,INDEX(p_rates,4)),SUMIFS(dl_ht,dl_doc,F202,dl_rate,INDEX(p_rates,4))))</f>
        <v>0.0</v>
      </c>
      <c r="AO202" s="62">
        <f>IF(OR(AG202="",INDEX(p_rates,5)=""),0,IF(AG202="Facture",SUMIFS(fl_ht,fl_doc,A202,fl_rate,INDEX(p_rates,5)),SUMIFS(dl_ht,dl_doc,F202,dl_rate,INDEX(p_rates,5))))</f>
        <v>0.0</v>
      </c>
      <c r="AP202" s="62">
        <f>IF(OR(AG202="",INDEX(p_rates,6)=""),0,IF(AG202="Facture",SUMIFS(fl_ht,fl_doc,A202,fl_rate,INDEX(p_rates,6)),SUMIFS(dl_ht,dl_doc,F202,dl_rate,INDEX(p_rates,6))))</f>
        <v>0.0</v>
      </c>
      <c r="AQ202" s="62">
        <f>ROUND(AK202*N(INDEX(p_rates,1)),2)+ROUND(AL202*N(INDEX(p_rates,2)),2)+ROUND(AM202*N(INDEX(p_rates,3)),2)+ROUND(AN202*N(INDEX(p_rates,4)),2)+ROUND(AO202*N(INDEX(p_rates,5)),2)+ROUND(AP202*N(INDEX(p_rates,6)),2)</f>
        <v>0.0</v>
      </c>
      <c r="AR202" s="62" t="str">
        <f>IF(OR(L202="",AA202&lt;&gt;"Facture"),"",IFERROR(IF(INDEX(fa_type,MATCH(L202,fa_num,0))="Facture d'acompte",MATCH(L202,fa_num,0),""),""))</f>
        <v/>
      </c>
      <c r="AS202" s="62" t="str">
        <f>IF(W202="","",IF(W202&lt;=0,"",IF(p_asof-P202&lt;=0,"Non échu",IF(p_asof-P202&lt;=30,"1-30 j",IF(p_asof-P202&lt;=60,"31-60 j",IF(p_asof-P202&lt;=90,"61-90 j","Plus de 90 j"))))))</f>
        <v/>
      </c>
      <c r="AT202" s="62" t="str">
        <f>IF(AS202="","",p_asof-P202)</f>
        <v/>
      </c>
      <c r="AU202" s="62" t="str">
        <f>IF(AT202="","",COUNTIF($AT$6:$AT$805,"&gt;"&amp;AT202)+COUNTIF($AT$6:AT202,AT202))</f>
        <v/>
      </c>
    </row>
    <row r="203">
      <c r="A203" s="59" t="str">
        <f>IF(AE203="","",AB203&amp;"-"&amp;AD203&amp;"-"&amp;RIGHT("000"&amp;AE203,4))</f>
        <v/>
      </c>
      <c r="B203" s="60" t="n"/>
      <c r="C203" s="61" t="n"/>
      <c r="D203" s="60" t="n"/>
      <c r="E203" s="62" t="str">
        <f>IF(D203="","",IFERROR(INDEX(cli_name,MATCH(D203,cli_code,0))&amp;"","Client inconnu"))</f>
        <v/>
      </c>
      <c r="F203" s="60" t="n"/>
      <c r="G203" s="63" t="n"/>
      <c r="H203" s="61" t="n"/>
      <c r="I203" s="63" t="n"/>
      <c r="J203" s="60" t="n"/>
      <c r="K203" s="61" t="n"/>
      <c r="L203" s="60" t="n"/>
      <c r="M203" s="60" t="n"/>
      <c r="N203" s="60" t="n"/>
      <c r="O203" s="61" t="n"/>
      <c r="P203" s="64" t="str">
        <f>IF(A203="","",IF(AA203="Avoir",AC203,IF(ISNUMBER(K203),K203,AC203+IF(D203="",N(p_delay),IFERROR(IF(ISNUMBER(INDEX(cli_delay,MATCH(D203,cli_code,0))),INDEX(cli_delay,MATCH(D203,cli_code,0)),N(p_delay)),N(p_delay))))))</f>
        <v/>
      </c>
      <c r="Q203" s="65" t="str">
        <f>IF(A203="","",IF(AA203="Avoir",-1,1)*ROUND(AJ203-IF(AR203="",0,INDEX(fa_htb,AR203)),2))</f>
        <v/>
      </c>
      <c r="R203" s="65" t="str">
        <f>IF(A203="","",IF(AA203="Avoir",-1,1)*ROUND(AQ203-IF(AR203="",0,INDEX(fa_tvab,AR203)),2))</f>
        <v/>
      </c>
      <c r="S203" s="65" t="str">
        <f>IF(A203="","",Q203+R203)</f>
        <v/>
      </c>
      <c r="T203" s="65" t="str">
        <f>IF(AR203="","",INDEX(fa_htb,AR203)+INDEX(fa_tvab,AR203))</f>
        <v/>
      </c>
      <c r="U203" s="65" t="str">
        <f>IF(A203="","",SUMIF(pa_inv,A203,pa_amt))</f>
        <v/>
      </c>
      <c r="V203" s="65" t="str">
        <f>IF(OR(A203="",AA203="Avoir"),"",-SUMIFS(fa_ttc,fa_avof,A203,fa_type,"Avoir"))</f>
        <v/>
      </c>
      <c r="W203" s="65" t="str">
        <f>IF(OR(A203="",AA203="Avoir"),"",ROUND(S203-U203-V203,2))</f>
        <v/>
      </c>
      <c r="X203" s="66" t="str">
        <f>IF(W203="","",IF(AND(W203&gt;0,p_asof&gt;P203),p_asof-P203,""))</f>
        <v/>
      </c>
      <c r="Y203" s="59" t="str">
        <f>IF(A203="","",IF(AA203="Avoir","Avoir",IF(W203&lt;0,"Trop-perçu",IF(W203=0,"Soldée",IF(p_asof&gt;P203,"En retard",IF(U203+V203&gt;0,"Partielle","À échoir"))))))</f>
        <v/>
      </c>
      <c r="Z203" s="59" t="str">
        <f>IF(NOT(COUNTA(B203:D203,F203:O203)&gt;0),"",IF(C203="","Date manquante",IF(NOT(ISNUMBER(C203)),"Date invalide",IF(D203="","Client manquant",IF(ISNA(MATCH(D203,cli_code,0)),"Client inconnu",IF(AC203&lt;SUMPRODUCT(MAX(($AB$6:AB202=AB203)*$AC$6:AC202)),"Date antérieure à la facture précédente",IF(AND(F203&lt;&gt;"",ISNA(MATCH(F203,dv_num,0))),"Devis inconnu",IF(AND(F203&lt;&gt;"",IFERROR(INDEX(dv_client,MATCH(F203,dv_num,0)),D203)&lt;&gt;D203),"Client différent de celui du devis",IF(AG203="","Aucune ligne : saisissez des lignes ou un devis",IF(AND(AI203&lt;&gt;"",COUNTIF($AI$6:AI203,AI203)&gt;1),"Devis déjà repris par une autre facture",IF(AND(AA203="Avoir",M203=""),"Avoir : indiquez la facture d'origine",IF(AND(AA203="Avoir",ISNA(MATCH(M203,fa_num,0))),"Facture d'origine inconnue",IF(AND(AA203&lt;&gt;"Avoir",M203&lt;&gt;""),"« Avoir sur facture » : réservé aux avoirs",IF(AND(L203&lt;&gt;"",AA203&lt;&gt;"Facture"),"Acompte à déduire : réservé aux factures",IF(AND(L203&lt;&gt;"",ISNA(MATCH(L203,fa_num,0))),"Facture d'acompte inconnue",IF(AND(L203&lt;&gt;"",IFERROR(INDEX(fa_type,MATCH(L203,fa_num,0)),"")&lt;&gt;"Facture d'acompte"),"Le n° à déduire n'est pas une facture d'acompte",IF(AND(L203&lt;&gt;"",COUNTIF($L$6:L203,L203)&gt;1),"Acompte déjà déduit sur une autre facture",IF(AND(L203&lt;&gt;"",IFERROR(INDEX(fa_client,MATCH(L203,fa_num,0)),D203)&lt;&gt;D203),"Acompte d'un autre client",IF(AND(AR203&lt;&gt;"",N(Q203)&lt;0),"Acompte supérieur au total de la facture",IF(IF(AG203="Facture",COUNTIFS(fl_doc,A203,fl_check,"&lt;&gt;OK"),IF(AG203="Devis",COUNTIFS(dl_doc,F203,dl_check,"&lt;&gt;OK"),0))&gt;0,"Ligne(s) à corriger",IF(AND(W203&lt;&gt;"",N(W203)&lt;0),"Trop-perçu : vérifiez paiements et avoirs","OK")))))))))))))))))))))</f>
        <v/>
      </c>
      <c r="AA203" s="62" t="str">
        <f>IF(COUNTA(B203:D203,F203:O203)&gt;0,IF(B203="","Facture",B203),"")</f>
        <v/>
      </c>
      <c r="AB203" s="62" t="str">
        <f>IF(AA203="","",IF(AA203="Avoir",p_pav,IF(AA203="Facture d'acompte",p_pac,p_pfa)))</f>
        <v/>
      </c>
      <c r="AC203" s="62">
        <f>IF(ISNUMBER(C203),C203,0)</f>
        <v>0.0</v>
      </c>
      <c r="AD203" s="62" t="str">
        <f>IF(OR(AA203="",AC203=0),"",YEAR(AC203))</f>
        <v/>
      </c>
      <c r="AE203" s="62" t="str">
        <f>IF(AD203="","",COUNTIFS($AB$6:AB203,AB203,$AD$6:AD203,AD203))</f>
        <v/>
      </c>
      <c r="AF203" s="62">
        <f>IF(A203="",0,COUNTIF(fl_doc,A203))</f>
        <v>0.0</v>
      </c>
      <c r="AG203" s="62" t="str">
        <f>IF(A203="","",IF(AF203&gt;0,"Facture",IF(AND(F203&lt;&gt;"",AA203="Facture",ISNUMBER(MATCH(F203,dv_num,0))),"Devis","")))</f>
        <v/>
      </c>
      <c r="AH203" s="62" t="str">
        <f>IF(AND(A203&lt;&gt;"",F203&lt;&gt;"",AA203&lt;&gt;"Avoir"),F203,"")</f>
        <v/>
      </c>
      <c r="AI203" s="62" t="str">
        <f>IF(AG203="Devis",F203,"")</f>
        <v/>
      </c>
      <c r="AJ203" s="62">
        <f>IF(AG203="Facture",SUMIF(fl_doc,A203,fl_ht),IF(AG203="Devis",SUMIF(dl_doc,F203,dl_ht),0))</f>
        <v>0.0</v>
      </c>
      <c r="AK203" s="62">
        <f>IF(OR(AG203="",INDEX(p_rates,1)=""),0,IF(AG203="Facture",SUMIFS(fl_ht,fl_doc,A203,fl_rate,INDEX(p_rates,1)),SUMIFS(dl_ht,dl_doc,F203,dl_rate,INDEX(p_rates,1))))</f>
        <v>0.0</v>
      </c>
      <c r="AL203" s="62">
        <f>IF(OR(AG203="",INDEX(p_rates,2)=""),0,IF(AG203="Facture",SUMIFS(fl_ht,fl_doc,A203,fl_rate,INDEX(p_rates,2)),SUMIFS(dl_ht,dl_doc,F203,dl_rate,INDEX(p_rates,2))))</f>
        <v>0.0</v>
      </c>
      <c r="AM203" s="62">
        <f>IF(OR(AG203="",INDEX(p_rates,3)=""),0,IF(AG203="Facture",SUMIFS(fl_ht,fl_doc,A203,fl_rate,INDEX(p_rates,3)),SUMIFS(dl_ht,dl_doc,F203,dl_rate,INDEX(p_rates,3))))</f>
        <v>0.0</v>
      </c>
      <c r="AN203" s="62">
        <f>IF(OR(AG203="",INDEX(p_rates,4)=""),0,IF(AG203="Facture",SUMIFS(fl_ht,fl_doc,A203,fl_rate,INDEX(p_rates,4)),SUMIFS(dl_ht,dl_doc,F203,dl_rate,INDEX(p_rates,4))))</f>
        <v>0.0</v>
      </c>
      <c r="AO203" s="62">
        <f>IF(OR(AG203="",INDEX(p_rates,5)=""),0,IF(AG203="Facture",SUMIFS(fl_ht,fl_doc,A203,fl_rate,INDEX(p_rates,5)),SUMIFS(dl_ht,dl_doc,F203,dl_rate,INDEX(p_rates,5))))</f>
        <v>0.0</v>
      </c>
      <c r="AP203" s="62">
        <f>IF(OR(AG203="",INDEX(p_rates,6)=""),0,IF(AG203="Facture",SUMIFS(fl_ht,fl_doc,A203,fl_rate,INDEX(p_rates,6)),SUMIFS(dl_ht,dl_doc,F203,dl_rate,INDEX(p_rates,6))))</f>
        <v>0.0</v>
      </c>
      <c r="AQ203" s="62">
        <f>ROUND(AK203*N(INDEX(p_rates,1)),2)+ROUND(AL203*N(INDEX(p_rates,2)),2)+ROUND(AM203*N(INDEX(p_rates,3)),2)+ROUND(AN203*N(INDEX(p_rates,4)),2)+ROUND(AO203*N(INDEX(p_rates,5)),2)+ROUND(AP203*N(INDEX(p_rates,6)),2)</f>
        <v>0.0</v>
      </c>
      <c r="AR203" s="62" t="str">
        <f>IF(OR(L203="",AA203&lt;&gt;"Facture"),"",IFERROR(IF(INDEX(fa_type,MATCH(L203,fa_num,0))="Facture d'acompte",MATCH(L203,fa_num,0),""),""))</f>
        <v/>
      </c>
      <c r="AS203" s="62" t="str">
        <f>IF(W203="","",IF(W203&lt;=0,"",IF(p_asof-P203&lt;=0,"Non échu",IF(p_asof-P203&lt;=30,"1-30 j",IF(p_asof-P203&lt;=60,"31-60 j",IF(p_asof-P203&lt;=90,"61-90 j","Plus de 90 j"))))))</f>
        <v/>
      </c>
      <c r="AT203" s="62" t="str">
        <f>IF(AS203="","",p_asof-P203)</f>
        <v/>
      </c>
      <c r="AU203" s="62" t="str">
        <f>IF(AT203="","",COUNTIF($AT$6:$AT$805,"&gt;"&amp;AT203)+COUNTIF($AT$6:AT203,AT203))</f>
        <v/>
      </c>
    </row>
    <row r="204">
      <c r="A204" s="59" t="str">
        <f>IF(AE204="","",AB204&amp;"-"&amp;AD204&amp;"-"&amp;RIGHT("000"&amp;AE204,4))</f>
        <v/>
      </c>
      <c r="B204" s="60" t="n"/>
      <c r="C204" s="61" t="n"/>
      <c r="D204" s="60" t="n"/>
      <c r="E204" s="62" t="str">
        <f>IF(D204="","",IFERROR(INDEX(cli_name,MATCH(D204,cli_code,0))&amp;"","Client inconnu"))</f>
        <v/>
      </c>
      <c r="F204" s="60" t="n"/>
      <c r="G204" s="63" t="n"/>
      <c r="H204" s="61" t="n"/>
      <c r="I204" s="63" t="n"/>
      <c r="J204" s="60" t="n"/>
      <c r="K204" s="61" t="n"/>
      <c r="L204" s="60" t="n"/>
      <c r="M204" s="60" t="n"/>
      <c r="N204" s="60" t="n"/>
      <c r="O204" s="61" t="n"/>
      <c r="P204" s="64" t="str">
        <f>IF(A204="","",IF(AA204="Avoir",AC204,IF(ISNUMBER(K204),K204,AC204+IF(D204="",N(p_delay),IFERROR(IF(ISNUMBER(INDEX(cli_delay,MATCH(D204,cli_code,0))),INDEX(cli_delay,MATCH(D204,cli_code,0)),N(p_delay)),N(p_delay))))))</f>
        <v/>
      </c>
      <c r="Q204" s="65" t="str">
        <f>IF(A204="","",IF(AA204="Avoir",-1,1)*ROUND(AJ204-IF(AR204="",0,INDEX(fa_htb,AR204)),2))</f>
        <v/>
      </c>
      <c r="R204" s="65" t="str">
        <f>IF(A204="","",IF(AA204="Avoir",-1,1)*ROUND(AQ204-IF(AR204="",0,INDEX(fa_tvab,AR204)),2))</f>
        <v/>
      </c>
      <c r="S204" s="65" t="str">
        <f>IF(A204="","",Q204+R204)</f>
        <v/>
      </c>
      <c r="T204" s="65" t="str">
        <f>IF(AR204="","",INDEX(fa_htb,AR204)+INDEX(fa_tvab,AR204))</f>
        <v/>
      </c>
      <c r="U204" s="65" t="str">
        <f>IF(A204="","",SUMIF(pa_inv,A204,pa_amt))</f>
        <v/>
      </c>
      <c r="V204" s="65" t="str">
        <f>IF(OR(A204="",AA204="Avoir"),"",-SUMIFS(fa_ttc,fa_avof,A204,fa_type,"Avoir"))</f>
        <v/>
      </c>
      <c r="W204" s="65" t="str">
        <f>IF(OR(A204="",AA204="Avoir"),"",ROUND(S204-U204-V204,2))</f>
        <v/>
      </c>
      <c r="X204" s="66" t="str">
        <f>IF(W204="","",IF(AND(W204&gt;0,p_asof&gt;P204),p_asof-P204,""))</f>
        <v/>
      </c>
      <c r="Y204" s="59" t="str">
        <f>IF(A204="","",IF(AA204="Avoir","Avoir",IF(W204&lt;0,"Trop-perçu",IF(W204=0,"Soldée",IF(p_asof&gt;P204,"En retard",IF(U204+V204&gt;0,"Partielle","À échoir"))))))</f>
        <v/>
      </c>
      <c r="Z204" s="59" t="str">
        <f>IF(NOT(COUNTA(B204:D204,F204:O204)&gt;0),"",IF(C204="","Date manquante",IF(NOT(ISNUMBER(C204)),"Date invalide",IF(D204="","Client manquant",IF(ISNA(MATCH(D204,cli_code,0)),"Client inconnu",IF(AC204&lt;SUMPRODUCT(MAX(($AB$6:AB203=AB204)*$AC$6:AC203)),"Date antérieure à la facture précédente",IF(AND(F204&lt;&gt;"",ISNA(MATCH(F204,dv_num,0))),"Devis inconnu",IF(AND(F204&lt;&gt;"",IFERROR(INDEX(dv_client,MATCH(F204,dv_num,0)),D204)&lt;&gt;D204),"Client différent de celui du devis",IF(AG204="","Aucune ligne : saisissez des lignes ou un devis",IF(AND(AI204&lt;&gt;"",COUNTIF($AI$6:AI204,AI204)&gt;1),"Devis déjà repris par une autre facture",IF(AND(AA204="Avoir",M204=""),"Avoir : indiquez la facture d'origine",IF(AND(AA204="Avoir",ISNA(MATCH(M204,fa_num,0))),"Facture d'origine inconnue",IF(AND(AA204&lt;&gt;"Avoir",M204&lt;&gt;""),"« Avoir sur facture » : réservé aux avoirs",IF(AND(L204&lt;&gt;"",AA204&lt;&gt;"Facture"),"Acompte à déduire : réservé aux factures",IF(AND(L204&lt;&gt;"",ISNA(MATCH(L204,fa_num,0))),"Facture d'acompte inconnue",IF(AND(L204&lt;&gt;"",IFERROR(INDEX(fa_type,MATCH(L204,fa_num,0)),"")&lt;&gt;"Facture d'acompte"),"Le n° à déduire n'est pas une facture d'acompte",IF(AND(L204&lt;&gt;"",COUNTIF($L$6:L204,L204)&gt;1),"Acompte déjà déduit sur une autre facture",IF(AND(L204&lt;&gt;"",IFERROR(INDEX(fa_client,MATCH(L204,fa_num,0)),D204)&lt;&gt;D204),"Acompte d'un autre client",IF(AND(AR204&lt;&gt;"",N(Q204)&lt;0),"Acompte supérieur au total de la facture",IF(IF(AG204="Facture",COUNTIFS(fl_doc,A204,fl_check,"&lt;&gt;OK"),IF(AG204="Devis",COUNTIFS(dl_doc,F204,dl_check,"&lt;&gt;OK"),0))&gt;0,"Ligne(s) à corriger",IF(AND(W204&lt;&gt;"",N(W204)&lt;0),"Trop-perçu : vérifiez paiements et avoirs","OK")))))))))))))))))))))</f>
        <v/>
      </c>
      <c r="AA204" s="62" t="str">
        <f>IF(COUNTA(B204:D204,F204:O204)&gt;0,IF(B204="","Facture",B204),"")</f>
        <v/>
      </c>
      <c r="AB204" s="62" t="str">
        <f>IF(AA204="","",IF(AA204="Avoir",p_pav,IF(AA204="Facture d'acompte",p_pac,p_pfa)))</f>
        <v/>
      </c>
      <c r="AC204" s="62">
        <f>IF(ISNUMBER(C204),C204,0)</f>
        <v>0.0</v>
      </c>
      <c r="AD204" s="62" t="str">
        <f>IF(OR(AA204="",AC204=0),"",YEAR(AC204))</f>
        <v/>
      </c>
      <c r="AE204" s="62" t="str">
        <f>IF(AD204="","",COUNTIFS($AB$6:AB204,AB204,$AD$6:AD204,AD204))</f>
        <v/>
      </c>
      <c r="AF204" s="62">
        <f>IF(A204="",0,COUNTIF(fl_doc,A204))</f>
        <v>0.0</v>
      </c>
      <c r="AG204" s="62" t="str">
        <f>IF(A204="","",IF(AF204&gt;0,"Facture",IF(AND(F204&lt;&gt;"",AA204="Facture",ISNUMBER(MATCH(F204,dv_num,0))),"Devis","")))</f>
        <v/>
      </c>
      <c r="AH204" s="62" t="str">
        <f>IF(AND(A204&lt;&gt;"",F204&lt;&gt;"",AA204&lt;&gt;"Avoir"),F204,"")</f>
        <v/>
      </c>
      <c r="AI204" s="62" t="str">
        <f>IF(AG204="Devis",F204,"")</f>
        <v/>
      </c>
      <c r="AJ204" s="62">
        <f>IF(AG204="Facture",SUMIF(fl_doc,A204,fl_ht),IF(AG204="Devis",SUMIF(dl_doc,F204,dl_ht),0))</f>
        <v>0.0</v>
      </c>
      <c r="AK204" s="62">
        <f>IF(OR(AG204="",INDEX(p_rates,1)=""),0,IF(AG204="Facture",SUMIFS(fl_ht,fl_doc,A204,fl_rate,INDEX(p_rates,1)),SUMIFS(dl_ht,dl_doc,F204,dl_rate,INDEX(p_rates,1))))</f>
        <v>0.0</v>
      </c>
      <c r="AL204" s="62">
        <f>IF(OR(AG204="",INDEX(p_rates,2)=""),0,IF(AG204="Facture",SUMIFS(fl_ht,fl_doc,A204,fl_rate,INDEX(p_rates,2)),SUMIFS(dl_ht,dl_doc,F204,dl_rate,INDEX(p_rates,2))))</f>
        <v>0.0</v>
      </c>
      <c r="AM204" s="62">
        <f>IF(OR(AG204="",INDEX(p_rates,3)=""),0,IF(AG204="Facture",SUMIFS(fl_ht,fl_doc,A204,fl_rate,INDEX(p_rates,3)),SUMIFS(dl_ht,dl_doc,F204,dl_rate,INDEX(p_rates,3))))</f>
        <v>0.0</v>
      </c>
      <c r="AN204" s="62">
        <f>IF(OR(AG204="",INDEX(p_rates,4)=""),0,IF(AG204="Facture",SUMIFS(fl_ht,fl_doc,A204,fl_rate,INDEX(p_rates,4)),SUMIFS(dl_ht,dl_doc,F204,dl_rate,INDEX(p_rates,4))))</f>
        <v>0.0</v>
      </c>
      <c r="AO204" s="62">
        <f>IF(OR(AG204="",INDEX(p_rates,5)=""),0,IF(AG204="Facture",SUMIFS(fl_ht,fl_doc,A204,fl_rate,INDEX(p_rates,5)),SUMIFS(dl_ht,dl_doc,F204,dl_rate,INDEX(p_rates,5))))</f>
        <v>0.0</v>
      </c>
      <c r="AP204" s="62">
        <f>IF(OR(AG204="",INDEX(p_rates,6)=""),0,IF(AG204="Facture",SUMIFS(fl_ht,fl_doc,A204,fl_rate,INDEX(p_rates,6)),SUMIFS(dl_ht,dl_doc,F204,dl_rate,INDEX(p_rates,6))))</f>
        <v>0.0</v>
      </c>
      <c r="AQ204" s="62">
        <f>ROUND(AK204*N(INDEX(p_rates,1)),2)+ROUND(AL204*N(INDEX(p_rates,2)),2)+ROUND(AM204*N(INDEX(p_rates,3)),2)+ROUND(AN204*N(INDEX(p_rates,4)),2)+ROUND(AO204*N(INDEX(p_rates,5)),2)+ROUND(AP204*N(INDEX(p_rates,6)),2)</f>
        <v>0.0</v>
      </c>
      <c r="AR204" s="62" t="str">
        <f>IF(OR(L204="",AA204&lt;&gt;"Facture"),"",IFERROR(IF(INDEX(fa_type,MATCH(L204,fa_num,0))="Facture d'acompte",MATCH(L204,fa_num,0),""),""))</f>
        <v/>
      </c>
      <c r="AS204" s="62" t="str">
        <f>IF(W204="","",IF(W204&lt;=0,"",IF(p_asof-P204&lt;=0,"Non échu",IF(p_asof-P204&lt;=30,"1-30 j",IF(p_asof-P204&lt;=60,"31-60 j",IF(p_asof-P204&lt;=90,"61-90 j","Plus de 90 j"))))))</f>
        <v/>
      </c>
      <c r="AT204" s="62" t="str">
        <f>IF(AS204="","",p_asof-P204)</f>
        <v/>
      </c>
      <c r="AU204" s="62" t="str">
        <f>IF(AT204="","",COUNTIF($AT$6:$AT$805,"&gt;"&amp;AT204)+COUNTIF($AT$6:AT204,AT204))</f>
        <v/>
      </c>
    </row>
    <row r="205">
      <c r="A205" s="59" t="str">
        <f>IF(AE205="","",AB205&amp;"-"&amp;AD205&amp;"-"&amp;RIGHT("000"&amp;AE205,4))</f>
        <v/>
      </c>
      <c r="B205" s="60" t="n"/>
      <c r="C205" s="61" t="n"/>
      <c r="D205" s="60" t="n"/>
      <c r="E205" s="62" t="str">
        <f>IF(D205="","",IFERROR(INDEX(cli_name,MATCH(D205,cli_code,0))&amp;"","Client inconnu"))</f>
        <v/>
      </c>
      <c r="F205" s="60" t="n"/>
      <c r="G205" s="63" t="n"/>
      <c r="H205" s="61" t="n"/>
      <c r="I205" s="63" t="n"/>
      <c r="J205" s="60" t="n"/>
      <c r="K205" s="61" t="n"/>
      <c r="L205" s="60" t="n"/>
      <c r="M205" s="60" t="n"/>
      <c r="N205" s="60" t="n"/>
      <c r="O205" s="61" t="n"/>
      <c r="P205" s="64" t="str">
        <f>IF(A205="","",IF(AA205="Avoir",AC205,IF(ISNUMBER(K205),K205,AC205+IF(D205="",N(p_delay),IFERROR(IF(ISNUMBER(INDEX(cli_delay,MATCH(D205,cli_code,0))),INDEX(cli_delay,MATCH(D205,cli_code,0)),N(p_delay)),N(p_delay))))))</f>
        <v/>
      </c>
      <c r="Q205" s="65" t="str">
        <f>IF(A205="","",IF(AA205="Avoir",-1,1)*ROUND(AJ205-IF(AR205="",0,INDEX(fa_htb,AR205)),2))</f>
        <v/>
      </c>
      <c r="R205" s="65" t="str">
        <f>IF(A205="","",IF(AA205="Avoir",-1,1)*ROUND(AQ205-IF(AR205="",0,INDEX(fa_tvab,AR205)),2))</f>
        <v/>
      </c>
      <c r="S205" s="65" t="str">
        <f>IF(A205="","",Q205+R205)</f>
        <v/>
      </c>
      <c r="T205" s="65" t="str">
        <f>IF(AR205="","",INDEX(fa_htb,AR205)+INDEX(fa_tvab,AR205))</f>
        <v/>
      </c>
      <c r="U205" s="65" t="str">
        <f>IF(A205="","",SUMIF(pa_inv,A205,pa_amt))</f>
        <v/>
      </c>
      <c r="V205" s="65" t="str">
        <f>IF(OR(A205="",AA205="Avoir"),"",-SUMIFS(fa_ttc,fa_avof,A205,fa_type,"Avoir"))</f>
        <v/>
      </c>
      <c r="W205" s="65" t="str">
        <f>IF(OR(A205="",AA205="Avoir"),"",ROUND(S205-U205-V205,2))</f>
        <v/>
      </c>
      <c r="X205" s="66" t="str">
        <f>IF(W205="","",IF(AND(W205&gt;0,p_asof&gt;P205),p_asof-P205,""))</f>
        <v/>
      </c>
      <c r="Y205" s="59" t="str">
        <f>IF(A205="","",IF(AA205="Avoir","Avoir",IF(W205&lt;0,"Trop-perçu",IF(W205=0,"Soldée",IF(p_asof&gt;P205,"En retard",IF(U205+V205&gt;0,"Partielle","À échoir"))))))</f>
        <v/>
      </c>
      <c r="Z205" s="59" t="str">
        <f>IF(NOT(COUNTA(B205:D205,F205:O205)&gt;0),"",IF(C205="","Date manquante",IF(NOT(ISNUMBER(C205)),"Date invalide",IF(D205="","Client manquant",IF(ISNA(MATCH(D205,cli_code,0)),"Client inconnu",IF(AC205&lt;SUMPRODUCT(MAX(($AB$6:AB204=AB205)*$AC$6:AC204)),"Date antérieure à la facture précédente",IF(AND(F205&lt;&gt;"",ISNA(MATCH(F205,dv_num,0))),"Devis inconnu",IF(AND(F205&lt;&gt;"",IFERROR(INDEX(dv_client,MATCH(F205,dv_num,0)),D205)&lt;&gt;D205),"Client différent de celui du devis",IF(AG205="","Aucune ligne : saisissez des lignes ou un devis",IF(AND(AI205&lt;&gt;"",COUNTIF($AI$6:AI205,AI205)&gt;1),"Devis déjà repris par une autre facture",IF(AND(AA205="Avoir",M205=""),"Avoir : indiquez la facture d'origine",IF(AND(AA205="Avoir",ISNA(MATCH(M205,fa_num,0))),"Facture d'origine inconnue",IF(AND(AA205&lt;&gt;"Avoir",M205&lt;&gt;""),"« Avoir sur facture » : réservé aux avoirs",IF(AND(L205&lt;&gt;"",AA205&lt;&gt;"Facture"),"Acompte à déduire : réservé aux factures",IF(AND(L205&lt;&gt;"",ISNA(MATCH(L205,fa_num,0))),"Facture d'acompte inconnue",IF(AND(L205&lt;&gt;"",IFERROR(INDEX(fa_type,MATCH(L205,fa_num,0)),"")&lt;&gt;"Facture d'acompte"),"Le n° à déduire n'est pas une facture d'acompte",IF(AND(L205&lt;&gt;"",COUNTIF($L$6:L205,L205)&gt;1),"Acompte déjà déduit sur une autre facture",IF(AND(L205&lt;&gt;"",IFERROR(INDEX(fa_client,MATCH(L205,fa_num,0)),D205)&lt;&gt;D205),"Acompte d'un autre client",IF(AND(AR205&lt;&gt;"",N(Q205)&lt;0),"Acompte supérieur au total de la facture",IF(IF(AG205="Facture",COUNTIFS(fl_doc,A205,fl_check,"&lt;&gt;OK"),IF(AG205="Devis",COUNTIFS(dl_doc,F205,dl_check,"&lt;&gt;OK"),0))&gt;0,"Ligne(s) à corriger",IF(AND(W205&lt;&gt;"",N(W205)&lt;0),"Trop-perçu : vérifiez paiements et avoirs","OK")))))))))))))))))))))</f>
        <v/>
      </c>
      <c r="AA205" s="62" t="str">
        <f>IF(COUNTA(B205:D205,F205:O205)&gt;0,IF(B205="","Facture",B205),"")</f>
        <v/>
      </c>
      <c r="AB205" s="62" t="str">
        <f>IF(AA205="","",IF(AA205="Avoir",p_pav,IF(AA205="Facture d'acompte",p_pac,p_pfa)))</f>
        <v/>
      </c>
      <c r="AC205" s="62">
        <f>IF(ISNUMBER(C205),C205,0)</f>
        <v>0.0</v>
      </c>
      <c r="AD205" s="62" t="str">
        <f>IF(OR(AA205="",AC205=0),"",YEAR(AC205))</f>
        <v/>
      </c>
      <c r="AE205" s="62" t="str">
        <f>IF(AD205="","",COUNTIFS($AB$6:AB205,AB205,$AD$6:AD205,AD205))</f>
        <v/>
      </c>
      <c r="AF205" s="62">
        <f>IF(A205="",0,COUNTIF(fl_doc,A205))</f>
        <v>0.0</v>
      </c>
      <c r="AG205" s="62" t="str">
        <f>IF(A205="","",IF(AF205&gt;0,"Facture",IF(AND(F205&lt;&gt;"",AA205="Facture",ISNUMBER(MATCH(F205,dv_num,0))),"Devis","")))</f>
        <v/>
      </c>
      <c r="AH205" s="62" t="str">
        <f>IF(AND(A205&lt;&gt;"",F205&lt;&gt;"",AA205&lt;&gt;"Avoir"),F205,"")</f>
        <v/>
      </c>
      <c r="AI205" s="62" t="str">
        <f>IF(AG205="Devis",F205,"")</f>
        <v/>
      </c>
      <c r="AJ205" s="62">
        <f>IF(AG205="Facture",SUMIF(fl_doc,A205,fl_ht),IF(AG205="Devis",SUMIF(dl_doc,F205,dl_ht),0))</f>
        <v>0.0</v>
      </c>
      <c r="AK205" s="62">
        <f>IF(OR(AG205="",INDEX(p_rates,1)=""),0,IF(AG205="Facture",SUMIFS(fl_ht,fl_doc,A205,fl_rate,INDEX(p_rates,1)),SUMIFS(dl_ht,dl_doc,F205,dl_rate,INDEX(p_rates,1))))</f>
        <v>0.0</v>
      </c>
      <c r="AL205" s="62">
        <f>IF(OR(AG205="",INDEX(p_rates,2)=""),0,IF(AG205="Facture",SUMIFS(fl_ht,fl_doc,A205,fl_rate,INDEX(p_rates,2)),SUMIFS(dl_ht,dl_doc,F205,dl_rate,INDEX(p_rates,2))))</f>
        <v>0.0</v>
      </c>
      <c r="AM205" s="62">
        <f>IF(OR(AG205="",INDEX(p_rates,3)=""),0,IF(AG205="Facture",SUMIFS(fl_ht,fl_doc,A205,fl_rate,INDEX(p_rates,3)),SUMIFS(dl_ht,dl_doc,F205,dl_rate,INDEX(p_rates,3))))</f>
        <v>0.0</v>
      </c>
      <c r="AN205" s="62">
        <f>IF(OR(AG205="",INDEX(p_rates,4)=""),0,IF(AG205="Facture",SUMIFS(fl_ht,fl_doc,A205,fl_rate,INDEX(p_rates,4)),SUMIFS(dl_ht,dl_doc,F205,dl_rate,INDEX(p_rates,4))))</f>
        <v>0.0</v>
      </c>
      <c r="AO205" s="62">
        <f>IF(OR(AG205="",INDEX(p_rates,5)=""),0,IF(AG205="Facture",SUMIFS(fl_ht,fl_doc,A205,fl_rate,INDEX(p_rates,5)),SUMIFS(dl_ht,dl_doc,F205,dl_rate,INDEX(p_rates,5))))</f>
        <v>0.0</v>
      </c>
      <c r="AP205" s="62">
        <f>IF(OR(AG205="",INDEX(p_rates,6)=""),0,IF(AG205="Facture",SUMIFS(fl_ht,fl_doc,A205,fl_rate,INDEX(p_rates,6)),SUMIFS(dl_ht,dl_doc,F205,dl_rate,INDEX(p_rates,6))))</f>
        <v>0.0</v>
      </c>
      <c r="AQ205" s="62">
        <f>ROUND(AK205*N(INDEX(p_rates,1)),2)+ROUND(AL205*N(INDEX(p_rates,2)),2)+ROUND(AM205*N(INDEX(p_rates,3)),2)+ROUND(AN205*N(INDEX(p_rates,4)),2)+ROUND(AO205*N(INDEX(p_rates,5)),2)+ROUND(AP205*N(INDEX(p_rates,6)),2)</f>
        <v>0.0</v>
      </c>
      <c r="AR205" s="62" t="str">
        <f>IF(OR(L205="",AA205&lt;&gt;"Facture"),"",IFERROR(IF(INDEX(fa_type,MATCH(L205,fa_num,0))="Facture d'acompte",MATCH(L205,fa_num,0),""),""))</f>
        <v/>
      </c>
      <c r="AS205" s="62" t="str">
        <f>IF(W205="","",IF(W205&lt;=0,"",IF(p_asof-P205&lt;=0,"Non échu",IF(p_asof-P205&lt;=30,"1-30 j",IF(p_asof-P205&lt;=60,"31-60 j",IF(p_asof-P205&lt;=90,"61-90 j","Plus de 90 j"))))))</f>
        <v/>
      </c>
      <c r="AT205" s="62" t="str">
        <f>IF(AS205="","",p_asof-P205)</f>
        <v/>
      </c>
      <c r="AU205" s="62" t="str">
        <f>IF(AT205="","",COUNTIF($AT$6:$AT$805,"&gt;"&amp;AT205)+COUNTIF($AT$6:AT205,AT205))</f>
        <v/>
      </c>
    </row>
    <row r="206">
      <c r="A206" s="59" t="str">
        <f>IF(AE206="","",AB206&amp;"-"&amp;AD206&amp;"-"&amp;RIGHT("000"&amp;AE206,4))</f>
        <v/>
      </c>
      <c r="B206" s="60" t="n"/>
      <c r="C206" s="61" t="n"/>
      <c r="D206" s="60" t="n"/>
      <c r="E206" s="62" t="str">
        <f>IF(D206="","",IFERROR(INDEX(cli_name,MATCH(D206,cli_code,0))&amp;"","Client inconnu"))</f>
        <v/>
      </c>
      <c r="F206" s="60" t="n"/>
      <c r="G206" s="63" t="n"/>
      <c r="H206" s="61" t="n"/>
      <c r="I206" s="63" t="n"/>
      <c r="J206" s="60" t="n"/>
      <c r="K206" s="61" t="n"/>
      <c r="L206" s="60" t="n"/>
      <c r="M206" s="60" t="n"/>
      <c r="N206" s="60" t="n"/>
      <c r="O206" s="61" t="n"/>
      <c r="P206" s="64" t="str">
        <f>IF(A206="","",IF(AA206="Avoir",AC206,IF(ISNUMBER(K206),K206,AC206+IF(D206="",N(p_delay),IFERROR(IF(ISNUMBER(INDEX(cli_delay,MATCH(D206,cli_code,0))),INDEX(cli_delay,MATCH(D206,cli_code,0)),N(p_delay)),N(p_delay))))))</f>
        <v/>
      </c>
      <c r="Q206" s="65" t="str">
        <f>IF(A206="","",IF(AA206="Avoir",-1,1)*ROUND(AJ206-IF(AR206="",0,INDEX(fa_htb,AR206)),2))</f>
        <v/>
      </c>
      <c r="R206" s="65" t="str">
        <f>IF(A206="","",IF(AA206="Avoir",-1,1)*ROUND(AQ206-IF(AR206="",0,INDEX(fa_tvab,AR206)),2))</f>
        <v/>
      </c>
      <c r="S206" s="65" t="str">
        <f>IF(A206="","",Q206+R206)</f>
        <v/>
      </c>
      <c r="T206" s="65" t="str">
        <f>IF(AR206="","",INDEX(fa_htb,AR206)+INDEX(fa_tvab,AR206))</f>
        <v/>
      </c>
      <c r="U206" s="65" t="str">
        <f>IF(A206="","",SUMIF(pa_inv,A206,pa_amt))</f>
        <v/>
      </c>
      <c r="V206" s="65" t="str">
        <f>IF(OR(A206="",AA206="Avoir"),"",-SUMIFS(fa_ttc,fa_avof,A206,fa_type,"Avoir"))</f>
        <v/>
      </c>
      <c r="W206" s="65" t="str">
        <f>IF(OR(A206="",AA206="Avoir"),"",ROUND(S206-U206-V206,2))</f>
        <v/>
      </c>
      <c r="X206" s="66" t="str">
        <f>IF(W206="","",IF(AND(W206&gt;0,p_asof&gt;P206),p_asof-P206,""))</f>
        <v/>
      </c>
      <c r="Y206" s="59" t="str">
        <f>IF(A206="","",IF(AA206="Avoir","Avoir",IF(W206&lt;0,"Trop-perçu",IF(W206=0,"Soldée",IF(p_asof&gt;P206,"En retard",IF(U206+V206&gt;0,"Partielle","À échoir"))))))</f>
        <v/>
      </c>
      <c r="Z206" s="59" t="str">
        <f>IF(NOT(COUNTA(B206:D206,F206:O206)&gt;0),"",IF(C206="","Date manquante",IF(NOT(ISNUMBER(C206)),"Date invalide",IF(D206="","Client manquant",IF(ISNA(MATCH(D206,cli_code,0)),"Client inconnu",IF(AC206&lt;SUMPRODUCT(MAX(($AB$6:AB205=AB206)*$AC$6:AC205)),"Date antérieure à la facture précédente",IF(AND(F206&lt;&gt;"",ISNA(MATCH(F206,dv_num,0))),"Devis inconnu",IF(AND(F206&lt;&gt;"",IFERROR(INDEX(dv_client,MATCH(F206,dv_num,0)),D206)&lt;&gt;D206),"Client différent de celui du devis",IF(AG206="","Aucune ligne : saisissez des lignes ou un devis",IF(AND(AI206&lt;&gt;"",COUNTIF($AI$6:AI206,AI206)&gt;1),"Devis déjà repris par une autre facture",IF(AND(AA206="Avoir",M206=""),"Avoir : indiquez la facture d'origine",IF(AND(AA206="Avoir",ISNA(MATCH(M206,fa_num,0))),"Facture d'origine inconnue",IF(AND(AA206&lt;&gt;"Avoir",M206&lt;&gt;""),"« Avoir sur facture » : réservé aux avoirs",IF(AND(L206&lt;&gt;"",AA206&lt;&gt;"Facture"),"Acompte à déduire : réservé aux factures",IF(AND(L206&lt;&gt;"",ISNA(MATCH(L206,fa_num,0))),"Facture d'acompte inconnue",IF(AND(L206&lt;&gt;"",IFERROR(INDEX(fa_type,MATCH(L206,fa_num,0)),"")&lt;&gt;"Facture d'acompte"),"Le n° à déduire n'est pas une facture d'acompte",IF(AND(L206&lt;&gt;"",COUNTIF($L$6:L206,L206)&gt;1),"Acompte déjà déduit sur une autre facture",IF(AND(L206&lt;&gt;"",IFERROR(INDEX(fa_client,MATCH(L206,fa_num,0)),D206)&lt;&gt;D206),"Acompte d'un autre client",IF(AND(AR206&lt;&gt;"",N(Q206)&lt;0),"Acompte supérieur au total de la facture",IF(IF(AG206="Facture",COUNTIFS(fl_doc,A206,fl_check,"&lt;&gt;OK"),IF(AG206="Devis",COUNTIFS(dl_doc,F206,dl_check,"&lt;&gt;OK"),0))&gt;0,"Ligne(s) à corriger",IF(AND(W206&lt;&gt;"",N(W206)&lt;0),"Trop-perçu : vérifiez paiements et avoirs","OK")))))))))))))))))))))</f>
        <v/>
      </c>
      <c r="AA206" s="62" t="str">
        <f>IF(COUNTA(B206:D206,F206:O206)&gt;0,IF(B206="","Facture",B206),"")</f>
        <v/>
      </c>
      <c r="AB206" s="62" t="str">
        <f>IF(AA206="","",IF(AA206="Avoir",p_pav,IF(AA206="Facture d'acompte",p_pac,p_pfa)))</f>
        <v/>
      </c>
      <c r="AC206" s="62">
        <f>IF(ISNUMBER(C206),C206,0)</f>
        <v>0.0</v>
      </c>
      <c r="AD206" s="62" t="str">
        <f>IF(OR(AA206="",AC206=0),"",YEAR(AC206))</f>
        <v/>
      </c>
      <c r="AE206" s="62" t="str">
        <f>IF(AD206="","",COUNTIFS($AB$6:AB206,AB206,$AD$6:AD206,AD206))</f>
        <v/>
      </c>
      <c r="AF206" s="62">
        <f>IF(A206="",0,COUNTIF(fl_doc,A206))</f>
        <v>0.0</v>
      </c>
      <c r="AG206" s="62" t="str">
        <f>IF(A206="","",IF(AF206&gt;0,"Facture",IF(AND(F206&lt;&gt;"",AA206="Facture",ISNUMBER(MATCH(F206,dv_num,0))),"Devis","")))</f>
        <v/>
      </c>
      <c r="AH206" s="62" t="str">
        <f>IF(AND(A206&lt;&gt;"",F206&lt;&gt;"",AA206&lt;&gt;"Avoir"),F206,"")</f>
        <v/>
      </c>
      <c r="AI206" s="62" t="str">
        <f>IF(AG206="Devis",F206,"")</f>
        <v/>
      </c>
      <c r="AJ206" s="62">
        <f>IF(AG206="Facture",SUMIF(fl_doc,A206,fl_ht),IF(AG206="Devis",SUMIF(dl_doc,F206,dl_ht),0))</f>
        <v>0.0</v>
      </c>
      <c r="AK206" s="62">
        <f>IF(OR(AG206="",INDEX(p_rates,1)=""),0,IF(AG206="Facture",SUMIFS(fl_ht,fl_doc,A206,fl_rate,INDEX(p_rates,1)),SUMIFS(dl_ht,dl_doc,F206,dl_rate,INDEX(p_rates,1))))</f>
        <v>0.0</v>
      </c>
      <c r="AL206" s="62">
        <f>IF(OR(AG206="",INDEX(p_rates,2)=""),0,IF(AG206="Facture",SUMIFS(fl_ht,fl_doc,A206,fl_rate,INDEX(p_rates,2)),SUMIFS(dl_ht,dl_doc,F206,dl_rate,INDEX(p_rates,2))))</f>
        <v>0.0</v>
      </c>
      <c r="AM206" s="62">
        <f>IF(OR(AG206="",INDEX(p_rates,3)=""),0,IF(AG206="Facture",SUMIFS(fl_ht,fl_doc,A206,fl_rate,INDEX(p_rates,3)),SUMIFS(dl_ht,dl_doc,F206,dl_rate,INDEX(p_rates,3))))</f>
        <v>0.0</v>
      </c>
      <c r="AN206" s="62">
        <f>IF(OR(AG206="",INDEX(p_rates,4)=""),0,IF(AG206="Facture",SUMIFS(fl_ht,fl_doc,A206,fl_rate,INDEX(p_rates,4)),SUMIFS(dl_ht,dl_doc,F206,dl_rate,INDEX(p_rates,4))))</f>
        <v>0.0</v>
      </c>
      <c r="AO206" s="62">
        <f>IF(OR(AG206="",INDEX(p_rates,5)=""),0,IF(AG206="Facture",SUMIFS(fl_ht,fl_doc,A206,fl_rate,INDEX(p_rates,5)),SUMIFS(dl_ht,dl_doc,F206,dl_rate,INDEX(p_rates,5))))</f>
        <v>0.0</v>
      </c>
      <c r="AP206" s="62">
        <f>IF(OR(AG206="",INDEX(p_rates,6)=""),0,IF(AG206="Facture",SUMIFS(fl_ht,fl_doc,A206,fl_rate,INDEX(p_rates,6)),SUMIFS(dl_ht,dl_doc,F206,dl_rate,INDEX(p_rates,6))))</f>
        <v>0.0</v>
      </c>
      <c r="AQ206" s="62">
        <f>ROUND(AK206*N(INDEX(p_rates,1)),2)+ROUND(AL206*N(INDEX(p_rates,2)),2)+ROUND(AM206*N(INDEX(p_rates,3)),2)+ROUND(AN206*N(INDEX(p_rates,4)),2)+ROUND(AO206*N(INDEX(p_rates,5)),2)+ROUND(AP206*N(INDEX(p_rates,6)),2)</f>
        <v>0.0</v>
      </c>
      <c r="AR206" s="62" t="str">
        <f>IF(OR(L206="",AA206&lt;&gt;"Facture"),"",IFERROR(IF(INDEX(fa_type,MATCH(L206,fa_num,0))="Facture d'acompte",MATCH(L206,fa_num,0),""),""))</f>
        <v/>
      </c>
      <c r="AS206" s="62" t="str">
        <f>IF(W206="","",IF(W206&lt;=0,"",IF(p_asof-P206&lt;=0,"Non échu",IF(p_asof-P206&lt;=30,"1-30 j",IF(p_asof-P206&lt;=60,"31-60 j",IF(p_asof-P206&lt;=90,"61-90 j","Plus de 90 j"))))))</f>
        <v/>
      </c>
      <c r="AT206" s="62" t="str">
        <f>IF(AS206="","",p_asof-P206)</f>
        <v/>
      </c>
      <c r="AU206" s="62" t="str">
        <f>IF(AT206="","",COUNTIF($AT$6:$AT$805,"&gt;"&amp;AT206)+COUNTIF($AT$6:AT206,AT206))</f>
        <v/>
      </c>
    </row>
    <row r="207">
      <c r="A207" s="59" t="str">
        <f>IF(AE207="","",AB207&amp;"-"&amp;AD207&amp;"-"&amp;RIGHT("000"&amp;AE207,4))</f>
        <v/>
      </c>
      <c r="B207" s="60" t="n"/>
      <c r="C207" s="61" t="n"/>
      <c r="D207" s="60" t="n"/>
      <c r="E207" s="62" t="str">
        <f>IF(D207="","",IFERROR(INDEX(cli_name,MATCH(D207,cli_code,0))&amp;"","Client inconnu"))</f>
        <v/>
      </c>
      <c r="F207" s="60" t="n"/>
      <c r="G207" s="63" t="n"/>
      <c r="H207" s="61" t="n"/>
      <c r="I207" s="63" t="n"/>
      <c r="J207" s="60" t="n"/>
      <c r="K207" s="61" t="n"/>
      <c r="L207" s="60" t="n"/>
      <c r="M207" s="60" t="n"/>
      <c r="N207" s="60" t="n"/>
      <c r="O207" s="61" t="n"/>
      <c r="P207" s="64" t="str">
        <f>IF(A207="","",IF(AA207="Avoir",AC207,IF(ISNUMBER(K207),K207,AC207+IF(D207="",N(p_delay),IFERROR(IF(ISNUMBER(INDEX(cli_delay,MATCH(D207,cli_code,0))),INDEX(cli_delay,MATCH(D207,cli_code,0)),N(p_delay)),N(p_delay))))))</f>
        <v/>
      </c>
      <c r="Q207" s="65" t="str">
        <f>IF(A207="","",IF(AA207="Avoir",-1,1)*ROUND(AJ207-IF(AR207="",0,INDEX(fa_htb,AR207)),2))</f>
        <v/>
      </c>
      <c r="R207" s="65" t="str">
        <f>IF(A207="","",IF(AA207="Avoir",-1,1)*ROUND(AQ207-IF(AR207="",0,INDEX(fa_tvab,AR207)),2))</f>
        <v/>
      </c>
      <c r="S207" s="65" t="str">
        <f>IF(A207="","",Q207+R207)</f>
        <v/>
      </c>
      <c r="T207" s="65" t="str">
        <f>IF(AR207="","",INDEX(fa_htb,AR207)+INDEX(fa_tvab,AR207))</f>
        <v/>
      </c>
      <c r="U207" s="65" t="str">
        <f>IF(A207="","",SUMIF(pa_inv,A207,pa_amt))</f>
        <v/>
      </c>
      <c r="V207" s="65" t="str">
        <f>IF(OR(A207="",AA207="Avoir"),"",-SUMIFS(fa_ttc,fa_avof,A207,fa_type,"Avoir"))</f>
        <v/>
      </c>
      <c r="W207" s="65" t="str">
        <f>IF(OR(A207="",AA207="Avoir"),"",ROUND(S207-U207-V207,2))</f>
        <v/>
      </c>
      <c r="X207" s="66" t="str">
        <f>IF(W207="","",IF(AND(W207&gt;0,p_asof&gt;P207),p_asof-P207,""))</f>
        <v/>
      </c>
      <c r="Y207" s="59" t="str">
        <f>IF(A207="","",IF(AA207="Avoir","Avoir",IF(W207&lt;0,"Trop-perçu",IF(W207=0,"Soldée",IF(p_asof&gt;P207,"En retard",IF(U207+V207&gt;0,"Partielle","À échoir"))))))</f>
        <v/>
      </c>
      <c r="Z207" s="59" t="str">
        <f>IF(NOT(COUNTA(B207:D207,F207:O207)&gt;0),"",IF(C207="","Date manquante",IF(NOT(ISNUMBER(C207)),"Date invalide",IF(D207="","Client manquant",IF(ISNA(MATCH(D207,cli_code,0)),"Client inconnu",IF(AC207&lt;SUMPRODUCT(MAX(($AB$6:AB206=AB207)*$AC$6:AC206)),"Date antérieure à la facture précédente",IF(AND(F207&lt;&gt;"",ISNA(MATCH(F207,dv_num,0))),"Devis inconnu",IF(AND(F207&lt;&gt;"",IFERROR(INDEX(dv_client,MATCH(F207,dv_num,0)),D207)&lt;&gt;D207),"Client différent de celui du devis",IF(AG207="","Aucune ligne : saisissez des lignes ou un devis",IF(AND(AI207&lt;&gt;"",COUNTIF($AI$6:AI207,AI207)&gt;1),"Devis déjà repris par une autre facture",IF(AND(AA207="Avoir",M207=""),"Avoir : indiquez la facture d'origine",IF(AND(AA207="Avoir",ISNA(MATCH(M207,fa_num,0))),"Facture d'origine inconnue",IF(AND(AA207&lt;&gt;"Avoir",M207&lt;&gt;""),"« Avoir sur facture » : réservé aux avoirs",IF(AND(L207&lt;&gt;"",AA207&lt;&gt;"Facture"),"Acompte à déduire : réservé aux factures",IF(AND(L207&lt;&gt;"",ISNA(MATCH(L207,fa_num,0))),"Facture d'acompte inconnue",IF(AND(L207&lt;&gt;"",IFERROR(INDEX(fa_type,MATCH(L207,fa_num,0)),"")&lt;&gt;"Facture d'acompte"),"Le n° à déduire n'est pas une facture d'acompte",IF(AND(L207&lt;&gt;"",COUNTIF($L$6:L207,L207)&gt;1),"Acompte déjà déduit sur une autre facture",IF(AND(L207&lt;&gt;"",IFERROR(INDEX(fa_client,MATCH(L207,fa_num,0)),D207)&lt;&gt;D207),"Acompte d'un autre client",IF(AND(AR207&lt;&gt;"",N(Q207)&lt;0),"Acompte supérieur au total de la facture",IF(IF(AG207="Facture",COUNTIFS(fl_doc,A207,fl_check,"&lt;&gt;OK"),IF(AG207="Devis",COUNTIFS(dl_doc,F207,dl_check,"&lt;&gt;OK"),0))&gt;0,"Ligne(s) à corriger",IF(AND(W207&lt;&gt;"",N(W207)&lt;0),"Trop-perçu : vérifiez paiements et avoirs","OK")))))))))))))))))))))</f>
        <v/>
      </c>
      <c r="AA207" s="62" t="str">
        <f>IF(COUNTA(B207:D207,F207:O207)&gt;0,IF(B207="","Facture",B207),"")</f>
        <v/>
      </c>
      <c r="AB207" s="62" t="str">
        <f>IF(AA207="","",IF(AA207="Avoir",p_pav,IF(AA207="Facture d'acompte",p_pac,p_pfa)))</f>
        <v/>
      </c>
      <c r="AC207" s="62">
        <f>IF(ISNUMBER(C207),C207,0)</f>
        <v>0.0</v>
      </c>
      <c r="AD207" s="62" t="str">
        <f>IF(OR(AA207="",AC207=0),"",YEAR(AC207))</f>
        <v/>
      </c>
      <c r="AE207" s="62" t="str">
        <f>IF(AD207="","",COUNTIFS($AB$6:AB207,AB207,$AD$6:AD207,AD207))</f>
        <v/>
      </c>
      <c r="AF207" s="62">
        <f>IF(A207="",0,COUNTIF(fl_doc,A207))</f>
        <v>0.0</v>
      </c>
      <c r="AG207" s="62" t="str">
        <f>IF(A207="","",IF(AF207&gt;0,"Facture",IF(AND(F207&lt;&gt;"",AA207="Facture",ISNUMBER(MATCH(F207,dv_num,0))),"Devis","")))</f>
        <v/>
      </c>
      <c r="AH207" s="62" t="str">
        <f>IF(AND(A207&lt;&gt;"",F207&lt;&gt;"",AA207&lt;&gt;"Avoir"),F207,"")</f>
        <v/>
      </c>
      <c r="AI207" s="62" t="str">
        <f>IF(AG207="Devis",F207,"")</f>
        <v/>
      </c>
      <c r="AJ207" s="62">
        <f>IF(AG207="Facture",SUMIF(fl_doc,A207,fl_ht),IF(AG207="Devis",SUMIF(dl_doc,F207,dl_ht),0))</f>
        <v>0.0</v>
      </c>
      <c r="AK207" s="62">
        <f>IF(OR(AG207="",INDEX(p_rates,1)=""),0,IF(AG207="Facture",SUMIFS(fl_ht,fl_doc,A207,fl_rate,INDEX(p_rates,1)),SUMIFS(dl_ht,dl_doc,F207,dl_rate,INDEX(p_rates,1))))</f>
        <v>0.0</v>
      </c>
      <c r="AL207" s="62">
        <f>IF(OR(AG207="",INDEX(p_rates,2)=""),0,IF(AG207="Facture",SUMIFS(fl_ht,fl_doc,A207,fl_rate,INDEX(p_rates,2)),SUMIFS(dl_ht,dl_doc,F207,dl_rate,INDEX(p_rates,2))))</f>
        <v>0.0</v>
      </c>
      <c r="AM207" s="62">
        <f>IF(OR(AG207="",INDEX(p_rates,3)=""),0,IF(AG207="Facture",SUMIFS(fl_ht,fl_doc,A207,fl_rate,INDEX(p_rates,3)),SUMIFS(dl_ht,dl_doc,F207,dl_rate,INDEX(p_rates,3))))</f>
        <v>0.0</v>
      </c>
      <c r="AN207" s="62">
        <f>IF(OR(AG207="",INDEX(p_rates,4)=""),0,IF(AG207="Facture",SUMIFS(fl_ht,fl_doc,A207,fl_rate,INDEX(p_rates,4)),SUMIFS(dl_ht,dl_doc,F207,dl_rate,INDEX(p_rates,4))))</f>
        <v>0.0</v>
      </c>
      <c r="AO207" s="62">
        <f>IF(OR(AG207="",INDEX(p_rates,5)=""),0,IF(AG207="Facture",SUMIFS(fl_ht,fl_doc,A207,fl_rate,INDEX(p_rates,5)),SUMIFS(dl_ht,dl_doc,F207,dl_rate,INDEX(p_rates,5))))</f>
        <v>0.0</v>
      </c>
      <c r="AP207" s="62">
        <f>IF(OR(AG207="",INDEX(p_rates,6)=""),0,IF(AG207="Facture",SUMIFS(fl_ht,fl_doc,A207,fl_rate,INDEX(p_rates,6)),SUMIFS(dl_ht,dl_doc,F207,dl_rate,INDEX(p_rates,6))))</f>
        <v>0.0</v>
      </c>
      <c r="AQ207" s="62">
        <f>ROUND(AK207*N(INDEX(p_rates,1)),2)+ROUND(AL207*N(INDEX(p_rates,2)),2)+ROUND(AM207*N(INDEX(p_rates,3)),2)+ROUND(AN207*N(INDEX(p_rates,4)),2)+ROUND(AO207*N(INDEX(p_rates,5)),2)+ROUND(AP207*N(INDEX(p_rates,6)),2)</f>
        <v>0.0</v>
      </c>
      <c r="AR207" s="62" t="str">
        <f>IF(OR(L207="",AA207&lt;&gt;"Facture"),"",IFERROR(IF(INDEX(fa_type,MATCH(L207,fa_num,0))="Facture d'acompte",MATCH(L207,fa_num,0),""),""))</f>
        <v/>
      </c>
      <c r="AS207" s="62" t="str">
        <f>IF(W207="","",IF(W207&lt;=0,"",IF(p_asof-P207&lt;=0,"Non échu",IF(p_asof-P207&lt;=30,"1-30 j",IF(p_asof-P207&lt;=60,"31-60 j",IF(p_asof-P207&lt;=90,"61-90 j","Plus de 90 j"))))))</f>
        <v/>
      </c>
      <c r="AT207" s="62" t="str">
        <f>IF(AS207="","",p_asof-P207)</f>
        <v/>
      </c>
      <c r="AU207" s="62" t="str">
        <f>IF(AT207="","",COUNTIF($AT$6:$AT$805,"&gt;"&amp;AT207)+COUNTIF($AT$6:AT207,AT207))</f>
        <v/>
      </c>
    </row>
    <row r="208">
      <c r="A208" s="59" t="str">
        <f>IF(AE208="","",AB208&amp;"-"&amp;AD208&amp;"-"&amp;RIGHT("000"&amp;AE208,4))</f>
        <v/>
      </c>
      <c r="B208" s="60" t="n"/>
      <c r="C208" s="61" t="n"/>
      <c r="D208" s="60" t="n"/>
      <c r="E208" s="62" t="str">
        <f>IF(D208="","",IFERROR(INDEX(cli_name,MATCH(D208,cli_code,0))&amp;"","Client inconnu"))</f>
        <v/>
      </c>
      <c r="F208" s="60" t="n"/>
      <c r="G208" s="63" t="n"/>
      <c r="H208" s="61" t="n"/>
      <c r="I208" s="63" t="n"/>
      <c r="J208" s="60" t="n"/>
      <c r="K208" s="61" t="n"/>
      <c r="L208" s="60" t="n"/>
      <c r="M208" s="60" t="n"/>
      <c r="N208" s="60" t="n"/>
      <c r="O208" s="61" t="n"/>
      <c r="P208" s="64" t="str">
        <f>IF(A208="","",IF(AA208="Avoir",AC208,IF(ISNUMBER(K208),K208,AC208+IF(D208="",N(p_delay),IFERROR(IF(ISNUMBER(INDEX(cli_delay,MATCH(D208,cli_code,0))),INDEX(cli_delay,MATCH(D208,cli_code,0)),N(p_delay)),N(p_delay))))))</f>
        <v/>
      </c>
      <c r="Q208" s="65" t="str">
        <f>IF(A208="","",IF(AA208="Avoir",-1,1)*ROUND(AJ208-IF(AR208="",0,INDEX(fa_htb,AR208)),2))</f>
        <v/>
      </c>
      <c r="R208" s="65" t="str">
        <f>IF(A208="","",IF(AA208="Avoir",-1,1)*ROUND(AQ208-IF(AR208="",0,INDEX(fa_tvab,AR208)),2))</f>
        <v/>
      </c>
      <c r="S208" s="65" t="str">
        <f>IF(A208="","",Q208+R208)</f>
        <v/>
      </c>
      <c r="T208" s="65" t="str">
        <f>IF(AR208="","",INDEX(fa_htb,AR208)+INDEX(fa_tvab,AR208))</f>
        <v/>
      </c>
      <c r="U208" s="65" t="str">
        <f>IF(A208="","",SUMIF(pa_inv,A208,pa_amt))</f>
        <v/>
      </c>
      <c r="V208" s="65" t="str">
        <f>IF(OR(A208="",AA208="Avoir"),"",-SUMIFS(fa_ttc,fa_avof,A208,fa_type,"Avoir"))</f>
        <v/>
      </c>
      <c r="W208" s="65" t="str">
        <f>IF(OR(A208="",AA208="Avoir"),"",ROUND(S208-U208-V208,2))</f>
        <v/>
      </c>
      <c r="X208" s="66" t="str">
        <f>IF(W208="","",IF(AND(W208&gt;0,p_asof&gt;P208),p_asof-P208,""))</f>
        <v/>
      </c>
      <c r="Y208" s="59" t="str">
        <f>IF(A208="","",IF(AA208="Avoir","Avoir",IF(W208&lt;0,"Trop-perçu",IF(W208=0,"Soldée",IF(p_asof&gt;P208,"En retard",IF(U208+V208&gt;0,"Partielle","À échoir"))))))</f>
        <v/>
      </c>
      <c r="Z208" s="59" t="str">
        <f>IF(NOT(COUNTA(B208:D208,F208:O208)&gt;0),"",IF(C208="","Date manquante",IF(NOT(ISNUMBER(C208)),"Date invalide",IF(D208="","Client manquant",IF(ISNA(MATCH(D208,cli_code,0)),"Client inconnu",IF(AC208&lt;SUMPRODUCT(MAX(($AB$6:AB207=AB208)*$AC$6:AC207)),"Date antérieure à la facture précédente",IF(AND(F208&lt;&gt;"",ISNA(MATCH(F208,dv_num,0))),"Devis inconnu",IF(AND(F208&lt;&gt;"",IFERROR(INDEX(dv_client,MATCH(F208,dv_num,0)),D208)&lt;&gt;D208),"Client différent de celui du devis",IF(AG208="","Aucune ligne : saisissez des lignes ou un devis",IF(AND(AI208&lt;&gt;"",COUNTIF($AI$6:AI208,AI208)&gt;1),"Devis déjà repris par une autre facture",IF(AND(AA208="Avoir",M208=""),"Avoir : indiquez la facture d'origine",IF(AND(AA208="Avoir",ISNA(MATCH(M208,fa_num,0))),"Facture d'origine inconnue",IF(AND(AA208&lt;&gt;"Avoir",M208&lt;&gt;""),"« Avoir sur facture » : réservé aux avoirs",IF(AND(L208&lt;&gt;"",AA208&lt;&gt;"Facture"),"Acompte à déduire : réservé aux factures",IF(AND(L208&lt;&gt;"",ISNA(MATCH(L208,fa_num,0))),"Facture d'acompte inconnue",IF(AND(L208&lt;&gt;"",IFERROR(INDEX(fa_type,MATCH(L208,fa_num,0)),"")&lt;&gt;"Facture d'acompte"),"Le n° à déduire n'est pas une facture d'acompte",IF(AND(L208&lt;&gt;"",COUNTIF($L$6:L208,L208)&gt;1),"Acompte déjà déduit sur une autre facture",IF(AND(L208&lt;&gt;"",IFERROR(INDEX(fa_client,MATCH(L208,fa_num,0)),D208)&lt;&gt;D208),"Acompte d'un autre client",IF(AND(AR208&lt;&gt;"",N(Q208)&lt;0),"Acompte supérieur au total de la facture",IF(IF(AG208="Facture",COUNTIFS(fl_doc,A208,fl_check,"&lt;&gt;OK"),IF(AG208="Devis",COUNTIFS(dl_doc,F208,dl_check,"&lt;&gt;OK"),0))&gt;0,"Ligne(s) à corriger",IF(AND(W208&lt;&gt;"",N(W208)&lt;0),"Trop-perçu : vérifiez paiements et avoirs","OK")))))))))))))))))))))</f>
        <v/>
      </c>
      <c r="AA208" s="62" t="str">
        <f>IF(COUNTA(B208:D208,F208:O208)&gt;0,IF(B208="","Facture",B208),"")</f>
        <v/>
      </c>
      <c r="AB208" s="62" t="str">
        <f>IF(AA208="","",IF(AA208="Avoir",p_pav,IF(AA208="Facture d'acompte",p_pac,p_pfa)))</f>
        <v/>
      </c>
      <c r="AC208" s="62">
        <f>IF(ISNUMBER(C208),C208,0)</f>
        <v>0.0</v>
      </c>
      <c r="AD208" s="62" t="str">
        <f>IF(OR(AA208="",AC208=0),"",YEAR(AC208))</f>
        <v/>
      </c>
      <c r="AE208" s="62" t="str">
        <f>IF(AD208="","",COUNTIFS($AB$6:AB208,AB208,$AD$6:AD208,AD208))</f>
        <v/>
      </c>
      <c r="AF208" s="62">
        <f>IF(A208="",0,COUNTIF(fl_doc,A208))</f>
        <v>0.0</v>
      </c>
      <c r="AG208" s="62" t="str">
        <f>IF(A208="","",IF(AF208&gt;0,"Facture",IF(AND(F208&lt;&gt;"",AA208="Facture",ISNUMBER(MATCH(F208,dv_num,0))),"Devis","")))</f>
        <v/>
      </c>
      <c r="AH208" s="62" t="str">
        <f>IF(AND(A208&lt;&gt;"",F208&lt;&gt;"",AA208&lt;&gt;"Avoir"),F208,"")</f>
        <v/>
      </c>
      <c r="AI208" s="62" t="str">
        <f>IF(AG208="Devis",F208,"")</f>
        <v/>
      </c>
      <c r="AJ208" s="62">
        <f>IF(AG208="Facture",SUMIF(fl_doc,A208,fl_ht),IF(AG208="Devis",SUMIF(dl_doc,F208,dl_ht),0))</f>
        <v>0.0</v>
      </c>
      <c r="AK208" s="62">
        <f>IF(OR(AG208="",INDEX(p_rates,1)=""),0,IF(AG208="Facture",SUMIFS(fl_ht,fl_doc,A208,fl_rate,INDEX(p_rates,1)),SUMIFS(dl_ht,dl_doc,F208,dl_rate,INDEX(p_rates,1))))</f>
        <v>0.0</v>
      </c>
      <c r="AL208" s="62">
        <f>IF(OR(AG208="",INDEX(p_rates,2)=""),0,IF(AG208="Facture",SUMIFS(fl_ht,fl_doc,A208,fl_rate,INDEX(p_rates,2)),SUMIFS(dl_ht,dl_doc,F208,dl_rate,INDEX(p_rates,2))))</f>
        <v>0.0</v>
      </c>
      <c r="AM208" s="62">
        <f>IF(OR(AG208="",INDEX(p_rates,3)=""),0,IF(AG208="Facture",SUMIFS(fl_ht,fl_doc,A208,fl_rate,INDEX(p_rates,3)),SUMIFS(dl_ht,dl_doc,F208,dl_rate,INDEX(p_rates,3))))</f>
        <v>0.0</v>
      </c>
      <c r="AN208" s="62">
        <f>IF(OR(AG208="",INDEX(p_rates,4)=""),0,IF(AG208="Facture",SUMIFS(fl_ht,fl_doc,A208,fl_rate,INDEX(p_rates,4)),SUMIFS(dl_ht,dl_doc,F208,dl_rate,INDEX(p_rates,4))))</f>
        <v>0.0</v>
      </c>
      <c r="AO208" s="62">
        <f>IF(OR(AG208="",INDEX(p_rates,5)=""),0,IF(AG208="Facture",SUMIFS(fl_ht,fl_doc,A208,fl_rate,INDEX(p_rates,5)),SUMIFS(dl_ht,dl_doc,F208,dl_rate,INDEX(p_rates,5))))</f>
        <v>0.0</v>
      </c>
      <c r="AP208" s="62">
        <f>IF(OR(AG208="",INDEX(p_rates,6)=""),0,IF(AG208="Facture",SUMIFS(fl_ht,fl_doc,A208,fl_rate,INDEX(p_rates,6)),SUMIFS(dl_ht,dl_doc,F208,dl_rate,INDEX(p_rates,6))))</f>
        <v>0.0</v>
      </c>
      <c r="AQ208" s="62">
        <f>ROUND(AK208*N(INDEX(p_rates,1)),2)+ROUND(AL208*N(INDEX(p_rates,2)),2)+ROUND(AM208*N(INDEX(p_rates,3)),2)+ROUND(AN208*N(INDEX(p_rates,4)),2)+ROUND(AO208*N(INDEX(p_rates,5)),2)+ROUND(AP208*N(INDEX(p_rates,6)),2)</f>
        <v>0.0</v>
      </c>
      <c r="AR208" s="62" t="str">
        <f>IF(OR(L208="",AA208&lt;&gt;"Facture"),"",IFERROR(IF(INDEX(fa_type,MATCH(L208,fa_num,0))="Facture d'acompte",MATCH(L208,fa_num,0),""),""))</f>
        <v/>
      </c>
      <c r="AS208" s="62" t="str">
        <f>IF(W208="","",IF(W208&lt;=0,"",IF(p_asof-P208&lt;=0,"Non échu",IF(p_asof-P208&lt;=30,"1-30 j",IF(p_asof-P208&lt;=60,"31-60 j",IF(p_asof-P208&lt;=90,"61-90 j","Plus de 90 j"))))))</f>
        <v/>
      </c>
      <c r="AT208" s="62" t="str">
        <f>IF(AS208="","",p_asof-P208)</f>
        <v/>
      </c>
      <c r="AU208" s="62" t="str">
        <f>IF(AT208="","",COUNTIF($AT$6:$AT$805,"&gt;"&amp;AT208)+COUNTIF($AT$6:AT208,AT208))</f>
        <v/>
      </c>
    </row>
    <row r="209">
      <c r="A209" s="59" t="str">
        <f>IF(AE209="","",AB209&amp;"-"&amp;AD209&amp;"-"&amp;RIGHT("000"&amp;AE209,4))</f>
        <v/>
      </c>
      <c r="B209" s="60" t="n"/>
      <c r="C209" s="61" t="n"/>
      <c r="D209" s="60" t="n"/>
      <c r="E209" s="62" t="str">
        <f>IF(D209="","",IFERROR(INDEX(cli_name,MATCH(D209,cli_code,0))&amp;"","Client inconnu"))</f>
        <v/>
      </c>
      <c r="F209" s="60" t="n"/>
      <c r="G209" s="63" t="n"/>
      <c r="H209" s="61" t="n"/>
      <c r="I209" s="63" t="n"/>
      <c r="J209" s="60" t="n"/>
      <c r="K209" s="61" t="n"/>
      <c r="L209" s="60" t="n"/>
      <c r="M209" s="60" t="n"/>
      <c r="N209" s="60" t="n"/>
      <c r="O209" s="61" t="n"/>
      <c r="P209" s="64" t="str">
        <f>IF(A209="","",IF(AA209="Avoir",AC209,IF(ISNUMBER(K209),K209,AC209+IF(D209="",N(p_delay),IFERROR(IF(ISNUMBER(INDEX(cli_delay,MATCH(D209,cli_code,0))),INDEX(cli_delay,MATCH(D209,cli_code,0)),N(p_delay)),N(p_delay))))))</f>
        <v/>
      </c>
      <c r="Q209" s="65" t="str">
        <f>IF(A209="","",IF(AA209="Avoir",-1,1)*ROUND(AJ209-IF(AR209="",0,INDEX(fa_htb,AR209)),2))</f>
        <v/>
      </c>
      <c r="R209" s="65" t="str">
        <f>IF(A209="","",IF(AA209="Avoir",-1,1)*ROUND(AQ209-IF(AR209="",0,INDEX(fa_tvab,AR209)),2))</f>
        <v/>
      </c>
      <c r="S209" s="65" t="str">
        <f>IF(A209="","",Q209+R209)</f>
        <v/>
      </c>
      <c r="T209" s="65" t="str">
        <f>IF(AR209="","",INDEX(fa_htb,AR209)+INDEX(fa_tvab,AR209))</f>
        <v/>
      </c>
      <c r="U209" s="65" t="str">
        <f>IF(A209="","",SUMIF(pa_inv,A209,pa_amt))</f>
        <v/>
      </c>
      <c r="V209" s="65" t="str">
        <f>IF(OR(A209="",AA209="Avoir"),"",-SUMIFS(fa_ttc,fa_avof,A209,fa_type,"Avoir"))</f>
        <v/>
      </c>
      <c r="W209" s="65" t="str">
        <f>IF(OR(A209="",AA209="Avoir"),"",ROUND(S209-U209-V209,2))</f>
        <v/>
      </c>
      <c r="X209" s="66" t="str">
        <f>IF(W209="","",IF(AND(W209&gt;0,p_asof&gt;P209),p_asof-P209,""))</f>
        <v/>
      </c>
      <c r="Y209" s="59" t="str">
        <f>IF(A209="","",IF(AA209="Avoir","Avoir",IF(W209&lt;0,"Trop-perçu",IF(W209=0,"Soldée",IF(p_asof&gt;P209,"En retard",IF(U209+V209&gt;0,"Partielle","À échoir"))))))</f>
        <v/>
      </c>
      <c r="Z209" s="59" t="str">
        <f>IF(NOT(COUNTA(B209:D209,F209:O209)&gt;0),"",IF(C209="","Date manquante",IF(NOT(ISNUMBER(C209)),"Date invalide",IF(D209="","Client manquant",IF(ISNA(MATCH(D209,cli_code,0)),"Client inconnu",IF(AC209&lt;SUMPRODUCT(MAX(($AB$6:AB208=AB209)*$AC$6:AC208)),"Date antérieure à la facture précédente",IF(AND(F209&lt;&gt;"",ISNA(MATCH(F209,dv_num,0))),"Devis inconnu",IF(AND(F209&lt;&gt;"",IFERROR(INDEX(dv_client,MATCH(F209,dv_num,0)),D209)&lt;&gt;D209),"Client différent de celui du devis",IF(AG209="","Aucune ligne : saisissez des lignes ou un devis",IF(AND(AI209&lt;&gt;"",COUNTIF($AI$6:AI209,AI209)&gt;1),"Devis déjà repris par une autre facture",IF(AND(AA209="Avoir",M209=""),"Avoir : indiquez la facture d'origine",IF(AND(AA209="Avoir",ISNA(MATCH(M209,fa_num,0))),"Facture d'origine inconnue",IF(AND(AA209&lt;&gt;"Avoir",M209&lt;&gt;""),"« Avoir sur facture » : réservé aux avoirs",IF(AND(L209&lt;&gt;"",AA209&lt;&gt;"Facture"),"Acompte à déduire : réservé aux factures",IF(AND(L209&lt;&gt;"",ISNA(MATCH(L209,fa_num,0))),"Facture d'acompte inconnue",IF(AND(L209&lt;&gt;"",IFERROR(INDEX(fa_type,MATCH(L209,fa_num,0)),"")&lt;&gt;"Facture d'acompte"),"Le n° à déduire n'est pas une facture d'acompte",IF(AND(L209&lt;&gt;"",COUNTIF($L$6:L209,L209)&gt;1),"Acompte déjà déduit sur une autre facture",IF(AND(L209&lt;&gt;"",IFERROR(INDEX(fa_client,MATCH(L209,fa_num,0)),D209)&lt;&gt;D209),"Acompte d'un autre client",IF(AND(AR209&lt;&gt;"",N(Q209)&lt;0),"Acompte supérieur au total de la facture",IF(IF(AG209="Facture",COUNTIFS(fl_doc,A209,fl_check,"&lt;&gt;OK"),IF(AG209="Devis",COUNTIFS(dl_doc,F209,dl_check,"&lt;&gt;OK"),0))&gt;0,"Ligne(s) à corriger",IF(AND(W209&lt;&gt;"",N(W209)&lt;0),"Trop-perçu : vérifiez paiements et avoirs","OK")))))))))))))))))))))</f>
        <v/>
      </c>
      <c r="AA209" s="62" t="str">
        <f>IF(COUNTA(B209:D209,F209:O209)&gt;0,IF(B209="","Facture",B209),"")</f>
        <v/>
      </c>
      <c r="AB209" s="62" t="str">
        <f>IF(AA209="","",IF(AA209="Avoir",p_pav,IF(AA209="Facture d'acompte",p_pac,p_pfa)))</f>
        <v/>
      </c>
      <c r="AC209" s="62">
        <f>IF(ISNUMBER(C209),C209,0)</f>
        <v>0.0</v>
      </c>
      <c r="AD209" s="62" t="str">
        <f>IF(OR(AA209="",AC209=0),"",YEAR(AC209))</f>
        <v/>
      </c>
      <c r="AE209" s="62" t="str">
        <f>IF(AD209="","",COUNTIFS($AB$6:AB209,AB209,$AD$6:AD209,AD209))</f>
        <v/>
      </c>
      <c r="AF209" s="62">
        <f>IF(A209="",0,COUNTIF(fl_doc,A209))</f>
        <v>0.0</v>
      </c>
      <c r="AG209" s="62" t="str">
        <f>IF(A209="","",IF(AF209&gt;0,"Facture",IF(AND(F209&lt;&gt;"",AA209="Facture",ISNUMBER(MATCH(F209,dv_num,0))),"Devis","")))</f>
        <v/>
      </c>
      <c r="AH209" s="62" t="str">
        <f>IF(AND(A209&lt;&gt;"",F209&lt;&gt;"",AA209&lt;&gt;"Avoir"),F209,"")</f>
        <v/>
      </c>
      <c r="AI209" s="62" t="str">
        <f>IF(AG209="Devis",F209,"")</f>
        <v/>
      </c>
      <c r="AJ209" s="62">
        <f>IF(AG209="Facture",SUMIF(fl_doc,A209,fl_ht),IF(AG209="Devis",SUMIF(dl_doc,F209,dl_ht),0))</f>
        <v>0.0</v>
      </c>
      <c r="AK209" s="62">
        <f>IF(OR(AG209="",INDEX(p_rates,1)=""),0,IF(AG209="Facture",SUMIFS(fl_ht,fl_doc,A209,fl_rate,INDEX(p_rates,1)),SUMIFS(dl_ht,dl_doc,F209,dl_rate,INDEX(p_rates,1))))</f>
        <v>0.0</v>
      </c>
      <c r="AL209" s="62">
        <f>IF(OR(AG209="",INDEX(p_rates,2)=""),0,IF(AG209="Facture",SUMIFS(fl_ht,fl_doc,A209,fl_rate,INDEX(p_rates,2)),SUMIFS(dl_ht,dl_doc,F209,dl_rate,INDEX(p_rates,2))))</f>
        <v>0.0</v>
      </c>
      <c r="AM209" s="62">
        <f>IF(OR(AG209="",INDEX(p_rates,3)=""),0,IF(AG209="Facture",SUMIFS(fl_ht,fl_doc,A209,fl_rate,INDEX(p_rates,3)),SUMIFS(dl_ht,dl_doc,F209,dl_rate,INDEX(p_rates,3))))</f>
        <v>0.0</v>
      </c>
      <c r="AN209" s="62">
        <f>IF(OR(AG209="",INDEX(p_rates,4)=""),0,IF(AG209="Facture",SUMIFS(fl_ht,fl_doc,A209,fl_rate,INDEX(p_rates,4)),SUMIFS(dl_ht,dl_doc,F209,dl_rate,INDEX(p_rates,4))))</f>
        <v>0.0</v>
      </c>
      <c r="AO209" s="62">
        <f>IF(OR(AG209="",INDEX(p_rates,5)=""),0,IF(AG209="Facture",SUMIFS(fl_ht,fl_doc,A209,fl_rate,INDEX(p_rates,5)),SUMIFS(dl_ht,dl_doc,F209,dl_rate,INDEX(p_rates,5))))</f>
        <v>0.0</v>
      </c>
      <c r="AP209" s="62">
        <f>IF(OR(AG209="",INDEX(p_rates,6)=""),0,IF(AG209="Facture",SUMIFS(fl_ht,fl_doc,A209,fl_rate,INDEX(p_rates,6)),SUMIFS(dl_ht,dl_doc,F209,dl_rate,INDEX(p_rates,6))))</f>
        <v>0.0</v>
      </c>
      <c r="AQ209" s="62">
        <f>ROUND(AK209*N(INDEX(p_rates,1)),2)+ROUND(AL209*N(INDEX(p_rates,2)),2)+ROUND(AM209*N(INDEX(p_rates,3)),2)+ROUND(AN209*N(INDEX(p_rates,4)),2)+ROUND(AO209*N(INDEX(p_rates,5)),2)+ROUND(AP209*N(INDEX(p_rates,6)),2)</f>
        <v>0.0</v>
      </c>
      <c r="AR209" s="62" t="str">
        <f>IF(OR(L209="",AA209&lt;&gt;"Facture"),"",IFERROR(IF(INDEX(fa_type,MATCH(L209,fa_num,0))="Facture d'acompte",MATCH(L209,fa_num,0),""),""))</f>
        <v/>
      </c>
      <c r="AS209" s="62" t="str">
        <f>IF(W209="","",IF(W209&lt;=0,"",IF(p_asof-P209&lt;=0,"Non échu",IF(p_asof-P209&lt;=30,"1-30 j",IF(p_asof-P209&lt;=60,"31-60 j",IF(p_asof-P209&lt;=90,"61-90 j","Plus de 90 j"))))))</f>
        <v/>
      </c>
      <c r="AT209" s="62" t="str">
        <f>IF(AS209="","",p_asof-P209)</f>
        <v/>
      </c>
      <c r="AU209" s="62" t="str">
        <f>IF(AT209="","",COUNTIF($AT$6:$AT$805,"&gt;"&amp;AT209)+COUNTIF($AT$6:AT209,AT209))</f>
        <v/>
      </c>
    </row>
    <row r="210">
      <c r="A210" s="59" t="str">
        <f>IF(AE210="","",AB210&amp;"-"&amp;AD210&amp;"-"&amp;RIGHT("000"&amp;AE210,4))</f>
        <v/>
      </c>
      <c r="B210" s="60" t="n"/>
      <c r="C210" s="61" t="n"/>
      <c r="D210" s="60" t="n"/>
      <c r="E210" s="62" t="str">
        <f>IF(D210="","",IFERROR(INDEX(cli_name,MATCH(D210,cli_code,0))&amp;"","Client inconnu"))</f>
        <v/>
      </c>
      <c r="F210" s="60" t="n"/>
      <c r="G210" s="63" t="n"/>
      <c r="H210" s="61" t="n"/>
      <c r="I210" s="63" t="n"/>
      <c r="J210" s="60" t="n"/>
      <c r="K210" s="61" t="n"/>
      <c r="L210" s="60" t="n"/>
      <c r="M210" s="60" t="n"/>
      <c r="N210" s="60" t="n"/>
      <c r="O210" s="61" t="n"/>
      <c r="P210" s="64" t="str">
        <f>IF(A210="","",IF(AA210="Avoir",AC210,IF(ISNUMBER(K210),K210,AC210+IF(D210="",N(p_delay),IFERROR(IF(ISNUMBER(INDEX(cli_delay,MATCH(D210,cli_code,0))),INDEX(cli_delay,MATCH(D210,cli_code,0)),N(p_delay)),N(p_delay))))))</f>
        <v/>
      </c>
      <c r="Q210" s="65" t="str">
        <f>IF(A210="","",IF(AA210="Avoir",-1,1)*ROUND(AJ210-IF(AR210="",0,INDEX(fa_htb,AR210)),2))</f>
        <v/>
      </c>
      <c r="R210" s="65" t="str">
        <f>IF(A210="","",IF(AA210="Avoir",-1,1)*ROUND(AQ210-IF(AR210="",0,INDEX(fa_tvab,AR210)),2))</f>
        <v/>
      </c>
      <c r="S210" s="65" t="str">
        <f>IF(A210="","",Q210+R210)</f>
        <v/>
      </c>
      <c r="T210" s="65" t="str">
        <f>IF(AR210="","",INDEX(fa_htb,AR210)+INDEX(fa_tvab,AR210))</f>
        <v/>
      </c>
      <c r="U210" s="65" t="str">
        <f>IF(A210="","",SUMIF(pa_inv,A210,pa_amt))</f>
        <v/>
      </c>
      <c r="V210" s="65" t="str">
        <f>IF(OR(A210="",AA210="Avoir"),"",-SUMIFS(fa_ttc,fa_avof,A210,fa_type,"Avoir"))</f>
        <v/>
      </c>
      <c r="W210" s="65" t="str">
        <f>IF(OR(A210="",AA210="Avoir"),"",ROUND(S210-U210-V210,2))</f>
        <v/>
      </c>
      <c r="X210" s="66" t="str">
        <f>IF(W210="","",IF(AND(W210&gt;0,p_asof&gt;P210),p_asof-P210,""))</f>
        <v/>
      </c>
      <c r="Y210" s="59" t="str">
        <f>IF(A210="","",IF(AA210="Avoir","Avoir",IF(W210&lt;0,"Trop-perçu",IF(W210=0,"Soldée",IF(p_asof&gt;P210,"En retard",IF(U210+V210&gt;0,"Partielle","À échoir"))))))</f>
        <v/>
      </c>
      <c r="Z210" s="59" t="str">
        <f>IF(NOT(COUNTA(B210:D210,F210:O210)&gt;0),"",IF(C210="","Date manquante",IF(NOT(ISNUMBER(C210)),"Date invalide",IF(D210="","Client manquant",IF(ISNA(MATCH(D210,cli_code,0)),"Client inconnu",IF(AC210&lt;SUMPRODUCT(MAX(($AB$6:AB209=AB210)*$AC$6:AC209)),"Date antérieure à la facture précédente",IF(AND(F210&lt;&gt;"",ISNA(MATCH(F210,dv_num,0))),"Devis inconnu",IF(AND(F210&lt;&gt;"",IFERROR(INDEX(dv_client,MATCH(F210,dv_num,0)),D210)&lt;&gt;D210),"Client différent de celui du devis",IF(AG210="","Aucune ligne : saisissez des lignes ou un devis",IF(AND(AI210&lt;&gt;"",COUNTIF($AI$6:AI210,AI210)&gt;1),"Devis déjà repris par une autre facture",IF(AND(AA210="Avoir",M210=""),"Avoir : indiquez la facture d'origine",IF(AND(AA210="Avoir",ISNA(MATCH(M210,fa_num,0))),"Facture d'origine inconnue",IF(AND(AA210&lt;&gt;"Avoir",M210&lt;&gt;""),"« Avoir sur facture » : réservé aux avoirs",IF(AND(L210&lt;&gt;"",AA210&lt;&gt;"Facture"),"Acompte à déduire : réservé aux factures",IF(AND(L210&lt;&gt;"",ISNA(MATCH(L210,fa_num,0))),"Facture d'acompte inconnue",IF(AND(L210&lt;&gt;"",IFERROR(INDEX(fa_type,MATCH(L210,fa_num,0)),"")&lt;&gt;"Facture d'acompte"),"Le n° à déduire n'est pas une facture d'acompte",IF(AND(L210&lt;&gt;"",COUNTIF($L$6:L210,L210)&gt;1),"Acompte déjà déduit sur une autre facture",IF(AND(L210&lt;&gt;"",IFERROR(INDEX(fa_client,MATCH(L210,fa_num,0)),D210)&lt;&gt;D210),"Acompte d'un autre client",IF(AND(AR210&lt;&gt;"",N(Q210)&lt;0),"Acompte supérieur au total de la facture",IF(IF(AG210="Facture",COUNTIFS(fl_doc,A210,fl_check,"&lt;&gt;OK"),IF(AG210="Devis",COUNTIFS(dl_doc,F210,dl_check,"&lt;&gt;OK"),0))&gt;0,"Ligne(s) à corriger",IF(AND(W210&lt;&gt;"",N(W210)&lt;0),"Trop-perçu : vérifiez paiements et avoirs","OK")))))))))))))))))))))</f>
        <v/>
      </c>
      <c r="AA210" s="62" t="str">
        <f>IF(COUNTA(B210:D210,F210:O210)&gt;0,IF(B210="","Facture",B210),"")</f>
        <v/>
      </c>
      <c r="AB210" s="62" t="str">
        <f>IF(AA210="","",IF(AA210="Avoir",p_pav,IF(AA210="Facture d'acompte",p_pac,p_pfa)))</f>
        <v/>
      </c>
      <c r="AC210" s="62">
        <f>IF(ISNUMBER(C210),C210,0)</f>
        <v>0.0</v>
      </c>
      <c r="AD210" s="62" t="str">
        <f>IF(OR(AA210="",AC210=0),"",YEAR(AC210))</f>
        <v/>
      </c>
      <c r="AE210" s="62" t="str">
        <f>IF(AD210="","",COUNTIFS($AB$6:AB210,AB210,$AD$6:AD210,AD210))</f>
        <v/>
      </c>
      <c r="AF210" s="62">
        <f>IF(A210="",0,COUNTIF(fl_doc,A210))</f>
        <v>0.0</v>
      </c>
      <c r="AG210" s="62" t="str">
        <f>IF(A210="","",IF(AF210&gt;0,"Facture",IF(AND(F210&lt;&gt;"",AA210="Facture",ISNUMBER(MATCH(F210,dv_num,0))),"Devis","")))</f>
        <v/>
      </c>
      <c r="AH210" s="62" t="str">
        <f>IF(AND(A210&lt;&gt;"",F210&lt;&gt;"",AA210&lt;&gt;"Avoir"),F210,"")</f>
        <v/>
      </c>
      <c r="AI210" s="62" t="str">
        <f>IF(AG210="Devis",F210,"")</f>
        <v/>
      </c>
      <c r="AJ210" s="62">
        <f>IF(AG210="Facture",SUMIF(fl_doc,A210,fl_ht),IF(AG210="Devis",SUMIF(dl_doc,F210,dl_ht),0))</f>
        <v>0.0</v>
      </c>
      <c r="AK210" s="62">
        <f>IF(OR(AG210="",INDEX(p_rates,1)=""),0,IF(AG210="Facture",SUMIFS(fl_ht,fl_doc,A210,fl_rate,INDEX(p_rates,1)),SUMIFS(dl_ht,dl_doc,F210,dl_rate,INDEX(p_rates,1))))</f>
        <v>0.0</v>
      </c>
      <c r="AL210" s="62">
        <f>IF(OR(AG210="",INDEX(p_rates,2)=""),0,IF(AG210="Facture",SUMIFS(fl_ht,fl_doc,A210,fl_rate,INDEX(p_rates,2)),SUMIFS(dl_ht,dl_doc,F210,dl_rate,INDEX(p_rates,2))))</f>
        <v>0.0</v>
      </c>
      <c r="AM210" s="62">
        <f>IF(OR(AG210="",INDEX(p_rates,3)=""),0,IF(AG210="Facture",SUMIFS(fl_ht,fl_doc,A210,fl_rate,INDEX(p_rates,3)),SUMIFS(dl_ht,dl_doc,F210,dl_rate,INDEX(p_rates,3))))</f>
        <v>0.0</v>
      </c>
      <c r="AN210" s="62">
        <f>IF(OR(AG210="",INDEX(p_rates,4)=""),0,IF(AG210="Facture",SUMIFS(fl_ht,fl_doc,A210,fl_rate,INDEX(p_rates,4)),SUMIFS(dl_ht,dl_doc,F210,dl_rate,INDEX(p_rates,4))))</f>
        <v>0.0</v>
      </c>
      <c r="AO210" s="62">
        <f>IF(OR(AG210="",INDEX(p_rates,5)=""),0,IF(AG210="Facture",SUMIFS(fl_ht,fl_doc,A210,fl_rate,INDEX(p_rates,5)),SUMIFS(dl_ht,dl_doc,F210,dl_rate,INDEX(p_rates,5))))</f>
        <v>0.0</v>
      </c>
      <c r="AP210" s="62">
        <f>IF(OR(AG210="",INDEX(p_rates,6)=""),0,IF(AG210="Facture",SUMIFS(fl_ht,fl_doc,A210,fl_rate,INDEX(p_rates,6)),SUMIFS(dl_ht,dl_doc,F210,dl_rate,INDEX(p_rates,6))))</f>
        <v>0.0</v>
      </c>
      <c r="AQ210" s="62">
        <f>ROUND(AK210*N(INDEX(p_rates,1)),2)+ROUND(AL210*N(INDEX(p_rates,2)),2)+ROUND(AM210*N(INDEX(p_rates,3)),2)+ROUND(AN210*N(INDEX(p_rates,4)),2)+ROUND(AO210*N(INDEX(p_rates,5)),2)+ROUND(AP210*N(INDEX(p_rates,6)),2)</f>
        <v>0.0</v>
      </c>
      <c r="AR210" s="62" t="str">
        <f>IF(OR(L210="",AA210&lt;&gt;"Facture"),"",IFERROR(IF(INDEX(fa_type,MATCH(L210,fa_num,0))="Facture d'acompte",MATCH(L210,fa_num,0),""),""))</f>
        <v/>
      </c>
      <c r="AS210" s="62" t="str">
        <f>IF(W210="","",IF(W210&lt;=0,"",IF(p_asof-P210&lt;=0,"Non échu",IF(p_asof-P210&lt;=30,"1-30 j",IF(p_asof-P210&lt;=60,"31-60 j",IF(p_asof-P210&lt;=90,"61-90 j","Plus de 90 j"))))))</f>
        <v/>
      </c>
      <c r="AT210" s="62" t="str">
        <f>IF(AS210="","",p_asof-P210)</f>
        <v/>
      </c>
      <c r="AU210" s="62" t="str">
        <f>IF(AT210="","",COUNTIF($AT$6:$AT$805,"&gt;"&amp;AT210)+COUNTIF($AT$6:AT210,AT210))</f>
        <v/>
      </c>
    </row>
    <row r="211">
      <c r="A211" s="59" t="str">
        <f>IF(AE211="","",AB211&amp;"-"&amp;AD211&amp;"-"&amp;RIGHT("000"&amp;AE211,4))</f>
        <v/>
      </c>
      <c r="B211" s="60" t="n"/>
      <c r="C211" s="61" t="n"/>
      <c r="D211" s="60" t="n"/>
      <c r="E211" s="62" t="str">
        <f>IF(D211="","",IFERROR(INDEX(cli_name,MATCH(D211,cli_code,0))&amp;"","Client inconnu"))</f>
        <v/>
      </c>
      <c r="F211" s="60" t="n"/>
      <c r="G211" s="63" t="n"/>
      <c r="H211" s="61" t="n"/>
      <c r="I211" s="63" t="n"/>
      <c r="J211" s="60" t="n"/>
      <c r="K211" s="61" t="n"/>
      <c r="L211" s="60" t="n"/>
      <c r="M211" s="60" t="n"/>
      <c r="N211" s="60" t="n"/>
      <c r="O211" s="61" t="n"/>
      <c r="P211" s="64" t="str">
        <f>IF(A211="","",IF(AA211="Avoir",AC211,IF(ISNUMBER(K211),K211,AC211+IF(D211="",N(p_delay),IFERROR(IF(ISNUMBER(INDEX(cli_delay,MATCH(D211,cli_code,0))),INDEX(cli_delay,MATCH(D211,cli_code,0)),N(p_delay)),N(p_delay))))))</f>
        <v/>
      </c>
      <c r="Q211" s="65" t="str">
        <f>IF(A211="","",IF(AA211="Avoir",-1,1)*ROUND(AJ211-IF(AR211="",0,INDEX(fa_htb,AR211)),2))</f>
        <v/>
      </c>
      <c r="R211" s="65" t="str">
        <f>IF(A211="","",IF(AA211="Avoir",-1,1)*ROUND(AQ211-IF(AR211="",0,INDEX(fa_tvab,AR211)),2))</f>
        <v/>
      </c>
      <c r="S211" s="65" t="str">
        <f>IF(A211="","",Q211+R211)</f>
        <v/>
      </c>
      <c r="T211" s="65" t="str">
        <f>IF(AR211="","",INDEX(fa_htb,AR211)+INDEX(fa_tvab,AR211))</f>
        <v/>
      </c>
      <c r="U211" s="65" t="str">
        <f>IF(A211="","",SUMIF(pa_inv,A211,pa_amt))</f>
        <v/>
      </c>
      <c r="V211" s="65" t="str">
        <f>IF(OR(A211="",AA211="Avoir"),"",-SUMIFS(fa_ttc,fa_avof,A211,fa_type,"Avoir"))</f>
        <v/>
      </c>
      <c r="W211" s="65" t="str">
        <f>IF(OR(A211="",AA211="Avoir"),"",ROUND(S211-U211-V211,2))</f>
        <v/>
      </c>
      <c r="X211" s="66" t="str">
        <f>IF(W211="","",IF(AND(W211&gt;0,p_asof&gt;P211),p_asof-P211,""))</f>
        <v/>
      </c>
      <c r="Y211" s="59" t="str">
        <f>IF(A211="","",IF(AA211="Avoir","Avoir",IF(W211&lt;0,"Trop-perçu",IF(W211=0,"Soldée",IF(p_asof&gt;P211,"En retard",IF(U211+V211&gt;0,"Partielle","À échoir"))))))</f>
        <v/>
      </c>
      <c r="Z211" s="59" t="str">
        <f>IF(NOT(COUNTA(B211:D211,F211:O211)&gt;0),"",IF(C211="","Date manquante",IF(NOT(ISNUMBER(C211)),"Date invalide",IF(D211="","Client manquant",IF(ISNA(MATCH(D211,cli_code,0)),"Client inconnu",IF(AC211&lt;SUMPRODUCT(MAX(($AB$6:AB210=AB211)*$AC$6:AC210)),"Date antérieure à la facture précédente",IF(AND(F211&lt;&gt;"",ISNA(MATCH(F211,dv_num,0))),"Devis inconnu",IF(AND(F211&lt;&gt;"",IFERROR(INDEX(dv_client,MATCH(F211,dv_num,0)),D211)&lt;&gt;D211),"Client différent de celui du devis",IF(AG211="","Aucune ligne : saisissez des lignes ou un devis",IF(AND(AI211&lt;&gt;"",COUNTIF($AI$6:AI211,AI211)&gt;1),"Devis déjà repris par une autre facture",IF(AND(AA211="Avoir",M211=""),"Avoir : indiquez la facture d'origine",IF(AND(AA211="Avoir",ISNA(MATCH(M211,fa_num,0))),"Facture d'origine inconnue",IF(AND(AA211&lt;&gt;"Avoir",M211&lt;&gt;""),"« Avoir sur facture » : réservé aux avoirs",IF(AND(L211&lt;&gt;"",AA211&lt;&gt;"Facture"),"Acompte à déduire : réservé aux factures",IF(AND(L211&lt;&gt;"",ISNA(MATCH(L211,fa_num,0))),"Facture d'acompte inconnue",IF(AND(L211&lt;&gt;"",IFERROR(INDEX(fa_type,MATCH(L211,fa_num,0)),"")&lt;&gt;"Facture d'acompte"),"Le n° à déduire n'est pas une facture d'acompte",IF(AND(L211&lt;&gt;"",COUNTIF($L$6:L211,L211)&gt;1),"Acompte déjà déduit sur une autre facture",IF(AND(L211&lt;&gt;"",IFERROR(INDEX(fa_client,MATCH(L211,fa_num,0)),D211)&lt;&gt;D211),"Acompte d'un autre client",IF(AND(AR211&lt;&gt;"",N(Q211)&lt;0),"Acompte supérieur au total de la facture",IF(IF(AG211="Facture",COUNTIFS(fl_doc,A211,fl_check,"&lt;&gt;OK"),IF(AG211="Devis",COUNTIFS(dl_doc,F211,dl_check,"&lt;&gt;OK"),0))&gt;0,"Ligne(s) à corriger",IF(AND(W211&lt;&gt;"",N(W211)&lt;0),"Trop-perçu : vérifiez paiements et avoirs","OK")))))))))))))))))))))</f>
        <v/>
      </c>
      <c r="AA211" s="62" t="str">
        <f>IF(COUNTA(B211:D211,F211:O211)&gt;0,IF(B211="","Facture",B211),"")</f>
        <v/>
      </c>
      <c r="AB211" s="62" t="str">
        <f>IF(AA211="","",IF(AA211="Avoir",p_pav,IF(AA211="Facture d'acompte",p_pac,p_pfa)))</f>
        <v/>
      </c>
      <c r="AC211" s="62">
        <f>IF(ISNUMBER(C211),C211,0)</f>
        <v>0.0</v>
      </c>
      <c r="AD211" s="62" t="str">
        <f>IF(OR(AA211="",AC211=0),"",YEAR(AC211))</f>
        <v/>
      </c>
      <c r="AE211" s="62" t="str">
        <f>IF(AD211="","",COUNTIFS($AB$6:AB211,AB211,$AD$6:AD211,AD211))</f>
        <v/>
      </c>
      <c r="AF211" s="62">
        <f>IF(A211="",0,COUNTIF(fl_doc,A211))</f>
        <v>0.0</v>
      </c>
      <c r="AG211" s="62" t="str">
        <f>IF(A211="","",IF(AF211&gt;0,"Facture",IF(AND(F211&lt;&gt;"",AA211="Facture",ISNUMBER(MATCH(F211,dv_num,0))),"Devis","")))</f>
        <v/>
      </c>
      <c r="AH211" s="62" t="str">
        <f>IF(AND(A211&lt;&gt;"",F211&lt;&gt;"",AA211&lt;&gt;"Avoir"),F211,"")</f>
        <v/>
      </c>
      <c r="AI211" s="62" t="str">
        <f>IF(AG211="Devis",F211,"")</f>
        <v/>
      </c>
      <c r="AJ211" s="62">
        <f>IF(AG211="Facture",SUMIF(fl_doc,A211,fl_ht),IF(AG211="Devis",SUMIF(dl_doc,F211,dl_ht),0))</f>
        <v>0.0</v>
      </c>
      <c r="AK211" s="62">
        <f>IF(OR(AG211="",INDEX(p_rates,1)=""),0,IF(AG211="Facture",SUMIFS(fl_ht,fl_doc,A211,fl_rate,INDEX(p_rates,1)),SUMIFS(dl_ht,dl_doc,F211,dl_rate,INDEX(p_rates,1))))</f>
        <v>0.0</v>
      </c>
      <c r="AL211" s="62">
        <f>IF(OR(AG211="",INDEX(p_rates,2)=""),0,IF(AG211="Facture",SUMIFS(fl_ht,fl_doc,A211,fl_rate,INDEX(p_rates,2)),SUMIFS(dl_ht,dl_doc,F211,dl_rate,INDEX(p_rates,2))))</f>
        <v>0.0</v>
      </c>
      <c r="AM211" s="62">
        <f>IF(OR(AG211="",INDEX(p_rates,3)=""),0,IF(AG211="Facture",SUMIFS(fl_ht,fl_doc,A211,fl_rate,INDEX(p_rates,3)),SUMIFS(dl_ht,dl_doc,F211,dl_rate,INDEX(p_rates,3))))</f>
        <v>0.0</v>
      </c>
      <c r="AN211" s="62">
        <f>IF(OR(AG211="",INDEX(p_rates,4)=""),0,IF(AG211="Facture",SUMIFS(fl_ht,fl_doc,A211,fl_rate,INDEX(p_rates,4)),SUMIFS(dl_ht,dl_doc,F211,dl_rate,INDEX(p_rates,4))))</f>
        <v>0.0</v>
      </c>
      <c r="AO211" s="62">
        <f>IF(OR(AG211="",INDEX(p_rates,5)=""),0,IF(AG211="Facture",SUMIFS(fl_ht,fl_doc,A211,fl_rate,INDEX(p_rates,5)),SUMIFS(dl_ht,dl_doc,F211,dl_rate,INDEX(p_rates,5))))</f>
        <v>0.0</v>
      </c>
      <c r="AP211" s="62">
        <f>IF(OR(AG211="",INDEX(p_rates,6)=""),0,IF(AG211="Facture",SUMIFS(fl_ht,fl_doc,A211,fl_rate,INDEX(p_rates,6)),SUMIFS(dl_ht,dl_doc,F211,dl_rate,INDEX(p_rates,6))))</f>
        <v>0.0</v>
      </c>
      <c r="AQ211" s="62">
        <f>ROUND(AK211*N(INDEX(p_rates,1)),2)+ROUND(AL211*N(INDEX(p_rates,2)),2)+ROUND(AM211*N(INDEX(p_rates,3)),2)+ROUND(AN211*N(INDEX(p_rates,4)),2)+ROUND(AO211*N(INDEX(p_rates,5)),2)+ROUND(AP211*N(INDEX(p_rates,6)),2)</f>
        <v>0.0</v>
      </c>
      <c r="AR211" s="62" t="str">
        <f>IF(OR(L211="",AA211&lt;&gt;"Facture"),"",IFERROR(IF(INDEX(fa_type,MATCH(L211,fa_num,0))="Facture d'acompte",MATCH(L211,fa_num,0),""),""))</f>
        <v/>
      </c>
      <c r="AS211" s="62" t="str">
        <f>IF(W211="","",IF(W211&lt;=0,"",IF(p_asof-P211&lt;=0,"Non échu",IF(p_asof-P211&lt;=30,"1-30 j",IF(p_asof-P211&lt;=60,"31-60 j",IF(p_asof-P211&lt;=90,"61-90 j","Plus de 90 j"))))))</f>
        <v/>
      </c>
      <c r="AT211" s="62" t="str">
        <f>IF(AS211="","",p_asof-P211)</f>
        <v/>
      </c>
      <c r="AU211" s="62" t="str">
        <f>IF(AT211="","",COUNTIF($AT$6:$AT$805,"&gt;"&amp;AT211)+COUNTIF($AT$6:AT211,AT211))</f>
        <v/>
      </c>
    </row>
    <row r="212">
      <c r="A212" s="59" t="str">
        <f>IF(AE212="","",AB212&amp;"-"&amp;AD212&amp;"-"&amp;RIGHT("000"&amp;AE212,4))</f>
        <v/>
      </c>
      <c r="B212" s="60" t="n"/>
      <c r="C212" s="61" t="n"/>
      <c r="D212" s="60" t="n"/>
      <c r="E212" s="62" t="str">
        <f>IF(D212="","",IFERROR(INDEX(cli_name,MATCH(D212,cli_code,0))&amp;"","Client inconnu"))</f>
        <v/>
      </c>
      <c r="F212" s="60" t="n"/>
      <c r="G212" s="63" t="n"/>
      <c r="H212" s="61" t="n"/>
      <c r="I212" s="63" t="n"/>
      <c r="J212" s="60" t="n"/>
      <c r="K212" s="61" t="n"/>
      <c r="L212" s="60" t="n"/>
      <c r="M212" s="60" t="n"/>
      <c r="N212" s="60" t="n"/>
      <c r="O212" s="61" t="n"/>
      <c r="P212" s="64" t="str">
        <f>IF(A212="","",IF(AA212="Avoir",AC212,IF(ISNUMBER(K212),K212,AC212+IF(D212="",N(p_delay),IFERROR(IF(ISNUMBER(INDEX(cli_delay,MATCH(D212,cli_code,0))),INDEX(cli_delay,MATCH(D212,cli_code,0)),N(p_delay)),N(p_delay))))))</f>
        <v/>
      </c>
      <c r="Q212" s="65" t="str">
        <f>IF(A212="","",IF(AA212="Avoir",-1,1)*ROUND(AJ212-IF(AR212="",0,INDEX(fa_htb,AR212)),2))</f>
        <v/>
      </c>
      <c r="R212" s="65" t="str">
        <f>IF(A212="","",IF(AA212="Avoir",-1,1)*ROUND(AQ212-IF(AR212="",0,INDEX(fa_tvab,AR212)),2))</f>
        <v/>
      </c>
      <c r="S212" s="65" t="str">
        <f>IF(A212="","",Q212+R212)</f>
        <v/>
      </c>
      <c r="T212" s="65" t="str">
        <f>IF(AR212="","",INDEX(fa_htb,AR212)+INDEX(fa_tvab,AR212))</f>
        <v/>
      </c>
      <c r="U212" s="65" t="str">
        <f>IF(A212="","",SUMIF(pa_inv,A212,pa_amt))</f>
        <v/>
      </c>
      <c r="V212" s="65" t="str">
        <f>IF(OR(A212="",AA212="Avoir"),"",-SUMIFS(fa_ttc,fa_avof,A212,fa_type,"Avoir"))</f>
        <v/>
      </c>
      <c r="W212" s="65" t="str">
        <f>IF(OR(A212="",AA212="Avoir"),"",ROUND(S212-U212-V212,2))</f>
        <v/>
      </c>
      <c r="X212" s="66" t="str">
        <f>IF(W212="","",IF(AND(W212&gt;0,p_asof&gt;P212),p_asof-P212,""))</f>
        <v/>
      </c>
      <c r="Y212" s="59" t="str">
        <f>IF(A212="","",IF(AA212="Avoir","Avoir",IF(W212&lt;0,"Trop-perçu",IF(W212=0,"Soldée",IF(p_asof&gt;P212,"En retard",IF(U212+V212&gt;0,"Partielle","À échoir"))))))</f>
        <v/>
      </c>
      <c r="Z212" s="59" t="str">
        <f>IF(NOT(COUNTA(B212:D212,F212:O212)&gt;0),"",IF(C212="","Date manquante",IF(NOT(ISNUMBER(C212)),"Date invalide",IF(D212="","Client manquant",IF(ISNA(MATCH(D212,cli_code,0)),"Client inconnu",IF(AC212&lt;SUMPRODUCT(MAX(($AB$6:AB211=AB212)*$AC$6:AC211)),"Date antérieure à la facture précédente",IF(AND(F212&lt;&gt;"",ISNA(MATCH(F212,dv_num,0))),"Devis inconnu",IF(AND(F212&lt;&gt;"",IFERROR(INDEX(dv_client,MATCH(F212,dv_num,0)),D212)&lt;&gt;D212),"Client différent de celui du devis",IF(AG212="","Aucune ligne : saisissez des lignes ou un devis",IF(AND(AI212&lt;&gt;"",COUNTIF($AI$6:AI212,AI212)&gt;1),"Devis déjà repris par une autre facture",IF(AND(AA212="Avoir",M212=""),"Avoir : indiquez la facture d'origine",IF(AND(AA212="Avoir",ISNA(MATCH(M212,fa_num,0))),"Facture d'origine inconnue",IF(AND(AA212&lt;&gt;"Avoir",M212&lt;&gt;""),"« Avoir sur facture » : réservé aux avoirs",IF(AND(L212&lt;&gt;"",AA212&lt;&gt;"Facture"),"Acompte à déduire : réservé aux factures",IF(AND(L212&lt;&gt;"",ISNA(MATCH(L212,fa_num,0))),"Facture d'acompte inconnue",IF(AND(L212&lt;&gt;"",IFERROR(INDEX(fa_type,MATCH(L212,fa_num,0)),"")&lt;&gt;"Facture d'acompte"),"Le n° à déduire n'est pas une facture d'acompte",IF(AND(L212&lt;&gt;"",COUNTIF($L$6:L212,L212)&gt;1),"Acompte déjà déduit sur une autre facture",IF(AND(L212&lt;&gt;"",IFERROR(INDEX(fa_client,MATCH(L212,fa_num,0)),D212)&lt;&gt;D212),"Acompte d'un autre client",IF(AND(AR212&lt;&gt;"",N(Q212)&lt;0),"Acompte supérieur au total de la facture",IF(IF(AG212="Facture",COUNTIFS(fl_doc,A212,fl_check,"&lt;&gt;OK"),IF(AG212="Devis",COUNTIFS(dl_doc,F212,dl_check,"&lt;&gt;OK"),0))&gt;0,"Ligne(s) à corriger",IF(AND(W212&lt;&gt;"",N(W212)&lt;0),"Trop-perçu : vérifiez paiements et avoirs","OK")))))))))))))))))))))</f>
        <v/>
      </c>
      <c r="AA212" s="62" t="str">
        <f>IF(COUNTA(B212:D212,F212:O212)&gt;0,IF(B212="","Facture",B212),"")</f>
        <v/>
      </c>
      <c r="AB212" s="62" t="str">
        <f>IF(AA212="","",IF(AA212="Avoir",p_pav,IF(AA212="Facture d'acompte",p_pac,p_pfa)))</f>
        <v/>
      </c>
      <c r="AC212" s="62">
        <f>IF(ISNUMBER(C212),C212,0)</f>
        <v>0.0</v>
      </c>
      <c r="AD212" s="62" t="str">
        <f>IF(OR(AA212="",AC212=0),"",YEAR(AC212))</f>
        <v/>
      </c>
      <c r="AE212" s="62" t="str">
        <f>IF(AD212="","",COUNTIFS($AB$6:AB212,AB212,$AD$6:AD212,AD212))</f>
        <v/>
      </c>
      <c r="AF212" s="62">
        <f>IF(A212="",0,COUNTIF(fl_doc,A212))</f>
        <v>0.0</v>
      </c>
      <c r="AG212" s="62" t="str">
        <f>IF(A212="","",IF(AF212&gt;0,"Facture",IF(AND(F212&lt;&gt;"",AA212="Facture",ISNUMBER(MATCH(F212,dv_num,0))),"Devis","")))</f>
        <v/>
      </c>
      <c r="AH212" s="62" t="str">
        <f>IF(AND(A212&lt;&gt;"",F212&lt;&gt;"",AA212&lt;&gt;"Avoir"),F212,"")</f>
        <v/>
      </c>
      <c r="AI212" s="62" t="str">
        <f>IF(AG212="Devis",F212,"")</f>
        <v/>
      </c>
      <c r="AJ212" s="62">
        <f>IF(AG212="Facture",SUMIF(fl_doc,A212,fl_ht),IF(AG212="Devis",SUMIF(dl_doc,F212,dl_ht),0))</f>
        <v>0.0</v>
      </c>
      <c r="AK212" s="62">
        <f>IF(OR(AG212="",INDEX(p_rates,1)=""),0,IF(AG212="Facture",SUMIFS(fl_ht,fl_doc,A212,fl_rate,INDEX(p_rates,1)),SUMIFS(dl_ht,dl_doc,F212,dl_rate,INDEX(p_rates,1))))</f>
        <v>0.0</v>
      </c>
      <c r="AL212" s="62">
        <f>IF(OR(AG212="",INDEX(p_rates,2)=""),0,IF(AG212="Facture",SUMIFS(fl_ht,fl_doc,A212,fl_rate,INDEX(p_rates,2)),SUMIFS(dl_ht,dl_doc,F212,dl_rate,INDEX(p_rates,2))))</f>
        <v>0.0</v>
      </c>
      <c r="AM212" s="62">
        <f>IF(OR(AG212="",INDEX(p_rates,3)=""),0,IF(AG212="Facture",SUMIFS(fl_ht,fl_doc,A212,fl_rate,INDEX(p_rates,3)),SUMIFS(dl_ht,dl_doc,F212,dl_rate,INDEX(p_rates,3))))</f>
        <v>0.0</v>
      </c>
      <c r="AN212" s="62">
        <f>IF(OR(AG212="",INDEX(p_rates,4)=""),0,IF(AG212="Facture",SUMIFS(fl_ht,fl_doc,A212,fl_rate,INDEX(p_rates,4)),SUMIFS(dl_ht,dl_doc,F212,dl_rate,INDEX(p_rates,4))))</f>
        <v>0.0</v>
      </c>
      <c r="AO212" s="62">
        <f>IF(OR(AG212="",INDEX(p_rates,5)=""),0,IF(AG212="Facture",SUMIFS(fl_ht,fl_doc,A212,fl_rate,INDEX(p_rates,5)),SUMIFS(dl_ht,dl_doc,F212,dl_rate,INDEX(p_rates,5))))</f>
        <v>0.0</v>
      </c>
      <c r="AP212" s="62">
        <f>IF(OR(AG212="",INDEX(p_rates,6)=""),0,IF(AG212="Facture",SUMIFS(fl_ht,fl_doc,A212,fl_rate,INDEX(p_rates,6)),SUMIFS(dl_ht,dl_doc,F212,dl_rate,INDEX(p_rates,6))))</f>
        <v>0.0</v>
      </c>
      <c r="AQ212" s="62">
        <f>ROUND(AK212*N(INDEX(p_rates,1)),2)+ROUND(AL212*N(INDEX(p_rates,2)),2)+ROUND(AM212*N(INDEX(p_rates,3)),2)+ROUND(AN212*N(INDEX(p_rates,4)),2)+ROUND(AO212*N(INDEX(p_rates,5)),2)+ROUND(AP212*N(INDEX(p_rates,6)),2)</f>
        <v>0.0</v>
      </c>
      <c r="AR212" s="62" t="str">
        <f>IF(OR(L212="",AA212&lt;&gt;"Facture"),"",IFERROR(IF(INDEX(fa_type,MATCH(L212,fa_num,0))="Facture d'acompte",MATCH(L212,fa_num,0),""),""))</f>
        <v/>
      </c>
      <c r="AS212" s="62" t="str">
        <f>IF(W212="","",IF(W212&lt;=0,"",IF(p_asof-P212&lt;=0,"Non échu",IF(p_asof-P212&lt;=30,"1-30 j",IF(p_asof-P212&lt;=60,"31-60 j",IF(p_asof-P212&lt;=90,"61-90 j","Plus de 90 j"))))))</f>
        <v/>
      </c>
      <c r="AT212" s="62" t="str">
        <f>IF(AS212="","",p_asof-P212)</f>
        <v/>
      </c>
      <c r="AU212" s="62" t="str">
        <f>IF(AT212="","",COUNTIF($AT$6:$AT$805,"&gt;"&amp;AT212)+COUNTIF($AT$6:AT212,AT212))</f>
        <v/>
      </c>
    </row>
    <row r="213">
      <c r="A213" s="59" t="str">
        <f>IF(AE213="","",AB213&amp;"-"&amp;AD213&amp;"-"&amp;RIGHT("000"&amp;AE213,4))</f>
        <v/>
      </c>
      <c r="B213" s="60" t="n"/>
      <c r="C213" s="61" t="n"/>
      <c r="D213" s="60" t="n"/>
      <c r="E213" s="62" t="str">
        <f>IF(D213="","",IFERROR(INDEX(cli_name,MATCH(D213,cli_code,0))&amp;"","Client inconnu"))</f>
        <v/>
      </c>
      <c r="F213" s="60" t="n"/>
      <c r="G213" s="63" t="n"/>
      <c r="H213" s="61" t="n"/>
      <c r="I213" s="63" t="n"/>
      <c r="J213" s="60" t="n"/>
      <c r="K213" s="61" t="n"/>
      <c r="L213" s="60" t="n"/>
      <c r="M213" s="60" t="n"/>
      <c r="N213" s="60" t="n"/>
      <c r="O213" s="61" t="n"/>
      <c r="P213" s="64" t="str">
        <f>IF(A213="","",IF(AA213="Avoir",AC213,IF(ISNUMBER(K213),K213,AC213+IF(D213="",N(p_delay),IFERROR(IF(ISNUMBER(INDEX(cli_delay,MATCH(D213,cli_code,0))),INDEX(cli_delay,MATCH(D213,cli_code,0)),N(p_delay)),N(p_delay))))))</f>
        <v/>
      </c>
      <c r="Q213" s="65" t="str">
        <f>IF(A213="","",IF(AA213="Avoir",-1,1)*ROUND(AJ213-IF(AR213="",0,INDEX(fa_htb,AR213)),2))</f>
        <v/>
      </c>
      <c r="R213" s="65" t="str">
        <f>IF(A213="","",IF(AA213="Avoir",-1,1)*ROUND(AQ213-IF(AR213="",0,INDEX(fa_tvab,AR213)),2))</f>
        <v/>
      </c>
      <c r="S213" s="65" t="str">
        <f>IF(A213="","",Q213+R213)</f>
        <v/>
      </c>
      <c r="T213" s="65" t="str">
        <f>IF(AR213="","",INDEX(fa_htb,AR213)+INDEX(fa_tvab,AR213))</f>
        <v/>
      </c>
      <c r="U213" s="65" t="str">
        <f>IF(A213="","",SUMIF(pa_inv,A213,pa_amt))</f>
        <v/>
      </c>
      <c r="V213" s="65" t="str">
        <f>IF(OR(A213="",AA213="Avoir"),"",-SUMIFS(fa_ttc,fa_avof,A213,fa_type,"Avoir"))</f>
        <v/>
      </c>
      <c r="W213" s="65" t="str">
        <f>IF(OR(A213="",AA213="Avoir"),"",ROUND(S213-U213-V213,2))</f>
        <v/>
      </c>
      <c r="X213" s="66" t="str">
        <f>IF(W213="","",IF(AND(W213&gt;0,p_asof&gt;P213),p_asof-P213,""))</f>
        <v/>
      </c>
      <c r="Y213" s="59" t="str">
        <f>IF(A213="","",IF(AA213="Avoir","Avoir",IF(W213&lt;0,"Trop-perçu",IF(W213=0,"Soldée",IF(p_asof&gt;P213,"En retard",IF(U213+V213&gt;0,"Partielle","À échoir"))))))</f>
        <v/>
      </c>
      <c r="Z213" s="59" t="str">
        <f>IF(NOT(COUNTA(B213:D213,F213:O213)&gt;0),"",IF(C213="","Date manquante",IF(NOT(ISNUMBER(C213)),"Date invalide",IF(D213="","Client manquant",IF(ISNA(MATCH(D213,cli_code,0)),"Client inconnu",IF(AC213&lt;SUMPRODUCT(MAX(($AB$6:AB212=AB213)*$AC$6:AC212)),"Date antérieure à la facture précédente",IF(AND(F213&lt;&gt;"",ISNA(MATCH(F213,dv_num,0))),"Devis inconnu",IF(AND(F213&lt;&gt;"",IFERROR(INDEX(dv_client,MATCH(F213,dv_num,0)),D213)&lt;&gt;D213),"Client différent de celui du devis",IF(AG213="","Aucune ligne : saisissez des lignes ou un devis",IF(AND(AI213&lt;&gt;"",COUNTIF($AI$6:AI213,AI213)&gt;1),"Devis déjà repris par une autre facture",IF(AND(AA213="Avoir",M213=""),"Avoir : indiquez la facture d'origine",IF(AND(AA213="Avoir",ISNA(MATCH(M213,fa_num,0))),"Facture d'origine inconnue",IF(AND(AA213&lt;&gt;"Avoir",M213&lt;&gt;""),"« Avoir sur facture » : réservé aux avoirs",IF(AND(L213&lt;&gt;"",AA213&lt;&gt;"Facture"),"Acompte à déduire : réservé aux factures",IF(AND(L213&lt;&gt;"",ISNA(MATCH(L213,fa_num,0))),"Facture d'acompte inconnue",IF(AND(L213&lt;&gt;"",IFERROR(INDEX(fa_type,MATCH(L213,fa_num,0)),"")&lt;&gt;"Facture d'acompte"),"Le n° à déduire n'est pas une facture d'acompte",IF(AND(L213&lt;&gt;"",COUNTIF($L$6:L213,L213)&gt;1),"Acompte déjà déduit sur une autre facture",IF(AND(L213&lt;&gt;"",IFERROR(INDEX(fa_client,MATCH(L213,fa_num,0)),D213)&lt;&gt;D213),"Acompte d'un autre client",IF(AND(AR213&lt;&gt;"",N(Q213)&lt;0),"Acompte supérieur au total de la facture",IF(IF(AG213="Facture",COUNTIFS(fl_doc,A213,fl_check,"&lt;&gt;OK"),IF(AG213="Devis",COUNTIFS(dl_doc,F213,dl_check,"&lt;&gt;OK"),0))&gt;0,"Ligne(s) à corriger",IF(AND(W213&lt;&gt;"",N(W213)&lt;0),"Trop-perçu : vérifiez paiements et avoirs","OK")))))))))))))))))))))</f>
        <v/>
      </c>
      <c r="AA213" s="62" t="str">
        <f>IF(COUNTA(B213:D213,F213:O213)&gt;0,IF(B213="","Facture",B213),"")</f>
        <v/>
      </c>
      <c r="AB213" s="62" t="str">
        <f>IF(AA213="","",IF(AA213="Avoir",p_pav,IF(AA213="Facture d'acompte",p_pac,p_pfa)))</f>
        <v/>
      </c>
      <c r="AC213" s="62">
        <f>IF(ISNUMBER(C213),C213,0)</f>
        <v>0.0</v>
      </c>
      <c r="AD213" s="62" t="str">
        <f>IF(OR(AA213="",AC213=0),"",YEAR(AC213))</f>
        <v/>
      </c>
      <c r="AE213" s="62" t="str">
        <f>IF(AD213="","",COUNTIFS($AB$6:AB213,AB213,$AD$6:AD213,AD213))</f>
        <v/>
      </c>
      <c r="AF213" s="62">
        <f>IF(A213="",0,COUNTIF(fl_doc,A213))</f>
        <v>0.0</v>
      </c>
      <c r="AG213" s="62" t="str">
        <f>IF(A213="","",IF(AF213&gt;0,"Facture",IF(AND(F213&lt;&gt;"",AA213="Facture",ISNUMBER(MATCH(F213,dv_num,0))),"Devis","")))</f>
        <v/>
      </c>
      <c r="AH213" s="62" t="str">
        <f>IF(AND(A213&lt;&gt;"",F213&lt;&gt;"",AA213&lt;&gt;"Avoir"),F213,"")</f>
        <v/>
      </c>
      <c r="AI213" s="62" t="str">
        <f>IF(AG213="Devis",F213,"")</f>
        <v/>
      </c>
      <c r="AJ213" s="62">
        <f>IF(AG213="Facture",SUMIF(fl_doc,A213,fl_ht),IF(AG213="Devis",SUMIF(dl_doc,F213,dl_ht),0))</f>
        <v>0.0</v>
      </c>
      <c r="AK213" s="62">
        <f>IF(OR(AG213="",INDEX(p_rates,1)=""),0,IF(AG213="Facture",SUMIFS(fl_ht,fl_doc,A213,fl_rate,INDEX(p_rates,1)),SUMIFS(dl_ht,dl_doc,F213,dl_rate,INDEX(p_rates,1))))</f>
        <v>0.0</v>
      </c>
      <c r="AL213" s="62">
        <f>IF(OR(AG213="",INDEX(p_rates,2)=""),0,IF(AG213="Facture",SUMIFS(fl_ht,fl_doc,A213,fl_rate,INDEX(p_rates,2)),SUMIFS(dl_ht,dl_doc,F213,dl_rate,INDEX(p_rates,2))))</f>
        <v>0.0</v>
      </c>
      <c r="AM213" s="62">
        <f>IF(OR(AG213="",INDEX(p_rates,3)=""),0,IF(AG213="Facture",SUMIFS(fl_ht,fl_doc,A213,fl_rate,INDEX(p_rates,3)),SUMIFS(dl_ht,dl_doc,F213,dl_rate,INDEX(p_rates,3))))</f>
        <v>0.0</v>
      </c>
      <c r="AN213" s="62">
        <f>IF(OR(AG213="",INDEX(p_rates,4)=""),0,IF(AG213="Facture",SUMIFS(fl_ht,fl_doc,A213,fl_rate,INDEX(p_rates,4)),SUMIFS(dl_ht,dl_doc,F213,dl_rate,INDEX(p_rates,4))))</f>
        <v>0.0</v>
      </c>
      <c r="AO213" s="62">
        <f>IF(OR(AG213="",INDEX(p_rates,5)=""),0,IF(AG213="Facture",SUMIFS(fl_ht,fl_doc,A213,fl_rate,INDEX(p_rates,5)),SUMIFS(dl_ht,dl_doc,F213,dl_rate,INDEX(p_rates,5))))</f>
        <v>0.0</v>
      </c>
      <c r="AP213" s="62">
        <f>IF(OR(AG213="",INDEX(p_rates,6)=""),0,IF(AG213="Facture",SUMIFS(fl_ht,fl_doc,A213,fl_rate,INDEX(p_rates,6)),SUMIFS(dl_ht,dl_doc,F213,dl_rate,INDEX(p_rates,6))))</f>
        <v>0.0</v>
      </c>
      <c r="AQ213" s="62">
        <f>ROUND(AK213*N(INDEX(p_rates,1)),2)+ROUND(AL213*N(INDEX(p_rates,2)),2)+ROUND(AM213*N(INDEX(p_rates,3)),2)+ROUND(AN213*N(INDEX(p_rates,4)),2)+ROUND(AO213*N(INDEX(p_rates,5)),2)+ROUND(AP213*N(INDEX(p_rates,6)),2)</f>
        <v>0.0</v>
      </c>
      <c r="AR213" s="62" t="str">
        <f>IF(OR(L213="",AA213&lt;&gt;"Facture"),"",IFERROR(IF(INDEX(fa_type,MATCH(L213,fa_num,0))="Facture d'acompte",MATCH(L213,fa_num,0),""),""))</f>
        <v/>
      </c>
      <c r="AS213" s="62" t="str">
        <f>IF(W213="","",IF(W213&lt;=0,"",IF(p_asof-P213&lt;=0,"Non échu",IF(p_asof-P213&lt;=30,"1-30 j",IF(p_asof-P213&lt;=60,"31-60 j",IF(p_asof-P213&lt;=90,"61-90 j","Plus de 90 j"))))))</f>
        <v/>
      </c>
      <c r="AT213" s="62" t="str">
        <f>IF(AS213="","",p_asof-P213)</f>
        <v/>
      </c>
      <c r="AU213" s="62" t="str">
        <f>IF(AT213="","",COUNTIF($AT$6:$AT$805,"&gt;"&amp;AT213)+COUNTIF($AT$6:AT213,AT213))</f>
        <v/>
      </c>
    </row>
    <row r="214">
      <c r="A214" s="59" t="str">
        <f>IF(AE214="","",AB214&amp;"-"&amp;AD214&amp;"-"&amp;RIGHT("000"&amp;AE214,4))</f>
        <v/>
      </c>
      <c r="B214" s="60" t="n"/>
      <c r="C214" s="61" t="n"/>
      <c r="D214" s="60" t="n"/>
      <c r="E214" s="62" t="str">
        <f>IF(D214="","",IFERROR(INDEX(cli_name,MATCH(D214,cli_code,0))&amp;"","Client inconnu"))</f>
        <v/>
      </c>
      <c r="F214" s="60" t="n"/>
      <c r="G214" s="63" t="n"/>
      <c r="H214" s="61" t="n"/>
      <c r="I214" s="63" t="n"/>
      <c r="J214" s="60" t="n"/>
      <c r="K214" s="61" t="n"/>
      <c r="L214" s="60" t="n"/>
      <c r="M214" s="60" t="n"/>
      <c r="N214" s="60" t="n"/>
      <c r="O214" s="61" t="n"/>
      <c r="P214" s="64" t="str">
        <f>IF(A214="","",IF(AA214="Avoir",AC214,IF(ISNUMBER(K214),K214,AC214+IF(D214="",N(p_delay),IFERROR(IF(ISNUMBER(INDEX(cli_delay,MATCH(D214,cli_code,0))),INDEX(cli_delay,MATCH(D214,cli_code,0)),N(p_delay)),N(p_delay))))))</f>
        <v/>
      </c>
      <c r="Q214" s="65" t="str">
        <f>IF(A214="","",IF(AA214="Avoir",-1,1)*ROUND(AJ214-IF(AR214="",0,INDEX(fa_htb,AR214)),2))</f>
        <v/>
      </c>
      <c r="R214" s="65" t="str">
        <f>IF(A214="","",IF(AA214="Avoir",-1,1)*ROUND(AQ214-IF(AR214="",0,INDEX(fa_tvab,AR214)),2))</f>
        <v/>
      </c>
      <c r="S214" s="65" t="str">
        <f>IF(A214="","",Q214+R214)</f>
        <v/>
      </c>
      <c r="T214" s="65" t="str">
        <f>IF(AR214="","",INDEX(fa_htb,AR214)+INDEX(fa_tvab,AR214))</f>
        <v/>
      </c>
      <c r="U214" s="65" t="str">
        <f>IF(A214="","",SUMIF(pa_inv,A214,pa_amt))</f>
        <v/>
      </c>
      <c r="V214" s="65" t="str">
        <f>IF(OR(A214="",AA214="Avoir"),"",-SUMIFS(fa_ttc,fa_avof,A214,fa_type,"Avoir"))</f>
        <v/>
      </c>
      <c r="W214" s="65" t="str">
        <f>IF(OR(A214="",AA214="Avoir"),"",ROUND(S214-U214-V214,2))</f>
        <v/>
      </c>
      <c r="X214" s="66" t="str">
        <f>IF(W214="","",IF(AND(W214&gt;0,p_asof&gt;P214),p_asof-P214,""))</f>
        <v/>
      </c>
      <c r="Y214" s="59" t="str">
        <f>IF(A214="","",IF(AA214="Avoir","Avoir",IF(W214&lt;0,"Trop-perçu",IF(W214=0,"Soldée",IF(p_asof&gt;P214,"En retard",IF(U214+V214&gt;0,"Partielle","À échoir"))))))</f>
        <v/>
      </c>
      <c r="Z214" s="59" t="str">
        <f>IF(NOT(COUNTA(B214:D214,F214:O214)&gt;0),"",IF(C214="","Date manquante",IF(NOT(ISNUMBER(C214)),"Date invalide",IF(D214="","Client manquant",IF(ISNA(MATCH(D214,cli_code,0)),"Client inconnu",IF(AC214&lt;SUMPRODUCT(MAX(($AB$6:AB213=AB214)*$AC$6:AC213)),"Date antérieure à la facture précédente",IF(AND(F214&lt;&gt;"",ISNA(MATCH(F214,dv_num,0))),"Devis inconnu",IF(AND(F214&lt;&gt;"",IFERROR(INDEX(dv_client,MATCH(F214,dv_num,0)),D214)&lt;&gt;D214),"Client différent de celui du devis",IF(AG214="","Aucune ligne : saisissez des lignes ou un devis",IF(AND(AI214&lt;&gt;"",COUNTIF($AI$6:AI214,AI214)&gt;1),"Devis déjà repris par une autre facture",IF(AND(AA214="Avoir",M214=""),"Avoir : indiquez la facture d'origine",IF(AND(AA214="Avoir",ISNA(MATCH(M214,fa_num,0))),"Facture d'origine inconnue",IF(AND(AA214&lt;&gt;"Avoir",M214&lt;&gt;""),"« Avoir sur facture » : réservé aux avoirs",IF(AND(L214&lt;&gt;"",AA214&lt;&gt;"Facture"),"Acompte à déduire : réservé aux factures",IF(AND(L214&lt;&gt;"",ISNA(MATCH(L214,fa_num,0))),"Facture d'acompte inconnue",IF(AND(L214&lt;&gt;"",IFERROR(INDEX(fa_type,MATCH(L214,fa_num,0)),"")&lt;&gt;"Facture d'acompte"),"Le n° à déduire n'est pas une facture d'acompte",IF(AND(L214&lt;&gt;"",COUNTIF($L$6:L214,L214)&gt;1),"Acompte déjà déduit sur une autre facture",IF(AND(L214&lt;&gt;"",IFERROR(INDEX(fa_client,MATCH(L214,fa_num,0)),D214)&lt;&gt;D214),"Acompte d'un autre client",IF(AND(AR214&lt;&gt;"",N(Q214)&lt;0),"Acompte supérieur au total de la facture",IF(IF(AG214="Facture",COUNTIFS(fl_doc,A214,fl_check,"&lt;&gt;OK"),IF(AG214="Devis",COUNTIFS(dl_doc,F214,dl_check,"&lt;&gt;OK"),0))&gt;0,"Ligne(s) à corriger",IF(AND(W214&lt;&gt;"",N(W214)&lt;0),"Trop-perçu : vérifiez paiements et avoirs","OK")))))))))))))))))))))</f>
        <v/>
      </c>
      <c r="AA214" s="62" t="str">
        <f>IF(COUNTA(B214:D214,F214:O214)&gt;0,IF(B214="","Facture",B214),"")</f>
        <v/>
      </c>
      <c r="AB214" s="62" t="str">
        <f>IF(AA214="","",IF(AA214="Avoir",p_pav,IF(AA214="Facture d'acompte",p_pac,p_pfa)))</f>
        <v/>
      </c>
      <c r="AC214" s="62">
        <f>IF(ISNUMBER(C214),C214,0)</f>
        <v>0.0</v>
      </c>
      <c r="AD214" s="62" t="str">
        <f>IF(OR(AA214="",AC214=0),"",YEAR(AC214))</f>
        <v/>
      </c>
      <c r="AE214" s="62" t="str">
        <f>IF(AD214="","",COUNTIFS($AB$6:AB214,AB214,$AD$6:AD214,AD214))</f>
        <v/>
      </c>
      <c r="AF214" s="62">
        <f>IF(A214="",0,COUNTIF(fl_doc,A214))</f>
        <v>0.0</v>
      </c>
      <c r="AG214" s="62" t="str">
        <f>IF(A214="","",IF(AF214&gt;0,"Facture",IF(AND(F214&lt;&gt;"",AA214="Facture",ISNUMBER(MATCH(F214,dv_num,0))),"Devis","")))</f>
        <v/>
      </c>
      <c r="AH214" s="62" t="str">
        <f>IF(AND(A214&lt;&gt;"",F214&lt;&gt;"",AA214&lt;&gt;"Avoir"),F214,"")</f>
        <v/>
      </c>
      <c r="AI214" s="62" t="str">
        <f>IF(AG214="Devis",F214,"")</f>
        <v/>
      </c>
      <c r="AJ214" s="62">
        <f>IF(AG214="Facture",SUMIF(fl_doc,A214,fl_ht),IF(AG214="Devis",SUMIF(dl_doc,F214,dl_ht),0))</f>
        <v>0.0</v>
      </c>
      <c r="AK214" s="62">
        <f>IF(OR(AG214="",INDEX(p_rates,1)=""),0,IF(AG214="Facture",SUMIFS(fl_ht,fl_doc,A214,fl_rate,INDEX(p_rates,1)),SUMIFS(dl_ht,dl_doc,F214,dl_rate,INDEX(p_rates,1))))</f>
        <v>0.0</v>
      </c>
      <c r="AL214" s="62">
        <f>IF(OR(AG214="",INDEX(p_rates,2)=""),0,IF(AG214="Facture",SUMIFS(fl_ht,fl_doc,A214,fl_rate,INDEX(p_rates,2)),SUMIFS(dl_ht,dl_doc,F214,dl_rate,INDEX(p_rates,2))))</f>
        <v>0.0</v>
      </c>
      <c r="AM214" s="62">
        <f>IF(OR(AG214="",INDEX(p_rates,3)=""),0,IF(AG214="Facture",SUMIFS(fl_ht,fl_doc,A214,fl_rate,INDEX(p_rates,3)),SUMIFS(dl_ht,dl_doc,F214,dl_rate,INDEX(p_rates,3))))</f>
        <v>0.0</v>
      </c>
      <c r="AN214" s="62">
        <f>IF(OR(AG214="",INDEX(p_rates,4)=""),0,IF(AG214="Facture",SUMIFS(fl_ht,fl_doc,A214,fl_rate,INDEX(p_rates,4)),SUMIFS(dl_ht,dl_doc,F214,dl_rate,INDEX(p_rates,4))))</f>
        <v>0.0</v>
      </c>
      <c r="AO214" s="62">
        <f>IF(OR(AG214="",INDEX(p_rates,5)=""),0,IF(AG214="Facture",SUMIFS(fl_ht,fl_doc,A214,fl_rate,INDEX(p_rates,5)),SUMIFS(dl_ht,dl_doc,F214,dl_rate,INDEX(p_rates,5))))</f>
        <v>0.0</v>
      </c>
      <c r="AP214" s="62">
        <f>IF(OR(AG214="",INDEX(p_rates,6)=""),0,IF(AG214="Facture",SUMIFS(fl_ht,fl_doc,A214,fl_rate,INDEX(p_rates,6)),SUMIFS(dl_ht,dl_doc,F214,dl_rate,INDEX(p_rates,6))))</f>
        <v>0.0</v>
      </c>
      <c r="AQ214" s="62">
        <f>ROUND(AK214*N(INDEX(p_rates,1)),2)+ROUND(AL214*N(INDEX(p_rates,2)),2)+ROUND(AM214*N(INDEX(p_rates,3)),2)+ROUND(AN214*N(INDEX(p_rates,4)),2)+ROUND(AO214*N(INDEX(p_rates,5)),2)+ROUND(AP214*N(INDEX(p_rates,6)),2)</f>
        <v>0.0</v>
      </c>
      <c r="AR214" s="62" t="str">
        <f>IF(OR(L214="",AA214&lt;&gt;"Facture"),"",IFERROR(IF(INDEX(fa_type,MATCH(L214,fa_num,0))="Facture d'acompte",MATCH(L214,fa_num,0),""),""))</f>
        <v/>
      </c>
      <c r="AS214" s="62" t="str">
        <f>IF(W214="","",IF(W214&lt;=0,"",IF(p_asof-P214&lt;=0,"Non échu",IF(p_asof-P214&lt;=30,"1-30 j",IF(p_asof-P214&lt;=60,"31-60 j",IF(p_asof-P214&lt;=90,"61-90 j","Plus de 90 j"))))))</f>
        <v/>
      </c>
      <c r="AT214" s="62" t="str">
        <f>IF(AS214="","",p_asof-P214)</f>
        <v/>
      </c>
      <c r="AU214" s="62" t="str">
        <f>IF(AT214="","",COUNTIF($AT$6:$AT$805,"&gt;"&amp;AT214)+COUNTIF($AT$6:AT214,AT214))</f>
        <v/>
      </c>
    </row>
    <row r="215">
      <c r="A215" s="59" t="str">
        <f>IF(AE215="","",AB215&amp;"-"&amp;AD215&amp;"-"&amp;RIGHT("000"&amp;AE215,4))</f>
        <v/>
      </c>
      <c r="B215" s="60" t="n"/>
      <c r="C215" s="61" t="n"/>
      <c r="D215" s="60" t="n"/>
      <c r="E215" s="62" t="str">
        <f>IF(D215="","",IFERROR(INDEX(cli_name,MATCH(D215,cli_code,0))&amp;"","Client inconnu"))</f>
        <v/>
      </c>
      <c r="F215" s="60" t="n"/>
      <c r="G215" s="63" t="n"/>
      <c r="H215" s="61" t="n"/>
      <c r="I215" s="63" t="n"/>
      <c r="J215" s="60" t="n"/>
      <c r="K215" s="61" t="n"/>
      <c r="L215" s="60" t="n"/>
      <c r="M215" s="60" t="n"/>
      <c r="N215" s="60" t="n"/>
      <c r="O215" s="61" t="n"/>
      <c r="P215" s="64" t="str">
        <f>IF(A215="","",IF(AA215="Avoir",AC215,IF(ISNUMBER(K215),K215,AC215+IF(D215="",N(p_delay),IFERROR(IF(ISNUMBER(INDEX(cli_delay,MATCH(D215,cli_code,0))),INDEX(cli_delay,MATCH(D215,cli_code,0)),N(p_delay)),N(p_delay))))))</f>
        <v/>
      </c>
      <c r="Q215" s="65" t="str">
        <f>IF(A215="","",IF(AA215="Avoir",-1,1)*ROUND(AJ215-IF(AR215="",0,INDEX(fa_htb,AR215)),2))</f>
        <v/>
      </c>
      <c r="R215" s="65" t="str">
        <f>IF(A215="","",IF(AA215="Avoir",-1,1)*ROUND(AQ215-IF(AR215="",0,INDEX(fa_tvab,AR215)),2))</f>
        <v/>
      </c>
      <c r="S215" s="65" t="str">
        <f>IF(A215="","",Q215+R215)</f>
        <v/>
      </c>
      <c r="T215" s="65" t="str">
        <f>IF(AR215="","",INDEX(fa_htb,AR215)+INDEX(fa_tvab,AR215))</f>
        <v/>
      </c>
      <c r="U215" s="65" t="str">
        <f>IF(A215="","",SUMIF(pa_inv,A215,pa_amt))</f>
        <v/>
      </c>
      <c r="V215" s="65" t="str">
        <f>IF(OR(A215="",AA215="Avoir"),"",-SUMIFS(fa_ttc,fa_avof,A215,fa_type,"Avoir"))</f>
        <v/>
      </c>
      <c r="W215" s="65" t="str">
        <f>IF(OR(A215="",AA215="Avoir"),"",ROUND(S215-U215-V215,2))</f>
        <v/>
      </c>
      <c r="X215" s="66" t="str">
        <f>IF(W215="","",IF(AND(W215&gt;0,p_asof&gt;P215),p_asof-P215,""))</f>
        <v/>
      </c>
      <c r="Y215" s="59" t="str">
        <f>IF(A215="","",IF(AA215="Avoir","Avoir",IF(W215&lt;0,"Trop-perçu",IF(W215=0,"Soldée",IF(p_asof&gt;P215,"En retard",IF(U215+V215&gt;0,"Partielle","À échoir"))))))</f>
        <v/>
      </c>
      <c r="Z215" s="59" t="str">
        <f>IF(NOT(COUNTA(B215:D215,F215:O215)&gt;0),"",IF(C215="","Date manquante",IF(NOT(ISNUMBER(C215)),"Date invalide",IF(D215="","Client manquant",IF(ISNA(MATCH(D215,cli_code,0)),"Client inconnu",IF(AC215&lt;SUMPRODUCT(MAX(($AB$6:AB214=AB215)*$AC$6:AC214)),"Date antérieure à la facture précédente",IF(AND(F215&lt;&gt;"",ISNA(MATCH(F215,dv_num,0))),"Devis inconnu",IF(AND(F215&lt;&gt;"",IFERROR(INDEX(dv_client,MATCH(F215,dv_num,0)),D215)&lt;&gt;D215),"Client différent de celui du devis",IF(AG215="","Aucune ligne : saisissez des lignes ou un devis",IF(AND(AI215&lt;&gt;"",COUNTIF($AI$6:AI215,AI215)&gt;1),"Devis déjà repris par une autre facture",IF(AND(AA215="Avoir",M215=""),"Avoir : indiquez la facture d'origine",IF(AND(AA215="Avoir",ISNA(MATCH(M215,fa_num,0))),"Facture d'origine inconnue",IF(AND(AA215&lt;&gt;"Avoir",M215&lt;&gt;""),"« Avoir sur facture » : réservé aux avoirs",IF(AND(L215&lt;&gt;"",AA215&lt;&gt;"Facture"),"Acompte à déduire : réservé aux factures",IF(AND(L215&lt;&gt;"",ISNA(MATCH(L215,fa_num,0))),"Facture d'acompte inconnue",IF(AND(L215&lt;&gt;"",IFERROR(INDEX(fa_type,MATCH(L215,fa_num,0)),"")&lt;&gt;"Facture d'acompte"),"Le n° à déduire n'est pas une facture d'acompte",IF(AND(L215&lt;&gt;"",COUNTIF($L$6:L215,L215)&gt;1),"Acompte déjà déduit sur une autre facture",IF(AND(L215&lt;&gt;"",IFERROR(INDEX(fa_client,MATCH(L215,fa_num,0)),D215)&lt;&gt;D215),"Acompte d'un autre client",IF(AND(AR215&lt;&gt;"",N(Q215)&lt;0),"Acompte supérieur au total de la facture",IF(IF(AG215="Facture",COUNTIFS(fl_doc,A215,fl_check,"&lt;&gt;OK"),IF(AG215="Devis",COUNTIFS(dl_doc,F215,dl_check,"&lt;&gt;OK"),0))&gt;0,"Ligne(s) à corriger",IF(AND(W215&lt;&gt;"",N(W215)&lt;0),"Trop-perçu : vérifiez paiements et avoirs","OK")))))))))))))))))))))</f>
        <v/>
      </c>
      <c r="AA215" s="62" t="str">
        <f>IF(COUNTA(B215:D215,F215:O215)&gt;0,IF(B215="","Facture",B215),"")</f>
        <v/>
      </c>
      <c r="AB215" s="62" t="str">
        <f>IF(AA215="","",IF(AA215="Avoir",p_pav,IF(AA215="Facture d'acompte",p_pac,p_pfa)))</f>
        <v/>
      </c>
      <c r="AC215" s="62">
        <f>IF(ISNUMBER(C215),C215,0)</f>
        <v>0.0</v>
      </c>
      <c r="AD215" s="62" t="str">
        <f>IF(OR(AA215="",AC215=0),"",YEAR(AC215))</f>
        <v/>
      </c>
      <c r="AE215" s="62" t="str">
        <f>IF(AD215="","",COUNTIFS($AB$6:AB215,AB215,$AD$6:AD215,AD215))</f>
        <v/>
      </c>
      <c r="AF215" s="62">
        <f>IF(A215="",0,COUNTIF(fl_doc,A215))</f>
        <v>0.0</v>
      </c>
      <c r="AG215" s="62" t="str">
        <f>IF(A215="","",IF(AF215&gt;0,"Facture",IF(AND(F215&lt;&gt;"",AA215="Facture",ISNUMBER(MATCH(F215,dv_num,0))),"Devis","")))</f>
        <v/>
      </c>
      <c r="AH215" s="62" t="str">
        <f>IF(AND(A215&lt;&gt;"",F215&lt;&gt;"",AA215&lt;&gt;"Avoir"),F215,"")</f>
        <v/>
      </c>
      <c r="AI215" s="62" t="str">
        <f>IF(AG215="Devis",F215,"")</f>
        <v/>
      </c>
      <c r="AJ215" s="62">
        <f>IF(AG215="Facture",SUMIF(fl_doc,A215,fl_ht),IF(AG215="Devis",SUMIF(dl_doc,F215,dl_ht),0))</f>
        <v>0.0</v>
      </c>
      <c r="AK215" s="62">
        <f>IF(OR(AG215="",INDEX(p_rates,1)=""),0,IF(AG215="Facture",SUMIFS(fl_ht,fl_doc,A215,fl_rate,INDEX(p_rates,1)),SUMIFS(dl_ht,dl_doc,F215,dl_rate,INDEX(p_rates,1))))</f>
        <v>0.0</v>
      </c>
      <c r="AL215" s="62">
        <f>IF(OR(AG215="",INDEX(p_rates,2)=""),0,IF(AG215="Facture",SUMIFS(fl_ht,fl_doc,A215,fl_rate,INDEX(p_rates,2)),SUMIFS(dl_ht,dl_doc,F215,dl_rate,INDEX(p_rates,2))))</f>
        <v>0.0</v>
      </c>
      <c r="AM215" s="62">
        <f>IF(OR(AG215="",INDEX(p_rates,3)=""),0,IF(AG215="Facture",SUMIFS(fl_ht,fl_doc,A215,fl_rate,INDEX(p_rates,3)),SUMIFS(dl_ht,dl_doc,F215,dl_rate,INDEX(p_rates,3))))</f>
        <v>0.0</v>
      </c>
      <c r="AN215" s="62">
        <f>IF(OR(AG215="",INDEX(p_rates,4)=""),0,IF(AG215="Facture",SUMIFS(fl_ht,fl_doc,A215,fl_rate,INDEX(p_rates,4)),SUMIFS(dl_ht,dl_doc,F215,dl_rate,INDEX(p_rates,4))))</f>
        <v>0.0</v>
      </c>
      <c r="AO215" s="62">
        <f>IF(OR(AG215="",INDEX(p_rates,5)=""),0,IF(AG215="Facture",SUMIFS(fl_ht,fl_doc,A215,fl_rate,INDEX(p_rates,5)),SUMIFS(dl_ht,dl_doc,F215,dl_rate,INDEX(p_rates,5))))</f>
        <v>0.0</v>
      </c>
      <c r="AP215" s="62">
        <f>IF(OR(AG215="",INDEX(p_rates,6)=""),0,IF(AG215="Facture",SUMIFS(fl_ht,fl_doc,A215,fl_rate,INDEX(p_rates,6)),SUMIFS(dl_ht,dl_doc,F215,dl_rate,INDEX(p_rates,6))))</f>
        <v>0.0</v>
      </c>
      <c r="AQ215" s="62">
        <f>ROUND(AK215*N(INDEX(p_rates,1)),2)+ROUND(AL215*N(INDEX(p_rates,2)),2)+ROUND(AM215*N(INDEX(p_rates,3)),2)+ROUND(AN215*N(INDEX(p_rates,4)),2)+ROUND(AO215*N(INDEX(p_rates,5)),2)+ROUND(AP215*N(INDEX(p_rates,6)),2)</f>
        <v>0.0</v>
      </c>
      <c r="AR215" s="62" t="str">
        <f>IF(OR(L215="",AA215&lt;&gt;"Facture"),"",IFERROR(IF(INDEX(fa_type,MATCH(L215,fa_num,0))="Facture d'acompte",MATCH(L215,fa_num,0),""),""))</f>
        <v/>
      </c>
      <c r="AS215" s="62" t="str">
        <f>IF(W215="","",IF(W215&lt;=0,"",IF(p_asof-P215&lt;=0,"Non échu",IF(p_asof-P215&lt;=30,"1-30 j",IF(p_asof-P215&lt;=60,"31-60 j",IF(p_asof-P215&lt;=90,"61-90 j","Plus de 90 j"))))))</f>
        <v/>
      </c>
      <c r="AT215" s="62" t="str">
        <f>IF(AS215="","",p_asof-P215)</f>
        <v/>
      </c>
      <c r="AU215" s="62" t="str">
        <f>IF(AT215="","",COUNTIF($AT$6:$AT$805,"&gt;"&amp;AT215)+COUNTIF($AT$6:AT215,AT215))</f>
        <v/>
      </c>
    </row>
    <row r="216">
      <c r="A216" s="59" t="str">
        <f>IF(AE216="","",AB216&amp;"-"&amp;AD216&amp;"-"&amp;RIGHT("000"&amp;AE216,4))</f>
        <v/>
      </c>
      <c r="B216" s="60" t="n"/>
      <c r="C216" s="61" t="n"/>
      <c r="D216" s="60" t="n"/>
      <c r="E216" s="62" t="str">
        <f>IF(D216="","",IFERROR(INDEX(cli_name,MATCH(D216,cli_code,0))&amp;"","Client inconnu"))</f>
        <v/>
      </c>
      <c r="F216" s="60" t="n"/>
      <c r="G216" s="63" t="n"/>
      <c r="H216" s="61" t="n"/>
      <c r="I216" s="63" t="n"/>
      <c r="J216" s="60" t="n"/>
      <c r="K216" s="61" t="n"/>
      <c r="L216" s="60" t="n"/>
      <c r="M216" s="60" t="n"/>
      <c r="N216" s="60" t="n"/>
      <c r="O216" s="61" t="n"/>
      <c r="P216" s="64" t="str">
        <f>IF(A216="","",IF(AA216="Avoir",AC216,IF(ISNUMBER(K216),K216,AC216+IF(D216="",N(p_delay),IFERROR(IF(ISNUMBER(INDEX(cli_delay,MATCH(D216,cli_code,0))),INDEX(cli_delay,MATCH(D216,cli_code,0)),N(p_delay)),N(p_delay))))))</f>
        <v/>
      </c>
      <c r="Q216" s="65" t="str">
        <f>IF(A216="","",IF(AA216="Avoir",-1,1)*ROUND(AJ216-IF(AR216="",0,INDEX(fa_htb,AR216)),2))</f>
        <v/>
      </c>
      <c r="R216" s="65" t="str">
        <f>IF(A216="","",IF(AA216="Avoir",-1,1)*ROUND(AQ216-IF(AR216="",0,INDEX(fa_tvab,AR216)),2))</f>
        <v/>
      </c>
      <c r="S216" s="65" t="str">
        <f>IF(A216="","",Q216+R216)</f>
        <v/>
      </c>
      <c r="T216" s="65" t="str">
        <f>IF(AR216="","",INDEX(fa_htb,AR216)+INDEX(fa_tvab,AR216))</f>
        <v/>
      </c>
      <c r="U216" s="65" t="str">
        <f>IF(A216="","",SUMIF(pa_inv,A216,pa_amt))</f>
        <v/>
      </c>
      <c r="V216" s="65" t="str">
        <f>IF(OR(A216="",AA216="Avoir"),"",-SUMIFS(fa_ttc,fa_avof,A216,fa_type,"Avoir"))</f>
        <v/>
      </c>
      <c r="W216" s="65" t="str">
        <f>IF(OR(A216="",AA216="Avoir"),"",ROUND(S216-U216-V216,2))</f>
        <v/>
      </c>
      <c r="X216" s="66" t="str">
        <f>IF(W216="","",IF(AND(W216&gt;0,p_asof&gt;P216),p_asof-P216,""))</f>
        <v/>
      </c>
      <c r="Y216" s="59" t="str">
        <f>IF(A216="","",IF(AA216="Avoir","Avoir",IF(W216&lt;0,"Trop-perçu",IF(W216=0,"Soldée",IF(p_asof&gt;P216,"En retard",IF(U216+V216&gt;0,"Partielle","À échoir"))))))</f>
        <v/>
      </c>
      <c r="Z216" s="59" t="str">
        <f>IF(NOT(COUNTA(B216:D216,F216:O216)&gt;0),"",IF(C216="","Date manquante",IF(NOT(ISNUMBER(C216)),"Date invalide",IF(D216="","Client manquant",IF(ISNA(MATCH(D216,cli_code,0)),"Client inconnu",IF(AC216&lt;SUMPRODUCT(MAX(($AB$6:AB215=AB216)*$AC$6:AC215)),"Date antérieure à la facture précédente",IF(AND(F216&lt;&gt;"",ISNA(MATCH(F216,dv_num,0))),"Devis inconnu",IF(AND(F216&lt;&gt;"",IFERROR(INDEX(dv_client,MATCH(F216,dv_num,0)),D216)&lt;&gt;D216),"Client différent de celui du devis",IF(AG216="","Aucune ligne : saisissez des lignes ou un devis",IF(AND(AI216&lt;&gt;"",COUNTIF($AI$6:AI216,AI216)&gt;1),"Devis déjà repris par une autre facture",IF(AND(AA216="Avoir",M216=""),"Avoir : indiquez la facture d'origine",IF(AND(AA216="Avoir",ISNA(MATCH(M216,fa_num,0))),"Facture d'origine inconnue",IF(AND(AA216&lt;&gt;"Avoir",M216&lt;&gt;""),"« Avoir sur facture » : réservé aux avoirs",IF(AND(L216&lt;&gt;"",AA216&lt;&gt;"Facture"),"Acompte à déduire : réservé aux factures",IF(AND(L216&lt;&gt;"",ISNA(MATCH(L216,fa_num,0))),"Facture d'acompte inconnue",IF(AND(L216&lt;&gt;"",IFERROR(INDEX(fa_type,MATCH(L216,fa_num,0)),"")&lt;&gt;"Facture d'acompte"),"Le n° à déduire n'est pas une facture d'acompte",IF(AND(L216&lt;&gt;"",COUNTIF($L$6:L216,L216)&gt;1),"Acompte déjà déduit sur une autre facture",IF(AND(L216&lt;&gt;"",IFERROR(INDEX(fa_client,MATCH(L216,fa_num,0)),D216)&lt;&gt;D216),"Acompte d'un autre client",IF(AND(AR216&lt;&gt;"",N(Q216)&lt;0),"Acompte supérieur au total de la facture",IF(IF(AG216="Facture",COUNTIFS(fl_doc,A216,fl_check,"&lt;&gt;OK"),IF(AG216="Devis",COUNTIFS(dl_doc,F216,dl_check,"&lt;&gt;OK"),0))&gt;0,"Ligne(s) à corriger",IF(AND(W216&lt;&gt;"",N(W216)&lt;0),"Trop-perçu : vérifiez paiements et avoirs","OK")))))))))))))))))))))</f>
        <v/>
      </c>
      <c r="AA216" s="62" t="str">
        <f>IF(COUNTA(B216:D216,F216:O216)&gt;0,IF(B216="","Facture",B216),"")</f>
        <v/>
      </c>
      <c r="AB216" s="62" t="str">
        <f>IF(AA216="","",IF(AA216="Avoir",p_pav,IF(AA216="Facture d'acompte",p_pac,p_pfa)))</f>
        <v/>
      </c>
      <c r="AC216" s="62">
        <f>IF(ISNUMBER(C216),C216,0)</f>
        <v>0.0</v>
      </c>
      <c r="AD216" s="62" t="str">
        <f>IF(OR(AA216="",AC216=0),"",YEAR(AC216))</f>
        <v/>
      </c>
      <c r="AE216" s="62" t="str">
        <f>IF(AD216="","",COUNTIFS($AB$6:AB216,AB216,$AD$6:AD216,AD216))</f>
        <v/>
      </c>
      <c r="AF216" s="62">
        <f>IF(A216="",0,COUNTIF(fl_doc,A216))</f>
        <v>0.0</v>
      </c>
      <c r="AG216" s="62" t="str">
        <f>IF(A216="","",IF(AF216&gt;0,"Facture",IF(AND(F216&lt;&gt;"",AA216="Facture",ISNUMBER(MATCH(F216,dv_num,0))),"Devis","")))</f>
        <v/>
      </c>
      <c r="AH216" s="62" t="str">
        <f>IF(AND(A216&lt;&gt;"",F216&lt;&gt;"",AA216&lt;&gt;"Avoir"),F216,"")</f>
        <v/>
      </c>
      <c r="AI216" s="62" t="str">
        <f>IF(AG216="Devis",F216,"")</f>
        <v/>
      </c>
      <c r="AJ216" s="62">
        <f>IF(AG216="Facture",SUMIF(fl_doc,A216,fl_ht),IF(AG216="Devis",SUMIF(dl_doc,F216,dl_ht),0))</f>
        <v>0.0</v>
      </c>
      <c r="AK216" s="62">
        <f>IF(OR(AG216="",INDEX(p_rates,1)=""),0,IF(AG216="Facture",SUMIFS(fl_ht,fl_doc,A216,fl_rate,INDEX(p_rates,1)),SUMIFS(dl_ht,dl_doc,F216,dl_rate,INDEX(p_rates,1))))</f>
        <v>0.0</v>
      </c>
      <c r="AL216" s="62">
        <f>IF(OR(AG216="",INDEX(p_rates,2)=""),0,IF(AG216="Facture",SUMIFS(fl_ht,fl_doc,A216,fl_rate,INDEX(p_rates,2)),SUMIFS(dl_ht,dl_doc,F216,dl_rate,INDEX(p_rates,2))))</f>
        <v>0.0</v>
      </c>
      <c r="AM216" s="62">
        <f>IF(OR(AG216="",INDEX(p_rates,3)=""),0,IF(AG216="Facture",SUMIFS(fl_ht,fl_doc,A216,fl_rate,INDEX(p_rates,3)),SUMIFS(dl_ht,dl_doc,F216,dl_rate,INDEX(p_rates,3))))</f>
        <v>0.0</v>
      </c>
      <c r="AN216" s="62">
        <f>IF(OR(AG216="",INDEX(p_rates,4)=""),0,IF(AG216="Facture",SUMIFS(fl_ht,fl_doc,A216,fl_rate,INDEX(p_rates,4)),SUMIFS(dl_ht,dl_doc,F216,dl_rate,INDEX(p_rates,4))))</f>
        <v>0.0</v>
      </c>
      <c r="AO216" s="62">
        <f>IF(OR(AG216="",INDEX(p_rates,5)=""),0,IF(AG216="Facture",SUMIFS(fl_ht,fl_doc,A216,fl_rate,INDEX(p_rates,5)),SUMIFS(dl_ht,dl_doc,F216,dl_rate,INDEX(p_rates,5))))</f>
        <v>0.0</v>
      </c>
      <c r="AP216" s="62">
        <f>IF(OR(AG216="",INDEX(p_rates,6)=""),0,IF(AG216="Facture",SUMIFS(fl_ht,fl_doc,A216,fl_rate,INDEX(p_rates,6)),SUMIFS(dl_ht,dl_doc,F216,dl_rate,INDEX(p_rates,6))))</f>
        <v>0.0</v>
      </c>
      <c r="AQ216" s="62">
        <f>ROUND(AK216*N(INDEX(p_rates,1)),2)+ROUND(AL216*N(INDEX(p_rates,2)),2)+ROUND(AM216*N(INDEX(p_rates,3)),2)+ROUND(AN216*N(INDEX(p_rates,4)),2)+ROUND(AO216*N(INDEX(p_rates,5)),2)+ROUND(AP216*N(INDEX(p_rates,6)),2)</f>
        <v>0.0</v>
      </c>
      <c r="AR216" s="62" t="str">
        <f>IF(OR(L216="",AA216&lt;&gt;"Facture"),"",IFERROR(IF(INDEX(fa_type,MATCH(L216,fa_num,0))="Facture d'acompte",MATCH(L216,fa_num,0),""),""))</f>
        <v/>
      </c>
      <c r="AS216" s="62" t="str">
        <f>IF(W216="","",IF(W216&lt;=0,"",IF(p_asof-P216&lt;=0,"Non échu",IF(p_asof-P216&lt;=30,"1-30 j",IF(p_asof-P216&lt;=60,"31-60 j",IF(p_asof-P216&lt;=90,"61-90 j","Plus de 90 j"))))))</f>
        <v/>
      </c>
      <c r="AT216" s="62" t="str">
        <f>IF(AS216="","",p_asof-P216)</f>
        <v/>
      </c>
      <c r="AU216" s="62" t="str">
        <f>IF(AT216="","",COUNTIF($AT$6:$AT$805,"&gt;"&amp;AT216)+COUNTIF($AT$6:AT216,AT216))</f>
        <v/>
      </c>
    </row>
    <row r="217">
      <c r="A217" s="59" t="str">
        <f>IF(AE217="","",AB217&amp;"-"&amp;AD217&amp;"-"&amp;RIGHT("000"&amp;AE217,4))</f>
        <v/>
      </c>
      <c r="B217" s="60" t="n"/>
      <c r="C217" s="61" t="n"/>
      <c r="D217" s="60" t="n"/>
      <c r="E217" s="62" t="str">
        <f>IF(D217="","",IFERROR(INDEX(cli_name,MATCH(D217,cli_code,0))&amp;"","Client inconnu"))</f>
        <v/>
      </c>
      <c r="F217" s="60" t="n"/>
      <c r="G217" s="63" t="n"/>
      <c r="H217" s="61" t="n"/>
      <c r="I217" s="63" t="n"/>
      <c r="J217" s="60" t="n"/>
      <c r="K217" s="61" t="n"/>
      <c r="L217" s="60" t="n"/>
      <c r="M217" s="60" t="n"/>
      <c r="N217" s="60" t="n"/>
      <c r="O217" s="61" t="n"/>
      <c r="P217" s="64" t="str">
        <f>IF(A217="","",IF(AA217="Avoir",AC217,IF(ISNUMBER(K217),K217,AC217+IF(D217="",N(p_delay),IFERROR(IF(ISNUMBER(INDEX(cli_delay,MATCH(D217,cli_code,0))),INDEX(cli_delay,MATCH(D217,cli_code,0)),N(p_delay)),N(p_delay))))))</f>
        <v/>
      </c>
      <c r="Q217" s="65" t="str">
        <f>IF(A217="","",IF(AA217="Avoir",-1,1)*ROUND(AJ217-IF(AR217="",0,INDEX(fa_htb,AR217)),2))</f>
        <v/>
      </c>
      <c r="R217" s="65" t="str">
        <f>IF(A217="","",IF(AA217="Avoir",-1,1)*ROUND(AQ217-IF(AR217="",0,INDEX(fa_tvab,AR217)),2))</f>
        <v/>
      </c>
      <c r="S217" s="65" t="str">
        <f>IF(A217="","",Q217+R217)</f>
        <v/>
      </c>
      <c r="T217" s="65" t="str">
        <f>IF(AR217="","",INDEX(fa_htb,AR217)+INDEX(fa_tvab,AR217))</f>
        <v/>
      </c>
      <c r="U217" s="65" t="str">
        <f>IF(A217="","",SUMIF(pa_inv,A217,pa_amt))</f>
        <v/>
      </c>
      <c r="V217" s="65" t="str">
        <f>IF(OR(A217="",AA217="Avoir"),"",-SUMIFS(fa_ttc,fa_avof,A217,fa_type,"Avoir"))</f>
        <v/>
      </c>
      <c r="W217" s="65" t="str">
        <f>IF(OR(A217="",AA217="Avoir"),"",ROUND(S217-U217-V217,2))</f>
        <v/>
      </c>
      <c r="X217" s="66" t="str">
        <f>IF(W217="","",IF(AND(W217&gt;0,p_asof&gt;P217),p_asof-P217,""))</f>
        <v/>
      </c>
      <c r="Y217" s="59" t="str">
        <f>IF(A217="","",IF(AA217="Avoir","Avoir",IF(W217&lt;0,"Trop-perçu",IF(W217=0,"Soldée",IF(p_asof&gt;P217,"En retard",IF(U217+V217&gt;0,"Partielle","À échoir"))))))</f>
        <v/>
      </c>
      <c r="Z217" s="59" t="str">
        <f>IF(NOT(COUNTA(B217:D217,F217:O217)&gt;0),"",IF(C217="","Date manquante",IF(NOT(ISNUMBER(C217)),"Date invalide",IF(D217="","Client manquant",IF(ISNA(MATCH(D217,cli_code,0)),"Client inconnu",IF(AC217&lt;SUMPRODUCT(MAX(($AB$6:AB216=AB217)*$AC$6:AC216)),"Date antérieure à la facture précédente",IF(AND(F217&lt;&gt;"",ISNA(MATCH(F217,dv_num,0))),"Devis inconnu",IF(AND(F217&lt;&gt;"",IFERROR(INDEX(dv_client,MATCH(F217,dv_num,0)),D217)&lt;&gt;D217),"Client différent de celui du devis",IF(AG217="","Aucune ligne : saisissez des lignes ou un devis",IF(AND(AI217&lt;&gt;"",COUNTIF($AI$6:AI217,AI217)&gt;1),"Devis déjà repris par une autre facture",IF(AND(AA217="Avoir",M217=""),"Avoir : indiquez la facture d'origine",IF(AND(AA217="Avoir",ISNA(MATCH(M217,fa_num,0))),"Facture d'origine inconnue",IF(AND(AA217&lt;&gt;"Avoir",M217&lt;&gt;""),"« Avoir sur facture » : réservé aux avoirs",IF(AND(L217&lt;&gt;"",AA217&lt;&gt;"Facture"),"Acompte à déduire : réservé aux factures",IF(AND(L217&lt;&gt;"",ISNA(MATCH(L217,fa_num,0))),"Facture d'acompte inconnue",IF(AND(L217&lt;&gt;"",IFERROR(INDEX(fa_type,MATCH(L217,fa_num,0)),"")&lt;&gt;"Facture d'acompte"),"Le n° à déduire n'est pas une facture d'acompte",IF(AND(L217&lt;&gt;"",COUNTIF($L$6:L217,L217)&gt;1),"Acompte déjà déduit sur une autre facture",IF(AND(L217&lt;&gt;"",IFERROR(INDEX(fa_client,MATCH(L217,fa_num,0)),D217)&lt;&gt;D217),"Acompte d'un autre client",IF(AND(AR217&lt;&gt;"",N(Q217)&lt;0),"Acompte supérieur au total de la facture",IF(IF(AG217="Facture",COUNTIFS(fl_doc,A217,fl_check,"&lt;&gt;OK"),IF(AG217="Devis",COUNTIFS(dl_doc,F217,dl_check,"&lt;&gt;OK"),0))&gt;0,"Ligne(s) à corriger",IF(AND(W217&lt;&gt;"",N(W217)&lt;0),"Trop-perçu : vérifiez paiements et avoirs","OK")))))))))))))))))))))</f>
        <v/>
      </c>
      <c r="AA217" s="62" t="str">
        <f>IF(COUNTA(B217:D217,F217:O217)&gt;0,IF(B217="","Facture",B217),"")</f>
        <v/>
      </c>
      <c r="AB217" s="62" t="str">
        <f>IF(AA217="","",IF(AA217="Avoir",p_pav,IF(AA217="Facture d'acompte",p_pac,p_pfa)))</f>
        <v/>
      </c>
      <c r="AC217" s="62">
        <f>IF(ISNUMBER(C217),C217,0)</f>
        <v>0.0</v>
      </c>
      <c r="AD217" s="62" t="str">
        <f>IF(OR(AA217="",AC217=0),"",YEAR(AC217))</f>
        <v/>
      </c>
      <c r="AE217" s="62" t="str">
        <f>IF(AD217="","",COUNTIFS($AB$6:AB217,AB217,$AD$6:AD217,AD217))</f>
        <v/>
      </c>
      <c r="AF217" s="62">
        <f>IF(A217="",0,COUNTIF(fl_doc,A217))</f>
        <v>0.0</v>
      </c>
      <c r="AG217" s="62" t="str">
        <f>IF(A217="","",IF(AF217&gt;0,"Facture",IF(AND(F217&lt;&gt;"",AA217="Facture",ISNUMBER(MATCH(F217,dv_num,0))),"Devis","")))</f>
        <v/>
      </c>
      <c r="AH217" s="62" t="str">
        <f>IF(AND(A217&lt;&gt;"",F217&lt;&gt;"",AA217&lt;&gt;"Avoir"),F217,"")</f>
        <v/>
      </c>
      <c r="AI217" s="62" t="str">
        <f>IF(AG217="Devis",F217,"")</f>
        <v/>
      </c>
      <c r="AJ217" s="62">
        <f>IF(AG217="Facture",SUMIF(fl_doc,A217,fl_ht),IF(AG217="Devis",SUMIF(dl_doc,F217,dl_ht),0))</f>
        <v>0.0</v>
      </c>
      <c r="AK217" s="62">
        <f>IF(OR(AG217="",INDEX(p_rates,1)=""),0,IF(AG217="Facture",SUMIFS(fl_ht,fl_doc,A217,fl_rate,INDEX(p_rates,1)),SUMIFS(dl_ht,dl_doc,F217,dl_rate,INDEX(p_rates,1))))</f>
        <v>0.0</v>
      </c>
      <c r="AL217" s="62">
        <f>IF(OR(AG217="",INDEX(p_rates,2)=""),0,IF(AG217="Facture",SUMIFS(fl_ht,fl_doc,A217,fl_rate,INDEX(p_rates,2)),SUMIFS(dl_ht,dl_doc,F217,dl_rate,INDEX(p_rates,2))))</f>
        <v>0.0</v>
      </c>
      <c r="AM217" s="62">
        <f>IF(OR(AG217="",INDEX(p_rates,3)=""),0,IF(AG217="Facture",SUMIFS(fl_ht,fl_doc,A217,fl_rate,INDEX(p_rates,3)),SUMIFS(dl_ht,dl_doc,F217,dl_rate,INDEX(p_rates,3))))</f>
        <v>0.0</v>
      </c>
      <c r="AN217" s="62">
        <f>IF(OR(AG217="",INDEX(p_rates,4)=""),0,IF(AG217="Facture",SUMIFS(fl_ht,fl_doc,A217,fl_rate,INDEX(p_rates,4)),SUMIFS(dl_ht,dl_doc,F217,dl_rate,INDEX(p_rates,4))))</f>
        <v>0.0</v>
      </c>
      <c r="AO217" s="62">
        <f>IF(OR(AG217="",INDEX(p_rates,5)=""),0,IF(AG217="Facture",SUMIFS(fl_ht,fl_doc,A217,fl_rate,INDEX(p_rates,5)),SUMIFS(dl_ht,dl_doc,F217,dl_rate,INDEX(p_rates,5))))</f>
        <v>0.0</v>
      </c>
      <c r="AP217" s="62">
        <f>IF(OR(AG217="",INDEX(p_rates,6)=""),0,IF(AG217="Facture",SUMIFS(fl_ht,fl_doc,A217,fl_rate,INDEX(p_rates,6)),SUMIFS(dl_ht,dl_doc,F217,dl_rate,INDEX(p_rates,6))))</f>
        <v>0.0</v>
      </c>
      <c r="AQ217" s="62">
        <f>ROUND(AK217*N(INDEX(p_rates,1)),2)+ROUND(AL217*N(INDEX(p_rates,2)),2)+ROUND(AM217*N(INDEX(p_rates,3)),2)+ROUND(AN217*N(INDEX(p_rates,4)),2)+ROUND(AO217*N(INDEX(p_rates,5)),2)+ROUND(AP217*N(INDEX(p_rates,6)),2)</f>
        <v>0.0</v>
      </c>
      <c r="AR217" s="62" t="str">
        <f>IF(OR(L217="",AA217&lt;&gt;"Facture"),"",IFERROR(IF(INDEX(fa_type,MATCH(L217,fa_num,0))="Facture d'acompte",MATCH(L217,fa_num,0),""),""))</f>
        <v/>
      </c>
      <c r="AS217" s="62" t="str">
        <f>IF(W217="","",IF(W217&lt;=0,"",IF(p_asof-P217&lt;=0,"Non échu",IF(p_asof-P217&lt;=30,"1-30 j",IF(p_asof-P217&lt;=60,"31-60 j",IF(p_asof-P217&lt;=90,"61-90 j","Plus de 90 j"))))))</f>
        <v/>
      </c>
      <c r="AT217" s="62" t="str">
        <f>IF(AS217="","",p_asof-P217)</f>
        <v/>
      </c>
      <c r="AU217" s="62" t="str">
        <f>IF(AT217="","",COUNTIF($AT$6:$AT$805,"&gt;"&amp;AT217)+COUNTIF($AT$6:AT217,AT217))</f>
        <v/>
      </c>
    </row>
    <row r="218">
      <c r="A218" s="59" t="str">
        <f>IF(AE218="","",AB218&amp;"-"&amp;AD218&amp;"-"&amp;RIGHT("000"&amp;AE218,4))</f>
        <v/>
      </c>
      <c r="B218" s="60" t="n"/>
      <c r="C218" s="61" t="n"/>
      <c r="D218" s="60" t="n"/>
      <c r="E218" s="62" t="str">
        <f>IF(D218="","",IFERROR(INDEX(cli_name,MATCH(D218,cli_code,0))&amp;"","Client inconnu"))</f>
        <v/>
      </c>
      <c r="F218" s="60" t="n"/>
      <c r="G218" s="63" t="n"/>
      <c r="H218" s="61" t="n"/>
      <c r="I218" s="63" t="n"/>
      <c r="J218" s="60" t="n"/>
      <c r="K218" s="61" t="n"/>
      <c r="L218" s="60" t="n"/>
      <c r="M218" s="60" t="n"/>
      <c r="N218" s="60" t="n"/>
      <c r="O218" s="61" t="n"/>
      <c r="P218" s="64" t="str">
        <f>IF(A218="","",IF(AA218="Avoir",AC218,IF(ISNUMBER(K218),K218,AC218+IF(D218="",N(p_delay),IFERROR(IF(ISNUMBER(INDEX(cli_delay,MATCH(D218,cli_code,0))),INDEX(cli_delay,MATCH(D218,cli_code,0)),N(p_delay)),N(p_delay))))))</f>
        <v/>
      </c>
      <c r="Q218" s="65" t="str">
        <f>IF(A218="","",IF(AA218="Avoir",-1,1)*ROUND(AJ218-IF(AR218="",0,INDEX(fa_htb,AR218)),2))</f>
        <v/>
      </c>
      <c r="R218" s="65" t="str">
        <f>IF(A218="","",IF(AA218="Avoir",-1,1)*ROUND(AQ218-IF(AR218="",0,INDEX(fa_tvab,AR218)),2))</f>
        <v/>
      </c>
      <c r="S218" s="65" t="str">
        <f>IF(A218="","",Q218+R218)</f>
        <v/>
      </c>
      <c r="T218" s="65" t="str">
        <f>IF(AR218="","",INDEX(fa_htb,AR218)+INDEX(fa_tvab,AR218))</f>
        <v/>
      </c>
      <c r="U218" s="65" t="str">
        <f>IF(A218="","",SUMIF(pa_inv,A218,pa_amt))</f>
        <v/>
      </c>
      <c r="V218" s="65" t="str">
        <f>IF(OR(A218="",AA218="Avoir"),"",-SUMIFS(fa_ttc,fa_avof,A218,fa_type,"Avoir"))</f>
        <v/>
      </c>
      <c r="W218" s="65" t="str">
        <f>IF(OR(A218="",AA218="Avoir"),"",ROUND(S218-U218-V218,2))</f>
        <v/>
      </c>
      <c r="X218" s="66" t="str">
        <f>IF(W218="","",IF(AND(W218&gt;0,p_asof&gt;P218),p_asof-P218,""))</f>
        <v/>
      </c>
      <c r="Y218" s="59" t="str">
        <f>IF(A218="","",IF(AA218="Avoir","Avoir",IF(W218&lt;0,"Trop-perçu",IF(W218=0,"Soldée",IF(p_asof&gt;P218,"En retard",IF(U218+V218&gt;0,"Partielle","À échoir"))))))</f>
        <v/>
      </c>
      <c r="Z218" s="59" t="str">
        <f>IF(NOT(COUNTA(B218:D218,F218:O218)&gt;0),"",IF(C218="","Date manquante",IF(NOT(ISNUMBER(C218)),"Date invalide",IF(D218="","Client manquant",IF(ISNA(MATCH(D218,cli_code,0)),"Client inconnu",IF(AC218&lt;SUMPRODUCT(MAX(($AB$6:AB217=AB218)*$AC$6:AC217)),"Date antérieure à la facture précédente",IF(AND(F218&lt;&gt;"",ISNA(MATCH(F218,dv_num,0))),"Devis inconnu",IF(AND(F218&lt;&gt;"",IFERROR(INDEX(dv_client,MATCH(F218,dv_num,0)),D218)&lt;&gt;D218),"Client différent de celui du devis",IF(AG218="","Aucune ligne : saisissez des lignes ou un devis",IF(AND(AI218&lt;&gt;"",COUNTIF($AI$6:AI218,AI218)&gt;1),"Devis déjà repris par une autre facture",IF(AND(AA218="Avoir",M218=""),"Avoir : indiquez la facture d'origine",IF(AND(AA218="Avoir",ISNA(MATCH(M218,fa_num,0))),"Facture d'origine inconnue",IF(AND(AA218&lt;&gt;"Avoir",M218&lt;&gt;""),"« Avoir sur facture » : réservé aux avoirs",IF(AND(L218&lt;&gt;"",AA218&lt;&gt;"Facture"),"Acompte à déduire : réservé aux factures",IF(AND(L218&lt;&gt;"",ISNA(MATCH(L218,fa_num,0))),"Facture d'acompte inconnue",IF(AND(L218&lt;&gt;"",IFERROR(INDEX(fa_type,MATCH(L218,fa_num,0)),"")&lt;&gt;"Facture d'acompte"),"Le n° à déduire n'est pas une facture d'acompte",IF(AND(L218&lt;&gt;"",COUNTIF($L$6:L218,L218)&gt;1),"Acompte déjà déduit sur une autre facture",IF(AND(L218&lt;&gt;"",IFERROR(INDEX(fa_client,MATCH(L218,fa_num,0)),D218)&lt;&gt;D218),"Acompte d'un autre client",IF(AND(AR218&lt;&gt;"",N(Q218)&lt;0),"Acompte supérieur au total de la facture",IF(IF(AG218="Facture",COUNTIFS(fl_doc,A218,fl_check,"&lt;&gt;OK"),IF(AG218="Devis",COUNTIFS(dl_doc,F218,dl_check,"&lt;&gt;OK"),0))&gt;0,"Ligne(s) à corriger",IF(AND(W218&lt;&gt;"",N(W218)&lt;0),"Trop-perçu : vérifiez paiements et avoirs","OK")))))))))))))))))))))</f>
        <v/>
      </c>
      <c r="AA218" s="62" t="str">
        <f>IF(COUNTA(B218:D218,F218:O218)&gt;0,IF(B218="","Facture",B218),"")</f>
        <v/>
      </c>
      <c r="AB218" s="62" t="str">
        <f>IF(AA218="","",IF(AA218="Avoir",p_pav,IF(AA218="Facture d'acompte",p_pac,p_pfa)))</f>
        <v/>
      </c>
      <c r="AC218" s="62">
        <f>IF(ISNUMBER(C218),C218,0)</f>
        <v>0.0</v>
      </c>
      <c r="AD218" s="62" t="str">
        <f>IF(OR(AA218="",AC218=0),"",YEAR(AC218))</f>
        <v/>
      </c>
      <c r="AE218" s="62" t="str">
        <f>IF(AD218="","",COUNTIFS($AB$6:AB218,AB218,$AD$6:AD218,AD218))</f>
        <v/>
      </c>
      <c r="AF218" s="62">
        <f>IF(A218="",0,COUNTIF(fl_doc,A218))</f>
        <v>0.0</v>
      </c>
      <c r="AG218" s="62" t="str">
        <f>IF(A218="","",IF(AF218&gt;0,"Facture",IF(AND(F218&lt;&gt;"",AA218="Facture",ISNUMBER(MATCH(F218,dv_num,0))),"Devis","")))</f>
        <v/>
      </c>
      <c r="AH218" s="62" t="str">
        <f>IF(AND(A218&lt;&gt;"",F218&lt;&gt;"",AA218&lt;&gt;"Avoir"),F218,"")</f>
        <v/>
      </c>
      <c r="AI218" s="62" t="str">
        <f>IF(AG218="Devis",F218,"")</f>
        <v/>
      </c>
      <c r="AJ218" s="62">
        <f>IF(AG218="Facture",SUMIF(fl_doc,A218,fl_ht),IF(AG218="Devis",SUMIF(dl_doc,F218,dl_ht),0))</f>
        <v>0.0</v>
      </c>
      <c r="AK218" s="62">
        <f>IF(OR(AG218="",INDEX(p_rates,1)=""),0,IF(AG218="Facture",SUMIFS(fl_ht,fl_doc,A218,fl_rate,INDEX(p_rates,1)),SUMIFS(dl_ht,dl_doc,F218,dl_rate,INDEX(p_rates,1))))</f>
        <v>0.0</v>
      </c>
      <c r="AL218" s="62">
        <f>IF(OR(AG218="",INDEX(p_rates,2)=""),0,IF(AG218="Facture",SUMIFS(fl_ht,fl_doc,A218,fl_rate,INDEX(p_rates,2)),SUMIFS(dl_ht,dl_doc,F218,dl_rate,INDEX(p_rates,2))))</f>
        <v>0.0</v>
      </c>
      <c r="AM218" s="62">
        <f>IF(OR(AG218="",INDEX(p_rates,3)=""),0,IF(AG218="Facture",SUMIFS(fl_ht,fl_doc,A218,fl_rate,INDEX(p_rates,3)),SUMIFS(dl_ht,dl_doc,F218,dl_rate,INDEX(p_rates,3))))</f>
        <v>0.0</v>
      </c>
      <c r="AN218" s="62">
        <f>IF(OR(AG218="",INDEX(p_rates,4)=""),0,IF(AG218="Facture",SUMIFS(fl_ht,fl_doc,A218,fl_rate,INDEX(p_rates,4)),SUMIFS(dl_ht,dl_doc,F218,dl_rate,INDEX(p_rates,4))))</f>
        <v>0.0</v>
      </c>
      <c r="AO218" s="62">
        <f>IF(OR(AG218="",INDEX(p_rates,5)=""),0,IF(AG218="Facture",SUMIFS(fl_ht,fl_doc,A218,fl_rate,INDEX(p_rates,5)),SUMIFS(dl_ht,dl_doc,F218,dl_rate,INDEX(p_rates,5))))</f>
        <v>0.0</v>
      </c>
      <c r="AP218" s="62">
        <f>IF(OR(AG218="",INDEX(p_rates,6)=""),0,IF(AG218="Facture",SUMIFS(fl_ht,fl_doc,A218,fl_rate,INDEX(p_rates,6)),SUMIFS(dl_ht,dl_doc,F218,dl_rate,INDEX(p_rates,6))))</f>
        <v>0.0</v>
      </c>
      <c r="AQ218" s="62">
        <f>ROUND(AK218*N(INDEX(p_rates,1)),2)+ROUND(AL218*N(INDEX(p_rates,2)),2)+ROUND(AM218*N(INDEX(p_rates,3)),2)+ROUND(AN218*N(INDEX(p_rates,4)),2)+ROUND(AO218*N(INDEX(p_rates,5)),2)+ROUND(AP218*N(INDEX(p_rates,6)),2)</f>
        <v>0.0</v>
      </c>
      <c r="AR218" s="62" t="str">
        <f>IF(OR(L218="",AA218&lt;&gt;"Facture"),"",IFERROR(IF(INDEX(fa_type,MATCH(L218,fa_num,0))="Facture d'acompte",MATCH(L218,fa_num,0),""),""))</f>
        <v/>
      </c>
      <c r="AS218" s="62" t="str">
        <f>IF(W218="","",IF(W218&lt;=0,"",IF(p_asof-P218&lt;=0,"Non échu",IF(p_asof-P218&lt;=30,"1-30 j",IF(p_asof-P218&lt;=60,"31-60 j",IF(p_asof-P218&lt;=90,"61-90 j","Plus de 90 j"))))))</f>
        <v/>
      </c>
      <c r="AT218" s="62" t="str">
        <f>IF(AS218="","",p_asof-P218)</f>
        <v/>
      </c>
      <c r="AU218" s="62" t="str">
        <f>IF(AT218="","",COUNTIF($AT$6:$AT$805,"&gt;"&amp;AT218)+COUNTIF($AT$6:AT218,AT218))</f>
        <v/>
      </c>
    </row>
    <row r="219">
      <c r="A219" s="59" t="str">
        <f>IF(AE219="","",AB219&amp;"-"&amp;AD219&amp;"-"&amp;RIGHT("000"&amp;AE219,4))</f>
        <v/>
      </c>
      <c r="B219" s="60" t="n"/>
      <c r="C219" s="61" t="n"/>
      <c r="D219" s="60" t="n"/>
      <c r="E219" s="62" t="str">
        <f>IF(D219="","",IFERROR(INDEX(cli_name,MATCH(D219,cli_code,0))&amp;"","Client inconnu"))</f>
        <v/>
      </c>
      <c r="F219" s="60" t="n"/>
      <c r="G219" s="63" t="n"/>
      <c r="H219" s="61" t="n"/>
      <c r="I219" s="63" t="n"/>
      <c r="J219" s="60" t="n"/>
      <c r="K219" s="61" t="n"/>
      <c r="L219" s="60" t="n"/>
      <c r="M219" s="60" t="n"/>
      <c r="N219" s="60" t="n"/>
      <c r="O219" s="61" t="n"/>
      <c r="P219" s="64" t="str">
        <f>IF(A219="","",IF(AA219="Avoir",AC219,IF(ISNUMBER(K219),K219,AC219+IF(D219="",N(p_delay),IFERROR(IF(ISNUMBER(INDEX(cli_delay,MATCH(D219,cli_code,0))),INDEX(cli_delay,MATCH(D219,cli_code,0)),N(p_delay)),N(p_delay))))))</f>
        <v/>
      </c>
      <c r="Q219" s="65" t="str">
        <f>IF(A219="","",IF(AA219="Avoir",-1,1)*ROUND(AJ219-IF(AR219="",0,INDEX(fa_htb,AR219)),2))</f>
        <v/>
      </c>
      <c r="R219" s="65" t="str">
        <f>IF(A219="","",IF(AA219="Avoir",-1,1)*ROUND(AQ219-IF(AR219="",0,INDEX(fa_tvab,AR219)),2))</f>
        <v/>
      </c>
      <c r="S219" s="65" t="str">
        <f>IF(A219="","",Q219+R219)</f>
        <v/>
      </c>
      <c r="T219" s="65" t="str">
        <f>IF(AR219="","",INDEX(fa_htb,AR219)+INDEX(fa_tvab,AR219))</f>
        <v/>
      </c>
      <c r="U219" s="65" t="str">
        <f>IF(A219="","",SUMIF(pa_inv,A219,pa_amt))</f>
        <v/>
      </c>
      <c r="V219" s="65" t="str">
        <f>IF(OR(A219="",AA219="Avoir"),"",-SUMIFS(fa_ttc,fa_avof,A219,fa_type,"Avoir"))</f>
        <v/>
      </c>
      <c r="W219" s="65" t="str">
        <f>IF(OR(A219="",AA219="Avoir"),"",ROUND(S219-U219-V219,2))</f>
        <v/>
      </c>
      <c r="X219" s="66" t="str">
        <f>IF(W219="","",IF(AND(W219&gt;0,p_asof&gt;P219),p_asof-P219,""))</f>
        <v/>
      </c>
      <c r="Y219" s="59" t="str">
        <f>IF(A219="","",IF(AA219="Avoir","Avoir",IF(W219&lt;0,"Trop-perçu",IF(W219=0,"Soldée",IF(p_asof&gt;P219,"En retard",IF(U219+V219&gt;0,"Partielle","À échoir"))))))</f>
        <v/>
      </c>
      <c r="Z219" s="59" t="str">
        <f>IF(NOT(COUNTA(B219:D219,F219:O219)&gt;0),"",IF(C219="","Date manquante",IF(NOT(ISNUMBER(C219)),"Date invalide",IF(D219="","Client manquant",IF(ISNA(MATCH(D219,cli_code,0)),"Client inconnu",IF(AC219&lt;SUMPRODUCT(MAX(($AB$6:AB218=AB219)*$AC$6:AC218)),"Date antérieure à la facture précédente",IF(AND(F219&lt;&gt;"",ISNA(MATCH(F219,dv_num,0))),"Devis inconnu",IF(AND(F219&lt;&gt;"",IFERROR(INDEX(dv_client,MATCH(F219,dv_num,0)),D219)&lt;&gt;D219),"Client différent de celui du devis",IF(AG219="","Aucune ligne : saisissez des lignes ou un devis",IF(AND(AI219&lt;&gt;"",COUNTIF($AI$6:AI219,AI219)&gt;1),"Devis déjà repris par une autre facture",IF(AND(AA219="Avoir",M219=""),"Avoir : indiquez la facture d'origine",IF(AND(AA219="Avoir",ISNA(MATCH(M219,fa_num,0))),"Facture d'origine inconnue",IF(AND(AA219&lt;&gt;"Avoir",M219&lt;&gt;""),"« Avoir sur facture » : réservé aux avoirs",IF(AND(L219&lt;&gt;"",AA219&lt;&gt;"Facture"),"Acompte à déduire : réservé aux factures",IF(AND(L219&lt;&gt;"",ISNA(MATCH(L219,fa_num,0))),"Facture d'acompte inconnue",IF(AND(L219&lt;&gt;"",IFERROR(INDEX(fa_type,MATCH(L219,fa_num,0)),"")&lt;&gt;"Facture d'acompte"),"Le n° à déduire n'est pas une facture d'acompte",IF(AND(L219&lt;&gt;"",COUNTIF($L$6:L219,L219)&gt;1),"Acompte déjà déduit sur une autre facture",IF(AND(L219&lt;&gt;"",IFERROR(INDEX(fa_client,MATCH(L219,fa_num,0)),D219)&lt;&gt;D219),"Acompte d'un autre client",IF(AND(AR219&lt;&gt;"",N(Q219)&lt;0),"Acompte supérieur au total de la facture",IF(IF(AG219="Facture",COUNTIFS(fl_doc,A219,fl_check,"&lt;&gt;OK"),IF(AG219="Devis",COUNTIFS(dl_doc,F219,dl_check,"&lt;&gt;OK"),0))&gt;0,"Ligne(s) à corriger",IF(AND(W219&lt;&gt;"",N(W219)&lt;0),"Trop-perçu : vérifiez paiements et avoirs","OK")))))))))))))))))))))</f>
        <v/>
      </c>
      <c r="AA219" s="62" t="str">
        <f>IF(COUNTA(B219:D219,F219:O219)&gt;0,IF(B219="","Facture",B219),"")</f>
        <v/>
      </c>
      <c r="AB219" s="62" t="str">
        <f>IF(AA219="","",IF(AA219="Avoir",p_pav,IF(AA219="Facture d'acompte",p_pac,p_pfa)))</f>
        <v/>
      </c>
      <c r="AC219" s="62">
        <f>IF(ISNUMBER(C219),C219,0)</f>
        <v>0.0</v>
      </c>
      <c r="AD219" s="62" t="str">
        <f>IF(OR(AA219="",AC219=0),"",YEAR(AC219))</f>
        <v/>
      </c>
      <c r="AE219" s="62" t="str">
        <f>IF(AD219="","",COUNTIFS($AB$6:AB219,AB219,$AD$6:AD219,AD219))</f>
        <v/>
      </c>
      <c r="AF219" s="62">
        <f>IF(A219="",0,COUNTIF(fl_doc,A219))</f>
        <v>0.0</v>
      </c>
      <c r="AG219" s="62" t="str">
        <f>IF(A219="","",IF(AF219&gt;0,"Facture",IF(AND(F219&lt;&gt;"",AA219="Facture",ISNUMBER(MATCH(F219,dv_num,0))),"Devis","")))</f>
        <v/>
      </c>
      <c r="AH219" s="62" t="str">
        <f>IF(AND(A219&lt;&gt;"",F219&lt;&gt;"",AA219&lt;&gt;"Avoir"),F219,"")</f>
        <v/>
      </c>
      <c r="AI219" s="62" t="str">
        <f>IF(AG219="Devis",F219,"")</f>
        <v/>
      </c>
      <c r="AJ219" s="62">
        <f>IF(AG219="Facture",SUMIF(fl_doc,A219,fl_ht),IF(AG219="Devis",SUMIF(dl_doc,F219,dl_ht),0))</f>
        <v>0.0</v>
      </c>
      <c r="AK219" s="62">
        <f>IF(OR(AG219="",INDEX(p_rates,1)=""),0,IF(AG219="Facture",SUMIFS(fl_ht,fl_doc,A219,fl_rate,INDEX(p_rates,1)),SUMIFS(dl_ht,dl_doc,F219,dl_rate,INDEX(p_rates,1))))</f>
        <v>0.0</v>
      </c>
      <c r="AL219" s="62">
        <f>IF(OR(AG219="",INDEX(p_rates,2)=""),0,IF(AG219="Facture",SUMIFS(fl_ht,fl_doc,A219,fl_rate,INDEX(p_rates,2)),SUMIFS(dl_ht,dl_doc,F219,dl_rate,INDEX(p_rates,2))))</f>
        <v>0.0</v>
      </c>
      <c r="AM219" s="62">
        <f>IF(OR(AG219="",INDEX(p_rates,3)=""),0,IF(AG219="Facture",SUMIFS(fl_ht,fl_doc,A219,fl_rate,INDEX(p_rates,3)),SUMIFS(dl_ht,dl_doc,F219,dl_rate,INDEX(p_rates,3))))</f>
        <v>0.0</v>
      </c>
      <c r="AN219" s="62">
        <f>IF(OR(AG219="",INDEX(p_rates,4)=""),0,IF(AG219="Facture",SUMIFS(fl_ht,fl_doc,A219,fl_rate,INDEX(p_rates,4)),SUMIFS(dl_ht,dl_doc,F219,dl_rate,INDEX(p_rates,4))))</f>
        <v>0.0</v>
      </c>
      <c r="AO219" s="62">
        <f>IF(OR(AG219="",INDEX(p_rates,5)=""),0,IF(AG219="Facture",SUMIFS(fl_ht,fl_doc,A219,fl_rate,INDEX(p_rates,5)),SUMIFS(dl_ht,dl_doc,F219,dl_rate,INDEX(p_rates,5))))</f>
        <v>0.0</v>
      </c>
      <c r="AP219" s="62">
        <f>IF(OR(AG219="",INDEX(p_rates,6)=""),0,IF(AG219="Facture",SUMIFS(fl_ht,fl_doc,A219,fl_rate,INDEX(p_rates,6)),SUMIFS(dl_ht,dl_doc,F219,dl_rate,INDEX(p_rates,6))))</f>
        <v>0.0</v>
      </c>
      <c r="AQ219" s="62">
        <f>ROUND(AK219*N(INDEX(p_rates,1)),2)+ROUND(AL219*N(INDEX(p_rates,2)),2)+ROUND(AM219*N(INDEX(p_rates,3)),2)+ROUND(AN219*N(INDEX(p_rates,4)),2)+ROUND(AO219*N(INDEX(p_rates,5)),2)+ROUND(AP219*N(INDEX(p_rates,6)),2)</f>
        <v>0.0</v>
      </c>
      <c r="AR219" s="62" t="str">
        <f>IF(OR(L219="",AA219&lt;&gt;"Facture"),"",IFERROR(IF(INDEX(fa_type,MATCH(L219,fa_num,0))="Facture d'acompte",MATCH(L219,fa_num,0),""),""))</f>
        <v/>
      </c>
      <c r="AS219" s="62" t="str">
        <f>IF(W219="","",IF(W219&lt;=0,"",IF(p_asof-P219&lt;=0,"Non échu",IF(p_asof-P219&lt;=30,"1-30 j",IF(p_asof-P219&lt;=60,"31-60 j",IF(p_asof-P219&lt;=90,"61-90 j","Plus de 90 j"))))))</f>
        <v/>
      </c>
      <c r="AT219" s="62" t="str">
        <f>IF(AS219="","",p_asof-P219)</f>
        <v/>
      </c>
      <c r="AU219" s="62" t="str">
        <f>IF(AT219="","",COUNTIF($AT$6:$AT$805,"&gt;"&amp;AT219)+COUNTIF($AT$6:AT219,AT219))</f>
        <v/>
      </c>
    </row>
    <row r="220">
      <c r="A220" s="59" t="str">
        <f>IF(AE220="","",AB220&amp;"-"&amp;AD220&amp;"-"&amp;RIGHT("000"&amp;AE220,4))</f>
        <v/>
      </c>
      <c r="B220" s="60" t="n"/>
      <c r="C220" s="61" t="n"/>
      <c r="D220" s="60" t="n"/>
      <c r="E220" s="62" t="str">
        <f>IF(D220="","",IFERROR(INDEX(cli_name,MATCH(D220,cli_code,0))&amp;"","Client inconnu"))</f>
        <v/>
      </c>
      <c r="F220" s="60" t="n"/>
      <c r="G220" s="63" t="n"/>
      <c r="H220" s="61" t="n"/>
      <c r="I220" s="63" t="n"/>
      <c r="J220" s="60" t="n"/>
      <c r="K220" s="61" t="n"/>
      <c r="L220" s="60" t="n"/>
      <c r="M220" s="60" t="n"/>
      <c r="N220" s="60" t="n"/>
      <c r="O220" s="61" t="n"/>
      <c r="P220" s="64" t="str">
        <f>IF(A220="","",IF(AA220="Avoir",AC220,IF(ISNUMBER(K220),K220,AC220+IF(D220="",N(p_delay),IFERROR(IF(ISNUMBER(INDEX(cli_delay,MATCH(D220,cli_code,0))),INDEX(cli_delay,MATCH(D220,cli_code,0)),N(p_delay)),N(p_delay))))))</f>
        <v/>
      </c>
      <c r="Q220" s="65" t="str">
        <f>IF(A220="","",IF(AA220="Avoir",-1,1)*ROUND(AJ220-IF(AR220="",0,INDEX(fa_htb,AR220)),2))</f>
        <v/>
      </c>
      <c r="R220" s="65" t="str">
        <f>IF(A220="","",IF(AA220="Avoir",-1,1)*ROUND(AQ220-IF(AR220="",0,INDEX(fa_tvab,AR220)),2))</f>
        <v/>
      </c>
      <c r="S220" s="65" t="str">
        <f>IF(A220="","",Q220+R220)</f>
        <v/>
      </c>
      <c r="T220" s="65" t="str">
        <f>IF(AR220="","",INDEX(fa_htb,AR220)+INDEX(fa_tvab,AR220))</f>
        <v/>
      </c>
      <c r="U220" s="65" t="str">
        <f>IF(A220="","",SUMIF(pa_inv,A220,pa_amt))</f>
        <v/>
      </c>
      <c r="V220" s="65" t="str">
        <f>IF(OR(A220="",AA220="Avoir"),"",-SUMIFS(fa_ttc,fa_avof,A220,fa_type,"Avoir"))</f>
        <v/>
      </c>
      <c r="W220" s="65" t="str">
        <f>IF(OR(A220="",AA220="Avoir"),"",ROUND(S220-U220-V220,2))</f>
        <v/>
      </c>
      <c r="X220" s="66" t="str">
        <f>IF(W220="","",IF(AND(W220&gt;0,p_asof&gt;P220),p_asof-P220,""))</f>
        <v/>
      </c>
      <c r="Y220" s="59" t="str">
        <f>IF(A220="","",IF(AA220="Avoir","Avoir",IF(W220&lt;0,"Trop-perçu",IF(W220=0,"Soldée",IF(p_asof&gt;P220,"En retard",IF(U220+V220&gt;0,"Partielle","À échoir"))))))</f>
        <v/>
      </c>
      <c r="Z220" s="59" t="str">
        <f>IF(NOT(COUNTA(B220:D220,F220:O220)&gt;0),"",IF(C220="","Date manquante",IF(NOT(ISNUMBER(C220)),"Date invalide",IF(D220="","Client manquant",IF(ISNA(MATCH(D220,cli_code,0)),"Client inconnu",IF(AC220&lt;SUMPRODUCT(MAX(($AB$6:AB219=AB220)*$AC$6:AC219)),"Date antérieure à la facture précédente",IF(AND(F220&lt;&gt;"",ISNA(MATCH(F220,dv_num,0))),"Devis inconnu",IF(AND(F220&lt;&gt;"",IFERROR(INDEX(dv_client,MATCH(F220,dv_num,0)),D220)&lt;&gt;D220),"Client différent de celui du devis",IF(AG220="","Aucune ligne : saisissez des lignes ou un devis",IF(AND(AI220&lt;&gt;"",COUNTIF($AI$6:AI220,AI220)&gt;1),"Devis déjà repris par une autre facture",IF(AND(AA220="Avoir",M220=""),"Avoir : indiquez la facture d'origine",IF(AND(AA220="Avoir",ISNA(MATCH(M220,fa_num,0))),"Facture d'origine inconnue",IF(AND(AA220&lt;&gt;"Avoir",M220&lt;&gt;""),"« Avoir sur facture » : réservé aux avoirs",IF(AND(L220&lt;&gt;"",AA220&lt;&gt;"Facture"),"Acompte à déduire : réservé aux factures",IF(AND(L220&lt;&gt;"",ISNA(MATCH(L220,fa_num,0))),"Facture d'acompte inconnue",IF(AND(L220&lt;&gt;"",IFERROR(INDEX(fa_type,MATCH(L220,fa_num,0)),"")&lt;&gt;"Facture d'acompte"),"Le n° à déduire n'est pas une facture d'acompte",IF(AND(L220&lt;&gt;"",COUNTIF($L$6:L220,L220)&gt;1),"Acompte déjà déduit sur une autre facture",IF(AND(L220&lt;&gt;"",IFERROR(INDEX(fa_client,MATCH(L220,fa_num,0)),D220)&lt;&gt;D220),"Acompte d'un autre client",IF(AND(AR220&lt;&gt;"",N(Q220)&lt;0),"Acompte supérieur au total de la facture",IF(IF(AG220="Facture",COUNTIFS(fl_doc,A220,fl_check,"&lt;&gt;OK"),IF(AG220="Devis",COUNTIFS(dl_doc,F220,dl_check,"&lt;&gt;OK"),0))&gt;0,"Ligne(s) à corriger",IF(AND(W220&lt;&gt;"",N(W220)&lt;0),"Trop-perçu : vérifiez paiements et avoirs","OK")))))))))))))))))))))</f>
        <v/>
      </c>
      <c r="AA220" s="62" t="str">
        <f>IF(COUNTA(B220:D220,F220:O220)&gt;0,IF(B220="","Facture",B220),"")</f>
        <v/>
      </c>
      <c r="AB220" s="62" t="str">
        <f>IF(AA220="","",IF(AA220="Avoir",p_pav,IF(AA220="Facture d'acompte",p_pac,p_pfa)))</f>
        <v/>
      </c>
      <c r="AC220" s="62">
        <f>IF(ISNUMBER(C220),C220,0)</f>
        <v>0.0</v>
      </c>
      <c r="AD220" s="62" t="str">
        <f>IF(OR(AA220="",AC220=0),"",YEAR(AC220))</f>
        <v/>
      </c>
      <c r="AE220" s="62" t="str">
        <f>IF(AD220="","",COUNTIFS($AB$6:AB220,AB220,$AD$6:AD220,AD220))</f>
        <v/>
      </c>
      <c r="AF220" s="62">
        <f>IF(A220="",0,COUNTIF(fl_doc,A220))</f>
        <v>0.0</v>
      </c>
      <c r="AG220" s="62" t="str">
        <f>IF(A220="","",IF(AF220&gt;0,"Facture",IF(AND(F220&lt;&gt;"",AA220="Facture",ISNUMBER(MATCH(F220,dv_num,0))),"Devis","")))</f>
        <v/>
      </c>
      <c r="AH220" s="62" t="str">
        <f>IF(AND(A220&lt;&gt;"",F220&lt;&gt;"",AA220&lt;&gt;"Avoir"),F220,"")</f>
        <v/>
      </c>
      <c r="AI220" s="62" t="str">
        <f>IF(AG220="Devis",F220,"")</f>
        <v/>
      </c>
      <c r="AJ220" s="62">
        <f>IF(AG220="Facture",SUMIF(fl_doc,A220,fl_ht),IF(AG220="Devis",SUMIF(dl_doc,F220,dl_ht),0))</f>
        <v>0.0</v>
      </c>
      <c r="AK220" s="62">
        <f>IF(OR(AG220="",INDEX(p_rates,1)=""),0,IF(AG220="Facture",SUMIFS(fl_ht,fl_doc,A220,fl_rate,INDEX(p_rates,1)),SUMIFS(dl_ht,dl_doc,F220,dl_rate,INDEX(p_rates,1))))</f>
        <v>0.0</v>
      </c>
      <c r="AL220" s="62">
        <f>IF(OR(AG220="",INDEX(p_rates,2)=""),0,IF(AG220="Facture",SUMIFS(fl_ht,fl_doc,A220,fl_rate,INDEX(p_rates,2)),SUMIFS(dl_ht,dl_doc,F220,dl_rate,INDEX(p_rates,2))))</f>
        <v>0.0</v>
      </c>
      <c r="AM220" s="62">
        <f>IF(OR(AG220="",INDEX(p_rates,3)=""),0,IF(AG220="Facture",SUMIFS(fl_ht,fl_doc,A220,fl_rate,INDEX(p_rates,3)),SUMIFS(dl_ht,dl_doc,F220,dl_rate,INDEX(p_rates,3))))</f>
        <v>0.0</v>
      </c>
      <c r="AN220" s="62">
        <f>IF(OR(AG220="",INDEX(p_rates,4)=""),0,IF(AG220="Facture",SUMIFS(fl_ht,fl_doc,A220,fl_rate,INDEX(p_rates,4)),SUMIFS(dl_ht,dl_doc,F220,dl_rate,INDEX(p_rates,4))))</f>
        <v>0.0</v>
      </c>
      <c r="AO220" s="62">
        <f>IF(OR(AG220="",INDEX(p_rates,5)=""),0,IF(AG220="Facture",SUMIFS(fl_ht,fl_doc,A220,fl_rate,INDEX(p_rates,5)),SUMIFS(dl_ht,dl_doc,F220,dl_rate,INDEX(p_rates,5))))</f>
        <v>0.0</v>
      </c>
      <c r="AP220" s="62">
        <f>IF(OR(AG220="",INDEX(p_rates,6)=""),0,IF(AG220="Facture",SUMIFS(fl_ht,fl_doc,A220,fl_rate,INDEX(p_rates,6)),SUMIFS(dl_ht,dl_doc,F220,dl_rate,INDEX(p_rates,6))))</f>
        <v>0.0</v>
      </c>
      <c r="AQ220" s="62">
        <f>ROUND(AK220*N(INDEX(p_rates,1)),2)+ROUND(AL220*N(INDEX(p_rates,2)),2)+ROUND(AM220*N(INDEX(p_rates,3)),2)+ROUND(AN220*N(INDEX(p_rates,4)),2)+ROUND(AO220*N(INDEX(p_rates,5)),2)+ROUND(AP220*N(INDEX(p_rates,6)),2)</f>
        <v>0.0</v>
      </c>
      <c r="AR220" s="62" t="str">
        <f>IF(OR(L220="",AA220&lt;&gt;"Facture"),"",IFERROR(IF(INDEX(fa_type,MATCH(L220,fa_num,0))="Facture d'acompte",MATCH(L220,fa_num,0),""),""))</f>
        <v/>
      </c>
      <c r="AS220" s="62" t="str">
        <f>IF(W220="","",IF(W220&lt;=0,"",IF(p_asof-P220&lt;=0,"Non échu",IF(p_asof-P220&lt;=30,"1-30 j",IF(p_asof-P220&lt;=60,"31-60 j",IF(p_asof-P220&lt;=90,"61-90 j","Plus de 90 j"))))))</f>
        <v/>
      </c>
      <c r="AT220" s="62" t="str">
        <f>IF(AS220="","",p_asof-P220)</f>
        <v/>
      </c>
      <c r="AU220" s="62" t="str">
        <f>IF(AT220="","",COUNTIF($AT$6:$AT$805,"&gt;"&amp;AT220)+COUNTIF($AT$6:AT220,AT220))</f>
        <v/>
      </c>
    </row>
    <row r="221">
      <c r="A221" s="59" t="str">
        <f>IF(AE221="","",AB221&amp;"-"&amp;AD221&amp;"-"&amp;RIGHT("000"&amp;AE221,4))</f>
        <v/>
      </c>
      <c r="B221" s="60" t="n"/>
      <c r="C221" s="61" t="n"/>
      <c r="D221" s="60" t="n"/>
      <c r="E221" s="62" t="str">
        <f>IF(D221="","",IFERROR(INDEX(cli_name,MATCH(D221,cli_code,0))&amp;"","Client inconnu"))</f>
        <v/>
      </c>
      <c r="F221" s="60" t="n"/>
      <c r="G221" s="63" t="n"/>
      <c r="H221" s="61" t="n"/>
      <c r="I221" s="63" t="n"/>
      <c r="J221" s="60" t="n"/>
      <c r="K221" s="61" t="n"/>
      <c r="L221" s="60" t="n"/>
      <c r="M221" s="60" t="n"/>
      <c r="N221" s="60" t="n"/>
      <c r="O221" s="61" t="n"/>
      <c r="P221" s="64" t="str">
        <f>IF(A221="","",IF(AA221="Avoir",AC221,IF(ISNUMBER(K221),K221,AC221+IF(D221="",N(p_delay),IFERROR(IF(ISNUMBER(INDEX(cli_delay,MATCH(D221,cli_code,0))),INDEX(cli_delay,MATCH(D221,cli_code,0)),N(p_delay)),N(p_delay))))))</f>
        <v/>
      </c>
      <c r="Q221" s="65" t="str">
        <f>IF(A221="","",IF(AA221="Avoir",-1,1)*ROUND(AJ221-IF(AR221="",0,INDEX(fa_htb,AR221)),2))</f>
        <v/>
      </c>
      <c r="R221" s="65" t="str">
        <f>IF(A221="","",IF(AA221="Avoir",-1,1)*ROUND(AQ221-IF(AR221="",0,INDEX(fa_tvab,AR221)),2))</f>
        <v/>
      </c>
      <c r="S221" s="65" t="str">
        <f>IF(A221="","",Q221+R221)</f>
        <v/>
      </c>
      <c r="T221" s="65" t="str">
        <f>IF(AR221="","",INDEX(fa_htb,AR221)+INDEX(fa_tvab,AR221))</f>
        <v/>
      </c>
      <c r="U221" s="65" t="str">
        <f>IF(A221="","",SUMIF(pa_inv,A221,pa_amt))</f>
        <v/>
      </c>
      <c r="V221" s="65" t="str">
        <f>IF(OR(A221="",AA221="Avoir"),"",-SUMIFS(fa_ttc,fa_avof,A221,fa_type,"Avoir"))</f>
        <v/>
      </c>
      <c r="W221" s="65" t="str">
        <f>IF(OR(A221="",AA221="Avoir"),"",ROUND(S221-U221-V221,2))</f>
        <v/>
      </c>
      <c r="X221" s="66" t="str">
        <f>IF(W221="","",IF(AND(W221&gt;0,p_asof&gt;P221),p_asof-P221,""))</f>
        <v/>
      </c>
      <c r="Y221" s="59" t="str">
        <f>IF(A221="","",IF(AA221="Avoir","Avoir",IF(W221&lt;0,"Trop-perçu",IF(W221=0,"Soldée",IF(p_asof&gt;P221,"En retard",IF(U221+V221&gt;0,"Partielle","À échoir"))))))</f>
        <v/>
      </c>
      <c r="Z221" s="59" t="str">
        <f>IF(NOT(COUNTA(B221:D221,F221:O221)&gt;0),"",IF(C221="","Date manquante",IF(NOT(ISNUMBER(C221)),"Date invalide",IF(D221="","Client manquant",IF(ISNA(MATCH(D221,cli_code,0)),"Client inconnu",IF(AC221&lt;SUMPRODUCT(MAX(($AB$6:AB220=AB221)*$AC$6:AC220)),"Date antérieure à la facture précédente",IF(AND(F221&lt;&gt;"",ISNA(MATCH(F221,dv_num,0))),"Devis inconnu",IF(AND(F221&lt;&gt;"",IFERROR(INDEX(dv_client,MATCH(F221,dv_num,0)),D221)&lt;&gt;D221),"Client différent de celui du devis",IF(AG221="","Aucune ligne : saisissez des lignes ou un devis",IF(AND(AI221&lt;&gt;"",COUNTIF($AI$6:AI221,AI221)&gt;1),"Devis déjà repris par une autre facture",IF(AND(AA221="Avoir",M221=""),"Avoir : indiquez la facture d'origine",IF(AND(AA221="Avoir",ISNA(MATCH(M221,fa_num,0))),"Facture d'origine inconnue",IF(AND(AA221&lt;&gt;"Avoir",M221&lt;&gt;""),"« Avoir sur facture » : réservé aux avoirs",IF(AND(L221&lt;&gt;"",AA221&lt;&gt;"Facture"),"Acompte à déduire : réservé aux factures",IF(AND(L221&lt;&gt;"",ISNA(MATCH(L221,fa_num,0))),"Facture d'acompte inconnue",IF(AND(L221&lt;&gt;"",IFERROR(INDEX(fa_type,MATCH(L221,fa_num,0)),"")&lt;&gt;"Facture d'acompte"),"Le n° à déduire n'est pas une facture d'acompte",IF(AND(L221&lt;&gt;"",COUNTIF($L$6:L221,L221)&gt;1),"Acompte déjà déduit sur une autre facture",IF(AND(L221&lt;&gt;"",IFERROR(INDEX(fa_client,MATCH(L221,fa_num,0)),D221)&lt;&gt;D221),"Acompte d'un autre client",IF(AND(AR221&lt;&gt;"",N(Q221)&lt;0),"Acompte supérieur au total de la facture",IF(IF(AG221="Facture",COUNTIFS(fl_doc,A221,fl_check,"&lt;&gt;OK"),IF(AG221="Devis",COUNTIFS(dl_doc,F221,dl_check,"&lt;&gt;OK"),0))&gt;0,"Ligne(s) à corriger",IF(AND(W221&lt;&gt;"",N(W221)&lt;0),"Trop-perçu : vérifiez paiements et avoirs","OK")))))))))))))))))))))</f>
        <v/>
      </c>
      <c r="AA221" s="62" t="str">
        <f>IF(COUNTA(B221:D221,F221:O221)&gt;0,IF(B221="","Facture",B221),"")</f>
        <v/>
      </c>
      <c r="AB221" s="62" t="str">
        <f>IF(AA221="","",IF(AA221="Avoir",p_pav,IF(AA221="Facture d'acompte",p_pac,p_pfa)))</f>
        <v/>
      </c>
      <c r="AC221" s="62">
        <f>IF(ISNUMBER(C221),C221,0)</f>
        <v>0.0</v>
      </c>
      <c r="AD221" s="62" t="str">
        <f>IF(OR(AA221="",AC221=0),"",YEAR(AC221))</f>
        <v/>
      </c>
      <c r="AE221" s="62" t="str">
        <f>IF(AD221="","",COUNTIFS($AB$6:AB221,AB221,$AD$6:AD221,AD221))</f>
        <v/>
      </c>
      <c r="AF221" s="62">
        <f>IF(A221="",0,COUNTIF(fl_doc,A221))</f>
        <v>0.0</v>
      </c>
      <c r="AG221" s="62" t="str">
        <f>IF(A221="","",IF(AF221&gt;0,"Facture",IF(AND(F221&lt;&gt;"",AA221="Facture",ISNUMBER(MATCH(F221,dv_num,0))),"Devis","")))</f>
        <v/>
      </c>
      <c r="AH221" s="62" t="str">
        <f>IF(AND(A221&lt;&gt;"",F221&lt;&gt;"",AA221&lt;&gt;"Avoir"),F221,"")</f>
        <v/>
      </c>
      <c r="AI221" s="62" t="str">
        <f>IF(AG221="Devis",F221,"")</f>
        <v/>
      </c>
      <c r="AJ221" s="62">
        <f>IF(AG221="Facture",SUMIF(fl_doc,A221,fl_ht),IF(AG221="Devis",SUMIF(dl_doc,F221,dl_ht),0))</f>
        <v>0.0</v>
      </c>
      <c r="AK221" s="62">
        <f>IF(OR(AG221="",INDEX(p_rates,1)=""),0,IF(AG221="Facture",SUMIFS(fl_ht,fl_doc,A221,fl_rate,INDEX(p_rates,1)),SUMIFS(dl_ht,dl_doc,F221,dl_rate,INDEX(p_rates,1))))</f>
        <v>0.0</v>
      </c>
      <c r="AL221" s="62">
        <f>IF(OR(AG221="",INDEX(p_rates,2)=""),0,IF(AG221="Facture",SUMIFS(fl_ht,fl_doc,A221,fl_rate,INDEX(p_rates,2)),SUMIFS(dl_ht,dl_doc,F221,dl_rate,INDEX(p_rates,2))))</f>
        <v>0.0</v>
      </c>
      <c r="AM221" s="62">
        <f>IF(OR(AG221="",INDEX(p_rates,3)=""),0,IF(AG221="Facture",SUMIFS(fl_ht,fl_doc,A221,fl_rate,INDEX(p_rates,3)),SUMIFS(dl_ht,dl_doc,F221,dl_rate,INDEX(p_rates,3))))</f>
        <v>0.0</v>
      </c>
      <c r="AN221" s="62">
        <f>IF(OR(AG221="",INDEX(p_rates,4)=""),0,IF(AG221="Facture",SUMIFS(fl_ht,fl_doc,A221,fl_rate,INDEX(p_rates,4)),SUMIFS(dl_ht,dl_doc,F221,dl_rate,INDEX(p_rates,4))))</f>
        <v>0.0</v>
      </c>
      <c r="AO221" s="62">
        <f>IF(OR(AG221="",INDEX(p_rates,5)=""),0,IF(AG221="Facture",SUMIFS(fl_ht,fl_doc,A221,fl_rate,INDEX(p_rates,5)),SUMIFS(dl_ht,dl_doc,F221,dl_rate,INDEX(p_rates,5))))</f>
        <v>0.0</v>
      </c>
      <c r="AP221" s="62">
        <f>IF(OR(AG221="",INDEX(p_rates,6)=""),0,IF(AG221="Facture",SUMIFS(fl_ht,fl_doc,A221,fl_rate,INDEX(p_rates,6)),SUMIFS(dl_ht,dl_doc,F221,dl_rate,INDEX(p_rates,6))))</f>
        <v>0.0</v>
      </c>
      <c r="AQ221" s="62">
        <f>ROUND(AK221*N(INDEX(p_rates,1)),2)+ROUND(AL221*N(INDEX(p_rates,2)),2)+ROUND(AM221*N(INDEX(p_rates,3)),2)+ROUND(AN221*N(INDEX(p_rates,4)),2)+ROUND(AO221*N(INDEX(p_rates,5)),2)+ROUND(AP221*N(INDEX(p_rates,6)),2)</f>
        <v>0.0</v>
      </c>
      <c r="AR221" s="62" t="str">
        <f>IF(OR(L221="",AA221&lt;&gt;"Facture"),"",IFERROR(IF(INDEX(fa_type,MATCH(L221,fa_num,0))="Facture d'acompte",MATCH(L221,fa_num,0),""),""))</f>
        <v/>
      </c>
      <c r="AS221" s="62" t="str">
        <f>IF(W221="","",IF(W221&lt;=0,"",IF(p_asof-P221&lt;=0,"Non échu",IF(p_asof-P221&lt;=30,"1-30 j",IF(p_asof-P221&lt;=60,"31-60 j",IF(p_asof-P221&lt;=90,"61-90 j","Plus de 90 j"))))))</f>
        <v/>
      </c>
      <c r="AT221" s="62" t="str">
        <f>IF(AS221="","",p_asof-P221)</f>
        <v/>
      </c>
      <c r="AU221" s="62" t="str">
        <f>IF(AT221="","",COUNTIF($AT$6:$AT$805,"&gt;"&amp;AT221)+COUNTIF($AT$6:AT221,AT221))</f>
        <v/>
      </c>
    </row>
    <row r="222">
      <c r="A222" s="59" t="str">
        <f>IF(AE222="","",AB222&amp;"-"&amp;AD222&amp;"-"&amp;RIGHT("000"&amp;AE222,4))</f>
        <v/>
      </c>
      <c r="B222" s="60" t="n"/>
      <c r="C222" s="61" t="n"/>
      <c r="D222" s="60" t="n"/>
      <c r="E222" s="62" t="str">
        <f>IF(D222="","",IFERROR(INDEX(cli_name,MATCH(D222,cli_code,0))&amp;"","Client inconnu"))</f>
        <v/>
      </c>
      <c r="F222" s="60" t="n"/>
      <c r="G222" s="63" t="n"/>
      <c r="H222" s="61" t="n"/>
      <c r="I222" s="63" t="n"/>
      <c r="J222" s="60" t="n"/>
      <c r="K222" s="61" t="n"/>
      <c r="L222" s="60" t="n"/>
      <c r="M222" s="60" t="n"/>
      <c r="N222" s="60" t="n"/>
      <c r="O222" s="61" t="n"/>
      <c r="P222" s="64" t="str">
        <f>IF(A222="","",IF(AA222="Avoir",AC222,IF(ISNUMBER(K222),K222,AC222+IF(D222="",N(p_delay),IFERROR(IF(ISNUMBER(INDEX(cli_delay,MATCH(D222,cli_code,0))),INDEX(cli_delay,MATCH(D222,cli_code,0)),N(p_delay)),N(p_delay))))))</f>
        <v/>
      </c>
      <c r="Q222" s="65" t="str">
        <f>IF(A222="","",IF(AA222="Avoir",-1,1)*ROUND(AJ222-IF(AR222="",0,INDEX(fa_htb,AR222)),2))</f>
        <v/>
      </c>
      <c r="R222" s="65" t="str">
        <f>IF(A222="","",IF(AA222="Avoir",-1,1)*ROUND(AQ222-IF(AR222="",0,INDEX(fa_tvab,AR222)),2))</f>
        <v/>
      </c>
      <c r="S222" s="65" t="str">
        <f>IF(A222="","",Q222+R222)</f>
        <v/>
      </c>
      <c r="T222" s="65" t="str">
        <f>IF(AR222="","",INDEX(fa_htb,AR222)+INDEX(fa_tvab,AR222))</f>
        <v/>
      </c>
      <c r="U222" s="65" t="str">
        <f>IF(A222="","",SUMIF(pa_inv,A222,pa_amt))</f>
        <v/>
      </c>
      <c r="V222" s="65" t="str">
        <f>IF(OR(A222="",AA222="Avoir"),"",-SUMIFS(fa_ttc,fa_avof,A222,fa_type,"Avoir"))</f>
        <v/>
      </c>
      <c r="W222" s="65" t="str">
        <f>IF(OR(A222="",AA222="Avoir"),"",ROUND(S222-U222-V222,2))</f>
        <v/>
      </c>
      <c r="X222" s="66" t="str">
        <f>IF(W222="","",IF(AND(W222&gt;0,p_asof&gt;P222),p_asof-P222,""))</f>
        <v/>
      </c>
      <c r="Y222" s="59" t="str">
        <f>IF(A222="","",IF(AA222="Avoir","Avoir",IF(W222&lt;0,"Trop-perçu",IF(W222=0,"Soldée",IF(p_asof&gt;P222,"En retard",IF(U222+V222&gt;0,"Partielle","À échoir"))))))</f>
        <v/>
      </c>
      <c r="Z222" s="59" t="str">
        <f>IF(NOT(COUNTA(B222:D222,F222:O222)&gt;0),"",IF(C222="","Date manquante",IF(NOT(ISNUMBER(C222)),"Date invalide",IF(D222="","Client manquant",IF(ISNA(MATCH(D222,cli_code,0)),"Client inconnu",IF(AC222&lt;SUMPRODUCT(MAX(($AB$6:AB221=AB222)*$AC$6:AC221)),"Date antérieure à la facture précédente",IF(AND(F222&lt;&gt;"",ISNA(MATCH(F222,dv_num,0))),"Devis inconnu",IF(AND(F222&lt;&gt;"",IFERROR(INDEX(dv_client,MATCH(F222,dv_num,0)),D222)&lt;&gt;D222),"Client différent de celui du devis",IF(AG222="","Aucune ligne : saisissez des lignes ou un devis",IF(AND(AI222&lt;&gt;"",COUNTIF($AI$6:AI222,AI222)&gt;1),"Devis déjà repris par une autre facture",IF(AND(AA222="Avoir",M222=""),"Avoir : indiquez la facture d'origine",IF(AND(AA222="Avoir",ISNA(MATCH(M222,fa_num,0))),"Facture d'origine inconnue",IF(AND(AA222&lt;&gt;"Avoir",M222&lt;&gt;""),"« Avoir sur facture » : réservé aux avoirs",IF(AND(L222&lt;&gt;"",AA222&lt;&gt;"Facture"),"Acompte à déduire : réservé aux factures",IF(AND(L222&lt;&gt;"",ISNA(MATCH(L222,fa_num,0))),"Facture d'acompte inconnue",IF(AND(L222&lt;&gt;"",IFERROR(INDEX(fa_type,MATCH(L222,fa_num,0)),"")&lt;&gt;"Facture d'acompte"),"Le n° à déduire n'est pas une facture d'acompte",IF(AND(L222&lt;&gt;"",COUNTIF($L$6:L222,L222)&gt;1),"Acompte déjà déduit sur une autre facture",IF(AND(L222&lt;&gt;"",IFERROR(INDEX(fa_client,MATCH(L222,fa_num,0)),D222)&lt;&gt;D222),"Acompte d'un autre client",IF(AND(AR222&lt;&gt;"",N(Q222)&lt;0),"Acompte supérieur au total de la facture",IF(IF(AG222="Facture",COUNTIFS(fl_doc,A222,fl_check,"&lt;&gt;OK"),IF(AG222="Devis",COUNTIFS(dl_doc,F222,dl_check,"&lt;&gt;OK"),0))&gt;0,"Ligne(s) à corriger",IF(AND(W222&lt;&gt;"",N(W222)&lt;0),"Trop-perçu : vérifiez paiements et avoirs","OK")))))))))))))))))))))</f>
        <v/>
      </c>
      <c r="AA222" s="62" t="str">
        <f>IF(COUNTA(B222:D222,F222:O222)&gt;0,IF(B222="","Facture",B222),"")</f>
        <v/>
      </c>
      <c r="AB222" s="62" t="str">
        <f>IF(AA222="","",IF(AA222="Avoir",p_pav,IF(AA222="Facture d'acompte",p_pac,p_pfa)))</f>
        <v/>
      </c>
      <c r="AC222" s="62">
        <f>IF(ISNUMBER(C222),C222,0)</f>
        <v>0.0</v>
      </c>
      <c r="AD222" s="62" t="str">
        <f>IF(OR(AA222="",AC222=0),"",YEAR(AC222))</f>
        <v/>
      </c>
      <c r="AE222" s="62" t="str">
        <f>IF(AD222="","",COUNTIFS($AB$6:AB222,AB222,$AD$6:AD222,AD222))</f>
        <v/>
      </c>
      <c r="AF222" s="62">
        <f>IF(A222="",0,COUNTIF(fl_doc,A222))</f>
        <v>0.0</v>
      </c>
      <c r="AG222" s="62" t="str">
        <f>IF(A222="","",IF(AF222&gt;0,"Facture",IF(AND(F222&lt;&gt;"",AA222="Facture",ISNUMBER(MATCH(F222,dv_num,0))),"Devis","")))</f>
        <v/>
      </c>
      <c r="AH222" s="62" t="str">
        <f>IF(AND(A222&lt;&gt;"",F222&lt;&gt;"",AA222&lt;&gt;"Avoir"),F222,"")</f>
        <v/>
      </c>
      <c r="AI222" s="62" t="str">
        <f>IF(AG222="Devis",F222,"")</f>
        <v/>
      </c>
      <c r="AJ222" s="62">
        <f>IF(AG222="Facture",SUMIF(fl_doc,A222,fl_ht),IF(AG222="Devis",SUMIF(dl_doc,F222,dl_ht),0))</f>
        <v>0.0</v>
      </c>
      <c r="AK222" s="62">
        <f>IF(OR(AG222="",INDEX(p_rates,1)=""),0,IF(AG222="Facture",SUMIFS(fl_ht,fl_doc,A222,fl_rate,INDEX(p_rates,1)),SUMIFS(dl_ht,dl_doc,F222,dl_rate,INDEX(p_rates,1))))</f>
        <v>0.0</v>
      </c>
      <c r="AL222" s="62">
        <f>IF(OR(AG222="",INDEX(p_rates,2)=""),0,IF(AG222="Facture",SUMIFS(fl_ht,fl_doc,A222,fl_rate,INDEX(p_rates,2)),SUMIFS(dl_ht,dl_doc,F222,dl_rate,INDEX(p_rates,2))))</f>
        <v>0.0</v>
      </c>
      <c r="AM222" s="62">
        <f>IF(OR(AG222="",INDEX(p_rates,3)=""),0,IF(AG222="Facture",SUMIFS(fl_ht,fl_doc,A222,fl_rate,INDEX(p_rates,3)),SUMIFS(dl_ht,dl_doc,F222,dl_rate,INDEX(p_rates,3))))</f>
        <v>0.0</v>
      </c>
      <c r="AN222" s="62">
        <f>IF(OR(AG222="",INDEX(p_rates,4)=""),0,IF(AG222="Facture",SUMIFS(fl_ht,fl_doc,A222,fl_rate,INDEX(p_rates,4)),SUMIFS(dl_ht,dl_doc,F222,dl_rate,INDEX(p_rates,4))))</f>
        <v>0.0</v>
      </c>
      <c r="AO222" s="62">
        <f>IF(OR(AG222="",INDEX(p_rates,5)=""),0,IF(AG222="Facture",SUMIFS(fl_ht,fl_doc,A222,fl_rate,INDEX(p_rates,5)),SUMIFS(dl_ht,dl_doc,F222,dl_rate,INDEX(p_rates,5))))</f>
        <v>0.0</v>
      </c>
      <c r="AP222" s="62">
        <f>IF(OR(AG222="",INDEX(p_rates,6)=""),0,IF(AG222="Facture",SUMIFS(fl_ht,fl_doc,A222,fl_rate,INDEX(p_rates,6)),SUMIFS(dl_ht,dl_doc,F222,dl_rate,INDEX(p_rates,6))))</f>
        <v>0.0</v>
      </c>
      <c r="AQ222" s="62">
        <f>ROUND(AK222*N(INDEX(p_rates,1)),2)+ROUND(AL222*N(INDEX(p_rates,2)),2)+ROUND(AM222*N(INDEX(p_rates,3)),2)+ROUND(AN222*N(INDEX(p_rates,4)),2)+ROUND(AO222*N(INDEX(p_rates,5)),2)+ROUND(AP222*N(INDEX(p_rates,6)),2)</f>
        <v>0.0</v>
      </c>
      <c r="AR222" s="62" t="str">
        <f>IF(OR(L222="",AA222&lt;&gt;"Facture"),"",IFERROR(IF(INDEX(fa_type,MATCH(L222,fa_num,0))="Facture d'acompte",MATCH(L222,fa_num,0),""),""))</f>
        <v/>
      </c>
      <c r="AS222" s="62" t="str">
        <f>IF(W222="","",IF(W222&lt;=0,"",IF(p_asof-P222&lt;=0,"Non échu",IF(p_asof-P222&lt;=30,"1-30 j",IF(p_asof-P222&lt;=60,"31-60 j",IF(p_asof-P222&lt;=90,"61-90 j","Plus de 90 j"))))))</f>
        <v/>
      </c>
      <c r="AT222" s="62" t="str">
        <f>IF(AS222="","",p_asof-P222)</f>
        <v/>
      </c>
      <c r="AU222" s="62" t="str">
        <f>IF(AT222="","",COUNTIF($AT$6:$AT$805,"&gt;"&amp;AT222)+COUNTIF($AT$6:AT222,AT222))</f>
        <v/>
      </c>
    </row>
    <row r="223">
      <c r="A223" s="59" t="str">
        <f>IF(AE223="","",AB223&amp;"-"&amp;AD223&amp;"-"&amp;RIGHT("000"&amp;AE223,4))</f>
        <v/>
      </c>
      <c r="B223" s="60" t="n"/>
      <c r="C223" s="61" t="n"/>
      <c r="D223" s="60" t="n"/>
      <c r="E223" s="62" t="str">
        <f>IF(D223="","",IFERROR(INDEX(cli_name,MATCH(D223,cli_code,0))&amp;"","Client inconnu"))</f>
        <v/>
      </c>
      <c r="F223" s="60" t="n"/>
      <c r="G223" s="63" t="n"/>
      <c r="H223" s="61" t="n"/>
      <c r="I223" s="63" t="n"/>
      <c r="J223" s="60" t="n"/>
      <c r="K223" s="61" t="n"/>
      <c r="L223" s="60" t="n"/>
      <c r="M223" s="60" t="n"/>
      <c r="N223" s="60" t="n"/>
      <c r="O223" s="61" t="n"/>
      <c r="P223" s="64" t="str">
        <f>IF(A223="","",IF(AA223="Avoir",AC223,IF(ISNUMBER(K223),K223,AC223+IF(D223="",N(p_delay),IFERROR(IF(ISNUMBER(INDEX(cli_delay,MATCH(D223,cli_code,0))),INDEX(cli_delay,MATCH(D223,cli_code,0)),N(p_delay)),N(p_delay))))))</f>
        <v/>
      </c>
      <c r="Q223" s="65" t="str">
        <f>IF(A223="","",IF(AA223="Avoir",-1,1)*ROUND(AJ223-IF(AR223="",0,INDEX(fa_htb,AR223)),2))</f>
        <v/>
      </c>
      <c r="R223" s="65" t="str">
        <f>IF(A223="","",IF(AA223="Avoir",-1,1)*ROUND(AQ223-IF(AR223="",0,INDEX(fa_tvab,AR223)),2))</f>
        <v/>
      </c>
      <c r="S223" s="65" t="str">
        <f>IF(A223="","",Q223+R223)</f>
        <v/>
      </c>
      <c r="T223" s="65" t="str">
        <f>IF(AR223="","",INDEX(fa_htb,AR223)+INDEX(fa_tvab,AR223))</f>
        <v/>
      </c>
      <c r="U223" s="65" t="str">
        <f>IF(A223="","",SUMIF(pa_inv,A223,pa_amt))</f>
        <v/>
      </c>
      <c r="V223" s="65" t="str">
        <f>IF(OR(A223="",AA223="Avoir"),"",-SUMIFS(fa_ttc,fa_avof,A223,fa_type,"Avoir"))</f>
        <v/>
      </c>
      <c r="W223" s="65" t="str">
        <f>IF(OR(A223="",AA223="Avoir"),"",ROUND(S223-U223-V223,2))</f>
        <v/>
      </c>
      <c r="X223" s="66" t="str">
        <f>IF(W223="","",IF(AND(W223&gt;0,p_asof&gt;P223),p_asof-P223,""))</f>
        <v/>
      </c>
      <c r="Y223" s="59" t="str">
        <f>IF(A223="","",IF(AA223="Avoir","Avoir",IF(W223&lt;0,"Trop-perçu",IF(W223=0,"Soldée",IF(p_asof&gt;P223,"En retard",IF(U223+V223&gt;0,"Partielle","À échoir"))))))</f>
        <v/>
      </c>
      <c r="Z223" s="59" t="str">
        <f>IF(NOT(COUNTA(B223:D223,F223:O223)&gt;0),"",IF(C223="","Date manquante",IF(NOT(ISNUMBER(C223)),"Date invalide",IF(D223="","Client manquant",IF(ISNA(MATCH(D223,cli_code,0)),"Client inconnu",IF(AC223&lt;SUMPRODUCT(MAX(($AB$6:AB222=AB223)*$AC$6:AC222)),"Date antérieure à la facture précédente",IF(AND(F223&lt;&gt;"",ISNA(MATCH(F223,dv_num,0))),"Devis inconnu",IF(AND(F223&lt;&gt;"",IFERROR(INDEX(dv_client,MATCH(F223,dv_num,0)),D223)&lt;&gt;D223),"Client différent de celui du devis",IF(AG223="","Aucune ligne : saisissez des lignes ou un devis",IF(AND(AI223&lt;&gt;"",COUNTIF($AI$6:AI223,AI223)&gt;1),"Devis déjà repris par une autre facture",IF(AND(AA223="Avoir",M223=""),"Avoir : indiquez la facture d'origine",IF(AND(AA223="Avoir",ISNA(MATCH(M223,fa_num,0))),"Facture d'origine inconnue",IF(AND(AA223&lt;&gt;"Avoir",M223&lt;&gt;""),"« Avoir sur facture » : réservé aux avoirs",IF(AND(L223&lt;&gt;"",AA223&lt;&gt;"Facture"),"Acompte à déduire : réservé aux factures",IF(AND(L223&lt;&gt;"",ISNA(MATCH(L223,fa_num,0))),"Facture d'acompte inconnue",IF(AND(L223&lt;&gt;"",IFERROR(INDEX(fa_type,MATCH(L223,fa_num,0)),"")&lt;&gt;"Facture d'acompte"),"Le n° à déduire n'est pas une facture d'acompte",IF(AND(L223&lt;&gt;"",COUNTIF($L$6:L223,L223)&gt;1),"Acompte déjà déduit sur une autre facture",IF(AND(L223&lt;&gt;"",IFERROR(INDEX(fa_client,MATCH(L223,fa_num,0)),D223)&lt;&gt;D223),"Acompte d'un autre client",IF(AND(AR223&lt;&gt;"",N(Q223)&lt;0),"Acompte supérieur au total de la facture",IF(IF(AG223="Facture",COUNTIFS(fl_doc,A223,fl_check,"&lt;&gt;OK"),IF(AG223="Devis",COUNTIFS(dl_doc,F223,dl_check,"&lt;&gt;OK"),0))&gt;0,"Ligne(s) à corriger",IF(AND(W223&lt;&gt;"",N(W223)&lt;0),"Trop-perçu : vérifiez paiements et avoirs","OK")))))))))))))))))))))</f>
        <v/>
      </c>
      <c r="AA223" s="62" t="str">
        <f>IF(COUNTA(B223:D223,F223:O223)&gt;0,IF(B223="","Facture",B223),"")</f>
        <v/>
      </c>
      <c r="AB223" s="62" t="str">
        <f>IF(AA223="","",IF(AA223="Avoir",p_pav,IF(AA223="Facture d'acompte",p_pac,p_pfa)))</f>
        <v/>
      </c>
      <c r="AC223" s="62">
        <f>IF(ISNUMBER(C223),C223,0)</f>
        <v>0.0</v>
      </c>
      <c r="AD223" s="62" t="str">
        <f>IF(OR(AA223="",AC223=0),"",YEAR(AC223))</f>
        <v/>
      </c>
      <c r="AE223" s="62" t="str">
        <f>IF(AD223="","",COUNTIFS($AB$6:AB223,AB223,$AD$6:AD223,AD223))</f>
        <v/>
      </c>
      <c r="AF223" s="62">
        <f>IF(A223="",0,COUNTIF(fl_doc,A223))</f>
        <v>0.0</v>
      </c>
      <c r="AG223" s="62" t="str">
        <f>IF(A223="","",IF(AF223&gt;0,"Facture",IF(AND(F223&lt;&gt;"",AA223="Facture",ISNUMBER(MATCH(F223,dv_num,0))),"Devis","")))</f>
        <v/>
      </c>
      <c r="AH223" s="62" t="str">
        <f>IF(AND(A223&lt;&gt;"",F223&lt;&gt;"",AA223&lt;&gt;"Avoir"),F223,"")</f>
        <v/>
      </c>
      <c r="AI223" s="62" t="str">
        <f>IF(AG223="Devis",F223,"")</f>
        <v/>
      </c>
      <c r="AJ223" s="62">
        <f>IF(AG223="Facture",SUMIF(fl_doc,A223,fl_ht),IF(AG223="Devis",SUMIF(dl_doc,F223,dl_ht),0))</f>
        <v>0.0</v>
      </c>
      <c r="AK223" s="62">
        <f>IF(OR(AG223="",INDEX(p_rates,1)=""),0,IF(AG223="Facture",SUMIFS(fl_ht,fl_doc,A223,fl_rate,INDEX(p_rates,1)),SUMIFS(dl_ht,dl_doc,F223,dl_rate,INDEX(p_rates,1))))</f>
        <v>0.0</v>
      </c>
      <c r="AL223" s="62">
        <f>IF(OR(AG223="",INDEX(p_rates,2)=""),0,IF(AG223="Facture",SUMIFS(fl_ht,fl_doc,A223,fl_rate,INDEX(p_rates,2)),SUMIFS(dl_ht,dl_doc,F223,dl_rate,INDEX(p_rates,2))))</f>
        <v>0.0</v>
      </c>
      <c r="AM223" s="62">
        <f>IF(OR(AG223="",INDEX(p_rates,3)=""),0,IF(AG223="Facture",SUMIFS(fl_ht,fl_doc,A223,fl_rate,INDEX(p_rates,3)),SUMIFS(dl_ht,dl_doc,F223,dl_rate,INDEX(p_rates,3))))</f>
        <v>0.0</v>
      </c>
      <c r="AN223" s="62">
        <f>IF(OR(AG223="",INDEX(p_rates,4)=""),0,IF(AG223="Facture",SUMIFS(fl_ht,fl_doc,A223,fl_rate,INDEX(p_rates,4)),SUMIFS(dl_ht,dl_doc,F223,dl_rate,INDEX(p_rates,4))))</f>
        <v>0.0</v>
      </c>
      <c r="AO223" s="62">
        <f>IF(OR(AG223="",INDEX(p_rates,5)=""),0,IF(AG223="Facture",SUMIFS(fl_ht,fl_doc,A223,fl_rate,INDEX(p_rates,5)),SUMIFS(dl_ht,dl_doc,F223,dl_rate,INDEX(p_rates,5))))</f>
        <v>0.0</v>
      </c>
      <c r="AP223" s="62">
        <f>IF(OR(AG223="",INDEX(p_rates,6)=""),0,IF(AG223="Facture",SUMIFS(fl_ht,fl_doc,A223,fl_rate,INDEX(p_rates,6)),SUMIFS(dl_ht,dl_doc,F223,dl_rate,INDEX(p_rates,6))))</f>
        <v>0.0</v>
      </c>
      <c r="AQ223" s="62">
        <f>ROUND(AK223*N(INDEX(p_rates,1)),2)+ROUND(AL223*N(INDEX(p_rates,2)),2)+ROUND(AM223*N(INDEX(p_rates,3)),2)+ROUND(AN223*N(INDEX(p_rates,4)),2)+ROUND(AO223*N(INDEX(p_rates,5)),2)+ROUND(AP223*N(INDEX(p_rates,6)),2)</f>
        <v>0.0</v>
      </c>
      <c r="AR223" s="62" t="str">
        <f>IF(OR(L223="",AA223&lt;&gt;"Facture"),"",IFERROR(IF(INDEX(fa_type,MATCH(L223,fa_num,0))="Facture d'acompte",MATCH(L223,fa_num,0),""),""))</f>
        <v/>
      </c>
      <c r="AS223" s="62" t="str">
        <f>IF(W223="","",IF(W223&lt;=0,"",IF(p_asof-P223&lt;=0,"Non échu",IF(p_asof-P223&lt;=30,"1-30 j",IF(p_asof-P223&lt;=60,"31-60 j",IF(p_asof-P223&lt;=90,"61-90 j","Plus de 90 j"))))))</f>
        <v/>
      </c>
      <c r="AT223" s="62" t="str">
        <f>IF(AS223="","",p_asof-P223)</f>
        <v/>
      </c>
      <c r="AU223" s="62" t="str">
        <f>IF(AT223="","",COUNTIF($AT$6:$AT$805,"&gt;"&amp;AT223)+COUNTIF($AT$6:AT223,AT223))</f>
        <v/>
      </c>
    </row>
    <row r="224">
      <c r="A224" s="59" t="str">
        <f>IF(AE224="","",AB224&amp;"-"&amp;AD224&amp;"-"&amp;RIGHT("000"&amp;AE224,4))</f>
        <v/>
      </c>
      <c r="B224" s="60" t="n"/>
      <c r="C224" s="61" t="n"/>
      <c r="D224" s="60" t="n"/>
      <c r="E224" s="62" t="str">
        <f>IF(D224="","",IFERROR(INDEX(cli_name,MATCH(D224,cli_code,0))&amp;"","Client inconnu"))</f>
        <v/>
      </c>
      <c r="F224" s="60" t="n"/>
      <c r="G224" s="63" t="n"/>
      <c r="H224" s="61" t="n"/>
      <c r="I224" s="63" t="n"/>
      <c r="J224" s="60" t="n"/>
      <c r="K224" s="61" t="n"/>
      <c r="L224" s="60" t="n"/>
      <c r="M224" s="60" t="n"/>
      <c r="N224" s="60" t="n"/>
      <c r="O224" s="61" t="n"/>
      <c r="P224" s="64" t="str">
        <f>IF(A224="","",IF(AA224="Avoir",AC224,IF(ISNUMBER(K224),K224,AC224+IF(D224="",N(p_delay),IFERROR(IF(ISNUMBER(INDEX(cli_delay,MATCH(D224,cli_code,0))),INDEX(cli_delay,MATCH(D224,cli_code,0)),N(p_delay)),N(p_delay))))))</f>
        <v/>
      </c>
      <c r="Q224" s="65" t="str">
        <f>IF(A224="","",IF(AA224="Avoir",-1,1)*ROUND(AJ224-IF(AR224="",0,INDEX(fa_htb,AR224)),2))</f>
        <v/>
      </c>
      <c r="R224" s="65" t="str">
        <f>IF(A224="","",IF(AA224="Avoir",-1,1)*ROUND(AQ224-IF(AR224="",0,INDEX(fa_tvab,AR224)),2))</f>
        <v/>
      </c>
      <c r="S224" s="65" t="str">
        <f>IF(A224="","",Q224+R224)</f>
        <v/>
      </c>
      <c r="T224" s="65" t="str">
        <f>IF(AR224="","",INDEX(fa_htb,AR224)+INDEX(fa_tvab,AR224))</f>
        <v/>
      </c>
      <c r="U224" s="65" t="str">
        <f>IF(A224="","",SUMIF(pa_inv,A224,pa_amt))</f>
        <v/>
      </c>
      <c r="V224" s="65" t="str">
        <f>IF(OR(A224="",AA224="Avoir"),"",-SUMIFS(fa_ttc,fa_avof,A224,fa_type,"Avoir"))</f>
        <v/>
      </c>
      <c r="W224" s="65" t="str">
        <f>IF(OR(A224="",AA224="Avoir"),"",ROUND(S224-U224-V224,2))</f>
        <v/>
      </c>
      <c r="X224" s="66" t="str">
        <f>IF(W224="","",IF(AND(W224&gt;0,p_asof&gt;P224),p_asof-P224,""))</f>
        <v/>
      </c>
      <c r="Y224" s="59" t="str">
        <f>IF(A224="","",IF(AA224="Avoir","Avoir",IF(W224&lt;0,"Trop-perçu",IF(W224=0,"Soldée",IF(p_asof&gt;P224,"En retard",IF(U224+V224&gt;0,"Partielle","À échoir"))))))</f>
        <v/>
      </c>
      <c r="Z224" s="59" t="str">
        <f>IF(NOT(COUNTA(B224:D224,F224:O224)&gt;0),"",IF(C224="","Date manquante",IF(NOT(ISNUMBER(C224)),"Date invalide",IF(D224="","Client manquant",IF(ISNA(MATCH(D224,cli_code,0)),"Client inconnu",IF(AC224&lt;SUMPRODUCT(MAX(($AB$6:AB223=AB224)*$AC$6:AC223)),"Date antérieure à la facture précédente",IF(AND(F224&lt;&gt;"",ISNA(MATCH(F224,dv_num,0))),"Devis inconnu",IF(AND(F224&lt;&gt;"",IFERROR(INDEX(dv_client,MATCH(F224,dv_num,0)),D224)&lt;&gt;D224),"Client différent de celui du devis",IF(AG224="","Aucune ligne : saisissez des lignes ou un devis",IF(AND(AI224&lt;&gt;"",COUNTIF($AI$6:AI224,AI224)&gt;1),"Devis déjà repris par une autre facture",IF(AND(AA224="Avoir",M224=""),"Avoir : indiquez la facture d'origine",IF(AND(AA224="Avoir",ISNA(MATCH(M224,fa_num,0))),"Facture d'origine inconnue",IF(AND(AA224&lt;&gt;"Avoir",M224&lt;&gt;""),"« Avoir sur facture » : réservé aux avoirs",IF(AND(L224&lt;&gt;"",AA224&lt;&gt;"Facture"),"Acompte à déduire : réservé aux factures",IF(AND(L224&lt;&gt;"",ISNA(MATCH(L224,fa_num,0))),"Facture d'acompte inconnue",IF(AND(L224&lt;&gt;"",IFERROR(INDEX(fa_type,MATCH(L224,fa_num,0)),"")&lt;&gt;"Facture d'acompte"),"Le n° à déduire n'est pas une facture d'acompte",IF(AND(L224&lt;&gt;"",COUNTIF($L$6:L224,L224)&gt;1),"Acompte déjà déduit sur une autre facture",IF(AND(L224&lt;&gt;"",IFERROR(INDEX(fa_client,MATCH(L224,fa_num,0)),D224)&lt;&gt;D224),"Acompte d'un autre client",IF(AND(AR224&lt;&gt;"",N(Q224)&lt;0),"Acompte supérieur au total de la facture",IF(IF(AG224="Facture",COUNTIFS(fl_doc,A224,fl_check,"&lt;&gt;OK"),IF(AG224="Devis",COUNTIFS(dl_doc,F224,dl_check,"&lt;&gt;OK"),0))&gt;0,"Ligne(s) à corriger",IF(AND(W224&lt;&gt;"",N(W224)&lt;0),"Trop-perçu : vérifiez paiements et avoirs","OK")))))))))))))))))))))</f>
        <v/>
      </c>
      <c r="AA224" s="62" t="str">
        <f>IF(COUNTA(B224:D224,F224:O224)&gt;0,IF(B224="","Facture",B224),"")</f>
        <v/>
      </c>
      <c r="AB224" s="62" t="str">
        <f>IF(AA224="","",IF(AA224="Avoir",p_pav,IF(AA224="Facture d'acompte",p_pac,p_pfa)))</f>
        <v/>
      </c>
      <c r="AC224" s="62">
        <f>IF(ISNUMBER(C224),C224,0)</f>
        <v>0.0</v>
      </c>
      <c r="AD224" s="62" t="str">
        <f>IF(OR(AA224="",AC224=0),"",YEAR(AC224))</f>
        <v/>
      </c>
      <c r="AE224" s="62" t="str">
        <f>IF(AD224="","",COUNTIFS($AB$6:AB224,AB224,$AD$6:AD224,AD224))</f>
        <v/>
      </c>
      <c r="AF224" s="62">
        <f>IF(A224="",0,COUNTIF(fl_doc,A224))</f>
        <v>0.0</v>
      </c>
      <c r="AG224" s="62" t="str">
        <f>IF(A224="","",IF(AF224&gt;0,"Facture",IF(AND(F224&lt;&gt;"",AA224="Facture",ISNUMBER(MATCH(F224,dv_num,0))),"Devis","")))</f>
        <v/>
      </c>
      <c r="AH224" s="62" t="str">
        <f>IF(AND(A224&lt;&gt;"",F224&lt;&gt;"",AA224&lt;&gt;"Avoir"),F224,"")</f>
        <v/>
      </c>
      <c r="AI224" s="62" t="str">
        <f>IF(AG224="Devis",F224,"")</f>
        <v/>
      </c>
      <c r="AJ224" s="62">
        <f>IF(AG224="Facture",SUMIF(fl_doc,A224,fl_ht),IF(AG224="Devis",SUMIF(dl_doc,F224,dl_ht),0))</f>
        <v>0.0</v>
      </c>
      <c r="AK224" s="62">
        <f>IF(OR(AG224="",INDEX(p_rates,1)=""),0,IF(AG224="Facture",SUMIFS(fl_ht,fl_doc,A224,fl_rate,INDEX(p_rates,1)),SUMIFS(dl_ht,dl_doc,F224,dl_rate,INDEX(p_rates,1))))</f>
        <v>0.0</v>
      </c>
      <c r="AL224" s="62">
        <f>IF(OR(AG224="",INDEX(p_rates,2)=""),0,IF(AG224="Facture",SUMIFS(fl_ht,fl_doc,A224,fl_rate,INDEX(p_rates,2)),SUMIFS(dl_ht,dl_doc,F224,dl_rate,INDEX(p_rates,2))))</f>
        <v>0.0</v>
      </c>
      <c r="AM224" s="62">
        <f>IF(OR(AG224="",INDEX(p_rates,3)=""),0,IF(AG224="Facture",SUMIFS(fl_ht,fl_doc,A224,fl_rate,INDEX(p_rates,3)),SUMIFS(dl_ht,dl_doc,F224,dl_rate,INDEX(p_rates,3))))</f>
        <v>0.0</v>
      </c>
      <c r="AN224" s="62">
        <f>IF(OR(AG224="",INDEX(p_rates,4)=""),0,IF(AG224="Facture",SUMIFS(fl_ht,fl_doc,A224,fl_rate,INDEX(p_rates,4)),SUMIFS(dl_ht,dl_doc,F224,dl_rate,INDEX(p_rates,4))))</f>
        <v>0.0</v>
      </c>
      <c r="AO224" s="62">
        <f>IF(OR(AG224="",INDEX(p_rates,5)=""),0,IF(AG224="Facture",SUMIFS(fl_ht,fl_doc,A224,fl_rate,INDEX(p_rates,5)),SUMIFS(dl_ht,dl_doc,F224,dl_rate,INDEX(p_rates,5))))</f>
        <v>0.0</v>
      </c>
      <c r="AP224" s="62">
        <f>IF(OR(AG224="",INDEX(p_rates,6)=""),0,IF(AG224="Facture",SUMIFS(fl_ht,fl_doc,A224,fl_rate,INDEX(p_rates,6)),SUMIFS(dl_ht,dl_doc,F224,dl_rate,INDEX(p_rates,6))))</f>
        <v>0.0</v>
      </c>
      <c r="AQ224" s="62">
        <f>ROUND(AK224*N(INDEX(p_rates,1)),2)+ROUND(AL224*N(INDEX(p_rates,2)),2)+ROUND(AM224*N(INDEX(p_rates,3)),2)+ROUND(AN224*N(INDEX(p_rates,4)),2)+ROUND(AO224*N(INDEX(p_rates,5)),2)+ROUND(AP224*N(INDEX(p_rates,6)),2)</f>
        <v>0.0</v>
      </c>
      <c r="AR224" s="62" t="str">
        <f>IF(OR(L224="",AA224&lt;&gt;"Facture"),"",IFERROR(IF(INDEX(fa_type,MATCH(L224,fa_num,0))="Facture d'acompte",MATCH(L224,fa_num,0),""),""))</f>
        <v/>
      </c>
      <c r="AS224" s="62" t="str">
        <f>IF(W224="","",IF(W224&lt;=0,"",IF(p_asof-P224&lt;=0,"Non échu",IF(p_asof-P224&lt;=30,"1-30 j",IF(p_asof-P224&lt;=60,"31-60 j",IF(p_asof-P224&lt;=90,"61-90 j","Plus de 90 j"))))))</f>
        <v/>
      </c>
      <c r="AT224" s="62" t="str">
        <f>IF(AS224="","",p_asof-P224)</f>
        <v/>
      </c>
      <c r="AU224" s="62" t="str">
        <f>IF(AT224="","",COUNTIF($AT$6:$AT$805,"&gt;"&amp;AT224)+COUNTIF($AT$6:AT224,AT224))</f>
        <v/>
      </c>
    </row>
    <row r="225">
      <c r="A225" s="59" t="str">
        <f>IF(AE225="","",AB225&amp;"-"&amp;AD225&amp;"-"&amp;RIGHT("000"&amp;AE225,4))</f>
        <v/>
      </c>
      <c r="B225" s="60" t="n"/>
      <c r="C225" s="61" t="n"/>
      <c r="D225" s="60" t="n"/>
      <c r="E225" s="62" t="str">
        <f>IF(D225="","",IFERROR(INDEX(cli_name,MATCH(D225,cli_code,0))&amp;"","Client inconnu"))</f>
        <v/>
      </c>
      <c r="F225" s="60" t="n"/>
      <c r="G225" s="63" t="n"/>
      <c r="H225" s="61" t="n"/>
      <c r="I225" s="63" t="n"/>
      <c r="J225" s="60" t="n"/>
      <c r="K225" s="61" t="n"/>
      <c r="L225" s="60" t="n"/>
      <c r="M225" s="60" t="n"/>
      <c r="N225" s="60" t="n"/>
      <c r="O225" s="61" t="n"/>
      <c r="P225" s="64" t="str">
        <f>IF(A225="","",IF(AA225="Avoir",AC225,IF(ISNUMBER(K225),K225,AC225+IF(D225="",N(p_delay),IFERROR(IF(ISNUMBER(INDEX(cli_delay,MATCH(D225,cli_code,0))),INDEX(cli_delay,MATCH(D225,cli_code,0)),N(p_delay)),N(p_delay))))))</f>
        <v/>
      </c>
      <c r="Q225" s="65" t="str">
        <f>IF(A225="","",IF(AA225="Avoir",-1,1)*ROUND(AJ225-IF(AR225="",0,INDEX(fa_htb,AR225)),2))</f>
        <v/>
      </c>
      <c r="R225" s="65" t="str">
        <f>IF(A225="","",IF(AA225="Avoir",-1,1)*ROUND(AQ225-IF(AR225="",0,INDEX(fa_tvab,AR225)),2))</f>
        <v/>
      </c>
      <c r="S225" s="65" t="str">
        <f>IF(A225="","",Q225+R225)</f>
        <v/>
      </c>
      <c r="T225" s="65" t="str">
        <f>IF(AR225="","",INDEX(fa_htb,AR225)+INDEX(fa_tvab,AR225))</f>
        <v/>
      </c>
      <c r="U225" s="65" t="str">
        <f>IF(A225="","",SUMIF(pa_inv,A225,pa_amt))</f>
        <v/>
      </c>
      <c r="V225" s="65" t="str">
        <f>IF(OR(A225="",AA225="Avoir"),"",-SUMIFS(fa_ttc,fa_avof,A225,fa_type,"Avoir"))</f>
        <v/>
      </c>
      <c r="W225" s="65" t="str">
        <f>IF(OR(A225="",AA225="Avoir"),"",ROUND(S225-U225-V225,2))</f>
        <v/>
      </c>
      <c r="X225" s="66" t="str">
        <f>IF(W225="","",IF(AND(W225&gt;0,p_asof&gt;P225),p_asof-P225,""))</f>
        <v/>
      </c>
      <c r="Y225" s="59" t="str">
        <f>IF(A225="","",IF(AA225="Avoir","Avoir",IF(W225&lt;0,"Trop-perçu",IF(W225=0,"Soldée",IF(p_asof&gt;P225,"En retard",IF(U225+V225&gt;0,"Partielle","À échoir"))))))</f>
        <v/>
      </c>
      <c r="Z225" s="59" t="str">
        <f>IF(NOT(COUNTA(B225:D225,F225:O225)&gt;0),"",IF(C225="","Date manquante",IF(NOT(ISNUMBER(C225)),"Date invalide",IF(D225="","Client manquant",IF(ISNA(MATCH(D225,cli_code,0)),"Client inconnu",IF(AC225&lt;SUMPRODUCT(MAX(($AB$6:AB224=AB225)*$AC$6:AC224)),"Date antérieure à la facture précédente",IF(AND(F225&lt;&gt;"",ISNA(MATCH(F225,dv_num,0))),"Devis inconnu",IF(AND(F225&lt;&gt;"",IFERROR(INDEX(dv_client,MATCH(F225,dv_num,0)),D225)&lt;&gt;D225),"Client différent de celui du devis",IF(AG225="","Aucune ligne : saisissez des lignes ou un devis",IF(AND(AI225&lt;&gt;"",COUNTIF($AI$6:AI225,AI225)&gt;1),"Devis déjà repris par une autre facture",IF(AND(AA225="Avoir",M225=""),"Avoir : indiquez la facture d'origine",IF(AND(AA225="Avoir",ISNA(MATCH(M225,fa_num,0))),"Facture d'origine inconnue",IF(AND(AA225&lt;&gt;"Avoir",M225&lt;&gt;""),"« Avoir sur facture » : réservé aux avoirs",IF(AND(L225&lt;&gt;"",AA225&lt;&gt;"Facture"),"Acompte à déduire : réservé aux factures",IF(AND(L225&lt;&gt;"",ISNA(MATCH(L225,fa_num,0))),"Facture d'acompte inconnue",IF(AND(L225&lt;&gt;"",IFERROR(INDEX(fa_type,MATCH(L225,fa_num,0)),"")&lt;&gt;"Facture d'acompte"),"Le n° à déduire n'est pas une facture d'acompte",IF(AND(L225&lt;&gt;"",COUNTIF($L$6:L225,L225)&gt;1),"Acompte déjà déduit sur une autre facture",IF(AND(L225&lt;&gt;"",IFERROR(INDEX(fa_client,MATCH(L225,fa_num,0)),D225)&lt;&gt;D225),"Acompte d'un autre client",IF(AND(AR225&lt;&gt;"",N(Q225)&lt;0),"Acompte supérieur au total de la facture",IF(IF(AG225="Facture",COUNTIFS(fl_doc,A225,fl_check,"&lt;&gt;OK"),IF(AG225="Devis",COUNTIFS(dl_doc,F225,dl_check,"&lt;&gt;OK"),0))&gt;0,"Ligne(s) à corriger",IF(AND(W225&lt;&gt;"",N(W225)&lt;0),"Trop-perçu : vérifiez paiements et avoirs","OK")))))))))))))))))))))</f>
        <v/>
      </c>
      <c r="AA225" s="62" t="str">
        <f>IF(COUNTA(B225:D225,F225:O225)&gt;0,IF(B225="","Facture",B225),"")</f>
        <v/>
      </c>
      <c r="AB225" s="62" t="str">
        <f>IF(AA225="","",IF(AA225="Avoir",p_pav,IF(AA225="Facture d'acompte",p_pac,p_pfa)))</f>
        <v/>
      </c>
      <c r="AC225" s="62">
        <f>IF(ISNUMBER(C225),C225,0)</f>
        <v>0.0</v>
      </c>
      <c r="AD225" s="62" t="str">
        <f>IF(OR(AA225="",AC225=0),"",YEAR(AC225))</f>
        <v/>
      </c>
      <c r="AE225" s="62" t="str">
        <f>IF(AD225="","",COUNTIFS($AB$6:AB225,AB225,$AD$6:AD225,AD225))</f>
        <v/>
      </c>
      <c r="AF225" s="62">
        <f>IF(A225="",0,COUNTIF(fl_doc,A225))</f>
        <v>0.0</v>
      </c>
      <c r="AG225" s="62" t="str">
        <f>IF(A225="","",IF(AF225&gt;0,"Facture",IF(AND(F225&lt;&gt;"",AA225="Facture",ISNUMBER(MATCH(F225,dv_num,0))),"Devis","")))</f>
        <v/>
      </c>
      <c r="AH225" s="62" t="str">
        <f>IF(AND(A225&lt;&gt;"",F225&lt;&gt;"",AA225&lt;&gt;"Avoir"),F225,"")</f>
        <v/>
      </c>
      <c r="AI225" s="62" t="str">
        <f>IF(AG225="Devis",F225,"")</f>
        <v/>
      </c>
      <c r="AJ225" s="62">
        <f>IF(AG225="Facture",SUMIF(fl_doc,A225,fl_ht),IF(AG225="Devis",SUMIF(dl_doc,F225,dl_ht),0))</f>
        <v>0.0</v>
      </c>
      <c r="AK225" s="62">
        <f>IF(OR(AG225="",INDEX(p_rates,1)=""),0,IF(AG225="Facture",SUMIFS(fl_ht,fl_doc,A225,fl_rate,INDEX(p_rates,1)),SUMIFS(dl_ht,dl_doc,F225,dl_rate,INDEX(p_rates,1))))</f>
        <v>0.0</v>
      </c>
      <c r="AL225" s="62">
        <f>IF(OR(AG225="",INDEX(p_rates,2)=""),0,IF(AG225="Facture",SUMIFS(fl_ht,fl_doc,A225,fl_rate,INDEX(p_rates,2)),SUMIFS(dl_ht,dl_doc,F225,dl_rate,INDEX(p_rates,2))))</f>
        <v>0.0</v>
      </c>
      <c r="AM225" s="62">
        <f>IF(OR(AG225="",INDEX(p_rates,3)=""),0,IF(AG225="Facture",SUMIFS(fl_ht,fl_doc,A225,fl_rate,INDEX(p_rates,3)),SUMIFS(dl_ht,dl_doc,F225,dl_rate,INDEX(p_rates,3))))</f>
        <v>0.0</v>
      </c>
      <c r="AN225" s="62">
        <f>IF(OR(AG225="",INDEX(p_rates,4)=""),0,IF(AG225="Facture",SUMIFS(fl_ht,fl_doc,A225,fl_rate,INDEX(p_rates,4)),SUMIFS(dl_ht,dl_doc,F225,dl_rate,INDEX(p_rates,4))))</f>
        <v>0.0</v>
      </c>
      <c r="AO225" s="62">
        <f>IF(OR(AG225="",INDEX(p_rates,5)=""),0,IF(AG225="Facture",SUMIFS(fl_ht,fl_doc,A225,fl_rate,INDEX(p_rates,5)),SUMIFS(dl_ht,dl_doc,F225,dl_rate,INDEX(p_rates,5))))</f>
        <v>0.0</v>
      </c>
      <c r="AP225" s="62">
        <f>IF(OR(AG225="",INDEX(p_rates,6)=""),0,IF(AG225="Facture",SUMIFS(fl_ht,fl_doc,A225,fl_rate,INDEX(p_rates,6)),SUMIFS(dl_ht,dl_doc,F225,dl_rate,INDEX(p_rates,6))))</f>
        <v>0.0</v>
      </c>
      <c r="AQ225" s="62">
        <f>ROUND(AK225*N(INDEX(p_rates,1)),2)+ROUND(AL225*N(INDEX(p_rates,2)),2)+ROUND(AM225*N(INDEX(p_rates,3)),2)+ROUND(AN225*N(INDEX(p_rates,4)),2)+ROUND(AO225*N(INDEX(p_rates,5)),2)+ROUND(AP225*N(INDEX(p_rates,6)),2)</f>
        <v>0.0</v>
      </c>
      <c r="AR225" s="62" t="str">
        <f>IF(OR(L225="",AA225&lt;&gt;"Facture"),"",IFERROR(IF(INDEX(fa_type,MATCH(L225,fa_num,0))="Facture d'acompte",MATCH(L225,fa_num,0),""),""))</f>
        <v/>
      </c>
      <c r="AS225" s="62" t="str">
        <f>IF(W225="","",IF(W225&lt;=0,"",IF(p_asof-P225&lt;=0,"Non échu",IF(p_asof-P225&lt;=30,"1-30 j",IF(p_asof-P225&lt;=60,"31-60 j",IF(p_asof-P225&lt;=90,"61-90 j","Plus de 90 j"))))))</f>
        <v/>
      </c>
      <c r="AT225" s="62" t="str">
        <f>IF(AS225="","",p_asof-P225)</f>
        <v/>
      </c>
      <c r="AU225" s="62" t="str">
        <f>IF(AT225="","",COUNTIF($AT$6:$AT$805,"&gt;"&amp;AT225)+COUNTIF($AT$6:AT225,AT225))</f>
        <v/>
      </c>
    </row>
    <row r="226">
      <c r="A226" s="59" t="str">
        <f>IF(AE226="","",AB226&amp;"-"&amp;AD226&amp;"-"&amp;RIGHT("000"&amp;AE226,4))</f>
        <v/>
      </c>
      <c r="B226" s="60" t="n"/>
      <c r="C226" s="61" t="n"/>
      <c r="D226" s="60" t="n"/>
      <c r="E226" s="62" t="str">
        <f>IF(D226="","",IFERROR(INDEX(cli_name,MATCH(D226,cli_code,0))&amp;"","Client inconnu"))</f>
        <v/>
      </c>
      <c r="F226" s="60" t="n"/>
      <c r="G226" s="63" t="n"/>
      <c r="H226" s="61" t="n"/>
      <c r="I226" s="63" t="n"/>
      <c r="J226" s="60" t="n"/>
      <c r="K226" s="61" t="n"/>
      <c r="L226" s="60" t="n"/>
      <c r="M226" s="60" t="n"/>
      <c r="N226" s="60" t="n"/>
      <c r="O226" s="61" t="n"/>
      <c r="P226" s="64" t="str">
        <f>IF(A226="","",IF(AA226="Avoir",AC226,IF(ISNUMBER(K226),K226,AC226+IF(D226="",N(p_delay),IFERROR(IF(ISNUMBER(INDEX(cli_delay,MATCH(D226,cli_code,0))),INDEX(cli_delay,MATCH(D226,cli_code,0)),N(p_delay)),N(p_delay))))))</f>
        <v/>
      </c>
      <c r="Q226" s="65" t="str">
        <f>IF(A226="","",IF(AA226="Avoir",-1,1)*ROUND(AJ226-IF(AR226="",0,INDEX(fa_htb,AR226)),2))</f>
        <v/>
      </c>
      <c r="R226" s="65" t="str">
        <f>IF(A226="","",IF(AA226="Avoir",-1,1)*ROUND(AQ226-IF(AR226="",0,INDEX(fa_tvab,AR226)),2))</f>
        <v/>
      </c>
      <c r="S226" s="65" t="str">
        <f>IF(A226="","",Q226+R226)</f>
        <v/>
      </c>
      <c r="T226" s="65" t="str">
        <f>IF(AR226="","",INDEX(fa_htb,AR226)+INDEX(fa_tvab,AR226))</f>
        <v/>
      </c>
      <c r="U226" s="65" t="str">
        <f>IF(A226="","",SUMIF(pa_inv,A226,pa_amt))</f>
        <v/>
      </c>
      <c r="V226" s="65" t="str">
        <f>IF(OR(A226="",AA226="Avoir"),"",-SUMIFS(fa_ttc,fa_avof,A226,fa_type,"Avoir"))</f>
        <v/>
      </c>
      <c r="W226" s="65" t="str">
        <f>IF(OR(A226="",AA226="Avoir"),"",ROUND(S226-U226-V226,2))</f>
        <v/>
      </c>
      <c r="X226" s="66" t="str">
        <f>IF(W226="","",IF(AND(W226&gt;0,p_asof&gt;P226),p_asof-P226,""))</f>
        <v/>
      </c>
      <c r="Y226" s="59" t="str">
        <f>IF(A226="","",IF(AA226="Avoir","Avoir",IF(W226&lt;0,"Trop-perçu",IF(W226=0,"Soldée",IF(p_asof&gt;P226,"En retard",IF(U226+V226&gt;0,"Partielle","À échoir"))))))</f>
        <v/>
      </c>
      <c r="Z226" s="59" t="str">
        <f>IF(NOT(COUNTA(B226:D226,F226:O226)&gt;0),"",IF(C226="","Date manquante",IF(NOT(ISNUMBER(C226)),"Date invalide",IF(D226="","Client manquant",IF(ISNA(MATCH(D226,cli_code,0)),"Client inconnu",IF(AC226&lt;SUMPRODUCT(MAX(($AB$6:AB225=AB226)*$AC$6:AC225)),"Date antérieure à la facture précédente",IF(AND(F226&lt;&gt;"",ISNA(MATCH(F226,dv_num,0))),"Devis inconnu",IF(AND(F226&lt;&gt;"",IFERROR(INDEX(dv_client,MATCH(F226,dv_num,0)),D226)&lt;&gt;D226),"Client différent de celui du devis",IF(AG226="","Aucune ligne : saisissez des lignes ou un devis",IF(AND(AI226&lt;&gt;"",COUNTIF($AI$6:AI226,AI226)&gt;1),"Devis déjà repris par une autre facture",IF(AND(AA226="Avoir",M226=""),"Avoir : indiquez la facture d'origine",IF(AND(AA226="Avoir",ISNA(MATCH(M226,fa_num,0))),"Facture d'origine inconnue",IF(AND(AA226&lt;&gt;"Avoir",M226&lt;&gt;""),"« Avoir sur facture » : réservé aux avoirs",IF(AND(L226&lt;&gt;"",AA226&lt;&gt;"Facture"),"Acompte à déduire : réservé aux factures",IF(AND(L226&lt;&gt;"",ISNA(MATCH(L226,fa_num,0))),"Facture d'acompte inconnue",IF(AND(L226&lt;&gt;"",IFERROR(INDEX(fa_type,MATCH(L226,fa_num,0)),"")&lt;&gt;"Facture d'acompte"),"Le n° à déduire n'est pas une facture d'acompte",IF(AND(L226&lt;&gt;"",COUNTIF($L$6:L226,L226)&gt;1),"Acompte déjà déduit sur une autre facture",IF(AND(L226&lt;&gt;"",IFERROR(INDEX(fa_client,MATCH(L226,fa_num,0)),D226)&lt;&gt;D226),"Acompte d'un autre client",IF(AND(AR226&lt;&gt;"",N(Q226)&lt;0),"Acompte supérieur au total de la facture",IF(IF(AG226="Facture",COUNTIFS(fl_doc,A226,fl_check,"&lt;&gt;OK"),IF(AG226="Devis",COUNTIFS(dl_doc,F226,dl_check,"&lt;&gt;OK"),0))&gt;0,"Ligne(s) à corriger",IF(AND(W226&lt;&gt;"",N(W226)&lt;0),"Trop-perçu : vérifiez paiements et avoirs","OK")))))))))))))))))))))</f>
        <v/>
      </c>
      <c r="AA226" s="62" t="str">
        <f>IF(COUNTA(B226:D226,F226:O226)&gt;0,IF(B226="","Facture",B226),"")</f>
        <v/>
      </c>
      <c r="AB226" s="62" t="str">
        <f>IF(AA226="","",IF(AA226="Avoir",p_pav,IF(AA226="Facture d'acompte",p_pac,p_pfa)))</f>
        <v/>
      </c>
      <c r="AC226" s="62">
        <f>IF(ISNUMBER(C226),C226,0)</f>
        <v>0.0</v>
      </c>
      <c r="AD226" s="62" t="str">
        <f>IF(OR(AA226="",AC226=0),"",YEAR(AC226))</f>
        <v/>
      </c>
      <c r="AE226" s="62" t="str">
        <f>IF(AD226="","",COUNTIFS($AB$6:AB226,AB226,$AD$6:AD226,AD226))</f>
        <v/>
      </c>
      <c r="AF226" s="62">
        <f>IF(A226="",0,COUNTIF(fl_doc,A226))</f>
        <v>0.0</v>
      </c>
      <c r="AG226" s="62" t="str">
        <f>IF(A226="","",IF(AF226&gt;0,"Facture",IF(AND(F226&lt;&gt;"",AA226="Facture",ISNUMBER(MATCH(F226,dv_num,0))),"Devis","")))</f>
        <v/>
      </c>
      <c r="AH226" s="62" t="str">
        <f>IF(AND(A226&lt;&gt;"",F226&lt;&gt;"",AA226&lt;&gt;"Avoir"),F226,"")</f>
        <v/>
      </c>
      <c r="AI226" s="62" t="str">
        <f>IF(AG226="Devis",F226,"")</f>
        <v/>
      </c>
      <c r="AJ226" s="62">
        <f>IF(AG226="Facture",SUMIF(fl_doc,A226,fl_ht),IF(AG226="Devis",SUMIF(dl_doc,F226,dl_ht),0))</f>
        <v>0.0</v>
      </c>
      <c r="AK226" s="62">
        <f>IF(OR(AG226="",INDEX(p_rates,1)=""),0,IF(AG226="Facture",SUMIFS(fl_ht,fl_doc,A226,fl_rate,INDEX(p_rates,1)),SUMIFS(dl_ht,dl_doc,F226,dl_rate,INDEX(p_rates,1))))</f>
        <v>0.0</v>
      </c>
      <c r="AL226" s="62">
        <f>IF(OR(AG226="",INDEX(p_rates,2)=""),0,IF(AG226="Facture",SUMIFS(fl_ht,fl_doc,A226,fl_rate,INDEX(p_rates,2)),SUMIFS(dl_ht,dl_doc,F226,dl_rate,INDEX(p_rates,2))))</f>
        <v>0.0</v>
      </c>
      <c r="AM226" s="62">
        <f>IF(OR(AG226="",INDEX(p_rates,3)=""),0,IF(AG226="Facture",SUMIFS(fl_ht,fl_doc,A226,fl_rate,INDEX(p_rates,3)),SUMIFS(dl_ht,dl_doc,F226,dl_rate,INDEX(p_rates,3))))</f>
        <v>0.0</v>
      </c>
      <c r="AN226" s="62">
        <f>IF(OR(AG226="",INDEX(p_rates,4)=""),0,IF(AG226="Facture",SUMIFS(fl_ht,fl_doc,A226,fl_rate,INDEX(p_rates,4)),SUMIFS(dl_ht,dl_doc,F226,dl_rate,INDEX(p_rates,4))))</f>
        <v>0.0</v>
      </c>
      <c r="AO226" s="62">
        <f>IF(OR(AG226="",INDEX(p_rates,5)=""),0,IF(AG226="Facture",SUMIFS(fl_ht,fl_doc,A226,fl_rate,INDEX(p_rates,5)),SUMIFS(dl_ht,dl_doc,F226,dl_rate,INDEX(p_rates,5))))</f>
        <v>0.0</v>
      </c>
      <c r="AP226" s="62">
        <f>IF(OR(AG226="",INDEX(p_rates,6)=""),0,IF(AG226="Facture",SUMIFS(fl_ht,fl_doc,A226,fl_rate,INDEX(p_rates,6)),SUMIFS(dl_ht,dl_doc,F226,dl_rate,INDEX(p_rates,6))))</f>
        <v>0.0</v>
      </c>
      <c r="AQ226" s="62">
        <f>ROUND(AK226*N(INDEX(p_rates,1)),2)+ROUND(AL226*N(INDEX(p_rates,2)),2)+ROUND(AM226*N(INDEX(p_rates,3)),2)+ROUND(AN226*N(INDEX(p_rates,4)),2)+ROUND(AO226*N(INDEX(p_rates,5)),2)+ROUND(AP226*N(INDEX(p_rates,6)),2)</f>
        <v>0.0</v>
      </c>
      <c r="AR226" s="62" t="str">
        <f>IF(OR(L226="",AA226&lt;&gt;"Facture"),"",IFERROR(IF(INDEX(fa_type,MATCH(L226,fa_num,0))="Facture d'acompte",MATCH(L226,fa_num,0),""),""))</f>
        <v/>
      </c>
      <c r="AS226" s="62" t="str">
        <f>IF(W226="","",IF(W226&lt;=0,"",IF(p_asof-P226&lt;=0,"Non échu",IF(p_asof-P226&lt;=30,"1-30 j",IF(p_asof-P226&lt;=60,"31-60 j",IF(p_asof-P226&lt;=90,"61-90 j","Plus de 90 j"))))))</f>
        <v/>
      </c>
      <c r="AT226" s="62" t="str">
        <f>IF(AS226="","",p_asof-P226)</f>
        <v/>
      </c>
      <c r="AU226" s="62" t="str">
        <f>IF(AT226="","",COUNTIF($AT$6:$AT$805,"&gt;"&amp;AT226)+COUNTIF($AT$6:AT226,AT226))</f>
        <v/>
      </c>
    </row>
    <row r="227">
      <c r="A227" s="59" t="str">
        <f>IF(AE227="","",AB227&amp;"-"&amp;AD227&amp;"-"&amp;RIGHT("000"&amp;AE227,4))</f>
        <v/>
      </c>
      <c r="B227" s="60" t="n"/>
      <c r="C227" s="61" t="n"/>
      <c r="D227" s="60" t="n"/>
      <c r="E227" s="62" t="str">
        <f>IF(D227="","",IFERROR(INDEX(cli_name,MATCH(D227,cli_code,0))&amp;"","Client inconnu"))</f>
        <v/>
      </c>
      <c r="F227" s="60" t="n"/>
      <c r="G227" s="63" t="n"/>
      <c r="H227" s="61" t="n"/>
      <c r="I227" s="63" t="n"/>
      <c r="J227" s="60" t="n"/>
      <c r="K227" s="61" t="n"/>
      <c r="L227" s="60" t="n"/>
      <c r="M227" s="60" t="n"/>
      <c r="N227" s="60" t="n"/>
      <c r="O227" s="61" t="n"/>
      <c r="P227" s="64" t="str">
        <f>IF(A227="","",IF(AA227="Avoir",AC227,IF(ISNUMBER(K227),K227,AC227+IF(D227="",N(p_delay),IFERROR(IF(ISNUMBER(INDEX(cli_delay,MATCH(D227,cli_code,0))),INDEX(cli_delay,MATCH(D227,cli_code,0)),N(p_delay)),N(p_delay))))))</f>
        <v/>
      </c>
      <c r="Q227" s="65" t="str">
        <f>IF(A227="","",IF(AA227="Avoir",-1,1)*ROUND(AJ227-IF(AR227="",0,INDEX(fa_htb,AR227)),2))</f>
        <v/>
      </c>
      <c r="R227" s="65" t="str">
        <f>IF(A227="","",IF(AA227="Avoir",-1,1)*ROUND(AQ227-IF(AR227="",0,INDEX(fa_tvab,AR227)),2))</f>
        <v/>
      </c>
      <c r="S227" s="65" t="str">
        <f>IF(A227="","",Q227+R227)</f>
        <v/>
      </c>
      <c r="T227" s="65" t="str">
        <f>IF(AR227="","",INDEX(fa_htb,AR227)+INDEX(fa_tvab,AR227))</f>
        <v/>
      </c>
      <c r="U227" s="65" t="str">
        <f>IF(A227="","",SUMIF(pa_inv,A227,pa_amt))</f>
        <v/>
      </c>
      <c r="V227" s="65" t="str">
        <f>IF(OR(A227="",AA227="Avoir"),"",-SUMIFS(fa_ttc,fa_avof,A227,fa_type,"Avoir"))</f>
        <v/>
      </c>
      <c r="W227" s="65" t="str">
        <f>IF(OR(A227="",AA227="Avoir"),"",ROUND(S227-U227-V227,2))</f>
        <v/>
      </c>
      <c r="X227" s="66" t="str">
        <f>IF(W227="","",IF(AND(W227&gt;0,p_asof&gt;P227),p_asof-P227,""))</f>
        <v/>
      </c>
      <c r="Y227" s="59" t="str">
        <f>IF(A227="","",IF(AA227="Avoir","Avoir",IF(W227&lt;0,"Trop-perçu",IF(W227=0,"Soldée",IF(p_asof&gt;P227,"En retard",IF(U227+V227&gt;0,"Partielle","À échoir"))))))</f>
        <v/>
      </c>
      <c r="Z227" s="59" t="str">
        <f>IF(NOT(COUNTA(B227:D227,F227:O227)&gt;0),"",IF(C227="","Date manquante",IF(NOT(ISNUMBER(C227)),"Date invalide",IF(D227="","Client manquant",IF(ISNA(MATCH(D227,cli_code,0)),"Client inconnu",IF(AC227&lt;SUMPRODUCT(MAX(($AB$6:AB226=AB227)*$AC$6:AC226)),"Date antérieure à la facture précédente",IF(AND(F227&lt;&gt;"",ISNA(MATCH(F227,dv_num,0))),"Devis inconnu",IF(AND(F227&lt;&gt;"",IFERROR(INDEX(dv_client,MATCH(F227,dv_num,0)),D227)&lt;&gt;D227),"Client différent de celui du devis",IF(AG227="","Aucune ligne : saisissez des lignes ou un devis",IF(AND(AI227&lt;&gt;"",COUNTIF($AI$6:AI227,AI227)&gt;1),"Devis déjà repris par une autre facture",IF(AND(AA227="Avoir",M227=""),"Avoir : indiquez la facture d'origine",IF(AND(AA227="Avoir",ISNA(MATCH(M227,fa_num,0))),"Facture d'origine inconnue",IF(AND(AA227&lt;&gt;"Avoir",M227&lt;&gt;""),"« Avoir sur facture » : réservé aux avoirs",IF(AND(L227&lt;&gt;"",AA227&lt;&gt;"Facture"),"Acompte à déduire : réservé aux factures",IF(AND(L227&lt;&gt;"",ISNA(MATCH(L227,fa_num,0))),"Facture d'acompte inconnue",IF(AND(L227&lt;&gt;"",IFERROR(INDEX(fa_type,MATCH(L227,fa_num,0)),"")&lt;&gt;"Facture d'acompte"),"Le n° à déduire n'est pas une facture d'acompte",IF(AND(L227&lt;&gt;"",COUNTIF($L$6:L227,L227)&gt;1),"Acompte déjà déduit sur une autre facture",IF(AND(L227&lt;&gt;"",IFERROR(INDEX(fa_client,MATCH(L227,fa_num,0)),D227)&lt;&gt;D227),"Acompte d'un autre client",IF(AND(AR227&lt;&gt;"",N(Q227)&lt;0),"Acompte supérieur au total de la facture",IF(IF(AG227="Facture",COUNTIFS(fl_doc,A227,fl_check,"&lt;&gt;OK"),IF(AG227="Devis",COUNTIFS(dl_doc,F227,dl_check,"&lt;&gt;OK"),0))&gt;0,"Ligne(s) à corriger",IF(AND(W227&lt;&gt;"",N(W227)&lt;0),"Trop-perçu : vérifiez paiements et avoirs","OK")))))))))))))))))))))</f>
        <v/>
      </c>
      <c r="AA227" s="62" t="str">
        <f>IF(COUNTA(B227:D227,F227:O227)&gt;0,IF(B227="","Facture",B227),"")</f>
        <v/>
      </c>
      <c r="AB227" s="62" t="str">
        <f>IF(AA227="","",IF(AA227="Avoir",p_pav,IF(AA227="Facture d'acompte",p_pac,p_pfa)))</f>
        <v/>
      </c>
      <c r="AC227" s="62">
        <f>IF(ISNUMBER(C227),C227,0)</f>
        <v>0.0</v>
      </c>
      <c r="AD227" s="62" t="str">
        <f>IF(OR(AA227="",AC227=0),"",YEAR(AC227))</f>
        <v/>
      </c>
      <c r="AE227" s="62" t="str">
        <f>IF(AD227="","",COUNTIFS($AB$6:AB227,AB227,$AD$6:AD227,AD227))</f>
        <v/>
      </c>
      <c r="AF227" s="62">
        <f>IF(A227="",0,COUNTIF(fl_doc,A227))</f>
        <v>0.0</v>
      </c>
      <c r="AG227" s="62" t="str">
        <f>IF(A227="","",IF(AF227&gt;0,"Facture",IF(AND(F227&lt;&gt;"",AA227="Facture",ISNUMBER(MATCH(F227,dv_num,0))),"Devis","")))</f>
        <v/>
      </c>
      <c r="AH227" s="62" t="str">
        <f>IF(AND(A227&lt;&gt;"",F227&lt;&gt;"",AA227&lt;&gt;"Avoir"),F227,"")</f>
        <v/>
      </c>
      <c r="AI227" s="62" t="str">
        <f>IF(AG227="Devis",F227,"")</f>
        <v/>
      </c>
      <c r="AJ227" s="62">
        <f>IF(AG227="Facture",SUMIF(fl_doc,A227,fl_ht),IF(AG227="Devis",SUMIF(dl_doc,F227,dl_ht),0))</f>
        <v>0.0</v>
      </c>
      <c r="AK227" s="62">
        <f>IF(OR(AG227="",INDEX(p_rates,1)=""),0,IF(AG227="Facture",SUMIFS(fl_ht,fl_doc,A227,fl_rate,INDEX(p_rates,1)),SUMIFS(dl_ht,dl_doc,F227,dl_rate,INDEX(p_rates,1))))</f>
        <v>0.0</v>
      </c>
      <c r="AL227" s="62">
        <f>IF(OR(AG227="",INDEX(p_rates,2)=""),0,IF(AG227="Facture",SUMIFS(fl_ht,fl_doc,A227,fl_rate,INDEX(p_rates,2)),SUMIFS(dl_ht,dl_doc,F227,dl_rate,INDEX(p_rates,2))))</f>
        <v>0.0</v>
      </c>
      <c r="AM227" s="62">
        <f>IF(OR(AG227="",INDEX(p_rates,3)=""),0,IF(AG227="Facture",SUMIFS(fl_ht,fl_doc,A227,fl_rate,INDEX(p_rates,3)),SUMIFS(dl_ht,dl_doc,F227,dl_rate,INDEX(p_rates,3))))</f>
        <v>0.0</v>
      </c>
      <c r="AN227" s="62">
        <f>IF(OR(AG227="",INDEX(p_rates,4)=""),0,IF(AG227="Facture",SUMIFS(fl_ht,fl_doc,A227,fl_rate,INDEX(p_rates,4)),SUMIFS(dl_ht,dl_doc,F227,dl_rate,INDEX(p_rates,4))))</f>
        <v>0.0</v>
      </c>
      <c r="AO227" s="62">
        <f>IF(OR(AG227="",INDEX(p_rates,5)=""),0,IF(AG227="Facture",SUMIFS(fl_ht,fl_doc,A227,fl_rate,INDEX(p_rates,5)),SUMIFS(dl_ht,dl_doc,F227,dl_rate,INDEX(p_rates,5))))</f>
        <v>0.0</v>
      </c>
      <c r="AP227" s="62">
        <f>IF(OR(AG227="",INDEX(p_rates,6)=""),0,IF(AG227="Facture",SUMIFS(fl_ht,fl_doc,A227,fl_rate,INDEX(p_rates,6)),SUMIFS(dl_ht,dl_doc,F227,dl_rate,INDEX(p_rates,6))))</f>
        <v>0.0</v>
      </c>
      <c r="AQ227" s="62">
        <f>ROUND(AK227*N(INDEX(p_rates,1)),2)+ROUND(AL227*N(INDEX(p_rates,2)),2)+ROUND(AM227*N(INDEX(p_rates,3)),2)+ROUND(AN227*N(INDEX(p_rates,4)),2)+ROUND(AO227*N(INDEX(p_rates,5)),2)+ROUND(AP227*N(INDEX(p_rates,6)),2)</f>
        <v>0.0</v>
      </c>
      <c r="AR227" s="62" t="str">
        <f>IF(OR(L227="",AA227&lt;&gt;"Facture"),"",IFERROR(IF(INDEX(fa_type,MATCH(L227,fa_num,0))="Facture d'acompte",MATCH(L227,fa_num,0),""),""))</f>
        <v/>
      </c>
      <c r="AS227" s="62" t="str">
        <f>IF(W227="","",IF(W227&lt;=0,"",IF(p_asof-P227&lt;=0,"Non échu",IF(p_asof-P227&lt;=30,"1-30 j",IF(p_asof-P227&lt;=60,"31-60 j",IF(p_asof-P227&lt;=90,"61-90 j","Plus de 90 j"))))))</f>
        <v/>
      </c>
      <c r="AT227" s="62" t="str">
        <f>IF(AS227="","",p_asof-P227)</f>
        <v/>
      </c>
      <c r="AU227" s="62" t="str">
        <f>IF(AT227="","",COUNTIF($AT$6:$AT$805,"&gt;"&amp;AT227)+COUNTIF($AT$6:AT227,AT227))</f>
        <v/>
      </c>
    </row>
    <row r="228">
      <c r="A228" s="59" t="str">
        <f>IF(AE228="","",AB228&amp;"-"&amp;AD228&amp;"-"&amp;RIGHT("000"&amp;AE228,4))</f>
        <v/>
      </c>
      <c r="B228" s="60" t="n"/>
      <c r="C228" s="61" t="n"/>
      <c r="D228" s="60" t="n"/>
      <c r="E228" s="62" t="str">
        <f>IF(D228="","",IFERROR(INDEX(cli_name,MATCH(D228,cli_code,0))&amp;"","Client inconnu"))</f>
        <v/>
      </c>
      <c r="F228" s="60" t="n"/>
      <c r="G228" s="63" t="n"/>
      <c r="H228" s="61" t="n"/>
      <c r="I228" s="63" t="n"/>
      <c r="J228" s="60" t="n"/>
      <c r="K228" s="61" t="n"/>
      <c r="L228" s="60" t="n"/>
      <c r="M228" s="60" t="n"/>
      <c r="N228" s="60" t="n"/>
      <c r="O228" s="61" t="n"/>
      <c r="P228" s="64" t="str">
        <f>IF(A228="","",IF(AA228="Avoir",AC228,IF(ISNUMBER(K228),K228,AC228+IF(D228="",N(p_delay),IFERROR(IF(ISNUMBER(INDEX(cli_delay,MATCH(D228,cli_code,0))),INDEX(cli_delay,MATCH(D228,cli_code,0)),N(p_delay)),N(p_delay))))))</f>
        <v/>
      </c>
      <c r="Q228" s="65" t="str">
        <f>IF(A228="","",IF(AA228="Avoir",-1,1)*ROUND(AJ228-IF(AR228="",0,INDEX(fa_htb,AR228)),2))</f>
        <v/>
      </c>
      <c r="R228" s="65" t="str">
        <f>IF(A228="","",IF(AA228="Avoir",-1,1)*ROUND(AQ228-IF(AR228="",0,INDEX(fa_tvab,AR228)),2))</f>
        <v/>
      </c>
      <c r="S228" s="65" t="str">
        <f>IF(A228="","",Q228+R228)</f>
        <v/>
      </c>
      <c r="T228" s="65" t="str">
        <f>IF(AR228="","",INDEX(fa_htb,AR228)+INDEX(fa_tvab,AR228))</f>
        <v/>
      </c>
      <c r="U228" s="65" t="str">
        <f>IF(A228="","",SUMIF(pa_inv,A228,pa_amt))</f>
        <v/>
      </c>
      <c r="V228" s="65" t="str">
        <f>IF(OR(A228="",AA228="Avoir"),"",-SUMIFS(fa_ttc,fa_avof,A228,fa_type,"Avoir"))</f>
        <v/>
      </c>
      <c r="W228" s="65" t="str">
        <f>IF(OR(A228="",AA228="Avoir"),"",ROUND(S228-U228-V228,2))</f>
        <v/>
      </c>
      <c r="X228" s="66" t="str">
        <f>IF(W228="","",IF(AND(W228&gt;0,p_asof&gt;P228),p_asof-P228,""))</f>
        <v/>
      </c>
      <c r="Y228" s="59" t="str">
        <f>IF(A228="","",IF(AA228="Avoir","Avoir",IF(W228&lt;0,"Trop-perçu",IF(W228=0,"Soldée",IF(p_asof&gt;P228,"En retard",IF(U228+V228&gt;0,"Partielle","À échoir"))))))</f>
        <v/>
      </c>
      <c r="Z228" s="59" t="str">
        <f>IF(NOT(COUNTA(B228:D228,F228:O228)&gt;0),"",IF(C228="","Date manquante",IF(NOT(ISNUMBER(C228)),"Date invalide",IF(D228="","Client manquant",IF(ISNA(MATCH(D228,cli_code,0)),"Client inconnu",IF(AC228&lt;SUMPRODUCT(MAX(($AB$6:AB227=AB228)*$AC$6:AC227)),"Date antérieure à la facture précédente",IF(AND(F228&lt;&gt;"",ISNA(MATCH(F228,dv_num,0))),"Devis inconnu",IF(AND(F228&lt;&gt;"",IFERROR(INDEX(dv_client,MATCH(F228,dv_num,0)),D228)&lt;&gt;D228),"Client différent de celui du devis",IF(AG228="","Aucune ligne : saisissez des lignes ou un devis",IF(AND(AI228&lt;&gt;"",COUNTIF($AI$6:AI228,AI228)&gt;1),"Devis déjà repris par une autre facture",IF(AND(AA228="Avoir",M228=""),"Avoir : indiquez la facture d'origine",IF(AND(AA228="Avoir",ISNA(MATCH(M228,fa_num,0))),"Facture d'origine inconnue",IF(AND(AA228&lt;&gt;"Avoir",M228&lt;&gt;""),"« Avoir sur facture » : réservé aux avoirs",IF(AND(L228&lt;&gt;"",AA228&lt;&gt;"Facture"),"Acompte à déduire : réservé aux factures",IF(AND(L228&lt;&gt;"",ISNA(MATCH(L228,fa_num,0))),"Facture d'acompte inconnue",IF(AND(L228&lt;&gt;"",IFERROR(INDEX(fa_type,MATCH(L228,fa_num,0)),"")&lt;&gt;"Facture d'acompte"),"Le n° à déduire n'est pas une facture d'acompte",IF(AND(L228&lt;&gt;"",COUNTIF($L$6:L228,L228)&gt;1),"Acompte déjà déduit sur une autre facture",IF(AND(L228&lt;&gt;"",IFERROR(INDEX(fa_client,MATCH(L228,fa_num,0)),D228)&lt;&gt;D228),"Acompte d'un autre client",IF(AND(AR228&lt;&gt;"",N(Q228)&lt;0),"Acompte supérieur au total de la facture",IF(IF(AG228="Facture",COUNTIFS(fl_doc,A228,fl_check,"&lt;&gt;OK"),IF(AG228="Devis",COUNTIFS(dl_doc,F228,dl_check,"&lt;&gt;OK"),0))&gt;0,"Ligne(s) à corriger",IF(AND(W228&lt;&gt;"",N(W228)&lt;0),"Trop-perçu : vérifiez paiements et avoirs","OK")))))))))))))))))))))</f>
        <v/>
      </c>
      <c r="AA228" s="62" t="str">
        <f>IF(COUNTA(B228:D228,F228:O228)&gt;0,IF(B228="","Facture",B228),"")</f>
        <v/>
      </c>
      <c r="AB228" s="62" t="str">
        <f>IF(AA228="","",IF(AA228="Avoir",p_pav,IF(AA228="Facture d'acompte",p_pac,p_pfa)))</f>
        <v/>
      </c>
      <c r="AC228" s="62">
        <f>IF(ISNUMBER(C228),C228,0)</f>
        <v>0.0</v>
      </c>
      <c r="AD228" s="62" t="str">
        <f>IF(OR(AA228="",AC228=0),"",YEAR(AC228))</f>
        <v/>
      </c>
      <c r="AE228" s="62" t="str">
        <f>IF(AD228="","",COUNTIFS($AB$6:AB228,AB228,$AD$6:AD228,AD228))</f>
        <v/>
      </c>
      <c r="AF228" s="62">
        <f>IF(A228="",0,COUNTIF(fl_doc,A228))</f>
        <v>0.0</v>
      </c>
      <c r="AG228" s="62" t="str">
        <f>IF(A228="","",IF(AF228&gt;0,"Facture",IF(AND(F228&lt;&gt;"",AA228="Facture",ISNUMBER(MATCH(F228,dv_num,0))),"Devis","")))</f>
        <v/>
      </c>
      <c r="AH228" s="62" t="str">
        <f>IF(AND(A228&lt;&gt;"",F228&lt;&gt;"",AA228&lt;&gt;"Avoir"),F228,"")</f>
        <v/>
      </c>
      <c r="AI228" s="62" t="str">
        <f>IF(AG228="Devis",F228,"")</f>
        <v/>
      </c>
      <c r="AJ228" s="62">
        <f>IF(AG228="Facture",SUMIF(fl_doc,A228,fl_ht),IF(AG228="Devis",SUMIF(dl_doc,F228,dl_ht),0))</f>
        <v>0.0</v>
      </c>
      <c r="AK228" s="62">
        <f>IF(OR(AG228="",INDEX(p_rates,1)=""),0,IF(AG228="Facture",SUMIFS(fl_ht,fl_doc,A228,fl_rate,INDEX(p_rates,1)),SUMIFS(dl_ht,dl_doc,F228,dl_rate,INDEX(p_rates,1))))</f>
        <v>0.0</v>
      </c>
      <c r="AL228" s="62">
        <f>IF(OR(AG228="",INDEX(p_rates,2)=""),0,IF(AG228="Facture",SUMIFS(fl_ht,fl_doc,A228,fl_rate,INDEX(p_rates,2)),SUMIFS(dl_ht,dl_doc,F228,dl_rate,INDEX(p_rates,2))))</f>
        <v>0.0</v>
      </c>
      <c r="AM228" s="62">
        <f>IF(OR(AG228="",INDEX(p_rates,3)=""),0,IF(AG228="Facture",SUMIFS(fl_ht,fl_doc,A228,fl_rate,INDEX(p_rates,3)),SUMIFS(dl_ht,dl_doc,F228,dl_rate,INDEX(p_rates,3))))</f>
        <v>0.0</v>
      </c>
      <c r="AN228" s="62">
        <f>IF(OR(AG228="",INDEX(p_rates,4)=""),0,IF(AG228="Facture",SUMIFS(fl_ht,fl_doc,A228,fl_rate,INDEX(p_rates,4)),SUMIFS(dl_ht,dl_doc,F228,dl_rate,INDEX(p_rates,4))))</f>
        <v>0.0</v>
      </c>
      <c r="AO228" s="62">
        <f>IF(OR(AG228="",INDEX(p_rates,5)=""),0,IF(AG228="Facture",SUMIFS(fl_ht,fl_doc,A228,fl_rate,INDEX(p_rates,5)),SUMIFS(dl_ht,dl_doc,F228,dl_rate,INDEX(p_rates,5))))</f>
        <v>0.0</v>
      </c>
      <c r="AP228" s="62">
        <f>IF(OR(AG228="",INDEX(p_rates,6)=""),0,IF(AG228="Facture",SUMIFS(fl_ht,fl_doc,A228,fl_rate,INDEX(p_rates,6)),SUMIFS(dl_ht,dl_doc,F228,dl_rate,INDEX(p_rates,6))))</f>
        <v>0.0</v>
      </c>
      <c r="AQ228" s="62">
        <f>ROUND(AK228*N(INDEX(p_rates,1)),2)+ROUND(AL228*N(INDEX(p_rates,2)),2)+ROUND(AM228*N(INDEX(p_rates,3)),2)+ROUND(AN228*N(INDEX(p_rates,4)),2)+ROUND(AO228*N(INDEX(p_rates,5)),2)+ROUND(AP228*N(INDEX(p_rates,6)),2)</f>
        <v>0.0</v>
      </c>
      <c r="AR228" s="62" t="str">
        <f>IF(OR(L228="",AA228&lt;&gt;"Facture"),"",IFERROR(IF(INDEX(fa_type,MATCH(L228,fa_num,0))="Facture d'acompte",MATCH(L228,fa_num,0),""),""))</f>
        <v/>
      </c>
      <c r="AS228" s="62" t="str">
        <f>IF(W228="","",IF(W228&lt;=0,"",IF(p_asof-P228&lt;=0,"Non échu",IF(p_asof-P228&lt;=30,"1-30 j",IF(p_asof-P228&lt;=60,"31-60 j",IF(p_asof-P228&lt;=90,"61-90 j","Plus de 90 j"))))))</f>
        <v/>
      </c>
      <c r="AT228" s="62" t="str">
        <f>IF(AS228="","",p_asof-P228)</f>
        <v/>
      </c>
      <c r="AU228" s="62" t="str">
        <f>IF(AT228="","",COUNTIF($AT$6:$AT$805,"&gt;"&amp;AT228)+COUNTIF($AT$6:AT228,AT228))</f>
        <v/>
      </c>
    </row>
    <row r="229">
      <c r="A229" s="59" t="str">
        <f>IF(AE229="","",AB229&amp;"-"&amp;AD229&amp;"-"&amp;RIGHT("000"&amp;AE229,4))</f>
        <v/>
      </c>
      <c r="B229" s="60" t="n"/>
      <c r="C229" s="61" t="n"/>
      <c r="D229" s="60" t="n"/>
      <c r="E229" s="62" t="str">
        <f>IF(D229="","",IFERROR(INDEX(cli_name,MATCH(D229,cli_code,0))&amp;"","Client inconnu"))</f>
        <v/>
      </c>
      <c r="F229" s="60" t="n"/>
      <c r="G229" s="63" t="n"/>
      <c r="H229" s="61" t="n"/>
      <c r="I229" s="63" t="n"/>
      <c r="J229" s="60" t="n"/>
      <c r="K229" s="61" t="n"/>
      <c r="L229" s="60" t="n"/>
      <c r="M229" s="60" t="n"/>
      <c r="N229" s="60" t="n"/>
      <c r="O229" s="61" t="n"/>
      <c r="P229" s="64" t="str">
        <f>IF(A229="","",IF(AA229="Avoir",AC229,IF(ISNUMBER(K229),K229,AC229+IF(D229="",N(p_delay),IFERROR(IF(ISNUMBER(INDEX(cli_delay,MATCH(D229,cli_code,0))),INDEX(cli_delay,MATCH(D229,cli_code,0)),N(p_delay)),N(p_delay))))))</f>
        <v/>
      </c>
      <c r="Q229" s="65" t="str">
        <f>IF(A229="","",IF(AA229="Avoir",-1,1)*ROUND(AJ229-IF(AR229="",0,INDEX(fa_htb,AR229)),2))</f>
        <v/>
      </c>
      <c r="R229" s="65" t="str">
        <f>IF(A229="","",IF(AA229="Avoir",-1,1)*ROUND(AQ229-IF(AR229="",0,INDEX(fa_tvab,AR229)),2))</f>
        <v/>
      </c>
      <c r="S229" s="65" t="str">
        <f>IF(A229="","",Q229+R229)</f>
        <v/>
      </c>
      <c r="T229" s="65" t="str">
        <f>IF(AR229="","",INDEX(fa_htb,AR229)+INDEX(fa_tvab,AR229))</f>
        <v/>
      </c>
      <c r="U229" s="65" t="str">
        <f>IF(A229="","",SUMIF(pa_inv,A229,pa_amt))</f>
        <v/>
      </c>
      <c r="V229" s="65" t="str">
        <f>IF(OR(A229="",AA229="Avoir"),"",-SUMIFS(fa_ttc,fa_avof,A229,fa_type,"Avoir"))</f>
        <v/>
      </c>
      <c r="W229" s="65" t="str">
        <f>IF(OR(A229="",AA229="Avoir"),"",ROUND(S229-U229-V229,2))</f>
        <v/>
      </c>
      <c r="X229" s="66" t="str">
        <f>IF(W229="","",IF(AND(W229&gt;0,p_asof&gt;P229),p_asof-P229,""))</f>
        <v/>
      </c>
      <c r="Y229" s="59" t="str">
        <f>IF(A229="","",IF(AA229="Avoir","Avoir",IF(W229&lt;0,"Trop-perçu",IF(W229=0,"Soldée",IF(p_asof&gt;P229,"En retard",IF(U229+V229&gt;0,"Partielle","À échoir"))))))</f>
        <v/>
      </c>
      <c r="Z229" s="59" t="str">
        <f>IF(NOT(COUNTA(B229:D229,F229:O229)&gt;0),"",IF(C229="","Date manquante",IF(NOT(ISNUMBER(C229)),"Date invalide",IF(D229="","Client manquant",IF(ISNA(MATCH(D229,cli_code,0)),"Client inconnu",IF(AC229&lt;SUMPRODUCT(MAX(($AB$6:AB228=AB229)*$AC$6:AC228)),"Date antérieure à la facture précédente",IF(AND(F229&lt;&gt;"",ISNA(MATCH(F229,dv_num,0))),"Devis inconnu",IF(AND(F229&lt;&gt;"",IFERROR(INDEX(dv_client,MATCH(F229,dv_num,0)),D229)&lt;&gt;D229),"Client différent de celui du devis",IF(AG229="","Aucune ligne : saisissez des lignes ou un devis",IF(AND(AI229&lt;&gt;"",COUNTIF($AI$6:AI229,AI229)&gt;1),"Devis déjà repris par une autre facture",IF(AND(AA229="Avoir",M229=""),"Avoir : indiquez la facture d'origine",IF(AND(AA229="Avoir",ISNA(MATCH(M229,fa_num,0))),"Facture d'origine inconnue",IF(AND(AA229&lt;&gt;"Avoir",M229&lt;&gt;""),"« Avoir sur facture » : réservé aux avoirs",IF(AND(L229&lt;&gt;"",AA229&lt;&gt;"Facture"),"Acompte à déduire : réservé aux factures",IF(AND(L229&lt;&gt;"",ISNA(MATCH(L229,fa_num,0))),"Facture d'acompte inconnue",IF(AND(L229&lt;&gt;"",IFERROR(INDEX(fa_type,MATCH(L229,fa_num,0)),"")&lt;&gt;"Facture d'acompte"),"Le n° à déduire n'est pas une facture d'acompte",IF(AND(L229&lt;&gt;"",COUNTIF($L$6:L229,L229)&gt;1),"Acompte déjà déduit sur une autre facture",IF(AND(L229&lt;&gt;"",IFERROR(INDEX(fa_client,MATCH(L229,fa_num,0)),D229)&lt;&gt;D229),"Acompte d'un autre client",IF(AND(AR229&lt;&gt;"",N(Q229)&lt;0),"Acompte supérieur au total de la facture",IF(IF(AG229="Facture",COUNTIFS(fl_doc,A229,fl_check,"&lt;&gt;OK"),IF(AG229="Devis",COUNTIFS(dl_doc,F229,dl_check,"&lt;&gt;OK"),0))&gt;0,"Ligne(s) à corriger",IF(AND(W229&lt;&gt;"",N(W229)&lt;0),"Trop-perçu : vérifiez paiements et avoirs","OK")))))))))))))))))))))</f>
        <v/>
      </c>
      <c r="AA229" s="62" t="str">
        <f>IF(COUNTA(B229:D229,F229:O229)&gt;0,IF(B229="","Facture",B229),"")</f>
        <v/>
      </c>
      <c r="AB229" s="62" t="str">
        <f>IF(AA229="","",IF(AA229="Avoir",p_pav,IF(AA229="Facture d'acompte",p_pac,p_pfa)))</f>
        <v/>
      </c>
      <c r="AC229" s="62">
        <f>IF(ISNUMBER(C229),C229,0)</f>
        <v>0.0</v>
      </c>
      <c r="AD229" s="62" t="str">
        <f>IF(OR(AA229="",AC229=0),"",YEAR(AC229))</f>
        <v/>
      </c>
      <c r="AE229" s="62" t="str">
        <f>IF(AD229="","",COUNTIFS($AB$6:AB229,AB229,$AD$6:AD229,AD229))</f>
        <v/>
      </c>
      <c r="AF229" s="62">
        <f>IF(A229="",0,COUNTIF(fl_doc,A229))</f>
        <v>0.0</v>
      </c>
      <c r="AG229" s="62" t="str">
        <f>IF(A229="","",IF(AF229&gt;0,"Facture",IF(AND(F229&lt;&gt;"",AA229="Facture",ISNUMBER(MATCH(F229,dv_num,0))),"Devis","")))</f>
        <v/>
      </c>
      <c r="AH229" s="62" t="str">
        <f>IF(AND(A229&lt;&gt;"",F229&lt;&gt;"",AA229&lt;&gt;"Avoir"),F229,"")</f>
        <v/>
      </c>
      <c r="AI229" s="62" t="str">
        <f>IF(AG229="Devis",F229,"")</f>
        <v/>
      </c>
      <c r="AJ229" s="62">
        <f>IF(AG229="Facture",SUMIF(fl_doc,A229,fl_ht),IF(AG229="Devis",SUMIF(dl_doc,F229,dl_ht),0))</f>
        <v>0.0</v>
      </c>
      <c r="AK229" s="62">
        <f>IF(OR(AG229="",INDEX(p_rates,1)=""),0,IF(AG229="Facture",SUMIFS(fl_ht,fl_doc,A229,fl_rate,INDEX(p_rates,1)),SUMIFS(dl_ht,dl_doc,F229,dl_rate,INDEX(p_rates,1))))</f>
        <v>0.0</v>
      </c>
      <c r="AL229" s="62">
        <f>IF(OR(AG229="",INDEX(p_rates,2)=""),0,IF(AG229="Facture",SUMIFS(fl_ht,fl_doc,A229,fl_rate,INDEX(p_rates,2)),SUMIFS(dl_ht,dl_doc,F229,dl_rate,INDEX(p_rates,2))))</f>
        <v>0.0</v>
      </c>
      <c r="AM229" s="62">
        <f>IF(OR(AG229="",INDEX(p_rates,3)=""),0,IF(AG229="Facture",SUMIFS(fl_ht,fl_doc,A229,fl_rate,INDEX(p_rates,3)),SUMIFS(dl_ht,dl_doc,F229,dl_rate,INDEX(p_rates,3))))</f>
        <v>0.0</v>
      </c>
      <c r="AN229" s="62">
        <f>IF(OR(AG229="",INDEX(p_rates,4)=""),0,IF(AG229="Facture",SUMIFS(fl_ht,fl_doc,A229,fl_rate,INDEX(p_rates,4)),SUMIFS(dl_ht,dl_doc,F229,dl_rate,INDEX(p_rates,4))))</f>
        <v>0.0</v>
      </c>
      <c r="AO229" s="62">
        <f>IF(OR(AG229="",INDEX(p_rates,5)=""),0,IF(AG229="Facture",SUMIFS(fl_ht,fl_doc,A229,fl_rate,INDEX(p_rates,5)),SUMIFS(dl_ht,dl_doc,F229,dl_rate,INDEX(p_rates,5))))</f>
        <v>0.0</v>
      </c>
      <c r="AP229" s="62">
        <f>IF(OR(AG229="",INDEX(p_rates,6)=""),0,IF(AG229="Facture",SUMIFS(fl_ht,fl_doc,A229,fl_rate,INDEX(p_rates,6)),SUMIFS(dl_ht,dl_doc,F229,dl_rate,INDEX(p_rates,6))))</f>
        <v>0.0</v>
      </c>
      <c r="AQ229" s="62">
        <f>ROUND(AK229*N(INDEX(p_rates,1)),2)+ROUND(AL229*N(INDEX(p_rates,2)),2)+ROUND(AM229*N(INDEX(p_rates,3)),2)+ROUND(AN229*N(INDEX(p_rates,4)),2)+ROUND(AO229*N(INDEX(p_rates,5)),2)+ROUND(AP229*N(INDEX(p_rates,6)),2)</f>
        <v>0.0</v>
      </c>
      <c r="AR229" s="62" t="str">
        <f>IF(OR(L229="",AA229&lt;&gt;"Facture"),"",IFERROR(IF(INDEX(fa_type,MATCH(L229,fa_num,0))="Facture d'acompte",MATCH(L229,fa_num,0),""),""))</f>
        <v/>
      </c>
      <c r="AS229" s="62" t="str">
        <f>IF(W229="","",IF(W229&lt;=0,"",IF(p_asof-P229&lt;=0,"Non échu",IF(p_asof-P229&lt;=30,"1-30 j",IF(p_asof-P229&lt;=60,"31-60 j",IF(p_asof-P229&lt;=90,"61-90 j","Plus de 90 j"))))))</f>
        <v/>
      </c>
      <c r="AT229" s="62" t="str">
        <f>IF(AS229="","",p_asof-P229)</f>
        <v/>
      </c>
      <c r="AU229" s="62" t="str">
        <f>IF(AT229="","",COUNTIF($AT$6:$AT$805,"&gt;"&amp;AT229)+COUNTIF($AT$6:AT229,AT229))</f>
        <v/>
      </c>
    </row>
    <row r="230">
      <c r="A230" s="59" t="str">
        <f>IF(AE230="","",AB230&amp;"-"&amp;AD230&amp;"-"&amp;RIGHT("000"&amp;AE230,4))</f>
        <v/>
      </c>
      <c r="B230" s="60" t="n"/>
      <c r="C230" s="61" t="n"/>
      <c r="D230" s="60" t="n"/>
      <c r="E230" s="62" t="str">
        <f>IF(D230="","",IFERROR(INDEX(cli_name,MATCH(D230,cli_code,0))&amp;"","Client inconnu"))</f>
        <v/>
      </c>
      <c r="F230" s="60" t="n"/>
      <c r="G230" s="63" t="n"/>
      <c r="H230" s="61" t="n"/>
      <c r="I230" s="63" t="n"/>
      <c r="J230" s="60" t="n"/>
      <c r="K230" s="61" t="n"/>
      <c r="L230" s="60" t="n"/>
      <c r="M230" s="60" t="n"/>
      <c r="N230" s="60" t="n"/>
      <c r="O230" s="61" t="n"/>
      <c r="P230" s="64" t="str">
        <f>IF(A230="","",IF(AA230="Avoir",AC230,IF(ISNUMBER(K230),K230,AC230+IF(D230="",N(p_delay),IFERROR(IF(ISNUMBER(INDEX(cli_delay,MATCH(D230,cli_code,0))),INDEX(cli_delay,MATCH(D230,cli_code,0)),N(p_delay)),N(p_delay))))))</f>
        <v/>
      </c>
      <c r="Q230" s="65" t="str">
        <f>IF(A230="","",IF(AA230="Avoir",-1,1)*ROUND(AJ230-IF(AR230="",0,INDEX(fa_htb,AR230)),2))</f>
        <v/>
      </c>
      <c r="R230" s="65" t="str">
        <f>IF(A230="","",IF(AA230="Avoir",-1,1)*ROUND(AQ230-IF(AR230="",0,INDEX(fa_tvab,AR230)),2))</f>
        <v/>
      </c>
      <c r="S230" s="65" t="str">
        <f>IF(A230="","",Q230+R230)</f>
        <v/>
      </c>
      <c r="T230" s="65" t="str">
        <f>IF(AR230="","",INDEX(fa_htb,AR230)+INDEX(fa_tvab,AR230))</f>
        <v/>
      </c>
      <c r="U230" s="65" t="str">
        <f>IF(A230="","",SUMIF(pa_inv,A230,pa_amt))</f>
        <v/>
      </c>
      <c r="V230" s="65" t="str">
        <f>IF(OR(A230="",AA230="Avoir"),"",-SUMIFS(fa_ttc,fa_avof,A230,fa_type,"Avoir"))</f>
        <v/>
      </c>
      <c r="W230" s="65" t="str">
        <f>IF(OR(A230="",AA230="Avoir"),"",ROUND(S230-U230-V230,2))</f>
        <v/>
      </c>
      <c r="X230" s="66" t="str">
        <f>IF(W230="","",IF(AND(W230&gt;0,p_asof&gt;P230),p_asof-P230,""))</f>
        <v/>
      </c>
      <c r="Y230" s="59" t="str">
        <f>IF(A230="","",IF(AA230="Avoir","Avoir",IF(W230&lt;0,"Trop-perçu",IF(W230=0,"Soldée",IF(p_asof&gt;P230,"En retard",IF(U230+V230&gt;0,"Partielle","À échoir"))))))</f>
        <v/>
      </c>
      <c r="Z230" s="59" t="str">
        <f>IF(NOT(COUNTA(B230:D230,F230:O230)&gt;0),"",IF(C230="","Date manquante",IF(NOT(ISNUMBER(C230)),"Date invalide",IF(D230="","Client manquant",IF(ISNA(MATCH(D230,cli_code,0)),"Client inconnu",IF(AC230&lt;SUMPRODUCT(MAX(($AB$6:AB229=AB230)*$AC$6:AC229)),"Date antérieure à la facture précédente",IF(AND(F230&lt;&gt;"",ISNA(MATCH(F230,dv_num,0))),"Devis inconnu",IF(AND(F230&lt;&gt;"",IFERROR(INDEX(dv_client,MATCH(F230,dv_num,0)),D230)&lt;&gt;D230),"Client différent de celui du devis",IF(AG230="","Aucune ligne : saisissez des lignes ou un devis",IF(AND(AI230&lt;&gt;"",COUNTIF($AI$6:AI230,AI230)&gt;1),"Devis déjà repris par une autre facture",IF(AND(AA230="Avoir",M230=""),"Avoir : indiquez la facture d'origine",IF(AND(AA230="Avoir",ISNA(MATCH(M230,fa_num,0))),"Facture d'origine inconnue",IF(AND(AA230&lt;&gt;"Avoir",M230&lt;&gt;""),"« Avoir sur facture » : réservé aux avoirs",IF(AND(L230&lt;&gt;"",AA230&lt;&gt;"Facture"),"Acompte à déduire : réservé aux factures",IF(AND(L230&lt;&gt;"",ISNA(MATCH(L230,fa_num,0))),"Facture d'acompte inconnue",IF(AND(L230&lt;&gt;"",IFERROR(INDEX(fa_type,MATCH(L230,fa_num,0)),"")&lt;&gt;"Facture d'acompte"),"Le n° à déduire n'est pas une facture d'acompte",IF(AND(L230&lt;&gt;"",COUNTIF($L$6:L230,L230)&gt;1),"Acompte déjà déduit sur une autre facture",IF(AND(L230&lt;&gt;"",IFERROR(INDEX(fa_client,MATCH(L230,fa_num,0)),D230)&lt;&gt;D230),"Acompte d'un autre client",IF(AND(AR230&lt;&gt;"",N(Q230)&lt;0),"Acompte supérieur au total de la facture",IF(IF(AG230="Facture",COUNTIFS(fl_doc,A230,fl_check,"&lt;&gt;OK"),IF(AG230="Devis",COUNTIFS(dl_doc,F230,dl_check,"&lt;&gt;OK"),0))&gt;0,"Ligne(s) à corriger",IF(AND(W230&lt;&gt;"",N(W230)&lt;0),"Trop-perçu : vérifiez paiements et avoirs","OK")))))))))))))))))))))</f>
        <v/>
      </c>
      <c r="AA230" s="62" t="str">
        <f>IF(COUNTA(B230:D230,F230:O230)&gt;0,IF(B230="","Facture",B230),"")</f>
        <v/>
      </c>
      <c r="AB230" s="62" t="str">
        <f>IF(AA230="","",IF(AA230="Avoir",p_pav,IF(AA230="Facture d'acompte",p_pac,p_pfa)))</f>
        <v/>
      </c>
      <c r="AC230" s="62">
        <f>IF(ISNUMBER(C230),C230,0)</f>
        <v>0.0</v>
      </c>
      <c r="AD230" s="62" t="str">
        <f>IF(OR(AA230="",AC230=0),"",YEAR(AC230))</f>
        <v/>
      </c>
      <c r="AE230" s="62" t="str">
        <f>IF(AD230="","",COUNTIFS($AB$6:AB230,AB230,$AD$6:AD230,AD230))</f>
        <v/>
      </c>
      <c r="AF230" s="62">
        <f>IF(A230="",0,COUNTIF(fl_doc,A230))</f>
        <v>0.0</v>
      </c>
      <c r="AG230" s="62" t="str">
        <f>IF(A230="","",IF(AF230&gt;0,"Facture",IF(AND(F230&lt;&gt;"",AA230="Facture",ISNUMBER(MATCH(F230,dv_num,0))),"Devis","")))</f>
        <v/>
      </c>
      <c r="AH230" s="62" t="str">
        <f>IF(AND(A230&lt;&gt;"",F230&lt;&gt;"",AA230&lt;&gt;"Avoir"),F230,"")</f>
        <v/>
      </c>
      <c r="AI230" s="62" t="str">
        <f>IF(AG230="Devis",F230,"")</f>
        <v/>
      </c>
      <c r="AJ230" s="62">
        <f>IF(AG230="Facture",SUMIF(fl_doc,A230,fl_ht),IF(AG230="Devis",SUMIF(dl_doc,F230,dl_ht),0))</f>
        <v>0.0</v>
      </c>
      <c r="AK230" s="62">
        <f>IF(OR(AG230="",INDEX(p_rates,1)=""),0,IF(AG230="Facture",SUMIFS(fl_ht,fl_doc,A230,fl_rate,INDEX(p_rates,1)),SUMIFS(dl_ht,dl_doc,F230,dl_rate,INDEX(p_rates,1))))</f>
        <v>0.0</v>
      </c>
      <c r="AL230" s="62">
        <f>IF(OR(AG230="",INDEX(p_rates,2)=""),0,IF(AG230="Facture",SUMIFS(fl_ht,fl_doc,A230,fl_rate,INDEX(p_rates,2)),SUMIFS(dl_ht,dl_doc,F230,dl_rate,INDEX(p_rates,2))))</f>
        <v>0.0</v>
      </c>
      <c r="AM230" s="62">
        <f>IF(OR(AG230="",INDEX(p_rates,3)=""),0,IF(AG230="Facture",SUMIFS(fl_ht,fl_doc,A230,fl_rate,INDEX(p_rates,3)),SUMIFS(dl_ht,dl_doc,F230,dl_rate,INDEX(p_rates,3))))</f>
        <v>0.0</v>
      </c>
      <c r="AN230" s="62">
        <f>IF(OR(AG230="",INDEX(p_rates,4)=""),0,IF(AG230="Facture",SUMIFS(fl_ht,fl_doc,A230,fl_rate,INDEX(p_rates,4)),SUMIFS(dl_ht,dl_doc,F230,dl_rate,INDEX(p_rates,4))))</f>
        <v>0.0</v>
      </c>
      <c r="AO230" s="62">
        <f>IF(OR(AG230="",INDEX(p_rates,5)=""),0,IF(AG230="Facture",SUMIFS(fl_ht,fl_doc,A230,fl_rate,INDEX(p_rates,5)),SUMIFS(dl_ht,dl_doc,F230,dl_rate,INDEX(p_rates,5))))</f>
        <v>0.0</v>
      </c>
      <c r="AP230" s="62">
        <f>IF(OR(AG230="",INDEX(p_rates,6)=""),0,IF(AG230="Facture",SUMIFS(fl_ht,fl_doc,A230,fl_rate,INDEX(p_rates,6)),SUMIFS(dl_ht,dl_doc,F230,dl_rate,INDEX(p_rates,6))))</f>
        <v>0.0</v>
      </c>
      <c r="AQ230" s="62">
        <f>ROUND(AK230*N(INDEX(p_rates,1)),2)+ROUND(AL230*N(INDEX(p_rates,2)),2)+ROUND(AM230*N(INDEX(p_rates,3)),2)+ROUND(AN230*N(INDEX(p_rates,4)),2)+ROUND(AO230*N(INDEX(p_rates,5)),2)+ROUND(AP230*N(INDEX(p_rates,6)),2)</f>
        <v>0.0</v>
      </c>
      <c r="AR230" s="62" t="str">
        <f>IF(OR(L230="",AA230&lt;&gt;"Facture"),"",IFERROR(IF(INDEX(fa_type,MATCH(L230,fa_num,0))="Facture d'acompte",MATCH(L230,fa_num,0),""),""))</f>
        <v/>
      </c>
      <c r="AS230" s="62" t="str">
        <f>IF(W230="","",IF(W230&lt;=0,"",IF(p_asof-P230&lt;=0,"Non échu",IF(p_asof-P230&lt;=30,"1-30 j",IF(p_asof-P230&lt;=60,"31-60 j",IF(p_asof-P230&lt;=90,"61-90 j","Plus de 90 j"))))))</f>
        <v/>
      </c>
      <c r="AT230" s="62" t="str">
        <f>IF(AS230="","",p_asof-P230)</f>
        <v/>
      </c>
      <c r="AU230" s="62" t="str">
        <f>IF(AT230="","",COUNTIF($AT$6:$AT$805,"&gt;"&amp;AT230)+COUNTIF($AT$6:AT230,AT230))</f>
        <v/>
      </c>
    </row>
    <row r="231">
      <c r="A231" s="59" t="str">
        <f>IF(AE231="","",AB231&amp;"-"&amp;AD231&amp;"-"&amp;RIGHT("000"&amp;AE231,4))</f>
        <v/>
      </c>
      <c r="B231" s="60" t="n"/>
      <c r="C231" s="61" t="n"/>
      <c r="D231" s="60" t="n"/>
      <c r="E231" s="62" t="str">
        <f>IF(D231="","",IFERROR(INDEX(cli_name,MATCH(D231,cli_code,0))&amp;"","Client inconnu"))</f>
        <v/>
      </c>
      <c r="F231" s="60" t="n"/>
      <c r="G231" s="63" t="n"/>
      <c r="H231" s="61" t="n"/>
      <c r="I231" s="63" t="n"/>
      <c r="J231" s="60" t="n"/>
      <c r="K231" s="61" t="n"/>
      <c r="L231" s="60" t="n"/>
      <c r="M231" s="60" t="n"/>
      <c r="N231" s="60" t="n"/>
      <c r="O231" s="61" t="n"/>
      <c r="P231" s="64" t="str">
        <f>IF(A231="","",IF(AA231="Avoir",AC231,IF(ISNUMBER(K231),K231,AC231+IF(D231="",N(p_delay),IFERROR(IF(ISNUMBER(INDEX(cli_delay,MATCH(D231,cli_code,0))),INDEX(cli_delay,MATCH(D231,cli_code,0)),N(p_delay)),N(p_delay))))))</f>
        <v/>
      </c>
      <c r="Q231" s="65" t="str">
        <f>IF(A231="","",IF(AA231="Avoir",-1,1)*ROUND(AJ231-IF(AR231="",0,INDEX(fa_htb,AR231)),2))</f>
        <v/>
      </c>
      <c r="R231" s="65" t="str">
        <f>IF(A231="","",IF(AA231="Avoir",-1,1)*ROUND(AQ231-IF(AR231="",0,INDEX(fa_tvab,AR231)),2))</f>
        <v/>
      </c>
      <c r="S231" s="65" t="str">
        <f>IF(A231="","",Q231+R231)</f>
        <v/>
      </c>
      <c r="T231" s="65" t="str">
        <f>IF(AR231="","",INDEX(fa_htb,AR231)+INDEX(fa_tvab,AR231))</f>
        <v/>
      </c>
      <c r="U231" s="65" t="str">
        <f>IF(A231="","",SUMIF(pa_inv,A231,pa_amt))</f>
        <v/>
      </c>
      <c r="V231" s="65" t="str">
        <f>IF(OR(A231="",AA231="Avoir"),"",-SUMIFS(fa_ttc,fa_avof,A231,fa_type,"Avoir"))</f>
        <v/>
      </c>
      <c r="W231" s="65" t="str">
        <f>IF(OR(A231="",AA231="Avoir"),"",ROUND(S231-U231-V231,2))</f>
        <v/>
      </c>
      <c r="X231" s="66" t="str">
        <f>IF(W231="","",IF(AND(W231&gt;0,p_asof&gt;P231),p_asof-P231,""))</f>
        <v/>
      </c>
      <c r="Y231" s="59" t="str">
        <f>IF(A231="","",IF(AA231="Avoir","Avoir",IF(W231&lt;0,"Trop-perçu",IF(W231=0,"Soldée",IF(p_asof&gt;P231,"En retard",IF(U231+V231&gt;0,"Partielle","À échoir"))))))</f>
        <v/>
      </c>
      <c r="Z231" s="59" t="str">
        <f>IF(NOT(COUNTA(B231:D231,F231:O231)&gt;0),"",IF(C231="","Date manquante",IF(NOT(ISNUMBER(C231)),"Date invalide",IF(D231="","Client manquant",IF(ISNA(MATCH(D231,cli_code,0)),"Client inconnu",IF(AC231&lt;SUMPRODUCT(MAX(($AB$6:AB230=AB231)*$AC$6:AC230)),"Date antérieure à la facture précédente",IF(AND(F231&lt;&gt;"",ISNA(MATCH(F231,dv_num,0))),"Devis inconnu",IF(AND(F231&lt;&gt;"",IFERROR(INDEX(dv_client,MATCH(F231,dv_num,0)),D231)&lt;&gt;D231),"Client différent de celui du devis",IF(AG231="","Aucune ligne : saisissez des lignes ou un devis",IF(AND(AI231&lt;&gt;"",COUNTIF($AI$6:AI231,AI231)&gt;1),"Devis déjà repris par une autre facture",IF(AND(AA231="Avoir",M231=""),"Avoir : indiquez la facture d'origine",IF(AND(AA231="Avoir",ISNA(MATCH(M231,fa_num,0))),"Facture d'origine inconnue",IF(AND(AA231&lt;&gt;"Avoir",M231&lt;&gt;""),"« Avoir sur facture » : réservé aux avoirs",IF(AND(L231&lt;&gt;"",AA231&lt;&gt;"Facture"),"Acompte à déduire : réservé aux factures",IF(AND(L231&lt;&gt;"",ISNA(MATCH(L231,fa_num,0))),"Facture d'acompte inconnue",IF(AND(L231&lt;&gt;"",IFERROR(INDEX(fa_type,MATCH(L231,fa_num,0)),"")&lt;&gt;"Facture d'acompte"),"Le n° à déduire n'est pas une facture d'acompte",IF(AND(L231&lt;&gt;"",COUNTIF($L$6:L231,L231)&gt;1),"Acompte déjà déduit sur une autre facture",IF(AND(L231&lt;&gt;"",IFERROR(INDEX(fa_client,MATCH(L231,fa_num,0)),D231)&lt;&gt;D231),"Acompte d'un autre client",IF(AND(AR231&lt;&gt;"",N(Q231)&lt;0),"Acompte supérieur au total de la facture",IF(IF(AG231="Facture",COUNTIFS(fl_doc,A231,fl_check,"&lt;&gt;OK"),IF(AG231="Devis",COUNTIFS(dl_doc,F231,dl_check,"&lt;&gt;OK"),0))&gt;0,"Ligne(s) à corriger",IF(AND(W231&lt;&gt;"",N(W231)&lt;0),"Trop-perçu : vérifiez paiements et avoirs","OK")))))))))))))))))))))</f>
        <v/>
      </c>
      <c r="AA231" s="62" t="str">
        <f>IF(COUNTA(B231:D231,F231:O231)&gt;0,IF(B231="","Facture",B231),"")</f>
        <v/>
      </c>
      <c r="AB231" s="62" t="str">
        <f>IF(AA231="","",IF(AA231="Avoir",p_pav,IF(AA231="Facture d'acompte",p_pac,p_pfa)))</f>
        <v/>
      </c>
      <c r="AC231" s="62">
        <f>IF(ISNUMBER(C231),C231,0)</f>
        <v>0.0</v>
      </c>
      <c r="AD231" s="62" t="str">
        <f>IF(OR(AA231="",AC231=0),"",YEAR(AC231))</f>
        <v/>
      </c>
      <c r="AE231" s="62" t="str">
        <f>IF(AD231="","",COUNTIFS($AB$6:AB231,AB231,$AD$6:AD231,AD231))</f>
        <v/>
      </c>
      <c r="AF231" s="62">
        <f>IF(A231="",0,COUNTIF(fl_doc,A231))</f>
        <v>0.0</v>
      </c>
      <c r="AG231" s="62" t="str">
        <f>IF(A231="","",IF(AF231&gt;0,"Facture",IF(AND(F231&lt;&gt;"",AA231="Facture",ISNUMBER(MATCH(F231,dv_num,0))),"Devis","")))</f>
        <v/>
      </c>
      <c r="AH231" s="62" t="str">
        <f>IF(AND(A231&lt;&gt;"",F231&lt;&gt;"",AA231&lt;&gt;"Avoir"),F231,"")</f>
        <v/>
      </c>
      <c r="AI231" s="62" t="str">
        <f>IF(AG231="Devis",F231,"")</f>
        <v/>
      </c>
      <c r="AJ231" s="62">
        <f>IF(AG231="Facture",SUMIF(fl_doc,A231,fl_ht),IF(AG231="Devis",SUMIF(dl_doc,F231,dl_ht),0))</f>
        <v>0.0</v>
      </c>
      <c r="AK231" s="62">
        <f>IF(OR(AG231="",INDEX(p_rates,1)=""),0,IF(AG231="Facture",SUMIFS(fl_ht,fl_doc,A231,fl_rate,INDEX(p_rates,1)),SUMIFS(dl_ht,dl_doc,F231,dl_rate,INDEX(p_rates,1))))</f>
        <v>0.0</v>
      </c>
      <c r="AL231" s="62">
        <f>IF(OR(AG231="",INDEX(p_rates,2)=""),0,IF(AG231="Facture",SUMIFS(fl_ht,fl_doc,A231,fl_rate,INDEX(p_rates,2)),SUMIFS(dl_ht,dl_doc,F231,dl_rate,INDEX(p_rates,2))))</f>
        <v>0.0</v>
      </c>
      <c r="AM231" s="62">
        <f>IF(OR(AG231="",INDEX(p_rates,3)=""),0,IF(AG231="Facture",SUMIFS(fl_ht,fl_doc,A231,fl_rate,INDEX(p_rates,3)),SUMIFS(dl_ht,dl_doc,F231,dl_rate,INDEX(p_rates,3))))</f>
        <v>0.0</v>
      </c>
      <c r="AN231" s="62">
        <f>IF(OR(AG231="",INDEX(p_rates,4)=""),0,IF(AG231="Facture",SUMIFS(fl_ht,fl_doc,A231,fl_rate,INDEX(p_rates,4)),SUMIFS(dl_ht,dl_doc,F231,dl_rate,INDEX(p_rates,4))))</f>
        <v>0.0</v>
      </c>
      <c r="AO231" s="62">
        <f>IF(OR(AG231="",INDEX(p_rates,5)=""),0,IF(AG231="Facture",SUMIFS(fl_ht,fl_doc,A231,fl_rate,INDEX(p_rates,5)),SUMIFS(dl_ht,dl_doc,F231,dl_rate,INDEX(p_rates,5))))</f>
        <v>0.0</v>
      </c>
      <c r="AP231" s="62">
        <f>IF(OR(AG231="",INDEX(p_rates,6)=""),0,IF(AG231="Facture",SUMIFS(fl_ht,fl_doc,A231,fl_rate,INDEX(p_rates,6)),SUMIFS(dl_ht,dl_doc,F231,dl_rate,INDEX(p_rates,6))))</f>
        <v>0.0</v>
      </c>
      <c r="AQ231" s="62">
        <f>ROUND(AK231*N(INDEX(p_rates,1)),2)+ROUND(AL231*N(INDEX(p_rates,2)),2)+ROUND(AM231*N(INDEX(p_rates,3)),2)+ROUND(AN231*N(INDEX(p_rates,4)),2)+ROUND(AO231*N(INDEX(p_rates,5)),2)+ROUND(AP231*N(INDEX(p_rates,6)),2)</f>
        <v>0.0</v>
      </c>
      <c r="AR231" s="62" t="str">
        <f>IF(OR(L231="",AA231&lt;&gt;"Facture"),"",IFERROR(IF(INDEX(fa_type,MATCH(L231,fa_num,0))="Facture d'acompte",MATCH(L231,fa_num,0),""),""))</f>
        <v/>
      </c>
      <c r="AS231" s="62" t="str">
        <f>IF(W231="","",IF(W231&lt;=0,"",IF(p_asof-P231&lt;=0,"Non échu",IF(p_asof-P231&lt;=30,"1-30 j",IF(p_asof-P231&lt;=60,"31-60 j",IF(p_asof-P231&lt;=90,"61-90 j","Plus de 90 j"))))))</f>
        <v/>
      </c>
      <c r="AT231" s="62" t="str">
        <f>IF(AS231="","",p_asof-P231)</f>
        <v/>
      </c>
      <c r="AU231" s="62" t="str">
        <f>IF(AT231="","",COUNTIF($AT$6:$AT$805,"&gt;"&amp;AT231)+COUNTIF($AT$6:AT231,AT231))</f>
        <v/>
      </c>
    </row>
    <row r="232">
      <c r="A232" s="59" t="str">
        <f>IF(AE232="","",AB232&amp;"-"&amp;AD232&amp;"-"&amp;RIGHT("000"&amp;AE232,4))</f>
        <v/>
      </c>
      <c r="B232" s="60" t="n"/>
      <c r="C232" s="61" t="n"/>
      <c r="D232" s="60" t="n"/>
      <c r="E232" s="62" t="str">
        <f>IF(D232="","",IFERROR(INDEX(cli_name,MATCH(D232,cli_code,0))&amp;"","Client inconnu"))</f>
        <v/>
      </c>
      <c r="F232" s="60" t="n"/>
      <c r="G232" s="63" t="n"/>
      <c r="H232" s="61" t="n"/>
      <c r="I232" s="63" t="n"/>
      <c r="J232" s="60" t="n"/>
      <c r="K232" s="61" t="n"/>
      <c r="L232" s="60" t="n"/>
      <c r="M232" s="60" t="n"/>
      <c r="N232" s="60" t="n"/>
      <c r="O232" s="61" t="n"/>
      <c r="P232" s="64" t="str">
        <f>IF(A232="","",IF(AA232="Avoir",AC232,IF(ISNUMBER(K232),K232,AC232+IF(D232="",N(p_delay),IFERROR(IF(ISNUMBER(INDEX(cli_delay,MATCH(D232,cli_code,0))),INDEX(cli_delay,MATCH(D232,cli_code,0)),N(p_delay)),N(p_delay))))))</f>
        <v/>
      </c>
      <c r="Q232" s="65" t="str">
        <f>IF(A232="","",IF(AA232="Avoir",-1,1)*ROUND(AJ232-IF(AR232="",0,INDEX(fa_htb,AR232)),2))</f>
        <v/>
      </c>
      <c r="R232" s="65" t="str">
        <f>IF(A232="","",IF(AA232="Avoir",-1,1)*ROUND(AQ232-IF(AR232="",0,INDEX(fa_tvab,AR232)),2))</f>
        <v/>
      </c>
      <c r="S232" s="65" t="str">
        <f>IF(A232="","",Q232+R232)</f>
        <v/>
      </c>
      <c r="T232" s="65" t="str">
        <f>IF(AR232="","",INDEX(fa_htb,AR232)+INDEX(fa_tvab,AR232))</f>
        <v/>
      </c>
      <c r="U232" s="65" t="str">
        <f>IF(A232="","",SUMIF(pa_inv,A232,pa_amt))</f>
        <v/>
      </c>
      <c r="V232" s="65" t="str">
        <f>IF(OR(A232="",AA232="Avoir"),"",-SUMIFS(fa_ttc,fa_avof,A232,fa_type,"Avoir"))</f>
        <v/>
      </c>
      <c r="W232" s="65" t="str">
        <f>IF(OR(A232="",AA232="Avoir"),"",ROUND(S232-U232-V232,2))</f>
        <v/>
      </c>
      <c r="X232" s="66" t="str">
        <f>IF(W232="","",IF(AND(W232&gt;0,p_asof&gt;P232),p_asof-P232,""))</f>
        <v/>
      </c>
      <c r="Y232" s="59" t="str">
        <f>IF(A232="","",IF(AA232="Avoir","Avoir",IF(W232&lt;0,"Trop-perçu",IF(W232=0,"Soldée",IF(p_asof&gt;P232,"En retard",IF(U232+V232&gt;0,"Partielle","À échoir"))))))</f>
        <v/>
      </c>
      <c r="Z232" s="59" t="str">
        <f>IF(NOT(COUNTA(B232:D232,F232:O232)&gt;0),"",IF(C232="","Date manquante",IF(NOT(ISNUMBER(C232)),"Date invalide",IF(D232="","Client manquant",IF(ISNA(MATCH(D232,cli_code,0)),"Client inconnu",IF(AC232&lt;SUMPRODUCT(MAX(($AB$6:AB231=AB232)*$AC$6:AC231)),"Date antérieure à la facture précédente",IF(AND(F232&lt;&gt;"",ISNA(MATCH(F232,dv_num,0))),"Devis inconnu",IF(AND(F232&lt;&gt;"",IFERROR(INDEX(dv_client,MATCH(F232,dv_num,0)),D232)&lt;&gt;D232),"Client différent de celui du devis",IF(AG232="","Aucune ligne : saisissez des lignes ou un devis",IF(AND(AI232&lt;&gt;"",COUNTIF($AI$6:AI232,AI232)&gt;1),"Devis déjà repris par une autre facture",IF(AND(AA232="Avoir",M232=""),"Avoir : indiquez la facture d'origine",IF(AND(AA232="Avoir",ISNA(MATCH(M232,fa_num,0))),"Facture d'origine inconnue",IF(AND(AA232&lt;&gt;"Avoir",M232&lt;&gt;""),"« Avoir sur facture » : réservé aux avoirs",IF(AND(L232&lt;&gt;"",AA232&lt;&gt;"Facture"),"Acompte à déduire : réservé aux factures",IF(AND(L232&lt;&gt;"",ISNA(MATCH(L232,fa_num,0))),"Facture d'acompte inconnue",IF(AND(L232&lt;&gt;"",IFERROR(INDEX(fa_type,MATCH(L232,fa_num,0)),"")&lt;&gt;"Facture d'acompte"),"Le n° à déduire n'est pas une facture d'acompte",IF(AND(L232&lt;&gt;"",COUNTIF($L$6:L232,L232)&gt;1),"Acompte déjà déduit sur une autre facture",IF(AND(L232&lt;&gt;"",IFERROR(INDEX(fa_client,MATCH(L232,fa_num,0)),D232)&lt;&gt;D232),"Acompte d'un autre client",IF(AND(AR232&lt;&gt;"",N(Q232)&lt;0),"Acompte supérieur au total de la facture",IF(IF(AG232="Facture",COUNTIFS(fl_doc,A232,fl_check,"&lt;&gt;OK"),IF(AG232="Devis",COUNTIFS(dl_doc,F232,dl_check,"&lt;&gt;OK"),0))&gt;0,"Ligne(s) à corriger",IF(AND(W232&lt;&gt;"",N(W232)&lt;0),"Trop-perçu : vérifiez paiements et avoirs","OK")))))))))))))))))))))</f>
        <v/>
      </c>
      <c r="AA232" s="62" t="str">
        <f>IF(COUNTA(B232:D232,F232:O232)&gt;0,IF(B232="","Facture",B232),"")</f>
        <v/>
      </c>
      <c r="AB232" s="62" t="str">
        <f>IF(AA232="","",IF(AA232="Avoir",p_pav,IF(AA232="Facture d'acompte",p_pac,p_pfa)))</f>
        <v/>
      </c>
      <c r="AC232" s="62">
        <f>IF(ISNUMBER(C232),C232,0)</f>
        <v>0.0</v>
      </c>
      <c r="AD232" s="62" t="str">
        <f>IF(OR(AA232="",AC232=0),"",YEAR(AC232))</f>
        <v/>
      </c>
      <c r="AE232" s="62" t="str">
        <f>IF(AD232="","",COUNTIFS($AB$6:AB232,AB232,$AD$6:AD232,AD232))</f>
        <v/>
      </c>
      <c r="AF232" s="62">
        <f>IF(A232="",0,COUNTIF(fl_doc,A232))</f>
        <v>0.0</v>
      </c>
      <c r="AG232" s="62" t="str">
        <f>IF(A232="","",IF(AF232&gt;0,"Facture",IF(AND(F232&lt;&gt;"",AA232="Facture",ISNUMBER(MATCH(F232,dv_num,0))),"Devis","")))</f>
        <v/>
      </c>
      <c r="AH232" s="62" t="str">
        <f>IF(AND(A232&lt;&gt;"",F232&lt;&gt;"",AA232&lt;&gt;"Avoir"),F232,"")</f>
        <v/>
      </c>
      <c r="AI232" s="62" t="str">
        <f>IF(AG232="Devis",F232,"")</f>
        <v/>
      </c>
      <c r="AJ232" s="62">
        <f>IF(AG232="Facture",SUMIF(fl_doc,A232,fl_ht),IF(AG232="Devis",SUMIF(dl_doc,F232,dl_ht),0))</f>
        <v>0.0</v>
      </c>
      <c r="AK232" s="62">
        <f>IF(OR(AG232="",INDEX(p_rates,1)=""),0,IF(AG232="Facture",SUMIFS(fl_ht,fl_doc,A232,fl_rate,INDEX(p_rates,1)),SUMIFS(dl_ht,dl_doc,F232,dl_rate,INDEX(p_rates,1))))</f>
        <v>0.0</v>
      </c>
      <c r="AL232" s="62">
        <f>IF(OR(AG232="",INDEX(p_rates,2)=""),0,IF(AG232="Facture",SUMIFS(fl_ht,fl_doc,A232,fl_rate,INDEX(p_rates,2)),SUMIFS(dl_ht,dl_doc,F232,dl_rate,INDEX(p_rates,2))))</f>
        <v>0.0</v>
      </c>
      <c r="AM232" s="62">
        <f>IF(OR(AG232="",INDEX(p_rates,3)=""),0,IF(AG232="Facture",SUMIFS(fl_ht,fl_doc,A232,fl_rate,INDEX(p_rates,3)),SUMIFS(dl_ht,dl_doc,F232,dl_rate,INDEX(p_rates,3))))</f>
        <v>0.0</v>
      </c>
      <c r="AN232" s="62">
        <f>IF(OR(AG232="",INDEX(p_rates,4)=""),0,IF(AG232="Facture",SUMIFS(fl_ht,fl_doc,A232,fl_rate,INDEX(p_rates,4)),SUMIFS(dl_ht,dl_doc,F232,dl_rate,INDEX(p_rates,4))))</f>
        <v>0.0</v>
      </c>
      <c r="AO232" s="62">
        <f>IF(OR(AG232="",INDEX(p_rates,5)=""),0,IF(AG232="Facture",SUMIFS(fl_ht,fl_doc,A232,fl_rate,INDEX(p_rates,5)),SUMIFS(dl_ht,dl_doc,F232,dl_rate,INDEX(p_rates,5))))</f>
        <v>0.0</v>
      </c>
      <c r="AP232" s="62">
        <f>IF(OR(AG232="",INDEX(p_rates,6)=""),0,IF(AG232="Facture",SUMIFS(fl_ht,fl_doc,A232,fl_rate,INDEX(p_rates,6)),SUMIFS(dl_ht,dl_doc,F232,dl_rate,INDEX(p_rates,6))))</f>
        <v>0.0</v>
      </c>
      <c r="AQ232" s="62">
        <f>ROUND(AK232*N(INDEX(p_rates,1)),2)+ROUND(AL232*N(INDEX(p_rates,2)),2)+ROUND(AM232*N(INDEX(p_rates,3)),2)+ROUND(AN232*N(INDEX(p_rates,4)),2)+ROUND(AO232*N(INDEX(p_rates,5)),2)+ROUND(AP232*N(INDEX(p_rates,6)),2)</f>
        <v>0.0</v>
      </c>
      <c r="AR232" s="62" t="str">
        <f>IF(OR(L232="",AA232&lt;&gt;"Facture"),"",IFERROR(IF(INDEX(fa_type,MATCH(L232,fa_num,0))="Facture d'acompte",MATCH(L232,fa_num,0),""),""))</f>
        <v/>
      </c>
      <c r="AS232" s="62" t="str">
        <f>IF(W232="","",IF(W232&lt;=0,"",IF(p_asof-P232&lt;=0,"Non échu",IF(p_asof-P232&lt;=30,"1-30 j",IF(p_asof-P232&lt;=60,"31-60 j",IF(p_asof-P232&lt;=90,"61-90 j","Plus de 90 j"))))))</f>
        <v/>
      </c>
      <c r="AT232" s="62" t="str">
        <f>IF(AS232="","",p_asof-P232)</f>
        <v/>
      </c>
      <c r="AU232" s="62" t="str">
        <f>IF(AT232="","",COUNTIF($AT$6:$AT$805,"&gt;"&amp;AT232)+COUNTIF($AT$6:AT232,AT232))</f>
        <v/>
      </c>
    </row>
    <row r="233">
      <c r="A233" s="59" t="str">
        <f>IF(AE233="","",AB233&amp;"-"&amp;AD233&amp;"-"&amp;RIGHT("000"&amp;AE233,4))</f>
        <v/>
      </c>
      <c r="B233" s="60" t="n"/>
      <c r="C233" s="61" t="n"/>
      <c r="D233" s="60" t="n"/>
      <c r="E233" s="62" t="str">
        <f>IF(D233="","",IFERROR(INDEX(cli_name,MATCH(D233,cli_code,0))&amp;"","Client inconnu"))</f>
        <v/>
      </c>
      <c r="F233" s="60" t="n"/>
      <c r="G233" s="63" t="n"/>
      <c r="H233" s="61" t="n"/>
      <c r="I233" s="63" t="n"/>
      <c r="J233" s="60" t="n"/>
      <c r="K233" s="61" t="n"/>
      <c r="L233" s="60" t="n"/>
      <c r="M233" s="60" t="n"/>
      <c r="N233" s="60" t="n"/>
      <c r="O233" s="61" t="n"/>
      <c r="P233" s="64" t="str">
        <f>IF(A233="","",IF(AA233="Avoir",AC233,IF(ISNUMBER(K233),K233,AC233+IF(D233="",N(p_delay),IFERROR(IF(ISNUMBER(INDEX(cli_delay,MATCH(D233,cli_code,0))),INDEX(cli_delay,MATCH(D233,cli_code,0)),N(p_delay)),N(p_delay))))))</f>
        <v/>
      </c>
      <c r="Q233" s="65" t="str">
        <f>IF(A233="","",IF(AA233="Avoir",-1,1)*ROUND(AJ233-IF(AR233="",0,INDEX(fa_htb,AR233)),2))</f>
        <v/>
      </c>
      <c r="R233" s="65" t="str">
        <f>IF(A233="","",IF(AA233="Avoir",-1,1)*ROUND(AQ233-IF(AR233="",0,INDEX(fa_tvab,AR233)),2))</f>
        <v/>
      </c>
      <c r="S233" s="65" t="str">
        <f>IF(A233="","",Q233+R233)</f>
        <v/>
      </c>
      <c r="T233" s="65" t="str">
        <f>IF(AR233="","",INDEX(fa_htb,AR233)+INDEX(fa_tvab,AR233))</f>
        <v/>
      </c>
      <c r="U233" s="65" t="str">
        <f>IF(A233="","",SUMIF(pa_inv,A233,pa_amt))</f>
        <v/>
      </c>
      <c r="V233" s="65" t="str">
        <f>IF(OR(A233="",AA233="Avoir"),"",-SUMIFS(fa_ttc,fa_avof,A233,fa_type,"Avoir"))</f>
        <v/>
      </c>
      <c r="W233" s="65" t="str">
        <f>IF(OR(A233="",AA233="Avoir"),"",ROUND(S233-U233-V233,2))</f>
        <v/>
      </c>
      <c r="X233" s="66" t="str">
        <f>IF(W233="","",IF(AND(W233&gt;0,p_asof&gt;P233),p_asof-P233,""))</f>
        <v/>
      </c>
      <c r="Y233" s="59" t="str">
        <f>IF(A233="","",IF(AA233="Avoir","Avoir",IF(W233&lt;0,"Trop-perçu",IF(W233=0,"Soldée",IF(p_asof&gt;P233,"En retard",IF(U233+V233&gt;0,"Partielle","À échoir"))))))</f>
        <v/>
      </c>
      <c r="Z233" s="59" t="str">
        <f>IF(NOT(COUNTA(B233:D233,F233:O233)&gt;0),"",IF(C233="","Date manquante",IF(NOT(ISNUMBER(C233)),"Date invalide",IF(D233="","Client manquant",IF(ISNA(MATCH(D233,cli_code,0)),"Client inconnu",IF(AC233&lt;SUMPRODUCT(MAX(($AB$6:AB232=AB233)*$AC$6:AC232)),"Date antérieure à la facture précédente",IF(AND(F233&lt;&gt;"",ISNA(MATCH(F233,dv_num,0))),"Devis inconnu",IF(AND(F233&lt;&gt;"",IFERROR(INDEX(dv_client,MATCH(F233,dv_num,0)),D233)&lt;&gt;D233),"Client différent de celui du devis",IF(AG233="","Aucune ligne : saisissez des lignes ou un devis",IF(AND(AI233&lt;&gt;"",COUNTIF($AI$6:AI233,AI233)&gt;1),"Devis déjà repris par une autre facture",IF(AND(AA233="Avoir",M233=""),"Avoir : indiquez la facture d'origine",IF(AND(AA233="Avoir",ISNA(MATCH(M233,fa_num,0))),"Facture d'origine inconnue",IF(AND(AA233&lt;&gt;"Avoir",M233&lt;&gt;""),"« Avoir sur facture » : réservé aux avoirs",IF(AND(L233&lt;&gt;"",AA233&lt;&gt;"Facture"),"Acompte à déduire : réservé aux factures",IF(AND(L233&lt;&gt;"",ISNA(MATCH(L233,fa_num,0))),"Facture d'acompte inconnue",IF(AND(L233&lt;&gt;"",IFERROR(INDEX(fa_type,MATCH(L233,fa_num,0)),"")&lt;&gt;"Facture d'acompte"),"Le n° à déduire n'est pas une facture d'acompte",IF(AND(L233&lt;&gt;"",COUNTIF($L$6:L233,L233)&gt;1),"Acompte déjà déduit sur une autre facture",IF(AND(L233&lt;&gt;"",IFERROR(INDEX(fa_client,MATCH(L233,fa_num,0)),D233)&lt;&gt;D233),"Acompte d'un autre client",IF(AND(AR233&lt;&gt;"",N(Q233)&lt;0),"Acompte supérieur au total de la facture",IF(IF(AG233="Facture",COUNTIFS(fl_doc,A233,fl_check,"&lt;&gt;OK"),IF(AG233="Devis",COUNTIFS(dl_doc,F233,dl_check,"&lt;&gt;OK"),0))&gt;0,"Ligne(s) à corriger",IF(AND(W233&lt;&gt;"",N(W233)&lt;0),"Trop-perçu : vérifiez paiements et avoirs","OK")))))))))))))))))))))</f>
        <v/>
      </c>
      <c r="AA233" s="62" t="str">
        <f>IF(COUNTA(B233:D233,F233:O233)&gt;0,IF(B233="","Facture",B233),"")</f>
        <v/>
      </c>
      <c r="AB233" s="62" t="str">
        <f>IF(AA233="","",IF(AA233="Avoir",p_pav,IF(AA233="Facture d'acompte",p_pac,p_pfa)))</f>
        <v/>
      </c>
      <c r="AC233" s="62">
        <f>IF(ISNUMBER(C233),C233,0)</f>
        <v>0.0</v>
      </c>
      <c r="AD233" s="62" t="str">
        <f>IF(OR(AA233="",AC233=0),"",YEAR(AC233))</f>
        <v/>
      </c>
      <c r="AE233" s="62" t="str">
        <f>IF(AD233="","",COUNTIFS($AB$6:AB233,AB233,$AD$6:AD233,AD233))</f>
        <v/>
      </c>
      <c r="AF233" s="62">
        <f>IF(A233="",0,COUNTIF(fl_doc,A233))</f>
        <v>0.0</v>
      </c>
      <c r="AG233" s="62" t="str">
        <f>IF(A233="","",IF(AF233&gt;0,"Facture",IF(AND(F233&lt;&gt;"",AA233="Facture",ISNUMBER(MATCH(F233,dv_num,0))),"Devis","")))</f>
        <v/>
      </c>
      <c r="AH233" s="62" t="str">
        <f>IF(AND(A233&lt;&gt;"",F233&lt;&gt;"",AA233&lt;&gt;"Avoir"),F233,"")</f>
        <v/>
      </c>
      <c r="AI233" s="62" t="str">
        <f>IF(AG233="Devis",F233,"")</f>
        <v/>
      </c>
      <c r="AJ233" s="62">
        <f>IF(AG233="Facture",SUMIF(fl_doc,A233,fl_ht),IF(AG233="Devis",SUMIF(dl_doc,F233,dl_ht),0))</f>
        <v>0.0</v>
      </c>
      <c r="AK233" s="62">
        <f>IF(OR(AG233="",INDEX(p_rates,1)=""),0,IF(AG233="Facture",SUMIFS(fl_ht,fl_doc,A233,fl_rate,INDEX(p_rates,1)),SUMIFS(dl_ht,dl_doc,F233,dl_rate,INDEX(p_rates,1))))</f>
        <v>0.0</v>
      </c>
      <c r="AL233" s="62">
        <f>IF(OR(AG233="",INDEX(p_rates,2)=""),0,IF(AG233="Facture",SUMIFS(fl_ht,fl_doc,A233,fl_rate,INDEX(p_rates,2)),SUMIFS(dl_ht,dl_doc,F233,dl_rate,INDEX(p_rates,2))))</f>
        <v>0.0</v>
      </c>
      <c r="AM233" s="62">
        <f>IF(OR(AG233="",INDEX(p_rates,3)=""),0,IF(AG233="Facture",SUMIFS(fl_ht,fl_doc,A233,fl_rate,INDEX(p_rates,3)),SUMIFS(dl_ht,dl_doc,F233,dl_rate,INDEX(p_rates,3))))</f>
        <v>0.0</v>
      </c>
      <c r="AN233" s="62">
        <f>IF(OR(AG233="",INDEX(p_rates,4)=""),0,IF(AG233="Facture",SUMIFS(fl_ht,fl_doc,A233,fl_rate,INDEX(p_rates,4)),SUMIFS(dl_ht,dl_doc,F233,dl_rate,INDEX(p_rates,4))))</f>
        <v>0.0</v>
      </c>
      <c r="AO233" s="62">
        <f>IF(OR(AG233="",INDEX(p_rates,5)=""),0,IF(AG233="Facture",SUMIFS(fl_ht,fl_doc,A233,fl_rate,INDEX(p_rates,5)),SUMIFS(dl_ht,dl_doc,F233,dl_rate,INDEX(p_rates,5))))</f>
        <v>0.0</v>
      </c>
      <c r="AP233" s="62">
        <f>IF(OR(AG233="",INDEX(p_rates,6)=""),0,IF(AG233="Facture",SUMIFS(fl_ht,fl_doc,A233,fl_rate,INDEX(p_rates,6)),SUMIFS(dl_ht,dl_doc,F233,dl_rate,INDEX(p_rates,6))))</f>
        <v>0.0</v>
      </c>
      <c r="AQ233" s="62">
        <f>ROUND(AK233*N(INDEX(p_rates,1)),2)+ROUND(AL233*N(INDEX(p_rates,2)),2)+ROUND(AM233*N(INDEX(p_rates,3)),2)+ROUND(AN233*N(INDEX(p_rates,4)),2)+ROUND(AO233*N(INDEX(p_rates,5)),2)+ROUND(AP233*N(INDEX(p_rates,6)),2)</f>
        <v>0.0</v>
      </c>
      <c r="AR233" s="62" t="str">
        <f>IF(OR(L233="",AA233&lt;&gt;"Facture"),"",IFERROR(IF(INDEX(fa_type,MATCH(L233,fa_num,0))="Facture d'acompte",MATCH(L233,fa_num,0),""),""))</f>
        <v/>
      </c>
      <c r="AS233" s="62" t="str">
        <f>IF(W233="","",IF(W233&lt;=0,"",IF(p_asof-P233&lt;=0,"Non échu",IF(p_asof-P233&lt;=30,"1-30 j",IF(p_asof-P233&lt;=60,"31-60 j",IF(p_asof-P233&lt;=90,"61-90 j","Plus de 90 j"))))))</f>
        <v/>
      </c>
      <c r="AT233" s="62" t="str">
        <f>IF(AS233="","",p_asof-P233)</f>
        <v/>
      </c>
      <c r="AU233" s="62" t="str">
        <f>IF(AT233="","",COUNTIF($AT$6:$AT$805,"&gt;"&amp;AT233)+COUNTIF($AT$6:AT233,AT233))</f>
        <v/>
      </c>
    </row>
    <row r="234">
      <c r="A234" s="59" t="str">
        <f>IF(AE234="","",AB234&amp;"-"&amp;AD234&amp;"-"&amp;RIGHT("000"&amp;AE234,4))</f>
        <v/>
      </c>
      <c r="B234" s="60" t="n"/>
      <c r="C234" s="61" t="n"/>
      <c r="D234" s="60" t="n"/>
      <c r="E234" s="62" t="str">
        <f>IF(D234="","",IFERROR(INDEX(cli_name,MATCH(D234,cli_code,0))&amp;"","Client inconnu"))</f>
        <v/>
      </c>
      <c r="F234" s="60" t="n"/>
      <c r="G234" s="63" t="n"/>
      <c r="H234" s="61" t="n"/>
      <c r="I234" s="63" t="n"/>
      <c r="J234" s="60" t="n"/>
      <c r="K234" s="61" t="n"/>
      <c r="L234" s="60" t="n"/>
      <c r="M234" s="60" t="n"/>
      <c r="N234" s="60" t="n"/>
      <c r="O234" s="61" t="n"/>
      <c r="P234" s="64" t="str">
        <f>IF(A234="","",IF(AA234="Avoir",AC234,IF(ISNUMBER(K234),K234,AC234+IF(D234="",N(p_delay),IFERROR(IF(ISNUMBER(INDEX(cli_delay,MATCH(D234,cli_code,0))),INDEX(cli_delay,MATCH(D234,cli_code,0)),N(p_delay)),N(p_delay))))))</f>
        <v/>
      </c>
      <c r="Q234" s="65" t="str">
        <f>IF(A234="","",IF(AA234="Avoir",-1,1)*ROUND(AJ234-IF(AR234="",0,INDEX(fa_htb,AR234)),2))</f>
        <v/>
      </c>
      <c r="R234" s="65" t="str">
        <f>IF(A234="","",IF(AA234="Avoir",-1,1)*ROUND(AQ234-IF(AR234="",0,INDEX(fa_tvab,AR234)),2))</f>
        <v/>
      </c>
      <c r="S234" s="65" t="str">
        <f>IF(A234="","",Q234+R234)</f>
        <v/>
      </c>
      <c r="T234" s="65" t="str">
        <f>IF(AR234="","",INDEX(fa_htb,AR234)+INDEX(fa_tvab,AR234))</f>
        <v/>
      </c>
      <c r="U234" s="65" t="str">
        <f>IF(A234="","",SUMIF(pa_inv,A234,pa_amt))</f>
        <v/>
      </c>
      <c r="V234" s="65" t="str">
        <f>IF(OR(A234="",AA234="Avoir"),"",-SUMIFS(fa_ttc,fa_avof,A234,fa_type,"Avoir"))</f>
        <v/>
      </c>
      <c r="W234" s="65" t="str">
        <f>IF(OR(A234="",AA234="Avoir"),"",ROUND(S234-U234-V234,2))</f>
        <v/>
      </c>
      <c r="X234" s="66" t="str">
        <f>IF(W234="","",IF(AND(W234&gt;0,p_asof&gt;P234),p_asof-P234,""))</f>
        <v/>
      </c>
      <c r="Y234" s="59" t="str">
        <f>IF(A234="","",IF(AA234="Avoir","Avoir",IF(W234&lt;0,"Trop-perçu",IF(W234=0,"Soldée",IF(p_asof&gt;P234,"En retard",IF(U234+V234&gt;0,"Partielle","À échoir"))))))</f>
        <v/>
      </c>
      <c r="Z234" s="59" t="str">
        <f>IF(NOT(COUNTA(B234:D234,F234:O234)&gt;0),"",IF(C234="","Date manquante",IF(NOT(ISNUMBER(C234)),"Date invalide",IF(D234="","Client manquant",IF(ISNA(MATCH(D234,cli_code,0)),"Client inconnu",IF(AC234&lt;SUMPRODUCT(MAX(($AB$6:AB233=AB234)*$AC$6:AC233)),"Date antérieure à la facture précédente",IF(AND(F234&lt;&gt;"",ISNA(MATCH(F234,dv_num,0))),"Devis inconnu",IF(AND(F234&lt;&gt;"",IFERROR(INDEX(dv_client,MATCH(F234,dv_num,0)),D234)&lt;&gt;D234),"Client différent de celui du devis",IF(AG234="","Aucune ligne : saisissez des lignes ou un devis",IF(AND(AI234&lt;&gt;"",COUNTIF($AI$6:AI234,AI234)&gt;1),"Devis déjà repris par une autre facture",IF(AND(AA234="Avoir",M234=""),"Avoir : indiquez la facture d'origine",IF(AND(AA234="Avoir",ISNA(MATCH(M234,fa_num,0))),"Facture d'origine inconnue",IF(AND(AA234&lt;&gt;"Avoir",M234&lt;&gt;""),"« Avoir sur facture » : réservé aux avoirs",IF(AND(L234&lt;&gt;"",AA234&lt;&gt;"Facture"),"Acompte à déduire : réservé aux factures",IF(AND(L234&lt;&gt;"",ISNA(MATCH(L234,fa_num,0))),"Facture d'acompte inconnue",IF(AND(L234&lt;&gt;"",IFERROR(INDEX(fa_type,MATCH(L234,fa_num,0)),"")&lt;&gt;"Facture d'acompte"),"Le n° à déduire n'est pas une facture d'acompte",IF(AND(L234&lt;&gt;"",COUNTIF($L$6:L234,L234)&gt;1),"Acompte déjà déduit sur une autre facture",IF(AND(L234&lt;&gt;"",IFERROR(INDEX(fa_client,MATCH(L234,fa_num,0)),D234)&lt;&gt;D234),"Acompte d'un autre client",IF(AND(AR234&lt;&gt;"",N(Q234)&lt;0),"Acompte supérieur au total de la facture",IF(IF(AG234="Facture",COUNTIFS(fl_doc,A234,fl_check,"&lt;&gt;OK"),IF(AG234="Devis",COUNTIFS(dl_doc,F234,dl_check,"&lt;&gt;OK"),0))&gt;0,"Ligne(s) à corriger",IF(AND(W234&lt;&gt;"",N(W234)&lt;0),"Trop-perçu : vérifiez paiements et avoirs","OK")))))))))))))))))))))</f>
        <v/>
      </c>
      <c r="AA234" s="62" t="str">
        <f>IF(COUNTA(B234:D234,F234:O234)&gt;0,IF(B234="","Facture",B234),"")</f>
        <v/>
      </c>
      <c r="AB234" s="62" t="str">
        <f>IF(AA234="","",IF(AA234="Avoir",p_pav,IF(AA234="Facture d'acompte",p_pac,p_pfa)))</f>
        <v/>
      </c>
      <c r="AC234" s="62">
        <f>IF(ISNUMBER(C234),C234,0)</f>
        <v>0.0</v>
      </c>
      <c r="AD234" s="62" t="str">
        <f>IF(OR(AA234="",AC234=0),"",YEAR(AC234))</f>
        <v/>
      </c>
      <c r="AE234" s="62" t="str">
        <f>IF(AD234="","",COUNTIFS($AB$6:AB234,AB234,$AD$6:AD234,AD234))</f>
        <v/>
      </c>
      <c r="AF234" s="62">
        <f>IF(A234="",0,COUNTIF(fl_doc,A234))</f>
        <v>0.0</v>
      </c>
      <c r="AG234" s="62" t="str">
        <f>IF(A234="","",IF(AF234&gt;0,"Facture",IF(AND(F234&lt;&gt;"",AA234="Facture",ISNUMBER(MATCH(F234,dv_num,0))),"Devis","")))</f>
        <v/>
      </c>
      <c r="AH234" s="62" t="str">
        <f>IF(AND(A234&lt;&gt;"",F234&lt;&gt;"",AA234&lt;&gt;"Avoir"),F234,"")</f>
        <v/>
      </c>
      <c r="AI234" s="62" t="str">
        <f>IF(AG234="Devis",F234,"")</f>
        <v/>
      </c>
      <c r="AJ234" s="62">
        <f>IF(AG234="Facture",SUMIF(fl_doc,A234,fl_ht),IF(AG234="Devis",SUMIF(dl_doc,F234,dl_ht),0))</f>
        <v>0.0</v>
      </c>
      <c r="AK234" s="62">
        <f>IF(OR(AG234="",INDEX(p_rates,1)=""),0,IF(AG234="Facture",SUMIFS(fl_ht,fl_doc,A234,fl_rate,INDEX(p_rates,1)),SUMIFS(dl_ht,dl_doc,F234,dl_rate,INDEX(p_rates,1))))</f>
        <v>0.0</v>
      </c>
      <c r="AL234" s="62">
        <f>IF(OR(AG234="",INDEX(p_rates,2)=""),0,IF(AG234="Facture",SUMIFS(fl_ht,fl_doc,A234,fl_rate,INDEX(p_rates,2)),SUMIFS(dl_ht,dl_doc,F234,dl_rate,INDEX(p_rates,2))))</f>
        <v>0.0</v>
      </c>
      <c r="AM234" s="62">
        <f>IF(OR(AG234="",INDEX(p_rates,3)=""),0,IF(AG234="Facture",SUMIFS(fl_ht,fl_doc,A234,fl_rate,INDEX(p_rates,3)),SUMIFS(dl_ht,dl_doc,F234,dl_rate,INDEX(p_rates,3))))</f>
        <v>0.0</v>
      </c>
      <c r="AN234" s="62">
        <f>IF(OR(AG234="",INDEX(p_rates,4)=""),0,IF(AG234="Facture",SUMIFS(fl_ht,fl_doc,A234,fl_rate,INDEX(p_rates,4)),SUMIFS(dl_ht,dl_doc,F234,dl_rate,INDEX(p_rates,4))))</f>
        <v>0.0</v>
      </c>
      <c r="AO234" s="62">
        <f>IF(OR(AG234="",INDEX(p_rates,5)=""),0,IF(AG234="Facture",SUMIFS(fl_ht,fl_doc,A234,fl_rate,INDEX(p_rates,5)),SUMIFS(dl_ht,dl_doc,F234,dl_rate,INDEX(p_rates,5))))</f>
        <v>0.0</v>
      </c>
      <c r="AP234" s="62">
        <f>IF(OR(AG234="",INDEX(p_rates,6)=""),0,IF(AG234="Facture",SUMIFS(fl_ht,fl_doc,A234,fl_rate,INDEX(p_rates,6)),SUMIFS(dl_ht,dl_doc,F234,dl_rate,INDEX(p_rates,6))))</f>
        <v>0.0</v>
      </c>
      <c r="AQ234" s="62">
        <f>ROUND(AK234*N(INDEX(p_rates,1)),2)+ROUND(AL234*N(INDEX(p_rates,2)),2)+ROUND(AM234*N(INDEX(p_rates,3)),2)+ROUND(AN234*N(INDEX(p_rates,4)),2)+ROUND(AO234*N(INDEX(p_rates,5)),2)+ROUND(AP234*N(INDEX(p_rates,6)),2)</f>
        <v>0.0</v>
      </c>
      <c r="AR234" s="62" t="str">
        <f>IF(OR(L234="",AA234&lt;&gt;"Facture"),"",IFERROR(IF(INDEX(fa_type,MATCH(L234,fa_num,0))="Facture d'acompte",MATCH(L234,fa_num,0),""),""))</f>
        <v/>
      </c>
      <c r="AS234" s="62" t="str">
        <f>IF(W234="","",IF(W234&lt;=0,"",IF(p_asof-P234&lt;=0,"Non échu",IF(p_asof-P234&lt;=30,"1-30 j",IF(p_asof-P234&lt;=60,"31-60 j",IF(p_asof-P234&lt;=90,"61-90 j","Plus de 90 j"))))))</f>
        <v/>
      </c>
      <c r="AT234" s="62" t="str">
        <f>IF(AS234="","",p_asof-P234)</f>
        <v/>
      </c>
      <c r="AU234" s="62" t="str">
        <f>IF(AT234="","",COUNTIF($AT$6:$AT$805,"&gt;"&amp;AT234)+COUNTIF($AT$6:AT234,AT234))</f>
        <v/>
      </c>
    </row>
    <row r="235">
      <c r="A235" s="59" t="str">
        <f>IF(AE235="","",AB235&amp;"-"&amp;AD235&amp;"-"&amp;RIGHT("000"&amp;AE235,4))</f>
        <v/>
      </c>
      <c r="B235" s="60" t="n"/>
      <c r="C235" s="61" t="n"/>
      <c r="D235" s="60" t="n"/>
      <c r="E235" s="62" t="str">
        <f>IF(D235="","",IFERROR(INDEX(cli_name,MATCH(D235,cli_code,0))&amp;"","Client inconnu"))</f>
        <v/>
      </c>
      <c r="F235" s="60" t="n"/>
      <c r="G235" s="63" t="n"/>
      <c r="H235" s="61" t="n"/>
      <c r="I235" s="63" t="n"/>
      <c r="J235" s="60" t="n"/>
      <c r="K235" s="61" t="n"/>
      <c r="L235" s="60" t="n"/>
      <c r="M235" s="60" t="n"/>
      <c r="N235" s="60" t="n"/>
      <c r="O235" s="61" t="n"/>
      <c r="P235" s="64" t="str">
        <f>IF(A235="","",IF(AA235="Avoir",AC235,IF(ISNUMBER(K235),K235,AC235+IF(D235="",N(p_delay),IFERROR(IF(ISNUMBER(INDEX(cli_delay,MATCH(D235,cli_code,0))),INDEX(cli_delay,MATCH(D235,cli_code,0)),N(p_delay)),N(p_delay))))))</f>
        <v/>
      </c>
      <c r="Q235" s="65" t="str">
        <f>IF(A235="","",IF(AA235="Avoir",-1,1)*ROUND(AJ235-IF(AR235="",0,INDEX(fa_htb,AR235)),2))</f>
        <v/>
      </c>
      <c r="R235" s="65" t="str">
        <f>IF(A235="","",IF(AA235="Avoir",-1,1)*ROUND(AQ235-IF(AR235="",0,INDEX(fa_tvab,AR235)),2))</f>
        <v/>
      </c>
      <c r="S235" s="65" t="str">
        <f>IF(A235="","",Q235+R235)</f>
        <v/>
      </c>
      <c r="T235" s="65" t="str">
        <f>IF(AR235="","",INDEX(fa_htb,AR235)+INDEX(fa_tvab,AR235))</f>
        <v/>
      </c>
      <c r="U235" s="65" t="str">
        <f>IF(A235="","",SUMIF(pa_inv,A235,pa_amt))</f>
        <v/>
      </c>
      <c r="V235" s="65" t="str">
        <f>IF(OR(A235="",AA235="Avoir"),"",-SUMIFS(fa_ttc,fa_avof,A235,fa_type,"Avoir"))</f>
        <v/>
      </c>
      <c r="W235" s="65" t="str">
        <f>IF(OR(A235="",AA235="Avoir"),"",ROUND(S235-U235-V235,2))</f>
        <v/>
      </c>
      <c r="X235" s="66" t="str">
        <f>IF(W235="","",IF(AND(W235&gt;0,p_asof&gt;P235),p_asof-P235,""))</f>
        <v/>
      </c>
      <c r="Y235" s="59" t="str">
        <f>IF(A235="","",IF(AA235="Avoir","Avoir",IF(W235&lt;0,"Trop-perçu",IF(W235=0,"Soldée",IF(p_asof&gt;P235,"En retard",IF(U235+V235&gt;0,"Partielle","À échoir"))))))</f>
        <v/>
      </c>
      <c r="Z235" s="59" t="str">
        <f>IF(NOT(COUNTA(B235:D235,F235:O235)&gt;0),"",IF(C235="","Date manquante",IF(NOT(ISNUMBER(C235)),"Date invalide",IF(D235="","Client manquant",IF(ISNA(MATCH(D235,cli_code,0)),"Client inconnu",IF(AC235&lt;SUMPRODUCT(MAX(($AB$6:AB234=AB235)*$AC$6:AC234)),"Date antérieure à la facture précédente",IF(AND(F235&lt;&gt;"",ISNA(MATCH(F235,dv_num,0))),"Devis inconnu",IF(AND(F235&lt;&gt;"",IFERROR(INDEX(dv_client,MATCH(F235,dv_num,0)),D235)&lt;&gt;D235),"Client différent de celui du devis",IF(AG235="","Aucune ligne : saisissez des lignes ou un devis",IF(AND(AI235&lt;&gt;"",COUNTIF($AI$6:AI235,AI235)&gt;1),"Devis déjà repris par une autre facture",IF(AND(AA235="Avoir",M235=""),"Avoir : indiquez la facture d'origine",IF(AND(AA235="Avoir",ISNA(MATCH(M235,fa_num,0))),"Facture d'origine inconnue",IF(AND(AA235&lt;&gt;"Avoir",M235&lt;&gt;""),"« Avoir sur facture » : réservé aux avoirs",IF(AND(L235&lt;&gt;"",AA235&lt;&gt;"Facture"),"Acompte à déduire : réservé aux factures",IF(AND(L235&lt;&gt;"",ISNA(MATCH(L235,fa_num,0))),"Facture d'acompte inconnue",IF(AND(L235&lt;&gt;"",IFERROR(INDEX(fa_type,MATCH(L235,fa_num,0)),"")&lt;&gt;"Facture d'acompte"),"Le n° à déduire n'est pas une facture d'acompte",IF(AND(L235&lt;&gt;"",COUNTIF($L$6:L235,L235)&gt;1),"Acompte déjà déduit sur une autre facture",IF(AND(L235&lt;&gt;"",IFERROR(INDEX(fa_client,MATCH(L235,fa_num,0)),D235)&lt;&gt;D235),"Acompte d'un autre client",IF(AND(AR235&lt;&gt;"",N(Q235)&lt;0),"Acompte supérieur au total de la facture",IF(IF(AG235="Facture",COUNTIFS(fl_doc,A235,fl_check,"&lt;&gt;OK"),IF(AG235="Devis",COUNTIFS(dl_doc,F235,dl_check,"&lt;&gt;OK"),0))&gt;0,"Ligne(s) à corriger",IF(AND(W235&lt;&gt;"",N(W235)&lt;0),"Trop-perçu : vérifiez paiements et avoirs","OK")))))))))))))))))))))</f>
        <v/>
      </c>
      <c r="AA235" s="62" t="str">
        <f>IF(COUNTA(B235:D235,F235:O235)&gt;0,IF(B235="","Facture",B235),"")</f>
        <v/>
      </c>
      <c r="AB235" s="62" t="str">
        <f>IF(AA235="","",IF(AA235="Avoir",p_pav,IF(AA235="Facture d'acompte",p_pac,p_pfa)))</f>
        <v/>
      </c>
      <c r="AC235" s="62">
        <f>IF(ISNUMBER(C235),C235,0)</f>
        <v>0.0</v>
      </c>
      <c r="AD235" s="62" t="str">
        <f>IF(OR(AA235="",AC235=0),"",YEAR(AC235))</f>
        <v/>
      </c>
      <c r="AE235" s="62" t="str">
        <f>IF(AD235="","",COUNTIFS($AB$6:AB235,AB235,$AD$6:AD235,AD235))</f>
        <v/>
      </c>
      <c r="AF235" s="62">
        <f>IF(A235="",0,COUNTIF(fl_doc,A235))</f>
        <v>0.0</v>
      </c>
      <c r="AG235" s="62" t="str">
        <f>IF(A235="","",IF(AF235&gt;0,"Facture",IF(AND(F235&lt;&gt;"",AA235="Facture",ISNUMBER(MATCH(F235,dv_num,0))),"Devis","")))</f>
        <v/>
      </c>
      <c r="AH235" s="62" t="str">
        <f>IF(AND(A235&lt;&gt;"",F235&lt;&gt;"",AA235&lt;&gt;"Avoir"),F235,"")</f>
        <v/>
      </c>
      <c r="AI235" s="62" t="str">
        <f>IF(AG235="Devis",F235,"")</f>
        <v/>
      </c>
      <c r="AJ235" s="62">
        <f>IF(AG235="Facture",SUMIF(fl_doc,A235,fl_ht),IF(AG235="Devis",SUMIF(dl_doc,F235,dl_ht),0))</f>
        <v>0.0</v>
      </c>
      <c r="AK235" s="62">
        <f>IF(OR(AG235="",INDEX(p_rates,1)=""),0,IF(AG235="Facture",SUMIFS(fl_ht,fl_doc,A235,fl_rate,INDEX(p_rates,1)),SUMIFS(dl_ht,dl_doc,F235,dl_rate,INDEX(p_rates,1))))</f>
        <v>0.0</v>
      </c>
      <c r="AL235" s="62">
        <f>IF(OR(AG235="",INDEX(p_rates,2)=""),0,IF(AG235="Facture",SUMIFS(fl_ht,fl_doc,A235,fl_rate,INDEX(p_rates,2)),SUMIFS(dl_ht,dl_doc,F235,dl_rate,INDEX(p_rates,2))))</f>
        <v>0.0</v>
      </c>
      <c r="AM235" s="62">
        <f>IF(OR(AG235="",INDEX(p_rates,3)=""),0,IF(AG235="Facture",SUMIFS(fl_ht,fl_doc,A235,fl_rate,INDEX(p_rates,3)),SUMIFS(dl_ht,dl_doc,F235,dl_rate,INDEX(p_rates,3))))</f>
        <v>0.0</v>
      </c>
      <c r="AN235" s="62">
        <f>IF(OR(AG235="",INDEX(p_rates,4)=""),0,IF(AG235="Facture",SUMIFS(fl_ht,fl_doc,A235,fl_rate,INDEX(p_rates,4)),SUMIFS(dl_ht,dl_doc,F235,dl_rate,INDEX(p_rates,4))))</f>
        <v>0.0</v>
      </c>
      <c r="AO235" s="62">
        <f>IF(OR(AG235="",INDEX(p_rates,5)=""),0,IF(AG235="Facture",SUMIFS(fl_ht,fl_doc,A235,fl_rate,INDEX(p_rates,5)),SUMIFS(dl_ht,dl_doc,F235,dl_rate,INDEX(p_rates,5))))</f>
        <v>0.0</v>
      </c>
      <c r="AP235" s="62">
        <f>IF(OR(AG235="",INDEX(p_rates,6)=""),0,IF(AG235="Facture",SUMIFS(fl_ht,fl_doc,A235,fl_rate,INDEX(p_rates,6)),SUMIFS(dl_ht,dl_doc,F235,dl_rate,INDEX(p_rates,6))))</f>
        <v>0.0</v>
      </c>
      <c r="AQ235" s="62">
        <f>ROUND(AK235*N(INDEX(p_rates,1)),2)+ROUND(AL235*N(INDEX(p_rates,2)),2)+ROUND(AM235*N(INDEX(p_rates,3)),2)+ROUND(AN235*N(INDEX(p_rates,4)),2)+ROUND(AO235*N(INDEX(p_rates,5)),2)+ROUND(AP235*N(INDEX(p_rates,6)),2)</f>
        <v>0.0</v>
      </c>
      <c r="AR235" s="62" t="str">
        <f>IF(OR(L235="",AA235&lt;&gt;"Facture"),"",IFERROR(IF(INDEX(fa_type,MATCH(L235,fa_num,0))="Facture d'acompte",MATCH(L235,fa_num,0),""),""))</f>
        <v/>
      </c>
      <c r="AS235" s="62" t="str">
        <f>IF(W235="","",IF(W235&lt;=0,"",IF(p_asof-P235&lt;=0,"Non échu",IF(p_asof-P235&lt;=30,"1-30 j",IF(p_asof-P235&lt;=60,"31-60 j",IF(p_asof-P235&lt;=90,"61-90 j","Plus de 90 j"))))))</f>
        <v/>
      </c>
      <c r="AT235" s="62" t="str">
        <f>IF(AS235="","",p_asof-P235)</f>
        <v/>
      </c>
      <c r="AU235" s="62" t="str">
        <f>IF(AT235="","",COUNTIF($AT$6:$AT$805,"&gt;"&amp;AT235)+COUNTIF($AT$6:AT235,AT235))</f>
        <v/>
      </c>
    </row>
    <row r="236">
      <c r="A236" s="59" t="str">
        <f>IF(AE236="","",AB236&amp;"-"&amp;AD236&amp;"-"&amp;RIGHT("000"&amp;AE236,4))</f>
        <v/>
      </c>
      <c r="B236" s="60" t="n"/>
      <c r="C236" s="61" t="n"/>
      <c r="D236" s="60" t="n"/>
      <c r="E236" s="62" t="str">
        <f>IF(D236="","",IFERROR(INDEX(cli_name,MATCH(D236,cli_code,0))&amp;"","Client inconnu"))</f>
        <v/>
      </c>
      <c r="F236" s="60" t="n"/>
      <c r="G236" s="63" t="n"/>
      <c r="H236" s="61" t="n"/>
      <c r="I236" s="63" t="n"/>
      <c r="J236" s="60" t="n"/>
      <c r="K236" s="61" t="n"/>
      <c r="L236" s="60" t="n"/>
      <c r="M236" s="60" t="n"/>
      <c r="N236" s="60" t="n"/>
      <c r="O236" s="61" t="n"/>
      <c r="P236" s="64" t="str">
        <f>IF(A236="","",IF(AA236="Avoir",AC236,IF(ISNUMBER(K236),K236,AC236+IF(D236="",N(p_delay),IFERROR(IF(ISNUMBER(INDEX(cli_delay,MATCH(D236,cli_code,0))),INDEX(cli_delay,MATCH(D236,cli_code,0)),N(p_delay)),N(p_delay))))))</f>
        <v/>
      </c>
      <c r="Q236" s="65" t="str">
        <f>IF(A236="","",IF(AA236="Avoir",-1,1)*ROUND(AJ236-IF(AR236="",0,INDEX(fa_htb,AR236)),2))</f>
        <v/>
      </c>
      <c r="R236" s="65" t="str">
        <f>IF(A236="","",IF(AA236="Avoir",-1,1)*ROUND(AQ236-IF(AR236="",0,INDEX(fa_tvab,AR236)),2))</f>
        <v/>
      </c>
      <c r="S236" s="65" t="str">
        <f>IF(A236="","",Q236+R236)</f>
        <v/>
      </c>
      <c r="T236" s="65" t="str">
        <f>IF(AR236="","",INDEX(fa_htb,AR236)+INDEX(fa_tvab,AR236))</f>
        <v/>
      </c>
      <c r="U236" s="65" t="str">
        <f>IF(A236="","",SUMIF(pa_inv,A236,pa_amt))</f>
        <v/>
      </c>
      <c r="V236" s="65" t="str">
        <f>IF(OR(A236="",AA236="Avoir"),"",-SUMIFS(fa_ttc,fa_avof,A236,fa_type,"Avoir"))</f>
        <v/>
      </c>
      <c r="W236" s="65" t="str">
        <f>IF(OR(A236="",AA236="Avoir"),"",ROUND(S236-U236-V236,2))</f>
        <v/>
      </c>
      <c r="X236" s="66" t="str">
        <f>IF(W236="","",IF(AND(W236&gt;0,p_asof&gt;P236),p_asof-P236,""))</f>
        <v/>
      </c>
      <c r="Y236" s="59" t="str">
        <f>IF(A236="","",IF(AA236="Avoir","Avoir",IF(W236&lt;0,"Trop-perçu",IF(W236=0,"Soldée",IF(p_asof&gt;P236,"En retard",IF(U236+V236&gt;0,"Partielle","À échoir"))))))</f>
        <v/>
      </c>
      <c r="Z236" s="59" t="str">
        <f>IF(NOT(COUNTA(B236:D236,F236:O236)&gt;0),"",IF(C236="","Date manquante",IF(NOT(ISNUMBER(C236)),"Date invalide",IF(D236="","Client manquant",IF(ISNA(MATCH(D236,cli_code,0)),"Client inconnu",IF(AC236&lt;SUMPRODUCT(MAX(($AB$6:AB235=AB236)*$AC$6:AC235)),"Date antérieure à la facture précédente",IF(AND(F236&lt;&gt;"",ISNA(MATCH(F236,dv_num,0))),"Devis inconnu",IF(AND(F236&lt;&gt;"",IFERROR(INDEX(dv_client,MATCH(F236,dv_num,0)),D236)&lt;&gt;D236),"Client différent de celui du devis",IF(AG236="","Aucune ligne : saisissez des lignes ou un devis",IF(AND(AI236&lt;&gt;"",COUNTIF($AI$6:AI236,AI236)&gt;1),"Devis déjà repris par une autre facture",IF(AND(AA236="Avoir",M236=""),"Avoir : indiquez la facture d'origine",IF(AND(AA236="Avoir",ISNA(MATCH(M236,fa_num,0))),"Facture d'origine inconnue",IF(AND(AA236&lt;&gt;"Avoir",M236&lt;&gt;""),"« Avoir sur facture » : réservé aux avoirs",IF(AND(L236&lt;&gt;"",AA236&lt;&gt;"Facture"),"Acompte à déduire : réservé aux factures",IF(AND(L236&lt;&gt;"",ISNA(MATCH(L236,fa_num,0))),"Facture d'acompte inconnue",IF(AND(L236&lt;&gt;"",IFERROR(INDEX(fa_type,MATCH(L236,fa_num,0)),"")&lt;&gt;"Facture d'acompte"),"Le n° à déduire n'est pas une facture d'acompte",IF(AND(L236&lt;&gt;"",COUNTIF($L$6:L236,L236)&gt;1),"Acompte déjà déduit sur une autre facture",IF(AND(L236&lt;&gt;"",IFERROR(INDEX(fa_client,MATCH(L236,fa_num,0)),D236)&lt;&gt;D236),"Acompte d'un autre client",IF(AND(AR236&lt;&gt;"",N(Q236)&lt;0),"Acompte supérieur au total de la facture",IF(IF(AG236="Facture",COUNTIFS(fl_doc,A236,fl_check,"&lt;&gt;OK"),IF(AG236="Devis",COUNTIFS(dl_doc,F236,dl_check,"&lt;&gt;OK"),0))&gt;0,"Ligne(s) à corriger",IF(AND(W236&lt;&gt;"",N(W236)&lt;0),"Trop-perçu : vérifiez paiements et avoirs","OK")))))))))))))))))))))</f>
        <v/>
      </c>
      <c r="AA236" s="62" t="str">
        <f>IF(COUNTA(B236:D236,F236:O236)&gt;0,IF(B236="","Facture",B236),"")</f>
        <v/>
      </c>
      <c r="AB236" s="62" t="str">
        <f>IF(AA236="","",IF(AA236="Avoir",p_pav,IF(AA236="Facture d'acompte",p_pac,p_pfa)))</f>
        <v/>
      </c>
      <c r="AC236" s="62">
        <f>IF(ISNUMBER(C236),C236,0)</f>
        <v>0.0</v>
      </c>
      <c r="AD236" s="62" t="str">
        <f>IF(OR(AA236="",AC236=0),"",YEAR(AC236))</f>
        <v/>
      </c>
      <c r="AE236" s="62" t="str">
        <f>IF(AD236="","",COUNTIFS($AB$6:AB236,AB236,$AD$6:AD236,AD236))</f>
        <v/>
      </c>
      <c r="AF236" s="62">
        <f>IF(A236="",0,COUNTIF(fl_doc,A236))</f>
        <v>0.0</v>
      </c>
      <c r="AG236" s="62" t="str">
        <f>IF(A236="","",IF(AF236&gt;0,"Facture",IF(AND(F236&lt;&gt;"",AA236="Facture",ISNUMBER(MATCH(F236,dv_num,0))),"Devis","")))</f>
        <v/>
      </c>
      <c r="AH236" s="62" t="str">
        <f>IF(AND(A236&lt;&gt;"",F236&lt;&gt;"",AA236&lt;&gt;"Avoir"),F236,"")</f>
        <v/>
      </c>
      <c r="AI236" s="62" t="str">
        <f>IF(AG236="Devis",F236,"")</f>
        <v/>
      </c>
      <c r="AJ236" s="62">
        <f>IF(AG236="Facture",SUMIF(fl_doc,A236,fl_ht),IF(AG236="Devis",SUMIF(dl_doc,F236,dl_ht),0))</f>
        <v>0.0</v>
      </c>
      <c r="AK236" s="62">
        <f>IF(OR(AG236="",INDEX(p_rates,1)=""),0,IF(AG236="Facture",SUMIFS(fl_ht,fl_doc,A236,fl_rate,INDEX(p_rates,1)),SUMIFS(dl_ht,dl_doc,F236,dl_rate,INDEX(p_rates,1))))</f>
        <v>0.0</v>
      </c>
      <c r="AL236" s="62">
        <f>IF(OR(AG236="",INDEX(p_rates,2)=""),0,IF(AG236="Facture",SUMIFS(fl_ht,fl_doc,A236,fl_rate,INDEX(p_rates,2)),SUMIFS(dl_ht,dl_doc,F236,dl_rate,INDEX(p_rates,2))))</f>
        <v>0.0</v>
      </c>
      <c r="AM236" s="62">
        <f>IF(OR(AG236="",INDEX(p_rates,3)=""),0,IF(AG236="Facture",SUMIFS(fl_ht,fl_doc,A236,fl_rate,INDEX(p_rates,3)),SUMIFS(dl_ht,dl_doc,F236,dl_rate,INDEX(p_rates,3))))</f>
        <v>0.0</v>
      </c>
      <c r="AN236" s="62">
        <f>IF(OR(AG236="",INDEX(p_rates,4)=""),0,IF(AG236="Facture",SUMIFS(fl_ht,fl_doc,A236,fl_rate,INDEX(p_rates,4)),SUMIFS(dl_ht,dl_doc,F236,dl_rate,INDEX(p_rates,4))))</f>
        <v>0.0</v>
      </c>
      <c r="AO236" s="62">
        <f>IF(OR(AG236="",INDEX(p_rates,5)=""),0,IF(AG236="Facture",SUMIFS(fl_ht,fl_doc,A236,fl_rate,INDEX(p_rates,5)),SUMIFS(dl_ht,dl_doc,F236,dl_rate,INDEX(p_rates,5))))</f>
        <v>0.0</v>
      </c>
      <c r="AP236" s="62">
        <f>IF(OR(AG236="",INDEX(p_rates,6)=""),0,IF(AG236="Facture",SUMIFS(fl_ht,fl_doc,A236,fl_rate,INDEX(p_rates,6)),SUMIFS(dl_ht,dl_doc,F236,dl_rate,INDEX(p_rates,6))))</f>
        <v>0.0</v>
      </c>
      <c r="AQ236" s="62">
        <f>ROUND(AK236*N(INDEX(p_rates,1)),2)+ROUND(AL236*N(INDEX(p_rates,2)),2)+ROUND(AM236*N(INDEX(p_rates,3)),2)+ROUND(AN236*N(INDEX(p_rates,4)),2)+ROUND(AO236*N(INDEX(p_rates,5)),2)+ROUND(AP236*N(INDEX(p_rates,6)),2)</f>
        <v>0.0</v>
      </c>
      <c r="AR236" s="62" t="str">
        <f>IF(OR(L236="",AA236&lt;&gt;"Facture"),"",IFERROR(IF(INDEX(fa_type,MATCH(L236,fa_num,0))="Facture d'acompte",MATCH(L236,fa_num,0),""),""))</f>
        <v/>
      </c>
      <c r="AS236" s="62" t="str">
        <f>IF(W236="","",IF(W236&lt;=0,"",IF(p_asof-P236&lt;=0,"Non échu",IF(p_asof-P236&lt;=30,"1-30 j",IF(p_asof-P236&lt;=60,"31-60 j",IF(p_asof-P236&lt;=90,"61-90 j","Plus de 90 j"))))))</f>
        <v/>
      </c>
      <c r="AT236" s="62" t="str">
        <f>IF(AS236="","",p_asof-P236)</f>
        <v/>
      </c>
      <c r="AU236" s="62" t="str">
        <f>IF(AT236="","",COUNTIF($AT$6:$AT$805,"&gt;"&amp;AT236)+COUNTIF($AT$6:AT236,AT236))</f>
        <v/>
      </c>
    </row>
    <row r="237">
      <c r="A237" s="59" t="str">
        <f>IF(AE237="","",AB237&amp;"-"&amp;AD237&amp;"-"&amp;RIGHT("000"&amp;AE237,4))</f>
        <v/>
      </c>
      <c r="B237" s="60" t="n"/>
      <c r="C237" s="61" t="n"/>
      <c r="D237" s="60" t="n"/>
      <c r="E237" s="62" t="str">
        <f>IF(D237="","",IFERROR(INDEX(cli_name,MATCH(D237,cli_code,0))&amp;"","Client inconnu"))</f>
        <v/>
      </c>
      <c r="F237" s="60" t="n"/>
      <c r="G237" s="63" t="n"/>
      <c r="H237" s="61" t="n"/>
      <c r="I237" s="63" t="n"/>
      <c r="J237" s="60" t="n"/>
      <c r="K237" s="61" t="n"/>
      <c r="L237" s="60" t="n"/>
      <c r="M237" s="60" t="n"/>
      <c r="N237" s="60" t="n"/>
      <c r="O237" s="61" t="n"/>
      <c r="P237" s="64" t="str">
        <f>IF(A237="","",IF(AA237="Avoir",AC237,IF(ISNUMBER(K237),K237,AC237+IF(D237="",N(p_delay),IFERROR(IF(ISNUMBER(INDEX(cli_delay,MATCH(D237,cli_code,0))),INDEX(cli_delay,MATCH(D237,cli_code,0)),N(p_delay)),N(p_delay))))))</f>
        <v/>
      </c>
      <c r="Q237" s="65" t="str">
        <f>IF(A237="","",IF(AA237="Avoir",-1,1)*ROUND(AJ237-IF(AR237="",0,INDEX(fa_htb,AR237)),2))</f>
        <v/>
      </c>
      <c r="R237" s="65" t="str">
        <f>IF(A237="","",IF(AA237="Avoir",-1,1)*ROUND(AQ237-IF(AR237="",0,INDEX(fa_tvab,AR237)),2))</f>
        <v/>
      </c>
      <c r="S237" s="65" t="str">
        <f>IF(A237="","",Q237+R237)</f>
        <v/>
      </c>
      <c r="T237" s="65" t="str">
        <f>IF(AR237="","",INDEX(fa_htb,AR237)+INDEX(fa_tvab,AR237))</f>
        <v/>
      </c>
      <c r="U237" s="65" t="str">
        <f>IF(A237="","",SUMIF(pa_inv,A237,pa_amt))</f>
        <v/>
      </c>
      <c r="V237" s="65" t="str">
        <f>IF(OR(A237="",AA237="Avoir"),"",-SUMIFS(fa_ttc,fa_avof,A237,fa_type,"Avoir"))</f>
        <v/>
      </c>
      <c r="W237" s="65" t="str">
        <f>IF(OR(A237="",AA237="Avoir"),"",ROUND(S237-U237-V237,2))</f>
        <v/>
      </c>
      <c r="X237" s="66" t="str">
        <f>IF(W237="","",IF(AND(W237&gt;0,p_asof&gt;P237),p_asof-P237,""))</f>
        <v/>
      </c>
      <c r="Y237" s="59" t="str">
        <f>IF(A237="","",IF(AA237="Avoir","Avoir",IF(W237&lt;0,"Trop-perçu",IF(W237=0,"Soldée",IF(p_asof&gt;P237,"En retard",IF(U237+V237&gt;0,"Partielle","À échoir"))))))</f>
        <v/>
      </c>
      <c r="Z237" s="59" t="str">
        <f>IF(NOT(COUNTA(B237:D237,F237:O237)&gt;0),"",IF(C237="","Date manquante",IF(NOT(ISNUMBER(C237)),"Date invalide",IF(D237="","Client manquant",IF(ISNA(MATCH(D237,cli_code,0)),"Client inconnu",IF(AC237&lt;SUMPRODUCT(MAX(($AB$6:AB236=AB237)*$AC$6:AC236)),"Date antérieure à la facture précédente",IF(AND(F237&lt;&gt;"",ISNA(MATCH(F237,dv_num,0))),"Devis inconnu",IF(AND(F237&lt;&gt;"",IFERROR(INDEX(dv_client,MATCH(F237,dv_num,0)),D237)&lt;&gt;D237),"Client différent de celui du devis",IF(AG237="","Aucune ligne : saisissez des lignes ou un devis",IF(AND(AI237&lt;&gt;"",COUNTIF($AI$6:AI237,AI237)&gt;1),"Devis déjà repris par une autre facture",IF(AND(AA237="Avoir",M237=""),"Avoir : indiquez la facture d'origine",IF(AND(AA237="Avoir",ISNA(MATCH(M237,fa_num,0))),"Facture d'origine inconnue",IF(AND(AA237&lt;&gt;"Avoir",M237&lt;&gt;""),"« Avoir sur facture » : réservé aux avoirs",IF(AND(L237&lt;&gt;"",AA237&lt;&gt;"Facture"),"Acompte à déduire : réservé aux factures",IF(AND(L237&lt;&gt;"",ISNA(MATCH(L237,fa_num,0))),"Facture d'acompte inconnue",IF(AND(L237&lt;&gt;"",IFERROR(INDEX(fa_type,MATCH(L237,fa_num,0)),"")&lt;&gt;"Facture d'acompte"),"Le n° à déduire n'est pas une facture d'acompte",IF(AND(L237&lt;&gt;"",COUNTIF($L$6:L237,L237)&gt;1),"Acompte déjà déduit sur une autre facture",IF(AND(L237&lt;&gt;"",IFERROR(INDEX(fa_client,MATCH(L237,fa_num,0)),D237)&lt;&gt;D237),"Acompte d'un autre client",IF(AND(AR237&lt;&gt;"",N(Q237)&lt;0),"Acompte supérieur au total de la facture",IF(IF(AG237="Facture",COUNTIFS(fl_doc,A237,fl_check,"&lt;&gt;OK"),IF(AG237="Devis",COUNTIFS(dl_doc,F237,dl_check,"&lt;&gt;OK"),0))&gt;0,"Ligne(s) à corriger",IF(AND(W237&lt;&gt;"",N(W237)&lt;0),"Trop-perçu : vérifiez paiements et avoirs","OK")))))))))))))))))))))</f>
        <v/>
      </c>
      <c r="AA237" s="62" t="str">
        <f>IF(COUNTA(B237:D237,F237:O237)&gt;0,IF(B237="","Facture",B237),"")</f>
        <v/>
      </c>
      <c r="AB237" s="62" t="str">
        <f>IF(AA237="","",IF(AA237="Avoir",p_pav,IF(AA237="Facture d'acompte",p_pac,p_pfa)))</f>
        <v/>
      </c>
      <c r="AC237" s="62">
        <f>IF(ISNUMBER(C237),C237,0)</f>
        <v>0.0</v>
      </c>
      <c r="AD237" s="62" t="str">
        <f>IF(OR(AA237="",AC237=0),"",YEAR(AC237))</f>
        <v/>
      </c>
      <c r="AE237" s="62" t="str">
        <f>IF(AD237="","",COUNTIFS($AB$6:AB237,AB237,$AD$6:AD237,AD237))</f>
        <v/>
      </c>
      <c r="AF237" s="62">
        <f>IF(A237="",0,COUNTIF(fl_doc,A237))</f>
        <v>0.0</v>
      </c>
      <c r="AG237" s="62" t="str">
        <f>IF(A237="","",IF(AF237&gt;0,"Facture",IF(AND(F237&lt;&gt;"",AA237="Facture",ISNUMBER(MATCH(F237,dv_num,0))),"Devis","")))</f>
        <v/>
      </c>
      <c r="AH237" s="62" t="str">
        <f>IF(AND(A237&lt;&gt;"",F237&lt;&gt;"",AA237&lt;&gt;"Avoir"),F237,"")</f>
        <v/>
      </c>
      <c r="AI237" s="62" t="str">
        <f>IF(AG237="Devis",F237,"")</f>
        <v/>
      </c>
      <c r="AJ237" s="62">
        <f>IF(AG237="Facture",SUMIF(fl_doc,A237,fl_ht),IF(AG237="Devis",SUMIF(dl_doc,F237,dl_ht),0))</f>
        <v>0.0</v>
      </c>
      <c r="AK237" s="62">
        <f>IF(OR(AG237="",INDEX(p_rates,1)=""),0,IF(AG237="Facture",SUMIFS(fl_ht,fl_doc,A237,fl_rate,INDEX(p_rates,1)),SUMIFS(dl_ht,dl_doc,F237,dl_rate,INDEX(p_rates,1))))</f>
        <v>0.0</v>
      </c>
      <c r="AL237" s="62">
        <f>IF(OR(AG237="",INDEX(p_rates,2)=""),0,IF(AG237="Facture",SUMIFS(fl_ht,fl_doc,A237,fl_rate,INDEX(p_rates,2)),SUMIFS(dl_ht,dl_doc,F237,dl_rate,INDEX(p_rates,2))))</f>
        <v>0.0</v>
      </c>
      <c r="AM237" s="62">
        <f>IF(OR(AG237="",INDEX(p_rates,3)=""),0,IF(AG237="Facture",SUMIFS(fl_ht,fl_doc,A237,fl_rate,INDEX(p_rates,3)),SUMIFS(dl_ht,dl_doc,F237,dl_rate,INDEX(p_rates,3))))</f>
        <v>0.0</v>
      </c>
      <c r="AN237" s="62">
        <f>IF(OR(AG237="",INDEX(p_rates,4)=""),0,IF(AG237="Facture",SUMIFS(fl_ht,fl_doc,A237,fl_rate,INDEX(p_rates,4)),SUMIFS(dl_ht,dl_doc,F237,dl_rate,INDEX(p_rates,4))))</f>
        <v>0.0</v>
      </c>
      <c r="AO237" s="62">
        <f>IF(OR(AG237="",INDEX(p_rates,5)=""),0,IF(AG237="Facture",SUMIFS(fl_ht,fl_doc,A237,fl_rate,INDEX(p_rates,5)),SUMIFS(dl_ht,dl_doc,F237,dl_rate,INDEX(p_rates,5))))</f>
        <v>0.0</v>
      </c>
      <c r="AP237" s="62">
        <f>IF(OR(AG237="",INDEX(p_rates,6)=""),0,IF(AG237="Facture",SUMIFS(fl_ht,fl_doc,A237,fl_rate,INDEX(p_rates,6)),SUMIFS(dl_ht,dl_doc,F237,dl_rate,INDEX(p_rates,6))))</f>
        <v>0.0</v>
      </c>
      <c r="AQ237" s="62">
        <f>ROUND(AK237*N(INDEX(p_rates,1)),2)+ROUND(AL237*N(INDEX(p_rates,2)),2)+ROUND(AM237*N(INDEX(p_rates,3)),2)+ROUND(AN237*N(INDEX(p_rates,4)),2)+ROUND(AO237*N(INDEX(p_rates,5)),2)+ROUND(AP237*N(INDEX(p_rates,6)),2)</f>
        <v>0.0</v>
      </c>
      <c r="AR237" s="62" t="str">
        <f>IF(OR(L237="",AA237&lt;&gt;"Facture"),"",IFERROR(IF(INDEX(fa_type,MATCH(L237,fa_num,0))="Facture d'acompte",MATCH(L237,fa_num,0),""),""))</f>
        <v/>
      </c>
      <c r="AS237" s="62" t="str">
        <f>IF(W237="","",IF(W237&lt;=0,"",IF(p_asof-P237&lt;=0,"Non échu",IF(p_asof-P237&lt;=30,"1-30 j",IF(p_asof-P237&lt;=60,"31-60 j",IF(p_asof-P237&lt;=90,"61-90 j","Plus de 90 j"))))))</f>
        <v/>
      </c>
      <c r="AT237" s="62" t="str">
        <f>IF(AS237="","",p_asof-P237)</f>
        <v/>
      </c>
      <c r="AU237" s="62" t="str">
        <f>IF(AT237="","",COUNTIF($AT$6:$AT$805,"&gt;"&amp;AT237)+COUNTIF($AT$6:AT237,AT237))</f>
        <v/>
      </c>
    </row>
    <row r="238">
      <c r="A238" s="59" t="str">
        <f>IF(AE238="","",AB238&amp;"-"&amp;AD238&amp;"-"&amp;RIGHT("000"&amp;AE238,4))</f>
        <v/>
      </c>
      <c r="B238" s="60" t="n"/>
      <c r="C238" s="61" t="n"/>
      <c r="D238" s="60" t="n"/>
      <c r="E238" s="62" t="str">
        <f>IF(D238="","",IFERROR(INDEX(cli_name,MATCH(D238,cli_code,0))&amp;"","Client inconnu"))</f>
        <v/>
      </c>
      <c r="F238" s="60" t="n"/>
      <c r="G238" s="63" t="n"/>
      <c r="H238" s="61" t="n"/>
      <c r="I238" s="63" t="n"/>
      <c r="J238" s="60" t="n"/>
      <c r="K238" s="61" t="n"/>
      <c r="L238" s="60" t="n"/>
      <c r="M238" s="60" t="n"/>
      <c r="N238" s="60" t="n"/>
      <c r="O238" s="61" t="n"/>
      <c r="P238" s="64" t="str">
        <f>IF(A238="","",IF(AA238="Avoir",AC238,IF(ISNUMBER(K238),K238,AC238+IF(D238="",N(p_delay),IFERROR(IF(ISNUMBER(INDEX(cli_delay,MATCH(D238,cli_code,0))),INDEX(cli_delay,MATCH(D238,cli_code,0)),N(p_delay)),N(p_delay))))))</f>
        <v/>
      </c>
      <c r="Q238" s="65" t="str">
        <f>IF(A238="","",IF(AA238="Avoir",-1,1)*ROUND(AJ238-IF(AR238="",0,INDEX(fa_htb,AR238)),2))</f>
        <v/>
      </c>
      <c r="R238" s="65" t="str">
        <f>IF(A238="","",IF(AA238="Avoir",-1,1)*ROUND(AQ238-IF(AR238="",0,INDEX(fa_tvab,AR238)),2))</f>
        <v/>
      </c>
      <c r="S238" s="65" t="str">
        <f>IF(A238="","",Q238+R238)</f>
        <v/>
      </c>
      <c r="T238" s="65" t="str">
        <f>IF(AR238="","",INDEX(fa_htb,AR238)+INDEX(fa_tvab,AR238))</f>
        <v/>
      </c>
      <c r="U238" s="65" t="str">
        <f>IF(A238="","",SUMIF(pa_inv,A238,pa_amt))</f>
        <v/>
      </c>
      <c r="V238" s="65" t="str">
        <f>IF(OR(A238="",AA238="Avoir"),"",-SUMIFS(fa_ttc,fa_avof,A238,fa_type,"Avoir"))</f>
        <v/>
      </c>
      <c r="W238" s="65" t="str">
        <f>IF(OR(A238="",AA238="Avoir"),"",ROUND(S238-U238-V238,2))</f>
        <v/>
      </c>
      <c r="X238" s="66" t="str">
        <f>IF(W238="","",IF(AND(W238&gt;0,p_asof&gt;P238),p_asof-P238,""))</f>
        <v/>
      </c>
      <c r="Y238" s="59" t="str">
        <f>IF(A238="","",IF(AA238="Avoir","Avoir",IF(W238&lt;0,"Trop-perçu",IF(W238=0,"Soldée",IF(p_asof&gt;P238,"En retard",IF(U238+V238&gt;0,"Partielle","À échoir"))))))</f>
        <v/>
      </c>
      <c r="Z238" s="59" t="str">
        <f>IF(NOT(COUNTA(B238:D238,F238:O238)&gt;0),"",IF(C238="","Date manquante",IF(NOT(ISNUMBER(C238)),"Date invalide",IF(D238="","Client manquant",IF(ISNA(MATCH(D238,cli_code,0)),"Client inconnu",IF(AC238&lt;SUMPRODUCT(MAX(($AB$6:AB237=AB238)*$AC$6:AC237)),"Date antérieure à la facture précédente",IF(AND(F238&lt;&gt;"",ISNA(MATCH(F238,dv_num,0))),"Devis inconnu",IF(AND(F238&lt;&gt;"",IFERROR(INDEX(dv_client,MATCH(F238,dv_num,0)),D238)&lt;&gt;D238),"Client différent de celui du devis",IF(AG238="","Aucune ligne : saisissez des lignes ou un devis",IF(AND(AI238&lt;&gt;"",COUNTIF($AI$6:AI238,AI238)&gt;1),"Devis déjà repris par une autre facture",IF(AND(AA238="Avoir",M238=""),"Avoir : indiquez la facture d'origine",IF(AND(AA238="Avoir",ISNA(MATCH(M238,fa_num,0))),"Facture d'origine inconnue",IF(AND(AA238&lt;&gt;"Avoir",M238&lt;&gt;""),"« Avoir sur facture » : réservé aux avoirs",IF(AND(L238&lt;&gt;"",AA238&lt;&gt;"Facture"),"Acompte à déduire : réservé aux factures",IF(AND(L238&lt;&gt;"",ISNA(MATCH(L238,fa_num,0))),"Facture d'acompte inconnue",IF(AND(L238&lt;&gt;"",IFERROR(INDEX(fa_type,MATCH(L238,fa_num,0)),"")&lt;&gt;"Facture d'acompte"),"Le n° à déduire n'est pas une facture d'acompte",IF(AND(L238&lt;&gt;"",COUNTIF($L$6:L238,L238)&gt;1),"Acompte déjà déduit sur une autre facture",IF(AND(L238&lt;&gt;"",IFERROR(INDEX(fa_client,MATCH(L238,fa_num,0)),D238)&lt;&gt;D238),"Acompte d'un autre client",IF(AND(AR238&lt;&gt;"",N(Q238)&lt;0),"Acompte supérieur au total de la facture",IF(IF(AG238="Facture",COUNTIFS(fl_doc,A238,fl_check,"&lt;&gt;OK"),IF(AG238="Devis",COUNTIFS(dl_doc,F238,dl_check,"&lt;&gt;OK"),0))&gt;0,"Ligne(s) à corriger",IF(AND(W238&lt;&gt;"",N(W238)&lt;0),"Trop-perçu : vérifiez paiements et avoirs","OK")))))))))))))))))))))</f>
        <v/>
      </c>
      <c r="AA238" s="62" t="str">
        <f>IF(COUNTA(B238:D238,F238:O238)&gt;0,IF(B238="","Facture",B238),"")</f>
        <v/>
      </c>
      <c r="AB238" s="62" t="str">
        <f>IF(AA238="","",IF(AA238="Avoir",p_pav,IF(AA238="Facture d'acompte",p_pac,p_pfa)))</f>
        <v/>
      </c>
      <c r="AC238" s="62">
        <f>IF(ISNUMBER(C238),C238,0)</f>
        <v>0.0</v>
      </c>
      <c r="AD238" s="62" t="str">
        <f>IF(OR(AA238="",AC238=0),"",YEAR(AC238))</f>
        <v/>
      </c>
      <c r="AE238" s="62" t="str">
        <f>IF(AD238="","",COUNTIFS($AB$6:AB238,AB238,$AD$6:AD238,AD238))</f>
        <v/>
      </c>
      <c r="AF238" s="62">
        <f>IF(A238="",0,COUNTIF(fl_doc,A238))</f>
        <v>0.0</v>
      </c>
      <c r="AG238" s="62" t="str">
        <f>IF(A238="","",IF(AF238&gt;0,"Facture",IF(AND(F238&lt;&gt;"",AA238="Facture",ISNUMBER(MATCH(F238,dv_num,0))),"Devis","")))</f>
        <v/>
      </c>
      <c r="AH238" s="62" t="str">
        <f>IF(AND(A238&lt;&gt;"",F238&lt;&gt;"",AA238&lt;&gt;"Avoir"),F238,"")</f>
        <v/>
      </c>
      <c r="AI238" s="62" t="str">
        <f>IF(AG238="Devis",F238,"")</f>
        <v/>
      </c>
      <c r="AJ238" s="62">
        <f>IF(AG238="Facture",SUMIF(fl_doc,A238,fl_ht),IF(AG238="Devis",SUMIF(dl_doc,F238,dl_ht),0))</f>
        <v>0.0</v>
      </c>
      <c r="AK238" s="62">
        <f>IF(OR(AG238="",INDEX(p_rates,1)=""),0,IF(AG238="Facture",SUMIFS(fl_ht,fl_doc,A238,fl_rate,INDEX(p_rates,1)),SUMIFS(dl_ht,dl_doc,F238,dl_rate,INDEX(p_rates,1))))</f>
        <v>0.0</v>
      </c>
      <c r="AL238" s="62">
        <f>IF(OR(AG238="",INDEX(p_rates,2)=""),0,IF(AG238="Facture",SUMIFS(fl_ht,fl_doc,A238,fl_rate,INDEX(p_rates,2)),SUMIFS(dl_ht,dl_doc,F238,dl_rate,INDEX(p_rates,2))))</f>
        <v>0.0</v>
      </c>
      <c r="AM238" s="62">
        <f>IF(OR(AG238="",INDEX(p_rates,3)=""),0,IF(AG238="Facture",SUMIFS(fl_ht,fl_doc,A238,fl_rate,INDEX(p_rates,3)),SUMIFS(dl_ht,dl_doc,F238,dl_rate,INDEX(p_rates,3))))</f>
        <v>0.0</v>
      </c>
      <c r="AN238" s="62">
        <f>IF(OR(AG238="",INDEX(p_rates,4)=""),0,IF(AG238="Facture",SUMIFS(fl_ht,fl_doc,A238,fl_rate,INDEX(p_rates,4)),SUMIFS(dl_ht,dl_doc,F238,dl_rate,INDEX(p_rates,4))))</f>
        <v>0.0</v>
      </c>
      <c r="AO238" s="62">
        <f>IF(OR(AG238="",INDEX(p_rates,5)=""),0,IF(AG238="Facture",SUMIFS(fl_ht,fl_doc,A238,fl_rate,INDEX(p_rates,5)),SUMIFS(dl_ht,dl_doc,F238,dl_rate,INDEX(p_rates,5))))</f>
        <v>0.0</v>
      </c>
      <c r="AP238" s="62">
        <f>IF(OR(AG238="",INDEX(p_rates,6)=""),0,IF(AG238="Facture",SUMIFS(fl_ht,fl_doc,A238,fl_rate,INDEX(p_rates,6)),SUMIFS(dl_ht,dl_doc,F238,dl_rate,INDEX(p_rates,6))))</f>
        <v>0.0</v>
      </c>
      <c r="AQ238" s="62">
        <f>ROUND(AK238*N(INDEX(p_rates,1)),2)+ROUND(AL238*N(INDEX(p_rates,2)),2)+ROUND(AM238*N(INDEX(p_rates,3)),2)+ROUND(AN238*N(INDEX(p_rates,4)),2)+ROUND(AO238*N(INDEX(p_rates,5)),2)+ROUND(AP238*N(INDEX(p_rates,6)),2)</f>
        <v>0.0</v>
      </c>
      <c r="AR238" s="62" t="str">
        <f>IF(OR(L238="",AA238&lt;&gt;"Facture"),"",IFERROR(IF(INDEX(fa_type,MATCH(L238,fa_num,0))="Facture d'acompte",MATCH(L238,fa_num,0),""),""))</f>
        <v/>
      </c>
      <c r="AS238" s="62" t="str">
        <f>IF(W238="","",IF(W238&lt;=0,"",IF(p_asof-P238&lt;=0,"Non échu",IF(p_asof-P238&lt;=30,"1-30 j",IF(p_asof-P238&lt;=60,"31-60 j",IF(p_asof-P238&lt;=90,"61-90 j","Plus de 90 j"))))))</f>
        <v/>
      </c>
      <c r="AT238" s="62" t="str">
        <f>IF(AS238="","",p_asof-P238)</f>
        <v/>
      </c>
      <c r="AU238" s="62" t="str">
        <f>IF(AT238="","",COUNTIF($AT$6:$AT$805,"&gt;"&amp;AT238)+COUNTIF($AT$6:AT238,AT238))</f>
        <v/>
      </c>
    </row>
    <row r="239">
      <c r="A239" s="59" t="str">
        <f>IF(AE239="","",AB239&amp;"-"&amp;AD239&amp;"-"&amp;RIGHT("000"&amp;AE239,4))</f>
        <v/>
      </c>
      <c r="B239" s="60" t="n"/>
      <c r="C239" s="61" t="n"/>
      <c r="D239" s="60" t="n"/>
      <c r="E239" s="62" t="str">
        <f>IF(D239="","",IFERROR(INDEX(cli_name,MATCH(D239,cli_code,0))&amp;"","Client inconnu"))</f>
        <v/>
      </c>
      <c r="F239" s="60" t="n"/>
      <c r="G239" s="63" t="n"/>
      <c r="H239" s="61" t="n"/>
      <c r="I239" s="63" t="n"/>
      <c r="J239" s="60" t="n"/>
      <c r="K239" s="61" t="n"/>
      <c r="L239" s="60" t="n"/>
      <c r="M239" s="60" t="n"/>
      <c r="N239" s="60" t="n"/>
      <c r="O239" s="61" t="n"/>
      <c r="P239" s="64" t="str">
        <f>IF(A239="","",IF(AA239="Avoir",AC239,IF(ISNUMBER(K239),K239,AC239+IF(D239="",N(p_delay),IFERROR(IF(ISNUMBER(INDEX(cli_delay,MATCH(D239,cli_code,0))),INDEX(cli_delay,MATCH(D239,cli_code,0)),N(p_delay)),N(p_delay))))))</f>
        <v/>
      </c>
      <c r="Q239" s="65" t="str">
        <f>IF(A239="","",IF(AA239="Avoir",-1,1)*ROUND(AJ239-IF(AR239="",0,INDEX(fa_htb,AR239)),2))</f>
        <v/>
      </c>
      <c r="R239" s="65" t="str">
        <f>IF(A239="","",IF(AA239="Avoir",-1,1)*ROUND(AQ239-IF(AR239="",0,INDEX(fa_tvab,AR239)),2))</f>
        <v/>
      </c>
      <c r="S239" s="65" t="str">
        <f>IF(A239="","",Q239+R239)</f>
        <v/>
      </c>
      <c r="T239" s="65" t="str">
        <f>IF(AR239="","",INDEX(fa_htb,AR239)+INDEX(fa_tvab,AR239))</f>
        <v/>
      </c>
      <c r="U239" s="65" t="str">
        <f>IF(A239="","",SUMIF(pa_inv,A239,pa_amt))</f>
        <v/>
      </c>
      <c r="V239" s="65" t="str">
        <f>IF(OR(A239="",AA239="Avoir"),"",-SUMIFS(fa_ttc,fa_avof,A239,fa_type,"Avoir"))</f>
        <v/>
      </c>
      <c r="W239" s="65" t="str">
        <f>IF(OR(A239="",AA239="Avoir"),"",ROUND(S239-U239-V239,2))</f>
        <v/>
      </c>
      <c r="X239" s="66" t="str">
        <f>IF(W239="","",IF(AND(W239&gt;0,p_asof&gt;P239),p_asof-P239,""))</f>
        <v/>
      </c>
      <c r="Y239" s="59" t="str">
        <f>IF(A239="","",IF(AA239="Avoir","Avoir",IF(W239&lt;0,"Trop-perçu",IF(W239=0,"Soldée",IF(p_asof&gt;P239,"En retard",IF(U239+V239&gt;0,"Partielle","À échoir"))))))</f>
        <v/>
      </c>
      <c r="Z239" s="59" t="str">
        <f>IF(NOT(COUNTA(B239:D239,F239:O239)&gt;0),"",IF(C239="","Date manquante",IF(NOT(ISNUMBER(C239)),"Date invalide",IF(D239="","Client manquant",IF(ISNA(MATCH(D239,cli_code,0)),"Client inconnu",IF(AC239&lt;SUMPRODUCT(MAX(($AB$6:AB238=AB239)*$AC$6:AC238)),"Date antérieure à la facture précédente",IF(AND(F239&lt;&gt;"",ISNA(MATCH(F239,dv_num,0))),"Devis inconnu",IF(AND(F239&lt;&gt;"",IFERROR(INDEX(dv_client,MATCH(F239,dv_num,0)),D239)&lt;&gt;D239),"Client différent de celui du devis",IF(AG239="","Aucune ligne : saisissez des lignes ou un devis",IF(AND(AI239&lt;&gt;"",COUNTIF($AI$6:AI239,AI239)&gt;1),"Devis déjà repris par une autre facture",IF(AND(AA239="Avoir",M239=""),"Avoir : indiquez la facture d'origine",IF(AND(AA239="Avoir",ISNA(MATCH(M239,fa_num,0))),"Facture d'origine inconnue",IF(AND(AA239&lt;&gt;"Avoir",M239&lt;&gt;""),"« Avoir sur facture » : réservé aux avoirs",IF(AND(L239&lt;&gt;"",AA239&lt;&gt;"Facture"),"Acompte à déduire : réservé aux factures",IF(AND(L239&lt;&gt;"",ISNA(MATCH(L239,fa_num,0))),"Facture d'acompte inconnue",IF(AND(L239&lt;&gt;"",IFERROR(INDEX(fa_type,MATCH(L239,fa_num,0)),"")&lt;&gt;"Facture d'acompte"),"Le n° à déduire n'est pas une facture d'acompte",IF(AND(L239&lt;&gt;"",COUNTIF($L$6:L239,L239)&gt;1),"Acompte déjà déduit sur une autre facture",IF(AND(L239&lt;&gt;"",IFERROR(INDEX(fa_client,MATCH(L239,fa_num,0)),D239)&lt;&gt;D239),"Acompte d'un autre client",IF(AND(AR239&lt;&gt;"",N(Q239)&lt;0),"Acompte supérieur au total de la facture",IF(IF(AG239="Facture",COUNTIFS(fl_doc,A239,fl_check,"&lt;&gt;OK"),IF(AG239="Devis",COUNTIFS(dl_doc,F239,dl_check,"&lt;&gt;OK"),0))&gt;0,"Ligne(s) à corriger",IF(AND(W239&lt;&gt;"",N(W239)&lt;0),"Trop-perçu : vérifiez paiements et avoirs","OK")))))))))))))))))))))</f>
        <v/>
      </c>
      <c r="AA239" s="62" t="str">
        <f>IF(COUNTA(B239:D239,F239:O239)&gt;0,IF(B239="","Facture",B239),"")</f>
        <v/>
      </c>
      <c r="AB239" s="62" t="str">
        <f>IF(AA239="","",IF(AA239="Avoir",p_pav,IF(AA239="Facture d'acompte",p_pac,p_pfa)))</f>
        <v/>
      </c>
      <c r="AC239" s="62">
        <f>IF(ISNUMBER(C239),C239,0)</f>
        <v>0.0</v>
      </c>
      <c r="AD239" s="62" t="str">
        <f>IF(OR(AA239="",AC239=0),"",YEAR(AC239))</f>
        <v/>
      </c>
      <c r="AE239" s="62" t="str">
        <f>IF(AD239="","",COUNTIFS($AB$6:AB239,AB239,$AD$6:AD239,AD239))</f>
        <v/>
      </c>
      <c r="AF239" s="62">
        <f>IF(A239="",0,COUNTIF(fl_doc,A239))</f>
        <v>0.0</v>
      </c>
      <c r="AG239" s="62" t="str">
        <f>IF(A239="","",IF(AF239&gt;0,"Facture",IF(AND(F239&lt;&gt;"",AA239="Facture",ISNUMBER(MATCH(F239,dv_num,0))),"Devis","")))</f>
        <v/>
      </c>
      <c r="AH239" s="62" t="str">
        <f>IF(AND(A239&lt;&gt;"",F239&lt;&gt;"",AA239&lt;&gt;"Avoir"),F239,"")</f>
        <v/>
      </c>
      <c r="AI239" s="62" t="str">
        <f>IF(AG239="Devis",F239,"")</f>
        <v/>
      </c>
      <c r="AJ239" s="62">
        <f>IF(AG239="Facture",SUMIF(fl_doc,A239,fl_ht),IF(AG239="Devis",SUMIF(dl_doc,F239,dl_ht),0))</f>
        <v>0.0</v>
      </c>
      <c r="AK239" s="62">
        <f>IF(OR(AG239="",INDEX(p_rates,1)=""),0,IF(AG239="Facture",SUMIFS(fl_ht,fl_doc,A239,fl_rate,INDEX(p_rates,1)),SUMIFS(dl_ht,dl_doc,F239,dl_rate,INDEX(p_rates,1))))</f>
        <v>0.0</v>
      </c>
      <c r="AL239" s="62">
        <f>IF(OR(AG239="",INDEX(p_rates,2)=""),0,IF(AG239="Facture",SUMIFS(fl_ht,fl_doc,A239,fl_rate,INDEX(p_rates,2)),SUMIFS(dl_ht,dl_doc,F239,dl_rate,INDEX(p_rates,2))))</f>
        <v>0.0</v>
      </c>
      <c r="AM239" s="62">
        <f>IF(OR(AG239="",INDEX(p_rates,3)=""),0,IF(AG239="Facture",SUMIFS(fl_ht,fl_doc,A239,fl_rate,INDEX(p_rates,3)),SUMIFS(dl_ht,dl_doc,F239,dl_rate,INDEX(p_rates,3))))</f>
        <v>0.0</v>
      </c>
      <c r="AN239" s="62">
        <f>IF(OR(AG239="",INDEX(p_rates,4)=""),0,IF(AG239="Facture",SUMIFS(fl_ht,fl_doc,A239,fl_rate,INDEX(p_rates,4)),SUMIFS(dl_ht,dl_doc,F239,dl_rate,INDEX(p_rates,4))))</f>
        <v>0.0</v>
      </c>
      <c r="AO239" s="62">
        <f>IF(OR(AG239="",INDEX(p_rates,5)=""),0,IF(AG239="Facture",SUMIFS(fl_ht,fl_doc,A239,fl_rate,INDEX(p_rates,5)),SUMIFS(dl_ht,dl_doc,F239,dl_rate,INDEX(p_rates,5))))</f>
        <v>0.0</v>
      </c>
      <c r="AP239" s="62">
        <f>IF(OR(AG239="",INDEX(p_rates,6)=""),0,IF(AG239="Facture",SUMIFS(fl_ht,fl_doc,A239,fl_rate,INDEX(p_rates,6)),SUMIFS(dl_ht,dl_doc,F239,dl_rate,INDEX(p_rates,6))))</f>
        <v>0.0</v>
      </c>
      <c r="AQ239" s="62">
        <f>ROUND(AK239*N(INDEX(p_rates,1)),2)+ROUND(AL239*N(INDEX(p_rates,2)),2)+ROUND(AM239*N(INDEX(p_rates,3)),2)+ROUND(AN239*N(INDEX(p_rates,4)),2)+ROUND(AO239*N(INDEX(p_rates,5)),2)+ROUND(AP239*N(INDEX(p_rates,6)),2)</f>
        <v>0.0</v>
      </c>
      <c r="AR239" s="62" t="str">
        <f>IF(OR(L239="",AA239&lt;&gt;"Facture"),"",IFERROR(IF(INDEX(fa_type,MATCH(L239,fa_num,0))="Facture d'acompte",MATCH(L239,fa_num,0),""),""))</f>
        <v/>
      </c>
      <c r="AS239" s="62" t="str">
        <f>IF(W239="","",IF(W239&lt;=0,"",IF(p_asof-P239&lt;=0,"Non échu",IF(p_asof-P239&lt;=30,"1-30 j",IF(p_asof-P239&lt;=60,"31-60 j",IF(p_asof-P239&lt;=90,"61-90 j","Plus de 90 j"))))))</f>
        <v/>
      </c>
      <c r="AT239" s="62" t="str">
        <f>IF(AS239="","",p_asof-P239)</f>
        <v/>
      </c>
      <c r="AU239" s="62" t="str">
        <f>IF(AT239="","",COUNTIF($AT$6:$AT$805,"&gt;"&amp;AT239)+COUNTIF($AT$6:AT239,AT239))</f>
        <v/>
      </c>
    </row>
    <row r="240">
      <c r="A240" s="59" t="str">
        <f>IF(AE240="","",AB240&amp;"-"&amp;AD240&amp;"-"&amp;RIGHT("000"&amp;AE240,4))</f>
        <v/>
      </c>
      <c r="B240" s="60" t="n"/>
      <c r="C240" s="61" t="n"/>
      <c r="D240" s="60" t="n"/>
      <c r="E240" s="62" t="str">
        <f>IF(D240="","",IFERROR(INDEX(cli_name,MATCH(D240,cli_code,0))&amp;"","Client inconnu"))</f>
        <v/>
      </c>
      <c r="F240" s="60" t="n"/>
      <c r="G240" s="63" t="n"/>
      <c r="H240" s="61" t="n"/>
      <c r="I240" s="63" t="n"/>
      <c r="J240" s="60" t="n"/>
      <c r="K240" s="61" t="n"/>
      <c r="L240" s="60" t="n"/>
      <c r="M240" s="60" t="n"/>
      <c r="N240" s="60" t="n"/>
      <c r="O240" s="61" t="n"/>
      <c r="P240" s="64" t="str">
        <f>IF(A240="","",IF(AA240="Avoir",AC240,IF(ISNUMBER(K240),K240,AC240+IF(D240="",N(p_delay),IFERROR(IF(ISNUMBER(INDEX(cli_delay,MATCH(D240,cli_code,0))),INDEX(cli_delay,MATCH(D240,cli_code,0)),N(p_delay)),N(p_delay))))))</f>
        <v/>
      </c>
      <c r="Q240" s="65" t="str">
        <f>IF(A240="","",IF(AA240="Avoir",-1,1)*ROUND(AJ240-IF(AR240="",0,INDEX(fa_htb,AR240)),2))</f>
        <v/>
      </c>
      <c r="R240" s="65" t="str">
        <f>IF(A240="","",IF(AA240="Avoir",-1,1)*ROUND(AQ240-IF(AR240="",0,INDEX(fa_tvab,AR240)),2))</f>
        <v/>
      </c>
      <c r="S240" s="65" t="str">
        <f>IF(A240="","",Q240+R240)</f>
        <v/>
      </c>
      <c r="T240" s="65" t="str">
        <f>IF(AR240="","",INDEX(fa_htb,AR240)+INDEX(fa_tvab,AR240))</f>
        <v/>
      </c>
      <c r="U240" s="65" t="str">
        <f>IF(A240="","",SUMIF(pa_inv,A240,pa_amt))</f>
        <v/>
      </c>
      <c r="V240" s="65" t="str">
        <f>IF(OR(A240="",AA240="Avoir"),"",-SUMIFS(fa_ttc,fa_avof,A240,fa_type,"Avoir"))</f>
        <v/>
      </c>
      <c r="W240" s="65" t="str">
        <f>IF(OR(A240="",AA240="Avoir"),"",ROUND(S240-U240-V240,2))</f>
        <v/>
      </c>
      <c r="X240" s="66" t="str">
        <f>IF(W240="","",IF(AND(W240&gt;0,p_asof&gt;P240),p_asof-P240,""))</f>
        <v/>
      </c>
      <c r="Y240" s="59" t="str">
        <f>IF(A240="","",IF(AA240="Avoir","Avoir",IF(W240&lt;0,"Trop-perçu",IF(W240=0,"Soldée",IF(p_asof&gt;P240,"En retard",IF(U240+V240&gt;0,"Partielle","À échoir"))))))</f>
        <v/>
      </c>
      <c r="Z240" s="59" t="str">
        <f>IF(NOT(COUNTA(B240:D240,F240:O240)&gt;0),"",IF(C240="","Date manquante",IF(NOT(ISNUMBER(C240)),"Date invalide",IF(D240="","Client manquant",IF(ISNA(MATCH(D240,cli_code,0)),"Client inconnu",IF(AC240&lt;SUMPRODUCT(MAX(($AB$6:AB239=AB240)*$AC$6:AC239)),"Date antérieure à la facture précédente",IF(AND(F240&lt;&gt;"",ISNA(MATCH(F240,dv_num,0))),"Devis inconnu",IF(AND(F240&lt;&gt;"",IFERROR(INDEX(dv_client,MATCH(F240,dv_num,0)),D240)&lt;&gt;D240),"Client différent de celui du devis",IF(AG240="","Aucune ligne : saisissez des lignes ou un devis",IF(AND(AI240&lt;&gt;"",COUNTIF($AI$6:AI240,AI240)&gt;1),"Devis déjà repris par une autre facture",IF(AND(AA240="Avoir",M240=""),"Avoir : indiquez la facture d'origine",IF(AND(AA240="Avoir",ISNA(MATCH(M240,fa_num,0))),"Facture d'origine inconnue",IF(AND(AA240&lt;&gt;"Avoir",M240&lt;&gt;""),"« Avoir sur facture » : réservé aux avoirs",IF(AND(L240&lt;&gt;"",AA240&lt;&gt;"Facture"),"Acompte à déduire : réservé aux factures",IF(AND(L240&lt;&gt;"",ISNA(MATCH(L240,fa_num,0))),"Facture d'acompte inconnue",IF(AND(L240&lt;&gt;"",IFERROR(INDEX(fa_type,MATCH(L240,fa_num,0)),"")&lt;&gt;"Facture d'acompte"),"Le n° à déduire n'est pas une facture d'acompte",IF(AND(L240&lt;&gt;"",COUNTIF($L$6:L240,L240)&gt;1),"Acompte déjà déduit sur une autre facture",IF(AND(L240&lt;&gt;"",IFERROR(INDEX(fa_client,MATCH(L240,fa_num,0)),D240)&lt;&gt;D240),"Acompte d'un autre client",IF(AND(AR240&lt;&gt;"",N(Q240)&lt;0),"Acompte supérieur au total de la facture",IF(IF(AG240="Facture",COUNTIFS(fl_doc,A240,fl_check,"&lt;&gt;OK"),IF(AG240="Devis",COUNTIFS(dl_doc,F240,dl_check,"&lt;&gt;OK"),0))&gt;0,"Ligne(s) à corriger",IF(AND(W240&lt;&gt;"",N(W240)&lt;0),"Trop-perçu : vérifiez paiements et avoirs","OK")))))))))))))))))))))</f>
        <v/>
      </c>
      <c r="AA240" s="62" t="str">
        <f>IF(COUNTA(B240:D240,F240:O240)&gt;0,IF(B240="","Facture",B240),"")</f>
        <v/>
      </c>
      <c r="AB240" s="62" t="str">
        <f>IF(AA240="","",IF(AA240="Avoir",p_pav,IF(AA240="Facture d'acompte",p_pac,p_pfa)))</f>
        <v/>
      </c>
      <c r="AC240" s="62">
        <f>IF(ISNUMBER(C240),C240,0)</f>
        <v>0.0</v>
      </c>
      <c r="AD240" s="62" t="str">
        <f>IF(OR(AA240="",AC240=0),"",YEAR(AC240))</f>
        <v/>
      </c>
      <c r="AE240" s="62" t="str">
        <f>IF(AD240="","",COUNTIFS($AB$6:AB240,AB240,$AD$6:AD240,AD240))</f>
        <v/>
      </c>
      <c r="AF240" s="62">
        <f>IF(A240="",0,COUNTIF(fl_doc,A240))</f>
        <v>0.0</v>
      </c>
      <c r="AG240" s="62" t="str">
        <f>IF(A240="","",IF(AF240&gt;0,"Facture",IF(AND(F240&lt;&gt;"",AA240="Facture",ISNUMBER(MATCH(F240,dv_num,0))),"Devis","")))</f>
        <v/>
      </c>
      <c r="AH240" s="62" t="str">
        <f>IF(AND(A240&lt;&gt;"",F240&lt;&gt;"",AA240&lt;&gt;"Avoir"),F240,"")</f>
        <v/>
      </c>
      <c r="AI240" s="62" t="str">
        <f>IF(AG240="Devis",F240,"")</f>
        <v/>
      </c>
      <c r="AJ240" s="62">
        <f>IF(AG240="Facture",SUMIF(fl_doc,A240,fl_ht),IF(AG240="Devis",SUMIF(dl_doc,F240,dl_ht),0))</f>
        <v>0.0</v>
      </c>
      <c r="AK240" s="62">
        <f>IF(OR(AG240="",INDEX(p_rates,1)=""),0,IF(AG240="Facture",SUMIFS(fl_ht,fl_doc,A240,fl_rate,INDEX(p_rates,1)),SUMIFS(dl_ht,dl_doc,F240,dl_rate,INDEX(p_rates,1))))</f>
        <v>0.0</v>
      </c>
      <c r="AL240" s="62">
        <f>IF(OR(AG240="",INDEX(p_rates,2)=""),0,IF(AG240="Facture",SUMIFS(fl_ht,fl_doc,A240,fl_rate,INDEX(p_rates,2)),SUMIFS(dl_ht,dl_doc,F240,dl_rate,INDEX(p_rates,2))))</f>
        <v>0.0</v>
      </c>
      <c r="AM240" s="62">
        <f>IF(OR(AG240="",INDEX(p_rates,3)=""),0,IF(AG240="Facture",SUMIFS(fl_ht,fl_doc,A240,fl_rate,INDEX(p_rates,3)),SUMIFS(dl_ht,dl_doc,F240,dl_rate,INDEX(p_rates,3))))</f>
        <v>0.0</v>
      </c>
      <c r="AN240" s="62">
        <f>IF(OR(AG240="",INDEX(p_rates,4)=""),0,IF(AG240="Facture",SUMIFS(fl_ht,fl_doc,A240,fl_rate,INDEX(p_rates,4)),SUMIFS(dl_ht,dl_doc,F240,dl_rate,INDEX(p_rates,4))))</f>
        <v>0.0</v>
      </c>
      <c r="AO240" s="62">
        <f>IF(OR(AG240="",INDEX(p_rates,5)=""),0,IF(AG240="Facture",SUMIFS(fl_ht,fl_doc,A240,fl_rate,INDEX(p_rates,5)),SUMIFS(dl_ht,dl_doc,F240,dl_rate,INDEX(p_rates,5))))</f>
        <v>0.0</v>
      </c>
      <c r="AP240" s="62">
        <f>IF(OR(AG240="",INDEX(p_rates,6)=""),0,IF(AG240="Facture",SUMIFS(fl_ht,fl_doc,A240,fl_rate,INDEX(p_rates,6)),SUMIFS(dl_ht,dl_doc,F240,dl_rate,INDEX(p_rates,6))))</f>
        <v>0.0</v>
      </c>
      <c r="AQ240" s="62">
        <f>ROUND(AK240*N(INDEX(p_rates,1)),2)+ROUND(AL240*N(INDEX(p_rates,2)),2)+ROUND(AM240*N(INDEX(p_rates,3)),2)+ROUND(AN240*N(INDEX(p_rates,4)),2)+ROUND(AO240*N(INDEX(p_rates,5)),2)+ROUND(AP240*N(INDEX(p_rates,6)),2)</f>
        <v>0.0</v>
      </c>
      <c r="AR240" s="62" t="str">
        <f>IF(OR(L240="",AA240&lt;&gt;"Facture"),"",IFERROR(IF(INDEX(fa_type,MATCH(L240,fa_num,0))="Facture d'acompte",MATCH(L240,fa_num,0),""),""))</f>
        <v/>
      </c>
      <c r="AS240" s="62" t="str">
        <f>IF(W240="","",IF(W240&lt;=0,"",IF(p_asof-P240&lt;=0,"Non échu",IF(p_asof-P240&lt;=30,"1-30 j",IF(p_asof-P240&lt;=60,"31-60 j",IF(p_asof-P240&lt;=90,"61-90 j","Plus de 90 j"))))))</f>
        <v/>
      </c>
      <c r="AT240" s="62" t="str">
        <f>IF(AS240="","",p_asof-P240)</f>
        <v/>
      </c>
      <c r="AU240" s="62" t="str">
        <f>IF(AT240="","",COUNTIF($AT$6:$AT$805,"&gt;"&amp;AT240)+COUNTIF($AT$6:AT240,AT240))</f>
        <v/>
      </c>
    </row>
    <row r="241">
      <c r="A241" s="59" t="str">
        <f>IF(AE241="","",AB241&amp;"-"&amp;AD241&amp;"-"&amp;RIGHT("000"&amp;AE241,4))</f>
        <v/>
      </c>
      <c r="B241" s="60" t="n"/>
      <c r="C241" s="61" t="n"/>
      <c r="D241" s="60" t="n"/>
      <c r="E241" s="62" t="str">
        <f>IF(D241="","",IFERROR(INDEX(cli_name,MATCH(D241,cli_code,0))&amp;"","Client inconnu"))</f>
        <v/>
      </c>
      <c r="F241" s="60" t="n"/>
      <c r="G241" s="63" t="n"/>
      <c r="H241" s="61" t="n"/>
      <c r="I241" s="63" t="n"/>
      <c r="J241" s="60" t="n"/>
      <c r="K241" s="61" t="n"/>
      <c r="L241" s="60" t="n"/>
      <c r="M241" s="60" t="n"/>
      <c r="N241" s="60" t="n"/>
      <c r="O241" s="61" t="n"/>
      <c r="P241" s="64" t="str">
        <f>IF(A241="","",IF(AA241="Avoir",AC241,IF(ISNUMBER(K241),K241,AC241+IF(D241="",N(p_delay),IFERROR(IF(ISNUMBER(INDEX(cli_delay,MATCH(D241,cli_code,0))),INDEX(cli_delay,MATCH(D241,cli_code,0)),N(p_delay)),N(p_delay))))))</f>
        <v/>
      </c>
      <c r="Q241" s="65" t="str">
        <f>IF(A241="","",IF(AA241="Avoir",-1,1)*ROUND(AJ241-IF(AR241="",0,INDEX(fa_htb,AR241)),2))</f>
        <v/>
      </c>
      <c r="R241" s="65" t="str">
        <f>IF(A241="","",IF(AA241="Avoir",-1,1)*ROUND(AQ241-IF(AR241="",0,INDEX(fa_tvab,AR241)),2))</f>
        <v/>
      </c>
      <c r="S241" s="65" t="str">
        <f>IF(A241="","",Q241+R241)</f>
        <v/>
      </c>
      <c r="T241" s="65" t="str">
        <f>IF(AR241="","",INDEX(fa_htb,AR241)+INDEX(fa_tvab,AR241))</f>
        <v/>
      </c>
      <c r="U241" s="65" t="str">
        <f>IF(A241="","",SUMIF(pa_inv,A241,pa_amt))</f>
        <v/>
      </c>
      <c r="V241" s="65" t="str">
        <f>IF(OR(A241="",AA241="Avoir"),"",-SUMIFS(fa_ttc,fa_avof,A241,fa_type,"Avoir"))</f>
        <v/>
      </c>
      <c r="W241" s="65" t="str">
        <f>IF(OR(A241="",AA241="Avoir"),"",ROUND(S241-U241-V241,2))</f>
        <v/>
      </c>
      <c r="X241" s="66" t="str">
        <f>IF(W241="","",IF(AND(W241&gt;0,p_asof&gt;P241),p_asof-P241,""))</f>
        <v/>
      </c>
      <c r="Y241" s="59" t="str">
        <f>IF(A241="","",IF(AA241="Avoir","Avoir",IF(W241&lt;0,"Trop-perçu",IF(W241=0,"Soldée",IF(p_asof&gt;P241,"En retard",IF(U241+V241&gt;0,"Partielle","À échoir"))))))</f>
        <v/>
      </c>
      <c r="Z241" s="59" t="str">
        <f>IF(NOT(COUNTA(B241:D241,F241:O241)&gt;0),"",IF(C241="","Date manquante",IF(NOT(ISNUMBER(C241)),"Date invalide",IF(D241="","Client manquant",IF(ISNA(MATCH(D241,cli_code,0)),"Client inconnu",IF(AC241&lt;SUMPRODUCT(MAX(($AB$6:AB240=AB241)*$AC$6:AC240)),"Date antérieure à la facture précédente",IF(AND(F241&lt;&gt;"",ISNA(MATCH(F241,dv_num,0))),"Devis inconnu",IF(AND(F241&lt;&gt;"",IFERROR(INDEX(dv_client,MATCH(F241,dv_num,0)),D241)&lt;&gt;D241),"Client différent de celui du devis",IF(AG241="","Aucune ligne : saisissez des lignes ou un devis",IF(AND(AI241&lt;&gt;"",COUNTIF($AI$6:AI241,AI241)&gt;1),"Devis déjà repris par une autre facture",IF(AND(AA241="Avoir",M241=""),"Avoir : indiquez la facture d'origine",IF(AND(AA241="Avoir",ISNA(MATCH(M241,fa_num,0))),"Facture d'origine inconnue",IF(AND(AA241&lt;&gt;"Avoir",M241&lt;&gt;""),"« Avoir sur facture » : réservé aux avoirs",IF(AND(L241&lt;&gt;"",AA241&lt;&gt;"Facture"),"Acompte à déduire : réservé aux factures",IF(AND(L241&lt;&gt;"",ISNA(MATCH(L241,fa_num,0))),"Facture d'acompte inconnue",IF(AND(L241&lt;&gt;"",IFERROR(INDEX(fa_type,MATCH(L241,fa_num,0)),"")&lt;&gt;"Facture d'acompte"),"Le n° à déduire n'est pas une facture d'acompte",IF(AND(L241&lt;&gt;"",COUNTIF($L$6:L241,L241)&gt;1),"Acompte déjà déduit sur une autre facture",IF(AND(L241&lt;&gt;"",IFERROR(INDEX(fa_client,MATCH(L241,fa_num,0)),D241)&lt;&gt;D241),"Acompte d'un autre client",IF(AND(AR241&lt;&gt;"",N(Q241)&lt;0),"Acompte supérieur au total de la facture",IF(IF(AG241="Facture",COUNTIFS(fl_doc,A241,fl_check,"&lt;&gt;OK"),IF(AG241="Devis",COUNTIFS(dl_doc,F241,dl_check,"&lt;&gt;OK"),0))&gt;0,"Ligne(s) à corriger",IF(AND(W241&lt;&gt;"",N(W241)&lt;0),"Trop-perçu : vérifiez paiements et avoirs","OK")))))))))))))))))))))</f>
        <v/>
      </c>
      <c r="AA241" s="62" t="str">
        <f>IF(COUNTA(B241:D241,F241:O241)&gt;0,IF(B241="","Facture",B241),"")</f>
        <v/>
      </c>
      <c r="AB241" s="62" t="str">
        <f>IF(AA241="","",IF(AA241="Avoir",p_pav,IF(AA241="Facture d'acompte",p_pac,p_pfa)))</f>
        <v/>
      </c>
      <c r="AC241" s="62">
        <f>IF(ISNUMBER(C241),C241,0)</f>
        <v>0.0</v>
      </c>
      <c r="AD241" s="62" t="str">
        <f>IF(OR(AA241="",AC241=0),"",YEAR(AC241))</f>
        <v/>
      </c>
      <c r="AE241" s="62" t="str">
        <f>IF(AD241="","",COUNTIFS($AB$6:AB241,AB241,$AD$6:AD241,AD241))</f>
        <v/>
      </c>
      <c r="AF241" s="62">
        <f>IF(A241="",0,COUNTIF(fl_doc,A241))</f>
        <v>0.0</v>
      </c>
      <c r="AG241" s="62" t="str">
        <f>IF(A241="","",IF(AF241&gt;0,"Facture",IF(AND(F241&lt;&gt;"",AA241="Facture",ISNUMBER(MATCH(F241,dv_num,0))),"Devis","")))</f>
        <v/>
      </c>
      <c r="AH241" s="62" t="str">
        <f>IF(AND(A241&lt;&gt;"",F241&lt;&gt;"",AA241&lt;&gt;"Avoir"),F241,"")</f>
        <v/>
      </c>
      <c r="AI241" s="62" t="str">
        <f>IF(AG241="Devis",F241,"")</f>
        <v/>
      </c>
      <c r="AJ241" s="62">
        <f>IF(AG241="Facture",SUMIF(fl_doc,A241,fl_ht),IF(AG241="Devis",SUMIF(dl_doc,F241,dl_ht),0))</f>
        <v>0.0</v>
      </c>
      <c r="AK241" s="62">
        <f>IF(OR(AG241="",INDEX(p_rates,1)=""),0,IF(AG241="Facture",SUMIFS(fl_ht,fl_doc,A241,fl_rate,INDEX(p_rates,1)),SUMIFS(dl_ht,dl_doc,F241,dl_rate,INDEX(p_rates,1))))</f>
        <v>0.0</v>
      </c>
      <c r="AL241" s="62">
        <f>IF(OR(AG241="",INDEX(p_rates,2)=""),0,IF(AG241="Facture",SUMIFS(fl_ht,fl_doc,A241,fl_rate,INDEX(p_rates,2)),SUMIFS(dl_ht,dl_doc,F241,dl_rate,INDEX(p_rates,2))))</f>
        <v>0.0</v>
      </c>
      <c r="AM241" s="62">
        <f>IF(OR(AG241="",INDEX(p_rates,3)=""),0,IF(AG241="Facture",SUMIFS(fl_ht,fl_doc,A241,fl_rate,INDEX(p_rates,3)),SUMIFS(dl_ht,dl_doc,F241,dl_rate,INDEX(p_rates,3))))</f>
        <v>0.0</v>
      </c>
      <c r="AN241" s="62">
        <f>IF(OR(AG241="",INDEX(p_rates,4)=""),0,IF(AG241="Facture",SUMIFS(fl_ht,fl_doc,A241,fl_rate,INDEX(p_rates,4)),SUMIFS(dl_ht,dl_doc,F241,dl_rate,INDEX(p_rates,4))))</f>
        <v>0.0</v>
      </c>
      <c r="AO241" s="62">
        <f>IF(OR(AG241="",INDEX(p_rates,5)=""),0,IF(AG241="Facture",SUMIFS(fl_ht,fl_doc,A241,fl_rate,INDEX(p_rates,5)),SUMIFS(dl_ht,dl_doc,F241,dl_rate,INDEX(p_rates,5))))</f>
        <v>0.0</v>
      </c>
      <c r="AP241" s="62">
        <f>IF(OR(AG241="",INDEX(p_rates,6)=""),0,IF(AG241="Facture",SUMIFS(fl_ht,fl_doc,A241,fl_rate,INDEX(p_rates,6)),SUMIFS(dl_ht,dl_doc,F241,dl_rate,INDEX(p_rates,6))))</f>
        <v>0.0</v>
      </c>
      <c r="AQ241" s="62">
        <f>ROUND(AK241*N(INDEX(p_rates,1)),2)+ROUND(AL241*N(INDEX(p_rates,2)),2)+ROUND(AM241*N(INDEX(p_rates,3)),2)+ROUND(AN241*N(INDEX(p_rates,4)),2)+ROUND(AO241*N(INDEX(p_rates,5)),2)+ROUND(AP241*N(INDEX(p_rates,6)),2)</f>
        <v>0.0</v>
      </c>
      <c r="AR241" s="62" t="str">
        <f>IF(OR(L241="",AA241&lt;&gt;"Facture"),"",IFERROR(IF(INDEX(fa_type,MATCH(L241,fa_num,0))="Facture d'acompte",MATCH(L241,fa_num,0),""),""))</f>
        <v/>
      </c>
      <c r="AS241" s="62" t="str">
        <f>IF(W241="","",IF(W241&lt;=0,"",IF(p_asof-P241&lt;=0,"Non échu",IF(p_asof-P241&lt;=30,"1-30 j",IF(p_asof-P241&lt;=60,"31-60 j",IF(p_asof-P241&lt;=90,"61-90 j","Plus de 90 j"))))))</f>
        <v/>
      </c>
      <c r="AT241" s="62" t="str">
        <f>IF(AS241="","",p_asof-P241)</f>
        <v/>
      </c>
      <c r="AU241" s="62" t="str">
        <f>IF(AT241="","",COUNTIF($AT$6:$AT$805,"&gt;"&amp;AT241)+COUNTIF($AT$6:AT241,AT241))</f>
        <v/>
      </c>
    </row>
    <row r="242">
      <c r="A242" s="59" t="str">
        <f>IF(AE242="","",AB242&amp;"-"&amp;AD242&amp;"-"&amp;RIGHT("000"&amp;AE242,4))</f>
        <v/>
      </c>
      <c r="B242" s="60" t="n"/>
      <c r="C242" s="61" t="n"/>
      <c r="D242" s="60" t="n"/>
      <c r="E242" s="62" t="str">
        <f>IF(D242="","",IFERROR(INDEX(cli_name,MATCH(D242,cli_code,0))&amp;"","Client inconnu"))</f>
        <v/>
      </c>
      <c r="F242" s="60" t="n"/>
      <c r="G242" s="63" t="n"/>
      <c r="H242" s="61" t="n"/>
      <c r="I242" s="63" t="n"/>
      <c r="J242" s="60" t="n"/>
      <c r="K242" s="61" t="n"/>
      <c r="L242" s="60" t="n"/>
      <c r="M242" s="60" t="n"/>
      <c r="N242" s="60" t="n"/>
      <c r="O242" s="61" t="n"/>
      <c r="P242" s="64" t="str">
        <f>IF(A242="","",IF(AA242="Avoir",AC242,IF(ISNUMBER(K242),K242,AC242+IF(D242="",N(p_delay),IFERROR(IF(ISNUMBER(INDEX(cli_delay,MATCH(D242,cli_code,0))),INDEX(cli_delay,MATCH(D242,cli_code,0)),N(p_delay)),N(p_delay))))))</f>
        <v/>
      </c>
      <c r="Q242" s="65" t="str">
        <f>IF(A242="","",IF(AA242="Avoir",-1,1)*ROUND(AJ242-IF(AR242="",0,INDEX(fa_htb,AR242)),2))</f>
        <v/>
      </c>
      <c r="R242" s="65" t="str">
        <f>IF(A242="","",IF(AA242="Avoir",-1,1)*ROUND(AQ242-IF(AR242="",0,INDEX(fa_tvab,AR242)),2))</f>
        <v/>
      </c>
      <c r="S242" s="65" t="str">
        <f>IF(A242="","",Q242+R242)</f>
        <v/>
      </c>
      <c r="T242" s="65" t="str">
        <f>IF(AR242="","",INDEX(fa_htb,AR242)+INDEX(fa_tvab,AR242))</f>
        <v/>
      </c>
      <c r="U242" s="65" t="str">
        <f>IF(A242="","",SUMIF(pa_inv,A242,pa_amt))</f>
        <v/>
      </c>
      <c r="V242" s="65" t="str">
        <f>IF(OR(A242="",AA242="Avoir"),"",-SUMIFS(fa_ttc,fa_avof,A242,fa_type,"Avoir"))</f>
        <v/>
      </c>
      <c r="W242" s="65" t="str">
        <f>IF(OR(A242="",AA242="Avoir"),"",ROUND(S242-U242-V242,2))</f>
        <v/>
      </c>
      <c r="X242" s="66" t="str">
        <f>IF(W242="","",IF(AND(W242&gt;0,p_asof&gt;P242),p_asof-P242,""))</f>
        <v/>
      </c>
      <c r="Y242" s="59" t="str">
        <f>IF(A242="","",IF(AA242="Avoir","Avoir",IF(W242&lt;0,"Trop-perçu",IF(W242=0,"Soldée",IF(p_asof&gt;P242,"En retard",IF(U242+V242&gt;0,"Partielle","À échoir"))))))</f>
        <v/>
      </c>
      <c r="Z242" s="59" t="str">
        <f>IF(NOT(COUNTA(B242:D242,F242:O242)&gt;0),"",IF(C242="","Date manquante",IF(NOT(ISNUMBER(C242)),"Date invalide",IF(D242="","Client manquant",IF(ISNA(MATCH(D242,cli_code,0)),"Client inconnu",IF(AC242&lt;SUMPRODUCT(MAX(($AB$6:AB241=AB242)*$AC$6:AC241)),"Date antérieure à la facture précédente",IF(AND(F242&lt;&gt;"",ISNA(MATCH(F242,dv_num,0))),"Devis inconnu",IF(AND(F242&lt;&gt;"",IFERROR(INDEX(dv_client,MATCH(F242,dv_num,0)),D242)&lt;&gt;D242),"Client différent de celui du devis",IF(AG242="","Aucune ligne : saisissez des lignes ou un devis",IF(AND(AI242&lt;&gt;"",COUNTIF($AI$6:AI242,AI242)&gt;1),"Devis déjà repris par une autre facture",IF(AND(AA242="Avoir",M242=""),"Avoir : indiquez la facture d'origine",IF(AND(AA242="Avoir",ISNA(MATCH(M242,fa_num,0))),"Facture d'origine inconnue",IF(AND(AA242&lt;&gt;"Avoir",M242&lt;&gt;""),"« Avoir sur facture » : réservé aux avoirs",IF(AND(L242&lt;&gt;"",AA242&lt;&gt;"Facture"),"Acompte à déduire : réservé aux factures",IF(AND(L242&lt;&gt;"",ISNA(MATCH(L242,fa_num,0))),"Facture d'acompte inconnue",IF(AND(L242&lt;&gt;"",IFERROR(INDEX(fa_type,MATCH(L242,fa_num,0)),"")&lt;&gt;"Facture d'acompte"),"Le n° à déduire n'est pas une facture d'acompte",IF(AND(L242&lt;&gt;"",COUNTIF($L$6:L242,L242)&gt;1),"Acompte déjà déduit sur une autre facture",IF(AND(L242&lt;&gt;"",IFERROR(INDEX(fa_client,MATCH(L242,fa_num,0)),D242)&lt;&gt;D242),"Acompte d'un autre client",IF(AND(AR242&lt;&gt;"",N(Q242)&lt;0),"Acompte supérieur au total de la facture",IF(IF(AG242="Facture",COUNTIFS(fl_doc,A242,fl_check,"&lt;&gt;OK"),IF(AG242="Devis",COUNTIFS(dl_doc,F242,dl_check,"&lt;&gt;OK"),0))&gt;0,"Ligne(s) à corriger",IF(AND(W242&lt;&gt;"",N(W242)&lt;0),"Trop-perçu : vérifiez paiements et avoirs","OK")))))))))))))))))))))</f>
        <v/>
      </c>
      <c r="AA242" s="62" t="str">
        <f>IF(COUNTA(B242:D242,F242:O242)&gt;0,IF(B242="","Facture",B242),"")</f>
        <v/>
      </c>
      <c r="AB242" s="62" t="str">
        <f>IF(AA242="","",IF(AA242="Avoir",p_pav,IF(AA242="Facture d'acompte",p_pac,p_pfa)))</f>
        <v/>
      </c>
      <c r="AC242" s="62">
        <f>IF(ISNUMBER(C242),C242,0)</f>
        <v>0.0</v>
      </c>
      <c r="AD242" s="62" t="str">
        <f>IF(OR(AA242="",AC242=0),"",YEAR(AC242))</f>
        <v/>
      </c>
      <c r="AE242" s="62" t="str">
        <f>IF(AD242="","",COUNTIFS($AB$6:AB242,AB242,$AD$6:AD242,AD242))</f>
        <v/>
      </c>
      <c r="AF242" s="62">
        <f>IF(A242="",0,COUNTIF(fl_doc,A242))</f>
        <v>0.0</v>
      </c>
      <c r="AG242" s="62" t="str">
        <f>IF(A242="","",IF(AF242&gt;0,"Facture",IF(AND(F242&lt;&gt;"",AA242="Facture",ISNUMBER(MATCH(F242,dv_num,0))),"Devis","")))</f>
        <v/>
      </c>
      <c r="AH242" s="62" t="str">
        <f>IF(AND(A242&lt;&gt;"",F242&lt;&gt;"",AA242&lt;&gt;"Avoir"),F242,"")</f>
        <v/>
      </c>
      <c r="AI242" s="62" t="str">
        <f>IF(AG242="Devis",F242,"")</f>
        <v/>
      </c>
      <c r="AJ242" s="62">
        <f>IF(AG242="Facture",SUMIF(fl_doc,A242,fl_ht),IF(AG242="Devis",SUMIF(dl_doc,F242,dl_ht),0))</f>
        <v>0.0</v>
      </c>
      <c r="AK242" s="62">
        <f>IF(OR(AG242="",INDEX(p_rates,1)=""),0,IF(AG242="Facture",SUMIFS(fl_ht,fl_doc,A242,fl_rate,INDEX(p_rates,1)),SUMIFS(dl_ht,dl_doc,F242,dl_rate,INDEX(p_rates,1))))</f>
        <v>0.0</v>
      </c>
      <c r="AL242" s="62">
        <f>IF(OR(AG242="",INDEX(p_rates,2)=""),0,IF(AG242="Facture",SUMIFS(fl_ht,fl_doc,A242,fl_rate,INDEX(p_rates,2)),SUMIFS(dl_ht,dl_doc,F242,dl_rate,INDEX(p_rates,2))))</f>
        <v>0.0</v>
      </c>
      <c r="AM242" s="62">
        <f>IF(OR(AG242="",INDEX(p_rates,3)=""),0,IF(AG242="Facture",SUMIFS(fl_ht,fl_doc,A242,fl_rate,INDEX(p_rates,3)),SUMIFS(dl_ht,dl_doc,F242,dl_rate,INDEX(p_rates,3))))</f>
        <v>0.0</v>
      </c>
      <c r="AN242" s="62">
        <f>IF(OR(AG242="",INDEX(p_rates,4)=""),0,IF(AG242="Facture",SUMIFS(fl_ht,fl_doc,A242,fl_rate,INDEX(p_rates,4)),SUMIFS(dl_ht,dl_doc,F242,dl_rate,INDEX(p_rates,4))))</f>
        <v>0.0</v>
      </c>
      <c r="AO242" s="62">
        <f>IF(OR(AG242="",INDEX(p_rates,5)=""),0,IF(AG242="Facture",SUMIFS(fl_ht,fl_doc,A242,fl_rate,INDEX(p_rates,5)),SUMIFS(dl_ht,dl_doc,F242,dl_rate,INDEX(p_rates,5))))</f>
        <v>0.0</v>
      </c>
      <c r="AP242" s="62">
        <f>IF(OR(AG242="",INDEX(p_rates,6)=""),0,IF(AG242="Facture",SUMIFS(fl_ht,fl_doc,A242,fl_rate,INDEX(p_rates,6)),SUMIFS(dl_ht,dl_doc,F242,dl_rate,INDEX(p_rates,6))))</f>
        <v>0.0</v>
      </c>
      <c r="AQ242" s="62">
        <f>ROUND(AK242*N(INDEX(p_rates,1)),2)+ROUND(AL242*N(INDEX(p_rates,2)),2)+ROUND(AM242*N(INDEX(p_rates,3)),2)+ROUND(AN242*N(INDEX(p_rates,4)),2)+ROUND(AO242*N(INDEX(p_rates,5)),2)+ROUND(AP242*N(INDEX(p_rates,6)),2)</f>
        <v>0.0</v>
      </c>
      <c r="AR242" s="62" t="str">
        <f>IF(OR(L242="",AA242&lt;&gt;"Facture"),"",IFERROR(IF(INDEX(fa_type,MATCH(L242,fa_num,0))="Facture d'acompte",MATCH(L242,fa_num,0),""),""))</f>
        <v/>
      </c>
      <c r="AS242" s="62" t="str">
        <f>IF(W242="","",IF(W242&lt;=0,"",IF(p_asof-P242&lt;=0,"Non échu",IF(p_asof-P242&lt;=30,"1-30 j",IF(p_asof-P242&lt;=60,"31-60 j",IF(p_asof-P242&lt;=90,"61-90 j","Plus de 90 j"))))))</f>
        <v/>
      </c>
      <c r="AT242" s="62" t="str">
        <f>IF(AS242="","",p_asof-P242)</f>
        <v/>
      </c>
      <c r="AU242" s="62" t="str">
        <f>IF(AT242="","",COUNTIF($AT$6:$AT$805,"&gt;"&amp;AT242)+COUNTIF($AT$6:AT242,AT242))</f>
        <v/>
      </c>
    </row>
    <row r="243">
      <c r="A243" s="59" t="str">
        <f>IF(AE243="","",AB243&amp;"-"&amp;AD243&amp;"-"&amp;RIGHT("000"&amp;AE243,4))</f>
        <v/>
      </c>
      <c r="B243" s="60" t="n"/>
      <c r="C243" s="61" t="n"/>
      <c r="D243" s="60" t="n"/>
      <c r="E243" s="62" t="str">
        <f>IF(D243="","",IFERROR(INDEX(cli_name,MATCH(D243,cli_code,0))&amp;"","Client inconnu"))</f>
        <v/>
      </c>
      <c r="F243" s="60" t="n"/>
      <c r="G243" s="63" t="n"/>
      <c r="H243" s="61" t="n"/>
      <c r="I243" s="63" t="n"/>
      <c r="J243" s="60" t="n"/>
      <c r="K243" s="61" t="n"/>
      <c r="L243" s="60" t="n"/>
      <c r="M243" s="60" t="n"/>
      <c r="N243" s="60" t="n"/>
      <c r="O243" s="61" t="n"/>
      <c r="P243" s="64" t="str">
        <f>IF(A243="","",IF(AA243="Avoir",AC243,IF(ISNUMBER(K243),K243,AC243+IF(D243="",N(p_delay),IFERROR(IF(ISNUMBER(INDEX(cli_delay,MATCH(D243,cli_code,0))),INDEX(cli_delay,MATCH(D243,cli_code,0)),N(p_delay)),N(p_delay))))))</f>
        <v/>
      </c>
      <c r="Q243" s="65" t="str">
        <f>IF(A243="","",IF(AA243="Avoir",-1,1)*ROUND(AJ243-IF(AR243="",0,INDEX(fa_htb,AR243)),2))</f>
        <v/>
      </c>
      <c r="R243" s="65" t="str">
        <f>IF(A243="","",IF(AA243="Avoir",-1,1)*ROUND(AQ243-IF(AR243="",0,INDEX(fa_tvab,AR243)),2))</f>
        <v/>
      </c>
      <c r="S243" s="65" t="str">
        <f>IF(A243="","",Q243+R243)</f>
        <v/>
      </c>
      <c r="T243" s="65" t="str">
        <f>IF(AR243="","",INDEX(fa_htb,AR243)+INDEX(fa_tvab,AR243))</f>
        <v/>
      </c>
      <c r="U243" s="65" t="str">
        <f>IF(A243="","",SUMIF(pa_inv,A243,pa_amt))</f>
        <v/>
      </c>
      <c r="V243" s="65" t="str">
        <f>IF(OR(A243="",AA243="Avoir"),"",-SUMIFS(fa_ttc,fa_avof,A243,fa_type,"Avoir"))</f>
        <v/>
      </c>
      <c r="W243" s="65" t="str">
        <f>IF(OR(A243="",AA243="Avoir"),"",ROUND(S243-U243-V243,2))</f>
        <v/>
      </c>
      <c r="X243" s="66" t="str">
        <f>IF(W243="","",IF(AND(W243&gt;0,p_asof&gt;P243),p_asof-P243,""))</f>
        <v/>
      </c>
      <c r="Y243" s="59" t="str">
        <f>IF(A243="","",IF(AA243="Avoir","Avoir",IF(W243&lt;0,"Trop-perçu",IF(W243=0,"Soldée",IF(p_asof&gt;P243,"En retard",IF(U243+V243&gt;0,"Partielle","À échoir"))))))</f>
        <v/>
      </c>
      <c r="Z243" s="59" t="str">
        <f>IF(NOT(COUNTA(B243:D243,F243:O243)&gt;0),"",IF(C243="","Date manquante",IF(NOT(ISNUMBER(C243)),"Date invalide",IF(D243="","Client manquant",IF(ISNA(MATCH(D243,cli_code,0)),"Client inconnu",IF(AC243&lt;SUMPRODUCT(MAX(($AB$6:AB242=AB243)*$AC$6:AC242)),"Date antérieure à la facture précédente",IF(AND(F243&lt;&gt;"",ISNA(MATCH(F243,dv_num,0))),"Devis inconnu",IF(AND(F243&lt;&gt;"",IFERROR(INDEX(dv_client,MATCH(F243,dv_num,0)),D243)&lt;&gt;D243),"Client différent de celui du devis",IF(AG243="","Aucune ligne : saisissez des lignes ou un devis",IF(AND(AI243&lt;&gt;"",COUNTIF($AI$6:AI243,AI243)&gt;1),"Devis déjà repris par une autre facture",IF(AND(AA243="Avoir",M243=""),"Avoir : indiquez la facture d'origine",IF(AND(AA243="Avoir",ISNA(MATCH(M243,fa_num,0))),"Facture d'origine inconnue",IF(AND(AA243&lt;&gt;"Avoir",M243&lt;&gt;""),"« Avoir sur facture » : réservé aux avoirs",IF(AND(L243&lt;&gt;"",AA243&lt;&gt;"Facture"),"Acompte à déduire : réservé aux factures",IF(AND(L243&lt;&gt;"",ISNA(MATCH(L243,fa_num,0))),"Facture d'acompte inconnue",IF(AND(L243&lt;&gt;"",IFERROR(INDEX(fa_type,MATCH(L243,fa_num,0)),"")&lt;&gt;"Facture d'acompte"),"Le n° à déduire n'est pas une facture d'acompte",IF(AND(L243&lt;&gt;"",COUNTIF($L$6:L243,L243)&gt;1),"Acompte déjà déduit sur une autre facture",IF(AND(L243&lt;&gt;"",IFERROR(INDEX(fa_client,MATCH(L243,fa_num,0)),D243)&lt;&gt;D243),"Acompte d'un autre client",IF(AND(AR243&lt;&gt;"",N(Q243)&lt;0),"Acompte supérieur au total de la facture",IF(IF(AG243="Facture",COUNTIFS(fl_doc,A243,fl_check,"&lt;&gt;OK"),IF(AG243="Devis",COUNTIFS(dl_doc,F243,dl_check,"&lt;&gt;OK"),0))&gt;0,"Ligne(s) à corriger",IF(AND(W243&lt;&gt;"",N(W243)&lt;0),"Trop-perçu : vérifiez paiements et avoirs","OK")))))))))))))))))))))</f>
        <v/>
      </c>
      <c r="AA243" s="62" t="str">
        <f>IF(COUNTA(B243:D243,F243:O243)&gt;0,IF(B243="","Facture",B243),"")</f>
        <v/>
      </c>
      <c r="AB243" s="62" t="str">
        <f>IF(AA243="","",IF(AA243="Avoir",p_pav,IF(AA243="Facture d'acompte",p_pac,p_pfa)))</f>
        <v/>
      </c>
      <c r="AC243" s="62">
        <f>IF(ISNUMBER(C243),C243,0)</f>
        <v>0.0</v>
      </c>
      <c r="AD243" s="62" t="str">
        <f>IF(OR(AA243="",AC243=0),"",YEAR(AC243))</f>
        <v/>
      </c>
      <c r="AE243" s="62" t="str">
        <f>IF(AD243="","",COUNTIFS($AB$6:AB243,AB243,$AD$6:AD243,AD243))</f>
        <v/>
      </c>
      <c r="AF243" s="62">
        <f>IF(A243="",0,COUNTIF(fl_doc,A243))</f>
        <v>0.0</v>
      </c>
      <c r="AG243" s="62" t="str">
        <f>IF(A243="","",IF(AF243&gt;0,"Facture",IF(AND(F243&lt;&gt;"",AA243="Facture",ISNUMBER(MATCH(F243,dv_num,0))),"Devis","")))</f>
        <v/>
      </c>
      <c r="AH243" s="62" t="str">
        <f>IF(AND(A243&lt;&gt;"",F243&lt;&gt;"",AA243&lt;&gt;"Avoir"),F243,"")</f>
        <v/>
      </c>
      <c r="AI243" s="62" t="str">
        <f>IF(AG243="Devis",F243,"")</f>
        <v/>
      </c>
      <c r="AJ243" s="62">
        <f>IF(AG243="Facture",SUMIF(fl_doc,A243,fl_ht),IF(AG243="Devis",SUMIF(dl_doc,F243,dl_ht),0))</f>
        <v>0.0</v>
      </c>
      <c r="AK243" s="62">
        <f>IF(OR(AG243="",INDEX(p_rates,1)=""),0,IF(AG243="Facture",SUMIFS(fl_ht,fl_doc,A243,fl_rate,INDEX(p_rates,1)),SUMIFS(dl_ht,dl_doc,F243,dl_rate,INDEX(p_rates,1))))</f>
        <v>0.0</v>
      </c>
      <c r="AL243" s="62">
        <f>IF(OR(AG243="",INDEX(p_rates,2)=""),0,IF(AG243="Facture",SUMIFS(fl_ht,fl_doc,A243,fl_rate,INDEX(p_rates,2)),SUMIFS(dl_ht,dl_doc,F243,dl_rate,INDEX(p_rates,2))))</f>
        <v>0.0</v>
      </c>
      <c r="AM243" s="62">
        <f>IF(OR(AG243="",INDEX(p_rates,3)=""),0,IF(AG243="Facture",SUMIFS(fl_ht,fl_doc,A243,fl_rate,INDEX(p_rates,3)),SUMIFS(dl_ht,dl_doc,F243,dl_rate,INDEX(p_rates,3))))</f>
        <v>0.0</v>
      </c>
      <c r="AN243" s="62">
        <f>IF(OR(AG243="",INDEX(p_rates,4)=""),0,IF(AG243="Facture",SUMIFS(fl_ht,fl_doc,A243,fl_rate,INDEX(p_rates,4)),SUMIFS(dl_ht,dl_doc,F243,dl_rate,INDEX(p_rates,4))))</f>
        <v>0.0</v>
      </c>
      <c r="AO243" s="62">
        <f>IF(OR(AG243="",INDEX(p_rates,5)=""),0,IF(AG243="Facture",SUMIFS(fl_ht,fl_doc,A243,fl_rate,INDEX(p_rates,5)),SUMIFS(dl_ht,dl_doc,F243,dl_rate,INDEX(p_rates,5))))</f>
        <v>0.0</v>
      </c>
      <c r="AP243" s="62">
        <f>IF(OR(AG243="",INDEX(p_rates,6)=""),0,IF(AG243="Facture",SUMIFS(fl_ht,fl_doc,A243,fl_rate,INDEX(p_rates,6)),SUMIFS(dl_ht,dl_doc,F243,dl_rate,INDEX(p_rates,6))))</f>
        <v>0.0</v>
      </c>
      <c r="AQ243" s="62">
        <f>ROUND(AK243*N(INDEX(p_rates,1)),2)+ROUND(AL243*N(INDEX(p_rates,2)),2)+ROUND(AM243*N(INDEX(p_rates,3)),2)+ROUND(AN243*N(INDEX(p_rates,4)),2)+ROUND(AO243*N(INDEX(p_rates,5)),2)+ROUND(AP243*N(INDEX(p_rates,6)),2)</f>
        <v>0.0</v>
      </c>
      <c r="AR243" s="62" t="str">
        <f>IF(OR(L243="",AA243&lt;&gt;"Facture"),"",IFERROR(IF(INDEX(fa_type,MATCH(L243,fa_num,0))="Facture d'acompte",MATCH(L243,fa_num,0),""),""))</f>
        <v/>
      </c>
      <c r="AS243" s="62" t="str">
        <f>IF(W243="","",IF(W243&lt;=0,"",IF(p_asof-P243&lt;=0,"Non échu",IF(p_asof-P243&lt;=30,"1-30 j",IF(p_asof-P243&lt;=60,"31-60 j",IF(p_asof-P243&lt;=90,"61-90 j","Plus de 90 j"))))))</f>
        <v/>
      </c>
      <c r="AT243" s="62" t="str">
        <f>IF(AS243="","",p_asof-P243)</f>
        <v/>
      </c>
      <c r="AU243" s="62" t="str">
        <f>IF(AT243="","",COUNTIF($AT$6:$AT$805,"&gt;"&amp;AT243)+COUNTIF($AT$6:AT243,AT243))</f>
        <v/>
      </c>
    </row>
    <row r="244">
      <c r="A244" s="59" t="str">
        <f>IF(AE244="","",AB244&amp;"-"&amp;AD244&amp;"-"&amp;RIGHT("000"&amp;AE244,4))</f>
        <v/>
      </c>
      <c r="B244" s="60" t="n"/>
      <c r="C244" s="61" t="n"/>
      <c r="D244" s="60" t="n"/>
      <c r="E244" s="62" t="str">
        <f>IF(D244="","",IFERROR(INDEX(cli_name,MATCH(D244,cli_code,0))&amp;"","Client inconnu"))</f>
        <v/>
      </c>
      <c r="F244" s="60" t="n"/>
      <c r="G244" s="63" t="n"/>
      <c r="H244" s="61" t="n"/>
      <c r="I244" s="63" t="n"/>
      <c r="J244" s="60" t="n"/>
      <c r="K244" s="61" t="n"/>
      <c r="L244" s="60" t="n"/>
      <c r="M244" s="60" t="n"/>
      <c r="N244" s="60" t="n"/>
      <c r="O244" s="61" t="n"/>
      <c r="P244" s="64" t="str">
        <f>IF(A244="","",IF(AA244="Avoir",AC244,IF(ISNUMBER(K244),K244,AC244+IF(D244="",N(p_delay),IFERROR(IF(ISNUMBER(INDEX(cli_delay,MATCH(D244,cli_code,0))),INDEX(cli_delay,MATCH(D244,cli_code,0)),N(p_delay)),N(p_delay))))))</f>
        <v/>
      </c>
      <c r="Q244" s="65" t="str">
        <f>IF(A244="","",IF(AA244="Avoir",-1,1)*ROUND(AJ244-IF(AR244="",0,INDEX(fa_htb,AR244)),2))</f>
        <v/>
      </c>
      <c r="R244" s="65" t="str">
        <f>IF(A244="","",IF(AA244="Avoir",-1,1)*ROUND(AQ244-IF(AR244="",0,INDEX(fa_tvab,AR244)),2))</f>
        <v/>
      </c>
      <c r="S244" s="65" t="str">
        <f>IF(A244="","",Q244+R244)</f>
        <v/>
      </c>
      <c r="T244" s="65" t="str">
        <f>IF(AR244="","",INDEX(fa_htb,AR244)+INDEX(fa_tvab,AR244))</f>
        <v/>
      </c>
      <c r="U244" s="65" t="str">
        <f>IF(A244="","",SUMIF(pa_inv,A244,pa_amt))</f>
        <v/>
      </c>
      <c r="V244" s="65" t="str">
        <f>IF(OR(A244="",AA244="Avoir"),"",-SUMIFS(fa_ttc,fa_avof,A244,fa_type,"Avoir"))</f>
        <v/>
      </c>
      <c r="W244" s="65" t="str">
        <f>IF(OR(A244="",AA244="Avoir"),"",ROUND(S244-U244-V244,2))</f>
        <v/>
      </c>
      <c r="X244" s="66" t="str">
        <f>IF(W244="","",IF(AND(W244&gt;0,p_asof&gt;P244),p_asof-P244,""))</f>
        <v/>
      </c>
      <c r="Y244" s="59" t="str">
        <f>IF(A244="","",IF(AA244="Avoir","Avoir",IF(W244&lt;0,"Trop-perçu",IF(W244=0,"Soldée",IF(p_asof&gt;P244,"En retard",IF(U244+V244&gt;0,"Partielle","À échoir"))))))</f>
        <v/>
      </c>
      <c r="Z244" s="59" t="str">
        <f>IF(NOT(COUNTA(B244:D244,F244:O244)&gt;0),"",IF(C244="","Date manquante",IF(NOT(ISNUMBER(C244)),"Date invalide",IF(D244="","Client manquant",IF(ISNA(MATCH(D244,cli_code,0)),"Client inconnu",IF(AC244&lt;SUMPRODUCT(MAX(($AB$6:AB243=AB244)*$AC$6:AC243)),"Date antérieure à la facture précédente",IF(AND(F244&lt;&gt;"",ISNA(MATCH(F244,dv_num,0))),"Devis inconnu",IF(AND(F244&lt;&gt;"",IFERROR(INDEX(dv_client,MATCH(F244,dv_num,0)),D244)&lt;&gt;D244),"Client différent de celui du devis",IF(AG244="","Aucune ligne : saisissez des lignes ou un devis",IF(AND(AI244&lt;&gt;"",COUNTIF($AI$6:AI244,AI244)&gt;1),"Devis déjà repris par une autre facture",IF(AND(AA244="Avoir",M244=""),"Avoir : indiquez la facture d'origine",IF(AND(AA244="Avoir",ISNA(MATCH(M244,fa_num,0))),"Facture d'origine inconnue",IF(AND(AA244&lt;&gt;"Avoir",M244&lt;&gt;""),"« Avoir sur facture » : réservé aux avoirs",IF(AND(L244&lt;&gt;"",AA244&lt;&gt;"Facture"),"Acompte à déduire : réservé aux factures",IF(AND(L244&lt;&gt;"",ISNA(MATCH(L244,fa_num,0))),"Facture d'acompte inconnue",IF(AND(L244&lt;&gt;"",IFERROR(INDEX(fa_type,MATCH(L244,fa_num,0)),"")&lt;&gt;"Facture d'acompte"),"Le n° à déduire n'est pas une facture d'acompte",IF(AND(L244&lt;&gt;"",COUNTIF($L$6:L244,L244)&gt;1),"Acompte déjà déduit sur une autre facture",IF(AND(L244&lt;&gt;"",IFERROR(INDEX(fa_client,MATCH(L244,fa_num,0)),D244)&lt;&gt;D244),"Acompte d'un autre client",IF(AND(AR244&lt;&gt;"",N(Q244)&lt;0),"Acompte supérieur au total de la facture",IF(IF(AG244="Facture",COUNTIFS(fl_doc,A244,fl_check,"&lt;&gt;OK"),IF(AG244="Devis",COUNTIFS(dl_doc,F244,dl_check,"&lt;&gt;OK"),0))&gt;0,"Ligne(s) à corriger",IF(AND(W244&lt;&gt;"",N(W244)&lt;0),"Trop-perçu : vérifiez paiements et avoirs","OK")))))))))))))))))))))</f>
        <v/>
      </c>
      <c r="AA244" s="62" t="str">
        <f>IF(COUNTA(B244:D244,F244:O244)&gt;0,IF(B244="","Facture",B244),"")</f>
        <v/>
      </c>
      <c r="AB244" s="62" t="str">
        <f>IF(AA244="","",IF(AA244="Avoir",p_pav,IF(AA244="Facture d'acompte",p_pac,p_pfa)))</f>
        <v/>
      </c>
      <c r="AC244" s="62">
        <f>IF(ISNUMBER(C244),C244,0)</f>
        <v>0.0</v>
      </c>
      <c r="AD244" s="62" t="str">
        <f>IF(OR(AA244="",AC244=0),"",YEAR(AC244))</f>
        <v/>
      </c>
      <c r="AE244" s="62" t="str">
        <f>IF(AD244="","",COUNTIFS($AB$6:AB244,AB244,$AD$6:AD244,AD244))</f>
        <v/>
      </c>
      <c r="AF244" s="62">
        <f>IF(A244="",0,COUNTIF(fl_doc,A244))</f>
        <v>0.0</v>
      </c>
      <c r="AG244" s="62" t="str">
        <f>IF(A244="","",IF(AF244&gt;0,"Facture",IF(AND(F244&lt;&gt;"",AA244="Facture",ISNUMBER(MATCH(F244,dv_num,0))),"Devis","")))</f>
        <v/>
      </c>
      <c r="AH244" s="62" t="str">
        <f>IF(AND(A244&lt;&gt;"",F244&lt;&gt;"",AA244&lt;&gt;"Avoir"),F244,"")</f>
        <v/>
      </c>
      <c r="AI244" s="62" t="str">
        <f>IF(AG244="Devis",F244,"")</f>
        <v/>
      </c>
      <c r="AJ244" s="62">
        <f>IF(AG244="Facture",SUMIF(fl_doc,A244,fl_ht),IF(AG244="Devis",SUMIF(dl_doc,F244,dl_ht),0))</f>
        <v>0.0</v>
      </c>
      <c r="AK244" s="62">
        <f>IF(OR(AG244="",INDEX(p_rates,1)=""),0,IF(AG244="Facture",SUMIFS(fl_ht,fl_doc,A244,fl_rate,INDEX(p_rates,1)),SUMIFS(dl_ht,dl_doc,F244,dl_rate,INDEX(p_rates,1))))</f>
        <v>0.0</v>
      </c>
      <c r="AL244" s="62">
        <f>IF(OR(AG244="",INDEX(p_rates,2)=""),0,IF(AG244="Facture",SUMIFS(fl_ht,fl_doc,A244,fl_rate,INDEX(p_rates,2)),SUMIFS(dl_ht,dl_doc,F244,dl_rate,INDEX(p_rates,2))))</f>
        <v>0.0</v>
      </c>
      <c r="AM244" s="62">
        <f>IF(OR(AG244="",INDEX(p_rates,3)=""),0,IF(AG244="Facture",SUMIFS(fl_ht,fl_doc,A244,fl_rate,INDEX(p_rates,3)),SUMIFS(dl_ht,dl_doc,F244,dl_rate,INDEX(p_rates,3))))</f>
        <v>0.0</v>
      </c>
      <c r="AN244" s="62">
        <f>IF(OR(AG244="",INDEX(p_rates,4)=""),0,IF(AG244="Facture",SUMIFS(fl_ht,fl_doc,A244,fl_rate,INDEX(p_rates,4)),SUMIFS(dl_ht,dl_doc,F244,dl_rate,INDEX(p_rates,4))))</f>
        <v>0.0</v>
      </c>
      <c r="AO244" s="62">
        <f>IF(OR(AG244="",INDEX(p_rates,5)=""),0,IF(AG244="Facture",SUMIFS(fl_ht,fl_doc,A244,fl_rate,INDEX(p_rates,5)),SUMIFS(dl_ht,dl_doc,F244,dl_rate,INDEX(p_rates,5))))</f>
        <v>0.0</v>
      </c>
      <c r="AP244" s="62">
        <f>IF(OR(AG244="",INDEX(p_rates,6)=""),0,IF(AG244="Facture",SUMIFS(fl_ht,fl_doc,A244,fl_rate,INDEX(p_rates,6)),SUMIFS(dl_ht,dl_doc,F244,dl_rate,INDEX(p_rates,6))))</f>
        <v>0.0</v>
      </c>
      <c r="AQ244" s="62">
        <f>ROUND(AK244*N(INDEX(p_rates,1)),2)+ROUND(AL244*N(INDEX(p_rates,2)),2)+ROUND(AM244*N(INDEX(p_rates,3)),2)+ROUND(AN244*N(INDEX(p_rates,4)),2)+ROUND(AO244*N(INDEX(p_rates,5)),2)+ROUND(AP244*N(INDEX(p_rates,6)),2)</f>
        <v>0.0</v>
      </c>
      <c r="AR244" s="62" t="str">
        <f>IF(OR(L244="",AA244&lt;&gt;"Facture"),"",IFERROR(IF(INDEX(fa_type,MATCH(L244,fa_num,0))="Facture d'acompte",MATCH(L244,fa_num,0),""),""))</f>
        <v/>
      </c>
      <c r="AS244" s="62" t="str">
        <f>IF(W244="","",IF(W244&lt;=0,"",IF(p_asof-P244&lt;=0,"Non échu",IF(p_asof-P244&lt;=30,"1-30 j",IF(p_asof-P244&lt;=60,"31-60 j",IF(p_asof-P244&lt;=90,"61-90 j","Plus de 90 j"))))))</f>
        <v/>
      </c>
      <c r="AT244" s="62" t="str">
        <f>IF(AS244="","",p_asof-P244)</f>
        <v/>
      </c>
      <c r="AU244" s="62" t="str">
        <f>IF(AT244="","",COUNTIF($AT$6:$AT$805,"&gt;"&amp;AT244)+COUNTIF($AT$6:AT244,AT244))</f>
        <v/>
      </c>
    </row>
    <row r="245">
      <c r="A245" s="59" t="str">
        <f>IF(AE245="","",AB245&amp;"-"&amp;AD245&amp;"-"&amp;RIGHT("000"&amp;AE245,4))</f>
        <v/>
      </c>
      <c r="B245" s="60" t="n"/>
      <c r="C245" s="61" t="n"/>
      <c r="D245" s="60" t="n"/>
      <c r="E245" s="62" t="str">
        <f>IF(D245="","",IFERROR(INDEX(cli_name,MATCH(D245,cli_code,0))&amp;"","Client inconnu"))</f>
        <v/>
      </c>
      <c r="F245" s="60" t="n"/>
      <c r="G245" s="63" t="n"/>
      <c r="H245" s="61" t="n"/>
      <c r="I245" s="63" t="n"/>
      <c r="J245" s="60" t="n"/>
      <c r="K245" s="61" t="n"/>
      <c r="L245" s="60" t="n"/>
      <c r="M245" s="60" t="n"/>
      <c r="N245" s="60" t="n"/>
      <c r="O245" s="61" t="n"/>
      <c r="P245" s="64" t="str">
        <f>IF(A245="","",IF(AA245="Avoir",AC245,IF(ISNUMBER(K245),K245,AC245+IF(D245="",N(p_delay),IFERROR(IF(ISNUMBER(INDEX(cli_delay,MATCH(D245,cli_code,0))),INDEX(cli_delay,MATCH(D245,cli_code,0)),N(p_delay)),N(p_delay))))))</f>
        <v/>
      </c>
      <c r="Q245" s="65" t="str">
        <f>IF(A245="","",IF(AA245="Avoir",-1,1)*ROUND(AJ245-IF(AR245="",0,INDEX(fa_htb,AR245)),2))</f>
        <v/>
      </c>
      <c r="R245" s="65" t="str">
        <f>IF(A245="","",IF(AA245="Avoir",-1,1)*ROUND(AQ245-IF(AR245="",0,INDEX(fa_tvab,AR245)),2))</f>
        <v/>
      </c>
      <c r="S245" s="65" t="str">
        <f>IF(A245="","",Q245+R245)</f>
        <v/>
      </c>
      <c r="T245" s="65" t="str">
        <f>IF(AR245="","",INDEX(fa_htb,AR245)+INDEX(fa_tvab,AR245))</f>
        <v/>
      </c>
      <c r="U245" s="65" t="str">
        <f>IF(A245="","",SUMIF(pa_inv,A245,pa_amt))</f>
        <v/>
      </c>
      <c r="V245" s="65" t="str">
        <f>IF(OR(A245="",AA245="Avoir"),"",-SUMIFS(fa_ttc,fa_avof,A245,fa_type,"Avoir"))</f>
        <v/>
      </c>
      <c r="W245" s="65" t="str">
        <f>IF(OR(A245="",AA245="Avoir"),"",ROUND(S245-U245-V245,2))</f>
        <v/>
      </c>
      <c r="X245" s="66" t="str">
        <f>IF(W245="","",IF(AND(W245&gt;0,p_asof&gt;P245),p_asof-P245,""))</f>
        <v/>
      </c>
      <c r="Y245" s="59" t="str">
        <f>IF(A245="","",IF(AA245="Avoir","Avoir",IF(W245&lt;0,"Trop-perçu",IF(W245=0,"Soldée",IF(p_asof&gt;P245,"En retard",IF(U245+V245&gt;0,"Partielle","À échoir"))))))</f>
        <v/>
      </c>
      <c r="Z245" s="59" t="str">
        <f>IF(NOT(COUNTA(B245:D245,F245:O245)&gt;0),"",IF(C245="","Date manquante",IF(NOT(ISNUMBER(C245)),"Date invalide",IF(D245="","Client manquant",IF(ISNA(MATCH(D245,cli_code,0)),"Client inconnu",IF(AC245&lt;SUMPRODUCT(MAX(($AB$6:AB244=AB245)*$AC$6:AC244)),"Date antérieure à la facture précédente",IF(AND(F245&lt;&gt;"",ISNA(MATCH(F245,dv_num,0))),"Devis inconnu",IF(AND(F245&lt;&gt;"",IFERROR(INDEX(dv_client,MATCH(F245,dv_num,0)),D245)&lt;&gt;D245),"Client différent de celui du devis",IF(AG245="","Aucune ligne : saisissez des lignes ou un devis",IF(AND(AI245&lt;&gt;"",COUNTIF($AI$6:AI245,AI245)&gt;1),"Devis déjà repris par une autre facture",IF(AND(AA245="Avoir",M245=""),"Avoir : indiquez la facture d'origine",IF(AND(AA245="Avoir",ISNA(MATCH(M245,fa_num,0))),"Facture d'origine inconnue",IF(AND(AA245&lt;&gt;"Avoir",M245&lt;&gt;""),"« Avoir sur facture » : réservé aux avoirs",IF(AND(L245&lt;&gt;"",AA245&lt;&gt;"Facture"),"Acompte à déduire : réservé aux factures",IF(AND(L245&lt;&gt;"",ISNA(MATCH(L245,fa_num,0))),"Facture d'acompte inconnue",IF(AND(L245&lt;&gt;"",IFERROR(INDEX(fa_type,MATCH(L245,fa_num,0)),"")&lt;&gt;"Facture d'acompte"),"Le n° à déduire n'est pas une facture d'acompte",IF(AND(L245&lt;&gt;"",COUNTIF($L$6:L245,L245)&gt;1),"Acompte déjà déduit sur une autre facture",IF(AND(L245&lt;&gt;"",IFERROR(INDEX(fa_client,MATCH(L245,fa_num,0)),D245)&lt;&gt;D245),"Acompte d'un autre client",IF(AND(AR245&lt;&gt;"",N(Q245)&lt;0),"Acompte supérieur au total de la facture",IF(IF(AG245="Facture",COUNTIFS(fl_doc,A245,fl_check,"&lt;&gt;OK"),IF(AG245="Devis",COUNTIFS(dl_doc,F245,dl_check,"&lt;&gt;OK"),0))&gt;0,"Ligne(s) à corriger",IF(AND(W245&lt;&gt;"",N(W245)&lt;0),"Trop-perçu : vérifiez paiements et avoirs","OK")))))))))))))))))))))</f>
        <v/>
      </c>
      <c r="AA245" s="62" t="str">
        <f>IF(COUNTA(B245:D245,F245:O245)&gt;0,IF(B245="","Facture",B245),"")</f>
        <v/>
      </c>
      <c r="AB245" s="62" t="str">
        <f>IF(AA245="","",IF(AA245="Avoir",p_pav,IF(AA245="Facture d'acompte",p_pac,p_pfa)))</f>
        <v/>
      </c>
      <c r="AC245" s="62">
        <f>IF(ISNUMBER(C245),C245,0)</f>
        <v>0.0</v>
      </c>
      <c r="AD245" s="62" t="str">
        <f>IF(OR(AA245="",AC245=0),"",YEAR(AC245))</f>
        <v/>
      </c>
      <c r="AE245" s="62" t="str">
        <f>IF(AD245="","",COUNTIFS($AB$6:AB245,AB245,$AD$6:AD245,AD245))</f>
        <v/>
      </c>
      <c r="AF245" s="62">
        <f>IF(A245="",0,COUNTIF(fl_doc,A245))</f>
        <v>0.0</v>
      </c>
      <c r="AG245" s="62" t="str">
        <f>IF(A245="","",IF(AF245&gt;0,"Facture",IF(AND(F245&lt;&gt;"",AA245="Facture",ISNUMBER(MATCH(F245,dv_num,0))),"Devis","")))</f>
        <v/>
      </c>
      <c r="AH245" s="62" t="str">
        <f>IF(AND(A245&lt;&gt;"",F245&lt;&gt;"",AA245&lt;&gt;"Avoir"),F245,"")</f>
        <v/>
      </c>
      <c r="AI245" s="62" t="str">
        <f>IF(AG245="Devis",F245,"")</f>
        <v/>
      </c>
      <c r="AJ245" s="62">
        <f>IF(AG245="Facture",SUMIF(fl_doc,A245,fl_ht),IF(AG245="Devis",SUMIF(dl_doc,F245,dl_ht),0))</f>
        <v>0.0</v>
      </c>
      <c r="AK245" s="62">
        <f>IF(OR(AG245="",INDEX(p_rates,1)=""),0,IF(AG245="Facture",SUMIFS(fl_ht,fl_doc,A245,fl_rate,INDEX(p_rates,1)),SUMIFS(dl_ht,dl_doc,F245,dl_rate,INDEX(p_rates,1))))</f>
        <v>0.0</v>
      </c>
      <c r="AL245" s="62">
        <f>IF(OR(AG245="",INDEX(p_rates,2)=""),0,IF(AG245="Facture",SUMIFS(fl_ht,fl_doc,A245,fl_rate,INDEX(p_rates,2)),SUMIFS(dl_ht,dl_doc,F245,dl_rate,INDEX(p_rates,2))))</f>
        <v>0.0</v>
      </c>
      <c r="AM245" s="62">
        <f>IF(OR(AG245="",INDEX(p_rates,3)=""),0,IF(AG245="Facture",SUMIFS(fl_ht,fl_doc,A245,fl_rate,INDEX(p_rates,3)),SUMIFS(dl_ht,dl_doc,F245,dl_rate,INDEX(p_rates,3))))</f>
        <v>0.0</v>
      </c>
      <c r="AN245" s="62">
        <f>IF(OR(AG245="",INDEX(p_rates,4)=""),0,IF(AG245="Facture",SUMIFS(fl_ht,fl_doc,A245,fl_rate,INDEX(p_rates,4)),SUMIFS(dl_ht,dl_doc,F245,dl_rate,INDEX(p_rates,4))))</f>
        <v>0.0</v>
      </c>
      <c r="AO245" s="62">
        <f>IF(OR(AG245="",INDEX(p_rates,5)=""),0,IF(AG245="Facture",SUMIFS(fl_ht,fl_doc,A245,fl_rate,INDEX(p_rates,5)),SUMIFS(dl_ht,dl_doc,F245,dl_rate,INDEX(p_rates,5))))</f>
        <v>0.0</v>
      </c>
      <c r="AP245" s="62">
        <f>IF(OR(AG245="",INDEX(p_rates,6)=""),0,IF(AG245="Facture",SUMIFS(fl_ht,fl_doc,A245,fl_rate,INDEX(p_rates,6)),SUMIFS(dl_ht,dl_doc,F245,dl_rate,INDEX(p_rates,6))))</f>
        <v>0.0</v>
      </c>
      <c r="AQ245" s="62">
        <f>ROUND(AK245*N(INDEX(p_rates,1)),2)+ROUND(AL245*N(INDEX(p_rates,2)),2)+ROUND(AM245*N(INDEX(p_rates,3)),2)+ROUND(AN245*N(INDEX(p_rates,4)),2)+ROUND(AO245*N(INDEX(p_rates,5)),2)+ROUND(AP245*N(INDEX(p_rates,6)),2)</f>
        <v>0.0</v>
      </c>
      <c r="AR245" s="62" t="str">
        <f>IF(OR(L245="",AA245&lt;&gt;"Facture"),"",IFERROR(IF(INDEX(fa_type,MATCH(L245,fa_num,0))="Facture d'acompte",MATCH(L245,fa_num,0),""),""))</f>
        <v/>
      </c>
      <c r="AS245" s="62" t="str">
        <f>IF(W245="","",IF(W245&lt;=0,"",IF(p_asof-P245&lt;=0,"Non échu",IF(p_asof-P245&lt;=30,"1-30 j",IF(p_asof-P245&lt;=60,"31-60 j",IF(p_asof-P245&lt;=90,"61-90 j","Plus de 90 j"))))))</f>
        <v/>
      </c>
      <c r="AT245" s="62" t="str">
        <f>IF(AS245="","",p_asof-P245)</f>
        <v/>
      </c>
      <c r="AU245" s="62" t="str">
        <f>IF(AT245="","",COUNTIF($AT$6:$AT$805,"&gt;"&amp;AT245)+COUNTIF($AT$6:AT245,AT245))</f>
        <v/>
      </c>
    </row>
    <row r="246">
      <c r="A246" s="59" t="str">
        <f>IF(AE246="","",AB246&amp;"-"&amp;AD246&amp;"-"&amp;RIGHT("000"&amp;AE246,4))</f>
        <v/>
      </c>
      <c r="B246" s="60" t="n"/>
      <c r="C246" s="61" t="n"/>
      <c r="D246" s="60" t="n"/>
      <c r="E246" s="62" t="str">
        <f>IF(D246="","",IFERROR(INDEX(cli_name,MATCH(D246,cli_code,0))&amp;"","Client inconnu"))</f>
        <v/>
      </c>
      <c r="F246" s="60" t="n"/>
      <c r="G246" s="63" t="n"/>
      <c r="H246" s="61" t="n"/>
      <c r="I246" s="63" t="n"/>
      <c r="J246" s="60" t="n"/>
      <c r="K246" s="61" t="n"/>
      <c r="L246" s="60" t="n"/>
      <c r="M246" s="60" t="n"/>
      <c r="N246" s="60" t="n"/>
      <c r="O246" s="61" t="n"/>
      <c r="P246" s="64" t="str">
        <f>IF(A246="","",IF(AA246="Avoir",AC246,IF(ISNUMBER(K246),K246,AC246+IF(D246="",N(p_delay),IFERROR(IF(ISNUMBER(INDEX(cli_delay,MATCH(D246,cli_code,0))),INDEX(cli_delay,MATCH(D246,cli_code,0)),N(p_delay)),N(p_delay))))))</f>
        <v/>
      </c>
      <c r="Q246" s="65" t="str">
        <f>IF(A246="","",IF(AA246="Avoir",-1,1)*ROUND(AJ246-IF(AR246="",0,INDEX(fa_htb,AR246)),2))</f>
        <v/>
      </c>
      <c r="R246" s="65" t="str">
        <f>IF(A246="","",IF(AA246="Avoir",-1,1)*ROUND(AQ246-IF(AR246="",0,INDEX(fa_tvab,AR246)),2))</f>
        <v/>
      </c>
      <c r="S246" s="65" t="str">
        <f>IF(A246="","",Q246+R246)</f>
        <v/>
      </c>
      <c r="T246" s="65" t="str">
        <f>IF(AR246="","",INDEX(fa_htb,AR246)+INDEX(fa_tvab,AR246))</f>
        <v/>
      </c>
      <c r="U246" s="65" t="str">
        <f>IF(A246="","",SUMIF(pa_inv,A246,pa_amt))</f>
        <v/>
      </c>
      <c r="V246" s="65" t="str">
        <f>IF(OR(A246="",AA246="Avoir"),"",-SUMIFS(fa_ttc,fa_avof,A246,fa_type,"Avoir"))</f>
        <v/>
      </c>
      <c r="W246" s="65" t="str">
        <f>IF(OR(A246="",AA246="Avoir"),"",ROUND(S246-U246-V246,2))</f>
        <v/>
      </c>
      <c r="X246" s="66" t="str">
        <f>IF(W246="","",IF(AND(W246&gt;0,p_asof&gt;P246),p_asof-P246,""))</f>
        <v/>
      </c>
      <c r="Y246" s="59" t="str">
        <f>IF(A246="","",IF(AA246="Avoir","Avoir",IF(W246&lt;0,"Trop-perçu",IF(W246=0,"Soldée",IF(p_asof&gt;P246,"En retard",IF(U246+V246&gt;0,"Partielle","À échoir"))))))</f>
        <v/>
      </c>
      <c r="Z246" s="59" t="str">
        <f>IF(NOT(COUNTA(B246:D246,F246:O246)&gt;0),"",IF(C246="","Date manquante",IF(NOT(ISNUMBER(C246)),"Date invalide",IF(D246="","Client manquant",IF(ISNA(MATCH(D246,cli_code,0)),"Client inconnu",IF(AC246&lt;SUMPRODUCT(MAX(($AB$6:AB245=AB246)*$AC$6:AC245)),"Date antérieure à la facture précédente",IF(AND(F246&lt;&gt;"",ISNA(MATCH(F246,dv_num,0))),"Devis inconnu",IF(AND(F246&lt;&gt;"",IFERROR(INDEX(dv_client,MATCH(F246,dv_num,0)),D246)&lt;&gt;D246),"Client différent de celui du devis",IF(AG246="","Aucune ligne : saisissez des lignes ou un devis",IF(AND(AI246&lt;&gt;"",COUNTIF($AI$6:AI246,AI246)&gt;1),"Devis déjà repris par une autre facture",IF(AND(AA246="Avoir",M246=""),"Avoir : indiquez la facture d'origine",IF(AND(AA246="Avoir",ISNA(MATCH(M246,fa_num,0))),"Facture d'origine inconnue",IF(AND(AA246&lt;&gt;"Avoir",M246&lt;&gt;""),"« Avoir sur facture » : réservé aux avoirs",IF(AND(L246&lt;&gt;"",AA246&lt;&gt;"Facture"),"Acompte à déduire : réservé aux factures",IF(AND(L246&lt;&gt;"",ISNA(MATCH(L246,fa_num,0))),"Facture d'acompte inconnue",IF(AND(L246&lt;&gt;"",IFERROR(INDEX(fa_type,MATCH(L246,fa_num,0)),"")&lt;&gt;"Facture d'acompte"),"Le n° à déduire n'est pas une facture d'acompte",IF(AND(L246&lt;&gt;"",COUNTIF($L$6:L246,L246)&gt;1),"Acompte déjà déduit sur une autre facture",IF(AND(L246&lt;&gt;"",IFERROR(INDEX(fa_client,MATCH(L246,fa_num,0)),D246)&lt;&gt;D246),"Acompte d'un autre client",IF(AND(AR246&lt;&gt;"",N(Q246)&lt;0),"Acompte supérieur au total de la facture",IF(IF(AG246="Facture",COUNTIFS(fl_doc,A246,fl_check,"&lt;&gt;OK"),IF(AG246="Devis",COUNTIFS(dl_doc,F246,dl_check,"&lt;&gt;OK"),0))&gt;0,"Ligne(s) à corriger",IF(AND(W246&lt;&gt;"",N(W246)&lt;0),"Trop-perçu : vérifiez paiements et avoirs","OK")))))))))))))))))))))</f>
        <v/>
      </c>
      <c r="AA246" s="62" t="str">
        <f>IF(COUNTA(B246:D246,F246:O246)&gt;0,IF(B246="","Facture",B246),"")</f>
        <v/>
      </c>
      <c r="AB246" s="62" t="str">
        <f>IF(AA246="","",IF(AA246="Avoir",p_pav,IF(AA246="Facture d'acompte",p_pac,p_pfa)))</f>
        <v/>
      </c>
      <c r="AC246" s="62">
        <f>IF(ISNUMBER(C246),C246,0)</f>
        <v>0.0</v>
      </c>
      <c r="AD246" s="62" t="str">
        <f>IF(OR(AA246="",AC246=0),"",YEAR(AC246))</f>
        <v/>
      </c>
      <c r="AE246" s="62" t="str">
        <f>IF(AD246="","",COUNTIFS($AB$6:AB246,AB246,$AD$6:AD246,AD246))</f>
        <v/>
      </c>
      <c r="AF246" s="62">
        <f>IF(A246="",0,COUNTIF(fl_doc,A246))</f>
        <v>0.0</v>
      </c>
      <c r="AG246" s="62" t="str">
        <f>IF(A246="","",IF(AF246&gt;0,"Facture",IF(AND(F246&lt;&gt;"",AA246="Facture",ISNUMBER(MATCH(F246,dv_num,0))),"Devis","")))</f>
        <v/>
      </c>
      <c r="AH246" s="62" t="str">
        <f>IF(AND(A246&lt;&gt;"",F246&lt;&gt;"",AA246&lt;&gt;"Avoir"),F246,"")</f>
        <v/>
      </c>
      <c r="AI246" s="62" t="str">
        <f>IF(AG246="Devis",F246,"")</f>
        <v/>
      </c>
      <c r="AJ246" s="62">
        <f>IF(AG246="Facture",SUMIF(fl_doc,A246,fl_ht),IF(AG246="Devis",SUMIF(dl_doc,F246,dl_ht),0))</f>
        <v>0.0</v>
      </c>
      <c r="AK246" s="62">
        <f>IF(OR(AG246="",INDEX(p_rates,1)=""),0,IF(AG246="Facture",SUMIFS(fl_ht,fl_doc,A246,fl_rate,INDEX(p_rates,1)),SUMIFS(dl_ht,dl_doc,F246,dl_rate,INDEX(p_rates,1))))</f>
        <v>0.0</v>
      </c>
      <c r="AL246" s="62">
        <f>IF(OR(AG246="",INDEX(p_rates,2)=""),0,IF(AG246="Facture",SUMIFS(fl_ht,fl_doc,A246,fl_rate,INDEX(p_rates,2)),SUMIFS(dl_ht,dl_doc,F246,dl_rate,INDEX(p_rates,2))))</f>
        <v>0.0</v>
      </c>
      <c r="AM246" s="62">
        <f>IF(OR(AG246="",INDEX(p_rates,3)=""),0,IF(AG246="Facture",SUMIFS(fl_ht,fl_doc,A246,fl_rate,INDEX(p_rates,3)),SUMIFS(dl_ht,dl_doc,F246,dl_rate,INDEX(p_rates,3))))</f>
        <v>0.0</v>
      </c>
      <c r="AN246" s="62">
        <f>IF(OR(AG246="",INDEX(p_rates,4)=""),0,IF(AG246="Facture",SUMIFS(fl_ht,fl_doc,A246,fl_rate,INDEX(p_rates,4)),SUMIFS(dl_ht,dl_doc,F246,dl_rate,INDEX(p_rates,4))))</f>
        <v>0.0</v>
      </c>
      <c r="AO246" s="62">
        <f>IF(OR(AG246="",INDEX(p_rates,5)=""),0,IF(AG246="Facture",SUMIFS(fl_ht,fl_doc,A246,fl_rate,INDEX(p_rates,5)),SUMIFS(dl_ht,dl_doc,F246,dl_rate,INDEX(p_rates,5))))</f>
        <v>0.0</v>
      </c>
      <c r="AP246" s="62">
        <f>IF(OR(AG246="",INDEX(p_rates,6)=""),0,IF(AG246="Facture",SUMIFS(fl_ht,fl_doc,A246,fl_rate,INDEX(p_rates,6)),SUMIFS(dl_ht,dl_doc,F246,dl_rate,INDEX(p_rates,6))))</f>
        <v>0.0</v>
      </c>
      <c r="AQ246" s="62">
        <f>ROUND(AK246*N(INDEX(p_rates,1)),2)+ROUND(AL246*N(INDEX(p_rates,2)),2)+ROUND(AM246*N(INDEX(p_rates,3)),2)+ROUND(AN246*N(INDEX(p_rates,4)),2)+ROUND(AO246*N(INDEX(p_rates,5)),2)+ROUND(AP246*N(INDEX(p_rates,6)),2)</f>
        <v>0.0</v>
      </c>
      <c r="AR246" s="62" t="str">
        <f>IF(OR(L246="",AA246&lt;&gt;"Facture"),"",IFERROR(IF(INDEX(fa_type,MATCH(L246,fa_num,0))="Facture d'acompte",MATCH(L246,fa_num,0),""),""))</f>
        <v/>
      </c>
      <c r="AS246" s="62" t="str">
        <f>IF(W246="","",IF(W246&lt;=0,"",IF(p_asof-P246&lt;=0,"Non échu",IF(p_asof-P246&lt;=30,"1-30 j",IF(p_asof-P246&lt;=60,"31-60 j",IF(p_asof-P246&lt;=90,"61-90 j","Plus de 90 j"))))))</f>
        <v/>
      </c>
      <c r="AT246" s="62" t="str">
        <f>IF(AS246="","",p_asof-P246)</f>
        <v/>
      </c>
      <c r="AU246" s="62" t="str">
        <f>IF(AT246="","",COUNTIF($AT$6:$AT$805,"&gt;"&amp;AT246)+COUNTIF($AT$6:AT246,AT246))</f>
        <v/>
      </c>
    </row>
    <row r="247">
      <c r="A247" s="59" t="str">
        <f>IF(AE247="","",AB247&amp;"-"&amp;AD247&amp;"-"&amp;RIGHT("000"&amp;AE247,4))</f>
        <v/>
      </c>
      <c r="B247" s="60" t="n"/>
      <c r="C247" s="61" t="n"/>
      <c r="D247" s="60" t="n"/>
      <c r="E247" s="62" t="str">
        <f>IF(D247="","",IFERROR(INDEX(cli_name,MATCH(D247,cli_code,0))&amp;"","Client inconnu"))</f>
        <v/>
      </c>
      <c r="F247" s="60" t="n"/>
      <c r="G247" s="63" t="n"/>
      <c r="H247" s="61" t="n"/>
      <c r="I247" s="63" t="n"/>
      <c r="J247" s="60" t="n"/>
      <c r="K247" s="61" t="n"/>
      <c r="L247" s="60" t="n"/>
      <c r="M247" s="60" t="n"/>
      <c r="N247" s="60" t="n"/>
      <c r="O247" s="61" t="n"/>
      <c r="P247" s="64" t="str">
        <f>IF(A247="","",IF(AA247="Avoir",AC247,IF(ISNUMBER(K247),K247,AC247+IF(D247="",N(p_delay),IFERROR(IF(ISNUMBER(INDEX(cli_delay,MATCH(D247,cli_code,0))),INDEX(cli_delay,MATCH(D247,cli_code,0)),N(p_delay)),N(p_delay))))))</f>
        <v/>
      </c>
      <c r="Q247" s="65" t="str">
        <f>IF(A247="","",IF(AA247="Avoir",-1,1)*ROUND(AJ247-IF(AR247="",0,INDEX(fa_htb,AR247)),2))</f>
        <v/>
      </c>
      <c r="R247" s="65" t="str">
        <f>IF(A247="","",IF(AA247="Avoir",-1,1)*ROUND(AQ247-IF(AR247="",0,INDEX(fa_tvab,AR247)),2))</f>
        <v/>
      </c>
      <c r="S247" s="65" t="str">
        <f>IF(A247="","",Q247+R247)</f>
        <v/>
      </c>
      <c r="T247" s="65" t="str">
        <f>IF(AR247="","",INDEX(fa_htb,AR247)+INDEX(fa_tvab,AR247))</f>
        <v/>
      </c>
      <c r="U247" s="65" t="str">
        <f>IF(A247="","",SUMIF(pa_inv,A247,pa_amt))</f>
        <v/>
      </c>
      <c r="V247" s="65" t="str">
        <f>IF(OR(A247="",AA247="Avoir"),"",-SUMIFS(fa_ttc,fa_avof,A247,fa_type,"Avoir"))</f>
        <v/>
      </c>
      <c r="W247" s="65" t="str">
        <f>IF(OR(A247="",AA247="Avoir"),"",ROUND(S247-U247-V247,2))</f>
        <v/>
      </c>
      <c r="X247" s="66" t="str">
        <f>IF(W247="","",IF(AND(W247&gt;0,p_asof&gt;P247),p_asof-P247,""))</f>
        <v/>
      </c>
      <c r="Y247" s="59" t="str">
        <f>IF(A247="","",IF(AA247="Avoir","Avoir",IF(W247&lt;0,"Trop-perçu",IF(W247=0,"Soldée",IF(p_asof&gt;P247,"En retard",IF(U247+V247&gt;0,"Partielle","À échoir"))))))</f>
        <v/>
      </c>
      <c r="Z247" s="59" t="str">
        <f>IF(NOT(COUNTA(B247:D247,F247:O247)&gt;0),"",IF(C247="","Date manquante",IF(NOT(ISNUMBER(C247)),"Date invalide",IF(D247="","Client manquant",IF(ISNA(MATCH(D247,cli_code,0)),"Client inconnu",IF(AC247&lt;SUMPRODUCT(MAX(($AB$6:AB246=AB247)*$AC$6:AC246)),"Date antérieure à la facture précédente",IF(AND(F247&lt;&gt;"",ISNA(MATCH(F247,dv_num,0))),"Devis inconnu",IF(AND(F247&lt;&gt;"",IFERROR(INDEX(dv_client,MATCH(F247,dv_num,0)),D247)&lt;&gt;D247),"Client différent de celui du devis",IF(AG247="","Aucune ligne : saisissez des lignes ou un devis",IF(AND(AI247&lt;&gt;"",COUNTIF($AI$6:AI247,AI247)&gt;1),"Devis déjà repris par une autre facture",IF(AND(AA247="Avoir",M247=""),"Avoir : indiquez la facture d'origine",IF(AND(AA247="Avoir",ISNA(MATCH(M247,fa_num,0))),"Facture d'origine inconnue",IF(AND(AA247&lt;&gt;"Avoir",M247&lt;&gt;""),"« Avoir sur facture » : réservé aux avoirs",IF(AND(L247&lt;&gt;"",AA247&lt;&gt;"Facture"),"Acompte à déduire : réservé aux factures",IF(AND(L247&lt;&gt;"",ISNA(MATCH(L247,fa_num,0))),"Facture d'acompte inconnue",IF(AND(L247&lt;&gt;"",IFERROR(INDEX(fa_type,MATCH(L247,fa_num,0)),"")&lt;&gt;"Facture d'acompte"),"Le n° à déduire n'est pas une facture d'acompte",IF(AND(L247&lt;&gt;"",COUNTIF($L$6:L247,L247)&gt;1),"Acompte déjà déduit sur une autre facture",IF(AND(L247&lt;&gt;"",IFERROR(INDEX(fa_client,MATCH(L247,fa_num,0)),D247)&lt;&gt;D247),"Acompte d'un autre client",IF(AND(AR247&lt;&gt;"",N(Q247)&lt;0),"Acompte supérieur au total de la facture",IF(IF(AG247="Facture",COUNTIFS(fl_doc,A247,fl_check,"&lt;&gt;OK"),IF(AG247="Devis",COUNTIFS(dl_doc,F247,dl_check,"&lt;&gt;OK"),0))&gt;0,"Ligne(s) à corriger",IF(AND(W247&lt;&gt;"",N(W247)&lt;0),"Trop-perçu : vérifiez paiements et avoirs","OK")))))))))))))))))))))</f>
        <v/>
      </c>
      <c r="AA247" s="62" t="str">
        <f>IF(COUNTA(B247:D247,F247:O247)&gt;0,IF(B247="","Facture",B247),"")</f>
        <v/>
      </c>
      <c r="AB247" s="62" t="str">
        <f>IF(AA247="","",IF(AA247="Avoir",p_pav,IF(AA247="Facture d'acompte",p_pac,p_pfa)))</f>
        <v/>
      </c>
      <c r="AC247" s="62">
        <f>IF(ISNUMBER(C247),C247,0)</f>
        <v>0.0</v>
      </c>
      <c r="AD247" s="62" t="str">
        <f>IF(OR(AA247="",AC247=0),"",YEAR(AC247))</f>
        <v/>
      </c>
      <c r="AE247" s="62" t="str">
        <f>IF(AD247="","",COUNTIFS($AB$6:AB247,AB247,$AD$6:AD247,AD247))</f>
        <v/>
      </c>
      <c r="AF247" s="62">
        <f>IF(A247="",0,COUNTIF(fl_doc,A247))</f>
        <v>0.0</v>
      </c>
      <c r="AG247" s="62" t="str">
        <f>IF(A247="","",IF(AF247&gt;0,"Facture",IF(AND(F247&lt;&gt;"",AA247="Facture",ISNUMBER(MATCH(F247,dv_num,0))),"Devis","")))</f>
        <v/>
      </c>
      <c r="AH247" s="62" t="str">
        <f>IF(AND(A247&lt;&gt;"",F247&lt;&gt;"",AA247&lt;&gt;"Avoir"),F247,"")</f>
        <v/>
      </c>
      <c r="AI247" s="62" t="str">
        <f>IF(AG247="Devis",F247,"")</f>
        <v/>
      </c>
      <c r="AJ247" s="62">
        <f>IF(AG247="Facture",SUMIF(fl_doc,A247,fl_ht),IF(AG247="Devis",SUMIF(dl_doc,F247,dl_ht),0))</f>
        <v>0.0</v>
      </c>
      <c r="AK247" s="62">
        <f>IF(OR(AG247="",INDEX(p_rates,1)=""),0,IF(AG247="Facture",SUMIFS(fl_ht,fl_doc,A247,fl_rate,INDEX(p_rates,1)),SUMIFS(dl_ht,dl_doc,F247,dl_rate,INDEX(p_rates,1))))</f>
        <v>0.0</v>
      </c>
      <c r="AL247" s="62">
        <f>IF(OR(AG247="",INDEX(p_rates,2)=""),0,IF(AG247="Facture",SUMIFS(fl_ht,fl_doc,A247,fl_rate,INDEX(p_rates,2)),SUMIFS(dl_ht,dl_doc,F247,dl_rate,INDEX(p_rates,2))))</f>
        <v>0.0</v>
      </c>
      <c r="AM247" s="62">
        <f>IF(OR(AG247="",INDEX(p_rates,3)=""),0,IF(AG247="Facture",SUMIFS(fl_ht,fl_doc,A247,fl_rate,INDEX(p_rates,3)),SUMIFS(dl_ht,dl_doc,F247,dl_rate,INDEX(p_rates,3))))</f>
        <v>0.0</v>
      </c>
      <c r="AN247" s="62">
        <f>IF(OR(AG247="",INDEX(p_rates,4)=""),0,IF(AG247="Facture",SUMIFS(fl_ht,fl_doc,A247,fl_rate,INDEX(p_rates,4)),SUMIFS(dl_ht,dl_doc,F247,dl_rate,INDEX(p_rates,4))))</f>
        <v>0.0</v>
      </c>
      <c r="AO247" s="62">
        <f>IF(OR(AG247="",INDEX(p_rates,5)=""),0,IF(AG247="Facture",SUMIFS(fl_ht,fl_doc,A247,fl_rate,INDEX(p_rates,5)),SUMIFS(dl_ht,dl_doc,F247,dl_rate,INDEX(p_rates,5))))</f>
        <v>0.0</v>
      </c>
      <c r="AP247" s="62">
        <f>IF(OR(AG247="",INDEX(p_rates,6)=""),0,IF(AG247="Facture",SUMIFS(fl_ht,fl_doc,A247,fl_rate,INDEX(p_rates,6)),SUMIFS(dl_ht,dl_doc,F247,dl_rate,INDEX(p_rates,6))))</f>
        <v>0.0</v>
      </c>
      <c r="AQ247" s="62">
        <f>ROUND(AK247*N(INDEX(p_rates,1)),2)+ROUND(AL247*N(INDEX(p_rates,2)),2)+ROUND(AM247*N(INDEX(p_rates,3)),2)+ROUND(AN247*N(INDEX(p_rates,4)),2)+ROUND(AO247*N(INDEX(p_rates,5)),2)+ROUND(AP247*N(INDEX(p_rates,6)),2)</f>
        <v>0.0</v>
      </c>
      <c r="AR247" s="62" t="str">
        <f>IF(OR(L247="",AA247&lt;&gt;"Facture"),"",IFERROR(IF(INDEX(fa_type,MATCH(L247,fa_num,0))="Facture d'acompte",MATCH(L247,fa_num,0),""),""))</f>
        <v/>
      </c>
      <c r="AS247" s="62" t="str">
        <f>IF(W247="","",IF(W247&lt;=0,"",IF(p_asof-P247&lt;=0,"Non échu",IF(p_asof-P247&lt;=30,"1-30 j",IF(p_asof-P247&lt;=60,"31-60 j",IF(p_asof-P247&lt;=90,"61-90 j","Plus de 90 j"))))))</f>
        <v/>
      </c>
      <c r="AT247" s="62" t="str">
        <f>IF(AS247="","",p_asof-P247)</f>
        <v/>
      </c>
      <c r="AU247" s="62" t="str">
        <f>IF(AT247="","",COUNTIF($AT$6:$AT$805,"&gt;"&amp;AT247)+COUNTIF($AT$6:AT247,AT247))</f>
        <v/>
      </c>
    </row>
    <row r="248">
      <c r="A248" s="59" t="str">
        <f>IF(AE248="","",AB248&amp;"-"&amp;AD248&amp;"-"&amp;RIGHT("000"&amp;AE248,4))</f>
        <v/>
      </c>
      <c r="B248" s="60" t="n"/>
      <c r="C248" s="61" t="n"/>
      <c r="D248" s="60" t="n"/>
      <c r="E248" s="62" t="str">
        <f>IF(D248="","",IFERROR(INDEX(cli_name,MATCH(D248,cli_code,0))&amp;"","Client inconnu"))</f>
        <v/>
      </c>
      <c r="F248" s="60" t="n"/>
      <c r="G248" s="63" t="n"/>
      <c r="H248" s="61" t="n"/>
      <c r="I248" s="63" t="n"/>
      <c r="J248" s="60" t="n"/>
      <c r="K248" s="61" t="n"/>
      <c r="L248" s="60" t="n"/>
      <c r="M248" s="60" t="n"/>
      <c r="N248" s="60" t="n"/>
      <c r="O248" s="61" t="n"/>
      <c r="P248" s="64" t="str">
        <f>IF(A248="","",IF(AA248="Avoir",AC248,IF(ISNUMBER(K248),K248,AC248+IF(D248="",N(p_delay),IFERROR(IF(ISNUMBER(INDEX(cli_delay,MATCH(D248,cli_code,0))),INDEX(cli_delay,MATCH(D248,cli_code,0)),N(p_delay)),N(p_delay))))))</f>
        <v/>
      </c>
      <c r="Q248" s="65" t="str">
        <f>IF(A248="","",IF(AA248="Avoir",-1,1)*ROUND(AJ248-IF(AR248="",0,INDEX(fa_htb,AR248)),2))</f>
        <v/>
      </c>
      <c r="R248" s="65" t="str">
        <f>IF(A248="","",IF(AA248="Avoir",-1,1)*ROUND(AQ248-IF(AR248="",0,INDEX(fa_tvab,AR248)),2))</f>
        <v/>
      </c>
      <c r="S248" s="65" t="str">
        <f>IF(A248="","",Q248+R248)</f>
        <v/>
      </c>
      <c r="T248" s="65" t="str">
        <f>IF(AR248="","",INDEX(fa_htb,AR248)+INDEX(fa_tvab,AR248))</f>
        <v/>
      </c>
      <c r="U248" s="65" t="str">
        <f>IF(A248="","",SUMIF(pa_inv,A248,pa_amt))</f>
        <v/>
      </c>
      <c r="V248" s="65" t="str">
        <f>IF(OR(A248="",AA248="Avoir"),"",-SUMIFS(fa_ttc,fa_avof,A248,fa_type,"Avoir"))</f>
        <v/>
      </c>
      <c r="W248" s="65" t="str">
        <f>IF(OR(A248="",AA248="Avoir"),"",ROUND(S248-U248-V248,2))</f>
        <v/>
      </c>
      <c r="X248" s="66" t="str">
        <f>IF(W248="","",IF(AND(W248&gt;0,p_asof&gt;P248),p_asof-P248,""))</f>
        <v/>
      </c>
      <c r="Y248" s="59" t="str">
        <f>IF(A248="","",IF(AA248="Avoir","Avoir",IF(W248&lt;0,"Trop-perçu",IF(W248=0,"Soldée",IF(p_asof&gt;P248,"En retard",IF(U248+V248&gt;0,"Partielle","À échoir"))))))</f>
        <v/>
      </c>
      <c r="Z248" s="59" t="str">
        <f>IF(NOT(COUNTA(B248:D248,F248:O248)&gt;0),"",IF(C248="","Date manquante",IF(NOT(ISNUMBER(C248)),"Date invalide",IF(D248="","Client manquant",IF(ISNA(MATCH(D248,cli_code,0)),"Client inconnu",IF(AC248&lt;SUMPRODUCT(MAX(($AB$6:AB247=AB248)*$AC$6:AC247)),"Date antérieure à la facture précédente",IF(AND(F248&lt;&gt;"",ISNA(MATCH(F248,dv_num,0))),"Devis inconnu",IF(AND(F248&lt;&gt;"",IFERROR(INDEX(dv_client,MATCH(F248,dv_num,0)),D248)&lt;&gt;D248),"Client différent de celui du devis",IF(AG248="","Aucune ligne : saisissez des lignes ou un devis",IF(AND(AI248&lt;&gt;"",COUNTIF($AI$6:AI248,AI248)&gt;1),"Devis déjà repris par une autre facture",IF(AND(AA248="Avoir",M248=""),"Avoir : indiquez la facture d'origine",IF(AND(AA248="Avoir",ISNA(MATCH(M248,fa_num,0))),"Facture d'origine inconnue",IF(AND(AA248&lt;&gt;"Avoir",M248&lt;&gt;""),"« Avoir sur facture » : réservé aux avoirs",IF(AND(L248&lt;&gt;"",AA248&lt;&gt;"Facture"),"Acompte à déduire : réservé aux factures",IF(AND(L248&lt;&gt;"",ISNA(MATCH(L248,fa_num,0))),"Facture d'acompte inconnue",IF(AND(L248&lt;&gt;"",IFERROR(INDEX(fa_type,MATCH(L248,fa_num,0)),"")&lt;&gt;"Facture d'acompte"),"Le n° à déduire n'est pas une facture d'acompte",IF(AND(L248&lt;&gt;"",COUNTIF($L$6:L248,L248)&gt;1),"Acompte déjà déduit sur une autre facture",IF(AND(L248&lt;&gt;"",IFERROR(INDEX(fa_client,MATCH(L248,fa_num,0)),D248)&lt;&gt;D248),"Acompte d'un autre client",IF(AND(AR248&lt;&gt;"",N(Q248)&lt;0),"Acompte supérieur au total de la facture",IF(IF(AG248="Facture",COUNTIFS(fl_doc,A248,fl_check,"&lt;&gt;OK"),IF(AG248="Devis",COUNTIFS(dl_doc,F248,dl_check,"&lt;&gt;OK"),0))&gt;0,"Ligne(s) à corriger",IF(AND(W248&lt;&gt;"",N(W248)&lt;0),"Trop-perçu : vérifiez paiements et avoirs","OK")))))))))))))))))))))</f>
        <v/>
      </c>
      <c r="AA248" s="62" t="str">
        <f>IF(COUNTA(B248:D248,F248:O248)&gt;0,IF(B248="","Facture",B248),"")</f>
        <v/>
      </c>
      <c r="AB248" s="62" t="str">
        <f>IF(AA248="","",IF(AA248="Avoir",p_pav,IF(AA248="Facture d'acompte",p_pac,p_pfa)))</f>
        <v/>
      </c>
      <c r="AC248" s="62">
        <f>IF(ISNUMBER(C248),C248,0)</f>
        <v>0.0</v>
      </c>
      <c r="AD248" s="62" t="str">
        <f>IF(OR(AA248="",AC248=0),"",YEAR(AC248))</f>
        <v/>
      </c>
      <c r="AE248" s="62" t="str">
        <f>IF(AD248="","",COUNTIFS($AB$6:AB248,AB248,$AD$6:AD248,AD248))</f>
        <v/>
      </c>
      <c r="AF248" s="62">
        <f>IF(A248="",0,COUNTIF(fl_doc,A248))</f>
        <v>0.0</v>
      </c>
      <c r="AG248" s="62" t="str">
        <f>IF(A248="","",IF(AF248&gt;0,"Facture",IF(AND(F248&lt;&gt;"",AA248="Facture",ISNUMBER(MATCH(F248,dv_num,0))),"Devis","")))</f>
        <v/>
      </c>
      <c r="AH248" s="62" t="str">
        <f>IF(AND(A248&lt;&gt;"",F248&lt;&gt;"",AA248&lt;&gt;"Avoir"),F248,"")</f>
        <v/>
      </c>
      <c r="AI248" s="62" t="str">
        <f>IF(AG248="Devis",F248,"")</f>
        <v/>
      </c>
      <c r="AJ248" s="62">
        <f>IF(AG248="Facture",SUMIF(fl_doc,A248,fl_ht),IF(AG248="Devis",SUMIF(dl_doc,F248,dl_ht),0))</f>
        <v>0.0</v>
      </c>
      <c r="AK248" s="62">
        <f>IF(OR(AG248="",INDEX(p_rates,1)=""),0,IF(AG248="Facture",SUMIFS(fl_ht,fl_doc,A248,fl_rate,INDEX(p_rates,1)),SUMIFS(dl_ht,dl_doc,F248,dl_rate,INDEX(p_rates,1))))</f>
        <v>0.0</v>
      </c>
      <c r="AL248" s="62">
        <f>IF(OR(AG248="",INDEX(p_rates,2)=""),0,IF(AG248="Facture",SUMIFS(fl_ht,fl_doc,A248,fl_rate,INDEX(p_rates,2)),SUMIFS(dl_ht,dl_doc,F248,dl_rate,INDEX(p_rates,2))))</f>
        <v>0.0</v>
      </c>
      <c r="AM248" s="62">
        <f>IF(OR(AG248="",INDEX(p_rates,3)=""),0,IF(AG248="Facture",SUMIFS(fl_ht,fl_doc,A248,fl_rate,INDEX(p_rates,3)),SUMIFS(dl_ht,dl_doc,F248,dl_rate,INDEX(p_rates,3))))</f>
        <v>0.0</v>
      </c>
      <c r="AN248" s="62">
        <f>IF(OR(AG248="",INDEX(p_rates,4)=""),0,IF(AG248="Facture",SUMIFS(fl_ht,fl_doc,A248,fl_rate,INDEX(p_rates,4)),SUMIFS(dl_ht,dl_doc,F248,dl_rate,INDEX(p_rates,4))))</f>
        <v>0.0</v>
      </c>
      <c r="AO248" s="62">
        <f>IF(OR(AG248="",INDEX(p_rates,5)=""),0,IF(AG248="Facture",SUMIFS(fl_ht,fl_doc,A248,fl_rate,INDEX(p_rates,5)),SUMIFS(dl_ht,dl_doc,F248,dl_rate,INDEX(p_rates,5))))</f>
        <v>0.0</v>
      </c>
      <c r="AP248" s="62">
        <f>IF(OR(AG248="",INDEX(p_rates,6)=""),0,IF(AG248="Facture",SUMIFS(fl_ht,fl_doc,A248,fl_rate,INDEX(p_rates,6)),SUMIFS(dl_ht,dl_doc,F248,dl_rate,INDEX(p_rates,6))))</f>
        <v>0.0</v>
      </c>
      <c r="AQ248" s="62">
        <f>ROUND(AK248*N(INDEX(p_rates,1)),2)+ROUND(AL248*N(INDEX(p_rates,2)),2)+ROUND(AM248*N(INDEX(p_rates,3)),2)+ROUND(AN248*N(INDEX(p_rates,4)),2)+ROUND(AO248*N(INDEX(p_rates,5)),2)+ROUND(AP248*N(INDEX(p_rates,6)),2)</f>
        <v>0.0</v>
      </c>
      <c r="AR248" s="62" t="str">
        <f>IF(OR(L248="",AA248&lt;&gt;"Facture"),"",IFERROR(IF(INDEX(fa_type,MATCH(L248,fa_num,0))="Facture d'acompte",MATCH(L248,fa_num,0),""),""))</f>
        <v/>
      </c>
      <c r="AS248" s="62" t="str">
        <f>IF(W248="","",IF(W248&lt;=0,"",IF(p_asof-P248&lt;=0,"Non échu",IF(p_asof-P248&lt;=30,"1-30 j",IF(p_asof-P248&lt;=60,"31-60 j",IF(p_asof-P248&lt;=90,"61-90 j","Plus de 90 j"))))))</f>
        <v/>
      </c>
      <c r="AT248" s="62" t="str">
        <f>IF(AS248="","",p_asof-P248)</f>
        <v/>
      </c>
      <c r="AU248" s="62" t="str">
        <f>IF(AT248="","",COUNTIF($AT$6:$AT$805,"&gt;"&amp;AT248)+COUNTIF($AT$6:AT248,AT248))</f>
        <v/>
      </c>
    </row>
    <row r="249">
      <c r="A249" s="59" t="str">
        <f>IF(AE249="","",AB249&amp;"-"&amp;AD249&amp;"-"&amp;RIGHT("000"&amp;AE249,4))</f>
        <v/>
      </c>
      <c r="B249" s="60" t="n"/>
      <c r="C249" s="61" t="n"/>
      <c r="D249" s="60" t="n"/>
      <c r="E249" s="62" t="str">
        <f>IF(D249="","",IFERROR(INDEX(cli_name,MATCH(D249,cli_code,0))&amp;"","Client inconnu"))</f>
        <v/>
      </c>
      <c r="F249" s="60" t="n"/>
      <c r="G249" s="63" t="n"/>
      <c r="H249" s="61" t="n"/>
      <c r="I249" s="63" t="n"/>
      <c r="J249" s="60" t="n"/>
      <c r="K249" s="61" t="n"/>
      <c r="L249" s="60" t="n"/>
      <c r="M249" s="60" t="n"/>
      <c r="N249" s="60" t="n"/>
      <c r="O249" s="61" t="n"/>
      <c r="P249" s="64" t="str">
        <f>IF(A249="","",IF(AA249="Avoir",AC249,IF(ISNUMBER(K249),K249,AC249+IF(D249="",N(p_delay),IFERROR(IF(ISNUMBER(INDEX(cli_delay,MATCH(D249,cli_code,0))),INDEX(cli_delay,MATCH(D249,cli_code,0)),N(p_delay)),N(p_delay))))))</f>
        <v/>
      </c>
      <c r="Q249" s="65" t="str">
        <f>IF(A249="","",IF(AA249="Avoir",-1,1)*ROUND(AJ249-IF(AR249="",0,INDEX(fa_htb,AR249)),2))</f>
        <v/>
      </c>
      <c r="R249" s="65" t="str">
        <f>IF(A249="","",IF(AA249="Avoir",-1,1)*ROUND(AQ249-IF(AR249="",0,INDEX(fa_tvab,AR249)),2))</f>
        <v/>
      </c>
      <c r="S249" s="65" t="str">
        <f>IF(A249="","",Q249+R249)</f>
        <v/>
      </c>
      <c r="T249" s="65" t="str">
        <f>IF(AR249="","",INDEX(fa_htb,AR249)+INDEX(fa_tvab,AR249))</f>
        <v/>
      </c>
      <c r="U249" s="65" t="str">
        <f>IF(A249="","",SUMIF(pa_inv,A249,pa_amt))</f>
        <v/>
      </c>
      <c r="V249" s="65" t="str">
        <f>IF(OR(A249="",AA249="Avoir"),"",-SUMIFS(fa_ttc,fa_avof,A249,fa_type,"Avoir"))</f>
        <v/>
      </c>
      <c r="W249" s="65" t="str">
        <f>IF(OR(A249="",AA249="Avoir"),"",ROUND(S249-U249-V249,2))</f>
        <v/>
      </c>
      <c r="X249" s="66" t="str">
        <f>IF(W249="","",IF(AND(W249&gt;0,p_asof&gt;P249),p_asof-P249,""))</f>
        <v/>
      </c>
      <c r="Y249" s="59" t="str">
        <f>IF(A249="","",IF(AA249="Avoir","Avoir",IF(W249&lt;0,"Trop-perçu",IF(W249=0,"Soldée",IF(p_asof&gt;P249,"En retard",IF(U249+V249&gt;0,"Partielle","À échoir"))))))</f>
        <v/>
      </c>
      <c r="Z249" s="59" t="str">
        <f>IF(NOT(COUNTA(B249:D249,F249:O249)&gt;0),"",IF(C249="","Date manquante",IF(NOT(ISNUMBER(C249)),"Date invalide",IF(D249="","Client manquant",IF(ISNA(MATCH(D249,cli_code,0)),"Client inconnu",IF(AC249&lt;SUMPRODUCT(MAX(($AB$6:AB248=AB249)*$AC$6:AC248)),"Date antérieure à la facture précédente",IF(AND(F249&lt;&gt;"",ISNA(MATCH(F249,dv_num,0))),"Devis inconnu",IF(AND(F249&lt;&gt;"",IFERROR(INDEX(dv_client,MATCH(F249,dv_num,0)),D249)&lt;&gt;D249),"Client différent de celui du devis",IF(AG249="","Aucune ligne : saisissez des lignes ou un devis",IF(AND(AI249&lt;&gt;"",COUNTIF($AI$6:AI249,AI249)&gt;1),"Devis déjà repris par une autre facture",IF(AND(AA249="Avoir",M249=""),"Avoir : indiquez la facture d'origine",IF(AND(AA249="Avoir",ISNA(MATCH(M249,fa_num,0))),"Facture d'origine inconnue",IF(AND(AA249&lt;&gt;"Avoir",M249&lt;&gt;""),"« Avoir sur facture » : réservé aux avoirs",IF(AND(L249&lt;&gt;"",AA249&lt;&gt;"Facture"),"Acompte à déduire : réservé aux factures",IF(AND(L249&lt;&gt;"",ISNA(MATCH(L249,fa_num,0))),"Facture d'acompte inconnue",IF(AND(L249&lt;&gt;"",IFERROR(INDEX(fa_type,MATCH(L249,fa_num,0)),"")&lt;&gt;"Facture d'acompte"),"Le n° à déduire n'est pas une facture d'acompte",IF(AND(L249&lt;&gt;"",COUNTIF($L$6:L249,L249)&gt;1),"Acompte déjà déduit sur une autre facture",IF(AND(L249&lt;&gt;"",IFERROR(INDEX(fa_client,MATCH(L249,fa_num,0)),D249)&lt;&gt;D249),"Acompte d'un autre client",IF(AND(AR249&lt;&gt;"",N(Q249)&lt;0),"Acompte supérieur au total de la facture",IF(IF(AG249="Facture",COUNTIFS(fl_doc,A249,fl_check,"&lt;&gt;OK"),IF(AG249="Devis",COUNTIFS(dl_doc,F249,dl_check,"&lt;&gt;OK"),0))&gt;0,"Ligne(s) à corriger",IF(AND(W249&lt;&gt;"",N(W249)&lt;0),"Trop-perçu : vérifiez paiements et avoirs","OK")))))))))))))))))))))</f>
        <v/>
      </c>
      <c r="AA249" s="62" t="str">
        <f>IF(COUNTA(B249:D249,F249:O249)&gt;0,IF(B249="","Facture",B249),"")</f>
        <v/>
      </c>
      <c r="AB249" s="62" t="str">
        <f>IF(AA249="","",IF(AA249="Avoir",p_pav,IF(AA249="Facture d'acompte",p_pac,p_pfa)))</f>
        <v/>
      </c>
      <c r="AC249" s="62">
        <f>IF(ISNUMBER(C249),C249,0)</f>
        <v>0.0</v>
      </c>
      <c r="AD249" s="62" t="str">
        <f>IF(OR(AA249="",AC249=0),"",YEAR(AC249))</f>
        <v/>
      </c>
      <c r="AE249" s="62" t="str">
        <f>IF(AD249="","",COUNTIFS($AB$6:AB249,AB249,$AD$6:AD249,AD249))</f>
        <v/>
      </c>
      <c r="AF249" s="62">
        <f>IF(A249="",0,COUNTIF(fl_doc,A249))</f>
        <v>0.0</v>
      </c>
      <c r="AG249" s="62" t="str">
        <f>IF(A249="","",IF(AF249&gt;0,"Facture",IF(AND(F249&lt;&gt;"",AA249="Facture",ISNUMBER(MATCH(F249,dv_num,0))),"Devis","")))</f>
        <v/>
      </c>
      <c r="AH249" s="62" t="str">
        <f>IF(AND(A249&lt;&gt;"",F249&lt;&gt;"",AA249&lt;&gt;"Avoir"),F249,"")</f>
        <v/>
      </c>
      <c r="AI249" s="62" t="str">
        <f>IF(AG249="Devis",F249,"")</f>
        <v/>
      </c>
      <c r="AJ249" s="62">
        <f>IF(AG249="Facture",SUMIF(fl_doc,A249,fl_ht),IF(AG249="Devis",SUMIF(dl_doc,F249,dl_ht),0))</f>
        <v>0.0</v>
      </c>
      <c r="AK249" s="62">
        <f>IF(OR(AG249="",INDEX(p_rates,1)=""),0,IF(AG249="Facture",SUMIFS(fl_ht,fl_doc,A249,fl_rate,INDEX(p_rates,1)),SUMIFS(dl_ht,dl_doc,F249,dl_rate,INDEX(p_rates,1))))</f>
        <v>0.0</v>
      </c>
      <c r="AL249" s="62">
        <f>IF(OR(AG249="",INDEX(p_rates,2)=""),0,IF(AG249="Facture",SUMIFS(fl_ht,fl_doc,A249,fl_rate,INDEX(p_rates,2)),SUMIFS(dl_ht,dl_doc,F249,dl_rate,INDEX(p_rates,2))))</f>
        <v>0.0</v>
      </c>
      <c r="AM249" s="62">
        <f>IF(OR(AG249="",INDEX(p_rates,3)=""),0,IF(AG249="Facture",SUMIFS(fl_ht,fl_doc,A249,fl_rate,INDEX(p_rates,3)),SUMIFS(dl_ht,dl_doc,F249,dl_rate,INDEX(p_rates,3))))</f>
        <v>0.0</v>
      </c>
      <c r="AN249" s="62">
        <f>IF(OR(AG249="",INDEX(p_rates,4)=""),0,IF(AG249="Facture",SUMIFS(fl_ht,fl_doc,A249,fl_rate,INDEX(p_rates,4)),SUMIFS(dl_ht,dl_doc,F249,dl_rate,INDEX(p_rates,4))))</f>
        <v>0.0</v>
      </c>
      <c r="AO249" s="62">
        <f>IF(OR(AG249="",INDEX(p_rates,5)=""),0,IF(AG249="Facture",SUMIFS(fl_ht,fl_doc,A249,fl_rate,INDEX(p_rates,5)),SUMIFS(dl_ht,dl_doc,F249,dl_rate,INDEX(p_rates,5))))</f>
        <v>0.0</v>
      </c>
      <c r="AP249" s="62">
        <f>IF(OR(AG249="",INDEX(p_rates,6)=""),0,IF(AG249="Facture",SUMIFS(fl_ht,fl_doc,A249,fl_rate,INDEX(p_rates,6)),SUMIFS(dl_ht,dl_doc,F249,dl_rate,INDEX(p_rates,6))))</f>
        <v>0.0</v>
      </c>
      <c r="AQ249" s="62">
        <f>ROUND(AK249*N(INDEX(p_rates,1)),2)+ROUND(AL249*N(INDEX(p_rates,2)),2)+ROUND(AM249*N(INDEX(p_rates,3)),2)+ROUND(AN249*N(INDEX(p_rates,4)),2)+ROUND(AO249*N(INDEX(p_rates,5)),2)+ROUND(AP249*N(INDEX(p_rates,6)),2)</f>
        <v>0.0</v>
      </c>
      <c r="AR249" s="62" t="str">
        <f>IF(OR(L249="",AA249&lt;&gt;"Facture"),"",IFERROR(IF(INDEX(fa_type,MATCH(L249,fa_num,0))="Facture d'acompte",MATCH(L249,fa_num,0),""),""))</f>
        <v/>
      </c>
      <c r="AS249" s="62" t="str">
        <f>IF(W249="","",IF(W249&lt;=0,"",IF(p_asof-P249&lt;=0,"Non échu",IF(p_asof-P249&lt;=30,"1-30 j",IF(p_asof-P249&lt;=60,"31-60 j",IF(p_asof-P249&lt;=90,"61-90 j","Plus de 90 j"))))))</f>
        <v/>
      </c>
      <c r="AT249" s="62" t="str">
        <f>IF(AS249="","",p_asof-P249)</f>
        <v/>
      </c>
      <c r="AU249" s="62" t="str">
        <f>IF(AT249="","",COUNTIF($AT$6:$AT$805,"&gt;"&amp;AT249)+COUNTIF($AT$6:AT249,AT249))</f>
        <v/>
      </c>
    </row>
    <row r="250">
      <c r="A250" s="59" t="str">
        <f>IF(AE250="","",AB250&amp;"-"&amp;AD250&amp;"-"&amp;RIGHT("000"&amp;AE250,4))</f>
        <v/>
      </c>
      <c r="B250" s="60" t="n"/>
      <c r="C250" s="61" t="n"/>
      <c r="D250" s="60" t="n"/>
      <c r="E250" s="62" t="str">
        <f>IF(D250="","",IFERROR(INDEX(cli_name,MATCH(D250,cli_code,0))&amp;"","Client inconnu"))</f>
        <v/>
      </c>
      <c r="F250" s="60" t="n"/>
      <c r="G250" s="63" t="n"/>
      <c r="H250" s="61" t="n"/>
      <c r="I250" s="63" t="n"/>
      <c r="J250" s="60" t="n"/>
      <c r="K250" s="61" t="n"/>
      <c r="L250" s="60" t="n"/>
      <c r="M250" s="60" t="n"/>
      <c r="N250" s="60" t="n"/>
      <c r="O250" s="61" t="n"/>
      <c r="P250" s="64" t="str">
        <f>IF(A250="","",IF(AA250="Avoir",AC250,IF(ISNUMBER(K250),K250,AC250+IF(D250="",N(p_delay),IFERROR(IF(ISNUMBER(INDEX(cli_delay,MATCH(D250,cli_code,0))),INDEX(cli_delay,MATCH(D250,cli_code,0)),N(p_delay)),N(p_delay))))))</f>
        <v/>
      </c>
      <c r="Q250" s="65" t="str">
        <f>IF(A250="","",IF(AA250="Avoir",-1,1)*ROUND(AJ250-IF(AR250="",0,INDEX(fa_htb,AR250)),2))</f>
        <v/>
      </c>
      <c r="R250" s="65" t="str">
        <f>IF(A250="","",IF(AA250="Avoir",-1,1)*ROUND(AQ250-IF(AR250="",0,INDEX(fa_tvab,AR250)),2))</f>
        <v/>
      </c>
      <c r="S250" s="65" t="str">
        <f>IF(A250="","",Q250+R250)</f>
        <v/>
      </c>
      <c r="T250" s="65" t="str">
        <f>IF(AR250="","",INDEX(fa_htb,AR250)+INDEX(fa_tvab,AR250))</f>
        <v/>
      </c>
      <c r="U250" s="65" t="str">
        <f>IF(A250="","",SUMIF(pa_inv,A250,pa_amt))</f>
        <v/>
      </c>
      <c r="V250" s="65" t="str">
        <f>IF(OR(A250="",AA250="Avoir"),"",-SUMIFS(fa_ttc,fa_avof,A250,fa_type,"Avoir"))</f>
        <v/>
      </c>
      <c r="W250" s="65" t="str">
        <f>IF(OR(A250="",AA250="Avoir"),"",ROUND(S250-U250-V250,2))</f>
        <v/>
      </c>
      <c r="X250" s="66" t="str">
        <f>IF(W250="","",IF(AND(W250&gt;0,p_asof&gt;P250),p_asof-P250,""))</f>
        <v/>
      </c>
      <c r="Y250" s="59" t="str">
        <f>IF(A250="","",IF(AA250="Avoir","Avoir",IF(W250&lt;0,"Trop-perçu",IF(W250=0,"Soldée",IF(p_asof&gt;P250,"En retard",IF(U250+V250&gt;0,"Partielle","À échoir"))))))</f>
        <v/>
      </c>
      <c r="Z250" s="59" t="str">
        <f>IF(NOT(COUNTA(B250:D250,F250:O250)&gt;0),"",IF(C250="","Date manquante",IF(NOT(ISNUMBER(C250)),"Date invalide",IF(D250="","Client manquant",IF(ISNA(MATCH(D250,cli_code,0)),"Client inconnu",IF(AC250&lt;SUMPRODUCT(MAX(($AB$6:AB249=AB250)*$AC$6:AC249)),"Date antérieure à la facture précédente",IF(AND(F250&lt;&gt;"",ISNA(MATCH(F250,dv_num,0))),"Devis inconnu",IF(AND(F250&lt;&gt;"",IFERROR(INDEX(dv_client,MATCH(F250,dv_num,0)),D250)&lt;&gt;D250),"Client différent de celui du devis",IF(AG250="","Aucune ligne : saisissez des lignes ou un devis",IF(AND(AI250&lt;&gt;"",COUNTIF($AI$6:AI250,AI250)&gt;1),"Devis déjà repris par une autre facture",IF(AND(AA250="Avoir",M250=""),"Avoir : indiquez la facture d'origine",IF(AND(AA250="Avoir",ISNA(MATCH(M250,fa_num,0))),"Facture d'origine inconnue",IF(AND(AA250&lt;&gt;"Avoir",M250&lt;&gt;""),"« Avoir sur facture » : réservé aux avoirs",IF(AND(L250&lt;&gt;"",AA250&lt;&gt;"Facture"),"Acompte à déduire : réservé aux factures",IF(AND(L250&lt;&gt;"",ISNA(MATCH(L250,fa_num,0))),"Facture d'acompte inconnue",IF(AND(L250&lt;&gt;"",IFERROR(INDEX(fa_type,MATCH(L250,fa_num,0)),"")&lt;&gt;"Facture d'acompte"),"Le n° à déduire n'est pas une facture d'acompte",IF(AND(L250&lt;&gt;"",COUNTIF($L$6:L250,L250)&gt;1),"Acompte déjà déduit sur une autre facture",IF(AND(L250&lt;&gt;"",IFERROR(INDEX(fa_client,MATCH(L250,fa_num,0)),D250)&lt;&gt;D250),"Acompte d'un autre client",IF(AND(AR250&lt;&gt;"",N(Q250)&lt;0),"Acompte supérieur au total de la facture",IF(IF(AG250="Facture",COUNTIFS(fl_doc,A250,fl_check,"&lt;&gt;OK"),IF(AG250="Devis",COUNTIFS(dl_doc,F250,dl_check,"&lt;&gt;OK"),0))&gt;0,"Ligne(s) à corriger",IF(AND(W250&lt;&gt;"",N(W250)&lt;0),"Trop-perçu : vérifiez paiements et avoirs","OK")))))))))))))))))))))</f>
        <v/>
      </c>
      <c r="AA250" s="62" t="str">
        <f>IF(COUNTA(B250:D250,F250:O250)&gt;0,IF(B250="","Facture",B250),"")</f>
        <v/>
      </c>
      <c r="AB250" s="62" t="str">
        <f>IF(AA250="","",IF(AA250="Avoir",p_pav,IF(AA250="Facture d'acompte",p_pac,p_pfa)))</f>
        <v/>
      </c>
      <c r="AC250" s="62">
        <f>IF(ISNUMBER(C250),C250,0)</f>
        <v>0.0</v>
      </c>
      <c r="AD250" s="62" t="str">
        <f>IF(OR(AA250="",AC250=0),"",YEAR(AC250))</f>
        <v/>
      </c>
      <c r="AE250" s="62" t="str">
        <f>IF(AD250="","",COUNTIFS($AB$6:AB250,AB250,$AD$6:AD250,AD250))</f>
        <v/>
      </c>
      <c r="AF250" s="62">
        <f>IF(A250="",0,COUNTIF(fl_doc,A250))</f>
        <v>0.0</v>
      </c>
      <c r="AG250" s="62" t="str">
        <f>IF(A250="","",IF(AF250&gt;0,"Facture",IF(AND(F250&lt;&gt;"",AA250="Facture",ISNUMBER(MATCH(F250,dv_num,0))),"Devis","")))</f>
        <v/>
      </c>
      <c r="AH250" s="62" t="str">
        <f>IF(AND(A250&lt;&gt;"",F250&lt;&gt;"",AA250&lt;&gt;"Avoir"),F250,"")</f>
        <v/>
      </c>
      <c r="AI250" s="62" t="str">
        <f>IF(AG250="Devis",F250,"")</f>
        <v/>
      </c>
      <c r="AJ250" s="62">
        <f>IF(AG250="Facture",SUMIF(fl_doc,A250,fl_ht),IF(AG250="Devis",SUMIF(dl_doc,F250,dl_ht),0))</f>
        <v>0.0</v>
      </c>
      <c r="AK250" s="62">
        <f>IF(OR(AG250="",INDEX(p_rates,1)=""),0,IF(AG250="Facture",SUMIFS(fl_ht,fl_doc,A250,fl_rate,INDEX(p_rates,1)),SUMIFS(dl_ht,dl_doc,F250,dl_rate,INDEX(p_rates,1))))</f>
        <v>0.0</v>
      </c>
      <c r="AL250" s="62">
        <f>IF(OR(AG250="",INDEX(p_rates,2)=""),0,IF(AG250="Facture",SUMIFS(fl_ht,fl_doc,A250,fl_rate,INDEX(p_rates,2)),SUMIFS(dl_ht,dl_doc,F250,dl_rate,INDEX(p_rates,2))))</f>
        <v>0.0</v>
      </c>
      <c r="AM250" s="62">
        <f>IF(OR(AG250="",INDEX(p_rates,3)=""),0,IF(AG250="Facture",SUMIFS(fl_ht,fl_doc,A250,fl_rate,INDEX(p_rates,3)),SUMIFS(dl_ht,dl_doc,F250,dl_rate,INDEX(p_rates,3))))</f>
        <v>0.0</v>
      </c>
      <c r="AN250" s="62">
        <f>IF(OR(AG250="",INDEX(p_rates,4)=""),0,IF(AG250="Facture",SUMIFS(fl_ht,fl_doc,A250,fl_rate,INDEX(p_rates,4)),SUMIFS(dl_ht,dl_doc,F250,dl_rate,INDEX(p_rates,4))))</f>
        <v>0.0</v>
      </c>
      <c r="AO250" s="62">
        <f>IF(OR(AG250="",INDEX(p_rates,5)=""),0,IF(AG250="Facture",SUMIFS(fl_ht,fl_doc,A250,fl_rate,INDEX(p_rates,5)),SUMIFS(dl_ht,dl_doc,F250,dl_rate,INDEX(p_rates,5))))</f>
        <v>0.0</v>
      </c>
      <c r="AP250" s="62">
        <f>IF(OR(AG250="",INDEX(p_rates,6)=""),0,IF(AG250="Facture",SUMIFS(fl_ht,fl_doc,A250,fl_rate,INDEX(p_rates,6)),SUMIFS(dl_ht,dl_doc,F250,dl_rate,INDEX(p_rates,6))))</f>
        <v>0.0</v>
      </c>
      <c r="AQ250" s="62">
        <f>ROUND(AK250*N(INDEX(p_rates,1)),2)+ROUND(AL250*N(INDEX(p_rates,2)),2)+ROUND(AM250*N(INDEX(p_rates,3)),2)+ROUND(AN250*N(INDEX(p_rates,4)),2)+ROUND(AO250*N(INDEX(p_rates,5)),2)+ROUND(AP250*N(INDEX(p_rates,6)),2)</f>
        <v>0.0</v>
      </c>
      <c r="AR250" s="62" t="str">
        <f>IF(OR(L250="",AA250&lt;&gt;"Facture"),"",IFERROR(IF(INDEX(fa_type,MATCH(L250,fa_num,0))="Facture d'acompte",MATCH(L250,fa_num,0),""),""))</f>
        <v/>
      </c>
      <c r="AS250" s="62" t="str">
        <f>IF(W250="","",IF(W250&lt;=0,"",IF(p_asof-P250&lt;=0,"Non échu",IF(p_asof-P250&lt;=30,"1-30 j",IF(p_asof-P250&lt;=60,"31-60 j",IF(p_asof-P250&lt;=90,"61-90 j","Plus de 90 j"))))))</f>
        <v/>
      </c>
      <c r="AT250" s="62" t="str">
        <f>IF(AS250="","",p_asof-P250)</f>
        <v/>
      </c>
      <c r="AU250" s="62" t="str">
        <f>IF(AT250="","",COUNTIF($AT$6:$AT$805,"&gt;"&amp;AT250)+COUNTIF($AT$6:AT250,AT250))</f>
        <v/>
      </c>
    </row>
    <row r="251">
      <c r="A251" s="59" t="str">
        <f>IF(AE251="","",AB251&amp;"-"&amp;AD251&amp;"-"&amp;RIGHT("000"&amp;AE251,4))</f>
        <v/>
      </c>
      <c r="B251" s="60" t="n"/>
      <c r="C251" s="61" t="n"/>
      <c r="D251" s="60" t="n"/>
      <c r="E251" s="62" t="str">
        <f>IF(D251="","",IFERROR(INDEX(cli_name,MATCH(D251,cli_code,0))&amp;"","Client inconnu"))</f>
        <v/>
      </c>
      <c r="F251" s="60" t="n"/>
      <c r="G251" s="63" t="n"/>
      <c r="H251" s="61" t="n"/>
      <c r="I251" s="63" t="n"/>
      <c r="J251" s="60" t="n"/>
      <c r="K251" s="61" t="n"/>
      <c r="L251" s="60" t="n"/>
      <c r="M251" s="60" t="n"/>
      <c r="N251" s="60" t="n"/>
      <c r="O251" s="61" t="n"/>
      <c r="P251" s="64" t="str">
        <f>IF(A251="","",IF(AA251="Avoir",AC251,IF(ISNUMBER(K251),K251,AC251+IF(D251="",N(p_delay),IFERROR(IF(ISNUMBER(INDEX(cli_delay,MATCH(D251,cli_code,0))),INDEX(cli_delay,MATCH(D251,cli_code,0)),N(p_delay)),N(p_delay))))))</f>
        <v/>
      </c>
      <c r="Q251" s="65" t="str">
        <f>IF(A251="","",IF(AA251="Avoir",-1,1)*ROUND(AJ251-IF(AR251="",0,INDEX(fa_htb,AR251)),2))</f>
        <v/>
      </c>
      <c r="R251" s="65" t="str">
        <f>IF(A251="","",IF(AA251="Avoir",-1,1)*ROUND(AQ251-IF(AR251="",0,INDEX(fa_tvab,AR251)),2))</f>
        <v/>
      </c>
      <c r="S251" s="65" t="str">
        <f>IF(A251="","",Q251+R251)</f>
        <v/>
      </c>
      <c r="T251" s="65" t="str">
        <f>IF(AR251="","",INDEX(fa_htb,AR251)+INDEX(fa_tvab,AR251))</f>
        <v/>
      </c>
      <c r="U251" s="65" t="str">
        <f>IF(A251="","",SUMIF(pa_inv,A251,pa_amt))</f>
        <v/>
      </c>
      <c r="V251" s="65" t="str">
        <f>IF(OR(A251="",AA251="Avoir"),"",-SUMIFS(fa_ttc,fa_avof,A251,fa_type,"Avoir"))</f>
        <v/>
      </c>
      <c r="W251" s="65" t="str">
        <f>IF(OR(A251="",AA251="Avoir"),"",ROUND(S251-U251-V251,2))</f>
        <v/>
      </c>
      <c r="X251" s="66" t="str">
        <f>IF(W251="","",IF(AND(W251&gt;0,p_asof&gt;P251),p_asof-P251,""))</f>
        <v/>
      </c>
      <c r="Y251" s="59" t="str">
        <f>IF(A251="","",IF(AA251="Avoir","Avoir",IF(W251&lt;0,"Trop-perçu",IF(W251=0,"Soldée",IF(p_asof&gt;P251,"En retard",IF(U251+V251&gt;0,"Partielle","À échoir"))))))</f>
        <v/>
      </c>
      <c r="Z251" s="59" t="str">
        <f>IF(NOT(COUNTA(B251:D251,F251:O251)&gt;0),"",IF(C251="","Date manquante",IF(NOT(ISNUMBER(C251)),"Date invalide",IF(D251="","Client manquant",IF(ISNA(MATCH(D251,cli_code,0)),"Client inconnu",IF(AC251&lt;SUMPRODUCT(MAX(($AB$6:AB250=AB251)*$AC$6:AC250)),"Date antérieure à la facture précédente",IF(AND(F251&lt;&gt;"",ISNA(MATCH(F251,dv_num,0))),"Devis inconnu",IF(AND(F251&lt;&gt;"",IFERROR(INDEX(dv_client,MATCH(F251,dv_num,0)),D251)&lt;&gt;D251),"Client différent de celui du devis",IF(AG251="","Aucune ligne : saisissez des lignes ou un devis",IF(AND(AI251&lt;&gt;"",COUNTIF($AI$6:AI251,AI251)&gt;1),"Devis déjà repris par une autre facture",IF(AND(AA251="Avoir",M251=""),"Avoir : indiquez la facture d'origine",IF(AND(AA251="Avoir",ISNA(MATCH(M251,fa_num,0))),"Facture d'origine inconnue",IF(AND(AA251&lt;&gt;"Avoir",M251&lt;&gt;""),"« Avoir sur facture » : réservé aux avoirs",IF(AND(L251&lt;&gt;"",AA251&lt;&gt;"Facture"),"Acompte à déduire : réservé aux factures",IF(AND(L251&lt;&gt;"",ISNA(MATCH(L251,fa_num,0))),"Facture d'acompte inconnue",IF(AND(L251&lt;&gt;"",IFERROR(INDEX(fa_type,MATCH(L251,fa_num,0)),"")&lt;&gt;"Facture d'acompte"),"Le n° à déduire n'est pas une facture d'acompte",IF(AND(L251&lt;&gt;"",COUNTIF($L$6:L251,L251)&gt;1),"Acompte déjà déduit sur une autre facture",IF(AND(L251&lt;&gt;"",IFERROR(INDEX(fa_client,MATCH(L251,fa_num,0)),D251)&lt;&gt;D251),"Acompte d'un autre client",IF(AND(AR251&lt;&gt;"",N(Q251)&lt;0),"Acompte supérieur au total de la facture",IF(IF(AG251="Facture",COUNTIFS(fl_doc,A251,fl_check,"&lt;&gt;OK"),IF(AG251="Devis",COUNTIFS(dl_doc,F251,dl_check,"&lt;&gt;OK"),0))&gt;0,"Ligne(s) à corriger",IF(AND(W251&lt;&gt;"",N(W251)&lt;0),"Trop-perçu : vérifiez paiements et avoirs","OK")))))))))))))))))))))</f>
        <v/>
      </c>
      <c r="AA251" s="62" t="str">
        <f>IF(COUNTA(B251:D251,F251:O251)&gt;0,IF(B251="","Facture",B251),"")</f>
        <v/>
      </c>
      <c r="AB251" s="62" t="str">
        <f>IF(AA251="","",IF(AA251="Avoir",p_pav,IF(AA251="Facture d'acompte",p_pac,p_pfa)))</f>
        <v/>
      </c>
      <c r="AC251" s="62">
        <f>IF(ISNUMBER(C251),C251,0)</f>
        <v>0.0</v>
      </c>
      <c r="AD251" s="62" t="str">
        <f>IF(OR(AA251="",AC251=0),"",YEAR(AC251))</f>
        <v/>
      </c>
      <c r="AE251" s="62" t="str">
        <f>IF(AD251="","",COUNTIFS($AB$6:AB251,AB251,$AD$6:AD251,AD251))</f>
        <v/>
      </c>
      <c r="AF251" s="62">
        <f>IF(A251="",0,COUNTIF(fl_doc,A251))</f>
        <v>0.0</v>
      </c>
      <c r="AG251" s="62" t="str">
        <f>IF(A251="","",IF(AF251&gt;0,"Facture",IF(AND(F251&lt;&gt;"",AA251="Facture",ISNUMBER(MATCH(F251,dv_num,0))),"Devis","")))</f>
        <v/>
      </c>
      <c r="AH251" s="62" t="str">
        <f>IF(AND(A251&lt;&gt;"",F251&lt;&gt;"",AA251&lt;&gt;"Avoir"),F251,"")</f>
        <v/>
      </c>
      <c r="AI251" s="62" t="str">
        <f>IF(AG251="Devis",F251,"")</f>
        <v/>
      </c>
      <c r="AJ251" s="62">
        <f>IF(AG251="Facture",SUMIF(fl_doc,A251,fl_ht),IF(AG251="Devis",SUMIF(dl_doc,F251,dl_ht),0))</f>
        <v>0.0</v>
      </c>
      <c r="AK251" s="62">
        <f>IF(OR(AG251="",INDEX(p_rates,1)=""),0,IF(AG251="Facture",SUMIFS(fl_ht,fl_doc,A251,fl_rate,INDEX(p_rates,1)),SUMIFS(dl_ht,dl_doc,F251,dl_rate,INDEX(p_rates,1))))</f>
        <v>0.0</v>
      </c>
      <c r="AL251" s="62">
        <f>IF(OR(AG251="",INDEX(p_rates,2)=""),0,IF(AG251="Facture",SUMIFS(fl_ht,fl_doc,A251,fl_rate,INDEX(p_rates,2)),SUMIFS(dl_ht,dl_doc,F251,dl_rate,INDEX(p_rates,2))))</f>
        <v>0.0</v>
      </c>
      <c r="AM251" s="62">
        <f>IF(OR(AG251="",INDEX(p_rates,3)=""),0,IF(AG251="Facture",SUMIFS(fl_ht,fl_doc,A251,fl_rate,INDEX(p_rates,3)),SUMIFS(dl_ht,dl_doc,F251,dl_rate,INDEX(p_rates,3))))</f>
        <v>0.0</v>
      </c>
      <c r="AN251" s="62">
        <f>IF(OR(AG251="",INDEX(p_rates,4)=""),0,IF(AG251="Facture",SUMIFS(fl_ht,fl_doc,A251,fl_rate,INDEX(p_rates,4)),SUMIFS(dl_ht,dl_doc,F251,dl_rate,INDEX(p_rates,4))))</f>
        <v>0.0</v>
      </c>
      <c r="AO251" s="62">
        <f>IF(OR(AG251="",INDEX(p_rates,5)=""),0,IF(AG251="Facture",SUMIFS(fl_ht,fl_doc,A251,fl_rate,INDEX(p_rates,5)),SUMIFS(dl_ht,dl_doc,F251,dl_rate,INDEX(p_rates,5))))</f>
        <v>0.0</v>
      </c>
      <c r="AP251" s="62">
        <f>IF(OR(AG251="",INDEX(p_rates,6)=""),0,IF(AG251="Facture",SUMIFS(fl_ht,fl_doc,A251,fl_rate,INDEX(p_rates,6)),SUMIFS(dl_ht,dl_doc,F251,dl_rate,INDEX(p_rates,6))))</f>
        <v>0.0</v>
      </c>
      <c r="AQ251" s="62">
        <f>ROUND(AK251*N(INDEX(p_rates,1)),2)+ROUND(AL251*N(INDEX(p_rates,2)),2)+ROUND(AM251*N(INDEX(p_rates,3)),2)+ROUND(AN251*N(INDEX(p_rates,4)),2)+ROUND(AO251*N(INDEX(p_rates,5)),2)+ROUND(AP251*N(INDEX(p_rates,6)),2)</f>
        <v>0.0</v>
      </c>
      <c r="AR251" s="62" t="str">
        <f>IF(OR(L251="",AA251&lt;&gt;"Facture"),"",IFERROR(IF(INDEX(fa_type,MATCH(L251,fa_num,0))="Facture d'acompte",MATCH(L251,fa_num,0),""),""))</f>
        <v/>
      </c>
      <c r="AS251" s="62" t="str">
        <f>IF(W251="","",IF(W251&lt;=0,"",IF(p_asof-P251&lt;=0,"Non échu",IF(p_asof-P251&lt;=30,"1-30 j",IF(p_asof-P251&lt;=60,"31-60 j",IF(p_asof-P251&lt;=90,"61-90 j","Plus de 90 j"))))))</f>
        <v/>
      </c>
      <c r="AT251" s="62" t="str">
        <f>IF(AS251="","",p_asof-P251)</f>
        <v/>
      </c>
      <c r="AU251" s="62" t="str">
        <f>IF(AT251="","",COUNTIF($AT$6:$AT$805,"&gt;"&amp;AT251)+COUNTIF($AT$6:AT251,AT251))</f>
        <v/>
      </c>
    </row>
    <row r="252">
      <c r="A252" s="59" t="str">
        <f>IF(AE252="","",AB252&amp;"-"&amp;AD252&amp;"-"&amp;RIGHT("000"&amp;AE252,4))</f>
        <v/>
      </c>
      <c r="B252" s="60" t="n"/>
      <c r="C252" s="61" t="n"/>
      <c r="D252" s="60" t="n"/>
      <c r="E252" s="62" t="str">
        <f>IF(D252="","",IFERROR(INDEX(cli_name,MATCH(D252,cli_code,0))&amp;"","Client inconnu"))</f>
        <v/>
      </c>
      <c r="F252" s="60" t="n"/>
      <c r="G252" s="63" t="n"/>
      <c r="H252" s="61" t="n"/>
      <c r="I252" s="63" t="n"/>
      <c r="J252" s="60" t="n"/>
      <c r="K252" s="61" t="n"/>
      <c r="L252" s="60" t="n"/>
      <c r="M252" s="60" t="n"/>
      <c r="N252" s="60" t="n"/>
      <c r="O252" s="61" t="n"/>
      <c r="P252" s="64" t="str">
        <f>IF(A252="","",IF(AA252="Avoir",AC252,IF(ISNUMBER(K252),K252,AC252+IF(D252="",N(p_delay),IFERROR(IF(ISNUMBER(INDEX(cli_delay,MATCH(D252,cli_code,0))),INDEX(cli_delay,MATCH(D252,cli_code,0)),N(p_delay)),N(p_delay))))))</f>
        <v/>
      </c>
      <c r="Q252" s="65" t="str">
        <f>IF(A252="","",IF(AA252="Avoir",-1,1)*ROUND(AJ252-IF(AR252="",0,INDEX(fa_htb,AR252)),2))</f>
        <v/>
      </c>
      <c r="R252" s="65" t="str">
        <f>IF(A252="","",IF(AA252="Avoir",-1,1)*ROUND(AQ252-IF(AR252="",0,INDEX(fa_tvab,AR252)),2))</f>
        <v/>
      </c>
      <c r="S252" s="65" t="str">
        <f>IF(A252="","",Q252+R252)</f>
        <v/>
      </c>
      <c r="T252" s="65" t="str">
        <f>IF(AR252="","",INDEX(fa_htb,AR252)+INDEX(fa_tvab,AR252))</f>
        <v/>
      </c>
      <c r="U252" s="65" t="str">
        <f>IF(A252="","",SUMIF(pa_inv,A252,pa_amt))</f>
        <v/>
      </c>
      <c r="V252" s="65" t="str">
        <f>IF(OR(A252="",AA252="Avoir"),"",-SUMIFS(fa_ttc,fa_avof,A252,fa_type,"Avoir"))</f>
        <v/>
      </c>
      <c r="W252" s="65" t="str">
        <f>IF(OR(A252="",AA252="Avoir"),"",ROUND(S252-U252-V252,2))</f>
        <v/>
      </c>
      <c r="X252" s="66" t="str">
        <f>IF(W252="","",IF(AND(W252&gt;0,p_asof&gt;P252),p_asof-P252,""))</f>
        <v/>
      </c>
      <c r="Y252" s="59" t="str">
        <f>IF(A252="","",IF(AA252="Avoir","Avoir",IF(W252&lt;0,"Trop-perçu",IF(W252=0,"Soldée",IF(p_asof&gt;P252,"En retard",IF(U252+V252&gt;0,"Partielle","À échoir"))))))</f>
        <v/>
      </c>
      <c r="Z252" s="59" t="str">
        <f>IF(NOT(COUNTA(B252:D252,F252:O252)&gt;0),"",IF(C252="","Date manquante",IF(NOT(ISNUMBER(C252)),"Date invalide",IF(D252="","Client manquant",IF(ISNA(MATCH(D252,cli_code,0)),"Client inconnu",IF(AC252&lt;SUMPRODUCT(MAX(($AB$6:AB251=AB252)*$AC$6:AC251)),"Date antérieure à la facture précédente",IF(AND(F252&lt;&gt;"",ISNA(MATCH(F252,dv_num,0))),"Devis inconnu",IF(AND(F252&lt;&gt;"",IFERROR(INDEX(dv_client,MATCH(F252,dv_num,0)),D252)&lt;&gt;D252),"Client différent de celui du devis",IF(AG252="","Aucune ligne : saisissez des lignes ou un devis",IF(AND(AI252&lt;&gt;"",COUNTIF($AI$6:AI252,AI252)&gt;1),"Devis déjà repris par une autre facture",IF(AND(AA252="Avoir",M252=""),"Avoir : indiquez la facture d'origine",IF(AND(AA252="Avoir",ISNA(MATCH(M252,fa_num,0))),"Facture d'origine inconnue",IF(AND(AA252&lt;&gt;"Avoir",M252&lt;&gt;""),"« Avoir sur facture » : réservé aux avoirs",IF(AND(L252&lt;&gt;"",AA252&lt;&gt;"Facture"),"Acompte à déduire : réservé aux factures",IF(AND(L252&lt;&gt;"",ISNA(MATCH(L252,fa_num,0))),"Facture d'acompte inconnue",IF(AND(L252&lt;&gt;"",IFERROR(INDEX(fa_type,MATCH(L252,fa_num,0)),"")&lt;&gt;"Facture d'acompte"),"Le n° à déduire n'est pas une facture d'acompte",IF(AND(L252&lt;&gt;"",COUNTIF($L$6:L252,L252)&gt;1),"Acompte déjà déduit sur une autre facture",IF(AND(L252&lt;&gt;"",IFERROR(INDEX(fa_client,MATCH(L252,fa_num,0)),D252)&lt;&gt;D252),"Acompte d'un autre client",IF(AND(AR252&lt;&gt;"",N(Q252)&lt;0),"Acompte supérieur au total de la facture",IF(IF(AG252="Facture",COUNTIFS(fl_doc,A252,fl_check,"&lt;&gt;OK"),IF(AG252="Devis",COUNTIFS(dl_doc,F252,dl_check,"&lt;&gt;OK"),0))&gt;0,"Ligne(s) à corriger",IF(AND(W252&lt;&gt;"",N(W252)&lt;0),"Trop-perçu : vérifiez paiements et avoirs","OK")))))))))))))))))))))</f>
        <v/>
      </c>
      <c r="AA252" s="62" t="str">
        <f>IF(COUNTA(B252:D252,F252:O252)&gt;0,IF(B252="","Facture",B252),"")</f>
        <v/>
      </c>
      <c r="AB252" s="62" t="str">
        <f>IF(AA252="","",IF(AA252="Avoir",p_pav,IF(AA252="Facture d'acompte",p_pac,p_pfa)))</f>
        <v/>
      </c>
      <c r="AC252" s="62">
        <f>IF(ISNUMBER(C252),C252,0)</f>
        <v>0.0</v>
      </c>
      <c r="AD252" s="62" t="str">
        <f>IF(OR(AA252="",AC252=0),"",YEAR(AC252))</f>
        <v/>
      </c>
      <c r="AE252" s="62" t="str">
        <f>IF(AD252="","",COUNTIFS($AB$6:AB252,AB252,$AD$6:AD252,AD252))</f>
        <v/>
      </c>
      <c r="AF252" s="62">
        <f>IF(A252="",0,COUNTIF(fl_doc,A252))</f>
        <v>0.0</v>
      </c>
      <c r="AG252" s="62" t="str">
        <f>IF(A252="","",IF(AF252&gt;0,"Facture",IF(AND(F252&lt;&gt;"",AA252="Facture",ISNUMBER(MATCH(F252,dv_num,0))),"Devis","")))</f>
        <v/>
      </c>
      <c r="AH252" s="62" t="str">
        <f>IF(AND(A252&lt;&gt;"",F252&lt;&gt;"",AA252&lt;&gt;"Avoir"),F252,"")</f>
        <v/>
      </c>
      <c r="AI252" s="62" t="str">
        <f>IF(AG252="Devis",F252,"")</f>
        <v/>
      </c>
      <c r="AJ252" s="62">
        <f>IF(AG252="Facture",SUMIF(fl_doc,A252,fl_ht),IF(AG252="Devis",SUMIF(dl_doc,F252,dl_ht),0))</f>
        <v>0.0</v>
      </c>
      <c r="AK252" s="62">
        <f>IF(OR(AG252="",INDEX(p_rates,1)=""),0,IF(AG252="Facture",SUMIFS(fl_ht,fl_doc,A252,fl_rate,INDEX(p_rates,1)),SUMIFS(dl_ht,dl_doc,F252,dl_rate,INDEX(p_rates,1))))</f>
        <v>0.0</v>
      </c>
      <c r="AL252" s="62">
        <f>IF(OR(AG252="",INDEX(p_rates,2)=""),0,IF(AG252="Facture",SUMIFS(fl_ht,fl_doc,A252,fl_rate,INDEX(p_rates,2)),SUMIFS(dl_ht,dl_doc,F252,dl_rate,INDEX(p_rates,2))))</f>
        <v>0.0</v>
      </c>
      <c r="AM252" s="62">
        <f>IF(OR(AG252="",INDEX(p_rates,3)=""),0,IF(AG252="Facture",SUMIFS(fl_ht,fl_doc,A252,fl_rate,INDEX(p_rates,3)),SUMIFS(dl_ht,dl_doc,F252,dl_rate,INDEX(p_rates,3))))</f>
        <v>0.0</v>
      </c>
      <c r="AN252" s="62">
        <f>IF(OR(AG252="",INDEX(p_rates,4)=""),0,IF(AG252="Facture",SUMIFS(fl_ht,fl_doc,A252,fl_rate,INDEX(p_rates,4)),SUMIFS(dl_ht,dl_doc,F252,dl_rate,INDEX(p_rates,4))))</f>
        <v>0.0</v>
      </c>
      <c r="AO252" s="62">
        <f>IF(OR(AG252="",INDEX(p_rates,5)=""),0,IF(AG252="Facture",SUMIFS(fl_ht,fl_doc,A252,fl_rate,INDEX(p_rates,5)),SUMIFS(dl_ht,dl_doc,F252,dl_rate,INDEX(p_rates,5))))</f>
        <v>0.0</v>
      </c>
      <c r="AP252" s="62">
        <f>IF(OR(AG252="",INDEX(p_rates,6)=""),0,IF(AG252="Facture",SUMIFS(fl_ht,fl_doc,A252,fl_rate,INDEX(p_rates,6)),SUMIFS(dl_ht,dl_doc,F252,dl_rate,INDEX(p_rates,6))))</f>
        <v>0.0</v>
      </c>
      <c r="AQ252" s="62">
        <f>ROUND(AK252*N(INDEX(p_rates,1)),2)+ROUND(AL252*N(INDEX(p_rates,2)),2)+ROUND(AM252*N(INDEX(p_rates,3)),2)+ROUND(AN252*N(INDEX(p_rates,4)),2)+ROUND(AO252*N(INDEX(p_rates,5)),2)+ROUND(AP252*N(INDEX(p_rates,6)),2)</f>
        <v>0.0</v>
      </c>
      <c r="AR252" s="62" t="str">
        <f>IF(OR(L252="",AA252&lt;&gt;"Facture"),"",IFERROR(IF(INDEX(fa_type,MATCH(L252,fa_num,0))="Facture d'acompte",MATCH(L252,fa_num,0),""),""))</f>
        <v/>
      </c>
      <c r="AS252" s="62" t="str">
        <f>IF(W252="","",IF(W252&lt;=0,"",IF(p_asof-P252&lt;=0,"Non échu",IF(p_asof-P252&lt;=30,"1-30 j",IF(p_asof-P252&lt;=60,"31-60 j",IF(p_asof-P252&lt;=90,"61-90 j","Plus de 90 j"))))))</f>
        <v/>
      </c>
      <c r="AT252" s="62" t="str">
        <f>IF(AS252="","",p_asof-P252)</f>
        <v/>
      </c>
      <c r="AU252" s="62" t="str">
        <f>IF(AT252="","",COUNTIF($AT$6:$AT$805,"&gt;"&amp;AT252)+COUNTIF($AT$6:AT252,AT252))</f>
        <v/>
      </c>
    </row>
    <row r="253">
      <c r="A253" s="59" t="str">
        <f>IF(AE253="","",AB253&amp;"-"&amp;AD253&amp;"-"&amp;RIGHT("000"&amp;AE253,4))</f>
        <v/>
      </c>
      <c r="B253" s="60" t="n"/>
      <c r="C253" s="61" t="n"/>
      <c r="D253" s="60" t="n"/>
      <c r="E253" s="62" t="str">
        <f>IF(D253="","",IFERROR(INDEX(cli_name,MATCH(D253,cli_code,0))&amp;"","Client inconnu"))</f>
        <v/>
      </c>
      <c r="F253" s="60" t="n"/>
      <c r="G253" s="63" t="n"/>
      <c r="H253" s="61" t="n"/>
      <c r="I253" s="63" t="n"/>
      <c r="J253" s="60" t="n"/>
      <c r="K253" s="61" t="n"/>
      <c r="L253" s="60" t="n"/>
      <c r="M253" s="60" t="n"/>
      <c r="N253" s="60" t="n"/>
      <c r="O253" s="61" t="n"/>
      <c r="P253" s="64" t="str">
        <f>IF(A253="","",IF(AA253="Avoir",AC253,IF(ISNUMBER(K253),K253,AC253+IF(D253="",N(p_delay),IFERROR(IF(ISNUMBER(INDEX(cli_delay,MATCH(D253,cli_code,0))),INDEX(cli_delay,MATCH(D253,cli_code,0)),N(p_delay)),N(p_delay))))))</f>
        <v/>
      </c>
      <c r="Q253" s="65" t="str">
        <f>IF(A253="","",IF(AA253="Avoir",-1,1)*ROUND(AJ253-IF(AR253="",0,INDEX(fa_htb,AR253)),2))</f>
        <v/>
      </c>
      <c r="R253" s="65" t="str">
        <f>IF(A253="","",IF(AA253="Avoir",-1,1)*ROUND(AQ253-IF(AR253="",0,INDEX(fa_tvab,AR253)),2))</f>
        <v/>
      </c>
      <c r="S253" s="65" t="str">
        <f>IF(A253="","",Q253+R253)</f>
        <v/>
      </c>
      <c r="T253" s="65" t="str">
        <f>IF(AR253="","",INDEX(fa_htb,AR253)+INDEX(fa_tvab,AR253))</f>
        <v/>
      </c>
      <c r="U253" s="65" t="str">
        <f>IF(A253="","",SUMIF(pa_inv,A253,pa_amt))</f>
        <v/>
      </c>
      <c r="V253" s="65" t="str">
        <f>IF(OR(A253="",AA253="Avoir"),"",-SUMIFS(fa_ttc,fa_avof,A253,fa_type,"Avoir"))</f>
        <v/>
      </c>
      <c r="W253" s="65" t="str">
        <f>IF(OR(A253="",AA253="Avoir"),"",ROUND(S253-U253-V253,2))</f>
        <v/>
      </c>
      <c r="X253" s="66" t="str">
        <f>IF(W253="","",IF(AND(W253&gt;0,p_asof&gt;P253),p_asof-P253,""))</f>
        <v/>
      </c>
      <c r="Y253" s="59" t="str">
        <f>IF(A253="","",IF(AA253="Avoir","Avoir",IF(W253&lt;0,"Trop-perçu",IF(W253=0,"Soldée",IF(p_asof&gt;P253,"En retard",IF(U253+V253&gt;0,"Partielle","À échoir"))))))</f>
        <v/>
      </c>
      <c r="Z253" s="59" t="str">
        <f>IF(NOT(COUNTA(B253:D253,F253:O253)&gt;0),"",IF(C253="","Date manquante",IF(NOT(ISNUMBER(C253)),"Date invalide",IF(D253="","Client manquant",IF(ISNA(MATCH(D253,cli_code,0)),"Client inconnu",IF(AC253&lt;SUMPRODUCT(MAX(($AB$6:AB252=AB253)*$AC$6:AC252)),"Date antérieure à la facture précédente",IF(AND(F253&lt;&gt;"",ISNA(MATCH(F253,dv_num,0))),"Devis inconnu",IF(AND(F253&lt;&gt;"",IFERROR(INDEX(dv_client,MATCH(F253,dv_num,0)),D253)&lt;&gt;D253),"Client différent de celui du devis",IF(AG253="","Aucune ligne : saisissez des lignes ou un devis",IF(AND(AI253&lt;&gt;"",COUNTIF($AI$6:AI253,AI253)&gt;1),"Devis déjà repris par une autre facture",IF(AND(AA253="Avoir",M253=""),"Avoir : indiquez la facture d'origine",IF(AND(AA253="Avoir",ISNA(MATCH(M253,fa_num,0))),"Facture d'origine inconnue",IF(AND(AA253&lt;&gt;"Avoir",M253&lt;&gt;""),"« Avoir sur facture » : réservé aux avoirs",IF(AND(L253&lt;&gt;"",AA253&lt;&gt;"Facture"),"Acompte à déduire : réservé aux factures",IF(AND(L253&lt;&gt;"",ISNA(MATCH(L253,fa_num,0))),"Facture d'acompte inconnue",IF(AND(L253&lt;&gt;"",IFERROR(INDEX(fa_type,MATCH(L253,fa_num,0)),"")&lt;&gt;"Facture d'acompte"),"Le n° à déduire n'est pas une facture d'acompte",IF(AND(L253&lt;&gt;"",COUNTIF($L$6:L253,L253)&gt;1),"Acompte déjà déduit sur une autre facture",IF(AND(L253&lt;&gt;"",IFERROR(INDEX(fa_client,MATCH(L253,fa_num,0)),D253)&lt;&gt;D253),"Acompte d'un autre client",IF(AND(AR253&lt;&gt;"",N(Q253)&lt;0),"Acompte supérieur au total de la facture",IF(IF(AG253="Facture",COUNTIFS(fl_doc,A253,fl_check,"&lt;&gt;OK"),IF(AG253="Devis",COUNTIFS(dl_doc,F253,dl_check,"&lt;&gt;OK"),0))&gt;0,"Ligne(s) à corriger",IF(AND(W253&lt;&gt;"",N(W253)&lt;0),"Trop-perçu : vérifiez paiements et avoirs","OK")))))))))))))))))))))</f>
        <v/>
      </c>
      <c r="AA253" s="62" t="str">
        <f>IF(COUNTA(B253:D253,F253:O253)&gt;0,IF(B253="","Facture",B253),"")</f>
        <v/>
      </c>
      <c r="AB253" s="62" t="str">
        <f>IF(AA253="","",IF(AA253="Avoir",p_pav,IF(AA253="Facture d'acompte",p_pac,p_pfa)))</f>
        <v/>
      </c>
      <c r="AC253" s="62">
        <f>IF(ISNUMBER(C253),C253,0)</f>
        <v>0.0</v>
      </c>
      <c r="AD253" s="62" t="str">
        <f>IF(OR(AA253="",AC253=0),"",YEAR(AC253))</f>
        <v/>
      </c>
      <c r="AE253" s="62" t="str">
        <f>IF(AD253="","",COUNTIFS($AB$6:AB253,AB253,$AD$6:AD253,AD253))</f>
        <v/>
      </c>
      <c r="AF253" s="62">
        <f>IF(A253="",0,COUNTIF(fl_doc,A253))</f>
        <v>0.0</v>
      </c>
      <c r="AG253" s="62" t="str">
        <f>IF(A253="","",IF(AF253&gt;0,"Facture",IF(AND(F253&lt;&gt;"",AA253="Facture",ISNUMBER(MATCH(F253,dv_num,0))),"Devis","")))</f>
        <v/>
      </c>
      <c r="AH253" s="62" t="str">
        <f>IF(AND(A253&lt;&gt;"",F253&lt;&gt;"",AA253&lt;&gt;"Avoir"),F253,"")</f>
        <v/>
      </c>
      <c r="AI253" s="62" t="str">
        <f>IF(AG253="Devis",F253,"")</f>
        <v/>
      </c>
      <c r="AJ253" s="62">
        <f>IF(AG253="Facture",SUMIF(fl_doc,A253,fl_ht),IF(AG253="Devis",SUMIF(dl_doc,F253,dl_ht),0))</f>
        <v>0.0</v>
      </c>
      <c r="AK253" s="62">
        <f>IF(OR(AG253="",INDEX(p_rates,1)=""),0,IF(AG253="Facture",SUMIFS(fl_ht,fl_doc,A253,fl_rate,INDEX(p_rates,1)),SUMIFS(dl_ht,dl_doc,F253,dl_rate,INDEX(p_rates,1))))</f>
        <v>0.0</v>
      </c>
      <c r="AL253" s="62">
        <f>IF(OR(AG253="",INDEX(p_rates,2)=""),0,IF(AG253="Facture",SUMIFS(fl_ht,fl_doc,A253,fl_rate,INDEX(p_rates,2)),SUMIFS(dl_ht,dl_doc,F253,dl_rate,INDEX(p_rates,2))))</f>
        <v>0.0</v>
      </c>
      <c r="AM253" s="62">
        <f>IF(OR(AG253="",INDEX(p_rates,3)=""),0,IF(AG253="Facture",SUMIFS(fl_ht,fl_doc,A253,fl_rate,INDEX(p_rates,3)),SUMIFS(dl_ht,dl_doc,F253,dl_rate,INDEX(p_rates,3))))</f>
        <v>0.0</v>
      </c>
      <c r="AN253" s="62">
        <f>IF(OR(AG253="",INDEX(p_rates,4)=""),0,IF(AG253="Facture",SUMIFS(fl_ht,fl_doc,A253,fl_rate,INDEX(p_rates,4)),SUMIFS(dl_ht,dl_doc,F253,dl_rate,INDEX(p_rates,4))))</f>
        <v>0.0</v>
      </c>
      <c r="AO253" s="62">
        <f>IF(OR(AG253="",INDEX(p_rates,5)=""),0,IF(AG253="Facture",SUMIFS(fl_ht,fl_doc,A253,fl_rate,INDEX(p_rates,5)),SUMIFS(dl_ht,dl_doc,F253,dl_rate,INDEX(p_rates,5))))</f>
        <v>0.0</v>
      </c>
      <c r="AP253" s="62">
        <f>IF(OR(AG253="",INDEX(p_rates,6)=""),0,IF(AG253="Facture",SUMIFS(fl_ht,fl_doc,A253,fl_rate,INDEX(p_rates,6)),SUMIFS(dl_ht,dl_doc,F253,dl_rate,INDEX(p_rates,6))))</f>
        <v>0.0</v>
      </c>
      <c r="AQ253" s="62">
        <f>ROUND(AK253*N(INDEX(p_rates,1)),2)+ROUND(AL253*N(INDEX(p_rates,2)),2)+ROUND(AM253*N(INDEX(p_rates,3)),2)+ROUND(AN253*N(INDEX(p_rates,4)),2)+ROUND(AO253*N(INDEX(p_rates,5)),2)+ROUND(AP253*N(INDEX(p_rates,6)),2)</f>
        <v>0.0</v>
      </c>
      <c r="AR253" s="62" t="str">
        <f>IF(OR(L253="",AA253&lt;&gt;"Facture"),"",IFERROR(IF(INDEX(fa_type,MATCH(L253,fa_num,0))="Facture d'acompte",MATCH(L253,fa_num,0),""),""))</f>
        <v/>
      </c>
      <c r="AS253" s="62" t="str">
        <f>IF(W253="","",IF(W253&lt;=0,"",IF(p_asof-P253&lt;=0,"Non échu",IF(p_asof-P253&lt;=30,"1-30 j",IF(p_asof-P253&lt;=60,"31-60 j",IF(p_asof-P253&lt;=90,"61-90 j","Plus de 90 j"))))))</f>
        <v/>
      </c>
      <c r="AT253" s="62" t="str">
        <f>IF(AS253="","",p_asof-P253)</f>
        <v/>
      </c>
      <c r="AU253" s="62" t="str">
        <f>IF(AT253="","",COUNTIF($AT$6:$AT$805,"&gt;"&amp;AT253)+COUNTIF($AT$6:AT253,AT253))</f>
        <v/>
      </c>
    </row>
    <row r="254">
      <c r="A254" s="59" t="str">
        <f>IF(AE254="","",AB254&amp;"-"&amp;AD254&amp;"-"&amp;RIGHT("000"&amp;AE254,4))</f>
        <v/>
      </c>
      <c r="B254" s="60" t="n"/>
      <c r="C254" s="61" t="n"/>
      <c r="D254" s="60" t="n"/>
      <c r="E254" s="62" t="str">
        <f>IF(D254="","",IFERROR(INDEX(cli_name,MATCH(D254,cli_code,0))&amp;"","Client inconnu"))</f>
        <v/>
      </c>
      <c r="F254" s="60" t="n"/>
      <c r="G254" s="63" t="n"/>
      <c r="H254" s="61" t="n"/>
      <c r="I254" s="63" t="n"/>
      <c r="J254" s="60" t="n"/>
      <c r="K254" s="61" t="n"/>
      <c r="L254" s="60" t="n"/>
      <c r="M254" s="60" t="n"/>
      <c r="N254" s="60" t="n"/>
      <c r="O254" s="61" t="n"/>
      <c r="P254" s="64" t="str">
        <f>IF(A254="","",IF(AA254="Avoir",AC254,IF(ISNUMBER(K254),K254,AC254+IF(D254="",N(p_delay),IFERROR(IF(ISNUMBER(INDEX(cli_delay,MATCH(D254,cli_code,0))),INDEX(cli_delay,MATCH(D254,cli_code,0)),N(p_delay)),N(p_delay))))))</f>
        <v/>
      </c>
      <c r="Q254" s="65" t="str">
        <f>IF(A254="","",IF(AA254="Avoir",-1,1)*ROUND(AJ254-IF(AR254="",0,INDEX(fa_htb,AR254)),2))</f>
        <v/>
      </c>
      <c r="R254" s="65" t="str">
        <f>IF(A254="","",IF(AA254="Avoir",-1,1)*ROUND(AQ254-IF(AR254="",0,INDEX(fa_tvab,AR254)),2))</f>
        <v/>
      </c>
      <c r="S254" s="65" t="str">
        <f>IF(A254="","",Q254+R254)</f>
        <v/>
      </c>
      <c r="T254" s="65" t="str">
        <f>IF(AR254="","",INDEX(fa_htb,AR254)+INDEX(fa_tvab,AR254))</f>
        <v/>
      </c>
      <c r="U254" s="65" t="str">
        <f>IF(A254="","",SUMIF(pa_inv,A254,pa_amt))</f>
        <v/>
      </c>
      <c r="V254" s="65" t="str">
        <f>IF(OR(A254="",AA254="Avoir"),"",-SUMIFS(fa_ttc,fa_avof,A254,fa_type,"Avoir"))</f>
        <v/>
      </c>
      <c r="W254" s="65" t="str">
        <f>IF(OR(A254="",AA254="Avoir"),"",ROUND(S254-U254-V254,2))</f>
        <v/>
      </c>
      <c r="X254" s="66" t="str">
        <f>IF(W254="","",IF(AND(W254&gt;0,p_asof&gt;P254),p_asof-P254,""))</f>
        <v/>
      </c>
      <c r="Y254" s="59" t="str">
        <f>IF(A254="","",IF(AA254="Avoir","Avoir",IF(W254&lt;0,"Trop-perçu",IF(W254=0,"Soldée",IF(p_asof&gt;P254,"En retard",IF(U254+V254&gt;0,"Partielle","À échoir"))))))</f>
        <v/>
      </c>
      <c r="Z254" s="59" t="str">
        <f>IF(NOT(COUNTA(B254:D254,F254:O254)&gt;0),"",IF(C254="","Date manquante",IF(NOT(ISNUMBER(C254)),"Date invalide",IF(D254="","Client manquant",IF(ISNA(MATCH(D254,cli_code,0)),"Client inconnu",IF(AC254&lt;SUMPRODUCT(MAX(($AB$6:AB253=AB254)*$AC$6:AC253)),"Date antérieure à la facture précédente",IF(AND(F254&lt;&gt;"",ISNA(MATCH(F254,dv_num,0))),"Devis inconnu",IF(AND(F254&lt;&gt;"",IFERROR(INDEX(dv_client,MATCH(F254,dv_num,0)),D254)&lt;&gt;D254),"Client différent de celui du devis",IF(AG254="","Aucune ligne : saisissez des lignes ou un devis",IF(AND(AI254&lt;&gt;"",COUNTIF($AI$6:AI254,AI254)&gt;1),"Devis déjà repris par une autre facture",IF(AND(AA254="Avoir",M254=""),"Avoir : indiquez la facture d'origine",IF(AND(AA254="Avoir",ISNA(MATCH(M254,fa_num,0))),"Facture d'origine inconnue",IF(AND(AA254&lt;&gt;"Avoir",M254&lt;&gt;""),"« Avoir sur facture » : réservé aux avoirs",IF(AND(L254&lt;&gt;"",AA254&lt;&gt;"Facture"),"Acompte à déduire : réservé aux factures",IF(AND(L254&lt;&gt;"",ISNA(MATCH(L254,fa_num,0))),"Facture d'acompte inconnue",IF(AND(L254&lt;&gt;"",IFERROR(INDEX(fa_type,MATCH(L254,fa_num,0)),"")&lt;&gt;"Facture d'acompte"),"Le n° à déduire n'est pas une facture d'acompte",IF(AND(L254&lt;&gt;"",COUNTIF($L$6:L254,L254)&gt;1),"Acompte déjà déduit sur une autre facture",IF(AND(L254&lt;&gt;"",IFERROR(INDEX(fa_client,MATCH(L254,fa_num,0)),D254)&lt;&gt;D254),"Acompte d'un autre client",IF(AND(AR254&lt;&gt;"",N(Q254)&lt;0),"Acompte supérieur au total de la facture",IF(IF(AG254="Facture",COUNTIFS(fl_doc,A254,fl_check,"&lt;&gt;OK"),IF(AG254="Devis",COUNTIFS(dl_doc,F254,dl_check,"&lt;&gt;OK"),0))&gt;0,"Ligne(s) à corriger",IF(AND(W254&lt;&gt;"",N(W254)&lt;0),"Trop-perçu : vérifiez paiements et avoirs","OK")))))))))))))))))))))</f>
        <v/>
      </c>
      <c r="AA254" s="62" t="str">
        <f>IF(COUNTA(B254:D254,F254:O254)&gt;0,IF(B254="","Facture",B254),"")</f>
        <v/>
      </c>
      <c r="AB254" s="62" t="str">
        <f>IF(AA254="","",IF(AA254="Avoir",p_pav,IF(AA254="Facture d'acompte",p_pac,p_pfa)))</f>
        <v/>
      </c>
      <c r="AC254" s="62">
        <f>IF(ISNUMBER(C254),C254,0)</f>
        <v>0.0</v>
      </c>
      <c r="AD254" s="62" t="str">
        <f>IF(OR(AA254="",AC254=0),"",YEAR(AC254))</f>
        <v/>
      </c>
      <c r="AE254" s="62" t="str">
        <f>IF(AD254="","",COUNTIFS($AB$6:AB254,AB254,$AD$6:AD254,AD254))</f>
        <v/>
      </c>
      <c r="AF254" s="62">
        <f>IF(A254="",0,COUNTIF(fl_doc,A254))</f>
        <v>0.0</v>
      </c>
      <c r="AG254" s="62" t="str">
        <f>IF(A254="","",IF(AF254&gt;0,"Facture",IF(AND(F254&lt;&gt;"",AA254="Facture",ISNUMBER(MATCH(F254,dv_num,0))),"Devis","")))</f>
        <v/>
      </c>
      <c r="AH254" s="62" t="str">
        <f>IF(AND(A254&lt;&gt;"",F254&lt;&gt;"",AA254&lt;&gt;"Avoir"),F254,"")</f>
        <v/>
      </c>
      <c r="AI254" s="62" t="str">
        <f>IF(AG254="Devis",F254,"")</f>
        <v/>
      </c>
      <c r="AJ254" s="62">
        <f>IF(AG254="Facture",SUMIF(fl_doc,A254,fl_ht),IF(AG254="Devis",SUMIF(dl_doc,F254,dl_ht),0))</f>
        <v>0.0</v>
      </c>
      <c r="AK254" s="62">
        <f>IF(OR(AG254="",INDEX(p_rates,1)=""),0,IF(AG254="Facture",SUMIFS(fl_ht,fl_doc,A254,fl_rate,INDEX(p_rates,1)),SUMIFS(dl_ht,dl_doc,F254,dl_rate,INDEX(p_rates,1))))</f>
        <v>0.0</v>
      </c>
      <c r="AL254" s="62">
        <f>IF(OR(AG254="",INDEX(p_rates,2)=""),0,IF(AG254="Facture",SUMIFS(fl_ht,fl_doc,A254,fl_rate,INDEX(p_rates,2)),SUMIFS(dl_ht,dl_doc,F254,dl_rate,INDEX(p_rates,2))))</f>
        <v>0.0</v>
      </c>
      <c r="AM254" s="62">
        <f>IF(OR(AG254="",INDEX(p_rates,3)=""),0,IF(AG254="Facture",SUMIFS(fl_ht,fl_doc,A254,fl_rate,INDEX(p_rates,3)),SUMIFS(dl_ht,dl_doc,F254,dl_rate,INDEX(p_rates,3))))</f>
        <v>0.0</v>
      </c>
      <c r="AN254" s="62">
        <f>IF(OR(AG254="",INDEX(p_rates,4)=""),0,IF(AG254="Facture",SUMIFS(fl_ht,fl_doc,A254,fl_rate,INDEX(p_rates,4)),SUMIFS(dl_ht,dl_doc,F254,dl_rate,INDEX(p_rates,4))))</f>
        <v>0.0</v>
      </c>
      <c r="AO254" s="62">
        <f>IF(OR(AG254="",INDEX(p_rates,5)=""),0,IF(AG254="Facture",SUMIFS(fl_ht,fl_doc,A254,fl_rate,INDEX(p_rates,5)),SUMIFS(dl_ht,dl_doc,F254,dl_rate,INDEX(p_rates,5))))</f>
        <v>0.0</v>
      </c>
      <c r="AP254" s="62">
        <f>IF(OR(AG254="",INDEX(p_rates,6)=""),0,IF(AG254="Facture",SUMIFS(fl_ht,fl_doc,A254,fl_rate,INDEX(p_rates,6)),SUMIFS(dl_ht,dl_doc,F254,dl_rate,INDEX(p_rates,6))))</f>
        <v>0.0</v>
      </c>
      <c r="AQ254" s="62">
        <f>ROUND(AK254*N(INDEX(p_rates,1)),2)+ROUND(AL254*N(INDEX(p_rates,2)),2)+ROUND(AM254*N(INDEX(p_rates,3)),2)+ROUND(AN254*N(INDEX(p_rates,4)),2)+ROUND(AO254*N(INDEX(p_rates,5)),2)+ROUND(AP254*N(INDEX(p_rates,6)),2)</f>
        <v>0.0</v>
      </c>
      <c r="AR254" s="62" t="str">
        <f>IF(OR(L254="",AA254&lt;&gt;"Facture"),"",IFERROR(IF(INDEX(fa_type,MATCH(L254,fa_num,0))="Facture d'acompte",MATCH(L254,fa_num,0),""),""))</f>
        <v/>
      </c>
      <c r="AS254" s="62" t="str">
        <f>IF(W254="","",IF(W254&lt;=0,"",IF(p_asof-P254&lt;=0,"Non échu",IF(p_asof-P254&lt;=30,"1-30 j",IF(p_asof-P254&lt;=60,"31-60 j",IF(p_asof-P254&lt;=90,"61-90 j","Plus de 90 j"))))))</f>
        <v/>
      </c>
      <c r="AT254" s="62" t="str">
        <f>IF(AS254="","",p_asof-P254)</f>
        <v/>
      </c>
      <c r="AU254" s="62" t="str">
        <f>IF(AT254="","",COUNTIF($AT$6:$AT$805,"&gt;"&amp;AT254)+COUNTIF($AT$6:AT254,AT254))</f>
        <v/>
      </c>
    </row>
    <row r="255">
      <c r="A255" s="59" t="str">
        <f>IF(AE255="","",AB255&amp;"-"&amp;AD255&amp;"-"&amp;RIGHT("000"&amp;AE255,4))</f>
        <v/>
      </c>
      <c r="B255" s="60" t="n"/>
      <c r="C255" s="61" t="n"/>
      <c r="D255" s="60" t="n"/>
      <c r="E255" s="62" t="str">
        <f>IF(D255="","",IFERROR(INDEX(cli_name,MATCH(D255,cli_code,0))&amp;"","Client inconnu"))</f>
        <v/>
      </c>
      <c r="F255" s="60" t="n"/>
      <c r="G255" s="63" t="n"/>
      <c r="H255" s="61" t="n"/>
      <c r="I255" s="63" t="n"/>
      <c r="J255" s="60" t="n"/>
      <c r="K255" s="61" t="n"/>
      <c r="L255" s="60" t="n"/>
      <c r="M255" s="60" t="n"/>
      <c r="N255" s="60" t="n"/>
      <c r="O255" s="61" t="n"/>
      <c r="P255" s="64" t="str">
        <f>IF(A255="","",IF(AA255="Avoir",AC255,IF(ISNUMBER(K255),K255,AC255+IF(D255="",N(p_delay),IFERROR(IF(ISNUMBER(INDEX(cli_delay,MATCH(D255,cli_code,0))),INDEX(cli_delay,MATCH(D255,cli_code,0)),N(p_delay)),N(p_delay))))))</f>
        <v/>
      </c>
      <c r="Q255" s="65" t="str">
        <f>IF(A255="","",IF(AA255="Avoir",-1,1)*ROUND(AJ255-IF(AR255="",0,INDEX(fa_htb,AR255)),2))</f>
        <v/>
      </c>
      <c r="R255" s="65" t="str">
        <f>IF(A255="","",IF(AA255="Avoir",-1,1)*ROUND(AQ255-IF(AR255="",0,INDEX(fa_tvab,AR255)),2))</f>
        <v/>
      </c>
      <c r="S255" s="65" t="str">
        <f>IF(A255="","",Q255+R255)</f>
        <v/>
      </c>
      <c r="T255" s="65" t="str">
        <f>IF(AR255="","",INDEX(fa_htb,AR255)+INDEX(fa_tvab,AR255))</f>
        <v/>
      </c>
      <c r="U255" s="65" t="str">
        <f>IF(A255="","",SUMIF(pa_inv,A255,pa_amt))</f>
        <v/>
      </c>
      <c r="V255" s="65" t="str">
        <f>IF(OR(A255="",AA255="Avoir"),"",-SUMIFS(fa_ttc,fa_avof,A255,fa_type,"Avoir"))</f>
        <v/>
      </c>
      <c r="W255" s="65" t="str">
        <f>IF(OR(A255="",AA255="Avoir"),"",ROUND(S255-U255-V255,2))</f>
        <v/>
      </c>
      <c r="X255" s="66" t="str">
        <f>IF(W255="","",IF(AND(W255&gt;0,p_asof&gt;P255),p_asof-P255,""))</f>
        <v/>
      </c>
      <c r="Y255" s="59" t="str">
        <f>IF(A255="","",IF(AA255="Avoir","Avoir",IF(W255&lt;0,"Trop-perçu",IF(W255=0,"Soldée",IF(p_asof&gt;P255,"En retard",IF(U255+V255&gt;0,"Partielle","À échoir"))))))</f>
        <v/>
      </c>
      <c r="Z255" s="59" t="str">
        <f>IF(NOT(COUNTA(B255:D255,F255:O255)&gt;0),"",IF(C255="","Date manquante",IF(NOT(ISNUMBER(C255)),"Date invalide",IF(D255="","Client manquant",IF(ISNA(MATCH(D255,cli_code,0)),"Client inconnu",IF(AC255&lt;SUMPRODUCT(MAX(($AB$6:AB254=AB255)*$AC$6:AC254)),"Date antérieure à la facture précédente",IF(AND(F255&lt;&gt;"",ISNA(MATCH(F255,dv_num,0))),"Devis inconnu",IF(AND(F255&lt;&gt;"",IFERROR(INDEX(dv_client,MATCH(F255,dv_num,0)),D255)&lt;&gt;D255),"Client différent de celui du devis",IF(AG255="","Aucune ligne : saisissez des lignes ou un devis",IF(AND(AI255&lt;&gt;"",COUNTIF($AI$6:AI255,AI255)&gt;1),"Devis déjà repris par une autre facture",IF(AND(AA255="Avoir",M255=""),"Avoir : indiquez la facture d'origine",IF(AND(AA255="Avoir",ISNA(MATCH(M255,fa_num,0))),"Facture d'origine inconnue",IF(AND(AA255&lt;&gt;"Avoir",M255&lt;&gt;""),"« Avoir sur facture » : réservé aux avoirs",IF(AND(L255&lt;&gt;"",AA255&lt;&gt;"Facture"),"Acompte à déduire : réservé aux factures",IF(AND(L255&lt;&gt;"",ISNA(MATCH(L255,fa_num,0))),"Facture d'acompte inconnue",IF(AND(L255&lt;&gt;"",IFERROR(INDEX(fa_type,MATCH(L255,fa_num,0)),"")&lt;&gt;"Facture d'acompte"),"Le n° à déduire n'est pas une facture d'acompte",IF(AND(L255&lt;&gt;"",COUNTIF($L$6:L255,L255)&gt;1),"Acompte déjà déduit sur une autre facture",IF(AND(L255&lt;&gt;"",IFERROR(INDEX(fa_client,MATCH(L255,fa_num,0)),D255)&lt;&gt;D255),"Acompte d'un autre client",IF(AND(AR255&lt;&gt;"",N(Q255)&lt;0),"Acompte supérieur au total de la facture",IF(IF(AG255="Facture",COUNTIFS(fl_doc,A255,fl_check,"&lt;&gt;OK"),IF(AG255="Devis",COUNTIFS(dl_doc,F255,dl_check,"&lt;&gt;OK"),0))&gt;0,"Ligne(s) à corriger",IF(AND(W255&lt;&gt;"",N(W255)&lt;0),"Trop-perçu : vérifiez paiements et avoirs","OK")))))))))))))))))))))</f>
        <v/>
      </c>
      <c r="AA255" s="62" t="str">
        <f>IF(COUNTA(B255:D255,F255:O255)&gt;0,IF(B255="","Facture",B255),"")</f>
        <v/>
      </c>
      <c r="AB255" s="62" t="str">
        <f>IF(AA255="","",IF(AA255="Avoir",p_pav,IF(AA255="Facture d'acompte",p_pac,p_pfa)))</f>
        <v/>
      </c>
      <c r="AC255" s="62">
        <f>IF(ISNUMBER(C255),C255,0)</f>
        <v>0.0</v>
      </c>
      <c r="AD255" s="62" t="str">
        <f>IF(OR(AA255="",AC255=0),"",YEAR(AC255))</f>
        <v/>
      </c>
      <c r="AE255" s="62" t="str">
        <f>IF(AD255="","",COUNTIFS($AB$6:AB255,AB255,$AD$6:AD255,AD255))</f>
        <v/>
      </c>
      <c r="AF255" s="62">
        <f>IF(A255="",0,COUNTIF(fl_doc,A255))</f>
        <v>0.0</v>
      </c>
      <c r="AG255" s="62" t="str">
        <f>IF(A255="","",IF(AF255&gt;0,"Facture",IF(AND(F255&lt;&gt;"",AA255="Facture",ISNUMBER(MATCH(F255,dv_num,0))),"Devis","")))</f>
        <v/>
      </c>
      <c r="AH255" s="62" t="str">
        <f>IF(AND(A255&lt;&gt;"",F255&lt;&gt;"",AA255&lt;&gt;"Avoir"),F255,"")</f>
        <v/>
      </c>
      <c r="AI255" s="62" t="str">
        <f>IF(AG255="Devis",F255,"")</f>
        <v/>
      </c>
      <c r="AJ255" s="62">
        <f>IF(AG255="Facture",SUMIF(fl_doc,A255,fl_ht),IF(AG255="Devis",SUMIF(dl_doc,F255,dl_ht),0))</f>
        <v>0.0</v>
      </c>
      <c r="AK255" s="62">
        <f>IF(OR(AG255="",INDEX(p_rates,1)=""),0,IF(AG255="Facture",SUMIFS(fl_ht,fl_doc,A255,fl_rate,INDEX(p_rates,1)),SUMIFS(dl_ht,dl_doc,F255,dl_rate,INDEX(p_rates,1))))</f>
        <v>0.0</v>
      </c>
      <c r="AL255" s="62">
        <f>IF(OR(AG255="",INDEX(p_rates,2)=""),0,IF(AG255="Facture",SUMIFS(fl_ht,fl_doc,A255,fl_rate,INDEX(p_rates,2)),SUMIFS(dl_ht,dl_doc,F255,dl_rate,INDEX(p_rates,2))))</f>
        <v>0.0</v>
      </c>
      <c r="AM255" s="62">
        <f>IF(OR(AG255="",INDEX(p_rates,3)=""),0,IF(AG255="Facture",SUMIFS(fl_ht,fl_doc,A255,fl_rate,INDEX(p_rates,3)),SUMIFS(dl_ht,dl_doc,F255,dl_rate,INDEX(p_rates,3))))</f>
        <v>0.0</v>
      </c>
      <c r="AN255" s="62">
        <f>IF(OR(AG255="",INDEX(p_rates,4)=""),0,IF(AG255="Facture",SUMIFS(fl_ht,fl_doc,A255,fl_rate,INDEX(p_rates,4)),SUMIFS(dl_ht,dl_doc,F255,dl_rate,INDEX(p_rates,4))))</f>
        <v>0.0</v>
      </c>
      <c r="AO255" s="62">
        <f>IF(OR(AG255="",INDEX(p_rates,5)=""),0,IF(AG255="Facture",SUMIFS(fl_ht,fl_doc,A255,fl_rate,INDEX(p_rates,5)),SUMIFS(dl_ht,dl_doc,F255,dl_rate,INDEX(p_rates,5))))</f>
        <v>0.0</v>
      </c>
      <c r="AP255" s="62">
        <f>IF(OR(AG255="",INDEX(p_rates,6)=""),0,IF(AG255="Facture",SUMIFS(fl_ht,fl_doc,A255,fl_rate,INDEX(p_rates,6)),SUMIFS(dl_ht,dl_doc,F255,dl_rate,INDEX(p_rates,6))))</f>
        <v>0.0</v>
      </c>
      <c r="AQ255" s="62">
        <f>ROUND(AK255*N(INDEX(p_rates,1)),2)+ROUND(AL255*N(INDEX(p_rates,2)),2)+ROUND(AM255*N(INDEX(p_rates,3)),2)+ROUND(AN255*N(INDEX(p_rates,4)),2)+ROUND(AO255*N(INDEX(p_rates,5)),2)+ROUND(AP255*N(INDEX(p_rates,6)),2)</f>
        <v>0.0</v>
      </c>
      <c r="AR255" s="62" t="str">
        <f>IF(OR(L255="",AA255&lt;&gt;"Facture"),"",IFERROR(IF(INDEX(fa_type,MATCH(L255,fa_num,0))="Facture d'acompte",MATCH(L255,fa_num,0),""),""))</f>
        <v/>
      </c>
      <c r="AS255" s="62" t="str">
        <f>IF(W255="","",IF(W255&lt;=0,"",IF(p_asof-P255&lt;=0,"Non échu",IF(p_asof-P255&lt;=30,"1-30 j",IF(p_asof-P255&lt;=60,"31-60 j",IF(p_asof-P255&lt;=90,"61-90 j","Plus de 90 j"))))))</f>
        <v/>
      </c>
      <c r="AT255" s="62" t="str">
        <f>IF(AS255="","",p_asof-P255)</f>
        <v/>
      </c>
      <c r="AU255" s="62" t="str">
        <f>IF(AT255="","",COUNTIF($AT$6:$AT$805,"&gt;"&amp;AT255)+COUNTIF($AT$6:AT255,AT255))</f>
        <v/>
      </c>
    </row>
    <row r="256">
      <c r="A256" s="59" t="str">
        <f>IF(AE256="","",AB256&amp;"-"&amp;AD256&amp;"-"&amp;RIGHT("000"&amp;AE256,4))</f>
        <v/>
      </c>
      <c r="B256" s="60" t="n"/>
      <c r="C256" s="61" t="n"/>
      <c r="D256" s="60" t="n"/>
      <c r="E256" s="62" t="str">
        <f>IF(D256="","",IFERROR(INDEX(cli_name,MATCH(D256,cli_code,0))&amp;"","Client inconnu"))</f>
        <v/>
      </c>
      <c r="F256" s="60" t="n"/>
      <c r="G256" s="63" t="n"/>
      <c r="H256" s="61" t="n"/>
      <c r="I256" s="63" t="n"/>
      <c r="J256" s="60" t="n"/>
      <c r="K256" s="61" t="n"/>
      <c r="L256" s="60" t="n"/>
      <c r="M256" s="60" t="n"/>
      <c r="N256" s="60" t="n"/>
      <c r="O256" s="61" t="n"/>
      <c r="P256" s="64" t="str">
        <f>IF(A256="","",IF(AA256="Avoir",AC256,IF(ISNUMBER(K256),K256,AC256+IF(D256="",N(p_delay),IFERROR(IF(ISNUMBER(INDEX(cli_delay,MATCH(D256,cli_code,0))),INDEX(cli_delay,MATCH(D256,cli_code,0)),N(p_delay)),N(p_delay))))))</f>
        <v/>
      </c>
      <c r="Q256" s="65" t="str">
        <f>IF(A256="","",IF(AA256="Avoir",-1,1)*ROUND(AJ256-IF(AR256="",0,INDEX(fa_htb,AR256)),2))</f>
        <v/>
      </c>
      <c r="R256" s="65" t="str">
        <f>IF(A256="","",IF(AA256="Avoir",-1,1)*ROUND(AQ256-IF(AR256="",0,INDEX(fa_tvab,AR256)),2))</f>
        <v/>
      </c>
      <c r="S256" s="65" t="str">
        <f>IF(A256="","",Q256+R256)</f>
        <v/>
      </c>
      <c r="T256" s="65" t="str">
        <f>IF(AR256="","",INDEX(fa_htb,AR256)+INDEX(fa_tvab,AR256))</f>
        <v/>
      </c>
      <c r="U256" s="65" t="str">
        <f>IF(A256="","",SUMIF(pa_inv,A256,pa_amt))</f>
        <v/>
      </c>
      <c r="V256" s="65" t="str">
        <f>IF(OR(A256="",AA256="Avoir"),"",-SUMIFS(fa_ttc,fa_avof,A256,fa_type,"Avoir"))</f>
        <v/>
      </c>
      <c r="W256" s="65" t="str">
        <f>IF(OR(A256="",AA256="Avoir"),"",ROUND(S256-U256-V256,2))</f>
        <v/>
      </c>
      <c r="X256" s="66" t="str">
        <f>IF(W256="","",IF(AND(W256&gt;0,p_asof&gt;P256),p_asof-P256,""))</f>
        <v/>
      </c>
      <c r="Y256" s="59" t="str">
        <f>IF(A256="","",IF(AA256="Avoir","Avoir",IF(W256&lt;0,"Trop-perçu",IF(W256=0,"Soldée",IF(p_asof&gt;P256,"En retard",IF(U256+V256&gt;0,"Partielle","À échoir"))))))</f>
        <v/>
      </c>
      <c r="Z256" s="59" t="str">
        <f>IF(NOT(COUNTA(B256:D256,F256:O256)&gt;0),"",IF(C256="","Date manquante",IF(NOT(ISNUMBER(C256)),"Date invalide",IF(D256="","Client manquant",IF(ISNA(MATCH(D256,cli_code,0)),"Client inconnu",IF(AC256&lt;SUMPRODUCT(MAX(($AB$6:AB255=AB256)*$AC$6:AC255)),"Date antérieure à la facture précédente",IF(AND(F256&lt;&gt;"",ISNA(MATCH(F256,dv_num,0))),"Devis inconnu",IF(AND(F256&lt;&gt;"",IFERROR(INDEX(dv_client,MATCH(F256,dv_num,0)),D256)&lt;&gt;D256),"Client différent de celui du devis",IF(AG256="","Aucune ligne : saisissez des lignes ou un devis",IF(AND(AI256&lt;&gt;"",COUNTIF($AI$6:AI256,AI256)&gt;1),"Devis déjà repris par une autre facture",IF(AND(AA256="Avoir",M256=""),"Avoir : indiquez la facture d'origine",IF(AND(AA256="Avoir",ISNA(MATCH(M256,fa_num,0))),"Facture d'origine inconnue",IF(AND(AA256&lt;&gt;"Avoir",M256&lt;&gt;""),"« Avoir sur facture » : réservé aux avoirs",IF(AND(L256&lt;&gt;"",AA256&lt;&gt;"Facture"),"Acompte à déduire : réservé aux factures",IF(AND(L256&lt;&gt;"",ISNA(MATCH(L256,fa_num,0))),"Facture d'acompte inconnue",IF(AND(L256&lt;&gt;"",IFERROR(INDEX(fa_type,MATCH(L256,fa_num,0)),"")&lt;&gt;"Facture d'acompte"),"Le n° à déduire n'est pas une facture d'acompte",IF(AND(L256&lt;&gt;"",COUNTIF($L$6:L256,L256)&gt;1),"Acompte déjà déduit sur une autre facture",IF(AND(L256&lt;&gt;"",IFERROR(INDEX(fa_client,MATCH(L256,fa_num,0)),D256)&lt;&gt;D256),"Acompte d'un autre client",IF(AND(AR256&lt;&gt;"",N(Q256)&lt;0),"Acompte supérieur au total de la facture",IF(IF(AG256="Facture",COUNTIFS(fl_doc,A256,fl_check,"&lt;&gt;OK"),IF(AG256="Devis",COUNTIFS(dl_doc,F256,dl_check,"&lt;&gt;OK"),0))&gt;0,"Ligne(s) à corriger",IF(AND(W256&lt;&gt;"",N(W256)&lt;0),"Trop-perçu : vérifiez paiements et avoirs","OK")))))))))))))))))))))</f>
        <v/>
      </c>
      <c r="AA256" s="62" t="str">
        <f>IF(COUNTA(B256:D256,F256:O256)&gt;0,IF(B256="","Facture",B256),"")</f>
        <v/>
      </c>
      <c r="AB256" s="62" t="str">
        <f>IF(AA256="","",IF(AA256="Avoir",p_pav,IF(AA256="Facture d'acompte",p_pac,p_pfa)))</f>
        <v/>
      </c>
      <c r="AC256" s="62">
        <f>IF(ISNUMBER(C256),C256,0)</f>
        <v>0.0</v>
      </c>
      <c r="AD256" s="62" t="str">
        <f>IF(OR(AA256="",AC256=0),"",YEAR(AC256))</f>
        <v/>
      </c>
      <c r="AE256" s="62" t="str">
        <f>IF(AD256="","",COUNTIFS($AB$6:AB256,AB256,$AD$6:AD256,AD256))</f>
        <v/>
      </c>
      <c r="AF256" s="62">
        <f>IF(A256="",0,COUNTIF(fl_doc,A256))</f>
        <v>0.0</v>
      </c>
      <c r="AG256" s="62" t="str">
        <f>IF(A256="","",IF(AF256&gt;0,"Facture",IF(AND(F256&lt;&gt;"",AA256="Facture",ISNUMBER(MATCH(F256,dv_num,0))),"Devis","")))</f>
        <v/>
      </c>
      <c r="AH256" s="62" t="str">
        <f>IF(AND(A256&lt;&gt;"",F256&lt;&gt;"",AA256&lt;&gt;"Avoir"),F256,"")</f>
        <v/>
      </c>
      <c r="AI256" s="62" t="str">
        <f>IF(AG256="Devis",F256,"")</f>
        <v/>
      </c>
      <c r="AJ256" s="62">
        <f>IF(AG256="Facture",SUMIF(fl_doc,A256,fl_ht),IF(AG256="Devis",SUMIF(dl_doc,F256,dl_ht),0))</f>
        <v>0.0</v>
      </c>
      <c r="AK256" s="62">
        <f>IF(OR(AG256="",INDEX(p_rates,1)=""),0,IF(AG256="Facture",SUMIFS(fl_ht,fl_doc,A256,fl_rate,INDEX(p_rates,1)),SUMIFS(dl_ht,dl_doc,F256,dl_rate,INDEX(p_rates,1))))</f>
        <v>0.0</v>
      </c>
      <c r="AL256" s="62">
        <f>IF(OR(AG256="",INDEX(p_rates,2)=""),0,IF(AG256="Facture",SUMIFS(fl_ht,fl_doc,A256,fl_rate,INDEX(p_rates,2)),SUMIFS(dl_ht,dl_doc,F256,dl_rate,INDEX(p_rates,2))))</f>
        <v>0.0</v>
      </c>
      <c r="AM256" s="62">
        <f>IF(OR(AG256="",INDEX(p_rates,3)=""),0,IF(AG256="Facture",SUMIFS(fl_ht,fl_doc,A256,fl_rate,INDEX(p_rates,3)),SUMIFS(dl_ht,dl_doc,F256,dl_rate,INDEX(p_rates,3))))</f>
        <v>0.0</v>
      </c>
      <c r="AN256" s="62">
        <f>IF(OR(AG256="",INDEX(p_rates,4)=""),0,IF(AG256="Facture",SUMIFS(fl_ht,fl_doc,A256,fl_rate,INDEX(p_rates,4)),SUMIFS(dl_ht,dl_doc,F256,dl_rate,INDEX(p_rates,4))))</f>
        <v>0.0</v>
      </c>
      <c r="AO256" s="62">
        <f>IF(OR(AG256="",INDEX(p_rates,5)=""),0,IF(AG256="Facture",SUMIFS(fl_ht,fl_doc,A256,fl_rate,INDEX(p_rates,5)),SUMIFS(dl_ht,dl_doc,F256,dl_rate,INDEX(p_rates,5))))</f>
        <v>0.0</v>
      </c>
      <c r="AP256" s="62">
        <f>IF(OR(AG256="",INDEX(p_rates,6)=""),0,IF(AG256="Facture",SUMIFS(fl_ht,fl_doc,A256,fl_rate,INDEX(p_rates,6)),SUMIFS(dl_ht,dl_doc,F256,dl_rate,INDEX(p_rates,6))))</f>
        <v>0.0</v>
      </c>
      <c r="AQ256" s="62">
        <f>ROUND(AK256*N(INDEX(p_rates,1)),2)+ROUND(AL256*N(INDEX(p_rates,2)),2)+ROUND(AM256*N(INDEX(p_rates,3)),2)+ROUND(AN256*N(INDEX(p_rates,4)),2)+ROUND(AO256*N(INDEX(p_rates,5)),2)+ROUND(AP256*N(INDEX(p_rates,6)),2)</f>
        <v>0.0</v>
      </c>
      <c r="AR256" s="62" t="str">
        <f>IF(OR(L256="",AA256&lt;&gt;"Facture"),"",IFERROR(IF(INDEX(fa_type,MATCH(L256,fa_num,0))="Facture d'acompte",MATCH(L256,fa_num,0),""),""))</f>
        <v/>
      </c>
      <c r="AS256" s="62" t="str">
        <f>IF(W256="","",IF(W256&lt;=0,"",IF(p_asof-P256&lt;=0,"Non échu",IF(p_asof-P256&lt;=30,"1-30 j",IF(p_asof-P256&lt;=60,"31-60 j",IF(p_asof-P256&lt;=90,"61-90 j","Plus de 90 j"))))))</f>
        <v/>
      </c>
      <c r="AT256" s="62" t="str">
        <f>IF(AS256="","",p_asof-P256)</f>
        <v/>
      </c>
      <c r="AU256" s="62" t="str">
        <f>IF(AT256="","",COUNTIF($AT$6:$AT$805,"&gt;"&amp;AT256)+COUNTIF($AT$6:AT256,AT256))</f>
        <v/>
      </c>
    </row>
    <row r="257">
      <c r="A257" s="59" t="str">
        <f>IF(AE257="","",AB257&amp;"-"&amp;AD257&amp;"-"&amp;RIGHT("000"&amp;AE257,4))</f>
        <v/>
      </c>
      <c r="B257" s="60" t="n"/>
      <c r="C257" s="61" t="n"/>
      <c r="D257" s="60" t="n"/>
      <c r="E257" s="62" t="str">
        <f>IF(D257="","",IFERROR(INDEX(cli_name,MATCH(D257,cli_code,0))&amp;"","Client inconnu"))</f>
        <v/>
      </c>
      <c r="F257" s="60" t="n"/>
      <c r="G257" s="63" t="n"/>
      <c r="H257" s="61" t="n"/>
      <c r="I257" s="63" t="n"/>
      <c r="J257" s="60" t="n"/>
      <c r="K257" s="61" t="n"/>
      <c r="L257" s="60" t="n"/>
      <c r="M257" s="60" t="n"/>
      <c r="N257" s="60" t="n"/>
      <c r="O257" s="61" t="n"/>
      <c r="P257" s="64" t="str">
        <f>IF(A257="","",IF(AA257="Avoir",AC257,IF(ISNUMBER(K257),K257,AC257+IF(D257="",N(p_delay),IFERROR(IF(ISNUMBER(INDEX(cli_delay,MATCH(D257,cli_code,0))),INDEX(cli_delay,MATCH(D257,cli_code,0)),N(p_delay)),N(p_delay))))))</f>
        <v/>
      </c>
      <c r="Q257" s="65" t="str">
        <f>IF(A257="","",IF(AA257="Avoir",-1,1)*ROUND(AJ257-IF(AR257="",0,INDEX(fa_htb,AR257)),2))</f>
        <v/>
      </c>
      <c r="R257" s="65" t="str">
        <f>IF(A257="","",IF(AA257="Avoir",-1,1)*ROUND(AQ257-IF(AR257="",0,INDEX(fa_tvab,AR257)),2))</f>
        <v/>
      </c>
      <c r="S257" s="65" t="str">
        <f>IF(A257="","",Q257+R257)</f>
        <v/>
      </c>
      <c r="T257" s="65" t="str">
        <f>IF(AR257="","",INDEX(fa_htb,AR257)+INDEX(fa_tvab,AR257))</f>
        <v/>
      </c>
      <c r="U257" s="65" t="str">
        <f>IF(A257="","",SUMIF(pa_inv,A257,pa_amt))</f>
        <v/>
      </c>
      <c r="V257" s="65" t="str">
        <f>IF(OR(A257="",AA257="Avoir"),"",-SUMIFS(fa_ttc,fa_avof,A257,fa_type,"Avoir"))</f>
        <v/>
      </c>
      <c r="W257" s="65" t="str">
        <f>IF(OR(A257="",AA257="Avoir"),"",ROUND(S257-U257-V257,2))</f>
        <v/>
      </c>
      <c r="X257" s="66" t="str">
        <f>IF(W257="","",IF(AND(W257&gt;0,p_asof&gt;P257),p_asof-P257,""))</f>
        <v/>
      </c>
      <c r="Y257" s="59" t="str">
        <f>IF(A257="","",IF(AA257="Avoir","Avoir",IF(W257&lt;0,"Trop-perçu",IF(W257=0,"Soldée",IF(p_asof&gt;P257,"En retard",IF(U257+V257&gt;0,"Partielle","À échoir"))))))</f>
        <v/>
      </c>
      <c r="Z257" s="59" t="str">
        <f>IF(NOT(COUNTA(B257:D257,F257:O257)&gt;0),"",IF(C257="","Date manquante",IF(NOT(ISNUMBER(C257)),"Date invalide",IF(D257="","Client manquant",IF(ISNA(MATCH(D257,cli_code,0)),"Client inconnu",IF(AC257&lt;SUMPRODUCT(MAX(($AB$6:AB256=AB257)*$AC$6:AC256)),"Date antérieure à la facture précédente",IF(AND(F257&lt;&gt;"",ISNA(MATCH(F257,dv_num,0))),"Devis inconnu",IF(AND(F257&lt;&gt;"",IFERROR(INDEX(dv_client,MATCH(F257,dv_num,0)),D257)&lt;&gt;D257),"Client différent de celui du devis",IF(AG257="","Aucune ligne : saisissez des lignes ou un devis",IF(AND(AI257&lt;&gt;"",COUNTIF($AI$6:AI257,AI257)&gt;1),"Devis déjà repris par une autre facture",IF(AND(AA257="Avoir",M257=""),"Avoir : indiquez la facture d'origine",IF(AND(AA257="Avoir",ISNA(MATCH(M257,fa_num,0))),"Facture d'origine inconnue",IF(AND(AA257&lt;&gt;"Avoir",M257&lt;&gt;""),"« Avoir sur facture » : réservé aux avoirs",IF(AND(L257&lt;&gt;"",AA257&lt;&gt;"Facture"),"Acompte à déduire : réservé aux factures",IF(AND(L257&lt;&gt;"",ISNA(MATCH(L257,fa_num,0))),"Facture d'acompte inconnue",IF(AND(L257&lt;&gt;"",IFERROR(INDEX(fa_type,MATCH(L257,fa_num,0)),"")&lt;&gt;"Facture d'acompte"),"Le n° à déduire n'est pas une facture d'acompte",IF(AND(L257&lt;&gt;"",COUNTIF($L$6:L257,L257)&gt;1),"Acompte déjà déduit sur une autre facture",IF(AND(L257&lt;&gt;"",IFERROR(INDEX(fa_client,MATCH(L257,fa_num,0)),D257)&lt;&gt;D257),"Acompte d'un autre client",IF(AND(AR257&lt;&gt;"",N(Q257)&lt;0),"Acompte supérieur au total de la facture",IF(IF(AG257="Facture",COUNTIFS(fl_doc,A257,fl_check,"&lt;&gt;OK"),IF(AG257="Devis",COUNTIFS(dl_doc,F257,dl_check,"&lt;&gt;OK"),0))&gt;0,"Ligne(s) à corriger",IF(AND(W257&lt;&gt;"",N(W257)&lt;0),"Trop-perçu : vérifiez paiements et avoirs","OK")))))))))))))))))))))</f>
        <v/>
      </c>
      <c r="AA257" s="62" t="str">
        <f>IF(COUNTA(B257:D257,F257:O257)&gt;0,IF(B257="","Facture",B257),"")</f>
        <v/>
      </c>
      <c r="AB257" s="62" t="str">
        <f>IF(AA257="","",IF(AA257="Avoir",p_pav,IF(AA257="Facture d'acompte",p_pac,p_pfa)))</f>
        <v/>
      </c>
      <c r="AC257" s="62">
        <f>IF(ISNUMBER(C257),C257,0)</f>
        <v>0.0</v>
      </c>
      <c r="AD257" s="62" t="str">
        <f>IF(OR(AA257="",AC257=0),"",YEAR(AC257))</f>
        <v/>
      </c>
      <c r="AE257" s="62" t="str">
        <f>IF(AD257="","",COUNTIFS($AB$6:AB257,AB257,$AD$6:AD257,AD257))</f>
        <v/>
      </c>
      <c r="AF257" s="62">
        <f>IF(A257="",0,COUNTIF(fl_doc,A257))</f>
        <v>0.0</v>
      </c>
      <c r="AG257" s="62" t="str">
        <f>IF(A257="","",IF(AF257&gt;0,"Facture",IF(AND(F257&lt;&gt;"",AA257="Facture",ISNUMBER(MATCH(F257,dv_num,0))),"Devis","")))</f>
        <v/>
      </c>
      <c r="AH257" s="62" t="str">
        <f>IF(AND(A257&lt;&gt;"",F257&lt;&gt;"",AA257&lt;&gt;"Avoir"),F257,"")</f>
        <v/>
      </c>
      <c r="AI257" s="62" t="str">
        <f>IF(AG257="Devis",F257,"")</f>
        <v/>
      </c>
      <c r="AJ257" s="62">
        <f>IF(AG257="Facture",SUMIF(fl_doc,A257,fl_ht),IF(AG257="Devis",SUMIF(dl_doc,F257,dl_ht),0))</f>
        <v>0.0</v>
      </c>
      <c r="AK257" s="62">
        <f>IF(OR(AG257="",INDEX(p_rates,1)=""),0,IF(AG257="Facture",SUMIFS(fl_ht,fl_doc,A257,fl_rate,INDEX(p_rates,1)),SUMIFS(dl_ht,dl_doc,F257,dl_rate,INDEX(p_rates,1))))</f>
        <v>0.0</v>
      </c>
      <c r="AL257" s="62">
        <f>IF(OR(AG257="",INDEX(p_rates,2)=""),0,IF(AG257="Facture",SUMIFS(fl_ht,fl_doc,A257,fl_rate,INDEX(p_rates,2)),SUMIFS(dl_ht,dl_doc,F257,dl_rate,INDEX(p_rates,2))))</f>
        <v>0.0</v>
      </c>
      <c r="AM257" s="62">
        <f>IF(OR(AG257="",INDEX(p_rates,3)=""),0,IF(AG257="Facture",SUMIFS(fl_ht,fl_doc,A257,fl_rate,INDEX(p_rates,3)),SUMIFS(dl_ht,dl_doc,F257,dl_rate,INDEX(p_rates,3))))</f>
        <v>0.0</v>
      </c>
      <c r="AN257" s="62">
        <f>IF(OR(AG257="",INDEX(p_rates,4)=""),0,IF(AG257="Facture",SUMIFS(fl_ht,fl_doc,A257,fl_rate,INDEX(p_rates,4)),SUMIFS(dl_ht,dl_doc,F257,dl_rate,INDEX(p_rates,4))))</f>
        <v>0.0</v>
      </c>
      <c r="AO257" s="62">
        <f>IF(OR(AG257="",INDEX(p_rates,5)=""),0,IF(AG257="Facture",SUMIFS(fl_ht,fl_doc,A257,fl_rate,INDEX(p_rates,5)),SUMIFS(dl_ht,dl_doc,F257,dl_rate,INDEX(p_rates,5))))</f>
        <v>0.0</v>
      </c>
      <c r="AP257" s="62">
        <f>IF(OR(AG257="",INDEX(p_rates,6)=""),0,IF(AG257="Facture",SUMIFS(fl_ht,fl_doc,A257,fl_rate,INDEX(p_rates,6)),SUMIFS(dl_ht,dl_doc,F257,dl_rate,INDEX(p_rates,6))))</f>
        <v>0.0</v>
      </c>
      <c r="AQ257" s="62">
        <f>ROUND(AK257*N(INDEX(p_rates,1)),2)+ROUND(AL257*N(INDEX(p_rates,2)),2)+ROUND(AM257*N(INDEX(p_rates,3)),2)+ROUND(AN257*N(INDEX(p_rates,4)),2)+ROUND(AO257*N(INDEX(p_rates,5)),2)+ROUND(AP257*N(INDEX(p_rates,6)),2)</f>
        <v>0.0</v>
      </c>
      <c r="AR257" s="62" t="str">
        <f>IF(OR(L257="",AA257&lt;&gt;"Facture"),"",IFERROR(IF(INDEX(fa_type,MATCH(L257,fa_num,0))="Facture d'acompte",MATCH(L257,fa_num,0),""),""))</f>
        <v/>
      </c>
      <c r="AS257" s="62" t="str">
        <f>IF(W257="","",IF(W257&lt;=0,"",IF(p_asof-P257&lt;=0,"Non échu",IF(p_asof-P257&lt;=30,"1-30 j",IF(p_asof-P257&lt;=60,"31-60 j",IF(p_asof-P257&lt;=90,"61-90 j","Plus de 90 j"))))))</f>
        <v/>
      </c>
      <c r="AT257" s="62" t="str">
        <f>IF(AS257="","",p_asof-P257)</f>
        <v/>
      </c>
      <c r="AU257" s="62" t="str">
        <f>IF(AT257="","",COUNTIF($AT$6:$AT$805,"&gt;"&amp;AT257)+COUNTIF($AT$6:AT257,AT257))</f>
        <v/>
      </c>
    </row>
    <row r="258">
      <c r="A258" s="59" t="str">
        <f>IF(AE258="","",AB258&amp;"-"&amp;AD258&amp;"-"&amp;RIGHT("000"&amp;AE258,4))</f>
        <v/>
      </c>
      <c r="B258" s="60" t="n"/>
      <c r="C258" s="61" t="n"/>
      <c r="D258" s="60" t="n"/>
      <c r="E258" s="62" t="str">
        <f>IF(D258="","",IFERROR(INDEX(cli_name,MATCH(D258,cli_code,0))&amp;"","Client inconnu"))</f>
        <v/>
      </c>
      <c r="F258" s="60" t="n"/>
      <c r="G258" s="63" t="n"/>
      <c r="H258" s="61" t="n"/>
      <c r="I258" s="63" t="n"/>
      <c r="J258" s="60" t="n"/>
      <c r="K258" s="61" t="n"/>
      <c r="L258" s="60" t="n"/>
      <c r="M258" s="60" t="n"/>
      <c r="N258" s="60" t="n"/>
      <c r="O258" s="61" t="n"/>
      <c r="P258" s="64" t="str">
        <f>IF(A258="","",IF(AA258="Avoir",AC258,IF(ISNUMBER(K258),K258,AC258+IF(D258="",N(p_delay),IFERROR(IF(ISNUMBER(INDEX(cli_delay,MATCH(D258,cli_code,0))),INDEX(cli_delay,MATCH(D258,cli_code,0)),N(p_delay)),N(p_delay))))))</f>
        <v/>
      </c>
      <c r="Q258" s="65" t="str">
        <f>IF(A258="","",IF(AA258="Avoir",-1,1)*ROUND(AJ258-IF(AR258="",0,INDEX(fa_htb,AR258)),2))</f>
        <v/>
      </c>
      <c r="R258" s="65" t="str">
        <f>IF(A258="","",IF(AA258="Avoir",-1,1)*ROUND(AQ258-IF(AR258="",0,INDEX(fa_tvab,AR258)),2))</f>
        <v/>
      </c>
      <c r="S258" s="65" t="str">
        <f>IF(A258="","",Q258+R258)</f>
        <v/>
      </c>
      <c r="T258" s="65" t="str">
        <f>IF(AR258="","",INDEX(fa_htb,AR258)+INDEX(fa_tvab,AR258))</f>
        <v/>
      </c>
      <c r="U258" s="65" t="str">
        <f>IF(A258="","",SUMIF(pa_inv,A258,pa_amt))</f>
        <v/>
      </c>
      <c r="V258" s="65" t="str">
        <f>IF(OR(A258="",AA258="Avoir"),"",-SUMIFS(fa_ttc,fa_avof,A258,fa_type,"Avoir"))</f>
        <v/>
      </c>
      <c r="W258" s="65" t="str">
        <f>IF(OR(A258="",AA258="Avoir"),"",ROUND(S258-U258-V258,2))</f>
        <v/>
      </c>
      <c r="X258" s="66" t="str">
        <f>IF(W258="","",IF(AND(W258&gt;0,p_asof&gt;P258),p_asof-P258,""))</f>
        <v/>
      </c>
      <c r="Y258" s="59" t="str">
        <f>IF(A258="","",IF(AA258="Avoir","Avoir",IF(W258&lt;0,"Trop-perçu",IF(W258=0,"Soldée",IF(p_asof&gt;P258,"En retard",IF(U258+V258&gt;0,"Partielle","À échoir"))))))</f>
        <v/>
      </c>
      <c r="Z258" s="59" t="str">
        <f>IF(NOT(COUNTA(B258:D258,F258:O258)&gt;0),"",IF(C258="","Date manquante",IF(NOT(ISNUMBER(C258)),"Date invalide",IF(D258="","Client manquant",IF(ISNA(MATCH(D258,cli_code,0)),"Client inconnu",IF(AC258&lt;SUMPRODUCT(MAX(($AB$6:AB257=AB258)*$AC$6:AC257)),"Date antérieure à la facture précédente",IF(AND(F258&lt;&gt;"",ISNA(MATCH(F258,dv_num,0))),"Devis inconnu",IF(AND(F258&lt;&gt;"",IFERROR(INDEX(dv_client,MATCH(F258,dv_num,0)),D258)&lt;&gt;D258),"Client différent de celui du devis",IF(AG258="","Aucune ligne : saisissez des lignes ou un devis",IF(AND(AI258&lt;&gt;"",COUNTIF($AI$6:AI258,AI258)&gt;1),"Devis déjà repris par une autre facture",IF(AND(AA258="Avoir",M258=""),"Avoir : indiquez la facture d'origine",IF(AND(AA258="Avoir",ISNA(MATCH(M258,fa_num,0))),"Facture d'origine inconnue",IF(AND(AA258&lt;&gt;"Avoir",M258&lt;&gt;""),"« Avoir sur facture » : réservé aux avoirs",IF(AND(L258&lt;&gt;"",AA258&lt;&gt;"Facture"),"Acompte à déduire : réservé aux factures",IF(AND(L258&lt;&gt;"",ISNA(MATCH(L258,fa_num,0))),"Facture d'acompte inconnue",IF(AND(L258&lt;&gt;"",IFERROR(INDEX(fa_type,MATCH(L258,fa_num,0)),"")&lt;&gt;"Facture d'acompte"),"Le n° à déduire n'est pas une facture d'acompte",IF(AND(L258&lt;&gt;"",COUNTIF($L$6:L258,L258)&gt;1),"Acompte déjà déduit sur une autre facture",IF(AND(L258&lt;&gt;"",IFERROR(INDEX(fa_client,MATCH(L258,fa_num,0)),D258)&lt;&gt;D258),"Acompte d'un autre client",IF(AND(AR258&lt;&gt;"",N(Q258)&lt;0),"Acompte supérieur au total de la facture",IF(IF(AG258="Facture",COUNTIFS(fl_doc,A258,fl_check,"&lt;&gt;OK"),IF(AG258="Devis",COUNTIFS(dl_doc,F258,dl_check,"&lt;&gt;OK"),0))&gt;0,"Ligne(s) à corriger",IF(AND(W258&lt;&gt;"",N(W258)&lt;0),"Trop-perçu : vérifiez paiements et avoirs","OK")))))))))))))))))))))</f>
        <v/>
      </c>
      <c r="AA258" s="62" t="str">
        <f>IF(COUNTA(B258:D258,F258:O258)&gt;0,IF(B258="","Facture",B258),"")</f>
        <v/>
      </c>
      <c r="AB258" s="62" t="str">
        <f>IF(AA258="","",IF(AA258="Avoir",p_pav,IF(AA258="Facture d'acompte",p_pac,p_pfa)))</f>
        <v/>
      </c>
      <c r="AC258" s="62">
        <f>IF(ISNUMBER(C258),C258,0)</f>
        <v>0.0</v>
      </c>
      <c r="AD258" s="62" t="str">
        <f>IF(OR(AA258="",AC258=0),"",YEAR(AC258))</f>
        <v/>
      </c>
      <c r="AE258" s="62" t="str">
        <f>IF(AD258="","",COUNTIFS($AB$6:AB258,AB258,$AD$6:AD258,AD258))</f>
        <v/>
      </c>
      <c r="AF258" s="62">
        <f>IF(A258="",0,COUNTIF(fl_doc,A258))</f>
        <v>0.0</v>
      </c>
      <c r="AG258" s="62" t="str">
        <f>IF(A258="","",IF(AF258&gt;0,"Facture",IF(AND(F258&lt;&gt;"",AA258="Facture",ISNUMBER(MATCH(F258,dv_num,0))),"Devis","")))</f>
        <v/>
      </c>
      <c r="AH258" s="62" t="str">
        <f>IF(AND(A258&lt;&gt;"",F258&lt;&gt;"",AA258&lt;&gt;"Avoir"),F258,"")</f>
        <v/>
      </c>
      <c r="AI258" s="62" t="str">
        <f>IF(AG258="Devis",F258,"")</f>
        <v/>
      </c>
      <c r="AJ258" s="62">
        <f>IF(AG258="Facture",SUMIF(fl_doc,A258,fl_ht),IF(AG258="Devis",SUMIF(dl_doc,F258,dl_ht),0))</f>
        <v>0.0</v>
      </c>
      <c r="AK258" s="62">
        <f>IF(OR(AG258="",INDEX(p_rates,1)=""),0,IF(AG258="Facture",SUMIFS(fl_ht,fl_doc,A258,fl_rate,INDEX(p_rates,1)),SUMIFS(dl_ht,dl_doc,F258,dl_rate,INDEX(p_rates,1))))</f>
        <v>0.0</v>
      </c>
      <c r="AL258" s="62">
        <f>IF(OR(AG258="",INDEX(p_rates,2)=""),0,IF(AG258="Facture",SUMIFS(fl_ht,fl_doc,A258,fl_rate,INDEX(p_rates,2)),SUMIFS(dl_ht,dl_doc,F258,dl_rate,INDEX(p_rates,2))))</f>
        <v>0.0</v>
      </c>
      <c r="AM258" s="62">
        <f>IF(OR(AG258="",INDEX(p_rates,3)=""),0,IF(AG258="Facture",SUMIFS(fl_ht,fl_doc,A258,fl_rate,INDEX(p_rates,3)),SUMIFS(dl_ht,dl_doc,F258,dl_rate,INDEX(p_rates,3))))</f>
        <v>0.0</v>
      </c>
      <c r="AN258" s="62">
        <f>IF(OR(AG258="",INDEX(p_rates,4)=""),0,IF(AG258="Facture",SUMIFS(fl_ht,fl_doc,A258,fl_rate,INDEX(p_rates,4)),SUMIFS(dl_ht,dl_doc,F258,dl_rate,INDEX(p_rates,4))))</f>
        <v>0.0</v>
      </c>
      <c r="AO258" s="62">
        <f>IF(OR(AG258="",INDEX(p_rates,5)=""),0,IF(AG258="Facture",SUMIFS(fl_ht,fl_doc,A258,fl_rate,INDEX(p_rates,5)),SUMIFS(dl_ht,dl_doc,F258,dl_rate,INDEX(p_rates,5))))</f>
        <v>0.0</v>
      </c>
      <c r="AP258" s="62">
        <f>IF(OR(AG258="",INDEX(p_rates,6)=""),0,IF(AG258="Facture",SUMIFS(fl_ht,fl_doc,A258,fl_rate,INDEX(p_rates,6)),SUMIFS(dl_ht,dl_doc,F258,dl_rate,INDEX(p_rates,6))))</f>
        <v>0.0</v>
      </c>
      <c r="AQ258" s="62">
        <f>ROUND(AK258*N(INDEX(p_rates,1)),2)+ROUND(AL258*N(INDEX(p_rates,2)),2)+ROUND(AM258*N(INDEX(p_rates,3)),2)+ROUND(AN258*N(INDEX(p_rates,4)),2)+ROUND(AO258*N(INDEX(p_rates,5)),2)+ROUND(AP258*N(INDEX(p_rates,6)),2)</f>
        <v>0.0</v>
      </c>
      <c r="AR258" s="62" t="str">
        <f>IF(OR(L258="",AA258&lt;&gt;"Facture"),"",IFERROR(IF(INDEX(fa_type,MATCH(L258,fa_num,0))="Facture d'acompte",MATCH(L258,fa_num,0),""),""))</f>
        <v/>
      </c>
      <c r="AS258" s="62" t="str">
        <f>IF(W258="","",IF(W258&lt;=0,"",IF(p_asof-P258&lt;=0,"Non échu",IF(p_asof-P258&lt;=30,"1-30 j",IF(p_asof-P258&lt;=60,"31-60 j",IF(p_asof-P258&lt;=90,"61-90 j","Plus de 90 j"))))))</f>
        <v/>
      </c>
      <c r="AT258" s="62" t="str">
        <f>IF(AS258="","",p_asof-P258)</f>
        <v/>
      </c>
      <c r="AU258" s="62" t="str">
        <f>IF(AT258="","",COUNTIF($AT$6:$AT$805,"&gt;"&amp;AT258)+COUNTIF($AT$6:AT258,AT258))</f>
        <v/>
      </c>
    </row>
    <row r="259">
      <c r="A259" s="59" t="str">
        <f>IF(AE259="","",AB259&amp;"-"&amp;AD259&amp;"-"&amp;RIGHT("000"&amp;AE259,4))</f>
        <v/>
      </c>
      <c r="B259" s="60" t="n"/>
      <c r="C259" s="61" t="n"/>
      <c r="D259" s="60" t="n"/>
      <c r="E259" s="62" t="str">
        <f>IF(D259="","",IFERROR(INDEX(cli_name,MATCH(D259,cli_code,0))&amp;"","Client inconnu"))</f>
        <v/>
      </c>
      <c r="F259" s="60" t="n"/>
      <c r="G259" s="63" t="n"/>
      <c r="H259" s="61" t="n"/>
      <c r="I259" s="63" t="n"/>
      <c r="J259" s="60" t="n"/>
      <c r="K259" s="61" t="n"/>
      <c r="L259" s="60" t="n"/>
      <c r="M259" s="60" t="n"/>
      <c r="N259" s="60" t="n"/>
      <c r="O259" s="61" t="n"/>
      <c r="P259" s="64" t="str">
        <f>IF(A259="","",IF(AA259="Avoir",AC259,IF(ISNUMBER(K259),K259,AC259+IF(D259="",N(p_delay),IFERROR(IF(ISNUMBER(INDEX(cli_delay,MATCH(D259,cli_code,0))),INDEX(cli_delay,MATCH(D259,cli_code,0)),N(p_delay)),N(p_delay))))))</f>
        <v/>
      </c>
      <c r="Q259" s="65" t="str">
        <f>IF(A259="","",IF(AA259="Avoir",-1,1)*ROUND(AJ259-IF(AR259="",0,INDEX(fa_htb,AR259)),2))</f>
        <v/>
      </c>
      <c r="R259" s="65" t="str">
        <f>IF(A259="","",IF(AA259="Avoir",-1,1)*ROUND(AQ259-IF(AR259="",0,INDEX(fa_tvab,AR259)),2))</f>
        <v/>
      </c>
      <c r="S259" s="65" t="str">
        <f>IF(A259="","",Q259+R259)</f>
        <v/>
      </c>
      <c r="T259" s="65" t="str">
        <f>IF(AR259="","",INDEX(fa_htb,AR259)+INDEX(fa_tvab,AR259))</f>
        <v/>
      </c>
      <c r="U259" s="65" t="str">
        <f>IF(A259="","",SUMIF(pa_inv,A259,pa_amt))</f>
        <v/>
      </c>
      <c r="V259" s="65" t="str">
        <f>IF(OR(A259="",AA259="Avoir"),"",-SUMIFS(fa_ttc,fa_avof,A259,fa_type,"Avoir"))</f>
        <v/>
      </c>
      <c r="W259" s="65" t="str">
        <f>IF(OR(A259="",AA259="Avoir"),"",ROUND(S259-U259-V259,2))</f>
        <v/>
      </c>
      <c r="X259" s="66" t="str">
        <f>IF(W259="","",IF(AND(W259&gt;0,p_asof&gt;P259),p_asof-P259,""))</f>
        <v/>
      </c>
      <c r="Y259" s="59" t="str">
        <f>IF(A259="","",IF(AA259="Avoir","Avoir",IF(W259&lt;0,"Trop-perçu",IF(W259=0,"Soldée",IF(p_asof&gt;P259,"En retard",IF(U259+V259&gt;0,"Partielle","À échoir"))))))</f>
        <v/>
      </c>
      <c r="Z259" s="59" t="str">
        <f>IF(NOT(COUNTA(B259:D259,F259:O259)&gt;0),"",IF(C259="","Date manquante",IF(NOT(ISNUMBER(C259)),"Date invalide",IF(D259="","Client manquant",IF(ISNA(MATCH(D259,cli_code,0)),"Client inconnu",IF(AC259&lt;SUMPRODUCT(MAX(($AB$6:AB258=AB259)*$AC$6:AC258)),"Date antérieure à la facture précédente",IF(AND(F259&lt;&gt;"",ISNA(MATCH(F259,dv_num,0))),"Devis inconnu",IF(AND(F259&lt;&gt;"",IFERROR(INDEX(dv_client,MATCH(F259,dv_num,0)),D259)&lt;&gt;D259),"Client différent de celui du devis",IF(AG259="","Aucune ligne : saisissez des lignes ou un devis",IF(AND(AI259&lt;&gt;"",COUNTIF($AI$6:AI259,AI259)&gt;1),"Devis déjà repris par une autre facture",IF(AND(AA259="Avoir",M259=""),"Avoir : indiquez la facture d'origine",IF(AND(AA259="Avoir",ISNA(MATCH(M259,fa_num,0))),"Facture d'origine inconnue",IF(AND(AA259&lt;&gt;"Avoir",M259&lt;&gt;""),"« Avoir sur facture » : réservé aux avoirs",IF(AND(L259&lt;&gt;"",AA259&lt;&gt;"Facture"),"Acompte à déduire : réservé aux factures",IF(AND(L259&lt;&gt;"",ISNA(MATCH(L259,fa_num,0))),"Facture d'acompte inconnue",IF(AND(L259&lt;&gt;"",IFERROR(INDEX(fa_type,MATCH(L259,fa_num,0)),"")&lt;&gt;"Facture d'acompte"),"Le n° à déduire n'est pas une facture d'acompte",IF(AND(L259&lt;&gt;"",COUNTIF($L$6:L259,L259)&gt;1),"Acompte déjà déduit sur une autre facture",IF(AND(L259&lt;&gt;"",IFERROR(INDEX(fa_client,MATCH(L259,fa_num,0)),D259)&lt;&gt;D259),"Acompte d'un autre client",IF(AND(AR259&lt;&gt;"",N(Q259)&lt;0),"Acompte supérieur au total de la facture",IF(IF(AG259="Facture",COUNTIFS(fl_doc,A259,fl_check,"&lt;&gt;OK"),IF(AG259="Devis",COUNTIFS(dl_doc,F259,dl_check,"&lt;&gt;OK"),0))&gt;0,"Ligne(s) à corriger",IF(AND(W259&lt;&gt;"",N(W259)&lt;0),"Trop-perçu : vérifiez paiements et avoirs","OK")))))))))))))))))))))</f>
        <v/>
      </c>
      <c r="AA259" s="62" t="str">
        <f>IF(COUNTA(B259:D259,F259:O259)&gt;0,IF(B259="","Facture",B259),"")</f>
        <v/>
      </c>
      <c r="AB259" s="62" t="str">
        <f>IF(AA259="","",IF(AA259="Avoir",p_pav,IF(AA259="Facture d'acompte",p_pac,p_pfa)))</f>
        <v/>
      </c>
      <c r="AC259" s="62">
        <f>IF(ISNUMBER(C259),C259,0)</f>
        <v>0.0</v>
      </c>
      <c r="AD259" s="62" t="str">
        <f>IF(OR(AA259="",AC259=0),"",YEAR(AC259))</f>
        <v/>
      </c>
      <c r="AE259" s="62" t="str">
        <f>IF(AD259="","",COUNTIFS($AB$6:AB259,AB259,$AD$6:AD259,AD259))</f>
        <v/>
      </c>
      <c r="AF259" s="62">
        <f>IF(A259="",0,COUNTIF(fl_doc,A259))</f>
        <v>0.0</v>
      </c>
      <c r="AG259" s="62" t="str">
        <f>IF(A259="","",IF(AF259&gt;0,"Facture",IF(AND(F259&lt;&gt;"",AA259="Facture",ISNUMBER(MATCH(F259,dv_num,0))),"Devis","")))</f>
        <v/>
      </c>
      <c r="AH259" s="62" t="str">
        <f>IF(AND(A259&lt;&gt;"",F259&lt;&gt;"",AA259&lt;&gt;"Avoir"),F259,"")</f>
        <v/>
      </c>
      <c r="AI259" s="62" t="str">
        <f>IF(AG259="Devis",F259,"")</f>
        <v/>
      </c>
      <c r="AJ259" s="62">
        <f>IF(AG259="Facture",SUMIF(fl_doc,A259,fl_ht),IF(AG259="Devis",SUMIF(dl_doc,F259,dl_ht),0))</f>
        <v>0.0</v>
      </c>
      <c r="AK259" s="62">
        <f>IF(OR(AG259="",INDEX(p_rates,1)=""),0,IF(AG259="Facture",SUMIFS(fl_ht,fl_doc,A259,fl_rate,INDEX(p_rates,1)),SUMIFS(dl_ht,dl_doc,F259,dl_rate,INDEX(p_rates,1))))</f>
        <v>0.0</v>
      </c>
      <c r="AL259" s="62">
        <f>IF(OR(AG259="",INDEX(p_rates,2)=""),0,IF(AG259="Facture",SUMIFS(fl_ht,fl_doc,A259,fl_rate,INDEX(p_rates,2)),SUMIFS(dl_ht,dl_doc,F259,dl_rate,INDEX(p_rates,2))))</f>
        <v>0.0</v>
      </c>
      <c r="AM259" s="62">
        <f>IF(OR(AG259="",INDEX(p_rates,3)=""),0,IF(AG259="Facture",SUMIFS(fl_ht,fl_doc,A259,fl_rate,INDEX(p_rates,3)),SUMIFS(dl_ht,dl_doc,F259,dl_rate,INDEX(p_rates,3))))</f>
        <v>0.0</v>
      </c>
      <c r="AN259" s="62">
        <f>IF(OR(AG259="",INDEX(p_rates,4)=""),0,IF(AG259="Facture",SUMIFS(fl_ht,fl_doc,A259,fl_rate,INDEX(p_rates,4)),SUMIFS(dl_ht,dl_doc,F259,dl_rate,INDEX(p_rates,4))))</f>
        <v>0.0</v>
      </c>
      <c r="AO259" s="62">
        <f>IF(OR(AG259="",INDEX(p_rates,5)=""),0,IF(AG259="Facture",SUMIFS(fl_ht,fl_doc,A259,fl_rate,INDEX(p_rates,5)),SUMIFS(dl_ht,dl_doc,F259,dl_rate,INDEX(p_rates,5))))</f>
        <v>0.0</v>
      </c>
      <c r="AP259" s="62">
        <f>IF(OR(AG259="",INDEX(p_rates,6)=""),0,IF(AG259="Facture",SUMIFS(fl_ht,fl_doc,A259,fl_rate,INDEX(p_rates,6)),SUMIFS(dl_ht,dl_doc,F259,dl_rate,INDEX(p_rates,6))))</f>
        <v>0.0</v>
      </c>
      <c r="AQ259" s="62">
        <f>ROUND(AK259*N(INDEX(p_rates,1)),2)+ROUND(AL259*N(INDEX(p_rates,2)),2)+ROUND(AM259*N(INDEX(p_rates,3)),2)+ROUND(AN259*N(INDEX(p_rates,4)),2)+ROUND(AO259*N(INDEX(p_rates,5)),2)+ROUND(AP259*N(INDEX(p_rates,6)),2)</f>
        <v>0.0</v>
      </c>
      <c r="AR259" s="62" t="str">
        <f>IF(OR(L259="",AA259&lt;&gt;"Facture"),"",IFERROR(IF(INDEX(fa_type,MATCH(L259,fa_num,0))="Facture d'acompte",MATCH(L259,fa_num,0),""),""))</f>
        <v/>
      </c>
      <c r="AS259" s="62" t="str">
        <f>IF(W259="","",IF(W259&lt;=0,"",IF(p_asof-P259&lt;=0,"Non échu",IF(p_asof-P259&lt;=30,"1-30 j",IF(p_asof-P259&lt;=60,"31-60 j",IF(p_asof-P259&lt;=90,"61-90 j","Plus de 90 j"))))))</f>
        <v/>
      </c>
      <c r="AT259" s="62" t="str">
        <f>IF(AS259="","",p_asof-P259)</f>
        <v/>
      </c>
      <c r="AU259" s="62" t="str">
        <f>IF(AT259="","",COUNTIF($AT$6:$AT$805,"&gt;"&amp;AT259)+COUNTIF($AT$6:AT259,AT259))</f>
        <v/>
      </c>
    </row>
    <row r="260">
      <c r="A260" s="59" t="str">
        <f>IF(AE260="","",AB260&amp;"-"&amp;AD260&amp;"-"&amp;RIGHT("000"&amp;AE260,4))</f>
        <v/>
      </c>
      <c r="B260" s="60" t="n"/>
      <c r="C260" s="61" t="n"/>
      <c r="D260" s="60" t="n"/>
      <c r="E260" s="62" t="str">
        <f>IF(D260="","",IFERROR(INDEX(cli_name,MATCH(D260,cli_code,0))&amp;"","Client inconnu"))</f>
        <v/>
      </c>
      <c r="F260" s="60" t="n"/>
      <c r="G260" s="63" t="n"/>
      <c r="H260" s="61" t="n"/>
      <c r="I260" s="63" t="n"/>
      <c r="J260" s="60" t="n"/>
      <c r="K260" s="61" t="n"/>
      <c r="L260" s="60" t="n"/>
      <c r="M260" s="60" t="n"/>
      <c r="N260" s="60" t="n"/>
      <c r="O260" s="61" t="n"/>
      <c r="P260" s="64" t="str">
        <f>IF(A260="","",IF(AA260="Avoir",AC260,IF(ISNUMBER(K260),K260,AC260+IF(D260="",N(p_delay),IFERROR(IF(ISNUMBER(INDEX(cli_delay,MATCH(D260,cli_code,0))),INDEX(cli_delay,MATCH(D260,cli_code,0)),N(p_delay)),N(p_delay))))))</f>
        <v/>
      </c>
      <c r="Q260" s="65" t="str">
        <f>IF(A260="","",IF(AA260="Avoir",-1,1)*ROUND(AJ260-IF(AR260="",0,INDEX(fa_htb,AR260)),2))</f>
        <v/>
      </c>
      <c r="R260" s="65" t="str">
        <f>IF(A260="","",IF(AA260="Avoir",-1,1)*ROUND(AQ260-IF(AR260="",0,INDEX(fa_tvab,AR260)),2))</f>
        <v/>
      </c>
      <c r="S260" s="65" t="str">
        <f>IF(A260="","",Q260+R260)</f>
        <v/>
      </c>
      <c r="T260" s="65" t="str">
        <f>IF(AR260="","",INDEX(fa_htb,AR260)+INDEX(fa_tvab,AR260))</f>
        <v/>
      </c>
      <c r="U260" s="65" t="str">
        <f>IF(A260="","",SUMIF(pa_inv,A260,pa_amt))</f>
        <v/>
      </c>
      <c r="V260" s="65" t="str">
        <f>IF(OR(A260="",AA260="Avoir"),"",-SUMIFS(fa_ttc,fa_avof,A260,fa_type,"Avoir"))</f>
        <v/>
      </c>
      <c r="W260" s="65" t="str">
        <f>IF(OR(A260="",AA260="Avoir"),"",ROUND(S260-U260-V260,2))</f>
        <v/>
      </c>
      <c r="X260" s="66" t="str">
        <f>IF(W260="","",IF(AND(W260&gt;0,p_asof&gt;P260),p_asof-P260,""))</f>
        <v/>
      </c>
      <c r="Y260" s="59" t="str">
        <f>IF(A260="","",IF(AA260="Avoir","Avoir",IF(W260&lt;0,"Trop-perçu",IF(W260=0,"Soldée",IF(p_asof&gt;P260,"En retard",IF(U260+V260&gt;0,"Partielle","À échoir"))))))</f>
        <v/>
      </c>
      <c r="Z260" s="59" t="str">
        <f>IF(NOT(COUNTA(B260:D260,F260:O260)&gt;0),"",IF(C260="","Date manquante",IF(NOT(ISNUMBER(C260)),"Date invalide",IF(D260="","Client manquant",IF(ISNA(MATCH(D260,cli_code,0)),"Client inconnu",IF(AC260&lt;SUMPRODUCT(MAX(($AB$6:AB259=AB260)*$AC$6:AC259)),"Date antérieure à la facture précédente",IF(AND(F260&lt;&gt;"",ISNA(MATCH(F260,dv_num,0))),"Devis inconnu",IF(AND(F260&lt;&gt;"",IFERROR(INDEX(dv_client,MATCH(F260,dv_num,0)),D260)&lt;&gt;D260),"Client différent de celui du devis",IF(AG260="","Aucune ligne : saisissez des lignes ou un devis",IF(AND(AI260&lt;&gt;"",COUNTIF($AI$6:AI260,AI260)&gt;1),"Devis déjà repris par une autre facture",IF(AND(AA260="Avoir",M260=""),"Avoir : indiquez la facture d'origine",IF(AND(AA260="Avoir",ISNA(MATCH(M260,fa_num,0))),"Facture d'origine inconnue",IF(AND(AA260&lt;&gt;"Avoir",M260&lt;&gt;""),"« Avoir sur facture » : réservé aux avoirs",IF(AND(L260&lt;&gt;"",AA260&lt;&gt;"Facture"),"Acompte à déduire : réservé aux factures",IF(AND(L260&lt;&gt;"",ISNA(MATCH(L260,fa_num,0))),"Facture d'acompte inconnue",IF(AND(L260&lt;&gt;"",IFERROR(INDEX(fa_type,MATCH(L260,fa_num,0)),"")&lt;&gt;"Facture d'acompte"),"Le n° à déduire n'est pas une facture d'acompte",IF(AND(L260&lt;&gt;"",COUNTIF($L$6:L260,L260)&gt;1),"Acompte déjà déduit sur une autre facture",IF(AND(L260&lt;&gt;"",IFERROR(INDEX(fa_client,MATCH(L260,fa_num,0)),D260)&lt;&gt;D260),"Acompte d'un autre client",IF(AND(AR260&lt;&gt;"",N(Q260)&lt;0),"Acompte supérieur au total de la facture",IF(IF(AG260="Facture",COUNTIFS(fl_doc,A260,fl_check,"&lt;&gt;OK"),IF(AG260="Devis",COUNTIFS(dl_doc,F260,dl_check,"&lt;&gt;OK"),0))&gt;0,"Ligne(s) à corriger",IF(AND(W260&lt;&gt;"",N(W260)&lt;0),"Trop-perçu : vérifiez paiements et avoirs","OK")))))))))))))))))))))</f>
        <v/>
      </c>
      <c r="AA260" s="62" t="str">
        <f>IF(COUNTA(B260:D260,F260:O260)&gt;0,IF(B260="","Facture",B260),"")</f>
        <v/>
      </c>
      <c r="AB260" s="62" t="str">
        <f>IF(AA260="","",IF(AA260="Avoir",p_pav,IF(AA260="Facture d'acompte",p_pac,p_pfa)))</f>
        <v/>
      </c>
      <c r="AC260" s="62">
        <f>IF(ISNUMBER(C260),C260,0)</f>
        <v>0.0</v>
      </c>
      <c r="AD260" s="62" t="str">
        <f>IF(OR(AA260="",AC260=0),"",YEAR(AC260))</f>
        <v/>
      </c>
      <c r="AE260" s="62" t="str">
        <f>IF(AD260="","",COUNTIFS($AB$6:AB260,AB260,$AD$6:AD260,AD260))</f>
        <v/>
      </c>
      <c r="AF260" s="62">
        <f>IF(A260="",0,COUNTIF(fl_doc,A260))</f>
        <v>0.0</v>
      </c>
      <c r="AG260" s="62" t="str">
        <f>IF(A260="","",IF(AF260&gt;0,"Facture",IF(AND(F260&lt;&gt;"",AA260="Facture",ISNUMBER(MATCH(F260,dv_num,0))),"Devis","")))</f>
        <v/>
      </c>
      <c r="AH260" s="62" t="str">
        <f>IF(AND(A260&lt;&gt;"",F260&lt;&gt;"",AA260&lt;&gt;"Avoir"),F260,"")</f>
        <v/>
      </c>
      <c r="AI260" s="62" t="str">
        <f>IF(AG260="Devis",F260,"")</f>
        <v/>
      </c>
      <c r="AJ260" s="62">
        <f>IF(AG260="Facture",SUMIF(fl_doc,A260,fl_ht),IF(AG260="Devis",SUMIF(dl_doc,F260,dl_ht),0))</f>
        <v>0.0</v>
      </c>
      <c r="AK260" s="62">
        <f>IF(OR(AG260="",INDEX(p_rates,1)=""),0,IF(AG260="Facture",SUMIFS(fl_ht,fl_doc,A260,fl_rate,INDEX(p_rates,1)),SUMIFS(dl_ht,dl_doc,F260,dl_rate,INDEX(p_rates,1))))</f>
        <v>0.0</v>
      </c>
      <c r="AL260" s="62">
        <f>IF(OR(AG260="",INDEX(p_rates,2)=""),0,IF(AG260="Facture",SUMIFS(fl_ht,fl_doc,A260,fl_rate,INDEX(p_rates,2)),SUMIFS(dl_ht,dl_doc,F260,dl_rate,INDEX(p_rates,2))))</f>
        <v>0.0</v>
      </c>
      <c r="AM260" s="62">
        <f>IF(OR(AG260="",INDEX(p_rates,3)=""),0,IF(AG260="Facture",SUMIFS(fl_ht,fl_doc,A260,fl_rate,INDEX(p_rates,3)),SUMIFS(dl_ht,dl_doc,F260,dl_rate,INDEX(p_rates,3))))</f>
        <v>0.0</v>
      </c>
      <c r="AN260" s="62">
        <f>IF(OR(AG260="",INDEX(p_rates,4)=""),0,IF(AG260="Facture",SUMIFS(fl_ht,fl_doc,A260,fl_rate,INDEX(p_rates,4)),SUMIFS(dl_ht,dl_doc,F260,dl_rate,INDEX(p_rates,4))))</f>
        <v>0.0</v>
      </c>
      <c r="AO260" s="62">
        <f>IF(OR(AG260="",INDEX(p_rates,5)=""),0,IF(AG260="Facture",SUMIFS(fl_ht,fl_doc,A260,fl_rate,INDEX(p_rates,5)),SUMIFS(dl_ht,dl_doc,F260,dl_rate,INDEX(p_rates,5))))</f>
        <v>0.0</v>
      </c>
      <c r="AP260" s="62">
        <f>IF(OR(AG260="",INDEX(p_rates,6)=""),0,IF(AG260="Facture",SUMIFS(fl_ht,fl_doc,A260,fl_rate,INDEX(p_rates,6)),SUMIFS(dl_ht,dl_doc,F260,dl_rate,INDEX(p_rates,6))))</f>
        <v>0.0</v>
      </c>
      <c r="AQ260" s="62">
        <f>ROUND(AK260*N(INDEX(p_rates,1)),2)+ROUND(AL260*N(INDEX(p_rates,2)),2)+ROUND(AM260*N(INDEX(p_rates,3)),2)+ROUND(AN260*N(INDEX(p_rates,4)),2)+ROUND(AO260*N(INDEX(p_rates,5)),2)+ROUND(AP260*N(INDEX(p_rates,6)),2)</f>
        <v>0.0</v>
      </c>
      <c r="AR260" s="62" t="str">
        <f>IF(OR(L260="",AA260&lt;&gt;"Facture"),"",IFERROR(IF(INDEX(fa_type,MATCH(L260,fa_num,0))="Facture d'acompte",MATCH(L260,fa_num,0),""),""))</f>
        <v/>
      </c>
      <c r="AS260" s="62" t="str">
        <f>IF(W260="","",IF(W260&lt;=0,"",IF(p_asof-P260&lt;=0,"Non échu",IF(p_asof-P260&lt;=30,"1-30 j",IF(p_asof-P260&lt;=60,"31-60 j",IF(p_asof-P260&lt;=90,"61-90 j","Plus de 90 j"))))))</f>
        <v/>
      </c>
      <c r="AT260" s="62" t="str">
        <f>IF(AS260="","",p_asof-P260)</f>
        <v/>
      </c>
      <c r="AU260" s="62" t="str">
        <f>IF(AT260="","",COUNTIF($AT$6:$AT$805,"&gt;"&amp;AT260)+COUNTIF($AT$6:AT260,AT260))</f>
        <v/>
      </c>
    </row>
    <row r="261">
      <c r="A261" s="59" t="str">
        <f>IF(AE261="","",AB261&amp;"-"&amp;AD261&amp;"-"&amp;RIGHT("000"&amp;AE261,4))</f>
        <v/>
      </c>
      <c r="B261" s="60" t="n"/>
      <c r="C261" s="61" t="n"/>
      <c r="D261" s="60" t="n"/>
      <c r="E261" s="62" t="str">
        <f>IF(D261="","",IFERROR(INDEX(cli_name,MATCH(D261,cli_code,0))&amp;"","Client inconnu"))</f>
        <v/>
      </c>
      <c r="F261" s="60" t="n"/>
      <c r="G261" s="63" t="n"/>
      <c r="H261" s="61" t="n"/>
      <c r="I261" s="63" t="n"/>
      <c r="J261" s="60" t="n"/>
      <c r="K261" s="61" t="n"/>
      <c r="L261" s="60" t="n"/>
      <c r="M261" s="60" t="n"/>
      <c r="N261" s="60" t="n"/>
      <c r="O261" s="61" t="n"/>
      <c r="P261" s="64" t="str">
        <f>IF(A261="","",IF(AA261="Avoir",AC261,IF(ISNUMBER(K261),K261,AC261+IF(D261="",N(p_delay),IFERROR(IF(ISNUMBER(INDEX(cli_delay,MATCH(D261,cli_code,0))),INDEX(cli_delay,MATCH(D261,cli_code,0)),N(p_delay)),N(p_delay))))))</f>
        <v/>
      </c>
      <c r="Q261" s="65" t="str">
        <f>IF(A261="","",IF(AA261="Avoir",-1,1)*ROUND(AJ261-IF(AR261="",0,INDEX(fa_htb,AR261)),2))</f>
        <v/>
      </c>
      <c r="R261" s="65" t="str">
        <f>IF(A261="","",IF(AA261="Avoir",-1,1)*ROUND(AQ261-IF(AR261="",0,INDEX(fa_tvab,AR261)),2))</f>
        <v/>
      </c>
      <c r="S261" s="65" t="str">
        <f>IF(A261="","",Q261+R261)</f>
        <v/>
      </c>
      <c r="T261" s="65" t="str">
        <f>IF(AR261="","",INDEX(fa_htb,AR261)+INDEX(fa_tvab,AR261))</f>
        <v/>
      </c>
      <c r="U261" s="65" t="str">
        <f>IF(A261="","",SUMIF(pa_inv,A261,pa_amt))</f>
        <v/>
      </c>
      <c r="V261" s="65" t="str">
        <f>IF(OR(A261="",AA261="Avoir"),"",-SUMIFS(fa_ttc,fa_avof,A261,fa_type,"Avoir"))</f>
        <v/>
      </c>
      <c r="W261" s="65" t="str">
        <f>IF(OR(A261="",AA261="Avoir"),"",ROUND(S261-U261-V261,2))</f>
        <v/>
      </c>
      <c r="X261" s="66" t="str">
        <f>IF(W261="","",IF(AND(W261&gt;0,p_asof&gt;P261),p_asof-P261,""))</f>
        <v/>
      </c>
      <c r="Y261" s="59" t="str">
        <f>IF(A261="","",IF(AA261="Avoir","Avoir",IF(W261&lt;0,"Trop-perçu",IF(W261=0,"Soldée",IF(p_asof&gt;P261,"En retard",IF(U261+V261&gt;0,"Partielle","À échoir"))))))</f>
        <v/>
      </c>
      <c r="Z261" s="59" t="str">
        <f>IF(NOT(COUNTA(B261:D261,F261:O261)&gt;0),"",IF(C261="","Date manquante",IF(NOT(ISNUMBER(C261)),"Date invalide",IF(D261="","Client manquant",IF(ISNA(MATCH(D261,cli_code,0)),"Client inconnu",IF(AC261&lt;SUMPRODUCT(MAX(($AB$6:AB260=AB261)*$AC$6:AC260)),"Date antérieure à la facture précédente",IF(AND(F261&lt;&gt;"",ISNA(MATCH(F261,dv_num,0))),"Devis inconnu",IF(AND(F261&lt;&gt;"",IFERROR(INDEX(dv_client,MATCH(F261,dv_num,0)),D261)&lt;&gt;D261),"Client différent de celui du devis",IF(AG261="","Aucune ligne : saisissez des lignes ou un devis",IF(AND(AI261&lt;&gt;"",COUNTIF($AI$6:AI261,AI261)&gt;1),"Devis déjà repris par une autre facture",IF(AND(AA261="Avoir",M261=""),"Avoir : indiquez la facture d'origine",IF(AND(AA261="Avoir",ISNA(MATCH(M261,fa_num,0))),"Facture d'origine inconnue",IF(AND(AA261&lt;&gt;"Avoir",M261&lt;&gt;""),"« Avoir sur facture » : réservé aux avoirs",IF(AND(L261&lt;&gt;"",AA261&lt;&gt;"Facture"),"Acompte à déduire : réservé aux factures",IF(AND(L261&lt;&gt;"",ISNA(MATCH(L261,fa_num,0))),"Facture d'acompte inconnue",IF(AND(L261&lt;&gt;"",IFERROR(INDEX(fa_type,MATCH(L261,fa_num,0)),"")&lt;&gt;"Facture d'acompte"),"Le n° à déduire n'est pas une facture d'acompte",IF(AND(L261&lt;&gt;"",COUNTIF($L$6:L261,L261)&gt;1),"Acompte déjà déduit sur une autre facture",IF(AND(L261&lt;&gt;"",IFERROR(INDEX(fa_client,MATCH(L261,fa_num,0)),D261)&lt;&gt;D261),"Acompte d'un autre client",IF(AND(AR261&lt;&gt;"",N(Q261)&lt;0),"Acompte supérieur au total de la facture",IF(IF(AG261="Facture",COUNTIFS(fl_doc,A261,fl_check,"&lt;&gt;OK"),IF(AG261="Devis",COUNTIFS(dl_doc,F261,dl_check,"&lt;&gt;OK"),0))&gt;0,"Ligne(s) à corriger",IF(AND(W261&lt;&gt;"",N(W261)&lt;0),"Trop-perçu : vérifiez paiements et avoirs","OK")))))))))))))))))))))</f>
        <v/>
      </c>
      <c r="AA261" s="62" t="str">
        <f>IF(COUNTA(B261:D261,F261:O261)&gt;0,IF(B261="","Facture",B261),"")</f>
        <v/>
      </c>
      <c r="AB261" s="62" t="str">
        <f>IF(AA261="","",IF(AA261="Avoir",p_pav,IF(AA261="Facture d'acompte",p_pac,p_pfa)))</f>
        <v/>
      </c>
      <c r="AC261" s="62">
        <f>IF(ISNUMBER(C261),C261,0)</f>
        <v>0.0</v>
      </c>
      <c r="AD261" s="62" t="str">
        <f>IF(OR(AA261="",AC261=0),"",YEAR(AC261))</f>
        <v/>
      </c>
      <c r="AE261" s="62" t="str">
        <f>IF(AD261="","",COUNTIFS($AB$6:AB261,AB261,$AD$6:AD261,AD261))</f>
        <v/>
      </c>
      <c r="AF261" s="62">
        <f>IF(A261="",0,COUNTIF(fl_doc,A261))</f>
        <v>0.0</v>
      </c>
      <c r="AG261" s="62" t="str">
        <f>IF(A261="","",IF(AF261&gt;0,"Facture",IF(AND(F261&lt;&gt;"",AA261="Facture",ISNUMBER(MATCH(F261,dv_num,0))),"Devis","")))</f>
        <v/>
      </c>
      <c r="AH261" s="62" t="str">
        <f>IF(AND(A261&lt;&gt;"",F261&lt;&gt;"",AA261&lt;&gt;"Avoir"),F261,"")</f>
        <v/>
      </c>
      <c r="AI261" s="62" t="str">
        <f>IF(AG261="Devis",F261,"")</f>
        <v/>
      </c>
      <c r="AJ261" s="62">
        <f>IF(AG261="Facture",SUMIF(fl_doc,A261,fl_ht),IF(AG261="Devis",SUMIF(dl_doc,F261,dl_ht),0))</f>
        <v>0.0</v>
      </c>
      <c r="AK261" s="62">
        <f>IF(OR(AG261="",INDEX(p_rates,1)=""),0,IF(AG261="Facture",SUMIFS(fl_ht,fl_doc,A261,fl_rate,INDEX(p_rates,1)),SUMIFS(dl_ht,dl_doc,F261,dl_rate,INDEX(p_rates,1))))</f>
        <v>0.0</v>
      </c>
      <c r="AL261" s="62">
        <f>IF(OR(AG261="",INDEX(p_rates,2)=""),0,IF(AG261="Facture",SUMIFS(fl_ht,fl_doc,A261,fl_rate,INDEX(p_rates,2)),SUMIFS(dl_ht,dl_doc,F261,dl_rate,INDEX(p_rates,2))))</f>
        <v>0.0</v>
      </c>
      <c r="AM261" s="62">
        <f>IF(OR(AG261="",INDEX(p_rates,3)=""),0,IF(AG261="Facture",SUMIFS(fl_ht,fl_doc,A261,fl_rate,INDEX(p_rates,3)),SUMIFS(dl_ht,dl_doc,F261,dl_rate,INDEX(p_rates,3))))</f>
        <v>0.0</v>
      </c>
      <c r="AN261" s="62">
        <f>IF(OR(AG261="",INDEX(p_rates,4)=""),0,IF(AG261="Facture",SUMIFS(fl_ht,fl_doc,A261,fl_rate,INDEX(p_rates,4)),SUMIFS(dl_ht,dl_doc,F261,dl_rate,INDEX(p_rates,4))))</f>
        <v>0.0</v>
      </c>
      <c r="AO261" s="62">
        <f>IF(OR(AG261="",INDEX(p_rates,5)=""),0,IF(AG261="Facture",SUMIFS(fl_ht,fl_doc,A261,fl_rate,INDEX(p_rates,5)),SUMIFS(dl_ht,dl_doc,F261,dl_rate,INDEX(p_rates,5))))</f>
        <v>0.0</v>
      </c>
      <c r="AP261" s="62">
        <f>IF(OR(AG261="",INDEX(p_rates,6)=""),0,IF(AG261="Facture",SUMIFS(fl_ht,fl_doc,A261,fl_rate,INDEX(p_rates,6)),SUMIFS(dl_ht,dl_doc,F261,dl_rate,INDEX(p_rates,6))))</f>
        <v>0.0</v>
      </c>
      <c r="AQ261" s="62">
        <f>ROUND(AK261*N(INDEX(p_rates,1)),2)+ROUND(AL261*N(INDEX(p_rates,2)),2)+ROUND(AM261*N(INDEX(p_rates,3)),2)+ROUND(AN261*N(INDEX(p_rates,4)),2)+ROUND(AO261*N(INDEX(p_rates,5)),2)+ROUND(AP261*N(INDEX(p_rates,6)),2)</f>
        <v>0.0</v>
      </c>
      <c r="AR261" s="62" t="str">
        <f>IF(OR(L261="",AA261&lt;&gt;"Facture"),"",IFERROR(IF(INDEX(fa_type,MATCH(L261,fa_num,0))="Facture d'acompte",MATCH(L261,fa_num,0),""),""))</f>
        <v/>
      </c>
      <c r="AS261" s="62" t="str">
        <f>IF(W261="","",IF(W261&lt;=0,"",IF(p_asof-P261&lt;=0,"Non échu",IF(p_asof-P261&lt;=30,"1-30 j",IF(p_asof-P261&lt;=60,"31-60 j",IF(p_asof-P261&lt;=90,"61-90 j","Plus de 90 j"))))))</f>
        <v/>
      </c>
      <c r="AT261" s="62" t="str">
        <f>IF(AS261="","",p_asof-P261)</f>
        <v/>
      </c>
      <c r="AU261" s="62" t="str">
        <f>IF(AT261="","",COUNTIF($AT$6:$AT$805,"&gt;"&amp;AT261)+COUNTIF($AT$6:AT261,AT261))</f>
        <v/>
      </c>
    </row>
    <row r="262">
      <c r="A262" s="59" t="str">
        <f>IF(AE262="","",AB262&amp;"-"&amp;AD262&amp;"-"&amp;RIGHT("000"&amp;AE262,4))</f>
        <v/>
      </c>
      <c r="B262" s="60" t="n"/>
      <c r="C262" s="61" t="n"/>
      <c r="D262" s="60" t="n"/>
      <c r="E262" s="62" t="str">
        <f>IF(D262="","",IFERROR(INDEX(cli_name,MATCH(D262,cli_code,0))&amp;"","Client inconnu"))</f>
        <v/>
      </c>
      <c r="F262" s="60" t="n"/>
      <c r="G262" s="63" t="n"/>
      <c r="H262" s="61" t="n"/>
      <c r="I262" s="63" t="n"/>
      <c r="J262" s="60" t="n"/>
      <c r="K262" s="61" t="n"/>
      <c r="L262" s="60" t="n"/>
      <c r="M262" s="60" t="n"/>
      <c r="N262" s="60" t="n"/>
      <c r="O262" s="61" t="n"/>
      <c r="P262" s="64" t="str">
        <f>IF(A262="","",IF(AA262="Avoir",AC262,IF(ISNUMBER(K262),K262,AC262+IF(D262="",N(p_delay),IFERROR(IF(ISNUMBER(INDEX(cli_delay,MATCH(D262,cli_code,0))),INDEX(cli_delay,MATCH(D262,cli_code,0)),N(p_delay)),N(p_delay))))))</f>
        <v/>
      </c>
      <c r="Q262" s="65" t="str">
        <f>IF(A262="","",IF(AA262="Avoir",-1,1)*ROUND(AJ262-IF(AR262="",0,INDEX(fa_htb,AR262)),2))</f>
        <v/>
      </c>
      <c r="R262" s="65" t="str">
        <f>IF(A262="","",IF(AA262="Avoir",-1,1)*ROUND(AQ262-IF(AR262="",0,INDEX(fa_tvab,AR262)),2))</f>
        <v/>
      </c>
      <c r="S262" s="65" t="str">
        <f>IF(A262="","",Q262+R262)</f>
        <v/>
      </c>
      <c r="T262" s="65" t="str">
        <f>IF(AR262="","",INDEX(fa_htb,AR262)+INDEX(fa_tvab,AR262))</f>
        <v/>
      </c>
      <c r="U262" s="65" t="str">
        <f>IF(A262="","",SUMIF(pa_inv,A262,pa_amt))</f>
        <v/>
      </c>
      <c r="V262" s="65" t="str">
        <f>IF(OR(A262="",AA262="Avoir"),"",-SUMIFS(fa_ttc,fa_avof,A262,fa_type,"Avoir"))</f>
        <v/>
      </c>
      <c r="W262" s="65" t="str">
        <f>IF(OR(A262="",AA262="Avoir"),"",ROUND(S262-U262-V262,2))</f>
        <v/>
      </c>
      <c r="X262" s="66" t="str">
        <f>IF(W262="","",IF(AND(W262&gt;0,p_asof&gt;P262),p_asof-P262,""))</f>
        <v/>
      </c>
      <c r="Y262" s="59" t="str">
        <f>IF(A262="","",IF(AA262="Avoir","Avoir",IF(W262&lt;0,"Trop-perçu",IF(W262=0,"Soldée",IF(p_asof&gt;P262,"En retard",IF(U262+V262&gt;0,"Partielle","À échoir"))))))</f>
        <v/>
      </c>
      <c r="Z262" s="59" t="str">
        <f>IF(NOT(COUNTA(B262:D262,F262:O262)&gt;0),"",IF(C262="","Date manquante",IF(NOT(ISNUMBER(C262)),"Date invalide",IF(D262="","Client manquant",IF(ISNA(MATCH(D262,cli_code,0)),"Client inconnu",IF(AC262&lt;SUMPRODUCT(MAX(($AB$6:AB261=AB262)*$AC$6:AC261)),"Date antérieure à la facture précédente",IF(AND(F262&lt;&gt;"",ISNA(MATCH(F262,dv_num,0))),"Devis inconnu",IF(AND(F262&lt;&gt;"",IFERROR(INDEX(dv_client,MATCH(F262,dv_num,0)),D262)&lt;&gt;D262),"Client différent de celui du devis",IF(AG262="","Aucune ligne : saisissez des lignes ou un devis",IF(AND(AI262&lt;&gt;"",COUNTIF($AI$6:AI262,AI262)&gt;1),"Devis déjà repris par une autre facture",IF(AND(AA262="Avoir",M262=""),"Avoir : indiquez la facture d'origine",IF(AND(AA262="Avoir",ISNA(MATCH(M262,fa_num,0))),"Facture d'origine inconnue",IF(AND(AA262&lt;&gt;"Avoir",M262&lt;&gt;""),"« Avoir sur facture » : réservé aux avoirs",IF(AND(L262&lt;&gt;"",AA262&lt;&gt;"Facture"),"Acompte à déduire : réservé aux factures",IF(AND(L262&lt;&gt;"",ISNA(MATCH(L262,fa_num,0))),"Facture d'acompte inconnue",IF(AND(L262&lt;&gt;"",IFERROR(INDEX(fa_type,MATCH(L262,fa_num,0)),"")&lt;&gt;"Facture d'acompte"),"Le n° à déduire n'est pas une facture d'acompte",IF(AND(L262&lt;&gt;"",COUNTIF($L$6:L262,L262)&gt;1),"Acompte déjà déduit sur une autre facture",IF(AND(L262&lt;&gt;"",IFERROR(INDEX(fa_client,MATCH(L262,fa_num,0)),D262)&lt;&gt;D262),"Acompte d'un autre client",IF(AND(AR262&lt;&gt;"",N(Q262)&lt;0),"Acompte supérieur au total de la facture",IF(IF(AG262="Facture",COUNTIFS(fl_doc,A262,fl_check,"&lt;&gt;OK"),IF(AG262="Devis",COUNTIFS(dl_doc,F262,dl_check,"&lt;&gt;OK"),0))&gt;0,"Ligne(s) à corriger",IF(AND(W262&lt;&gt;"",N(W262)&lt;0),"Trop-perçu : vérifiez paiements et avoirs","OK")))))))))))))))))))))</f>
        <v/>
      </c>
      <c r="AA262" s="62" t="str">
        <f>IF(COUNTA(B262:D262,F262:O262)&gt;0,IF(B262="","Facture",B262),"")</f>
        <v/>
      </c>
      <c r="AB262" s="62" t="str">
        <f>IF(AA262="","",IF(AA262="Avoir",p_pav,IF(AA262="Facture d'acompte",p_pac,p_pfa)))</f>
        <v/>
      </c>
      <c r="AC262" s="62">
        <f>IF(ISNUMBER(C262),C262,0)</f>
        <v>0.0</v>
      </c>
      <c r="AD262" s="62" t="str">
        <f>IF(OR(AA262="",AC262=0),"",YEAR(AC262))</f>
        <v/>
      </c>
      <c r="AE262" s="62" t="str">
        <f>IF(AD262="","",COUNTIFS($AB$6:AB262,AB262,$AD$6:AD262,AD262))</f>
        <v/>
      </c>
      <c r="AF262" s="62">
        <f>IF(A262="",0,COUNTIF(fl_doc,A262))</f>
        <v>0.0</v>
      </c>
      <c r="AG262" s="62" t="str">
        <f>IF(A262="","",IF(AF262&gt;0,"Facture",IF(AND(F262&lt;&gt;"",AA262="Facture",ISNUMBER(MATCH(F262,dv_num,0))),"Devis","")))</f>
        <v/>
      </c>
      <c r="AH262" s="62" t="str">
        <f>IF(AND(A262&lt;&gt;"",F262&lt;&gt;"",AA262&lt;&gt;"Avoir"),F262,"")</f>
        <v/>
      </c>
      <c r="AI262" s="62" t="str">
        <f>IF(AG262="Devis",F262,"")</f>
        <v/>
      </c>
      <c r="AJ262" s="62">
        <f>IF(AG262="Facture",SUMIF(fl_doc,A262,fl_ht),IF(AG262="Devis",SUMIF(dl_doc,F262,dl_ht),0))</f>
        <v>0.0</v>
      </c>
      <c r="AK262" s="62">
        <f>IF(OR(AG262="",INDEX(p_rates,1)=""),0,IF(AG262="Facture",SUMIFS(fl_ht,fl_doc,A262,fl_rate,INDEX(p_rates,1)),SUMIFS(dl_ht,dl_doc,F262,dl_rate,INDEX(p_rates,1))))</f>
        <v>0.0</v>
      </c>
      <c r="AL262" s="62">
        <f>IF(OR(AG262="",INDEX(p_rates,2)=""),0,IF(AG262="Facture",SUMIFS(fl_ht,fl_doc,A262,fl_rate,INDEX(p_rates,2)),SUMIFS(dl_ht,dl_doc,F262,dl_rate,INDEX(p_rates,2))))</f>
        <v>0.0</v>
      </c>
      <c r="AM262" s="62">
        <f>IF(OR(AG262="",INDEX(p_rates,3)=""),0,IF(AG262="Facture",SUMIFS(fl_ht,fl_doc,A262,fl_rate,INDEX(p_rates,3)),SUMIFS(dl_ht,dl_doc,F262,dl_rate,INDEX(p_rates,3))))</f>
        <v>0.0</v>
      </c>
      <c r="AN262" s="62">
        <f>IF(OR(AG262="",INDEX(p_rates,4)=""),0,IF(AG262="Facture",SUMIFS(fl_ht,fl_doc,A262,fl_rate,INDEX(p_rates,4)),SUMIFS(dl_ht,dl_doc,F262,dl_rate,INDEX(p_rates,4))))</f>
        <v>0.0</v>
      </c>
      <c r="AO262" s="62">
        <f>IF(OR(AG262="",INDEX(p_rates,5)=""),0,IF(AG262="Facture",SUMIFS(fl_ht,fl_doc,A262,fl_rate,INDEX(p_rates,5)),SUMIFS(dl_ht,dl_doc,F262,dl_rate,INDEX(p_rates,5))))</f>
        <v>0.0</v>
      </c>
      <c r="AP262" s="62">
        <f>IF(OR(AG262="",INDEX(p_rates,6)=""),0,IF(AG262="Facture",SUMIFS(fl_ht,fl_doc,A262,fl_rate,INDEX(p_rates,6)),SUMIFS(dl_ht,dl_doc,F262,dl_rate,INDEX(p_rates,6))))</f>
        <v>0.0</v>
      </c>
      <c r="AQ262" s="62">
        <f>ROUND(AK262*N(INDEX(p_rates,1)),2)+ROUND(AL262*N(INDEX(p_rates,2)),2)+ROUND(AM262*N(INDEX(p_rates,3)),2)+ROUND(AN262*N(INDEX(p_rates,4)),2)+ROUND(AO262*N(INDEX(p_rates,5)),2)+ROUND(AP262*N(INDEX(p_rates,6)),2)</f>
        <v>0.0</v>
      </c>
      <c r="AR262" s="62" t="str">
        <f>IF(OR(L262="",AA262&lt;&gt;"Facture"),"",IFERROR(IF(INDEX(fa_type,MATCH(L262,fa_num,0))="Facture d'acompte",MATCH(L262,fa_num,0),""),""))</f>
        <v/>
      </c>
      <c r="AS262" s="62" t="str">
        <f>IF(W262="","",IF(W262&lt;=0,"",IF(p_asof-P262&lt;=0,"Non échu",IF(p_asof-P262&lt;=30,"1-30 j",IF(p_asof-P262&lt;=60,"31-60 j",IF(p_asof-P262&lt;=90,"61-90 j","Plus de 90 j"))))))</f>
        <v/>
      </c>
      <c r="AT262" s="62" t="str">
        <f>IF(AS262="","",p_asof-P262)</f>
        <v/>
      </c>
      <c r="AU262" s="62" t="str">
        <f>IF(AT262="","",COUNTIF($AT$6:$AT$805,"&gt;"&amp;AT262)+COUNTIF($AT$6:AT262,AT262))</f>
        <v/>
      </c>
    </row>
    <row r="263">
      <c r="A263" s="59" t="str">
        <f>IF(AE263="","",AB263&amp;"-"&amp;AD263&amp;"-"&amp;RIGHT("000"&amp;AE263,4))</f>
        <v/>
      </c>
      <c r="B263" s="60" t="n"/>
      <c r="C263" s="61" t="n"/>
      <c r="D263" s="60" t="n"/>
      <c r="E263" s="62" t="str">
        <f>IF(D263="","",IFERROR(INDEX(cli_name,MATCH(D263,cli_code,0))&amp;"","Client inconnu"))</f>
        <v/>
      </c>
      <c r="F263" s="60" t="n"/>
      <c r="G263" s="63" t="n"/>
      <c r="H263" s="61" t="n"/>
      <c r="I263" s="63" t="n"/>
      <c r="J263" s="60" t="n"/>
      <c r="K263" s="61" t="n"/>
      <c r="L263" s="60" t="n"/>
      <c r="M263" s="60" t="n"/>
      <c r="N263" s="60" t="n"/>
      <c r="O263" s="61" t="n"/>
      <c r="P263" s="64" t="str">
        <f>IF(A263="","",IF(AA263="Avoir",AC263,IF(ISNUMBER(K263),K263,AC263+IF(D263="",N(p_delay),IFERROR(IF(ISNUMBER(INDEX(cli_delay,MATCH(D263,cli_code,0))),INDEX(cli_delay,MATCH(D263,cli_code,0)),N(p_delay)),N(p_delay))))))</f>
        <v/>
      </c>
      <c r="Q263" s="65" t="str">
        <f>IF(A263="","",IF(AA263="Avoir",-1,1)*ROUND(AJ263-IF(AR263="",0,INDEX(fa_htb,AR263)),2))</f>
        <v/>
      </c>
      <c r="R263" s="65" t="str">
        <f>IF(A263="","",IF(AA263="Avoir",-1,1)*ROUND(AQ263-IF(AR263="",0,INDEX(fa_tvab,AR263)),2))</f>
        <v/>
      </c>
      <c r="S263" s="65" t="str">
        <f>IF(A263="","",Q263+R263)</f>
        <v/>
      </c>
      <c r="T263" s="65" t="str">
        <f>IF(AR263="","",INDEX(fa_htb,AR263)+INDEX(fa_tvab,AR263))</f>
        <v/>
      </c>
      <c r="U263" s="65" t="str">
        <f>IF(A263="","",SUMIF(pa_inv,A263,pa_amt))</f>
        <v/>
      </c>
      <c r="V263" s="65" t="str">
        <f>IF(OR(A263="",AA263="Avoir"),"",-SUMIFS(fa_ttc,fa_avof,A263,fa_type,"Avoir"))</f>
        <v/>
      </c>
      <c r="W263" s="65" t="str">
        <f>IF(OR(A263="",AA263="Avoir"),"",ROUND(S263-U263-V263,2))</f>
        <v/>
      </c>
      <c r="X263" s="66" t="str">
        <f>IF(W263="","",IF(AND(W263&gt;0,p_asof&gt;P263),p_asof-P263,""))</f>
        <v/>
      </c>
      <c r="Y263" s="59" t="str">
        <f>IF(A263="","",IF(AA263="Avoir","Avoir",IF(W263&lt;0,"Trop-perçu",IF(W263=0,"Soldée",IF(p_asof&gt;P263,"En retard",IF(U263+V263&gt;0,"Partielle","À échoir"))))))</f>
        <v/>
      </c>
      <c r="Z263" s="59" t="str">
        <f>IF(NOT(COUNTA(B263:D263,F263:O263)&gt;0),"",IF(C263="","Date manquante",IF(NOT(ISNUMBER(C263)),"Date invalide",IF(D263="","Client manquant",IF(ISNA(MATCH(D263,cli_code,0)),"Client inconnu",IF(AC263&lt;SUMPRODUCT(MAX(($AB$6:AB262=AB263)*$AC$6:AC262)),"Date antérieure à la facture précédente",IF(AND(F263&lt;&gt;"",ISNA(MATCH(F263,dv_num,0))),"Devis inconnu",IF(AND(F263&lt;&gt;"",IFERROR(INDEX(dv_client,MATCH(F263,dv_num,0)),D263)&lt;&gt;D263),"Client différent de celui du devis",IF(AG263="","Aucune ligne : saisissez des lignes ou un devis",IF(AND(AI263&lt;&gt;"",COUNTIF($AI$6:AI263,AI263)&gt;1),"Devis déjà repris par une autre facture",IF(AND(AA263="Avoir",M263=""),"Avoir : indiquez la facture d'origine",IF(AND(AA263="Avoir",ISNA(MATCH(M263,fa_num,0))),"Facture d'origine inconnue",IF(AND(AA263&lt;&gt;"Avoir",M263&lt;&gt;""),"« Avoir sur facture » : réservé aux avoirs",IF(AND(L263&lt;&gt;"",AA263&lt;&gt;"Facture"),"Acompte à déduire : réservé aux factures",IF(AND(L263&lt;&gt;"",ISNA(MATCH(L263,fa_num,0))),"Facture d'acompte inconnue",IF(AND(L263&lt;&gt;"",IFERROR(INDEX(fa_type,MATCH(L263,fa_num,0)),"")&lt;&gt;"Facture d'acompte"),"Le n° à déduire n'est pas une facture d'acompte",IF(AND(L263&lt;&gt;"",COUNTIF($L$6:L263,L263)&gt;1),"Acompte déjà déduit sur une autre facture",IF(AND(L263&lt;&gt;"",IFERROR(INDEX(fa_client,MATCH(L263,fa_num,0)),D263)&lt;&gt;D263),"Acompte d'un autre client",IF(AND(AR263&lt;&gt;"",N(Q263)&lt;0),"Acompte supérieur au total de la facture",IF(IF(AG263="Facture",COUNTIFS(fl_doc,A263,fl_check,"&lt;&gt;OK"),IF(AG263="Devis",COUNTIFS(dl_doc,F263,dl_check,"&lt;&gt;OK"),0))&gt;0,"Ligne(s) à corriger",IF(AND(W263&lt;&gt;"",N(W263)&lt;0),"Trop-perçu : vérifiez paiements et avoirs","OK")))))))))))))))))))))</f>
        <v/>
      </c>
      <c r="AA263" s="62" t="str">
        <f>IF(COUNTA(B263:D263,F263:O263)&gt;0,IF(B263="","Facture",B263),"")</f>
        <v/>
      </c>
      <c r="AB263" s="62" t="str">
        <f>IF(AA263="","",IF(AA263="Avoir",p_pav,IF(AA263="Facture d'acompte",p_pac,p_pfa)))</f>
        <v/>
      </c>
      <c r="AC263" s="62">
        <f>IF(ISNUMBER(C263),C263,0)</f>
        <v>0.0</v>
      </c>
      <c r="AD263" s="62" t="str">
        <f>IF(OR(AA263="",AC263=0),"",YEAR(AC263))</f>
        <v/>
      </c>
      <c r="AE263" s="62" t="str">
        <f>IF(AD263="","",COUNTIFS($AB$6:AB263,AB263,$AD$6:AD263,AD263))</f>
        <v/>
      </c>
      <c r="AF263" s="62">
        <f>IF(A263="",0,COUNTIF(fl_doc,A263))</f>
        <v>0.0</v>
      </c>
      <c r="AG263" s="62" t="str">
        <f>IF(A263="","",IF(AF263&gt;0,"Facture",IF(AND(F263&lt;&gt;"",AA263="Facture",ISNUMBER(MATCH(F263,dv_num,0))),"Devis","")))</f>
        <v/>
      </c>
      <c r="AH263" s="62" t="str">
        <f>IF(AND(A263&lt;&gt;"",F263&lt;&gt;"",AA263&lt;&gt;"Avoir"),F263,"")</f>
        <v/>
      </c>
      <c r="AI263" s="62" t="str">
        <f>IF(AG263="Devis",F263,"")</f>
        <v/>
      </c>
      <c r="AJ263" s="62">
        <f>IF(AG263="Facture",SUMIF(fl_doc,A263,fl_ht),IF(AG263="Devis",SUMIF(dl_doc,F263,dl_ht),0))</f>
        <v>0.0</v>
      </c>
      <c r="AK263" s="62">
        <f>IF(OR(AG263="",INDEX(p_rates,1)=""),0,IF(AG263="Facture",SUMIFS(fl_ht,fl_doc,A263,fl_rate,INDEX(p_rates,1)),SUMIFS(dl_ht,dl_doc,F263,dl_rate,INDEX(p_rates,1))))</f>
        <v>0.0</v>
      </c>
      <c r="AL263" s="62">
        <f>IF(OR(AG263="",INDEX(p_rates,2)=""),0,IF(AG263="Facture",SUMIFS(fl_ht,fl_doc,A263,fl_rate,INDEX(p_rates,2)),SUMIFS(dl_ht,dl_doc,F263,dl_rate,INDEX(p_rates,2))))</f>
        <v>0.0</v>
      </c>
      <c r="AM263" s="62">
        <f>IF(OR(AG263="",INDEX(p_rates,3)=""),0,IF(AG263="Facture",SUMIFS(fl_ht,fl_doc,A263,fl_rate,INDEX(p_rates,3)),SUMIFS(dl_ht,dl_doc,F263,dl_rate,INDEX(p_rates,3))))</f>
        <v>0.0</v>
      </c>
      <c r="AN263" s="62">
        <f>IF(OR(AG263="",INDEX(p_rates,4)=""),0,IF(AG263="Facture",SUMIFS(fl_ht,fl_doc,A263,fl_rate,INDEX(p_rates,4)),SUMIFS(dl_ht,dl_doc,F263,dl_rate,INDEX(p_rates,4))))</f>
        <v>0.0</v>
      </c>
      <c r="AO263" s="62">
        <f>IF(OR(AG263="",INDEX(p_rates,5)=""),0,IF(AG263="Facture",SUMIFS(fl_ht,fl_doc,A263,fl_rate,INDEX(p_rates,5)),SUMIFS(dl_ht,dl_doc,F263,dl_rate,INDEX(p_rates,5))))</f>
        <v>0.0</v>
      </c>
      <c r="AP263" s="62">
        <f>IF(OR(AG263="",INDEX(p_rates,6)=""),0,IF(AG263="Facture",SUMIFS(fl_ht,fl_doc,A263,fl_rate,INDEX(p_rates,6)),SUMIFS(dl_ht,dl_doc,F263,dl_rate,INDEX(p_rates,6))))</f>
        <v>0.0</v>
      </c>
      <c r="AQ263" s="62">
        <f>ROUND(AK263*N(INDEX(p_rates,1)),2)+ROUND(AL263*N(INDEX(p_rates,2)),2)+ROUND(AM263*N(INDEX(p_rates,3)),2)+ROUND(AN263*N(INDEX(p_rates,4)),2)+ROUND(AO263*N(INDEX(p_rates,5)),2)+ROUND(AP263*N(INDEX(p_rates,6)),2)</f>
        <v>0.0</v>
      </c>
      <c r="AR263" s="62" t="str">
        <f>IF(OR(L263="",AA263&lt;&gt;"Facture"),"",IFERROR(IF(INDEX(fa_type,MATCH(L263,fa_num,0))="Facture d'acompte",MATCH(L263,fa_num,0),""),""))</f>
        <v/>
      </c>
      <c r="AS263" s="62" t="str">
        <f>IF(W263="","",IF(W263&lt;=0,"",IF(p_asof-P263&lt;=0,"Non échu",IF(p_asof-P263&lt;=30,"1-30 j",IF(p_asof-P263&lt;=60,"31-60 j",IF(p_asof-P263&lt;=90,"61-90 j","Plus de 90 j"))))))</f>
        <v/>
      </c>
      <c r="AT263" s="62" t="str">
        <f>IF(AS263="","",p_asof-P263)</f>
        <v/>
      </c>
      <c r="AU263" s="62" t="str">
        <f>IF(AT263="","",COUNTIF($AT$6:$AT$805,"&gt;"&amp;AT263)+COUNTIF($AT$6:AT263,AT263))</f>
        <v/>
      </c>
    </row>
    <row r="264">
      <c r="A264" s="59" t="str">
        <f>IF(AE264="","",AB264&amp;"-"&amp;AD264&amp;"-"&amp;RIGHT("000"&amp;AE264,4))</f>
        <v/>
      </c>
      <c r="B264" s="60" t="n"/>
      <c r="C264" s="61" t="n"/>
      <c r="D264" s="60" t="n"/>
      <c r="E264" s="62" t="str">
        <f>IF(D264="","",IFERROR(INDEX(cli_name,MATCH(D264,cli_code,0))&amp;"","Client inconnu"))</f>
        <v/>
      </c>
      <c r="F264" s="60" t="n"/>
      <c r="G264" s="63" t="n"/>
      <c r="H264" s="61" t="n"/>
      <c r="I264" s="63" t="n"/>
      <c r="J264" s="60" t="n"/>
      <c r="K264" s="61" t="n"/>
      <c r="L264" s="60" t="n"/>
      <c r="M264" s="60" t="n"/>
      <c r="N264" s="60" t="n"/>
      <c r="O264" s="61" t="n"/>
      <c r="P264" s="64" t="str">
        <f>IF(A264="","",IF(AA264="Avoir",AC264,IF(ISNUMBER(K264),K264,AC264+IF(D264="",N(p_delay),IFERROR(IF(ISNUMBER(INDEX(cli_delay,MATCH(D264,cli_code,0))),INDEX(cli_delay,MATCH(D264,cli_code,0)),N(p_delay)),N(p_delay))))))</f>
        <v/>
      </c>
      <c r="Q264" s="65" t="str">
        <f>IF(A264="","",IF(AA264="Avoir",-1,1)*ROUND(AJ264-IF(AR264="",0,INDEX(fa_htb,AR264)),2))</f>
        <v/>
      </c>
      <c r="R264" s="65" t="str">
        <f>IF(A264="","",IF(AA264="Avoir",-1,1)*ROUND(AQ264-IF(AR264="",0,INDEX(fa_tvab,AR264)),2))</f>
        <v/>
      </c>
      <c r="S264" s="65" t="str">
        <f>IF(A264="","",Q264+R264)</f>
        <v/>
      </c>
      <c r="T264" s="65" t="str">
        <f>IF(AR264="","",INDEX(fa_htb,AR264)+INDEX(fa_tvab,AR264))</f>
        <v/>
      </c>
      <c r="U264" s="65" t="str">
        <f>IF(A264="","",SUMIF(pa_inv,A264,pa_amt))</f>
        <v/>
      </c>
      <c r="V264" s="65" t="str">
        <f>IF(OR(A264="",AA264="Avoir"),"",-SUMIFS(fa_ttc,fa_avof,A264,fa_type,"Avoir"))</f>
        <v/>
      </c>
      <c r="W264" s="65" t="str">
        <f>IF(OR(A264="",AA264="Avoir"),"",ROUND(S264-U264-V264,2))</f>
        <v/>
      </c>
      <c r="X264" s="66" t="str">
        <f>IF(W264="","",IF(AND(W264&gt;0,p_asof&gt;P264),p_asof-P264,""))</f>
        <v/>
      </c>
      <c r="Y264" s="59" t="str">
        <f>IF(A264="","",IF(AA264="Avoir","Avoir",IF(W264&lt;0,"Trop-perçu",IF(W264=0,"Soldée",IF(p_asof&gt;P264,"En retard",IF(U264+V264&gt;0,"Partielle","À échoir"))))))</f>
        <v/>
      </c>
      <c r="Z264" s="59" t="str">
        <f>IF(NOT(COUNTA(B264:D264,F264:O264)&gt;0),"",IF(C264="","Date manquante",IF(NOT(ISNUMBER(C264)),"Date invalide",IF(D264="","Client manquant",IF(ISNA(MATCH(D264,cli_code,0)),"Client inconnu",IF(AC264&lt;SUMPRODUCT(MAX(($AB$6:AB263=AB264)*$AC$6:AC263)),"Date antérieure à la facture précédente",IF(AND(F264&lt;&gt;"",ISNA(MATCH(F264,dv_num,0))),"Devis inconnu",IF(AND(F264&lt;&gt;"",IFERROR(INDEX(dv_client,MATCH(F264,dv_num,0)),D264)&lt;&gt;D264),"Client différent de celui du devis",IF(AG264="","Aucune ligne : saisissez des lignes ou un devis",IF(AND(AI264&lt;&gt;"",COUNTIF($AI$6:AI264,AI264)&gt;1),"Devis déjà repris par une autre facture",IF(AND(AA264="Avoir",M264=""),"Avoir : indiquez la facture d'origine",IF(AND(AA264="Avoir",ISNA(MATCH(M264,fa_num,0))),"Facture d'origine inconnue",IF(AND(AA264&lt;&gt;"Avoir",M264&lt;&gt;""),"« Avoir sur facture » : réservé aux avoirs",IF(AND(L264&lt;&gt;"",AA264&lt;&gt;"Facture"),"Acompte à déduire : réservé aux factures",IF(AND(L264&lt;&gt;"",ISNA(MATCH(L264,fa_num,0))),"Facture d'acompte inconnue",IF(AND(L264&lt;&gt;"",IFERROR(INDEX(fa_type,MATCH(L264,fa_num,0)),"")&lt;&gt;"Facture d'acompte"),"Le n° à déduire n'est pas une facture d'acompte",IF(AND(L264&lt;&gt;"",COUNTIF($L$6:L264,L264)&gt;1),"Acompte déjà déduit sur une autre facture",IF(AND(L264&lt;&gt;"",IFERROR(INDEX(fa_client,MATCH(L264,fa_num,0)),D264)&lt;&gt;D264),"Acompte d'un autre client",IF(AND(AR264&lt;&gt;"",N(Q264)&lt;0),"Acompte supérieur au total de la facture",IF(IF(AG264="Facture",COUNTIFS(fl_doc,A264,fl_check,"&lt;&gt;OK"),IF(AG264="Devis",COUNTIFS(dl_doc,F264,dl_check,"&lt;&gt;OK"),0))&gt;0,"Ligne(s) à corriger",IF(AND(W264&lt;&gt;"",N(W264)&lt;0),"Trop-perçu : vérifiez paiements et avoirs","OK")))))))))))))))))))))</f>
        <v/>
      </c>
      <c r="AA264" s="62" t="str">
        <f>IF(COUNTA(B264:D264,F264:O264)&gt;0,IF(B264="","Facture",B264),"")</f>
        <v/>
      </c>
      <c r="AB264" s="62" t="str">
        <f>IF(AA264="","",IF(AA264="Avoir",p_pav,IF(AA264="Facture d'acompte",p_pac,p_pfa)))</f>
        <v/>
      </c>
      <c r="AC264" s="62">
        <f>IF(ISNUMBER(C264),C264,0)</f>
        <v>0.0</v>
      </c>
      <c r="AD264" s="62" t="str">
        <f>IF(OR(AA264="",AC264=0),"",YEAR(AC264))</f>
        <v/>
      </c>
      <c r="AE264" s="62" t="str">
        <f>IF(AD264="","",COUNTIFS($AB$6:AB264,AB264,$AD$6:AD264,AD264))</f>
        <v/>
      </c>
      <c r="AF264" s="62">
        <f>IF(A264="",0,COUNTIF(fl_doc,A264))</f>
        <v>0.0</v>
      </c>
      <c r="AG264" s="62" t="str">
        <f>IF(A264="","",IF(AF264&gt;0,"Facture",IF(AND(F264&lt;&gt;"",AA264="Facture",ISNUMBER(MATCH(F264,dv_num,0))),"Devis","")))</f>
        <v/>
      </c>
      <c r="AH264" s="62" t="str">
        <f>IF(AND(A264&lt;&gt;"",F264&lt;&gt;"",AA264&lt;&gt;"Avoir"),F264,"")</f>
        <v/>
      </c>
      <c r="AI264" s="62" t="str">
        <f>IF(AG264="Devis",F264,"")</f>
        <v/>
      </c>
      <c r="AJ264" s="62">
        <f>IF(AG264="Facture",SUMIF(fl_doc,A264,fl_ht),IF(AG264="Devis",SUMIF(dl_doc,F264,dl_ht),0))</f>
        <v>0.0</v>
      </c>
      <c r="AK264" s="62">
        <f>IF(OR(AG264="",INDEX(p_rates,1)=""),0,IF(AG264="Facture",SUMIFS(fl_ht,fl_doc,A264,fl_rate,INDEX(p_rates,1)),SUMIFS(dl_ht,dl_doc,F264,dl_rate,INDEX(p_rates,1))))</f>
        <v>0.0</v>
      </c>
      <c r="AL264" s="62">
        <f>IF(OR(AG264="",INDEX(p_rates,2)=""),0,IF(AG264="Facture",SUMIFS(fl_ht,fl_doc,A264,fl_rate,INDEX(p_rates,2)),SUMIFS(dl_ht,dl_doc,F264,dl_rate,INDEX(p_rates,2))))</f>
        <v>0.0</v>
      </c>
      <c r="AM264" s="62">
        <f>IF(OR(AG264="",INDEX(p_rates,3)=""),0,IF(AG264="Facture",SUMIFS(fl_ht,fl_doc,A264,fl_rate,INDEX(p_rates,3)),SUMIFS(dl_ht,dl_doc,F264,dl_rate,INDEX(p_rates,3))))</f>
        <v>0.0</v>
      </c>
      <c r="AN264" s="62">
        <f>IF(OR(AG264="",INDEX(p_rates,4)=""),0,IF(AG264="Facture",SUMIFS(fl_ht,fl_doc,A264,fl_rate,INDEX(p_rates,4)),SUMIFS(dl_ht,dl_doc,F264,dl_rate,INDEX(p_rates,4))))</f>
        <v>0.0</v>
      </c>
      <c r="AO264" s="62">
        <f>IF(OR(AG264="",INDEX(p_rates,5)=""),0,IF(AG264="Facture",SUMIFS(fl_ht,fl_doc,A264,fl_rate,INDEX(p_rates,5)),SUMIFS(dl_ht,dl_doc,F264,dl_rate,INDEX(p_rates,5))))</f>
        <v>0.0</v>
      </c>
      <c r="AP264" s="62">
        <f>IF(OR(AG264="",INDEX(p_rates,6)=""),0,IF(AG264="Facture",SUMIFS(fl_ht,fl_doc,A264,fl_rate,INDEX(p_rates,6)),SUMIFS(dl_ht,dl_doc,F264,dl_rate,INDEX(p_rates,6))))</f>
        <v>0.0</v>
      </c>
      <c r="AQ264" s="62">
        <f>ROUND(AK264*N(INDEX(p_rates,1)),2)+ROUND(AL264*N(INDEX(p_rates,2)),2)+ROUND(AM264*N(INDEX(p_rates,3)),2)+ROUND(AN264*N(INDEX(p_rates,4)),2)+ROUND(AO264*N(INDEX(p_rates,5)),2)+ROUND(AP264*N(INDEX(p_rates,6)),2)</f>
        <v>0.0</v>
      </c>
      <c r="AR264" s="62" t="str">
        <f>IF(OR(L264="",AA264&lt;&gt;"Facture"),"",IFERROR(IF(INDEX(fa_type,MATCH(L264,fa_num,0))="Facture d'acompte",MATCH(L264,fa_num,0),""),""))</f>
        <v/>
      </c>
      <c r="AS264" s="62" t="str">
        <f>IF(W264="","",IF(W264&lt;=0,"",IF(p_asof-P264&lt;=0,"Non échu",IF(p_asof-P264&lt;=30,"1-30 j",IF(p_asof-P264&lt;=60,"31-60 j",IF(p_asof-P264&lt;=90,"61-90 j","Plus de 90 j"))))))</f>
        <v/>
      </c>
      <c r="AT264" s="62" t="str">
        <f>IF(AS264="","",p_asof-P264)</f>
        <v/>
      </c>
      <c r="AU264" s="62" t="str">
        <f>IF(AT264="","",COUNTIF($AT$6:$AT$805,"&gt;"&amp;AT264)+COUNTIF($AT$6:AT264,AT264))</f>
        <v/>
      </c>
    </row>
    <row r="265">
      <c r="A265" s="59" t="str">
        <f>IF(AE265="","",AB265&amp;"-"&amp;AD265&amp;"-"&amp;RIGHT("000"&amp;AE265,4))</f>
        <v/>
      </c>
      <c r="B265" s="60" t="n"/>
      <c r="C265" s="61" t="n"/>
      <c r="D265" s="60" t="n"/>
      <c r="E265" s="62" t="str">
        <f>IF(D265="","",IFERROR(INDEX(cli_name,MATCH(D265,cli_code,0))&amp;"","Client inconnu"))</f>
        <v/>
      </c>
      <c r="F265" s="60" t="n"/>
      <c r="G265" s="63" t="n"/>
      <c r="H265" s="61" t="n"/>
      <c r="I265" s="63" t="n"/>
      <c r="J265" s="60" t="n"/>
      <c r="K265" s="61" t="n"/>
      <c r="L265" s="60" t="n"/>
      <c r="M265" s="60" t="n"/>
      <c r="N265" s="60" t="n"/>
      <c r="O265" s="61" t="n"/>
      <c r="P265" s="64" t="str">
        <f>IF(A265="","",IF(AA265="Avoir",AC265,IF(ISNUMBER(K265),K265,AC265+IF(D265="",N(p_delay),IFERROR(IF(ISNUMBER(INDEX(cli_delay,MATCH(D265,cli_code,0))),INDEX(cli_delay,MATCH(D265,cli_code,0)),N(p_delay)),N(p_delay))))))</f>
        <v/>
      </c>
      <c r="Q265" s="65" t="str">
        <f>IF(A265="","",IF(AA265="Avoir",-1,1)*ROUND(AJ265-IF(AR265="",0,INDEX(fa_htb,AR265)),2))</f>
        <v/>
      </c>
      <c r="R265" s="65" t="str">
        <f>IF(A265="","",IF(AA265="Avoir",-1,1)*ROUND(AQ265-IF(AR265="",0,INDEX(fa_tvab,AR265)),2))</f>
        <v/>
      </c>
      <c r="S265" s="65" t="str">
        <f>IF(A265="","",Q265+R265)</f>
        <v/>
      </c>
      <c r="T265" s="65" t="str">
        <f>IF(AR265="","",INDEX(fa_htb,AR265)+INDEX(fa_tvab,AR265))</f>
        <v/>
      </c>
      <c r="U265" s="65" t="str">
        <f>IF(A265="","",SUMIF(pa_inv,A265,pa_amt))</f>
        <v/>
      </c>
      <c r="V265" s="65" t="str">
        <f>IF(OR(A265="",AA265="Avoir"),"",-SUMIFS(fa_ttc,fa_avof,A265,fa_type,"Avoir"))</f>
        <v/>
      </c>
      <c r="W265" s="65" t="str">
        <f>IF(OR(A265="",AA265="Avoir"),"",ROUND(S265-U265-V265,2))</f>
        <v/>
      </c>
      <c r="X265" s="66" t="str">
        <f>IF(W265="","",IF(AND(W265&gt;0,p_asof&gt;P265),p_asof-P265,""))</f>
        <v/>
      </c>
      <c r="Y265" s="59" t="str">
        <f>IF(A265="","",IF(AA265="Avoir","Avoir",IF(W265&lt;0,"Trop-perçu",IF(W265=0,"Soldée",IF(p_asof&gt;P265,"En retard",IF(U265+V265&gt;0,"Partielle","À échoir"))))))</f>
        <v/>
      </c>
      <c r="Z265" s="59" t="str">
        <f>IF(NOT(COUNTA(B265:D265,F265:O265)&gt;0),"",IF(C265="","Date manquante",IF(NOT(ISNUMBER(C265)),"Date invalide",IF(D265="","Client manquant",IF(ISNA(MATCH(D265,cli_code,0)),"Client inconnu",IF(AC265&lt;SUMPRODUCT(MAX(($AB$6:AB264=AB265)*$AC$6:AC264)),"Date antérieure à la facture précédente",IF(AND(F265&lt;&gt;"",ISNA(MATCH(F265,dv_num,0))),"Devis inconnu",IF(AND(F265&lt;&gt;"",IFERROR(INDEX(dv_client,MATCH(F265,dv_num,0)),D265)&lt;&gt;D265),"Client différent de celui du devis",IF(AG265="","Aucune ligne : saisissez des lignes ou un devis",IF(AND(AI265&lt;&gt;"",COUNTIF($AI$6:AI265,AI265)&gt;1),"Devis déjà repris par une autre facture",IF(AND(AA265="Avoir",M265=""),"Avoir : indiquez la facture d'origine",IF(AND(AA265="Avoir",ISNA(MATCH(M265,fa_num,0))),"Facture d'origine inconnue",IF(AND(AA265&lt;&gt;"Avoir",M265&lt;&gt;""),"« Avoir sur facture » : réservé aux avoirs",IF(AND(L265&lt;&gt;"",AA265&lt;&gt;"Facture"),"Acompte à déduire : réservé aux factures",IF(AND(L265&lt;&gt;"",ISNA(MATCH(L265,fa_num,0))),"Facture d'acompte inconnue",IF(AND(L265&lt;&gt;"",IFERROR(INDEX(fa_type,MATCH(L265,fa_num,0)),"")&lt;&gt;"Facture d'acompte"),"Le n° à déduire n'est pas une facture d'acompte",IF(AND(L265&lt;&gt;"",COUNTIF($L$6:L265,L265)&gt;1),"Acompte déjà déduit sur une autre facture",IF(AND(L265&lt;&gt;"",IFERROR(INDEX(fa_client,MATCH(L265,fa_num,0)),D265)&lt;&gt;D265),"Acompte d'un autre client",IF(AND(AR265&lt;&gt;"",N(Q265)&lt;0),"Acompte supérieur au total de la facture",IF(IF(AG265="Facture",COUNTIFS(fl_doc,A265,fl_check,"&lt;&gt;OK"),IF(AG265="Devis",COUNTIFS(dl_doc,F265,dl_check,"&lt;&gt;OK"),0))&gt;0,"Ligne(s) à corriger",IF(AND(W265&lt;&gt;"",N(W265)&lt;0),"Trop-perçu : vérifiez paiements et avoirs","OK")))))))))))))))))))))</f>
        <v/>
      </c>
      <c r="AA265" s="62" t="str">
        <f>IF(COUNTA(B265:D265,F265:O265)&gt;0,IF(B265="","Facture",B265),"")</f>
        <v/>
      </c>
      <c r="AB265" s="62" t="str">
        <f>IF(AA265="","",IF(AA265="Avoir",p_pav,IF(AA265="Facture d'acompte",p_pac,p_pfa)))</f>
        <v/>
      </c>
      <c r="AC265" s="62">
        <f>IF(ISNUMBER(C265),C265,0)</f>
        <v>0.0</v>
      </c>
      <c r="AD265" s="62" t="str">
        <f>IF(OR(AA265="",AC265=0),"",YEAR(AC265))</f>
        <v/>
      </c>
      <c r="AE265" s="62" t="str">
        <f>IF(AD265="","",COUNTIFS($AB$6:AB265,AB265,$AD$6:AD265,AD265))</f>
        <v/>
      </c>
      <c r="AF265" s="62">
        <f>IF(A265="",0,COUNTIF(fl_doc,A265))</f>
        <v>0.0</v>
      </c>
      <c r="AG265" s="62" t="str">
        <f>IF(A265="","",IF(AF265&gt;0,"Facture",IF(AND(F265&lt;&gt;"",AA265="Facture",ISNUMBER(MATCH(F265,dv_num,0))),"Devis","")))</f>
        <v/>
      </c>
      <c r="AH265" s="62" t="str">
        <f>IF(AND(A265&lt;&gt;"",F265&lt;&gt;"",AA265&lt;&gt;"Avoir"),F265,"")</f>
        <v/>
      </c>
      <c r="AI265" s="62" t="str">
        <f>IF(AG265="Devis",F265,"")</f>
        <v/>
      </c>
      <c r="AJ265" s="62">
        <f>IF(AG265="Facture",SUMIF(fl_doc,A265,fl_ht),IF(AG265="Devis",SUMIF(dl_doc,F265,dl_ht),0))</f>
        <v>0.0</v>
      </c>
      <c r="AK265" s="62">
        <f>IF(OR(AG265="",INDEX(p_rates,1)=""),0,IF(AG265="Facture",SUMIFS(fl_ht,fl_doc,A265,fl_rate,INDEX(p_rates,1)),SUMIFS(dl_ht,dl_doc,F265,dl_rate,INDEX(p_rates,1))))</f>
        <v>0.0</v>
      </c>
      <c r="AL265" s="62">
        <f>IF(OR(AG265="",INDEX(p_rates,2)=""),0,IF(AG265="Facture",SUMIFS(fl_ht,fl_doc,A265,fl_rate,INDEX(p_rates,2)),SUMIFS(dl_ht,dl_doc,F265,dl_rate,INDEX(p_rates,2))))</f>
        <v>0.0</v>
      </c>
      <c r="AM265" s="62">
        <f>IF(OR(AG265="",INDEX(p_rates,3)=""),0,IF(AG265="Facture",SUMIFS(fl_ht,fl_doc,A265,fl_rate,INDEX(p_rates,3)),SUMIFS(dl_ht,dl_doc,F265,dl_rate,INDEX(p_rates,3))))</f>
        <v>0.0</v>
      </c>
      <c r="AN265" s="62">
        <f>IF(OR(AG265="",INDEX(p_rates,4)=""),0,IF(AG265="Facture",SUMIFS(fl_ht,fl_doc,A265,fl_rate,INDEX(p_rates,4)),SUMIFS(dl_ht,dl_doc,F265,dl_rate,INDEX(p_rates,4))))</f>
        <v>0.0</v>
      </c>
      <c r="AO265" s="62">
        <f>IF(OR(AG265="",INDEX(p_rates,5)=""),0,IF(AG265="Facture",SUMIFS(fl_ht,fl_doc,A265,fl_rate,INDEX(p_rates,5)),SUMIFS(dl_ht,dl_doc,F265,dl_rate,INDEX(p_rates,5))))</f>
        <v>0.0</v>
      </c>
      <c r="AP265" s="62">
        <f>IF(OR(AG265="",INDEX(p_rates,6)=""),0,IF(AG265="Facture",SUMIFS(fl_ht,fl_doc,A265,fl_rate,INDEX(p_rates,6)),SUMIFS(dl_ht,dl_doc,F265,dl_rate,INDEX(p_rates,6))))</f>
        <v>0.0</v>
      </c>
      <c r="AQ265" s="62">
        <f>ROUND(AK265*N(INDEX(p_rates,1)),2)+ROUND(AL265*N(INDEX(p_rates,2)),2)+ROUND(AM265*N(INDEX(p_rates,3)),2)+ROUND(AN265*N(INDEX(p_rates,4)),2)+ROUND(AO265*N(INDEX(p_rates,5)),2)+ROUND(AP265*N(INDEX(p_rates,6)),2)</f>
        <v>0.0</v>
      </c>
      <c r="AR265" s="62" t="str">
        <f>IF(OR(L265="",AA265&lt;&gt;"Facture"),"",IFERROR(IF(INDEX(fa_type,MATCH(L265,fa_num,0))="Facture d'acompte",MATCH(L265,fa_num,0),""),""))</f>
        <v/>
      </c>
      <c r="AS265" s="62" t="str">
        <f>IF(W265="","",IF(W265&lt;=0,"",IF(p_asof-P265&lt;=0,"Non échu",IF(p_asof-P265&lt;=30,"1-30 j",IF(p_asof-P265&lt;=60,"31-60 j",IF(p_asof-P265&lt;=90,"61-90 j","Plus de 90 j"))))))</f>
        <v/>
      </c>
      <c r="AT265" s="62" t="str">
        <f>IF(AS265="","",p_asof-P265)</f>
        <v/>
      </c>
      <c r="AU265" s="62" t="str">
        <f>IF(AT265="","",COUNTIF($AT$6:$AT$805,"&gt;"&amp;AT265)+COUNTIF($AT$6:AT265,AT265))</f>
        <v/>
      </c>
    </row>
    <row r="266">
      <c r="A266" s="59" t="str">
        <f>IF(AE266="","",AB266&amp;"-"&amp;AD266&amp;"-"&amp;RIGHT("000"&amp;AE266,4))</f>
        <v/>
      </c>
      <c r="B266" s="60" t="n"/>
      <c r="C266" s="61" t="n"/>
      <c r="D266" s="60" t="n"/>
      <c r="E266" s="62" t="str">
        <f>IF(D266="","",IFERROR(INDEX(cli_name,MATCH(D266,cli_code,0))&amp;"","Client inconnu"))</f>
        <v/>
      </c>
      <c r="F266" s="60" t="n"/>
      <c r="G266" s="63" t="n"/>
      <c r="H266" s="61" t="n"/>
      <c r="I266" s="63" t="n"/>
      <c r="J266" s="60" t="n"/>
      <c r="K266" s="61" t="n"/>
      <c r="L266" s="60" t="n"/>
      <c r="M266" s="60" t="n"/>
      <c r="N266" s="60" t="n"/>
      <c r="O266" s="61" t="n"/>
      <c r="P266" s="64" t="str">
        <f>IF(A266="","",IF(AA266="Avoir",AC266,IF(ISNUMBER(K266),K266,AC266+IF(D266="",N(p_delay),IFERROR(IF(ISNUMBER(INDEX(cli_delay,MATCH(D266,cli_code,0))),INDEX(cli_delay,MATCH(D266,cli_code,0)),N(p_delay)),N(p_delay))))))</f>
        <v/>
      </c>
      <c r="Q266" s="65" t="str">
        <f>IF(A266="","",IF(AA266="Avoir",-1,1)*ROUND(AJ266-IF(AR266="",0,INDEX(fa_htb,AR266)),2))</f>
        <v/>
      </c>
      <c r="R266" s="65" t="str">
        <f>IF(A266="","",IF(AA266="Avoir",-1,1)*ROUND(AQ266-IF(AR266="",0,INDEX(fa_tvab,AR266)),2))</f>
        <v/>
      </c>
      <c r="S266" s="65" t="str">
        <f>IF(A266="","",Q266+R266)</f>
        <v/>
      </c>
      <c r="T266" s="65" t="str">
        <f>IF(AR266="","",INDEX(fa_htb,AR266)+INDEX(fa_tvab,AR266))</f>
        <v/>
      </c>
      <c r="U266" s="65" t="str">
        <f>IF(A266="","",SUMIF(pa_inv,A266,pa_amt))</f>
        <v/>
      </c>
      <c r="V266" s="65" t="str">
        <f>IF(OR(A266="",AA266="Avoir"),"",-SUMIFS(fa_ttc,fa_avof,A266,fa_type,"Avoir"))</f>
        <v/>
      </c>
      <c r="W266" s="65" t="str">
        <f>IF(OR(A266="",AA266="Avoir"),"",ROUND(S266-U266-V266,2))</f>
        <v/>
      </c>
      <c r="X266" s="66" t="str">
        <f>IF(W266="","",IF(AND(W266&gt;0,p_asof&gt;P266),p_asof-P266,""))</f>
        <v/>
      </c>
      <c r="Y266" s="59" t="str">
        <f>IF(A266="","",IF(AA266="Avoir","Avoir",IF(W266&lt;0,"Trop-perçu",IF(W266=0,"Soldée",IF(p_asof&gt;P266,"En retard",IF(U266+V266&gt;0,"Partielle","À échoir"))))))</f>
        <v/>
      </c>
      <c r="Z266" s="59" t="str">
        <f>IF(NOT(COUNTA(B266:D266,F266:O266)&gt;0),"",IF(C266="","Date manquante",IF(NOT(ISNUMBER(C266)),"Date invalide",IF(D266="","Client manquant",IF(ISNA(MATCH(D266,cli_code,0)),"Client inconnu",IF(AC266&lt;SUMPRODUCT(MAX(($AB$6:AB265=AB266)*$AC$6:AC265)),"Date antérieure à la facture précédente",IF(AND(F266&lt;&gt;"",ISNA(MATCH(F266,dv_num,0))),"Devis inconnu",IF(AND(F266&lt;&gt;"",IFERROR(INDEX(dv_client,MATCH(F266,dv_num,0)),D266)&lt;&gt;D266),"Client différent de celui du devis",IF(AG266="","Aucune ligne : saisissez des lignes ou un devis",IF(AND(AI266&lt;&gt;"",COUNTIF($AI$6:AI266,AI266)&gt;1),"Devis déjà repris par une autre facture",IF(AND(AA266="Avoir",M266=""),"Avoir : indiquez la facture d'origine",IF(AND(AA266="Avoir",ISNA(MATCH(M266,fa_num,0))),"Facture d'origine inconnue",IF(AND(AA266&lt;&gt;"Avoir",M266&lt;&gt;""),"« Avoir sur facture » : réservé aux avoirs",IF(AND(L266&lt;&gt;"",AA266&lt;&gt;"Facture"),"Acompte à déduire : réservé aux factures",IF(AND(L266&lt;&gt;"",ISNA(MATCH(L266,fa_num,0))),"Facture d'acompte inconnue",IF(AND(L266&lt;&gt;"",IFERROR(INDEX(fa_type,MATCH(L266,fa_num,0)),"")&lt;&gt;"Facture d'acompte"),"Le n° à déduire n'est pas une facture d'acompte",IF(AND(L266&lt;&gt;"",COUNTIF($L$6:L266,L266)&gt;1),"Acompte déjà déduit sur une autre facture",IF(AND(L266&lt;&gt;"",IFERROR(INDEX(fa_client,MATCH(L266,fa_num,0)),D266)&lt;&gt;D266),"Acompte d'un autre client",IF(AND(AR266&lt;&gt;"",N(Q266)&lt;0),"Acompte supérieur au total de la facture",IF(IF(AG266="Facture",COUNTIFS(fl_doc,A266,fl_check,"&lt;&gt;OK"),IF(AG266="Devis",COUNTIFS(dl_doc,F266,dl_check,"&lt;&gt;OK"),0))&gt;0,"Ligne(s) à corriger",IF(AND(W266&lt;&gt;"",N(W266)&lt;0),"Trop-perçu : vérifiez paiements et avoirs","OK")))))))))))))))))))))</f>
        <v/>
      </c>
      <c r="AA266" s="62" t="str">
        <f>IF(COUNTA(B266:D266,F266:O266)&gt;0,IF(B266="","Facture",B266),"")</f>
        <v/>
      </c>
      <c r="AB266" s="62" t="str">
        <f>IF(AA266="","",IF(AA266="Avoir",p_pav,IF(AA266="Facture d'acompte",p_pac,p_pfa)))</f>
        <v/>
      </c>
      <c r="AC266" s="62">
        <f>IF(ISNUMBER(C266),C266,0)</f>
        <v>0.0</v>
      </c>
      <c r="AD266" s="62" t="str">
        <f>IF(OR(AA266="",AC266=0),"",YEAR(AC266))</f>
        <v/>
      </c>
      <c r="AE266" s="62" t="str">
        <f>IF(AD266="","",COUNTIFS($AB$6:AB266,AB266,$AD$6:AD266,AD266))</f>
        <v/>
      </c>
      <c r="AF266" s="62">
        <f>IF(A266="",0,COUNTIF(fl_doc,A266))</f>
        <v>0.0</v>
      </c>
      <c r="AG266" s="62" t="str">
        <f>IF(A266="","",IF(AF266&gt;0,"Facture",IF(AND(F266&lt;&gt;"",AA266="Facture",ISNUMBER(MATCH(F266,dv_num,0))),"Devis","")))</f>
        <v/>
      </c>
      <c r="AH266" s="62" t="str">
        <f>IF(AND(A266&lt;&gt;"",F266&lt;&gt;"",AA266&lt;&gt;"Avoir"),F266,"")</f>
        <v/>
      </c>
      <c r="AI266" s="62" t="str">
        <f>IF(AG266="Devis",F266,"")</f>
        <v/>
      </c>
      <c r="AJ266" s="62">
        <f>IF(AG266="Facture",SUMIF(fl_doc,A266,fl_ht),IF(AG266="Devis",SUMIF(dl_doc,F266,dl_ht),0))</f>
        <v>0.0</v>
      </c>
      <c r="AK266" s="62">
        <f>IF(OR(AG266="",INDEX(p_rates,1)=""),0,IF(AG266="Facture",SUMIFS(fl_ht,fl_doc,A266,fl_rate,INDEX(p_rates,1)),SUMIFS(dl_ht,dl_doc,F266,dl_rate,INDEX(p_rates,1))))</f>
        <v>0.0</v>
      </c>
      <c r="AL266" s="62">
        <f>IF(OR(AG266="",INDEX(p_rates,2)=""),0,IF(AG266="Facture",SUMIFS(fl_ht,fl_doc,A266,fl_rate,INDEX(p_rates,2)),SUMIFS(dl_ht,dl_doc,F266,dl_rate,INDEX(p_rates,2))))</f>
        <v>0.0</v>
      </c>
      <c r="AM266" s="62">
        <f>IF(OR(AG266="",INDEX(p_rates,3)=""),0,IF(AG266="Facture",SUMIFS(fl_ht,fl_doc,A266,fl_rate,INDEX(p_rates,3)),SUMIFS(dl_ht,dl_doc,F266,dl_rate,INDEX(p_rates,3))))</f>
        <v>0.0</v>
      </c>
      <c r="AN266" s="62">
        <f>IF(OR(AG266="",INDEX(p_rates,4)=""),0,IF(AG266="Facture",SUMIFS(fl_ht,fl_doc,A266,fl_rate,INDEX(p_rates,4)),SUMIFS(dl_ht,dl_doc,F266,dl_rate,INDEX(p_rates,4))))</f>
        <v>0.0</v>
      </c>
      <c r="AO266" s="62">
        <f>IF(OR(AG266="",INDEX(p_rates,5)=""),0,IF(AG266="Facture",SUMIFS(fl_ht,fl_doc,A266,fl_rate,INDEX(p_rates,5)),SUMIFS(dl_ht,dl_doc,F266,dl_rate,INDEX(p_rates,5))))</f>
        <v>0.0</v>
      </c>
      <c r="AP266" s="62">
        <f>IF(OR(AG266="",INDEX(p_rates,6)=""),0,IF(AG266="Facture",SUMIFS(fl_ht,fl_doc,A266,fl_rate,INDEX(p_rates,6)),SUMIFS(dl_ht,dl_doc,F266,dl_rate,INDEX(p_rates,6))))</f>
        <v>0.0</v>
      </c>
      <c r="AQ266" s="62">
        <f>ROUND(AK266*N(INDEX(p_rates,1)),2)+ROUND(AL266*N(INDEX(p_rates,2)),2)+ROUND(AM266*N(INDEX(p_rates,3)),2)+ROUND(AN266*N(INDEX(p_rates,4)),2)+ROUND(AO266*N(INDEX(p_rates,5)),2)+ROUND(AP266*N(INDEX(p_rates,6)),2)</f>
        <v>0.0</v>
      </c>
      <c r="AR266" s="62" t="str">
        <f>IF(OR(L266="",AA266&lt;&gt;"Facture"),"",IFERROR(IF(INDEX(fa_type,MATCH(L266,fa_num,0))="Facture d'acompte",MATCH(L266,fa_num,0),""),""))</f>
        <v/>
      </c>
      <c r="AS266" s="62" t="str">
        <f>IF(W266="","",IF(W266&lt;=0,"",IF(p_asof-P266&lt;=0,"Non échu",IF(p_asof-P266&lt;=30,"1-30 j",IF(p_asof-P266&lt;=60,"31-60 j",IF(p_asof-P266&lt;=90,"61-90 j","Plus de 90 j"))))))</f>
        <v/>
      </c>
      <c r="AT266" s="62" t="str">
        <f>IF(AS266="","",p_asof-P266)</f>
        <v/>
      </c>
      <c r="AU266" s="62" t="str">
        <f>IF(AT266="","",COUNTIF($AT$6:$AT$805,"&gt;"&amp;AT266)+COUNTIF($AT$6:AT266,AT266))</f>
        <v/>
      </c>
    </row>
    <row r="267">
      <c r="A267" s="59" t="str">
        <f>IF(AE267="","",AB267&amp;"-"&amp;AD267&amp;"-"&amp;RIGHT("000"&amp;AE267,4))</f>
        <v/>
      </c>
      <c r="B267" s="60" t="n"/>
      <c r="C267" s="61" t="n"/>
      <c r="D267" s="60" t="n"/>
      <c r="E267" s="62" t="str">
        <f>IF(D267="","",IFERROR(INDEX(cli_name,MATCH(D267,cli_code,0))&amp;"","Client inconnu"))</f>
        <v/>
      </c>
      <c r="F267" s="60" t="n"/>
      <c r="G267" s="63" t="n"/>
      <c r="H267" s="61" t="n"/>
      <c r="I267" s="63" t="n"/>
      <c r="J267" s="60" t="n"/>
      <c r="K267" s="61" t="n"/>
      <c r="L267" s="60" t="n"/>
      <c r="M267" s="60" t="n"/>
      <c r="N267" s="60" t="n"/>
      <c r="O267" s="61" t="n"/>
      <c r="P267" s="64" t="str">
        <f>IF(A267="","",IF(AA267="Avoir",AC267,IF(ISNUMBER(K267),K267,AC267+IF(D267="",N(p_delay),IFERROR(IF(ISNUMBER(INDEX(cli_delay,MATCH(D267,cli_code,0))),INDEX(cli_delay,MATCH(D267,cli_code,0)),N(p_delay)),N(p_delay))))))</f>
        <v/>
      </c>
      <c r="Q267" s="65" t="str">
        <f>IF(A267="","",IF(AA267="Avoir",-1,1)*ROUND(AJ267-IF(AR267="",0,INDEX(fa_htb,AR267)),2))</f>
        <v/>
      </c>
      <c r="R267" s="65" t="str">
        <f>IF(A267="","",IF(AA267="Avoir",-1,1)*ROUND(AQ267-IF(AR267="",0,INDEX(fa_tvab,AR267)),2))</f>
        <v/>
      </c>
      <c r="S267" s="65" t="str">
        <f>IF(A267="","",Q267+R267)</f>
        <v/>
      </c>
      <c r="T267" s="65" t="str">
        <f>IF(AR267="","",INDEX(fa_htb,AR267)+INDEX(fa_tvab,AR267))</f>
        <v/>
      </c>
      <c r="U267" s="65" t="str">
        <f>IF(A267="","",SUMIF(pa_inv,A267,pa_amt))</f>
        <v/>
      </c>
      <c r="V267" s="65" t="str">
        <f>IF(OR(A267="",AA267="Avoir"),"",-SUMIFS(fa_ttc,fa_avof,A267,fa_type,"Avoir"))</f>
        <v/>
      </c>
      <c r="W267" s="65" t="str">
        <f>IF(OR(A267="",AA267="Avoir"),"",ROUND(S267-U267-V267,2))</f>
        <v/>
      </c>
      <c r="X267" s="66" t="str">
        <f>IF(W267="","",IF(AND(W267&gt;0,p_asof&gt;P267),p_asof-P267,""))</f>
        <v/>
      </c>
      <c r="Y267" s="59" t="str">
        <f>IF(A267="","",IF(AA267="Avoir","Avoir",IF(W267&lt;0,"Trop-perçu",IF(W267=0,"Soldée",IF(p_asof&gt;P267,"En retard",IF(U267+V267&gt;0,"Partielle","À échoir"))))))</f>
        <v/>
      </c>
      <c r="Z267" s="59" t="str">
        <f>IF(NOT(COUNTA(B267:D267,F267:O267)&gt;0),"",IF(C267="","Date manquante",IF(NOT(ISNUMBER(C267)),"Date invalide",IF(D267="","Client manquant",IF(ISNA(MATCH(D267,cli_code,0)),"Client inconnu",IF(AC267&lt;SUMPRODUCT(MAX(($AB$6:AB266=AB267)*$AC$6:AC266)),"Date antérieure à la facture précédente",IF(AND(F267&lt;&gt;"",ISNA(MATCH(F267,dv_num,0))),"Devis inconnu",IF(AND(F267&lt;&gt;"",IFERROR(INDEX(dv_client,MATCH(F267,dv_num,0)),D267)&lt;&gt;D267),"Client différent de celui du devis",IF(AG267="","Aucune ligne : saisissez des lignes ou un devis",IF(AND(AI267&lt;&gt;"",COUNTIF($AI$6:AI267,AI267)&gt;1),"Devis déjà repris par une autre facture",IF(AND(AA267="Avoir",M267=""),"Avoir : indiquez la facture d'origine",IF(AND(AA267="Avoir",ISNA(MATCH(M267,fa_num,0))),"Facture d'origine inconnue",IF(AND(AA267&lt;&gt;"Avoir",M267&lt;&gt;""),"« Avoir sur facture » : réservé aux avoirs",IF(AND(L267&lt;&gt;"",AA267&lt;&gt;"Facture"),"Acompte à déduire : réservé aux factures",IF(AND(L267&lt;&gt;"",ISNA(MATCH(L267,fa_num,0))),"Facture d'acompte inconnue",IF(AND(L267&lt;&gt;"",IFERROR(INDEX(fa_type,MATCH(L267,fa_num,0)),"")&lt;&gt;"Facture d'acompte"),"Le n° à déduire n'est pas une facture d'acompte",IF(AND(L267&lt;&gt;"",COUNTIF($L$6:L267,L267)&gt;1),"Acompte déjà déduit sur une autre facture",IF(AND(L267&lt;&gt;"",IFERROR(INDEX(fa_client,MATCH(L267,fa_num,0)),D267)&lt;&gt;D267),"Acompte d'un autre client",IF(AND(AR267&lt;&gt;"",N(Q267)&lt;0),"Acompte supérieur au total de la facture",IF(IF(AG267="Facture",COUNTIFS(fl_doc,A267,fl_check,"&lt;&gt;OK"),IF(AG267="Devis",COUNTIFS(dl_doc,F267,dl_check,"&lt;&gt;OK"),0))&gt;0,"Ligne(s) à corriger",IF(AND(W267&lt;&gt;"",N(W267)&lt;0),"Trop-perçu : vérifiez paiements et avoirs","OK")))))))))))))))))))))</f>
        <v/>
      </c>
      <c r="AA267" s="62" t="str">
        <f>IF(COUNTA(B267:D267,F267:O267)&gt;0,IF(B267="","Facture",B267),"")</f>
        <v/>
      </c>
      <c r="AB267" s="62" t="str">
        <f>IF(AA267="","",IF(AA267="Avoir",p_pav,IF(AA267="Facture d'acompte",p_pac,p_pfa)))</f>
        <v/>
      </c>
      <c r="AC267" s="62">
        <f>IF(ISNUMBER(C267),C267,0)</f>
        <v>0.0</v>
      </c>
      <c r="AD267" s="62" t="str">
        <f>IF(OR(AA267="",AC267=0),"",YEAR(AC267))</f>
        <v/>
      </c>
      <c r="AE267" s="62" t="str">
        <f>IF(AD267="","",COUNTIFS($AB$6:AB267,AB267,$AD$6:AD267,AD267))</f>
        <v/>
      </c>
      <c r="AF267" s="62">
        <f>IF(A267="",0,COUNTIF(fl_doc,A267))</f>
        <v>0.0</v>
      </c>
      <c r="AG267" s="62" t="str">
        <f>IF(A267="","",IF(AF267&gt;0,"Facture",IF(AND(F267&lt;&gt;"",AA267="Facture",ISNUMBER(MATCH(F267,dv_num,0))),"Devis","")))</f>
        <v/>
      </c>
      <c r="AH267" s="62" t="str">
        <f>IF(AND(A267&lt;&gt;"",F267&lt;&gt;"",AA267&lt;&gt;"Avoir"),F267,"")</f>
        <v/>
      </c>
      <c r="AI267" s="62" t="str">
        <f>IF(AG267="Devis",F267,"")</f>
        <v/>
      </c>
      <c r="AJ267" s="62">
        <f>IF(AG267="Facture",SUMIF(fl_doc,A267,fl_ht),IF(AG267="Devis",SUMIF(dl_doc,F267,dl_ht),0))</f>
        <v>0.0</v>
      </c>
      <c r="AK267" s="62">
        <f>IF(OR(AG267="",INDEX(p_rates,1)=""),0,IF(AG267="Facture",SUMIFS(fl_ht,fl_doc,A267,fl_rate,INDEX(p_rates,1)),SUMIFS(dl_ht,dl_doc,F267,dl_rate,INDEX(p_rates,1))))</f>
        <v>0.0</v>
      </c>
      <c r="AL267" s="62">
        <f>IF(OR(AG267="",INDEX(p_rates,2)=""),0,IF(AG267="Facture",SUMIFS(fl_ht,fl_doc,A267,fl_rate,INDEX(p_rates,2)),SUMIFS(dl_ht,dl_doc,F267,dl_rate,INDEX(p_rates,2))))</f>
        <v>0.0</v>
      </c>
      <c r="AM267" s="62">
        <f>IF(OR(AG267="",INDEX(p_rates,3)=""),0,IF(AG267="Facture",SUMIFS(fl_ht,fl_doc,A267,fl_rate,INDEX(p_rates,3)),SUMIFS(dl_ht,dl_doc,F267,dl_rate,INDEX(p_rates,3))))</f>
        <v>0.0</v>
      </c>
      <c r="AN267" s="62">
        <f>IF(OR(AG267="",INDEX(p_rates,4)=""),0,IF(AG267="Facture",SUMIFS(fl_ht,fl_doc,A267,fl_rate,INDEX(p_rates,4)),SUMIFS(dl_ht,dl_doc,F267,dl_rate,INDEX(p_rates,4))))</f>
        <v>0.0</v>
      </c>
      <c r="AO267" s="62">
        <f>IF(OR(AG267="",INDEX(p_rates,5)=""),0,IF(AG267="Facture",SUMIFS(fl_ht,fl_doc,A267,fl_rate,INDEX(p_rates,5)),SUMIFS(dl_ht,dl_doc,F267,dl_rate,INDEX(p_rates,5))))</f>
        <v>0.0</v>
      </c>
      <c r="AP267" s="62">
        <f>IF(OR(AG267="",INDEX(p_rates,6)=""),0,IF(AG267="Facture",SUMIFS(fl_ht,fl_doc,A267,fl_rate,INDEX(p_rates,6)),SUMIFS(dl_ht,dl_doc,F267,dl_rate,INDEX(p_rates,6))))</f>
        <v>0.0</v>
      </c>
      <c r="AQ267" s="62">
        <f>ROUND(AK267*N(INDEX(p_rates,1)),2)+ROUND(AL267*N(INDEX(p_rates,2)),2)+ROUND(AM267*N(INDEX(p_rates,3)),2)+ROUND(AN267*N(INDEX(p_rates,4)),2)+ROUND(AO267*N(INDEX(p_rates,5)),2)+ROUND(AP267*N(INDEX(p_rates,6)),2)</f>
        <v>0.0</v>
      </c>
      <c r="AR267" s="62" t="str">
        <f>IF(OR(L267="",AA267&lt;&gt;"Facture"),"",IFERROR(IF(INDEX(fa_type,MATCH(L267,fa_num,0))="Facture d'acompte",MATCH(L267,fa_num,0),""),""))</f>
        <v/>
      </c>
      <c r="AS267" s="62" t="str">
        <f>IF(W267="","",IF(W267&lt;=0,"",IF(p_asof-P267&lt;=0,"Non échu",IF(p_asof-P267&lt;=30,"1-30 j",IF(p_asof-P267&lt;=60,"31-60 j",IF(p_asof-P267&lt;=90,"61-90 j","Plus de 90 j"))))))</f>
        <v/>
      </c>
      <c r="AT267" s="62" t="str">
        <f>IF(AS267="","",p_asof-P267)</f>
        <v/>
      </c>
      <c r="AU267" s="62" t="str">
        <f>IF(AT267="","",COUNTIF($AT$6:$AT$805,"&gt;"&amp;AT267)+COUNTIF($AT$6:AT267,AT267))</f>
        <v/>
      </c>
    </row>
    <row r="268">
      <c r="A268" s="59" t="str">
        <f>IF(AE268="","",AB268&amp;"-"&amp;AD268&amp;"-"&amp;RIGHT("000"&amp;AE268,4))</f>
        <v/>
      </c>
      <c r="B268" s="60" t="n"/>
      <c r="C268" s="61" t="n"/>
      <c r="D268" s="60" t="n"/>
      <c r="E268" s="62" t="str">
        <f>IF(D268="","",IFERROR(INDEX(cli_name,MATCH(D268,cli_code,0))&amp;"","Client inconnu"))</f>
        <v/>
      </c>
      <c r="F268" s="60" t="n"/>
      <c r="G268" s="63" t="n"/>
      <c r="H268" s="61" t="n"/>
      <c r="I268" s="63" t="n"/>
      <c r="J268" s="60" t="n"/>
      <c r="K268" s="61" t="n"/>
      <c r="L268" s="60" t="n"/>
      <c r="M268" s="60" t="n"/>
      <c r="N268" s="60" t="n"/>
      <c r="O268" s="61" t="n"/>
      <c r="P268" s="64" t="str">
        <f>IF(A268="","",IF(AA268="Avoir",AC268,IF(ISNUMBER(K268),K268,AC268+IF(D268="",N(p_delay),IFERROR(IF(ISNUMBER(INDEX(cli_delay,MATCH(D268,cli_code,0))),INDEX(cli_delay,MATCH(D268,cli_code,0)),N(p_delay)),N(p_delay))))))</f>
        <v/>
      </c>
      <c r="Q268" s="65" t="str">
        <f>IF(A268="","",IF(AA268="Avoir",-1,1)*ROUND(AJ268-IF(AR268="",0,INDEX(fa_htb,AR268)),2))</f>
        <v/>
      </c>
      <c r="R268" s="65" t="str">
        <f>IF(A268="","",IF(AA268="Avoir",-1,1)*ROUND(AQ268-IF(AR268="",0,INDEX(fa_tvab,AR268)),2))</f>
        <v/>
      </c>
      <c r="S268" s="65" t="str">
        <f>IF(A268="","",Q268+R268)</f>
        <v/>
      </c>
      <c r="T268" s="65" t="str">
        <f>IF(AR268="","",INDEX(fa_htb,AR268)+INDEX(fa_tvab,AR268))</f>
        <v/>
      </c>
      <c r="U268" s="65" t="str">
        <f>IF(A268="","",SUMIF(pa_inv,A268,pa_amt))</f>
        <v/>
      </c>
      <c r="V268" s="65" t="str">
        <f>IF(OR(A268="",AA268="Avoir"),"",-SUMIFS(fa_ttc,fa_avof,A268,fa_type,"Avoir"))</f>
        <v/>
      </c>
      <c r="W268" s="65" t="str">
        <f>IF(OR(A268="",AA268="Avoir"),"",ROUND(S268-U268-V268,2))</f>
        <v/>
      </c>
      <c r="X268" s="66" t="str">
        <f>IF(W268="","",IF(AND(W268&gt;0,p_asof&gt;P268),p_asof-P268,""))</f>
        <v/>
      </c>
      <c r="Y268" s="59" t="str">
        <f>IF(A268="","",IF(AA268="Avoir","Avoir",IF(W268&lt;0,"Trop-perçu",IF(W268=0,"Soldée",IF(p_asof&gt;P268,"En retard",IF(U268+V268&gt;0,"Partielle","À échoir"))))))</f>
        <v/>
      </c>
      <c r="Z268" s="59" t="str">
        <f>IF(NOT(COUNTA(B268:D268,F268:O268)&gt;0),"",IF(C268="","Date manquante",IF(NOT(ISNUMBER(C268)),"Date invalide",IF(D268="","Client manquant",IF(ISNA(MATCH(D268,cli_code,0)),"Client inconnu",IF(AC268&lt;SUMPRODUCT(MAX(($AB$6:AB267=AB268)*$AC$6:AC267)),"Date antérieure à la facture précédente",IF(AND(F268&lt;&gt;"",ISNA(MATCH(F268,dv_num,0))),"Devis inconnu",IF(AND(F268&lt;&gt;"",IFERROR(INDEX(dv_client,MATCH(F268,dv_num,0)),D268)&lt;&gt;D268),"Client différent de celui du devis",IF(AG268="","Aucune ligne : saisissez des lignes ou un devis",IF(AND(AI268&lt;&gt;"",COUNTIF($AI$6:AI268,AI268)&gt;1),"Devis déjà repris par une autre facture",IF(AND(AA268="Avoir",M268=""),"Avoir : indiquez la facture d'origine",IF(AND(AA268="Avoir",ISNA(MATCH(M268,fa_num,0))),"Facture d'origine inconnue",IF(AND(AA268&lt;&gt;"Avoir",M268&lt;&gt;""),"« Avoir sur facture » : réservé aux avoirs",IF(AND(L268&lt;&gt;"",AA268&lt;&gt;"Facture"),"Acompte à déduire : réservé aux factures",IF(AND(L268&lt;&gt;"",ISNA(MATCH(L268,fa_num,0))),"Facture d'acompte inconnue",IF(AND(L268&lt;&gt;"",IFERROR(INDEX(fa_type,MATCH(L268,fa_num,0)),"")&lt;&gt;"Facture d'acompte"),"Le n° à déduire n'est pas une facture d'acompte",IF(AND(L268&lt;&gt;"",COUNTIF($L$6:L268,L268)&gt;1),"Acompte déjà déduit sur une autre facture",IF(AND(L268&lt;&gt;"",IFERROR(INDEX(fa_client,MATCH(L268,fa_num,0)),D268)&lt;&gt;D268),"Acompte d'un autre client",IF(AND(AR268&lt;&gt;"",N(Q268)&lt;0),"Acompte supérieur au total de la facture",IF(IF(AG268="Facture",COUNTIFS(fl_doc,A268,fl_check,"&lt;&gt;OK"),IF(AG268="Devis",COUNTIFS(dl_doc,F268,dl_check,"&lt;&gt;OK"),0))&gt;0,"Ligne(s) à corriger",IF(AND(W268&lt;&gt;"",N(W268)&lt;0),"Trop-perçu : vérifiez paiements et avoirs","OK")))))))))))))))))))))</f>
        <v/>
      </c>
      <c r="AA268" s="62" t="str">
        <f>IF(COUNTA(B268:D268,F268:O268)&gt;0,IF(B268="","Facture",B268),"")</f>
        <v/>
      </c>
      <c r="AB268" s="62" t="str">
        <f>IF(AA268="","",IF(AA268="Avoir",p_pav,IF(AA268="Facture d'acompte",p_pac,p_pfa)))</f>
        <v/>
      </c>
      <c r="AC268" s="62">
        <f>IF(ISNUMBER(C268),C268,0)</f>
        <v>0.0</v>
      </c>
      <c r="AD268" s="62" t="str">
        <f>IF(OR(AA268="",AC268=0),"",YEAR(AC268))</f>
        <v/>
      </c>
      <c r="AE268" s="62" t="str">
        <f>IF(AD268="","",COUNTIFS($AB$6:AB268,AB268,$AD$6:AD268,AD268))</f>
        <v/>
      </c>
      <c r="AF268" s="62">
        <f>IF(A268="",0,COUNTIF(fl_doc,A268))</f>
        <v>0.0</v>
      </c>
      <c r="AG268" s="62" t="str">
        <f>IF(A268="","",IF(AF268&gt;0,"Facture",IF(AND(F268&lt;&gt;"",AA268="Facture",ISNUMBER(MATCH(F268,dv_num,0))),"Devis","")))</f>
        <v/>
      </c>
      <c r="AH268" s="62" t="str">
        <f>IF(AND(A268&lt;&gt;"",F268&lt;&gt;"",AA268&lt;&gt;"Avoir"),F268,"")</f>
        <v/>
      </c>
      <c r="AI268" s="62" t="str">
        <f>IF(AG268="Devis",F268,"")</f>
        <v/>
      </c>
      <c r="AJ268" s="62">
        <f>IF(AG268="Facture",SUMIF(fl_doc,A268,fl_ht),IF(AG268="Devis",SUMIF(dl_doc,F268,dl_ht),0))</f>
        <v>0.0</v>
      </c>
      <c r="AK268" s="62">
        <f>IF(OR(AG268="",INDEX(p_rates,1)=""),0,IF(AG268="Facture",SUMIFS(fl_ht,fl_doc,A268,fl_rate,INDEX(p_rates,1)),SUMIFS(dl_ht,dl_doc,F268,dl_rate,INDEX(p_rates,1))))</f>
        <v>0.0</v>
      </c>
      <c r="AL268" s="62">
        <f>IF(OR(AG268="",INDEX(p_rates,2)=""),0,IF(AG268="Facture",SUMIFS(fl_ht,fl_doc,A268,fl_rate,INDEX(p_rates,2)),SUMIFS(dl_ht,dl_doc,F268,dl_rate,INDEX(p_rates,2))))</f>
        <v>0.0</v>
      </c>
      <c r="AM268" s="62">
        <f>IF(OR(AG268="",INDEX(p_rates,3)=""),0,IF(AG268="Facture",SUMIFS(fl_ht,fl_doc,A268,fl_rate,INDEX(p_rates,3)),SUMIFS(dl_ht,dl_doc,F268,dl_rate,INDEX(p_rates,3))))</f>
        <v>0.0</v>
      </c>
      <c r="AN268" s="62">
        <f>IF(OR(AG268="",INDEX(p_rates,4)=""),0,IF(AG268="Facture",SUMIFS(fl_ht,fl_doc,A268,fl_rate,INDEX(p_rates,4)),SUMIFS(dl_ht,dl_doc,F268,dl_rate,INDEX(p_rates,4))))</f>
        <v>0.0</v>
      </c>
      <c r="AO268" s="62">
        <f>IF(OR(AG268="",INDEX(p_rates,5)=""),0,IF(AG268="Facture",SUMIFS(fl_ht,fl_doc,A268,fl_rate,INDEX(p_rates,5)),SUMIFS(dl_ht,dl_doc,F268,dl_rate,INDEX(p_rates,5))))</f>
        <v>0.0</v>
      </c>
      <c r="AP268" s="62">
        <f>IF(OR(AG268="",INDEX(p_rates,6)=""),0,IF(AG268="Facture",SUMIFS(fl_ht,fl_doc,A268,fl_rate,INDEX(p_rates,6)),SUMIFS(dl_ht,dl_doc,F268,dl_rate,INDEX(p_rates,6))))</f>
        <v>0.0</v>
      </c>
      <c r="AQ268" s="62">
        <f>ROUND(AK268*N(INDEX(p_rates,1)),2)+ROUND(AL268*N(INDEX(p_rates,2)),2)+ROUND(AM268*N(INDEX(p_rates,3)),2)+ROUND(AN268*N(INDEX(p_rates,4)),2)+ROUND(AO268*N(INDEX(p_rates,5)),2)+ROUND(AP268*N(INDEX(p_rates,6)),2)</f>
        <v>0.0</v>
      </c>
      <c r="AR268" s="62" t="str">
        <f>IF(OR(L268="",AA268&lt;&gt;"Facture"),"",IFERROR(IF(INDEX(fa_type,MATCH(L268,fa_num,0))="Facture d'acompte",MATCH(L268,fa_num,0),""),""))</f>
        <v/>
      </c>
      <c r="AS268" s="62" t="str">
        <f>IF(W268="","",IF(W268&lt;=0,"",IF(p_asof-P268&lt;=0,"Non échu",IF(p_asof-P268&lt;=30,"1-30 j",IF(p_asof-P268&lt;=60,"31-60 j",IF(p_asof-P268&lt;=90,"61-90 j","Plus de 90 j"))))))</f>
        <v/>
      </c>
      <c r="AT268" s="62" t="str">
        <f>IF(AS268="","",p_asof-P268)</f>
        <v/>
      </c>
      <c r="AU268" s="62" t="str">
        <f>IF(AT268="","",COUNTIF($AT$6:$AT$805,"&gt;"&amp;AT268)+COUNTIF($AT$6:AT268,AT268))</f>
        <v/>
      </c>
    </row>
    <row r="269">
      <c r="A269" s="59" t="str">
        <f>IF(AE269="","",AB269&amp;"-"&amp;AD269&amp;"-"&amp;RIGHT("000"&amp;AE269,4))</f>
        <v/>
      </c>
      <c r="B269" s="60" t="n"/>
      <c r="C269" s="61" t="n"/>
      <c r="D269" s="60" t="n"/>
      <c r="E269" s="62" t="str">
        <f>IF(D269="","",IFERROR(INDEX(cli_name,MATCH(D269,cli_code,0))&amp;"","Client inconnu"))</f>
        <v/>
      </c>
      <c r="F269" s="60" t="n"/>
      <c r="G269" s="63" t="n"/>
      <c r="H269" s="61" t="n"/>
      <c r="I269" s="63" t="n"/>
      <c r="J269" s="60" t="n"/>
      <c r="K269" s="61" t="n"/>
      <c r="L269" s="60" t="n"/>
      <c r="M269" s="60" t="n"/>
      <c r="N269" s="60" t="n"/>
      <c r="O269" s="61" t="n"/>
      <c r="P269" s="64" t="str">
        <f>IF(A269="","",IF(AA269="Avoir",AC269,IF(ISNUMBER(K269),K269,AC269+IF(D269="",N(p_delay),IFERROR(IF(ISNUMBER(INDEX(cli_delay,MATCH(D269,cli_code,0))),INDEX(cli_delay,MATCH(D269,cli_code,0)),N(p_delay)),N(p_delay))))))</f>
        <v/>
      </c>
      <c r="Q269" s="65" t="str">
        <f>IF(A269="","",IF(AA269="Avoir",-1,1)*ROUND(AJ269-IF(AR269="",0,INDEX(fa_htb,AR269)),2))</f>
        <v/>
      </c>
      <c r="R269" s="65" t="str">
        <f>IF(A269="","",IF(AA269="Avoir",-1,1)*ROUND(AQ269-IF(AR269="",0,INDEX(fa_tvab,AR269)),2))</f>
        <v/>
      </c>
      <c r="S269" s="65" t="str">
        <f>IF(A269="","",Q269+R269)</f>
        <v/>
      </c>
      <c r="T269" s="65" t="str">
        <f>IF(AR269="","",INDEX(fa_htb,AR269)+INDEX(fa_tvab,AR269))</f>
        <v/>
      </c>
      <c r="U269" s="65" t="str">
        <f>IF(A269="","",SUMIF(pa_inv,A269,pa_amt))</f>
        <v/>
      </c>
      <c r="V269" s="65" t="str">
        <f>IF(OR(A269="",AA269="Avoir"),"",-SUMIFS(fa_ttc,fa_avof,A269,fa_type,"Avoir"))</f>
        <v/>
      </c>
      <c r="W269" s="65" t="str">
        <f>IF(OR(A269="",AA269="Avoir"),"",ROUND(S269-U269-V269,2))</f>
        <v/>
      </c>
      <c r="X269" s="66" t="str">
        <f>IF(W269="","",IF(AND(W269&gt;0,p_asof&gt;P269),p_asof-P269,""))</f>
        <v/>
      </c>
      <c r="Y269" s="59" t="str">
        <f>IF(A269="","",IF(AA269="Avoir","Avoir",IF(W269&lt;0,"Trop-perçu",IF(W269=0,"Soldée",IF(p_asof&gt;P269,"En retard",IF(U269+V269&gt;0,"Partielle","À échoir"))))))</f>
        <v/>
      </c>
      <c r="Z269" s="59" t="str">
        <f>IF(NOT(COUNTA(B269:D269,F269:O269)&gt;0),"",IF(C269="","Date manquante",IF(NOT(ISNUMBER(C269)),"Date invalide",IF(D269="","Client manquant",IF(ISNA(MATCH(D269,cli_code,0)),"Client inconnu",IF(AC269&lt;SUMPRODUCT(MAX(($AB$6:AB268=AB269)*$AC$6:AC268)),"Date antérieure à la facture précédente",IF(AND(F269&lt;&gt;"",ISNA(MATCH(F269,dv_num,0))),"Devis inconnu",IF(AND(F269&lt;&gt;"",IFERROR(INDEX(dv_client,MATCH(F269,dv_num,0)),D269)&lt;&gt;D269),"Client différent de celui du devis",IF(AG269="","Aucune ligne : saisissez des lignes ou un devis",IF(AND(AI269&lt;&gt;"",COUNTIF($AI$6:AI269,AI269)&gt;1),"Devis déjà repris par une autre facture",IF(AND(AA269="Avoir",M269=""),"Avoir : indiquez la facture d'origine",IF(AND(AA269="Avoir",ISNA(MATCH(M269,fa_num,0))),"Facture d'origine inconnue",IF(AND(AA269&lt;&gt;"Avoir",M269&lt;&gt;""),"« Avoir sur facture » : réservé aux avoirs",IF(AND(L269&lt;&gt;"",AA269&lt;&gt;"Facture"),"Acompte à déduire : réservé aux factures",IF(AND(L269&lt;&gt;"",ISNA(MATCH(L269,fa_num,0))),"Facture d'acompte inconnue",IF(AND(L269&lt;&gt;"",IFERROR(INDEX(fa_type,MATCH(L269,fa_num,0)),"")&lt;&gt;"Facture d'acompte"),"Le n° à déduire n'est pas une facture d'acompte",IF(AND(L269&lt;&gt;"",COUNTIF($L$6:L269,L269)&gt;1),"Acompte déjà déduit sur une autre facture",IF(AND(L269&lt;&gt;"",IFERROR(INDEX(fa_client,MATCH(L269,fa_num,0)),D269)&lt;&gt;D269),"Acompte d'un autre client",IF(AND(AR269&lt;&gt;"",N(Q269)&lt;0),"Acompte supérieur au total de la facture",IF(IF(AG269="Facture",COUNTIFS(fl_doc,A269,fl_check,"&lt;&gt;OK"),IF(AG269="Devis",COUNTIFS(dl_doc,F269,dl_check,"&lt;&gt;OK"),0))&gt;0,"Ligne(s) à corriger",IF(AND(W269&lt;&gt;"",N(W269)&lt;0),"Trop-perçu : vérifiez paiements et avoirs","OK")))))))))))))))))))))</f>
        <v/>
      </c>
      <c r="AA269" s="62" t="str">
        <f>IF(COUNTA(B269:D269,F269:O269)&gt;0,IF(B269="","Facture",B269),"")</f>
        <v/>
      </c>
      <c r="AB269" s="62" t="str">
        <f>IF(AA269="","",IF(AA269="Avoir",p_pav,IF(AA269="Facture d'acompte",p_pac,p_pfa)))</f>
        <v/>
      </c>
      <c r="AC269" s="62">
        <f>IF(ISNUMBER(C269),C269,0)</f>
        <v>0.0</v>
      </c>
      <c r="AD269" s="62" t="str">
        <f>IF(OR(AA269="",AC269=0),"",YEAR(AC269))</f>
        <v/>
      </c>
      <c r="AE269" s="62" t="str">
        <f>IF(AD269="","",COUNTIFS($AB$6:AB269,AB269,$AD$6:AD269,AD269))</f>
        <v/>
      </c>
      <c r="AF269" s="62">
        <f>IF(A269="",0,COUNTIF(fl_doc,A269))</f>
        <v>0.0</v>
      </c>
      <c r="AG269" s="62" t="str">
        <f>IF(A269="","",IF(AF269&gt;0,"Facture",IF(AND(F269&lt;&gt;"",AA269="Facture",ISNUMBER(MATCH(F269,dv_num,0))),"Devis","")))</f>
        <v/>
      </c>
      <c r="AH269" s="62" t="str">
        <f>IF(AND(A269&lt;&gt;"",F269&lt;&gt;"",AA269&lt;&gt;"Avoir"),F269,"")</f>
        <v/>
      </c>
      <c r="AI269" s="62" t="str">
        <f>IF(AG269="Devis",F269,"")</f>
        <v/>
      </c>
      <c r="AJ269" s="62">
        <f>IF(AG269="Facture",SUMIF(fl_doc,A269,fl_ht),IF(AG269="Devis",SUMIF(dl_doc,F269,dl_ht),0))</f>
        <v>0.0</v>
      </c>
      <c r="AK269" s="62">
        <f>IF(OR(AG269="",INDEX(p_rates,1)=""),0,IF(AG269="Facture",SUMIFS(fl_ht,fl_doc,A269,fl_rate,INDEX(p_rates,1)),SUMIFS(dl_ht,dl_doc,F269,dl_rate,INDEX(p_rates,1))))</f>
        <v>0.0</v>
      </c>
      <c r="AL269" s="62">
        <f>IF(OR(AG269="",INDEX(p_rates,2)=""),0,IF(AG269="Facture",SUMIFS(fl_ht,fl_doc,A269,fl_rate,INDEX(p_rates,2)),SUMIFS(dl_ht,dl_doc,F269,dl_rate,INDEX(p_rates,2))))</f>
        <v>0.0</v>
      </c>
      <c r="AM269" s="62">
        <f>IF(OR(AG269="",INDEX(p_rates,3)=""),0,IF(AG269="Facture",SUMIFS(fl_ht,fl_doc,A269,fl_rate,INDEX(p_rates,3)),SUMIFS(dl_ht,dl_doc,F269,dl_rate,INDEX(p_rates,3))))</f>
        <v>0.0</v>
      </c>
      <c r="AN269" s="62">
        <f>IF(OR(AG269="",INDEX(p_rates,4)=""),0,IF(AG269="Facture",SUMIFS(fl_ht,fl_doc,A269,fl_rate,INDEX(p_rates,4)),SUMIFS(dl_ht,dl_doc,F269,dl_rate,INDEX(p_rates,4))))</f>
        <v>0.0</v>
      </c>
      <c r="AO269" s="62">
        <f>IF(OR(AG269="",INDEX(p_rates,5)=""),0,IF(AG269="Facture",SUMIFS(fl_ht,fl_doc,A269,fl_rate,INDEX(p_rates,5)),SUMIFS(dl_ht,dl_doc,F269,dl_rate,INDEX(p_rates,5))))</f>
        <v>0.0</v>
      </c>
      <c r="AP269" s="62">
        <f>IF(OR(AG269="",INDEX(p_rates,6)=""),0,IF(AG269="Facture",SUMIFS(fl_ht,fl_doc,A269,fl_rate,INDEX(p_rates,6)),SUMIFS(dl_ht,dl_doc,F269,dl_rate,INDEX(p_rates,6))))</f>
        <v>0.0</v>
      </c>
      <c r="AQ269" s="62">
        <f>ROUND(AK269*N(INDEX(p_rates,1)),2)+ROUND(AL269*N(INDEX(p_rates,2)),2)+ROUND(AM269*N(INDEX(p_rates,3)),2)+ROUND(AN269*N(INDEX(p_rates,4)),2)+ROUND(AO269*N(INDEX(p_rates,5)),2)+ROUND(AP269*N(INDEX(p_rates,6)),2)</f>
        <v>0.0</v>
      </c>
      <c r="AR269" s="62" t="str">
        <f>IF(OR(L269="",AA269&lt;&gt;"Facture"),"",IFERROR(IF(INDEX(fa_type,MATCH(L269,fa_num,0))="Facture d'acompte",MATCH(L269,fa_num,0),""),""))</f>
        <v/>
      </c>
      <c r="AS269" s="62" t="str">
        <f>IF(W269="","",IF(W269&lt;=0,"",IF(p_asof-P269&lt;=0,"Non échu",IF(p_asof-P269&lt;=30,"1-30 j",IF(p_asof-P269&lt;=60,"31-60 j",IF(p_asof-P269&lt;=90,"61-90 j","Plus de 90 j"))))))</f>
        <v/>
      </c>
      <c r="AT269" s="62" t="str">
        <f>IF(AS269="","",p_asof-P269)</f>
        <v/>
      </c>
      <c r="AU269" s="62" t="str">
        <f>IF(AT269="","",COUNTIF($AT$6:$AT$805,"&gt;"&amp;AT269)+COUNTIF($AT$6:AT269,AT269))</f>
        <v/>
      </c>
    </row>
    <row r="270">
      <c r="A270" s="59" t="str">
        <f>IF(AE270="","",AB270&amp;"-"&amp;AD270&amp;"-"&amp;RIGHT("000"&amp;AE270,4))</f>
        <v/>
      </c>
      <c r="B270" s="60" t="n"/>
      <c r="C270" s="61" t="n"/>
      <c r="D270" s="60" t="n"/>
      <c r="E270" s="62" t="str">
        <f>IF(D270="","",IFERROR(INDEX(cli_name,MATCH(D270,cli_code,0))&amp;"","Client inconnu"))</f>
        <v/>
      </c>
      <c r="F270" s="60" t="n"/>
      <c r="G270" s="63" t="n"/>
      <c r="H270" s="61" t="n"/>
      <c r="I270" s="63" t="n"/>
      <c r="J270" s="60" t="n"/>
      <c r="K270" s="61" t="n"/>
      <c r="L270" s="60" t="n"/>
      <c r="M270" s="60" t="n"/>
      <c r="N270" s="60" t="n"/>
      <c r="O270" s="61" t="n"/>
      <c r="P270" s="64" t="str">
        <f>IF(A270="","",IF(AA270="Avoir",AC270,IF(ISNUMBER(K270),K270,AC270+IF(D270="",N(p_delay),IFERROR(IF(ISNUMBER(INDEX(cli_delay,MATCH(D270,cli_code,0))),INDEX(cli_delay,MATCH(D270,cli_code,0)),N(p_delay)),N(p_delay))))))</f>
        <v/>
      </c>
      <c r="Q270" s="65" t="str">
        <f>IF(A270="","",IF(AA270="Avoir",-1,1)*ROUND(AJ270-IF(AR270="",0,INDEX(fa_htb,AR270)),2))</f>
        <v/>
      </c>
      <c r="R270" s="65" t="str">
        <f>IF(A270="","",IF(AA270="Avoir",-1,1)*ROUND(AQ270-IF(AR270="",0,INDEX(fa_tvab,AR270)),2))</f>
        <v/>
      </c>
      <c r="S270" s="65" t="str">
        <f>IF(A270="","",Q270+R270)</f>
        <v/>
      </c>
      <c r="T270" s="65" t="str">
        <f>IF(AR270="","",INDEX(fa_htb,AR270)+INDEX(fa_tvab,AR270))</f>
        <v/>
      </c>
      <c r="U270" s="65" t="str">
        <f>IF(A270="","",SUMIF(pa_inv,A270,pa_amt))</f>
        <v/>
      </c>
      <c r="V270" s="65" t="str">
        <f>IF(OR(A270="",AA270="Avoir"),"",-SUMIFS(fa_ttc,fa_avof,A270,fa_type,"Avoir"))</f>
        <v/>
      </c>
      <c r="W270" s="65" t="str">
        <f>IF(OR(A270="",AA270="Avoir"),"",ROUND(S270-U270-V270,2))</f>
        <v/>
      </c>
      <c r="X270" s="66" t="str">
        <f>IF(W270="","",IF(AND(W270&gt;0,p_asof&gt;P270),p_asof-P270,""))</f>
        <v/>
      </c>
      <c r="Y270" s="59" t="str">
        <f>IF(A270="","",IF(AA270="Avoir","Avoir",IF(W270&lt;0,"Trop-perçu",IF(W270=0,"Soldée",IF(p_asof&gt;P270,"En retard",IF(U270+V270&gt;0,"Partielle","À échoir"))))))</f>
        <v/>
      </c>
      <c r="Z270" s="59" t="str">
        <f>IF(NOT(COUNTA(B270:D270,F270:O270)&gt;0),"",IF(C270="","Date manquante",IF(NOT(ISNUMBER(C270)),"Date invalide",IF(D270="","Client manquant",IF(ISNA(MATCH(D270,cli_code,0)),"Client inconnu",IF(AC270&lt;SUMPRODUCT(MAX(($AB$6:AB269=AB270)*$AC$6:AC269)),"Date antérieure à la facture précédente",IF(AND(F270&lt;&gt;"",ISNA(MATCH(F270,dv_num,0))),"Devis inconnu",IF(AND(F270&lt;&gt;"",IFERROR(INDEX(dv_client,MATCH(F270,dv_num,0)),D270)&lt;&gt;D270),"Client différent de celui du devis",IF(AG270="","Aucune ligne : saisissez des lignes ou un devis",IF(AND(AI270&lt;&gt;"",COUNTIF($AI$6:AI270,AI270)&gt;1),"Devis déjà repris par une autre facture",IF(AND(AA270="Avoir",M270=""),"Avoir : indiquez la facture d'origine",IF(AND(AA270="Avoir",ISNA(MATCH(M270,fa_num,0))),"Facture d'origine inconnue",IF(AND(AA270&lt;&gt;"Avoir",M270&lt;&gt;""),"« Avoir sur facture » : réservé aux avoirs",IF(AND(L270&lt;&gt;"",AA270&lt;&gt;"Facture"),"Acompte à déduire : réservé aux factures",IF(AND(L270&lt;&gt;"",ISNA(MATCH(L270,fa_num,0))),"Facture d'acompte inconnue",IF(AND(L270&lt;&gt;"",IFERROR(INDEX(fa_type,MATCH(L270,fa_num,0)),"")&lt;&gt;"Facture d'acompte"),"Le n° à déduire n'est pas une facture d'acompte",IF(AND(L270&lt;&gt;"",COUNTIF($L$6:L270,L270)&gt;1),"Acompte déjà déduit sur une autre facture",IF(AND(L270&lt;&gt;"",IFERROR(INDEX(fa_client,MATCH(L270,fa_num,0)),D270)&lt;&gt;D270),"Acompte d'un autre client",IF(AND(AR270&lt;&gt;"",N(Q270)&lt;0),"Acompte supérieur au total de la facture",IF(IF(AG270="Facture",COUNTIFS(fl_doc,A270,fl_check,"&lt;&gt;OK"),IF(AG270="Devis",COUNTIFS(dl_doc,F270,dl_check,"&lt;&gt;OK"),0))&gt;0,"Ligne(s) à corriger",IF(AND(W270&lt;&gt;"",N(W270)&lt;0),"Trop-perçu : vérifiez paiements et avoirs","OK")))))))))))))))))))))</f>
        <v/>
      </c>
      <c r="AA270" s="62" t="str">
        <f>IF(COUNTA(B270:D270,F270:O270)&gt;0,IF(B270="","Facture",B270),"")</f>
        <v/>
      </c>
      <c r="AB270" s="62" t="str">
        <f>IF(AA270="","",IF(AA270="Avoir",p_pav,IF(AA270="Facture d'acompte",p_pac,p_pfa)))</f>
        <v/>
      </c>
      <c r="AC270" s="62">
        <f>IF(ISNUMBER(C270),C270,0)</f>
        <v>0.0</v>
      </c>
      <c r="AD270" s="62" t="str">
        <f>IF(OR(AA270="",AC270=0),"",YEAR(AC270))</f>
        <v/>
      </c>
      <c r="AE270" s="62" t="str">
        <f>IF(AD270="","",COUNTIFS($AB$6:AB270,AB270,$AD$6:AD270,AD270))</f>
        <v/>
      </c>
      <c r="AF270" s="62">
        <f>IF(A270="",0,COUNTIF(fl_doc,A270))</f>
        <v>0.0</v>
      </c>
      <c r="AG270" s="62" t="str">
        <f>IF(A270="","",IF(AF270&gt;0,"Facture",IF(AND(F270&lt;&gt;"",AA270="Facture",ISNUMBER(MATCH(F270,dv_num,0))),"Devis","")))</f>
        <v/>
      </c>
      <c r="AH270" s="62" t="str">
        <f>IF(AND(A270&lt;&gt;"",F270&lt;&gt;"",AA270&lt;&gt;"Avoir"),F270,"")</f>
        <v/>
      </c>
      <c r="AI270" s="62" t="str">
        <f>IF(AG270="Devis",F270,"")</f>
        <v/>
      </c>
      <c r="AJ270" s="62">
        <f>IF(AG270="Facture",SUMIF(fl_doc,A270,fl_ht),IF(AG270="Devis",SUMIF(dl_doc,F270,dl_ht),0))</f>
        <v>0.0</v>
      </c>
      <c r="AK270" s="62">
        <f>IF(OR(AG270="",INDEX(p_rates,1)=""),0,IF(AG270="Facture",SUMIFS(fl_ht,fl_doc,A270,fl_rate,INDEX(p_rates,1)),SUMIFS(dl_ht,dl_doc,F270,dl_rate,INDEX(p_rates,1))))</f>
        <v>0.0</v>
      </c>
      <c r="AL270" s="62">
        <f>IF(OR(AG270="",INDEX(p_rates,2)=""),0,IF(AG270="Facture",SUMIFS(fl_ht,fl_doc,A270,fl_rate,INDEX(p_rates,2)),SUMIFS(dl_ht,dl_doc,F270,dl_rate,INDEX(p_rates,2))))</f>
        <v>0.0</v>
      </c>
      <c r="AM270" s="62">
        <f>IF(OR(AG270="",INDEX(p_rates,3)=""),0,IF(AG270="Facture",SUMIFS(fl_ht,fl_doc,A270,fl_rate,INDEX(p_rates,3)),SUMIFS(dl_ht,dl_doc,F270,dl_rate,INDEX(p_rates,3))))</f>
        <v>0.0</v>
      </c>
      <c r="AN270" s="62">
        <f>IF(OR(AG270="",INDEX(p_rates,4)=""),0,IF(AG270="Facture",SUMIFS(fl_ht,fl_doc,A270,fl_rate,INDEX(p_rates,4)),SUMIFS(dl_ht,dl_doc,F270,dl_rate,INDEX(p_rates,4))))</f>
        <v>0.0</v>
      </c>
      <c r="AO270" s="62">
        <f>IF(OR(AG270="",INDEX(p_rates,5)=""),0,IF(AG270="Facture",SUMIFS(fl_ht,fl_doc,A270,fl_rate,INDEX(p_rates,5)),SUMIFS(dl_ht,dl_doc,F270,dl_rate,INDEX(p_rates,5))))</f>
        <v>0.0</v>
      </c>
      <c r="AP270" s="62">
        <f>IF(OR(AG270="",INDEX(p_rates,6)=""),0,IF(AG270="Facture",SUMIFS(fl_ht,fl_doc,A270,fl_rate,INDEX(p_rates,6)),SUMIFS(dl_ht,dl_doc,F270,dl_rate,INDEX(p_rates,6))))</f>
        <v>0.0</v>
      </c>
      <c r="AQ270" s="62">
        <f>ROUND(AK270*N(INDEX(p_rates,1)),2)+ROUND(AL270*N(INDEX(p_rates,2)),2)+ROUND(AM270*N(INDEX(p_rates,3)),2)+ROUND(AN270*N(INDEX(p_rates,4)),2)+ROUND(AO270*N(INDEX(p_rates,5)),2)+ROUND(AP270*N(INDEX(p_rates,6)),2)</f>
        <v>0.0</v>
      </c>
      <c r="AR270" s="62" t="str">
        <f>IF(OR(L270="",AA270&lt;&gt;"Facture"),"",IFERROR(IF(INDEX(fa_type,MATCH(L270,fa_num,0))="Facture d'acompte",MATCH(L270,fa_num,0),""),""))</f>
        <v/>
      </c>
      <c r="AS270" s="62" t="str">
        <f>IF(W270="","",IF(W270&lt;=0,"",IF(p_asof-P270&lt;=0,"Non échu",IF(p_asof-P270&lt;=30,"1-30 j",IF(p_asof-P270&lt;=60,"31-60 j",IF(p_asof-P270&lt;=90,"61-90 j","Plus de 90 j"))))))</f>
        <v/>
      </c>
      <c r="AT270" s="62" t="str">
        <f>IF(AS270="","",p_asof-P270)</f>
        <v/>
      </c>
      <c r="AU270" s="62" t="str">
        <f>IF(AT270="","",COUNTIF($AT$6:$AT$805,"&gt;"&amp;AT270)+COUNTIF($AT$6:AT270,AT270))</f>
        <v/>
      </c>
    </row>
    <row r="271">
      <c r="A271" s="59" t="str">
        <f>IF(AE271="","",AB271&amp;"-"&amp;AD271&amp;"-"&amp;RIGHT("000"&amp;AE271,4))</f>
        <v/>
      </c>
      <c r="B271" s="60" t="n"/>
      <c r="C271" s="61" t="n"/>
      <c r="D271" s="60" t="n"/>
      <c r="E271" s="62" t="str">
        <f>IF(D271="","",IFERROR(INDEX(cli_name,MATCH(D271,cli_code,0))&amp;"","Client inconnu"))</f>
        <v/>
      </c>
      <c r="F271" s="60" t="n"/>
      <c r="G271" s="63" t="n"/>
      <c r="H271" s="61" t="n"/>
      <c r="I271" s="63" t="n"/>
      <c r="J271" s="60" t="n"/>
      <c r="K271" s="61" t="n"/>
      <c r="L271" s="60" t="n"/>
      <c r="M271" s="60" t="n"/>
      <c r="N271" s="60" t="n"/>
      <c r="O271" s="61" t="n"/>
      <c r="P271" s="64" t="str">
        <f>IF(A271="","",IF(AA271="Avoir",AC271,IF(ISNUMBER(K271),K271,AC271+IF(D271="",N(p_delay),IFERROR(IF(ISNUMBER(INDEX(cli_delay,MATCH(D271,cli_code,0))),INDEX(cli_delay,MATCH(D271,cli_code,0)),N(p_delay)),N(p_delay))))))</f>
        <v/>
      </c>
      <c r="Q271" s="65" t="str">
        <f>IF(A271="","",IF(AA271="Avoir",-1,1)*ROUND(AJ271-IF(AR271="",0,INDEX(fa_htb,AR271)),2))</f>
        <v/>
      </c>
      <c r="R271" s="65" t="str">
        <f>IF(A271="","",IF(AA271="Avoir",-1,1)*ROUND(AQ271-IF(AR271="",0,INDEX(fa_tvab,AR271)),2))</f>
        <v/>
      </c>
      <c r="S271" s="65" t="str">
        <f>IF(A271="","",Q271+R271)</f>
        <v/>
      </c>
      <c r="T271" s="65" t="str">
        <f>IF(AR271="","",INDEX(fa_htb,AR271)+INDEX(fa_tvab,AR271))</f>
        <v/>
      </c>
      <c r="U271" s="65" t="str">
        <f>IF(A271="","",SUMIF(pa_inv,A271,pa_amt))</f>
        <v/>
      </c>
      <c r="V271" s="65" t="str">
        <f>IF(OR(A271="",AA271="Avoir"),"",-SUMIFS(fa_ttc,fa_avof,A271,fa_type,"Avoir"))</f>
        <v/>
      </c>
      <c r="W271" s="65" t="str">
        <f>IF(OR(A271="",AA271="Avoir"),"",ROUND(S271-U271-V271,2))</f>
        <v/>
      </c>
      <c r="X271" s="66" t="str">
        <f>IF(W271="","",IF(AND(W271&gt;0,p_asof&gt;P271),p_asof-P271,""))</f>
        <v/>
      </c>
      <c r="Y271" s="59" t="str">
        <f>IF(A271="","",IF(AA271="Avoir","Avoir",IF(W271&lt;0,"Trop-perçu",IF(W271=0,"Soldée",IF(p_asof&gt;P271,"En retard",IF(U271+V271&gt;0,"Partielle","À échoir"))))))</f>
        <v/>
      </c>
      <c r="Z271" s="59" t="str">
        <f>IF(NOT(COUNTA(B271:D271,F271:O271)&gt;0),"",IF(C271="","Date manquante",IF(NOT(ISNUMBER(C271)),"Date invalide",IF(D271="","Client manquant",IF(ISNA(MATCH(D271,cli_code,0)),"Client inconnu",IF(AC271&lt;SUMPRODUCT(MAX(($AB$6:AB270=AB271)*$AC$6:AC270)),"Date antérieure à la facture précédente",IF(AND(F271&lt;&gt;"",ISNA(MATCH(F271,dv_num,0))),"Devis inconnu",IF(AND(F271&lt;&gt;"",IFERROR(INDEX(dv_client,MATCH(F271,dv_num,0)),D271)&lt;&gt;D271),"Client différent de celui du devis",IF(AG271="","Aucune ligne : saisissez des lignes ou un devis",IF(AND(AI271&lt;&gt;"",COUNTIF($AI$6:AI271,AI271)&gt;1),"Devis déjà repris par une autre facture",IF(AND(AA271="Avoir",M271=""),"Avoir : indiquez la facture d'origine",IF(AND(AA271="Avoir",ISNA(MATCH(M271,fa_num,0))),"Facture d'origine inconnue",IF(AND(AA271&lt;&gt;"Avoir",M271&lt;&gt;""),"« Avoir sur facture » : réservé aux avoirs",IF(AND(L271&lt;&gt;"",AA271&lt;&gt;"Facture"),"Acompte à déduire : réservé aux factures",IF(AND(L271&lt;&gt;"",ISNA(MATCH(L271,fa_num,0))),"Facture d'acompte inconnue",IF(AND(L271&lt;&gt;"",IFERROR(INDEX(fa_type,MATCH(L271,fa_num,0)),"")&lt;&gt;"Facture d'acompte"),"Le n° à déduire n'est pas une facture d'acompte",IF(AND(L271&lt;&gt;"",COUNTIF($L$6:L271,L271)&gt;1),"Acompte déjà déduit sur une autre facture",IF(AND(L271&lt;&gt;"",IFERROR(INDEX(fa_client,MATCH(L271,fa_num,0)),D271)&lt;&gt;D271),"Acompte d'un autre client",IF(AND(AR271&lt;&gt;"",N(Q271)&lt;0),"Acompte supérieur au total de la facture",IF(IF(AG271="Facture",COUNTIFS(fl_doc,A271,fl_check,"&lt;&gt;OK"),IF(AG271="Devis",COUNTIFS(dl_doc,F271,dl_check,"&lt;&gt;OK"),0))&gt;0,"Ligne(s) à corriger",IF(AND(W271&lt;&gt;"",N(W271)&lt;0),"Trop-perçu : vérifiez paiements et avoirs","OK")))))))))))))))))))))</f>
        <v/>
      </c>
      <c r="AA271" s="62" t="str">
        <f>IF(COUNTA(B271:D271,F271:O271)&gt;0,IF(B271="","Facture",B271),"")</f>
        <v/>
      </c>
      <c r="AB271" s="62" t="str">
        <f>IF(AA271="","",IF(AA271="Avoir",p_pav,IF(AA271="Facture d'acompte",p_pac,p_pfa)))</f>
        <v/>
      </c>
      <c r="AC271" s="62">
        <f>IF(ISNUMBER(C271),C271,0)</f>
        <v>0.0</v>
      </c>
      <c r="AD271" s="62" t="str">
        <f>IF(OR(AA271="",AC271=0),"",YEAR(AC271))</f>
        <v/>
      </c>
      <c r="AE271" s="62" t="str">
        <f>IF(AD271="","",COUNTIFS($AB$6:AB271,AB271,$AD$6:AD271,AD271))</f>
        <v/>
      </c>
      <c r="AF271" s="62">
        <f>IF(A271="",0,COUNTIF(fl_doc,A271))</f>
        <v>0.0</v>
      </c>
      <c r="AG271" s="62" t="str">
        <f>IF(A271="","",IF(AF271&gt;0,"Facture",IF(AND(F271&lt;&gt;"",AA271="Facture",ISNUMBER(MATCH(F271,dv_num,0))),"Devis","")))</f>
        <v/>
      </c>
      <c r="AH271" s="62" t="str">
        <f>IF(AND(A271&lt;&gt;"",F271&lt;&gt;"",AA271&lt;&gt;"Avoir"),F271,"")</f>
        <v/>
      </c>
      <c r="AI271" s="62" t="str">
        <f>IF(AG271="Devis",F271,"")</f>
        <v/>
      </c>
      <c r="AJ271" s="62">
        <f>IF(AG271="Facture",SUMIF(fl_doc,A271,fl_ht),IF(AG271="Devis",SUMIF(dl_doc,F271,dl_ht),0))</f>
        <v>0.0</v>
      </c>
      <c r="AK271" s="62">
        <f>IF(OR(AG271="",INDEX(p_rates,1)=""),0,IF(AG271="Facture",SUMIFS(fl_ht,fl_doc,A271,fl_rate,INDEX(p_rates,1)),SUMIFS(dl_ht,dl_doc,F271,dl_rate,INDEX(p_rates,1))))</f>
        <v>0.0</v>
      </c>
      <c r="AL271" s="62">
        <f>IF(OR(AG271="",INDEX(p_rates,2)=""),0,IF(AG271="Facture",SUMIFS(fl_ht,fl_doc,A271,fl_rate,INDEX(p_rates,2)),SUMIFS(dl_ht,dl_doc,F271,dl_rate,INDEX(p_rates,2))))</f>
        <v>0.0</v>
      </c>
      <c r="AM271" s="62">
        <f>IF(OR(AG271="",INDEX(p_rates,3)=""),0,IF(AG271="Facture",SUMIFS(fl_ht,fl_doc,A271,fl_rate,INDEX(p_rates,3)),SUMIFS(dl_ht,dl_doc,F271,dl_rate,INDEX(p_rates,3))))</f>
        <v>0.0</v>
      </c>
      <c r="AN271" s="62">
        <f>IF(OR(AG271="",INDEX(p_rates,4)=""),0,IF(AG271="Facture",SUMIFS(fl_ht,fl_doc,A271,fl_rate,INDEX(p_rates,4)),SUMIFS(dl_ht,dl_doc,F271,dl_rate,INDEX(p_rates,4))))</f>
        <v>0.0</v>
      </c>
      <c r="AO271" s="62">
        <f>IF(OR(AG271="",INDEX(p_rates,5)=""),0,IF(AG271="Facture",SUMIFS(fl_ht,fl_doc,A271,fl_rate,INDEX(p_rates,5)),SUMIFS(dl_ht,dl_doc,F271,dl_rate,INDEX(p_rates,5))))</f>
        <v>0.0</v>
      </c>
      <c r="AP271" s="62">
        <f>IF(OR(AG271="",INDEX(p_rates,6)=""),0,IF(AG271="Facture",SUMIFS(fl_ht,fl_doc,A271,fl_rate,INDEX(p_rates,6)),SUMIFS(dl_ht,dl_doc,F271,dl_rate,INDEX(p_rates,6))))</f>
        <v>0.0</v>
      </c>
      <c r="AQ271" s="62">
        <f>ROUND(AK271*N(INDEX(p_rates,1)),2)+ROUND(AL271*N(INDEX(p_rates,2)),2)+ROUND(AM271*N(INDEX(p_rates,3)),2)+ROUND(AN271*N(INDEX(p_rates,4)),2)+ROUND(AO271*N(INDEX(p_rates,5)),2)+ROUND(AP271*N(INDEX(p_rates,6)),2)</f>
        <v>0.0</v>
      </c>
      <c r="AR271" s="62" t="str">
        <f>IF(OR(L271="",AA271&lt;&gt;"Facture"),"",IFERROR(IF(INDEX(fa_type,MATCH(L271,fa_num,0))="Facture d'acompte",MATCH(L271,fa_num,0),""),""))</f>
        <v/>
      </c>
      <c r="AS271" s="62" t="str">
        <f>IF(W271="","",IF(W271&lt;=0,"",IF(p_asof-P271&lt;=0,"Non échu",IF(p_asof-P271&lt;=30,"1-30 j",IF(p_asof-P271&lt;=60,"31-60 j",IF(p_asof-P271&lt;=90,"61-90 j","Plus de 90 j"))))))</f>
        <v/>
      </c>
      <c r="AT271" s="62" t="str">
        <f>IF(AS271="","",p_asof-P271)</f>
        <v/>
      </c>
      <c r="AU271" s="62" t="str">
        <f>IF(AT271="","",COUNTIF($AT$6:$AT$805,"&gt;"&amp;AT271)+COUNTIF($AT$6:AT271,AT271))</f>
        <v/>
      </c>
    </row>
    <row r="272">
      <c r="A272" s="59" t="str">
        <f>IF(AE272="","",AB272&amp;"-"&amp;AD272&amp;"-"&amp;RIGHT("000"&amp;AE272,4))</f>
        <v/>
      </c>
      <c r="B272" s="60" t="n"/>
      <c r="C272" s="61" t="n"/>
      <c r="D272" s="60" t="n"/>
      <c r="E272" s="62" t="str">
        <f>IF(D272="","",IFERROR(INDEX(cli_name,MATCH(D272,cli_code,0))&amp;"","Client inconnu"))</f>
        <v/>
      </c>
      <c r="F272" s="60" t="n"/>
      <c r="G272" s="63" t="n"/>
      <c r="H272" s="61" t="n"/>
      <c r="I272" s="63" t="n"/>
      <c r="J272" s="60" t="n"/>
      <c r="K272" s="61" t="n"/>
      <c r="L272" s="60" t="n"/>
      <c r="M272" s="60" t="n"/>
      <c r="N272" s="60" t="n"/>
      <c r="O272" s="61" t="n"/>
      <c r="P272" s="64" t="str">
        <f>IF(A272="","",IF(AA272="Avoir",AC272,IF(ISNUMBER(K272),K272,AC272+IF(D272="",N(p_delay),IFERROR(IF(ISNUMBER(INDEX(cli_delay,MATCH(D272,cli_code,0))),INDEX(cli_delay,MATCH(D272,cli_code,0)),N(p_delay)),N(p_delay))))))</f>
        <v/>
      </c>
      <c r="Q272" s="65" t="str">
        <f>IF(A272="","",IF(AA272="Avoir",-1,1)*ROUND(AJ272-IF(AR272="",0,INDEX(fa_htb,AR272)),2))</f>
        <v/>
      </c>
      <c r="R272" s="65" t="str">
        <f>IF(A272="","",IF(AA272="Avoir",-1,1)*ROUND(AQ272-IF(AR272="",0,INDEX(fa_tvab,AR272)),2))</f>
        <v/>
      </c>
      <c r="S272" s="65" t="str">
        <f>IF(A272="","",Q272+R272)</f>
        <v/>
      </c>
      <c r="T272" s="65" t="str">
        <f>IF(AR272="","",INDEX(fa_htb,AR272)+INDEX(fa_tvab,AR272))</f>
        <v/>
      </c>
      <c r="U272" s="65" t="str">
        <f>IF(A272="","",SUMIF(pa_inv,A272,pa_amt))</f>
        <v/>
      </c>
      <c r="V272" s="65" t="str">
        <f>IF(OR(A272="",AA272="Avoir"),"",-SUMIFS(fa_ttc,fa_avof,A272,fa_type,"Avoir"))</f>
        <v/>
      </c>
      <c r="W272" s="65" t="str">
        <f>IF(OR(A272="",AA272="Avoir"),"",ROUND(S272-U272-V272,2))</f>
        <v/>
      </c>
      <c r="X272" s="66" t="str">
        <f>IF(W272="","",IF(AND(W272&gt;0,p_asof&gt;P272),p_asof-P272,""))</f>
        <v/>
      </c>
      <c r="Y272" s="59" t="str">
        <f>IF(A272="","",IF(AA272="Avoir","Avoir",IF(W272&lt;0,"Trop-perçu",IF(W272=0,"Soldée",IF(p_asof&gt;P272,"En retard",IF(U272+V272&gt;0,"Partielle","À échoir"))))))</f>
        <v/>
      </c>
      <c r="Z272" s="59" t="str">
        <f>IF(NOT(COUNTA(B272:D272,F272:O272)&gt;0),"",IF(C272="","Date manquante",IF(NOT(ISNUMBER(C272)),"Date invalide",IF(D272="","Client manquant",IF(ISNA(MATCH(D272,cli_code,0)),"Client inconnu",IF(AC272&lt;SUMPRODUCT(MAX(($AB$6:AB271=AB272)*$AC$6:AC271)),"Date antérieure à la facture précédente",IF(AND(F272&lt;&gt;"",ISNA(MATCH(F272,dv_num,0))),"Devis inconnu",IF(AND(F272&lt;&gt;"",IFERROR(INDEX(dv_client,MATCH(F272,dv_num,0)),D272)&lt;&gt;D272),"Client différent de celui du devis",IF(AG272="","Aucune ligne : saisissez des lignes ou un devis",IF(AND(AI272&lt;&gt;"",COUNTIF($AI$6:AI272,AI272)&gt;1),"Devis déjà repris par une autre facture",IF(AND(AA272="Avoir",M272=""),"Avoir : indiquez la facture d'origine",IF(AND(AA272="Avoir",ISNA(MATCH(M272,fa_num,0))),"Facture d'origine inconnue",IF(AND(AA272&lt;&gt;"Avoir",M272&lt;&gt;""),"« Avoir sur facture » : réservé aux avoirs",IF(AND(L272&lt;&gt;"",AA272&lt;&gt;"Facture"),"Acompte à déduire : réservé aux factures",IF(AND(L272&lt;&gt;"",ISNA(MATCH(L272,fa_num,0))),"Facture d'acompte inconnue",IF(AND(L272&lt;&gt;"",IFERROR(INDEX(fa_type,MATCH(L272,fa_num,0)),"")&lt;&gt;"Facture d'acompte"),"Le n° à déduire n'est pas une facture d'acompte",IF(AND(L272&lt;&gt;"",COUNTIF($L$6:L272,L272)&gt;1),"Acompte déjà déduit sur une autre facture",IF(AND(L272&lt;&gt;"",IFERROR(INDEX(fa_client,MATCH(L272,fa_num,0)),D272)&lt;&gt;D272),"Acompte d'un autre client",IF(AND(AR272&lt;&gt;"",N(Q272)&lt;0),"Acompte supérieur au total de la facture",IF(IF(AG272="Facture",COUNTIFS(fl_doc,A272,fl_check,"&lt;&gt;OK"),IF(AG272="Devis",COUNTIFS(dl_doc,F272,dl_check,"&lt;&gt;OK"),0))&gt;0,"Ligne(s) à corriger",IF(AND(W272&lt;&gt;"",N(W272)&lt;0),"Trop-perçu : vérifiez paiements et avoirs","OK")))))))))))))))))))))</f>
        <v/>
      </c>
      <c r="AA272" s="62" t="str">
        <f>IF(COUNTA(B272:D272,F272:O272)&gt;0,IF(B272="","Facture",B272),"")</f>
        <v/>
      </c>
      <c r="AB272" s="62" t="str">
        <f>IF(AA272="","",IF(AA272="Avoir",p_pav,IF(AA272="Facture d'acompte",p_pac,p_pfa)))</f>
        <v/>
      </c>
      <c r="AC272" s="62">
        <f>IF(ISNUMBER(C272),C272,0)</f>
        <v>0.0</v>
      </c>
      <c r="AD272" s="62" t="str">
        <f>IF(OR(AA272="",AC272=0),"",YEAR(AC272))</f>
        <v/>
      </c>
      <c r="AE272" s="62" t="str">
        <f>IF(AD272="","",COUNTIFS($AB$6:AB272,AB272,$AD$6:AD272,AD272))</f>
        <v/>
      </c>
      <c r="AF272" s="62">
        <f>IF(A272="",0,COUNTIF(fl_doc,A272))</f>
        <v>0.0</v>
      </c>
      <c r="AG272" s="62" t="str">
        <f>IF(A272="","",IF(AF272&gt;0,"Facture",IF(AND(F272&lt;&gt;"",AA272="Facture",ISNUMBER(MATCH(F272,dv_num,0))),"Devis","")))</f>
        <v/>
      </c>
      <c r="AH272" s="62" t="str">
        <f>IF(AND(A272&lt;&gt;"",F272&lt;&gt;"",AA272&lt;&gt;"Avoir"),F272,"")</f>
        <v/>
      </c>
      <c r="AI272" s="62" t="str">
        <f>IF(AG272="Devis",F272,"")</f>
        <v/>
      </c>
      <c r="AJ272" s="62">
        <f>IF(AG272="Facture",SUMIF(fl_doc,A272,fl_ht),IF(AG272="Devis",SUMIF(dl_doc,F272,dl_ht),0))</f>
        <v>0.0</v>
      </c>
      <c r="AK272" s="62">
        <f>IF(OR(AG272="",INDEX(p_rates,1)=""),0,IF(AG272="Facture",SUMIFS(fl_ht,fl_doc,A272,fl_rate,INDEX(p_rates,1)),SUMIFS(dl_ht,dl_doc,F272,dl_rate,INDEX(p_rates,1))))</f>
        <v>0.0</v>
      </c>
      <c r="AL272" s="62">
        <f>IF(OR(AG272="",INDEX(p_rates,2)=""),0,IF(AG272="Facture",SUMIFS(fl_ht,fl_doc,A272,fl_rate,INDEX(p_rates,2)),SUMIFS(dl_ht,dl_doc,F272,dl_rate,INDEX(p_rates,2))))</f>
        <v>0.0</v>
      </c>
      <c r="AM272" s="62">
        <f>IF(OR(AG272="",INDEX(p_rates,3)=""),0,IF(AG272="Facture",SUMIFS(fl_ht,fl_doc,A272,fl_rate,INDEX(p_rates,3)),SUMIFS(dl_ht,dl_doc,F272,dl_rate,INDEX(p_rates,3))))</f>
        <v>0.0</v>
      </c>
      <c r="AN272" s="62">
        <f>IF(OR(AG272="",INDEX(p_rates,4)=""),0,IF(AG272="Facture",SUMIFS(fl_ht,fl_doc,A272,fl_rate,INDEX(p_rates,4)),SUMIFS(dl_ht,dl_doc,F272,dl_rate,INDEX(p_rates,4))))</f>
        <v>0.0</v>
      </c>
      <c r="AO272" s="62">
        <f>IF(OR(AG272="",INDEX(p_rates,5)=""),0,IF(AG272="Facture",SUMIFS(fl_ht,fl_doc,A272,fl_rate,INDEX(p_rates,5)),SUMIFS(dl_ht,dl_doc,F272,dl_rate,INDEX(p_rates,5))))</f>
        <v>0.0</v>
      </c>
      <c r="AP272" s="62">
        <f>IF(OR(AG272="",INDEX(p_rates,6)=""),0,IF(AG272="Facture",SUMIFS(fl_ht,fl_doc,A272,fl_rate,INDEX(p_rates,6)),SUMIFS(dl_ht,dl_doc,F272,dl_rate,INDEX(p_rates,6))))</f>
        <v>0.0</v>
      </c>
      <c r="AQ272" s="62">
        <f>ROUND(AK272*N(INDEX(p_rates,1)),2)+ROUND(AL272*N(INDEX(p_rates,2)),2)+ROUND(AM272*N(INDEX(p_rates,3)),2)+ROUND(AN272*N(INDEX(p_rates,4)),2)+ROUND(AO272*N(INDEX(p_rates,5)),2)+ROUND(AP272*N(INDEX(p_rates,6)),2)</f>
        <v>0.0</v>
      </c>
      <c r="AR272" s="62" t="str">
        <f>IF(OR(L272="",AA272&lt;&gt;"Facture"),"",IFERROR(IF(INDEX(fa_type,MATCH(L272,fa_num,0))="Facture d'acompte",MATCH(L272,fa_num,0),""),""))</f>
        <v/>
      </c>
      <c r="AS272" s="62" t="str">
        <f>IF(W272="","",IF(W272&lt;=0,"",IF(p_asof-P272&lt;=0,"Non échu",IF(p_asof-P272&lt;=30,"1-30 j",IF(p_asof-P272&lt;=60,"31-60 j",IF(p_asof-P272&lt;=90,"61-90 j","Plus de 90 j"))))))</f>
        <v/>
      </c>
      <c r="AT272" s="62" t="str">
        <f>IF(AS272="","",p_asof-P272)</f>
        <v/>
      </c>
      <c r="AU272" s="62" t="str">
        <f>IF(AT272="","",COUNTIF($AT$6:$AT$805,"&gt;"&amp;AT272)+COUNTIF($AT$6:AT272,AT272))</f>
        <v/>
      </c>
    </row>
    <row r="273">
      <c r="A273" s="59" t="str">
        <f>IF(AE273="","",AB273&amp;"-"&amp;AD273&amp;"-"&amp;RIGHT("000"&amp;AE273,4))</f>
        <v/>
      </c>
      <c r="B273" s="60" t="n"/>
      <c r="C273" s="61" t="n"/>
      <c r="D273" s="60" t="n"/>
      <c r="E273" s="62" t="str">
        <f>IF(D273="","",IFERROR(INDEX(cli_name,MATCH(D273,cli_code,0))&amp;"","Client inconnu"))</f>
        <v/>
      </c>
      <c r="F273" s="60" t="n"/>
      <c r="G273" s="63" t="n"/>
      <c r="H273" s="61" t="n"/>
      <c r="I273" s="63" t="n"/>
      <c r="J273" s="60" t="n"/>
      <c r="K273" s="61" t="n"/>
      <c r="L273" s="60" t="n"/>
      <c r="M273" s="60" t="n"/>
      <c r="N273" s="60" t="n"/>
      <c r="O273" s="61" t="n"/>
      <c r="P273" s="64" t="str">
        <f>IF(A273="","",IF(AA273="Avoir",AC273,IF(ISNUMBER(K273),K273,AC273+IF(D273="",N(p_delay),IFERROR(IF(ISNUMBER(INDEX(cli_delay,MATCH(D273,cli_code,0))),INDEX(cli_delay,MATCH(D273,cli_code,0)),N(p_delay)),N(p_delay))))))</f>
        <v/>
      </c>
      <c r="Q273" s="65" t="str">
        <f>IF(A273="","",IF(AA273="Avoir",-1,1)*ROUND(AJ273-IF(AR273="",0,INDEX(fa_htb,AR273)),2))</f>
        <v/>
      </c>
      <c r="R273" s="65" t="str">
        <f>IF(A273="","",IF(AA273="Avoir",-1,1)*ROUND(AQ273-IF(AR273="",0,INDEX(fa_tvab,AR273)),2))</f>
        <v/>
      </c>
      <c r="S273" s="65" t="str">
        <f>IF(A273="","",Q273+R273)</f>
        <v/>
      </c>
      <c r="T273" s="65" t="str">
        <f>IF(AR273="","",INDEX(fa_htb,AR273)+INDEX(fa_tvab,AR273))</f>
        <v/>
      </c>
      <c r="U273" s="65" t="str">
        <f>IF(A273="","",SUMIF(pa_inv,A273,pa_amt))</f>
        <v/>
      </c>
      <c r="V273" s="65" t="str">
        <f>IF(OR(A273="",AA273="Avoir"),"",-SUMIFS(fa_ttc,fa_avof,A273,fa_type,"Avoir"))</f>
        <v/>
      </c>
      <c r="W273" s="65" t="str">
        <f>IF(OR(A273="",AA273="Avoir"),"",ROUND(S273-U273-V273,2))</f>
        <v/>
      </c>
      <c r="X273" s="66" t="str">
        <f>IF(W273="","",IF(AND(W273&gt;0,p_asof&gt;P273),p_asof-P273,""))</f>
        <v/>
      </c>
      <c r="Y273" s="59" t="str">
        <f>IF(A273="","",IF(AA273="Avoir","Avoir",IF(W273&lt;0,"Trop-perçu",IF(W273=0,"Soldée",IF(p_asof&gt;P273,"En retard",IF(U273+V273&gt;0,"Partielle","À échoir"))))))</f>
        <v/>
      </c>
      <c r="Z273" s="59" t="str">
        <f>IF(NOT(COUNTA(B273:D273,F273:O273)&gt;0),"",IF(C273="","Date manquante",IF(NOT(ISNUMBER(C273)),"Date invalide",IF(D273="","Client manquant",IF(ISNA(MATCH(D273,cli_code,0)),"Client inconnu",IF(AC273&lt;SUMPRODUCT(MAX(($AB$6:AB272=AB273)*$AC$6:AC272)),"Date antérieure à la facture précédente",IF(AND(F273&lt;&gt;"",ISNA(MATCH(F273,dv_num,0))),"Devis inconnu",IF(AND(F273&lt;&gt;"",IFERROR(INDEX(dv_client,MATCH(F273,dv_num,0)),D273)&lt;&gt;D273),"Client différent de celui du devis",IF(AG273="","Aucune ligne : saisissez des lignes ou un devis",IF(AND(AI273&lt;&gt;"",COUNTIF($AI$6:AI273,AI273)&gt;1),"Devis déjà repris par une autre facture",IF(AND(AA273="Avoir",M273=""),"Avoir : indiquez la facture d'origine",IF(AND(AA273="Avoir",ISNA(MATCH(M273,fa_num,0))),"Facture d'origine inconnue",IF(AND(AA273&lt;&gt;"Avoir",M273&lt;&gt;""),"« Avoir sur facture » : réservé aux avoirs",IF(AND(L273&lt;&gt;"",AA273&lt;&gt;"Facture"),"Acompte à déduire : réservé aux factures",IF(AND(L273&lt;&gt;"",ISNA(MATCH(L273,fa_num,0))),"Facture d'acompte inconnue",IF(AND(L273&lt;&gt;"",IFERROR(INDEX(fa_type,MATCH(L273,fa_num,0)),"")&lt;&gt;"Facture d'acompte"),"Le n° à déduire n'est pas une facture d'acompte",IF(AND(L273&lt;&gt;"",COUNTIF($L$6:L273,L273)&gt;1),"Acompte déjà déduit sur une autre facture",IF(AND(L273&lt;&gt;"",IFERROR(INDEX(fa_client,MATCH(L273,fa_num,0)),D273)&lt;&gt;D273),"Acompte d'un autre client",IF(AND(AR273&lt;&gt;"",N(Q273)&lt;0),"Acompte supérieur au total de la facture",IF(IF(AG273="Facture",COUNTIFS(fl_doc,A273,fl_check,"&lt;&gt;OK"),IF(AG273="Devis",COUNTIFS(dl_doc,F273,dl_check,"&lt;&gt;OK"),0))&gt;0,"Ligne(s) à corriger",IF(AND(W273&lt;&gt;"",N(W273)&lt;0),"Trop-perçu : vérifiez paiements et avoirs","OK")))))))))))))))))))))</f>
        <v/>
      </c>
      <c r="AA273" s="62" t="str">
        <f>IF(COUNTA(B273:D273,F273:O273)&gt;0,IF(B273="","Facture",B273),"")</f>
        <v/>
      </c>
      <c r="AB273" s="62" t="str">
        <f>IF(AA273="","",IF(AA273="Avoir",p_pav,IF(AA273="Facture d'acompte",p_pac,p_pfa)))</f>
        <v/>
      </c>
      <c r="AC273" s="62">
        <f>IF(ISNUMBER(C273),C273,0)</f>
        <v>0.0</v>
      </c>
      <c r="AD273" s="62" t="str">
        <f>IF(OR(AA273="",AC273=0),"",YEAR(AC273))</f>
        <v/>
      </c>
      <c r="AE273" s="62" t="str">
        <f>IF(AD273="","",COUNTIFS($AB$6:AB273,AB273,$AD$6:AD273,AD273))</f>
        <v/>
      </c>
      <c r="AF273" s="62">
        <f>IF(A273="",0,COUNTIF(fl_doc,A273))</f>
        <v>0.0</v>
      </c>
      <c r="AG273" s="62" t="str">
        <f>IF(A273="","",IF(AF273&gt;0,"Facture",IF(AND(F273&lt;&gt;"",AA273="Facture",ISNUMBER(MATCH(F273,dv_num,0))),"Devis","")))</f>
        <v/>
      </c>
      <c r="AH273" s="62" t="str">
        <f>IF(AND(A273&lt;&gt;"",F273&lt;&gt;"",AA273&lt;&gt;"Avoir"),F273,"")</f>
        <v/>
      </c>
      <c r="AI273" s="62" t="str">
        <f>IF(AG273="Devis",F273,"")</f>
        <v/>
      </c>
      <c r="AJ273" s="62">
        <f>IF(AG273="Facture",SUMIF(fl_doc,A273,fl_ht),IF(AG273="Devis",SUMIF(dl_doc,F273,dl_ht),0))</f>
        <v>0.0</v>
      </c>
      <c r="AK273" s="62">
        <f>IF(OR(AG273="",INDEX(p_rates,1)=""),0,IF(AG273="Facture",SUMIFS(fl_ht,fl_doc,A273,fl_rate,INDEX(p_rates,1)),SUMIFS(dl_ht,dl_doc,F273,dl_rate,INDEX(p_rates,1))))</f>
        <v>0.0</v>
      </c>
      <c r="AL273" s="62">
        <f>IF(OR(AG273="",INDEX(p_rates,2)=""),0,IF(AG273="Facture",SUMIFS(fl_ht,fl_doc,A273,fl_rate,INDEX(p_rates,2)),SUMIFS(dl_ht,dl_doc,F273,dl_rate,INDEX(p_rates,2))))</f>
        <v>0.0</v>
      </c>
      <c r="AM273" s="62">
        <f>IF(OR(AG273="",INDEX(p_rates,3)=""),0,IF(AG273="Facture",SUMIFS(fl_ht,fl_doc,A273,fl_rate,INDEX(p_rates,3)),SUMIFS(dl_ht,dl_doc,F273,dl_rate,INDEX(p_rates,3))))</f>
        <v>0.0</v>
      </c>
      <c r="AN273" s="62">
        <f>IF(OR(AG273="",INDEX(p_rates,4)=""),0,IF(AG273="Facture",SUMIFS(fl_ht,fl_doc,A273,fl_rate,INDEX(p_rates,4)),SUMIFS(dl_ht,dl_doc,F273,dl_rate,INDEX(p_rates,4))))</f>
        <v>0.0</v>
      </c>
      <c r="AO273" s="62">
        <f>IF(OR(AG273="",INDEX(p_rates,5)=""),0,IF(AG273="Facture",SUMIFS(fl_ht,fl_doc,A273,fl_rate,INDEX(p_rates,5)),SUMIFS(dl_ht,dl_doc,F273,dl_rate,INDEX(p_rates,5))))</f>
        <v>0.0</v>
      </c>
      <c r="AP273" s="62">
        <f>IF(OR(AG273="",INDEX(p_rates,6)=""),0,IF(AG273="Facture",SUMIFS(fl_ht,fl_doc,A273,fl_rate,INDEX(p_rates,6)),SUMIFS(dl_ht,dl_doc,F273,dl_rate,INDEX(p_rates,6))))</f>
        <v>0.0</v>
      </c>
      <c r="AQ273" s="62">
        <f>ROUND(AK273*N(INDEX(p_rates,1)),2)+ROUND(AL273*N(INDEX(p_rates,2)),2)+ROUND(AM273*N(INDEX(p_rates,3)),2)+ROUND(AN273*N(INDEX(p_rates,4)),2)+ROUND(AO273*N(INDEX(p_rates,5)),2)+ROUND(AP273*N(INDEX(p_rates,6)),2)</f>
        <v>0.0</v>
      </c>
      <c r="AR273" s="62" t="str">
        <f>IF(OR(L273="",AA273&lt;&gt;"Facture"),"",IFERROR(IF(INDEX(fa_type,MATCH(L273,fa_num,0))="Facture d'acompte",MATCH(L273,fa_num,0),""),""))</f>
        <v/>
      </c>
      <c r="AS273" s="62" t="str">
        <f>IF(W273="","",IF(W273&lt;=0,"",IF(p_asof-P273&lt;=0,"Non échu",IF(p_asof-P273&lt;=30,"1-30 j",IF(p_asof-P273&lt;=60,"31-60 j",IF(p_asof-P273&lt;=90,"61-90 j","Plus de 90 j"))))))</f>
        <v/>
      </c>
      <c r="AT273" s="62" t="str">
        <f>IF(AS273="","",p_asof-P273)</f>
        <v/>
      </c>
      <c r="AU273" s="62" t="str">
        <f>IF(AT273="","",COUNTIF($AT$6:$AT$805,"&gt;"&amp;AT273)+COUNTIF($AT$6:AT273,AT273))</f>
        <v/>
      </c>
    </row>
    <row r="274">
      <c r="A274" s="59" t="str">
        <f>IF(AE274="","",AB274&amp;"-"&amp;AD274&amp;"-"&amp;RIGHT("000"&amp;AE274,4))</f>
        <v/>
      </c>
      <c r="B274" s="60" t="n"/>
      <c r="C274" s="61" t="n"/>
      <c r="D274" s="60" t="n"/>
      <c r="E274" s="62" t="str">
        <f>IF(D274="","",IFERROR(INDEX(cli_name,MATCH(D274,cli_code,0))&amp;"","Client inconnu"))</f>
        <v/>
      </c>
      <c r="F274" s="60" t="n"/>
      <c r="G274" s="63" t="n"/>
      <c r="H274" s="61" t="n"/>
      <c r="I274" s="63" t="n"/>
      <c r="J274" s="60" t="n"/>
      <c r="K274" s="61" t="n"/>
      <c r="L274" s="60" t="n"/>
      <c r="M274" s="60" t="n"/>
      <c r="N274" s="60" t="n"/>
      <c r="O274" s="61" t="n"/>
      <c r="P274" s="64" t="str">
        <f>IF(A274="","",IF(AA274="Avoir",AC274,IF(ISNUMBER(K274),K274,AC274+IF(D274="",N(p_delay),IFERROR(IF(ISNUMBER(INDEX(cli_delay,MATCH(D274,cli_code,0))),INDEX(cli_delay,MATCH(D274,cli_code,0)),N(p_delay)),N(p_delay))))))</f>
        <v/>
      </c>
      <c r="Q274" s="65" t="str">
        <f>IF(A274="","",IF(AA274="Avoir",-1,1)*ROUND(AJ274-IF(AR274="",0,INDEX(fa_htb,AR274)),2))</f>
        <v/>
      </c>
      <c r="R274" s="65" t="str">
        <f>IF(A274="","",IF(AA274="Avoir",-1,1)*ROUND(AQ274-IF(AR274="",0,INDEX(fa_tvab,AR274)),2))</f>
        <v/>
      </c>
      <c r="S274" s="65" t="str">
        <f>IF(A274="","",Q274+R274)</f>
        <v/>
      </c>
      <c r="T274" s="65" t="str">
        <f>IF(AR274="","",INDEX(fa_htb,AR274)+INDEX(fa_tvab,AR274))</f>
        <v/>
      </c>
      <c r="U274" s="65" t="str">
        <f>IF(A274="","",SUMIF(pa_inv,A274,pa_amt))</f>
        <v/>
      </c>
      <c r="V274" s="65" t="str">
        <f>IF(OR(A274="",AA274="Avoir"),"",-SUMIFS(fa_ttc,fa_avof,A274,fa_type,"Avoir"))</f>
        <v/>
      </c>
      <c r="W274" s="65" t="str">
        <f>IF(OR(A274="",AA274="Avoir"),"",ROUND(S274-U274-V274,2))</f>
        <v/>
      </c>
      <c r="X274" s="66" t="str">
        <f>IF(W274="","",IF(AND(W274&gt;0,p_asof&gt;P274),p_asof-P274,""))</f>
        <v/>
      </c>
      <c r="Y274" s="59" t="str">
        <f>IF(A274="","",IF(AA274="Avoir","Avoir",IF(W274&lt;0,"Trop-perçu",IF(W274=0,"Soldée",IF(p_asof&gt;P274,"En retard",IF(U274+V274&gt;0,"Partielle","À échoir"))))))</f>
        <v/>
      </c>
      <c r="Z274" s="59" t="str">
        <f>IF(NOT(COUNTA(B274:D274,F274:O274)&gt;0),"",IF(C274="","Date manquante",IF(NOT(ISNUMBER(C274)),"Date invalide",IF(D274="","Client manquant",IF(ISNA(MATCH(D274,cli_code,0)),"Client inconnu",IF(AC274&lt;SUMPRODUCT(MAX(($AB$6:AB273=AB274)*$AC$6:AC273)),"Date antérieure à la facture précédente",IF(AND(F274&lt;&gt;"",ISNA(MATCH(F274,dv_num,0))),"Devis inconnu",IF(AND(F274&lt;&gt;"",IFERROR(INDEX(dv_client,MATCH(F274,dv_num,0)),D274)&lt;&gt;D274),"Client différent de celui du devis",IF(AG274="","Aucune ligne : saisissez des lignes ou un devis",IF(AND(AI274&lt;&gt;"",COUNTIF($AI$6:AI274,AI274)&gt;1),"Devis déjà repris par une autre facture",IF(AND(AA274="Avoir",M274=""),"Avoir : indiquez la facture d'origine",IF(AND(AA274="Avoir",ISNA(MATCH(M274,fa_num,0))),"Facture d'origine inconnue",IF(AND(AA274&lt;&gt;"Avoir",M274&lt;&gt;""),"« Avoir sur facture » : réservé aux avoirs",IF(AND(L274&lt;&gt;"",AA274&lt;&gt;"Facture"),"Acompte à déduire : réservé aux factures",IF(AND(L274&lt;&gt;"",ISNA(MATCH(L274,fa_num,0))),"Facture d'acompte inconnue",IF(AND(L274&lt;&gt;"",IFERROR(INDEX(fa_type,MATCH(L274,fa_num,0)),"")&lt;&gt;"Facture d'acompte"),"Le n° à déduire n'est pas une facture d'acompte",IF(AND(L274&lt;&gt;"",COUNTIF($L$6:L274,L274)&gt;1),"Acompte déjà déduit sur une autre facture",IF(AND(L274&lt;&gt;"",IFERROR(INDEX(fa_client,MATCH(L274,fa_num,0)),D274)&lt;&gt;D274),"Acompte d'un autre client",IF(AND(AR274&lt;&gt;"",N(Q274)&lt;0),"Acompte supérieur au total de la facture",IF(IF(AG274="Facture",COUNTIFS(fl_doc,A274,fl_check,"&lt;&gt;OK"),IF(AG274="Devis",COUNTIFS(dl_doc,F274,dl_check,"&lt;&gt;OK"),0))&gt;0,"Ligne(s) à corriger",IF(AND(W274&lt;&gt;"",N(W274)&lt;0),"Trop-perçu : vérifiez paiements et avoirs","OK")))))))))))))))))))))</f>
        <v/>
      </c>
      <c r="AA274" s="62" t="str">
        <f>IF(COUNTA(B274:D274,F274:O274)&gt;0,IF(B274="","Facture",B274),"")</f>
        <v/>
      </c>
      <c r="AB274" s="62" t="str">
        <f>IF(AA274="","",IF(AA274="Avoir",p_pav,IF(AA274="Facture d'acompte",p_pac,p_pfa)))</f>
        <v/>
      </c>
      <c r="AC274" s="62">
        <f>IF(ISNUMBER(C274),C274,0)</f>
        <v>0.0</v>
      </c>
      <c r="AD274" s="62" t="str">
        <f>IF(OR(AA274="",AC274=0),"",YEAR(AC274))</f>
        <v/>
      </c>
      <c r="AE274" s="62" t="str">
        <f>IF(AD274="","",COUNTIFS($AB$6:AB274,AB274,$AD$6:AD274,AD274))</f>
        <v/>
      </c>
      <c r="AF274" s="62">
        <f>IF(A274="",0,COUNTIF(fl_doc,A274))</f>
        <v>0.0</v>
      </c>
      <c r="AG274" s="62" t="str">
        <f>IF(A274="","",IF(AF274&gt;0,"Facture",IF(AND(F274&lt;&gt;"",AA274="Facture",ISNUMBER(MATCH(F274,dv_num,0))),"Devis","")))</f>
        <v/>
      </c>
      <c r="AH274" s="62" t="str">
        <f>IF(AND(A274&lt;&gt;"",F274&lt;&gt;"",AA274&lt;&gt;"Avoir"),F274,"")</f>
        <v/>
      </c>
      <c r="AI274" s="62" t="str">
        <f>IF(AG274="Devis",F274,"")</f>
        <v/>
      </c>
      <c r="AJ274" s="62">
        <f>IF(AG274="Facture",SUMIF(fl_doc,A274,fl_ht),IF(AG274="Devis",SUMIF(dl_doc,F274,dl_ht),0))</f>
        <v>0.0</v>
      </c>
      <c r="AK274" s="62">
        <f>IF(OR(AG274="",INDEX(p_rates,1)=""),0,IF(AG274="Facture",SUMIFS(fl_ht,fl_doc,A274,fl_rate,INDEX(p_rates,1)),SUMIFS(dl_ht,dl_doc,F274,dl_rate,INDEX(p_rates,1))))</f>
        <v>0.0</v>
      </c>
      <c r="AL274" s="62">
        <f>IF(OR(AG274="",INDEX(p_rates,2)=""),0,IF(AG274="Facture",SUMIFS(fl_ht,fl_doc,A274,fl_rate,INDEX(p_rates,2)),SUMIFS(dl_ht,dl_doc,F274,dl_rate,INDEX(p_rates,2))))</f>
        <v>0.0</v>
      </c>
      <c r="AM274" s="62">
        <f>IF(OR(AG274="",INDEX(p_rates,3)=""),0,IF(AG274="Facture",SUMIFS(fl_ht,fl_doc,A274,fl_rate,INDEX(p_rates,3)),SUMIFS(dl_ht,dl_doc,F274,dl_rate,INDEX(p_rates,3))))</f>
        <v>0.0</v>
      </c>
      <c r="AN274" s="62">
        <f>IF(OR(AG274="",INDEX(p_rates,4)=""),0,IF(AG274="Facture",SUMIFS(fl_ht,fl_doc,A274,fl_rate,INDEX(p_rates,4)),SUMIFS(dl_ht,dl_doc,F274,dl_rate,INDEX(p_rates,4))))</f>
        <v>0.0</v>
      </c>
      <c r="AO274" s="62">
        <f>IF(OR(AG274="",INDEX(p_rates,5)=""),0,IF(AG274="Facture",SUMIFS(fl_ht,fl_doc,A274,fl_rate,INDEX(p_rates,5)),SUMIFS(dl_ht,dl_doc,F274,dl_rate,INDEX(p_rates,5))))</f>
        <v>0.0</v>
      </c>
      <c r="AP274" s="62">
        <f>IF(OR(AG274="",INDEX(p_rates,6)=""),0,IF(AG274="Facture",SUMIFS(fl_ht,fl_doc,A274,fl_rate,INDEX(p_rates,6)),SUMIFS(dl_ht,dl_doc,F274,dl_rate,INDEX(p_rates,6))))</f>
        <v>0.0</v>
      </c>
      <c r="AQ274" s="62">
        <f>ROUND(AK274*N(INDEX(p_rates,1)),2)+ROUND(AL274*N(INDEX(p_rates,2)),2)+ROUND(AM274*N(INDEX(p_rates,3)),2)+ROUND(AN274*N(INDEX(p_rates,4)),2)+ROUND(AO274*N(INDEX(p_rates,5)),2)+ROUND(AP274*N(INDEX(p_rates,6)),2)</f>
        <v>0.0</v>
      </c>
      <c r="AR274" s="62" t="str">
        <f>IF(OR(L274="",AA274&lt;&gt;"Facture"),"",IFERROR(IF(INDEX(fa_type,MATCH(L274,fa_num,0))="Facture d'acompte",MATCH(L274,fa_num,0),""),""))</f>
        <v/>
      </c>
      <c r="AS274" s="62" t="str">
        <f>IF(W274="","",IF(W274&lt;=0,"",IF(p_asof-P274&lt;=0,"Non échu",IF(p_asof-P274&lt;=30,"1-30 j",IF(p_asof-P274&lt;=60,"31-60 j",IF(p_asof-P274&lt;=90,"61-90 j","Plus de 90 j"))))))</f>
        <v/>
      </c>
      <c r="AT274" s="62" t="str">
        <f>IF(AS274="","",p_asof-P274)</f>
        <v/>
      </c>
      <c r="AU274" s="62" t="str">
        <f>IF(AT274="","",COUNTIF($AT$6:$AT$805,"&gt;"&amp;AT274)+COUNTIF($AT$6:AT274,AT274))</f>
        <v/>
      </c>
    </row>
    <row r="275">
      <c r="A275" s="59" t="str">
        <f>IF(AE275="","",AB275&amp;"-"&amp;AD275&amp;"-"&amp;RIGHT("000"&amp;AE275,4))</f>
        <v/>
      </c>
      <c r="B275" s="60" t="n"/>
      <c r="C275" s="61" t="n"/>
      <c r="D275" s="60" t="n"/>
      <c r="E275" s="62" t="str">
        <f>IF(D275="","",IFERROR(INDEX(cli_name,MATCH(D275,cli_code,0))&amp;"","Client inconnu"))</f>
        <v/>
      </c>
      <c r="F275" s="60" t="n"/>
      <c r="G275" s="63" t="n"/>
      <c r="H275" s="61" t="n"/>
      <c r="I275" s="63" t="n"/>
      <c r="J275" s="60" t="n"/>
      <c r="K275" s="61" t="n"/>
      <c r="L275" s="60" t="n"/>
      <c r="M275" s="60" t="n"/>
      <c r="N275" s="60" t="n"/>
      <c r="O275" s="61" t="n"/>
      <c r="P275" s="64" t="str">
        <f>IF(A275="","",IF(AA275="Avoir",AC275,IF(ISNUMBER(K275),K275,AC275+IF(D275="",N(p_delay),IFERROR(IF(ISNUMBER(INDEX(cli_delay,MATCH(D275,cli_code,0))),INDEX(cli_delay,MATCH(D275,cli_code,0)),N(p_delay)),N(p_delay))))))</f>
        <v/>
      </c>
      <c r="Q275" s="65" t="str">
        <f>IF(A275="","",IF(AA275="Avoir",-1,1)*ROUND(AJ275-IF(AR275="",0,INDEX(fa_htb,AR275)),2))</f>
        <v/>
      </c>
      <c r="R275" s="65" t="str">
        <f>IF(A275="","",IF(AA275="Avoir",-1,1)*ROUND(AQ275-IF(AR275="",0,INDEX(fa_tvab,AR275)),2))</f>
        <v/>
      </c>
      <c r="S275" s="65" t="str">
        <f>IF(A275="","",Q275+R275)</f>
        <v/>
      </c>
      <c r="T275" s="65" t="str">
        <f>IF(AR275="","",INDEX(fa_htb,AR275)+INDEX(fa_tvab,AR275))</f>
        <v/>
      </c>
      <c r="U275" s="65" t="str">
        <f>IF(A275="","",SUMIF(pa_inv,A275,pa_amt))</f>
        <v/>
      </c>
      <c r="V275" s="65" t="str">
        <f>IF(OR(A275="",AA275="Avoir"),"",-SUMIFS(fa_ttc,fa_avof,A275,fa_type,"Avoir"))</f>
        <v/>
      </c>
      <c r="W275" s="65" t="str">
        <f>IF(OR(A275="",AA275="Avoir"),"",ROUND(S275-U275-V275,2))</f>
        <v/>
      </c>
      <c r="X275" s="66" t="str">
        <f>IF(W275="","",IF(AND(W275&gt;0,p_asof&gt;P275),p_asof-P275,""))</f>
        <v/>
      </c>
      <c r="Y275" s="59" t="str">
        <f>IF(A275="","",IF(AA275="Avoir","Avoir",IF(W275&lt;0,"Trop-perçu",IF(W275=0,"Soldée",IF(p_asof&gt;P275,"En retard",IF(U275+V275&gt;0,"Partielle","À échoir"))))))</f>
        <v/>
      </c>
      <c r="Z275" s="59" t="str">
        <f>IF(NOT(COUNTA(B275:D275,F275:O275)&gt;0),"",IF(C275="","Date manquante",IF(NOT(ISNUMBER(C275)),"Date invalide",IF(D275="","Client manquant",IF(ISNA(MATCH(D275,cli_code,0)),"Client inconnu",IF(AC275&lt;SUMPRODUCT(MAX(($AB$6:AB274=AB275)*$AC$6:AC274)),"Date antérieure à la facture précédente",IF(AND(F275&lt;&gt;"",ISNA(MATCH(F275,dv_num,0))),"Devis inconnu",IF(AND(F275&lt;&gt;"",IFERROR(INDEX(dv_client,MATCH(F275,dv_num,0)),D275)&lt;&gt;D275),"Client différent de celui du devis",IF(AG275="","Aucune ligne : saisissez des lignes ou un devis",IF(AND(AI275&lt;&gt;"",COUNTIF($AI$6:AI275,AI275)&gt;1),"Devis déjà repris par une autre facture",IF(AND(AA275="Avoir",M275=""),"Avoir : indiquez la facture d'origine",IF(AND(AA275="Avoir",ISNA(MATCH(M275,fa_num,0))),"Facture d'origine inconnue",IF(AND(AA275&lt;&gt;"Avoir",M275&lt;&gt;""),"« Avoir sur facture » : réservé aux avoirs",IF(AND(L275&lt;&gt;"",AA275&lt;&gt;"Facture"),"Acompte à déduire : réservé aux factures",IF(AND(L275&lt;&gt;"",ISNA(MATCH(L275,fa_num,0))),"Facture d'acompte inconnue",IF(AND(L275&lt;&gt;"",IFERROR(INDEX(fa_type,MATCH(L275,fa_num,0)),"")&lt;&gt;"Facture d'acompte"),"Le n° à déduire n'est pas une facture d'acompte",IF(AND(L275&lt;&gt;"",COUNTIF($L$6:L275,L275)&gt;1),"Acompte déjà déduit sur une autre facture",IF(AND(L275&lt;&gt;"",IFERROR(INDEX(fa_client,MATCH(L275,fa_num,0)),D275)&lt;&gt;D275),"Acompte d'un autre client",IF(AND(AR275&lt;&gt;"",N(Q275)&lt;0),"Acompte supérieur au total de la facture",IF(IF(AG275="Facture",COUNTIFS(fl_doc,A275,fl_check,"&lt;&gt;OK"),IF(AG275="Devis",COUNTIFS(dl_doc,F275,dl_check,"&lt;&gt;OK"),0))&gt;0,"Ligne(s) à corriger",IF(AND(W275&lt;&gt;"",N(W275)&lt;0),"Trop-perçu : vérifiez paiements et avoirs","OK")))))))))))))))))))))</f>
        <v/>
      </c>
      <c r="AA275" s="62" t="str">
        <f>IF(COUNTA(B275:D275,F275:O275)&gt;0,IF(B275="","Facture",B275),"")</f>
        <v/>
      </c>
      <c r="AB275" s="62" t="str">
        <f>IF(AA275="","",IF(AA275="Avoir",p_pav,IF(AA275="Facture d'acompte",p_pac,p_pfa)))</f>
        <v/>
      </c>
      <c r="AC275" s="62">
        <f>IF(ISNUMBER(C275),C275,0)</f>
        <v>0.0</v>
      </c>
      <c r="AD275" s="62" t="str">
        <f>IF(OR(AA275="",AC275=0),"",YEAR(AC275))</f>
        <v/>
      </c>
      <c r="AE275" s="62" t="str">
        <f>IF(AD275="","",COUNTIFS($AB$6:AB275,AB275,$AD$6:AD275,AD275))</f>
        <v/>
      </c>
      <c r="AF275" s="62">
        <f>IF(A275="",0,COUNTIF(fl_doc,A275))</f>
        <v>0.0</v>
      </c>
      <c r="AG275" s="62" t="str">
        <f>IF(A275="","",IF(AF275&gt;0,"Facture",IF(AND(F275&lt;&gt;"",AA275="Facture",ISNUMBER(MATCH(F275,dv_num,0))),"Devis","")))</f>
        <v/>
      </c>
      <c r="AH275" s="62" t="str">
        <f>IF(AND(A275&lt;&gt;"",F275&lt;&gt;"",AA275&lt;&gt;"Avoir"),F275,"")</f>
        <v/>
      </c>
      <c r="AI275" s="62" t="str">
        <f>IF(AG275="Devis",F275,"")</f>
        <v/>
      </c>
      <c r="AJ275" s="62">
        <f>IF(AG275="Facture",SUMIF(fl_doc,A275,fl_ht),IF(AG275="Devis",SUMIF(dl_doc,F275,dl_ht),0))</f>
        <v>0.0</v>
      </c>
      <c r="AK275" s="62">
        <f>IF(OR(AG275="",INDEX(p_rates,1)=""),0,IF(AG275="Facture",SUMIFS(fl_ht,fl_doc,A275,fl_rate,INDEX(p_rates,1)),SUMIFS(dl_ht,dl_doc,F275,dl_rate,INDEX(p_rates,1))))</f>
        <v>0.0</v>
      </c>
      <c r="AL275" s="62">
        <f>IF(OR(AG275="",INDEX(p_rates,2)=""),0,IF(AG275="Facture",SUMIFS(fl_ht,fl_doc,A275,fl_rate,INDEX(p_rates,2)),SUMIFS(dl_ht,dl_doc,F275,dl_rate,INDEX(p_rates,2))))</f>
        <v>0.0</v>
      </c>
      <c r="AM275" s="62">
        <f>IF(OR(AG275="",INDEX(p_rates,3)=""),0,IF(AG275="Facture",SUMIFS(fl_ht,fl_doc,A275,fl_rate,INDEX(p_rates,3)),SUMIFS(dl_ht,dl_doc,F275,dl_rate,INDEX(p_rates,3))))</f>
        <v>0.0</v>
      </c>
      <c r="AN275" s="62">
        <f>IF(OR(AG275="",INDEX(p_rates,4)=""),0,IF(AG275="Facture",SUMIFS(fl_ht,fl_doc,A275,fl_rate,INDEX(p_rates,4)),SUMIFS(dl_ht,dl_doc,F275,dl_rate,INDEX(p_rates,4))))</f>
        <v>0.0</v>
      </c>
      <c r="AO275" s="62">
        <f>IF(OR(AG275="",INDEX(p_rates,5)=""),0,IF(AG275="Facture",SUMIFS(fl_ht,fl_doc,A275,fl_rate,INDEX(p_rates,5)),SUMIFS(dl_ht,dl_doc,F275,dl_rate,INDEX(p_rates,5))))</f>
        <v>0.0</v>
      </c>
      <c r="AP275" s="62">
        <f>IF(OR(AG275="",INDEX(p_rates,6)=""),0,IF(AG275="Facture",SUMIFS(fl_ht,fl_doc,A275,fl_rate,INDEX(p_rates,6)),SUMIFS(dl_ht,dl_doc,F275,dl_rate,INDEX(p_rates,6))))</f>
        <v>0.0</v>
      </c>
      <c r="AQ275" s="62">
        <f>ROUND(AK275*N(INDEX(p_rates,1)),2)+ROUND(AL275*N(INDEX(p_rates,2)),2)+ROUND(AM275*N(INDEX(p_rates,3)),2)+ROUND(AN275*N(INDEX(p_rates,4)),2)+ROUND(AO275*N(INDEX(p_rates,5)),2)+ROUND(AP275*N(INDEX(p_rates,6)),2)</f>
        <v>0.0</v>
      </c>
      <c r="AR275" s="62" t="str">
        <f>IF(OR(L275="",AA275&lt;&gt;"Facture"),"",IFERROR(IF(INDEX(fa_type,MATCH(L275,fa_num,0))="Facture d'acompte",MATCH(L275,fa_num,0),""),""))</f>
        <v/>
      </c>
      <c r="AS275" s="62" t="str">
        <f>IF(W275="","",IF(W275&lt;=0,"",IF(p_asof-P275&lt;=0,"Non échu",IF(p_asof-P275&lt;=30,"1-30 j",IF(p_asof-P275&lt;=60,"31-60 j",IF(p_asof-P275&lt;=90,"61-90 j","Plus de 90 j"))))))</f>
        <v/>
      </c>
      <c r="AT275" s="62" t="str">
        <f>IF(AS275="","",p_asof-P275)</f>
        <v/>
      </c>
      <c r="AU275" s="62" t="str">
        <f>IF(AT275="","",COUNTIF($AT$6:$AT$805,"&gt;"&amp;AT275)+COUNTIF($AT$6:AT275,AT275))</f>
        <v/>
      </c>
    </row>
    <row r="276">
      <c r="A276" s="59" t="str">
        <f>IF(AE276="","",AB276&amp;"-"&amp;AD276&amp;"-"&amp;RIGHT("000"&amp;AE276,4))</f>
        <v/>
      </c>
      <c r="B276" s="60" t="n"/>
      <c r="C276" s="61" t="n"/>
      <c r="D276" s="60" t="n"/>
      <c r="E276" s="62" t="str">
        <f>IF(D276="","",IFERROR(INDEX(cli_name,MATCH(D276,cli_code,0))&amp;"","Client inconnu"))</f>
        <v/>
      </c>
      <c r="F276" s="60" t="n"/>
      <c r="G276" s="63" t="n"/>
      <c r="H276" s="61" t="n"/>
      <c r="I276" s="63" t="n"/>
      <c r="J276" s="60" t="n"/>
      <c r="K276" s="61" t="n"/>
      <c r="L276" s="60" t="n"/>
      <c r="M276" s="60" t="n"/>
      <c r="N276" s="60" t="n"/>
      <c r="O276" s="61" t="n"/>
      <c r="P276" s="64" t="str">
        <f>IF(A276="","",IF(AA276="Avoir",AC276,IF(ISNUMBER(K276),K276,AC276+IF(D276="",N(p_delay),IFERROR(IF(ISNUMBER(INDEX(cli_delay,MATCH(D276,cli_code,0))),INDEX(cli_delay,MATCH(D276,cli_code,0)),N(p_delay)),N(p_delay))))))</f>
        <v/>
      </c>
      <c r="Q276" s="65" t="str">
        <f>IF(A276="","",IF(AA276="Avoir",-1,1)*ROUND(AJ276-IF(AR276="",0,INDEX(fa_htb,AR276)),2))</f>
        <v/>
      </c>
      <c r="R276" s="65" t="str">
        <f>IF(A276="","",IF(AA276="Avoir",-1,1)*ROUND(AQ276-IF(AR276="",0,INDEX(fa_tvab,AR276)),2))</f>
        <v/>
      </c>
      <c r="S276" s="65" t="str">
        <f>IF(A276="","",Q276+R276)</f>
        <v/>
      </c>
      <c r="T276" s="65" t="str">
        <f>IF(AR276="","",INDEX(fa_htb,AR276)+INDEX(fa_tvab,AR276))</f>
        <v/>
      </c>
      <c r="U276" s="65" t="str">
        <f>IF(A276="","",SUMIF(pa_inv,A276,pa_amt))</f>
        <v/>
      </c>
      <c r="V276" s="65" t="str">
        <f>IF(OR(A276="",AA276="Avoir"),"",-SUMIFS(fa_ttc,fa_avof,A276,fa_type,"Avoir"))</f>
        <v/>
      </c>
      <c r="W276" s="65" t="str">
        <f>IF(OR(A276="",AA276="Avoir"),"",ROUND(S276-U276-V276,2))</f>
        <v/>
      </c>
      <c r="X276" s="66" t="str">
        <f>IF(W276="","",IF(AND(W276&gt;0,p_asof&gt;P276),p_asof-P276,""))</f>
        <v/>
      </c>
      <c r="Y276" s="59" t="str">
        <f>IF(A276="","",IF(AA276="Avoir","Avoir",IF(W276&lt;0,"Trop-perçu",IF(W276=0,"Soldée",IF(p_asof&gt;P276,"En retard",IF(U276+V276&gt;0,"Partielle","À échoir"))))))</f>
        <v/>
      </c>
      <c r="Z276" s="59" t="str">
        <f>IF(NOT(COUNTA(B276:D276,F276:O276)&gt;0),"",IF(C276="","Date manquante",IF(NOT(ISNUMBER(C276)),"Date invalide",IF(D276="","Client manquant",IF(ISNA(MATCH(D276,cli_code,0)),"Client inconnu",IF(AC276&lt;SUMPRODUCT(MAX(($AB$6:AB275=AB276)*$AC$6:AC275)),"Date antérieure à la facture précédente",IF(AND(F276&lt;&gt;"",ISNA(MATCH(F276,dv_num,0))),"Devis inconnu",IF(AND(F276&lt;&gt;"",IFERROR(INDEX(dv_client,MATCH(F276,dv_num,0)),D276)&lt;&gt;D276),"Client différent de celui du devis",IF(AG276="","Aucune ligne : saisissez des lignes ou un devis",IF(AND(AI276&lt;&gt;"",COUNTIF($AI$6:AI276,AI276)&gt;1),"Devis déjà repris par une autre facture",IF(AND(AA276="Avoir",M276=""),"Avoir : indiquez la facture d'origine",IF(AND(AA276="Avoir",ISNA(MATCH(M276,fa_num,0))),"Facture d'origine inconnue",IF(AND(AA276&lt;&gt;"Avoir",M276&lt;&gt;""),"« Avoir sur facture » : réservé aux avoirs",IF(AND(L276&lt;&gt;"",AA276&lt;&gt;"Facture"),"Acompte à déduire : réservé aux factures",IF(AND(L276&lt;&gt;"",ISNA(MATCH(L276,fa_num,0))),"Facture d'acompte inconnue",IF(AND(L276&lt;&gt;"",IFERROR(INDEX(fa_type,MATCH(L276,fa_num,0)),"")&lt;&gt;"Facture d'acompte"),"Le n° à déduire n'est pas une facture d'acompte",IF(AND(L276&lt;&gt;"",COUNTIF($L$6:L276,L276)&gt;1),"Acompte déjà déduit sur une autre facture",IF(AND(L276&lt;&gt;"",IFERROR(INDEX(fa_client,MATCH(L276,fa_num,0)),D276)&lt;&gt;D276),"Acompte d'un autre client",IF(AND(AR276&lt;&gt;"",N(Q276)&lt;0),"Acompte supérieur au total de la facture",IF(IF(AG276="Facture",COUNTIFS(fl_doc,A276,fl_check,"&lt;&gt;OK"),IF(AG276="Devis",COUNTIFS(dl_doc,F276,dl_check,"&lt;&gt;OK"),0))&gt;0,"Ligne(s) à corriger",IF(AND(W276&lt;&gt;"",N(W276)&lt;0),"Trop-perçu : vérifiez paiements et avoirs","OK")))))))))))))))))))))</f>
        <v/>
      </c>
      <c r="AA276" s="62" t="str">
        <f>IF(COUNTA(B276:D276,F276:O276)&gt;0,IF(B276="","Facture",B276),"")</f>
        <v/>
      </c>
      <c r="AB276" s="62" t="str">
        <f>IF(AA276="","",IF(AA276="Avoir",p_pav,IF(AA276="Facture d'acompte",p_pac,p_pfa)))</f>
        <v/>
      </c>
      <c r="AC276" s="62">
        <f>IF(ISNUMBER(C276),C276,0)</f>
        <v>0.0</v>
      </c>
      <c r="AD276" s="62" t="str">
        <f>IF(OR(AA276="",AC276=0),"",YEAR(AC276))</f>
        <v/>
      </c>
      <c r="AE276" s="62" t="str">
        <f>IF(AD276="","",COUNTIFS($AB$6:AB276,AB276,$AD$6:AD276,AD276))</f>
        <v/>
      </c>
      <c r="AF276" s="62">
        <f>IF(A276="",0,COUNTIF(fl_doc,A276))</f>
        <v>0.0</v>
      </c>
      <c r="AG276" s="62" t="str">
        <f>IF(A276="","",IF(AF276&gt;0,"Facture",IF(AND(F276&lt;&gt;"",AA276="Facture",ISNUMBER(MATCH(F276,dv_num,0))),"Devis","")))</f>
        <v/>
      </c>
      <c r="AH276" s="62" t="str">
        <f>IF(AND(A276&lt;&gt;"",F276&lt;&gt;"",AA276&lt;&gt;"Avoir"),F276,"")</f>
        <v/>
      </c>
      <c r="AI276" s="62" t="str">
        <f>IF(AG276="Devis",F276,"")</f>
        <v/>
      </c>
      <c r="AJ276" s="62">
        <f>IF(AG276="Facture",SUMIF(fl_doc,A276,fl_ht),IF(AG276="Devis",SUMIF(dl_doc,F276,dl_ht),0))</f>
        <v>0.0</v>
      </c>
      <c r="AK276" s="62">
        <f>IF(OR(AG276="",INDEX(p_rates,1)=""),0,IF(AG276="Facture",SUMIFS(fl_ht,fl_doc,A276,fl_rate,INDEX(p_rates,1)),SUMIFS(dl_ht,dl_doc,F276,dl_rate,INDEX(p_rates,1))))</f>
        <v>0.0</v>
      </c>
      <c r="AL276" s="62">
        <f>IF(OR(AG276="",INDEX(p_rates,2)=""),0,IF(AG276="Facture",SUMIFS(fl_ht,fl_doc,A276,fl_rate,INDEX(p_rates,2)),SUMIFS(dl_ht,dl_doc,F276,dl_rate,INDEX(p_rates,2))))</f>
        <v>0.0</v>
      </c>
      <c r="AM276" s="62">
        <f>IF(OR(AG276="",INDEX(p_rates,3)=""),0,IF(AG276="Facture",SUMIFS(fl_ht,fl_doc,A276,fl_rate,INDEX(p_rates,3)),SUMIFS(dl_ht,dl_doc,F276,dl_rate,INDEX(p_rates,3))))</f>
        <v>0.0</v>
      </c>
      <c r="AN276" s="62">
        <f>IF(OR(AG276="",INDEX(p_rates,4)=""),0,IF(AG276="Facture",SUMIFS(fl_ht,fl_doc,A276,fl_rate,INDEX(p_rates,4)),SUMIFS(dl_ht,dl_doc,F276,dl_rate,INDEX(p_rates,4))))</f>
        <v>0.0</v>
      </c>
      <c r="AO276" s="62">
        <f>IF(OR(AG276="",INDEX(p_rates,5)=""),0,IF(AG276="Facture",SUMIFS(fl_ht,fl_doc,A276,fl_rate,INDEX(p_rates,5)),SUMIFS(dl_ht,dl_doc,F276,dl_rate,INDEX(p_rates,5))))</f>
        <v>0.0</v>
      </c>
      <c r="AP276" s="62">
        <f>IF(OR(AG276="",INDEX(p_rates,6)=""),0,IF(AG276="Facture",SUMIFS(fl_ht,fl_doc,A276,fl_rate,INDEX(p_rates,6)),SUMIFS(dl_ht,dl_doc,F276,dl_rate,INDEX(p_rates,6))))</f>
        <v>0.0</v>
      </c>
      <c r="AQ276" s="62">
        <f>ROUND(AK276*N(INDEX(p_rates,1)),2)+ROUND(AL276*N(INDEX(p_rates,2)),2)+ROUND(AM276*N(INDEX(p_rates,3)),2)+ROUND(AN276*N(INDEX(p_rates,4)),2)+ROUND(AO276*N(INDEX(p_rates,5)),2)+ROUND(AP276*N(INDEX(p_rates,6)),2)</f>
        <v>0.0</v>
      </c>
      <c r="AR276" s="62" t="str">
        <f>IF(OR(L276="",AA276&lt;&gt;"Facture"),"",IFERROR(IF(INDEX(fa_type,MATCH(L276,fa_num,0))="Facture d'acompte",MATCH(L276,fa_num,0),""),""))</f>
        <v/>
      </c>
      <c r="AS276" s="62" t="str">
        <f>IF(W276="","",IF(W276&lt;=0,"",IF(p_asof-P276&lt;=0,"Non échu",IF(p_asof-P276&lt;=30,"1-30 j",IF(p_asof-P276&lt;=60,"31-60 j",IF(p_asof-P276&lt;=90,"61-90 j","Plus de 90 j"))))))</f>
        <v/>
      </c>
      <c r="AT276" s="62" t="str">
        <f>IF(AS276="","",p_asof-P276)</f>
        <v/>
      </c>
      <c r="AU276" s="62" t="str">
        <f>IF(AT276="","",COUNTIF($AT$6:$AT$805,"&gt;"&amp;AT276)+COUNTIF($AT$6:AT276,AT276))</f>
        <v/>
      </c>
    </row>
    <row r="277">
      <c r="A277" s="59" t="str">
        <f>IF(AE277="","",AB277&amp;"-"&amp;AD277&amp;"-"&amp;RIGHT("000"&amp;AE277,4))</f>
        <v/>
      </c>
      <c r="B277" s="60" t="n"/>
      <c r="C277" s="61" t="n"/>
      <c r="D277" s="60" t="n"/>
      <c r="E277" s="62" t="str">
        <f>IF(D277="","",IFERROR(INDEX(cli_name,MATCH(D277,cli_code,0))&amp;"","Client inconnu"))</f>
        <v/>
      </c>
      <c r="F277" s="60" t="n"/>
      <c r="G277" s="63" t="n"/>
      <c r="H277" s="61" t="n"/>
      <c r="I277" s="63" t="n"/>
      <c r="J277" s="60" t="n"/>
      <c r="K277" s="61" t="n"/>
      <c r="L277" s="60" t="n"/>
      <c r="M277" s="60" t="n"/>
      <c r="N277" s="60" t="n"/>
      <c r="O277" s="61" t="n"/>
      <c r="P277" s="64" t="str">
        <f>IF(A277="","",IF(AA277="Avoir",AC277,IF(ISNUMBER(K277),K277,AC277+IF(D277="",N(p_delay),IFERROR(IF(ISNUMBER(INDEX(cli_delay,MATCH(D277,cli_code,0))),INDEX(cli_delay,MATCH(D277,cli_code,0)),N(p_delay)),N(p_delay))))))</f>
        <v/>
      </c>
      <c r="Q277" s="65" t="str">
        <f>IF(A277="","",IF(AA277="Avoir",-1,1)*ROUND(AJ277-IF(AR277="",0,INDEX(fa_htb,AR277)),2))</f>
        <v/>
      </c>
      <c r="R277" s="65" t="str">
        <f>IF(A277="","",IF(AA277="Avoir",-1,1)*ROUND(AQ277-IF(AR277="",0,INDEX(fa_tvab,AR277)),2))</f>
        <v/>
      </c>
      <c r="S277" s="65" t="str">
        <f>IF(A277="","",Q277+R277)</f>
        <v/>
      </c>
      <c r="T277" s="65" t="str">
        <f>IF(AR277="","",INDEX(fa_htb,AR277)+INDEX(fa_tvab,AR277))</f>
        <v/>
      </c>
      <c r="U277" s="65" t="str">
        <f>IF(A277="","",SUMIF(pa_inv,A277,pa_amt))</f>
        <v/>
      </c>
      <c r="V277" s="65" t="str">
        <f>IF(OR(A277="",AA277="Avoir"),"",-SUMIFS(fa_ttc,fa_avof,A277,fa_type,"Avoir"))</f>
        <v/>
      </c>
      <c r="W277" s="65" t="str">
        <f>IF(OR(A277="",AA277="Avoir"),"",ROUND(S277-U277-V277,2))</f>
        <v/>
      </c>
      <c r="X277" s="66" t="str">
        <f>IF(W277="","",IF(AND(W277&gt;0,p_asof&gt;P277),p_asof-P277,""))</f>
        <v/>
      </c>
      <c r="Y277" s="59" t="str">
        <f>IF(A277="","",IF(AA277="Avoir","Avoir",IF(W277&lt;0,"Trop-perçu",IF(W277=0,"Soldée",IF(p_asof&gt;P277,"En retard",IF(U277+V277&gt;0,"Partielle","À échoir"))))))</f>
        <v/>
      </c>
      <c r="Z277" s="59" t="str">
        <f>IF(NOT(COUNTA(B277:D277,F277:O277)&gt;0),"",IF(C277="","Date manquante",IF(NOT(ISNUMBER(C277)),"Date invalide",IF(D277="","Client manquant",IF(ISNA(MATCH(D277,cli_code,0)),"Client inconnu",IF(AC277&lt;SUMPRODUCT(MAX(($AB$6:AB276=AB277)*$AC$6:AC276)),"Date antérieure à la facture précédente",IF(AND(F277&lt;&gt;"",ISNA(MATCH(F277,dv_num,0))),"Devis inconnu",IF(AND(F277&lt;&gt;"",IFERROR(INDEX(dv_client,MATCH(F277,dv_num,0)),D277)&lt;&gt;D277),"Client différent de celui du devis",IF(AG277="","Aucune ligne : saisissez des lignes ou un devis",IF(AND(AI277&lt;&gt;"",COUNTIF($AI$6:AI277,AI277)&gt;1),"Devis déjà repris par une autre facture",IF(AND(AA277="Avoir",M277=""),"Avoir : indiquez la facture d'origine",IF(AND(AA277="Avoir",ISNA(MATCH(M277,fa_num,0))),"Facture d'origine inconnue",IF(AND(AA277&lt;&gt;"Avoir",M277&lt;&gt;""),"« Avoir sur facture » : réservé aux avoirs",IF(AND(L277&lt;&gt;"",AA277&lt;&gt;"Facture"),"Acompte à déduire : réservé aux factures",IF(AND(L277&lt;&gt;"",ISNA(MATCH(L277,fa_num,0))),"Facture d'acompte inconnue",IF(AND(L277&lt;&gt;"",IFERROR(INDEX(fa_type,MATCH(L277,fa_num,0)),"")&lt;&gt;"Facture d'acompte"),"Le n° à déduire n'est pas une facture d'acompte",IF(AND(L277&lt;&gt;"",COUNTIF($L$6:L277,L277)&gt;1),"Acompte déjà déduit sur une autre facture",IF(AND(L277&lt;&gt;"",IFERROR(INDEX(fa_client,MATCH(L277,fa_num,0)),D277)&lt;&gt;D277),"Acompte d'un autre client",IF(AND(AR277&lt;&gt;"",N(Q277)&lt;0),"Acompte supérieur au total de la facture",IF(IF(AG277="Facture",COUNTIFS(fl_doc,A277,fl_check,"&lt;&gt;OK"),IF(AG277="Devis",COUNTIFS(dl_doc,F277,dl_check,"&lt;&gt;OK"),0))&gt;0,"Ligne(s) à corriger",IF(AND(W277&lt;&gt;"",N(W277)&lt;0),"Trop-perçu : vérifiez paiements et avoirs","OK")))))))))))))))))))))</f>
        <v/>
      </c>
      <c r="AA277" s="62" t="str">
        <f>IF(COUNTA(B277:D277,F277:O277)&gt;0,IF(B277="","Facture",B277),"")</f>
        <v/>
      </c>
      <c r="AB277" s="62" t="str">
        <f>IF(AA277="","",IF(AA277="Avoir",p_pav,IF(AA277="Facture d'acompte",p_pac,p_pfa)))</f>
        <v/>
      </c>
      <c r="AC277" s="62">
        <f>IF(ISNUMBER(C277),C277,0)</f>
        <v>0.0</v>
      </c>
      <c r="AD277" s="62" t="str">
        <f>IF(OR(AA277="",AC277=0),"",YEAR(AC277))</f>
        <v/>
      </c>
      <c r="AE277" s="62" t="str">
        <f>IF(AD277="","",COUNTIFS($AB$6:AB277,AB277,$AD$6:AD277,AD277))</f>
        <v/>
      </c>
      <c r="AF277" s="62">
        <f>IF(A277="",0,COUNTIF(fl_doc,A277))</f>
        <v>0.0</v>
      </c>
      <c r="AG277" s="62" t="str">
        <f>IF(A277="","",IF(AF277&gt;0,"Facture",IF(AND(F277&lt;&gt;"",AA277="Facture",ISNUMBER(MATCH(F277,dv_num,0))),"Devis","")))</f>
        <v/>
      </c>
      <c r="AH277" s="62" t="str">
        <f>IF(AND(A277&lt;&gt;"",F277&lt;&gt;"",AA277&lt;&gt;"Avoir"),F277,"")</f>
        <v/>
      </c>
      <c r="AI277" s="62" t="str">
        <f>IF(AG277="Devis",F277,"")</f>
        <v/>
      </c>
      <c r="AJ277" s="62">
        <f>IF(AG277="Facture",SUMIF(fl_doc,A277,fl_ht),IF(AG277="Devis",SUMIF(dl_doc,F277,dl_ht),0))</f>
        <v>0.0</v>
      </c>
      <c r="AK277" s="62">
        <f>IF(OR(AG277="",INDEX(p_rates,1)=""),0,IF(AG277="Facture",SUMIFS(fl_ht,fl_doc,A277,fl_rate,INDEX(p_rates,1)),SUMIFS(dl_ht,dl_doc,F277,dl_rate,INDEX(p_rates,1))))</f>
        <v>0.0</v>
      </c>
      <c r="AL277" s="62">
        <f>IF(OR(AG277="",INDEX(p_rates,2)=""),0,IF(AG277="Facture",SUMIFS(fl_ht,fl_doc,A277,fl_rate,INDEX(p_rates,2)),SUMIFS(dl_ht,dl_doc,F277,dl_rate,INDEX(p_rates,2))))</f>
        <v>0.0</v>
      </c>
      <c r="AM277" s="62">
        <f>IF(OR(AG277="",INDEX(p_rates,3)=""),0,IF(AG277="Facture",SUMIFS(fl_ht,fl_doc,A277,fl_rate,INDEX(p_rates,3)),SUMIFS(dl_ht,dl_doc,F277,dl_rate,INDEX(p_rates,3))))</f>
        <v>0.0</v>
      </c>
      <c r="AN277" s="62">
        <f>IF(OR(AG277="",INDEX(p_rates,4)=""),0,IF(AG277="Facture",SUMIFS(fl_ht,fl_doc,A277,fl_rate,INDEX(p_rates,4)),SUMIFS(dl_ht,dl_doc,F277,dl_rate,INDEX(p_rates,4))))</f>
        <v>0.0</v>
      </c>
      <c r="AO277" s="62">
        <f>IF(OR(AG277="",INDEX(p_rates,5)=""),0,IF(AG277="Facture",SUMIFS(fl_ht,fl_doc,A277,fl_rate,INDEX(p_rates,5)),SUMIFS(dl_ht,dl_doc,F277,dl_rate,INDEX(p_rates,5))))</f>
        <v>0.0</v>
      </c>
      <c r="AP277" s="62">
        <f>IF(OR(AG277="",INDEX(p_rates,6)=""),0,IF(AG277="Facture",SUMIFS(fl_ht,fl_doc,A277,fl_rate,INDEX(p_rates,6)),SUMIFS(dl_ht,dl_doc,F277,dl_rate,INDEX(p_rates,6))))</f>
        <v>0.0</v>
      </c>
      <c r="AQ277" s="62">
        <f>ROUND(AK277*N(INDEX(p_rates,1)),2)+ROUND(AL277*N(INDEX(p_rates,2)),2)+ROUND(AM277*N(INDEX(p_rates,3)),2)+ROUND(AN277*N(INDEX(p_rates,4)),2)+ROUND(AO277*N(INDEX(p_rates,5)),2)+ROUND(AP277*N(INDEX(p_rates,6)),2)</f>
        <v>0.0</v>
      </c>
      <c r="AR277" s="62" t="str">
        <f>IF(OR(L277="",AA277&lt;&gt;"Facture"),"",IFERROR(IF(INDEX(fa_type,MATCH(L277,fa_num,0))="Facture d'acompte",MATCH(L277,fa_num,0),""),""))</f>
        <v/>
      </c>
      <c r="AS277" s="62" t="str">
        <f>IF(W277="","",IF(W277&lt;=0,"",IF(p_asof-P277&lt;=0,"Non échu",IF(p_asof-P277&lt;=30,"1-30 j",IF(p_asof-P277&lt;=60,"31-60 j",IF(p_asof-P277&lt;=90,"61-90 j","Plus de 90 j"))))))</f>
        <v/>
      </c>
      <c r="AT277" s="62" t="str">
        <f>IF(AS277="","",p_asof-P277)</f>
        <v/>
      </c>
      <c r="AU277" s="62" t="str">
        <f>IF(AT277="","",COUNTIF($AT$6:$AT$805,"&gt;"&amp;AT277)+COUNTIF($AT$6:AT277,AT277))</f>
        <v/>
      </c>
    </row>
    <row r="278">
      <c r="A278" s="59" t="str">
        <f>IF(AE278="","",AB278&amp;"-"&amp;AD278&amp;"-"&amp;RIGHT("000"&amp;AE278,4))</f>
        <v/>
      </c>
      <c r="B278" s="60" t="n"/>
      <c r="C278" s="61" t="n"/>
      <c r="D278" s="60" t="n"/>
      <c r="E278" s="62" t="str">
        <f>IF(D278="","",IFERROR(INDEX(cli_name,MATCH(D278,cli_code,0))&amp;"","Client inconnu"))</f>
        <v/>
      </c>
      <c r="F278" s="60" t="n"/>
      <c r="G278" s="63" t="n"/>
      <c r="H278" s="61" t="n"/>
      <c r="I278" s="63" t="n"/>
      <c r="J278" s="60" t="n"/>
      <c r="K278" s="61" t="n"/>
      <c r="L278" s="60" t="n"/>
      <c r="M278" s="60" t="n"/>
      <c r="N278" s="60" t="n"/>
      <c r="O278" s="61" t="n"/>
      <c r="P278" s="64" t="str">
        <f>IF(A278="","",IF(AA278="Avoir",AC278,IF(ISNUMBER(K278),K278,AC278+IF(D278="",N(p_delay),IFERROR(IF(ISNUMBER(INDEX(cli_delay,MATCH(D278,cli_code,0))),INDEX(cli_delay,MATCH(D278,cli_code,0)),N(p_delay)),N(p_delay))))))</f>
        <v/>
      </c>
      <c r="Q278" s="65" t="str">
        <f>IF(A278="","",IF(AA278="Avoir",-1,1)*ROUND(AJ278-IF(AR278="",0,INDEX(fa_htb,AR278)),2))</f>
        <v/>
      </c>
      <c r="R278" s="65" t="str">
        <f>IF(A278="","",IF(AA278="Avoir",-1,1)*ROUND(AQ278-IF(AR278="",0,INDEX(fa_tvab,AR278)),2))</f>
        <v/>
      </c>
      <c r="S278" s="65" t="str">
        <f>IF(A278="","",Q278+R278)</f>
        <v/>
      </c>
      <c r="T278" s="65" t="str">
        <f>IF(AR278="","",INDEX(fa_htb,AR278)+INDEX(fa_tvab,AR278))</f>
        <v/>
      </c>
      <c r="U278" s="65" t="str">
        <f>IF(A278="","",SUMIF(pa_inv,A278,pa_amt))</f>
        <v/>
      </c>
      <c r="V278" s="65" t="str">
        <f>IF(OR(A278="",AA278="Avoir"),"",-SUMIFS(fa_ttc,fa_avof,A278,fa_type,"Avoir"))</f>
        <v/>
      </c>
      <c r="W278" s="65" t="str">
        <f>IF(OR(A278="",AA278="Avoir"),"",ROUND(S278-U278-V278,2))</f>
        <v/>
      </c>
      <c r="X278" s="66" t="str">
        <f>IF(W278="","",IF(AND(W278&gt;0,p_asof&gt;P278),p_asof-P278,""))</f>
        <v/>
      </c>
      <c r="Y278" s="59" t="str">
        <f>IF(A278="","",IF(AA278="Avoir","Avoir",IF(W278&lt;0,"Trop-perçu",IF(W278=0,"Soldée",IF(p_asof&gt;P278,"En retard",IF(U278+V278&gt;0,"Partielle","À échoir"))))))</f>
        <v/>
      </c>
      <c r="Z278" s="59" t="str">
        <f>IF(NOT(COUNTA(B278:D278,F278:O278)&gt;0),"",IF(C278="","Date manquante",IF(NOT(ISNUMBER(C278)),"Date invalide",IF(D278="","Client manquant",IF(ISNA(MATCH(D278,cli_code,0)),"Client inconnu",IF(AC278&lt;SUMPRODUCT(MAX(($AB$6:AB277=AB278)*$AC$6:AC277)),"Date antérieure à la facture précédente",IF(AND(F278&lt;&gt;"",ISNA(MATCH(F278,dv_num,0))),"Devis inconnu",IF(AND(F278&lt;&gt;"",IFERROR(INDEX(dv_client,MATCH(F278,dv_num,0)),D278)&lt;&gt;D278),"Client différent de celui du devis",IF(AG278="","Aucune ligne : saisissez des lignes ou un devis",IF(AND(AI278&lt;&gt;"",COUNTIF($AI$6:AI278,AI278)&gt;1),"Devis déjà repris par une autre facture",IF(AND(AA278="Avoir",M278=""),"Avoir : indiquez la facture d'origine",IF(AND(AA278="Avoir",ISNA(MATCH(M278,fa_num,0))),"Facture d'origine inconnue",IF(AND(AA278&lt;&gt;"Avoir",M278&lt;&gt;""),"« Avoir sur facture » : réservé aux avoirs",IF(AND(L278&lt;&gt;"",AA278&lt;&gt;"Facture"),"Acompte à déduire : réservé aux factures",IF(AND(L278&lt;&gt;"",ISNA(MATCH(L278,fa_num,0))),"Facture d'acompte inconnue",IF(AND(L278&lt;&gt;"",IFERROR(INDEX(fa_type,MATCH(L278,fa_num,0)),"")&lt;&gt;"Facture d'acompte"),"Le n° à déduire n'est pas une facture d'acompte",IF(AND(L278&lt;&gt;"",COUNTIF($L$6:L278,L278)&gt;1),"Acompte déjà déduit sur une autre facture",IF(AND(L278&lt;&gt;"",IFERROR(INDEX(fa_client,MATCH(L278,fa_num,0)),D278)&lt;&gt;D278),"Acompte d'un autre client",IF(AND(AR278&lt;&gt;"",N(Q278)&lt;0),"Acompte supérieur au total de la facture",IF(IF(AG278="Facture",COUNTIFS(fl_doc,A278,fl_check,"&lt;&gt;OK"),IF(AG278="Devis",COUNTIFS(dl_doc,F278,dl_check,"&lt;&gt;OK"),0))&gt;0,"Ligne(s) à corriger",IF(AND(W278&lt;&gt;"",N(W278)&lt;0),"Trop-perçu : vérifiez paiements et avoirs","OK")))))))))))))))))))))</f>
        <v/>
      </c>
      <c r="AA278" s="62" t="str">
        <f>IF(COUNTA(B278:D278,F278:O278)&gt;0,IF(B278="","Facture",B278),"")</f>
        <v/>
      </c>
      <c r="AB278" s="62" t="str">
        <f>IF(AA278="","",IF(AA278="Avoir",p_pav,IF(AA278="Facture d'acompte",p_pac,p_pfa)))</f>
        <v/>
      </c>
      <c r="AC278" s="62">
        <f>IF(ISNUMBER(C278),C278,0)</f>
        <v>0.0</v>
      </c>
      <c r="AD278" s="62" t="str">
        <f>IF(OR(AA278="",AC278=0),"",YEAR(AC278))</f>
        <v/>
      </c>
      <c r="AE278" s="62" t="str">
        <f>IF(AD278="","",COUNTIFS($AB$6:AB278,AB278,$AD$6:AD278,AD278))</f>
        <v/>
      </c>
      <c r="AF278" s="62">
        <f>IF(A278="",0,COUNTIF(fl_doc,A278))</f>
        <v>0.0</v>
      </c>
      <c r="AG278" s="62" t="str">
        <f>IF(A278="","",IF(AF278&gt;0,"Facture",IF(AND(F278&lt;&gt;"",AA278="Facture",ISNUMBER(MATCH(F278,dv_num,0))),"Devis","")))</f>
        <v/>
      </c>
      <c r="AH278" s="62" t="str">
        <f>IF(AND(A278&lt;&gt;"",F278&lt;&gt;"",AA278&lt;&gt;"Avoir"),F278,"")</f>
        <v/>
      </c>
      <c r="AI278" s="62" t="str">
        <f>IF(AG278="Devis",F278,"")</f>
        <v/>
      </c>
      <c r="AJ278" s="62">
        <f>IF(AG278="Facture",SUMIF(fl_doc,A278,fl_ht),IF(AG278="Devis",SUMIF(dl_doc,F278,dl_ht),0))</f>
        <v>0.0</v>
      </c>
      <c r="AK278" s="62">
        <f>IF(OR(AG278="",INDEX(p_rates,1)=""),0,IF(AG278="Facture",SUMIFS(fl_ht,fl_doc,A278,fl_rate,INDEX(p_rates,1)),SUMIFS(dl_ht,dl_doc,F278,dl_rate,INDEX(p_rates,1))))</f>
        <v>0.0</v>
      </c>
      <c r="AL278" s="62">
        <f>IF(OR(AG278="",INDEX(p_rates,2)=""),0,IF(AG278="Facture",SUMIFS(fl_ht,fl_doc,A278,fl_rate,INDEX(p_rates,2)),SUMIFS(dl_ht,dl_doc,F278,dl_rate,INDEX(p_rates,2))))</f>
        <v>0.0</v>
      </c>
      <c r="AM278" s="62">
        <f>IF(OR(AG278="",INDEX(p_rates,3)=""),0,IF(AG278="Facture",SUMIFS(fl_ht,fl_doc,A278,fl_rate,INDEX(p_rates,3)),SUMIFS(dl_ht,dl_doc,F278,dl_rate,INDEX(p_rates,3))))</f>
        <v>0.0</v>
      </c>
      <c r="AN278" s="62">
        <f>IF(OR(AG278="",INDEX(p_rates,4)=""),0,IF(AG278="Facture",SUMIFS(fl_ht,fl_doc,A278,fl_rate,INDEX(p_rates,4)),SUMIFS(dl_ht,dl_doc,F278,dl_rate,INDEX(p_rates,4))))</f>
        <v>0.0</v>
      </c>
      <c r="AO278" s="62">
        <f>IF(OR(AG278="",INDEX(p_rates,5)=""),0,IF(AG278="Facture",SUMIFS(fl_ht,fl_doc,A278,fl_rate,INDEX(p_rates,5)),SUMIFS(dl_ht,dl_doc,F278,dl_rate,INDEX(p_rates,5))))</f>
        <v>0.0</v>
      </c>
      <c r="AP278" s="62">
        <f>IF(OR(AG278="",INDEX(p_rates,6)=""),0,IF(AG278="Facture",SUMIFS(fl_ht,fl_doc,A278,fl_rate,INDEX(p_rates,6)),SUMIFS(dl_ht,dl_doc,F278,dl_rate,INDEX(p_rates,6))))</f>
        <v>0.0</v>
      </c>
      <c r="AQ278" s="62">
        <f>ROUND(AK278*N(INDEX(p_rates,1)),2)+ROUND(AL278*N(INDEX(p_rates,2)),2)+ROUND(AM278*N(INDEX(p_rates,3)),2)+ROUND(AN278*N(INDEX(p_rates,4)),2)+ROUND(AO278*N(INDEX(p_rates,5)),2)+ROUND(AP278*N(INDEX(p_rates,6)),2)</f>
        <v>0.0</v>
      </c>
      <c r="AR278" s="62" t="str">
        <f>IF(OR(L278="",AA278&lt;&gt;"Facture"),"",IFERROR(IF(INDEX(fa_type,MATCH(L278,fa_num,0))="Facture d'acompte",MATCH(L278,fa_num,0),""),""))</f>
        <v/>
      </c>
      <c r="AS278" s="62" t="str">
        <f>IF(W278="","",IF(W278&lt;=0,"",IF(p_asof-P278&lt;=0,"Non échu",IF(p_asof-P278&lt;=30,"1-30 j",IF(p_asof-P278&lt;=60,"31-60 j",IF(p_asof-P278&lt;=90,"61-90 j","Plus de 90 j"))))))</f>
        <v/>
      </c>
      <c r="AT278" s="62" t="str">
        <f>IF(AS278="","",p_asof-P278)</f>
        <v/>
      </c>
      <c r="AU278" s="62" t="str">
        <f>IF(AT278="","",COUNTIF($AT$6:$AT$805,"&gt;"&amp;AT278)+COUNTIF($AT$6:AT278,AT278))</f>
        <v/>
      </c>
    </row>
    <row r="279">
      <c r="A279" s="59" t="str">
        <f>IF(AE279="","",AB279&amp;"-"&amp;AD279&amp;"-"&amp;RIGHT("000"&amp;AE279,4))</f>
        <v/>
      </c>
      <c r="B279" s="60" t="n"/>
      <c r="C279" s="61" t="n"/>
      <c r="D279" s="60" t="n"/>
      <c r="E279" s="62" t="str">
        <f>IF(D279="","",IFERROR(INDEX(cli_name,MATCH(D279,cli_code,0))&amp;"","Client inconnu"))</f>
        <v/>
      </c>
      <c r="F279" s="60" t="n"/>
      <c r="G279" s="63" t="n"/>
      <c r="H279" s="61" t="n"/>
      <c r="I279" s="63" t="n"/>
      <c r="J279" s="60" t="n"/>
      <c r="K279" s="61" t="n"/>
      <c r="L279" s="60" t="n"/>
      <c r="M279" s="60" t="n"/>
      <c r="N279" s="60" t="n"/>
      <c r="O279" s="61" t="n"/>
      <c r="P279" s="64" t="str">
        <f>IF(A279="","",IF(AA279="Avoir",AC279,IF(ISNUMBER(K279),K279,AC279+IF(D279="",N(p_delay),IFERROR(IF(ISNUMBER(INDEX(cli_delay,MATCH(D279,cli_code,0))),INDEX(cli_delay,MATCH(D279,cli_code,0)),N(p_delay)),N(p_delay))))))</f>
        <v/>
      </c>
      <c r="Q279" s="65" t="str">
        <f>IF(A279="","",IF(AA279="Avoir",-1,1)*ROUND(AJ279-IF(AR279="",0,INDEX(fa_htb,AR279)),2))</f>
        <v/>
      </c>
      <c r="R279" s="65" t="str">
        <f>IF(A279="","",IF(AA279="Avoir",-1,1)*ROUND(AQ279-IF(AR279="",0,INDEX(fa_tvab,AR279)),2))</f>
        <v/>
      </c>
      <c r="S279" s="65" t="str">
        <f>IF(A279="","",Q279+R279)</f>
        <v/>
      </c>
      <c r="T279" s="65" t="str">
        <f>IF(AR279="","",INDEX(fa_htb,AR279)+INDEX(fa_tvab,AR279))</f>
        <v/>
      </c>
      <c r="U279" s="65" t="str">
        <f>IF(A279="","",SUMIF(pa_inv,A279,pa_amt))</f>
        <v/>
      </c>
      <c r="V279" s="65" t="str">
        <f>IF(OR(A279="",AA279="Avoir"),"",-SUMIFS(fa_ttc,fa_avof,A279,fa_type,"Avoir"))</f>
        <v/>
      </c>
      <c r="W279" s="65" t="str">
        <f>IF(OR(A279="",AA279="Avoir"),"",ROUND(S279-U279-V279,2))</f>
        <v/>
      </c>
      <c r="X279" s="66" t="str">
        <f>IF(W279="","",IF(AND(W279&gt;0,p_asof&gt;P279),p_asof-P279,""))</f>
        <v/>
      </c>
      <c r="Y279" s="59" t="str">
        <f>IF(A279="","",IF(AA279="Avoir","Avoir",IF(W279&lt;0,"Trop-perçu",IF(W279=0,"Soldée",IF(p_asof&gt;P279,"En retard",IF(U279+V279&gt;0,"Partielle","À échoir"))))))</f>
        <v/>
      </c>
      <c r="Z279" s="59" t="str">
        <f>IF(NOT(COUNTA(B279:D279,F279:O279)&gt;0),"",IF(C279="","Date manquante",IF(NOT(ISNUMBER(C279)),"Date invalide",IF(D279="","Client manquant",IF(ISNA(MATCH(D279,cli_code,0)),"Client inconnu",IF(AC279&lt;SUMPRODUCT(MAX(($AB$6:AB278=AB279)*$AC$6:AC278)),"Date antérieure à la facture précédente",IF(AND(F279&lt;&gt;"",ISNA(MATCH(F279,dv_num,0))),"Devis inconnu",IF(AND(F279&lt;&gt;"",IFERROR(INDEX(dv_client,MATCH(F279,dv_num,0)),D279)&lt;&gt;D279),"Client différent de celui du devis",IF(AG279="","Aucune ligne : saisissez des lignes ou un devis",IF(AND(AI279&lt;&gt;"",COUNTIF($AI$6:AI279,AI279)&gt;1),"Devis déjà repris par une autre facture",IF(AND(AA279="Avoir",M279=""),"Avoir : indiquez la facture d'origine",IF(AND(AA279="Avoir",ISNA(MATCH(M279,fa_num,0))),"Facture d'origine inconnue",IF(AND(AA279&lt;&gt;"Avoir",M279&lt;&gt;""),"« Avoir sur facture » : réservé aux avoirs",IF(AND(L279&lt;&gt;"",AA279&lt;&gt;"Facture"),"Acompte à déduire : réservé aux factures",IF(AND(L279&lt;&gt;"",ISNA(MATCH(L279,fa_num,0))),"Facture d'acompte inconnue",IF(AND(L279&lt;&gt;"",IFERROR(INDEX(fa_type,MATCH(L279,fa_num,0)),"")&lt;&gt;"Facture d'acompte"),"Le n° à déduire n'est pas une facture d'acompte",IF(AND(L279&lt;&gt;"",COUNTIF($L$6:L279,L279)&gt;1),"Acompte déjà déduit sur une autre facture",IF(AND(L279&lt;&gt;"",IFERROR(INDEX(fa_client,MATCH(L279,fa_num,0)),D279)&lt;&gt;D279),"Acompte d'un autre client",IF(AND(AR279&lt;&gt;"",N(Q279)&lt;0),"Acompte supérieur au total de la facture",IF(IF(AG279="Facture",COUNTIFS(fl_doc,A279,fl_check,"&lt;&gt;OK"),IF(AG279="Devis",COUNTIFS(dl_doc,F279,dl_check,"&lt;&gt;OK"),0))&gt;0,"Ligne(s) à corriger",IF(AND(W279&lt;&gt;"",N(W279)&lt;0),"Trop-perçu : vérifiez paiements et avoirs","OK")))))))))))))))))))))</f>
        <v/>
      </c>
      <c r="AA279" s="62" t="str">
        <f>IF(COUNTA(B279:D279,F279:O279)&gt;0,IF(B279="","Facture",B279),"")</f>
        <v/>
      </c>
      <c r="AB279" s="62" t="str">
        <f>IF(AA279="","",IF(AA279="Avoir",p_pav,IF(AA279="Facture d'acompte",p_pac,p_pfa)))</f>
        <v/>
      </c>
      <c r="AC279" s="62">
        <f>IF(ISNUMBER(C279),C279,0)</f>
        <v>0.0</v>
      </c>
      <c r="AD279" s="62" t="str">
        <f>IF(OR(AA279="",AC279=0),"",YEAR(AC279))</f>
        <v/>
      </c>
      <c r="AE279" s="62" t="str">
        <f>IF(AD279="","",COUNTIFS($AB$6:AB279,AB279,$AD$6:AD279,AD279))</f>
        <v/>
      </c>
      <c r="AF279" s="62">
        <f>IF(A279="",0,COUNTIF(fl_doc,A279))</f>
        <v>0.0</v>
      </c>
      <c r="AG279" s="62" t="str">
        <f>IF(A279="","",IF(AF279&gt;0,"Facture",IF(AND(F279&lt;&gt;"",AA279="Facture",ISNUMBER(MATCH(F279,dv_num,0))),"Devis","")))</f>
        <v/>
      </c>
      <c r="AH279" s="62" t="str">
        <f>IF(AND(A279&lt;&gt;"",F279&lt;&gt;"",AA279&lt;&gt;"Avoir"),F279,"")</f>
        <v/>
      </c>
      <c r="AI279" s="62" t="str">
        <f>IF(AG279="Devis",F279,"")</f>
        <v/>
      </c>
      <c r="AJ279" s="62">
        <f>IF(AG279="Facture",SUMIF(fl_doc,A279,fl_ht),IF(AG279="Devis",SUMIF(dl_doc,F279,dl_ht),0))</f>
        <v>0.0</v>
      </c>
      <c r="AK279" s="62">
        <f>IF(OR(AG279="",INDEX(p_rates,1)=""),0,IF(AG279="Facture",SUMIFS(fl_ht,fl_doc,A279,fl_rate,INDEX(p_rates,1)),SUMIFS(dl_ht,dl_doc,F279,dl_rate,INDEX(p_rates,1))))</f>
        <v>0.0</v>
      </c>
      <c r="AL279" s="62">
        <f>IF(OR(AG279="",INDEX(p_rates,2)=""),0,IF(AG279="Facture",SUMIFS(fl_ht,fl_doc,A279,fl_rate,INDEX(p_rates,2)),SUMIFS(dl_ht,dl_doc,F279,dl_rate,INDEX(p_rates,2))))</f>
        <v>0.0</v>
      </c>
      <c r="AM279" s="62">
        <f>IF(OR(AG279="",INDEX(p_rates,3)=""),0,IF(AG279="Facture",SUMIFS(fl_ht,fl_doc,A279,fl_rate,INDEX(p_rates,3)),SUMIFS(dl_ht,dl_doc,F279,dl_rate,INDEX(p_rates,3))))</f>
        <v>0.0</v>
      </c>
      <c r="AN279" s="62">
        <f>IF(OR(AG279="",INDEX(p_rates,4)=""),0,IF(AG279="Facture",SUMIFS(fl_ht,fl_doc,A279,fl_rate,INDEX(p_rates,4)),SUMIFS(dl_ht,dl_doc,F279,dl_rate,INDEX(p_rates,4))))</f>
        <v>0.0</v>
      </c>
      <c r="AO279" s="62">
        <f>IF(OR(AG279="",INDEX(p_rates,5)=""),0,IF(AG279="Facture",SUMIFS(fl_ht,fl_doc,A279,fl_rate,INDEX(p_rates,5)),SUMIFS(dl_ht,dl_doc,F279,dl_rate,INDEX(p_rates,5))))</f>
        <v>0.0</v>
      </c>
      <c r="AP279" s="62">
        <f>IF(OR(AG279="",INDEX(p_rates,6)=""),0,IF(AG279="Facture",SUMIFS(fl_ht,fl_doc,A279,fl_rate,INDEX(p_rates,6)),SUMIFS(dl_ht,dl_doc,F279,dl_rate,INDEX(p_rates,6))))</f>
        <v>0.0</v>
      </c>
      <c r="AQ279" s="62">
        <f>ROUND(AK279*N(INDEX(p_rates,1)),2)+ROUND(AL279*N(INDEX(p_rates,2)),2)+ROUND(AM279*N(INDEX(p_rates,3)),2)+ROUND(AN279*N(INDEX(p_rates,4)),2)+ROUND(AO279*N(INDEX(p_rates,5)),2)+ROUND(AP279*N(INDEX(p_rates,6)),2)</f>
        <v>0.0</v>
      </c>
      <c r="AR279" s="62" t="str">
        <f>IF(OR(L279="",AA279&lt;&gt;"Facture"),"",IFERROR(IF(INDEX(fa_type,MATCH(L279,fa_num,0))="Facture d'acompte",MATCH(L279,fa_num,0),""),""))</f>
        <v/>
      </c>
      <c r="AS279" s="62" t="str">
        <f>IF(W279="","",IF(W279&lt;=0,"",IF(p_asof-P279&lt;=0,"Non échu",IF(p_asof-P279&lt;=30,"1-30 j",IF(p_asof-P279&lt;=60,"31-60 j",IF(p_asof-P279&lt;=90,"61-90 j","Plus de 90 j"))))))</f>
        <v/>
      </c>
      <c r="AT279" s="62" t="str">
        <f>IF(AS279="","",p_asof-P279)</f>
        <v/>
      </c>
      <c r="AU279" s="62" t="str">
        <f>IF(AT279="","",COUNTIF($AT$6:$AT$805,"&gt;"&amp;AT279)+COUNTIF($AT$6:AT279,AT279))</f>
        <v/>
      </c>
    </row>
    <row r="280">
      <c r="A280" s="59" t="str">
        <f>IF(AE280="","",AB280&amp;"-"&amp;AD280&amp;"-"&amp;RIGHT("000"&amp;AE280,4))</f>
        <v/>
      </c>
      <c r="B280" s="60" t="n"/>
      <c r="C280" s="61" t="n"/>
      <c r="D280" s="60" t="n"/>
      <c r="E280" s="62" t="str">
        <f>IF(D280="","",IFERROR(INDEX(cli_name,MATCH(D280,cli_code,0))&amp;"","Client inconnu"))</f>
        <v/>
      </c>
      <c r="F280" s="60" t="n"/>
      <c r="G280" s="63" t="n"/>
      <c r="H280" s="61" t="n"/>
      <c r="I280" s="63" t="n"/>
      <c r="J280" s="60" t="n"/>
      <c r="K280" s="61" t="n"/>
      <c r="L280" s="60" t="n"/>
      <c r="M280" s="60" t="n"/>
      <c r="N280" s="60" t="n"/>
      <c r="O280" s="61" t="n"/>
      <c r="P280" s="64" t="str">
        <f>IF(A280="","",IF(AA280="Avoir",AC280,IF(ISNUMBER(K280),K280,AC280+IF(D280="",N(p_delay),IFERROR(IF(ISNUMBER(INDEX(cli_delay,MATCH(D280,cli_code,0))),INDEX(cli_delay,MATCH(D280,cli_code,0)),N(p_delay)),N(p_delay))))))</f>
        <v/>
      </c>
      <c r="Q280" s="65" t="str">
        <f>IF(A280="","",IF(AA280="Avoir",-1,1)*ROUND(AJ280-IF(AR280="",0,INDEX(fa_htb,AR280)),2))</f>
        <v/>
      </c>
      <c r="R280" s="65" t="str">
        <f>IF(A280="","",IF(AA280="Avoir",-1,1)*ROUND(AQ280-IF(AR280="",0,INDEX(fa_tvab,AR280)),2))</f>
        <v/>
      </c>
      <c r="S280" s="65" t="str">
        <f>IF(A280="","",Q280+R280)</f>
        <v/>
      </c>
      <c r="T280" s="65" t="str">
        <f>IF(AR280="","",INDEX(fa_htb,AR280)+INDEX(fa_tvab,AR280))</f>
        <v/>
      </c>
      <c r="U280" s="65" t="str">
        <f>IF(A280="","",SUMIF(pa_inv,A280,pa_amt))</f>
        <v/>
      </c>
      <c r="V280" s="65" t="str">
        <f>IF(OR(A280="",AA280="Avoir"),"",-SUMIFS(fa_ttc,fa_avof,A280,fa_type,"Avoir"))</f>
        <v/>
      </c>
      <c r="W280" s="65" t="str">
        <f>IF(OR(A280="",AA280="Avoir"),"",ROUND(S280-U280-V280,2))</f>
        <v/>
      </c>
      <c r="X280" s="66" t="str">
        <f>IF(W280="","",IF(AND(W280&gt;0,p_asof&gt;P280),p_asof-P280,""))</f>
        <v/>
      </c>
      <c r="Y280" s="59" t="str">
        <f>IF(A280="","",IF(AA280="Avoir","Avoir",IF(W280&lt;0,"Trop-perçu",IF(W280=0,"Soldée",IF(p_asof&gt;P280,"En retard",IF(U280+V280&gt;0,"Partielle","À échoir"))))))</f>
        <v/>
      </c>
      <c r="Z280" s="59" t="str">
        <f>IF(NOT(COUNTA(B280:D280,F280:O280)&gt;0),"",IF(C280="","Date manquante",IF(NOT(ISNUMBER(C280)),"Date invalide",IF(D280="","Client manquant",IF(ISNA(MATCH(D280,cli_code,0)),"Client inconnu",IF(AC280&lt;SUMPRODUCT(MAX(($AB$6:AB279=AB280)*$AC$6:AC279)),"Date antérieure à la facture précédente",IF(AND(F280&lt;&gt;"",ISNA(MATCH(F280,dv_num,0))),"Devis inconnu",IF(AND(F280&lt;&gt;"",IFERROR(INDEX(dv_client,MATCH(F280,dv_num,0)),D280)&lt;&gt;D280),"Client différent de celui du devis",IF(AG280="","Aucune ligne : saisissez des lignes ou un devis",IF(AND(AI280&lt;&gt;"",COUNTIF($AI$6:AI280,AI280)&gt;1),"Devis déjà repris par une autre facture",IF(AND(AA280="Avoir",M280=""),"Avoir : indiquez la facture d'origine",IF(AND(AA280="Avoir",ISNA(MATCH(M280,fa_num,0))),"Facture d'origine inconnue",IF(AND(AA280&lt;&gt;"Avoir",M280&lt;&gt;""),"« Avoir sur facture » : réservé aux avoirs",IF(AND(L280&lt;&gt;"",AA280&lt;&gt;"Facture"),"Acompte à déduire : réservé aux factures",IF(AND(L280&lt;&gt;"",ISNA(MATCH(L280,fa_num,0))),"Facture d'acompte inconnue",IF(AND(L280&lt;&gt;"",IFERROR(INDEX(fa_type,MATCH(L280,fa_num,0)),"")&lt;&gt;"Facture d'acompte"),"Le n° à déduire n'est pas une facture d'acompte",IF(AND(L280&lt;&gt;"",COUNTIF($L$6:L280,L280)&gt;1),"Acompte déjà déduit sur une autre facture",IF(AND(L280&lt;&gt;"",IFERROR(INDEX(fa_client,MATCH(L280,fa_num,0)),D280)&lt;&gt;D280),"Acompte d'un autre client",IF(AND(AR280&lt;&gt;"",N(Q280)&lt;0),"Acompte supérieur au total de la facture",IF(IF(AG280="Facture",COUNTIFS(fl_doc,A280,fl_check,"&lt;&gt;OK"),IF(AG280="Devis",COUNTIFS(dl_doc,F280,dl_check,"&lt;&gt;OK"),0))&gt;0,"Ligne(s) à corriger",IF(AND(W280&lt;&gt;"",N(W280)&lt;0),"Trop-perçu : vérifiez paiements et avoirs","OK")))))))))))))))))))))</f>
        <v/>
      </c>
      <c r="AA280" s="62" t="str">
        <f>IF(COUNTA(B280:D280,F280:O280)&gt;0,IF(B280="","Facture",B280),"")</f>
        <v/>
      </c>
      <c r="AB280" s="62" t="str">
        <f>IF(AA280="","",IF(AA280="Avoir",p_pav,IF(AA280="Facture d'acompte",p_pac,p_pfa)))</f>
        <v/>
      </c>
      <c r="AC280" s="62">
        <f>IF(ISNUMBER(C280),C280,0)</f>
        <v>0.0</v>
      </c>
      <c r="AD280" s="62" t="str">
        <f>IF(OR(AA280="",AC280=0),"",YEAR(AC280))</f>
        <v/>
      </c>
      <c r="AE280" s="62" t="str">
        <f>IF(AD280="","",COUNTIFS($AB$6:AB280,AB280,$AD$6:AD280,AD280))</f>
        <v/>
      </c>
      <c r="AF280" s="62">
        <f>IF(A280="",0,COUNTIF(fl_doc,A280))</f>
        <v>0.0</v>
      </c>
      <c r="AG280" s="62" t="str">
        <f>IF(A280="","",IF(AF280&gt;0,"Facture",IF(AND(F280&lt;&gt;"",AA280="Facture",ISNUMBER(MATCH(F280,dv_num,0))),"Devis","")))</f>
        <v/>
      </c>
      <c r="AH280" s="62" t="str">
        <f>IF(AND(A280&lt;&gt;"",F280&lt;&gt;"",AA280&lt;&gt;"Avoir"),F280,"")</f>
        <v/>
      </c>
      <c r="AI280" s="62" t="str">
        <f>IF(AG280="Devis",F280,"")</f>
        <v/>
      </c>
      <c r="AJ280" s="62">
        <f>IF(AG280="Facture",SUMIF(fl_doc,A280,fl_ht),IF(AG280="Devis",SUMIF(dl_doc,F280,dl_ht),0))</f>
        <v>0.0</v>
      </c>
      <c r="AK280" s="62">
        <f>IF(OR(AG280="",INDEX(p_rates,1)=""),0,IF(AG280="Facture",SUMIFS(fl_ht,fl_doc,A280,fl_rate,INDEX(p_rates,1)),SUMIFS(dl_ht,dl_doc,F280,dl_rate,INDEX(p_rates,1))))</f>
        <v>0.0</v>
      </c>
      <c r="AL280" s="62">
        <f>IF(OR(AG280="",INDEX(p_rates,2)=""),0,IF(AG280="Facture",SUMIFS(fl_ht,fl_doc,A280,fl_rate,INDEX(p_rates,2)),SUMIFS(dl_ht,dl_doc,F280,dl_rate,INDEX(p_rates,2))))</f>
        <v>0.0</v>
      </c>
      <c r="AM280" s="62">
        <f>IF(OR(AG280="",INDEX(p_rates,3)=""),0,IF(AG280="Facture",SUMIFS(fl_ht,fl_doc,A280,fl_rate,INDEX(p_rates,3)),SUMIFS(dl_ht,dl_doc,F280,dl_rate,INDEX(p_rates,3))))</f>
        <v>0.0</v>
      </c>
      <c r="AN280" s="62">
        <f>IF(OR(AG280="",INDEX(p_rates,4)=""),0,IF(AG280="Facture",SUMIFS(fl_ht,fl_doc,A280,fl_rate,INDEX(p_rates,4)),SUMIFS(dl_ht,dl_doc,F280,dl_rate,INDEX(p_rates,4))))</f>
        <v>0.0</v>
      </c>
      <c r="AO280" s="62">
        <f>IF(OR(AG280="",INDEX(p_rates,5)=""),0,IF(AG280="Facture",SUMIFS(fl_ht,fl_doc,A280,fl_rate,INDEX(p_rates,5)),SUMIFS(dl_ht,dl_doc,F280,dl_rate,INDEX(p_rates,5))))</f>
        <v>0.0</v>
      </c>
      <c r="AP280" s="62">
        <f>IF(OR(AG280="",INDEX(p_rates,6)=""),0,IF(AG280="Facture",SUMIFS(fl_ht,fl_doc,A280,fl_rate,INDEX(p_rates,6)),SUMIFS(dl_ht,dl_doc,F280,dl_rate,INDEX(p_rates,6))))</f>
        <v>0.0</v>
      </c>
      <c r="AQ280" s="62">
        <f>ROUND(AK280*N(INDEX(p_rates,1)),2)+ROUND(AL280*N(INDEX(p_rates,2)),2)+ROUND(AM280*N(INDEX(p_rates,3)),2)+ROUND(AN280*N(INDEX(p_rates,4)),2)+ROUND(AO280*N(INDEX(p_rates,5)),2)+ROUND(AP280*N(INDEX(p_rates,6)),2)</f>
        <v>0.0</v>
      </c>
      <c r="AR280" s="62" t="str">
        <f>IF(OR(L280="",AA280&lt;&gt;"Facture"),"",IFERROR(IF(INDEX(fa_type,MATCH(L280,fa_num,0))="Facture d'acompte",MATCH(L280,fa_num,0),""),""))</f>
        <v/>
      </c>
      <c r="AS280" s="62" t="str">
        <f>IF(W280="","",IF(W280&lt;=0,"",IF(p_asof-P280&lt;=0,"Non échu",IF(p_asof-P280&lt;=30,"1-30 j",IF(p_asof-P280&lt;=60,"31-60 j",IF(p_asof-P280&lt;=90,"61-90 j","Plus de 90 j"))))))</f>
        <v/>
      </c>
      <c r="AT280" s="62" t="str">
        <f>IF(AS280="","",p_asof-P280)</f>
        <v/>
      </c>
      <c r="AU280" s="62" t="str">
        <f>IF(AT280="","",COUNTIF($AT$6:$AT$805,"&gt;"&amp;AT280)+COUNTIF($AT$6:AT280,AT280))</f>
        <v/>
      </c>
    </row>
    <row r="281">
      <c r="A281" s="59" t="str">
        <f>IF(AE281="","",AB281&amp;"-"&amp;AD281&amp;"-"&amp;RIGHT("000"&amp;AE281,4))</f>
        <v/>
      </c>
      <c r="B281" s="60" t="n"/>
      <c r="C281" s="61" t="n"/>
      <c r="D281" s="60" t="n"/>
      <c r="E281" s="62" t="str">
        <f>IF(D281="","",IFERROR(INDEX(cli_name,MATCH(D281,cli_code,0))&amp;"","Client inconnu"))</f>
        <v/>
      </c>
      <c r="F281" s="60" t="n"/>
      <c r="G281" s="63" t="n"/>
      <c r="H281" s="61" t="n"/>
      <c r="I281" s="63" t="n"/>
      <c r="J281" s="60" t="n"/>
      <c r="K281" s="61" t="n"/>
      <c r="L281" s="60" t="n"/>
      <c r="M281" s="60" t="n"/>
      <c r="N281" s="60" t="n"/>
      <c r="O281" s="61" t="n"/>
      <c r="P281" s="64" t="str">
        <f>IF(A281="","",IF(AA281="Avoir",AC281,IF(ISNUMBER(K281),K281,AC281+IF(D281="",N(p_delay),IFERROR(IF(ISNUMBER(INDEX(cli_delay,MATCH(D281,cli_code,0))),INDEX(cli_delay,MATCH(D281,cli_code,0)),N(p_delay)),N(p_delay))))))</f>
        <v/>
      </c>
      <c r="Q281" s="65" t="str">
        <f>IF(A281="","",IF(AA281="Avoir",-1,1)*ROUND(AJ281-IF(AR281="",0,INDEX(fa_htb,AR281)),2))</f>
        <v/>
      </c>
      <c r="R281" s="65" t="str">
        <f>IF(A281="","",IF(AA281="Avoir",-1,1)*ROUND(AQ281-IF(AR281="",0,INDEX(fa_tvab,AR281)),2))</f>
        <v/>
      </c>
      <c r="S281" s="65" t="str">
        <f>IF(A281="","",Q281+R281)</f>
        <v/>
      </c>
      <c r="T281" s="65" t="str">
        <f>IF(AR281="","",INDEX(fa_htb,AR281)+INDEX(fa_tvab,AR281))</f>
        <v/>
      </c>
      <c r="U281" s="65" t="str">
        <f>IF(A281="","",SUMIF(pa_inv,A281,pa_amt))</f>
        <v/>
      </c>
      <c r="V281" s="65" t="str">
        <f>IF(OR(A281="",AA281="Avoir"),"",-SUMIFS(fa_ttc,fa_avof,A281,fa_type,"Avoir"))</f>
        <v/>
      </c>
      <c r="W281" s="65" t="str">
        <f>IF(OR(A281="",AA281="Avoir"),"",ROUND(S281-U281-V281,2))</f>
        <v/>
      </c>
      <c r="X281" s="66" t="str">
        <f>IF(W281="","",IF(AND(W281&gt;0,p_asof&gt;P281),p_asof-P281,""))</f>
        <v/>
      </c>
      <c r="Y281" s="59" t="str">
        <f>IF(A281="","",IF(AA281="Avoir","Avoir",IF(W281&lt;0,"Trop-perçu",IF(W281=0,"Soldée",IF(p_asof&gt;P281,"En retard",IF(U281+V281&gt;0,"Partielle","À échoir"))))))</f>
        <v/>
      </c>
      <c r="Z281" s="59" t="str">
        <f>IF(NOT(COUNTA(B281:D281,F281:O281)&gt;0),"",IF(C281="","Date manquante",IF(NOT(ISNUMBER(C281)),"Date invalide",IF(D281="","Client manquant",IF(ISNA(MATCH(D281,cli_code,0)),"Client inconnu",IF(AC281&lt;SUMPRODUCT(MAX(($AB$6:AB280=AB281)*$AC$6:AC280)),"Date antérieure à la facture précédente",IF(AND(F281&lt;&gt;"",ISNA(MATCH(F281,dv_num,0))),"Devis inconnu",IF(AND(F281&lt;&gt;"",IFERROR(INDEX(dv_client,MATCH(F281,dv_num,0)),D281)&lt;&gt;D281),"Client différent de celui du devis",IF(AG281="","Aucune ligne : saisissez des lignes ou un devis",IF(AND(AI281&lt;&gt;"",COUNTIF($AI$6:AI281,AI281)&gt;1),"Devis déjà repris par une autre facture",IF(AND(AA281="Avoir",M281=""),"Avoir : indiquez la facture d'origine",IF(AND(AA281="Avoir",ISNA(MATCH(M281,fa_num,0))),"Facture d'origine inconnue",IF(AND(AA281&lt;&gt;"Avoir",M281&lt;&gt;""),"« Avoir sur facture » : réservé aux avoirs",IF(AND(L281&lt;&gt;"",AA281&lt;&gt;"Facture"),"Acompte à déduire : réservé aux factures",IF(AND(L281&lt;&gt;"",ISNA(MATCH(L281,fa_num,0))),"Facture d'acompte inconnue",IF(AND(L281&lt;&gt;"",IFERROR(INDEX(fa_type,MATCH(L281,fa_num,0)),"")&lt;&gt;"Facture d'acompte"),"Le n° à déduire n'est pas une facture d'acompte",IF(AND(L281&lt;&gt;"",COUNTIF($L$6:L281,L281)&gt;1),"Acompte déjà déduit sur une autre facture",IF(AND(L281&lt;&gt;"",IFERROR(INDEX(fa_client,MATCH(L281,fa_num,0)),D281)&lt;&gt;D281),"Acompte d'un autre client",IF(AND(AR281&lt;&gt;"",N(Q281)&lt;0),"Acompte supérieur au total de la facture",IF(IF(AG281="Facture",COUNTIFS(fl_doc,A281,fl_check,"&lt;&gt;OK"),IF(AG281="Devis",COUNTIFS(dl_doc,F281,dl_check,"&lt;&gt;OK"),0))&gt;0,"Ligne(s) à corriger",IF(AND(W281&lt;&gt;"",N(W281)&lt;0),"Trop-perçu : vérifiez paiements et avoirs","OK")))))))))))))))))))))</f>
        <v/>
      </c>
      <c r="AA281" s="62" t="str">
        <f>IF(COUNTA(B281:D281,F281:O281)&gt;0,IF(B281="","Facture",B281),"")</f>
        <v/>
      </c>
      <c r="AB281" s="62" t="str">
        <f>IF(AA281="","",IF(AA281="Avoir",p_pav,IF(AA281="Facture d'acompte",p_pac,p_pfa)))</f>
        <v/>
      </c>
      <c r="AC281" s="62">
        <f>IF(ISNUMBER(C281),C281,0)</f>
        <v>0.0</v>
      </c>
      <c r="AD281" s="62" t="str">
        <f>IF(OR(AA281="",AC281=0),"",YEAR(AC281))</f>
        <v/>
      </c>
      <c r="AE281" s="62" t="str">
        <f>IF(AD281="","",COUNTIFS($AB$6:AB281,AB281,$AD$6:AD281,AD281))</f>
        <v/>
      </c>
      <c r="AF281" s="62">
        <f>IF(A281="",0,COUNTIF(fl_doc,A281))</f>
        <v>0.0</v>
      </c>
      <c r="AG281" s="62" t="str">
        <f>IF(A281="","",IF(AF281&gt;0,"Facture",IF(AND(F281&lt;&gt;"",AA281="Facture",ISNUMBER(MATCH(F281,dv_num,0))),"Devis","")))</f>
        <v/>
      </c>
      <c r="AH281" s="62" t="str">
        <f>IF(AND(A281&lt;&gt;"",F281&lt;&gt;"",AA281&lt;&gt;"Avoir"),F281,"")</f>
        <v/>
      </c>
      <c r="AI281" s="62" t="str">
        <f>IF(AG281="Devis",F281,"")</f>
        <v/>
      </c>
      <c r="AJ281" s="62">
        <f>IF(AG281="Facture",SUMIF(fl_doc,A281,fl_ht),IF(AG281="Devis",SUMIF(dl_doc,F281,dl_ht),0))</f>
        <v>0.0</v>
      </c>
      <c r="AK281" s="62">
        <f>IF(OR(AG281="",INDEX(p_rates,1)=""),0,IF(AG281="Facture",SUMIFS(fl_ht,fl_doc,A281,fl_rate,INDEX(p_rates,1)),SUMIFS(dl_ht,dl_doc,F281,dl_rate,INDEX(p_rates,1))))</f>
        <v>0.0</v>
      </c>
      <c r="AL281" s="62">
        <f>IF(OR(AG281="",INDEX(p_rates,2)=""),0,IF(AG281="Facture",SUMIFS(fl_ht,fl_doc,A281,fl_rate,INDEX(p_rates,2)),SUMIFS(dl_ht,dl_doc,F281,dl_rate,INDEX(p_rates,2))))</f>
        <v>0.0</v>
      </c>
      <c r="AM281" s="62">
        <f>IF(OR(AG281="",INDEX(p_rates,3)=""),0,IF(AG281="Facture",SUMIFS(fl_ht,fl_doc,A281,fl_rate,INDEX(p_rates,3)),SUMIFS(dl_ht,dl_doc,F281,dl_rate,INDEX(p_rates,3))))</f>
        <v>0.0</v>
      </c>
      <c r="AN281" s="62">
        <f>IF(OR(AG281="",INDEX(p_rates,4)=""),0,IF(AG281="Facture",SUMIFS(fl_ht,fl_doc,A281,fl_rate,INDEX(p_rates,4)),SUMIFS(dl_ht,dl_doc,F281,dl_rate,INDEX(p_rates,4))))</f>
        <v>0.0</v>
      </c>
      <c r="AO281" s="62">
        <f>IF(OR(AG281="",INDEX(p_rates,5)=""),0,IF(AG281="Facture",SUMIFS(fl_ht,fl_doc,A281,fl_rate,INDEX(p_rates,5)),SUMIFS(dl_ht,dl_doc,F281,dl_rate,INDEX(p_rates,5))))</f>
        <v>0.0</v>
      </c>
      <c r="AP281" s="62">
        <f>IF(OR(AG281="",INDEX(p_rates,6)=""),0,IF(AG281="Facture",SUMIFS(fl_ht,fl_doc,A281,fl_rate,INDEX(p_rates,6)),SUMIFS(dl_ht,dl_doc,F281,dl_rate,INDEX(p_rates,6))))</f>
        <v>0.0</v>
      </c>
      <c r="AQ281" s="62">
        <f>ROUND(AK281*N(INDEX(p_rates,1)),2)+ROUND(AL281*N(INDEX(p_rates,2)),2)+ROUND(AM281*N(INDEX(p_rates,3)),2)+ROUND(AN281*N(INDEX(p_rates,4)),2)+ROUND(AO281*N(INDEX(p_rates,5)),2)+ROUND(AP281*N(INDEX(p_rates,6)),2)</f>
        <v>0.0</v>
      </c>
      <c r="AR281" s="62" t="str">
        <f>IF(OR(L281="",AA281&lt;&gt;"Facture"),"",IFERROR(IF(INDEX(fa_type,MATCH(L281,fa_num,0))="Facture d'acompte",MATCH(L281,fa_num,0),""),""))</f>
        <v/>
      </c>
      <c r="AS281" s="62" t="str">
        <f>IF(W281="","",IF(W281&lt;=0,"",IF(p_asof-P281&lt;=0,"Non échu",IF(p_asof-P281&lt;=30,"1-30 j",IF(p_asof-P281&lt;=60,"31-60 j",IF(p_asof-P281&lt;=90,"61-90 j","Plus de 90 j"))))))</f>
        <v/>
      </c>
      <c r="AT281" s="62" t="str">
        <f>IF(AS281="","",p_asof-P281)</f>
        <v/>
      </c>
      <c r="AU281" s="62" t="str">
        <f>IF(AT281="","",COUNTIF($AT$6:$AT$805,"&gt;"&amp;AT281)+COUNTIF($AT$6:AT281,AT281))</f>
        <v/>
      </c>
    </row>
    <row r="282">
      <c r="A282" s="59" t="str">
        <f>IF(AE282="","",AB282&amp;"-"&amp;AD282&amp;"-"&amp;RIGHT("000"&amp;AE282,4))</f>
        <v/>
      </c>
      <c r="B282" s="60" t="n"/>
      <c r="C282" s="61" t="n"/>
      <c r="D282" s="60" t="n"/>
      <c r="E282" s="62" t="str">
        <f>IF(D282="","",IFERROR(INDEX(cli_name,MATCH(D282,cli_code,0))&amp;"","Client inconnu"))</f>
        <v/>
      </c>
      <c r="F282" s="60" t="n"/>
      <c r="G282" s="63" t="n"/>
      <c r="H282" s="61" t="n"/>
      <c r="I282" s="63" t="n"/>
      <c r="J282" s="60" t="n"/>
      <c r="K282" s="61" t="n"/>
      <c r="L282" s="60" t="n"/>
      <c r="M282" s="60" t="n"/>
      <c r="N282" s="60" t="n"/>
      <c r="O282" s="61" t="n"/>
      <c r="P282" s="64" t="str">
        <f>IF(A282="","",IF(AA282="Avoir",AC282,IF(ISNUMBER(K282),K282,AC282+IF(D282="",N(p_delay),IFERROR(IF(ISNUMBER(INDEX(cli_delay,MATCH(D282,cli_code,0))),INDEX(cli_delay,MATCH(D282,cli_code,0)),N(p_delay)),N(p_delay))))))</f>
        <v/>
      </c>
      <c r="Q282" s="65" t="str">
        <f>IF(A282="","",IF(AA282="Avoir",-1,1)*ROUND(AJ282-IF(AR282="",0,INDEX(fa_htb,AR282)),2))</f>
        <v/>
      </c>
      <c r="R282" s="65" t="str">
        <f>IF(A282="","",IF(AA282="Avoir",-1,1)*ROUND(AQ282-IF(AR282="",0,INDEX(fa_tvab,AR282)),2))</f>
        <v/>
      </c>
      <c r="S282" s="65" t="str">
        <f>IF(A282="","",Q282+R282)</f>
        <v/>
      </c>
      <c r="T282" s="65" t="str">
        <f>IF(AR282="","",INDEX(fa_htb,AR282)+INDEX(fa_tvab,AR282))</f>
        <v/>
      </c>
      <c r="U282" s="65" t="str">
        <f>IF(A282="","",SUMIF(pa_inv,A282,pa_amt))</f>
        <v/>
      </c>
      <c r="V282" s="65" t="str">
        <f>IF(OR(A282="",AA282="Avoir"),"",-SUMIFS(fa_ttc,fa_avof,A282,fa_type,"Avoir"))</f>
        <v/>
      </c>
      <c r="W282" s="65" t="str">
        <f>IF(OR(A282="",AA282="Avoir"),"",ROUND(S282-U282-V282,2))</f>
        <v/>
      </c>
      <c r="X282" s="66" t="str">
        <f>IF(W282="","",IF(AND(W282&gt;0,p_asof&gt;P282),p_asof-P282,""))</f>
        <v/>
      </c>
      <c r="Y282" s="59" t="str">
        <f>IF(A282="","",IF(AA282="Avoir","Avoir",IF(W282&lt;0,"Trop-perçu",IF(W282=0,"Soldée",IF(p_asof&gt;P282,"En retard",IF(U282+V282&gt;0,"Partielle","À échoir"))))))</f>
        <v/>
      </c>
      <c r="Z282" s="59" t="str">
        <f>IF(NOT(COUNTA(B282:D282,F282:O282)&gt;0),"",IF(C282="","Date manquante",IF(NOT(ISNUMBER(C282)),"Date invalide",IF(D282="","Client manquant",IF(ISNA(MATCH(D282,cli_code,0)),"Client inconnu",IF(AC282&lt;SUMPRODUCT(MAX(($AB$6:AB281=AB282)*$AC$6:AC281)),"Date antérieure à la facture précédente",IF(AND(F282&lt;&gt;"",ISNA(MATCH(F282,dv_num,0))),"Devis inconnu",IF(AND(F282&lt;&gt;"",IFERROR(INDEX(dv_client,MATCH(F282,dv_num,0)),D282)&lt;&gt;D282),"Client différent de celui du devis",IF(AG282="","Aucune ligne : saisissez des lignes ou un devis",IF(AND(AI282&lt;&gt;"",COUNTIF($AI$6:AI282,AI282)&gt;1),"Devis déjà repris par une autre facture",IF(AND(AA282="Avoir",M282=""),"Avoir : indiquez la facture d'origine",IF(AND(AA282="Avoir",ISNA(MATCH(M282,fa_num,0))),"Facture d'origine inconnue",IF(AND(AA282&lt;&gt;"Avoir",M282&lt;&gt;""),"« Avoir sur facture » : réservé aux avoirs",IF(AND(L282&lt;&gt;"",AA282&lt;&gt;"Facture"),"Acompte à déduire : réservé aux factures",IF(AND(L282&lt;&gt;"",ISNA(MATCH(L282,fa_num,0))),"Facture d'acompte inconnue",IF(AND(L282&lt;&gt;"",IFERROR(INDEX(fa_type,MATCH(L282,fa_num,0)),"")&lt;&gt;"Facture d'acompte"),"Le n° à déduire n'est pas une facture d'acompte",IF(AND(L282&lt;&gt;"",COUNTIF($L$6:L282,L282)&gt;1),"Acompte déjà déduit sur une autre facture",IF(AND(L282&lt;&gt;"",IFERROR(INDEX(fa_client,MATCH(L282,fa_num,0)),D282)&lt;&gt;D282),"Acompte d'un autre client",IF(AND(AR282&lt;&gt;"",N(Q282)&lt;0),"Acompte supérieur au total de la facture",IF(IF(AG282="Facture",COUNTIFS(fl_doc,A282,fl_check,"&lt;&gt;OK"),IF(AG282="Devis",COUNTIFS(dl_doc,F282,dl_check,"&lt;&gt;OK"),0))&gt;0,"Ligne(s) à corriger",IF(AND(W282&lt;&gt;"",N(W282)&lt;0),"Trop-perçu : vérifiez paiements et avoirs","OK")))))))))))))))))))))</f>
        <v/>
      </c>
      <c r="AA282" s="62" t="str">
        <f>IF(COUNTA(B282:D282,F282:O282)&gt;0,IF(B282="","Facture",B282),"")</f>
        <v/>
      </c>
      <c r="AB282" s="62" t="str">
        <f>IF(AA282="","",IF(AA282="Avoir",p_pav,IF(AA282="Facture d'acompte",p_pac,p_pfa)))</f>
        <v/>
      </c>
      <c r="AC282" s="62">
        <f>IF(ISNUMBER(C282),C282,0)</f>
        <v>0.0</v>
      </c>
      <c r="AD282" s="62" t="str">
        <f>IF(OR(AA282="",AC282=0),"",YEAR(AC282))</f>
        <v/>
      </c>
      <c r="AE282" s="62" t="str">
        <f>IF(AD282="","",COUNTIFS($AB$6:AB282,AB282,$AD$6:AD282,AD282))</f>
        <v/>
      </c>
      <c r="AF282" s="62">
        <f>IF(A282="",0,COUNTIF(fl_doc,A282))</f>
        <v>0.0</v>
      </c>
      <c r="AG282" s="62" t="str">
        <f>IF(A282="","",IF(AF282&gt;0,"Facture",IF(AND(F282&lt;&gt;"",AA282="Facture",ISNUMBER(MATCH(F282,dv_num,0))),"Devis","")))</f>
        <v/>
      </c>
      <c r="AH282" s="62" t="str">
        <f>IF(AND(A282&lt;&gt;"",F282&lt;&gt;"",AA282&lt;&gt;"Avoir"),F282,"")</f>
        <v/>
      </c>
      <c r="AI282" s="62" t="str">
        <f>IF(AG282="Devis",F282,"")</f>
        <v/>
      </c>
      <c r="AJ282" s="62">
        <f>IF(AG282="Facture",SUMIF(fl_doc,A282,fl_ht),IF(AG282="Devis",SUMIF(dl_doc,F282,dl_ht),0))</f>
        <v>0.0</v>
      </c>
      <c r="AK282" s="62">
        <f>IF(OR(AG282="",INDEX(p_rates,1)=""),0,IF(AG282="Facture",SUMIFS(fl_ht,fl_doc,A282,fl_rate,INDEX(p_rates,1)),SUMIFS(dl_ht,dl_doc,F282,dl_rate,INDEX(p_rates,1))))</f>
        <v>0.0</v>
      </c>
      <c r="AL282" s="62">
        <f>IF(OR(AG282="",INDEX(p_rates,2)=""),0,IF(AG282="Facture",SUMIFS(fl_ht,fl_doc,A282,fl_rate,INDEX(p_rates,2)),SUMIFS(dl_ht,dl_doc,F282,dl_rate,INDEX(p_rates,2))))</f>
        <v>0.0</v>
      </c>
      <c r="AM282" s="62">
        <f>IF(OR(AG282="",INDEX(p_rates,3)=""),0,IF(AG282="Facture",SUMIFS(fl_ht,fl_doc,A282,fl_rate,INDEX(p_rates,3)),SUMIFS(dl_ht,dl_doc,F282,dl_rate,INDEX(p_rates,3))))</f>
        <v>0.0</v>
      </c>
      <c r="AN282" s="62">
        <f>IF(OR(AG282="",INDEX(p_rates,4)=""),0,IF(AG282="Facture",SUMIFS(fl_ht,fl_doc,A282,fl_rate,INDEX(p_rates,4)),SUMIFS(dl_ht,dl_doc,F282,dl_rate,INDEX(p_rates,4))))</f>
        <v>0.0</v>
      </c>
      <c r="AO282" s="62">
        <f>IF(OR(AG282="",INDEX(p_rates,5)=""),0,IF(AG282="Facture",SUMIFS(fl_ht,fl_doc,A282,fl_rate,INDEX(p_rates,5)),SUMIFS(dl_ht,dl_doc,F282,dl_rate,INDEX(p_rates,5))))</f>
        <v>0.0</v>
      </c>
      <c r="AP282" s="62">
        <f>IF(OR(AG282="",INDEX(p_rates,6)=""),0,IF(AG282="Facture",SUMIFS(fl_ht,fl_doc,A282,fl_rate,INDEX(p_rates,6)),SUMIFS(dl_ht,dl_doc,F282,dl_rate,INDEX(p_rates,6))))</f>
        <v>0.0</v>
      </c>
      <c r="AQ282" s="62">
        <f>ROUND(AK282*N(INDEX(p_rates,1)),2)+ROUND(AL282*N(INDEX(p_rates,2)),2)+ROUND(AM282*N(INDEX(p_rates,3)),2)+ROUND(AN282*N(INDEX(p_rates,4)),2)+ROUND(AO282*N(INDEX(p_rates,5)),2)+ROUND(AP282*N(INDEX(p_rates,6)),2)</f>
        <v>0.0</v>
      </c>
      <c r="AR282" s="62" t="str">
        <f>IF(OR(L282="",AA282&lt;&gt;"Facture"),"",IFERROR(IF(INDEX(fa_type,MATCH(L282,fa_num,0))="Facture d'acompte",MATCH(L282,fa_num,0),""),""))</f>
        <v/>
      </c>
      <c r="AS282" s="62" t="str">
        <f>IF(W282="","",IF(W282&lt;=0,"",IF(p_asof-P282&lt;=0,"Non échu",IF(p_asof-P282&lt;=30,"1-30 j",IF(p_asof-P282&lt;=60,"31-60 j",IF(p_asof-P282&lt;=90,"61-90 j","Plus de 90 j"))))))</f>
        <v/>
      </c>
      <c r="AT282" s="62" t="str">
        <f>IF(AS282="","",p_asof-P282)</f>
        <v/>
      </c>
      <c r="AU282" s="62" t="str">
        <f>IF(AT282="","",COUNTIF($AT$6:$AT$805,"&gt;"&amp;AT282)+COUNTIF($AT$6:AT282,AT282))</f>
        <v/>
      </c>
    </row>
    <row r="283">
      <c r="A283" s="59" t="str">
        <f>IF(AE283="","",AB283&amp;"-"&amp;AD283&amp;"-"&amp;RIGHT("000"&amp;AE283,4))</f>
        <v/>
      </c>
      <c r="B283" s="60" t="n"/>
      <c r="C283" s="61" t="n"/>
      <c r="D283" s="60" t="n"/>
      <c r="E283" s="62" t="str">
        <f>IF(D283="","",IFERROR(INDEX(cli_name,MATCH(D283,cli_code,0))&amp;"","Client inconnu"))</f>
        <v/>
      </c>
      <c r="F283" s="60" t="n"/>
      <c r="G283" s="63" t="n"/>
      <c r="H283" s="61" t="n"/>
      <c r="I283" s="63" t="n"/>
      <c r="J283" s="60" t="n"/>
      <c r="K283" s="61" t="n"/>
      <c r="L283" s="60" t="n"/>
      <c r="M283" s="60" t="n"/>
      <c r="N283" s="60" t="n"/>
      <c r="O283" s="61" t="n"/>
      <c r="P283" s="64" t="str">
        <f>IF(A283="","",IF(AA283="Avoir",AC283,IF(ISNUMBER(K283),K283,AC283+IF(D283="",N(p_delay),IFERROR(IF(ISNUMBER(INDEX(cli_delay,MATCH(D283,cli_code,0))),INDEX(cli_delay,MATCH(D283,cli_code,0)),N(p_delay)),N(p_delay))))))</f>
        <v/>
      </c>
      <c r="Q283" s="65" t="str">
        <f>IF(A283="","",IF(AA283="Avoir",-1,1)*ROUND(AJ283-IF(AR283="",0,INDEX(fa_htb,AR283)),2))</f>
        <v/>
      </c>
      <c r="R283" s="65" t="str">
        <f>IF(A283="","",IF(AA283="Avoir",-1,1)*ROUND(AQ283-IF(AR283="",0,INDEX(fa_tvab,AR283)),2))</f>
        <v/>
      </c>
      <c r="S283" s="65" t="str">
        <f>IF(A283="","",Q283+R283)</f>
        <v/>
      </c>
      <c r="T283" s="65" t="str">
        <f>IF(AR283="","",INDEX(fa_htb,AR283)+INDEX(fa_tvab,AR283))</f>
        <v/>
      </c>
      <c r="U283" s="65" t="str">
        <f>IF(A283="","",SUMIF(pa_inv,A283,pa_amt))</f>
        <v/>
      </c>
      <c r="V283" s="65" t="str">
        <f>IF(OR(A283="",AA283="Avoir"),"",-SUMIFS(fa_ttc,fa_avof,A283,fa_type,"Avoir"))</f>
        <v/>
      </c>
      <c r="W283" s="65" t="str">
        <f>IF(OR(A283="",AA283="Avoir"),"",ROUND(S283-U283-V283,2))</f>
        <v/>
      </c>
      <c r="X283" s="66" t="str">
        <f>IF(W283="","",IF(AND(W283&gt;0,p_asof&gt;P283),p_asof-P283,""))</f>
        <v/>
      </c>
      <c r="Y283" s="59" t="str">
        <f>IF(A283="","",IF(AA283="Avoir","Avoir",IF(W283&lt;0,"Trop-perçu",IF(W283=0,"Soldée",IF(p_asof&gt;P283,"En retard",IF(U283+V283&gt;0,"Partielle","À échoir"))))))</f>
        <v/>
      </c>
      <c r="Z283" s="59" t="str">
        <f>IF(NOT(COUNTA(B283:D283,F283:O283)&gt;0),"",IF(C283="","Date manquante",IF(NOT(ISNUMBER(C283)),"Date invalide",IF(D283="","Client manquant",IF(ISNA(MATCH(D283,cli_code,0)),"Client inconnu",IF(AC283&lt;SUMPRODUCT(MAX(($AB$6:AB282=AB283)*$AC$6:AC282)),"Date antérieure à la facture précédente",IF(AND(F283&lt;&gt;"",ISNA(MATCH(F283,dv_num,0))),"Devis inconnu",IF(AND(F283&lt;&gt;"",IFERROR(INDEX(dv_client,MATCH(F283,dv_num,0)),D283)&lt;&gt;D283),"Client différent de celui du devis",IF(AG283="","Aucune ligne : saisissez des lignes ou un devis",IF(AND(AI283&lt;&gt;"",COUNTIF($AI$6:AI283,AI283)&gt;1),"Devis déjà repris par une autre facture",IF(AND(AA283="Avoir",M283=""),"Avoir : indiquez la facture d'origine",IF(AND(AA283="Avoir",ISNA(MATCH(M283,fa_num,0))),"Facture d'origine inconnue",IF(AND(AA283&lt;&gt;"Avoir",M283&lt;&gt;""),"« Avoir sur facture » : réservé aux avoirs",IF(AND(L283&lt;&gt;"",AA283&lt;&gt;"Facture"),"Acompte à déduire : réservé aux factures",IF(AND(L283&lt;&gt;"",ISNA(MATCH(L283,fa_num,0))),"Facture d'acompte inconnue",IF(AND(L283&lt;&gt;"",IFERROR(INDEX(fa_type,MATCH(L283,fa_num,0)),"")&lt;&gt;"Facture d'acompte"),"Le n° à déduire n'est pas une facture d'acompte",IF(AND(L283&lt;&gt;"",COUNTIF($L$6:L283,L283)&gt;1),"Acompte déjà déduit sur une autre facture",IF(AND(L283&lt;&gt;"",IFERROR(INDEX(fa_client,MATCH(L283,fa_num,0)),D283)&lt;&gt;D283),"Acompte d'un autre client",IF(AND(AR283&lt;&gt;"",N(Q283)&lt;0),"Acompte supérieur au total de la facture",IF(IF(AG283="Facture",COUNTIFS(fl_doc,A283,fl_check,"&lt;&gt;OK"),IF(AG283="Devis",COUNTIFS(dl_doc,F283,dl_check,"&lt;&gt;OK"),0))&gt;0,"Ligne(s) à corriger",IF(AND(W283&lt;&gt;"",N(W283)&lt;0),"Trop-perçu : vérifiez paiements et avoirs","OK")))))))))))))))))))))</f>
        <v/>
      </c>
      <c r="AA283" s="62" t="str">
        <f>IF(COUNTA(B283:D283,F283:O283)&gt;0,IF(B283="","Facture",B283),"")</f>
        <v/>
      </c>
      <c r="AB283" s="62" t="str">
        <f>IF(AA283="","",IF(AA283="Avoir",p_pav,IF(AA283="Facture d'acompte",p_pac,p_pfa)))</f>
        <v/>
      </c>
      <c r="AC283" s="62">
        <f>IF(ISNUMBER(C283),C283,0)</f>
        <v>0.0</v>
      </c>
      <c r="AD283" s="62" t="str">
        <f>IF(OR(AA283="",AC283=0),"",YEAR(AC283))</f>
        <v/>
      </c>
      <c r="AE283" s="62" t="str">
        <f>IF(AD283="","",COUNTIFS($AB$6:AB283,AB283,$AD$6:AD283,AD283))</f>
        <v/>
      </c>
      <c r="AF283" s="62">
        <f>IF(A283="",0,COUNTIF(fl_doc,A283))</f>
        <v>0.0</v>
      </c>
      <c r="AG283" s="62" t="str">
        <f>IF(A283="","",IF(AF283&gt;0,"Facture",IF(AND(F283&lt;&gt;"",AA283="Facture",ISNUMBER(MATCH(F283,dv_num,0))),"Devis","")))</f>
        <v/>
      </c>
      <c r="AH283" s="62" t="str">
        <f>IF(AND(A283&lt;&gt;"",F283&lt;&gt;"",AA283&lt;&gt;"Avoir"),F283,"")</f>
        <v/>
      </c>
      <c r="AI283" s="62" t="str">
        <f>IF(AG283="Devis",F283,"")</f>
        <v/>
      </c>
      <c r="AJ283" s="62">
        <f>IF(AG283="Facture",SUMIF(fl_doc,A283,fl_ht),IF(AG283="Devis",SUMIF(dl_doc,F283,dl_ht),0))</f>
        <v>0.0</v>
      </c>
      <c r="AK283" s="62">
        <f>IF(OR(AG283="",INDEX(p_rates,1)=""),0,IF(AG283="Facture",SUMIFS(fl_ht,fl_doc,A283,fl_rate,INDEX(p_rates,1)),SUMIFS(dl_ht,dl_doc,F283,dl_rate,INDEX(p_rates,1))))</f>
        <v>0.0</v>
      </c>
      <c r="AL283" s="62">
        <f>IF(OR(AG283="",INDEX(p_rates,2)=""),0,IF(AG283="Facture",SUMIFS(fl_ht,fl_doc,A283,fl_rate,INDEX(p_rates,2)),SUMIFS(dl_ht,dl_doc,F283,dl_rate,INDEX(p_rates,2))))</f>
        <v>0.0</v>
      </c>
      <c r="AM283" s="62">
        <f>IF(OR(AG283="",INDEX(p_rates,3)=""),0,IF(AG283="Facture",SUMIFS(fl_ht,fl_doc,A283,fl_rate,INDEX(p_rates,3)),SUMIFS(dl_ht,dl_doc,F283,dl_rate,INDEX(p_rates,3))))</f>
        <v>0.0</v>
      </c>
      <c r="AN283" s="62">
        <f>IF(OR(AG283="",INDEX(p_rates,4)=""),0,IF(AG283="Facture",SUMIFS(fl_ht,fl_doc,A283,fl_rate,INDEX(p_rates,4)),SUMIFS(dl_ht,dl_doc,F283,dl_rate,INDEX(p_rates,4))))</f>
        <v>0.0</v>
      </c>
      <c r="AO283" s="62">
        <f>IF(OR(AG283="",INDEX(p_rates,5)=""),0,IF(AG283="Facture",SUMIFS(fl_ht,fl_doc,A283,fl_rate,INDEX(p_rates,5)),SUMIFS(dl_ht,dl_doc,F283,dl_rate,INDEX(p_rates,5))))</f>
        <v>0.0</v>
      </c>
      <c r="AP283" s="62">
        <f>IF(OR(AG283="",INDEX(p_rates,6)=""),0,IF(AG283="Facture",SUMIFS(fl_ht,fl_doc,A283,fl_rate,INDEX(p_rates,6)),SUMIFS(dl_ht,dl_doc,F283,dl_rate,INDEX(p_rates,6))))</f>
        <v>0.0</v>
      </c>
      <c r="AQ283" s="62">
        <f>ROUND(AK283*N(INDEX(p_rates,1)),2)+ROUND(AL283*N(INDEX(p_rates,2)),2)+ROUND(AM283*N(INDEX(p_rates,3)),2)+ROUND(AN283*N(INDEX(p_rates,4)),2)+ROUND(AO283*N(INDEX(p_rates,5)),2)+ROUND(AP283*N(INDEX(p_rates,6)),2)</f>
        <v>0.0</v>
      </c>
      <c r="AR283" s="62" t="str">
        <f>IF(OR(L283="",AA283&lt;&gt;"Facture"),"",IFERROR(IF(INDEX(fa_type,MATCH(L283,fa_num,0))="Facture d'acompte",MATCH(L283,fa_num,0),""),""))</f>
        <v/>
      </c>
      <c r="AS283" s="62" t="str">
        <f>IF(W283="","",IF(W283&lt;=0,"",IF(p_asof-P283&lt;=0,"Non échu",IF(p_asof-P283&lt;=30,"1-30 j",IF(p_asof-P283&lt;=60,"31-60 j",IF(p_asof-P283&lt;=90,"61-90 j","Plus de 90 j"))))))</f>
        <v/>
      </c>
      <c r="AT283" s="62" t="str">
        <f>IF(AS283="","",p_asof-P283)</f>
        <v/>
      </c>
      <c r="AU283" s="62" t="str">
        <f>IF(AT283="","",COUNTIF($AT$6:$AT$805,"&gt;"&amp;AT283)+COUNTIF($AT$6:AT283,AT283))</f>
        <v/>
      </c>
    </row>
    <row r="284">
      <c r="A284" s="59" t="str">
        <f>IF(AE284="","",AB284&amp;"-"&amp;AD284&amp;"-"&amp;RIGHT("000"&amp;AE284,4))</f>
        <v/>
      </c>
      <c r="B284" s="60" t="n"/>
      <c r="C284" s="61" t="n"/>
      <c r="D284" s="60" t="n"/>
      <c r="E284" s="62" t="str">
        <f>IF(D284="","",IFERROR(INDEX(cli_name,MATCH(D284,cli_code,0))&amp;"","Client inconnu"))</f>
        <v/>
      </c>
      <c r="F284" s="60" t="n"/>
      <c r="G284" s="63" t="n"/>
      <c r="H284" s="61" t="n"/>
      <c r="I284" s="63" t="n"/>
      <c r="J284" s="60" t="n"/>
      <c r="K284" s="61" t="n"/>
      <c r="L284" s="60" t="n"/>
      <c r="M284" s="60" t="n"/>
      <c r="N284" s="60" t="n"/>
      <c r="O284" s="61" t="n"/>
      <c r="P284" s="64" t="str">
        <f>IF(A284="","",IF(AA284="Avoir",AC284,IF(ISNUMBER(K284),K284,AC284+IF(D284="",N(p_delay),IFERROR(IF(ISNUMBER(INDEX(cli_delay,MATCH(D284,cli_code,0))),INDEX(cli_delay,MATCH(D284,cli_code,0)),N(p_delay)),N(p_delay))))))</f>
        <v/>
      </c>
      <c r="Q284" s="65" t="str">
        <f>IF(A284="","",IF(AA284="Avoir",-1,1)*ROUND(AJ284-IF(AR284="",0,INDEX(fa_htb,AR284)),2))</f>
        <v/>
      </c>
      <c r="R284" s="65" t="str">
        <f>IF(A284="","",IF(AA284="Avoir",-1,1)*ROUND(AQ284-IF(AR284="",0,INDEX(fa_tvab,AR284)),2))</f>
        <v/>
      </c>
      <c r="S284" s="65" t="str">
        <f>IF(A284="","",Q284+R284)</f>
        <v/>
      </c>
      <c r="T284" s="65" t="str">
        <f>IF(AR284="","",INDEX(fa_htb,AR284)+INDEX(fa_tvab,AR284))</f>
        <v/>
      </c>
      <c r="U284" s="65" t="str">
        <f>IF(A284="","",SUMIF(pa_inv,A284,pa_amt))</f>
        <v/>
      </c>
      <c r="V284" s="65" t="str">
        <f>IF(OR(A284="",AA284="Avoir"),"",-SUMIFS(fa_ttc,fa_avof,A284,fa_type,"Avoir"))</f>
        <v/>
      </c>
      <c r="W284" s="65" t="str">
        <f>IF(OR(A284="",AA284="Avoir"),"",ROUND(S284-U284-V284,2))</f>
        <v/>
      </c>
      <c r="X284" s="66" t="str">
        <f>IF(W284="","",IF(AND(W284&gt;0,p_asof&gt;P284),p_asof-P284,""))</f>
        <v/>
      </c>
      <c r="Y284" s="59" t="str">
        <f>IF(A284="","",IF(AA284="Avoir","Avoir",IF(W284&lt;0,"Trop-perçu",IF(W284=0,"Soldée",IF(p_asof&gt;P284,"En retard",IF(U284+V284&gt;0,"Partielle","À échoir"))))))</f>
        <v/>
      </c>
      <c r="Z284" s="59" t="str">
        <f>IF(NOT(COUNTA(B284:D284,F284:O284)&gt;0),"",IF(C284="","Date manquante",IF(NOT(ISNUMBER(C284)),"Date invalide",IF(D284="","Client manquant",IF(ISNA(MATCH(D284,cli_code,0)),"Client inconnu",IF(AC284&lt;SUMPRODUCT(MAX(($AB$6:AB283=AB284)*$AC$6:AC283)),"Date antérieure à la facture précédente",IF(AND(F284&lt;&gt;"",ISNA(MATCH(F284,dv_num,0))),"Devis inconnu",IF(AND(F284&lt;&gt;"",IFERROR(INDEX(dv_client,MATCH(F284,dv_num,0)),D284)&lt;&gt;D284),"Client différent de celui du devis",IF(AG284="","Aucune ligne : saisissez des lignes ou un devis",IF(AND(AI284&lt;&gt;"",COUNTIF($AI$6:AI284,AI284)&gt;1),"Devis déjà repris par une autre facture",IF(AND(AA284="Avoir",M284=""),"Avoir : indiquez la facture d'origine",IF(AND(AA284="Avoir",ISNA(MATCH(M284,fa_num,0))),"Facture d'origine inconnue",IF(AND(AA284&lt;&gt;"Avoir",M284&lt;&gt;""),"« Avoir sur facture » : réservé aux avoirs",IF(AND(L284&lt;&gt;"",AA284&lt;&gt;"Facture"),"Acompte à déduire : réservé aux factures",IF(AND(L284&lt;&gt;"",ISNA(MATCH(L284,fa_num,0))),"Facture d'acompte inconnue",IF(AND(L284&lt;&gt;"",IFERROR(INDEX(fa_type,MATCH(L284,fa_num,0)),"")&lt;&gt;"Facture d'acompte"),"Le n° à déduire n'est pas une facture d'acompte",IF(AND(L284&lt;&gt;"",COUNTIF($L$6:L284,L284)&gt;1),"Acompte déjà déduit sur une autre facture",IF(AND(L284&lt;&gt;"",IFERROR(INDEX(fa_client,MATCH(L284,fa_num,0)),D284)&lt;&gt;D284),"Acompte d'un autre client",IF(AND(AR284&lt;&gt;"",N(Q284)&lt;0),"Acompte supérieur au total de la facture",IF(IF(AG284="Facture",COUNTIFS(fl_doc,A284,fl_check,"&lt;&gt;OK"),IF(AG284="Devis",COUNTIFS(dl_doc,F284,dl_check,"&lt;&gt;OK"),0))&gt;0,"Ligne(s) à corriger",IF(AND(W284&lt;&gt;"",N(W284)&lt;0),"Trop-perçu : vérifiez paiements et avoirs","OK")))))))))))))))))))))</f>
        <v/>
      </c>
      <c r="AA284" s="62" t="str">
        <f>IF(COUNTA(B284:D284,F284:O284)&gt;0,IF(B284="","Facture",B284),"")</f>
        <v/>
      </c>
      <c r="AB284" s="62" t="str">
        <f>IF(AA284="","",IF(AA284="Avoir",p_pav,IF(AA284="Facture d'acompte",p_pac,p_pfa)))</f>
        <v/>
      </c>
      <c r="AC284" s="62">
        <f>IF(ISNUMBER(C284),C284,0)</f>
        <v>0.0</v>
      </c>
      <c r="AD284" s="62" t="str">
        <f>IF(OR(AA284="",AC284=0),"",YEAR(AC284))</f>
        <v/>
      </c>
      <c r="AE284" s="62" t="str">
        <f>IF(AD284="","",COUNTIFS($AB$6:AB284,AB284,$AD$6:AD284,AD284))</f>
        <v/>
      </c>
      <c r="AF284" s="62">
        <f>IF(A284="",0,COUNTIF(fl_doc,A284))</f>
        <v>0.0</v>
      </c>
      <c r="AG284" s="62" t="str">
        <f>IF(A284="","",IF(AF284&gt;0,"Facture",IF(AND(F284&lt;&gt;"",AA284="Facture",ISNUMBER(MATCH(F284,dv_num,0))),"Devis","")))</f>
        <v/>
      </c>
      <c r="AH284" s="62" t="str">
        <f>IF(AND(A284&lt;&gt;"",F284&lt;&gt;"",AA284&lt;&gt;"Avoir"),F284,"")</f>
        <v/>
      </c>
      <c r="AI284" s="62" t="str">
        <f>IF(AG284="Devis",F284,"")</f>
        <v/>
      </c>
      <c r="AJ284" s="62">
        <f>IF(AG284="Facture",SUMIF(fl_doc,A284,fl_ht),IF(AG284="Devis",SUMIF(dl_doc,F284,dl_ht),0))</f>
        <v>0.0</v>
      </c>
      <c r="AK284" s="62">
        <f>IF(OR(AG284="",INDEX(p_rates,1)=""),0,IF(AG284="Facture",SUMIFS(fl_ht,fl_doc,A284,fl_rate,INDEX(p_rates,1)),SUMIFS(dl_ht,dl_doc,F284,dl_rate,INDEX(p_rates,1))))</f>
        <v>0.0</v>
      </c>
      <c r="AL284" s="62">
        <f>IF(OR(AG284="",INDEX(p_rates,2)=""),0,IF(AG284="Facture",SUMIFS(fl_ht,fl_doc,A284,fl_rate,INDEX(p_rates,2)),SUMIFS(dl_ht,dl_doc,F284,dl_rate,INDEX(p_rates,2))))</f>
        <v>0.0</v>
      </c>
      <c r="AM284" s="62">
        <f>IF(OR(AG284="",INDEX(p_rates,3)=""),0,IF(AG284="Facture",SUMIFS(fl_ht,fl_doc,A284,fl_rate,INDEX(p_rates,3)),SUMIFS(dl_ht,dl_doc,F284,dl_rate,INDEX(p_rates,3))))</f>
        <v>0.0</v>
      </c>
      <c r="AN284" s="62">
        <f>IF(OR(AG284="",INDEX(p_rates,4)=""),0,IF(AG284="Facture",SUMIFS(fl_ht,fl_doc,A284,fl_rate,INDEX(p_rates,4)),SUMIFS(dl_ht,dl_doc,F284,dl_rate,INDEX(p_rates,4))))</f>
        <v>0.0</v>
      </c>
      <c r="AO284" s="62">
        <f>IF(OR(AG284="",INDEX(p_rates,5)=""),0,IF(AG284="Facture",SUMIFS(fl_ht,fl_doc,A284,fl_rate,INDEX(p_rates,5)),SUMIFS(dl_ht,dl_doc,F284,dl_rate,INDEX(p_rates,5))))</f>
        <v>0.0</v>
      </c>
      <c r="AP284" s="62">
        <f>IF(OR(AG284="",INDEX(p_rates,6)=""),0,IF(AG284="Facture",SUMIFS(fl_ht,fl_doc,A284,fl_rate,INDEX(p_rates,6)),SUMIFS(dl_ht,dl_doc,F284,dl_rate,INDEX(p_rates,6))))</f>
        <v>0.0</v>
      </c>
      <c r="AQ284" s="62">
        <f>ROUND(AK284*N(INDEX(p_rates,1)),2)+ROUND(AL284*N(INDEX(p_rates,2)),2)+ROUND(AM284*N(INDEX(p_rates,3)),2)+ROUND(AN284*N(INDEX(p_rates,4)),2)+ROUND(AO284*N(INDEX(p_rates,5)),2)+ROUND(AP284*N(INDEX(p_rates,6)),2)</f>
        <v>0.0</v>
      </c>
      <c r="AR284" s="62" t="str">
        <f>IF(OR(L284="",AA284&lt;&gt;"Facture"),"",IFERROR(IF(INDEX(fa_type,MATCH(L284,fa_num,0))="Facture d'acompte",MATCH(L284,fa_num,0),""),""))</f>
        <v/>
      </c>
      <c r="AS284" s="62" t="str">
        <f>IF(W284="","",IF(W284&lt;=0,"",IF(p_asof-P284&lt;=0,"Non échu",IF(p_asof-P284&lt;=30,"1-30 j",IF(p_asof-P284&lt;=60,"31-60 j",IF(p_asof-P284&lt;=90,"61-90 j","Plus de 90 j"))))))</f>
        <v/>
      </c>
      <c r="AT284" s="62" t="str">
        <f>IF(AS284="","",p_asof-P284)</f>
        <v/>
      </c>
      <c r="AU284" s="62" t="str">
        <f>IF(AT284="","",COUNTIF($AT$6:$AT$805,"&gt;"&amp;AT284)+COUNTIF($AT$6:AT284,AT284))</f>
        <v/>
      </c>
    </row>
    <row r="285">
      <c r="A285" s="59" t="str">
        <f>IF(AE285="","",AB285&amp;"-"&amp;AD285&amp;"-"&amp;RIGHT("000"&amp;AE285,4))</f>
        <v/>
      </c>
      <c r="B285" s="60" t="n"/>
      <c r="C285" s="61" t="n"/>
      <c r="D285" s="60" t="n"/>
      <c r="E285" s="62" t="str">
        <f>IF(D285="","",IFERROR(INDEX(cli_name,MATCH(D285,cli_code,0))&amp;"","Client inconnu"))</f>
        <v/>
      </c>
      <c r="F285" s="60" t="n"/>
      <c r="G285" s="63" t="n"/>
      <c r="H285" s="61" t="n"/>
      <c r="I285" s="63" t="n"/>
      <c r="J285" s="60" t="n"/>
      <c r="K285" s="61" t="n"/>
      <c r="L285" s="60" t="n"/>
      <c r="M285" s="60" t="n"/>
      <c r="N285" s="60" t="n"/>
      <c r="O285" s="61" t="n"/>
      <c r="P285" s="64" t="str">
        <f>IF(A285="","",IF(AA285="Avoir",AC285,IF(ISNUMBER(K285),K285,AC285+IF(D285="",N(p_delay),IFERROR(IF(ISNUMBER(INDEX(cli_delay,MATCH(D285,cli_code,0))),INDEX(cli_delay,MATCH(D285,cli_code,0)),N(p_delay)),N(p_delay))))))</f>
        <v/>
      </c>
      <c r="Q285" s="65" t="str">
        <f>IF(A285="","",IF(AA285="Avoir",-1,1)*ROUND(AJ285-IF(AR285="",0,INDEX(fa_htb,AR285)),2))</f>
        <v/>
      </c>
      <c r="R285" s="65" t="str">
        <f>IF(A285="","",IF(AA285="Avoir",-1,1)*ROUND(AQ285-IF(AR285="",0,INDEX(fa_tvab,AR285)),2))</f>
        <v/>
      </c>
      <c r="S285" s="65" t="str">
        <f>IF(A285="","",Q285+R285)</f>
        <v/>
      </c>
      <c r="T285" s="65" t="str">
        <f>IF(AR285="","",INDEX(fa_htb,AR285)+INDEX(fa_tvab,AR285))</f>
        <v/>
      </c>
      <c r="U285" s="65" t="str">
        <f>IF(A285="","",SUMIF(pa_inv,A285,pa_amt))</f>
        <v/>
      </c>
      <c r="V285" s="65" t="str">
        <f>IF(OR(A285="",AA285="Avoir"),"",-SUMIFS(fa_ttc,fa_avof,A285,fa_type,"Avoir"))</f>
        <v/>
      </c>
      <c r="W285" s="65" t="str">
        <f>IF(OR(A285="",AA285="Avoir"),"",ROUND(S285-U285-V285,2))</f>
        <v/>
      </c>
      <c r="X285" s="66" t="str">
        <f>IF(W285="","",IF(AND(W285&gt;0,p_asof&gt;P285),p_asof-P285,""))</f>
        <v/>
      </c>
      <c r="Y285" s="59" t="str">
        <f>IF(A285="","",IF(AA285="Avoir","Avoir",IF(W285&lt;0,"Trop-perçu",IF(W285=0,"Soldée",IF(p_asof&gt;P285,"En retard",IF(U285+V285&gt;0,"Partielle","À échoir"))))))</f>
        <v/>
      </c>
      <c r="Z285" s="59" t="str">
        <f>IF(NOT(COUNTA(B285:D285,F285:O285)&gt;0),"",IF(C285="","Date manquante",IF(NOT(ISNUMBER(C285)),"Date invalide",IF(D285="","Client manquant",IF(ISNA(MATCH(D285,cli_code,0)),"Client inconnu",IF(AC285&lt;SUMPRODUCT(MAX(($AB$6:AB284=AB285)*$AC$6:AC284)),"Date antérieure à la facture précédente",IF(AND(F285&lt;&gt;"",ISNA(MATCH(F285,dv_num,0))),"Devis inconnu",IF(AND(F285&lt;&gt;"",IFERROR(INDEX(dv_client,MATCH(F285,dv_num,0)),D285)&lt;&gt;D285),"Client différent de celui du devis",IF(AG285="","Aucune ligne : saisissez des lignes ou un devis",IF(AND(AI285&lt;&gt;"",COUNTIF($AI$6:AI285,AI285)&gt;1),"Devis déjà repris par une autre facture",IF(AND(AA285="Avoir",M285=""),"Avoir : indiquez la facture d'origine",IF(AND(AA285="Avoir",ISNA(MATCH(M285,fa_num,0))),"Facture d'origine inconnue",IF(AND(AA285&lt;&gt;"Avoir",M285&lt;&gt;""),"« Avoir sur facture » : réservé aux avoirs",IF(AND(L285&lt;&gt;"",AA285&lt;&gt;"Facture"),"Acompte à déduire : réservé aux factures",IF(AND(L285&lt;&gt;"",ISNA(MATCH(L285,fa_num,0))),"Facture d'acompte inconnue",IF(AND(L285&lt;&gt;"",IFERROR(INDEX(fa_type,MATCH(L285,fa_num,0)),"")&lt;&gt;"Facture d'acompte"),"Le n° à déduire n'est pas une facture d'acompte",IF(AND(L285&lt;&gt;"",COUNTIF($L$6:L285,L285)&gt;1),"Acompte déjà déduit sur une autre facture",IF(AND(L285&lt;&gt;"",IFERROR(INDEX(fa_client,MATCH(L285,fa_num,0)),D285)&lt;&gt;D285),"Acompte d'un autre client",IF(AND(AR285&lt;&gt;"",N(Q285)&lt;0),"Acompte supérieur au total de la facture",IF(IF(AG285="Facture",COUNTIFS(fl_doc,A285,fl_check,"&lt;&gt;OK"),IF(AG285="Devis",COUNTIFS(dl_doc,F285,dl_check,"&lt;&gt;OK"),0))&gt;0,"Ligne(s) à corriger",IF(AND(W285&lt;&gt;"",N(W285)&lt;0),"Trop-perçu : vérifiez paiements et avoirs","OK")))))))))))))))))))))</f>
        <v/>
      </c>
      <c r="AA285" s="62" t="str">
        <f>IF(COUNTA(B285:D285,F285:O285)&gt;0,IF(B285="","Facture",B285),"")</f>
        <v/>
      </c>
      <c r="AB285" s="62" t="str">
        <f>IF(AA285="","",IF(AA285="Avoir",p_pav,IF(AA285="Facture d'acompte",p_pac,p_pfa)))</f>
        <v/>
      </c>
      <c r="AC285" s="62">
        <f>IF(ISNUMBER(C285),C285,0)</f>
        <v>0.0</v>
      </c>
      <c r="AD285" s="62" t="str">
        <f>IF(OR(AA285="",AC285=0),"",YEAR(AC285))</f>
        <v/>
      </c>
      <c r="AE285" s="62" t="str">
        <f>IF(AD285="","",COUNTIFS($AB$6:AB285,AB285,$AD$6:AD285,AD285))</f>
        <v/>
      </c>
      <c r="AF285" s="62">
        <f>IF(A285="",0,COUNTIF(fl_doc,A285))</f>
        <v>0.0</v>
      </c>
      <c r="AG285" s="62" t="str">
        <f>IF(A285="","",IF(AF285&gt;0,"Facture",IF(AND(F285&lt;&gt;"",AA285="Facture",ISNUMBER(MATCH(F285,dv_num,0))),"Devis","")))</f>
        <v/>
      </c>
      <c r="AH285" s="62" t="str">
        <f>IF(AND(A285&lt;&gt;"",F285&lt;&gt;"",AA285&lt;&gt;"Avoir"),F285,"")</f>
        <v/>
      </c>
      <c r="AI285" s="62" t="str">
        <f>IF(AG285="Devis",F285,"")</f>
        <v/>
      </c>
      <c r="AJ285" s="62">
        <f>IF(AG285="Facture",SUMIF(fl_doc,A285,fl_ht),IF(AG285="Devis",SUMIF(dl_doc,F285,dl_ht),0))</f>
        <v>0.0</v>
      </c>
      <c r="AK285" s="62">
        <f>IF(OR(AG285="",INDEX(p_rates,1)=""),0,IF(AG285="Facture",SUMIFS(fl_ht,fl_doc,A285,fl_rate,INDEX(p_rates,1)),SUMIFS(dl_ht,dl_doc,F285,dl_rate,INDEX(p_rates,1))))</f>
        <v>0.0</v>
      </c>
      <c r="AL285" s="62">
        <f>IF(OR(AG285="",INDEX(p_rates,2)=""),0,IF(AG285="Facture",SUMIFS(fl_ht,fl_doc,A285,fl_rate,INDEX(p_rates,2)),SUMIFS(dl_ht,dl_doc,F285,dl_rate,INDEX(p_rates,2))))</f>
        <v>0.0</v>
      </c>
      <c r="AM285" s="62">
        <f>IF(OR(AG285="",INDEX(p_rates,3)=""),0,IF(AG285="Facture",SUMIFS(fl_ht,fl_doc,A285,fl_rate,INDEX(p_rates,3)),SUMIFS(dl_ht,dl_doc,F285,dl_rate,INDEX(p_rates,3))))</f>
        <v>0.0</v>
      </c>
      <c r="AN285" s="62">
        <f>IF(OR(AG285="",INDEX(p_rates,4)=""),0,IF(AG285="Facture",SUMIFS(fl_ht,fl_doc,A285,fl_rate,INDEX(p_rates,4)),SUMIFS(dl_ht,dl_doc,F285,dl_rate,INDEX(p_rates,4))))</f>
        <v>0.0</v>
      </c>
      <c r="AO285" s="62">
        <f>IF(OR(AG285="",INDEX(p_rates,5)=""),0,IF(AG285="Facture",SUMIFS(fl_ht,fl_doc,A285,fl_rate,INDEX(p_rates,5)),SUMIFS(dl_ht,dl_doc,F285,dl_rate,INDEX(p_rates,5))))</f>
        <v>0.0</v>
      </c>
      <c r="AP285" s="62">
        <f>IF(OR(AG285="",INDEX(p_rates,6)=""),0,IF(AG285="Facture",SUMIFS(fl_ht,fl_doc,A285,fl_rate,INDEX(p_rates,6)),SUMIFS(dl_ht,dl_doc,F285,dl_rate,INDEX(p_rates,6))))</f>
        <v>0.0</v>
      </c>
      <c r="AQ285" s="62">
        <f>ROUND(AK285*N(INDEX(p_rates,1)),2)+ROUND(AL285*N(INDEX(p_rates,2)),2)+ROUND(AM285*N(INDEX(p_rates,3)),2)+ROUND(AN285*N(INDEX(p_rates,4)),2)+ROUND(AO285*N(INDEX(p_rates,5)),2)+ROUND(AP285*N(INDEX(p_rates,6)),2)</f>
        <v>0.0</v>
      </c>
      <c r="AR285" s="62" t="str">
        <f>IF(OR(L285="",AA285&lt;&gt;"Facture"),"",IFERROR(IF(INDEX(fa_type,MATCH(L285,fa_num,0))="Facture d'acompte",MATCH(L285,fa_num,0),""),""))</f>
        <v/>
      </c>
      <c r="AS285" s="62" t="str">
        <f>IF(W285="","",IF(W285&lt;=0,"",IF(p_asof-P285&lt;=0,"Non échu",IF(p_asof-P285&lt;=30,"1-30 j",IF(p_asof-P285&lt;=60,"31-60 j",IF(p_asof-P285&lt;=90,"61-90 j","Plus de 90 j"))))))</f>
        <v/>
      </c>
      <c r="AT285" s="62" t="str">
        <f>IF(AS285="","",p_asof-P285)</f>
        <v/>
      </c>
      <c r="AU285" s="62" t="str">
        <f>IF(AT285="","",COUNTIF($AT$6:$AT$805,"&gt;"&amp;AT285)+COUNTIF($AT$6:AT285,AT285))</f>
        <v/>
      </c>
    </row>
    <row r="286">
      <c r="A286" s="59" t="str">
        <f>IF(AE286="","",AB286&amp;"-"&amp;AD286&amp;"-"&amp;RIGHT("000"&amp;AE286,4))</f>
        <v/>
      </c>
      <c r="B286" s="60" t="n"/>
      <c r="C286" s="61" t="n"/>
      <c r="D286" s="60" t="n"/>
      <c r="E286" s="62" t="str">
        <f>IF(D286="","",IFERROR(INDEX(cli_name,MATCH(D286,cli_code,0))&amp;"","Client inconnu"))</f>
        <v/>
      </c>
      <c r="F286" s="60" t="n"/>
      <c r="G286" s="63" t="n"/>
      <c r="H286" s="61" t="n"/>
      <c r="I286" s="63" t="n"/>
      <c r="J286" s="60" t="n"/>
      <c r="K286" s="61" t="n"/>
      <c r="L286" s="60" t="n"/>
      <c r="M286" s="60" t="n"/>
      <c r="N286" s="60" t="n"/>
      <c r="O286" s="61" t="n"/>
      <c r="P286" s="64" t="str">
        <f>IF(A286="","",IF(AA286="Avoir",AC286,IF(ISNUMBER(K286),K286,AC286+IF(D286="",N(p_delay),IFERROR(IF(ISNUMBER(INDEX(cli_delay,MATCH(D286,cli_code,0))),INDEX(cli_delay,MATCH(D286,cli_code,0)),N(p_delay)),N(p_delay))))))</f>
        <v/>
      </c>
      <c r="Q286" s="65" t="str">
        <f>IF(A286="","",IF(AA286="Avoir",-1,1)*ROUND(AJ286-IF(AR286="",0,INDEX(fa_htb,AR286)),2))</f>
        <v/>
      </c>
      <c r="R286" s="65" t="str">
        <f>IF(A286="","",IF(AA286="Avoir",-1,1)*ROUND(AQ286-IF(AR286="",0,INDEX(fa_tvab,AR286)),2))</f>
        <v/>
      </c>
      <c r="S286" s="65" t="str">
        <f>IF(A286="","",Q286+R286)</f>
        <v/>
      </c>
      <c r="T286" s="65" t="str">
        <f>IF(AR286="","",INDEX(fa_htb,AR286)+INDEX(fa_tvab,AR286))</f>
        <v/>
      </c>
      <c r="U286" s="65" t="str">
        <f>IF(A286="","",SUMIF(pa_inv,A286,pa_amt))</f>
        <v/>
      </c>
      <c r="V286" s="65" t="str">
        <f>IF(OR(A286="",AA286="Avoir"),"",-SUMIFS(fa_ttc,fa_avof,A286,fa_type,"Avoir"))</f>
        <v/>
      </c>
      <c r="W286" s="65" t="str">
        <f>IF(OR(A286="",AA286="Avoir"),"",ROUND(S286-U286-V286,2))</f>
        <v/>
      </c>
      <c r="X286" s="66" t="str">
        <f>IF(W286="","",IF(AND(W286&gt;0,p_asof&gt;P286),p_asof-P286,""))</f>
        <v/>
      </c>
      <c r="Y286" s="59" t="str">
        <f>IF(A286="","",IF(AA286="Avoir","Avoir",IF(W286&lt;0,"Trop-perçu",IF(W286=0,"Soldée",IF(p_asof&gt;P286,"En retard",IF(U286+V286&gt;0,"Partielle","À échoir"))))))</f>
        <v/>
      </c>
      <c r="Z286" s="59" t="str">
        <f>IF(NOT(COUNTA(B286:D286,F286:O286)&gt;0),"",IF(C286="","Date manquante",IF(NOT(ISNUMBER(C286)),"Date invalide",IF(D286="","Client manquant",IF(ISNA(MATCH(D286,cli_code,0)),"Client inconnu",IF(AC286&lt;SUMPRODUCT(MAX(($AB$6:AB285=AB286)*$AC$6:AC285)),"Date antérieure à la facture précédente",IF(AND(F286&lt;&gt;"",ISNA(MATCH(F286,dv_num,0))),"Devis inconnu",IF(AND(F286&lt;&gt;"",IFERROR(INDEX(dv_client,MATCH(F286,dv_num,0)),D286)&lt;&gt;D286),"Client différent de celui du devis",IF(AG286="","Aucune ligne : saisissez des lignes ou un devis",IF(AND(AI286&lt;&gt;"",COUNTIF($AI$6:AI286,AI286)&gt;1),"Devis déjà repris par une autre facture",IF(AND(AA286="Avoir",M286=""),"Avoir : indiquez la facture d'origine",IF(AND(AA286="Avoir",ISNA(MATCH(M286,fa_num,0))),"Facture d'origine inconnue",IF(AND(AA286&lt;&gt;"Avoir",M286&lt;&gt;""),"« Avoir sur facture » : réservé aux avoirs",IF(AND(L286&lt;&gt;"",AA286&lt;&gt;"Facture"),"Acompte à déduire : réservé aux factures",IF(AND(L286&lt;&gt;"",ISNA(MATCH(L286,fa_num,0))),"Facture d'acompte inconnue",IF(AND(L286&lt;&gt;"",IFERROR(INDEX(fa_type,MATCH(L286,fa_num,0)),"")&lt;&gt;"Facture d'acompte"),"Le n° à déduire n'est pas une facture d'acompte",IF(AND(L286&lt;&gt;"",COUNTIF($L$6:L286,L286)&gt;1),"Acompte déjà déduit sur une autre facture",IF(AND(L286&lt;&gt;"",IFERROR(INDEX(fa_client,MATCH(L286,fa_num,0)),D286)&lt;&gt;D286),"Acompte d'un autre client",IF(AND(AR286&lt;&gt;"",N(Q286)&lt;0),"Acompte supérieur au total de la facture",IF(IF(AG286="Facture",COUNTIFS(fl_doc,A286,fl_check,"&lt;&gt;OK"),IF(AG286="Devis",COUNTIFS(dl_doc,F286,dl_check,"&lt;&gt;OK"),0))&gt;0,"Ligne(s) à corriger",IF(AND(W286&lt;&gt;"",N(W286)&lt;0),"Trop-perçu : vérifiez paiements et avoirs","OK")))))))))))))))))))))</f>
        <v/>
      </c>
      <c r="AA286" s="62" t="str">
        <f>IF(COUNTA(B286:D286,F286:O286)&gt;0,IF(B286="","Facture",B286),"")</f>
        <v/>
      </c>
      <c r="AB286" s="62" t="str">
        <f>IF(AA286="","",IF(AA286="Avoir",p_pav,IF(AA286="Facture d'acompte",p_pac,p_pfa)))</f>
        <v/>
      </c>
      <c r="AC286" s="62">
        <f>IF(ISNUMBER(C286),C286,0)</f>
        <v>0.0</v>
      </c>
      <c r="AD286" s="62" t="str">
        <f>IF(OR(AA286="",AC286=0),"",YEAR(AC286))</f>
        <v/>
      </c>
      <c r="AE286" s="62" t="str">
        <f>IF(AD286="","",COUNTIFS($AB$6:AB286,AB286,$AD$6:AD286,AD286))</f>
        <v/>
      </c>
      <c r="AF286" s="62">
        <f>IF(A286="",0,COUNTIF(fl_doc,A286))</f>
        <v>0.0</v>
      </c>
      <c r="AG286" s="62" t="str">
        <f>IF(A286="","",IF(AF286&gt;0,"Facture",IF(AND(F286&lt;&gt;"",AA286="Facture",ISNUMBER(MATCH(F286,dv_num,0))),"Devis","")))</f>
        <v/>
      </c>
      <c r="AH286" s="62" t="str">
        <f>IF(AND(A286&lt;&gt;"",F286&lt;&gt;"",AA286&lt;&gt;"Avoir"),F286,"")</f>
        <v/>
      </c>
      <c r="AI286" s="62" t="str">
        <f>IF(AG286="Devis",F286,"")</f>
        <v/>
      </c>
      <c r="AJ286" s="62">
        <f>IF(AG286="Facture",SUMIF(fl_doc,A286,fl_ht),IF(AG286="Devis",SUMIF(dl_doc,F286,dl_ht),0))</f>
        <v>0.0</v>
      </c>
      <c r="AK286" s="62">
        <f>IF(OR(AG286="",INDEX(p_rates,1)=""),0,IF(AG286="Facture",SUMIFS(fl_ht,fl_doc,A286,fl_rate,INDEX(p_rates,1)),SUMIFS(dl_ht,dl_doc,F286,dl_rate,INDEX(p_rates,1))))</f>
        <v>0.0</v>
      </c>
      <c r="AL286" s="62">
        <f>IF(OR(AG286="",INDEX(p_rates,2)=""),0,IF(AG286="Facture",SUMIFS(fl_ht,fl_doc,A286,fl_rate,INDEX(p_rates,2)),SUMIFS(dl_ht,dl_doc,F286,dl_rate,INDEX(p_rates,2))))</f>
        <v>0.0</v>
      </c>
      <c r="AM286" s="62">
        <f>IF(OR(AG286="",INDEX(p_rates,3)=""),0,IF(AG286="Facture",SUMIFS(fl_ht,fl_doc,A286,fl_rate,INDEX(p_rates,3)),SUMIFS(dl_ht,dl_doc,F286,dl_rate,INDEX(p_rates,3))))</f>
        <v>0.0</v>
      </c>
      <c r="AN286" s="62">
        <f>IF(OR(AG286="",INDEX(p_rates,4)=""),0,IF(AG286="Facture",SUMIFS(fl_ht,fl_doc,A286,fl_rate,INDEX(p_rates,4)),SUMIFS(dl_ht,dl_doc,F286,dl_rate,INDEX(p_rates,4))))</f>
        <v>0.0</v>
      </c>
      <c r="AO286" s="62">
        <f>IF(OR(AG286="",INDEX(p_rates,5)=""),0,IF(AG286="Facture",SUMIFS(fl_ht,fl_doc,A286,fl_rate,INDEX(p_rates,5)),SUMIFS(dl_ht,dl_doc,F286,dl_rate,INDEX(p_rates,5))))</f>
        <v>0.0</v>
      </c>
      <c r="AP286" s="62">
        <f>IF(OR(AG286="",INDEX(p_rates,6)=""),0,IF(AG286="Facture",SUMIFS(fl_ht,fl_doc,A286,fl_rate,INDEX(p_rates,6)),SUMIFS(dl_ht,dl_doc,F286,dl_rate,INDEX(p_rates,6))))</f>
        <v>0.0</v>
      </c>
      <c r="AQ286" s="62">
        <f>ROUND(AK286*N(INDEX(p_rates,1)),2)+ROUND(AL286*N(INDEX(p_rates,2)),2)+ROUND(AM286*N(INDEX(p_rates,3)),2)+ROUND(AN286*N(INDEX(p_rates,4)),2)+ROUND(AO286*N(INDEX(p_rates,5)),2)+ROUND(AP286*N(INDEX(p_rates,6)),2)</f>
        <v>0.0</v>
      </c>
      <c r="AR286" s="62" t="str">
        <f>IF(OR(L286="",AA286&lt;&gt;"Facture"),"",IFERROR(IF(INDEX(fa_type,MATCH(L286,fa_num,0))="Facture d'acompte",MATCH(L286,fa_num,0),""),""))</f>
        <v/>
      </c>
      <c r="AS286" s="62" t="str">
        <f>IF(W286="","",IF(W286&lt;=0,"",IF(p_asof-P286&lt;=0,"Non échu",IF(p_asof-P286&lt;=30,"1-30 j",IF(p_asof-P286&lt;=60,"31-60 j",IF(p_asof-P286&lt;=90,"61-90 j","Plus de 90 j"))))))</f>
        <v/>
      </c>
      <c r="AT286" s="62" t="str">
        <f>IF(AS286="","",p_asof-P286)</f>
        <v/>
      </c>
      <c r="AU286" s="62" t="str">
        <f>IF(AT286="","",COUNTIF($AT$6:$AT$805,"&gt;"&amp;AT286)+COUNTIF($AT$6:AT286,AT286))</f>
        <v/>
      </c>
    </row>
    <row r="287">
      <c r="A287" s="59" t="str">
        <f>IF(AE287="","",AB287&amp;"-"&amp;AD287&amp;"-"&amp;RIGHT("000"&amp;AE287,4))</f>
        <v/>
      </c>
      <c r="B287" s="60" t="n"/>
      <c r="C287" s="61" t="n"/>
      <c r="D287" s="60" t="n"/>
      <c r="E287" s="62" t="str">
        <f>IF(D287="","",IFERROR(INDEX(cli_name,MATCH(D287,cli_code,0))&amp;"","Client inconnu"))</f>
        <v/>
      </c>
      <c r="F287" s="60" t="n"/>
      <c r="G287" s="63" t="n"/>
      <c r="H287" s="61" t="n"/>
      <c r="I287" s="63" t="n"/>
      <c r="J287" s="60" t="n"/>
      <c r="K287" s="61" t="n"/>
      <c r="L287" s="60" t="n"/>
      <c r="M287" s="60" t="n"/>
      <c r="N287" s="60" t="n"/>
      <c r="O287" s="61" t="n"/>
      <c r="P287" s="64" t="str">
        <f>IF(A287="","",IF(AA287="Avoir",AC287,IF(ISNUMBER(K287),K287,AC287+IF(D287="",N(p_delay),IFERROR(IF(ISNUMBER(INDEX(cli_delay,MATCH(D287,cli_code,0))),INDEX(cli_delay,MATCH(D287,cli_code,0)),N(p_delay)),N(p_delay))))))</f>
        <v/>
      </c>
      <c r="Q287" s="65" t="str">
        <f>IF(A287="","",IF(AA287="Avoir",-1,1)*ROUND(AJ287-IF(AR287="",0,INDEX(fa_htb,AR287)),2))</f>
        <v/>
      </c>
      <c r="R287" s="65" t="str">
        <f>IF(A287="","",IF(AA287="Avoir",-1,1)*ROUND(AQ287-IF(AR287="",0,INDEX(fa_tvab,AR287)),2))</f>
        <v/>
      </c>
      <c r="S287" s="65" t="str">
        <f>IF(A287="","",Q287+R287)</f>
        <v/>
      </c>
      <c r="T287" s="65" t="str">
        <f>IF(AR287="","",INDEX(fa_htb,AR287)+INDEX(fa_tvab,AR287))</f>
        <v/>
      </c>
      <c r="U287" s="65" t="str">
        <f>IF(A287="","",SUMIF(pa_inv,A287,pa_amt))</f>
        <v/>
      </c>
      <c r="V287" s="65" t="str">
        <f>IF(OR(A287="",AA287="Avoir"),"",-SUMIFS(fa_ttc,fa_avof,A287,fa_type,"Avoir"))</f>
        <v/>
      </c>
      <c r="W287" s="65" t="str">
        <f>IF(OR(A287="",AA287="Avoir"),"",ROUND(S287-U287-V287,2))</f>
        <v/>
      </c>
      <c r="X287" s="66" t="str">
        <f>IF(W287="","",IF(AND(W287&gt;0,p_asof&gt;P287),p_asof-P287,""))</f>
        <v/>
      </c>
      <c r="Y287" s="59" t="str">
        <f>IF(A287="","",IF(AA287="Avoir","Avoir",IF(W287&lt;0,"Trop-perçu",IF(W287=0,"Soldée",IF(p_asof&gt;P287,"En retard",IF(U287+V287&gt;0,"Partielle","À échoir"))))))</f>
        <v/>
      </c>
      <c r="Z287" s="59" t="str">
        <f>IF(NOT(COUNTA(B287:D287,F287:O287)&gt;0),"",IF(C287="","Date manquante",IF(NOT(ISNUMBER(C287)),"Date invalide",IF(D287="","Client manquant",IF(ISNA(MATCH(D287,cli_code,0)),"Client inconnu",IF(AC287&lt;SUMPRODUCT(MAX(($AB$6:AB286=AB287)*$AC$6:AC286)),"Date antérieure à la facture précédente",IF(AND(F287&lt;&gt;"",ISNA(MATCH(F287,dv_num,0))),"Devis inconnu",IF(AND(F287&lt;&gt;"",IFERROR(INDEX(dv_client,MATCH(F287,dv_num,0)),D287)&lt;&gt;D287),"Client différent de celui du devis",IF(AG287="","Aucune ligne : saisissez des lignes ou un devis",IF(AND(AI287&lt;&gt;"",COUNTIF($AI$6:AI287,AI287)&gt;1),"Devis déjà repris par une autre facture",IF(AND(AA287="Avoir",M287=""),"Avoir : indiquez la facture d'origine",IF(AND(AA287="Avoir",ISNA(MATCH(M287,fa_num,0))),"Facture d'origine inconnue",IF(AND(AA287&lt;&gt;"Avoir",M287&lt;&gt;""),"« Avoir sur facture » : réservé aux avoirs",IF(AND(L287&lt;&gt;"",AA287&lt;&gt;"Facture"),"Acompte à déduire : réservé aux factures",IF(AND(L287&lt;&gt;"",ISNA(MATCH(L287,fa_num,0))),"Facture d'acompte inconnue",IF(AND(L287&lt;&gt;"",IFERROR(INDEX(fa_type,MATCH(L287,fa_num,0)),"")&lt;&gt;"Facture d'acompte"),"Le n° à déduire n'est pas une facture d'acompte",IF(AND(L287&lt;&gt;"",COUNTIF($L$6:L287,L287)&gt;1),"Acompte déjà déduit sur une autre facture",IF(AND(L287&lt;&gt;"",IFERROR(INDEX(fa_client,MATCH(L287,fa_num,0)),D287)&lt;&gt;D287),"Acompte d'un autre client",IF(AND(AR287&lt;&gt;"",N(Q287)&lt;0),"Acompte supérieur au total de la facture",IF(IF(AG287="Facture",COUNTIFS(fl_doc,A287,fl_check,"&lt;&gt;OK"),IF(AG287="Devis",COUNTIFS(dl_doc,F287,dl_check,"&lt;&gt;OK"),0))&gt;0,"Ligne(s) à corriger",IF(AND(W287&lt;&gt;"",N(W287)&lt;0),"Trop-perçu : vérifiez paiements et avoirs","OK")))))))))))))))))))))</f>
        <v/>
      </c>
      <c r="AA287" s="62" t="str">
        <f>IF(COUNTA(B287:D287,F287:O287)&gt;0,IF(B287="","Facture",B287),"")</f>
        <v/>
      </c>
      <c r="AB287" s="62" t="str">
        <f>IF(AA287="","",IF(AA287="Avoir",p_pav,IF(AA287="Facture d'acompte",p_pac,p_pfa)))</f>
        <v/>
      </c>
      <c r="AC287" s="62">
        <f>IF(ISNUMBER(C287),C287,0)</f>
        <v>0.0</v>
      </c>
      <c r="AD287" s="62" t="str">
        <f>IF(OR(AA287="",AC287=0),"",YEAR(AC287))</f>
        <v/>
      </c>
      <c r="AE287" s="62" t="str">
        <f>IF(AD287="","",COUNTIFS($AB$6:AB287,AB287,$AD$6:AD287,AD287))</f>
        <v/>
      </c>
      <c r="AF287" s="62">
        <f>IF(A287="",0,COUNTIF(fl_doc,A287))</f>
        <v>0.0</v>
      </c>
      <c r="AG287" s="62" t="str">
        <f>IF(A287="","",IF(AF287&gt;0,"Facture",IF(AND(F287&lt;&gt;"",AA287="Facture",ISNUMBER(MATCH(F287,dv_num,0))),"Devis","")))</f>
        <v/>
      </c>
      <c r="AH287" s="62" t="str">
        <f>IF(AND(A287&lt;&gt;"",F287&lt;&gt;"",AA287&lt;&gt;"Avoir"),F287,"")</f>
        <v/>
      </c>
      <c r="AI287" s="62" t="str">
        <f>IF(AG287="Devis",F287,"")</f>
        <v/>
      </c>
      <c r="AJ287" s="62">
        <f>IF(AG287="Facture",SUMIF(fl_doc,A287,fl_ht),IF(AG287="Devis",SUMIF(dl_doc,F287,dl_ht),0))</f>
        <v>0.0</v>
      </c>
      <c r="AK287" s="62">
        <f>IF(OR(AG287="",INDEX(p_rates,1)=""),0,IF(AG287="Facture",SUMIFS(fl_ht,fl_doc,A287,fl_rate,INDEX(p_rates,1)),SUMIFS(dl_ht,dl_doc,F287,dl_rate,INDEX(p_rates,1))))</f>
        <v>0.0</v>
      </c>
      <c r="AL287" s="62">
        <f>IF(OR(AG287="",INDEX(p_rates,2)=""),0,IF(AG287="Facture",SUMIFS(fl_ht,fl_doc,A287,fl_rate,INDEX(p_rates,2)),SUMIFS(dl_ht,dl_doc,F287,dl_rate,INDEX(p_rates,2))))</f>
        <v>0.0</v>
      </c>
      <c r="AM287" s="62">
        <f>IF(OR(AG287="",INDEX(p_rates,3)=""),0,IF(AG287="Facture",SUMIFS(fl_ht,fl_doc,A287,fl_rate,INDEX(p_rates,3)),SUMIFS(dl_ht,dl_doc,F287,dl_rate,INDEX(p_rates,3))))</f>
        <v>0.0</v>
      </c>
      <c r="AN287" s="62">
        <f>IF(OR(AG287="",INDEX(p_rates,4)=""),0,IF(AG287="Facture",SUMIFS(fl_ht,fl_doc,A287,fl_rate,INDEX(p_rates,4)),SUMIFS(dl_ht,dl_doc,F287,dl_rate,INDEX(p_rates,4))))</f>
        <v>0.0</v>
      </c>
      <c r="AO287" s="62">
        <f>IF(OR(AG287="",INDEX(p_rates,5)=""),0,IF(AG287="Facture",SUMIFS(fl_ht,fl_doc,A287,fl_rate,INDEX(p_rates,5)),SUMIFS(dl_ht,dl_doc,F287,dl_rate,INDEX(p_rates,5))))</f>
        <v>0.0</v>
      </c>
      <c r="AP287" s="62">
        <f>IF(OR(AG287="",INDEX(p_rates,6)=""),0,IF(AG287="Facture",SUMIFS(fl_ht,fl_doc,A287,fl_rate,INDEX(p_rates,6)),SUMIFS(dl_ht,dl_doc,F287,dl_rate,INDEX(p_rates,6))))</f>
        <v>0.0</v>
      </c>
      <c r="AQ287" s="62">
        <f>ROUND(AK287*N(INDEX(p_rates,1)),2)+ROUND(AL287*N(INDEX(p_rates,2)),2)+ROUND(AM287*N(INDEX(p_rates,3)),2)+ROUND(AN287*N(INDEX(p_rates,4)),2)+ROUND(AO287*N(INDEX(p_rates,5)),2)+ROUND(AP287*N(INDEX(p_rates,6)),2)</f>
        <v>0.0</v>
      </c>
      <c r="AR287" s="62" t="str">
        <f>IF(OR(L287="",AA287&lt;&gt;"Facture"),"",IFERROR(IF(INDEX(fa_type,MATCH(L287,fa_num,0))="Facture d'acompte",MATCH(L287,fa_num,0),""),""))</f>
        <v/>
      </c>
      <c r="AS287" s="62" t="str">
        <f>IF(W287="","",IF(W287&lt;=0,"",IF(p_asof-P287&lt;=0,"Non échu",IF(p_asof-P287&lt;=30,"1-30 j",IF(p_asof-P287&lt;=60,"31-60 j",IF(p_asof-P287&lt;=90,"61-90 j","Plus de 90 j"))))))</f>
        <v/>
      </c>
      <c r="AT287" s="62" t="str">
        <f>IF(AS287="","",p_asof-P287)</f>
        <v/>
      </c>
      <c r="AU287" s="62" t="str">
        <f>IF(AT287="","",COUNTIF($AT$6:$AT$805,"&gt;"&amp;AT287)+COUNTIF($AT$6:AT287,AT287))</f>
        <v/>
      </c>
    </row>
    <row r="288">
      <c r="A288" s="59" t="str">
        <f>IF(AE288="","",AB288&amp;"-"&amp;AD288&amp;"-"&amp;RIGHT("000"&amp;AE288,4))</f>
        <v/>
      </c>
      <c r="B288" s="60" t="n"/>
      <c r="C288" s="61" t="n"/>
      <c r="D288" s="60" t="n"/>
      <c r="E288" s="62" t="str">
        <f>IF(D288="","",IFERROR(INDEX(cli_name,MATCH(D288,cli_code,0))&amp;"","Client inconnu"))</f>
        <v/>
      </c>
      <c r="F288" s="60" t="n"/>
      <c r="G288" s="63" t="n"/>
      <c r="H288" s="61" t="n"/>
      <c r="I288" s="63" t="n"/>
      <c r="J288" s="60" t="n"/>
      <c r="K288" s="61" t="n"/>
      <c r="L288" s="60" t="n"/>
      <c r="M288" s="60" t="n"/>
      <c r="N288" s="60" t="n"/>
      <c r="O288" s="61" t="n"/>
      <c r="P288" s="64" t="str">
        <f>IF(A288="","",IF(AA288="Avoir",AC288,IF(ISNUMBER(K288),K288,AC288+IF(D288="",N(p_delay),IFERROR(IF(ISNUMBER(INDEX(cli_delay,MATCH(D288,cli_code,0))),INDEX(cli_delay,MATCH(D288,cli_code,0)),N(p_delay)),N(p_delay))))))</f>
        <v/>
      </c>
      <c r="Q288" s="65" t="str">
        <f>IF(A288="","",IF(AA288="Avoir",-1,1)*ROUND(AJ288-IF(AR288="",0,INDEX(fa_htb,AR288)),2))</f>
        <v/>
      </c>
      <c r="R288" s="65" t="str">
        <f>IF(A288="","",IF(AA288="Avoir",-1,1)*ROUND(AQ288-IF(AR288="",0,INDEX(fa_tvab,AR288)),2))</f>
        <v/>
      </c>
      <c r="S288" s="65" t="str">
        <f>IF(A288="","",Q288+R288)</f>
        <v/>
      </c>
      <c r="T288" s="65" t="str">
        <f>IF(AR288="","",INDEX(fa_htb,AR288)+INDEX(fa_tvab,AR288))</f>
        <v/>
      </c>
      <c r="U288" s="65" t="str">
        <f>IF(A288="","",SUMIF(pa_inv,A288,pa_amt))</f>
        <v/>
      </c>
      <c r="V288" s="65" t="str">
        <f>IF(OR(A288="",AA288="Avoir"),"",-SUMIFS(fa_ttc,fa_avof,A288,fa_type,"Avoir"))</f>
        <v/>
      </c>
      <c r="W288" s="65" t="str">
        <f>IF(OR(A288="",AA288="Avoir"),"",ROUND(S288-U288-V288,2))</f>
        <v/>
      </c>
      <c r="X288" s="66" t="str">
        <f>IF(W288="","",IF(AND(W288&gt;0,p_asof&gt;P288),p_asof-P288,""))</f>
        <v/>
      </c>
      <c r="Y288" s="59" t="str">
        <f>IF(A288="","",IF(AA288="Avoir","Avoir",IF(W288&lt;0,"Trop-perçu",IF(W288=0,"Soldée",IF(p_asof&gt;P288,"En retard",IF(U288+V288&gt;0,"Partielle","À échoir"))))))</f>
        <v/>
      </c>
      <c r="Z288" s="59" t="str">
        <f>IF(NOT(COUNTA(B288:D288,F288:O288)&gt;0),"",IF(C288="","Date manquante",IF(NOT(ISNUMBER(C288)),"Date invalide",IF(D288="","Client manquant",IF(ISNA(MATCH(D288,cli_code,0)),"Client inconnu",IF(AC288&lt;SUMPRODUCT(MAX(($AB$6:AB287=AB288)*$AC$6:AC287)),"Date antérieure à la facture précédente",IF(AND(F288&lt;&gt;"",ISNA(MATCH(F288,dv_num,0))),"Devis inconnu",IF(AND(F288&lt;&gt;"",IFERROR(INDEX(dv_client,MATCH(F288,dv_num,0)),D288)&lt;&gt;D288),"Client différent de celui du devis",IF(AG288="","Aucune ligne : saisissez des lignes ou un devis",IF(AND(AI288&lt;&gt;"",COUNTIF($AI$6:AI288,AI288)&gt;1),"Devis déjà repris par une autre facture",IF(AND(AA288="Avoir",M288=""),"Avoir : indiquez la facture d'origine",IF(AND(AA288="Avoir",ISNA(MATCH(M288,fa_num,0))),"Facture d'origine inconnue",IF(AND(AA288&lt;&gt;"Avoir",M288&lt;&gt;""),"« Avoir sur facture » : réservé aux avoirs",IF(AND(L288&lt;&gt;"",AA288&lt;&gt;"Facture"),"Acompte à déduire : réservé aux factures",IF(AND(L288&lt;&gt;"",ISNA(MATCH(L288,fa_num,0))),"Facture d'acompte inconnue",IF(AND(L288&lt;&gt;"",IFERROR(INDEX(fa_type,MATCH(L288,fa_num,0)),"")&lt;&gt;"Facture d'acompte"),"Le n° à déduire n'est pas une facture d'acompte",IF(AND(L288&lt;&gt;"",COUNTIF($L$6:L288,L288)&gt;1),"Acompte déjà déduit sur une autre facture",IF(AND(L288&lt;&gt;"",IFERROR(INDEX(fa_client,MATCH(L288,fa_num,0)),D288)&lt;&gt;D288),"Acompte d'un autre client",IF(AND(AR288&lt;&gt;"",N(Q288)&lt;0),"Acompte supérieur au total de la facture",IF(IF(AG288="Facture",COUNTIFS(fl_doc,A288,fl_check,"&lt;&gt;OK"),IF(AG288="Devis",COUNTIFS(dl_doc,F288,dl_check,"&lt;&gt;OK"),0))&gt;0,"Ligne(s) à corriger",IF(AND(W288&lt;&gt;"",N(W288)&lt;0),"Trop-perçu : vérifiez paiements et avoirs","OK")))))))))))))))))))))</f>
        <v/>
      </c>
      <c r="AA288" s="62" t="str">
        <f>IF(COUNTA(B288:D288,F288:O288)&gt;0,IF(B288="","Facture",B288),"")</f>
        <v/>
      </c>
      <c r="AB288" s="62" t="str">
        <f>IF(AA288="","",IF(AA288="Avoir",p_pav,IF(AA288="Facture d'acompte",p_pac,p_pfa)))</f>
        <v/>
      </c>
      <c r="AC288" s="62">
        <f>IF(ISNUMBER(C288),C288,0)</f>
        <v>0.0</v>
      </c>
      <c r="AD288" s="62" t="str">
        <f>IF(OR(AA288="",AC288=0),"",YEAR(AC288))</f>
        <v/>
      </c>
      <c r="AE288" s="62" t="str">
        <f>IF(AD288="","",COUNTIFS($AB$6:AB288,AB288,$AD$6:AD288,AD288))</f>
        <v/>
      </c>
      <c r="AF288" s="62">
        <f>IF(A288="",0,COUNTIF(fl_doc,A288))</f>
        <v>0.0</v>
      </c>
      <c r="AG288" s="62" t="str">
        <f>IF(A288="","",IF(AF288&gt;0,"Facture",IF(AND(F288&lt;&gt;"",AA288="Facture",ISNUMBER(MATCH(F288,dv_num,0))),"Devis","")))</f>
        <v/>
      </c>
      <c r="AH288" s="62" t="str">
        <f>IF(AND(A288&lt;&gt;"",F288&lt;&gt;"",AA288&lt;&gt;"Avoir"),F288,"")</f>
        <v/>
      </c>
      <c r="AI288" s="62" t="str">
        <f>IF(AG288="Devis",F288,"")</f>
        <v/>
      </c>
      <c r="AJ288" s="62">
        <f>IF(AG288="Facture",SUMIF(fl_doc,A288,fl_ht),IF(AG288="Devis",SUMIF(dl_doc,F288,dl_ht),0))</f>
        <v>0.0</v>
      </c>
      <c r="AK288" s="62">
        <f>IF(OR(AG288="",INDEX(p_rates,1)=""),0,IF(AG288="Facture",SUMIFS(fl_ht,fl_doc,A288,fl_rate,INDEX(p_rates,1)),SUMIFS(dl_ht,dl_doc,F288,dl_rate,INDEX(p_rates,1))))</f>
        <v>0.0</v>
      </c>
      <c r="AL288" s="62">
        <f>IF(OR(AG288="",INDEX(p_rates,2)=""),0,IF(AG288="Facture",SUMIFS(fl_ht,fl_doc,A288,fl_rate,INDEX(p_rates,2)),SUMIFS(dl_ht,dl_doc,F288,dl_rate,INDEX(p_rates,2))))</f>
        <v>0.0</v>
      </c>
      <c r="AM288" s="62">
        <f>IF(OR(AG288="",INDEX(p_rates,3)=""),0,IF(AG288="Facture",SUMIFS(fl_ht,fl_doc,A288,fl_rate,INDEX(p_rates,3)),SUMIFS(dl_ht,dl_doc,F288,dl_rate,INDEX(p_rates,3))))</f>
        <v>0.0</v>
      </c>
      <c r="AN288" s="62">
        <f>IF(OR(AG288="",INDEX(p_rates,4)=""),0,IF(AG288="Facture",SUMIFS(fl_ht,fl_doc,A288,fl_rate,INDEX(p_rates,4)),SUMIFS(dl_ht,dl_doc,F288,dl_rate,INDEX(p_rates,4))))</f>
        <v>0.0</v>
      </c>
      <c r="AO288" s="62">
        <f>IF(OR(AG288="",INDEX(p_rates,5)=""),0,IF(AG288="Facture",SUMIFS(fl_ht,fl_doc,A288,fl_rate,INDEX(p_rates,5)),SUMIFS(dl_ht,dl_doc,F288,dl_rate,INDEX(p_rates,5))))</f>
        <v>0.0</v>
      </c>
      <c r="AP288" s="62">
        <f>IF(OR(AG288="",INDEX(p_rates,6)=""),0,IF(AG288="Facture",SUMIFS(fl_ht,fl_doc,A288,fl_rate,INDEX(p_rates,6)),SUMIFS(dl_ht,dl_doc,F288,dl_rate,INDEX(p_rates,6))))</f>
        <v>0.0</v>
      </c>
      <c r="AQ288" s="62">
        <f>ROUND(AK288*N(INDEX(p_rates,1)),2)+ROUND(AL288*N(INDEX(p_rates,2)),2)+ROUND(AM288*N(INDEX(p_rates,3)),2)+ROUND(AN288*N(INDEX(p_rates,4)),2)+ROUND(AO288*N(INDEX(p_rates,5)),2)+ROUND(AP288*N(INDEX(p_rates,6)),2)</f>
        <v>0.0</v>
      </c>
      <c r="AR288" s="62" t="str">
        <f>IF(OR(L288="",AA288&lt;&gt;"Facture"),"",IFERROR(IF(INDEX(fa_type,MATCH(L288,fa_num,0))="Facture d'acompte",MATCH(L288,fa_num,0),""),""))</f>
        <v/>
      </c>
      <c r="AS288" s="62" t="str">
        <f>IF(W288="","",IF(W288&lt;=0,"",IF(p_asof-P288&lt;=0,"Non échu",IF(p_asof-P288&lt;=30,"1-30 j",IF(p_asof-P288&lt;=60,"31-60 j",IF(p_asof-P288&lt;=90,"61-90 j","Plus de 90 j"))))))</f>
        <v/>
      </c>
      <c r="AT288" s="62" t="str">
        <f>IF(AS288="","",p_asof-P288)</f>
        <v/>
      </c>
      <c r="AU288" s="62" t="str">
        <f>IF(AT288="","",COUNTIF($AT$6:$AT$805,"&gt;"&amp;AT288)+COUNTIF($AT$6:AT288,AT288))</f>
        <v/>
      </c>
    </row>
    <row r="289">
      <c r="A289" s="59" t="str">
        <f>IF(AE289="","",AB289&amp;"-"&amp;AD289&amp;"-"&amp;RIGHT("000"&amp;AE289,4))</f>
        <v/>
      </c>
      <c r="B289" s="60" t="n"/>
      <c r="C289" s="61" t="n"/>
      <c r="D289" s="60" t="n"/>
      <c r="E289" s="62" t="str">
        <f>IF(D289="","",IFERROR(INDEX(cli_name,MATCH(D289,cli_code,0))&amp;"","Client inconnu"))</f>
        <v/>
      </c>
      <c r="F289" s="60" t="n"/>
      <c r="G289" s="63" t="n"/>
      <c r="H289" s="61" t="n"/>
      <c r="I289" s="63" t="n"/>
      <c r="J289" s="60" t="n"/>
      <c r="K289" s="61" t="n"/>
      <c r="L289" s="60" t="n"/>
      <c r="M289" s="60" t="n"/>
      <c r="N289" s="60" t="n"/>
      <c r="O289" s="61" t="n"/>
      <c r="P289" s="64" t="str">
        <f>IF(A289="","",IF(AA289="Avoir",AC289,IF(ISNUMBER(K289),K289,AC289+IF(D289="",N(p_delay),IFERROR(IF(ISNUMBER(INDEX(cli_delay,MATCH(D289,cli_code,0))),INDEX(cli_delay,MATCH(D289,cli_code,0)),N(p_delay)),N(p_delay))))))</f>
        <v/>
      </c>
      <c r="Q289" s="65" t="str">
        <f>IF(A289="","",IF(AA289="Avoir",-1,1)*ROUND(AJ289-IF(AR289="",0,INDEX(fa_htb,AR289)),2))</f>
        <v/>
      </c>
      <c r="R289" s="65" t="str">
        <f>IF(A289="","",IF(AA289="Avoir",-1,1)*ROUND(AQ289-IF(AR289="",0,INDEX(fa_tvab,AR289)),2))</f>
        <v/>
      </c>
      <c r="S289" s="65" t="str">
        <f>IF(A289="","",Q289+R289)</f>
        <v/>
      </c>
      <c r="T289" s="65" t="str">
        <f>IF(AR289="","",INDEX(fa_htb,AR289)+INDEX(fa_tvab,AR289))</f>
        <v/>
      </c>
      <c r="U289" s="65" t="str">
        <f>IF(A289="","",SUMIF(pa_inv,A289,pa_amt))</f>
        <v/>
      </c>
      <c r="V289" s="65" t="str">
        <f>IF(OR(A289="",AA289="Avoir"),"",-SUMIFS(fa_ttc,fa_avof,A289,fa_type,"Avoir"))</f>
        <v/>
      </c>
      <c r="W289" s="65" t="str">
        <f>IF(OR(A289="",AA289="Avoir"),"",ROUND(S289-U289-V289,2))</f>
        <v/>
      </c>
      <c r="X289" s="66" t="str">
        <f>IF(W289="","",IF(AND(W289&gt;0,p_asof&gt;P289),p_asof-P289,""))</f>
        <v/>
      </c>
      <c r="Y289" s="59" t="str">
        <f>IF(A289="","",IF(AA289="Avoir","Avoir",IF(W289&lt;0,"Trop-perçu",IF(W289=0,"Soldée",IF(p_asof&gt;P289,"En retard",IF(U289+V289&gt;0,"Partielle","À échoir"))))))</f>
        <v/>
      </c>
      <c r="Z289" s="59" t="str">
        <f>IF(NOT(COUNTA(B289:D289,F289:O289)&gt;0),"",IF(C289="","Date manquante",IF(NOT(ISNUMBER(C289)),"Date invalide",IF(D289="","Client manquant",IF(ISNA(MATCH(D289,cli_code,0)),"Client inconnu",IF(AC289&lt;SUMPRODUCT(MAX(($AB$6:AB288=AB289)*$AC$6:AC288)),"Date antérieure à la facture précédente",IF(AND(F289&lt;&gt;"",ISNA(MATCH(F289,dv_num,0))),"Devis inconnu",IF(AND(F289&lt;&gt;"",IFERROR(INDEX(dv_client,MATCH(F289,dv_num,0)),D289)&lt;&gt;D289),"Client différent de celui du devis",IF(AG289="","Aucune ligne : saisissez des lignes ou un devis",IF(AND(AI289&lt;&gt;"",COUNTIF($AI$6:AI289,AI289)&gt;1),"Devis déjà repris par une autre facture",IF(AND(AA289="Avoir",M289=""),"Avoir : indiquez la facture d'origine",IF(AND(AA289="Avoir",ISNA(MATCH(M289,fa_num,0))),"Facture d'origine inconnue",IF(AND(AA289&lt;&gt;"Avoir",M289&lt;&gt;""),"« Avoir sur facture » : réservé aux avoirs",IF(AND(L289&lt;&gt;"",AA289&lt;&gt;"Facture"),"Acompte à déduire : réservé aux factures",IF(AND(L289&lt;&gt;"",ISNA(MATCH(L289,fa_num,0))),"Facture d'acompte inconnue",IF(AND(L289&lt;&gt;"",IFERROR(INDEX(fa_type,MATCH(L289,fa_num,0)),"")&lt;&gt;"Facture d'acompte"),"Le n° à déduire n'est pas une facture d'acompte",IF(AND(L289&lt;&gt;"",COUNTIF($L$6:L289,L289)&gt;1),"Acompte déjà déduit sur une autre facture",IF(AND(L289&lt;&gt;"",IFERROR(INDEX(fa_client,MATCH(L289,fa_num,0)),D289)&lt;&gt;D289),"Acompte d'un autre client",IF(AND(AR289&lt;&gt;"",N(Q289)&lt;0),"Acompte supérieur au total de la facture",IF(IF(AG289="Facture",COUNTIFS(fl_doc,A289,fl_check,"&lt;&gt;OK"),IF(AG289="Devis",COUNTIFS(dl_doc,F289,dl_check,"&lt;&gt;OK"),0))&gt;0,"Ligne(s) à corriger",IF(AND(W289&lt;&gt;"",N(W289)&lt;0),"Trop-perçu : vérifiez paiements et avoirs","OK")))))))))))))))))))))</f>
        <v/>
      </c>
      <c r="AA289" s="62" t="str">
        <f>IF(COUNTA(B289:D289,F289:O289)&gt;0,IF(B289="","Facture",B289),"")</f>
        <v/>
      </c>
      <c r="AB289" s="62" t="str">
        <f>IF(AA289="","",IF(AA289="Avoir",p_pav,IF(AA289="Facture d'acompte",p_pac,p_pfa)))</f>
        <v/>
      </c>
      <c r="AC289" s="62">
        <f>IF(ISNUMBER(C289),C289,0)</f>
        <v>0.0</v>
      </c>
      <c r="AD289" s="62" t="str">
        <f>IF(OR(AA289="",AC289=0),"",YEAR(AC289))</f>
        <v/>
      </c>
      <c r="AE289" s="62" t="str">
        <f>IF(AD289="","",COUNTIFS($AB$6:AB289,AB289,$AD$6:AD289,AD289))</f>
        <v/>
      </c>
      <c r="AF289" s="62">
        <f>IF(A289="",0,COUNTIF(fl_doc,A289))</f>
        <v>0.0</v>
      </c>
      <c r="AG289" s="62" t="str">
        <f>IF(A289="","",IF(AF289&gt;0,"Facture",IF(AND(F289&lt;&gt;"",AA289="Facture",ISNUMBER(MATCH(F289,dv_num,0))),"Devis","")))</f>
        <v/>
      </c>
      <c r="AH289" s="62" t="str">
        <f>IF(AND(A289&lt;&gt;"",F289&lt;&gt;"",AA289&lt;&gt;"Avoir"),F289,"")</f>
        <v/>
      </c>
      <c r="AI289" s="62" t="str">
        <f>IF(AG289="Devis",F289,"")</f>
        <v/>
      </c>
      <c r="AJ289" s="62">
        <f>IF(AG289="Facture",SUMIF(fl_doc,A289,fl_ht),IF(AG289="Devis",SUMIF(dl_doc,F289,dl_ht),0))</f>
        <v>0.0</v>
      </c>
      <c r="AK289" s="62">
        <f>IF(OR(AG289="",INDEX(p_rates,1)=""),0,IF(AG289="Facture",SUMIFS(fl_ht,fl_doc,A289,fl_rate,INDEX(p_rates,1)),SUMIFS(dl_ht,dl_doc,F289,dl_rate,INDEX(p_rates,1))))</f>
        <v>0.0</v>
      </c>
      <c r="AL289" s="62">
        <f>IF(OR(AG289="",INDEX(p_rates,2)=""),0,IF(AG289="Facture",SUMIFS(fl_ht,fl_doc,A289,fl_rate,INDEX(p_rates,2)),SUMIFS(dl_ht,dl_doc,F289,dl_rate,INDEX(p_rates,2))))</f>
        <v>0.0</v>
      </c>
      <c r="AM289" s="62">
        <f>IF(OR(AG289="",INDEX(p_rates,3)=""),0,IF(AG289="Facture",SUMIFS(fl_ht,fl_doc,A289,fl_rate,INDEX(p_rates,3)),SUMIFS(dl_ht,dl_doc,F289,dl_rate,INDEX(p_rates,3))))</f>
        <v>0.0</v>
      </c>
      <c r="AN289" s="62">
        <f>IF(OR(AG289="",INDEX(p_rates,4)=""),0,IF(AG289="Facture",SUMIFS(fl_ht,fl_doc,A289,fl_rate,INDEX(p_rates,4)),SUMIFS(dl_ht,dl_doc,F289,dl_rate,INDEX(p_rates,4))))</f>
        <v>0.0</v>
      </c>
      <c r="AO289" s="62">
        <f>IF(OR(AG289="",INDEX(p_rates,5)=""),0,IF(AG289="Facture",SUMIFS(fl_ht,fl_doc,A289,fl_rate,INDEX(p_rates,5)),SUMIFS(dl_ht,dl_doc,F289,dl_rate,INDEX(p_rates,5))))</f>
        <v>0.0</v>
      </c>
      <c r="AP289" s="62">
        <f>IF(OR(AG289="",INDEX(p_rates,6)=""),0,IF(AG289="Facture",SUMIFS(fl_ht,fl_doc,A289,fl_rate,INDEX(p_rates,6)),SUMIFS(dl_ht,dl_doc,F289,dl_rate,INDEX(p_rates,6))))</f>
        <v>0.0</v>
      </c>
      <c r="AQ289" s="62">
        <f>ROUND(AK289*N(INDEX(p_rates,1)),2)+ROUND(AL289*N(INDEX(p_rates,2)),2)+ROUND(AM289*N(INDEX(p_rates,3)),2)+ROUND(AN289*N(INDEX(p_rates,4)),2)+ROUND(AO289*N(INDEX(p_rates,5)),2)+ROUND(AP289*N(INDEX(p_rates,6)),2)</f>
        <v>0.0</v>
      </c>
      <c r="AR289" s="62" t="str">
        <f>IF(OR(L289="",AA289&lt;&gt;"Facture"),"",IFERROR(IF(INDEX(fa_type,MATCH(L289,fa_num,0))="Facture d'acompte",MATCH(L289,fa_num,0),""),""))</f>
        <v/>
      </c>
      <c r="AS289" s="62" t="str">
        <f>IF(W289="","",IF(W289&lt;=0,"",IF(p_asof-P289&lt;=0,"Non échu",IF(p_asof-P289&lt;=30,"1-30 j",IF(p_asof-P289&lt;=60,"31-60 j",IF(p_asof-P289&lt;=90,"61-90 j","Plus de 90 j"))))))</f>
        <v/>
      </c>
      <c r="AT289" s="62" t="str">
        <f>IF(AS289="","",p_asof-P289)</f>
        <v/>
      </c>
      <c r="AU289" s="62" t="str">
        <f>IF(AT289="","",COUNTIF($AT$6:$AT$805,"&gt;"&amp;AT289)+COUNTIF($AT$6:AT289,AT289))</f>
        <v/>
      </c>
    </row>
    <row r="290">
      <c r="A290" s="59" t="str">
        <f>IF(AE290="","",AB290&amp;"-"&amp;AD290&amp;"-"&amp;RIGHT("000"&amp;AE290,4))</f>
        <v/>
      </c>
      <c r="B290" s="60" t="n"/>
      <c r="C290" s="61" t="n"/>
      <c r="D290" s="60" t="n"/>
      <c r="E290" s="62" t="str">
        <f>IF(D290="","",IFERROR(INDEX(cli_name,MATCH(D290,cli_code,0))&amp;"","Client inconnu"))</f>
        <v/>
      </c>
      <c r="F290" s="60" t="n"/>
      <c r="G290" s="63" t="n"/>
      <c r="H290" s="61" t="n"/>
      <c r="I290" s="63" t="n"/>
      <c r="J290" s="60" t="n"/>
      <c r="K290" s="61" t="n"/>
      <c r="L290" s="60" t="n"/>
      <c r="M290" s="60" t="n"/>
      <c r="N290" s="60" t="n"/>
      <c r="O290" s="61" t="n"/>
      <c r="P290" s="64" t="str">
        <f>IF(A290="","",IF(AA290="Avoir",AC290,IF(ISNUMBER(K290),K290,AC290+IF(D290="",N(p_delay),IFERROR(IF(ISNUMBER(INDEX(cli_delay,MATCH(D290,cli_code,0))),INDEX(cli_delay,MATCH(D290,cli_code,0)),N(p_delay)),N(p_delay))))))</f>
        <v/>
      </c>
      <c r="Q290" s="65" t="str">
        <f>IF(A290="","",IF(AA290="Avoir",-1,1)*ROUND(AJ290-IF(AR290="",0,INDEX(fa_htb,AR290)),2))</f>
        <v/>
      </c>
      <c r="R290" s="65" t="str">
        <f>IF(A290="","",IF(AA290="Avoir",-1,1)*ROUND(AQ290-IF(AR290="",0,INDEX(fa_tvab,AR290)),2))</f>
        <v/>
      </c>
      <c r="S290" s="65" t="str">
        <f>IF(A290="","",Q290+R290)</f>
        <v/>
      </c>
      <c r="T290" s="65" t="str">
        <f>IF(AR290="","",INDEX(fa_htb,AR290)+INDEX(fa_tvab,AR290))</f>
        <v/>
      </c>
      <c r="U290" s="65" t="str">
        <f>IF(A290="","",SUMIF(pa_inv,A290,pa_amt))</f>
        <v/>
      </c>
      <c r="V290" s="65" t="str">
        <f>IF(OR(A290="",AA290="Avoir"),"",-SUMIFS(fa_ttc,fa_avof,A290,fa_type,"Avoir"))</f>
        <v/>
      </c>
      <c r="W290" s="65" t="str">
        <f>IF(OR(A290="",AA290="Avoir"),"",ROUND(S290-U290-V290,2))</f>
        <v/>
      </c>
      <c r="X290" s="66" t="str">
        <f>IF(W290="","",IF(AND(W290&gt;0,p_asof&gt;P290),p_asof-P290,""))</f>
        <v/>
      </c>
      <c r="Y290" s="59" t="str">
        <f>IF(A290="","",IF(AA290="Avoir","Avoir",IF(W290&lt;0,"Trop-perçu",IF(W290=0,"Soldée",IF(p_asof&gt;P290,"En retard",IF(U290+V290&gt;0,"Partielle","À échoir"))))))</f>
        <v/>
      </c>
      <c r="Z290" s="59" t="str">
        <f>IF(NOT(COUNTA(B290:D290,F290:O290)&gt;0),"",IF(C290="","Date manquante",IF(NOT(ISNUMBER(C290)),"Date invalide",IF(D290="","Client manquant",IF(ISNA(MATCH(D290,cli_code,0)),"Client inconnu",IF(AC290&lt;SUMPRODUCT(MAX(($AB$6:AB289=AB290)*$AC$6:AC289)),"Date antérieure à la facture précédente",IF(AND(F290&lt;&gt;"",ISNA(MATCH(F290,dv_num,0))),"Devis inconnu",IF(AND(F290&lt;&gt;"",IFERROR(INDEX(dv_client,MATCH(F290,dv_num,0)),D290)&lt;&gt;D290),"Client différent de celui du devis",IF(AG290="","Aucune ligne : saisissez des lignes ou un devis",IF(AND(AI290&lt;&gt;"",COUNTIF($AI$6:AI290,AI290)&gt;1),"Devis déjà repris par une autre facture",IF(AND(AA290="Avoir",M290=""),"Avoir : indiquez la facture d'origine",IF(AND(AA290="Avoir",ISNA(MATCH(M290,fa_num,0))),"Facture d'origine inconnue",IF(AND(AA290&lt;&gt;"Avoir",M290&lt;&gt;""),"« Avoir sur facture » : réservé aux avoirs",IF(AND(L290&lt;&gt;"",AA290&lt;&gt;"Facture"),"Acompte à déduire : réservé aux factures",IF(AND(L290&lt;&gt;"",ISNA(MATCH(L290,fa_num,0))),"Facture d'acompte inconnue",IF(AND(L290&lt;&gt;"",IFERROR(INDEX(fa_type,MATCH(L290,fa_num,0)),"")&lt;&gt;"Facture d'acompte"),"Le n° à déduire n'est pas une facture d'acompte",IF(AND(L290&lt;&gt;"",COUNTIF($L$6:L290,L290)&gt;1),"Acompte déjà déduit sur une autre facture",IF(AND(L290&lt;&gt;"",IFERROR(INDEX(fa_client,MATCH(L290,fa_num,0)),D290)&lt;&gt;D290),"Acompte d'un autre client",IF(AND(AR290&lt;&gt;"",N(Q290)&lt;0),"Acompte supérieur au total de la facture",IF(IF(AG290="Facture",COUNTIFS(fl_doc,A290,fl_check,"&lt;&gt;OK"),IF(AG290="Devis",COUNTIFS(dl_doc,F290,dl_check,"&lt;&gt;OK"),0))&gt;0,"Ligne(s) à corriger",IF(AND(W290&lt;&gt;"",N(W290)&lt;0),"Trop-perçu : vérifiez paiements et avoirs","OK")))))))))))))))))))))</f>
        <v/>
      </c>
      <c r="AA290" s="62" t="str">
        <f>IF(COUNTA(B290:D290,F290:O290)&gt;0,IF(B290="","Facture",B290),"")</f>
        <v/>
      </c>
      <c r="AB290" s="62" t="str">
        <f>IF(AA290="","",IF(AA290="Avoir",p_pav,IF(AA290="Facture d'acompte",p_pac,p_pfa)))</f>
        <v/>
      </c>
      <c r="AC290" s="62">
        <f>IF(ISNUMBER(C290),C290,0)</f>
        <v>0.0</v>
      </c>
      <c r="AD290" s="62" t="str">
        <f>IF(OR(AA290="",AC290=0),"",YEAR(AC290))</f>
        <v/>
      </c>
      <c r="AE290" s="62" t="str">
        <f>IF(AD290="","",COUNTIFS($AB$6:AB290,AB290,$AD$6:AD290,AD290))</f>
        <v/>
      </c>
      <c r="AF290" s="62">
        <f>IF(A290="",0,COUNTIF(fl_doc,A290))</f>
        <v>0.0</v>
      </c>
      <c r="AG290" s="62" t="str">
        <f>IF(A290="","",IF(AF290&gt;0,"Facture",IF(AND(F290&lt;&gt;"",AA290="Facture",ISNUMBER(MATCH(F290,dv_num,0))),"Devis","")))</f>
        <v/>
      </c>
      <c r="AH290" s="62" t="str">
        <f>IF(AND(A290&lt;&gt;"",F290&lt;&gt;"",AA290&lt;&gt;"Avoir"),F290,"")</f>
        <v/>
      </c>
      <c r="AI290" s="62" t="str">
        <f>IF(AG290="Devis",F290,"")</f>
        <v/>
      </c>
      <c r="AJ290" s="62">
        <f>IF(AG290="Facture",SUMIF(fl_doc,A290,fl_ht),IF(AG290="Devis",SUMIF(dl_doc,F290,dl_ht),0))</f>
        <v>0.0</v>
      </c>
      <c r="AK290" s="62">
        <f>IF(OR(AG290="",INDEX(p_rates,1)=""),0,IF(AG290="Facture",SUMIFS(fl_ht,fl_doc,A290,fl_rate,INDEX(p_rates,1)),SUMIFS(dl_ht,dl_doc,F290,dl_rate,INDEX(p_rates,1))))</f>
        <v>0.0</v>
      </c>
      <c r="AL290" s="62">
        <f>IF(OR(AG290="",INDEX(p_rates,2)=""),0,IF(AG290="Facture",SUMIFS(fl_ht,fl_doc,A290,fl_rate,INDEX(p_rates,2)),SUMIFS(dl_ht,dl_doc,F290,dl_rate,INDEX(p_rates,2))))</f>
        <v>0.0</v>
      </c>
      <c r="AM290" s="62">
        <f>IF(OR(AG290="",INDEX(p_rates,3)=""),0,IF(AG290="Facture",SUMIFS(fl_ht,fl_doc,A290,fl_rate,INDEX(p_rates,3)),SUMIFS(dl_ht,dl_doc,F290,dl_rate,INDEX(p_rates,3))))</f>
        <v>0.0</v>
      </c>
      <c r="AN290" s="62">
        <f>IF(OR(AG290="",INDEX(p_rates,4)=""),0,IF(AG290="Facture",SUMIFS(fl_ht,fl_doc,A290,fl_rate,INDEX(p_rates,4)),SUMIFS(dl_ht,dl_doc,F290,dl_rate,INDEX(p_rates,4))))</f>
        <v>0.0</v>
      </c>
      <c r="AO290" s="62">
        <f>IF(OR(AG290="",INDEX(p_rates,5)=""),0,IF(AG290="Facture",SUMIFS(fl_ht,fl_doc,A290,fl_rate,INDEX(p_rates,5)),SUMIFS(dl_ht,dl_doc,F290,dl_rate,INDEX(p_rates,5))))</f>
        <v>0.0</v>
      </c>
      <c r="AP290" s="62">
        <f>IF(OR(AG290="",INDEX(p_rates,6)=""),0,IF(AG290="Facture",SUMIFS(fl_ht,fl_doc,A290,fl_rate,INDEX(p_rates,6)),SUMIFS(dl_ht,dl_doc,F290,dl_rate,INDEX(p_rates,6))))</f>
        <v>0.0</v>
      </c>
      <c r="AQ290" s="62">
        <f>ROUND(AK290*N(INDEX(p_rates,1)),2)+ROUND(AL290*N(INDEX(p_rates,2)),2)+ROUND(AM290*N(INDEX(p_rates,3)),2)+ROUND(AN290*N(INDEX(p_rates,4)),2)+ROUND(AO290*N(INDEX(p_rates,5)),2)+ROUND(AP290*N(INDEX(p_rates,6)),2)</f>
        <v>0.0</v>
      </c>
      <c r="AR290" s="62" t="str">
        <f>IF(OR(L290="",AA290&lt;&gt;"Facture"),"",IFERROR(IF(INDEX(fa_type,MATCH(L290,fa_num,0))="Facture d'acompte",MATCH(L290,fa_num,0),""),""))</f>
        <v/>
      </c>
      <c r="AS290" s="62" t="str">
        <f>IF(W290="","",IF(W290&lt;=0,"",IF(p_asof-P290&lt;=0,"Non échu",IF(p_asof-P290&lt;=30,"1-30 j",IF(p_asof-P290&lt;=60,"31-60 j",IF(p_asof-P290&lt;=90,"61-90 j","Plus de 90 j"))))))</f>
        <v/>
      </c>
      <c r="AT290" s="62" t="str">
        <f>IF(AS290="","",p_asof-P290)</f>
        <v/>
      </c>
      <c r="AU290" s="62" t="str">
        <f>IF(AT290="","",COUNTIF($AT$6:$AT$805,"&gt;"&amp;AT290)+COUNTIF($AT$6:AT290,AT290))</f>
        <v/>
      </c>
    </row>
    <row r="291">
      <c r="A291" s="59" t="str">
        <f>IF(AE291="","",AB291&amp;"-"&amp;AD291&amp;"-"&amp;RIGHT("000"&amp;AE291,4))</f>
        <v/>
      </c>
      <c r="B291" s="60" t="n"/>
      <c r="C291" s="61" t="n"/>
      <c r="D291" s="60" t="n"/>
      <c r="E291" s="62" t="str">
        <f>IF(D291="","",IFERROR(INDEX(cli_name,MATCH(D291,cli_code,0))&amp;"","Client inconnu"))</f>
        <v/>
      </c>
      <c r="F291" s="60" t="n"/>
      <c r="G291" s="63" t="n"/>
      <c r="H291" s="61" t="n"/>
      <c r="I291" s="63" t="n"/>
      <c r="J291" s="60" t="n"/>
      <c r="K291" s="61" t="n"/>
      <c r="L291" s="60" t="n"/>
      <c r="M291" s="60" t="n"/>
      <c r="N291" s="60" t="n"/>
      <c r="O291" s="61" t="n"/>
      <c r="P291" s="64" t="str">
        <f>IF(A291="","",IF(AA291="Avoir",AC291,IF(ISNUMBER(K291),K291,AC291+IF(D291="",N(p_delay),IFERROR(IF(ISNUMBER(INDEX(cli_delay,MATCH(D291,cli_code,0))),INDEX(cli_delay,MATCH(D291,cli_code,0)),N(p_delay)),N(p_delay))))))</f>
        <v/>
      </c>
      <c r="Q291" s="65" t="str">
        <f>IF(A291="","",IF(AA291="Avoir",-1,1)*ROUND(AJ291-IF(AR291="",0,INDEX(fa_htb,AR291)),2))</f>
        <v/>
      </c>
      <c r="R291" s="65" t="str">
        <f>IF(A291="","",IF(AA291="Avoir",-1,1)*ROUND(AQ291-IF(AR291="",0,INDEX(fa_tvab,AR291)),2))</f>
        <v/>
      </c>
      <c r="S291" s="65" t="str">
        <f>IF(A291="","",Q291+R291)</f>
        <v/>
      </c>
      <c r="T291" s="65" t="str">
        <f>IF(AR291="","",INDEX(fa_htb,AR291)+INDEX(fa_tvab,AR291))</f>
        <v/>
      </c>
      <c r="U291" s="65" t="str">
        <f>IF(A291="","",SUMIF(pa_inv,A291,pa_amt))</f>
        <v/>
      </c>
      <c r="V291" s="65" t="str">
        <f>IF(OR(A291="",AA291="Avoir"),"",-SUMIFS(fa_ttc,fa_avof,A291,fa_type,"Avoir"))</f>
        <v/>
      </c>
      <c r="W291" s="65" t="str">
        <f>IF(OR(A291="",AA291="Avoir"),"",ROUND(S291-U291-V291,2))</f>
        <v/>
      </c>
      <c r="X291" s="66" t="str">
        <f>IF(W291="","",IF(AND(W291&gt;0,p_asof&gt;P291),p_asof-P291,""))</f>
        <v/>
      </c>
      <c r="Y291" s="59" t="str">
        <f>IF(A291="","",IF(AA291="Avoir","Avoir",IF(W291&lt;0,"Trop-perçu",IF(W291=0,"Soldée",IF(p_asof&gt;P291,"En retard",IF(U291+V291&gt;0,"Partielle","À échoir"))))))</f>
        <v/>
      </c>
      <c r="Z291" s="59" t="str">
        <f>IF(NOT(COUNTA(B291:D291,F291:O291)&gt;0),"",IF(C291="","Date manquante",IF(NOT(ISNUMBER(C291)),"Date invalide",IF(D291="","Client manquant",IF(ISNA(MATCH(D291,cli_code,0)),"Client inconnu",IF(AC291&lt;SUMPRODUCT(MAX(($AB$6:AB290=AB291)*$AC$6:AC290)),"Date antérieure à la facture précédente",IF(AND(F291&lt;&gt;"",ISNA(MATCH(F291,dv_num,0))),"Devis inconnu",IF(AND(F291&lt;&gt;"",IFERROR(INDEX(dv_client,MATCH(F291,dv_num,0)),D291)&lt;&gt;D291),"Client différent de celui du devis",IF(AG291="","Aucune ligne : saisissez des lignes ou un devis",IF(AND(AI291&lt;&gt;"",COUNTIF($AI$6:AI291,AI291)&gt;1),"Devis déjà repris par une autre facture",IF(AND(AA291="Avoir",M291=""),"Avoir : indiquez la facture d'origine",IF(AND(AA291="Avoir",ISNA(MATCH(M291,fa_num,0))),"Facture d'origine inconnue",IF(AND(AA291&lt;&gt;"Avoir",M291&lt;&gt;""),"« Avoir sur facture » : réservé aux avoirs",IF(AND(L291&lt;&gt;"",AA291&lt;&gt;"Facture"),"Acompte à déduire : réservé aux factures",IF(AND(L291&lt;&gt;"",ISNA(MATCH(L291,fa_num,0))),"Facture d'acompte inconnue",IF(AND(L291&lt;&gt;"",IFERROR(INDEX(fa_type,MATCH(L291,fa_num,0)),"")&lt;&gt;"Facture d'acompte"),"Le n° à déduire n'est pas une facture d'acompte",IF(AND(L291&lt;&gt;"",COUNTIF($L$6:L291,L291)&gt;1),"Acompte déjà déduit sur une autre facture",IF(AND(L291&lt;&gt;"",IFERROR(INDEX(fa_client,MATCH(L291,fa_num,0)),D291)&lt;&gt;D291),"Acompte d'un autre client",IF(AND(AR291&lt;&gt;"",N(Q291)&lt;0),"Acompte supérieur au total de la facture",IF(IF(AG291="Facture",COUNTIFS(fl_doc,A291,fl_check,"&lt;&gt;OK"),IF(AG291="Devis",COUNTIFS(dl_doc,F291,dl_check,"&lt;&gt;OK"),0))&gt;0,"Ligne(s) à corriger",IF(AND(W291&lt;&gt;"",N(W291)&lt;0),"Trop-perçu : vérifiez paiements et avoirs","OK")))))))))))))))))))))</f>
        <v/>
      </c>
      <c r="AA291" s="62" t="str">
        <f>IF(COUNTA(B291:D291,F291:O291)&gt;0,IF(B291="","Facture",B291),"")</f>
        <v/>
      </c>
      <c r="AB291" s="62" t="str">
        <f>IF(AA291="","",IF(AA291="Avoir",p_pav,IF(AA291="Facture d'acompte",p_pac,p_pfa)))</f>
        <v/>
      </c>
      <c r="AC291" s="62">
        <f>IF(ISNUMBER(C291),C291,0)</f>
        <v>0.0</v>
      </c>
      <c r="AD291" s="62" t="str">
        <f>IF(OR(AA291="",AC291=0),"",YEAR(AC291))</f>
        <v/>
      </c>
      <c r="AE291" s="62" t="str">
        <f>IF(AD291="","",COUNTIFS($AB$6:AB291,AB291,$AD$6:AD291,AD291))</f>
        <v/>
      </c>
      <c r="AF291" s="62">
        <f>IF(A291="",0,COUNTIF(fl_doc,A291))</f>
        <v>0.0</v>
      </c>
      <c r="AG291" s="62" t="str">
        <f>IF(A291="","",IF(AF291&gt;0,"Facture",IF(AND(F291&lt;&gt;"",AA291="Facture",ISNUMBER(MATCH(F291,dv_num,0))),"Devis","")))</f>
        <v/>
      </c>
      <c r="AH291" s="62" t="str">
        <f>IF(AND(A291&lt;&gt;"",F291&lt;&gt;"",AA291&lt;&gt;"Avoir"),F291,"")</f>
        <v/>
      </c>
      <c r="AI291" s="62" t="str">
        <f>IF(AG291="Devis",F291,"")</f>
        <v/>
      </c>
      <c r="AJ291" s="62">
        <f>IF(AG291="Facture",SUMIF(fl_doc,A291,fl_ht),IF(AG291="Devis",SUMIF(dl_doc,F291,dl_ht),0))</f>
        <v>0.0</v>
      </c>
      <c r="AK291" s="62">
        <f>IF(OR(AG291="",INDEX(p_rates,1)=""),0,IF(AG291="Facture",SUMIFS(fl_ht,fl_doc,A291,fl_rate,INDEX(p_rates,1)),SUMIFS(dl_ht,dl_doc,F291,dl_rate,INDEX(p_rates,1))))</f>
        <v>0.0</v>
      </c>
      <c r="AL291" s="62">
        <f>IF(OR(AG291="",INDEX(p_rates,2)=""),0,IF(AG291="Facture",SUMIFS(fl_ht,fl_doc,A291,fl_rate,INDEX(p_rates,2)),SUMIFS(dl_ht,dl_doc,F291,dl_rate,INDEX(p_rates,2))))</f>
        <v>0.0</v>
      </c>
      <c r="AM291" s="62">
        <f>IF(OR(AG291="",INDEX(p_rates,3)=""),0,IF(AG291="Facture",SUMIFS(fl_ht,fl_doc,A291,fl_rate,INDEX(p_rates,3)),SUMIFS(dl_ht,dl_doc,F291,dl_rate,INDEX(p_rates,3))))</f>
        <v>0.0</v>
      </c>
      <c r="AN291" s="62">
        <f>IF(OR(AG291="",INDEX(p_rates,4)=""),0,IF(AG291="Facture",SUMIFS(fl_ht,fl_doc,A291,fl_rate,INDEX(p_rates,4)),SUMIFS(dl_ht,dl_doc,F291,dl_rate,INDEX(p_rates,4))))</f>
        <v>0.0</v>
      </c>
      <c r="AO291" s="62">
        <f>IF(OR(AG291="",INDEX(p_rates,5)=""),0,IF(AG291="Facture",SUMIFS(fl_ht,fl_doc,A291,fl_rate,INDEX(p_rates,5)),SUMIFS(dl_ht,dl_doc,F291,dl_rate,INDEX(p_rates,5))))</f>
        <v>0.0</v>
      </c>
      <c r="AP291" s="62">
        <f>IF(OR(AG291="",INDEX(p_rates,6)=""),0,IF(AG291="Facture",SUMIFS(fl_ht,fl_doc,A291,fl_rate,INDEX(p_rates,6)),SUMIFS(dl_ht,dl_doc,F291,dl_rate,INDEX(p_rates,6))))</f>
        <v>0.0</v>
      </c>
      <c r="AQ291" s="62">
        <f>ROUND(AK291*N(INDEX(p_rates,1)),2)+ROUND(AL291*N(INDEX(p_rates,2)),2)+ROUND(AM291*N(INDEX(p_rates,3)),2)+ROUND(AN291*N(INDEX(p_rates,4)),2)+ROUND(AO291*N(INDEX(p_rates,5)),2)+ROUND(AP291*N(INDEX(p_rates,6)),2)</f>
        <v>0.0</v>
      </c>
      <c r="AR291" s="62" t="str">
        <f>IF(OR(L291="",AA291&lt;&gt;"Facture"),"",IFERROR(IF(INDEX(fa_type,MATCH(L291,fa_num,0))="Facture d'acompte",MATCH(L291,fa_num,0),""),""))</f>
        <v/>
      </c>
      <c r="AS291" s="62" t="str">
        <f>IF(W291="","",IF(W291&lt;=0,"",IF(p_asof-P291&lt;=0,"Non échu",IF(p_asof-P291&lt;=30,"1-30 j",IF(p_asof-P291&lt;=60,"31-60 j",IF(p_asof-P291&lt;=90,"61-90 j","Plus de 90 j"))))))</f>
        <v/>
      </c>
      <c r="AT291" s="62" t="str">
        <f>IF(AS291="","",p_asof-P291)</f>
        <v/>
      </c>
      <c r="AU291" s="62" t="str">
        <f>IF(AT291="","",COUNTIF($AT$6:$AT$805,"&gt;"&amp;AT291)+COUNTIF($AT$6:AT291,AT291))</f>
        <v/>
      </c>
    </row>
    <row r="292">
      <c r="A292" s="59" t="str">
        <f>IF(AE292="","",AB292&amp;"-"&amp;AD292&amp;"-"&amp;RIGHT("000"&amp;AE292,4))</f>
        <v/>
      </c>
      <c r="B292" s="60" t="n"/>
      <c r="C292" s="61" t="n"/>
      <c r="D292" s="60" t="n"/>
      <c r="E292" s="62" t="str">
        <f>IF(D292="","",IFERROR(INDEX(cli_name,MATCH(D292,cli_code,0))&amp;"","Client inconnu"))</f>
        <v/>
      </c>
      <c r="F292" s="60" t="n"/>
      <c r="G292" s="63" t="n"/>
      <c r="H292" s="61" t="n"/>
      <c r="I292" s="63" t="n"/>
      <c r="J292" s="60" t="n"/>
      <c r="K292" s="61" t="n"/>
      <c r="L292" s="60" t="n"/>
      <c r="M292" s="60" t="n"/>
      <c r="N292" s="60" t="n"/>
      <c r="O292" s="61" t="n"/>
      <c r="P292" s="64" t="str">
        <f>IF(A292="","",IF(AA292="Avoir",AC292,IF(ISNUMBER(K292),K292,AC292+IF(D292="",N(p_delay),IFERROR(IF(ISNUMBER(INDEX(cli_delay,MATCH(D292,cli_code,0))),INDEX(cli_delay,MATCH(D292,cli_code,0)),N(p_delay)),N(p_delay))))))</f>
        <v/>
      </c>
      <c r="Q292" s="65" t="str">
        <f>IF(A292="","",IF(AA292="Avoir",-1,1)*ROUND(AJ292-IF(AR292="",0,INDEX(fa_htb,AR292)),2))</f>
        <v/>
      </c>
      <c r="R292" s="65" t="str">
        <f>IF(A292="","",IF(AA292="Avoir",-1,1)*ROUND(AQ292-IF(AR292="",0,INDEX(fa_tvab,AR292)),2))</f>
        <v/>
      </c>
      <c r="S292" s="65" t="str">
        <f>IF(A292="","",Q292+R292)</f>
        <v/>
      </c>
      <c r="T292" s="65" t="str">
        <f>IF(AR292="","",INDEX(fa_htb,AR292)+INDEX(fa_tvab,AR292))</f>
        <v/>
      </c>
      <c r="U292" s="65" t="str">
        <f>IF(A292="","",SUMIF(pa_inv,A292,pa_amt))</f>
        <v/>
      </c>
      <c r="V292" s="65" t="str">
        <f>IF(OR(A292="",AA292="Avoir"),"",-SUMIFS(fa_ttc,fa_avof,A292,fa_type,"Avoir"))</f>
        <v/>
      </c>
      <c r="W292" s="65" t="str">
        <f>IF(OR(A292="",AA292="Avoir"),"",ROUND(S292-U292-V292,2))</f>
        <v/>
      </c>
      <c r="X292" s="66" t="str">
        <f>IF(W292="","",IF(AND(W292&gt;0,p_asof&gt;P292),p_asof-P292,""))</f>
        <v/>
      </c>
      <c r="Y292" s="59" t="str">
        <f>IF(A292="","",IF(AA292="Avoir","Avoir",IF(W292&lt;0,"Trop-perçu",IF(W292=0,"Soldée",IF(p_asof&gt;P292,"En retard",IF(U292+V292&gt;0,"Partielle","À échoir"))))))</f>
        <v/>
      </c>
      <c r="Z292" s="59" t="str">
        <f>IF(NOT(COUNTA(B292:D292,F292:O292)&gt;0),"",IF(C292="","Date manquante",IF(NOT(ISNUMBER(C292)),"Date invalide",IF(D292="","Client manquant",IF(ISNA(MATCH(D292,cli_code,0)),"Client inconnu",IF(AC292&lt;SUMPRODUCT(MAX(($AB$6:AB291=AB292)*$AC$6:AC291)),"Date antérieure à la facture précédente",IF(AND(F292&lt;&gt;"",ISNA(MATCH(F292,dv_num,0))),"Devis inconnu",IF(AND(F292&lt;&gt;"",IFERROR(INDEX(dv_client,MATCH(F292,dv_num,0)),D292)&lt;&gt;D292),"Client différent de celui du devis",IF(AG292="","Aucune ligne : saisissez des lignes ou un devis",IF(AND(AI292&lt;&gt;"",COUNTIF($AI$6:AI292,AI292)&gt;1),"Devis déjà repris par une autre facture",IF(AND(AA292="Avoir",M292=""),"Avoir : indiquez la facture d'origine",IF(AND(AA292="Avoir",ISNA(MATCH(M292,fa_num,0))),"Facture d'origine inconnue",IF(AND(AA292&lt;&gt;"Avoir",M292&lt;&gt;""),"« Avoir sur facture » : réservé aux avoirs",IF(AND(L292&lt;&gt;"",AA292&lt;&gt;"Facture"),"Acompte à déduire : réservé aux factures",IF(AND(L292&lt;&gt;"",ISNA(MATCH(L292,fa_num,0))),"Facture d'acompte inconnue",IF(AND(L292&lt;&gt;"",IFERROR(INDEX(fa_type,MATCH(L292,fa_num,0)),"")&lt;&gt;"Facture d'acompte"),"Le n° à déduire n'est pas une facture d'acompte",IF(AND(L292&lt;&gt;"",COUNTIF($L$6:L292,L292)&gt;1),"Acompte déjà déduit sur une autre facture",IF(AND(L292&lt;&gt;"",IFERROR(INDEX(fa_client,MATCH(L292,fa_num,0)),D292)&lt;&gt;D292),"Acompte d'un autre client",IF(AND(AR292&lt;&gt;"",N(Q292)&lt;0),"Acompte supérieur au total de la facture",IF(IF(AG292="Facture",COUNTIFS(fl_doc,A292,fl_check,"&lt;&gt;OK"),IF(AG292="Devis",COUNTIFS(dl_doc,F292,dl_check,"&lt;&gt;OK"),0))&gt;0,"Ligne(s) à corriger",IF(AND(W292&lt;&gt;"",N(W292)&lt;0),"Trop-perçu : vérifiez paiements et avoirs","OK")))))))))))))))))))))</f>
        <v/>
      </c>
      <c r="AA292" s="62" t="str">
        <f>IF(COUNTA(B292:D292,F292:O292)&gt;0,IF(B292="","Facture",B292),"")</f>
        <v/>
      </c>
      <c r="AB292" s="62" t="str">
        <f>IF(AA292="","",IF(AA292="Avoir",p_pav,IF(AA292="Facture d'acompte",p_pac,p_pfa)))</f>
        <v/>
      </c>
      <c r="AC292" s="62">
        <f>IF(ISNUMBER(C292),C292,0)</f>
        <v>0.0</v>
      </c>
      <c r="AD292" s="62" t="str">
        <f>IF(OR(AA292="",AC292=0),"",YEAR(AC292))</f>
        <v/>
      </c>
      <c r="AE292" s="62" t="str">
        <f>IF(AD292="","",COUNTIFS($AB$6:AB292,AB292,$AD$6:AD292,AD292))</f>
        <v/>
      </c>
      <c r="AF292" s="62">
        <f>IF(A292="",0,COUNTIF(fl_doc,A292))</f>
        <v>0.0</v>
      </c>
      <c r="AG292" s="62" t="str">
        <f>IF(A292="","",IF(AF292&gt;0,"Facture",IF(AND(F292&lt;&gt;"",AA292="Facture",ISNUMBER(MATCH(F292,dv_num,0))),"Devis","")))</f>
        <v/>
      </c>
      <c r="AH292" s="62" t="str">
        <f>IF(AND(A292&lt;&gt;"",F292&lt;&gt;"",AA292&lt;&gt;"Avoir"),F292,"")</f>
        <v/>
      </c>
      <c r="AI292" s="62" t="str">
        <f>IF(AG292="Devis",F292,"")</f>
        <v/>
      </c>
      <c r="AJ292" s="62">
        <f>IF(AG292="Facture",SUMIF(fl_doc,A292,fl_ht),IF(AG292="Devis",SUMIF(dl_doc,F292,dl_ht),0))</f>
        <v>0.0</v>
      </c>
      <c r="AK292" s="62">
        <f>IF(OR(AG292="",INDEX(p_rates,1)=""),0,IF(AG292="Facture",SUMIFS(fl_ht,fl_doc,A292,fl_rate,INDEX(p_rates,1)),SUMIFS(dl_ht,dl_doc,F292,dl_rate,INDEX(p_rates,1))))</f>
        <v>0.0</v>
      </c>
      <c r="AL292" s="62">
        <f>IF(OR(AG292="",INDEX(p_rates,2)=""),0,IF(AG292="Facture",SUMIFS(fl_ht,fl_doc,A292,fl_rate,INDEX(p_rates,2)),SUMIFS(dl_ht,dl_doc,F292,dl_rate,INDEX(p_rates,2))))</f>
        <v>0.0</v>
      </c>
      <c r="AM292" s="62">
        <f>IF(OR(AG292="",INDEX(p_rates,3)=""),0,IF(AG292="Facture",SUMIFS(fl_ht,fl_doc,A292,fl_rate,INDEX(p_rates,3)),SUMIFS(dl_ht,dl_doc,F292,dl_rate,INDEX(p_rates,3))))</f>
        <v>0.0</v>
      </c>
      <c r="AN292" s="62">
        <f>IF(OR(AG292="",INDEX(p_rates,4)=""),0,IF(AG292="Facture",SUMIFS(fl_ht,fl_doc,A292,fl_rate,INDEX(p_rates,4)),SUMIFS(dl_ht,dl_doc,F292,dl_rate,INDEX(p_rates,4))))</f>
        <v>0.0</v>
      </c>
      <c r="AO292" s="62">
        <f>IF(OR(AG292="",INDEX(p_rates,5)=""),0,IF(AG292="Facture",SUMIFS(fl_ht,fl_doc,A292,fl_rate,INDEX(p_rates,5)),SUMIFS(dl_ht,dl_doc,F292,dl_rate,INDEX(p_rates,5))))</f>
        <v>0.0</v>
      </c>
      <c r="AP292" s="62">
        <f>IF(OR(AG292="",INDEX(p_rates,6)=""),0,IF(AG292="Facture",SUMIFS(fl_ht,fl_doc,A292,fl_rate,INDEX(p_rates,6)),SUMIFS(dl_ht,dl_doc,F292,dl_rate,INDEX(p_rates,6))))</f>
        <v>0.0</v>
      </c>
      <c r="AQ292" s="62">
        <f>ROUND(AK292*N(INDEX(p_rates,1)),2)+ROUND(AL292*N(INDEX(p_rates,2)),2)+ROUND(AM292*N(INDEX(p_rates,3)),2)+ROUND(AN292*N(INDEX(p_rates,4)),2)+ROUND(AO292*N(INDEX(p_rates,5)),2)+ROUND(AP292*N(INDEX(p_rates,6)),2)</f>
        <v>0.0</v>
      </c>
      <c r="AR292" s="62" t="str">
        <f>IF(OR(L292="",AA292&lt;&gt;"Facture"),"",IFERROR(IF(INDEX(fa_type,MATCH(L292,fa_num,0))="Facture d'acompte",MATCH(L292,fa_num,0),""),""))</f>
        <v/>
      </c>
      <c r="AS292" s="62" t="str">
        <f>IF(W292="","",IF(W292&lt;=0,"",IF(p_asof-P292&lt;=0,"Non échu",IF(p_asof-P292&lt;=30,"1-30 j",IF(p_asof-P292&lt;=60,"31-60 j",IF(p_asof-P292&lt;=90,"61-90 j","Plus de 90 j"))))))</f>
        <v/>
      </c>
      <c r="AT292" s="62" t="str">
        <f>IF(AS292="","",p_asof-P292)</f>
        <v/>
      </c>
      <c r="AU292" s="62" t="str">
        <f>IF(AT292="","",COUNTIF($AT$6:$AT$805,"&gt;"&amp;AT292)+COUNTIF($AT$6:AT292,AT292))</f>
        <v/>
      </c>
    </row>
    <row r="293">
      <c r="A293" s="59" t="str">
        <f>IF(AE293="","",AB293&amp;"-"&amp;AD293&amp;"-"&amp;RIGHT("000"&amp;AE293,4))</f>
        <v/>
      </c>
      <c r="B293" s="60" t="n"/>
      <c r="C293" s="61" t="n"/>
      <c r="D293" s="60" t="n"/>
      <c r="E293" s="62" t="str">
        <f>IF(D293="","",IFERROR(INDEX(cli_name,MATCH(D293,cli_code,0))&amp;"","Client inconnu"))</f>
        <v/>
      </c>
      <c r="F293" s="60" t="n"/>
      <c r="G293" s="63" t="n"/>
      <c r="H293" s="61" t="n"/>
      <c r="I293" s="63" t="n"/>
      <c r="J293" s="60" t="n"/>
      <c r="K293" s="61" t="n"/>
      <c r="L293" s="60" t="n"/>
      <c r="M293" s="60" t="n"/>
      <c r="N293" s="60" t="n"/>
      <c r="O293" s="61" t="n"/>
      <c r="P293" s="64" t="str">
        <f>IF(A293="","",IF(AA293="Avoir",AC293,IF(ISNUMBER(K293),K293,AC293+IF(D293="",N(p_delay),IFERROR(IF(ISNUMBER(INDEX(cli_delay,MATCH(D293,cli_code,0))),INDEX(cli_delay,MATCH(D293,cli_code,0)),N(p_delay)),N(p_delay))))))</f>
        <v/>
      </c>
      <c r="Q293" s="65" t="str">
        <f>IF(A293="","",IF(AA293="Avoir",-1,1)*ROUND(AJ293-IF(AR293="",0,INDEX(fa_htb,AR293)),2))</f>
        <v/>
      </c>
      <c r="R293" s="65" t="str">
        <f>IF(A293="","",IF(AA293="Avoir",-1,1)*ROUND(AQ293-IF(AR293="",0,INDEX(fa_tvab,AR293)),2))</f>
        <v/>
      </c>
      <c r="S293" s="65" t="str">
        <f>IF(A293="","",Q293+R293)</f>
        <v/>
      </c>
      <c r="T293" s="65" t="str">
        <f>IF(AR293="","",INDEX(fa_htb,AR293)+INDEX(fa_tvab,AR293))</f>
        <v/>
      </c>
      <c r="U293" s="65" t="str">
        <f>IF(A293="","",SUMIF(pa_inv,A293,pa_amt))</f>
        <v/>
      </c>
      <c r="V293" s="65" t="str">
        <f>IF(OR(A293="",AA293="Avoir"),"",-SUMIFS(fa_ttc,fa_avof,A293,fa_type,"Avoir"))</f>
        <v/>
      </c>
      <c r="W293" s="65" t="str">
        <f>IF(OR(A293="",AA293="Avoir"),"",ROUND(S293-U293-V293,2))</f>
        <v/>
      </c>
      <c r="X293" s="66" t="str">
        <f>IF(W293="","",IF(AND(W293&gt;0,p_asof&gt;P293),p_asof-P293,""))</f>
        <v/>
      </c>
      <c r="Y293" s="59" t="str">
        <f>IF(A293="","",IF(AA293="Avoir","Avoir",IF(W293&lt;0,"Trop-perçu",IF(W293=0,"Soldée",IF(p_asof&gt;P293,"En retard",IF(U293+V293&gt;0,"Partielle","À échoir"))))))</f>
        <v/>
      </c>
      <c r="Z293" s="59" t="str">
        <f>IF(NOT(COUNTA(B293:D293,F293:O293)&gt;0),"",IF(C293="","Date manquante",IF(NOT(ISNUMBER(C293)),"Date invalide",IF(D293="","Client manquant",IF(ISNA(MATCH(D293,cli_code,0)),"Client inconnu",IF(AC293&lt;SUMPRODUCT(MAX(($AB$6:AB292=AB293)*$AC$6:AC292)),"Date antérieure à la facture précédente",IF(AND(F293&lt;&gt;"",ISNA(MATCH(F293,dv_num,0))),"Devis inconnu",IF(AND(F293&lt;&gt;"",IFERROR(INDEX(dv_client,MATCH(F293,dv_num,0)),D293)&lt;&gt;D293),"Client différent de celui du devis",IF(AG293="","Aucune ligne : saisissez des lignes ou un devis",IF(AND(AI293&lt;&gt;"",COUNTIF($AI$6:AI293,AI293)&gt;1),"Devis déjà repris par une autre facture",IF(AND(AA293="Avoir",M293=""),"Avoir : indiquez la facture d'origine",IF(AND(AA293="Avoir",ISNA(MATCH(M293,fa_num,0))),"Facture d'origine inconnue",IF(AND(AA293&lt;&gt;"Avoir",M293&lt;&gt;""),"« Avoir sur facture » : réservé aux avoirs",IF(AND(L293&lt;&gt;"",AA293&lt;&gt;"Facture"),"Acompte à déduire : réservé aux factures",IF(AND(L293&lt;&gt;"",ISNA(MATCH(L293,fa_num,0))),"Facture d'acompte inconnue",IF(AND(L293&lt;&gt;"",IFERROR(INDEX(fa_type,MATCH(L293,fa_num,0)),"")&lt;&gt;"Facture d'acompte"),"Le n° à déduire n'est pas une facture d'acompte",IF(AND(L293&lt;&gt;"",COUNTIF($L$6:L293,L293)&gt;1),"Acompte déjà déduit sur une autre facture",IF(AND(L293&lt;&gt;"",IFERROR(INDEX(fa_client,MATCH(L293,fa_num,0)),D293)&lt;&gt;D293),"Acompte d'un autre client",IF(AND(AR293&lt;&gt;"",N(Q293)&lt;0),"Acompte supérieur au total de la facture",IF(IF(AG293="Facture",COUNTIFS(fl_doc,A293,fl_check,"&lt;&gt;OK"),IF(AG293="Devis",COUNTIFS(dl_doc,F293,dl_check,"&lt;&gt;OK"),0))&gt;0,"Ligne(s) à corriger",IF(AND(W293&lt;&gt;"",N(W293)&lt;0),"Trop-perçu : vérifiez paiements et avoirs","OK")))))))))))))))))))))</f>
        <v/>
      </c>
      <c r="AA293" s="62" t="str">
        <f>IF(COUNTA(B293:D293,F293:O293)&gt;0,IF(B293="","Facture",B293),"")</f>
        <v/>
      </c>
      <c r="AB293" s="62" t="str">
        <f>IF(AA293="","",IF(AA293="Avoir",p_pav,IF(AA293="Facture d'acompte",p_pac,p_pfa)))</f>
        <v/>
      </c>
      <c r="AC293" s="62">
        <f>IF(ISNUMBER(C293),C293,0)</f>
        <v>0.0</v>
      </c>
      <c r="AD293" s="62" t="str">
        <f>IF(OR(AA293="",AC293=0),"",YEAR(AC293))</f>
        <v/>
      </c>
      <c r="AE293" s="62" t="str">
        <f>IF(AD293="","",COUNTIFS($AB$6:AB293,AB293,$AD$6:AD293,AD293))</f>
        <v/>
      </c>
      <c r="AF293" s="62">
        <f>IF(A293="",0,COUNTIF(fl_doc,A293))</f>
        <v>0.0</v>
      </c>
      <c r="AG293" s="62" t="str">
        <f>IF(A293="","",IF(AF293&gt;0,"Facture",IF(AND(F293&lt;&gt;"",AA293="Facture",ISNUMBER(MATCH(F293,dv_num,0))),"Devis","")))</f>
        <v/>
      </c>
      <c r="AH293" s="62" t="str">
        <f>IF(AND(A293&lt;&gt;"",F293&lt;&gt;"",AA293&lt;&gt;"Avoir"),F293,"")</f>
        <v/>
      </c>
      <c r="AI293" s="62" t="str">
        <f>IF(AG293="Devis",F293,"")</f>
        <v/>
      </c>
      <c r="AJ293" s="62">
        <f>IF(AG293="Facture",SUMIF(fl_doc,A293,fl_ht),IF(AG293="Devis",SUMIF(dl_doc,F293,dl_ht),0))</f>
        <v>0.0</v>
      </c>
      <c r="AK293" s="62">
        <f>IF(OR(AG293="",INDEX(p_rates,1)=""),0,IF(AG293="Facture",SUMIFS(fl_ht,fl_doc,A293,fl_rate,INDEX(p_rates,1)),SUMIFS(dl_ht,dl_doc,F293,dl_rate,INDEX(p_rates,1))))</f>
        <v>0.0</v>
      </c>
      <c r="AL293" s="62">
        <f>IF(OR(AG293="",INDEX(p_rates,2)=""),0,IF(AG293="Facture",SUMIFS(fl_ht,fl_doc,A293,fl_rate,INDEX(p_rates,2)),SUMIFS(dl_ht,dl_doc,F293,dl_rate,INDEX(p_rates,2))))</f>
        <v>0.0</v>
      </c>
      <c r="AM293" s="62">
        <f>IF(OR(AG293="",INDEX(p_rates,3)=""),0,IF(AG293="Facture",SUMIFS(fl_ht,fl_doc,A293,fl_rate,INDEX(p_rates,3)),SUMIFS(dl_ht,dl_doc,F293,dl_rate,INDEX(p_rates,3))))</f>
        <v>0.0</v>
      </c>
      <c r="AN293" s="62">
        <f>IF(OR(AG293="",INDEX(p_rates,4)=""),0,IF(AG293="Facture",SUMIFS(fl_ht,fl_doc,A293,fl_rate,INDEX(p_rates,4)),SUMIFS(dl_ht,dl_doc,F293,dl_rate,INDEX(p_rates,4))))</f>
        <v>0.0</v>
      </c>
      <c r="AO293" s="62">
        <f>IF(OR(AG293="",INDEX(p_rates,5)=""),0,IF(AG293="Facture",SUMIFS(fl_ht,fl_doc,A293,fl_rate,INDEX(p_rates,5)),SUMIFS(dl_ht,dl_doc,F293,dl_rate,INDEX(p_rates,5))))</f>
        <v>0.0</v>
      </c>
      <c r="AP293" s="62">
        <f>IF(OR(AG293="",INDEX(p_rates,6)=""),0,IF(AG293="Facture",SUMIFS(fl_ht,fl_doc,A293,fl_rate,INDEX(p_rates,6)),SUMIFS(dl_ht,dl_doc,F293,dl_rate,INDEX(p_rates,6))))</f>
        <v>0.0</v>
      </c>
      <c r="AQ293" s="62">
        <f>ROUND(AK293*N(INDEX(p_rates,1)),2)+ROUND(AL293*N(INDEX(p_rates,2)),2)+ROUND(AM293*N(INDEX(p_rates,3)),2)+ROUND(AN293*N(INDEX(p_rates,4)),2)+ROUND(AO293*N(INDEX(p_rates,5)),2)+ROUND(AP293*N(INDEX(p_rates,6)),2)</f>
        <v>0.0</v>
      </c>
      <c r="AR293" s="62" t="str">
        <f>IF(OR(L293="",AA293&lt;&gt;"Facture"),"",IFERROR(IF(INDEX(fa_type,MATCH(L293,fa_num,0))="Facture d'acompte",MATCH(L293,fa_num,0),""),""))</f>
        <v/>
      </c>
      <c r="AS293" s="62" t="str">
        <f>IF(W293="","",IF(W293&lt;=0,"",IF(p_asof-P293&lt;=0,"Non échu",IF(p_asof-P293&lt;=30,"1-30 j",IF(p_asof-P293&lt;=60,"31-60 j",IF(p_asof-P293&lt;=90,"61-90 j","Plus de 90 j"))))))</f>
        <v/>
      </c>
      <c r="AT293" s="62" t="str">
        <f>IF(AS293="","",p_asof-P293)</f>
        <v/>
      </c>
      <c r="AU293" s="62" t="str">
        <f>IF(AT293="","",COUNTIF($AT$6:$AT$805,"&gt;"&amp;AT293)+COUNTIF($AT$6:AT293,AT293))</f>
        <v/>
      </c>
    </row>
    <row r="294">
      <c r="A294" s="59" t="str">
        <f>IF(AE294="","",AB294&amp;"-"&amp;AD294&amp;"-"&amp;RIGHT("000"&amp;AE294,4))</f>
        <v/>
      </c>
      <c r="B294" s="60" t="n"/>
      <c r="C294" s="61" t="n"/>
      <c r="D294" s="60" t="n"/>
      <c r="E294" s="62" t="str">
        <f>IF(D294="","",IFERROR(INDEX(cli_name,MATCH(D294,cli_code,0))&amp;"","Client inconnu"))</f>
        <v/>
      </c>
      <c r="F294" s="60" t="n"/>
      <c r="G294" s="63" t="n"/>
      <c r="H294" s="61" t="n"/>
      <c r="I294" s="63" t="n"/>
      <c r="J294" s="60" t="n"/>
      <c r="K294" s="61" t="n"/>
      <c r="L294" s="60" t="n"/>
      <c r="M294" s="60" t="n"/>
      <c r="N294" s="60" t="n"/>
      <c r="O294" s="61" t="n"/>
      <c r="P294" s="64" t="str">
        <f>IF(A294="","",IF(AA294="Avoir",AC294,IF(ISNUMBER(K294),K294,AC294+IF(D294="",N(p_delay),IFERROR(IF(ISNUMBER(INDEX(cli_delay,MATCH(D294,cli_code,0))),INDEX(cli_delay,MATCH(D294,cli_code,0)),N(p_delay)),N(p_delay))))))</f>
        <v/>
      </c>
      <c r="Q294" s="65" t="str">
        <f>IF(A294="","",IF(AA294="Avoir",-1,1)*ROUND(AJ294-IF(AR294="",0,INDEX(fa_htb,AR294)),2))</f>
        <v/>
      </c>
      <c r="R294" s="65" t="str">
        <f>IF(A294="","",IF(AA294="Avoir",-1,1)*ROUND(AQ294-IF(AR294="",0,INDEX(fa_tvab,AR294)),2))</f>
        <v/>
      </c>
      <c r="S294" s="65" t="str">
        <f>IF(A294="","",Q294+R294)</f>
        <v/>
      </c>
      <c r="T294" s="65" t="str">
        <f>IF(AR294="","",INDEX(fa_htb,AR294)+INDEX(fa_tvab,AR294))</f>
        <v/>
      </c>
      <c r="U294" s="65" t="str">
        <f>IF(A294="","",SUMIF(pa_inv,A294,pa_amt))</f>
        <v/>
      </c>
      <c r="V294" s="65" t="str">
        <f>IF(OR(A294="",AA294="Avoir"),"",-SUMIFS(fa_ttc,fa_avof,A294,fa_type,"Avoir"))</f>
        <v/>
      </c>
      <c r="W294" s="65" t="str">
        <f>IF(OR(A294="",AA294="Avoir"),"",ROUND(S294-U294-V294,2))</f>
        <v/>
      </c>
      <c r="X294" s="66" t="str">
        <f>IF(W294="","",IF(AND(W294&gt;0,p_asof&gt;P294),p_asof-P294,""))</f>
        <v/>
      </c>
      <c r="Y294" s="59" t="str">
        <f>IF(A294="","",IF(AA294="Avoir","Avoir",IF(W294&lt;0,"Trop-perçu",IF(W294=0,"Soldée",IF(p_asof&gt;P294,"En retard",IF(U294+V294&gt;0,"Partielle","À échoir"))))))</f>
        <v/>
      </c>
      <c r="Z294" s="59" t="str">
        <f>IF(NOT(COUNTA(B294:D294,F294:O294)&gt;0),"",IF(C294="","Date manquante",IF(NOT(ISNUMBER(C294)),"Date invalide",IF(D294="","Client manquant",IF(ISNA(MATCH(D294,cli_code,0)),"Client inconnu",IF(AC294&lt;SUMPRODUCT(MAX(($AB$6:AB293=AB294)*$AC$6:AC293)),"Date antérieure à la facture précédente",IF(AND(F294&lt;&gt;"",ISNA(MATCH(F294,dv_num,0))),"Devis inconnu",IF(AND(F294&lt;&gt;"",IFERROR(INDEX(dv_client,MATCH(F294,dv_num,0)),D294)&lt;&gt;D294),"Client différent de celui du devis",IF(AG294="","Aucune ligne : saisissez des lignes ou un devis",IF(AND(AI294&lt;&gt;"",COUNTIF($AI$6:AI294,AI294)&gt;1),"Devis déjà repris par une autre facture",IF(AND(AA294="Avoir",M294=""),"Avoir : indiquez la facture d'origine",IF(AND(AA294="Avoir",ISNA(MATCH(M294,fa_num,0))),"Facture d'origine inconnue",IF(AND(AA294&lt;&gt;"Avoir",M294&lt;&gt;""),"« Avoir sur facture » : réservé aux avoirs",IF(AND(L294&lt;&gt;"",AA294&lt;&gt;"Facture"),"Acompte à déduire : réservé aux factures",IF(AND(L294&lt;&gt;"",ISNA(MATCH(L294,fa_num,0))),"Facture d'acompte inconnue",IF(AND(L294&lt;&gt;"",IFERROR(INDEX(fa_type,MATCH(L294,fa_num,0)),"")&lt;&gt;"Facture d'acompte"),"Le n° à déduire n'est pas une facture d'acompte",IF(AND(L294&lt;&gt;"",COUNTIF($L$6:L294,L294)&gt;1),"Acompte déjà déduit sur une autre facture",IF(AND(L294&lt;&gt;"",IFERROR(INDEX(fa_client,MATCH(L294,fa_num,0)),D294)&lt;&gt;D294),"Acompte d'un autre client",IF(AND(AR294&lt;&gt;"",N(Q294)&lt;0),"Acompte supérieur au total de la facture",IF(IF(AG294="Facture",COUNTIFS(fl_doc,A294,fl_check,"&lt;&gt;OK"),IF(AG294="Devis",COUNTIFS(dl_doc,F294,dl_check,"&lt;&gt;OK"),0))&gt;0,"Ligne(s) à corriger",IF(AND(W294&lt;&gt;"",N(W294)&lt;0),"Trop-perçu : vérifiez paiements et avoirs","OK")))))))))))))))))))))</f>
        <v/>
      </c>
      <c r="AA294" s="62" t="str">
        <f>IF(COUNTA(B294:D294,F294:O294)&gt;0,IF(B294="","Facture",B294),"")</f>
        <v/>
      </c>
      <c r="AB294" s="62" t="str">
        <f>IF(AA294="","",IF(AA294="Avoir",p_pav,IF(AA294="Facture d'acompte",p_pac,p_pfa)))</f>
        <v/>
      </c>
      <c r="AC294" s="62">
        <f>IF(ISNUMBER(C294),C294,0)</f>
        <v>0.0</v>
      </c>
      <c r="AD294" s="62" t="str">
        <f>IF(OR(AA294="",AC294=0),"",YEAR(AC294))</f>
        <v/>
      </c>
      <c r="AE294" s="62" t="str">
        <f>IF(AD294="","",COUNTIFS($AB$6:AB294,AB294,$AD$6:AD294,AD294))</f>
        <v/>
      </c>
      <c r="AF294" s="62">
        <f>IF(A294="",0,COUNTIF(fl_doc,A294))</f>
        <v>0.0</v>
      </c>
      <c r="AG294" s="62" t="str">
        <f>IF(A294="","",IF(AF294&gt;0,"Facture",IF(AND(F294&lt;&gt;"",AA294="Facture",ISNUMBER(MATCH(F294,dv_num,0))),"Devis","")))</f>
        <v/>
      </c>
      <c r="AH294" s="62" t="str">
        <f>IF(AND(A294&lt;&gt;"",F294&lt;&gt;"",AA294&lt;&gt;"Avoir"),F294,"")</f>
        <v/>
      </c>
      <c r="AI294" s="62" t="str">
        <f>IF(AG294="Devis",F294,"")</f>
        <v/>
      </c>
      <c r="AJ294" s="62">
        <f>IF(AG294="Facture",SUMIF(fl_doc,A294,fl_ht),IF(AG294="Devis",SUMIF(dl_doc,F294,dl_ht),0))</f>
        <v>0.0</v>
      </c>
      <c r="AK294" s="62">
        <f>IF(OR(AG294="",INDEX(p_rates,1)=""),0,IF(AG294="Facture",SUMIFS(fl_ht,fl_doc,A294,fl_rate,INDEX(p_rates,1)),SUMIFS(dl_ht,dl_doc,F294,dl_rate,INDEX(p_rates,1))))</f>
        <v>0.0</v>
      </c>
      <c r="AL294" s="62">
        <f>IF(OR(AG294="",INDEX(p_rates,2)=""),0,IF(AG294="Facture",SUMIFS(fl_ht,fl_doc,A294,fl_rate,INDEX(p_rates,2)),SUMIFS(dl_ht,dl_doc,F294,dl_rate,INDEX(p_rates,2))))</f>
        <v>0.0</v>
      </c>
      <c r="AM294" s="62">
        <f>IF(OR(AG294="",INDEX(p_rates,3)=""),0,IF(AG294="Facture",SUMIFS(fl_ht,fl_doc,A294,fl_rate,INDEX(p_rates,3)),SUMIFS(dl_ht,dl_doc,F294,dl_rate,INDEX(p_rates,3))))</f>
        <v>0.0</v>
      </c>
      <c r="AN294" s="62">
        <f>IF(OR(AG294="",INDEX(p_rates,4)=""),0,IF(AG294="Facture",SUMIFS(fl_ht,fl_doc,A294,fl_rate,INDEX(p_rates,4)),SUMIFS(dl_ht,dl_doc,F294,dl_rate,INDEX(p_rates,4))))</f>
        <v>0.0</v>
      </c>
      <c r="AO294" s="62">
        <f>IF(OR(AG294="",INDEX(p_rates,5)=""),0,IF(AG294="Facture",SUMIFS(fl_ht,fl_doc,A294,fl_rate,INDEX(p_rates,5)),SUMIFS(dl_ht,dl_doc,F294,dl_rate,INDEX(p_rates,5))))</f>
        <v>0.0</v>
      </c>
      <c r="AP294" s="62">
        <f>IF(OR(AG294="",INDEX(p_rates,6)=""),0,IF(AG294="Facture",SUMIFS(fl_ht,fl_doc,A294,fl_rate,INDEX(p_rates,6)),SUMIFS(dl_ht,dl_doc,F294,dl_rate,INDEX(p_rates,6))))</f>
        <v>0.0</v>
      </c>
      <c r="AQ294" s="62">
        <f>ROUND(AK294*N(INDEX(p_rates,1)),2)+ROUND(AL294*N(INDEX(p_rates,2)),2)+ROUND(AM294*N(INDEX(p_rates,3)),2)+ROUND(AN294*N(INDEX(p_rates,4)),2)+ROUND(AO294*N(INDEX(p_rates,5)),2)+ROUND(AP294*N(INDEX(p_rates,6)),2)</f>
        <v>0.0</v>
      </c>
      <c r="AR294" s="62" t="str">
        <f>IF(OR(L294="",AA294&lt;&gt;"Facture"),"",IFERROR(IF(INDEX(fa_type,MATCH(L294,fa_num,0))="Facture d'acompte",MATCH(L294,fa_num,0),""),""))</f>
        <v/>
      </c>
      <c r="AS294" s="62" t="str">
        <f>IF(W294="","",IF(W294&lt;=0,"",IF(p_asof-P294&lt;=0,"Non échu",IF(p_asof-P294&lt;=30,"1-30 j",IF(p_asof-P294&lt;=60,"31-60 j",IF(p_asof-P294&lt;=90,"61-90 j","Plus de 90 j"))))))</f>
        <v/>
      </c>
      <c r="AT294" s="62" t="str">
        <f>IF(AS294="","",p_asof-P294)</f>
        <v/>
      </c>
      <c r="AU294" s="62" t="str">
        <f>IF(AT294="","",COUNTIF($AT$6:$AT$805,"&gt;"&amp;AT294)+COUNTIF($AT$6:AT294,AT294))</f>
        <v/>
      </c>
    </row>
    <row r="295">
      <c r="A295" s="59" t="str">
        <f>IF(AE295="","",AB295&amp;"-"&amp;AD295&amp;"-"&amp;RIGHT("000"&amp;AE295,4))</f>
        <v/>
      </c>
      <c r="B295" s="60" t="n"/>
      <c r="C295" s="61" t="n"/>
      <c r="D295" s="60" t="n"/>
      <c r="E295" s="62" t="str">
        <f>IF(D295="","",IFERROR(INDEX(cli_name,MATCH(D295,cli_code,0))&amp;"","Client inconnu"))</f>
        <v/>
      </c>
      <c r="F295" s="60" t="n"/>
      <c r="G295" s="63" t="n"/>
      <c r="H295" s="61" t="n"/>
      <c r="I295" s="63" t="n"/>
      <c r="J295" s="60" t="n"/>
      <c r="K295" s="61" t="n"/>
      <c r="L295" s="60" t="n"/>
      <c r="M295" s="60" t="n"/>
      <c r="N295" s="60" t="n"/>
      <c r="O295" s="61" t="n"/>
      <c r="P295" s="64" t="str">
        <f>IF(A295="","",IF(AA295="Avoir",AC295,IF(ISNUMBER(K295),K295,AC295+IF(D295="",N(p_delay),IFERROR(IF(ISNUMBER(INDEX(cli_delay,MATCH(D295,cli_code,0))),INDEX(cli_delay,MATCH(D295,cli_code,0)),N(p_delay)),N(p_delay))))))</f>
        <v/>
      </c>
      <c r="Q295" s="65" t="str">
        <f>IF(A295="","",IF(AA295="Avoir",-1,1)*ROUND(AJ295-IF(AR295="",0,INDEX(fa_htb,AR295)),2))</f>
        <v/>
      </c>
      <c r="R295" s="65" t="str">
        <f>IF(A295="","",IF(AA295="Avoir",-1,1)*ROUND(AQ295-IF(AR295="",0,INDEX(fa_tvab,AR295)),2))</f>
        <v/>
      </c>
      <c r="S295" s="65" t="str">
        <f>IF(A295="","",Q295+R295)</f>
        <v/>
      </c>
      <c r="T295" s="65" t="str">
        <f>IF(AR295="","",INDEX(fa_htb,AR295)+INDEX(fa_tvab,AR295))</f>
        <v/>
      </c>
      <c r="U295" s="65" t="str">
        <f>IF(A295="","",SUMIF(pa_inv,A295,pa_amt))</f>
        <v/>
      </c>
      <c r="V295" s="65" t="str">
        <f>IF(OR(A295="",AA295="Avoir"),"",-SUMIFS(fa_ttc,fa_avof,A295,fa_type,"Avoir"))</f>
        <v/>
      </c>
      <c r="W295" s="65" t="str">
        <f>IF(OR(A295="",AA295="Avoir"),"",ROUND(S295-U295-V295,2))</f>
        <v/>
      </c>
      <c r="X295" s="66" t="str">
        <f>IF(W295="","",IF(AND(W295&gt;0,p_asof&gt;P295),p_asof-P295,""))</f>
        <v/>
      </c>
      <c r="Y295" s="59" t="str">
        <f>IF(A295="","",IF(AA295="Avoir","Avoir",IF(W295&lt;0,"Trop-perçu",IF(W295=0,"Soldée",IF(p_asof&gt;P295,"En retard",IF(U295+V295&gt;0,"Partielle","À échoir"))))))</f>
        <v/>
      </c>
      <c r="Z295" s="59" t="str">
        <f>IF(NOT(COUNTA(B295:D295,F295:O295)&gt;0),"",IF(C295="","Date manquante",IF(NOT(ISNUMBER(C295)),"Date invalide",IF(D295="","Client manquant",IF(ISNA(MATCH(D295,cli_code,0)),"Client inconnu",IF(AC295&lt;SUMPRODUCT(MAX(($AB$6:AB294=AB295)*$AC$6:AC294)),"Date antérieure à la facture précédente",IF(AND(F295&lt;&gt;"",ISNA(MATCH(F295,dv_num,0))),"Devis inconnu",IF(AND(F295&lt;&gt;"",IFERROR(INDEX(dv_client,MATCH(F295,dv_num,0)),D295)&lt;&gt;D295),"Client différent de celui du devis",IF(AG295="","Aucune ligne : saisissez des lignes ou un devis",IF(AND(AI295&lt;&gt;"",COUNTIF($AI$6:AI295,AI295)&gt;1),"Devis déjà repris par une autre facture",IF(AND(AA295="Avoir",M295=""),"Avoir : indiquez la facture d'origine",IF(AND(AA295="Avoir",ISNA(MATCH(M295,fa_num,0))),"Facture d'origine inconnue",IF(AND(AA295&lt;&gt;"Avoir",M295&lt;&gt;""),"« Avoir sur facture » : réservé aux avoirs",IF(AND(L295&lt;&gt;"",AA295&lt;&gt;"Facture"),"Acompte à déduire : réservé aux factures",IF(AND(L295&lt;&gt;"",ISNA(MATCH(L295,fa_num,0))),"Facture d'acompte inconnue",IF(AND(L295&lt;&gt;"",IFERROR(INDEX(fa_type,MATCH(L295,fa_num,0)),"")&lt;&gt;"Facture d'acompte"),"Le n° à déduire n'est pas une facture d'acompte",IF(AND(L295&lt;&gt;"",COUNTIF($L$6:L295,L295)&gt;1),"Acompte déjà déduit sur une autre facture",IF(AND(L295&lt;&gt;"",IFERROR(INDEX(fa_client,MATCH(L295,fa_num,0)),D295)&lt;&gt;D295),"Acompte d'un autre client",IF(AND(AR295&lt;&gt;"",N(Q295)&lt;0),"Acompte supérieur au total de la facture",IF(IF(AG295="Facture",COUNTIFS(fl_doc,A295,fl_check,"&lt;&gt;OK"),IF(AG295="Devis",COUNTIFS(dl_doc,F295,dl_check,"&lt;&gt;OK"),0))&gt;0,"Ligne(s) à corriger",IF(AND(W295&lt;&gt;"",N(W295)&lt;0),"Trop-perçu : vérifiez paiements et avoirs","OK")))))))))))))))))))))</f>
        <v/>
      </c>
      <c r="AA295" s="62" t="str">
        <f>IF(COUNTA(B295:D295,F295:O295)&gt;0,IF(B295="","Facture",B295),"")</f>
        <v/>
      </c>
      <c r="AB295" s="62" t="str">
        <f>IF(AA295="","",IF(AA295="Avoir",p_pav,IF(AA295="Facture d'acompte",p_pac,p_pfa)))</f>
        <v/>
      </c>
      <c r="AC295" s="62">
        <f>IF(ISNUMBER(C295),C295,0)</f>
        <v>0.0</v>
      </c>
      <c r="AD295" s="62" t="str">
        <f>IF(OR(AA295="",AC295=0),"",YEAR(AC295))</f>
        <v/>
      </c>
      <c r="AE295" s="62" t="str">
        <f>IF(AD295="","",COUNTIFS($AB$6:AB295,AB295,$AD$6:AD295,AD295))</f>
        <v/>
      </c>
      <c r="AF295" s="62">
        <f>IF(A295="",0,COUNTIF(fl_doc,A295))</f>
        <v>0.0</v>
      </c>
      <c r="AG295" s="62" t="str">
        <f>IF(A295="","",IF(AF295&gt;0,"Facture",IF(AND(F295&lt;&gt;"",AA295="Facture",ISNUMBER(MATCH(F295,dv_num,0))),"Devis","")))</f>
        <v/>
      </c>
      <c r="AH295" s="62" t="str">
        <f>IF(AND(A295&lt;&gt;"",F295&lt;&gt;"",AA295&lt;&gt;"Avoir"),F295,"")</f>
        <v/>
      </c>
      <c r="AI295" s="62" t="str">
        <f>IF(AG295="Devis",F295,"")</f>
        <v/>
      </c>
      <c r="AJ295" s="62">
        <f>IF(AG295="Facture",SUMIF(fl_doc,A295,fl_ht),IF(AG295="Devis",SUMIF(dl_doc,F295,dl_ht),0))</f>
        <v>0.0</v>
      </c>
      <c r="AK295" s="62">
        <f>IF(OR(AG295="",INDEX(p_rates,1)=""),0,IF(AG295="Facture",SUMIFS(fl_ht,fl_doc,A295,fl_rate,INDEX(p_rates,1)),SUMIFS(dl_ht,dl_doc,F295,dl_rate,INDEX(p_rates,1))))</f>
        <v>0.0</v>
      </c>
      <c r="AL295" s="62">
        <f>IF(OR(AG295="",INDEX(p_rates,2)=""),0,IF(AG295="Facture",SUMIFS(fl_ht,fl_doc,A295,fl_rate,INDEX(p_rates,2)),SUMIFS(dl_ht,dl_doc,F295,dl_rate,INDEX(p_rates,2))))</f>
        <v>0.0</v>
      </c>
      <c r="AM295" s="62">
        <f>IF(OR(AG295="",INDEX(p_rates,3)=""),0,IF(AG295="Facture",SUMIFS(fl_ht,fl_doc,A295,fl_rate,INDEX(p_rates,3)),SUMIFS(dl_ht,dl_doc,F295,dl_rate,INDEX(p_rates,3))))</f>
        <v>0.0</v>
      </c>
      <c r="AN295" s="62">
        <f>IF(OR(AG295="",INDEX(p_rates,4)=""),0,IF(AG295="Facture",SUMIFS(fl_ht,fl_doc,A295,fl_rate,INDEX(p_rates,4)),SUMIFS(dl_ht,dl_doc,F295,dl_rate,INDEX(p_rates,4))))</f>
        <v>0.0</v>
      </c>
      <c r="AO295" s="62">
        <f>IF(OR(AG295="",INDEX(p_rates,5)=""),0,IF(AG295="Facture",SUMIFS(fl_ht,fl_doc,A295,fl_rate,INDEX(p_rates,5)),SUMIFS(dl_ht,dl_doc,F295,dl_rate,INDEX(p_rates,5))))</f>
        <v>0.0</v>
      </c>
      <c r="AP295" s="62">
        <f>IF(OR(AG295="",INDEX(p_rates,6)=""),0,IF(AG295="Facture",SUMIFS(fl_ht,fl_doc,A295,fl_rate,INDEX(p_rates,6)),SUMIFS(dl_ht,dl_doc,F295,dl_rate,INDEX(p_rates,6))))</f>
        <v>0.0</v>
      </c>
      <c r="AQ295" s="62">
        <f>ROUND(AK295*N(INDEX(p_rates,1)),2)+ROUND(AL295*N(INDEX(p_rates,2)),2)+ROUND(AM295*N(INDEX(p_rates,3)),2)+ROUND(AN295*N(INDEX(p_rates,4)),2)+ROUND(AO295*N(INDEX(p_rates,5)),2)+ROUND(AP295*N(INDEX(p_rates,6)),2)</f>
        <v>0.0</v>
      </c>
      <c r="AR295" s="62" t="str">
        <f>IF(OR(L295="",AA295&lt;&gt;"Facture"),"",IFERROR(IF(INDEX(fa_type,MATCH(L295,fa_num,0))="Facture d'acompte",MATCH(L295,fa_num,0),""),""))</f>
        <v/>
      </c>
      <c r="AS295" s="62" t="str">
        <f>IF(W295="","",IF(W295&lt;=0,"",IF(p_asof-P295&lt;=0,"Non échu",IF(p_asof-P295&lt;=30,"1-30 j",IF(p_asof-P295&lt;=60,"31-60 j",IF(p_asof-P295&lt;=90,"61-90 j","Plus de 90 j"))))))</f>
        <v/>
      </c>
      <c r="AT295" s="62" t="str">
        <f>IF(AS295="","",p_asof-P295)</f>
        <v/>
      </c>
      <c r="AU295" s="62" t="str">
        <f>IF(AT295="","",COUNTIF($AT$6:$AT$805,"&gt;"&amp;AT295)+COUNTIF($AT$6:AT295,AT295))</f>
        <v/>
      </c>
    </row>
    <row r="296">
      <c r="A296" s="59" t="str">
        <f>IF(AE296="","",AB296&amp;"-"&amp;AD296&amp;"-"&amp;RIGHT("000"&amp;AE296,4))</f>
        <v/>
      </c>
      <c r="B296" s="60" t="n"/>
      <c r="C296" s="61" t="n"/>
      <c r="D296" s="60" t="n"/>
      <c r="E296" s="62" t="str">
        <f>IF(D296="","",IFERROR(INDEX(cli_name,MATCH(D296,cli_code,0))&amp;"","Client inconnu"))</f>
        <v/>
      </c>
      <c r="F296" s="60" t="n"/>
      <c r="G296" s="63" t="n"/>
      <c r="H296" s="61" t="n"/>
      <c r="I296" s="63" t="n"/>
      <c r="J296" s="60" t="n"/>
      <c r="K296" s="61" t="n"/>
      <c r="L296" s="60" t="n"/>
      <c r="M296" s="60" t="n"/>
      <c r="N296" s="60" t="n"/>
      <c r="O296" s="61" t="n"/>
      <c r="P296" s="64" t="str">
        <f>IF(A296="","",IF(AA296="Avoir",AC296,IF(ISNUMBER(K296),K296,AC296+IF(D296="",N(p_delay),IFERROR(IF(ISNUMBER(INDEX(cli_delay,MATCH(D296,cli_code,0))),INDEX(cli_delay,MATCH(D296,cli_code,0)),N(p_delay)),N(p_delay))))))</f>
        <v/>
      </c>
      <c r="Q296" s="65" t="str">
        <f>IF(A296="","",IF(AA296="Avoir",-1,1)*ROUND(AJ296-IF(AR296="",0,INDEX(fa_htb,AR296)),2))</f>
        <v/>
      </c>
      <c r="R296" s="65" t="str">
        <f>IF(A296="","",IF(AA296="Avoir",-1,1)*ROUND(AQ296-IF(AR296="",0,INDEX(fa_tvab,AR296)),2))</f>
        <v/>
      </c>
      <c r="S296" s="65" t="str">
        <f>IF(A296="","",Q296+R296)</f>
        <v/>
      </c>
      <c r="T296" s="65" t="str">
        <f>IF(AR296="","",INDEX(fa_htb,AR296)+INDEX(fa_tvab,AR296))</f>
        <v/>
      </c>
      <c r="U296" s="65" t="str">
        <f>IF(A296="","",SUMIF(pa_inv,A296,pa_amt))</f>
        <v/>
      </c>
      <c r="V296" s="65" t="str">
        <f>IF(OR(A296="",AA296="Avoir"),"",-SUMIFS(fa_ttc,fa_avof,A296,fa_type,"Avoir"))</f>
        <v/>
      </c>
      <c r="W296" s="65" t="str">
        <f>IF(OR(A296="",AA296="Avoir"),"",ROUND(S296-U296-V296,2))</f>
        <v/>
      </c>
      <c r="X296" s="66" t="str">
        <f>IF(W296="","",IF(AND(W296&gt;0,p_asof&gt;P296),p_asof-P296,""))</f>
        <v/>
      </c>
      <c r="Y296" s="59" t="str">
        <f>IF(A296="","",IF(AA296="Avoir","Avoir",IF(W296&lt;0,"Trop-perçu",IF(W296=0,"Soldée",IF(p_asof&gt;P296,"En retard",IF(U296+V296&gt;0,"Partielle","À échoir"))))))</f>
        <v/>
      </c>
      <c r="Z296" s="59" t="str">
        <f>IF(NOT(COUNTA(B296:D296,F296:O296)&gt;0),"",IF(C296="","Date manquante",IF(NOT(ISNUMBER(C296)),"Date invalide",IF(D296="","Client manquant",IF(ISNA(MATCH(D296,cli_code,0)),"Client inconnu",IF(AC296&lt;SUMPRODUCT(MAX(($AB$6:AB295=AB296)*$AC$6:AC295)),"Date antérieure à la facture précédente",IF(AND(F296&lt;&gt;"",ISNA(MATCH(F296,dv_num,0))),"Devis inconnu",IF(AND(F296&lt;&gt;"",IFERROR(INDEX(dv_client,MATCH(F296,dv_num,0)),D296)&lt;&gt;D296),"Client différent de celui du devis",IF(AG296="","Aucune ligne : saisissez des lignes ou un devis",IF(AND(AI296&lt;&gt;"",COUNTIF($AI$6:AI296,AI296)&gt;1),"Devis déjà repris par une autre facture",IF(AND(AA296="Avoir",M296=""),"Avoir : indiquez la facture d'origine",IF(AND(AA296="Avoir",ISNA(MATCH(M296,fa_num,0))),"Facture d'origine inconnue",IF(AND(AA296&lt;&gt;"Avoir",M296&lt;&gt;""),"« Avoir sur facture » : réservé aux avoirs",IF(AND(L296&lt;&gt;"",AA296&lt;&gt;"Facture"),"Acompte à déduire : réservé aux factures",IF(AND(L296&lt;&gt;"",ISNA(MATCH(L296,fa_num,0))),"Facture d'acompte inconnue",IF(AND(L296&lt;&gt;"",IFERROR(INDEX(fa_type,MATCH(L296,fa_num,0)),"")&lt;&gt;"Facture d'acompte"),"Le n° à déduire n'est pas une facture d'acompte",IF(AND(L296&lt;&gt;"",COUNTIF($L$6:L296,L296)&gt;1),"Acompte déjà déduit sur une autre facture",IF(AND(L296&lt;&gt;"",IFERROR(INDEX(fa_client,MATCH(L296,fa_num,0)),D296)&lt;&gt;D296),"Acompte d'un autre client",IF(AND(AR296&lt;&gt;"",N(Q296)&lt;0),"Acompte supérieur au total de la facture",IF(IF(AG296="Facture",COUNTIFS(fl_doc,A296,fl_check,"&lt;&gt;OK"),IF(AG296="Devis",COUNTIFS(dl_doc,F296,dl_check,"&lt;&gt;OK"),0))&gt;0,"Ligne(s) à corriger",IF(AND(W296&lt;&gt;"",N(W296)&lt;0),"Trop-perçu : vérifiez paiements et avoirs","OK")))))))))))))))))))))</f>
        <v/>
      </c>
      <c r="AA296" s="62" t="str">
        <f>IF(COUNTA(B296:D296,F296:O296)&gt;0,IF(B296="","Facture",B296),"")</f>
        <v/>
      </c>
      <c r="AB296" s="62" t="str">
        <f>IF(AA296="","",IF(AA296="Avoir",p_pav,IF(AA296="Facture d'acompte",p_pac,p_pfa)))</f>
        <v/>
      </c>
      <c r="AC296" s="62">
        <f>IF(ISNUMBER(C296),C296,0)</f>
        <v>0.0</v>
      </c>
      <c r="AD296" s="62" t="str">
        <f>IF(OR(AA296="",AC296=0),"",YEAR(AC296))</f>
        <v/>
      </c>
      <c r="AE296" s="62" t="str">
        <f>IF(AD296="","",COUNTIFS($AB$6:AB296,AB296,$AD$6:AD296,AD296))</f>
        <v/>
      </c>
      <c r="AF296" s="62">
        <f>IF(A296="",0,COUNTIF(fl_doc,A296))</f>
        <v>0.0</v>
      </c>
      <c r="AG296" s="62" t="str">
        <f>IF(A296="","",IF(AF296&gt;0,"Facture",IF(AND(F296&lt;&gt;"",AA296="Facture",ISNUMBER(MATCH(F296,dv_num,0))),"Devis","")))</f>
        <v/>
      </c>
      <c r="AH296" s="62" t="str">
        <f>IF(AND(A296&lt;&gt;"",F296&lt;&gt;"",AA296&lt;&gt;"Avoir"),F296,"")</f>
        <v/>
      </c>
      <c r="AI296" s="62" t="str">
        <f>IF(AG296="Devis",F296,"")</f>
        <v/>
      </c>
      <c r="AJ296" s="62">
        <f>IF(AG296="Facture",SUMIF(fl_doc,A296,fl_ht),IF(AG296="Devis",SUMIF(dl_doc,F296,dl_ht),0))</f>
        <v>0.0</v>
      </c>
      <c r="AK296" s="62">
        <f>IF(OR(AG296="",INDEX(p_rates,1)=""),0,IF(AG296="Facture",SUMIFS(fl_ht,fl_doc,A296,fl_rate,INDEX(p_rates,1)),SUMIFS(dl_ht,dl_doc,F296,dl_rate,INDEX(p_rates,1))))</f>
        <v>0.0</v>
      </c>
      <c r="AL296" s="62">
        <f>IF(OR(AG296="",INDEX(p_rates,2)=""),0,IF(AG296="Facture",SUMIFS(fl_ht,fl_doc,A296,fl_rate,INDEX(p_rates,2)),SUMIFS(dl_ht,dl_doc,F296,dl_rate,INDEX(p_rates,2))))</f>
        <v>0.0</v>
      </c>
      <c r="AM296" s="62">
        <f>IF(OR(AG296="",INDEX(p_rates,3)=""),0,IF(AG296="Facture",SUMIFS(fl_ht,fl_doc,A296,fl_rate,INDEX(p_rates,3)),SUMIFS(dl_ht,dl_doc,F296,dl_rate,INDEX(p_rates,3))))</f>
        <v>0.0</v>
      </c>
      <c r="AN296" s="62">
        <f>IF(OR(AG296="",INDEX(p_rates,4)=""),0,IF(AG296="Facture",SUMIFS(fl_ht,fl_doc,A296,fl_rate,INDEX(p_rates,4)),SUMIFS(dl_ht,dl_doc,F296,dl_rate,INDEX(p_rates,4))))</f>
        <v>0.0</v>
      </c>
      <c r="AO296" s="62">
        <f>IF(OR(AG296="",INDEX(p_rates,5)=""),0,IF(AG296="Facture",SUMIFS(fl_ht,fl_doc,A296,fl_rate,INDEX(p_rates,5)),SUMIFS(dl_ht,dl_doc,F296,dl_rate,INDEX(p_rates,5))))</f>
        <v>0.0</v>
      </c>
      <c r="AP296" s="62">
        <f>IF(OR(AG296="",INDEX(p_rates,6)=""),0,IF(AG296="Facture",SUMIFS(fl_ht,fl_doc,A296,fl_rate,INDEX(p_rates,6)),SUMIFS(dl_ht,dl_doc,F296,dl_rate,INDEX(p_rates,6))))</f>
        <v>0.0</v>
      </c>
      <c r="AQ296" s="62">
        <f>ROUND(AK296*N(INDEX(p_rates,1)),2)+ROUND(AL296*N(INDEX(p_rates,2)),2)+ROUND(AM296*N(INDEX(p_rates,3)),2)+ROUND(AN296*N(INDEX(p_rates,4)),2)+ROUND(AO296*N(INDEX(p_rates,5)),2)+ROUND(AP296*N(INDEX(p_rates,6)),2)</f>
        <v>0.0</v>
      </c>
      <c r="AR296" s="62" t="str">
        <f>IF(OR(L296="",AA296&lt;&gt;"Facture"),"",IFERROR(IF(INDEX(fa_type,MATCH(L296,fa_num,0))="Facture d'acompte",MATCH(L296,fa_num,0),""),""))</f>
        <v/>
      </c>
      <c r="AS296" s="62" t="str">
        <f>IF(W296="","",IF(W296&lt;=0,"",IF(p_asof-P296&lt;=0,"Non échu",IF(p_asof-P296&lt;=30,"1-30 j",IF(p_asof-P296&lt;=60,"31-60 j",IF(p_asof-P296&lt;=90,"61-90 j","Plus de 90 j"))))))</f>
        <v/>
      </c>
      <c r="AT296" s="62" t="str">
        <f>IF(AS296="","",p_asof-P296)</f>
        <v/>
      </c>
      <c r="AU296" s="62" t="str">
        <f>IF(AT296="","",COUNTIF($AT$6:$AT$805,"&gt;"&amp;AT296)+COUNTIF($AT$6:AT296,AT296))</f>
        <v/>
      </c>
    </row>
    <row r="297">
      <c r="A297" s="59" t="str">
        <f>IF(AE297="","",AB297&amp;"-"&amp;AD297&amp;"-"&amp;RIGHT("000"&amp;AE297,4))</f>
        <v/>
      </c>
      <c r="B297" s="60" t="n"/>
      <c r="C297" s="61" t="n"/>
      <c r="D297" s="60" t="n"/>
      <c r="E297" s="62" t="str">
        <f>IF(D297="","",IFERROR(INDEX(cli_name,MATCH(D297,cli_code,0))&amp;"","Client inconnu"))</f>
        <v/>
      </c>
      <c r="F297" s="60" t="n"/>
      <c r="G297" s="63" t="n"/>
      <c r="H297" s="61" t="n"/>
      <c r="I297" s="63" t="n"/>
      <c r="J297" s="60" t="n"/>
      <c r="K297" s="61" t="n"/>
      <c r="L297" s="60" t="n"/>
      <c r="M297" s="60" t="n"/>
      <c r="N297" s="60" t="n"/>
      <c r="O297" s="61" t="n"/>
      <c r="P297" s="64" t="str">
        <f>IF(A297="","",IF(AA297="Avoir",AC297,IF(ISNUMBER(K297),K297,AC297+IF(D297="",N(p_delay),IFERROR(IF(ISNUMBER(INDEX(cli_delay,MATCH(D297,cli_code,0))),INDEX(cli_delay,MATCH(D297,cli_code,0)),N(p_delay)),N(p_delay))))))</f>
        <v/>
      </c>
      <c r="Q297" s="65" t="str">
        <f>IF(A297="","",IF(AA297="Avoir",-1,1)*ROUND(AJ297-IF(AR297="",0,INDEX(fa_htb,AR297)),2))</f>
        <v/>
      </c>
      <c r="R297" s="65" t="str">
        <f>IF(A297="","",IF(AA297="Avoir",-1,1)*ROUND(AQ297-IF(AR297="",0,INDEX(fa_tvab,AR297)),2))</f>
        <v/>
      </c>
      <c r="S297" s="65" t="str">
        <f>IF(A297="","",Q297+R297)</f>
        <v/>
      </c>
      <c r="T297" s="65" t="str">
        <f>IF(AR297="","",INDEX(fa_htb,AR297)+INDEX(fa_tvab,AR297))</f>
        <v/>
      </c>
      <c r="U297" s="65" t="str">
        <f>IF(A297="","",SUMIF(pa_inv,A297,pa_amt))</f>
        <v/>
      </c>
      <c r="V297" s="65" t="str">
        <f>IF(OR(A297="",AA297="Avoir"),"",-SUMIFS(fa_ttc,fa_avof,A297,fa_type,"Avoir"))</f>
        <v/>
      </c>
      <c r="W297" s="65" t="str">
        <f>IF(OR(A297="",AA297="Avoir"),"",ROUND(S297-U297-V297,2))</f>
        <v/>
      </c>
      <c r="X297" s="66" t="str">
        <f>IF(W297="","",IF(AND(W297&gt;0,p_asof&gt;P297),p_asof-P297,""))</f>
        <v/>
      </c>
      <c r="Y297" s="59" t="str">
        <f>IF(A297="","",IF(AA297="Avoir","Avoir",IF(W297&lt;0,"Trop-perçu",IF(W297=0,"Soldée",IF(p_asof&gt;P297,"En retard",IF(U297+V297&gt;0,"Partielle","À échoir"))))))</f>
        <v/>
      </c>
      <c r="Z297" s="59" t="str">
        <f>IF(NOT(COUNTA(B297:D297,F297:O297)&gt;0),"",IF(C297="","Date manquante",IF(NOT(ISNUMBER(C297)),"Date invalide",IF(D297="","Client manquant",IF(ISNA(MATCH(D297,cli_code,0)),"Client inconnu",IF(AC297&lt;SUMPRODUCT(MAX(($AB$6:AB296=AB297)*$AC$6:AC296)),"Date antérieure à la facture précédente",IF(AND(F297&lt;&gt;"",ISNA(MATCH(F297,dv_num,0))),"Devis inconnu",IF(AND(F297&lt;&gt;"",IFERROR(INDEX(dv_client,MATCH(F297,dv_num,0)),D297)&lt;&gt;D297),"Client différent de celui du devis",IF(AG297="","Aucune ligne : saisissez des lignes ou un devis",IF(AND(AI297&lt;&gt;"",COUNTIF($AI$6:AI297,AI297)&gt;1),"Devis déjà repris par une autre facture",IF(AND(AA297="Avoir",M297=""),"Avoir : indiquez la facture d'origine",IF(AND(AA297="Avoir",ISNA(MATCH(M297,fa_num,0))),"Facture d'origine inconnue",IF(AND(AA297&lt;&gt;"Avoir",M297&lt;&gt;""),"« Avoir sur facture » : réservé aux avoirs",IF(AND(L297&lt;&gt;"",AA297&lt;&gt;"Facture"),"Acompte à déduire : réservé aux factures",IF(AND(L297&lt;&gt;"",ISNA(MATCH(L297,fa_num,0))),"Facture d'acompte inconnue",IF(AND(L297&lt;&gt;"",IFERROR(INDEX(fa_type,MATCH(L297,fa_num,0)),"")&lt;&gt;"Facture d'acompte"),"Le n° à déduire n'est pas une facture d'acompte",IF(AND(L297&lt;&gt;"",COUNTIF($L$6:L297,L297)&gt;1),"Acompte déjà déduit sur une autre facture",IF(AND(L297&lt;&gt;"",IFERROR(INDEX(fa_client,MATCH(L297,fa_num,0)),D297)&lt;&gt;D297),"Acompte d'un autre client",IF(AND(AR297&lt;&gt;"",N(Q297)&lt;0),"Acompte supérieur au total de la facture",IF(IF(AG297="Facture",COUNTIFS(fl_doc,A297,fl_check,"&lt;&gt;OK"),IF(AG297="Devis",COUNTIFS(dl_doc,F297,dl_check,"&lt;&gt;OK"),0))&gt;0,"Ligne(s) à corriger",IF(AND(W297&lt;&gt;"",N(W297)&lt;0),"Trop-perçu : vérifiez paiements et avoirs","OK")))))))))))))))))))))</f>
        <v/>
      </c>
      <c r="AA297" s="62" t="str">
        <f>IF(COUNTA(B297:D297,F297:O297)&gt;0,IF(B297="","Facture",B297),"")</f>
        <v/>
      </c>
      <c r="AB297" s="62" t="str">
        <f>IF(AA297="","",IF(AA297="Avoir",p_pav,IF(AA297="Facture d'acompte",p_pac,p_pfa)))</f>
        <v/>
      </c>
      <c r="AC297" s="62">
        <f>IF(ISNUMBER(C297),C297,0)</f>
        <v>0.0</v>
      </c>
      <c r="AD297" s="62" t="str">
        <f>IF(OR(AA297="",AC297=0),"",YEAR(AC297))</f>
        <v/>
      </c>
      <c r="AE297" s="62" t="str">
        <f>IF(AD297="","",COUNTIFS($AB$6:AB297,AB297,$AD$6:AD297,AD297))</f>
        <v/>
      </c>
      <c r="AF297" s="62">
        <f>IF(A297="",0,COUNTIF(fl_doc,A297))</f>
        <v>0.0</v>
      </c>
      <c r="AG297" s="62" t="str">
        <f>IF(A297="","",IF(AF297&gt;0,"Facture",IF(AND(F297&lt;&gt;"",AA297="Facture",ISNUMBER(MATCH(F297,dv_num,0))),"Devis","")))</f>
        <v/>
      </c>
      <c r="AH297" s="62" t="str">
        <f>IF(AND(A297&lt;&gt;"",F297&lt;&gt;"",AA297&lt;&gt;"Avoir"),F297,"")</f>
        <v/>
      </c>
      <c r="AI297" s="62" t="str">
        <f>IF(AG297="Devis",F297,"")</f>
        <v/>
      </c>
      <c r="AJ297" s="62">
        <f>IF(AG297="Facture",SUMIF(fl_doc,A297,fl_ht),IF(AG297="Devis",SUMIF(dl_doc,F297,dl_ht),0))</f>
        <v>0.0</v>
      </c>
      <c r="AK297" s="62">
        <f>IF(OR(AG297="",INDEX(p_rates,1)=""),0,IF(AG297="Facture",SUMIFS(fl_ht,fl_doc,A297,fl_rate,INDEX(p_rates,1)),SUMIFS(dl_ht,dl_doc,F297,dl_rate,INDEX(p_rates,1))))</f>
        <v>0.0</v>
      </c>
      <c r="AL297" s="62">
        <f>IF(OR(AG297="",INDEX(p_rates,2)=""),0,IF(AG297="Facture",SUMIFS(fl_ht,fl_doc,A297,fl_rate,INDEX(p_rates,2)),SUMIFS(dl_ht,dl_doc,F297,dl_rate,INDEX(p_rates,2))))</f>
        <v>0.0</v>
      </c>
      <c r="AM297" s="62">
        <f>IF(OR(AG297="",INDEX(p_rates,3)=""),0,IF(AG297="Facture",SUMIFS(fl_ht,fl_doc,A297,fl_rate,INDEX(p_rates,3)),SUMIFS(dl_ht,dl_doc,F297,dl_rate,INDEX(p_rates,3))))</f>
        <v>0.0</v>
      </c>
      <c r="AN297" s="62">
        <f>IF(OR(AG297="",INDEX(p_rates,4)=""),0,IF(AG297="Facture",SUMIFS(fl_ht,fl_doc,A297,fl_rate,INDEX(p_rates,4)),SUMIFS(dl_ht,dl_doc,F297,dl_rate,INDEX(p_rates,4))))</f>
        <v>0.0</v>
      </c>
      <c r="AO297" s="62">
        <f>IF(OR(AG297="",INDEX(p_rates,5)=""),0,IF(AG297="Facture",SUMIFS(fl_ht,fl_doc,A297,fl_rate,INDEX(p_rates,5)),SUMIFS(dl_ht,dl_doc,F297,dl_rate,INDEX(p_rates,5))))</f>
        <v>0.0</v>
      </c>
      <c r="AP297" s="62">
        <f>IF(OR(AG297="",INDEX(p_rates,6)=""),0,IF(AG297="Facture",SUMIFS(fl_ht,fl_doc,A297,fl_rate,INDEX(p_rates,6)),SUMIFS(dl_ht,dl_doc,F297,dl_rate,INDEX(p_rates,6))))</f>
        <v>0.0</v>
      </c>
      <c r="AQ297" s="62">
        <f>ROUND(AK297*N(INDEX(p_rates,1)),2)+ROUND(AL297*N(INDEX(p_rates,2)),2)+ROUND(AM297*N(INDEX(p_rates,3)),2)+ROUND(AN297*N(INDEX(p_rates,4)),2)+ROUND(AO297*N(INDEX(p_rates,5)),2)+ROUND(AP297*N(INDEX(p_rates,6)),2)</f>
        <v>0.0</v>
      </c>
      <c r="AR297" s="62" t="str">
        <f>IF(OR(L297="",AA297&lt;&gt;"Facture"),"",IFERROR(IF(INDEX(fa_type,MATCH(L297,fa_num,0))="Facture d'acompte",MATCH(L297,fa_num,0),""),""))</f>
        <v/>
      </c>
      <c r="AS297" s="62" t="str">
        <f>IF(W297="","",IF(W297&lt;=0,"",IF(p_asof-P297&lt;=0,"Non échu",IF(p_asof-P297&lt;=30,"1-30 j",IF(p_asof-P297&lt;=60,"31-60 j",IF(p_asof-P297&lt;=90,"61-90 j","Plus de 90 j"))))))</f>
        <v/>
      </c>
      <c r="AT297" s="62" t="str">
        <f>IF(AS297="","",p_asof-P297)</f>
        <v/>
      </c>
      <c r="AU297" s="62" t="str">
        <f>IF(AT297="","",COUNTIF($AT$6:$AT$805,"&gt;"&amp;AT297)+COUNTIF($AT$6:AT297,AT297))</f>
        <v/>
      </c>
    </row>
    <row r="298">
      <c r="A298" s="59" t="str">
        <f>IF(AE298="","",AB298&amp;"-"&amp;AD298&amp;"-"&amp;RIGHT("000"&amp;AE298,4))</f>
        <v/>
      </c>
      <c r="B298" s="60" t="n"/>
      <c r="C298" s="61" t="n"/>
      <c r="D298" s="60" t="n"/>
      <c r="E298" s="62" t="str">
        <f>IF(D298="","",IFERROR(INDEX(cli_name,MATCH(D298,cli_code,0))&amp;"","Client inconnu"))</f>
        <v/>
      </c>
      <c r="F298" s="60" t="n"/>
      <c r="G298" s="63" t="n"/>
      <c r="H298" s="61" t="n"/>
      <c r="I298" s="63" t="n"/>
      <c r="J298" s="60" t="n"/>
      <c r="K298" s="61" t="n"/>
      <c r="L298" s="60" t="n"/>
      <c r="M298" s="60" t="n"/>
      <c r="N298" s="60" t="n"/>
      <c r="O298" s="61" t="n"/>
      <c r="P298" s="64" t="str">
        <f>IF(A298="","",IF(AA298="Avoir",AC298,IF(ISNUMBER(K298),K298,AC298+IF(D298="",N(p_delay),IFERROR(IF(ISNUMBER(INDEX(cli_delay,MATCH(D298,cli_code,0))),INDEX(cli_delay,MATCH(D298,cli_code,0)),N(p_delay)),N(p_delay))))))</f>
        <v/>
      </c>
      <c r="Q298" s="65" t="str">
        <f>IF(A298="","",IF(AA298="Avoir",-1,1)*ROUND(AJ298-IF(AR298="",0,INDEX(fa_htb,AR298)),2))</f>
        <v/>
      </c>
      <c r="R298" s="65" t="str">
        <f>IF(A298="","",IF(AA298="Avoir",-1,1)*ROUND(AQ298-IF(AR298="",0,INDEX(fa_tvab,AR298)),2))</f>
        <v/>
      </c>
      <c r="S298" s="65" t="str">
        <f>IF(A298="","",Q298+R298)</f>
        <v/>
      </c>
      <c r="T298" s="65" t="str">
        <f>IF(AR298="","",INDEX(fa_htb,AR298)+INDEX(fa_tvab,AR298))</f>
        <v/>
      </c>
      <c r="U298" s="65" t="str">
        <f>IF(A298="","",SUMIF(pa_inv,A298,pa_amt))</f>
        <v/>
      </c>
      <c r="V298" s="65" t="str">
        <f>IF(OR(A298="",AA298="Avoir"),"",-SUMIFS(fa_ttc,fa_avof,A298,fa_type,"Avoir"))</f>
        <v/>
      </c>
      <c r="W298" s="65" t="str">
        <f>IF(OR(A298="",AA298="Avoir"),"",ROUND(S298-U298-V298,2))</f>
        <v/>
      </c>
      <c r="X298" s="66" t="str">
        <f>IF(W298="","",IF(AND(W298&gt;0,p_asof&gt;P298),p_asof-P298,""))</f>
        <v/>
      </c>
      <c r="Y298" s="59" t="str">
        <f>IF(A298="","",IF(AA298="Avoir","Avoir",IF(W298&lt;0,"Trop-perçu",IF(W298=0,"Soldée",IF(p_asof&gt;P298,"En retard",IF(U298+V298&gt;0,"Partielle","À échoir"))))))</f>
        <v/>
      </c>
      <c r="Z298" s="59" t="str">
        <f>IF(NOT(COUNTA(B298:D298,F298:O298)&gt;0),"",IF(C298="","Date manquante",IF(NOT(ISNUMBER(C298)),"Date invalide",IF(D298="","Client manquant",IF(ISNA(MATCH(D298,cli_code,0)),"Client inconnu",IF(AC298&lt;SUMPRODUCT(MAX(($AB$6:AB297=AB298)*$AC$6:AC297)),"Date antérieure à la facture précédente",IF(AND(F298&lt;&gt;"",ISNA(MATCH(F298,dv_num,0))),"Devis inconnu",IF(AND(F298&lt;&gt;"",IFERROR(INDEX(dv_client,MATCH(F298,dv_num,0)),D298)&lt;&gt;D298),"Client différent de celui du devis",IF(AG298="","Aucune ligne : saisissez des lignes ou un devis",IF(AND(AI298&lt;&gt;"",COUNTIF($AI$6:AI298,AI298)&gt;1),"Devis déjà repris par une autre facture",IF(AND(AA298="Avoir",M298=""),"Avoir : indiquez la facture d'origine",IF(AND(AA298="Avoir",ISNA(MATCH(M298,fa_num,0))),"Facture d'origine inconnue",IF(AND(AA298&lt;&gt;"Avoir",M298&lt;&gt;""),"« Avoir sur facture » : réservé aux avoirs",IF(AND(L298&lt;&gt;"",AA298&lt;&gt;"Facture"),"Acompte à déduire : réservé aux factures",IF(AND(L298&lt;&gt;"",ISNA(MATCH(L298,fa_num,0))),"Facture d'acompte inconnue",IF(AND(L298&lt;&gt;"",IFERROR(INDEX(fa_type,MATCH(L298,fa_num,0)),"")&lt;&gt;"Facture d'acompte"),"Le n° à déduire n'est pas une facture d'acompte",IF(AND(L298&lt;&gt;"",COUNTIF($L$6:L298,L298)&gt;1),"Acompte déjà déduit sur une autre facture",IF(AND(L298&lt;&gt;"",IFERROR(INDEX(fa_client,MATCH(L298,fa_num,0)),D298)&lt;&gt;D298),"Acompte d'un autre client",IF(AND(AR298&lt;&gt;"",N(Q298)&lt;0),"Acompte supérieur au total de la facture",IF(IF(AG298="Facture",COUNTIFS(fl_doc,A298,fl_check,"&lt;&gt;OK"),IF(AG298="Devis",COUNTIFS(dl_doc,F298,dl_check,"&lt;&gt;OK"),0))&gt;0,"Ligne(s) à corriger",IF(AND(W298&lt;&gt;"",N(W298)&lt;0),"Trop-perçu : vérifiez paiements et avoirs","OK")))))))))))))))))))))</f>
        <v/>
      </c>
      <c r="AA298" s="62" t="str">
        <f>IF(COUNTA(B298:D298,F298:O298)&gt;0,IF(B298="","Facture",B298),"")</f>
        <v/>
      </c>
      <c r="AB298" s="62" t="str">
        <f>IF(AA298="","",IF(AA298="Avoir",p_pav,IF(AA298="Facture d'acompte",p_pac,p_pfa)))</f>
        <v/>
      </c>
      <c r="AC298" s="62">
        <f>IF(ISNUMBER(C298),C298,0)</f>
        <v>0.0</v>
      </c>
      <c r="AD298" s="62" t="str">
        <f>IF(OR(AA298="",AC298=0),"",YEAR(AC298))</f>
        <v/>
      </c>
      <c r="AE298" s="62" t="str">
        <f>IF(AD298="","",COUNTIFS($AB$6:AB298,AB298,$AD$6:AD298,AD298))</f>
        <v/>
      </c>
      <c r="AF298" s="62">
        <f>IF(A298="",0,COUNTIF(fl_doc,A298))</f>
        <v>0.0</v>
      </c>
      <c r="AG298" s="62" t="str">
        <f>IF(A298="","",IF(AF298&gt;0,"Facture",IF(AND(F298&lt;&gt;"",AA298="Facture",ISNUMBER(MATCH(F298,dv_num,0))),"Devis","")))</f>
        <v/>
      </c>
      <c r="AH298" s="62" t="str">
        <f>IF(AND(A298&lt;&gt;"",F298&lt;&gt;"",AA298&lt;&gt;"Avoir"),F298,"")</f>
        <v/>
      </c>
      <c r="AI298" s="62" t="str">
        <f>IF(AG298="Devis",F298,"")</f>
        <v/>
      </c>
      <c r="AJ298" s="62">
        <f>IF(AG298="Facture",SUMIF(fl_doc,A298,fl_ht),IF(AG298="Devis",SUMIF(dl_doc,F298,dl_ht),0))</f>
        <v>0.0</v>
      </c>
      <c r="AK298" s="62">
        <f>IF(OR(AG298="",INDEX(p_rates,1)=""),0,IF(AG298="Facture",SUMIFS(fl_ht,fl_doc,A298,fl_rate,INDEX(p_rates,1)),SUMIFS(dl_ht,dl_doc,F298,dl_rate,INDEX(p_rates,1))))</f>
        <v>0.0</v>
      </c>
      <c r="AL298" s="62">
        <f>IF(OR(AG298="",INDEX(p_rates,2)=""),0,IF(AG298="Facture",SUMIFS(fl_ht,fl_doc,A298,fl_rate,INDEX(p_rates,2)),SUMIFS(dl_ht,dl_doc,F298,dl_rate,INDEX(p_rates,2))))</f>
        <v>0.0</v>
      </c>
      <c r="AM298" s="62">
        <f>IF(OR(AG298="",INDEX(p_rates,3)=""),0,IF(AG298="Facture",SUMIFS(fl_ht,fl_doc,A298,fl_rate,INDEX(p_rates,3)),SUMIFS(dl_ht,dl_doc,F298,dl_rate,INDEX(p_rates,3))))</f>
        <v>0.0</v>
      </c>
      <c r="AN298" s="62">
        <f>IF(OR(AG298="",INDEX(p_rates,4)=""),0,IF(AG298="Facture",SUMIFS(fl_ht,fl_doc,A298,fl_rate,INDEX(p_rates,4)),SUMIFS(dl_ht,dl_doc,F298,dl_rate,INDEX(p_rates,4))))</f>
        <v>0.0</v>
      </c>
      <c r="AO298" s="62">
        <f>IF(OR(AG298="",INDEX(p_rates,5)=""),0,IF(AG298="Facture",SUMIFS(fl_ht,fl_doc,A298,fl_rate,INDEX(p_rates,5)),SUMIFS(dl_ht,dl_doc,F298,dl_rate,INDEX(p_rates,5))))</f>
        <v>0.0</v>
      </c>
      <c r="AP298" s="62">
        <f>IF(OR(AG298="",INDEX(p_rates,6)=""),0,IF(AG298="Facture",SUMIFS(fl_ht,fl_doc,A298,fl_rate,INDEX(p_rates,6)),SUMIFS(dl_ht,dl_doc,F298,dl_rate,INDEX(p_rates,6))))</f>
        <v>0.0</v>
      </c>
      <c r="AQ298" s="62">
        <f>ROUND(AK298*N(INDEX(p_rates,1)),2)+ROUND(AL298*N(INDEX(p_rates,2)),2)+ROUND(AM298*N(INDEX(p_rates,3)),2)+ROUND(AN298*N(INDEX(p_rates,4)),2)+ROUND(AO298*N(INDEX(p_rates,5)),2)+ROUND(AP298*N(INDEX(p_rates,6)),2)</f>
        <v>0.0</v>
      </c>
      <c r="AR298" s="62" t="str">
        <f>IF(OR(L298="",AA298&lt;&gt;"Facture"),"",IFERROR(IF(INDEX(fa_type,MATCH(L298,fa_num,0))="Facture d'acompte",MATCH(L298,fa_num,0),""),""))</f>
        <v/>
      </c>
      <c r="AS298" s="62" t="str">
        <f>IF(W298="","",IF(W298&lt;=0,"",IF(p_asof-P298&lt;=0,"Non échu",IF(p_asof-P298&lt;=30,"1-30 j",IF(p_asof-P298&lt;=60,"31-60 j",IF(p_asof-P298&lt;=90,"61-90 j","Plus de 90 j"))))))</f>
        <v/>
      </c>
      <c r="AT298" s="62" t="str">
        <f>IF(AS298="","",p_asof-P298)</f>
        <v/>
      </c>
      <c r="AU298" s="62" t="str">
        <f>IF(AT298="","",COUNTIF($AT$6:$AT$805,"&gt;"&amp;AT298)+COUNTIF($AT$6:AT298,AT298))</f>
        <v/>
      </c>
    </row>
    <row r="299">
      <c r="A299" s="59" t="str">
        <f>IF(AE299="","",AB299&amp;"-"&amp;AD299&amp;"-"&amp;RIGHT("000"&amp;AE299,4))</f>
        <v/>
      </c>
      <c r="B299" s="60" t="n"/>
      <c r="C299" s="61" t="n"/>
      <c r="D299" s="60" t="n"/>
      <c r="E299" s="62" t="str">
        <f>IF(D299="","",IFERROR(INDEX(cli_name,MATCH(D299,cli_code,0))&amp;"","Client inconnu"))</f>
        <v/>
      </c>
      <c r="F299" s="60" t="n"/>
      <c r="G299" s="63" t="n"/>
      <c r="H299" s="61" t="n"/>
      <c r="I299" s="63" t="n"/>
      <c r="J299" s="60" t="n"/>
      <c r="K299" s="61" t="n"/>
      <c r="L299" s="60" t="n"/>
      <c r="M299" s="60" t="n"/>
      <c r="N299" s="60" t="n"/>
      <c r="O299" s="61" t="n"/>
      <c r="P299" s="64" t="str">
        <f>IF(A299="","",IF(AA299="Avoir",AC299,IF(ISNUMBER(K299),K299,AC299+IF(D299="",N(p_delay),IFERROR(IF(ISNUMBER(INDEX(cli_delay,MATCH(D299,cli_code,0))),INDEX(cli_delay,MATCH(D299,cli_code,0)),N(p_delay)),N(p_delay))))))</f>
        <v/>
      </c>
      <c r="Q299" s="65" t="str">
        <f>IF(A299="","",IF(AA299="Avoir",-1,1)*ROUND(AJ299-IF(AR299="",0,INDEX(fa_htb,AR299)),2))</f>
        <v/>
      </c>
      <c r="R299" s="65" t="str">
        <f>IF(A299="","",IF(AA299="Avoir",-1,1)*ROUND(AQ299-IF(AR299="",0,INDEX(fa_tvab,AR299)),2))</f>
        <v/>
      </c>
      <c r="S299" s="65" t="str">
        <f>IF(A299="","",Q299+R299)</f>
        <v/>
      </c>
      <c r="T299" s="65" t="str">
        <f>IF(AR299="","",INDEX(fa_htb,AR299)+INDEX(fa_tvab,AR299))</f>
        <v/>
      </c>
      <c r="U299" s="65" t="str">
        <f>IF(A299="","",SUMIF(pa_inv,A299,pa_amt))</f>
        <v/>
      </c>
      <c r="V299" s="65" t="str">
        <f>IF(OR(A299="",AA299="Avoir"),"",-SUMIFS(fa_ttc,fa_avof,A299,fa_type,"Avoir"))</f>
        <v/>
      </c>
      <c r="W299" s="65" t="str">
        <f>IF(OR(A299="",AA299="Avoir"),"",ROUND(S299-U299-V299,2))</f>
        <v/>
      </c>
      <c r="X299" s="66" t="str">
        <f>IF(W299="","",IF(AND(W299&gt;0,p_asof&gt;P299),p_asof-P299,""))</f>
        <v/>
      </c>
      <c r="Y299" s="59" t="str">
        <f>IF(A299="","",IF(AA299="Avoir","Avoir",IF(W299&lt;0,"Trop-perçu",IF(W299=0,"Soldée",IF(p_asof&gt;P299,"En retard",IF(U299+V299&gt;0,"Partielle","À échoir"))))))</f>
        <v/>
      </c>
      <c r="Z299" s="59" t="str">
        <f>IF(NOT(COUNTA(B299:D299,F299:O299)&gt;0),"",IF(C299="","Date manquante",IF(NOT(ISNUMBER(C299)),"Date invalide",IF(D299="","Client manquant",IF(ISNA(MATCH(D299,cli_code,0)),"Client inconnu",IF(AC299&lt;SUMPRODUCT(MAX(($AB$6:AB298=AB299)*$AC$6:AC298)),"Date antérieure à la facture précédente",IF(AND(F299&lt;&gt;"",ISNA(MATCH(F299,dv_num,0))),"Devis inconnu",IF(AND(F299&lt;&gt;"",IFERROR(INDEX(dv_client,MATCH(F299,dv_num,0)),D299)&lt;&gt;D299),"Client différent de celui du devis",IF(AG299="","Aucune ligne : saisissez des lignes ou un devis",IF(AND(AI299&lt;&gt;"",COUNTIF($AI$6:AI299,AI299)&gt;1),"Devis déjà repris par une autre facture",IF(AND(AA299="Avoir",M299=""),"Avoir : indiquez la facture d'origine",IF(AND(AA299="Avoir",ISNA(MATCH(M299,fa_num,0))),"Facture d'origine inconnue",IF(AND(AA299&lt;&gt;"Avoir",M299&lt;&gt;""),"« Avoir sur facture » : réservé aux avoirs",IF(AND(L299&lt;&gt;"",AA299&lt;&gt;"Facture"),"Acompte à déduire : réservé aux factures",IF(AND(L299&lt;&gt;"",ISNA(MATCH(L299,fa_num,0))),"Facture d'acompte inconnue",IF(AND(L299&lt;&gt;"",IFERROR(INDEX(fa_type,MATCH(L299,fa_num,0)),"")&lt;&gt;"Facture d'acompte"),"Le n° à déduire n'est pas une facture d'acompte",IF(AND(L299&lt;&gt;"",COUNTIF($L$6:L299,L299)&gt;1),"Acompte déjà déduit sur une autre facture",IF(AND(L299&lt;&gt;"",IFERROR(INDEX(fa_client,MATCH(L299,fa_num,0)),D299)&lt;&gt;D299),"Acompte d'un autre client",IF(AND(AR299&lt;&gt;"",N(Q299)&lt;0),"Acompte supérieur au total de la facture",IF(IF(AG299="Facture",COUNTIFS(fl_doc,A299,fl_check,"&lt;&gt;OK"),IF(AG299="Devis",COUNTIFS(dl_doc,F299,dl_check,"&lt;&gt;OK"),0))&gt;0,"Ligne(s) à corriger",IF(AND(W299&lt;&gt;"",N(W299)&lt;0),"Trop-perçu : vérifiez paiements et avoirs","OK")))))))))))))))))))))</f>
        <v/>
      </c>
      <c r="AA299" s="62" t="str">
        <f>IF(COUNTA(B299:D299,F299:O299)&gt;0,IF(B299="","Facture",B299),"")</f>
        <v/>
      </c>
      <c r="AB299" s="62" t="str">
        <f>IF(AA299="","",IF(AA299="Avoir",p_pav,IF(AA299="Facture d'acompte",p_pac,p_pfa)))</f>
        <v/>
      </c>
      <c r="AC299" s="62">
        <f>IF(ISNUMBER(C299),C299,0)</f>
        <v>0.0</v>
      </c>
      <c r="AD299" s="62" t="str">
        <f>IF(OR(AA299="",AC299=0),"",YEAR(AC299))</f>
        <v/>
      </c>
      <c r="AE299" s="62" t="str">
        <f>IF(AD299="","",COUNTIFS($AB$6:AB299,AB299,$AD$6:AD299,AD299))</f>
        <v/>
      </c>
      <c r="AF299" s="62">
        <f>IF(A299="",0,COUNTIF(fl_doc,A299))</f>
        <v>0.0</v>
      </c>
      <c r="AG299" s="62" t="str">
        <f>IF(A299="","",IF(AF299&gt;0,"Facture",IF(AND(F299&lt;&gt;"",AA299="Facture",ISNUMBER(MATCH(F299,dv_num,0))),"Devis","")))</f>
        <v/>
      </c>
      <c r="AH299" s="62" t="str">
        <f>IF(AND(A299&lt;&gt;"",F299&lt;&gt;"",AA299&lt;&gt;"Avoir"),F299,"")</f>
        <v/>
      </c>
      <c r="AI299" s="62" t="str">
        <f>IF(AG299="Devis",F299,"")</f>
        <v/>
      </c>
      <c r="AJ299" s="62">
        <f>IF(AG299="Facture",SUMIF(fl_doc,A299,fl_ht),IF(AG299="Devis",SUMIF(dl_doc,F299,dl_ht),0))</f>
        <v>0.0</v>
      </c>
      <c r="AK299" s="62">
        <f>IF(OR(AG299="",INDEX(p_rates,1)=""),0,IF(AG299="Facture",SUMIFS(fl_ht,fl_doc,A299,fl_rate,INDEX(p_rates,1)),SUMIFS(dl_ht,dl_doc,F299,dl_rate,INDEX(p_rates,1))))</f>
        <v>0.0</v>
      </c>
      <c r="AL299" s="62">
        <f>IF(OR(AG299="",INDEX(p_rates,2)=""),0,IF(AG299="Facture",SUMIFS(fl_ht,fl_doc,A299,fl_rate,INDEX(p_rates,2)),SUMIFS(dl_ht,dl_doc,F299,dl_rate,INDEX(p_rates,2))))</f>
        <v>0.0</v>
      </c>
      <c r="AM299" s="62">
        <f>IF(OR(AG299="",INDEX(p_rates,3)=""),0,IF(AG299="Facture",SUMIFS(fl_ht,fl_doc,A299,fl_rate,INDEX(p_rates,3)),SUMIFS(dl_ht,dl_doc,F299,dl_rate,INDEX(p_rates,3))))</f>
        <v>0.0</v>
      </c>
      <c r="AN299" s="62">
        <f>IF(OR(AG299="",INDEX(p_rates,4)=""),0,IF(AG299="Facture",SUMIFS(fl_ht,fl_doc,A299,fl_rate,INDEX(p_rates,4)),SUMIFS(dl_ht,dl_doc,F299,dl_rate,INDEX(p_rates,4))))</f>
        <v>0.0</v>
      </c>
      <c r="AO299" s="62">
        <f>IF(OR(AG299="",INDEX(p_rates,5)=""),0,IF(AG299="Facture",SUMIFS(fl_ht,fl_doc,A299,fl_rate,INDEX(p_rates,5)),SUMIFS(dl_ht,dl_doc,F299,dl_rate,INDEX(p_rates,5))))</f>
        <v>0.0</v>
      </c>
      <c r="AP299" s="62">
        <f>IF(OR(AG299="",INDEX(p_rates,6)=""),0,IF(AG299="Facture",SUMIFS(fl_ht,fl_doc,A299,fl_rate,INDEX(p_rates,6)),SUMIFS(dl_ht,dl_doc,F299,dl_rate,INDEX(p_rates,6))))</f>
        <v>0.0</v>
      </c>
      <c r="AQ299" s="62">
        <f>ROUND(AK299*N(INDEX(p_rates,1)),2)+ROUND(AL299*N(INDEX(p_rates,2)),2)+ROUND(AM299*N(INDEX(p_rates,3)),2)+ROUND(AN299*N(INDEX(p_rates,4)),2)+ROUND(AO299*N(INDEX(p_rates,5)),2)+ROUND(AP299*N(INDEX(p_rates,6)),2)</f>
        <v>0.0</v>
      </c>
      <c r="AR299" s="62" t="str">
        <f>IF(OR(L299="",AA299&lt;&gt;"Facture"),"",IFERROR(IF(INDEX(fa_type,MATCH(L299,fa_num,0))="Facture d'acompte",MATCH(L299,fa_num,0),""),""))</f>
        <v/>
      </c>
      <c r="AS299" s="62" t="str">
        <f>IF(W299="","",IF(W299&lt;=0,"",IF(p_asof-P299&lt;=0,"Non échu",IF(p_asof-P299&lt;=30,"1-30 j",IF(p_asof-P299&lt;=60,"31-60 j",IF(p_asof-P299&lt;=90,"61-90 j","Plus de 90 j"))))))</f>
        <v/>
      </c>
      <c r="AT299" s="62" t="str">
        <f>IF(AS299="","",p_asof-P299)</f>
        <v/>
      </c>
      <c r="AU299" s="62" t="str">
        <f>IF(AT299="","",COUNTIF($AT$6:$AT$805,"&gt;"&amp;AT299)+COUNTIF($AT$6:AT299,AT299))</f>
        <v/>
      </c>
    </row>
    <row r="300">
      <c r="A300" s="59" t="str">
        <f>IF(AE300="","",AB300&amp;"-"&amp;AD300&amp;"-"&amp;RIGHT("000"&amp;AE300,4))</f>
        <v/>
      </c>
      <c r="B300" s="60" t="n"/>
      <c r="C300" s="61" t="n"/>
      <c r="D300" s="60" t="n"/>
      <c r="E300" s="62" t="str">
        <f>IF(D300="","",IFERROR(INDEX(cli_name,MATCH(D300,cli_code,0))&amp;"","Client inconnu"))</f>
        <v/>
      </c>
      <c r="F300" s="60" t="n"/>
      <c r="G300" s="63" t="n"/>
      <c r="H300" s="61" t="n"/>
      <c r="I300" s="63" t="n"/>
      <c r="J300" s="60" t="n"/>
      <c r="K300" s="61" t="n"/>
      <c r="L300" s="60" t="n"/>
      <c r="M300" s="60" t="n"/>
      <c r="N300" s="60" t="n"/>
      <c r="O300" s="61" t="n"/>
      <c r="P300" s="64" t="str">
        <f>IF(A300="","",IF(AA300="Avoir",AC300,IF(ISNUMBER(K300),K300,AC300+IF(D300="",N(p_delay),IFERROR(IF(ISNUMBER(INDEX(cli_delay,MATCH(D300,cli_code,0))),INDEX(cli_delay,MATCH(D300,cli_code,0)),N(p_delay)),N(p_delay))))))</f>
        <v/>
      </c>
      <c r="Q300" s="65" t="str">
        <f>IF(A300="","",IF(AA300="Avoir",-1,1)*ROUND(AJ300-IF(AR300="",0,INDEX(fa_htb,AR300)),2))</f>
        <v/>
      </c>
      <c r="R300" s="65" t="str">
        <f>IF(A300="","",IF(AA300="Avoir",-1,1)*ROUND(AQ300-IF(AR300="",0,INDEX(fa_tvab,AR300)),2))</f>
        <v/>
      </c>
      <c r="S300" s="65" t="str">
        <f>IF(A300="","",Q300+R300)</f>
        <v/>
      </c>
      <c r="T300" s="65" t="str">
        <f>IF(AR300="","",INDEX(fa_htb,AR300)+INDEX(fa_tvab,AR300))</f>
        <v/>
      </c>
      <c r="U300" s="65" t="str">
        <f>IF(A300="","",SUMIF(pa_inv,A300,pa_amt))</f>
        <v/>
      </c>
      <c r="V300" s="65" t="str">
        <f>IF(OR(A300="",AA300="Avoir"),"",-SUMIFS(fa_ttc,fa_avof,A300,fa_type,"Avoir"))</f>
        <v/>
      </c>
      <c r="W300" s="65" t="str">
        <f>IF(OR(A300="",AA300="Avoir"),"",ROUND(S300-U300-V300,2))</f>
        <v/>
      </c>
      <c r="X300" s="66" t="str">
        <f>IF(W300="","",IF(AND(W300&gt;0,p_asof&gt;P300),p_asof-P300,""))</f>
        <v/>
      </c>
      <c r="Y300" s="59" t="str">
        <f>IF(A300="","",IF(AA300="Avoir","Avoir",IF(W300&lt;0,"Trop-perçu",IF(W300=0,"Soldée",IF(p_asof&gt;P300,"En retard",IF(U300+V300&gt;0,"Partielle","À échoir"))))))</f>
        <v/>
      </c>
      <c r="Z300" s="59" t="str">
        <f>IF(NOT(COUNTA(B300:D300,F300:O300)&gt;0),"",IF(C300="","Date manquante",IF(NOT(ISNUMBER(C300)),"Date invalide",IF(D300="","Client manquant",IF(ISNA(MATCH(D300,cli_code,0)),"Client inconnu",IF(AC300&lt;SUMPRODUCT(MAX(($AB$6:AB299=AB300)*$AC$6:AC299)),"Date antérieure à la facture précédente",IF(AND(F300&lt;&gt;"",ISNA(MATCH(F300,dv_num,0))),"Devis inconnu",IF(AND(F300&lt;&gt;"",IFERROR(INDEX(dv_client,MATCH(F300,dv_num,0)),D300)&lt;&gt;D300),"Client différent de celui du devis",IF(AG300="","Aucune ligne : saisissez des lignes ou un devis",IF(AND(AI300&lt;&gt;"",COUNTIF($AI$6:AI300,AI300)&gt;1),"Devis déjà repris par une autre facture",IF(AND(AA300="Avoir",M300=""),"Avoir : indiquez la facture d'origine",IF(AND(AA300="Avoir",ISNA(MATCH(M300,fa_num,0))),"Facture d'origine inconnue",IF(AND(AA300&lt;&gt;"Avoir",M300&lt;&gt;""),"« Avoir sur facture » : réservé aux avoirs",IF(AND(L300&lt;&gt;"",AA300&lt;&gt;"Facture"),"Acompte à déduire : réservé aux factures",IF(AND(L300&lt;&gt;"",ISNA(MATCH(L300,fa_num,0))),"Facture d'acompte inconnue",IF(AND(L300&lt;&gt;"",IFERROR(INDEX(fa_type,MATCH(L300,fa_num,0)),"")&lt;&gt;"Facture d'acompte"),"Le n° à déduire n'est pas une facture d'acompte",IF(AND(L300&lt;&gt;"",COUNTIF($L$6:L300,L300)&gt;1),"Acompte déjà déduit sur une autre facture",IF(AND(L300&lt;&gt;"",IFERROR(INDEX(fa_client,MATCH(L300,fa_num,0)),D300)&lt;&gt;D300),"Acompte d'un autre client",IF(AND(AR300&lt;&gt;"",N(Q300)&lt;0),"Acompte supérieur au total de la facture",IF(IF(AG300="Facture",COUNTIFS(fl_doc,A300,fl_check,"&lt;&gt;OK"),IF(AG300="Devis",COUNTIFS(dl_doc,F300,dl_check,"&lt;&gt;OK"),0))&gt;0,"Ligne(s) à corriger",IF(AND(W300&lt;&gt;"",N(W300)&lt;0),"Trop-perçu : vérifiez paiements et avoirs","OK")))))))))))))))))))))</f>
        <v/>
      </c>
      <c r="AA300" s="62" t="str">
        <f>IF(COUNTA(B300:D300,F300:O300)&gt;0,IF(B300="","Facture",B300),"")</f>
        <v/>
      </c>
      <c r="AB300" s="62" t="str">
        <f>IF(AA300="","",IF(AA300="Avoir",p_pav,IF(AA300="Facture d'acompte",p_pac,p_pfa)))</f>
        <v/>
      </c>
      <c r="AC300" s="62">
        <f>IF(ISNUMBER(C300),C300,0)</f>
        <v>0.0</v>
      </c>
      <c r="AD300" s="62" t="str">
        <f>IF(OR(AA300="",AC300=0),"",YEAR(AC300))</f>
        <v/>
      </c>
      <c r="AE300" s="62" t="str">
        <f>IF(AD300="","",COUNTIFS($AB$6:AB300,AB300,$AD$6:AD300,AD300))</f>
        <v/>
      </c>
      <c r="AF300" s="62">
        <f>IF(A300="",0,COUNTIF(fl_doc,A300))</f>
        <v>0.0</v>
      </c>
      <c r="AG300" s="62" t="str">
        <f>IF(A300="","",IF(AF300&gt;0,"Facture",IF(AND(F300&lt;&gt;"",AA300="Facture",ISNUMBER(MATCH(F300,dv_num,0))),"Devis","")))</f>
        <v/>
      </c>
      <c r="AH300" s="62" t="str">
        <f>IF(AND(A300&lt;&gt;"",F300&lt;&gt;"",AA300&lt;&gt;"Avoir"),F300,"")</f>
        <v/>
      </c>
      <c r="AI300" s="62" t="str">
        <f>IF(AG300="Devis",F300,"")</f>
        <v/>
      </c>
      <c r="AJ300" s="62">
        <f>IF(AG300="Facture",SUMIF(fl_doc,A300,fl_ht),IF(AG300="Devis",SUMIF(dl_doc,F300,dl_ht),0))</f>
        <v>0.0</v>
      </c>
      <c r="AK300" s="62">
        <f>IF(OR(AG300="",INDEX(p_rates,1)=""),0,IF(AG300="Facture",SUMIFS(fl_ht,fl_doc,A300,fl_rate,INDEX(p_rates,1)),SUMIFS(dl_ht,dl_doc,F300,dl_rate,INDEX(p_rates,1))))</f>
        <v>0.0</v>
      </c>
      <c r="AL300" s="62">
        <f>IF(OR(AG300="",INDEX(p_rates,2)=""),0,IF(AG300="Facture",SUMIFS(fl_ht,fl_doc,A300,fl_rate,INDEX(p_rates,2)),SUMIFS(dl_ht,dl_doc,F300,dl_rate,INDEX(p_rates,2))))</f>
        <v>0.0</v>
      </c>
      <c r="AM300" s="62">
        <f>IF(OR(AG300="",INDEX(p_rates,3)=""),0,IF(AG300="Facture",SUMIFS(fl_ht,fl_doc,A300,fl_rate,INDEX(p_rates,3)),SUMIFS(dl_ht,dl_doc,F300,dl_rate,INDEX(p_rates,3))))</f>
        <v>0.0</v>
      </c>
      <c r="AN300" s="62">
        <f>IF(OR(AG300="",INDEX(p_rates,4)=""),0,IF(AG300="Facture",SUMIFS(fl_ht,fl_doc,A300,fl_rate,INDEX(p_rates,4)),SUMIFS(dl_ht,dl_doc,F300,dl_rate,INDEX(p_rates,4))))</f>
        <v>0.0</v>
      </c>
      <c r="AO300" s="62">
        <f>IF(OR(AG300="",INDEX(p_rates,5)=""),0,IF(AG300="Facture",SUMIFS(fl_ht,fl_doc,A300,fl_rate,INDEX(p_rates,5)),SUMIFS(dl_ht,dl_doc,F300,dl_rate,INDEX(p_rates,5))))</f>
        <v>0.0</v>
      </c>
      <c r="AP300" s="62">
        <f>IF(OR(AG300="",INDEX(p_rates,6)=""),0,IF(AG300="Facture",SUMIFS(fl_ht,fl_doc,A300,fl_rate,INDEX(p_rates,6)),SUMIFS(dl_ht,dl_doc,F300,dl_rate,INDEX(p_rates,6))))</f>
        <v>0.0</v>
      </c>
      <c r="AQ300" s="62">
        <f>ROUND(AK300*N(INDEX(p_rates,1)),2)+ROUND(AL300*N(INDEX(p_rates,2)),2)+ROUND(AM300*N(INDEX(p_rates,3)),2)+ROUND(AN300*N(INDEX(p_rates,4)),2)+ROUND(AO300*N(INDEX(p_rates,5)),2)+ROUND(AP300*N(INDEX(p_rates,6)),2)</f>
        <v>0.0</v>
      </c>
      <c r="AR300" s="62" t="str">
        <f>IF(OR(L300="",AA300&lt;&gt;"Facture"),"",IFERROR(IF(INDEX(fa_type,MATCH(L300,fa_num,0))="Facture d'acompte",MATCH(L300,fa_num,0),""),""))</f>
        <v/>
      </c>
      <c r="AS300" s="62" t="str">
        <f>IF(W300="","",IF(W300&lt;=0,"",IF(p_asof-P300&lt;=0,"Non échu",IF(p_asof-P300&lt;=30,"1-30 j",IF(p_asof-P300&lt;=60,"31-60 j",IF(p_asof-P300&lt;=90,"61-90 j","Plus de 90 j"))))))</f>
        <v/>
      </c>
      <c r="AT300" s="62" t="str">
        <f>IF(AS300="","",p_asof-P300)</f>
        <v/>
      </c>
      <c r="AU300" s="62" t="str">
        <f>IF(AT300="","",COUNTIF($AT$6:$AT$805,"&gt;"&amp;AT300)+COUNTIF($AT$6:AT300,AT300))</f>
        <v/>
      </c>
    </row>
    <row r="301">
      <c r="A301" s="59" t="str">
        <f>IF(AE301="","",AB301&amp;"-"&amp;AD301&amp;"-"&amp;RIGHT("000"&amp;AE301,4))</f>
        <v/>
      </c>
      <c r="B301" s="60" t="n"/>
      <c r="C301" s="61" t="n"/>
      <c r="D301" s="60" t="n"/>
      <c r="E301" s="62" t="str">
        <f>IF(D301="","",IFERROR(INDEX(cli_name,MATCH(D301,cli_code,0))&amp;"","Client inconnu"))</f>
        <v/>
      </c>
      <c r="F301" s="60" t="n"/>
      <c r="G301" s="63" t="n"/>
      <c r="H301" s="61" t="n"/>
      <c r="I301" s="63" t="n"/>
      <c r="J301" s="60" t="n"/>
      <c r="K301" s="61" t="n"/>
      <c r="L301" s="60" t="n"/>
      <c r="M301" s="60" t="n"/>
      <c r="N301" s="60" t="n"/>
      <c r="O301" s="61" t="n"/>
      <c r="P301" s="64" t="str">
        <f>IF(A301="","",IF(AA301="Avoir",AC301,IF(ISNUMBER(K301),K301,AC301+IF(D301="",N(p_delay),IFERROR(IF(ISNUMBER(INDEX(cli_delay,MATCH(D301,cli_code,0))),INDEX(cli_delay,MATCH(D301,cli_code,0)),N(p_delay)),N(p_delay))))))</f>
        <v/>
      </c>
      <c r="Q301" s="65" t="str">
        <f>IF(A301="","",IF(AA301="Avoir",-1,1)*ROUND(AJ301-IF(AR301="",0,INDEX(fa_htb,AR301)),2))</f>
        <v/>
      </c>
      <c r="R301" s="65" t="str">
        <f>IF(A301="","",IF(AA301="Avoir",-1,1)*ROUND(AQ301-IF(AR301="",0,INDEX(fa_tvab,AR301)),2))</f>
        <v/>
      </c>
      <c r="S301" s="65" t="str">
        <f>IF(A301="","",Q301+R301)</f>
        <v/>
      </c>
      <c r="T301" s="65" t="str">
        <f>IF(AR301="","",INDEX(fa_htb,AR301)+INDEX(fa_tvab,AR301))</f>
        <v/>
      </c>
      <c r="U301" s="65" t="str">
        <f>IF(A301="","",SUMIF(pa_inv,A301,pa_amt))</f>
        <v/>
      </c>
      <c r="V301" s="65" t="str">
        <f>IF(OR(A301="",AA301="Avoir"),"",-SUMIFS(fa_ttc,fa_avof,A301,fa_type,"Avoir"))</f>
        <v/>
      </c>
      <c r="W301" s="65" t="str">
        <f>IF(OR(A301="",AA301="Avoir"),"",ROUND(S301-U301-V301,2))</f>
        <v/>
      </c>
      <c r="X301" s="66" t="str">
        <f>IF(W301="","",IF(AND(W301&gt;0,p_asof&gt;P301),p_asof-P301,""))</f>
        <v/>
      </c>
      <c r="Y301" s="59" t="str">
        <f>IF(A301="","",IF(AA301="Avoir","Avoir",IF(W301&lt;0,"Trop-perçu",IF(W301=0,"Soldée",IF(p_asof&gt;P301,"En retard",IF(U301+V301&gt;0,"Partielle","À échoir"))))))</f>
        <v/>
      </c>
      <c r="Z301" s="59" t="str">
        <f>IF(NOT(COUNTA(B301:D301,F301:O301)&gt;0),"",IF(C301="","Date manquante",IF(NOT(ISNUMBER(C301)),"Date invalide",IF(D301="","Client manquant",IF(ISNA(MATCH(D301,cli_code,0)),"Client inconnu",IF(AC301&lt;SUMPRODUCT(MAX(($AB$6:AB300=AB301)*$AC$6:AC300)),"Date antérieure à la facture précédente",IF(AND(F301&lt;&gt;"",ISNA(MATCH(F301,dv_num,0))),"Devis inconnu",IF(AND(F301&lt;&gt;"",IFERROR(INDEX(dv_client,MATCH(F301,dv_num,0)),D301)&lt;&gt;D301),"Client différent de celui du devis",IF(AG301="","Aucune ligne : saisissez des lignes ou un devis",IF(AND(AI301&lt;&gt;"",COUNTIF($AI$6:AI301,AI301)&gt;1),"Devis déjà repris par une autre facture",IF(AND(AA301="Avoir",M301=""),"Avoir : indiquez la facture d'origine",IF(AND(AA301="Avoir",ISNA(MATCH(M301,fa_num,0))),"Facture d'origine inconnue",IF(AND(AA301&lt;&gt;"Avoir",M301&lt;&gt;""),"« Avoir sur facture » : réservé aux avoirs",IF(AND(L301&lt;&gt;"",AA301&lt;&gt;"Facture"),"Acompte à déduire : réservé aux factures",IF(AND(L301&lt;&gt;"",ISNA(MATCH(L301,fa_num,0))),"Facture d'acompte inconnue",IF(AND(L301&lt;&gt;"",IFERROR(INDEX(fa_type,MATCH(L301,fa_num,0)),"")&lt;&gt;"Facture d'acompte"),"Le n° à déduire n'est pas une facture d'acompte",IF(AND(L301&lt;&gt;"",COUNTIF($L$6:L301,L301)&gt;1),"Acompte déjà déduit sur une autre facture",IF(AND(L301&lt;&gt;"",IFERROR(INDEX(fa_client,MATCH(L301,fa_num,0)),D301)&lt;&gt;D301),"Acompte d'un autre client",IF(AND(AR301&lt;&gt;"",N(Q301)&lt;0),"Acompte supérieur au total de la facture",IF(IF(AG301="Facture",COUNTIFS(fl_doc,A301,fl_check,"&lt;&gt;OK"),IF(AG301="Devis",COUNTIFS(dl_doc,F301,dl_check,"&lt;&gt;OK"),0))&gt;0,"Ligne(s) à corriger",IF(AND(W301&lt;&gt;"",N(W301)&lt;0),"Trop-perçu : vérifiez paiements et avoirs","OK")))))))))))))))))))))</f>
        <v/>
      </c>
      <c r="AA301" s="62" t="str">
        <f>IF(COUNTA(B301:D301,F301:O301)&gt;0,IF(B301="","Facture",B301),"")</f>
        <v/>
      </c>
      <c r="AB301" s="62" t="str">
        <f>IF(AA301="","",IF(AA301="Avoir",p_pav,IF(AA301="Facture d'acompte",p_pac,p_pfa)))</f>
        <v/>
      </c>
      <c r="AC301" s="62">
        <f>IF(ISNUMBER(C301),C301,0)</f>
        <v>0.0</v>
      </c>
      <c r="AD301" s="62" t="str">
        <f>IF(OR(AA301="",AC301=0),"",YEAR(AC301))</f>
        <v/>
      </c>
      <c r="AE301" s="62" t="str">
        <f>IF(AD301="","",COUNTIFS($AB$6:AB301,AB301,$AD$6:AD301,AD301))</f>
        <v/>
      </c>
      <c r="AF301" s="62">
        <f>IF(A301="",0,COUNTIF(fl_doc,A301))</f>
        <v>0.0</v>
      </c>
      <c r="AG301" s="62" t="str">
        <f>IF(A301="","",IF(AF301&gt;0,"Facture",IF(AND(F301&lt;&gt;"",AA301="Facture",ISNUMBER(MATCH(F301,dv_num,0))),"Devis","")))</f>
        <v/>
      </c>
      <c r="AH301" s="62" t="str">
        <f>IF(AND(A301&lt;&gt;"",F301&lt;&gt;"",AA301&lt;&gt;"Avoir"),F301,"")</f>
        <v/>
      </c>
      <c r="AI301" s="62" t="str">
        <f>IF(AG301="Devis",F301,"")</f>
        <v/>
      </c>
      <c r="AJ301" s="62">
        <f>IF(AG301="Facture",SUMIF(fl_doc,A301,fl_ht),IF(AG301="Devis",SUMIF(dl_doc,F301,dl_ht),0))</f>
        <v>0.0</v>
      </c>
      <c r="AK301" s="62">
        <f>IF(OR(AG301="",INDEX(p_rates,1)=""),0,IF(AG301="Facture",SUMIFS(fl_ht,fl_doc,A301,fl_rate,INDEX(p_rates,1)),SUMIFS(dl_ht,dl_doc,F301,dl_rate,INDEX(p_rates,1))))</f>
        <v>0.0</v>
      </c>
      <c r="AL301" s="62">
        <f>IF(OR(AG301="",INDEX(p_rates,2)=""),0,IF(AG301="Facture",SUMIFS(fl_ht,fl_doc,A301,fl_rate,INDEX(p_rates,2)),SUMIFS(dl_ht,dl_doc,F301,dl_rate,INDEX(p_rates,2))))</f>
        <v>0.0</v>
      </c>
      <c r="AM301" s="62">
        <f>IF(OR(AG301="",INDEX(p_rates,3)=""),0,IF(AG301="Facture",SUMIFS(fl_ht,fl_doc,A301,fl_rate,INDEX(p_rates,3)),SUMIFS(dl_ht,dl_doc,F301,dl_rate,INDEX(p_rates,3))))</f>
        <v>0.0</v>
      </c>
      <c r="AN301" s="62">
        <f>IF(OR(AG301="",INDEX(p_rates,4)=""),0,IF(AG301="Facture",SUMIFS(fl_ht,fl_doc,A301,fl_rate,INDEX(p_rates,4)),SUMIFS(dl_ht,dl_doc,F301,dl_rate,INDEX(p_rates,4))))</f>
        <v>0.0</v>
      </c>
      <c r="AO301" s="62">
        <f>IF(OR(AG301="",INDEX(p_rates,5)=""),0,IF(AG301="Facture",SUMIFS(fl_ht,fl_doc,A301,fl_rate,INDEX(p_rates,5)),SUMIFS(dl_ht,dl_doc,F301,dl_rate,INDEX(p_rates,5))))</f>
        <v>0.0</v>
      </c>
      <c r="AP301" s="62">
        <f>IF(OR(AG301="",INDEX(p_rates,6)=""),0,IF(AG301="Facture",SUMIFS(fl_ht,fl_doc,A301,fl_rate,INDEX(p_rates,6)),SUMIFS(dl_ht,dl_doc,F301,dl_rate,INDEX(p_rates,6))))</f>
        <v>0.0</v>
      </c>
      <c r="AQ301" s="62">
        <f>ROUND(AK301*N(INDEX(p_rates,1)),2)+ROUND(AL301*N(INDEX(p_rates,2)),2)+ROUND(AM301*N(INDEX(p_rates,3)),2)+ROUND(AN301*N(INDEX(p_rates,4)),2)+ROUND(AO301*N(INDEX(p_rates,5)),2)+ROUND(AP301*N(INDEX(p_rates,6)),2)</f>
        <v>0.0</v>
      </c>
      <c r="AR301" s="62" t="str">
        <f>IF(OR(L301="",AA301&lt;&gt;"Facture"),"",IFERROR(IF(INDEX(fa_type,MATCH(L301,fa_num,0))="Facture d'acompte",MATCH(L301,fa_num,0),""),""))</f>
        <v/>
      </c>
      <c r="AS301" s="62" t="str">
        <f>IF(W301="","",IF(W301&lt;=0,"",IF(p_asof-P301&lt;=0,"Non échu",IF(p_asof-P301&lt;=30,"1-30 j",IF(p_asof-P301&lt;=60,"31-60 j",IF(p_asof-P301&lt;=90,"61-90 j","Plus de 90 j"))))))</f>
        <v/>
      </c>
      <c r="AT301" s="62" t="str">
        <f>IF(AS301="","",p_asof-P301)</f>
        <v/>
      </c>
      <c r="AU301" s="62" t="str">
        <f>IF(AT301="","",COUNTIF($AT$6:$AT$805,"&gt;"&amp;AT301)+COUNTIF($AT$6:AT301,AT301))</f>
        <v/>
      </c>
    </row>
    <row r="302">
      <c r="A302" s="59" t="str">
        <f>IF(AE302="","",AB302&amp;"-"&amp;AD302&amp;"-"&amp;RIGHT("000"&amp;AE302,4))</f>
        <v/>
      </c>
      <c r="B302" s="60" t="n"/>
      <c r="C302" s="61" t="n"/>
      <c r="D302" s="60" t="n"/>
      <c r="E302" s="62" t="str">
        <f>IF(D302="","",IFERROR(INDEX(cli_name,MATCH(D302,cli_code,0))&amp;"","Client inconnu"))</f>
        <v/>
      </c>
      <c r="F302" s="60" t="n"/>
      <c r="G302" s="63" t="n"/>
      <c r="H302" s="61" t="n"/>
      <c r="I302" s="63" t="n"/>
      <c r="J302" s="60" t="n"/>
      <c r="K302" s="61" t="n"/>
      <c r="L302" s="60" t="n"/>
      <c r="M302" s="60" t="n"/>
      <c r="N302" s="60" t="n"/>
      <c r="O302" s="61" t="n"/>
      <c r="P302" s="64" t="str">
        <f>IF(A302="","",IF(AA302="Avoir",AC302,IF(ISNUMBER(K302),K302,AC302+IF(D302="",N(p_delay),IFERROR(IF(ISNUMBER(INDEX(cli_delay,MATCH(D302,cli_code,0))),INDEX(cli_delay,MATCH(D302,cli_code,0)),N(p_delay)),N(p_delay))))))</f>
        <v/>
      </c>
      <c r="Q302" s="65" t="str">
        <f>IF(A302="","",IF(AA302="Avoir",-1,1)*ROUND(AJ302-IF(AR302="",0,INDEX(fa_htb,AR302)),2))</f>
        <v/>
      </c>
      <c r="R302" s="65" t="str">
        <f>IF(A302="","",IF(AA302="Avoir",-1,1)*ROUND(AQ302-IF(AR302="",0,INDEX(fa_tvab,AR302)),2))</f>
        <v/>
      </c>
      <c r="S302" s="65" t="str">
        <f>IF(A302="","",Q302+R302)</f>
        <v/>
      </c>
      <c r="T302" s="65" t="str">
        <f>IF(AR302="","",INDEX(fa_htb,AR302)+INDEX(fa_tvab,AR302))</f>
        <v/>
      </c>
      <c r="U302" s="65" t="str">
        <f>IF(A302="","",SUMIF(pa_inv,A302,pa_amt))</f>
        <v/>
      </c>
      <c r="V302" s="65" t="str">
        <f>IF(OR(A302="",AA302="Avoir"),"",-SUMIFS(fa_ttc,fa_avof,A302,fa_type,"Avoir"))</f>
        <v/>
      </c>
      <c r="W302" s="65" t="str">
        <f>IF(OR(A302="",AA302="Avoir"),"",ROUND(S302-U302-V302,2))</f>
        <v/>
      </c>
      <c r="X302" s="66" t="str">
        <f>IF(W302="","",IF(AND(W302&gt;0,p_asof&gt;P302),p_asof-P302,""))</f>
        <v/>
      </c>
      <c r="Y302" s="59" t="str">
        <f>IF(A302="","",IF(AA302="Avoir","Avoir",IF(W302&lt;0,"Trop-perçu",IF(W302=0,"Soldée",IF(p_asof&gt;P302,"En retard",IF(U302+V302&gt;0,"Partielle","À échoir"))))))</f>
        <v/>
      </c>
      <c r="Z302" s="59" t="str">
        <f>IF(NOT(COUNTA(B302:D302,F302:O302)&gt;0),"",IF(C302="","Date manquante",IF(NOT(ISNUMBER(C302)),"Date invalide",IF(D302="","Client manquant",IF(ISNA(MATCH(D302,cli_code,0)),"Client inconnu",IF(AC302&lt;SUMPRODUCT(MAX(($AB$6:AB301=AB302)*$AC$6:AC301)),"Date antérieure à la facture précédente",IF(AND(F302&lt;&gt;"",ISNA(MATCH(F302,dv_num,0))),"Devis inconnu",IF(AND(F302&lt;&gt;"",IFERROR(INDEX(dv_client,MATCH(F302,dv_num,0)),D302)&lt;&gt;D302),"Client différent de celui du devis",IF(AG302="","Aucune ligne : saisissez des lignes ou un devis",IF(AND(AI302&lt;&gt;"",COUNTIF($AI$6:AI302,AI302)&gt;1),"Devis déjà repris par une autre facture",IF(AND(AA302="Avoir",M302=""),"Avoir : indiquez la facture d'origine",IF(AND(AA302="Avoir",ISNA(MATCH(M302,fa_num,0))),"Facture d'origine inconnue",IF(AND(AA302&lt;&gt;"Avoir",M302&lt;&gt;""),"« Avoir sur facture » : réservé aux avoirs",IF(AND(L302&lt;&gt;"",AA302&lt;&gt;"Facture"),"Acompte à déduire : réservé aux factures",IF(AND(L302&lt;&gt;"",ISNA(MATCH(L302,fa_num,0))),"Facture d'acompte inconnue",IF(AND(L302&lt;&gt;"",IFERROR(INDEX(fa_type,MATCH(L302,fa_num,0)),"")&lt;&gt;"Facture d'acompte"),"Le n° à déduire n'est pas une facture d'acompte",IF(AND(L302&lt;&gt;"",COUNTIF($L$6:L302,L302)&gt;1),"Acompte déjà déduit sur une autre facture",IF(AND(L302&lt;&gt;"",IFERROR(INDEX(fa_client,MATCH(L302,fa_num,0)),D302)&lt;&gt;D302),"Acompte d'un autre client",IF(AND(AR302&lt;&gt;"",N(Q302)&lt;0),"Acompte supérieur au total de la facture",IF(IF(AG302="Facture",COUNTIFS(fl_doc,A302,fl_check,"&lt;&gt;OK"),IF(AG302="Devis",COUNTIFS(dl_doc,F302,dl_check,"&lt;&gt;OK"),0))&gt;0,"Ligne(s) à corriger",IF(AND(W302&lt;&gt;"",N(W302)&lt;0),"Trop-perçu : vérifiez paiements et avoirs","OK")))))))))))))))))))))</f>
        <v/>
      </c>
      <c r="AA302" s="62" t="str">
        <f>IF(COUNTA(B302:D302,F302:O302)&gt;0,IF(B302="","Facture",B302),"")</f>
        <v/>
      </c>
      <c r="AB302" s="62" t="str">
        <f>IF(AA302="","",IF(AA302="Avoir",p_pav,IF(AA302="Facture d'acompte",p_pac,p_pfa)))</f>
        <v/>
      </c>
      <c r="AC302" s="62">
        <f>IF(ISNUMBER(C302),C302,0)</f>
        <v>0.0</v>
      </c>
      <c r="AD302" s="62" t="str">
        <f>IF(OR(AA302="",AC302=0),"",YEAR(AC302))</f>
        <v/>
      </c>
      <c r="AE302" s="62" t="str">
        <f>IF(AD302="","",COUNTIFS($AB$6:AB302,AB302,$AD$6:AD302,AD302))</f>
        <v/>
      </c>
      <c r="AF302" s="62">
        <f>IF(A302="",0,COUNTIF(fl_doc,A302))</f>
        <v>0.0</v>
      </c>
      <c r="AG302" s="62" t="str">
        <f>IF(A302="","",IF(AF302&gt;0,"Facture",IF(AND(F302&lt;&gt;"",AA302="Facture",ISNUMBER(MATCH(F302,dv_num,0))),"Devis","")))</f>
        <v/>
      </c>
      <c r="AH302" s="62" t="str">
        <f>IF(AND(A302&lt;&gt;"",F302&lt;&gt;"",AA302&lt;&gt;"Avoir"),F302,"")</f>
        <v/>
      </c>
      <c r="AI302" s="62" t="str">
        <f>IF(AG302="Devis",F302,"")</f>
        <v/>
      </c>
      <c r="AJ302" s="62">
        <f>IF(AG302="Facture",SUMIF(fl_doc,A302,fl_ht),IF(AG302="Devis",SUMIF(dl_doc,F302,dl_ht),0))</f>
        <v>0.0</v>
      </c>
      <c r="AK302" s="62">
        <f>IF(OR(AG302="",INDEX(p_rates,1)=""),0,IF(AG302="Facture",SUMIFS(fl_ht,fl_doc,A302,fl_rate,INDEX(p_rates,1)),SUMIFS(dl_ht,dl_doc,F302,dl_rate,INDEX(p_rates,1))))</f>
        <v>0.0</v>
      </c>
      <c r="AL302" s="62">
        <f>IF(OR(AG302="",INDEX(p_rates,2)=""),0,IF(AG302="Facture",SUMIFS(fl_ht,fl_doc,A302,fl_rate,INDEX(p_rates,2)),SUMIFS(dl_ht,dl_doc,F302,dl_rate,INDEX(p_rates,2))))</f>
        <v>0.0</v>
      </c>
      <c r="AM302" s="62">
        <f>IF(OR(AG302="",INDEX(p_rates,3)=""),0,IF(AG302="Facture",SUMIFS(fl_ht,fl_doc,A302,fl_rate,INDEX(p_rates,3)),SUMIFS(dl_ht,dl_doc,F302,dl_rate,INDEX(p_rates,3))))</f>
        <v>0.0</v>
      </c>
      <c r="AN302" s="62">
        <f>IF(OR(AG302="",INDEX(p_rates,4)=""),0,IF(AG302="Facture",SUMIFS(fl_ht,fl_doc,A302,fl_rate,INDEX(p_rates,4)),SUMIFS(dl_ht,dl_doc,F302,dl_rate,INDEX(p_rates,4))))</f>
        <v>0.0</v>
      </c>
      <c r="AO302" s="62">
        <f>IF(OR(AG302="",INDEX(p_rates,5)=""),0,IF(AG302="Facture",SUMIFS(fl_ht,fl_doc,A302,fl_rate,INDEX(p_rates,5)),SUMIFS(dl_ht,dl_doc,F302,dl_rate,INDEX(p_rates,5))))</f>
        <v>0.0</v>
      </c>
      <c r="AP302" s="62">
        <f>IF(OR(AG302="",INDEX(p_rates,6)=""),0,IF(AG302="Facture",SUMIFS(fl_ht,fl_doc,A302,fl_rate,INDEX(p_rates,6)),SUMIFS(dl_ht,dl_doc,F302,dl_rate,INDEX(p_rates,6))))</f>
        <v>0.0</v>
      </c>
      <c r="AQ302" s="62">
        <f>ROUND(AK302*N(INDEX(p_rates,1)),2)+ROUND(AL302*N(INDEX(p_rates,2)),2)+ROUND(AM302*N(INDEX(p_rates,3)),2)+ROUND(AN302*N(INDEX(p_rates,4)),2)+ROUND(AO302*N(INDEX(p_rates,5)),2)+ROUND(AP302*N(INDEX(p_rates,6)),2)</f>
        <v>0.0</v>
      </c>
      <c r="AR302" s="62" t="str">
        <f>IF(OR(L302="",AA302&lt;&gt;"Facture"),"",IFERROR(IF(INDEX(fa_type,MATCH(L302,fa_num,0))="Facture d'acompte",MATCH(L302,fa_num,0),""),""))</f>
        <v/>
      </c>
      <c r="AS302" s="62" t="str">
        <f>IF(W302="","",IF(W302&lt;=0,"",IF(p_asof-P302&lt;=0,"Non échu",IF(p_asof-P302&lt;=30,"1-30 j",IF(p_asof-P302&lt;=60,"31-60 j",IF(p_asof-P302&lt;=90,"61-90 j","Plus de 90 j"))))))</f>
        <v/>
      </c>
      <c r="AT302" s="62" t="str">
        <f>IF(AS302="","",p_asof-P302)</f>
        <v/>
      </c>
      <c r="AU302" s="62" t="str">
        <f>IF(AT302="","",COUNTIF($AT$6:$AT$805,"&gt;"&amp;AT302)+COUNTIF($AT$6:AT302,AT302))</f>
        <v/>
      </c>
    </row>
    <row r="303">
      <c r="A303" s="59" t="str">
        <f>IF(AE303="","",AB303&amp;"-"&amp;AD303&amp;"-"&amp;RIGHT("000"&amp;AE303,4))</f>
        <v/>
      </c>
      <c r="B303" s="60" t="n"/>
      <c r="C303" s="61" t="n"/>
      <c r="D303" s="60" t="n"/>
      <c r="E303" s="62" t="str">
        <f>IF(D303="","",IFERROR(INDEX(cli_name,MATCH(D303,cli_code,0))&amp;"","Client inconnu"))</f>
        <v/>
      </c>
      <c r="F303" s="60" t="n"/>
      <c r="G303" s="63" t="n"/>
      <c r="H303" s="61" t="n"/>
      <c r="I303" s="63" t="n"/>
      <c r="J303" s="60" t="n"/>
      <c r="K303" s="61" t="n"/>
      <c r="L303" s="60" t="n"/>
      <c r="M303" s="60" t="n"/>
      <c r="N303" s="60" t="n"/>
      <c r="O303" s="61" t="n"/>
      <c r="P303" s="64" t="str">
        <f>IF(A303="","",IF(AA303="Avoir",AC303,IF(ISNUMBER(K303),K303,AC303+IF(D303="",N(p_delay),IFERROR(IF(ISNUMBER(INDEX(cli_delay,MATCH(D303,cli_code,0))),INDEX(cli_delay,MATCH(D303,cli_code,0)),N(p_delay)),N(p_delay))))))</f>
        <v/>
      </c>
      <c r="Q303" s="65" t="str">
        <f>IF(A303="","",IF(AA303="Avoir",-1,1)*ROUND(AJ303-IF(AR303="",0,INDEX(fa_htb,AR303)),2))</f>
        <v/>
      </c>
      <c r="R303" s="65" t="str">
        <f>IF(A303="","",IF(AA303="Avoir",-1,1)*ROUND(AQ303-IF(AR303="",0,INDEX(fa_tvab,AR303)),2))</f>
        <v/>
      </c>
      <c r="S303" s="65" t="str">
        <f>IF(A303="","",Q303+R303)</f>
        <v/>
      </c>
      <c r="T303" s="65" t="str">
        <f>IF(AR303="","",INDEX(fa_htb,AR303)+INDEX(fa_tvab,AR303))</f>
        <v/>
      </c>
      <c r="U303" s="65" t="str">
        <f>IF(A303="","",SUMIF(pa_inv,A303,pa_amt))</f>
        <v/>
      </c>
      <c r="V303" s="65" t="str">
        <f>IF(OR(A303="",AA303="Avoir"),"",-SUMIFS(fa_ttc,fa_avof,A303,fa_type,"Avoir"))</f>
        <v/>
      </c>
      <c r="W303" s="65" t="str">
        <f>IF(OR(A303="",AA303="Avoir"),"",ROUND(S303-U303-V303,2))</f>
        <v/>
      </c>
      <c r="X303" s="66" t="str">
        <f>IF(W303="","",IF(AND(W303&gt;0,p_asof&gt;P303),p_asof-P303,""))</f>
        <v/>
      </c>
      <c r="Y303" s="59" t="str">
        <f>IF(A303="","",IF(AA303="Avoir","Avoir",IF(W303&lt;0,"Trop-perçu",IF(W303=0,"Soldée",IF(p_asof&gt;P303,"En retard",IF(U303+V303&gt;0,"Partielle","À échoir"))))))</f>
        <v/>
      </c>
      <c r="Z303" s="59" t="str">
        <f>IF(NOT(COUNTA(B303:D303,F303:O303)&gt;0),"",IF(C303="","Date manquante",IF(NOT(ISNUMBER(C303)),"Date invalide",IF(D303="","Client manquant",IF(ISNA(MATCH(D303,cli_code,0)),"Client inconnu",IF(AC303&lt;SUMPRODUCT(MAX(($AB$6:AB302=AB303)*$AC$6:AC302)),"Date antérieure à la facture précédente",IF(AND(F303&lt;&gt;"",ISNA(MATCH(F303,dv_num,0))),"Devis inconnu",IF(AND(F303&lt;&gt;"",IFERROR(INDEX(dv_client,MATCH(F303,dv_num,0)),D303)&lt;&gt;D303),"Client différent de celui du devis",IF(AG303="","Aucune ligne : saisissez des lignes ou un devis",IF(AND(AI303&lt;&gt;"",COUNTIF($AI$6:AI303,AI303)&gt;1),"Devis déjà repris par une autre facture",IF(AND(AA303="Avoir",M303=""),"Avoir : indiquez la facture d'origine",IF(AND(AA303="Avoir",ISNA(MATCH(M303,fa_num,0))),"Facture d'origine inconnue",IF(AND(AA303&lt;&gt;"Avoir",M303&lt;&gt;""),"« Avoir sur facture » : réservé aux avoirs",IF(AND(L303&lt;&gt;"",AA303&lt;&gt;"Facture"),"Acompte à déduire : réservé aux factures",IF(AND(L303&lt;&gt;"",ISNA(MATCH(L303,fa_num,0))),"Facture d'acompte inconnue",IF(AND(L303&lt;&gt;"",IFERROR(INDEX(fa_type,MATCH(L303,fa_num,0)),"")&lt;&gt;"Facture d'acompte"),"Le n° à déduire n'est pas une facture d'acompte",IF(AND(L303&lt;&gt;"",COUNTIF($L$6:L303,L303)&gt;1),"Acompte déjà déduit sur une autre facture",IF(AND(L303&lt;&gt;"",IFERROR(INDEX(fa_client,MATCH(L303,fa_num,0)),D303)&lt;&gt;D303),"Acompte d'un autre client",IF(AND(AR303&lt;&gt;"",N(Q303)&lt;0),"Acompte supérieur au total de la facture",IF(IF(AG303="Facture",COUNTIFS(fl_doc,A303,fl_check,"&lt;&gt;OK"),IF(AG303="Devis",COUNTIFS(dl_doc,F303,dl_check,"&lt;&gt;OK"),0))&gt;0,"Ligne(s) à corriger",IF(AND(W303&lt;&gt;"",N(W303)&lt;0),"Trop-perçu : vérifiez paiements et avoirs","OK")))))))))))))))))))))</f>
        <v/>
      </c>
      <c r="AA303" s="62" t="str">
        <f>IF(COUNTA(B303:D303,F303:O303)&gt;0,IF(B303="","Facture",B303),"")</f>
        <v/>
      </c>
      <c r="AB303" s="62" t="str">
        <f>IF(AA303="","",IF(AA303="Avoir",p_pav,IF(AA303="Facture d'acompte",p_pac,p_pfa)))</f>
        <v/>
      </c>
      <c r="AC303" s="62">
        <f>IF(ISNUMBER(C303),C303,0)</f>
        <v>0.0</v>
      </c>
      <c r="AD303" s="62" t="str">
        <f>IF(OR(AA303="",AC303=0),"",YEAR(AC303))</f>
        <v/>
      </c>
      <c r="AE303" s="62" t="str">
        <f>IF(AD303="","",COUNTIFS($AB$6:AB303,AB303,$AD$6:AD303,AD303))</f>
        <v/>
      </c>
      <c r="AF303" s="62">
        <f>IF(A303="",0,COUNTIF(fl_doc,A303))</f>
        <v>0.0</v>
      </c>
      <c r="AG303" s="62" t="str">
        <f>IF(A303="","",IF(AF303&gt;0,"Facture",IF(AND(F303&lt;&gt;"",AA303="Facture",ISNUMBER(MATCH(F303,dv_num,0))),"Devis","")))</f>
        <v/>
      </c>
      <c r="AH303" s="62" t="str">
        <f>IF(AND(A303&lt;&gt;"",F303&lt;&gt;"",AA303&lt;&gt;"Avoir"),F303,"")</f>
        <v/>
      </c>
      <c r="AI303" s="62" t="str">
        <f>IF(AG303="Devis",F303,"")</f>
        <v/>
      </c>
      <c r="AJ303" s="62">
        <f>IF(AG303="Facture",SUMIF(fl_doc,A303,fl_ht),IF(AG303="Devis",SUMIF(dl_doc,F303,dl_ht),0))</f>
        <v>0.0</v>
      </c>
      <c r="AK303" s="62">
        <f>IF(OR(AG303="",INDEX(p_rates,1)=""),0,IF(AG303="Facture",SUMIFS(fl_ht,fl_doc,A303,fl_rate,INDEX(p_rates,1)),SUMIFS(dl_ht,dl_doc,F303,dl_rate,INDEX(p_rates,1))))</f>
        <v>0.0</v>
      </c>
      <c r="AL303" s="62">
        <f>IF(OR(AG303="",INDEX(p_rates,2)=""),0,IF(AG303="Facture",SUMIFS(fl_ht,fl_doc,A303,fl_rate,INDEX(p_rates,2)),SUMIFS(dl_ht,dl_doc,F303,dl_rate,INDEX(p_rates,2))))</f>
        <v>0.0</v>
      </c>
      <c r="AM303" s="62">
        <f>IF(OR(AG303="",INDEX(p_rates,3)=""),0,IF(AG303="Facture",SUMIFS(fl_ht,fl_doc,A303,fl_rate,INDEX(p_rates,3)),SUMIFS(dl_ht,dl_doc,F303,dl_rate,INDEX(p_rates,3))))</f>
        <v>0.0</v>
      </c>
      <c r="AN303" s="62">
        <f>IF(OR(AG303="",INDEX(p_rates,4)=""),0,IF(AG303="Facture",SUMIFS(fl_ht,fl_doc,A303,fl_rate,INDEX(p_rates,4)),SUMIFS(dl_ht,dl_doc,F303,dl_rate,INDEX(p_rates,4))))</f>
        <v>0.0</v>
      </c>
      <c r="AO303" s="62">
        <f>IF(OR(AG303="",INDEX(p_rates,5)=""),0,IF(AG303="Facture",SUMIFS(fl_ht,fl_doc,A303,fl_rate,INDEX(p_rates,5)),SUMIFS(dl_ht,dl_doc,F303,dl_rate,INDEX(p_rates,5))))</f>
        <v>0.0</v>
      </c>
      <c r="AP303" s="62">
        <f>IF(OR(AG303="",INDEX(p_rates,6)=""),0,IF(AG303="Facture",SUMIFS(fl_ht,fl_doc,A303,fl_rate,INDEX(p_rates,6)),SUMIFS(dl_ht,dl_doc,F303,dl_rate,INDEX(p_rates,6))))</f>
        <v>0.0</v>
      </c>
      <c r="AQ303" s="62">
        <f>ROUND(AK303*N(INDEX(p_rates,1)),2)+ROUND(AL303*N(INDEX(p_rates,2)),2)+ROUND(AM303*N(INDEX(p_rates,3)),2)+ROUND(AN303*N(INDEX(p_rates,4)),2)+ROUND(AO303*N(INDEX(p_rates,5)),2)+ROUND(AP303*N(INDEX(p_rates,6)),2)</f>
        <v>0.0</v>
      </c>
      <c r="AR303" s="62" t="str">
        <f>IF(OR(L303="",AA303&lt;&gt;"Facture"),"",IFERROR(IF(INDEX(fa_type,MATCH(L303,fa_num,0))="Facture d'acompte",MATCH(L303,fa_num,0),""),""))</f>
        <v/>
      </c>
      <c r="AS303" s="62" t="str">
        <f>IF(W303="","",IF(W303&lt;=0,"",IF(p_asof-P303&lt;=0,"Non échu",IF(p_asof-P303&lt;=30,"1-30 j",IF(p_asof-P303&lt;=60,"31-60 j",IF(p_asof-P303&lt;=90,"61-90 j","Plus de 90 j"))))))</f>
        <v/>
      </c>
      <c r="AT303" s="62" t="str">
        <f>IF(AS303="","",p_asof-P303)</f>
        <v/>
      </c>
      <c r="AU303" s="62" t="str">
        <f>IF(AT303="","",COUNTIF($AT$6:$AT$805,"&gt;"&amp;AT303)+COUNTIF($AT$6:AT303,AT303))</f>
        <v/>
      </c>
    </row>
    <row r="304">
      <c r="A304" s="59" t="str">
        <f>IF(AE304="","",AB304&amp;"-"&amp;AD304&amp;"-"&amp;RIGHT("000"&amp;AE304,4))</f>
        <v/>
      </c>
      <c r="B304" s="60" t="n"/>
      <c r="C304" s="61" t="n"/>
      <c r="D304" s="60" t="n"/>
      <c r="E304" s="62" t="str">
        <f>IF(D304="","",IFERROR(INDEX(cli_name,MATCH(D304,cli_code,0))&amp;"","Client inconnu"))</f>
        <v/>
      </c>
      <c r="F304" s="60" t="n"/>
      <c r="G304" s="63" t="n"/>
      <c r="H304" s="61" t="n"/>
      <c r="I304" s="63" t="n"/>
      <c r="J304" s="60" t="n"/>
      <c r="K304" s="61" t="n"/>
      <c r="L304" s="60" t="n"/>
      <c r="M304" s="60" t="n"/>
      <c r="N304" s="60" t="n"/>
      <c r="O304" s="61" t="n"/>
      <c r="P304" s="64" t="str">
        <f>IF(A304="","",IF(AA304="Avoir",AC304,IF(ISNUMBER(K304),K304,AC304+IF(D304="",N(p_delay),IFERROR(IF(ISNUMBER(INDEX(cli_delay,MATCH(D304,cli_code,0))),INDEX(cli_delay,MATCH(D304,cli_code,0)),N(p_delay)),N(p_delay))))))</f>
        <v/>
      </c>
      <c r="Q304" s="65" t="str">
        <f>IF(A304="","",IF(AA304="Avoir",-1,1)*ROUND(AJ304-IF(AR304="",0,INDEX(fa_htb,AR304)),2))</f>
        <v/>
      </c>
      <c r="R304" s="65" t="str">
        <f>IF(A304="","",IF(AA304="Avoir",-1,1)*ROUND(AQ304-IF(AR304="",0,INDEX(fa_tvab,AR304)),2))</f>
        <v/>
      </c>
      <c r="S304" s="65" t="str">
        <f>IF(A304="","",Q304+R304)</f>
        <v/>
      </c>
      <c r="T304" s="65" t="str">
        <f>IF(AR304="","",INDEX(fa_htb,AR304)+INDEX(fa_tvab,AR304))</f>
        <v/>
      </c>
      <c r="U304" s="65" t="str">
        <f>IF(A304="","",SUMIF(pa_inv,A304,pa_amt))</f>
        <v/>
      </c>
      <c r="V304" s="65" t="str">
        <f>IF(OR(A304="",AA304="Avoir"),"",-SUMIFS(fa_ttc,fa_avof,A304,fa_type,"Avoir"))</f>
        <v/>
      </c>
      <c r="W304" s="65" t="str">
        <f>IF(OR(A304="",AA304="Avoir"),"",ROUND(S304-U304-V304,2))</f>
        <v/>
      </c>
      <c r="X304" s="66" t="str">
        <f>IF(W304="","",IF(AND(W304&gt;0,p_asof&gt;P304),p_asof-P304,""))</f>
        <v/>
      </c>
      <c r="Y304" s="59" t="str">
        <f>IF(A304="","",IF(AA304="Avoir","Avoir",IF(W304&lt;0,"Trop-perçu",IF(W304=0,"Soldée",IF(p_asof&gt;P304,"En retard",IF(U304+V304&gt;0,"Partielle","À échoir"))))))</f>
        <v/>
      </c>
      <c r="Z304" s="59" t="str">
        <f>IF(NOT(COUNTA(B304:D304,F304:O304)&gt;0),"",IF(C304="","Date manquante",IF(NOT(ISNUMBER(C304)),"Date invalide",IF(D304="","Client manquant",IF(ISNA(MATCH(D304,cli_code,0)),"Client inconnu",IF(AC304&lt;SUMPRODUCT(MAX(($AB$6:AB303=AB304)*$AC$6:AC303)),"Date antérieure à la facture précédente",IF(AND(F304&lt;&gt;"",ISNA(MATCH(F304,dv_num,0))),"Devis inconnu",IF(AND(F304&lt;&gt;"",IFERROR(INDEX(dv_client,MATCH(F304,dv_num,0)),D304)&lt;&gt;D304),"Client différent de celui du devis",IF(AG304="","Aucune ligne : saisissez des lignes ou un devis",IF(AND(AI304&lt;&gt;"",COUNTIF($AI$6:AI304,AI304)&gt;1),"Devis déjà repris par une autre facture",IF(AND(AA304="Avoir",M304=""),"Avoir : indiquez la facture d'origine",IF(AND(AA304="Avoir",ISNA(MATCH(M304,fa_num,0))),"Facture d'origine inconnue",IF(AND(AA304&lt;&gt;"Avoir",M304&lt;&gt;""),"« Avoir sur facture » : réservé aux avoirs",IF(AND(L304&lt;&gt;"",AA304&lt;&gt;"Facture"),"Acompte à déduire : réservé aux factures",IF(AND(L304&lt;&gt;"",ISNA(MATCH(L304,fa_num,0))),"Facture d'acompte inconnue",IF(AND(L304&lt;&gt;"",IFERROR(INDEX(fa_type,MATCH(L304,fa_num,0)),"")&lt;&gt;"Facture d'acompte"),"Le n° à déduire n'est pas une facture d'acompte",IF(AND(L304&lt;&gt;"",COUNTIF($L$6:L304,L304)&gt;1),"Acompte déjà déduit sur une autre facture",IF(AND(L304&lt;&gt;"",IFERROR(INDEX(fa_client,MATCH(L304,fa_num,0)),D304)&lt;&gt;D304),"Acompte d'un autre client",IF(AND(AR304&lt;&gt;"",N(Q304)&lt;0),"Acompte supérieur au total de la facture",IF(IF(AG304="Facture",COUNTIFS(fl_doc,A304,fl_check,"&lt;&gt;OK"),IF(AG304="Devis",COUNTIFS(dl_doc,F304,dl_check,"&lt;&gt;OK"),0))&gt;0,"Ligne(s) à corriger",IF(AND(W304&lt;&gt;"",N(W304)&lt;0),"Trop-perçu : vérifiez paiements et avoirs","OK")))))))))))))))))))))</f>
        <v/>
      </c>
      <c r="AA304" s="62" t="str">
        <f>IF(COUNTA(B304:D304,F304:O304)&gt;0,IF(B304="","Facture",B304),"")</f>
        <v/>
      </c>
      <c r="AB304" s="62" t="str">
        <f>IF(AA304="","",IF(AA304="Avoir",p_pav,IF(AA304="Facture d'acompte",p_pac,p_pfa)))</f>
        <v/>
      </c>
      <c r="AC304" s="62">
        <f>IF(ISNUMBER(C304),C304,0)</f>
        <v>0.0</v>
      </c>
      <c r="AD304" s="62" t="str">
        <f>IF(OR(AA304="",AC304=0),"",YEAR(AC304))</f>
        <v/>
      </c>
      <c r="AE304" s="62" t="str">
        <f>IF(AD304="","",COUNTIFS($AB$6:AB304,AB304,$AD$6:AD304,AD304))</f>
        <v/>
      </c>
      <c r="AF304" s="62">
        <f>IF(A304="",0,COUNTIF(fl_doc,A304))</f>
        <v>0.0</v>
      </c>
      <c r="AG304" s="62" t="str">
        <f>IF(A304="","",IF(AF304&gt;0,"Facture",IF(AND(F304&lt;&gt;"",AA304="Facture",ISNUMBER(MATCH(F304,dv_num,0))),"Devis","")))</f>
        <v/>
      </c>
      <c r="AH304" s="62" t="str">
        <f>IF(AND(A304&lt;&gt;"",F304&lt;&gt;"",AA304&lt;&gt;"Avoir"),F304,"")</f>
        <v/>
      </c>
      <c r="AI304" s="62" t="str">
        <f>IF(AG304="Devis",F304,"")</f>
        <v/>
      </c>
      <c r="AJ304" s="62">
        <f>IF(AG304="Facture",SUMIF(fl_doc,A304,fl_ht),IF(AG304="Devis",SUMIF(dl_doc,F304,dl_ht),0))</f>
        <v>0.0</v>
      </c>
      <c r="AK304" s="62">
        <f>IF(OR(AG304="",INDEX(p_rates,1)=""),0,IF(AG304="Facture",SUMIFS(fl_ht,fl_doc,A304,fl_rate,INDEX(p_rates,1)),SUMIFS(dl_ht,dl_doc,F304,dl_rate,INDEX(p_rates,1))))</f>
        <v>0.0</v>
      </c>
      <c r="AL304" s="62">
        <f>IF(OR(AG304="",INDEX(p_rates,2)=""),0,IF(AG304="Facture",SUMIFS(fl_ht,fl_doc,A304,fl_rate,INDEX(p_rates,2)),SUMIFS(dl_ht,dl_doc,F304,dl_rate,INDEX(p_rates,2))))</f>
        <v>0.0</v>
      </c>
      <c r="AM304" s="62">
        <f>IF(OR(AG304="",INDEX(p_rates,3)=""),0,IF(AG304="Facture",SUMIFS(fl_ht,fl_doc,A304,fl_rate,INDEX(p_rates,3)),SUMIFS(dl_ht,dl_doc,F304,dl_rate,INDEX(p_rates,3))))</f>
        <v>0.0</v>
      </c>
      <c r="AN304" s="62">
        <f>IF(OR(AG304="",INDEX(p_rates,4)=""),0,IF(AG304="Facture",SUMIFS(fl_ht,fl_doc,A304,fl_rate,INDEX(p_rates,4)),SUMIFS(dl_ht,dl_doc,F304,dl_rate,INDEX(p_rates,4))))</f>
        <v>0.0</v>
      </c>
      <c r="AO304" s="62">
        <f>IF(OR(AG304="",INDEX(p_rates,5)=""),0,IF(AG304="Facture",SUMIFS(fl_ht,fl_doc,A304,fl_rate,INDEX(p_rates,5)),SUMIFS(dl_ht,dl_doc,F304,dl_rate,INDEX(p_rates,5))))</f>
        <v>0.0</v>
      </c>
      <c r="AP304" s="62">
        <f>IF(OR(AG304="",INDEX(p_rates,6)=""),0,IF(AG304="Facture",SUMIFS(fl_ht,fl_doc,A304,fl_rate,INDEX(p_rates,6)),SUMIFS(dl_ht,dl_doc,F304,dl_rate,INDEX(p_rates,6))))</f>
        <v>0.0</v>
      </c>
      <c r="AQ304" s="62">
        <f>ROUND(AK304*N(INDEX(p_rates,1)),2)+ROUND(AL304*N(INDEX(p_rates,2)),2)+ROUND(AM304*N(INDEX(p_rates,3)),2)+ROUND(AN304*N(INDEX(p_rates,4)),2)+ROUND(AO304*N(INDEX(p_rates,5)),2)+ROUND(AP304*N(INDEX(p_rates,6)),2)</f>
        <v>0.0</v>
      </c>
      <c r="AR304" s="62" t="str">
        <f>IF(OR(L304="",AA304&lt;&gt;"Facture"),"",IFERROR(IF(INDEX(fa_type,MATCH(L304,fa_num,0))="Facture d'acompte",MATCH(L304,fa_num,0),""),""))</f>
        <v/>
      </c>
      <c r="AS304" s="62" t="str">
        <f>IF(W304="","",IF(W304&lt;=0,"",IF(p_asof-P304&lt;=0,"Non échu",IF(p_asof-P304&lt;=30,"1-30 j",IF(p_asof-P304&lt;=60,"31-60 j",IF(p_asof-P304&lt;=90,"61-90 j","Plus de 90 j"))))))</f>
        <v/>
      </c>
      <c r="AT304" s="62" t="str">
        <f>IF(AS304="","",p_asof-P304)</f>
        <v/>
      </c>
      <c r="AU304" s="62" t="str">
        <f>IF(AT304="","",COUNTIF($AT$6:$AT$805,"&gt;"&amp;AT304)+COUNTIF($AT$6:AT304,AT304))</f>
        <v/>
      </c>
    </row>
    <row r="305">
      <c r="A305" s="59" t="str">
        <f>IF(AE305="","",AB305&amp;"-"&amp;AD305&amp;"-"&amp;RIGHT("000"&amp;AE305,4))</f>
        <v/>
      </c>
      <c r="B305" s="60" t="n"/>
      <c r="C305" s="61" t="n"/>
      <c r="D305" s="60" t="n"/>
      <c r="E305" s="62" t="str">
        <f>IF(D305="","",IFERROR(INDEX(cli_name,MATCH(D305,cli_code,0))&amp;"","Client inconnu"))</f>
        <v/>
      </c>
      <c r="F305" s="60" t="n"/>
      <c r="G305" s="63" t="n"/>
      <c r="H305" s="61" t="n"/>
      <c r="I305" s="63" t="n"/>
      <c r="J305" s="60" t="n"/>
      <c r="K305" s="61" t="n"/>
      <c r="L305" s="60" t="n"/>
      <c r="M305" s="60" t="n"/>
      <c r="N305" s="60" t="n"/>
      <c r="O305" s="61" t="n"/>
      <c r="P305" s="64" t="str">
        <f>IF(A305="","",IF(AA305="Avoir",AC305,IF(ISNUMBER(K305),K305,AC305+IF(D305="",N(p_delay),IFERROR(IF(ISNUMBER(INDEX(cli_delay,MATCH(D305,cli_code,0))),INDEX(cli_delay,MATCH(D305,cli_code,0)),N(p_delay)),N(p_delay))))))</f>
        <v/>
      </c>
      <c r="Q305" s="65" t="str">
        <f>IF(A305="","",IF(AA305="Avoir",-1,1)*ROUND(AJ305-IF(AR305="",0,INDEX(fa_htb,AR305)),2))</f>
        <v/>
      </c>
      <c r="R305" s="65" t="str">
        <f>IF(A305="","",IF(AA305="Avoir",-1,1)*ROUND(AQ305-IF(AR305="",0,INDEX(fa_tvab,AR305)),2))</f>
        <v/>
      </c>
      <c r="S305" s="65" t="str">
        <f>IF(A305="","",Q305+R305)</f>
        <v/>
      </c>
      <c r="T305" s="65" t="str">
        <f>IF(AR305="","",INDEX(fa_htb,AR305)+INDEX(fa_tvab,AR305))</f>
        <v/>
      </c>
      <c r="U305" s="65" t="str">
        <f>IF(A305="","",SUMIF(pa_inv,A305,pa_amt))</f>
        <v/>
      </c>
      <c r="V305" s="65" t="str">
        <f>IF(OR(A305="",AA305="Avoir"),"",-SUMIFS(fa_ttc,fa_avof,A305,fa_type,"Avoir"))</f>
        <v/>
      </c>
      <c r="W305" s="65" t="str">
        <f>IF(OR(A305="",AA305="Avoir"),"",ROUND(S305-U305-V305,2))</f>
        <v/>
      </c>
      <c r="X305" s="66" t="str">
        <f>IF(W305="","",IF(AND(W305&gt;0,p_asof&gt;P305),p_asof-P305,""))</f>
        <v/>
      </c>
      <c r="Y305" s="59" t="str">
        <f>IF(A305="","",IF(AA305="Avoir","Avoir",IF(W305&lt;0,"Trop-perçu",IF(W305=0,"Soldée",IF(p_asof&gt;P305,"En retard",IF(U305+V305&gt;0,"Partielle","À échoir"))))))</f>
        <v/>
      </c>
      <c r="Z305" s="59" t="str">
        <f>IF(NOT(COUNTA(B305:D305,F305:O305)&gt;0),"",IF(C305="","Date manquante",IF(NOT(ISNUMBER(C305)),"Date invalide",IF(D305="","Client manquant",IF(ISNA(MATCH(D305,cli_code,0)),"Client inconnu",IF(AC305&lt;SUMPRODUCT(MAX(($AB$6:AB304=AB305)*$AC$6:AC304)),"Date antérieure à la facture précédente",IF(AND(F305&lt;&gt;"",ISNA(MATCH(F305,dv_num,0))),"Devis inconnu",IF(AND(F305&lt;&gt;"",IFERROR(INDEX(dv_client,MATCH(F305,dv_num,0)),D305)&lt;&gt;D305),"Client différent de celui du devis",IF(AG305="","Aucune ligne : saisissez des lignes ou un devis",IF(AND(AI305&lt;&gt;"",COUNTIF($AI$6:AI305,AI305)&gt;1),"Devis déjà repris par une autre facture",IF(AND(AA305="Avoir",M305=""),"Avoir : indiquez la facture d'origine",IF(AND(AA305="Avoir",ISNA(MATCH(M305,fa_num,0))),"Facture d'origine inconnue",IF(AND(AA305&lt;&gt;"Avoir",M305&lt;&gt;""),"« Avoir sur facture » : réservé aux avoirs",IF(AND(L305&lt;&gt;"",AA305&lt;&gt;"Facture"),"Acompte à déduire : réservé aux factures",IF(AND(L305&lt;&gt;"",ISNA(MATCH(L305,fa_num,0))),"Facture d'acompte inconnue",IF(AND(L305&lt;&gt;"",IFERROR(INDEX(fa_type,MATCH(L305,fa_num,0)),"")&lt;&gt;"Facture d'acompte"),"Le n° à déduire n'est pas une facture d'acompte",IF(AND(L305&lt;&gt;"",COUNTIF($L$6:L305,L305)&gt;1),"Acompte déjà déduit sur une autre facture",IF(AND(L305&lt;&gt;"",IFERROR(INDEX(fa_client,MATCH(L305,fa_num,0)),D305)&lt;&gt;D305),"Acompte d'un autre client",IF(AND(AR305&lt;&gt;"",N(Q305)&lt;0),"Acompte supérieur au total de la facture",IF(IF(AG305="Facture",COUNTIFS(fl_doc,A305,fl_check,"&lt;&gt;OK"),IF(AG305="Devis",COUNTIFS(dl_doc,F305,dl_check,"&lt;&gt;OK"),0))&gt;0,"Ligne(s) à corriger",IF(AND(W305&lt;&gt;"",N(W305)&lt;0),"Trop-perçu : vérifiez paiements et avoirs","OK")))))))))))))))))))))</f>
        <v/>
      </c>
      <c r="AA305" s="62" t="str">
        <f>IF(COUNTA(B305:D305,F305:O305)&gt;0,IF(B305="","Facture",B305),"")</f>
        <v/>
      </c>
      <c r="AB305" s="62" t="str">
        <f>IF(AA305="","",IF(AA305="Avoir",p_pav,IF(AA305="Facture d'acompte",p_pac,p_pfa)))</f>
        <v/>
      </c>
      <c r="AC305" s="62">
        <f>IF(ISNUMBER(C305),C305,0)</f>
        <v>0.0</v>
      </c>
      <c r="AD305" s="62" t="str">
        <f>IF(OR(AA305="",AC305=0),"",YEAR(AC305))</f>
        <v/>
      </c>
      <c r="AE305" s="62" t="str">
        <f>IF(AD305="","",COUNTIFS($AB$6:AB305,AB305,$AD$6:AD305,AD305))</f>
        <v/>
      </c>
      <c r="AF305" s="62">
        <f>IF(A305="",0,COUNTIF(fl_doc,A305))</f>
        <v>0.0</v>
      </c>
      <c r="AG305" s="62" t="str">
        <f>IF(A305="","",IF(AF305&gt;0,"Facture",IF(AND(F305&lt;&gt;"",AA305="Facture",ISNUMBER(MATCH(F305,dv_num,0))),"Devis","")))</f>
        <v/>
      </c>
      <c r="AH305" s="62" t="str">
        <f>IF(AND(A305&lt;&gt;"",F305&lt;&gt;"",AA305&lt;&gt;"Avoir"),F305,"")</f>
        <v/>
      </c>
      <c r="AI305" s="62" t="str">
        <f>IF(AG305="Devis",F305,"")</f>
        <v/>
      </c>
      <c r="AJ305" s="62">
        <f>IF(AG305="Facture",SUMIF(fl_doc,A305,fl_ht),IF(AG305="Devis",SUMIF(dl_doc,F305,dl_ht),0))</f>
        <v>0.0</v>
      </c>
      <c r="AK305" s="62">
        <f>IF(OR(AG305="",INDEX(p_rates,1)=""),0,IF(AG305="Facture",SUMIFS(fl_ht,fl_doc,A305,fl_rate,INDEX(p_rates,1)),SUMIFS(dl_ht,dl_doc,F305,dl_rate,INDEX(p_rates,1))))</f>
        <v>0.0</v>
      </c>
      <c r="AL305" s="62">
        <f>IF(OR(AG305="",INDEX(p_rates,2)=""),0,IF(AG305="Facture",SUMIFS(fl_ht,fl_doc,A305,fl_rate,INDEX(p_rates,2)),SUMIFS(dl_ht,dl_doc,F305,dl_rate,INDEX(p_rates,2))))</f>
        <v>0.0</v>
      </c>
      <c r="AM305" s="62">
        <f>IF(OR(AG305="",INDEX(p_rates,3)=""),0,IF(AG305="Facture",SUMIFS(fl_ht,fl_doc,A305,fl_rate,INDEX(p_rates,3)),SUMIFS(dl_ht,dl_doc,F305,dl_rate,INDEX(p_rates,3))))</f>
        <v>0.0</v>
      </c>
      <c r="AN305" s="62">
        <f>IF(OR(AG305="",INDEX(p_rates,4)=""),0,IF(AG305="Facture",SUMIFS(fl_ht,fl_doc,A305,fl_rate,INDEX(p_rates,4)),SUMIFS(dl_ht,dl_doc,F305,dl_rate,INDEX(p_rates,4))))</f>
        <v>0.0</v>
      </c>
      <c r="AO305" s="62">
        <f>IF(OR(AG305="",INDEX(p_rates,5)=""),0,IF(AG305="Facture",SUMIFS(fl_ht,fl_doc,A305,fl_rate,INDEX(p_rates,5)),SUMIFS(dl_ht,dl_doc,F305,dl_rate,INDEX(p_rates,5))))</f>
        <v>0.0</v>
      </c>
      <c r="AP305" s="62">
        <f>IF(OR(AG305="",INDEX(p_rates,6)=""),0,IF(AG305="Facture",SUMIFS(fl_ht,fl_doc,A305,fl_rate,INDEX(p_rates,6)),SUMIFS(dl_ht,dl_doc,F305,dl_rate,INDEX(p_rates,6))))</f>
        <v>0.0</v>
      </c>
      <c r="AQ305" s="62">
        <f>ROUND(AK305*N(INDEX(p_rates,1)),2)+ROUND(AL305*N(INDEX(p_rates,2)),2)+ROUND(AM305*N(INDEX(p_rates,3)),2)+ROUND(AN305*N(INDEX(p_rates,4)),2)+ROUND(AO305*N(INDEX(p_rates,5)),2)+ROUND(AP305*N(INDEX(p_rates,6)),2)</f>
        <v>0.0</v>
      </c>
      <c r="AR305" s="62" t="str">
        <f>IF(OR(L305="",AA305&lt;&gt;"Facture"),"",IFERROR(IF(INDEX(fa_type,MATCH(L305,fa_num,0))="Facture d'acompte",MATCH(L305,fa_num,0),""),""))</f>
        <v/>
      </c>
      <c r="AS305" s="62" t="str">
        <f>IF(W305="","",IF(W305&lt;=0,"",IF(p_asof-P305&lt;=0,"Non échu",IF(p_asof-P305&lt;=30,"1-30 j",IF(p_asof-P305&lt;=60,"31-60 j",IF(p_asof-P305&lt;=90,"61-90 j","Plus de 90 j"))))))</f>
        <v/>
      </c>
      <c r="AT305" s="62" t="str">
        <f>IF(AS305="","",p_asof-P305)</f>
        <v/>
      </c>
      <c r="AU305" s="62" t="str">
        <f>IF(AT305="","",COUNTIF($AT$6:$AT$805,"&gt;"&amp;AT305)+COUNTIF($AT$6:AT305,AT305))</f>
        <v/>
      </c>
    </row>
    <row r="306">
      <c r="A306" s="59" t="str">
        <f>IF(AE306="","",AB306&amp;"-"&amp;AD306&amp;"-"&amp;RIGHT("000"&amp;AE306,4))</f>
        <v/>
      </c>
      <c r="B306" s="60" t="n"/>
      <c r="C306" s="61" t="n"/>
      <c r="D306" s="60" t="n"/>
      <c r="E306" s="62" t="str">
        <f>IF(D306="","",IFERROR(INDEX(cli_name,MATCH(D306,cli_code,0))&amp;"","Client inconnu"))</f>
        <v/>
      </c>
      <c r="F306" s="60" t="n"/>
      <c r="G306" s="63" t="n"/>
      <c r="H306" s="61" t="n"/>
      <c r="I306" s="63" t="n"/>
      <c r="J306" s="60" t="n"/>
      <c r="K306" s="61" t="n"/>
      <c r="L306" s="60" t="n"/>
      <c r="M306" s="60" t="n"/>
      <c r="N306" s="60" t="n"/>
      <c r="O306" s="61" t="n"/>
      <c r="P306" s="64" t="str">
        <f>IF(A306="","",IF(AA306="Avoir",AC306,IF(ISNUMBER(K306),K306,AC306+IF(D306="",N(p_delay),IFERROR(IF(ISNUMBER(INDEX(cli_delay,MATCH(D306,cli_code,0))),INDEX(cli_delay,MATCH(D306,cli_code,0)),N(p_delay)),N(p_delay))))))</f>
        <v/>
      </c>
      <c r="Q306" s="65" t="str">
        <f>IF(A306="","",IF(AA306="Avoir",-1,1)*ROUND(AJ306-IF(AR306="",0,INDEX(fa_htb,AR306)),2))</f>
        <v/>
      </c>
      <c r="R306" s="65" t="str">
        <f>IF(A306="","",IF(AA306="Avoir",-1,1)*ROUND(AQ306-IF(AR306="",0,INDEX(fa_tvab,AR306)),2))</f>
        <v/>
      </c>
      <c r="S306" s="65" t="str">
        <f>IF(A306="","",Q306+R306)</f>
        <v/>
      </c>
      <c r="T306" s="65" t="str">
        <f>IF(AR306="","",INDEX(fa_htb,AR306)+INDEX(fa_tvab,AR306))</f>
        <v/>
      </c>
      <c r="U306" s="65" t="str">
        <f>IF(A306="","",SUMIF(pa_inv,A306,pa_amt))</f>
        <v/>
      </c>
      <c r="V306" s="65" t="str">
        <f>IF(OR(A306="",AA306="Avoir"),"",-SUMIFS(fa_ttc,fa_avof,A306,fa_type,"Avoir"))</f>
        <v/>
      </c>
      <c r="W306" s="65" t="str">
        <f>IF(OR(A306="",AA306="Avoir"),"",ROUND(S306-U306-V306,2))</f>
        <v/>
      </c>
      <c r="X306" s="66" t="str">
        <f>IF(W306="","",IF(AND(W306&gt;0,p_asof&gt;P306),p_asof-P306,""))</f>
        <v/>
      </c>
      <c r="Y306" s="59" t="str">
        <f>IF(A306="","",IF(AA306="Avoir","Avoir",IF(W306&lt;0,"Trop-perçu",IF(W306=0,"Soldée",IF(p_asof&gt;P306,"En retard",IF(U306+V306&gt;0,"Partielle","À échoir"))))))</f>
        <v/>
      </c>
      <c r="Z306" s="59" t="str">
        <f>IF(NOT(COUNTA(B306:D306,F306:O306)&gt;0),"",IF(C306="","Date manquante",IF(NOT(ISNUMBER(C306)),"Date invalide",IF(D306="","Client manquant",IF(ISNA(MATCH(D306,cli_code,0)),"Client inconnu",IF(AC306&lt;SUMPRODUCT(MAX(($AB$6:AB305=AB306)*$AC$6:AC305)),"Date antérieure à la facture précédente",IF(AND(F306&lt;&gt;"",ISNA(MATCH(F306,dv_num,0))),"Devis inconnu",IF(AND(F306&lt;&gt;"",IFERROR(INDEX(dv_client,MATCH(F306,dv_num,0)),D306)&lt;&gt;D306),"Client différent de celui du devis",IF(AG306="","Aucune ligne : saisissez des lignes ou un devis",IF(AND(AI306&lt;&gt;"",COUNTIF($AI$6:AI306,AI306)&gt;1),"Devis déjà repris par une autre facture",IF(AND(AA306="Avoir",M306=""),"Avoir : indiquez la facture d'origine",IF(AND(AA306="Avoir",ISNA(MATCH(M306,fa_num,0))),"Facture d'origine inconnue",IF(AND(AA306&lt;&gt;"Avoir",M306&lt;&gt;""),"« Avoir sur facture » : réservé aux avoirs",IF(AND(L306&lt;&gt;"",AA306&lt;&gt;"Facture"),"Acompte à déduire : réservé aux factures",IF(AND(L306&lt;&gt;"",ISNA(MATCH(L306,fa_num,0))),"Facture d'acompte inconnue",IF(AND(L306&lt;&gt;"",IFERROR(INDEX(fa_type,MATCH(L306,fa_num,0)),"")&lt;&gt;"Facture d'acompte"),"Le n° à déduire n'est pas une facture d'acompte",IF(AND(L306&lt;&gt;"",COUNTIF($L$6:L306,L306)&gt;1),"Acompte déjà déduit sur une autre facture",IF(AND(L306&lt;&gt;"",IFERROR(INDEX(fa_client,MATCH(L306,fa_num,0)),D306)&lt;&gt;D306),"Acompte d'un autre client",IF(AND(AR306&lt;&gt;"",N(Q306)&lt;0),"Acompte supérieur au total de la facture",IF(IF(AG306="Facture",COUNTIFS(fl_doc,A306,fl_check,"&lt;&gt;OK"),IF(AG306="Devis",COUNTIFS(dl_doc,F306,dl_check,"&lt;&gt;OK"),0))&gt;0,"Ligne(s) à corriger",IF(AND(W306&lt;&gt;"",N(W306)&lt;0),"Trop-perçu : vérifiez paiements et avoirs","OK")))))))))))))))))))))</f>
        <v/>
      </c>
      <c r="AA306" s="62" t="str">
        <f>IF(COUNTA(B306:D306,F306:O306)&gt;0,IF(B306="","Facture",B306),"")</f>
        <v/>
      </c>
      <c r="AB306" s="62" t="str">
        <f>IF(AA306="","",IF(AA306="Avoir",p_pav,IF(AA306="Facture d'acompte",p_pac,p_pfa)))</f>
        <v/>
      </c>
      <c r="AC306" s="62">
        <f>IF(ISNUMBER(C306),C306,0)</f>
        <v>0.0</v>
      </c>
      <c r="AD306" s="62" t="str">
        <f>IF(OR(AA306="",AC306=0),"",YEAR(AC306))</f>
        <v/>
      </c>
      <c r="AE306" s="62" t="str">
        <f>IF(AD306="","",COUNTIFS($AB$6:AB306,AB306,$AD$6:AD306,AD306))</f>
        <v/>
      </c>
      <c r="AF306" s="62">
        <f>IF(A306="",0,COUNTIF(fl_doc,A306))</f>
        <v>0.0</v>
      </c>
      <c r="AG306" s="62" t="str">
        <f>IF(A306="","",IF(AF306&gt;0,"Facture",IF(AND(F306&lt;&gt;"",AA306="Facture",ISNUMBER(MATCH(F306,dv_num,0))),"Devis","")))</f>
        <v/>
      </c>
      <c r="AH306" s="62" t="str">
        <f>IF(AND(A306&lt;&gt;"",F306&lt;&gt;"",AA306&lt;&gt;"Avoir"),F306,"")</f>
        <v/>
      </c>
      <c r="AI306" s="62" t="str">
        <f>IF(AG306="Devis",F306,"")</f>
        <v/>
      </c>
      <c r="AJ306" s="62">
        <f>IF(AG306="Facture",SUMIF(fl_doc,A306,fl_ht),IF(AG306="Devis",SUMIF(dl_doc,F306,dl_ht),0))</f>
        <v>0.0</v>
      </c>
      <c r="AK306" s="62">
        <f>IF(OR(AG306="",INDEX(p_rates,1)=""),0,IF(AG306="Facture",SUMIFS(fl_ht,fl_doc,A306,fl_rate,INDEX(p_rates,1)),SUMIFS(dl_ht,dl_doc,F306,dl_rate,INDEX(p_rates,1))))</f>
        <v>0.0</v>
      </c>
      <c r="AL306" s="62">
        <f>IF(OR(AG306="",INDEX(p_rates,2)=""),0,IF(AG306="Facture",SUMIFS(fl_ht,fl_doc,A306,fl_rate,INDEX(p_rates,2)),SUMIFS(dl_ht,dl_doc,F306,dl_rate,INDEX(p_rates,2))))</f>
        <v>0.0</v>
      </c>
      <c r="AM306" s="62">
        <f>IF(OR(AG306="",INDEX(p_rates,3)=""),0,IF(AG306="Facture",SUMIFS(fl_ht,fl_doc,A306,fl_rate,INDEX(p_rates,3)),SUMIFS(dl_ht,dl_doc,F306,dl_rate,INDEX(p_rates,3))))</f>
        <v>0.0</v>
      </c>
      <c r="AN306" s="62">
        <f>IF(OR(AG306="",INDEX(p_rates,4)=""),0,IF(AG306="Facture",SUMIFS(fl_ht,fl_doc,A306,fl_rate,INDEX(p_rates,4)),SUMIFS(dl_ht,dl_doc,F306,dl_rate,INDEX(p_rates,4))))</f>
        <v>0.0</v>
      </c>
      <c r="AO306" s="62">
        <f>IF(OR(AG306="",INDEX(p_rates,5)=""),0,IF(AG306="Facture",SUMIFS(fl_ht,fl_doc,A306,fl_rate,INDEX(p_rates,5)),SUMIFS(dl_ht,dl_doc,F306,dl_rate,INDEX(p_rates,5))))</f>
        <v>0.0</v>
      </c>
      <c r="AP306" s="62">
        <f>IF(OR(AG306="",INDEX(p_rates,6)=""),0,IF(AG306="Facture",SUMIFS(fl_ht,fl_doc,A306,fl_rate,INDEX(p_rates,6)),SUMIFS(dl_ht,dl_doc,F306,dl_rate,INDEX(p_rates,6))))</f>
        <v>0.0</v>
      </c>
      <c r="AQ306" s="62">
        <f>ROUND(AK306*N(INDEX(p_rates,1)),2)+ROUND(AL306*N(INDEX(p_rates,2)),2)+ROUND(AM306*N(INDEX(p_rates,3)),2)+ROUND(AN306*N(INDEX(p_rates,4)),2)+ROUND(AO306*N(INDEX(p_rates,5)),2)+ROUND(AP306*N(INDEX(p_rates,6)),2)</f>
        <v>0.0</v>
      </c>
      <c r="AR306" s="62" t="str">
        <f>IF(OR(L306="",AA306&lt;&gt;"Facture"),"",IFERROR(IF(INDEX(fa_type,MATCH(L306,fa_num,0))="Facture d'acompte",MATCH(L306,fa_num,0),""),""))</f>
        <v/>
      </c>
      <c r="AS306" s="62" t="str">
        <f>IF(W306="","",IF(W306&lt;=0,"",IF(p_asof-P306&lt;=0,"Non échu",IF(p_asof-P306&lt;=30,"1-30 j",IF(p_asof-P306&lt;=60,"31-60 j",IF(p_asof-P306&lt;=90,"61-90 j","Plus de 90 j"))))))</f>
        <v/>
      </c>
      <c r="AT306" s="62" t="str">
        <f>IF(AS306="","",p_asof-P306)</f>
        <v/>
      </c>
      <c r="AU306" s="62" t="str">
        <f>IF(AT306="","",COUNTIF($AT$6:$AT$805,"&gt;"&amp;AT306)+COUNTIF($AT$6:AT306,AT306))</f>
        <v/>
      </c>
    </row>
    <row r="307">
      <c r="A307" s="59" t="str">
        <f>IF(AE307="","",AB307&amp;"-"&amp;AD307&amp;"-"&amp;RIGHT("000"&amp;AE307,4))</f>
        <v/>
      </c>
      <c r="B307" s="60" t="n"/>
      <c r="C307" s="61" t="n"/>
      <c r="D307" s="60" t="n"/>
      <c r="E307" s="62" t="str">
        <f>IF(D307="","",IFERROR(INDEX(cli_name,MATCH(D307,cli_code,0))&amp;"","Client inconnu"))</f>
        <v/>
      </c>
      <c r="F307" s="60" t="n"/>
      <c r="G307" s="63" t="n"/>
      <c r="H307" s="61" t="n"/>
      <c r="I307" s="63" t="n"/>
      <c r="J307" s="60" t="n"/>
      <c r="K307" s="61" t="n"/>
      <c r="L307" s="60" t="n"/>
      <c r="M307" s="60" t="n"/>
      <c r="N307" s="60" t="n"/>
      <c r="O307" s="61" t="n"/>
      <c r="P307" s="64" t="str">
        <f>IF(A307="","",IF(AA307="Avoir",AC307,IF(ISNUMBER(K307),K307,AC307+IF(D307="",N(p_delay),IFERROR(IF(ISNUMBER(INDEX(cli_delay,MATCH(D307,cli_code,0))),INDEX(cli_delay,MATCH(D307,cli_code,0)),N(p_delay)),N(p_delay))))))</f>
        <v/>
      </c>
      <c r="Q307" s="65" t="str">
        <f>IF(A307="","",IF(AA307="Avoir",-1,1)*ROUND(AJ307-IF(AR307="",0,INDEX(fa_htb,AR307)),2))</f>
        <v/>
      </c>
      <c r="R307" s="65" t="str">
        <f>IF(A307="","",IF(AA307="Avoir",-1,1)*ROUND(AQ307-IF(AR307="",0,INDEX(fa_tvab,AR307)),2))</f>
        <v/>
      </c>
      <c r="S307" s="65" t="str">
        <f>IF(A307="","",Q307+R307)</f>
        <v/>
      </c>
      <c r="T307" s="65" t="str">
        <f>IF(AR307="","",INDEX(fa_htb,AR307)+INDEX(fa_tvab,AR307))</f>
        <v/>
      </c>
      <c r="U307" s="65" t="str">
        <f>IF(A307="","",SUMIF(pa_inv,A307,pa_amt))</f>
        <v/>
      </c>
      <c r="V307" s="65" t="str">
        <f>IF(OR(A307="",AA307="Avoir"),"",-SUMIFS(fa_ttc,fa_avof,A307,fa_type,"Avoir"))</f>
        <v/>
      </c>
      <c r="W307" s="65" t="str">
        <f>IF(OR(A307="",AA307="Avoir"),"",ROUND(S307-U307-V307,2))</f>
        <v/>
      </c>
      <c r="X307" s="66" t="str">
        <f>IF(W307="","",IF(AND(W307&gt;0,p_asof&gt;P307),p_asof-P307,""))</f>
        <v/>
      </c>
      <c r="Y307" s="59" t="str">
        <f>IF(A307="","",IF(AA307="Avoir","Avoir",IF(W307&lt;0,"Trop-perçu",IF(W307=0,"Soldée",IF(p_asof&gt;P307,"En retard",IF(U307+V307&gt;0,"Partielle","À échoir"))))))</f>
        <v/>
      </c>
      <c r="Z307" s="59" t="str">
        <f>IF(NOT(COUNTA(B307:D307,F307:O307)&gt;0),"",IF(C307="","Date manquante",IF(NOT(ISNUMBER(C307)),"Date invalide",IF(D307="","Client manquant",IF(ISNA(MATCH(D307,cli_code,0)),"Client inconnu",IF(AC307&lt;SUMPRODUCT(MAX(($AB$6:AB306=AB307)*$AC$6:AC306)),"Date antérieure à la facture précédente",IF(AND(F307&lt;&gt;"",ISNA(MATCH(F307,dv_num,0))),"Devis inconnu",IF(AND(F307&lt;&gt;"",IFERROR(INDEX(dv_client,MATCH(F307,dv_num,0)),D307)&lt;&gt;D307),"Client différent de celui du devis",IF(AG307="","Aucune ligne : saisissez des lignes ou un devis",IF(AND(AI307&lt;&gt;"",COUNTIF($AI$6:AI307,AI307)&gt;1),"Devis déjà repris par une autre facture",IF(AND(AA307="Avoir",M307=""),"Avoir : indiquez la facture d'origine",IF(AND(AA307="Avoir",ISNA(MATCH(M307,fa_num,0))),"Facture d'origine inconnue",IF(AND(AA307&lt;&gt;"Avoir",M307&lt;&gt;""),"« Avoir sur facture » : réservé aux avoirs",IF(AND(L307&lt;&gt;"",AA307&lt;&gt;"Facture"),"Acompte à déduire : réservé aux factures",IF(AND(L307&lt;&gt;"",ISNA(MATCH(L307,fa_num,0))),"Facture d'acompte inconnue",IF(AND(L307&lt;&gt;"",IFERROR(INDEX(fa_type,MATCH(L307,fa_num,0)),"")&lt;&gt;"Facture d'acompte"),"Le n° à déduire n'est pas une facture d'acompte",IF(AND(L307&lt;&gt;"",COUNTIF($L$6:L307,L307)&gt;1),"Acompte déjà déduit sur une autre facture",IF(AND(L307&lt;&gt;"",IFERROR(INDEX(fa_client,MATCH(L307,fa_num,0)),D307)&lt;&gt;D307),"Acompte d'un autre client",IF(AND(AR307&lt;&gt;"",N(Q307)&lt;0),"Acompte supérieur au total de la facture",IF(IF(AG307="Facture",COUNTIFS(fl_doc,A307,fl_check,"&lt;&gt;OK"),IF(AG307="Devis",COUNTIFS(dl_doc,F307,dl_check,"&lt;&gt;OK"),0))&gt;0,"Ligne(s) à corriger",IF(AND(W307&lt;&gt;"",N(W307)&lt;0),"Trop-perçu : vérifiez paiements et avoirs","OK")))))))))))))))))))))</f>
        <v/>
      </c>
      <c r="AA307" s="62" t="str">
        <f>IF(COUNTA(B307:D307,F307:O307)&gt;0,IF(B307="","Facture",B307),"")</f>
        <v/>
      </c>
      <c r="AB307" s="62" t="str">
        <f>IF(AA307="","",IF(AA307="Avoir",p_pav,IF(AA307="Facture d'acompte",p_pac,p_pfa)))</f>
        <v/>
      </c>
      <c r="AC307" s="62">
        <f>IF(ISNUMBER(C307),C307,0)</f>
        <v>0.0</v>
      </c>
      <c r="AD307" s="62" t="str">
        <f>IF(OR(AA307="",AC307=0),"",YEAR(AC307))</f>
        <v/>
      </c>
      <c r="AE307" s="62" t="str">
        <f>IF(AD307="","",COUNTIFS($AB$6:AB307,AB307,$AD$6:AD307,AD307))</f>
        <v/>
      </c>
      <c r="AF307" s="62">
        <f>IF(A307="",0,COUNTIF(fl_doc,A307))</f>
        <v>0.0</v>
      </c>
      <c r="AG307" s="62" t="str">
        <f>IF(A307="","",IF(AF307&gt;0,"Facture",IF(AND(F307&lt;&gt;"",AA307="Facture",ISNUMBER(MATCH(F307,dv_num,0))),"Devis","")))</f>
        <v/>
      </c>
      <c r="AH307" s="62" t="str">
        <f>IF(AND(A307&lt;&gt;"",F307&lt;&gt;"",AA307&lt;&gt;"Avoir"),F307,"")</f>
        <v/>
      </c>
      <c r="AI307" s="62" t="str">
        <f>IF(AG307="Devis",F307,"")</f>
        <v/>
      </c>
      <c r="AJ307" s="62">
        <f>IF(AG307="Facture",SUMIF(fl_doc,A307,fl_ht),IF(AG307="Devis",SUMIF(dl_doc,F307,dl_ht),0))</f>
        <v>0.0</v>
      </c>
      <c r="AK307" s="62">
        <f>IF(OR(AG307="",INDEX(p_rates,1)=""),0,IF(AG307="Facture",SUMIFS(fl_ht,fl_doc,A307,fl_rate,INDEX(p_rates,1)),SUMIFS(dl_ht,dl_doc,F307,dl_rate,INDEX(p_rates,1))))</f>
        <v>0.0</v>
      </c>
      <c r="AL307" s="62">
        <f>IF(OR(AG307="",INDEX(p_rates,2)=""),0,IF(AG307="Facture",SUMIFS(fl_ht,fl_doc,A307,fl_rate,INDEX(p_rates,2)),SUMIFS(dl_ht,dl_doc,F307,dl_rate,INDEX(p_rates,2))))</f>
        <v>0.0</v>
      </c>
      <c r="AM307" s="62">
        <f>IF(OR(AG307="",INDEX(p_rates,3)=""),0,IF(AG307="Facture",SUMIFS(fl_ht,fl_doc,A307,fl_rate,INDEX(p_rates,3)),SUMIFS(dl_ht,dl_doc,F307,dl_rate,INDEX(p_rates,3))))</f>
        <v>0.0</v>
      </c>
      <c r="AN307" s="62">
        <f>IF(OR(AG307="",INDEX(p_rates,4)=""),0,IF(AG307="Facture",SUMIFS(fl_ht,fl_doc,A307,fl_rate,INDEX(p_rates,4)),SUMIFS(dl_ht,dl_doc,F307,dl_rate,INDEX(p_rates,4))))</f>
        <v>0.0</v>
      </c>
      <c r="AO307" s="62">
        <f>IF(OR(AG307="",INDEX(p_rates,5)=""),0,IF(AG307="Facture",SUMIFS(fl_ht,fl_doc,A307,fl_rate,INDEX(p_rates,5)),SUMIFS(dl_ht,dl_doc,F307,dl_rate,INDEX(p_rates,5))))</f>
        <v>0.0</v>
      </c>
      <c r="AP307" s="62">
        <f>IF(OR(AG307="",INDEX(p_rates,6)=""),0,IF(AG307="Facture",SUMIFS(fl_ht,fl_doc,A307,fl_rate,INDEX(p_rates,6)),SUMIFS(dl_ht,dl_doc,F307,dl_rate,INDEX(p_rates,6))))</f>
        <v>0.0</v>
      </c>
      <c r="AQ307" s="62">
        <f>ROUND(AK307*N(INDEX(p_rates,1)),2)+ROUND(AL307*N(INDEX(p_rates,2)),2)+ROUND(AM307*N(INDEX(p_rates,3)),2)+ROUND(AN307*N(INDEX(p_rates,4)),2)+ROUND(AO307*N(INDEX(p_rates,5)),2)+ROUND(AP307*N(INDEX(p_rates,6)),2)</f>
        <v>0.0</v>
      </c>
      <c r="AR307" s="62" t="str">
        <f>IF(OR(L307="",AA307&lt;&gt;"Facture"),"",IFERROR(IF(INDEX(fa_type,MATCH(L307,fa_num,0))="Facture d'acompte",MATCH(L307,fa_num,0),""),""))</f>
        <v/>
      </c>
      <c r="AS307" s="62" t="str">
        <f>IF(W307="","",IF(W307&lt;=0,"",IF(p_asof-P307&lt;=0,"Non échu",IF(p_asof-P307&lt;=30,"1-30 j",IF(p_asof-P307&lt;=60,"31-60 j",IF(p_asof-P307&lt;=90,"61-90 j","Plus de 90 j"))))))</f>
        <v/>
      </c>
      <c r="AT307" s="62" t="str">
        <f>IF(AS307="","",p_asof-P307)</f>
        <v/>
      </c>
      <c r="AU307" s="62" t="str">
        <f>IF(AT307="","",COUNTIF($AT$6:$AT$805,"&gt;"&amp;AT307)+COUNTIF($AT$6:AT307,AT307))</f>
        <v/>
      </c>
    </row>
    <row r="308">
      <c r="A308" s="59" t="str">
        <f>IF(AE308="","",AB308&amp;"-"&amp;AD308&amp;"-"&amp;RIGHT("000"&amp;AE308,4))</f>
        <v/>
      </c>
      <c r="B308" s="60" t="n"/>
      <c r="C308" s="61" t="n"/>
      <c r="D308" s="60" t="n"/>
      <c r="E308" s="62" t="str">
        <f>IF(D308="","",IFERROR(INDEX(cli_name,MATCH(D308,cli_code,0))&amp;"","Client inconnu"))</f>
        <v/>
      </c>
      <c r="F308" s="60" t="n"/>
      <c r="G308" s="63" t="n"/>
      <c r="H308" s="61" t="n"/>
      <c r="I308" s="63" t="n"/>
      <c r="J308" s="60" t="n"/>
      <c r="K308" s="61" t="n"/>
      <c r="L308" s="60" t="n"/>
      <c r="M308" s="60" t="n"/>
      <c r="N308" s="60" t="n"/>
      <c r="O308" s="61" t="n"/>
      <c r="P308" s="64" t="str">
        <f>IF(A308="","",IF(AA308="Avoir",AC308,IF(ISNUMBER(K308),K308,AC308+IF(D308="",N(p_delay),IFERROR(IF(ISNUMBER(INDEX(cli_delay,MATCH(D308,cli_code,0))),INDEX(cli_delay,MATCH(D308,cli_code,0)),N(p_delay)),N(p_delay))))))</f>
        <v/>
      </c>
      <c r="Q308" s="65" t="str">
        <f>IF(A308="","",IF(AA308="Avoir",-1,1)*ROUND(AJ308-IF(AR308="",0,INDEX(fa_htb,AR308)),2))</f>
        <v/>
      </c>
      <c r="R308" s="65" t="str">
        <f>IF(A308="","",IF(AA308="Avoir",-1,1)*ROUND(AQ308-IF(AR308="",0,INDEX(fa_tvab,AR308)),2))</f>
        <v/>
      </c>
      <c r="S308" s="65" t="str">
        <f>IF(A308="","",Q308+R308)</f>
        <v/>
      </c>
      <c r="T308" s="65" t="str">
        <f>IF(AR308="","",INDEX(fa_htb,AR308)+INDEX(fa_tvab,AR308))</f>
        <v/>
      </c>
      <c r="U308" s="65" t="str">
        <f>IF(A308="","",SUMIF(pa_inv,A308,pa_amt))</f>
        <v/>
      </c>
      <c r="V308" s="65" t="str">
        <f>IF(OR(A308="",AA308="Avoir"),"",-SUMIFS(fa_ttc,fa_avof,A308,fa_type,"Avoir"))</f>
        <v/>
      </c>
      <c r="W308" s="65" t="str">
        <f>IF(OR(A308="",AA308="Avoir"),"",ROUND(S308-U308-V308,2))</f>
        <v/>
      </c>
      <c r="X308" s="66" t="str">
        <f>IF(W308="","",IF(AND(W308&gt;0,p_asof&gt;P308),p_asof-P308,""))</f>
        <v/>
      </c>
      <c r="Y308" s="59" t="str">
        <f>IF(A308="","",IF(AA308="Avoir","Avoir",IF(W308&lt;0,"Trop-perçu",IF(W308=0,"Soldée",IF(p_asof&gt;P308,"En retard",IF(U308+V308&gt;0,"Partielle","À échoir"))))))</f>
        <v/>
      </c>
      <c r="Z308" s="59" t="str">
        <f>IF(NOT(COUNTA(B308:D308,F308:O308)&gt;0),"",IF(C308="","Date manquante",IF(NOT(ISNUMBER(C308)),"Date invalide",IF(D308="","Client manquant",IF(ISNA(MATCH(D308,cli_code,0)),"Client inconnu",IF(AC308&lt;SUMPRODUCT(MAX(($AB$6:AB307=AB308)*$AC$6:AC307)),"Date antérieure à la facture précédente",IF(AND(F308&lt;&gt;"",ISNA(MATCH(F308,dv_num,0))),"Devis inconnu",IF(AND(F308&lt;&gt;"",IFERROR(INDEX(dv_client,MATCH(F308,dv_num,0)),D308)&lt;&gt;D308),"Client différent de celui du devis",IF(AG308="","Aucune ligne : saisissez des lignes ou un devis",IF(AND(AI308&lt;&gt;"",COUNTIF($AI$6:AI308,AI308)&gt;1),"Devis déjà repris par une autre facture",IF(AND(AA308="Avoir",M308=""),"Avoir : indiquez la facture d'origine",IF(AND(AA308="Avoir",ISNA(MATCH(M308,fa_num,0))),"Facture d'origine inconnue",IF(AND(AA308&lt;&gt;"Avoir",M308&lt;&gt;""),"« Avoir sur facture » : réservé aux avoirs",IF(AND(L308&lt;&gt;"",AA308&lt;&gt;"Facture"),"Acompte à déduire : réservé aux factures",IF(AND(L308&lt;&gt;"",ISNA(MATCH(L308,fa_num,0))),"Facture d'acompte inconnue",IF(AND(L308&lt;&gt;"",IFERROR(INDEX(fa_type,MATCH(L308,fa_num,0)),"")&lt;&gt;"Facture d'acompte"),"Le n° à déduire n'est pas une facture d'acompte",IF(AND(L308&lt;&gt;"",COUNTIF($L$6:L308,L308)&gt;1),"Acompte déjà déduit sur une autre facture",IF(AND(L308&lt;&gt;"",IFERROR(INDEX(fa_client,MATCH(L308,fa_num,0)),D308)&lt;&gt;D308),"Acompte d'un autre client",IF(AND(AR308&lt;&gt;"",N(Q308)&lt;0),"Acompte supérieur au total de la facture",IF(IF(AG308="Facture",COUNTIFS(fl_doc,A308,fl_check,"&lt;&gt;OK"),IF(AG308="Devis",COUNTIFS(dl_doc,F308,dl_check,"&lt;&gt;OK"),0))&gt;0,"Ligne(s) à corriger",IF(AND(W308&lt;&gt;"",N(W308)&lt;0),"Trop-perçu : vérifiez paiements et avoirs","OK")))))))))))))))))))))</f>
        <v/>
      </c>
      <c r="AA308" s="62" t="str">
        <f>IF(COUNTA(B308:D308,F308:O308)&gt;0,IF(B308="","Facture",B308),"")</f>
        <v/>
      </c>
      <c r="AB308" s="62" t="str">
        <f>IF(AA308="","",IF(AA308="Avoir",p_pav,IF(AA308="Facture d'acompte",p_pac,p_pfa)))</f>
        <v/>
      </c>
      <c r="AC308" s="62">
        <f>IF(ISNUMBER(C308),C308,0)</f>
        <v>0.0</v>
      </c>
      <c r="AD308" s="62" t="str">
        <f>IF(OR(AA308="",AC308=0),"",YEAR(AC308))</f>
        <v/>
      </c>
      <c r="AE308" s="62" t="str">
        <f>IF(AD308="","",COUNTIFS($AB$6:AB308,AB308,$AD$6:AD308,AD308))</f>
        <v/>
      </c>
      <c r="AF308" s="62">
        <f>IF(A308="",0,COUNTIF(fl_doc,A308))</f>
        <v>0.0</v>
      </c>
      <c r="AG308" s="62" t="str">
        <f>IF(A308="","",IF(AF308&gt;0,"Facture",IF(AND(F308&lt;&gt;"",AA308="Facture",ISNUMBER(MATCH(F308,dv_num,0))),"Devis","")))</f>
        <v/>
      </c>
      <c r="AH308" s="62" t="str">
        <f>IF(AND(A308&lt;&gt;"",F308&lt;&gt;"",AA308&lt;&gt;"Avoir"),F308,"")</f>
        <v/>
      </c>
      <c r="AI308" s="62" t="str">
        <f>IF(AG308="Devis",F308,"")</f>
        <v/>
      </c>
      <c r="AJ308" s="62">
        <f>IF(AG308="Facture",SUMIF(fl_doc,A308,fl_ht),IF(AG308="Devis",SUMIF(dl_doc,F308,dl_ht),0))</f>
        <v>0.0</v>
      </c>
      <c r="AK308" s="62">
        <f>IF(OR(AG308="",INDEX(p_rates,1)=""),0,IF(AG308="Facture",SUMIFS(fl_ht,fl_doc,A308,fl_rate,INDEX(p_rates,1)),SUMIFS(dl_ht,dl_doc,F308,dl_rate,INDEX(p_rates,1))))</f>
        <v>0.0</v>
      </c>
      <c r="AL308" s="62">
        <f>IF(OR(AG308="",INDEX(p_rates,2)=""),0,IF(AG308="Facture",SUMIFS(fl_ht,fl_doc,A308,fl_rate,INDEX(p_rates,2)),SUMIFS(dl_ht,dl_doc,F308,dl_rate,INDEX(p_rates,2))))</f>
        <v>0.0</v>
      </c>
      <c r="AM308" s="62">
        <f>IF(OR(AG308="",INDEX(p_rates,3)=""),0,IF(AG308="Facture",SUMIFS(fl_ht,fl_doc,A308,fl_rate,INDEX(p_rates,3)),SUMIFS(dl_ht,dl_doc,F308,dl_rate,INDEX(p_rates,3))))</f>
        <v>0.0</v>
      </c>
      <c r="AN308" s="62">
        <f>IF(OR(AG308="",INDEX(p_rates,4)=""),0,IF(AG308="Facture",SUMIFS(fl_ht,fl_doc,A308,fl_rate,INDEX(p_rates,4)),SUMIFS(dl_ht,dl_doc,F308,dl_rate,INDEX(p_rates,4))))</f>
        <v>0.0</v>
      </c>
      <c r="AO308" s="62">
        <f>IF(OR(AG308="",INDEX(p_rates,5)=""),0,IF(AG308="Facture",SUMIFS(fl_ht,fl_doc,A308,fl_rate,INDEX(p_rates,5)),SUMIFS(dl_ht,dl_doc,F308,dl_rate,INDEX(p_rates,5))))</f>
        <v>0.0</v>
      </c>
      <c r="AP308" s="62">
        <f>IF(OR(AG308="",INDEX(p_rates,6)=""),0,IF(AG308="Facture",SUMIFS(fl_ht,fl_doc,A308,fl_rate,INDEX(p_rates,6)),SUMIFS(dl_ht,dl_doc,F308,dl_rate,INDEX(p_rates,6))))</f>
        <v>0.0</v>
      </c>
      <c r="AQ308" s="62">
        <f>ROUND(AK308*N(INDEX(p_rates,1)),2)+ROUND(AL308*N(INDEX(p_rates,2)),2)+ROUND(AM308*N(INDEX(p_rates,3)),2)+ROUND(AN308*N(INDEX(p_rates,4)),2)+ROUND(AO308*N(INDEX(p_rates,5)),2)+ROUND(AP308*N(INDEX(p_rates,6)),2)</f>
        <v>0.0</v>
      </c>
      <c r="AR308" s="62" t="str">
        <f>IF(OR(L308="",AA308&lt;&gt;"Facture"),"",IFERROR(IF(INDEX(fa_type,MATCH(L308,fa_num,0))="Facture d'acompte",MATCH(L308,fa_num,0),""),""))</f>
        <v/>
      </c>
      <c r="AS308" s="62" t="str">
        <f>IF(W308="","",IF(W308&lt;=0,"",IF(p_asof-P308&lt;=0,"Non échu",IF(p_asof-P308&lt;=30,"1-30 j",IF(p_asof-P308&lt;=60,"31-60 j",IF(p_asof-P308&lt;=90,"61-90 j","Plus de 90 j"))))))</f>
        <v/>
      </c>
      <c r="AT308" s="62" t="str">
        <f>IF(AS308="","",p_asof-P308)</f>
        <v/>
      </c>
      <c r="AU308" s="62" t="str">
        <f>IF(AT308="","",COUNTIF($AT$6:$AT$805,"&gt;"&amp;AT308)+COUNTIF($AT$6:AT308,AT308))</f>
        <v/>
      </c>
    </row>
    <row r="309">
      <c r="A309" s="59" t="str">
        <f>IF(AE309="","",AB309&amp;"-"&amp;AD309&amp;"-"&amp;RIGHT("000"&amp;AE309,4))</f>
        <v/>
      </c>
      <c r="B309" s="60" t="n"/>
      <c r="C309" s="61" t="n"/>
      <c r="D309" s="60" t="n"/>
      <c r="E309" s="62" t="str">
        <f>IF(D309="","",IFERROR(INDEX(cli_name,MATCH(D309,cli_code,0))&amp;"","Client inconnu"))</f>
        <v/>
      </c>
      <c r="F309" s="60" t="n"/>
      <c r="G309" s="63" t="n"/>
      <c r="H309" s="61" t="n"/>
      <c r="I309" s="63" t="n"/>
      <c r="J309" s="60" t="n"/>
      <c r="K309" s="61" t="n"/>
      <c r="L309" s="60" t="n"/>
      <c r="M309" s="60" t="n"/>
      <c r="N309" s="60" t="n"/>
      <c r="O309" s="61" t="n"/>
      <c r="P309" s="64" t="str">
        <f>IF(A309="","",IF(AA309="Avoir",AC309,IF(ISNUMBER(K309),K309,AC309+IF(D309="",N(p_delay),IFERROR(IF(ISNUMBER(INDEX(cli_delay,MATCH(D309,cli_code,0))),INDEX(cli_delay,MATCH(D309,cli_code,0)),N(p_delay)),N(p_delay))))))</f>
        <v/>
      </c>
      <c r="Q309" s="65" t="str">
        <f>IF(A309="","",IF(AA309="Avoir",-1,1)*ROUND(AJ309-IF(AR309="",0,INDEX(fa_htb,AR309)),2))</f>
        <v/>
      </c>
      <c r="R309" s="65" t="str">
        <f>IF(A309="","",IF(AA309="Avoir",-1,1)*ROUND(AQ309-IF(AR309="",0,INDEX(fa_tvab,AR309)),2))</f>
        <v/>
      </c>
      <c r="S309" s="65" t="str">
        <f>IF(A309="","",Q309+R309)</f>
        <v/>
      </c>
      <c r="T309" s="65" t="str">
        <f>IF(AR309="","",INDEX(fa_htb,AR309)+INDEX(fa_tvab,AR309))</f>
        <v/>
      </c>
      <c r="U309" s="65" t="str">
        <f>IF(A309="","",SUMIF(pa_inv,A309,pa_amt))</f>
        <v/>
      </c>
      <c r="V309" s="65" t="str">
        <f>IF(OR(A309="",AA309="Avoir"),"",-SUMIFS(fa_ttc,fa_avof,A309,fa_type,"Avoir"))</f>
        <v/>
      </c>
      <c r="W309" s="65" t="str">
        <f>IF(OR(A309="",AA309="Avoir"),"",ROUND(S309-U309-V309,2))</f>
        <v/>
      </c>
      <c r="X309" s="66" t="str">
        <f>IF(W309="","",IF(AND(W309&gt;0,p_asof&gt;P309),p_asof-P309,""))</f>
        <v/>
      </c>
      <c r="Y309" s="59" t="str">
        <f>IF(A309="","",IF(AA309="Avoir","Avoir",IF(W309&lt;0,"Trop-perçu",IF(W309=0,"Soldée",IF(p_asof&gt;P309,"En retard",IF(U309+V309&gt;0,"Partielle","À échoir"))))))</f>
        <v/>
      </c>
      <c r="Z309" s="59" t="str">
        <f>IF(NOT(COUNTA(B309:D309,F309:O309)&gt;0),"",IF(C309="","Date manquante",IF(NOT(ISNUMBER(C309)),"Date invalide",IF(D309="","Client manquant",IF(ISNA(MATCH(D309,cli_code,0)),"Client inconnu",IF(AC309&lt;SUMPRODUCT(MAX(($AB$6:AB308=AB309)*$AC$6:AC308)),"Date antérieure à la facture précédente",IF(AND(F309&lt;&gt;"",ISNA(MATCH(F309,dv_num,0))),"Devis inconnu",IF(AND(F309&lt;&gt;"",IFERROR(INDEX(dv_client,MATCH(F309,dv_num,0)),D309)&lt;&gt;D309),"Client différent de celui du devis",IF(AG309="","Aucune ligne : saisissez des lignes ou un devis",IF(AND(AI309&lt;&gt;"",COUNTIF($AI$6:AI309,AI309)&gt;1),"Devis déjà repris par une autre facture",IF(AND(AA309="Avoir",M309=""),"Avoir : indiquez la facture d'origine",IF(AND(AA309="Avoir",ISNA(MATCH(M309,fa_num,0))),"Facture d'origine inconnue",IF(AND(AA309&lt;&gt;"Avoir",M309&lt;&gt;""),"« Avoir sur facture » : réservé aux avoirs",IF(AND(L309&lt;&gt;"",AA309&lt;&gt;"Facture"),"Acompte à déduire : réservé aux factures",IF(AND(L309&lt;&gt;"",ISNA(MATCH(L309,fa_num,0))),"Facture d'acompte inconnue",IF(AND(L309&lt;&gt;"",IFERROR(INDEX(fa_type,MATCH(L309,fa_num,0)),"")&lt;&gt;"Facture d'acompte"),"Le n° à déduire n'est pas une facture d'acompte",IF(AND(L309&lt;&gt;"",COUNTIF($L$6:L309,L309)&gt;1),"Acompte déjà déduit sur une autre facture",IF(AND(L309&lt;&gt;"",IFERROR(INDEX(fa_client,MATCH(L309,fa_num,0)),D309)&lt;&gt;D309),"Acompte d'un autre client",IF(AND(AR309&lt;&gt;"",N(Q309)&lt;0),"Acompte supérieur au total de la facture",IF(IF(AG309="Facture",COUNTIFS(fl_doc,A309,fl_check,"&lt;&gt;OK"),IF(AG309="Devis",COUNTIFS(dl_doc,F309,dl_check,"&lt;&gt;OK"),0))&gt;0,"Ligne(s) à corriger",IF(AND(W309&lt;&gt;"",N(W309)&lt;0),"Trop-perçu : vérifiez paiements et avoirs","OK")))))))))))))))))))))</f>
        <v/>
      </c>
      <c r="AA309" s="62" t="str">
        <f>IF(COUNTA(B309:D309,F309:O309)&gt;0,IF(B309="","Facture",B309),"")</f>
        <v/>
      </c>
      <c r="AB309" s="62" t="str">
        <f>IF(AA309="","",IF(AA309="Avoir",p_pav,IF(AA309="Facture d'acompte",p_pac,p_pfa)))</f>
        <v/>
      </c>
      <c r="AC309" s="62">
        <f>IF(ISNUMBER(C309),C309,0)</f>
        <v>0.0</v>
      </c>
      <c r="AD309" s="62" t="str">
        <f>IF(OR(AA309="",AC309=0),"",YEAR(AC309))</f>
        <v/>
      </c>
      <c r="AE309" s="62" t="str">
        <f>IF(AD309="","",COUNTIFS($AB$6:AB309,AB309,$AD$6:AD309,AD309))</f>
        <v/>
      </c>
      <c r="AF309" s="62">
        <f>IF(A309="",0,COUNTIF(fl_doc,A309))</f>
        <v>0.0</v>
      </c>
      <c r="AG309" s="62" t="str">
        <f>IF(A309="","",IF(AF309&gt;0,"Facture",IF(AND(F309&lt;&gt;"",AA309="Facture",ISNUMBER(MATCH(F309,dv_num,0))),"Devis","")))</f>
        <v/>
      </c>
      <c r="AH309" s="62" t="str">
        <f>IF(AND(A309&lt;&gt;"",F309&lt;&gt;"",AA309&lt;&gt;"Avoir"),F309,"")</f>
        <v/>
      </c>
      <c r="AI309" s="62" t="str">
        <f>IF(AG309="Devis",F309,"")</f>
        <v/>
      </c>
      <c r="AJ309" s="62">
        <f>IF(AG309="Facture",SUMIF(fl_doc,A309,fl_ht),IF(AG309="Devis",SUMIF(dl_doc,F309,dl_ht),0))</f>
        <v>0.0</v>
      </c>
      <c r="AK309" s="62">
        <f>IF(OR(AG309="",INDEX(p_rates,1)=""),0,IF(AG309="Facture",SUMIFS(fl_ht,fl_doc,A309,fl_rate,INDEX(p_rates,1)),SUMIFS(dl_ht,dl_doc,F309,dl_rate,INDEX(p_rates,1))))</f>
        <v>0.0</v>
      </c>
      <c r="AL309" s="62">
        <f>IF(OR(AG309="",INDEX(p_rates,2)=""),0,IF(AG309="Facture",SUMIFS(fl_ht,fl_doc,A309,fl_rate,INDEX(p_rates,2)),SUMIFS(dl_ht,dl_doc,F309,dl_rate,INDEX(p_rates,2))))</f>
        <v>0.0</v>
      </c>
      <c r="AM309" s="62">
        <f>IF(OR(AG309="",INDEX(p_rates,3)=""),0,IF(AG309="Facture",SUMIFS(fl_ht,fl_doc,A309,fl_rate,INDEX(p_rates,3)),SUMIFS(dl_ht,dl_doc,F309,dl_rate,INDEX(p_rates,3))))</f>
        <v>0.0</v>
      </c>
      <c r="AN309" s="62">
        <f>IF(OR(AG309="",INDEX(p_rates,4)=""),0,IF(AG309="Facture",SUMIFS(fl_ht,fl_doc,A309,fl_rate,INDEX(p_rates,4)),SUMIFS(dl_ht,dl_doc,F309,dl_rate,INDEX(p_rates,4))))</f>
        <v>0.0</v>
      </c>
      <c r="AO309" s="62">
        <f>IF(OR(AG309="",INDEX(p_rates,5)=""),0,IF(AG309="Facture",SUMIFS(fl_ht,fl_doc,A309,fl_rate,INDEX(p_rates,5)),SUMIFS(dl_ht,dl_doc,F309,dl_rate,INDEX(p_rates,5))))</f>
        <v>0.0</v>
      </c>
      <c r="AP309" s="62">
        <f>IF(OR(AG309="",INDEX(p_rates,6)=""),0,IF(AG309="Facture",SUMIFS(fl_ht,fl_doc,A309,fl_rate,INDEX(p_rates,6)),SUMIFS(dl_ht,dl_doc,F309,dl_rate,INDEX(p_rates,6))))</f>
        <v>0.0</v>
      </c>
      <c r="AQ309" s="62">
        <f>ROUND(AK309*N(INDEX(p_rates,1)),2)+ROUND(AL309*N(INDEX(p_rates,2)),2)+ROUND(AM309*N(INDEX(p_rates,3)),2)+ROUND(AN309*N(INDEX(p_rates,4)),2)+ROUND(AO309*N(INDEX(p_rates,5)),2)+ROUND(AP309*N(INDEX(p_rates,6)),2)</f>
        <v>0.0</v>
      </c>
      <c r="AR309" s="62" t="str">
        <f>IF(OR(L309="",AA309&lt;&gt;"Facture"),"",IFERROR(IF(INDEX(fa_type,MATCH(L309,fa_num,0))="Facture d'acompte",MATCH(L309,fa_num,0),""),""))</f>
        <v/>
      </c>
      <c r="AS309" s="62" t="str">
        <f>IF(W309="","",IF(W309&lt;=0,"",IF(p_asof-P309&lt;=0,"Non échu",IF(p_asof-P309&lt;=30,"1-30 j",IF(p_asof-P309&lt;=60,"31-60 j",IF(p_asof-P309&lt;=90,"61-90 j","Plus de 90 j"))))))</f>
        <v/>
      </c>
      <c r="AT309" s="62" t="str">
        <f>IF(AS309="","",p_asof-P309)</f>
        <v/>
      </c>
      <c r="AU309" s="62" t="str">
        <f>IF(AT309="","",COUNTIF($AT$6:$AT$805,"&gt;"&amp;AT309)+COUNTIF($AT$6:AT309,AT309))</f>
        <v/>
      </c>
    </row>
    <row r="310">
      <c r="A310" s="59" t="str">
        <f>IF(AE310="","",AB310&amp;"-"&amp;AD310&amp;"-"&amp;RIGHT("000"&amp;AE310,4))</f>
        <v/>
      </c>
      <c r="B310" s="60" t="n"/>
      <c r="C310" s="61" t="n"/>
      <c r="D310" s="60" t="n"/>
      <c r="E310" s="62" t="str">
        <f>IF(D310="","",IFERROR(INDEX(cli_name,MATCH(D310,cli_code,0))&amp;"","Client inconnu"))</f>
        <v/>
      </c>
      <c r="F310" s="60" t="n"/>
      <c r="G310" s="63" t="n"/>
      <c r="H310" s="61" t="n"/>
      <c r="I310" s="63" t="n"/>
      <c r="J310" s="60" t="n"/>
      <c r="K310" s="61" t="n"/>
      <c r="L310" s="60" t="n"/>
      <c r="M310" s="60" t="n"/>
      <c r="N310" s="60" t="n"/>
      <c r="O310" s="61" t="n"/>
      <c r="P310" s="64" t="str">
        <f>IF(A310="","",IF(AA310="Avoir",AC310,IF(ISNUMBER(K310),K310,AC310+IF(D310="",N(p_delay),IFERROR(IF(ISNUMBER(INDEX(cli_delay,MATCH(D310,cli_code,0))),INDEX(cli_delay,MATCH(D310,cli_code,0)),N(p_delay)),N(p_delay))))))</f>
        <v/>
      </c>
      <c r="Q310" s="65" t="str">
        <f>IF(A310="","",IF(AA310="Avoir",-1,1)*ROUND(AJ310-IF(AR310="",0,INDEX(fa_htb,AR310)),2))</f>
        <v/>
      </c>
      <c r="R310" s="65" t="str">
        <f>IF(A310="","",IF(AA310="Avoir",-1,1)*ROUND(AQ310-IF(AR310="",0,INDEX(fa_tvab,AR310)),2))</f>
        <v/>
      </c>
      <c r="S310" s="65" t="str">
        <f>IF(A310="","",Q310+R310)</f>
        <v/>
      </c>
      <c r="T310" s="65" t="str">
        <f>IF(AR310="","",INDEX(fa_htb,AR310)+INDEX(fa_tvab,AR310))</f>
        <v/>
      </c>
      <c r="U310" s="65" t="str">
        <f>IF(A310="","",SUMIF(pa_inv,A310,pa_amt))</f>
        <v/>
      </c>
      <c r="V310" s="65" t="str">
        <f>IF(OR(A310="",AA310="Avoir"),"",-SUMIFS(fa_ttc,fa_avof,A310,fa_type,"Avoir"))</f>
        <v/>
      </c>
      <c r="W310" s="65" t="str">
        <f>IF(OR(A310="",AA310="Avoir"),"",ROUND(S310-U310-V310,2))</f>
        <v/>
      </c>
      <c r="X310" s="66" t="str">
        <f>IF(W310="","",IF(AND(W310&gt;0,p_asof&gt;P310),p_asof-P310,""))</f>
        <v/>
      </c>
      <c r="Y310" s="59" t="str">
        <f>IF(A310="","",IF(AA310="Avoir","Avoir",IF(W310&lt;0,"Trop-perçu",IF(W310=0,"Soldée",IF(p_asof&gt;P310,"En retard",IF(U310+V310&gt;0,"Partielle","À échoir"))))))</f>
        <v/>
      </c>
      <c r="Z310" s="59" t="str">
        <f>IF(NOT(COUNTA(B310:D310,F310:O310)&gt;0),"",IF(C310="","Date manquante",IF(NOT(ISNUMBER(C310)),"Date invalide",IF(D310="","Client manquant",IF(ISNA(MATCH(D310,cli_code,0)),"Client inconnu",IF(AC310&lt;SUMPRODUCT(MAX(($AB$6:AB309=AB310)*$AC$6:AC309)),"Date antérieure à la facture précédente",IF(AND(F310&lt;&gt;"",ISNA(MATCH(F310,dv_num,0))),"Devis inconnu",IF(AND(F310&lt;&gt;"",IFERROR(INDEX(dv_client,MATCH(F310,dv_num,0)),D310)&lt;&gt;D310),"Client différent de celui du devis",IF(AG310="","Aucune ligne : saisissez des lignes ou un devis",IF(AND(AI310&lt;&gt;"",COUNTIF($AI$6:AI310,AI310)&gt;1),"Devis déjà repris par une autre facture",IF(AND(AA310="Avoir",M310=""),"Avoir : indiquez la facture d'origine",IF(AND(AA310="Avoir",ISNA(MATCH(M310,fa_num,0))),"Facture d'origine inconnue",IF(AND(AA310&lt;&gt;"Avoir",M310&lt;&gt;""),"« Avoir sur facture » : réservé aux avoirs",IF(AND(L310&lt;&gt;"",AA310&lt;&gt;"Facture"),"Acompte à déduire : réservé aux factures",IF(AND(L310&lt;&gt;"",ISNA(MATCH(L310,fa_num,0))),"Facture d'acompte inconnue",IF(AND(L310&lt;&gt;"",IFERROR(INDEX(fa_type,MATCH(L310,fa_num,0)),"")&lt;&gt;"Facture d'acompte"),"Le n° à déduire n'est pas une facture d'acompte",IF(AND(L310&lt;&gt;"",COUNTIF($L$6:L310,L310)&gt;1),"Acompte déjà déduit sur une autre facture",IF(AND(L310&lt;&gt;"",IFERROR(INDEX(fa_client,MATCH(L310,fa_num,0)),D310)&lt;&gt;D310),"Acompte d'un autre client",IF(AND(AR310&lt;&gt;"",N(Q310)&lt;0),"Acompte supérieur au total de la facture",IF(IF(AG310="Facture",COUNTIFS(fl_doc,A310,fl_check,"&lt;&gt;OK"),IF(AG310="Devis",COUNTIFS(dl_doc,F310,dl_check,"&lt;&gt;OK"),0))&gt;0,"Ligne(s) à corriger",IF(AND(W310&lt;&gt;"",N(W310)&lt;0),"Trop-perçu : vérifiez paiements et avoirs","OK")))))))))))))))))))))</f>
        <v/>
      </c>
      <c r="AA310" s="62" t="str">
        <f>IF(COUNTA(B310:D310,F310:O310)&gt;0,IF(B310="","Facture",B310),"")</f>
        <v/>
      </c>
      <c r="AB310" s="62" t="str">
        <f>IF(AA310="","",IF(AA310="Avoir",p_pav,IF(AA310="Facture d'acompte",p_pac,p_pfa)))</f>
        <v/>
      </c>
      <c r="AC310" s="62">
        <f>IF(ISNUMBER(C310),C310,0)</f>
        <v>0.0</v>
      </c>
      <c r="AD310" s="62" t="str">
        <f>IF(OR(AA310="",AC310=0),"",YEAR(AC310))</f>
        <v/>
      </c>
      <c r="AE310" s="62" t="str">
        <f>IF(AD310="","",COUNTIFS($AB$6:AB310,AB310,$AD$6:AD310,AD310))</f>
        <v/>
      </c>
      <c r="AF310" s="62">
        <f>IF(A310="",0,COUNTIF(fl_doc,A310))</f>
        <v>0.0</v>
      </c>
      <c r="AG310" s="62" t="str">
        <f>IF(A310="","",IF(AF310&gt;0,"Facture",IF(AND(F310&lt;&gt;"",AA310="Facture",ISNUMBER(MATCH(F310,dv_num,0))),"Devis","")))</f>
        <v/>
      </c>
      <c r="AH310" s="62" t="str">
        <f>IF(AND(A310&lt;&gt;"",F310&lt;&gt;"",AA310&lt;&gt;"Avoir"),F310,"")</f>
        <v/>
      </c>
      <c r="AI310" s="62" t="str">
        <f>IF(AG310="Devis",F310,"")</f>
        <v/>
      </c>
      <c r="AJ310" s="62">
        <f>IF(AG310="Facture",SUMIF(fl_doc,A310,fl_ht),IF(AG310="Devis",SUMIF(dl_doc,F310,dl_ht),0))</f>
        <v>0.0</v>
      </c>
      <c r="AK310" s="62">
        <f>IF(OR(AG310="",INDEX(p_rates,1)=""),0,IF(AG310="Facture",SUMIFS(fl_ht,fl_doc,A310,fl_rate,INDEX(p_rates,1)),SUMIFS(dl_ht,dl_doc,F310,dl_rate,INDEX(p_rates,1))))</f>
        <v>0.0</v>
      </c>
      <c r="AL310" s="62">
        <f>IF(OR(AG310="",INDEX(p_rates,2)=""),0,IF(AG310="Facture",SUMIFS(fl_ht,fl_doc,A310,fl_rate,INDEX(p_rates,2)),SUMIFS(dl_ht,dl_doc,F310,dl_rate,INDEX(p_rates,2))))</f>
        <v>0.0</v>
      </c>
      <c r="AM310" s="62">
        <f>IF(OR(AG310="",INDEX(p_rates,3)=""),0,IF(AG310="Facture",SUMIFS(fl_ht,fl_doc,A310,fl_rate,INDEX(p_rates,3)),SUMIFS(dl_ht,dl_doc,F310,dl_rate,INDEX(p_rates,3))))</f>
        <v>0.0</v>
      </c>
      <c r="AN310" s="62">
        <f>IF(OR(AG310="",INDEX(p_rates,4)=""),0,IF(AG310="Facture",SUMIFS(fl_ht,fl_doc,A310,fl_rate,INDEX(p_rates,4)),SUMIFS(dl_ht,dl_doc,F310,dl_rate,INDEX(p_rates,4))))</f>
        <v>0.0</v>
      </c>
      <c r="AO310" s="62">
        <f>IF(OR(AG310="",INDEX(p_rates,5)=""),0,IF(AG310="Facture",SUMIFS(fl_ht,fl_doc,A310,fl_rate,INDEX(p_rates,5)),SUMIFS(dl_ht,dl_doc,F310,dl_rate,INDEX(p_rates,5))))</f>
        <v>0.0</v>
      </c>
      <c r="AP310" s="62">
        <f>IF(OR(AG310="",INDEX(p_rates,6)=""),0,IF(AG310="Facture",SUMIFS(fl_ht,fl_doc,A310,fl_rate,INDEX(p_rates,6)),SUMIFS(dl_ht,dl_doc,F310,dl_rate,INDEX(p_rates,6))))</f>
        <v>0.0</v>
      </c>
      <c r="AQ310" s="62">
        <f>ROUND(AK310*N(INDEX(p_rates,1)),2)+ROUND(AL310*N(INDEX(p_rates,2)),2)+ROUND(AM310*N(INDEX(p_rates,3)),2)+ROUND(AN310*N(INDEX(p_rates,4)),2)+ROUND(AO310*N(INDEX(p_rates,5)),2)+ROUND(AP310*N(INDEX(p_rates,6)),2)</f>
        <v>0.0</v>
      </c>
      <c r="AR310" s="62" t="str">
        <f>IF(OR(L310="",AA310&lt;&gt;"Facture"),"",IFERROR(IF(INDEX(fa_type,MATCH(L310,fa_num,0))="Facture d'acompte",MATCH(L310,fa_num,0),""),""))</f>
        <v/>
      </c>
      <c r="AS310" s="62" t="str">
        <f>IF(W310="","",IF(W310&lt;=0,"",IF(p_asof-P310&lt;=0,"Non échu",IF(p_asof-P310&lt;=30,"1-30 j",IF(p_asof-P310&lt;=60,"31-60 j",IF(p_asof-P310&lt;=90,"61-90 j","Plus de 90 j"))))))</f>
        <v/>
      </c>
      <c r="AT310" s="62" t="str">
        <f>IF(AS310="","",p_asof-P310)</f>
        <v/>
      </c>
      <c r="AU310" s="62" t="str">
        <f>IF(AT310="","",COUNTIF($AT$6:$AT$805,"&gt;"&amp;AT310)+COUNTIF($AT$6:AT310,AT310))</f>
        <v/>
      </c>
    </row>
    <row r="311">
      <c r="A311" s="59" t="str">
        <f>IF(AE311="","",AB311&amp;"-"&amp;AD311&amp;"-"&amp;RIGHT("000"&amp;AE311,4))</f>
        <v/>
      </c>
      <c r="B311" s="60" t="n"/>
      <c r="C311" s="61" t="n"/>
      <c r="D311" s="60" t="n"/>
      <c r="E311" s="62" t="str">
        <f>IF(D311="","",IFERROR(INDEX(cli_name,MATCH(D311,cli_code,0))&amp;"","Client inconnu"))</f>
        <v/>
      </c>
      <c r="F311" s="60" t="n"/>
      <c r="G311" s="63" t="n"/>
      <c r="H311" s="61" t="n"/>
      <c r="I311" s="63" t="n"/>
      <c r="J311" s="60" t="n"/>
      <c r="K311" s="61" t="n"/>
      <c r="L311" s="60" t="n"/>
      <c r="M311" s="60" t="n"/>
      <c r="N311" s="60" t="n"/>
      <c r="O311" s="61" t="n"/>
      <c r="P311" s="64" t="str">
        <f>IF(A311="","",IF(AA311="Avoir",AC311,IF(ISNUMBER(K311),K311,AC311+IF(D311="",N(p_delay),IFERROR(IF(ISNUMBER(INDEX(cli_delay,MATCH(D311,cli_code,0))),INDEX(cli_delay,MATCH(D311,cli_code,0)),N(p_delay)),N(p_delay))))))</f>
        <v/>
      </c>
      <c r="Q311" s="65" t="str">
        <f>IF(A311="","",IF(AA311="Avoir",-1,1)*ROUND(AJ311-IF(AR311="",0,INDEX(fa_htb,AR311)),2))</f>
        <v/>
      </c>
      <c r="R311" s="65" t="str">
        <f>IF(A311="","",IF(AA311="Avoir",-1,1)*ROUND(AQ311-IF(AR311="",0,INDEX(fa_tvab,AR311)),2))</f>
        <v/>
      </c>
      <c r="S311" s="65" t="str">
        <f>IF(A311="","",Q311+R311)</f>
        <v/>
      </c>
      <c r="T311" s="65" t="str">
        <f>IF(AR311="","",INDEX(fa_htb,AR311)+INDEX(fa_tvab,AR311))</f>
        <v/>
      </c>
      <c r="U311" s="65" t="str">
        <f>IF(A311="","",SUMIF(pa_inv,A311,pa_amt))</f>
        <v/>
      </c>
      <c r="V311" s="65" t="str">
        <f>IF(OR(A311="",AA311="Avoir"),"",-SUMIFS(fa_ttc,fa_avof,A311,fa_type,"Avoir"))</f>
        <v/>
      </c>
      <c r="W311" s="65" t="str">
        <f>IF(OR(A311="",AA311="Avoir"),"",ROUND(S311-U311-V311,2))</f>
        <v/>
      </c>
      <c r="X311" s="66" t="str">
        <f>IF(W311="","",IF(AND(W311&gt;0,p_asof&gt;P311),p_asof-P311,""))</f>
        <v/>
      </c>
      <c r="Y311" s="59" t="str">
        <f>IF(A311="","",IF(AA311="Avoir","Avoir",IF(W311&lt;0,"Trop-perçu",IF(W311=0,"Soldée",IF(p_asof&gt;P311,"En retard",IF(U311+V311&gt;0,"Partielle","À échoir"))))))</f>
        <v/>
      </c>
      <c r="Z311" s="59" t="str">
        <f>IF(NOT(COUNTA(B311:D311,F311:O311)&gt;0),"",IF(C311="","Date manquante",IF(NOT(ISNUMBER(C311)),"Date invalide",IF(D311="","Client manquant",IF(ISNA(MATCH(D311,cli_code,0)),"Client inconnu",IF(AC311&lt;SUMPRODUCT(MAX(($AB$6:AB310=AB311)*$AC$6:AC310)),"Date antérieure à la facture précédente",IF(AND(F311&lt;&gt;"",ISNA(MATCH(F311,dv_num,0))),"Devis inconnu",IF(AND(F311&lt;&gt;"",IFERROR(INDEX(dv_client,MATCH(F311,dv_num,0)),D311)&lt;&gt;D311),"Client différent de celui du devis",IF(AG311="","Aucune ligne : saisissez des lignes ou un devis",IF(AND(AI311&lt;&gt;"",COUNTIF($AI$6:AI311,AI311)&gt;1),"Devis déjà repris par une autre facture",IF(AND(AA311="Avoir",M311=""),"Avoir : indiquez la facture d'origine",IF(AND(AA311="Avoir",ISNA(MATCH(M311,fa_num,0))),"Facture d'origine inconnue",IF(AND(AA311&lt;&gt;"Avoir",M311&lt;&gt;""),"« Avoir sur facture » : réservé aux avoirs",IF(AND(L311&lt;&gt;"",AA311&lt;&gt;"Facture"),"Acompte à déduire : réservé aux factures",IF(AND(L311&lt;&gt;"",ISNA(MATCH(L311,fa_num,0))),"Facture d'acompte inconnue",IF(AND(L311&lt;&gt;"",IFERROR(INDEX(fa_type,MATCH(L311,fa_num,0)),"")&lt;&gt;"Facture d'acompte"),"Le n° à déduire n'est pas une facture d'acompte",IF(AND(L311&lt;&gt;"",COUNTIF($L$6:L311,L311)&gt;1),"Acompte déjà déduit sur une autre facture",IF(AND(L311&lt;&gt;"",IFERROR(INDEX(fa_client,MATCH(L311,fa_num,0)),D311)&lt;&gt;D311),"Acompte d'un autre client",IF(AND(AR311&lt;&gt;"",N(Q311)&lt;0),"Acompte supérieur au total de la facture",IF(IF(AG311="Facture",COUNTIFS(fl_doc,A311,fl_check,"&lt;&gt;OK"),IF(AG311="Devis",COUNTIFS(dl_doc,F311,dl_check,"&lt;&gt;OK"),0))&gt;0,"Ligne(s) à corriger",IF(AND(W311&lt;&gt;"",N(W311)&lt;0),"Trop-perçu : vérifiez paiements et avoirs","OK")))))))))))))))))))))</f>
        <v/>
      </c>
      <c r="AA311" s="62" t="str">
        <f>IF(COUNTA(B311:D311,F311:O311)&gt;0,IF(B311="","Facture",B311),"")</f>
        <v/>
      </c>
      <c r="AB311" s="62" t="str">
        <f>IF(AA311="","",IF(AA311="Avoir",p_pav,IF(AA311="Facture d'acompte",p_pac,p_pfa)))</f>
        <v/>
      </c>
      <c r="AC311" s="62">
        <f>IF(ISNUMBER(C311),C311,0)</f>
        <v>0.0</v>
      </c>
      <c r="AD311" s="62" t="str">
        <f>IF(OR(AA311="",AC311=0),"",YEAR(AC311))</f>
        <v/>
      </c>
      <c r="AE311" s="62" t="str">
        <f>IF(AD311="","",COUNTIFS($AB$6:AB311,AB311,$AD$6:AD311,AD311))</f>
        <v/>
      </c>
      <c r="AF311" s="62">
        <f>IF(A311="",0,COUNTIF(fl_doc,A311))</f>
        <v>0.0</v>
      </c>
      <c r="AG311" s="62" t="str">
        <f>IF(A311="","",IF(AF311&gt;0,"Facture",IF(AND(F311&lt;&gt;"",AA311="Facture",ISNUMBER(MATCH(F311,dv_num,0))),"Devis","")))</f>
        <v/>
      </c>
      <c r="AH311" s="62" t="str">
        <f>IF(AND(A311&lt;&gt;"",F311&lt;&gt;"",AA311&lt;&gt;"Avoir"),F311,"")</f>
        <v/>
      </c>
      <c r="AI311" s="62" t="str">
        <f>IF(AG311="Devis",F311,"")</f>
        <v/>
      </c>
      <c r="AJ311" s="62">
        <f>IF(AG311="Facture",SUMIF(fl_doc,A311,fl_ht),IF(AG311="Devis",SUMIF(dl_doc,F311,dl_ht),0))</f>
        <v>0.0</v>
      </c>
      <c r="AK311" s="62">
        <f>IF(OR(AG311="",INDEX(p_rates,1)=""),0,IF(AG311="Facture",SUMIFS(fl_ht,fl_doc,A311,fl_rate,INDEX(p_rates,1)),SUMIFS(dl_ht,dl_doc,F311,dl_rate,INDEX(p_rates,1))))</f>
        <v>0.0</v>
      </c>
      <c r="AL311" s="62">
        <f>IF(OR(AG311="",INDEX(p_rates,2)=""),0,IF(AG311="Facture",SUMIFS(fl_ht,fl_doc,A311,fl_rate,INDEX(p_rates,2)),SUMIFS(dl_ht,dl_doc,F311,dl_rate,INDEX(p_rates,2))))</f>
        <v>0.0</v>
      </c>
      <c r="AM311" s="62">
        <f>IF(OR(AG311="",INDEX(p_rates,3)=""),0,IF(AG311="Facture",SUMIFS(fl_ht,fl_doc,A311,fl_rate,INDEX(p_rates,3)),SUMIFS(dl_ht,dl_doc,F311,dl_rate,INDEX(p_rates,3))))</f>
        <v>0.0</v>
      </c>
      <c r="AN311" s="62">
        <f>IF(OR(AG311="",INDEX(p_rates,4)=""),0,IF(AG311="Facture",SUMIFS(fl_ht,fl_doc,A311,fl_rate,INDEX(p_rates,4)),SUMIFS(dl_ht,dl_doc,F311,dl_rate,INDEX(p_rates,4))))</f>
        <v>0.0</v>
      </c>
      <c r="AO311" s="62">
        <f>IF(OR(AG311="",INDEX(p_rates,5)=""),0,IF(AG311="Facture",SUMIFS(fl_ht,fl_doc,A311,fl_rate,INDEX(p_rates,5)),SUMIFS(dl_ht,dl_doc,F311,dl_rate,INDEX(p_rates,5))))</f>
        <v>0.0</v>
      </c>
      <c r="AP311" s="62">
        <f>IF(OR(AG311="",INDEX(p_rates,6)=""),0,IF(AG311="Facture",SUMIFS(fl_ht,fl_doc,A311,fl_rate,INDEX(p_rates,6)),SUMIFS(dl_ht,dl_doc,F311,dl_rate,INDEX(p_rates,6))))</f>
        <v>0.0</v>
      </c>
      <c r="AQ311" s="62">
        <f>ROUND(AK311*N(INDEX(p_rates,1)),2)+ROUND(AL311*N(INDEX(p_rates,2)),2)+ROUND(AM311*N(INDEX(p_rates,3)),2)+ROUND(AN311*N(INDEX(p_rates,4)),2)+ROUND(AO311*N(INDEX(p_rates,5)),2)+ROUND(AP311*N(INDEX(p_rates,6)),2)</f>
        <v>0.0</v>
      </c>
      <c r="AR311" s="62" t="str">
        <f>IF(OR(L311="",AA311&lt;&gt;"Facture"),"",IFERROR(IF(INDEX(fa_type,MATCH(L311,fa_num,0))="Facture d'acompte",MATCH(L311,fa_num,0),""),""))</f>
        <v/>
      </c>
      <c r="AS311" s="62" t="str">
        <f>IF(W311="","",IF(W311&lt;=0,"",IF(p_asof-P311&lt;=0,"Non échu",IF(p_asof-P311&lt;=30,"1-30 j",IF(p_asof-P311&lt;=60,"31-60 j",IF(p_asof-P311&lt;=90,"61-90 j","Plus de 90 j"))))))</f>
        <v/>
      </c>
      <c r="AT311" s="62" t="str">
        <f>IF(AS311="","",p_asof-P311)</f>
        <v/>
      </c>
      <c r="AU311" s="62" t="str">
        <f>IF(AT311="","",COUNTIF($AT$6:$AT$805,"&gt;"&amp;AT311)+COUNTIF($AT$6:AT311,AT311))</f>
        <v/>
      </c>
    </row>
    <row r="312">
      <c r="A312" s="59" t="str">
        <f>IF(AE312="","",AB312&amp;"-"&amp;AD312&amp;"-"&amp;RIGHT("000"&amp;AE312,4))</f>
        <v/>
      </c>
      <c r="B312" s="60" t="n"/>
      <c r="C312" s="61" t="n"/>
      <c r="D312" s="60" t="n"/>
      <c r="E312" s="62" t="str">
        <f>IF(D312="","",IFERROR(INDEX(cli_name,MATCH(D312,cli_code,0))&amp;"","Client inconnu"))</f>
        <v/>
      </c>
      <c r="F312" s="60" t="n"/>
      <c r="G312" s="63" t="n"/>
      <c r="H312" s="61" t="n"/>
      <c r="I312" s="63" t="n"/>
      <c r="J312" s="60" t="n"/>
      <c r="K312" s="61" t="n"/>
      <c r="L312" s="60" t="n"/>
      <c r="M312" s="60" t="n"/>
      <c r="N312" s="60" t="n"/>
      <c r="O312" s="61" t="n"/>
      <c r="P312" s="64" t="str">
        <f>IF(A312="","",IF(AA312="Avoir",AC312,IF(ISNUMBER(K312),K312,AC312+IF(D312="",N(p_delay),IFERROR(IF(ISNUMBER(INDEX(cli_delay,MATCH(D312,cli_code,0))),INDEX(cli_delay,MATCH(D312,cli_code,0)),N(p_delay)),N(p_delay))))))</f>
        <v/>
      </c>
      <c r="Q312" s="65" t="str">
        <f>IF(A312="","",IF(AA312="Avoir",-1,1)*ROUND(AJ312-IF(AR312="",0,INDEX(fa_htb,AR312)),2))</f>
        <v/>
      </c>
      <c r="R312" s="65" t="str">
        <f>IF(A312="","",IF(AA312="Avoir",-1,1)*ROUND(AQ312-IF(AR312="",0,INDEX(fa_tvab,AR312)),2))</f>
        <v/>
      </c>
      <c r="S312" s="65" t="str">
        <f>IF(A312="","",Q312+R312)</f>
        <v/>
      </c>
      <c r="T312" s="65" t="str">
        <f>IF(AR312="","",INDEX(fa_htb,AR312)+INDEX(fa_tvab,AR312))</f>
        <v/>
      </c>
      <c r="U312" s="65" t="str">
        <f>IF(A312="","",SUMIF(pa_inv,A312,pa_amt))</f>
        <v/>
      </c>
      <c r="V312" s="65" t="str">
        <f>IF(OR(A312="",AA312="Avoir"),"",-SUMIFS(fa_ttc,fa_avof,A312,fa_type,"Avoir"))</f>
        <v/>
      </c>
      <c r="W312" s="65" t="str">
        <f>IF(OR(A312="",AA312="Avoir"),"",ROUND(S312-U312-V312,2))</f>
        <v/>
      </c>
      <c r="X312" s="66" t="str">
        <f>IF(W312="","",IF(AND(W312&gt;0,p_asof&gt;P312),p_asof-P312,""))</f>
        <v/>
      </c>
      <c r="Y312" s="59" t="str">
        <f>IF(A312="","",IF(AA312="Avoir","Avoir",IF(W312&lt;0,"Trop-perçu",IF(W312=0,"Soldée",IF(p_asof&gt;P312,"En retard",IF(U312+V312&gt;0,"Partielle","À échoir"))))))</f>
        <v/>
      </c>
      <c r="Z312" s="59" t="str">
        <f>IF(NOT(COUNTA(B312:D312,F312:O312)&gt;0),"",IF(C312="","Date manquante",IF(NOT(ISNUMBER(C312)),"Date invalide",IF(D312="","Client manquant",IF(ISNA(MATCH(D312,cli_code,0)),"Client inconnu",IF(AC312&lt;SUMPRODUCT(MAX(($AB$6:AB311=AB312)*$AC$6:AC311)),"Date antérieure à la facture précédente",IF(AND(F312&lt;&gt;"",ISNA(MATCH(F312,dv_num,0))),"Devis inconnu",IF(AND(F312&lt;&gt;"",IFERROR(INDEX(dv_client,MATCH(F312,dv_num,0)),D312)&lt;&gt;D312),"Client différent de celui du devis",IF(AG312="","Aucune ligne : saisissez des lignes ou un devis",IF(AND(AI312&lt;&gt;"",COUNTIF($AI$6:AI312,AI312)&gt;1),"Devis déjà repris par une autre facture",IF(AND(AA312="Avoir",M312=""),"Avoir : indiquez la facture d'origine",IF(AND(AA312="Avoir",ISNA(MATCH(M312,fa_num,0))),"Facture d'origine inconnue",IF(AND(AA312&lt;&gt;"Avoir",M312&lt;&gt;""),"« Avoir sur facture » : réservé aux avoirs",IF(AND(L312&lt;&gt;"",AA312&lt;&gt;"Facture"),"Acompte à déduire : réservé aux factures",IF(AND(L312&lt;&gt;"",ISNA(MATCH(L312,fa_num,0))),"Facture d'acompte inconnue",IF(AND(L312&lt;&gt;"",IFERROR(INDEX(fa_type,MATCH(L312,fa_num,0)),"")&lt;&gt;"Facture d'acompte"),"Le n° à déduire n'est pas une facture d'acompte",IF(AND(L312&lt;&gt;"",COUNTIF($L$6:L312,L312)&gt;1),"Acompte déjà déduit sur une autre facture",IF(AND(L312&lt;&gt;"",IFERROR(INDEX(fa_client,MATCH(L312,fa_num,0)),D312)&lt;&gt;D312),"Acompte d'un autre client",IF(AND(AR312&lt;&gt;"",N(Q312)&lt;0),"Acompte supérieur au total de la facture",IF(IF(AG312="Facture",COUNTIFS(fl_doc,A312,fl_check,"&lt;&gt;OK"),IF(AG312="Devis",COUNTIFS(dl_doc,F312,dl_check,"&lt;&gt;OK"),0))&gt;0,"Ligne(s) à corriger",IF(AND(W312&lt;&gt;"",N(W312)&lt;0),"Trop-perçu : vérifiez paiements et avoirs","OK")))))))))))))))))))))</f>
        <v/>
      </c>
      <c r="AA312" s="62" t="str">
        <f>IF(COUNTA(B312:D312,F312:O312)&gt;0,IF(B312="","Facture",B312),"")</f>
        <v/>
      </c>
      <c r="AB312" s="62" t="str">
        <f>IF(AA312="","",IF(AA312="Avoir",p_pav,IF(AA312="Facture d'acompte",p_pac,p_pfa)))</f>
        <v/>
      </c>
      <c r="AC312" s="62">
        <f>IF(ISNUMBER(C312),C312,0)</f>
        <v>0.0</v>
      </c>
      <c r="AD312" s="62" t="str">
        <f>IF(OR(AA312="",AC312=0),"",YEAR(AC312))</f>
        <v/>
      </c>
      <c r="AE312" s="62" t="str">
        <f>IF(AD312="","",COUNTIFS($AB$6:AB312,AB312,$AD$6:AD312,AD312))</f>
        <v/>
      </c>
      <c r="AF312" s="62">
        <f>IF(A312="",0,COUNTIF(fl_doc,A312))</f>
        <v>0.0</v>
      </c>
      <c r="AG312" s="62" t="str">
        <f>IF(A312="","",IF(AF312&gt;0,"Facture",IF(AND(F312&lt;&gt;"",AA312="Facture",ISNUMBER(MATCH(F312,dv_num,0))),"Devis","")))</f>
        <v/>
      </c>
      <c r="AH312" s="62" t="str">
        <f>IF(AND(A312&lt;&gt;"",F312&lt;&gt;"",AA312&lt;&gt;"Avoir"),F312,"")</f>
        <v/>
      </c>
      <c r="AI312" s="62" t="str">
        <f>IF(AG312="Devis",F312,"")</f>
        <v/>
      </c>
      <c r="AJ312" s="62">
        <f>IF(AG312="Facture",SUMIF(fl_doc,A312,fl_ht),IF(AG312="Devis",SUMIF(dl_doc,F312,dl_ht),0))</f>
        <v>0.0</v>
      </c>
      <c r="AK312" s="62">
        <f>IF(OR(AG312="",INDEX(p_rates,1)=""),0,IF(AG312="Facture",SUMIFS(fl_ht,fl_doc,A312,fl_rate,INDEX(p_rates,1)),SUMIFS(dl_ht,dl_doc,F312,dl_rate,INDEX(p_rates,1))))</f>
        <v>0.0</v>
      </c>
      <c r="AL312" s="62">
        <f>IF(OR(AG312="",INDEX(p_rates,2)=""),0,IF(AG312="Facture",SUMIFS(fl_ht,fl_doc,A312,fl_rate,INDEX(p_rates,2)),SUMIFS(dl_ht,dl_doc,F312,dl_rate,INDEX(p_rates,2))))</f>
        <v>0.0</v>
      </c>
      <c r="AM312" s="62">
        <f>IF(OR(AG312="",INDEX(p_rates,3)=""),0,IF(AG312="Facture",SUMIFS(fl_ht,fl_doc,A312,fl_rate,INDEX(p_rates,3)),SUMIFS(dl_ht,dl_doc,F312,dl_rate,INDEX(p_rates,3))))</f>
        <v>0.0</v>
      </c>
      <c r="AN312" s="62">
        <f>IF(OR(AG312="",INDEX(p_rates,4)=""),0,IF(AG312="Facture",SUMIFS(fl_ht,fl_doc,A312,fl_rate,INDEX(p_rates,4)),SUMIFS(dl_ht,dl_doc,F312,dl_rate,INDEX(p_rates,4))))</f>
        <v>0.0</v>
      </c>
      <c r="AO312" s="62">
        <f>IF(OR(AG312="",INDEX(p_rates,5)=""),0,IF(AG312="Facture",SUMIFS(fl_ht,fl_doc,A312,fl_rate,INDEX(p_rates,5)),SUMIFS(dl_ht,dl_doc,F312,dl_rate,INDEX(p_rates,5))))</f>
        <v>0.0</v>
      </c>
      <c r="AP312" s="62">
        <f>IF(OR(AG312="",INDEX(p_rates,6)=""),0,IF(AG312="Facture",SUMIFS(fl_ht,fl_doc,A312,fl_rate,INDEX(p_rates,6)),SUMIFS(dl_ht,dl_doc,F312,dl_rate,INDEX(p_rates,6))))</f>
        <v>0.0</v>
      </c>
      <c r="AQ312" s="62">
        <f>ROUND(AK312*N(INDEX(p_rates,1)),2)+ROUND(AL312*N(INDEX(p_rates,2)),2)+ROUND(AM312*N(INDEX(p_rates,3)),2)+ROUND(AN312*N(INDEX(p_rates,4)),2)+ROUND(AO312*N(INDEX(p_rates,5)),2)+ROUND(AP312*N(INDEX(p_rates,6)),2)</f>
        <v>0.0</v>
      </c>
      <c r="AR312" s="62" t="str">
        <f>IF(OR(L312="",AA312&lt;&gt;"Facture"),"",IFERROR(IF(INDEX(fa_type,MATCH(L312,fa_num,0))="Facture d'acompte",MATCH(L312,fa_num,0),""),""))</f>
        <v/>
      </c>
      <c r="AS312" s="62" t="str">
        <f>IF(W312="","",IF(W312&lt;=0,"",IF(p_asof-P312&lt;=0,"Non échu",IF(p_asof-P312&lt;=30,"1-30 j",IF(p_asof-P312&lt;=60,"31-60 j",IF(p_asof-P312&lt;=90,"61-90 j","Plus de 90 j"))))))</f>
        <v/>
      </c>
      <c r="AT312" s="62" t="str">
        <f>IF(AS312="","",p_asof-P312)</f>
        <v/>
      </c>
      <c r="AU312" s="62" t="str">
        <f>IF(AT312="","",COUNTIF($AT$6:$AT$805,"&gt;"&amp;AT312)+COUNTIF($AT$6:AT312,AT312))</f>
        <v/>
      </c>
    </row>
    <row r="313">
      <c r="A313" s="59" t="str">
        <f>IF(AE313="","",AB313&amp;"-"&amp;AD313&amp;"-"&amp;RIGHT("000"&amp;AE313,4))</f>
        <v/>
      </c>
      <c r="B313" s="60" t="n"/>
      <c r="C313" s="61" t="n"/>
      <c r="D313" s="60" t="n"/>
      <c r="E313" s="62" t="str">
        <f>IF(D313="","",IFERROR(INDEX(cli_name,MATCH(D313,cli_code,0))&amp;"","Client inconnu"))</f>
        <v/>
      </c>
      <c r="F313" s="60" t="n"/>
      <c r="G313" s="63" t="n"/>
      <c r="H313" s="61" t="n"/>
      <c r="I313" s="63" t="n"/>
      <c r="J313" s="60" t="n"/>
      <c r="K313" s="61" t="n"/>
      <c r="L313" s="60" t="n"/>
      <c r="M313" s="60" t="n"/>
      <c r="N313" s="60" t="n"/>
      <c r="O313" s="61" t="n"/>
      <c r="P313" s="64" t="str">
        <f>IF(A313="","",IF(AA313="Avoir",AC313,IF(ISNUMBER(K313),K313,AC313+IF(D313="",N(p_delay),IFERROR(IF(ISNUMBER(INDEX(cli_delay,MATCH(D313,cli_code,0))),INDEX(cli_delay,MATCH(D313,cli_code,0)),N(p_delay)),N(p_delay))))))</f>
        <v/>
      </c>
      <c r="Q313" s="65" t="str">
        <f>IF(A313="","",IF(AA313="Avoir",-1,1)*ROUND(AJ313-IF(AR313="",0,INDEX(fa_htb,AR313)),2))</f>
        <v/>
      </c>
      <c r="R313" s="65" t="str">
        <f>IF(A313="","",IF(AA313="Avoir",-1,1)*ROUND(AQ313-IF(AR313="",0,INDEX(fa_tvab,AR313)),2))</f>
        <v/>
      </c>
      <c r="S313" s="65" t="str">
        <f>IF(A313="","",Q313+R313)</f>
        <v/>
      </c>
      <c r="T313" s="65" t="str">
        <f>IF(AR313="","",INDEX(fa_htb,AR313)+INDEX(fa_tvab,AR313))</f>
        <v/>
      </c>
      <c r="U313" s="65" t="str">
        <f>IF(A313="","",SUMIF(pa_inv,A313,pa_amt))</f>
        <v/>
      </c>
      <c r="V313" s="65" t="str">
        <f>IF(OR(A313="",AA313="Avoir"),"",-SUMIFS(fa_ttc,fa_avof,A313,fa_type,"Avoir"))</f>
        <v/>
      </c>
      <c r="W313" s="65" t="str">
        <f>IF(OR(A313="",AA313="Avoir"),"",ROUND(S313-U313-V313,2))</f>
        <v/>
      </c>
      <c r="X313" s="66" t="str">
        <f>IF(W313="","",IF(AND(W313&gt;0,p_asof&gt;P313),p_asof-P313,""))</f>
        <v/>
      </c>
      <c r="Y313" s="59" t="str">
        <f>IF(A313="","",IF(AA313="Avoir","Avoir",IF(W313&lt;0,"Trop-perçu",IF(W313=0,"Soldée",IF(p_asof&gt;P313,"En retard",IF(U313+V313&gt;0,"Partielle","À échoir"))))))</f>
        <v/>
      </c>
      <c r="Z313" s="59" t="str">
        <f>IF(NOT(COUNTA(B313:D313,F313:O313)&gt;0),"",IF(C313="","Date manquante",IF(NOT(ISNUMBER(C313)),"Date invalide",IF(D313="","Client manquant",IF(ISNA(MATCH(D313,cli_code,0)),"Client inconnu",IF(AC313&lt;SUMPRODUCT(MAX(($AB$6:AB312=AB313)*$AC$6:AC312)),"Date antérieure à la facture précédente",IF(AND(F313&lt;&gt;"",ISNA(MATCH(F313,dv_num,0))),"Devis inconnu",IF(AND(F313&lt;&gt;"",IFERROR(INDEX(dv_client,MATCH(F313,dv_num,0)),D313)&lt;&gt;D313),"Client différent de celui du devis",IF(AG313="","Aucune ligne : saisissez des lignes ou un devis",IF(AND(AI313&lt;&gt;"",COUNTIF($AI$6:AI313,AI313)&gt;1),"Devis déjà repris par une autre facture",IF(AND(AA313="Avoir",M313=""),"Avoir : indiquez la facture d'origine",IF(AND(AA313="Avoir",ISNA(MATCH(M313,fa_num,0))),"Facture d'origine inconnue",IF(AND(AA313&lt;&gt;"Avoir",M313&lt;&gt;""),"« Avoir sur facture » : réservé aux avoirs",IF(AND(L313&lt;&gt;"",AA313&lt;&gt;"Facture"),"Acompte à déduire : réservé aux factures",IF(AND(L313&lt;&gt;"",ISNA(MATCH(L313,fa_num,0))),"Facture d'acompte inconnue",IF(AND(L313&lt;&gt;"",IFERROR(INDEX(fa_type,MATCH(L313,fa_num,0)),"")&lt;&gt;"Facture d'acompte"),"Le n° à déduire n'est pas une facture d'acompte",IF(AND(L313&lt;&gt;"",COUNTIF($L$6:L313,L313)&gt;1),"Acompte déjà déduit sur une autre facture",IF(AND(L313&lt;&gt;"",IFERROR(INDEX(fa_client,MATCH(L313,fa_num,0)),D313)&lt;&gt;D313),"Acompte d'un autre client",IF(AND(AR313&lt;&gt;"",N(Q313)&lt;0),"Acompte supérieur au total de la facture",IF(IF(AG313="Facture",COUNTIFS(fl_doc,A313,fl_check,"&lt;&gt;OK"),IF(AG313="Devis",COUNTIFS(dl_doc,F313,dl_check,"&lt;&gt;OK"),0))&gt;0,"Ligne(s) à corriger",IF(AND(W313&lt;&gt;"",N(W313)&lt;0),"Trop-perçu : vérifiez paiements et avoirs","OK")))))))))))))))))))))</f>
        <v/>
      </c>
      <c r="AA313" s="62" t="str">
        <f>IF(COUNTA(B313:D313,F313:O313)&gt;0,IF(B313="","Facture",B313),"")</f>
        <v/>
      </c>
      <c r="AB313" s="62" t="str">
        <f>IF(AA313="","",IF(AA313="Avoir",p_pav,IF(AA313="Facture d'acompte",p_pac,p_pfa)))</f>
        <v/>
      </c>
      <c r="AC313" s="62">
        <f>IF(ISNUMBER(C313),C313,0)</f>
        <v>0.0</v>
      </c>
      <c r="AD313" s="62" t="str">
        <f>IF(OR(AA313="",AC313=0),"",YEAR(AC313))</f>
        <v/>
      </c>
      <c r="AE313" s="62" t="str">
        <f>IF(AD313="","",COUNTIFS($AB$6:AB313,AB313,$AD$6:AD313,AD313))</f>
        <v/>
      </c>
      <c r="AF313" s="62">
        <f>IF(A313="",0,COUNTIF(fl_doc,A313))</f>
        <v>0.0</v>
      </c>
      <c r="AG313" s="62" t="str">
        <f>IF(A313="","",IF(AF313&gt;0,"Facture",IF(AND(F313&lt;&gt;"",AA313="Facture",ISNUMBER(MATCH(F313,dv_num,0))),"Devis","")))</f>
        <v/>
      </c>
      <c r="AH313" s="62" t="str">
        <f>IF(AND(A313&lt;&gt;"",F313&lt;&gt;"",AA313&lt;&gt;"Avoir"),F313,"")</f>
        <v/>
      </c>
      <c r="AI313" s="62" t="str">
        <f>IF(AG313="Devis",F313,"")</f>
        <v/>
      </c>
      <c r="AJ313" s="62">
        <f>IF(AG313="Facture",SUMIF(fl_doc,A313,fl_ht),IF(AG313="Devis",SUMIF(dl_doc,F313,dl_ht),0))</f>
        <v>0.0</v>
      </c>
      <c r="AK313" s="62">
        <f>IF(OR(AG313="",INDEX(p_rates,1)=""),0,IF(AG313="Facture",SUMIFS(fl_ht,fl_doc,A313,fl_rate,INDEX(p_rates,1)),SUMIFS(dl_ht,dl_doc,F313,dl_rate,INDEX(p_rates,1))))</f>
        <v>0.0</v>
      </c>
      <c r="AL313" s="62">
        <f>IF(OR(AG313="",INDEX(p_rates,2)=""),0,IF(AG313="Facture",SUMIFS(fl_ht,fl_doc,A313,fl_rate,INDEX(p_rates,2)),SUMIFS(dl_ht,dl_doc,F313,dl_rate,INDEX(p_rates,2))))</f>
        <v>0.0</v>
      </c>
      <c r="AM313" s="62">
        <f>IF(OR(AG313="",INDEX(p_rates,3)=""),0,IF(AG313="Facture",SUMIFS(fl_ht,fl_doc,A313,fl_rate,INDEX(p_rates,3)),SUMIFS(dl_ht,dl_doc,F313,dl_rate,INDEX(p_rates,3))))</f>
        <v>0.0</v>
      </c>
      <c r="AN313" s="62">
        <f>IF(OR(AG313="",INDEX(p_rates,4)=""),0,IF(AG313="Facture",SUMIFS(fl_ht,fl_doc,A313,fl_rate,INDEX(p_rates,4)),SUMIFS(dl_ht,dl_doc,F313,dl_rate,INDEX(p_rates,4))))</f>
        <v>0.0</v>
      </c>
      <c r="AO313" s="62">
        <f>IF(OR(AG313="",INDEX(p_rates,5)=""),0,IF(AG313="Facture",SUMIFS(fl_ht,fl_doc,A313,fl_rate,INDEX(p_rates,5)),SUMIFS(dl_ht,dl_doc,F313,dl_rate,INDEX(p_rates,5))))</f>
        <v>0.0</v>
      </c>
      <c r="AP313" s="62">
        <f>IF(OR(AG313="",INDEX(p_rates,6)=""),0,IF(AG313="Facture",SUMIFS(fl_ht,fl_doc,A313,fl_rate,INDEX(p_rates,6)),SUMIFS(dl_ht,dl_doc,F313,dl_rate,INDEX(p_rates,6))))</f>
        <v>0.0</v>
      </c>
      <c r="AQ313" s="62">
        <f>ROUND(AK313*N(INDEX(p_rates,1)),2)+ROUND(AL313*N(INDEX(p_rates,2)),2)+ROUND(AM313*N(INDEX(p_rates,3)),2)+ROUND(AN313*N(INDEX(p_rates,4)),2)+ROUND(AO313*N(INDEX(p_rates,5)),2)+ROUND(AP313*N(INDEX(p_rates,6)),2)</f>
        <v>0.0</v>
      </c>
      <c r="AR313" s="62" t="str">
        <f>IF(OR(L313="",AA313&lt;&gt;"Facture"),"",IFERROR(IF(INDEX(fa_type,MATCH(L313,fa_num,0))="Facture d'acompte",MATCH(L313,fa_num,0),""),""))</f>
        <v/>
      </c>
      <c r="AS313" s="62" t="str">
        <f>IF(W313="","",IF(W313&lt;=0,"",IF(p_asof-P313&lt;=0,"Non échu",IF(p_asof-P313&lt;=30,"1-30 j",IF(p_asof-P313&lt;=60,"31-60 j",IF(p_asof-P313&lt;=90,"61-90 j","Plus de 90 j"))))))</f>
        <v/>
      </c>
      <c r="AT313" s="62" t="str">
        <f>IF(AS313="","",p_asof-P313)</f>
        <v/>
      </c>
      <c r="AU313" s="62" t="str">
        <f>IF(AT313="","",COUNTIF($AT$6:$AT$805,"&gt;"&amp;AT313)+COUNTIF($AT$6:AT313,AT313))</f>
        <v/>
      </c>
    </row>
    <row r="314">
      <c r="A314" s="59" t="str">
        <f>IF(AE314="","",AB314&amp;"-"&amp;AD314&amp;"-"&amp;RIGHT("000"&amp;AE314,4))</f>
        <v/>
      </c>
      <c r="B314" s="60" t="n"/>
      <c r="C314" s="61" t="n"/>
      <c r="D314" s="60" t="n"/>
      <c r="E314" s="62" t="str">
        <f>IF(D314="","",IFERROR(INDEX(cli_name,MATCH(D314,cli_code,0))&amp;"","Client inconnu"))</f>
        <v/>
      </c>
      <c r="F314" s="60" t="n"/>
      <c r="G314" s="63" t="n"/>
      <c r="H314" s="61" t="n"/>
      <c r="I314" s="63" t="n"/>
      <c r="J314" s="60" t="n"/>
      <c r="K314" s="61" t="n"/>
      <c r="L314" s="60" t="n"/>
      <c r="M314" s="60" t="n"/>
      <c r="N314" s="60" t="n"/>
      <c r="O314" s="61" t="n"/>
      <c r="P314" s="64" t="str">
        <f>IF(A314="","",IF(AA314="Avoir",AC314,IF(ISNUMBER(K314),K314,AC314+IF(D314="",N(p_delay),IFERROR(IF(ISNUMBER(INDEX(cli_delay,MATCH(D314,cli_code,0))),INDEX(cli_delay,MATCH(D314,cli_code,0)),N(p_delay)),N(p_delay))))))</f>
        <v/>
      </c>
      <c r="Q314" s="65" t="str">
        <f>IF(A314="","",IF(AA314="Avoir",-1,1)*ROUND(AJ314-IF(AR314="",0,INDEX(fa_htb,AR314)),2))</f>
        <v/>
      </c>
      <c r="R314" s="65" t="str">
        <f>IF(A314="","",IF(AA314="Avoir",-1,1)*ROUND(AQ314-IF(AR314="",0,INDEX(fa_tvab,AR314)),2))</f>
        <v/>
      </c>
      <c r="S314" s="65" t="str">
        <f>IF(A314="","",Q314+R314)</f>
        <v/>
      </c>
      <c r="T314" s="65" t="str">
        <f>IF(AR314="","",INDEX(fa_htb,AR314)+INDEX(fa_tvab,AR314))</f>
        <v/>
      </c>
      <c r="U314" s="65" t="str">
        <f>IF(A314="","",SUMIF(pa_inv,A314,pa_amt))</f>
        <v/>
      </c>
      <c r="V314" s="65" t="str">
        <f>IF(OR(A314="",AA314="Avoir"),"",-SUMIFS(fa_ttc,fa_avof,A314,fa_type,"Avoir"))</f>
        <v/>
      </c>
      <c r="W314" s="65" t="str">
        <f>IF(OR(A314="",AA314="Avoir"),"",ROUND(S314-U314-V314,2))</f>
        <v/>
      </c>
      <c r="X314" s="66" t="str">
        <f>IF(W314="","",IF(AND(W314&gt;0,p_asof&gt;P314),p_asof-P314,""))</f>
        <v/>
      </c>
      <c r="Y314" s="59" t="str">
        <f>IF(A314="","",IF(AA314="Avoir","Avoir",IF(W314&lt;0,"Trop-perçu",IF(W314=0,"Soldée",IF(p_asof&gt;P314,"En retard",IF(U314+V314&gt;0,"Partielle","À échoir"))))))</f>
        <v/>
      </c>
      <c r="Z314" s="59" t="str">
        <f>IF(NOT(COUNTA(B314:D314,F314:O314)&gt;0),"",IF(C314="","Date manquante",IF(NOT(ISNUMBER(C314)),"Date invalide",IF(D314="","Client manquant",IF(ISNA(MATCH(D314,cli_code,0)),"Client inconnu",IF(AC314&lt;SUMPRODUCT(MAX(($AB$6:AB313=AB314)*$AC$6:AC313)),"Date antérieure à la facture précédente",IF(AND(F314&lt;&gt;"",ISNA(MATCH(F314,dv_num,0))),"Devis inconnu",IF(AND(F314&lt;&gt;"",IFERROR(INDEX(dv_client,MATCH(F314,dv_num,0)),D314)&lt;&gt;D314),"Client différent de celui du devis",IF(AG314="","Aucune ligne : saisissez des lignes ou un devis",IF(AND(AI314&lt;&gt;"",COUNTIF($AI$6:AI314,AI314)&gt;1),"Devis déjà repris par une autre facture",IF(AND(AA314="Avoir",M314=""),"Avoir : indiquez la facture d'origine",IF(AND(AA314="Avoir",ISNA(MATCH(M314,fa_num,0))),"Facture d'origine inconnue",IF(AND(AA314&lt;&gt;"Avoir",M314&lt;&gt;""),"« Avoir sur facture » : réservé aux avoirs",IF(AND(L314&lt;&gt;"",AA314&lt;&gt;"Facture"),"Acompte à déduire : réservé aux factures",IF(AND(L314&lt;&gt;"",ISNA(MATCH(L314,fa_num,0))),"Facture d'acompte inconnue",IF(AND(L314&lt;&gt;"",IFERROR(INDEX(fa_type,MATCH(L314,fa_num,0)),"")&lt;&gt;"Facture d'acompte"),"Le n° à déduire n'est pas une facture d'acompte",IF(AND(L314&lt;&gt;"",COUNTIF($L$6:L314,L314)&gt;1),"Acompte déjà déduit sur une autre facture",IF(AND(L314&lt;&gt;"",IFERROR(INDEX(fa_client,MATCH(L314,fa_num,0)),D314)&lt;&gt;D314),"Acompte d'un autre client",IF(AND(AR314&lt;&gt;"",N(Q314)&lt;0),"Acompte supérieur au total de la facture",IF(IF(AG314="Facture",COUNTIFS(fl_doc,A314,fl_check,"&lt;&gt;OK"),IF(AG314="Devis",COUNTIFS(dl_doc,F314,dl_check,"&lt;&gt;OK"),0))&gt;0,"Ligne(s) à corriger",IF(AND(W314&lt;&gt;"",N(W314)&lt;0),"Trop-perçu : vérifiez paiements et avoirs","OK")))))))))))))))))))))</f>
        <v/>
      </c>
      <c r="AA314" s="62" t="str">
        <f>IF(COUNTA(B314:D314,F314:O314)&gt;0,IF(B314="","Facture",B314),"")</f>
        <v/>
      </c>
      <c r="AB314" s="62" t="str">
        <f>IF(AA314="","",IF(AA314="Avoir",p_pav,IF(AA314="Facture d'acompte",p_pac,p_pfa)))</f>
        <v/>
      </c>
      <c r="AC314" s="62">
        <f>IF(ISNUMBER(C314),C314,0)</f>
        <v>0.0</v>
      </c>
      <c r="AD314" s="62" t="str">
        <f>IF(OR(AA314="",AC314=0),"",YEAR(AC314))</f>
        <v/>
      </c>
      <c r="AE314" s="62" t="str">
        <f>IF(AD314="","",COUNTIFS($AB$6:AB314,AB314,$AD$6:AD314,AD314))</f>
        <v/>
      </c>
      <c r="AF314" s="62">
        <f>IF(A314="",0,COUNTIF(fl_doc,A314))</f>
        <v>0.0</v>
      </c>
      <c r="AG314" s="62" t="str">
        <f>IF(A314="","",IF(AF314&gt;0,"Facture",IF(AND(F314&lt;&gt;"",AA314="Facture",ISNUMBER(MATCH(F314,dv_num,0))),"Devis","")))</f>
        <v/>
      </c>
      <c r="AH314" s="62" t="str">
        <f>IF(AND(A314&lt;&gt;"",F314&lt;&gt;"",AA314&lt;&gt;"Avoir"),F314,"")</f>
        <v/>
      </c>
      <c r="AI314" s="62" t="str">
        <f>IF(AG314="Devis",F314,"")</f>
        <v/>
      </c>
      <c r="AJ314" s="62">
        <f>IF(AG314="Facture",SUMIF(fl_doc,A314,fl_ht),IF(AG314="Devis",SUMIF(dl_doc,F314,dl_ht),0))</f>
        <v>0.0</v>
      </c>
      <c r="AK314" s="62">
        <f>IF(OR(AG314="",INDEX(p_rates,1)=""),0,IF(AG314="Facture",SUMIFS(fl_ht,fl_doc,A314,fl_rate,INDEX(p_rates,1)),SUMIFS(dl_ht,dl_doc,F314,dl_rate,INDEX(p_rates,1))))</f>
        <v>0.0</v>
      </c>
      <c r="AL314" s="62">
        <f>IF(OR(AG314="",INDEX(p_rates,2)=""),0,IF(AG314="Facture",SUMIFS(fl_ht,fl_doc,A314,fl_rate,INDEX(p_rates,2)),SUMIFS(dl_ht,dl_doc,F314,dl_rate,INDEX(p_rates,2))))</f>
        <v>0.0</v>
      </c>
      <c r="AM314" s="62">
        <f>IF(OR(AG314="",INDEX(p_rates,3)=""),0,IF(AG314="Facture",SUMIFS(fl_ht,fl_doc,A314,fl_rate,INDEX(p_rates,3)),SUMIFS(dl_ht,dl_doc,F314,dl_rate,INDEX(p_rates,3))))</f>
        <v>0.0</v>
      </c>
      <c r="AN314" s="62">
        <f>IF(OR(AG314="",INDEX(p_rates,4)=""),0,IF(AG314="Facture",SUMIFS(fl_ht,fl_doc,A314,fl_rate,INDEX(p_rates,4)),SUMIFS(dl_ht,dl_doc,F314,dl_rate,INDEX(p_rates,4))))</f>
        <v>0.0</v>
      </c>
      <c r="AO314" s="62">
        <f>IF(OR(AG314="",INDEX(p_rates,5)=""),0,IF(AG314="Facture",SUMIFS(fl_ht,fl_doc,A314,fl_rate,INDEX(p_rates,5)),SUMIFS(dl_ht,dl_doc,F314,dl_rate,INDEX(p_rates,5))))</f>
        <v>0.0</v>
      </c>
      <c r="AP314" s="62">
        <f>IF(OR(AG314="",INDEX(p_rates,6)=""),0,IF(AG314="Facture",SUMIFS(fl_ht,fl_doc,A314,fl_rate,INDEX(p_rates,6)),SUMIFS(dl_ht,dl_doc,F314,dl_rate,INDEX(p_rates,6))))</f>
        <v>0.0</v>
      </c>
      <c r="AQ314" s="62">
        <f>ROUND(AK314*N(INDEX(p_rates,1)),2)+ROUND(AL314*N(INDEX(p_rates,2)),2)+ROUND(AM314*N(INDEX(p_rates,3)),2)+ROUND(AN314*N(INDEX(p_rates,4)),2)+ROUND(AO314*N(INDEX(p_rates,5)),2)+ROUND(AP314*N(INDEX(p_rates,6)),2)</f>
        <v>0.0</v>
      </c>
      <c r="AR314" s="62" t="str">
        <f>IF(OR(L314="",AA314&lt;&gt;"Facture"),"",IFERROR(IF(INDEX(fa_type,MATCH(L314,fa_num,0))="Facture d'acompte",MATCH(L314,fa_num,0),""),""))</f>
        <v/>
      </c>
      <c r="AS314" s="62" t="str">
        <f>IF(W314="","",IF(W314&lt;=0,"",IF(p_asof-P314&lt;=0,"Non échu",IF(p_asof-P314&lt;=30,"1-30 j",IF(p_asof-P314&lt;=60,"31-60 j",IF(p_asof-P314&lt;=90,"61-90 j","Plus de 90 j"))))))</f>
        <v/>
      </c>
      <c r="AT314" s="62" t="str">
        <f>IF(AS314="","",p_asof-P314)</f>
        <v/>
      </c>
      <c r="AU314" s="62" t="str">
        <f>IF(AT314="","",COUNTIF($AT$6:$AT$805,"&gt;"&amp;AT314)+COUNTIF($AT$6:AT314,AT314))</f>
        <v/>
      </c>
    </row>
    <row r="315">
      <c r="A315" s="59" t="str">
        <f>IF(AE315="","",AB315&amp;"-"&amp;AD315&amp;"-"&amp;RIGHT("000"&amp;AE315,4))</f>
        <v/>
      </c>
      <c r="B315" s="60" t="n"/>
      <c r="C315" s="61" t="n"/>
      <c r="D315" s="60" t="n"/>
      <c r="E315" s="62" t="str">
        <f>IF(D315="","",IFERROR(INDEX(cli_name,MATCH(D315,cli_code,0))&amp;"","Client inconnu"))</f>
        <v/>
      </c>
      <c r="F315" s="60" t="n"/>
      <c r="G315" s="63" t="n"/>
      <c r="H315" s="61" t="n"/>
      <c r="I315" s="63" t="n"/>
      <c r="J315" s="60" t="n"/>
      <c r="K315" s="61" t="n"/>
      <c r="L315" s="60" t="n"/>
      <c r="M315" s="60" t="n"/>
      <c r="N315" s="60" t="n"/>
      <c r="O315" s="61" t="n"/>
      <c r="P315" s="64" t="str">
        <f>IF(A315="","",IF(AA315="Avoir",AC315,IF(ISNUMBER(K315),K315,AC315+IF(D315="",N(p_delay),IFERROR(IF(ISNUMBER(INDEX(cli_delay,MATCH(D315,cli_code,0))),INDEX(cli_delay,MATCH(D315,cli_code,0)),N(p_delay)),N(p_delay))))))</f>
        <v/>
      </c>
      <c r="Q315" s="65" t="str">
        <f>IF(A315="","",IF(AA315="Avoir",-1,1)*ROUND(AJ315-IF(AR315="",0,INDEX(fa_htb,AR315)),2))</f>
        <v/>
      </c>
      <c r="R315" s="65" t="str">
        <f>IF(A315="","",IF(AA315="Avoir",-1,1)*ROUND(AQ315-IF(AR315="",0,INDEX(fa_tvab,AR315)),2))</f>
        <v/>
      </c>
      <c r="S315" s="65" t="str">
        <f>IF(A315="","",Q315+R315)</f>
        <v/>
      </c>
      <c r="T315" s="65" t="str">
        <f>IF(AR315="","",INDEX(fa_htb,AR315)+INDEX(fa_tvab,AR315))</f>
        <v/>
      </c>
      <c r="U315" s="65" t="str">
        <f>IF(A315="","",SUMIF(pa_inv,A315,pa_amt))</f>
        <v/>
      </c>
      <c r="V315" s="65" t="str">
        <f>IF(OR(A315="",AA315="Avoir"),"",-SUMIFS(fa_ttc,fa_avof,A315,fa_type,"Avoir"))</f>
        <v/>
      </c>
      <c r="W315" s="65" t="str">
        <f>IF(OR(A315="",AA315="Avoir"),"",ROUND(S315-U315-V315,2))</f>
        <v/>
      </c>
      <c r="X315" s="66" t="str">
        <f>IF(W315="","",IF(AND(W315&gt;0,p_asof&gt;P315),p_asof-P315,""))</f>
        <v/>
      </c>
      <c r="Y315" s="59" t="str">
        <f>IF(A315="","",IF(AA315="Avoir","Avoir",IF(W315&lt;0,"Trop-perçu",IF(W315=0,"Soldée",IF(p_asof&gt;P315,"En retard",IF(U315+V315&gt;0,"Partielle","À échoir"))))))</f>
        <v/>
      </c>
      <c r="Z315" s="59" t="str">
        <f>IF(NOT(COUNTA(B315:D315,F315:O315)&gt;0),"",IF(C315="","Date manquante",IF(NOT(ISNUMBER(C315)),"Date invalide",IF(D315="","Client manquant",IF(ISNA(MATCH(D315,cli_code,0)),"Client inconnu",IF(AC315&lt;SUMPRODUCT(MAX(($AB$6:AB314=AB315)*$AC$6:AC314)),"Date antérieure à la facture précédente",IF(AND(F315&lt;&gt;"",ISNA(MATCH(F315,dv_num,0))),"Devis inconnu",IF(AND(F315&lt;&gt;"",IFERROR(INDEX(dv_client,MATCH(F315,dv_num,0)),D315)&lt;&gt;D315),"Client différent de celui du devis",IF(AG315="","Aucune ligne : saisissez des lignes ou un devis",IF(AND(AI315&lt;&gt;"",COUNTIF($AI$6:AI315,AI315)&gt;1),"Devis déjà repris par une autre facture",IF(AND(AA315="Avoir",M315=""),"Avoir : indiquez la facture d'origine",IF(AND(AA315="Avoir",ISNA(MATCH(M315,fa_num,0))),"Facture d'origine inconnue",IF(AND(AA315&lt;&gt;"Avoir",M315&lt;&gt;""),"« Avoir sur facture » : réservé aux avoirs",IF(AND(L315&lt;&gt;"",AA315&lt;&gt;"Facture"),"Acompte à déduire : réservé aux factures",IF(AND(L315&lt;&gt;"",ISNA(MATCH(L315,fa_num,0))),"Facture d'acompte inconnue",IF(AND(L315&lt;&gt;"",IFERROR(INDEX(fa_type,MATCH(L315,fa_num,0)),"")&lt;&gt;"Facture d'acompte"),"Le n° à déduire n'est pas une facture d'acompte",IF(AND(L315&lt;&gt;"",COUNTIF($L$6:L315,L315)&gt;1),"Acompte déjà déduit sur une autre facture",IF(AND(L315&lt;&gt;"",IFERROR(INDEX(fa_client,MATCH(L315,fa_num,0)),D315)&lt;&gt;D315),"Acompte d'un autre client",IF(AND(AR315&lt;&gt;"",N(Q315)&lt;0),"Acompte supérieur au total de la facture",IF(IF(AG315="Facture",COUNTIFS(fl_doc,A315,fl_check,"&lt;&gt;OK"),IF(AG315="Devis",COUNTIFS(dl_doc,F315,dl_check,"&lt;&gt;OK"),0))&gt;0,"Ligne(s) à corriger",IF(AND(W315&lt;&gt;"",N(W315)&lt;0),"Trop-perçu : vérifiez paiements et avoirs","OK")))))))))))))))))))))</f>
        <v/>
      </c>
      <c r="AA315" s="62" t="str">
        <f>IF(COUNTA(B315:D315,F315:O315)&gt;0,IF(B315="","Facture",B315),"")</f>
        <v/>
      </c>
      <c r="AB315" s="62" t="str">
        <f>IF(AA315="","",IF(AA315="Avoir",p_pav,IF(AA315="Facture d'acompte",p_pac,p_pfa)))</f>
        <v/>
      </c>
      <c r="AC315" s="62">
        <f>IF(ISNUMBER(C315),C315,0)</f>
        <v>0.0</v>
      </c>
      <c r="AD315" s="62" t="str">
        <f>IF(OR(AA315="",AC315=0),"",YEAR(AC315))</f>
        <v/>
      </c>
      <c r="AE315" s="62" t="str">
        <f>IF(AD315="","",COUNTIFS($AB$6:AB315,AB315,$AD$6:AD315,AD315))</f>
        <v/>
      </c>
      <c r="AF315" s="62">
        <f>IF(A315="",0,COUNTIF(fl_doc,A315))</f>
        <v>0.0</v>
      </c>
      <c r="AG315" s="62" t="str">
        <f>IF(A315="","",IF(AF315&gt;0,"Facture",IF(AND(F315&lt;&gt;"",AA315="Facture",ISNUMBER(MATCH(F315,dv_num,0))),"Devis","")))</f>
        <v/>
      </c>
      <c r="AH315" s="62" t="str">
        <f>IF(AND(A315&lt;&gt;"",F315&lt;&gt;"",AA315&lt;&gt;"Avoir"),F315,"")</f>
        <v/>
      </c>
      <c r="AI315" s="62" t="str">
        <f>IF(AG315="Devis",F315,"")</f>
        <v/>
      </c>
      <c r="AJ315" s="62">
        <f>IF(AG315="Facture",SUMIF(fl_doc,A315,fl_ht),IF(AG315="Devis",SUMIF(dl_doc,F315,dl_ht),0))</f>
        <v>0.0</v>
      </c>
      <c r="AK315" s="62">
        <f>IF(OR(AG315="",INDEX(p_rates,1)=""),0,IF(AG315="Facture",SUMIFS(fl_ht,fl_doc,A315,fl_rate,INDEX(p_rates,1)),SUMIFS(dl_ht,dl_doc,F315,dl_rate,INDEX(p_rates,1))))</f>
        <v>0.0</v>
      </c>
      <c r="AL315" s="62">
        <f>IF(OR(AG315="",INDEX(p_rates,2)=""),0,IF(AG315="Facture",SUMIFS(fl_ht,fl_doc,A315,fl_rate,INDEX(p_rates,2)),SUMIFS(dl_ht,dl_doc,F315,dl_rate,INDEX(p_rates,2))))</f>
        <v>0.0</v>
      </c>
      <c r="AM315" s="62">
        <f>IF(OR(AG315="",INDEX(p_rates,3)=""),0,IF(AG315="Facture",SUMIFS(fl_ht,fl_doc,A315,fl_rate,INDEX(p_rates,3)),SUMIFS(dl_ht,dl_doc,F315,dl_rate,INDEX(p_rates,3))))</f>
        <v>0.0</v>
      </c>
      <c r="AN315" s="62">
        <f>IF(OR(AG315="",INDEX(p_rates,4)=""),0,IF(AG315="Facture",SUMIFS(fl_ht,fl_doc,A315,fl_rate,INDEX(p_rates,4)),SUMIFS(dl_ht,dl_doc,F315,dl_rate,INDEX(p_rates,4))))</f>
        <v>0.0</v>
      </c>
      <c r="AO315" s="62">
        <f>IF(OR(AG315="",INDEX(p_rates,5)=""),0,IF(AG315="Facture",SUMIFS(fl_ht,fl_doc,A315,fl_rate,INDEX(p_rates,5)),SUMIFS(dl_ht,dl_doc,F315,dl_rate,INDEX(p_rates,5))))</f>
        <v>0.0</v>
      </c>
      <c r="AP315" s="62">
        <f>IF(OR(AG315="",INDEX(p_rates,6)=""),0,IF(AG315="Facture",SUMIFS(fl_ht,fl_doc,A315,fl_rate,INDEX(p_rates,6)),SUMIFS(dl_ht,dl_doc,F315,dl_rate,INDEX(p_rates,6))))</f>
        <v>0.0</v>
      </c>
      <c r="AQ315" s="62">
        <f>ROUND(AK315*N(INDEX(p_rates,1)),2)+ROUND(AL315*N(INDEX(p_rates,2)),2)+ROUND(AM315*N(INDEX(p_rates,3)),2)+ROUND(AN315*N(INDEX(p_rates,4)),2)+ROUND(AO315*N(INDEX(p_rates,5)),2)+ROUND(AP315*N(INDEX(p_rates,6)),2)</f>
        <v>0.0</v>
      </c>
      <c r="AR315" s="62" t="str">
        <f>IF(OR(L315="",AA315&lt;&gt;"Facture"),"",IFERROR(IF(INDEX(fa_type,MATCH(L315,fa_num,0))="Facture d'acompte",MATCH(L315,fa_num,0),""),""))</f>
        <v/>
      </c>
      <c r="AS315" s="62" t="str">
        <f>IF(W315="","",IF(W315&lt;=0,"",IF(p_asof-P315&lt;=0,"Non échu",IF(p_asof-P315&lt;=30,"1-30 j",IF(p_asof-P315&lt;=60,"31-60 j",IF(p_asof-P315&lt;=90,"61-90 j","Plus de 90 j"))))))</f>
        <v/>
      </c>
      <c r="AT315" s="62" t="str">
        <f>IF(AS315="","",p_asof-P315)</f>
        <v/>
      </c>
      <c r="AU315" s="62" t="str">
        <f>IF(AT315="","",COUNTIF($AT$6:$AT$805,"&gt;"&amp;AT315)+COUNTIF($AT$6:AT315,AT315))</f>
        <v/>
      </c>
    </row>
    <row r="316">
      <c r="A316" s="59" t="str">
        <f>IF(AE316="","",AB316&amp;"-"&amp;AD316&amp;"-"&amp;RIGHT("000"&amp;AE316,4))</f>
        <v/>
      </c>
      <c r="B316" s="60" t="n"/>
      <c r="C316" s="61" t="n"/>
      <c r="D316" s="60" t="n"/>
      <c r="E316" s="62" t="str">
        <f>IF(D316="","",IFERROR(INDEX(cli_name,MATCH(D316,cli_code,0))&amp;"","Client inconnu"))</f>
        <v/>
      </c>
      <c r="F316" s="60" t="n"/>
      <c r="G316" s="63" t="n"/>
      <c r="H316" s="61" t="n"/>
      <c r="I316" s="63" t="n"/>
      <c r="J316" s="60" t="n"/>
      <c r="K316" s="61" t="n"/>
      <c r="L316" s="60" t="n"/>
      <c r="M316" s="60" t="n"/>
      <c r="N316" s="60" t="n"/>
      <c r="O316" s="61" t="n"/>
      <c r="P316" s="64" t="str">
        <f>IF(A316="","",IF(AA316="Avoir",AC316,IF(ISNUMBER(K316),K316,AC316+IF(D316="",N(p_delay),IFERROR(IF(ISNUMBER(INDEX(cli_delay,MATCH(D316,cli_code,0))),INDEX(cli_delay,MATCH(D316,cli_code,0)),N(p_delay)),N(p_delay))))))</f>
        <v/>
      </c>
      <c r="Q316" s="65" t="str">
        <f>IF(A316="","",IF(AA316="Avoir",-1,1)*ROUND(AJ316-IF(AR316="",0,INDEX(fa_htb,AR316)),2))</f>
        <v/>
      </c>
      <c r="R316" s="65" t="str">
        <f>IF(A316="","",IF(AA316="Avoir",-1,1)*ROUND(AQ316-IF(AR316="",0,INDEX(fa_tvab,AR316)),2))</f>
        <v/>
      </c>
      <c r="S316" s="65" t="str">
        <f>IF(A316="","",Q316+R316)</f>
        <v/>
      </c>
      <c r="T316" s="65" t="str">
        <f>IF(AR316="","",INDEX(fa_htb,AR316)+INDEX(fa_tvab,AR316))</f>
        <v/>
      </c>
      <c r="U316" s="65" t="str">
        <f>IF(A316="","",SUMIF(pa_inv,A316,pa_amt))</f>
        <v/>
      </c>
      <c r="V316" s="65" t="str">
        <f>IF(OR(A316="",AA316="Avoir"),"",-SUMIFS(fa_ttc,fa_avof,A316,fa_type,"Avoir"))</f>
        <v/>
      </c>
      <c r="W316" s="65" t="str">
        <f>IF(OR(A316="",AA316="Avoir"),"",ROUND(S316-U316-V316,2))</f>
        <v/>
      </c>
      <c r="X316" s="66" t="str">
        <f>IF(W316="","",IF(AND(W316&gt;0,p_asof&gt;P316),p_asof-P316,""))</f>
        <v/>
      </c>
      <c r="Y316" s="59" t="str">
        <f>IF(A316="","",IF(AA316="Avoir","Avoir",IF(W316&lt;0,"Trop-perçu",IF(W316=0,"Soldée",IF(p_asof&gt;P316,"En retard",IF(U316+V316&gt;0,"Partielle","À échoir"))))))</f>
        <v/>
      </c>
      <c r="Z316" s="59" t="str">
        <f>IF(NOT(COUNTA(B316:D316,F316:O316)&gt;0),"",IF(C316="","Date manquante",IF(NOT(ISNUMBER(C316)),"Date invalide",IF(D316="","Client manquant",IF(ISNA(MATCH(D316,cli_code,0)),"Client inconnu",IF(AC316&lt;SUMPRODUCT(MAX(($AB$6:AB315=AB316)*$AC$6:AC315)),"Date antérieure à la facture précédente",IF(AND(F316&lt;&gt;"",ISNA(MATCH(F316,dv_num,0))),"Devis inconnu",IF(AND(F316&lt;&gt;"",IFERROR(INDEX(dv_client,MATCH(F316,dv_num,0)),D316)&lt;&gt;D316),"Client différent de celui du devis",IF(AG316="","Aucune ligne : saisissez des lignes ou un devis",IF(AND(AI316&lt;&gt;"",COUNTIF($AI$6:AI316,AI316)&gt;1),"Devis déjà repris par une autre facture",IF(AND(AA316="Avoir",M316=""),"Avoir : indiquez la facture d'origine",IF(AND(AA316="Avoir",ISNA(MATCH(M316,fa_num,0))),"Facture d'origine inconnue",IF(AND(AA316&lt;&gt;"Avoir",M316&lt;&gt;""),"« Avoir sur facture » : réservé aux avoirs",IF(AND(L316&lt;&gt;"",AA316&lt;&gt;"Facture"),"Acompte à déduire : réservé aux factures",IF(AND(L316&lt;&gt;"",ISNA(MATCH(L316,fa_num,0))),"Facture d'acompte inconnue",IF(AND(L316&lt;&gt;"",IFERROR(INDEX(fa_type,MATCH(L316,fa_num,0)),"")&lt;&gt;"Facture d'acompte"),"Le n° à déduire n'est pas une facture d'acompte",IF(AND(L316&lt;&gt;"",COUNTIF($L$6:L316,L316)&gt;1),"Acompte déjà déduit sur une autre facture",IF(AND(L316&lt;&gt;"",IFERROR(INDEX(fa_client,MATCH(L316,fa_num,0)),D316)&lt;&gt;D316),"Acompte d'un autre client",IF(AND(AR316&lt;&gt;"",N(Q316)&lt;0),"Acompte supérieur au total de la facture",IF(IF(AG316="Facture",COUNTIFS(fl_doc,A316,fl_check,"&lt;&gt;OK"),IF(AG316="Devis",COUNTIFS(dl_doc,F316,dl_check,"&lt;&gt;OK"),0))&gt;0,"Ligne(s) à corriger",IF(AND(W316&lt;&gt;"",N(W316)&lt;0),"Trop-perçu : vérifiez paiements et avoirs","OK")))))))))))))))))))))</f>
        <v/>
      </c>
      <c r="AA316" s="62" t="str">
        <f>IF(COUNTA(B316:D316,F316:O316)&gt;0,IF(B316="","Facture",B316),"")</f>
        <v/>
      </c>
      <c r="AB316" s="62" t="str">
        <f>IF(AA316="","",IF(AA316="Avoir",p_pav,IF(AA316="Facture d'acompte",p_pac,p_pfa)))</f>
        <v/>
      </c>
      <c r="AC316" s="62">
        <f>IF(ISNUMBER(C316),C316,0)</f>
        <v>0.0</v>
      </c>
      <c r="AD316" s="62" t="str">
        <f>IF(OR(AA316="",AC316=0),"",YEAR(AC316))</f>
        <v/>
      </c>
      <c r="AE316" s="62" t="str">
        <f>IF(AD316="","",COUNTIFS($AB$6:AB316,AB316,$AD$6:AD316,AD316))</f>
        <v/>
      </c>
      <c r="AF316" s="62">
        <f>IF(A316="",0,COUNTIF(fl_doc,A316))</f>
        <v>0.0</v>
      </c>
      <c r="AG316" s="62" t="str">
        <f>IF(A316="","",IF(AF316&gt;0,"Facture",IF(AND(F316&lt;&gt;"",AA316="Facture",ISNUMBER(MATCH(F316,dv_num,0))),"Devis","")))</f>
        <v/>
      </c>
      <c r="AH316" s="62" t="str">
        <f>IF(AND(A316&lt;&gt;"",F316&lt;&gt;"",AA316&lt;&gt;"Avoir"),F316,"")</f>
        <v/>
      </c>
      <c r="AI316" s="62" t="str">
        <f>IF(AG316="Devis",F316,"")</f>
        <v/>
      </c>
      <c r="AJ316" s="62">
        <f>IF(AG316="Facture",SUMIF(fl_doc,A316,fl_ht),IF(AG316="Devis",SUMIF(dl_doc,F316,dl_ht),0))</f>
        <v>0.0</v>
      </c>
      <c r="AK316" s="62">
        <f>IF(OR(AG316="",INDEX(p_rates,1)=""),0,IF(AG316="Facture",SUMIFS(fl_ht,fl_doc,A316,fl_rate,INDEX(p_rates,1)),SUMIFS(dl_ht,dl_doc,F316,dl_rate,INDEX(p_rates,1))))</f>
        <v>0.0</v>
      </c>
      <c r="AL316" s="62">
        <f>IF(OR(AG316="",INDEX(p_rates,2)=""),0,IF(AG316="Facture",SUMIFS(fl_ht,fl_doc,A316,fl_rate,INDEX(p_rates,2)),SUMIFS(dl_ht,dl_doc,F316,dl_rate,INDEX(p_rates,2))))</f>
        <v>0.0</v>
      </c>
      <c r="AM316" s="62">
        <f>IF(OR(AG316="",INDEX(p_rates,3)=""),0,IF(AG316="Facture",SUMIFS(fl_ht,fl_doc,A316,fl_rate,INDEX(p_rates,3)),SUMIFS(dl_ht,dl_doc,F316,dl_rate,INDEX(p_rates,3))))</f>
        <v>0.0</v>
      </c>
      <c r="AN316" s="62">
        <f>IF(OR(AG316="",INDEX(p_rates,4)=""),0,IF(AG316="Facture",SUMIFS(fl_ht,fl_doc,A316,fl_rate,INDEX(p_rates,4)),SUMIFS(dl_ht,dl_doc,F316,dl_rate,INDEX(p_rates,4))))</f>
        <v>0.0</v>
      </c>
      <c r="AO316" s="62">
        <f>IF(OR(AG316="",INDEX(p_rates,5)=""),0,IF(AG316="Facture",SUMIFS(fl_ht,fl_doc,A316,fl_rate,INDEX(p_rates,5)),SUMIFS(dl_ht,dl_doc,F316,dl_rate,INDEX(p_rates,5))))</f>
        <v>0.0</v>
      </c>
      <c r="AP316" s="62">
        <f>IF(OR(AG316="",INDEX(p_rates,6)=""),0,IF(AG316="Facture",SUMIFS(fl_ht,fl_doc,A316,fl_rate,INDEX(p_rates,6)),SUMIFS(dl_ht,dl_doc,F316,dl_rate,INDEX(p_rates,6))))</f>
        <v>0.0</v>
      </c>
      <c r="AQ316" s="62">
        <f>ROUND(AK316*N(INDEX(p_rates,1)),2)+ROUND(AL316*N(INDEX(p_rates,2)),2)+ROUND(AM316*N(INDEX(p_rates,3)),2)+ROUND(AN316*N(INDEX(p_rates,4)),2)+ROUND(AO316*N(INDEX(p_rates,5)),2)+ROUND(AP316*N(INDEX(p_rates,6)),2)</f>
        <v>0.0</v>
      </c>
      <c r="AR316" s="62" t="str">
        <f>IF(OR(L316="",AA316&lt;&gt;"Facture"),"",IFERROR(IF(INDEX(fa_type,MATCH(L316,fa_num,0))="Facture d'acompte",MATCH(L316,fa_num,0),""),""))</f>
        <v/>
      </c>
      <c r="AS316" s="62" t="str">
        <f>IF(W316="","",IF(W316&lt;=0,"",IF(p_asof-P316&lt;=0,"Non échu",IF(p_asof-P316&lt;=30,"1-30 j",IF(p_asof-P316&lt;=60,"31-60 j",IF(p_asof-P316&lt;=90,"61-90 j","Plus de 90 j"))))))</f>
        <v/>
      </c>
      <c r="AT316" s="62" t="str">
        <f>IF(AS316="","",p_asof-P316)</f>
        <v/>
      </c>
      <c r="AU316" s="62" t="str">
        <f>IF(AT316="","",COUNTIF($AT$6:$AT$805,"&gt;"&amp;AT316)+COUNTIF($AT$6:AT316,AT316))</f>
        <v/>
      </c>
    </row>
    <row r="317">
      <c r="A317" s="59" t="str">
        <f>IF(AE317="","",AB317&amp;"-"&amp;AD317&amp;"-"&amp;RIGHT("000"&amp;AE317,4))</f>
        <v/>
      </c>
      <c r="B317" s="60" t="n"/>
      <c r="C317" s="61" t="n"/>
      <c r="D317" s="60" t="n"/>
      <c r="E317" s="62" t="str">
        <f>IF(D317="","",IFERROR(INDEX(cli_name,MATCH(D317,cli_code,0))&amp;"","Client inconnu"))</f>
        <v/>
      </c>
      <c r="F317" s="60" t="n"/>
      <c r="G317" s="63" t="n"/>
      <c r="H317" s="61" t="n"/>
      <c r="I317" s="63" t="n"/>
      <c r="J317" s="60" t="n"/>
      <c r="K317" s="61" t="n"/>
      <c r="L317" s="60" t="n"/>
      <c r="M317" s="60" t="n"/>
      <c r="N317" s="60" t="n"/>
      <c r="O317" s="61" t="n"/>
      <c r="P317" s="64" t="str">
        <f>IF(A317="","",IF(AA317="Avoir",AC317,IF(ISNUMBER(K317),K317,AC317+IF(D317="",N(p_delay),IFERROR(IF(ISNUMBER(INDEX(cli_delay,MATCH(D317,cli_code,0))),INDEX(cli_delay,MATCH(D317,cli_code,0)),N(p_delay)),N(p_delay))))))</f>
        <v/>
      </c>
      <c r="Q317" s="65" t="str">
        <f>IF(A317="","",IF(AA317="Avoir",-1,1)*ROUND(AJ317-IF(AR317="",0,INDEX(fa_htb,AR317)),2))</f>
        <v/>
      </c>
      <c r="R317" s="65" t="str">
        <f>IF(A317="","",IF(AA317="Avoir",-1,1)*ROUND(AQ317-IF(AR317="",0,INDEX(fa_tvab,AR317)),2))</f>
        <v/>
      </c>
      <c r="S317" s="65" t="str">
        <f>IF(A317="","",Q317+R317)</f>
        <v/>
      </c>
      <c r="T317" s="65" t="str">
        <f>IF(AR317="","",INDEX(fa_htb,AR317)+INDEX(fa_tvab,AR317))</f>
        <v/>
      </c>
      <c r="U317" s="65" t="str">
        <f>IF(A317="","",SUMIF(pa_inv,A317,pa_amt))</f>
        <v/>
      </c>
      <c r="V317" s="65" t="str">
        <f>IF(OR(A317="",AA317="Avoir"),"",-SUMIFS(fa_ttc,fa_avof,A317,fa_type,"Avoir"))</f>
        <v/>
      </c>
      <c r="W317" s="65" t="str">
        <f>IF(OR(A317="",AA317="Avoir"),"",ROUND(S317-U317-V317,2))</f>
        <v/>
      </c>
      <c r="X317" s="66" t="str">
        <f>IF(W317="","",IF(AND(W317&gt;0,p_asof&gt;P317),p_asof-P317,""))</f>
        <v/>
      </c>
      <c r="Y317" s="59" t="str">
        <f>IF(A317="","",IF(AA317="Avoir","Avoir",IF(W317&lt;0,"Trop-perçu",IF(W317=0,"Soldée",IF(p_asof&gt;P317,"En retard",IF(U317+V317&gt;0,"Partielle","À échoir"))))))</f>
        <v/>
      </c>
      <c r="Z317" s="59" t="str">
        <f>IF(NOT(COUNTA(B317:D317,F317:O317)&gt;0),"",IF(C317="","Date manquante",IF(NOT(ISNUMBER(C317)),"Date invalide",IF(D317="","Client manquant",IF(ISNA(MATCH(D317,cli_code,0)),"Client inconnu",IF(AC317&lt;SUMPRODUCT(MAX(($AB$6:AB316=AB317)*$AC$6:AC316)),"Date antérieure à la facture précédente",IF(AND(F317&lt;&gt;"",ISNA(MATCH(F317,dv_num,0))),"Devis inconnu",IF(AND(F317&lt;&gt;"",IFERROR(INDEX(dv_client,MATCH(F317,dv_num,0)),D317)&lt;&gt;D317),"Client différent de celui du devis",IF(AG317="","Aucune ligne : saisissez des lignes ou un devis",IF(AND(AI317&lt;&gt;"",COUNTIF($AI$6:AI317,AI317)&gt;1),"Devis déjà repris par une autre facture",IF(AND(AA317="Avoir",M317=""),"Avoir : indiquez la facture d'origine",IF(AND(AA317="Avoir",ISNA(MATCH(M317,fa_num,0))),"Facture d'origine inconnue",IF(AND(AA317&lt;&gt;"Avoir",M317&lt;&gt;""),"« Avoir sur facture » : réservé aux avoirs",IF(AND(L317&lt;&gt;"",AA317&lt;&gt;"Facture"),"Acompte à déduire : réservé aux factures",IF(AND(L317&lt;&gt;"",ISNA(MATCH(L317,fa_num,0))),"Facture d'acompte inconnue",IF(AND(L317&lt;&gt;"",IFERROR(INDEX(fa_type,MATCH(L317,fa_num,0)),"")&lt;&gt;"Facture d'acompte"),"Le n° à déduire n'est pas une facture d'acompte",IF(AND(L317&lt;&gt;"",COUNTIF($L$6:L317,L317)&gt;1),"Acompte déjà déduit sur une autre facture",IF(AND(L317&lt;&gt;"",IFERROR(INDEX(fa_client,MATCH(L317,fa_num,0)),D317)&lt;&gt;D317),"Acompte d'un autre client",IF(AND(AR317&lt;&gt;"",N(Q317)&lt;0),"Acompte supérieur au total de la facture",IF(IF(AG317="Facture",COUNTIFS(fl_doc,A317,fl_check,"&lt;&gt;OK"),IF(AG317="Devis",COUNTIFS(dl_doc,F317,dl_check,"&lt;&gt;OK"),0))&gt;0,"Ligne(s) à corriger",IF(AND(W317&lt;&gt;"",N(W317)&lt;0),"Trop-perçu : vérifiez paiements et avoirs","OK")))))))))))))))))))))</f>
        <v/>
      </c>
      <c r="AA317" s="62" t="str">
        <f>IF(COUNTA(B317:D317,F317:O317)&gt;0,IF(B317="","Facture",B317),"")</f>
        <v/>
      </c>
      <c r="AB317" s="62" t="str">
        <f>IF(AA317="","",IF(AA317="Avoir",p_pav,IF(AA317="Facture d'acompte",p_pac,p_pfa)))</f>
        <v/>
      </c>
      <c r="AC317" s="62">
        <f>IF(ISNUMBER(C317),C317,0)</f>
        <v>0.0</v>
      </c>
      <c r="AD317" s="62" t="str">
        <f>IF(OR(AA317="",AC317=0),"",YEAR(AC317))</f>
        <v/>
      </c>
      <c r="AE317" s="62" t="str">
        <f>IF(AD317="","",COUNTIFS($AB$6:AB317,AB317,$AD$6:AD317,AD317))</f>
        <v/>
      </c>
      <c r="AF317" s="62">
        <f>IF(A317="",0,COUNTIF(fl_doc,A317))</f>
        <v>0.0</v>
      </c>
      <c r="AG317" s="62" t="str">
        <f>IF(A317="","",IF(AF317&gt;0,"Facture",IF(AND(F317&lt;&gt;"",AA317="Facture",ISNUMBER(MATCH(F317,dv_num,0))),"Devis","")))</f>
        <v/>
      </c>
      <c r="AH317" s="62" t="str">
        <f>IF(AND(A317&lt;&gt;"",F317&lt;&gt;"",AA317&lt;&gt;"Avoir"),F317,"")</f>
        <v/>
      </c>
      <c r="AI317" s="62" t="str">
        <f>IF(AG317="Devis",F317,"")</f>
        <v/>
      </c>
      <c r="AJ317" s="62">
        <f>IF(AG317="Facture",SUMIF(fl_doc,A317,fl_ht),IF(AG317="Devis",SUMIF(dl_doc,F317,dl_ht),0))</f>
        <v>0.0</v>
      </c>
      <c r="AK317" s="62">
        <f>IF(OR(AG317="",INDEX(p_rates,1)=""),0,IF(AG317="Facture",SUMIFS(fl_ht,fl_doc,A317,fl_rate,INDEX(p_rates,1)),SUMIFS(dl_ht,dl_doc,F317,dl_rate,INDEX(p_rates,1))))</f>
        <v>0.0</v>
      </c>
      <c r="AL317" s="62">
        <f>IF(OR(AG317="",INDEX(p_rates,2)=""),0,IF(AG317="Facture",SUMIFS(fl_ht,fl_doc,A317,fl_rate,INDEX(p_rates,2)),SUMIFS(dl_ht,dl_doc,F317,dl_rate,INDEX(p_rates,2))))</f>
        <v>0.0</v>
      </c>
      <c r="AM317" s="62">
        <f>IF(OR(AG317="",INDEX(p_rates,3)=""),0,IF(AG317="Facture",SUMIFS(fl_ht,fl_doc,A317,fl_rate,INDEX(p_rates,3)),SUMIFS(dl_ht,dl_doc,F317,dl_rate,INDEX(p_rates,3))))</f>
        <v>0.0</v>
      </c>
      <c r="AN317" s="62">
        <f>IF(OR(AG317="",INDEX(p_rates,4)=""),0,IF(AG317="Facture",SUMIFS(fl_ht,fl_doc,A317,fl_rate,INDEX(p_rates,4)),SUMIFS(dl_ht,dl_doc,F317,dl_rate,INDEX(p_rates,4))))</f>
        <v>0.0</v>
      </c>
      <c r="AO317" s="62">
        <f>IF(OR(AG317="",INDEX(p_rates,5)=""),0,IF(AG317="Facture",SUMIFS(fl_ht,fl_doc,A317,fl_rate,INDEX(p_rates,5)),SUMIFS(dl_ht,dl_doc,F317,dl_rate,INDEX(p_rates,5))))</f>
        <v>0.0</v>
      </c>
      <c r="AP317" s="62">
        <f>IF(OR(AG317="",INDEX(p_rates,6)=""),0,IF(AG317="Facture",SUMIFS(fl_ht,fl_doc,A317,fl_rate,INDEX(p_rates,6)),SUMIFS(dl_ht,dl_doc,F317,dl_rate,INDEX(p_rates,6))))</f>
        <v>0.0</v>
      </c>
      <c r="AQ317" s="62">
        <f>ROUND(AK317*N(INDEX(p_rates,1)),2)+ROUND(AL317*N(INDEX(p_rates,2)),2)+ROUND(AM317*N(INDEX(p_rates,3)),2)+ROUND(AN317*N(INDEX(p_rates,4)),2)+ROUND(AO317*N(INDEX(p_rates,5)),2)+ROUND(AP317*N(INDEX(p_rates,6)),2)</f>
        <v>0.0</v>
      </c>
      <c r="AR317" s="62" t="str">
        <f>IF(OR(L317="",AA317&lt;&gt;"Facture"),"",IFERROR(IF(INDEX(fa_type,MATCH(L317,fa_num,0))="Facture d'acompte",MATCH(L317,fa_num,0),""),""))</f>
        <v/>
      </c>
      <c r="AS317" s="62" t="str">
        <f>IF(W317="","",IF(W317&lt;=0,"",IF(p_asof-P317&lt;=0,"Non échu",IF(p_asof-P317&lt;=30,"1-30 j",IF(p_asof-P317&lt;=60,"31-60 j",IF(p_asof-P317&lt;=90,"61-90 j","Plus de 90 j"))))))</f>
        <v/>
      </c>
      <c r="AT317" s="62" t="str">
        <f>IF(AS317="","",p_asof-P317)</f>
        <v/>
      </c>
      <c r="AU317" s="62" t="str">
        <f>IF(AT317="","",COUNTIF($AT$6:$AT$805,"&gt;"&amp;AT317)+COUNTIF($AT$6:AT317,AT317))</f>
        <v/>
      </c>
    </row>
    <row r="318">
      <c r="A318" s="59" t="str">
        <f>IF(AE318="","",AB318&amp;"-"&amp;AD318&amp;"-"&amp;RIGHT("000"&amp;AE318,4))</f>
        <v/>
      </c>
      <c r="B318" s="60" t="n"/>
      <c r="C318" s="61" t="n"/>
      <c r="D318" s="60" t="n"/>
      <c r="E318" s="62" t="str">
        <f>IF(D318="","",IFERROR(INDEX(cli_name,MATCH(D318,cli_code,0))&amp;"","Client inconnu"))</f>
        <v/>
      </c>
      <c r="F318" s="60" t="n"/>
      <c r="G318" s="63" t="n"/>
      <c r="H318" s="61" t="n"/>
      <c r="I318" s="63" t="n"/>
      <c r="J318" s="60" t="n"/>
      <c r="K318" s="61" t="n"/>
      <c r="L318" s="60" t="n"/>
      <c r="M318" s="60" t="n"/>
      <c r="N318" s="60" t="n"/>
      <c r="O318" s="61" t="n"/>
      <c r="P318" s="64" t="str">
        <f>IF(A318="","",IF(AA318="Avoir",AC318,IF(ISNUMBER(K318),K318,AC318+IF(D318="",N(p_delay),IFERROR(IF(ISNUMBER(INDEX(cli_delay,MATCH(D318,cli_code,0))),INDEX(cli_delay,MATCH(D318,cli_code,0)),N(p_delay)),N(p_delay))))))</f>
        <v/>
      </c>
      <c r="Q318" s="65" t="str">
        <f>IF(A318="","",IF(AA318="Avoir",-1,1)*ROUND(AJ318-IF(AR318="",0,INDEX(fa_htb,AR318)),2))</f>
        <v/>
      </c>
      <c r="R318" s="65" t="str">
        <f>IF(A318="","",IF(AA318="Avoir",-1,1)*ROUND(AQ318-IF(AR318="",0,INDEX(fa_tvab,AR318)),2))</f>
        <v/>
      </c>
      <c r="S318" s="65" t="str">
        <f>IF(A318="","",Q318+R318)</f>
        <v/>
      </c>
      <c r="T318" s="65" t="str">
        <f>IF(AR318="","",INDEX(fa_htb,AR318)+INDEX(fa_tvab,AR318))</f>
        <v/>
      </c>
      <c r="U318" s="65" t="str">
        <f>IF(A318="","",SUMIF(pa_inv,A318,pa_amt))</f>
        <v/>
      </c>
      <c r="V318" s="65" t="str">
        <f>IF(OR(A318="",AA318="Avoir"),"",-SUMIFS(fa_ttc,fa_avof,A318,fa_type,"Avoir"))</f>
        <v/>
      </c>
      <c r="W318" s="65" t="str">
        <f>IF(OR(A318="",AA318="Avoir"),"",ROUND(S318-U318-V318,2))</f>
        <v/>
      </c>
      <c r="X318" s="66" t="str">
        <f>IF(W318="","",IF(AND(W318&gt;0,p_asof&gt;P318),p_asof-P318,""))</f>
        <v/>
      </c>
      <c r="Y318" s="59" t="str">
        <f>IF(A318="","",IF(AA318="Avoir","Avoir",IF(W318&lt;0,"Trop-perçu",IF(W318=0,"Soldée",IF(p_asof&gt;P318,"En retard",IF(U318+V318&gt;0,"Partielle","À échoir"))))))</f>
        <v/>
      </c>
      <c r="Z318" s="59" t="str">
        <f>IF(NOT(COUNTA(B318:D318,F318:O318)&gt;0),"",IF(C318="","Date manquante",IF(NOT(ISNUMBER(C318)),"Date invalide",IF(D318="","Client manquant",IF(ISNA(MATCH(D318,cli_code,0)),"Client inconnu",IF(AC318&lt;SUMPRODUCT(MAX(($AB$6:AB317=AB318)*$AC$6:AC317)),"Date antérieure à la facture précédente",IF(AND(F318&lt;&gt;"",ISNA(MATCH(F318,dv_num,0))),"Devis inconnu",IF(AND(F318&lt;&gt;"",IFERROR(INDEX(dv_client,MATCH(F318,dv_num,0)),D318)&lt;&gt;D318),"Client différent de celui du devis",IF(AG318="","Aucune ligne : saisissez des lignes ou un devis",IF(AND(AI318&lt;&gt;"",COUNTIF($AI$6:AI318,AI318)&gt;1),"Devis déjà repris par une autre facture",IF(AND(AA318="Avoir",M318=""),"Avoir : indiquez la facture d'origine",IF(AND(AA318="Avoir",ISNA(MATCH(M318,fa_num,0))),"Facture d'origine inconnue",IF(AND(AA318&lt;&gt;"Avoir",M318&lt;&gt;""),"« Avoir sur facture » : réservé aux avoirs",IF(AND(L318&lt;&gt;"",AA318&lt;&gt;"Facture"),"Acompte à déduire : réservé aux factures",IF(AND(L318&lt;&gt;"",ISNA(MATCH(L318,fa_num,0))),"Facture d'acompte inconnue",IF(AND(L318&lt;&gt;"",IFERROR(INDEX(fa_type,MATCH(L318,fa_num,0)),"")&lt;&gt;"Facture d'acompte"),"Le n° à déduire n'est pas une facture d'acompte",IF(AND(L318&lt;&gt;"",COUNTIF($L$6:L318,L318)&gt;1),"Acompte déjà déduit sur une autre facture",IF(AND(L318&lt;&gt;"",IFERROR(INDEX(fa_client,MATCH(L318,fa_num,0)),D318)&lt;&gt;D318),"Acompte d'un autre client",IF(AND(AR318&lt;&gt;"",N(Q318)&lt;0),"Acompte supérieur au total de la facture",IF(IF(AG318="Facture",COUNTIFS(fl_doc,A318,fl_check,"&lt;&gt;OK"),IF(AG318="Devis",COUNTIFS(dl_doc,F318,dl_check,"&lt;&gt;OK"),0))&gt;0,"Ligne(s) à corriger",IF(AND(W318&lt;&gt;"",N(W318)&lt;0),"Trop-perçu : vérifiez paiements et avoirs","OK")))))))))))))))))))))</f>
        <v/>
      </c>
      <c r="AA318" s="62" t="str">
        <f>IF(COUNTA(B318:D318,F318:O318)&gt;0,IF(B318="","Facture",B318),"")</f>
        <v/>
      </c>
      <c r="AB318" s="62" t="str">
        <f>IF(AA318="","",IF(AA318="Avoir",p_pav,IF(AA318="Facture d'acompte",p_pac,p_pfa)))</f>
        <v/>
      </c>
      <c r="AC318" s="62">
        <f>IF(ISNUMBER(C318),C318,0)</f>
        <v>0.0</v>
      </c>
      <c r="AD318" s="62" t="str">
        <f>IF(OR(AA318="",AC318=0),"",YEAR(AC318))</f>
        <v/>
      </c>
      <c r="AE318" s="62" t="str">
        <f>IF(AD318="","",COUNTIFS($AB$6:AB318,AB318,$AD$6:AD318,AD318))</f>
        <v/>
      </c>
      <c r="AF318" s="62">
        <f>IF(A318="",0,COUNTIF(fl_doc,A318))</f>
        <v>0.0</v>
      </c>
      <c r="AG318" s="62" t="str">
        <f>IF(A318="","",IF(AF318&gt;0,"Facture",IF(AND(F318&lt;&gt;"",AA318="Facture",ISNUMBER(MATCH(F318,dv_num,0))),"Devis","")))</f>
        <v/>
      </c>
      <c r="AH318" s="62" t="str">
        <f>IF(AND(A318&lt;&gt;"",F318&lt;&gt;"",AA318&lt;&gt;"Avoir"),F318,"")</f>
        <v/>
      </c>
      <c r="AI318" s="62" t="str">
        <f>IF(AG318="Devis",F318,"")</f>
        <v/>
      </c>
      <c r="AJ318" s="62">
        <f>IF(AG318="Facture",SUMIF(fl_doc,A318,fl_ht),IF(AG318="Devis",SUMIF(dl_doc,F318,dl_ht),0))</f>
        <v>0.0</v>
      </c>
      <c r="AK318" s="62">
        <f>IF(OR(AG318="",INDEX(p_rates,1)=""),0,IF(AG318="Facture",SUMIFS(fl_ht,fl_doc,A318,fl_rate,INDEX(p_rates,1)),SUMIFS(dl_ht,dl_doc,F318,dl_rate,INDEX(p_rates,1))))</f>
        <v>0.0</v>
      </c>
      <c r="AL318" s="62">
        <f>IF(OR(AG318="",INDEX(p_rates,2)=""),0,IF(AG318="Facture",SUMIFS(fl_ht,fl_doc,A318,fl_rate,INDEX(p_rates,2)),SUMIFS(dl_ht,dl_doc,F318,dl_rate,INDEX(p_rates,2))))</f>
        <v>0.0</v>
      </c>
      <c r="AM318" s="62">
        <f>IF(OR(AG318="",INDEX(p_rates,3)=""),0,IF(AG318="Facture",SUMIFS(fl_ht,fl_doc,A318,fl_rate,INDEX(p_rates,3)),SUMIFS(dl_ht,dl_doc,F318,dl_rate,INDEX(p_rates,3))))</f>
        <v>0.0</v>
      </c>
      <c r="AN318" s="62">
        <f>IF(OR(AG318="",INDEX(p_rates,4)=""),0,IF(AG318="Facture",SUMIFS(fl_ht,fl_doc,A318,fl_rate,INDEX(p_rates,4)),SUMIFS(dl_ht,dl_doc,F318,dl_rate,INDEX(p_rates,4))))</f>
        <v>0.0</v>
      </c>
      <c r="AO318" s="62">
        <f>IF(OR(AG318="",INDEX(p_rates,5)=""),0,IF(AG318="Facture",SUMIFS(fl_ht,fl_doc,A318,fl_rate,INDEX(p_rates,5)),SUMIFS(dl_ht,dl_doc,F318,dl_rate,INDEX(p_rates,5))))</f>
        <v>0.0</v>
      </c>
      <c r="AP318" s="62">
        <f>IF(OR(AG318="",INDEX(p_rates,6)=""),0,IF(AG318="Facture",SUMIFS(fl_ht,fl_doc,A318,fl_rate,INDEX(p_rates,6)),SUMIFS(dl_ht,dl_doc,F318,dl_rate,INDEX(p_rates,6))))</f>
        <v>0.0</v>
      </c>
      <c r="AQ318" s="62">
        <f>ROUND(AK318*N(INDEX(p_rates,1)),2)+ROUND(AL318*N(INDEX(p_rates,2)),2)+ROUND(AM318*N(INDEX(p_rates,3)),2)+ROUND(AN318*N(INDEX(p_rates,4)),2)+ROUND(AO318*N(INDEX(p_rates,5)),2)+ROUND(AP318*N(INDEX(p_rates,6)),2)</f>
        <v>0.0</v>
      </c>
      <c r="AR318" s="62" t="str">
        <f>IF(OR(L318="",AA318&lt;&gt;"Facture"),"",IFERROR(IF(INDEX(fa_type,MATCH(L318,fa_num,0))="Facture d'acompte",MATCH(L318,fa_num,0),""),""))</f>
        <v/>
      </c>
      <c r="AS318" s="62" t="str">
        <f>IF(W318="","",IF(W318&lt;=0,"",IF(p_asof-P318&lt;=0,"Non échu",IF(p_asof-P318&lt;=30,"1-30 j",IF(p_asof-P318&lt;=60,"31-60 j",IF(p_asof-P318&lt;=90,"61-90 j","Plus de 90 j"))))))</f>
        <v/>
      </c>
      <c r="AT318" s="62" t="str">
        <f>IF(AS318="","",p_asof-P318)</f>
        <v/>
      </c>
      <c r="AU318" s="62" t="str">
        <f>IF(AT318="","",COUNTIF($AT$6:$AT$805,"&gt;"&amp;AT318)+COUNTIF($AT$6:AT318,AT318))</f>
        <v/>
      </c>
    </row>
    <row r="319">
      <c r="A319" s="59" t="str">
        <f>IF(AE319="","",AB319&amp;"-"&amp;AD319&amp;"-"&amp;RIGHT("000"&amp;AE319,4))</f>
        <v/>
      </c>
      <c r="B319" s="60" t="n"/>
      <c r="C319" s="61" t="n"/>
      <c r="D319" s="60" t="n"/>
      <c r="E319" s="62" t="str">
        <f>IF(D319="","",IFERROR(INDEX(cli_name,MATCH(D319,cli_code,0))&amp;"","Client inconnu"))</f>
        <v/>
      </c>
      <c r="F319" s="60" t="n"/>
      <c r="G319" s="63" t="n"/>
      <c r="H319" s="61" t="n"/>
      <c r="I319" s="63" t="n"/>
      <c r="J319" s="60" t="n"/>
      <c r="K319" s="61" t="n"/>
      <c r="L319" s="60" t="n"/>
      <c r="M319" s="60" t="n"/>
      <c r="N319" s="60" t="n"/>
      <c r="O319" s="61" t="n"/>
      <c r="P319" s="64" t="str">
        <f>IF(A319="","",IF(AA319="Avoir",AC319,IF(ISNUMBER(K319),K319,AC319+IF(D319="",N(p_delay),IFERROR(IF(ISNUMBER(INDEX(cli_delay,MATCH(D319,cli_code,0))),INDEX(cli_delay,MATCH(D319,cli_code,0)),N(p_delay)),N(p_delay))))))</f>
        <v/>
      </c>
      <c r="Q319" s="65" t="str">
        <f>IF(A319="","",IF(AA319="Avoir",-1,1)*ROUND(AJ319-IF(AR319="",0,INDEX(fa_htb,AR319)),2))</f>
        <v/>
      </c>
      <c r="R319" s="65" t="str">
        <f>IF(A319="","",IF(AA319="Avoir",-1,1)*ROUND(AQ319-IF(AR319="",0,INDEX(fa_tvab,AR319)),2))</f>
        <v/>
      </c>
      <c r="S319" s="65" t="str">
        <f>IF(A319="","",Q319+R319)</f>
        <v/>
      </c>
      <c r="T319" s="65" t="str">
        <f>IF(AR319="","",INDEX(fa_htb,AR319)+INDEX(fa_tvab,AR319))</f>
        <v/>
      </c>
      <c r="U319" s="65" t="str">
        <f>IF(A319="","",SUMIF(pa_inv,A319,pa_amt))</f>
        <v/>
      </c>
      <c r="V319" s="65" t="str">
        <f>IF(OR(A319="",AA319="Avoir"),"",-SUMIFS(fa_ttc,fa_avof,A319,fa_type,"Avoir"))</f>
        <v/>
      </c>
      <c r="W319" s="65" t="str">
        <f>IF(OR(A319="",AA319="Avoir"),"",ROUND(S319-U319-V319,2))</f>
        <v/>
      </c>
      <c r="X319" s="66" t="str">
        <f>IF(W319="","",IF(AND(W319&gt;0,p_asof&gt;P319),p_asof-P319,""))</f>
        <v/>
      </c>
      <c r="Y319" s="59" t="str">
        <f>IF(A319="","",IF(AA319="Avoir","Avoir",IF(W319&lt;0,"Trop-perçu",IF(W319=0,"Soldée",IF(p_asof&gt;P319,"En retard",IF(U319+V319&gt;0,"Partielle","À échoir"))))))</f>
        <v/>
      </c>
      <c r="Z319" s="59" t="str">
        <f>IF(NOT(COUNTA(B319:D319,F319:O319)&gt;0),"",IF(C319="","Date manquante",IF(NOT(ISNUMBER(C319)),"Date invalide",IF(D319="","Client manquant",IF(ISNA(MATCH(D319,cli_code,0)),"Client inconnu",IF(AC319&lt;SUMPRODUCT(MAX(($AB$6:AB318=AB319)*$AC$6:AC318)),"Date antérieure à la facture précédente",IF(AND(F319&lt;&gt;"",ISNA(MATCH(F319,dv_num,0))),"Devis inconnu",IF(AND(F319&lt;&gt;"",IFERROR(INDEX(dv_client,MATCH(F319,dv_num,0)),D319)&lt;&gt;D319),"Client différent de celui du devis",IF(AG319="","Aucune ligne : saisissez des lignes ou un devis",IF(AND(AI319&lt;&gt;"",COUNTIF($AI$6:AI319,AI319)&gt;1),"Devis déjà repris par une autre facture",IF(AND(AA319="Avoir",M319=""),"Avoir : indiquez la facture d'origine",IF(AND(AA319="Avoir",ISNA(MATCH(M319,fa_num,0))),"Facture d'origine inconnue",IF(AND(AA319&lt;&gt;"Avoir",M319&lt;&gt;""),"« Avoir sur facture » : réservé aux avoirs",IF(AND(L319&lt;&gt;"",AA319&lt;&gt;"Facture"),"Acompte à déduire : réservé aux factures",IF(AND(L319&lt;&gt;"",ISNA(MATCH(L319,fa_num,0))),"Facture d'acompte inconnue",IF(AND(L319&lt;&gt;"",IFERROR(INDEX(fa_type,MATCH(L319,fa_num,0)),"")&lt;&gt;"Facture d'acompte"),"Le n° à déduire n'est pas une facture d'acompte",IF(AND(L319&lt;&gt;"",COUNTIF($L$6:L319,L319)&gt;1),"Acompte déjà déduit sur une autre facture",IF(AND(L319&lt;&gt;"",IFERROR(INDEX(fa_client,MATCH(L319,fa_num,0)),D319)&lt;&gt;D319),"Acompte d'un autre client",IF(AND(AR319&lt;&gt;"",N(Q319)&lt;0),"Acompte supérieur au total de la facture",IF(IF(AG319="Facture",COUNTIFS(fl_doc,A319,fl_check,"&lt;&gt;OK"),IF(AG319="Devis",COUNTIFS(dl_doc,F319,dl_check,"&lt;&gt;OK"),0))&gt;0,"Ligne(s) à corriger",IF(AND(W319&lt;&gt;"",N(W319)&lt;0),"Trop-perçu : vérifiez paiements et avoirs","OK")))))))))))))))))))))</f>
        <v/>
      </c>
      <c r="AA319" s="62" t="str">
        <f>IF(COUNTA(B319:D319,F319:O319)&gt;0,IF(B319="","Facture",B319),"")</f>
        <v/>
      </c>
      <c r="AB319" s="62" t="str">
        <f>IF(AA319="","",IF(AA319="Avoir",p_pav,IF(AA319="Facture d'acompte",p_pac,p_pfa)))</f>
        <v/>
      </c>
      <c r="AC319" s="62">
        <f>IF(ISNUMBER(C319),C319,0)</f>
        <v>0.0</v>
      </c>
      <c r="AD319" s="62" t="str">
        <f>IF(OR(AA319="",AC319=0),"",YEAR(AC319))</f>
        <v/>
      </c>
      <c r="AE319" s="62" t="str">
        <f>IF(AD319="","",COUNTIFS($AB$6:AB319,AB319,$AD$6:AD319,AD319))</f>
        <v/>
      </c>
      <c r="AF319" s="62">
        <f>IF(A319="",0,COUNTIF(fl_doc,A319))</f>
        <v>0.0</v>
      </c>
      <c r="AG319" s="62" t="str">
        <f>IF(A319="","",IF(AF319&gt;0,"Facture",IF(AND(F319&lt;&gt;"",AA319="Facture",ISNUMBER(MATCH(F319,dv_num,0))),"Devis","")))</f>
        <v/>
      </c>
      <c r="AH319" s="62" t="str">
        <f>IF(AND(A319&lt;&gt;"",F319&lt;&gt;"",AA319&lt;&gt;"Avoir"),F319,"")</f>
        <v/>
      </c>
      <c r="AI319" s="62" t="str">
        <f>IF(AG319="Devis",F319,"")</f>
        <v/>
      </c>
      <c r="AJ319" s="62">
        <f>IF(AG319="Facture",SUMIF(fl_doc,A319,fl_ht),IF(AG319="Devis",SUMIF(dl_doc,F319,dl_ht),0))</f>
        <v>0.0</v>
      </c>
      <c r="AK319" s="62">
        <f>IF(OR(AG319="",INDEX(p_rates,1)=""),0,IF(AG319="Facture",SUMIFS(fl_ht,fl_doc,A319,fl_rate,INDEX(p_rates,1)),SUMIFS(dl_ht,dl_doc,F319,dl_rate,INDEX(p_rates,1))))</f>
        <v>0.0</v>
      </c>
      <c r="AL319" s="62">
        <f>IF(OR(AG319="",INDEX(p_rates,2)=""),0,IF(AG319="Facture",SUMIFS(fl_ht,fl_doc,A319,fl_rate,INDEX(p_rates,2)),SUMIFS(dl_ht,dl_doc,F319,dl_rate,INDEX(p_rates,2))))</f>
        <v>0.0</v>
      </c>
      <c r="AM319" s="62">
        <f>IF(OR(AG319="",INDEX(p_rates,3)=""),0,IF(AG319="Facture",SUMIFS(fl_ht,fl_doc,A319,fl_rate,INDEX(p_rates,3)),SUMIFS(dl_ht,dl_doc,F319,dl_rate,INDEX(p_rates,3))))</f>
        <v>0.0</v>
      </c>
      <c r="AN319" s="62">
        <f>IF(OR(AG319="",INDEX(p_rates,4)=""),0,IF(AG319="Facture",SUMIFS(fl_ht,fl_doc,A319,fl_rate,INDEX(p_rates,4)),SUMIFS(dl_ht,dl_doc,F319,dl_rate,INDEX(p_rates,4))))</f>
        <v>0.0</v>
      </c>
      <c r="AO319" s="62">
        <f>IF(OR(AG319="",INDEX(p_rates,5)=""),0,IF(AG319="Facture",SUMIFS(fl_ht,fl_doc,A319,fl_rate,INDEX(p_rates,5)),SUMIFS(dl_ht,dl_doc,F319,dl_rate,INDEX(p_rates,5))))</f>
        <v>0.0</v>
      </c>
      <c r="AP319" s="62">
        <f>IF(OR(AG319="",INDEX(p_rates,6)=""),0,IF(AG319="Facture",SUMIFS(fl_ht,fl_doc,A319,fl_rate,INDEX(p_rates,6)),SUMIFS(dl_ht,dl_doc,F319,dl_rate,INDEX(p_rates,6))))</f>
        <v>0.0</v>
      </c>
      <c r="AQ319" s="62">
        <f>ROUND(AK319*N(INDEX(p_rates,1)),2)+ROUND(AL319*N(INDEX(p_rates,2)),2)+ROUND(AM319*N(INDEX(p_rates,3)),2)+ROUND(AN319*N(INDEX(p_rates,4)),2)+ROUND(AO319*N(INDEX(p_rates,5)),2)+ROUND(AP319*N(INDEX(p_rates,6)),2)</f>
        <v>0.0</v>
      </c>
      <c r="AR319" s="62" t="str">
        <f>IF(OR(L319="",AA319&lt;&gt;"Facture"),"",IFERROR(IF(INDEX(fa_type,MATCH(L319,fa_num,0))="Facture d'acompte",MATCH(L319,fa_num,0),""),""))</f>
        <v/>
      </c>
      <c r="AS319" s="62" t="str">
        <f>IF(W319="","",IF(W319&lt;=0,"",IF(p_asof-P319&lt;=0,"Non échu",IF(p_asof-P319&lt;=30,"1-30 j",IF(p_asof-P319&lt;=60,"31-60 j",IF(p_asof-P319&lt;=90,"61-90 j","Plus de 90 j"))))))</f>
        <v/>
      </c>
      <c r="AT319" s="62" t="str">
        <f>IF(AS319="","",p_asof-P319)</f>
        <v/>
      </c>
      <c r="AU319" s="62" t="str">
        <f>IF(AT319="","",COUNTIF($AT$6:$AT$805,"&gt;"&amp;AT319)+COUNTIF($AT$6:AT319,AT319))</f>
        <v/>
      </c>
    </row>
    <row r="320">
      <c r="A320" s="59" t="str">
        <f>IF(AE320="","",AB320&amp;"-"&amp;AD320&amp;"-"&amp;RIGHT("000"&amp;AE320,4))</f>
        <v/>
      </c>
      <c r="B320" s="60" t="n"/>
      <c r="C320" s="61" t="n"/>
      <c r="D320" s="60" t="n"/>
      <c r="E320" s="62" t="str">
        <f>IF(D320="","",IFERROR(INDEX(cli_name,MATCH(D320,cli_code,0))&amp;"","Client inconnu"))</f>
        <v/>
      </c>
      <c r="F320" s="60" t="n"/>
      <c r="G320" s="63" t="n"/>
      <c r="H320" s="61" t="n"/>
      <c r="I320" s="63" t="n"/>
      <c r="J320" s="60" t="n"/>
      <c r="K320" s="61" t="n"/>
      <c r="L320" s="60" t="n"/>
      <c r="M320" s="60" t="n"/>
      <c r="N320" s="60" t="n"/>
      <c r="O320" s="61" t="n"/>
      <c r="P320" s="64" t="str">
        <f>IF(A320="","",IF(AA320="Avoir",AC320,IF(ISNUMBER(K320),K320,AC320+IF(D320="",N(p_delay),IFERROR(IF(ISNUMBER(INDEX(cli_delay,MATCH(D320,cli_code,0))),INDEX(cli_delay,MATCH(D320,cli_code,0)),N(p_delay)),N(p_delay))))))</f>
        <v/>
      </c>
      <c r="Q320" s="65" t="str">
        <f>IF(A320="","",IF(AA320="Avoir",-1,1)*ROUND(AJ320-IF(AR320="",0,INDEX(fa_htb,AR320)),2))</f>
        <v/>
      </c>
      <c r="R320" s="65" t="str">
        <f>IF(A320="","",IF(AA320="Avoir",-1,1)*ROUND(AQ320-IF(AR320="",0,INDEX(fa_tvab,AR320)),2))</f>
        <v/>
      </c>
      <c r="S320" s="65" t="str">
        <f>IF(A320="","",Q320+R320)</f>
        <v/>
      </c>
      <c r="T320" s="65" t="str">
        <f>IF(AR320="","",INDEX(fa_htb,AR320)+INDEX(fa_tvab,AR320))</f>
        <v/>
      </c>
      <c r="U320" s="65" t="str">
        <f>IF(A320="","",SUMIF(pa_inv,A320,pa_amt))</f>
        <v/>
      </c>
      <c r="V320" s="65" t="str">
        <f>IF(OR(A320="",AA320="Avoir"),"",-SUMIFS(fa_ttc,fa_avof,A320,fa_type,"Avoir"))</f>
        <v/>
      </c>
      <c r="W320" s="65" t="str">
        <f>IF(OR(A320="",AA320="Avoir"),"",ROUND(S320-U320-V320,2))</f>
        <v/>
      </c>
      <c r="X320" s="66" t="str">
        <f>IF(W320="","",IF(AND(W320&gt;0,p_asof&gt;P320),p_asof-P320,""))</f>
        <v/>
      </c>
      <c r="Y320" s="59" t="str">
        <f>IF(A320="","",IF(AA320="Avoir","Avoir",IF(W320&lt;0,"Trop-perçu",IF(W320=0,"Soldée",IF(p_asof&gt;P320,"En retard",IF(U320+V320&gt;0,"Partielle","À échoir"))))))</f>
        <v/>
      </c>
      <c r="Z320" s="59" t="str">
        <f>IF(NOT(COUNTA(B320:D320,F320:O320)&gt;0),"",IF(C320="","Date manquante",IF(NOT(ISNUMBER(C320)),"Date invalide",IF(D320="","Client manquant",IF(ISNA(MATCH(D320,cli_code,0)),"Client inconnu",IF(AC320&lt;SUMPRODUCT(MAX(($AB$6:AB319=AB320)*$AC$6:AC319)),"Date antérieure à la facture précédente",IF(AND(F320&lt;&gt;"",ISNA(MATCH(F320,dv_num,0))),"Devis inconnu",IF(AND(F320&lt;&gt;"",IFERROR(INDEX(dv_client,MATCH(F320,dv_num,0)),D320)&lt;&gt;D320),"Client différent de celui du devis",IF(AG320="","Aucune ligne : saisissez des lignes ou un devis",IF(AND(AI320&lt;&gt;"",COUNTIF($AI$6:AI320,AI320)&gt;1),"Devis déjà repris par une autre facture",IF(AND(AA320="Avoir",M320=""),"Avoir : indiquez la facture d'origine",IF(AND(AA320="Avoir",ISNA(MATCH(M320,fa_num,0))),"Facture d'origine inconnue",IF(AND(AA320&lt;&gt;"Avoir",M320&lt;&gt;""),"« Avoir sur facture » : réservé aux avoirs",IF(AND(L320&lt;&gt;"",AA320&lt;&gt;"Facture"),"Acompte à déduire : réservé aux factures",IF(AND(L320&lt;&gt;"",ISNA(MATCH(L320,fa_num,0))),"Facture d'acompte inconnue",IF(AND(L320&lt;&gt;"",IFERROR(INDEX(fa_type,MATCH(L320,fa_num,0)),"")&lt;&gt;"Facture d'acompte"),"Le n° à déduire n'est pas une facture d'acompte",IF(AND(L320&lt;&gt;"",COUNTIF($L$6:L320,L320)&gt;1),"Acompte déjà déduit sur une autre facture",IF(AND(L320&lt;&gt;"",IFERROR(INDEX(fa_client,MATCH(L320,fa_num,0)),D320)&lt;&gt;D320),"Acompte d'un autre client",IF(AND(AR320&lt;&gt;"",N(Q320)&lt;0),"Acompte supérieur au total de la facture",IF(IF(AG320="Facture",COUNTIFS(fl_doc,A320,fl_check,"&lt;&gt;OK"),IF(AG320="Devis",COUNTIFS(dl_doc,F320,dl_check,"&lt;&gt;OK"),0))&gt;0,"Ligne(s) à corriger",IF(AND(W320&lt;&gt;"",N(W320)&lt;0),"Trop-perçu : vérifiez paiements et avoirs","OK")))))))))))))))))))))</f>
        <v/>
      </c>
      <c r="AA320" s="62" t="str">
        <f>IF(COUNTA(B320:D320,F320:O320)&gt;0,IF(B320="","Facture",B320),"")</f>
        <v/>
      </c>
      <c r="AB320" s="62" t="str">
        <f>IF(AA320="","",IF(AA320="Avoir",p_pav,IF(AA320="Facture d'acompte",p_pac,p_pfa)))</f>
        <v/>
      </c>
      <c r="AC320" s="62">
        <f>IF(ISNUMBER(C320),C320,0)</f>
        <v>0.0</v>
      </c>
      <c r="AD320" s="62" t="str">
        <f>IF(OR(AA320="",AC320=0),"",YEAR(AC320))</f>
        <v/>
      </c>
      <c r="AE320" s="62" t="str">
        <f>IF(AD320="","",COUNTIFS($AB$6:AB320,AB320,$AD$6:AD320,AD320))</f>
        <v/>
      </c>
      <c r="AF320" s="62">
        <f>IF(A320="",0,COUNTIF(fl_doc,A320))</f>
        <v>0.0</v>
      </c>
      <c r="AG320" s="62" t="str">
        <f>IF(A320="","",IF(AF320&gt;0,"Facture",IF(AND(F320&lt;&gt;"",AA320="Facture",ISNUMBER(MATCH(F320,dv_num,0))),"Devis","")))</f>
        <v/>
      </c>
      <c r="AH320" s="62" t="str">
        <f>IF(AND(A320&lt;&gt;"",F320&lt;&gt;"",AA320&lt;&gt;"Avoir"),F320,"")</f>
        <v/>
      </c>
      <c r="AI320" s="62" t="str">
        <f>IF(AG320="Devis",F320,"")</f>
        <v/>
      </c>
      <c r="AJ320" s="62">
        <f>IF(AG320="Facture",SUMIF(fl_doc,A320,fl_ht),IF(AG320="Devis",SUMIF(dl_doc,F320,dl_ht),0))</f>
        <v>0.0</v>
      </c>
      <c r="AK320" s="62">
        <f>IF(OR(AG320="",INDEX(p_rates,1)=""),0,IF(AG320="Facture",SUMIFS(fl_ht,fl_doc,A320,fl_rate,INDEX(p_rates,1)),SUMIFS(dl_ht,dl_doc,F320,dl_rate,INDEX(p_rates,1))))</f>
        <v>0.0</v>
      </c>
      <c r="AL320" s="62">
        <f>IF(OR(AG320="",INDEX(p_rates,2)=""),0,IF(AG320="Facture",SUMIFS(fl_ht,fl_doc,A320,fl_rate,INDEX(p_rates,2)),SUMIFS(dl_ht,dl_doc,F320,dl_rate,INDEX(p_rates,2))))</f>
        <v>0.0</v>
      </c>
      <c r="AM320" s="62">
        <f>IF(OR(AG320="",INDEX(p_rates,3)=""),0,IF(AG320="Facture",SUMIFS(fl_ht,fl_doc,A320,fl_rate,INDEX(p_rates,3)),SUMIFS(dl_ht,dl_doc,F320,dl_rate,INDEX(p_rates,3))))</f>
        <v>0.0</v>
      </c>
      <c r="AN320" s="62">
        <f>IF(OR(AG320="",INDEX(p_rates,4)=""),0,IF(AG320="Facture",SUMIFS(fl_ht,fl_doc,A320,fl_rate,INDEX(p_rates,4)),SUMIFS(dl_ht,dl_doc,F320,dl_rate,INDEX(p_rates,4))))</f>
        <v>0.0</v>
      </c>
      <c r="AO320" s="62">
        <f>IF(OR(AG320="",INDEX(p_rates,5)=""),0,IF(AG320="Facture",SUMIFS(fl_ht,fl_doc,A320,fl_rate,INDEX(p_rates,5)),SUMIFS(dl_ht,dl_doc,F320,dl_rate,INDEX(p_rates,5))))</f>
        <v>0.0</v>
      </c>
      <c r="AP320" s="62">
        <f>IF(OR(AG320="",INDEX(p_rates,6)=""),0,IF(AG320="Facture",SUMIFS(fl_ht,fl_doc,A320,fl_rate,INDEX(p_rates,6)),SUMIFS(dl_ht,dl_doc,F320,dl_rate,INDEX(p_rates,6))))</f>
        <v>0.0</v>
      </c>
      <c r="AQ320" s="62">
        <f>ROUND(AK320*N(INDEX(p_rates,1)),2)+ROUND(AL320*N(INDEX(p_rates,2)),2)+ROUND(AM320*N(INDEX(p_rates,3)),2)+ROUND(AN320*N(INDEX(p_rates,4)),2)+ROUND(AO320*N(INDEX(p_rates,5)),2)+ROUND(AP320*N(INDEX(p_rates,6)),2)</f>
        <v>0.0</v>
      </c>
      <c r="AR320" s="62" t="str">
        <f>IF(OR(L320="",AA320&lt;&gt;"Facture"),"",IFERROR(IF(INDEX(fa_type,MATCH(L320,fa_num,0))="Facture d'acompte",MATCH(L320,fa_num,0),""),""))</f>
        <v/>
      </c>
      <c r="AS320" s="62" t="str">
        <f>IF(W320="","",IF(W320&lt;=0,"",IF(p_asof-P320&lt;=0,"Non échu",IF(p_asof-P320&lt;=30,"1-30 j",IF(p_asof-P320&lt;=60,"31-60 j",IF(p_asof-P320&lt;=90,"61-90 j","Plus de 90 j"))))))</f>
        <v/>
      </c>
      <c r="AT320" s="62" t="str">
        <f>IF(AS320="","",p_asof-P320)</f>
        <v/>
      </c>
      <c r="AU320" s="62" t="str">
        <f>IF(AT320="","",COUNTIF($AT$6:$AT$805,"&gt;"&amp;AT320)+COUNTIF($AT$6:AT320,AT320))</f>
        <v/>
      </c>
    </row>
    <row r="321">
      <c r="A321" s="59" t="str">
        <f>IF(AE321="","",AB321&amp;"-"&amp;AD321&amp;"-"&amp;RIGHT("000"&amp;AE321,4))</f>
        <v/>
      </c>
      <c r="B321" s="60" t="n"/>
      <c r="C321" s="61" t="n"/>
      <c r="D321" s="60" t="n"/>
      <c r="E321" s="62" t="str">
        <f>IF(D321="","",IFERROR(INDEX(cli_name,MATCH(D321,cli_code,0))&amp;"","Client inconnu"))</f>
        <v/>
      </c>
      <c r="F321" s="60" t="n"/>
      <c r="G321" s="63" t="n"/>
      <c r="H321" s="61" t="n"/>
      <c r="I321" s="63" t="n"/>
      <c r="J321" s="60" t="n"/>
      <c r="K321" s="61" t="n"/>
      <c r="L321" s="60" t="n"/>
      <c r="M321" s="60" t="n"/>
      <c r="N321" s="60" t="n"/>
      <c r="O321" s="61" t="n"/>
      <c r="P321" s="64" t="str">
        <f>IF(A321="","",IF(AA321="Avoir",AC321,IF(ISNUMBER(K321),K321,AC321+IF(D321="",N(p_delay),IFERROR(IF(ISNUMBER(INDEX(cli_delay,MATCH(D321,cli_code,0))),INDEX(cli_delay,MATCH(D321,cli_code,0)),N(p_delay)),N(p_delay))))))</f>
        <v/>
      </c>
      <c r="Q321" s="65" t="str">
        <f>IF(A321="","",IF(AA321="Avoir",-1,1)*ROUND(AJ321-IF(AR321="",0,INDEX(fa_htb,AR321)),2))</f>
        <v/>
      </c>
      <c r="R321" s="65" t="str">
        <f>IF(A321="","",IF(AA321="Avoir",-1,1)*ROUND(AQ321-IF(AR321="",0,INDEX(fa_tvab,AR321)),2))</f>
        <v/>
      </c>
      <c r="S321" s="65" t="str">
        <f>IF(A321="","",Q321+R321)</f>
        <v/>
      </c>
      <c r="T321" s="65" t="str">
        <f>IF(AR321="","",INDEX(fa_htb,AR321)+INDEX(fa_tvab,AR321))</f>
        <v/>
      </c>
      <c r="U321" s="65" t="str">
        <f>IF(A321="","",SUMIF(pa_inv,A321,pa_amt))</f>
        <v/>
      </c>
      <c r="V321" s="65" t="str">
        <f>IF(OR(A321="",AA321="Avoir"),"",-SUMIFS(fa_ttc,fa_avof,A321,fa_type,"Avoir"))</f>
        <v/>
      </c>
      <c r="W321" s="65" t="str">
        <f>IF(OR(A321="",AA321="Avoir"),"",ROUND(S321-U321-V321,2))</f>
        <v/>
      </c>
      <c r="X321" s="66" t="str">
        <f>IF(W321="","",IF(AND(W321&gt;0,p_asof&gt;P321),p_asof-P321,""))</f>
        <v/>
      </c>
      <c r="Y321" s="59" t="str">
        <f>IF(A321="","",IF(AA321="Avoir","Avoir",IF(W321&lt;0,"Trop-perçu",IF(W321=0,"Soldée",IF(p_asof&gt;P321,"En retard",IF(U321+V321&gt;0,"Partielle","À échoir"))))))</f>
        <v/>
      </c>
      <c r="Z321" s="59" t="str">
        <f>IF(NOT(COUNTA(B321:D321,F321:O321)&gt;0),"",IF(C321="","Date manquante",IF(NOT(ISNUMBER(C321)),"Date invalide",IF(D321="","Client manquant",IF(ISNA(MATCH(D321,cli_code,0)),"Client inconnu",IF(AC321&lt;SUMPRODUCT(MAX(($AB$6:AB320=AB321)*$AC$6:AC320)),"Date antérieure à la facture précédente",IF(AND(F321&lt;&gt;"",ISNA(MATCH(F321,dv_num,0))),"Devis inconnu",IF(AND(F321&lt;&gt;"",IFERROR(INDEX(dv_client,MATCH(F321,dv_num,0)),D321)&lt;&gt;D321),"Client différent de celui du devis",IF(AG321="","Aucune ligne : saisissez des lignes ou un devis",IF(AND(AI321&lt;&gt;"",COUNTIF($AI$6:AI321,AI321)&gt;1),"Devis déjà repris par une autre facture",IF(AND(AA321="Avoir",M321=""),"Avoir : indiquez la facture d'origine",IF(AND(AA321="Avoir",ISNA(MATCH(M321,fa_num,0))),"Facture d'origine inconnue",IF(AND(AA321&lt;&gt;"Avoir",M321&lt;&gt;""),"« Avoir sur facture » : réservé aux avoirs",IF(AND(L321&lt;&gt;"",AA321&lt;&gt;"Facture"),"Acompte à déduire : réservé aux factures",IF(AND(L321&lt;&gt;"",ISNA(MATCH(L321,fa_num,0))),"Facture d'acompte inconnue",IF(AND(L321&lt;&gt;"",IFERROR(INDEX(fa_type,MATCH(L321,fa_num,0)),"")&lt;&gt;"Facture d'acompte"),"Le n° à déduire n'est pas une facture d'acompte",IF(AND(L321&lt;&gt;"",COUNTIF($L$6:L321,L321)&gt;1),"Acompte déjà déduit sur une autre facture",IF(AND(L321&lt;&gt;"",IFERROR(INDEX(fa_client,MATCH(L321,fa_num,0)),D321)&lt;&gt;D321),"Acompte d'un autre client",IF(AND(AR321&lt;&gt;"",N(Q321)&lt;0),"Acompte supérieur au total de la facture",IF(IF(AG321="Facture",COUNTIFS(fl_doc,A321,fl_check,"&lt;&gt;OK"),IF(AG321="Devis",COUNTIFS(dl_doc,F321,dl_check,"&lt;&gt;OK"),0))&gt;0,"Ligne(s) à corriger",IF(AND(W321&lt;&gt;"",N(W321)&lt;0),"Trop-perçu : vérifiez paiements et avoirs","OK")))))))))))))))))))))</f>
        <v/>
      </c>
      <c r="AA321" s="62" t="str">
        <f>IF(COUNTA(B321:D321,F321:O321)&gt;0,IF(B321="","Facture",B321),"")</f>
        <v/>
      </c>
      <c r="AB321" s="62" t="str">
        <f>IF(AA321="","",IF(AA321="Avoir",p_pav,IF(AA321="Facture d'acompte",p_pac,p_pfa)))</f>
        <v/>
      </c>
      <c r="AC321" s="62">
        <f>IF(ISNUMBER(C321),C321,0)</f>
        <v>0.0</v>
      </c>
      <c r="AD321" s="62" t="str">
        <f>IF(OR(AA321="",AC321=0),"",YEAR(AC321))</f>
        <v/>
      </c>
      <c r="AE321" s="62" t="str">
        <f>IF(AD321="","",COUNTIFS($AB$6:AB321,AB321,$AD$6:AD321,AD321))</f>
        <v/>
      </c>
      <c r="AF321" s="62">
        <f>IF(A321="",0,COUNTIF(fl_doc,A321))</f>
        <v>0.0</v>
      </c>
      <c r="AG321" s="62" t="str">
        <f>IF(A321="","",IF(AF321&gt;0,"Facture",IF(AND(F321&lt;&gt;"",AA321="Facture",ISNUMBER(MATCH(F321,dv_num,0))),"Devis","")))</f>
        <v/>
      </c>
      <c r="AH321" s="62" t="str">
        <f>IF(AND(A321&lt;&gt;"",F321&lt;&gt;"",AA321&lt;&gt;"Avoir"),F321,"")</f>
        <v/>
      </c>
      <c r="AI321" s="62" t="str">
        <f>IF(AG321="Devis",F321,"")</f>
        <v/>
      </c>
      <c r="AJ321" s="62">
        <f>IF(AG321="Facture",SUMIF(fl_doc,A321,fl_ht),IF(AG321="Devis",SUMIF(dl_doc,F321,dl_ht),0))</f>
        <v>0.0</v>
      </c>
      <c r="AK321" s="62">
        <f>IF(OR(AG321="",INDEX(p_rates,1)=""),0,IF(AG321="Facture",SUMIFS(fl_ht,fl_doc,A321,fl_rate,INDEX(p_rates,1)),SUMIFS(dl_ht,dl_doc,F321,dl_rate,INDEX(p_rates,1))))</f>
        <v>0.0</v>
      </c>
      <c r="AL321" s="62">
        <f>IF(OR(AG321="",INDEX(p_rates,2)=""),0,IF(AG321="Facture",SUMIFS(fl_ht,fl_doc,A321,fl_rate,INDEX(p_rates,2)),SUMIFS(dl_ht,dl_doc,F321,dl_rate,INDEX(p_rates,2))))</f>
        <v>0.0</v>
      </c>
      <c r="AM321" s="62">
        <f>IF(OR(AG321="",INDEX(p_rates,3)=""),0,IF(AG321="Facture",SUMIFS(fl_ht,fl_doc,A321,fl_rate,INDEX(p_rates,3)),SUMIFS(dl_ht,dl_doc,F321,dl_rate,INDEX(p_rates,3))))</f>
        <v>0.0</v>
      </c>
      <c r="AN321" s="62">
        <f>IF(OR(AG321="",INDEX(p_rates,4)=""),0,IF(AG321="Facture",SUMIFS(fl_ht,fl_doc,A321,fl_rate,INDEX(p_rates,4)),SUMIFS(dl_ht,dl_doc,F321,dl_rate,INDEX(p_rates,4))))</f>
        <v>0.0</v>
      </c>
      <c r="AO321" s="62">
        <f>IF(OR(AG321="",INDEX(p_rates,5)=""),0,IF(AG321="Facture",SUMIFS(fl_ht,fl_doc,A321,fl_rate,INDEX(p_rates,5)),SUMIFS(dl_ht,dl_doc,F321,dl_rate,INDEX(p_rates,5))))</f>
        <v>0.0</v>
      </c>
      <c r="AP321" s="62">
        <f>IF(OR(AG321="",INDEX(p_rates,6)=""),0,IF(AG321="Facture",SUMIFS(fl_ht,fl_doc,A321,fl_rate,INDEX(p_rates,6)),SUMIFS(dl_ht,dl_doc,F321,dl_rate,INDEX(p_rates,6))))</f>
        <v>0.0</v>
      </c>
      <c r="AQ321" s="62">
        <f>ROUND(AK321*N(INDEX(p_rates,1)),2)+ROUND(AL321*N(INDEX(p_rates,2)),2)+ROUND(AM321*N(INDEX(p_rates,3)),2)+ROUND(AN321*N(INDEX(p_rates,4)),2)+ROUND(AO321*N(INDEX(p_rates,5)),2)+ROUND(AP321*N(INDEX(p_rates,6)),2)</f>
        <v>0.0</v>
      </c>
      <c r="AR321" s="62" t="str">
        <f>IF(OR(L321="",AA321&lt;&gt;"Facture"),"",IFERROR(IF(INDEX(fa_type,MATCH(L321,fa_num,0))="Facture d'acompte",MATCH(L321,fa_num,0),""),""))</f>
        <v/>
      </c>
      <c r="AS321" s="62" t="str">
        <f>IF(W321="","",IF(W321&lt;=0,"",IF(p_asof-P321&lt;=0,"Non échu",IF(p_asof-P321&lt;=30,"1-30 j",IF(p_asof-P321&lt;=60,"31-60 j",IF(p_asof-P321&lt;=90,"61-90 j","Plus de 90 j"))))))</f>
        <v/>
      </c>
      <c r="AT321" s="62" t="str">
        <f>IF(AS321="","",p_asof-P321)</f>
        <v/>
      </c>
      <c r="AU321" s="62" t="str">
        <f>IF(AT321="","",COUNTIF($AT$6:$AT$805,"&gt;"&amp;AT321)+COUNTIF($AT$6:AT321,AT321))</f>
        <v/>
      </c>
    </row>
    <row r="322">
      <c r="A322" s="59" t="str">
        <f>IF(AE322="","",AB322&amp;"-"&amp;AD322&amp;"-"&amp;RIGHT("000"&amp;AE322,4))</f>
        <v/>
      </c>
      <c r="B322" s="60" t="n"/>
      <c r="C322" s="61" t="n"/>
      <c r="D322" s="60" t="n"/>
      <c r="E322" s="62" t="str">
        <f>IF(D322="","",IFERROR(INDEX(cli_name,MATCH(D322,cli_code,0))&amp;"","Client inconnu"))</f>
        <v/>
      </c>
      <c r="F322" s="60" t="n"/>
      <c r="G322" s="63" t="n"/>
      <c r="H322" s="61" t="n"/>
      <c r="I322" s="63" t="n"/>
      <c r="J322" s="60" t="n"/>
      <c r="K322" s="61" t="n"/>
      <c r="L322" s="60" t="n"/>
      <c r="M322" s="60" t="n"/>
      <c r="N322" s="60" t="n"/>
      <c r="O322" s="61" t="n"/>
      <c r="P322" s="64" t="str">
        <f>IF(A322="","",IF(AA322="Avoir",AC322,IF(ISNUMBER(K322),K322,AC322+IF(D322="",N(p_delay),IFERROR(IF(ISNUMBER(INDEX(cli_delay,MATCH(D322,cli_code,0))),INDEX(cli_delay,MATCH(D322,cli_code,0)),N(p_delay)),N(p_delay))))))</f>
        <v/>
      </c>
      <c r="Q322" s="65" t="str">
        <f>IF(A322="","",IF(AA322="Avoir",-1,1)*ROUND(AJ322-IF(AR322="",0,INDEX(fa_htb,AR322)),2))</f>
        <v/>
      </c>
      <c r="R322" s="65" t="str">
        <f>IF(A322="","",IF(AA322="Avoir",-1,1)*ROUND(AQ322-IF(AR322="",0,INDEX(fa_tvab,AR322)),2))</f>
        <v/>
      </c>
      <c r="S322" s="65" t="str">
        <f>IF(A322="","",Q322+R322)</f>
        <v/>
      </c>
      <c r="T322" s="65" t="str">
        <f>IF(AR322="","",INDEX(fa_htb,AR322)+INDEX(fa_tvab,AR322))</f>
        <v/>
      </c>
      <c r="U322" s="65" t="str">
        <f>IF(A322="","",SUMIF(pa_inv,A322,pa_amt))</f>
        <v/>
      </c>
      <c r="V322" s="65" t="str">
        <f>IF(OR(A322="",AA322="Avoir"),"",-SUMIFS(fa_ttc,fa_avof,A322,fa_type,"Avoir"))</f>
        <v/>
      </c>
      <c r="W322" s="65" t="str">
        <f>IF(OR(A322="",AA322="Avoir"),"",ROUND(S322-U322-V322,2))</f>
        <v/>
      </c>
      <c r="X322" s="66" t="str">
        <f>IF(W322="","",IF(AND(W322&gt;0,p_asof&gt;P322),p_asof-P322,""))</f>
        <v/>
      </c>
      <c r="Y322" s="59" t="str">
        <f>IF(A322="","",IF(AA322="Avoir","Avoir",IF(W322&lt;0,"Trop-perçu",IF(W322=0,"Soldée",IF(p_asof&gt;P322,"En retard",IF(U322+V322&gt;0,"Partielle","À échoir"))))))</f>
        <v/>
      </c>
      <c r="Z322" s="59" t="str">
        <f>IF(NOT(COUNTA(B322:D322,F322:O322)&gt;0),"",IF(C322="","Date manquante",IF(NOT(ISNUMBER(C322)),"Date invalide",IF(D322="","Client manquant",IF(ISNA(MATCH(D322,cli_code,0)),"Client inconnu",IF(AC322&lt;SUMPRODUCT(MAX(($AB$6:AB321=AB322)*$AC$6:AC321)),"Date antérieure à la facture précédente",IF(AND(F322&lt;&gt;"",ISNA(MATCH(F322,dv_num,0))),"Devis inconnu",IF(AND(F322&lt;&gt;"",IFERROR(INDEX(dv_client,MATCH(F322,dv_num,0)),D322)&lt;&gt;D322),"Client différent de celui du devis",IF(AG322="","Aucune ligne : saisissez des lignes ou un devis",IF(AND(AI322&lt;&gt;"",COUNTIF($AI$6:AI322,AI322)&gt;1),"Devis déjà repris par une autre facture",IF(AND(AA322="Avoir",M322=""),"Avoir : indiquez la facture d'origine",IF(AND(AA322="Avoir",ISNA(MATCH(M322,fa_num,0))),"Facture d'origine inconnue",IF(AND(AA322&lt;&gt;"Avoir",M322&lt;&gt;""),"« Avoir sur facture » : réservé aux avoirs",IF(AND(L322&lt;&gt;"",AA322&lt;&gt;"Facture"),"Acompte à déduire : réservé aux factures",IF(AND(L322&lt;&gt;"",ISNA(MATCH(L322,fa_num,0))),"Facture d'acompte inconnue",IF(AND(L322&lt;&gt;"",IFERROR(INDEX(fa_type,MATCH(L322,fa_num,0)),"")&lt;&gt;"Facture d'acompte"),"Le n° à déduire n'est pas une facture d'acompte",IF(AND(L322&lt;&gt;"",COUNTIF($L$6:L322,L322)&gt;1),"Acompte déjà déduit sur une autre facture",IF(AND(L322&lt;&gt;"",IFERROR(INDEX(fa_client,MATCH(L322,fa_num,0)),D322)&lt;&gt;D322),"Acompte d'un autre client",IF(AND(AR322&lt;&gt;"",N(Q322)&lt;0),"Acompte supérieur au total de la facture",IF(IF(AG322="Facture",COUNTIFS(fl_doc,A322,fl_check,"&lt;&gt;OK"),IF(AG322="Devis",COUNTIFS(dl_doc,F322,dl_check,"&lt;&gt;OK"),0))&gt;0,"Ligne(s) à corriger",IF(AND(W322&lt;&gt;"",N(W322)&lt;0),"Trop-perçu : vérifiez paiements et avoirs","OK")))))))))))))))))))))</f>
        <v/>
      </c>
      <c r="AA322" s="62" t="str">
        <f>IF(COUNTA(B322:D322,F322:O322)&gt;0,IF(B322="","Facture",B322),"")</f>
        <v/>
      </c>
      <c r="AB322" s="62" t="str">
        <f>IF(AA322="","",IF(AA322="Avoir",p_pav,IF(AA322="Facture d'acompte",p_pac,p_pfa)))</f>
        <v/>
      </c>
      <c r="AC322" s="62">
        <f>IF(ISNUMBER(C322),C322,0)</f>
        <v>0.0</v>
      </c>
      <c r="AD322" s="62" t="str">
        <f>IF(OR(AA322="",AC322=0),"",YEAR(AC322))</f>
        <v/>
      </c>
      <c r="AE322" s="62" t="str">
        <f>IF(AD322="","",COUNTIFS($AB$6:AB322,AB322,$AD$6:AD322,AD322))</f>
        <v/>
      </c>
      <c r="AF322" s="62">
        <f>IF(A322="",0,COUNTIF(fl_doc,A322))</f>
        <v>0.0</v>
      </c>
      <c r="AG322" s="62" t="str">
        <f>IF(A322="","",IF(AF322&gt;0,"Facture",IF(AND(F322&lt;&gt;"",AA322="Facture",ISNUMBER(MATCH(F322,dv_num,0))),"Devis","")))</f>
        <v/>
      </c>
      <c r="AH322" s="62" t="str">
        <f>IF(AND(A322&lt;&gt;"",F322&lt;&gt;"",AA322&lt;&gt;"Avoir"),F322,"")</f>
        <v/>
      </c>
      <c r="AI322" s="62" t="str">
        <f>IF(AG322="Devis",F322,"")</f>
        <v/>
      </c>
      <c r="AJ322" s="62">
        <f>IF(AG322="Facture",SUMIF(fl_doc,A322,fl_ht),IF(AG322="Devis",SUMIF(dl_doc,F322,dl_ht),0))</f>
        <v>0.0</v>
      </c>
      <c r="AK322" s="62">
        <f>IF(OR(AG322="",INDEX(p_rates,1)=""),0,IF(AG322="Facture",SUMIFS(fl_ht,fl_doc,A322,fl_rate,INDEX(p_rates,1)),SUMIFS(dl_ht,dl_doc,F322,dl_rate,INDEX(p_rates,1))))</f>
        <v>0.0</v>
      </c>
      <c r="AL322" s="62">
        <f>IF(OR(AG322="",INDEX(p_rates,2)=""),0,IF(AG322="Facture",SUMIFS(fl_ht,fl_doc,A322,fl_rate,INDEX(p_rates,2)),SUMIFS(dl_ht,dl_doc,F322,dl_rate,INDEX(p_rates,2))))</f>
        <v>0.0</v>
      </c>
      <c r="AM322" s="62">
        <f>IF(OR(AG322="",INDEX(p_rates,3)=""),0,IF(AG322="Facture",SUMIFS(fl_ht,fl_doc,A322,fl_rate,INDEX(p_rates,3)),SUMIFS(dl_ht,dl_doc,F322,dl_rate,INDEX(p_rates,3))))</f>
        <v>0.0</v>
      </c>
      <c r="AN322" s="62">
        <f>IF(OR(AG322="",INDEX(p_rates,4)=""),0,IF(AG322="Facture",SUMIFS(fl_ht,fl_doc,A322,fl_rate,INDEX(p_rates,4)),SUMIFS(dl_ht,dl_doc,F322,dl_rate,INDEX(p_rates,4))))</f>
        <v>0.0</v>
      </c>
      <c r="AO322" s="62">
        <f>IF(OR(AG322="",INDEX(p_rates,5)=""),0,IF(AG322="Facture",SUMIFS(fl_ht,fl_doc,A322,fl_rate,INDEX(p_rates,5)),SUMIFS(dl_ht,dl_doc,F322,dl_rate,INDEX(p_rates,5))))</f>
        <v>0.0</v>
      </c>
      <c r="AP322" s="62">
        <f>IF(OR(AG322="",INDEX(p_rates,6)=""),0,IF(AG322="Facture",SUMIFS(fl_ht,fl_doc,A322,fl_rate,INDEX(p_rates,6)),SUMIFS(dl_ht,dl_doc,F322,dl_rate,INDEX(p_rates,6))))</f>
        <v>0.0</v>
      </c>
      <c r="AQ322" s="62">
        <f>ROUND(AK322*N(INDEX(p_rates,1)),2)+ROUND(AL322*N(INDEX(p_rates,2)),2)+ROUND(AM322*N(INDEX(p_rates,3)),2)+ROUND(AN322*N(INDEX(p_rates,4)),2)+ROUND(AO322*N(INDEX(p_rates,5)),2)+ROUND(AP322*N(INDEX(p_rates,6)),2)</f>
        <v>0.0</v>
      </c>
      <c r="AR322" s="62" t="str">
        <f>IF(OR(L322="",AA322&lt;&gt;"Facture"),"",IFERROR(IF(INDEX(fa_type,MATCH(L322,fa_num,0))="Facture d'acompte",MATCH(L322,fa_num,0),""),""))</f>
        <v/>
      </c>
      <c r="AS322" s="62" t="str">
        <f>IF(W322="","",IF(W322&lt;=0,"",IF(p_asof-P322&lt;=0,"Non échu",IF(p_asof-P322&lt;=30,"1-30 j",IF(p_asof-P322&lt;=60,"31-60 j",IF(p_asof-P322&lt;=90,"61-90 j","Plus de 90 j"))))))</f>
        <v/>
      </c>
      <c r="AT322" s="62" t="str">
        <f>IF(AS322="","",p_asof-P322)</f>
        <v/>
      </c>
      <c r="AU322" s="62" t="str">
        <f>IF(AT322="","",COUNTIF($AT$6:$AT$805,"&gt;"&amp;AT322)+COUNTIF($AT$6:AT322,AT322))</f>
        <v/>
      </c>
    </row>
    <row r="323">
      <c r="A323" s="59" t="str">
        <f>IF(AE323="","",AB323&amp;"-"&amp;AD323&amp;"-"&amp;RIGHT("000"&amp;AE323,4))</f>
        <v/>
      </c>
      <c r="B323" s="60" t="n"/>
      <c r="C323" s="61" t="n"/>
      <c r="D323" s="60" t="n"/>
      <c r="E323" s="62" t="str">
        <f>IF(D323="","",IFERROR(INDEX(cli_name,MATCH(D323,cli_code,0))&amp;"","Client inconnu"))</f>
        <v/>
      </c>
      <c r="F323" s="60" t="n"/>
      <c r="G323" s="63" t="n"/>
      <c r="H323" s="61" t="n"/>
      <c r="I323" s="63" t="n"/>
      <c r="J323" s="60" t="n"/>
      <c r="K323" s="61" t="n"/>
      <c r="L323" s="60" t="n"/>
      <c r="M323" s="60" t="n"/>
      <c r="N323" s="60" t="n"/>
      <c r="O323" s="61" t="n"/>
      <c r="P323" s="64" t="str">
        <f>IF(A323="","",IF(AA323="Avoir",AC323,IF(ISNUMBER(K323),K323,AC323+IF(D323="",N(p_delay),IFERROR(IF(ISNUMBER(INDEX(cli_delay,MATCH(D323,cli_code,0))),INDEX(cli_delay,MATCH(D323,cli_code,0)),N(p_delay)),N(p_delay))))))</f>
        <v/>
      </c>
      <c r="Q323" s="65" t="str">
        <f>IF(A323="","",IF(AA323="Avoir",-1,1)*ROUND(AJ323-IF(AR323="",0,INDEX(fa_htb,AR323)),2))</f>
        <v/>
      </c>
      <c r="R323" s="65" t="str">
        <f>IF(A323="","",IF(AA323="Avoir",-1,1)*ROUND(AQ323-IF(AR323="",0,INDEX(fa_tvab,AR323)),2))</f>
        <v/>
      </c>
      <c r="S323" s="65" t="str">
        <f>IF(A323="","",Q323+R323)</f>
        <v/>
      </c>
      <c r="T323" s="65" t="str">
        <f>IF(AR323="","",INDEX(fa_htb,AR323)+INDEX(fa_tvab,AR323))</f>
        <v/>
      </c>
      <c r="U323" s="65" t="str">
        <f>IF(A323="","",SUMIF(pa_inv,A323,pa_amt))</f>
        <v/>
      </c>
      <c r="V323" s="65" t="str">
        <f>IF(OR(A323="",AA323="Avoir"),"",-SUMIFS(fa_ttc,fa_avof,A323,fa_type,"Avoir"))</f>
        <v/>
      </c>
      <c r="W323" s="65" t="str">
        <f>IF(OR(A323="",AA323="Avoir"),"",ROUND(S323-U323-V323,2))</f>
        <v/>
      </c>
      <c r="X323" s="66" t="str">
        <f>IF(W323="","",IF(AND(W323&gt;0,p_asof&gt;P323),p_asof-P323,""))</f>
        <v/>
      </c>
      <c r="Y323" s="59" t="str">
        <f>IF(A323="","",IF(AA323="Avoir","Avoir",IF(W323&lt;0,"Trop-perçu",IF(W323=0,"Soldée",IF(p_asof&gt;P323,"En retard",IF(U323+V323&gt;0,"Partielle","À échoir"))))))</f>
        <v/>
      </c>
      <c r="Z323" s="59" t="str">
        <f>IF(NOT(COUNTA(B323:D323,F323:O323)&gt;0),"",IF(C323="","Date manquante",IF(NOT(ISNUMBER(C323)),"Date invalide",IF(D323="","Client manquant",IF(ISNA(MATCH(D323,cli_code,0)),"Client inconnu",IF(AC323&lt;SUMPRODUCT(MAX(($AB$6:AB322=AB323)*$AC$6:AC322)),"Date antérieure à la facture précédente",IF(AND(F323&lt;&gt;"",ISNA(MATCH(F323,dv_num,0))),"Devis inconnu",IF(AND(F323&lt;&gt;"",IFERROR(INDEX(dv_client,MATCH(F323,dv_num,0)),D323)&lt;&gt;D323),"Client différent de celui du devis",IF(AG323="","Aucune ligne : saisissez des lignes ou un devis",IF(AND(AI323&lt;&gt;"",COUNTIF($AI$6:AI323,AI323)&gt;1),"Devis déjà repris par une autre facture",IF(AND(AA323="Avoir",M323=""),"Avoir : indiquez la facture d'origine",IF(AND(AA323="Avoir",ISNA(MATCH(M323,fa_num,0))),"Facture d'origine inconnue",IF(AND(AA323&lt;&gt;"Avoir",M323&lt;&gt;""),"« Avoir sur facture » : réservé aux avoirs",IF(AND(L323&lt;&gt;"",AA323&lt;&gt;"Facture"),"Acompte à déduire : réservé aux factures",IF(AND(L323&lt;&gt;"",ISNA(MATCH(L323,fa_num,0))),"Facture d'acompte inconnue",IF(AND(L323&lt;&gt;"",IFERROR(INDEX(fa_type,MATCH(L323,fa_num,0)),"")&lt;&gt;"Facture d'acompte"),"Le n° à déduire n'est pas une facture d'acompte",IF(AND(L323&lt;&gt;"",COUNTIF($L$6:L323,L323)&gt;1),"Acompte déjà déduit sur une autre facture",IF(AND(L323&lt;&gt;"",IFERROR(INDEX(fa_client,MATCH(L323,fa_num,0)),D323)&lt;&gt;D323),"Acompte d'un autre client",IF(AND(AR323&lt;&gt;"",N(Q323)&lt;0),"Acompte supérieur au total de la facture",IF(IF(AG323="Facture",COUNTIFS(fl_doc,A323,fl_check,"&lt;&gt;OK"),IF(AG323="Devis",COUNTIFS(dl_doc,F323,dl_check,"&lt;&gt;OK"),0))&gt;0,"Ligne(s) à corriger",IF(AND(W323&lt;&gt;"",N(W323)&lt;0),"Trop-perçu : vérifiez paiements et avoirs","OK")))))))))))))))))))))</f>
        <v/>
      </c>
      <c r="AA323" s="62" t="str">
        <f>IF(COUNTA(B323:D323,F323:O323)&gt;0,IF(B323="","Facture",B323),"")</f>
        <v/>
      </c>
      <c r="AB323" s="62" t="str">
        <f>IF(AA323="","",IF(AA323="Avoir",p_pav,IF(AA323="Facture d'acompte",p_pac,p_pfa)))</f>
        <v/>
      </c>
      <c r="AC323" s="62">
        <f>IF(ISNUMBER(C323),C323,0)</f>
        <v>0.0</v>
      </c>
      <c r="AD323" s="62" t="str">
        <f>IF(OR(AA323="",AC323=0),"",YEAR(AC323))</f>
        <v/>
      </c>
      <c r="AE323" s="62" t="str">
        <f>IF(AD323="","",COUNTIFS($AB$6:AB323,AB323,$AD$6:AD323,AD323))</f>
        <v/>
      </c>
      <c r="AF323" s="62">
        <f>IF(A323="",0,COUNTIF(fl_doc,A323))</f>
        <v>0.0</v>
      </c>
      <c r="AG323" s="62" t="str">
        <f>IF(A323="","",IF(AF323&gt;0,"Facture",IF(AND(F323&lt;&gt;"",AA323="Facture",ISNUMBER(MATCH(F323,dv_num,0))),"Devis","")))</f>
        <v/>
      </c>
      <c r="AH323" s="62" t="str">
        <f>IF(AND(A323&lt;&gt;"",F323&lt;&gt;"",AA323&lt;&gt;"Avoir"),F323,"")</f>
        <v/>
      </c>
      <c r="AI323" s="62" t="str">
        <f>IF(AG323="Devis",F323,"")</f>
        <v/>
      </c>
      <c r="AJ323" s="62">
        <f>IF(AG323="Facture",SUMIF(fl_doc,A323,fl_ht),IF(AG323="Devis",SUMIF(dl_doc,F323,dl_ht),0))</f>
        <v>0.0</v>
      </c>
      <c r="AK323" s="62">
        <f>IF(OR(AG323="",INDEX(p_rates,1)=""),0,IF(AG323="Facture",SUMIFS(fl_ht,fl_doc,A323,fl_rate,INDEX(p_rates,1)),SUMIFS(dl_ht,dl_doc,F323,dl_rate,INDEX(p_rates,1))))</f>
        <v>0.0</v>
      </c>
      <c r="AL323" s="62">
        <f>IF(OR(AG323="",INDEX(p_rates,2)=""),0,IF(AG323="Facture",SUMIFS(fl_ht,fl_doc,A323,fl_rate,INDEX(p_rates,2)),SUMIFS(dl_ht,dl_doc,F323,dl_rate,INDEX(p_rates,2))))</f>
        <v>0.0</v>
      </c>
      <c r="AM323" s="62">
        <f>IF(OR(AG323="",INDEX(p_rates,3)=""),0,IF(AG323="Facture",SUMIFS(fl_ht,fl_doc,A323,fl_rate,INDEX(p_rates,3)),SUMIFS(dl_ht,dl_doc,F323,dl_rate,INDEX(p_rates,3))))</f>
        <v>0.0</v>
      </c>
      <c r="AN323" s="62">
        <f>IF(OR(AG323="",INDEX(p_rates,4)=""),0,IF(AG323="Facture",SUMIFS(fl_ht,fl_doc,A323,fl_rate,INDEX(p_rates,4)),SUMIFS(dl_ht,dl_doc,F323,dl_rate,INDEX(p_rates,4))))</f>
        <v>0.0</v>
      </c>
      <c r="AO323" s="62">
        <f>IF(OR(AG323="",INDEX(p_rates,5)=""),0,IF(AG323="Facture",SUMIFS(fl_ht,fl_doc,A323,fl_rate,INDEX(p_rates,5)),SUMIFS(dl_ht,dl_doc,F323,dl_rate,INDEX(p_rates,5))))</f>
        <v>0.0</v>
      </c>
      <c r="AP323" s="62">
        <f>IF(OR(AG323="",INDEX(p_rates,6)=""),0,IF(AG323="Facture",SUMIFS(fl_ht,fl_doc,A323,fl_rate,INDEX(p_rates,6)),SUMIFS(dl_ht,dl_doc,F323,dl_rate,INDEX(p_rates,6))))</f>
        <v>0.0</v>
      </c>
      <c r="AQ323" s="62">
        <f>ROUND(AK323*N(INDEX(p_rates,1)),2)+ROUND(AL323*N(INDEX(p_rates,2)),2)+ROUND(AM323*N(INDEX(p_rates,3)),2)+ROUND(AN323*N(INDEX(p_rates,4)),2)+ROUND(AO323*N(INDEX(p_rates,5)),2)+ROUND(AP323*N(INDEX(p_rates,6)),2)</f>
        <v>0.0</v>
      </c>
      <c r="AR323" s="62" t="str">
        <f>IF(OR(L323="",AA323&lt;&gt;"Facture"),"",IFERROR(IF(INDEX(fa_type,MATCH(L323,fa_num,0))="Facture d'acompte",MATCH(L323,fa_num,0),""),""))</f>
        <v/>
      </c>
      <c r="AS323" s="62" t="str">
        <f>IF(W323="","",IF(W323&lt;=0,"",IF(p_asof-P323&lt;=0,"Non échu",IF(p_asof-P323&lt;=30,"1-30 j",IF(p_asof-P323&lt;=60,"31-60 j",IF(p_asof-P323&lt;=90,"61-90 j","Plus de 90 j"))))))</f>
        <v/>
      </c>
      <c r="AT323" s="62" t="str">
        <f>IF(AS323="","",p_asof-P323)</f>
        <v/>
      </c>
      <c r="AU323" s="62" t="str">
        <f>IF(AT323="","",COUNTIF($AT$6:$AT$805,"&gt;"&amp;AT323)+COUNTIF($AT$6:AT323,AT323))</f>
        <v/>
      </c>
    </row>
    <row r="324">
      <c r="A324" s="59" t="str">
        <f>IF(AE324="","",AB324&amp;"-"&amp;AD324&amp;"-"&amp;RIGHT("000"&amp;AE324,4))</f>
        <v/>
      </c>
      <c r="B324" s="60" t="n"/>
      <c r="C324" s="61" t="n"/>
      <c r="D324" s="60" t="n"/>
      <c r="E324" s="62" t="str">
        <f>IF(D324="","",IFERROR(INDEX(cli_name,MATCH(D324,cli_code,0))&amp;"","Client inconnu"))</f>
        <v/>
      </c>
      <c r="F324" s="60" t="n"/>
      <c r="G324" s="63" t="n"/>
      <c r="H324" s="61" t="n"/>
      <c r="I324" s="63" t="n"/>
      <c r="J324" s="60" t="n"/>
      <c r="K324" s="61" t="n"/>
      <c r="L324" s="60" t="n"/>
      <c r="M324" s="60" t="n"/>
      <c r="N324" s="60" t="n"/>
      <c r="O324" s="61" t="n"/>
      <c r="P324" s="64" t="str">
        <f>IF(A324="","",IF(AA324="Avoir",AC324,IF(ISNUMBER(K324),K324,AC324+IF(D324="",N(p_delay),IFERROR(IF(ISNUMBER(INDEX(cli_delay,MATCH(D324,cli_code,0))),INDEX(cli_delay,MATCH(D324,cli_code,0)),N(p_delay)),N(p_delay))))))</f>
        <v/>
      </c>
      <c r="Q324" s="65" t="str">
        <f>IF(A324="","",IF(AA324="Avoir",-1,1)*ROUND(AJ324-IF(AR324="",0,INDEX(fa_htb,AR324)),2))</f>
        <v/>
      </c>
      <c r="R324" s="65" t="str">
        <f>IF(A324="","",IF(AA324="Avoir",-1,1)*ROUND(AQ324-IF(AR324="",0,INDEX(fa_tvab,AR324)),2))</f>
        <v/>
      </c>
      <c r="S324" s="65" t="str">
        <f>IF(A324="","",Q324+R324)</f>
        <v/>
      </c>
      <c r="T324" s="65" t="str">
        <f>IF(AR324="","",INDEX(fa_htb,AR324)+INDEX(fa_tvab,AR324))</f>
        <v/>
      </c>
      <c r="U324" s="65" t="str">
        <f>IF(A324="","",SUMIF(pa_inv,A324,pa_amt))</f>
        <v/>
      </c>
      <c r="V324" s="65" t="str">
        <f>IF(OR(A324="",AA324="Avoir"),"",-SUMIFS(fa_ttc,fa_avof,A324,fa_type,"Avoir"))</f>
        <v/>
      </c>
      <c r="W324" s="65" t="str">
        <f>IF(OR(A324="",AA324="Avoir"),"",ROUND(S324-U324-V324,2))</f>
        <v/>
      </c>
      <c r="X324" s="66" t="str">
        <f>IF(W324="","",IF(AND(W324&gt;0,p_asof&gt;P324),p_asof-P324,""))</f>
        <v/>
      </c>
      <c r="Y324" s="59" t="str">
        <f>IF(A324="","",IF(AA324="Avoir","Avoir",IF(W324&lt;0,"Trop-perçu",IF(W324=0,"Soldée",IF(p_asof&gt;P324,"En retard",IF(U324+V324&gt;0,"Partielle","À échoir"))))))</f>
        <v/>
      </c>
      <c r="Z324" s="59" t="str">
        <f>IF(NOT(COUNTA(B324:D324,F324:O324)&gt;0),"",IF(C324="","Date manquante",IF(NOT(ISNUMBER(C324)),"Date invalide",IF(D324="","Client manquant",IF(ISNA(MATCH(D324,cli_code,0)),"Client inconnu",IF(AC324&lt;SUMPRODUCT(MAX(($AB$6:AB323=AB324)*$AC$6:AC323)),"Date antérieure à la facture précédente",IF(AND(F324&lt;&gt;"",ISNA(MATCH(F324,dv_num,0))),"Devis inconnu",IF(AND(F324&lt;&gt;"",IFERROR(INDEX(dv_client,MATCH(F324,dv_num,0)),D324)&lt;&gt;D324),"Client différent de celui du devis",IF(AG324="","Aucune ligne : saisissez des lignes ou un devis",IF(AND(AI324&lt;&gt;"",COUNTIF($AI$6:AI324,AI324)&gt;1),"Devis déjà repris par une autre facture",IF(AND(AA324="Avoir",M324=""),"Avoir : indiquez la facture d'origine",IF(AND(AA324="Avoir",ISNA(MATCH(M324,fa_num,0))),"Facture d'origine inconnue",IF(AND(AA324&lt;&gt;"Avoir",M324&lt;&gt;""),"« Avoir sur facture » : réservé aux avoirs",IF(AND(L324&lt;&gt;"",AA324&lt;&gt;"Facture"),"Acompte à déduire : réservé aux factures",IF(AND(L324&lt;&gt;"",ISNA(MATCH(L324,fa_num,0))),"Facture d'acompte inconnue",IF(AND(L324&lt;&gt;"",IFERROR(INDEX(fa_type,MATCH(L324,fa_num,0)),"")&lt;&gt;"Facture d'acompte"),"Le n° à déduire n'est pas une facture d'acompte",IF(AND(L324&lt;&gt;"",COUNTIF($L$6:L324,L324)&gt;1),"Acompte déjà déduit sur une autre facture",IF(AND(L324&lt;&gt;"",IFERROR(INDEX(fa_client,MATCH(L324,fa_num,0)),D324)&lt;&gt;D324),"Acompte d'un autre client",IF(AND(AR324&lt;&gt;"",N(Q324)&lt;0),"Acompte supérieur au total de la facture",IF(IF(AG324="Facture",COUNTIFS(fl_doc,A324,fl_check,"&lt;&gt;OK"),IF(AG324="Devis",COUNTIFS(dl_doc,F324,dl_check,"&lt;&gt;OK"),0))&gt;0,"Ligne(s) à corriger",IF(AND(W324&lt;&gt;"",N(W324)&lt;0),"Trop-perçu : vérifiez paiements et avoirs","OK")))))))))))))))))))))</f>
        <v/>
      </c>
      <c r="AA324" s="62" t="str">
        <f>IF(COUNTA(B324:D324,F324:O324)&gt;0,IF(B324="","Facture",B324),"")</f>
        <v/>
      </c>
      <c r="AB324" s="62" t="str">
        <f>IF(AA324="","",IF(AA324="Avoir",p_pav,IF(AA324="Facture d'acompte",p_pac,p_pfa)))</f>
        <v/>
      </c>
      <c r="AC324" s="62">
        <f>IF(ISNUMBER(C324),C324,0)</f>
        <v>0.0</v>
      </c>
      <c r="AD324" s="62" t="str">
        <f>IF(OR(AA324="",AC324=0),"",YEAR(AC324))</f>
        <v/>
      </c>
      <c r="AE324" s="62" t="str">
        <f>IF(AD324="","",COUNTIFS($AB$6:AB324,AB324,$AD$6:AD324,AD324))</f>
        <v/>
      </c>
      <c r="AF324" s="62">
        <f>IF(A324="",0,COUNTIF(fl_doc,A324))</f>
        <v>0.0</v>
      </c>
      <c r="AG324" s="62" t="str">
        <f>IF(A324="","",IF(AF324&gt;0,"Facture",IF(AND(F324&lt;&gt;"",AA324="Facture",ISNUMBER(MATCH(F324,dv_num,0))),"Devis","")))</f>
        <v/>
      </c>
      <c r="AH324" s="62" t="str">
        <f>IF(AND(A324&lt;&gt;"",F324&lt;&gt;"",AA324&lt;&gt;"Avoir"),F324,"")</f>
        <v/>
      </c>
      <c r="AI324" s="62" t="str">
        <f>IF(AG324="Devis",F324,"")</f>
        <v/>
      </c>
      <c r="AJ324" s="62">
        <f>IF(AG324="Facture",SUMIF(fl_doc,A324,fl_ht),IF(AG324="Devis",SUMIF(dl_doc,F324,dl_ht),0))</f>
        <v>0.0</v>
      </c>
      <c r="AK324" s="62">
        <f>IF(OR(AG324="",INDEX(p_rates,1)=""),0,IF(AG324="Facture",SUMIFS(fl_ht,fl_doc,A324,fl_rate,INDEX(p_rates,1)),SUMIFS(dl_ht,dl_doc,F324,dl_rate,INDEX(p_rates,1))))</f>
        <v>0.0</v>
      </c>
      <c r="AL324" s="62">
        <f>IF(OR(AG324="",INDEX(p_rates,2)=""),0,IF(AG324="Facture",SUMIFS(fl_ht,fl_doc,A324,fl_rate,INDEX(p_rates,2)),SUMIFS(dl_ht,dl_doc,F324,dl_rate,INDEX(p_rates,2))))</f>
        <v>0.0</v>
      </c>
      <c r="AM324" s="62">
        <f>IF(OR(AG324="",INDEX(p_rates,3)=""),0,IF(AG324="Facture",SUMIFS(fl_ht,fl_doc,A324,fl_rate,INDEX(p_rates,3)),SUMIFS(dl_ht,dl_doc,F324,dl_rate,INDEX(p_rates,3))))</f>
        <v>0.0</v>
      </c>
      <c r="AN324" s="62">
        <f>IF(OR(AG324="",INDEX(p_rates,4)=""),0,IF(AG324="Facture",SUMIFS(fl_ht,fl_doc,A324,fl_rate,INDEX(p_rates,4)),SUMIFS(dl_ht,dl_doc,F324,dl_rate,INDEX(p_rates,4))))</f>
        <v>0.0</v>
      </c>
      <c r="AO324" s="62">
        <f>IF(OR(AG324="",INDEX(p_rates,5)=""),0,IF(AG324="Facture",SUMIFS(fl_ht,fl_doc,A324,fl_rate,INDEX(p_rates,5)),SUMIFS(dl_ht,dl_doc,F324,dl_rate,INDEX(p_rates,5))))</f>
        <v>0.0</v>
      </c>
      <c r="AP324" s="62">
        <f>IF(OR(AG324="",INDEX(p_rates,6)=""),0,IF(AG324="Facture",SUMIFS(fl_ht,fl_doc,A324,fl_rate,INDEX(p_rates,6)),SUMIFS(dl_ht,dl_doc,F324,dl_rate,INDEX(p_rates,6))))</f>
        <v>0.0</v>
      </c>
      <c r="AQ324" s="62">
        <f>ROUND(AK324*N(INDEX(p_rates,1)),2)+ROUND(AL324*N(INDEX(p_rates,2)),2)+ROUND(AM324*N(INDEX(p_rates,3)),2)+ROUND(AN324*N(INDEX(p_rates,4)),2)+ROUND(AO324*N(INDEX(p_rates,5)),2)+ROUND(AP324*N(INDEX(p_rates,6)),2)</f>
        <v>0.0</v>
      </c>
      <c r="AR324" s="62" t="str">
        <f>IF(OR(L324="",AA324&lt;&gt;"Facture"),"",IFERROR(IF(INDEX(fa_type,MATCH(L324,fa_num,0))="Facture d'acompte",MATCH(L324,fa_num,0),""),""))</f>
        <v/>
      </c>
      <c r="AS324" s="62" t="str">
        <f>IF(W324="","",IF(W324&lt;=0,"",IF(p_asof-P324&lt;=0,"Non échu",IF(p_asof-P324&lt;=30,"1-30 j",IF(p_asof-P324&lt;=60,"31-60 j",IF(p_asof-P324&lt;=90,"61-90 j","Plus de 90 j"))))))</f>
        <v/>
      </c>
      <c r="AT324" s="62" t="str">
        <f>IF(AS324="","",p_asof-P324)</f>
        <v/>
      </c>
      <c r="AU324" s="62" t="str">
        <f>IF(AT324="","",COUNTIF($AT$6:$AT$805,"&gt;"&amp;AT324)+COUNTIF($AT$6:AT324,AT324))</f>
        <v/>
      </c>
    </row>
    <row r="325">
      <c r="A325" s="59" t="str">
        <f>IF(AE325="","",AB325&amp;"-"&amp;AD325&amp;"-"&amp;RIGHT("000"&amp;AE325,4))</f>
        <v/>
      </c>
      <c r="B325" s="60" t="n"/>
      <c r="C325" s="61" t="n"/>
      <c r="D325" s="60" t="n"/>
      <c r="E325" s="62" t="str">
        <f>IF(D325="","",IFERROR(INDEX(cli_name,MATCH(D325,cli_code,0))&amp;"","Client inconnu"))</f>
        <v/>
      </c>
      <c r="F325" s="60" t="n"/>
      <c r="G325" s="63" t="n"/>
      <c r="H325" s="61" t="n"/>
      <c r="I325" s="63" t="n"/>
      <c r="J325" s="60" t="n"/>
      <c r="K325" s="61" t="n"/>
      <c r="L325" s="60" t="n"/>
      <c r="M325" s="60" t="n"/>
      <c r="N325" s="60" t="n"/>
      <c r="O325" s="61" t="n"/>
      <c r="P325" s="64" t="str">
        <f>IF(A325="","",IF(AA325="Avoir",AC325,IF(ISNUMBER(K325),K325,AC325+IF(D325="",N(p_delay),IFERROR(IF(ISNUMBER(INDEX(cli_delay,MATCH(D325,cli_code,0))),INDEX(cli_delay,MATCH(D325,cli_code,0)),N(p_delay)),N(p_delay))))))</f>
        <v/>
      </c>
      <c r="Q325" s="65" t="str">
        <f>IF(A325="","",IF(AA325="Avoir",-1,1)*ROUND(AJ325-IF(AR325="",0,INDEX(fa_htb,AR325)),2))</f>
        <v/>
      </c>
      <c r="R325" s="65" t="str">
        <f>IF(A325="","",IF(AA325="Avoir",-1,1)*ROUND(AQ325-IF(AR325="",0,INDEX(fa_tvab,AR325)),2))</f>
        <v/>
      </c>
      <c r="S325" s="65" t="str">
        <f>IF(A325="","",Q325+R325)</f>
        <v/>
      </c>
      <c r="T325" s="65" t="str">
        <f>IF(AR325="","",INDEX(fa_htb,AR325)+INDEX(fa_tvab,AR325))</f>
        <v/>
      </c>
      <c r="U325" s="65" t="str">
        <f>IF(A325="","",SUMIF(pa_inv,A325,pa_amt))</f>
        <v/>
      </c>
      <c r="V325" s="65" t="str">
        <f>IF(OR(A325="",AA325="Avoir"),"",-SUMIFS(fa_ttc,fa_avof,A325,fa_type,"Avoir"))</f>
        <v/>
      </c>
      <c r="W325" s="65" t="str">
        <f>IF(OR(A325="",AA325="Avoir"),"",ROUND(S325-U325-V325,2))</f>
        <v/>
      </c>
      <c r="X325" s="66" t="str">
        <f>IF(W325="","",IF(AND(W325&gt;0,p_asof&gt;P325),p_asof-P325,""))</f>
        <v/>
      </c>
      <c r="Y325" s="59" t="str">
        <f>IF(A325="","",IF(AA325="Avoir","Avoir",IF(W325&lt;0,"Trop-perçu",IF(W325=0,"Soldée",IF(p_asof&gt;P325,"En retard",IF(U325+V325&gt;0,"Partielle","À échoir"))))))</f>
        <v/>
      </c>
      <c r="Z325" s="59" t="str">
        <f>IF(NOT(COUNTA(B325:D325,F325:O325)&gt;0),"",IF(C325="","Date manquante",IF(NOT(ISNUMBER(C325)),"Date invalide",IF(D325="","Client manquant",IF(ISNA(MATCH(D325,cli_code,0)),"Client inconnu",IF(AC325&lt;SUMPRODUCT(MAX(($AB$6:AB324=AB325)*$AC$6:AC324)),"Date antérieure à la facture précédente",IF(AND(F325&lt;&gt;"",ISNA(MATCH(F325,dv_num,0))),"Devis inconnu",IF(AND(F325&lt;&gt;"",IFERROR(INDEX(dv_client,MATCH(F325,dv_num,0)),D325)&lt;&gt;D325),"Client différent de celui du devis",IF(AG325="","Aucune ligne : saisissez des lignes ou un devis",IF(AND(AI325&lt;&gt;"",COUNTIF($AI$6:AI325,AI325)&gt;1),"Devis déjà repris par une autre facture",IF(AND(AA325="Avoir",M325=""),"Avoir : indiquez la facture d'origine",IF(AND(AA325="Avoir",ISNA(MATCH(M325,fa_num,0))),"Facture d'origine inconnue",IF(AND(AA325&lt;&gt;"Avoir",M325&lt;&gt;""),"« Avoir sur facture » : réservé aux avoirs",IF(AND(L325&lt;&gt;"",AA325&lt;&gt;"Facture"),"Acompte à déduire : réservé aux factures",IF(AND(L325&lt;&gt;"",ISNA(MATCH(L325,fa_num,0))),"Facture d'acompte inconnue",IF(AND(L325&lt;&gt;"",IFERROR(INDEX(fa_type,MATCH(L325,fa_num,0)),"")&lt;&gt;"Facture d'acompte"),"Le n° à déduire n'est pas une facture d'acompte",IF(AND(L325&lt;&gt;"",COUNTIF($L$6:L325,L325)&gt;1),"Acompte déjà déduit sur une autre facture",IF(AND(L325&lt;&gt;"",IFERROR(INDEX(fa_client,MATCH(L325,fa_num,0)),D325)&lt;&gt;D325),"Acompte d'un autre client",IF(AND(AR325&lt;&gt;"",N(Q325)&lt;0),"Acompte supérieur au total de la facture",IF(IF(AG325="Facture",COUNTIFS(fl_doc,A325,fl_check,"&lt;&gt;OK"),IF(AG325="Devis",COUNTIFS(dl_doc,F325,dl_check,"&lt;&gt;OK"),0))&gt;0,"Ligne(s) à corriger",IF(AND(W325&lt;&gt;"",N(W325)&lt;0),"Trop-perçu : vérifiez paiements et avoirs","OK")))))))))))))))))))))</f>
        <v/>
      </c>
      <c r="AA325" s="62" t="str">
        <f>IF(COUNTA(B325:D325,F325:O325)&gt;0,IF(B325="","Facture",B325),"")</f>
        <v/>
      </c>
      <c r="AB325" s="62" t="str">
        <f>IF(AA325="","",IF(AA325="Avoir",p_pav,IF(AA325="Facture d'acompte",p_pac,p_pfa)))</f>
        <v/>
      </c>
      <c r="AC325" s="62">
        <f>IF(ISNUMBER(C325),C325,0)</f>
        <v>0.0</v>
      </c>
      <c r="AD325" s="62" t="str">
        <f>IF(OR(AA325="",AC325=0),"",YEAR(AC325))</f>
        <v/>
      </c>
      <c r="AE325" s="62" t="str">
        <f>IF(AD325="","",COUNTIFS($AB$6:AB325,AB325,$AD$6:AD325,AD325))</f>
        <v/>
      </c>
      <c r="AF325" s="62">
        <f>IF(A325="",0,COUNTIF(fl_doc,A325))</f>
        <v>0.0</v>
      </c>
      <c r="AG325" s="62" t="str">
        <f>IF(A325="","",IF(AF325&gt;0,"Facture",IF(AND(F325&lt;&gt;"",AA325="Facture",ISNUMBER(MATCH(F325,dv_num,0))),"Devis","")))</f>
        <v/>
      </c>
      <c r="AH325" s="62" t="str">
        <f>IF(AND(A325&lt;&gt;"",F325&lt;&gt;"",AA325&lt;&gt;"Avoir"),F325,"")</f>
        <v/>
      </c>
      <c r="AI325" s="62" t="str">
        <f>IF(AG325="Devis",F325,"")</f>
        <v/>
      </c>
      <c r="AJ325" s="62">
        <f>IF(AG325="Facture",SUMIF(fl_doc,A325,fl_ht),IF(AG325="Devis",SUMIF(dl_doc,F325,dl_ht),0))</f>
        <v>0.0</v>
      </c>
      <c r="AK325" s="62">
        <f>IF(OR(AG325="",INDEX(p_rates,1)=""),0,IF(AG325="Facture",SUMIFS(fl_ht,fl_doc,A325,fl_rate,INDEX(p_rates,1)),SUMIFS(dl_ht,dl_doc,F325,dl_rate,INDEX(p_rates,1))))</f>
        <v>0.0</v>
      </c>
      <c r="AL325" s="62">
        <f>IF(OR(AG325="",INDEX(p_rates,2)=""),0,IF(AG325="Facture",SUMIFS(fl_ht,fl_doc,A325,fl_rate,INDEX(p_rates,2)),SUMIFS(dl_ht,dl_doc,F325,dl_rate,INDEX(p_rates,2))))</f>
        <v>0.0</v>
      </c>
      <c r="AM325" s="62">
        <f>IF(OR(AG325="",INDEX(p_rates,3)=""),0,IF(AG325="Facture",SUMIFS(fl_ht,fl_doc,A325,fl_rate,INDEX(p_rates,3)),SUMIFS(dl_ht,dl_doc,F325,dl_rate,INDEX(p_rates,3))))</f>
        <v>0.0</v>
      </c>
      <c r="AN325" s="62">
        <f>IF(OR(AG325="",INDEX(p_rates,4)=""),0,IF(AG325="Facture",SUMIFS(fl_ht,fl_doc,A325,fl_rate,INDEX(p_rates,4)),SUMIFS(dl_ht,dl_doc,F325,dl_rate,INDEX(p_rates,4))))</f>
        <v>0.0</v>
      </c>
      <c r="AO325" s="62">
        <f>IF(OR(AG325="",INDEX(p_rates,5)=""),0,IF(AG325="Facture",SUMIFS(fl_ht,fl_doc,A325,fl_rate,INDEX(p_rates,5)),SUMIFS(dl_ht,dl_doc,F325,dl_rate,INDEX(p_rates,5))))</f>
        <v>0.0</v>
      </c>
      <c r="AP325" s="62">
        <f>IF(OR(AG325="",INDEX(p_rates,6)=""),0,IF(AG325="Facture",SUMIFS(fl_ht,fl_doc,A325,fl_rate,INDEX(p_rates,6)),SUMIFS(dl_ht,dl_doc,F325,dl_rate,INDEX(p_rates,6))))</f>
        <v>0.0</v>
      </c>
      <c r="AQ325" s="62">
        <f>ROUND(AK325*N(INDEX(p_rates,1)),2)+ROUND(AL325*N(INDEX(p_rates,2)),2)+ROUND(AM325*N(INDEX(p_rates,3)),2)+ROUND(AN325*N(INDEX(p_rates,4)),2)+ROUND(AO325*N(INDEX(p_rates,5)),2)+ROUND(AP325*N(INDEX(p_rates,6)),2)</f>
        <v>0.0</v>
      </c>
      <c r="AR325" s="62" t="str">
        <f>IF(OR(L325="",AA325&lt;&gt;"Facture"),"",IFERROR(IF(INDEX(fa_type,MATCH(L325,fa_num,0))="Facture d'acompte",MATCH(L325,fa_num,0),""),""))</f>
        <v/>
      </c>
      <c r="AS325" s="62" t="str">
        <f>IF(W325="","",IF(W325&lt;=0,"",IF(p_asof-P325&lt;=0,"Non échu",IF(p_asof-P325&lt;=30,"1-30 j",IF(p_asof-P325&lt;=60,"31-60 j",IF(p_asof-P325&lt;=90,"61-90 j","Plus de 90 j"))))))</f>
        <v/>
      </c>
      <c r="AT325" s="62" t="str">
        <f>IF(AS325="","",p_asof-P325)</f>
        <v/>
      </c>
      <c r="AU325" s="62" t="str">
        <f>IF(AT325="","",COUNTIF($AT$6:$AT$805,"&gt;"&amp;AT325)+COUNTIF($AT$6:AT325,AT325))</f>
        <v/>
      </c>
    </row>
    <row r="326">
      <c r="A326" s="59" t="str">
        <f>IF(AE326="","",AB326&amp;"-"&amp;AD326&amp;"-"&amp;RIGHT("000"&amp;AE326,4))</f>
        <v/>
      </c>
      <c r="B326" s="60" t="n"/>
      <c r="C326" s="61" t="n"/>
      <c r="D326" s="60" t="n"/>
      <c r="E326" s="62" t="str">
        <f>IF(D326="","",IFERROR(INDEX(cli_name,MATCH(D326,cli_code,0))&amp;"","Client inconnu"))</f>
        <v/>
      </c>
      <c r="F326" s="60" t="n"/>
      <c r="G326" s="63" t="n"/>
      <c r="H326" s="61" t="n"/>
      <c r="I326" s="63" t="n"/>
      <c r="J326" s="60" t="n"/>
      <c r="K326" s="61" t="n"/>
      <c r="L326" s="60" t="n"/>
      <c r="M326" s="60" t="n"/>
      <c r="N326" s="60" t="n"/>
      <c r="O326" s="61" t="n"/>
      <c r="P326" s="64" t="str">
        <f>IF(A326="","",IF(AA326="Avoir",AC326,IF(ISNUMBER(K326),K326,AC326+IF(D326="",N(p_delay),IFERROR(IF(ISNUMBER(INDEX(cli_delay,MATCH(D326,cli_code,0))),INDEX(cli_delay,MATCH(D326,cli_code,0)),N(p_delay)),N(p_delay))))))</f>
        <v/>
      </c>
      <c r="Q326" s="65" t="str">
        <f>IF(A326="","",IF(AA326="Avoir",-1,1)*ROUND(AJ326-IF(AR326="",0,INDEX(fa_htb,AR326)),2))</f>
        <v/>
      </c>
      <c r="R326" s="65" t="str">
        <f>IF(A326="","",IF(AA326="Avoir",-1,1)*ROUND(AQ326-IF(AR326="",0,INDEX(fa_tvab,AR326)),2))</f>
        <v/>
      </c>
      <c r="S326" s="65" t="str">
        <f>IF(A326="","",Q326+R326)</f>
        <v/>
      </c>
      <c r="T326" s="65" t="str">
        <f>IF(AR326="","",INDEX(fa_htb,AR326)+INDEX(fa_tvab,AR326))</f>
        <v/>
      </c>
      <c r="U326" s="65" t="str">
        <f>IF(A326="","",SUMIF(pa_inv,A326,pa_amt))</f>
        <v/>
      </c>
      <c r="V326" s="65" t="str">
        <f>IF(OR(A326="",AA326="Avoir"),"",-SUMIFS(fa_ttc,fa_avof,A326,fa_type,"Avoir"))</f>
        <v/>
      </c>
      <c r="W326" s="65" t="str">
        <f>IF(OR(A326="",AA326="Avoir"),"",ROUND(S326-U326-V326,2))</f>
        <v/>
      </c>
      <c r="X326" s="66" t="str">
        <f>IF(W326="","",IF(AND(W326&gt;0,p_asof&gt;P326),p_asof-P326,""))</f>
        <v/>
      </c>
      <c r="Y326" s="59" t="str">
        <f>IF(A326="","",IF(AA326="Avoir","Avoir",IF(W326&lt;0,"Trop-perçu",IF(W326=0,"Soldée",IF(p_asof&gt;P326,"En retard",IF(U326+V326&gt;0,"Partielle","À échoir"))))))</f>
        <v/>
      </c>
      <c r="Z326" s="59" t="str">
        <f>IF(NOT(COUNTA(B326:D326,F326:O326)&gt;0),"",IF(C326="","Date manquante",IF(NOT(ISNUMBER(C326)),"Date invalide",IF(D326="","Client manquant",IF(ISNA(MATCH(D326,cli_code,0)),"Client inconnu",IF(AC326&lt;SUMPRODUCT(MAX(($AB$6:AB325=AB326)*$AC$6:AC325)),"Date antérieure à la facture précédente",IF(AND(F326&lt;&gt;"",ISNA(MATCH(F326,dv_num,0))),"Devis inconnu",IF(AND(F326&lt;&gt;"",IFERROR(INDEX(dv_client,MATCH(F326,dv_num,0)),D326)&lt;&gt;D326),"Client différent de celui du devis",IF(AG326="","Aucune ligne : saisissez des lignes ou un devis",IF(AND(AI326&lt;&gt;"",COUNTIF($AI$6:AI326,AI326)&gt;1),"Devis déjà repris par une autre facture",IF(AND(AA326="Avoir",M326=""),"Avoir : indiquez la facture d'origine",IF(AND(AA326="Avoir",ISNA(MATCH(M326,fa_num,0))),"Facture d'origine inconnue",IF(AND(AA326&lt;&gt;"Avoir",M326&lt;&gt;""),"« Avoir sur facture » : réservé aux avoirs",IF(AND(L326&lt;&gt;"",AA326&lt;&gt;"Facture"),"Acompte à déduire : réservé aux factures",IF(AND(L326&lt;&gt;"",ISNA(MATCH(L326,fa_num,0))),"Facture d'acompte inconnue",IF(AND(L326&lt;&gt;"",IFERROR(INDEX(fa_type,MATCH(L326,fa_num,0)),"")&lt;&gt;"Facture d'acompte"),"Le n° à déduire n'est pas une facture d'acompte",IF(AND(L326&lt;&gt;"",COUNTIF($L$6:L326,L326)&gt;1),"Acompte déjà déduit sur une autre facture",IF(AND(L326&lt;&gt;"",IFERROR(INDEX(fa_client,MATCH(L326,fa_num,0)),D326)&lt;&gt;D326),"Acompte d'un autre client",IF(AND(AR326&lt;&gt;"",N(Q326)&lt;0),"Acompte supérieur au total de la facture",IF(IF(AG326="Facture",COUNTIFS(fl_doc,A326,fl_check,"&lt;&gt;OK"),IF(AG326="Devis",COUNTIFS(dl_doc,F326,dl_check,"&lt;&gt;OK"),0))&gt;0,"Ligne(s) à corriger",IF(AND(W326&lt;&gt;"",N(W326)&lt;0),"Trop-perçu : vérifiez paiements et avoirs","OK")))))))))))))))))))))</f>
        <v/>
      </c>
      <c r="AA326" s="62" t="str">
        <f>IF(COUNTA(B326:D326,F326:O326)&gt;0,IF(B326="","Facture",B326),"")</f>
        <v/>
      </c>
      <c r="AB326" s="62" t="str">
        <f>IF(AA326="","",IF(AA326="Avoir",p_pav,IF(AA326="Facture d'acompte",p_pac,p_pfa)))</f>
        <v/>
      </c>
      <c r="AC326" s="62">
        <f>IF(ISNUMBER(C326),C326,0)</f>
        <v>0.0</v>
      </c>
      <c r="AD326" s="62" t="str">
        <f>IF(OR(AA326="",AC326=0),"",YEAR(AC326))</f>
        <v/>
      </c>
      <c r="AE326" s="62" t="str">
        <f>IF(AD326="","",COUNTIFS($AB$6:AB326,AB326,$AD$6:AD326,AD326))</f>
        <v/>
      </c>
      <c r="AF326" s="62">
        <f>IF(A326="",0,COUNTIF(fl_doc,A326))</f>
        <v>0.0</v>
      </c>
      <c r="AG326" s="62" t="str">
        <f>IF(A326="","",IF(AF326&gt;0,"Facture",IF(AND(F326&lt;&gt;"",AA326="Facture",ISNUMBER(MATCH(F326,dv_num,0))),"Devis","")))</f>
        <v/>
      </c>
      <c r="AH326" s="62" t="str">
        <f>IF(AND(A326&lt;&gt;"",F326&lt;&gt;"",AA326&lt;&gt;"Avoir"),F326,"")</f>
        <v/>
      </c>
      <c r="AI326" s="62" t="str">
        <f>IF(AG326="Devis",F326,"")</f>
        <v/>
      </c>
      <c r="AJ326" s="62">
        <f>IF(AG326="Facture",SUMIF(fl_doc,A326,fl_ht),IF(AG326="Devis",SUMIF(dl_doc,F326,dl_ht),0))</f>
        <v>0.0</v>
      </c>
      <c r="AK326" s="62">
        <f>IF(OR(AG326="",INDEX(p_rates,1)=""),0,IF(AG326="Facture",SUMIFS(fl_ht,fl_doc,A326,fl_rate,INDEX(p_rates,1)),SUMIFS(dl_ht,dl_doc,F326,dl_rate,INDEX(p_rates,1))))</f>
        <v>0.0</v>
      </c>
      <c r="AL326" s="62">
        <f>IF(OR(AG326="",INDEX(p_rates,2)=""),0,IF(AG326="Facture",SUMIFS(fl_ht,fl_doc,A326,fl_rate,INDEX(p_rates,2)),SUMIFS(dl_ht,dl_doc,F326,dl_rate,INDEX(p_rates,2))))</f>
        <v>0.0</v>
      </c>
      <c r="AM326" s="62">
        <f>IF(OR(AG326="",INDEX(p_rates,3)=""),0,IF(AG326="Facture",SUMIFS(fl_ht,fl_doc,A326,fl_rate,INDEX(p_rates,3)),SUMIFS(dl_ht,dl_doc,F326,dl_rate,INDEX(p_rates,3))))</f>
        <v>0.0</v>
      </c>
      <c r="AN326" s="62">
        <f>IF(OR(AG326="",INDEX(p_rates,4)=""),0,IF(AG326="Facture",SUMIFS(fl_ht,fl_doc,A326,fl_rate,INDEX(p_rates,4)),SUMIFS(dl_ht,dl_doc,F326,dl_rate,INDEX(p_rates,4))))</f>
        <v>0.0</v>
      </c>
      <c r="AO326" s="62">
        <f>IF(OR(AG326="",INDEX(p_rates,5)=""),0,IF(AG326="Facture",SUMIFS(fl_ht,fl_doc,A326,fl_rate,INDEX(p_rates,5)),SUMIFS(dl_ht,dl_doc,F326,dl_rate,INDEX(p_rates,5))))</f>
        <v>0.0</v>
      </c>
      <c r="AP326" s="62">
        <f>IF(OR(AG326="",INDEX(p_rates,6)=""),0,IF(AG326="Facture",SUMIFS(fl_ht,fl_doc,A326,fl_rate,INDEX(p_rates,6)),SUMIFS(dl_ht,dl_doc,F326,dl_rate,INDEX(p_rates,6))))</f>
        <v>0.0</v>
      </c>
      <c r="AQ326" s="62">
        <f>ROUND(AK326*N(INDEX(p_rates,1)),2)+ROUND(AL326*N(INDEX(p_rates,2)),2)+ROUND(AM326*N(INDEX(p_rates,3)),2)+ROUND(AN326*N(INDEX(p_rates,4)),2)+ROUND(AO326*N(INDEX(p_rates,5)),2)+ROUND(AP326*N(INDEX(p_rates,6)),2)</f>
        <v>0.0</v>
      </c>
      <c r="AR326" s="62" t="str">
        <f>IF(OR(L326="",AA326&lt;&gt;"Facture"),"",IFERROR(IF(INDEX(fa_type,MATCH(L326,fa_num,0))="Facture d'acompte",MATCH(L326,fa_num,0),""),""))</f>
        <v/>
      </c>
      <c r="AS326" s="62" t="str">
        <f>IF(W326="","",IF(W326&lt;=0,"",IF(p_asof-P326&lt;=0,"Non échu",IF(p_asof-P326&lt;=30,"1-30 j",IF(p_asof-P326&lt;=60,"31-60 j",IF(p_asof-P326&lt;=90,"61-90 j","Plus de 90 j"))))))</f>
        <v/>
      </c>
      <c r="AT326" s="62" t="str">
        <f>IF(AS326="","",p_asof-P326)</f>
        <v/>
      </c>
      <c r="AU326" s="62" t="str">
        <f>IF(AT326="","",COUNTIF($AT$6:$AT$805,"&gt;"&amp;AT326)+COUNTIF($AT$6:AT326,AT326))</f>
        <v/>
      </c>
    </row>
    <row r="327">
      <c r="A327" s="59" t="str">
        <f>IF(AE327="","",AB327&amp;"-"&amp;AD327&amp;"-"&amp;RIGHT("000"&amp;AE327,4))</f>
        <v/>
      </c>
      <c r="B327" s="60" t="n"/>
      <c r="C327" s="61" t="n"/>
      <c r="D327" s="60" t="n"/>
      <c r="E327" s="62" t="str">
        <f>IF(D327="","",IFERROR(INDEX(cli_name,MATCH(D327,cli_code,0))&amp;"","Client inconnu"))</f>
        <v/>
      </c>
      <c r="F327" s="60" t="n"/>
      <c r="G327" s="63" t="n"/>
      <c r="H327" s="61" t="n"/>
      <c r="I327" s="63" t="n"/>
      <c r="J327" s="60" t="n"/>
      <c r="K327" s="61" t="n"/>
      <c r="L327" s="60" t="n"/>
      <c r="M327" s="60" t="n"/>
      <c r="N327" s="60" t="n"/>
      <c r="O327" s="61" t="n"/>
      <c r="P327" s="64" t="str">
        <f>IF(A327="","",IF(AA327="Avoir",AC327,IF(ISNUMBER(K327),K327,AC327+IF(D327="",N(p_delay),IFERROR(IF(ISNUMBER(INDEX(cli_delay,MATCH(D327,cli_code,0))),INDEX(cli_delay,MATCH(D327,cli_code,0)),N(p_delay)),N(p_delay))))))</f>
        <v/>
      </c>
      <c r="Q327" s="65" t="str">
        <f>IF(A327="","",IF(AA327="Avoir",-1,1)*ROUND(AJ327-IF(AR327="",0,INDEX(fa_htb,AR327)),2))</f>
        <v/>
      </c>
      <c r="R327" s="65" t="str">
        <f>IF(A327="","",IF(AA327="Avoir",-1,1)*ROUND(AQ327-IF(AR327="",0,INDEX(fa_tvab,AR327)),2))</f>
        <v/>
      </c>
      <c r="S327" s="65" t="str">
        <f>IF(A327="","",Q327+R327)</f>
        <v/>
      </c>
      <c r="T327" s="65" t="str">
        <f>IF(AR327="","",INDEX(fa_htb,AR327)+INDEX(fa_tvab,AR327))</f>
        <v/>
      </c>
      <c r="U327" s="65" t="str">
        <f>IF(A327="","",SUMIF(pa_inv,A327,pa_amt))</f>
        <v/>
      </c>
      <c r="V327" s="65" t="str">
        <f>IF(OR(A327="",AA327="Avoir"),"",-SUMIFS(fa_ttc,fa_avof,A327,fa_type,"Avoir"))</f>
        <v/>
      </c>
      <c r="W327" s="65" t="str">
        <f>IF(OR(A327="",AA327="Avoir"),"",ROUND(S327-U327-V327,2))</f>
        <v/>
      </c>
      <c r="X327" s="66" t="str">
        <f>IF(W327="","",IF(AND(W327&gt;0,p_asof&gt;P327),p_asof-P327,""))</f>
        <v/>
      </c>
      <c r="Y327" s="59" t="str">
        <f>IF(A327="","",IF(AA327="Avoir","Avoir",IF(W327&lt;0,"Trop-perçu",IF(W327=0,"Soldée",IF(p_asof&gt;P327,"En retard",IF(U327+V327&gt;0,"Partielle","À échoir"))))))</f>
        <v/>
      </c>
      <c r="Z327" s="59" t="str">
        <f>IF(NOT(COUNTA(B327:D327,F327:O327)&gt;0),"",IF(C327="","Date manquante",IF(NOT(ISNUMBER(C327)),"Date invalide",IF(D327="","Client manquant",IF(ISNA(MATCH(D327,cli_code,0)),"Client inconnu",IF(AC327&lt;SUMPRODUCT(MAX(($AB$6:AB326=AB327)*$AC$6:AC326)),"Date antérieure à la facture précédente",IF(AND(F327&lt;&gt;"",ISNA(MATCH(F327,dv_num,0))),"Devis inconnu",IF(AND(F327&lt;&gt;"",IFERROR(INDEX(dv_client,MATCH(F327,dv_num,0)),D327)&lt;&gt;D327),"Client différent de celui du devis",IF(AG327="","Aucune ligne : saisissez des lignes ou un devis",IF(AND(AI327&lt;&gt;"",COUNTIF($AI$6:AI327,AI327)&gt;1),"Devis déjà repris par une autre facture",IF(AND(AA327="Avoir",M327=""),"Avoir : indiquez la facture d'origine",IF(AND(AA327="Avoir",ISNA(MATCH(M327,fa_num,0))),"Facture d'origine inconnue",IF(AND(AA327&lt;&gt;"Avoir",M327&lt;&gt;""),"« Avoir sur facture » : réservé aux avoirs",IF(AND(L327&lt;&gt;"",AA327&lt;&gt;"Facture"),"Acompte à déduire : réservé aux factures",IF(AND(L327&lt;&gt;"",ISNA(MATCH(L327,fa_num,0))),"Facture d'acompte inconnue",IF(AND(L327&lt;&gt;"",IFERROR(INDEX(fa_type,MATCH(L327,fa_num,0)),"")&lt;&gt;"Facture d'acompte"),"Le n° à déduire n'est pas une facture d'acompte",IF(AND(L327&lt;&gt;"",COUNTIF($L$6:L327,L327)&gt;1),"Acompte déjà déduit sur une autre facture",IF(AND(L327&lt;&gt;"",IFERROR(INDEX(fa_client,MATCH(L327,fa_num,0)),D327)&lt;&gt;D327),"Acompte d'un autre client",IF(AND(AR327&lt;&gt;"",N(Q327)&lt;0),"Acompte supérieur au total de la facture",IF(IF(AG327="Facture",COUNTIFS(fl_doc,A327,fl_check,"&lt;&gt;OK"),IF(AG327="Devis",COUNTIFS(dl_doc,F327,dl_check,"&lt;&gt;OK"),0))&gt;0,"Ligne(s) à corriger",IF(AND(W327&lt;&gt;"",N(W327)&lt;0),"Trop-perçu : vérifiez paiements et avoirs","OK")))))))))))))))))))))</f>
        <v/>
      </c>
      <c r="AA327" s="62" t="str">
        <f>IF(COUNTA(B327:D327,F327:O327)&gt;0,IF(B327="","Facture",B327),"")</f>
        <v/>
      </c>
      <c r="AB327" s="62" t="str">
        <f>IF(AA327="","",IF(AA327="Avoir",p_pav,IF(AA327="Facture d'acompte",p_pac,p_pfa)))</f>
        <v/>
      </c>
      <c r="AC327" s="62">
        <f>IF(ISNUMBER(C327),C327,0)</f>
        <v>0.0</v>
      </c>
      <c r="AD327" s="62" t="str">
        <f>IF(OR(AA327="",AC327=0),"",YEAR(AC327))</f>
        <v/>
      </c>
      <c r="AE327" s="62" t="str">
        <f>IF(AD327="","",COUNTIFS($AB$6:AB327,AB327,$AD$6:AD327,AD327))</f>
        <v/>
      </c>
      <c r="AF327" s="62">
        <f>IF(A327="",0,COUNTIF(fl_doc,A327))</f>
        <v>0.0</v>
      </c>
      <c r="AG327" s="62" t="str">
        <f>IF(A327="","",IF(AF327&gt;0,"Facture",IF(AND(F327&lt;&gt;"",AA327="Facture",ISNUMBER(MATCH(F327,dv_num,0))),"Devis","")))</f>
        <v/>
      </c>
      <c r="AH327" s="62" t="str">
        <f>IF(AND(A327&lt;&gt;"",F327&lt;&gt;"",AA327&lt;&gt;"Avoir"),F327,"")</f>
        <v/>
      </c>
      <c r="AI327" s="62" t="str">
        <f>IF(AG327="Devis",F327,"")</f>
        <v/>
      </c>
      <c r="AJ327" s="62">
        <f>IF(AG327="Facture",SUMIF(fl_doc,A327,fl_ht),IF(AG327="Devis",SUMIF(dl_doc,F327,dl_ht),0))</f>
        <v>0.0</v>
      </c>
      <c r="AK327" s="62">
        <f>IF(OR(AG327="",INDEX(p_rates,1)=""),0,IF(AG327="Facture",SUMIFS(fl_ht,fl_doc,A327,fl_rate,INDEX(p_rates,1)),SUMIFS(dl_ht,dl_doc,F327,dl_rate,INDEX(p_rates,1))))</f>
        <v>0.0</v>
      </c>
      <c r="AL327" s="62">
        <f>IF(OR(AG327="",INDEX(p_rates,2)=""),0,IF(AG327="Facture",SUMIFS(fl_ht,fl_doc,A327,fl_rate,INDEX(p_rates,2)),SUMIFS(dl_ht,dl_doc,F327,dl_rate,INDEX(p_rates,2))))</f>
        <v>0.0</v>
      </c>
      <c r="AM327" s="62">
        <f>IF(OR(AG327="",INDEX(p_rates,3)=""),0,IF(AG327="Facture",SUMIFS(fl_ht,fl_doc,A327,fl_rate,INDEX(p_rates,3)),SUMIFS(dl_ht,dl_doc,F327,dl_rate,INDEX(p_rates,3))))</f>
        <v>0.0</v>
      </c>
      <c r="AN327" s="62">
        <f>IF(OR(AG327="",INDEX(p_rates,4)=""),0,IF(AG327="Facture",SUMIFS(fl_ht,fl_doc,A327,fl_rate,INDEX(p_rates,4)),SUMIFS(dl_ht,dl_doc,F327,dl_rate,INDEX(p_rates,4))))</f>
        <v>0.0</v>
      </c>
      <c r="AO327" s="62">
        <f>IF(OR(AG327="",INDEX(p_rates,5)=""),0,IF(AG327="Facture",SUMIFS(fl_ht,fl_doc,A327,fl_rate,INDEX(p_rates,5)),SUMIFS(dl_ht,dl_doc,F327,dl_rate,INDEX(p_rates,5))))</f>
        <v>0.0</v>
      </c>
      <c r="AP327" s="62">
        <f>IF(OR(AG327="",INDEX(p_rates,6)=""),0,IF(AG327="Facture",SUMIFS(fl_ht,fl_doc,A327,fl_rate,INDEX(p_rates,6)),SUMIFS(dl_ht,dl_doc,F327,dl_rate,INDEX(p_rates,6))))</f>
        <v>0.0</v>
      </c>
      <c r="AQ327" s="62">
        <f>ROUND(AK327*N(INDEX(p_rates,1)),2)+ROUND(AL327*N(INDEX(p_rates,2)),2)+ROUND(AM327*N(INDEX(p_rates,3)),2)+ROUND(AN327*N(INDEX(p_rates,4)),2)+ROUND(AO327*N(INDEX(p_rates,5)),2)+ROUND(AP327*N(INDEX(p_rates,6)),2)</f>
        <v>0.0</v>
      </c>
      <c r="AR327" s="62" t="str">
        <f>IF(OR(L327="",AA327&lt;&gt;"Facture"),"",IFERROR(IF(INDEX(fa_type,MATCH(L327,fa_num,0))="Facture d'acompte",MATCH(L327,fa_num,0),""),""))</f>
        <v/>
      </c>
      <c r="AS327" s="62" t="str">
        <f>IF(W327="","",IF(W327&lt;=0,"",IF(p_asof-P327&lt;=0,"Non échu",IF(p_asof-P327&lt;=30,"1-30 j",IF(p_asof-P327&lt;=60,"31-60 j",IF(p_asof-P327&lt;=90,"61-90 j","Plus de 90 j"))))))</f>
        <v/>
      </c>
      <c r="AT327" s="62" t="str">
        <f>IF(AS327="","",p_asof-P327)</f>
        <v/>
      </c>
      <c r="AU327" s="62" t="str">
        <f>IF(AT327="","",COUNTIF($AT$6:$AT$805,"&gt;"&amp;AT327)+COUNTIF($AT$6:AT327,AT327))</f>
        <v/>
      </c>
    </row>
    <row r="328">
      <c r="A328" s="59" t="str">
        <f>IF(AE328="","",AB328&amp;"-"&amp;AD328&amp;"-"&amp;RIGHT("000"&amp;AE328,4))</f>
        <v/>
      </c>
      <c r="B328" s="60" t="n"/>
      <c r="C328" s="61" t="n"/>
      <c r="D328" s="60" t="n"/>
      <c r="E328" s="62" t="str">
        <f>IF(D328="","",IFERROR(INDEX(cli_name,MATCH(D328,cli_code,0))&amp;"","Client inconnu"))</f>
        <v/>
      </c>
      <c r="F328" s="60" t="n"/>
      <c r="G328" s="63" t="n"/>
      <c r="H328" s="61" t="n"/>
      <c r="I328" s="63" t="n"/>
      <c r="J328" s="60" t="n"/>
      <c r="K328" s="61" t="n"/>
      <c r="L328" s="60" t="n"/>
      <c r="M328" s="60" t="n"/>
      <c r="N328" s="60" t="n"/>
      <c r="O328" s="61" t="n"/>
      <c r="P328" s="64" t="str">
        <f>IF(A328="","",IF(AA328="Avoir",AC328,IF(ISNUMBER(K328),K328,AC328+IF(D328="",N(p_delay),IFERROR(IF(ISNUMBER(INDEX(cli_delay,MATCH(D328,cli_code,0))),INDEX(cli_delay,MATCH(D328,cli_code,0)),N(p_delay)),N(p_delay))))))</f>
        <v/>
      </c>
      <c r="Q328" s="65" t="str">
        <f>IF(A328="","",IF(AA328="Avoir",-1,1)*ROUND(AJ328-IF(AR328="",0,INDEX(fa_htb,AR328)),2))</f>
        <v/>
      </c>
      <c r="R328" s="65" t="str">
        <f>IF(A328="","",IF(AA328="Avoir",-1,1)*ROUND(AQ328-IF(AR328="",0,INDEX(fa_tvab,AR328)),2))</f>
        <v/>
      </c>
      <c r="S328" s="65" t="str">
        <f>IF(A328="","",Q328+R328)</f>
        <v/>
      </c>
      <c r="T328" s="65" t="str">
        <f>IF(AR328="","",INDEX(fa_htb,AR328)+INDEX(fa_tvab,AR328))</f>
        <v/>
      </c>
      <c r="U328" s="65" t="str">
        <f>IF(A328="","",SUMIF(pa_inv,A328,pa_amt))</f>
        <v/>
      </c>
      <c r="V328" s="65" t="str">
        <f>IF(OR(A328="",AA328="Avoir"),"",-SUMIFS(fa_ttc,fa_avof,A328,fa_type,"Avoir"))</f>
        <v/>
      </c>
      <c r="W328" s="65" t="str">
        <f>IF(OR(A328="",AA328="Avoir"),"",ROUND(S328-U328-V328,2))</f>
        <v/>
      </c>
      <c r="X328" s="66" t="str">
        <f>IF(W328="","",IF(AND(W328&gt;0,p_asof&gt;P328),p_asof-P328,""))</f>
        <v/>
      </c>
      <c r="Y328" s="59" t="str">
        <f>IF(A328="","",IF(AA328="Avoir","Avoir",IF(W328&lt;0,"Trop-perçu",IF(W328=0,"Soldée",IF(p_asof&gt;P328,"En retard",IF(U328+V328&gt;0,"Partielle","À échoir"))))))</f>
        <v/>
      </c>
      <c r="Z328" s="59" t="str">
        <f>IF(NOT(COUNTA(B328:D328,F328:O328)&gt;0),"",IF(C328="","Date manquante",IF(NOT(ISNUMBER(C328)),"Date invalide",IF(D328="","Client manquant",IF(ISNA(MATCH(D328,cli_code,0)),"Client inconnu",IF(AC328&lt;SUMPRODUCT(MAX(($AB$6:AB327=AB328)*$AC$6:AC327)),"Date antérieure à la facture précédente",IF(AND(F328&lt;&gt;"",ISNA(MATCH(F328,dv_num,0))),"Devis inconnu",IF(AND(F328&lt;&gt;"",IFERROR(INDEX(dv_client,MATCH(F328,dv_num,0)),D328)&lt;&gt;D328),"Client différent de celui du devis",IF(AG328="","Aucune ligne : saisissez des lignes ou un devis",IF(AND(AI328&lt;&gt;"",COUNTIF($AI$6:AI328,AI328)&gt;1),"Devis déjà repris par une autre facture",IF(AND(AA328="Avoir",M328=""),"Avoir : indiquez la facture d'origine",IF(AND(AA328="Avoir",ISNA(MATCH(M328,fa_num,0))),"Facture d'origine inconnue",IF(AND(AA328&lt;&gt;"Avoir",M328&lt;&gt;""),"« Avoir sur facture » : réservé aux avoirs",IF(AND(L328&lt;&gt;"",AA328&lt;&gt;"Facture"),"Acompte à déduire : réservé aux factures",IF(AND(L328&lt;&gt;"",ISNA(MATCH(L328,fa_num,0))),"Facture d'acompte inconnue",IF(AND(L328&lt;&gt;"",IFERROR(INDEX(fa_type,MATCH(L328,fa_num,0)),"")&lt;&gt;"Facture d'acompte"),"Le n° à déduire n'est pas une facture d'acompte",IF(AND(L328&lt;&gt;"",COUNTIF($L$6:L328,L328)&gt;1),"Acompte déjà déduit sur une autre facture",IF(AND(L328&lt;&gt;"",IFERROR(INDEX(fa_client,MATCH(L328,fa_num,0)),D328)&lt;&gt;D328),"Acompte d'un autre client",IF(AND(AR328&lt;&gt;"",N(Q328)&lt;0),"Acompte supérieur au total de la facture",IF(IF(AG328="Facture",COUNTIFS(fl_doc,A328,fl_check,"&lt;&gt;OK"),IF(AG328="Devis",COUNTIFS(dl_doc,F328,dl_check,"&lt;&gt;OK"),0))&gt;0,"Ligne(s) à corriger",IF(AND(W328&lt;&gt;"",N(W328)&lt;0),"Trop-perçu : vérifiez paiements et avoirs","OK")))))))))))))))))))))</f>
        <v/>
      </c>
      <c r="AA328" s="62" t="str">
        <f>IF(COUNTA(B328:D328,F328:O328)&gt;0,IF(B328="","Facture",B328),"")</f>
        <v/>
      </c>
      <c r="AB328" s="62" t="str">
        <f>IF(AA328="","",IF(AA328="Avoir",p_pav,IF(AA328="Facture d'acompte",p_pac,p_pfa)))</f>
        <v/>
      </c>
      <c r="AC328" s="62">
        <f>IF(ISNUMBER(C328),C328,0)</f>
        <v>0.0</v>
      </c>
      <c r="AD328" s="62" t="str">
        <f>IF(OR(AA328="",AC328=0),"",YEAR(AC328))</f>
        <v/>
      </c>
      <c r="AE328" s="62" t="str">
        <f>IF(AD328="","",COUNTIFS($AB$6:AB328,AB328,$AD$6:AD328,AD328))</f>
        <v/>
      </c>
      <c r="AF328" s="62">
        <f>IF(A328="",0,COUNTIF(fl_doc,A328))</f>
        <v>0.0</v>
      </c>
      <c r="AG328" s="62" t="str">
        <f>IF(A328="","",IF(AF328&gt;0,"Facture",IF(AND(F328&lt;&gt;"",AA328="Facture",ISNUMBER(MATCH(F328,dv_num,0))),"Devis","")))</f>
        <v/>
      </c>
      <c r="AH328" s="62" t="str">
        <f>IF(AND(A328&lt;&gt;"",F328&lt;&gt;"",AA328&lt;&gt;"Avoir"),F328,"")</f>
        <v/>
      </c>
      <c r="AI328" s="62" t="str">
        <f>IF(AG328="Devis",F328,"")</f>
        <v/>
      </c>
      <c r="AJ328" s="62">
        <f>IF(AG328="Facture",SUMIF(fl_doc,A328,fl_ht),IF(AG328="Devis",SUMIF(dl_doc,F328,dl_ht),0))</f>
        <v>0.0</v>
      </c>
      <c r="AK328" s="62">
        <f>IF(OR(AG328="",INDEX(p_rates,1)=""),0,IF(AG328="Facture",SUMIFS(fl_ht,fl_doc,A328,fl_rate,INDEX(p_rates,1)),SUMIFS(dl_ht,dl_doc,F328,dl_rate,INDEX(p_rates,1))))</f>
        <v>0.0</v>
      </c>
      <c r="AL328" s="62">
        <f>IF(OR(AG328="",INDEX(p_rates,2)=""),0,IF(AG328="Facture",SUMIFS(fl_ht,fl_doc,A328,fl_rate,INDEX(p_rates,2)),SUMIFS(dl_ht,dl_doc,F328,dl_rate,INDEX(p_rates,2))))</f>
        <v>0.0</v>
      </c>
      <c r="AM328" s="62">
        <f>IF(OR(AG328="",INDEX(p_rates,3)=""),0,IF(AG328="Facture",SUMIFS(fl_ht,fl_doc,A328,fl_rate,INDEX(p_rates,3)),SUMIFS(dl_ht,dl_doc,F328,dl_rate,INDEX(p_rates,3))))</f>
        <v>0.0</v>
      </c>
      <c r="AN328" s="62">
        <f>IF(OR(AG328="",INDEX(p_rates,4)=""),0,IF(AG328="Facture",SUMIFS(fl_ht,fl_doc,A328,fl_rate,INDEX(p_rates,4)),SUMIFS(dl_ht,dl_doc,F328,dl_rate,INDEX(p_rates,4))))</f>
        <v>0.0</v>
      </c>
      <c r="AO328" s="62">
        <f>IF(OR(AG328="",INDEX(p_rates,5)=""),0,IF(AG328="Facture",SUMIFS(fl_ht,fl_doc,A328,fl_rate,INDEX(p_rates,5)),SUMIFS(dl_ht,dl_doc,F328,dl_rate,INDEX(p_rates,5))))</f>
        <v>0.0</v>
      </c>
      <c r="AP328" s="62">
        <f>IF(OR(AG328="",INDEX(p_rates,6)=""),0,IF(AG328="Facture",SUMIFS(fl_ht,fl_doc,A328,fl_rate,INDEX(p_rates,6)),SUMIFS(dl_ht,dl_doc,F328,dl_rate,INDEX(p_rates,6))))</f>
        <v>0.0</v>
      </c>
      <c r="AQ328" s="62">
        <f>ROUND(AK328*N(INDEX(p_rates,1)),2)+ROUND(AL328*N(INDEX(p_rates,2)),2)+ROUND(AM328*N(INDEX(p_rates,3)),2)+ROUND(AN328*N(INDEX(p_rates,4)),2)+ROUND(AO328*N(INDEX(p_rates,5)),2)+ROUND(AP328*N(INDEX(p_rates,6)),2)</f>
        <v>0.0</v>
      </c>
      <c r="AR328" s="62" t="str">
        <f>IF(OR(L328="",AA328&lt;&gt;"Facture"),"",IFERROR(IF(INDEX(fa_type,MATCH(L328,fa_num,0))="Facture d'acompte",MATCH(L328,fa_num,0),""),""))</f>
        <v/>
      </c>
      <c r="AS328" s="62" t="str">
        <f>IF(W328="","",IF(W328&lt;=0,"",IF(p_asof-P328&lt;=0,"Non échu",IF(p_asof-P328&lt;=30,"1-30 j",IF(p_asof-P328&lt;=60,"31-60 j",IF(p_asof-P328&lt;=90,"61-90 j","Plus de 90 j"))))))</f>
        <v/>
      </c>
      <c r="AT328" s="62" t="str">
        <f>IF(AS328="","",p_asof-P328)</f>
        <v/>
      </c>
      <c r="AU328" s="62" t="str">
        <f>IF(AT328="","",COUNTIF($AT$6:$AT$805,"&gt;"&amp;AT328)+COUNTIF($AT$6:AT328,AT328))</f>
        <v/>
      </c>
    </row>
    <row r="329">
      <c r="A329" s="59" t="str">
        <f>IF(AE329="","",AB329&amp;"-"&amp;AD329&amp;"-"&amp;RIGHT("000"&amp;AE329,4))</f>
        <v/>
      </c>
      <c r="B329" s="60" t="n"/>
      <c r="C329" s="61" t="n"/>
      <c r="D329" s="60" t="n"/>
      <c r="E329" s="62" t="str">
        <f>IF(D329="","",IFERROR(INDEX(cli_name,MATCH(D329,cli_code,0))&amp;"","Client inconnu"))</f>
        <v/>
      </c>
      <c r="F329" s="60" t="n"/>
      <c r="G329" s="63" t="n"/>
      <c r="H329" s="61" t="n"/>
      <c r="I329" s="63" t="n"/>
      <c r="J329" s="60" t="n"/>
      <c r="K329" s="61" t="n"/>
      <c r="L329" s="60" t="n"/>
      <c r="M329" s="60" t="n"/>
      <c r="N329" s="60" t="n"/>
      <c r="O329" s="61" t="n"/>
      <c r="P329" s="64" t="str">
        <f>IF(A329="","",IF(AA329="Avoir",AC329,IF(ISNUMBER(K329),K329,AC329+IF(D329="",N(p_delay),IFERROR(IF(ISNUMBER(INDEX(cli_delay,MATCH(D329,cli_code,0))),INDEX(cli_delay,MATCH(D329,cli_code,0)),N(p_delay)),N(p_delay))))))</f>
        <v/>
      </c>
      <c r="Q329" s="65" t="str">
        <f>IF(A329="","",IF(AA329="Avoir",-1,1)*ROUND(AJ329-IF(AR329="",0,INDEX(fa_htb,AR329)),2))</f>
        <v/>
      </c>
      <c r="R329" s="65" t="str">
        <f>IF(A329="","",IF(AA329="Avoir",-1,1)*ROUND(AQ329-IF(AR329="",0,INDEX(fa_tvab,AR329)),2))</f>
        <v/>
      </c>
      <c r="S329" s="65" t="str">
        <f>IF(A329="","",Q329+R329)</f>
        <v/>
      </c>
      <c r="T329" s="65" t="str">
        <f>IF(AR329="","",INDEX(fa_htb,AR329)+INDEX(fa_tvab,AR329))</f>
        <v/>
      </c>
      <c r="U329" s="65" t="str">
        <f>IF(A329="","",SUMIF(pa_inv,A329,pa_amt))</f>
        <v/>
      </c>
      <c r="V329" s="65" t="str">
        <f>IF(OR(A329="",AA329="Avoir"),"",-SUMIFS(fa_ttc,fa_avof,A329,fa_type,"Avoir"))</f>
        <v/>
      </c>
      <c r="W329" s="65" t="str">
        <f>IF(OR(A329="",AA329="Avoir"),"",ROUND(S329-U329-V329,2))</f>
        <v/>
      </c>
      <c r="X329" s="66" t="str">
        <f>IF(W329="","",IF(AND(W329&gt;0,p_asof&gt;P329),p_asof-P329,""))</f>
        <v/>
      </c>
      <c r="Y329" s="59" t="str">
        <f>IF(A329="","",IF(AA329="Avoir","Avoir",IF(W329&lt;0,"Trop-perçu",IF(W329=0,"Soldée",IF(p_asof&gt;P329,"En retard",IF(U329+V329&gt;0,"Partielle","À échoir"))))))</f>
        <v/>
      </c>
      <c r="Z329" s="59" t="str">
        <f>IF(NOT(COUNTA(B329:D329,F329:O329)&gt;0),"",IF(C329="","Date manquante",IF(NOT(ISNUMBER(C329)),"Date invalide",IF(D329="","Client manquant",IF(ISNA(MATCH(D329,cli_code,0)),"Client inconnu",IF(AC329&lt;SUMPRODUCT(MAX(($AB$6:AB328=AB329)*$AC$6:AC328)),"Date antérieure à la facture précédente",IF(AND(F329&lt;&gt;"",ISNA(MATCH(F329,dv_num,0))),"Devis inconnu",IF(AND(F329&lt;&gt;"",IFERROR(INDEX(dv_client,MATCH(F329,dv_num,0)),D329)&lt;&gt;D329),"Client différent de celui du devis",IF(AG329="","Aucune ligne : saisissez des lignes ou un devis",IF(AND(AI329&lt;&gt;"",COUNTIF($AI$6:AI329,AI329)&gt;1),"Devis déjà repris par une autre facture",IF(AND(AA329="Avoir",M329=""),"Avoir : indiquez la facture d'origine",IF(AND(AA329="Avoir",ISNA(MATCH(M329,fa_num,0))),"Facture d'origine inconnue",IF(AND(AA329&lt;&gt;"Avoir",M329&lt;&gt;""),"« Avoir sur facture » : réservé aux avoirs",IF(AND(L329&lt;&gt;"",AA329&lt;&gt;"Facture"),"Acompte à déduire : réservé aux factures",IF(AND(L329&lt;&gt;"",ISNA(MATCH(L329,fa_num,0))),"Facture d'acompte inconnue",IF(AND(L329&lt;&gt;"",IFERROR(INDEX(fa_type,MATCH(L329,fa_num,0)),"")&lt;&gt;"Facture d'acompte"),"Le n° à déduire n'est pas une facture d'acompte",IF(AND(L329&lt;&gt;"",COUNTIF($L$6:L329,L329)&gt;1),"Acompte déjà déduit sur une autre facture",IF(AND(L329&lt;&gt;"",IFERROR(INDEX(fa_client,MATCH(L329,fa_num,0)),D329)&lt;&gt;D329),"Acompte d'un autre client",IF(AND(AR329&lt;&gt;"",N(Q329)&lt;0),"Acompte supérieur au total de la facture",IF(IF(AG329="Facture",COUNTIFS(fl_doc,A329,fl_check,"&lt;&gt;OK"),IF(AG329="Devis",COUNTIFS(dl_doc,F329,dl_check,"&lt;&gt;OK"),0))&gt;0,"Ligne(s) à corriger",IF(AND(W329&lt;&gt;"",N(W329)&lt;0),"Trop-perçu : vérifiez paiements et avoirs","OK")))))))))))))))))))))</f>
        <v/>
      </c>
      <c r="AA329" s="62" t="str">
        <f>IF(COUNTA(B329:D329,F329:O329)&gt;0,IF(B329="","Facture",B329),"")</f>
        <v/>
      </c>
      <c r="AB329" s="62" t="str">
        <f>IF(AA329="","",IF(AA329="Avoir",p_pav,IF(AA329="Facture d'acompte",p_pac,p_pfa)))</f>
        <v/>
      </c>
      <c r="AC329" s="62">
        <f>IF(ISNUMBER(C329),C329,0)</f>
        <v>0.0</v>
      </c>
      <c r="AD329" s="62" t="str">
        <f>IF(OR(AA329="",AC329=0),"",YEAR(AC329))</f>
        <v/>
      </c>
      <c r="AE329" s="62" t="str">
        <f>IF(AD329="","",COUNTIFS($AB$6:AB329,AB329,$AD$6:AD329,AD329))</f>
        <v/>
      </c>
      <c r="AF329" s="62">
        <f>IF(A329="",0,COUNTIF(fl_doc,A329))</f>
        <v>0.0</v>
      </c>
      <c r="AG329" s="62" t="str">
        <f>IF(A329="","",IF(AF329&gt;0,"Facture",IF(AND(F329&lt;&gt;"",AA329="Facture",ISNUMBER(MATCH(F329,dv_num,0))),"Devis","")))</f>
        <v/>
      </c>
      <c r="AH329" s="62" t="str">
        <f>IF(AND(A329&lt;&gt;"",F329&lt;&gt;"",AA329&lt;&gt;"Avoir"),F329,"")</f>
        <v/>
      </c>
      <c r="AI329" s="62" t="str">
        <f>IF(AG329="Devis",F329,"")</f>
        <v/>
      </c>
      <c r="AJ329" s="62">
        <f>IF(AG329="Facture",SUMIF(fl_doc,A329,fl_ht),IF(AG329="Devis",SUMIF(dl_doc,F329,dl_ht),0))</f>
        <v>0.0</v>
      </c>
      <c r="AK329" s="62">
        <f>IF(OR(AG329="",INDEX(p_rates,1)=""),0,IF(AG329="Facture",SUMIFS(fl_ht,fl_doc,A329,fl_rate,INDEX(p_rates,1)),SUMIFS(dl_ht,dl_doc,F329,dl_rate,INDEX(p_rates,1))))</f>
        <v>0.0</v>
      </c>
      <c r="AL329" s="62">
        <f>IF(OR(AG329="",INDEX(p_rates,2)=""),0,IF(AG329="Facture",SUMIFS(fl_ht,fl_doc,A329,fl_rate,INDEX(p_rates,2)),SUMIFS(dl_ht,dl_doc,F329,dl_rate,INDEX(p_rates,2))))</f>
        <v>0.0</v>
      </c>
      <c r="AM329" s="62">
        <f>IF(OR(AG329="",INDEX(p_rates,3)=""),0,IF(AG329="Facture",SUMIFS(fl_ht,fl_doc,A329,fl_rate,INDEX(p_rates,3)),SUMIFS(dl_ht,dl_doc,F329,dl_rate,INDEX(p_rates,3))))</f>
        <v>0.0</v>
      </c>
      <c r="AN329" s="62">
        <f>IF(OR(AG329="",INDEX(p_rates,4)=""),0,IF(AG329="Facture",SUMIFS(fl_ht,fl_doc,A329,fl_rate,INDEX(p_rates,4)),SUMIFS(dl_ht,dl_doc,F329,dl_rate,INDEX(p_rates,4))))</f>
        <v>0.0</v>
      </c>
      <c r="AO329" s="62">
        <f>IF(OR(AG329="",INDEX(p_rates,5)=""),0,IF(AG329="Facture",SUMIFS(fl_ht,fl_doc,A329,fl_rate,INDEX(p_rates,5)),SUMIFS(dl_ht,dl_doc,F329,dl_rate,INDEX(p_rates,5))))</f>
        <v>0.0</v>
      </c>
      <c r="AP329" s="62">
        <f>IF(OR(AG329="",INDEX(p_rates,6)=""),0,IF(AG329="Facture",SUMIFS(fl_ht,fl_doc,A329,fl_rate,INDEX(p_rates,6)),SUMIFS(dl_ht,dl_doc,F329,dl_rate,INDEX(p_rates,6))))</f>
        <v>0.0</v>
      </c>
      <c r="AQ329" s="62">
        <f>ROUND(AK329*N(INDEX(p_rates,1)),2)+ROUND(AL329*N(INDEX(p_rates,2)),2)+ROUND(AM329*N(INDEX(p_rates,3)),2)+ROUND(AN329*N(INDEX(p_rates,4)),2)+ROUND(AO329*N(INDEX(p_rates,5)),2)+ROUND(AP329*N(INDEX(p_rates,6)),2)</f>
        <v>0.0</v>
      </c>
      <c r="AR329" s="62" t="str">
        <f>IF(OR(L329="",AA329&lt;&gt;"Facture"),"",IFERROR(IF(INDEX(fa_type,MATCH(L329,fa_num,0))="Facture d'acompte",MATCH(L329,fa_num,0),""),""))</f>
        <v/>
      </c>
      <c r="AS329" s="62" t="str">
        <f>IF(W329="","",IF(W329&lt;=0,"",IF(p_asof-P329&lt;=0,"Non échu",IF(p_asof-P329&lt;=30,"1-30 j",IF(p_asof-P329&lt;=60,"31-60 j",IF(p_asof-P329&lt;=90,"61-90 j","Plus de 90 j"))))))</f>
        <v/>
      </c>
      <c r="AT329" s="62" t="str">
        <f>IF(AS329="","",p_asof-P329)</f>
        <v/>
      </c>
      <c r="AU329" s="62" t="str">
        <f>IF(AT329="","",COUNTIF($AT$6:$AT$805,"&gt;"&amp;AT329)+COUNTIF($AT$6:AT329,AT329))</f>
        <v/>
      </c>
    </row>
    <row r="330">
      <c r="A330" s="59" t="str">
        <f>IF(AE330="","",AB330&amp;"-"&amp;AD330&amp;"-"&amp;RIGHT("000"&amp;AE330,4))</f>
        <v/>
      </c>
      <c r="B330" s="60" t="n"/>
      <c r="C330" s="61" t="n"/>
      <c r="D330" s="60" t="n"/>
      <c r="E330" s="62" t="str">
        <f>IF(D330="","",IFERROR(INDEX(cli_name,MATCH(D330,cli_code,0))&amp;"","Client inconnu"))</f>
        <v/>
      </c>
      <c r="F330" s="60" t="n"/>
      <c r="G330" s="63" t="n"/>
      <c r="H330" s="61" t="n"/>
      <c r="I330" s="63" t="n"/>
      <c r="J330" s="60" t="n"/>
      <c r="K330" s="61" t="n"/>
      <c r="L330" s="60" t="n"/>
      <c r="M330" s="60" t="n"/>
      <c r="N330" s="60" t="n"/>
      <c r="O330" s="61" t="n"/>
      <c r="P330" s="64" t="str">
        <f>IF(A330="","",IF(AA330="Avoir",AC330,IF(ISNUMBER(K330),K330,AC330+IF(D330="",N(p_delay),IFERROR(IF(ISNUMBER(INDEX(cli_delay,MATCH(D330,cli_code,0))),INDEX(cli_delay,MATCH(D330,cli_code,0)),N(p_delay)),N(p_delay))))))</f>
        <v/>
      </c>
      <c r="Q330" s="65" t="str">
        <f>IF(A330="","",IF(AA330="Avoir",-1,1)*ROUND(AJ330-IF(AR330="",0,INDEX(fa_htb,AR330)),2))</f>
        <v/>
      </c>
      <c r="R330" s="65" t="str">
        <f>IF(A330="","",IF(AA330="Avoir",-1,1)*ROUND(AQ330-IF(AR330="",0,INDEX(fa_tvab,AR330)),2))</f>
        <v/>
      </c>
      <c r="S330" s="65" t="str">
        <f>IF(A330="","",Q330+R330)</f>
        <v/>
      </c>
      <c r="T330" s="65" t="str">
        <f>IF(AR330="","",INDEX(fa_htb,AR330)+INDEX(fa_tvab,AR330))</f>
        <v/>
      </c>
      <c r="U330" s="65" t="str">
        <f>IF(A330="","",SUMIF(pa_inv,A330,pa_amt))</f>
        <v/>
      </c>
      <c r="V330" s="65" t="str">
        <f>IF(OR(A330="",AA330="Avoir"),"",-SUMIFS(fa_ttc,fa_avof,A330,fa_type,"Avoir"))</f>
        <v/>
      </c>
      <c r="W330" s="65" t="str">
        <f>IF(OR(A330="",AA330="Avoir"),"",ROUND(S330-U330-V330,2))</f>
        <v/>
      </c>
      <c r="X330" s="66" t="str">
        <f>IF(W330="","",IF(AND(W330&gt;0,p_asof&gt;P330),p_asof-P330,""))</f>
        <v/>
      </c>
      <c r="Y330" s="59" t="str">
        <f>IF(A330="","",IF(AA330="Avoir","Avoir",IF(W330&lt;0,"Trop-perçu",IF(W330=0,"Soldée",IF(p_asof&gt;P330,"En retard",IF(U330+V330&gt;0,"Partielle","À échoir"))))))</f>
        <v/>
      </c>
      <c r="Z330" s="59" t="str">
        <f>IF(NOT(COUNTA(B330:D330,F330:O330)&gt;0),"",IF(C330="","Date manquante",IF(NOT(ISNUMBER(C330)),"Date invalide",IF(D330="","Client manquant",IF(ISNA(MATCH(D330,cli_code,0)),"Client inconnu",IF(AC330&lt;SUMPRODUCT(MAX(($AB$6:AB329=AB330)*$AC$6:AC329)),"Date antérieure à la facture précédente",IF(AND(F330&lt;&gt;"",ISNA(MATCH(F330,dv_num,0))),"Devis inconnu",IF(AND(F330&lt;&gt;"",IFERROR(INDEX(dv_client,MATCH(F330,dv_num,0)),D330)&lt;&gt;D330),"Client différent de celui du devis",IF(AG330="","Aucune ligne : saisissez des lignes ou un devis",IF(AND(AI330&lt;&gt;"",COUNTIF($AI$6:AI330,AI330)&gt;1),"Devis déjà repris par une autre facture",IF(AND(AA330="Avoir",M330=""),"Avoir : indiquez la facture d'origine",IF(AND(AA330="Avoir",ISNA(MATCH(M330,fa_num,0))),"Facture d'origine inconnue",IF(AND(AA330&lt;&gt;"Avoir",M330&lt;&gt;""),"« Avoir sur facture » : réservé aux avoirs",IF(AND(L330&lt;&gt;"",AA330&lt;&gt;"Facture"),"Acompte à déduire : réservé aux factures",IF(AND(L330&lt;&gt;"",ISNA(MATCH(L330,fa_num,0))),"Facture d'acompte inconnue",IF(AND(L330&lt;&gt;"",IFERROR(INDEX(fa_type,MATCH(L330,fa_num,0)),"")&lt;&gt;"Facture d'acompte"),"Le n° à déduire n'est pas une facture d'acompte",IF(AND(L330&lt;&gt;"",COUNTIF($L$6:L330,L330)&gt;1),"Acompte déjà déduit sur une autre facture",IF(AND(L330&lt;&gt;"",IFERROR(INDEX(fa_client,MATCH(L330,fa_num,0)),D330)&lt;&gt;D330),"Acompte d'un autre client",IF(AND(AR330&lt;&gt;"",N(Q330)&lt;0),"Acompte supérieur au total de la facture",IF(IF(AG330="Facture",COUNTIFS(fl_doc,A330,fl_check,"&lt;&gt;OK"),IF(AG330="Devis",COUNTIFS(dl_doc,F330,dl_check,"&lt;&gt;OK"),0))&gt;0,"Ligne(s) à corriger",IF(AND(W330&lt;&gt;"",N(W330)&lt;0),"Trop-perçu : vérifiez paiements et avoirs","OK")))))))))))))))))))))</f>
        <v/>
      </c>
      <c r="AA330" s="62" t="str">
        <f>IF(COUNTA(B330:D330,F330:O330)&gt;0,IF(B330="","Facture",B330),"")</f>
        <v/>
      </c>
      <c r="AB330" s="62" t="str">
        <f>IF(AA330="","",IF(AA330="Avoir",p_pav,IF(AA330="Facture d'acompte",p_pac,p_pfa)))</f>
        <v/>
      </c>
      <c r="AC330" s="62">
        <f>IF(ISNUMBER(C330),C330,0)</f>
        <v>0.0</v>
      </c>
      <c r="AD330" s="62" t="str">
        <f>IF(OR(AA330="",AC330=0),"",YEAR(AC330))</f>
        <v/>
      </c>
      <c r="AE330" s="62" t="str">
        <f>IF(AD330="","",COUNTIFS($AB$6:AB330,AB330,$AD$6:AD330,AD330))</f>
        <v/>
      </c>
      <c r="AF330" s="62">
        <f>IF(A330="",0,COUNTIF(fl_doc,A330))</f>
        <v>0.0</v>
      </c>
      <c r="AG330" s="62" t="str">
        <f>IF(A330="","",IF(AF330&gt;0,"Facture",IF(AND(F330&lt;&gt;"",AA330="Facture",ISNUMBER(MATCH(F330,dv_num,0))),"Devis","")))</f>
        <v/>
      </c>
      <c r="AH330" s="62" t="str">
        <f>IF(AND(A330&lt;&gt;"",F330&lt;&gt;"",AA330&lt;&gt;"Avoir"),F330,"")</f>
        <v/>
      </c>
      <c r="AI330" s="62" t="str">
        <f>IF(AG330="Devis",F330,"")</f>
        <v/>
      </c>
      <c r="AJ330" s="62">
        <f>IF(AG330="Facture",SUMIF(fl_doc,A330,fl_ht),IF(AG330="Devis",SUMIF(dl_doc,F330,dl_ht),0))</f>
        <v>0.0</v>
      </c>
      <c r="AK330" s="62">
        <f>IF(OR(AG330="",INDEX(p_rates,1)=""),0,IF(AG330="Facture",SUMIFS(fl_ht,fl_doc,A330,fl_rate,INDEX(p_rates,1)),SUMIFS(dl_ht,dl_doc,F330,dl_rate,INDEX(p_rates,1))))</f>
        <v>0.0</v>
      </c>
      <c r="AL330" s="62">
        <f>IF(OR(AG330="",INDEX(p_rates,2)=""),0,IF(AG330="Facture",SUMIFS(fl_ht,fl_doc,A330,fl_rate,INDEX(p_rates,2)),SUMIFS(dl_ht,dl_doc,F330,dl_rate,INDEX(p_rates,2))))</f>
        <v>0.0</v>
      </c>
      <c r="AM330" s="62">
        <f>IF(OR(AG330="",INDEX(p_rates,3)=""),0,IF(AG330="Facture",SUMIFS(fl_ht,fl_doc,A330,fl_rate,INDEX(p_rates,3)),SUMIFS(dl_ht,dl_doc,F330,dl_rate,INDEX(p_rates,3))))</f>
        <v>0.0</v>
      </c>
      <c r="AN330" s="62">
        <f>IF(OR(AG330="",INDEX(p_rates,4)=""),0,IF(AG330="Facture",SUMIFS(fl_ht,fl_doc,A330,fl_rate,INDEX(p_rates,4)),SUMIFS(dl_ht,dl_doc,F330,dl_rate,INDEX(p_rates,4))))</f>
        <v>0.0</v>
      </c>
      <c r="AO330" s="62">
        <f>IF(OR(AG330="",INDEX(p_rates,5)=""),0,IF(AG330="Facture",SUMIFS(fl_ht,fl_doc,A330,fl_rate,INDEX(p_rates,5)),SUMIFS(dl_ht,dl_doc,F330,dl_rate,INDEX(p_rates,5))))</f>
        <v>0.0</v>
      </c>
      <c r="AP330" s="62">
        <f>IF(OR(AG330="",INDEX(p_rates,6)=""),0,IF(AG330="Facture",SUMIFS(fl_ht,fl_doc,A330,fl_rate,INDEX(p_rates,6)),SUMIFS(dl_ht,dl_doc,F330,dl_rate,INDEX(p_rates,6))))</f>
        <v>0.0</v>
      </c>
      <c r="AQ330" s="62">
        <f>ROUND(AK330*N(INDEX(p_rates,1)),2)+ROUND(AL330*N(INDEX(p_rates,2)),2)+ROUND(AM330*N(INDEX(p_rates,3)),2)+ROUND(AN330*N(INDEX(p_rates,4)),2)+ROUND(AO330*N(INDEX(p_rates,5)),2)+ROUND(AP330*N(INDEX(p_rates,6)),2)</f>
        <v>0.0</v>
      </c>
      <c r="AR330" s="62" t="str">
        <f>IF(OR(L330="",AA330&lt;&gt;"Facture"),"",IFERROR(IF(INDEX(fa_type,MATCH(L330,fa_num,0))="Facture d'acompte",MATCH(L330,fa_num,0),""),""))</f>
        <v/>
      </c>
      <c r="AS330" s="62" t="str">
        <f>IF(W330="","",IF(W330&lt;=0,"",IF(p_asof-P330&lt;=0,"Non échu",IF(p_asof-P330&lt;=30,"1-30 j",IF(p_asof-P330&lt;=60,"31-60 j",IF(p_asof-P330&lt;=90,"61-90 j","Plus de 90 j"))))))</f>
        <v/>
      </c>
      <c r="AT330" s="62" t="str">
        <f>IF(AS330="","",p_asof-P330)</f>
        <v/>
      </c>
      <c r="AU330" s="62" t="str">
        <f>IF(AT330="","",COUNTIF($AT$6:$AT$805,"&gt;"&amp;AT330)+COUNTIF($AT$6:AT330,AT330))</f>
        <v/>
      </c>
    </row>
    <row r="331">
      <c r="A331" s="59" t="str">
        <f>IF(AE331="","",AB331&amp;"-"&amp;AD331&amp;"-"&amp;RIGHT("000"&amp;AE331,4))</f>
        <v/>
      </c>
      <c r="B331" s="60" t="n"/>
      <c r="C331" s="61" t="n"/>
      <c r="D331" s="60" t="n"/>
      <c r="E331" s="62" t="str">
        <f>IF(D331="","",IFERROR(INDEX(cli_name,MATCH(D331,cli_code,0))&amp;"","Client inconnu"))</f>
        <v/>
      </c>
      <c r="F331" s="60" t="n"/>
      <c r="G331" s="63" t="n"/>
      <c r="H331" s="61" t="n"/>
      <c r="I331" s="63" t="n"/>
      <c r="J331" s="60" t="n"/>
      <c r="K331" s="61" t="n"/>
      <c r="L331" s="60" t="n"/>
      <c r="M331" s="60" t="n"/>
      <c r="N331" s="60" t="n"/>
      <c r="O331" s="61" t="n"/>
      <c r="P331" s="64" t="str">
        <f>IF(A331="","",IF(AA331="Avoir",AC331,IF(ISNUMBER(K331),K331,AC331+IF(D331="",N(p_delay),IFERROR(IF(ISNUMBER(INDEX(cli_delay,MATCH(D331,cli_code,0))),INDEX(cli_delay,MATCH(D331,cli_code,0)),N(p_delay)),N(p_delay))))))</f>
        <v/>
      </c>
      <c r="Q331" s="65" t="str">
        <f>IF(A331="","",IF(AA331="Avoir",-1,1)*ROUND(AJ331-IF(AR331="",0,INDEX(fa_htb,AR331)),2))</f>
        <v/>
      </c>
      <c r="R331" s="65" t="str">
        <f>IF(A331="","",IF(AA331="Avoir",-1,1)*ROUND(AQ331-IF(AR331="",0,INDEX(fa_tvab,AR331)),2))</f>
        <v/>
      </c>
      <c r="S331" s="65" t="str">
        <f>IF(A331="","",Q331+R331)</f>
        <v/>
      </c>
      <c r="T331" s="65" t="str">
        <f>IF(AR331="","",INDEX(fa_htb,AR331)+INDEX(fa_tvab,AR331))</f>
        <v/>
      </c>
      <c r="U331" s="65" t="str">
        <f>IF(A331="","",SUMIF(pa_inv,A331,pa_amt))</f>
        <v/>
      </c>
      <c r="V331" s="65" t="str">
        <f>IF(OR(A331="",AA331="Avoir"),"",-SUMIFS(fa_ttc,fa_avof,A331,fa_type,"Avoir"))</f>
        <v/>
      </c>
      <c r="W331" s="65" t="str">
        <f>IF(OR(A331="",AA331="Avoir"),"",ROUND(S331-U331-V331,2))</f>
        <v/>
      </c>
      <c r="X331" s="66" t="str">
        <f>IF(W331="","",IF(AND(W331&gt;0,p_asof&gt;P331),p_asof-P331,""))</f>
        <v/>
      </c>
      <c r="Y331" s="59" t="str">
        <f>IF(A331="","",IF(AA331="Avoir","Avoir",IF(W331&lt;0,"Trop-perçu",IF(W331=0,"Soldée",IF(p_asof&gt;P331,"En retard",IF(U331+V331&gt;0,"Partielle","À échoir"))))))</f>
        <v/>
      </c>
      <c r="Z331" s="59" t="str">
        <f>IF(NOT(COUNTA(B331:D331,F331:O331)&gt;0),"",IF(C331="","Date manquante",IF(NOT(ISNUMBER(C331)),"Date invalide",IF(D331="","Client manquant",IF(ISNA(MATCH(D331,cli_code,0)),"Client inconnu",IF(AC331&lt;SUMPRODUCT(MAX(($AB$6:AB330=AB331)*$AC$6:AC330)),"Date antérieure à la facture précédente",IF(AND(F331&lt;&gt;"",ISNA(MATCH(F331,dv_num,0))),"Devis inconnu",IF(AND(F331&lt;&gt;"",IFERROR(INDEX(dv_client,MATCH(F331,dv_num,0)),D331)&lt;&gt;D331),"Client différent de celui du devis",IF(AG331="","Aucune ligne : saisissez des lignes ou un devis",IF(AND(AI331&lt;&gt;"",COUNTIF($AI$6:AI331,AI331)&gt;1),"Devis déjà repris par une autre facture",IF(AND(AA331="Avoir",M331=""),"Avoir : indiquez la facture d'origine",IF(AND(AA331="Avoir",ISNA(MATCH(M331,fa_num,0))),"Facture d'origine inconnue",IF(AND(AA331&lt;&gt;"Avoir",M331&lt;&gt;""),"« Avoir sur facture » : réservé aux avoirs",IF(AND(L331&lt;&gt;"",AA331&lt;&gt;"Facture"),"Acompte à déduire : réservé aux factures",IF(AND(L331&lt;&gt;"",ISNA(MATCH(L331,fa_num,0))),"Facture d'acompte inconnue",IF(AND(L331&lt;&gt;"",IFERROR(INDEX(fa_type,MATCH(L331,fa_num,0)),"")&lt;&gt;"Facture d'acompte"),"Le n° à déduire n'est pas une facture d'acompte",IF(AND(L331&lt;&gt;"",COUNTIF($L$6:L331,L331)&gt;1),"Acompte déjà déduit sur une autre facture",IF(AND(L331&lt;&gt;"",IFERROR(INDEX(fa_client,MATCH(L331,fa_num,0)),D331)&lt;&gt;D331),"Acompte d'un autre client",IF(AND(AR331&lt;&gt;"",N(Q331)&lt;0),"Acompte supérieur au total de la facture",IF(IF(AG331="Facture",COUNTIFS(fl_doc,A331,fl_check,"&lt;&gt;OK"),IF(AG331="Devis",COUNTIFS(dl_doc,F331,dl_check,"&lt;&gt;OK"),0))&gt;0,"Ligne(s) à corriger",IF(AND(W331&lt;&gt;"",N(W331)&lt;0),"Trop-perçu : vérifiez paiements et avoirs","OK")))))))))))))))))))))</f>
        <v/>
      </c>
      <c r="AA331" s="62" t="str">
        <f>IF(COUNTA(B331:D331,F331:O331)&gt;0,IF(B331="","Facture",B331),"")</f>
        <v/>
      </c>
      <c r="AB331" s="62" t="str">
        <f>IF(AA331="","",IF(AA331="Avoir",p_pav,IF(AA331="Facture d'acompte",p_pac,p_pfa)))</f>
        <v/>
      </c>
      <c r="AC331" s="62">
        <f>IF(ISNUMBER(C331),C331,0)</f>
        <v>0.0</v>
      </c>
      <c r="AD331" s="62" t="str">
        <f>IF(OR(AA331="",AC331=0),"",YEAR(AC331))</f>
        <v/>
      </c>
      <c r="AE331" s="62" t="str">
        <f>IF(AD331="","",COUNTIFS($AB$6:AB331,AB331,$AD$6:AD331,AD331))</f>
        <v/>
      </c>
      <c r="AF331" s="62">
        <f>IF(A331="",0,COUNTIF(fl_doc,A331))</f>
        <v>0.0</v>
      </c>
      <c r="AG331" s="62" t="str">
        <f>IF(A331="","",IF(AF331&gt;0,"Facture",IF(AND(F331&lt;&gt;"",AA331="Facture",ISNUMBER(MATCH(F331,dv_num,0))),"Devis","")))</f>
        <v/>
      </c>
      <c r="AH331" s="62" t="str">
        <f>IF(AND(A331&lt;&gt;"",F331&lt;&gt;"",AA331&lt;&gt;"Avoir"),F331,"")</f>
        <v/>
      </c>
      <c r="AI331" s="62" t="str">
        <f>IF(AG331="Devis",F331,"")</f>
        <v/>
      </c>
      <c r="AJ331" s="62">
        <f>IF(AG331="Facture",SUMIF(fl_doc,A331,fl_ht),IF(AG331="Devis",SUMIF(dl_doc,F331,dl_ht),0))</f>
        <v>0.0</v>
      </c>
      <c r="AK331" s="62">
        <f>IF(OR(AG331="",INDEX(p_rates,1)=""),0,IF(AG331="Facture",SUMIFS(fl_ht,fl_doc,A331,fl_rate,INDEX(p_rates,1)),SUMIFS(dl_ht,dl_doc,F331,dl_rate,INDEX(p_rates,1))))</f>
        <v>0.0</v>
      </c>
      <c r="AL331" s="62">
        <f>IF(OR(AG331="",INDEX(p_rates,2)=""),0,IF(AG331="Facture",SUMIFS(fl_ht,fl_doc,A331,fl_rate,INDEX(p_rates,2)),SUMIFS(dl_ht,dl_doc,F331,dl_rate,INDEX(p_rates,2))))</f>
        <v>0.0</v>
      </c>
      <c r="AM331" s="62">
        <f>IF(OR(AG331="",INDEX(p_rates,3)=""),0,IF(AG331="Facture",SUMIFS(fl_ht,fl_doc,A331,fl_rate,INDEX(p_rates,3)),SUMIFS(dl_ht,dl_doc,F331,dl_rate,INDEX(p_rates,3))))</f>
        <v>0.0</v>
      </c>
      <c r="AN331" s="62">
        <f>IF(OR(AG331="",INDEX(p_rates,4)=""),0,IF(AG331="Facture",SUMIFS(fl_ht,fl_doc,A331,fl_rate,INDEX(p_rates,4)),SUMIFS(dl_ht,dl_doc,F331,dl_rate,INDEX(p_rates,4))))</f>
        <v>0.0</v>
      </c>
      <c r="AO331" s="62">
        <f>IF(OR(AG331="",INDEX(p_rates,5)=""),0,IF(AG331="Facture",SUMIFS(fl_ht,fl_doc,A331,fl_rate,INDEX(p_rates,5)),SUMIFS(dl_ht,dl_doc,F331,dl_rate,INDEX(p_rates,5))))</f>
        <v>0.0</v>
      </c>
      <c r="AP331" s="62">
        <f>IF(OR(AG331="",INDEX(p_rates,6)=""),0,IF(AG331="Facture",SUMIFS(fl_ht,fl_doc,A331,fl_rate,INDEX(p_rates,6)),SUMIFS(dl_ht,dl_doc,F331,dl_rate,INDEX(p_rates,6))))</f>
        <v>0.0</v>
      </c>
      <c r="AQ331" s="62">
        <f>ROUND(AK331*N(INDEX(p_rates,1)),2)+ROUND(AL331*N(INDEX(p_rates,2)),2)+ROUND(AM331*N(INDEX(p_rates,3)),2)+ROUND(AN331*N(INDEX(p_rates,4)),2)+ROUND(AO331*N(INDEX(p_rates,5)),2)+ROUND(AP331*N(INDEX(p_rates,6)),2)</f>
        <v>0.0</v>
      </c>
      <c r="AR331" s="62" t="str">
        <f>IF(OR(L331="",AA331&lt;&gt;"Facture"),"",IFERROR(IF(INDEX(fa_type,MATCH(L331,fa_num,0))="Facture d'acompte",MATCH(L331,fa_num,0),""),""))</f>
        <v/>
      </c>
      <c r="AS331" s="62" t="str">
        <f>IF(W331="","",IF(W331&lt;=0,"",IF(p_asof-P331&lt;=0,"Non échu",IF(p_asof-P331&lt;=30,"1-30 j",IF(p_asof-P331&lt;=60,"31-60 j",IF(p_asof-P331&lt;=90,"61-90 j","Plus de 90 j"))))))</f>
        <v/>
      </c>
      <c r="AT331" s="62" t="str">
        <f>IF(AS331="","",p_asof-P331)</f>
        <v/>
      </c>
      <c r="AU331" s="62" t="str">
        <f>IF(AT331="","",COUNTIF($AT$6:$AT$805,"&gt;"&amp;AT331)+COUNTIF($AT$6:AT331,AT331))</f>
        <v/>
      </c>
    </row>
    <row r="332">
      <c r="A332" s="59" t="str">
        <f>IF(AE332="","",AB332&amp;"-"&amp;AD332&amp;"-"&amp;RIGHT("000"&amp;AE332,4))</f>
        <v/>
      </c>
      <c r="B332" s="60" t="n"/>
      <c r="C332" s="61" t="n"/>
      <c r="D332" s="60" t="n"/>
      <c r="E332" s="62" t="str">
        <f>IF(D332="","",IFERROR(INDEX(cli_name,MATCH(D332,cli_code,0))&amp;"","Client inconnu"))</f>
        <v/>
      </c>
      <c r="F332" s="60" t="n"/>
      <c r="G332" s="63" t="n"/>
      <c r="H332" s="61" t="n"/>
      <c r="I332" s="63" t="n"/>
      <c r="J332" s="60" t="n"/>
      <c r="K332" s="61" t="n"/>
      <c r="L332" s="60" t="n"/>
      <c r="M332" s="60" t="n"/>
      <c r="N332" s="60" t="n"/>
      <c r="O332" s="61" t="n"/>
      <c r="P332" s="64" t="str">
        <f>IF(A332="","",IF(AA332="Avoir",AC332,IF(ISNUMBER(K332),K332,AC332+IF(D332="",N(p_delay),IFERROR(IF(ISNUMBER(INDEX(cli_delay,MATCH(D332,cli_code,0))),INDEX(cli_delay,MATCH(D332,cli_code,0)),N(p_delay)),N(p_delay))))))</f>
        <v/>
      </c>
      <c r="Q332" s="65" t="str">
        <f>IF(A332="","",IF(AA332="Avoir",-1,1)*ROUND(AJ332-IF(AR332="",0,INDEX(fa_htb,AR332)),2))</f>
        <v/>
      </c>
      <c r="R332" s="65" t="str">
        <f>IF(A332="","",IF(AA332="Avoir",-1,1)*ROUND(AQ332-IF(AR332="",0,INDEX(fa_tvab,AR332)),2))</f>
        <v/>
      </c>
      <c r="S332" s="65" t="str">
        <f>IF(A332="","",Q332+R332)</f>
        <v/>
      </c>
      <c r="T332" s="65" t="str">
        <f>IF(AR332="","",INDEX(fa_htb,AR332)+INDEX(fa_tvab,AR332))</f>
        <v/>
      </c>
      <c r="U332" s="65" t="str">
        <f>IF(A332="","",SUMIF(pa_inv,A332,pa_amt))</f>
        <v/>
      </c>
      <c r="V332" s="65" t="str">
        <f>IF(OR(A332="",AA332="Avoir"),"",-SUMIFS(fa_ttc,fa_avof,A332,fa_type,"Avoir"))</f>
        <v/>
      </c>
      <c r="W332" s="65" t="str">
        <f>IF(OR(A332="",AA332="Avoir"),"",ROUND(S332-U332-V332,2))</f>
        <v/>
      </c>
      <c r="X332" s="66" t="str">
        <f>IF(W332="","",IF(AND(W332&gt;0,p_asof&gt;P332),p_asof-P332,""))</f>
        <v/>
      </c>
      <c r="Y332" s="59" t="str">
        <f>IF(A332="","",IF(AA332="Avoir","Avoir",IF(W332&lt;0,"Trop-perçu",IF(W332=0,"Soldée",IF(p_asof&gt;P332,"En retard",IF(U332+V332&gt;0,"Partielle","À échoir"))))))</f>
        <v/>
      </c>
      <c r="Z332" s="59" t="str">
        <f>IF(NOT(COUNTA(B332:D332,F332:O332)&gt;0),"",IF(C332="","Date manquante",IF(NOT(ISNUMBER(C332)),"Date invalide",IF(D332="","Client manquant",IF(ISNA(MATCH(D332,cli_code,0)),"Client inconnu",IF(AC332&lt;SUMPRODUCT(MAX(($AB$6:AB331=AB332)*$AC$6:AC331)),"Date antérieure à la facture précédente",IF(AND(F332&lt;&gt;"",ISNA(MATCH(F332,dv_num,0))),"Devis inconnu",IF(AND(F332&lt;&gt;"",IFERROR(INDEX(dv_client,MATCH(F332,dv_num,0)),D332)&lt;&gt;D332),"Client différent de celui du devis",IF(AG332="","Aucune ligne : saisissez des lignes ou un devis",IF(AND(AI332&lt;&gt;"",COUNTIF($AI$6:AI332,AI332)&gt;1),"Devis déjà repris par une autre facture",IF(AND(AA332="Avoir",M332=""),"Avoir : indiquez la facture d'origine",IF(AND(AA332="Avoir",ISNA(MATCH(M332,fa_num,0))),"Facture d'origine inconnue",IF(AND(AA332&lt;&gt;"Avoir",M332&lt;&gt;""),"« Avoir sur facture » : réservé aux avoirs",IF(AND(L332&lt;&gt;"",AA332&lt;&gt;"Facture"),"Acompte à déduire : réservé aux factures",IF(AND(L332&lt;&gt;"",ISNA(MATCH(L332,fa_num,0))),"Facture d'acompte inconnue",IF(AND(L332&lt;&gt;"",IFERROR(INDEX(fa_type,MATCH(L332,fa_num,0)),"")&lt;&gt;"Facture d'acompte"),"Le n° à déduire n'est pas une facture d'acompte",IF(AND(L332&lt;&gt;"",COUNTIF($L$6:L332,L332)&gt;1),"Acompte déjà déduit sur une autre facture",IF(AND(L332&lt;&gt;"",IFERROR(INDEX(fa_client,MATCH(L332,fa_num,0)),D332)&lt;&gt;D332),"Acompte d'un autre client",IF(AND(AR332&lt;&gt;"",N(Q332)&lt;0),"Acompte supérieur au total de la facture",IF(IF(AG332="Facture",COUNTIFS(fl_doc,A332,fl_check,"&lt;&gt;OK"),IF(AG332="Devis",COUNTIFS(dl_doc,F332,dl_check,"&lt;&gt;OK"),0))&gt;0,"Ligne(s) à corriger",IF(AND(W332&lt;&gt;"",N(W332)&lt;0),"Trop-perçu : vérifiez paiements et avoirs","OK")))))))))))))))))))))</f>
        <v/>
      </c>
      <c r="AA332" s="62" t="str">
        <f>IF(COUNTA(B332:D332,F332:O332)&gt;0,IF(B332="","Facture",B332),"")</f>
        <v/>
      </c>
      <c r="AB332" s="62" t="str">
        <f>IF(AA332="","",IF(AA332="Avoir",p_pav,IF(AA332="Facture d'acompte",p_pac,p_pfa)))</f>
        <v/>
      </c>
      <c r="AC332" s="62">
        <f>IF(ISNUMBER(C332),C332,0)</f>
        <v>0.0</v>
      </c>
      <c r="AD332" s="62" t="str">
        <f>IF(OR(AA332="",AC332=0),"",YEAR(AC332))</f>
        <v/>
      </c>
      <c r="AE332" s="62" t="str">
        <f>IF(AD332="","",COUNTIFS($AB$6:AB332,AB332,$AD$6:AD332,AD332))</f>
        <v/>
      </c>
      <c r="AF332" s="62">
        <f>IF(A332="",0,COUNTIF(fl_doc,A332))</f>
        <v>0.0</v>
      </c>
      <c r="AG332" s="62" t="str">
        <f>IF(A332="","",IF(AF332&gt;0,"Facture",IF(AND(F332&lt;&gt;"",AA332="Facture",ISNUMBER(MATCH(F332,dv_num,0))),"Devis","")))</f>
        <v/>
      </c>
      <c r="AH332" s="62" t="str">
        <f>IF(AND(A332&lt;&gt;"",F332&lt;&gt;"",AA332&lt;&gt;"Avoir"),F332,"")</f>
        <v/>
      </c>
      <c r="AI332" s="62" t="str">
        <f>IF(AG332="Devis",F332,"")</f>
        <v/>
      </c>
      <c r="AJ332" s="62">
        <f>IF(AG332="Facture",SUMIF(fl_doc,A332,fl_ht),IF(AG332="Devis",SUMIF(dl_doc,F332,dl_ht),0))</f>
        <v>0.0</v>
      </c>
      <c r="AK332" s="62">
        <f>IF(OR(AG332="",INDEX(p_rates,1)=""),0,IF(AG332="Facture",SUMIFS(fl_ht,fl_doc,A332,fl_rate,INDEX(p_rates,1)),SUMIFS(dl_ht,dl_doc,F332,dl_rate,INDEX(p_rates,1))))</f>
        <v>0.0</v>
      </c>
      <c r="AL332" s="62">
        <f>IF(OR(AG332="",INDEX(p_rates,2)=""),0,IF(AG332="Facture",SUMIFS(fl_ht,fl_doc,A332,fl_rate,INDEX(p_rates,2)),SUMIFS(dl_ht,dl_doc,F332,dl_rate,INDEX(p_rates,2))))</f>
        <v>0.0</v>
      </c>
      <c r="AM332" s="62">
        <f>IF(OR(AG332="",INDEX(p_rates,3)=""),0,IF(AG332="Facture",SUMIFS(fl_ht,fl_doc,A332,fl_rate,INDEX(p_rates,3)),SUMIFS(dl_ht,dl_doc,F332,dl_rate,INDEX(p_rates,3))))</f>
        <v>0.0</v>
      </c>
      <c r="AN332" s="62">
        <f>IF(OR(AG332="",INDEX(p_rates,4)=""),0,IF(AG332="Facture",SUMIFS(fl_ht,fl_doc,A332,fl_rate,INDEX(p_rates,4)),SUMIFS(dl_ht,dl_doc,F332,dl_rate,INDEX(p_rates,4))))</f>
        <v>0.0</v>
      </c>
      <c r="AO332" s="62">
        <f>IF(OR(AG332="",INDEX(p_rates,5)=""),0,IF(AG332="Facture",SUMIFS(fl_ht,fl_doc,A332,fl_rate,INDEX(p_rates,5)),SUMIFS(dl_ht,dl_doc,F332,dl_rate,INDEX(p_rates,5))))</f>
        <v>0.0</v>
      </c>
      <c r="AP332" s="62">
        <f>IF(OR(AG332="",INDEX(p_rates,6)=""),0,IF(AG332="Facture",SUMIFS(fl_ht,fl_doc,A332,fl_rate,INDEX(p_rates,6)),SUMIFS(dl_ht,dl_doc,F332,dl_rate,INDEX(p_rates,6))))</f>
        <v>0.0</v>
      </c>
      <c r="AQ332" s="62">
        <f>ROUND(AK332*N(INDEX(p_rates,1)),2)+ROUND(AL332*N(INDEX(p_rates,2)),2)+ROUND(AM332*N(INDEX(p_rates,3)),2)+ROUND(AN332*N(INDEX(p_rates,4)),2)+ROUND(AO332*N(INDEX(p_rates,5)),2)+ROUND(AP332*N(INDEX(p_rates,6)),2)</f>
        <v>0.0</v>
      </c>
      <c r="AR332" s="62" t="str">
        <f>IF(OR(L332="",AA332&lt;&gt;"Facture"),"",IFERROR(IF(INDEX(fa_type,MATCH(L332,fa_num,0))="Facture d'acompte",MATCH(L332,fa_num,0),""),""))</f>
        <v/>
      </c>
      <c r="AS332" s="62" t="str">
        <f>IF(W332="","",IF(W332&lt;=0,"",IF(p_asof-P332&lt;=0,"Non échu",IF(p_asof-P332&lt;=30,"1-30 j",IF(p_asof-P332&lt;=60,"31-60 j",IF(p_asof-P332&lt;=90,"61-90 j","Plus de 90 j"))))))</f>
        <v/>
      </c>
      <c r="AT332" s="62" t="str">
        <f>IF(AS332="","",p_asof-P332)</f>
        <v/>
      </c>
      <c r="AU332" s="62" t="str">
        <f>IF(AT332="","",COUNTIF($AT$6:$AT$805,"&gt;"&amp;AT332)+COUNTIF($AT$6:AT332,AT332))</f>
        <v/>
      </c>
    </row>
    <row r="333">
      <c r="A333" s="59" t="str">
        <f>IF(AE333="","",AB333&amp;"-"&amp;AD333&amp;"-"&amp;RIGHT("000"&amp;AE333,4))</f>
        <v/>
      </c>
      <c r="B333" s="60" t="n"/>
      <c r="C333" s="61" t="n"/>
      <c r="D333" s="60" t="n"/>
      <c r="E333" s="62" t="str">
        <f>IF(D333="","",IFERROR(INDEX(cli_name,MATCH(D333,cli_code,0))&amp;"","Client inconnu"))</f>
        <v/>
      </c>
      <c r="F333" s="60" t="n"/>
      <c r="G333" s="63" t="n"/>
      <c r="H333" s="61" t="n"/>
      <c r="I333" s="63" t="n"/>
      <c r="J333" s="60" t="n"/>
      <c r="K333" s="61" t="n"/>
      <c r="L333" s="60" t="n"/>
      <c r="M333" s="60" t="n"/>
      <c r="N333" s="60" t="n"/>
      <c r="O333" s="61" t="n"/>
      <c r="P333" s="64" t="str">
        <f>IF(A333="","",IF(AA333="Avoir",AC333,IF(ISNUMBER(K333),K333,AC333+IF(D333="",N(p_delay),IFERROR(IF(ISNUMBER(INDEX(cli_delay,MATCH(D333,cli_code,0))),INDEX(cli_delay,MATCH(D333,cli_code,0)),N(p_delay)),N(p_delay))))))</f>
        <v/>
      </c>
      <c r="Q333" s="65" t="str">
        <f>IF(A333="","",IF(AA333="Avoir",-1,1)*ROUND(AJ333-IF(AR333="",0,INDEX(fa_htb,AR333)),2))</f>
        <v/>
      </c>
      <c r="R333" s="65" t="str">
        <f>IF(A333="","",IF(AA333="Avoir",-1,1)*ROUND(AQ333-IF(AR333="",0,INDEX(fa_tvab,AR333)),2))</f>
        <v/>
      </c>
      <c r="S333" s="65" t="str">
        <f>IF(A333="","",Q333+R333)</f>
        <v/>
      </c>
      <c r="T333" s="65" t="str">
        <f>IF(AR333="","",INDEX(fa_htb,AR333)+INDEX(fa_tvab,AR333))</f>
        <v/>
      </c>
      <c r="U333" s="65" t="str">
        <f>IF(A333="","",SUMIF(pa_inv,A333,pa_amt))</f>
        <v/>
      </c>
      <c r="V333" s="65" t="str">
        <f>IF(OR(A333="",AA333="Avoir"),"",-SUMIFS(fa_ttc,fa_avof,A333,fa_type,"Avoir"))</f>
        <v/>
      </c>
      <c r="W333" s="65" t="str">
        <f>IF(OR(A333="",AA333="Avoir"),"",ROUND(S333-U333-V333,2))</f>
        <v/>
      </c>
      <c r="X333" s="66" t="str">
        <f>IF(W333="","",IF(AND(W333&gt;0,p_asof&gt;P333),p_asof-P333,""))</f>
        <v/>
      </c>
      <c r="Y333" s="59" t="str">
        <f>IF(A333="","",IF(AA333="Avoir","Avoir",IF(W333&lt;0,"Trop-perçu",IF(W333=0,"Soldée",IF(p_asof&gt;P333,"En retard",IF(U333+V333&gt;0,"Partielle","À échoir"))))))</f>
        <v/>
      </c>
      <c r="Z333" s="59" t="str">
        <f>IF(NOT(COUNTA(B333:D333,F333:O333)&gt;0),"",IF(C333="","Date manquante",IF(NOT(ISNUMBER(C333)),"Date invalide",IF(D333="","Client manquant",IF(ISNA(MATCH(D333,cli_code,0)),"Client inconnu",IF(AC333&lt;SUMPRODUCT(MAX(($AB$6:AB332=AB333)*$AC$6:AC332)),"Date antérieure à la facture précédente",IF(AND(F333&lt;&gt;"",ISNA(MATCH(F333,dv_num,0))),"Devis inconnu",IF(AND(F333&lt;&gt;"",IFERROR(INDEX(dv_client,MATCH(F333,dv_num,0)),D333)&lt;&gt;D333),"Client différent de celui du devis",IF(AG333="","Aucune ligne : saisissez des lignes ou un devis",IF(AND(AI333&lt;&gt;"",COUNTIF($AI$6:AI333,AI333)&gt;1),"Devis déjà repris par une autre facture",IF(AND(AA333="Avoir",M333=""),"Avoir : indiquez la facture d'origine",IF(AND(AA333="Avoir",ISNA(MATCH(M333,fa_num,0))),"Facture d'origine inconnue",IF(AND(AA333&lt;&gt;"Avoir",M333&lt;&gt;""),"« Avoir sur facture » : réservé aux avoirs",IF(AND(L333&lt;&gt;"",AA333&lt;&gt;"Facture"),"Acompte à déduire : réservé aux factures",IF(AND(L333&lt;&gt;"",ISNA(MATCH(L333,fa_num,0))),"Facture d'acompte inconnue",IF(AND(L333&lt;&gt;"",IFERROR(INDEX(fa_type,MATCH(L333,fa_num,0)),"")&lt;&gt;"Facture d'acompte"),"Le n° à déduire n'est pas une facture d'acompte",IF(AND(L333&lt;&gt;"",COUNTIF($L$6:L333,L333)&gt;1),"Acompte déjà déduit sur une autre facture",IF(AND(L333&lt;&gt;"",IFERROR(INDEX(fa_client,MATCH(L333,fa_num,0)),D333)&lt;&gt;D333),"Acompte d'un autre client",IF(AND(AR333&lt;&gt;"",N(Q333)&lt;0),"Acompte supérieur au total de la facture",IF(IF(AG333="Facture",COUNTIFS(fl_doc,A333,fl_check,"&lt;&gt;OK"),IF(AG333="Devis",COUNTIFS(dl_doc,F333,dl_check,"&lt;&gt;OK"),0))&gt;0,"Ligne(s) à corriger",IF(AND(W333&lt;&gt;"",N(W333)&lt;0),"Trop-perçu : vérifiez paiements et avoirs","OK")))))))))))))))))))))</f>
        <v/>
      </c>
      <c r="AA333" s="62" t="str">
        <f>IF(COUNTA(B333:D333,F333:O333)&gt;0,IF(B333="","Facture",B333),"")</f>
        <v/>
      </c>
      <c r="AB333" s="62" t="str">
        <f>IF(AA333="","",IF(AA333="Avoir",p_pav,IF(AA333="Facture d'acompte",p_pac,p_pfa)))</f>
        <v/>
      </c>
      <c r="AC333" s="62">
        <f>IF(ISNUMBER(C333),C333,0)</f>
        <v>0.0</v>
      </c>
      <c r="AD333" s="62" t="str">
        <f>IF(OR(AA333="",AC333=0),"",YEAR(AC333))</f>
        <v/>
      </c>
      <c r="AE333" s="62" t="str">
        <f>IF(AD333="","",COUNTIFS($AB$6:AB333,AB333,$AD$6:AD333,AD333))</f>
        <v/>
      </c>
      <c r="AF333" s="62">
        <f>IF(A333="",0,COUNTIF(fl_doc,A333))</f>
        <v>0.0</v>
      </c>
      <c r="AG333" s="62" t="str">
        <f>IF(A333="","",IF(AF333&gt;0,"Facture",IF(AND(F333&lt;&gt;"",AA333="Facture",ISNUMBER(MATCH(F333,dv_num,0))),"Devis","")))</f>
        <v/>
      </c>
      <c r="AH333" s="62" t="str">
        <f>IF(AND(A333&lt;&gt;"",F333&lt;&gt;"",AA333&lt;&gt;"Avoir"),F333,"")</f>
        <v/>
      </c>
      <c r="AI333" s="62" t="str">
        <f>IF(AG333="Devis",F333,"")</f>
        <v/>
      </c>
      <c r="AJ333" s="62">
        <f>IF(AG333="Facture",SUMIF(fl_doc,A333,fl_ht),IF(AG333="Devis",SUMIF(dl_doc,F333,dl_ht),0))</f>
        <v>0.0</v>
      </c>
      <c r="AK333" s="62">
        <f>IF(OR(AG333="",INDEX(p_rates,1)=""),0,IF(AG333="Facture",SUMIFS(fl_ht,fl_doc,A333,fl_rate,INDEX(p_rates,1)),SUMIFS(dl_ht,dl_doc,F333,dl_rate,INDEX(p_rates,1))))</f>
        <v>0.0</v>
      </c>
      <c r="AL333" s="62">
        <f>IF(OR(AG333="",INDEX(p_rates,2)=""),0,IF(AG333="Facture",SUMIFS(fl_ht,fl_doc,A333,fl_rate,INDEX(p_rates,2)),SUMIFS(dl_ht,dl_doc,F333,dl_rate,INDEX(p_rates,2))))</f>
        <v>0.0</v>
      </c>
      <c r="AM333" s="62">
        <f>IF(OR(AG333="",INDEX(p_rates,3)=""),0,IF(AG333="Facture",SUMIFS(fl_ht,fl_doc,A333,fl_rate,INDEX(p_rates,3)),SUMIFS(dl_ht,dl_doc,F333,dl_rate,INDEX(p_rates,3))))</f>
        <v>0.0</v>
      </c>
      <c r="AN333" s="62">
        <f>IF(OR(AG333="",INDEX(p_rates,4)=""),0,IF(AG333="Facture",SUMIFS(fl_ht,fl_doc,A333,fl_rate,INDEX(p_rates,4)),SUMIFS(dl_ht,dl_doc,F333,dl_rate,INDEX(p_rates,4))))</f>
        <v>0.0</v>
      </c>
      <c r="AO333" s="62">
        <f>IF(OR(AG333="",INDEX(p_rates,5)=""),0,IF(AG333="Facture",SUMIFS(fl_ht,fl_doc,A333,fl_rate,INDEX(p_rates,5)),SUMIFS(dl_ht,dl_doc,F333,dl_rate,INDEX(p_rates,5))))</f>
        <v>0.0</v>
      </c>
      <c r="AP333" s="62">
        <f>IF(OR(AG333="",INDEX(p_rates,6)=""),0,IF(AG333="Facture",SUMIFS(fl_ht,fl_doc,A333,fl_rate,INDEX(p_rates,6)),SUMIFS(dl_ht,dl_doc,F333,dl_rate,INDEX(p_rates,6))))</f>
        <v>0.0</v>
      </c>
      <c r="AQ333" s="62">
        <f>ROUND(AK333*N(INDEX(p_rates,1)),2)+ROUND(AL333*N(INDEX(p_rates,2)),2)+ROUND(AM333*N(INDEX(p_rates,3)),2)+ROUND(AN333*N(INDEX(p_rates,4)),2)+ROUND(AO333*N(INDEX(p_rates,5)),2)+ROUND(AP333*N(INDEX(p_rates,6)),2)</f>
        <v>0.0</v>
      </c>
      <c r="AR333" s="62" t="str">
        <f>IF(OR(L333="",AA333&lt;&gt;"Facture"),"",IFERROR(IF(INDEX(fa_type,MATCH(L333,fa_num,0))="Facture d'acompte",MATCH(L333,fa_num,0),""),""))</f>
        <v/>
      </c>
      <c r="AS333" s="62" t="str">
        <f>IF(W333="","",IF(W333&lt;=0,"",IF(p_asof-P333&lt;=0,"Non échu",IF(p_asof-P333&lt;=30,"1-30 j",IF(p_asof-P333&lt;=60,"31-60 j",IF(p_asof-P333&lt;=90,"61-90 j","Plus de 90 j"))))))</f>
        <v/>
      </c>
      <c r="AT333" s="62" t="str">
        <f>IF(AS333="","",p_asof-P333)</f>
        <v/>
      </c>
      <c r="AU333" s="62" t="str">
        <f>IF(AT333="","",COUNTIF($AT$6:$AT$805,"&gt;"&amp;AT333)+COUNTIF($AT$6:AT333,AT333))</f>
        <v/>
      </c>
    </row>
    <row r="334">
      <c r="A334" s="59" t="str">
        <f>IF(AE334="","",AB334&amp;"-"&amp;AD334&amp;"-"&amp;RIGHT("000"&amp;AE334,4))</f>
        <v/>
      </c>
      <c r="B334" s="60" t="n"/>
      <c r="C334" s="61" t="n"/>
      <c r="D334" s="60" t="n"/>
      <c r="E334" s="62" t="str">
        <f>IF(D334="","",IFERROR(INDEX(cli_name,MATCH(D334,cli_code,0))&amp;"","Client inconnu"))</f>
        <v/>
      </c>
      <c r="F334" s="60" t="n"/>
      <c r="G334" s="63" t="n"/>
      <c r="H334" s="61" t="n"/>
      <c r="I334" s="63" t="n"/>
      <c r="J334" s="60" t="n"/>
      <c r="K334" s="61" t="n"/>
      <c r="L334" s="60" t="n"/>
      <c r="M334" s="60" t="n"/>
      <c r="N334" s="60" t="n"/>
      <c r="O334" s="61" t="n"/>
      <c r="P334" s="64" t="str">
        <f>IF(A334="","",IF(AA334="Avoir",AC334,IF(ISNUMBER(K334),K334,AC334+IF(D334="",N(p_delay),IFERROR(IF(ISNUMBER(INDEX(cli_delay,MATCH(D334,cli_code,0))),INDEX(cli_delay,MATCH(D334,cli_code,0)),N(p_delay)),N(p_delay))))))</f>
        <v/>
      </c>
      <c r="Q334" s="65" t="str">
        <f>IF(A334="","",IF(AA334="Avoir",-1,1)*ROUND(AJ334-IF(AR334="",0,INDEX(fa_htb,AR334)),2))</f>
        <v/>
      </c>
      <c r="R334" s="65" t="str">
        <f>IF(A334="","",IF(AA334="Avoir",-1,1)*ROUND(AQ334-IF(AR334="",0,INDEX(fa_tvab,AR334)),2))</f>
        <v/>
      </c>
      <c r="S334" s="65" t="str">
        <f>IF(A334="","",Q334+R334)</f>
        <v/>
      </c>
      <c r="T334" s="65" t="str">
        <f>IF(AR334="","",INDEX(fa_htb,AR334)+INDEX(fa_tvab,AR334))</f>
        <v/>
      </c>
      <c r="U334" s="65" t="str">
        <f>IF(A334="","",SUMIF(pa_inv,A334,pa_amt))</f>
        <v/>
      </c>
      <c r="V334" s="65" t="str">
        <f>IF(OR(A334="",AA334="Avoir"),"",-SUMIFS(fa_ttc,fa_avof,A334,fa_type,"Avoir"))</f>
        <v/>
      </c>
      <c r="W334" s="65" t="str">
        <f>IF(OR(A334="",AA334="Avoir"),"",ROUND(S334-U334-V334,2))</f>
        <v/>
      </c>
      <c r="X334" s="66" t="str">
        <f>IF(W334="","",IF(AND(W334&gt;0,p_asof&gt;P334),p_asof-P334,""))</f>
        <v/>
      </c>
      <c r="Y334" s="59" t="str">
        <f>IF(A334="","",IF(AA334="Avoir","Avoir",IF(W334&lt;0,"Trop-perçu",IF(W334=0,"Soldée",IF(p_asof&gt;P334,"En retard",IF(U334+V334&gt;0,"Partielle","À échoir"))))))</f>
        <v/>
      </c>
      <c r="Z334" s="59" t="str">
        <f>IF(NOT(COUNTA(B334:D334,F334:O334)&gt;0),"",IF(C334="","Date manquante",IF(NOT(ISNUMBER(C334)),"Date invalide",IF(D334="","Client manquant",IF(ISNA(MATCH(D334,cli_code,0)),"Client inconnu",IF(AC334&lt;SUMPRODUCT(MAX(($AB$6:AB333=AB334)*$AC$6:AC333)),"Date antérieure à la facture précédente",IF(AND(F334&lt;&gt;"",ISNA(MATCH(F334,dv_num,0))),"Devis inconnu",IF(AND(F334&lt;&gt;"",IFERROR(INDEX(dv_client,MATCH(F334,dv_num,0)),D334)&lt;&gt;D334),"Client différent de celui du devis",IF(AG334="","Aucune ligne : saisissez des lignes ou un devis",IF(AND(AI334&lt;&gt;"",COUNTIF($AI$6:AI334,AI334)&gt;1),"Devis déjà repris par une autre facture",IF(AND(AA334="Avoir",M334=""),"Avoir : indiquez la facture d'origine",IF(AND(AA334="Avoir",ISNA(MATCH(M334,fa_num,0))),"Facture d'origine inconnue",IF(AND(AA334&lt;&gt;"Avoir",M334&lt;&gt;""),"« Avoir sur facture » : réservé aux avoirs",IF(AND(L334&lt;&gt;"",AA334&lt;&gt;"Facture"),"Acompte à déduire : réservé aux factures",IF(AND(L334&lt;&gt;"",ISNA(MATCH(L334,fa_num,0))),"Facture d'acompte inconnue",IF(AND(L334&lt;&gt;"",IFERROR(INDEX(fa_type,MATCH(L334,fa_num,0)),"")&lt;&gt;"Facture d'acompte"),"Le n° à déduire n'est pas une facture d'acompte",IF(AND(L334&lt;&gt;"",COUNTIF($L$6:L334,L334)&gt;1),"Acompte déjà déduit sur une autre facture",IF(AND(L334&lt;&gt;"",IFERROR(INDEX(fa_client,MATCH(L334,fa_num,0)),D334)&lt;&gt;D334),"Acompte d'un autre client",IF(AND(AR334&lt;&gt;"",N(Q334)&lt;0),"Acompte supérieur au total de la facture",IF(IF(AG334="Facture",COUNTIFS(fl_doc,A334,fl_check,"&lt;&gt;OK"),IF(AG334="Devis",COUNTIFS(dl_doc,F334,dl_check,"&lt;&gt;OK"),0))&gt;0,"Ligne(s) à corriger",IF(AND(W334&lt;&gt;"",N(W334)&lt;0),"Trop-perçu : vérifiez paiements et avoirs","OK")))))))))))))))))))))</f>
        <v/>
      </c>
      <c r="AA334" s="62" t="str">
        <f>IF(COUNTA(B334:D334,F334:O334)&gt;0,IF(B334="","Facture",B334),"")</f>
        <v/>
      </c>
      <c r="AB334" s="62" t="str">
        <f>IF(AA334="","",IF(AA334="Avoir",p_pav,IF(AA334="Facture d'acompte",p_pac,p_pfa)))</f>
        <v/>
      </c>
      <c r="AC334" s="62">
        <f>IF(ISNUMBER(C334),C334,0)</f>
        <v>0.0</v>
      </c>
      <c r="AD334" s="62" t="str">
        <f>IF(OR(AA334="",AC334=0),"",YEAR(AC334))</f>
        <v/>
      </c>
      <c r="AE334" s="62" t="str">
        <f>IF(AD334="","",COUNTIFS($AB$6:AB334,AB334,$AD$6:AD334,AD334))</f>
        <v/>
      </c>
      <c r="AF334" s="62">
        <f>IF(A334="",0,COUNTIF(fl_doc,A334))</f>
        <v>0.0</v>
      </c>
      <c r="AG334" s="62" t="str">
        <f>IF(A334="","",IF(AF334&gt;0,"Facture",IF(AND(F334&lt;&gt;"",AA334="Facture",ISNUMBER(MATCH(F334,dv_num,0))),"Devis","")))</f>
        <v/>
      </c>
      <c r="AH334" s="62" t="str">
        <f>IF(AND(A334&lt;&gt;"",F334&lt;&gt;"",AA334&lt;&gt;"Avoir"),F334,"")</f>
        <v/>
      </c>
      <c r="AI334" s="62" t="str">
        <f>IF(AG334="Devis",F334,"")</f>
        <v/>
      </c>
      <c r="AJ334" s="62">
        <f>IF(AG334="Facture",SUMIF(fl_doc,A334,fl_ht),IF(AG334="Devis",SUMIF(dl_doc,F334,dl_ht),0))</f>
        <v>0.0</v>
      </c>
      <c r="AK334" s="62">
        <f>IF(OR(AG334="",INDEX(p_rates,1)=""),0,IF(AG334="Facture",SUMIFS(fl_ht,fl_doc,A334,fl_rate,INDEX(p_rates,1)),SUMIFS(dl_ht,dl_doc,F334,dl_rate,INDEX(p_rates,1))))</f>
        <v>0.0</v>
      </c>
      <c r="AL334" s="62">
        <f>IF(OR(AG334="",INDEX(p_rates,2)=""),0,IF(AG334="Facture",SUMIFS(fl_ht,fl_doc,A334,fl_rate,INDEX(p_rates,2)),SUMIFS(dl_ht,dl_doc,F334,dl_rate,INDEX(p_rates,2))))</f>
        <v>0.0</v>
      </c>
      <c r="AM334" s="62">
        <f>IF(OR(AG334="",INDEX(p_rates,3)=""),0,IF(AG334="Facture",SUMIFS(fl_ht,fl_doc,A334,fl_rate,INDEX(p_rates,3)),SUMIFS(dl_ht,dl_doc,F334,dl_rate,INDEX(p_rates,3))))</f>
        <v>0.0</v>
      </c>
      <c r="AN334" s="62">
        <f>IF(OR(AG334="",INDEX(p_rates,4)=""),0,IF(AG334="Facture",SUMIFS(fl_ht,fl_doc,A334,fl_rate,INDEX(p_rates,4)),SUMIFS(dl_ht,dl_doc,F334,dl_rate,INDEX(p_rates,4))))</f>
        <v>0.0</v>
      </c>
      <c r="AO334" s="62">
        <f>IF(OR(AG334="",INDEX(p_rates,5)=""),0,IF(AG334="Facture",SUMIFS(fl_ht,fl_doc,A334,fl_rate,INDEX(p_rates,5)),SUMIFS(dl_ht,dl_doc,F334,dl_rate,INDEX(p_rates,5))))</f>
        <v>0.0</v>
      </c>
      <c r="AP334" s="62">
        <f>IF(OR(AG334="",INDEX(p_rates,6)=""),0,IF(AG334="Facture",SUMIFS(fl_ht,fl_doc,A334,fl_rate,INDEX(p_rates,6)),SUMIFS(dl_ht,dl_doc,F334,dl_rate,INDEX(p_rates,6))))</f>
        <v>0.0</v>
      </c>
      <c r="AQ334" s="62">
        <f>ROUND(AK334*N(INDEX(p_rates,1)),2)+ROUND(AL334*N(INDEX(p_rates,2)),2)+ROUND(AM334*N(INDEX(p_rates,3)),2)+ROUND(AN334*N(INDEX(p_rates,4)),2)+ROUND(AO334*N(INDEX(p_rates,5)),2)+ROUND(AP334*N(INDEX(p_rates,6)),2)</f>
        <v>0.0</v>
      </c>
      <c r="AR334" s="62" t="str">
        <f>IF(OR(L334="",AA334&lt;&gt;"Facture"),"",IFERROR(IF(INDEX(fa_type,MATCH(L334,fa_num,0))="Facture d'acompte",MATCH(L334,fa_num,0),""),""))</f>
        <v/>
      </c>
      <c r="AS334" s="62" t="str">
        <f>IF(W334="","",IF(W334&lt;=0,"",IF(p_asof-P334&lt;=0,"Non échu",IF(p_asof-P334&lt;=30,"1-30 j",IF(p_asof-P334&lt;=60,"31-60 j",IF(p_asof-P334&lt;=90,"61-90 j","Plus de 90 j"))))))</f>
        <v/>
      </c>
      <c r="AT334" s="62" t="str">
        <f>IF(AS334="","",p_asof-P334)</f>
        <v/>
      </c>
      <c r="AU334" s="62" t="str">
        <f>IF(AT334="","",COUNTIF($AT$6:$AT$805,"&gt;"&amp;AT334)+COUNTIF($AT$6:AT334,AT334))</f>
        <v/>
      </c>
    </row>
    <row r="335">
      <c r="A335" s="59" t="str">
        <f>IF(AE335="","",AB335&amp;"-"&amp;AD335&amp;"-"&amp;RIGHT("000"&amp;AE335,4))</f>
        <v/>
      </c>
      <c r="B335" s="60" t="n"/>
      <c r="C335" s="61" t="n"/>
      <c r="D335" s="60" t="n"/>
      <c r="E335" s="62" t="str">
        <f>IF(D335="","",IFERROR(INDEX(cli_name,MATCH(D335,cli_code,0))&amp;"","Client inconnu"))</f>
        <v/>
      </c>
      <c r="F335" s="60" t="n"/>
      <c r="G335" s="63" t="n"/>
      <c r="H335" s="61" t="n"/>
      <c r="I335" s="63" t="n"/>
      <c r="J335" s="60" t="n"/>
      <c r="K335" s="61" t="n"/>
      <c r="L335" s="60" t="n"/>
      <c r="M335" s="60" t="n"/>
      <c r="N335" s="60" t="n"/>
      <c r="O335" s="61" t="n"/>
      <c r="P335" s="64" t="str">
        <f>IF(A335="","",IF(AA335="Avoir",AC335,IF(ISNUMBER(K335),K335,AC335+IF(D335="",N(p_delay),IFERROR(IF(ISNUMBER(INDEX(cli_delay,MATCH(D335,cli_code,0))),INDEX(cli_delay,MATCH(D335,cli_code,0)),N(p_delay)),N(p_delay))))))</f>
        <v/>
      </c>
      <c r="Q335" s="65" t="str">
        <f>IF(A335="","",IF(AA335="Avoir",-1,1)*ROUND(AJ335-IF(AR335="",0,INDEX(fa_htb,AR335)),2))</f>
        <v/>
      </c>
      <c r="R335" s="65" t="str">
        <f>IF(A335="","",IF(AA335="Avoir",-1,1)*ROUND(AQ335-IF(AR335="",0,INDEX(fa_tvab,AR335)),2))</f>
        <v/>
      </c>
      <c r="S335" s="65" t="str">
        <f>IF(A335="","",Q335+R335)</f>
        <v/>
      </c>
      <c r="T335" s="65" t="str">
        <f>IF(AR335="","",INDEX(fa_htb,AR335)+INDEX(fa_tvab,AR335))</f>
        <v/>
      </c>
      <c r="U335" s="65" t="str">
        <f>IF(A335="","",SUMIF(pa_inv,A335,pa_amt))</f>
        <v/>
      </c>
      <c r="V335" s="65" t="str">
        <f>IF(OR(A335="",AA335="Avoir"),"",-SUMIFS(fa_ttc,fa_avof,A335,fa_type,"Avoir"))</f>
        <v/>
      </c>
      <c r="W335" s="65" t="str">
        <f>IF(OR(A335="",AA335="Avoir"),"",ROUND(S335-U335-V335,2))</f>
        <v/>
      </c>
      <c r="X335" s="66" t="str">
        <f>IF(W335="","",IF(AND(W335&gt;0,p_asof&gt;P335),p_asof-P335,""))</f>
        <v/>
      </c>
      <c r="Y335" s="59" t="str">
        <f>IF(A335="","",IF(AA335="Avoir","Avoir",IF(W335&lt;0,"Trop-perçu",IF(W335=0,"Soldée",IF(p_asof&gt;P335,"En retard",IF(U335+V335&gt;0,"Partielle","À échoir"))))))</f>
        <v/>
      </c>
      <c r="Z335" s="59" t="str">
        <f>IF(NOT(COUNTA(B335:D335,F335:O335)&gt;0),"",IF(C335="","Date manquante",IF(NOT(ISNUMBER(C335)),"Date invalide",IF(D335="","Client manquant",IF(ISNA(MATCH(D335,cli_code,0)),"Client inconnu",IF(AC335&lt;SUMPRODUCT(MAX(($AB$6:AB334=AB335)*$AC$6:AC334)),"Date antérieure à la facture précédente",IF(AND(F335&lt;&gt;"",ISNA(MATCH(F335,dv_num,0))),"Devis inconnu",IF(AND(F335&lt;&gt;"",IFERROR(INDEX(dv_client,MATCH(F335,dv_num,0)),D335)&lt;&gt;D335),"Client différent de celui du devis",IF(AG335="","Aucune ligne : saisissez des lignes ou un devis",IF(AND(AI335&lt;&gt;"",COUNTIF($AI$6:AI335,AI335)&gt;1),"Devis déjà repris par une autre facture",IF(AND(AA335="Avoir",M335=""),"Avoir : indiquez la facture d'origine",IF(AND(AA335="Avoir",ISNA(MATCH(M335,fa_num,0))),"Facture d'origine inconnue",IF(AND(AA335&lt;&gt;"Avoir",M335&lt;&gt;""),"« Avoir sur facture » : réservé aux avoirs",IF(AND(L335&lt;&gt;"",AA335&lt;&gt;"Facture"),"Acompte à déduire : réservé aux factures",IF(AND(L335&lt;&gt;"",ISNA(MATCH(L335,fa_num,0))),"Facture d'acompte inconnue",IF(AND(L335&lt;&gt;"",IFERROR(INDEX(fa_type,MATCH(L335,fa_num,0)),"")&lt;&gt;"Facture d'acompte"),"Le n° à déduire n'est pas une facture d'acompte",IF(AND(L335&lt;&gt;"",COUNTIF($L$6:L335,L335)&gt;1),"Acompte déjà déduit sur une autre facture",IF(AND(L335&lt;&gt;"",IFERROR(INDEX(fa_client,MATCH(L335,fa_num,0)),D335)&lt;&gt;D335),"Acompte d'un autre client",IF(AND(AR335&lt;&gt;"",N(Q335)&lt;0),"Acompte supérieur au total de la facture",IF(IF(AG335="Facture",COUNTIFS(fl_doc,A335,fl_check,"&lt;&gt;OK"),IF(AG335="Devis",COUNTIFS(dl_doc,F335,dl_check,"&lt;&gt;OK"),0))&gt;0,"Ligne(s) à corriger",IF(AND(W335&lt;&gt;"",N(W335)&lt;0),"Trop-perçu : vérifiez paiements et avoirs","OK")))))))))))))))))))))</f>
        <v/>
      </c>
      <c r="AA335" s="62" t="str">
        <f>IF(COUNTA(B335:D335,F335:O335)&gt;0,IF(B335="","Facture",B335),"")</f>
        <v/>
      </c>
      <c r="AB335" s="62" t="str">
        <f>IF(AA335="","",IF(AA335="Avoir",p_pav,IF(AA335="Facture d'acompte",p_pac,p_pfa)))</f>
        <v/>
      </c>
      <c r="AC335" s="62">
        <f>IF(ISNUMBER(C335),C335,0)</f>
        <v>0.0</v>
      </c>
      <c r="AD335" s="62" t="str">
        <f>IF(OR(AA335="",AC335=0),"",YEAR(AC335))</f>
        <v/>
      </c>
      <c r="AE335" s="62" t="str">
        <f>IF(AD335="","",COUNTIFS($AB$6:AB335,AB335,$AD$6:AD335,AD335))</f>
        <v/>
      </c>
      <c r="AF335" s="62">
        <f>IF(A335="",0,COUNTIF(fl_doc,A335))</f>
        <v>0.0</v>
      </c>
      <c r="AG335" s="62" t="str">
        <f>IF(A335="","",IF(AF335&gt;0,"Facture",IF(AND(F335&lt;&gt;"",AA335="Facture",ISNUMBER(MATCH(F335,dv_num,0))),"Devis","")))</f>
        <v/>
      </c>
      <c r="AH335" s="62" t="str">
        <f>IF(AND(A335&lt;&gt;"",F335&lt;&gt;"",AA335&lt;&gt;"Avoir"),F335,"")</f>
        <v/>
      </c>
      <c r="AI335" s="62" t="str">
        <f>IF(AG335="Devis",F335,"")</f>
        <v/>
      </c>
      <c r="AJ335" s="62">
        <f>IF(AG335="Facture",SUMIF(fl_doc,A335,fl_ht),IF(AG335="Devis",SUMIF(dl_doc,F335,dl_ht),0))</f>
        <v>0.0</v>
      </c>
      <c r="AK335" s="62">
        <f>IF(OR(AG335="",INDEX(p_rates,1)=""),0,IF(AG335="Facture",SUMIFS(fl_ht,fl_doc,A335,fl_rate,INDEX(p_rates,1)),SUMIFS(dl_ht,dl_doc,F335,dl_rate,INDEX(p_rates,1))))</f>
        <v>0.0</v>
      </c>
      <c r="AL335" s="62">
        <f>IF(OR(AG335="",INDEX(p_rates,2)=""),0,IF(AG335="Facture",SUMIFS(fl_ht,fl_doc,A335,fl_rate,INDEX(p_rates,2)),SUMIFS(dl_ht,dl_doc,F335,dl_rate,INDEX(p_rates,2))))</f>
        <v>0.0</v>
      </c>
      <c r="AM335" s="62">
        <f>IF(OR(AG335="",INDEX(p_rates,3)=""),0,IF(AG335="Facture",SUMIFS(fl_ht,fl_doc,A335,fl_rate,INDEX(p_rates,3)),SUMIFS(dl_ht,dl_doc,F335,dl_rate,INDEX(p_rates,3))))</f>
        <v>0.0</v>
      </c>
      <c r="AN335" s="62">
        <f>IF(OR(AG335="",INDEX(p_rates,4)=""),0,IF(AG335="Facture",SUMIFS(fl_ht,fl_doc,A335,fl_rate,INDEX(p_rates,4)),SUMIFS(dl_ht,dl_doc,F335,dl_rate,INDEX(p_rates,4))))</f>
        <v>0.0</v>
      </c>
      <c r="AO335" s="62">
        <f>IF(OR(AG335="",INDEX(p_rates,5)=""),0,IF(AG335="Facture",SUMIFS(fl_ht,fl_doc,A335,fl_rate,INDEX(p_rates,5)),SUMIFS(dl_ht,dl_doc,F335,dl_rate,INDEX(p_rates,5))))</f>
        <v>0.0</v>
      </c>
      <c r="AP335" s="62">
        <f>IF(OR(AG335="",INDEX(p_rates,6)=""),0,IF(AG335="Facture",SUMIFS(fl_ht,fl_doc,A335,fl_rate,INDEX(p_rates,6)),SUMIFS(dl_ht,dl_doc,F335,dl_rate,INDEX(p_rates,6))))</f>
        <v>0.0</v>
      </c>
      <c r="AQ335" s="62">
        <f>ROUND(AK335*N(INDEX(p_rates,1)),2)+ROUND(AL335*N(INDEX(p_rates,2)),2)+ROUND(AM335*N(INDEX(p_rates,3)),2)+ROUND(AN335*N(INDEX(p_rates,4)),2)+ROUND(AO335*N(INDEX(p_rates,5)),2)+ROUND(AP335*N(INDEX(p_rates,6)),2)</f>
        <v>0.0</v>
      </c>
      <c r="AR335" s="62" t="str">
        <f>IF(OR(L335="",AA335&lt;&gt;"Facture"),"",IFERROR(IF(INDEX(fa_type,MATCH(L335,fa_num,0))="Facture d'acompte",MATCH(L335,fa_num,0),""),""))</f>
        <v/>
      </c>
      <c r="AS335" s="62" t="str">
        <f>IF(W335="","",IF(W335&lt;=0,"",IF(p_asof-P335&lt;=0,"Non échu",IF(p_asof-P335&lt;=30,"1-30 j",IF(p_asof-P335&lt;=60,"31-60 j",IF(p_asof-P335&lt;=90,"61-90 j","Plus de 90 j"))))))</f>
        <v/>
      </c>
      <c r="AT335" s="62" t="str">
        <f>IF(AS335="","",p_asof-P335)</f>
        <v/>
      </c>
      <c r="AU335" s="62" t="str">
        <f>IF(AT335="","",COUNTIF($AT$6:$AT$805,"&gt;"&amp;AT335)+COUNTIF($AT$6:AT335,AT335))</f>
        <v/>
      </c>
    </row>
    <row r="336">
      <c r="A336" s="59" t="str">
        <f>IF(AE336="","",AB336&amp;"-"&amp;AD336&amp;"-"&amp;RIGHT("000"&amp;AE336,4))</f>
        <v/>
      </c>
      <c r="B336" s="60" t="n"/>
      <c r="C336" s="61" t="n"/>
      <c r="D336" s="60" t="n"/>
      <c r="E336" s="62" t="str">
        <f>IF(D336="","",IFERROR(INDEX(cli_name,MATCH(D336,cli_code,0))&amp;"","Client inconnu"))</f>
        <v/>
      </c>
      <c r="F336" s="60" t="n"/>
      <c r="G336" s="63" t="n"/>
      <c r="H336" s="61" t="n"/>
      <c r="I336" s="63" t="n"/>
      <c r="J336" s="60" t="n"/>
      <c r="K336" s="61" t="n"/>
      <c r="L336" s="60" t="n"/>
      <c r="M336" s="60" t="n"/>
      <c r="N336" s="60" t="n"/>
      <c r="O336" s="61" t="n"/>
      <c r="P336" s="64" t="str">
        <f>IF(A336="","",IF(AA336="Avoir",AC336,IF(ISNUMBER(K336),K336,AC336+IF(D336="",N(p_delay),IFERROR(IF(ISNUMBER(INDEX(cli_delay,MATCH(D336,cli_code,0))),INDEX(cli_delay,MATCH(D336,cli_code,0)),N(p_delay)),N(p_delay))))))</f>
        <v/>
      </c>
      <c r="Q336" s="65" t="str">
        <f>IF(A336="","",IF(AA336="Avoir",-1,1)*ROUND(AJ336-IF(AR336="",0,INDEX(fa_htb,AR336)),2))</f>
        <v/>
      </c>
      <c r="R336" s="65" t="str">
        <f>IF(A336="","",IF(AA336="Avoir",-1,1)*ROUND(AQ336-IF(AR336="",0,INDEX(fa_tvab,AR336)),2))</f>
        <v/>
      </c>
      <c r="S336" s="65" t="str">
        <f>IF(A336="","",Q336+R336)</f>
        <v/>
      </c>
      <c r="T336" s="65" t="str">
        <f>IF(AR336="","",INDEX(fa_htb,AR336)+INDEX(fa_tvab,AR336))</f>
        <v/>
      </c>
      <c r="U336" s="65" t="str">
        <f>IF(A336="","",SUMIF(pa_inv,A336,pa_amt))</f>
        <v/>
      </c>
      <c r="V336" s="65" t="str">
        <f>IF(OR(A336="",AA336="Avoir"),"",-SUMIFS(fa_ttc,fa_avof,A336,fa_type,"Avoir"))</f>
        <v/>
      </c>
      <c r="W336" s="65" t="str">
        <f>IF(OR(A336="",AA336="Avoir"),"",ROUND(S336-U336-V336,2))</f>
        <v/>
      </c>
      <c r="X336" s="66" t="str">
        <f>IF(W336="","",IF(AND(W336&gt;0,p_asof&gt;P336),p_asof-P336,""))</f>
        <v/>
      </c>
      <c r="Y336" s="59" t="str">
        <f>IF(A336="","",IF(AA336="Avoir","Avoir",IF(W336&lt;0,"Trop-perçu",IF(W336=0,"Soldée",IF(p_asof&gt;P336,"En retard",IF(U336+V336&gt;0,"Partielle","À échoir"))))))</f>
        <v/>
      </c>
      <c r="Z336" s="59" t="str">
        <f>IF(NOT(COUNTA(B336:D336,F336:O336)&gt;0),"",IF(C336="","Date manquante",IF(NOT(ISNUMBER(C336)),"Date invalide",IF(D336="","Client manquant",IF(ISNA(MATCH(D336,cli_code,0)),"Client inconnu",IF(AC336&lt;SUMPRODUCT(MAX(($AB$6:AB335=AB336)*$AC$6:AC335)),"Date antérieure à la facture précédente",IF(AND(F336&lt;&gt;"",ISNA(MATCH(F336,dv_num,0))),"Devis inconnu",IF(AND(F336&lt;&gt;"",IFERROR(INDEX(dv_client,MATCH(F336,dv_num,0)),D336)&lt;&gt;D336),"Client différent de celui du devis",IF(AG336="","Aucune ligne : saisissez des lignes ou un devis",IF(AND(AI336&lt;&gt;"",COUNTIF($AI$6:AI336,AI336)&gt;1),"Devis déjà repris par une autre facture",IF(AND(AA336="Avoir",M336=""),"Avoir : indiquez la facture d'origine",IF(AND(AA336="Avoir",ISNA(MATCH(M336,fa_num,0))),"Facture d'origine inconnue",IF(AND(AA336&lt;&gt;"Avoir",M336&lt;&gt;""),"« Avoir sur facture » : réservé aux avoirs",IF(AND(L336&lt;&gt;"",AA336&lt;&gt;"Facture"),"Acompte à déduire : réservé aux factures",IF(AND(L336&lt;&gt;"",ISNA(MATCH(L336,fa_num,0))),"Facture d'acompte inconnue",IF(AND(L336&lt;&gt;"",IFERROR(INDEX(fa_type,MATCH(L336,fa_num,0)),"")&lt;&gt;"Facture d'acompte"),"Le n° à déduire n'est pas une facture d'acompte",IF(AND(L336&lt;&gt;"",COUNTIF($L$6:L336,L336)&gt;1),"Acompte déjà déduit sur une autre facture",IF(AND(L336&lt;&gt;"",IFERROR(INDEX(fa_client,MATCH(L336,fa_num,0)),D336)&lt;&gt;D336),"Acompte d'un autre client",IF(AND(AR336&lt;&gt;"",N(Q336)&lt;0),"Acompte supérieur au total de la facture",IF(IF(AG336="Facture",COUNTIFS(fl_doc,A336,fl_check,"&lt;&gt;OK"),IF(AG336="Devis",COUNTIFS(dl_doc,F336,dl_check,"&lt;&gt;OK"),0))&gt;0,"Ligne(s) à corriger",IF(AND(W336&lt;&gt;"",N(W336)&lt;0),"Trop-perçu : vérifiez paiements et avoirs","OK")))))))))))))))))))))</f>
        <v/>
      </c>
      <c r="AA336" s="62" t="str">
        <f>IF(COUNTA(B336:D336,F336:O336)&gt;0,IF(B336="","Facture",B336),"")</f>
        <v/>
      </c>
      <c r="AB336" s="62" t="str">
        <f>IF(AA336="","",IF(AA336="Avoir",p_pav,IF(AA336="Facture d'acompte",p_pac,p_pfa)))</f>
        <v/>
      </c>
      <c r="AC336" s="62">
        <f>IF(ISNUMBER(C336),C336,0)</f>
        <v>0.0</v>
      </c>
      <c r="AD336" s="62" t="str">
        <f>IF(OR(AA336="",AC336=0),"",YEAR(AC336))</f>
        <v/>
      </c>
      <c r="AE336" s="62" t="str">
        <f>IF(AD336="","",COUNTIFS($AB$6:AB336,AB336,$AD$6:AD336,AD336))</f>
        <v/>
      </c>
      <c r="AF336" s="62">
        <f>IF(A336="",0,COUNTIF(fl_doc,A336))</f>
        <v>0.0</v>
      </c>
      <c r="AG336" s="62" t="str">
        <f>IF(A336="","",IF(AF336&gt;0,"Facture",IF(AND(F336&lt;&gt;"",AA336="Facture",ISNUMBER(MATCH(F336,dv_num,0))),"Devis","")))</f>
        <v/>
      </c>
      <c r="AH336" s="62" t="str">
        <f>IF(AND(A336&lt;&gt;"",F336&lt;&gt;"",AA336&lt;&gt;"Avoir"),F336,"")</f>
        <v/>
      </c>
      <c r="AI336" s="62" t="str">
        <f>IF(AG336="Devis",F336,"")</f>
        <v/>
      </c>
      <c r="AJ336" s="62">
        <f>IF(AG336="Facture",SUMIF(fl_doc,A336,fl_ht),IF(AG336="Devis",SUMIF(dl_doc,F336,dl_ht),0))</f>
        <v>0.0</v>
      </c>
      <c r="AK336" s="62">
        <f>IF(OR(AG336="",INDEX(p_rates,1)=""),0,IF(AG336="Facture",SUMIFS(fl_ht,fl_doc,A336,fl_rate,INDEX(p_rates,1)),SUMIFS(dl_ht,dl_doc,F336,dl_rate,INDEX(p_rates,1))))</f>
        <v>0.0</v>
      </c>
      <c r="AL336" s="62">
        <f>IF(OR(AG336="",INDEX(p_rates,2)=""),0,IF(AG336="Facture",SUMIFS(fl_ht,fl_doc,A336,fl_rate,INDEX(p_rates,2)),SUMIFS(dl_ht,dl_doc,F336,dl_rate,INDEX(p_rates,2))))</f>
        <v>0.0</v>
      </c>
      <c r="AM336" s="62">
        <f>IF(OR(AG336="",INDEX(p_rates,3)=""),0,IF(AG336="Facture",SUMIFS(fl_ht,fl_doc,A336,fl_rate,INDEX(p_rates,3)),SUMIFS(dl_ht,dl_doc,F336,dl_rate,INDEX(p_rates,3))))</f>
        <v>0.0</v>
      </c>
      <c r="AN336" s="62">
        <f>IF(OR(AG336="",INDEX(p_rates,4)=""),0,IF(AG336="Facture",SUMIFS(fl_ht,fl_doc,A336,fl_rate,INDEX(p_rates,4)),SUMIFS(dl_ht,dl_doc,F336,dl_rate,INDEX(p_rates,4))))</f>
        <v>0.0</v>
      </c>
      <c r="AO336" s="62">
        <f>IF(OR(AG336="",INDEX(p_rates,5)=""),0,IF(AG336="Facture",SUMIFS(fl_ht,fl_doc,A336,fl_rate,INDEX(p_rates,5)),SUMIFS(dl_ht,dl_doc,F336,dl_rate,INDEX(p_rates,5))))</f>
        <v>0.0</v>
      </c>
      <c r="AP336" s="62">
        <f>IF(OR(AG336="",INDEX(p_rates,6)=""),0,IF(AG336="Facture",SUMIFS(fl_ht,fl_doc,A336,fl_rate,INDEX(p_rates,6)),SUMIFS(dl_ht,dl_doc,F336,dl_rate,INDEX(p_rates,6))))</f>
        <v>0.0</v>
      </c>
      <c r="AQ336" s="62">
        <f>ROUND(AK336*N(INDEX(p_rates,1)),2)+ROUND(AL336*N(INDEX(p_rates,2)),2)+ROUND(AM336*N(INDEX(p_rates,3)),2)+ROUND(AN336*N(INDEX(p_rates,4)),2)+ROUND(AO336*N(INDEX(p_rates,5)),2)+ROUND(AP336*N(INDEX(p_rates,6)),2)</f>
        <v>0.0</v>
      </c>
      <c r="AR336" s="62" t="str">
        <f>IF(OR(L336="",AA336&lt;&gt;"Facture"),"",IFERROR(IF(INDEX(fa_type,MATCH(L336,fa_num,0))="Facture d'acompte",MATCH(L336,fa_num,0),""),""))</f>
        <v/>
      </c>
      <c r="AS336" s="62" t="str">
        <f>IF(W336="","",IF(W336&lt;=0,"",IF(p_asof-P336&lt;=0,"Non échu",IF(p_asof-P336&lt;=30,"1-30 j",IF(p_asof-P336&lt;=60,"31-60 j",IF(p_asof-P336&lt;=90,"61-90 j","Plus de 90 j"))))))</f>
        <v/>
      </c>
      <c r="AT336" s="62" t="str">
        <f>IF(AS336="","",p_asof-P336)</f>
        <v/>
      </c>
      <c r="AU336" s="62" t="str">
        <f>IF(AT336="","",COUNTIF($AT$6:$AT$805,"&gt;"&amp;AT336)+COUNTIF($AT$6:AT336,AT336))</f>
        <v/>
      </c>
    </row>
    <row r="337">
      <c r="A337" s="59" t="str">
        <f>IF(AE337="","",AB337&amp;"-"&amp;AD337&amp;"-"&amp;RIGHT("000"&amp;AE337,4))</f>
        <v/>
      </c>
      <c r="B337" s="60" t="n"/>
      <c r="C337" s="61" t="n"/>
      <c r="D337" s="60" t="n"/>
      <c r="E337" s="62" t="str">
        <f>IF(D337="","",IFERROR(INDEX(cli_name,MATCH(D337,cli_code,0))&amp;"","Client inconnu"))</f>
        <v/>
      </c>
      <c r="F337" s="60" t="n"/>
      <c r="G337" s="63" t="n"/>
      <c r="H337" s="61" t="n"/>
      <c r="I337" s="63" t="n"/>
      <c r="J337" s="60" t="n"/>
      <c r="K337" s="61" t="n"/>
      <c r="L337" s="60" t="n"/>
      <c r="M337" s="60" t="n"/>
      <c r="N337" s="60" t="n"/>
      <c r="O337" s="61" t="n"/>
      <c r="P337" s="64" t="str">
        <f>IF(A337="","",IF(AA337="Avoir",AC337,IF(ISNUMBER(K337),K337,AC337+IF(D337="",N(p_delay),IFERROR(IF(ISNUMBER(INDEX(cli_delay,MATCH(D337,cli_code,0))),INDEX(cli_delay,MATCH(D337,cli_code,0)),N(p_delay)),N(p_delay))))))</f>
        <v/>
      </c>
      <c r="Q337" s="65" t="str">
        <f>IF(A337="","",IF(AA337="Avoir",-1,1)*ROUND(AJ337-IF(AR337="",0,INDEX(fa_htb,AR337)),2))</f>
        <v/>
      </c>
      <c r="R337" s="65" t="str">
        <f>IF(A337="","",IF(AA337="Avoir",-1,1)*ROUND(AQ337-IF(AR337="",0,INDEX(fa_tvab,AR337)),2))</f>
        <v/>
      </c>
      <c r="S337" s="65" t="str">
        <f>IF(A337="","",Q337+R337)</f>
        <v/>
      </c>
      <c r="T337" s="65" t="str">
        <f>IF(AR337="","",INDEX(fa_htb,AR337)+INDEX(fa_tvab,AR337))</f>
        <v/>
      </c>
      <c r="U337" s="65" t="str">
        <f>IF(A337="","",SUMIF(pa_inv,A337,pa_amt))</f>
        <v/>
      </c>
      <c r="V337" s="65" t="str">
        <f>IF(OR(A337="",AA337="Avoir"),"",-SUMIFS(fa_ttc,fa_avof,A337,fa_type,"Avoir"))</f>
        <v/>
      </c>
      <c r="W337" s="65" t="str">
        <f>IF(OR(A337="",AA337="Avoir"),"",ROUND(S337-U337-V337,2))</f>
        <v/>
      </c>
      <c r="X337" s="66" t="str">
        <f>IF(W337="","",IF(AND(W337&gt;0,p_asof&gt;P337),p_asof-P337,""))</f>
        <v/>
      </c>
      <c r="Y337" s="59" t="str">
        <f>IF(A337="","",IF(AA337="Avoir","Avoir",IF(W337&lt;0,"Trop-perçu",IF(W337=0,"Soldée",IF(p_asof&gt;P337,"En retard",IF(U337+V337&gt;0,"Partielle","À échoir"))))))</f>
        <v/>
      </c>
      <c r="Z337" s="59" t="str">
        <f>IF(NOT(COUNTA(B337:D337,F337:O337)&gt;0),"",IF(C337="","Date manquante",IF(NOT(ISNUMBER(C337)),"Date invalide",IF(D337="","Client manquant",IF(ISNA(MATCH(D337,cli_code,0)),"Client inconnu",IF(AC337&lt;SUMPRODUCT(MAX(($AB$6:AB336=AB337)*$AC$6:AC336)),"Date antérieure à la facture précédente",IF(AND(F337&lt;&gt;"",ISNA(MATCH(F337,dv_num,0))),"Devis inconnu",IF(AND(F337&lt;&gt;"",IFERROR(INDEX(dv_client,MATCH(F337,dv_num,0)),D337)&lt;&gt;D337),"Client différent de celui du devis",IF(AG337="","Aucune ligne : saisissez des lignes ou un devis",IF(AND(AI337&lt;&gt;"",COUNTIF($AI$6:AI337,AI337)&gt;1),"Devis déjà repris par une autre facture",IF(AND(AA337="Avoir",M337=""),"Avoir : indiquez la facture d'origine",IF(AND(AA337="Avoir",ISNA(MATCH(M337,fa_num,0))),"Facture d'origine inconnue",IF(AND(AA337&lt;&gt;"Avoir",M337&lt;&gt;""),"« Avoir sur facture » : réservé aux avoirs",IF(AND(L337&lt;&gt;"",AA337&lt;&gt;"Facture"),"Acompte à déduire : réservé aux factures",IF(AND(L337&lt;&gt;"",ISNA(MATCH(L337,fa_num,0))),"Facture d'acompte inconnue",IF(AND(L337&lt;&gt;"",IFERROR(INDEX(fa_type,MATCH(L337,fa_num,0)),"")&lt;&gt;"Facture d'acompte"),"Le n° à déduire n'est pas une facture d'acompte",IF(AND(L337&lt;&gt;"",COUNTIF($L$6:L337,L337)&gt;1),"Acompte déjà déduit sur une autre facture",IF(AND(L337&lt;&gt;"",IFERROR(INDEX(fa_client,MATCH(L337,fa_num,0)),D337)&lt;&gt;D337),"Acompte d'un autre client",IF(AND(AR337&lt;&gt;"",N(Q337)&lt;0),"Acompte supérieur au total de la facture",IF(IF(AG337="Facture",COUNTIFS(fl_doc,A337,fl_check,"&lt;&gt;OK"),IF(AG337="Devis",COUNTIFS(dl_doc,F337,dl_check,"&lt;&gt;OK"),0))&gt;0,"Ligne(s) à corriger",IF(AND(W337&lt;&gt;"",N(W337)&lt;0),"Trop-perçu : vérifiez paiements et avoirs","OK")))))))))))))))))))))</f>
        <v/>
      </c>
      <c r="AA337" s="62" t="str">
        <f>IF(COUNTA(B337:D337,F337:O337)&gt;0,IF(B337="","Facture",B337),"")</f>
        <v/>
      </c>
      <c r="AB337" s="62" t="str">
        <f>IF(AA337="","",IF(AA337="Avoir",p_pav,IF(AA337="Facture d'acompte",p_pac,p_pfa)))</f>
        <v/>
      </c>
      <c r="AC337" s="62">
        <f>IF(ISNUMBER(C337),C337,0)</f>
        <v>0.0</v>
      </c>
      <c r="AD337" s="62" t="str">
        <f>IF(OR(AA337="",AC337=0),"",YEAR(AC337))</f>
        <v/>
      </c>
      <c r="AE337" s="62" t="str">
        <f>IF(AD337="","",COUNTIFS($AB$6:AB337,AB337,$AD$6:AD337,AD337))</f>
        <v/>
      </c>
      <c r="AF337" s="62">
        <f>IF(A337="",0,COUNTIF(fl_doc,A337))</f>
        <v>0.0</v>
      </c>
      <c r="AG337" s="62" t="str">
        <f>IF(A337="","",IF(AF337&gt;0,"Facture",IF(AND(F337&lt;&gt;"",AA337="Facture",ISNUMBER(MATCH(F337,dv_num,0))),"Devis","")))</f>
        <v/>
      </c>
      <c r="AH337" s="62" t="str">
        <f>IF(AND(A337&lt;&gt;"",F337&lt;&gt;"",AA337&lt;&gt;"Avoir"),F337,"")</f>
        <v/>
      </c>
      <c r="AI337" s="62" t="str">
        <f>IF(AG337="Devis",F337,"")</f>
        <v/>
      </c>
      <c r="AJ337" s="62">
        <f>IF(AG337="Facture",SUMIF(fl_doc,A337,fl_ht),IF(AG337="Devis",SUMIF(dl_doc,F337,dl_ht),0))</f>
        <v>0.0</v>
      </c>
      <c r="AK337" s="62">
        <f>IF(OR(AG337="",INDEX(p_rates,1)=""),0,IF(AG337="Facture",SUMIFS(fl_ht,fl_doc,A337,fl_rate,INDEX(p_rates,1)),SUMIFS(dl_ht,dl_doc,F337,dl_rate,INDEX(p_rates,1))))</f>
        <v>0.0</v>
      </c>
      <c r="AL337" s="62">
        <f>IF(OR(AG337="",INDEX(p_rates,2)=""),0,IF(AG337="Facture",SUMIFS(fl_ht,fl_doc,A337,fl_rate,INDEX(p_rates,2)),SUMIFS(dl_ht,dl_doc,F337,dl_rate,INDEX(p_rates,2))))</f>
        <v>0.0</v>
      </c>
      <c r="AM337" s="62">
        <f>IF(OR(AG337="",INDEX(p_rates,3)=""),0,IF(AG337="Facture",SUMIFS(fl_ht,fl_doc,A337,fl_rate,INDEX(p_rates,3)),SUMIFS(dl_ht,dl_doc,F337,dl_rate,INDEX(p_rates,3))))</f>
        <v>0.0</v>
      </c>
      <c r="AN337" s="62">
        <f>IF(OR(AG337="",INDEX(p_rates,4)=""),0,IF(AG337="Facture",SUMIFS(fl_ht,fl_doc,A337,fl_rate,INDEX(p_rates,4)),SUMIFS(dl_ht,dl_doc,F337,dl_rate,INDEX(p_rates,4))))</f>
        <v>0.0</v>
      </c>
      <c r="AO337" s="62">
        <f>IF(OR(AG337="",INDEX(p_rates,5)=""),0,IF(AG337="Facture",SUMIFS(fl_ht,fl_doc,A337,fl_rate,INDEX(p_rates,5)),SUMIFS(dl_ht,dl_doc,F337,dl_rate,INDEX(p_rates,5))))</f>
        <v>0.0</v>
      </c>
      <c r="AP337" s="62">
        <f>IF(OR(AG337="",INDEX(p_rates,6)=""),0,IF(AG337="Facture",SUMIFS(fl_ht,fl_doc,A337,fl_rate,INDEX(p_rates,6)),SUMIFS(dl_ht,dl_doc,F337,dl_rate,INDEX(p_rates,6))))</f>
        <v>0.0</v>
      </c>
      <c r="AQ337" s="62">
        <f>ROUND(AK337*N(INDEX(p_rates,1)),2)+ROUND(AL337*N(INDEX(p_rates,2)),2)+ROUND(AM337*N(INDEX(p_rates,3)),2)+ROUND(AN337*N(INDEX(p_rates,4)),2)+ROUND(AO337*N(INDEX(p_rates,5)),2)+ROUND(AP337*N(INDEX(p_rates,6)),2)</f>
        <v>0.0</v>
      </c>
      <c r="AR337" s="62" t="str">
        <f>IF(OR(L337="",AA337&lt;&gt;"Facture"),"",IFERROR(IF(INDEX(fa_type,MATCH(L337,fa_num,0))="Facture d'acompte",MATCH(L337,fa_num,0),""),""))</f>
        <v/>
      </c>
      <c r="AS337" s="62" t="str">
        <f>IF(W337="","",IF(W337&lt;=0,"",IF(p_asof-P337&lt;=0,"Non échu",IF(p_asof-P337&lt;=30,"1-30 j",IF(p_asof-P337&lt;=60,"31-60 j",IF(p_asof-P337&lt;=90,"61-90 j","Plus de 90 j"))))))</f>
        <v/>
      </c>
      <c r="AT337" s="62" t="str">
        <f>IF(AS337="","",p_asof-P337)</f>
        <v/>
      </c>
      <c r="AU337" s="62" t="str">
        <f>IF(AT337="","",COUNTIF($AT$6:$AT$805,"&gt;"&amp;AT337)+COUNTIF($AT$6:AT337,AT337))</f>
        <v/>
      </c>
    </row>
    <row r="338">
      <c r="A338" s="59" t="str">
        <f>IF(AE338="","",AB338&amp;"-"&amp;AD338&amp;"-"&amp;RIGHT("000"&amp;AE338,4))</f>
        <v/>
      </c>
      <c r="B338" s="60" t="n"/>
      <c r="C338" s="61" t="n"/>
      <c r="D338" s="60" t="n"/>
      <c r="E338" s="62" t="str">
        <f>IF(D338="","",IFERROR(INDEX(cli_name,MATCH(D338,cli_code,0))&amp;"","Client inconnu"))</f>
        <v/>
      </c>
      <c r="F338" s="60" t="n"/>
      <c r="G338" s="63" t="n"/>
      <c r="H338" s="61" t="n"/>
      <c r="I338" s="63" t="n"/>
      <c r="J338" s="60" t="n"/>
      <c r="K338" s="61" t="n"/>
      <c r="L338" s="60" t="n"/>
      <c r="M338" s="60" t="n"/>
      <c r="N338" s="60" t="n"/>
      <c r="O338" s="61" t="n"/>
      <c r="P338" s="64" t="str">
        <f>IF(A338="","",IF(AA338="Avoir",AC338,IF(ISNUMBER(K338),K338,AC338+IF(D338="",N(p_delay),IFERROR(IF(ISNUMBER(INDEX(cli_delay,MATCH(D338,cli_code,0))),INDEX(cli_delay,MATCH(D338,cli_code,0)),N(p_delay)),N(p_delay))))))</f>
        <v/>
      </c>
      <c r="Q338" s="65" t="str">
        <f>IF(A338="","",IF(AA338="Avoir",-1,1)*ROUND(AJ338-IF(AR338="",0,INDEX(fa_htb,AR338)),2))</f>
        <v/>
      </c>
      <c r="R338" s="65" t="str">
        <f>IF(A338="","",IF(AA338="Avoir",-1,1)*ROUND(AQ338-IF(AR338="",0,INDEX(fa_tvab,AR338)),2))</f>
        <v/>
      </c>
      <c r="S338" s="65" t="str">
        <f>IF(A338="","",Q338+R338)</f>
        <v/>
      </c>
      <c r="T338" s="65" t="str">
        <f>IF(AR338="","",INDEX(fa_htb,AR338)+INDEX(fa_tvab,AR338))</f>
        <v/>
      </c>
      <c r="U338" s="65" t="str">
        <f>IF(A338="","",SUMIF(pa_inv,A338,pa_amt))</f>
        <v/>
      </c>
      <c r="V338" s="65" t="str">
        <f>IF(OR(A338="",AA338="Avoir"),"",-SUMIFS(fa_ttc,fa_avof,A338,fa_type,"Avoir"))</f>
        <v/>
      </c>
      <c r="W338" s="65" t="str">
        <f>IF(OR(A338="",AA338="Avoir"),"",ROUND(S338-U338-V338,2))</f>
        <v/>
      </c>
      <c r="X338" s="66" t="str">
        <f>IF(W338="","",IF(AND(W338&gt;0,p_asof&gt;P338),p_asof-P338,""))</f>
        <v/>
      </c>
      <c r="Y338" s="59" t="str">
        <f>IF(A338="","",IF(AA338="Avoir","Avoir",IF(W338&lt;0,"Trop-perçu",IF(W338=0,"Soldée",IF(p_asof&gt;P338,"En retard",IF(U338+V338&gt;0,"Partielle","À échoir"))))))</f>
        <v/>
      </c>
      <c r="Z338" s="59" t="str">
        <f>IF(NOT(COUNTA(B338:D338,F338:O338)&gt;0),"",IF(C338="","Date manquante",IF(NOT(ISNUMBER(C338)),"Date invalide",IF(D338="","Client manquant",IF(ISNA(MATCH(D338,cli_code,0)),"Client inconnu",IF(AC338&lt;SUMPRODUCT(MAX(($AB$6:AB337=AB338)*$AC$6:AC337)),"Date antérieure à la facture précédente",IF(AND(F338&lt;&gt;"",ISNA(MATCH(F338,dv_num,0))),"Devis inconnu",IF(AND(F338&lt;&gt;"",IFERROR(INDEX(dv_client,MATCH(F338,dv_num,0)),D338)&lt;&gt;D338),"Client différent de celui du devis",IF(AG338="","Aucune ligne : saisissez des lignes ou un devis",IF(AND(AI338&lt;&gt;"",COUNTIF($AI$6:AI338,AI338)&gt;1),"Devis déjà repris par une autre facture",IF(AND(AA338="Avoir",M338=""),"Avoir : indiquez la facture d'origine",IF(AND(AA338="Avoir",ISNA(MATCH(M338,fa_num,0))),"Facture d'origine inconnue",IF(AND(AA338&lt;&gt;"Avoir",M338&lt;&gt;""),"« Avoir sur facture » : réservé aux avoirs",IF(AND(L338&lt;&gt;"",AA338&lt;&gt;"Facture"),"Acompte à déduire : réservé aux factures",IF(AND(L338&lt;&gt;"",ISNA(MATCH(L338,fa_num,0))),"Facture d'acompte inconnue",IF(AND(L338&lt;&gt;"",IFERROR(INDEX(fa_type,MATCH(L338,fa_num,0)),"")&lt;&gt;"Facture d'acompte"),"Le n° à déduire n'est pas une facture d'acompte",IF(AND(L338&lt;&gt;"",COUNTIF($L$6:L338,L338)&gt;1),"Acompte déjà déduit sur une autre facture",IF(AND(L338&lt;&gt;"",IFERROR(INDEX(fa_client,MATCH(L338,fa_num,0)),D338)&lt;&gt;D338),"Acompte d'un autre client",IF(AND(AR338&lt;&gt;"",N(Q338)&lt;0),"Acompte supérieur au total de la facture",IF(IF(AG338="Facture",COUNTIFS(fl_doc,A338,fl_check,"&lt;&gt;OK"),IF(AG338="Devis",COUNTIFS(dl_doc,F338,dl_check,"&lt;&gt;OK"),0))&gt;0,"Ligne(s) à corriger",IF(AND(W338&lt;&gt;"",N(W338)&lt;0),"Trop-perçu : vérifiez paiements et avoirs","OK")))))))))))))))))))))</f>
        <v/>
      </c>
      <c r="AA338" s="62" t="str">
        <f>IF(COUNTA(B338:D338,F338:O338)&gt;0,IF(B338="","Facture",B338),"")</f>
        <v/>
      </c>
      <c r="AB338" s="62" t="str">
        <f>IF(AA338="","",IF(AA338="Avoir",p_pav,IF(AA338="Facture d'acompte",p_pac,p_pfa)))</f>
        <v/>
      </c>
      <c r="AC338" s="62">
        <f>IF(ISNUMBER(C338),C338,0)</f>
        <v>0.0</v>
      </c>
      <c r="AD338" s="62" t="str">
        <f>IF(OR(AA338="",AC338=0),"",YEAR(AC338))</f>
        <v/>
      </c>
      <c r="AE338" s="62" t="str">
        <f>IF(AD338="","",COUNTIFS($AB$6:AB338,AB338,$AD$6:AD338,AD338))</f>
        <v/>
      </c>
      <c r="AF338" s="62">
        <f>IF(A338="",0,COUNTIF(fl_doc,A338))</f>
        <v>0.0</v>
      </c>
      <c r="AG338" s="62" t="str">
        <f>IF(A338="","",IF(AF338&gt;0,"Facture",IF(AND(F338&lt;&gt;"",AA338="Facture",ISNUMBER(MATCH(F338,dv_num,0))),"Devis","")))</f>
        <v/>
      </c>
      <c r="AH338" s="62" t="str">
        <f>IF(AND(A338&lt;&gt;"",F338&lt;&gt;"",AA338&lt;&gt;"Avoir"),F338,"")</f>
        <v/>
      </c>
      <c r="AI338" s="62" t="str">
        <f>IF(AG338="Devis",F338,"")</f>
        <v/>
      </c>
      <c r="AJ338" s="62">
        <f>IF(AG338="Facture",SUMIF(fl_doc,A338,fl_ht),IF(AG338="Devis",SUMIF(dl_doc,F338,dl_ht),0))</f>
        <v>0.0</v>
      </c>
      <c r="AK338" s="62">
        <f>IF(OR(AG338="",INDEX(p_rates,1)=""),0,IF(AG338="Facture",SUMIFS(fl_ht,fl_doc,A338,fl_rate,INDEX(p_rates,1)),SUMIFS(dl_ht,dl_doc,F338,dl_rate,INDEX(p_rates,1))))</f>
        <v>0.0</v>
      </c>
      <c r="AL338" s="62">
        <f>IF(OR(AG338="",INDEX(p_rates,2)=""),0,IF(AG338="Facture",SUMIFS(fl_ht,fl_doc,A338,fl_rate,INDEX(p_rates,2)),SUMIFS(dl_ht,dl_doc,F338,dl_rate,INDEX(p_rates,2))))</f>
        <v>0.0</v>
      </c>
      <c r="AM338" s="62">
        <f>IF(OR(AG338="",INDEX(p_rates,3)=""),0,IF(AG338="Facture",SUMIFS(fl_ht,fl_doc,A338,fl_rate,INDEX(p_rates,3)),SUMIFS(dl_ht,dl_doc,F338,dl_rate,INDEX(p_rates,3))))</f>
        <v>0.0</v>
      </c>
      <c r="AN338" s="62">
        <f>IF(OR(AG338="",INDEX(p_rates,4)=""),0,IF(AG338="Facture",SUMIFS(fl_ht,fl_doc,A338,fl_rate,INDEX(p_rates,4)),SUMIFS(dl_ht,dl_doc,F338,dl_rate,INDEX(p_rates,4))))</f>
        <v>0.0</v>
      </c>
      <c r="AO338" s="62">
        <f>IF(OR(AG338="",INDEX(p_rates,5)=""),0,IF(AG338="Facture",SUMIFS(fl_ht,fl_doc,A338,fl_rate,INDEX(p_rates,5)),SUMIFS(dl_ht,dl_doc,F338,dl_rate,INDEX(p_rates,5))))</f>
        <v>0.0</v>
      </c>
      <c r="AP338" s="62">
        <f>IF(OR(AG338="",INDEX(p_rates,6)=""),0,IF(AG338="Facture",SUMIFS(fl_ht,fl_doc,A338,fl_rate,INDEX(p_rates,6)),SUMIFS(dl_ht,dl_doc,F338,dl_rate,INDEX(p_rates,6))))</f>
        <v>0.0</v>
      </c>
      <c r="AQ338" s="62">
        <f>ROUND(AK338*N(INDEX(p_rates,1)),2)+ROUND(AL338*N(INDEX(p_rates,2)),2)+ROUND(AM338*N(INDEX(p_rates,3)),2)+ROUND(AN338*N(INDEX(p_rates,4)),2)+ROUND(AO338*N(INDEX(p_rates,5)),2)+ROUND(AP338*N(INDEX(p_rates,6)),2)</f>
        <v>0.0</v>
      </c>
      <c r="AR338" s="62" t="str">
        <f>IF(OR(L338="",AA338&lt;&gt;"Facture"),"",IFERROR(IF(INDEX(fa_type,MATCH(L338,fa_num,0))="Facture d'acompte",MATCH(L338,fa_num,0),""),""))</f>
        <v/>
      </c>
      <c r="AS338" s="62" t="str">
        <f>IF(W338="","",IF(W338&lt;=0,"",IF(p_asof-P338&lt;=0,"Non échu",IF(p_asof-P338&lt;=30,"1-30 j",IF(p_asof-P338&lt;=60,"31-60 j",IF(p_asof-P338&lt;=90,"61-90 j","Plus de 90 j"))))))</f>
        <v/>
      </c>
      <c r="AT338" s="62" t="str">
        <f>IF(AS338="","",p_asof-P338)</f>
        <v/>
      </c>
      <c r="AU338" s="62" t="str">
        <f>IF(AT338="","",COUNTIF($AT$6:$AT$805,"&gt;"&amp;AT338)+COUNTIF($AT$6:AT338,AT338))</f>
        <v/>
      </c>
    </row>
    <row r="339">
      <c r="A339" s="59" t="str">
        <f>IF(AE339="","",AB339&amp;"-"&amp;AD339&amp;"-"&amp;RIGHT("000"&amp;AE339,4))</f>
        <v/>
      </c>
      <c r="B339" s="60" t="n"/>
      <c r="C339" s="61" t="n"/>
      <c r="D339" s="60" t="n"/>
      <c r="E339" s="62" t="str">
        <f>IF(D339="","",IFERROR(INDEX(cli_name,MATCH(D339,cli_code,0))&amp;"","Client inconnu"))</f>
        <v/>
      </c>
      <c r="F339" s="60" t="n"/>
      <c r="G339" s="63" t="n"/>
      <c r="H339" s="61" t="n"/>
      <c r="I339" s="63" t="n"/>
      <c r="J339" s="60" t="n"/>
      <c r="K339" s="61" t="n"/>
      <c r="L339" s="60" t="n"/>
      <c r="M339" s="60" t="n"/>
      <c r="N339" s="60" t="n"/>
      <c r="O339" s="61" t="n"/>
      <c r="P339" s="64" t="str">
        <f>IF(A339="","",IF(AA339="Avoir",AC339,IF(ISNUMBER(K339),K339,AC339+IF(D339="",N(p_delay),IFERROR(IF(ISNUMBER(INDEX(cli_delay,MATCH(D339,cli_code,0))),INDEX(cli_delay,MATCH(D339,cli_code,0)),N(p_delay)),N(p_delay))))))</f>
        <v/>
      </c>
      <c r="Q339" s="65" t="str">
        <f>IF(A339="","",IF(AA339="Avoir",-1,1)*ROUND(AJ339-IF(AR339="",0,INDEX(fa_htb,AR339)),2))</f>
        <v/>
      </c>
      <c r="R339" s="65" t="str">
        <f>IF(A339="","",IF(AA339="Avoir",-1,1)*ROUND(AQ339-IF(AR339="",0,INDEX(fa_tvab,AR339)),2))</f>
        <v/>
      </c>
      <c r="S339" s="65" t="str">
        <f>IF(A339="","",Q339+R339)</f>
        <v/>
      </c>
      <c r="T339" s="65" t="str">
        <f>IF(AR339="","",INDEX(fa_htb,AR339)+INDEX(fa_tvab,AR339))</f>
        <v/>
      </c>
      <c r="U339" s="65" t="str">
        <f>IF(A339="","",SUMIF(pa_inv,A339,pa_amt))</f>
        <v/>
      </c>
      <c r="V339" s="65" t="str">
        <f>IF(OR(A339="",AA339="Avoir"),"",-SUMIFS(fa_ttc,fa_avof,A339,fa_type,"Avoir"))</f>
        <v/>
      </c>
      <c r="W339" s="65" t="str">
        <f>IF(OR(A339="",AA339="Avoir"),"",ROUND(S339-U339-V339,2))</f>
        <v/>
      </c>
      <c r="X339" s="66" t="str">
        <f>IF(W339="","",IF(AND(W339&gt;0,p_asof&gt;P339),p_asof-P339,""))</f>
        <v/>
      </c>
      <c r="Y339" s="59" t="str">
        <f>IF(A339="","",IF(AA339="Avoir","Avoir",IF(W339&lt;0,"Trop-perçu",IF(W339=0,"Soldée",IF(p_asof&gt;P339,"En retard",IF(U339+V339&gt;0,"Partielle","À échoir"))))))</f>
        <v/>
      </c>
      <c r="Z339" s="59" t="str">
        <f>IF(NOT(COUNTA(B339:D339,F339:O339)&gt;0),"",IF(C339="","Date manquante",IF(NOT(ISNUMBER(C339)),"Date invalide",IF(D339="","Client manquant",IF(ISNA(MATCH(D339,cli_code,0)),"Client inconnu",IF(AC339&lt;SUMPRODUCT(MAX(($AB$6:AB338=AB339)*$AC$6:AC338)),"Date antérieure à la facture précédente",IF(AND(F339&lt;&gt;"",ISNA(MATCH(F339,dv_num,0))),"Devis inconnu",IF(AND(F339&lt;&gt;"",IFERROR(INDEX(dv_client,MATCH(F339,dv_num,0)),D339)&lt;&gt;D339),"Client différent de celui du devis",IF(AG339="","Aucune ligne : saisissez des lignes ou un devis",IF(AND(AI339&lt;&gt;"",COUNTIF($AI$6:AI339,AI339)&gt;1),"Devis déjà repris par une autre facture",IF(AND(AA339="Avoir",M339=""),"Avoir : indiquez la facture d'origine",IF(AND(AA339="Avoir",ISNA(MATCH(M339,fa_num,0))),"Facture d'origine inconnue",IF(AND(AA339&lt;&gt;"Avoir",M339&lt;&gt;""),"« Avoir sur facture » : réservé aux avoirs",IF(AND(L339&lt;&gt;"",AA339&lt;&gt;"Facture"),"Acompte à déduire : réservé aux factures",IF(AND(L339&lt;&gt;"",ISNA(MATCH(L339,fa_num,0))),"Facture d'acompte inconnue",IF(AND(L339&lt;&gt;"",IFERROR(INDEX(fa_type,MATCH(L339,fa_num,0)),"")&lt;&gt;"Facture d'acompte"),"Le n° à déduire n'est pas une facture d'acompte",IF(AND(L339&lt;&gt;"",COUNTIF($L$6:L339,L339)&gt;1),"Acompte déjà déduit sur une autre facture",IF(AND(L339&lt;&gt;"",IFERROR(INDEX(fa_client,MATCH(L339,fa_num,0)),D339)&lt;&gt;D339),"Acompte d'un autre client",IF(AND(AR339&lt;&gt;"",N(Q339)&lt;0),"Acompte supérieur au total de la facture",IF(IF(AG339="Facture",COUNTIFS(fl_doc,A339,fl_check,"&lt;&gt;OK"),IF(AG339="Devis",COUNTIFS(dl_doc,F339,dl_check,"&lt;&gt;OK"),0))&gt;0,"Ligne(s) à corriger",IF(AND(W339&lt;&gt;"",N(W339)&lt;0),"Trop-perçu : vérifiez paiements et avoirs","OK")))))))))))))))))))))</f>
        <v/>
      </c>
      <c r="AA339" s="62" t="str">
        <f>IF(COUNTA(B339:D339,F339:O339)&gt;0,IF(B339="","Facture",B339),"")</f>
        <v/>
      </c>
      <c r="AB339" s="62" t="str">
        <f>IF(AA339="","",IF(AA339="Avoir",p_pav,IF(AA339="Facture d'acompte",p_pac,p_pfa)))</f>
        <v/>
      </c>
      <c r="AC339" s="62">
        <f>IF(ISNUMBER(C339),C339,0)</f>
        <v>0.0</v>
      </c>
      <c r="AD339" s="62" t="str">
        <f>IF(OR(AA339="",AC339=0),"",YEAR(AC339))</f>
        <v/>
      </c>
      <c r="AE339" s="62" t="str">
        <f>IF(AD339="","",COUNTIFS($AB$6:AB339,AB339,$AD$6:AD339,AD339))</f>
        <v/>
      </c>
      <c r="AF339" s="62">
        <f>IF(A339="",0,COUNTIF(fl_doc,A339))</f>
        <v>0.0</v>
      </c>
      <c r="AG339" s="62" t="str">
        <f>IF(A339="","",IF(AF339&gt;0,"Facture",IF(AND(F339&lt;&gt;"",AA339="Facture",ISNUMBER(MATCH(F339,dv_num,0))),"Devis","")))</f>
        <v/>
      </c>
      <c r="AH339" s="62" t="str">
        <f>IF(AND(A339&lt;&gt;"",F339&lt;&gt;"",AA339&lt;&gt;"Avoir"),F339,"")</f>
        <v/>
      </c>
      <c r="AI339" s="62" t="str">
        <f>IF(AG339="Devis",F339,"")</f>
        <v/>
      </c>
      <c r="AJ339" s="62">
        <f>IF(AG339="Facture",SUMIF(fl_doc,A339,fl_ht),IF(AG339="Devis",SUMIF(dl_doc,F339,dl_ht),0))</f>
        <v>0.0</v>
      </c>
      <c r="AK339" s="62">
        <f>IF(OR(AG339="",INDEX(p_rates,1)=""),0,IF(AG339="Facture",SUMIFS(fl_ht,fl_doc,A339,fl_rate,INDEX(p_rates,1)),SUMIFS(dl_ht,dl_doc,F339,dl_rate,INDEX(p_rates,1))))</f>
        <v>0.0</v>
      </c>
      <c r="AL339" s="62">
        <f>IF(OR(AG339="",INDEX(p_rates,2)=""),0,IF(AG339="Facture",SUMIFS(fl_ht,fl_doc,A339,fl_rate,INDEX(p_rates,2)),SUMIFS(dl_ht,dl_doc,F339,dl_rate,INDEX(p_rates,2))))</f>
        <v>0.0</v>
      </c>
      <c r="AM339" s="62">
        <f>IF(OR(AG339="",INDEX(p_rates,3)=""),0,IF(AG339="Facture",SUMIFS(fl_ht,fl_doc,A339,fl_rate,INDEX(p_rates,3)),SUMIFS(dl_ht,dl_doc,F339,dl_rate,INDEX(p_rates,3))))</f>
        <v>0.0</v>
      </c>
      <c r="AN339" s="62">
        <f>IF(OR(AG339="",INDEX(p_rates,4)=""),0,IF(AG339="Facture",SUMIFS(fl_ht,fl_doc,A339,fl_rate,INDEX(p_rates,4)),SUMIFS(dl_ht,dl_doc,F339,dl_rate,INDEX(p_rates,4))))</f>
        <v>0.0</v>
      </c>
      <c r="AO339" s="62">
        <f>IF(OR(AG339="",INDEX(p_rates,5)=""),0,IF(AG339="Facture",SUMIFS(fl_ht,fl_doc,A339,fl_rate,INDEX(p_rates,5)),SUMIFS(dl_ht,dl_doc,F339,dl_rate,INDEX(p_rates,5))))</f>
        <v>0.0</v>
      </c>
      <c r="AP339" s="62">
        <f>IF(OR(AG339="",INDEX(p_rates,6)=""),0,IF(AG339="Facture",SUMIFS(fl_ht,fl_doc,A339,fl_rate,INDEX(p_rates,6)),SUMIFS(dl_ht,dl_doc,F339,dl_rate,INDEX(p_rates,6))))</f>
        <v>0.0</v>
      </c>
      <c r="AQ339" s="62">
        <f>ROUND(AK339*N(INDEX(p_rates,1)),2)+ROUND(AL339*N(INDEX(p_rates,2)),2)+ROUND(AM339*N(INDEX(p_rates,3)),2)+ROUND(AN339*N(INDEX(p_rates,4)),2)+ROUND(AO339*N(INDEX(p_rates,5)),2)+ROUND(AP339*N(INDEX(p_rates,6)),2)</f>
        <v>0.0</v>
      </c>
      <c r="AR339" s="62" t="str">
        <f>IF(OR(L339="",AA339&lt;&gt;"Facture"),"",IFERROR(IF(INDEX(fa_type,MATCH(L339,fa_num,0))="Facture d'acompte",MATCH(L339,fa_num,0),""),""))</f>
        <v/>
      </c>
      <c r="AS339" s="62" t="str">
        <f>IF(W339="","",IF(W339&lt;=0,"",IF(p_asof-P339&lt;=0,"Non échu",IF(p_asof-P339&lt;=30,"1-30 j",IF(p_asof-P339&lt;=60,"31-60 j",IF(p_asof-P339&lt;=90,"61-90 j","Plus de 90 j"))))))</f>
        <v/>
      </c>
      <c r="AT339" s="62" t="str">
        <f>IF(AS339="","",p_asof-P339)</f>
        <v/>
      </c>
      <c r="AU339" s="62" t="str">
        <f>IF(AT339="","",COUNTIF($AT$6:$AT$805,"&gt;"&amp;AT339)+COUNTIF($AT$6:AT339,AT339))</f>
        <v/>
      </c>
    </row>
    <row r="340">
      <c r="A340" s="59" t="str">
        <f>IF(AE340="","",AB340&amp;"-"&amp;AD340&amp;"-"&amp;RIGHT("000"&amp;AE340,4))</f>
        <v/>
      </c>
      <c r="B340" s="60" t="n"/>
      <c r="C340" s="61" t="n"/>
      <c r="D340" s="60" t="n"/>
      <c r="E340" s="62" t="str">
        <f>IF(D340="","",IFERROR(INDEX(cli_name,MATCH(D340,cli_code,0))&amp;"","Client inconnu"))</f>
        <v/>
      </c>
      <c r="F340" s="60" t="n"/>
      <c r="G340" s="63" t="n"/>
      <c r="H340" s="61" t="n"/>
      <c r="I340" s="63" t="n"/>
      <c r="J340" s="60" t="n"/>
      <c r="K340" s="61" t="n"/>
      <c r="L340" s="60" t="n"/>
      <c r="M340" s="60" t="n"/>
      <c r="N340" s="60" t="n"/>
      <c r="O340" s="61" t="n"/>
      <c r="P340" s="64" t="str">
        <f>IF(A340="","",IF(AA340="Avoir",AC340,IF(ISNUMBER(K340),K340,AC340+IF(D340="",N(p_delay),IFERROR(IF(ISNUMBER(INDEX(cli_delay,MATCH(D340,cli_code,0))),INDEX(cli_delay,MATCH(D340,cli_code,0)),N(p_delay)),N(p_delay))))))</f>
        <v/>
      </c>
      <c r="Q340" s="65" t="str">
        <f>IF(A340="","",IF(AA340="Avoir",-1,1)*ROUND(AJ340-IF(AR340="",0,INDEX(fa_htb,AR340)),2))</f>
        <v/>
      </c>
      <c r="R340" s="65" t="str">
        <f>IF(A340="","",IF(AA340="Avoir",-1,1)*ROUND(AQ340-IF(AR340="",0,INDEX(fa_tvab,AR340)),2))</f>
        <v/>
      </c>
      <c r="S340" s="65" t="str">
        <f>IF(A340="","",Q340+R340)</f>
        <v/>
      </c>
      <c r="T340" s="65" t="str">
        <f>IF(AR340="","",INDEX(fa_htb,AR340)+INDEX(fa_tvab,AR340))</f>
        <v/>
      </c>
      <c r="U340" s="65" t="str">
        <f>IF(A340="","",SUMIF(pa_inv,A340,pa_amt))</f>
        <v/>
      </c>
      <c r="V340" s="65" t="str">
        <f>IF(OR(A340="",AA340="Avoir"),"",-SUMIFS(fa_ttc,fa_avof,A340,fa_type,"Avoir"))</f>
        <v/>
      </c>
      <c r="W340" s="65" t="str">
        <f>IF(OR(A340="",AA340="Avoir"),"",ROUND(S340-U340-V340,2))</f>
        <v/>
      </c>
      <c r="X340" s="66" t="str">
        <f>IF(W340="","",IF(AND(W340&gt;0,p_asof&gt;P340),p_asof-P340,""))</f>
        <v/>
      </c>
      <c r="Y340" s="59" t="str">
        <f>IF(A340="","",IF(AA340="Avoir","Avoir",IF(W340&lt;0,"Trop-perçu",IF(W340=0,"Soldée",IF(p_asof&gt;P340,"En retard",IF(U340+V340&gt;0,"Partielle","À échoir"))))))</f>
        <v/>
      </c>
      <c r="Z340" s="59" t="str">
        <f>IF(NOT(COUNTA(B340:D340,F340:O340)&gt;0),"",IF(C340="","Date manquante",IF(NOT(ISNUMBER(C340)),"Date invalide",IF(D340="","Client manquant",IF(ISNA(MATCH(D340,cli_code,0)),"Client inconnu",IF(AC340&lt;SUMPRODUCT(MAX(($AB$6:AB339=AB340)*$AC$6:AC339)),"Date antérieure à la facture précédente",IF(AND(F340&lt;&gt;"",ISNA(MATCH(F340,dv_num,0))),"Devis inconnu",IF(AND(F340&lt;&gt;"",IFERROR(INDEX(dv_client,MATCH(F340,dv_num,0)),D340)&lt;&gt;D340),"Client différent de celui du devis",IF(AG340="","Aucune ligne : saisissez des lignes ou un devis",IF(AND(AI340&lt;&gt;"",COUNTIF($AI$6:AI340,AI340)&gt;1),"Devis déjà repris par une autre facture",IF(AND(AA340="Avoir",M340=""),"Avoir : indiquez la facture d'origine",IF(AND(AA340="Avoir",ISNA(MATCH(M340,fa_num,0))),"Facture d'origine inconnue",IF(AND(AA340&lt;&gt;"Avoir",M340&lt;&gt;""),"« Avoir sur facture » : réservé aux avoirs",IF(AND(L340&lt;&gt;"",AA340&lt;&gt;"Facture"),"Acompte à déduire : réservé aux factures",IF(AND(L340&lt;&gt;"",ISNA(MATCH(L340,fa_num,0))),"Facture d'acompte inconnue",IF(AND(L340&lt;&gt;"",IFERROR(INDEX(fa_type,MATCH(L340,fa_num,0)),"")&lt;&gt;"Facture d'acompte"),"Le n° à déduire n'est pas une facture d'acompte",IF(AND(L340&lt;&gt;"",COUNTIF($L$6:L340,L340)&gt;1),"Acompte déjà déduit sur une autre facture",IF(AND(L340&lt;&gt;"",IFERROR(INDEX(fa_client,MATCH(L340,fa_num,0)),D340)&lt;&gt;D340),"Acompte d'un autre client",IF(AND(AR340&lt;&gt;"",N(Q340)&lt;0),"Acompte supérieur au total de la facture",IF(IF(AG340="Facture",COUNTIFS(fl_doc,A340,fl_check,"&lt;&gt;OK"),IF(AG340="Devis",COUNTIFS(dl_doc,F340,dl_check,"&lt;&gt;OK"),0))&gt;0,"Ligne(s) à corriger",IF(AND(W340&lt;&gt;"",N(W340)&lt;0),"Trop-perçu : vérifiez paiements et avoirs","OK")))))))))))))))))))))</f>
        <v/>
      </c>
      <c r="AA340" s="62" t="str">
        <f>IF(COUNTA(B340:D340,F340:O340)&gt;0,IF(B340="","Facture",B340),"")</f>
        <v/>
      </c>
      <c r="AB340" s="62" t="str">
        <f>IF(AA340="","",IF(AA340="Avoir",p_pav,IF(AA340="Facture d'acompte",p_pac,p_pfa)))</f>
        <v/>
      </c>
      <c r="AC340" s="62">
        <f>IF(ISNUMBER(C340),C340,0)</f>
        <v>0.0</v>
      </c>
      <c r="AD340" s="62" t="str">
        <f>IF(OR(AA340="",AC340=0),"",YEAR(AC340))</f>
        <v/>
      </c>
      <c r="AE340" s="62" t="str">
        <f>IF(AD340="","",COUNTIFS($AB$6:AB340,AB340,$AD$6:AD340,AD340))</f>
        <v/>
      </c>
      <c r="AF340" s="62">
        <f>IF(A340="",0,COUNTIF(fl_doc,A340))</f>
        <v>0.0</v>
      </c>
      <c r="AG340" s="62" t="str">
        <f>IF(A340="","",IF(AF340&gt;0,"Facture",IF(AND(F340&lt;&gt;"",AA340="Facture",ISNUMBER(MATCH(F340,dv_num,0))),"Devis","")))</f>
        <v/>
      </c>
      <c r="AH340" s="62" t="str">
        <f>IF(AND(A340&lt;&gt;"",F340&lt;&gt;"",AA340&lt;&gt;"Avoir"),F340,"")</f>
        <v/>
      </c>
      <c r="AI340" s="62" t="str">
        <f>IF(AG340="Devis",F340,"")</f>
        <v/>
      </c>
      <c r="AJ340" s="62">
        <f>IF(AG340="Facture",SUMIF(fl_doc,A340,fl_ht),IF(AG340="Devis",SUMIF(dl_doc,F340,dl_ht),0))</f>
        <v>0.0</v>
      </c>
      <c r="AK340" s="62">
        <f>IF(OR(AG340="",INDEX(p_rates,1)=""),0,IF(AG340="Facture",SUMIFS(fl_ht,fl_doc,A340,fl_rate,INDEX(p_rates,1)),SUMIFS(dl_ht,dl_doc,F340,dl_rate,INDEX(p_rates,1))))</f>
        <v>0.0</v>
      </c>
      <c r="AL340" s="62">
        <f>IF(OR(AG340="",INDEX(p_rates,2)=""),0,IF(AG340="Facture",SUMIFS(fl_ht,fl_doc,A340,fl_rate,INDEX(p_rates,2)),SUMIFS(dl_ht,dl_doc,F340,dl_rate,INDEX(p_rates,2))))</f>
        <v>0.0</v>
      </c>
      <c r="AM340" s="62">
        <f>IF(OR(AG340="",INDEX(p_rates,3)=""),0,IF(AG340="Facture",SUMIFS(fl_ht,fl_doc,A340,fl_rate,INDEX(p_rates,3)),SUMIFS(dl_ht,dl_doc,F340,dl_rate,INDEX(p_rates,3))))</f>
        <v>0.0</v>
      </c>
      <c r="AN340" s="62">
        <f>IF(OR(AG340="",INDEX(p_rates,4)=""),0,IF(AG340="Facture",SUMIFS(fl_ht,fl_doc,A340,fl_rate,INDEX(p_rates,4)),SUMIFS(dl_ht,dl_doc,F340,dl_rate,INDEX(p_rates,4))))</f>
        <v>0.0</v>
      </c>
      <c r="AO340" s="62">
        <f>IF(OR(AG340="",INDEX(p_rates,5)=""),0,IF(AG340="Facture",SUMIFS(fl_ht,fl_doc,A340,fl_rate,INDEX(p_rates,5)),SUMIFS(dl_ht,dl_doc,F340,dl_rate,INDEX(p_rates,5))))</f>
        <v>0.0</v>
      </c>
      <c r="AP340" s="62">
        <f>IF(OR(AG340="",INDEX(p_rates,6)=""),0,IF(AG340="Facture",SUMIFS(fl_ht,fl_doc,A340,fl_rate,INDEX(p_rates,6)),SUMIFS(dl_ht,dl_doc,F340,dl_rate,INDEX(p_rates,6))))</f>
        <v>0.0</v>
      </c>
      <c r="AQ340" s="62">
        <f>ROUND(AK340*N(INDEX(p_rates,1)),2)+ROUND(AL340*N(INDEX(p_rates,2)),2)+ROUND(AM340*N(INDEX(p_rates,3)),2)+ROUND(AN340*N(INDEX(p_rates,4)),2)+ROUND(AO340*N(INDEX(p_rates,5)),2)+ROUND(AP340*N(INDEX(p_rates,6)),2)</f>
        <v>0.0</v>
      </c>
      <c r="AR340" s="62" t="str">
        <f>IF(OR(L340="",AA340&lt;&gt;"Facture"),"",IFERROR(IF(INDEX(fa_type,MATCH(L340,fa_num,0))="Facture d'acompte",MATCH(L340,fa_num,0),""),""))</f>
        <v/>
      </c>
      <c r="AS340" s="62" t="str">
        <f>IF(W340="","",IF(W340&lt;=0,"",IF(p_asof-P340&lt;=0,"Non échu",IF(p_asof-P340&lt;=30,"1-30 j",IF(p_asof-P340&lt;=60,"31-60 j",IF(p_asof-P340&lt;=90,"61-90 j","Plus de 90 j"))))))</f>
        <v/>
      </c>
      <c r="AT340" s="62" t="str">
        <f>IF(AS340="","",p_asof-P340)</f>
        <v/>
      </c>
      <c r="AU340" s="62" t="str">
        <f>IF(AT340="","",COUNTIF($AT$6:$AT$805,"&gt;"&amp;AT340)+COUNTIF($AT$6:AT340,AT340))</f>
        <v/>
      </c>
    </row>
    <row r="341">
      <c r="A341" s="59" t="str">
        <f>IF(AE341="","",AB341&amp;"-"&amp;AD341&amp;"-"&amp;RIGHT("000"&amp;AE341,4))</f>
        <v/>
      </c>
      <c r="B341" s="60" t="n"/>
      <c r="C341" s="61" t="n"/>
      <c r="D341" s="60" t="n"/>
      <c r="E341" s="62" t="str">
        <f>IF(D341="","",IFERROR(INDEX(cli_name,MATCH(D341,cli_code,0))&amp;"","Client inconnu"))</f>
        <v/>
      </c>
      <c r="F341" s="60" t="n"/>
      <c r="G341" s="63" t="n"/>
      <c r="H341" s="61" t="n"/>
      <c r="I341" s="63" t="n"/>
      <c r="J341" s="60" t="n"/>
      <c r="K341" s="61" t="n"/>
      <c r="L341" s="60" t="n"/>
      <c r="M341" s="60" t="n"/>
      <c r="N341" s="60" t="n"/>
      <c r="O341" s="61" t="n"/>
      <c r="P341" s="64" t="str">
        <f>IF(A341="","",IF(AA341="Avoir",AC341,IF(ISNUMBER(K341),K341,AC341+IF(D341="",N(p_delay),IFERROR(IF(ISNUMBER(INDEX(cli_delay,MATCH(D341,cli_code,0))),INDEX(cli_delay,MATCH(D341,cli_code,0)),N(p_delay)),N(p_delay))))))</f>
        <v/>
      </c>
      <c r="Q341" s="65" t="str">
        <f>IF(A341="","",IF(AA341="Avoir",-1,1)*ROUND(AJ341-IF(AR341="",0,INDEX(fa_htb,AR341)),2))</f>
        <v/>
      </c>
      <c r="R341" s="65" t="str">
        <f>IF(A341="","",IF(AA341="Avoir",-1,1)*ROUND(AQ341-IF(AR341="",0,INDEX(fa_tvab,AR341)),2))</f>
        <v/>
      </c>
      <c r="S341" s="65" t="str">
        <f>IF(A341="","",Q341+R341)</f>
        <v/>
      </c>
      <c r="T341" s="65" t="str">
        <f>IF(AR341="","",INDEX(fa_htb,AR341)+INDEX(fa_tvab,AR341))</f>
        <v/>
      </c>
      <c r="U341" s="65" t="str">
        <f>IF(A341="","",SUMIF(pa_inv,A341,pa_amt))</f>
        <v/>
      </c>
      <c r="V341" s="65" t="str">
        <f>IF(OR(A341="",AA341="Avoir"),"",-SUMIFS(fa_ttc,fa_avof,A341,fa_type,"Avoir"))</f>
        <v/>
      </c>
      <c r="W341" s="65" t="str">
        <f>IF(OR(A341="",AA341="Avoir"),"",ROUND(S341-U341-V341,2))</f>
        <v/>
      </c>
      <c r="X341" s="66" t="str">
        <f>IF(W341="","",IF(AND(W341&gt;0,p_asof&gt;P341),p_asof-P341,""))</f>
        <v/>
      </c>
      <c r="Y341" s="59" t="str">
        <f>IF(A341="","",IF(AA341="Avoir","Avoir",IF(W341&lt;0,"Trop-perçu",IF(W341=0,"Soldée",IF(p_asof&gt;P341,"En retard",IF(U341+V341&gt;0,"Partielle","À échoir"))))))</f>
        <v/>
      </c>
      <c r="Z341" s="59" t="str">
        <f>IF(NOT(COUNTA(B341:D341,F341:O341)&gt;0),"",IF(C341="","Date manquante",IF(NOT(ISNUMBER(C341)),"Date invalide",IF(D341="","Client manquant",IF(ISNA(MATCH(D341,cli_code,0)),"Client inconnu",IF(AC341&lt;SUMPRODUCT(MAX(($AB$6:AB340=AB341)*$AC$6:AC340)),"Date antérieure à la facture précédente",IF(AND(F341&lt;&gt;"",ISNA(MATCH(F341,dv_num,0))),"Devis inconnu",IF(AND(F341&lt;&gt;"",IFERROR(INDEX(dv_client,MATCH(F341,dv_num,0)),D341)&lt;&gt;D341),"Client différent de celui du devis",IF(AG341="","Aucune ligne : saisissez des lignes ou un devis",IF(AND(AI341&lt;&gt;"",COUNTIF($AI$6:AI341,AI341)&gt;1),"Devis déjà repris par une autre facture",IF(AND(AA341="Avoir",M341=""),"Avoir : indiquez la facture d'origine",IF(AND(AA341="Avoir",ISNA(MATCH(M341,fa_num,0))),"Facture d'origine inconnue",IF(AND(AA341&lt;&gt;"Avoir",M341&lt;&gt;""),"« Avoir sur facture » : réservé aux avoirs",IF(AND(L341&lt;&gt;"",AA341&lt;&gt;"Facture"),"Acompte à déduire : réservé aux factures",IF(AND(L341&lt;&gt;"",ISNA(MATCH(L341,fa_num,0))),"Facture d'acompte inconnue",IF(AND(L341&lt;&gt;"",IFERROR(INDEX(fa_type,MATCH(L341,fa_num,0)),"")&lt;&gt;"Facture d'acompte"),"Le n° à déduire n'est pas une facture d'acompte",IF(AND(L341&lt;&gt;"",COUNTIF($L$6:L341,L341)&gt;1),"Acompte déjà déduit sur une autre facture",IF(AND(L341&lt;&gt;"",IFERROR(INDEX(fa_client,MATCH(L341,fa_num,0)),D341)&lt;&gt;D341),"Acompte d'un autre client",IF(AND(AR341&lt;&gt;"",N(Q341)&lt;0),"Acompte supérieur au total de la facture",IF(IF(AG341="Facture",COUNTIFS(fl_doc,A341,fl_check,"&lt;&gt;OK"),IF(AG341="Devis",COUNTIFS(dl_doc,F341,dl_check,"&lt;&gt;OK"),0))&gt;0,"Ligne(s) à corriger",IF(AND(W341&lt;&gt;"",N(W341)&lt;0),"Trop-perçu : vérifiez paiements et avoirs","OK")))))))))))))))))))))</f>
        <v/>
      </c>
      <c r="AA341" s="62" t="str">
        <f>IF(COUNTA(B341:D341,F341:O341)&gt;0,IF(B341="","Facture",B341),"")</f>
        <v/>
      </c>
      <c r="AB341" s="62" t="str">
        <f>IF(AA341="","",IF(AA341="Avoir",p_pav,IF(AA341="Facture d'acompte",p_pac,p_pfa)))</f>
        <v/>
      </c>
      <c r="AC341" s="62">
        <f>IF(ISNUMBER(C341),C341,0)</f>
        <v>0.0</v>
      </c>
      <c r="AD341" s="62" t="str">
        <f>IF(OR(AA341="",AC341=0),"",YEAR(AC341))</f>
        <v/>
      </c>
      <c r="AE341" s="62" t="str">
        <f>IF(AD341="","",COUNTIFS($AB$6:AB341,AB341,$AD$6:AD341,AD341))</f>
        <v/>
      </c>
      <c r="AF341" s="62">
        <f>IF(A341="",0,COUNTIF(fl_doc,A341))</f>
        <v>0.0</v>
      </c>
      <c r="AG341" s="62" t="str">
        <f>IF(A341="","",IF(AF341&gt;0,"Facture",IF(AND(F341&lt;&gt;"",AA341="Facture",ISNUMBER(MATCH(F341,dv_num,0))),"Devis","")))</f>
        <v/>
      </c>
      <c r="AH341" s="62" t="str">
        <f>IF(AND(A341&lt;&gt;"",F341&lt;&gt;"",AA341&lt;&gt;"Avoir"),F341,"")</f>
        <v/>
      </c>
      <c r="AI341" s="62" t="str">
        <f>IF(AG341="Devis",F341,"")</f>
        <v/>
      </c>
      <c r="AJ341" s="62">
        <f>IF(AG341="Facture",SUMIF(fl_doc,A341,fl_ht),IF(AG341="Devis",SUMIF(dl_doc,F341,dl_ht),0))</f>
        <v>0.0</v>
      </c>
      <c r="AK341" s="62">
        <f>IF(OR(AG341="",INDEX(p_rates,1)=""),0,IF(AG341="Facture",SUMIFS(fl_ht,fl_doc,A341,fl_rate,INDEX(p_rates,1)),SUMIFS(dl_ht,dl_doc,F341,dl_rate,INDEX(p_rates,1))))</f>
        <v>0.0</v>
      </c>
      <c r="AL341" s="62">
        <f>IF(OR(AG341="",INDEX(p_rates,2)=""),0,IF(AG341="Facture",SUMIFS(fl_ht,fl_doc,A341,fl_rate,INDEX(p_rates,2)),SUMIFS(dl_ht,dl_doc,F341,dl_rate,INDEX(p_rates,2))))</f>
        <v>0.0</v>
      </c>
      <c r="AM341" s="62">
        <f>IF(OR(AG341="",INDEX(p_rates,3)=""),0,IF(AG341="Facture",SUMIFS(fl_ht,fl_doc,A341,fl_rate,INDEX(p_rates,3)),SUMIFS(dl_ht,dl_doc,F341,dl_rate,INDEX(p_rates,3))))</f>
        <v>0.0</v>
      </c>
      <c r="AN341" s="62">
        <f>IF(OR(AG341="",INDEX(p_rates,4)=""),0,IF(AG341="Facture",SUMIFS(fl_ht,fl_doc,A341,fl_rate,INDEX(p_rates,4)),SUMIFS(dl_ht,dl_doc,F341,dl_rate,INDEX(p_rates,4))))</f>
        <v>0.0</v>
      </c>
      <c r="AO341" s="62">
        <f>IF(OR(AG341="",INDEX(p_rates,5)=""),0,IF(AG341="Facture",SUMIFS(fl_ht,fl_doc,A341,fl_rate,INDEX(p_rates,5)),SUMIFS(dl_ht,dl_doc,F341,dl_rate,INDEX(p_rates,5))))</f>
        <v>0.0</v>
      </c>
      <c r="AP341" s="62">
        <f>IF(OR(AG341="",INDEX(p_rates,6)=""),0,IF(AG341="Facture",SUMIFS(fl_ht,fl_doc,A341,fl_rate,INDEX(p_rates,6)),SUMIFS(dl_ht,dl_doc,F341,dl_rate,INDEX(p_rates,6))))</f>
        <v>0.0</v>
      </c>
      <c r="AQ341" s="62">
        <f>ROUND(AK341*N(INDEX(p_rates,1)),2)+ROUND(AL341*N(INDEX(p_rates,2)),2)+ROUND(AM341*N(INDEX(p_rates,3)),2)+ROUND(AN341*N(INDEX(p_rates,4)),2)+ROUND(AO341*N(INDEX(p_rates,5)),2)+ROUND(AP341*N(INDEX(p_rates,6)),2)</f>
        <v>0.0</v>
      </c>
      <c r="AR341" s="62" t="str">
        <f>IF(OR(L341="",AA341&lt;&gt;"Facture"),"",IFERROR(IF(INDEX(fa_type,MATCH(L341,fa_num,0))="Facture d'acompte",MATCH(L341,fa_num,0),""),""))</f>
        <v/>
      </c>
      <c r="AS341" s="62" t="str">
        <f>IF(W341="","",IF(W341&lt;=0,"",IF(p_asof-P341&lt;=0,"Non échu",IF(p_asof-P341&lt;=30,"1-30 j",IF(p_asof-P341&lt;=60,"31-60 j",IF(p_asof-P341&lt;=90,"61-90 j","Plus de 90 j"))))))</f>
        <v/>
      </c>
      <c r="AT341" s="62" t="str">
        <f>IF(AS341="","",p_asof-P341)</f>
        <v/>
      </c>
      <c r="AU341" s="62" t="str">
        <f>IF(AT341="","",COUNTIF($AT$6:$AT$805,"&gt;"&amp;AT341)+COUNTIF($AT$6:AT341,AT341))</f>
        <v/>
      </c>
    </row>
    <row r="342">
      <c r="A342" s="59" t="str">
        <f>IF(AE342="","",AB342&amp;"-"&amp;AD342&amp;"-"&amp;RIGHT("000"&amp;AE342,4))</f>
        <v/>
      </c>
      <c r="B342" s="60" t="n"/>
      <c r="C342" s="61" t="n"/>
      <c r="D342" s="60" t="n"/>
      <c r="E342" s="62" t="str">
        <f>IF(D342="","",IFERROR(INDEX(cli_name,MATCH(D342,cli_code,0))&amp;"","Client inconnu"))</f>
        <v/>
      </c>
      <c r="F342" s="60" t="n"/>
      <c r="G342" s="63" t="n"/>
      <c r="H342" s="61" t="n"/>
      <c r="I342" s="63" t="n"/>
      <c r="J342" s="60" t="n"/>
      <c r="K342" s="61" t="n"/>
      <c r="L342" s="60" t="n"/>
      <c r="M342" s="60" t="n"/>
      <c r="N342" s="60" t="n"/>
      <c r="O342" s="61" t="n"/>
      <c r="P342" s="64" t="str">
        <f>IF(A342="","",IF(AA342="Avoir",AC342,IF(ISNUMBER(K342),K342,AC342+IF(D342="",N(p_delay),IFERROR(IF(ISNUMBER(INDEX(cli_delay,MATCH(D342,cli_code,0))),INDEX(cli_delay,MATCH(D342,cli_code,0)),N(p_delay)),N(p_delay))))))</f>
        <v/>
      </c>
      <c r="Q342" s="65" t="str">
        <f>IF(A342="","",IF(AA342="Avoir",-1,1)*ROUND(AJ342-IF(AR342="",0,INDEX(fa_htb,AR342)),2))</f>
        <v/>
      </c>
      <c r="R342" s="65" t="str">
        <f>IF(A342="","",IF(AA342="Avoir",-1,1)*ROUND(AQ342-IF(AR342="",0,INDEX(fa_tvab,AR342)),2))</f>
        <v/>
      </c>
      <c r="S342" s="65" t="str">
        <f>IF(A342="","",Q342+R342)</f>
        <v/>
      </c>
      <c r="T342" s="65" t="str">
        <f>IF(AR342="","",INDEX(fa_htb,AR342)+INDEX(fa_tvab,AR342))</f>
        <v/>
      </c>
      <c r="U342" s="65" t="str">
        <f>IF(A342="","",SUMIF(pa_inv,A342,pa_amt))</f>
        <v/>
      </c>
      <c r="V342" s="65" t="str">
        <f>IF(OR(A342="",AA342="Avoir"),"",-SUMIFS(fa_ttc,fa_avof,A342,fa_type,"Avoir"))</f>
        <v/>
      </c>
      <c r="W342" s="65" t="str">
        <f>IF(OR(A342="",AA342="Avoir"),"",ROUND(S342-U342-V342,2))</f>
        <v/>
      </c>
      <c r="X342" s="66" t="str">
        <f>IF(W342="","",IF(AND(W342&gt;0,p_asof&gt;P342),p_asof-P342,""))</f>
        <v/>
      </c>
      <c r="Y342" s="59" t="str">
        <f>IF(A342="","",IF(AA342="Avoir","Avoir",IF(W342&lt;0,"Trop-perçu",IF(W342=0,"Soldée",IF(p_asof&gt;P342,"En retard",IF(U342+V342&gt;0,"Partielle","À échoir"))))))</f>
        <v/>
      </c>
      <c r="Z342" s="59" t="str">
        <f>IF(NOT(COUNTA(B342:D342,F342:O342)&gt;0),"",IF(C342="","Date manquante",IF(NOT(ISNUMBER(C342)),"Date invalide",IF(D342="","Client manquant",IF(ISNA(MATCH(D342,cli_code,0)),"Client inconnu",IF(AC342&lt;SUMPRODUCT(MAX(($AB$6:AB341=AB342)*$AC$6:AC341)),"Date antérieure à la facture précédente",IF(AND(F342&lt;&gt;"",ISNA(MATCH(F342,dv_num,0))),"Devis inconnu",IF(AND(F342&lt;&gt;"",IFERROR(INDEX(dv_client,MATCH(F342,dv_num,0)),D342)&lt;&gt;D342),"Client différent de celui du devis",IF(AG342="","Aucune ligne : saisissez des lignes ou un devis",IF(AND(AI342&lt;&gt;"",COUNTIF($AI$6:AI342,AI342)&gt;1),"Devis déjà repris par une autre facture",IF(AND(AA342="Avoir",M342=""),"Avoir : indiquez la facture d'origine",IF(AND(AA342="Avoir",ISNA(MATCH(M342,fa_num,0))),"Facture d'origine inconnue",IF(AND(AA342&lt;&gt;"Avoir",M342&lt;&gt;""),"« Avoir sur facture » : réservé aux avoirs",IF(AND(L342&lt;&gt;"",AA342&lt;&gt;"Facture"),"Acompte à déduire : réservé aux factures",IF(AND(L342&lt;&gt;"",ISNA(MATCH(L342,fa_num,0))),"Facture d'acompte inconnue",IF(AND(L342&lt;&gt;"",IFERROR(INDEX(fa_type,MATCH(L342,fa_num,0)),"")&lt;&gt;"Facture d'acompte"),"Le n° à déduire n'est pas une facture d'acompte",IF(AND(L342&lt;&gt;"",COUNTIF($L$6:L342,L342)&gt;1),"Acompte déjà déduit sur une autre facture",IF(AND(L342&lt;&gt;"",IFERROR(INDEX(fa_client,MATCH(L342,fa_num,0)),D342)&lt;&gt;D342),"Acompte d'un autre client",IF(AND(AR342&lt;&gt;"",N(Q342)&lt;0),"Acompte supérieur au total de la facture",IF(IF(AG342="Facture",COUNTIFS(fl_doc,A342,fl_check,"&lt;&gt;OK"),IF(AG342="Devis",COUNTIFS(dl_doc,F342,dl_check,"&lt;&gt;OK"),0))&gt;0,"Ligne(s) à corriger",IF(AND(W342&lt;&gt;"",N(W342)&lt;0),"Trop-perçu : vérifiez paiements et avoirs","OK")))))))))))))))))))))</f>
        <v/>
      </c>
      <c r="AA342" s="62" t="str">
        <f>IF(COUNTA(B342:D342,F342:O342)&gt;0,IF(B342="","Facture",B342),"")</f>
        <v/>
      </c>
      <c r="AB342" s="62" t="str">
        <f>IF(AA342="","",IF(AA342="Avoir",p_pav,IF(AA342="Facture d'acompte",p_pac,p_pfa)))</f>
        <v/>
      </c>
      <c r="AC342" s="62">
        <f>IF(ISNUMBER(C342),C342,0)</f>
        <v>0.0</v>
      </c>
      <c r="AD342" s="62" t="str">
        <f>IF(OR(AA342="",AC342=0),"",YEAR(AC342))</f>
        <v/>
      </c>
      <c r="AE342" s="62" t="str">
        <f>IF(AD342="","",COUNTIFS($AB$6:AB342,AB342,$AD$6:AD342,AD342))</f>
        <v/>
      </c>
      <c r="AF342" s="62">
        <f>IF(A342="",0,COUNTIF(fl_doc,A342))</f>
        <v>0.0</v>
      </c>
      <c r="AG342" s="62" t="str">
        <f>IF(A342="","",IF(AF342&gt;0,"Facture",IF(AND(F342&lt;&gt;"",AA342="Facture",ISNUMBER(MATCH(F342,dv_num,0))),"Devis","")))</f>
        <v/>
      </c>
      <c r="AH342" s="62" t="str">
        <f>IF(AND(A342&lt;&gt;"",F342&lt;&gt;"",AA342&lt;&gt;"Avoir"),F342,"")</f>
        <v/>
      </c>
      <c r="AI342" s="62" t="str">
        <f>IF(AG342="Devis",F342,"")</f>
        <v/>
      </c>
      <c r="AJ342" s="62">
        <f>IF(AG342="Facture",SUMIF(fl_doc,A342,fl_ht),IF(AG342="Devis",SUMIF(dl_doc,F342,dl_ht),0))</f>
        <v>0.0</v>
      </c>
      <c r="AK342" s="62">
        <f>IF(OR(AG342="",INDEX(p_rates,1)=""),0,IF(AG342="Facture",SUMIFS(fl_ht,fl_doc,A342,fl_rate,INDEX(p_rates,1)),SUMIFS(dl_ht,dl_doc,F342,dl_rate,INDEX(p_rates,1))))</f>
        <v>0.0</v>
      </c>
      <c r="AL342" s="62">
        <f>IF(OR(AG342="",INDEX(p_rates,2)=""),0,IF(AG342="Facture",SUMIFS(fl_ht,fl_doc,A342,fl_rate,INDEX(p_rates,2)),SUMIFS(dl_ht,dl_doc,F342,dl_rate,INDEX(p_rates,2))))</f>
        <v>0.0</v>
      </c>
      <c r="AM342" s="62">
        <f>IF(OR(AG342="",INDEX(p_rates,3)=""),0,IF(AG342="Facture",SUMIFS(fl_ht,fl_doc,A342,fl_rate,INDEX(p_rates,3)),SUMIFS(dl_ht,dl_doc,F342,dl_rate,INDEX(p_rates,3))))</f>
        <v>0.0</v>
      </c>
      <c r="AN342" s="62">
        <f>IF(OR(AG342="",INDEX(p_rates,4)=""),0,IF(AG342="Facture",SUMIFS(fl_ht,fl_doc,A342,fl_rate,INDEX(p_rates,4)),SUMIFS(dl_ht,dl_doc,F342,dl_rate,INDEX(p_rates,4))))</f>
        <v>0.0</v>
      </c>
      <c r="AO342" s="62">
        <f>IF(OR(AG342="",INDEX(p_rates,5)=""),0,IF(AG342="Facture",SUMIFS(fl_ht,fl_doc,A342,fl_rate,INDEX(p_rates,5)),SUMIFS(dl_ht,dl_doc,F342,dl_rate,INDEX(p_rates,5))))</f>
        <v>0.0</v>
      </c>
      <c r="AP342" s="62">
        <f>IF(OR(AG342="",INDEX(p_rates,6)=""),0,IF(AG342="Facture",SUMIFS(fl_ht,fl_doc,A342,fl_rate,INDEX(p_rates,6)),SUMIFS(dl_ht,dl_doc,F342,dl_rate,INDEX(p_rates,6))))</f>
        <v>0.0</v>
      </c>
      <c r="AQ342" s="62">
        <f>ROUND(AK342*N(INDEX(p_rates,1)),2)+ROUND(AL342*N(INDEX(p_rates,2)),2)+ROUND(AM342*N(INDEX(p_rates,3)),2)+ROUND(AN342*N(INDEX(p_rates,4)),2)+ROUND(AO342*N(INDEX(p_rates,5)),2)+ROUND(AP342*N(INDEX(p_rates,6)),2)</f>
        <v>0.0</v>
      </c>
      <c r="AR342" s="62" t="str">
        <f>IF(OR(L342="",AA342&lt;&gt;"Facture"),"",IFERROR(IF(INDEX(fa_type,MATCH(L342,fa_num,0))="Facture d'acompte",MATCH(L342,fa_num,0),""),""))</f>
        <v/>
      </c>
      <c r="AS342" s="62" t="str">
        <f>IF(W342="","",IF(W342&lt;=0,"",IF(p_asof-P342&lt;=0,"Non échu",IF(p_asof-P342&lt;=30,"1-30 j",IF(p_asof-P342&lt;=60,"31-60 j",IF(p_asof-P342&lt;=90,"61-90 j","Plus de 90 j"))))))</f>
        <v/>
      </c>
      <c r="AT342" s="62" t="str">
        <f>IF(AS342="","",p_asof-P342)</f>
        <v/>
      </c>
      <c r="AU342" s="62" t="str">
        <f>IF(AT342="","",COUNTIF($AT$6:$AT$805,"&gt;"&amp;AT342)+COUNTIF($AT$6:AT342,AT342))</f>
        <v/>
      </c>
    </row>
    <row r="343">
      <c r="A343" s="59" t="str">
        <f>IF(AE343="","",AB343&amp;"-"&amp;AD343&amp;"-"&amp;RIGHT("000"&amp;AE343,4))</f>
        <v/>
      </c>
      <c r="B343" s="60" t="n"/>
      <c r="C343" s="61" t="n"/>
      <c r="D343" s="60" t="n"/>
      <c r="E343" s="62" t="str">
        <f>IF(D343="","",IFERROR(INDEX(cli_name,MATCH(D343,cli_code,0))&amp;"","Client inconnu"))</f>
        <v/>
      </c>
      <c r="F343" s="60" t="n"/>
      <c r="G343" s="63" t="n"/>
      <c r="H343" s="61" t="n"/>
      <c r="I343" s="63" t="n"/>
      <c r="J343" s="60" t="n"/>
      <c r="K343" s="61" t="n"/>
      <c r="L343" s="60" t="n"/>
      <c r="M343" s="60" t="n"/>
      <c r="N343" s="60" t="n"/>
      <c r="O343" s="61" t="n"/>
      <c r="P343" s="64" t="str">
        <f>IF(A343="","",IF(AA343="Avoir",AC343,IF(ISNUMBER(K343),K343,AC343+IF(D343="",N(p_delay),IFERROR(IF(ISNUMBER(INDEX(cli_delay,MATCH(D343,cli_code,0))),INDEX(cli_delay,MATCH(D343,cli_code,0)),N(p_delay)),N(p_delay))))))</f>
        <v/>
      </c>
      <c r="Q343" s="65" t="str">
        <f>IF(A343="","",IF(AA343="Avoir",-1,1)*ROUND(AJ343-IF(AR343="",0,INDEX(fa_htb,AR343)),2))</f>
        <v/>
      </c>
      <c r="R343" s="65" t="str">
        <f>IF(A343="","",IF(AA343="Avoir",-1,1)*ROUND(AQ343-IF(AR343="",0,INDEX(fa_tvab,AR343)),2))</f>
        <v/>
      </c>
      <c r="S343" s="65" t="str">
        <f>IF(A343="","",Q343+R343)</f>
        <v/>
      </c>
      <c r="T343" s="65" t="str">
        <f>IF(AR343="","",INDEX(fa_htb,AR343)+INDEX(fa_tvab,AR343))</f>
        <v/>
      </c>
      <c r="U343" s="65" t="str">
        <f>IF(A343="","",SUMIF(pa_inv,A343,pa_amt))</f>
        <v/>
      </c>
      <c r="V343" s="65" t="str">
        <f>IF(OR(A343="",AA343="Avoir"),"",-SUMIFS(fa_ttc,fa_avof,A343,fa_type,"Avoir"))</f>
        <v/>
      </c>
      <c r="W343" s="65" t="str">
        <f>IF(OR(A343="",AA343="Avoir"),"",ROUND(S343-U343-V343,2))</f>
        <v/>
      </c>
      <c r="X343" s="66" t="str">
        <f>IF(W343="","",IF(AND(W343&gt;0,p_asof&gt;P343),p_asof-P343,""))</f>
        <v/>
      </c>
      <c r="Y343" s="59" t="str">
        <f>IF(A343="","",IF(AA343="Avoir","Avoir",IF(W343&lt;0,"Trop-perçu",IF(W343=0,"Soldée",IF(p_asof&gt;P343,"En retard",IF(U343+V343&gt;0,"Partielle","À échoir"))))))</f>
        <v/>
      </c>
      <c r="Z343" s="59" t="str">
        <f>IF(NOT(COUNTA(B343:D343,F343:O343)&gt;0),"",IF(C343="","Date manquante",IF(NOT(ISNUMBER(C343)),"Date invalide",IF(D343="","Client manquant",IF(ISNA(MATCH(D343,cli_code,0)),"Client inconnu",IF(AC343&lt;SUMPRODUCT(MAX(($AB$6:AB342=AB343)*$AC$6:AC342)),"Date antérieure à la facture précédente",IF(AND(F343&lt;&gt;"",ISNA(MATCH(F343,dv_num,0))),"Devis inconnu",IF(AND(F343&lt;&gt;"",IFERROR(INDEX(dv_client,MATCH(F343,dv_num,0)),D343)&lt;&gt;D343),"Client différent de celui du devis",IF(AG343="","Aucune ligne : saisissez des lignes ou un devis",IF(AND(AI343&lt;&gt;"",COUNTIF($AI$6:AI343,AI343)&gt;1),"Devis déjà repris par une autre facture",IF(AND(AA343="Avoir",M343=""),"Avoir : indiquez la facture d'origine",IF(AND(AA343="Avoir",ISNA(MATCH(M343,fa_num,0))),"Facture d'origine inconnue",IF(AND(AA343&lt;&gt;"Avoir",M343&lt;&gt;""),"« Avoir sur facture » : réservé aux avoirs",IF(AND(L343&lt;&gt;"",AA343&lt;&gt;"Facture"),"Acompte à déduire : réservé aux factures",IF(AND(L343&lt;&gt;"",ISNA(MATCH(L343,fa_num,0))),"Facture d'acompte inconnue",IF(AND(L343&lt;&gt;"",IFERROR(INDEX(fa_type,MATCH(L343,fa_num,0)),"")&lt;&gt;"Facture d'acompte"),"Le n° à déduire n'est pas une facture d'acompte",IF(AND(L343&lt;&gt;"",COUNTIF($L$6:L343,L343)&gt;1),"Acompte déjà déduit sur une autre facture",IF(AND(L343&lt;&gt;"",IFERROR(INDEX(fa_client,MATCH(L343,fa_num,0)),D343)&lt;&gt;D343),"Acompte d'un autre client",IF(AND(AR343&lt;&gt;"",N(Q343)&lt;0),"Acompte supérieur au total de la facture",IF(IF(AG343="Facture",COUNTIFS(fl_doc,A343,fl_check,"&lt;&gt;OK"),IF(AG343="Devis",COUNTIFS(dl_doc,F343,dl_check,"&lt;&gt;OK"),0))&gt;0,"Ligne(s) à corriger",IF(AND(W343&lt;&gt;"",N(W343)&lt;0),"Trop-perçu : vérifiez paiements et avoirs","OK")))))))))))))))))))))</f>
        <v/>
      </c>
      <c r="AA343" s="62" t="str">
        <f>IF(COUNTA(B343:D343,F343:O343)&gt;0,IF(B343="","Facture",B343),"")</f>
        <v/>
      </c>
      <c r="AB343" s="62" t="str">
        <f>IF(AA343="","",IF(AA343="Avoir",p_pav,IF(AA343="Facture d'acompte",p_pac,p_pfa)))</f>
        <v/>
      </c>
      <c r="AC343" s="62">
        <f>IF(ISNUMBER(C343),C343,0)</f>
        <v>0.0</v>
      </c>
      <c r="AD343" s="62" t="str">
        <f>IF(OR(AA343="",AC343=0),"",YEAR(AC343))</f>
        <v/>
      </c>
      <c r="AE343" s="62" t="str">
        <f>IF(AD343="","",COUNTIFS($AB$6:AB343,AB343,$AD$6:AD343,AD343))</f>
        <v/>
      </c>
      <c r="AF343" s="62">
        <f>IF(A343="",0,COUNTIF(fl_doc,A343))</f>
        <v>0.0</v>
      </c>
      <c r="AG343" s="62" t="str">
        <f>IF(A343="","",IF(AF343&gt;0,"Facture",IF(AND(F343&lt;&gt;"",AA343="Facture",ISNUMBER(MATCH(F343,dv_num,0))),"Devis","")))</f>
        <v/>
      </c>
      <c r="AH343" s="62" t="str">
        <f>IF(AND(A343&lt;&gt;"",F343&lt;&gt;"",AA343&lt;&gt;"Avoir"),F343,"")</f>
        <v/>
      </c>
      <c r="AI343" s="62" t="str">
        <f>IF(AG343="Devis",F343,"")</f>
        <v/>
      </c>
      <c r="AJ343" s="62">
        <f>IF(AG343="Facture",SUMIF(fl_doc,A343,fl_ht),IF(AG343="Devis",SUMIF(dl_doc,F343,dl_ht),0))</f>
        <v>0.0</v>
      </c>
      <c r="AK343" s="62">
        <f>IF(OR(AG343="",INDEX(p_rates,1)=""),0,IF(AG343="Facture",SUMIFS(fl_ht,fl_doc,A343,fl_rate,INDEX(p_rates,1)),SUMIFS(dl_ht,dl_doc,F343,dl_rate,INDEX(p_rates,1))))</f>
        <v>0.0</v>
      </c>
      <c r="AL343" s="62">
        <f>IF(OR(AG343="",INDEX(p_rates,2)=""),0,IF(AG343="Facture",SUMIFS(fl_ht,fl_doc,A343,fl_rate,INDEX(p_rates,2)),SUMIFS(dl_ht,dl_doc,F343,dl_rate,INDEX(p_rates,2))))</f>
        <v>0.0</v>
      </c>
      <c r="AM343" s="62">
        <f>IF(OR(AG343="",INDEX(p_rates,3)=""),0,IF(AG343="Facture",SUMIFS(fl_ht,fl_doc,A343,fl_rate,INDEX(p_rates,3)),SUMIFS(dl_ht,dl_doc,F343,dl_rate,INDEX(p_rates,3))))</f>
        <v>0.0</v>
      </c>
      <c r="AN343" s="62">
        <f>IF(OR(AG343="",INDEX(p_rates,4)=""),0,IF(AG343="Facture",SUMIFS(fl_ht,fl_doc,A343,fl_rate,INDEX(p_rates,4)),SUMIFS(dl_ht,dl_doc,F343,dl_rate,INDEX(p_rates,4))))</f>
        <v>0.0</v>
      </c>
      <c r="AO343" s="62">
        <f>IF(OR(AG343="",INDEX(p_rates,5)=""),0,IF(AG343="Facture",SUMIFS(fl_ht,fl_doc,A343,fl_rate,INDEX(p_rates,5)),SUMIFS(dl_ht,dl_doc,F343,dl_rate,INDEX(p_rates,5))))</f>
        <v>0.0</v>
      </c>
      <c r="AP343" s="62">
        <f>IF(OR(AG343="",INDEX(p_rates,6)=""),0,IF(AG343="Facture",SUMIFS(fl_ht,fl_doc,A343,fl_rate,INDEX(p_rates,6)),SUMIFS(dl_ht,dl_doc,F343,dl_rate,INDEX(p_rates,6))))</f>
        <v>0.0</v>
      </c>
      <c r="AQ343" s="62">
        <f>ROUND(AK343*N(INDEX(p_rates,1)),2)+ROUND(AL343*N(INDEX(p_rates,2)),2)+ROUND(AM343*N(INDEX(p_rates,3)),2)+ROUND(AN343*N(INDEX(p_rates,4)),2)+ROUND(AO343*N(INDEX(p_rates,5)),2)+ROUND(AP343*N(INDEX(p_rates,6)),2)</f>
        <v>0.0</v>
      </c>
      <c r="AR343" s="62" t="str">
        <f>IF(OR(L343="",AA343&lt;&gt;"Facture"),"",IFERROR(IF(INDEX(fa_type,MATCH(L343,fa_num,0))="Facture d'acompte",MATCH(L343,fa_num,0),""),""))</f>
        <v/>
      </c>
      <c r="AS343" s="62" t="str">
        <f>IF(W343="","",IF(W343&lt;=0,"",IF(p_asof-P343&lt;=0,"Non échu",IF(p_asof-P343&lt;=30,"1-30 j",IF(p_asof-P343&lt;=60,"31-60 j",IF(p_asof-P343&lt;=90,"61-90 j","Plus de 90 j"))))))</f>
        <v/>
      </c>
      <c r="AT343" s="62" t="str">
        <f>IF(AS343="","",p_asof-P343)</f>
        <v/>
      </c>
      <c r="AU343" s="62" t="str">
        <f>IF(AT343="","",COUNTIF($AT$6:$AT$805,"&gt;"&amp;AT343)+COUNTIF($AT$6:AT343,AT343))</f>
        <v/>
      </c>
    </row>
    <row r="344">
      <c r="A344" s="59" t="str">
        <f>IF(AE344="","",AB344&amp;"-"&amp;AD344&amp;"-"&amp;RIGHT("000"&amp;AE344,4))</f>
        <v/>
      </c>
      <c r="B344" s="60" t="n"/>
      <c r="C344" s="61" t="n"/>
      <c r="D344" s="60" t="n"/>
      <c r="E344" s="62" t="str">
        <f>IF(D344="","",IFERROR(INDEX(cli_name,MATCH(D344,cli_code,0))&amp;"","Client inconnu"))</f>
        <v/>
      </c>
      <c r="F344" s="60" t="n"/>
      <c r="G344" s="63" t="n"/>
      <c r="H344" s="61" t="n"/>
      <c r="I344" s="63" t="n"/>
      <c r="J344" s="60" t="n"/>
      <c r="K344" s="61" t="n"/>
      <c r="L344" s="60" t="n"/>
      <c r="M344" s="60" t="n"/>
      <c r="N344" s="60" t="n"/>
      <c r="O344" s="61" t="n"/>
      <c r="P344" s="64" t="str">
        <f>IF(A344="","",IF(AA344="Avoir",AC344,IF(ISNUMBER(K344),K344,AC344+IF(D344="",N(p_delay),IFERROR(IF(ISNUMBER(INDEX(cli_delay,MATCH(D344,cli_code,0))),INDEX(cli_delay,MATCH(D344,cli_code,0)),N(p_delay)),N(p_delay))))))</f>
        <v/>
      </c>
      <c r="Q344" s="65" t="str">
        <f>IF(A344="","",IF(AA344="Avoir",-1,1)*ROUND(AJ344-IF(AR344="",0,INDEX(fa_htb,AR344)),2))</f>
        <v/>
      </c>
      <c r="R344" s="65" t="str">
        <f>IF(A344="","",IF(AA344="Avoir",-1,1)*ROUND(AQ344-IF(AR344="",0,INDEX(fa_tvab,AR344)),2))</f>
        <v/>
      </c>
      <c r="S344" s="65" t="str">
        <f>IF(A344="","",Q344+R344)</f>
        <v/>
      </c>
      <c r="T344" s="65" t="str">
        <f>IF(AR344="","",INDEX(fa_htb,AR344)+INDEX(fa_tvab,AR344))</f>
        <v/>
      </c>
      <c r="U344" s="65" t="str">
        <f>IF(A344="","",SUMIF(pa_inv,A344,pa_amt))</f>
        <v/>
      </c>
      <c r="V344" s="65" t="str">
        <f>IF(OR(A344="",AA344="Avoir"),"",-SUMIFS(fa_ttc,fa_avof,A344,fa_type,"Avoir"))</f>
        <v/>
      </c>
      <c r="W344" s="65" t="str">
        <f>IF(OR(A344="",AA344="Avoir"),"",ROUND(S344-U344-V344,2))</f>
        <v/>
      </c>
      <c r="X344" s="66" t="str">
        <f>IF(W344="","",IF(AND(W344&gt;0,p_asof&gt;P344),p_asof-P344,""))</f>
        <v/>
      </c>
      <c r="Y344" s="59" t="str">
        <f>IF(A344="","",IF(AA344="Avoir","Avoir",IF(W344&lt;0,"Trop-perçu",IF(W344=0,"Soldée",IF(p_asof&gt;P344,"En retard",IF(U344+V344&gt;0,"Partielle","À échoir"))))))</f>
        <v/>
      </c>
      <c r="Z344" s="59" t="str">
        <f>IF(NOT(COUNTA(B344:D344,F344:O344)&gt;0),"",IF(C344="","Date manquante",IF(NOT(ISNUMBER(C344)),"Date invalide",IF(D344="","Client manquant",IF(ISNA(MATCH(D344,cli_code,0)),"Client inconnu",IF(AC344&lt;SUMPRODUCT(MAX(($AB$6:AB343=AB344)*$AC$6:AC343)),"Date antérieure à la facture précédente",IF(AND(F344&lt;&gt;"",ISNA(MATCH(F344,dv_num,0))),"Devis inconnu",IF(AND(F344&lt;&gt;"",IFERROR(INDEX(dv_client,MATCH(F344,dv_num,0)),D344)&lt;&gt;D344),"Client différent de celui du devis",IF(AG344="","Aucune ligne : saisissez des lignes ou un devis",IF(AND(AI344&lt;&gt;"",COUNTIF($AI$6:AI344,AI344)&gt;1),"Devis déjà repris par une autre facture",IF(AND(AA344="Avoir",M344=""),"Avoir : indiquez la facture d'origine",IF(AND(AA344="Avoir",ISNA(MATCH(M344,fa_num,0))),"Facture d'origine inconnue",IF(AND(AA344&lt;&gt;"Avoir",M344&lt;&gt;""),"« Avoir sur facture » : réservé aux avoirs",IF(AND(L344&lt;&gt;"",AA344&lt;&gt;"Facture"),"Acompte à déduire : réservé aux factures",IF(AND(L344&lt;&gt;"",ISNA(MATCH(L344,fa_num,0))),"Facture d'acompte inconnue",IF(AND(L344&lt;&gt;"",IFERROR(INDEX(fa_type,MATCH(L344,fa_num,0)),"")&lt;&gt;"Facture d'acompte"),"Le n° à déduire n'est pas une facture d'acompte",IF(AND(L344&lt;&gt;"",COUNTIF($L$6:L344,L344)&gt;1),"Acompte déjà déduit sur une autre facture",IF(AND(L344&lt;&gt;"",IFERROR(INDEX(fa_client,MATCH(L344,fa_num,0)),D344)&lt;&gt;D344),"Acompte d'un autre client",IF(AND(AR344&lt;&gt;"",N(Q344)&lt;0),"Acompte supérieur au total de la facture",IF(IF(AG344="Facture",COUNTIFS(fl_doc,A344,fl_check,"&lt;&gt;OK"),IF(AG344="Devis",COUNTIFS(dl_doc,F344,dl_check,"&lt;&gt;OK"),0))&gt;0,"Ligne(s) à corriger",IF(AND(W344&lt;&gt;"",N(W344)&lt;0),"Trop-perçu : vérifiez paiements et avoirs","OK")))))))))))))))))))))</f>
        <v/>
      </c>
      <c r="AA344" s="62" t="str">
        <f>IF(COUNTA(B344:D344,F344:O344)&gt;0,IF(B344="","Facture",B344),"")</f>
        <v/>
      </c>
      <c r="AB344" s="62" t="str">
        <f>IF(AA344="","",IF(AA344="Avoir",p_pav,IF(AA344="Facture d'acompte",p_pac,p_pfa)))</f>
        <v/>
      </c>
      <c r="AC344" s="62">
        <f>IF(ISNUMBER(C344),C344,0)</f>
        <v>0.0</v>
      </c>
      <c r="AD344" s="62" t="str">
        <f>IF(OR(AA344="",AC344=0),"",YEAR(AC344))</f>
        <v/>
      </c>
      <c r="AE344" s="62" t="str">
        <f>IF(AD344="","",COUNTIFS($AB$6:AB344,AB344,$AD$6:AD344,AD344))</f>
        <v/>
      </c>
      <c r="AF344" s="62">
        <f>IF(A344="",0,COUNTIF(fl_doc,A344))</f>
        <v>0.0</v>
      </c>
      <c r="AG344" s="62" t="str">
        <f>IF(A344="","",IF(AF344&gt;0,"Facture",IF(AND(F344&lt;&gt;"",AA344="Facture",ISNUMBER(MATCH(F344,dv_num,0))),"Devis","")))</f>
        <v/>
      </c>
      <c r="AH344" s="62" t="str">
        <f>IF(AND(A344&lt;&gt;"",F344&lt;&gt;"",AA344&lt;&gt;"Avoir"),F344,"")</f>
        <v/>
      </c>
      <c r="AI344" s="62" t="str">
        <f>IF(AG344="Devis",F344,"")</f>
        <v/>
      </c>
      <c r="AJ344" s="62">
        <f>IF(AG344="Facture",SUMIF(fl_doc,A344,fl_ht),IF(AG344="Devis",SUMIF(dl_doc,F344,dl_ht),0))</f>
        <v>0.0</v>
      </c>
      <c r="AK344" s="62">
        <f>IF(OR(AG344="",INDEX(p_rates,1)=""),0,IF(AG344="Facture",SUMIFS(fl_ht,fl_doc,A344,fl_rate,INDEX(p_rates,1)),SUMIFS(dl_ht,dl_doc,F344,dl_rate,INDEX(p_rates,1))))</f>
        <v>0.0</v>
      </c>
      <c r="AL344" s="62">
        <f>IF(OR(AG344="",INDEX(p_rates,2)=""),0,IF(AG344="Facture",SUMIFS(fl_ht,fl_doc,A344,fl_rate,INDEX(p_rates,2)),SUMIFS(dl_ht,dl_doc,F344,dl_rate,INDEX(p_rates,2))))</f>
        <v>0.0</v>
      </c>
      <c r="AM344" s="62">
        <f>IF(OR(AG344="",INDEX(p_rates,3)=""),0,IF(AG344="Facture",SUMIFS(fl_ht,fl_doc,A344,fl_rate,INDEX(p_rates,3)),SUMIFS(dl_ht,dl_doc,F344,dl_rate,INDEX(p_rates,3))))</f>
        <v>0.0</v>
      </c>
      <c r="AN344" s="62">
        <f>IF(OR(AG344="",INDEX(p_rates,4)=""),0,IF(AG344="Facture",SUMIFS(fl_ht,fl_doc,A344,fl_rate,INDEX(p_rates,4)),SUMIFS(dl_ht,dl_doc,F344,dl_rate,INDEX(p_rates,4))))</f>
        <v>0.0</v>
      </c>
      <c r="AO344" s="62">
        <f>IF(OR(AG344="",INDEX(p_rates,5)=""),0,IF(AG344="Facture",SUMIFS(fl_ht,fl_doc,A344,fl_rate,INDEX(p_rates,5)),SUMIFS(dl_ht,dl_doc,F344,dl_rate,INDEX(p_rates,5))))</f>
        <v>0.0</v>
      </c>
      <c r="AP344" s="62">
        <f>IF(OR(AG344="",INDEX(p_rates,6)=""),0,IF(AG344="Facture",SUMIFS(fl_ht,fl_doc,A344,fl_rate,INDEX(p_rates,6)),SUMIFS(dl_ht,dl_doc,F344,dl_rate,INDEX(p_rates,6))))</f>
        <v>0.0</v>
      </c>
      <c r="AQ344" s="62">
        <f>ROUND(AK344*N(INDEX(p_rates,1)),2)+ROUND(AL344*N(INDEX(p_rates,2)),2)+ROUND(AM344*N(INDEX(p_rates,3)),2)+ROUND(AN344*N(INDEX(p_rates,4)),2)+ROUND(AO344*N(INDEX(p_rates,5)),2)+ROUND(AP344*N(INDEX(p_rates,6)),2)</f>
        <v>0.0</v>
      </c>
      <c r="AR344" s="62" t="str">
        <f>IF(OR(L344="",AA344&lt;&gt;"Facture"),"",IFERROR(IF(INDEX(fa_type,MATCH(L344,fa_num,0))="Facture d'acompte",MATCH(L344,fa_num,0),""),""))</f>
        <v/>
      </c>
      <c r="AS344" s="62" t="str">
        <f>IF(W344="","",IF(W344&lt;=0,"",IF(p_asof-P344&lt;=0,"Non échu",IF(p_asof-P344&lt;=30,"1-30 j",IF(p_asof-P344&lt;=60,"31-60 j",IF(p_asof-P344&lt;=90,"61-90 j","Plus de 90 j"))))))</f>
        <v/>
      </c>
      <c r="AT344" s="62" t="str">
        <f>IF(AS344="","",p_asof-P344)</f>
        <v/>
      </c>
      <c r="AU344" s="62" t="str">
        <f>IF(AT344="","",COUNTIF($AT$6:$AT$805,"&gt;"&amp;AT344)+COUNTIF($AT$6:AT344,AT344))</f>
        <v/>
      </c>
    </row>
    <row r="345">
      <c r="A345" s="59" t="str">
        <f>IF(AE345="","",AB345&amp;"-"&amp;AD345&amp;"-"&amp;RIGHT("000"&amp;AE345,4))</f>
        <v/>
      </c>
      <c r="B345" s="60" t="n"/>
      <c r="C345" s="61" t="n"/>
      <c r="D345" s="60" t="n"/>
      <c r="E345" s="62" t="str">
        <f>IF(D345="","",IFERROR(INDEX(cli_name,MATCH(D345,cli_code,0))&amp;"","Client inconnu"))</f>
        <v/>
      </c>
      <c r="F345" s="60" t="n"/>
      <c r="G345" s="63" t="n"/>
      <c r="H345" s="61" t="n"/>
      <c r="I345" s="63" t="n"/>
      <c r="J345" s="60" t="n"/>
      <c r="K345" s="61" t="n"/>
      <c r="L345" s="60" t="n"/>
      <c r="M345" s="60" t="n"/>
      <c r="N345" s="60" t="n"/>
      <c r="O345" s="61" t="n"/>
      <c r="P345" s="64" t="str">
        <f>IF(A345="","",IF(AA345="Avoir",AC345,IF(ISNUMBER(K345),K345,AC345+IF(D345="",N(p_delay),IFERROR(IF(ISNUMBER(INDEX(cli_delay,MATCH(D345,cli_code,0))),INDEX(cli_delay,MATCH(D345,cli_code,0)),N(p_delay)),N(p_delay))))))</f>
        <v/>
      </c>
      <c r="Q345" s="65" t="str">
        <f>IF(A345="","",IF(AA345="Avoir",-1,1)*ROUND(AJ345-IF(AR345="",0,INDEX(fa_htb,AR345)),2))</f>
        <v/>
      </c>
      <c r="R345" s="65" t="str">
        <f>IF(A345="","",IF(AA345="Avoir",-1,1)*ROUND(AQ345-IF(AR345="",0,INDEX(fa_tvab,AR345)),2))</f>
        <v/>
      </c>
      <c r="S345" s="65" t="str">
        <f>IF(A345="","",Q345+R345)</f>
        <v/>
      </c>
      <c r="T345" s="65" t="str">
        <f>IF(AR345="","",INDEX(fa_htb,AR345)+INDEX(fa_tvab,AR345))</f>
        <v/>
      </c>
      <c r="U345" s="65" t="str">
        <f>IF(A345="","",SUMIF(pa_inv,A345,pa_amt))</f>
        <v/>
      </c>
      <c r="V345" s="65" t="str">
        <f>IF(OR(A345="",AA345="Avoir"),"",-SUMIFS(fa_ttc,fa_avof,A345,fa_type,"Avoir"))</f>
        <v/>
      </c>
      <c r="W345" s="65" t="str">
        <f>IF(OR(A345="",AA345="Avoir"),"",ROUND(S345-U345-V345,2))</f>
        <v/>
      </c>
      <c r="X345" s="66" t="str">
        <f>IF(W345="","",IF(AND(W345&gt;0,p_asof&gt;P345),p_asof-P345,""))</f>
        <v/>
      </c>
      <c r="Y345" s="59" t="str">
        <f>IF(A345="","",IF(AA345="Avoir","Avoir",IF(W345&lt;0,"Trop-perçu",IF(W345=0,"Soldée",IF(p_asof&gt;P345,"En retard",IF(U345+V345&gt;0,"Partielle","À échoir"))))))</f>
        <v/>
      </c>
      <c r="Z345" s="59" t="str">
        <f>IF(NOT(COUNTA(B345:D345,F345:O345)&gt;0),"",IF(C345="","Date manquante",IF(NOT(ISNUMBER(C345)),"Date invalide",IF(D345="","Client manquant",IF(ISNA(MATCH(D345,cli_code,0)),"Client inconnu",IF(AC345&lt;SUMPRODUCT(MAX(($AB$6:AB344=AB345)*$AC$6:AC344)),"Date antérieure à la facture précédente",IF(AND(F345&lt;&gt;"",ISNA(MATCH(F345,dv_num,0))),"Devis inconnu",IF(AND(F345&lt;&gt;"",IFERROR(INDEX(dv_client,MATCH(F345,dv_num,0)),D345)&lt;&gt;D345),"Client différent de celui du devis",IF(AG345="","Aucune ligne : saisissez des lignes ou un devis",IF(AND(AI345&lt;&gt;"",COUNTIF($AI$6:AI345,AI345)&gt;1),"Devis déjà repris par une autre facture",IF(AND(AA345="Avoir",M345=""),"Avoir : indiquez la facture d'origine",IF(AND(AA345="Avoir",ISNA(MATCH(M345,fa_num,0))),"Facture d'origine inconnue",IF(AND(AA345&lt;&gt;"Avoir",M345&lt;&gt;""),"« Avoir sur facture » : réservé aux avoirs",IF(AND(L345&lt;&gt;"",AA345&lt;&gt;"Facture"),"Acompte à déduire : réservé aux factures",IF(AND(L345&lt;&gt;"",ISNA(MATCH(L345,fa_num,0))),"Facture d'acompte inconnue",IF(AND(L345&lt;&gt;"",IFERROR(INDEX(fa_type,MATCH(L345,fa_num,0)),"")&lt;&gt;"Facture d'acompte"),"Le n° à déduire n'est pas une facture d'acompte",IF(AND(L345&lt;&gt;"",COUNTIF($L$6:L345,L345)&gt;1),"Acompte déjà déduit sur une autre facture",IF(AND(L345&lt;&gt;"",IFERROR(INDEX(fa_client,MATCH(L345,fa_num,0)),D345)&lt;&gt;D345),"Acompte d'un autre client",IF(AND(AR345&lt;&gt;"",N(Q345)&lt;0),"Acompte supérieur au total de la facture",IF(IF(AG345="Facture",COUNTIFS(fl_doc,A345,fl_check,"&lt;&gt;OK"),IF(AG345="Devis",COUNTIFS(dl_doc,F345,dl_check,"&lt;&gt;OK"),0))&gt;0,"Ligne(s) à corriger",IF(AND(W345&lt;&gt;"",N(W345)&lt;0),"Trop-perçu : vérifiez paiements et avoirs","OK")))))))))))))))))))))</f>
        <v/>
      </c>
      <c r="AA345" s="62" t="str">
        <f>IF(COUNTA(B345:D345,F345:O345)&gt;0,IF(B345="","Facture",B345),"")</f>
        <v/>
      </c>
      <c r="AB345" s="62" t="str">
        <f>IF(AA345="","",IF(AA345="Avoir",p_pav,IF(AA345="Facture d'acompte",p_pac,p_pfa)))</f>
        <v/>
      </c>
      <c r="AC345" s="62">
        <f>IF(ISNUMBER(C345),C345,0)</f>
        <v>0.0</v>
      </c>
      <c r="AD345" s="62" t="str">
        <f>IF(OR(AA345="",AC345=0),"",YEAR(AC345))</f>
        <v/>
      </c>
      <c r="AE345" s="62" t="str">
        <f>IF(AD345="","",COUNTIFS($AB$6:AB345,AB345,$AD$6:AD345,AD345))</f>
        <v/>
      </c>
      <c r="AF345" s="62">
        <f>IF(A345="",0,COUNTIF(fl_doc,A345))</f>
        <v>0.0</v>
      </c>
      <c r="AG345" s="62" t="str">
        <f>IF(A345="","",IF(AF345&gt;0,"Facture",IF(AND(F345&lt;&gt;"",AA345="Facture",ISNUMBER(MATCH(F345,dv_num,0))),"Devis","")))</f>
        <v/>
      </c>
      <c r="AH345" s="62" t="str">
        <f>IF(AND(A345&lt;&gt;"",F345&lt;&gt;"",AA345&lt;&gt;"Avoir"),F345,"")</f>
        <v/>
      </c>
      <c r="AI345" s="62" t="str">
        <f>IF(AG345="Devis",F345,"")</f>
        <v/>
      </c>
      <c r="AJ345" s="62">
        <f>IF(AG345="Facture",SUMIF(fl_doc,A345,fl_ht),IF(AG345="Devis",SUMIF(dl_doc,F345,dl_ht),0))</f>
        <v>0.0</v>
      </c>
      <c r="AK345" s="62">
        <f>IF(OR(AG345="",INDEX(p_rates,1)=""),0,IF(AG345="Facture",SUMIFS(fl_ht,fl_doc,A345,fl_rate,INDEX(p_rates,1)),SUMIFS(dl_ht,dl_doc,F345,dl_rate,INDEX(p_rates,1))))</f>
        <v>0.0</v>
      </c>
      <c r="AL345" s="62">
        <f>IF(OR(AG345="",INDEX(p_rates,2)=""),0,IF(AG345="Facture",SUMIFS(fl_ht,fl_doc,A345,fl_rate,INDEX(p_rates,2)),SUMIFS(dl_ht,dl_doc,F345,dl_rate,INDEX(p_rates,2))))</f>
        <v>0.0</v>
      </c>
      <c r="AM345" s="62">
        <f>IF(OR(AG345="",INDEX(p_rates,3)=""),0,IF(AG345="Facture",SUMIFS(fl_ht,fl_doc,A345,fl_rate,INDEX(p_rates,3)),SUMIFS(dl_ht,dl_doc,F345,dl_rate,INDEX(p_rates,3))))</f>
        <v>0.0</v>
      </c>
      <c r="AN345" s="62">
        <f>IF(OR(AG345="",INDEX(p_rates,4)=""),0,IF(AG345="Facture",SUMIFS(fl_ht,fl_doc,A345,fl_rate,INDEX(p_rates,4)),SUMIFS(dl_ht,dl_doc,F345,dl_rate,INDEX(p_rates,4))))</f>
        <v>0.0</v>
      </c>
      <c r="AO345" s="62">
        <f>IF(OR(AG345="",INDEX(p_rates,5)=""),0,IF(AG345="Facture",SUMIFS(fl_ht,fl_doc,A345,fl_rate,INDEX(p_rates,5)),SUMIFS(dl_ht,dl_doc,F345,dl_rate,INDEX(p_rates,5))))</f>
        <v>0.0</v>
      </c>
      <c r="AP345" s="62">
        <f>IF(OR(AG345="",INDEX(p_rates,6)=""),0,IF(AG345="Facture",SUMIFS(fl_ht,fl_doc,A345,fl_rate,INDEX(p_rates,6)),SUMIFS(dl_ht,dl_doc,F345,dl_rate,INDEX(p_rates,6))))</f>
        <v>0.0</v>
      </c>
      <c r="AQ345" s="62">
        <f>ROUND(AK345*N(INDEX(p_rates,1)),2)+ROUND(AL345*N(INDEX(p_rates,2)),2)+ROUND(AM345*N(INDEX(p_rates,3)),2)+ROUND(AN345*N(INDEX(p_rates,4)),2)+ROUND(AO345*N(INDEX(p_rates,5)),2)+ROUND(AP345*N(INDEX(p_rates,6)),2)</f>
        <v>0.0</v>
      </c>
      <c r="AR345" s="62" t="str">
        <f>IF(OR(L345="",AA345&lt;&gt;"Facture"),"",IFERROR(IF(INDEX(fa_type,MATCH(L345,fa_num,0))="Facture d'acompte",MATCH(L345,fa_num,0),""),""))</f>
        <v/>
      </c>
      <c r="AS345" s="62" t="str">
        <f>IF(W345="","",IF(W345&lt;=0,"",IF(p_asof-P345&lt;=0,"Non échu",IF(p_asof-P345&lt;=30,"1-30 j",IF(p_asof-P345&lt;=60,"31-60 j",IF(p_asof-P345&lt;=90,"61-90 j","Plus de 90 j"))))))</f>
        <v/>
      </c>
      <c r="AT345" s="62" t="str">
        <f>IF(AS345="","",p_asof-P345)</f>
        <v/>
      </c>
      <c r="AU345" s="62" t="str">
        <f>IF(AT345="","",COUNTIF($AT$6:$AT$805,"&gt;"&amp;AT345)+COUNTIF($AT$6:AT345,AT345))</f>
        <v/>
      </c>
    </row>
    <row r="346">
      <c r="A346" s="59" t="str">
        <f>IF(AE346="","",AB346&amp;"-"&amp;AD346&amp;"-"&amp;RIGHT("000"&amp;AE346,4))</f>
        <v/>
      </c>
      <c r="B346" s="60" t="n"/>
      <c r="C346" s="61" t="n"/>
      <c r="D346" s="60" t="n"/>
      <c r="E346" s="62" t="str">
        <f>IF(D346="","",IFERROR(INDEX(cli_name,MATCH(D346,cli_code,0))&amp;"","Client inconnu"))</f>
        <v/>
      </c>
      <c r="F346" s="60" t="n"/>
      <c r="G346" s="63" t="n"/>
      <c r="H346" s="61" t="n"/>
      <c r="I346" s="63" t="n"/>
      <c r="J346" s="60" t="n"/>
      <c r="K346" s="61" t="n"/>
      <c r="L346" s="60" t="n"/>
      <c r="M346" s="60" t="n"/>
      <c r="N346" s="60" t="n"/>
      <c r="O346" s="61" t="n"/>
      <c r="P346" s="64" t="str">
        <f>IF(A346="","",IF(AA346="Avoir",AC346,IF(ISNUMBER(K346),K346,AC346+IF(D346="",N(p_delay),IFERROR(IF(ISNUMBER(INDEX(cli_delay,MATCH(D346,cli_code,0))),INDEX(cli_delay,MATCH(D346,cli_code,0)),N(p_delay)),N(p_delay))))))</f>
        <v/>
      </c>
      <c r="Q346" s="65" t="str">
        <f>IF(A346="","",IF(AA346="Avoir",-1,1)*ROUND(AJ346-IF(AR346="",0,INDEX(fa_htb,AR346)),2))</f>
        <v/>
      </c>
      <c r="R346" s="65" t="str">
        <f>IF(A346="","",IF(AA346="Avoir",-1,1)*ROUND(AQ346-IF(AR346="",0,INDEX(fa_tvab,AR346)),2))</f>
        <v/>
      </c>
      <c r="S346" s="65" t="str">
        <f>IF(A346="","",Q346+R346)</f>
        <v/>
      </c>
      <c r="T346" s="65" t="str">
        <f>IF(AR346="","",INDEX(fa_htb,AR346)+INDEX(fa_tvab,AR346))</f>
        <v/>
      </c>
      <c r="U346" s="65" t="str">
        <f>IF(A346="","",SUMIF(pa_inv,A346,pa_amt))</f>
        <v/>
      </c>
      <c r="V346" s="65" t="str">
        <f>IF(OR(A346="",AA346="Avoir"),"",-SUMIFS(fa_ttc,fa_avof,A346,fa_type,"Avoir"))</f>
        <v/>
      </c>
      <c r="W346" s="65" t="str">
        <f>IF(OR(A346="",AA346="Avoir"),"",ROUND(S346-U346-V346,2))</f>
        <v/>
      </c>
      <c r="X346" s="66" t="str">
        <f>IF(W346="","",IF(AND(W346&gt;0,p_asof&gt;P346),p_asof-P346,""))</f>
        <v/>
      </c>
      <c r="Y346" s="59" t="str">
        <f>IF(A346="","",IF(AA346="Avoir","Avoir",IF(W346&lt;0,"Trop-perçu",IF(W346=0,"Soldée",IF(p_asof&gt;P346,"En retard",IF(U346+V346&gt;0,"Partielle","À échoir"))))))</f>
        <v/>
      </c>
      <c r="Z346" s="59" t="str">
        <f>IF(NOT(COUNTA(B346:D346,F346:O346)&gt;0),"",IF(C346="","Date manquante",IF(NOT(ISNUMBER(C346)),"Date invalide",IF(D346="","Client manquant",IF(ISNA(MATCH(D346,cli_code,0)),"Client inconnu",IF(AC346&lt;SUMPRODUCT(MAX(($AB$6:AB345=AB346)*$AC$6:AC345)),"Date antérieure à la facture précédente",IF(AND(F346&lt;&gt;"",ISNA(MATCH(F346,dv_num,0))),"Devis inconnu",IF(AND(F346&lt;&gt;"",IFERROR(INDEX(dv_client,MATCH(F346,dv_num,0)),D346)&lt;&gt;D346),"Client différent de celui du devis",IF(AG346="","Aucune ligne : saisissez des lignes ou un devis",IF(AND(AI346&lt;&gt;"",COUNTIF($AI$6:AI346,AI346)&gt;1),"Devis déjà repris par une autre facture",IF(AND(AA346="Avoir",M346=""),"Avoir : indiquez la facture d'origine",IF(AND(AA346="Avoir",ISNA(MATCH(M346,fa_num,0))),"Facture d'origine inconnue",IF(AND(AA346&lt;&gt;"Avoir",M346&lt;&gt;""),"« Avoir sur facture » : réservé aux avoirs",IF(AND(L346&lt;&gt;"",AA346&lt;&gt;"Facture"),"Acompte à déduire : réservé aux factures",IF(AND(L346&lt;&gt;"",ISNA(MATCH(L346,fa_num,0))),"Facture d'acompte inconnue",IF(AND(L346&lt;&gt;"",IFERROR(INDEX(fa_type,MATCH(L346,fa_num,0)),"")&lt;&gt;"Facture d'acompte"),"Le n° à déduire n'est pas une facture d'acompte",IF(AND(L346&lt;&gt;"",COUNTIF($L$6:L346,L346)&gt;1),"Acompte déjà déduit sur une autre facture",IF(AND(L346&lt;&gt;"",IFERROR(INDEX(fa_client,MATCH(L346,fa_num,0)),D346)&lt;&gt;D346),"Acompte d'un autre client",IF(AND(AR346&lt;&gt;"",N(Q346)&lt;0),"Acompte supérieur au total de la facture",IF(IF(AG346="Facture",COUNTIFS(fl_doc,A346,fl_check,"&lt;&gt;OK"),IF(AG346="Devis",COUNTIFS(dl_doc,F346,dl_check,"&lt;&gt;OK"),0))&gt;0,"Ligne(s) à corriger",IF(AND(W346&lt;&gt;"",N(W346)&lt;0),"Trop-perçu : vérifiez paiements et avoirs","OK")))))))))))))))))))))</f>
        <v/>
      </c>
      <c r="AA346" s="62" t="str">
        <f>IF(COUNTA(B346:D346,F346:O346)&gt;0,IF(B346="","Facture",B346),"")</f>
        <v/>
      </c>
      <c r="AB346" s="62" t="str">
        <f>IF(AA346="","",IF(AA346="Avoir",p_pav,IF(AA346="Facture d'acompte",p_pac,p_pfa)))</f>
        <v/>
      </c>
      <c r="AC346" s="62">
        <f>IF(ISNUMBER(C346),C346,0)</f>
        <v>0.0</v>
      </c>
      <c r="AD346" s="62" t="str">
        <f>IF(OR(AA346="",AC346=0),"",YEAR(AC346))</f>
        <v/>
      </c>
      <c r="AE346" s="62" t="str">
        <f>IF(AD346="","",COUNTIFS($AB$6:AB346,AB346,$AD$6:AD346,AD346))</f>
        <v/>
      </c>
      <c r="AF346" s="62">
        <f>IF(A346="",0,COUNTIF(fl_doc,A346))</f>
        <v>0.0</v>
      </c>
      <c r="AG346" s="62" t="str">
        <f>IF(A346="","",IF(AF346&gt;0,"Facture",IF(AND(F346&lt;&gt;"",AA346="Facture",ISNUMBER(MATCH(F346,dv_num,0))),"Devis","")))</f>
        <v/>
      </c>
      <c r="AH346" s="62" t="str">
        <f>IF(AND(A346&lt;&gt;"",F346&lt;&gt;"",AA346&lt;&gt;"Avoir"),F346,"")</f>
        <v/>
      </c>
      <c r="AI346" s="62" t="str">
        <f>IF(AG346="Devis",F346,"")</f>
        <v/>
      </c>
      <c r="AJ346" s="62">
        <f>IF(AG346="Facture",SUMIF(fl_doc,A346,fl_ht),IF(AG346="Devis",SUMIF(dl_doc,F346,dl_ht),0))</f>
        <v>0.0</v>
      </c>
      <c r="AK346" s="62">
        <f>IF(OR(AG346="",INDEX(p_rates,1)=""),0,IF(AG346="Facture",SUMIFS(fl_ht,fl_doc,A346,fl_rate,INDEX(p_rates,1)),SUMIFS(dl_ht,dl_doc,F346,dl_rate,INDEX(p_rates,1))))</f>
        <v>0.0</v>
      </c>
      <c r="AL346" s="62">
        <f>IF(OR(AG346="",INDEX(p_rates,2)=""),0,IF(AG346="Facture",SUMIFS(fl_ht,fl_doc,A346,fl_rate,INDEX(p_rates,2)),SUMIFS(dl_ht,dl_doc,F346,dl_rate,INDEX(p_rates,2))))</f>
        <v>0.0</v>
      </c>
      <c r="AM346" s="62">
        <f>IF(OR(AG346="",INDEX(p_rates,3)=""),0,IF(AG346="Facture",SUMIFS(fl_ht,fl_doc,A346,fl_rate,INDEX(p_rates,3)),SUMIFS(dl_ht,dl_doc,F346,dl_rate,INDEX(p_rates,3))))</f>
        <v>0.0</v>
      </c>
      <c r="AN346" s="62">
        <f>IF(OR(AG346="",INDEX(p_rates,4)=""),0,IF(AG346="Facture",SUMIFS(fl_ht,fl_doc,A346,fl_rate,INDEX(p_rates,4)),SUMIFS(dl_ht,dl_doc,F346,dl_rate,INDEX(p_rates,4))))</f>
        <v>0.0</v>
      </c>
      <c r="AO346" s="62">
        <f>IF(OR(AG346="",INDEX(p_rates,5)=""),0,IF(AG346="Facture",SUMIFS(fl_ht,fl_doc,A346,fl_rate,INDEX(p_rates,5)),SUMIFS(dl_ht,dl_doc,F346,dl_rate,INDEX(p_rates,5))))</f>
        <v>0.0</v>
      </c>
      <c r="AP346" s="62">
        <f>IF(OR(AG346="",INDEX(p_rates,6)=""),0,IF(AG346="Facture",SUMIFS(fl_ht,fl_doc,A346,fl_rate,INDEX(p_rates,6)),SUMIFS(dl_ht,dl_doc,F346,dl_rate,INDEX(p_rates,6))))</f>
        <v>0.0</v>
      </c>
      <c r="AQ346" s="62">
        <f>ROUND(AK346*N(INDEX(p_rates,1)),2)+ROUND(AL346*N(INDEX(p_rates,2)),2)+ROUND(AM346*N(INDEX(p_rates,3)),2)+ROUND(AN346*N(INDEX(p_rates,4)),2)+ROUND(AO346*N(INDEX(p_rates,5)),2)+ROUND(AP346*N(INDEX(p_rates,6)),2)</f>
        <v>0.0</v>
      </c>
      <c r="AR346" s="62" t="str">
        <f>IF(OR(L346="",AA346&lt;&gt;"Facture"),"",IFERROR(IF(INDEX(fa_type,MATCH(L346,fa_num,0))="Facture d'acompte",MATCH(L346,fa_num,0),""),""))</f>
        <v/>
      </c>
      <c r="AS346" s="62" t="str">
        <f>IF(W346="","",IF(W346&lt;=0,"",IF(p_asof-P346&lt;=0,"Non échu",IF(p_asof-P346&lt;=30,"1-30 j",IF(p_asof-P346&lt;=60,"31-60 j",IF(p_asof-P346&lt;=90,"61-90 j","Plus de 90 j"))))))</f>
        <v/>
      </c>
      <c r="AT346" s="62" t="str">
        <f>IF(AS346="","",p_asof-P346)</f>
        <v/>
      </c>
      <c r="AU346" s="62" t="str">
        <f>IF(AT346="","",COUNTIF($AT$6:$AT$805,"&gt;"&amp;AT346)+COUNTIF($AT$6:AT346,AT346))</f>
        <v/>
      </c>
    </row>
    <row r="347">
      <c r="A347" s="59" t="str">
        <f>IF(AE347="","",AB347&amp;"-"&amp;AD347&amp;"-"&amp;RIGHT("000"&amp;AE347,4))</f>
        <v/>
      </c>
      <c r="B347" s="60" t="n"/>
      <c r="C347" s="61" t="n"/>
      <c r="D347" s="60" t="n"/>
      <c r="E347" s="62" t="str">
        <f>IF(D347="","",IFERROR(INDEX(cli_name,MATCH(D347,cli_code,0))&amp;"","Client inconnu"))</f>
        <v/>
      </c>
      <c r="F347" s="60" t="n"/>
      <c r="G347" s="63" t="n"/>
      <c r="H347" s="61" t="n"/>
      <c r="I347" s="63" t="n"/>
      <c r="J347" s="60" t="n"/>
      <c r="K347" s="61" t="n"/>
      <c r="L347" s="60" t="n"/>
      <c r="M347" s="60" t="n"/>
      <c r="N347" s="60" t="n"/>
      <c r="O347" s="61" t="n"/>
      <c r="P347" s="64" t="str">
        <f>IF(A347="","",IF(AA347="Avoir",AC347,IF(ISNUMBER(K347),K347,AC347+IF(D347="",N(p_delay),IFERROR(IF(ISNUMBER(INDEX(cli_delay,MATCH(D347,cli_code,0))),INDEX(cli_delay,MATCH(D347,cli_code,0)),N(p_delay)),N(p_delay))))))</f>
        <v/>
      </c>
      <c r="Q347" s="65" t="str">
        <f>IF(A347="","",IF(AA347="Avoir",-1,1)*ROUND(AJ347-IF(AR347="",0,INDEX(fa_htb,AR347)),2))</f>
        <v/>
      </c>
      <c r="R347" s="65" t="str">
        <f>IF(A347="","",IF(AA347="Avoir",-1,1)*ROUND(AQ347-IF(AR347="",0,INDEX(fa_tvab,AR347)),2))</f>
        <v/>
      </c>
      <c r="S347" s="65" t="str">
        <f>IF(A347="","",Q347+R347)</f>
        <v/>
      </c>
      <c r="T347" s="65" t="str">
        <f>IF(AR347="","",INDEX(fa_htb,AR347)+INDEX(fa_tvab,AR347))</f>
        <v/>
      </c>
      <c r="U347" s="65" t="str">
        <f>IF(A347="","",SUMIF(pa_inv,A347,pa_amt))</f>
        <v/>
      </c>
      <c r="V347" s="65" t="str">
        <f>IF(OR(A347="",AA347="Avoir"),"",-SUMIFS(fa_ttc,fa_avof,A347,fa_type,"Avoir"))</f>
        <v/>
      </c>
      <c r="W347" s="65" t="str">
        <f>IF(OR(A347="",AA347="Avoir"),"",ROUND(S347-U347-V347,2))</f>
        <v/>
      </c>
      <c r="X347" s="66" t="str">
        <f>IF(W347="","",IF(AND(W347&gt;0,p_asof&gt;P347),p_asof-P347,""))</f>
        <v/>
      </c>
      <c r="Y347" s="59" t="str">
        <f>IF(A347="","",IF(AA347="Avoir","Avoir",IF(W347&lt;0,"Trop-perçu",IF(W347=0,"Soldée",IF(p_asof&gt;P347,"En retard",IF(U347+V347&gt;0,"Partielle","À échoir"))))))</f>
        <v/>
      </c>
      <c r="Z347" s="59" t="str">
        <f>IF(NOT(COUNTA(B347:D347,F347:O347)&gt;0),"",IF(C347="","Date manquante",IF(NOT(ISNUMBER(C347)),"Date invalide",IF(D347="","Client manquant",IF(ISNA(MATCH(D347,cli_code,0)),"Client inconnu",IF(AC347&lt;SUMPRODUCT(MAX(($AB$6:AB346=AB347)*$AC$6:AC346)),"Date antérieure à la facture précédente",IF(AND(F347&lt;&gt;"",ISNA(MATCH(F347,dv_num,0))),"Devis inconnu",IF(AND(F347&lt;&gt;"",IFERROR(INDEX(dv_client,MATCH(F347,dv_num,0)),D347)&lt;&gt;D347),"Client différent de celui du devis",IF(AG347="","Aucune ligne : saisissez des lignes ou un devis",IF(AND(AI347&lt;&gt;"",COUNTIF($AI$6:AI347,AI347)&gt;1),"Devis déjà repris par une autre facture",IF(AND(AA347="Avoir",M347=""),"Avoir : indiquez la facture d'origine",IF(AND(AA347="Avoir",ISNA(MATCH(M347,fa_num,0))),"Facture d'origine inconnue",IF(AND(AA347&lt;&gt;"Avoir",M347&lt;&gt;""),"« Avoir sur facture » : réservé aux avoirs",IF(AND(L347&lt;&gt;"",AA347&lt;&gt;"Facture"),"Acompte à déduire : réservé aux factures",IF(AND(L347&lt;&gt;"",ISNA(MATCH(L347,fa_num,0))),"Facture d'acompte inconnue",IF(AND(L347&lt;&gt;"",IFERROR(INDEX(fa_type,MATCH(L347,fa_num,0)),"")&lt;&gt;"Facture d'acompte"),"Le n° à déduire n'est pas une facture d'acompte",IF(AND(L347&lt;&gt;"",COUNTIF($L$6:L347,L347)&gt;1),"Acompte déjà déduit sur une autre facture",IF(AND(L347&lt;&gt;"",IFERROR(INDEX(fa_client,MATCH(L347,fa_num,0)),D347)&lt;&gt;D347),"Acompte d'un autre client",IF(AND(AR347&lt;&gt;"",N(Q347)&lt;0),"Acompte supérieur au total de la facture",IF(IF(AG347="Facture",COUNTIFS(fl_doc,A347,fl_check,"&lt;&gt;OK"),IF(AG347="Devis",COUNTIFS(dl_doc,F347,dl_check,"&lt;&gt;OK"),0))&gt;0,"Ligne(s) à corriger",IF(AND(W347&lt;&gt;"",N(W347)&lt;0),"Trop-perçu : vérifiez paiements et avoirs","OK")))))))))))))))))))))</f>
        <v/>
      </c>
      <c r="AA347" s="62" t="str">
        <f>IF(COUNTA(B347:D347,F347:O347)&gt;0,IF(B347="","Facture",B347),"")</f>
        <v/>
      </c>
      <c r="AB347" s="62" t="str">
        <f>IF(AA347="","",IF(AA347="Avoir",p_pav,IF(AA347="Facture d'acompte",p_pac,p_pfa)))</f>
        <v/>
      </c>
      <c r="AC347" s="62">
        <f>IF(ISNUMBER(C347),C347,0)</f>
        <v>0.0</v>
      </c>
      <c r="AD347" s="62" t="str">
        <f>IF(OR(AA347="",AC347=0),"",YEAR(AC347))</f>
        <v/>
      </c>
      <c r="AE347" s="62" t="str">
        <f>IF(AD347="","",COUNTIFS($AB$6:AB347,AB347,$AD$6:AD347,AD347))</f>
        <v/>
      </c>
      <c r="AF347" s="62">
        <f>IF(A347="",0,COUNTIF(fl_doc,A347))</f>
        <v>0.0</v>
      </c>
      <c r="AG347" s="62" t="str">
        <f>IF(A347="","",IF(AF347&gt;0,"Facture",IF(AND(F347&lt;&gt;"",AA347="Facture",ISNUMBER(MATCH(F347,dv_num,0))),"Devis","")))</f>
        <v/>
      </c>
      <c r="AH347" s="62" t="str">
        <f>IF(AND(A347&lt;&gt;"",F347&lt;&gt;"",AA347&lt;&gt;"Avoir"),F347,"")</f>
        <v/>
      </c>
      <c r="AI347" s="62" t="str">
        <f>IF(AG347="Devis",F347,"")</f>
        <v/>
      </c>
      <c r="AJ347" s="62">
        <f>IF(AG347="Facture",SUMIF(fl_doc,A347,fl_ht),IF(AG347="Devis",SUMIF(dl_doc,F347,dl_ht),0))</f>
        <v>0.0</v>
      </c>
      <c r="AK347" s="62">
        <f>IF(OR(AG347="",INDEX(p_rates,1)=""),0,IF(AG347="Facture",SUMIFS(fl_ht,fl_doc,A347,fl_rate,INDEX(p_rates,1)),SUMIFS(dl_ht,dl_doc,F347,dl_rate,INDEX(p_rates,1))))</f>
        <v>0.0</v>
      </c>
      <c r="AL347" s="62">
        <f>IF(OR(AG347="",INDEX(p_rates,2)=""),0,IF(AG347="Facture",SUMIFS(fl_ht,fl_doc,A347,fl_rate,INDEX(p_rates,2)),SUMIFS(dl_ht,dl_doc,F347,dl_rate,INDEX(p_rates,2))))</f>
        <v>0.0</v>
      </c>
      <c r="AM347" s="62">
        <f>IF(OR(AG347="",INDEX(p_rates,3)=""),0,IF(AG347="Facture",SUMIFS(fl_ht,fl_doc,A347,fl_rate,INDEX(p_rates,3)),SUMIFS(dl_ht,dl_doc,F347,dl_rate,INDEX(p_rates,3))))</f>
        <v>0.0</v>
      </c>
      <c r="AN347" s="62">
        <f>IF(OR(AG347="",INDEX(p_rates,4)=""),0,IF(AG347="Facture",SUMIFS(fl_ht,fl_doc,A347,fl_rate,INDEX(p_rates,4)),SUMIFS(dl_ht,dl_doc,F347,dl_rate,INDEX(p_rates,4))))</f>
        <v>0.0</v>
      </c>
      <c r="AO347" s="62">
        <f>IF(OR(AG347="",INDEX(p_rates,5)=""),0,IF(AG347="Facture",SUMIFS(fl_ht,fl_doc,A347,fl_rate,INDEX(p_rates,5)),SUMIFS(dl_ht,dl_doc,F347,dl_rate,INDEX(p_rates,5))))</f>
        <v>0.0</v>
      </c>
      <c r="AP347" s="62">
        <f>IF(OR(AG347="",INDEX(p_rates,6)=""),0,IF(AG347="Facture",SUMIFS(fl_ht,fl_doc,A347,fl_rate,INDEX(p_rates,6)),SUMIFS(dl_ht,dl_doc,F347,dl_rate,INDEX(p_rates,6))))</f>
        <v>0.0</v>
      </c>
      <c r="AQ347" s="62">
        <f>ROUND(AK347*N(INDEX(p_rates,1)),2)+ROUND(AL347*N(INDEX(p_rates,2)),2)+ROUND(AM347*N(INDEX(p_rates,3)),2)+ROUND(AN347*N(INDEX(p_rates,4)),2)+ROUND(AO347*N(INDEX(p_rates,5)),2)+ROUND(AP347*N(INDEX(p_rates,6)),2)</f>
        <v>0.0</v>
      </c>
      <c r="AR347" s="62" t="str">
        <f>IF(OR(L347="",AA347&lt;&gt;"Facture"),"",IFERROR(IF(INDEX(fa_type,MATCH(L347,fa_num,0))="Facture d'acompte",MATCH(L347,fa_num,0),""),""))</f>
        <v/>
      </c>
      <c r="AS347" s="62" t="str">
        <f>IF(W347="","",IF(W347&lt;=0,"",IF(p_asof-P347&lt;=0,"Non échu",IF(p_asof-P347&lt;=30,"1-30 j",IF(p_asof-P347&lt;=60,"31-60 j",IF(p_asof-P347&lt;=90,"61-90 j","Plus de 90 j"))))))</f>
        <v/>
      </c>
      <c r="AT347" s="62" t="str">
        <f>IF(AS347="","",p_asof-P347)</f>
        <v/>
      </c>
      <c r="AU347" s="62" t="str">
        <f>IF(AT347="","",COUNTIF($AT$6:$AT$805,"&gt;"&amp;AT347)+COUNTIF($AT$6:AT347,AT347))</f>
        <v/>
      </c>
    </row>
    <row r="348">
      <c r="A348" s="59" t="str">
        <f>IF(AE348="","",AB348&amp;"-"&amp;AD348&amp;"-"&amp;RIGHT("000"&amp;AE348,4))</f>
        <v/>
      </c>
      <c r="B348" s="60" t="n"/>
      <c r="C348" s="61" t="n"/>
      <c r="D348" s="60" t="n"/>
      <c r="E348" s="62" t="str">
        <f>IF(D348="","",IFERROR(INDEX(cli_name,MATCH(D348,cli_code,0))&amp;"","Client inconnu"))</f>
        <v/>
      </c>
      <c r="F348" s="60" t="n"/>
      <c r="G348" s="63" t="n"/>
      <c r="H348" s="61" t="n"/>
      <c r="I348" s="63" t="n"/>
      <c r="J348" s="60" t="n"/>
      <c r="K348" s="61" t="n"/>
      <c r="L348" s="60" t="n"/>
      <c r="M348" s="60" t="n"/>
      <c r="N348" s="60" t="n"/>
      <c r="O348" s="61" t="n"/>
      <c r="P348" s="64" t="str">
        <f>IF(A348="","",IF(AA348="Avoir",AC348,IF(ISNUMBER(K348),K348,AC348+IF(D348="",N(p_delay),IFERROR(IF(ISNUMBER(INDEX(cli_delay,MATCH(D348,cli_code,0))),INDEX(cli_delay,MATCH(D348,cli_code,0)),N(p_delay)),N(p_delay))))))</f>
        <v/>
      </c>
      <c r="Q348" s="65" t="str">
        <f>IF(A348="","",IF(AA348="Avoir",-1,1)*ROUND(AJ348-IF(AR348="",0,INDEX(fa_htb,AR348)),2))</f>
        <v/>
      </c>
      <c r="R348" s="65" t="str">
        <f>IF(A348="","",IF(AA348="Avoir",-1,1)*ROUND(AQ348-IF(AR348="",0,INDEX(fa_tvab,AR348)),2))</f>
        <v/>
      </c>
      <c r="S348" s="65" t="str">
        <f>IF(A348="","",Q348+R348)</f>
        <v/>
      </c>
      <c r="T348" s="65" t="str">
        <f>IF(AR348="","",INDEX(fa_htb,AR348)+INDEX(fa_tvab,AR348))</f>
        <v/>
      </c>
      <c r="U348" s="65" t="str">
        <f>IF(A348="","",SUMIF(pa_inv,A348,pa_amt))</f>
        <v/>
      </c>
      <c r="V348" s="65" t="str">
        <f>IF(OR(A348="",AA348="Avoir"),"",-SUMIFS(fa_ttc,fa_avof,A348,fa_type,"Avoir"))</f>
        <v/>
      </c>
      <c r="W348" s="65" t="str">
        <f>IF(OR(A348="",AA348="Avoir"),"",ROUND(S348-U348-V348,2))</f>
        <v/>
      </c>
      <c r="X348" s="66" t="str">
        <f>IF(W348="","",IF(AND(W348&gt;0,p_asof&gt;P348),p_asof-P348,""))</f>
        <v/>
      </c>
      <c r="Y348" s="59" t="str">
        <f>IF(A348="","",IF(AA348="Avoir","Avoir",IF(W348&lt;0,"Trop-perçu",IF(W348=0,"Soldée",IF(p_asof&gt;P348,"En retard",IF(U348+V348&gt;0,"Partielle","À échoir"))))))</f>
        <v/>
      </c>
      <c r="Z348" s="59" t="str">
        <f>IF(NOT(COUNTA(B348:D348,F348:O348)&gt;0),"",IF(C348="","Date manquante",IF(NOT(ISNUMBER(C348)),"Date invalide",IF(D348="","Client manquant",IF(ISNA(MATCH(D348,cli_code,0)),"Client inconnu",IF(AC348&lt;SUMPRODUCT(MAX(($AB$6:AB347=AB348)*$AC$6:AC347)),"Date antérieure à la facture précédente",IF(AND(F348&lt;&gt;"",ISNA(MATCH(F348,dv_num,0))),"Devis inconnu",IF(AND(F348&lt;&gt;"",IFERROR(INDEX(dv_client,MATCH(F348,dv_num,0)),D348)&lt;&gt;D348),"Client différent de celui du devis",IF(AG348="","Aucune ligne : saisissez des lignes ou un devis",IF(AND(AI348&lt;&gt;"",COUNTIF($AI$6:AI348,AI348)&gt;1),"Devis déjà repris par une autre facture",IF(AND(AA348="Avoir",M348=""),"Avoir : indiquez la facture d'origine",IF(AND(AA348="Avoir",ISNA(MATCH(M348,fa_num,0))),"Facture d'origine inconnue",IF(AND(AA348&lt;&gt;"Avoir",M348&lt;&gt;""),"« Avoir sur facture » : réservé aux avoirs",IF(AND(L348&lt;&gt;"",AA348&lt;&gt;"Facture"),"Acompte à déduire : réservé aux factures",IF(AND(L348&lt;&gt;"",ISNA(MATCH(L348,fa_num,0))),"Facture d'acompte inconnue",IF(AND(L348&lt;&gt;"",IFERROR(INDEX(fa_type,MATCH(L348,fa_num,0)),"")&lt;&gt;"Facture d'acompte"),"Le n° à déduire n'est pas une facture d'acompte",IF(AND(L348&lt;&gt;"",COUNTIF($L$6:L348,L348)&gt;1),"Acompte déjà déduit sur une autre facture",IF(AND(L348&lt;&gt;"",IFERROR(INDEX(fa_client,MATCH(L348,fa_num,0)),D348)&lt;&gt;D348),"Acompte d'un autre client",IF(AND(AR348&lt;&gt;"",N(Q348)&lt;0),"Acompte supérieur au total de la facture",IF(IF(AG348="Facture",COUNTIFS(fl_doc,A348,fl_check,"&lt;&gt;OK"),IF(AG348="Devis",COUNTIFS(dl_doc,F348,dl_check,"&lt;&gt;OK"),0))&gt;0,"Ligne(s) à corriger",IF(AND(W348&lt;&gt;"",N(W348)&lt;0),"Trop-perçu : vérifiez paiements et avoirs","OK")))))))))))))))))))))</f>
        <v/>
      </c>
      <c r="AA348" s="62" t="str">
        <f>IF(COUNTA(B348:D348,F348:O348)&gt;0,IF(B348="","Facture",B348),"")</f>
        <v/>
      </c>
      <c r="AB348" s="62" t="str">
        <f>IF(AA348="","",IF(AA348="Avoir",p_pav,IF(AA348="Facture d'acompte",p_pac,p_pfa)))</f>
        <v/>
      </c>
      <c r="AC348" s="62">
        <f>IF(ISNUMBER(C348),C348,0)</f>
        <v>0.0</v>
      </c>
      <c r="AD348" s="62" t="str">
        <f>IF(OR(AA348="",AC348=0),"",YEAR(AC348))</f>
        <v/>
      </c>
      <c r="AE348" s="62" t="str">
        <f>IF(AD348="","",COUNTIFS($AB$6:AB348,AB348,$AD$6:AD348,AD348))</f>
        <v/>
      </c>
      <c r="AF348" s="62">
        <f>IF(A348="",0,COUNTIF(fl_doc,A348))</f>
        <v>0.0</v>
      </c>
      <c r="AG348" s="62" t="str">
        <f>IF(A348="","",IF(AF348&gt;0,"Facture",IF(AND(F348&lt;&gt;"",AA348="Facture",ISNUMBER(MATCH(F348,dv_num,0))),"Devis","")))</f>
        <v/>
      </c>
      <c r="AH348" s="62" t="str">
        <f>IF(AND(A348&lt;&gt;"",F348&lt;&gt;"",AA348&lt;&gt;"Avoir"),F348,"")</f>
        <v/>
      </c>
      <c r="AI348" s="62" t="str">
        <f>IF(AG348="Devis",F348,"")</f>
        <v/>
      </c>
      <c r="AJ348" s="62">
        <f>IF(AG348="Facture",SUMIF(fl_doc,A348,fl_ht),IF(AG348="Devis",SUMIF(dl_doc,F348,dl_ht),0))</f>
        <v>0.0</v>
      </c>
      <c r="AK348" s="62">
        <f>IF(OR(AG348="",INDEX(p_rates,1)=""),0,IF(AG348="Facture",SUMIFS(fl_ht,fl_doc,A348,fl_rate,INDEX(p_rates,1)),SUMIFS(dl_ht,dl_doc,F348,dl_rate,INDEX(p_rates,1))))</f>
        <v>0.0</v>
      </c>
      <c r="AL348" s="62">
        <f>IF(OR(AG348="",INDEX(p_rates,2)=""),0,IF(AG348="Facture",SUMIFS(fl_ht,fl_doc,A348,fl_rate,INDEX(p_rates,2)),SUMIFS(dl_ht,dl_doc,F348,dl_rate,INDEX(p_rates,2))))</f>
        <v>0.0</v>
      </c>
      <c r="AM348" s="62">
        <f>IF(OR(AG348="",INDEX(p_rates,3)=""),0,IF(AG348="Facture",SUMIFS(fl_ht,fl_doc,A348,fl_rate,INDEX(p_rates,3)),SUMIFS(dl_ht,dl_doc,F348,dl_rate,INDEX(p_rates,3))))</f>
        <v>0.0</v>
      </c>
      <c r="AN348" s="62">
        <f>IF(OR(AG348="",INDEX(p_rates,4)=""),0,IF(AG348="Facture",SUMIFS(fl_ht,fl_doc,A348,fl_rate,INDEX(p_rates,4)),SUMIFS(dl_ht,dl_doc,F348,dl_rate,INDEX(p_rates,4))))</f>
        <v>0.0</v>
      </c>
      <c r="AO348" s="62">
        <f>IF(OR(AG348="",INDEX(p_rates,5)=""),0,IF(AG348="Facture",SUMIFS(fl_ht,fl_doc,A348,fl_rate,INDEX(p_rates,5)),SUMIFS(dl_ht,dl_doc,F348,dl_rate,INDEX(p_rates,5))))</f>
        <v>0.0</v>
      </c>
      <c r="AP348" s="62">
        <f>IF(OR(AG348="",INDEX(p_rates,6)=""),0,IF(AG348="Facture",SUMIFS(fl_ht,fl_doc,A348,fl_rate,INDEX(p_rates,6)),SUMIFS(dl_ht,dl_doc,F348,dl_rate,INDEX(p_rates,6))))</f>
        <v>0.0</v>
      </c>
      <c r="AQ348" s="62">
        <f>ROUND(AK348*N(INDEX(p_rates,1)),2)+ROUND(AL348*N(INDEX(p_rates,2)),2)+ROUND(AM348*N(INDEX(p_rates,3)),2)+ROUND(AN348*N(INDEX(p_rates,4)),2)+ROUND(AO348*N(INDEX(p_rates,5)),2)+ROUND(AP348*N(INDEX(p_rates,6)),2)</f>
        <v>0.0</v>
      </c>
      <c r="AR348" s="62" t="str">
        <f>IF(OR(L348="",AA348&lt;&gt;"Facture"),"",IFERROR(IF(INDEX(fa_type,MATCH(L348,fa_num,0))="Facture d'acompte",MATCH(L348,fa_num,0),""),""))</f>
        <v/>
      </c>
      <c r="AS348" s="62" t="str">
        <f>IF(W348="","",IF(W348&lt;=0,"",IF(p_asof-P348&lt;=0,"Non échu",IF(p_asof-P348&lt;=30,"1-30 j",IF(p_asof-P348&lt;=60,"31-60 j",IF(p_asof-P348&lt;=90,"61-90 j","Plus de 90 j"))))))</f>
        <v/>
      </c>
      <c r="AT348" s="62" t="str">
        <f>IF(AS348="","",p_asof-P348)</f>
        <v/>
      </c>
      <c r="AU348" s="62" t="str">
        <f>IF(AT348="","",COUNTIF($AT$6:$AT$805,"&gt;"&amp;AT348)+COUNTIF($AT$6:AT348,AT348))</f>
        <v/>
      </c>
    </row>
    <row r="349">
      <c r="A349" s="59" t="str">
        <f>IF(AE349="","",AB349&amp;"-"&amp;AD349&amp;"-"&amp;RIGHT("000"&amp;AE349,4))</f>
        <v/>
      </c>
      <c r="B349" s="60" t="n"/>
      <c r="C349" s="61" t="n"/>
      <c r="D349" s="60" t="n"/>
      <c r="E349" s="62" t="str">
        <f>IF(D349="","",IFERROR(INDEX(cli_name,MATCH(D349,cli_code,0))&amp;"","Client inconnu"))</f>
        <v/>
      </c>
      <c r="F349" s="60" t="n"/>
      <c r="G349" s="63" t="n"/>
      <c r="H349" s="61" t="n"/>
      <c r="I349" s="63" t="n"/>
      <c r="J349" s="60" t="n"/>
      <c r="K349" s="61" t="n"/>
      <c r="L349" s="60" t="n"/>
      <c r="M349" s="60" t="n"/>
      <c r="N349" s="60" t="n"/>
      <c r="O349" s="61" t="n"/>
      <c r="P349" s="64" t="str">
        <f>IF(A349="","",IF(AA349="Avoir",AC349,IF(ISNUMBER(K349),K349,AC349+IF(D349="",N(p_delay),IFERROR(IF(ISNUMBER(INDEX(cli_delay,MATCH(D349,cli_code,0))),INDEX(cli_delay,MATCH(D349,cli_code,0)),N(p_delay)),N(p_delay))))))</f>
        <v/>
      </c>
      <c r="Q349" s="65" t="str">
        <f>IF(A349="","",IF(AA349="Avoir",-1,1)*ROUND(AJ349-IF(AR349="",0,INDEX(fa_htb,AR349)),2))</f>
        <v/>
      </c>
      <c r="R349" s="65" t="str">
        <f>IF(A349="","",IF(AA349="Avoir",-1,1)*ROUND(AQ349-IF(AR349="",0,INDEX(fa_tvab,AR349)),2))</f>
        <v/>
      </c>
      <c r="S349" s="65" t="str">
        <f>IF(A349="","",Q349+R349)</f>
        <v/>
      </c>
      <c r="T349" s="65" t="str">
        <f>IF(AR349="","",INDEX(fa_htb,AR349)+INDEX(fa_tvab,AR349))</f>
        <v/>
      </c>
      <c r="U349" s="65" t="str">
        <f>IF(A349="","",SUMIF(pa_inv,A349,pa_amt))</f>
        <v/>
      </c>
      <c r="V349" s="65" t="str">
        <f>IF(OR(A349="",AA349="Avoir"),"",-SUMIFS(fa_ttc,fa_avof,A349,fa_type,"Avoir"))</f>
        <v/>
      </c>
      <c r="W349" s="65" t="str">
        <f>IF(OR(A349="",AA349="Avoir"),"",ROUND(S349-U349-V349,2))</f>
        <v/>
      </c>
      <c r="X349" s="66" t="str">
        <f>IF(W349="","",IF(AND(W349&gt;0,p_asof&gt;P349),p_asof-P349,""))</f>
        <v/>
      </c>
      <c r="Y349" s="59" t="str">
        <f>IF(A349="","",IF(AA349="Avoir","Avoir",IF(W349&lt;0,"Trop-perçu",IF(W349=0,"Soldée",IF(p_asof&gt;P349,"En retard",IF(U349+V349&gt;0,"Partielle","À échoir"))))))</f>
        <v/>
      </c>
      <c r="Z349" s="59" t="str">
        <f>IF(NOT(COUNTA(B349:D349,F349:O349)&gt;0),"",IF(C349="","Date manquante",IF(NOT(ISNUMBER(C349)),"Date invalide",IF(D349="","Client manquant",IF(ISNA(MATCH(D349,cli_code,0)),"Client inconnu",IF(AC349&lt;SUMPRODUCT(MAX(($AB$6:AB348=AB349)*$AC$6:AC348)),"Date antérieure à la facture précédente",IF(AND(F349&lt;&gt;"",ISNA(MATCH(F349,dv_num,0))),"Devis inconnu",IF(AND(F349&lt;&gt;"",IFERROR(INDEX(dv_client,MATCH(F349,dv_num,0)),D349)&lt;&gt;D349),"Client différent de celui du devis",IF(AG349="","Aucune ligne : saisissez des lignes ou un devis",IF(AND(AI349&lt;&gt;"",COUNTIF($AI$6:AI349,AI349)&gt;1),"Devis déjà repris par une autre facture",IF(AND(AA349="Avoir",M349=""),"Avoir : indiquez la facture d'origine",IF(AND(AA349="Avoir",ISNA(MATCH(M349,fa_num,0))),"Facture d'origine inconnue",IF(AND(AA349&lt;&gt;"Avoir",M349&lt;&gt;""),"« Avoir sur facture » : réservé aux avoirs",IF(AND(L349&lt;&gt;"",AA349&lt;&gt;"Facture"),"Acompte à déduire : réservé aux factures",IF(AND(L349&lt;&gt;"",ISNA(MATCH(L349,fa_num,0))),"Facture d'acompte inconnue",IF(AND(L349&lt;&gt;"",IFERROR(INDEX(fa_type,MATCH(L349,fa_num,0)),"")&lt;&gt;"Facture d'acompte"),"Le n° à déduire n'est pas une facture d'acompte",IF(AND(L349&lt;&gt;"",COUNTIF($L$6:L349,L349)&gt;1),"Acompte déjà déduit sur une autre facture",IF(AND(L349&lt;&gt;"",IFERROR(INDEX(fa_client,MATCH(L349,fa_num,0)),D349)&lt;&gt;D349),"Acompte d'un autre client",IF(AND(AR349&lt;&gt;"",N(Q349)&lt;0),"Acompte supérieur au total de la facture",IF(IF(AG349="Facture",COUNTIFS(fl_doc,A349,fl_check,"&lt;&gt;OK"),IF(AG349="Devis",COUNTIFS(dl_doc,F349,dl_check,"&lt;&gt;OK"),0))&gt;0,"Ligne(s) à corriger",IF(AND(W349&lt;&gt;"",N(W349)&lt;0),"Trop-perçu : vérifiez paiements et avoirs","OK")))))))))))))))))))))</f>
        <v/>
      </c>
      <c r="AA349" s="62" t="str">
        <f>IF(COUNTA(B349:D349,F349:O349)&gt;0,IF(B349="","Facture",B349),"")</f>
        <v/>
      </c>
      <c r="AB349" s="62" t="str">
        <f>IF(AA349="","",IF(AA349="Avoir",p_pav,IF(AA349="Facture d'acompte",p_pac,p_pfa)))</f>
        <v/>
      </c>
      <c r="AC349" s="62">
        <f>IF(ISNUMBER(C349),C349,0)</f>
        <v>0.0</v>
      </c>
      <c r="AD349" s="62" t="str">
        <f>IF(OR(AA349="",AC349=0),"",YEAR(AC349))</f>
        <v/>
      </c>
      <c r="AE349" s="62" t="str">
        <f>IF(AD349="","",COUNTIFS($AB$6:AB349,AB349,$AD$6:AD349,AD349))</f>
        <v/>
      </c>
      <c r="AF349" s="62">
        <f>IF(A349="",0,COUNTIF(fl_doc,A349))</f>
        <v>0.0</v>
      </c>
      <c r="AG349" s="62" t="str">
        <f>IF(A349="","",IF(AF349&gt;0,"Facture",IF(AND(F349&lt;&gt;"",AA349="Facture",ISNUMBER(MATCH(F349,dv_num,0))),"Devis","")))</f>
        <v/>
      </c>
      <c r="AH349" s="62" t="str">
        <f>IF(AND(A349&lt;&gt;"",F349&lt;&gt;"",AA349&lt;&gt;"Avoir"),F349,"")</f>
        <v/>
      </c>
      <c r="AI349" s="62" t="str">
        <f>IF(AG349="Devis",F349,"")</f>
        <v/>
      </c>
      <c r="AJ349" s="62">
        <f>IF(AG349="Facture",SUMIF(fl_doc,A349,fl_ht),IF(AG349="Devis",SUMIF(dl_doc,F349,dl_ht),0))</f>
        <v>0.0</v>
      </c>
      <c r="AK349" s="62">
        <f>IF(OR(AG349="",INDEX(p_rates,1)=""),0,IF(AG349="Facture",SUMIFS(fl_ht,fl_doc,A349,fl_rate,INDEX(p_rates,1)),SUMIFS(dl_ht,dl_doc,F349,dl_rate,INDEX(p_rates,1))))</f>
        <v>0.0</v>
      </c>
      <c r="AL349" s="62">
        <f>IF(OR(AG349="",INDEX(p_rates,2)=""),0,IF(AG349="Facture",SUMIFS(fl_ht,fl_doc,A349,fl_rate,INDEX(p_rates,2)),SUMIFS(dl_ht,dl_doc,F349,dl_rate,INDEX(p_rates,2))))</f>
        <v>0.0</v>
      </c>
      <c r="AM349" s="62">
        <f>IF(OR(AG349="",INDEX(p_rates,3)=""),0,IF(AG349="Facture",SUMIFS(fl_ht,fl_doc,A349,fl_rate,INDEX(p_rates,3)),SUMIFS(dl_ht,dl_doc,F349,dl_rate,INDEX(p_rates,3))))</f>
        <v>0.0</v>
      </c>
      <c r="AN349" s="62">
        <f>IF(OR(AG349="",INDEX(p_rates,4)=""),0,IF(AG349="Facture",SUMIFS(fl_ht,fl_doc,A349,fl_rate,INDEX(p_rates,4)),SUMIFS(dl_ht,dl_doc,F349,dl_rate,INDEX(p_rates,4))))</f>
        <v>0.0</v>
      </c>
      <c r="AO349" s="62">
        <f>IF(OR(AG349="",INDEX(p_rates,5)=""),0,IF(AG349="Facture",SUMIFS(fl_ht,fl_doc,A349,fl_rate,INDEX(p_rates,5)),SUMIFS(dl_ht,dl_doc,F349,dl_rate,INDEX(p_rates,5))))</f>
        <v>0.0</v>
      </c>
      <c r="AP349" s="62">
        <f>IF(OR(AG349="",INDEX(p_rates,6)=""),0,IF(AG349="Facture",SUMIFS(fl_ht,fl_doc,A349,fl_rate,INDEX(p_rates,6)),SUMIFS(dl_ht,dl_doc,F349,dl_rate,INDEX(p_rates,6))))</f>
        <v>0.0</v>
      </c>
      <c r="AQ349" s="62">
        <f>ROUND(AK349*N(INDEX(p_rates,1)),2)+ROUND(AL349*N(INDEX(p_rates,2)),2)+ROUND(AM349*N(INDEX(p_rates,3)),2)+ROUND(AN349*N(INDEX(p_rates,4)),2)+ROUND(AO349*N(INDEX(p_rates,5)),2)+ROUND(AP349*N(INDEX(p_rates,6)),2)</f>
        <v>0.0</v>
      </c>
      <c r="AR349" s="62" t="str">
        <f>IF(OR(L349="",AA349&lt;&gt;"Facture"),"",IFERROR(IF(INDEX(fa_type,MATCH(L349,fa_num,0))="Facture d'acompte",MATCH(L349,fa_num,0),""),""))</f>
        <v/>
      </c>
      <c r="AS349" s="62" t="str">
        <f>IF(W349="","",IF(W349&lt;=0,"",IF(p_asof-P349&lt;=0,"Non échu",IF(p_asof-P349&lt;=30,"1-30 j",IF(p_asof-P349&lt;=60,"31-60 j",IF(p_asof-P349&lt;=90,"61-90 j","Plus de 90 j"))))))</f>
        <v/>
      </c>
      <c r="AT349" s="62" t="str">
        <f>IF(AS349="","",p_asof-P349)</f>
        <v/>
      </c>
      <c r="AU349" s="62" t="str">
        <f>IF(AT349="","",COUNTIF($AT$6:$AT$805,"&gt;"&amp;AT349)+COUNTIF($AT$6:AT349,AT349))</f>
        <v/>
      </c>
    </row>
    <row r="350">
      <c r="A350" s="59" t="str">
        <f>IF(AE350="","",AB350&amp;"-"&amp;AD350&amp;"-"&amp;RIGHT("000"&amp;AE350,4))</f>
        <v/>
      </c>
      <c r="B350" s="60" t="n"/>
      <c r="C350" s="61" t="n"/>
      <c r="D350" s="60" t="n"/>
      <c r="E350" s="62" t="str">
        <f>IF(D350="","",IFERROR(INDEX(cli_name,MATCH(D350,cli_code,0))&amp;"","Client inconnu"))</f>
        <v/>
      </c>
      <c r="F350" s="60" t="n"/>
      <c r="G350" s="63" t="n"/>
      <c r="H350" s="61" t="n"/>
      <c r="I350" s="63" t="n"/>
      <c r="J350" s="60" t="n"/>
      <c r="K350" s="61" t="n"/>
      <c r="L350" s="60" t="n"/>
      <c r="M350" s="60" t="n"/>
      <c r="N350" s="60" t="n"/>
      <c r="O350" s="61" t="n"/>
      <c r="P350" s="64" t="str">
        <f>IF(A350="","",IF(AA350="Avoir",AC350,IF(ISNUMBER(K350),K350,AC350+IF(D350="",N(p_delay),IFERROR(IF(ISNUMBER(INDEX(cli_delay,MATCH(D350,cli_code,0))),INDEX(cli_delay,MATCH(D350,cli_code,0)),N(p_delay)),N(p_delay))))))</f>
        <v/>
      </c>
      <c r="Q350" s="65" t="str">
        <f>IF(A350="","",IF(AA350="Avoir",-1,1)*ROUND(AJ350-IF(AR350="",0,INDEX(fa_htb,AR350)),2))</f>
        <v/>
      </c>
      <c r="R350" s="65" t="str">
        <f>IF(A350="","",IF(AA350="Avoir",-1,1)*ROUND(AQ350-IF(AR350="",0,INDEX(fa_tvab,AR350)),2))</f>
        <v/>
      </c>
      <c r="S350" s="65" t="str">
        <f>IF(A350="","",Q350+R350)</f>
        <v/>
      </c>
      <c r="T350" s="65" t="str">
        <f>IF(AR350="","",INDEX(fa_htb,AR350)+INDEX(fa_tvab,AR350))</f>
        <v/>
      </c>
      <c r="U350" s="65" t="str">
        <f>IF(A350="","",SUMIF(pa_inv,A350,pa_amt))</f>
        <v/>
      </c>
      <c r="V350" s="65" t="str">
        <f>IF(OR(A350="",AA350="Avoir"),"",-SUMIFS(fa_ttc,fa_avof,A350,fa_type,"Avoir"))</f>
        <v/>
      </c>
      <c r="W350" s="65" t="str">
        <f>IF(OR(A350="",AA350="Avoir"),"",ROUND(S350-U350-V350,2))</f>
        <v/>
      </c>
      <c r="X350" s="66" t="str">
        <f>IF(W350="","",IF(AND(W350&gt;0,p_asof&gt;P350),p_asof-P350,""))</f>
        <v/>
      </c>
      <c r="Y350" s="59" t="str">
        <f>IF(A350="","",IF(AA350="Avoir","Avoir",IF(W350&lt;0,"Trop-perçu",IF(W350=0,"Soldée",IF(p_asof&gt;P350,"En retard",IF(U350+V350&gt;0,"Partielle","À échoir"))))))</f>
        <v/>
      </c>
      <c r="Z350" s="59" t="str">
        <f>IF(NOT(COUNTA(B350:D350,F350:O350)&gt;0),"",IF(C350="","Date manquante",IF(NOT(ISNUMBER(C350)),"Date invalide",IF(D350="","Client manquant",IF(ISNA(MATCH(D350,cli_code,0)),"Client inconnu",IF(AC350&lt;SUMPRODUCT(MAX(($AB$6:AB349=AB350)*$AC$6:AC349)),"Date antérieure à la facture précédente",IF(AND(F350&lt;&gt;"",ISNA(MATCH(F350,dv_num,0))),"Devis inconnu",IF(AND(F350&lt;&gt;"",IFERROR(INDEX(dv_client,MATCH(F350,dv_num,0)),D350)&lt;&gt;D350),"Client différent de celui du devis",IF(AG350="","Aucune ligne : saisissez des lignes ou un devis",IF(AND(AI350&lt;&gt;"",COUNTIF($AI$6:AI350,AI350)&gt;1),"Devis déjà repris par une autre facture",IF(AND(AA350="Avoir",M350=""),"Avoir : indiquez la facture d'origine",IF(AND(AA350="Avoir",ISNA(MATCH(M350,fa_num,0))),"Facture d'origine inconnue",IF(AND(AA350&lt;&gt;"Avoir",M350&lt;&gt;""),"« Avoir sur facture » : réservé aux avoirs",IF(AND(L350&lt;&gt;"",AA350&lt;&gt;"Facture"),"Acompte à déduire : réservé aux factures",IF(AND(L350&lt;&gt;"",ISNA(MATCH(L350,fa_num,0))),"Facture d'acompte inconnue",IF(AND(L350&lt;&gt;"",IFERROR(INDEX(fa_type,MATCH(L350,fa_num,0)),"")&lt;&gt;"Facture d'acompte"),"Le n° à déduire n'est pas une facture d'acompte",IF(AND(L350&lt;&gt;"",COUNTIF($L$6:L350,L350)&gt;1),"Acompte déjà déduit sur une autre facture",IF(AND(L350&lt;&gt;"",IFERROR(INDEX(fa_client,MATCH(L350,fa_num,0)),D350)&lt;&gt;D350),"Acompte d'un autre client",IF(AND(AR350&lt;&gt;"",N(Q350)&lt;0),"Acompte supérieur au total de la facture",IF(IF(AG350="Facture",COUNTIFS(fl_doc,A350,fl_check,"&lt;&gt;OK"),IF(AG350="Devis",COUNTIFS(dl_doc,F350,dl_check,"&lt;&gt;OK"),0))&gt;0,"Ligne(s) à corriger",IF(AND(W350&lt;&gt;"",N(W350)&lt;0),"Trop-perçu : vérifiez paiements et avoirs","OK")))))))))))))))))))))</f>
        <v/>
      </c>
      <c r="AA350" s="62" t="str">
        <f>IF(COUNTA(B350:D350,F350:O350)&gt;0,IF(B350="","Facture",B350),"")</f>
        <v/>
      </c>
      <c r="AB350" s="62" t="str">
        <f>IF(AA350="","",IF(AA350="Avoir",p_pav,IF(AA350="Facture d'acompte",p_pac,p_pfa)))</f>
        <v/>
      </c>
      <c r="AC350" s="62">
        <f>IF(ISNUMBER(C350),C350,0)</f>
        <v>0.0</v>
      </c>
      <c r="AD350" s="62" t="str">
        <f>IF(OR(AA350="",AC350=0),"",YEAR(AC350))</f>
        <v/>
      </c>
      <c r="AE350" s="62" t="str">
        <f>IF(AD350="","",COUNTIFS($AB$6:AB350,AB350,$AD$6:AD350,AD350))</f>
        <v/>
      </c>
      <c r="AF350" s="62">
        <f>IF(A350="",0,COUNTIF(fl_doc,A350))</f>
        <v>0.0</v>
      </c>
      <c r="AG350" s="62" t="str">
        <f>IF(A350="","",IF(AF350&gt;0,"Facture",IF(AND(F350&lt;&gt;"",AA350="Facture",ISNUMBER(MATCH(F350,dv_num,0))),"Devis","")))</f>
        <v/>
      </c>
      <c r="AH350" s="62" t="str">
        <f>IF(AND(A350&lt;&gt;"",F350&lt;&gt;"",AA350&lt;&gt;"Avoir"),F350,"")</f>
        <v/>
      </c>
      <c r="AI350" s="62" t="str">
        <f>IF(AG350="Devis",F350,"")</f>
        <v/>
      </c>
      <c r="AJ350" s="62">
        <f>IF(AG350="Facture",SUMIF(fl_doc,A350,fl_ht),IF(AG350="Devis",SUMIF(dl_doc,F350,dl_ht),0))</f>
        <v>0.0</v>
      </c>
      <c r="AK350" s="62">
        <f>IF(OR(AG350="",INDEX(p_rates,1)=""),0,IF(AG350="Facture",SUMIFS(fl_ht,fl_doc,A350,fl_rate,INDEX(p_rates,1)),SUMIFS(dl_ht,dl_doc,F350,dl_rate,INDEX(p_rates,1))))</f>
        <v>0.0</v>
      </c>
      <c r="AL350" s="62">
        <f>IF(OR(AG350="",INDEX(p_rates,2)=""),0,IF(AG350="Facture",SUMIFS(fl_ht,fl_doc,A350,fl_rate,INDEX(p_rates,2)),SUMIFS(dl_ht,dl_doc,F350,dl_rate,INDEX(p_rates,2))))</f>
        <v>0.0</v>
      </c>
      <c r="AM350" s="62">
        <f>IF(OR(AG350="",INDEX(p_rates,3)=""),0,IF(AG350="Facture",SUMIFS(fl_ht,fl_doc,A350,fl_rate,INDEX(p_rates,3)),SUMIFS(dl_ht,dl_doc,F350,dl_rate,INDEX(p_rates,3))))</f>
        <v>0.0</v>
      </c>
      <c r="AN350" s="62">
        <f>IF(OR(AG350="",INDEX(p_rates,4)=""),0,IF(AG350="Facture",SUMIFS(fl_ht,fl_doc,A350,fl_rate,INDEX(p_rates,4)),SUMIFS(dl_ht,dl_doc,F350,dl_rate,INDEX(p_rates,4))))</f>
        <v>0.0</v>
      </c>
      <c r="AO350" s="62">
        <f>IF(OR(AG350="",INDEX(p_rates,5)=""),0,IF(AG350="Facture",SUMIFS(fl_ht,fl_doc,A350,fl_rate,INDEX(p_rates,5)),SUMIFS(dl_ht,dl_doc,F350,dl_rate,INDEX(p_rates,5))))</f>
        <v>0.0</v>
      </c>
      <c r="AP350" s="62">
        <f>IF(OR(AG350="",INDEX(p_rates,6)=""),0,IF(AG350="Facture",SUMIFS(fl_ht,fl_doc,A350,fl_rate,INDEX(p_rates,6)),SUMIFS(dl_ht,dl_doc,F350,dl_rate,INDEX(p_rates,6))))</f>
        <v>0.0</v>
      </c>
      <c r="AQ350" s="62">
        <f>ROUND(AK350*N(INDEX(p_rates,1)),2)+ROUND(AL350*N(INDEX(p_rates,2)),2)+ROUND(AM350*N(INDEX(p_rates,3)),2)+ROUND(AN350*N(INDEX(p_rates,4)),2)+ROUND(AO350*N(INDEX(p_rates,5)),2)+ROUND(AP350*N(INDEX(p_rates,6)),2)</f>
        <v>0.0</v>
      </c>
      <c r="AR350" s="62" t="str">
        <f>IF(OR(L350="",AA350&lt;&gt;"Facture"),"",IFERROR(IF(INDEX(fa_type,MATCH(L350,fa_num,0))="Facture d'acompte",MATCH(L350,fa_num,0),""),""))</f>
        <v/>
      </c>
      <c r="AS350" s="62" t="str">
        <f>IF(W350="","",IF(W350&lt;=0,"",IF(p_asof-P350&lt;=0,"Non échu",IF(p_asof-P350&lt;=30,"1-30 j",IF(p_asof-P350&lt;=60,"31-60 j",IF(p_asof-P350&lt;=90,"61-90 j","Plus de 90 j"))))))</f>
        <v/>
      </c>
      <c r="AT350" s="62" t="str">
        <f>IF(AS350="","",p_asof-P350)</f>
        <v/>
      </c>
      <c r="AU350" s="62" t="str">
        <f>IF(AT350="","",COUNTIF($AT$6:$AT$805,"&gt;"&amp;AT350)+COUNTIF($AT$6:AT350,AT350))</f>
        <v/>
      </c>
    </row>
    <row r="351">
      <c r="A351" s="59" t="str">
        <f>IF(AE351="","",AB351&amp;"-"&amp;AD351&amp;"-"&amp;RIGHT("000"&amp;AE351,4))</f>
        <v/>
      </c>
      <c r="B351" s="60" t="n"/>
      <c r="C351" s="61" t="n"/>
      <c r="D351" s="60" t="n"/>
      <c r="E351" s="62" t="str">
        <f>IF(D351="","",IFERROR(INDEX(cli_name,MATCH(D351,cli_code,0))&amp;"","Client inconnu"))</f>
        <v/>
      </c>
      <c r="F351" s="60" t="n"/>
      <c r="G351" s="63" t="n"/>
      <c r="H351" s="61" t="n"/>
      <c r="I351" s="63" t="n"/>
      <c r="J351" s="60" t="n"/>
      <c r="K351" s="61" t="n"/>
      <c r="L351" s="60" t="n"/>
      <c r="M351" s="60" t="n"/>
      <c r="N351" s="60" t="n"/>
      <c r="O351" s="61" t="n"/>
      <c r="P351" s="64" t="str">
        <f>IF(A351="","",IF(AA351="Avoir",AC351,IF(ISNUMBER(K351),K351,AC351+IF(D351="",N(p_delay),IFERROR(IF(ISNUMBER(INDEX(cli_delay,MATCH(D351,cli_code,0))),INDEX(cli_delay,MATCH(D351,cli_code,0)),N(p_delay)),N(p_delay))))))</f>
        <v/>
      </c>
      <c r="Q351" s="65" t="str">
        <f>IF(A351="","",IF(AA351="Avoir",-1,1)*ROUND(AJ351-IF(AR351="",0,INDEX(fa_htb,AR351)),2))</f>
        <v/>
      </c>
      <c r="R351" s="65" t="str">
        <f>IF(A351="","",IF(AA351="Avoir",-1,1)*ROUND(AQ351-IF(AR351="",0,INDEX(fa_tvab,AR351)),2))</f>
        <v/>
      </c>
      <c r="S351" s="65" t="str">
        <f>IF(A351="","",Q351+R351)</f>
        <v/>
      </c>
      <c r="T351" s="65" t="str">
        <f>IF(AR351="","",INDEX(fa_htb,AR351)+INDEX(fa_tvab,AR351))</f>
        <v/>
      </c>
      <c r="U351" s="65" t="str">
        <f>IF(A351="","",SUMIF(pa_inv,A351,pa_amt))</f>
        <v/>
      </c>
      <c r="V351" s="65" t="str">
        <f>IF(OR(A351="",AA351="Avoir"),"",-SUMIFS(fa_ttc,fa_avof,A351,fa_type,"Avoir"))</f>
        <v/>
      </c>
      <c r="W351" s="65" t="str">
        <f>IF(OR(A351="",AA351="Avoir"),"",ROUND(S351-U351-V351,2))</f>
        <v/>
      </c>
      <c r="X351" s="66" t="str">
        <f>IF(W351="","",IF(AND(W351&gt;0,p_asof&gt;P351),p_asof-P351,""))</f>
        <v/>
      </c>
      <c r="Y351" s="59" t="str">
        <f>IF(A351="","",IF(AA351="Avoir","Avoir",IF(W351&lt;0,"Trop-perçu",IF(W351=0,"Soldée",IF(p_asof&gt;P351,"En retard",IF(U351+V351&gt;0,"Partielle","À échoir"))))))</f>
        <v/>
      </c>
      <c r="Z351" s="59" t="str">
        <f>IF(NOT(COUNTA(B351:D351,F351:O351)&gt;0),"",IF(C351="","Date manquante",IF(NOT(ISNUMBER(C351)),"Date invalide",IF(D351="","Client manquant",IF(ISNA(MATCH(D351,cli_code,0)),"Client inconnu",IF(AC351&lt;SUMPRODUCT(MAX(($AB$6:AB350=AB351)*$AC$6:AC350)),"Date antérieure à la facture précédente",IF(AND(F351&lt;&gt;"",ISNA(MATCH(F351,dv_num,0))),"Devis inconnu",IF(AND(F351&lt;&gt;"",IFERROR(INDEX(dv_client,MATCH(F351,dv_num,0)),D351)&lt;&gt;D351),"Client différent de celui du devis",IF(AG351="","Aucune ligne : saisissez des lignes ou un devis",IF(AND(AI351&lt;&gt;"",COUNTIF($AI$6:AI351,AI351)&gt;1),"Devis déjà repris par une autre facture",IF(AND(AA351="Avoir",M351=""),"Avoir : indiquez la facture d'origine",IF(AND(AA351="Avoir",ISNA(MATCH(M351,fa_num,0))),"Facture d'origine inconnue",IF(AND(AA351&lt;&gt;"Avoir",M351&lt;&gt;""),"« Avoir sur facture » : réservé aux avoirs",IF(AND(L351&lt;&gt;"",AA351&lt;&gt;"Facture"),"Acompte à déduire : réservé aux factures",IF(AND(L351&lt;&gt;"",ISNA(MATCH(L351,fa_num,0))),"Facture d'acompte inconnue",IF(AND(L351&lt;&gt;"",IFERROR(INDEX(fa_type,MATCH(L351,fa_num,0)),"")&lt;&gt;"Facture d'acompte"),"Le n° à déduire n'est pas une facture d'acompte",IF(AND(L351&lt;&gt;"",COUNTIF($L$6:L351,L351)&gt;1),"Acompte déjà déduit sur une autre facture",IF(AND(L351&lt;&gt;"",IFERROR(INDEX(fa_client,MATCH(L351,fa_num,0)),D351)&lt;&gt;D351),"Acompte d'un autre client",IF(AND(AR351&lt;&gt;"",N(Q351)&lt;0),"Acompte supérieur au total de la facture",IF(IF(AG351="Facture",COUNTIFS(fl_doc,A351,fl_check,"&lt;&gt;OK"),IF(AG351="Devis",COUNTIFS(dl_doc,F351,dl_check,"&lt;&gt;OK"),0))&gt;0,"Ligne(s) à corriger",IF(AND(W351&lt;&gt;"",N(W351)&lt;0),"Trop-perçu : vérifiez paiements et avoirs","OK")))))))))))))))))))))</f>
        <v/>
      </c>
      <c r="AA351" s="62" t="str">
        <f>IF(COUNTA(B351:D351,F351:O351)&gt;0,IF(B351="","Facture",B351),"")</f>
        <v/>
      </c>
      <c r="AB351" s="62" t="str">
        <f>IF(AA351="","",IF(AA351="Avoir",p_pav,IF(AA351="Facture d'acompte",p_pac,p_pfa)))</f>
        <v/>
      </c>
      <c r="AC351" s="62">
        <f>IF(ISNUMBER(C351),C351,0)</f>
        <v>0.0</v>
      </c>
      <c r="AD351" s="62" t="str">
        <f>IF(OR(AA351="",AC351=0),"",YEAR(AC351))</f>
        <v/>
      </c>
      <c r="AE351" s="62" t="str">
        <f>IF(AD351="","",COUNTIFS($AB$6:AB351,AB351,$AD$6:AD351,AD351))</f>
        <v/>
      </c>
      <c r="AF351" s="62">
        <f>IF(A351="",0,COUNTIF(fl_doc,A351))</f>
        <v>0.0</v>
      </c>
      <c r="AG351" s="62" t="str">
        <f>IF(A351="","",IF(AF351&gt;0,"Facture",IF(AND(F351&lt;&gt;"",AA351="Facture",ISNUMBER(MATCH(F351,dv_num,0))),"Devis","")))</f>
        <v/>
      </c>
      <c r="AH351" s="62" t="str">
        <f>IF(AND(A351&lt;&gt;"",F351&lt;&gt;"",AA351&lt;&gt;"Avoir"),F351,"")</f>
        <v/>
      </c>
      <c r="AI351" s="62" t="str">
        <f>IF(AG351="Devis",F351,"")</f>
        <v/>
      </c>
      <c r="AJ351" s="62">
        <f>IF(AG351="Facture",SUMIF(fl_doc,A351,fl_ht),IF(AG351="Devis",SUMIF(dl_doc,F351,dl_ht),0))</f>
        <v>0.0</v>
      </c>
      <c r="AK351" s="62">
        <f>IF(OR(AG351="",INDEX(p_rates,1)=""),0,IF(AG351="Facture",SUMIFS(fl_ht,fl_doc,A351,fl_rate,INDEX(p_rates,1)),SUMIFS(dl_ht,dl_doc,F351,dl_rate,INDEX(p_rates,1))))</f>
        <v>0.0</v>
      </c>
      <c r="AL351" s="62">
        <f>IF(OR(AG351="",INDEX(p_rates,2)=""),0,IF(AG351="Facture",SUMIFS(fl_ht,fl_doc,A351,fl_rate,INDEX(p_rates,2)),SUMIFS(dl_ht,dl_doc,F351,dl_rate,INDEX(p_rates,2))))</f>
        <v>0.0</v>
      </c>
      <c r="AM351" s="62">
        <f>IF(OR(AG351="",INDEX(p_rates,3)=""),0,IF(AG351="Facture",SUMIFS(fl_ht,fl_doc,A351,fl_rate,INDEX(p_rates,3)),SUMIFS(dl_ht,dl_doc,F351,dl_rate,INDEX(p_rates,3))))</f>
        <v>0.0</v>
      </c>
      <c r="AN351" s="62">
        <f>IF(OR(AG351="",INDEX(p_rates,4)=""),0,IF(AG351="Facture",SUMIFS(fl_ht,fl_doc,A351,fl_rate,INDEX(p_rates,4)),SUMIFS(dl_ht,dl_doc,F351,dl_rate,INDEX(p_rates,4))))</f>
        <v>0.0</v>
      </c>
      <c r="AO351" s="62">
        <f>IF(OR(AG351="",INDEX(p_rates,5)=""),0,IF(AG351="Facture",SUMIFS(fl_ht,fl_doc,A351,fl_rate,INDEX(p_rates,5)),SUMIFS(dl_ht,dl_doc,F351,dl_rate,INDEX(p_rates,5))))</f>
        <v>0.0</v>
      </c>
      <c r="AP351" s="62">
        <f>IF(OR(AG351="",INDEX(p_rates,6)=""),0,IF(AG351="Facture",SUMIFS(fl_ht,fl_doc,A351,fl_rate,INDEX(p_rates,6)),SUMIFS(dl_ht,dl_doc,F351,dl_rate,INDEX(p_rates,6))))</f>
        <v>0.0</v>
      </c>
      <c r="AQ351" s="62">
        <f>ROUND(AK351*N(INDEX(p_rates,1)),2)+ROUND(AL351*N(INDEX(p_rates,2)),2)+ROUND(AM351*N(INDEX(p_rates,3)),2)+ROUND(AN351*N(INDEX(p_rates,4)),2)+ROUND(AO351*N(INDEX(p_rates,5)),2)+ROUND(AP351*N(INDEX(p_rates,6)),2)</f>
        <v>0.0</v>
      </c>
      <c r="AR351" s="62" t="str">
        <f>IF(OR(L351="",AA351&lt;&gt;"Facture"),"",IFERROR(IF(INDEX(fa_type,MATCH(L351,fa_num,0))="Facture d'acompte",MATCH(L351,fa_num,0),""),""))</f>
        <v/>
      </c>
      <c r="AS351" s="62" t="str">
        <f>IF(W351="","",IF(W351&lt;=0,"",IF(p_asof-P351&lt;=0,"Non échu",IF(p_asof-P351&lt;=30,"1-30 j",IF(p_asof-P351&lt;=60,"31-60 j",IF(p_asof-P351&lt;=90,"61-90 j","Plus de 90 j"))))))</f>
        <v/>
      </c>
      <c r="AT351" s="62" t="str">
        <f>IF(AS351="","",p_asof-P351)</f>
        <v/>
      </c>
      <c r="AU351" s="62" t="str">
        <f>IF(AT351="","",COUNTIF($AT$6:$AT$805,"&gt;"&amp;AT351)+COUNTIF($AT$6:AT351,AT351))</f>
        <v/>
      </c>
    </row>
    <row r="352">
      <c r="A352" s="59" t="str">
        <f>IF(AE352="","",AB352&amp;"-"&amp;AD352&amp;"-"&amp;RIGHT("000"&amp;AE352,4))</f>
        <v/>
      </c>
      <c r="B352" s="60" t="n"/>
      <c r="C352" s="61" t="n"/>
      <c r="D352" s="60" t="n"/>
      <c r="E352" s="62" t="str">
        <f>IF(D352="","",IFERROR(INDEX(cli_name,MATCH(D352,cli_code,0))&amp;"","Client inconnu"))</f>
        <v/>
      </c>
      <c r="F352" s="60" t="n"/>
      <c r="G352" s="63" t="n"/>
      <c r="H352" s="61" t="n"/>
      <c r="I352" s="63" t="n"/>
      <c r="J352" s="60" t="n"/>
      <c r="K352" s="61" t="n"/>
      <c r="L352" s="60" t="n"/>
      <c r="M352" s="60" t="n"/>
      <c r="N352" s="60" t="n"/>
      <c r="O352" s="61" t="n"/>
      <c r="P352" s="64" t="str">
        <f>IF(A352="","",IF(AA352="Avoir",AC352,IF(ISNUMBER(K352),K352,AC352+IF(D352="",N(p_delay),IFERROR(IF(ISNUMBER(INDEX(cli_delay,MATCH(D352,cli_code,0))),INDEX(cli_delay,MATCH(D352,cli_code,0)),N(p_delay)),N(p_delay))))))</f>
        <v/>
      </c>
      <c r="Q352" s="65" t="str">
        <f>IF(A352="","",IF(AA352="Avoir",-1,1)*ROUND(AJ352-IF(AR352="",0,INDEX(fa_htb,AR352)),2))</f>
        <v/>
      </c>
      <c r="R352" s="65" t="str">
        <f>IF(A352="","",IF(AA352="Avoir",-1,1)*ROUND(AQ352-IF(AR352="",0,INDEX(fa_tvab,AR352)),2))</f>
        <v/>
      </c>
      <c r="S352" s="65" t="str">
        <f>IF(A352="","",Q352+R352)</f>
        <v/>
      </c>
      <c r="T352" s="65" t="str">
        <f>IF(AR352="","",INDEX(fa_htb,AR352)+INDEX(fa_tvab,AR352))</f>
        <v/>
      </c>
      <c r="U352" s="65" t="str">
        <f>IF(A352="","",SUMIF(pa_inv,A352,pa_amt))</f>
        <v/>
      </c>
      <c r="V352" s="65" t="str">
        <f>IF(OR(A352="",AA352="Avoir"),"",-SUMIFS(fa_ttc,fa_avof,A352,fa_type,"Avoir"))</f>
        <v/>
      </c>
      <c r="W352" s="65" t="str">
        <f>IF(OR(A352="",AA352="Avoir"),"",ROUND(S352-U352-V352,2))</f>
        <v/>
      </c>
      <c r="X352" s="66" t="str">
        <f>IF(W352="","",IF(AND(W352&gt;0,p_asof&gt;P352),p_asof-P352,""))</f>
        <v/>
      </c>
      <c r="Y352" s="59" t="str">
        <f>IF(A352="","",IF(AA352="Avoir","Avoir",IF(W352&lt;0,"Trop-perçu",IF(W352=0,"Soldée",IF(p_asof&gt;P352,"En retard",IF(U352+V352&gt;0,"Partielle","À échoir"))))))</f>
        <v/>
      </c>
      <c r="Z352" s="59" t="str">
        <f>IF(NOT(COUNTA(B352:D352,F352:O352)&gt;0),"",IF(C352="","Date manquante",IF(NOT(ISNUMBER(C352)),"Date invalide",IF(D352="","Client manquant",IF(ISNA(MATCH(D352,cli_code,0)),"Client inconnu",IF(AC352&lt;SUMPRODUCT(MAX(($AB$6:AB351=AB352)*$AC$6:AC351)),"Date antérieure à la facture précédente",IF(AND(F352&lt;&gt;"",ISNA(MATCH(F352,dv_num,0))),"Devis inconnu",IF(AND(F352&lt;&gt;"",IFERROR(INDEX(dv_client,MATCH(F352,dv_num,0)),D352)&lt;&gt;D352),"Client différent de celui du devis",IF(AG352="","Aucune ligne : saisissez des lignes ou un devis",IF(AND(AI352&lt;&gt;"",COUNTIF($AI$6:AI352,AI352)&gt;1),"Devis déjà repris par une autre facture",IF(AND(AA352="Avoir",M352=""),"Avoir : indiquez la facture d'origine",IF(AND(AA352="Avoir",ISNA(MATCH(M352,fa_num,0))),"Facture d'origine inconnue",IF(AND(AA352&lt;&gt;"Avoir",M352&lt;&gt;""),"« Avoir sur facture » : réservé aux avoirs",IF(AND(L352&lt;&gt;"",AA352&lt;&gt;"Facture"),"Acompte à déduire : réservé aux factures",IF(AND(L352&lt;&gt;"",ISNA(MATCH(L352,fa_num,0))),"Facture d'acompte inconnue",IF(AND(L352&lt;&gt;"",IFERROR(INDEX(fa_type,MATCH(L352,fa_num,0)),"")&lt;&gt;"Facture d'acompte"),"Le n° à déduire n'est pas une facture d'acompte",IF(AND(L352&lt;&gt;"",COUNTIF($L$6:L352,L352)&gt;1),"Acompte déjà déduit sur une autre facture",IF(AND(L352&lt;&gt;"",IFERROR(INDEX(fa_client,MATCH(L352,fa_num,0)),D352)&lt;&gt;D352),"Acompte d'un autre client",IF(AND(AR352&lt;&gt;"",N(Q352)&lt;0),"Acompte supérieur au total de la facture",IF(IF(AG352="Facture",COUNTIFS(fl_doc,A352,fl_check,"&lt;&gt;OK"),IF(AG352="Devis",COUNTIFS(dl_doc,F352,dl_check,"&lt;&gt;OK"),0))&gt;0,"Ligne(s) à corriger",IF(AND(W352&lt;&gt;"",N(W352)&lt;0),"Trop-perçu : vérifiez paiements et avoirs","OK")))))))))))))))))))))</f>
        <v/>
      </c>
      <c r="AA352" s="62" t="str">
        <f>IF(COUNTA(B352:D352,F352:O352)&gt;0,IF(B352="","Facture",B352),"")</f>
        <v/>
      </c>
      <c r="AB352" s="62" t="str">
        <f>IF(AA352="","",IF(AA352="Avoir",p_pav,IF(AA352="Facture d'acompte",p_pac,p_pfa)))</f>
        <v/>
      </c>
      <c r="AC352" s="62">
        <f>IF(ISNUMBER(C352),C352,0)</f>
        <v>0.0</v>
      </c>
      <c r="AD352" s="62" t="str">
        <f>IF(OR(AA352="",AC352=0),"",YEAR(AC352))</f>
        <v/>
      </c>
      <c r="AE352" s="62" t="str">
        <f>IF(AD352="","",COUNTIFS($AB$6:AB352,AB352,$AD$6:AD352,AD352))</f>
        <v/>
      </c>
      <c r="AF352" s="62">
        <f>IF(A352="",0,COUNTIF(fl_doc,A352))</f>
        <v>0.0</v>
      </c>
      <c r="AG352" s="62" t="str">
        <f>IF(A352="","",IF(AF352&gt;0,"Facture",IF(AND(F352&lt;&gt;"",AA352="Facture",ISNUMBER(MATCH(F352,dv_num,0))),"Devis","")))</f>
        <v/>
      </c>
      <c r="AH352" s="62" t="str">
        <f>IF(AND(A352&lt;&gt;"",F352&lt;&gt;"",AA352&lt;&gt;"Avoir"),F352,"")</f>
        <v/>
      </c>
      <c r="AI352" s="62" t="str">
        <f>IF(AG352="Devis",F352,"")</f>
        <v/>
      </c>
      <c r="AJ352" s="62">
        <f>IF(AG352="Facture",SUMIF(fl_doc,A352,fl_ht),IF(AG352="Devis",SUMIF(dl_doc,F352,dl_ht),0))</f>
        <v>0.0</v>
      </c>
      <c r="AK352" s="62">
        <f>IF(OR(AG352="",INDEX(p_rates,1)=""),0,IF(AG352="Facture",SUMIFS(fl_ht,fl_doc,A352,fl_rate,INDEX(p_rates,1)),SUMIFS(dl_ht,dl_doc,F352,dl_rate,INDEX(p_rates,1))))</f>
        <v>0.0</v>
      </c>
      <c r="AL352" s="62">
        <f>IF(OR(AG352="",INDEX(p_rates,2)=""),0,IF(AG352="Facture",SUMIFS(fl_ht,fl_doc,A352,fl_rate,INDEX(p_rates,2)),SUMIFS(dl_ht,dl_doc,F352,dl_rate,INDEX(p_rates,2))))</f>
        <v>0.0</v>
      </c>
      <c r="AM352" s="62">
        <f>IF(OR(AG352="",INDEX(p_rates,3)=""),0,IF(AG352="Facture",SUMIFS(fl_ht,fl_doc,A352,fl_rate,INDEX(p_rates,3)),SUMIFS(dl_ht,dl_doc,F352,dl_rate,INDEX(p_rates,3))))</f>
        <v>0.0</v>
      </c>
      <c r="AN352" s="62">
        <f>IF(OR(AG352="",INDEX(p_rates,4)=""),0,IF(AG352="Facture",SUMIFS(fl_ht,fl_doc,A352,fl_rate,INDEX(p_rates,4)),SUMIFS(dl_ht,dl_doc,F352,dl_rate,INDEX(p_rates,4))))</f>
        <v>0.0</v>
      </c>
      <c r="AO352" s="62">
        <f>IF(OR(AG352="",INDEX(p_rates,5)=""),0,IF(AG352="Facture",SUMIFS(fl_ht,fl_doc,A352,fl_rate,INDEX(p_rates,5)),SUMIFS(dl_ht,dl_doc,F352,dl_rate,INDEX(p_rates,5))))</f>
        <v>0.0</v>
      </c>
      <c r="AP352" s="62">
        <f>IF(OR(AG352="",INDEX(p_rates,6)=""),0,IF(AG352="Facture",SUMIFS(fl_ht,fl_doc,A352,fl_rate,INDEX(p_rates,6)),SUMIFS(dl_ht,dl_doc,F352,dl_rate,INDEX(p_rates,6))))</f>
        <v>0.0</v>
      </c>
      <c r="AQ352" s="62">
        <f>ROUND(AK352*N(INDEX(p_rates,1)),2)+ROUND(AL352*N(INDEX(p_rates,2)),2)+ROUND(AM352*N(INDEX(p_rates,3)),2)+ROUND(AN352*N(INDEX(p_rates,4)),2)+ROUND(AO352*N(INDEX(p_rates,5)),2)+ROUND(AP352*N(INDEX(p_rates,6)),2)</f>
        <v>0.0</v>
      </c>
      <c r="AR352" s="62" t="str">
        <f>IF(OR(L352="",AA352&lt;&gt;"Facture"),"",IFERROR(IF(INDEX(fa_type,MATCH(L352,fa_num,0))="Facture d'acompte",MATCH(L352,fa_num,0),""),""))</f>
        <v/>
      </c>
      <c r="AS352" s="62" t="str">
        <f>IF(W352="","",IF(W352&lt;=0,"",IF(p_asof-P352&lt;=0,"Non échu",IF(p_asof-P352&lt;=30,"1-30 j",IF(p_asof-P352&lt;=60,"31-60 j",IF(p_asof-P352&lt;=90,"61-90 j","Plus de 90 j"))))))</f>
        <v/>
      </c>
      <c r="AT352" s="62" t="str">
        <f>IF(AS352="","",p_asof-P352)</f>
        <v/>
      </c>
      <c r="AU352" s="62" t="str">
        <f>IF(AT352="","",COUNTIF($AT$6:$AT$805,"&gt;"&amp;AT352)+COUNTIF($AT$6:AT352,AT352))</f>
        <v/>
      </c>
    </row>
    <row r="353">
      <c r="A353" s="59" t="str">
        <f>IF(AE353="","",AB353&amp;"-"&amp;AD353&amp;"-"&amp;RIGHT("000"&amp;AE353,4))</f>
        <v/>
      </c>
      <c r="B353" s="60" t="n"/>
      <c r="C353" s="61" t="n"/>
      <c r="D353" s="60" t="n"/>
      <c r="E353" s="62" t="str">
        <f>IF(D353="","",IFERROR(INDEX(cli_name,MATCH(D353,cli_code,0))&amp;"","Client inconnu"))</f>
        <v/>
      </c>
      <c r="F353" s="60" t="n"/>
      <c r="G353" s="63" t="n"/>
      <c r="H353" s="61" t="n"/>
      <c r="I353" s="63" t="n"/>
      <c r="J353" s="60" t="n"/>
      <c r="K353" s="61" t="n"/>
      <c r="L353" s="60" t="n"/>
      <c r="M353" s="60" t="n"/>
      <c r="N353" s="60" t="n"/>
      <c r="O353" s="61" t="n"/>
      <c r="P353" s="64" t="str">
        <f>IF(A353="","",IF(AA353="Avoir",AC353,IF(ISNUMBER(K353),K353,AC353+IF(D353="",N(p_delay),IFERROR(IF(ISNUMBER(INDEX(cli_delay,MATCH(D353,cli_code,0))),INDEX(cli_delay,MATCH(D353,cli_code,0)),N(p_delay)),N(p_delay))))))</f>
        <v/>
      </c>
      <c r="Q353" s="65" t="str">
        <f>IF(A353="","",IF(AA353="Avoir",-1,1)*ROUND(AJ353-IF(AR353="",0,INDEX(fa_htb,AR353)),2))</f>
        <v/>
      </c>
      <c r="R353" s="65" t="str">
        <f>IF(A353="","",IF(AA353="Avoir",-1,1)*ROUND(AQ353-IF(AR353="",0,INDEX(fa_tvab,AR353)),2))</f>
        <v/>
      </c>
      <c r="S353" s="65" t="str">
        <f>IF(A353="","",Q353+R353)</f>
        <v/>
      </c>
      <c r="T353" s="65" t="str">
        <f>IF(AR353="","",INDEX(fa_htb,AR353)+INDEX(fa_tvab,AR353))</f>
        <v/>
      </c>
      <c r="U353" s="65" t="str">
        <f>IF(A353="","",SUMIF(pa_inv,A353,pa_amt))</f>
        <v/>
      </c>
      <c r="V353" s="65" t="str">
        <f>IF(OR(A353="",AA353="Avoir"),"",-SUMIFS(fa_ttc,fa_avof,A353,fa_type,"Avoir"))</f>
        <v/>
      </c>
      <c r="W353" s="65" t="str">
        <f>IF(OR(A353="",AA353="Avoir"),"",ROUND(S353-U353-V353,2))</f>
        <v/>
      </c>
      <c r="X353" s="66" t="str">
        <f>IF(W353="","",IF(AND(W353&gt;0,p_asof&gt;P353),p_asof-P353,""))</f>
        <v/>
      </c>
      <c r="Y353" s="59" t="str">
        <f>IF(A353="","",IF(AA353="Avoir","Avoir",IF(W353&lt;0,"Trop-perçu",IF(W353=0,"Soldée",IF(p_asof&gt;P353,"En retard",IF(U353+V353&gt;0,"Partielle","À échoir"))))))</f>
        <v/>
      </c>
      <c r="Z353" s="59" t="str">
        <f>IF(NOT(COUNTA(B353:D353,F353:O353)&gt;0),"",IF(C353="","Date manquante",IF(NOT(ISNUMBER(C353)),"Date invalide",IF(D353="","Client manquant",IF(ISNA(MATCH(D353,cli_code,0)),"Client inconnu",IF(AC353&lt;SUMPRODUCT(MAX(($AB$6:AB352=AB353)*$AC$6:AC352)),"Date antérieure à la facture précédente",IF(AND(F353&lt;&gt;"",ISNA(MATCH(F353,dv_num,0))),"Devis inconnu",IF(AND(F353&lt;&gt;"",IFERROR(INDEX(dv_client,MATCH(F353,dv_num,0)),D353)&lt;&gt;D353),"Client différent de celui du devis",IF(AG353="","Aucune ligne : saisissez des lignes ou un devis",IF(AND(AI353&lt;&gt;"",COUNTIF($AI$6:AI353,AI353)&gt;1),"Devis déjà repris par une autre facture",IF(AND(AA353="Avoir",M353=""),"Avoir : indiquez la facture d'origine",IF(AND(AA353="Avoir",ISNA(MATCH(M353,fa_num,0))),"Facture d'origine inconnue",IF(AND(AA353&lt;&gt;"Avoir",M353&lt;&gt;""),"« Avoir sur facture » : réservé aux avoirs",IF(AND(L353&lt;&gt;"",AA353&lt;&gt;"Facture"),"Acompte à déduire : réservé aux factures",IF(AND(L353&lt;&gt;"",ISNA(MATCH(L353,fa_num,0))),"Facture d'acompte inconnue",IF(AND(L353&lt;&gt;"",IFERROR(INDEX(fa_type,MATCH(L353,fa_num,0)),"")&lt;&gt;"Facture d'acompte"),"Le n° à déduire n'est pas une facture d'acompte",IF(AND(L353&lt;&gt;"",COUNTIF($L$6:L353,L353)&gt;1),"Acompte déjà déduit sur une autre facture",IF(AND(L353&lt;&gt;"",IFERROR(INDEX(fa_client,MATCH(L353,fa_num,0)),D353)&lt;&gt;D353),"Acompte d'un autre client",IF(AND(AR353&lt;&gt;"",N(Q353)&lt;0),"Acompte supérieur au total de la facture",IF(IF(AG353="Facture",COUNTIFS(fl_doc,A353,fl_check,"&lt;&gt;OK"),IF(AG353="Devis",COUNTIFS(dl_doc,F353,dl_check,"&lt;&gt;OK"),0))&gt;0,"Ligne(s) à corriger",IF(AND(W353&lt;&gt;"",N(W353)&lt;0),"Trop-perçu : vérifiez paiements et avoirs","OK")))))))))))))))))))))</f>
        <v/>
      </c>
      <c r="AA353" s="62" t="str">
        <f>IF(COUNTA(B353:D353,F353:O353)&gt;0,IF(B353="","Facture",B353),"")</f>
        <v/>
      </c>
      <c r="AB353" s="62" t="str">
        <f>IF(AA353="","",IF(AA353="Avoir",p_pav,IF(AA353="Facture d'acompte",p_pac,p_pfa)))</f>
        <v/>
      </c>
      <c r="AC353" s="62">
        <f>IF(ISNUMBER(C353),C353,0)</f>
        <v>0.0</v>
      </c>
      <c r="AD353" s="62" t="str">
        <f>IF(OR(AA353="",AC353=0),"",YEAR(AC353))</f>
        <v/>
      </c>
      <c r="AE353" s="62" t="str">
        <f>IF(AD353="","",COUNTIFS($AB$6:AB353,AB353,$AD$6:AD353,AD353))</f>
        <v/>
      </c>
      <c r="AF353" s="62">
        <f>IF(A353="",0,COUNTIF(fl_doc,A353))</f>
        <v>0.0</v>
      </c>
      <c r="AG353" s="62" t="str">
        <f>IF(A353="","",IF(AF353&gt;0,"Facture",IF(AND(F353&lt;&gt;"",AA353="Facture",ISNUMBER(MATCH(F353,dv_num,0))),"Devis","")))</f>
        <v/>
      </c>
      <c r="AH353" s="62" t="str">
        <f>IF(AND(A353&lt;&gt;"",F353&lt;&gt;"",AA353&lt;&gt;"Avoir"),F353,"")</f>
        <v/>
      </c>
      <c r="AI353" s="62" t="str">
        <f>IF(AG353="Devis",F353,"")</f>
        <v/>
      </c>
      <c r="AJ353" s="62">
        <f>IF(AG353="Facture",SUMIF(fl_doc,A353,fl_ht),IF(AG353="Devis",SUMIF(dl_doc,F353,dl_ht),0))</f>
        <v>0.0</v>
      </c>
      <c r="AK353" s="62">
        <f>IF(OR(AG353="",INDEX(p_rates,1)=""),0,IF(AG353="Facture",SUMIFS(fl_ht,fl_doc,A353,fl_rate,INDEX(p_rates,1)),SUMIFS(dl_ht,dl_doc,F353,dl_rate,INDEX(p_rates,1))))</f>
        <v>0.0</v>
      </c>
      <c r="AL353" s="62">
        <f>IF(OR(AG353="",INDEX(p_rates,2)=""),0,IF(AG353="Facture",SUMIFS(fl_ht,fl_doc,A353,fl_rate,INDEX(p_rates,2)),SUMIFS(dl_ht,dl_doc,F353,dl_rate,INDEX(p_rates,2))))</f>
        <v>0.0</v>
      </c>
      <c r="AM353" s="62">
        <f>IF(OR(AG353="",INDEX(p_rates,3)=""),0,IF(AG353="Facture",SUMIFS(fl_ht,fl_doc,A353,fl_rate,INDEX(p_rates,3)),SUMIFS(dl_ht,dl_doc,F353,dl_rate,INDEX(p_rates,3))))</f>
        <v>0.0</v>
      </c>
      <c r="AN353" s="62">
        <f>IF(OR(AG353="",INDEX(p_rates,4)=""),0,IF(AG353="Facture",SUMIFS(fl_ht,fl_doc,A353,fl_rate,INDEX(p_rates,4)),SUMIFS(dl_ht,dl_doc,F353,dl_rate,INDEX(p_rates,4))))</f>
        <v>0.0</v>
      </c>
      <c r="AO353" s="62">
        <f>IF(OR(AG353="",INDEX(p_rates,5)=""),0,IF(AG353="Facture",SUMIFS(fl_ht,fl_doc,A353,fl_rate,INDEX(p_rates,5)),SUMIFS(dl_ht,dl_doc,F353,dl_rate,INDEX(p_rates,5))))</f>
        <v>0.0</v>
      </c>
      <c r="AP353" s="62">
        <f>IF(OR(AG353="",INDEX(p_rates,6)=""),0,IF(AG353="Facture",SUMIFS(fl_ht,fl_doc,A353,fl_rate,INDEX(p_rates,6)),SUMIFS(dl_ht,dl_doc,F353,dl_rate,INDEX(p_rates,6))))</f>
        <v>0.0</v>
      </c>
      <c r="AQ353" s="62">
        <f>ROUND(AK353*N(INDEX(p_rates,1)),2)+ROUND(AL353*N(INDEX(p_rates,2)),2)+ROUND(AM353*N(INDEX(p_rates,3)),2)+ROUND(AN353*N(INDEX(p_rates,4)),2)+ROUND(AO353*N(INDEX(p_rates,5)),2)+ROUND(AP353*N(INDEX(p_rates,6)),2)</f>
        <v>0.0</v>
      </c>
      <c r="AR353" s="62" t="str">
        <f>IF(OR(L353="",AA353&lt;&gt;"Facture"),"",IFERROR(IF(INDEX(fa_type,MATCH(L353,fa_num,0))="Facture d'acompte",MATCH(L353,fa_num,0),""),""))</f>
        <v/>
      </c>
      <c r="AS353" s="62" t="str">
        <f>IF(W353="","",IF(W353&lt;=0,"",IF(p_asof-P353&lt;=0,"Non échu",IF(p_asof-P353&lt;=30,"1-30 j",IF(p_asof-P353&lt;=60,"31-60 j",IF(p_asof-P353&lt;=90,"61-90 j","Plus de 90 j"))))))</f>
        <v/>
      </c>
      <c r="AT353" s="62" t="str">
        <f>IF(AS353="","",p_asof-P353)</f>
        <v/>
      </c>
      <c r="AU353" s="62" t="str">
        <f>IF(AT353="","",COUNTIF($AT$6:$AT$805,"&gt;"&amp;AT353)+COUNTIF($AT$6:AT353,AT353))</f>
        <v/>
      </c>
    </row>
    <row r="354">
      <c r="A354" s="59" t="str">
        <f>IF(AE354="","",AB354&amp;"-"&amp;AD354&amp;"-"&amp;RIGHT("000"&amp;AE354,4))</f>
        <v/>
      </c>
      <c r="B354" s="60" t="n"/>
      <c r="C354" s="61" t="n"/>
      <c r="D354" s="60" t="n"/>
      <c r="E354" s="62" t="str">
        <f>IF(D354="","",IFERROR(INDEX(cli_name,MATCH(D354,cli_code,0))&amp;"","Client inconnu"))</f>
        <v/>
      </c>
      <c r="F354" s="60" t="n"/>
      <c r="G354" s="63" t="n"/>
      <c r="H354" s="61" t="n"/>
      <c r="I354" s="63" t="n"/>
      <c r="J354" s="60" t="n"/>
      <c r="K354" s="61" t="n"/>
      <c r="L354" s="60" t="n"/>
      <c r="M354" s="60" t="n"/>
      <c r="N354" s="60" t="n"/>
      <c r="O354" s="61" t="n"/>
      <c r="P354" s="64" t="str">
        <f>IF(A354="","",IF(AA354="Avoir",AC354,IF(ISNUMBER(K354),K354,AC354+IF(D354="",N(p_delay),IFERROR(IF(ISNUMBER(INDEX(cli_delay,MATCH(D354,cli_code,0))),INDEX(cli_delay,MATCH(D354,cli_code,0)),N(p_delay)),N(p_delay))))))</f>
        <v/>
      </c>
      <c r="Q354" s="65" t="str">
        <f>IF(A354="","",IF(AA354="Avoir",-1,1)*ROUND(AJ354-IF(AR354="",0,INDEX(fa_htb,AR354)),2))</f>
        <v/>
      </c>
      <c r="R354" s="65" t="str">
        <f>IF(A354="","",IF(AA354="Avoir",-1,1)*ROUND(AQ354-IF(AR354="",0,INDEX(fa_tvab,AR354)),2))</f>
        <v/>
      </c>
      <c r="S354" s="65" t="str">
        <f>IF(A354="","",Q354+R354)</f>
        <v/>
      </c>
      <c r="T354" s="65" t="str">
        <f>IF(AR354="","",INDEX(fa_htb,AR354)+INDEX(fa_tvab,AR354))</f>
        <v/>
      </c>
      <c r="U354" s="65" t="str">
        <f>IF(A354="","",SUMIF(pa_inv,A354,pa_amt))</f>
        <v/>
      </c>
      <c r="V354" s="65" t="str">
        <f>IF(OR(A354="",AA354="Avoir"),"",-SUMIFS(fa_ttc,fa_avof,A354,fa_type,"Avoir"))</f>
        <v/>
      </c>
      <c r="W354" s="65" t="str">
        <f>IF(OR(A354="",AA354="Avoir"),"",ROUND(S354-U354-V354,2))</f>
        <v/>
      </c>
      <c r="X354" s="66" t="str">
        <f>IF(W354="","",IF(AND(W354&gt;0,p_asof&gt;P354),p_asof-P354,""))</f>
        <v/>
      </c>
      <c r="Y354" s="59" t="str">
        <f>IF(A354="","",IF(AA354="Avoir","Avoir",IF(W354&lt;0,"Trop-perçu",IF(W354=0,"Soldée",IF(p_asof&gt;P354,"En retard",IF(U354+V354&gt;0,"Partielle","À échoir"))))))</f>
        <v/>
      </c>
      <c r="Z354" s="59" t="str">
        <f>IF(NOT(COUNTA(B354:D354,F354:O354)&gt;0),"",IF(C354="","Date manquante",IF(NOT(ISNUMBER(C354)),"Date invalide",IF(D354="","Client manquant",IF(ISNA(MATCH(D354,cli_code,0)),"Client inconnu",IF(AC354&lt;SUMPRODUCT(MAX(($AB$6:AB353=AB354)*$AC$6:AC353)),"Date antérieure à la facture précédente",IF(AND(F354&lt;&gt;"",ISNA(MATCH(F354,dv_num,0))),"Devis inconnu",IF(AND(F354&lt;&gt;"",IFERROR(INDEX(dv_client,MATCH(F354,dv_num,0)),D354)&lt;&gt;D354),"Client différent de celui du devis",IF(AG354="","Aucune ligne : saisissez des lignes ou un devis",IF(AND(AI354&lt;&gt;"",COUNTIF($AI$6:AI354,AI354)&gt;1),"Devis déjà repris par une autre facture",IF(AND(AA354="Avoir",M354=""),"Avoir : indiquez la facture d'origine",IF(AND(AA354="Avoir",ISNA(MATCH(M354,fa_num,0))),"Facture d'origine inconnue",IF(AND(AA354&lt;&gt;"Avoir",M354&lt;&gt;""),"« Avoir sur facture » : réservé aux avoirs",IF(AND(L354&lt;&gt;"",AA354&lt;&gt;"Facture"),"Acompte à déduire : réservé aux factures",IF(AND(L354&lt;&gt;"",ISNA(MATCH(L354,fa_num,0))),"Facture d'acompte inconnue",IF(AND(L354&lt;&gt;"",IFERROR(INDEX(fa_type,MATCH(L354,fa_num,0)),"")&lt;&gt;"Facture d'acompte"),"Le n° à déduire n'est pas une facture d'acompte",IF(AND(L354&lt;&gt;"",COUNTIF($L$6:L354,L354)&gt;1),"Acompte déjà déduit sur une autre facture",IF(AND(L354&lt;&gt;"",IFERROR(INDEX(fa_client,MATCH(L354,fa_num,0)),D354)&lt;&gt;D354),"Acompte d'un autre client",IF(AND(AR354&lt;&gt;"",N(Q354)&lt;0),"Acompte supérieur au total de la facture",IF(IF(AG354="Facture",COUNTIFS(fl_doc,A354,fl_check,"&lt;&gt;OK"),IF(AG354="Devis",COUNTIFS(dl_doc,F354,dl_check,"&lt;&gt;OK"),0))&gt;0,"Ligne(s) à corriger",IF(AND(W354&lt;&gt;"",N(W354)&lt;0),"Trop-perçu : vérifiez paiements et avoirs","OK")))))))))))))))))))))</f>
        <v/>
      </c>
      <c r="AA354" s="62" t="str">
        <f>IF(COUNTA(B354:D354,F354:O354)&gt;0,IF(B354="","Facture",B354),"")</f>
        <v/>
      </c>
      <c r="AB354" s="62" t="str">
        <f>IF(AA354="","",IF(AA354="Avoir",p_pav,IF(AA354="Facture d'acompte",p_pac,p_pfa)))</f>
        <v/>
      </c>
      <c r="AC354" s="62">
        <f>IF(ISNUMBER(C354),C354,0)</f>
        <v>0.0</v>
      </c>
      <c r="AD354" s="62" t="str">
        <f>IF(OR(AA354="",AC354=0),"",YEAR(AC354))</f>
        <v/>
      </c>
      <c r="AE354" s="62" t="str">
        <f>IF(AD354="","",COUNTIFS($AB$6:AB354,AB354,$AD$6:AD354,AD354))</f>
        <v/>
      </c>
      <c r="AF354" s="62">
        <f>IF(A354="",0,COUNTIF(fl_doc,A354))</f>
        <v>0.0</v>
      </c>
      <c r="AG354" s="62" t="str">
        <f>IF(A354="","",IF(AF354&gt;0,"Facture",IF(AND(F354&lt;&gt;"",AA354="Facture",ISNUMBER(MATCH(F354,dv_num,0))),"Devis","")))</f>
        <v/>
      </c>
      <c r="AH354" s="62" t="str">
        <f>IF(AND(A354&lt;&gt;"",F354&lt;&gt;"",AA354&lt;&gt;"Avoir"),F354,"")</f>
        <v/>
      </c>
      <c r="AI354" s="62" t="str">
        <f>IF(AG354="Devis",F354,"")</f>
        <v/>
      </c>
      <c r="AJ354" s="62">
        <f>IF(AG354="Facture",SUMIF(fl_doc,A354,fl_ht),IF(AG354="Devis",SUMIF(dl_doc,F354,dl_ht),0))</f>
        <v>0.0</v>
      </c>
      <c r="AK354" s="62">
        <f>IF(OR(AG354="",INDEX(p_rates,1)=""),0,IF(AG354="Facture",SUMIFS(fl_ht,fl_doc,A354,fl_rate,INDEX(p_rates,1)),SUMIFS(dl_ht,dl_doc,F354,dl_rate,INDEX(p_rates,1))))</f>
        <v>0.0</v>
      </c>
      <c r="AL354" s="62">
        <f>IF(OR(AG354="",INDEX(p_rates,2)=""),0,IF(AG354="Facture",SUMIFS(fl_ht,fl_doc,A354,fl_rate,INDEX(p_rates,2)),SUMIFS(dl_ht,dl_doc,F354,dl_rate,INDEX(p_rates,2))))</f>
        <v>0.0</v>
      </c>
      <c r="AM354" s="62">
        <f>IF(OR(AG354="",INDEX(p_rates,3)=""),0,IF(AG354="Facture",SUMIFS(fl_ht,fl_doc,A354,fl_rate,INDEX(p_rates,3)),SUMIFS(dl_ht,dl_doc,F354,dl_rate,INDEX(p_rates,3))))</f>
        <v>0.0</v>
      </c>
      <c r="AN354" s="62">
        <f>IF(OR(AG354="",INDEX(p_rates,4)=""),0,IF(AG354="Facture",SUMIFS(fl_ht,fl_doc,A354,fl_rate,INDEX(p_rates,4)),SUMIFS(dl_ht,dl_doc,F354,dl_rate,INDEX(p_rates,4))))</f>
        <v>0.0</v>
      </c>
      <c r="AO354" s="62">
        <f>IF(OR(AG354="",INDEX(p_rates,5)=""),0,IF(AG354="Facture",SUMIFS(fl_ht,fl_doc,A354,fl_rate,INDEX(p_rates,5)),SUMIFS(dl_ht,dl_doc,F354,dl_rate,INDEX(p_rates,5))))</f>
        <v>0.0</v>
      </c>
      <c r="AP354" s="62">
        <f>IF(OR(AG354="",INDEX(p_rates,6)=""),0,IF(AG354="Facture",SUMIFS(fl_ht,fl_doc,A354,fl_rate,INDEX(p_rates,6)),SUMIFS(dl_ht,dl_doc,F354,dl_rate,INDEX(p_rates,6))))</f>
        <v>0.0</v>
      </c>
      <c r="AQ354" s="62">
        <f>ROUND(AK354*N(INDEX(p_rates,1)),2)+ROUND(AL354*N(INDEX(p_rates,2)),2)+ROUND(AM354*N(INDEX(p_rates,3)),2)+ROUND(AN354*N(INDEX(p_rates,4)),2)+ROUND(AO354*N(INDEX(p_rates,5)),2)+ROUND(AP354*N(INDEX(p_rates,6)),2)</f>
        <v>0.0</v>
      </c>
      <c r="AR354" s="62" t="str">
        <f>IF(OR(L354="",AA354&lt;&gt;"Facture"),"",IFERROR(IF(INDEX(fa_type,MATCH(L354,fa_num,0))="Facture d'acompte",MATCH(L354,fa_num,0),""),""))</f>
        <v/>
      </c>
      <c r="AS354" s="62" t="str">
        <f>IF(W354="","",IF(W354&lt;=0,"",IF(p_asof-P354&lt;=0,"Non échu",IF(p_asof-P354&lt;=30,"1-30 j",IF(p_asof-P354&lt;=60,"31-60 j",IF(p_asof-P354&lt;=90,"61-90 j","Plus de 90 j"))))))</f>
        <v/>
      </c>
      <c r="AT354" s="62" t="str">
        <f>IF(AS354="","",p_asof-P354)</f>
        <v/>
      </c>
      <c r="AU354" s="62" t="str">
        <f>IF(AT354="","",COUNTIF($AT$6:$AT$805,"&gt;"&amp;AT354)+COUNTIF($AT$6:AT354,AT354))</f>
        <v/>
      </c>
    </row>
    <row r="355">
      <c r="A355" s="59" t="str">
        <f>IF(AE355="","",AB355&amp;"-"&amp;AD355&amp;"-"&amp;RIGHT("000"&amp;AE355,4))</f>
        <v/>
      </c>
      <c r="B355" s="60" t="n"/>
      <c r="C355" s="61" t="n"/>
      <c r="D355" s="60" t="n"/>
      <c r="E355" s="62" t="str">
        <f>IF(D355="","",IFERROR(INDEX(cli_name,MATCH(D355,cli_code,0))&amp;"","Client inconnu"))</f>
        <v/>
      </c>
      <c r="F355" s="60" t="n"/>
      <c r="G355" s="63" t="n"/>
      <c r="H355" s="61" t="n"/>
      <c r="I355" s="63" t="n"/>
      <c r="J355" s="60" t="n"/>
      <c r="K355" s="61" t="n"/>
      <c r="L355" s="60" t="n"/>
      <c r="M355" s="60" t="n"/>
      <c r="N355" s="60" t="n"/>
      <c r="O355" s="61" t="n"/>
      <c r="P355" s="64" t="str">
        <f>IF(A355="","",IF(AA355="Avoir",AC355,IF(ISNUMBER(K355),K355,AC355+IF(D355="",N(p_delay),IFERROR(IF(ISNUMBER(INDEX(cli_delay,MATCH(D355,cli_code,0))),INDEX(cli_delay,MATCH(D355,cli_code,0)),N(p_delay)),N(p_delay))))))</f>
        <v/>
      </c>
      <c r="Q355" s="65" t="str">
        <f>IF(A355="","",IF(AA355="Avoir",-1,1)*ROUND(AJ355-IF(AR355="",0,INDEX(fa_htb,AR355)),2))</f>
        <v/>
      </c>
      <c r="R355" s="65" t="str">
        <f>IF(A355="","",IF(AA355="Avoir",-1,1)*ROUND(AQ355-IF(AR355="",0,INDEX(fa_tvab,AR355)),2))</f>
        <v/>
      </c>
      <c r="S355" s="65" t="str">
        <f>IF(A355="","",Q355+R355)</f>
        <v/>
      </c>
      <c r="T355" s="65" t="str">
        <f>IF(AR355="","",INDEX(fa_htb,AR355)+INDEX(fa_tvab,AR355))</f>
        <v/>
      </c>
      <c r="U355" s="65" t="str">
        <f>IF(A355="","",SUMIF(pa_inv,A355,pa_amt))</f>
        <v/>
      </c>
      <c r="V355" s="65" t="str">
        <f>IF(OR(A355="",AA355="Avoir"),"",-SUMIFS(fa_ttc,fa_avof,A355,fa_type,"Avoir"))</f>
        <v/>
      </c>
      <c r="W355" s="65" t="str">
        <f>IF(OR(A355="",AA355="Avoir"),"",ROUND(S355-U355-V355,2))</f>
        <v/>
      </c>
      <c r="X355" s="66" t="str">
        <f>IF(W355="","",IF(AND(W355&gt;0,p_asof&gt;P355),p_asof-P355,""))</f>
        <v/>
      </c>
      <c r="Y355" s="59" t="str">
        <f>IF(A355="","",IF(AA355="Avoir","Avoir",IF(W355&lt;0,"Trop-perçu",IF(W355=0,"Soldée",IF(p_asof&gt;P355,"En retard",IF(U355+V355&gt;0,"Partielle","À échoir"))))))</f>
        <v/>
      </c>
      <c r="Z355" s="59" t="str">
        <f>IF(NOT(COUNTA(B355:D355,F355:O355)&gt;0),"",IF(C355="","Date manquante",IF(NOT(ISNUMBER(C355)),"Date invalide",IF(D355="","Client manquant",IF(ISNA(MATCH(D355,cli_code,0)),"Client inconnu",IF(AC355&lt;SUMPRODUCT(MAX(($AB$6:AB354=AB355)*$AC$6:AC354)),"Date antérieure à la facture précédente",IF(AND(F355&lt;&gt;"",ISNA(MATCH(F355,dv_num,0))),"Devis inconnu",IF(AND(F355&lt;&gt;"",IFERROR(INDEX(dv_client,MATCH(F355,dv_num,0)),D355)&lt;&gt;D355),"Client différent de celui du devis",IF(AG355="","Aucune ligne : saisissez des lignes ou un devis",IF(AND(AI355&lt;&gt;"",COUNTIF($AI$6:AI355,AI355)&gt;1),"Devis déjà repris par une autre facture",IF(AND(AA355="Avoir",M355=""),"Avoir : indiquez la facture d'origine",IF(AND(AA355="Avoir",ISNA(MATCH(M355,fa_num,0))),"Facture d'origine inconnue",IF(AND(AA355&lt;&gt;"Avoir",M355&lt;&gt;""),"« Avoir sur facture » : réservé aux avoirs",IF(AND(L355&lt;&gt;"",AA355&lt;&gt;"Facture"),"Acompte à déduire : réservé aux factures",IF(AND(L355&lt;&gt;"",ISNA(MATCH(L355,fa_num,0))),"Facture d'acompte inconnue",IF(AND(L355&lt;&gt;"",IFERROR(INDEX(fa_type,MATCH(L355,fa_num,0)),"")&lt;&gt;"Facture d'acompte"),"Le n° à déduire n'est pas une facture d'acompte",IF(AND(L355&lt;&gt;"",COUNTIF($L$6:L355,L355)&gt;1),"Acompte déjà déduit sur une autre facture",IF(AND(L355&lt;&gt;"",IFERROR(INDEX(fa_client,MATCH(L355,fa_num,0)),D355)&lt;&gt;D355),"Acompte d'un autre client",IF(AND(AR355&lt;&gt;"",N(Q355)&lt;0),"Acompte supérieur au total de la facture",IF(IF(AG355="Facture",COUNTIFS(fl_doc,A355,fl_check,"&lt;&gt;OK"),IF(AG355="Devis",COUNTIFS(dl_doc,F355,dl_check,"&lt;&gt;OK"),0))&gt;0,"Ligne(s) à corriger",IF(AND(W355&lt;&gt;"",N(W355)&lt;0),"Trop-perçu : vérifiez paiements et avoirs","OK")))))))))))))))))))))</f>
        <v/>
      </c>
      <c r="AA355" s="62" t="str">
        <f>IF(COUNTA(B355:D355,F355:O355)&gt;0,IF(B355="","Facture",B355),"")</f>
        <v/>
      </c>
      <c r="AB355" s="62" t="str">
        <f>IF(AA355="","",IF(AA355="Avoir",p_pav,IF(AA355="Facture d'acompte",p_pac,p_pfa)))</f>
        <v/>
      </c>
      <c r="AC355" s="62">
        <f>IF(ISNUMBER(C355),C355,0)</f>
        <v>0.0</v>
      </c>
      <c r="AD355" s="62" t="str">
        <f>IF(OR(AA355="",AC355=0),"",YEAR(AC355))</f>
        <v/>
      </c>
      <c r="AE355" s="62" t="str">
        <f>IF(AD355="","",COUNTIFS($AB$6:AB355,AB355,$AD$6:AD355,AD355))</f>
        <v/>
      </c>
      <c r="AF355" s="62">
        <f>IF(A355="",0,COUNTIF(fl_doc,A355))</f>
        <v>0.0</v>
      </c>
      <c r="AG355" s="62" t="str">
        <f>IF(A355="","",IF(AF355&gt;0,"Facture",IF(AND(F355&lt;&gt;"",AA355="Facture",ISNUMBER(MATCH(F355,dv_num,0))),"Devis","")))</f>
        <v/>
      </c>
      <c r="AH355" s="62" t="str">
        <f>IF(AND(A355&lt;&gt;"",F355&lt;&gt;"",AA355&lt;&gt;"Avoir"),F355,"")</f>
        <v/>
      </c>
      <c r="AI355" s="62" t="str">
        <f>IF(AG355="Devis",F355,"")</f>
        <v/>
      </c>
      <c r="AJ355" s="62">
        <f>IF(AG355="Facture",SUMIF(fl_doc,A355,fl_ht),IF(AG355="Devis",SUMIF(dl_doc,F355,dl_ht),0))</f>
        <v>0.0</v>
      </c>
      <c r="AK355" s="62">
        <f>IF(OR(AG355="",INDEX(p_rates,1)=""),0,IF(AG355="Facture",SUMIFS(fl_ht,fl_doc,A355,fl_rate,INDEX(p_rates,1)),SUMIFS(dl_ht,dl_doc,F355,dl_rate,INDEX(p_rates,1))))</f>
        <v>0.0</v>
      </c>
      <c r="AL355" s="62">
        <f>IF(OR(AG355="",INDEX(p_rates,2)=""),0,IF(AG355="Facture",SUMIFS(fl_ht,fl_doc,A355,fl_rate,INDEX(p_rates,2)),SUMIFS(dl_ht,dl_doc,F355,dl_rate,INDEX(p_rates,2))))</f>
        <v>0.0</v>
      </c>
      <c r="AM355" s="62">
        <f>IF(OR(AG355="",INDEX(p_rates,3)=""),0,IF(AG355="Facture",SUMIFS(fl_ht,fl_doc,A355,fl_rate,INDEX(p_rates,3)),SUMIFS(dl_ht,dl_doc,F355,dl_rate,INDEX(p_rates,3))))</f>
        <v>0.0</v>
      </c>
      <c r="AN355" s="62">
        <f>IF(OR(AG355="",INDEX(p_rates,4)=""),0,IF(AG355="Facture",SUMIFS(fl_ht,fl_doc,A355,fl_rate,INDEX(p_rates,4)),SUMIFS(dl_ht,dl_doc,F355,dl_rate,INDEX(p_rates,4))))</f>
        <v>0.0</v>
      </c>
      <c r="AO355" s="62">
        <f>IF(OR(AG355="",INDEX(p_rates,5)=""),0,IF(AG355="Facture",SUMIFS(fl_ht,fl_doc,A355,fl_rate,INDEX(p_rates,5)),SUMIFS(dl_ht,dl_doc,F355,dl_rate,INDEX(p_rates,5))))</f>
        <v>0.0</v>
      </c>
      <c r="AP355" s="62">
        <f>IF(OR(AG355="",INDEX(p_rates,6)=""),0,IF(AG355="Facture",SUMIFS(fl_ht,fl_doc,A355,fl_rate,INDEX(p_rates,6)),SUMIFS(dl_ht,dl_doc,F355,dl_rate,INDEX(p_rates,6))))</f>
        <v>0.0</v>
      </c>
      <c r="AQ355" s="62">
        <f>ROUND(AK355*N(INDEX(p_rates,1)),2)+ROUND(AL355*N(INDEX(p_rates,2)),2)+ROUND(AM355*N(INDEX(p_rates,3)),2)+ROUND(AN355*N(INDEX(p_rates,4)),2)+ROUND(AO355*N(INDEX(p_rates,5)),2)+ROUND(AP355*N(INDEX(p_rates,6)),2)</f>
        <v>0.0</v>
      </c>
      <c r="AR355" s="62" t="str">
        <f>IF(OR(L355="",AA355&lt;&gt;"Facture"),"",IFERROR(IF(INDEX(fa_type,MATCH(L355,fa_num,0))="Facture d'acompte",MATCH(L355,fa_num,0),""),""))</f>
        <v/>
      </c>
      <c r="AS355" s="62" t="str">
        <f>IF(W355="","",IF(W355&lt;=0,"",IF(p_asof-P355&lt;=0,"Non échu",IF(p_asof-P355&lt;=30,"1-30 j",IF(p_asof-P355&lt;=60,"31-60 j",IF(p_asof-P355&lt;=90,"61-90 j","Plus de 90 j"))))))</f>
        <v/>
      </c>
      <c r="AT355" s="62" t="str">
        <f>IF(AS355="","",p_asof-P355)</f>
        <v/>
      </c>
      <c r="AU355" s="62" t="str">
        <f>IF(AT355="","",COUNTIF($AT$6:$AT$805,"&gt;"&amp;AT355)+COUNTIF($AT$6:AT355,AT355))</f>
        <v/>
      </c>
    </row>
    <row r="356">
      <c r="A356" s="59" t="str">
        <f>IF(AE356="","",AB356&amp;"-"&amp;AD356&amp;"-"&amp;RIGHT("000"&amp;AE356,4))</f>
        <v/>
      </c>
      <c r="B356" s="60" t="n"/>
      <c r="C356" s="61" t="n"/>
      <c r="D356" s="60" t="n"/>
      <c r="E356" s="62" t="str">
        <f>IF(D356="","",IFERROR(INDEX(cli_name,MATCH(D356,cli_code,0))&amp;"","Client inconnu"))</f>
        <v/>
      </c>
      <c r="F356" s="60" t="n"/>
      <c r="G356" s="63" t="n"/>
      <c r="H356" s="61" t="n"/>
      <c r="I356" s="63" t="n"/>
      <c r="J356" s="60" t="n"/>
      <c r="K356" s="61" t="n"/>
      <c r="L356" s="60" t="n"/>
      <c r="M356" s="60" t="n"/>
      <c r="N356" s="60" t="n"/>
      <c r="O356" s="61" t="n"/>
      <c r="P356" s="64" t="str">
        <f>IF(A356="","",IF(AA356="Avoir",AC356,IF(ISNUMBER(K356),K356,AC356+IF(D356="",N(p_delay),IFERROR(IF(ISNUMBER(INDEX(cli_delay,MATCH(D356,cli_code,0))),INDEX(cli_delay,MATCH(D356,cli_code,0)),N(p_delay)),N(p_delay))))))</f>
        <v/>
      </c>
      <c r="Q356" s="65" t="str">
        <f>IF(A356="","",IF(AA356="Avoir",-1,1)*ROUND(AJ356-IF(AR356="",0,INDEX(fa_htb,AR356)),2))</f>
        <v/>
      </c>
      <c r="R356" s="65" t="str">
        <f>IF(A356="","",IF(AA356="Avoir",-1,1)*ROUND(AQ356-IF(AR356="",0,INDEX(fa_tvab,AR356)),2))</f>
        <v/>
      </c>
      <c r="S356" s="65" t="str">
        <f>IF(A356="","",Q356+R356)</f>
        <v/>
      </c>
      <c r="T356" s="65" t="str">
        <f>IF(AR356="","",INDEX(fa_htb,AR356)+INDEX(fa_tvab,AR356))</f>
        <v/>
      </c>
      <c r="U356" s="65" t="str">
        <f>IF(A356="","",SUMIF(pa_inv,A356,pa_amt))</f>
        <v/>
      </c>
      <c r="V356" s="65" t="str">
        <f>IF(OR(A356="",AA356="Avoir"),"",-SUMIFS(fa_ttc,fa_avof,A356,fa_type,"Avoir"))</f>
        <v/>
      </c>
      <c r="W356" s="65" t="str">
        <f>IF(OR(A356="",AA356="Avoir"),"",ROUND(S356-U356-V356,2))</f>
        <v/>
      </c>
      <c r="X356" s="66" t="str">
        <f>IF(W356="","",IF(AND(W356&gt;0,p_asof&gt;P356),p_asof-P356,""))</f>
        <v/>
      </c>
      <c r="Y356" s="59" t="str">
        <f>IF(A356="","",IF(AA356="Avoir","Avoir",IF(W356&lt;0,"Trop-perçu",IF(W356=0,"Soldée",IF(p_asof&gt;P356,"En retard",IF(U356+V356&gt;0,"Partielle","À échoir"))))))</f>
        <v/>
      </c>
      <c r="Z356" s="59" t="str">
        <f>IF(NOT(COUNTA(B356:D356,F356:O356)&gt;0),"",IF(C356="","Date manquante",IF(NOT(ISNUMBER(C356)),"Date invalide",IF(D356="","Client manquant",IF(ISNA(MATCH(D356,cli_code,0)),"Client inconnu",IF(AC356&lt;SUMPRODUCT(MAX(($AB$6:AB355=AB356)*$AC$6:AC355)),"Date antérieure à la facture précédente",IF(AND(F356&lt;&gt;"",ISNA(MATCH(F356,dv_num,0))),"Devis inconnu",IF(AND(F356&lt;&gt;"",IFERROR(INDEX(dv_client,MATCH(F356,dv_num,0)),D356)&lt;&gt;D356),"Client différent de celui du devis",IF(AG356="","Aucune ligne : saisissez des lignes ou un devis",IF(AND(AI356&lt;&gt;"",COUNTIF($AI$6:AI356,AI356)&gt;1),"Devis déjà repris par une autre facture",IF(AND(AA356="Avoir",M356=""),"Avoir : indiquez la facture d'origine",IF(AND(AA356="Avoir",ISNA(MATCH(M356,fa_num,0))),"Facture d'origine inconnue",IF(AND(AA356&lt;&gt;"Avoir",M356&lt;&gt;""),"« Avoir sur facture » : réservé aux avoirs",IF(AND(L356&lt;&gt;"",AA356&lt;&gt;"Facture"),"Acompte à déduire : réservé aux factures",IF(AND(L356&lt;&gt;"",ISNA(MATCH(L356,fa_num,0))),"Facture d'acompte inconnue",IF(AND(L356&lt;&gt;"",IFERROR(INDEX(fa_type,MATCH(L356,fa_num,0)),"")&lt;&gt;"Facture d'acompte"),"Le n° à déduire n'est pas une facture d'acompte",IF(AND(L356&lt;&gt;"",COUNTIF($L$6:L356,L356)&gt;1),"Acompte déjà déduit sur une autre facture",IF(AND(L356&lt;&gt;"",IFERROR(INDEX(fa_client,MATCH(L356,fa_num,0)),D356)&lt;&gt;D356),"Acompte d'un autre client",IF(AND(AR356&lt;&gt;"",N(Q356)&lt;0),"Acompte supérieur au total de la facture",IF(IF(AG356="Facture",COUNTIFS(fl_doc,A356,fl_check,"&lt;&gt;OK"),IF(AG356="Devis",COUNTIFS(dl_doc,F356,dl_check,"&lt;&gt;OK"),0))&gt;0,"Ligne(s) à corriger",IF(AND(W356&lt;&gt;"",N(W356)&lt;0),"Trop-perçu : vérifiez paiements et avoirs","OK")))))))))))))))))))))</f>
        <v/>
      </c>
      <c r="AA356" s="62" t="str">
        <f>IF(COUNTA(B356:D356,F356:O356)&gt;0,IF(B356="","Facture",B356),"")</f>
        <v/>
      </c>
      <c r="AB356" s="62" t="str">
        <f>IF(AA356="","",IF(AA356="Avoir",p_pav,IF(AA356="Facture d'acompte",p_pac,p_pfa)))</f>
        <v/>
      </c>
      <c r="AC356" s="62">
        <f>IF(ISNUMBER(C356),C356,0)</f>
        <v>0.0</v>
      </c>
      <c r="AD356" s="62" t="str">
        <f>IF(OR(AA356="",AC356=0),"",YEAR(AC356))</f>
        <v/>
      </c>
      <c r="AE356" s="62" t="str">
        <f>IF(AD356="","",COUNTIFS($AB$6:AB356,AB356,$AD$6:AD356,AD356))</f>
        <v/>
      </c>
      <c r="AF356" s="62">
        <f>IF(A356="",0,COUNTIF(fl_doc,A356))</f>
        <v>0.0</v>
      </c>
      <c r="AG356" s="62" t="str">
        <f>IF(A356="","",IF(AF356&gt;0,"Facture",IF(AND(F356&lt;&gt;"",AA356="Facture",ISNUMBER(MATCH(F356,dv_num,0))),"Devis","")))</f>
        <v/>
      </c>
      <c r="AH356" s="62" t="str">
        <f>IF(AND(A356&lt;&gt;"",F356&lt;&gt;"",AA356&lt;&gt;"Avoir"),F356,"")</f>
        <v/>
      </c>
      <c r="AI356" s="62" t="str">
        <f>IF(AG356="Devis",F356,"")</f>
        <v/>
      </c>
      <c r="AJ356" s="62">
        <f>IF(AG356="Facture",SUMIF(fl_doc,A356,fl_ht),IF(AG356="Devis",SUMIF(dl_doc,F356,dl_ht),0))</f>
        <v>0.0</v>
      </c>
      <c r="AK356" s="62">
        <f>IF(OR(AG356="",INDEX(p_rates,1)=""),0,IF(AG356="Facture",SUMIFS(fl_ht,fl_doc,A356,fl_rate,INDEX(p_rates,1)),SUMIFS(dl_ht,dl_doc,F356,dl_rate,INDEX(p_rates,1))))</f>
        <v>0.0</v>
      </c>
      <c r="AL356" s="62">
        <f>IF(OR(AG356="",INDEX(p_rates,2)=""),0,IF(AG356="Facture",SUMIFS(fl_ht,fl_doc,A356,fl_rate,INDEX(p_rates,2)),SUMIFS(dl_ht,dl_doc,F356,dl_rate,INDEX(p_rates,2))))</f>
        <v>0.0</v>
      </c>
      <c r="AM356" s="62">
        <f>IF(OR(AG356="",INDEX(p_rates,3)=""),0,IF(AG356="Facture",SUMIFS(fl_ht,fl_doc,A356,fl_rate,INDEX(p_rates,3)),SUMIFS(dl_ht,dl_doc,F356,dl_rate,INDEX(p_rates,3))))</f>
        <v>0.0</v>
      </c>
      <c r="AN356" s="62">
        <f>IF(OR(AG356="",INDEX(p_rates,4)=""),0,IF(AG356="Facture",SUMIFS(fl_ht,fl_doc,A356,fl_rate,INDEX(p_rates,4)),SUMIFS(dl_ht,dl_doc,F356,dl_rate,INDEX(p_rates,4))))</f>
        <v>0.0</v>
      </c>
      <c r="AO356" s="62">
        <f>IF(OR(AG356="",INDEX(p_rates,5)=""),0,IF(AG356="Facture",SUMIFS(fl_ht,fl_doc,A356,fl_rate,INDEX(p_rates,5)),SUMIFS(dl_ht,dl_doc,F356,dl_rate,INDEX(p_rates,5))))</f>
        <v>0.0</v>
      </c>
      <c r="AP356" s="62">
        <f>IF(OR(AG356="",INDEX(p_rates,6)=""),0,IF(AG356="Facture",SUMIFS(fl_ht,fl_doc,A356,fl_rate,INDEX(p_rates,6)),SUMIFS(dl_ht,dl_doc,F356,dl_rate,INDEX(p_rates,6))))</f>
        <v>0.0</v>
      </c>
      <c r="AQ356" s="62">
        <f>ROUND(AK356*N(INDEX(p_rates,1)),2)+ROUND(AL356*N(INDEX(p_rates,2)),2)+ROUND(AM356*N(INDEX(p_rates,3)),2)+ROUND(AN356*N(INDEX(p_rates,4)),2)+ROUND(AO356*N(INDEX(p_rates,5)),2)+ROUND(AP356*N(INDEX(p_rates,6)),2)</f>
        <v>0.0</v>
      </c>
      <c r="AR356" s="62" t="str">
        <f>IF(OR(L356="",AA356&lt;&gt;"Facture"),"",IFERROR(IF(INDEX(fa_type,MATCH(L356,fa_num,0))="Facture d'acompte",MATCH(L356,fa_num,0),""),""))</f>
        <v/>
      </c>
      <c r="AS356" s="62" t="str">
        <f>IF(W356="","",IF(W356&lt;=0,"",IF(p_asof-P356&lt;=0,"Non échu",IF(p_asof-P356&lt;=30,"1-30 j",IF(p_asof-P356&lt;=60,"31-60 j",IF(p_asof-P356&lt;=90,"61-90 j","Plus de 90 j"))))))</f>
        <v/>
      </c>
      <c r="AT356" s="62" t="str">
        <f>IF(AS356="","",p_asof-P356)</f>
        <v/>
      </c>
      <c r="AU356" s="62" t="str">
        <f>IF(AT356="","",COUNTIF($AT$6:$AT$805,"&gt;"&amp;AT356)+COUNTIF($AT$6:AT356,AT356))</f>
        <v/>
      </c>
    </row>
    <row r="357">
      <c r="A357" s="59" t="str">
        <f>IF(AE357="","",AB357&amp;"-"&amp;AD357&amp;"-"&amp;RIGHT("000"&amp;AE357,4))</f>
        <v/>
      </c>
      <c r="B357" s="60" t="n"/>
      <c r="C357" s="61" t="n"/>
      <c r="D357" s="60" t="n"/>
      <c r="E357" s="62" t="str">
        <f>IF(D357="","",IFERROR(INDEX(cli_name,MATCH(D357,cli_code,0))&amp;"","Client inconnu"))</f>
        <v/>
      </c>
      <c r="F357" s="60" t="n"/>
      <c r="G357" s="63" t="n"/>
      <c r="H357" s="61" t="n"/>
      <c r="I357" s="63" t="n"/>
      <c r="J357" s="60" t="n"/>
      <c r="K357" s="61" t="n"/>
      <c r="L357" s="60" t="n"/>
      <c r="M357" s="60" t="n"/>
      <c r="N357" s="60" t="n"/>
      <c r="O357" s="61" t="n"/>
      <c r="P357" s="64" t="str">
        <f>IF(A357="","",IF(AA357="Avoir",AC357,IF(ISNUMBER(K357),K357,AC357+IF(D357="",N(p_delay),IFERROR(IF(ISNUMBER(INDEX(cli_delay,MATCH(D357,cli_code,0))),INDEX(cli_delay,MATCH(D357,cli_code,0)),N(p_delay)),N(p_delay))))))</f>
        <v/>
      </c>
      <c r="Q357" s="65" t="str">
        <f>IF(A357="","",IF(AA357="Avoir",-1,1)*ROUND(AJ357-IF(AR357="",0,INDEX(fa_htb,AR357)),2))</f>
        <v/>
      </c>
      <c r="R357" s="65" t="str">
        <f>IF(A357="","",IF(AA357="Avoir",-1,1)*ROUND(AQ357-IF(AR357="",0,INDEX(fa_tvab,AR357)),2))</f>
        <v/>
      </c>
      <c r="S357" s="65" t="str">
        <f>IF(A357="","",Q357+R357)</f>
        <v/>
      </c>
      <c r="T357" s="65" t="str">
        <f>IF(AR357="","",INDEX(fa_htb,AR357)+INDEX(fa_tvab,AR357))</f>
        <v/>
      </c>
      <c r="U357" s="65" t="str">
        <f>IF(A357="","",SUMIF(pa_inv,A357,pa_amt))</f>
        <v/>
      </c>
      <c r="V357" s="65" t="str">
        <f>IF(OR(A357="",AA357="Avoir"),"",-SUMIFS(fa_ttc,fa_avof,A357,fa_type,"Avoir"))</f>
        <v/>
      </c>
      <c r="W357" s="65" t="str">
        <f>IF(OR(A357="",AA357="Avoir"),"",ROUND(S357-U357-V357,2))</f>
        <v/>
      </c>
      <c r="X357" s="66" t="str">
        <f>IF(W357="","",IF(AND(W357&gt;0,p_asof&gt;P357),p_asof-P357,""))</f>
        <v/>
      </c>
      <c r="Y357" s="59" t="str">
        <f>IF(A357="","",IF(AA357="Avoir","Avoir",IF(W357&lt;0,"Trop-perçu",IF(W357=0,"Soldée",IF(p_asof&gt;P357,"En retard",IF(U357+V357&gt;0,"Partielle","À échoir"))))))</f>
        <v/>
      </c>
      <c r="Z357" s="59" t="str">
        <f>IF(NOT(COUNTA(B357:D357,F357:O357)&gt;0),"",IF(C357="","Date manquante",IF(NOT(ISNUMBER(C357)),"Date invalide",IF(D357="","Client manquant",IF(ISNA(MATCH(D357,cli_code,0)),"Client inconnu",IF(AC357&lt;SUMPRODUCT(MAX(($AB$6:AB356=AB357)*$AC$6:AC356)),"Date antérieure à la facture précédente",IF(AND(F357&lt;&gt;"",ISNA(MATCH(F357,dv_num,0))),"Devis inconnu",IF(AND(F357&lt;&gt;"",IFERROR(INDEX(dv_client,MATCH(F357,dv_num,0)),D357)&lt;&gt;D357),"Client différent de celui du devis",IF(AG357="","Aucune ligne : saisissez des lignes ou un devis",IF(AND(AI357&lt;&gt;"",COUNTIF($AI$6:AI357,AI357)&gt;1),"Devis déjà repris par une autre facture",IF(AND(AA357="Avoir",M357=""),"Avoir : indiquez la facture d'origine",IF(AND(AA357="Avoir",ISNA(MATCH(M357,fa_num,0))),"Facture d'origine inconnue",IF(AND(AA357&lt;&gt;"Avoir",M357&lt;&gt;""),"« Avoir sur facture » : réservé aux avoirs",IF(AND(L357&lt;&gt;"",AA357&lt;&gt;"Facture"),"Acompte à déduire : réservé aux factures",IF(AND(L357&lt;&gt;"",ISNA(MATCH(L357,fa_num,0))),"Facture d'acompte inconnue",IF(AND(L357&lt;&gt;"",IFERROR(INDEX(fa_type,MATCH(L357,fa_num,0)),"")&lt;&gt;"Facture d'acompte"),"Le n° à déduire n'est pas une facture d'acompte",IF(AND(L357&lt;&gt;"",COUNTIF($L$6:L357,L357)&gt;1),"Acompte déjà déduit sur une autre facture",IF(AND(L357&lt;&gt;"",IFERROR(INDEX(fa_client,MATCH(L357,fa_num,0)),D357)&lt;&gt;D357),"Acompte d'un autre client",IF(AND(AR357&lt;&gt;"",N(Q357)&lt;0),"Acompte supérieur au total de la facture",IF(IF(AG357="Facture",COUNTIFS(fl_doc,A357,fl_check,"&lt;&gt;OK"),IF(AG357="Devis",COUNTIFS(dl_doc,F357,dl_check,"&lt;&gt;OK"),0))&gt;0,"Ligne(s) à corriger",IF(AND(W357&lt;&gt;"",N(W357)&lt;0),"Trop-perçu : vérifiez paiements et avoirs","OK")))))))))))))))))))))</f>
        <v/>
      </c>
      <c r="AA357" s="62" t="str">
        <f>IF(COUNTA(B357:D357,F357:O357)&gt;0,IF(B357="","Facture",B357),"")</f>
        <v/>
      </c>
      <c r="AB357" s="62" t="str">
        <f>IF(AA357="","",IF(AA357="Avoir",p_pav,IF(AA357="Facture d'acompte",p_pac,p_pfa)))</f>
        <v/>
      </c>
      <c r="AC357" s="62">
        <f>IF(ISNUMBER(C357),C357,0)</f>
        <v>0.0</v>
      </c>
      <c r="AD357" s="62" t="str">
        <f>IF(OR(AA357="",AC357=0),"",YEAR(AC357))</f>
        <v/>
      </c>
      <c r="AE357" s="62" t="str">
        <f>IF(AD357="","",COUNTIFS($AB$6:AB357,AB357,$AD$6:AD357,AD357))</f>
        <v/>
      </c>
      <c r="AF357" s="62">
        <f>IF(A357="",0,COUNTIF(fl_doc,A357))</f>
        <v>0.0</v>
      </c>
      <c r="AG357" s="62" t="str">
        <f>IF(A357="","",IF(AF357&gt;0,"Facture",IF(AND(F357&lt;&gt;"",AA357="Facture",ISNUMBER(MATCH(F357,dv_num,0))),"Devis","")))</f>
        <v/>
      </c>
      <c r="AH357" s="62" t="str">
        <f>IF(AND(A357&lt;&gt;"",F357&lt;&gt;"",AA357&lt;&gt;"Avoir"),F357,"")</f>
        <v/>
      </c>
      <c r="AI357" s="62" t="str">
        <f>IF(AG357="Devis",F357,"")</f>
        <v/>
      </c>
      <c r="AJ357" s="62">
        <f>IF(AG357="Facture",SUMIF(fl_doc,A357,fl_ht),IF(AG357="Devis",SUMIF(dl_doc,F357,dl_ht),0))</f>
        <v>0.0</v>
      </c>
      <c r="AK357" s="62">
        <f>IF(OR(AG357="",INDEX(p_rates,1)=""),0,IF(AG357="Facture",SUMIFS(fl_ht,fl_doc,A357,fl_rate,INDEX(p_rates,1)),SUMIFS(dl_ht,dl_doc,F357,dl_rate,INDEX(p_rates,1))))</f>
        <v>0.0</v>
      </c>
      <c r="AL357" s="62">
        <f>IF(OR(AG357="",INDEX(p_rates,2)=""),0,IF(AG357="Facture",SUMIFS(fl_ht,fl_doc,A357,fl_rate,INDEX(p_rates,2)),SUMIFS(dl_ht,dl_doc,F357,dl_rate,INDEX(p_rates,2))))</f>
        <v>0.0</v>
      </c>
      <c r="AM357" s="62">
        <f>IF(OR(AG357="",INDEX(p_rates,3)=""),0,IF(AG357="Facture",SUMIFS(fl_ht,fl_doc,A357,fl_rate,INDEX(p_rates,3)),SUMIFS(dl_ht,dl_doc,F357,dl_rate,INDEX(p_rates,3))))</f>
        <v>0.0</v>
      </c>
      <c r="AN357" s="62">
        <f>IF(OR(AG357="",INDEX(p_rates,4)=""),0,IF(AG357="Facture",SUMIFS(fl_ht,fl_doc,A357,fl_rate,INDEX(p_rates,4)),SUMIFS(dl_ht,dl_doc,F357,dl_rate,INDEX(p_rates,4))))</f>
        <v>0.0</v>
      </c>
      <c r="AO357" s="62">
        <f>IF(OR(AG357="",INDEX(p_rates,5)=""),0,IF(AG357="Facture",SUMIFS(fl_ht,fl_doc,A357,fl_rate,INDEX(p_rates,5)),SUMIFS(dl_ht,dl_doc,F357,dl_rate,INDEX(p_rates,5))))</f>
        <v>0.0</v>
      </c>
      <c r="AP357" s="62">
        <f>IF(OR(AG357="",INDEX(p_rates,6)=""),0,IF(AG357="Facture",SUMIFS(fl_ht,fl_doc,A357,fl_rate,INDEX(p_rates,6)),SUMIFS(dl_ht,dl_doc,F357,dl_rate,INDEX(p_rates,6))))</f>
        <v>0.0</v>
      </c>
      <c r="AQ357" s="62">
        <f>ROUND(AK357*N(INDEX(p_rates,1)),2)+ROUND(AL357*N(INDEX(p_rates,2)),2)+ROUND(AM357*N(INDEX(p_rates,3)),2)+ROUND(AN357*N(INDEX(p_rates,4)),2)+ROUND(AO357*N(INDEX(p_rates,5)),2)+ROUND(AP357*N(INDEX(p_rates,6)),2)</f>
        <v>0.0</v>
      </c>
      <c r="AR357" s="62" t="str">
        <f>IF(OR(L357="",AA357&lt;&gt;"Facture"),"",IFERROR(IF(INDEX(fa_type,MATCH(L357,fa_num,0))="Facture d'acompte",MATCH(L357,fa_num,0),""),""))</f>
        <v/>
      </c>
      <c r="AS357" s="62" t="str">
        <f>IF(W357="","",IF(W357&lt;=0,"",IF(p_asof-P357&lt;=0,"Non échu",IF(p_asof-P357&lt;=30,"1-30 j",IF(p_asof-P357&lt;=60,"31-60 j",IF(p_asof-P357&lt;=90,"61-90 j","Plus de 90 j"))))))</f>
        <v/>
      </c>
      <c r="AT357" s="62" t="str">
        <f>IF(AS357="","",p_asof-P357)</f>
        <v/>
      </c>
      <c r="AU357" s="62" t="str">
        <f>IF(AT357="","",COUNTIF($AT$6:$AT$805,"&gt;"&amp;AT357)+COUNTIF($AT$6:AT357,AT357))</f>
        <v/>
      </c>
    </row>
    <row r="358">
      <c r="A358" s="59" t="str">
        <f>IF(AE358="","",AB358&amp;"-"&amp;AD358&amp;"-"&amp;RIGHT("000"&amp;AE358,4))</f>
        <v/>
      </c>
      <c r="B358" s="60" t="n"/>
      <c r="C358" s="61" t="n"/>
      <c r="D358" s="60" t="n"/>
      <c r="E358" s="62" t="str">
        <f>IF(D358="","",IFERROR(INDEX(cli_name,MATCH(D358,cli_code,0))&amp;"","Client inconnu"))</f>
        <v/>
      </c>
      <c r="F358" s="60" t="n"/>
      <c r="G358" s="63" t="n"/>
      <c r="H358" s="61" t="n"/>
      <c r="I358" s="63" t="n"/>
      <c r="J358" s="60" t="n"/>
      <c r="K358" s="61" t="n"/>
      <c r="L358" s="60" t="n"/>
      <c r="M358" s="60" t="n"/>
      <c r="N358" s="60" t="n"/>
      <c r="O358" s="61" t="n"/>
      <c r="P358" s="64" t="str">
        <f>IF(A358="","",IF(AA358="Avoir",AC358,IF(ISNUMBER(K358),K358,AC358+IF(D358="",N(p_delay),IFERROR(IF(ISNUMBER(INDEX(cli_delay,MATCH(D358,cli_code,0))),INDEX(cli_delay,MATCH(D358,cli_code,0)),N(p_delay)),N(p_delay))))))</f>
        <v/>
      </c>
      <c r="Q358" s="65" t="str">
        <f>IF(A358="","",IF(AA358="Avoir",-1,1)*ROUND(AJ358-IF(AR358="",0,INDEX(fa_htb,AR358)),2))</f>
        <v/>
      </c>
      <c r="R358" s="65" t="str">
        <f>IF(A358="","",IF(AA358="Avoir",-1,1)*ROUND(AQ358-IF(AR358="",0,INDEX(fa_tvab,AR358)),2))</f>
        <v/>
      </c>
      <c r="S358" s="65" t="str">
        <f>IF(A358="","",Q358+R358)</f>
        <v/>
      </c>
      <c r="T358" s="65" t="str">
        <f>IF(AR358="","",INDEX(fa_htb,AR358)+INDEX(fa_tvab,AR358))</f>
        <v/>
      </c>
      <c r="U358" s="65" t="str">
        <f>IF(A358="","",SUMIF(pa_inv,A358,pa_amt))</f>
        <v/>
      </c>
      <c r="V358" s="65" t="str">
        <f>IF(OR(A358="",AA358="Avoir"),"",-SUMIFS(fa_ttc,fa_avof,A358,fa_type,"Avoir"))</f>
        <v/>
      </c>
      <c r="W358" s="65" t="str">
        <f>IF(OR(A358="",AA358="Avoir"),"",ROUND(S358-U358-V358,2))</f>
        <v/>
      </c>
      <c r="X358" s="66" t="str">
        <f>IF(W358="","",IF(AND(W358&gt;0,p_asof&gt;P358),p_asof-P358,""))</f>
        <v/>
      </c>
      <c r="Y358" s="59" t="str">
        <f>IF(A358="","",IF(AA358="Avoir","Avoir",IF(W358&lt;0,"Trop-perçu",IF(W358=0,"Soldée",IF(p_asof&gt;P358,"En retard",IF(U358+V358&gt;0,"Partielle","À échoir"))))))</f>
        <v/>
      </c>
      <c r="Z358" s="59" t="str">
        <f>IF(NOT(COUNTA(B358:D358,F358:O358)&gt;0),"",IF(C358="","Date manquante",IF(NOT(ISNUMBER(C358)),"Date invalide",IF(D358="","Client manquant",IF(ISNA(MATCH(D358,cli_code,0)),"Client inconnu",IF(AC358&lt;SUMPRODUCT(MAX(($AB$6:AB357=AB358)*$AC$6:AC357)),"Date antérieure à la facture précédente",IF(AND(F358&lt;&gt;"",ISNA(MATCH(F358,dv_num,0))),"Devis inconnu",IF(AND(F358&lt;&gt;"",IFERROR(INDEX(dv_client,MATCH(F358,dv_num,0)),D358)&lt;&gt;D358),"Client différent de celui du devis",IF(AG358="","Aucune ligne : saisissez des lignes ou un devis",IF(AND(AI358&lt;&gt;"",COUNTIF($AI$6:AI358,AI358)&gt;1),"Devis déjà repris par une autre facture",IF(AND(AA358="Avoir",M358=""),"Avoir : indiquez la facture d'origine",IF(AND(AA358="Avoir",ISNA(MATCH(M358,fa_num,0))),"Facture d'origine inconnue",IF(AND(AA358&lt;&gt;"Avoir",M358&lt;&gt;""),"« Avoir sur facture » : réservé aux avoirs",IF(AND(L358&lt;&gt;"",AA358&lt;&gt;"Facture"),"Acompte à déduire : réservé aux factures",IF(AND(L358&lt;&gt;"",ISNA(MATCH(L358,fa_num,0))),"Facture d'acompte inconnue",IF(AND(L358&lt;&gt;"",IFERROR(INDEX(fa_type,MATCH(L358,fa_num,0)),"")&lt;&gt;"Facture d'acompte"),"Le n° à déduire n'est pas une facture d'acompte",IF(AND(L358&lt;&gt;"",COUNTIF($L$6:L358,L358)&gt;1),"Acompte déjà déduit sur une autre facture",IF(AND(L358&lt;&gt;"",IFERROR(INDEX(fa_client,MATCH(L358,fa_num,0)),D358)&lt;&gt;D358),"Acompte d'un autre client",IF(AND(AR358&lt;&gt;"",N(Q358)&lt;0),"Acompte supérieur au total de la facture",IF(IF(AG358="Facture",COUNTIFS(fl_doc,A358,fl_check,"&lt;&gt;OK"),IF(AG358="Devis",COUNTIFS(dl_doc,F358,dl_check,"&lt;&gt;OK"),0))&gt;0,"Ligne(s) à corriger",IF(AND(W358&lt;&gt;"",N(W358)&lt;0),"Trop-perçu : vérifiez paiements et avoirs","OK")))))))))))))))))))))</f>
        <v/>
      </c>
      <c r="AA358" s="62" t="str">
        <f>IF(COUNTA(B358:D358,F358:O358)&gt;0,IF(B358="","Facture",B358),"")</f>
        <v/>
      </c>
      <c r="AB358" s="62" t="str">
        <f>IF(AA358="","",IF(AA358="Avoir",p_pav,IF(AA358="Facture d'acompte",p_pac,p_pfa)))</f>
        <v/>
      </c>
      <c r="AC358" s="62">
        <f>IF(ISNUMBER(C358),C358,0)</f>
        <v>0.0</v>
      </c>
      <c r="AD358" s="62" t="str">
        <f>IF(OR(AA358="",AC358=0),"",YEAR(AC358))</f>
        <v/>
      </c>
      <c r="AE358" s="62" t="str">
        <f>IF(AD358="","",COUNTIFS($AB$6:AB358,AB358,$AD$6:AD358,AD358))</f>
        <v/>
      </c>
      <c r="AF358" s="62">
        <f>IF(A358="",0,COUNTIF(fl_doc,A358))</f>
        <v>0.0</v>
      </c>
      <c r="AG358" s="62" t="str">
        <f>IF(A358="","",IF(AF358&gt;0,"Facture",IF(AND(F358&lt;&gt;"",AA358="Facture",ISNUMBER(MATCH(F358,dv_num,0))),"Devis","")))</f>
        <v/>
      </c>
      <c r="AH358" s="62" t="str">
        <f>IF(AND(A358&lt;&gt;"",F358&lt;&gt;"",AA358&lt;&gt;"Avoir"),F358,"")</f>
        <v/>
      </c>
      <c r="AI358" s="62" t="str">
        <f>IF(AG358="Devis",F358,"")</f>
        <v/>
      </c>
      <c r="AJ358" s="62">
        <f>IF(AG358="Facture",SUMIF(fl_doc,A358,fl_ht),IF(AG358="Devis",SUMIF(dl_doc,F358,dl_ht),0))</f>
        <v>0.0</v>
      </c>
      <c r="AK358" s="62">
        <f>IF(OR(AG358="",INDEX(p_rates,1)=""),0,IF(AG358="Facture",SUMIFS(fl_ht,fl_doc,A358,fl_rate,INDEX(p_rates,1)),SUMIFS(dl_ht,dl_doc,F358,dl_rate,INDEX(p_rates,1))))</f>
        <v>0.0</v>
      </c>
      <c r="AL358" s="62">
        <f>IF(OR(AG358="",INDEX(p_rates,2)=""),0,IF(AG358="Facture",SUMIFS(fl_ht,fl_doc,A358,fl_rate,INDEX(p_rates,2)),SUMIFS(dl_ht,dl_doc,F358,dl_rate,INDEX(p_rates,2))))</f>
        <v>0.0</v>
      </c>
      <c r="AM358" s="62">
        <f>IF(OR(AG358="",INDEX(p_rates,3)=""),0,IF(AG358="Facture",SUMIFS(fl_ht,fl_doc,A358,fl_rate,INDEX(p_rates,3)),SUMIFS(dl_ht,dl_doc,F358,dl_rate,INDEX(p_rates,3))))</f>
        <v>0.0</v>
      </c>
      <c r="AN358" s="62">
        <f>IF(OR(AG358="",INDEX(p_rates,4)=""),0,IF(AG358="Facture",SUMIFS(fl_ht,fl_doc,A358,fl_rate,INDEX(p_rates,4)),SUMIFS(dl_ht,dl_doc,F358,dl_rate,INDEX(p_rates,4))))</f>
        <v>0.0</v>
      </c>
      <c r="AO358" s="62">
        <f>IF(OR(AG358="",INDEX(p_rates,5)=""),0,IF(AG358="Facture",SUMIFS(fl_ht,fl_doc,A358,fl_rate,INDEX(p_rates,5)),SUMIFS(dl_ht,dl_doc,F358,dl_rate,INDEX(p_rates,5))))</f>
        <v>0.0</v>
      </c>
      <c r="AP358" s="62">
        <f>IF(OR(AG358="",INDEX(p_rates,6)=""),0,IF(AG358="Facture",SUMIFS(fl_ht,fl_doc,A358,fl_rate,INDEX(p_rates,6)),SUMIFS(dl_ht,dl_doc,F358,dl_rate,INDEX(p_rates,6))))</f>
        <v>0.0</v>
      </c>
      <c r="AQ358" s="62">
        <f>ROUND(AK358*N(INDEX(p_rates,1)),2)+ROUND(AL358*N(INDEX(p_rates,2)),2)+ROUND(AM358*N(INDEX(p_rates,3)),2)+ROUND(AN358*N(INDEX(p_rates,4)),2)+ROUND(AO358*N(INDEX(p_rates,5)),2)+ROUND(AP358*N(INDEX(p_rates,6)),2)</f>
        <v>0.0</v>
      </c>
      <c r="AR358" s="62" t="str">
        <f>IF(OR(L358="",AA358&lt;&gt;"Facture"),"",IFERROR(IF(INDEX(fa_type,MATCH(L358,fa_num,0))="Facture d'acompte",MATCH(L358,fa_num,0),""),""))</f>
        <v/>
      </c>
      <c r="AS358" s="62" t="str">
        <f>IF(W358="","",IF(W358&lt;=0,"",IF(p_asof-P358&lt;=0,"Non échu",IF(p_asof-P358&lt;=30,"1-30 j",IF(p_asof-P358&lt;=60,"31-60 j",IF(p_asof-P358&lt;=90,"61-90 j","Plus de 90 j"))))))</f>
        <v/>
      </c>
      <c r="AT358" s="62" t="str">
        <f>IF(AS358="","",p_asof-P358)</f>
        <v/>
      </c>
      <c r="AU358" s="62" t="str">
        <f>IF(AT358="","",COUNTIF($AT$6:$AT$805,"&gt;"&amp;AT358)+COUNTIF($AT$6:AT358,AT358))</f>
        <v/>
      </c>
    </row>
    <row r="359">
      <c r="A359" s="59" t="str">
        <f>IF(AE359="","",AB359&amp;"-"&amp;AD359&amp;"-"&amp;RIGHT("000"&amp;AE359,4))</f>
        <v/>
      </c>
      <c r="B359" s="60" t="n"/>
      <c r="C359" s="61" t="n"/>
      <c r="D359" s="60" t="n"/>
      <c r="E359" s="62" t="str">
        <f>IF(D359="","",IFERROR(INDEX(cli_name,MATCH(D359,cli_code,0))&amp;"","Client inconnu"))</f>
        <v/>
      </c>
      <c r="F359" s="60" t="n"/>
      <c r="G359" s="63" t="n"/>
      <c r="H359" s="61" t="n"/>
      <c r="I359" s="63" t="n"/>
      <c r="J359" s="60" t="n"/>
      <c r="K359" s="61" t="n"/>
      <c r="L359" s="60" t="n"/>
      <c r="M359" s="60" t="n"/>
      <c r="N359" s="60" t="n"/>
      <c r="O359" s="61" t="n"/>
      <c r="P359" s="64" t="str">
        <f>IF(A359="","",IF(AA359="Avoir",AC359,IF(ISNUMBER(K359),K359,AC359+IF(D359="",N(p_delay),IFERROR(IF(ISNUMBER(INDEX(cli_delay,MATCH(D359,cli_code,0))),INDEX(cli_delay,MATCH(D359,cli_code,0)),N(p_delay)),N(p_delay))))))</f>
        <v/>
      </c>
      <c r="Q359" s="65" t="str">
        <f>IF(A359="","",IF(AA359="Avoir",-1,1)*ROUND(AJ359-IF(AR359="",0,INDEX(fa_htb,AR359)),2))</f>
        <v/>
      </c>
      <c r="R359" s="65" t="str">
        <f>IF(A359="","",IF(AA359="Avoir",-1,1)*ROUND(AQ359-IF(AR359="",0,INDEX(fa_tvab,AR359)),2))</f>
        <v/>
      </c>
      <c r="S359" s="65" t="str">
        <f>IF(A359="","",Q359+R359)</f>
        <v/>
      </c>
      <c r="T359" s="65" t="str">
        <f>IF(AR359="","",INDEX(fa_htb,AR359)+INDEX(fa_tvab,AR359))</f>
        <v/>
      </c>
      <c r="U359" s="65" t="str">
        <f>IF(A359="","",SUMIF(pa_inv,A359,pa_amt))</f>
        <v/>
      </c>
      <c r="V359" s="65" t="str">
        <f>IF(OR(A359="",AA359="Avoir"),"",-SUMIFS(fa_ttc,fa_avof,A359,fa_type,"Avoir"))</f>
        <v/>
      </c>
      <c r="W359" s="65" t="str">
        <f>IF(OR(A359="",AA359="Avoir"),"",ROUND(S359-U359-V359,2))</f>
        <v/>
      </c>
      <c r="X359" s="66" t="str">
        <f>IF(W359="","",IF(AND(W359&gt;0,p_asof&gt;P359),p_asof-P359,""))</f>
        <v/>
      </c>
      <c r="Y359" s="59" t="str">
        <f>IF(A359="","",IF(AA359="Avoir","Avoir",IF(W359&lt;0,"Trop-perçu",IF(W359=0,"Soldée",IF(p_asof&gt;P359,"En retard",IF(U359+V359&gt;0,"Partielle","À échoir"))))))</f>
        <v/>
      </c>
      <c r="Z359" s="59" t="str">
        <f>IF(NOT(COUNTA(B359:D359,F359:O359)&gt;0),"",IF(C359="","Date manquante",IF(NOT(ISNUMBER(C359)),"Date invalide",IF(D359="","Client manquant",IF(ISNA(MATCH(D359,cli_code,0)),"Client inconnu",IF(AC359&lt;SUMPRODUCT(MAX(($AB$6:AB358=AB359)*$AC$6:AC358)),"Date antérieure à la facture précédente",IF(AND(F359&lt;&gt;"",ISNA(MATCH(F359,dv_num,0))),"Devis inconnu",IF(AND(F359&lt;&gt;"",IFERROR(INDEX(dv_client,MATCH(F359,dv_num,0)),D359)&lt;&gt;D359),"Client différent de celui du devis",IF(AG359="","Aucune ligne : saisissez des lignes ou un devis",IF(AND(AI359&lt;&gt;"",COUNTIF($AI$6:AI359,AI359)&gt;1),"Devis déjà repris par une autre facture",IF(AND(AA359="Avoir",M359=""),"Avoir : indiquez la facture d'origine",IF(AND(AA359="Avoir",ISNA(MATCH(M359,fa_num,0))),"Facture d'origine inconnue",IF(AND(AA359&lt;&gt;"Avoir",M359&lt;&gt;""),"« Avoir sur facture » : réservé aux avoirs",IF(AND(L359&lt;&gt;"",AA359&lt;&gt;"Facture"),"Acompte à déduire : réservé aux factures",IF(AND(L359&lt;&gt;"",ISNA(MATCH(L359,fa_num,0))),"Facture d'acompte inconnue",IF(AND(L359&lt;&gt;"",IFERROR(INDEX(fa_type,MATCH(L359,fa_num,0)),"")&lt;&gt;"Facture d'acompte"),"Le n° à déduire n'est pas une facture d'acompte",IF(AND(L359&lt;&gt;"",COUNTIF($L$6:L359,L359)&gt;1),"Acompte déjà déduit sur une autre facture",IF(AND(L359&lt;&gt;"",IFERROR(INDEX(fa_client,MATCH(L359,fa_num,0)),D359)&lt;&gt;D359),"Acompte d'un autre client",IF(AND(AR359&lt;&gt;"",N(Q359)&lt;0),"Acompte supérieur au total de la facture",IF(IF(AG359="Facture",COUNTIFS(fl_doc,A359,fl_check,"&lt;&gt;OK"),IF(AG359="Devis",COUNTIFS(dl_doc,F359,dl_check,"&lt;&gt;OK"),0))&gt;0,"Ligne(s) à corriger",IF(AND(W359&lt;&gt;"",N(W359)&lt;0),"Trop-perçu : vérifiez paiements et avoirs","OK")))))))))))))))))))))</f>
        <v/>
      </c>
      <c r="AA359" s="62" t="str">
        <f>IF(COUNTA(B359:D359,F359:O359)&gt;0,IF(B359="","Facture",B359),"")</f>
        <v/>
      </c>
      <c r="AB359" s="62" t="str">
        <f>IF(AA359="","",IF(AA359="Avoir",p_pav,IF(AA359="Facture d'acompte",p_pac,p_pfa)))</f>
        <v/>
      </c>
      <c r="AC359" s="62">
        <f>IF(ISNUMBER(C359),C359,0)</f>
        <v>0.0</v>
      </c>
      <c r="AD359" s="62" t="str">
        <f>IF(OR(AA359="",AC359=0),"",YEAR(AC359))</f>
        <v/>
      </c>
      <c r="AE359" s="62" t="str">
        <f>IF(AD359="","",COUNTIFS($AB$6:AB359,AB359,$AD$6:AD359,AD359))</f>
        <v/>
      </c>
      <c r="AF359" s="62">
        <f>IF(A359="",0,COUNTIF(fl_doc,A359))</f>
        <v>0.0</v>
      </c>
      <c r="AG359" s="62" t="str">
        <f>IF(A359="","",IF(AF359&gt;0,"Facture",IF(AND(F359&lt;&gt;"",AA359="Facture",ISNUMBER(MATCH(F359,dv_num,0))),"Devis","")))</f>
        <v/>
      </c>
      <c r="AH359" s="62" t="str">
        <f>IF(AND(A359&lt;&gt;"",F359&lt;&gt;"",AA359&lt;&gt;"Avoir"),F359,"")</f>
        <v/>
      </c>
      <c r="AI359" s="62" t="str">
        <f>IF(AG359="Devis",F359,"")</f>
        <v/>
      </c>
      <c r="AJ359" s="62">
        <f>IF(AG359="Facture",SUMIF(fl_doc,A359,fl_ht),IF(AG359="Devis",SUMIF(dl_doc,F359,dl_ht),0))</f>
        <v>0.0</v>
      </c>
      <c r="AK359" s="62">
        <f>IF(OR(AG359="",INDEX(p_rates,1)=""),0,IF(AG359="Facture",SUMIFS(fl_ht,fl_doc,A359,fl_rate,INDEX(p_rates,1)),SUMIFS(dl_ht,dl_doc,F359,dl_rate,INDEX(p_rates,1))))</f>
        <v>0.0</v>
      </c>
      <c r="AL359" s="62">
        <f>IF(OR(AG359="",INDEX(p_rates,2)=""),0,IF(AG359="Facture",SUMIFS(fl_ht,fl_doc,A359,fl_rate,INDEX(p_rates,2)),SUMIFS(dl_ht,dl_doc,F359,dl_rate,INDEX(p_rates,2))))</f>
        <v>0.0</v>
      </c>
      <c r="AM359" s="62">
        <f>IF(OR(AG359="",INDEX(p_rates,3)=""),0,IF(AG359="Facture",SUMIFS(fl_ht,fl_doc,A359,fl_rate,INDEX(p_rates,3)),SUMIFS(dl_ht,dl_doc,F359,dl_rate,INDEX(p_rates,3))))</f>
        <v>0.0</v>
      </c>
      <c r="AN359" s="62">
        <f>IF(OR(AG359="",INDEX(p_rates,4)=""),0,IF(AG359="Facture",SUMIFS(fl_ht,fl_doc,A359,fl_rate,INDEX(p_rates,4)),SUMIFS(dl_ht,dl_doc,F359,dl_rate,INDEX(p_rates,4))))</f>
        <v>0.0</v>
      </c>
      <c r="AO359" s="62">
        <f>IF(OR(AG359="",INDEX(p_rates,5)=""),0,IF(AG359="Facture",SUMIFS(fl_ht,fl_doc,A359,fl_rate,INDEX(p_rates,5)),SUMIFS(dl_ht,dl_doc,F359,dl_rate,INDEX(p_rates,5))))</f>
        <v>0.0</v>
      </c>
      <c r="AP359" s="62">
        <f>IF(OR(AG359="",INDEX(p_rates,6)=""),0,IF(AG359="Facture",SUMIFS(fl_ht,fl_doc,A359,fl_rate,INDEX(p_rates,6)),SUMIFS(dl_ht,dl_doc,F359,dl_rate,INDEX(p_rates,6))))</f>
        <v>0.0</v>
      </c>
      <c r="AQ359" s="62">
        <f>ROUND(AK359*N(INDEX(p_rates,1)),2)+ROUND(AL359*N(INDEX(p_rates,2)),2)+ROUND(AM359*N(INDEX(p_rates,3)),2)+ROUND(AN359*N(INDEX(p_rates,4)),2)+ROUND(AO359*N(INDEX(p_rates,5)),2)+ROUND(AP359*N(INDEX(p_rates,6)),2)</f>
        <v>0.0</v>
      </c>
      <c r="AR359" s="62" t="str">
        <f>IF(OR(L359="",AA359&lt;&gt;"Facture"),"",IFERROR(IF(INDEX(fa_type,MATCH(L359,fa_num,0))="Facture d'acompte",MATCH(L359,fa_num,0),""),""))</f>
        <v/>
      </c>
      <c r="AS359" s="62" t="str">
        <f>IF(W359="","",IF(W359&lt;=0,"",IF(p_asof-P359&lt;=0,"Non échu",IF(p_asof-P359&lt;=30,"1-30 j",IF(p_asof-P359&lt;=60,"31-60 j",IF(p_asof-P359&lt;=90,"61-90 j","Plus de 90 j"))))))</f>
        <v/>
      </c>
      <c r="AT359" s="62" t="str">
        <f>IF(AS359="","",p_asof-P359)</f>
        <v/>
      </c>
      <c r="AU359" s="62" t="str">
        <f>IF(AT359="","",COUNTIF($AT$6:$AT$805,"&gt;"&amp;AT359)+COUNTIF($AT$6:AT359,AT359))</f>
        <v/>
      </c>
    </row>
    <row r="360">
      <c r="A360" s="59" t="str">
        <f>IF(AE360="","",AB360&amp;"-"&amp;AD360&amp;"-"&amp;RIGHT("000"&amp;AE360,4))</f>
        <v/>
      </c>
      <c r="B360" s="60" t="n"/>
      <c r="C360" s="61" t="n"/>
      <c r="D360" s="60" t="n"/>
      <c r="E360" s="62" t="str">
        <f>IF(D360="","",IFERROR(INDEX(cli_name,MATCH(D360,cli_code,0))&amp;"","Client inconnu"))</f>
        <v/>
      </c>
      <c r="F360" s="60" t="n"/>
      <c r="G360" s="63" t="n"/>
      <c r="H360" s="61" t="n"/>
      <c r="I360" s="63" t="n"/>
      <c r="J360" s="60" t="n"/>
      <c r="K360" s="61" t="n"/>
      <c r="L360" s="60" t="n"/>
      <c r="M360" s="60" t="n"/>
      <c r="N360" s="60" t="n"/>
      <c r="O360" s="61" t="n"/>
      <c r="P360" s="64" t="str">
        <f>IF(A360="","",IF(AA360="Avoir",AC360,IF(ISNUMBER(K360),K360,AC360+IF(D360="",N(p_delay),IFERROR(IF(ISNUMBER(INDEX(cli_delay,MATCH(D360,cli_code,0))),INDEX(cli_delay,MATCH(D360,cli_code,0)),N(p_delay)),N(p_delay))))))</f>
        <v/>
      </c>
      <c r="Q360" s="65" t="str">
        <f>IF(A360="","",IF(AA360="Avoir",-1,1)*ROUND(AJ360-IF(AR360="",0,INDEX(fa_htb,AR360)),2))</f>
        <v/>
      </c>
      <c r="R360" s="65" t="str">
        <f>IF(A360="","",IF(AA360="Avoir",-1,1)*ROUND(AQ360-IF(AR360="",0,INDEX(fa_tvab,AR360)),2))</f>
        <v/>
      </c>
      <c r="S360" s="65" t="str">
        <f>IF(A360="","",Q360+R360)</f>
        <v/>
      </c>
      <c r="T360" s="65" t="str">
        <f>IF(AR360="","",INDEX(fa_htb,AR360)+INDEX(fa_tvab,AR360))</f>
        <v/>
      </c>
      <c r="U360" s="65" t="str">
        <f>IF(A360="","",SUMIF(pa_inv,A360,pa_amt))</f>
        <v/>
      </c>
      <c r="V360" s="65" t="str">
        <f>IF(OR(A360="",AA360="Avoir"),"",-SUMIFS(fa_ttc,fa_avof,A360,fa_type,"Avoir"))</f>
        <v/>
      </c>
      <c r="W360" s="65" t="str">
        <f>IF(OR(A360="",AA360="Avoir"),"",ROUND(S360-U360-V360,2))</f>
        <v/>
      </c>
      <c r="X360" s="66" t="str">
        <f>IF(W360="","",IF(AND(W360&gt;0,p_asof&gt;P360),p_asof-P360,""))</f>
        <v/>
      </c>
      <c r="Y360" s="59" t="str">
        <f>IF(A360="","",IF(AA360="Avoir","Avoir",IF(W360&lt;0,"Trop-perçu",IF(W360=0,"Soldée",IF(p_asof&gt;P360,"En retard",IF(U360+V360&gt;0,"Partielle","À échoir"))))))</f>
        <v/>
      </c>
      <c r="Z360" s="59" t="str">
        <f>IF(NOT(COUNTA(B360:D360,F360:O360)&gt;0),"",IF(C360="","Date manquante",IF(NOT(ISNUMBER(C360)),"Date invalide",IF(D360="","Client manquant",IF(ISNA(MATCH(D360,cli_code,0)),"Client inconnu",IF(AC360&lt;SUMPRODUCT(MAX(($AB$6:AB359=AB360)*$AC$6:AC359)),"Date antérieure à la facture précédente",IF(AND(F360&lt;&gt;"",ISNA(MATCH(F360,dv_num,0))),"Devis inconnu",IF(AND(F360&lt;&gt;"",IFERROR(INDEX(dv_client,MATCH(F360,dv_num,0)),D360)&lt;&gt;D360),"Client différent de celui du devis",IF(AG360="","Aucune ligne : saisissez des lignes ou un devis",IF(AND(AI360&lt;&gt;"",COUNTIF($AI$6:AI360,AI360)&gt;1),"Devis déjà repris par une autre facture",IF(AND(AA360="Avoir",M360=""),"Avoir : indiquez la facture d'origine",IF(AND(AA360="Avoir",ISNA(MATCH(M360,fa_num,0))),"Facture d'origine inconnue",IF(AND(AA360&lt;&gt;"Avoir",M360&lt;&gt;""),"« Avoir sur facture » : réservé aux avoirs",IF(AND(L360&lt;&gt;"",AA360&lt;&gt;"Facture"),"Acompte à déduire : réservé aux factures",IF(AND(L360&lt;&gt;"",ISNA(MATCH(L360,fa_num,0))),"Facture d'acompte inconnue",IF(AND(L360&lt;&gt;"",IFERROR(INDEX(fa_type,MATCH(L360,fa_num,0)),"")&lt;&gt;"Facture d'acompte"),"Le n° à déduire n'est pas une facture d'acompte",IF(AND(L360&lt;&gt;"",COUNTIF($L$6:L360,L360)&gt;1),"Acompte déjà déduit sur une autre facture",IF(AND(L360&lt;&gt;"",IFERROR(INDEX(fa_client,MATCH(L360,fa_num,0)),D360)&lt;&gt;D360),"Acompte d'un autre client",IF(AND(AR360&lt;&gt;"",N(Q360)&lt;0),"Acompte supérieur au total de la facture",IF(IF(AG360="Facture",COUNTIFS(fl_doc,A360,fl_check,"&lt;&gt;OK"),IF(AG360="Devis",COUNTIFS(dl_doc,F360,dl_check,"&lt;&gt;OK"),0))&gt;0,"Ligne(s) à corriger",IF(AND(W360&lt;&gt;"",N(W360)&lt;0),"Trop-perçu : vérifiez paiements et avoirs","OK")))))))))))))))))))))</f>
        <v/>
      </c>
      <c r="AA360" s="62" t="str">
        <f>IF(COUNTA(B360:D360,F360:O360)&gt;0,IF(B360="","Facture",B360),"")</f>
        <v/>
      </c>
      <c r="AB360" s="62" t="str">
        <f>IF(AA360="","",IF(AA360="Avoir",p_pav,IF(AA360="Facture d'acompte",p_pac,p_pfa)))</f>
        <v/>
      </c>
      <c r="AC360" s="62">
        <f>IF(ISNUMBER(C360),C360,0)</f>
        <v>0.0</v>
      </c>
      <c r="AD360" s="62" t="str">
        <f>IF(OR(AA360="",AC360=0),"",YEAR(AC360))</f>
        <v/>
      </c>
      <c r="AE360" s="62" t="str">
        <f>IF(AD360="","",COUNTIFS($AB$6:AB360,AB360,$AD$6:AD360,AD360))</f>
        <v/>
      </c>
      <c r="AF360" s="62">
        <f>IF(A360="",0,COUNTIF(fl_doc,A360))</f>
        <v>0.0</v>
      </c>
      <c r="AG360" s="62" t="str">
        <f>IF(A360="","",IF(AF360&gt;0,"Facture",IF(AND(F360&lt;&gt;"",AA360="Facture",ISNUMBER(MATCH(F360,dv_num,0))),"Devis","")))</f>
        <v/>
      </c>
      <c r="AH360" s="62" t="str">
        <f>IF(AND(A360&lt;&gt;"",F360&lt;&gt;"",AA360&lt;&gt;"Avoir"),F360,"")</f>
        <v/>
      </c>
      <c r="AI360" s="62" t="str">
        <f>IF(AG360="Devis",F360,"")</f>
        <v/>
      </c>
      <c r="AJ360" s="62">
        <f>IF(AG360="Facture",SUMIF(fl_doc,A360,fl_ht),IF(AG360="Devis",SUMIF(dl_doc,F360,dl_ht),0))</f>
        <v>0.0</v>
      </c>
      <c r="AK360" s="62">
        <f>IF(OR(AG360="",INDEX(p_rates,1)=""),0,IF(AG360="Facture",SUMIFS(fl_ht,fl_doc,A360,fl_rate,INDEX(p_rates,1)),SUMIFS(dl_ht,dl_doc,F360,dl_rate,INDEX(p_rates,1))))</f>
        <v>0.0</v>
      </c>
      <c r="AL360" s="62">
        <f>IF(OR(AG360="",INDEX(p_rates,2)=""),0,IF(AG360="Facture",SUMIFS(fl_ht,fl_doc,A360,fl_rate,INDEX(p_rates,2)),SUMIFS(dl_ht,dl_doc,F360,dl_rate,INDEX(p_rates,2))))</f>
        <v>0.0</v>
      </c>
      <c r="AM360" s="62">
        <f>IF(OR(AG360="",INDEX(p_rates,3)=""),0,IF(AG360="Facture",SUMIFS(fl_ht,fl_doc,A360,fl_rate,INDEX(p_rates,3)),SUMIFS(dl_ht,dl_doc,F360,dl_rate,INDEX(p_rates,3))))</f>
        <v>0.0</v>
      </c>
      <c r="AN360" s="62">
        <f>IF(OR(AG360="",INDEX(p_rates,4)=""),0,IF(AG360="Facture",SUMIFS(fl_ht,fl_doc,A360,fl_rate,INDEX(p_rates,4)),SUMIFS(dl_ht,dl_doc,F360,dl_rate,INDEX(p_rates,4))))</f>
        <v>0.0</v>
      </c>
      <c r="AO360" s="62">
        <f>IF(OR(AG360="",INDEX(p_rates,5)=""),0,IF(AG360="Facture",SUMIFS(fl_ht,fl_doc,A360,fl_rate,INDEX(p_rates,5)),SUMIFS(dl_ht,dl_doc,F360,dl_rate,INDEX(p_rates,5))))</f>
        <v>0.0</v>
      </c>
      <c r="AP360" s="62">
        <f>IF(OR(AG360="",INDEX(p_rates,6)=""),0,IF(AG360="Facture",SUMIFS(fl_ht,fl_doc,A360,fl_rate,INDEX(p_rates,6)),SUMIFS(dl_ht,dl_doc,F360,dl_rate,INDEX(p_rates,6))))</f>
        <v>0.0</v>
      </c>
      <c r="AQ360" s="62">
        <f>ROUND(AK360*N(INDEX(p_rates,1)),2)+ROUND(AL360*N(INDEX(p_rates,2)),2)+ROUND(AM360*N(INDEX(p_rates,3)),2)+ROUND(AN360*N(INDEX(p_rates,4)),2)+ROUND(AO360*N(INDEX(p_rates,5)),2)+ROUND(AP360*N(INDEX(p_rates,6)),2)</f>
        <v>0.0</v>
      </c>
      <c r="AR360" s="62" t="str">
        <f>IF(OR(L360="",AA360&lt;&gt;"Facture"),"",IFERROR(IF(INDEX(fa_type,MATCH(L360,fa_num,0))="Facture d'acompte",MATCH(L360,fa_num,0),""),""))</f>
        <v/>
      </c>
      <c r="AS360" s="62" t="str">
        <f>IF(W360="","",IF(W360&lt;=0,"",IF(p_asof-P360&lt;=0,"Non échu",IF(p_asof-P360&lt;=30,"1-30 j",IF(p_asof-P360&lt;=60,"31-60 j",IF(p_asof-P360&lt;=90,"61-90 j","Plus de 90 j"))))))</f>
        <v/>
      </c>
      <c r="AT360" s="62" t="str">
        <f>IF(AS360="","",p_asof-P360)</f>
        <v/>
      </c>
      <c r="AU360" s="62" t="str">
        <f>IF(AT360="","",COUNTIF($AT$6:$AT$805,"&gt;"&amp;AT360)+COUNTIF($AT$6:AT360,AT360))</f>
        <v/>
      </c>
    </row>
    <row r="361">
      <c r="A361" s="59" t="str">
        <f>IF(AE361="","",AB361&amp;"-"&amp;AD361&amp;"-"&amp;RIGHT("000"&amp;AE361,4))</f>
        <v/>
      </c>
      <c r="B361" s="60" t="n"/>
      <c r="C361" s="61" t="n"/>
      <c r="D361" s="60" t="n"/>
      <c r="E361" s="62" t="str">
        <f>IF(D361="","",IFERROR(INDEX(cli_name,MATCH(D361,cli_code,0))&amp;"","Client inconnu"))</f>
        <v/>
      </c>
      <c r="F361" s="60" t="n"/>
      <c r="G361" s="63" t="n"/>
      <c r="H361" s="61" t="n"/>
      <c r="I361" s="63" t="n"/>
      <c r="J361" s="60" t="n"/>
      <c r="K361" s="61" t="n"/>
      <c r="L361" s="60" t="n"/>
      <c r="M361" s="60" t="n"/>
      <c r="N361" s="60" t="n"/>
      <c r="O361" s="61" t="n"/>
      <c r="P361" s="64" t="str">
        <f>IF(A361="","",IF(AA361="Avoir",AC361,IF(ISNUMBER(K361),K361,AC361+IF(D361="",N(p_delay),IFERROR(IF(ISNUMBER(INDEX(cli_delay,MATCH(D361,cli_code,0))),INDEX(cli_delay,MATCH(D361,cli_code,0)),N(p_delay)),N(p_delay))))))</f>
        <v/>
      </c>
      <c r="Q361" s="65" t="str">
        <f>IF(A361="","",IF(AA361="Avoir",-1,1)*ROUND(AJ361-IF(AR361="",0,INDEX(fa_htb,AR361)),2))</f>
        <v/>
      </c>
      <c r="R361" s="65" t="str">
        <f>IF(A361="","",IF(AA361="Avoir",-1,1)*ROUND(AQ361-IF(AR361="",0,INDEX(fa_tvab,AR361)),2))</f>
        <v/>
      </c>
      <c r="S361" s="65" t="str">
        <f>IF(A361="","",Q361+R361)</f>
        <v/>
      </c>
      <c r="T361" s="65" t="str">
        <f>IF(AR361="","",INDEX(fa_htb,AR361)+INDEX(fa_tvab,AR361))</f>
        <v/>
      </c>
      <c r="U361" s="65" t="str">
        <f>IF(A361="","",SUMIF(pa_inv,A361,pa_amt))</f>
        <v/>
      </c>
      <c r="V361" s="65" t="str">
        <f>IF(OR(A361="",AA361="Avoir"),"",-SUMIFS(fa_ttc,fa_avof,A361,fa_type,"Avoir"))</f>
        <v/>
      </c>
      <c r="W361" s="65" t="str">
        <f>IF(OR(A361="",AA361="Avoir"),"",ROUND(S361-U361-V361,2))</f>
        <v/>
      </c>
      <c r="X361" s="66" t="str">
        <f>IF(W361="","",IF(AND(W361&gt;0,p_asof&gt;P361),p_asof-P361,""))</f>
        <v/>
      </c>
      <c r="Y361" s="59" t="str">
        <f>IF(A361="","",IF(AA361="Avoir","Avoir",IF(W361&lt;0,"Trop-perçu",IF(W361=0,"Soldée",IF(p_asof&gt;P361,"En retard",IF(U361+V361&gt;0,"Partielle","À échoir"))))))</f>
        <v/>
      </c>
      <c r="Z361" s="59" t="str">
        <f>IF(NOT(COUNTA(B361:D361,F361:O361)&gt;0),"",IF(C361="","Date manquante",IF(NOT(ISNUMBER(C361)),"Date invalide",IF(D361="","Client manquant",IF(ISNA(MATCH(D361,cli_code,0)),"Client inconnu",IF(AC361&lt;SUMPRODUCT(MAX(($AB$6:AB360=AB361)*$AC$6:AC360)),"Date antérieure à la facture précédente",IF(AND(F361&lt;&gt;"",ISNA(MATCH(F361,dv_num,0))),"Devis inconnu",IF(AND(F361&lt;&gt;"",IFERROR(INDEX(dv_client,MATCH(F361,dv_num,0)),D361)&lt;&gt;D361),"Client différent de celui du devis",IF(AG361="","Aucune ligne : saisissez des lignes ou un devis",IF(AND(AI361&lt;&gt;"",COUNTIF($AI$6:AI361,AI361)&gt;1),"Devis déjà repris par une autre facture",IF(AND(AA361="Avoir",M361=""),"Avoir : indiquez la facture d'origine",IF(AND(AA361="Avoir",ISNA(MATCH(M361,fa_num,0))),"Facture d'origine inconnue",IF(AND(AA361&lt;&gt;"Avoir",M361&lt;&gt;""),"« Avoir sur facture » : réservé aux avoirs",IF(AND(L361&lt;&gt;"",AA361&lt;&gt;"Facture"),"Acompte à déduire : réservé aux factures",IF(AND(L361&lt;&gt;"",ISNA(MATCH(L361,fa_num,0))),"Facture d'acompte inconnue",IF(AND(L361&lt;&gt;"",IFERROR(INDEX(fa_type,MATCH(L361,fa_num,0)),"")&lt;&gt;"Facture d'acompte"),"Le n° à déduire n'est pas une facture d'acompte",IF(AND(L361&lt;&gt;"",COUNTIF($L$6:L361,L361)&gt;1),"Acompte déjà déduit sur une autre facture",IF(AND(L361&lt;&gt;"",IFERROR(INDEX(fa_client,MATCH(L361,fa_num,0)),D361)&lt;&gt;D361),"Acompte d'un autre client",IF(AND(AR361&lt;&gt;"",N(Q361)&lt;0),"Acompte supérieur au total de la facture",IF(IF(AG361="Facture",COUNTIFS(fl_doc,A361,fl_check,"&lt;&gt;OK"),IF(AG361="Devis",COUNTIFS(dl_doc,F361,dl_check,"&lt;&gt;OK"),0))&gt;0,"Ligne(s) à corriger",IF(AND(W361&lt;&gt;"",N(W361)&lt;0),"Trop-perçu : vérifiez paiements et avoirs","OK")))))))))))))))))))))</f>
        <v/>
      </c>
      <c r="AA361" s="62" t="str">
        <f>IF(COUNTA(B361:D361,F361:O361)&gt;0,IF(B361="","Facture",B361),"")</f>
        <v/>
      </c>
      <c r="AB361" s="62" t="str">
        <f>IF(AA361="","",IF(AA361="Avoir",p_pav,IF(AA361="Facture d'acompte",p_pac,p_pfa)))</f>
        <v/>
      </c>
      <c r="AC361" s="62">
        <f>IF(ISNUMBER(C361),C361,0)</f>
        <v>0.0</v>
      </c>
      <c r="AD361" s="62" t="str">
        <f>IF(OR(AA361="",AC361=0),"",YEAR(AC361))</f>
        <v/>
      </c>
      <c r="AE361" s="62" t="str">
        <f>IF(AD361="","",COUNTIFS($AB$6:AB361,AB361,$AD$6:AD361,AD361))</f>
        <v/>
      </c>
      <c r="AF361" s="62">
        <f>IF(A361="",0,COUNTIF(fl_doc,A361))</f>
        <v>0.0</v>
      </c>
      <c r="AG361" s="62" t="str">
        <f>IF(A361="","",IF(AF361&gt;0,"Facture",IF(AND(F361&lt;&gt;"",AA361="Facture",ISNUMBER(MATCH(F361,dv_num,0))),"Devis","")))</f>
        <v/>
      </c>
      <c r="AH361" s="62" t="str">
        <f>IF(AND(A361&lt;&gt;"",F361&lt;&gt;"",AA361&lt;&gt;"Avoir"),F361,"")</f>
        <v/>
      </c>
      <c r="AI361" s="62" t="str">
        <f>IF(AG361="Devis",F361,"")</f>
        <v/>
      </c>
      <c r="AJ361" s="62">
        <f>IF(AG361="Facture",SUMIF(fl_doc,A361,fl_ht),IF(AG361="Devis",SUMIF(dl_doc,F361,dl_ht),0))</f>
        <v>0.0</v>
      </c>
      <c r="AK361" s="62">
        <f>IF(OR(AG361="",INDEX(p_rates,1)=""),0,IF(AG361="Facture",SUMIFS(fl_ht,fl_doc,A361,fl_rate,INDEX(p_rates,1)),SUMIFS(dl_ht,dl_doc,F361,dl_rate,INDEX(p_rates,1))))</f>
        <v>0.0</v>
      </c>
      <c r="AL361" s="62">
        <f>IF(OR(AG361="",INDEX(p_rates,2)=""),0,IF(AG361="Facture",SUMIFS(fl_ht,fl_doc,A361,fl_rate,INDEX(p_rates,2)),SUMIFS(dl_ht,dl_doc,F361,dl_rate,INDEX(p_rates,2))))</f>
        <v>0.0</v>
      </c>
      <c r="AM361" s="62">
        <f>IF(OR(AG361="",INDEX(p_rates,3)=""),0,IF(AG361="Facture",SUMIFS(fl_ht,fl_doc,A361,fl_rate,INDEX(p_rates,3)),SUMIFS(dl_ht,dl_doc,F361,dl_rate,INDEX(p_rates,3))))</f>
        <v>0.0</v>
      </c>
      <c r="AN361" s="62">
        <f>IF(OR(AG361="",INDEX(p_rates,4)=""),0,IF(AG361="Facture",SUMIFS(fl_ht,fl_doc,A361,fl_rate,INDEX(p_rates,4)),SUMIFS(dl_ht,dl_doc,F361,dl_rate,INDEX(p_rates,4))))</f>
        <v>0.0</v>
      </c>
      <c r="AO361" s="62">
        <f>IF(OR(AG361="",INDEX(p_rates,5)=""),0,IF(AG361="Facture",SUMIFS(fl_ht,fl_doc,A361,fl_rate,INDEX(p_rates,5)),SUMIFS(dl_ht,dl_doc,F361,dl_rate,INDEX(p_rates,5))))</f>
        <v>0.0</v>
      </c>
      <c r="AP361" s="62">
        <f>IF(OR(AG361="",INDEX(p_rates,6)=""),0,IF(AG361="Facture",SUMIFS(fl_ht,fl_doc,A361,fl_rate,INDEX(p_rates,6)),SUMIFS(dl_ht,dl_doc,F361,dl_rate,INDEX(p_rates,6))))</f>
        <v>0.0</v>
      </c>
      <c r="AQ361" s="62">
        <f>ROUND(AK361*N(INDEX(p_rates,1)),2)+ROUND(AL361*N(INDEX(p_rates,2)),2)+ROUND(AM361*N(INDEX(p_rates,3)),2)+ROUND(AN361*N(INDEX(p_rates,4)),2)+ROUND(AO361*N(INDEX(p_rates,5)),2)+ROUND(AP361*N(INDEX(p_rates,6)),2)</f>
        <v>0.0</v>
      </c>
      <c r="AR361" s="62" t="str">
        <f>IF(OR(L361="",AA361&lt;&gt;"Facture"),"",IFERROR(IF(INDEX(fa_type,MATCH(L361,fa_num,0))="Facture d'acompte",MATCH(L361,fa_num,0),""),""))</f>
        <v/>
      </c>
      <c r="AS361" s="62" t="str">
        <f>IF(W361="","",IF(W361&lt;=0,"",IF(p_asof-P361&lt;=0,"Non échu",IF(p_asof-P361&lt;=30,"1-30 j",IF(p_asof-P361&lt;=60,"31-60 j",IF(p_asof-P361&lt;=90,"61-90 j","Plus de 90 j"))))))</f>
        <v/>
      </c>
      <c r="AT361" s="62" t="str">
        <f>IF(AS361="","",p_asof-P361)</f>
        <v/>
      </c>
      <c r="AU361" s="62" t="str">
        <f>IF(AT361="","",COUNTIF($AT$6:$AT$805,"&gt;"&amp;AT361)+COUNTIF($AT$6:AT361,AT361))</f>
        <v/>
      </c>
    </row>
    <row r="362">
      <c r="A362" s="59" t="str">
        <f>IF(AE362="","",AB362&amp;"-"&amp;AD362&amp;"-"&amp;RIGHT("000"&amp;AE362,4))</f>
        <v/>
      </c>
      <c r="B362" s="60" t="n"/>
      <c r="C362" s="61" t="n"/>
      <c r="D362" s="60" t="n"/>
      <c r="E362" s="62" t="str">
        <f>IF(D362="","",IFERROR(INDEX(cli_name,MATCH(D362,cli_code,0))&amp;"","Client inconnu"))</f>
        <v/>
      </c>
      <c r="F362" s="60" t="n"/>
      <c r="G362" s="63" t="n"/>
      <c r="H362" s="61" t="n"/>
      <c r="I362" s="63" t="n"/>
      <c r="J362" s="60" t="n"/>
      <c r="K362" s="61" t="n"/>
      <c r="L362" s="60" t="n"/>
      <c r="M362" s="60" t="n"/>
      <c r="N362" s="60" t="n"/>
      <c r="O362" s="61" t="n"/>
      <c r="P362" s="64" t="str">
        <f>IF(A362="","",IF(AA362="Avoir",AC362,IF(ISNUMBER(K362),K362,AC362+IF(D362="",N(p_delay),IFERROR(IF(ISNUMBER(INDEX(cli_delay,MATCH(D362,cli_code,0))),INDEX(cli_delay,MATCH(D362,cli_code,0)),N(p_delay)),N(p_delay))))))</f>
        <v/>
      </c>
      <c r="Q362" s="65" t="str">
        <f>IF(A362="","",IF(AA362="Avoir",-1,1)*ROUND(AJ362-IF(AR362="",0,INDEX(fa_htb,AR362)),2))</f>
        <v/>
      </c>
      <c r="R362" s="65" t="str">
        <f>IF(A362="","",IF(AA362="Avoir",-1,1)*ROUND(AQ362-IF(AR362="",0,INDEX(fa_tvab,AR362)),2))</f>
        <v/>
      </c>
      <c r="S362" s="65" t="str">
        <f>IF(A362="","",Q362+R362)</f>
        <v/>
      </c>
      <c r="T362" s="65" t="str">
        <f>IF(AR362="","",INDEX(fa_htb,AR362)+INDEX(fa_tvab,AR362))</f>
        <v/>
      </c>
      <c r="U362" s="65" t="str">
        <f>IF(A362="","",SUMIF(pa_inv,A362,pa_amt))</f>
        <v/>
      </c>
      <c r="V362" s="65" t="str">
        <f>IF(OR(A362="",AA362="Avoir"),"",-SUMIFS(fa_ttc,fa_avof,A362,fa_type,"Avoir"))</f>
        <v/>
      </c>
      <c r="W362" s="65" t="str">
        <f>IF(OR(A362="",AA362="Avoir"),"",ROUND(S362-U362-V362,2))</f>
        <v/>
      </c>
      <c r="X362" s="66" t="str">
        <f>IF(W362="","",IF(AND(W362&gt;0,p_asof&gt;P362),p_asof-P362,""))</f>
        <v/>
      </c>
      <c r="Y362" s="59" t="str">
        <f>IF(A362="","",IF(AA362="Avoir","Avoir",IF(W362&lt;0,"Trop-perçu",IF(W362=0,"Soldée",IF(p_asof&gt;P362,"En retard",IF(U362+V362&gt;0,"Partielle","À échoir"))))))</f>
        <v/>
      </c>
      <c r="Z362" s="59" t="str">
        <f>IF(NOT(COUNTA(B362:D362,F362:O362)&gt;0),"",IF(C362="","Date manquante",IF(NOT(ISNUMBER(C362)),"Date invalide",IF(D362="","Client manquant",IF(ISNA(MATCH(D362,cli_code,0)),"Client inconnu",IF(AC362&lt;SUMPRODUCT(MAX(($AB$6:AB361=AB362)*$AC$6:AC361)),"Date antérieure à la facture précédente",IF(AND(F362&lt;&gt;"",ISNA(MATCH(F362,dv_num,0))),"Devis inconnu",IF(AND(F362&lt;&gt;"",IFERROR(INDEX(dv_client,MATCH(F362,dv_num,0)),D362)&lt;&gt;D362),"Client différent de celui du devis",IF(AG362="","Aucune ligne : saisissez des lignes ou un devis",IF(AND(AI362&lt;&gt;"",COUNTIF($AI$6:AI362,AI362)&gt;1),"Devis déjà repris par une autre facture",IF(AND(AA362="Avoir",M362=""),"Avoir : indiquez la facture d'origine",IF(AND(AA362="Avoir",ISNA(MATCH(M362,fa_num,0))),"Facture d'origine inconnue",IF(AND(AA362&lt;&gt;"Avoir",M362&lt;&gt;""),"« Avoir sur facture » : réservé aux avoirs",IF(AND(L362&lt;&gt;"",AA362&lt;&gt;"Facture"),"Acompte à déduire : réservé aux factures",IF(AND(L362&lt;&gt;"",ISNA(MATCH(L362,fa_num,0))),"Facture d'acompte inconnue",IF(AND(L362&lt;&gt;"",IFERROR(INDEX(fa_type,MATCH(L362,fa_num,0)),"")&lt;&gt;"Facture d'acompte"),"Le n° à déduire n'est pas une facture d'acompte",IF(AND(L362&lt;&gt;"",COUNTIF($L$6:L362,L362)&gt;1),"Acompte déjà déduit sur une autre facture",IF(AND(L362&lt;&gt;"",IFERROR(INDEX(fa_client,MATCH(L362,fa_num,0)),D362)&lt;&gt;D362),"Acompte d'un autre client",IF(AND(AR362&lt;&gt;"",N(Q362)&lt;0),"Acompte supérieur au total de la facture",IF(IF(AG362="Facture",COUNTIFS(fl_doc,A362,fl_check,"&lt;&gt;OK"),IF(AG362="Devis",COUNTIFS(dl_doc,F362,dl_check,"&lt;&gt;OK"),0))&gt;0,"Ligne(s) à corriger",IF(AND(W362&lt;&gt;"",N(W362)&lt;0),"Trop-perçu : vérifiez paiements et avoirs","OK")))))))))))))))))))))</f>
        <v/>
      </c>
      <c r="AA362" s="62" t="str">
        <f>IF(COUNTA(B362:D362,F362:O362)&gt;0,IF(B362="","Facture",B362),"")</f>
        <v/>
      </c>
      <c r="AB362" s="62" t="str">
        <f>IF(AA362="","",IF(AA362="Avoir",p_pav,IF(AA362="Facture d'acompte",p_pac,p_pfa)))</f>
        <v/>
      </c>
      <c r="AC362" s="62">
        <f>IF(ISNUMBER(C362),C362,0)</f>
        <v>0.0</v>
      </c>
      <c r="AD362" s="62" t="str">
        <f>IF(OR(AA362="",AC362=0),"",YEAR(AC362))</f>
        <v/>
      </c>
      <c r="AE362" s="62" t="str">
        <f>IF(AD362="","",COUNTIFS($AB$6:AB362,AB362,$AD$6:AD362,AD362))</f>
        <v/>
      </c>
      <c r="AF362" s="62">
        <f>IF(A362="",0,COUNTIF(fl_doc,A362))</f>
        <v>0.0</v>
      </c>
      <c r="AG362" s="62" t="str">
        <f>IF(A362="","",IF(AF362&gt;0,"Facture",IF(AND(F362&lt;&gt;"",AA362="Facture",ISNUMBER(MATCH(F362,dv_num,0))),"Devis","")))</f>
        <v/>
      </c>
      <c r="AH362" s="62" t="str">
        <f>IF(AND(A362&lt;&gt;"",F362&lt;&gt;"",AA362&lt;&gt;"Avoir"),F362,"")</f>
        <v/>
      </c>
      <c r="AI362" s="62" t="str">
        <f>IF(AG362="Devis",F362,"")</f>
        <v/>
      </c>
      <c r="AJ362" s="62">
        <f>IF(AG362="Facture",SUMIF(fl_doc,A362,fl_ht),IF(AG362="Devis",SUMIF(dl_doc,F362,dl_ht),0))</f>
        <v>0.0</v>
      </c>
      <c r="AK362" s="62">
        <f>IF(OR(AG362="",INDEX(p_rates,1)=""),0,IF(AG362="Facture",SUMIFS(fl_ht,fl_doc,A362,fl_rate,INDEX(p_rates,1)),SUMIFS(dl_ht,dl_doc,F362,dl_rate,INDEX(p_rates,1))))</f>
        <v>0.0</v>
      </c>
      <c r="AL362" s="62">
        <f>IF(OR(AG362="",INDEX(p_rates,2)=""),0,IF(AG362="Facture",SUMIFS(fl_ht,fl_doc,A362,fl_rate,INDEX(p_rates,2)),SUMIFS(dl_ht,dl_doc,F362,dl_rate,INDEX(p_rates,2))))</f>
        <v>0.0</v>
      </c>
      <c r="AM362" s="62">
        <f>IF(OR(AG362="",INDEX(p_rates,3)=""),0,IF(AG362="Facture",SUMIFS(fl_ht,fl_doc,A362,fl_rate,INDEX(p_rates,3)),SUMIFS(dl_ht,dl_doc,F362,dl_rate,INDEX(p_rates,3))))</f>
        <v>0.0</v>
      </c>
      <c r="AN362" s="62">
        <f>IF(OR(AG362="",INDEX(p_rates,4)=""),0,IF(AG362="Facture",SUMIFS(fl_ht,fl_doc,A362,fl_rate,INDEX(p_rates,4)),SUMIFS(dl_ht,dl_doc,F362,dl_rate,INDEX(p_rates,4))))</f>
        <v>0.0</v>
      </c>
      <c r="AO362" s="62">
        <f>IF(OR(AG362="",INDEX(p_rates,5)=""),0,IF(AG362="Facture",SUMIFS(fl_ht,fl_doc,A362,fl_rate,INDEX(p_rates,5)),SUMIFS(dl_ht,dl_doc,F362,dl_rate,INDEX(p_rates,5))))</f>
        <v>0.0</v>
      </c>
      <c r="AP362" s="62">
        <f>IF(OR(AG362="",INDEX(p_rates,6)=""),0,IF(AG362="Facture",SUMIFS(fl_ht,fl_doc,A362,fl_rate,INDEX(p_rates,6)),SUMIFS(dl_ht,dl_doc,F362,dl_rate,INDEX(p_rates,6))))</f>
        <v>0.0</v>
      </c>
      <c r="AQ362" s="62">
        <f>ROUND(AK362*N(INDEX(p_rates,1)),2)+ROUND(AL362*N(INDEX(p_rates,2)),2)+ROUND(AM362*N(INDEX(p_rates,3)),2)+ROUND(AN362*N(INDEX(p_rates,4)),2)+ROUND(AO362*N(INDEX(p_rates,5)),2)+ROUND(AP362*N(INDEX(p_rates,6)),2)</f>
        <v>0.0</v>
      </c>
      <c r="AR362" s="62" t="str">
        <f>IF(OR(L362="",AA362&lt;&gt;"Facture"),"",IFERROR(IF(INDEX(fa_type,MATCH(L362,fa_num,0))="Facture d'acompte",MATCH(L362,fa_num,0),""),""))</f>
        <v/>
      </c>
      <c r="AS362" s="62" t="str">
        <f>IF(W362="","",IF(W362&lt;=0,"",IF(p_asof-P362&lt;=0,"Non échu",IF(p_asof-P362&lt;=30,"1-30 j",IF(p_asof-P362&lt;=60,"31-60 j",IF(p_asof-P362&lt;=90,"61-90 j","Plus de 90 j"))))))</f>
        <v/>
      </c>
      <c r="AT362" s="62" t="str">
        <f>IF(AS362="","",p_asof-P362)</f>
        <v/>
      </c>
      <c r="AU362" s="62" t="str">
        <f>IF(AT362="","",COUNTIF($AT$6:$AT$805,"&gt;"&amp;AT362)+COUNTIF($AT$6:AT362,AT362))</f>
        <v/>
      </c>
    </row>
    <row r="363">
      <c r="A363" s="59" t="str">
        <f>IF(AE363="","",AB363&amp;"-"&amp;AD363&amp;"-"&amp;RIGHT("000"&amp;AE363,4))</f>
        <v/>
      </c>
      <c r="B363" s="60" t="n"/>
      <c r="C363" s="61" t="n"/>
      <c r="D363" s="60" t="n"/>
      <c r="E363" s="62" t="str">
        <f>IF(D363="","",IFERROR(INDEX(cli_name,MATCH(D363,cli_code,0))&amp;"","Client inconnu"))</f>
        <v/>
      </c>
      <c r="F363" s="60" t="n"/>
      <c r="G363" s="63" t="n"/>
      <c r="H363" s="61" t="n"/>
      <c r="I363" s="63" t="n"/>
      <c r="J363" s="60" t="n"/>
      <c r="K363" s="61" t="n"/>
      <c r="L363" s="60" t="n"/>
      <c r="M363" s="60" t="n"/>
      <c r="N363" s="60" t="n"/>
      <c r="O363" s="61" t="n"/>
      <c r="P363" s="64" t="str">
        <f>IF(A363="","",IF(AA363="Avoir",AC363,IF(ISNUMBER(K363),K363,AC363+IF(D363="",N(p_delay),IFERROR(IF(ISNUMBER(INDEX(cli_delay,MATCH(D363,cli_code,0))),INDEX(cli_delay,MATCH(D363,cli_code,0)),N(p_delay)),N(p_delay))))))</f>
        <v/>
      </c>
      <c r="Q363" s="65" t="str">
        <f>IF(A363="","",IF(AA363="Avoir",-1,1)*ROUND(AJ363-IF(AR363="",0,INDEX(fa_htb,AR363)),2))</f>
        <v/>
      </c>
      <c r="R363" s="65" t="str">
        <f>IF(A363="","",IF(AA363="Avoir",-1,1)*ROUND(AQ363-IF(AR363="",0,INDEX(fa_tvab,AR363)),2))</f>
        <v/>
      </c>
      <c r="S363" s="65" t="str">
        <f>IF(A363="","",Q363+R363)</f>
        <v/>
      </c>
      <c r="T363" s="65" t="str">
        <f>IF(AR363="","",INDEX(fa_htb,AR363)+INDEX(fa_tvab,AR363))</f>
        <v/>
      </c>
      <c r="U363" s="65" t="str">
        <f>IF(A363="","",SUMIF(pa_inv,A363,pa_amt))</f>
        <v/>
      </c>
      <c r="V363" s="65" t="str">
        <f>IF(OR(A363="",AA363="Avoir"),"",-SUMIFS(fa_ttc,fa_avof,A363,fa_type,"Avoir"))</f>
        <v/>
      </c>
      <c r="W363" s="65" t="str">
        <f>IF(OR(A363="",AA363="Avoir"),"",ROUND(S363-U363-V363,2))</f>
        <v/>
      </c>
      <c r="X363" s="66" t="str">
        <f>IF(W363="","",IF(AND(W363&gt;0,p_asof&gt;P363),p_asof-P363,""))</f>
        <v/>
      </c>
      <c r="Y363" s="59" t="str">
        <f>IF(A363="","",IF(AA363="Avoir","Avoir",IF(W363&lt;0,"Trop-perçu",IF(W363=0,"Soldée",IF(p_asof&gt;P363,"En retard",IF(U363+V363&gt;0,"Partielle","À échoir"))))))</f>
        <v/>
      </c>
      <c r="Z363" s="59" t="str">
        <f>IF(NOT(COUNTA(B363:D363,F363:O363)&gt;0),"",IF(C363="","Date manquante",IF(NOT(ISNUMBER(C363)),"Date invalide",IF(D363="","Client manquant",IF(ISNA(MATCH(D363,cli_code,0)),"Client inconnu",IF(AC363&lt;SUMPRODUCT(MAX(($AB$6:AB362=AB363)*$AC$6:AC362)),"Date antérieure à la facture précédente",IF(AND(F363&lt;&gt;"",ISNA(MATCH(F363,dv_num,0))),"Devis inconnu",IF(AND(F363&lt;&gt;"",IFERROR(INDEX(dv_client,MATCH(F363,dv_num,0)),D363)&lt;&gt;D363),"Client différent de celui du devis",IF(AG363="","Aucune ligne : saisissez des lignes ou un devis",IF(AND(AI363&lt;&gt;"",COUNTIF($AI$6:AI363,AI363)&gt;1),"Devis déjà repris par une autre facture",IF(AND(AA363="Avoir",M363=""),"Avoir : indiquez la facture d'origine",IF(AND(AA363="Avoir",ISNA(MATCH(M363,fa_num,0))),"Facture d'origine inconnue",IF(AND(AA363&lt;&gt;"Avoir",M363&lt;&gt;""),"« Avoir sur facture » : réservé aux avoirs",IF(AND(L363&lt;&gt;"",AA363&lt;&gt;"Facture"),"Acompte à déduire : réservé aux factures",IF(AND(L363&lt;&gt;"",ISNA(MATCH(L363,fa_num,0))),"Facture d'acompte inconnue",IF(AND(L363&lt;&gt;"",IFERROR(INDEX(fa_type,MATCH(L363,fa_num,0)),"")&lt;&gt;"Facture d'acompte"),"Le n° à déduire n'est pas une facture d'acompte",IF(AND(L363&lt;&gt;"",COUNTIF($L$6:L363,L363)&gt;1),"Acompte déjà déduit sur une autre facture",IF(AND(L363&lt;&gt;"",IFERROR(INDEX(fa_client,MATCH(L363,fa_num,0)),D363)&lt;&gt;D363),"Acompte d'un autre client",IF(AND(AR363&lt;&gt;"",N(Q363)&lt;0),"Acompte supérieur au total de la facture",IF(IF(AG363="Facture",COUNTIFS(fl_doc,A363,fl_check,"&lt;&gt;OK"),IF(AG363="Devis",COUNTIFS(dl_doc,F363,dl_check,"&lt;&gt;OK"),0))&gt;0,"Ligne(s) à corriger",IF(AND(W363&lt;&gt;"",N(W363)&lt;0),"Trop-perçu : vérifiez paiements et avoirs","OK")))))))))))))))))))))</f>
        <v/>
      </c>
      <c r="AA363" s="62" t="str">
        <f>IF(COUNTA(B363:D363,F363:O363)&gt;0,IF(B363="","Facture",B363),"")</f>
        <v/>
      </c>
      <c r="AB363" s="62" t="str">
        <f>IF(AA363="","",IF(AA363="Avoir",p_pav,IF(AA363="Facture d'acompte",p_pac,p_pfa)))</f>
        <v/>
      </c>
      <c r="AC363" s="62">
        <f>IF(ISNUMBER(C363),C363,0)</f>
        <v>0.0</v>
      </c>
      <c r="AD363" s="62" t="str">
        <f>IF(OR(AA363="",AC363=0),"",YEAR(AC363))</f>
        <v/>
      </c>
      <c r="AE363" s="62" t="str">
        <f>IF(AD363="","",COUNTIFS($AB$6:AB363,AB363,$AD$6:AD363,AD363))</f>
        <v/>
      </c>
      <c r="AF363" s="62">
        <f>IF(A363="",0,COUNTIF(fl_doc,A363))</f>
        <v>0.0</v>
      </c>
      <c r="AG363" s="62" t="str">
        <f>IF(A363="","",IF(AF363&gt;0,"Facture",IF(AND(F363&lt;&gt;"",AA363="Facture",ISNUMBER(MATCH(F363,dv_num,0))),"Devis","")))</f>
        <v/>
      </c>
      <c r="AH363" s="62" t="str">
        <f>IF(AND(A363&lt;&gt;"",F363&lt;&gt;"",AA363&lt;&gt;"Avoir"),F363,"")</f>
        <v/>
      </c>
      <c r="AI363" s="62" t="str">
        <f>IF(AG363="Devis",F363,"")</f>
        <v/>
      </c>
      <c r="AJ363" s="62">
        <f>IF(AG363="Facture",SUMIF(fl_doc,A363,fl_ht),IF(AG363="Devis",SUMIF(dl_doc,F363,dl_ht),0))</f>
        <v>0.0</v>
      </c>
      <c r="AK363" s="62">
        <f>IF(OR(AG363="",INDEX(p_rates,1)=""),0,IF(AG363="Facture",SUMIFS(fl_ht,fl_doc,A363,fl_rate,INDEX(p_rates,1)),SUMIFS(dl_ht,dl_doc,F363,dl_rate,INDEX(p_rates,1))))</f>
        <v>0.0</v>
      </c>
      <c r="AL363" s="62">
        <f>IF(OR(AG363="",INDEX(p_rates,2)=""),0,IF(AG363="Facture",SUMIFS(fl_ht,fl_doc,A363,fl_rate,INDEX(p_rates,2)),SUMIFS(dl_ht,dl_doc,F363,dl_rate,INDEX(p_rates,2))))</f>
        <v>0.0</v>
      </c>
      <c r="AM363" s="62">
        <f>IF(OR(AG363="",INDEX(p_rates,3)=""),0,IF(AG363="Facture",SUMIFS(fl_ht,fl_doc,A363,fl_rate,INDEX(p_rates,3)),SUMIFS(dl_ht,dl_doc,F363,dl_rate,INDEX(p_rates,3))))</f>
        <v>0.0</v>
      </c>
      <c r="AN363" s="62">
        <f>IF(OR(AG363="",INDEX(p_rates,4)=""),0,IF(AG363="Facture",SUMIFS(fl_ht,fl_doc,A363,fl_rate,INDEX(p_rates,4)),SUMIFS(dl_ht,dl_doc,F363,dl_rate,INDEX(p_rates,4))))</f>
        <v>0.0</v>
      </c>
      <c r="AO363" s="62">
        <f>IF(OR(AG363="",INDEX(p_rates,5)=""),0,IF(AG363="Facture",SUMIFS(fl_ht,fl_doc,A363,fl_rate,INDEX(p_rates,5)),SUMIFS(dl_ht,dl_doc,F363,dl_rate,INDEX(p_rates,5))))</f>
        <v>0.0</v>
      </c>
      <c r="AP363" s="62">
        <f>IF(OR(AG363="",INDEX(p_rates,6)=""),0,IF(AG363="Facture",SUMIFS(fl_ht,fl_doc,A363,fl_rate,INDEX(p_rates,6)),SUMIFS(dl_ht,dl_doc,F363,dl_rate,INDEX(p_rates,6))))</f>
        <v>0.0</v>
      </c>
      <c r="AQ363" s="62">
        <f>ROUND(AK363*N(INDEX(p_rates,1)),2)+ROUND(AL363*N(INDEX(p_rates,2)),2)+ROUND(AM363*N(INDEX(p_rates,3)),2)+ROUND(AN363*N(INDEX(p_rates,4)),2)+ROUND(AO363*N(INDEX(p_rates,5)),2)+ROUND(AP363*N(INDEX(p_rates,6)),2)</f>
        <v>0.0</v>
      </c>
      <c r="AR363" s="62" t="str">
        <f>IF(OR(L363="",AA363&lt;&gt;"Facture"),"",IFERROR(IF(INDEX(fa_type,MATCH(L363,fa_num,0))="Facture d'acompte",MATCH(L363,fa_num,0),""),""))</f>
        <v/>
      </c>
      <c r="AS363" s="62" t="str">
        <f>IF(W363="","",IF(W363&lt;=0,"",IF(p_asof-P363&lt;=0,"Non échu",IF(p_asof-P363&lt;=30,"1-30 j",IF(p_asof-P363&lt;=60,"31-60 j",IF(p_asof-P363&lt;=90,"61-90 j","Plus de 90 j"))))))</f>
        <v/>
      </c>
      <c r="AT363" s="62" t="str">
        <f>IF(AS363="","",p_asof-P363)</f>
        <v/>
      </c>
      <c r="AU363" s="62" t="str">
        <f>IF(AT363="","",COUNTIF($AT$6:$AT$805,"&gt;"&amp;AT363)+COUNTIF($AT$6:AT363,AT363))</f>
        <v/>
      </c>
    </row>
    <row r="364">
      <c r="A364" s="59" t="str">
        <f>IF(AE364="","",AB364&amp;"-"&amp;AD364&amp;"-"&amp;RIGHT("000"&amp;AE364,4))</f>
        <v/>
      </c>
      <c r="B364" s="60" t="n"/>
      <c r="C364" s="61" t="n"/>
      <c r="D364" s="60" t="n"/>
      <c r="E364" s="62" t="str">
        <f>IF(D364="","",IFERROR(INDEX(cli_name,MATCH(D364,cli_code,0))&amp;"","Client inconnu"))</f>
        <v/>
      </c>
      <c r="F364" s="60" t="n"/>
      <c r="G364" s="63" t="n"/>
      <c r="H364" s="61" t="n"/>
      <c r="I364" s="63" t="n"/>
      <c r="J364" s="60" t="n"/>
      <c r="K364" s="61" t="n"/>
      <c r="L364" s="60" t="n"/>
      <c r="M364" s="60" t="n"/>
      <c r="N364" s="60" t="n"/>
      <c r="O364" s="61" t="n"/>
      <c r="P364" s="64" t="str">
        <f>IF(A364="","",IF(AA364="Avoir",AC364,IF(ISNUMBER(K364),K364,AC364+IF(D364="",N(p_delay),IFERROR(IF(ISNUMBER(INDEX(cli_delay,MATCH(D364,cli_code,0))),INDEX(cli_delay,MATCH(D364,cli_code,0)),N(p_delay)),N(p_delay))))))</f>
        <v/>
      </c>
      <c r="Q364" s="65" t="str">
        <f>IF(A364="","",IF(AA364="Avoir",-1,1)*ROUND(AJ364-IF(AR364="",0,INDEX(fa_htb,AR364)),2))</f>
        <v/>
      </c>
      <c r="R364" s="65" t="str">
        <f>IF(A364="","",IF(AA364="Avoir",-1,1)*ROUND(AQ364-IF(AR364="",0,INDEX(fa_tvab,AR364)),2))</f>
        <v/>
      </c>
      <c r="S364" s="65" t="str">
        <f>IF(A364="","",Q364+R364)</f>
        <v/>
      </c>
      <c r="T364" s="65" t="str">
        <f>IF(AR364="","",INDEX(fa_htb,AR364)+INDEX(fa_tvab,AR364))</f>
        <v/>
      </c>
      <c r="U364" s="65" t="str">
        <f>IF(A364="","",SUMIF(pa_inv,A364,pa_amt))</f>
        <v/>
      </c>
      <c r="V364" s="65" t="str">
        <f>IF(OR(A364="",AA364="Avoir"),"",-SUMIFS(fa_ttc,fa_avof,A364,fa_type,"Avoir"))</f>
        <v/>
      </c>
      <c r="W364" s="65" t="str">
        <f>IF(OR(A364="",AA364="Avoir"),"",ROUND(S364-U364-V364,2))</f>
        <v/>
      </c>
      <c r="X364" s="66" t="str">
        <f>IF(W364="","",IF(AND(W364&gt;0,p_asof&gt;P364),p_asof-P364,""))</f>
        <v/>
      </c>
      <c r="Y364" s="59" t="str">
        <f>IF(A364="","",IF(AA364="Avoir","Avoir",IF(W364&lt;0,"Trop-perçu",IF(W364=0,"Soldée",IF(p_asof&gt;P364,"En retard",IF(U364+V364&gt;0,"Partielle","À échoir"))))))</f>
        <v/>
      </c>
      <c r="Z364" s="59" t="str">
        <f>IF(NOT(COUNTA(B364:D364,F364:O364)&gt;0),"",IF(C364="","Date manquante",IF(NOT(ISNUMBER(C364)),"Date invalide",IF(D364="","Client manquant",IF(ISNA(MATCH(D364,cli_code,0)),"Client inconnu",IF(AC364&lt;SUMPRODUCT(MAX(($AB$6:AB363=AB364)*$AC$6:AC363)),"Date antérieure à la facture précédente",IF(AND(F364&lt;&gt;"",ISNA(MATCH(F364,dv_num,0))),"Devis inconnu",IF(AND(F364&lt;&gt;"",IFERROR(INDEX(dv_client,MATCH(F364,dv_num,0)),D364)&lt;&gt;D364),"Client différent de celui du devis",IF(AG364="","Aucune ligne : saisissez des lignes ou un devis",IF(AND(AI364&lt;&gt;"",COUNTIF($AI$6:AI364,AI364)&gt;1),"Devis déjà repris par une autre facture",IF(AND(AA364="Avoir",M364=""),"Avoir : indiquez la facture d'origine",IF(AND(AA364="Avoir",ISNA(MATCH(M364,fa_num,0))),"Facture d'origine inconnue",IF(AND(AA364&lt;&gt;"Avoir",M364&lt;&gt;""),"« Avoir sur facture » : réservé aux avoirs",IF(AND(L364&lt;&gt;"",AA364&lt;&gt;"Facture"),"Acompte à déduire : réservé aux factures",IF(AND(L364&lt;&gt;"",ISNA(MATCH(L364,fa_num,0))),"Facture d'acompte inconnue",IF(AND(L364&lt;&gt;"",IFERROR(INDEX(fa_type,MATCH(L364,fa_num,0)),"")&lt;&gt;"Facture d'acompte"),"Le n° à déduire n'est pas une facture d'acompte",IF(AND(L364&lt;&gt;"",COUNTIF($L$6:L364,L364)&gt;1),"Acompte déjà déduit sur une autre facture",IF(AND(L364&lt;&gt;"",IFERROR(INDEX(fa_client,MATCH(L364,fa_num,0)),D364)&lt;&gt;D364),"Acompte d'un autre client",IF(AND(AR364&lt;&gt;"",N(Q364)&lt;0),"Acompte supérieur au total de la facture",IF(IF(AG364="Facture",COUNTIFS(fl_doc,A364,fl_check,"&lt;&gt;OK"),IF(AG364="Devis",COUNTIFS(dl_doc,F364,dl_check,"&lt;&gt;OK"),0))&gt;0,"Ligne(s) à corriger",IF(AND(W364&lt;&gt;"",N(W364)&lt;0),"Trop-perçu : vérifiez paiements et avoirs","OK")))))))))))))))))))))</f>
        <v/>
      </c>
      <c r="AA364" s="62" t="str">
        <f>IF(COUNTA(B364:D364,F364:O364)&gt;0,IF(B364="","Facture",B364),"")</f>
        <v/>
      </c>
      <c r="AB364" s="62" t="str">
        <f>IF(AA364="","",IF(AA364="Avoir",p_pav,IF(AA364="Facture d'acompte",p_pac,p_pfa)))</f>
        <v/>
      </c>
      <c r="AC364" s="62">
        <f>IF(ISNUMBER(C364),C364,0)</f>
        <v>0.0</v>
      </c>
      <c r="AD364" s="62" t="str">
        <f>IF(OR(AA364="",AC364=0),"",YEAR(AC364))</f>
        <v/>
      </c>
      <c r="AE364" s="62" t="str">
        <f>IF(AD364="","",COUNTIFS($AB$6:AB364,AB364,$AD$6:AD364,AD364))</f>
        <v/>
      </c>
      <c r="AF364" s="62">
        <f>IF(A364="",0,COUNTIF(fl_doc,A364))</f>
        <v>0.0</v>
      </c>
      <c r="AG364" s="62" t="str">
        <f>IF(A364="","",IF(AF364&gt;0,"Facture",IF(AND(F364&lt;&gt;"",AA364="Facture",ISNUMBER(MATCH(F364,dv_num,0))),"Devis","")))</f>
        <v/>
      </c>
      <c r="AH364" s="62" t="str">
        <f>IF(AND(A364&lt;&gt;"",F364&lt;&gt;"",AA364&lt;&gt;"Avoir"),F364,"")</f>
        <v/>
      </c>
      <c r="AI364" s="62" t="str">
        <f>IF(AG364="Devis",F364,"")</f>
        <v/>
      </c>
      <c r="AJ364" s="62">
        <f>IF(AG364="Facture",SUMIF(fl_doc,A364,fl_ht),IF(AG364="Devis",SUMIF(dl_doc,F364,dl_ht),0))</f>
        <v>0.0</v>
      </c>
      <c r="AK364" s="62">
        <f>IF(OR(AG364="",INDEX(p_rates,1)=""),0,IF(AG364="Facture",SUMIFS(fl_ht,fl_doc,A364,fl_rate,INDEX(p_rates,1)),SUMIFS(dl_ht,dl_doc,F364,dl_rate,INDEX(p_rates,1))))</f>
        <v>0.0</v>
      </c>
      <c r="AL364" s="62">
        <f>IF(OR(AG364="",INDEX(p_rates,2)=""),0,IF(AG364="Facture",SUMIFS(fl_ht,fl_doc,A364,fl_rate,INDEX(p_rates,2)),SUMIFS(dl_ht,dl_doc,F364,dl_rate,INDEX(p_rates,2))))</f>
        <v>0.0</v>
      </c>
      <c r="AM364" s="62">
        <f>IF(OR(AG364="",INDEX(p_rates,3)=""),0,IF(AG364="Facture",SUMIFS(fl_ht,fl_doc,A364,fl_rate,INDEX(p_rates,3)),SUMIFS(dl_ht,dl_doc,F364,dl_rate,INDEX(p_rates,3))))</f>
        <v>0.0</v>
      </c>
      <c r="AN364" s="62">
        <f>IF(OR(AG364="",INDEX(p_rates,4)=""),0,IF(AG364="Facture",SUMIFS(fl_ht,fl_doc,A364,fl_rate,INDEX(p_rates,4)),SUMIFS(dl_ht,dl_doc,F364,dl_rate,INDEX(p_rates,4))))</f>
        <v>0.0</v>
      </c>
      <c r="AO364" s="62">
        <f>IF(OR(AG364="",INDEX(p_rates,5)=""),0,IF(AG364="Facture",SUMIFS(fl_ht,fl_doc,A364,fl_rate,INDEX(p_rates,5)),SUMIFS(dl_ht,dl_doc,F364,dl_rate,INDEX(p_rates,5))))</f>
        <v>0.0</v>
      </c>
      <c r="AP364" s="62">
        <f>IF(OR(AG364="",INDEX(p_rates,6)=""),0,IF(AG364="Facture",SUMIFS(fl_ht,fl_doc,A364,fl_rate,INDEX(p_rates,6)),SUMIFS(dl_ht,dl_doc,F364,dl_rate,INDEX(p_rates,6))))</f>
        <v>0.0</v>
      </c>
      <c r="AQ364" s="62">
        <f>ROUND(AK364*N(INDEX(p_rates,1)),2)+ROUND(AL364*N(INDEX(p_rates,2)),2)+ROUND(AM364*N(INDEX(p_rates,3)),2)+ROUND(AN364*N(INDEX(p_rates,4)),2)+ROUND(AO364*N(INDEX(p_rates,5)),2)+ROUND(AP364*N(INDEX(p_rates,6)),2)</f>
        <v>0.0</v>
      </c>
      <c r="AR364" s="62" t="str">
        <f>IF(OR(L364="",AA364&lt;&gt;"Facture"),"",IFERROR(IF(INDEX(fa_type,MATCH(L364,fa_num,0))="Facture d'acompte",MATCH(L364,fa_num,0),""),""))</f>
        <v/>
      </c>
      <c r="AS364" s="62" t="str">
        <f>IF(W364="","",IF(W364&lt;=0,"",IF(p_asof-P364&lt;=0,"Non échu",IF(p_asof-P364&lt;=30,"1-30 j",IF(p_asof-P364&lt;=60,"31-60 j",IF(p_asof-P364&lt;=90,"61-90 j","Plus de 90 j"))))))</f>
        <v/>
      </c>
      <c r="AT364" s="62" t="str">
        <f>IF(AS364="","",p_asof-P364)</f>
        <v/>
      </c>
      <c r="AU364" s="62" t="str">
        <f>IF(AT364="","",COUNTIF($AT$6:$AT$805,"&gt;"&amp;AT364)+COUNTIF($AT$6:AT364,AT364))</f>
        <v/>
      </c>
    </row>
    <row r="365">
      <c r="A365" s="59" t="str">
        <f>IF(AE365="","",AB365&amp;"-"&amp;AD365&amp;"-"&amp;RIGHT("000"&amp;AE365,4))</f>
        <v/>
      </c>
      <c r="B365" s="60" t="n"/>
      <c r="C365" s="61" t="n"/>
      <c r="D365" s="60" t="n"/>
      <c r="E365" s="62" t="str">
        <f>IF(D365="","",IFERROR(INDEX(cli_name,MATCH(D365,cli_code,0))&amp;"","Client inconnu"))</f>
        <v/>
      </c>
      <c r="F365" s="60" t="n"/>
      <c r="G365" s="63" t="n"/>
      <c r="H365" s="61" t="n"/>
      <c r="I365" s="63" t="n"/>
      <c r="J365" s="60" t="n"/>
      <c r="K365" s="61" t="n"/>
      <c r="L365" s="60" t="n"/>
      <c r="M365" s="60" t="n"/>
      <c r="N365" s="60" t="n"/>
      <c r="O365" s="61" t="n"/>
      <c r="P365" s="64" t="str">
        <f>IF(A365="","",IF(AA365="Avoir",AC365,IF(ISNUMBER(K365),K365,AC365+IF(D365="",N(p_delay),IFERROR(IF(ISNUMBER(INDEX(cli_delay,MATCH(D365,cli_code,0))),INDEX(cli_delay,MATCH(D365,cli_code,0)),N(p_delay)),N(p_delay))))))</f>
        <v/>
      </c>
      <c r="Q365" s="65" t="str">
        <f>IF(A365="","",IF(AA365="Avoir",-1,1)*ROUND(AJ365-IF(AR365="",0,INDEX(fa_htb,AR365)),2))</f>
        <v/>
      </c>
      <c r="R365" s="65" t="str">
        <f>IF(A365="","",IF(AA365="Avoir",-1,1)*ROUND(AQ365-IF(AR365="",0,INDEX(fa_tvab,AR365)),2))</f>
        <v/>
      </c>
      <c r="S365" s="65" t="str">
        <f>IF(A365="","",Q365+R365)</f>
        <v/>
      </c>
      <c r="T365" s="65" t="str">
        <f>IF(AR365="","",INDEX(fa_htb,AR365)+INDEX(fa_tvab,AR365))</f>
        <v/>
      </c>
      <c r="U365" s="65" t="str">
        <f>IF(A365="","",SUMIF(pa_inv,A365,pa_amt))</f>
        <v/>
      </c>
      <c r="V365" s="65" t="str">
        <f>IF(OR(A365="",AA365="Avoir"),"",-SUMIFS(fa_ttc,fa_avof,A365,fa_type,"Avoir"))</f>
        <v/>
      </c>
      <c r="W365" s="65" t="str">
        <f>IF(OR(A365="",AA365="Avoir"),"",ROUND(S365-U365-V365,2))</f>
        <v/>
      </c>
      <c r="X365" s="66" t="str">
        <f>IF(W365="","",IF(AND(W365&gt;0,p_asof&gt;P365),p_asof-P365,""))</f>
        <v/>
      </c>
      <c r="Y365" s="59" t="str">
        <f>IF(A365="","",IF(AA365="Avoir","Avoir",IF(W365&lt;0,"Trop-perçu",IF(W365=0,"Soldée",IF(p_asof&gt;P365,"En retard",IF(U365+V365&gt;0,"Partielle","À échoir"))))))</f>
        <v/>
      </c>
      <c r="Z365" s="59" t="str">
        <f>IF(NOT(COUNTA(B365:D365,F365:O365)&gt;0),"",IF(C365="","Date manquante",IF(NOT(ISNUMBER(C365)),"Date invalide",IF(D365="","Client manquant",IF(ISNA(MATCH(D365,cli_code,0)),"Client inconnu",IF(AC365&lt;SUMPRODUCT(MAX(($AB$6:AB364=AB365)*$AC$6:AC364)),"Date antérieure à la facture précédente",IF(AND(F365&lt;&gt;"",ISNA(MATCH(F365,dv_num,0))),"Devis inconnu",IF(AND(F365&lt;&gt;"",IFERROR(INDEX(dv_client,MATCH(F365,dv_num,0)),D365)&lt;&gt;D365),"Client différent de celui du devis",IF(AG365="","Aucune ligne : saisissez des lignes ou un devis",IF(AND(AI365&lt;&gt;"",COUNTIF($AI$6:AI365,AI365)&gt;1),"Devis déjà repris par une autre facture",IF(AND(AA365="Avoir",M365=""),"Avoir : indiquez la facture d'origine",IF(AND(AA365="Avoir",ISNA(MATCH(M365,fa_num,0))),"Facture d'origine inconnue",IF(AND(AA365&lt;&gt;"Avoir",M365&lt;&gt;""),"« Avoir sur facture » : réservé aux avoirs",IF(AND(L365&lt;&gt;"",AA365&lt;&gt;"Facture"),"Acompte à déduire : réservé aux factures",IF(AND(L365&lt;&gt;"",ISNA(MATCH(L365,fa_num,0))),"Facture d'acompte inconnue",IF(AND(L365&lt;&gt;"",IFERROR(INDEX(fa_type,MATCH(L365,fa_num,0)),"")&lt;&gt;"Facture d'acompte"),"Le n° à déduire n'est pas une facture d'acompte",IF(AND(L365&lt;&gt;"",COUNTIF($L$6:L365,L365)&gt;1),"Acompte déjà déduit sur une autre facture",IF(AND(L365&lt;&gt;"",IFERROR(INDEX(fa_client,MATCH(L365,fa_num,0)),D365)&lt;&gt;D365),"Acompte d'un autre client",IF(AND(AR365&lt;&gt;"",N(Q365)&lt;0),"Acompte supérieur au total de la facture",IF(IF(AG365="Facture",COUNTIFS(fl_doc,A365,fl_check,"&lt;&gt;OK"),IF(AG365="Devis",COUNTIFS(dl_doc,F365,dl_check,"&lt;&gt;OK"),0))&gt;0,"Ligne(s) à corriger",IF(AND(W365&lt;&gt;"",N(W365)&lt;0),"Trop-perçu : vérifiez paiements et avoirs","OK")))))))))))))))))))))</f>
        <v/>
      </c>
      <c r="AA365" s="62" t="str">
        <f>IF(COUNTA(B365:D365,F365:O365)&gt;0,IF(B365="","Facture",B365),"")</f>
        <v/>
      </c>
      <c r="AB365" s="62" t="str">
        <f>IF(AA365="","",IF(AA365="Avoir",p_pav,IF(AA365="Facture d'acompte",p_pac,p_pfa)))</f>
        <v/>
      </c>
      <c r="AC365" s="62">
        <f>IF(ISNUMBER(C365),C365,0)</f>
        <v>0.0</v>
      </c>
      <c r="AD365" s="62" t="str">
        <f>IF(OR(AA365="",AC365=0),"",YEAR(AC365))</f>
        <v/>
      </c>
      <c r="AE365" s="62" t="str">
        <f>IF(AD365="","",COUNTIFS($AB$6:AB365,AB365,$AD$6:AD365,AD365))</f>
        <v/>
      </c>
      <c r="AF365" s="62">
        <f>IF(A365="",0,COUNTIF(fl_doc,A365))</f>
        <v>0.0</v>
      </c>
      <c r="AG365" s="62" t="str">
        <f>IF(A365="","",IF(AF365&gt;0,"Facture",IF(AND(F365&lt;&gt;"",AA365="Facture",ISNUMBER(MATCH(F365,dv_num,0))),"Devis","")))</f>
        <v/>
      </c>
      <c r="AH365" s="62" t="str">
        <f>IF(AND(A365&lt;&gt;"",F365&lt;&gt;"",AA365&lt;&gt;"Avoir"),F365,"")</f>
        <v/>
      </c>
      <c r="AI365" s="62" t="str">
        <f>IF(AG365="Devis",F365,"")</f>
        <v/>
      </c>
      <c r="AJ365" s="62">
        <f>IF(AG365="Facture",SUMIF(fl_doc,A365,fl_ht),IF(AG365="Devis",SUMIF(dl_doc,F365,dl_ht),0))</f>
        <v>0.0</v>
      </c>
      <c r="AK365" s="62">
        <f>IF(OR(AG365="",INDEX(p_rates,1)=""),0,IF(AG365="Facture",SUMIFS(fl_ht,fl_doc,A365,fl_rate,INDEX(p_rates,1)),SUMIFS(dl_ht,dl_doc,F365,dl_rate,INDEX(p_rates,1))))</f>
        <v>0.0</v>
      </c>
      <c r="AL365" s="62">
        <f>IF(OR(AG365="",INDEX(p_rates,2)=""),0,IF(AG365="Facture",SUMIFS(fl_ht,fl_doc,A365,fl_rate,INDEX(p_rates,2)),SUMIFS(dl_ht,dl_doc,F365,dl_rate,INDEX(p_rates,2))))</f>
        <v>0.0</v>
      </c>
      <c r="AM365" s="62">
        <f>IF(OR(AG365="",INDEX(p_rates,3)=""),0,IF(AG365="Facture",SUMIFS(fl_ht,fl_doc,A365,fl_rate,INDEX(p_rates,3)),SUMIFS(dl_ht,dl_doc,F365,dl_rate,INDEX(p_rates,3))))</f>
        <v>0.0</v>
      </c>
      <c r="AN365" s="62">
        <f>IF(OR(AG365="",INDEX(p_rates,4)=""),0,IF(AG365="Facture",SUMIFS(fl_ht,fl_doc,A365,fl_rate,INDEX(p_rates,4)),SUMIFS(dl_ht,dl_doc,F365,dl_rate,INDEX(p_rates,4))))</f>
        <v>0.0</v>
      </c>
      <c r="AO365" s="62">
        <f>IF(OR(AG365="",INDEX(p_rates,5)=""),0,IF(AG365="Facture",SUMIFS(fl_ht,fl_doc,A365,fl_rate,INDEX(p_rates,5)),SUMIFS(dl_ht,dl_doc,F365,dl_rate,INDEX(p_rates,5))))</f>
        <v>0.0</v>
      </c>
      <c r="AP365" s="62">
        <f>IF(OR(AG365="",INDEX(p_rates,6)=""),0,IF(AG365="Facture",SUMIFS(fl_ht,fl_doc,A365,fl_rate,INDEX(p_rates,6)),SUMIFS(dl_ht,dl_doc,F365,dl_rate,INDEX(p_rates,6))))</f>
        <v>0.0</v>
      </c>
      <c r="AQ365" s="62">
        <f>ROUND(AK365*N(INDEX(p_rates,1)),2)+ROUND(AL365*N(INDEX(p_rates,2)),2)+ROUND(AM365*N(INDEX(p_rates,3)),2)+ROUND(AN365*N(INDEX(p_rates,4)),2)+ROUND(AO365*N(INDEX(p_rates,5)),2)+ROUND(AP365*N(INDEX(p_rates,6)),2)</f>
        <v>0.0</v>
      </c>
      <c r="AR365" s="62" t="str">
        <f>IF(OR(L365="",AA365&lt;&gt;"Facture"),"",IFERROR(IF(INDEX(fa_type,MATCH(L365,fa_num,0))="Facture d'acompte",MATCH(L365,fa_num,0),""),""))</f>
        <v/>
      </c>
      <c r="AS365" s="62" t="str">
        <f>IF(W365="","",IF(W365&lt;=0,"",IF(p_asof-P365&lt;=0,"Non échu",IF(p_asof-P365&lt;=30,"1-30 j",IF(p_asof-P365&lt;=60,"31-60 j",IF(p_asof-P365&lt;=90,"61-90 j","Plus de 90 j"))))))</f>
        <v/>
      </c>
      <c r="AT365" s="62" t="str">
        <f>IF(AS365="","",p_asof-P365)</f>
        <v/>
      </c>
      <c r="AU365" s="62" t="str">
        <f>IF(AT365="","",COUNTIF($AT$6:$AT$805,"&gt;"&amp;AT365)+COUNTIF($AT$6:AT365,AT365))</f>
        <v/>
      </c>
    </row>
    <row r="366">
      <c r="A366" s="59" t="str">
        <f>IF(AE366="","",AB366&amp;"-"&amp;AD366&amp;"-"&amp;RIGHT("000"&amp;AE366,4))</f>
        <v/>
      </c>
      <c r="B366" s="60" t="n"/>
      <c r="C366" s="61" t="n"/>
      <c r="D366" s="60" t="n"/>
      <c r="E366" s="62" t="str">
        <f>IF(D366="","",IFERROR(INDEX(cli_name,MATCH(D366,cli_code,0))&amp;"","Client inconnu"))</f>
        <v/>
      </c>
      <c r="F366" s="60" t="n"/>
      <c r="G366" s="63" t="n"/>
      <c r="H366" s="61" t="n"/>
      <c r="I366" s="63" t="n"/>
      <c r="J366" s="60" t="n"/>
      <c r="K366" s="61" t="n"/>
      <c r="L366" s="60" t="n"/>
      <c r="M366" s="60" t="n"/>
      <c r="N366" s="60" t="n"/>
      <c r="O366" s="61" t="n"/>
      <c r="P366" s="64" t="str">
        <f>IF(A366="","",IF(AA366="Avoir",AC366,IF(ISNUMBER(K366),K366,AC366+IF(D366="",N(p_delay),IFERROR(IF(ISNUMBER(INDEX(cli_delay,MATCH(D366,cli_code,0))),INDEX(cli_delay,MATCH(D366,cli_code,0)),N(p_delay)),N(p_delay))))))</f>
        <v/>
      </c>
      <c r="Q366" s="65" t="str">
        <f>IF(A366="","",IF(AA366="Avoir",-1,1)*ROUND(AJ366-IF(AR366="",0,INDEX(fa_htb,AR366)),2))</f>
        <v/>
      </c>
      <c r="R366" s="65" t="str">
        <f>IF(A366="","",IF(AA366="Avoir",-1,1)*ROUND(AQ366-IF(AR366="",0,INDEX(fa_tvab,AR366)),2))</f>
        <v/>
      </c>
      <c r="S366" s="65" t="str">
        <f>IF(A366="","",Q366+R366)</f>
        <v/>
      </c>
      <c r="T366" s="65" t="str">
        <f>IF(AR366="","",INDEX(fa_htb,AR366)+INDEX(fa_tvab,AR366))</f>
        <v/>
      </c>
      <c r="U366" s="65" t="str">
        <f>IF(A366="","",SUMIF(pa_inv,A366,pa_amt))</f>
        <v/>
      </c>
      <c r="V366" s="65" t="str">
        <f>IF(OR(A366="",AA366="Avoir"),"",-SUMIFS(fa_ttc,fa_avof,A366,fa_type,"Avoir"))</f>
        <v/>
      </c>
      <c r="W366" s="65" t="str">
        <f>IF(OR(A366="",AA366="Avoir"),"",ROUND(S366-U366-V366,2))</f>
        <v/>
      </c>
      <c r="X366" s="66" t="str">
        <f>IF(W366="","",IF(AND(W366&gt;0,p_asof&gt;P366),p_asof-P366,""))</f>
        <v/>
      </c>
      <c r="Y366" s="59" t="str">
        <f>IF(A366="","",IF(AA366="Avoir","Avoir",IF(W366&lt;0,"Trop-perçu",IF(W366=0,"Soldée",IF(p_asof&gt;P366,"En retard",IF(U366+V366&gt;0,"Partielle","À échoir"))))))</f>
        <v/>
      </c>
      <c r="Z366" s="59" t="str">
        <f>IF(NOT(COUNTA(B366:D366,F366:O366)&gt;0),"",IF(C366="","Date manquante",IF(NOT(ISNUMBER(C366)),"Date invalide",IF(D366="","Client manquant",IF(ISNA(MATCH(D366,cli_code,0)),"Client inconnu",IF(AC366&lt;SUMPRODUCT(MAX(($AB$6:AB365=AB366)*$AC$6:AC365)),"Date antérieure à la facture précédente",IF(AND(F366&lt;&gt;"",ISNA(MATCH(F366,dv_num,0))),"Devis inconnu",IF(AND(F366&lt;&gt;"",IFERROR(INDEX(dv_client,MATCH(F366,dv_num,0)),D366)&lt;&gt;D366),"Client différent de celui du devis",IF(AG366="","Aucune ligne : saisissez des lignes ou un devis",IF(AND(AI366&lt;&gt;"",COUNTIF($AI$6:AI366,AI366)&gt;1),"Devis déjà repris par une autre facture",IF(AND(AA366="Avoir",M366=""),"Avoir : indiquez la facture d'origine",IF(AND(AA366="Avoir",ISNA(MATCH(M366,fa_num,0))),"Facture d'origine inconnue",IF(AND(AA366&lt;&gt;"Avoir",M366&lt;&gt;""),"« Avoir sur facture » : réservé aux avoirs",IF(AND(L366&lt;&gt;"",AA366&lt;&gt;"Facture"),"Acompte à déduire : réservé aux factures",IF(AND(L366&lt;&gt;"",ISNA(MATCH(L366,fa_num,0))),"Facture d'acompte inconnue",IF(AND(L366&lt;&gt;"",IFERROR(INDEX(fa_type,MATCH(L366,fa_num,0)),"")&lt;&gt;"Facture d'acompte"),"Le n° à déduire n'est pas une facture d'acompte",IF(AND(L366&lt;&gt;"",COUNTIF($L$6:L366,L366)&gt;1),"Acompte déjà déduit sur une autre facture",IF(AND(L366&lt;&gt;"",IFERROR(INDEX(fa_client,MATCH(L366,fa_num,0)),D366)&lt;&gt;D366),"Acompte d'un autre client",IF(AND(AR366&lt;&gt;"",N(Q366)&lt;0),"Acompte supérieur au total de la facture",IF(IF(AG366="Facture",COUNTIFS(fl_doc,A366,fl_check,"&lt;&gt;OK"),IF(AG366="Devis",COUNTIFS(dl_doc,F366,dl_check,"&lt;&gt;OK"),0))&gt;0,"Ligne(s) à corriger",IF(AND(W366&lt;&gt;"",N(W366)&lt;0),"Trop-perçu : vérifiez paiements et avoirs","OK")))))))))))))))))))))</f>
        <v/>
      </c>
      <c r="AA366" s="62" t="str">
        <f>IF(COUNTA(B366:D366,F366:O366)&gt;0,IF(B366="","Facture",B366),"")</f>
        <v/>
      </c>
      <c r="AB366" s="62" t="str">
        <f>IF(AA366="","",IF(AA366="Avoir",p_pav,IF(AA366="Facture d'acompte",p_pac,p_pfa)))</f>
        <v/>
      </c>
      <c r="AC366" s="62">
        <f>IF(ISNUMBER(C366),C366,0)</f>
        <v>0.0</v>
      </c>
      <c r="AD366" s="62" t="str">
        <f>IF(OR(AA366="",AC366=0),"",YEAR(AC366))</f>
        <v/>
      </c>
      <c r="AE366" s="62" t="str">
        <f>IF(AD366="","",COUNTIFS($AB$6:AB366,AB366,$AD$6:AD366,AD366))</f>
        <v/>
      </c>
      <c r="AF366" s="62">
        <f>IF(A366="",0,COUNTIF(fl_doc,A366))</f>
        <v>0.0</v>
      </c>
      <c r="AG366" s="62" t="str">
        <f>IF(A366="","",IF(AF366&gt;0,"Facture",IF(AND(F366&lt;&gt;"",AA366="Facture",ISNUMBER(MATCH(F366,dv_num,0))),"Devis","")))</f>
        <v/>
      </c>
      <c r="AH366" s="62" t="str">
        <f>IF(AND(A366&lt;&gt;"",F366&lt;&gt;"",AA366&lt;&gt;"Avoir"),F366,"")</f>
        <v/>
      </c>
      <c r="AI366" s="62" t="str">
        <f>IF(AG366="Devis",F366,"")</f>
        <v/>
      </c>
      <c r="AJ366" s="62">
        <f>IF(AG366="Facture",SUMIF(fl_doc,A366,fl_ht),IF(AG366="Devis",SUMIF(dl_doc,F366,dl_ht),0))</f>
        <v>0.0</v>
      </c>
      <c r="AK366" s="62">
        <f>IF(OR(AG366="",INDEX(p_rates,1)=""),0,IF(AG366="Facture",SUMIFS(fl_ht,fl_doc,A366,fl_rate,INDEX(p_rates,1)),SUMIFS(dl_ht,dl_doc,F366,dl_rate,INDEX(p_rates,1))))</f>
        <v>0.0</v>
      </c>
      <c r="AL366" s="62">
        <f>IF(OR(AG366="",INDEX(p_rates,2)=""),0,IF(AG366="Facture",SUMIFS(fl_ht,fl_doc,A366,fl_rate,INDEX(p_rates,2)),SUMIFS(dl_ht,dl_doc,F366,dl_rate,INDEX(p_rates,2))))</f>
        <v>0.0</v>
      </c>
      <c r="AM366" s="62">
        <f>IF(OR(AG366="",INDEX(p_rates,3)=""),0,IF(AG366="Facture",SUMIFS(fl_ht,fl_doc,A366,fl_rate,INDEX(p_rates,3)),SUMIFS(dl_ht,dl_doc,F366,dl_rate,INDEX(p_rates,3))))</f>
        <v>0.0</v>
      </c>
      <c r="AN366" s="62">
        <f>IF(OR(AG366="",INDEX(p_rates,4)=""),0,IF(AG366="Facture",SUMIFS(fl_ht,fl_doc,A366,fl_rate,INDEX(p_rates,4)),SUMIFS(dl_ht,dl_doc,F366,dl_rate,INDEX(p_rates,4))))</f>
        <v>0.0</v>
      </c>
      <c r="AO366" s="62">
        <f>IF(OR(AG366="",INDEX(p_rates,5)=""),0,IF(AG366="Facture",SUMIFS(fl_ht,fl_doc,A366,fl_rate,INDEX(p_rates,5)),SUMIFS(dl_ht,dl_doc,F366,dl_rate,INDEX(p_rates,5))))</f>
        <v>0.0</v>
      </c>
      <c r="AP366" s="62">
        <f>IF(OR(AG366="",INDEX(p_rates,6)=""),0,IF(AG366="Facture",SUMIFS(fl_ht,fl_doc,A366,fl_rate,INDEX(p_rates,6)),SUMIFS(dl_ht,dl_doc,F366,dl_rate,INDEX(p_rates,6))))</f>
        <v>0.0</v>
      </c>
      <c r="AQ366" s="62">
        <f>ROUND(AK366*N(INDEX(p_rates,1)),2)+ROUND(AL366*N(INDEX(p_rates,2)),2)+ROUND(AM366*N(INDEX(p_rates,3)),2)+ROUND(AN366*N(INDEX(p_rates,4)),2)+ROUND(AO366*N(INDEX(p_rates,5)),2)+ROUND(AP366*N(INDEX(p_rates,6)),2)</f>
        <v>0.0</v>
      </c>
      <c r="AR366" s="62" t="str">
        <f>IF(OR(L366="",AA366&lt;&gt;"Facture"),"",IFERROR(IF(INDEX(fa_type,MATCH(L366,fa_num,0))="Facture d'acompte",MATCH(L366,fa_num,0),""),""))</f>
        <v/>
      </c>
      <c r="AS366" s="62" t="str">
        <f>IF(W366="","",IF(W366&lt;=0,"",IF(p_asof-P366&lt;=0,"Non échu",IF(p_asof-P366&lt;=30,"1-30 j",IF(p_asof-P366&lt;=60,"31-60 j",IF(p_asof-P366&lt;=90,"61-90 j","Plus de 90 j"))))))</f>
        <v/>
      </c>
      <c r="AT366" s="62" t="str">
        <f>IF(AS366="","",p_asof-P366)</f>
        <v/>
      </c>
      <c r="AU366" s="62" t="str">
        <f>IF(AT366="","",COUNTIF($AT$6:$AT$805,"&gt;"&amp;AT366)+COUNTIF($AT$6:AT366,AT366))</f>
        <v/>
      </c>
    </row>
    <row r="367">
      <c r="A367" s="59" t="str">
        <f>IF(AE367="","",AB367&amp;"-"&amp;AD367&amp;"-"&amp;RIGHT("000"&amp;AE367,4))</f>
        <v/>
      </c>
      <c r="B367" s="60" t="n"/>
      <c r="C367" s="61" t="n"/>
      <c r="D367" s="60" t="n"/>
      <c r="E367" s="62" t="str">
        <f>IF(D367="","",IFERROR(INDEX(cli_name,MATCH(D367,cli_code,0))&amp;"","Client inconnu"))</f>
        <v/>
      </c>
      <c r="F367" s="60" t="n"/>
      <c r="G367" s="63" t="n"/>
      <c r="H367" s="61" t="n"/>
      <c r="I367" s="63" t="n"/>
      <c r="J367" s="60" t="n"/>
      <c r="K367" s="61" t="n"/>
      <c r="L367" s="60" t="n"/>
      <c r="M367" s="60" t="n"/>
      <c r="N367" s="60" t="n"/>
      <c r="O367" s="61" t="n"/>
      <c r="P367" s="64" t="str">
        <f>IF(A367="","",IF(AA367="Avoir",AC367,IF(ISNUMBER(K367),K367,AC367+IF(D367="",N(p_delay),IFERROR(IF(ISNUMBER(INDEX(cli_delay,MATCH(D367,cli_code,0))),INDEX(cli_delay,MATCH(D367,cli_code,0)),N(p_delay)),N(p_delay))))))</f>
        <v/>
      </c>
      <c r="Q367" s="65" t="str">
        <f>IF(A367="","",IF(AA367="Avoir",-1,1)*ROUND(AJ367-IF(AR367="",0,INDEX(fa_htb,AR367)),2))</f>
        <v/>
      </c>
      <c r="R367" s="65" t="str">
        <f>IF(A367="","",IF(AA367="Avoir",-1,1)*ROUND(AQ367-IF(AR367="",0,INDEX(fa_tvab,AR367)),2))</f>
        <v/>
      </c>
      <c r="S367" s="65" t="str">
        <f>IF(A367="","",Q367+R367)</f>
        <v/>
      </c>
      <c r="T367" s="65" t="str">
        <f>IF(AR367="","",INDEX(fa_htb,AR367)+INDEX(fa_tvab,AR367))</f>
        <v/>
      </c>
      <c r="U367" s="65" t="str">
        <f>IF(A367="","",SUMIF(pa_inv,A367,pa_amt))</f>
        <v/>
      </c>
      <c r="V367" s="65" t="str">
        <f>IF(OR(A367="",AA367="Avoir"),"",-SUMIFS(fa_ttc,fa_avof,A367,fa_type,"Avoir"))</f>
        <v/>
      </c>
      <c r="W367" s="65" t="str">
        <f>IF(OR(A367="",AA367="Avoir"),"",ROUND(S367-U367-V367,2))</f>
        <v/>
      </c>
      <c r="X367" s="66" t="str">
        <f>IF(W367="","",IF(AND(W367&gt;0,p_asof&gt;P367),p_asof-P367,""))</f>
        <v/>
      </c>
      <c r="Y367" s="59" t="str">
        <f>IF(A367="","",IF(AA367="Avoir","Avoir",IF(W367&lt;0,"Trop-perçu",IF(W367=0,"Soldée",IF(p_asof&gt;P367,"En retard",IF(U367+V367&gt;0,"Partielle","À échoir"))))))</f>
        <v/>
      </c>
      <c r="Z367" s="59" t="str">
        <f>IF(NOT(COUNTA(B367:D367,F367:O367)&gt;0),"",IF(C367="","Date manquante",IF(NOT(ISNUMBER(C367)),"Date invalide",IF(D367="","Client manquant",IF(ISNA(MATCH(D367,cli_code,0)),"Client inconnu",IF(AC367&lt;SUMPRODUCT(MAX(($AB$6:AB366=AB367)*$AC$6:AC366)),"Date antérieure à la facture précédente",IF(AND(F367&lt;&gt;"",ISNA(MATCH(F367,dv_num,0))),"Devis inconnu",IF(AND(F367&lt;&gt;"",IFERROR(INDEX(dv_client,MATCH(F367,dv_num,0)),D367)&lt;&gt;D367),"Client différent de celui du devis",IF(AG367="","Aucune ligne : saisissez des lignes ou un devis",IF(AND(AI367&lt;&gt;"",COUNTIF($AI$6:AI367,AI367)&gt;1),"Devis déjà repris par une autre facture",IF(AND(AA367="Avoir",M367=""),"Avoir : indiquez la facture d'origine",IF(AND(AA367="Avoir",ISNA(MATCH(M367,fa_num,0))),"Facture d'origine inconnue",IF(AND(AA367&lt;&gt;"Avoir",M367&lt;&gt;""),"« Avoir sur facture » : réservé aux avoirs",IF(AND(L367&lt;&gt;"",AA367&lt;&gt;"Facture"),"Acompte à déduire : réservé aux factures",IF(AND(L367&lt;&gt;"",ISNA(MATCH(L367,fa_num,0))),"Facture d'acompte inconnue",IF(AND(L367&lt;&gt;"",IFERROR(INDEX(fa_type,MATCH(L367,fa_num,0)),"")&lt;&gt;"Facture d'acompte"),"Le n° à déduire n'est pas une facture d'acompte",IF(AND(L367&lt;&gt;"",COUNTIF($L$6:L367,L367)&gt;1),"Acompte déjà déduit sur une autre facture",IF(AND(L367&lt;&gt;"",IFERROR(INDEX(fa_client,MATCH(L367,fa_num,0)),D367)&lt;&gt;D367),"Acompte d'un autre client",IF(AND(AR367&lt;&gt;"",N(Q367)&lt;0),"Acompte supérieur au total de la facture",IF(IF(AG367="Facture",COUNTIFS(fl_doc,A367,fl_check,"&lt;&gt;OK"),IF(AG367="Devis",COUNTIFS(dl_doc,F367,dl_check,"&lt;&gt;OK"),0))&gt;0,"Ligne(s) à corriger",IF(AND(W367&lt;&gt;"",N(W367)&lt;0),"Trop-perçu : vérifiez paiements et avoirs","OK")))))))))))))))))))))</f>
        <v/>
      </c>
      <c r="AA367" s="62" t="str">
        <f>IF(COUNTA(B367:D367,F367:O367)&gt;0,IF(B367="","Facture",B367),"")</f>
        <v/>
      </c>
      <c r="AB367" s="62" t="str">
        <f>IF(AA367="","",IF(AA367="Avoir",p_pav,IF(AA367="Facture d'acompte",p_pac,p_pfa)))</f>
        <v/>
      </c>
      <c r="AC367" s="62">
        <f>IF(ISNUMBER(C367),C367,0)</f>
        <v>0.0</v>
      </c>
      <c r="AD367" s="62" t="str">
        <f>IF(OR(AA367="",AC367=0),"",YEAR(AC367))</f>
        <v/>
      </c>
      <c r="AE367" s="62" t="str">
        <f>IF(AD367="","",COUNTIFS($AB$6:AB367,AB367,$AD$6:AD367,AD367))</f>
        <v/>
      </c>
      <c r="AF367" s="62">
        <f>IF(A367="",0,COUNTIF(fl_doc,A367))</f>
        <v>0.0</v>
      </c>
      <c r="AG367" s="62" t="str">
        <f>IF(A367="","",IF(AF367&gt;0,"Facture",IF(AND(F367&lt;&gt;"",AA367="Facture",ISNUMBER(MATCH(F367,dv_num,0))),"Devis","")))</f>
        <v/>
      </c>
      <c r="AH367" s="62" t="str">
        <f>IF(AND(A367&lt;&gt;"",F367&lt;&gt;"",AA367&lt;&gt;"Avoir"),F367,"")</f>
        <v/>
      </c>
      <c r="AI367" s="62" t="str">
        <f>IF(AG367="Devis",F367,"")</f>
        <v/>
      </c>
      <c r="AJ367" s="62">
        <f>IF(AG367="Facture",SUMIF(fl_doc,A367,fl_ht),IF(AG367="Devis",SUMIF(dl_doc,F367,dl_ht),0))</f>
        <v>0.0</v>
      </c>
      <c r="AK367" s="62">
        <f>IF(OR(AG367="",INDEX(p_rates,1)=""),0,IF(AG367="Facture",SUMIFS(fl_ht,fl_doc,A367,fl_rate,INDEX(p_rates,1)),SUMIFS(dl_ht,dl_doc,F367,dl_rate,INDEX(p_rates,1))))</f>
        <v>0.0</v>
      </c>
      <c r="AL367" s="62">
        <f>IF(OR(AG367="",INDEX(p_rates,2)=""),0,IF(AG367="Facture",SUMIFS(fl_ht,fl_doc,A367,fl_rate,INDEX(p_rates,2)),SUMIFS(dl_ht,dl_doc,F367,dl_rate,INDEX(p_rates,2))))</f>
        <v>0.0</v>
      </c>
      <c r="AM367" s="62">
        <f>IF(OR(AG367="",INDEX(p_rates,3)=""),0,IF(AG367="Facture",SUMIFS(fl_ht,fl_doc,A367,fl_rate,INDEX(p_rates,3)),SUMIFS(dl_ht,dl_doc,F367,dl_rate,INDEX(p_rates,3))))</f>
        <v>0.0</v>
      </c>
      <c r="AN367" s="62">
        <f>IF(OR(AG367="",INDEX(p_rates,4)=""),0,IF(AG367="Facture",SUMIFS(fl_ht,fl_doc,A367,fl_rate,INDEX(p_rates,4)),SUMIFS(dl_ht,dl_doc,F367,dl_rate,INDEX(p_rates,4))))</f>
        <v>0.0</v>
      </c>
      <c r="AO367" s="62">
        <f>IF(OR(AG367="",INDEX(p_rates,5)=""),0,IF(AG367="Facture",SUMIFS(fl_ht,fl_doc,A367,fl_rate,INDEX(p_rates,5)),SUMIFS(dl_ht,dl_doc,F367,dl_rate,INDEX(p_rates,5))))</f>
        <v>0.0</v>
      </c>
      <c r="AP367" s="62">
        <f>IF(OR(AG367="",INDEX(p_rates,6)=""),0,IF(AG367="Facture",SUMIFS(fl_ht,fl_doc,A367,fl_rate,INDEX(p_rates,6)),SUMIFS(dl_ht,dl_doc,F367,dl_rate,INDEX(p_rates,6))))</f>
        <v>0.0</v>
      </c>
      <c r="AQ367" s="62">
        <f>ROUND(AK367*N(INDEX(p_rates,1)),2)+ROUND(AL367*N(INDEX(p_rates,2)),2)+ROUND(AM367*N(INDEX(p_rates,3)),2)+ROUND(AN367*N(INDEX(p_rates,4)),2)+ROUND(AO367*N(INDEX(p_rates,5)),2)+ROUND(AP367*N(INDEX(p_rates,6)),2)</f>
        <v>0.0</v>
      </c>
      <c r="AR367" s="62" t="str">
        <f>IF(OR(L367="",AA367&lt;&gt;"Facture"),"",IFERROR(IF(INDEX(fa_type,MATCH(L367,fa_num,0))="Facture d'acompte",MATCH(L367,fa_num,0),""),""))</f>
        <v/>
      </c>
      <c r="AS367" s="62" t="str">
        <f>IF(W367="","",IF(W367&lt;=0,"",IF(p_asof-P367&lt;=0,"Non échu",IF(p_asof-P367&lt;=30,"1-30 j",IF(p_asof-P367&lt;=60,"31-60 j",IF(p_asof-P367&lt;=90,"61-90 j","Plus de 90 j"))))))</f>
        <v/>
      </c>
      <c r="AT367" s="62" t="str">
        <f>IF(AS367="","",p_asof-P367)</f>
        <v/>
      </c>
      <c r="AU367" s="62" t="str">
        <f>IF(AT367="","",COUNTIF($AT$6:$AT$805,"&gt;"&amp;AT367)+COUNTIF($AT$6:AT367,AT367))</f>
        <v/>
      </c>
    </row>
    <row r="368">
      <c r="A368" s="59" t="str">
        <f>IF(AE368="","",AB368&amp;"-"&amp;AD368&amp;"-"&amp;RIGHT("000"&amp;AE368,4))</f>
        <v/>
      </c>
      <c r="B368" s="60" t="n"/>
      <c r="C368" s="61" t="n"/>
      <c r="D368" s="60" t="n"/>
      <c r="E368" s="62" t="str">
        <f>IF(D368="","",IFERROR(INDEX(cli_name,MATCH(D368,cli_code,0))&amp;"","Client inconnu"))</f>
        <v/>
      </c>
      <c r="F368" s="60" t="n"/>
      <c r="G368" s="63" t="n"/>
      <c r="H368" s="61" t="n"/>
      <c r="I368" s="63" t="n"/>
      <c r="J368" s="60" t="n"/>
      <c r="K368" s="61" t="n"/>
      <c r="L368" s="60" t="n"/>
      <c r="M368" s="60" t="n"/>
      <c r="N368" s="60" t="n"/>
      <c r="O368" s="61" t="n"/>
      <c r="P368" s="64" t="str">
        <f>IF(A368="","",IF(AA368="Avoir",AC368,IF(ISNUMBER(K368),K368,AC368+IF(D368="",N(p_delay),IFERROR(IF(ISNUMBER(INDEX(cli_delay,MATCH(D368,cli_code,0))),INDEX(cli_delay,MATCH(D368,cli_code,0)),N(p_delay)),N(p_delay))))))</f>
        <v/>
      </c>
      <c r="Q368" s="65" t="str">
        <f>IF(A368="","",IF(AA368="Avoir",-1,1)*ROUND(AJ368-IF(AR368="",0,INDEX(fa_htb,AR368)),2))</f>
        <v/>
      </c>
      <c r="R368" s="65" t="str">
        <f>IF(A368="","",IF(AA368="Avoir",-1,1)*ROUND(AQ368-IF(AR368="",0,INDEX(fa_tvab,AR368)),2))</f>
        <v/>
      </c>
      <c r="S368" s="65" t="str">
        <f>IF(A368="","",Q368+R368)</f>
        <v/>
      </c>
      <c r="T368" s="65" t="str">
        <f>IF(AR368="","",INDEX(fa_htb,AR368)+INDEX(fa_tvab,AR368))</f>
        <v/>
      </c>
      <c r="U368" s="65" t="str">
        <f>IF(A368="","",SUMIF(pa_inv,A368,pa_amt))</f>
        <v/>
      </c>
      <c r="V368" s="65" t="str">
        <f>IF(OR(A368="",AA368="Avoir"),"",-SUMIFS(fa_ttc,fa_avof,A368,fa_type,"Avoir"))</f>
        <v/>
      </c>
      <c r="W368" s="65" t="str">
        <f>IF(OR(A368="",AA368="Avoir"),"",ROUND(S368-U368-V368,2))</f>
        <v/>
      </c>
      <c r="X368" s="66" t="str">
        <f>IF(W368="","",IF(AND(W368&gt;0,p_asof&gt;P368),p_asof-P368,""))</f>
        <v/>
      </c>
      <c r="Y368" s="59" t="str">
        <f>IF(A368="","",IF(AA368="Avoir","Avoir",IF(W368&lt;0,"Trop-perçu",IF(W368=0,"Soldée",IF(p_asof&gt;P368,"En retard",IF(U368+V368&gt;0,"Partielle","À échoir"))))))</f>
        <v/>
      </c>
      <c r="Z368" s="59" t="str">
        <f>IF(NOT(COUNTA(B368:D368,F368:O368)&gt;0),"",IF(C368="","Date manquante",IF(NOT(ISNUMBER(C368)),"Date invalide",IF(D368="","Client manquant",IF(ISNA(MATCH(D368,cli_code,0)),"Client inconnu",IF(AC368&lt;SUMPRODUCT(MAX(($AB$6:AB367=AB368)*$AC$6:AC367)),"Date antérieure à la facture précédente",IF(AND(F368&lt;&gt;"",ISNA(MATCH(F368,dv_num,0))),"Devis inconnu",IF(AND(F368&lt;&gt;"",IFERROR(INDEX(dv_client,MATCH(F368,dv_num,0)),D368)&lt;&gt;D368),"Client différent de celui du devis",IF(AG368="","Aucune ligne : saisissez des lignes ou un devis",IF(AND(AI368&lt;&gt;"",COUNTIF($AI$6:AI368,AI368)&gt;1),"Devis déjà repris par une autre facture",IF(AND(AA368="Avoir",M368=""),"Avoir : indiquez la facture d'origine",IF(AND(AA368="Avoir",ISNA(MATCH(M368,fa_num,0))),"Facture d'origine inconnue",IF(AND(AA368&lt;&gt;"Avoir",M368&lt;&gt;""),"« Avoir sur facture » : réservé aux avoirs",IF(AND(L368&lt;&gt;"",AA368&lt;&gt;"Facture"),"Acompte à déduire : réservé aux factures",IF(AND(L368&lt;&gt;"",ISNA(MATCH(L368,fa_num,0))),"Facture d'acompte inconnue",IF(AND(L368&lt;&gt;"",IFERROR(INDEX(fa_type,MATCH(L368,fa_num,0)),"")&lt;&gt;"Facture d'acompte"),"Le n° à déduire n'est pas une facture d'acompte",IF(AND(L368&lt;&gt;"",COUNTIF($L$6:L368,L368)&gt;1),"Acompte déjà déduit sur une autre facture",IF(AND(L368&lt;&gt;"",IFERROR(INDEX(fa_client,MATCH(L368,fa_num,0)),D368)&lt;&gt;D368),"Acompte d'un autre client",IF(AND(AR368&lt;&gt;"",N(Q368)&lt;0),"Acompte supérieur au total de la facture",IF(IF(AG368="Facture",COUNTIFS(fl_doc,A368,fl_check,"&lt;&gt;OK"),IF(AG368="Devis",COUNTIFS(dl_doc,F368,dl_check,"&lt;&gt;OK"),0))&gt;0,"Ligne(s) à corriger",IF(AND(W368&lt;&gt;"",N(W368)&lt;0),"Trop-perçu : vérifiez paiements et avoirs","OK")))))))))))))))))))))</f>
        <v/>
      </c>
      <c r="AA368" s="62" t="str">
        <f>IF(COUNTA(B368:D368,F368:O368)&gt;0,IF(B368="","Facture",B368),"")</f>
        <v/>
      </c>
      <c r="AB368" s="62" t="str">
        <f>IF(AA368="","",IF(AA368="Avoir",p_pav,IF(AA368="Facture d'acompte",p_pac,p_pfa)))</f>
        <v/>
      </c>
      <c r="AC368" s="62">
        <f>IF(ISNUMBER(C368),C368,0)</f>
        <v>0.0</v>
      </c>
      <c r="AD368" s="62" t="str">
        <f>IF(OR(AA368="",AC368=0),"",YEAR(AC368))</f>
        <v/>
      </c>
      <c r="AE368" s="62" t="str">
        <f>IF(AD368="","",COUNTIFS($AB$6:AB368,AB368,$AD$6:AD368,AD368))</f>
        <v/>
      </c>
      <c r="AF368" s="62">
        <f>IF(A368="",0,COUNTIF(fl_doc,A368))</f>
        <v>0.0</v>
      </c>
      <c r="AG368" s="62" t="str">
        <f>IF(A368="","",IF(AF368&gt;0,"Facture",IF(AND(F368&lt;&gt;"",AA368="Facture",ISNUMBER(MATCH(F368,dv_num,0))),"Devis","")))</f>
        <v/>
      </c>
      <c r="AH368" s="62" t="str">
        <f>IF(AND(A368&lt;&gt;"",F368&lt;&gt;"",AA368&lt;&gt;"Avoir"),F368,"")</f>
        <v/>
      </c>
      <c r="AI368" s="62" t="str">
        <f>IF(AG368="Devis",F368,"")</f>
        <v/>
      </c>
      <c r="AJ368" s="62">
        <f>IF(AG368="Facture",SUMIF(fl_doc,A368,fl_ht),IF(AG368="Devis",SUMIF(dl_doc,F368,dl_ht),0))</f>
        <v>0.0</v>
      </c>
      <c r="AK368" s="62">
        <f>IF(OR(AG368="",INDEX(p_rates,1)=""),0,IF(AG368="Facture",SUMIFS(fl_ht,fl_doc,A368,fl_rate,INDEX(p_rates,1)),SUMIFS(dl_ht,dl_doc,F368,dl_rate,INDEX(p_rates,1))))</f>
        <v>0.0</v>
      </c>
      <c r="AL368" s="62">
        <f>IF(OR(AG368="",INDEX(p_rates,2)=""),0,IF(AG368="Facture",SUMIFS(fl_ht,fl_doc,A368,fl_rate,INDEX(p_rates,2)),SUMIFS(dl_ht,dl_doc,F368,dl_rate,INDEX(p_rates,2))))</f>
        <v>0.0</v>
      </c>
      <c r="AM368" s="62">
        <f>IF(OR(AG368="",INDEX(p_rates,3)=""),0,IF(AG368="Facture",SUMIFS(fl_ht,fl_doc,A368,fl_rate,INDEX(p_rates,3)),SUMIFS(dl_ht,dl_doc,F368,dl_rate,INDEX(p_rates,3))))</f>
        <v>0.0</v>
      </c>
      <c r="AN368" s="62">
        <f>IF(OR(AG368="",INDEX(p_rates,4)=""),0,IF(AG368="Facture",SUMIFS(fl_ht,fl_doc,A368,fl_rate,INDEX(p_rates,4)),SUMIFS(dl_ht,dl_doc,F368,dl_rate,INDEX(p_rates,4))))</f>
        <v>0.0</v>
      </c>
      <c r="AO368" s="62">
        <f>IF(OR(AG368="",INDEX(p_rates,5)=""),0,IF(AG368="Facture",SUMIFS(fl_ht,fl_doc,A368,fl_rate,INDEX(p_rates,5)),SUMIFS(dl_ht,dl_doc,F368,dl_rate,INDEX(p_rates,5))))</f>
        <v>0.0</v>
      </c>
      <c r="AP368" s="62">
        <f>IF(OR(AG368="",INDEX(p_rates,6)=""),0,IF(AG368="Facture",SUMIFS(fl_ht,fl_doc,A368,fl_rate,INDEX(p_rates,6)),SUMIFS(dl_ht,dl_doc,F368,dl_rate,INDEX(p_rates,6))))</f>
        <v>0.0</v>
      </c>
      <c r="AQ368" s="62">
        <f>ROUND(AK368*N(INDEX(p_rates,1)),2)+ROUND(AL368*N(INDEX(p_rates,2)),2)+ROUND(AM368*N(INDEX(p_rates,3)),2)+ROUND(AN368*N(INDEX(p_rates,4)),2)+ROUND(AO368*N(INDEX(p_rates,5)),2)+ROUND(AP368*N(INDEX(p_rates,6)),2)</f>
        <v>0.0</v>
      </c>
      <c r="AR368" s="62" t="str">
        <f>IF(OR(L368="",AA368&lt;&gt;"Facture"),"",IFERROR(IF(INDEX(fa_type,MATCH(L368,fa_num,0))="Facture d'acompte",MATCH(L368,fa_num,0),""),""))</f>
        <v/>
      </c>
      <c r="AS368" s="62" t="str">
        <f>IF(W368="","",IF(W368&lt;=0,"",IF(p_asof-P368&lt;=0,"Non échu",IF(p_asof-P368&lt;=30,"1-30 j",IF(p_asof-P368&lt;=60,"31-60 j",IF(p_asof-P368&lt;=90,"61-90 j","Plus de 90 j"))))))</f>
        <v/>
      </c>
      <c r="AT368" s="62" t="str">
        <f>IF(AS368="","",p_asof-P368)</f>
        <v/>
      </c>
      <c r="AU368" s="62" t="str">
        <f>IF(AT368="","",COUNTIF($AT$6:$AT$805,"&gt;"&amp;AT368)+COUNTIF($AT$6:AT368,AT368))</f>
        <v/>
      </c>
    </row>
    <row r="369">
      <c r="A369" s="59" t="str">
        <f>IF(AE369="","",AB369&amp;"-"&amp;AD369&amp;"-"&amp;RIGHT("000"&amp;AE369,4))</f>
        <v/>
      </c>
      <c r="B369" s="60" t="n"/>
      <c r="C369" s="61" t="n"/>
      <c r="D369" s="60" t="n"/>
      <c r="E369" s="62" t="str">
        <f>IF(D369="","",IFERROR(INDEX(cli_name,MATCH(D369,cli_code,0))&amp;"","Client inconnu"))</f>
        <v/>
      </c>
      <c r="F369" s="60" t="n"/>
      <c r="G369" s="63" t="n"/>
      <c r="H369" s="61" t="n"/>
      <c r="I369" s="63" t="n"/>
      <c r="J369" s="60" t="n"/>
      <c r="K369" s="61" t="n"/>
      <c r="L369" s="60" t="n"/>
      <c r="M369" s="60" t="n"/>
      <c r="N369" s="60" t="n"/>
      <c r="O369" s="61" t="n"/>
      <c r="P369" s="64" t="str">
        <f>IF(A369="","",IF(AA369="Avoir",AC369,IF(ISNUMBER(K369),K369,AC369+IF(D369="",N(p_delay),IFERROR(IF(ISNUMBER(INDEX(cli_delay,MATCH(D369,cli_code,0))),INDEX(cli_delay,MATCH(D369,cli_code,0)),N(p_delay)),N(p_delay))))))</f>
        <v/>
      </c>
      <c r="Q369" s="65" t="str">
        <f>IF(A369="","",IF(AA369="Avoir",-1,1)*ROUND(AJ369-IF(AR369="",0,INDEX(fa_htb,AR369)),2))</f>
        <v/>
      </c>
      <c r="R369" s="65" t="str">
        <f>IF(A369="","",IF(AA369="Avoir",-1,1)*ROUND(AQ369-IF(AR369="",0,INDEX(fa_tvab,AR369)),2))</f>
        <v/>
      </c>
      <c r="S369" s="65" t="str">
        <f>IF(A369="","",Q369+R369)</f>
        <v/>
      </c>
      <c r="T369" s="65" t="str">
        <f>IF(AR369="","",INDEX(fa_htb,AR369)+INDEX(fa_tvab,AR369))</f>
        <v/>
      </c>
      <c r="U369" s="65" t="str">
        <f>IF(A369="","",SUMIF(pa_inv,A369,pa_amt))</f>
        <v/>
      </c>
      <c r="V369" s="65" t="str">
        <f>IF(OR(A369="",AA369="Avoir"),"",-SUMIFS(fa_ttc,fa_avof,A369,fa_type,"Avoir"))</f>
        <v/>
      </c>
      <c r="W369" s="65" t="str">
        <f>IF(OR(A369="",AA369="Avoir"),"",ROUND(S369-U369-V369,2))</f>
        <v/>
      </c>
      <c r="X369" s="66" t="str">
        <f>IF(W369="","",IF(AND(W369&gt;0,p_asof&gt;P369),p_asof-P369,""))</f>
        <v/>
      </c>
      <c r="Y369" s="59" t="str">
        <f>IF(A369="","",IF(AA369="Avoir","Avoir",IF(W369&lt;0,"Trop-perçu",IF(W369=0,"Soldée",IF(p_asof&gt;P369,"En retard",IF(U369+V369&gt;0,"Partielle","À échoir"))))))</f>
        <v/>
      </c>
      <c r="Z369" s="59" t="str">
        <f>IF(NOT(COUNTA(B369:D369,F369:O369)&gt;0),"",IF(C369="","Date manquante",IF(NOT(ISNUMBER(C369)),"Date invalide",IF(D369="","Client manquant",IF(ISNA(MATCH(D369,cli_code,0)),"Client inconnu",IF(AC369&lt;SUMPRODUCT(MAX(($AB$6:AB368=AB369)*$AC$6:AC368)),"Date antérieure à la facture précédente",IF(AND(F369&lt;&gt;"",ISNA(MATCH(F369,dv_num,0))),"Devis inconnu",IF(AND(F369&lt;&gt;"",IFERROR(INDEX(dv_client,MATCH(F369,dv_num,0)),D369)&lt;&gt;D369),"Client différent de celui du devis",IF(AG369="","Aucune ligne : saisissez des lignes ou un devis",IF(AND(AI369&lt;&gt;"",COUNTIF($AI$6:AI369,AI369)&gt;1),"Devis déjà repris par une autre facture",IF(AND(AA369="Avoir",M369=""),"Avoir : indiquez la facture d'origine",IF(AND(AA369="Avoir",ISNA(MATCH(M369,fa_num,0))),"Facture d'origine inconnue",IF(AND(AA369&lt;&gt;"Avoir",M369&lt;&gt;""),"« Avoir sur facture » : réservé aux avoirs",IF(AND(L369&lt;&gt;"",AA369&lt;&gt;"Facture"),"Acompte à déduire : réservé aux factures",IF(AND(L369&lt;&gt;"",ISNA(MATCH(L369,fa_num,0))),"Facture d'acompte inconnue",IF(AND(L369&lt;&gt;"",IFERROR(INDEX(fa_type,MATCH(L369,fa_num,0)),"")&lt;&gt;"Facture d'acompte"),"Le n° à déduire n'est pas une facture d'acompte",IF(AND(L369&lt;&gt;"",COUNTIF($L$6:L369,L369)&gt;1),"Acompte déjà déduit sur une autre facture",IF(AND(L369&lt;&gt;"",IFERROR(INDEX(fa_client,MATCH(L369,fa_num,0)),D369)&lt;&gt;D369),"Acompte d'un autre client",IF(AND(AR369&lt;&gt;"",N(Q369)&lt;0),"Acompte supérieur au total de la facture",IF(IF(AG369="Facture",COUNTIFS(fl_doc,A369,fl_check,"&lt;&gt;OK"),IF(AG369="Devis",COUNTIFS(dl_doc,F369,dl_check,"&lt;&gt;OK"),0))&gt;0,"Ligne(s) à corriger",IF(AND(W369&lt;&gt;"",N(W369)&lt;0),"Trop-perçu : vérifiez paiements et avoirs","OK")))))))))))))))))))))</f>
        <v/>
      </c>
      <c r="AA369" s="62" t="str">
        <f>IF(COUNTA(B369:D369,F369:O369)&gt;0,IF(B369="","Facture",B369),"")</f>
        <v/>
      </c>
      <c r="AB369" s="62" t="str">
        <f>IF(AA369="","",IF(AA369="Avoir",p_pav,IF(AA369="Facture d'acompte",p_pac,p_pfa)))</f>
        <v/>
      </c>
      <c r="AC369" s="62">
        <f>IF(ISNUMBER(C369),C369,0)</f>
        <v>0.0</v>
      </c>
      <c r="AD369" s="62" t="str">
        <f>IF(OR(AA369="",AC369=0),"",YEAR(AC369))</f>
        <v/>
      </c>
      <c r="AE369" s="62" t="str">
        <f>IF(AD369="","",COUNTIFS($AB$6:AB369,AB369,$AD$6:AD369,AD369))</f>
        <v/>
      </c>
      <c r="AF369" s="62">
        <f>IF(A369="",0,COUNTIF(fl_doc,A369))</f>
        <v>0.0</v>
      </c>
      <c r="AG369" s="62" t="str">
        <f>IF(A369="","",IF(AF369&gt;0,"Facture",IF(AND(F369&lt;&gt;"",AA369="Facture",ISNUMBER(MATCH(F369,dv_num,0))),"Devis","")))</f>
        <v/>
      </c>
      <c r="AH369" s="62" t="str">
        <f>IF(AND(A369&lt;&gt;"",F369&lt;&gt;"",AA369&lt;&gt;"Avoir"),F369,"")</f>
        <v/>
      </c>
      <c r="AI369" s="62" t="str">
        <f>IF(AG369="Devis",F369,"")</f>
        <v/>
      </c>
      <c r="AJ369" s="62">
        <f>IF(AG369="Facture",SUMIF(fl_doc,A369,fl_ht),IF(AG369="Devis",SUMIF(dl_doc,F369,dl_ht),0))</f>
        <v>0.0</v>
      </c>
      <c r="AK369" s="62">
        <f>IF(OR(AG369="",INDEX(p_rates,1)=""),0,IF(AG369="Facture",SUMIFS(fl_ht,fl_doc,A369,fl_rate,INDEX(p_rates,1)),SUMIFS(dl_ht,dl_doc,F369,dl_rate,INDEX(p_rates,1))))</f>
        <v>0.0</v>
      </c>
      <c r="AL369" s="62">
        <f>IF(OR(AG369="",INDEX(p_rates,2)=""),0,IF(AG369="Facture",SUMIFS(fl_ht,fl_doc,A369,fl_rate,INDEX(p_rates,2)),SUMIFS(dl_ht,dl_doc,F369,dl_rate,INDEX(p_rates,2))))</f>
        <v>0.0</v>
      </c>
      <c r="AM369" s="62">
        <f>IF(OR(AG369="",INDEX(p_rates,3)=""),0,IF(AG369="Facture",SUMIFS(fl_ht,fl_doc,A369,fl_rate,INDEX(p_rates,3)),SUMIFS(dl_ht,dl_doc,F369,dl_rate,INDEX(p_rates,3))))</f>
        <v>0.0</v>
      </c>
      <c r="AN369" s="62">
        <f>IF(OR(AG369="",INDEX(p_rates,4)=""),0,IF(AG369="Facture",SUMIFS(fl_ht,fl_doc,A369,fl_rate,INDEX(p_rates,4)),SUMIFS(dl_ht,dl_doc,F369,dl_rate,INDEX(p_rates,4))))</f>
        <v>0.0</v>
      </c>
      <c r="AO369" s="62">
        <f>IF(OR(AG369="",INDEX(p_rates,5)=""),0,IF(AG369="Facture",SUMIFS(fl_ht,fl_doc,A369,fl_rate,INDEX(p_rates,5)),SUMIFS(dl_ht,dl_doc,F369,dl_rate,INDEX(p_rates,5))))</f>
        <v>0.0</v>
      </c>
      <c r="AP369" s="62">
        <f>IF(OR(AG369="",INDEX(p_rates,6)=""),0,IF(AG369="Facture",SUMIFS(fl_ht,fl_doc,A369,fl_rate,INDEX(p_rates,6)),SUMIFS(dl_ht,dl_doc,F369,dl_rate,INDEX(p_rates,6))))</f>
        <v>0.0</v>
      </c>
      <c r="AQ369" s="62">
        <f>ROUND(AK369*N(INDEX(p_rates,1)),2)+ROUND(AL369*N(INDEX(p_rates,2)),2)+ROUND(AM369*N(INDEX(p_rates,3)),2)+ROUND(AN369*N(INDEX(p_rates,4)),2)+ROUND(AO369*N(INDEX(p_rates,5)),2)+ROUND(AP369*N(INDEX(p_rates,6)),2)</f>
        <v>0.0</v>
      </c>
      <c r="AR369" s="62" t="str">
        <f>IF(OR(L369="",AA369&lt;&gt;"Facture"),"",IFERROR(IF(INDEX(fa_type,MATCH(L369,fa_num,0))="Facture d'acompte",MATCH(L369,fa_num,0),""),""))</f>
        <v/>
      </c>
      <c r="AS369" s="62" t="str">
        <f>IF(W369="","",IF(W369&lt;=0,"",IF(p_asof-P369&lt;=0,"Non échu",IF(p_asof-P369&lt;=30,"1-30 j",IF(p_asof-P369&lt;=60,"31-60 j",IF(p_asof-P369&lt;=90,"61-90 j","Plus de 90 j"))))))</f>
        <v/>
      </c>
      <c r="AT369" s="62" t="str">
        <f>IF(AS369="","",p_asof-P369)</f>
        <v/>
      </c>
      <c r="AU369" s="62" t="str">
        <f>IF(AT369="","",COUNTIF($AT$6:$AT$805,"&gt;"&amp;AT369)+COUNTIF($AT$6:AT369,AT369))</f>
        <v/>
      </c>
    </row>
    <row r="370">
      <c r="A370" s="59" t="str">
        <f>IF(AE370="","",AB370&amp;"-"&amp;AD370&amp;"-"&amp;RIGHT("000"&amp;AE370,4))</f>
        <v/>
      </c>
      <c r="B370" s="60" t="n"/>
      <c r="C370" s="61" t="n"/>
      <c r="D370" s="60" t="n"/>
      <c r="E370" s="62" t="str">
        <f>IF(D370="","",IFERROR(INDEX(cli_name,MATCH(D370,cli_code,0))&amp;"","Client inconnu"))</f>
        <v/>
      </c>
      <c r="F370" s="60" t="n"/>
      <c r="G370" s="63" t="n"/>
      <c r="H370" s="61" t="n"/>
      <c r="I370" s="63" t="n"/>
      <c r="J370" s="60" t="n"/>
      <c r="K370" s="61" t="n"/>
      <c r="L370" s="60" t="n"/>
      <c r="M370" s="60" t="n"/>
      <c r="N370" s="60" t="n"/>
      <c r="O370" s="61" t="n"/>
      <c r="P370" s="64" t="str">
        <f>IF(A370="","",IF(AA370="Avoir",AC370,IF(ISNUMBER(K370),K370,AC370+IF(D370="",N(p_delay),IFERROR(IF(ISNUMBER(INDEX(cli_delay,MATCH(D370,cli_code,0))),INDEX(cli_delay,MATCH(D370,cli_code,0)),N(p_delay)),N(p_delay))))))</f>
        <v/>
      </c>
      <c r="Q370" s="65" t="str">
        <f>IF(A370="","",IF(AA370="Avoir",-1,1)*ROUND(AJ370-IF(AR370="",0,INDEX(fa_htb,AR370)),2))</f>
        <v/>
      </c>
      <c r="R370" s="65" t="str">
        <f>IF(A370="","",IF(AA370="Avoir",-1,1)*ROUND(AQ370-IF(AR370="",0,INDEX(fa_tvab,AR370)),2))</f>
        <v/>
      </c>
      <c r="S370" s="65" t="str">
        <f>IF(A370="","",Q370+R370)</f>
        <v/>
      </c>
      <c r="T370" s="65" t="str">
        <f>IF(AR370="","",INDEX(fa_htb,AR370)+INDEX(fa_tvab,AR370))</f>
        <v/>
      </c>
      <c r="U370" s="65" t="str">
        <f>IF(A370="","",SUMIF(pa_inv,A370,pa_amt))</f>
        <v/>
      </c>
      <c r="V370" s="65" t="str">
        <f>IF(OR(A370="",AA370="Avoir"),"",-SUMIFS(fa_ttc,fa_avof,A370,fa_type,"Avoir"))</f>
        <v/>
      </c>
      <c r="W370" s="65" t="str">
        <f>IF(OR(A370="",AA370="Avoir"),"",ROUND(S370-U370-V370,2))</f>
        <v/>
      </c>
      <c r="X370" s="66" t="str">
        <f>IF(W370="","",IF(AND(W370&gt;0,p_asof&gt;P370),p_asof-P370,""))</f>
        <v/>
      </c>
      <c r="Y370" s="59" t="str">
        <f>IF(A370="","",IF(AA370="Avoir","Avoir",IF(W370&lt;0,"Trop-perçu",IF(W370=0,"Soldée",IF(p_asof&gt;P370,"En retard",IF(U370+V370&gt;0,"Partielle","À échoir"))))))</f>
        <v/>
      </c>
      <c r="Z370" s="59" t="str">
        <f>IF(NOT(COUNTA(B370:D370,F370:O370)&gt;0),"",IF(C370="","Date manquante",IF(NOT(ISNUMBER(C370)),"Date invalide",IF(D370="","Client manquant",IF(ISNA(MATCH(D370,cli_code,0)),"Client inconnu",IF(AC370&lt;SUMPRODUCT(MAX(($AB$6:AB369=AB370)*$AC$6:AC369)),"Date antérieure à la facture précédente",IF(AND(F370&lt;&gt;"",ISNA(MATCH(F370,dv_num,0))),"Devis inconnu",IF(AND(F370&lt;&gt;"",IFERROR(INDEX(dv_client,MATCH(F370,dv_num,0)),D370)&lt;&gt;D370),"Client différent de celui du devis",IF(AG370="","Aucune ligne : saisissez des lignes ou un devis",IF(AND(AI370&lt;&gt;"",COUNTIF($AI$6:AI370,AI370)&gt;1),"Devis déjà repris par une autre facture",IF(AND(AA370="Avoir",M370=""),"Avoir : indiquez la facture d'origine",IF(AND(AA370="Avoir",ISNA(MATCH(M370,fa_num,0))),"Facture d'origine inconnue",IF(AND(AA370&lt;&gt;"Avoir",M370&lt;&gt;""),"« Avoir sur facture » : réservé aux avoirs",IF(AND(L370&lt;&gt;"",AA370&lt;&gt;"Facture"),"Acompte à déduire : réservé aux factures",IF(AND(L370&lt;&gt;"",ISNA(MATCH(L370,fa_num,0))),"Facture d'acompte inconnue",IF(AND(L370&lt;&gt;"",IFERROR(INDEX(fa_type,MATCH(L370,fa_num,0)),"")&lt;&gt;"Facture d'acompte"),"Le n° à déduire n'est pas une facture d'acompte",IF(AND(L370&lt;&gt;"",COUNTIF($L$6:L370,L370)&gt;1),"Acompte déjà déduit sur une autre facture",IF(AND(L370&lt;&gt;"",IFERROR(INDEX(fa_client,MATCH(L370,fa_num,0)),D370)&lt;&gt;D370),"Acompte d'un autre client",IF(AND(AR370&lt;&gt;"",N(Q370)&lt;0),"Acompte supérieur au total de la facture",IF(IF(AG370="Facture",COUNTIFS(fl_doc,A370,fl_check,"&lt;&gt;OK"),IF(AG370="Devis",COUNTIFS(dl_doc,F370,dl_check,"&lt;&gt;OK"),0))&gt;0,"Ligne(s) à corriger",IF(AND(W370&lt;&gt;"",N(W370)&lt;0),"Trop-perçu : vérifiez paiements et avoirs","OK")))))))))))))))))))))</f>
        <v/>
      </c>
      <c r="AA370" s="62" t="str">
        <f>IF(COUNTA(B370:D370,F370:O370)&gt;0,IF(B370="","Facture",B370),"")</f>
        <v/>
      </c>
      <c r="AB370" s="62" t="str">
        <f>IF(AA370="","",IF(AA370="Avoir",p_pav,IF(AA370="Facture d'acompte",p_pac,p_pfa)))</f>
        <v/>
      </c>
      <c r="AC370" s="62">
        <f>IF(ISNUMBER(C370),C370,0)</f>
        <v>0.0</v>
      </c>
      <c r="AD370" s="62" t="str">
        <f>IF(OR(AA370="",AC370=0),"",YEAR(AC370))</f>
        <v/>
      </c>
      <c r="AE370" s="62" t="str">
        <f>IF(AD370="","",COUNTIFS($AB$6:AB370,AB370,$AD$6:AD370,AD370))</f>
        <v/>
      </c>
      <c r="AF370" s="62">
        <f>IF(A370="",0,COUNTIF(fl_doc,A370))</f>
        <v>0.0</v>
      </c>
      <c r="AG370" s="62" t="str">
        <f>IF(A370="","",IF(AF370&gt;0,"Facture",IF(AND(F370&lt;&gt;"",AA370="Facture",ISNUMBER(MATCH(F370,dv_num,0))),"Devis","")))</f>
        <v/>
      </c>
      <c r="AH370" s="62" t="str">
        <f>IF(AND(A370&lt;&gt;"",F370&lt;&gt;"",AA370&lt;&gt;"Avoir"),F370,"")</f>
        <v/>
      </c>
      <c r="AI370" s="62" t="str">
        <f>IF(AG370="Devis",F370,"")</f>
        <v/>
      </c>
      <c r="AJ370" s="62">
        <f>IF(AG370="Facture",SUMIF(fl_doc,A370,fl_ht),IF(AG370="Devis",SUMIF(dl_doc,F370,dl_ht),0))</f>
        <v>0.0</v>
      </c>
      <c r="AK370" s="62">
        <f>IF(OR(AG370="",INDEX(p_rates,1)=""),0,IF(AG370="Facture",SUMIFS(fl_ht,fl_doc,A370,fl_rate,INDEX(p_rates,1)),SUMIFS(dl_ht,dl_doc,F370,dl_rate,INDEX(p_rates,1))))</f>
        <v>0.0</v>
      </c>
      <c r="AL370" s="62">
        <f>IF(OR(AG370="",INDEX(p_rates,2)=""),0,IF(AG370="Facture",SUMIFS(fl_ht,fl_doc,A370,fl_rate,INDEX(p_rates,2)),SUMIFS(dl_ht,dl_doc,F370,dl_rate,INDEX(p_rates,2))))</f>
        <v>0.0</v>
      </c>
      <c r="AM370" s="62">
        <f>IF(OR(AG370="",INDEX(p_rates,3)=""),0,IF(AG370="Facture",SUMIFS(fl_ht,fl_doc,A370,fl_rate,INDEX(p_rates,3)),SUMIFS(dl_ht,dl_doc,F370,dl_rate,INDEX(p_rates,3))))</f>
        <v>0.0</v>
      </c>
      <c r="AN370" s="62">
        <f>IF(OR(AG370="",INDEX(p_rates,4)=""),0,IF(AG370="Facture",SUMIFS(fl_ht,fl_doc,A370,fl_rate,INDEX(p_rates,4)),SUMIFS(dl_ht,dl_doc,F370,dl_rate,INDEX(p_rates,4))))</f>
        <v>0.0</v>
      </c>
      <c r="AO370" s="62">
        <f>IF(OR(AG370="",INDEX(p_rates,5)=""),0,IF(AG370="Facture",SUMIFS(fl_ht,fl_doc,A370,fl_rate,INDEX(p_rates,5)),SUMIFS(dl_ht,dl_doc,F370,dl_rate,INDEX(p_rates,5))))</f>
        <v>0.0</v>
      </c>
      <c r="AP370" s="62">
        <f>IF(OR(AG370="",INDEX(p_rates,6)=""),0,IF(AG370="Facture",SUMIFS(fl_ht,fl_doc,A370,fl_rate,INDEX(p_rates,6)),SUMIFS(dl_ht,dl_doc,F370,dl_rate,INDEX(p_rates,6))))</f>
        <v>0.0</v>
      </c>
      <c r="AQ370" s="62">
        <f>ROUND(AK370*N(INDEX(p_rates,1)),2)+ROUND(AL370*N(INDEX(p_rates,2)),2)+ROUND(AM370*N(INDEX(p_rates,3)),2)+ROUND(AN370*N(INDEX(p_rates,4)),2)+ROUND(AO370*N(INDEX(p_rates,5)),2)+ROUND(AP370*N(INDEX(p_rates,6)),2)</f>
        <v>0.0</v>
      </c>
      <c r="AR370" s="62" t="str">
        <f>IF(OR(L370="",AA370&lt;&gt;"Facture"),"",IFERROR(IF(INDEX(fa_type,MATCH(L370,fa_num,0))="Facture d'acompte",MATCH(L370,fa_num,0),""),""))</f>
        <v/>
      </c>
      <c r="AS370" s="62" t="str">
        <f>IF(W370="","",IF(W370&lt;=0,"",IF(p_asof-P370&lt;=0,"Non échu",IF(p_asof-P370&lt;=30,"1-30 j",IF(p_asof-P370&lt;=60,"31-60 j",IF(p_asof-P370&lt;=90,"61-90 j","Plus de 90 j"))))))</f>
        <v/>
      </c>
      <c r="AT370" s="62" t="str">
        <f>IF(AS370="","",p_asof-P370)</f>
        <v/>
      </c>
      <c r="AU370" s="62" t="str">
        <f>IF(AT370="","",COUNTIF($AT$6:$AT$805,"&gt;"&amp;AT370)+COUNTIF($AT$6:AT370,AT370))</f>
        <v/>
      </c>
    </row>
    <row r="371">
      <c r="A371" s="59" t="str">
        <f>IF(AE371="","",AB371&amp;"-"&amp;AD371&amp;"-"&amp;RIGHT("000"&amp;AE371,4))</f>
        <v/>
      </c>
      <c r="B371" s="60" t="n"/>
      <c r="C371" s="61" t="n"/>
      <c r="D371" s="60" t="n"/>
      <c r="E371" s="62" t="str">
        <f>IF(D371="","",IFERROR(INDEX(cli_name,MATCH(D371,cli_code,0))&amp;"","Client inconnu"))</f>
        <v/>
      </c>
      <c r="F371" s="60" t="n"/>
      <c r="G371" s="63" t="n"/>
      <c r="H371" s="61" t="n"/>
      <c r="I371" s="63" t="n"/>
      <c r="J371" s="60" t="n"/>
      <c r="K371" s="61" t="n"/>
      <c r="L371" s="60" t="n"/>
      <c r="M371" s="60" t="n"/>
      <c r="N371" s="60" t="n"/>
      <c r="O371" s="61" t="n"/>
      <c r="P371" s="64" t="str">
        <f>IF(A371="","",IF(AA371="Avoir",AC371,IF(ISNUMBER(K371),K371,AC371+IF(D371="",N(p_delay),IFERROR(IF(ISNUMBER(INDEX(cli_delay,MATCH(D371,cli_code,0))),INDEX(cli_delay,MATCH(D371,cli_code,0)),N(p_delay)),N(p_delay))))))</f>
        <v/>
      </c>
      <c r="Q371" s="65" t="str">
        <f>IF(A371="","",IF(AA371="Avoir",-1,1)*ROUND(AJ371-IF(AR371="",0,INDEX(fa_htb,AR371)),2))</f>
        <v/>
      </c>
      <c r="R371" s="65" t="str">
        <f>IF(A371="","",IF(AA371="Avoir",-1,1)*ROUND(AQ371-IF(AR371="",0,INDEX(fa_tvab,AR371)),2))</f>
        <v/>
      </c>
      <c r="S371" s="65" t="str">
        <f>IF(A371="","",Q371+R371)</f>
        <v/>
      </c>
      <c r="T371" s="65" t="str">
        <f>IF(AR371="","",INDEX(fa_htb,AR371)+INDEX(fa_tvab,AR371))</f>
        <v/>
      </c>
      <c r="U371" s="65" t="str">
        <f>IF(A371="","",SUMIF(pa_inv,A371,pa_amt))</f>
        <v/>
      </c>
      <c r="V371" s="65" t="str">
        <f>IF(OR(A371="",AA371="Avoir"),"",-SUMIFS(fa_ttc,fa_avof,A371,fa_type,"Avoir"))</f>
        <v/>
      </c>
      <c r="W371" s="65" t="str">
        <f>IF(OR(A371="",AA371="Avoir"),"",ROUND(S371-U371-V371,2))</f>
        <v/>
      </c>
      <c r="X371" s="66" t="str">
        <f>IF(W371="","",IF(AND(W371&gt;0,p_asof&gt;P371),p_asof-P371,""))</f>
        <v/>
      </c>
      <c r="Y371" s="59" t="str">
        <f>IF(A371="","",IF(AA371="Avoir","Avoir",IF(W371&lt;0,"Trop-perçu",IF(W371=0,"Soldée",IF(p_asof&gt;P371,"En retard",IF(U371+V371&gt;0,"Partielle","À échoir"))))))</f>
        <v/>
      </c>
      <c r="Z371" s="59" t="str">
        <f>IF(NOT(COUNTA(B371:D371,F371:O371)&gt;0),"",IF(C371="","Date manquante",IF(NOT(ISNUMBER(C371)),"Date invalide",IF(D371="","Client manquant",IF(ISNA(MATCH(D371,cli_code,0)),"Client inconnu",IF(AC371&lt;SUMPRODUCT(MAX(($AB$6:AB370=AB371)*$AC$6:AC370)),"Date antérieure à la facture précédente",IF(AND(F371&lt;&gt;"",ISNA(MATCH(F371,dv_num,0))),"Devis inconnu",IF(AND(F371&lt;&gt;"",IFERROR(INDEX(dv_client,MATCH(F371,dv_num,0)),D371)&lt;&gt;D371),"Client différent de celui du devis",IF(AG371="","Aucune ligne : saisissez des lignes ou un devis",IF(AND(AI371&lt;&gt;"",COUNTIF($AI$6:AI371,AI371)&gt;1),"Devis déjà repris par une autre facture",IF(AND(AA371="Avoir",M371=""),"Avoir : indiquez la facture d'origine",IF(AND(AA371="Avoir",ISNA(MATCH(M371,fa_num,0))),"Facture d'origine inconnue",IF(AND(AA371&lt;&gt;"Avoir",M371&lt;&gt;""),"« Avoir sur facture » : réservé aux avoirs",IF(AND(L371&lt;&gt;"",AA371&lt;&gt;"Facture"),"Acompte à déduire : réservé aux factures",IF(AND(L371&lt;&gt;"",ISNA(MATCH(L371,fa_num,0))),"Facture d'acompte inconnue",IF(AND(L371&lt;&gt;"",IFERROR(INDEX(fa_type,MATCH(L371,fa_num,0)),"")&lt;&gt;"Facture d'acompte"),"Le n° à déduire n'est pas une facture d'acompte",IF(AND(L371&lt;&gt;"",COUNTIF($L$6:L371,L371)&gt;1),"Acompte déjà déduit sur une autre facture",IF(AND(L371&lt;&gt;"",IFERROR(INDEX(fa_client,MATCH(L371,fa_num,0)),D371)&lt;&gt;D371),"Acompte d'un autre client",IF(AND(AR371&lt;&gt;"",N(Q371)&lt;0),"Acompte supérieur au total de la facture",IF(IF(AG371="Facture",COUNTIFS(fl_doc,A371,fl_check,"&lt;&gt;OK"),IF(AG371="Devis",COUNTIFS(dl_doc,F371,dl_check,"&lt;&gt;OK"),0))&gt;0,"Ligne(s) à corriger",IF(AND(W371&lt;&gt;"",N(W371)&lt;0),"Trop-perçu : vérifiez paiements et avoirs","OK")))))))))))))))))))))</f>
        <v/>
      </c>
      <c r="AA371" s="62" t="str">
        <f>IF(COUNTA(B371:D371,F371:O371)&gt;0,IF(B371="","Facture",B371),"")</f>
        <v/>
      </c>
      <c r="AB371" s="62" t="str">
        <f>IF(AA371="","",IF(AA371="Avoir",p_pav,IF(AA371="Facture d'acompte",p_pac,p_pfa)))</f>
        <v/>
      </c>
      <c r="AC371" s="62">
        <f>IF(ISNUMBER(C371),C371,0)</f>
        <v>0.0</v>
      </c>
      <c r="AD371" s="62" t="str">
        <f>IF(OR(AA371="",AC371=0),"",YEAR(AC371))</f>
        <v/>
      </c>
      <c r="AE371" s="62" t="str">
        <f>IF(AD371="","",COUNTIFS($AB$6:AB371,AB371,$AD$6:AD371,AD371))</f>
        <v/>
      </c>
      <c r="AF371" s="62">
        <f>IF(A371="",0,COUNTIF(fl_doc,A371))</f>
        <v>0.0</v>
      </c>
      <c r="AG371" s="62" t="str">
        <f>IF(A371="","",IF(AF371&gt;0,"Facture",IF(AND(F371&lt;&gt;"",AA371="Facture",ISNUMBER(MATCH(F371,dv_num,0))),"Devis","")))</f>
        <v/>
      </c>
      <c r="AH371" s="62" t="str">
        <f>IF(AND(A371&lt;&gt;"",F371&lt;&gt;"",AA371&lt;&gt;"Avoir"),F371,"")</f>
        <v/>
      </c>
      <c r="AI371" s="62" t="str">
        <f>IF(AG371="Devis",F371,"")</f>
        <v/>
      </c>
      <c r="AJ371" s="62">
        <f>IF(AG371="Facture",SUMIF(fl_doc,A371,fl_ht),IF(AG371="Devis",SUMIF(dl_doc,F371,dl_ht),0))</f>
        <v>0.0</v>
      </c>
      <c r="AK371" s="62">
        <f>IF(OR(AG371="",INDEX(p_rates,1)=""),0,IF(AG371="Facture",SUMIFS(fl_ht,fl_doc,A371,fl_rate,INDEX(p_rates,1)),SUMIFS(dl_ht,dl_doc,F371,dl_rate,INDEX(p_rates,1))))</f>
        <v>0.0</v>
      </c>
      <c r="AL371" s="62">
        <f>IF(OR(AG371="",INDEX(p_rates,2)=""),0,IF(AG371="Facture",SUMIFS(fl_ht,fl_doc,A371,fl_rate,INDEX(p_rates,2)),SUMIFS(dl_ht,dl_doc,F371,dl_rate,INDEX(p_rates,2))))</f>
        <v>0.0</v>
      </c>
      <c r="AM371" s="62">
        <f>IF(OR(AG371="",INDEX(p_rates,3)=""),0,IF(AG371="Facture",SUMIFS(fl_ht,fl_doc,A371,fl_rate,INDEX(p_rates,3)),SUMIFS(dl_ht,dl_doc,F371,dl_rate,INDEX(p_rates,3))))</f>
        <v>0.0</v>
      </c>
      <c r="AN371" s="62">
        <f>IF(OR(AG371="",INDEX(p_rates,4)=""),0,IF(AG371="Facture",SUMIFS(fl_ht,fl_doc,A371,fl_rate,INDEX(p_rates,4)),SUMIFS(dl_ht,dl_doc,F371,dl_rate,INDEX(p_rates,4))))</f>
        <v>0.0</v>
      </c>
      <c r="AO371" s="62">
        <f>IF(OR(AG371="",INDEX(p_rates,5)=""),0,IF(AG371="Facture",SUMIFS(fl_ht,fl_doc,A371,fl_rate,INDEX(p_rates,5)),SUMIFS(dl_ht,dl_doc,F371,dl_rate,INDEX(p_rates,5))))</f>
        <v>0.0</v>
      </c>
      <c r="AP371" s="62">
        <f>IF(OR(AG371="",INDEX(p_rates,6)=""),0,IF(AG371="Facture",SUMIFS(fl_ht,fl_doc,A371,fl_rate,INDEX(p_rates,6)),SUMIFS(dl_ht,dl_doc,F371,dl_rate,INDEX(p_rates,6))))</f>
        <v>0.0</v>
      </c>
      <c r="AQ371" s="62">
        <f>ROUND(AK371*N(INDEX(p_rates,1)),2)+ROUND(AL371*N(INDEX(p_rates,2)),2)+ROUND(AM371*N(INDEX(p_rates,3)),2)+ROUND(AN371*N(INDEX(p_rates,4)),2)+ROUND(AO371*N(INDEX(p_rates,5)),2)+ROUND(AP371*N(INDEX(p_rates,6)),2)</f>
        <v>0.0</v>
      </c>
      <c r="AR371" s="62" t="str">
        <f>IF(OR(L371="",AA371&lt;&gt;"Facture"),"",IFERROR(IF(INDEX(fa_type,MATCH(L371,fa_num,0))="Facture d'acompte",MATCH(L371,fa_num,0),""),""))</f>
        <v/>
      </c>
      <c r="AS371" s="62" t="str">
        <f>IF(W371="","",IF(W371&lt;=0,"",IF(p_asof-P371&lt;=0,"Non échu",IF(p_asof-P371&lt;=30,"1-30 j",IF(p_asof-P371&lt;=60,"31-60 j",IF(p_asof-P371&lt;=90,"61-90 j","Plus de 90 j"))))))</f>
        <v/>
      </c>
      <c r="AT371" s="62" t="str">
        <f>IF(AS371="","",p_asof-P371)</f>
        <v/>
      </c>
      <c r="AU371" s="62" t="str">
        <f>IF(AT371="","",COUNTIF($AT$6:$AT$805,"&gt;"&amp;AT371)+COUNTIF($AT$6:AT371,AT371))</f>
        <v/>
      </c>
    </row>
    <row r="372">
      <c r="A372" s="59" t="str">
        <f>IF(AE372="","",AB372&amp;"-"&amp;AD372&amp;"-"&amp;RIGHT("000"&amp;AE372,4))</f>
        <v/>
      </c>
      <c r="B372" s="60" t="n"/>
      <c r="C372" s="61" t="n"/>
      <c r="D372" s="60" t="n"/>
      <c r="E372" s="62" t="str">
        <f>IF(D372="","",IFERROR(INDEX(cli_name,MATCH(D372,cli_code,0))&amp;"","Client inconnu"))</f>
        <v/>
      </c>
      <c r="F372" s="60" t="n"/>
      <c r="G372" s="63" t="n"/>
      <c r="H372" s="61" t="n"/>
      <c r="I372" s="63" t="n"/>
      <c r="J372" s="60" t="n"/>
      <c r="K372" s="61" t="n"/>
      <c r="L372" s="60" t="n"/>
      <c r="M372" s="60" t="n"/>
      <c r="N372" s="60" t="n"/>
      <c r="O372" s="61" t="n"/>
      <c r="P372" s="64" t="str">
        <f>IF(A372="","",IF(AA372="Avoir",AC372,IF(ISNUMBER(K372),K372,AC372+IF(D372="",N(p_delay),IFERROR(IF(ISNUMBER(INDEX(cli_delay,MATCH(D372,cli_code,0))),INDEX(cli_delay,MATCH(D372,cli_code,0)),N(p_delay)),N(p_delay))))))</f>
        <v/>
      </c>
      <c r="Q372" s="65" t="str">
        <f>IF(A372="","",IF(AA372="Avoir",-1,1)*ROUND(AJ372-IF(AR372="",0,INDEX(fa_htb,AR372)),2))</f>
        <v/>
      </c>
      <c r="R372" s="65" t="str">
        <f>IF(A372="","",IF(AA372="Avoir",-1,1)*ROUND(AQ372-IF(AR372="",0,INDEX(fa_tvab,AR372)),2))</f>
        <v/>
      </c>
      <c r="S372" s="65" t="str">
        <f>IF(A372="","",Q372+R372)</f>
        <v/>
      </c>
      <c r="T372" s="65" t="str">
        <f>IF(AR372="","",INDEX(fa_htb,AR372)+INDEX(fa_tvab,AR372))</f>
        <v/>
      </c>
      <c r="U372" s="65" t="str">
        <f>IF(A372="","",SUMIF(pa_inv,A372,pa_amt))</f>
        <v/>
      </c>
      <c r="V372" s="65" t="str">
        <f>IF(OR(A372="",AA372="Avoir"),"",-SUMIFS(fa_ttc,fa_avof,A372,fa_type,"Avoir"))</f>
        <v/>
      </c>
      <c r="W372" s="65" t="str">
        <f>IF(OR(A372="",AA372="Avoir"),"",ROUND(S372-U372-V372,2))</f>
        <v/>
      </c>
      <c r="X372" s="66" t="str">
        <f>IF(W372="","",IF(AND(W372&gt;0,p_asof&gt;P372),p_asof-P372,""))</f>
        <v/>
      </c>
      <c r="Y372" s="59" t="str">
        <f>IF(A372="","",IF(AA372="Avoir","Avoir",IF(W372&lt;0,"Trop-perçu",IF(W372=0,"Soldée",IF(p_asof&gt;P372,"En retard",IF(U372+V372&gt;0,"Partielle","À échoir"))))))</f>
        <v/>
      </c>
      <c r="Z372" s="59" t="str">
        <f>IF(NOT(COUNTA(B372:D372,F372:O372)&gt;0),"",IF(C372="","Date manquante",IF(NOT(ISNUMBER(C372)),"Date invalide",IF(D372="","Client manquant",IF(ISNA(MATCH(D372,cli_code,0)),"Client inconnu",IF(AC372&lt;SUMPRODUCT(MAX(($AB$6:AB371=AB372)*$AC$6:AC371)),"Date antérieure à la facture précédente",IF(AND(F372&lt;&gt;"",ISNA(MATCH(F372,dv_num,0))),"Devis inconnu",IF(AND(F372&lt;&gt;"",IFERROR(INDEX(dv_client,MATCH(F372,dv_num,0)),D372)&lt;&gt;D372),"Client différent de celui du devis",IF(AG372="","Aucune ligne : saisissez des lignes ou un devis",IF(AND(AI372&lt;&gt;"",COUNTIF($AI$6:AI372,AI372)&gt;1),"Devis déjà repris par une autre facture",IF(AND(AA372="Avoir",M372=""),"Avoir : indiquez la facture d'origine",IF(AND(AA372="Avoir",ISNA(MATCH(M372,fa_num,0))),"Facture d'origine inconnue",IF(AND(AA372&lt;&gt;"Avoir",M372&lt;&gt;""),"« Avoir sur facture » : réservé aux avoirs",IF(AND(L372&lt;&gt;"",AA372&lt;&gt;"Facture"),"Acompte à déduire : réservé aux factures",IF(AND(L372&lt;&gt;"",ISNA(MATCH(L372,fa_num,0))),"Facture d'acompte inconnue",IF(AND(L372&lt;&gt;"",IFERROR(INDEX(fa_type,MATCH(L372,fa_num,0)),"")&lt;&gt;"Facture d'acompte"),"Le n° à déduire n'est pas une facture d'acompte",IF(AND(L372&lt;&gt;"",COUNTIF($L$6:L372,L372)&gt;1),"Acompte déjà déduit sur une autre facture",IF(AND(L372&lt;&gt;"",IFERROR(INDEX(fa_client,MATCH(L372,fa_num,0)),D372)&lt;&gt;D372),"Acompte d'un autre client",IF(AND(AR372&lt;&gt;"",N(Q372)&lt;0),"Acompte supérieur au total de la facture",IF(IF(AG372="Facture",COUNTIFS(fl_doc,A372,fl_check,"&lt;&gt;OK"),IF(AG372="Devis",COUNTIFS(dl_doc,F372,dl_check,"&lt;&gt;OK"),0))&gt;0,"Ligne(s) à corriger",IF(AND(W372&lt;&gt;"",N(W372)&lt;0),"Trop-perçu : vérifiez paiements et avoirs","OK")))))))))))))))))))))</f>
        <v/>
      </c>
      <c r="AA372" s="62" t="str">
        <f>IF(COUNTA(B372:D372,F372:O372)&gt;0,IF(B372="","Facture",B372),"")</f>
        <v/>
      </c>
      <c r="AB372" s="62" t="str">
        <f>IF(AA372="","",IF(AA372="Avoir",p_pav,IF(AA372="Facture d'acompte",p_pac,p_pfa)))</f>
        <v/>
      </c>
      <c r="AC372" s="62">
        <f>IF(ISNUMBER(C372),C372,0)</f>
        <v>0.0</v>
      </c>
      <c r="AD372" s="62" t="str">
        <f>IF(OR(AA372="",AC372=0),"",YEAR(AC372))</f>
        <v/>
      </c>
      <c r="AE372" s="62" t="str">
        <f>IF(AD372="","",COUNTIFS($AB$6:AB372,AB372,$AD$6:AD372,AD372))</f>
        <v/>
      </c>
      <c r="AF372" s="62">
        <f>IF(A372="",0,COUNTIF(fl_doc,A372))</f>
        <v>0.0</v>
      </c>
      <c r="AG372" s="62" t="str">
        <f>IF(A372="","",IF(AF372&gt;0,"Facture",IF(AND(F372&lt;&gt;"",AA372="Facture",ISNUMBER(MATCH(F372,dv_num,0))),"Devis","")))</f>
        <v/>
      </c>
      <c r="AH372" s="62" t="str">
        <f>IF(AND(A372&lt;&gt;"",F372&lt;&gt;"",AA372&lt;&gt;"Avoir"),F372,"")</f>
        <v/>
      </c>
      <c r="AI372" s="62" t="str">
        <f>IF(AG372="Devis",F372,"")</f>
        <v/>
      </c>
      <c r="AJ372" s="62">
        <f>IF(AG372="Facture",SUMIF(fl_doc,A372,fl_ht),IF(AG372="Devis",SUMIF(dl_doc,F372,dl_ht),0))</f>
        <v>0.0</v>
      </c>
      <c r="AK372" s="62">
        <f>IF(OR(AG372="",INDEX(p_rates,1)=""),0,IF(AG372="Facture",SUMIFS(fl_ht,fl_doc,A372,fl_rate,INDEX(p_rates,1)),SUMIFS(dl_ht,dl_doc,F372,dl_rate,INDEX(p_rates,1))))</f>
        <v>0.0</v>
      </c>
      <c r="AL372" s="62">
        <f>IF(OR(AG372="",INDEX(p_rates,2)=""),0,IF(AG372="Facture",SUMIFS(fl_ht,fl_doc,A372,fl_rate,INDEX(p_rates,2)),SUMIFS(dl_ht,dl_doc,F372,dl_rate,INDEX(p_rates,2))))</f>
        <v>0.0</v>
      </c>
      <c r="AM372" s="62">
        <f>IF(OR(AG372="",INDEX(p_rates,3)=""),0,IF(AG372="Facture",SUMIFS(fl_ht,fl_doc,A372,fl_rate,INDEX(p_rates,3)),SUMIFS(dl_ht,dl_doc,F372,dl_rate,INDEX(p_rates,3))))</f>
        <v>0.0</v>
      </c>
      <c r="AN372" s="62">
        <f>IF(OR(AG372="",INDEX(p_rates,4)=""),0,IF(AG372="Facture",SUMIFS(fl_ht,fl_doc,A372,fl_rate,INDEX(p_rates,4)),SUMIFS(dl_ht,dl_doc,F372,dl_rate,INDEX(p_rates,4))))</f>
        <v>0.0</v>
      </c>
      <c r="AO372" s="62">
        <f>IF(OR(AG372="",INDEX(p_rates,5)=""),0,IF(AG372="Facture",SUMIFS(fl_ht,fl_doc,A372,fl_rate,INDEX(p_rates,5)),SUMIFS(dl_ht,dl_doc,F372,dl_rate,INDEX(p_rates,5))))</f>
        <v>0.0</v>
      </c>
      <c r="AP372" s="62">
        <f>IF(OR(AG372="",INDEX(p_rates,6)=""),0,IF(AG372="Facture",SUMIFS(fl_ht,fl_doc,A372,fl_rate,INDEX(p_rates,6)),SUMIFS(dl_ht,dl_doc,F372,dl_rate,INDEX(p_rates,6))))</f>
        <v>0.0</v>
      </c>
      <c r="AQ372" s="62">
        <f>ROUND(AK372*N(INDEX(p_rates,1)),2)+ROUND(AL372*N(INDEX(p_rates,2)),2)+ROUND(AM372*N(INDEX(p_rates,3)),2)+ROUND(AN372*N(INDEX(p_rates,4)),2)+ROUND(AO372*N(INDEX(p_rates,5)),2)+ROUND(AP372*N(INDEX(p_rates,6)),2)</f>
        <v>0.0</v>
      </c>
      <c r="AR372" s="62" t="str">
        <f>IF(OR(L372="",AA372&lt;&gt;"Facture"),"",IFERROR(IF(INDEX(fa_type,MATCH(L372,fa_num,0))="Facture d'acompte",MATCH(L372,fa_num,0),""),""))</f>
        <v/>
      </c>
      <c r="AS372" s="62" t="str">
        <f>IF(W372="","",IF(W372&lt;=0,"",IF(p_asof-P372&lt;=0,"Non échu",IF(p_asof-P372&lt;=30,"1-30 j",IF(p_asof-P372&lt;=60,"31-60 j",IF(p_asof-P372&lt;=90,"61-90 j","Plus de 90 j"))))))</f>
        <v/>
      </c>
      <c r="AT372" s="62" t="str">
        <f>IF(AS372="","",p_asof-P372)</f>
        <v/>
      </c>
      <c r="AU372" s="62" t="str">
        <f>IF(AT372="","",COUNTIF($AT$6:$AT$805,"&gt;"&amp;AT372)+COUNTIF($AT$6:AT372,AT372))</f>
        <v/>
      </c>
    </row>
    <row r="373">
      <c r="A373" s="59" t="str">
        <f>IF(AE373="","",AB373&amp;"-"&amp;AD373&amp;"-"&amp;RIGHT("000"&amp;AE373,4))</f>
        <v/>
      </c>
      <c r="B373" s="60" t="n"/>
      <c r="C373" s="61" t="n"/>
      <c r="D373" s="60" t="n"/>
      <c r="E373" s="62" t="str">
        <f>IF(D373="","",IFERROR(INDEX(cli_name,MATCH(D373,cli_code,0))&amp;"","Client inconnu"))</f>
        <v/>
      </c>
      <c r="F373" s="60" t="n"/>
      <c r="G373" s="63" t="n"/>
      <c r="H373" s="61" t="n"/>
      <c r="I373" s="63" t="n"/>
      <c r="J373" s="60" t="n"/>
      <c r="K373" s="61" t="n"/>
      <c r="L373" s="60" t="n"/>
      <c r="M373" s="60" t="n"/>
      <c r="N373" s="60" t="n"/>
      <c r="O373" s="61" t="n"/>
      <c r="P373" s="64" t="str">
        <f>IF(A373="","",IF(AA373="Avoir",AC373,IF(ISNUMBER(K373),K373,AC373+IF(D373="",N(p_delay),IFERROR(IF(ISNUMBER(INDEX(cli_delay,MATCH(D373,cli_code,0))),INDEX(cli_delay,MATCH(D373,cli_code,0)),N(p_delay)),N(p_delay))))))</f>
        <v/>
      </c>
      <c r="Q373" s="65" t="str">
        <f>IF(A373="","",IF(AA373="Avoir",-1,1)*ROUND(AJ373-IF(AR373="",0,INDEX(fa_htb,AR373)),2))</f>
        <v/>
      </c>
      <c r="R373" s="65" t="str">
        <f>IF(A373="","",IF(AA373="Avoir",-1,1)*ROUND(AQ373-IF(AR373="",0,INDEX(fa_tvab,AR373)),2))</f>
        <v/>
      </c>
      <c r="S373" s="65" t="str">
        <f>IF(A373="","",Q373+R373)</f>
        <v/>
      </c>
      <c r="T373" s="65" t="str">
        <f>IF(AR373="","",INDEX(fa_htb,AR373)+INDEX(fa_tvab,AR373))</f>
        <v/>
      </c>
      <c r="U373" s="65" t="str">
        <f>IF(A373="","",SUMIF(pa_inv,A373,pa_amt))</f>
        <v/>
      </c>
      <c r="V373" s="65" t="str">
        <f>IF(OR(A373="",AA373="Avoir"),"",-SUMIFS(fa_ttc,fa_avof,A373,fa_type,"Avoir"))</f>
        <v/>
      </c>
      <c r="W373" s="65" t="str">
        <f>IF(OR(A373="",AA373="Avoir"),"",ROUND(S373-U373-V373,2))</f>
        <v/>
      </c>
      <c r="X373" s="66" t="str">
        <f>IF(W373="","",IF(AND(W373&gt;0,p_asof&gt;P373),p_asof-P373,""))</f>
        <v/>
      </c>
      <c r="Y373" s="59" t="str">
        <f>IF(A373="","",IF(AA373="Avoir","Avoir",IF(W373&lt;0,"Trop-perçu",IF(W373=0,"Soldée",IF(p_asof&gt;P373,"En retard",IF(U373+V373&gt;0,"Partielle","À échoir"))))))</f>
        <v/>
      </c>
      <c r="Z373" s="59" t="str">
        <f>IF(NOT(COUNTA(B373:D373,F373:O373)&gt;0),"",IF(C373="","Date manquante",IF(NOT(ISNUMBER(C373)),"Date invalide",IF(D373="","Client manquant",IF(ISNA(MATCH(D373,cli_code,0)),"Client inconnu",IF(AC373&lt;SUMPRODUCT(MAX(($AB$6:AB372=AB373)*$AC$6:AC372)),"Date antérieure à la facture précédente",IF(AND(F373&lt;&gt;"",ISNA(MATCH(F373,dv_num,0))),"Devis inconnu",IF(AND(F373&lt;&gt;"",IFERROR(INDEX(dv_client,MATCH(F373,dv_num,0)),D373)&lt;&gt;D373),"Client différent de celui du devis",IF(AG373="","Aucune ligne : saisissez des lignes ou un devis",IF(AND(AI373&lt;&gt;"",COUNTIF($AI$6:AI373,AI373)&gt;1),"Devis déjà repris par une autre facture",IF(AND(AA373="Avoir",M373=""),"Avoir : indiquez la facture d'origine",IF(AND(AA373="Avoir",ISNA(MATCH(M373,fa_num,0))),"Facture d'origine inconnue",IF(AND(AA373&lt;&gt;"Avoir",M373&lt;&gt;""),"« Avoir sur facture » : réservé aux avoirs",IF(AND(L373&lt;&gt;"",AA373&lt;&gt;"Facture"),"Acompte à déduire : réservé aux factures",IF(AND(L373&lt;&gt;"",ISNA(MATCH(L373,fa_num,0))),"Facture d'acompte inconnue",IF(AND(L373&lt;&gt;"",IFERROR(INDEX(fa_type,MATCH(L373,fa_num,0)),"")&lt;&gt;"Facture d'acompte"),"Le n° à déduire n'est pas une facture d'acompte",IF(AND(L373&lt;&gt;"",COUNTIF($L$6:L373,L373)&gt;1),"Acompte déjà déduit sur une autre facture",IF(AND(L373&lt;&gt;"",IFERROR(INDEX(fa_client,MATCH(L373,fa_num,0)),D373)&lt;&gt;D373),"Acompte d'un autre client",IF(AND(AR373&lt;&gt;"",N(Q373)&lt;0),"Acompte supérieur au total de la facture",IF(IF(AG373="Facture",COUNTIFS(fl_doc,A373,fl_check,"&lt;&gt;OK"),IF(AG373="Devis",COUNTIFS(dl_doc,F373,dl_check,"&lt;&gt;OK"),0))&gt;0,"Ligne(s) à corriger",IF(AND(W373&lt;&gt;"",N(W373)&lt;0),"Trop-perçu : vérifiez paiements et avoirs","OK")))))))))))))))))))))</f>
        <v/>
      </c>
      <c r="AA373" s="62" t="str">
        <f>IF(COUNTA(B373:D373,F373:O373)&gt;0,IF(B373="","Facture",B373),"")</f>
        <v/>
      </c>
      <c r="AB373" s="62" t="str">
        <f>IF(AA373="","",IF(AA373="Avoir",p_pav,IF(AA373="Facture d'acompte",p_pac,p_pfa)))</f>
        <v/>
      </c>
      <c r="AC373" s="62">
        <f>IF(ISNUMBER(C373),C373,0)</f>
        <v>0.0</v>
      </c>
      <c r="AD373" s="62" t="str">
        <f>IF(OR(AA373="",AC373=0),"",YEAR(AC373))</f>
        <v/>
      </c>
      <c r="AE373" s="62" t="str">
        <f>IF(AD373="","",COUNTIFS($AB$6:AB373,AB373,$AD$6:AD373,AD373))</f>
        <v/>
      </c>
      <c r="AF373" s="62">
        <f>IF(A373="",0,COUNTIF(fl_doc,A373))</f>
        <v>0.0</v>
      </c>
      <c r="AG373" s="62" t="str">
        <f>IF(A373="","",IF(AF373&gt;0,"Facture",IF(AND(F373&lt;&gt;"",AA373="Facture",ISNUMBER(MATCH(F373,dv_num,0))),"Devis","")))</f>
        <v/>
      </c>
      <c r="AH373" s="62" t="str">
        <f>IF(AND(A373&lt;&gt;"",F373&lt;&gt;"",AA373&lt;&gt;"Avoir"),F373,"")</f>
        <v/>
      </c>
      <c r="AI373" s="62" t="str">
        <f>IF(AG373="Devis",F373,"")</f>
        <v/>
      </c>
      <c r="AJ373" s="62">
        <f>IF(AG373="Facture",SUMIF(fl_doc,A373,fl_ht),IF(AG373="Devis",SUMIF(dl_doc,F373,dl_ht),0))</f>
        <v>0.0</v>
      </c>
      <c r="AK373" s="62">
        <f>IF(OR(AG373="",INDEX(p_rates,1)=""),0,IF(AG373="Facture",SUMIFS(fl_ht,fl_doc,A373,fl_rate,INDEX(p_rates,1)),SUMIFS(dl_ht,dl_doc,F373,dl_rate,INDEX(p_rates,1))))</f>
        <v>0.0</v>
      </c>
      <c r="AL373" s="62">
        <f>IF(OR(AG373="",INDEX(p_rates,2)=""),0,IF(AG373="Facture",SUMIFS(fl_ht,fl_doc,A373,fl_rate,INDEX(p_rates,2)),SUMIFS(dl_ht,dl_doc,F373,dl_rate,INDEX(p_rates,2))))</f>
        <v>0.0</v>
      </c>
      <c r="AM373" s="62">
        <f>IF(OR(AG373="",INDEX(p_rates,3)=""),0,IF(AG373="Facture",SUMIFS(fl_ht,fl_doc,A373,fl_rate,INDEX(p_rates,3)),SUMIFS(dl_ht,dl_doc,F373,dl_rate,INDEX(p_rates,3))))</f>
        <v>0.0</v>
      </c>
      <c r="AN373" s="62">
        <f>IF(OR(AG373="",INDEX(p_rates,4)=""),0,IF(AG373="Facture",SUMIFS(fl_ht,fl_doc,A373,fl_rate,INDEX(p_rates,4)),SUMIFS(dl_ht,dl_doc,F373,dl_rate,INDEX(p_rates,4))))</f>
        <v>0.0</v>
      </c>
      <c r="AO373" s="62">
        <f>IF(OR(AG373="",INDEX(p_rates,5)=""),0,IF(AG373="Facture",SUMIFS(fl_ht,fl_doc,A373,fl_rate,INDEX(p_rates,5)),SUMIFS(dl_ht,dl_doc,F373,dl_rate,INDEX(p_rates,5))))</f>
        <v>0.0</v>
      </c>
      <c r="AP373" s="62">
        <f>IF(OR(AG373="",INDEX(p_rates,6)=""),0,IF(AG373="Facture",SUMIFS(fl_ht,fl_doc,A373,fl_rate,INDEX(p_rates,6)),SUMIFS(dl_ht,dl_doc,F373,dl_rate,INDEX(p_rates,6))))</f>
        <v>0.0</v>
      </c>
      <c r="AQ373" s="62">
        <f>ROUND(AK373*N(INDEX(p_rates,1)),2)+ROUND(AL373*N(INDEX(p_rates,2)),2)+ROUND(AM373*N(INDEX(p_rates,3)),2)+ROUND(AN373*N(INDEX(p_rates,4)),2)+ROUND(AO373*N(INDEX(p_rates,5)),2)+ROUND(AP373*N(INDEX(p_rates,6)),2)</f>
        <v>0.0</v>
      </c>
      <c r="AR373" s="62" t="str">
        <f>IF(OR(L373="",AA373&lt;&gt;"Facture"),"",IFERROR(IF(INDEX(fa_type,MATCH(L373,fa_num,0))="Facture d'acompte",MATCH(L373,fa_num,0),""),""))</f>
        <v/>
      </c>
      <c r="AS373" s="62" t="str">
        <f>IF(W373="","",IF(W373&lt;=0,"",IF(p_asof-P373&lt;=0,"Non échu",IF(p_asof-P373&lt;=30,"1-30 j",IF(p_asof-P373&lt;=60,"31-60 j",IF(p_asof-P373&lt;=90,"61-90 j","Plus de 90 j"))))))</f>
        <v/>
      </c>
      <c r="AT373" s="62" t="str">
        <f>IF(AS373="","",p_asof-P373)</f>
        <v/>
      </c>
      <c r="AU373" s="62" t="str">
        <f>IF(AT373="","",COUNTIF($AT$6:$AT$805,"&gt;"&amp;AT373)+COUNTIF($AT$6:AT373,AT373))</f>
        <v/>
      </c>
    </row>
    <row r="374">
      <c r="A374" s="59" t="str">
        <f>IF(AE374="","",AB374&amp;"-"&amp;AD374&amp;"-"&amp;RIGHT("000"&amp;AE374,4))</f>
        <v/>
      </c>
      <c r="B374" s="60" t="n"/>
      <c r="C374" s="61" t="n"/>
      <c r="D374" s="60" t="n"/>
      <c r="E374" s="62" t="str">
        <f>IF(D374="","",IFERROR(INDEX(cli_name,MATCH(D374,cli_code,0))&amp;"","Client inconnu"))</f>
        <v/>
      </c>
      <c r="F374" s="60" t="n"/>
      <c r="G374" s="63" t="n"/>
      <c r="H374" s="61" t="n"/>
      <c r="I374" s="63" t="n"/>
      <c r="J374" s="60" t="n"/>
      <c r="K374" s="61" t="n"/>
      <c r="L374" s="60" t="n"/>
      <c r="M374" s="60" t="n"/>
      <c r="N374" s="60" t="n"/>
      <c r="O374" s="61" t="n"/>
      <c r="P374" s="64" t="str">
        <f>IF(A374="","",IF(AA374="Avoir",AC374,IF(ISNUMBER(K374),K374,AC374+IF(D374="",N(p_delay),IFERROR(IF(ISNUMBER(INDEX(cli_delay,MATCH(D374,cli_code,0))),INDEX(cli_delay,MATCH(D374,cli_code,0)),N(p_delay)),N(p_delay))))))</f>
        <v/>
      </c>
      <c r="Q374" s="65" t="str">
        <f>IF(A374="","",IF(AA374="Avoir",-1,1)*ROUND(AJ374-IF(AR374="",0,INDEX(fa_htb,AR374)),2))</f>
        <v/>
      </c>
      <c r="R374" s="65" t="str">
        <f>IF(A374="","",IF(AA374="Avoir",-1,1)*ROUND(AQ374-IF(AR374="",0,INDEX(fa_tvab,AR374)),2))</f>
        <v/>
      </c>
      <c r="S374" s="65" t="str">
        <f>IF(A374="","",Q374+R374)</f>
        <v/>
      </c>
      <c r="T374" s="65" t="str">
        <f>IF(AR374="","",INDEX(fa_htb,AR374)+INDEX(fa_tvab,AR374))</f>
        <v/>
      </c>
      <c r="U374" s="65" t="str">
        <f>IF(A374="","",SUMIF(pa_inv,A374,pa_amt))</f>
        <v/>
      </c>
      <c r="V374" s="65" t="str">
        <f>IF(OR(A374="",AA374="Avoir"),"",-SUMIFS(fa_ttc,fa_avof,A374,fa_type,"Avoir"))</f>
        <v/>
      </c>
      <c r="W374" s="65" t="str">
        <f>IF(OR(A374="",AA374="Avoir"),"",ROUND(S374-U374-V374,2))</f>
        <v/>
      </c>
      <c r="X374" s="66" t="str">
        <f>IF(W374="","",IF(AND(W374&gt;0,p_asof&gt;P374),p_asof-P374,""))</f>
        <v/>
      </c>
      <c r="Y374" s="59" t="str">
        <f>IF(A374="","",IF(AA374="Avoir","Avoir",IF(W374&lt;0,"Trop-perçu",IF(W374=0,"Soldée",IF(p_asof&gt;P374,"En retard",IF(U374+V374&gt;0,"Partielle","À échoir"))))))</f>
        <v/>
      </c>
      <c r="Z374" s="59" t="str">
        <f>IF(NOT(COUNTA(B374:D374,F374:O374)&gt;0),"",IF(C374="","Date manquante",IF(NOT(ISNUMBER(C374)),"Date invalide",IF(D374="","Client manquant",IF(ISNA(MATCH(D374,cli_code,0)),"Client inconnu",IF(AC374&lt;SUMPRODUCT(MAX(($AB$6:AB373=AB374)*$AC$6:AC373)),"Date antérieure à la facture précédente",IF(AND(F374&lt;&gt;"",ISNA(MATCH(F374,dv_num,0))),"Devis inconnu",IF(AND(F374&lt;&gt;"",IFERROR(INDEX(dv_client,MATCH(F374,dv_num,0)),D374)&lt;&gt;D374),"Client différent de celui du devis",IF(AG374="","Aucune ligne : saisissez des lignes ou un devis",IF(AND(AI374&lt;&gt;"",COUNTIF($AI$6:AI374,AI374)&gt;1),"Devis déjà repris par une autre facture",IF(AND(AA374="Avoir",M374=""),"Avoir : indiquez la facture d'origine",IF(AND(AA374="Avoir",ISNA(MATCH(M374,fa_num,0))),"Facture d'origine inconnue",IF(AND(AA374&lt;&gt;"Avoir",M374&lt;&gt;""),"« Avoir sur facture » : réservé aux avoirs",IF(AND(L374&lt;&gt;"",AA374&lt;&gt;"Facture"),"Acompte à déduire : réservé aux factures",IF(AND(L374&lt;&gt;"",ISNA(MATCH(L374,fa_num,0))),"Facture d'acompte inconnue",IF(AND(L374&lt;&gt;"",IFERROR(INDEX(fa_type,MATCH(L374,fa_num,0)),"")&lt;&gt;"Facture d'acompte"),"Le n° à déduire n'est pas une facture d'acompte",IF(AND(L374&lt;&gt;"",COUNTIF($L$6:L374,L374)&gt;1),"Acompte déjà déduit sur une autre facture",IF(AND(L374&lt;&gt;"",IFERROR(INDEX(fa_client,MATCH(L374,fa_num,0)),D374)&lt;&gt;D374),"Acompte d'un autre client",IF(AND(AR374&lt;&gt;"",N(Q374)&lt;0),"Acompte supérieur au total de la facture",IF(IF(AG374="Facture",COUNTIFS(fl_doc,A374,fl_check,"&lt;&gt;OK"),IF(AG374="Devis",COUNTIFS(dl_doc,F374,dl_check,"&lt;&gt;OK"),0))&gt;0,"Ligne(s) à corriger",IF(AND(W374&lt;&gt;"",N(W374)&lt;0),"Trop-perçu : vérifiez paiements et avoirs","OK")))))))))))))))))))))</f>
        <v/>
      </c>
      <c r="AA374" s="62" t="str">
        <f>IF(COUNTA(B374:D374,F374:O374)&gt;0,IF(B374="","Facture",B374),"")</f>
        <v/>
      </c>
      <c r="AB374" s="62" t="str">
        <f>IF(AA374="","",IF(AA374="Avoir",p_pav,IF(AA374="Facture d'acompte",p_pac,p_pfa)))</f>
        <v/>
      </c>
      <c r="AC374" s="62">
        <f>IF(ISNUMBER(C374),C374,0)</f>
        <v>0.0</v>
      </c>
      <c r="AD374" s="62" t="str">
        <f>IF(OR(AA374="",AC374=0),"",YEAR(AC374))</f>
        <v/>
      </c>
      <c r="AE374" s="62" t="str">
        <f>IF(AD374="","",COUNTIFS($AB$6:AB374,AB374,$AD$6:AD374,AD374))</f>
        <v/>
      </c>
      <c r="AF374" s="62">
        <f>IF(A374="",0,COUNTIF(fl_doc,A374))</f>
        <v>0.0</v>
      </c>
      <c r="AG374" s="62" t="str">
        <f>IF(A374="","",IF(AF374&gt;0,"Facture",IF(AND(F374&lt;&gt;"",AA374="Facture",ISNUMBER(MATCH(F374,dv_num,0))),"Devis","")))</f>
        <v/>
      </c>
      <c r="AH374" s="62" t="str">
        <f>IF(AND(A374&lt;&gt;"",F374&lt;&gt;"",AA374&lt;&gt;"Avoir"),F374,"")</f>
        <v/>
      </c>
      <c r="AI374" s="62" t="str">
        <f>IF(AG374="Devis",F374,"")</f>
        <v/>
      </c>
      <c r="AJ374" s="62">
        <f>IF(AG374="Facture",SUMIF(fl_doc,A374,fl_ht),IF(AG374="Devis",SUMIF(dl_doc,F374,dl_ht),0))</f>
        <v>0.0</v>
      </c>
      <c r="AK374" s="62">
        <f>IF(OR(AG374="",INDEX(p_rates,1)=""),0,IF(AG374="Facture",SUMIFS(fl_ht,fl_doc,A374,fl_rate,INDEX(p_rates,1)),SUMIFS(dl_ht,dl_doc,F374,dl_rate,INDEX(p_rates,1))))</f>
        <v>0.0</v>
      </c>
      <c r="AL374" s="62">
        <f>IF(OR(AG374="",INDEX(p_rates,2)=""),0,IF(AG374="Facture",SUMIFS(fl_ht,fl_doc,A374,fl_rate,INDEX(p_rates,2)),SUMIFS(dl_ht,dl_doc,F374,dl_rate,INDEX(p_rates,2))))</f>
        <v>0.0</v>
      </c>
      <c r="AM374" s="62">
        <f>IF(OR(AG374="",INDEX(p_rates,3)=""),0,IF(AG374="Facture",SUMIFS(fl_ht,fl_doc,A374,fl_rate,INDEX(p_rates,3)),SUMIFS(dl_ht,dl_doc,F374,dl_rate,INDEX(p_rates,3))))</f>
        <v>0.0</v>
      </c>
      <c r="AN374" s="62">
        <f>IF(OR(AG374="",INDEX(p_rates,4)=""),0,IF(AG374="Facture",SUMIFS(fl_ht,fl_doc,A374,fl_rate,INDEX(p_rates,4)),SUMIFS(dl_ht,dl_doc,F374,dl_rate,INDEX(p_rates,4))))</f>
        <v>0.0</v>
      </c>
      <c r="AO374" s="62">
        <f>IF(OR(AG374="",INDEX(p_rates,5)=""),0,IF(AG374="Facture",SUMIFS(fl_ht,fl_doc,A374,fl_rate,INDEX(p_rates,5)),SUMIFS(dl_ht,dl_doc,F374,dl_rate,INDEX(p_rates,5))))</f>
        <v>0.0</v>
      </c>
      <c r="AP374" s="62">
        <f>IF(OR(AG374="",INDEX(p_rates,6)=""),0,IF(AG374="Facture",SUMIFS(fl_ht,fl_doc,A374,fl_rate,INDEX(p_rates,6)),SUMIFS(dl_ht,dl_doc,F374,dl_rate,INDEX(p_rates,6))))</f>
        <v>0.0</v>
      </c>
      <c r="AQ374" s="62">
        <f>ROUND(AK374*N(INDEX(p_rates,1)),2)+ROUND(AL374*N(INDEX(p_rates,2)),2)+ROUND(AM374*N(INDEX(p_rates,3)),2)+ROUND(AN374*N(INDEX(p_rates,4)),2)+ROUND(AO374*N(INDEX(p_rates,5)),2)+ROUND(AP374*N(INDEX(p_rates,6)),2)</f>
        <v>0.0</v>
      </c>
      <c r="AR374" s="62" t="str">
        <f>IF(OR(L374="",AA374&lt;&gt;"Facture"),"",IFERROR(IF(INDEX(fa_type,MATCH(L374,fa_num,0))="Facture d'acompte",MATCH(L374,fa_num,0),""),""))</f>
        <v/>
      </c>
      <c r="AS374" s="62" t="str">
        <f>IF(W374="","",IF(W374&lt;=0,"",IF(p_asof-P374&lt;=0,"Non échu",IF(p_asof-P374&lt;=30,"1-30 j",IF(p_asof-P374&lt;=60,"31-60 j",IF(p_asof-P374&lt;=90,"61-90 j","Plus de 90 j"))))))</f>
        <v/>
      </c>
      <c r="AT374" s="62" t="str">
        <f>IF(AS374="","",p_asof-P374)</f>
        <v/>
      </c>
      <c r="AU374" s="62" t="str">
        <f>IF(AT374="","",COUNTIF($AT$6:$AT$805,"&gt;"&amp;AT374)+COUNTIF($AT$6:AT374,AT374))</f>
        <v/>
      </c>
    </row>
    <row r="375">
      <c r="A375" s="59" t="str">
        <f>IF(AE375="","",AB375&amp;"-"&amp;AD375&amp;"-"&amp;RIGHT("000"&amp;AE375,4))</f>
        <v/>
      </c>
      <c r="B375" s="60" t="n"/>
      <c r="C375" s="61" t="n"/>
      <c r="D375" s="60" t="n"/>
      <c r="E375" s="62" t="str">
        <f>IF(D375="","",IFERROR(INDEX(cli_name,MATCH(D375,cli_code,0))&amp;"","Client inconnu"))</f>
        <v/>
      </c>
      <c r="F375" s="60" t="n"/>
      <c r="G375" s="63" t="n"/>
      <c r="H375" s="61" t="n"/>
      <c r="I375" s="63" t="n"/>
      <c r="J375" s="60" t="n"/>
      <c r="K375" s="61" t="n"/>
      <c r="L375" s="60" t="n"/>
      <c r="M375" s="60" t="n"/>
      <c r="N375" s="60" t="n"/>
      <c r="O375" s="61" t="n"/>
      <c r="P375" s="64" t="str">
        <f>IF(A375="","",IF(AA375="Avoir",AC375,IF(ISNUMBER(K375),K375,AC375+IF(D375="",N(p_delay),IFERROR(IF(ISNUMBER(INDEX(cli_delay,MATCH(D375,cli_code,0))),INDEX(cli_delay,MATCH(D375,cli_code,0)),N(p_delay)),N(p_delay))))))</f>
        <v/>
      </c>
      <c r="Q375" s="65" t="str">
        <f>IF(A375="","",IF(AA375="Avoir",-1,1)*ROUND(AJ375-IF(AR375="",0,INDEX(fa_htb,AR375)),2))</f>
        <v/>
      </c>
      <c r="R375" s="65" t="str">
        <f>IF(A375="","",IF(AA375="Avoir",-1,1)*ROUND(AQ375-IF(AR375="",0,INDEX(fa_tvab,AR375)),2))</f>
        <v/>
      </c>
      <c r="S375" s="65" t="str">
        <f>IF(A375="","",Q375+R375)</f>
        <v/>
      </c>
      <c r="T375" s="65" t="str">
        <f>IF(AR375="","",INDEX(fa_htb,AR375)+INDEX(fa_tvab,AR375))</f>
        <v/>
      </c>
      <c r="U375" s="65" t="str">
        <f>IF(A375="","",SUMIF(pa_inv,A375,pa_amt))</f>
        <v/>
      </c>
      <c r="V375" s="65" t="str">
        <f>IF(OR(A375="",AA375="Avoir"),"",-SUMIFS(fa_ttc,fa_avof,A375,fa_type,"Avoir"))</f>
        <v/>
      </c>
      <c r="W375" s="65" t="str">
        <f>IF(OR(A375="",AA375="Avoir"),"",ROUND(S375-U375-V375,2))</f>
        <v/>
      </c>
      <c r="X375" s="66" t="str">
        <f>IF(W375="","",IF(AND(W375&gt;0,p_asof&gt;P375),p_asof-P375,""))</f>
        <v/>
      </c>
      <c r="Y375" s="59" t="str">
        <f>IF(A375="","",IF(AA375="Avoir","Avoir",IF(W375&lt;0,"Trop-perçu",IF(W375=0,"Soldée",IF(p_asof&gt;P375,"En retard",IF(U375+V375&gt;0,"Partielle","À échoir"))))))</f>
        <v/>
      </c>
      <c r="Z375" s="59" t="str">
        <f>IF(NOT(COUNTA(B375:D375,F375:O375)&gt;0),"",IF(C375="","Date manquante",IF(NOT(ISNUMBER(C375)),"Date invalide",IF(D375="","Client manquant",IF(ISNA(MATCH(D375,cli_code,0)),"Client inconnu",IF(AC375&lt;SUMPRODUCT(MAX(($AB$6:AB374=AB375)*$AC$6:AC374)),"Date antérieure à la facture précédente",IF(AND(F375&lt;&gt;"",ISNA(MATCH(F375,dv_num,0))),"Devis inconnu",IF(AND(F375&lt;&gt;"",IFERROR(INDEX(dv_client,MATCH(F375,dv_num,0)),D375)&lt;&gt;D375),"Client différent de celui du devis",IF(AG375="","Aucune ligne : saisissez des lignes ou un devis",IF(AND(AI375&lt;&gt;"",COUNTIF($AI$6:AI375,AI375)&gt;1),"Devis déjà repris par une autre facture",IF(AND(AA375="Avoir",M375=""),"Avoir : indiquez la facture d'origine",IF(AND(AA375="Avoir",ISNA(MATCH(M375,fa_num,0))),"Facture d'origine inconnue",IF(AND(AA375&lt;&gt;"Avoir",M375&lt;&gt;""),"« Avoir sur facture » : réservé aux avoirs",IF(AND(L375&lt;&gt;"",AA375&lt;&gt;"Facture"),"Acompte à déduire : réservé aux factures",IF(AND(L375&lt;&gt;"",ISNA(MATCH(L375,fa_num,0))),"Facture d'acompte inconnue",IF(AND(L375&lt;&gt;"",IFERROR(INDEX(fa_type,MATCH(L375,fa_num,0)),"")&lt;&gt;"Facture d'acompte"),"Le n° à déduire n'est pas une facture d'acompte",IF(AND(L375&lt;&gt;"",COUNTIF($L$6:L375,L375)&gt;1),"Acompte déjà déduit sur une autre facture",IF(AND(L375&lt;&gt;"",IFERROR(INDEX(fa_client,MATCH(L375,fa_num,0)),D375)&lt;&gt;D375),"Acompte d'un autre client",IF(AND(AR375&lt;&gt;"",N(Q375)&lt;0),"Acompte supérieur au total de la facture",IF(IF(AG375="Facture",COUNTIFS(fl_doc,A375,fl_check,"&lt;&gt;OK"),IF(AG375="Devis",COUNTIFS(dl_doc,F375,dl_check,"&lt;&gt;OK"),0))&gt;0,"Ligne(s) à corriger",IF(AND(W375&lt;&gt;"",N(W375)&lt;0),"Trop-perçu : vérifiez paiements et avoirs","OK")))))))))))))))))))))</f>
        <v/>
      </c>
      <c r="AA375" s="62" t="str">
        <f>IF(COUNTA(B375:D375,F375:O375)&gt;0,IF(B375="","Facture",B375),"")</f>
        <v/>
      </c>
      <c r="AB375" s="62" t="str">
        <f>IF(AA375="","",IF(AA375="Avoir",p_pav,IF(AA375="Facture d'acompte",p_pac,p_pfa)))</f>
        <v/>
      </c>
      <c r="AC375" s="62">
        <f>IF(ISNUMBER(C375),C375,0)</f>
        <v>0.0</v>
      </c>
      <c r="AD375" s="62" t="str">
        <f>IF(OR(AA375="",AC375=0),"",YEAR(AC375))</f>
        <v/>
      </c>
      <c r="AE375" s="62" t="str">
        <f>IF(AD375="","",COUNTIFS($AB$6:AB375,AB375,$AD$6:AD375,AD375))</f>
        <v/>
      </c>
      <c r="AF375" s="62">
        <f>IF(A375="",0,COUNTIF(fl_doc,A375))</f>
        <v>0.0</v>
      </c>
      <c r="AG375" s="62" t="str">
        <f>IF(A375="","",IF(AF375&gt;0,"Facture",IF(AND(F375&lt;&gt;"",AA375="Facture",ISNUMBER(MATCH(F375,dv_num,0))),"Devis","")))</f>
        <v/>
      </c>
      <c r="AH375" s="62" t="str">
        <f>IF(AND(A375&lt;&gt;"",F375&lt;&gt;"",AA375&lt;&gt;"Avoir"),F375,"")</f>
        <v/>
      </c>
      <c r="AI375" s="62" t="str">
        <f>IF(AG375="Devis",F375,"")</f>
        <v/>
      </c>
      <c r="AJ375" s="62">
        <f>IF(AG375="Facture",SUMIF(fl_doc,A375,fl_ht),IF(AG375="Devis",SUMIF(dl_doc,F375,dl_ht),0))</f>
        <v>0.0</v>
      </c>
      <c r="AK375" s="62">
        <f>IF(OR(AG375="",INDEX(p_rates,1)=""),0,IF(AG375="Facture",SUMIFS(fl_ht,fl_doc,A375,fl_rate,INDEX(p_rates,1)),SUMIFS(dl_ht,dl_doc,F375,dl_rate,INDEX(p_rates,1))))</f>
        <v>0.0</v>
      </c>
      <c r="AL375" s="62">
        <f>IF(OR(AG375="",INDEX(p_rates,2)=""),0,IF(AG375="Facture",SUMIFS(fl_ht,fl_doc,A375,fl_rate,INDEX(p_rates,2)),SUMIFS(dl_ht,dl_doc,F375,dl_rate,INDEX(p_rates,2))))</f>
        <v>0.0</v>
      </c>
      <c r="AM375" s="62">
        <f>IF(OR(AG375="",INDEX(p_rates,3)=""),0,IF(AG375="Facture",SUMIFS(fl_ht,fl_doc,A375,fl_rate,INDEX(p_rates,3)),SUMIFS(dl_ht,dl_doc,F375,dl_rate,INDEX(p_rates,3))))</f>
        <v>0.0</v>
      </c>
      <c r="AN375" s="62">
        <f>IF(OR(AG375="",INDEX(p_rates,4)=""),0,IF(AG375="Facture",SUMIFS(fl_ht,fl_doc,A375,fl_rate,INDEX(p_rates,4)),SUMIFS(dl_ht,dl_doc,F375,dl_rate,INDEX(p_rates,4))))</f>
        <v>0.0</v>
      </c>
      <c r="AO375" s="62">
        <f>IF(OR(AG375="",INDEX(p_rates,5)=""),0,IF(AG375="Facture",SUMIFS(fl_ht,fl_doc,A375,fl_rate,INDEX(p_rates,5)),SUMIFS(dl_ht,dl_doc,F375,dl_rate,INDEX(p_rates,5))))</f>
        <v>0.0</v>
      </c>
      <c r="AP375" s="62">
        <f>IF(OR(AG375="",INDEX(p_rates,6)=""),0,IF(AG375="Facture",SUMIFS(fl_ht,fl_doc,A375,fl_rate,INDEX(p_rates,6)),SUMIFS(dl_ht,dl_doc,F375,dl_rate,INDEX(p_rates,6))))</f>
        <v>0.0</v>
      </c>
      <c r="AQ375" s="62">
        <f>ROUND(AK375*N(INDEX(p_rates,1)),2)+ROUND(AL375*N(INDEX(p_rates,2)),2)+ROUND(AM375*N(INDEX(p_rates,3)),2)+ROUND(AN375*N(INDEX(p_rates,4)),2)+ROUND(AO375*N(INDEX(p_rates,5)),2)+ROUND(AP375*N(INDEX(p_rates,6)),2)</f>
        <v>0.0</v>
      </c>
      <c r="AR375" s="62" t="str">
        <f>IF(OR(L375="",AA375&lt;&gt;"Facture"),"",IFERROR(IF(INDEX(fa_type,MATCH(L375,fa_num,0))="Facture d'acompte",MATCH(L375,fa_num,0),""),""))</f>
        <v/>
      </c>
      <c r="AS375" s="62" t="str">
        <f>IF(W375="","",IF(W375&lt;=0,"",IF(p_asof-P375&lt;=0,"Non échu",IF(p_asof-P375&lt;=30,"1-30 j",IF(p_asof-P375&lt;=60,"31-60 j",IF(p_asof-P375&lt;=90,"61-90 j","Plus de 90 j"))))))</f>
        <v/>
      </c>
      <c r="AT375" s="62" t="str">
        <f>IF(AS375="","",p_asof-P375)</f>
        <v/>
      </c>
      <c r="AU375" s="62" t="str">
        <f>IF(AT375="","",COUNTIF($AT$6:$AT$805,"&gt;"&amp;AT375)+COUNTIF($AT$6:AT375,AT375))</f>
        <v/>
      </c>
    </row>
    <row r="376">
      <c r="A376" s="59" t="str">
        <f>IF(AE376="","",AB376&amp;"-"&amp;AD376&amp;"-"&amp;RIGHT("000"&amp;AE376,4))</f>
        <v/>
      </c>
      <c r="B376" s="60" t="n"/>
      <c r="C376" s="61" t="n"/>
      <c r="D376" s="60" t="n"/>
      <c r="E376" s="62" t="str">
        <f>IF(D376="","",IFERROR(INDEX(cli_name,MATCH(D376,cli_code,0))&amp;"","Client inconnu"))</f>
        <v/>
      </c>
      <c r="F376" s="60" t="n"/>
      <c r="G376" s="63" t="n"/>
      <c r="H376" s="61" t="n"/>
      <c r="I376" s="63" t="n"/>
      <c r="J376" s="60" t="n"/>
      <c r="K376" s="61" t="n"/>
      <c r="L376" s="60" t="n"/>
      <c r="M376" s="60" t="n"/>
      <c r="N376" s="60" t="n"/>
      <c r="O376" s="61" t="n"/>
      <c r="P376" s="64" t="str">
        <f>IF(A376="","",IF(AA376="Avoir",AC376,IF(ISNUMBER(K376),K376,AC376+IF(D376="",N(p_delay),IFERROR(IF(ISNUMBER(INDEX(cli_delay,MATCH(D376,cli_code,0))),INDEX(cli_delay,MATCH(D376,cli_code,0)),N(p_delay)),N(p_delay))))))</f>
        <v/>
      </c>
      <c r="Q376" s="65" t="str">
        <f>IF(A376="","",IF(AA376="Avoir",-1,1)*ROUND(AJ376-IF(AR376="",0,INDEX(fa_htb,AR376)),2))</f>
        <v/>
      </c>
      <c r="R376" s="65" t="str">
        <f>IF(A376="","",IF(AA376="Avoir",-1,1)*ROUND(AQ376-IF(AR376="",0,INDEX(fa_tvab,AR376)),2))</f>
        <v/>
      </c>
      <c r="S376" s="65" t="str">
        <f>IF(A376="","",Q376+R376)</f>
        <v/>
      </c>
      <c r="T376" s="65" t="str">
        <f>IF(AR376="","",INDEX(fa_htb,AR376)+INDEX(fa_tvab,AR376))</f>
        <v/>
      </c>
      <c r="U376" s="65" t="str">
        <f>IF(A376="","",SUMIF(pa_inv,A376,pa_amt))</f>
        <v/>
      </c>
      <c r="V376" s="65" t="str">
        <f>IF(OR(A376="",AA376="Avoir"),"",-SUMIFS(fa_ttc,fa_avof,A376,fa_type,"Avoir"))</f>
        <v/>
      </c>
      <c r="W376" s="65" t="str">
        <f>IF(OR(A376="",AA376="Avoir"),"",ROUND(S376-U376-V376,2))</f>
        <v/>
      </c>
      <c r="X376" s="66" t="str">
        <f>IF(W376="","",IF(AND(W376&gt;0,p_asof&gt;P376),p_asof-P376,""))</f>
        <v/>
      </c>
      <c r="Y376" s="59" t="str">
        <f>IF(A376="","",IF(AA376="Avoir","Avoir",IF(W376&lt;0,"Trop-perçu",IF(W376=0,"Soldée",IF(p_asof&gt;P376,"En retard",IF(U376+V376&gt;0,"Partielle","À échoir"))))))</f>
        <v/>
      </c>
      <c r="Z376" s="59" t="str">
        <f>IF(NOT(COUNTA(B376:D376,F376:O376)&gt;0),"",IF(C376="","Date manquante",IF(NOT(ISNUMBER(C376)),"Date invalide",IF(D376="","Client manquant",IF(ISNA(MATCH(D376,cli_code,0)),"Client inconnu",IF(AC376&lt;SUMPRODUCT(MAX(($AB$6:AB375=AB376)*$AC$6:AC375)),"Date antérieure à la facture précédente",IF(AND(F376&lt;&gt;"",ISNA(MATCH(F376,dv_num,0))),"Devis inconnu",IF(AND(F376&lt;&gt;"",IFERROR(INDEX(dv_client,MATCH(F376,dv_num,0)),D376)&lt;&gt;D376),"Client différent de celui du devis",IF(AG376="","Aucune ligne : saisissez des lignes ou un devis",IF(AND(AI376&lt;&gt;"",COUNTIF($AI$6:AI376,AI376)&gt;1),"Devis déjà repris par une autre facture",IF(AND(AA376="Avoir",M376=""),"Avoir : indiquez la facture d'origine",IF(AND(AA376="Avoir",ISNA(MATCH(M376,fa_num,0))),"Facture d'origine inconnue",IF(AND(AA376&lt;&gt;"Avoir",M376&lt;&gt;""),"« Avoir sur facture » : réservé aux avoirs",IF(AND(L376&lt;&gt;"",AA376&lt;&gt;"Facture"),"Acompte à déduire : réservé aux factures",IF(AND(L376&lt;&gt;"",ISNA(MATCH(L376,fa_num,0))),"Facture d'acompte inconnue",IF(AND(L376&lt;&gt;"",IFERROR(INDEX(fa_type,MATCH(L376,fa_num,0)),"")&lt;&gt;"Facture d'acompte"),"Le n° à déduire n'est pas une facture d'acompte",IF(AND(L376&lt;&gt;"",COUNTIF($L$6:L376,L376)&gt;1),"Acompte déjà déduit sur une autre facture",IF(AND(L376&lt;&gt;"",IFERROR(INDEX(fa_client,MATCH(L376,fa_num,0)),D376)&lt;&gt;D376),"Acompte d'un autre client",IF(AND(AR376&lt;&gt;"",N(Q376)&lt;0),"Acompte supérieur au total de la facture",IF(IF(AG376="Facture",COUNTIFS(fl_doc,A376,fl_check,"&lt;&gt;OK"),IF(AG376="Devis",COUNTIFS(dl_doc,F376,dl_check,"&lt;&gt;OK"),0))&gt;0,"Ligne(s) à corriger",IF(AND(W376&lt;&gt;"",N(W376)&lt;0),"Trop-perçu : vérifiez paiements et avoirs","OK")))))))))))))))))))))</f>
        <v/>
      </c>
      <c r="AA376" s="62" t="str">
        <f>IF(COUNTA(B376:D376,F376:O376)&gt;0,IF(B376="","Facture",B376),"")</f>
        <v/>
      </c>
      <c r="AB376" s="62" t="str">
        <f>IF(AA376="","",IF(AA376="Avoir",p_pav,IF(AA376="Facture d'acompte",p_pac,p_pfa)))</f>
        <v/>
      </c>
      <c r="AC376" s="62">
        <f>IF(ISNUMBER(C376),C376,0)</f>
        <v>0.0</v>
      </c>
      <c r="AD376" s="62" t="str">
        <f>IF(OR(AA376="",AC376=0),"",YEAR(AC376))</f>
        <v/>
      </c>
      <c r="AE376" s="62" t="str">
        <f>IF(AD376="","",COUNTIFS($AB$6:AB376,AB376,$AD$6:AD376,AD376))</f>
        <v/>
      </c>
      <c r="AF376" s="62">
        <f>IF(A376="",0,COUNTIF(fl_doc,A376))</f>
        <v>0.0</v>
      </c>
      <c r="AG376" s="62" t="str">
        <f>IF(A376="","",IF(AF376&gt;0,"Facture",IF(AND(F376&lt;&gt;"",AA376="Facture",ISNUMBER(MATCH(F376,dv_num,0))),"Devis","")))</f>
        <v/>
      </c>
      <c r="AH376" s="62" t="str">
        <f>IF(AND(A376&lt;&gt;"",F376&lt;&gt;"",AA376&lt;&gt;"Avoir"),F376,"")</f>
        <v/>
      </c>
      <c r="AI376" s="62" t="str">
        <f>IF(AG376="Devis",F376,"")</f>
        <v/>
      </c>
      <c r="AJ376" s="62">
        <f>IF(AG376="Facture",SUMIF(fl_doc,A376,fl_ht),IF(AG376="Devis",SUMIF(dl_doc,F376,dl_ht),0))</f>
        <v>0.0</v>
      </c>
      <c r="AK376" s="62">
        <f>IF(OR(AG376="",INDEX(p_rates,1)=""),0,IF(AG376="Facture",SUMIFS(fl_ht,fl_doc,A376,fl_rate,INDEX(p_rates,1)),SUMIFS(dl_ht,dl_doc,F376,dl_rate,INDEX(p_rates,1))))</f>
        <v>0.0</v>
      </c>
      <c r="AL376" s="62">
        <f>IF(OR(AG376="",INDEX(p_rates,2)=""),0,IF(AG376="Facture",SUMIFS(fl_ht,fl_doc,A376,fl_rate,INDEX(p_rates,2)),SUMIFS(dl_ht,dl_doc,F376,dl_rate,INDEX(p_rates,2))))</f>
        <v>0.0</v>
      </c>
      <c r="AM376" s="62">
        <f>IF(OR(AG376="",INDEX(p_rates,3)=""),0,IF(AG376="Facture",SUMIFS(fl_ht,fl_doc,A376,fl_rate,INDEX(p_rates,3)),SUMIFS(dl_ht,dl_doc,F376,dl_rate,INDEX(p_rates,3))))</f>
        <v>0.0</v>
      </c>
      <c r="AN376" s="62">
        <f>IF(OR(AG376="",INDEX(p_rates,4)=""),0,IF(AG376="Facture",SUMIFS(fl_ht,fl_doc,A376,fl_rate,INDEX(p_rates,4)),SUMIFS(dl_ht,dl_doc,F376,dl_rate,INDEX(p_rates,4))))</f>
        <v>0.0</v>
      </c>
      <c r="AO376" s="62">
        <f>IF(OR(AG376="",INDEX(p_rates,5)=""),0,IF(AG376="Facture",SUMIFS(fl_ht,fl_doc,A376,fl_rate,INDEX(p_rates,5)),SUMIFS(dl_ht,dl_doc,F376,dl_rate,INDEX(p_rates,5))))</f>
        <v>0.0</v>
      </c>
      <c r="AP376" s="62">
        <f>IF(OR(AG376="",INDEX(p_rates,6)=""),0,IF(AG376="Facture",SUMIFS(fl_ht,fl_doc,A376,fl_rate,INDEX(p_rates,6)),SUMIFS(dl_ht,dl_doc,F376,dl_rate,INDEX(p_rates,6))))</f>
        <v>0.0</v>
      </c>
      <c r="AQ376" s="62">
        <f>ROUND(AK376*N(INDEX(p_rates,1)),2)+ROUND(AL376*N(INDEX(p_rates,2)),2)+ROUND(AM376*N(INDEX(p_rates,3)),2)+ROUND(AN376*N(INDEX(p_rates,4)),2)+ROUND(AO376*N(INDEX(p_rates,5)),2)+ROUND(AP376*N(INDEX(p_rates,6)),2)</f>
        <v>0.0</v>
      </c>
      <c r="AR376" s="62" t="str">
        <f>IF(OR(L376="",AA376&lt;&gt;"Facture"),"",IFERROR(IF(INDEX(fa_type,MATCH(L376,fa_num,0))="Facture d'acompte",MATCH(L376,fa_num,0),""),""))</f>
        <v/>
      </c>
      <c r="AS376" s="62" t="str">
        <f>IF(W376="","",IF(W376&lt;=0,"",IF(p_asof-P376&lt;=0,"Non échu",IF(p_asof-P376&lt;=30,"1-30 j",IF(p_asof-P376&lt;=60,"31-60 j",IF(p_asof-P376&lt;=90,"61-90 j","Plus de 90 j"))))))</f>
        <v/>
      </c>
      <c r="AT376" s="62" t="str">
        <f>IF(AS376="","",p_asof-P376)</f>
        <v/>
      </c>
      <c r="AU376" s="62" t="str">
        <f>IF(AT376="","",COUNTIF($AT$6:$AT$805,"&gt;"&amp;AT376)+COUNTIF($AT$6:AT376,AT376))</f>
        <v/>
      </c>
    </row>
    <row r="377">
      <c r="A377" s="59" t="str">
        <f>IF(AE377="","",AB377&amp;"-"&amp;AD377&amp;"-"&amp;RIGHT("000"&amp;AE377,4))</f>
        <v/>
      </c>
      <c r="B377" s="60" t="n"/>
      <c r="C377" s="61" t="n"/>
      <c r="D377" s="60" t="n"/>
      <c r="E377" s="62" t="str">
        <f>IF(D377="","",IFERROR(INDEX(cli_name,MATCH(D377,cli_code,0))&amp;"","Client inconnu"))</f>
        <v/>
      </c>
      <c r="F377" s="60" t="n"/>
      <c r="G377" s="63" t="n"/>
      <c r="H377" s="61" t="n"/>
      <c r="I377" s="63" t="n"/>
      <c r="J377" s="60" t="n"/>
      <c r="K377" s="61" t="n"/>
      <c r="L377" s="60" t="n"/>
      <c r="M377" s="60" t="n"/>
      <c r="N377" s="60" t="n"/>
      <c r="O377" s="61" t="n"/>
      <c r="P377" s="64" t="str">
        <f>IF(A377="","",IF(AA377="Avoir",AC377,IF(ISNUMBER(K377),K377,AC377+IF(D377="",N(p_delay),IFERROR(IF(ISNUMBER(INDEX(cli_delay,MATCH(D377,cli_code,0))),INDEX(cli_delay,MATCH(D377,cli_code,0)),N(p_delay)),N(p_delay))))))</f>
        <v/>
      </c>
      <c r="Q377" s="65" t="str">
        <f>IF(A377="","",IF(AA377="Avoir",-1,1)*ROUND(AJ377-IF(AR377="",0,INDEX(fa_htb,AR377)),2))</f>
        <v/>
      </c>
      <c r="R377" s="65" t="str">
        <f>IF(A377="","",IF(AA377="Avoir",-1,1)*ROUND(AQ377-IF(AR377="",0,INDEX(fa_tvab,AR377)),2))</f>
        <v/>
      </c>
      <c r="S377" s="65" t="str">
        <f>IF(A377="","",Q377+R377)</f>
        <v/>
      </c>
      <c r="T377" s="65" t="str">
        <f>IF(AR377="","",INDEX(fa_htb,AR377)+INDEX(fa_tvab,AR377))</f>
        <v/>
      </c>
      <c r="U377" s="65" t="str">
        <f>IF(A377="","",SUMIF(pa_inv,A377,pa_amt))</f>
        <v/>
      </c>
      <c r="V377" s="65" t="str">
        <f>IF(OR(A377="",AA377="Avoir"),"",-SUMIFS(fa_ttc,fa_avof,A377,fa_type,"Avoir"))</f>
        <v/>
      </c>
      <c r="W377" s="65" t="str">
        <f>IF(OR(A377="",AA377="Avoir"),"",ROUND(S377-U377-V377,2))</f>
        <v/>
      </c>
      <c r="X377" s="66" t="str">
        <f>IF(W377="","",IF(AND(W377&gt;0,p_asof&gt;P377),p_asof-P377,""))</f>
        <v/>
      </c>
      <c r="Y377" s="59" t="str">
        <f>IF(A377="","",IF(AA377="Avoir","Avoir",IF(W377&lt;0,"Trop-perçu",IF(W377=0,"Soldée",IF(p_asof&gt;P377,"En retard",IF(U377+V377&gt;0,"Partielle","À échoir"))))))</f>
        <v/>
      </c>
      <c r="Z377" s="59" t="str">
        <f>IF(NOT(COUNTA(B377:D377,F377:O377)&gt;0),"",IF(C377="","Date manquante",IF(NOT(ISNUMBER(C377)),"Date invalide",IF(D377="","Client manquant",IF(ISNA(MATCH(D377,cli_code,0)),"Client inconnu",IF(AC377&lt;SUMPRODUCT(MAX(($AB$6:AB376=AB377)*$AC$6:AC376)),"Date antérieure à la facture précédente",IF(AND(F377&lt;&gt;"",ISNA(MATCH(F377,dv_num,0))),"Devis inconnu",IF(AND(F377&lt;&gt;"",IFERROR(INDEX(dv_client,MATCH(F377,dv_num,0)),D377)&lt;&gt;D377),"Client différent de celui du devis",IF(AG377="","Aucune ligne : saisissez des lignes ou un devis",IF(AND(AI377&lt;&gt;"",COUNTIF($AI$6:AI377,AI377)&gt;1),"Devis déjà repris par une autre facture",IF(AND(AA377="Avoir",M377=""),"Avoir : indiquez la facture d'origine",IF(AND(AA377="Avoir",ISNA(MATCH(M377,fa_num,0))),"Facture d'origine inconnue",IF(AND(AA377&lt;&gt;"Avoir",M377&lt;&gt;""),"« Avoir sur facture » : réservé aux avoirs",IF(AND(L377&lt;&gt;"",AA377&lt;&gt;"Facture"),"Acompte à déduire : réservé aux factures",IF(AND(L377&lt;&gt;"",ISNA(MATCH(L377,fa_num,0))),"Facture d'acompte inconnue",IF(AND(L377&lt;&gt;"",IFERROR(INDEX(fa_type,MATCH(L377,fa_num,0)),"")&lt;&gt;"Facture d'acompte"),"Le n° à déduire n'est pas une facture d'acompte",IF(AND(L377&lt;&gt;"",COUNTIF($L$6:L377,L377)&gt;1),"Acompte déjà déduit sur une autre facture",IF(AND(L377&lt;&gt;"",IFERROR(INDEX(fa_client,MATCH(L377,fa_num,0)),D377)&lt;&gt;D377),"Acompte d'un autre client",IF(AND(AR377&lt;&gt;"",N(Q377)&lt;0),"Acompte supérieur au total de la facture",IF(IF(AG377="Facture",COUNTIFS(fl_doc,A377,fl_check,"&lt;&gt;OK"),IF(AG377="Devis",COUNTIFS(dl_doc,F377,dl_check,"&lt;&gt;OK"),0))&gt;0,"Ligne(s) à corriger",IF(AND(W377&lt;&gt;"",N(W377)&lt;0),"Trop-perçu : vérifiez paiements et avoirs","OK")))))))))))))))))))))</f>
        <v/>
      </c>
      <c r="AA377" s="62" t="str">
        <f>IF(COUNTA(B377:D377,F377:O377)&gt;0,IF(B377="","Facture",B377),"")</f>
        <v/>
      </c>
      <c r="AB377" s="62" t="str">
        <f>IF(AA377="","",IF(AA377="Avoir",p_pav,IF(AA377="Facture d'acompte",p_pac,p_pfa)))</f>
        <v/>
      </c>
      <c r="AC377" s="62">
        <f>IF(ISNUMBER(C377),C377,0)</f>
        <v>0.0</v>
      </c>
      <c r="AD377" s="62" t="str">
        <f>IF(OR(AA377="",AC377=0),"",YEAR(AC377))</f>
        <v/>
      </c>
      <c r="AE377" s="62" t="str">
        <f>IF(AD377="","",COUNTIFS($AB$6:AB377,AB377,$AD$6:AD377,AD377))</f>
        <v/>
      </c>
      <c r="AF377" s="62">
        <f>IF(A377="",0,COUNTIF(fl_doc,A377))</f>
        <v>0.0</v>
      </c>
      <c r="AG377" s="62" t="str">
        <f>IF(A377="","",IF(AF377&gt;0,"Facture",IF(AND(F377&lt;&gt;"",AA377="Facture",ISNUMBER(MATCH(F377,dv_num,0))),"Devis","")))</f>
        <v/>
      </c>
      <c r="AH377" s="62" t="str">
        <f>IF(AND(A377&lt;&gt;"",F377&lt;&gt;"",AA377&lt;&gt;"Avoir"),F377,"")</f>
        <v/>
      </c>
      <c r="AI377" s="62" t="str">
        <f>IF(AG377="Devis",F377,"")</f>
        <v/>
      </c>
      <c r="AJ377" s="62">
        <f>IF(AG377="Facture",SUMIF(fl_doc,A377,fl_ht),IF(AG377="Devis",SUMIF(dl_doc,F377,dl_ht),0))</f>
        <v>0.0</v>
      </c>
      <c r="AK377" s="62">
        <f>IF(OR(AG377="",INDEX(p_rates,1)=""),0,IF(AG377="Facture",SUMIFS(fl_ht,fl_doc,A377,fl_rate,INDEX(p_rates,1)),SUMIFS(dl_ht,dl_doc,F377,dl_rate,INDEX(p_rates,1))))</f>
        <v>0.0</v>
      </c>
      <c r="AL377" s="62">
        <f>IF(OR(AG377="",INDEX(p_rates,2)=""),0,IF(AG377="Facture",SUMIFS(fl_ht,fl_doc,A377,fl_rate,INDEX(p_rates,2)),SUMIFS(dl_ht,dl_doc,F377,dl_rate,INDEX(p_rates,2))))</f>
        <v>0.0</v>
      </c>
      <c r="AM377" s="62">
        <f>IF(OR(AG377="",INDEX(p_rates,3)=""),0,IF(AG377="Facture",SUMIFS(fl_ht,fl_doc,A377,fl_rate,INDEX(p_rates,3)),SUMIFS(dl_ht,dl_doc,F377,dl_rate,INDEX(p_rates,3))))</f>
        <v>0.0</v>
      </c>
      <c r="AN377" s="62">
        <f>IF(OR(AG377="",INDEX(p_rates,4)=""),0,IF(AG377="Facture",SUMIFS(fl_ht,fl_doc,A377,fl_rate,INDEX(p_rates,4)),SUMIFS(dl_ht,dl_doc,F377,dl_rate,INDEX(p_rates,4))))</f>
        <v>0.0</v>
      </c>
      <c r="AO377" s="62">
        <f>IF(OR(AG377="",INDEX(p_rates,5)=""),0,IF(AG377="Facture",SUMIFS(fl_ht,fl_doc,A377,fl_rate,INDEX(p_rates,5)),SUMIFS(dl_ht,dl_doc,F377,dl_rate,INDEX(p_rates,5))))</f>
        <v>0.0</v>
      </c>
      <c r="AP377" s="62">
        <f>IF(OR(AG377="",INDEX(p_rates,6)=""),0,IF(AG377="Facture",SUMIFS(fl_ht,fl_doc,A377,fl_rate,INDEX(p_rates,6)),SUMIFS(dl_ht,dl_doc,F377,dl_rate,INDEX(p_rates,6))))</f>
        <v>0.0</v>
      </c>
      <c r="AQ377" s="62">
        <f>ROUND(AK377*N(INDEX(p_rates,1)),2)+ROUND(AL377*N(INDEX(p_rates,2)),2)+ROUND(AM377*N(INDEX(p_rates,3)),2)+ROUND(AN377*N(INDEX(p_rates,4)),2)+ROUND(AO377*N(INDEX(p_rates,5)),2)+ROUND(AP377*N(INDEX(p_rates,6)),2)</f>
        <v>0.0</v>
      </c>
      <c r="AR377" s="62" t="str">
        <f>IF(OR(L377="",AA377&lt;&gt;"Facture"),"",IFERROR(IF(INDEX(fa_type,MATCH(L377,fa_num,0))="Facture d'acompte",MATCH(L377,fa_num,0),""),""))</f>
        <v/>
      </c>
      <c r="AS377" s="62" t="str">
        <f>IF(W377="","",IF(W377&lt;=0,"",IF(p_asof-P377&lt;=0,"Non échu",IF(p_asof-P377&lt;=30,"1-30 j",IF(p_asof-P377&lt;=60,"31-60 j",IF(p_asof-P377&lt;=90,"61-90 j","Plus de 90 j"))))))</f>
        <v/>
      </c>
      <c r="AT377" s="62" t="str">
        <f>IF(AS377="","",p_asof-P377)</f>
        <v/>
      </c>
      <c r="AU377" s="62" t="str">
        <f>IF(AT377="","",COUNTIF($AT$6:$AT$805,"&gt;"&amp;AT377)+COUNTIF($AT$6:AT377,AT377))</f>
        <v/>
      </c>
    </row>
    <row r="378">
      <c r="A378" s="59" t="str">
        <f>IF(AE378="","",AB378&amp;"-"&amp;AD378&amp;"-"&amp;RIGHT("000"&amp;AE378,4))</f>
        <v/>
      </c>
      <c r="B378" s="60" t="n"/>
      <c r="C378" s="61" t="n"/>
      <c r="D378" s="60" t="n"/>
      <c r="E378" s="62" t="str">
        <f>IF(D378="","",IFERROR(INDEX(cli_name,MATCH(D378,cli_code,0))&amp;"","Client inconnu"))</f>
        <v/>
      </c>
      <c r="F378" s="60" t="n"/>
      <c r="G378" s="63" t="n"/>
      <c r="H378" s="61" t="n"/>
      <c r="I378" s="63" t="n"/>
      <c r="J378" s="60" t="n"/>
      <c r="K378" s="61" t="n"/>
      <c r="L378" s="60" t="n"/>
      <c r="M378" s="60" t="n"/>
      <c r="N378" s="60" t="n"/>
      <c r="O378" s="61" t="n"/>
      <c r="P378" s="64" t="str">
        <f>IF(A378="","",IF(AA378="Avoir",AC378,IF(ISNUMBER(K378),K378,AC378+IF(D378="",N(p_delay),IFERROR(IF(ISNUMBER(INDEX(cli_delay,MATCH(D378,cli_code,0))),INDEX(cli_delay,MATCH(D378,cli_code,0)),N(p_delay)),N(p_delay))))))</f>
        <v/>
      </c>
      <c r="Q378" s="65" t="str">
        <f>IF(A378="","",IF(AA378="Avoir",-1,1)*ROUND(AJ378-IF(AR378="",0,INDEX(fa_htb,AR378)),2))</f>
        <v/>
      </c>
      <c r="R378" s="65" t="str">
        <f>IF(A378="","",IF(AA378="Avoir",-1,1)*ROUND(AQ378-IF(AR378="",0,INDEX(fa_tvab,AR378)),2))</f>
        <v/>
      </c>
      <c r="S378" s="65" t="str">
        <f>IF(A378="","",Q378+R378)</f>
        <v/>
      </c>
      <c r="T378" s="65" t="str">
        <f>IF(AR378="","",INDEX(fa_htb,AR378)+INDEX(fa_tvab,AR378))</f>
        <v/>
      </c>
      <c r="U378" s="65" t="str">
        <f>IF(A378="","",SUMIF(pa_inv,A378,pa_amt))</f>
        <v/>
      </c>
      <c r="V378" s="65" t="str">
        <f>IF(OR(A378="",AA378="Avoir"),"",-SUMIFS(fa_ttc,fa_avof,A378,fa_type,"Avoir"))</f>
        <v/>
      </c>
      <c r="W378" s="65" t="str">
        <f>IF(OR(A378="",AA378="Avoir"),"",ROUND(S378-U378-V378,2))</f>
        <v/>
      </c>
      <c r="X378" s="66" t="str">
        <f>IF(W378="","",IF(AND(W378&gt;0,p_asof&gt;P378),p_asof-P378,""))</f>
        <v/>
      </c>
      <c r="Y378" s="59" t="str">
        <f>IF(A378="","",IF(AA378="Avoir","Avoir",IF(W378&lt;0,"Trop-perçu",IF(W378=0,"Soldée",IF(p_asof&gt;P378,"En retard",IF(U378+V378&gt;0,"Partielle","À échoir"))))))</f>
        <v/>
      </c>
      <c r="Z378" s="59" t="str">
        <f>IF(NOT(COUNTA(B378:D378,F378:O378)&gt;0),"",IF(C378="","Date manquante",IF(NOT(ISNUMBER(C378)),"Date invalide",IF(D378="","Client manquant",IF(ISNA(MATCH(D378,cli_code,0)),"Client inconnu",IF(AC378&lt;SUMPRODUCT(MAX(($AB$6:AB377=AB378)*$AC$6:AC377)),"Date antérieure à la facture précédente",IF(AND(F378&lt;&gt;"",ISNA(MATCH(F378,dv_num,0))),"Devis inconnu",IF(AND(F378&lt;&gt;"",IFERROR(INDEX(dv_client,MATCH(F378,dv_num,0)),D378)&lt;&gt;D378),"Client différent de celui du devis",IF(AG378="","Aucune ligne : saisissez des lignes ou un devis",IF(AND(AI378&lt;&gt;"",COUNTIF($AI$6:AI378,AI378)&gt;1),"Devis déjà repris par une autre facture",IF(AND(AA378="Avoir",M378=""),"Avoir : indiquez la facture d'origine",IF(AND(AA378="Avoir",ISNA(MATCH(M378,fa_num,0))),"Facture d'origine inconnue",IF(AND(AA378&lt;&gt;"Avoir",M378&lt;&gt;""),"« Avoir sur facture » : réservé aux avoirs",IF(AND(L378&lt;&gt;"",AA378&lt;&gt;"Facture"),"Acompte à déduire : réservé aux factures",IF(AND(L378&lt;&gt;"",ISNA(MATCH(L378,fa_num,0))),"Facture d'acompte inconnue",IF(AND(L378&lt;&gt;"",IFERROR(INDEX(fa_type,MATCH(L378,fa_num,0)),"")&lt;&gt;"Facture d'acompte"),"Le n° à déduire n'est pas une facture d'acompte",IF(AND(L378&lt;&gt;"",COUNTIF($L$6:L378,L378)&gt;1),"Acompte déjà déduit sur une autre facture",IF(AND(L378&lt;&gt;"",IFERROR(INDEX(fa_client,MATCH(L378,fa_num,0)),D378)&lt;&gt;D378),"Acompte d'un autre client",IF(AND(AR378&lt;&gt;"",N(Q378)&lt;0),"Acompte supérieur au total de la facture",IF(IF(AG378="Facture",COUNTIFS(fl_doc,A378,fl_check,"&lt;&gt;OK"),IF(AG378="Devis",COUNTIFS(dl_doc,F378,dl_check,"&lt;&gt;OK"),0))&gt;0,"Ligne(s) à corriger",IF(AND(W378&lt;&gt;"",N(W378)&lt;0),"Trop-perçu : vérifiez paiements et avoirs","OK")))))))))))))))))))))</f>
        <v/>
      </c>
      <c r="AA378" s="62" t="str">
        <f>IF(COUNTA(B378:D378,F378:O378)&gt;0,IF(B378="","Facture",B378),"")</f>
        <v/>
      </c>
      <c r="AB378" s="62" t="str">
        <f>IF(AA378="","",IF(AA378="Avoir",p_pav,IF(AA378="Facture d'acompte",p_pac,p_pfa)))</f>
        <v/>
      </c>
      <c r="AC378" s="62">
        <f>IF(ISNUMBER(C378),C378,0)</f>
        <v>0.0</v>
      </c>
      <c r="AD378" s="62" t="str">
        <f>IF(OR(AA378="",AC378=0),"",YEAR(AC378))</f>
        <v/>
      </c>
      <c r="AE378" s="62" t="str">
        <f>IF(AD378="","",COUNTIFS($AB$6:AB378,AB378,$AD$6:AD378,AD378))</f>
        <v/>
      </c>
      <c r="AF378" s="62">
        <f>IF(A378="",0,COUNTIF(fl_doc,A378))</f>
        <v>0.0</v>
      </c>
      <c r="AG378" s="62" t="str">
        <f>IF(A378="","",IF(AF378&gt;0,"Facture",IF(AND(F378&lt;&gt;"",AA378="Facture",ISNUMBER(MATCH(F378,dv_num,0))),"Devis","")))</f>
        <v/>
      </c>
      <c r="AH378" s="62" t="str">
        <f>IF(AND(A378&lt;&gt;"",F378&lt;&gt;"",AA378&lt;&gt;"Avoir"),F378,"")</f>
        <v/>
      </c>
      <c r="AI378" s="62" t="str">
        <f>IF(AG378="Devis",F378,"")</f>
        <v/>
      </c>
      <c r="AJ378" s="62">
        <f>IF(AG378="Facture",SUMIF(fl_doc,A378,fl_ht),IF(AG378="Devis",SUMIF(dl_doc,F378,dl_ht),0))</f>
        <v>0.0</v>
      </c>
      <c r="AK378" s="62">
        <f>IF(OR(AG378="",INDEX(p_rates,1)=""),0,IF(AG378="Facture",SUMIFS(fl_ht,fl_doc,A378,fl_rate,INDEX(p_rates,1)),SUMIFS(dl_ht,dl_doc,F378,dl_rate,INDEX(p_rates,1))))</f>
        <v>0.0</v>
      </c>
      <c r="AL378" s="62">
        <f>IF(OR(AG378="",INDEX(p_rates,2)=""),0,IF(AG378="Facture",SUMIFS(fl_ht,fl_doc,A378,fl_rate,INDEX(p_rates,2)),SUMIFS(dl_ht,dl_doc,F378,dl_rate,INDEX(p_rates,2))))</f>
        <v>0.0</v>
      </c>
      <c r="AM378" s="62">
        <f>IF(OR(AG378="",INDEX(p_rates,3)=""),0,IF(AG378="Facture",SUMIFS(fl_ht,fl_doc,A378,fl_rate,INDEX(p_rates,3)),SUMIFS(dl_ht,dl_doc,F378,dl_rate,INDEX(p_rates,3))))</f>
        <v>0.0</v>
      </c>
      <c r="AN378" s="62">
        <f>IF(OR(AG378="",INDEX(p_rates,4)=""),0,IF(AG378="Facture",SUMIFS(fl_ht,fl_doc,A378,fl_rate,INDEX(p_rates,4)),SUMIFS(dl_ht,dl_doc,F378,dl_rate,INDEX(p_rates,4))))</f>
        <v>0.0</v>
      </c>
      <c r="AO378" s="62">
        <f>IF(OR(AG378="",INDEX(p_rates,5)=""),0,IF(AG378="Facture",SUMIFS(fl_ht,fl_doc,A378,fl_rate,INDEX(p_rates,5)),SUMIFS(dl_ht,dl_doc,F378,dl_rate,INDEX(p_rates,5))))</f>
        <v>0.0</v>
      </c>
      <c r="AP378" s="62">
        <f>IF(OR(AG378="",INDEX(p_rates,6)=""),0,IF(AG378="Facture",SUMIFS(fl_ht,fl_doc,A378,fl_rate,INDEX(p_rates,6)),SUMIFS(dl_ht,dl_doc,F378,dl_rate,INDEX(p_rates,6))))</f>
        <v>0.0</v>
      </c>
      <c r="AQ378" s="62">
        <f>ROUND(AK378*N(INDEX(p_rates,1)),2)+ROUND(AL378*N(INDEX(p_rates,2)),2)+ROUND(AM378*N(INDEX(p_rates,3)),2)+ROUND(AN378*N(INDEX(p_rates,4)),2)+ROUND(AO378*N(INDEX(p_rates,5)),2)+ROUND(AP378*N(INDEX(p_rates,6)),2)</f>
        <v>0.0</v>
      </c>
      <c r="AR378" s="62" t="str">
        <f>IF(OR(L378="",AA378&lt;&gt;"Facture"),"",IFERROR(IF(INDEX(fa_type,MATCH(L378,fa_num,0))="Facture d'acompte",MATCH(L378,fa_num,0),""),""))</f>
        <v/>
      </c>
      <c r="AS378" s="62" t="str">
        <f>IF(W378="","",IF(W378&lt;=0,"",IF(p_asof-P378&lt;=0,"Non échu",IF(p_asof-P378&lt;=30,"1-30 j",IF(p_asof-P378&lt;=60,"31-60 j",IF(p_asof-P378&lt;=90,"61-90 j","Plus de 90 j"))))))</f>
        <v/>
      </c>
      <c r="AT378" s="62" t="str">
        <f>IF(AS378="","",p_asof-P378)</f>
        <v/>
      </c>
      <c r="AU378" s="62" t="str">
        <f>IF(AT378="","",COUNTIF($AT$6:$AT$805,"&gt;"&amp;AT378)+COUNTIF($AT$6:AT378,AT378))</f>
        <v/>
      </c>
    </row>
    <row r="379">
      <c r="A379" s="59" t="str">
        <f>IF(AE379="","",AB379&amp;"-"&amp;AD379&amp;"-"&amp;RIGHT("000"&amp;AE379,4))</f>
        <v/>
      </c>
      <c r="B379" s="60" t="n"/>
      <c r="C379" s="61" t="n"/>
      <c r="D379" s="60" t="n"/>
      <c r="E379" s="62" t="str">
        <f>IF(D379="","",IFERROR(INDEX(cli_name,MATCH(D379,cli_code,0))&amp;"","Client inconnu"))</f>
        <v/>
      </c>
      <c r="F379" s="60" t="n"/>
      <c r="G379" s="63" t="n"/>
      <c r="H379" s="61" t="n"/>
      <c r="I379" s="63" t="n"/>
      <c r="J379" s="60" t="n"/>
      <c r="K379" s="61" t="n"/>
      <c r="L379" s="60" t="n"/>
      <c r="M379" s="60" t="n"/>
      <c r="N379" s="60" t="n"/>
      <c r="O379" s="61" t="n"/>
      <c r="P379" s="64" t="str">
        <f>IF(A379="","",IF(AA379="Avoir",AC379,IF(ISNUMBER(K379),K379,AC379+IF(D379="",N(p_delay),IFERROR(IF(ISNUMBER(INDEX(cli_delay,MATCH(D379,cli_code,0))),INDEX(cli_delay,MATCH(D379,cli_code,0)),N(p_delay)),N(p_delay))))))</f>
        <v/>
      </c>
      <c r="Q379" s="65" t="str">
        <f>IF(A379="","",IF(AA379="Avoir",-1,1)*ROUND(AJ379-IF(AR379="",0,INDEX(fa_htb,AR379)),2))</f>
        <v/>
      </c>
      <c r="R379" s="65" t="str">
        <f>IF(A379="","",IF(AA379="Avoir",-1,1)*ROUND(AQ379-IF(AR379="",0,INDEX(fa_tvab,AR379)),2))</f>
        <v/>
      </c>
      <c r="S379" s="65" t="str">
        <f>IF(A379="","",Q379+R379)</f>
        <v/>
      </c>
      <c r="T379" s="65" t="str">
        <f>IF(AR379="","",INDEX(fa_htb,AR379)+INDEX(fa_tvab,AR379))</f>
        <v/>
      </c>
      <c r="U379" s="65" t="str">
        <f>IF(A379="","",SUMIF(pa_inv,A379,pa_amt))</f>
        <v/>
      </c>
      <c r="V379" s="65" t="str">
        <f>IF(OR(A379="",AA379="Avoir"),"",-SUMIFS(fa_ttc,fa_avof,A379,fa_type,"Avoir"))</f>
        <v/>
      </c>
      <c r="W379" s="65" t="str">
        <f>IF(OR(A379="",AA379="Avoir"),"",ROUND(S379-U379-V379,2))</f>
        <v/>
      </c>
      <c r="X379" s="66" t="str">
        <f>IF(W379="","",IF(AND(W379&gt;0,p_asof&gt;P379),p_asof-P379,""))</f>
        <v/>
      </c>
      <c r="Y379" s="59" t="str">
        <f>IF(A379="","",IF(AA379="Avoir","Avoir",IF(W379&lt;0,"Trop-perçu",IF(W379=0,"Soldée",IF(p_asof&gt;P379,"En retard",IF(U379+V379&gt;0,"Partielle","À échoir"))))))</f>
        <v/>
      </c>
      <c r="Z379" s="59" t="str">
        <f>IF(NOT(COUNTA(B379:D379,F379:O379)&gt;0),"",IF(C379="","Date manquante",IF(NOT(ISNUMBER(C379)),"Date invalide",IF(D379="","Client manquant",IF(ISNA(MATCH(D379,cli_code,0)),"Client inconnu",IF(AC379&lt;SUMPRODUCT(MAX(($AB$6:AB378=AB379)*$AC$6:AC378)),"Date antérieure à la facture précédente",IF(AND(F379&lt;&gt;"",ISNA(MATCH(F379,dv_num,0))),"Devis inconnu",IF(AND(F379&lt;&gt;"",IFERROR(INDEX(dv_client,MATCH(F379,dv_num,0)),D379)&lt;&gt;D379),"Client différent de celui du devis",IF(AG379="","Aucune ligne : saisissez des lignes ou un devis",IF(AND(AI379&lt;&gt;"",COUNTIF($AI$6:AI379,AI379)&gt;1),"Devis déjà repris par une autre facture",IF(AND(AA379="Avoir",M379=""),"Avoir : indiquez la facture d'origine",IF(AND(AA379="Avoir",ISNA(MATCH(M379,fa_num,0))),"Facture d'origine inconnue",IF(AND(AA379&lt;&gt;"Avoir",M379&lt;&gt;""),"« Avoir sur facture » : réservé aux avoirs",IF(AND(L379&lt;&gt;"",AA379&lt;&gt;"Facture"),"Acompte à déduire : réservé aux factures",IF(AND(L379&lt;&gt;"",ISNA(MATCH(L379,fa_num,0))),"Facture d'acompte inconnue",IF(AND(L379&lt;&gt;"",IFERROR(INDEX(fa_type,MATCH(L379,fa_num,0)),"")&lt;&gt;"Facture d'acompte"),"Le n° à déduire n'est pas une facture d'acompte",IF(AND(L379&lt;&gt;"",COUNTIF($L$6:L379,L379)&gt;1),"Acompte déjà déduit sur une autre facture",IF(AND(L379&lt;&gt;"",IFERROR(INDEX(fa_client,MATCH(L379,fa_num,0)),D379)&lt;&gt;D379),"Acompte d'un autre client",IF(AND(AR379&lt;&gt;"",N(Q379)&lt;0),"Acompte supérieur au total de la facture",IF(IF(AG379="Facture",COUNTIFS(fl_doc,A379,fl_check,"&lt;&gt;OK"),IF(AG379="Devis",COUNTIFS(dl_doc,F379,dl_check,"&lt;&gt;OK"),0))&gt;0,"Ligne(s) à corriger",IF(AND(W379&lt;&gt;"",N(W379)&lt;0),"Trop-perçu : vérifiez paiements et avoirs","OK")))))))))))))))))))))</f>
        <v/>
      </c>
      <c r="AA379" s="62" t="str">
        <f>IF(COUNTA(B379:D379,F379:O379)&gt;0,IF(B379="","Facture",B379),"")</f>
        <v/>
      </c>
      <c r="AB379" s="62" t="str">
        <f>IF(AA379="","",IF(AA379="Avoir",p_pav,IF(AA379="Facture d'acompte",p_pac,p_pfa)))</f>
        <v/>
      </c>
      <c r="AC379" s="62">
        <f>IF(ISNUMBER(C379),C379,0)</f>
        <v>0.0</v>
      </c>
      <c r="AD379" s="62" t="str">
        <f>IF(OR(AA379="",AC379=0),"",YEAR(AC379))</f>
        <v/>
      </c>
      <c r="AE379" s="62" t="str">
        <f>IF(AD379="","",COUNTIFS($AB$6:AB379,AB379,$AD$6:AD379,AD379))</f>
        <v/>
      </c>
      <c r="AF379" s="62">
        <f>IF(A379="",0,COUNTIF(fl_doc,A379))</f>
        <v>0.0</v>
      </c>
      <c r="AG379" s="62" t="str">
        <f>IF(A379="","",IF(AF379&gt;0,"Facture",IF(AND(F379&lt;&gt;"",AA379="Facture",ISNUMBER(MATCH(F379,dv_num,0))),"Devis","")))</f>
        <v/>
      </c>
      <c r="AH379" s="62" t="str">
        <f>IF(AND(A379&lt;&gt;"",F379&lt;&gt;"",AA379&lt;&gt;"Avoir"),F379,"")</f>
        <v/>
      </c>
      <c r="AI379" s="62" t="str">
        <f>IF(AG379="Devis",F379,"")</f>
        <v/>
      </c>
      <c r="AJ379" s="62">
        <f>IF(AG379="Facture",SUMIF(fl_doc,A379,fl_ht),IF(AG379="Devis",SUMIF(dl_doc,F379,dl_ht),0))</f>
        <v>0.0</v>
      </c>
      <c r="AK379" s="62">
        <f>IF(OR(AG379="",INDEX(p_rates,1)=""),0,IF(AG379="Facture",SUMIFS(fl_ht,fl_doc,A379,fl_rate,INDEX(p_rates,1)),SUMIFS(dl_ht,dl_doc,F379,dl_rate,INDEX(p_rates,1))))</f>
        <v>0.0</v>
      </c>
      <c r="AL379" s="62">
        <f>IF(OR(AG379="",INDEX(p_rates,2)=""),0,IF(AG379="Facture",SUMIFS(fl_ht,fl_doc,A379,fl_rate,INDEX(p_rates,2)),SUMIFS(dl_ht,dl_doc,F379,dl_rate,INDEX(p_rates,2))))</f>
        <v>0.0</v>
      </c>
      <c r="AM379" s="62">
        <f>IF(OR(AG379="",INDEX(p_rates,3)=""),0,IF(AG379="Facture",SUMIFS(fl_ht,fl_doc,A379,fl_rate,INDEX(p_rates,3)),SUMIFS(dl_ht,dl_doc,F379,dl_rate,INDEX(p_rates,3))))</f>
        <v>0.0</v>
      </c>
      <c r="AN379" s="62">
        <f>IF(OR(AG379="",INDEX(p_rates,4)=""),0,IF(AG379="Facture",SUMIFS(fl_ht,fl_doc,A379,fl_rate,INDEX(p_rates,4)),SUMIFS(dl_ht,dl_doc,F379,dl_rate,INDEX(p_rates,4))))</f>
        <v>0.0</v>
      </c>
      <c r="AO379" s="62">
        <f>IF(OR(AG379="",INDEX(p_rates,5)=""),0,IF(AG379="Facture",SUMIFS(fl_ht,fl_doc,A379,fl_rate,INDEX(p_rates,5)),SUMIFS(dl_ht,dl_doc,F379,dl_rate,INDEX(p_rates,5))))</f>
        <v>0.0</v>
      </c>
      <c r="AP379" s="62">
        <f>IF(OR(AG379="",INDEX(p_rates,6)=""),0,IF(AG379="Facture",SUMIFS(fl_ht,fl_doc,A379,fl_rate,INDEX(p_rates,6)),SUMIFS(dl_ht,dl_doc,F379,dl_rate,INDEX(p_rates,6))))</f>
        <v>0.0</v>
      </c>
      <c r="AQ379" s="62">
        <f>ROUND(AK379*N(INDEX(p_rates,1)),2)+ROUND(AL379*N(INDEX(p_rates,2)),2)+ROUND(AM379*N(INDEX(p_rates,3)),2)+ROUND(AN379*N(INDEX(p_rates,4)),2)+ROUND(AO379*N(INDEX(p_rates,5)),2)+ROUND(AP379*N(INDEX(p_rates,6)),2)</f>
        <v>0.0</v>
      </c>
      <c r="AR379" s="62" t="str">
        <f>IF(OR(L379="",AA379&lt;&gt;"Facture"),"",IFERROR(IF(INDEX(fa_type,MATCH(L379,fa_num,0))="Facture d'acompte",MATCH(L379,fa_num,0),""),""))</f>
        <v/>
      </c>
      <c r="AS379" s="62" t="str">
        <f>IF(W379="","",IF(W379&lt;=0,"",IF(p_asof-P379&lt;=0,"Non échu",IF(p_asof-P379&lt;=30,"1-30 j",IF(p_asof-P379&lt;=60,"31-60 j",IF(p_asof-P379&lt;=90,"61-90 j","Plus de 90 j"))))))</f>
        <v/>
      </c>
      <c r="AT379" s="62" t="str">
        <f>IF(AS379="","",p_asof-P379)</f>
        <v/>
      </c>
      <c r="AU379" s="62" t="str">
        <f>IF(AT379="","",COUNTIF($AT$6:$AT$805,"&gt;"&amp;AT379)+COUNTIF($AT$6:AT379,AT379))</f>
        <v/>
      </c>
    </row>
    <row r="380">
      <c r="A380" s="59" t="str">
        <f>IF(AE380="","",AB380&amp;"-"&amp;AD380&amp;"-"&amp;RIGHT("000"&amp;AE380,4))</f>
        <v/>
      </c>
      <c r="B380" s="60" t="n"/>
      <c r="C380" s="61" t="n"/>
      <c r="D380" s="60" t="n"/>
      <c r="E380" s="62" t="str">
        <f>IF(D380="","",IFERROR(INDEX(cli_name,MATCH(D380,cli_code,0))&amp;"","Client inconnu"))</f>
        <v/>
      </c>
      <c r="F380" s="60" t="n"/>
      <c r="G380" s="63" t="n"/>
      <c r="H380" s="61" t="n"/>
      <c r="I380" s="63" t="n"/>
      <c r="J380" s="60" t="n"/>
      <c r="K380" s="61" t="n"/>
      <c r="L380" s="60" t="n"/>
      <c r="M380" s="60" t="n"/>
      <c r="N380" s="60" t="n"/>
      <c r="O380" s="61" t="n"/>
      <c r="P380" s="64" t="str">
        <f>IF(A380="","",IF(AA380="Avoir",AC380,IF(ISNUMBER(K380),K380,AC380+IF(D380="",N(p_delay),IFERROR(IF(ISNUMBER(INDEX(cli_delay,MATCH(D380,cli_code,0))),INDEX(cli_delay,MATCH(D380,cli_code,0)),N(p_delay)),N(p_delay))))))</f>
        <v/>
      </c>
      <c r="Q380" s="65" t="str">
        <f>IF(A380="","",IF(AA380="Avoir",-1,1)*ROUND(AJ380-IF(AR380="",0,INDEX(fa_htb,AR380)),2))</f>
        <v/>
      </c>
      <c r="R380" s="65" t="str">
        <f>IF(A380="","",IF(AA380="Avoir",-1,1)*ROUND(AQ380-IF(AR380="",0,INDEX(fa_tvab,AR380)),2))</f>
        <v/>
      </c>
      <c r="S380" s="65" t="str">
        <f>IF(A380="","",Q380+R380)</f>
        <v/>
      </c>
      <c r="T380" s="65" t="str">
        <f>IF(AR380="","",INDEX(fa_htb,AR380)+INDEX(fa_tvab,AR380))</f>
        <v/>
      </c>
      <c r="U380" s="65" t="str">
        <f>IF(A380="","",SUMIF(pa_inv,A380,pa_amt))</f>
        <v/>
      </c>
      <c r="V380" s="65" t="str">
        <f>IF(OR(A380="",AA380="Avoir"),"",-SUMIFS(fa_ttc,fa_avof,A380,fa_type,"Avoir"))</f>
        <v/>
      </c>
      <c r="W380" s="65" t="str">
        <f>IF(OR(A380="",AA380="Avoir"),"",ROUND(S380-U380-V380,2))</f>
        <v/>
      </c>
      <c r="X380" s="66" t="str">
        <f>IF(W380="","",IF(AND(W380&gt;0,p_asof&gt;P380),p_asof-P380,""))</f>
        <v/>
      </c>
      <c r="Y380" s="59" t="str">
        <f>IF(A380="","",IF(AA380="Avoir","Avoir",IF(W380&lt;0,"Trop-perçu",IF(W380=0,"Soldée",IF(p_asof&gt;P380,"En retard",IF(U380+V380&gt;0,"Partielle","À échoir"))))))</f>
        <v/>
      </c>
      <c r="Z380" s="59" t="str">
        <f>IF(NOT(COUNTA(B380:D380,F380:O380)&gt;0),"",IF(C380="","Date manquante",IF(NOT(ISNUMBER(C380)),"Date invalide",IF(D380="","Client manquant",IF(ISNA(MATCH(D380,cli_code,0)),"Client inconnu",IF(AC380&lt;SUMPRODUCT(MAX(($AB$6:AB379=AB380)*$AC$6:AC379)),"Date antérieure à la facture précédente",IF(AND(F380&lt;&gt;"",ISNA(MATCH(F380,dv_num,0))),"Devis inconnu",IF(AND(F380&lt;&gt;"",IFERROR(INDEX(dv_client,MATCH(F380,dv_num,0)),D380)&lt;&gt;D380),"Client différent de celui du devis",IF(AG380="","Aucune ligne : saisissez des lignes ou un devis",IF(AND(AI380&lt;&gt;"",COUNTIF($AI$6:AI380,AI380)&gt;1),"Devis déjà repris par une autre facture",IF(AND(AA380="Avoir",M380=""),"Avoir : indiquez la facture d'origine",IF(AND(AA380="Avoir",ISNA(MATCH(M380,fa_num,0))),"Facture d'origine inconnue",IF(AND(AA380&lt;&gt;"Avoir",M380&lt;&gt;""),"« Avoir sur facture » : réservé aux avoirs",IF(AND(L380&lt;&gt;"",AA380&lt;&gt;"Facture"),"Acompte à déduire : réservé aux factures",IF(AND(L380&lt;&gt;"",ISNA(MATCH(L380,fa_num,0))),"Facture d'acompte inconnue",IF(AND(L380&lt;&gt;"",IFERROR(INDEX(fa_type,MATCH(L380,fa_num,0)),"")&lt;&gt;"Facture d'acompte"),"Le n° à déduire n'est pas une facture d'acompte",IF(AND(L380&lt;&gt;"",COUNTIF($L$6:L380,L380)&gt;1),"Acompte déjà déduit sur une autre facture",IF(AND(L380&lt;&gt;"",IFERROR(INDEX(fa_client,MATCH(L380,fa_num,0)),D380)&lt;&gt;D380),"Acompte d'un autre client",IF(AND(AR380&lt;&gt;"",N(Q380)&lt;0),"Acompte supérieur au total de la facture",IF(IF(AG380="Facture",COUNTIFS(fl_doc,A380,fl_check,"&lt;&gt;OK"),IF(AG380="Devis",COUNTIFS(dl_doc,F380,dl_check,"&lt;&gt;OK"),0))&gt;0,"Ligne(s) à corriger",IF(AND(W380&lt;&gt;"",N(W380)&lt;0),"Trop-perçu : vérifiez paiements et avoirs","OK")))))))))))))))))))))</f>
        <v/>
      </c>
      <c r="AA380" s="62" t="str">
        <f>IF(COUNTA(B380:D380,F380:O380)&gt;0,IF(B380="","Facture",B380),"")</f>
        <v/>
      </c>
      <c r="AB380" s="62" t="str">
        <f>IF(AA380="","",IF(AA380="Avoir",p_pav,IF(AA380="Facture d'acompte",p_pac,p_pfa)))</f>
        <v/>
      </c>
      <c r="AC380" s="62">
        <f>IF(ISNUMBER(C380),C380,0)</f>
        <v>0.0</v>
      </c>
      <c r="AD380" s="62" t="str">
        <f>IF(OR(AA380="",AC380=0),"",YEAR(AC380))</f>
        <v/>
      </c>
      <c r="AE380" s="62" t="str">
        <f>IF(AD380="","",COUNTIFS($AB$6:AB380,AB380,$AD$6:AD380,AD380))</f>
        <v/>
      </c>
      <c r="AF380" s="62">
        <f>IF(A380="",0,COUNTIF(fl_doc,A380))</f>
        <v>0.0</v>
      </c>
      <c r="AG380" s="62" t="str">
        <f>IF(A380="","",IF(AF380&gt;0,"Facture",IF(AND(F380&lt;&gt;"",AA380="Facture",ISNUMBER(MATCH(F380,dv_num,0))),"Devis","")))</f>
        <v/>
      </c>
      <c r="AH380" s="62" t="str">
        <f>IF(AND(A380&lt;&gt;"",F380&lt;&gt;"",AA380&lt;&gt;"Avoir"),F380,"")</f>
        <v/>
      </c>
      <c r="AI380" s="62" t="str">
        <f>IF(AG380="Devis",F380,"")</f>
        <v/>
      </c>
      <c r="AJ380" s="62">
        <f>IF(AG380="Facture",SUMIF(fl_doc,A380,fl_ht),IF(AG380="Devis",SUMIF(dl_doc,F380,dl_ht),0))</f>
        <v>0.0</v>
      </c>
      <c r="AK380" s="62">
        <f>IF(OR(AG380="",INDEX(p_rates,1)=""),0,IF(AG380="Facture",SUMIFS(fl_ht,fl_doc,A380,fl_rate,INDEX(p_rates,1)),SUMIFS(dl_ht,dl_doc,F380,dl_rate,INDEX(p_rates,1))))</f>
        <v>0.0</v>
      </c>
      <c r="AL380" s="62">
        <f>IF(OR(AG380="",INDEX(p_rates,2)=""),0,IF(AG380="Facture",SUMIFS(fl_ht,fl_doc,A380,fl_rate,INDEX(p_rates,2)),SUMIFS(dl_ht,dl_doc,F380,dl_rate,INDEX(p_rates,2))))</f>
        <v>0.0</v>
      </c>
      <c r="AM380" s="62">
        <f>IF(OR(AG380="",INDEX(p_rates,3)=""),0,IF(AG380="Facture",SUMIFS(fl_ht,fl_doc,A380,fl_rate,INDEX(p_rates,3)),SUMIFS(dl_ht,dl_doc,F380,dl_rate,INDEX(p_rates,3))))</f>
        <v>0.0</v>
      </c>
      <c r="AN380" s="62">
        <f>IF(OR(AG380="",INDEX(p_rates,4)=""),0,IF(AG380="Facture",SUMIFS(fl_ht,fl_doc,A380,fl_rate,INDEX(p_rates,4)),SUMIFS(dl_ht,dl_doc,F380,dl_rate,INDEX(p_rates,4))))</f>
        <v>0.0</v>
      </c>
      <c r="AO380" s="62">
        <f>IF(OR(AG380="",INDEX(p_rates,5)=""),0,IF(AG380="Facture",SUMIFS(fl_ht,fl_doc,A380,fl_rate,INDEX(p_rates,5)),SUMIFS(dl_ht,dl_doc,F380,dl_rate,INDEX(p_rates,5))))</f>
        <v>0.0</v>
      </c>
      <c r="AP380" s="62">
        <f>IF(OR(AG380="",INDEX(p_rates,6)=""),0,IF(AG380="Facture",SUMIFS(fl_ht,fl_doc,A380,fl_rate,INDEX(p_rates,6)),SUMIFS(dl_ht,dl_doc,F380,dl_rate,INDEX(p_rates,6))))</f>
        <v>0.0</v>
      </c>
      <c r="AQ380" s="62">
        <f>ROUND(AK380*N(INDEX(p_rates,1)),2)+ROUND(AL380*N(INDEX(p_rates,2)),2)+ROUND(AM380*N(INDEX(p_rates,3)),2)+ROUND(AN380*N(INDEX(p_rates,4)),2)+ROUND(AO380*N(INDEX(p_rates,5)),2)+ROUND(AP380*N(INDEX(p_rates,6)),2)</f>
        <v>0.0</v>
      </c>
      <c r="AR380" s="62" t="str">
        <f>IF(OR(L380="",AA380&lt;&gt;"Facture"),"",IFERROR(IF(INDEX(fa_type,MATCH(L380,fa_num,0))="Facture d'acompte",MATCH(L380,fa_num,0),""),""))</f>
        <v/>
      </c>
      <c r="AS380" s="62" t="str">
        <f>IF(W380="","",IF(W380&lt;=0,"",IF(p_asof-P380&lt;=0,"Non échu",IF(p_asof-P380&lt;=30,"1-30 j",IF(p_asof-P380&lt;=60,"31-60 j",IF(p_asof-P380&lt;=90,"61-90 j","Plus de 90 j"))))))</f>
        <v/>
      </c>
      <c r="AT380" s="62" t="str">
        <f>IF(AS380="","",p_asof-P380)</f>
        <v/>
      </c>
      <c r="AU380" s="62" t="str">
        <f>IF(AT380="","",COUNTIF($AT$6:$AT$805,"&gt;"&amp;AT380)+COUNTIF($AT$6:AT380,AT380))</f>
        <v/>
      </c>
    </row>
    <row r="381">
      <c r="A381" s="59" t="str">
        <f>IF(AE381="","",AB381&amp;"-"&amp;AD381&amp;"-"&amp;RIGHT("000"&amp;AE381,4))</f>
        <v/>
      </c>
      <c r="B381" s="60" t="n"/>
      <c r="C381" s="61" t="n"/>
      <c r="D381" s="60" t="n"/>
      <c r="E381" s="62" t="str">
        <f>IF(D381="","",IFERROR(INDEX(cli_name,MATCH(D381,cli_code,0))&amp;"","Client inconnu"))</f>
        <v/>
      </c>
      <c r="F381" s="60" t="n"/>
      <c r="G381" s="63" t="n"/>
      <c r="H381" s="61" t="n"/>
      <c r="I381" s="63" t="n"/>
      <c r="J381" s="60" t="n"/>
      <c r="K381" s="61" t="n"/>
      <c r="L381" s="60" t="n"/>
      <c r="M381" s="60" t="n"/>
      <c r="N381" s="60" t="n"/>
      <c r="O381" s="61" t="n"/>
      <c r="P381" s="64" t="str">
        <f>IF(A381="","",IF(AA381="Avoir",AC381,IF(ISNUMBER(K381),K381,AC381+IF(D381="",N(p_delay),IFERROR(IF(ISNUMBER(INDEX(cli_delay,MATCH(D381,cli_code,0))),INDEX(cli_delay,MATCH(D381,cli_code,0)),N(p_delay)),N(p_delay))))))</f>
        <v/>
      </c>
      <c r="Q381" s="65" t="str">
        <f>IF(A381="","",IF(AA381="Avoir",-1,1)*ROUND(AJ381-IF(AR381="",0,INDEX(fa_htb,AR381)),2))</f>
        <v/>
      </c>
      <c r="R381" s="65" t="str">
        <f>IF(A381="","",IF(AA381="Avoir",-1,1)*ROUND(AQ381-IF(AR381="",0,INDEX(fa_tvab,AR381)),2))</f>
        <v/>
      </c>
      <c r="S381" s="65" t="str">
        <f>IF(A381="","",Q381+R381)</f>
        <v/>
      </c>
      <c r="T381" s="65" t="str">
        <f>IF(AR381="","",INDEX(fa_htb,AR381)+INDEX(fa_tvab,AR381))</f>
        <v/>
      </c>
      <c r="U381" s="65" t="str">
        <f>IF(A381="","",SUMIF(pa_inv,A381,pa_amt))</f>
        <v/>
      </c>
      <c r="V381" s="65" t="str">
        <f>IF(OR(A381="",AA381="Avoir"),"",-SUMIFS(fa_ttc,fa_avof,A381,fa_type,"Avoir"))</f>
        <v/>
      </c>
      <c r="W381" s="65" t="str">
        <f>IF(OR(A381="",AA381="Avoir"),"",ROUND(S381-U381-V381,2))</f>
        <v/>
      </c>
      <c r="X381" s="66" t="str">
        <f>IF(W381="","",IF(AND(W381&gt;0,p_asof&gt;P381),p_asof-P381,""))</f>
        <v/>
      </c>
      <c r="Y381" s="59" t="str">
        <f>IF(A381="","",IF(AA381="Avoir","Avoir",IF(W381&lt;0,"Trop-perçu",IF(W381=0,"Soldée",IF(p_asof&gt;P381,"En retard",IF(U381+V381&gt;0,"Partielle","À échoir"))))))</f>
        <v/>
      </c>
      <c r="Z381" s="59" t="str">
        <f>IF(NOT(COUNTA(B381:D381,F381:O381)&gt;0),"",IF(C381="","Date manquante",IF(NOT(ISNUMBER(C381)),"Date invalide",IF(D381="","Client manquant",IF(ISNA(MATCH(D381,cli_code,0)),"Client inconnu",IF(AC381&lt;SUMPRODUCT(MAX(($AB$6:AB380=AB381)*$AC$6:AC380)),"Date antérieure à la facture précédente",IF(AND(F381&lt;&gt;"",ISNA(MATCH(F381,dv_num,0))),"Devis inconnu",IF(AND(F381&lt;&gt;"",IFERROR(INDEX(dv_client,MATCH(F381,dv_num,0)),D381)&lt;&gt;D381),"Client différent de celui du devis",IF(AG381="","Aucune ligne : saisissez des lignes ou un devis",IF(AND(AI381&lt;&gt;"",COUNTIF($AI$6:AI381,AI381)&gt;1),"Devis déjà repris par une autre facture",IF(AND(AA381="Avoir",M381=""),"Avoir : indiquez la facture d'origine",IF(AND(AA381="Avoir",ISNA(MATCH(M381,fa_num,0))),"Facture d'origine inconnue",IF(AND(AA381&lt;&gt;"Avoir",M381&lt;&gt;""),"« Avoir sur facture » : réservé aux avoirs",IF(AND(L381&lt;&gt;"",AA381&lt;&gt;"Facture"),"Acompte à déduire : réservé aux factures",IF(AND(L381&lt;&gt;"",ISNA(MATCH(L381,fa_num,0))),"Facture d'acompte inconnue",IF(AND(L381&lt;&gt;"",IFERROR(INDEX(fa_type,MATCH(L381,fa_num,0)),"")&lt;&gt;"Facture d'acompte"),"Le n° à déduire n'est pas une facture d'acompte",IF(AND(L381&lt;&gt;"",COUNTIF($L$6:L381,L381)&gt;1),"Acompte déjà déduit sur une autre facture",IF(AND(L381&lt;&gt;"",IFERROR(INDEX(fa_client,MATCH(L381,fa_num,0)),D381)&lt;&gt;D381),"Acompte d'un autre client",IF(AND(AR381&lt;&gt;"",N(Q381)&lt;0),"Acompte supérieur au total de la facture",IF(IF(AG381="Facture",COUNTIFS(fl_doc,A381,fl_check,"&lt;&gt;OK"),IF(AG381="Devis",COUNTIFS(dl_doc,F381,dl_check,"&lt;&gt;OK"),0))&gt;0,"Ligne(s) à corriger",IF(AND(W381&lt;&gt;"",N(W381)&lt;0),"Trop-perçu : vérifiez paiements et avoirs","OK")))))))))))))))))))))</f>
        <v/>
      </c>
      <c r="AA381" s="62" t="str">
        <f>IF(COUNTA(B381:D381,F381:O381)&gt;0,IF(B381="","Facture",B381),"")</f>
        <v/>
      </c>
      <c r="AB381" s="62" t="str">
        <f>IF(AA381="","",IF(AA381="Avoir",p_pav,IF(AA381="Facture d'acompte",p_pac,p_pfa)))</f>
        <v/>
      </c>
      <c r="AC381" s="62">
        <f>IF(ISNUMBER(C381),C381,0)</f>
        <v>0.0</v>
      </c>
      <c r="AD381" s="62" t="str">
        <f>IF(OR(AA381="",AC381=0),"",YEAR(AC381))</f>
        <v/>
      </c>
      <c r="AE381" s="62" t="str">
        <f>IF(AD381="","",COUNTIFS($AB$6:AB381,AB381,$AD$6:AD381,AD381))</f>
        <v/>
      </c>
      <c r="AF381" s="62">
        <f>IF(A381="",0,COUNTIF(fl_doc,A381))</f>
        <v>0.0</v>
      </c>
      <c r="AG381" s="62" t="str">
        <f>IF(A381="","",IF(AF381&gt;0,"Facture",IF(AND(F381&lt;&gt;"",AA381="Facture",ISNUMBER(MATCH(F381,dv_num,0))),"Devis","")))</f>
        <v/>
      </c>
      <c r="AH381" s="62" t="str">
        <f>IF(AND(A381&lt;&gt;"",F381&lt;&gt;"",AA381&lt;&gt;"Avoir"),F381,"")</f>
        <v/>
      </c>
      <c r="AI381" s="62" t="str">
        <f>IF(AG381="Devis",F381,"")</f>
        <v/>
      </c>
      <c r="AJ381" s="62">
        <f>IF(AG381="Facture",SUMIF(fl_doc,A381,fl_ht),IF(AG381="Devis",SUMIF(dl_doc,F381,dl_ht),0))</f>
        <v>0.0</v>
      </c>
      <c r="AK381" s="62">
        <f>IF(OR(AG381="",INDEX(p_rates,1)=""),0,IF(AG381="Facture",SUMIFS(fl_ht,fl_doc,A381,fl_rate,INDEX(p_rates,1)),SUMIFS(dl_ht,dl_doc,F381,dl_rate,INDEX(p_rates,1))))</f>
        <v>0.0</v>
      </c>
      <c r="AL381" s="62">
        <f>IF(OR(AG381="",INDEX(p_rates,2)=""),0,IF(AG381="Facture",SUMIFS(fl_ht,fl_doc,A381,fl_rate,INDEX(p_rates,2)),SUMIFS(dl_ht,dl_doc,F381,dl_rate,INDEX(p_rates,2))))</f>
        <v>0.0</v>
      </c>
      <c r="AM381" s="62">
        <f>IF(OR(AG381="",INDEX(p_rates,3)=""),0,IF(AG381="Facture",SUMIFS(fl_ht,fl_doc,A381,fl_rate,INDEX(p_rates,3)),SUMIFS(dl_ht,dl_doc,F381,dl_rate,INDEX(p_rates,3))))</f>
        <v>0.0</v>
      </c>
      <c r="AN381" s="62">
        <f>IF(OR(AG381="",INDEX(p_rates,4)=""),0,IF(AG381="Facture",SUMIFS(fl_ht,fl_doc,A381,fl_rate,INDEX(p_rates,4)),SUMIFS(dl_ht,dl_doc,F381,dl_rate,INDEX(p_rates,4))))</f>
        <v>0.0</v>
      </c>
      <c r="AO381" s="62">
        <f>IF(OR(AG381="",INDEX(p_rates,5)=""),0,IF(AG381="Facture",SUMIFS(fl_ht,fl_doc,A381,fl_rate,INDEX(p_rates,5)),SUMIFS(dl_ht,dl_doc,F381,dl_rate,INDEX(p_rates,5))))</f>
        <v>0.0</v>
      </c>
      <c r="AP381" s="62">
        <f>IF(OR(AG381="",INDEX(p_rates,6)=""),0,IF(AG381="Facture",SUMIFS(fl_ht,fl_doc,A381,fl_rate,INDEX(p_rates,6)),SUMIFS(dl_ht,dl_doc,F381,dl_rate,INDEX(p_rates,6))))</f>
        <v>0.0</v>
      </c>
      <c r="AQ381" s="62">
        <f>ROUND(AK381*N(INDEX(p_rates,1)),2)+ROUND(AL381*N(INDEX(p_rates,2)),2)+ROUND(AM381*N(INDEX(p_rates,3)),2)+ROUND(AN381*N(INDEX(p_rates,4)),2)+ROUND(AO381*N(INDEX(p_rates,5)),2)+ROUND(AP381*N(INDEX(p_rates,6)),2)</f>
        <v>0.0</v>
      </c>
      <c r="AR381" s="62" t="str">
        <f>IF(OR(L381="",AA381&lt;&gt;"Facture"),"",IFERROR(IF(INDEX(fa_type,MATCH(L381,fa_num,0))="Facture d'acompte",MATCH(L381,fa_num,0),""),""))</f>
        <v/>
      </c>
      <c r="AS381" s="62" t="str">
        <f>IF(W381="","",IF(W381&lt;=0,"",IF(p_asof-P381&lt;=0,"Non échu",IF(p_asof-P381&lt;=30,"1-30 j",IF(p_asof-P381&lt;=60,"31-60 j",IF(p_asof-P381&lt;=90,"61-90 j","Plus de 90 j"))))))</f>
        <v/>
      </c>
      <c r="AT381" s="62" t="str">
        <f>IF(AS381="","",p_asof-P381)</f>
        <v/>
      </c>
      <c r="AU381" s="62" t="str">
        <f>IF(AT381="","",COUNTIF($AT$6:$AT$805,"&gt;"&amp;AT381)+COUNTIF($AT$6:AT381,AT381))</f>
        <v/>
      </c>
    </row>
    <row r="382">
      <c r="A382" s="59" t="str">
        <f>IF(AE382="","",AB382&amp;"-"&amp;AD382&amp;"-"&amp;RIGHT("000"&amp;AE382,4))</f>
        <v/>
      </c>
      <c r="B382" s="60" t="n"/>
      <c r="C382" s="61" t="n"/>
      <c r="D382" s="60" t="n"/>
      <c r="E382" s="62" t="str">
        <f>IF(D382="","",IFERROR(INDEX(cli_name,MATCH(D382,cli_code,0))&amp;"","Client inconnu"))</f>
        <v/>
      </c>
      <c r="F382" s="60" t="n"/>
      <c r="G382" s="63" t="n"/>
      <c r="H382" s="61" t="n"/>
      <c r="I382" s="63" t="n"/>
      <c r="J382" s="60" t="n"/>
      <c r="K382" s="61" t="n"/>
      <c r="L382" s="60" t="n"/>
      <c r="M382" s="60" t="n"/>
      <c r="N382" s="60" t="n"/>
      <c r="O382" s="61" t="n"/>
      <c r="P382" s="64" t="str">
        <f>IF(A382="","",IF(AA382="Avoir",AC382,IF(ISNUMBER(K382),K382,AC382+IF(D382="",N(p_delay),IFERROR(IF(ISNUMBER(INDEX(cli_delay,MATCH(D382,cli_code,0))),INDEX(cli_delay,MATCH(D382,cli_code,0)),N(p_delay)),N(p_delay))))))</f>
        <v/>
      </c>
      <c r="Q382" s="65" t="str">
        <f>IF(A382="","",IF(AA382="Avoir",-1,1)*ROUND(AJ382-IF(AR382="",0,INDEX(fa_htb,AR382)),2))</f>
        <v/>
      </c>
      <c r="R382" s="65" t="str">
        <f>IF(A382="","",IF(AA382="Avoir",-1,1)*ROUND(AQ382-IF(AR382="",0,INDEX(fa_tvab,AR382)),2))</f>
        <v/>
      </c>
      <c r="S382" s="65" t="str">
        <f>IF(A382="","",Q382+R382)</f>
        <v/>
      </c>
      <c r="T382" s="65" t="str">
        <f>IF(AR382="","",INDEX(fa_htb,AR382)+INDEX(fa_tvab,AR382))</f>
        <v/>
      </c>
      <c r="U382" s="65" t="str">
        <f>IF(A382="","",SUMIF(pa_inv,A382,pa_amt))</f>
        <v/>
      </c>
      <c r="V382" s="65" t="str">
        <f>IF(OR(A382="",AA382="Avoir"),"",-SUMIFS(fa_ttc,fa_avof,A382,fa_type,"Avoir"))</f>
        <v/>
      </c>
      <c r="W382" s="65" t="str">
        <f>IF(OR(A382="",AA382="Avoir"),"",ROUND(S382-U382-V382,2))</f>
        <v/>
      </c>
      <c r="X382" s="66" t="str">
        <f>IF(W382="","",IF(AND(W382&gt;0,p_asof&gt;P382),p_asof-P382,""))</f>
        <v/>
      </c>
      <c r="Y382" s="59" t="str">
        <f>IF(A382="","",IF(AA382="Avoir","Avoir",IF(W382&lt;0,"Trop-perçu",IF(W382=0,"Soldée",IF(p_asof&gt;P382,"En retard",IF(U382+V382&gt;0,"Partielle","À échoir"))))))</f>
        <v/>
      </c>
      <c r="Z382" s="59" t="str">
        <f>IF(NOT(COUNTA(B382:D382,F382:O382)&gt;0),"",IF(C382="","Date manquante",IF(NOT(ISNUMBER(C382)),"Date invalide",IF(D382="","Client manquant",IF(ISNA(MATCH(D382,cli_code,0)),"Client inconnu",IF(AC382&lt;SUMPRODUCT(MAX(($AB$6:AB381=AB382)*$AC$6:AC381)),"Date antérieure à la facture précédente",IF(AND(F382&lt;&gt;"",ISNA(MATCH(F382,dv_num,0))),"Devis inconnu",IF(AND(F382&lt;&gt;"",IFERROR(INDEX(dv_client,MATCH(F382,dv_num,0)),D382)&lt;&gt;D382),"Client différent de celui du devis",IF(AG382="","Aucune ligne : saisissez des lignes ou un devis",IF(AND(AI382&lt;&gt;"",COUNTIF($AI$6:AI382,AI382)&gt;1),"Devis déjà repris par une autre facture",IF(AND(AA382="Avoir",M382=""),"Avoir : indiquez la facture d'origine",IF(AND(AA382="Avoir",ISNA(MATCH(M382,fa_num,0))),"Facture d'origine inconnue",IF(AND(AA382&lt;&gt;"Avoir",M382&lt;&gt;""),"« Avoir sur facture » : réservé aux avoirs",IF(AND(L382&lt;&gt;"",AA382&lt;&gt;"Facture"),"Acompte à déduire : réservé aux factures",IF(AND(L382&lt;&gt;"",ISNA(MATCH(L382,fa_num,0))),"Facture d'acompte inconnue",IF(AND(L382&lt;&gt;"",IFERROR(INDEX(fa_type,MATCH(L382,fa_num,0)),"")&lt;&gt;"Facture d'acompte"),"Le n° à déduire n'est pas une facture d'acompte",IF(AND(L382&lt;&gt;"",COUNTIF($L$6:L382,L382)&gt;1),"Acompte déjà déduit sur une autre facture",IF(AND(L382&lt;&gt;"",IFERROR(INDEX(fa_client,MATCH(L382,fa_num,0)),D382)&lt;&gt;D382),"Acompte d'un autre client",IF(AND(AR382&lt;&gt;"",N(Q382)&lt;0),"Acompte supérieur au total de la facture",IF(IF(AG382="Facture",COUNTIFS(fl_doc,A382,fl_check,"&lt;&gt;OK"),IF(AG382="Devis",COUNTIFS(dl_doc,F382,dl_check,"&lt;&gt;OK"),0))&gt;0,"Ligne(s) à corriger",IF(AND(W382&lt;&gt;"",N(W382)&lt;0),"Trop-perçu : vérifiez paiements et avoirs","OK")))))))))))))))))))))</f>
        <v/>
      </c>
      <c r="AA382" s="62" t="str">
        <f>IF(COUNTA(B382:D382,F382:O382)&gt;0,IF(B382="","Facture",B382),"")</f>
        <v/>
      </c>
      <c r="AB382" s="62" t="str">
        <f>IF(AA382="","",IF(AA382="Avoir",p_pav,IF(AA382="Facture d'acompte",p_pac,p_pfa)))</f>
        <v/>
      </c>
      <c r="AC382" s="62">
        <f>IF(ISNUMBER(C382),C382,0)</f>
        <v>0.0</v>
      </c>
      <c r="AD382" s="62" t="str">
        <f>IF(OR(AA382="",AC382=0),"",YEAR(AC382))</f>
        <v/>
      </c>
      <c r="AE382" s="62" t="str">
        <f>IF(AD382="","",COUNTIFS($AB$6:AB382,AB382,$AD$6:AD382,AD382))</f>
        <v/>
      </c>
      <c r="AF382" s="62">
        <f>IF(A382="",0,COUNTIF(fl_doc,A382))</f>
        <v>0.0</v>
      </c>
      <c r="AG382" s="62" t="str">
        <f>IF(A382="","",IF(AF382&gt;0,"Facture",IF(AND(F382&lt;&gt;"",AA382="Facture",ISNUMBER(MATCH(F382,dv_num,0))),"Devis","")))</f>
        <v/>
      </c>
      <c r="AH382" s="62" t="str">
        <f>IF(AND(A382&lt;&gt;"",F382&lt;&gt;"",AA382&lt;&gt;"Avoir"),F382,"")</f>
        <v/>
      </c>
      <c r="AI382" s="62" t="str">
        <f>IF(AG382="Devis",F382,"")</f>
        <v/>
      </c>
      <c r="AJ382" s="62">
        <f>IF(AG382="Facture",SUMIF(fl_doc,A382,fl_ht),IF(AG382="Devis",SUMIF(dl_doc,F382,dl_ht),0))</f>
        <v>0.0</v>
      </c>
      <c r="AK382" s="62">
        <f>IF(OR(AG382="",INDEX(p_rates,1)=""),0,IF(AG382="Facture",SUMIFS(fl_ht,fl_doc,A382,fl_rate,INDEX(p_rates,1)),SUMIFS(dl_ht,dl_doc,F382,dl_rate,INDEX(p_rates,1))))</f>
        <v>0.0</v>
      </c>
      <c r="AL382" s="62">
        <f>IF(OR(AG382="",INDEX(p_rates,2)=""),0,IF(AG382="Facture",SUMIFS(fl_ht,fl_doc,A382,fl_rate,INDEX(p_rates,2)),SUMIFS(dl_ht,dl_doc,F382,dl_rate,INDEX(p_rates,2))))</f>
        <v>0.0</v>
      </c>
      <c r="AM382" s="62">
        <f>IF(OR(AG382="",INDEX(p_rates,3)=""),0,IF(AG382="Facture",SUMIFS(fl_ht,fl_doc,A382,fl_rate,INDEX(p_rates,3)),SUMIFS(dl_ht,dl_doc,F382,dl_rate,INDEX(p_rates,3))))</f>
        <v>0.0</v>
      </c>
      <c r="AN382" s="62">
        <f>IF(OR(AG382="",INDEX(p_rates,4)=""),0,IF(AG382="Facture",SUMIFS(fl_ht,fl_doc,A382,fl_rate,INDEX(p_rates,4)),SUMIFS(dl_ht,dl_doc,F382,dl_rate,INDEX(p_rates,4))))</f>
        <v>0.0</v>
      </c>
      <c r="AO382" s="62">
        <f>IF(OR(AG382="",INDEX(p_rates,5)=""),0,IF(AG382="Facture",SUMIFS(fl_ht,fl_doc,A382,fl_rate,INDEX(p_rates,5)),SUMIFS(dl_ht,dl_doc,F382,dl_rate,INDEX(p_rates,5))))</f>
        <v>0.0</v>
      </c>
      <c r="AP382" s="62">
        <f>IF(OR(AG382="",INDEX(p_rates,6)=""),0,IF(AG382="Facture",SUMIFS(fl_ht,fl_doc,A382,fl_rate,INDEX(p_rates,6)),SUMIFS(dl_ht,dl_doc,F382,dl_rate,INDEX(p_rates,6))))</f>
        <v>0.0</v>
      </c>
      <c r="AQ382" s="62">
        <f>ROUND(AK382*N(INDEX(p_rates,1)),2)+ROUND(AL382*N(INDEX(p_rates,2)),2)+ROUND(AM382*N(INDEX(p_rates,3)),2)+ROUND(AN382*N(INDEX(p_rates,4)),2)+ROUND(AO382*N(INDEX(p_rates,5)),2)+ROUND(AP382*N(INDEX(p_rates,6)),2)</f>
        <v>0.0</v>
      </c>
      <c r="AR382" s="62" t="str">
        <f>IF(OR(L382="",AA382&lt;&gt;"Facture"),"",IFERROR(IF(INDEX(fa_type,MATCH(L382,fa_num,0))="Facture d'acompte",MATCH(L382,fa_num,0),""),""))</f>
        <v/>
      </c>
      <c r="AS382" s="62" t="str">
        <f>IF(W382="","",IF(W382&lt;=0,"",IF(p_asof-P382&lt;=0,"Non échu",IF(p_asof-P382&lt;=30,"1-30 j",IF(p_asof-P382&lt;=60,"31-60 j",IF(p_asof-P382&lt;=90,"61-90 j","Plus de 90 j"))))))</f>
        <v/>
      </c>
      <c r="AT382" s="62" t="str">
        <f>IF(AS382="","",p_asof-P382)</f>
        <v/>
      </c>
      <c r="AU382" s="62" t="str">
        <f>IF(AT382="","",COUNTIF($AT$6:$AT$805,"&gt;"&amp;AT382)+COUNTIF($AT$6:AT382,AT382))</f>
        <v/>
      </c>
    </row>
    <row r="383">
      <c r="A383" s="59" t="str">
        <f>IF(AE383="","",AB383&amp;"-"&amp;AD383&amp;"-"&amp;RIGHT("000"&amp;AE383,4))</f>
        <v/>
      </c>
      <c r="B383" s="60" t="n"/>
      <c r="C383" s="61" t="n"/>
      <c r="D383" s="60" t="n"/>
      <c r="E383" s="62" t="str">
        <f>IF(D383="","",IFERROR(INDEX(cli_name,MATCH(D383,cli_code,0))&amp;"","Client inconnu"))</f>
        <v/>
      </c>
      <c r="F383" s="60" t="n"/>
      <c r="G383" s="63" t="n"/>
      <c r="H383" s="61" t="n"/>
      <c r="I383" s="63" t="n"/>
      <c r="J383" s="60" t="n"/>
      <c r="K383" s="61" t="n"/>
      <c r="L383" s="60" t="n"/>
      <c r="M383" s="60" t="n"/>
      <c r="N383" s="60" t="n"/>
      <c r="O383" s="61" t="n"/>
      <c r="P383" s="64" t="str">
        <f>IF(A383="","",IF(AA383="Avoir",AC383,IF(ISNUMBER(K383),K383,AC383+IF(D383="",N(p_delay),IFERROR(IF(ISNUMBER(INDEX(cli_delay,MATCH(D383,cli_code,0))),INDEX(cli_delay,MATCH(D383,cli_code,0)),N(p_delay)),N(p_delay))))))</f>
        <v/>
      </c>
      <c r="Q383" s="65" t="str">
        <f>IF(A383="","",IF(AA383="Avoir",-1,1)*ROUND(AJ383-IF(AR383="",0,INDEX(fa_htb,AR383)),2))</f>
        <v/>
      </c>
      <c r="R383" s="65" t="str">
        <f>IF(A383="","",IF(AA383="Avoir",-1,1)*ROUND(AQ383-IF(AR383="",0,INDEX(fa_tvab,AR383)),2))</f>
        <v/>
      </c>
      <c r="S383" s="65" t="str">
        <f>IF(A383="","",Q383+R383)</f>
        <v/>
      </c>
      <c r="T383" s="65" t="str">
        <f>IF(AR383="","",INDEX(fa_htb,AR383)+INDEX(fa_tvab,AR383))</f>
        <v/>
      </c>
      <c r="U383" s="65" t="str">
        <f>IF(A383="","",SUMIF(pa_inv,A383,pa_amt))</f>
        <v/>
      </c>
      <c r="V383" s="65" t="str">
        <f>IF(OR(A383="",AA383="Avoir"),"",-SUMIFS(fa_ttc,fa_avof,A383,fa_type,"Avoir"))</f>
        <v/>
      </c>
      <c r="W383" s="65" t="str">
        <f>IF(OR(A383="",AA383="Avoir"),"",ROUND(S383-U383-V383,2))</f>
        <v/>
      </c>
      <c r="X383" s="66" t="str">
        <f>IF(W383="","",IF(AND(W383&gt;0,p_asof&gt;P383),p_asof-P383,""))</f>
        <v/>
      </c>
      <c r="Y383" s="59" t="str">
        <f>IF(A383="","",IF(AA383="Avoir","Avoir",IF(W383&lt;0,"Trop-perçu",IF(W383=0,"Soldée",IF(p_asof&gt;P383,"En retard",IF(U383+V383&gt;0,"Partielle","À échoir"))))))</f>
        <v/>
      </c>
      <c r="Z383" s="59" t="str">
        <f>IF(NOT(COUNTA(B383:D383,F383:O383)&gt;0),"",IF(C383="","Date manquante",IF(NOT(ISNUMBER(C383)),"Date invalide",IF(D383="","Client manquant",IF(ISNA(MATCH(D383,cli_code,0)),"Client inconnu",IF(AC383&lt;SUMPRODUCT(MAX(($AB$6:AB382=AB383)*$AC$6:AC382)),"Date antérieure à la facture précédente",IF(AND(F383&lt;&gt;"",ISNA(MATCH(F383,dv_num,0))),"Devis inconnu",IF(AND(F383&lt;&gt;"",IFERROR(INDEX(dv_client,MATCH(F383,dv_num,0)),D383)&lt;&gt;D383),"Client différent de celui du devis",IF(AG383="","Aucune ligne : saisissez des lignes ou un devis",IF(AND(AI383&lt;&gt;"",COUNTIF($AI$6:AI383,AI383)&gt;1),"Devis déjà repris par une autre facture",IF(AND(AA383="Avoir",M383=""),"Avoir : indiquez la facture d'origine",IF(AND(AA383="Avoir",ISNA(MATCH(M383,fa_num,0))),"Facture d'origine inconnue",IF(AND(AA383&lt;&gt;"Avoir",M383&lt;&gt;""),"« Avoir sur facture » : réservé aux avoirs",IF(AND(L383&lt;&gt;"",AA383&lt;&gt;"Facture"),"Acompte à déduire : réservé aux factures",IF(AND(L383&lt;&gt;"",ISNA(MATCH(L383,fa_num,0))),"Facture d'acompte inconnue",IF(AND(L383&lt;&gt;"",IFERROR(INDEX(fa_type,MATCH(L383,fa_num,0)),"")&lt;&gt;"Facture d'acompte"),"Le n° à déduire n'est pas une facture d'acompte",IF(AND(L383&lt;&gt;"",COUNTIF($L$6:L383,L383)&gt;1),"Acompte déjà déduit sur une autre facture",IF(AND(L383&lt;&gt;"",IFERROR(INDEX(fa_client,MATCH(L383,fa_num,0)),D383)&lt;&gt;D383),"Acompte d'un autre client",IF(AND(AR383&lt;&gt;"",N(Q383)&lt;0),"Acompte supérieur au total de la facture",IF(IF(AG383="Facture",COUNTIFS(fl_doc,A383,fl_check,"&lt;&gt;OK"),IF(AG383="Devis",COUNTIFS(dl_doc,F383,dl_check,"&lt;&gt;OK"),0))&gt;0,"Ligne(s) à corriger",IF(AND(W383&lt;&gt;"",N(W383)&lt;0),"Trop-perçu : vérifiez paiements et avoirs","OK")))))))))))))))))))))</f>
        <v/>
      </c>
      <c r="AA383" s="62" t="str">
        <f>IF(COUNTA(B383:D383,F383:O383)&gt;0,IF(B383="","Facture",B383),"")</f>
        <v/>
      </c>
      <c r="AB383" s="62" t="str">
        <f>IF(AA383="","",IF(AA383="Avoir",p_pav,IF(AA383="Facture d'acompte",p_pac,p_pfa)))</f>
        <v/>
      </c>
      <c r="AC383" s="62">
        <f>IF(ISNUMBER(C383),C383,0)</f>
        <v>0.0</v>
      </c>
      <c r="AD383" s="62" t="str">
        <f>IF(OR(AA383="",AC383=0),"",YEAR(AC383))</f>
        <v/>
      </c>
      <c r="AE383" s="62" t="str">
        <f>IF(AD383="","",COUNTIFS($AB$6:AB383,AB383,$AD$6:AD383,AD383))</f>
        <v/>
      </c>
      <c r="AF383" s="62">
        <f>IF(A383="",0,COUNTIF(fl_doc,A383))</f>
        <v>0.0</v>
      </c>
      <c r="AG383" s="62" t="str">
        <f>IF(A383="","",IF(AF383&gt;0,"Facture",IF(AND(F383&lt;&gt;"",AA383="Facture",ISNUMBER(MATCH(F383,dv_num,0))),"Devis","")))</f>
        <v/>
      </c>
      <c r="AH383" s="62" t="str">
        <f>IF(AND(A383&lt;&gt;"",F383&lt;&gt;"",AA383&lt;&gt;"Avoir"),F383,"")</f>
        <v/>
      </c>
      <c r="AI383" s="62" t="str">
        <f>IF(AG383="Devis",F383,"")</f>
        <v/>
      </c>
      <c r="AJ383" s="62">
        <f>IF(AG383="Facture",SUMIF(fl_doc,A383,fl_ht),IF(AG383="Devis",SUMIF(dl_doc,F383,dl_ht),0))</f>
        <v>0.0</v>
      </c>
      <c r="AK383" s="62">
        <f>IF(OR(AG383="",INDEX(p_rates,1)=""),0,IF(AG383="Facture",SUMIFS(fl_ht,fl_doc,A383,fl_rate,INDEX(p_rates,1)),SUMIFS(dl_ht,dl_doc,F383,dl_rate,INDEX(p_rates,1))))</f>
        <v>0.0</v>
      </c>
      <c r="AL383" s="62">
        <f>IF(OR(AG383="",INDEX(p_rates,2)=""),0,IF(AG383="Facture",SUMIFS(fl_ht,fl_doc,A383,fl_rate,INDEX(p_rates,2)),SUMIFS(dl_ht,dl_doc,F383,dl_rate,INDEX(p_rates,2))))</f>
        <v>0.0</v>
      </c>
      <c r="AM383" s="62">
        <f>IF(OR(AG383="",INDEX(p_rates,3)=""),0,IF(AG383="Facture",SUMIFS(fl_ht,fl_doc,A383,fl_rate,INDEX(p_rates,3)),SUMIFS(dl_ht,dl_doc,F383,dl_rate,INDEX(p_rates,3))))</f>
        <v>0.0</v>
      </c>
      <c r="AN383" s="62">
        <f>IF(OR(AG383="",INDEX(p_rates,4)=""),0,IF(AG383="Facture",SUMIFS(fl_ht,fl_doc,A383,fl_rate,INDEX(p_rates,4)),SUMIFS(dl_ht,dl_doc,F383,dl_rate,INDEX(p_rates,4))))</f>
        <v>0.0</v>
      </c>
      <c r="AO383" s="62">
        <f>IF(OR(AG383="",INDEX(p_rates,5)=""),0,IF(AG383="Facture",SUMIFS(fl_ht,fl_doc,A383,fl_rate,INDEX(p_rates,5)),SUMIFS(dl_ht,dl_doc,F383,dl_rate,INDEX(p_rates,5))))</f>
        <v>0.0</v>
      </c>
      <c r="AP383" s="62">
        <f>IF(OR(AG383="",INDEX(p_rates,6)=""),0,IF(AG383="Facture",SUMIFS(fl_ht,fl_doc,A383,fl_rate,INDEX(p_rates,6)),SUMIFS(dl_ht,dl_doc,F383,dl_rate,INDEX(p_rates,6))))</f>
        <v>0.0</v>
      </c>
      <c r="AQ383" s="62">
        <f>ROUND(AK383*N(INDEX(p_rates,1)),2)+ROUND(AL383*N(INDEX(p_rates,2)),2)+ROUND(AM383*N(INDEX(p_rates,3)),2)+ROUND(AN383*N(INDEX(p_rates,4)),2)+ROUND(AO383*N(INDEX(p_rates,5)),2)+ROUND(AP383*N(INDEX(p_rates,6)),2)</f>
        <v>0.0</v>
      </c>
      <c r="AR383" s="62" t="str">
        <f>IF(OR(L383="",AA383&lt;&gt;"Facture"),"",IFERROR(IF(INDEX(fa_type,MATCH(L383,fa_num,0))="Facture d'acompte",MATCH(L383,fa_num,0),""),""))</f>
        <v/>
      </c>
      <c r="AS383" s="62" t="str">
        <f>IF(W383="","",IF(W383&lt;=0,"",IF(p_asof-P383&lt;=0,"Non échu",IF(p_asof-P383&lt;=30,"1-30 j",IF(p_asof-P383&lt;=60,"31-60 j",IF(p_asof-P383&lt;=90,"61-90 j","Plus de 90 j"))))))</f>
        <v/>
      </c>
      <c r="AT383" s="62" t="str">
        <f>IF(AS383="","",p_asof-P383)</f>
        <v/>
      </c>
      <c r="AU383" s="62" t="str">
        <f>IF(AT383="","",COUNTIF($AT$6:$AT$805,"&gt;"&amp;AT383)+COUNTIF($AT$6:AT383,AT383))</f>
        <v/>
      </c>
    </row>
    <row r="384">
      <c r="A384" s="59" t="str">
        <f>IF(AE384="","",AB384&amp;"-"&amp;AD384&amp;"-"&amp;RIGHT("000"&amp;AE384,4))</f>
        <v/>
      </c>
      <c r="B384" s="60" t="n"/>
      <c r="C384" s="61" t="n"/>
      <c r="D384" s="60" t="n"/>
      <c r="E384" s="62" t="str">
        <f>IF(D384="","",IFERROR(INDEX(cli_name,MATCH(D384,cli_code,0))&amp;"","Client inconnu"))</f>
        <v/>
      </c>
      <c r="F384" s="60" t="n"/>
      <c r="G384" s="63" t="n"/>
      <c r="H384" s="61" t="n"/>
      <c r="I384" s="63" t="n"/>
      <c r="J384" s="60" t="n"/>
      <c r="K384" s="61" t="n"/>
      <c r="L384" s="60" t="n"/>
      <c r="M384" s="60" t="n"/>
      <c r="N384" s="60" t="n"/>
      <c r="O384" s="61" t="n"/>
      <c r="P384" s="64" t="str">
        <f>IF(A384="","",IF(AA384="Avoir",AC384,IF(ISNUMBER(K384),K384,AC384+IF(D384="",N(p_delay),IFERROR(IF(ISNUMBER(INDEX(cli_delay,MATCH(D384,cli_code,0))),INDEX(cli_delay,MATCH(D384,cli_code,0)),N(p_delay)),N(p_delay))))))</f>
        <v/>
      </c>
      <c r="Q384" s="65" t="str">
        <f>IF(A384="","",IF(AA384="Avoir",-1,1)*ROUND(AJ384-IF(AR384="",0,INDEX(fa_htb,AR384)),2))</f>
        <v/>
      </c>
      <c r="R384" s="65" t="str">
        <f>IF(A384="","",IF(AA384="Avoir",-1,1)*ROUND(AQ384-IF(AR384="",0,INDEX(fa_tvab,AR384)),2))</f>
        <v/>
      </c>
      <c r="S384" s="65" t="str">
        <f>IF(A384="","",Q384+R384)</f>
        <v/>
      </c>
      <c r="T384" s="65" t="str">
        <f>IF(AR384="","",INDEX(fa_htb,AR384)+INDEX(fa_tvab,AR384))</f>
        <v/>
      </c>
      <c r="U384" s="65" t="str">
        <f>IF(A384="","",SUMIF(pa_inv,A384,pa_amt))</f>
        <v/>
      </c>
      <c r="V384" s="65" t="str">
        <f>IF(OR(A384="",AA384="Avoir"),"",-SUMIFS(fa_ttc,fa_avof,A384,fa_type,"Avoir"))</f>
        <v/>
      </c>
      <c r="W384" s="65" t="str">
        <f>IF(OR(A384="",AA384="Avoir"),"",ROUND(S384-U384-V384,2))</f>
        <v/>
      </c>
      <c r="X384" s="66" t="str">
        <f>IF(W384="","",IF(AND(W384&gt;0,p_asof&gt;P384),p_asof-P384,""))</f>
        <v/>
      </c>
      <c r="Y384" s="59" t="str">
        <f>IF(A384="","",IF(AA384="Avoir","Avoir",IF(W384&lt;0,"Trop-perçu",IF(W384=0,"Soldée",IF(p_asof&gt;P384,"En retard",IF(U384+V384&gt;0,"Partielle","À échoir"))))))</f>
        <v/>
      </c>
      <c r="Z384" s="59" t="str">
        <f>IF(NOT(COUNTA(B384:D384,F384:O384)&gt;0),"",IF(C384="","Date manquante",IF(NOT(ISNUMBER(C384)),"Date invalide",IF(D384="","Client manquant",IF(ISNA(MATCH(D384,cli_code,0)),"Client inconnu",IF(AC384&lt;SUMPRODUCT(MAX(($AB$6:AB383=AB384)*$AC$6:AC383)),"Date antérieure à la facture précédente",IF(AND(F384&lt;&gt;"",ISNA(MATCH(F384,dv_num,0))),"Devis inconnu",IF(AND(F384&lt;&gt;"",IFERROR(INDEX(dv_client,MATCH(F384,dv_num,0)),D384)&lt;&gt;D384),"Client différent de celui du devis",IF(AG384="","Aucune ligne : saisissez des lignes ou un devis",IF(AND(AI384&lt;&gt;"",COUNTIF($AI$6:AI384,AI384)&gt;1),"Devis déjà repris par une autre facture",IF(AND(AA384="Avoir",M384=""),"Avoir : indiquez la facture d'origine",IF(AND(AA384="Avoir",ISNA(MATCH(M384,fa_num,0))),"Facture d'origine inconnue",IF(AND(AA384&lt;&gt;"Avoir",M384&lt;&gt;""),"« Avoir sur facture » : réservé aux avoirs",IF(AND(L384&lt;&gt;"",AA384&lt;&gt;"Facture"),"Acompte à déduire : réservé aux factures",IF(AND(L384&lt;&gt;"",ISNA(MATCH(L384,fa_num,0))),"Facture d'acompte inconnue",IF(AND(L384&lt;&gt;"",IFERROR(INDEX(fa_type,MATCH(L384,fa_num,0)),"")&lt;&gt;"Facture d'acompte"),"Le n° à déduire n'est pas une facture d'acompte",IF(AND(L384&lt;&gt;"",COUNTIF($L$6:L384,L384)&gt;1),"Acompte déjà déduit sur une autre facture",IF(AND(L384&lt;&gt;"",IFERROR(INDEX(fa_client,MATCH(L384,fa_num,0)),D384)&lt;&gt;D384),"Acompte d'un autre client",IF(AND(AR384&lt;&gt;"",N(Q384)&lt;0),"Acompte supérieur au total de la facture",IF(IF(AG384="Facture",COUNTIFS(fl_doc,A384,fl_check,"&lt;&gt;OK"),IF(AG384="Devis",COUNTIFS(dl_doc,F384,dl_check,"&lt;&gt;OK"),0))&gt;0,"Ligne(s) à corriger",IF(AND(W384&lt;&gt;"",N(W384)&lt;0),"Trop-perçu : vérifiez paiements et avoirs","OK")))))))))))))))))))))</f>
        <v/>
      </c>
      <c r="AA384" s="62" t="str">
        <f>IF(COUNTA(B384:D384,F384:O384)&gt;0,IF(B384="","Facture",B384),"")</f>
        <v/>
      </c>
      <c r="AB384" s="62" t="str">
        <f>IF(AA384="","",IF(AA384="Avoir",p_pav,IF(AA384="Facture d'acompte",p_pac,p_pfa)))</f>
        <v/>
      </c>
      <c r="AC384" s="62">
        <f>IF(ISNUMBER(C384),C384,0)</f>
        <v>0.0</v>
      </c>
      <c r="AD384" s="62" t="str">
        <f>IF(OR(AA384="",AC384=0),"",YEAR(AC384))</f>
        <v/>
      </c>
      <c r="AE384" s="62" t="str">
        <f>IF(AD384="","",COUNTIFS($AB$6:AB384,AB384,$AD$6:AD384,AD384))</f>
        <v/>
      </c>
      <c r="AF384" s="62">
        <f>IF(A384="",0,COUNTIF(fl_doc,A384))</f>
        <v>0.0</v>
      </c>
      <c r="AG384" s="62" t="str">
        <f>IF(A384="","",IF(AF384&gt;0,"Facture",IF(AND(F384&lt;&gt;"",AA384="Facture",ISNUMBER(MATCH(F384,dv_num,0))),"Devis","")))</f>
        <v/>
      </c>
      <c r="AH384" s="62" t="str">
        <f>IF(AND(A384&lt;&gt;"",F384&lt;&gt;"",AA384&lt;&gt;"Avoir"),F384,"")</f>
        <v/>
      </c>
      <c r="AI384" s="62" t="str">
        <f>IF(AG384="Devis",F384,"")</f>
        <v/>
      </c>
      <c r="AJ384" s="62">
        <f>IF(AG384="Facture",SUMIF(fl_doc,A384,fl_ht),IF(AG384="Devis",SUMIF(dl_doc,F384,dl_ht),0))</f>
        <v>0.0</v>
      </c>
      <c r="AK384" s="62">
        <f>IF(OR(AG384="",INDEX(p_rates,1)=""),0,IF(AG384="Facture",SUMIFS(fl_ht,fl_doc,A384,fl_rate,INDEX(p_rates,1)),SUMIFS(dl_ht,dl_doc,F384,dl_rate,INDEX(p_rates,1))))</f>
        <v>0.0</v>
      </c>
      <c r="AL384" s="62">
        <f>IF(OR(AG384="",INDEX(p_rates,2)=""),0,IF(AG384="Facture",SUMIFS(fl_ht,fl_doc,A384,fl_rate,INDEX(p_rates,2)),SUMIFS(dl_ht,dl_doc,F384,dl_rate,INDEX(p_rates,2))))</f>
        <v>0.0</v>
      </c>
      <c r="AM384" s="62">
        <f>IF(OR(AG384="",INDEX(p_rates,3)=""),0,IF(AG384="Facture",SUMIFS(fl_ht,fl_doc,A384,fl_rate,INDEX(p_rates,3)),SUMIFS(dl_ht,dl_doc,F384,dl_rate,INDEX(p_rates,3))))</f>
        <v>0.0</v>
      </c>
      <c r="AN384" s="62">
        <f>IF(OR(AG384="",INDEX(p_rates,4)=""),0,IF(AG384="Facture",SUMIFS(fl_ht,fl_doc,A384,fl_rate,INDEX(p_rates,4)),SUMIFS(dl_ht,dl_doc,F384,dl_rate,INDEX(p_rates,4))))</f>
        <v>0.0</v>
      </c>
      <c r="AO384" s="62">
        <f>IF(OR(AG384="",INDEX(p_rates,5)=""),0,IF(AG384="Facture",SUMIFS(fl_ht,fl_doc,A384,fl_rate,INDEX(p_rates,5)),SUMIFS(dl_ht,dl_doc,F384,dl_rate,INDEX(p_rates,5))))</f>
        <v>0.0</v>
      </c>
      <c r="AP384" s="62">
        <f>IF(OR(AG384="",INDEX(p_rates,6)=""),0,IF(AG384="Facture",SUMIFS(fl_ht,fl_doc,A384,fl_rate,INDEX(p_rates,6)),SUMIFS(dl_ht,dl_doc,F384,dl_rate,INDEX(p_rates,6))))</f>
        <v>0.0</v>
      </c>
      <c r="AQ384" s="62">
        <f>ROUND(AK384*N(INDEX(p_rates,1)),2)+ROUND(AL384*N(INDEX(p_rates,2)),2)+ROUND(AM384*N(INDEX(p_rates,3)),2)+ROUND(AN384*N(INDEX(p_rates,4)),2)+ROUND(AO384*N(INDEX(p_rates,5)),2)+ROUND(AP384*N(INDEX(p_rates,6)),2)</f>
        <v>0.0</v>
      </c>
      <c r="AR384" s="62" t="str">
        <f>IF(OR(L384="",AA384&lt;&gt;"Facture"),"",IFERROR(IF(INDEX(fa_type,MATCH(L384,fa_num,0))="Facture d'acompte",MATCH(L384,fa_num,0),""),""))</f>
        <v/>
      </c>
      <c r="AS384" s="62" t="str">
        <f>IF(W384="","",IF(W384&lt;=0,"",IF(p_asof-P384&lt;=0,"Non échu",IF(p_asof-P384&lt;=30,"1-30 j",IF(p_asof-P384&lt;=60,"31-60 j",IF(p_asof-P384&lt;=90,"61-90 j","Plus de 90 j"))))))</f>
        <v/>
      </c>
      <c r="AT384" s="62" t="str">
        <f>IF(AS384="","",p_asof-P384)</f>
        <v/>
      </c>
      <c r="AU384" s="62" t="str">
        <f>IF(AT384="","",COUNTIF($AT$6:$AT$805,"&gt;"&amp;AT384)+COUNTIF($AT$6:AT384,AT384))</f>
        <v/>
      </c>
    </row>
    <row r="385">
      <c r="A385" s="59" t="str">
        <f>IF(AE385="","",AB385&amp;"-"&amp;AD385&amp;"-"&amp;RIGHT("000"&amp;AE385,4))</f>
        <v/>
      </c>
      <c r="B385" s="60" t="n"/>
      <c r="C385" s="61" t="n"/>
      <c r="D385" s="60" t="n"/>
      <c r="E385" s="62" t="str">
        <f>IF(D385="","",IFERROR(INDEX(cli_name,MATCH(D385,cli_code,0))&amp;"","Client inconnu"))</f>
        <v/>
      </c>
      <c r="F385" s="60" t="n"/>
      <c r="G385" s="63" t="n"/>
      <c r="H385" s="61" t="n"/>
      <c r="I385" s="63" t="n"/>
      <c r="J385" s="60" t="n"/>
      <c r="K385" s="61" t="n"/>
      <c r="L385" s="60" t="n"/>
      <c r="M385" s="60" t="n"/>
      <c r="N385" s="60" t="n"/>
      <c r="O385" s="61" t="n"/>
      <c r="P385" s="64" t="str">
        <f>IF(A385="","",IF(AA385="Avoir",AC385,IF(ISNUMBER(K385),K385,AC385+IF(D385="",N(p_delay),IFERROR(IF(ISNUMBER(INDEX(cli_delay,MATCH(D385,cli_code,0))),INDEX(cli_delay,MATCH(D385,cli_code,0)),N(p_delay)),N(p_delay))))))</f>
        <v/>
      </c>
      <c r="Q385" s="65" t="str">
        <f>IF(A385="","",IF(AA385="Avoir",-1,1)*ROUND(AJ385-IF(AR385="",0,INDEX(fa_htb,AR385)),2))</f>
        <v/>
      </c>
      <c r="R385" s="65" t="str">
        <f>IF(A385="","",IF(AA385="Avoir",-1,1)*ROUND(AQ385-IF(AR385="",0,INDEX(fa_tvab,AR385)),2))</f>
        <v/>
      </c>
      <c r="S385" s="65" t="str">
        <f>IF(A385="","",Q385+R385)</f>
        <v/>
      </c>
      <c r="T385" s="65" t="str">
        <f>IF(AR385="","",INDEX(fa_htb,AR385)+INDEX(fa_tvab,AR385))</f>
        <v/>
      </c>
      <c r="U385" s="65" t="str">
        <f>IF(A385="","",SUMIF(pa_inv,A385,pa_amt))</f>
        <v/>
      </c>
      <c r="V385" s="65" t="str">
        <f>IF(OR(A385="",AA385="Avoir"),"",-SUMIFS(fa_ttc,fa_avof,A385,fa_type,"Avoir"))</f>
        <v/>
      </c>
      <c r="W385" s="65" t="str">
        <f>IF(OR(A385="",AA385="Avoir"),"",ROUND(S385-U385-V385,2))</f>
        <v/>
      </c>
      <c r="X385" s="66" t="str">
        <f>IF(W385="","",IF(AND(W385&gt;0,p_asof&gt;P385),p_asof-P385,""))</f>
        <v/>
      </c>
      <c r="Y385" s="59" t="str">
        <f>IF(A385="","",IF(AA385="Avoir","Avoir",IF(W385&lt;0,"Trop-perçu",IF(W385=0,"Soldée",IF(p_asof&gt;P385,"En retard",IF(U385+V385&gt;0,"Partielle","À échoir"))))))</f>
        <v/>
      </c>
      <c r="Z385" s="59" t="str">
        <f>IF(NOT(COUNTA(B385:D385,F385:O385)&gt;0),"",IF(C385="","Date manquante",IF(NOT(ISNUMBER(C385)),"Date invalide",IF(D385="","Client manquant",IF(ISNA(MATCH(D385,cli_code,0)),"Client inconnu",IF(AC385&lt;SUMPRODUCT(MAX(($AB$6:AB384=AB385)*$AC$6:AC384)),"Date antérieure à la facture précédente",IF(AND(F385&lt;&gt;"",ISNA(MATCH(F385,dv_num,0))),"Devis inconnu",IF(AND(F385&lt;&gt;"",IFERROR(INDEX(dv_client,MATCH(F385,dv_num,0)),D385)&lt;&gt;D385),"Client différent de celui du devis",IF(AG385="","Aucune ligne : saisissez des lignes ou un devis",IF(AND(AI385&lt;&gt;"",COUNTIF($AI$6:AI385,AI385)&gt;1),"Devis déjà repris par une autre facture",IF(AND(AA385="Avoir",M385=""),"Avoir : indiquez la facture d'origine",IF(AND(AA385="Avoir",ISNA(MATCH(M385,fa_num,0))),"Facture d'origine inconnue",IF(AND(AA385&lt;&gt;"Avoir",M385&lt;&gt;""),"« Avoir sur facture » : réservé aux avoirs",IF(AND(L385&lt;&gt;"",AA385&lt;&gt;"Facture"),"Acompte à déduire : réservé aux factures",IF(AND(L385&lt;&gt;"",ISNA(MATCH(L385,fa_num,0))),"Facture d'acompte inconnue",IF(AND(L385&lt;&gt;"",IFERROR(INDEX(fa_type,MATCH(L385,fa_num,0)),"")&lt;&gt;"Facture d'acompte"),"Le n° à déduire n'est pas une facture d'acompte",IF(AND(L385&lt;&gt;"",COUNTIF($L$6:L385,L385)&gt;1),"Acompte déjà déduit sur une autre facture",IF(AND(L385&lt;&gt;"",IFERROR(INDEX(fa_client,MATCH(L385,fa_num,0)),D385)&lt;&gt;D385),"Acompte d'un autre client",IF(AND(AR385&lt;&gt;"",N(Q385)&lt;0),"Acompte supérieur au total de la facture",IF(IF(AG385="Facture",COUNTIFS(fl_doc,A385,fl_check,"&lt;&gt;OK"),IF(AG385="Devis",COUNTIFS(dl_doc,F385,dl_check,"&lt;&gt;OK"),0))&gt;0,"Ligne(s) à corriger",IF(AND(W385&lt;&gt;"",N(W385)&lt;0),"Trop-perçu : vérifiez paiements et avoirs","OK")))))))))))))))))))))</f>
        <v/>
      </c>
      <c r="AA385" s="62" t="str">
        <f>IF(COUNTA(B385:D385,F385:O385)&gt;0,IF(B385="","Facture",B385),"")</f>
        <v/>
      </c>
      <c r="AB385" s="62" t="str">
        <f>IF(AA385="","",IF(AA385="Avoir",p_pav,IF(AA385="Facture d'acompte",p_pac,p_pfa)))</f>
        <v/>
      </c>
      <c r="AC385" s="62">
        <f>IF(ISNUMBER(C385),C385,0)</f>
        <v>0.0</v>
      </c>
      <c r="AD385" s="62" t="str">
        <f>IF(OR(AA385="",AC385=0),"",YEAR(AC385))</f>
        <v/>
      </c>
      <c r="AE385" s="62" t="str">
        <f>IF(AD385="","",COUNTIFS($AB$6:AB385,AB385,$AD$6:AD385,AD385))</f>
        <v/>
      </c>
      <c r="AF385" s="62">
        <f>IF(A385="",0,COUNTIF(fl_doc,A385))</f>
        <v>0.0</v>
      </c>
      <c r="AG385" s="62" t="str">
        <f>IF(A385="","",IF(AF385&gt;0,"Facture",IF(AND(F385&lt;&gt;"",AA385="Facture",ISNUMBER(MATCH(F385,dv_num,0))),"Devis","")))</f>
        <v/>
      </c>
      <c r="AH385" s="62" t="str">
        <f>IF(AND(A385&lt;&gt;"",F385&lt;&gt;"",AA385&lt;&gt;"Avoir"),F385,"")</f>
        <v/>
      </c>
      <c r="AI385" s="62" t="str">
        <f>IF(AG385="Devis",F385,"")</f>
        <v/>
      </c>
      <c r="AJ385" s="62">
        <f>IF(AG385="Facture",SUMIF(fl_doc,A385,fl_ht),IF(AG385="Devis",SUMIF(dl_doc,F385,dl_ht),0))</f>
        <v>0.0</v>
      </c>
      <c r="AK385" s="62">
        <f>IF(OR(AG385="",INDEX(p_rates,1)=""),0,IF(AG385="Facture",SUMIFS(fl_ht,fl_doc,A385,fl_rate,INDEX(p_rates,1)),SUMIFS(dl_ht,dl_doc,F385,dl_rate,INDEX(p_rates,1))))</f>
        <v>0.0</v>
      </c>
      <c r="AL385" s="62">
        <f>IF(OR(AG385="",INDEX(p_rates,2)=""),0,IF(AG385="Facture",SUMIFS(fl_ht,fl_doc,A385,fl_rate,INDEX(p_rates,2)),SUMIFS(dl_ht,dl_doc,F385,dl_rate,INDEX(p_rates,2))))</f>
        <v>0.0</v>
      </c>
      <c r="AM385" s="62">
        <f>IF(OR(AG385="",INDEX(p_rates,3)=""),0,IF(AG385="Facture",SUMIFS(fl_ht,fl_doc,A385,fl_rate,INDEX(p_rates,3)),SUMIFS(dl_ht,dl_doc,F385,dl_rate,INDEX(p_rates,3))))</f>
        <v>0.0</v>
      </c>
      <c r="AN385" s="62">
        <f>IF(OR(AG385="",INDEX(p_rates,4)=""),0,IF(AG385="Facture",SUMIFS(fl_ht,fl_doc,A385,fl_rate,INDEX(p_rates,4)),SUMIFS(dl_ht,dl_doc,F385,dl_rate,INDEX(p_rates,4))))</f>
        <v>0.0</v>
      </c>
      <c r="AO385" s="62">
        <f>IF(OR(AG385="",INDEX(p_rates,5)=""),0,IF(AG385="Facture",SUMIFS(fl_ht,fl_doc,A385,fl_rate,INDEX(p_rates,5)),SUMIFS(dl_ht,dl_doc,F385,dl_rate,INDEX(p_rates,5))))</f>
        <v>0.0</v>
      </c>
      <c r="AP385" s="62">
        <f>IF(OR(AG385="",INDEX(p_rates,6)=""),0,IF(AG385="Facture",SUMIFS(fl_ht,fl_doc,A385,fl_rate,INDEX(p_rates,6)),SUMIFS(dl_ht,dl_doc,F385,dl_rate,INDEX(p_rates,6))))</f>
        <v>0.0</v>
      </c>
      <c r="AQ385" s="62">
        <f>ROUND(AK385*N(INDEX(p_rates,1)),2)+ROUND(AL385*N(INDEX(p_rates,2)),2)+ROUND(AM385*N(INDEX(p_rates,3)),2)+ROUND(AN385*N(INDEX(p_rates,4)),2)+ROUND(AO385*N(INDEX(p_rates,5)),2)+ROUND(AP385*N(INDEX(p_rates,6)),2)</f>
        <v>0.0</v>
      </c>
      <c r="AR385" s="62" t="str">
        <f>IF(OR(L385="",AA385&lt;&gt;"Facture"),"",IFERROR(IF(INDEX(fa_type,MATCH(L385,fa_num,0))="Facture d'acompte",MATCH(L385,fa_num,0),""),""))</f>
        <v/>
      </c>
      <c r="AS385" s="62" t="str">
        <f>IF(W385="","",IF(W385&lt;=0,"",IF(p_asof-P385&lt;=0,"Non échu",IF(p_asof-P385&lt;=30,"1-30 j",IF(p_asof-P385&lt;=60,"31-60 j",IF(p_asof-P385&lt;=90,"61-90 j","Plus de 90 j"))))))</f>
        <v/>
      </c>
      <c r="AT385" s="62" t="str">
        <f>IF(AS385="","",p_asof-P385)</f>
        <v/>
      </c>
      <c r="AU385" s="62" t="str">
        <f>IF(AT385="","",COUNTIF($AT$6:$AT$805,"&gt;"&amp;AT385)+COUNTIF($AT$6:AT385,AT385))</f>
        <v/>
      </c>
    </row>
    <row r="386">
      <c r="A386" s="59" t="str">
        <f>IF(AE386="","",AB386&amp;"-"&amp;AD386&amp;"-"&amp;RIGHT("000"&amp;AE386,4))</f>
        <v/>
      </c>
      <c r="B386" s="60" t="n"/>
      <c r="C386" s="61" t="n"/>
      <c r="D386" s="60" t="n"/>
      <c r="E386" s="62" t="str">
        <f>IF(D386="","",IFERROR(INDEX(cli_name,MATCH(D386,cli_code,0))&amp;"","Client inconnu"))</f>
        <v/>
      </c>
      <c r="F386" s="60" t="n"/>
      <c r="G386" s="63" t="n"/>
      <c r="H386" s="61" t="n"/>
      <c r="I386" s="63" t="n"/>
      <c r="J386" s="60" t="n"/>
      <c r="K386" s="61" t="n"/>
      <c r="L386" s="60" t="n"/>
      <c r="M386" s="60" t="n"/>
      <c r="N386" s="60" t="n"/>
      <c r="O386" s="61" t="n"/>
      <c r="P386" s="64" t="str">
        <f>IF(A386="","",IF(AA386="Avoir",AC386,IF(ISNUMBER(K386),K386,AC386+IF(D386="",N(p_delay),IFERROR(IF(ISNUMBER(INDEX(cli_delay,MATCH(D386,cli_code,0))),INDEX(cli_delay,MATCH(D386,cli_code,0)),N(p_delay)),N(p_delay))))))</f>
        <v/>
      </c>
      <c r="Q386" s="65" t="str">
        <f>IF(A386="","",IF(AA386="Avoir",-1,1)*ROUND(AJ386-IF(AR386="",0,INDEX(fa_htb,AR386)),2))</f>
        <v/>
      </c>
      <c r="R386" s="65" t="str">
        <f>IF(A386="","",IF(AA386="Avoir",-1,1)*ROUND(AQ386-IF(AR386="",0,INDEX(fa_tvab,AR386)),2))</f>
        <v/>
      </c>
      <c r="S386" s="65" t="str">
        <f>IF(A386="","",Q386+R386)</f>
        <v/>
      </c>
      <c r="T386" s="65" t="str">
        <f>IF(AR386="","",INDEX(fa_htb,AR386)+INDEX(fa_tvab,AR386))</f>
        <v/>
      </c>
      <c r="U386" s="65" t="str">
        <f>IF(A386="","",SUMIF(pa_inv,A386,pa_amt))</f>
        <v/>
      </c>
      <c r="V386" s="65" t="str">
        <f>IF(OR(A386="",AA386="Avoir"),"",-SUMIFS(fa_ttc,fa_avof,A386,fa_type,"Avoir"))</f>
        <v/>
      </c>
      <c r="W386" s="65" t="str">
        <f>IF(OR(A386="",AA386="Avoir"),"",ROUND(S386-U386-V386,2))</f>
        <v/>
      </c>
      <c r="X386" s="66" t="str">
        <f>IF(W386="","",IF(AND(W386&gt;0,p_asof&gt;P386),p_asof-P386,""))</f>
        <v/>
      </c>
      <c r="Y386" s="59" t="str">
        <f>IF(A386="","",IF(AA386="Avoir","Avoir",IF(W386&lt;0,"Trop-perçu",IF(W386=0,"Soldée",IF(p_asof&gt;P386,"En retard",IF(U386+V386&gt;0,"Partielle","À échoir"))))))</f>
        <v/>
      </c>
      <c r="Z386" s="59" t="str">
        <f>IF(NOT(COUNTA(B386:D386,F386:O386)&gt;0),"",IF(C386="","Date manquante",IF(NOT(ISNUMBER(C386)),"Date invalide",IF(D386="","Client manquant",IF(ISNA(MATCH(D386,cli_code,0)),"Client inconnu",IF(AC386&lt;SUMPRODUCT(MAX(($AB$6:AB385=AB386)*$AC$6:AC385)),"Date antérieure à la facture précédente",IF(AND(F386&lt;&gt;"",ISNA(MATCH(F386,dv_num,0))),"Devis inconnu",IF(AND(F386&lt;&gt;"",IFERROR(INDEX(dv_client,MATCH(F386,dv_num,0)),D386)&lt;&gt;D386),"Client différent de celui du devis",IF(AG386="","Aucune ligne : saisissez des lignes ou un devis",IF(AND(AI386&lt;&gt;"",COUNTIF($AI$6:AI386,AI386)&gt;1),"Devis déjà repris par une autre facture",IF(AND(AA386="Avoir",M386=""),"Avoir : indiquez la facture d'origine",IF(AND(AA386="Avoir",ISNA(MATCH(M386,fa_num,0))),"Facture d'origine inconnue",IF(AND(AA386&lt;&gt;"Avoir",M386&lt;&gt;""),"« Avoir sur facture » : réservé aux avoirs",IF(AND(L386&lt;&gt;"",AA386&lt;&gt;"Facture"),"Acompte à déduire : réservé aux factures",IF(AND(L386&lt;&gt;"",ISNA(MATCH(L386,fa_num,0))),"Facture d'acompte inconnue",IF(AND(L386&lt;&gt;"",IFERROR(INDEX(fa_type,MATCH(L386,fa_num,0)),"")&lt;&gt;"Facture d'acompte"),"Le n° à déduire n'est pas une facture d'acompte",IF(AND(L386&lt;&gt;"",COUNTIF($L$6:L386,L386)&gt;1),"Acompte déjà déduit sur une autre facture",IF(AND(L386&lt;&gt;"",IFERROR(INDEX(fa_client,MATCH(L386,fa_num,0)),D386)&lt;&gt;D386),"Acompte d'un autre client",IF(AND(AR386&lt;&gt;"",N(Q386)&lt;0),"Acompte supérieur au total de la facture",IF(IF(AG386="Facture",COUNTIFS(fl_doc,A386,fl_check,"&lt;&gt;OK"),IF(AG386="Devis",COUNTIFS(dl_doc,F386,dl_check,"&lt;&gt;OK"),0))&gt;0,"Ligne(s) à corriger",IF(AND(W386&lt;&gt;"",N(W386)&lt;0),"Trop-perçu : vérifiez paiements et avoirs","OK")))))))))))))))))))))</f>
        <v/>
      </c>
      <c r="AA386" s="62" t="str">
        <f>IF(COUNTA(B386:D386,F386:O386)&gt;0,IF(B386="","Facture",B386),"")</f>
        <v/>
      </c>
      <c r="AB386" s="62" t="str">
        <f>IF(AA386="","",IF(AA386="Avoir",p_pav,IF(AA386="Facture d'acompte",p_pac,p_pfa)))</f>
        <v/>
      </c>
      <c r="AC386" s="62">
        <f>IF(ISNUMBER(C386),C386,0)</f>
        <v>0.0</v>
      </c>
      <c r="AD386" s="62" t="str">
        <f>IF(OR(AA386="",AC386=0),"",YEAR(AC386))</f>
        <v/>
      </c>
      <c r="AE386" s="62" t="str">
        <f>IF(AD386="","",COUNTIFS($AB$6:AB386,AB386,$AD$6:AD386,AD386))</f>
        <v/>
      </c>
      <c r="AF386" s="62">
        <f>IF(A386="",0,COUNTIF(fl_doc,A386))</f>
        <v>0.0</v>
      </c>
      <c r="AG386" s="62" t="str">
        <f>IF(A386="","",IF(AF386&gt;0,"Facture",IF(AND(F386&lt;&gt;"",AA386="Facture",ISNUMBER(MATCH(F386,dv_num,0))),"Devis","")))</f>
        <v/>
      </c>
      <c r="AH386" s="62" t="str">
        <f>IF(AND(A386&lt;&gt;"",F386&lt;&gt;"",AA386&lt;&gt;"Avoir"),F386,"")</f>
        <v/>
      </c>
      <c r="AI386" s="62" t="str">
        <f>IF(AG386="Devis",F386,"")</f>
        <v/>
      </c>
      <c r="AJ386" s="62">
        <f>IF(AG386="Facture",SUMIF(fl_doc,A386,fl_ht),IF(AG386="Devis",SUMIF(dl_doc,F386,dl_ht),0))</f>
        <v>0.0</v>
      </c>
      <c r="AK386" s="62">
        <f>IF(OR(AG386="",INDEX(p_rates,1)=""),0,IF(AG386="Facture",SUMIFS(fl_ht,fl_doc,A386,fl_rate,INDEX(p_rates,1)),SUMIFS(dl_ht,dl_doc,F386,dl_rate,INDEX(p_rates,1))))</f>
        <v>0.0</v>
      </c>
      <c r="AL386" s="62">
        <f>IF(OR(AG386="",INDEX(p_rates,2)=""),0,IF(AG386="Facture",SUMIFS(fl_ht,fl_doc,A386,fl_rate,INDEX(p_rates,2)),SUMIFS(dl_ht,dl_doc,F386,dl_rate,INDEX(p_rates,2))))</f>
        <v>0.0</v>
      </c>
      <c r="AM386" s="62">
        <f>IF(OR(AG386="",INDEX(p_rates,3)=""),0,IF(AG386="Facture",SUMIFS(fl_ht,fl_doc,A386,fl_rate,INDEX(p_rates,3)),SUMIFS(dl_ht,dl_doc,F386,dl_rate,INDEX(p_rates,3))))</f>
        <v>0.0</v>
      </c>
      <c r="AN386" s="62">
        <f>IF(OR(AG386="",INDEX(p_rates,4)=""),0,IF(AG386="Facture",SUMIFS(fl_ht,fl_doc,A386,fl_rate,INDEX(p_rates,4)),SUMIFS(dl_ht,dl_doc,F386,dl_rate,INDEX(p_rates,4))))</f>
        <v>0.0</v>
      </c>
      <c r="AO386" s="62">
        <f>IF(OR(AG386="",INDEX(p_rates,5)=""),0,IF(AG386="Facture",SUMIFS(fl_ht,fl_doc,A386,fl_rate,INDEX(p_rates,5)),SUMIFS(dl_ht,dl_doc,F386,dl_rate,INDEX(p_rates,5))))</f>
        <v>0.0</v>
      </c>
      <c r="AP386" s="62">
        <f>IF(OR(AG386="",INDEX(p_rates,6)=""),0,IF(AG386="Facture",SUMIFS(fl_ht,fl_doc,A386,fl_rate,INDEX(p_rates,6)),SUMIFS(dl_ht,dl_doc,F386,dl_rate,INDEX(p_rates,6))))</f>
        <v>0.0</v>
      </c>
      <c r="AQ386" s="62">
        <f>ROUND(AK386*N(INDEX(p_rates,1)),2)+ROUND(AL386*N(INDEX(p_rates,2)),2)+ROUND(AM386*N(INDEX(p_rates,3)),2)+ROUND(AN386*N(INDEX(p_rates,4)),2)+ROUND(AO386*N(INDEX(p_rates,5)),2)+ROUND(AP386*N(INDEX(p_rates,6)),2)</f>
        <v>0.0</v>
      </c>
      <c r="AR386" s="62" t="str">
        <f>IF(OR(L386="",AA386&lt;&gt;"Facture"),"",IFERROR(IF(INDEX(fa_type,MATCH(L386,fa_num,0))="Facture d'acompte",MATCH(L386,fa_num,0),""),""))</f>
        <v/>
      </c>
      <c r="AS386" s="62" t="str">
        <f>IF(W386="","",IF(W386&lt;=0,"",IF(p_asof-P386&lt;=0,"Non échu",IF(p_asof-P386&lt;=30,"1-30 j",IF(p_asof-P386&lt;=60,"31-60 j",IF(p_asof-P386&lt;=90,"61-90 j","Plus de 90 j"))))))</f>
        <v/>
      </c>
      <c r="AT386" s="62" t="str">
        <f>IF(AS386="","",p_asof-P386)</f>
        <v/>
      </c>
      <c r="AU386" s="62" t="str">
        <f>IF(AT386="","",COUNTIF($AT$6:$AT$805,"&gt;"&amp;AT386)+COUNTIF($AT$6:AT386,AT386))</f>
        <v/>
      </c>
    </row>
    <row r="387">
      <c r="A387" s="59" t="str">
        <f>IF(AE387="","",AB387&amp;"-"&amp;AD387&amp;"-"&amp;RIGHT("000"&amp;AE387,4))</f>
        <v/>
      </c>
      <c r="B387" s="60" t="n"/>
      <c r="C387" s="61" t="n"/>
      <c r="D387" s="60" t="n"/>
      <c r="E387" s="62" t="str">
        <f>IF(D387="","",IFERROR(INDEX(cli_name,MATCH(D387,cli_code,0))&amp;"","Client inconnu"))</f>
        <v/>
      </c>
      <c r="F387" s="60" t="n"/>
      <c r="G387" s="63" t="n"/>
      <c r="H387" s="61" t="n"/>
      <c r="I387" s="63" t="n"/>
      <c r="J387" s="60" t="n"/>
      <c r="K387" s="61" t="n"/>
      <c r="L387" s="60" t="n"/>
      <c r="M387" s="60" t="n"/>
      <c r="N387" s="60" t="n"/>
      <c r="O387" s="61" t="n"/>
      <c r="P387" s="64" t="str">
        <f>IF(A387="","",IF(AA387="Avoir",AC387,IF(ISNUMBER(K387),K387,AC387+IF(D387="",N(p_delay),IFERROR(IF(ISNUMBER(INDEX(cli_delay,MATCH(D387,cli_code,0))),INDEX(cli_delay,MATCH(D387,cli_code,0)),N(p_delay)),N(p_delay))))))</f>
        <v/>
      </c>
      <c r="Q387" s="65" t="str">
        <f>IF(A387="","",IF(AA387="Avoir",-1,1)*ROUND(AJ387-IF(AR387="",0,INDEX(fa_htb,AR387)),2))</f>
        <v/>
      </c>
      <c r="R387" s="65" t="str">
        <f>IF(A387="","",IF(AA387="Avoir",-1,1)*ROUND(AQ387-IF(AR387="",0,INDEX(fa_tvab,AR387)),2))</f>
        <v/>
      </c>
      <c r="S387" s="65" t="str">
        <f>IF(A387="","",Q387+R387)</f>
        <v/>
      </c>
      <c r="T387" s="65" t="str">
        <f>IF(AR387="","",INDEX(fa_htb,AR387)+INDEX(fa_tvab,AR387))</f>
        <v/>
      </c>
      <c r="U387" s="65" t="str">
        <f>IF(A387="","",SUMIF(pa_inv,A387,pa_amt))</f>
        <v/>
      </c>
      <c r="V387" s="65" t="str">
        <f>IF(OR(A387="",AA387="Avoir"),"",-SUMIFS(fa_ttc,fa_avof,A387,fa_type,"Avoir"))</f>
        <v/>
      </c>
      <c r="W387" s="65" t="str">
        <f>IF(OR(A387="",AA387="Avoir"),"",ROUND(S387-U387-V387,2))</f>
        <v/>
      </c>
      <c r="X387" s="66" t="str">
        <f>IF(W387="","",IF(AND(W387&gt;0,p_asof&gt;P387),p_asof-P387,""))</f>
        <v/>
      </c>
      <c r="Y387" s="59" t="str">
        <f>IF(A387="","",IF(AA387="Avoir","Avoir",IF(W387&lt;0,"Trop-perçu",IF(W387=0,"Soldée",IF(p_asof&gt;P387,"En retard",IF(U387+V387&gt;0,"Partielle","À échoir"))))))</f>
        <v/>
      </c>
      <c r="Z387" s="59" t="str">
        <f>IF(NOT(COUNTA(B387:D387,F387:O387)&gt;0),"",IF(C387="","Date manquante",IF(NOT(ISNUMBER(C387)),"Date invalide",IF(D387="","Client manquant",IF(ISNA(MATCH(D387,cli_code,0)),"Client inconnu",IF(AC387&lt;SUMPRODUCT(MAX(($AB$6:AB386=AB387)*$AC$6:AC386)),"Date antérieure à la facture précédente",IF(AND(F387&lt;&gt;"",ISNA(MATCH(F387,dv_num,0))),"Devis inconnu",IF(AND(F387&lt;&gt;"",IFERROR(INDEX(dv_client,MATCH(F387,dv_num,0)),D387)&lt;&gt;D387),"Client différent de celui du devis",IF(AG387="","Aucune ligne : saisissez des lignes ou un devis",IF(AND(AI387&lt;&gt;"",COUNTIF($AI$6:AI387,AI387)&gt;1),"Devis déjà repris par une autre facture",IF(AND(AA387="Avoir",M387=""),"Avoir : indiquez la facture d'origine",IF(AND(AA387="Avoir",ISNA(MATCH(M387,fa_num,0))),"Facture d'origine inconnue",IF(AND(AA387&lt;&gt;"Avoir",M387&lt;&gt;""),"« Avoir sur facture » : réservé aux avoirs",IF(AND(L387&lt;&gt;"",AA387&lt;&gt;"Facture"),"Acompte à déduire : réservé aux factures",IF(AND(L387&lt;&gt;"",ISNA(MATCH(L387,fa_num,0))),"Facture d'acompte inconnue",IF(AND(L387&lt;&gt;"",IFERROR(INDEX(fa_type,MATCH(L387,fa_num,0)),"")&lt;&gt;"Facture d'acompte"),"Le n° à déduire n'est pas une facture d'acompte",IF(AND(L387&lt;&gt;"",COUNTIF($L$6:L387,L387)&gt;1),"Acompte déjà déduit sur une autre facture",IF(AND(L387&lt;&gt;"",IFERROR(INDEX(fa_client,MATCH(L387,fa_num,0)),D387)&lt;&gt;D387),"Acompte d'un autre client",IF(AND(AR387&lt;&gt;"",N(Q387)&lt;0),"Acompte supérieur au total de la facture",IF(IF(AG387="Facture",COUNTIFS(fl_doc,A387,fl_check,"&lt;&gt;OK"),IF(AG387="Devis",COUNTIFS(dl_doc,F387,dl_check,"&lt;&gt;OK"),0))&gt;0,"Ligne(s) à corriger",IF(AND(W387&lt;&gt;"",N(W387)&lt;0),"Trop-perçu : vérifiez paiements et avoirs","OK")))))))))))))))))))))</f>
        <v/>
      </c>
      <c r="AA387" s="62" t="str">
        <f>IF(COUNTA(B387:D387,F387:O387)&gt;0,IF(B387="","Facture",B387),"")</f>
        <v/>
      </c>
      <c r="AB387" s="62" t="str">
        <f>IF(AA387="","",IF(AA387="Avoir",p_pav,IF(AA387="Facture d'acompte",p_pac,p_pfa)))</f>
        <v/>
      </c>
      <c r="AC387" s="62">
        <f>IF(ISNUMBER(C387),C387,0)</f>
        <v>0.0</v>
      </c>
      <c r="AD387" s="62" t="str">
        <f>IF(OR(AA387="",AC387=0),"",YEAR(AC387))</f>
        <v/>
      </c>
      <c r="AE387" s="62" t="str">
        <f>IF(AD387="","",COUNTIFS($AB$6:AB387,AB387,$AD$6:AD387,AD387))</f>
        <v/>
      </c>
      <c r="AF387" s="62">
        <f>IF(A387="",0,COUNTIF(fl_doc,A387))</f>
        <v>0.0</v>
      </c>
      <c r="AG387" s="62" t="str">
        <f>IF(A387="","",IF(AF387&gt;0,"Facture",IF(AND(F387&lt;&gt;"",AA387="Facture",ISNUMBER(MATCH(F387,dv_num,0))),"Devis","")))</f>
        <v/>
      </c>
      <c r="AH387" s="62" t="str">
        <f>IF(AND(A387&lt;&gt;"",F387&lt;&gt;"",AA387&lt;&gt;"Avoir"),F387,"")</f>
        <v/>
      </c>
      <c r="AI387" s="62" t="str">
        <f>IF(AG387="Devis",F387,"")</f>
        <v/>
      </c>
      <c r="AJ387" s="62">
        <f>IF(AG387="Facture",SUMIF(fl_doc,A387,fl_ht),IF(AG387="Devis",SUMIF(dl_doc,F387,dl_ht),0))</f>
        <v>0.0</v>
      </c>
      <c r="AK387" s="62">
        <f>IF(OR(AG387="",INDEX(p_rates,1)=""),0,IF(AG387="Facture",SUMIFS(fl_ht,fl_doc,A387,fl_rate,INDEX(p_rates,1)),SUMIFS(dl_ht,dl_doc,F387,dl_rate,INDEX(p_rates,1))))</f>
        <v>0.0</v>
      </c>
      <c r="AL387" s="62">
        <f>IF(OR(AG387="",INDEX(p_rates,2)=""),0,IF(AG387="Facture",SUMIFS(fl_ht,fl_doc,A387,fl_rate,INDEX(p_rates,2)),SUMIFS(dl_ht,dl_doc,F387,dl_rate,INDEX(p_rates,2))))</f>
        <v>0.0</v>
      </c>
      <c r="AM387" s="62">
        <f>IF(OR(AG387="",INDEX(p_rates,3)=""),0,IF(AG387="Facture",SUMIFS(fl_ht,fl_doc,A387,fl_rate,INDEX(p_rates,3)),SUMIFS(dl_ht,dl_doc,F387,dl_rate,INDEX(p_rates,3))))</f>
        <v>0.0</v>
      </c>
      <c r="AN387" s="62">
        <f>IF(OR(AG387="",INDEX(p_rates,4)=""),0,IF(AG387="Facture",SUMIFS(fl_ht,fl_doc,A387,fl_rate,INDEX(p_rates,4)),SUMIFS(dl_ht,dl_doc,F387,dl_rate,INDEX(p_rates,4))))</f>
        <v>0.0</v>
      </c>
      <c r="AO387" s="62">
        <f>IF(OR(AG387="",INDEX(p_rates,5)=""),0,IF(AG387="Facture",SUMIFS(fl_ht,fl_doc,A387,fl_rate,INDEX(p_rates,5)),SUMIFS(dl_ht,dl_doc,F387,dl_rate,INDEX(p_rates,5))))</f>
        <v>0.0</v>
      </c>
      <c r="AP387" s="62">
        <f>IF(OR(AG387="",INDEX(p_rates,6)=""),0,IF(AG387="Facture",SUMIFS(fl_ht,fl_doc,A387,fl_rate,INDEX(p_rates,6)),SUMIFS(dl_ht,dl_doc,F387,dl_rate,INDEX(p_rates,6))))</f>
        <v>0.0</v>
      </c>
      <c r="AQ387" s="62">
        <f>ROUND(AK387*N(INDEX(p_rates,1)),2)+ROUND(AL387*N(INDEX(p_rates,2)),2)+ROUND(AM387*N(INDEX(p_rates,3)),2)+ROUND(AN387*N(INDEX(p_rates,4)),2)+ROUND(AO387*N(INDEX(p_rates,5)),2)+ROUND(AP387*N(INDEX(p_rates,6)),2)</f>
        <v>0.0</v>
      </c>
      <c r="AR387" s="62" t="str">
        <f>IF(OR(L387="",AA387&lt;&gt;"Facture"),"",IFERROR(IF(INDEX(fa_type,MATCH(L387,fa_num,0))="Facture d'acompte",MATCH(L387,fa_num,0),""),""))</f>
        <v/>
      </c>
      <c r="AS387" s="62" t="str">
        <f>IF(W387="","",IF(W387&lt;=0,"",IF(p_asof-P387&lt;=0,"Non échu",IF(p_asof-P387&lt;=30,"1-30 j",IF(p_asof-P387&lt;=60,"31-60 j",IF(p_asof-P387&lt;=90,"61-90 j","Plus de 90 j"))))))</f>
        <v/>
      </c>
      <c r="AT387" s="62" t="str">
        <f>IF(AS387="","",p_asof-P387)</f>
        <v/>
      </c>
      <c r="AU387" s="62" t="str">
        <f>IF(AT387="","",COUNTIF($AT$6:$AT$805,"&gt;"&amp;AT387)+COUNTIF($AT$6:AT387,AT387))</f>
        <v/>
      </c>
    </row>
    <row r="388">
      <c r="A388" s="59" t="str">
        <f>IF(AE388="","",AB388&amp;"-"&amp;AD388&amp;"-"&amp;RIGHT("000"&amp;AE388,4))</f>
        <v/>
      </c>
      <c r="B388" s="60" t="n"/>
      <c r="C388" s="61" t="n"/>
      <c r="D388" s="60" t="n"/>
      <c r="E388" s="62" t="str">
        <f>IF(D388="","",IFERROR(INDEX(cli_name,MATCH(D388,cli_code,0))&amp;"","Client inconnu"))</f>
        <v/>
      </c>
      <c r="F388" s="60" t="n"/>
      <c r="G388" s="63" t="n"/>
      <c r="H388" s="61" t="n"/>
      <c r="I388" s="63" t="n"/>
      <c r="J388" s="60" t="n"/>
      <c r="K388" s="61" t="n"/>
      <c r="L388" s="60" t="n"/>
      <c r="M388" s="60" t="n"/>
      <c r="N388" s="60" t="n"/>
      <c r="O388" s="61" t="n"/>
      <c r="P388" s="64" t="str">
        <f>IF(A388="","",IF(AA388="Avoir",AC388,IF(ISNUMBER(K388),K388,AC388+IF(D388="",N(p_delay),IFERROR(IF(ISNUMBER(INDEX(cli_delay,MATCH(D388,cli_code,0))),INDEX(cli_delay,MATCH(D388,cli_code,0)),N(p_delay)),N(p_delay))))))</f>
        <v/>
      </c>
      <c r="Q388" s="65" t="str">
        <f>IF(A388="","",IF(AA388="Avoir",-1,1)*ROUND(AJ388-IF(AR388="",0,INDEX(fa_htb,AR388)),2))</f>
        <v/>
      </c>
      <c r="R388" s="65" t="str">
        <f>IF(A388="","",IF(AA388="Avoir",-1,1)*ROUND(AQ388-IF(AR388="",0,INDEX(fa_tvab,AR388)),2))</f>
        <v/>
      </c>
      <c r="S388" s="65" t="str">
        <f>IF(A388="","",Q388+R388)</f>
        <v/>
      </c>
      <c r="T388" s="65" t="str">
        <f>IF(AR388="","",INDEX(fa_htb,AR388)+INDEX(fa_tvab,AR388))</f>
        <v/>
      </c>
      <c r="U388" s="65" t="str">
        <f>IF(A388="","",SUMIF(pa_inv,A388,pa_amt))</f>
        <v/>
      </c>
      <c r="V388" s="65" t="str">
        <f>IF(OR(A388="",AA388="Avoir"),"",-SUMIFS(fa_ttc,fa_avof,A388,fa_type,"Avoir"))</f>
        <v/>
      </c>
      <c r="W388" s="65" t="str">
        <f>IF(OR(A388="",AA388="Avoir"),"",ROUND(S388-U388-V388,2))</f>
        <v/>
      </c>
      <c r="X388" s="66" t="str">
        <f>IF(W388="","",IF(AND(W388&gt;0,p_asof&gt;P388),p_asof-P388,""))</f>
        <v/>
      </c>
      <c r="Y388" s="59" t="str">
        <f>IF(A388="","",IF(AA388="Avoir","Avoir",IF(W388&lt;0,"Trop-perçu",IF(W388=0,"Soldée",IF(p_asof&gt;P388,"En retard",IF(U388+V388&gt;0,"Partielle","À échoir"))))))</f>
        <v/>
      </c>
      <c r="Z388" s="59" t="str">
        <f>IF(NOT(COUNTA(B388:D388,F388:O388)&gt;0),"",IF(C388="","Date manquante",IF(NOT(ISNUMBER(C388)),"Date invalide",IF(D388="","Client manquant",IF(ISNA(MATCH(D388,cli_code,0)),"Client inconnu",IF(AC388&lt;SUMPRODUCT(MAX(($AB$6:AB387=AB388)*$AC$6:AC387)),"Date antérieure à la facture précédente",IF(AND(F388&lt;&gt;"",ISNA(MATCH(F388,dv_num,0))),"Devis inconnu",IF(AND(F388&lt;&gt;"",IFERROR(INDEX(dv_client,MATCH(F388,dv_num,0)),D388)&lt;&gt;D388),"Client différent de celui du devis",IF(AG388="","Aucune ligne : saisissez des lignes ou un devis",IF(AND(AI388&lt;&gt;"",COUNTIF($AI$6:AI388,AI388)&gt;1),"Devis déjà repris par une autre facture",IF(AND(AA388="Avoir",M388=""),"Avoir : indiquez la facture d'origine",IF(AND(AA388="Avoir",ISNA(MATCH(M388,fa_num,0))),"Facture d'origine inconnue",IF(AND(AA388&lt;&gt;"Avoir",M388&lt;&gt;""),"« Avoir sur facture » : réservé aux avoirs",IF(AND(L388&lt;&gt;"",AA388&lt;&gt;"Facture"),"Acompte à déduire : réservé aux factures",IF(AND(L388&lt;&gt;"",ISNA(MATCH(L388,fa_num,0))),"Facture d'acompte inconnue",IF(AND(L388&lt;&gt;"",IFERROR(INDEX(fa_type,MATCH(L388,fa_num,0)),"")&lt;&gt;"Facture d'acompte"),"Le n° à déduire n'est pas une facture d'acompte",IF(AND(L388&lt;&gt;"",COUNTIF($L$6:L388,L388)&gt;1),"Acompte déjà déduit sur une autre facture",IF(AND(L388&lt;&gt;"",IFERROR(INDEX(fa_client,MATCH(L388,fa_num,0)),D388)&lt;&gt;D388),"Acompte d'un autre client",IF(AND(AR388&lt;&gt;"",N(Q388)&lt;0),"Acompte supérieur au total de la facture",IF(IF(AG388="Facture",COUNTIFS(fl_doc,A388,fl_check,"&lt;&gt;OK"),IF(AG388="Devis",COUNTIFS(dl_doc,F388,dl_check,"&lt;&gt;OK"),0))&gt;0,"Ligne(s) à corriger",IF(AND(W388&lt;&gt;"",N(W388)&lt;0),"Trop-perçu : vérifiez paiements et avoirs","OK")))))))))))))))))))))</f>
        <v/>
      </c>
      <c r="AA388" s="62" t="str">
        <f>IF(COUNTA(B388:D388,F388:O388)&gt;0,IF(B388="","Facture",B388),"")</f>
        <v/>
      </c>
      <c r="AB388" s="62" t="str">
        <f>IF(AA388="","",IF(AA388="Avoir",p_pav,IF(AA388="Facture d'acompte",p_pac,p_pfa)))</f>
        <v/>
      </c>
      <c r="AC388" s="62">
        <f>IF(ISNUMBER(C388),C388,0)</f>
        <v>0.0</v>
      </c>
      <c r="AD388" s="62" t="str">
        <f>IF(OR(AA388="",AC388=0),"",YEAR(AC388))</f>
        <v/>
      </c>
      <c r="AE388" s="62" t="str">
        <f>IF(AD388="","",COUNTIFS($AB$6:AB388,AB388,$AD$6:AD388,AD388))</f>
        <v/>
      </c>
      <c r="AF388" s="62">
        <f>IF(A388="",0,COUNTIF(fl_doc,A388))</f>
        <v>0.0</v>
      </c>
      <c r="AG388" s="62" t="str">
        <f>IF(A388="","",IF(AF388&gt;0,"Facture",IF(AND(F388&lt;&gt;"",AA388="Facture",ISNUMBER(MATCH(F388,dv_num,0))),"Devis","")))</f>
        <v/>
      </c>
      <c r="AH388" s="62" t="str">
        <f>IF(AND(A388&lt;&gt;"",F388&lt;&gt;"",AA388&lt;&gt;"Avoir"),F388,"")</f>
        <v/>
      </c>
      <c r="AI388" s="62" t="str">
        <f>IF(AG388="Devis",F388,"")</f>
        <v/>
      </c>
      <c r="AJ388" s="62">
        <f>IF(AG388="Facture",SUMIF(fl_doc,A388,fl_ht),IF(AG388="Devis",SUMIF(dl_doc,F388,dl_ht),0))</f>
        <v>0.0</v>
      </c>
      <c r="AK388" s="62">
        <f>IF(OR(AG388="",INDEX(p_rates,1)=""),0,IF(AG388="Facture",SUMIFS(fl_ht,fl_doc,A388,fl_rate,INDEX(p_rates,1)),SUMIFS(dl_ht,dl_doc,F388,dl_rate,INDEX(p_rates,1))))</f>
        <v>0.0</v>
      </c>
      <c r="AL388" s="62">
        <f>IF(OR(AG388="",INDEX(p_rates,2)=""),0,IF(AG388="Facture",SUMIFS(fl_ht,fl_doc,A388,fl_rate,INDEX(p_rates,2)),SUMIFS(dl_ht,dl_doc,F388,dl_rate,INDEX(p_rates,2))))</f>
        <v>0.0</v>
      </c>
      <c r="AM388" s="62">
        <f>IF(OR(AG388="",INDEX(p_rates,3)=""),0,IF(AG388="Facture",SUMIFS(fl_ht,fl_doc,A388,fl_rate,INDEX(p_rates,3)),SUMIFS(dl_ht,dl_doc,F388,dl_rate,INDEX(p_rates,3))))</f>
        <v>0.0</v>
      </c>
      <c r="AN388" s="62">
        <f>IF(OR(AG388="",INDEX(p_rates,4)=""),0,IF(AG388="Facture",SUMIFS(fl_ht,fl_doc,A388,fl_rate,INDEX(p_rates,4)),SUMIFS(dl_ht,dl_doc,F388,dl_rate,INDEX(p_rates,4))))</f>
        <v>0.0</v>
      </c>
      <c r="AO388" s="62">
        <f>IF(OR(AG388="",INDEX(p_rates,5)=""),0,IF(AG388="Facture",SUMIFS(fl_ht,fl_doc,A388,fl_rate,INDEX(p_rates,5)),SUMIFS(dl_ht,dl_doc,F388,dl_rate,INDEX(p_rates,5))))</f>
        <v>0.0</v>
      </c>
      <c r="AP388" s="62">
        <f>IF(OR(AG388="",INDEX(p_rates,6)=""),0,IF(AG388="Facture",SUMIFS(fl_ht,fl_doc,A388,fl_rate,INDEX(p_rates,6)),SUMIFS(dl_ht,dl_doc,F388,dl_rate,INDEX(p_rates,6))))</f>
        <v>0.0</v>
      </c>
      <c r="AQ388" s="62">
        <f>ROUND(AK388*N(INDEX(p_rates,1)),2)+ROUND(AL388*N(INDEX(p_rates,2)),2)+ROUND(AM388*N(INDEX(p_rates,3)),2)+ROUND(AN388*N(INDEX(p_rates,4)),2)+ROUND(AO388*N(INDEX(p_rates,5)),2)+ROUND(AP388*N(INDEX(p_rates,6)),2)</f>
        <v>0.0</v>
      </c>
      <c r="AR388" s="62" t="str">
        <f>IF(OR(L388="",AA388&lt;&gt;"Facture"),"",IFERROR(IF(INDEX(fa_type,MATCH(L388,fa_num,0))="Facture d'acompte",MATCH(L388,fa_num,0),""),""))</f>
        <v/>
      </c>
      <c r="AS388" s="62" t="str">
        <f>IF(W388="","",IF(W388&lt;=0,"",IF(p_asof-P388&lt;=0,"Non échu",IF(p_asof-P388&lt;=30,"1-30 j",IF(p_asof-P388&lt;=60,"31-60 j",IF(p_asof-P388&lt;=90,"61-90 j","Plus de 90 j"))))))</f>
        <v/>
      </c>
      <c r="AT388" s="62" t="str">
        <f>IF(AS388="","",p_asof-P388)</f>
        <v/>
      </c>
      <c r="AU388" s="62" t="str">
        <f>IF(AT388="","",COUNTIF($AT$6:$AT$805,"&gt;"&amp;AT388)+COUNTIF($AT$6:AT388,AT388))</f>
        <v/>
      </c>
    </row>
    <row r="389">
      <c r="A389" s="59" t="str">
        <f>IF(AE389="","",AB389&amp;"-"&amp;AD389&amp;"-"&amp;RIGHT("000"&amp;AE389,4))</f>
        <v/>
      </c>
      <c r="B389" s="60" t="n"/>
      <c r="C389" s="61" t="n"/>
      <c r="D389" s="60" t="n"/>
      <c r="E389" s="62" t="str">
        <f>IF(D389="","",IFERROR(INDEX(cli_name,MATCH(D389,cli_code,0))&amp;"","Client inconnu"))</f>
        <v/>
      </c>
      <c r="F389" s="60" t="n"/>
      <c r="G389" s="63" t="n"/>
      <c r="H389" s="61" t="n"/>
      <c r="I389" s="63" t="n"/>
      <c r="J389" s="60" t="n"/>
      <c r="K389" s="61" t="n"/>
      <c r="L389" s="60" t="n"/>
      <c r="M389" s="60" t="n"/>
      <c r="N389" s="60" t="n"/>
      <c r="O389" s="61" t="n"/>
      <c r="P389" s="64" t="str">
        <f>IF(A389="","",IF(AA389="Avoir",AC389,IF(ISNUMBER(K389),K389,AC389+IF(D389="",N(p_delay),IFERROR(IF(ISNUMBER(INDEX(cli_delay,MATCH(D389,cli_code,0))),INDEX(cli_delay,MATCH(D389,cli_code,0)),N(p_delay)),N(p_delay))))))</f>
        <v/>
      </c>
      <c r="Q389" s="65" t="str">
        <f>IF(A389="","",IF(AA389="Avoir",-1,1)*ROUND(AJ389-IF(AR389="",0,INDEX(fa_htb,AR389)),2))</f>
        <v/>
      </c>
      <c r="R389" s="65" t="str">
        <f>IF(A389="","",IF(AA389="Avoir",-1,1)*ROUND(AQ389-IF(AR389="",0,INDEX(fa_tvab,AR389)),2))</f>
        <v/>
      </c>
      <c r="S389" s="65" t="str">
        <f>IF(A389="","",Q389+R389)</f>
        <v/>
      </c>
      <c r="T389" s="65" t="str">
        <f>IF(AR389="","",INDEX(fa_htb,AR389)+INDEX(fa_tvab,AR389))</f>
        <v/>
      </c>
      <c r="U389" s="65" t="str">
        <f>IF(A389="","",SUMIF(pa_inv,A389,pa_amt))</f>
        <v/>
      </c>
      <c r="V389" s="65" t="str">
        <f>IF(OR(A389="",AA389="Avoir"),"",-SUMIFS(fa_ttc,fa_avof,A389,fa_type,"Avoir"))</f>
        <v/>
      </c>
      <c r="W389" s="65" t="str">
        <f>IF(OR(A389="",AA389="Avoir"),"",ROUND(S389-U389-V389,2))</f>
        <v/>
      </c>
      <c r="X389" s="66" t="str">
        <f>IF(W389="","",IF(AND(W389&gt;0,p_asof&gt;P389),p_asof-P389,""))</f>
        <v/>
      </c>
      <c r="Y389" s="59" t="str">
        <f>IF(A389="","",IF(AA389="Avoir","Avoir",IF(W389&lt;0,"Trop-perçu",IF(W389=0,"Soldée",IF(p_asof&gt;P389,"En retard",IF(U389+V389&gt;0,"Partielle","À échoir"))))))</f>
        <v/>
      </c>
      <c r="Z389" s="59" t="str">
        <f>IF(NOT(COUNTA(B389:D389,F389:O389)&gt;0),"",IF(C389="","Date manquante",IF(NOT(ISNUMBER(C389)),"Date invalide",IF(D389="","Client manquant",IF(ISNA(MATCH(D389,cli_code,0)),"Client inconnu",IF(AC389&lt;SUMPRODUCT(MAX(($AB$6:AB388=AB389)*$AC$6:AC388)),"Date antérieure à la facture précédente",IF(AND(F389&lt;&gt;"",ISNA(MATCH(F389,dv_num,0))),"Devis inconnu",IF(AND(F389&lt;&gt;"",IFERROR(INDEX(dv_client,MATCH(F389,dv_num,0)),D389)&lt;&gt;D389),"Client différent de celui du devis",IF(AG389="","Aucune ligne : saisissez des lignes ou un devis",IF(AND(AI389&lt;&gt;"",COUNTIF($AI$6:AI389,AI389)&gt;1),"Devis déjà repris par une autre facture",IF(AND(AA389="Avoir",M389=""),"Avoir : indiquez la facture d'origine",IF(AND(AA389="Avoir",ISNA(MATCH(M389,fa_num,0))),"Facture d'origine inconnue",IF(AND(AA389&lt;&gt;"Avoir",M389&lt;&gt;""),"« Avoir sur facture » : réservé aux avoirs",IF(AND(L389&lt;&gt;"",AA389&lt;&gt;"Facture"),"Acompte à déduire : réservé aux factures",IF(AND(L389&lt;&gt;"",ISNA(MATCH(L389,fa_num,0))),"Facture d'acompte inconnue",IF(AND(L389&lt;&gt;"",IFERROR(INDEX(fa_type,MATCH(L389,fa_num,0)),"")&lt;&gt;"Facture d'acompte"),"Le n° à déduire n'est pas une facture d'acompte",IF(AND(L389&lt;&gt;"",COUNTIF($L$6:L389,L389)&gt;1),"Acompte déjà déduit sur une autre facture",IF(AND(L389&lt;&gt;"",IFERROR(INDEX(fa_client,MATCH(L389,fa_num,0)),D389)&lt;&gt;D389),"Acompte d'un autre client",IF(AND(AR389&lt;&gt;"",N(Q389)&lt;0),"Acompte supérieur au total de la facture",IF(IF(AG389="Facture",COUNTIFS(fl_doc,A389,fl_check,"&lt;&gt;OK"),IF(AG389="Devis",COUNTIFS(dl_doc,F389,dl_check,"&lt;&gt;OK"),0))&gt;0,"Ligne(s) à corriger",IF(AND(W389&lt;&gt;"",N(W389)&lt;0),"Trop-perçu : vérifiez paiements et avoirs","OK")))))))))))))))))))))</f>
        <v/>
      </c>
      <c r="AA389" s="62" t="str">
        <f>IF(COUNTA(B389:D389,F389:O389)&gt;0,IF(B389="","Facture",B389),"")</f>
        <v/>
      </c>
      <c r="AB389" s="62" t="str">
        <f>IF(AA389="","",IF(AA389="Avoir",p_pav,IF(AA389="Facture d'acompte",p_pac,p_pfa)))</f>
        <v/>
      </c>
      <c r="AC389" s="62">
        <f>IF(ISNUMBER(C389),C389,0)</f>
        <v>0.0</v>
      </c>
      <c r="AD389" s="62" t="str">
        <f>IF(OR(AA389="",AC389=0),"",YEAR(AC389))</f>
        <v/>
      </c>
      <c r="AE389" s="62" t="str">
        <f>IF(AD389="","",COUNTIFS($AB$6:AB389,AB389,$AD$6:AD389,AD389))</f>
        <v/>
      </c>
      <c r="AF389" s="62">
        <f>IF(A389="",0,COUNTIF(fl_doc,A389))</f>
        <v>0.0</v>
      </c>
      <c r="AG389" s="62" t="str">
        <f>IF(A389="","",IF(AF389&gt;0,"Facture",IF(AND(F389&lt;&gt;"",AA389="Facture",ISNUMBER(MATCH(F389,dv_num,0))),"Devis","")))</f>
        <v/>
      </c>
      <c r="AH389" s="62" t="str">
        <f>IF(AND(A389&lt;&gt;"",F389&lt;&gt;"",AA389&lt;&gt;"Avoir"),F389,"")</f>
        <v/>
      </c>
      <c r="AI389" s="62" t="str">
        <f>IF(AG389="Devis",F389,"")</f>
        <v/>
      </c>
      <c r="AJ389" s="62">
        <f>IF(AG389="Facture",SUMIF(fl_doc,A389,fl_ht),IF(AG389="Devis",SUMIF(dl_doc,F389,dl_ht),0))</f>
        <v>0.0</v>
      </c>
      <c r="AK389" s="62">
        <f>IF(OR(AG389="",INDEX(p_rates,1)=""),0,IF(AG389="Facture",SUMIFS(fl_ht,fl_doc,A389,fl_rate,INDEX(p_rates,1)),SUMIFS(dl_ht,dl_doc,F389,dl_rate,INDEX(p_rates,1))))</f>
        <v>0.0</v>
      </c>
      <c r="AL389" s="62">
        <f>IF(OR(AG389="",INDEX(p_rates,2)=""),0,IF(AG389="Facture",SUMIFS(fl_ht,fl_doc,A389,fl_rate,INDEX(p_rates,2)),SUMIFS(dl_ht,dl_doc,F389,dl_rate,INDEX(p_rates,2))))</f>
        <v>0.0</v>
      </c>
      <c r="AM389" s="62">
        <f>IF(OR(AG389="",INDEX(p_rates,3)=""),0,IF(AG389="Facture",SUMIFS(fl_ht,fl_doc,A389,fl_rate,INDEX(p_rates,3)),SUMIFS(dl_ht,dl_doc,F389,dl_rate,INDEX(p_rates,3))))</f>
        <v>0.0</v>
      </c>
      <c r="AN389" s="62">
        <f>IF(OR(AG389="",INDEX(p_rates,4)=""),0,IF(AG389="Facture",SUMIFS(fl_ht,fl_doc,A389,fl_rate,INDEX(p_rates,4)),SUMIFS(dl_ht,dl_doc,F389,dl_rate,INDEX(p_rates,4))))</f>
        <v>0.0</v>
      </c>
      <c r="AO389" s="62">
        <f>IF(OR(AG389="",INDEX(p_rates,5)=""),0,IF(AG389="Facture",SUMIFS(fl_ht,fl_doc,A389,fl_rate,INDEX(p_rates,5)),SUMIFS(dl_ht,dl_doc,F389,dl_rate,INDEX(p_rates,5))))</f>
        <v>0.0</v>
      </c>
      <c r="AP389" s="62">
        <f>IF(OR(AG389="",INDEX(p_rates,6)=""),0,IF(AG389="Facture",SUMIFS(fl_ht,fl_doc,A389,fl_rate,INDEX(p_rates,6)),SUMIFS(dl_ht,dl_doc,F389,dl_rate,INDEX(p_rates,6))))</f>
        <v>0.0</v>
      </c>
      <c r="AQ389" s="62">
        <f>ROUND(AK389*N(INDEX(p_rates,1)),2)+ROUND(AL389*N(INDEX(p_rates,2)),2)+ROUND(AM389*N(INDEX(p_rates,3)),2)+ROUND(AN389*N(INDEX(p_rates,4)),2)+ROUND(AO389*N(INDEX(p_rates,5)),2)+ROUND(AP389*N(INDEX(p_rates,6)),2)</f>
        <v>0.0</v>
      </c>
      <c r="AR389" s="62" t="str">
        <f>IF(OR(L389="",AA389&lt;&gt;"Facture"),"",IFERROR(IF(INDEX(fa_type,MATCH(L389,fa_num,0))="Facture d'acompte",MATCH(L389,fa_num,0),""),""))</f>
        <v/>
      </c>
      <c r="AS389" s="62" t="str">
        <f>IF(W389="","",IF(W389&lt;=0,"",IF(p_asof-P389&lt;=0,"Non échu",IF(p_asof-P389&lt;=30,"1-30 j",IF(p_asof-P389&lt;=60,"31-60 j",IF(p_asof-P389&lt;=90,"61-90 j","Plus de 90 j"))))))</f>
        <v/>
      </c>
      <c r="AT389" s="62" t="str">
        <f>IF(AS389="","",p_asof-P389)</f>
        <v/>
      </c>
      <c r="AU389" s="62" t="str">
        <f>IF(AT389="","",COUNTIF($AT$6:$AT$805,"&gt;"&amp;AT389)+COUNTIF($AT$6:AT389,AT389))</f>
        <v/>
      </c>
    </row>
    <row r="390">
      <c r="A390" s="59" t="str">
        <f>IF(AE390="","",AB390&amp;"-"&amp;AD390&amp;"-"&amp;RIGHT("000"&amp;AE390,4))</f>
        <v/>
      </c>
      <c r="B390" s="60" t="n"/>
      <c r="C390" s="61" t="n"/>
      <c r="D390" s="60" t="n"/>
      <c r="E390" s="62" t="str">
        <f>IF(D390="","",IFERROR(INDEX(cli_name,MATCH(D390,cli_code,0))&amp;"","Client inconnu"))</f>
        <v/>
      </c>
      <c r="F390" s="60" t="n"/>
      <c r="G390" s="63" t="n"/>
      <c r="H390" s="61" t="n"/>
      <c r="I390" s="63" t="n"/>
      <c r="J390" s="60" t="n"/>
      <c r="K390" s="61" t="n"/>
      <c r="L390" s="60" t="n"/>
      <c r="M390" s="60" t="n"/>
      <c r="N390" s="60" t="n"/>
      <c r="O390" s="61" t="n"/>
      <c r="P390" s="64" t="str">
        <f>IF(A390="","",IF(AA390="Avoir",AC390,IF(ISNUMBER(K390),K390,AC390+IF(D390="",N(p_delay),IFERROR(IF(ISNUMBER(INDEX(cli_delay,MATCH(D390,cli_code,0))),INDEX(cli_delay,MATCH(D390,cli_code,0)),N(p_delay)),N(p_delay))))))</f>
        <v/>
      </c>
      <c r="Q390" s="65" t="str">
        <f>IF(A390="","",IF(AA390="Avoir",-1,1)*ROUND(AJ390-IF(AR390="",0,INDEX(fa_htb,AR390)),2))</f>
        <v/>
      </c>
      <c r="R390" s="65" t="str">
        <f>IF(A390="","",IF(AA390="Avoir",-1,1)*ROUND(AQ390-IF(AR390="",0,INDEX(fa_tvab,AR390)),2))</f>
        <v/>
      </c>
      <c r="S390" s="65" t="str">
        <f>IF(A390="","",Q390+R390)</f>
        <v/>
      </c>
      <c r="T390" s="65" t="str">
        <f>IF(AR390="","",INDEX(fa_htb,AR390)+INDEX(fa_tvab,AR390))</f>
        <v/>
      </c>
      <c r="U390" s="65" t="str">
        <f>IF(A390="","",SUMIF(pa_inv,A390,pa_amt))</f>
        <v/>
      </c>
      <c r="V390" s="65" t="str">
        <f>IF(OR(A390="",AA390="Avoir"),"",-SUMIFS(fa_ttc,fa_avof,A390,fa_type,"Avoir"))</f>
        <v/>
      </c>
      <c r="W390" s="65" t="str">
        <f>IF(OR(A390="",AA390="Avoir"),"",ROUND(S390-U390-V390,2))</f>
        <v/>
      </c>
      <c r="X390" s="66" t="str">
        <f>IF(W390="","",IF(AND(W390&gt;0,p_asof&gt;P390),p_asof-P390,""))</f>
        <v/>
      </c>
      <c r="Y390" s="59" t="str">
        <f>IF(A390="","",IF(AA390="Avoir","Avoir",IF(W390&lt;0,"Trop-perçu",IF(W390=0,"Soldée",IF(p_asof&gt;P390,"En retard",IF(U390+V390&gt;0,"Partielle","À échoir"))))))</f>
        <v/>
      </c>
      <c r="Z390" s="59" t="str">
        <f>IF(NOT(COUNTA(B390:D390,F390:O390)&gt;0),"",IF(C390="","Date manquante",IF(NOT(ISNUMBER(C390)),"Date invalide",IF(D390="","Client manquant",IF(ISNA(MATCH(D390,cli_code,0)),"Client inconnu",IF(AC390&lt;SUMPRODUCT(MAX(($AB$6:AB389=AB390)*$AC$6:AC389)),"Date antérieure à la facture précédente",IF(AND(F390&lt;&gt;"",ISNA(MATCH(F390,dv_num,0))),"Devis inconnu",IF(AND(F390&lt;&gt;"",IFERROR(INDEX(dv_client,MATCH(F390,dv_num,0)),D390)&lt;&gt;D390),"Client différent de celui du devis",IF(AG390="","Aucune ligne : saisissez des lignes ou un devis",IF(AND(AI390&lt;&gt;"",COUNTIF($AI$6:AI390,AI390)&gt;1),"Devis déjà repris par une autre facture",IF(AND(AA390="Avoir",M390=""),"Avoir : indiquez la facture d'origine",IF(AND(AA390="Avoir",ISNA(MATCH(M390,fa_num,0))),"Facture d'origine inconnue",IF(AND(AA390&lt;&gt;"Avoir",M390&lt;&gt;""),"« Avoir sur facture » : réservé aux avoirs",IF(AND(L390&lt;&gt;"",AA390&lt;&gt;"Facture"),"Acompte à déduire : réservé aux factures",IF(AND(L390&lt;&gt;"",ISNA(MATCH(L390,fa_num,0))),"Facture d'acompte inconnue",IF(AND(L390&lt;&gt;"",IFERROR(INDEX(fa_type,MATCH(L390,fa_num,0)),"")&lt;&gt;"Facture d'acompte"),"Le n° à déduire n'est pas une facture d'acompte",IF(AND(L390&lt;&gt;"",COUNTIF($L$6:L390,L390)&gt;1),"Acompte déjà déduit sur une autre facture",IF(AND(L390&lt;&gt;"",IFERROR(INDEX(fa_client,MATCH(L390,fa_num,0)),D390)&lt;&gt;D390),"Acompte d'un autre client",IF(AND(AR390&lt;&gt;"",N(Q390)&lt;0),"Acompte supérieur au total de la facture",IF(IF(AG390="Facture",COUNTIFS(fl_doc,A390,fl_check,"&lt;&gt;OK"),IF(AG390="Devis",COUNTIFS(dl_doc,F390,dl_check,"&lt;&gt;OK"),0))&gt;0,"Ligne(s) à corriger",IF(AND(W390&lt;&gt;"",N(W390)&lt;0),"Trop-perçu : vérifiez paiements et avoirs","OK")))))))))))))))))))))</f>
        <v/>
      </c>
      <c r="AA390" s="62" t="str">
        <f>IF(COUNTA(B390:D390,F390:O390)&gt;0,IF(B390="","Facture",B390),"")</f>
        <v/>
      </c>
      <c r="AB390" s="62" t="str">
        <f>IF(AA390="","",IF(AA390="Avoir",p_pav,IF(AA390="Facture d'acompte",p_pac,p_pfa)))</f>
        <v/>
      </c>
      <c r="AC390" s="62">
        <f>IF(ISNUMBER(C390),C390,0)</f>
        <v>0.0</v>
      </c>
      <c r="AD390" s="62" t="str">
        <f>IF(OR(AA390="",AC390=0),"",YEAR(AC390))</f>
        <v/>
      </c>
      <c r="AE390" s="62" t="str">
        <f>IF(AD390="","",COUNTIFS($AB$6:AB390,AB390,$AD$6:AD390,AD390))</f>
        <v/>
      </c>
      <c r="AF390" s="62">
        <f>IF(A390="",0,COUNTIF(fl_doc,A390))</f>
        <v>0.0</v>
      </c>
      <c r="AG390" s="62" t="str">
        <f>IF(A390="","",IF(AF390&gt;0,"Facture",IF(AND(F390&lt;&gt;"",AA390="Facture",ISNUMBER(MATCH(F390,dv_num,0))),"Devis","")))</f>
        <v/>
      </c>
      <c r="AH390" s="62" t="str">
        <f>IF(AND(A390&lt;&gt;"",F390&lt;&gt;"",AA390&lt;&gt;"Avoir"),F390,"")</f>
        <v/>
      </c>
      <c r="AI390" s="62" t="str">
        <f>IF(AG390="Devis",F390,"")</f>
        <v/>
      </c>
      <c r="AJ390" s="62">
        <f>IF(AG390="Facture",SUMIF(fl_doc,A390,fl_ht),IF(AG390="Devis",SUMIF(dl_doc,F390,dl_ht),0))</f>
        <v>0.0</v>
      </c>
      <c r="AK390" s="62">
        <f>IF(OR(AG390="",INDEX(p_rates,1)=""),0,IF(AG390="Facture",SUMIFS(fl_ht,fl_doc,A390,fl_rate,INDEX(p_rates,1)),SUMIFS(dl_ht,dl_doc,F390,dl_rate,INDEX(p_rates,1))))</f>
        <v>0.0</v>
      </c>
      <c r="AL390" s="62">
        <f>IF(OR(AG390="",INDEX(p_rates,2)=""),0,IF(AG390="Facture",SUMIFS(fl_ht,fl_doc,A390,fl_rate,INDEX(p_rates,2)),SUMIFS(dl_ht,dl_doc,F390,dl_rate,INDEX(p_rates,2))))</f>
        <v>0.0</v>
      </c>
      <c r="AM390" s="62">
        <f>IF(OR(AG390="",INDEX(p_rates,3)=""),0,IF(AG390="Facture",SUMIFS(fl_ht,fl_doc,A390,fl_rate,INDEX(p_rates,3)),SUMIFS(dl_ht,dl_doc,F390,dl_rate,INDEX(p_rates,3))))</f>
        <v>0.0</v>
      </c>
      <c r="AN390" s="62">
        <f>IF(OR(AG390="",INDEX(p_rates,4)=""),0,IF(AG390="Facture",SUMIFS(fl_ht,fl_doc,A390,fl_rate,INDEX(p_rates,4)),SUMIFS(dl_ht,dl_doc,F390,dl_rate,INDEX(p_rates,4))))</f>
        <v>0.0</v>
      </c>
      <c r="AO390" s="62">
        <f>IF(OR(AG390="",INDEX(p_rates,5)=""),0,IF(AG390="Facture",SUMIFS(fl_ht,fl_doc,A390,fl_rate,INDEX(p_rates,5)),SUMIFS(dl_ht,dl_doc,F390,dl_rate,INDEX(p_rates,5))))</f>
        <v>0.0</v>
      </c>
      <c r="AP390" s="62">
        <f>IF(OR(AG390="",INDEX(p_rates,6)=""),0,IF(AG390="Facture",SUMIFS(fl_ht,fl_doc,A390,fl_rate,INDEX(p_rates,6)),SUMIFS(dl_ht,dl_doc,F390,dl_rate,INDEX(p_rates,6))))</f>
        <v>0.0</v>
      </c>
      <c r="AQ390" s="62">
        <f>ROUND(AK390*N(INDEX(p_rates,1)),2)+ROUND(AL390*N(INDEX(p_rates,2)),2)+ROUND(AM390*N(INDEX(p_rates,3)),2)+ROUND(AN390*N(INDEX(p_rates,4)),2)+ROUND(AO390*N(INDEX(p_rates,5)),2)+ROUND(AP390*N(INDEX(p_rates,6)),2)</f>
        <v>0.0</v>
      </c>
      <c r="AR390" s="62" t="str">
        <f>IF(OR(L390="",AA390&lt;&gt;"Facture"),"",IFERROR(IF(INDEX(fa_type,MATCH(L390,fa_num,0))="Facture d'acompte",MATCH(L390,fa_num,0),""),""))</f>
        <v/>
      </c>
      <c r="AS390" s="62" t="str">
        <f>IF(W390="","",IF(W390&lt;=0,"",IF(p_asof-P390&lt;=0,"Non échu",IF(p_asof-P390&lt;=30,"1-30 j",IF(p_asof-P390&lt;=60,"31-60 j",IF(p_asof-P390&lt;=90,"61-90 j","Plus de 90 j"))))))</f>
        <v/>
      </c>
      <c r="AT390" s="62" t="str">
        <f>IF(AS390="","",p_asof-P390)</f>
        <v/>
      </c>
      <c r="AU390" s="62" t="str">
        <f>IF(AT390="","",COUNTIF($AT$6:$AT$805,"&gt;"&amp;AT390)+COUNTIF($AT$6:AT390,AT390))</f>
        <v/>
      </c>
    </row>
    <row r="391">
      <c r="A391" s="59" t="str">
        <f>IF(AE391="","",AB391&amp;"-"&amp;AD391&amp;"-"&amp;RIGHT("000"&amp;AE391,4))</f>
        <v/>
      </c>
      <c r="B391" s="60" t="n"/>
      <c r="C391" s="61" t="n"/>
      <c r="D391" s="60" t="n"/>
      <c r="E391" s="62" t="str">
        <f>IF(D391="","",IFERROR(INDEX(cli_name,MATCH(D391,cli_code,0))&amp;"","Client inconnu"))</f>
        <v/>
      </c>
      <c r="F391" s="60" t="n"/>
      <c r="G391" s="63" t="n"/>
      <c r="H391" s="61" t="n"/>
      <c r="I391" s="63" t="n"/>
      <c r="J391" s="60" t="n"/>
      <c r="K391" s="61" t="n"/>
      <c r="L391" s="60" t="n"/>
      <c r="M391" s="60" t="n"/>
      <c r="N391" s="60" t="n"/>
      <c r="O391" s="61" t="n"/>
      <c r="P391" s="64" t="str">
        <f>IF(A391="","",IF(AA391="Avoir",AC391,IF(ISNUMBER(K391),K391,AC391+IF(D391="",N(p_delay),IFERROR(IF(ISNUMBER(INDEX(cli_delay,MATCH(D391,cli_code,0))),INDEX(cli_delay,MATCH(D391,cli_code,0)),N(p_delay)),N(p_delay))))))</f>
        <v/>
      </c>
      <c r="Q391" s="65" t="str">
        <f>IF(A391="","",IF(AA391="Avoir",-1,1)*ROUND(AJ391-IF(AR391="",0,INDEX(fa_htb,AR391)),2))</f>
        <v/>
      </c>
      <c r="R391" s="65" t="str">
        <f>IF(A391="","",IF(AA391="Avoir",-1,1)*ROUND(AQ391-IF(AR391="",0,INDEX(fa_tvab,AR391)),2))</f>
        <v/>
      </c>
      <c r="S391" s="65" t="str">
        <f>IF(A391="","",Q391+R391)</f>
        <v/>
      </c>
      <c r="T391" s="65" t="str">
        <f>IF(AR391="","",INDEX(fa_htb,AR391)+INDEX(fa_tvab,AR391))</f>
        <v/>
      </c>
      <c r="U391" s="65" t="str">
        <f>IF(A391="","",SUMIF(pa_inv,A391,pa_amt))</f>
        <v/>
      </c>
      <c r="V391" s="65" t="str">
        <f>IF(OR(A391="",AA391="Avoir"),"",-SUMIFS(fa_ttc,fa_avof,A391,fa_type,"Avoir"))</f>
        <v/>
      </c>
      <c r="W391" s="65" t="str">
        <f>IF(OR(A391="",AA391="Avoir"),"",ROUND(S391-U391-V391,2))</f>
        <v/>
      </c>
      <c r="X391" s="66" t="str">
        <f>IF(W391="","",IF(AND(W391&gt;0,p_asof&gt;P391),p_asof-P391,""))</f>
        <v/>
      </c>
      <c r="Y391" s="59" t="str">
        <f>IF(A391="","",IF(AA391="Avoir","Avoir",IF(W391&lt;0,"Trop-perçu",IF(W391=0,"Soldée",IF(p_asof&gt;P391,"En retard",IF(U391+V391&gt;0,"Partielle","À échoir"))))))</f>
        <v/>
      </c>
      <c r="Z391" s="59" t="str">
        <f>IF(NOT(COUNTA(B391:D391,F391:O391)&gt;0),"",IF(C391="","Date manquante",IF(NOT(ISNUMBER(C391)),"Date invalide",IF(D391="","Client manquant",IF(ISNA(MATCH(D391,cli_code,0)),"Client inconnu",IF(AC391&lt;SUMPRODUCT(MAX(($AB$6:AB390=AB391)*$AC$6:AC390)),"Date antérieure à la facture précédente",IF(AND(F391&lt;&gt;"",ISNA(MATCH(F391,dv_num,0))),"Devis inconnu",IF(AND(F391&lt;&gt;"",IFERROR(INDEX(dv_client,MATCH(F391,dv_num,0)),D391)&lt;&gt;D391),"Client différent de celui du devis",IF(AG391="","Aucune ligne : saisissez des lignes ou un devis",IF(AND(AI391&lt;&gt;"",COUNTIF($AI$6:AI391,AI391)&gt;1),"Devis déjà repris par une autre facture",IF(AND(AA391="Avoir",M391=""),"Avoir : indiquez la facture d'origine",IF(AND(AA391="Avoir",ISNA(MATCH(M391,fa_num,0))),"Facture d'origine inconnue",IF(AND(AA391&lt;&gt;"Avoir",M391&lt;&gt;""),"« Avoir sur facture » : réservé aux avoirs",IF(AND(L391&lt;&gt;"",AA391&lt;&gt;"Facture"),"Acompte à déduire : réservé aux factures",IF(AND(L391&lt;&gt;"",ISNA(MATCH(L391,fa_num,0))),"Facture d'acompte inconnue",IF(AND(L391&lt;&gt;"",IFERROR(INDEX(fa_type,MATCH(L391,fa_num,0)),"")&lt;&gt;"Facture d'acompte"),"Le n° à déduire n'est pas une facture d'acompte",IF(AND(L391&lt;&gt;"",COUNTIF($L$6:L391,L391)&gt;1),"Acompte déjà déduit sur une autre facture",IF(AND(L391&lt;&gt;"",IFERROR(INDEX(fa_client,MATCH(L391,fa_num,0)),D391)&lt;&gt;D391),"Acompte d'un autre client",IF(AND(AR391&lt;&gt;"",N(Q391)&lt;0),"Acompte supérieur au total de la facture",IF(IF(AG391="Facture",COUNTIFS(fl_doc,A391,fl_check,"&lt;&gt;OK"),IF(AG391="Devis",COUNTIFS(dl_doc,F391,dl_check,"&lt;&gt;OK"),0))&gt;0,"Ligne(s) à corriger",IF(AND(W391&lt;&gt;"",N(W391)&lt;0),"Trop-perçu : vérifiez paiements et avoirs","OK")))))))))))))))))))))</f>
        <v/>
      </c>
      <c r="AA391" s="62" t="str">
        <f>IF(COUNTA(B391:D391,F391:O391)&gt;0,IF(B391="","Facture",B391),"")</f>
        <v/>
      </c>
      <c r="AB391" s="62" t="str">
        <f>IF(AA391="","",IF(AA391="Avoir",p_pav,IF(AA391="Facture d'acompte",p_pac,p_pfa)))</f>
        <v/>
      </c>
      <c r="AC391" s="62">
        <f>IF(ISNUMBER(C391),C391,0)</f>
        <v>0.0</v>
      </c>
      <c r="AD391" s="62" t="str">
        <f>IF(OR(AA391="",AC391=0),"",YEAR(AC391))</f>
        <v/>
      </c>
      <c r="AE391" s="62" t="str">
        <f>IF(AD391="","",COUNTIFS($AB$6:AB391,AB391,$AD$6:AD391,AD391))</f>
        <v/>
      </c>
      <c r="AF391" s="62">
        <f>IF(A391="",0,COUNTIF(fl_doc,A391))</f>
        <v>0.0</v>
      </c>
      <c r="AG391" s="62" t="str">
        <f>IF(A391="","",IF(AF391&gt;0,"Facture",IF(AND(F391&lt;&gt;"",AA391="Facture",ISNUMBER(MATCH(F391,dv_num,0))),"Devis","")))</f>
        <v/>
      </c>
      <c r="AH391" s="62" t="str">
        <f>IF(AND(A391&lt;&gt;"",F391&lt;&gt;"",AA391&lt;&gt;"Avoir"),F391,"")</f>
        <v/>
      </c>
      <c r="AI391" s="62" t="str">
        <f>IF(AG391="Devis",F391,"")</f>
        <v/>
      </c>
      <c r="AJ391" s="62">
        <f>IF(AG391="Facture",SUMIF(fl_doc,A391,fl_ht),IF(AG391="Devis",SUMIF(dl_doc,F391,dl_ht),0))</f>
        <v>0.0</v>
      </c>
      <c r="AK391" s="62">
        <f>IF(OR(AG391="",INDEX(p_rates,1)=""),0,IF(AG391="Facture",SUMIFS(fl_ht,fl_doc,A391,fl_rate,INDEX(p_rates,1)),SUMIFS(dl_ht,dl_doc,F391,dl_rate,INDEX(p_rates,1))))</f>
        <v>0.0</v>
      </c>
      <c r="AL391" s="62">
        <f>IF(OR(AG391="",INDEX(p_rates,2)=""),0,IF(AG391="Facture",SUMIFS(fl_ht,fl_doc,A391,fl_rate,INDEX(p_rates,2)),SUMIFS(dl_ht,dl_doc,F391,dl_rate,INDEX(p_rates,2))))</f>
        <v>0.0</v>
      </c>
      <c r="AM391" s="62">
        <f>IF(OR(AG391="",INDEX(p_rates,3)=""),0,IF(AG391="Facture",SUMIFS(fl_ht,fl_doc,A391,fl_rate,INDEX(p_rates,3)),SUMIFS(dl_ht,dl_doc,F391,dl_rate,INDEX(p_rates,3))))</f>
        <v>0.0</v>
      </c>
      <c r="AN391" s="62">
        <f>IF(OR(AG391="",INDEX(p_rates,4)=""),0,IF(AG391="Facture",SUMIFS(fl_ht,fl_doc,A391,fl_rate,INDEX(p_rates,4)),SUMIFS(dl_ht,dl_doc,F391,dl_rate,INDEX(p_rates,4))))</f>
        <v>0.0</v>
      </c>
      <c r="AO391" s="62">
        <f>IF(OR(AG391="",INDEX(p_rates,5)=""),0,IF(AG391="Facture",SUMIFS(fl_ht,fl_doc,A391,fl_rate,INDEX(p_rates,5)),SUMIFS(dl_ht,dl_doc,F391,dl_rate,INDEX(p_rates,5))))</f>
        <v>0.0</v>
      </c>
      <c r="AP391" s="62">
        <f>IF(OR(AG391="",INDEX(p_rates,6)=""),0,IF(AG391="Facture",SUMIFS(fl_ht,fl_doc,A391,fl_rate,INDEX(p_rates,6)),SUMIFS(dl_ht,dl_doc,F391,dl_rate,INDEX(p_rates,6))))</f>
        <v>0.0</v>
      </c>
      <c r="AQ391" s="62">
        <f>ROUND(AK391*N(INDEX(p_rates,1)),2)+ROUND(AL391*N(INDEX(p_rates,2)),2)+ROUND(AM391*N(INDEX(p_rates,3)),2)+ROUND(AN391*N(INDEX(p_rates,4)),2)+ROUND(AO391*N(INDEX(p_rates,5)),2)+ROUND(AP391*N(INDEX(p_rates,6)),2)</f>
        <v>0.0</v>
      </c>
      <c r="AR391" s="62" t="str">
        <f>IF(OR(L391="",AA391&lt;&gt;"Facture"),"",IFERROR(IF(INDEX(fa_type,MATCH(L391,fa_num,0))="Facture d'acompte",MATCH(L391,fa_num,0),""),""))</f>
        <v/>
      </c>
      <c r="AS391" s="62" t="str">
        <f>IF(W391="","",IF(W391&lt;=0,"",IF(p_asof-P391&lt;=0,"Non échu",IF(p_asof-P391&lt;=30,"1-30 j",IF(p_asof-P391&lt;=60,"31-60 j",IF(p_asof-P391&lt;=90,"61-90 j","Plus de 90 j"))))))</f>
        <v/>
      </c>
      <c r="AT391" s="62" t="str">
        <f>IF(AS391="","",p_asof-P391)</f>
        <v/>
      </c>
      <c r="AU391" s="62" t="str">
        <f>IF(AT391="","",COUNTIF($AT$6:$AT$805,"&gt;"&amp;AT391)+COUNTIF($AT$6:AT391,AT391))</f>
        <v/>
      </c>
    </row>
    <row r="392">
      <c r="A392" s="59" t="str">
        <f>IF(AE392="","",AB392&amp;"-"&amp;AD392&amp;"-"&amp;RIGHT("000"&amp;AE392,4))</f>
        <v/>
      </c>
      <c r="B392" s="60" t="n"/>
      <c r="C392" s="61" t="n"/>
      <c r="D392" s="60" t="n"/>
      <c r="E392" s="62" t="str">
        <f>IF(D392="","",IFERROR(INDEX(cli_name,MATCH(D392,cli_code,0))&amp;"","Client inconnu"))</f>
        <v/>
      </c>
      <c r="F392" s="60" t="n"/>
      <c r="G392" s="63" t="n"/>
      <c r="H392" s="61" t="n"/>
      <c r="I392" s="63" t="n"/>
      <c r="J392" s="60" t="n"/>
      <c r="K392" s="61" t="n"/>
      <c r="L392" s="60" t="n"/>
      <c r="M392" s="60" t="n"/>
      <c r="N392" s="60" t="n"/>
      <c r="O392" s="61" t="n"/>
      <c r="P392" s="64" t="str">
        <f>IF(A392="","",IF(AA392="Avoir",AC392,IF(ISNUMBER(K392),K392,AC392+IF(D392="",N(p_delay),IFERROR(IF(ISNUMBER(INDEX(cli_delay,MATCH(D392,cli_code,0))),INDEX(cli_delay,MATCH(D392,cli_code,0)),N(p_delay)),N(p_delay))))))</f>
        <v/>
      </c>
      <c r="Q392" s="65" t="str">
        <f>IF(A392="","",IF(AA392="Avoir",-1,1)*ROUND(AJ392-IF(AR392="",0,INDEX(fa_htb,AR392)),2))</f>
        <v/>
      </c>
      <c r="R392" s="65" t="str">
        <f>IF(A392="","",IF(AA392="Avoir",-1,1)*ROUND(AQ392-IF(AR392="",0,INDEX(fa_tvab,AR392)),2))</f>
        <v/>
      </c>
      <c r="S392" s="65" t="str">
        <f>IF(A392="","",Q392+R392)</f>
        <v/>
      </c>
      <c r="T392" s="65" t="str">
        <f>IF(AR392="","",INDEX(fa_htb,AR392)+INDEX(fa_tvab,AR392))</f>
        <v/>
      </c>
      <c r="U392" s="65" t="str">
        <f>IF(A392="","",SUMIF(pa_inv,A392,pa_amt))</f>
        <v/>
      </c>
      <c r="V392" s="65" t="str">
        <f>IF(OR(A392="",AA392="Avoir"),"",-SUMIFS(fa_ttc,fa_avof,A392,fa_type,"Avoir"))</f>
        <v/>
      </c>
      <c r="W392" s="65" t="str">
        <f>IF(OR(A392="",AA392="Avoir"),"",ROUND(S392-U392-V392,2))</f>
        <v/>
      </c>
      <c r="X392" s="66" t="str">
        <f>IF(W392="","",IF(AND(W392&gt;0,p_asof&gt;P392),p_asof-P392,""))</f>
        <v/>
      </c>
      <c r="Y392" s="59" t="str">
        <f>IF(A392="","",IF(AA392="Avoir","Avoir",IF(W392&lt;0,"Trop-perçu",IF(W392=0,"Soldée",IF(p_asof&gt;P392,"En retard",IF(U392+V392&gt;0,"Partielle","À échoir"))))))</f>
        <v/>
      </c>
      <c r="Z392" s="59" t="str">
        <f>IF(NOT(COUNTA(B392:D392,F392:O392)&gt;0),"",IF(C392="","Date manquante",IF(NOT(ISNUMBER(C392)),"Date invalide",IF(D392="","Client manquant",IF(ISNA(MATCH(D392,cli_code,0)),"Client inconnu",IF(AC392&lt;SUMPRODUCT(MAX(($AB$6:AB391=AB392)*$AC$6:AC391)),"Date antérieure à la facture précédente",IF(AND(F392&lt;&gt;"",ISNA(MATCH(F392,dv_num,0))),"Devis inconnu",IF(AND(F392&lt;&gt;"",IFERROR(INDEX(dv_client,MATCH(F392,dv_num,0)),D392)&lt;&gt;D392),"Client différent de celui du devis",IF(AG392="","Aucune ligne : saisissez des lignes ou un devis",IF(AND(AI392&lt;&gt;"",COUNTIF($AI$6:AI392,AI392)&gt;1),"Devis déjà repris par une autre facture",IF(AND(AA392="Avoir",M392=""),"Avoir : indiquez la facture d'origine",IF(AND(AA392="Avoir",ISNA(MATCH(M392,fa_num,0))),"Facture d'origine inconnue",IF(AND(AA392&lt;&gt;"Avoir",M392&lt;&gt;""),"« Avoir sur facture » : réservé aux avoirs",IF(AND(L392&lt;&gt;"",AA392&lt;&gt;"Facture"),"Acompte à déduire : réservé aux factures",IF(AND(L392&lt;&gt;"",ISNA(MATCH(L392,fa_num,0))),"Facture d'acompte inconnue",IF(AND(L392&lt;&gt;"",IFERROR(INDEX(fa_type,MATCH(L392,fa_num,0)),"")&lt;&gt;"Facture d'acompte"),"Le n° à déduire n'est pas une facture d'acompte",IF(AND(L392&lt;&gt;"",COUNTIF($L$6:L392,L392)&gt;1),"Acompte déjà déduit sur une autre facture",IF(AND(L392&lt;&gt;"",IFERROR(INDEX(fa_client,MATCH(L392,fa_num,0)),D392)&lt;&gt;D392),"Acompte d'un autre client",IF(AND(AR392&lt;&gt;"",N(Q392)&lt;0),"Acompte supérieur au total de la facture",IF(IF(AG392="Facture",COUNTIFS(fl_doc,A392,fl_check,"&lt;&gt;OK"),IF(AG392="Devis",COUNTIFS(dl_doc,F392,dl_check,"&lt;&gt;OK"),0))&gt;0,"Ligne(s) à corriger",IF(AND(W392&lt;&gt;"",N(W392)&lt;0),"Trop-perçu : vérifiez paiements et avoirs","OK")))))))))))))))))))))</f>
        <v/>
      </c>
      <c r="AA392" s="62" t="str">
        <f>IF(COUNTA(B392:D392,F392:O392)&gt;0,IF(B392="","Facture",B392),"")</f>
        <v/>
      </c>
      <c r="AB392" s="62" t="str">
        <f>IF(AA392="","",IF(AA392="Avoir",p_pav,IF(AA392="Facture d'acompte",p_pac,p_pfa)))</f>
        <v/>
      </c>
      <c r="AC392" s="62">
        <f>IF(ISNUMBER(C392),C392,0)</f>
        <v>0.0</v>
      </c>
      <c r="AD392" s="62" t="str">
        <f>IF(OR(AA392="",AC392=0),"",YEAR(AC392))</f>
        <v/>
      </c>
      <c r="AE392" s="62" t="str">
        <f>IF(AD392="","",COUNTIFS($AB$6:AB392,AB392,$AD$6:AD392,AD392))</f>
        <v/>
      </c>
      <c r="AF392" s="62">
        <f>IF(A392="",0,COUNTIF(fl_doc,A392))</f>
        <v>0.0</v>
      </c>
      <c r="AG392" s="62" t="str">
        <f>IF(A392="","",IF(AF392&gt;0,"Facture",IF(AND(F392&lt;&gt;"",AA392="Facture",ISNUMBER(MATCH(F392,dv_num,0))),"Devis","")))</f>
        <v/>
      </c>
      <c r="AH392" s="62" t="str">
        <f>IF(AND(A392&lt;&gt;"",F392&lt;&gt;"",AA392&lt;&gt;"Avoir"),F392,"")</f>
        <v/>
      </c>
      <c r="AI392" s="62" t="str">
        <f>IF(AG392="Devis",F392,"")</f>
        <v/>
      </c>
      <c r="AJ392" s="62">
        <f>IF(AG392="Facture",SUMIF(fl_doc,A392,fl_ht),IF(AG392="Devis",SUMIF(dl_doc,F392,dl_ht),0))</f>
        <v>0.0</v>
      </c>
      <c r="AK392" s="62">
        <f>IF(OR(AG392="",INDEX(p_rates,1)=""),0,IF(AG392="Facture",SUMIFS(fl_ht,fl_doc,A392,fl_rate,INDEX(p_rates,1)),SUMIFS(dl_ht,dl_doc,F392,dl_rate,INDEX(p_rates,1))))</f>
        <v>0.0</v>
      </c>
      <c r="AL392" s="62">
        <f>IF(OR(AG392="",INDEX(p_rates,2)=""),0,IF(AG392="Facture",SUMIFS(fl_ht,fl_doc,A392,fl_rate,INDEX(p_rates,2)),SUMIFS(dl_ht,dl_doc,F392,dl_rate,INDEX(p_rates,2))))</f>
        <v>0.0</v>
      </c>
      <c r="AM392" s="62">
        <f>IF(OR(AG392="",INDEX(p_rates,3)=""),0,IF(AG392="Facture",SUMIFS(fl_ht,fl_doc,A392,fl_rate,INDEX(p_rates,3)),SUMIFS(dl_ht,dl_doc,F392,dl_rate,INDEX(p_rates,3))))</f>
        <v>0.0</v>
      </c>
      <c r="AN392" s="62">
        <f>IF(OR(AG392="",INDEX(p_rates,4)=""),0,IF(AG392="Facture",SUMIFS(fl_ht,fl_doc,A392,fl_rate,INDEX(p_rates,4)),SUMIFS(dl_ht,dl_doc,F392,dl_rate,INDEX(p_rates,4))))</f>
        <v>0.0</v>
      </c>
      <c r="AO392" s="62">
        <f>IF(OR(AG392="",INDEX(p_rates,5)=""),0,IF(AG392="Facture",SUMIFS(fl_ht,fl_doc,A392,fl_rate,INDEX(p_rates,5)),SUMIFS(dl_ht,dl_doc,F392,dl_rate,INDEX(p_rates,5))))</f>
        <v>0.0</v>
      </c>
      <c r="AP392" s="62">
        <f>IF(OR(AG392="",INDEX(p_rates,6)=""),0,IF(AG392="Facture",SUMIFS(fl_ht,fl_doc,A392,fl_rate,INDEX(p_rates,6)),SUMIFS(dl_ht,dl_doc,F392,dl_rate,INDEX(p_rates,6))))</f>
        <v>0.0</v>
      </c>
      <c r="AQ392" s="62">
        <f>ROUND(AK392*N(INDEX(p_rates,1)),2)+ROUND(AL392*N(INDEX(p_rates,2)),2)+ROUND(AM392*N(INDEX(p_rates,3)),2)+ROUND(AN392*N(INDEX(p_rates,4)),2)+ROUND(AO392*N(INDEX(p_rates,5)),2)+ROUND(AP392*N(INDEX(p_rates,6)),2)</f>
        <v>0.0</v>
      </c>
      <c r="AR392" s="62" t="str">
        <f>IF(OR(L392="",AA392&lt;&gt;"Facture"),"",IFERROR(IF(INDEX(fa_type,MATCH(L392,fa_num,0))="Facture d'acompte",MATCH(L392,fa_num,0),""),""))</f>
        <v/>
      </c>
      <c r="AS392" s="62" t="str">
        <f>IF(W392="","",IF(W392&lt;=0,"",IF(p_asof-P392&lt;=0,"Non échu",IF(p_asof-P392&lt;=30,"1-30 j",IF(p_asof-P392&lt;=60,"31-60 j",IF(p_asof-P392&lt;=90,"61-90 j","Plus de 90 j"))))))</f>
        <v/>
      </c>
      <c r="AT392" s="62" t="str">
        <f>IF(AS392="","",p_asof-P392)</f>
        <v/>
      </c>
      <c r="AU392" s="62" t="str">
        <f>IF(AT392="","",COUNTIF($AT$6:$AT$805,"&gt;"&amp;AT392)+COUNTIF($AT$6:AT392,AT392))</f>
        <v/>
      </c>
    </row>
    <row r="393">
      <c r="A393" s="59" t="str">
        <f>IF(AE393="","",AB393&amp;"-"&amp;AD393&amp;"-"&amp;RIGHT("000"&amp;AE393,4))</f>
        <v/>
      </c>
      <c r="B393" s="60" t="n"/>
      <c r="C393" s="61" t="n"/>
      <c r="D393" s="60" t="n"/>
      <c r="E393" s="62" t="str">
        <f>IF(D393="","",IFERROR(INDEX(cli_name,MATCH(D393,cli_code,0))&amp;"","Client inconnu"))</f>
        <v/>
      </c>
      <c r="F393" s="60" t="n"/>
      <c r="G393" s="63" t="n"/>
      <c r="H393" s="61" t="n"/>
      <c r="I393" s="63" t="n"/>
      <c r="J393" s="60" t="n"/>
      <c r="K393" s="61" t="n"/>
      <c r="L393" s="60" t="n"/>
      <c r="M393" s="60" t="n"/>
      <c r="N393" s="60" t="n"/>
      <c r="O393" s="61" t="n"/>
      <c r="P393" s="64" t="str">
        <f>IF(A393="","",IF(AA393="Avoir",AC393,IF(ISNUMBER(K393),K393,AC393+IF(D393="",N(p_delay),IFERROR(IF(ISNUMBER(INDEX(cli_delay,MATCH(D393,cli_code,0))),INDEX(cli_delay,MATCH(D393,cli_code,0)),N(p_delay)),N(p_delay))))))</f>
        <v/>
      </c>
      <c r="Q393" s="65" t="str">
        <f>IF(A393="","",IF(AA393="Avoir",-1,1)*ROUND(AJ393-IF(AR393="",0,INDEX(fa_htb,AR393)),2))</f>
        <v/>
      </c>
      <c r="R393" s="65" t="str">
        <f>IF(A393="","",IF(AA393="Avoir",-1,1)*ROUND(AQ393-IF(AR393="",0,INDEX(fa_tvab,AR393)),2))</f>
        <v/>
      </c>
      <c r="S393" s="65" t="str">
        <f>IF(A393="","",Q393+R393)</f>
        <v/>
      </c>
      <c r="T393" s="65" t="str">
        <f>IF(AR393="","",INDEX(fa_htb,AR393)+INDEX(fa_tvab,AR393))</f>
        <v/>
      </c>
      <c r="U393" s="65" t="str">
        <f>IF(A393="","",SUMIF(pa_inv,A393,pa_amt))</f>
        <v/>
      </c>
      <c r="V393" s="65" t="str">
        <f>IF(OR(A393="",AA393="Avoir"),"",-SUMIFS(fa_ttc,fa_avof,A393,fa_type,"Avoir"))</f>
        <v/>
      </c>
      <c r="W393" s="65" t="str">
        <f>IF(OR(A393="",AA393="Avoir"),"",ROUND(S393-U393-V393,2))</f>
        <v/>
      </c>
      <c r="X393" s="66" t="str">
        <f>IF(W393="","",IF(AND(W393&gt;0,p_asof&gt;P393),p_asof-P393,""))</f>
        <v/>
      </c>
      <c r="Y393" s="59" t="str">
        <f>IF(A393="","",IF(AA393="Avoir","Avoir",IF(W393&lt;0,"Trop-perçu",IF(W393=0,"Soldée",IF(p_asof&gt;P393,"En retard",IF(U393+V393&gt;0,"Partielle","À échoir"))))))</f>
        <v/>
      </c>
      <c r="Z393" s="59" t="str">
        <f>IF(NOT(COUNTA(B393:D393,F393:O393)&gt;0),"",IF(C393="","Date manquante",IF(NOT(ISNUMBER(C393)),"Date invalide",IF(D393="","Client manquant",IF(ISNA(MATCH(D393,cli_code,0)),"Client inconnu",IF(AC393&lt;SUMPRODUCT(MAX(($AB$6:AB392=AB393)*$AC$6:AC392)),"Date antérieure à la facture précédente",IF(AND(F393&lt;&gt;"",ISNA(MATCH(F393,dv_num,0))),"Devis inconnu",IF(AND(F393&lt;&gt;"",IFERROR(INDEX(dv_client,MATCH(F393,dv_num,0)),D393)&lt;&gt;D393),"Client différent de celui du devis",IF(AG393="","Aucune ligne : saisissez des lignes ou un devis",IF(AND(AI393&lt;&gt;"",COUNTIF($AI$6:AI393,AI393)&gt;1),"Devis déjà repris par une autre facture",IF(AND(AA393="Avoir",M393=""),"Avoir : indiquez la facture d'origine",IF(AND(AA393="Avoir",ISNA(MATCH(M393,fa_num,0))),"Facture d'origine inconnue",IF(AND(AA393&lt;&gt;"Avoir",M393&lt;&gt;""),"« Avoir sur facture » : réservé aux avoirs",IF(AND(L393&lt;&gt;"",AA393&lt;&gt;"Facture"),"Acompte à déduire : réservé aux factures",IF(AND(L393&lt;&gt;"",ISNA(MATCH(L393,fa_num,0))),"Facture d'acompte inconnue",IF(AND(L393&lt;&gt;"",IFERROR(INDEX(fa_type,MATCH(L393,fa_num,0)),"")&lt;&gt;"Facture d'acompte"),"Le n° à déduire n'est pas une facture d'acompte",IF(AND(L393&lt;&gt;"",COUNTIF($L$6:L393,L393)&gt;1),"Acompte déjà déduit sur une autre facture",IF(AND(L393&lt;&gt;"",IFERROR(INDEX(fa_client,MATCH(L393,fa_num,0)),D393)&lt;&gt;D393),"Acompte d'un autre client",IF(AND(AR393&lt;&gt;"",N(Q393)&lt;0),"Acompte supérieur au total de la facture",IF(IF(AG393="Facture",COUNTIFS(fl_doc,A393,fl_check,"&lt;&gt;OK"),IF(AG393="Devis",COUNTIFS(dl_doc,F393,dl_check,"&lt;&gt;OK"),0))&gt;0,"Ligne(s) à corriger",IF(AND(W393&lt;&gt;"",N(W393)&lt;0),"Trop-perçu : vérifiez paiements et avoirs","OK")))))))))))))))))))))</f>
        <v/>
      </c>
      <c r="AA393" s="62" t="str">
        <f>IF(COUNTA(B393:D393,F393:O393)&gt;0,IF(B393="","Facture",B393),"")</f>
        <v/>
      </c>
      <c r="AB393" s="62" t="str">
        <f>IF(AA393="","",IF(AA393="Avoir",p_pav,IF(AA393="Facture d'acompte",p_pac,p_pfa)))</f>
        <v/>
      </c>
      <c r="AC393" s="62">
        <f>IF(ISNUMBER(C393),C393,0)</f>
        <v>0.0</v>
      </c>
      <c r="AD393" s="62" t="str">
        <f>IF(OR(AA393="",AC393=0),"",YEAR(AC393))</f>
        <v/>
      </c>
      <c r="AE393" s="62" t="str">
        <f>IF(AD393="","",COUNTIFS($AB$6:AB393,AB393,$AD$6:AD393,AD393))</f>
        <v/>
      </c>
      <c r="AF393" s="62">
        <f>IF(A393="",0,COUNTIF(fl_doc,A393))</f>
        <v>0.0</v>
      </c>
      <c r="AG393" s="62" t="str">
        <f>IF(A393="","",IF(AF393&gt;0,"Facture",IF(AND(F393&lt;&gt;"",AA393="Facture",ISNUMBER(MATCH(F393,dv_num,0))),"Devis","")))</f>
        <v/>
      </c>
      <c r="AH393" s="62" t="str">
        <f>IF(AND(A393&lt;&gt;"",F393&lt;&gt;"",AA393&lt;&gt;"Avoir"),F393,"")</f>
        <v/>
      </c>
      <c r="AI393" s="62" t="str">
        <f>IF(AG393="Devis",F393,"")</f>
        <v/>
      </c>
      <c r="AJ393" s="62">
        <f>IF(AG393="Facture",SUMIF(fl_doc,A393,fl_ht),IF(AG393="Devis",SUMIF(dl_doc,F393,dl_ht),0))</f>
        <v>0.0</v>
      </c>
      <c r="AK393" s="62">
        <f>IF(OR(AG393="",INDEX(p_rates,1)=""),0,IF(AG393="Facture",SUMIFS(fl_ht,fl_doc,A393,fl_rate,INDEX(p_rates,1)),SUMIFS(dl_ht,dl_doc,F393,dl_rate,INDEX(p_rates,1))))</f>
        <v>0.0</v>
      </c>
      <c r="AL393" s="62">
        <f>IF(OR(AG393="",INDEX(p_rates,2)=""),0,IF(AG393="Facture",SUMIFS(fl_ht,fl_doc,A393,fl_rate,INDEX(p_rates,2)),SUMIFS(dl_ht,dl_doc,F393,dl_rate,INDEX(p_rates,2))))</f>
        <v>0.0</v>
      </c>
      <c r="AM393" s="62">
        <f>IF(OR(AG393="",INDEX(p_rates,3)=""),0,IF(AG393="Facture",SUMIFS(fl_ht,fl_doc,A393,fl_rate,INDEX(p_rates,3)),SUMIFS(dl_ht,dl_doc,F393,dl_rate,INDEX(p_rates,3))))</f>
        <v>0.0</v>
      </c>
      <c r="AN393" s="62">
        <f>IF(OR(AG393="",INDEX(p_rates,4)=""),0,IF(AG393="Facture",SUMIFS(fl_ht,fl_doc,A393,fl_rate,INDEX(p_rates,4)),SUMIFS(dl_ht,dl_doc,F393,dl_rate,INDEX(p_rates,4))))</f>
        <v>0.0</v>
      </c>
      <c r="AO393" s="62">
        <f>IF(OR(AG393="",INDEX(p_rates,5)=""),0,IF(AG393="Facture",SUMIFS(fl_ht,fl_doc,A393,fl_rate,INDEX(p_rates,5)),SUMIFS(dl_ht,dl_doc,F393,dl_rate,INDEX(p_rates,5))))</f>
        <v>0.0</v>
      </c>
      <c r="AP393" s="62">
        <f>IF(OR(AG393="",INDEX(p_rates,6)=""),0,IF(AG393="Facture",SUMIFS(fl_ht,fl_doc,A393,fl_rate,INDEX(p_rates,6)),SUMIFS(dl_ht,dl_doc,F393,dl_rate,INDEX(p_rates,6))))</f>
        <v>0.0</v>
      </c>
      <c r="AQ393" s="62">
        <f>ROUND(AK393*N(INDEX(p_rates,1)),2)+ROUND(AL393*N(INDEX(p_rates,2)),2)+ROUND(AM393*N(INDEX(p_rates,3)),2)+ROUND(AN393*N(INDEX(p_rates,4)),2)+ROUND(AO393*N(INDEX(p_rates,5)),2)+ROUND(AP393*N(INDEX(p_rates,6)),2)</f>
        <v>0.0</v>
      </c>
      <c r="AR393" s="62" t="str">
        <f>IF(OR(L393="",AA393&lt;&gt;"Facture"),"",IFERROR(IF(INDEX(fa_type,MATCH(L393,fa_num,0))="Facture d'acompte",MATCH(L393,fa_num,0),""),""))</f>
        <v/>
      </c>
      <c r="AS393" s="62" t="str">
        <f>IF(W393="","",IF(W393&lt;=0,"",IF(p_asof-P393&lt;=0,"Non échu",IF(p_asof-P393&lt;=30,"1-30 j",IF(p_asof-P393&lt;=60,"31-60 j",IF(p_asof-P393&lt;=90,"61-90 j","Plus de 90 j"))))))</f>
        <v/>
      </c>
      <c r="AT393" s="62" t="str">
        <f>IF(AS393="","",p_asof-P393)</f>
        <v/>
      </c>
      <c r="AU393" s="62" t="str">
        <f>IF(AT393="","",COUNTIF($AT$6:$AT$805,"&gt;"&amp;AT393)+COUNTIF($AT$6:AT393,AT393))</f>
        <v/>
      </c>
    </row>
    <row r="394">
      <c r="A394" s="59" t="str">
        <f>IF(AE394="","",AB394&amp;"-"&amp;AD394&amp;"-"&amp;RIGHT("000"&amp;AE394,4))</f>
        <v/>
      </c>
      <c r="B394" s="60" t="n"/>
      <c r="C394" s="61" t="n"/>
      <c r="D394" s="60" t="n"/>
      <c r="E394" s="62" t="str">
        <f>IF(D394="","",IFERROR(INDEX(cli_name,MATCH(D394,cli_code,0))&amp;"","Client inconnu"))</f>
        <v/>
      </c>
      <c r="F394" s="60" t="n"/>
      <c r="G394" s="63" t="n"/>
      <c r="H394" s="61" t="n"/>
      <c r="I394" s="63" t="n"/>
      <c r="J394" s="60" t="n"/>
      <c r="K394" s="61" t="n"/>
      <c r="L394" s="60" t="n"/>
      <c r="M394" s="60" t="n"/>
      <c r="N394" s="60" t="n"/>
      <c r="O394" s="61" t="n"/>
      <c r="P394" s="64" t="str">
        <f>IF(A394="","",IF(AA394="Avoir",AC394,IF(ISNUMBER(K394),K394,AC394+IF(D394="",N(p_delay),IFERROR(IF(ISNUMBER(INDEX(cli_delay,MATCH(D394,cli_code,0))),INDEX(cli_delay,MATCH(D394,cli_code,0)),N(p_delay)),N(p_delay))))))</f>
        <v/>
      </c>
      <c r="Q394" s="65" t="str">
        <f>IF(A394="","",IF(AA394="Avoir",-1,1)*ROUND(AJ394-IF(AR394="",0,INDEX(fa_htb,AR394)),2))</f>
        <v/>
      </c>
      <c r="R394" s="65" t="str">
        <f>IF(A394="","",IF(AA394="Avoir",-1,1)*ROUND(AQ394-IF(AR394="",0,INDEX(fa_tvab,AR394)),2))</f>
        <v/>
      </c>
      <c r="S394" s="65" t="str">
        <f>IF(A394="","",Q394+R394)</f>
        <v/>
      </c>
      <c r="T394" s="65" t="str">
        <f>IF(AR394="","",INDEX(fa_htb,AR394)+INDEX(fa_tvab,AR394))</f>
        <v/>
      </c>
      <c r="U394" s="65" t="str">
        <f>IF(A394="","",SUMIF(pa_inv,A394,pa_amt))</f>
        <v/>
      </c>
      <c r="V394" s="65" t="str">
        <f>IF(OR(A394="",AA394="Avoir"),"",-SUMIFS(fa_ttc,fa_avof,A394,fa_type,"Avoir"))</f>
        <v/>
      </c>
      <c r="W394" s="65" t="str">
        <f>IF(OR(A394="",AA394="Avoir"),"",ROUND(S394-U394-V394,2))</f>
        <v/>
      </c>
      <c r="X394" s="66" t="str">
        <f>IF(W394="","",IF(AND(W394&gt;0,p_asof&gt;P394),p_asof-P394,""))</f>
        <v/>
      </c>
      <c r="Y394" s="59" t="str">
        <f>IF(A394="","",IF(AA394="Avoir","Avoir",IF(W394&lt;0,"Trop-perçu",IF(W394=0,"Soldée",IF(p_asof&gt;P394,"En retard",IF(U394+V394&gt;0,"Partielle","À échoir"))))))</f>
        <v/>
      </c>
      <c r="Z394" s="59" t="str">
        <f>IF(NOT(COUNTA(B394:D394,F394:O394)&gt;0),"",IF(C394="","Date manquante",IF(NOT(ISNUMBER(C394)),"Date invalide",IF(D394="","Client manquant",IF(ISNA(MATCH(D394,cli_code,0)),"Client inconnu",IF(AC394&lt;SUMPRODUCT(MAX(($AB$6:AB393=AB394)*$AC$6:AC393)),"Date antérieure à la facture précédente",IF(AND(F394&lt;&gt;"",ISNA(MATCH(F394,dv_num,0))),"Devis inconnu",IF(AND(F394&lt;&gt;"",IFERROR(INDEX(dv_client,MATCH(F394,dv_num,0)),D394)&lt;&gt;D394),"Client différent de celui du devis",IF(AG394="","Aucune ligne : saisissez des lignes ou un devis",IF(AND(AI394&lt;&gt;"",COUNTIF($AI$6:AI394,AI394)&gt;1),"Devis déjà repris par une autre facture",IF(AND(AA394="Avoir",M394=""),"Avoir : indiquez la facture d'origine",IF(AND(AA394="Avoir",ISNA(MATCH(M394,fa_num,0))),"Facture d'origine inconnue",IF(AND(AA394&lt;&gt;"Avoir",M394&lt;&gt;""),"« Avoir sur facture » : réservé aux avoirs",IF(AND(L394&lt;&gt;"",AA394&lt;&gt;"Facture"),"Acompte à déduire : réservé aux factures",IF(AND(L394&lt;&gt;"",ISNA(MATCH(L394,fa_num,0))),"Facture d'acompte inconnue",IF(AND(L394&lt;&gt;"",IFERROR(INDEX(fa_type,MATCH(L394,fa_num,0)),"")&lt;&gt;"Facture d'acompte"),"Le n° à déduire n'est pas une facture d'acompte",IF(AND(L394&lt;&gt;"",COUNTIF($L$6:L394,L394)&gt;1),"Acompte déjà déduit sur une autre facture",IF(AND(L394&lt;&gt;"",IFERROR(INDEX(fa_client,MATCH(L394,fa_num,0)),D394)&lt;&gt;D394),"Acompte d'un autre client",IF(AND(AR394&lt;&gt;"",N(Q394)&lt;0),"Acompte supérieur au total de la facture",IF(IF(AG394="Facture",COUNTIFS(fl_doc,A394,fl_check,"&lt;&gt;OK"),IF(AG394="Devis",COUNTIFS(dl_doc,F394,dl_check,"&lt;&gt;OK"),0))&gt;0,"Ligne(s) à corriger",IF(AND(W394&lt;&gt;"",N(W394)&lt;0),"Trop-perçu : vérifiez paiements et avoirs","OK")))))))))))))))))))))</f>
        <v/>
      </c>
      <c r="AA394" s="62" t="str">
        <f>IF(COUNTA(B394:D394,F394:O394)&gt;0,IF(B394="","Facture",B394),"")</f>
        <v/>
      </c>
      <c r="AB394" s="62" t="str">
        <f>IF(AA394="","",IF(AA394="Avoir",p_pav,IF(AA394="Facture d'acompte",p_pac,p_pfa)))</f>
        <v/>
      </c>
      <c r="AC394" s="62">
        <f>IF(ISNUMBER(C394),C394,0)</f>
        <v>0.0</v>
      </c>
      <c r="AD394" s="62" t="str">
        <f>IF(OR(AA394="",AC394=0),"",YEAR(AC394))</f>
        <v/>
      </c>
      <c r="AE394" s="62" t="str">
        <f>IF(AD394="","",COUNTIFS($AB$6:AB394,AB394,$AD$6:AD394,AD394))</f>
        <v/>
      </c>
      <c r="AF394" s="62">
        <f>IF(A394="",0,COUNTIF(fl_doc,A394))</f>
        <v>0.0</v>
      </c>
      <c r="AG394" s="62" t="str">
        <f>IF(A394="","",IF(AF394&gt;0,"Facture",IF(AND(F394&lt;&gt;"",AA394="Facture",ISNUMBER(MATCH(F394,dv_num,0))),"Devis","")))</f>
        <v/>
      </c>
      <c r="AH394" s="62" t="str">
        <f>IF(AND(A394&lt;&gt;"",F394&lt;&gt;"",AA394&lt;&gt;"Avoir"),F394,"")</f>
        <v/>
      </c>
      <c r="AI394" s="62" t="str">
        <f>IF(AG394="Devis",F394,"")</f>
        <v/>
      </c>
      <c r="AJ394" s="62">
        <f>IF(AG394="Facture",SUMIF(fl_doc,A394,fl_ht),IF(AG394="Devis",SUMIF(dl_doc,F394,dl_ht),0))</f>
        <v>0.0</v>
      </c>
      <c r="AK394" s="62">
        <f>IF(OR(AG394="",INDEX(p_rates,1)=""),0,IF(AG394="Facture",SUMIFS(fl_ht,fl_doc,A394,fl_rate,INDEX(p_rates,1)),SUMIFS(dl_ht,dl_doc,F394,dl_rate,INDEX(p_rates,1))))</f>
        <v>0.0</v>
      </c>
      <c r="AL394" s="62">
        <f>IF(OR(AG394="",INDEX(p_rates,2)=""),0,IF(AG394="Facture",SUMIFS(fl_ht,fl_doc,A394,fl_rate,INDEX(p_rates,2)),SUMIFS(dl_ht,dl_doc,F394,dl_rate,INDEX(p_rates,2))))</f>
        <v>0.0</v>
      </c>
      <c r="AM394" s="62">
        <f>IF(OR(AG394="",INDEX(p_rates,3)=""),0,IF(AG394="Facture",SUMIFS(fl_ht,fl_doc,A394,fl_rate,INDEX(p_rates,3)),SUMIFS(dl_ht,dl_doc,F394,dl_rate,INDEX(p_rates,3))))</f>
        <v>0.0</v>
      </c>
      <c r="AN394" s="62">
        <f>IF(OR(AG394="",INDEX(p_rates,4)=""),0,IF(AG394="Facture",SUMIFS(fl_ht,fl_doc,A394,fl_rate,INDEX(p_rates,4)),SUMIFS(dl_ht,dl_doc,F394,dl_rate,INDEX(p_rates,4))))</f>
        <v>0.0</v>
      </c>
      <c r="AO394" s="62">
        <f>IF(OR(AG394="",INDEX(p_rates,5)=""),0,IF(AG394="Facture",SUMIFS(fl_ht,fl_doc,A394,fl_rate,INDEX(p_rates,5)),SUMIFS(dl_ht,dl_doc,F394,dl_rate,INDEX(p_rates,5))))</f>
        <v>0.0</v>
      </c>
      <c r="AP394" s="62">
        <f>IF(OR(AG394="",INDEX(p_rates,6)=""),0,IF(AG394="Facture",SUMIFS(fl_ht,fl_doc,A394,fl_rate,INDEX(p_rates,6)),SUMIFS(dl_ht,dl_doc,F394,dl_rate,INDEX(p_rates,6))))</f>
        <v>0.0</v>
      </c>
      <c r="AQ394" s="62">
        <f>ROUND(AK394*N(INDEX(p_rates,1)),2)+ROUND(AL394*N(INDEX(p_rates,2)),2)+ROUND(AM394*N(INDEX(p_rates,3)),2)+ROUND(AN394*N(INDEX(p_rates,4)),2)+ROUND(AO394*N(INDEX(p_rates,5)),2)+ROUND(AP394*N(INDEX(p_rates,6)),2)</f>
        <v>0.0</v>
      </c>
      <c r="AR394" s="62" t="str">
        <f>IF(OR(L394="",AA394&lt;&gt;"Facture"),"",IFERROR(IF(INDEX(fa_type,MATCH(L394,fa_num,0))="Facture d'acompte",MATCH(L394,fa_num,0),""),""))</f>
        <v/>
      </c>
      <c r="AS394" s="62" t="str">
        <f>IF(W394="","",IF(W394&lt;=0,"",IF(p_asof-P394&lt;=0,"Non échu",IF(p_asof-P394&lt;=30,"1-30 j",IF(p_asof-P394&lt;=60,"31-60 j",IF(p_asof-P394&lt;=90,"61-90 j","Plus de 90 j"))))))</f>
        <v/>
      </c>
      <c r="AT394" s="62" t="str">
        <f>IF(AS394="","",p_asof-P394)</f>
        <v/>
      </c>
      <c r="AU394" s="62" t="str">
        <f>IF(AT394="","",COUNTIF($AT$6:$AT$805,"&gt;"&amp;AT394)+COUNTIF($AT$6:AT394,AT394))</f>
        <v/>
      </c>
    </row>
    <row r="395">
      <c r="A395" s="59" t="str">
        <f>IF(AE395="","",AB395&amp;"-"&amp;AD395&amp;"-"&amp;RIGHT("000"&amp;AE395,4))</f>
        <v/>
      </c>
      <c r="B395" s="60" t="n"/>
      <c r="C395" s="61" t="n"/>
      <c r="D395" s="60" t="n"/>
      <c r="E395" s="62" t="str">
        <f>IF(D395="","",IFERROR(INDEX(cli_name,MATCH(D395,cli_code,0))&amp;"","Client inconnu"))</f>
        <v/>
      </c>
      <c r="F395" s="60" t="n"/>
      <c r="G395" s="63" t="n"/>
      <c r="H395" s="61" t="n"/>
      <c r="I395" s="63" t="n"/>
      <c r="J395" s="60" t="n"/>
      <c r="K395" s="61" t="n"/>
      <c r="L395" s="60" t="n"/>
      <c r="M395" s="60" t="n"/>
      <c r="N395" s="60" t="n"/>
      <c r="O395" s="61" t="n"/>
      <c r="P395" s="64" t="str">
        <f>IF(A395="","",IF(AA395="Avoir",AC395,IF(ISNUMBER(K395),K395,AC395+IF(D395="",N(p_delay),IFERROR(IF(ISNUMBER(INDEX(cli_delay,MATCH(D395,cli_code,0))),INDEX(cli_delay,MATCH(D395,cli_code,0)),N(p_delay)),N(p_delay))))))</f>
        <v/>
      </c>
      <c r="Q395" s="65" t="str">
        <f>IF(A395="","",IF(AA395="Avoir",-1,1)*ROUND(AJ395-IF(AR395="",0,INDEX(fa_htb,AR395)),2))</f>
        <v/>
      </c>
      <c r="R395" s="65" t="str">
        <f>IF(A395="","",IF(AA395="Avoir",-1,1)*ROUND(AQ395-IF(AR395="",0,INDEX(fa_tvab,AR395)),2))</f>
        <v/>
      </c>
      <c r="S395" s="65" t="str">
        <f>IF(A395="","",Q395+R395)</f>
        <v/>
      </c>
      <c r="T395" s="65" t="str">
        <f>IF(AR395="","",INDEX(fa_htb,AR395)+INDEX(fa_tvab,AR395))</f>
        <v/>
      </c>
      <c r="U395" s="65" t="str">
        <f>IF(A395="","",SUMIF(pa_inv,A395,pa_amt))</f>
        <v/>
      </c>
      <c r="V395" s="65" t="str">
        <f>IF(OR(A395="",AA395="Avoir"),"",-SUMIFS(fa_ttc,fa_avof,A395,fa_type,"Avoir"))</f>
        <v/>
      </c>
      <c r="W395" s="65" t="str">
        <f>IF(OR(A395="",AA395="Avoir"),"",ROUND(S395-U395-V395,2))</f>
        <v/>
      </c>
      <c r="X395" s="66" t="str">
        <f>IF(W395="","",IF(AND(W395&gt;0,p_asof&gt;P395),p_asof-P395,""))</f>
        <v/>
      </c>
      <c r="Y395" s="59" t="str">
        <f>IF(A395="","",IF(AA395="Avoir","Avoir",IF(W395&lt;0,"Trop-perçu",IF(W395=0,"Soldée",IF(p_asof&gt;P395,"En retard",IF(U395+V395&gt;0,"Partielle","À échoir"))))))</f>
        <v/>
      </c>
      <c r="Z395" s="59" t="str">
        <f>IF(NOT(COUNTA(B395:D395,F395:O395)&gt;0),"",IF(C395="","Date manquante",IF(NOT(ISNUMBER(C395)),"Date invalide",IF(D395="","Client manquant",IF(ISNA(MATCH(D395,cli_code,0)),"Client inconnu",IF(AC395&lt;SUMPRODUCT(MAX(($AB$6:AB394=AB395)*$AC$6:AC394)),"Date antérieure à la facture précédente",IF(AND(F395&lt;&gt;"",ISNA(MATCH(F395,dv_num,0))),"Devis inconnu",IF(AND(F395&lt;&gt;"",IFERROR(INDEX(dv_client,MATCH(F395,dv_num,0)),D395)&lt;&gt;D395),"Client différent de celui du devis",IF(AG395="","Aucune ligne : saisissez des lignes ou un devis",IF(AND(AI395&lt;&gt;"",COUNTIF($AI$6:AI395,AI395)&gt;1),"Devis déjà repris par une autre facture",IF(AND(AA395="Avoir",M395=""),"Avoir : indiquez la facture d'origine",IF(AND(AA395="Avoir",ISNA(MATCH(M395,fa_num,0))),"Facture d'origine inconnue",IF(AND(AA395&lt;&gt;"Avoir",M395&lt;&gt;""),"« Avoir sur facture » : réservé aux avoirs",IF(AND(L395&lt;&gt;"",AA395&lt;&gt;"Facture"),"Acompte à déduire : réservé aux factures",IF(AND(L395&lt;&gt;"",ISNA(MATCH(L395,fa_num,0))),"Facture d'acompte inconnue",IF(AND(L395&lt;&gt;"",IFERROR(INDEX(fa_type,MATCH(L395,fa_num,0)),"")&lt;&gt;"Facture d'acompte"),"Le n° à déduire n'est pas une facture d'acompte",IF(AND(L395&lt;&gt;"",COUNTIF($L$6:L395,L395)&gt;1),"Acompte déjà déduit sur une autre facture",IF(AND(L395&lt;&gt;"",IFERROR(INDEX(fa_client,MATCH(L395,fa_num,0)),D395)&lt;&gt;D395),"Acompte d'un autre client",IF(AND(AR395&lt;&gt;"",N(Q395)&lt;0),"Acompte supérieur au total de la facture",IF(IF(AG395="Facture",COUNTIFS(fl_doc,A395,fl_check,"&lt;&gt;OK"),IF(AG395="Devis",COUNTIFS(dl_doc,F395,dl_check,"&lt;&gt;OK"),0))&gt;0,"Ligne(s) à corriger",IF(AND(W395&lt;&gt;"",N(W395)&lt;0),"Trop-perçu : vérifiez paiements et avoirs","OK")))))))))))))))))))))</f>
        <v/>
      </c>
      <c r="AA395" s="62" t="str">
        <f>IF(COUNTA(B395:D395,F395:O395)&gt;0,IF(B395="","Facture",B395),"")</f>
        <v/>
      </c>
      <c r="AB395" s="62" t="str">
        <f>IF(AA395="","",IF(AA395="Avoir",p_pav,IF(AA395="Facture d'acompte",p_pac,p_pfa)))</f>
        <v/>
      </c>
      <c r="AC395" s="62">
        <f>IF(ISNUMBER(C395),C395,0)</f>
        <v>0.0</v>
      </c>
      <c r="AD395" s="62" t="str">
        <f>IF(OR(AA395="",AC395=0),"",YEAR(AC395))</f>
        <v/>
      </c>
      <c r="AE395" s="62" t="str">
        <f>IF(AD395="","",COUNTIFS($AB$6:AB395,AB395,$AD$6:AD395,AD395))</f>
        <v/>
      </c>
      <c r="AF395" s="62">
        <f>IF(A395="",0,COUNTIF(fl_doc,A395))</f>
        <v>0.0</v>
      </c>
      <c r="AG395" s="62" t="str">
        <f>IF(A395="","",IF(AF395&gt;0,"Facture",IF(AND(F395&lt;&gt;"",AA395="Facture",ISNUMBER(MATCH(F395,dv_num,0))),"Devis","")))</f>
        <v/>
      </c>
      <c r="AH395" s="62" t="str">
        <f>IF(AND(A395&lt;&gt;"",F395&lt;&gt;"",AA395&lt;&gt;"Avoir"),F395,"")</f>
        <v/>
      </c>
      <c r="AI395" s="62" t="str">
        <f>IF(AG395="Devis",F395,"")</f>
        <v/>
      </c>
      <c r="AJ395" s="62">
        <f>IF(AG395="Facture",SUMIF(fl_doc,A395,fl_ht),IF(AG395="Devis",SUMIF(dl_doc,F395,dl_ht),0))</f>
        <v>0.0</v>
      </c>
      <c r="AK395" s="62">
        <f>IF(OR(AG395="",INDEX(p_rates,1)=""),0,IF(AG395="Facture",SUMIFS(fl_ht,fl_doc,A395,fl_rate,INDEX(p_rates,1)),SUMIFS(dl_ht,dl_doc,F395,dl_rate,INDEX(p_rates,1))))</f>
        <v>0.0</v>
      </c>
      <c r="AL395" s="62">
        <f>IF(OR(AG395="",INDEX(p_rates,2)=""),0,IF(AG395="Facture",SUMIFS(fl_ht,fl_doc,A395,fl_rate,INDEX(p_rates,2)),SUMIFS(dl_ht,dl_doc,F395,dl_rate,INDEX(p_rates,2))))</f>
        <v>0.0</v>
      </c>
      <c r="AM395" s="62">
        <f>IF(OR(AG395="",INDEX(p_rates,3)=""),0,IF(AG395="Facture",SUMIFS(fl_ht,fl_doc,A395,fl_rate,INDEX(p_rates,3)),SUMIFS(dl_ht,dl_doc,F395,dl_rate,INDEX(p_rates,3))))</f>
        <v>0.0</v>
      </c>
      <c r="AN395" s="62">
        <f>IF(OR(AG395="",INDEX(p_rates,4)=""),0,IF(AG395="Facture",SUMIFS(fl_ht,fl_doc,A395,fl_rate,INDEX(p_rates,4)),SUMIFS(dl_ht,dl_doc,F395,dl_rate,INDEX(p_rates,4))))</f>
        <v>0.0</v>
      </c>
      <c r="AO395" s="62">
        <f>IF(OR(AG395="",INDEX(p_rates,5)=""),0,IF(AG395="Facture",SUMIFS(fl_ht,fl_doc,A395,fl_rate,INDEX(p_rates,5)),SUMIFS(dl_ht,dl_doc,F395,dl_rate,INDEX(p_rates,5))))</f>
        <v>0.0</v>
      </c>
      <c r="AP395" s="62">
        <f>IF(OR(AG395="",INDEX(p_rates,6)=""),0,IF(AG395="Facture",SUMIFS(fl_ht,fl_doc,A395,fl_rate,INDEX(p_rates,6)),SUMIFS(dl_ht,dl_doc,F395,dl_rate,INDEX(p_rates,6))))</f>
        <v>0.0</v>
      </c>
      <c r="AQ395" s="62">
        <f>ROUND(AK395*N(INDEX(p_rates,1)),2)+ROUND(AL395*N(INDEX(p_rates,2)),2)+ROUND(AM395*N(INDEX(p_rates,3)),2)+ROUND(AN395*N(INDEX(p_rates,4)),2)+ROUND(AO395*N(INDEX(p_rates,5)),2)+ROUND(AP395*N(INDEX(p_rates,6)),2)</f>
        <v>0.0</v>
      </c>
      <c r="AR395" s="62" t="str">
        <f>IF(OR(L395="",AA395&lt;&gt;"Facture"),"",IFERROR(IF(INDEX(fa_type,MATCH(L395,fa_num,0))="Facture d'acompte",MATCH(L395,fa_num,0),""),""))</f>
        <v/>
      </c>
      <c r="AS395" s="62" t="str">
        <f>IF(W395="","",IF(W395&lt;=0,"",IF(p_asof-P395&lt;=0,"Non échu",IF(p_asof-P395&lt;=30,"1-30 j",IF(p_asof-P395&lt;=60,"31-60 j",IF(p_asof-P395&lt;=90,"61-90 j","Plus de 90 j"))))))</f>
        <v/>
      </c>
      <c r="AT395" s="62" t="str">
        <f>IF(AS395="","",p_asof-P395)</f>
        <v/>
      </c>
      <c r="AU395" s="62" t="str">
        <f>IF(AT395="","",COUNTIF($AT$6:$AT$805,"&gt;"&amp;AT395)+COUNTIF($AT$6:AT395,AT395))</f>
        <v/>
      </c>
    </row>
    <row r="396">
      <c r="A396" s="59" t="str">
        <f>IF(AE396="","",AB396&amp;"-"&amp;AD396&amp;"-"&amp;RIGHT("000"&amp;AE396,4))</f>
        <v/>
      </c>
      <c r="B396" s="60" t="n"/>
      <c r="C396" s="61" t="n"/>
      <c r="D396" s="60" t="n"/>
      <c r="E396" s="62" t="str">
        <f>IF(D396="","",IFERROR(INDEX(cli_name,MATCH(D396,cli_code,0))&amp;"","Client inconnu"))</f>
        <v/>
      </c>
      <c r="F396" s="60" t="n"/>
      <c r="G396" s="63" t="n"/>
      <c r="H396" s="61" t="n"/>
      <c r="I396" s="63" t="n"/>
      <c r="J396" s="60" t="n"/>
      <c r="K396" s="61" t="n"/>
      <c r="L396" s="60" t="n"/>
      <c r="M396" s="60" t="n"/>
      <c r="N396" s="60" t="n"/>
      <c r="O396" s="61" t="n"/>
      <c r="P396" s="64" t="str">
        <f>IF(A396="","",IF(AA396="Avoir",AC396,IF(ISNUMBER(K396),K396,AC396+IF(D396="",N(p_delay),IFERROR(IF(ISNUMBER(INDEX(cli_delay,MATCH(D396,cli_code,0))),INDEX(cli_delay,MATCH(D396,cli_code,0)),N(p_delay)),N(p_delay))))))</f>
        <v/>
      </c>
      <c r="Q396" s="65" t="str">
        <f>IF(A396="","",IF(AA396="Avoir",-1,1)*ROUND(AJ396-IF(AR396="",0,INDEX(fa_htb,AR396)),2))</f>
        <v/>
      </c>
      <c r="R396" s="65" t="str">
        <f>IF(A396="","",IF(AA396="Avoir",-1,1)*ROUND(AQ396-IF(AR396="",0,INDEX(fa_tvab,AR396)),2))</f>
        <v/>
      </c>
      <c r="S396" s="65" t="str">
        <f>IF(A396="","",Q396+R396)</f>
        <v/>
      </c>
      <c r="T396" s="65" t="str">
        <f>IF(AR396="","",INDEX(fa_htb,AR396)+INDEX(fa_tvab,AR396))</f>
        <v/>
      </c>
      <c r="U396" s="65" t="str">
        <f>IF(A396="","",SUMIF(pa_inv,A396,pa_amt))</f>
        <v/>
      </c>
      <c r="V396" s="65" t="str">
        <f>IF(OR(A396="",AA396="Avoir"),"",-SUMIFS(fa_ttc,fa_avof,A396,fa_type,"Avoir"))</f>
        <v/>
      </c>
      <c r="W396" s="65" t="str">
        <f>IF(OR(A396="",AA396="Avoir"),"",ROUND(S396-U396-V396,2))</f>
        <v/>
      </c>
      <c r="X396" s="66" t="str">
        <f>IF(W396="","",IF(AND(W396&gt;0,p_asof&gt;P396),p_asof-P396,""))</f>
        <v/>
      </c>
      <c r="Y396" s="59" t="str">
        <f>IF(A396="","",IF(AA396="Avoir","Avoir",IF(W396&lt;0,"Trop-perçu",IF(W396=0,"Soldée",IF(p_asof&gt;P396,"En retard",IF(U396+V396&gt;0,"Partielle","À échoir"))))))</f>
        <v/>
      </c>
      <c r="Z396" s="59" t="str">
        <f>IF(NOT(COUNTA(B396:D396,F396:O396)&gt;0),"",IF(C396="","Date manquante",IF(NOT(ISNUMBER(C396)),"Date invalide",IF(D396="","Client manquant",IF(ISNA(MATCH(D396,cli_code,0)),"Client inconnu",IF(AC396&lt;SUMPRODUCT(MAX(($AB$6:AB395=AB396)*$AC$6:AC395)),"Date antérieure à la facture précédente",IF(AND(F396&lt;&gt;"",ISNA(MATCH(F396,dv_num,0))),"Devis inconnu",IF(AND(F396&lt;&gt;"",IFERROR(INDEX(dv_client,MATCH(F396,dv_num,0)),D396)&lt;&gt;D396),"Client différent de celui du devis",IF(AG396="","Aucune ligne : saisissez des lignes ou un devis",IF(AND(AI396&lt;&gt;"",COUNTIF($AI$6:AI396,AI396)&gt;1),"Devis déjà repris par une autre facture",IF(AND(AA396="Avoir",M396=""),"Avoir : indiquez la facture d'origine",IF(AND(AA396="Avoir",ISNA(MATCH(M396,fa_num,0))),"Facture d'origine inconnue",IF(AND(AA396&lt;&gt;"Avoir",M396&lt;&gt;""),"« Avoir sur facture » : réservé aux avoirs",IF(AND(L396&lt;&gt;"",AA396&lt;&gt;"Facture"),"Acompte à déduire : réservé aux factures",IF(AND(L396&lt;&gt;"",ISNA(MATCH(L396,fa_num,0))),"Facture d'acompte inconnue",IF(AND(L396&lt;&gt;"",IFERROR(INDEX(fa_type,MATCH(L396,fa_num,0)),"")&lt;&gt;"Facture d'acompte"),"Le n° à déduire n'est pas une facture d'acompte",IF(AND(L396&lt;&gt;"",COUNTIF($L$6:L396,L396)&gt;1),"Acompte déjà déduit sur une autre facture",IF(AND(L396&lt;&gt;"",IFERROR(INDEX(fa_client,MATCH(L396,fa_num,0)),D396)&lt;&gt;D396),"Acompte d'un autre client",IF(AND(AR396&lt;&gt;"",N(Q396)&lt;0),"Acompte supérieur au total de la facture",IF(IF(AG396="Facture",COUNTIFS(fl_doc,A396,fl_check,"&lt;&gt;OK"),IF(AG396="Devis",COUNTIFS(dl_doc,F396,dl_check,"&lt;&gt;OK"),0))&gt;0,"Ligne(s) à corriger",IF(AND(W396&lt;&gt;"",N(W396)&lt;0),"Trop-perçu : vérifiez paiements et avoirs","OK")))))))))))))))))))))</f>
        <v/>
      </c>
      <c r="AA396" s="62" t="str">
        <f>IF(COUNTA(B396:D396,F396:O396)&gt;0,IF(B396="","Facture",B396),"")</f>
        <v/>
      </c>
      <c r="AB396" s="62" t="str">
        <f>IF(AA396="","",IF(AA396="Avoir",p_pav,IF(AA396="Facture d'acompte",p_pac,p_pfa)))</f>
        <v/>
      </c>
      <c r="AC396" s="62">
        <f>IF(ISNUMBER(C396),C396,0)</f>
        <v>0.0</v>
      </c>
      <c r="AD396" s="62" t="str">
        <f>IF(OR(AA396="",AC396=0),"",YEAR(AC396))</f>
        <v/>
      </c>
      <c r="AE396" s="62" t="str">
        <f>IF(AD396="","",COUNTIFS($AB$6:AB396,AB396,$AD$6:AD396,AD396))</f>
        <v/>
      </c>
      <c r="AF396" s="62">
        <f>IF(A396="",0,COUNTIF(fl_doc,A396))</f>
        <v>0.0</v>
      </c>
      <c r="AG396" s="62" t="str">
        <f>IF(A396="","",IF(AF396&gt;0,"Facture",IF(AND(F396&lt;&gt;"",AA396="Facture",ISNUMBER(MATCH(F396,dv_num,0))),"Devis","")))</f>
        <v/>
      </c>
      <c r="AH396" s="62" t="str">
        <f>IF(AND(A396&lt;&gt;"",F396&lt;&gt;"",AA396&lt;&gt;"Avoir"),F396,"")</f>
        <v/>
      </c>
      <c r="AI396" s="62" t="str">
        <f>IF(AG396="Devis",F396,"")</f>
        <v/>
      </c>
      <c r="AJ396" s="62">
        <f>IF(AG396="Facture",SUMIF(fl_doc,A396,fl_ht),IF(AG396="Devis",SUMIF(dl_doc,F396,dl_ht),0))</f>
        <v>0.0</v>
      </c>
      <c r="AK396" s="62">
        <f>IF(OR(AG396="",INDEX(p_rates,1)=""),0,IF(AG396="Facture",SUMIFS(fl_ht,fl_doc,A396,fl_rate,INDEX(p_rates,1)),SUMIFS(dl_ht,dl_doc,F396,dl_rate,INDEX(p_rates,1))))</f>
        <v>0.0</v>
      </c>
      <c r="AL396" s="62">
        <f>IF(OR(AG396="",INDEX(p_rates,2)=""),0,IF(AG396="Facture",SUMIFS(fl_ht,fl_doc,A396,fl_rate,INDEX(p_rates,2)),SUMIFS(dl_ht,dl_doc,F396,dl_rate,INDEX(p_rates,2))))</f>
        <v>0.0</v>
      </c>
      <c r="AM396" s="62">
        <f>IF(OR(AG396="",INDEX(p_rates,3)=""),0,IF(AG396="Facture",SUMIFS(fl_ht,fl_doc,A396,fl_rate,INDEX(p_rates,3)),SUMIFS(dl_ht,dl_doc,F396,dl_rate,INDEX(p_rates,3))))</f>
        <v>0.0</v>
      </c>
      <c r="AN396" s="62">
        <f>IF(OR(AG396="",INDEX(p_rates,4)=""),0,IF(AG396="Facture",SUMIFS(fl_ht,fl_doc,A396,fl_rate,INDEX(p_rates,4)),SUMIFS(dl_ht,dl_doc,F396,dl_rate,INDEX(p_rates,4))))</f>
        <v>0.0</v>
      </c>
      <c r="AO396" s="62">
        <f>IF(OR(AG396="",INDEX(p_rates,5)=""),0,IF(AG396="Facture",SUMIFS(fl_ht,fl_doc,A396,fl_rate,INDEX(p_rates,5)),SUMIFS(dl_ht,dl_doc,F396,dl_rate,INDEX(p_rates,5))))</f>
        <v>0.0</v>
      </c>
      <c r="AP396" s="62">
        <f>IF(OR(AG396="",INDEX(p_rates,6)=""),0,IF(AG396="Facture",SUMIFS(fl_ht,fl_doc,A396,fl_rate,INDEX(p_rates,6)),SUMIFS(dl_ht,dl_doc,F396,dl_rate,INDEX(p_rates,6))))</f>
        <v>0.0</v>
      </c>
      <c r="AQ396" s="62">
        <f>ROUND(AK396*N(INDEX(p_rates,1)),2)+ROUND(AL396*N(INDEX(p_rates,2)),2)+ROUND(AM396*N(INDEX(p_rates,3)),2)+ROUND(AN396*N(INDEX(p_rates,4)),2)+ROUND(AO396*N(INDEX(p_rates,5)),2)+ROUND(AP396*N(INDEX(p_rates,6)),2)</f>
        <v>0.0</v>
      </c>
      <c r="AR396" s="62" t="str">
        <f>IF(OR(L396="",AA396&lt;&gt;"Facture"),"",IFERROR(IF(INDEX(fa_type,MATCH(L396,fa_num,0))="Facture d'acompte",MATCH(L396,fa_num,0),""),""))</f>
        <v/>
      </c>
      <c r="AS396" s="62" t="str">
        <f>IF(W396="","",IF(W396&lt;=0,"",IF(p_asof-P396&lt;=0,"Non échu",IF(p_asof-P396&lt;=30,"1-30 j",IF(p_asof-P396&lt;=60,"31-60 j",IF(p_asof-P396&lt;=90,"61-90 j","Plus de 90 j"))))))</f>
        <v/>
      </c>
      <c r="AT396" s="62" t="str">
        <f>IF(AS396="","",p_asof-P396)</f>
        <v/>
      </c>
      <c r="AU396" s="62" t="str">
        <f>IF(AT396="","",COUNTIF($AT$6:$AT$805,"&gt;"&amp;AT396)+COUNTIF($AT$6:AT396,AT396))</f>
        <v/>
      </c>
    </row>
    <row r="397">
      <c r="A397" s="59" t="str">
        <f>IF(AE397="","",AB397&amp;"-"&amp;AD397&amp;"-"&amp;RIGHT("000"&amp;AE397,4))</f>
        <v/>
      </c>
      <c r="B397" s="60" t="n"/>
      <c r="C397" s="61" t="n"/>
      <c r="D397" s="60" t="n"/>
      <c r="E397" s="62" t="str">
        <f>IF(D397="","",IFERROR(INDEX(cli_name,MATCH(D397,cli_code,0))&amp;"","Client inconnu"))</f>
        <v/>
      </c>
      <c r="F397" s="60" t="n"/>
      <c r="G397" s="63" t="n"/>
      <c r="H397" s="61" t="n"/>
      <c r="I397" s="63" t="n"/>
      <c r="J397" s="60" t="n"/>
      <c r="K397" s="61" t="n"/>
      <c r="L397" s="60" t="n"/>
      <c r="M397" s="60" t="n"/>
      <c r="N397" s="60" t="n"/>
      <c r="O397" s="61" t="n"/>
      <c r="P397" s="64" t="str">
        <f>IF(A397="","",IF(AA397="Avoir",AC397,IF(ISNUMBER(K397),K397,AC397+IF(D397="",N(p_delay),IFERROR(IF(ISNUMBER(INDEX(cli_delay,MATCH(D397,cli_code,0))),INDEX(cli_delay,MATCH(D397,cli_code,0)),N(p_delay)),N(p_delay))))))</f>
        <v/>
      </c>
      <c r="Q397" s="65" t="str">
        <f>IF(A397="","",IF(AA397="Avoir",-1,1)*ROUND(AJ397-IF(AR397="",0,INDEX(fa_htb,AR397)),2))</f>
        <v/>
      </c>
      <c r="R397" s="65" t="str">
        <f>IF(A397="","",IF(AA397="Avoir",-1,1)*ROUND(AQ397-IF(AR397="",0,INDEX(fa_tvab,AR397)),2))</f>
        <v/>
      </c>
      <c r="S397" s="65" t="str">
        <f>IF(A397="","",Q397+R397)</f>
        <v/>
      </c>
      <c r="T397" s="65" t="str">
        <f>IF(AR397="","",INDEX(fa_htb,AR397)+INDEX(fa_tvab,AR397))</f>
        <v/>
      </c>
      <c r="U397" s="65" t="str">
        <f>IF(A397="","",SUMIF(pa_inv,A397,pa_amt))</f>
        <v/>
      </c>
      <c r="V397" s="65" t="str">
        <f>IF(OR(A397="",AA397="Avoir"),"",-SUMIFS(fa_ttc,fa_avof,A397,fa_type,"Avoir"))</f>
        <v/>
      </c>
      <c r="W397" s="65" t="str">
        <f>IF(OR(A397="",AA397="Avoir"),"",ROUND(S397-U397-V397,2))</f>
        <v/>
      </c>
      <c r="X397" s="66" t="str">
        <f>IF(W397="","",IF(AND(W397&gt;0,p_asof&gt;P397),p_asof-P397,""))</f>
        <v/>
      </c>
      <c r="Y397" s="59" t="str">
        <f>IF(A397="","",IF(AA397="Avoir","Avoir",IF(W397&lt;0,"Trop-perçu",IF(W397=0,"Soldée",IF(p_asof&gt;P397,"En retard",IF(U397+V397&gt;0,"Partielle","À échoir"))))))</f>
        <v/>
      </c>
      <c r="Z397" s="59" t="str">
        <f>IF(NOT(COUNTA(B397:D397,F397:O397)&gt;0),"",IF(C397="","Date manquante",IF(NOT(ISNUMBER(C397)),"Date invalide",IF(D397="","Client manquant",IF(ISNA(MATCH(D397,cli_code,0)),"Client inconnu",IF(AC397&lt;SUMPRODUCT(MAX(($AB$6:AB396=AB397)*$AC$6:AC396)),"Date antérieure à la facture précédente",IF(AND(F397&lt;&gt;"",ISNA(MATCH(F397,dv_num,0))),"Devis inconnu",IF(AND(F397&lt;&gt;"",IFERROR(INDEX(dv_client,MATCH(F397,dv_num,0)),D397)&lt;&gt;D397),"Client différent de celui du devis",IF(AG397="","Aucune ligne : saisissez des lignes ou un devis",IF(AND(AI397&lt;&gt;"",COUNTIF($AI$6:AI397,AI397)&gt;1),"Devis déjà repris par une autre facture",IF(AND(AA397="Avoir",M397=""),"Avoir : indiquez la facture d'origine",IF(AND(AA397="Avoir",ISNA(MATCH(M397,fa_num,0))),"Facture d'origine inconnue",IF(AND(AA397&lt;&gt;"Avoir",M397&lt;&gt;""),"« Avoir sur facture » : réservé aux avoirs",IF(AND(L397&lt;&gt;"",AA397&lt;&gt;"Facture"),"Acompte à déduire : réservé aux factures",IF(AND(L397&lt;&gt;"",ISNA(MATCH(L397,fa_num,0))),"Facture d'acompte inconnue",IF(AND(L397&lt;&gt;"",IFERROR(INDEX(fa_type,MATCH(L397,fa_num,0)),"")&lt;&gt;"Facture d'acompte"),"Le n° à déduire n'est pas une facture d'acompte",IF(AND(L397&lt;&gt;"",COUNTIF($L$6:L397,L397)&gt;1),"Acompte déjà déduit sur une autre facture",IF(AND(L397&lt;&gt;"",IFERROR(INDEX(fa_client,MATCH(L397,fa_num,0)),D397)&lt;&gt;D397),"Acompte d'un autre client",IF(AND(AR397&lt;&gt;"",N(Q397)&lt;0),"Acompte supérieur au total de la facture",IF(IF(AG397="Facture",COUNTIFS(fl_doc,A397,fl_check,"&lt;&gt;OK"),IF(AG397="Devis",COUNTIFS(dl_doc,F397,dl_check,"&lt;&gt;OK"),0))&gt;0,"Ligne(s) à corriger",IF(AND(W397&lt;&gt;"",N(W397)&lt;0),"Trop-perçu : vérifiez paiements et avoirs","OK")))))))))))))))))))))</f>
        <v/>
      </c>
      <c r="AA397" s="62" t="str">
        <f>IF(COUNTA(B397:D397,F397:O397)&gt;0,IF(B397="","Facture",B397),"")</f>
        <v/>
      </c>
      <c r="AB397" s="62" t="str">
        <f>IF(AA397="","",IF(AA397="Avoir",p_pav,IF(AA397="Facture d'acompte",p_pac,p_pfa)))</f>
        <v/>
      </c>
      <c r="AC397" s="62">
        <f>IF(ISNUMBER(C397),C397,0)</f>
        <v>0.0</v>
      </c>
      <c r="AD397" s="62" t="str">
        <f>IF(OR(AA397="",AC397=0),"",YEAR(AC397))</f>
        <v/>
      </c>
      <c r="AE397" s="62" t="str">
        <f>IF(AD397="","",COUNTIFS($AB$6:AB397,AB397,$AD$6:AD397,AD397))</f>
        <v/>
      </c>
      <c r="AF397" s="62">
        <f>IF(A397="",0,COUNTIF(fl_doc,A397))</f>
        <v>0.0</v>
      </c>
      <c r="AG397" s="62" t="str">
        <f>IF(A397="","",IF(AF397&gt;0,"Facture",IF(AND(F397&lt;&gt;"",AA397="Facture",ISNUMBER(MATCH(F397,dv_num,0))),"Devis","")))</f>
        <v/>
      </c>
      <c r="AH397" s="62" t="str">
        <f>IF(AND(A397&lt;&gt;"",F397&lt;&gt;"",AA397&lt;&gt;"Avoir"),F397,"")</f>
        <v/>
      </c>
      <c r="AI397" s="62" t="str">
        <f>IF(AG397="Devis",F397,"")</f>
        <v/>
      </c>
      <c r="AJ397" s="62">
        <f>IF(AG397="Facture",SUMIF(fl_doc,A397,fl_ht),IF(AG397="Devis",SUMIF(dl_doc,F397,dl_ht),0))</f>
        <v>0.0</v>
      </c>
      <c r="AK397" s="62">
        <f>IF(OR(AG397="",INDEX(p_rates,1)=""),0,IF(AG397="Facture",SUMIFS(fl_ht,fl_doc,A397,fl_rate,INDEX(p_rates,1)),SUMIFS(dl_ht,dl_doc,F397,dl_rate,INDEX(p_rates,1))))</f>
        <v>0.0</v>
      </c>
      <c r="AL397" s="62">
        <f>IF(OR(AG397="",INDEX(p_rates,2)=""),0,IF(AG397="Facture",SUMIFS(fl_ht,fl_doc,A397,fl_rate,INDEX(p_rates,2)),SUMIFS(dl_ht,dl_doc,F397,dl_rate,INDEX(p_rates,2))))</f>
        <v>0.0</v>
      </c>
      <c r="AM397" s="62">
        <f>IF(OR(AG397="",INDEX(p_rates,3)=""),0,IF(AG397="Facture",SUMIFS(fl_ht,fl_doc,A397,fl_rate,INDEX(p_rates,3)),SUMIFS(dl_ht,dl_doc,F397,dl_rate,INDEX(p_rates,3))))</f>
        <v>0.0</v>
      </c>
      <c r="AN397" s="62">
        <f>IF(OR(AG397="",INDEX(p_rates,4)=""),0,IF(AG397="Facture",SUMIFS(fl_ht,fl_doc,A397,fl_rate,INDEX(p_rates,4)),SUMIFS(dl_ht,dl_doc,F397,dl_rate,INDEX(p_rates,4))))</f>
        <v>0.0</v>
      </c>
      <c r="AO397" s="62">
        <f>IF(OR(AG397="",INDEX(p_rates,5)=""),0,IF(AG397="Facture",SUMIFS(fl_ht,fl_doc,A397,fl_rate,INDEX(p_rates,5)),SUMIFS(dl_ht,dl_doc,F397,dl_rate,INDEX(p_rates,5))))</f>
        <v>0.0</v>
      </c>
      <c r="AP397" s="62">
        <f>IF(OR(AG397="",INDEX(p_rates,6)=""),0,IF(AG397="Facture",SUMIFS(fl_ht,fl_doc,A397,fl_rate,INDEX(p_rates,6)),SUMIFS(dl_ht,dl_doc,F397,dl_rate,INDEX(p_rates,6))))</f>
        <v>0.0</v>
      </c>
      <c r="AQ397" s="62">
        <f>ROUND(AK397*N(INDEX(p_rates,1)),2)+ROUND(AL397*N(INDEX(p_rates,2)),2)+ROUND(AM397*N(INDEX(p_rates,3)),2)+ROUND(AN397*N(INDEX(p_rates,4)),2)+ROUND(AO397*N(INDEX(p_rates,5)),2)+ROUND(AP397*N(INDEX(p_rates,6)),2)</f>
        <v>0.0</v>
      </c>
      <c r="AR397" s="62" t="str">
        <f>IF(OR(L397="",AA397&lt;&gt;"Facture"),"",IFERROR(IF(INDEX(fa_type,MATCH(L397,fa_num,0))="Facture d'acompte",MATCH(L397,fa_num,0),""),""))</f>
        <v/>
      </c>
      <c r="AS397" s="62" t="str">
        <f>IF(W397="","",IF(W397&lt;=0,"",IF(p_asof-P397&lt;=0,"Non échu",IF(p_asof-P397&lt;=30,"1-30 j",IF(p_asof-P397&lt;=60,"31-60 j",IF(p_asof-P397&lt;=90,"61-90 j","Plus de 90 j"))))))</f>
        <v/>
      </c>
      <c r="AT397" s="62" t="str">
        <f>IF(AS397="","",p_asof-P397)</f>
        <v/>
      </c>
      <c r="AU397" s="62" t="str">
        <f>IF(AT397="","",COUNTIF($AT$6:$AT$805,"&gt;"&amp;AT397)+COUNTIF($AT$6:AT397,AT397))</f>
        <v/>
      </c>
    </row>
    <row r="398">
      <c r="A398" s="59" t="str">
        <f>IF(AE398="","",AB398&amp;"-"&amp;AD398&amp;"-"&amp;RIGHT("000"&amp;AE398,4))</f>
        <v/>
      </c>
      <c r="B398" s="60" t="n"/>
      <c r="C398" s="61" t="n"/>
      <c r="D398" s="60" t="n"/>
      <c r="E398" s="62" t="str">
        <f>IF(D398="","",IFERROR(INDEX(cli_name,MATCH(D398,cli_code,0))&amp;"","Client inconnu"))</f>
        <v/>
      </c>
      <c r="F398" s="60" t="n"/>
      <c r="G398" s="63" t="n"/>
      <c r="H398" s="61" t="n"/>
      <c r="I398" s="63" t="n"/>
      <c r="J398" s="60" t="n"/>
      <c r="K398" s="61" t="n"/>
      <c r="L398" s="60" t="n"/>
      <c r="M398" s="60" t="n"/>
      <c r="N398" s="60" t="n"/>
      <c r="O398" s="61" t="n"/>
      <c r="P398" s="64" t="str">
        <f>IF(A398="","",IF(AA398="Avoir",AC398,IF(ISNUMBER(K398),K398,AC398+IF(D398="",N(p_delay),IFERROR(IF(ISNUMBER(INDEX(cli_delay,MATCH(D398,cli_code,0))),INDEX(cli_delay,MATCH(D398,cli_code,0)),N(p_delay)),N(p_delay))))))</f>
        <v/>
      </c>
      <c r="Q398" s="65" t="str">
        <f>IF(A398="","",IF(AA398="Avoir",-1,1)*ROUND(AJ398-IF(AR398="",0,INDEX(fa_htb,AR398)),2))</f>
        <v/>
      </c>
      <c r="R398" s="65" t="str">
        <f>IF(A398="","",IF(AA398="Avoir",-1,1)*ROUND(AQ398-IF(AR398="",0,INDEX(fa_tvab,AR398)),2))</f>
        <v/>
      </c>
      <c r="S398" s="65" t="str">
        <f>IF(A398="","",Q398+R398)</f>
        <v/>
      </c>
      <c r="T398" s="65" t="str">
        <f>IF(AR398="","",INDEX(fa_htb,AR398)+INDEX(fa_tvab,AR398))</f>
        <v/>
      </c>
      <c r="U398" s="65" t="str">
        <f>IF(A398="","",SUMIF(pa_inv,A398,pa_amt))</f>
        <v/>
      </c>
      <c r="V398" s="65" t="str">
        <f>IF(OR(A398="",AA398="Avoir"),"",-SUMIFS(fa_ttc,fa_avof,A398,fa_type,"Avoir"))</f>
        <v/>
      </c>
      <c r="W398" s="65" t="str">
        <f>IF(OR(A398="",AA398="Avoir"),"",ROUND(S398-U398-V398,2))</f>
        <v/>
      </c>
      <c r="X398" s="66" t="str">
        <f>IF(W398="","",IF(AND(W398&gt;0,p_asof&gt;P398),p_asof-P398,""))</f>
        <v/>
      </c>
      <c r="Y398" s="59" t="str">
        <f>IF(A398="","",IF(AA398="Avoir","Avoir",IF(W398&lt;0,"Trop-perçu",IF(W398=0,"Soldée",IF(p_asof&gt;P398,"En retard",IF(U398+V398&gt;0,"Partielle","À échoir"))))))</f>
        <v/>
      </c>
      <c r="Z398" s="59" t="str">
        <f>IF(NOT(COUNTA(B398:D398,F398:O398)&gt;0),"",IF(C398="","Date manquante",IF(NOT(ISNUMBER(C398)),"Date invalide",IF(D398="","Client manquant",IF(ISNA(MATCH(D398,cli_code,0)),"Client inconnu",IF(AC398&lt;SUMPRODUCT(MAX(($AB$6:AB397=AB398)*$AC$6:AC397)),"Date antérieure à la facture précédente",IF(AND(F398&lt;&gt;"",ISNA(MATCH(F398,dv_num,0))),"Devis inconnu",IF(AND(F398&lt;&gt;"",IFERROR(INDEX(dv_client,MATCH(F398,dv_num,0)),D398)&lt;&gt;D398),"Client différent de celui du devis",IF(AG398="","Aucune ligne : saisissez des lignes ou un devis",IF(AND(AI398&lt;&gt;"",COUNTIF($AI$6:AI398,AI398)&gt;1),"Devis déjà repris par une autre facture",IF(AND(AA398="Avoir",M398=""),"Avoir : indiquez la facture d'origine",IF(AND(AA398="Avoir",ISNA(MATCH(M398,fa_num,0))),"Facture d'origine inconnue",IF(AND(AA398&lt;&gt;"Avoir",M398&lt;&gt;""),"« Avoir sur facture » : réservé aux avoirs",IF(AND(L398&lt;&gt;"",AA398&lt;&gt;"Facture"),"Acompte à déduire : réservé aux factures",IF(AND(L398&lt;&gt;"",ISNA(MATCH(L398,fa_num,0))),"Facture d'acompte inconnue",IF(AND(L398&lt;&gt;"",IFERROR(INDEX(fa_type,MATCH(L398,fa_num,0)),"")&lt;&gt;"Facture d'acompte"),"Le n° à déduire n'est pas une facture d'acompte",IF(AND(L398&lt;&gt;"",COUNTIF($L$6:L398,L398)&gt;1),"Acompte déjà déduit sur une autre facture",IF(AND(L398&lt;&gt;"",IFERROR(INDEX(fa_client,MATCH(L398,fa_num,0)),D398)&lt;&gt;D398),"Acompte d'un autre client",IF(AND(AR398&lt;&gt;"",N(Q398)&lt;0),"Acompte supérieur au total de la facture",IF(IF(AG398="Facture",COUNTIFS(fl_doc,A398,fl_check,"&lt;&gt;OK"),IF(AG398="Devis",COUNTIFS(dl_doc,F398,dl_check,"&lt;&gt;OK"),0))&gt;0,"Ligne(s) à corriger",IF(AND(W398&lt;&gt;"",N(W398)&lt;0),"Trop-perçu : vérifiez paiements et avoirs","OK")))))))))))))))))))))</f>
        <v/>
      </c>
      <c r="AA398" s="62" t="str">
        <f>IF(COUNTA(B398:D398,F398:O398)&gt;0,IF(B398="","Facture",B398),"")</f>
        <v/>
      </c>
      <c r="AB398" s="62" t="str">
        <f>IF(AA398="","",IF(AA398="Avoir",p_pav,IF(AA398="Facture d'acompte",p_pac,p_pfa)))</f>
        <v/>
      </c>
      <c r="AC398" s="62">
        <f>IF(ISNUMBER(C398),C398,0)</f>
        <v>0.0</v>
      </c>
      <c r="AD398" s="62" t="str">
        <f>IF(OR(AA398="",AC398=0),"",YEAR(AC398))</f>
        <v/>
      </c>
      <c r="AE398" s="62" t="str">
        <f>IF(AD398="","",COUNTIFS($AB$6:AB398,AB398,$AD$6:AD398,AD398))</f>
        <v/>
      </c>
      <c r="AF398" s="62">
        <f>IF(A398="",0,COUNTIF(fl_doc,A398))</f>
        <v>0.0</v>
      </c>
      <c r="AG398" s="62" t="str">
        <f>IF(A398="","",IF(AF398&gt;0,"Facture",IF(AND(F398&lt;&gt;"",AA398="Facture",ISNUMBER(MATCH(F398,dv_num,0))),"Devis","")))</f>
        <v/>
      </c>
      <c r="AH398" s="62" t="str">
        <f>IF(AND(A398&lt;&gt;"",F398&lt;&gt;"",AA398&lt;&gt;"Avoir"),F398,"")</f>
        <v/>
      </c>
      <c r="AI398" s="62" t="str">
        <f>IF(AG398="Devis",F398,"")</f>
        <v/>
      </c>
      <c r="AJ398" s="62">
        <f>IF(AG398="Facture",SUMIF(fl_doc,A398,fl_ht),IF(AG398="Devis",SUMIF(dl_doc,F398,dl_ht),0))</f>
        <v>0.0</v>
      </c>
      <c r="AK398" s="62">
        <f>IF(OR(AG398="",INDEX(p_rates,1)=""),0,IF(AG398="Facture",SUMIFS(fl_ht,fl_doc,A398,fl_rate,INDEX(p_rates,1)),SUMIFS(dl_ht,dl_doc,F398,dl_rate,INDEX(p_rates,1))))</f>
        <v>0.0</v>
      </c>
      <c r="AL398" s="62">
        <f>IF(OR(AG398="",INDEX(p_rates,2)=""),0,IF(AG398="Facture",SUMIFS(fl_ht,fl_doc,A398,fl_rate,INDEX(p_rates,2)),SUMIFS(dl_ht,dl_doc,F398,dl_rate,INDEX(p_rates,2))))</f>
        <v>0.0</v>
      </c>
      <c r="AM398" s="62">
        <f>IF(OR(AG398="",INDEX(p_rates,3)=""),0,IF(AG398="Facture",SUMIFS(fl_ht,fl_doc,A398,fl_rate,INDEX(p_rates,3)),SUMIFS(dl_ht,dl_doc,F398,dl_rate,INDEX(p_rates,3))))</f>
        <v>0.0</v>
      </c>
      <c r="AN398" s="62">
        <f>IF(OR(AG398="",INDEX(p_rates,4)=""),0,IF(AG398="Facture",SUMIFS(fl_ht,fl_doc,A398,fl_rate,INDEX(p_rates,4)),SUMIFS(dl_ht,dl_doc,F398,dl_rate,INDEX(p_rates,4))))</f>
        <v>0.0</v>
      </c>
      <c r="AO398" s="62">
        <f>IF(OR(AG398="",INDEX(p_rates,5)=""),0,IF(AG398="Facture",SUMIFS(fl_ht,fl_doc,A398,fl_rate,INDEX(p_rates,5)),SUMIFS(dl_ht,dl_doc,F398,dl_rate,INDEX(p_rates,5))))</f>
        <v>0.0</v>
      </c>
      <c r="AP398" s="62">
        <f>IF(OR(AG398="",INDEX(p_rates,6)=""),0,IF(AG398="Facture",SUMIFS(fl_ht,fl_doc,A398,fl_rate,INDEX(p_rates,6)),SUMIFS(dl_ht,dl_doc,F398,dl_rate,INDEX(p_rates,6))))</f>
        <v>0.0</v>
      </c>
      <c r="AQ398" s="62">
        <f>ROUND(AK398*N(INDEX(p_rates,1)),2)+ROUND(AL398*N(INDEX(p_rates,2)),2)+ROUND(AM398*N(INDEX(p_rates,3)),2)+ROUND(AN398*N(INDEX(p_rates,4)),2)+ROUND(AO398*N(INDEX(p_rates,5)),2)+ROUND(AP398*N(INDEX(p_rates,6)),2)</f>
        <v>0.0</v>
      </c>
      <c r="AR398" s="62" t="str">
        <f>IF(OR(L398="",AA398&lt;&gt;"Facture"),"",IFERROR(IF(INDEX(fa_type,MATCH(L398,fa_num,0))="Facture d'acompte",MATCH(L398,fa_num,0),""),""))</f>
        <v/>
      </c>
      <c r="AS398" s="62" t="str">
        <f>IF(W398="","",IF(W398&lt;=0,"",IF(p_asof-P398&lt;=0,"Non échu",IF(p_asof-P398&lt;=30,"1-30 j",IF(p_asof-P398&lt;=60,"31-60 j",IF(p_asof-P398&lt;=90,"61-90 j","Plus de 90 j"))))))</f>
        <v/>
      </c>
      <c r="AT398" s="62" t="str">
        <f>IF(AS398="","",p_asof-P398)</f>
        <v/>
      </c>
      <c r="AU398" s="62" t="str">
        <f>IF(AT398="","",COUNTIF($AT$6:$AT$805,"&gt;"&amp;AT398)+COUNTIF($AT$6:AT398,AT398))</f>
        <v/>
      </c>
    </row>
    <row r="399">
      <c r="A399" s="59" t="str">
        <f>IF(AE399="","",AB399&amp;"-"&amp;AD399&amp;"-"&amp;RIGHT("000"&amp;AE399,4))</f>
        <v/>
      </c>
      <c r="B399" s="60" t="n"/>
      <c r="C399" s="61" t="n"/>
      <c r="D399" s="60" t="n"/>
      <c r="E399" s="62" t="str">
        <f>IF(D399="","",IFERROR(INDEX(cli_name,MATCH(D399,cli_code,0))&amp;"","Client inconnu"))</f>
        <v/>
      </c>
      <c r="F399" s="60" t="n"/>
      <c r="G399" s="63" t="n"/>
      <c r="H399" s="61" t="n"/>
      <c r="I399" s="63" t="n"/>
      <c r="J399" s="60" t="n"/>
      <c r="K399" s="61" t="n"/>
      <c r="L399" s="60" t="n"/>
      <c r="M399" s="60" t="n"/>
      <c r="N399" s="60" t="n"/>
      <c r="O399" s="61" t="n"/>
      <c r="P399" s="64" t="str">
        <f>IF(A399="","",IF(AA399="Avoir",AC399,IF(ISNUMBER(K399),K399,AC399+IF(D399="",N(p_delay),IFERROR(IF(ISNUMBER(INDEX(cli_delay,MATCH(D399,cli_code,0))),INDEX(cli_delay,MATCH(D399,cli_code,0)),N(p_delay)),N(p_delay))))))</f>
        <v/>
      </c>
      <c r="Q399" s="65" t="str">
        <f>IF(A399="","",IF(AA399="Avoir",-1,1)*ROUND(AJ399-IF(AR399="",0,INDEX(fa_htb,AR399)),2))</f>
        <v/>
      </c>
      <c r="R399" s="65" t="str">
        <f>IF(A399="","",IF(AA399="Avoir",-1,1)*ROUND(AQ399-IF(AR399="",0,INDEX(fa_tvab,AR399)),2))</f>
        <v/>
      </c>
      <c r="S399" s="65" t="str">
        <f>IF(A399="","",Q399+R399)</f>
        <v/>
      </c>
      <c r="T399" s="65" t="str">
        <f>IF(AR399="","",INDEX(fa_htb,AR399)+INDEX(fa_tvab,AR399))</f>
        <v/>
      </c>
      <c r="U399" s="65" t="str">
        <f>IF(A399="","",SUMIF(pa_inv,A399,pa_amt))</f>
        <v/>
      </c>
      <c r="V399" s="65" t="str">
        <f>IF(OR(A399="",AA399="Avoir"),"",-SUMIFS(fa_ttc,fa_avof,A399,fa_type,"Avoir"))</f>
        <v/>
      </c>
      <c r="W399" s="65" t="str">
        <f>IF(OR(A399="",AA399="Avoir"),"",ROUND(S399-U399-V399,2))</f>
        <v/>
      </c>
      <c r="X399" s="66" t="str">
        <f>IF(W399="","",IF(AND(W399&gt;0,p_asof&gt;P399),p_asof-P399,""))</f>
        <v/>
      </c>
      <c r="Y399" s="59" t="str">
        <f>IF(A399="","",IF(AA399="Avoir","Avoir",IF(W399&lt;0,"Trop-perçu",IF(W399=0,"Soldée",IF(p_asof&gt;P399,"En retard",IF(U399+V399&gt;0,"Partielle","À échoir"))))))</f>
        <v/>
      </c>
      <c r="Z399" s="59" t="str">
        <f>IF(NOT(COUNTA(B399:D399,F399:O399)&gt;0),"",IF(C399="","Date manquante",IF(NOT(ISNUMBER(C399)),"Date invalide",IF(D399="","Client manquant",IF(ISNA(MATCH(D399,cli_code,0)),"Client inconnu",IF(AC399&lt;SUMPRODUCT(MAX(($AB$6:AB398=AB399)*$AC$6:AC398)),"Date antérieure à la facture précédente",IF(AND(F399&lt;&gt;"",ISNA(MATCH(F399,dv_num,0))),"Devis inconnu",IF(AND(F399&lt;&gt;"",IFERROR(INDEX(dv_client,MATCH(F399,dv_num,0)),D399)&lt;&gt;D399),"Client différent de celui du devis",IF(AG399="","Aucune ligne : saisissez des lignes ou un devis",IF(AND(AI399&lt;&gt;"",COUNTIF($AI$6:AI399,AI399)&gt;1),"Devis déjà repris par une autre facture",IF(AND(AA399="Avoir",M399=""),"Avoir : indiquez la facture d'origine",IF(AND(AA399="Avoir",ISNA(MATCH(M399,fa_num,0))),"Facture d'origine inconnue",IF(AND(AA399&lt;&gt;"Avoir",M399&lt;&gt;""),"« Avoir sur facture » : réservé aux avoirs",IF(AND(L399&lt;&gt;"",AA399&lt;&gt;"Facture"),"Acompte à déduire : réservé aux factures",IF(AND(L399&lt;&gt;"",ISNA(MATCH(L399,fa_num,0))),"Facture d'acompte inconnue",IF(AND(L399&lt;&gt;"",IFERROR(INDEX(fa_type,MATCH(L399,fa_num,0)),"")&lt;&gt;"Facture d'acompte"),"Le n° à déduire n'est pas une facture d'acompte",IF(AND(L399&lt;&gt;"",COUNTIF($L$6:L399,L399)&gt;1),"Acompte déjà déduit sur une autre facture",IF(AND(L399&lt;&gt;"",IFERROR(INDEX(fa_client,MATCH(L399,fa_num,0)),D399)&lt;&gt;D399),"Acompte d'un autre client",IF(AND(AR399&lt;&gt;"",N(Q399)&lt;0),"Acompte supérieur au total de la facture",IF(IF(AG399="Facture",COUNTIFS(fl_doc,A399,fl_check,"&lt;&gt;OK"),IF(AG399="Devis",COUNTIFS(dl_doc,F399,dl_check,"&lt;&gt;OK"),0))&gt;0,"Ligne(s) à corriger",IF(AND(W399&lt;&gt;"",N(W399)&lt;0),"Trop-perçu : vérifiez paiements et avoirs","OK")))))))))))))))))))))</f>
        <v/>
      </c>
      <c r="AA399" s="62" t="str">
        <f>IF(COUNTA(B399:D399,F399:O399)&gt;0,IF(B399="","Facture",B399),"")</f>
        <v/>
      </c>
      <c r="AB399" s="62" t="str">
        <f>IF(AA399="","",IF(AA399="Avoir",p_pav,IF(AA399="Facture d'acompte",p_pac,p_pfa)))</f>
        <v/>
      </c>
      <c r="AC399" s="62">
        <f>IF(ISNUMBER(C399),C399,0)</f>
        <v>0.0</v>
      </c>
      <c r="AD399" s="62" t="str">
        <f>IF(OR(AA399="",AC399=0),"",YEAR(AC399))</f>
        <v/>
      </c>
      <c r="AE399" s="62" t="str">
        <f>IF(AD399="","",COUNTIFS($AB$6:AB399,AB399,$AD$6:AD399,AD399))</f>
        <v/>
      </c>
      <c r="AF399" s="62">
        <f>IF(A399="",0,COUNTIF(fl_doc,A399))</f>
        <v>0.0</v>
      </c>
      <c r="AG399" s="62" t="str">
        <f>IF(A399="","",IF(AF399&gt;0,"Facture",IF(AND(F399&lt;&gt;"",AA399="Facture",ISNUMBER(MATCH(F399,dv_num,0))),"Devis","")))</f>
        <v/>
      </c>
      <c r="AH399" s="62" t="str">
        <f>IF(AND(A399&lt;&gt;"",F399&lt;&gt;"",AA399&lt;&gt;"Avoir"),F399,"")</f>
        <v/>
      </c>
      <c r="AI399" s="62" t="str">
        <f>IF(AG399="Devis",F399,"")</f>
        <v/>
      </c>
      <c r="AJ399" s="62">
        <f>IF(AG399="Facture",SUMIF(fl_doc,A399,fl_ht),IF(AG399="Devis",SUMIF(dl_doc,F399,dl_ht),0))</f>
        <v>0.0</v>
      </c>
      <c r="AK399" s="62">
        <f>IF(OR(AG399="",INDEX(p_rates,1)=""),0,IF(AG399="Facture",SUMIFS(fl_ht,fl_doc,A399,fl_rate,INDEX(p_rates,1)),SUMIFS(dl_ht,dl_doc,F399,dl_rate,INDEX(p_rates,1))))</f>
        <v>0.0</v>
      </c>
      <c r="AL399" s="62">
        <f>IF(OR(AG399="",INDEX(p_rates,2)=""),0,IF(AG399="Facture",SUMIFS(fl_ht,fl_doc,A399,fl_rate,INDEX(p_rates,2)),SUMIFS(dl_ht,dl_doc,F399,dl_rate,INDEX(p_rates,2))))</f>
        <v>0.0</v>
      </c>
      <c r="AM399" s="62">
        <f>IF(OR(AG399="",INDEX(p_rates,3)=""),0,IF(AG399="Facture",SUMIFS(fl_ht,fl_doc,A399,fl_rate,INDEX(p_rates,3)),SUMIFS(dl_ht,dl_doc,F399,dl_rate,INDEX(p_rates,3))))</f>
        <v>0.0</v>
      </c>
      <c r="AN399" s="62">
        <f>IF(OR(AG399="",INDEX(p_rates,4)=""),0,IF(AG399="Facture",SUMIFS(fl_ht,fl_doc,A399,fl_rate,INDEX(p_rates,4)),SUMIFS(dl_ht,dl_doc,F399,dl_rate,INDEX(p_rates,4))))</f>
        <v>0.0</v>
      </c>
      <c r="AO399" s="62">
        <f>IF(OR(AG399="",INDEX(p_rates,5)=""),0,IF(AG399="Facture",SUMIFS(fl_ht,fl_doc,A399,fl_rate,INDEX(p_rates,5)),SUMIFS(dl_ht,dl_doc,F399,dl_rate,INDEX(p_rates,5))))</f>
        <v>0.0</v>
      </c>
      <c r="AP399" s="62">
        <f>IF(OR(AG399="",INDEX(p_rates,6)=""),0,IF(AG399="Facture",SUMIFS(fl_ht,fl_doc,A399,fl_rate,INDEX(p_rates,6)),SUMIFS(dl_ht,dl_doc,F399,dl_rate,INDEX(p_rates,6))))</f>
        <v>0.0</v>
      </c>
      <c r="AQ399" s="62">
        <f>ROUND(AK399*N(INDEX(p_rates,1)),2)+ROUND(AL399*N(INDEX(p_rates,2)),2)+ROUND(AM399*N(INDEX(p_rates,3)),2)+ROUND(AN399*N(INDEX(p_rates,4)),2)+ROUND(AO399*N(INDEX(p_rates,5)),2)+ROUND(AP399*N(INDEX(p_rates,6)),2)</f>
        <v>0.0</v>
      </c>
      <c r="AR399" s="62" t="str">
        <f>IF(OR(L399="",AA399&lt;&gt;"Facture"),"",IFERROR(IF(INDEX(fa_type,MATCH(L399,fa_num,0))="Facture d'acompte",MATCH(L399,fa_num,0),""),""))</f>
        <v/>
      </c>
      <c r="AS399" s="62" t="str">
        <f>IF(W399="","",IF(W399&lt;=0,"",IF(p_asof-P399&lt;=0,"Non échu",IF(p_asof-P399&lt;=30,"1-30 j",IF(p_asof-P399&lt;=60,"31-60 j",IF(p_asof-P399&lt;=90,"61-90 j","Plus de 90 j"))))))</f>
        <v/>
      </c>
      <c r="AT399" s="62" t="str">
        <f>IF(AS399="","",p_asof-P399)</f>
        <v/>
      </c>
      <c r="AU399" s="62" t="str">
        <f>IF(AT399="","",COUNTIF($AT$6:$AT$805,"&gt;"&amp;AT399)+COUNTIF($AT$6:AT399,AT399))</f>
        <v/>
      </c>
    </row>
    <row r="400">
      <c r="A400" s="59" t="str">
        <f>IF(AE400="","",AB400&amp;"-"&amp;AD400&amp;"-"&amp;RIGHT("000"&amp;AE400,4))</f>
        <v/>
      </c>
      <c r="B400" s="60" t="n"/>
      <c r="C400" s="61" t="n"/>
      <c r="D400" s="60" t="n"/>
      <c r="E400" s="62" t="str">
        <f>IF(D400="","",IFERROR(INDEX(cli_name,MATCH(D400,cli_code,0))&amp;"","Client inconnu"))</f>
        <v/>
      </c>
      <c r="F400" s="60" t="n"/>
      <c r="G400" s="63" t="n"/>
      <c r="H400" s="61" t="n"/>
      <c r="I400" s="63" t="n"/>
      <c r="J400" s="60" t="n"/>
      <c r="K400" s="61" t="n"/>
      <c r="L400" s="60" t="n"/>
      <c r="M400" s="60" t="n"/>
      <c r="N400" s="60" t="n"/>
      <c r="O400" s="61" t="n"/>
      <c r="P400" s="64" t="str">
        <f>IF(A400="","",IF(AA400="Avoir",AC400,IF(ISNUMBER(K400),K400,AC400+IF(D400="",N(p_delay),IFERROR(IF(ISNUMBER(INDEX(cli_delay,MATCH(D400,cli_code,0))),INDEX(cli_delay,MATCH(D400,cli_code,0)),N(p_delay)),N(p_delay))))))</f>
        <v/>
      </c>
      <c r="Q400" s="65" t="str">
        <f>IF(A400="","",IF(AA400="Avoir",-1,1)*ROUND(AJ400-IF(AR400="",0,INDEX(fa_htb,AR400)),2))</f>
        <v/>
      </c>
      <c r="R400" s="65" t="str">
        <f>IF(A400="","",IF(AA400="Avoir",-1,1)*ROUND(AQ400-IF(AR400="",0,INDEX(fa_tvab,AR400)),2))</f>
        <v/>
      </c>
      <c r="S400" s="65" t="str">
        <f>IF(A400="","",Q400+R400)</f>
        <v/>
      </c>
      <c r="T400" s="65" t="str">
        <f>IF(AR400="","",INDEX(fa_htb,AR400)+INDEX(fa_tvab,AR400))</f>
        <v/>
      </c>
      <c r="U400" s="65" t="str">
        <f>IF(A400="","",SUMIF(pa_inv,A400,pa_amt))</f>
        <v/>
      </c>
      <c r="V400" s="65" t="str">
        <f>IF(OR(A400="",AA400="Avoir"),"",-SUMIFS(fa_ttc,fa_avof,A400,fa_type,"Avoir"))</f>
        <v/>
      </c>
      <c r="W400" s="65" t="str">
        <f>IF(OR(A400="",AA400="Avoir"),"",ROUND(S400-U400-V400,2))</f>
        <v/>
      </c>
      <c r="X400" s="66" t="str">
        <f>IF(W400="","",IF(AND(W400&gt;0,p_asof&gt;P400),p_asof-P400,""))</f>
        <v/>
      </c>
      <c r="Y400" s="59" t="str">
        <f>IF(A400="","",IF(AA400="Avoir","Avoir",IF(W400&lt;0,"Trop-perçu",IF(W400=0,"Soldée",IF(p_asof&gt;P400,"En retard",IF(U400+V400&gt;0,"Partielle","À échoir"))))))</f>
        <v/>
      </c>
      <c r="Z400" s="59" t="str">
        <f>IF(NOT(COUNTA(B400:D400,F400:O400)&gt;0),"",IF(C400="","Date manquante",IF(NOT(ISNUMBER(C400)),"Date invalide",IF(D400="","Client manquant",IF(ISNA(MATCH(D400,cli_code,0)),"Client inconnu",IF(AC400&lt;SUMPRODUCT(MAX(($AB$6:AB399=AB400)*$AC$6:AC399)),"Date antérieure à la facture précédente",IF(AND(F400&lt;&gt;"",ISNA(MATCH(F400,dv_num,0))),"Devis inconnu",IF(AND(F400&lt;&gt;"",IFERROR(INDEX(dv_client,MATCH(F400,dv_num,0)),D400)&lt;&gt;D400),"Client différent de celui du devis",IF(AG400="","Aucune ligne : saisissez des lignes ou un devis",IF(AND(AI400&lt;&gt;"",COUNTIF($AI$6:AI400,AI400)&gt;1),"Devis déjà repris par une autre facture",IF(AND(AA400="Avoir",M400=""),"Avoir : indiquez la facture d'origine",IF(AND(AA400="Avoir",ISNA(MATCH(M400,fa_num,0))),"Facture d'origine inconnue",IF(AND(AA400&lt;&gt;"Avoir",M400&lt;&gt;""),"« Avoir sur facture » : réservé aux avoirs",IF(AND(L400&lt;&gt;"",AA400&lt;&gt;"Facture"),"Acompte à déduire : réservé aux factures",IF(AND(L400&lt;&gt;"",ISNA(MATCH(L400,fa_num,0))),"Facture d'acompte inconnue",IF(AND(L400&lt;&gt;"",IFERROR(INDEX(fa_type,MATCH(L400,fa_num,0)),"")&lt;&gt;"Facture d'acompte"),"Le n° à déduire n'est pas une facture d'acompte",IF(AND(L400&lt;&gt;"",COUNTIF($L$6:L400,L400)&gt;1),"Acompte déjà déduit sur une autre facture",IF(AND(L400&lt;&gt;"",IFERROR(INDEX(fa_client,MATCH(L400,fa_num,0)),D400)&lt;&gt;D400),"Acompte d'un autre client",IF(AND(AR400&lt;&gt;"",N(Q400)&lt;0),"Acompte supérieur au total de la facture",IF(IF(AG400="Facture",COUNTIFS(fl_doc,A400,fl_check,"&lt;&gt;OK"),IF(AG400="Devis",COUNTIFS(dl_doc,F400,dl_check,"&lt;&gt;OK"),0))&gt;0,"Ligne(s) à corriger",IF(AND(W400&lt;&gt;"",N(W400)&lt;0),"Trop-perçu : vérifiez paiements et avoirs","OK")))))))))))))))))))))</f>
        <v/>
      </c>
      <c r="AA400" s="62" t="str">
        <f>IF(COUNTA(B400:D400,F400:O400)&gt;0,IF(B400="","Facture",B400),"")</f>
        <v/>
      </c>
      <c r="AB400" s="62" t="str">
        <f>IF(AA400="","",IF(AA400="Avoir",p_pav,IF(AA400="Facture d'acompte",p_pac,p_pfa)))</f>
        <v/>
      </c>
      <c r="AC400" s="62">
        <f>IF(ISNUMBER(C400),C400,0)</f>
        <v>0.0</v>
      </c>
      <c r="AD400" s="62" t="str">
        <f>IF(OR(AA400="",AC400=0),"",YEAR(AC400))</f>
        <v/>
      </c>
      <c r="AE400" s="62" t="str">
        <f>IF(AD400="","",COUNTIFS($AB$6:AB400,AB400,$AD$6:AD400,AD400))</f>
        <v/>
      </c>
      <c r="AF400" s="62">
        <f>IF(A400="",0,COUNTIF(fl_doc,A400))</f>
        <v>0.0</v>
      </c>
      <c r="AG400" s="62" t="str">
        <f>IF(A400="","",IF(AF400&gt;0,"Facture",IF(AND(F400&lt;&gt;"",AA400="Facture",ISNUMBER(MATCH(F400,dv_num,0))),"Devis","")))</f>
        <v/>
      </c>
      <c r="AH400" s="62" t="str">
        <f>IF(AND(A400&lt;&gt;"",F400&lt;&gt;"",AA400&lt;&gt;"Avoir"),F400,"")</f>
        <v/>
      </c>
      <c r="AI400" s="62" t="str">
        <f>IF(AG400="Devis",F400,"")</f>
        <v/>
      </c>
      <c r="AJ400" s="62">
        <f>IF(AG400="Facture",SUMIF(fl_doc,A400,fl_ht),IF(AG400="Devis",SUMIF(dl_doc,F400,dl_ht),0))</f>
        <v>0.0</v>
      </c>
      <c r="AK400" s="62">
        <f>IF(OR(AG400="",INDEX(p_rates,1)=""),0,IF(AG400="Facture",SUMIFS(fl_ht,fl_doc,A400,fl_rate,INDEX(p_rates,1)),SUMIFS(dl_ht,dl_doc,F400,dl_rate,INDEX(p_rates,1))))</f>
        <v>0.0</v>
      </c>
      <c r="AL400" s="62">
        <f>IF(OR(AG400="",INDEX(p_rates,2)=""),0,IF(AG400="Facture",SUMIFS(fl_ht,fl_doc,A400,fl_rate,INDEX(p_rates,2)),SUMIFS(dl_ht,dl_doc,F400,dl_rate,INDEX(p_rates,2))))</f>
        <v>0.0</v>
      </c>
      <c r="AM400" s="62">
        <f>IF(OR(AG400="",INDEX(p_rates,3)=""),0,IF(AG400="Facture",SUMIFS(fl_ht,fl_doc,A400,fl_rate,INDEX(p_rates,3)),SUMIFS(dl_ht,dl_doc,F400,dl_rate,INDEX(p_rates,3))))</f>
        <v>0.0</v>
      </c>
      <c r="AN400" s="62">
        <f>IF(OR(AG400="",INDEX(p_rates,4)=""),0,IF(AG400="Facture",SUMIFS(fl_ht,fl_doc,A400,fl_rate,INDEX(p_rates,4)),SUMIFS(dl_ht,dl_doc,F400,dl_rate,INDEX(p_rates,4))))</f>
        <v>0.0</v>
      </c>
      <c r="AO400" s="62">
        <f>IF(OR(AG400="",INDEX(p_rates,5)=""),0,IF(AG400="Facture",SUMIFS(fl_ht,fl_doc,A400,fl_rate,INDEX(p_rates,5)),SUMIFS(dl_ht,dl_doc,F400,dl_rate,INDEX(p_rates,5))))</f>
        <v>0.0</v>
      </c>
      <c r="AP400" s="62">
        <f>IF(OR(AG400="",INDEX(p_rates,6)=""),0,IF(AG400="Facture",SUMIFS(fl_ht,fl_doc,A400,fl_rate,INDEX(p_rates,6)),SUMIFS(dl_ht,dl_doc,F400,dl_rate,INDEX(p_rates,6))))</f>
        <v>0.0</v>
      </c>
      <c r="AQ400" s="62">
        <f>ROUND(AK400*N(INDEX(p_rates,1)),2)+ROUND(AL400*N(INDEX(p_rates,2)),2)+ROUND(AM400*N(INDEX(p_rates,3)),2)+ROUND(AN400*N(INDEX(p_rates,4)),2)+ROUND(AO400*N(INDEX(p_rates,5)),2)+ROUND(AP400*N(INDEX(p_rates,6)),2)</f>
        <v>0.0</v>
      </c>
      <c r="AR400" s="62" t="str">
        <f>IF(OR(L400="",AA400&lt;&gt;"Facture"),"",IFERROR(IF(INDEX(fa_type,MATCH(L400,fa_num,0))="Facture d'acompte",MATCH(L400,fa_num,0),""),""))</f>
        <v/>
      </c>
      <c r="AS400" s="62" t="str">
        <f>IF(W400="","",IF(W400&lt;=0,"",IF(p_asof-P400&lt;=0,"Non échu",IF(p_asof-P400&lt;=30,"1-30 j",IF(p_asof-P400&lt;=60,"31-60 j",IF(p_asof-P400&lt;=90,"61-90 j","Plus de 90 j"))))))</f>
        <v/>
      </c>
      <c r="AT400" s="62" t="str">
        <f>IF(AS400="","",p_asof-P400)</f>
        <v/>
      </c>
      <c r="AU400" s="62" t="str">
        <f>IF(AT400="","",COUNTIF($AT$6:$AT$805,"&gt;"&amp;AT400)+COUNTIF($AT$6:AT400,AT400))</f>
        <v/>
      </c>
    </row>
    <row r="401">
      <c r="A401" s="59" t="str">
        <f>IF(AE401="","",AB401&amp;"-"&amp;AD401&amp;"-"&amp;RIGHT("000"&amp;AE401,4))</f>
        <v/>
      </c>
      <c r="B401" s="60" t="n"/>
      <c r="C401" s="61" t="n"/>
      <c r="D401" s="60" t="n"/>
      <c r="E401" s="62" t="str">
        <f>IF(D401="","",IFERROR(INDEX(cli_name,MATCH(D401,cli_code,0))&amp;"","Client inconnu"))</f>
        <v/>
      </c>
      <c r="F401" s="60" t="n"/>
      <c r="G401" s="63" t="n"/>
      <c r="H401" s="61" t="n"/>
      <c r="I401" s="63" t="n"/>
      <c r="J401" s="60" t="n"/>
      <c r="K401" s="61" t="n"/>
      <c r="L401" s="60" t="n"/>
      <c r="M401" s="60" t="n"/>
      <c r="N401" s="60" t="n"/>
      <c r="O401" s="61" t="n"/>
      <c r="P401" s="64" t="str">
        <f>IF(A401="","",IF(AA401="Avoir",AC401,IF(ISNUMBER(K401),K401,AC401+IF(D401="",N(p_delay),IFERROR(IF(ISNUMBER(INDEX(cli_delay,MATCH(D401,cli_code,0))),INDEX(cli_delay,MATCH(D401,cli_code,0)),N(p_delay)),N(p_delay))))))</f>
        <v/>
      </c>
      <c r="Q401" s="65" t="str">
        <f>IF(A401="","",IF(AA401="Avoir",-1,1)*ROUND(AJ401-IF(AR401="",0,INDEX(fa_htb,AR401)),2))</f>
        <v/>
      </c>
      <c r="R401" s="65" t="str">
        <f>IF(A401="","",IF(AA401="Avoir",-1,1)*ROUND(AQ401-IF(AR401="",0,INDEX(fa_tvab,AR401)),2))</f>
        <v/>
      </c>
      <c r="S401" s="65" t="str">
        <f>IF(A401="","",Q401+R401)</f>
        <v/>
      </c>
      <c r="T401" s="65" t="str">
        <f>IF(AR401="","",INDEX(fa_htb,AR401)+INDEX(fa_tvab,AR401))</f>
        <v/>
      </c>
      <c r="U401" s="65" t="str">
        <f>IF(A401="","",SUMIF(pa_inv,A401,pa_amt))</f>
        <v/>
      </c>
      <c r="V401" s="65" t="str">
        <f>IF(OR(A401="",AA401="Avoir"),"",-SUMIFS(fa_ttc,fa_avof,A401,fa_type,"Avoir"))</f>
        <v/>
      </c>
      <c r="W401" s="65" t="str">
        <f>IF(OR(A401="",AA401="Avoir"),"",ROUND(S401-U401-V401,2))</f>
        <v/>
      </c>
      <c r="X401" s="66" t="str">
        <f>IF(W401="","",IF(AND(W401&gt;0,p_asof&gt;P401),p_asof-P401,""))</f>
        <v/>
      </c>
      <c r="Y401" s="59" t="str">
        <f>IF(A401="","",IF(AA401="Avoir","Avoir",IF(W401&lt;0,"Trop-perçu",IF(W401=0,"Soldée",IF(p_asof&gt;P401,"En retard",IF(U401+V401&gt;0,"Partielle","À échoir"))))))</f>
        <v/>
      </c>
      <c r="Z401" s="59" t="str">
        <f>IF(NOT(COUNTA(B401:D401,F401:O401)&gt;0),"",IF(C401="","Date manquante",IF(NOT(ISNUMBER(C401)),"Date invalide",IF(D401="","Client manquant",IF(ISNA(MATCH(D401,cli_code,0)),"Client inconnu",IF(AC401&lt;SUMPRODUCT(MAX(($AB$6:AB400=AB401)*$AC$6:AC400)),"Date antérieure à la facture précédente",IF(AND(F401&lt;&gt;"",ISNA(MATCH(F401,dv_num,0))),"Devis inconnu",IF(AND(F401&lt;&gt;"",IFERROR(INDEX(dv_client,MATCH(F401,dv_num,0)),D401)&lt;&gt;D401),"Client différent de celui du devis",IF(AG401="","Aucune ligne : saisissez des lignes ou un devis",IF(AND(AI401&lt;&gt;"",COUNTIF($AI$6:AI401,AI401)&gt;1),"Devis déjà repris par une autre facture",IF(AND(AA401="Avoir",M401=""),"Avoir : indiquez la facture d'origine",IF(AND(AA401="Avoir",ISNA(MATCH(M401,fa_num,0))),"Facture d'origine inconnue",IF(AND(AA401&lt;&gt;"Avoir",M401&lt;&gt;""),"« Avoir sur facture » : réservé aux avoirs",IF(AND(L401&lt;&gt;"",AA401&lt;&gt;"Facture"),"Acompte à déduire : réservé aux factures",IF(AND(L401&lt;&gt;"",ISNA(MATCH(L401,fa_num,0))),"Facture d'acompte inconnue",IF(AND(L401&lt;&gt;"",IFERROR(INDEX(fa_type,MATCH(L401,fa_num,0)),"")&lt;&gt;"Facture d'acompte"),"Le n° à déduire n'est pas une facture d'acompte",IF(AND(L401&lt;&gt;"",COUNTIF($L$6:L401,L401)&gt;1),"Acompte déjà déduit sur une autre facture",IF(AND(L401&lt;&gt;"",IFERROR(INDEX(fa_client,MATCH(L401,fa_num,0)),D401)&lt;&gt;D401),"Acompte d'un autre client",IF(AND(AR401&lt;&gt;"",N(Q401)&lt;0),"Acompte supérieur au total de la facture",IF(IF(AG401="Facture",COUNTIFS(fl_doc,A401,fl_check,"&lt;&gt;OK"),IF(AG401="Devis",COUNTIFS(dl_doc,F401,dl_check,"&lt;&gt;OK"),0))&gt;0,"Ligne(s) à corriger",IF(AND(W401&lt;&gt;"",N(W401)&lt;0),"Trop-perçu : vérifiez paiements et avoirs","OK")))))))))))))))))))))</f>
        <v/>
      </c>
      <c r="AA401" s="62" t="str">
        <f>IF(COUNTA(B401:D401,F401:O401)&gt;0,IF(B401="","Facture",B401),"")</f>
        <v/>
      </c>
      <c r="AB401" s="62" t="str">
        <f>IF(AA401="","",IF(AA401="Avoir",p_pav,IF(AA401="Facture d'acompte",p_pac,p_pfa)))</f>
        <v/>
      </c>
      <c r="AC401" s="62">
        <f>IF(ISNUMBER(C401),C401,0)</f>
        <v>0.0</v>
      </c>
      <c r="AD401" s="62" t="str">
        <f>IF(OR(AA401="",AC401=0),"",YEAR(AC401))</f>
        <v/>
      </c>
      <c r="AE401" s="62" t="str">
        <f>IF(AD401="","",COUNTIFS($AB$6:AB401,AB401,$AD$6:AD401,AD401))</f>
        <v/>
      </c>
      <c r="AF401" s="62">
        <f>IF(A401="",0,COUNTIF(fl_doc,A401))</f>
        <v>0.0</v>
      </c>
      <c r="AG401" s="62" t="str">
        <f>IF(A401="","",IF(AF401&gt;0,"Facture",IF(AND(F401&lt;&gt;"",AA401="Facture",ISNUMBER(MATCH(F401,dv_num,0))),"Devis","")))</f>
        <v/>
      </c>
      <c r="AH401" s="62" t="str">
        <f>IF(AND(A401&lt;&gt;"",F401&lt;&gt;"",AA401&lt;&gt;"Avoir"),F401,"")</f>
        <v/>
      </c>
      <c r="AI401" s="62" t="str">
        <f>IF(AG401="Devis",F401,"")</f>
        <v/>
      </c>
      <c r="AJ401" s="62">
        <f>IF(AG401="Facture",SUMIF(fl_doc,A401,fl_ht),IF(AG401="Devis",SUMIF(dl_doc,F401,dl_ht),0))</f>
        <v>0.0</v>
      </c>
      <c r="AK401" s="62">
        <f>IF(OR(AG401="",INDEX(p_rates,1)=""),0,IF(AG401="Facture",SUMIFS(fl_ht,fl_doc,A401,fl_rate,INDEX(p_rates,1)),SUMIFS(dl_ht,dl_doc,F401,dl_rate,INDEX(p_rates,1))))</f>
        <v>0.0</v>
      </c>
      <c r="AL401" s="62">
        <f>IF(OR(AG401="",INDEX(p_rates,2)=""),0,IF(AG401="Facture",SUMIFS(fl_ht,fl_doc,A401,fl_rate,INDEX(p_rates,2)),SUMIFS(dl_ht,dl_doc,F401,dl_rate,INDEX(p_rates,2))))</f>
        <v>0.0</v>
      </c>
      <c r="AM401" s="62">
        <f>IF(OR(AG401="",INDEX(p_rates,3)=""),0,IF(AG401="Facture",SUMIFS(fl_ht,fl_doc,A401,fl_rate,INDEX(p_rates,3)),SUMIFS(dl_ht,dl_doc,F401,dl_rate,INDEX(p_rates,3))))</f>
        <v>0.0</v>
      </c>
      <c r="AN401" s="62">
        <f>IF(OR(AG401="",INDEX(p_rates,4)=""),0,IF(AG401="Facture",SUMIFS(fl_ht,fl_doc,A401,fl_rate,INDEX(p_rates,4)),SUMIFS(dl_ht,dl_doc,F401,dl_rate,INDEX(p_rates,4))))</f>
        <v>0.0</v>
      </c>
      <c r="AO401" s="62">
        <f>IF(OR(AG401="",INDEX(p_rates,5)=""),0,IF(AG401="Facture",SUMIFS(fl_ht,fl_doc,A401,fl_rate,INDEX(p_rates,5)),SUMIFS(dl_ht,dl_doc,F401,dl_rate,INDEX(p_rates,5))))</f>
        <v>0.0</v>
      </c>
      <c r="AP401" s="62">
        <f>IF(OR(AG401="",INDEX(p_rates,6)=""),0,IF(AG401="Facture",SUMIFS(fl_ht,fl_doc,A401,fl_rate,INDEX(p_rates,6)),SUMIFS(dl_ht,dl_doc,F401,dl_rate,INDEX(p_rates,6))))</f>
        <v>0.0</v>
      </c>
      <c r="AQ401" s="62">
        <f>ROUND(AK401*N(INDEX(p_rates,1)),2)+ROUND(AL401*N(INDEX(p_rates,2)),2)+ROUND(AM401*N(INDEX(p_rates,3)),2)+ROUND(AN401*N(INDEX(p_rates,4)),2)+ROUND(AO401*N(INDEX(p_rates,5)),2)+ROUND(AP401*N(INDEX(p_rates,6)),2)</f>
        <v>0.0</v>
      </c>
      <c r="AR401" s="62" t="str">
        <f>IF(OR(L401="",AA401&lt;&gt;"Facture"),"",IFERROR(IF(INDEX(fa_type,MATCH(L401,fa_num,0))="Facture d'acompte",MATCH(L401,fa_num,0),""),""))</f>
        <v/>
      </c>
      <c r="AS401" s="62" t="str">
        <f>IF(W401="","",IF(W401&lt;=0,"",IF(p_asof-P401&lt;=0,"Non échu",IF(p_asof-P401&lt;=30,"1-30 j",IF(p_asof-P401&lt;=60,"31-60 j",IF(p_asof-P401&lt;=90,"61-90 j","Plus de 90 j"))))))</f>
        <v/>
      </c>
      <c r="AT401" s="62" t="str">
        <f>IF(AS401="","",p_asof-P401)</f>
        <v/>
      </c>
      <c r="AU401" s="62" t="str">
        <f>IF(AT401="","",COUNTIF($AT$6:$AT$805,"&gt;"&amp;AT401)+COUNTIF($AT$6:AT401,AT401))</f>
        <v/>
      </c>
    </row>
    <row r="402">
      <c r="A402" s="59" t="str">
        <f>IF(AE402="","",AB402&amp;"-"&amp;AD402&amp;"-"&amp;RIGHT("000"&amp;AE402,4))</f>
        <v/>
      </c>
      <c r="B402" s="60" t="n"/>
      <c r="C402" s="61" t="n"/>
      <c r="D402" s="60" t="n"/>
      <c r="E402" s="62" t="str">
        <f>IF(D402="","",IFERROR(INDEX(cli_name,MATCH(D402,cli_code,0))&amp;"","Client inconnu"))</f>
        <v/>
      </c>
      <c r="F402" s="60" t="n"/>
      <c r="G402" s="63" t="n"/>
      <c r="H402" s="61" t="n"/>
      <c r="I402" s="63" t="n"/>
      <c r="J402" s="60" t="n"/>
      <c r="K402" s="61" t="n"/>
      <c r="L402" s="60" t="n"/>
      <c r="M402" s="60" t="n"/>
      <c r="N402" s="60" t="n"/>
      <c r="O402" s="61" t="n"/>
      <c r="P402" s="64" t="str">
        <f>IF(A402="","",IF(AA402="Avoir",AC402,IF(ISNUMBER(K402),K402,AC402+IF(D402="",N(p_delay),IFERROR(IF(ISNUMBER(INDEX(cli_delay,MATCH(D402,cli_code,0))),INDEX(cli_delay,MATCH(D402,cli_code,0)),N(p_delay)),N(p_delay))))))</f>
        <v/>
      </c>
      <c r="Q402" s="65" t="str">
        <f>IF(A402="","",IF(AA402="Avoir",-1,1)*ROUND(AJ402-IF(AR402="",0,INDEX(fa_htb,AR402)),2))</f>
        <v/>
      </c>
      <c r="R402" s="65" t="str">
        <f>IF(A402="","",IF(AA402="Avoir",-1,1)*ROUND(AQ402-IF(AR402="",0,INDEX(fa_tvab,AR402)),2))</f>
        <v/>
      </c>
      <c r="S402" s="65" t="str">
        <f>IF(A402="","",Q402+R402)</f>
        <v/>
      </c>
      <c r="T402" s="65" t="str">
        <f>IF(AR402="","",INDEX(fa_htb,AR402)+INDEX(fa_tvab,AR402))</f>
        <v/>
      </c>
      <c r="U402" s="65" t="str">
        <f>IF(A402="","",SUMIF(pa_inv,A402,pa_amt))</f>
        <v/>
      </c>
      <c r="V402" s="65" t="str">
        <f>IF(OR(A402="",AA402="Avoir"),"",-SUMIFS(fa_ttc,fa_avof,A402,fa_type,"Avoir"))</f>
        <v/>
      </c>
      <c r="W402" s="65" t="str">
        <f>IF(OR(A402="",AA402="Avoir"),"",ROUND(S402-U402-V402,2))</f>
        <v/>
      </c>
      <c r="X402" s="66" t="str">
        <f>IF(W402="","",IF(AND(W402&gt;0,p_asof&gt;P402),p_asof-P402,""))</f>
        <v/>
      </c>
      <c r="Y402" s="59" t="str">
        <f>IF(A402="","",IF(AA402="Avoir","Avoir",IF(W402&lt;0,"Trop-perçu",IF(W402=0,"Soldée",IF(p_asof&gt;P402,"En retard",IF(U402+V402&gt;0,"Partielle","À échoir"))))))</f>
        <v/>
      </c>
      <c r="Z402" s="59" t="str">
        <f>IF(NOT(COUNTA(B402:D402,F402:O402)&gt;0),"",IF(C402="","Date manquante",IF(NOT(ISNUMBER(C402)),"Date invalide",IF(D402="","Client manquant",IF(ISNA(MATCH(D402,cli_code,0)),"Client inconnu",IF(AC402&lt;SUMPRODUCT(MAX(($AB$6:AB401=AB402)*$AC$6:AC401)),"Date antérieure à la facture précédente",IF(AND(F402&lt;&gt;"",ISNA(MATCH(F402,dv_num,0))),"Devis inconnu",IF(AND(F402&lt;&gt;"",IFERROR(INDEX(dv_client,MATCH(F402,dv_num,0)),D402)&lt;&gt;D402),"Client différent de celui du devis",IF(AG402="","Aucune ligne : saisissez des lignes ou un devis",IF(AND(AI402&lt;&gt;"",COUNTIF($AI$6:AI402,AI402)&gt;1),"Devis déjà repris par une autre facture",IF(AND(AA402="Avoir",M402=""),"Avoir : indiquez la facture d'origine",IF(AND(AA402="Avoir",ISNA(MATCH(M402,fa_num,0))),"Facture d'origine inconnue",IF(AND(AA402&lt;&gt;"Avoir",M402&lt;&gt;""),"« Avoir sur facture » : réservé aux avoirs",IF(AND(L402&lt;&gt;"",AA402&lt;&gt;"Facture"),"Acompte à déduire : réservé aux factures",IF(AND(L402&lt;&gt;"",ISNA(MATCH(L402,fa_num,0))),"Facture d'acompte inconnue",IF(AND(L402&lt;&gt;"",IFERROR(INDEX(fa_type,MATCH(L402,fa_num,0)),"")&lt;&gt;"Facture d'acompte"),"Le n° à déduire n'est pas une facture d'acompte",IF(AND(L402&lt;&gt;"",COUNTIF($L$6:L402,L402)&gt;1),"Acompte déjà déduit sur une autre facture",IF(AND(L402&lt;&gt;"",IFERROR(INDEX(fa_client,MATCH(L402,fa_num,0)),D402)&lt;&gt;D402),"Acompte d'un autre client",IF(AND(AR402&lt;&gt;"",N(Q402)&lt;0),"Acompte supérieur au total de la facture",IF(IF(AG402="Facture",COUNTIFS(fl_doc,A402,fl_check,"&lt;&gt;OK"),IF(AG402="Devis",COUNTIFS(dl_doc,F402,dl_check,"&lt;&gt;OK"),0))&gt;0,"Ligne(s) à corriger",IF(AND(W402&lt;&gt;"",N(W402)&lt;0),"Trop-perçu : vérifiez paiements et avoirs","OK")))))))))))))))))))))</f>
        <v/>
      </c>
      <c r="AA402" s="62" t="str">
        <f>IF(COUNTA(B402:D402,F402:O402)&gt;0,IF(B402="","Facture",B402),"")</f>
        <v/>
      </c>
      <c r="AB402" s="62" t="str">
        <f>IF(AA402="","",IF(AA402="Avoir",p_pav,IF(AA402="Facture d'acompte",p_pac,p_pfa)))</f>
        <v/>
      </c>
      <c r="AC402" s="62">
        <f>IF(ISNUMBER(C402),C402,0)</f>
        <v>0.0</v>
      </c>
      <c r="AD402" s="62" t="str">
        <f>IF(OR(AA402="",AC402=0),"",YEAR(AC402))</f>
        <v/>
      </c>
      <c r="AE402" s="62" t="str">
        <f>IF(AD402="","",COUNTIFS($AB$6:AB402,AB402,$AD$6:AD402,AD402))</f>
        <v/>
      </c>
      <c r="AF402" s="62">
        <f>IF(A402="",0,COUNTIF(fl_doc,A402))</f>
        <v>0.0</v>
      </c>
      <c r="AG402" s="62" t="str">
        <f>IF(A402="","",IF(AF402&gt;0,"Facture",IF(AND(F402&lt;&gt;"",AA402="Facture",ISNUMBER(MATCH(F402,dv_num,0))),"Devis","")))</f>
        <v/>
      </c>
      <c r="AH402" s="62" t="str">
        <f>IF(AND(A402&lt;&gt;"",F402&lt;&gt;"",AA402&lt;&gt;"Avoir"),F402,"")</f>
        <v/>
      </c>
      <c r="AI402" s="62" t="str">
        <f>IF(AG402="Devis",F402,"")</f>
        <v/>
      </c>
      <c r="AJ402" s="62">
        <f>IF(AG402="Facture",SUMIF(fl_doc,A402,fl_ht),IF(AG402="Devis",SUMIF(dl_doc,F402,dl_ht),0))</f>
        <v>0.0</v>
      </c>
      <c r="AK402" s="62">
        <f>IF(OR(AG402="",INDEX(p_rates,1)=""),0,IF(AG402="Facture",SUMIFS(fl_ht,fl_doc,A402,fl_rate,INDEX(p_rates,1)),SUMIFS(dl_ht,dl_doc,F402,dl_rate,INDEX(p_rates,1))))</f>
        <v>0.0</v>
      </c>
      <c r="AL402" s="62">
        <f>IF(OR(AG402="",INDEX(p_rates,2)=""),0,IF(AG402="Facture",SUMIFS(fl_ht,fl_doc,A402,fl_rate,INDEX(p_rates,2)),SUMIFS(dl_ht,dl_doc,F402,dl_rate,INDEX(p_rates,2))))</f>
        <v>0.0</v>
      </c>
      <c r="AM402" s="62">
        <f>IF(OR(AG402="",INDEX(p_rates,3)=""),0,IF(AG402="Facture",SUMIFS(fl_ht,fl_doc,A402,fl_rate,INDEX(p_rates,3)),SUMIFS(dl_ht,dl_doc,F402,dl_rate,INDEX(p_rates,3))))</f>
        <v>0.0</v>
      </c>
      <c r="AN402" s="62">
        <f>IF(OR(AG402="",INDEX(p_rates,4)=""),0,IF(AG402="Facture",SUMIFS(fl_ht,fl_doc,A402,fl_rate,INDEX(p_rates,4)),SUMIFS(dl_ht,dl_doc,F402,dl_rate,INDEX(p_rates,4))))</f>
        <v>0.0</v>
      </c>
      <c r="AO402" s="62">
        <f>IF(OR(AG402="",INDEX(p_rates,5)=""),0,IF(AG402="Facture",SUMIFS(fl_ht,fl_doc,A402,fl_rate,INDEX(p_rates,5)),SUMIFS(dl_ht,dl_doc,F402,dl_rate,INDEX(p_rates,5))))</f>
        <v>0.0</v>
      </c>
      <c r="AP402" s="62">
        <f>IF(OR(AG402="",INDEX(p_rates,6)=""),0,IF(AG402="Facture",SUMIFS(fl_ht,fl_doc,A402,fl_rate,INDEX(p_rates,6)),SUMIFS(dl_ht,dl_doc,F402,dl_rate,INDEX(p_rates,6))))</f>
        <v>0.0</v>
      </c>
      <c r="AQ402" s="62">
        <f>ROUND(AK402*N(INDEX(p_rates,1)),2)+ROUND(AL402*N(INDEX(p_rates,2)),2)+ROUND(AM402*N(INDEX(p_rates,3)),2)+ROUND(AN402*N(INDEX(p_rates,4)),2)+ROUND(AO402*N(INDEX(p_rates,5)),2)+ROUND(AP402*N(INDEX(p_rates,6)),2)</f>
        <v>0.0</v>
      </c>
      <c r="AR402" s="62" t="str">
        <f>IF(OR(L402="",AA402&lt;&gt;"Facture"),"",IFERROR(IF(INDEX(fa_type,MATCH(L402,fa_num,0))="Facture d'acompte",MATCH(L402,fa_num,0),""),""))</f>
        <v/>
      </c>
      <c r="AS402" s="62" t="str">
        <f>IF(W402="","",IF(W402&lt;=0,"",IF(p_asof-P402&lt;=0,"Non échu",IF(p_asof-P402&lt;=30,"1-30 j",IF(p_asof-P402&lt;=60,"31-60 j",IF(p_asof-P402&lt;=90,"61-90 j","Plus de 90 j"))))))</f>
        <v/>
      </c>
      <c r="AT402" s="62" t="str">
        <f>IF(AS402="","",p_asof-P402)</f>
        <v/>
      </c>
      <c r="AU402" s="62" t="str">
        <f>IF(AT402="","",COUNTIF($AT$6:$AT$805,"&gt;"&amp;AT402)+COUNTIF($AT$6:AT402,AT402))</f>
        <v/>
      </c>
    </row>
    <row r="403">
      <c r="A403" s="59" t="str">
        <f>IF(AE403="","",AB403&amp;"-"&amp;AD403&amp;"-"&amp;RIGHT("000"&amp;AE403,4))</f>
        <v/>
      </c>
      <c r="B403" s="60" t="n"/>
      <c r="C403" s="61" t="n"/>
      <c r="D403" s="60" t="n"/>
      <c r="E403" s="62" t="str">
        <f>IF(D403="","",IFERROR(INDEX(cli_name,MATCH(D403,cli_code,0))&amp;"","Client inconnu"))</f>
        <v/>
      </c>
      <c r="F403" s="60" t="n"/>
      <c r="G403" s="63" t="n"/>
      <c r="H403" s="61" t="n"/>
      <c r="I403" s="63" t="n"/>
      <c r="J403" s="60" t="n"/>
      <c r="K403" s="61" t="n"/>
      <c r="L403" s="60" t="n"/>
      <c r="M403" s="60" t="n"/>
      <c r="N403" s="60" t="n"/>
      <c r="O403" s="61" t="n"/>
      <c r="P403" s="64" t="str">
        <f>IF(A403="","",IF(AA403="Avoir",AC403,IF(ISNUMBER(K403),K403,AC403+IF(D403="",N(p_delay),IFERROR(IF(ISNUMBER(INDEX(cli_delay,MATCH(D403,cli_code,0))),INDEX(cli_delay,MATCH(D403,cli_code,0)),N(p_delay)),N(p_delay))))))</f>
        <v/>
      </c>
      <c r="Q403" s="65" t="str">
        <f>IF(A403="","",IF(AA403="Avoir",-1,1)*ROUND(AJ403-IF(AR403="",0,INDEX(fa_htb,AR403)),2))</f>
        <v/>
      </c>
      <c r="R403" s="65" t="str">
        <f>IF(A403="","",IF(AA403="Avoir",-1,1)*ROUND(AQ403-IF(AR403="",0,INDEX(fa_tvab,AR403)),2))</f>
        <v/>
      </c>
      <c r="S403" s="65" t="str">
        <f>IF(A403="","",Q403+R403)</f>
        <v/>
      </c>
      <c r="T403" s="65" t="str">
        <f>IF(AR403="","",INDEX(fa_htb,AR403)+INDEX(fa_tvab,AR403))</f>
        <v/>
      </c>
      <c r="U403" s="65" t="str">
        <f>IF(A403="","",SUMIF(pa_inv,A403,pa_amt))</f>
        <v/>
      </c>
      <c r="V403" s="65" t="str">
        <f>IF(OR(A403="",AA403="Avoir"),"",-SUMIFS(fa_ttc,fa_avof,A403,fa_type,"Avoir"))</f>
        <v/>
      </c>
      <c r="W403" s="65" t="str">
        <f>IF(OR(A403="",AA403="Avoir"),"",ROUND(S403-U403-V403,2))</f>
        <v/>
      </c>
      <c r="X403" s="66" t="str">
        <f>IF(W403="","",IF(AND(W403&gt;0,p_asof&gt;P403),p_asof-P403,""))</f>
        <v/>
      </c>
      <c r="Y403" s="59" t="str">
        <f>IF(A403="","",IF(AA403="Avoir","Avoir",IF(W403&lt;0,"Trop-perçu",IF(W403=0,"Soldée",IF(p_asof&gt;P403,"En retard",IF(U403+V403&gt;0,"Partielle","À échoir"))))))</f>
        <v/>
      </c>
      <c r="Z403" s="59" t="str">
        <f>IF(NOT(COUNTA(B403:D403,F403:O403)&gt;0),"",IF(C403="","Date manquante",IF(NOT(ISNUMBER(C403)),"Date invalide",IF(D403="","Client manquant",IF(ISNA(MATCH(D403,cli_code,0)),"Client inconnu",IF(AC403&lt;SUMPRODUCT(MAX(($AB$6:AB402=AB403)*$AC$6:AC402)),"Date antérieure à la facture précédente",IF(AND(F403&lt;&gt;"",ISNA(MATCH(F403,dv_num,0))),"Devis inconnu",IF(AND(F403&lt;&gt;"",IFERROR(INDEX(dv_client,MATCH(F403,dv_num,0)),D403)&lt;&gt;D403),"Client différent de celui du devis",IF(AG403="","Aucune ligne : saisissez des lignes ou un devis",IF(AND(AI403&lt;&gt;"",COUNTIF($AI$6:AI403,AI403)&gt;1),"Devis déjà repris par une autre facture",IF(AND(AA403="Avoir",M403=""),"Avoir : indiquez la facture d'origine",IF(AND(AA403="Avoir",ISNA(MATCH(M403,fa_num,0))),"Facture d'origine inconnue",IF(AND(AA403&lt;&gt;"Avoir",M403&lt;&gt;""),"« Avoir sur facture » : réservé aux avoirs",IF(AND(L403&lt;&gt;"",AA403&lt;&gt;"Facture"),"Acompte à déduire : réservé aux factures",IF(AND(L403&lt;&gt;"",ISNA(MATCH(L403,fa_num,0))),"Facture d'acompte inconnue",IF(AND(L403&lt;&gt;"",IFERROR(INDEX(fa_type,MATCH(L403,fa_num,0)),"")&lt;&gt;"Facture d'acompte"),"Le n° à déduire n'est pas une facture d'acompte",IF(AND(L403&lt;&gt;"",COUNTIF($L$6:L403,L403)&gt;1),"Acompte déjà déduit sur une autre facture",IF(AND(L403&lt;&gt;"",IFERROR(INDEX(fa_client,MATCH(L403,fa_num,0)),D403)&lt;&gt;D403),"Acompte d'un autre client",IF(AND(AR403&lt;&gt;"",N(Q403)&lt;0),"Acompte supérieur au total de la facture",IF(IF(AG403="Facture",COUNTIFS(fl_doc,A403,fl_check,"&lt;&gt;OK"),IF(AG403="Devis",COUNTIFS(dl_doc,F403,dl_check,"&lt;&gt;OK"),0))&gt;0,"Ligne(s) à corriger",IF(AND(W403&lt;&gt;"",N(W403)&lt;0),"Trop-perçu : vérifiez paiements et avoirs","OK")))))))))))))))))))))</f>
        <v/>
      </c>
      <c r="AA403" s="62" t="str">
        <f>IF(COUNTA(B403:D403,F403:O403)&gt;0,IF(B403="","Facture",B403),"")</f>
        <v/>
      </c>
      <c r="AB403" s="62" t="str">
        <f>IF(AA403="","",IF(AA403="Avoir",p_pav,IF(AA403="Facture d'acompte",p_pac,p_pfa)))</f>
        <v/>
      </c>
      <c r="AC403" s="62">
        <f>IF(ISNUMBER(C403),C403,0)</f>
        <v>0.0</v>
      </c>
      <c r="AD403" s="62" t="str">
        <f>IF(OR(AA403="",AC403=0),"",YEAR(AC403))</f>
        <v/>
      </c>
      <c r="AE403" s="62" t="str">
        <f>IF(AD403="","",COUNTIFS($AB$6:AB403,AB403,$AD$6:AD403,AD403))</f>
        <v/>
      </c>
      <c r="AF403" s="62">
        <f>IF(A403="",0,COUNTIF(fl_doc,A403))</f>
        <v>0.0</v>
      </c>
      <c r="AG403" s="62" t="str">
        <f>IF(A403="","",IF(AF403&gt;0,"Facture",IF(AND(F403&lt;&gt;"",AA403="Facture",ISNUMBER(MATCH(F403,dv_num,0))),"Devis","")))</f>
        <v/>
      </c>
      <c r="AH403" s="62" t="str">
        <f>IF(AND(A403&lt;&gt;"",F403&lt;&gt;"",AA403&lt;&gt;"Avoir"),F403,"")</f>
        <v/>
      </c>
      <c r="AI403" s="62" t="str">
        <f>IF(AG403="Devis",F403,"")</f>
        <v/>
      </c>
      <c r="AJ403" s="62">
        <f>IF(AG403="Facture",SUMIF(fl_doc,A403,fl_ht),IF(AG403="Devis",SUMIF(dl_doc,F403,dl_ht),0))</f>
        <v>0.0</v>
      </c>
      <c r="AK403" s="62">
        <f>IF(OR(AG403="",INDEX(p_rates,1)=""),0,IF(AG403="Facture",SUMIFS(fl_ht,fl_doc,A403,fl_rate,INDEX(p_rates,1)),SUMIFS(dl_ht,dl_doc,F403,dl_rate,INDEX(p_rates,1))))</f>
        <v>0.0</v>
      </c>
      <c r="AL403" s="62">
        <f>IF(OR(AG403="",INDEX(p_rates,2)=""),0,IF(AG403="Facture",SUMIFS(fl_ht,fl_doc,A403,fl_rate,INDEX(p_rates,2)),SUMIFS(dl_ht,dl_doc,F403,dl_rate,INDEX(p_rates,2))))</f>
        <v>0.0</v>
      </c>
      <c r="AM403" s="62">
        <f>IF(OR(AG403="",INDEX(p_rates,3)=""),0,IF(AG403="Facture",SUMIFS(fl_ht,fl_doc,A403,fl_rate,INDEX(p_rates,3)),SUMIFS(dl_ht,dl_doc,F403,dl_rate,INDEX(p_rates,3))))</f>
        <v>0.0</v>
      </c>
      <c r="AN403" s="62">
        <f>IF(OR(AG403="",INDEX(p_rates,4)=""),0,IF(AG403="Facture",SUMIFS(fl_ht,fl_doc,A403,fl_rate,INDEX(p_rates,4)),SUMIFS(dl_ht,dl_doc,F403,dl_rate,INDEX(p_rates,4))))</f>
        <v>0.0</v>
      </c>
      <c r="AO403" s="62">
        <f>IF(OR(AG403="",INDEX(p_rates,5)=""),0,IF(AG403="Facture",SUMIFS(fl_ht,fl_doc,A403,fl_rate,INDEX(p_rates,5)),SUMIFS(dl_ht,dl_doc,F403,dl_rate,INDEX(p_rates,5))))</f>
        <v>0.0</v>
      </c>
      <c r="AP403" s="62">
        <f>IF(OR(AG403="",INDEX(p_rates,6)=""),0,IF(AG403="Facture",SUMIFS(fl_ht,fl_doc,A403,fl_rate,INDEX(p_rates,6)),SUMIFS(dl_ht,dl_doc,F403,dl_rate,INDEX(p_rates,6))))</f>
        <v>0.0</v>
      </c>
      <c r="AQ403" s="62">
        <f>ROUND(AK403*N(INDEX(p_rates,1)),2)+ROUND(AL403*N(INDEX(p_rates,2)),2)+ROUND(AM403*N(INDEX(p_rates,3)),2)+ROUND(AN403*N(INDEX(p_rates,4)),2)+ROUND(AO403*N(INDEX(p_rates,5)),2)+ROUND(AP403*N(INDEX(p_rates,6)),2)</f>
        <v>0.0</v>
      </c>
      <c r="AR403" s="62" t="str">
        <f>IF(OR(L403="",AA403&lt;&gt;"Facture"),"",IFERROR(IF(INDEX(fa_type,MATCH(L403,fa_num,0))="Facture d'acompte",MATCH(L403,fa_num,0),""),""))</f>
        <v/>
      </c>
      <c r="AS403" s="62" t="str">
        <f>IF(W403="","",IF(W403&lt;=0,"",IF(p_asof-P403&lt;=0,"Non échu",IF(p_asof-P403&lt;=30,"1-30 j",IF(p_asof-P403&lt;=60,"31-60 j",IF(p_asof-P403&lt;=90,"61-90 j","Plus de 90 j"))))))</f>
        <v/>
      </c>
      <c r="AT403" s="62" t="str">
        <f>IF(AS403="","",p_asof-P403)</f>
        <v/>
      </c>
      <c r="AU403" s="62" t="str">
        <f>IF(AT403="","",COUNTIF($AT$6:$AT$805,"&gt;"&amp;AT403)+COUNTIF($AT$6:AT403,AT403))</f>
        <v/>
      </c>
    </row>
    <row r="404">
      <c r="A404" s="59" t="str">
        <f>IF(AE404="","",AB404&amp;"-"&amp;AD404&amp;"-"&amp;RIGHT("000"&amp;AE404,4))</f>
        <v/>
      </c>
      <c r="B404" s="60" t="n"/>
      <c r="C404" s="61" t="n"/>
      <c r="D404" s="60" t="n"/>
      <c r="E404" s="62" t="str">
        <f>IF(D404="","",IFERROR(INDEX(cli_name,MATCH(D404,cli_code,0))&amp;"","Client inconnu"))</f>
        <v/>
      </c>
      <c r="F404" s="60" t="n"/>
      <c r="G404" s="63" t="n"/>
      <c r="H404" s="61" t="n"/>
      <c r="I404" s="63" t="n"/>
      <c r="J404" s="60" t="n"/>
      <c r="K404" s="61" t="n"/>
      <c r="L404" s="60" t="n"/>
      <c r="M404" s="60" t="n"/>
      <c r="N404" s="60" t="n"/>
      <c r="O404" s="61" t="n"/>
      <c r="P404" s="64" t="str">
        <f>IF(A404="","",IF(AA404="Avoir",AC404,IF(ISNUMBER(K404),K404,AC404+IF(D404="",N(p_delay),IFERROR(IF(ISNUMBER(INDEX(cli_delay,MATCH(D404,cli_code,0))),INDEX(cli_delay,MATCH(D404,cli_code,0)),N(p_delay)),N(p_delay))))))</f>
        <v/>
      </c>
      <c r="Q404" s="65" t="str">
        <f>IF(A404="","",IF(AA404="Avoir",-1,1)*ROUND(AJ404-IF(AR404="",0,INDEX(fa_htb,AR404)),2))</f>
        <v/>
      </c>
      <c r="R404" s="65" t="str">
        <f>IF(A404="","",IF(AA404="Avoir",-1,1)*ROUND(AQ404-IF(AR404="",0,INDEX(fa_tvab,AR404)),2))</f>
        <v/>
      </c>
      <c r="S404" s="65" t="str">
        <f>IF(A404="","",Q404+R404)</f>
        <v/>
      </c>
      <c r="T404" s="65" t="str">
        <f>IF(AR404="","",INDEX(fa_htb,AR404)+INDEX(fa_tvab,AR404))</f>
        <v/>
      </c>
      <c r="U404" s="65" t="str">
        <f>IF(A404="","",SUMIF(pa_inv,A404,pa_amt))</f>
        <v/>
      </c>
      <c r="V404" s="65" t="str">
        <f>IF(OR(A404="",AA404="Avoir"),"",-SUMIFS(fa_ttc,fa_avof,A404,fa_type,"Avoir"))</f>
        <v/>
      </c>
      <c r="W404" s="65" t="str">
        <f>IF(OR(A404="",AA404="Avoir"),"",ROUND(S404-U404-V404,2))</f>
        <v/>
      </c>
      <c r="X404" s="66" t="str">
        <f>IF(W404="","",IF(AND(W404&gt;0,p_asof&gt;P404),p_asof-P404,""))</f>
        <v/>
      </c>
      <c r="Y404" s="59" t="str">
        <f>IF(A404="","",IF(AA404="Avoir","Avoir",IF(W404&lt;0,"Trop-perçu",IF(W404=0,"Soldée",IF(p_asof&gt;P404,"En retard",IF(U404+V404&gt;0,"Partielle","À échoir"))))))</f>
        <v/>
      </c>
      <c r="Z404" s="59" t="str">
        <f>IF(NOT(COUNTA(B404:D404,F404:O404)&gt;0),"",IF(C404="","Date manquante",IF(NOT(ISNUMBER(C404)),"Date invalide",IF(D404="","Client manquant",IF(ISNA(MATCH(D404,cli_code,0)),"Client inconnu",IF(AC404&lt;SUMPRODUCT(MAX(($AB$6:AB403=AB404)*$AC$6:AC403)),"Date antérieure à la facture précédente",IF(AND(F404&lt;&gt;"",ISNA(MATCH(F404,dv_num,0))),"Devis inconnu",IF(AND(F404&lt;&gt;"",IFERROR(INDEX(dv_client,MATCH(F404,dv_num,0)),D404)&lt;&gt;D404),"Client différent de celui du devis",IF(AG404="","Aucune ligne : saisissez des lignes ou un devis",IF(AND(AI404&lt;&gt;"",COUNTIF($AI$6:AI404,AI404)&gt;1),"Devis déjà repris par une autre facture",IF(AND(AA404="Avoir",M404=""),"Avoir : indiquez la facture d'origine",IF(AND(AA404="Avoir",ISNA(MATCH(M404,fa_num,0))),"Facture d'origine inconnue",IF(AND(AA404&lt;&gt;"Avoir",M404&lt;&gt;""),"« Avoir sur facture » : réservé aux avoirs",IF(AND(L404&lt;&gt;"",AA404&lt;&gt;"Facture"),"Acompte à déduire : réservé aux factures",IF(AND(L404&lt;&gt;"",ISNA(MATCH(L404,fa_num,0))),"Facture d'acompte inconnue",IF(AND(L404&lt;&gt;"",IFERROR(INDEX(fa_type,MATCH(L404,fa_num,0)),"")&lt;&gt;"Facture d'acompte"),"Le n° à déduire n'est pas une facture d'acompte",IF(AND(L404&lt;&gt;"",COUNTIF($L$6:L404,L404)&gt;1),"Acompte déjà déduit sur une autre facture",IF(AND(L404&lt;&gt;"",IFERROR(INDEX(fa_client,MATCH(L404,fa_num,0)),D404)&lt;&gt;D404),"Acompte d'un autre client",IF(AND(AR404&lt;&gt;"",N(Q404)&lt;0),"Acompte supérieur au total de la facture",IF(IF(AG404="Facture",COUNTIFS(fl_doc,A404,fl_check,"&lt;&gt;OK"),IF(AG404="Devis",COUNTIFS(dl_doc,F404,dl_check,"&lt;&gt;OK"),0))&gt;0,"Ligne(s) à corriger",IF(AND(W404&lt;&gt;"",N(W404)&lt;0),"Trop-perçu : vérifiez paiements et avoirs","OK")))))))))))))))))))))</f>
        <v/>
      </c>
      <c r="AA404" s="62" t="str">
        <f>IF(COUNTA(B404:D404,F404:O404)&gt;0,IF(B404="","Facture",B404),"")</f>
        <v/>
      </c>
      <c r="AB404" s="62" t="str">
        <f>IF(AA404="","",IF(AA404="Avoir",p_pav,IF(AA404="Facture d'acompte",p_pac,p_pfa)))</f>
        <v/>
      </c>
      <c r="AC404" s="62">
        <f>IF(ISNUMBER(C404),C404,0)</f>
        <v>0.0</v>
      </c>
      <c r="AD404" s="62" t="str">
        <f>IF(OR(AA404="",AC404=0),"",YEAR(AC404))</f>
        <v/>
      </c>
      <c r="AE404" s="62" t="str">
        <f>IF(AD404="","",COUNTIFS($AB$6:AB404,AB404,$AD$6:AD404,AD404))</f>
        <v/>
      </c>
      <c r="AF404" s="62">
        <f>IF(A404="",0,COUNTIF(fl_doc,A404))</f>
        <v>0.0</v>
      </c>
      <c r="AG404" s="62" t="str">
        <f>IF(A404="","",IF(AF404&gt;0,"Facture",IF(AND(F404&lt;&gt;"",AA404="Facture",ISNUMBER(MATCH(F404,dv_num,0))),"Devis","")))</f>
        <v/>
      </c>
      <c r="AH404" s="62" t="str">
        <f>IF(AND(A404&lt;&gt;"",F404&lt;&gt;"",AA404&lt;&gt;"Avoir"),F404,"")</f>
        <v/>
      </c>
      <c r="AI404" s="62" t="str">
        <f>IF(AG404="Devis",F404,"")</f>
        <v/>
      </c>
      <c r="AJ404" s="62">
        <f>IF(AG404="Facture",SUMIF(fl_doc,A404,fl_ht),IF(AG404="Devis",SUMIF(dl_doc,F404,dl_ht),0))</f>
        <v>0.0</v>
      </c>
      <c r="AK404" s="62">
        <f>IF(OR(AG404="",INDEX(p_rates,1)=""),0,IF(AG404="Facture",SUMIFS(fl_ht,fl_doc,A404,fl_rate,INDEX(p_rates,1)),SUMIFS(dl_ht,dl_doc,F404,dl_rate,INDEX(p_rates,1))))</f>
        <v>0.0</v>
      </c>
      <c r="AL404" s="62">
        <f>IF(OR(AG404="",INDEX(p_rates,2)=""),0,IF(AG404="Facture",SUMIFS(fl_ht,fl_doc,A404,fl_rate,INDEX(p_rates,2)),SUMIFS(dl_ht,dl_doc,F404,dl_rate,INDEX(p_rates,2))))</f>
        <v>0.0</v>
      </c>
      <c r="AM404" s="62">
        <f>IF(OR(AG404="",INDEX(p_rates,3)=""),0,IF(AG404="Facture",SUMIFS(fl_ht,fl_doc,A404,fl_rate,INDEX(p_rates,3)),SUMIFS(dl_ht,dl_doc,F404,dl_rate,INDEX(p_rates,3))))</f>
        <v>0.0</v>
      </c>
      <c r="AN404" s="62">
        <f>IF(OR(AG404="",INDEX(p_rates,4)=""),0,IF(AG404="Facture",SUMIFS(fl_ht,fl_doc,A404,fl_rate,INDEX(p_rates,4)),SUMIFS(dl_ht,dl_doc,F404,dl_rate,INDEX(p_rates,4))))</f>
        <v>0.0</v>
      </c>
      <c r="AO404" s="62">
        <f>IF(OR(AG404="",INDEX(p_rates,5)=""),0,IF(AG404="Facture",SUMIFS(fl_ht,fl_doc,A404,fl_rate,INDEX(p_rates,5)),SUMIFS(dl_ht,dl_doc,F404,dl_rate,INDEX(p_rates,5))))</f>
        <v>0.0</v>
      </c>
      <c r="AP404" s="62">
        <f>IF(OR(AG404="",INDEX(p_rates,6)=""),0,IF(AG404="Facture",SUMIFS(fl_ht,fl_doc,A404,fl_rate,INDEX(p_rates,6)),SUMIFS(dl_ht,dl_doc,F404,dl_rate,INDEX(p_rates,6))))</f>
        <v>0.0</v>
      </c>
      <c r="AQ404" s="62">
        <f>ROUND(AK404*N(INDEX(p_rates,1)),2)+ROUND(AL404*N(INDEX(p_rates,2)),2)+ROUND(AM404*N(INDEX(p_rates,3)),2)+ROUND(AN404*N(INDEX(p_rates,4)),2)+ROUND(AO404*N(INDEX(p_rates,5)),2)+ROUND(AP404*N(INDEX(p_rates,6)),2)</f>
        <v>0.0</v>
      </c>
      <c r="AR404" s="62" t="str">
        <f>IF(OR(L404="",AA404&lt;&gt;"Facture"),"",IFERROR(IF(INDEX(fa_type,MATCH(L404,fa_num,0))="Facture d'acompte",MATCH(L404,fa_num,0),""),""))</f>
        <v/>
      </c>
      <c r="AS404" s="62" t="str">
        <f>IF(W404="","",IF(W404&lt;=0,"",IF(p_asof-P404&lt;=0,"Non échu",IF(p_asof-P404&lt;=30,"1-30 j",IF(p_asof-P404&lt;=60,"31-60 j",IF(p_asof-P404&lt;=90,"61-90 j","Plus de 90 j"))))))</f>
        <v/>
      </c>
      <c r="AT404" s="62" t="str">
        <f>IF(AS404="","",p_asof-P404)</f>
        <v/>
      </c>
      <c r="AU404" s="62" t="str">
        <f>IF(AT404="","",COUNTIF($AT$6:$AT$805,"&gt;"&amp;AT404)+COUNTIF($AT$6:AT404,AT404))</f>
        <v/>
      </c>
    </row>
    <row r="405">
      <c r="A405" s="59" t="str">
        <f>IF(AE405="","",AB405&amp;"-"&amp;AD405&amp;"-"&amp;RIGHT("000"&amp;AE405,4))</f>
        <v/>
      </c>
      <c r="B405" s="60" t="n"/>
      <c r="C405" s="61" t="n"/>
      <c r="D405" s="60" t="n"/>
      <c r="E405" s="62" t="str">
        <f>IF(D405="","",IFERROR(INDEX(cli_name,MATCH(D405,cli_code,0))&amp;"","Client inconnu"))</f>
        <v/>
      </c>
      <c r="F405" s="60" t="n"/>
      <c r="G405" s="63" t="n"/>
      <c r="H405" s="61" t="n"/>
      <c r="I405" s="63" t="n"/>
      <c r="J405" s="60" t="n"/>
      <c r="K405" s="61" t="n"/>
      <c r="L405" s="60" t="n"/>
      <c r="M405" s="60" t="n"/>
      <c r="N405" s="60" t="n"/>
      <c r="O405" s="61" t="n"/>
      <c r="P405" s="64" t="str">
        <f>IF(A405="","",IF(AA405="Avoir",AC405,IF(ISNUMBER(K405),K405,AC405+IF(D405="",N(p_delay),IFERROR(IF(ISNUMBER(INDEX(cli_delay,MATCH(D405,cli_code,0))),INDEX(cli_delay,MATCH(D405,cli_code,0)),N(p_delay)),N(p_delay))))))</f>
        <v/>
      </c>
      <c r="Q405" s="65" t="str">
        <f>IF(A405="","",IF(AA405="Avoir",-1,1)*ROUND(AJ405-IF(AR405="",0,INDEX(fa_htb,AR405)),2))</f>
        <v/>
      </c>
      <c r="R405" s="65" t="str">
        <f>IF(A405="","",IF(AA405="Avoir",-1,1)*ROUND(AQ405-IF(AR405="",0,INDEX(fa_tvab,AR405)),2))</f>
        <v/>
      </c>
      <c r="S405" s="65" t="str">
        <f>IF(A405="","",Q405+R405)</f>
        <v/>
      </c>
      <c r="T405" s="65" t="str">
        <f>IF(AR405="","",INDEX(fa_htb,AR405)+INDEX(fa_tvab,AR405))</f>
        <v/>
      </c>
      <c r="U405" s="65" t="str">
        <f>IF(A405="","",SUMIF(pa_inv,A405,pa_amt))</f>
        <v/>
      </c>
      <c r="V405" s="65" t="str">
        <f>IF(OR(A405="",AA405="Avoir"),"",-SUMIFS(fa_ttc,fa_avof,A405,fa_type,"Avoir"))</f>
        <v/>
      </c>
      <c r="W405" s="65" t="str">
        <f>IF(OR(A405="",AA405="Avoir"),"",ROUND(S405-U405-V405,2))</f>
        <v/>
      </c>
      <c r="X405" s="66" t="str">
        <f>IF(W405="","",IF(AND(W405&gt;0,p_asof&gt;P405),p_asof-P405,""))</f>
        <v/>
      </c>
      <c r="Y405" s="59" t="str">
        <f>IF(A405="","",IF(AA405="Avoir","Avoir",IF(W405&lt;0,"Trop-perçu",IF(W405=0,"Soldée",IF(p_asof&gt;P405,"En retard",IF(U405+V405&gt;0,"Partielle","À échoir"))))))</f>
        <v/>
      </c>
      <c r="Z405" s="59" t="str">
        <f>IF(NOT(COUNTA(B405:D405,F405:O405)&gt;0),"",IF(C405="","Date manquante",IF(NOT(ISNUMBER(C405)),"Date invalide",IF(D405="","Client manquant",IF(ISNA(MATCH(D405,cli_code,0)),"Client inconnu",IF(AC405&lt;SUMPRODUCT(MAX(($AB$6:AB404=AB405)*$AC$6:AC404)),"Date antérieure à la facture précédente",IF(AND(F405&lt;&gt;"",ISNA(MATCH(F405,dv_num,0))),"Devis inconnu",IF(AND(F405&lt;&gt;"",IFERROR(INDEX(dv_client,MATCH(F405,dv_num,0)),D405)&lt;&gt;D405),"Client différent de celui du devis",IF(AG405="","Aucune ligne : saisissez des lignes ou un devis",IF(AND(AI405&lt;&gt;"",COUNTIF($AI$6:AI405,AI405)&gt;1),"Devis déjà repris par une autre facture",IF(AND(AA405="Avoir",M405=""),"Avoir : indiquez la facture d'origine",IF(AND(AA405="Avoir",ISNA(MATCH(M405,fa_num,0))),"Facture d'origine inconnue",IF(AND(AA405&lt;&gt;"Avoir",M405&lt;&gt;""),"« Avoir sur facture » : réservé aux avoirs",IF(AND(L405&lt;&gt;"",AA405&lt;&gt;"Facture"),"Acompte à déduire : réservé aux factures",IF(AND(L405&lt;&gt;"",ISNA(MATCH(L405,fa_num,0))),"Facture d'acompte inconnue",IF(AND(L405&lt;&gt;"",IFERROR(INDEX(fa_type,MATCH(L405,fa_num,0)),"")&lt;&gt;"Facture d'acompte"),"Le n° à déduire n'est pas une facture d'acompte",IF(AND(L405&lt;&gt;"",COUNTIF($L$6:L405,L405)&gt;1),"Acompte déjà déduit sur une autre facture",IF(AND(L405&lt;&gt;"",IFERROR(INDEX(fa_client,MATCH(L405,fa_num,0)),D405)&lt;&gt;D405),"Acompte d'un autre client",IF(AND(AR405&lt;&gt;"",N(Q405)&lt;0),"Acompte supérieur au total de la facture",IF(IF(AG405="Facture",COUNTIFS(fl_doc,A405,fl_check,"&lt;&gt;OK"),IF(AG405="Devis",COUNTIFS(dl_doc,F405,dl_check,"&lt;&gt;OK"),0))&gt;0,"Ligne(s) à corriger",IF(AND(W405&lt;&gt;"",N(W405)&lt;0),"Trop-perçu : vérifiez paiements et avoirs","OK")))))))))))))))))))))</f>
        <v/>
      </c>
      <c r="AA405" s="62" t="str">
        <f>IF(COUNTA(B405:D405,F405:O405)&gt;0,IF(B405="","Facture",B405),"")</f>
        <v/>
      </c>
      <c r="AB405" s="62" t="str">
        <f>IF(AA405="","",IF(AA405="Avoir",p_pav,IF(AA405="Facture d'acompte",p_pac,p_pfa)))</f>
        <v/>
      </c>
      <c r="AC405" s="62">
        <f>IF(ISNUMBER(C405),C405,0)</f>
        <v>0.0</v>
      </c>
      <c r="AD405" s="62" t="str">
        <f>IF(OR(AA405="",AC405=0),"",YEAR(AC405))</f>
        <v/>
      </c>
      <c r="AE405" s="62" t="str">
        <f>IF(AD405="","",COUNTIFS($AB$6:AB405,AB405,$AD$6:AD405,AD405))</f>
        <v/>
      </c>
      <c r="AF405" s="62">
        <f>IF(A405="",0,COUNTIF(fl_doc,A405))</f>
        <v>0.0</v>
      </c>
      <c r="AG405" s="62" t="str">
        <f>IF(A405="","",IF(AF405&gt;0,"Facture",IF(AND(F405&lt;&gt;"",AA405="Facture",ISNUMBER(MATCH(F405,dv_num,0))),"Devis","")))</f>
        <v/>
      </c>
      <c r="AH405" s="62" t="str">
        <f>IF(AND(A405&lt;&gt;"",F405&lt;&gt;"",AA405&lt;&gt;"Avoir"),F405,"")</f>
        <v/>
      </c>
      <c r="AI405" s="62" t="str">
        <f>IF(AG405="Devis",F405,"")</f>
        <v/>
      </c>
      <c r="AJ405" s="62">
        <f>IF(AG405="Facture",SUMIF(fl_doc,A405,fl_ht),IF(AG405="Devis",SUMIF(dl_doc,F405,dl_ht),0))</f>
        <v>0.0</v>
      </c>
      <c r="AK405" s="62">
        <f>IF(OR(AG405="",INDEX(p_rates,1)=""),0,IF(AG405="Facture",SUMIFS(fl_ht,fl_doc,A405,fl_rate,INDEX(p_rates,1)),SUMIFS(dl_ht,dl_doc,F405,dl_rate,INDEX(p_rates,1))))</f>
        <v>0.0</v>
      </c>
      <c r="AL405" s="62">
        <f>IF(OR(AG405="",INDEX(p_rates,2)=""),0,IF(AG405="Facture",SUMIFS(fl_ht,fl_doc,A405,fl_rate,INDEX(p_rates,2)),SUMIFS(dl_ht,dl_doc,F405,dl_rate,INDEX(p_rates,2))))</f>
        <v>0.0</v>
      </c>
      <c r="AM405" s="62">
        <f>IF(OR(AG405="",INDEX(p_rates,3)=""),0,IF(AG405="Facture",SUMIFS(fl_ht,fl_doc,A405,fl_rate,INDEX(p_rates,3)),SUMIFS(dl_ht,dl_doc,F405,dl_rate,INDEX(p_rates,3))))</f>
        <v>0.0</v>
      </c>
      <c r="AN405" s="62">
        <f>IF(OR(AG405="",INDEX(p_rates,4)=""),0,IF(AG405="Facture",SUMIFS(fl_ht,fl_doc,A405,fl_rate,INDEX(p_rates,4)),SUMIFS(dl_ht,dl_doc,F405,dl_rate,INDEX(p_rates,4))))</f>
        <v>0.0</v>
      </c>
      <c r="AO405" s="62">
        <f>IF(OR(AG405="",INDEX(p_rates,5)=""),0,IF(AG405="Facture",SUMIFS(fl_ht,fl_doc,A405,fl_rate,INDEX(p_rates,5)),SUMIFS(dl_ht,dl_doc,F405,dl_rate,INDEX(p_rates,5))))</f>
        <v>0.0</v>
      </c>
      <c r="AP405" s="62">
        <f>IF(OR(AG405="",INDEX(p_rates,6)=""),0,IF(AG405="Facture",SUMIFS(fl_ht,fl_doc,A405,fl_rate,INDEX(p_rates,6)),SUMIFS(dl_ht,dl_doc,F405,dl_rate,INDEX(p_rates,6))))</f>
        <v>0.0</v>
      </c>
      <c r="AQ405" s="62">
        <f>ROUND(AK405*N(INDEX(p_rates,1)),2)+ROUND(AL405*N(INDEX(p_rates,2)),2)+ROUND(AM405*N(INDEX(p_rates,3)),2)+ROUND(AN405*N(INDEX(p_rates,4)),2)+ROUND(AO405*N(INDEX(p_rates,5)),2)+ROUND(AP405*N(INDEX(p_rates,6)),2)</f>
        <v>0.0</v>
      </c>
      <c r="AR405" s="62" t="str">
        <f>IF(OR(L405="",AA405&lt;&gt;"Facture"),"",IFERROR(IF(INDEX(fa_type,MATCH(L405,fa_num,0))="Facture d'acompte",MATCH(L405,fa_num,0),""),""))</f>
        <v/>
      </c>
      <c r="AS405" s="62" t="str">
        <f>IF(W405="","",IF(W405&lt;=0,"",IF(p_asof-P405&lt;=0,"Non échu",IF(p_asof-P405&lt;=30,"1-30 j",IF(p_asof-P405&lt;=60,"31-60 j",IF(p_asof-P405&lt;=90,"61-90 j","Plus de 90 j"))))))</f>
        <v/>
      </c>
      <c r="AT405" s="62" t="str">
        <f>IF(AS405="","",p_asof-P405)</f>
        <v/>
      </c>
      <c r="AU405" s="62" t="str">
        <f>IF(AT405="","",COUNTIF($AT$6:$AT$805,"&gt;"&amp;AT405)+COUNTIF($AT$6:AT405,AT405))</f>
        <v/>
      </c>
    </row>
    <row r="406">
      <c r="A406" s="59" t="str">
        <f>IF(AE406="","",AB406&amp;"-"&amp;AD406&amp;"-"&amp;RIGHT("000"&amp;AE406,4))</f>
        <v/>
      </c>
      <c r="B406" s="60" t="n"/>
      <c r="C406" s="61" t="n"/>
      <c r="D406" s="60" t="n"/>
      <c r="E406" s="62" t="str">
        <f>IF(D406="","",IFERROR(INDEX(cli_name,MATCH(D406,cli_code,0))&amp;"","Client inconnu"))</f>
        <v/>
      </c>
      <c r="F406" s="60" t="n"/>
      <c r="G406" s="63" t="n"/>
      <c r="H406" s="61" t="n"/>
      <c r="I406" s="63" t="n"/>
      <c r="J406" s="60" t="n"/>
      <c r="K406" s="61" t="n"/>
      <c r="L406" s="60" t="n"/>
      <c r="M406" s="60" t="n"/>
      <c r="N406" s="60" t="n"/>
      <c r="O406" s="61" t="n"/>
      <c r="P406" s="64" t="str">
        <f>IF(A406="","",IF(AA406="Avoir",AC406,IF(ISNUMBER(K406),K406,AC406+IF(D406="",N(p_delay),IFERROR(IF(ISNUMBER(INDEX(cli_delay,MATCH(D406,cli_code,0))),INDEX(cli_delay,MATCH(D406,cli_code,0)),N(p_delay)),N(p_delay))))))</f>
        <v/>
      </c>
      <c r="Q406" s="65" t="str">
        <f>IF(A406="","",IF(AA406="Avoir",-1,1)*ROUND(AJ406-IF(AR406="",0,INDEX(fa_htb,AR406)),2))</f>
        <v/>
      </c>
      <c r="R406" s="65" t="str">
        <f>IF(A406="","",IF(AA406="Avoir",-1,1)*ROUND(AQ406-IF(AR406="",0,INDEX(fa_tvab,AR406)),2))</f>
        <v/>
      </c>
      <c r="S406" s="65" t="str">
        <f>IF(A406="","",Q406+R406)</f>
        <v/>
      </c>
      <c r="T406" s="65" t="str">
        <f>IF(AR406="","",INDEX(fa_htb,AR406)+INDEX(fa_tvab,AR406))</f>
        <v/>
      </c>
      <c r="U406" s="65" t="str">
        <f>IF(A406="","",SUMIF(pa_inv,A406,pa_amt))</f>
        <v/>
      </c>
      <c r="V406" s="65" t="str">
        <f>IF(OR(A406="",AA406="Avoir"),"",-SUMIFS(fa_ttc,fa_avof,A406,fa_type,"Avoir"))</f>
        <v/>
      </c>
      <c r="W406" s="65" t="str">
        <f>IF(OR(A406="",AA406="Avoir"),"",ROUND(S406-U406-V406,2))</f>
        <v/>
      </c>
      <c r="X406" s="66" t="str">
        <f>IF(W406="","",IF(AND(W406&gt;0,p_asof&gt;P406),p_asof-P406,""))</f>
        <v/>
      </c>
      <c r="Y406" s="59" t="str">
        <f>IF(A406="","",IF(AA406="Avoir","Avoir",IF(W406&lt;0,"Trop-perçu",IF(W406=0,"Soldée",IF(p_asof&gt;P406,"En retard",IF(U406+V406&gt;0,"Partielle","À échoir"))))))</f>
        <v/>
      </c>
      <c r="Z406" s="59" t="str">
        <f>IF(NOT(COUNTA(B406:D406,F406:O406)&gt;0),"",IF(C406="","Date manquante",IF(NOT(ISNUMBER(C406)),"Date invalide",IF(D406="","Client manquant",IF(ISNA(MATCH(D406,cli_code,0)),"Client inconnu",IF(AC406&lt;SUMPRODUCT(MAX(($AB$6:AB405=AB406)*$AC$6:AC405)),"Date antérieure à la facture précédente",IF(AND(F406&lt;&gt;"",ISNA(MATCH(F406,dv_num,0))),"Devis inconnu",IF(AND(F406&lt;&gt;"",IFERROR(INDEX(dv_client,MATCH(F406,dv_num,0)),D406)&lt;&gt;D406),"Client différent de celui du devis",IF(AG406="","Aucune ligne : saisissez des lignes ou un devis",IF(AND(AI406&lt;&gt;"",COUNTIF($AI$6:AI406,AI406)&gt;1),"Devis déjà repris par une autre facture",IF(AND(AA406="Avoir",M406=""),"Avoir : indiquez la facture d'origine",IF(AND(AA406="Avoir",ISNA(MATCH(M406,fa_num,0))),"Facture d'origine inconnue",IF(AND(AA406&lt;&gt;"Avoir",M406&lt;&gt;""),"« Avoir sur facture » : réservé aux avoirs",IF(AND(L406&lt;&gt;"",AA406&lt;&gt;"Facture"),"Acompte à déduire : réservé aux factures",IF(AND(L406&lt;&gt;"",ISNA(MATCH(L406,fa_num,0))),"Facture d'acompte inconnue",IF(AND(L406&lt;&gt;"",IFERROR(INDEX(fa_type,MATCH(L406,fa_num,0)),"")&lt;&gt;"Facture d'acompte"),"Le n° à déduire n'est pas une facture d'acompte",IF(AND(L406&lt;&gt;"",COUNTIF($L$6:L406,L406)&gt;1),"Acompte déjà déduit sur une autre facture",IF(AND(L406&lt;&gt;"",IFERROR(INDEX(fa_client,MATCH(L406,fa_num,0)),D406)&lt;&gt;D406),"Acompte d'un autre client",IF(AND(AR406&lt;&gt;"",N(Q406)&lt;0),"Acompte supérieur au total de la facture",IF(IF(AG406="Facture",COUNTIFS(fl_doc,A406,fl_check,"&lt;&gt;OK"),IF(AG406="Devis",COUNTIFS(dl_doc,F406,dl_check,"&lt;&gt;OK"),0))&gt;0,"Ligne(s) à corriger",IF(AND(W406&lt;&gt;"",N(W406)&lt;0),"Trop-perçu : vérifiez paiements et avoirs","OK")))))))))))))))))))))</f>
        <v/>
      </c>
      <c r="AA406" s="62" t="str">
        <f>IF(COUNTA(B406:D406,F406:O406)&gt;0,IF(B406="","Facture",B406),"")</f>
        <v/>
      </c>
      <c r="AB406" s="62" t="str">
        <f>IF(AA406="","",IF(AA406="Avoir",p_pav,IF(AA406="Facture d'acompte",p_pac,p_pfa)))</f>
        <v/>
      </c>
      <c r="AC406" s="62">
        <f>IF(ISNUMBER(C406),C406,0)</f>
        <v>0.0</v>
      </c>
      <c r="AD406" s="62" t="str">
        <f>IF(OR(AA406="",AC406=0),"",YEAR(AC406))</f>
        <v/>
      </c>
      <c r="AE406" s="62" t="str">
        <f>IF(AD406="","",COUNTIFS($AB$6:AB406,AB406,$AD$6:AD406,AD406))</f>
        <v/>
      </c>
      <c r="AF406" s="62">
        <f>IF(A406="",0,COUNTIF(fl_doc,A406))</f>
        <v>0.0</v>
      </c>
      <c r="AG406" s="62" t="str">
        <f>IF(A406="","",IF(AF406&gt;0,"Facture",IF(AND(F406&lt;&gt;"",AA406="Facture",ISNUMBER(MATCH(F406,dv_num,0))),"Devis","")))</f>
        <v/>
      </c>
      <c r="AH406" s="62" t="str">
        <f>IF(AND(A406&lt;&gt;"",F406&lt;&gt;"",AA406&lt;&gt;"Avoir"),F406,"")</f>
        <v/>
      </c>
      <c r="AI406" s="62" t="str">
        <f>IF(AG406="Devis",F406,"")</f>
        <v/>
      </c>
      <c r="AJ406" s="62">
        <f>IF(AG406="Facture",SUMIF(fl_doc,A406,fl_ht),IF(AG406="Devis",SUMIF(dl_doc,F406,dl_ht),0))</f>
        <v>0.0</v>
      </c>
      <c r="AK406" s="62">
        <f>IF(OR(AG406="",INDEX(p_rates,1)=""),0,IF(AG406="Facture",SUMIFS(fl_ht,fl_doc,A406,fl_rate,INDEX(p_rates,1)),SUMIFS(dl_ht,dl_doc,F406,dl_rate,INDEX(p_rates,1))))</f>
        <v>0.0</v>
      </c>
      <c r="AL406" s="62">
        <f>IF(OR(AG406="",INDEX(p_rates,2)=""),0,IF(AG406="Facture",SUMIFS(fl_ht,fl_doc,A406,fl_rate,INDEX(p_rates,2)),SUMIFS(dl_ht,dl_doc,F406,dl_rate,INDEX(p_rates,2))))</f>
        <v>0.0</v>
      </c>
      <c r="AM406" s="62">
        <f>IF(OR(AG406="",INDEX(p_rates,3)=""),0,IF(AG406="Facture",SUMIFS(fl_ht,fl_doc,A406,fl_rate,INDEX(p_rates,3)),SUMIFS(dl_ht,dl_doc,F406,dl_rate,INDEX(p_rates,3))))</f>
        <v>0.0</v>
      </c>
      <c r="AN406" s="62">
        <f>IF(OR(AG406="",INDEX(p_rates,4)=""),0,IF(AG406="Facture",SUMIFS(fl_ht,fl_doc,A406,fl_rate,INDEX(p_rates,4)),SUMIFS(dl_ht,dl_doc,F406,dl_rate,INDEX(p_rates,4))))</f>
        <v>0.0</v>
      </c>
      <c r="AO406" s="62">
        <f>IF(OR(AG406="",INDEX(p_rates,5)=""),0,IF(AG406="Facture",SUMIFS(fl_ht,fl_doc,A406,fl_rate,INDEX(p_rates,5)),SUMIFS(dl_ht,dl_doc,F406,dl_rate,INDEX(p_rates,5))))</f>
        <v>0.0</v>
      </c>
      <c r="AP406" s="62">
        <f>IF(OR(AG406="",INDEX(p_rates,6)=""),0,IF(AG406="Facture",SUMIFS(fl_ht,fl_doc,A406,fl_rate,INDEX(p_rates,6)),SUMIFS(dl_ht,dl_doc,F406,dl_rate,INDEX(p_rates,6))))</f>
        <v>0.0</v>
      </c>
      <c r="AQ406" s="62">
        <f>ROUND(AK406*N(INDEX(p_rates,1)),2)+ROUND(AL406*N(INDEX(p_rates,2)),2)+ROUND(AM406*N(INDEX(p_rates,3)),2)+ROUND(AN406*N(INDEX(p_rates,4)),2)+ROUND(AO406*N(INDEX(p_rates,5)),2)+ROUND(AP406*N(INDEX(p_rates,6)),2)</f>
        <v>0.0</v>
      </c>
      <c r="AR406" s="62" t="str">
        <f>IF(OR(L406="",AA406&lt;&gt;"Facture"),"",IFERROR(IF(INDEX(fa_type,MATCH(L406,fa_num,0))="Facture d'acompte",MATCH(L406,fa_num,0),""),""))</f>
        <v/>
      </c>
      <c r="AS406" s="62" t="str">
        <f>IF(W406="","",IF(W406&lt;=0,"",IF(p_asof-P406&lt;=0,"Non échu",IF(p_asof-P406&lt;=30,"1-30 j",IF(p_asof-P406&lt;=60,"31-60 j",IF(p_asof-P406&lt;=90,"61-90 j","Plus de 90 j"))))))</f>
        <v/>
      </c>
      <c r="AT406" s="62" t="str">
        <f>IF(AS406="","",p_asof-P406)</f>
        <v/>
      </c>
      <c r="AU406" s="62" t="str">
        <f>IF(AT406="","",COUNTIF($AT$6:$AT$805,"&gt;"&amp;AT406)+COUNTIF($AT$6:AT406,AT406))</f>
        <v/>
      </c>
    </row>
    <row r="407">
      <c r="A407" s="59" t="str">
        <f>IF(AE407="","",AB407&amp;"-"&amp;AD407&amp;"-"&amp;RIGHT("000"&amp;AE407,4))</f>
        <v/>
      </c>
      <c r="B407" s="60" t="n"/>
      <c r="C407" s="61" t="n"/>
      <c r="D407" s="60" t="n"/>
      <c r="E407" s="62" t="str">
        <f>IF(D407="","",IFERROR(INDEX(cli_name,MATCH(D407,cli_code,0))&amp;"","Client inconnu"))</f>
        <v/>
      </c>
      <c r="F407" s="60" t="n"/>
      <c r="G407" s="63" t="n"/>
      <c r="H407" s="61" t="n"/>
      <c r="I407" s="63" t="n"/>
      <c r="J407" s="60" t="n"/>
      <c r="K407" s="61" t="n"/>
      <c r="L407" s="60" t="n"/>
      <c r="M407" s="60" t="n"/>
      <c r="N407" s="60" t="n"/>
      <c r="O407" s="61" t="n"/>
      <c r="P407" s="64" t="str">
        <f>IF(A407="","",IF(AA407="Avoir",AC407,IF(ISNUMBER(K407),K407,AC407+IF(D407="",N(p_delay),IFERROR(IF(ISNUMBER(INDEX(cli_delay,MATCH(D407,cli_code,0))),INDEX(cli_delay,MATCH(D407,cli_code,0)),N(p_delay)),N(p_delay))))))</f>
        <v/>
      </c>
      <c r="Q407" s="65" t="str">
        <f>IF(A407="","",IF(AA407="Avoir",-1,1)*ROUND(AJ407-IF(AR407="",0,INDEX(fa_htb,AR407)),2))</f>
        <v/>
      </c>
      <c r="R407" s="65" t="str">
        <f>IF(A407="","",IF(AA407="Avoir",-1,1)*ROUND(AQ407-IF(AR407="",0,INDEX(fa_tvab,AR407)),2))</f>
        <v/>
      </c>
      <c r="S407" s="65" t="str">
        <f>IF(A407="","",Q407+R407)</f>
        <v/>
      </c>
      <c r="T407" s="65" t="str">
        <f>IF(AR407="","",INDEX(fa_htb,AR407)+INDEX(fa_tvab,AR407))</f>
        <v/>
      </c>
      <c r="U407" s="65" t="str">
        <f>IF(A407="","",SUMIF(pa_inv,A407,pa_amt))</f>
        <v/>
      </c>
      <c r="V407" s="65" t="str">
        <f>IF(OR(A407="",AA407="Avoir"),"",-SUMIFS(fa_ttc,fa_avof,A407,fa_type,"Avoir"))</f>
        <v/>
      </c>
      <c r="W407" s="65" t="str">
        <f>IF(OR(A407="",AA407="Avoir"),"",ROUND(S407-U407-V407,2))</f>
        <v/>
      </c>
      <c r="X407" s="66" t="str">
        <f>IF(W407="","",IF(AND(W407&gt;0,p_asof&gt;P407),p_asof-P407,""))</f>
        <v/>
      </c>
      <c r="Y407" s="59" t="str">
        <f>IF(A407="","",IF(AA407="Avoir","Avoir",IF(W407&lt;0,"Trop-perçu",IF(W407=0,"Soldée",IF(p_asof&gt;P407,"En retard",IF(U407+V407&gt;0,"Partielle","À échoir"))))))</f>
        <v/>
      </c>
      <c r="Z407" s="59" t="str">
        <f>IF(NOT(COUNTA(B407:D407,F407:O407)&gt;0),"",IF(C407="","Date manquante",IF(NOT(ISNUMBER(C407)),"Date invalide",IF(D407="","Client manquant",IF(ISNA(MATCH(D407,cli_code,0)),"Client inconnu",IF(AC407&lt;SUMPRODUCT(MAX(($AB$6:AB406=AB407)*$AC$6:AC406)),"Date antérieure à la facture précédente",IF(AND(F407&lt;&gt;"",ISNA(MATCH(F407,dv_num,0))),"Devis inconnu",IF(AND(F407&lt;&gt;"",IFERROR(INDEX(dv_client,MATCH(F407,dv_num,0)),D407)&lt;&gt;D407),"Client différent de celui du devis",IF(AG407="","Aucune ligne : saisissez des lignes ou un devis",IF(AND(AI407&lt;&gt;"",COUNTIF($AI$6:AI407,AI407)&gt;1),"Devis déjà repris par une autre facture",IF(AND(AA407="Avoir",M407=""),"Avoir : indiquez la facture d'origine",IF(AND(AA407="Avoir",ISNA(MATCH(M407,fa_num,0))),"Facture d'origine inconnue",IF(AND(AA407&lt;&gt;"Avoir",M407&lt;&gt;""),"« Avoir sur facture » : réservé aux avoirs",IF(AND(L407&lt;&gt;"",AA407&lt;&gt;"Facture"),"Acompte à déduire : réservé aux factures",IF(AND(L407&lt;&gt;"",ISNA(MATCH(L407,fa_num,0))),"Facture d'acompte inconnue",IF(AND(L407&lt;&gt;"",IFERROR(INDEX(fa_type,MATCH(L407,fa_num,0)),"")&lt;&gt;"Facture d'acompte"),"Le n° à déduire n'est pas une facture d'acompte",IF(AND(L407&lt;&gt;"",COUNTIF($L$6:L407,L407)&gt;1),"Acompte déjà déduit sur une autre facture",IF(AND(L407&lt;&gt;"",IFERROR(INDEX(fa_client,MATCH(L407,fa_num,0)),D407)&lt;&gt;D407),"Acompte d'un autre client",IF(AND(AR407&lt;&gt;"",N(Q407)&lt;0),"Acompte supérieur au total de la facture",IF(IF(AG407="Facture",COUNTIFS(fl_doc,A407,fl_check,"&lt;&gt;OK"),IF(AG407="Devis",COUNTIFS(dl_doc,F407,dl_check,"&lt;&gt;OK"),0))&gt;0,"Ligne(s) à corriger",IF(AND(W407&lt;&gt;"",N(W407)&lt;0),"Trop-perçu : vérifiez paiements et avoirs","OK")))))))))))))))))))))</f>
        <v/>
      </c>
      <c r="AA407" s="62" t="str">
        <f>IF(COUNTA(B407:D407,F407:O407)&gt;0,IF(B407="","Facture",B407),"")</f>
        <v/>
      </c>
      <c r="AB407" s="62" t="str">
        <f>IF(AA407="","",IF(AA407="Avoir",p_pav,IF(AA407="Facture d'acompte",p_pac,p_pfa)))</f>
        <v/>
      </c>
      <c r="AC407" s="62">
        <f>IF(ISNUMBER(C407),C407,0)</f>
        <v>0.0</v>
      </c>
      <c r="AD407" s="62" t="str">
        <f>IF(OR(AA407="",AC407=0),"",YEAR(AC407))</f>
        <v/>
      </c>
      <c r="AE407" s="62" t="str">
        <f>IF(AD407="","",COUNTIFS($AB$6:AB407,AB407,$AD$6:AD407,AD407))</f>
        <v/>
      </c>
      <c r="AF407" s="62">
        <f>IF(A407="",0,COUNTIF(fl_doc,A407))</f>
        <v>0.0</v>
      </c>
      <c r="AG407" s="62" t="str">
        <f>IF(A407="","",IF(AF407&gt;0,"Facture",IF(AND(F407&lt;&gt;"",AA407="Facture",ISNUMBER(MATCH(F407,dv_num,0))),"Devis","")))</f>
        <v/>
      </c>
      <c r="AH407" s="62" t="str">
        <f>IF(AND(A407&lt;&gt;"",F407&lt;&gt;"",AA407&lt;&gt;"Avoir"),F407,"")</f>
        <v/>
      </c>
      <c r="AI407" s="62" t="str">
        <f>IF(AG407="Devis",F407,"")</f>
        <v/>
      </c>
      <c r="AJ407" s="62">
        <f>IF(AG407="Facture",SUMIF(fl_doc,A407,fl_ht),IF(AG407="Devis",SUMIF(dl_doc,F407,dl_ht),0))</f>
        <v>0.0</v>
      </c>
      <c r="AK407" s="62">
        <f>IF(OR(AG407="",INDEX(p_rates,1)=""),0,IF(AG407="Facture",SUMIFS(fl_ht,fl_doc,A407,fl_rate,INDEX(p_rates,1)),SUMIFS(dl_ht,dl_doc,F407,dl_rate,INDEX(p_rates,1))))</f>
        <v>0.0</v>
      </c>
      <c r="AL407" s="62">
        <f>IF(OR(AG407="",INDEX(p_rates,2)=""),0,IF(AG407="Facture",SUMIFS(fl_ht,fl_doc,A407,fl_rate,INDEX(p_rates,2)),SUMIFS(dl_ht,dl_doc,F407,dl_rate,INDEX(p_rates,2))))</f>
        <v>0.0</v>
      </c>
      <c r="AM407" s="62">
        <f>IF(OR(AG407="",INDEX(p_rates,3)=""),0,IF(AG407="Facture",SUMIFS(fl_ht,fl_doc,A407,fl_rate,INDEX(p_rates,3)),SUMIFS(dl_ht,dl_doc,F407,dl_rate,INDEX(p_rates,3))))</f>
        <v>0.0</v>
      </c>
      <c r="AN407" s="62">
        <f>IF(OR(AG407="",INDEX(p_rates,4)=""),0,IF(AG407="Facture",SUMIFS(fl_ht,fl_doc,A407,fl_rate,INDEX(p_rates,4)),SUMIFS(dl_ht,dl_doc,F407,dl_rate,INDEX(p_rates,4))))</f>
        <v>0.0</v>
      </c>
      <c r="AO407" s="62">
        <f>IF(OR(AG407="",INDEX(p_rates,5)=""),0,IF(AG407="Facture",SUMIFS(fl_ht,fl_doc,A407,fl_rate,INDEX(p_rates,5)),SUMIFS(dl_ht,dl_doc,F407,dl_rate,INDEX(p_rates,5))))</f>
        <v>0.0</v>
      </c>
      <c r="AP407" s="62">
        <f>IF(OR(AG407="",INDEX(p_rates,6)=""),0,IF(AG407="Facture",SUMIFS(fl_ht,fl_doc,A407,fl_rate,INDEX(p_rates,6)),SUMIFS(dl_ht,dl_doc,F407,dl_rate,INDEX(p_rates,6))))</f>
        <v>0.0</v>
      </c>
      <c r="AQ407" s="62">
        <f>ROUND(AK407*N(INDEX(p_rates,1)),2)+ROUND(AL407*N(INDEX(p_rates,2)),2)+ROUND(AM407*N(INDEX(p_rates,3)),2)+ROUND(AN407*N(INDEX(p_rates,4)),2)+ROUND(AO407*N(INDEX(p_rates,5)),2)+ROUND(AP407*N(INDEX(p_rates,6)),2)</f>
        <v>0.0</v>
      </c>
      <c r="AR407" s="62" t="str">
        <f>IF(OR(L407="",AA407&lt;&gt;"Facture"),"",IFERROR(IF(INDEX(fa_type,MATCH(L407,fa_num,0))="Facture d'acompte",MATCH(L407,fa_num,0),""),""))</f>
        <v/>
      </c>
      <c r="AS407" s="62" t="str">
        <f>IF(W407="","",IF(W407&lt;=0,"",IF(p_asof-P407&lt;=0,"Non échu",IF(p_asof-P407&lt;=30,"1-30 j",IF(p_asof-P407&lt;=60,"31-60 j",IF(p_asof-P407&lt;=90,"61-90 j","Plus de 90 j"))))))</f>
        <v/>
      </c>
      <c r="AT407" s="62" t="str">
        <f>IF(AS407="","",p_asof-P407)</f>
        <v/>
      </c>
      <c r="AU407" s="62" t="str">
        <f>IF(AT407="","",COUNTIF($AT$6:$AT$805,"&gt;"&amp;AT407)+COUNTIF($AT$6:AT407,AT407))</f>
        <v/>
      </c>
    </row>
    <row r="408">
      <c r="A408" s="59" t="str">
        <f>IF(AE408="","",AB408&amp;"-"&amp;AD408&amp;"-"&amp;RIGHT("000"&amp;AE408,4))</f>
        <v/>
      </c>
      <c r="B408" s="60" t="n"/>
      <c r="C408" s="61" t="n"/>
      <c r="D408" s="60" t="n"/>
      <c r="E408" s="62" t="str">
        <f>IF(D408="","",IFERROR(INDEX(cli_name,MATCH(D408,cli_code,0))&amp;"","Client inconnu"))</f>
        <v/>
      </c>
      <c r="F408" s="60" t="n"/>
      <c r="G408" s="63" t="n"/>
      <c r="H408" s="61" t="n"/>
      <c r="I408" s="63" t="n"/>
      <c r="J408" s="60" t="n"/>
      <c r="K408" s="61" t="n"/>
      <c r="L408" s="60" t="n"/>
      <c r="M408" s="60" t="n"/>
      <c r="N408" s="60" t="n"/>
      <c r="O408" s="61" t="n"/>
      <c r="P408" s="64" t="str">
        <f>IF(A408="","",IF(AA408="Avoir",AC408,IF(ISNUMBER(K408),K408,AC408+IF(D408="",N(p_delay),IFERROR(IF(ISNUMBER(INDEX(cli_delay,MATCH(D408,cli_code,0))),INDEX(cli_delay,MATCH(D408,cli_code,0)),N(p_delay)),N(p_delay))))))</f>
        <v/>
      </c>
      <c r="Q408" s="65" t="str">
        <f>IF(A408="","",IF(AA408="Avoir",-1,1)*ROUND(AJ408-IF(AR408="",0,INDEX(fa_htb,AR408)),2))</f>
        <v/>
      </c>
      <c r="R408" s="65" t="str">
        <f>IF(A408="","",IF(AA408="Avoir",-1,1)*ROUND(AQ408-IF(AR408="",0,INDEX(fa_tvab,AR408)),2))</f>
        <v/>
      </c>
      <c r="S408" s="65" t="str">
        <f>IF(A408="","",Q408+R408)</f>
        <v/>
      </c>
      <c r="T408" s="65" t="str">
        <f>IF(AR408="","",INDEX(fa_htb,AR408)+INDEX(fa_tvab,AR408))</f>
        <v/>
      </c>
      <c r="U408" s="65" t="str">
        <f>IF(A408="","",SUMIF(pa_inv,A408,pa_amt))</f>
        <v/>
      </c>
      <c r="V408" s="65" t="str">
        <f>IF(OR(A408="",AA408="Avoir"),"",-SUMIFS(fa_ttc,fa_avof,A408,fa_type,"Avoir"))</f>
        <v/>
      </c>
      <c r="W408" s="65" t="str">
        <f>IF(OR(A408="",AA408="Avoir"),"",ROUND(S408-U408-V408,2))</f>
        <v/>
      </c>
      <c r="X408" s="66" t="str">
        <f>IF(W408="","",IF(AND(W408&gt;0,p_asof&gt;P408),p_asof-P408,""))</f>
        <v/>
      </c>
      <c r="Y408" s="59" t="str">
        <f>IF(A408="","",IF(AA408="Avoir","Avoir",IF(W408&lt;0,"Trop-perçu",IF(W408=0,"Soldée",IF(p_asof&gt;P408,"En retard",IF(U408+V408&gt;0,"Partielle","À échoir"))))))</f>
        <v/>
      </c>
      <c r="Z408" s="59" t="str">
        <f>IF(NOT(COUNTA(B408:D408,F408:O408)&gt;0),"",IF(C408="","Date manquante",IF(NOT(ISNUMBER(C408)),"Date invalide",IF(D408="","Client manquant",IF(ISNA(MATCH(D408,cli_code,0)),"Client inconnu",IF(AC408&lt;SUMPRODUCT(MAX(($AB$6:AB407=AB408)*$AC$6:AC407)),"Date antérieure à la facture précédente",IF(AND(F408&lt;&gt;"",ISNA(MATCH(F408,dv_num,0))),"Devis inconnu",IF(AND(F408&lt;&gt;"",IFERROR(INDEX(dv_client,MATCH(F408,dv_num,0)),D408)&lt;&gt;D408),"Client différent de celui du devis",IF(AG408="","Aucune ligne : saisissez des lignes ou un devis",IF(AND(AI408&lt;&gt;"",COUNTIF($AI$6:AI408,AI408)&gt;1),"Devis déjà repris par une autre facture",IF(AND(AA408="Avoir",M408=""),"Avoir : indiquez la facture d'origine",IF(AND(AA408="Avoir",ISNA(MATCH(M408,fa_num,0))),"Facture d'origine inconnue",IF(AND(AA408&lt;&gt;"Avoir",M408&lt;&gt;""),"« Avoir sur facture » : réservé aux avoirs",IF(AND(L408&lt;&gt;"",AA408&lt;&gt;"Facture"),"Acompte à déduire : réservé aux factures",IF(AND(L408&lt;&gt;"",ISNA(MATCH(L408,fa_num,0))),"Facture d'acompte inconnue",IF(AND(L408&lt;&gt;"",IFERROR(INDEX(fa_type,MATCH(L408,fa_num,0)),"")&lt;&gt;"Facture d'acompte"),"Le n° à déduire n'est pas une facture d'acompte",IF(AND(L408&lt;&gt;"",COUNTIF($L$6:L408,L408)&gt;1),"Acompte déjà déduit sur une autre facture",IF(AND(L408&lt;&gt;"",IFERROR(INDEX(fa_client,MATCH(L408,fa_num,0)),D408)&lt;&gt;D408),"Acompte d'un autre client",IF(AND(AR408&lt;&gt;"",N(Q408)&lt;0),"Acompte supérieur au total de la facture",IF(IF(AG408="Facture",COUNTIFS(fl_doc,A408,fl_check,"&lt;&gt;OK"),IF(AG408="Devis",COUNTIFS(dl_doc,F408,dl_check,"&lt;&gt;OK"),0))&gt;0,"Ligne(s) à corriger",IF(AND(W408&lt;&gt;"",N(W408)&lt;0),"Trop-perçu : vérifiez paiements et avoirs","OK")))))))))))))))))))))</f>
        <v/>
      </c>
      <c r="AA408" s="62" t="str">
        <f>IF(COUNTA(B408:D408,F408:O408)&gt;0,IF(B408="","Facture",B408),"")</f>
        <v/>
      </c>
      <c r="AB408" s="62" t="str">
        <f>IF(AA408="","",IF(AA408="Avoir",p_pav,IF(AA408="Facture d'acompte",p_pac,p_pfa)))</f>
        <v/>
      </c>
      <c r="AC408" s="62">
        <f>IF(ISNUMBER(C408),C408,0)</f>
        <v>0.0</v>
      </c>
      <c r="AD408" s="62" t="str">
        <f>IF(OR(AA408="",AC408=0),"",YEAR(AC408))</f>
        <v/>
      </c>
      <c r="AE408" s="62" t="str">
        <f>IF(AD408="","",COUNTIFS($AB$6:AB408,AB408,$AD$6:AD408,AD408))</f>
        <v/>
      </c>
      <c r="AF408" s="62">
        <f>IF(A408="",0,COUNTIF(fl_doc,A408))</f>
        <v>0.0</v>
      </c>
      <c r="AG408" s="62" t="str">
        <f>IF(A408="","",IF(AF408&gt;0,"Facture",IF(AND(F408&lt;&gt;"",AA408="Facture",ISNUMBER(MATCH(F408,dv_num,0))),"Devis","")))</f>
        <v/>
      </c>
      <c r="AH408" s="62" t="str">
        <f>IF(AND(A408&lt;&gt;"",F408&lt;&gt;"",AA408&lt;&gt;"Avoir"),F408,"")</f>
        <v/>
      </c>
      <c r="AI408" s="62" t="str">
        <f>IF(AG408="Devis",F408,"")</f>
        <v/>
      </c>
      <c r="AJ408" s="62">
        <f>IF(AG408="Facture",SUMIF(fl_doc,A408,fl_ht),IF(AG408="Devis",SUMIF(dl_doc,F408,dl_ht),0))</f>
        <v>0.0</v>
      </c>
      <c r="AK408" s="62">
        <f>IF(OR(AG408="",INDEX(p_rates,1)=""),0,IF(AG408="Facture",SUMIFS(fl_ht,fl_doc,A408,fl_rate,INDEX(p_rates,1)),SUMIFS(dl_ht,dl_doc,F408,dl_rate,INDEX(p_rates,1))))</f>
        <v>0.0</v>
      </c>
      <c r="AL408" s="62">
        <f>IF(OR(AG408="",INDEX(p_rates,2)=""),0,IF(AG408="Facture",SUMIFS(fl_ht,fl_doc,A408,fl_rate,INDEX(p_rates,2)),SUMIFS(dl_ht,dl_doc,F408,dl_rate,INDEX(p_rates,2))))</f>
        <v>0.0</v>
      </c>
      <c r="AM408" s="62">
        <f>IF(OR(AG408="",INDEX(p_rates,3)=""),0,IF(AG408="Facture",SUMIFS(fl_ht,fl_doc,A408,fl_rate,INDEX(p_rates,3)),SUMIFS(dl_ht,dl_doc,F408,dl_rate,INDEX(p_rates,3))))</f>
        <v>0.0</v>
      </c>
      <c r="AN408" s="62">
        <f>IF(OR(AG408="",INDEX(p_rates,4)=""),0,IF(AG408="Facture",SUMIFS(fl_ht,fl_doc,A408,fl_rate,INDEX(p_rates,4)),SUMIFS(dl_ht,dl_doc,F408,dl_rate,INDEX(p_rates,4))))</f>
        <v>0.0</v>
      </c>
      <c r="AO408" s="62">
        <f>IF(OR(AG408="",INDEX(p_rates,5)=""),0,IF(AG408="Facture",SUMIFS(fl_ht,fl_doc,A408,fl_rate,INDEX(p_rates,5)),SUMIFS(dl_ht,dl_doc,F408,dl_rate,INDEX(p_rates,5))))</f>
        <v>0.0</v>
      </c>
      <c r="AP408" s="62">
        <f>IF(OR(AG408="",INDEX(p_rates,6)=""),0,IF(AG408="Facture",SUMIFS(fl_ht,fl_doc,A408,fl_rate,INDEX(p_rates,6)),SUMIFS(dl_ht,dl_doc,F408,dl_rate,INDEX(p_rates,6))))</f>
        <v>0.0</v>
      </c>
      <c r="AQ408" s="62">
        <f>ROUND(AK408*N(INDEX(p_rates,1)),2)+ROUND(AL408*N(INDEX(p_rates,2)),2)+ROUND(AM408*N(INDEX(p_rates,3)),2)+ROUND(AN408*N(INDEX(p_rates,4)),2)+ROUND(AO408*N(INDEX(p_rates,5)),2)+ROUND(AP408*N(INDEX(p_rates,6)),2)</f>
        <v>0.0</v>
      </c>
      <c r="AR408" s="62" t="str">
        <f>IF(OR(L408="",AA408&lt;&gt;"Facture"),"",IFERROR(IF(INDEX(fa_type,MATCH(L408,fa_num,0))="Facture d'acompte",MATCH(L408,fa_num,0),""),""))</f>
        <v/>
      </c>
      <c r="AS408" s="62" t="str">
        <f>IF(W408="","",IF(W408&lt;=0,"",IF(p_asof-P408&lt;=0,"Non échu",IF(p_asof-P408&lt;=30,"1-30 j",IF(p_asof-P408&lt;=60,"31-60 j",IF(p_asof-P408&lt;=90,"61-90 j","Plus de 90 j"))))))</f>
        <v/>
      </c>
      <c r="AT408" s="62" t="str">
        <f>IF(AS408="","",p_asof-P408)</f>
        <v/>
      </c>
      <c r="AU408" s="62" t="str">
        <f>IF(AT408="","",COUNTIF($AT$6:$AT$805,"&gt;"&amp;AT408)+COUNTIF($AT$6:AT408,AT408))</f>
        <v/>
      </c>
    </row>
    <row r="409">
      <c r="A409" s="59" t="str">
        <f>IF(AE409="","",AB409&amp;"-"&amp;AD409&amp;"-"&amp;RIGHT("000"&amp;AE409,4))</f>
        <v/>
      </c>
      <c r="B409" s="60" t="n"/>
      <c r="C409" s="61" t="n"/>
      <c r="D409" s="60" t="n"/>
      <c r="E409" s="62" t="str">
        <f>IF(D409="","",IFERROR(INDEX(cli_name,MATCH(D409,cli_code,0))&amp;"","Client inconnu"))</f>
        <v/>
      </c>
      <c r="F409" s="60" t="n"/>
      <c r="G409" s="63" t="n"/>
      <c r="H409" s="61" t="n"/>
      <c r="I409" s="63" t="n"/>
      <c r="J409" s="60" t="n"/>
      <c r="K409" s="61" t="n"/>
      <c r="L409" s="60" t="n"/>
      <c r="M409" s="60" t="n"/>
      <c r="N409" s="60" t="n"/>
      <c r="O409" s="61" t="n"/>
      <c r="P409" s="64" t="str">
        <f>IF(A409="","",IF(AA409="Avoir",AC409,IF(ISNUMBER(K409),K409,AC409+IF(D409="",N(p_delay),IFERROR(IF(ISNUMBER(INDEX(cli_delay,MATCH(D409,cli_code,0))),INDEX(cli_delay,MATCH(D409,cli_code,0)),N(p_delay)),N(p_delay))))))</f>
        <v/>
      </c>
      <c r="Q409" s="65" t="str">
        <f>IF(A409="","",IF(AA409="Avoir",-1,1)*ROUND(AJ409-IF(AR409="",0,INDEX(fa_htb,AR409)),2))</f>
        <v/>
      </c>
      <c r="R409" s="65" t="str">
        <f>IF(A409="","",IF(AA409="Avoir",-1,1)*ROUND(AQ409-IF(AR409="",0,INDEX(fa_tvab,AR409)),2))</f>
        <v/>
      </c>
      <c r="S409" s="65" t="str">
        <f>IF(A409="","",Q409+R409)</f>
        <v/>
      </c>
      <c r="T409" s="65" t="str">
        <f>IF(AR409="","",INDEX(fa_htb,AR409)+INDEX(fa_tvab,AR409))</f>
        <v/>
      </c>
      <c r="U409" s="65" t="str">
        <f>IF(A409="","",SUMIF(pa_inv,A409,pa_amt))</f>
        <v/>
      </c>
      <c r="V409" s="65" t="str">
        <f>IF(OR(A409="",AA409="Avoir"),"",-SUMIFS(fa_ttc,fa_avof,A409,fa_type,"Avoir"))</f>
        <v/>
      </c>
      <c r="W409" s="65" t="str">
        <f>IF(OR(A409="",AA409="Avoir"),"",ROUND(S409-U409-V409,2))</f>
        <v/>
      </c>
      <c r="X409" s="66" t="str">
        <f>IF(W409="","",IF(AND(W409&gt;0,p_asof&gt;P409),p_asof-P409,""))</f>
        <v/>
      </c>
      <c r="Y409" s="59" t="str">
        <f>IF(A409="","",IF(AA409="Avoir","Avoir",IF(W409&lt;0,"Trop-perçu",IF(W409=0,"Soldée",IF(p_asof&gt;P409,"En retard",IF(U409+V409&gt;0,"Partielle","À échoir"))))))</f>
        <v/>
      </c>
      <c r="Z409" s="59" t="str">
        <f>IF(NOT(COUNTA(B409:D409,F409:O409)&gt;0),"",IF(C409="","Date manquante",IF(NOT(ISNUMBER(C409)),"Date invalide",IF(D409="","Client manquant",IF(ISNA(MATCH(D409,cli_code,0)),"Client inconnu",IF(AC409&lt;SUMPRODUCT(MAX(($AB$6:AB408=AB409)*$AC$6:AC408)),"Date antérieure à la facture précédente",IF(AND(F409&lt;&gt;"",ISNA(MATCH(F409,dv_num,0))),"Devis inconnu",IF(AND(F409&lt;&gt;"",IFERROR(INDEX(dv_client,MATCH(F409,dv_num,0)),D409)&lt;&gt;D409),"Client différent de celui du devis",IF(AG409="","Aucune ligne : saisissez des lignes ou un devis",IF(AND(AI409&lt;&gt;"",COUNTIF($AI$6:AI409,AI409)&gt;1),"Devis déjà repris par une autre facture",IF(AND(AA409="Avoir",M409=""),"Avoir : indiquez la facture d'origine",IF(AND(AA409="Avoir",ISNA(MATCH(M409,fa_num,0))),"Facture d'origine inconnue",IF(AND(AA409&lt;&gt;"Avoir",M409&lt;&gt;""),"« Avoir sur facture » : réservé aux avoirs",IF(AND(L409&lt;&gt;"",AA409&lt;&gt;"Facture"),"Acompte à déduire : réservé aux factures",IF(AND(L409&lt;&gt;"",ISNA(MATCH(L409,fa_num,0))),"Facture d'acompte inconnue",IF(AND(L409&lt;&gt;"",IFERROR(INDEX(fa_type,MATCH(L409,fa_num,0)),"")&lt;&gt;"Facture d'acompte"),"Le n° à déduire n'est pas une facture d'acompte",IF(AND(L409&lt;&gt;"",COUNTIF($L$6:L409,L409)&gt;1),"Acompte déjà déduit sur une autre facture",IF(AND(L409&lt;&gt;"",IFERROR(INDEX(fa_client,MATCH(L409,fa_num,0)),D409)&lt;&gt;D409),"Acompte d'un autre client",IF(AND(AR409&lt;&gt;"",N(Q409)&lt;0),"Acompte supérieur au total de la facture",IF(IF(AG409="Facture",COUNTIFS(fl_doc,A409,fl_check,"&lt;&gt;OK"),IF(AG409="Devis",COUNTIFS(dl_doc,F409,dl_check,"&lt;&gt;OK"),0))&gt;0,"Ligne(s) à corriger",IF(AND(W409&lt;&gt;"",N(W409)&lt;0),"Trop-perçu : vérifiez paiements et avoirs","OK")))))))))))))))))))))</f>
        <v/>
      </c>
      <c r="AA409" s="62" t="str">
        <f>IF(COUNTA(B409:D409,F409:O409)&gt;0,IF(B409="","Facture",B409),"")</f>
        <v/>
      </c>
      <c r="AB409" s="62" t="str">
        <f>IF(AA409="","",IF(AA409="Avoir",p_pav,IF(AA409="Facture d'acompte",p_pac,p_pfa)))</f>
        <v/>
      </c>
      <c r="AC409" s="62">
        <f>IF(ISNUMBER(C409),C409,0)</f>
        <v>0.0</v>
      </c>
      <c r="AD409" s="62" t="str">
        <f>IF(OR(AA409="",AC409=0),"",YEAR(AC409))</f>
        <v/>
      </c>
      <c r="AE409" s="62" t="str">
        <f>IF(AD409="","",COUNTIFS($AB$6:AB409,AB409,$AD$6:AD409,AD409))</f>
        <v/>
      </c>
      <c r="AF409" s="62">
        <f>IF(A409="",0,COUNTIF(fl_doc,A409))</f>
        <v>0.0</v>
      </c>
      <c r="AG409" s="62" t="str">
        <f>IF(A409="","",IF(AF409&gt;0,"Facture",IF(AND(F409&lt;&gt;"",AA409="Facture",ISNUMBER(MATCH(F409,dv_num,0))),"Devis","")))</f>
        <v/>
      </c>
      <c r="AH409" s="62" t="str">
        <f>IF(AND(A409&lt;&gt;"",F409&lt;&gt;"",AA409&lt;&gt;"Avoir"),F409,"")</f>
        <v/>
      </c>
      <c r="AI409" s="62" t="str">
        <f>IF(AG409="Devis",F409,"")</f>
        <v/>
      </c>
      <c r="AJ409" s="62">
        <f>IF(AG409="Facture",SUMIF(fl_doc,A409,fl_ht),IF(AG409="Devis",SUMIF(dl_doc,F409,dl_ht),0))</f>
        <v>0.0</v>
      </c>
      <c r="AK409" s="62">
        <f>IF(OR(AG409="",INDEX(p_rates,1)=""),0,IF(AG409="Facture",SUMIFS(fl_ht,fl_doc,A409,fl_rate,INDEX(p_rates,1)),SUMIFS(dl_ht,dl_doc,F409,dl_rate,INDEX(p_rates,1))))</f>
        <v>0.0</v>
      </c>
      <c r="AL409" s="62">
        <f>IF(OR(AG409="",INDEX(p_rates,2)=""),0,IF(AG409="Facture",SUMIFS(fl_ht,fl_doc,A409,fl_rate,INDEX(p_rates,2)),SUMIFS(dl_ht,dl_doc,F409,dl_rate,INDEX(p_rates,2))))</f>
        <v>0.0</v>
      </c>
      <c r="AM409" s="62">
        <f>IF(OR(AG409="",INDEX(p_rates,3)=""),0,IF(AG409="Facture",SUMIFS(fl_ht,fl_doc,A409,fl_rate,INDEX(p_rates,3)),SUMIFS(dl_ht,dl_doc,F409,dl_rate,INDEX(p_rates,3))))</f>
        <v>0.0</v>
      </c>
      <c r="AN409" s="62">
        <f>IF(OR(AG409="",INDEX(p_rates,4)=""),0,IF(AG409="Facture",SUMIFS(fl_ht,fl_doc,A409,fl_rate,INDEX(p_rates,4)),SUMIFS(dl_ht,dl_doc,F409,dl_rate,INDEX(p_rates,4))))</f>
        <v>0.0</v>
      </c>
      <c r="AO409" s="62">
        <f>IF(OR(AG409="",INDEX(p_rates,5)=""),0,IF(AG409="Facture",SUMIFS(fl_ht,fl_doc,A409,fl_rate,INDEX(p_rates,5)),SUMIFS(dl_ht,dl_doc,F409,dl_rate,INDEX(p_rates,5))))</f>
        <v>0.0</v>
      </c>
      <c r="AP409" s="62">
        <f>IF(OR(AG409="",INDEX(p_rates,6)=""),0,IF(AG409="Facture",SUMIFS(fl_ht,fl_doc,A409,fl_rate,INDEX(p_rates,6)),SUMIFS(dl_ht,dl_doc,F409,dl_rate,INDEX(p_rates,6))))</f>
        <v>0.0</v>
      </c>
      <c r="AQ409" s="62">
        <f>ROUND(AK409*N(INDEX(p_rates,1)),2)+ROUND(AL409*N(INDEX(p_rates,2)),2)+ROUND(AM409*N(INDEX(p_rates,3)),2)+ROUND(AN409*N(INDEX(p_rates,4)),2)+ROUND(AO409*N(INDEX(p_rates,5)),2)+ROUND(AP409*N(INDEX(p_rates,6)),2)</f>
        <v>0.0</v>
      </c>
      <c r="AR409" s="62" t="str">
        <f>IF(OR(L409="",AA409&lt;&gt;"Facture"),"",IFERROR(IF(INDEX(fa_type,MATCH(L409,fa_num,0))="Facture d'acompte",MATCH(L409,fa_num,0),""),""))</f>
        <v/>
      </c>
      <c r="AS409" s="62" t="str">
        <f>IF(W409="","",IF(W409&lt;=0,"",IF(p_asof-P409&lt;=0,"Non échu",IF(p_asof-P409&lt;=30,"1-30 j",IF(p_asof-P409&lt;=60,"31-60 j",IF(p_asof-P409&lt;=90,"61-90 j","Plus de 90 j"))))))</f>
        <v/>
      </c>
      <c r="AT409" s="62" t="str">
        <f>IF(AS409="","",p_asof-P409)</f>
        <v/>
      </c>
      <c r="AU409" s="62" t="str">
        <f>IF(AT409="","",COUNTIF($AT$6:$AT$805,"&gt;"&amp;AT409)+COUNTIF($AT$6:AT409,AT409))</f>
        <v/>
      </c>
    </row>
    <row r="410">
      <c r="A410" s="59" t="str">
        <f>IF(AE410="","",AB410&amp;"-"&amp;AD410&amp;"-"&amp;RIGHT("000"&amp;AE410,4))</f>
        <v/>
      </c>
      <c r="B410" s="60" t="n"/>
      <c r="C410" s="61" t="n"/>
      <c r="D410" s="60" t="n"/>
      <c r="E410" s="62" t="str">
        <f>IF(D410="","",IFERROR(INDEX(cli_name,MATCH(D410,cli_code,0))&amp;"","Client inconnu"))</f>
        <v/>
      </c>
      <c r="F410" s="60" t="n"/>
      <c r="G410" s="63" t="n"/>
      <c r="H410" s="61" t="n"/>
      <c r="I410" s="63" t="n"/>
      <c r="J410" s="60" t="n"/>
      <c r="K410" s="61" t="n"/>
      <c r="L410" s="60" t="n"/>
      <c r="M410" s="60" t="n"/>
      <c r="N410" s="60" t="n"/>
      <c r="O410" s="61" t="n"/>
      <c r="P410" s="64" t="str">
        <f>IF(A410="","",IF(AA410="Avoir",AC410,IF(ISNUMBER(K410),K410,AC410+IF(D410="",N(p_delay),IFERROR(IF(ISNUMBER(INDEX(cli_delay,MATCH(D410,cli_code,0))),INDEX(cli_delay,MATCH(D410,cli_code,0)),N(p_delay)),N(p_delay))))))</f>
        <v/>
      </c>
      <c r="Q410" s="65" t="str">
        <f>IF(A410="","",IF(AA410="Avoir",-1,1)*ROUND(AJ410-IF(AR410="",0,INDEX(fa_htb,AR410)),2))</f>
        <v/>
      </c>
      <c r="R410" s="65" t="str">
        <f>IF(A410="","",IF(AA410="Avoir",-1,1)*ROUND(AQ410-IF(AR410="",0,INDEX(fa_tvab,AR410)),2))</f>
        <v/>
      </c>
      <c r="S410" s="65" t="str">
        <f>IF(A410="","",Q410+R410)</f>
        <v/>
      </c>
      <c r="T410" s="65" t="str">
        <f>IF(AR410="","",INDEX(fa_htb,AR410)+INDEX(fa_tvab,AR410))</f>
        <v/>
      </c>
      <c r="U410" s="65" t="str">
        <f>IF(A410="","",SUMIF(pa_inv,A410,pa_amt))</f>
        <v/>
      </c>
      <c r="V410" s="65" t="str">
        <f>IF(OR(A410="",AA410="Avoir"),"",-SUMIFS(fa_ttc,fa_avof,A410,fa_type,"Avoir"))</f>
        <v/>
      </c>
      <c r="W410" s="65" t="str">
        <f>IF(OR(A410="",AA410="Avoir"),"",ROUND(S410-U410-V410,2))</f>
        <v/>
      </c>
      <c r="X410" s="66" t="str">
        <f>IF(W410="","",IF(AND(W410&gt;0,p_asof&gt;P410),p_asof-P410,""))</f>
        <v/>
      </c>
      <c r="Y410" s="59" t="str">
        <f>IF(A410="","",IF(AA410="Avoir","Avoir",IF(W410&lt;0,"Trop-perçu",IF(W410=0,"Soldée",IF(p_asof&gt;P410,"En retard",IF(U410+V410&gt;0,"Partielle","À échoir"))))))</f>
        <v/>
      </c>
      <c r="Z410" s="59" t="str">
        <f>IF(NOT(COUNTA(B410:D410,F410:O410)&gt;0),"",IF(C410="","Date manquante",IF(NOT(ISNUMBER(C410)),"Date invalide",IF(D410="","Client manquant",IF(ISNA(MATCH(D410,cli_code,0)),"Client inconnu",IF(AC410&lt;SUMPRODUCT(MAX(($AB$6:AB409=AB410)*$AC$6:AC409)),"Date antérieure à la facture précédente",IF(AND(F410&lt;&gt;"",ISNA(MATCH(F410,dv_num,0))),"Devis inconnu",IF(AND(F410&lt;&gt;"",IFERROR(INDEX(dv_client,MATCH(F410,dv_num,0)),D410)&lt;&gt;D410),"Client différent de celui du devis",IF(AG410="","Aucune ligne : saisissez des lignes ou un devis",IF(AND(AI410&lt;&gt;"",COUNTIF($AI$6:AI410,AI410)&gt;1),"Devis déjà repris par une autre facture",IF(AND(AA410="Avoir",M410=""),"Avoir : indiquez la facture d'origine",IF(AND(AA410="Avoir",ISNA(MATCH(M410,fa_num,0))),"Facture d'origine inconnue",IF(AND(AA410&lt;&gt;"Avoir",M410&lt;&gt;""),"« Avoir sur facture » : réservé aux avoirs",IF(AND(L410&lt;&gt;"",AA410&lt;&gt;"Facture"),"Acompte à déduire : réservé aux factures",IF(AND(L410&lt;&gt;"",ISNA(MATCH(L410,fa_num,0))),"Facture d'acompte inconnue",IF(AND(L410&lt;&gt;"",IFERROR(INDEX(fa_type,MATCH(L410,fa_num,0)),"")&lt;&gt;"Facture d'acompte"),"Le n° à déduire n'est pas une facture d'acompte",IF(AND(L410&lt;&gt;"",COUNTIF($L$6:L410,L410)&gt;1),"Acompte déjà déduit sur une autre facture",IF(AND(L410&lt;&gt;"",IFERROR(INDEX(fa_client,MATCH(L410,fa_num,0)),D410)&lt;&gt;D410),"Acompte d'un autre client",IF(AND(AR410&lt;&gt;"",N(Q410)&lt;0),"Acompte supérieur au total de la facture",IF(IF(AG410="Facture",COUNTIFS(fl_doc,A410,fl_check,"&lt;&gt;OK"),IF(AG410="Devis",COUNTIFS(dl_doc,F410,dl_check,"&lt;&gt;OK"),0))&gt;0,"Ligne(s) à corriger",IF(AND(W410&lt;&gt;"",N(W410)&lt;0),"Trop-perçu : vérifiez paiements et avoirs","OK")))))))))))))))))))))</f>
        <v/>
      </c>
      <c r="AA410" s="62" t="str">
        <f>IF(COUNTA(B410:D410,F410:O410)&gt;0,IF(B410="","Facture",B410),"")</f>
        <v/>
      </c>
      <c r="AB410" s="62" t="str">
        <f>IF(AA410="","",IF(AA410="Avoir",p_pav,IF(AA410="Facture d'acompte",p_pac,p_pfa)))</f>
        <v/>
      </c>
      <c r="AC410" s="62">
        <f>IF(ISNUMBER(C410),C410,0)</f>
        <v>0.0</v>
      </c>
      <c r="AD410" s="62" t="str">
        <f>IF(OR(AA410="",AC410=0),"",YEAR(AC410))</f>
        <v/>
      </c>
      <c r="AE410" s="62" t="str">
        <f>IF(AD410="","",COUNTIFS($AB$6:AB410,AB410,$AD$6:AD410,AD410))</f>
        <v/>
      </c>
      <c r="AF410" s="62">
        <f>IF(A410="",0,COUNTIF(fl_doc,A410))</f>
        <v>0.0</v>
      </c>
      <c r="AG410" s="62" t="str">
        <f>IF(A410="","",IF(AF410&gt;0,"Facture",IF(AND(F410&lt;&gt;"",AA410="Facture",ISNUMBER(MATCH(F410,dv_num,0))),"Devis","")))</f>
        <v/>
      </c>
      <c r="AH410" s="62" t="str">
        <f>IF(AND(A410&lt;&gt;"",F410&lt;&gt;"",AA410&lt;&gt;"Avoir"),F410,"")</f>
        <v/>
      </c>
      <c r="AI410" s="62" t="str">
        <f>IF(AG410="Devis",F410,"")</f>
        <v/>
      </c>
      <c r="AJ410" s="62">
        <f>IF(AG410="Facture",SUMIF(fl_doc,A410,fl_ht),IF(AG410="Devis",SUMIF(dl_doc,F410,dl_ht),0))</f>
        <v>0.0</v>
      </c>
      <c r="AK410" s="62">
        <f>IF(OR(AG410="",INDEX(p_rates,1)=""),0,IF(AG410="Facture",SUMIFS(fl_ht,fl_doc,A410,fl_rate,INDEX(p_rates,1)),SUMIFS(dl_ht,dl_doc,F410,dl_rate,INDEX(p_rates,1))))</f>
        <v>0.0</v>
      </c>
      <c r="AL410" s="62">
        <f>IF(OR(AG410="",INDEX(p_rates,2)=""),0,IF(AG410="Facture",SUMIFS(fl_ht,fl_doc,A410,fl_rate,INDEX(p_rates,2)),SUMIFS(dl_ht,dl_doc,F410,dl_rate,INDEX(p_rates,2))))</f>
        <v>0.0</v>
      </c>
      <c r="AM410" s="62">
        <f>IF(OR(AG410="",INDEX(p_rates,3)=""),0,IF(AG410="Facture",SUMIFS(fl_ht,fl_doc,A410,fl_rate,INDEX(p_rates,3)),SUMIFS(dl_ht,dl_doc,F410,dl_rate,INDEX(p_rates,3))))</f>
        <v>0.0</v>
      </c>
      <c r="AN410" s="62">
        <f>IF(OR(AG410="",INDEX(p_rates,4)=""),0,IF(AG410="Facture",SUMIFS(fl_ht,fl_doc,A410,fl_rate,INDEX(p_rates,4)),SUMIFS(dl_ht,dl_doc,F410,dl_rate,INDEX(p_rates,4))))</f>
        <v>0.0</v>
      </c>
      <c r="AO410" s="62">
        <f>IF(OR(AG410="",INDEX(p_rates,5)=""),0,IF(AG410="Facture",SUMIFS(fl_ht,fl_doc,A410,fl_rate,INDEX(p_rates,5)),SUMIFS(dl_ht,dl_doc,F410,dl_rate,INDEX(p_rates,5))))</f>
        <v>0.0</v>
      </c>
      <c r="AP410" s="62">
        <f>IF(OR(AG410="",INDEX(p_rates,6)=""),0,IF(AG410="Facture",SUMIFS(fl_ht,fl_doc,A410,fl_rate,INDEX(p_rates,6)),SUMIFS(dl_ht,dl_doc,F410,dl_rate,INDEX(p_rates,6))))</f>
        <v>0.0</v>
      </c>
      <c r="AQ410" s="62">
        <f>ROUND(AK410*N(INDEX(p_rates,1)),2)+ROUND(AL410*N(INDEX(p_rates,2)),2)+ROUND(AM410*N(INDEX(p_rates,3)),2)+ROUND(AN410*N(INDEX(p_rates,4)),2)+ROUND(AO410*N(INDEX(p_rates,5)),2)+ROUND(AP410*N(INDEX(p_rates,6)),2)</f>
        <v>0.0</v>
      </c>
      <c r="AR410" s="62" t="str">
        <f>IF(OR(L410="",AA410&lt;&gt;"Facture"),"",IFERROR(IF(INDEX(fa_type,MATCH(L410,fa_num,0))="Facture d'acompte",MATCH(L410,fa_num,0),""),""))</f>
        <v/>
      </c>
      <c r="AS410" s="62" t="str">
        <f>IF(W410="","",IF(W410&lt;=0,"",IF(p_asof-P410&lt;=0,"Non échu",IF(p_asof-P410&lt;=30,"1-30 j",IF(p_asof-P410&lt;=60,"31-60 j",IF(p_asof-P410&lt;=90,"61-90 j","Plus de 90 j"))))))</f>
        <v/>
      </c>
      <c r="AT410" s="62" t="str">
        <f>IF(AS410="","",p_asof-P410)</f>
        <v/>
      </c>
      <c r="AU410" s="62" t="str">
        <f>IF(AT410="","",COUNTIF($AT$6:$AT$805,"&gt;"&amp;AT410)+COUNTIF($AT$6:AT410,AT410))</f>
        <v/>
      </c>
    </row>
    <row r="411">
      <c r="A411" s="59" t="str">
        <f>IF(AE411="","",AB411&amp;"-"&amp;AD411&amp;"-"&amp;RIGHT("000"&amp;AE411,4))</f>
        <v/>
      </c>
      <c r="B411" s="60" t="n"/>
      <c r="C411" s="61" t="n"/>
      <c r="D411" s="60" t="n"/>
      <c r="E411" s="62" t="str">
        <f>IF(D411="","",IFERROR(INDEX(cli_name,MATCH(D411,cli_code,0))&amp;"","Client inconnu"))</f>
        <v/>
      </c>
      <c r="F411" s="60" t="n"/>
      <c r="G411" s="63" t="n"/>
      <c r="H411" s="61" t="n"/>
      <c r="I411" s="63" t="n"/>
      <c r="J411" s="60" t="n"/>
      <c r="K411" s="61" t="n"/>
      <c r="L411" s="60" t="n"/>
      <c r="M411" s="60" t="n"/>
      <c r="N411" s="60" t="n"/>
      <c r="O411" s="61" t="n"/>
      <c r="P411" s="64" t="str">
        <f>IF(A411="","",IF(AA411="Avoir",AC411,IF(ISNUMBER(K411),K411,AC411+IF(D411="",N(p_delay),IFERROR(IF(ISNUMBER(INDEX(cli_delay,MATCH(D411,cli_code,0))),INDEX(cli_delay,MATCH(D411,cli_code,0)),N(p_delay)),N(p_delay))))))</f>
        <v/>
      </c>
      <c r="Q411" s="65" t="str">
        <f>IF(A411="","",IF(AA411="Avoir",-1,1)*ROUND(AJ411-IF(AR411="",0,INDEX(fa_htb,AR411)),2))</f>
        <v/>
      </c>
      <c r="R411" s="65" t="str">
        <f>IF(A411="","",IF(AA411="Avoir",-1,1)*ROUND(AQ411-IF(AR411="",0,INDEX(fa_tvab,AR411)),2))</f>
        <v/>
      </c>
      <c r="S411" s="65" t="str">
        <f>IF(A411="","",Q411+R411)</f>
        <v/>
      </c>
      <c r="T411" s="65" t="str">
        <f>IF(AR411="","",INDEX(fa_htb,AR411)+INDEX(fa_tvab,AR411))</f>
        <v/>
      </c>
      <c r="U411" s="65" t="str">
        <f>IF(A411="","",SUMIF(pa_inv,A411,pa_amt))</f>
        <v/>
      </c>
      <c r="V411" s="65" t="str">
        <f>IF(OR(A411="",AA411="Avoir"),"",-SUMIFS(fa_ttc,fa_avof,A411,fa_type,"Avoir"))</f>
        <v/>
      </c>
      <c r="W411" s="65" t="str">
        <f>IF(OR(A411="",AA411="Avoir"),"",ROUND(S411-U411-V411,2))</f>
        <v/>
      </c>
      <c r="X411" s="66" t="str">
        <f>IF(W411="","",IF(AND(W411&gt;0,p_asof&gt;P411),p_asof-P411,""))</f>
        <v/>
      </c>
      <c r="Y411" s="59" t="str">
        <f>IF(A411="","",IF(AA411="Avoir","Avoir",IF(W411&lt;0,"Trop-perçu",IF(W411=0,"Soldée",IF(p_asof&gt;P411,"En retard",IF(U411+V411&gt;0,"Partielle","À échoir"))))))</f>
        <v/>
      </c>
      <c r="Z411" s="59" t="str">
        <f>IF(NOT(COUNTA(B411:D411,F411:O411)&gt;0),"",IF(C411="","Date manquante",IF(NOT(ISNUMBER(C411)),"Date invalide",IF(D411="","Client manquant",IF(ISNA(MATCH(D411,cli_code,0)),"Client inconnu",IF(AC411&lt;SUMPRODUCT(MAX(($AB$6:AB410=AB411)*$AC$6:AC410)),"Date antérieure à la facture précédente",IF(AND(F411&lt;&gt;"",ISNA(MATCH(F411,dv_num,0))),"Devis inconnu",IF(AND(F411&lt;&gt;"",IFERROR(INDEX(dv_client,MATCH(F411,dv_num,0)),D411)&lt;&gt;D411),"Client différent de celui du devis",IF(AG411="","Aucune ligne : saisissez des lignes ou un devis",IF(AND(AI411&lt;&gt;"",COUNTIF($AI$6:AI411,AI411)&gt;1),"Devis déjà repris par une autre facture",IF(AND(AA411="Avoir",M411=""),"Avoir : indiquez la facture d'origine",IF(AND(AA411="Avoir",ISNA(MATCH(M411,fa_num,0))),"Facture d'origine inconnue",IF(AND(AA411&lt;&gt;"Avoir",M411&lt;&gt;""),"« Avoir sur facture » : réservé aux avoirs",IF(AND(L411&lt;&gt;"",AA411&lt;&gt;"Facture"),"Acompte à déduire : réservé aux factures",IF(AND(L411&lt;&gt;"",ISNA(MATCH(L411,fa_num,0))),"Facture d'acompte inconnue",IF(AND(L411&lt;&gt;"",IFERROR(INDEX(fa_type,MATCH(L411,fa_num,0)),"")&lt;&gt;"Facture d'acompte"),"Le n° à déduire n'est pas une facture d'acompte",IF(AND(L411&lt;&gt;"",COUNTIF($L$6:L411,L411)&gt;1),"Acompte déjà déduit sur une autre facture",IF(AND(L411&lt;&gt;"",IFERROR(INDEX(fa_client,MATCH(L411,fa_num,0)),D411)&lt;&gt;D411),"Acompte d'un autre client",IF(AND(AR411&lt;&gt;"",N(Q411)&lt;0),"Acompte supérieur au total de la facture",IF(IF(AG411="Facture",COUNTIFS(fl_doc,A411,fl_check,"&lt;&gt;OK"),IF(AG411="Devis",COUNTIFS(dl_doc,F411,dl_check,"&lt;&gt;OK"),0))&gt;0,"Ligne(s) à corriger",IF(AND(W411&lt;&gt;"",N(W411)&lt;0),"Trop-perçu : vérifiez paiements et avoirs","OK")))))))))))))))))))))</f>
        <v/>
      </c>
      <c r="AA411" s="62" t="str">
        <f>IF(COUNTA(B411:D411,F411:O411)&gt;0,IF(B411="","Facture",B411),"")</f>
        <v/>
      </c>
      <c r="AB411" s="62" t="str">
        <f>IF(AA411="","",IF(AA411="Avoir",p_pav,IF(AA411="Facture d'acompte",p_pac,p_pfa)))</f>
        <v/>
      </c>
      <c r="AC411" s="62">
        <f>IF(ISNUMBER(C411),C411,0)</f>
        <v>0.0</v>
      </c>
      <c r="AD411" s="62" t="str">
        <f>IF(OR(AA411="",AC411=0),"",YEAR(AC411))</f>
        <v/>
      </c>
      <c r="AE411" s="62" t="str">
        <f>IF(AD411="","",COUNTIFS($AB$6:AB411,AB411,$AD$6:AD411,AD411))</f>
        <v/>
      </c>
      <c r="AF411" s="62">
        <f>IF(A411="",0,COUNTIF(fl_doc,A411))</f>
        <v>0.0</v>
      </c>
      <c r="AG411" s="62" t="str">
        <f>IF(A411="","",IF(AF411&gt;0,"Facture",IF(AND(F411&lt;&gt;"",AA411="Facture",ISNUMBER(MATCH(F411,dv_num,0))),"Devis","")))</f>
        <v/>
      </c>
      <c r="AH411" s="62" t="str">
        <f>IF(AND(A411&lt;&gt;"",F411&lt;&gt;"",AA411&lt;&gt;"Avoir"),F411,"")</f>
        <v/>
      </c>
      <c r="AI411" s="62" t="str">
        <f>IF(AG411="Devis",F411,"")</f>
        <v/>
      </c>
      <c r="AJ411" s="62">
        <f>IF(AG411="Facture",SUMIF(fl_doc,A411,fl_ht),IF(AG411="Devis",SUMIF(dl_doc,F411,dl_ht),0))</f>
        <v>0.0</v>
      </c>
      <c r="AK411" s="62">
        <f>IF(OR(AG411="",INDEX(p_rates,1)=""),0,IF(AG411="Facture",SUMIFS(fl_ht,fl_doc,A411,fl_rate,INDEX(p_rates,1)),SUMIFS(dl_ht,dl_doc,F411,dl_rate,INDEX(p_rates,1))))</f>
        <v>0.0</v>
      </c>
      <c r="AL411" s="62">
        <f>IF(OR(AG411="",INDEX(p_rates,2)=""),0,IF(AG411="Facture",SUMIFS(fl_ht,fl_doc,A411,fl_rate,INDEX(p_rates,2)),SUMIFS(dl_ht,dl_doc,F411,dl_rate,INDEX(p_rates,2))))</f>
        <v>0.0</v>
      </c>
      <c r="AM411" s="62">
        <f>IF(OR(AG411="",INDEX(p_rates,3)=""),0,IF(AG411="Facture",SUMIFS(fl_ht,fl_doc,A411,fl_rate,INDEX(p_rates,3)),SUMIFS(dl_ht,dl_doc,F411,dl_rate,INDEX(p_rates,3))))</f>
        <v>0.0</v>
      </c>
      <c r="AN411" s="62">
        <f>IF(OR(AG411="",INDEX(p_rates,4)=""),0,IF(AG411="Facture",SUMIFS(fl_ht,fl_doc,A411,fl_rate,INDEX(p_rates,4)),SUMIFS(dl_ht,dl_doc,F411,dl_rate,INDEX(p_rates,4))))</f>
        <v>0.0</v>
      </c>
      <c r="AO411" s="62">
        <f>IF(OR(AG411="",INDEX(p_rates,5)=""),0,IF(AG411="Facture",SUMIFS(fl_ht,fl_doc,A411,fl_rate,INDEX(p_rates,5)),SUMIFS(dl_ht,dl_doc,F411,dl_rate,INDEX(p_rates,5))))</f>
        <v>0.0</v>
      </c>
      <c r="AP411" s="62">
        <f>IF(OR(AG411="",INDEX(p_rates,6)=""),0,IF(AG411="Facture",SUMIFS(fl_ht,fl_doc,A411,fl_rate,INDEX(p_rates,6)),SUMIFS(dl_ht,dl_doc,F411,dl_rate,INDEX(p_rates,6))))</f>
        <v>0.0</v>
      </c>
      <c r="AQ411" s="62">
        <f>ROUND(AK411*N(INDEX(p_rates,1)),2)+ROUND(AL411*N(INDEX(p_rates,2)),2)+ROUND(AM411*N(INDEX(p_rates,3)),2)+ROUND(AN411*N(INDEX(p_rates,4)),2)+ROUND(AO411*N(INDEX(p_rates,5)),2)+ROUND(AP411*N(INDEX(p_rates,6)),2)</f>
        <v>0.0</v>
      </c>
      <c r="AR411" s="62" t="str">
        <f>IF(OR(L411="",AA411&lt;&gt;"Facture"),"",IFERROR(IF(INDEX(fa_type,MATCH(L411,fa_num,0))="Facture d'acompte",MATCH(L411,fa_num,0),""),""))</f>
        <v/>
      </c>
      <c r="AS411" s="62" t="str">
        <f>IF(W411="","",IF(W411&lt;=0,"",IF(p_asof-P411&lt;=0,"Non échu",IF(p_asof-P411&lt;=30,"1-30 j",IF(p_asof-P411&lt;=60,"31-60 j",IF(p_asof-P411&lt;=90,"61-90 j","Plus de 90 j"))))))</f>
        <v/>
      </c>
      <c r="AT411" s="62" t="str">
        <f>IF(AS411="","",p_asof-P411)</f>
        <v/>
      </c>
      <c r="AU411" s="62" t="str">
        <f>IF(AT411="","",COUNTIF($AT$6:$AT$805,"&gt;"&amp;AT411)+COUNTIF($AT$6:AT411,AT411))</f>
        <v/>
      </c>
    </row>
    <row r="412">
      <c r="A412" s="59" t="str">
        <f>IF(AE412="","",AB412&amp;"-"&amp;AD412&amp;"-"&amp;RIGHT("000"&amp;AE412,4))</f>
        <v/>
      </c>
      <c r="B412" s="60" t="n"/>
      <c r="C412" s="61" t="n"/>
      <c r="D412" s="60" t="n"/>
      <c r="E412" s="62" t="str">
        <f>IF(D412="","",IFERROR(INDEX(cli_name,MATCH(D412,cli_code,0))&amp;"","Client inconnu"))</f>
        <v/>
      </c>
      <c r="F412" s="60" t="n"/>
      <c r="G412" s="63" t="n"/>
      <c r="H412" s="61" t="n"/>
      <c r="I412" s="63" t="n"/>
      <c r="J412" s="60" t="n"/>
      <c r="K412" s="61" t="n"/>
      <c r="L412" s="60" t="n"/>
      <c r="M412" s="60" t="n"/>
      <c r="N412" s="60" t="n"/>
      <c r="O412" s="61" t="n"/>
      <c r="P412" s="64" t="str">
        <f>IF(A412="","",IF(AA412="Avoir",AC412,IF(ISNUMBER(K412),K412,AC412+IF(D412="",N(p_delay),IFERROR(IF(ISNUMBER(INDEX(cli_delay,MATCH(D412,cli_code,0))),INDEX(cli_delay,MATCH(D412,cli_code,0)),N(p_delay)),N(p_delay))))))</f>
        <v/>
      </c>
      <c r="Q412" s="65" t="str">
        <f>IF(A412="","",IF(AA412="Avoir",-1,1)*ROUND(AJ412-IF(AR412="",0,INDEX(fa_htb,AR412)),2))</f>
        <v/>
      </c>
      <c r="R412" s="65" t="str">
        <f>IF(A412="","",IF(AA412="Avoir",-1,1)*ROUND(AQ412-IF(AR412="",0,INDEX(fa_tvab,AR412)),2))</f>
        <v/>
      </c>
      <c r="S412" s="65" t="str">
        <f>IF(A412="","",Q412+R412)</f>
        <v/>
      </c>
      <c r="T412" s="65" t="str">
        <f>IF(AR412="","",INDEX(fa_htb,AR412)+INDEX(fa_tvab,AR412))</f>
        <v/>
      </c>
      <c r="U412" s="65" t="str">
        <f>IF(A412="","",SUMIF(pa_inv,A412,pa_amt))</f>
        <v/>
      </c>
      <c r="V412" s="65" t="str">
        <f>IF(OR(A412="",AA412="Avoir"),"",-SUMIFS(fa_ttc,fa_avof,A412,fa_type,"Avoir"))</f>
        <v/>
      </c>
      <c r="W412" s="65" t="str">
        <f>IF(OR(A412="",AA412="Avoir"),"",ROUND(S412-U412-V412,2))</f>
        <v/>
      </c>
      <c r="X412" s="66" t="str">
        <f>IF(W412="","",IF(AND(W412&gt;0,p_asof&gt;P412),p_asof-P412,""))</f>
        <v/>
      </c>
      <c r="Y412" s="59" t="str">
        <f>IF(A412="","",IF(AA412="Avoir","Avoir",IF(W412&lt;0,"Trop-perçu",IF(W412=0,"Soldée",IF(p_asof&gt;P412,"En retard",IF(U412+V412&gt;0,"Partielle","À échoir"))))))</f>
        <v/>
      </c>
      <c r="Z412" s="59" t="str">
        <f>IF(NOT(COUNTA(B412:D412,F412:O412)&gt;0),"",IF(C412="","Date manquante",IF(NOT(ISNUMBER(C412)),"Date invalide",IF(D412="","Client manquant",IF(ISNA(MATCH(D412,cli_code,0)),"Client inconnu",IF(AC412&lt;SUMPRODUCT(MAX(($AB$6:AB411=AB412)*$AC$6:AC411)),"Date antérieure à la facture précédente",IF(AND(F412&lt;&gt;"",ISNA(MATCH(F412,dv_num,0))),"Devis inconnu",IF(AND(F412&lt;&gt;"",IFERROR(INDEX(dv_client,MATCH(F412,dv_num,0)),D412)&lt;&gt;D412),"Client différent de celui du devis",IF(AG412="","Aucune ligne : saisissez des lignes ou un devis",IF(AND(AI412&lt;&gt;"",COUNTIF($AI$6:AI412,AI412)&gt;1),"Devis déjà repris par une autre facture",IF(AND(AA412="Avoir",M412=""),"Avoir : indiquez la facture d'origine",IF(AND(AA412="Avoir",ISNA(MATCH(M412,fa_num,0))),"Facture d'origine inconnue",IF(AND(AA412&lt;&gt;"Avoir",M412&lt;&gt;""),"« Avoir sur facture » : réservé aux avoirs",IF(AND(L412&lt;&gt;"",AA412&lt;&gt;"Facture"),"Acompte à déduire : réservé aux factures",IF(AND(L412&lt;&gt;"",ISNA(MATCH(L412,fa_num,0))),"Facture d'acompte inconnue",IF(AND(L412&lt;&gt;"",IFERROR(INDEX(fa_type,MATCH(L412,fa_num,0)),"")&lt;&gt;"Facture d'acompte"),"Le n° à déduire n'est pas une facture d'acompte",IF(AND(L412&lt;&gt;"",COUNTIF($L$6:L412,L412)&gt;1),"Acompte déjà déduit sur une autre facture",IF(AND(L412&lt;&gt;"",IFERROR(INDEX(fa_client,MATCH(L412,fa_num,0)),D412)&lt;&gt;D412),"Acompte d'un autre client",IF(AND(AR412&lt;&gt;"",N(Q412)&lt;0),"Acompte supérieur au total de la facture",IF(IF(AG412="Facture",COUNTIFS(fl_doc,A412,fl_check,"&lt;&gt;OK"),IF(AG412="Devis",COUNTIFS(dl_doc,F412,dl_check,"&lt;&gt;OK"),0))&gt;0,"Ligne(s) à corriger",IF(AND(W412&lt;&gt;"",N(W412)&lt;0),"Trop-perçu : vérifiez paiements et avoirs","OK")))))))))))))))))))))</f>
        <v/>
      </c>
      <c r="AA412" s="62" t="str">
        <f>IF(COUNTA(B412:D412,F412:O412)&gt;0,IF(B412="","Facture",B412),"")</f>
        <v/>
      </c>
      <c r="AB412" s="62" t="str">
        <f>IF(AA412="","",IF(AA412="Avoir",p_pav,IF(AA412="Facture d'acompte",p_pac,p_pfa)))</f>
        <v/>
      </c>
      <c r="AC412" s="62">
        <f>IF(ISNUMBER(C412),C412,0)</f>
        <v>0.0</v>
      </c>
      <c r="AD412" s="62" t="str">
        <f>IF(OR(AA412="",AC412=0),"",YEAR(AC412))</f>
        <v/>
      </c>
      <c r="AE412" s="62" t="str">
        <f>IF(AD412="","",COUNTIFS($AB$6:AB412,AB412,$AD$6:AD412,AD412))</f>
        <v/>
      </c>
      <c r="AF412" s="62">
        <f>IF(A412="",0,COUNTIF(fl_doc,A412))</f>
        <v>0.0</v>
      </c>
      <c r="AG412" s="62" t="str">
        <f>IF(A412="","",IF(AF412&gt;0,"Facture",IF(AND(F412&lt;&gt;"",AA412="Facture",ISNUMBER(MATCH(F412,dv_num,0))),"Devis","")))</f>
        <v/>
      </c>
      <c r="AH412" s="62" t="str">
        <f>IF(AND(A412&lt;&gt;"",F412&lt;&gt;"",AA412&lt;&gt;"Avoir"),F412,"")</f>
        <v/>
      </c>
      <c r="AI412" s="62" t="str">
        <f>IF(AG412="Devis",F412,"")</f>
        <v/>
      </c>
      <c r="AJ412" s="62">
        <f>IF(AG412="Facture",SUMIF(fl_doc,A412,fl_ht),IF(AG412="Devis",SUMIF(dl_doc,F412,dl_ht),0))</f>
        <v>0.0</v>
      </c>
      <c r="AK412" s="62">
        <f>IF(OR(AG412="",INDEX(p_rates,1)=""),0,IF(AG412="Facture",SUMIFS(fl_ht,fl_doc,A412,fl_rate,INDEX(p_rates,1)),SUMIFS(dl_ht,dl_doc,F412,dl_rate,INDEX(p_rates,1))))</f>
        <v>0.0</v>
      </c>
      <c r="AL412" s="62">
        <f>IF(OR(AG412="",INDEX(p_rates,2)=""),0,IF(AG412="Facture",SUMIFS(fl_ht,fl_doc,A412,fl_rate,INDEX(p_rates,2)),SUMIFS(dl_ht,dl_doc,F412,dl_rate,INDEX(p_rates,2))))</f>
        <v>0.0</v>
      </c>
      <c r="AM412" s="62">
        <f>IF(OR(AG412="",INDEX(p_rates,3)=""),0,IF(AG412="Facture",SUMIFS(fl_ht,fl_doc,A412,fl_rate,INDEX(p_rates,3)),SUMIFS(dl_ht,dl_doc,F412,dl_rate,INDEX(p_rates,3))))</f>
        <v>0.0</v>
      </c>
      <c r="AN412" s="62">
        <f>IF(OR(AG412="",INDEX(p_rates,4)=""),0,IF(AG412="Facture",SUMIFS(fl_ht,fl_doc,A412,fl_rate,INDEX(p_rates,4)),SUMIFS(dl_ht,dl_doc,F412,dl_rate,INDEX(p_rates,4))))</f>
        <v>0.0</v>
      </c>
      <c r="AO412" s="62">
        <f>IF(OR(AG412="",INDEX(p_rates,5)=""),0,IF(AG412="Facture",SUMIFS(fl_ht,fl_doc,A412,fl_rate,INDEX(p_rates,5)),SUMIFS(dl_ht,dl_doc,F412,dl_rate,INDEX(p_rates,5))))</f>
        <v>0.0</v>
      </c>
      <c r="AP412" s="62">
        <f>IF(OR(AG412="",INDEX(p_rates,6)=""),0,IF(AG412="Facture",SUMIFS(fl_ht,fl_doc,A412,fl_rate,INDEX(p_rates,6)),SUMIFS(dl_ht,dl_doc,F412,dl_rate,INDEX(p_rates,6))))</f>
        <v>0.0</v>
      </c>
      <c r="AQ412" s="62">
        <f>ROUND(AK412*N(INDEX(p_rates,1)),2)+ROUND(AL412*N(INDEX(p_rates,2)),2)+ROUND(AM412*N(INDEX(p_rates,3)),2)+ROUND(AN412*N(INDEX(p_rates,4)),2)+ROUND(AO412*N(INDEX(p_rates,5)),2)+ROUND(AP412*N(INDEX(p_rates,6)),2)</f>
        <v>0.0</v>
      </c>
      <c r="AR412" s="62" t="str">
        <f>IF(OR(L412="",AA412&lt;&gt;"Facture"),"",IFERROR(IF(INDEX(fa_type,MATCH(L412,fa_num,0))="Facture d'acompte",MATCH(L412,fa_num,0),""),""))</f>
        <v/>
      </c>
      <c r="AS412" s="62" t="str">
        <f>IF(W412="","",IF(W412&lt;=0,"",IF(p_asof-P412&lt;=0,"Non échu",IF(p_asof-P412&lt;=30,"1-30 j",IF(p_asof-P412&lt;=60,"31-60 j",IF(p_asof-P412&lt;=90,"61-90 j","Plus de 90 j"))))))</f>
        <v/>
      </c>
      <c r="AT412" s="62" t="str">
        <f>IF(AS412="","",p_asof-P412)</f>
        <v/>
      </c>
      <c r="AU412" s="62" t="str">
        <f>IF(AT412="","",COUNTIF($AT$6:$AT$805,"&gt;"&amp;AT412)+COUNTIF($AT$6:AT412,AT412))</f>
        <v/>
      </c>
    </row>
    <row r="413">
      <c r="A413" s="59" t="str">
        <f>IF(AE413="","",AB413&amp;"-"&amp;AD413&amp;"-"&amp;RIGHT("000"&amp;AE413,4))</f>
        <v/>
      </c>
      <c r="B413" s="60" t="n"/>
      <c r="C413" s="61" t="n"/>
      <c r="D413" s="60" t="n"/>
      <c r="E413" s="62" t="str">
        <f>IF(D413="","",IFERROR(INDEX(cli_name,MATCH(D413,cli_code,0))&amp;"","Client inconnu"))</f>
        <v/>
      </c>
      <c r="F413" s="60" t="n"/>
      <c r="G413" s="63" t="n"/>
      <c r="H413" s="61" t="n"/>
      <c r="I413" s="63" t="n"/>
      <c r="J413" s="60" t="n"/>
      <c r="K413" s="61" t="n"/>
      <c r="L413" s="60" t="n"/>
      <c r="M413" s="60" t="n"/>
      <c r="N413" s="60" t="n"/>
      <c r="O413" s="61" t="n"/>
      <c r="P413" s="64" t="str">
        <f>IF(A413="","",IF(AA413="Avoir",AC413,IF(ISNUMBER(K413),K413,AC413+IF(D413="",N(p_delay),IFERROR(IF(ISNUMBER(INDEX(cli_delay,MATCH(D413,cli_code,0))),INDEX(cli_delay,MATCH(D413,cli_code,0)),N(p_delay)),N(p_delay))))))</f>
        <v/>
      </c>
      <c r="Q413" s="65" t="str">
        <f>IF(A413="","",IF(AA413="Avoir",-1,1)*ROUND(AJ413-IF(AR413="",0,INDEX(fa_htb,AR413)),2))</f>
        <v/>
      </c>
      <c r="R413" s="65" t="str">
        <f>IF(A413="","",IF(AA413="Avoir",-1,1)*ROUND(AQ413-IF(AR413="",0,INDEX(fa_tvab,AR413)),2))</f>
        <v/>
      </c>
      <c r="S413" s="65" t="str">
        <f>IF(A413="","",Q413+R413)</f>
        <v/>
      </c>
      <c r="T413" s="65" t="str">
        <f>IF(AR413="","",INDEX(fa_htb,AR413)+INDEX(fa_tvab,AR413))</f>
        <v/>
      </c>
      <c r="U413" s="65" t="str">
        <f>IF(A413="","",SUMIF(pa_inv,A413,pa_amt))</f>
        <v/>
      </c>
      <c r="V413" s="65" t="str">
        <f>IF(OR(A413="",AA413="Avoir"),"",-SUMIFS(fa_ttc,fa_avof,A413,fa_type,"Avoir"))</f>
        <v/>
      </c>
      <c r="W413" s="65" t="str">
        <f>IF(OR(A413="",AA413="Avoir"),"",ROUND(S413-U413-V413,2))</f>
        <v/>
      </c>
      <c r="X413" s="66" t="str">
        <f>IF(W413="","",IF(AND(W413&gt;0,p_asof&gt;P413),p_asof-P413,""))</f>
        <v/>
      </c>
      <c r="Y413" s="59" t="str">
        <f>IF(A413="","",IF(AA413="Avoir","Avoir",IF(W413&lt;0,"Trop-perçu",IF(W413=0,"Soldée",IF(p_asof&gt;P413,"En retard",IF(U413+V413&gt;0,"Partielle","À échoir"))))))</f>
        <v/>
      </c>
      <c r="Z413" s="59" t="str">
        <f>IF(NOT(COUNTA(B413:D413,F413:O413)&gt;0),"",IF(C413="","Date manquante",IF(NOT(ISNUMBER(C413)),"Date invalide",IF(D413="","Client manquant",IF(ISNA(MATCH(D413,cli_code,0)),"Client inconnu",IF(AC413&lt;SUMPRODUCT(MAX(($AB$6:AB412=AB413)*$AC$6:AC412)),"Date antérieure à la facture précédente",IF(AND(F413&lt;&gt;"",ISNA(MATCH(F413,dv_num,0))),"Devis inconnu",IF(AND(F413&lt;&gt;"",IFERROR(INDEX(dv_client,MATCH(F413,dv_num,0)),D413)&lt;&gt;D413),"Client différent de celui du devis",IF(AG413="","Aucune ligne : saisissez des lignes ou un devis",IF(AND(AI413&lt;&gt;"",COUNTIF($AI$6:AI413,AI413)&gt;1),"Devis déjà repris par une autre facture",IF(AND(AA413="Avoir",M413=""),"Avoir : indiquez la facture d'origine",IF(AND(AA413="Avoir",ISNA(MATCH(M413,fa_num,0))),"Facture d'origine inconnue",IF(AND(AA413&lt;&gt;"Avoir",M413&lt;&gt;""),"« Avoir sur facture » : réservé aux avoirs",IF(AND(L413&lt;&gt;"",AA413&lt;&gt;"Facture"),"Acompte à déduire : réservé aux factures",IF(AND(L413&lt;&gt;"",ISNA(MATCH(L413,fa_num,0))),"Facture d'acompte inconnue",IF(AND(L413&lt;&gt;"",IFERROR(INDEX(fa_type,MATCH(L413,fa_num,0)),"")&lt;&gt;"Facture d'acompte"),"Le n° à déduire n'est pas une facture d'acompte",IF(AND(L413&lt;&gt;"",COUNTIF($L$6:L413,L413)&gt;1),"Acompte déjà déduit sur une autre facture",IF(AND(L413&lt;&gt;"",IFERROR(INDEX(fa_client,MATCH(L413,fa_num,0)),D413)&lt;&gt;D413),"Acompte d'un autre client",IF(AND(AR413&lt;&gt;"",N(Q413)&lt;0),"Acompte supérieur au total de la facture",IF(IF(AG413="Facture",COUNTIFS(fl_doc,A413,fl_check,"&lt;&gt;OK"),IF(AG413="Devis",COUNTIFS(dl_doc,F413,dl_check,"&lt;&gt;OK"),0))&gt;0,"Ligne(s) à corriger",IF(AND(W413&lt;&gt;"",N(W413)&lt;0),"Trop-perçu : vérifiez paiements et avoirs","OK")))))))))))))))))))))</f>
        <v/>
      </c>
      <c r="AA413" s="62" t="str">
        <f>IF(COUNTA(B413:D413,F413:O413)&gt;0,IF(B413="","Facture",B413),"")</f>
        <v/>
      </c>
      <c r="AB413" s="62" t="str">
        <f>IF(AA413="","",IF(AA413="Avoir",p_pav,IF(AA413="Facture d'acompte",p_pac,p_pfa)))</f>
        <v/>
      </c>
      <c r="AC413" s="62">
        <f>IF(ISNUMBER(C413),C413,0)</f>
        <v>0.0</v>
      </c>
      <c r="AD413" s="62" t="str">
        <f>IF(OR(AA413="",AC413=0),"",YEAR(AC413))</f>
        <v/>
      </c>
      <c r="AE413" s="62" t="str">
        <f>IF(AD413="","",COUNTIFS($AB$6:AB413,AB413,$AD$6:AD413,AD413))</f>
        <v/>
      </c>
      <c r="AF413" s="62">
        <f>IF(A413="",0,COUNTIF(fl_doc,A413))</f>
        <v>0.0</v>
      </c>
      <c r="AG413" s="62" t="str">
        <f>IF(A413="","",IF(AF413&gt;0,"Facture",IF(AND(F413&lt;&gt;"",AA413="Facture",ISNUMBER(MATCH(F413,dv_num,0))),"Devis","")))</f>
        <v/>
      </c>
      <c r="AH413" s="62" t="str">
        <f>IF(AND(A413&lt;&gt;"",F413&lt;&gt;"",AA413&lt;&gt;"Avoir"),F413,"")</f>
        <v/>
      </c>
      <c r="AI413" s="62" t="str">
        <f>IF(AG413="Devis",F413,"")</f>
        <v/>
      </c>
      <c r="AJ413" s="62">
        <f>IF(AG413="Facture",SUMIF(fl_doc,A413,fl_ht),IF(AG413="Devis",SUMIF(dl_doc,F413,dl_ht),0))</f>
        <v>0.0</v>
      </c>
      <c r="AK413" s="62">
        <f>IF(OR(AG413="",INDEX(p_rates,1)=""),0,IF(AG413="Facture",SUMIFS(fl_ht,fl_doc,A413,fl_rate,INDEX(p_rates,1)),SUMIFS(dl_ht,dl_doc,F413,dl_rate,INDEX(p_rates,1))))</f>
        <v>0.0</v>
      </c>
      <c r="AL413" s="62">
        <f>IF(OR(AG413="",INDEX(p_rates,2)=""),0,IF(AG413="Facture",SUMIFS(fl_ht,fl_doc,A413,fl_rate,INDEX(p_rates,2)),SUMIFS(dl_ht,dl_doc,F413,dl_rate,INDEX(p_rates,2))))</f>
        <v>0.0</v>
      </c>
      <c r="AM413" s="62">
        <f>IF(OR(AG413="",INDEX(p_rates,3)=""),0,IF(AG413="Facture",SUMIFS(fl_ht,fl_doc,A413,fl_rate,INDEX(p_rates,3)),SUMIFS(dl_ht,dl_doc,F413,dl_rate,INDEX(p_rates,3))))</f>
        <v>0.0</v>
      </c>
      <c r="AN413" s="62">
        <f>IF(OR(AG413="",INDEX(p_rates,4)=""),0,IF(AG413="Facture",SUMIFS(fl_ht,fl_doc,A413,fl_rate,INDEX(p_rates,4)),SUMIFS(dl_ht,dl_doc,F413,dl_rate,INDEX(p_rates,4))))</f>
        <v>0.0</v>
      </c>
      <c r="AO413" s="62">
        <f>IF(OR(AG413="",INDEX(p_rates,5)=""),0,IF(AG413="Facture",SUMIFS(fl_ht,fl_doc,A413,fl_rate,INDEX(p_rates,5)),SUMIFS(dl_ht,dl_doc,F413,dl_rate,INDEX(p_rates,5))))</f>
        <v>0.0</v>
      </c>
      <c r="AP413" s="62">
        <f>IF(OR(AG413="",INDEX(p_rates,6)=""),0,IF(AG413="Facture",SUMIFS(fl_ht,fl_doc,A413,fl_rate,INDEX(p_rates,6)),SUMIFS(dl_ht,dl_doc,F413,dl_rate,INDEX(p_rates,6))))</f>
        <v>0.0</v>
      </c>
      <c r="AQ413" s="62">
        <f>ROUND(AK413*N(INDEX(p_rates,1)),2)+ROUND(AL413*N(INDEX(p_rates,2)),2)+ROUND(AM413*N(INDEX(p_rates,3)),2)+ROUND(AN413*N(INDEX(p_rates,4)),2)+ROUND(AO413*N(INDEX(p_rates,5)),2)+ROUND(AP413*N(INDEX(p_rates,6)),2)</f>
        <v>0.0</v>
      </c>
      <c r="AR413" s="62" t="str">
        <f>IF(OR(L413="",AA413&lt;&gt;"Facture"),"",IFERROR(IF(INDEX(fa_type,MATCH(L413,fa_num,0))="Facture d'acompte",MATCH(L413,fa_num,0),""),""))</f>
        <v/>
      </c>
      <c r="AS413" s="62" t="str">
        <f>IF(W413="","",IF(W413&lt;=0,"",IF(p_asof-P413&lt;=0,"Non échu",IF(p_asof-P413&lt;=30,"1-30 j",IF(p_asof-P413&lt;=60,"31-60 j",IF(p_asof-P413&lt;=90,"61-90 j","Plus de 90 j"))))))</f>
        <v/>
      </c>
      <c r="AT413" s="62" t="str">
        <f>IF(AS413="","",p_asof-P413)</f>
        <v/>
      </c>
      <c r="AU413" s="62" t="str">
        <f>IF(AT413="","",COUNTIF($AT$6:$AT$805,"&gt;"&amp;AT413)+COUNTIF($AT$6:AT413,AT413))</f>
        <v/>
      </c>
    </row>
    <row r="414">
      <c r="A414" s="59" t="str">
        <f>IF(AE414="","",AB414&amp;"-"&amp;AD414&amp;"-"&amp;RIGHT("000"&amp;AE414,4))</f>
        <v/>
      </c>
      <c r="B414" s="60" t="n"/>
      <c r="C414" s="61" t="n"/>
      <c r="D414" s="60" t="n"/>
      <c r="E414" s="62" t="str">
        <f>IF(D414="","",IFERROR(INDEX(cli_name,MATCH(D414,cli_code,0))&amp;"","Client inconnu"))</f>
        <v/>
      </c>
      <c r="F414" s="60" t="n"/>
      <c r="G414" s="63" t="n"/>
      <c r="H414" s="61" t="n"/>
      <c r="I414" s="63" t="n"/>
      <c r="J414" s="60" t="n"/>
      <c r="K414" s="61" t="n"/>
      <c r="L414" s="60" t="n"/>
      <c r="M414" s="60" t="n"/>
      <c r="N414" s="60" t="n"/>
      <c r="O414" s="61" t="n"/>
      <c r="P414" s="64" t="str">
        <f>IF(A414="","",IF(AA414="Avoir",AC414,IF(ISNUMBER(K414),K414,AC414+IF(D414="",N(p_delay),IFERROR(IF(ISNUMBER(INDEX(cli_delay,MATCH(D414,cli_code,0))),INDEX(cli_delay,MATCH(D414,cli_code,0)),N(p_delay)),N(p_delay))))))</f>
        <v/>
      </c>
      <c r="Q414" s="65" t="str">
        <f>IF(A414="","",IF(AA414="Avoir",-1,1)*ROUND(AJ414-IF(AR414="",0,INDEX(fa_htb,AR414)),2))</f>
        <v/>
      </c>
      <c r="R414" s="65" t="str">
        <f>IF(A414="","",IF(AA414="Avoir",-1,1)*ROUND(AQ414-IF(AR414="",0,INDEX(fa_tvab,AR414)),2))</f>
        <v/>
      </c>
      <c r="S414" s="65" t="str">
        <f>IF(A414="","",Q414+R414)</f>
        <v/>
      </c>
      <c r="T414" s="65" t="str">
        <f>IF(AR414="","",INDEX(fa_htb,AR414)+INDEX(fa_tvab,AR414))</f>
        <v/>
      </c>
      <c r="U414" s="65" t="str">
        <f>IF(A414="","",SUMIF(pa_inv,A414,pa_amt))</f>
        <v/>
      </c>
      <c r="V414" s="65" t="str">
        <f>IF(OR(A414="",AA414="Avoir"),"",-SUMIFS(fa_ttc,fa_avof,A414,fa_type,"Avoir"))</f>
        <v/>
      </c>
      <c r="W414" s="65" t="str">
        <f>IF(OR(A414="",AA414="Avoir"),"",ROUND(S414-U414-V414,2))</f>
        <v/>
      </c>
      <c r="X414" s="66" t="str">
        <f>IF(W414="","",IF(AND(W414&gt;0,p_asof&gt;P414),p_asof-P414,""))</f>
        <v/>
      </c>
      <c r="Y414" s="59" t="str">
        <f>IF(A414="","",IF(AA414="Avoir","Avoir",IF(W414&lt;0,"Trop-perçu",IF(W414=0,"Soldée",IF(p_asof&gt;P414,"En retard",IF(U414+V414&gt;0,"Partielle","À échoir"))))))</f>
        <v/>
      </c>
      <c r="Z414" s="59" t="str">
        <f>IF(NOT(COUNTA(B414:D414,F414:O414)&gt;0),"",IF(C414="","Date manquante",IF(NOT(ISNUMBER(C414)),"Date invalide",IF(D414="","Client manquant",IF(ISNA(MATCH(D414,cli_code,0)),"Client inconnu",IF(AC414&lt;SUMPRODUCT(MAX(($AB$6:AB413=AB414)*$AC$6:AC413)),"Date antérieure à la facture précédente",IF(AND(F414&lt;&gt;"",ISNA(MATCH(F414,dv_num,0))),"Devis inconnu",IF(AND(F414&lt;&gt;"",IFERROR(INDEX(dv_client,MATCH(F414,dv_num,0)),D414)&lt;&gt;D414),"Client différent de celui du devis",IF(AG414="","Aucune ligne : saisissez des lignes ou un devis",IF(AND(AI414&lt;&gt;"",COUNTIF($AI$6:AI414,AI414)&gt;1),"Devis déjà repris par une autre facture",IF(AND(AA414="Avoir",M414=""),"Avoir : indiquez la facture d'origine",IF(AND(AA414="Avoir",ISNA(MATCH(M414,fa_num,0))),"Facture d'origine inconnue",IF(AND(AA414&lt;&gt;"Avoir",M414&lt;&gt;""),"« Avoir sur facture » : réservé aux avoirs",IF(AND(L414&lt;&gt;"",AA414&lt;&gt;"Facture"),"Acompte à déduire : réservé aux factures",IF(AND(L414&lt;&gt;"",ISNA(MATCH(L414,fa_num,0))),"Facture d'acompte inconnue",IF(AND(L414&lt;&gt;"",IFERROR(INDEX(fa_type,MATCH(L414,fa_num,0)),"")&lt;&gt;"Facture d'acompte"),"Le n° à déduire n'est pas une facture d'acompte",IF(AND(L414&lt;&gt;"",COUNTIF($L$6:L414,L414)&gt;1),"Acompte déjà déduit sur une autre facture",IF(AND(L414&lt;&gt;"",IFERROR(INDEX(fa_client,MATCH(L414,fa_num,0)),D414)&lt;&gt;D414),"Acompte d'un autre client",IF(AND(AR414&lt;&gt;"",N(Q414)&lt;0),"Acompte supérieur au total de la facture",IF(IF(AG414="Facture",COUNTIFS(fl_doc,A414,fl_check,"&lt;&gt;OK"),IF(AG414="Devis",COUNTIFS(dl_doc,F414,dl_check,"&lt;&gt;OK"),0))&gt;0,"Ligne(s) à corriger",IF(AND(W414&lt;&gt;"",N(W414)&lt;0),"Trop-perçu : vérifiez paiements et avoirs","OK")))))))))))))))))))))</f>
        <v/>
      </c>
      <c r="AA414" s="62" t="str">
        <f>IF(COUNTA(B414:D414,F414:O414)&gt;0,IF(B414="","Facture",B414),"")</f>
        <v/>
      </c>
      <c r="AB414" s="62" t="str">
        <f>IF(AA414="","",IF(AA414="Avoir",p_pav,IF(AA414="Facture d'acompte",p_pac,p_pfa)))</f>
        <v/>
      </c>
      <c r="AC414" s="62">
        <f>IF(ISNUMBER(C414),C414,0)</f>
        <v>0.0</v>
      </c>
      <c r="AD414" s="62" t="str">
        <f>IF(OR(AA414="",AC414=0),"",YEAR(AC414))</f>
        <v/>
      </c>
      <c r="AE414" s="62" t="str">
        <f>IF(AD414="","",COUNTIFS($AB$6:AB414,AB414,$AD$6:AD414,AD414))</f>
        <v/>
      </c>
      <c r="AF414" s="62">
        <f>IF(A414="",0,COUNTIF(fl_doc,A414))</f>
        <v>0.0</v>
      </c>
      <c r="AG414" s="62" t="str">
        <f>IF(A414="","",IF(AF414&gt;0,"Facture",IF(AND(F414&lt;&gt;"",AA414="Facture",ISNUMBER(MATCH(F414,dv_num,0))),"Devis","")))</f>
        <v/>
      </c>
      <c r="AH414" s="62" t="str">
        <f>IF(AND(A414&lt;&gt;"",F414&lt;&gt;"",AA414&lt;&gt;"Avoir"),F414,"")</f>
        <v/>
      </c>
      <c r="AI414" s="62" t="str">
        <f>IF(AG414="Devis",F414,"")</f>
        <v/>
      </c>
      <c r="AJ414" s="62">
        <f>IF(AG414="Facture",SUMIF(fl_doc,A414,fl_ht),IF(AG414="Devis",SUMIF(dl_doc,F414,dl_ht),0))</f>
        <v>0.0</v>
      </c>
      <c r="AK414" s="62">
        <f>IF(OR(AG414="",INDEX(p_rates,1)=""),0,IF(AG414="Facture",SUMIFS(fl_ht,fl_doc,A414,fl_rate,INDEX(p_rates,1)),SUMIFS(dl_ht,dl_doc,F414,dl_rate,INDEX(p_rates,1))))</f>
        <v>0.0</v>
      </c>
      <c r="AL414" s="62">
        <f>IF(OR(AG414="",INDEX(p_rates,2)=""),0,IF(AG414="Facture",SUMIFS(fl_ht,fl_doc,A414,fl_rate,INDEX(p_rates,2)),SUMIFS(dl_ht,dl_doc,F414,dl_rate,INDEX(p_rates,2))))</f>
        <v>0.0</v>
      </c>
      <c r="AM414" s="62">
        <f>IF(OR(AG414="",INDEX(p_rates,3)=""),0,IF(AG414="Facture",SUMIFS(fl_ht,fl_doc,A414,fl_rate,INDEX(p_rates,3)),SUMIFS(dl_ht,dl_doc,F414,dl_rate,INDEX(p_rates,3))))</f>
        <v>0.0</v>
      </c>
      <c r="AN414" s="62">
        <f>IF(OR(AG414="",INDEX(p_rates,4)=""),0,IF(AG414="Facture",SUMIFS(fl_ht,fl_doc,A414,fl_rate,INDEX(p_rates,4)),SUMIFS(dl_ht,dl_doc,F414,dl_rate,INDEX(p_rates,4))))</f>
        <v>0.0</v>
      </c>
      <c r="AO414" s="62">
        <f>IF(OR(AG414="",INDEX(p_rates,5)=""),0,IF(AG414="Facture",SUMIFS(fl_ht,fl_doc,A414,fl_rate,INDEX(p_rates,5)),SUMIFS(dl_ht,dl_doc,F414,dl_rate,INDEX(p_rates,5))))</f>
        <v>0.0</v>
      </c>
      <c r="AP414" s="62">
        <f>IF(OR(AG414="",INDEX(p_rates,6)=""),0,IF(AG414="Facture",SUMIFS(fl_ht,fl_doc,A414,fl_rate,INDEX(p_rates,6)),SUMIFS(dl_ht,dl_doc,F414,dl_rate,INDEX(p_rates,6))))</f>
        <v>0.0</v>
      </c>
      <c r="AQ414" s="62">
        <f>ROUND(AK414*N(INDEX(p_rates,1)),2)+ROUND(AL414*N(INDEX(p_rates,2)),2)+ROUND(AM414*N(INDEX(p_rates,3)),2)+ROUND(AN414*N(INDEX(p_rates,4)),2)+ROUND(AO414*N(INDEX(p_rates,5)),2)+ROUND(AP414*N(INDEX(p_rates,6)),2)</f>
        <v>0.0</v>
      </c>
      <c r="AR414" s="62" t="str">
        <f>IF(OR(L414="",AA414&lt;&gt;"Facture"),"",IFERROR(IF(INDEX(fa_type,MATCH(L414,fa_num,0))="Facture d'acompte",MATCH(L414,fa_num,0),""),""))</f>
        <v/>
      </c>
      <c r="AS414" s="62" t="str">
        <f>IF(W414="","",IF(W414&lt;=0,"",IF(p_asof-P414&lt;=0,"Non échu",IF(p_asof-P414&lt;=30,"1-30 j",IF(p_asof-P414&lt;=60,"31-60 j",IF(p_asof-P414&lt;=90,"61-90 j","Plus de 90 j"))))))</f>
        <v/>
      </c>
      <c r="AT414" s="62" t="str">
        <f>IF(AS414="","",p_asof-P414)</f>
        <v/>
      </c>
      <c r="AU414" s="62" t="str">
        <f>IF(AT414="","",COUNTIF($AT$6:$AT$805,"&gt;"&amp;AT414)+COUNTIF($AT$6:AT414,AT414))</f>
        <v/>
      </c>
    </row>
    <row r="415">
      <c r="A415" s="59" t="str">
        <f>IF(AE415="","",AB415&amp;"-"&amp;AD415&amp;"-"&amp;RIGHT("000"&amp;AE415,4))</f>
        <v/>
      </c>
      <c r="B415" s="60" t="n"/>
      <c r="C415" s="61" t="n"/>
      <c r="D415" s="60" t="n"/>
      <c r="E415" s="62" t="str">
        <f>IF(D415="","",IFERROR(INDEX(cli_name,MATCH(D415,cli_code,0))&amp;"","Client inconnu"))</f>
        <v/>
      </c>
      <c r="F415" s="60" t="n"/>
      <c r="G415" s="63" t="n"/>
      <c r="H415" s="61" t="n"/>
      <c r="I415" s="63" t="n"/>
      <c r="J415" s="60" t="n"/>
      <c r="K415" s="61" t="n"/>
      <c r="L415" s="60" t="n"/>
      <c r="M415" s="60" t="n"/>
      <c r="N415" s="60" t="n"/>
      <c r="O415" s="61" t="n"/>
      <c r="P415" s="64" t="str">
        <f>IF(A415="","",IF(AA415="Avoir",AC415,IF(ISNUMBER(K415),K415,AC415+IF(D415="",N(p_delay),IFERROR(IF(ISNUMBER(INDEX(cli_delay,MATCH(D415,cli_code,0))),INDEX(cli_delay,MATCH(D415,cli_code,0)),N(p_delay)),N(p_delay))))))</f>
        <v/>
      </c>
      <c r="Q415" s="65" t="str">
        <f>IF(A415="","",IF(AA415="Avoir",-1,1)*ROUND(AJ415-IF(AR415="",0,INDEX(fa_htb,AR415)),2))</f>
        <v/>
      </c>
      <c r="R415" s="65" t="str">
        <f>IF(A415="","",IF(AA415="Avoir",-1,1)*ROUND(AQ415-IF(AR415="",0,INDEX(fa_tvab,AR415)),2))</f>
        <v/>
      </c>
      <c r="S415" s="65" t="str">
        <f>IF(A415="","",Q415+R415)</f>
        <v/>
      </c>
      <c r="T415" s="65" t="str">
        <f>IF(AR415="","",INDEX(fa_htb,AR415)+INDEX(fa_tvab,AR415))</f>
        <v/>
      </c>
      <c r="U415" s="65" t="str">
        <f>IF(A415="","",SUMIF(pa_inv,A415,pa_amt))</f>
        <v/>
      </c>
      <c r="V415" s="65" t="str">
        <f>IF(OR(A415="",AA415="Avoir"),"",-SUMIFS(fa_ttc,fa_avof,A415,fa_type,"Avoir"))</f>
        <v/>
      </c>
      <c r="W415" s="65" t="str">
        <f>IF(OR(A415="",AA415="Avoir"),"",ROUND(S415-U415-V415,2))</f>
        <v/>
      </c>
      <c r="X415" s="66" t="str">
        <f>IF(W415="","",IF(AND(W415&gt;0,p_asof&gt;P415),p_asof-P415,""))</f>
        <v/>
      </c>
      <c r="Y415" s="59" t="str">
        <f>IF(A415="","",IF(AA415="Avoir","Avoir",IF(W415&lt;0,"Trop-perçu",IF(W415=0,"Soldée",IF(p_asof&gt;P415,"En retard",IF(U415+V415&gt;0,"Partielle","À échoir"))))))</f>
        <v/>
      </c>
      <c r="Z415" s="59" t="str">
        <f>IF(NOT(COUNTA(B415:D415,F415:O415)&gt;0),"",IF(C415="","Date manquante",IF(NOT(ISNUMBER(C415)),"Date invalide",IF(D415="","Client manquant",IF(ISNA(MATCH(D415,cli_code,0)),"Client inconnu",IF(AC415&lt;SUMPRODUCT(MAX(($AB$6:AB414=AB415)*$AC$6:AC414)),"Date antérieure à la facture précédente",IF(AND(F415&lt;&gt;"",ISNA(MATCH(F415,dv_num,0))),"Devis inconnu",IF(AND(F415&lt;&gt;"",IFERROR(INDEX(dv_client,MATCH(F415,dv_num,0)),D415)&lt;&gt;D415),"Client différent de celui du devis",IF(AG415="","Aucune ligne : saisissez des lignes ou un devis",IF(AND(AI415&lt;&gt;"",COUNTIF($AI$6:AI415,AI415)&gt;1),"Devis déjà repris par une autre facture",IF(AND(AA415="Avoir",M415=""),"Avoir : indiquez la facture d'origine",IF(AND(AA415="Avoir",ISNA(MATCH(M415,fa_num,0))),"Facture d'origine inconnue",IF(AND(AA415&lt;&gt;"Avoir",M415&lt;&gt;""),"« Avoir sur facture » : réservé aux avoirs",IF(AND(L415&lt;&gt;"",AA415&lt;&gt;"Facture"),"Acompte à déduire : réservé aux factures",IF(AND(L415&lt;&gt;"",ISNA(MATCH(L415,fa_num,0))),"Facture d'acompte inconnue",IF(AND(L415&lt;&gt;"",IFERROR(INDEX(fa_type,MATCH(L415,fa_num,0)),"")&lt;&gt;"Facture d'acompte"),"Le n° à déduire n'est pas une facture d'acompte",IF(AND(L415&lt;&gt;"",COUNTIF($L$6:L415,L415)&gt;1),"Acompte déjà déduit sur une autre facture",IF(AND(L415&lt;&gt;"",IFERROR(INDEX(fa_client,MATCH(L415,fa_num,0)),D415)&lt;&gt;D415),"Acompte d'un autre client",IF(AND(AR415&lt;&gt;"",N(Q415)&lt;0),"Acompte supérieur au total de la facture",IF(IF(AG415="Facture",COUNTIFS(fl_doc,A415,fl_check,"&lt;&gt;OK"),IF(AG415="Devis",COUNTIFS(dl_doc,F415,dl_check,"&lt;&gt;OK"),0))&gt;0,"Ligne(s) à corriger",IF(AND(W415&lt;&gt;"",N(W415)&lt;0),"Trop-perçu : vérifiez paiements et avoirs","OK")))))))))))))))))))))</f>
        <v/>
      </c>
      <c r="AA415" s="62" t="str">
        <f>IF(COUNTA(B415:D415,F415:O415)&gt;0,IF(B415="","Facture",B415),"")</f>
        <v/>
      </c>
      <c r="AB415" s="62" t="str">
        <f>IF(AA415="","",IF(AA415="Avoir",p_pav,IF(AA415="Facture d'acompte",p_pac,p_pfa)))</f>
        <v/>
      </c>
      <c r="AC415" s="62">
        <f>IF(ISNUMBER(C415),C415,0)</f>
        <v>0.0</v>
      </c>
      <c r="AD415" s="62" t="str">
        <f>IF(OR(AA415="",AC415=0),"",YEAR(AC415))</f>
        <v/>
      </c>
      <c r="AE415" s="62" t="str">
        <f>IF(AD415="","",COUNTIFS($AB$6:AB415,AB415,$AD$6:AD415,AD415))</f>
        <v/>
      </c>
      <c r="AF415" s="62">
        <f>IF(A415="",0,COUNTIF(fl_doc,A415))</f>
        <v>0.0</v>
      </c>
      <c r="AG415" s="62" t="str">
        <f>IF(A415="","",IF(AF415&gt;0,"Facture",IF(AND(F415&lt;&gt;"",AA415="Facture",ISNUMBER(MATCH(F415,dv_num,0))),"Devis","")))</f>
        <v/>
      </c>
      <c r="AH415" s="62" t="str">
        <f>IF(AND(A415&lt;&gt;"",F415&lt;&gt;"",AA415&lt;&gt;"Avoir"),F415,"")</f>
        <v/>
      </c>
      <c r="AI415" s="62" t="str">
        <f>IF(AG415="Devis",F415,"")</f>
        <v/>
      </c>
      <c r="AJ415" s="62">
        <f>IF(AG415="Facture",SUMIF(fl_doc,A415,fl_ht),IF(AG415="Devis",SUMIF(dl_doc,F415,dl_ht),0))</f>
        <v>0.0</v>
      </c>
      <c r="AK415" s="62">
        <f>IF(OR(AG415="",INDEX(p_rates,1)=""),0,IF(AG415="Facture",SUMIFS(fl_ht,fl_doc,A415,fl_rate,INDEX(p_rates,1)),SUMIFS(dl_ht,dl_doc,F415,dl_rate,INDEX(p_rates,1))))</f>
        <v>0.0</v>
      </c>
      <c r="AL415" s="62">
        <f>IF(OR(AG415="",INDEX(p_rates,2)=""),0,IF(AG415="Facture",SUMIFS(fl_ht,fl_doc,A415,fl_rate,INDEX(p_rates,2)),SUMIFS(dl_ht,dl_doc,F415,dl_rate,INDEX(p_rates,2))))</f>
        <v>0.0</v>
      </c>
      <c r="AM415" s="62">
        <f>IF(OR(AG415="",INDEX(p_rates,3)=""),0,IF(AG415="Facture",SUMIFS(fl_ht,fl_doc,A415,fl_rate,INDEX(p_rates,3)),SUMIFS(dl_ht,dl_doc,F415,dl_rate,INDEX(p_rates,3))))</f>
        <v>0.0</v>
      </c>
      <c r="AN415" s="62">
        <f>IF(OR(AG415="",INDEX(p_rates,4)=""),0,IF(AG415="Facture",SUMIFS(fl_ht,fl_doc,A415,fl_rate,INDEX(p_rates,4)),SUMIFS(dl_ht,dl_doc,F415,dl_rate,INDEX(p_rates,4))))</f>
        <v>0.0</v>
      </c>
      <c r="AO415" s="62">
        <f>IF(OR(AG415="",INDEX(p_rates,5)=""),0,IF(AG415="Facture",SUMIFS(fl_ht,fl_doc,A415,fl_rate,INDEX(p_rates,5)),SUMIFS(dl_ht,dl_doc,F415,dl_rate,INDEX(p_rates,5))))</f>
        <v>0.0</v>
      </c>
      <c r="AP415" s="62">
        <f>IF(OR(AG415="",INDEX(p_rates,6)=""),0,IF(AG415="Facture",SUMIFS(fl_ht,fl_doc,A415,fl_rate,INDEX(p_rates,6)),SUMIFS(dl_ht,dl_doc,F415,dl_rate,INDEX(p_rates,6))))</f>
        <v>0.0</v>
      </c>
      <c r="AQ415" s="62">
        <f>ROUND(AK415*N(INDEX(p_rates,1)),2)+ROUND(AL415*N(INDEX(p_rates,2)),2)+ROUND(AM415*N(INDEX(p_rates,3)),2)+ROUND(AN415*N(INDEX(p_rates,4)),2)+ROUND(AO415*N(INDEX(p_rates,5)),2)+ROUND(AP415*N(INDEX(p_rates,6)),2)</f>
        <v>0.0</v>
      </c>
      <c r="AR415" s="62" t="str">
        <f>IF(OR(L415="",AA415&lt;&gt;"Facture"),"",IFERROR(IF(INDEX(fa_type,MATCH(L415,fa_num,0))="Facture d'acompte",MATCH(L415,fa_num,0),""),""))</f>
        <v/>
      </c>
      <c r="AS415" s="62" t="str">
        <f>IF(W415="","",IF(W415&lt;=0,"",IF(p_asof-P415&lt;=0,"Non échu",IF(p_asof-P415&lt;=30,"1-30 j",IF(p_asof-P415&lt;=60,"31-60 j",IF(p_asof-P415&lt;=90,"61-90 j","Plus de 90 j"))))))</f>
        <v/>
      </c>
      <c r="AT415" s="62" t="str">
        <f>IF(AS415="","",p_asof-P415)</f>
        <v/>
      </c>
      <c r="AU415" s="62" t="str">
        <f>IF(AT415="","",COUNTIF($AT$6:$AT$805,"&gt;"&amp;AT415)+COUNTIF($AT$6:AT415,AT415))</f>
        <v/>
      </c>
    </row>
    <row r="416">
      <c r="A416" s="59" t="str">
        <f>IF(AE416="","",AB416&amp;"-"&amp;AD416&amp;"-"&amp;RIGHT("000"&amp;AE416,4))</f>
        <v/>
      </c>
      <c r="B416" s="60" t="n"/>
      <c r="C416" s="61" t="n"/>
      <c r="D416" s="60" t="n"/>
      <c r="E416" s="62" t="str">
        <f>IF(D416="","",IFERROR(INDEX(cli_name,MATCH(D416,cli_code,0))&amp;"","Client inconnu"))</f>
        <v/>
      </c>
      <c r="F416" s="60" t="n"/>
      <c r="G416" s="63" t="n"/>
      <c r="H416" s="61" t="n"/>
      <c r="I416" s="63" t="n"/>
      <c r="J416" s="60" t="n"/>
      <c r="K416" s="61" t="n"/>
      <c r="L416" s="60" t="n"/>
      <c r="M416" s="60" t="n"/>
      <c r="N416" s="60" t="n"/>
      <c r="O416" s="61" t="n"/>
      <c r="P416" s="64" t="str">
        <f>IF(A416="","",IF(AA416="Avoir",AC416,IF(ISNUMBER(K416),K416,AC416+IF(D416="",N(p_delay),IFERROR(IF(ISNUMBER(INDEX(cli_delay,MATCH(D416,cli_code,0))),INDEX(cli_delay,MATCH(D416,cli_code,0)),N(p_delay)),N(p_delay))))))</f>
        <v/>
      </c>
      <c r="Q416" s="65" t="str">
        <f>IF(A416="","",IF(AA416="Avoir",-1,1)*ROUND(AJ416-IF(AR416="",0,INDEX(fa_htb,AR416)),2))</f>
        <v/>
      </c>
      <c r="R416" s="65" t="str">
        <f>IF(A416="","",IF(AA416="Avoir",-1,1)*ROUND(AQ416-IF(AR416="",0,INDEX(fa_tvab,AR416)),2))</f>
        <v/>
      </c>
      <c r="S416" s="65" t="str">
        <f>IF(A416="","",Q416+R416)</f>
        <v/>
      </c>
      <c r="T416" s="65" t="str">
        <f>IF(AR416="","",INDEX(fa_htb,AR416)+INDEX(fa_tvab,AR416))</f>
        <v/>
      </c>
      <c r="U416" s="65" t="str">
        <f>IF(A416="","",SUMIF(pa_inv,A416,pa_amt))</f>
        <v/>
      </c>
      <c r="V416" s="65" t="str">
        <f>IF(OR(A416="",AA416="Avoir"),"",-SUMIFS(fa_ttc,fa_avof,A416,fa_type,"Avoir"))</f>
        <v/>
      </c>
      <c r="W416" s="65" t="str">
        <f>IF(OR(A416="",AA416="Avoir"),"",ROUND(S416-U416-V416,2))</f>
        <v/>
      </c>
      <c r="X416" s="66" t="str">
        <f>IF(W416="","",IF(AND(W416&gt;0,p_asof&gt;P416),p_asof-P416,""))</f>
        <v/>
      </c>
      <c r="Y416" s="59" t="str">
        <f>IF(A416="","",IF(AA416="Avoir","Avoir",IF(W416&lt;0,"Trop-perçu",IF(W416=0,"Soldée",IF(p_asof&gt;P416,"En retard",IF(U416+V416&gt;0,"Partielle","À échoir"))))))</f>
        <v/>
      </c>
      <c r="Z416" s="59" t="str">
        <f>IF(NOT(COUNTA(B416:D416,F416:O416)&gt;0),"",IF(C416="","Date manquante",IF(NOT(ISNUMBER(C416)),"Date invalide",IF(D416="","Client manquant",IF(ISNA(MATCH(D416,cli_code,0)),"Client inconnu",IF(AC416&lt;SUMPRODUCT(MAX(($AB$6:AB415=AB416)*$AC$6:AC415)),"Date antérieure à la facture précédente",IF(AND(F416&lt;&gt;"",ISNA(MATCH(F416,dv_num,0))),"Devis inconnu",IF(AND(F416&lt;&gt;"",IFERROR(INDEX(dv_client,MATCH(F416,dv_num,0)),D416)&lt;&gt;D416),"Client différent de celui du devis",IF(AG416="","Aucune ligne : saisissez des lignes ou un devis",IF(AND(AI416&lt;&gt;"",COUNTIF($AI$6:AI416,AI416)&gt;1),"Devis déjà repris par une autre facture",IF(AND(AA416="Avoir",M416=""),"Avoir : indiquez la facture d'origine",IF(AND(AA416="Avoir",ISNA(MATCH(M416,fa_num,0))),"Facture d'origine inconnue",IF(AND(AA416&lt;&gt;"Avoir",M416&lt;&gt;""),"« Avoir sur facture » : réservé aux avoirs",IF(AND(L416&lt;&gt;"",AA416&lt;&gt;"Facture"),"Acompte à déduire : réservé aux factures",IF(AND(L416&lt;&gt;"",ISNA(MATCH(L416,fa_num,0))),"Facture d'acompte inconnue",IF(AND(L416&lt;&gt;"",IFERROR(INDEX(fa_type,MATCH(L416,fa_num,0)),"")&lt;&gt;"Facture d'acompte"),"Le n° à déduire n'est pas une facture d'acompte",IF(AND(L416&lt;&gt;"",COUNTIF($L$6:L416,L416)&gt;1),"Acompte déjà déduit sur une autre facture",IF(AND(L416&lt;&gt;"",IFERROR(INDEX(fa_client,MATCH(L416,fa_num,0)),D416)&lt;&gt;D416),"Acompte d'un autre client",IF(AND(AR416&lt;&gt;"",N(Q416)&lt;0),"Acompte supérieur au total de la facture",IF(IF(AG416="Facture",COUNTIFS(fl_doc,A416,fl_check,"&lt;&gt;OK"),IF(AG416="Devis",COUNTIFS(dl_doc,F416,dl_check,"&lt;&gt;OK"),0))&gt;0,"Ligne(s) à corriger",IF(AND(W416&lt;&gt;"",N(W416)&lt;0),"Trop-perçu : vérifiez paiements et avoirs","OK")))))))))))))))))))))</f>
        <v/>
      </c>
      <c r="AA416" s="62" t="str">
        <f>IF(COUNTA(B416:D416,F416:O416)&gt;0,IF(B416="","Facture",B416),"")</f>
        <v/>
      </c>
      <c r="AB416" s="62" t="str">
        <f>IF(AA416="","",IF(AA416="Avoir",p_pav,IF(AA416="Facture d'acompte",p_pac,p_pfa)))</f>
        <v/>
      </c>
      <c r="AC416" s="62">
        <f>IF(ISNUMBER(C416),C416,0)</f>
        <v>0.0</v>
      </c>
      <c r="AD416" s="62" t="str">
        <f>IF(OR(AA416="",AC416=0),"",YEAR(AC416))</f>
        <v/>
      </c>
      <c r="AE416" s="62" t="str">
        <f>IF(AD416="","",COUNTIFS($AB$6:AB416,AB416,$AD$6:AD416,AD416))</f>
        <v/>
      </c>
      <c r="AF416" s="62">
        <f>IF(A416="",0,COUNTIF(fl_doc,A416))</f>
        <v>0.0</v>
      </c>
      <c r="AG416" s="62" t="str">
        <f>IF(A416="","",IF(AF416&gt;0,"Facture",IF(AND(F416&lt;&gt;"",AA416="Facture",ISNUMBER(MATCH(F416,dv_num,0))),"Devis","")))</f>
        <v/>
      </c>
      <c r="AH416" s="62" t="str">
        <f>IF(AND(A416&lt;&gt;"",F416&lt;&gt;"",AA416&lt;&gt;"Avoir"),F416,"")</f>
        <v/>
      </c>
      <c r="AI416" s="62" t="str">
        <f>IF(AG416="Devis",F416,"")</f>
        <v/>
      </c>
      <c r="AJ416" s="62">
        <f>IF(AG416="Facture",SUMIF(fl_doc,A416,fl_ht),IF(AG416="Devis",SUMIF(dl_doc,F416,dl_ht),0))</f>
        <v>0.0</v>
      </c>
      <c r="AK416" s="62">
        <f>IF(OR(AG416="",INDEX(p_rates,1)=""),0,IF(AG416="Facture",SUMIFS(fl_ht,fl_doc,A416,fl_rate,INDEX(p_rates,1)),SUMIFS(dl_ht,dl_doc,F416,dl_rate,INDEX(p_rates,1))))</f>
        <v>0.0</v>
      </c>
      <c r="AL416" s="62">
        <f>IF(OR(AG416="",INDEX(p_rates,2)=""),0,IF(AG416="Facture",SUMIFS(fl_ht,fl_doc,A416,fl_rate,INDEX(p_rates,2)),SUMIFS(dl_ht,dl_doc,F416,dl_rate,INDEX(p_rates,2))))</f>
        <v>0.0</v>
      </c>
      <c r="AM416" s="62">
        <f>IF(OR(AG416="",INDEX(p_rates,3)=""),0,IF(AG416="Facture",SUMIFS(fl_ht,fl_doc,A416,fl_rate,INDEX(p_rates,3)),SUMIFS(dl_ht,dl_doc,F416,dl_rate,INDEX(p_rates,3))))</f>
        <v>0.0</v>
      </c>
      <c r="AN416" s="62">
        <f>IF(OR(AG416="",INDEX(p_rates,4)=""),0,IF(AG416="Facture",SUMIFS(fl_ht,fl_doc,A416,fl_rate,INDEX(p_rates,4)),SUMIFS(dl_ht,dl_doc,F416,dl_rate,INDEX(p_rates,4))))</f>
        <v>0.0</v>
      </c>
      <c r="AO416" s="62">
        <f>IF(OR(AG416="",INDEX(p_rates,5)=""),0,IF(AG416="Facture",SUMIFS(fl_ht,fl_doc,A416,fl_rate,INDEX(p_rates,5)),SUMIFS(dl_ht,dl_doc,F416,dl_rate,INDEX(p_rates,5))))</f>
        <v>0.0</v>
      </c>
      <c r="AP416" s="62">
        <f>IF(OR(AG416="",INDEX(p_rates,6)=""),0,IF(AG416="Facture",SUMIFS(fl_ht,fl_doc,A416,fl_rate,INDEX(p_rates,6)),SUMIFS(dl_ht,dl_doc,F416,dl_rate,INDEX(p_rates,6))))</f>
        <v>0.0</v>
      </c>
      <c r="AQ416" s="62">
        <f>ROUND(AK416*N(INDEX(p_rates,1)),2)+ROUND(AL416*N(INDEX(p_rates,2)),2)+ROUND(AM416*N(INDEX(p_rates,3)),2)+ROUND(AN416*N(INDEX(p_rates,4)),2)+ROUND(AO416*N(INDEX(p_rates,5)),2)+ROUND(AP416*N(INDEX(p_rates,6)),2)</f>
        <v>0.0</v>
      </c>
      <c r="AR416" s="62" t="str">
        <f>IF(OR(L416="",AA416&lt;&gt;"Facture"),"",IFERROR(IF(INDEX(fa_type,MATCH(L416,fa_num,0))="Facture d'acompte",MATCH(L416,fa_num,0),""),""))</f>
        <v/>
      </c>
      <c r="AS416" s="62" t="str">
        <f>IF(W416="","",IF(W416&lt;=0,"",IF(p_asof-P416&lt;=0,"Non échu",IF(p_asof-P416&lt;=30,"1-30 j",IF(p_asof-P416&lt;=60,"31-60 j",IF(p_asof-P416&lt;=90,"61-90 j","Plus de 90 j"))))))</f>
        <v/>
      </c>
      <c r="AT416" s="62" t="str">
        <f>IF(AS416="","",p_asof-P416)</f>
        <v/>
      </c>
      <c r="AU416" s="62" t="str">
        <f>IF(AT416="","",COUNTIF($AT$6:$AT$805,"&gt;"&amp;AT416)+COUNTIF($AT$6:AT416,AT416))</f>
        <v/>
      </c>
    </row>
    <row r="417">
      <c r="A417" s="59" t="str">
        <f>IF(AE417="","",AB417&amp;"-"&amp;AD417&amp;"-"&amp;RIGHT("000"&amp;AE417,4))</f>
        <v/>
      </c>
      <c r="B417" s="60" t="n"/>
      <c r="C417" s="61" t="n"/>
      <c r="D417" s="60" t="n"/>
      <c r="E417" s="62" t="str">
        <f>IF(D417="","",IFERROR(INDEX(cli_name,MATCH(D417,cli_code,0))&amp;"","Client inconnu"))</f>
        <v/>
      </c>
      <c r="F417" s="60" t="n"/>
      <c r="G417" s="63" t="n"/>
      <c r="H417" s="61" t="n"/>
      <c r="I417" s="63" t="n"/>
      <c r="J417" s="60" t="n"/>
      <c r="K417" s="61" t="n"/>
      <c r="L417" s="60" t="n"/>
      <c r="M417" s="60" t="n"/>
      <c r="N417" s="60" t="n"/>
      <c r="O417" s="61" t="n"/>
      <c r="P417" s="64" t="str">
        <f>IF(A417="","",IF(AA417="Avoir",AC417,IF(ISNUMBER(K417),K417,AC417+IF(D417="",N(p_delay),IFERROR(IF(ISNUMBER(INDEX(cli_delay,MATCH(D417,cli_code,0))),INDEX(cli_delay,MATCH(D417,cli_code,0)),N(p_delay)),N(p_delay))))))</f>
        <v/>
      </c>
      <c r="Q417" s="65" t="str">
        <f>IF(A417="","",IF(AA417="Avoir",-1,1)*ROUND(AJ417-IF(AR417="",0,INDEX(fa_htb,AR417)),2))</f>
        <v/>
      </c>
      <c r="R417" s="65" t="str">
        <f>IF(A417="","",IF(AA417="Avoir",-1,1)*ROUND(AQ417-IF(AR417="",0,INDEX(fa_tvab,AR417)),2))</f>
        <v/>
      </c>
      <c r="S417" s="65" t="str">
        <f>IF(A417="","",Q417+R417)</f>
        <v/>
      </c>
      <c r="T417" s="65" t="str">
        <f>IF(AR417="","",INDEX(fa_htb,AR417)+INDEX(fa_tvab,AR417))</f>
        <v/>
      </c>
      <c r="U417" s="65" t="str">
        <f>IF(A417="","",SUMIF(pa_inv,A417,pa_amt))</f>
        <v/>
      </c>
      <c r="V417" s="65" t="str">
        <f>IF(OR(A417="",AA417="Avoir"),"",-SUMIFS(fa_ttc,fa_avof,A417,fa_type,"Avoir"))</f>
        <v/>
      </c>
      <c r="W417" s="65" t="str">
        <f>IF(OR(A417="",AA417="Avoir"),"",ROUND(S417-U417-V417,2))</f>
        <v/>
      </c>
      <c r="X417" s="66" t="str">
        <f>IF(W417="","",IF(AND(W417&gt;0,p_asof&gt;P417),p_asof-P417,""))</f>
        <v/>
      </c>
      <c r="Y417" s="59" t="str">
        <f>IF(A417="","",IF(AA417="Avoir","Avoir",IF(W417&lt;0,"Trop-perçu",IF(W417=0,"Soldée",IF(p_asof&gt;P417,"En retard",IF(U417+V417&gt;0,"Partielle","À échoir"))))))</f>
        <v/>
      </c>
      <c r="Z417" s="59" t="str">
        <f>IF(NOT(COUNTA(B417:D417,F417:O417)&gt;0),"",IF(C417="","Date manquante",IF(NOT(ISNUMBER(C417)),"Date invalide",IF(D417="","Client manquant",IF(ISNA(MATCH(D417,cli_code,0)),"Client inconnu",IF(AC417&lt;SUMPRODUCT(MAX(($AB$6:AB416=AB417)*$AC$6:AC416)),"Date antérieure à la facture précédente",IF(AND(F417&lt;&gt;"",ISNA(MATCH(F417,dv_num,0))),"Devis inconnu",IF(AND(F417&lt;&gt;"",IFERROR(INDEX(dv_client,MATCH(F417,dv_num,0)),D417)&lt;&gt;D417),"Client différent de celui du devis",IF(AG417="","Aucune ligne : saisissez des lignes ou un devis",IF(AND(AI417&lt;&gt;"",COUNTIF($AI$6:AI417,AI417)&gt;1),"Devis déjà repris par une autre facture",IF(AND(AA417="Avoir",M417=""),"Avoir : indiquez la facture d'origine",IF(AND(AA417="Avoir",ISNA(MATCH(M417,fa_num,0))),"Facture d'origine inconnue",IF(AND(AA417&lt;&gt;"Avoir",M417&lt;&gt;""),"« Avoir sur facture » : réservé aux avoirs",IF(AND(L417&lt;&gt;"",AA417&lt;&gt;"Facture"),"Acompte à déduire : réservé aux factures",IF(AND(L417&lt;&gt;"",ISNA(MATCH(L417,fa_num,0))),"Facture d'acompte inconnue",IF(AND(L417&lt;&gt;"",IFERROR(INDEX(fa_type,MATCH(L417,fa_num,0)),"")&lt;&gt;"Facture d'acompte"),"Le n° à déduire n'est pas une facture d'acompte",IF(AND(L417&lt;&gt;"",COUNTIF($L$6:L417,L417)&gt;1),"Acompte déjà déduit sur une autre facture",IF(AND(L417&lt;&gt;"",IFERROR(INDEX(fa_client,MATCH(L417,fa_num,0)),D417)&lt;&gt;D417),"Acompte d'un autre client",IF(AND(AR417&lt;&gt;"",N(Q417)&lt;0),"Acompte supérieur au total de la facture",IF(IF(AG417="Facture",COUNTIFS(fl_doc,A417,fl_check,"&lt;&gt;OK"),IF(AG417="Devis",COUNTIFS(dl_doc,F417,dl_check,"&lt;&gt;OK"),0))&gt;0,"Ligne(s) à corriger",IF(AND(W417&lt;&gt;"",N(W417)&lt;0),"Trop-perçu : vérifiez paiements et avoirs","OK")))))))))))))))))))))</f>
        <v/>
      </c>
      <c r="AA417" s="62" t="str">
        <f>IF(COUNTA(B417:D417,F417:O417)&gt;0,IF(B417="","Facture",B417),"")</f>
        <v/>
      </c>
      <c r="AB417" s="62" t="str">
        <f>IF(AA417="","",IF(AA417="Avoir",p_pav,IF(AA417="Facture d'acompte",p_pac,p_pfa)))</f>
        <v/>
      </c>
      <c r="AC417" s="62">
        <f>IF(ISNUMBER(C417),C417,0)</f>
        <v>0.0</v>
      </c>
      <c r="AD417" s="62" t="str">
        <f>IF(OR(AA417="",AC417=0),"",YEAR(AC417))</f>
        <v/>
      </c>
      <c r="AE417" s="62" t="str">
        <f>IF(AD417="","",COUNTIFS($AB$6:AB417,AB417,$AD$6:AD417,AD417))</f>
        <v/>
      </c>
      <c r="AF417" s="62">
        <f>IF(A417="",0,COUNTIF(fl_doc,A417))</f>
        <v>0.0</v>
      </c>
      <c r="AG417" s="62" t="str">
        <f>IF(A417="","",IF(AF417&gt;0,"Facture",IF(AND(F417&lt;&gt;"",AA417="Facture",ISNUMBER(MATCH(F417,dv_num,0))),"Devis","")))</f>
        <v/>
      </c>
      <c r="AH417" s="62" t="str">
        <f>IF(AND(A417&lt;&gt;"",F417&lt;&gt;"",AA417&lt;&gt;"Avoir"),F417,"")</f>
        <v/>
      </c>
      <c r="AI417" s="62" t="str">
        <f>IF(AG417="Devis",F417,"")</f>
        <v/>
      </c>
      <c r="AJ417" s="62">
        <f>IF(AG417="Facture",SUMIF(fl_doc,A417,fl_ht),IF(AG417="Devis",SUMIF(dl_doc,F417,dl_ht),0))</f>
        <v>0.0</v>
      </c>
      <c r="AK417" s="62">
        <f>IF(OR(AG417="",INDEX(p_rates,1)=""),0,IF(AG417="Facture",SUMIFS(fl_ht,fl_doc,A417,fl_rate,INDEX(p_rates,1)),SUMIFS(dl_ht,dl_doc,F417,dl_rate,INDEX(p_rates,1))))</f>
        <v>0.0</v>
      </c>
      <c r="AL417" s="62">
        <f>IF(OR(AG417="",INDEX(p_rates,2)=""),0,IF(AG417="Facture",SUMIFS(fl_ht,fl_doc,A417,fl_rate,INDEX(p_rates,2)),SUMIFS(dl_ht,dl_doc,F417,dl_rate,INDEX(p_rates,2))))</f>
        <v>0.0</v>
      </c>
      <c r="AM417" s="62">
        <f>IF(OR(AG417="",INDEX(p_rates,3)=""),0,IF(AG417="Facture",SUMIFS(fl_ht,fl_doc,A417,fl_rate,INDEX(p_rates,3)),SUMIFS(dl_ht,dl_doc,F417,dl_rate,INDEX(p_rates,3))))</f>
        <v>0.0</v>
      </c>
      <c r="AN417" s="62">
        <f>IF(OR(AG417="",INDEX(p_rates,4)=""),0,IF(AG417="Facture",SUMIFS(fl_ht,fl_doc,A417,fl_rate,INDEX(p_rates,4)),SUMIFS(dl_ht,dl_doc,F417,dl_rate,INDEX(p_rates,4))))</f>
        <v>0.0</v>
      </c>
      <c r="AO417" s="62">
        <f>IF(OR(AG417="",INDEX(p_rates,5)=""),0,IF(AG417="Facture",SUMIFS(fl_ht,fl_doc,A417,fl_rate,INDEX(p_rates,5)),SUMIFS(dl_ht,dl_doc,F417,dl_rate,INDEX(p_rates,5))))</f>
        <v>0.0</v>
      </c>
      <c r="AP417" s="62">
        <f>IF(OR(AG417="",INDEX(p_rates,6)=""),0,IF(AG417="Facture",SUMIFS(fl_ht,fl_doc,A417,fl_rate,INDEX(p_rates,6)),SUMIFS(dl_ht,dl_doc,F417,dl_rate,INDEX(p_rates,6))))</f>
        <v>0.0</v>
      </c>
      <c r="AQ417" s="62">
        <f>ROUND(AK417*N(INDEX(p_rates,1)),2)+ROUND(AL417*N(INDEX(p_rates,2)),2)+ROUND(AM417*N(INDEX(p_rates,3)),2)+ROUND(AN417*N(INDEX(p_rates,4)),2)+ROUND(AO417*N(INDEX(p_rates,5)),2)+ROUND(AP417*N(INDEX(p_rates,6)),2)</f>
        <v>0.0</v>
      </c>
      <c r="AR417" s="62" t="str">
        <f>IF(OR(L417="",AA417&lt;&gt;"Facture"),"",IFERROR(IF(INDEX(fa_type,MATCH(L417,fa_num,0))="Facture d'acompte",MATCH(L417,fa_num,0),""),""))</f>
        <v/>
      </c>
      <c r="AS417" s="62" t="str">
        <f>IF(W417="","",IF(W417&lt;=0,"",IF(p_asof-P417&lt;=0,"Non échu",IF(p_asof-P417&lt;=30,"1-30 j",IF(p_asof-P417&lt;=60,"31-60 j",IF(p_asof-P417&lt;=90,"61-90 j","Plus de 90 j"))))))</f>
        <v/>
      </c>
      <c r="AT417" s="62" t="str">
        <f>IF(AS417="","",p_asof-P417)</f>
        <v/>
      </c>
      <c r="AU417" s="62" t="str">
        <f>IF(AT417="","",COUNTIF($AT$6:$AT$805,"&gt;"&amp;AT417)+COUNTIF($AT$6:AT417,AT417))</f>
        <v/>
      </c>
    </row>
    <row r="418">
      <c r="A418" s="59" t="str">
        <f>IF(AE418="","",AB418&amp;"-"&amp;AD418&amp;"-"&amp;RIGHT("000"&amp;AE418,4))</f>
        <v/>
      </c>
      <c r="B418" s="60" t="n"/>
      <c r="C418" s="61" t="n"/>
      <c r="D418" s="60" t="n"/>
      <c r="E418" s="62" t="str">
        <f>IF(D418="","",IFERROR(INDEX(cli_name,MATCH(D418,cli_code,0))&amp;"","Client inconnu"))</f>
        <v/>
      </c>
      <c r="F418" s="60" t="n"/>
      <c r="G418" s="63" t="n"/>
      <c r="H418" s="61" t="n"/>
      <c r="I418" s="63" t="n"/>
      <c r="J418" s="60" t="n"/>
      <c r="K418" s="61" t="n"/>
      <c r="L418" s="60" t="n"/>
      <c r="M418" s="60" t="n"/>
      <c r="N418" s="60" t="n"/>
      <c r="O418" s="61" t="n"/>
      <c r="P418" s="64" t="str">
        <f>IF(A418="","",IF(AA418="Avoir",AC418,IF(ISNUMBER(K418),K418,AC418+IF(D418="",N(p_delay),IFERROR(IF(ISNUMBER(INDEX(cli_delay,MATCH(D418,cli_code,0))),INDEX(cli_delay,MATCH(D418,cli_code,0)),N(p_delay)),N(p_delay))))))</f>
        <v/>
      </c>
      <c r="Q418" s="65" t="str">
        <f>IF(A418="","",IF(AA418="Avoir",-1,1)*ROUND(AJ418-IF(AR418="",0,INDEX(fa_htb,AR418)),2))</f>
        <v/>
      </c>
      <c r="R418" s="65" t="str">
        <f>IF(A418="","",IF(AA418="Avoir",-1,1)*ROUND(AQ418-IF(AR418="",0,INDEX(fa_tvab,AR418)),2))</f>
        <v/>
      </c>
      <c r="S418" s="65" t="str">
        <f>IF(A418="","",Q418+R418)</f>
        <v/>
      </c>
      <c r="T418" s="65" t="str">
        <f>IF(AR418="","",INDEX(fa_htb,AR418)+INDEX(fa_tvab,AR418))</f>
        <v/>
      </c>
      <c r="U418" s="65" t="str">
        <f>IF(A418="","",SUMIF(pa_inv,A418,pa_amt))</f>
        <v/>
      </c>
      <c r="V418" s="65" t="str">
        <f>IF(OR(A418="",AA418="Avoir"),"",-SUMIFS(fa_ttc,fa_avof,A418,fa_type,"Avoir"))</f>
        <v/>
      </c>
      <c r="W418" s="65" t="str">
        <f>IF(OR(A418="",AA418="Avoir"),"",ROUND(S418-U418-V418,2))</f>
        <v/>
      </c>
      <c r="X418" s="66" t="str">
        <f>IF(W418="","",IF(AND(W418&gt;0,p_asof&gt;P418),p_asof-P418,""))</f>
        <v/>
      </c>
      <c r="Y418" s="59" t="str">
        <f>IF(A418="","",IF(AA418="Avoir","Avoir",IF(W418&lt;0,"Trop-perçu",IF(W418=0,"Soldée",IF(p_asof&gt;P418,"En retard",IF(U418+V418&gt;0,"Partielle","À échoir"))))))</f>
        <v/>
      </c>
      <c r="Z418" s="59" t="str">
        <f>IF(NOT(COUNTA(B418:D418,F418:O418)&gt;0),"",IF(C418="","Date manquante",IF(NOT(ISNUMBER(C418)),"Date invalide",IF(D418="","Client manquant",IF(ISNA(MATCH(D418,cli_code,0)),"Client inconnu",IF(AC418&lt;SUMPRODUCT(MAX(($AB$6:AB417=AB418)*$AC$6:AC417)),"Date antérieure à la facture précédente",IF(AND(F418&lt;&gt;"",ISNA(MATCH(F418,dv_num,0))),"Devis inconnu",IF(AND(F418&lt;&gt;"",IFERROR(INDEX(dv_client,MATCH(F418,dv_num,0)),D418)&lt;&gt;D418),"Client différent de celui du devis",IF(AG418="","Aucune ligne : saisissez des lignes ou un devis",IF(AND(AI418&lt;&gt;"",COUNTIF($AI$6:AI418,AI418)&gt;1),"Devis déjà repris par une autre facture",IF(AND(AA418="Avoir",M418=""),"Avoir : indiquez la facture d'origine",IF(AND(AA418="Avoir",ISNA(MATCH(M418,fa_num,0))),"Facture d'origine inconnue",IF(AND(AA418&lt;&gt;"Avoir",M418&lt;&gt;""),"« Avoir sur facture » : réservé aux avoirs",IF(AND(L418&lt;&gt;"",AA418&lt;&gt;"Facture"),"Acompte à déduire : réservé aux factures",IF(AND(L418&lt;&gt;"",ISNA(MATCH(L418,fa_num,0))),"Facture d'acompte inconnue",IF(AND(L418&lt;&gt;"",IFERROR(INDEX(fa_type,MATCH(L418,fa_num,0)),"")&lt;&gt;"Facture d'acompte"),"Le n° à déduire n'est pas une facture d'acompte",IF(AND(L418&lt;&gt;"",COUNTIF($L$6:L418,L418)&gt;1),"Acompte déjà déduit sur une autre facture",IF(AND(L418&lt;&gt;"",IFERROR(INDEX(fa_client,MATCH(L418,fa_num,0)),D418)&lt;&gt;D418),"Acompte d'un autre client",IF(AND(AR418&lt;&gt;"",N(Q418)&lt;0),"Acompte supérieur au total de la facture",IF(IF(AG418="Facture",COUNTIFS(fl_doc,A418,fl_check,"&lt;&gt;OK"),IF(AG418="Devis",COUNTIFS(dl_doc,F418,dl_check,"&lt;&gt;OK"),0))&gt;0,"Ligne(s) à corriger",IF(AND(W418&lt;&gt;"",N(W418)&lt;0),"Trop-perçu : vérifiez paiements et avoirs","OK")))))))))))))))))))))</f>
        <v/>
      </c>
      <c r="AA418" s="62" t="str">
        <f>IF(COUNTA(B418:D418,F418:O418)&gt;0,IF(B418="","Facture",B418),"")</f>
        <v/>
      </c>
      <c r="AB418" s="62" t="str">
        <f>IF(AA418="","",IF(AA418="Avoir",p_pav,IF(AA418="Facture d'acompte",p_pac,p_pfa)))</f>
        <v/>
      </c>
      <c r="AC418" s="62">
        <f>IF(ISNUMBER(C418),C418,0)</f>
        <v>0.0</v>
      </c>
      <c r="AD418" s="62" t="str">
        <f>IF(OR(AA418="",AC418=0),"",YEAR(AC418))</f>
        <v/>
      </c>
      <c r="AE418" s="62" t="str">
        <f>IF(AD418="","",COUNTIFS($AB$6:AB418,AB418,$AD$6:AD418,AD418))</f>
        <v/>
      </c>
      <c r="AF418" s="62">
        <f>IF(A418="",0,COUNTIF(fl_doc,A418))</f>
        <v>0.0</v>
      </c>
      <c r="AG418" s="62" t="str">
        <f>IF(A418="","",IF(AF418&gt;0,"Facture",IF(AND(F418&lt;&gt;"",AA418="Facture",ISNUMBER(MATCH(F418,dv_num,0))),"Devis","")))</f>
        <v/>
      </c>
      <c r="AH418" s="62" t="str">
        <f>IF(AND(A418&lt;&gt;"",F418&lt;&gt;"",AA418&lt;&gt;"Avoir"),F418,"")</f>
        <v/>
      </c>
      <c r="AI418" s="62" t="str">
        <f>IF(AG418="Devis",F418,"")</f>
        <v/>
      </c>
      <c r="AJ418" s="62">
        <f>IF(AG418="Facture",SUMIF(fl_doc,A418,fl_ht),IF(AG418="Devis",SUMIF(dl_doc,F418,dl_ht),0))</f>
        <v>0.0</v>
      </c>
      <c r="AK418" s="62">
        <f>IF(OR(AG418="",INDEX(p_rates,1)=""),0,IF(AG418="Facture",SUMIFS(fl_ht,fl_doc,A418,fl_rate,INDEX(p_rates,1)),SUMIFS(dl_ht,dl_doc,F418,dl_rate,INDEX(p_rates,1))))</f>
        <v>0.0</v>
      </c>
      <c r="AL418" s="62">
        <f>IF(OR(AG418="",INDEX(p_rates,2)=""),0,IF(AG418="Facture",SUMIFS(fl_ht,fl_doc,A418,fl_rate,INDEX(p_rates,2)),SUMIFS(dl_ht,dl_doc,F418,dl_rate,INDEX(p_rates,2))))</f>
        <v>0.0</v>
      </c>
      <c r="AM418" s="62">
        <f>IF(OR(AG418="",INDEX(p_rates,3)=""),0,IF(AG418="Facture",SUMIFS(fl_ht,fl_doc,A418,fl_rate,INDEX(p_rates,3)),SUMIFS(dl_ht,dl_doc,F418,dl_rate,INDEX(p_rates,3))))</f>
        <v>0.0</v>
      </c>
      <c r="AN418" s="62">
        <f>IF(OR(AG418="",INDEX(p_rates,4)=""),0,IF(AG418="Facture",SUMIFS(fl_ht,fl_doc,A418,fl_rate,INDEX(p_rates,4)),SUMIFS(dl_ht,dl_doc,F418,dl_rate,INDEX(p_rates,4))))</f>
        <v>0.0</v>
      </c>
      <c r="AO418" s="62">
        <f>IF(OR(AG418="",INDEX(p_rates,5)=""),0,IF(AG418="Facture",SUMIFS(fl_ht,fl_doc,A418,fl_rate,INDEX(p_rates,5)),SUMIFS(dl_ht,dl_doc,F418,dl_rate,INDEX(p_rates,5))))</f>
        <v>0.0</v>
      </c>
      <c r="AP418" s="62">
        <f>IF(OR(AG418="",INDEX(p_rates,6)=""),0,IF(AG418="Facture",SUMIFS(fl_ht,fl_doc,A418,fl_rate,INDEX(p_rates,6)),SUMIFS(dl_ht,dl_doc,F418,dl_rate,INDEX(p_rates,6))))</f>
        <v>0.0</v>
      </c>
      <c r="AQ418" s="62">
        <f>ROUND(AK418*N(INDEX(p_rates,1)),2)+ROUND(AL418*N(INDEX(p_rates,2)),2)+ROUND(AM418*N(INDEX(p_rates,3)),2)+ROUND(AN418*N(INDEX(p_rates,4)),2)+ROUND(AO418*N(INDEX(p_rates,5)),2)+ROUND(AP418*N(INDEX(p_rates,6)),2)</f>
        <v>0.0</v>
      </c>
      <c r="AR418" s="62" t="str">
        <f>IF(OR(L418="",AA418&lt;&gt;"Facture"),"",IFERROR(IF(INDEX(fa_type,MATCH(L418,fa_num,0))="Facture d'acompte",MATCH(L418,fa_num,0),""),""))</f>
        <v/>
      </c>
      <c r="AS418" s="62" t="str">
        <f>IF(W418="","",IF(W418&lt;=0,"",IF(p_asof-P418&lt;=0,"Non échu",IF(p_asof-P418&lt;=30,"1-30 j",IF(p_asof-P418&lt;=60,"31-60 j",IF(p_asof-P418&lt;=90,"61-90 j","Plus de 90 j"))))))</f>
        <v/>
      </c>
      <c r="AT418" s="62" t="str">
        <f>IF(AS418="","",p_asof-P418)</f>
        <v/>
      </c>
      <c r="AU418" s="62" t="str">
        <f>IF(AT418="","",COUNTIF($AT$6:$AT$805,"&gt;"&amp;AT418)+COUNTIF($AT$6:AT418,AT418))</f>
        <v/>
      </c>
    </row>
    <row r="419">
      <c r="A419" s="59" t="str">
        <f>IF(AE419="","",AB419&amp;"-"&amp;AD419&amp;"-"&amp;RIGHT("000"&amp;AE419,4))</f>
        <v/>
      </c>
      <c r="B419" s="60" t="n"/>
      <c r="C419" s="61" t="n"/>
      <c r="D419" s="60" t="n"/>
      <c r="E419" s="62" t="str">
        <f>IF(D419="","",IFERROR(INDEX(cli_name,MATCH(D419,cli_code,0))&amp;"","Client inconnu"))</f>
        <v/>
      </c>
      <c r="F419" s="60" t="n"/>
      <c r="G419" s="63" t="n"/>
      <c r="H419" s="61" t="n"/>
      <c r="I419" s="63" t="n"/>
      <c r="J419" s="60" t="n"/>
      <c r="K419" s="61" t="n"/>
      <c r="L419" s="60" t="n"/>
      <c r="M419" s="60" t="n"/>
      <c r="N419" s="60" t="n"/>
      <c r="O419" s="61" t="n"/>
      <c r="P419" s="64" t="str">
        <f>IF(A419="","",IF(AA419="Avoir",AC419,IF(ISNUMBER(K419),K419,AC419+IF(D419="",N(p_delay),IFERROR(IF(ISNUMBER(INDEX(cli_delay,MATCH(D419,cli_code,0))),INDEX(cli_delay,MATCH(D419,cli_code,0)),N(p_delay)),N(p_delay))))))</f>
        <v/>
      </c>
      <c r="Q419" s="65" t="str">
        <f>IF(A419="","",IF(AA419="Avoir",-1,1)*ROUND(AJ419-IF(AR419="",0,INDEX(fa_htb,AR419)),2))</f>
        <v/>
      </c>
      <c r="R419" s="65" t="str">
        <f>IF(A419="","",IF(AA419="Avoir",-1,1)*ROUND(AQ419-IF(AR419="",0,INDEX(fa_tvab,AR419)),2))</f>
        <v/>
      </c>
      <c r="S419" s="65" t="str">
        <f>IF(A419="","",Q419+R419)</f>
        <v/>
      </c>
      <c r="T419" s="65" t="str">
        <f>IF(AR419="","",INDEX(fa_htb,AR419)+INDEX(fa_tvab,AR419))</f>
        <v/>
      </c>
      <c r="U419" s="65" t="str">
        <f>IF(A419="","",SUMIF(pa_inv,A419,pa_amt))</f>
        <v/>
      </c>
      <c r="V419" s="65" t="str">
        <f>IF(OR(A419="",AA419="Avoir"),"",-SUMIFS(fa_ttc,fa_avof,A419,fa_type,"Avoir"))</f>
        <v/>
      </c>
      <c r="W419" s="65" t="str">
        <f>IF(OR(A419="",AA419="Avoir"),"",ROUND(S419-U419-V419,2))</f>
        <v/>
      </c>
      <c r="X419" s="66" t="str">
        <f>IF(W419="","",IF(AND(W419&gt;0,p_asof&gt;P419),p_asof-P419,""))</f>
        <v/>
      </c>
      <c r="Y419" s="59" t="str">
        <f>IF(A419="","",IF(AA419="Avoir","Avoir",IF(W419&lt;0,"Trop-perçu",IF(W419=0,"Soldée",IF(p_asof&gt;P419,"En retard",IF(U419+V419&gt;0,"Partielle","À échoir"))))))</f>
        <v/>
      </c>
      <c r="Z419" s="59" t="str">
        <f>IF(NOT(COUNTA(B419:D419,F419:O419)&gt;0),"",IF(C419="","Date manquante",IF(NOT(ISNUMBER(C419)),"Date invalide",IF(D419="","Client manquant",IF(ISNA(MATCH(D419,cli_code,0)),"Client inconnu",IF(AC419&lt;SUMPRODUCT(MAX(($AB$6:AB418=AB419)*$AC$6:AC418)),"Date antérieure à la facture précédente",IF(AND(F419&lt;&gt;"",ISNA(MATCH(F419,dv_num,0))),"Devis inconnu",IF(AND(F419&lt;&gt;"",IFERROR(INDEX(dv_client,MATCH(F419,dv_num,0)),D419)&lt;&gt;D419),"Client différent de celui du devis",IF(AG419="","Aucune ligne : saisissez des lignes ou un devis",IF(AND(AI419&lt;&gt;"",COUNTIF($AI$6:AI419,AI419)&gt;1),"Devis déjà repris par une autre facture",IF(AND(AA419="Avoir",M419=""),"Avoir : indiquez la facture d'origine",IF(AND(AA419="Avoir",ISNA(MATCH(M419,fa_num,0))),"Facture d'origine inconnue",IF(AND(AA419&lt;&gt;"Avoir",M419&lt;&gt;""),"« Avoir sur facture » : réservé aux avoirs",IF(AND(L419&lt;&gt;"",AA419&lt;&gt;"Facture"),"Acompte à déduire : réservé aux factures",IF(AND(L419&lt;&gt;"",ISNA(MATCH(L419,fa_num,0))),"Facture d'acompte inconnue",IF(AND(L419&lt;&gt;"",IFERROR(INDEX(fa_type,MATCH(L419,fa_num,0)),"")&lt;&gt;"Facture d'acompte"),"Le n° à déduire n'est pas une facture d'acompte",IF(AND(L419&lt;&gt;"",COUNTIF($L$6:L419,L419)&gt;1),"Acompte déjà déduit sur une autre facture",IF(AND(L419&lt;&gt;"",IFERROR(INDEX(fa_client,MATCH(L419,fa_num,0)),D419)&lt;&gt;D419),"Acompte d'un autre client",IF(AND(AR419&lt;&gt;"",N(Q419)&lt;0),"Acompte supérieur au total de la facture",IF(IF(AG419="Facture",COUNTIFS(fl_doc,A419,fl_check,"&lt;&gt;OK"),IF(AG419="Devis",COUNTIFS(dl_doc,F419,dl_check,"&lt;&gt;OK"),0))&gt;0,"Ligne(s) à corriger",IF(AND(W419&lt;&gt;"",N(W419)&lt;0),"Trop-perçu : vérifiez paiements et avoirs","OK")))))))))))))))))))))</f>
        <v/>
      </c>
      <c r="AA419" s="62" t="str">
        <f>IF(COUNTA(B419:D419,F419:O419)&gt;0,IF(B419="","Facture",B419),"")</f>
        <v/>
      </c>
      <c r="AB419" s="62" t="str">
        <f>IF(AA419="","",IF(AA419="Avoir",p_pav,IF(AA419="Facture d'acompte",p_pac,p_pfa)))</f>
        <v/>
      </c>
      <c r="AC419" s="62">
        <f>IF(ISNUMBER(C419),C419,0)</f>
        <v>0.0</v>
      </c>
      <c r="AD419" s="62" t="str">
        <f>IF(OR(AA419="",AC419=0),"",YEAR(AC419))</f>
        <v/>
      </c>
      <c r="AE419" s="62" t="str">
        <f>IF(AD419="","",COUNTIFS($AB$6:AB419,AB419,$AD$6:AD419,AD419))</f>
        <v/>
      </c>
      <c r="AF419" s="62">
        <f>IF(A419="",0,COUNTIF(fl_doc,A419))</f>
        <v>0.0</v>
      </c>
      <c r="AG419" s="62" t="str">
        <f>IF(A419="","",IF(AF419&gt;0,"Facture",IF(AND(F419&lt;&gt;"",AA419="Facture",ISNUMBER(MATCH(F419,dv_num,0))),"Devis","")))</f>
        <v/>
      </c>
      <c r="AH419" s="62" t="str">
        <f>IF(AND(A419&lt;&gt;"",F419&lt;&gt;"",AA419&lt;&gt;"Avoir"),F419,"")</f>
        <v/>
      </c>
      <c r="AI419" s="62" t="str">
        <f>IF(AG419="Devis",F419,"")</f>
        <v/>
      </c>
      <c r="AJ419" s="62">
        <f>IF(AG419="Facture",SUMIF(fl_doc,A419,fl_ht),IF(AG419="Devis",SUMIF(dl_doc,F419,dl_ht),0))</f>
        <v>0.0</v>
      </c>
      <c r="AK419" s="62">
        <f>IF(OR(AG419="",INDEX(p_rates,1)=""),0,IF(AG419="Facture",SUMIFS(fl_ht,fl_doc,A419,fl_rate,INDEX(p_rates,1)),SUMIFS(dl_ht,dl_doc,F419,dl_rate,INDEX(p_rates,1))))</f>
        <v>0.0</v>
      </c>
      <c r="AL419" s="62">
        <f>IF(OR(AG419="",INDEX(p_rates,2)=""),0,IF(AG419="Facture",SUMIFS(fl_ht,fl_doc,A419,fl_rate,INDEX(p_rates,2)),SUMIFS(dl_ht,dl_doc,F419,dl_rate,INDEX(p_rates,2))))</f>
        <v>0.0</v>
      </c>
      <c r="AM419" s="62">
        <f>IF(OR(AG419="",INDEX(p_rates,3)=""),0,IF(AG419="Facture",SUMIFS(fl_ht,fl_doc,A419,fl_rate,INDEX(p_rates,3)),SUMIFS(dl_ht,dl_doc,F419,dl_rate,INDEX(p_rates,3))))</f>
        <v>0.0</v>
      </c>
      <c r="AN419" s="62">
        <f>IF(OR(AG419="",INDEX(p_rates,4)=""),0,IF(AG419="Facture",SUMIFS(fl_ht,fl_doc,A419,fl_rate,INDEX(p_rates,4)),SUMIFS(dl_ht,dl_doc,F419,dl_rate,INDEX(p_rates,4))))</f>
        <v>0.0</v>
      </c>
      <c r="AO419" s="62">
        <f>IF(OR(AG419="",INDEX(p_rates,5)=""),0,IF(AG419="Facture",SUMIFS(fl_ht,fl_doc,A419,fl_rate,INDEX(p_rates,5)),SUMIFS(dl_ht,dl_doc,F419,dl_rate,INDEX(p_rates,5))))</f>
        <v>0.0</v>
      </c>
      <c r="AP419" s="62">
        <f>IF(OR(AG419="",INDEX(p_rates,6)=""),0,IF(AG419="Facture",SUMIFS(fl_ht,fl_doc,A419,fl_rate,INDEX(p_rates,6)),SUMIFS(dl_ht,dl_doc,F419,dl_rate,INDEX(p_rates,6))))</f>
        <v>0.0</v>
      </c>
      <c r="AQ419" s="62">
        <f>ROUND(AK419*N(INDEX(p_rates,1)),2)+ROUND(AL419*N(INDEX(p_rates,2)),2)+ROUND(AM419*N(INDEX(p_rates,3)),2)+ROUND(AN419*N(INDEX(p_rates,4)),2)+ROUND(AO419*N(INDEX(p_rates,5)),2)+ROUND(AP419*N(INDEX(p_rates,6)),2)</f>
        <v>0.0</v>
      </c>
      <c r="AR419" s="62" t="str">
        <f>IF(OR(L419="",AA419&lt;&gt;"Facture"),"",IFERROR(IF(INDEX(fa_type,MATCH(L419,fa_num,0))="Facture d'acompte",MATCH(L419,fa_num,0),""),""))</f>
        <v/>
      </c>
      <c r="AS419" s="62" t="str">
        <f>IF(W419="","",IF(W419&lt;=0,"",IF(p_asof-P419&lt;=0,"Non échu",IF(p_asof-P419&lt;=30,"1-30 j",IF(p_asof-P419&lt;=60,"31-60 j",IF(p_asof-P419&lt;=90,"61-90 j","Plus de 90 j"))))))</f>
        <v/>
      </c>
      <c r="AT419" s="62" t="str">
        <f>IF(AS419="","",p_asof-P419)</f>
        <v/>
      </c>
      <c r="AU419" s="62" t="str">
        <f>IF(AT419="","",COUNTIF($AT$6:$AT$805,"&gt;"&amp;AT419)+COUNTIF($AT$6:AT419,AT419))</f>
        <v/>
      </c>
    </row>
    <row r="420">
      <c r="A420" s="59" t="str">
        <f>IF(AE420="","",AB420&amp;"-"&amp;AD420&amp;"-"&amp;RIGHT("000"&amp;AE420,4))</f>
        <v/>
      </c>
      <c r="B420" s="60" t="n"/>
      <c r="C420" s="61" t="n"/>
      <c r="D420" s="60" t="n"/>
      <c r="E420" s="62" t="str">
        <f>IF(D420="","",IFERROR(INDEX(cli_name,MATCH(D420,cli_code,0))&amp;"","Client inconnu"))</f>
        <v/>
      </c>
      <c r="F420" s="60" t="n"/>
      <c r="G420" s="63" t="n"/>
      <c r="H420" s="61" t="n"/>
      <c r="I420" s="63" t="n"/>
      <c r="J420" s="60" t="n"/>
      <c r="K420" s="61" t="n"/>
      <c r="L420" s="60" t="n"/>
      <c r="M420" s="60" t="n"/>
      <c r="N420" s="60" t="n"/>
      <c r="O420" s="61" t="n"/>
      <c r="P420" s="64" t="str">
        <f>IF(A420="","",IF(AA420="Avoir",AC420,IF(ISNUMBER(K420),K420,AC420+IF(D420="",N(p_delay),IFERROR(IF(ISNUMBER(INDEX(cli_delay,MATCH(D420,cli_code,0))),INDEX(cli_delay,MATCH(D420,cli_code,0)),N(p_delay)),N(p_delay))))))</f>
        <v/>
      </c>
      <c r="Q420" s="65" t="str">
        <f>IF(A420="","",IF(AA420="Avoir",-1,1)*ROUND(AJ420-IF(AR420="",0,INDEX(fa_htb,AR420)),2))</f>
        <v/>
      </c>
      <c r="R420" s="65" t="str">
        <f>IF(A420="","",IF(AA420="Avoir",-1,1)*ROUND(AQ420-IF(AR420="",0,INDEX(fa_tvab,AR420)),2))</f>
        <v/>
      </c>
      <c r="S420" s="65" t="str">
        <f>IF(A420="","",Q420+R420)</f>
        <v/>
      </c>
      <c r="T420" s="65" t="str">
        <f>IF(AR420="","",INDEX(fa_htb,AR420)+INDEX(fa_tvab,AR420))</f>
        <v/>
      </c>
      <c r="U420" s="65" t="str">
        <f>IF(A420="","",SUMIF(pa_inv,A420,pa_amt))</f>
        <v/>
      </c>
      <c r="V420" s="65" t="str">
        <f>IF(OR(A420="",AA420="Avoir"),"",-SUMIFS(fa_ttc,fa_avof,A420,fa_type,"Avoir"))</f>
        <v/>
      </c>
      <c r="W420" s="65" t="str">
        <f>IF(OR(A420="",AA420="Avoir"),"",ROUND(S420-U420-V420,2))</f>
        <v/>
      </c>
      <c r="X420" s="66" t="str">
        <f>IF(W420="","",IF(AND(W420&gt;0,p_asof&gt;P420),p_asof-P420,""))</f>
        <v/>
      </c>
      <c r="Y420" s="59" t="str">
        <f>IF(A420="","",IF(AA420="Avoir","Avoir",IF(W420&lt;0,"Trop-perçu",IF(W420=0,"Soldée",IF(p_asof&gt;P420,"En retard",IF(U420+V420&gt;0,"Partielle","À échoir"))))))</f>
        <v/>
      </c>
      <c r="Z420" s="59" t="str">
        <f>IF(NOT(COUNTA(B420:D420,F420:O420)&gt;0),"",IF(C420="","Date manquante",IF(NOT(ISNUMBER(C420)),"Date invalide",IF(D420="","Client manquant",IF(ISNA(MATCH(D420,cli_code,0)),"Client inconnu",IF(AC420&lt;SUMPRODUCT(MAX(($AB$6:AB419=AB420)*$AC$6:AC419)),"Date antérieure à la facture précédente",IF(AND(F420&lt;&gt;"",ISNA(MATCH(F420,dv_num,0))),"Devis inconnu",IF(AND(F420&lt;&gt;"",IFERROR(INDEX(dv_client,MATCH(F420,dv_num,0)),D420)&lt;&gt;D420),"Client différent de celui du devis",IF(AG420="","Aucune ligne : saisissez des lignes ou un devis",IF(AND(AI420&lt;&gt;"",COUNTIF($AI$6:AI420,AI420)&gt;1),"Devis déjà repris par une autre facture",IF(AND(AA420="Avoir",M420=""),"Avoir : indiquez la facture d'origine",IF(AND(AA420="Avoir",ISNA(MATCH(M420,fa_num,0))),"Facture d'origine inconnue",IF(AND(AA420&lt;&gt;"Avoir",M420&lt;&gt;""),"« Avoir sur facture » : réservé aux avoirs",IF(AND(L420&lt;&gt;"",AA420&lt;&gt;"Facture"),"Acompte à déduire : réservé aux factures",IF(AND(L420&lt;&gt;"",ISNA(MATCH(L420,fa_num,0))),"Facture d'acompte inconnue",IF(AND(L420&lt;&gt;"",IFERROR(INDEX(fa_type,MATCH(L420,fa_num,0)),"")&lt;&gt;"Facture d'acompte"),"Le n° à déduire n'est pas une facture d'acompte",IF(AND(L420&lt;&gt;"",COUNTIF($L$6:L420,L420)&gt;1),"Acompte déjà déduit sur une autre facture",IF(AND(L420&lt;&gt;"",IFERROR(INDEX(fa_client,MATCH(L420,fa_num,0)),D420)&lt;&gt;D420),"Acompte d'un autre client",IF(AND(AR420&lt;&gt;"",N(Q420)&lt;0),"Acompte supérieur au total de la facture",IF(IF(AG420="Facture",COUNTIFS(fl_doc,A420,fl_check,"&lt;&gt;OK"),IF(AG420="Devis",COUNTIFS(dl_doc,F420,dl_check,"&lt;&gt;OK"),0))&gt;0,"Ligne(s) à corriger",IF(AND(W420&lt;&gt;"",N(W420)&lt;0),"Trop-perçu : vérifiez paiements et avoirs","OK")))))))))))))))))))))</f>
        <v/>
      </c>
      <c r="AA420" s="62" t="str">
        <f>IF(COUNTA(B420:D420,F420:O420)&gt;0,IF(B420="","Facture",B420),"")</f>
        <v/>
      </c>
      <c r="AB420" s="62" t="str">
        <f>IF(AA420="","",IF(AA420="Avoir",p_pav,IF(AA420="Facture d'acompte",p_pac,p_pfa)))</f>
        <v/>
      </c>
      <c r="AC420" s="62">
        <f>IF(ISNUMBER(C420),C420,0)</f>
        <v>0.0</v>
      </c>
      <c r="AD420" s="62" t="str">
        <f>IF(OR(AA420="",AC420=0),"",YEAR(AC420))</f>
        <v/>
      </c>
      <c r="AE420" s="62" t="str">
        <f>IF(AD420="","",COUNTIFS($AB$6:AB420,AB420,$AD$6:AD420,AD420))</f>
        <v/>
      </c>
      <c r="AF420" s="62">
        <f>IF(A420="",0,COUNTIF(fl_doc,A420))</f>
        <v>0.0</v>
      </c>
      <c r="AG420" s="62" t="str">
        <f>IF(A420="","",IF(AF420&gt;0,"Facture",IF(AND(F420&lt;&gt;"",AA420="Facture",ISNUMBER(MATCH(F420,dv_num,0))),"Devis","")))</f>
        <v/>
      </c>
      <c r="AH420" s="62" t="str">
        <f>IF(AND(A420&lt;&gt;"",F420&lt;&gt;"",AA420&lt;&gt;"Avoir"),F420,"")</f>
        <v/>
      </c>
      <c r="AI420" s="62" t="str">
        <f>IF(AG420="Devis",F420,"")</f>
        <v/>
      </c>
      <c r="AJ420" s="62">
        <f>IF(AG420="Facture",SUMIF(fl_doc,A420,fl_ht),IF(AG420="Devis",SUMIF(dl_doc,F420,dl_ht),0))</f>
        <v>0.0</v>
      </c>
      <c r="AK420" s="62">
        <f>IF(OR(AG420="",INDEX(p_rates,1)=""),0,IF(AG420="Facture",SUMIFS(fl_ht,fl_doc,A420,fl_rate,INDEX(p_rates,1)),SUMIFS(dl_ht,dl_doc,F420,dl_rate,INDEX(p_rates,1))))</f>
        <v>0.0</v>
      </c>
      <c r="AL420" s="62">
        <f>IF(OR(AG420="",INDEX(p_rates,2)=""),0,IF(AG420="Facture",SUMIFS(fl_ht,fl_doc,A420,fl_rate,INDEX(p_rates,2)),SUMIFS(dl_ht,dl_doc,F420,dl_rate,INDEX(p_rates,2))))</f>
        <v>0.0</v>
      </c>
      <c r="AM420" s="62">
        <f>IF(OR(AG420="",INDEX(p_rates,3)=""),0,IF(AG420="Facture",SUMIFS(fl_ht,fl_doc,A420,fl_rate,INDEX(p_rates,3)),SUMIFS(dl_ht,dl_doc,F420,dl_rate,INDEX(p_rates,3))))</f>
        <v>0.0</v>
      </c>
      <c r="AN420" s="62">
        <f>IF(OR(AG420="",INDEX(p_rates,4)=""),0,IF(AG420="Facture",SUMIFS(fl_ht,fl_doc,A420,fl_rate,INDEX(p_rates,4)),SUMIFS(dl_ht,dl_doc,F420,dl_rate,INDEX(p_rates,4))))</f>
        <v>0.0</v>
      </c>
      <c r="AO420" s="62">
        <f>IF(OR(AG420="",INDEX(p_rates,5)=""),0,IF(AG420="Facture",SUMIFS(fl_ht,fl_doc,A420,fl_rate,INDEX(p_rates,5)),SUMIFS(dl_ht,dl_doc,F420,dl_rate,INDEX(p_rates,5))))</f>
        <v>0.0</v>
      </c>
      <c r="AP420" s="62">
        <f>IF(OR(AG420="",INDEX(p_rates,6)=""),0,IF(AG420="Facture",SUMIFS(fl_ht,fl_doc,A420,fl_rate,INDEX(p_rates,6)),SUMIFS(dl_ht,dl_doc,F420,dl_rate,INDEX(p_rates,6))))</f>
        <v>0.0</v>
      </c>
      <c r="AQ420" s="62">
        <f>ROUND(AK420*N(INDEX(p_rates,1)),2)+ROUND(AL420*N(INDEX(p_rates,2)),2)+ROUND(AM420*N(INDEX(p_rates,3)),2)+ROUND(AN420*N(INDEX(p_rates,4)),2)+ROUND(AO420*N(INDEX(p_rates,5)),2)+ROUND(AP420*N(INDEX(p_rates,6)),2)</f>
        <v>0.0</v>
      </c>
      <c r="AR420" s="62" t="str">
        <f>IF(OR(L420="",AA420&lt;&gt;"Facture"),"",IFERROR(IF(INDEX(fa_type,MATCH(L420,fa_num,0))="Facture d'acompte",MATCH(L420,fa_num,0),""),""))</f>
        <v/>
      </c>
      <c r="AS420" s="62" t="str">
        <f>IF(W420="","",IF(W420&lt;=0,"",IF(p_asof-P420&lt;=0,"Non échu",IF(p_asof-P420&lt;=30,"1-30 j",IF(p_asof-P420&lt;=60,"31-60 j",IF(p_asof-P420&lt;=90,"61-90 j","Plus de 90 j"))))))</f>
        <v/>
      </c>
      <c r="AT420" s="62" t="str">
        <f>IF(AS420="","",p_asof-P420)</f>
        <v/>
      </c>
      <c r="AU420" s="62" t="str">
        <f>IF(AT420="","",COUNTIF($AT$6:$AT$805,"&gt;"&amp;AT420)+COUNTIF($AT$6:AT420,AT420))</f>
        <v/>
      </c>
    </row>
    <row r="421">
      <c r="A421" s="59" t="str">
        <f>IF(AE421="","",AB421&amp;"-"&amp;AD421&amp;"-"&amp;RIGHT("000"&amp;AE421,4))</f>
        <v/>
      </c>
      <c r="B421" s="60" t="n"/>
      <c r="C421" s="61" t="n"/>
      <c r="D421" s="60" t="n"/>
      <c r="E421" s="62" t="str">
        <f>IF(D421="","",IFERROR(INDEX(cli_name,MATCH(D421,cli_code,0))&amp;"","Client inconnu"))</f>
        <v/>
      </c>
      <c r="F421" s="60" t="n"/>
      <c r="G421" s="63" t="n"/>
      <c r="H421" s="61" t="n"/>
      <c r="I421" s="63" t="n"/>
      <c r="J421" s="60" t="n"/>
      <c r="K421" s="61" t="n"/>
      <c r="L421" s="60" t="n"/>
      <c r="M421" s="60" t="n"/>
      <c r="N421" s="60" t="n"/>
      <c r="O421" s="61" t="n"/>
      <c r="P421" s="64" t="str">
        <f>IF(A421="","",IF(AA421="Avoir",AC421,IF(ISNUMBER(K421),K421,AC421+IF(D421="",N(p_delay),IFERROR(IF(ISNUMBER(INDEX(cli_delay,MATCH(D421,cli_code,0))),INDEX(cli_delay,MATCH(D421,cli_code,0)),N(p_delay)),N(p_delay))))))</f>
        <v/>
      </c>
      <c r="Q421" s="65" t="str">
        <f>IF(A421="","",IF(AA421="Avoir",-1,1)*ROUND(AJ421-IF(AR421="",0,INDEX(fa_htb,AR421)),2))</f>
        <v/>
      </c>
      <c r="R421" s="65" t="str">
        <f>IF(A421="","",IF(AA421="Avoir",-1,1)*ROUND(AQ421-IF(AR421="",0,INDEX(fa_tvab,AR421)),2))</f>
        <v/>
      </c>
      <c r="S421" s="65" t="str">
        <f>IF(A421="","",Q421+R421)</f>
        <v/>
      </c>
      <c r="T421" s="65" t="str">
        <f>IF(AR421="","",INDEX(fa_htb,AR421)+INDEX(fa_tvab,AR421))</f>
        <v/>
      </c>
      <c r="U421" s="65" t="str">
        <f>IF(A421="","",SUMIF(pa_inv,A421,pa_amt))</f>
        <v/>
      </c>
      <c r="V421" s="65" t="str">
        <f>IF(OR(A421="",AA421="Avoir"),"",-SUMIFS(fa_ttc,fa_avof,A421,fa_type,"Avoir"))</f>
        <v/>
      </c>
      <c r="W421" s="65" t="str">
        <f>IF(OR(A421="",AA421="Avoir"),"",ROUND(S421-U421-V421,2))</f>
        <v/>
      </c>
      <c r="X421" s="66" t="str">
        <f>IF(W421="","",IF(AND(W421&gt;0,p_asof&gt;P421),p_asof-P421,""))</f>
        <v/>
      </c>
      <c r="Y421" s="59" t="str">
        <f>IF(A421="","",IF(AA421="Avoir","Avoir",IF(W421&lt;0,"Trop-perçu",IF(W421=0,"Soldée",IF(p_asof&gt;P421,"En retard",IF(U421+V421&gt;0,"Partielle","À échoir"))))))</f>
        <v/>
      </c>
      <c r="Z421" s="59" t="str">
        <f>IF(NOT(COUNTA(B421:D421,F421:O421)&gt;0),"",IF(C421="","Date manquante",IF(NOT(ISNUMBER(C421)),"Date invalide",IF(D421="","Client manquant",IF(ISNA(MATCH(D421,cli_code,0)),"Client inconnu",IF(AC421&lt;SUMPRODUCT(MAX(($AB$6:AB420=AB421)*$AC$6:AC420)),"Date antérieure à la facture précédente",IF(AND(F421&lt;&gt;"",ISNA(MATCH(F421,dv_num,0))),"Devis inconnu",IF(AND(F421&lt;&gt;"",IFERROR(INDEX(dv_client,MATCH(F421,dv_num,0)),D421)&lt;&gt;D421),"Client différent de celui du devis",IF(AG421="","Aucune ligne : saisissez des lignes ou un devis",IF(AND(AI421&lt;&gt;"",COUNTIF($AI$6:AI421,AI421)&gt;1),"Devis déjà repris par une autre facture",IF(AND(AA421="Avoir",M421=""),"Avoir : indiquez la facture d'origine",IF(AND(AA421="Avoir",ISNA(MATCH(M421,fa_num,0))),"Facture d'origine inconnue",IF(AND(AA421&lt;&gt;"Avoir",M421&lt;&gt;""),"« Avoir sur facture » : réservé aux avoirs",IF(AND(L421&lt;&gt;"",AA421&lt;&gt;"Facture"),"Acompte à déduire : réservé aux factures",IF(AND(L421&lt;&gt;"",ISNA(MATCH(L421,fa_num,0))),"Facture d'acompte inconnue",IF(AND(L421&lt;&gt;"",IFERROR(INDEX(fa_type,MATCH(L421,fa_num,0)),"")&lt;&gt;"Facture d'acompte"),"Le n° à déduire n'est pas une facture d'acompte",IF(AND(L421&lt;&gt;"",COUNTIF($L$6:L421,L421)&gt;1),"Acompte déjà déduit sur une autre facture",IF(AND(L421&lt;&gt;"",IFERROR(INDEX(fa_client,MATCH(L421,fa_num,0)),D421)&lt;&gt;D421),"Acompte d'un autre client",IF(AND(AR421&lt;&gt;"",N(Q421)&lt;0),"Acompte supérieur au total de la facture",IF(IF(AG421="Facture",COUNTIFS(fl_doc,A421,fl_check,"&lt;&gt;OK"),IF(AG421="Devis",COUNTIFS(dl_doc,F421,dl_check,"&lt;&gt;OK"),0))&gt;0,"Ligne(s) à corriger",IF(AND(W421&lt;&gt;"",N(W421)&lt;0),"Trop-perçu : vérifiez paiements et avoirs","OK")))))))))))))))))))))</f>
        <v/>
      </c>
      <c r="AA421" s="62" t="str">
        <f>IF(COUNTA(B421:D421,F421:O421)&gt;0,IF(B421="","Facture",B421),"")</f>
        <v/>
      </c>
      <c r="AB421" s="62" t="str">
        <f>IF(AA421="","",IF(AA421="Avoir",p_pav,IF(AA421="Facture d'acompte",p_pac,p_pfa)))</f>
        <v/>
      </c>
      <c r="AC421" s="62">
        <f>IF(ISNUMBER(C421),C421,0)</f>
        <v>0.0</v>
      </c>
      <c r="AD421" s="62" t="str">
        <f>IF(OR(AA421="",AC421=0),"",YEAR(AC421))</f>
        <v/>
      </c>
      <c r="AE421" s="62" t="str">
        <f>IF(AD421="","",COUNTIFS($AB$6:AB421,AB421,$AD$6:AD421,AD421))</f>
        <v/>
      </c>
      <c r="AF421" s="62">
        <f>IF(A421="",0,COUNTIF(fl_doc,A421))</f>
        <v>0.0</v>
      </c>
      <c r="AG421" s="62" t="str">
        <f>IF(A421="","",IF(AF421&gt;0,"Facture",IF(AND(F421&lt;&gt;"",AA421="Facture",ISNUMBER(MATCH(F421,dv_num,0))),"Devis","")))</f>
        <v/>
      </c>
      <c r="AH421" s="62" t="str">
        <f>IF(AND(A421&lt;&gt;"",F421&lt;&gt;"",AA421&lt;&gt;"Avoir"),F421,"")</f>
        <v/>
      </c>
      <c r="AI421" s="62" t="str">
        <f>IF(AG421="Devis",F421,"")</f>
        <v/>
      </c>
      <c r="AJ421" s="62">
        <f>IF(AG421="Facture",SUMIF(fl_doc,A421,fl_ht),IF(AG421="Devis",SUMIF(dl_doc,F421,dl_ht),0))</f>
        <v>0.0</v>
      </c>
      <c r="AK421" s="62">
        <f>IF(OR(AG421="",INDEX(p_rates,1)=""),0,IF(AG421="Facture",SUMIFS(fl_ht,fl_doc,A421,fl_rate,INDEX(p_rates,1)),SUMIFS(dl_ht,dl_doc,F421,dl_rate,INDEX(p_rates,1))))</f>
        <v>0.0</v>
      </c>
      <c r="AL421" s="62">
        <f>IF(OR(AG421="",INDEX(p_rates,2)=""),0,IF(AG421="Facture",SUMIFS(fl_ht,fl_doc,A421,fl_rate,INDEX(p_rates,2)),SUMIFS(dl_ht,dl_doc,F421,dl_rate,INDEX(p_rates,2))))</f>
        <v>0.0</v>
      </c>
      <c r="AM421" s="62">
        <f>IF(OR(AG421="",INDEX(p_rates,3)=""),0,IF(AG421="Facture",SUMIFS(fl_ht,fl_doc,A421,fl_rate,INDEX(p_rates,3)),SUMIFS(dl_ht,dl_doc,F421,dl_rate,INDEX(p_rates,3))))</f>
        <v>0.0</v>
      </c>
      <c r="AN421" s="62">
        <f>IF(OR(AG421="",INDEX(p_rates,4)=""),0,IF(AG421="Facture",SUMIFS(fl_ht,fl_doc,A421,fl_rate,INDEX(p_rates,4)),SUMIFS(dl_ht,dl_doc,F421,dl_rate,INDEX(p_rates,4))))</f>
        <v>0.0</v>
      </c>
      <c r="AO421" s="62">
        <f>IF(OR(AG421="",INDEX(p_rates,5)=""),0,IF(AG421="Facture",SUMIFS(fl_ht,fl_doc,A421,fl_rate,INDEX(p_rates,5)),SUMIFS(dl_ht,dl_doc,F421,dl_rate,INDEX(p_rates,5))))</f>
        <v>0.0</v>
      </c>
      <c r="AP421" s="62">
        <f>IF(OR(AG421="",INDEX(p_rates,6)=""),0,IF(AG421="Facture",SUMIFS(fl_ht,fl_doc,A421,fl_rate,INDEX(p_rates,6)),SUMIFS(dl_ht,dl_doc,F421,dl_rate,INDEX(p_rates,6))))</f>
        <v>0.0</v>
      </c>
      <c r="AQ421" s="62">
        <f>ROUND(AK421*N(INDEX(p_rates,1)),2)+ROUND(AL421*N(INDEX(p_rates,2)),2)+ROUND(AM421*N(INDEX(p_rates,3)),2)+ROUND(AN421*N(INDEX(p_rates,4)),2)+ROUND(AO421*N(INDEX(p_rates,5)),2)+ROUND(AP421*N(INDEX(p_rates,6)),2)</f>
        <v>0.0</v>
      </c>
      <c r="AR421" s="62" t="str">
        <f>IF(OR(L421="",AA421&lt;&gt;"Facture"),"",IFERROR(IF(INDEX(fa_type,MATCH(L421,fa_num,0))="Facture d'acompte",MATCH(L421,fa_num,0),""),""))</f>
        <v/>
      </c>
      <c r="AS421" s="62" t="str">
        <f>IF(W421="","",IF(W421&lt;=0,"",IF(p_asof-P421&lt;=0,"Non échu",IF(p_asof-P421&lt;=30,"1-30 j",IF(p_asof-P421&lt;=60,"31-60 j",IF(p_asof-P421&lt;=90,"61-90 j","Plus de 90 j"))))))</f>
        <v/>
      </c>
      <c r="AT421" s="62" t="str">
        <f>IF(AS421="","",p_asof-P421)</f>
        <v/>
      </c>
      <c r="AU421" s="62" t="str">
        <f>IF(AT421="","",COUNTIF($AT$6:$AT$805,"&gt;"&amp;AT421)+COUNTIF($AT$6:AT421,AT421))</f>
        <v/>
      </c>
    </row>
    <row r="422">
      <c r="A422" s="59" t="str">
        <f>IF(AE422="","",AB422&amp;"-"&amp;AD422&amp;"-"&amp;RIGHT("000"&amp;AE422,4))</f>
        <v/>
      </c>
      <c r="B422" s="60" t="n"/>
      <c r="C422" s="61" t="n"/>
      <c r="D422" s="60" t="n"/>
      <c r="E422" s="62" t="str">
        <f>IF(D422="","",IFERROR(INDEX(cli_name,MATCH(D422,cli_code,0))&amp;"","Client inconnu"))</f>
        <v/>
      </c>
      <c r="F422" s="60" t="n"/>
      <c r="G422" s="63" t="n"/>
      <c r="H422" s="61" t="n"/>
      <c r="I422" s="63" t="n"/>
      <c r="J422" s="60" t="n"/>
      <c r="K422" s="61" t="n"/>
      <c r="L422" s="60" t="n"/>
      <c r="M422" s="60" t="n"/>
      <c r="N422" s="60" t="n"/>
      <c r="O422" s="61" t="n"/>
      <c r="P422" s="64" t="str">
        <f>IF(A422="","",IF(AA422="Avoir",AC422,IF(ISNUMBER(K422),K422,AC422+IF(D422="",N(p_delay),IFERROR(IF(ISNUMBER(INDEX(cli_delay,MATCH(D422,cli_code,0))),INDEX(cli_delay,MATCH(D422,cli_code,0)),N(p_delay)),N(p_delay))))))</f>
        <v/>
      </c>
      <c r="Q422" s="65" t="str">
        <f>IF(A422="","",IF(AA422="Avoir",-1,1)*ROUND(AJ422-IF(AR422="",0,INDEX(fa_htb,AR422)),2))</f>
        <v/>
      </c>
      <c r="R422" s="65" t="str">
        <f>IF(A422="","",IF(AA422="Avoir",-1,1)*ROUND(AQ422-IF(AR422="",0,INDEX(fa_tvab,AR422)),2))</f>
        <v/>
      </c>
      <c r="S422" s="65" t="str">
        <f>IF(A422="","",Q422+R422)</f>
        <v/>
      </c>
      <c r="T422" s="65" t="str">
        <f>IF(AR422="","",INDEX(fa_htb,AR422)+INDEX(fa_tvab,AR422))</f>
        <v/>
      </c>
      <c r="U422" s="65" t="str">
        <f>IF(A422="","",SUMIF(pa_inv,A422,pa_amt))</f>
        <v/>
      </c>
      <c r="V422" s="65" t="str">
        <f>IF(OR(A422="",AA422="Avoir"),"",-SUMIFS(fa_ttc,fa_avof,A422,fa_type,"Avoir"))</f>
        <v/>
      </c>
      <c r="W422" s="65" t="str">
        <f>IF(OR(A422="",AA422="Avoir"),"",ROUND(S422-U422-V422,2))</f>
        <v/>
      </c>
      <c r="X422" s="66" t="str">
        <f>IF(W422="","",IF(AND(W422&gt;0,p_asof&gt;P422),p_asof-P422,""))</f>
        <v/>
      </c>
      <c r="Y422" s="59" t="str">
        <f>IF(A422="","",IF(AA422="Avoir","Avoir",IF(W422&lt;0,"Trop-perçu",IF(W422=0,"Soldée",IF(p_asof&gt;P422,"En retard",IF(U422+V422&gt;0,"Partielle","À échoir"))))))</f>
        <v/>
      </c>
      <c r="Z422" s="59" t="str">
        <f>IF(NOT(COUNTA(B422:D422,F422:O422)&gt;0),"",IF(C422="","Date manquante",IF(NOT(ISNUMBER(C422)),"Date invalide",IF(D422="","Client manquant",IF(ISNA(MATCH(D422,cli_code,0)),"Client inconnu",IF(AC422&lt;SUMPRODUCT(MAX(($AB$6:AB421=AB422)*$AC$6:AC421)),"Date antérieure à la facture précédente",IF(AND(F422&lt;&gt;"",ISNA(MATCH(F422,dv_num,0))),"Devis inconnu",IF(AND(F422&lt;&gt;"",IFERROR(INDEX(dv_client,MATCH(F422,dv_num,0)),D422)&lt;&gt;D422),"Client différent de celui du devis",IF(AG422="","Aucune ligne : saisissez des lignes ou un devis",IF(AND(AI422&lt;&gt;"",COUNTIF($AI$6:AI422,AI422)&gt;1),"Devis déjà repris par une autre facture",IF(AND(AA422="Avoir",M422=""),"Avoir : indiquez la facture d'origine",IF(AND(AA422="Avoir",ISNA(MATCH(M422,fa_num,0))),"Facture d'origine inconnue",IF(AND(AA422&lt;&gt;"Avoir",M422&lt;&gt;""),"« Avoir sur facture » : réservé aux avoirs",IF(AND(L422&lt;&gt;"",AA422&lt;&gt;"Facture"),"Acompte à déduire : réservé aux factures",IF(AND(L422&lt;&gt;"",ISNA(MATCH(L422,fa_num,0))),"Facture d'acompte inconnue",IF(AND(L422&lt;&gt;"",IFERROR(INDEX(fa_type,MATCH(L422,fa_num,0)),"")&lt;&gt;"Facture d'acompte"),"Le n° à déduire n'est pas une facture d'acompte",IF(AND(L422&lt;&gt;"",COUNTIF($L$6:L422,L422)&gt;1),"Acompte déjà déduit sur une autre facture",IF(AND(L422&lt;&gt;"",IFERROR(INDEX(fa_client,MATCH(L422,fa_num,0)),D422)&lt;&gt;D422),"Acompte d'un autre client",IF(AND(AR422&lt;&gt;"",N(Q422)&lt;0),"Acompte supérieur au total de la facture",IF(IF(AG422="Facture",COUNTIFS(fl_doc,A422,fl_check,"&lt;&gt;OK"),IF(AG422="Devis",COUNTIFS(dl_doc,F422,dl_check,"&lt;&gt;OK"),0))&gt;0,"Ligne(s) à corriger",IF(AND(W422&lt;&gt;"",N(W422)&lt;0),"Trop-perçu : vérifiez paiements et avoirs","OK")))))))))))))))))))))</f>
        <v/>
      </c>
      <c r="AA422" s="62" t="str">
        <f>IF(COUNTA(B422:D422,F422:O422)&gt;0,IF(B422="","Facture",B422),"")</f>
        <v/>
      </c>
      <c r="AB422" s="62" t="str">
        <f>IF(AA422="","",IF(AA422="Avoir",p_pav,IF(AA422="Facture d'acompte",p_pac,p_pfa)))</f>
        <v/>
      </c>
      <c r="AC422" s="62">
        <f>IF(ISNUMBER(C422),C422,0)</f>
        <v>0.0</v>
      </c>
      <c r="AD422" s="62" t="str">
        <f>IF(OR(AA422="",AC422=0),"",YEAR(AC422))</f>
        <v/>
      </c>
      <c r="AE422" s="62" t="str">
        <f>IF(AD422="","",COUNTIFS($AB$6:AB422,AB422,$AD$6:AD422,AD422))</f>
        <v/>
      </c>
      <c r="AF422" s="62">
        <f>IF(A422="",0,COUNTIF(fl_doc,A422))</f>
        <v>0.0</v>
      </c>
      <c r="AG422" s="62" t="str">
        <f>IF(A422="","",IF(AF422&gt;0,"Facture",IF(AND(F422&lt;&gt;"",AA422="Facture",ISNUMBER(MATCH(F422,dv_num,0))),"Devis","")))</f>
        <v/>
      </c>
      <c r="AH422" s="62" t="str">
        <f>IF(AND(A422&lt;&gt;"",F422&lt;&gt;"",AA422&lt;&gt;"Avoir"),F422,"")</f>
        <v/>
      </c>
      <c r="AI422" s="62" t="str">
        <f>IF(AG422="Devis",F422,"")</f>
        <v/>
      </c>
      <c r="AJ422" s="62">
        <f>IF(AG422="Facture",SUMIF(fl_doc,A422,fl_ht),IF(AG422="Devis",SUMIF(dl_doc,F422,dl_ht),0))</f>
        <v>0.0</v>
      </c>
      <c r="AK422" s="62">
        <f>IF(OR(AG422="",INDEX(p_rates,1)=""),0,IF(AG422="Facture",SUMIFS(fl_ht,fl_doc,A422,fl_rate,INDEX(p_rates,1)),SUMIFS(dl_ht,dl_doc,F422,dl_rate,INDEX(p_rates,1))))</f>
        <v>0.0</v>
      </c>
      <c r="AL422" s="62">
        <f>IF(OR(AG422="",INDEX(p_rates,2)=""),0,IF(AG422="Facture",SUMIFS(fl_ht,fl_doc,A422,fl_rate,INDEX(p_rates,2)),SUMIFS(dl_ht,dl_doc,F422,dl_rate,INDEX(p_rates,2))))</f>
        <v>0.0</v>
      </c>
      <c r="AM422" s="62">
        <f>IF(OR(AG422="",INDEX(p_rates,3)=""),0,IF(AG422="Facture",SUMIFS(fl_ht,fl_doc,A422,fl_rate,INDEX(p_rates,3)),SUMIFS(dl_ht,dl_doc,F422,dl_rate,INDEX(p_rates,3))))</f>
        <v>0.0</v>
      </c>
      <c r="AN422" s="62">
        <f>IF(OR(AG422="",INDEX(p_rates,4)=""),0,IF(AG422="Facture",SUMIFS(fl_ht,fl_doc,A422,fl_rate,INDEX(p_rates,4)),SUMIFS(dl_ht,dl_doc,F422,dl_rate,INDEX(p_rates,4))))</f>
        <v>0.0</v>
      </c>
      <c r="AO422" s="62">
        <f>IF(OR(AG422="",INDEX(p_rates,5)=""),0,IF(AG422="Facture",SUMIFS(fl_ht,fl_doc,A422,fl_rate,INDEX(p_rates,5)),SUMIFS(dl_ht,dl_doc,F422,dl_rate,INDEX(p_rates,5))))</f>
        <v>0.0</v>
      </c>
      <c r="AP422" s="62">
        <f>IF(OR(AG422="",INDEX(p_rates,6)=""),0,IF(AG422="Facture",SUMIFS(fl_ht,fl_doc,A422,fl_rate,INDEX(p_rates,6)),SUMIFS(dl_ht,dl_doc,F422,dl_rate,INDEX(p_rates,6))))</f>
        <v>0.0</v>
      </c>
      <c r="AQ422" s="62">
        <f>ROUND(AK422*N(INDEX(p_rates,1)),2)+ROUND(AL422*N(INDEX(p_rates,2)),2)+ROUND(AM422*N(INDEX(p_rates,3)),2)+ROUND(AN422*N(INDEX(p_rates,4)),2)+ROUND(AO422*N(INDEX(p_rates,5)),2)+ROUND(AP422*N(INDEX(p_rates,6)),2)</f>
        <v>0.0</v>
      </c>
      <c r="AR422" s="62" t="str">
        <f>IF(OR(L422="",AA422&lt;&gt;"Facture"),"",IFERROR(IF(INDEX(fa_type,MATCH(L422,fa_num,0))="Facture d'acompte",MATCH(L422,fa_num,0),""),""))</f>
        <v/>
      </c>
      <c r="AS422" s="62" t="str">
        <f>IF(W422="","",IF(W422&lt;=0,"",IF(p_asof-P422&lt;=0,"Non échu",IF(p_asof-P422&lt;=30,"1-30 j",IF(p_asof-P422&lt;=60,"31-60 j",IF(p_asof-P422&lt;=90,"61-90 j","Plus de 90 j"))))))</f>
        <v/>
      </c>
      <c r="AT422" s="62" t="str">
        <f>IF(AS422="","",p_asof-P422)</f>
        <v/>
      </c>
      <c r="AU422" s="62" t="str">
        <f>IF(AT422="","",COUNTIF($AT$6:$AT$805,"&gt;"&amp;AT422)+COUNTIF($AT$6:AT422,AT422))</f>
        <v/>
      </c>
    </row>
    <row r="423">
      <c r="A423" s="59" t="str">
        <f>IF(AE423="","",AB423&amp;"-"&amp;AD423&amp;"-"&amp;RIGHT("000"&amp;AE423,4))</f>
        <v/>
      </c>
      <c r="B423" s="60" t="n"/>
      <c r="C423" s="61" t="n"/>
      <c r="D423" s="60" t="n"/>
      <c r="E423" s="62" t="str">
        <f>IF(D423="","",IFERROR(INDEX(cli_name,MATCH(D423,cli_code,0))&amp;"","Client inconnu"))</f>
        <v/>
      </c>
      <c r="F423" s="60" t="n"/>
      <c r="G423" s="63" t="n"/>
      <c r="H423" s="61" t="n"/>
      <c r="I423" s="63" t="n"/>
      <c r="J423" s="60" t="n"/>
      <c r="K423" s="61" t="n"/>
      <c r="L423" s="60" t="n"/>
      <c r="M423" s="60" t="n"/>
      <c r="N423" s="60" t="n"/>
      <c r="O423" s="61" t="n"/>
      <c r="P423" s="64" t="str">
        <f>IF(A423="","",IF(AA423="Avoir",AC423,IF(ISNUMBER(K423),K423,AC423+IF(D423="",N(p_delay),IFERROR(IF(ISNUMBER(INDEX(cli_delay,MATCH(D423,cli_code,0))),INDEX(cli_delay,MATCH(D423,cli_code,0)),N(p_delay)),N(p_delay))))))</f>
        <v/>
      </c>
      <c r="Q423" s="65" t="str">
        <f>IF(A423="","",IF(AA423="Avoir",-1,1)*ROUND(AJ423-IF(AR423="",0,INDEX(fa_htb,AR423)),2))</f>
        <v/>
      </c>
      <c r="R423" s="65" t="str">
        <f>IF(A423="","",IF(AA423="Avoir",-1,1)*ROUND(AQ423-IF(AR423="",0,INDEX(fa_tvab,AR423)),2))</f>
        <v/>
      </c>
      <c r="S423" s="65" t="str">
        <f>IF(A423="","",Q423+R423)</f>
        <v/>
      </c>
      <c r="T423" s="65" t="str">
        <f>IF(AR423="","",INDEX(fa_htb,AR423)+INDEX(fa_tvab,AR423))</f>
        <v/>
      </c>
      <c r="U423" s="65" t="str">
        <f>IF(A423="","",SUMIF(pa_inv,A423,pa_amt))</f>
        <v/>
      </c>
      <c r="V423" s="65" t="str">
        <f>IF(OR(A423="",AA423="Avoir"),"",-SUMIFS(fa_ttc,fa_avof,A423,fa_type,"Avoir"))</f>
        <v/>
      </c>
      <c r="W423" s="65" t="str">
        <f>IF(OR(A423="",AA423="Avoir"),"",ROUND(S423-U423-V423,2))</f>
        <v/>
      </c>
      <c r="X423" s="66" t="str">
        <f>IF(W423="","",IF(AND(W423&gt;0,p_asof&gt;P423),p_asof-P423,""))</f>
        <v/>
      </c>
      <c r="Y423" s="59" t="str">
        <f>IF(A423="","",IF(AA423="Avoir","Avoir",IF(W423&lt;0,"Trop-perçu",IF(W423=0,"Soldée",IF(p_asof&gt;P423,"En retard",IF(U423+V423&gt;0,"Partielle","À échoir"))))))</f>
        <v/>
      </c>
      <c r="Z423" s="59" t="str">
        <f>IF(NOT(COUNTA(B423:D423,F423:O423)&gt;0),"",IF(C423="","Date manquante",IF(NOT(ISNUMBER(C423)),"Date invalide",IF(D423="","Client manquant",IF(ISNA(MATCH(D423,cli_code,0)),"Client inconnu",IF(AC423&lt;SUMPRODUCT(MAX(($AB$6:AB422=AB423)*$AC$6:AC422)),"Date antérieure à la facture précédente",IF(AND(F423&lt;&gt;"",ISNA(MATCH(F423,dv_num,0))),"Devis inconnu",IF(AND(F423&lt;&gt;"",IFERROR(INDEX(dv_client,MATCH(F423,dv_num,0)),D423)&lt;&gt;D423),"Client différent de celui du devis",IF(AG423="","Aucune ligne : saisissez des lignes ou un devis",IF(AND(AI423&lt;&gt;"",COUNTIF($AI$6:AI423,AI423)&gt;1),"Devis déjà repris par une autre facture",IF(AND(AA423="Avoir",M423=""),"Avoir : indiquez la facture d'origine",IF(AND(AA423="Avoir",ISNA(MATCH(M423,fa_num,0))),"Facture d'origine inconnue",IF(AND(AA423&lt;&gt;"Avoir",M423&lt;&gt;""),"« Avoir sur facture » : réservé aux avoirs",IF(AND(L423&lt;&gt;"",AA423&lt;&gt;"Facture"),"Acompte à déduire : réservé aux factures",IF(AND(L423&lt;&gt;"",ISNA(MATCH(L423,fa_num,0))),"Facture d'acompte inconnue",IF(AND(L423&lt;&gt;"",IFERROR(INDEX(fa_type,MATCH(L423,fa_num,0)),"")&lt;&gt;"Facture d'acompte"),"Le n° à déduire n'est pas une facture d'acompte",IF(AND(L423&lt;&gt;"",COUNTIF($L$6:L423,L423)&gt;1),"Acompte déjà déduit sur une autre facture",IF(AND(L423&lt;&gt;"",IFERROR(INDEX(fa_client,MATCH(L423,fa_num,0)),D423)&lt;&gt;D423),"Acompte d'un autre client",IF(AND(AR423&lt;&gt;"",N(Q423)&lt;0),"Acompte supérieur au total de la facture",IF(IF(AG423="Facture",COUNTIFS(fl_doc,A423,fl_check,"&lt;&gt;OK"),IF(AG423="Devis",COUNTIFS(dl_doc,F423,dl_check,"&lt;&gt;OK"),0))&gt;0,"Ligne(s) à corriger",IF(AND(W423&lt;&gt;"",N(W423)&lt;0),"Trop-perçu : vérifiez paiements et avoirs","OK")))))))))))))))))))))</f>
        <v/>
      </c>
      <c r="AA423" s="62" t="str">
        <f>IF(COUNTA(B423:D423,F423:O423)&gt;0,IF(B423="","Facture",B423),"")</f>
        <v/>
      </c>
      <c r="AB423" s="62" t="str">
        <f>IF(AA423="","",IF(AA423="Avoir",p_pav,IF(AA423="Facture d'acompte",p_pac,p_pfa)))</f>
        <v/>
      </c>
      <c r="AC423" s="62">
        <f>IF(ISNUMBER(C423),C423,0)</f>
        <v>0.0</v>
      </c>
      <c r="AD423" s="62" t="str">
        <f>IF(OR(AA423="",AC423=0),"",YEAR(AC423))</f>
        <v/>
      </c>
      <c r="AE423" s="62" t="str">
        <f>IF(AD423="","",COUNTIFS($AB$6:AB423,AB423,$AD$6:AD423,AD423))</f>
        <v/>
      </c>
      <c r="AF423" s="62">
        <f>IF(A423="",0,COUNTIF(fl_doc,A423))</f>
        <v>0.0</v>
      </c>
      <c r="AG423" s="62" t="str">
        <f>IF(A423="","",IF(AF423&gt;0,"Facture",IF(AND(F423&lt;&gt;"",AA423="Facture",ISNUMBER(MATCH(F423,dv_num,0))),"Devis","")))</f>
        <v/>
      </c>
      <c r="AH423" s="62" t="str">
        <f>IF(AND(A423&lt;&gt;"",F423&lt;&gt;"",AA423&lt;&gt;"Avoir"),F423,"")</f>
        <v/>
      </c>
      <c r="AI423" s="62" t="str">
        <f>IF(AG423="Devis",F423,"")</f>
        <v/>
      </c>
      <c r="AJ423" s="62">
        <f>IF(AG423="Facture",SUMIF(fl_doc,A423,fl_ht),IF(AG423="Devis",SUMIF(dl_doc,F423,dl_ht),0))</f>
        <v>0.0</v>
      </c>
      <c r="AK423" s="62">
        <f>IF(OR(AG423="",INDEX(p_rates,1)=""),0,IF(AG423="Facture",SUMIFS(fl_ht,fl_doc,A423,fl_rate,INDEX(p_rates,1)),SUMIFS(dl_ht,dl_doc,F423,dl_rate,INDEX(p_rates,1))))</f>
        <v>0.0</v>
      </c>
      <c r="AL423" s="62">
        <f>IF(OR(AG423="",INDEX(p_rates,2)=""),0,IF(AG423="Facture",SUMIFS(fl_ht,fl_doc,A423,fl_rate,INDEX(p_rates,2)),SUMIFS(dl_ht,dl_doc,F423,dl_rate,INDEX(p_rates,2))))</f>
        <v>0.0</v>
      </c>
      <c r="AM423" s="62">
        <f>IF(OR(AG423="",INDEX(p_rates,3)=""),0,IF(AG423="Facture",SUMIFS(fl_ht,fl_doc,A423,fl_rate,INDEX(p_rates,3)),SUMIFS(dl_ht,dl_doc,F423,dl_rate,INDEX(p_rates,3))))</f>
        <v>0.0</v>
      </c>
      <c r="AN423" s="62">
        <f>IF(OR(AG423="",INDEX(p_rates,4)=""),0,IF(AG423="Facture",SUMIFS(fl_ht,fl_doc,A423,fl_rate,INDEX(p_rates,4)),SUMIFS(dl_ht,dl_doc,F423,dl_rate,INDEX(p_rates,4))))</f>
        <v>0.0</v>
      </c>
      <c r="AO423" s="62">
        <f>IF(OR(AG423="",INDEX(p_rates,5)=""),0,IF(AG423="Facture",SUMIFS(fl_ht,fl_doc,A423,fl_rate,INDEX(p_rates,5)),SUMIFS(dl_ht,dl_doc,F423,dl_rate,INDEX(p_rates,5))))</f>
        <v>0.0</v>
      </c>
      <c r="AP423" s="62">
        <f>IF(OR(AG423="",INDEX(p_rates,6)=""),0,IF(AG423="Facture",SUMIFS(fl_ht,fl_doc,A423,fl_rate,INDEX(p_rates,6)),SUMIFS(dl_ht,dl_doc,F423,dl_rate,INDEX(p_rates,6))))</f>
        <v>0.0</v>
      </c>
      <c r="AQ423" s="62">
        <f>ROUND(AK423*N(INDEX(p_rates,1)),2)+ROUND(AL423*N(INDEX(p_rates,2)),2)+ROUND(AM423*N(INDEX(p_rates,3)),2)+ROUND(AN423*N(INDEX(p_rates,4)),2)+ROUND(AO423*N(INDEX(p_rates,5)),2)+ROUND(AP423*N(INDEX(p_rates,6)),2)</f>
        <v>0.0</v>
      </c>
      <c r="AR423" s="62" t="str">
        <f>IF(OR(L423="",AA423&lt;&gt;"Facture"),"",IFERROR(IF(INDEX(fa_type,MATCH(L423,fa_num,0))="Facture d'acompte",MATCH(L423,fa_num,0),""),""))</f>
        <v/>
      </c>
      <c r="AS423" s="62" t="str">
        <f>IF(W423="","",IF(W423&lt;=0,"",IF(p_asof-P423&lt;=0,"Non échu",IF(p_asof-P423&lt;=30,"1-30 j",IF(p_asof-P423&lt;=60,"31-60 j",IF(p_asof-P423&lt;=90,"61-90 j","Plus de 90 j"))))))</f>
        <v/>
      </c>
      <c r="AT423" s="62" t="str">
        <f>IF(AS423="","",p_asof-P423)</f>
        <v/>
      </c>
      <c r="AU423" s="62" t="str">
        <f>IF(AT423="","",COUNTIF($AT$6:$AT$805,"&gt;"&amp;AT423)+COUNTIF($AT$6:AT423,AT423))</f>
        <v/>
      </c>
    </row>
    <row r="424">
      <c r="A424" s="59" t="str">
        <f>IF(AE424="","",AB424&amp;"-"&amp;AD424&amp;"-"&amp;RIGHT("000"&amp;AE424,4))</f>
        <v/>
      </c>
      <c r="B424" s="60" t="n"/>
      <c r="C424" s="61" t="n"/>
      <c r="D424" s="60" t="n"/>
      <c r="E424" s="62" t="str">
        <f>IF(D424="","",IFERROR(INDEX(cli_name,MATCH(D424,cli_code,0))&amp;"","Client inconnu"))</f>
        <v/>
      </c>
      <c r="F424" s="60" t="n"/>
      <c r="G424" s="63" t="n"/>
      <c r="H424" s="61" t="n"/>
      <c r="I424" s="63" t="n"/>
      <c r="J424" s="60" t="n"/>
      <c r="K424" s="61" t="n"/>
      <c r="L424" s="60" t="n"/>
      <c r="M424" s="60" t="n"/>
      <c r="N424" s="60" t="n"/>
      <c r="O424" s="61" t="n"/>
      <c r="P424" s="64" t="str">
        <f>IF(A424="","",IF(AA424="Avoir",AC424,IF(ISNUMBER(K424),K424,AC424+IF(D424="",N(p_delay),IFERROR(IF(ISNUMBER(INDEX(cli_delay,MATCH(D424,cli_code,0))),INDEX(cli_delay,MATCH(D424,cli_code,0)),N(p_delay)),N(p_delay))))))</f>
        <v/>
      </c>
      <c r="Q424" s="65" t="str">
        <f>IF(A424="","",IF(AA424="Avoir",-1,1)*ROUND(AJ424-IF(AR424="",0,INDEX(fa_htb,AR424)),2))</f>
        <v/>
      </c>
      <c r="R424" s="65" t="str">
        <f>IF(A424="","",IF(AA424="Avoir",-1,1)*ROUND(AQ424-IF(AR424="",0,INDEX(fa_tvab,AR424)),2))</f>
        <v/>
      </c>
      <c r="S424" s="65" t="str">
        <f>IF(A424="","",Q424+R424)</f>
        <v/>
      </c>
      <c r="T424" s="65" t="str">
        <f>IF(AR424="","",INDEX(fa_htb,AR424)+INDEX(fa_tvab,AR424))</f>
        <v/>
      </c>
      <c r="U424" s="65" t="str">
        <f>IF(A424="","",SUMIF(pa_inv,A424,pa_amt))</f>
        <v/>
      </c>
      <c r="V424" s="65" t="str">
        <f>IF(OR(A424="",AA424="Avoir"),"",-SUMIFS(fa_ttc,fa_avof,A424,fa_type,"Avoir"))</f>
        <v/>
      </c>
      <c r="W424" s="65" t="str">
        <f>IF(OR(A424="",AA424="Avoir"),"",ROUND(S424-U424-V424,2))</f>
        <v/>
      </c>
      <c r="X424" s="66" t="str">
        <f>IF(W424="","",IF(AND(W424&gt;0,p_asof&gt;P424),p_asof-P424,""))</f>
        <v/>
      </c>
      <c r="Y424" s="59" t="str">
        <f>IF(A424="","",IF(AA424="Avoir","Avoir",IF(W424&lt;0,"Trop-perçu",IF(W424=0,"Soldée",IF(p_asof&gt;P424,"En retard",IF(U424+V424&gt;0,"Partielle","À échoir"))))))</f>
        <v/>
      </c>
      <c r="Z424" s="59" t="str">
        <f>IF(NOT(COUNTA(B424:D424,F424:O424)&gt;0),"",IF(C424="","Date manquante",IF(NOT(ISNUMBER(C424)),"Date invalide",IF(D424="","Client manquant",IF(ISNA(MATCH(D424,cli_code,0)),"Client inconnu",IF(AC424&lt;SUMPRODUCT(MAX(($AB$6:AB423=AB424)*$AC$6:AC423)),"Date antérieure à la facture précédente",IF(AND(F424&lt;&gt;"",ISNA(MATCH(F424,dv_num,0))),"Devis inconnu",IF(AND(F424&lt;&gt;"",IFERROR(INDEX(dv_client,MATCH(F424,dv_num,0)),D424)&lt;&gt;D424),"Client différent de celui du devis",IF(AG424="","Aucune ligne : saisissez des lignes ou un devis",IF(AND(AI424&lt;&gt;"",COUNTIF($AI$6:AI424,AI424)&gt;1),"Devis déjà repris par une autre facture",IF(AND(AA424="Avoir",M424=""),"Avoir : indiquez la facture d'origine",IF(AND(AA424="Avoir",ISNA(MATCH(M424,fa_num,0))),"Facture d'origine inconnue",IF(AND(AA424&lt;&gt;"Avoir",M424&lt;&gt;""),"« Avoir sur facture » : réservé aux avoirs",IF(AND(L424&lt;&gt;"",AA424&lt;&gt;"Facture"),"Acompte à déduire : réservé aux factures",IF(AND(L424&lt;&gt;"",ISNA(MATCH(L424,fa_num,0))),"Facture d'acompte inconnue",IF(AND(L424&lt;&gt;"",IFERROR(INDEX(fa_type,MATCH(L424,fa_num,0)),"")&lt;&gt;"Facture d'acompte"),"Le n° à déduire n'est pas une facture d'acompte",IF(AND(L424&lt;&gt;"",COUNTIF($L$6:L424,L424)&gt;1),"Acompte déjà déduit sur une autre facture",IF(AND(L424&lt;&gt;"",IFERROR(INDEX(fa_client,MATCH(L424,fa_num,0)),D424)&lt;&gt;D424),"Acompte d'un autre client",IF(AND(AR424&lt;&gt;"",N(Q424)&lt;0),"Acompte supérieur au total de la facture",IF(IF(AG424="Facture",COUNTIFS(fl_doc,A424,fl_check,"&lt;&gt;OK"),IF(AG424="Devis",COUNTIFS(dl_doc,F424,dl_check,"&lt;&gt;OK"),0))&gt;0,"Ligne(s) à corriger",IF(AND(W424&lt;&gt;"",N(W424)&lt;0),"Trop-perçu : vérifiez paiements et avoirs","OK")))))))))))))))))))))</f>
        <v/>
      </c>
      <c r="AA424" s="62" t="str">
        <f>IF(COUNTA(B424:D424,F424:O424)&gt;0,IF(B424="","Facture",B424),"")</f>
        <v/>
      </c>
      <c r="AB424" s="62" t="str">
        <f>IF(AA424="","",IF(AA424="Avoir",p_pav,IF(AA424="Facture d'acompte",p_pac,p_pfa)))</f>
        <v/>
      </c>
      <c r="AC424" s="62">
        <f>IF(ISNUMBER(C424),C424,0)</f>
        <v>0.0</v>
      </c>
      <c r="AD424" s="62" t="str">
        <f>IF(OR(AA424="",AC424=0),"",YEAR(AC424))</f>
        <v/>
      </c>
      <c r="AE424" s="62" t="str">
        <f>IF(AD424="","",COUNTIFS($AB$6:AB424,AB424,$AD$6:AD424,AD424))</f>
        <v/>
      </c>
      <c r="AF424" s="62">
        <f>IF(A424="",0,COUNTIF(fl_doc,A424))</f>
        <v>0.0</v>
      </c>
      <c r="AG424" s="62" t="str">
        <f>IF(A424="","",IF(AF424&gt;0,"Facture",IF(AND(F424&lt;&gt;"",AA424="Facture",ISNUMBER(MATCH(F424,dv_num,0))),"Devis","")))</f>
        <v/>
      </c>
      <c r="AH424" s="62" t="str">
        <f>IF(AND(A424&lt;&gt;"",F424&lt;&gt;"",AA424&lt;&gt;"Avoir"),F424,"")</f>
        <v/>
      </c>
      <c r="AI424" s="62" t="str">
        <f>IF(AG424="Devis",F424,"")</f>
        <v/>
      </c>
      <c r="AJ424" s="62">
        <f>IF(AG424="Facture",SUMIF(fl_doc,A424,fl_ht),IF(AG424="Devis",SUMIF(dl_doc,F424,dl_ht),0))</f>
        <v>0.0</v>
      </c>
      <c r="AK424" s="62">
        <f>IF(OR(AG424="",INDEX(p_rates,1)=""),0,IF(AG424="Facture",SUMIFS(fl_ht,fl_doc,A424,fl_rate,INDEX(p_rates,1)),SUMIFS(dl_ht,dl_doc,F424,dl_rate,INDEX(p_rates,1))))</f>
        <v>0.0</v>
      </c>
      <c r="AL424" s="62">
        <f>IF(OR(AG424="",INDEX(p_rates,2)=""),0,IF(AG424="Facture",SUMIFS(fl_ht,fl_doc,A424,fl_rate,INDEX(p_rates,2)),SUMIFS(dl_ht,dl_doc,F424,dl_rate,INDEX(p_rates,2))))</f>
        <v>0.0</v>
      </c>
      <c r="AM424" s="62">
        <f>IF(OR(AG424="",INDEX(p_rates,3)=""),0,IF(AG424="Facture",SUMIFS(fl_ht,fl_doc,A424,fl_rate,INDEX(p_rates,3)),SUMIFS(dl_ht,dl_doc,F424,dl_rate,INDEX(p_rates,3))))</f>
        <v>0.0</v>
      </c>
      <c r="AN424" s="62">
        <f>IF(OR(AG424="",INDEX(p_rates,4)=""),0,IF(AG424="Facture",SUMIFS(fl_ht,fl_doc,A424,fl_rate,INDEX(p_rates,4)),SUMIFS(dl_ht,dl_doc,F424,dl_rate,INDEX(p_rates,4))))</f>
        <v>0.0</v>
      </c>
      <c r="AO424" s="62">
        <f>IF(OR(AG424="",INDEX(p_rates,5)=""),0,IF(AG424="Facture",SUMIFS(fl_ht,fl_doc,A424,fl_rate,INDEX(p_rates,5)),SUMIFS(dl_ht,dl_doc,F424,dl_rate,INDEX(p_rates,5))))</f>
        <v>0.0</v>
      </c>
      <c r="AP424" s="62">
        <f>IF(OR(AG424="",INDEX(p_rates,6)=""),0,IF(AG424="Facture",SUMIFS(fl_ht,fl_doc,A424,fl_rate,INDEX(p_rates,6)),SUMIFS(dl_ht,dl_doc,F424,dl_rate,INDEX(p_rates,6))))</f>
        <v>0.0</v>
      </c>
      <c r="AQ424" s="62">
        <f>ROUND(AK424*N(INDEX(p_rates,1)),2)+ROUND(AL424*N(INDEX(p_rates,2)),2)+ROUND(AM424*N(INDEX(p_rates,3)),2)+ROUND(AN424*N(INDEX(p_rates,4)),2)+ROUND(AO424*N(INDEX(p_rates,5)),2)+ROUND(AP424*N(INDEX(p_rates,6)),2)</f>
        <v>0.0</v>
      </c>
      <c r="AR424" s="62" t="str">
        <f>IF(OR(L424="",AA424&lt;&gt;"Facture"),"",IFERROR(IF(INDEX(fa_type,MATCH(L424,fa_num,0))="Facture d'acompte",MATCH(L424,fa_num,0),""),""))</f>
        <v/>
      </c>
      <c r="AS424" s="62" t="str">
        <f>IF(W424="","",IF(W424&lt;=0,"",IF(p_asof-P424&lt;=0,"Non échu",IF(p_asof-P424&lt;=30,"1-30 j",IF(p_asof-P424&lt;=60,"31-60 j",IF(p_asof-P424&lt;=90,"61-90 j","Plus de 90 j"))))))</f>
        <v/>
      </c>
      <c r="AT424" s="62" t="str">
        <f>IF(AS424="","",p_asof-P424)</f>
        <v/>
      </c>
      <c r="AU424" s="62" t="str">
        <f>IF(AT424="","",COUNTIF($AT$6:$AT$805,"&gt;"&amp;AT424)+COUNTIF($AT$6:AT424,AT424))</f>
        <v/>
      </c>
    </row>
    <row r="425">
      <c r="A425" s="59" t="str">
        <f>IF(AE425="","",AB425&amp;"-"&amp;AD425&amp;"-"&amp;RIGHT("000"&amp;AE425,4))</f>
        <v/>
      </c>
      <c r="B425" s="60" t="n"/>
      <c r="C425" s="61" t="n"/>
      <c r="D425" s="60" t="n"/>
      <c r="E425" s="62" t="str">
        <f>IF(D425="","",IFERROR(INDEX(cli_name,MATCH(D425,cli_code,0))&amp;"","Client inconnu"))</f>
        <v/>
      </c>
      <c r="F425" s="60" t="n"/>
      <c r="G425" s="63" t="n"/>
      <c r="H425" s="61" t="n"/>
      <c r="I425" s="63" t="n"/>
      <c r="J425" s="60" t="n"/>
      <c r="K425" s="61" t="n"/>
      <c r="L425" s="60" t="n"/>
      <c r="M425" s="60" t="n"/>
      <c r="N425" s="60" t="n"/>
      <c r="O425" s="61" t="n"/>
      <c r="P425" s="64" t="str">
        <f>IF(A425="","",IF(AA425="Avoir",AC425,IF(ISNUMBER(K425),K425,AC425+IF(D425="",N(p_delay),IFERROR(IF(ISNUMBER(INDEX(cli_delay,MATCH(D425,cli_code,0))),INDEX(cli_delay,MATCH(D425,cli_code,0)),N(p_delay)),N(p_delay))))))</f>
        <v/>
      </c>
      <c r="Q425" s="65" t="str">
        <f>IF(A425="","",IF(AA425="Avoir",-1,1)*ROUND(AJ425-IF(AR425="",0,INDEX(fa_htb,AR425)),2))</f>
        <v/>
      </c>
      <c r="R425" s="65" t="str">
        <f>IF(A425="","",IF(AA425="Avoir",-1,1)*ROUND(AQ425-IF(AR425="",0,INDEX(fa_tvab,AR425)),2))</f>
        <v/>
      </c>
      <c r="S425" s="65" t="str">
        <f>IF(A425="","",Q425+R425)</f>
        <v/>
      </c>
      <c r="T425" s="65" t="str">
        <f>IF(AR425="","",INDEX(fa_htb,AR425)+INDEX(fa_tvab,AR425))</f>
        <v/>
      </c>
      <c r="U425" s="65" t="str">
        <f>IF(A425="","",SUMIF(pa_inv,A425,pa_amt))</f>
        <v/>
      </c>
      <c r="V425" s="65" t="str">
        <f>IF(OR(A425="",AA425="Avoir"),"",-SUMIFS(fa_ttc,fa_avof,A425,fa_type,"Avoir"))</f>
        <v/>
      </c>
      <c r="W425" s="65" t="str">
        <f>IF(OR(A425="",AA425="Avoir"),"",ROUND(S425-U425-V425,2))</f>
        <v/>
      </c>
      <c r="X425" s="66" t="str">
        <f>IF(W425="","",IF(AND(W425&gt;0,p_asof&gt;P425),p_asof-P425,""))</f>
        <v/>
      </c>
      <c r="Y425" s="59" t="str">
        <f>IF(A425="","",IF(AA425="Avoir","Avoir",IF(W425&lt;0,"Trop-perçu",IF(W425=0,"Soldée",IF(p_asof&gt;P425,"En retard",IF(U425+V425&gt;0,"Partielle","À échoir"))))))</f>
        <v/>
      </c>
      <c r="Z425" s="59" t="str">
        <f>IF(NOT(COUNTA(B425:D425,F425:O425)&gt;0),"",IF(C425="","Date manquante",IF(NOT(ISNUMBER(C425)),"Date invalide",IF(D425="","Client manquant",IF(ISNA(MATCH(D425,cli_code,0)),"Client inconnu",IF(AC425&lt;SUMPRODUCT(MAX(($AB$6:AB424=AB425)*$AC$6:AC424)),"Date antérieure à la facture précédente",IF(AND(F425&lt;&gt;"",ISNA(MATCH(F425,dv_num,0))),"Devis inconnu",IF(AND(F425&lt;&gt;"",IFERROR(INDEX(dv_client,MATCH(F425,dv_num,0)),D425)&lt;&gt;D425),"Client différent de celui du devis",IF(AG425="","Aucune ligne : saisissez des lignes ou un devis",IF(AND(AI425&lt;&gt;"",COUNTIF($AI$6:AI425,AI425)&gt;1),"Devis déjà repris par une autre facture",IF(AND(AA425="Avoir",M425=""),"Avoir : indiquez la facture d'origine",IF(AND(AA425="Avoir",ISNA(MATCH(M425,fa_num,0))),"Facture d'origine inconnue",IF(AND(AA425&lt;&gt;"Avoir",M425&lt;&gt;""),"« Avoir sur facture » : réservé aux avoirs",IF(AND(L425&lt;&gt;"",AA425&lt;&gt;"Facture"),"Acompte à déduire : réservé aux factures",IF(AND(L425&lt;&gt;"",ISNA(MATCH(L425,fa_num,0))),"Facture d'acompte inconnue",IF(AND(L425&lt;&gt;"",IFERROR(INDEX(fa_type,MATCH(L425,fa_num,0)),"")&lt;&gt;"Facture d'acompte"),"Le n° à déduire n'est pas une facture d'acompte",IF(AND(L425&lt;&gt;"",COUNTIF($L$6:L425,L425)&gt;1),"Acompte déjà déduit sur une autre facture",IF(AND(L425&lt;&gt;"",IFERROR(INDEX(fa_client,MATCH(L425,fa_num,0)),D425)&lt;&gt;D425),"Acompte d'un autre client",IF(AND(AR425&lt;&gt;"",N(Q425)&lt;0),"Acompte supérieur au total de la facture",IF(IF(AG425="Facture",COUNTIFS(fl_doc,A425,fl_check,"&lt;&gt;OK"),IF(AG425="Devis",COUNTIFS(dl_doc,F425,dl_check,"&lt;&gt;OK"),0))&gt;0,"Ligne(s) à corriger",IF(AND(W425&lt;&gt;"",N(W425)&lt;0),"Trop-perçu : vérifiez paiements et avoirs","OK")))))))))))))))))))))</f>
        <v/>
      </c>
      <c r="AA425" s="62" t="str">
        <f>IF(COUNTA(B425:D425,F425:O425)&gt;0,IF(B425="","Facture",B425),"")</f>
        <v/>
      </c>
      <c r="AB425" s="62" t="str">
        <f>IF(AA425="","",IF(AA425="Avoir",p_pav,IF(AA425="Facture d'acompte",p_pac,p_pfa)))</f>
        <v/>
      </c>
      <c r="AC425" s="62">
        <f>IF(ISNUMBER(C425),C425,0)</f>
        <v>0.0</v>
      </c>
      <c r="AD425" s="62" t="str">
        <f>IF(OR(AA425="",AC425=0),"",YEAR(AC425))</f>
        <v/>
      </c>
      <c r="AE425" s="62" t="str">
        <f>IF(AD425="","",COUNTIFS($AB$6:AB425,AB425,$AD$6:AD425,AD425))</f>
        <v/>
      </c>
      <c r="AF425" s="62">
        <f>IF(A425="",0,COUNTIF(fl_doc,A425))</f>
        <v>0.0</v>
      </c>
      <c r="AG425" s="62" t="str">
        <f>IF(A425="","",IF(AF425&gt;0,"Facture",IF(AND(F425&lt;&gt;"",AA425="Facture",ISNUMBER(MATCH(F425,dv_num,0))),"Devis","")))</f>
        <v/>
      </c>
      <c r="AH425" s="62" t="str">
        <f>IF(AND(A425&lt;&gt;"",F425&lt;&gt;"",AA425&lt;&gt;"Avoir"),F425,"")</f>
        <v/>
      </c>
      <c r="AI425" s="62" t="str">
        <f>IF(AG425="Devis",F425,"")</f>
        <v/>
      </c>
      <c r="AJ425" s="62">
        <f>IF(AG425="Facture",SUMIF(fl_doc,A425,fl_ht),IF(AG425="Devis",SUMIF(dl_doc,F425,dl_ht),0))</f>
        <v>0.0</v>
      </c>
      <c r="AK425" s="62">
        <f>IF(OR(AG425="",INDEX(p_rates,1)=""),0,IF(AG425="Facture",SUMIFS(fl_ht,fl_doc,A425,fl_rate,INDEX(p_rates,1)),SUMIFS(dl_ht,dl_doc,F425,dl_rate,INDEX(p_rates,1))))</f>
        <v>0.0</v>
      </c>
      <c r="AL425" s="62">
        <f>IF(OR(AG425="",INDEX(p_rates,2)=""),0,IF(AG425="Facture",SUMIFS(fl_ht,fl_doc,A425,fl_rate,INDEX(p_rates,2)),SUMIFS(dl_ht,dl_doc,F425,dl_rate,INDEX(p_rates,2))))</f>
        <v>0.0</v>
      </c>
      <c r="AM425" s="62">
        <f>IF(OR(AG425="",INDEX(p_rates,3)=""),0,IF(AG425="Facture",SUMIFS(fl_ht,fl_doc,A425,fl_rate,INDEX(p_rates,3)),SUMIFS(dl_ht,dl_doc,F425,dl_rate,INDEX(p_rates,3))))</f>
        <v>0.0</v>
      </c>
      <c r="AN425" s="62">
        <f>IF(OR(AG425="",INDEX(p_rates,4)=""),0,IF(AG425="Facture",SUMIFS(fl_ht,fl_doc,A425,fl_rate,INDEX(p_rates,4)),SUMIFS(dl_ht,dl_doc,F425,dl_rate,INDEX(p_rates,4))))</f>
        <v>0.0</v>
      </c>
      <c r="AO425" s="62">
        <f>IF(OR(AG425="",INDEX(p_rates,5)=""),0,IF(AG425="Facture",SUMIFS(fl_ht,fl_doc,A425,fl_rate,INDEX(p_rates,5)),SUMIFS(dl_ht,dl_doc,F425,dl_rate,INDEX(p_rates,5))))</f>
        <v>0.0</v>
      </c>
      <c r="AP425" s="62">
        <f>IF(OR(AG425="",INDEX(p_rates,6)=""),0,IF(AG425="Facture",SUMIFS(fl_ht,fl_doc,A425,fl_rate,INDEX(p_rates,6)),SUMIFS(dl_ht,dl_doc,F425,dl_rate,INDEX(p_rates,6))))</f>
        <v>0.0</v>
      </c>
      <c r="AQ425" s="62">
        <f>ROUND(AK425*N(INDEX(p_rates,1)),2)+ROUND(AL425*N(INDEX(p_rates,2)),2)+ROUND(AM425*N(INDEX(p_rates,3)),2)+ROUND(AN425*N(INDEX(p_rates,4)),2)+ROUND(AO425*N(INDEX(p_rates,5)),2)+ROUND(AP425*N(INDEX(p_rates,6)),2)</f>
        <v>0.0</v>
      </c>
      <c r="AR425" s="62" t="str">
        <f>IF(OR(L425="",AA425&lt;&gt;"Facture"),"",IFERROR(IF(INDEX(fa_type,MATCH(L425,fa_num,0))="Facture d'acompte",MATCH(L425,fa_num,0),""),""))</f>
        <v/>
      </c>
      <c r="AS425" s="62" t="str">
        <f>IF(W425="","",IF(W425&lt;=0,"",IF(p_asof-P425&lt;=0,"Non échu",IF(p_asof-P425&lt;=30,"1-30 j",IF(p_asof-P425&lt;=60,"31-60 j",IF(p_asof-P425&lt;=90,"61-90 j","Plus de 90 j"))))))</f>
        <v/>
      </c>
      <c r="AT425" s="62" t="str">
        <f>IF(AS425="","",p_asof-P425)</f>
        <v/>
      </c>
      <c r="AU425" s="62" t="str">
        <f>IF(AT425="","",COUNTIF($AT$6:$AT$805,"&gt;"&amp;AT425)+COUNTIF($AT$6:AT425,AT425))</f>
        <v/>
      </c>
    </row>
    <row r="426">
      <c r="A426" s="59" t="str">
        <f>IF(AE426="","",AB426&amp;"-"&amp;AD426&amp;"-"&amp;RIGHT("000"&amp;AE426,4))</f>
        <v/>
      </c>
      <c r="B426" s="60" t="n"/>
      <c r="C426" s="61" t="n"/>
      <c r="D426" s="60" t="n"/>
      <c r="E426" s="62" t="str">
        <f>IF(D426="","",IFERROR(INDEX(cli_name,MATCH(D426,cli_code,0))&amp;"","Client inconnu"))</f>
        <v/>
      </c>
      <c r="F426" s="60" t="n"/>
      <c r="G426" s="63" t="n"/>
      <c r="H426" s="61" t="n"/>
      <c r="I426" s="63" t="n"/>
      <c r="J426" s="60" t="n"/>
      <c r="K426" s="61" t="n"/>
      <c r="L426" s="60" t="n"/>
      <c r="M426" s="60" t="n"/>
      <c r="N426" s="60" t="n"/>
      <c r="O426" s="61" t="n"/>
      <c r="P426" s="64" t="str">
        <f>IF(A426="","",IF(AA426="Avoir",AC426,IF(ISNUMBER(K426),K426,AC426+IF(D426="",N(p_delay),IFERROR(IF(ISNUMBER(INDEX(cli_delay,MATCH(D426,cli_code,0))),INDEX(cli_delay,MATCH(D426,cli_code,0)),N(p_delay)),N(p_delay))))))</f>
        <v/>
      </c>
      <c r="Q426" s="65" t="str">
        <f>IF(A426="","",IF(AA426="Avoir",-1,1)*ROUND(AJ426-IF(AR426="",0,INDEX(fa_htb,AR426)),2))</f>
        <v/>
      </c>
      <c r="R426" s="65" t="str">
        <f>IF(A426="","",IF(AA426="Avoir",-1,1)*ROUND(AQ426-IF(AR426="",0,INDEX(fa_tvab,AR426)),2))</f>
        <v/>
      </c>
      <c r="S426" s="65" t="str">
        <f>IF(A426="","",Q426+R426)</f>
        <v/>
      </c>
      <c r="T426" s="65" t="str">
        <f>IF(AR426="","",INDEX(fa_htb,AR426)+INDEX(fa_tvab,AR426))</f>
        <v/>
      </c>
      <c r="U426" s="65" t="str">
        <f>IF(A426="","",SUMIF(pa_inv,A426,pa_amt))</f>
        <v/>
      </c>
      <c r="V426" s="65" t="str">
        <f>IF(OR(A426="",AA426="Avoir"),"",-SUMIFS(fa_ttc,fa_avof,A426,fa_type,"Avoir"))</f>
        <v/>
      </c>
      <c r="W426" s="65" t="str">
        <f>IF(OR(A426="",AA426="Avoir"),"",ROUND(S426-U426-V426,2))</f>
        <v/>
      </c>
      <c r="X426" s="66" t="str">
        <f>IF(W426="","",IF(AND(W426&gt;0,p_asof&gt;P426),p_asof-P426,""))</f>
        <v/>
      </c>
      <c r="Y426" s="59" t="str">
        <f>IF(A426="","",IF(AA426="Avoir","Avoir",IF(W426&lt;0,"Trop-perçu",IF(W426=0,"Soldée",IF(p_asof&gt;P426,"En retard",IF(U426+V426&gt;0,"Partielle","À échoir"))))))</f>
        <v/>
      </c>
      <c r="Z426" s="59" t="str">
        <f>IF(NOT(COUNTA(B426:D426,F426:O426)&gt;0),"",IF(C426="","Date manquante",IF(NOT(ISNUMBER(C426)),"Date invalide",IF(D426="","Client manquant",IF(ISNA(MATCH(D426,cli_code,0)),"Client inconnu",IF(AC426&lt;SUMPRODUCT(MAX(($AB$6:AB425=AB426)*$AC$6:AC425)),"Date antérieure à la facture précédente",IF(AND(F426&lt;&gt;"",ISNA(MATCH(F426,dv_num,0))),"Devis inconnu",IF(AND(F426&lt;&gt;"",IFERROR(INDEX(dv_client,MATCH(F426,dv_num,0)),D426)&lt;&gt;D426),"Client différent de celui du devis",IF(AG426="","Aucune ligne : saisissez des lignes ou un devis",IF(AND(AI426&lt;&gt;"",COUNTIF($AI$6:AI426,AI426)&gt;1),"Devis déjà repris par une autre facture",IF(AND(AA426="Avoir",M426=""),"Avoir : indiquez la facture d'origine",IF(AND(AA426="Avoir",ISNA(MATCH(M426,fa_num,0))),"Facture d'origine inconnue",IF(AND(AA426&lt;&gt;"Avoir",M426&lt;&gt;""),"« Avoir sur facture » : réservé aux avoirs",IF(AND(L426&lt;&gt;"",AA426&lt;&gt;"Facture"),"Acompte à déduire : réservé aux factures",IF(AND(L426&lt;&gt;"",ISNA(MATCH(L426,fa_num,0))),"Facture d'acompte inconnue",IF(AND(L426&lt;&gt;"",IFERROR(INDEX(fa_type,MATCH(L426,fa_num,0)),"")&lt;&gt;"Facture d'acompte"),"Le n° à déduire n'est pas une facture d'acompte",IF(AND(L426&lt;&gt;"",COUNTIF($L$6:L426,L426)&gt;1),"Acompte déjà déduit sur une autre facture",IF(AND(L426&lt;&gt;"",IFERROR(INDEX(fa_client,MATCH(L426,fa_num,0)),D426)&lt;&gt;D426),"Acompte d'un autre client",IF(AND(AR426&lt;&gt;"",N(Q426)&lt;0),"Acompte supérieur au total de la facture",IF(IF(AG426="Facture",COUNTIFS(fl_doc,A426,fl_check,"&lt;&gt;OK"),IF(AG426="Devis",COUNTIFS(dl_doc,F426,dl_check,"&lt;&gt;OK"),0))&gt;0,"Ligne(s) à corriger",IF(AND(W426&lt;&gt;"",N(W426)&lt;0),"Trop-perçu : vérifiez paiements et avoirs","OK")))))))))))))))))))))</f>
        <v/>
      </c>
      <c r="AA426" s="62" t="str">
        <f>IF(COUNTA(B426:D426,F426:O426)&gt;0,IF(B426="","Facture",B426),"")</f>
        <v/>
      </c>
      <c r="AB426" s="62" t="str">
        <f>IF(AA426="","",IF(AA426="Avoir",p_pav,IF(AA426="Facture d'acompte",p_pac,p_pfa)))</f>
        <v/>
      </c>
      <c r="AC426" s="62">
        <f>IF(ISNUMBER(C426),C426,0)</f>
        <v>0.0</v>
      </c>
      <c r="AD426" s="62" t="str">
        <f>IF(OR(AA426="",AC426=0),"",YEAR(AC426))</f>
        <v/>
      </c>
      <c r="AE426" s="62" t="str">
        <f>IF(AD426="","",COUNTIFS($AB$6:AB426,AB426,$AD$6:AD426,AD426))</f>
        <v/>
      </c>
      <c r="AF426" s="62">
        <f>IF(A426="",0,COUNTIF(fl_doc,A426))</f>
        <v>0.0</v>
      </c>
      <c r="AG426" s="62" t="str">
        <f>IF(A426="","",IF(AF426&gt;0,"Facture",IF(AND(F426&lt;&gt;"",AA426="Facture",ISNUMBER(MATCH(F426,dv_num,0))),"Devis","")))</f>
        <v/>
      </c>
      <c r="AH426" s="62" t="str">
        <f>IF(AND(A426&lt;&gt;"",F426&lt;&gt;"",AA426&lt;&gt;"Avoir"),F426,"")</f>
        <v/>
      </c>
      <c r="AI426" s="62" t="str">
        <f>IF(AG426="Devis",F426,"")</f>
        <v/>
      </c>
      <c r="AJ426" s="62">
        <f>IF(AG426="Facture",SUMIF(fl_doc,A426,fl_ht),IF(AG426="Devis",SUMIF(dl_doc,F426,dl_ht),0))</f>
        <v>0.0</v>
      </c>
      <c r="AK426" s="62">
        <f>IF(OR(AG426="",INDEX(p_rates,1)=""),0,IF(AG426="Facture",SUMIFS(fl_ht,fl_doc,A426,fl_rate,INDEX(p_rates,1)),SUMIFS(dl_ht,dl_doc,F426,dl_rate,INDEX(p_rates,1))))</f>
        <v>0.0</v>
      </c>
      <c r="AL426" s="62">
        <f>IF(OR(AG426="",INDEX(p_rates,2)=""),0,IF(AG426="Facture",SUMIFS(fl_ht,fl_doc,A426,fl_rate,INDEX(p_rates,2)),SUMIFS(dl_ht,dl_doc,F426,dl_rate,INDEX(p_rates,2))))</f>
        <v>0.0</v>
      </c>
      <c r="AM426" s="62">
        <f>IF(OR(AG426="",INDEX(p_rates,3)=""),0,IF(AG426="Facture",SUMIFS(fl_ht,fl_doc,A426,fl_rate,INDEX(p_rates,3)),SUMIFS(dl_ht,dl_doc,F426,dl_rate,INDEX(p_rates,3))))</f>
        <v>0.0</v>
      </c>
      <c r="AN426" s="62">
        <f>IF(OR(AG426="",INDEX(p_rates,4)=""),0,IF(AG426="Facture",SUMIFS(fl_ht,fl_doc,A426,fl_rate,INDEX(p_rates,4)),SUMIFS(dl_ht,dl_doc,F426,dl_rate,INDEX(p_rates,4))))</f>
        <v>0.0</v>
      </c>
      <c r="AO426" s="62">
        <f>IF(OR(AG426="",INDEX(p_rates,5)=""),0,IF(AG426="Facture",SUMIFS(fl_ht,fl_doc,A426,fl_rate,INDEX(p_rates,5)),SUMIFS(dl_ht,dl_doc,F426,dl_rate,INDEX(p_rates,5))))</f>
        <v>0.0</v>
      </c>
      <c r="AP426" s="62">
        <f>IF(OR(AG426="",INDEX(p_rates,6)=""),0,IF(AG426="Facture",SUMIFS(fl_ht,fl_doc,A426,fl_rate,INDEX(p_rates,6)),SUMIFS(dl_ht,dl_doc,F426,dl_rate,INDEX(p_rates,6))))</f>
        <v>0.0</v>
      </c>
      <c r="AQ426" s="62">
        <f>ROUND(AK426*N(INDEX(p_rates,1)),2)+ROUND(AL426*N(INDEX(p_rates,2)),2)+ROUND(AM426*N(INDEX(p_rates,3)),2)+ROUND(AN426*N(INDEX(p_rates,4)),2)+ROUND(AO426*N(INDEX(p_rates,5)),2)+ROUND(AP426*N(INDEX(p_rates,6)),2)</f>
        <v>0.0</v>
      </c>
      <c r="AR426" s="62" t="str">
        <f>IF(OR(L426="",AA426&lt;&gt;"Facture"),"",IFERROR(IF(INDEX(fa_type,MATCH(L426,fa_num,0))="Facture d'acompte",MATCH(L426,fa_num,0),""),""))</f>
        <v/>
      </c>
      <c r="AS426" s="62" t="str">
        <f>IF(W426="","",IF(W426&lt;=0,"",IF(p_asof-P426&lt;=0,"Non échu",IF(p_asof-P426&lt;=30,"1-30 j",IF(p_asof-P426&lt;=60,"31-60 j",IF(p_asof-P426&lt;=90,"61-90 j","Plus de 90 j"))))))</f>
        <v/>
      </c>
      <c r="AT426" s="62" t="str">
        <f>IF(AS426="","",p_asof-P426)</f>
        <v/>
      </c>
      <c r="AU426" s="62" t="str">
        <f>IF(AT426="","",COUNTIF($AT$6:$AT$805,"&gt;"&amp;AT426)+COUNTIF($AT$6:AT426,AT426))</f>
        <v/>
      </c>
    </row>
    <row r="427">
      <c r="A427" s="59" t="str">
        <f>IF(AE427="","",AB427&amp;"-"&amp;AD427&amp;"-"&amp;RIGHT("000"&amp;AE427,4))</f>
        <v/>
      </c>
      <c r="B427" s="60" t="n"/>
      <c r="C427" s="61" t="n"/>
      <c r="D427" s="60" t="n"/>
      <c r="E427" s="62" t="str">
        <f>IF(D427="","",IFERROR(INDEX(cli_name,MATCH(D427,cli_code,0))&amp;"","Client inconnu"))</f>
        <v/>
      </c>
      <c r="F427" s="60" t="n"/>
      <c r="G427" s="63" t="n"/>
      <c r="H427" s="61" t="n"/>
      <c r="I427" s="63" t="n"/>
      <c r="J427" s="60" t="n"/>
      <c r="K427" s="61" t="n"/>
      <c r="L427" s="60" t="n"/>
      <c r="M427" s="60" t="n"/>
      <c r="N427" s="60" t="n"/>
      <c r="O427" s="61" t="n"/>
      <c r="P427" s="64" t="str">
        <f>IF(A427="","",IF(AA427="Avoir",AC427,IF(ISNUMBER(K427),K427,AC427+IF(D427="",N(p_delay),IFERROR(IF(ISNUMBER(INDEX(cli_delay,MATCH(D427,cli_code,0))),INDEX(cli_delay,MATCH(D427,cli_code,0)),N(p_delay)),N(p_delay))))))</f>
        <v/>
      </c>
      <c r="Q427" s="65" t="str">
        <f>IF(A427="","",IF(AA427="Avoir",-1,1)*ROUND(AJ427-IF(AR427="",0,INDEX(fa_htb,AR427)),2))</f>
        <v/>
      </c>
      <c r="R427" s="65" t="str">
        <f>IF(A427="","",IF(AA427="Avoir",-1,1)*ROUND(AQ427-IF(AR427="",0,INDEX(fa_tvab,AR427)),2))</f>
        <v/>
      </c>
      <c r="S427" s="65" t="str">
        <f>IF(A427="","",Q427+R427)</f>
        <v/>
      </c>
      <c r="T427" s="65" t="str">
        <f>IF(AR427="","",INDEX(fa_htb,AR427)+INDEX(fa_tvab,AR427))</f>
        <v/>
      </c>
      <c r="U427" s="65" t="str">
        <f>IF(A427="","",SUMIF(pa_inv,A427,pa_amt))</f>
        <v/>
      </c>
      <c r="V427" s="65" t="str">
        <f>IF(OR(A427="",AA427="Avoir"),"",-SUMIFS(fa_ttc,fa_avof,A427,fa_type,"Avoir"))</f>
        <v/>
      </c>
      <c r="W427" s="65" t="str">
        <f>IF(OR(A427="",AA427="Avoir"),"",ROUND(S427-U427-V427,2))</f>
        <v/>
      </c>
      <c r="X427" s="66" t="str">
        <f>IF(W427="","",IF(AND(W427&gt;0,p_asof&gt;P427),p_asof-P427,""))</f>
        <v/>
      </c>
      <c r="Y427" s="59" t="str">
        <f>IF(A427="","",IF(AA427="Avoir","Avoir",IF(W427&lt;0,"Trop-perçu",IF(W427=0,"Soldée",IF(p_asof&gt;P427,"En retard",IF(U427+V427&gt;0,"Partielle","À échoir"))))))</f>
        <v/>
      </c>
      <c r="Z427" s="59" t="str">
        <f>IF(NOT(COUNTA(B427:D427,F427:O427)&gt;0),"",IF(C427="","Date manquante",IF(NOT(ISNUMBER(C427)),"Date invalide",IF(D427="","Client manquant",IF(ISNA(MATCH(D427,cli_code,0)),"Client inconnu",IF(AC427&lt;SUMPRODUCT(MAX(($AB$6:AB426=AB427)*$AC$6:AC426)),"Date antérieure à la facture précédente",IF(AND(F427&lt;&gt;"",ISNA(MATCH(F427,dv_num,0))),"Devis inconnu",IF(AND(F427&lt;&gt;"",IFERROR(INDEX(dv_client,MATCH(F427,dv_num,0)),D427)&lt;&gt;D427),"Client différent de celui du devis",IF(AG427="","Aucune ligne : saisissez des lignes ou un devis",IF(AND(AI427&lt;&gt;"",COUNTIF($AI$6:AI427,AI427)&gt;1),"Devis déjà repris par une autre facture",IF(AND(AA427="Avoir",M427=""),"Avoir : indiquez la facture d'origine",IF(AND(AA427="Avoir",ISNA(MATCH(M427,fa_num,0))),"Facture d'origine inconnue",IF(AND(AA427&lt;&gt;"Avoir",M427&lt;&gt;""),"« Avoir sur facture » : réservé aux avoirs",IF(AND(L427&lt;&gt;"",AA427&lt;&gt;"Facture"),"Acompte à déduire : réservé aux factures",IF(AND(L427&lt;&gt;"",ISNA(MATCH(L427,fa_num,0))),"Facture d'acompte inconnue",IF(AND(L427&lt;&gt;"",IFERROR(INDEX(fa_type,MATCH(L427,fa_num,0)),"")&lt;&gt;"Facture d'acompte"),"Le n° à déduire n'est pas une facture d'acompte",IF(AND(L427&lt;&gt;"",COUNTIF($L$6:L427,L427)&gt;1),"Acompte déjà déduit sur une autre facture",IF(AND(L427&lt;&gt;"",IFERROR(INDEX(fa_client,MATCH(L427,fa_num,0)),D427)&lt;&gt;D427),"Acompte d'un autre client",IF(AND(AR427&lt;&gt;"",N(Q427)&lt;0),"Acompte supérieur au total de la facture",IF(IF(AG427="Facture",COUNTIFS(fl_doc,A427,fl_check,"&lt;&gt;OK"),IF(AG427="Devis",COUNTIFS(dl_doc,F427,dl_check,"&lt;&gt;OK"),0))&gt;0,"Ligne(s) à corriger",IF(AND(W427&lt;&gt;"",N(W427)&lt;0),"Trop-perçu : vérifiez paiements et avoirs","OK")))))))))))))))))))))</f>
        <v/>
      </c>
      <c r="AA427" s="62" t="str">
        <f>IF(COUNTA(B427:D427,F427:O427)&gt;0,IF(B427="","Facture",B427),"")</f>
        <v/>
      </c>
      <c r="AB427" s="62" t="str">
        <f>IF(AA427="","",IF(AA427="Avoir",p_pav,IF(AA427="Facture d'acompte",p_pac,p_pfa)))</f>
        <v/>
      </c>
      <c r="AC427" s="62">
        <f>IF(ISNUMBER(C427),C427,0)</f>
        <v>0.0</v>
      </c>
      <c r="AD427" s="62" t="str">
        <f>IF(OR(AA427="",AC427=0),"",YEAR(AC427))</f>
        <v/>
      </c>
      <c r="AE427" s="62" t="str">
        <f>IF(AD427="","",COUNTIFS($AB$6:AB427,AB427,$AD$6:AD427,AD427))</f>
        <v/>
      </c>
      <c r="AF427" s="62">
        <f>IF(A427="",0,COUNTIF(fl_doc,A427))</f>
        <v>0.0</v>
      </c>
      <c r="AG427" s="62" t="str">
        <f>IF(A427="","",IF(AF427&gt;0,"Facture",IF(AND(F427&lt;&gt;"",AA427="Facture",ISNUMBER(MATCH(F427,dv_num,0))),"Devis","")))</f>
        <v/>
      </c>
      <c r="AH427" s="62" t="str">
        <f>IF(AND(A427&lt;&gt;"",F427&lt;&gt;"",AA427&lt;&gt;"Avoir"),F427,"")</f>
        <v/>
      </c>
      <c r="AI427" s="62" t="str">
        <f>IF(AG427="Devis",F427,"")</f>
        <v/>
      </c>
      <c r="AJ427" s="62">
        <f>IF(AG427="Facture",SUMIF(fl_doc,A427,fl_ht),IF(AG427="Devis",SUMIF(dl_doc,F427,dl_ht),0))</f>
        <v>0.0</v>
      </c>
      <c r="AK427" s="62">
        <f>IF(OR(AG427="",INDEX(p_rates,1)=""),0,IF(AG427="Facture",SUMIFS(fl_ht,fl_doc,A427,fl_rate,INDEX(p_rates,1)),SUMIFS(dl_ht,dl_doc,F427,dl_rate,INDEX(p_rates,1))))</f>
        <v>0.0</v>
      </c>
      <c r="AL427" s="62">
        <f>IF(OR(AG427="",INDEX(p_rates,2)=""),0,IF(AG427="Facture",SUMIFS(fl_ht,fl_doc,A427,fl_rate,INDEX(p_rates,2)),SUMIFS(dl_ht,dl_doc,F427,dl_rate,INDEX(p_rates,2))))</f>
        <v>0.0</v>
      </c>
      <c r="AM427" s="62">
        <f>IF(OR(AG427="",INDEX(p_rates,3)=""),0,IF(AG427="Facture",SUMIFS(fl_ht,fl_doc,A427,fl_rate,INDEX(p_rates,3)),SUMIFS(dl_ht,dl_doc,F427,dl_rate,INDEX(p_rates,3))))</f>
        <v>0.0</v>
      </c>
      <c r="AN427" s="62">
        <f>IF(OR(AG427="",INDEX(p_rates,4)=""),0,IF(AG427="Facture",SUMIFS(fl_ht,fl_doc,A427,fl_rate,INDEX(p_rates,4)),SUMIFS(dl_ht,dl_doc,F427,dl_rate,INDEX(p_rates,4))))</f>
        <v>0.0</v>
      </c>
      <c r="AO427" s="62">
        <f>IF(OR(AG427="",INDEX(p_rates,5)=""),0,IF(AG427="Facture",SUMIFS(fl_ht,fl_doc,A427,fl_rate,INDEX(p_rates,5)),SUMIFS(dl_ht,dl_doc,F427,dl_rate,INDEX(p_rates,5))))</f>
        <v>0.0</v>
      </c>
      <c r="AP427" s="62">
        <f>IF(OR(AG427="",INDEX(p_rates,6)=""),0,IF(AG427="Facture",SUMIFS(fl_ht,fl_doc,A427,fl_rate,INDEX(p_rates,6)),SUMIFS(dl_ht,dl_doc,F427,dl_rate,INDEX(p_rates,6))))</f>
        <v>0.0</v>
      </c>
      <c r="AQ427" s="62">
        <f>ROUND(AK427*N(INDEX(p_rates,1)),2)+ROUND(AL427*N(INDEX(p_rates,2)),2)+ROUND(AM427*N(INDEX(p_rates,3)),2)+ROUND(AN427*N(INDEX(p_rates,4)),2)+ROUND(AO427*N(INDEX(p_rates,5)),2)+ROUND(AP427*N(INDEX(p_rates,6)),2)</f>
        <v>0.0</v>
      </c>
      <c r="AR427" s="62" t="str">
        <f>IF(OR(L427="",AA427&lt;&gt;"Facture"),"",IFERROR(IF(INDEX(fa_type,MATCH(L427,fa_num,0))="Facture d'acompte",MATCH(L427,fa_num,0),""),""))</f>
        <v/>
      </c>
      <c r="AS427" s="62" t="str">
        <f>IF(W427="","",IF(W427&lt;=0,"",IF(p_asof-P427&lt;=0,"Non échu",IF(p_asof-P427&lt;=30,"1-30 j",IF(p_asof-P427&lt;=60,"31-60 j",IF(p_asof-P427&lt;=90,"61-90 j","Plus de 90 j"))))))</f>
        <v/>
      </c>
      <c r="AT427" s="62" t="str">
        <f>IF(AS427="","",p_asof-P427)</f>
        <v/>
      </c>
      <c r="AU427" s="62" t="str">
        <f>IF(AT427="","",COUNTIF($AT$6:$AT$805,"&gt;"&amp;AT427)+COUNTIF($AT$6:AT427,AT427))</f>
        <v/>
      </c>
    </row>
    <row r="428">
      <c r="A428" s="59" t="str">
        <f>IF(AE428="","",AB428&amp;"-"&amp;AD428&amp;"-"&amp;RIGHT("000"&amp;AE428,4))</f>
        <v/>
      </c>
      <c r="B428" s="60" t="n"/>
      <c r="C428" s="61" t="n"/>
      <c r="D428" s="60" t="n"/>
      <c r="E428" s="62" t="str">
        <f>IF(D428="","",IFERROR(INDEX(cli_name,MATCH(D428,cli_code,0))&amp;"","Client inconnu"))</f>
        <v/>
      </c>
      <c r="F428" s="60" t="n"/>
      <c r="G428" s="63" t="n"/>
      <c r="H428" s="61" t="n"/>
      <c r="I428" s="63" t="n"/>
      <c r="J428" s="60" t="n"/>
      <c r="K428" s="61" t="n"/>
      <c r="L428" s="60" t="n"/>
      <c r="M428" s="60" t="n"/>
      <c r="N428" s="60" t="n"/>
      <c r="O428" s="61" t="n"/>
      <c r="P428" s="64" t="str">
        <f>IF(A428="","",IF(AA428="Avoir",AC428,IF(ISNUMBER(K428),K428,AC428+IF(D428="",N(p_delay),IFERROR(IF(ISNUMBER(INDEX(cli_delay,MATCH(D428,cli_code,0))),INDEX(cli_delay,MATCH(D428,cli_code,0)),N(p_delay)),N(p_delay))))))</f>
        <v/>
      </c>
      <c r="Q428" s="65" t="str">
        <f>IF(A428="","",IF(AA428="Avoir",-1,1)*ROUND(AJ428-IF(AR428="",0,INDEX(fa_htb,AR428)),2))</f>
        <v/>
      </c>
      <c r="R428" s="65" t="str">
        <f>IF(A428="","",IF(AA428="Avoir",-1,1)*ROUND(AQ428-IF(AR428="",0,INDEX(fa_tvab,AR428)),2))</f>
        <v/>
      </c>
      <c r="S428" s="65" t="str">
        <f>IF(A428="","",Q428+R428)</f>
        <v/>
      </c>
      <c r="T428" s="65" t="str">
        <f>IF(AR428="","",INDEX(fa_htb,AR428)+INDEX(fa_tvab,AR428))</f>
        <v/>
      </c>
      <c r="U428" s="65" t="str">
        <f>IF(A428="","",SUMIF(pa_inv,A428,pa_amt))</f>
        <v/>
      </c>
      <c r="V428" s="65" t="str">
        <f>IF(OR(A428="",AA428="Avoir"),"",-SUMIFS(fa_ttc,fa_avof,A428,fa_type,"Avoir"))</f>
        <v/>
      </c>
      <c r="W428" s="65" t="str">
        <f>IF(OR(A428="",AA428="Avoir"),"",ROUND(S428-U428-V428,2))</f>
        <v/>
      </c>
      <c r="X428" s="66" t="str">
        <f>IF(W428="","",IF(AND(W428&gt;0,p_asof&gt;P428),p_asof-P428,""))</f>
        <v/>
      </c>
      <c r="Y428" s="59" t="str">
        <f>IF(A428="","",IF(AA428="Avoir","Avoir",IF(W428&lt;0,"Trop-perçu",IF(W428=0,"Soldée",IF(p_asof&gt;P428,"En retard",IF(U428+V428&gt;0,"Partielle","À échoir"))))))</f>
        <v/>
      </c>
      <c r="Z428" s="59" t="str">
        <f>IF(NOT(COUNTA(B428:D428,F428:O428)&gt;0),"",IF(C428="","Date manquante",IF(NOT(ISNUMBER(C428)),"Date invalide",IF(D428="","Client manquant",IF(ISNA(MATCH(D428,cli_code,0)),"Client inconnu",IF(AC428&lt;SUMPRODUCT(MAX(($AB$6:AB427=AB428)*$AC$6:AC427)),"Date antérieure à la facture précédente",IF(AND(F428&lt;&gt;"",ISNA(MATCH(F428,dv_num,0))),"Devis inconnu",IF(AND(F428&lt;&gt;"",IFERROR(INDEX(dv_client,MATCH(F428,dv_num,0)),D428)&lt;&gt;D428),"Client différent de celui du devis",IF(AG428="","Aucune ligne : saisissez des lignes ou un devis",IF(AND(AI428&lt;&gt;"",COUNTIF($AI$6:AI428,AI428)&gt;1),"Devis déjà repris par une autre facture",IF(AND(AA428="Avoir",M428=""),"Avoir : indiquez la facture d'origine",IF(AND(AA428="Avoir",ISNA(MATCH(M428,fa_num,0))),"Facture d'origine inconnue",IF(AND(AA428&lt;&gt;"Avoir",M428&lt;&gt;""),"« Avoir sur facture » : réservé aux avoirs",IF(AND(L428&lt;&gt;"",AA428&lt;&gt;"Facture"),"Acompte à déduire : réservé aux factures",IF(AND(L428&lt;&gt;"",ISNA(MATCH(L428,fa_num,0))),"Facture d'acompte inconnue",IF(AND(L428&lt;&gt;"",IFERROR(INDEX(fa_type,MATCH(L428,fa_num,0)),"")&lt;&gt;"Facture d'acompte"),"Le n° à déduire n'est pas une facture d'acompte",IF(AND(L428&lt;&gt;"",COUNTIF($L$6:L428,L428)&gt;1),"Acompte déjà déduit sur une autre facture",IF(AND(L428&lt;&gt;"",IFERROR(INDEX(fa_client,MATCH(L428,fa_num,0)),D428)&lt;&gt;D428),"Acompte d'un autre client",IF(AND(AR428&lt;&gt;"",N(Q428)&lt;0),"Acompte supérieur au total de la facture",IF(IF(AG428="Facture",COUNTIFS(fl_doc,A428,fl_check,"&lt;&gt;OK"),IF(AG428="Devis",COUNTIFS(dl_doc,F428,dl_check,"&lt;&gt;OK"),0))&gt;0,"Ligne(s) à corriger",IF(AND(W428&lt;&gt;"",N(W428)&lt;0),"Trop-perçu : vérifiez paiements et avoirs","OK")))))))))))))))))))))</f>
        <v/>
      </c>
      <c r="AA428" s="62" t="str">
        <f>IF(COUNTA(B428:D428,F428:O428)&gt;0,IF(B428="","Facture",B428),"")</f>
        <v/>
      </c>
      <c r="AB428" s="62" t="str">
        <f>IF(AA428="","",IF(AA428="Avoir",p_pav,IF(AA428="Facture d'acompte",p_pac,p_pfa)))</f>
        <v/>
      </c>
      <c r="AC428" s="62">
        <f>IF(ISNUMBER(C428),C428,0)</f>
        <v>0.0</v>
      </c>
      <c r="AD428" s="62" t="str">
        <f>IF(OR(AA428="",AC428=0),"",YEAR(AC428))</f>
        <v/>
      </c>
      <c r="AE428" s="62" t="str">
        <f>IF(AD428="","",COUNTIFS($AB$6:AB428,AB428,$AD$6:AD428,AD428))</f>
        <v/>
      </c>
      <c r="AF428" s="62">
        <f>IF(A428="",0,COUNTIF(fl_doc,A428))</f>
        <v>0.0</v>
      </c>
      <c r="AG428" s="62" t="str">
        <f>IF(A428="","",IF(AF428&gt;0,"Facture",IF(AND(F428&lt;&gt;"",AA428="Facture",ISNUMBER(MATCH(F428,dv_num,0))),"Devis","")))</f>
        <v/>
      </c>
      <c r="AH428" s="62" t="str">
        <f>IF(AND(A428&lt;&gt;"",F428&lt;&gt;"",AA428&lt;&gt;"Avoir"),F428,"")</f>
        <v/>
      </c>
      <c r="AI428" s="62" t="str">
        <f>IF(AG428="Devis",F428,"")</f>
        <v/>
      </c>
      <c r="AJ428" s="62">
        <f>IF(AG428="Facture",SUMIF(fl_doc,A428,fl_ht),IF(AG428="Devis",SUMIF(dl_doc,F428,dl_ht),0))</f>
        <v>0.0</v>
      </c>
      <c r="AK428" s="62">
        <f>IF(OR(AG428="",INDEX(p_rates,1)=""),0,IF(AG428="Facture",SUMIFS(fl_ht,fl_doc,A428,fl_rate,INDEX(p_rates,1)),SUMIFS(dl_ht,dl_doc,F428,dl_rate,INDEX(p_rates,1))))</f>
        <v>0.0</v>
      </c>
      <c r="AL428" s="62">
        <f>IF(OR(AG428="",INDEX(p_rates,2)=""),0,IF(AG428="Facture",SUMIFS(fl_ht,fl_doc,A428,fl_rate,INDEX(p_rates,2)),SUMIFS(dl_ht,dl_doc,F428,dl_rate,INDEX(p_rates,2))))</f>
        <v>0.0</v>
      </c>
      <c r="AM428" s="62">
        <f>IF(OR(AG428="",INDEX(p_rates,3)=""),0,IF(AG428="Facture",SUMIFS(fl_ht,fl_doc,A428,fl_rate,INDEX(p_rates,3)),SUMIFS(dl_ht,dl_doc,F428,dl_rate,INDEX(p_rates,3))))</f>
        <v>0.0</v>
      </c>
      <c r="AN428" s="62">
        <f>IF(OR(AG428="",INDEX(p_rates,4)=""),0,IF(AG428="Facture",SUMIFS(fl_ht,fl_doc,A428,fl_rate,INDEX(p_rates,4)),SUMIFS(dl_ht,dl_doc,F428,dl_rate,INDEX(p_rates,4))))</f>
        <v>0.0</v>
      </c>
      <c r="AO428" s="62">
        <f>IF(OR(AG428="",INDEX(p_rates,5)=""),0,IF(AG428="Facture",SUMIFS(fl_ht,fl_doc,A428,fl_rate,INDEX(p_rates,5)),SUMIFS(dl_ht,dl_doc,F428,dl_rate,INDEX(p_rates,5))))</f>
        <v>0.0</v>
      </c>
      <c r="AP428" s="62">
        <f>IF(OR(AG428="",INDEX(p_rates,6)=""),0,IF(AG428="Facture",SUMIFS(fl_ht,fl_doc,A428,fl_rate,INDEX(p_rates,6)),SUMIFS(dl_ht,dl_doc,F428,dl_rate,INDEX(p_rates,6))))</f>
        <v>0.0</v>
      </c>
      <c r="AQ428" s="62">
        <f>ROUND(AK428*N(INDEX(p_rates,1)),2)+ROUND(AL428*N(INDEX(p_rates,2)),2)+ROUND(AM428*N(INDEX(p_rates,3)),2)+ROUND(AN428*N(INDEX(p_rates,4)),2)+ROUND(AO428*N(INDEX(p_rates,5)),2)+ROUND(AP428*N(INDEX(p_rates,6)),2)</f>
        <v>0.0</v>
      </c>
      <c r="AR428" s="62" t="str">
        <f>IF(OR(L428="",AA428&lt;&gt;"Facture"),"",IFERROR(IF(INDEX(fa_type,MATCH(L428,fa_num,0))="Facture d'acompte",MATCH(L428,fa_num,0),""),""))</f>
        <v/>
      </c>
      <c r="AS428" s="62" t="str">
        <f>IF(W428="","",IF(W428&lt;=0,"",IF(p_asof-P428&lt;=0,"Non échu",IF(p_asof-P428&lt;=30,"1-30 j",IF(p_asof-P428&lt;=60,"31-60 j",IF(p_asof-P428&lt;=90,"61-90 j","Plus de 90 j"))))))</f>
        <v/>
      </c>
      <c r="AT428" s="62" t="str">
        <f>IF(AS428="","",p_asof-P428)</f>
        <v/>
      </c>
      <c r="AU428" s="62" t="str">
        <f>IF(AT428="","",COUNTIF($AT$6:$AT$805,"&gt;"&amp;AT428)+COUNTIF($AT$6:AT428,AT428))</f>
        <v/>
      </c>
    </row>
    <row r="429">
      <c r="A429" s="59" t="str">
        <f>IF(AE429="","",AB429&amp;"-"&amp;AD429&amp;"-"&amp;RIGHT("000"&amp;AE429,4))</f>
        <v/>
      </c>
      <c r="B429" s="60" t="n"/>
      <c r="C429" s="61" t="n"/>
      <c r="D429" s="60" t="n"/>
      <c r="E429" s="62" t="str">
        <f>IF(D429="","",IFERROR(INDEX(cli_name,MATCH(D429,cli_code,0))&amp;"","Client inconnu"))</f>
        <v/>
      </c>
      <c r="F429" s="60" t="n"/>
      <c r="G429" s="63" t="n"/>
      <c r="H429" s="61" t="n"/>
      <c r="I429" s="63" t="n"/>
      <c r="J429" s="60" t="n"/>
      <c r="K429" s="61" t="n"/>
      <c r="L429" s="60" t="n"/>
      <c r="M429" s="60" t="n"/>
      <c r="N429" s="60" t="n"/>
      <c r="O429" s="61" t="n"/>
      <c r="P429" s="64" t="str">
        <f>IF(A429="","",IF(AA429="Avoir",AC429,IF(ISNUMBER(K429),K429,AC429+IF(D429="",N(p_delay),IFERROR(IF(ISNUMBER(INDEX(cli_delay,MATCH(D429,cli_code,0))),INDEX(cli_delay,MATCH(D429,cli_code,0)),N(p_delay)),N(p_delay))))))</f>
        <v/>
      </c>
      <c r="Q429" s="65" t="str">
        <f>IF(A429="","",IF(AA429="Avoir",-1,1)*ROUND(AJ429-IF(AR429="",0,INDEX(fa_htb,AR429)),2))</f>
        <v/>
      </c>
      <c r="R429" s="65" t="str">
        <f>IF(A429="","",IF(AA429="Avoir",-1,1)*ROUND(AQ429-IF(AR429="",0,INDEX(fa_tvab,AR429)),2))</f>
        <v/>
      </c>
      <c r="S429" s="65" t="str">
        <f>IF(A429="","",Q429+R429)</f>
        <v/>
      </c>
      <c r="T429" s="65" t="str">
        <f>IF(AR429="","",INDEX(fa_htb,AR429)+INDEX(fa_tvab,AR429))</f>
        <v/>
      </c>
      <c r="U429" s="65" t="str">
        <f>IF(A429="","",SUMIF(pa_inv,A429,pa_amt))</f>
        <v/>
      </c>
      <c r="V429" s="65" t="str">
        <f>IF(OR(A429="",AA429="Avoir"),"",-SUMIFS(fa_ttc,fa_avof,A429,fa_type,"Avoir"))</f>
        <v/>
      </c>
      <c r="W429" s="65" t="str">
        <f>IF(OR(A429="",AA429="Avoir"),"",ROUND(S429-U429-V429,2))</f>
        <v/>
      </c>
      <c r="X429" s="66" t="str">
        <f>IF(W429="","",IF(AND(W429&gt;0,p_asof&gt;P429),p_asof-P429,""))</f>
        <v/>
      </c>
      <c r="Y429" s="59" t="str">
        <f>IF(A429="","",IF(AA429="Avoir","Avoir",IF(W429&lt;0,"Trop-perçu",IF(W429=0,"Soldée",IF(p_asof&gt;P429,"En retard",IF(U429+V429&gt;0,"Partielle","À échoir"))))))</f>
        <v/>
      </c>
      <c r="Z429" s="59" t="str">
        <f>IF(NOT(COUNTA(B429:D429,F429:O429)&gt;0),"",IF(C429="","Date manquante",IF(NOT(ISNUMBER(C429)),"Date invalide",IF(D429="","Client manquant",IF(ISNA(MATCH(D429,cli_code,0)),"Client inconnu",IF(AC429&lt;SUMPRODUCT(MAX(($AB$6:AB428=AB429)*$AC$6:AC428)),"Date antérieure à la facture précédente",IF(AND(F429&lt;&gt;"",ISNA(MATCH(F429,dv_num,0))),"Devis inconnu",IF(AND(F429&lt;&gt;"",IFERROR(INDEX(dv_client,MATCH(F429,dv_num,0)),D429)&lt;&gt;D429),"Client différent de celui du devis",IF(AG429="","Aucune ligne : saisissez des lignes ou un devis",IF(AND(AI429&lt;&gt;"",COUNTIF($AI$6:AI429,AI429)&gt;1),"Devis déjà repris par une autre facture",IF(AND(AA429="Avoir",M429=""),"Avoir : indiquez la facture d'origine",IF(AND(AA429="Avoir",ISNA(MATCH(M429,fa_num,0))),"Facture d'origine inconnue",IF(AND(AA429&lt;&gt;"Avoir",M429&lt;&gt;""),"« Avoir sur facture » : réservé aux avoirs",IF(AND(L429&lt;&gt;"",AA429&lt;&gt;"Facture"),"Acompte à déduire : réservé aux factures",IF(AND(L429&lt;&gt;"",ISNA(MATCH(L429,fa_num,0))),"Facture d'acompte inconnue",IF(AND(L429&lt;&gt;"",IFERROR(INDEX(fa_type,MATCH(L429,fa_num,0)),"")&lt;&gt;"Facture d'acompte"),"Le n° à déduire n'est pas une facture d'acompte",IF(AND(L429&lt;&gt;"",COUNTIF($L$6:L429,L429)&gt;1),"Acompte déjà déduit sur une autre facture",IF(AND(L429&lt;&gt;"",IFERROR(INDEX(fa_client,MATCH(L429,fa_num,0)),D429)&lt;&gt;D429),"Acompte d'un autre client",IF(AND(AR429&lt;&gt;"",N(Q429)&lt;0),"Acompte supérieur au total de la facture",IF(IF(AG429="Facture",COUNTIFS(fl_doc,A429,fl_check,"&lt;&gt;OK"),IF(AG429="Devis",COUNTIFS(dl_doc,F429,dl_check,"&lt;&gt;OK"),0))&gt;0,"Ligne(s) à corriger",IF(AND(W429&lt;&gt;"",N(W429)&lt;0),"Trop-perçu : vérifiez paiements et avoirs","OK")))))))))))))))))))))</f>
        <v/>
      </c>
      <c r="AA429" s="62" t="str">
        <f>IF(COUNTA(B429:D429,F429:O429)&gt;0,IF(B429="","Facture",B429),"")</f>
        <v/>
      </c>
      <c r="AB429" s="62" t="str">
        <f>IF(AA429="","",IF(AA429="Avoir",p_pav,IF(AA429="Facture d'acompte",p_pac,p_pfa)))</f>
        <v/>
      </c>
      <c r="AC429" s="62">
        <f>IF(ISNUMBER(C429),C429,0)</f>
        <v>0.0</v>
      </c>
      <c r="AD429" s="62" t="str">
        <f>IF(OR(AA429="",AC429=0),"",YEAR(AC429))</f>
        <v/>
      </c>
      <c r="AE429" s="62" t="str">
        <f>IF(AD429="","",COUNTIFS($AB$6:AB429,AB429,$AD$6:AD429,AD429))</f>
        <v/>
      </c>
      <c r="AF429" s="62">
        <f>IF(A429="",0,COUNTIF(fl_doc,A429))</f>
        <v>0.0</v>
      </c>
      <c r="AG429" s="62" t="str">
        <f>IF(A429="","",IF(AF429&gt;0,"Facture",IF(AND(F429&lt;&gt;"",AA429="Facture",ISNUMBER(MATCH(F429,dv_num,0))),"Devis","")))</f>
        <v/>
      </c>
      <c r="AH429" s="62" t="str">
        <f>IF(AND(A429&lt;&gt;"",F429&lt;&gt;"",AA429&lt;&gt;"Avoir"),F429,"")</f>
        <v/>
      </c>
      <c r="AI429" s="62" t="str">
        <f>IF(AG429="Devis",F429,"")</f>
        <v/>
      </c>
      <c r="AJ429" s="62">
        <f>IF(AG429="Facture",SUMIF(fl_doc,A429,fl_ht),IF(AG429="Devis",SUMIF(dl_doc,F429,dl_ht),0))</f>
        <v>0.0</v>
      </c>
      <c r="AK429" s="62">
        <f>IF(OR(AG429="",INDEX(p_rates,1)=""),0,IF(AG429="Facture",SUMIFS(fl_ht,fl_doc,A429,fl_rate,INDEX(p_rates,1)),SUMIFS(dl_ht,dl_doc,F429,dl_rate,INDEX(p_rates,1))))</f>
        <v>0.0</v>
      </c>
      <c r="AL429" s="62">
        <f>IF(OR(AG429="",INDEX(p_rates,2)=""),0,IF(AG429="Facture",SUMIFS(fl_ht,fl_doc,A429,fl_rate,INDEX(p_rates,2)),SUMIFS(dl_ht,dl_doc,F429,dl_rate,INDEX(p_rates,2))))</f>
        <v>0.0</v>
      </c>
      <c r="AM429" s="62">
        <f>IF(OR(AG429="",INDEX(p_rates,3)=""),0,IF(AG429="Facture",SUMIFS(fl_ht,fl_doc,A429,fl_rate,INDEX(p_rates,3)),SUMIFS(dl_ht,dl_doc,F429,dl_rate,INDEX(p_rates,3))))</f>
        <v>0.0</v>
      </c>
      <c r="AN429" s="62">
        <f>IF(OR(AG429="",INDEX(p_rates,4)=""),0,IF(AG429="Facture",SUMIFS(fl_ht,fl_doc,A429,fl_rate,INDEX(p_rates,4)),SUMIFS(dl_ht,dl_doc,F429,dl_rate,INDEX(p_rates,4))))</f>
        <v>0.0</v>
      </c>
      <c r="AO429" s="62">
        <f>IF(OR(AG429="",INDEX(p_rates,5)=""),0,IF(AG429="Facture",SUMIFS(fl_ht,fl_doc,A429,fl_rate,INDEX(p_rates,5)),SUMIFS(dl_ht,dl_doc,F429,dl_rate,INDEX(p_rates,5))))</f>
        <v>0.0</v>
      </c>
      <c r="AP429" s="62">
        <f>IF(OR(AG429="",INDEX(p_rates,6)=""),0,IF(AG429="Facture",SUMIFS(fl_ht,fl_doc,A429,fl_rate,INDEX(p_rates,6)),SUMIFS(dl_ht,dl_doc,F429,dl_rate,INDEX(p_rates,6))))</f>
        <v>0.0</v>
      </c>
      <c r="AQ429" s="62">
        <f>ROUND(AK429*N(INDEX(p_rates,1)),2)+ROUND(AL429*N(INDEX(p_rates,2)),2)+ROUND(AM429*N(INDEX(p_rates,3)),2)+ROUND(AN429*N(INDEX(p_rates,4)),2)+ROUND(AO429*N(INDEX(p_rates,5)),2)+ROUND(AP429*N(INDEX(p_rates,6)),2)</f>
        <v>0.0</v>
      </c>
      <c r="AR429" s="62" t="str">
        <f>IF(OR(L429="",AA429&lt;&gt;"Facture"),"",IFERROR(IF(INDEX(fa_type,MATCH(L429,fa_num,0))="Facture d'acompte",MATCH(L429,fa_num,0),""),""))</f>
        <v/>
      </c>
      <c r="AS429" s="62" t="str">
        <f>IF(W429="","",IF(W429&lt;=0,"",IF(p_asof-P429&lt;=0,"Non échu",IF(p_asof-P429&lt;=30,"1-30 j",IF(p_asof-P429&lt;=60,"31-60 j",IF(p_asof-P429&lt;=90,"61-90 j","Plus de 90 j"))))))</f>
        <v/>
      </c>
      <c r="AT429" s="62" t="str">
        <f>IF(AS429="","",p_asof-P429)</f>
        <v/>
      </c>
      <c r="AU429" s="62" t="str">
        <f>IF(AT429="","",COUNTIF($AT$6:$AT$805,"&gt;"&amp;AT429)+COUNTIF($AT$6:AT429,AT429))</f>
        <v/>
      </c>
    </row>
    <row r="430">
      <c r="A430" s="59" t="str">
        <f>IF(AE430="","",AB430&amp;"-"&amp;AD430&amp;"-"&amp;RIGHT("000"&amp;AE430,4))</f>
        <v/>
      </c>
      <c r="B430" s="60" t="n"/>
      <c r="C430" s="61" t="n"/>
      <c r="D430" s="60" t="n"/>
      <c r="E430" s="62" t="str">
        <f>IF(D430="","",IFERROR(INDEX(cli_name,MATCH(D430,cli_code,0))&amp;"","Client inconnu"))</f>
        <v/>
      </c>
      <c r="F430" s="60" t="n"/>
      <c r="G430" s="63" t="n"/>
      <c r="H430" s="61" t="n"/>
      <c r="I430" s="63" t="n"/>
      <c r="J430" s="60" t="n"/>
      <c r="K430" s="61" t="n"/>
      <c r="L430" s="60" t="n"/>
      <c r="M430" s="60" t="n"/>
      <c r="N430" s="60" t="n"/>
      <c r="O430" s="61" t="n"/>
      <c r="P430" s="64" t="str">
        <f>IF(A430="","",IF(AA430="Avoir",AC430,IF(ISNUMBER(K430),K430,AC430+IF(D430="",N(p_delay),IFERROR(IF(ISNUMBER(INDEX(cli_delay,MATCH(D430,cli_code,0))),INDEX(cli_delay,MATCH(D430,cli_code,0)),N(p_delay)),N(p_delay))))))</f>
        <v/>
      </c>
      <c r="Q430" s="65" t="str">
        <f>IF(A430="","",IF(AA430="Avoir",-1,1)*ROUND(AJ430-IF(AR430="",0,INDEX(fa_htb,AR430)),2))</f>
        <v/>
      </c>
      <c r="R430" s="65" t="str">
        <f>IF(A430="","",IF(AA430="Avoir",-1,1)*ROUND(AQ430-IF(AR430="",0,INDEX(fa_tvab,AR430)),2))</f>
        <v/>
      </c>
      <c r="S430" s="65" t="str">
        <f>IF(A430="","",Q430+R430)</f>
        <v/>
      </c>
      <c r="T430" s="65" t="str">
        <f>IF(AR430="","",INDEX(fa_htb,AR430)+INDEX(fa_tvab,AR430))</f>
        <v/>
      </c>
      <c r="U430" s="65" t="str">
        <f>IF(A430="","",SUMIF(pa_inv,A430,pa_amt))</f>
        <v/>
      </c>
      <c r="V430" s="65" t="str">
        <f>IF(OR(A430="",AA430="Avoir"),"",-SUMIFS(fa_ttc,fa_avof,A430,fa_type,"Avoir"))</f>
        <v/>
      </c>
      <c r="W430" s="65" t="str">
        <f>IF(OR(A430="",AA430="Avoir"),"",ROUND(S430-U430-V430,2))</f>
        <v/>
      </c>
      <c r="X430" s="66" t="str">
        <f>IF(W430="","",IF(AND(W430&gt;0,p_asof&gt;P430),p_asof-P430,""))</f>
        <v/>
      </c>
      <c r="Y430" s="59" t="str">
        <f>IF(A430="","",IF(AA430="Avoir","Avoir",IF(W430&lt;0,"Trop-perçu",IF(W430=0,"Soldée",IF(p_asof&gt;P430,"En retard",IF(U430+V430&gt;0,"Partielle","À échoir"))))))</f>
        <v/>
      </c>
      <c r="Z430" s="59" t="str">
        <f>IF(NOT(COUNTA(B430:D430,F430:O430)&gt;0),"",IF(C430="","Date manquante",IF(NOT(ISNUMBER(C430)),"Date invalide",IF(D430="","Client manquant",IF(ISNA(MATCH(D430,cli_code,0)),"Client inconnu",IF(AC430&lt;SUMPRODUCT(MAX(($AB$6:AB429=AB430)*$AC$6:AC429)),"Date antérieure à la facture précédente",IF(AND(F430&lt;&gt;"",ISNA(MATCH(F430,dv_num,0))),"Devis inconnu",IF(AND(F430&lt;&gt;"",IFERROR(INDEX(dv_client,MATCH(F430,dv_num,0)),D430)&lt;&gt;D430),"Client différent de celui du devis",IF(AG430="","Aucune ligne : saisissez des lignes ou un devis",IF(AND(AI430&lt;&gt;"",COUNTIF($AI$6:AI430,AI430)&gt;1),"Devis déjà repris par une autre facture",IF(AND(AA430="Avoir",M430=""),"Avoir : indiquez la facture d'origine",IF(AND(AA430="Avoir",ISNA(MATCH(M430,fa_num,0))),"Facture d'origine inconnue",IF(AND(AA430&lt;&gt;"Avoir",M430&lt;&gt;""),"« Avoir sur facture » : réservé aux avoirs",IF(AND(L430&lt;&gt;"",AA430&lt;&gt;"Facture"),"Acompte à déduire : réservé aux factures",IF(AND(L430&lt;&gt;"",ISNA(MATCH(L430,fa_num,0))),"Facture d'acompte inconnue",IF(AND(L430&lt;&gt;"",IFERROR(INDEX(fa_type,MATCH(L430,fa_num,0)),"")&lt;&gt;"Facture d'acompte"),"Le n° à déduire n'est pas une facture d'acompte",IF(AND(L430&lt;&gt;"",COUNTIF($L$6:L430,L430)&gt;1),"Acompte déjà déduit sur une autre facture",IF(AND(L430&lt;&gt;"",IFERROR(INDEX(fa_client,MATCH(L430,fa_num,0)),D430)&lt;&gt;D430),"Acompte d'un autre client",IF(AND(AR430&lt;&gt;"",N(Q430)&lt;0),"Acompte supérieur au total de la facture",IF(IF(AG430="Facture",COUNTIFS(fl_doc,A430,fl_check,"&lt;&gt;OK"),IF(AG430="Devis",COUNTIFS(dl_doc,F430,dl_check,"&lt;&gt;OK"),0))&gt;0,"Ligne(s) à corriger",IF(AND(W430&lt;&gt;"",N(W430)&lt;0),"Trop-perçu : vérifiez paiements et avoirs","OK")))))))))))))))))))))</f>
        <v/>
      </c>
      <c r="AA430" s="62" t="str">
        <f>IF(COUNTA(B430:D430,F430:O430)&gt;0,IF(B430="","Facture",B430),"")</f>
        <v/>
      </c>
      <c r="AB430" s="62" t="str">
        <f>IF(AA430="","",IF(AA430="Avoir",p_pav,IF(AA430="Facture d'acompte",p_pac,p_pfa)))</f>
        <v/>
      </c>
      <c r="AC430" s="62">
        <f>IF(ISNUMBER(C430),C430,0)</f>
        <v>0.0</v>
      </c>
      <c r="AD430" s="62" t="str">
        <f>IF(OR(AA430="",AC430=0),"",YEAR(AC430))</f>
        <v/>
      </c>
      <c r="AE430" s="62" t="str">
        <f>IF(AD430="","",COUNTIFS($AB$6:AB430,AB430,$AD$6:AD430,AD430))</f>
        <v/>
      </c>
      <c r="AF430" s="62">
        <f>IF(A430="",0,COUNTIF(fl_doc,A430))</f>
        <v>0.0</v>
      </c>
      <c r="AG430" s="62" t="str">
        <f>IF(A430="","",IF(AF430&gt;0,"Facture",IF(AND(F430&lt;&gt;"",AA430="Facture",ISNUMBER(MATCH(F430,dv_num,0))),"Devis","")))</f>
        <v/>
      </c>
      <c r="AH430" s="62" t="str">
        <f>IF(AND(A430&lt;&gt;"",F430&lt;&gt;"",AA430&lt;&gt;"Avoir"),F430,"")</f>
        <v/>
      </c>
      <c r="AI430" s="62" t="str">
        <f>IF(AG430="Devis",F430,"")</f>
        <v/>
      </c>
      <c r="AJ430" s="62">
        <f>IF(AG430="Facture",SUMIF(fl_doc,A430,fl_ht),IF(AG430="Devis",SUMIF(dl_doc,F430,dl_ht),0))</f>
        <v>0.0</v>
      </c>
      <c r="AK430" s="62">
        <f>IF(OR(AG430="",INDEX(p_rates,1)=""),0,IF(AG430="Facture",SUMIFS(fl_ht,fl_doc,A430,fl_rate,INDEX(p_rates,1)),SUMIFS(dl_ht,dl_doc,F430,dl_rate,INDEX(p_rates,1))))</f>
        <v>0.0</v>
      </c>
      <c r="AL430" s="62">
        <f>IF(OR(AG430="",INDEX(p_rates,2)=""),0,IF(AG430="Facture",SUMIFS(fl_ht,fl_doc,A430,fl_rate,INDEX(p_rates,2)),SUMIFS(dl_ht,dl_doc,F430,dl_rate,INDEX(p_rates,2))))</f>
        <v>0.0</v>
      </c>
      <c r="AM430" s="62">
        <f>IF(OR(AG430="",INDEX(p_rates,3)=""),0,IF(AG430="Facture",SUMIFS(fl_ht,fl_doc,A430,fl_rate,INDEX(p_rates,3)),SUMIFS(dl_ht,dl_doc,F430,dl_rate,INDEX(p_rates,3))))</f>
        <v>0.0</v>
      </c>
      <c r="AN430" s="62">
        <f>IF(OR(AG430="",INDEX(p_rates,4)=""),0,IF(AG430="Facture",SUMIFS(fl_ht,fl_doc,A430,fl_rate,INDEX(p_rates,4)),SUMIFS(dl_ht,dl_doc,F430,dl_rate,INDEX(p_rates,4))))</f>
        <v>0.0</v>
      </c>
      <c r="AO430" s="62">
        <f>IF(OR(AG430="",INDEX(p_rates,5)=""),0,IF(AG430="Facture",SUMIFS(fl_ht,fl_doc,A430,fl_rate,INDEX(p_rates,5)),SUMIFS(dl_ht,dl_doc,F430,dl_rate,INDEX(p_rates,5))))</f>
        <v>0.0</v>
      </c>
      <c r="AP430" s="62">
        <f>IF(OR(AG430="",INDEX(p_rates,6)=""),0,IF(AG430="Facture",SUMIFS(fl_ht,fl_doc,A430,fl_rate,INDEX(p_rates,6)),SUMIFS(dl_ht,dl_doc,F430,dl_rate,INDEX(p_rates,6))))</f>
        <v>0.0</v>
      </c>
      <c r="AQ430" s="62">
        <f>ROUND(AK430*N(INDEX(p_rates,1)),2)+ROUND(AL430*N(INDEX(p_rates,2)),2)+ROUND(AM430*N(INDEX(p_rates,3)),2)+ROUND(AN430*N(INDEX(p_rates,4)),2)+ROUND(AO430*N(INDEX(p_rates,5)),2)+ROUND(AP430*N(INDEX(p_rates,6)),2)</f>
        <v>0.0</v>
      </c>
      <c r="AR430" s="62" t="str">
        <f>IF(OR(L430="",AA430&lt;&gt;"Facture"),"",IFERROR(IF(INDEX(fa_type,MATCH(L430,fa_num,0))="Facture d'acompte",MATCH(L430,fa_num,0),""),""))</f>
        <v/>
      </c>
      <c r="AS430" s="62" t="str">
        <f>IF(W430="","",IF(W430&lt;=0,"",IF(p_asof-P430&lt;=0,"Non échu",IF(p_asof-P430&lt;=30,"1-30 j",IF(p_asof-P430&lt;=60,"31-60 j",IF(p_asof-P430&lt;=90,"61-90 j","Plus de 90 j"))))))</f>
        <v/>
      </c>
      <c r="AT430" s="62" t="str">
        <f>IF(AS430="","",p_asof-P430)</f>
        <v/>
      </c>
      <c r="AU430" s="62" t="str">
        <f>IF(AT430="","",COUNTIF($AT$6:$AT$805,"&gt;"&amp;AT430)+COUNTIF($AT$6:AT430,AT430))</f>
        <v/>
      </c>
    </row>
    <row r="431">
      <c r="A431" s="59" t="str">
        <f>IF(AE431="","",AB431&amp;"-"&amp;AD431&amp;"-"&amp;RIGHT("000"&amp;AE431,4))</f>
        <v/>
      </c>
      <c r="B431" s="60" t="n"/>
      <c r="C431" s="61" t="n"/>
      <c r="D431" s="60" t="n"/>
      <c r="E431" s="62" t="str">
        <f>IF(D431="","",IFERROR(INDEX(cli_name,MATCH(D431,cli_code,0))&amp;"","Client inconnu"))</f>
        <v/>
      </c>
      <c r="F431" s="60" t="n"/>
      <c r="G431" s="63" t="n"/>
      <c r="H431" s="61" t="n"/>
      <c r="I431" s="63" t="n"/>
      <c r="J431" s="60" t="n"/>
      <c r="K431" s="61" t="n"/>
      <c r="L431" s="60" t="n"/>
      <c r="M431" s="60" t="n"/>
      <c r="N431" s="60" t="n"/>
      <c r="O431" s="61" t="n"/>
      <c r="P431" s="64" t="str">
        <f>IF(A431="","",IF(AA431="Avoir",AC431,IF(ISNUMBER(K431),K431,AC431+IF(D431="",N(p_delay),IFERROR(IF(ISNUMBER(INDEX(cli_delay,MATCH(D431,cli_code,0))),INDEX(cli_delay,MATCH(D431,cli_code,0)),N(p_delay)),N(p_delay))))))</f>
        <v/>
      </c>
      <c r="Q431" s="65" t="str">
        <f>IF(A431="","",IF(AA431="Avoir",-1,1)*ROUND(AJ431-IF(AR431="",0,INDEX(fa_htb,AR431)),2))</f>
        <v/>
      </c>
      <c r="R431" s="65" t="str">
        <f>IF(A431="","",IF(AA431="Avoir",-1,1)*ROUND(AQ431-IF(AR431="",0,INDEX(fa_tvab,AR431)),2))</f>
        <v/>
      </c>
      <c r="S431" s="65" t="str">
        <f>IF(A431="","",Q431+R431)</f>
        <v/>
      </c>
      <c r="T431" s="65" t="str">
        <f>IF(AR431="","",INDEX(fa_htb,AR431)+INDEX(fa_tvab,AR431))</f>
        <v/>
      </c>
      <c r="U431" s="65" t="str">
        <f>IF(A431="","",SUMIF(pa_inv,A431,pa_amt))</f>
        <v/>
      </c>
      <c r="V431" s="65" t="str">
        <f>IF(OR(A431="",AA431="Avoir"),"",-SUMIFS(fa_ttc,fa_avof,A431,fa_type,"Avoir"))</f>
        <v/>
      </c>
      <c r="W431" s="65" t="str">
        <f>IF(OR(A431="",AA431="Avoir"),"",ROUND(S431-U431-V431,2))</f>
        <v/>
      </c>
      <c r="X431" s="66" t="str">
        <f>IF(W431="","",IF(AND(W431&gt;0,p_asof&gt;P431),p_asof-P431,""))</f>
        <v/>
      </c>
      <c r="Y431" s="59" t="str">
        <f>IF(A431="","",IF(AA431="Avoir","Avoir",IF(W431&lt;0,"Trop-perçu",IF(W431=0,"Soldée",IF(p_asof&gt;P431,"En retard",IF(U431+V431&gt;0,"Partielle","À échoir"))))))</f>
        <v/>
      </c>
      <c r="Z431" s="59" t="str">
        <f>IF(NOT(COUNTA(B431:D431,F431:O431)&gt;0),"",IF(C431="","Date manquante",IF(NOT(ISNUMBER(C431)),"Date invalide",IF(D431="","Client manquant",IF(ISNA(MATCH(D431,cli_code,0)),"Client inconnu",IF(AC431&lt;SUMPRODUCT(MAX(($AB$6:AB430=AB431)*$AC$6:AC430)),"Date antérieure à la facture précédente",IF(AND(F431&lt;&gt;"",ISNA(MATCH(F431,dv_num,0))),"Devis inconnu",IF(AND(F431&lt;&gt;"",IFERROR(INDEX(dv_client,MATCH(F431,dv_num,0)),D431)&lt;&gt;D431),"Client différent de celui du devis",IF(AG431="","Aucune ligne : saisissez des lignes ou un devis",IF(AND(AI431&lt;&gt;"",COUNTIF($AI$6:AI431,AI431)&gt;1),"Devis déjà repris par une autre facture",IF(AND(AA431="Avoir",M431=""),"Avoir : indiquez la facture d'origine",IF(AND(AA431="Avoir",ISNA(MATCH(M431,fa_num,0))),"Facture d'origine inconnue",IF(AND(AA431&lt;&gt;"Avoir",M431&lt;&gt;""),"« Avoir sur facture » : réservé aux avoirs",IF(AND(L431&lt;&gt;"",AA431&lt;&gt;"Facture"),"Acompte à déduire : réservé aux factures",IF(AND(L431&lt;&gt;"",ISNA(MATCH(L431,fa_num,0))),"Facture d'acompte inconnue",IF(AND(L431&lt;&gt;"",IFERROR(INDEX(fa_type,MATCH(L431,fa_num,0)),"")&lt;&gt;"Facture d'acompte"),"Le n° à déduire n'est pas une facture d'acompte",IF(AND(L431&lt;&gt;"",COUNTIF($L$6:L431,L431)&gt;1),"Acompte déjà déduit sur une autre facture",IF(AND(L431&lt;&gt;"",IFERROR(INDEX(fa_client,MATCH(L431,fa_num,0)),D431)&lt;&gt;D431),"Acompte d'un autre client",IF(AND(AR431&lt;&gt;"",N(Q431)&lt;0),"Acompte supérieur au total de la facture",IF(IF(AG431="Facture",COUNTIFS(fl_doc,A431,fl_check,"&lt;&gt;OK"),IF(AG431="Devis",COUNTIFS(dl_doc,F431,dl_check,"&lt;&gt;OK"),0))&gt;0,"Ligne(s) à corriger",IF(AND(W431&lt;&gt;"",N(W431)&lt;0),"Trop-perçu : vérifiez paiements et avoirs","OK")))))))))))))))))))))</f>
        <v/>
      </c>
      <c r="AA431" s="62" t="str">
        <f>IF(COUNTA(B431:D431,F431:O431)&gt;0,IF(B431="","Facture",B431),"")</f>
        <v/>
      </c>
      <c r="AB431" s="62" t="str">
        <f>IF(AA431="","",IF(AA431="Avoir",p_pav,IF(AA431="Facture d'acompte",p_pac,p_pfa)))</f>
        <v/>
      </c>
      <c r="AC431" s="62">
        <f>IF(ISNUMBER(C431),C431,0)</f>
        <v>0.0</v>
      </c>
      <c r="AD431" s="62" t="str">
        <f>IF(OR(AA431="",AC431=0),"",YEAR(AC431))</f>
        <v/>
      </c>
      <c r="AE431" s="62" t="str">
        <f>IF(AD431="","",COUNTIFS($AB$6:AB431,AB431,$AD$6:AD431,AD431))</f>
        <v/>
      </c>
      <c r="AF431" s="62">
        <f>IF(A431="",0,COUNTIF(fl_doc,A431))</f>
        <v>0.0</v>
      </c>
      <c r="AG431" s="62" t="str">
        <f>IF(A431="","",IF(AF431&gt;0,"Facture",IF(AND(F431&lt;&gt;"",AA431="Facture",ISNUMBER(MATCH(F431,dv_num,0))),"Devis","")))</f>
        <v/>
      </c>
      <c r="AH431" s="62" t="str">
        <f>IF(AND(A431&lt;&gt;"",F431&lt;&gt;"",AA431&lt;&gt;"Avoir"),F431,"")</f>
        <v/>
      </c>
      <c r="AI431" s="62" t="str">
        <f>IF(AG431="Devis",F431,"")</f>
        <v/>
      </c>
      <c r="AJ431" s="62">
        <f>IF(AG431="Facture",SUMIF(fl_doc,A431,fl_ht),IF(AG431="Devis",SUMIF(dl_doc,F431,dl_ht),0))</f>
        <v>0.0</v>
      </c>
      <c r="AK431" s="62">
        <f>IF(OR(AG431="",INDEX(p_rates,1)=""),0,IF(AG431="Facture",SUMIFS(fl_ht,fl_doc,A431,fl_rate,INDEX(p_rates,1)),SUMIFS(dl_ht,dl_doc,F431,dl_rate,INDEX(p_rates,1))))</f>
        <v>0.0</v>
      </c>
      <c r="AL431" s="62">
        <f>IF(OR(AG431="",INDEX(p_rates,2)=""),0,IF(AG431="Facture",SUMIFS(fl_ht,fl_doc,A431,fl_rate,INDEX(p_rates,2)),SUMIFS(dl_ht,dl_doc,F431,dl_rate,INDEX(p_rates,2))))</f>
        <v>0.0</v>
      </c>
      <c r="AM431" s="62">
        <f>IF(OR(AG431="",INDEX(p_rates,3)=""),0,IF(AG431="Facture",SUMIFS(fl_ht,fl_doc,A431,fl_rate,INDEX(p_rates,3)),SUMIFS(dl_ht,dl_doc,F431,dl_rate,INDEX(p_rates,3))))</f>
        <v>0.0</v>
      </c>
      <c r="AN431" s="62">
        <f>IF(OR(AG431="",INDEX(p_rates,4)=""),0,IF(AG431="Facture",SUMIFS(fl_ht,fl_doc,A431,fl_rate,INDEX(p_rates,4)),SUMIFS(dl_ht,dl_doc,F431,dl_rate,INDEX(p_rates,4))))</f>
        <v>0.0</v>
      </c>
      <c r="AO431" s="62">
        <f>IF(OR(AG431="",INDEX(p_rates,5)=""),0,IF(AG431="Facture",SUMIFS(fl_ht,fl_doc,A431,fl_rate,INDEX(p_rates,5)),SUMIFS(dl_ht,dl_doc,F431,dl_rate,INDEX(p_rates,5))))</f>
        <v>0.0</v>
      </c>
      <c r="AP431" s="62">
        <f>IF(OR(AG431="",INDEX(p_rates,6)=""),0,IF(AG431="Facture",SUMIFS(fl_ht,fl_doc,A431,fl_rate,INDEX(p_rates,6)),SUMIFS(dl_ht,dl_doc,F431,dl_rate,INDEX(p_rates,6))))</f>
        <v>0.0</v>
      </c>
      <c r="AQ431" s="62">
        <f>ROUND(AK431*N(INDEX(p_rates,1)),2)+ROUND(AL431*N(INDEX(p_rates,2)),2)+ROUND(AM431*N(INDEX(p_rates,3)),2)+ROUND(AN431*N(INDEX(p_rates,4)),2)+ROUND(AO431*N(INDEX(p_rates,5)),2)+ROUND(AP431*N(INDEX(p_rates,6)),2)</f>
        <v>0.0</v>
      </c>
      <c r="AR431" s="62" t="str">
        <f>IF(OR(L431="",AA431&lt;&gt;"Facture"),"",IFERROR(IF(INDEX(fa_type,MATCH(L431,fa_num,0))="Facture d'acompte",MATCH(L431,fa_num,0),""),""))</f>
        <v/>
      </c>
      <c r="AS431" s="62" t="str">
        <f>IF(W431="","",IF(W431&lt;=0,"",IF(p_asof-P431&lt;=0,"Non échu",IF(p_asof-P431&lt;=30,"1-30 j",IF(p_asof-P431&lt;=60,"31-60 j",IF(p_asof-P431&lt;=90,"61-90 j","Plus de 90 j"))))))</f>
        <v/>
      </c>
      <c r="AT431" s="62" t="str">
        <f>IF(AS431="","",p_asof-P431)</f>
        <v/>
      </c>
      <c r="AU431" s="62" t="str">
        <f>IF(AT431="","",COUNTIF($AT$6:$AT$805,"&gt;"&amp;AT431)+COUNTIF($AT$6:AT431,AT431))</f>
        <v/>
      </c>
    </row>
    <row r="432">
      <c r="A432" s="59" t="str">
        <f>IF(AE432="","",AB432&amp;"-"&amp;AD432&amp;"-"&amp;RIGHT("000"&amp;AE432,4))</f>
        <v/>
      </c>
      <c r="B432" s="60" t="n"/>
      <c r="C432" s="61" t="n"/>
      <c r="D432" s="60" t="n"/>
      <c r="E432" s="62" t="str">
        <f>IF(D432="","",IFERROR(INDEX(cli_name,MATCH(D432,cli_code,0))&amp;"","Client inconnu"))</f>
        <v/>
      </c>
      <c r="F432" s="60" t="n"/>
      <c r="G432" s="63" t="n"/>
      <c r="H432" s="61" t="n"/>
      <c r="I432" s="63" t="n"/>
      <c r="J432" s="60" t="n"/>
      <c r="K432" s="61" t="n"/>
      <c r="L432" s="60" t="n"/>
      <c r="M432" s="60" t="n"/>
      <c r="N432" s="60" t="n"/>
      <c r="O432" s="61" t="n"/>
      <c r="P432" s="64" t="str">
        <f>IF(A432="","",IF(AA432="Avoir",AC432,IF(ISNUMBER(K432),K432,AC432+IF(D432="",N(p_delay),IFERROR(IF(ISNUMBER(INDEX(cli_delay,MATCH(D432,cli_code,0))),INDEX(cli_delay,MATCH(D432,cli_code,0)),N(p_delay)),N(p_delay))))))</f>
        <v/>
      </c>
      <c r="Q432" s="65" t="str">
        <f>IF(A432="","",IF(AA432="Avoir",-1,1)*ROUND(AJ432-IF(AR432="",0,INDEX(fa_htb,AR432)),2))</f>
        <v/>
      </c>
      <c r="R432" s="65" t="str">
        <f>IF(A432="","",IF(AA432="Avoir",-1,1)*ROUND(AQ432-IF(AR432="",0,INDEX(fa_tvab,AR432)),2))</f>
        <v/>
      </c>
      <c r="S432" s="65" t="str">
        <f>IF(A432="","",Q432+R432)</f>
        <v/>
      </c>
      <c r="T432" s="65" t="str">
        <f>IF(AR432="","",INDEX(fa_htb,AR432)+INDEX(fa_tvab,AR432))</f>
        <v/>
      </c>
      <c r="U432" s="65" t="str">
        <f>IF(A432="","",SUMIF(pa_inv,A432,pa_amt))</f>
        <v/>
      </c>
      <c r="V432" s="65" t="str">
        <f>IF(OR(A432="",AA432="Avoir"),"",-SUMIFS(fa_ttc,fa_avof,A432,fa_type,"Avoir"))</f>
        <v/>
      </c>
      <c r="W432" s="65" t="str">
        <f>IF(OR(A432="",AA432="Avoir"),"",ROUND(S432-U432-V432,2))</f>
        <v/>
      </c>
      <c r="X432" s="66" t="str">
        <f>IF(W432="","",IF(AND(W432&gt;0,p_asof&gt;P432),p_asof-P432,""))</f>
        <v/>
      </c>
      <c r="Y432" s="59" t="str">
        <f>IF(A432="","",IF(AA432="Avoir","Avoir",IF(W432&lt;0,"Trop-perçu",IF(W432=0,"Soldée",IF(p_asof&gt;P432,"En retard",IF(U432+V432&gt;0,"Partielle","À échoir"))))))</f>
        <v/>
      </c>
      <c r="Z432" s="59" t="str">
        <f>IF(NOT(COUNTA(B432:D432,F432:O432)&gt;0),"",IF(C432="","Date manquante",IF(NOT(ISNUMBER(C432)),"Date invalide",IF(D432="","Client manquant",IF(ISNA(MATCH(D432,cli_code,0)),"Client inconnu",IF(AC432&lt;SUMPRODUCT(MAX(($AB$6:AB431=AB432)*$AC$6:AC431)),"Date antérieure à la facture précédente",IF(AND(F432&lt;&gt;"",ISNA(MATCH(F432,dv_num,0))),"Devis inconnu",IF(AND(F432&lt;&gt;"",IFERROR(INDEX(dv_client,MATCH(F432,dv_num,0)),D432)&lt;&gt;D432),"Client différent de celui du devis",IF(AG432="","Aucune ligne : saisissez des lignes ou un devis",IF(AND(AI432&lt;&gt;"",COUNTIF($AI$6:AI432,AI432)&gt;1),"Devis déjà repris par une autre facture",IF(AND(AA432="Avoir",M432=""),"Avoir : indiquez la facture d'origine",IF(AND(AA432="Avoir",ISNA(MATCH(M432,fa_num,0))),"Facture d'origine inconnue",IF(AND(AA432&lt;&gt;"Avoir",M432&lt;&gt;""),"« Avoir sur facture » : réservé aux avoirs",IF(AND(L432&lt;&gt;"",AA432&lt;&gt;"Facture"),"Acompte à déduire : réservé aux factures",IF(AND(L432&lt;&gt;"",ISNA(MATCH(L432,fa_num,0))),"Facture d'acompte inconnue",IF(AND(L432&lt;&gt;"",IFERROR(INDEX(fa_type,MATCH(L432,fa_num,0)),"")&lt;&gt;"Facture d'acompte"),"Le n° à déduire n'est pas une facture d'acompte",IF(AND(L432&lt;&gt;"",COUNTIF($L$6:L432,L432)&gt;1),"Acompte déjà déduit sur une autre facture",IF(AND(L432&lt;&gt;"",IFERROR(INDEX(fa_client,MATCH(L432,fa_num,0)),D432)&lt;&gt;D432),"Acompte d'un autre client",IF(AND(AR432&lt;&gt;"",N(Q432)&lt;0),"Acompte supérieur au total de la facture",IF(IF(AG432="Facture",COUNTIFS(fl_doc,A432,fl_check,"&lt;&gt;OK"),IF(AG432="Devis",COUNTIFS(dl_doc,F432,dl_check,"&lt;&gt;OK"),0))&gt;0,"Ligne(s) à corriger",IF(AND(W432&lt;&gt;"",N(W432)&lt;0),"Trop-perçu : vérifiez paiements et avoirs","OK")))))))))))))))))))))</f>
        <v/>
      </c>
      <c r="AA432" s="62" t="str">
        <f>IF(COUNTA(B432:D432,F432:O432)&gt;0,IF(B432="","Facture",B432),"")</f>
        <v/>
      </c>
      <c r="AB432" s="62" t="str">
        <f>IF(AA432="","",IF(AA432="Avoir",p_pav,IF(AA432="Facture d'acompte",p_pac,p_pfa)))</f>
        <v/>
      </c>
      <c r="AC432" s="62">
        <f>IF(ISNUMBER(C432),C432,0)</f>
        <v>0.0</v>
      </c>
      <c r="AD432" s="62" t="str">
        <f>IF(OR(AA432="",AC432=0),"",YEAR(AC432))</f>
        <v/>
      </c>
      <c r="AE432" s="62" t="str">
        <f>IF(AD432="","",COUNTIFS($AB$6:AB432,AB432,$AD$6:AD432,AD432))</f>
        <v/>
      </c>
      <c r="AF432" s="62">
        <f>IF(A432="",0,COUNTIF(fl_doc,A432))</f>
        <v>0.0</v>
      </c>
      <c r="AG432" s="62" t="str">
        <f>IF(A432="","",IF(AF432&gt;0,"Facture",IF(AND(F432&lt;&gt;"",AA432="Facture",ISNUMBER(MATCH(F432,dv_num,0))),"Devis","")))</f>
        <v/>
      </c>
      <c r="AH432" s="62" t="str">
        <f>IF(AND(A432&lt;&gt;"",F432&lt;&gt;"",AA432&lt;&gt;"Avoir"),F432,"")</f>
        <v/>
      </c>
      <c r="AI432" s="62" t="str">
        <f>IF(AG432="Devis",F432,"")</f>
        <v/>
      </c>
      <c r="AJ432" s="62">
        <f>IF(AG432="Facture",SUMIF(fl_doc,A432,fl_ht),IF(AG432="Devis",SUMIF(dl_doc,F432,dl_ht),0))</f>
        <v>0.0</v>
      </c>
      <c r="AK432" s="62">
        <f>IF(OR(AG432="",INDEX(p_rates,1)=""),0,IF(AG432="Facture",SUMIFS(fl_ht,fl_doc,A432,fl_rate,INDEX(p_rates,1)),SUMIFS(dl_ht,dl_doc,F432,dl_rate,INDEX(p_rates,1))))</f>
        <v>0.0</v>
      </c>
      <c r="AL432" s="62">
        <f>IF(OR(AG432="",INDEX(p_rates,2)=""),0,IF(AG432="Facture",SUMIFS(fl_ht,fl_doc,A432,fl_rate,INDEX(p_rates,2)),SUMIFS(dl_ht,dl_doc,F432,dl_rate,INDEX(p_rates,2))))</f>
        <v>0.0</v>
      </c>
      <c r="AM432" s="62">
        <f>IF(OR(AG432="",INDEX(p_rates,3)=""),0,IF(AG432="Facture",SUMIFS(fl_ht,fl_doc,A432,fl_rate,INDEX(p_rates,3)),SUMIFS(dl_ht,dl_doc,F432,dl_rate,INDEX(p_rates,3))))</f>
        <v>0.0</v>
      </c>
      <c r="AN432" s="62">
        <f>IF(OR(AG432="",INDEX(p_rates,4)=""),0,IF(AG432="Facture",SUMIFS(fl_ht,fl_doc,A432,fl_rate,INDEX(p_rates,4)),SUMIFS(dl_ht,dl_doc,F432,dl_rate,INDEX(p_rates,4))))</f>
        <v>0.0</v>
      </c>
      <c r="AO432" s="62">
        <f>IF(OR(AG432="",INDEX(p_rates,5)=""),0,IF(AG432="Facture",SUMIFS(fl_ht,fl_doc,A432,fl_rate,INDEX(p_rates,5)),SUMIFS(dl_ht,dl_doc,F432,dl_rate,INDEX(p_rates,5))))</f>
        <v>0.0</v>
      </c>
      <c r="AP432" s="62">
        <f>IF(OR(AG432="",INDEX(p_rates,6)=""),0,IF(AG432="Facture",SUMIFS(fl_ht,fl_doc,A432,fl_rate,INDEX(p_rates,6)),SUMIFS(dl_ht,dl_doc,F432,dl_rate,INDEX(p_rates,6))))</f>
        <v>0.0</v>
      </c>
      <c r="AQ432" s="62">
        <f>ROUND(AK432*N(INDEX(p_rates,1)),2)+ROUND(AL432*N(INDEX(p_rates,2)),2)+ROUND(AM432*N(INDEX(p_rates,3)),2)+ROUND(AN432*N(INDEX(p_rates,4)),2)+ROUND(AO432*N(INDEX(p_rates,5)),2)+ROUND(AP432*N(INDEX(p_rates,6)),2)</f>
        <v>0.0</v>
      </c>
      <c r="AR432" s="62" t="str">
        <f>IF(OR(L432="",AA432&lt;&gt;"Facture"),"",IFERROR(IF(INDEX(fa_type,MATCH(L432,fa_num,0))="Facture d'acompte",MATCH(L432,fa_num,0),""),""))</f>
        <v/>
      </c>
      <c r="AS432" s="62" t="str">
        <f>IF(W432="","",IF(W432&lt;=0,"",IF(p_asof-P432&lt;=0,"Non échu",IF(p_asof-P432&lt;=30,"1-30 j",IF(p_asof-P432&lt;=60,"31-60 j",IF(p_asof-P432&lt;=90,"61-90 j","Plus de 90 j"))))))</f>
        <v/>
      </c>
      <c r="AT432" s="62" t="str">
        <f>IF(AS432="","",p_asof-P432)</f>
        <v/>
      </c>
      <c r="AU432" s="62" t="str">
        <f>IF(AT432="","",COUNTIF($AT$6:$AT$805,"&gt;"&amp;AT432)+COUNTIF($AT$6:AT432,AT432))</f>
        <v/>
      </c>
    </row>
    <row r="433">
      <c r="A433" s="59" t="str">
        <f>IF(AE433="","",AB433&amp;"-"&amp;AD433&amp;"-"&amp;RIGHT("000"&amp;AE433,4))</f>
        <v/>
      </c>
      <c r="B433" s="60" t="n"/>
      <c r="C433" s="61" t="n"/>
      <c r="D433" s="60" t="n"/>
      <c r="E433" s="62" t="str">
        <f>IF(D433="","",IFERROR(INDEX(cli_name,MATCH(D433,cli_code,0))&amp;"","Client inconnu"))</f>
        <v/>
      </c>
      <c r="F433" s="60" t="n"/>
      <c r="G433" s="63" t="n"/>
      <c r="H433" s="61" t="n"/>
      <c r="I433" s="63" t="n"/>
      <c r="J433" s="60" t="n"/>
      <c r="K433" s="61" t="n"/>
      <c r="L433" s="60" t="n"/>
      <c r="M433" s="60" t="n"/>
      <c r="N433" s="60" t="n"/>
      <c r="O433" s="61" t="n"/>
      <c r="P433" s="64" t="str">
        <f>IF(A433="","",IF(AA433="Avoir",AC433,IF(ISNUMBER(K433),K433,AC433+IF(D433="",N(p_delay),IFERROR(IF(ISNUMBER(INDEX(cli_delay,MATCH(D433,cli_code,0))),INDEX(cli_delay,MATCH(D433,cli_code,0)),N(p_delay)),N(p_delay))))))</f>
        <v/>
      </c>
      <c r="Q433" s="65" t="str">
        <f>IF(A433="","",IF(AA433="Avoir",-1,1)*ROUND(AJ433-IF(AR433="",0,INDEX(fa_htb,AR433)),2))</f>
        <v/>
      </c>
      <c r="R433" s="65" t="str">
        <f>IF(A433="","",IF(AA433="Avoir",-1,1)*ROUND(AQ433-IF(AR433="",0,INDEX(fa_tvab,AR433)),2))</f>
        <v/>
      </c>
      <c r="S433" s="65" t="str">
        <f>IF(A433="","",Q433+R433)</f>
        <v/>
      </c>
      <c r="T433" s="65" t="str">
        <f>IF(AR433="","",INDEX(fa_htb,AR433)+INDEX(fa_tvab,AR433))</f>
        <v/>
      </c>
      <c r="U433" s="65" t="str">
        <f>IF(A433="","",SUMIF(pa_inv,A433,pa_amt))</f>
        <v/>
      </c>
      <c r="V433" s="65" t="str">
        <f>IF(OR(A433="",AA433="Avoir"),"",-SUMIFS(fa_ttc,fa_avof,A433,fa_type,"Avoir"))</f>
        <v/>
      </c>
      <c r="W433" s="65" t="str">
        <f>IF(OR(A433="",AA433="Avoir"),"",ROUND(S433-U433-V433,2))</f>
        <v/>
      </c>
      <c r="X433" s="66" t="str">
        <f>IF(W433="","",IF(AND(W433&gt;0,p_asof&gt;P433),p_asof-P433,""))</f>
        <v/>
      </c>
      <c r="Y433" s="59" t="str">
        <f>IF(A433="","",IF(AA433="Avoir","Avoir",IF(W433&lt;0,"Trop-perçu",IF(W433=0,"Soldée",IF(p_asof&gt;P433,"En retard",IF(U433+V433&gt;0,"Partielle","À échoir"))))))</f>
        <v/>
      </c>
      <c r="Z433" s="59" t="str">
        <f>IF(NOT(COUNTA(B433:D433,F433:O433)&gt;0),"",IF(C433="","Date manquante",IF(NOT(ISNUMBER(C433)),"Date invalide",IF(D433="","Client manquant",IF(ISNA(MATCH(D433,cli_code,0)),"Client inconnu",IF(AC433&lt;SUMPRODUCT(MAX(($AB$6:AB432=AB433)*$AC$6:AC432)),"Date antérieure à la facture précédente",IF(AND(F433&lt;&gt;"",ISNA(MATCH(F433,dv_num,0))),"Devis inconnu",IF(AND(F433&lt;&gt;"",IFERROR(INDEX(dv_client,MATCH(F433,dv_num,0)),D433)&lt;&gt;D433),"Client différent de celui du devis",IF(AG433="","Aucune ligne : saisissez des lignes ou un devis",IF(AND(AI433&lt;&gt;"",COUNTIF($AI$6:AI433,AI433)&gt;1),"Devis déjà repris par une autre facture",IF(AND(AA433="Avoir",M433=""),"Avoir : indiquez la facture d'origine",IF(AND(AA433="Avoir",ISNA(MATCH(M433,fa_num,0))),"Facture d'origine inconnue",IF(AND(AA433&lt;&gt;"Avoir",M433&lt;&gt;""),"« Avoir sur facture » : réservé aux avoirs",IF(AND(L433&lt;&gt;"",AA433&lt;&gt;"Facture"),"Acompte à déduire : réservé aux factures",IF(AND(L433&lt;&gt;"",ISNA(MATCH(L433,fa_num,0))),"Facture d'acompte inconnue",IF(AND(L433&lt;&gt;"",IFERROR(INDEX(fa_type,MATCH(L433,fa_num,0)),"")&lt;&gt;"Facture d'acompte"),"Le n° à déduire n'est pas une facture d'acompte",IF(AND(L433&lt;&gt;"",COUNTIF($L$6:L433,L433)&gt;1),"Acompte déjà déduit sur une autre facture",IF(AND(L433&lt;&gt;"",IFERROR(INDEX(fa_client,MATCH(L433,fa_num,0)),D433)&lt;&gt;D433),"Acompte d'un autre client",IF(AND(AR433&lt;&gt;"",N(Q433)&lt;0),"Acompte supérieur au total de la facture",IF(IF(AG433="Facture",COUNTIFS(fl_doc,A433,fl_check,"&lt;&gt;OK"),IF(AG433="Devis",COUNTIFS(dl_doc,F433,dl_check,"&lt;&gt;OK"),0))&gt;0,"Ligne(s) à corriger",IF(AND(W433&lt;&gt;"",N(W433)&lt;0),"Trop-perçu : vérifiez paiements et avoirs","OK")))))))))))))))))))))</f>
        <v/>
      </c>
      <c r="AA433" s="62" t="str">
        <f>IF(COUNTA(B433:D433,F433:O433)&gt;0,IF(B433="","Facture",B433),"")</f>
        <v/>
      </c>
      <c r="AB433" s="62" t="str">
        <f>IF(AA433="","",IF(AA433="Avoir",p_pav,IF(AA433="Facture d'acompte",p_pac,p_pfa)))</f>
        <v/>
      </c>
      <c r="AC433" s="62">
        <f>IF(ISNUMBER(C433),C433,0)</f>
        <v>0.0</v>
      </c>
      <c r="AD433" s="62" t="str">
        <f>IF(OR(AA433="",AC433=0),"",YEAR(AC433))</f>
        <v/>
      </c>
      <c r="AE433" s="62" t="str">
        <f>IF(AD433="","",COUNTIFS($AB$6:AB433,AB433,$AD$6:AD433,AD433))</f>
        <v/>
      </c>
      <c r="AF433" s="62">
        <f>IF(A433="",0,COUNTIF(fl_doc,A433))</f>
        <v>0.0</v>
      </c>
      <c r="AG433" s="62" t="str">
        <f>IF(A433="","",IF(AF433&gt;0,"Facture",IF(AND(F433&lt;&gt;"",AA433="Facture",ISNUMBER(MATCH(F433,dv_num,0))),"Devis","")))</f>
        <v/>
      </c>
      <c r="AH433" s="62" t="str">
        <f>IF(AND(A433&lt;&gt;"",F433&lt;&gt;"",AA433&lt;&gt;"Avoir"),F433,"")</f>
        <v/>
      </c>
      <c r="AI433" s="62" t="str">
        <f>IF(AG433="Devis",F433,"")</f>
        <v/>
      </c>
      <c r="AJ433" s="62">
        <f>IF(AG433="Facture",SUMIF(fl_doc,A433,fl_ht),IF(AG433="Devis",SUMIF(dl_doc,F433,dl_ht),0))</f>
        <v>0.0</v>
      </c>
      <c r="AK433" s="62">
        <f>IF(OR(AG433="",INDEX(p_rates,1)=""),0,IF(AG433="Facture",SUMIFS(fl_ht,fl_doc,A433,fl_rate,INDEX(p_rates,1)),SUMIFS(dl_ht,dl_doc,F433,dl_rate,INDEX(p_rates,1))))</f>
        <v>0.0</v>
      </c>
      <c r="AL433" s="62">
        <f>IF(OR(AG433="",INDEX(p_rates,2)=""),0,IF(AG433="Facture",SUMIFS(fl_ht,fl_doc,A433,fl_rate,INDEX(p_rates,2)),SUMIFS(dl_ht,dl_doc,F433,dl_rate,INDEX(p_rates,2))))</f>
        <v>0.0</v>
      </c>
      <c r="AM433" s="62">
        <f>IF(OR(AG433="",INDEX(p_rates,3)=""),0,IF(AG433="Facture",SUMIFS(fl_ht,fl_doc,A433,fl_rate,INDEX(p_rates,3)),SUMIFS(dl_ht,dl_doc,F433,dl_rate,INDEX(p_rates,3))))</f>
        <v>0.0</v>
      </c>
      <c r="AN433" s="62">
        <f>IF(OR(AG433="",INDEX(p_rates,4)=""),0,IF(AG433="Facture",SUMIFS(fl_ht,fl_doc,A433,fl_rate,INDEX(p_rates,4)),SUMIFS(dl_ht,dl_doc,F433,dl_rate,INDEX(p_rates,4))))</f>
        <v>0.0</v>
      </c>
      <c r="AO433" s="62">
        <f>IF(OR(AG433="",INDEX(p_rates,5)=""),0,IF(AG433="Facture",SUMIFS(fl_ht,fl_doc,A433,fl_rate,INDEX(p_rates,5)),SUMIFS(dl_ht,dl_doc,F433,dl_rate,INDEX(p_rates,5))))</f>
        <v>0.0</v>
      </c>
      <c r="AP433" s="62">
        <f>IF(OR(AG433="",INDEX(p_rates,6)=""),0,IF(AG433="Facture",SUMIFS(fl_ht,fl_doc,A433,fl_rate,INDEX(p_rates,6)),SUMIFS(dl_ht,dl_doc,F433,dl_rate,INDEX(p_rates,6))))</f>
        <v>0.0</v>
      </c>
      <c r="AQ433" s="62">
        <f>ROUND(AK433*N(INDEX(p_rates,1)),2)+ROUND(AL433*N(INDEX(p_rates,2)),2)+ROUND(AM433*N(INDEX(p_rates,3)),2)+ROUND(AN433*N(INDEX(p_rates,4)),2)+ROUND(AO433*N(INDEX(p_rates,5)),2)+ROUND(AP433*N(INDEX(p_rates,6)),2)</f>
        <v>0.0</v>
      </c>
      <c r="AR433" s="62" t="str">
        <f>IF(OR(L433="",AA433&lt;&gt;"Facture"),"",IFERROR(IF(INDEX(fa_type,MATCH(L433,fa_num,0))="Facture d'acompte",MATCH(L433,fa_num,0),""),""))</f>
        <v/>
      </c>
      <c r="AS433" s="62" t="str">
        <f>IF(W433="","",IF(W433&lt;=0,"",IF(p_asof-P433&lt;=0,"Non échu",IF(p_asof-P433&lt;=30,"1-30 j",IF(p_asof-P433&lt;=60,"31-60 j",IF(p_asof-P433&lt;=90,"61-90 j","Plus de 90 j"))))))</f>
        <v/>
      </c>
      <c r="AT433" s="62" t="str">
        <f>IF(AS433="","",p_asof-P433)</f>
        <v/>
      </c>
      <c r="AU433" s="62" t="str">
        <f>IF(AT433="","",COUNTIF($AT$6:$AT$805,"&gt;"&amp;AT433)+COUNTIF($AT$6:AT433,AT433))</f>
        <v/>
      </c>
    </row>
    <row r="434">
      <c r="A434" s="59" t="str">
        <f>IF(AE434="","",AB434&amp;"-"&amp;AD434&amp;"-"&amp;RIGHT("000"&amp;AE434,4))</f>
        <v/>
      </c>
      <c r="B434" s="60" t="n"/>
      <c r="C434" s="61" t="n"/>
      <c r="D434" s="60" t="n"/>
      <c r="E434" s="62" t="str">
        <f>IF(D434="","",IFERROR(INDEX(cli_name,MATCH(D434,cli_code,0))&amp;"","Client inconnu"))</f>
        <v/>
      </c>
      <c r="F434" s="60" t="n"/>
      <c r="G434" s="63" t="n"/>
      <c r="H434" s="61" t="n"/>
      <c r="I434" s="63" t="n"/>
      <c r="J434" s="60" t="n"/>
      <c r="K434" s="61" t="n"/>
      <c r="L434" s="60" t="n"/>
      <c r="M434" s="60" t="n"/>
      <c r="N434" s="60" t="n"/>
      <c r="O434" s="61" t="n"/>
      <c r="P434" s="64" t="str">
        <f>IF(A434="","",IF(AA434="Avoir",AC434,IF(ISNUMBER(K434),K434,AC434+IF(D434="",N(p_delay),IFERROR(IF(ISNUMBER(INDEX(cli_delay,MATCH(D434,cli_code,0))),INDEX(cli_delay,MATCH(D434,cli_code,0)),N(p_delay)),N(p_delay))))))</f>
        <v/>
      </c>
      <c r="Q434" s="65" t="str">
        <f>IF(A434="","",IF(AA434="Avoir",-1,1)*ROUND(AJ434-IF(AR434="",0,INDEX(fa_htb,AR434)),2))</f>
        <v/>
      </c>
      <c r="R434" s="65" t="str">
        <f>IF(A434="","",IF(AA434="Avoir",-1,1)*ROUND(AQ434-IF(AR434="",0,INDEX(fa_tvab,AR434)),2))</f>
        <v/>
      </c>
      <c r="S434" s="65" t="str">
        <f>IF(A434="","",Q434+R434)</f>
        <v/>
      </c>
      <c r="T434" s="65" t="str">
        <f>IF(AR434="","",INDEX(fa_htb,AR434)+INDEX(fa_tvab,AR434))</f>
        <v/>
      </c>
      <c r="U434" s="65" t="str">
        <f>IF(A434="","",SUMIF(pa_inv,A434,pa_amt))</f>
        <v/>
      </c>
      <c r="V434" s="65" t="str">
        <f>IF(OR(A434="",AA434="Avoir"),"",-SUMIFS(fa_ttc,fa_avof,A434,fa_type,"Avoir"))</f>
        <v/>
      </c>
      <c r="W434" s="65" t="str">
        <f>IF(OR(A434="",AA434="Avoir"),"",ROUND(S434-U434-V434,2))</f>
        <v/>
      </c>
      <c r="X434" s="66" t="str">
        <f>IF(W434="","",IF(AND(W434&gt;0,p_asof&gt;P434),p_asof-P434,""))</f>
        <v/>
      </c>
      <c r="Y434" s="59" t="str">
        <f>IF(A434="","",IF(AA434="Avoir","Avoir",IF(W434&lt;0,"Trop-perçu",IF(W434=0,"Soldée",IF(p_asof&gt;P434,"En retard",IF(U434+V434&gt;0,"Partielle","À échoir"))))))</f>
        <v/>
      </c>
      <c r="Z434" s="59" t="str">
        <f>IF(NOT(COUNTA(B434:D434,F434:O434)&gt;0),"",IF(C434="","Date manquante",IF(NOT(ISNUMBER(C434)),"Date invalide",IF(D434="","Client manquant",IF(ISNA(MATCH(D434,cli_code,0)),"Client inconnu",IF(AC434&lt;SUMPRODUCT(MAX(($AB$6:AB433=AB434)*$AC$6:AC433)),"Date antérieure à la facture précédente",IF(AND(F434&lt;&gt;"",ISNA(MATCH(F434,dv_num,0))),"Devis inconnu",IF(AND(F434&lt;&gt;"",IFERROR(INDEX(dv_client,MATCH(F434,dv_num,0)),D434)&lt;&gt;D434),"Client différent de celui du devis",IF(AG434="","Aucune ligne : saisissez des lignes ou un devis",IF(AND(AI434&lt;&gt;"",COUNTIF($AI$6:AI434,AI434)&gt;1),"Devis déjà repris par une autre facture",IF(AND(AA434="Avoir",M434=""),"Avoir : indiquez la facture d'origine",IF(AND(AA434="Avoir",ISNA(MATCH(M434,fa_num,0))),"Facture d'origine inconnue",IF(AND(AA434&lt;&gt;"Avoir",M434&lt;&gt;""),"« Avoir sur facture » : réservé aux avoirs",IF(AND(L434&lt;&gt;"",AA434&lt;&gt;"Facture"),"Acompte à déduire : réservé aux factures",IF(AND(L434&lt;&gt;"",ISNA(MATCH(L434,fa_num,0))),"Facture d'acompte inconnue",IF(AND(L434&lt;&gt;"",IFERROR(INDEX(fa_type,MATCH(L434,fa_num,0)),"")&lt;&gt;"Facture d'acompte"),"Le n° à déduire n'est pas une facture d'acompte",IF(AND(L434&lt;&gt;"",COUNTIF($L$6:L434,L434)&gt;1),"Acompte déjà déduit sur une autre facture",IF(AND(L434&lt;&gt;"",IFERROR(INDEX(fa_client,MATCH(L434,fa_num,0)),D434)&lt;&gt;D434),"Acompte d'un autre client",IF(AND(AR434&lt;&gt;"",N(Q434)&lt;0),"Acompte supérieur au total de la facture",IF(IF(AG434="Facture",COUNTIFS(fl_doc,A434,fl_check,"&lt;&gt;OK"),IF(AG434="Devis",COUNTIFS(dl_doc,F434,dl_check,"&lt;&gt;OK"),0))&gt;0,"Ligne(s) à corriger",IF(AND(W434&lt;&gt;"",N(W434)&lt;0),"Trop-perçu : vérifiez paiements et avoirs","OK")))))))))))))))))))))</f>
        <v/>
      </c>
      <c r="AA434" s="62" t="str">
        <f>IF(COUNTA(B434:D434,F434:O434)&gt;0,IF(B434="","Facture",B434),"")</f>
        <v/>
      </c>
      <c r="AB434" s="62" t="str">
        <f>IF(AA434="","",IF(AA434="Avoir",p_pav,IF(AA434="Facture d'acompte",p_pac,p_pfa)))</f>
        <v/>
      </c>
      <c r="AC434" s="62">
        <f>IF(ISNUMBER(C434),C434,0)</f>
        <v>0.0</v>
      </c>
      <c r="AD434" s="62" t="str">
        <f>IF(OR(AA434="",AC434=0),"",YEAR(AC434))</f>
        <v/>
      </c>
      <c r="AE434" s="62" t="str">
        <f>IF(AD434="","",COUNTIFS($AB$6:AB434,AB434,$AD$6:AD434,AD434))</f>
        <v/>
      </c>
      <c r="AF434" s="62">
        <f>IF(A434="",0,COUNTIF(fl_doc,A434))</f>
        <v>0.0</v>
      </c>
      <c r="AG434" s="62" t="str">
        <f>IF(A434="","",IF(AF434&gt;0,"Facture",IF(AND(F434&lt;&gt;"",AA434="Facture",ISNUMBER(MATCH(F434,dv_num,0))),"Devis","")))</f>
        <v/>
      </c>
      <c r="AH434" s="62" t="str">
        <f>IF(AND(A434&lt;&gt;"",F434&lt;&gt;"",AA434&lt;&gt;"Avoir"),F434,"")</f>
        <v/>
      </c>
      <c r="AI434" s="62" t="str">
        <f>IF(AG434="Devis",F434,"")</f>
        <v/>
      </c>
      <c r="AJ434" s="62">
        <f>IF(AG434="Facture",SUMIF(fl_doc,A434,fl_ht),IF(AG434="Devis",SUMIF(dl_doc,F434,dl_ht),0))</f>
        <v>0.0</v>
      </c>
      <c r="AK434" s="62">
        <f>IF(OR(AG434="",INDEX(p_rates,1)=""),0,IF(AG434="Facture",SUMIFS(fl_ht,fl_doc,A434,fl_rate,INDEX(p_rates,1)),SUMIFS(dl_ht,dl_doc,F434,dl_rate,INDEX(p_rates,1))))</f>
        <v>0.0</v>
      </c>
      <c r="AL434" s="62">
        <f>IF(OR(AG434="",INDEX(p_rates,2)=""),0,IF(AG434="Facture",SUMIFS(fl_ht,fl_doc,A434,fl_rate,INDEX(p_rates,2)),SUMIFS(dl_ht,dl_doc,F434,dl_rate,INDEX(p_rates,2))))</f>
        <v>0.0</v>
      </c>
      <c r="AM434" s="62">
        <f>IF(OR(AG434="",INDEX(p_rates,3)=""),0,IF(AG434="Facture",SUMIFS(fl_ht,fl_doc,A434,fl_rate,INDEX(p_rates,3)),SUMIFS(dl_ht,dl_doc,F434,dl_rate,INDEX(p_rates,3))))</f>
        <v>0.0</v>
      </c>
      <c r="AN434" s="62">
        <f>IF(OR(AG434="",INDEX(p_rates,4)=""),0,IF(AG434="Facture",SUMIFS(fl_ht,fl_doc,A434,fl_rate,INDEX(p_rates,4)),SUMIFS(dl_ht,dl_doc,F434,dl_rate,INDEX(p_rates,4))))</f>
        <v>0.0</v>
      </c>
      <c r="AO434" s="62">
        <f>IF(OR(AG434="",INDEX(p_rates,5)=""),0,IF(AG434="Facture",SUMIFS(fl_ht,fl_doc,A434,fl_rate,INDEX(p_rates,5)),SUMIFS(dl_ht,dl_doc,F434,dl_rate,INDEX(p_rates,5))))</f>
        <v>0.0</v>
      </c>
      <c r="AP434" s="62">
        <f>IF(OR(AG434="",INDEX(p_rates,6)=""),0,IF(AG434="Facture",SUMIFS(fl_ht,fl_doc,A434,fl_rate,INDEX(p_rates,6)),SUMIFS(dl_ht,dl_doc,F434,dl_rate,INDEX(p_rates,6))))</f>
        <v>0.0</v>
      </c>
      <c r="AQ434" s="62">
        <f>ROUND(AK434*N(INDEX(p_rates,1)),2)+ROUND(AL434*N(INDEX(p_rates,2)),2)+ROUND(AM434*N(INDEX(p_rates,3)),2)+ROUND(AN434*N(INDEX(p_rates,4)),2)+ROUND(AO434*N(INDEX(p_rates,5)),2)+ROUND(AP434*N(INDEX(p_rates,6)),2)</f>
        <v>0.0</v>
      </c>
      <c r="AR434" s="62" t="str">
        <f>IF(OR(L434="",AA434&lt;&gt;"Facture"),"",IFERROR(IF(INDEX(fa_type,MATCH(L434,fa_num,0))="Facture d'acompte",MATCH(L434,fa_num,0),""),""))</f>
        <v/>
      </c>
      <c r="AS434" s="62" t="str">
        <f>IF(W434="","",IF(W434&lt;=0,"",IF(p_asof-P434&lt;=0,"Non échu",IF(p_asof-P434&lt;=30,"1-30 j",IF(p_asof-P434&lt;=60,"31-60 j",IF(p_asof-P434&lt;=90,"61-90 j","Plus de 90 j"))))))</f>
        <v/>
      </c>
      <c r="AT434" s="62" t="str">
        <f>IF(AS434="","",p_asof-P434)</f>
        <v/>
      </c>
      <c r="AU434" s="62" t="str">
        <f>IF(AT434="","",COUNTIF($AT$6:$AT$805,"&gt;"&amp;AT434)+COUNTIF($AT$6:AT434,AT434))</f>
        <v/>
      </c>
    </row>
    <row r="435">
      <c r="A435" s="59" t="str">
        <f>IF(AE435="","",AB435&amp;"-"&amp;AD435&amp;"-"&amp;RIGHT("000"&amp;AE435,4))</f>
        <v/>
      </c>
      <c r="B435" s="60" t="n"/>
      <c r="C435" s="61" t="n"/>
      <c r="D435" s="60" t="n"/>
      <c r="E435" s="62" t="str">
        <f>IF(D435="","",IFERROR(INDEX(cli_name,MATCH(D435,cli_code,0))&amp;"","Client inconnu"))</f>
        <v/>
      </c>
      <c r="F435" s="60" t="n"/>
      <c r="G435" s="63" t="n"/>
      <c r="H435" s="61" t="n"/>
      <c r="I435" s="63" t="n"/>
      <c r="J435" s="60" t="n"/>
      <c r="K435" s="61" t="n"/>
      <c r="L435" s="60" t="n"/>
      <c r="M435" s="60" t="n"/>
      <c r="N435" s="60" t="n"/>
      <c r="O435" s="61" t="n"/>
      <c r="P435" s="64" t="str">
        <f>IF(A435="","",IF(AA435="Avoir",AC435,IF(ISNUMBER(K435),K435,AC435+IF(D435="",N(p_delay),IFERROR(IF(ISNUMBER(INDEX(cli_delay,MATCH(D435,cli_code,0))),INDEX(cli_delay,MATCH(D435,cli_code,0)),N(p_delay)),N(p_delay))))))</f>
        <v/>
      </c>
      <c r="Q435" s="65" t="str">
        <f>IF(A435="","",IF(AA435="Avoir",-1,1)*ROUND(AJ435-IF(AR435="",0,INDEX(fa_htb,AR435)),2))</f>
        <v/>
      </c>
      <c r="R435" s="65" t="str">
        <f>IF(A435="","",IF(AA435="Avoir",-1,1)*ROUND(AQ435-IF(AR435="",0,INDEX(fa_tvab,AR435)),2))</f>
        <v/>
      </c>
      <c r="S435" s="65" t="str">
        <f>IF(A435="","",Q435+R435)</f>
        <v/>
      </c>
      <c r="T435" s="65" t="str">
        <f>IF(AR435="","",INDEX(fa_htb,AR435)+INDEX(fa_tvab,AR435))</f>
        <v/>
      </c>
      <c r="U435" s="65" t="str">
        <f>IF(A435="","",SUMIF(pa_inv,A435,pa_amt))</f>
        <v/>
      </c>
      <c r="V435" s="65" t="str">
        <f>IF(OR(A435="",AA435="Avoir"),"",-SUMIFS(fa_ttc,fa_avof,A435,fa_type,"Avoir"))</f>
        <v/>
      </c>
      <c r="W435" s="65" t="str">
        <f>IF(OR(A435="",AA435="Avoir"),"",ROUND(S435-U435-V435,2))</f>
        <v/>
      </c>
      <c r="X435" s="66" t="str">
        <f>IF(W435="","",IF(AND(W435&gt;0,p_asof&gt;P435),p_asof-P435,""))</f>
        <v/>
      </c>
      <c r="Y435" s="59" t="str">
        <f>IF(A435="","",IF(AA435="Avoir","Avoir",IF(W435&lt;0,"Trop-perçu",IF(W435=0,"Soldée",IF(p_asof&gt;P435,"En retard",IF(U435+V435&gt;0,"Partielle","À échoir"))))))</f>
        <v/>
      </c>
      <c r="Z435" s="59" t="str">
        <f>IF(NOT(COUNTA(B435:D435,F435:O435)&gt;0),"",IF(C435="","Date manquante",IF(NOT(ISNUMBER(C435)),"Date invalide",IF(D435="","Client manquant",IF(ISNA(MATCH(D435,cli_code,0)),"Client inconnu",IF(AC435&lt;SUMPRODUCT(MAX(($AB$6:AB434=AB435)*$AC$6:AC434)),"Date antérieure à la facture précédente",IF(AND(F435&lt;&gt;"",ISNA(MATCH(F435,dv_num,0))),"Devis inconnu",IF(AND(F435&lt;&gt;"",IFERROR(INDEX(dv_client,MATCH(F435,dv_num,0)),D435)&lt;&gt;D435),"Client différent de celui du devis",IF(AG435="","Aucune ligne : saisissez des lignes ou un devis",IF(AND(AI435&lt;&gt;"",COUNTIF($AI$6:AI435,AI435)&gt;1),"Devis déjà repris par une autre facture",IF(AND(AA435="Avoir",M435=""),"Avoir : indiquez la facture d'origine",IF(AND(AA435="Avoir",ISNA(MATCH(M435,fa_num,0))),"Facture d'origine inconnue",IF(AND(AA435&lt;&gt;"Avoir",M435&lt;&gt;""),"« Avoir sur facture » : réservé aux avoirs",IF(AND(L435&lt;&gt;"",AA435&lt;&gt;"Facture"),"Acompte à déduire : réservé aux factures",IF(AND(L435&lt;&gt;"",ISNA(MATCH(L435,fa_num,0))),"Facture d'acompte inconnue",IF(AND(L435&lt;&gt;"",IFERROR(INDEX(fa_type,MATCH(L435,fa_num,0)),"")&lt;&gt;"Facture d'acompte"),"Le n° à déduire n'est pas une facture d'acompte",IF(AND(L435&lt;&gt;"",COUNTIF($L$6:L435,L435)&gt;1),"Acompte déjà déduit sur une autre facture",IF(AND(L435&lt;&gt;"",IFERROR(INDEX(fa_client,MATCH(L435,fa_num,0)),D435)&lt;&gt;D435),"Acompte d'un autre client",IF(AND(AR435&lt;&gt;"",N(Q435)&lt;0),"Acompte supérieur au total de la facture",IF(IF(AG435="Facture",COUNTIFS(fl_doc,A435,fl_check,"&lt;&gt;OK"),IF(AG435="Devis",COUNTIFS(dl_doc,F435,dl_check,"&lt;&gt;OK"),0))&gt;0,"Ligne(s) à corriger",IF(AND(W435&lt;&gt;"",N(W435)&lt;0),"Trop-perçu : vérifiez paiements et avoirs","OK")))))))))))))))))))))</f>
        <v/>
      </c>
      <c r="AA435" s="62" t="str">
        <f>IF(COUNTA(B435:D435,F435:O435)&gt;0,IF(B435="","Facture",B435),"")</f>
        <v/>
      </c>
      <c r="AB435" s="62" t="str">
        <f>IF(AA435="","",IF(AA435="Avoir",p_pav,IF(AA435="Facture d'acompte",p_pac,p_pfa)))</f>
        <v/>
      </c>
      <c r="AC435" s="62">
        <f>IF(ISNUMBER(C435),C435,0)</f>
        <v>0.0</v>
      </c>
      <c r="AD435" s="62" t="str">
        <f>IF(OR(AA435="",AC435=0),"",YEAR(AC435))</f>
        <v/>
      </c>
      <c r="AE435" s="62" t="str">
        <f>IF(AD435="","",COUNTIFS($AB$6:AB435,AB435,$AD$6:AD435,AD435))</f>
        <v/>
      </c>
      <c r="AF435" s="62">
        <f>IF(A435="",0,COUNTIF(fl_doc,A435))</f>
        <v>0.0</v>
      </c>
      <c r="AG435" s="62" t="str">
        <f>IF(A435="","",IF(AF435&gt;0,"Facture",IF(AND(F435&lt;&gt;"",AA435="Facture",ISNUMBER(MATCH(F435,dv_num,0))),"Devis","")))</f>
        <v/>
      </c>
      <c r="AH435" s="62" t="str">
        <f>IF(AND(A435&lt;&gt;"",F435&lt;&gt;"",AA435&lt;&gt;"Avoir"),F435,"")</f>
        <v/>
      </c>
      <c r="AI435" s="62" t="str">
        <f>IF(AG435="Devis",F435,"")</f>
        <v/>
      </c>
      <c r="AJ435" s="62">
        <f>IF(AG435="Facture",SUMIF(fl_doc,A435,fl_ht),IF(AG435="Devis",SUMIF(dl_doc,F435,dl_ht),0))</f>
        <v>0.0</v>
      </c>
      <c r="AK435" s="62">
        <f>IF(OR(AG435="",INDEX(p_rates,1)=""),0,IF(AG435="Facture",SUMIFS(fl_ht,fl_doc,A435,fl_rate,INDEX(p_rates,1)),SUMIFS(dl_ht,dl_doc,F435,dl_rate,INDEX(p_rates,1))))</f>
        <v>0.0</v>
      </c>
      <c r="AL435" s="62">
        <f>IF(OR(AG435="",INDEX(p_rates,2)=""),0,IF(AG435="Facture",SUMIFS(fl_ht,fl_doc,A435,fl_rate,INDEX(p_rates,2)),SUMIFS(dl_ht,dl_doc,F435,dl_rate,INDEX(p_rates,2))))</f>
        <v>0.0</v>
      </c>
      <c r="AM435" s="62">
        <f>IF(OR(AG435="",INDEX(p_rates,3)=""),0,IF(AG435="Facture",SUMIFS(fl_ht,fl_doc,A435,fl_rate,INDEX(p_rates,3)),SUMIFS(dl_ht,dl_doc,F435,dl_rate,INDEX(p_rates,3))))</f>
        <v>0.0</v>
      </c>
      <c r="AN435" s="62">
        <f>IF(OR(AG435="",INDEX(p_rates,4)=""),0,IF(AG435="Facture",SUMIFS(fl_ht,fl_doc,A435,fl_rate,INDEX(p_rates,4)),SUMIFS(dl_ht,dl_doc,F435,dl_rate,INDEX(p_rates,4))))</f>
        <v>0.0</v>
      </c>
      <c r="AO435" s="62">
        <f>IF(OR(AG435="",INDEX(p_rates,5)=""),0,IF(AG435="Facture",SUMIFS(fl_ht,fl_doc,A435,fl_rate,INDEX(p_rates,5)),SUMIFS(dl_ht,dl_doc,F435,dl_rate,INDEX(p_rates,5))))</f>
        <v>0.0</v>
      </c>
      <c r="AP435" s="62">
        <f>IF(OR(AG435="",INDEX(p_rates,6)=""),0,IF(AG435="Facture",SUMIFS(fl_ht,fl_doc,A435,fl_rate,INDEX(p_rates,6)),SUMIFS(dl_ht,dl_doc,F435,dl_rate,INDEX(p_rates,6))))</f>
        <v>0.0</v>
      </c>
      <c r="AQ435" s="62">
        <f>ROUND(AK435*N(INDEX(p_rates,1)),2)+ROUND(AL435*N(INDEX(p_rates,2)),2)+ROUND(AM435*N(INDEX(p_rates,3)),2)+ROUND(AN435*N(INDEX(p_rates,4)),2)+ROUND(AO435*N(INDEX(p_rates,5)),2)+ROUND(AP435*N(INDEX(p_rates,6)),2)</f>
        <v>0.0</v>
      </c>
      <c r="AR435" s="62" t="str">
        <f>IF(OR(L435="",AA435&lt;&gt;"Facture"),"",IFERROR(IF(INDEX(fa_type,MATCH(L435,fa_num,0))="Facture d'acompte",MATCH(L435,fa_num,0),""),""))</f>
        <v/>
      </c>
      <c r="AS435" s="62" t="str">
        <f>IF(W435="","",IF(W435&lt;=0,"",IF(p_asof-P435&lt;=0,"Non échu",IF(p_asof-P435&lt;=30,"1-30 j",IF(p_asof-P435&lt;=60,"31-60 j",IF(p_asof-P435&lt;=90,"61-90 j","Plus de 90 j"))))))</f>
        <v/>
      </c>
      <c r="AT435" s="62" t="str">
        <f>IF(AS435="","",p_asof-P435)</f>
        <v/>
      </c>
      <c r="AU435" s="62" t="str">
        <f>IF(AT435="","",COUNTIF($AT$6:$AT$805,"&gt;"&amp;AT435)+COUNTIF($AT$6:AT435,AT435))</f>
        <v/>
      </c>
    </row>
    <row r="436">
      <c r="A436" s="59" t="str">
        <f>IF(AE436="","",AB436&amp;"-"&amp;AD436&amp;"-"&amp;RIGHT("000"&amp;AE436,4))</f>
        <v/>
      </c>
      <c r="B436" s="60" t="n"/>
      <c r="C436" s="61" t="n"/>
      <c r="D436" s="60" t="n"/>
      <c r="E436" s="62" t="str">
        <f>IF(D436="","",IFERROR(INDEX(cli_name,MATCH(D436,cli_code,0))&amp;"","Client inconnu"))</f>
        <v/>
      </c>
      <c r="F436" s="60" t="n"/>
      <c r="G436" s="63" t="n"/>
      <c r="H436" s="61" t="n"/>
      <c r="I436" s="63" t="n"/>
      <c r="J436" s="60" t="n"/>
      <c r="K436" s="61" t="n"/>
      <c r="L436" s="60" t="n"/>
      <c r="M436" s="60" t="n"/>
      <c r="N436" s="60" t="n"/>
      <c r="O436" s="61" t="n"/>
      <c r="P436" s="64" t="str">
        <f>IF(A436="","",IF(AA436="Avoir",AC436,IF(ISNUMBER(K436),K436,AC436+IF(D436="",N(p_delay),IFERROR(IF(ISNUMBER(INDEX(cli_delay,MATCH(D436,cli_code,0))),INDEX(cli_delay,MATCH(D436,cli_code,0)),N(p_delay)),N(p_delay))))))</f>
        <v/>
      </c>
      <c r="Q436" s="65" t="str">
        <f>IF(A436="","",IF(AA436="Avoir",-1,1)*ROUND(AJ436-IF(AR436="",0,INDEX(fa_htb,AR436)),2))</f>
        <v/>
      </c>
      <c r="R436" s="65" t="str">
        <f>IF(A436="","",IF(AA436="Avoir",-1,1)*ROUND(AQ436-IF(AR436="",0,INDEX(fa_tvab,AR436)),2))</f>
        <v/>
      </c>
      <c r="S436" s="65" t="str">
        <f>IF(A436="","",Q436+R436)</f>
        <v/>
      </c>
      <c r="T436" s="65" t="str">
        <f>IF(AR436="","",INDEX(fa_htb,AR436)+INDEX(fa_tvab,AR436))</f>
        <v/>
      </c>
      <c r="U436" s="65" t="str">
        <f>IF(A436="","",SUMIF(pa_inv,A436,pa_amt))</f>
        <v/>
      </c>
      <c r="V436" s="65" t="str">
        <f>IF(OR(A436="",AA436="Avoir"),"",-SUMIFS(fa_ttc,fa_avof,A436,fa_type,"Avoir"))</f>
        <v/>
      </c>
      <c r="W436" s="65" t="str">
        <f>IF(OR(A436="",AA436="Avoir"),"",ROUND(S436-U436-V436,2))</f>
        <v/>
      </c>
      <c r="X436" s="66" t="str">
        <f>IF(W436="","",IF(AND(W436&gt;0,p_asof&gt;P436),p_asof-P436,""))</f>
        <v/>
      </c>
      <c r="Y436" s="59" t="str">
        <f>IF(A436="","",IF(AA436="Avoir","Avoir",IF(W436&lt;0,"Trop-perçu",IF(W436=0,"Soldée",IF(p_asof&gt;P436,"En retard",IF(U436+V436&gt;0,"Partielle","À échoir"))))))</f>
        <v/>
      </c>
      <c r="Z436" s="59" t="str">
        <f>IF(NOT(COUNTA(B436:D436,F436:O436)&gt;0),"",IF(C436="","Date manquante",IF(NOT(ISNUMBER(C436)),"Date invalide",IF(D436="","Client manquant",IF(ISNA(MATCH(D436,cli_code,0)),"Client inconnu",IF(AC436&lt;SUMPRODUCT(MAX(($AB$6:AB435=AB436)*$AC$6:AC435)),"Date antérieure à la facture précédente",IF(AND(F436&lt;&gt;"",ISNA(MATCH(F436,dv_num,0))),"Devis inconnu",IF(AND(F436&lt;&gt;"",IFERROR(INDEX(dv_client,MATCH(F436,dv_num,0)),D436)&lt;&gt;D436),"Client différent de celui du devis",IF(AG436="","Aucune ligne : saisissez des lignes ou un devis",IF(AND(AI436&lt;&gt;"",COUNTIF($AI$6:AI436,AI436)&gt;1),"Devis déjà repris par une autre facture",IF(AND(AA436="Avoir",M436=""),"Avoir : indiquez la facture d'origine",IF(AND(AA436="Avoir",ISNA(MATCH(M436,fa_num,0))),"Facture d'origine inconnue",IF(AND(AA436&lt;&gt;"Avoir",M436&lt;&gt;""),"« Avoir sur facture » : réservé aux avoirs",IF(AND(L436&lt;&gt;"",AA436&lt;&gt;"Facture"),"Acompte à déduire : réservé aux factures",IF(AND(L436&lt;&gt;"",ISNA(MATCH(L436,fa_num,0))),"Facture d'acompte inconnue",IF(AND(L436&lt;&gt;"",IFERROR(INDEX(fa_type,MATCH(L436,fa_num,0)),"")&lt;&gt;"Facture d'acompte"),"Le n° à déduire n'est pas une facture d'acompte",IF(AND(L436&lt;&gt;"",COUNTIF($L$6:L436,L436)&gt;1),"Acompte déjà déduit sur une autre facture",IF(AND(L436&lt;&gt;"",IFERROR(INDEX(fa_client,MATCH(L436,fa_num,0)),D436)&lt;&gt;D436),"Acompte d'un autre client",IF(AND(AR436&lt;&gt;"",N(Q436)&lt;0),"Acompte supérieur au total de la facture",IF(IF(AG436="Facture",COUNTIFS(fl_doc,A436,fl_check,"&lt;&gt;OK"),IF(AG436="Devis",COUNTIFS(dl_doc,F436,dl_check,"&lt;&gt;OK"),0))&gt;0,"Ligne(s) à corriger",IF(AND(W436&lt;&gt;"",N(W436)&lt;0),"Trop-perçu : vérifiez paiements et avoirs","OK")))))))))))))))))))))</f>
        <v/>
      </c>
      <c r="AA436" s="62" t="str">
        <f>IF(COUNTA(B436:D436,F436:O436)&gt;0,IF(B436="","Facture",B436),"")</f>
        <v/>
      </c>
      <c r="AB436" s="62" t="str">
        <f>IF(AA436="","",IF(AA436="Avoir",p_pav,IF(AA436="Facture d'acompte",p_pac,p_pfa)))</f>
        <v/>
      </c>
      <c r="AC436" s="62">
        <f>IF(ISNUMBER(C436),C436,0)</f>
        <v>0.0</v>
      </c>
      <c r="AD436" s="62" t="str">
        <f>IF(OR(AA436="",AC436=0),"",YEAR(AC436))</f>
        <v/>
      </c>
      <c r="AE436" s="62" t="str">
        <f>IF(AD436="","",COUNTIFS($AB$6:AB436,AB436,$AD$6:AD436,AD436))</f>
        <v/>
      </c>
      <c r="AF436" s="62">
        <f>IF(A436="",0,COUNTIF(fl_doc,A436))</f>
        <v>0.0</v>
      </c>
      <c r="AG436" s="62" t="str">
        <f>IF(A436="","",IF(AF436&gt;0,"Facture",IF(AND(F436&lt;&gt;"",AA436="Facture",ISNUMBER(MATCH(F436,dv_num,0))),"Devis","")))</f>
        <v/>
      </c>
      <c r="AH436" s="62" t="str">
        <f>IF(AND(A436&lt;&gt;"",F436&lt;&gt;"",AA436&lt;&gt;"Avoir"),F436,"")</f>
        <v/>
      </c>
      <c r="AI436" s="62" t="str">
        <f>IF(AG436="Devis",F436,"")</f>
        <v/>
      </c>
      <c r="AJ436" s="62">
        <f>IF(AG436="Facture",SUMIF(fl_doc,A436,fl_ht),IF(AG436="Devis",SUMIF(dl_doc,F436,dl_ht),0))</f>
        <v>0.0</v>
      </c>
      <c r="AK436" s="62">
        <f>IF(OR(AG436="",INDEX(p_rates,1)=""),0,IF(AG436="Facture",SUMIFS(fl_ht,fl_doc,A436,fl_rate,INDEX(p_rates,1)),SUMIFS(dl_ht,dl_doc,F436,dl_rate,INDEX(p_rates,1))))</f>
        <v>0.0</v>
      </c>
      <c r="AL436" s="62">
        <f>IF(OR(AG436="",INDEX(p_rates,2)=""),0,IF(AG436="Facture",SUMIFS(fl_ht,fl_doc,A436,fl_rate,INDEX(p_rates,2)),SUMIFS(dl_ht,dl_doc,F436,dl_rate,INDEX(p_rates,2))))</f>
        <v>0.0</v>
      </c>
      <c r="AM436" s="62">
        <f>IF(OR(AG436="",INDEX(p_rates,3)=""),0,IF(AG436="Facture",SUMIFS(fl_ht,fl_doc,A436,fl_rate,INDEX(p_rates,3)),SUMIFS(dl_ht,dl_doc,F436,dl_rate,INDEX(p_rates,3))))</f>
        <v>0.0</v>
      </c>
      <c r="AN436" s="62">
        <f>IF(OR(AG436="",INDEX(p_rates,4)=""),0,IF(AG436="Facture",SUMIFS(fl_ht,fl_doc,A436,fl_rate,INDEX(p_rates,4)),SUMIFS(dl_ht,dl_doc,F436,dl_rate,INDEX(p_rates,4))))</f>
        <v>0.0</v>
      </c>
      <c r="AO436" s="62">
        <f>IF(OR(AG436="",INDEX(p_rates,5)=""),0,IF(AG436="Facture",SUMIFS(fl_ht,fl_doc,A436,fl_rate,INDEX(p_rates,5)),SUMIFS(dl_ht,dl_doc,F436,dl_rate,INDEX(p_rates,5))))</f>
        <v>0.0</v>
      </c>
      <c r="AP436" s="62">
        <f>IF(OR(AG436="",INDEX(p_rates,6)=""),0,IF(AG436="Facture",SUMIFS(fl_ht,fl_doc,A436,fl_rate,INDEX(p_rates,6)),SUMIFS(dl_ht,dl_doc,F436,dl_rate,INDEX(p_rates,6))))</f>
        <v>0.0</v>
      </c>
      <c r="AQ436" s="62">
        <f>ROUND(AK436*N(INDEX(p_rates,1)),2)+ROUND(AL436*N(INDEX(p_rates,2)),2)+ROUND(AM436*N(INDEX(p_rates,3)),2)+ROUND(AN436*N(INDEX(p_rates,4)),2)+ROUND(AO436*N(INDEX(p_rates,5)),2)+ROUND(AP436*N(INDEX(p_rates,6)),2)</f>
        <v>0.0</v>
      </c>
      <c r="AR436" s="62" t="str">
        <f>IF(OR(L436="",AA436&lt;&gt;"Facture"),"",IFERROR(IF(INDEX(fa_type,MATCH(L436,fa_num,0))="Facture d'acompte",MATCH(L436,fa_num,0),""),""))</f>
        <v/>
      </c>
      <c r="AS436" s="62" t="str">
        <f>IF(W436="","",IF(W436&lt;=0,"",IF(p_asof-P436&lt;=0,"Non échu",IF(p_asof-P436&lt;=30,"1-30 j",IF(p_asof-P436&lt;=60,"31-60 j",IF(p_asof-P436&lt;=90,"61-90 j","Plus de 90 j"))))))</f>
        <v/>
      </c>
      <c r="AT436" s="62" t="str">
        <f>IF(AS436="","",p_asof-P436)</f>
        <v/>
      </c>
      <c r="AU436" s="62" t="str">
        <f>IF(AT436="","",COUNTIF($AT$6:$AT$805,"&gt;"&amp;AT436)+COUNTIF($AT$6:AT436,AT436))</f>
        <v/>
      </c>
    </row>
    <row r="437">
      <c r="A437" s="59" t="str">
        <f>IF(AE437="","",AB437&amp;"-"&amp;AD437&amp;"-"&amp;RIGHT("000"&amp;AE437,4))</f>
        <v/>
      </c>
      <c r="B437" s="60" t="n"/>
      <c r="C437" s="61" t="n"/>
      <c r="D437" s="60" t="n"/>
      <c r="E437" s="62" t="str">
        <f>IF(D437="","",IFERROR(INDEX(cli_name,MATCH(D437,cli_code,0))&amp;"","Client inconnu"))</f>
        <v/>
      </c>
      <c r="F437" s="60" t="n"/>
      <c r="G437" s="63" t="n"/>
      <c r="H437" s="61" t="n"/>
      <c r="I437" s="63" t="n"/>
      <c r="J437" s="60" t="n"/>
      <c r="K437" s="61" t="n"/>
      <c r="L437" s="60" t="n"/>
      <c r="M437" s="60" t="n"/>
      <c r="N437" s="60" t="n"/>
      <c r="O437" s="61" t="n"/>
      <c r="P437" s="64" t="str">
        <f>IF(A437="","",IF(AA437="Avoir",AC437,IF(ISNUMBER(K437),K437,AC437+IF(D437="",N(p_delay),IFERROR(IF(ISNUMBER(INDEX(cli_delay,MATCH(D437,cli_code,0))),INDEX(cli_delay,MATCH(D437,cli_code,0)),N(p_delay)),N(p_delay))))))</f>
        <v/>
      </c>
      <c r="Q437" s="65" t="str">
        <f>IF(A437="","",IF(AA437="Avoir",-1,1)*ROUND(AJ437-IF(AR437="",0,INDEX(fa_htb,AR437)),2))</f>
        <v/>
      </c>
      <c r="R437" s="65" t="str">
        <f>IF(A437="","",IF(AA437="Avoir",-1,1)*ROUND(AQ437-IF(AR437="",0,INDEX(fa_tvab,AR437)),2))</f>
        <v/>
      </c>
      <c r="S437" s="65" t="str">
        <f>IF(A437="","",Q437+R437)</f>
        <v/>
      </c>
      <c r="T437" s="65" t="str">
        <f>IF(AR437="","",INDEX(fa_htb,AR437)+INDEX(fa_tvab,AR437))</f>
        <v/>
      </c>
      <c r="U437" s="65" t="str">
        <f>IF(A437="","",SUMIF(pa_inv,A437,pa_amt))</f>
        <v/>
      </c>
      <c r="V437" s="65" t="str">
        <f>IF(OR(A437="",AA437="Avoir"),"",-SUMIFS(fa_ttc,fa_avof,A437,fa_type,"Avoir"))</f>
        <v/>
      </c>
      <c r="W437" s="65" t="str">
        <f>IF(OR(A437="",AA437="Avoir"),"",ROUND(S437-U437-V437,2))</f>
        <v/>
      </c>
      <c r="X437" s="66" t="str">
        <f>IF(W437="","",IF(AND(W437&gt;0,p_asof&gt;P437),p_asof-P437,""))</f>
        <v/>
      </c>
      <c r="Y437" s="59" t="str">
        <f>IF(A437="","",IF(AA437="Avoir","Avoir",IF(W437&lt;0,"Trop-perçu",IF(W437=0,"Soldée",IF(p_asof&gt;P437,"En retard",IF(U437+V437&gt;0,"Partielle","À échoir"))))))</f>
        <v/>
      </c>
      <c r="Z437" s="59" t="str">
        <f>IF(NOT(COUNTA(B437:D437,F437:O437)&gt;0),"",IF(C437="","Date manquante",IF(NOT(ISNUMBER(C437)),"Date invalide",IF(D437="","Client manquant",IF(ISNA(MATCH(D437,cli_code,0)),"Client inconnu",IF(AC437&lt;SUMPRODUCT(MAX(($AB$6:AB436=AB437)*$AC$6:AC436)),"Date antérieure à la facture précédente",IF(AND(F437&lt;&gt;"",ISNA(MATCH(F437,dv_num,0))),"Devis inconnu",IF(AND(F437&lt;&gt;"",IFERROR(INDEX(dv_client,MATCH(F437,dv_num,0)),D437)&lt;&gt;D437),"Client différent de celui du devis",IF(AG437="","Aucune ligne : saisissez des lignes ou un devis",IF(AND(AI437&lt;&gt;"",COUNTIF($AI$6:AI437,AI437)&gt;1),"Devis déjà repris par une autre facture",IF(AND(AA437="Avoir",M437=""),"Avoir : indiquez la facture d'origine",IF(AND(AA437="Avoir",ISNA(MATCH(M437,fa_num,0))),"Facture d'origine inconnue",IF(AND(AA437&lt;&gt;"Avoir",M437&lt;&gt;""),"« Avoir sur facture » : réservé aux avoirs",IF(AND(L437&lt;&gt;"",AA437&lt;&gt;"Facture"),"Acompte à déduire : réservé aux factures",IF(AND(L437&lt;&gt;"",ISNA(MATCH(L437,fa_num,0))),"Facture d'acompte inconnue",IF(AND(L437&lt;&gt;"",IFERROR(INDEX(fa_type,MATCH(L437,fa_num,0)),"")&lt;&gt;"Facture d'acompte"),"Le n° à déduire n'est pas une facture d'acompte",IF(AND(L437&lt;&gt;"",COUNTIF($L$6:L437,L437)&gt;1),"Acompte déjà déduit sur une autre facture",IF(AND(L437&lt;&gt;"",IFERROR(INDEX(fa_client,MATCH(L437,fa_num,0)),D437)&lt;&gt;D437),"Acompte d'un autre client",IF(AND(AR437&lt;&gt;"",N(Q437)&lt;0),"Acompte supérieur au total de la facture",IF(IF(AG437="Facture",COUNTIFS(fl_doc,A437,fl_check,"&lt;&gt;OK"),IF(AG437="Devis",COUNTIFS(dl_doc,F437,dl_check,"&lt;&gt;OK"),0))&gt;0,"Ligne(s) à corriger",IF(AND(W437&lt;&gt;"",N(W437)&lt;0),"Trop-perçu : vérifiez paiements et avoirs","OK")))))))))))))))))))))</f>
        <v/>
      </c>
      <c r="AA437" s="62" t="str">
        <f>IF(COUNTA(B437:D437,F437:O437)&gt;0,IF(B437="","Facture",B437),"")</f>
        <v/>
      </c>
      <c r="AB437" s="62" t="str">
        <f>IF(AA437="","",IF(AA437="Avoir",p_pav,IF(AA437="Facture d'acompte",p_pac,p_pfa)))</f>
        <v/>
      </c>
      <c r="AC437" s="62">
        <f>IF(ISNUMBER(C437),C437,0)</f>
        <v>0.0</v>
      </c>
      <c r="AD437" s="62" t="str">
        <f>IF(OR(AA437="",AC437=0),"",YEAR(AC437))</f>
        <v/>
      </c>
      <c r="AE437" s="62" t="str">
        <f>IF(AD437="","",COUNTIFS($AB$6:AB437,AB437,$AD$6:AD437,AD437))</f>
        <v/>
      </c>
      <c r="AF437" s="62">
        <f>IF(A437="",0,COUNTIF(fl_doc,A437))</f>
        <v>0.0</v>
      </c>
      <c r="AG437" s="62" t="str">
        <f>IF(A437="","",IF(AF437&gt;0,"Facture",IF(AND(F437&lt;&gt;"",AA437="Facture",ISNUMBER(MATCH(F437,dv_num,0))),"Devis","")))</f>
        <v/>
      </c>
      <c r="AH437" s="62" t="str">
        <f>IF(AND(A437&lt;&gt;"",F437&lt;&gt;"",AA437&lt;&gt;"Avoir"),F437,"")</f>
        <v/>
      </c>
      <c r="AI437" s="62" t="str">
        <f>IF(AG437="Devis",F437,"")</f>
        <v/>
      </c>
      <c r="AJ437" s="62">
        <f>IF(AG437="Facture",SUMIF(fl_doc,A437,fl_ht),IF(AG437="Devis",SUMIF(dl_doc,F437,dl_ht),0))</f>
        <v>0.0</v>
      </c>
      <c r="AK437" s="62">
        <f>IF(OR(AG437="",INDEX(p_rates,1)=""),0,IF(AG437="Facture",SUMIFS(fl_ht,fl_doc,A437,fl_rate,INDEX(p_rates,1)),SUMIFS(dl_ht,dl_doc,F437,dl_rate,INDEX(p_rates,1))))</f>
        <v>0.0</v>
      </c>
      <c r="AL437" s="62">
        <f>IF(OR(AG437="",INDEX(p_rates,2)=""),0,IF(AG437="Facture",SUMIFS(fl_ht,fl_doc,A437,fl_rate,INDEX(p_rates,2)),SUMIFS(dl_ht,dl_doc,F437,dl_rate,INDEX(p_rates,2))))</f>
        <v>0.0</v>
      </c>
      <c r="AM437" s="62">
        <f>IF(OR(AG437="",INDEX(p_rates,3)=""),0,IF(AG437="Facture",SUMIFS(fl_ht,fl_doc,A437,fl_rate,INDEX(p_rates,3)),SUMIFS(dl_ht,dl_doc,F437,dl_rate,INDEX(p_rates,3))))</f>
        <v>0.0</v>
      </c>
      <c r="AN437" s="62">
        <f>IF(OR(AG437="",INDEX(p_rates,4)=""),0,IF(AG437="Facture",SUMIFS(fl_ht,fl_doc,A437,fl_rate,INDEX(p_rates,4)),SUMIFS(dl_ht,dl_doc,F437,dl_rate,INDEX(p_rates,4))))</f>
        <v>0.0</v>
      </c>
      <c r="AO437" s="62">
        <f>IF(OR(AG437="",INDEX(p_rates,5)=""),0,IF(AG437="Facture",SUMIFS(fl_ht,fl_doc,A437,fl_rate,INDEX(p_rates,5)),SUMIFS(dl_ht,dl_doc,F437,dl_rate,INDEX(p_rates,5))))</f>
        <v>0.0</v>
      </c>
      <c r="AP437" s="62">
        <f>IF(OR(AG437="",INDEX(p_rates,6)=""),0,IF(AG437="Facture",SUMIFS(fl_ht,fl_doc,A437,fl_rate,INDEX(p_rates,6)),SUMIFS(dl_ht,dl_doc,F437,dl_rate,INDEX(p_rates,6))))</f>
        <v>0.0</v>
      </c>
      <c r="AQ437" s="62">
        <f>ROUND(AK437*N(INDEX(p_rates,1)),2)+ROUND(AL437*N(INDEX(p_rates,2)),2)+ROUND(AM437*N(INDEX(p_rates,3)),2)+ROUND(AN437*N(INDEX(p_rates,4)),2)+ROUND(AO437*N(INDEX(p_rates,5)),2)+ROUND(AP437*N(INDEX(p_rates,6)),2)</f>
        <v>0.0</v>
      </c>
      <c r="AR437" s="62" t="str">
        <f>IF(OR(L437="",AA437&lt;&gt;"Facture"),"",IFERROR(IF(INDEX(fa_type,MATCH(L437,fa_num,0))="Facture d'acompte",MATCH(L437,fa_num,0),""),""))</f>
        <v/>
      </c>
      <c r="AS437" s="62" t="str">
        <f>IF(W437="","",IF(W437&lt;=0,"",IF(p_asof-P437&lt;=0,"Non échu",IF(p_asof-P437&lt;=30,"1-30 j",IF(p_asof-P437&lt;=60,"31-60 j",IF(p_asof-P437&lt;=90,"61-90 j","Plus de 90 j"))))))</f>
        <v/>
      </c>
      <c r="AT437" s="62" t="str">
        <f>IF(AS437="","",p_asof-P437)</f>
        <v/>
      </c>
      <c r="AU437" s="62" t="str">
        <f>IF(AT437="","",COUNTIF($AT$6:$AT$805,"&gt;"&amp;AT437)+COUNTIF($AT$6:AT437,AT437))</f>
        <v/>
      </c>
    </row>
    <row r="438">
      <c r="A438" s="59" t="str">
        <f>IF(AE438="","",AB438&amp;"-"&amp;AD438&amp;"-"&amp;RIGHT("000"&amp;AE438,4))</f>
        <v/>
      </c>
      <c r="B438" s="60" t="n"/>
      <c r="C438" s="61" t="n"/>
      <c r="D438" s="60" t="n"/>
      <c r="E438" s="62" t="str">
        <f>IF(D438="","",IFERROR(INDEX(cli_name,MATCH(D438,cli_code,0))&amp;"","Client inconnu"))</f>
        <v/>
      </c>
      <c r="F438" s="60" t="n"/>
      <c r="G438" s="63" t="n"/>
      <c r="H438" s="61" t="n"/>
      <c r="I438" s="63" t="n"/>
      <c r="J438" s="60" t="n"/>
      <c r="K438" s="61" t="n"/>
      <c r="L438" s="60" t="n"/>
      <c r="M438" s="60" t="n"/>
      <c r="N438" s="60" t="n"/>
      <c r="O438" s="61" t="n"/>
      <c r="P438" s="64" t="str">
        <f>IF(A438="","",IF(AA438="Avoir",AC438,IF(ISNUMBER(K438),K438,AC438+IF(D438="",N(p_delay),IFERROR(IF(ISNUMBER(INDEX(cli_delay,MATCH(D438,cli_code,0))),INDEX(cli_delay,MATCH(D438,cli_code,0)),N(p_delay)),N(p_delay))))))</f>
        <v/>
      </c>
      <c r="Q438" s="65" t="str">
        <f>IF(A438="","",IF(AA438="Avoir",-1,1)*ROUND(AJ438-IF(AR438="",0,INDEX(fa_htb,AR438)),2))</f>
        <v/>
      </c>
      <c r="R438" s="65" t="str">
        <f>IF(A438="","",IF(AA438="Avoir",-1,1)*ROUND(AQ438-IF(AR438="",0,INDEX(fa_tvab,AR438)),2))</f>
        <v/>
      </c>
      <c r="S438" s="65" t="str">
        <f>IF(A438="","",Q438+R438)</f>
        <v/>
      </c>
      <c r="T438" s="65" t="str">
        <f>IF(AR438="","",INDEX(fa_htb,AR438)+INDEX(fa_tvab,AR438))</f>
        <v/>
      </c>
      <c r="U438" s="65" t="str">
        <f>IF(A438="","",SUMIF(pa_inv,A438,pa_amt))</f>
        <v/>
      </c>
      <c r="V438" s="65" t="str">
        <f>IF(OR(A438="",AA438="Avoir"),"",-SUMIFS(fa_ttc,fa_avof,A438,fa_type,"Avoir"))</f>
        <v/>
      </c>
      <c r="W438" s="65" t="str">
        <f>IF(OR(A438="",AA438="Avoir"),"",ROUND(S438-U438-V438,2))</f>
        <v/>
      </c>
      <c r="X438" s="66" t="str">
        <f>IF(W438="","",IF(AND(W438&gt;0,p_asof&gt;P438),p_asof-P438,""))</f>
        <v/>
      </c>
      <c r="Y438" s="59" t="str">
        <f>IF(A438="","",IF(AA438="Avoir","Avoir",IF(W438&lt;0,"Trop-perçu",IF(W438=0,"Soldée",IF(p_asof&gt;P438,"En retard",IF(U438+V438&gt;0,"Partielle","À échoir"))))))</f>
        <v/>
      </c>
      <c r="Z438" s="59" t="str">
        <f>IF(NOT(COUNTA(B438:D438,F438:O438)&gt;0),"",IF(C438="","Date manquante",IF(NOT(ISNUMBER(C438)),"Date invalide",IF(D438="","Client manquant",IF(ISNA(MATCH(D438,cli_code,0)),"Client inconnu",IF(AC438&lt;SUMPRODUCT(MAX(($AB$6:AB437=AB438)*$AC$6:AC437)),"Date antérieure à la facture précédente",IF(AND(F438&lt;&gt;"",ISNA(MATCH(F438,dv_num,0))),"Devis inconnu",IF(AND(F438&lt;&gt;"",IFERROR(INDEX(dv_client,MATCH(F438,dv_num,0)),D438)&lt;&gt;D438),"Client différent de celui du devis",IF(AG438="","Aucune ligne : saisissez des lignes ou un devis",IF(AND(AI438&lt;&gt;"",COUNTIF($AI$6:AI438,AI438)&gt;1),"Devis déjà repris par une autre facture",IF(AND(AA438="Avoir",M438=""),"Avoir : indiquez la facture d'origine",IF(AND(AA438="Avoir",ISNA(MATCH(M438,fa_num,0))),"Facture d'origine inconnue",IF(AND(AA438&lt;&gt;"Avoir",M438&lt;&gt;""),"« Avoir sur facture » : réservé aux avoirs",IF(AND(L438&lt;&gt;"",AA438&lt;&gt;"Facture"),"Acompte à déduire : réservé aux factures",IF(AND(L438&lt;&gt;"",ISNA(MATCH(L438,fa_num,0))),"Facture d'acompte inconnue",IF(AND(L438&lt;&gt;"",IFERROR(INDEX(fa_type,MATCH(L438,fa_num,0)),"")&lt;&gt;"Facture d'acompte"),"Le n° à déduire n'est pas une facture d'acompte",IF(AND(L438&lt;&gt;"",COUNTIF($L$6:L438,L438)&gt;1),"Acompte déjà déduit sur une autre facture",IF(AND(L438&lt;&gt;"",IFERROR(INDEX(fa_client,MATCH(L438,fa_num,0)),D438)&lt;&gt;D438),"Acompte d'un autre client",IF(AND(AR438&lt;&gt;"",N(Q438)&lt;0),"Acompte supérieur au total de la facture",IF(IF(AG438="Facture",COUNTIFS(fl_doc,A438,fl_check,"&lt;&gt;OK"),IF(AG438="Devis",COUNTIFS(dl_doc,F438,dl_check,"&lt;&gt;OK"),0))&gt;0,"Ligne(s) à corriger",IF(AND(W438&lt;&gt;"",N(W438)&lt;0),"Trop-perçu : vérifiez paiements et avoirs","OK")))))))))))))))))))))</f>
        <v/>
      </c>
      <c r="AA438" s="62" t="str">
        <f>IF(COUNTA(B438:D438,F438:O438)&gt;0,IF(B438="","Facture",B438),"")</f>
        <v/>
      </c>
      <c r="AB438" s="62" t="str">
        <f>IF(AA438="","",IF(AA438="Avoir",p_pav,IF(AA438="Facture d'acompte",p_pac,p_pfa)))</f>
        <v/>
      </c>
      <c r="AC438" s="62">
        <f>IF(ISNUMBER(C438),C438,0)</f>
        <v>0.0</v>
      </c>
      <c r="AD438" s="62" t="str">
        <f>IF(OR(AA438="",AC438=0),"",YEAR(AC438))</f>
        <v/>
      </c>
      <c r="AE438" s="62" t="str">
        <f>IF(AD438="","",COUNTIFS($AB$6:AB438,AB438,$AD$6:AD438,AD438))</f>
        <v/>
      </c>
      <c r="AF438" s="62">
        <f>IF(A438="",0,COUNTIF(fl_doc,A438))</f>
        <v>0.0</v>
      </c>
      <c r="AG438" s="62" t="str">
        <f>IF(A438="","",IF(AF438&gt;0,"Facture",IF(AND(F438&lt;&gt;"",AA438="Facture",ISNUMBER(MATCH(F438,dv_num,0))),"Devis","")))</f>
        <v/>
      </c>
      <c r="AH438" s="62" t="str">
        <f>IF(AND(A438&lt;&gt;"",F438&lt;&gt;"",AA438&lt;&gt;"Avoir"),F438,"")</f>
        <v/>
      </c>
      <c r="AI438" s="62" t="str">
        <f>IF(AG438="Devis",F438,"")</f>
        <v/>
      </c>
      <c r="AJ438" s="62">
        <f>IF(AG438="Facture",SUMIF(fl_doc,A438,fl_ht),IF(AG438="Devis",SUMIF(dl_doc,F438,dl_ht),0))</f>
        <v>0.0</v>
      </c>
      <c r="AK438" s="62">
        <f>IF(OR(AG438="",INDEX(p_rates,1)=""),0,IF(AG438="Facture",SUMIFS(fl_ht,fl_doc,A438,fl_rate,INDEX(p_rates,1)),SUMIFS(dl_ht,dl_doc,F438,dl_rate,INDEX(p_rates,1))))</f>
        <v>0.0</v>
      </c>
      <c r="AL438" s="62">
        <f>IF(OR(AG438="",INDEX(p_rates,2)=""),0,IF(AG438="Facture",SUMIFS(fl_ht,fl_doc,A438,fl_rate,INDEX(p_rates,2)),SUMIFS(dl_ht,dl_doc,F438,dl_rate,INDEX(p_rates,2))))</f>
        <v>0.0</v>
      </c>
      <c r="AM438" s="62">
        <f>IF(OR(AG438="",INDEX(p_rates,3)=""),0,IF(AG438="Facture",SUMIFS(fl_ht,fl_doc,A438,fl_rate,INDEX(p_rates,3)),SUMIFS(dl_ht,dl_doc,F438,dl_rate,INDEX(p_rates,3))))</f>
        <v>0.0</v>
      </c>
      <c r="AN438" s="62">
        <f>IF(OR(AG438="",INDEX(p_rates,4)=""),0,IF(AG438="Facture",SUMIFS(fl_ht,fl_doc,A438,fl_rate,INDEX(p_rates,4)),SUMIFS(dl_ht,dl_doc,F438,dl_rate,INDEX(p_rates,4))))</f>
        <v>0.0</v>
      </c>
      <c r="AO438" s="62">
        <f>IF(OR(AG438="",INDEX(p_rates,5)=""),0,IF(AG438="Facture",SUMIFS(fl_ht,fl_doc,A438,fl_rate,INDEX(p_rates,5)),SUMIFS(dl_ht,dl_doc,F438,dl_rate,INDEX(p_rates,5))))</f>
        <v>0.0</v>
      </c>
      <c r="AP438" s="62">
        <f>IF(OR(AG438="",INDEX(p_rates,6)=""),0,IF(AG438="Facture",SUMIFS(fl_ht,fl_doc,A438,fl_rate,INDEX(p_rates,6)),SUMIFS(dl_ht,dl_doc,F438,dl_rate,INDEX(p_rates,6))))</f>
        <v>0.0</v>
      </c>
      <c r="AQ438" s="62">
        <f>ROUND(AK438*N(INDEX(p_rates,1)),2)+ROUND(AL438*N(INDEX(p_rates,2)),2)+ROUND(AM438*N(INDEX(p_rates,3)),2)+ROUND(AN438*N(INDEX(p_rates,4)),2)+ROUND(AO438*N(INDEX(p_rates,5)),2)+ROUND(AP438*N(INDEX(p_rates,6)),2)</f>
        <v>0.0</v>
      </c>
      <c r="AR438" s="62" t="str">
        <f>IF(OR(L438="",AA438&lt;&gt;"Facture"),"",IFERROR(IF(INDEX(fa_type,MATCH(L438,fa_num,0))="Facture d'acompte",MATCH(L438,fa_num,0),""),""))</f>
        <v/>
      </c>
      <c r="AS438" s="62" t="str">
        <f>IF(W438="","",IF(W438&lt;=0,"",IF(p_asof-P438&lt;=0,"Non échu",IF(p_asof-P438&lt;=30,"1-30 j",IF(p_asof-P438&lt;=60,"31-60 j",IF(p_asof-P438&lt;=90,"61-90 j","Plus de 90 j"))))))</f>
        <v/>
      </c>
      <c r="AT438" s="62" t="str">
        <f>IF(AS438="","",p_asof-P438)</f>
        <v/>
      </c>
      <c r="AU438" s="62" t="str">
        <f>IF(AT438="","",COUNTIF($AT$6:$AT$805,"&gt;"&amp;AT438)+COUNTIF($AT$6:AT438,AT438))</f>
        <v/>
      </c>
    </row>
    <row r="439">
      <c r="A439" s="59" t="str">
        <f>IF(AE439="","",AB439&amp;"-"&amp;AD439&amp;"-"&amp;RIGHT("000"&amp;AE439,4))</f>
        <v/>
      </c>
      <c r="B439" s="60" t="n"/>
      <c r="C439" s="61" t="n"/>
      <c r="D439" s="60" t="n"/>
      <c r="E439" s="62" t="str">
        <f>IF(D439="","",IFERROR(INDEX(cli_name,MATCH(D439,cli_code,0))&amp;"","Client inconnu"))</f>
        <v/>
      </c>
      <c r="F439" s="60" t="n"/>
      <c r="G439" s="63" t="n"/>
      <c r="H439" s="61" t="n"/>
      <c r="I439" s="63" t="n"/>
      <c r="J439" s="60" t="n"/>
      <c r="K439" s="61" t="n"/>
      <c r="L439" s="60" t="n"/>
      <c r="M439" s="60" t="n"/>
      <c r="N439" s="60" t="n"/>
      <c r="O439" s="61" t="n"/>
      <c r="P439" s="64" t="str">
        <f>IF(A439="","",IF(AA439="Avoir",AC439,IF(ISNUMBER(K439),K439,AC439+IF(D439="",N(p_delay),IFERROR(IF(ISNUMBER(INDEX(cli_delay,MATCH(D439,cli_code,0))),INDEX(cli_delay,MATCH(D439,cli_code,0)),N(p_delay)),N(p_delay))))))</f>
        <v/>
      </c>
      <c r="Q439" s="65" t="str">
        <f>IF(A439="","",IF(AA439="Avoir",-1,1)*ROUND(AJ439-IF(AR439="",0,INDEX(fa_htb,AR439)),2))</f>
        <v/>
      </c>
      <c r="R439" s="65" t="str">
        <f>IF(A439="","",IF(AA439="Avoir",-1,1)*ROUND(AQ439-IF(AR439="",0,INDEX(fa_tvab,AR439)),2))</f>
        <v/>
      </c>
      <c r="S439" s="65" t="str">
        <f>IF(A439="","",Q439+R439)</f>
        <v/>
      </c>
      <c r="T439" s="65" t="str">
        <f>IF(AR439="","",INDEX(fa_htb,AR439)+INDEX(fa_tvab,AR439))</f>
        <v/>
      </c>
      <c r="U439" s="65" t="str">
        <f>IF(A439="","",SUMIF(pa_inv,A439,pa_amt))</f>
        <v/>
      </c>
      <c r="V439" s="65" t="str">
        <f>IF(OR(A439="",AA439="Avoir"),"",-SUMIFS(fa_ttc,fa_avof,A439,fa_type,"Avoir"))</f>
        <v/>
      </c>
      <c r="W439" s="65" t="str">
        <f>IF(OR(A439="",AA439="Avoir"),"",ROUND(S439-U439-V439,2))</f>
        <v/>
      </c>
      <c r="X439" s="66" t="str">
        <f>IF(W439="","",IF(AND(W439&gt;0,p_asof&gt;P439),p_asof-P439,""))</f>
        <v/>
      </c>
      <c r="Y439" s="59" t="str">
        <f>IF(A439="","",IF(AA439="Avoir","Avoir",IF(W439&lt;0,"Trop-perçu",IF(W439=0,"Soldée",IF(p_asof&gt;P439,"En retard",IF(U439+V439&gt;0,"Partielle","À échoir"))))))</f>
        <v/>
      </c>
      <c r="Z439" s="59" t="str">
        <f>IF(NOT(COUNTA(B439:D439,F439:O439)&gt;0),"",IF(C439="","Date manquante",IF(NOT(ISNUMBER(C439)),"Date invalide",IF(D439="","Client manquant",IF(ISNA(MATCH(D439,cli_code,0)),"Client inconnu",IF(AC439&lt;SUMPRODUCT(MAX(($AB$6:AB438=AB439)*$AC$6:AC438)),"Date antérieure à la facture précédente",IF(AND(F439&lt;&gt;"",ISNA(MATCH(F439,dv_num,0))),"Devis inconnu",IF(AND(F439&lt;&gt;"",IFERROR(INDEX(dv_client,MATCH(F439,dv_num,0)),D439)&lt;&gt;D439),"Client différent de celui du devis",IF(AG439="","Aucune ligne : saisissez des lignes ou un devis",IF(AND(AI439&lt;&gt;"",COUNTIF($AI$6:AI439,AI439)&gt;1),"Devis déjà repris par une autre facture",IF(AND(AA439="Avoir",M439=""),"Avoir : indiquez la facture d'origine",IF(AND(AA439="Avoir",ISNA(MATCH(M439,fa_num,0))),"Facture d'origine inconnue",IF(AND(AA439&lt;&gt;"Avoir",M439&lt;&gt;""),"« Avoir sur facture » : réservé aux avoirs",IF(AND(L439&lt;&gt;"",AA439&lt;&gt;"Facture"),"Acompte à déduire : réservé aux factures",IF(AND(L439&lt;&gt;"",ISNA(MATCH(L439,fa_num,0))),"Facture d'acompte inconnue",IF(AND(L439&lt;&gt;"",IFERROR(INDEX(fa_type,MATCH(L439,fa_num,0)),"")&lt;&gt;"Facture d'acompte"),"Le n° à déduire n'est pas une facture d'acompte",IF(AND(L439&lt;&gt;"",COUNTIF($L$6:L439,L439)&gt;1),"Acompte déjà déduit sur une autre facture",IF(AND(L439&lt;&gt;"",IFERROR(INDEX(fa_client,MATCH(L439,fa_num,0)),D439)&lt;&gt;D439),"Acompte d'un autre client",IF(AND(AR439&lt;&gt;"",N(Q439)&lt;0),"Acompte supérieur au total de la facture",IF(IF(AG439="Facture",COUNTIFS(fl_doc,A439,fl_check,"&lt;&gt;OK"),IF(AG439="Devis",COUNTIFS(dl_doc,F439,dl_check,"&lt;&gt;OK"),0))&gt;0,"Ligne(s) à corriger",IF(AND(W439&lt;&gt;"",N(W439)&lt;0),"Trop-perçu : vérifiez paiements et avoirs","OK")))))))))))))))))))))</f>
        <v/>
      </c>
      <c r="AA439" s="62" t="str">
        <f>IF(COUNTA(B439:D439,F439:O439)&gt;0,IF(B439="","Facture",B439),"")</f>
        <v/>
      </c>
      <c r="AB439" s="62" t="str">
        <f>IF(AA439="","",IF(AA439="Avoir",p_pav,IF(AA439="Facture d'acompte",p_pac,p_pfa)))</f>
        <v/>
      </c>
      <c r="AC439" s="62">
        <f>IF(ISNUMBER(C439),C439,0)</f>
        <v>0.0</v>
      </c>
      <c r="AD439" s="62" t="str">
        <f>IF(OR(AA439="",AC439=0),"",YEAR(AC439))</f>
        <v/>
      </c>
      <c r="AE439" s="62" t="str">
        <f>IF(AD439="","",COUNTIFS($AB$6:AB439,AB439,$AD$6:AD439,AD439))</f>
        <v/>
      </c>
      <c r="AF439" s="62">
        <f>IF(A439="",0,COUNTIF(fl_doc,A439))</f>
        <v>0.0</v>
      </c>
      <c r="AG439" s="62" t="str">
        <f>IF(A439="","",IF(AF439&gt;0,"Facture",IF(AND(F439&lt;&gt;"",AA439="Facture",ISNUMBER(MATCH(F439,dv_num,0))),"Devis","")))</f>
        <v/>
      </c>
      <c r="AH439" s="62" t="str">
        <f>IF(AND(A439&lt;&gt;"",F439&lt;&gt;"",AA439&lt;&gt;"Avoir"),F439,"")</f>
        <v/>
      </c>
      <c r="AI439" s="62" t="str">
        <f>IF(AG439="Devis",F439,"")</f>
        <v/>
      </c>
      <c r="AJ439" s="62">
        <f>IF(AG439="Facture",SUMIF(fl_doc,A439,fl_ht),IF(AG439="Devis",SUMIF(dl_doc,F439,dl_ht),0))</f>
        <v>0.0</v>
      </c>
      <c r="AK439" s="62">
        <f>IF(OR(AG439="",INDEX(p_rates,1)=""),0,IF(AG439="Facture",SUMIFS(fl_ht,fl_doc,A439,fl_rate,INDEX(p_rates,1)),SUMIFS(dl_ht,dl_doc,F439,dl_rate,INDEX(p_rates,1))))</f>
        <v>0.0</v>
      </c>
      <c r="AL439" s="62">
        <f>IF(OR(AG439="",INDEX(p_rates,2)=""),0,IF(AG439="Facture",SUMIFS(fl_ht,fl_doc,A439,fl_rate,INDEX(p_rates,2)),SUMIFS(dl_ht,dl_doc,F439,dl_rate,INDEX(p_rates,2))))</f>
        <v>0.0</v>
      </c>
      <c r="AM439" s="62">
        <f>IF(OR(AG439="",INDEX(p_rates,3)=""),0,IF(AG439="Facture",SUMIFS(fl_ht,fl_doc,A439,fl_rate,INDEX(p_rates,3)),SUMIFS(dl_ht,dl_doc,F439,dl_rate,INDEX(p_rates,3))))</f>
        <v>0.0</v>
      </c>
      <c r="AN439" s="62">
        <f>IF(OR(AG439="",INDEX(p_rates,4)=""),0,IF(AG439="Facture",SUMIFS(fl_ht,fl_doc,A439,fl_rate,INDEX(p_rates,4)),SUMIFS(dl_ht,dl_doc,F439,dl_rate,INDEX(p_rates,4))))</f>
        <v>0.0</v>
      </c>
      <c r="AO439" s="62">
        <f>IF(OR(AG439="",INDEX(p_rates,5)=""),0,IF(AG439="Facture",SUMIFS(fl_ht,fl_doc,A439,fl_rate,INDEX(p_rates,5)),SUMIFS(dl_ht,dl_doc,F439,dl_rate,INDEX(p_rates,5))))</f>
        <v>0.0</v>
      </c>
      <c r="AP439" s="62">
        <f>IF(OR(AG439="",INDEX(p_rates,6)=""),0,IF(AG439="Facture",SUMIFS(fl_ht,fl_doc,A439,fl_rate,INDEX(p_rates,6)),SUMIFS(dl_ht,dl_doc,F439,dl_rate,INDEX(p_rates,6))))</f>
        <v>0.0</v>
      </c>
      <c r="AQ439" s="62">
        <f>ROUND(AK439*N(INDEX(p_rates,1)),2)+ROUND(AL439*N(INDEX(p_rates,2)),2)+ROUND(AM439*N(INDEX(p_rates,3)),2)+ROUND(AN439*N(INDEX(p_rates,4)),2)+ROUND(AO439*N(INDEX(p_rates,5)),2)+ROUND(AP439*N(INDEX(p_rates,6)),2)</f>
        <v>0.0</v>
      </c>
      <c r="AR439" s="62" t="str">
        <f>IF(OR(L439="",AA439&lt;&gt;"Facture"),"",IFERROR(IF(INDEX(fa_type,MATCH(L439,fa_num,0))="Facture d'acompte",MATCH(L439,fa_num,0),""),""))</f>
        <v/>
      </c>
      <c r="AS439" s="62" t="str">
        <f>IF(W439="","",IF(W439&lt;=0,"",IF(p_asof-P439&lt;=0,"Non échu",IF(p_asof-P439&lt;=30,"1-30 j",IF(p_asof-P439&lt;=60,"31-60 j",IF(p_asof-P439&lt;=90,"61-90 j","Plus de 90 j"))))))</f>
        <v/>
      </c>
      <c r="AT439" s="62" t="str">
        <f>IF(AS439="","",p_asof-P439)</f>
        <v/>
      </c>
      <c r="AU439" s="62" t="str">
        <f>IF(AT439="","",COUNTIF($AT$6:$AT$805,"&gt;"&amp;AT439)+COUNTIF($AT$6:AT439,AT439))</f>
        <v/>
      </c>
    </row>
    <row r="440">
      <c r="A440" s="59" t="str">
        <f>IF(AE440="","",AB440&amp;"-"&amp;AD440&amp;"-"&amp;RIGHT("000"&amp;AE440,4))</f>
        <v/>
      </c>
      <c r="B440" s="60" t="n"/>
      <c r="C440" s="61" t="n"/>
      <c r="D440" s="60" t="n"/>
      <c r="E440" s="62" t="str">
        <f>IF(D440="","",IFERROR(INDEX(cli_name,MATCH(D440,cli_code,0))&amp;"","Client inconnu"))</f>
        <v/>
      </c>
      <c r="F440" s="60" t="n"/>
      <c r="G440" s="63" t="n"/>
      <c r="H440" s="61" t="n"/>
      <c r="I440" s="63" t="n"/>
      <c r="J440" s="60" t="n"/>
      <c r="K440" s="61" t="n"/>
      <c r="L440" s="60" t="n"/>
      <c r="M440" s="60" t="n"/>
      <c r="N440" s="60" t="n"/>
      <c r="O440" s="61" t="n"/>
      <c r="P440" s="64" t="str">
        <f>IF(A440="","",IF(AA440="Avoir",AC440,IF(ISNUMBER(K440),K440,AC440+IF(D440="",N(p_delay),IFERROR(IF(ISNUMBER(INDEX(cli_delay,MATCH(D440,cli_code,0))),INDEX(cli_delay,MATCH(D440,cli_code,0)),N(p_delay)),N(p_delay))))))</f>
        <v/>
      </c>
      <c r="Q440" s="65" t="str">
        <f>IF(A440="","",IF(AA440="Avoir",-1,1)*ROUND(AJ440-IF(AR440="",0,INDEX(fa_htb,AR440)),2))</f>
        <v/>
      </c>
      <c r="R440" s="65" t="str">
        <f>IF(A440="","",IF(AA440="Avoir",-1,1)*ROUND(AQ440-IF(AR440="",0,INDEX(fa_tvab,AR440)),2))</f>
        <v/>
      </c>
      <c r="S440" s="65" t="str">
        <f>IF(A440="","",Q440+R440)</f>
        <v/>
      </c>
      <c r="T440" s="65" t="str">
        <f>IF(AR440="","",INDEX(fa_htb,AR440)+INDEX(fa_tvab,AR440))</f>
        <v/>
      </c>
      <c r="U440" s="65" t="str">
        <f>IF(A440="","",SUMIF(pa_inv,A440,pa_amt))</f>
        <v/>
      </c>
      <c r="V440" s="65" t="str">
        <f>IF(OR(A440="",AA440="Avoir"),"",-SUMIFS(fa_ttc,fa_avof,A440,fa_type,"Avoir"))</f>
        <v/>
      </c>
      <c r="W440" s="65" t="str">
        <f>IF(OR(A440="",AA440="Avoir"),"",ROUND(S440-U440-V440,2))</f>
        <v/>
      </c>
      <c r="X440" s="66" t="str">
        <f>IF(W440="","",IF(AND(W440&gt;0,p_asof&gt;P440),p_asof-P440,""))</f>
        <v/>
      </c>
      <c r="Y440" s="59" t="str">
        <f>IF(A440="","",IF(AA440="Avoir","Avoir",IF(W440&lt;0,"Trop-perçu",IF(W440=0,"Soldée",IF(p_asof&gt;P440,"En retard",IF(U440+V440&gt;0,"Partielle","À échoir"))))))</f>
        <v/>
      </c>
      <c r="Z440" s="59" t="str">
        <f>IF(NOT(COUNTA(B440:D440,F440:O440)&gt;0),"",IF(C440="","Date manquante",IF(NOT(ISNUMBER(C440)),"Date invalide",IF(D440="","Client manquant",IF(ISNA(MATCH(D440,cli_code,0)),"Client inconnu",IF(AC440&lt;SUMPRODUCT(MAX(($AB$6:AB439=AB440)*$AC$6:AC439)),"Date antérieure à la facture précédente",IF(AND(F440&lt;&gt;"",ISNA(MATCH(F440,dv_num,0))),"Devis inconnu",IF(AND(F440&lt;&gt;"",IFERROR(INDEX(dv_client,MATCH(F440,dv_num,0)),D440)&lt;&gt;D440),"Client différent de celui du devis",IF(AG440="","Aucune ligne : saisissez des lignes ou un devis",IF(AND(AI440&lt;&gt;"",COUNTIF($AI$6:AI440,AI440)&gt;1),"Devis déjà repris par une autre facture",IF(AND(AA440="Avoir",M440=""),"Avoir : indiquez la facture d'origine",IF(AND(AA440="Avoir",ISNA(MATCH(M440,fa_num,0))),"Facture d'origine inconnue",IF(AND(AA440&lt;&gt;"Avoir",M440&lt;&gt;""),"« Avoir sur facture » : réservé aux avoirs",IF(AND(L440&lt;&gt;"",AA440&lt;&gt;"Facture"),"Acompte à déduire : réservé aux factures",IF(AND(L440&lt;&gt;"",ISNA(MATCH(L440,fa_num,0))),"Facture d'acompte inconnue",IF(AND(L440&lt;&gt;"",IFERROR(INDEX(fa_type,MATCH(L440,fa_num,0)),"")&lt;&gt;"Facture d'acompte"),"Le n° à déduire n'est pas une facture d'acompte",IF(AND(L440&lt;&gt;"",COUNTIF($L$6:L440,L440)&gt;1),"Acompte déjà déduit sur une autre facture",IF(AND(L440&lt;&gt;"",IFERROR(INDEX(fa_client,MATCH(L440,fa_num,0)),D440)&lt;&gt;D440),"Acompte d'un autre client",IF(AND(AR440&lt;&gt;"",N(Q440)&lt;0),"Acompte supérieur au total de la facture",IF(IF(AG440="Facture",COUNTIFS(fl_doc,A440,fl_check,"&lt;&gt;OK"),IF(AG440="Devis",COUNTIFS(dl_doc,F440,dl_check,"&lt;&gt;OK"),0))&gt;0,"Ligne(s) à corriger",IF(AND(W440&lt;&gt;"",N(W440)&lt;0),"Trop-perçu : vérifiez paiements et avoirs","OK")))))))))))))))))))))</f>
        <v/>
      </c>
      <c r="AA440" s="62" t="str">
        <f>IF(COUNTA(B440:D440,F440:O440)&gt;0,IF(B440="","Facture",B440),"")</f>
        <v/>
      </c>
      <c r="AB440" s="62" t="str">
        <f>IF(AA440="","",IF(AA440="Avoir",p_pav,IF(AA440="Facture d'acompte",p_pac,p_pfa)))</f>
        <v/>
      </c>
      <c r="AC440" s="62">
        <f>IF(ISNUMBER(C440),C440,0)</f>
        <v>0.0</v>
      </c>
      <c r="AD440" s="62" t="str">
        <f>IF(OR(AA440="",AC440=0),"",YEAR(AC440))</f>
        <v/>
      </c>
      <c r="AE440" s="62" t="str">
        <f>IF(AD440="","",COUNTIFS($AB$6:AB440,AB440,$AD$6:AD440,AD440))</f>
        <v/>
      </c>
      <c r="AF440" s="62">
        <f>IF(A440="",0,COUNTIF(fl_doc,A440))</f>
        <v>0.0</v>
      </c>
      <c r="AG440" s="62" t="str">
        <f>IF(A440="","",IF(AF440&gt;0,"Facture",IF(AND(F440&lt;&gt;"",AA440="Facture",ISNUMBER(MATCH(F440,dv_num,0))),"Devis","")))</f>
        <v/>
      </c>
      <c r="AH440" s="62" t="str">
        <f>IF(AND(A440&lt;&gt;"",F440&lt;&gt;"",AA440&lt;&gt;"Avoir"),F440,"")</f>
        <v/>
      </c>
      <c r="AI440" s="62" t="str">
        <f>IF(AG440="Devis",F440,"")</f>
        <v/>
      </c>
      <c r="AJ440" s="62">
        <f>IF(AG440="Facture",SUMIF(fl_doc,A440,fl_ht),IF(AG440="Devis",SUMIF(dl_doc,F440,dl_ht),0))</f>
        <v>0.0</v>
      </c>
      <c r="AK440" s="62">
        <f>IF(OR(AG440="",INDEX(p_rates,1)=""),0,IF(AG440="Facture",SUMIFS(fl_ht,fl_doc,A440,fl_rate,INDEX(p_rates,1)),SUMIFS(dl_ht,dl_doc,F440,dl_rate,INDEX(p_rates,1))))</f>
        <v>0.0</v>
      </c>
      <c r="AL440" s="62">
        <f>IF(OR(AG440="",INDEX(p_rates,2)=""),0,IF(AG440="Facture",SUMIFS(fl_ht,fl_doc,A440,fl_rate,INDEX(p_rates,2)),SUMIFS(dl_ht,dl_doc,F440,dl_rate,INDEX(p_rates,2))))</f>
        <v>0.0</v>
      </c>
      <c r="AM440" s="62">
        <f>IF(OR(AG440="",INDEX(p_rates,3)=""),0,IF(AG440="Facture",SUMIFS(fl_ht,fl_doc,A440,fl_rate,INDEX(p_rates,3)),SUMIFS(dl_ht,dl_doc,F440,dl_rate,INDEX(p_rates,3))))</f>
        <v>0.0</v>
      </c>
      <c r="AN440" s="62">
        <f>IF(OR(AG440="",INDEX(p_rates,4)=""),0,IF(AG440="Facture",SUMIFS(fl_ht,fl_doc,A440,fl_rate,INDEX(p_rates,4)),SUMIFS(dl_ht,dl_doc,F440,dl_rate,INDEX(p_rates,4))))</f>
        <v>0.0</v>
      </c>
      <c r="AO440" s="62">
        <f>IF(OR(AG440="",INDEX(p_rates,5)=""),0,IF(AG440="Facture",SUMIFS(fl_ht,fl_doc,A440,fl_rate,INDEX(p_rates,5)),SUMIFS(dl_ht,dl_doc,F440,dl_rate,INDEX(p_rates,5))))</f>
        <v>0.0</v>
      </c>
      <c r="AP440" s="62">
        <f>IF(OR(AG440="",INDEX(p_rates,6)=""),0,IF(AG440="Facture",SUMIFS(fl_ht,fl_doc,A440,fl_rate,INDEX(p_rates,6)),SUMIFS(dl_ht,dl_doc,F440,dl_rate,INDEX(p_rates,6))))</f>
        <v>0.0</v>
      </c>
      <c r="AQ440" s="62">
        <f>ROUND(AK440*N(INDEX(p_rates,1)),2)+ROUND(AL440*N(INDEX(p_rates,2)),2)+ROUND(AM440*N(INDEX(p_rates,3)),2)+ROUND(AN440*N(INDEX(p_rates,4)),2)+ROUND(AO440*N(INDEX(p_rates,5)),2)+ROUND(AP440*N(INDEX(p_rates,6)),2)</f>
        <v>0.0</v>
      </c>
      <c r="AR440" s="62" t="str">
        <f>IF(OR(L440="",AA440&lt;&gt;"Facture"),"",IFERROR(IF(INDEX(fa_type,MATCH(L440,fa_num,0))="Facture d'acompte",MATCH(L440,fa_num,0),""),""))</f>
        <v/>
      </c>
      <c r="AS440" s="62" t="str">
        <f>IF(W440="","",IF(W440&lt;=0,"",IF(p_asof-P440&lt;=0,"Non échu",IF(p_asof-P440&lt;=30,"1-30 j",IF(p_asof-P440&lt;=60,"31-60 j",IF(p_asof-P440&lt;=90,"61-90 j","Plus de 90 j"))))))</f>
        <v/>
      </c>
      <c r="AT440" s="62" t="str">
        <f>IF(AS440="","",p_asof-P440)</f>
        <v/>
      </c>
      <c r="AU440" s="62" t="str">
        <f>IF(AT440="","",COUNTIF($AT$6:$AT$805,"&gt;"&amp;AT440)+COUNTIF($AT$6:AT440,AT440))</f>
        <v/>
      </c>
    </row>
    <row r="441">
      <c r="A441" s="59" t="str">
        <f>IF(AE441="","",AB441&amp;"-"&amp;AD441&amp;"-"&amp;RIGHT("000"&amp;AE441,4))</f>
        <v/>
      </c>
      <c r="B441" s="60" t="n"/>
      <c r="C441" s="61" t="n"/>
      <c r="D441" s="60" t="n"/>
      <c r="E441" s="62" t="str">
        <f>IF(D441="","",IFERROR(INDEX(cli_name,MATCH(D441,cli_code,0))&amp;"","Client inconnu"))</f>
        <v/>
      </c>
      <c r="F441" s="60" t="n"/>
      <c r="G441" s="63" t="n"/>
      <c r="H441" s="61" t="n"/>
      <c r="I441" s="63" t="n"/>
      <c r="J441" s="60" t="n"/>
      <c r="K441" s="61" t="n"/>
      <c r="L441" s="60" t="n"/>
      <c r="M441" s="60" t="n"/>
      <c r="N441" s="60" t="n"/>
      <c r="O441" s="61" t="n"/>
      <c r="P441" s="64" t="str">
        <f>IF(A441="","",IF(AA441="Avoir",AC441,IF(ISNUMBER(K441),K441,AC441+IF(D441="",N(p_delay),IFERROR(IF(ISNUMBER(INDEX(cli_delay,MATCH(D441,cli_code,0))),INDEX(cli_delay,MATCH(D441,cli_code,0)),N(p_delay)),N(p_delay))))))</f>
        <v/>
      </c>
      <c r="Q441" s="65" t="str">
        <f>IF(A441="","",IF(AA441="Avoir",-1,1)*ROUND(AJ441-IF(AR441="",0,INDEX(fa_htb,AR441)),2))</f>
        <v/>
      </c>
      <c r="R441" s="65" t="str">
        <f>IF(A441="","",IF(AA441="Avoir",-1,1)*ROUND(AQ441-IF(AR441="",0,INDEX(fa_tvab,AR441)),2))</f>
        <v/>
      </c>
      <c r="S441" s="65" t="str">
        <f>IF(A441="","",Q441+R441)</f>
        <v/>
      </c>
      <c r="T441" s="65" t="str">
        <f>IF(AR441="","",INDEX(fa_htb,AR441)+INDEX(fa_tvab,AR441))</f>
        <v/>
      </c>
      <c r="U441" s="65" t="str">
        <f>IF(A441="","",SUMIF(pa_inv,A441,pa_amt))</f>
        <v/>
      </c>
      <c r="V441" s="65" t="str">
        <f>IF(OR(A441="",AA441="Avoir"),"",-SUMIFS(fa_ttc,fa_avof,A441,fa_type,"Avoir"))</f>
        <v/>
      </c>
      <c r="W441" s="65" t="str">
        <f>IF(OR(A441="",AA441="Avoir"),"",ROUND(S441-U441-V441,2))</f>
        <v/>
      </c>
      <c r="X441" s="66" t="str">
        <f>IF(W441="","",IF(AND(W441&gt;0,p_asof&gt;P441),p_asof-P441,""))</f>
        <v/>
      </c>
      <c r="Y441" s="59" t="str">
        <f>IF(A441="","",IF(AA441="Avoir","Avoir",IF(W441&lt;0,"Trop-perçu",IF(W441=0,"Soldée",IF(p_asof&gt;P441,"En retard",IF(U441+V441&gt;0,"Partielle","À échoir"))))))</f>
        <v/>
      </c>
      <c r="Z441" s="59" t="str">
        <f>IF(NOT(COUNTA(B441:D441,F441:O441)&gt;0),"",IF(C441="","Date manquante",IF(NOT(ISNUMBER(C441)),"Date invalide",IF(D441="","Client manquant",IF(ISNA(MATCH(D441,cli_code,0)),"Client inconnu",IF(AC441&lt;SUMPRODUCT(MAX(($AB$6:AB440=AB441)*$AC$6:AC440)),"Date antérieure à la facture précédente",IF(AND(F441&lt;&gt;"",ISNA(MATCH(F441,dv_num,0))),"Devis inconnu",IF(AND(F441&lt;&gt;"",IFERROR(INDEX(dv_client,MATCH(F441,dv_num,0)),D441)&lt;&gt;D441),"Client différent de celui du devis",IF(AG441="","Aucune ligne : saisissez des lignes ou un devis",IF(AND(AI441&lt;&gt;"",COUNTIF($AI$6:AI441,AI441)&gt;1),"Devis déjà repris par une autre facture",IF(AND(AA441="Avoir",M441=""),"Avoir : indiquez la facture d'origine",IF(AND(AA441="Avoir",ISNA(MATCH(M441,fa_num,0))),"Facture d'origine inconnue",IF(AND(AA441&lt;&gt;"Avoir",M441&lt;&gt;""),"« Avoir sur facture » : réservé aux avoirs",IF(AND(L441&lt;&gt;"",AA441&lt;&gt;"Facture"),"Acompte à déduire : réservé aux factures",IF(AND(L441&lt;&gt;"",ISNA(MATCH(L441,fa_num,0))),"Facture d'acompte inconnue",IF(AND(L441&lt;&gt;"",IFERROR(INDEX(fa_type,MATCH(L441,fa_num,0)),"")&lt;&gt;"Facture d'acompte"),"Le n° à déduire n'est pas une facture d'acompte",IF(AND(L441&lt;&gt;"",COUNTIF($L$6:L441,L441)&gt;1),"Acompte déjà déduit sur une autre facture",IF(AND(L441&lt;&gt;"",IFERROR(INDEX(fa_client,MATCH(L441,fa_num,0)),D441)&lt;&gt;D441),"Acompte d'un autre client",IF(AND(AR441&lt;&gt;"",N(Q441)&lt;0),"Acompte supérieur au total de la facture",IF(IF(AG441="Facture",COUNTIFS(fl_doc,A441,fl_check,"&lt;&gt;OK"),IF(AG441="Devis",COUNTIFS(dl_doc,F441,dl_check,"&lt;&gt;OK"),0))&gt;0,"Ligne(s) à corriger",IF(AND(W441&lt;&gt;"",N(W441)&lt;0),"Trop-perçu : vérifiez paiements et avoirs","OK")))))))))))))))))))))</f>
        <v/>
      </c>
      <c r="AA441" s="62" t="str">
        <f>IF(COUNTA(B441:D441,F441:O441)&gt;0,IF(B441="","Facture",B441),"")</f>
        <v/>
      </c>
      <c r="AB441" s="62" t="str">
        <f>IF(AA441="","",IF(AA441="Avoir",p_pav,IF(AA441="Facture d'acompte",p_pac,p_pfa)))</f>
        <v/>
      </c>
      <c r="AC441" s="62">
        <f>IF(ISNUMBER(C441),C441,0)</f>
        <v>0.0</v>
      </c>
      <c r="AD441" s="62" t="str">
        <f>IF(OR(AA441="",AC441=0),"",YEAR(AC441))</f>
        <v/>
      </c>
      <c r="AE441" s="62" t="str">
        <f>IF(AD441="","",COUNTIFS($AB$6:AB441,AB441,$AD$6:AD441,AD441))</f>
        <v/>
      </c>
      <c r="AF441" s="62">
        <f>IF(A441="",0,COUNTIF(fl_doc,A441))</f>
        <v>0.0</v>
      </c>
      <c r="AG441" s="62" t="str">
        <f>IF(A441="","",IF(AF441&gt;0,"Facture",IF(AND(F441&lt;&gt;"",AA441="Facture",ISNUMBER(MATCH(F441,dv_num,0))),"Devis","")))</f>
        <v/>
      </c>
      <c r="AH441" s="62" t="str">
        <f>IF(AND(A441&lt;&gt;"",F441&lt;&gt;"",AA441&lt;&gt;"Avoir"),F441,"")</f>
        <v/>
      </c>
      <c r="AI441" s="62" t="str">
        <f>IF(AG441="Devis",F441,"")</f>
        <v/>
      </c>
      <c r="AJ441" s="62">
        <f>IF(AG441="Facture",SUMIF(fl_doc,A441,fl_ht),IF(AG441="Devis",SUMIF(dl_doc,F441,dl_ht),0))</f>
        <v>0.0</v>
      </c>
      <c r="AK441" s="62">
        <f>IF(OR(AG441="",INDEX(p_rates,1)=""),0,IF(AG441="Facture",SUMIFS(fl_ht,fl_doc,A441,fl_rate,INDEX(p_rates,1)),SUMIFS(dl_ht,dl_doc,F441,dl_rate,INDEX(p_rates,1))))</f>
        <v>0.0</v>
      </c>
      <c r="AL441" s="62">
        <f>IF(OR(AG441="",INDEX(p_rates,2)=""),0,IF(AG441="Facture",SUMIFS(fl_ht,fl_doc,A441,fl_rate,INDEX(p_rates,2)),SUMIFS(dl_ht,dl_doc,F441,dl_rate,INDEX(p_rates,2))))</f>
        <v>0.0</v>
      </c>
      <c r="AM441" s="62">
        <f>IF(OR(AG441="",INDEX(p_rates,3)=""),0,IF(AG441="Facture",SUMIFS(fl_ht,fl_doc,A441,fl_rate,INDEX(p_rates,3)),SUMIFS(dl_ht,dl_doc,F441,dl_rate,INDEX(p_rates,3))))</f>
        <v>0.0</v>
      </c>
      <c r="AN441" s="62">
        <f>IF(OR(AG441="",INDEX(p_rates,4)=""),0,IF(AG441="Facture",SUMIFS(fl_ht,fl_doc,A441,fl_rate,INDEX(p_rates,4)),SUMIFS(dl_ht,dl_doc,F441,dl_rate,INDEX(p_rates,4))))</f>
        <v>0.0</v>
      </c>
      <c r="AO441" s="62">
        <f>IF(OR(AG441="",INDEX(p_rates,5)=""),0,IF(AG441="Facture",SUMIFS(fl_ht,fl_doc,A441,fl_rate,INDEX(p_rates,5)),SUMIFS(dl_ht,dl_doc,F441,dl_rate,INDEX(p_rates,5))))</f>
        <v>0.0</v>
      </c>
      <c r="AP441" s="62">
        <f>IF(OR(AG441="",INDEX(p_rates,6)=""),0,IF(AG441="Facture",SUMIFS(fl_ht,fl_doc,A441,fl_rate,INDEX(p_rates,6)),SUMIFS(dl_ht,dl_doc,F441,dl_rate,INDEX(p_rates,6))))</f>
        <v>0.0</v>
      </c>
      <c r="AQ441" s="62">
        <f>ROUND(AK441*N(INDEX(p_rates,1)),2)+ROUND(AL441*N(INDEX(p_rates,2)),2)+ROUND(AM441*N(INDEX(p_rates,3)),2)+ROUND(AN441*N(INDEX(p_rates,4)),2)+ROUND(AO441*N(INDEX(p_rates,5)),2)+ROUND(AP441*N(INDEX(p_rates,6)),2)</f>
        <v>0.0</v>
      </c>
      <c r="AR441" s="62" t="str">
        <f>IF(OR(L441="",AA441&lt;&gt;"Facture"),"",IFERROR(IF(INDEX(fa_type,MATCH(L441,fa_num,0))="Facture d'acompte",MATCH(L441,fa_num,0),""),""))</f>
        <v/>
      </c>
      <c r="AS441" s="62" t="str">
        <f>IF(W441="","",IF(W441&lt;=0,"",IF(p_asof-P441&lt;=0,"Non échu",IF(p_asof-P441&lt;=30,"1-30 j",IF(p_asof-P441&lt;=60,"31-60 j",IF(p_asof-P441&lt;=90,"61-90 j","Plus de 90 j"))))))</f>
        <v/>
      </c>
      <c r="AT441" s="62" t="str">
        <f>IF(AS441="","",p_asof-P441)</f>
        <v/>
      </c>
      <c r="AU441" s="62" t="str">
        <f>IF(AT441="","",COUNTIF($AT$6:$AT$805,"&gt;"&amp;AT441)+COUNTIF($AT$6:AT441,AT441))</f>
        <v/>
      </c>
    </row>
    <row r="442">
      <c r="A442" s="59" t="str">
        <f>IF(AE442="","",AB442&amp;"-"&amp;AD442&amp;"-"&amp;RIGHT("000"&amp;AE442,4))</f>
        <v/>
      </c>
      <c r="B442" s="60" t="n"/>
      <c r="C442" s="61" t="n"/>
      <c r="D442" s="60" t="n"/>
      <c r="E442" s="62" t="str">
        <f>IF(D442="","",IFERROR(INDEX(cli_name,MATCH(D442,cli_code,0))&amp;"","Client inconnu"))</f>
        <v/>
      </c>
      <c r="F442" s="60" t="n"/>
      <c r="G442" s="63" t="n"/>
      <c r="H442" s="61" t="n"/>
      <c r="I442" s="63" t="n"/>
      <c r="J442" s="60" t="n"/>
      <c r="K442" s="61" t="n"/>
      <c r="L442" s="60" t="n"/>
      <c r="M442" s="60" t="n"/>
      <c r="N442" s="60" t="n"/>
      <c r="O442" s="61" t="n"/>
      <c r="P442" s="64" t="str">
        <f>IF(A442="","",IF(AA442="Avoir",AC442,IF(ISNUMBER(K442),K442,AC442+IF(D442="",N(p_delay),IFERROR(IF(ISNUMBER(INDEX(cli_delay,MATCH(D442,cli_code,0))),INDEX(cli_delay,MATCH(D442,cli_code,0)),N(p_delay)),N(p_delay))))))</f>
        <v/>
      </c>
      <c r="Q442" s="65" t="str">
        <f>IF(A442="","",IF(AA442="Avoir",-1,1)*ROUND(AJ442-IF(AR442="",0,INDEX(fa_htb,AR442)),2))</f>
        <v/>
      </c>
      <c r="R442" s="65" t="str">
        <f>IF(A442="","",IF(AA442="Avoir",-1,1)*ROUND(AQ442-IF(AR442="",0,INDEX(fa_tvab,AR442)),2))</f>
        <v/>
      </c>
      <c r="S442" s="65" t="str">
        <f>IF(A442="","",Q442+R442)</f>
        <v/>
      </c>
      <c r="T442" s="65" t="str">
        <f>IF(AR442="","",INDEX(fa_htb,AR442)+INDEX(fa_tvab,AR442))</f>
        <v/>
      </c>
      <c r="U442" s="65" t="str">
        <f>IF(A442="","",SUMIF(pa_inv,A442,pa_amt))</f>
        <v/>
      </c>
      <c r="V442" s="65" t="str">
        <f>IF(OR(A442="",AA442="Avoir"),"",-SUMIFS(fa_ttc,fa_avof,A442,fa_type,"Avoir"))</f>
        <v/>
      </c>
      <c r="W442" s="65" t="str">
        <f>IF(OR(A442="",AA442="Avoir"),"",ROUND(S442-U442-V442,2))</f>
        <v/>
      </c>
      <c r="X442" s="66" t="str">
        <f>IF(W442="","",IF(AND(W442&gt;0,p_asof&gt;P442),p_asof-P442,""))</f>
        <v/>
      </c>
      <c r="Y442" s="59" t="str">
        <f>IF(A442="","",IF(AA442="Avoir","Avoir",IF(W442&lt;0,"Trop-perçu",IF(W442=0,"Soldée",IF(p_asof&gt;P442,"En retard",IF(U442+V442&gt;0,"Partielle","À échoir"))))))</f>
        <v/>
      </c>
      <c r="Z442" s="59" t="str">
        <f>IF(NOT(COUNTA(B442:D442,F442:O442)&gt;0),"",IF(C442="","Date manquante",IF(NOT(ISNUMBER(C442)),"Date invalide",IF(D442="","Client manquant",IF(ISNA(MATCH(D442,cli_code,0)),"Client inconnu",IF(AC442&lt;SUMPRODUCT(MAX(($AB$6:AB441=AB442)*$AC$6:AC441)),"Date antérieure à la facture précédente",IF(AND(F442&lt;&gt;"",ISNA(MATCH(F442,dv_num,0))),"Devis inconnu",IF(AND(F442&lt;&gt;"",IFERROR(INDEX(dv_client,MATCH(F442,dv_num,0)),D442)&lt;&gt;D442),"Client différent de celui du devis",IF(AG442="","Aucune ligne : saisissez des lignes ou un devis",IF(AND(AI442&lt;&gt;"",COUNTIF($AI$6:AI442,AI442)&gt;1),"Devis déjà repris par une autre facture",IF(AND(AA442="Avoir",M442=""),"Avoir : indiquez la facture d'origine",IF(AND(AA442="Avoir",ISNA(MATCH(M442,fa_num,0))),"Facture d'origine inconnue",IF(AND(AA442&lt;&gt;"Avoir",M442&lt;&gt;""),"« Avoir sur facture » : réservé aux avoirs",IF(AND(L442&lt;&gt;"",AA442&lt;&gt;"Facture"),"Acompte à déduire : réservé aux factures",IF(AND(L442&lt;&gt;"",ISNA(MATCH(L442,fa_num,0))),"Facture d'acompte inconnue",IF(AND(L442&lt;&gt;"",IFERROR(INDEX(fa_type,MATCH(L442,fa_num,0)),"")&lt;&gt;"Facture d'acompte"),"Le n° à déduire n'est pas une facture d'acompte",IF(AND(L442&lt;&gt;"",COUNTIF($L$6:L442,L442)&gt;1),"Acompte déjà déduit sur une autre facture",IF(AND(L442&lt;&gt;"",IFERROR(INDEX(fa_client,MATCH(L442,fa_num,0)),D442)&lt;&gt;D442),"Acompte d'un autre client",IF(AND(AR442&lt;&gt;"",N(Q442)&lt;0),"Acompte supérieur au total de la facture",IF(IF(AG442="Facture",COUNTIFS(fl_doc,A442,fl_check,"&lt;&gt;OK"),IF(AG442="Devis",COUNTIFS(dl_doc,F442,dl_check,"&lt;&gt;OK"),0))&gt;0,"Ligne(s) à corriger",IF(AND(W442&lt;&gt;"",N(W442)&lt;0),"Trop-perçu : vérifiez paiements et avoirs","OK")))))))))))))))))))))</f>
        <v/>
      </c>
      <c r="AA442" s="62" t="str">
        <f>IF(COUNTA(B442:D442,F442:O442)&gt;0,IF(B442="","Facture",B442),"")</f>
        <v/>
      </c>
      <c r="AB442" s="62" t="str">
        <f>IF(AA442="","",IF(AA442="Avoir",p_pav,IF(AA442="Facture d'acompte",p_pac,p_pfa)))</f>
        <v/>
      </c>
      <c r="AC442" s="62">
        <f>IF(ISNUMBER(C442),C442,0)</f>
        <v>0.0</v>
      </c>
      <c r="AD442" s="62" t="str">
        <f>IF(OR(AA442="",AC442=0),"",YEAR(AC442))</f>
        <v/>
      </c>
      <c r="AE442" s="62" t="str">
        <f>IF(AD442="","",COUNTIFS($AB$6:AB442,AB442,$AD$6:AD442,AD442))</f>
        <v/>
      </c>
      <c r="AF442" s="62">
        <f>IF(A442="",0,COUNTIF(fl_doc,A442))</f>
        <v>0.0</v>
      </c>
      <c r="AG442" s="62" t="str">
        <f>IF(A442="","",IF(AF442&gt;0,"Facture",IF(AND(F442&lt;&gt;"",AA442="Facture",ISNUMBER(MATCH(F442,dv_num,0))),"Devis","")))</f>
        <v/>
      </c>
      <c r="AH442" s="62" t="str">
        <f>IF(AND(A442&lt;&gt;"",F442&lt;&gt;"",AA442&lt;&gt;"Avoir"),F442,"")</f>
        <v/>
      </c>
      <c r="AI442" s="62" t="str">
        <f>IF(AG442="Devis",F442,"")</f>
        <v/>
      </c>
      <c r="AJ442" s="62">
        <f>IF(AG442="Facture",SUMIF(fl_doc,A442,fl_ht),IF(AG442="Devis",SUMIF(dl_doc,F442,dl_ht),0))</f>
        <v>0.0</v>
      </c>
      <c r="AK442" s="62">
        <f>IF(OR(AG442="",INDEX(p_rates,1)=""),0,IF(AG442="Facture",SUMIFS(fl_ht,fl_doc,A442,fl_rate,INDEX(p_rates,1)),SUMIFS(dl_ht,dl_doc,F442,dl_rate,INDEX(p_rates,1))))</f>
        <v>0.0</v>
      </c>
      <c r="AL442" s="62">
        <f>IF(OR(AG442="",INDEX(p_rates,2)=""),0,IF(AG442="Facture",SUMIFS(fl_ht,fl_doc,A442,fl_rate,INDEX(p_rates,2)),SUMIFS(dl_ht,dl_doc,F442,dl_rate,INDEX(p_rates,2))))</f>
        <v>0.0</v>
      </c>
      <c r="AM442" s="62">
        <f>IF(OR(AG442="",INDEX(p_rates,3)=""),0,IF(AG442="Facture",SUMIFS(fl_ht,fl_doc,A442,fl_rate,INDEX(p_rates,3)),SUMIFS(dl_ht,dl_doc,F442,dl_rate,INDEX(p_rates,3))))</f>
        <v>0.0</v>
      </c>
      <c r="AN442" s="62">
        <f>IF(OR(AG442="",INDEX(p_rates,4)=""),0,IF(AG442="Facture",SUMIFS(fl_ht,fl_doc,A442,fl_rate,INDEX(p_rates,4)),SUMIFS(dl_ht,dl_doc,F442,dl_rate,INDEX(p_rates,4))))</f>
        <v>0.0</v>
      </c>
      <c r="AO442" s="62">
        <f>IF(OR(AG442="",INDEX(p_rates,5)=""),0,IF(AG442="Facture",SUMIFS(fl_ht,fl_doc,A442,fl_rate,INDEX(p_rates,5)),SUMIFS(dl_ht,dl_doc,F442,dl_rate,INDEX(p_rates,5))))</f>
        <v>0.0</v>
      </c>
      <c r="AP442" s="62">
        <f>IF(OR(AG442="",INDEX(p_rates,6)=""),0,IF(AG442="Facture",SUMIFS(fl_ht,fl_doc,A442,fl_rate,INDEX(p_rates,6)),SUMIFS(dl_ht,dl_doc,F442,dl_rate,INDEX(p_rates,6))))</f>
        <v>0.0</v>
      </c>
      <c r="AQ442" s="62">
        <f>ROUND(AK442*N(INDEX(p_rates,1)),2)+ROUND(AL442*N(INDEX(p_rates,2)),2)+ROUND(AM442*N(INDEX(p_rates,3)),2)+ROUND(AN442*N(INDEX(p_rates,4)),2)+ROUND(AO442*N(INDEX(p_rates,5)),2)+ROUND(AP442*N(INDEX(p_rates,6)),2)</f>
        <v>0.0</v>
      </c>
      <c r="AR442" s="62" t="str">
        <f>IF(OR(L442="",AA442&lt;&gt;"Facture"),"",IFERROR(IF(INDEX(fa_type,MATCH(L442,fa_num,0))="Facture d'acompte",MATCH(L442,fa_num,0),""),""))</f>
        <v/>
      </c>
      <c r="AS442" s="62" t="str">
        <f>IF(W442="","",IF(W442&lt;=0,"",IF(p_asof-P442&lt;=0,"Non échu",IF(p_asof-P442&lt;=30,"1-30 j",IF(p_asof-P442&lt;=60,"31-60 j",IF(p_asof-P442&lt;=90,"61-90 j","Plus de 90 j"))))))</f>
        <v/>
      </c>
      <c r="AT442" s="62" t="str">
        <f>IF(AS442="","",p_asof-P442)</f>
        <v/>
      </c>
      <c r="AU442" s="62" t="str">
        <f>IF(AT442="","",COUNTIF($AT$6:$AT$805,"&gt;"&amp;AT442)+COUNTIF($AT$6:AT442,AT442))</f>
        <v/>
      </c>
    </row>
    <row r="443">
      <c r="A443" s="59" t="str">
        <f>IF(AE443="","",AB443&amp;"-"&amp;AD443&amp;"-"&amp;RIGHT("000"&amp;AE443,4))</f>
        <v/>
      </c>
      <c r="B443" s="60" t="n"/>
      <c r="C443" s="61" t="n"/>
      <c r="D443" s="60" t="n"/>
      <c r="E443" s="62" t="str">
        <f>IF(D443="","",IFERROR(INDEX(cli_name,MATCH(D443,cli_code,0))&amp;"","Client inconnu"))</f>
        <v/>
      </c>
      <c r="F443" s="60" t="n"/>
      <c r="G443" s="63" t="n"/>
      <c r="H443" s="61" t="n"/>
      <c r="I443" s="63" t="n"/>
      <c r="J443" s="60" t="n"/>
      <c r="K443" s="61" t="n"/>
      <c r="L443" s="60" t="n"/>
      <c r="M443" s="60" t="n"/>
      <c r="N443" s="60" t="n"/>
      <c r="O443" s="61" t="n"/>
      <c r="P443" s="64" t="str">
        <f>IF(A443="","",IF(AA443="Avoir",AC443,IF(ISNUMBER(K443),K443,AC443+IF(D443="",N(p_delay),IFERROR(IF(ISNUMBER(INDEX(cli_delay,MATCH(D443,cli_code,0))),INDEX(cli_delay,MATCH(D443,cli_code,0)),N(p_delay)),N(p_delay))))))</f>
        <v/>
      </c>
      <c r="Q443" s="65" t="str">
        <f>IF(A443="","",IF(AA443="Avoir",-1,1)*ROUND(AJ443-IF(AR443="",0,INDEX(fa_htb,AR443)),2))</f>
        <v/>
      </c>
      <c r="R443" s="65" t="str">
        <f>IF(A443="","",IF(AA443="Avoir",-1,1)*ROUND(AQ443-IF(AR443="",0,INDEX(fa_tvab,AR443)),2))</f>
        <v/>
      </c>
      <c r="S443" s="65" t="str">
        <f>IF(A443="","",Q443+R443)</f>
        <v/>
      </c>
      <c r="T443" s="65" t="str">
        <f>IF(AR443="","",INDEX(fa_htb,AR443)+INDEX(fa_tvab,AR443))</f>
        <v/>
      </c>
      <c r="U443" s="65" t="str">
        <f>IF(A443="","",SUMIF(pa_inv,A443,pa_amt))</f>
        <v/>
      </c>
      <c r="V443" s="65" t="str">
        <f>IF(OR(A443="",AA443="Avoir"),"",-SUMIFS(fa_ttc,fa_avof,A443,fa_type,"Avoir"))</f>
        <v/>
      </c>
      <c r="W443" s="65" t="str">
        <f>IF(OR(A443="",AA443="Avoir"),"",ROUND(S443-U443-V443,2))</f>
        <v/>
      </c>
      <c r="X443" s="66" t="str">
        <f>IF(W443="","",IF(AND(W443&gt;0,p_asof&gt;P443),p_asof-P443,""))</f>
        <v/>
      </c>
      <c r="Y443" s="59" t="str">
        <f>IF(A443="","",IF(AA443="Avoir","Avoir",IF(W443&lt;0,"Trop-perçu",IF(W443=0,"Soldée",IF(p_asof&gt;P443,"En retard",IF(U443+V443&gt;0,"Partielle","À échoir"))))))</f>
        <v/>
      </c>
      <c r="Z443" s="59" t="str">
        <f>IF(NOT(COUNTA(B443:D443,F443:O443)&gt;0),"",IF(C443="","Date manquante",IF(NOT(ISNUMBER(C443)),"Date invalide",IF(D443="","Client manquant",IF(ISNA(MATCH(D443,cli_code,0)),"Client inconnu",IF(AC443&lt;SUMPRODUCT(MAX(($AB$6:AB442=AB443)*$AC$6:AC442)),"Date antérieure à la facture précédente",IF(AND(F443&lt;&gt;"",ISNA(MATCH(F443,dv_num,0))),"Devis inconnu",IF(AND(F443&lt;&gt;"",IFERROR(INDEX(dv_client,MATCH(F443,dv_num,0)),D443)&lt;&gt;D443),"Client différent de celui du devis",IF(AG443="","Aucune ligne : saisissez des lignes ou un devis",IF(AND(AI443&lt;&gt;"",COUNTIF($AI$6:AI443,AI443)&gt;1),"Devis déjà repris par une autre facture",IF(AND(AA443="Avoir",M443=""),"Avoir : indiquez la facture d'origine",IF(AND(AA443="Avoir",ISNA(MATCH(M443,fa_num,0))),"Facture d'origine inconnue",IF(AND(AA443&lt;&gt;"Avoir",M443&lt;&gt;""),"« Avoir sur facture » : réservé aux avoirs",IF(AND(L443&lt;&gt;"",AA443&lt;&gt;"Facture"),"Acompte à déduire : réservé aux factures",IF(AND(L443&lt;&gt;"",ISNA(MATCH(L443,fa_num,0))),"Facture d'acompte inconnue",IF(AND(L443&lt;&gt;"",IFERROR(INDEX(fa_type,MATCH(L443,fa_num,0)),"")&lt;&gt;"Facture d'acompte"),"Le n° à déduire n'est pas une facture d'acompte",IF(AND(L443&lt;&gt;"",COUNTIF($L$6:L443,L443)&gt;1),"Acompte déjà déduit sur une autre facture",IF(AND(L443&lt;&gt;"",IFERROR(INDEX(fa_client,MATCH(L443,fa_num,0)),D443)&lt;&gt;D443),"Acompte d'un autre client",IF(AND(AR443&lt;&gt;"",N(Q443)&lt;0),"Acompte supérieur au total de la facture",IF(IF(AG443="Facture",COUNTIFS(fl_doc,A443,fl_check,"&lt;&gt;OK"),IF(AG443="Devis",COUNTIFS(dl_doc,F443,dl_check,"&lt;&gt;OK"),0))&gt;0,"Ligne(s) à corriger",IF(AND(W443&lt;&gt;"",N(W443)&lt;0),"Trop-perçu : vérifiez paiements et avoirs","OK")))))))))))))))))))))</f>
        <v/>
      </c>
      <c r="AA443" s="62" t="str">
        <f>IF(COUNTA(B443:D443,F443:O443)&gt;0,IF(B443="","Facture",B443),"")</f>
        <v/>
      </c>
      <c r="AB443" s="62" t="str">
        <f>IF(AA443="","",IF(AA443="Avoir",p_pav,IF(AA443="Facture d'acompte",p_pac,p_pfa)))</f>
        <v/>
      </c>
      <c r="AC443" s="62">
        <f>IF(ISNUMBER(C443),C443,0)</f>
        <v>0.0</v>
      </c>
      <c r="AD443" s="62" t="str">
        <f>IF(OR(AA443="",AC443=0),"",YEAR(AC443))</f>
        <v/>
      </c>
      <c r="AE443" s="62" t="str">
        <f>IF(AD443="","",COUNTIFS($AB$6:AB443,AB443,$AD$6:AD443,AD443))</f>
        <v/>
      </c>
      <c r="AF443" s="62">
        <f>IF(A443="",0,COUNTIF(fl_doc,A443))</f>
        <v>0.0</v>
      </c>
      <c r="AG443" s="62" t="str">
        <f>IF(A443="","",IF(AF443&gt;0,"Facture",IF(AND(F443&lt;&gt;"",AA443="Facture",ISNUMBER(MATCH(F443,dv_num,0))),"Devis","")))</f>
        <v/>
      </c>
      <c r="AH443" s="62" t="str">
        <f>IF(AND(A443&lt;&gt;"",F443&lt;&gt;"",AA443&lt;&gt;"Avoir"),F443,"")</f>
        <v/>
      </c>
      <c r="AI443" s="62" t="str">
        <f>IF(AG443="Devis",F443,"")</f>
        <v/>
      </c>
      <c r="AJ443" s="62">
        <f>IF(AG443="Facture",SUMIF(fl_doc,A443,fl_ht),IF(AG443="Devis",SUMIF(dl_doc,F443,dl_ht),0))</f>
        <v>0.0</v>
      </c>
      <c r="AK443" s="62">
        <f>IF(OR(AG443="",INDEX(p_rates,1)=""),0,IF(AG443="Facture",SUMIFS(fl_ht,fl_doc,A443,fl_rate,INDEX(p_rates,1)),SUMIFS(dl_ht,dl_doc,F443,dl_rate,INDEX(p_rates,1))))</f>
        <v>0.0</v>
      </c>
      <c r="AL443" s="62">
        <f>IF(OR(AG443="",INDEX(p_rates,2)=""),0,IF(AG443="Facture",SUMIFS(fl_ht,fl_doc,A443,fl_rate,INDEX(p_rates,2)),SUMIFS(dl_ht,dl_doc,F443,dl_rate,INDEX(p_rates,2))))</f>
        <v>0.0</v>
      </c>
      <c r="AM443" s="62">
        <f>IF(OR(AG443="",INDEX(p_rates,3)=""),0,IF(AG443="Facture",SUMIFS(fl_ht,fl_doc,A443,fl_rate,INDEX(p_rates,3)),SUMIFS(dl_ht,dl_doc,F443,dl_rate,INDEX(p_rates,3))))</f>
        <v>0.0</v>
      </c>
      <c r="AN443" s="62">
        <f>IF(OR(AG443="",INDEX(p_rates,4)=""),0,IF(AG443="Facture",SUMIFS(fl_ht,fl_doc,A443,fl_rate,INDEX(p_rates,4)),SUMIFS(dl_ht,dl_doc,F443,dl_rate,INDEX(p_rates,4))))</f>
        <v>0.0</v>
      </c>
      <c r="AO443" s="62">
        <f>IF(OR(AG443="",INDEX(p_rates,5)=""),0,IF(AG443="Facture",SUMIFS(fl_ht,fl_doc,A443,fl_rate,INDEX(p_rates,5)),SUMIFS(dl_ht,dl_doc,F443,dl_rate,INDEX(p_rates,5))))</f>
        <v>0.0</v>
      </c>
      <c r="AP443" s="62">
        <f>IF(OR(AG443="",INDEX(p_rates,6)=""),0,IF(AG443="Facture",SUMIFS(fl_ht,fl_doc,A443,fl_rate,INDEX(p_rates,6)),SUMIFS(dl_ht,dl_doc,F443,dl_rate,INDEX(p_rates,6))))</f>
        <v>0.0</v>
      </c>
      <c r="AQ443" s="62">
        <f>ROUND(AK443*N(INDEX(p_rates,1)),2)+ROUND(AL443*N(INDEX(p_rates,2)),2)+ROUND(AM443*N(INDEX(p_rates,3)),2)+ROUND(AN443*N(INDEX(p_rates,4)),2)+ROUND(AO443*N(INDEX(p_rates,5)),2)+ROUND(AP443*N(INDEX(p_rates,6)),2)</f>
        <v>0.0</v>
      </c>
      <c r="AR443" s="62" t="str">
        <f>IF(OR(L443="",AA443&lt;&gt;"Facture"),"",IFERROR(IF(INDEX(fa_type,MATCH(L443,fa_num,0))="Facture d'acompte",MATCH(L443,fa_num,0),""),""))</f>
        <v/>
      </c>
      <c r="AS443" s="62" t="str">
        <f>IF(W443="","",IF(W443&lt;=0,"",IF(p_asof-P443&lt;=0,"Non échu",IF(p_asof-P443&lt;=30,"1-30 j",IF(p_asof-P443&lt;=60,"31-60 j",IF(p_asof-P443&lt;=90,"61-90 j","Plus de 90 j"))))))</f>
        <v/>
      </c>
      <c r="AT443" s="62" t="str">
        <f>IF(AS443="","",p_asof-P443)</f>
        <v/>
      </c>
      <c r="AU443" s="62" t="str">
        <f>IF(AT443="","",COUNTIF($AT$6:$AT$805,"&gt;"&amp;AT443)+COUNTIF($AT$6:AT443,AT443))</f>
        <v/>
      </c>
    </row>
    <row r="444">
      <c r="A444" s="59" t="str">
        <f>IF(AE444="","",AB444&amp;"-"&amp;AD444&amp;"-"&amp;RIGHT("000"&amp;AE444,4))</f>
        <v/>
      </c>
      <c r="B444" s="60" t="n"/>
      <c r="C444" s="61" t="n"/>
      <c r="D444" s="60" t="n"/>
      <c r="E444" s="62" t="str">
        <f>IF(D444="","",IFERROR(INDEX(cli_name,MATCH(D444,cli_code,0))&amp;"","Client inconnu"))</f>
        <v/>
      </c>
      <c r="F444" s="60" t="n"/>
      <c r="G444" s="63" t="n"/>
      <c r="H444" s="61" t="n"/>
      <c r="I444" s="63" t="n"/>
      <c r="J444" s="60" t="n"/>
      <c r="K444" s="61" t="n"/>
      <c r="L444" s="60" t="n"/>
      <c r="M444" s="60" t="n"/>
      <c r="N444" s="60" t="n"/>
      <c r="O444" s="61" t="n"/>
      <c r="P444" s="64" t="str">
        <f>IF(A444="","",IF(AA444="Avoir",AC444,IF(ISNUMBER(K444),K444,AC444+IF(D444="",N(p_delay),IFERROR(IF(ISNUMBER(INDEX(cli_delay,MATCH(D444,cli_code,0))),INDEX(cli_delay,MATCH(D444,cli_code,0)),N(p_delay)),N(p_delay))))))</f>
        <v/>
      </c>
      <c r="Q444" s="65" t="str">
        <f>IF(A444="","",IF(AA444="Avoir",-1,1)*ROUND(AJ444-IF(AR444="",0,INDEX(fa_htb,AR444)),2))</f>
        <v/>
      </c>
      <c r="R444" s="65" t="str">
        <f>IF(A444="","",IF(AA444="Avoir",-1,1)*ROUND(AQ444-IF(AR444="",0,INDEX(fa_tvab,AR444)),2))</f>
        <v/>
      </c>
      <c r="S444" s="65" t="str">
        <f>IF(A444="","",Q444+R444)</f>
        <v/>
      </c>
      <c r="T444" s="65" t="str">
        <f>IF(AR444="","",INDEX(fa_htb,AR444)+INDEX(fa_tvab,AR444))</f>
        <v/>
      </c>
      <c r="U444" s="65" t="str">
        <f>IF(A444="","",SUMIF(pa_inv,A444,pa_amt))</f>
        <v/>
      </c>
      <c r="V444" s="65" t="str">
        <f>IF(OR(A444="",AA444="Avoir"),"",-SUMIFS(fa_ttc,fa_avof,A444,fa_type,"Avoir"))</f>
        <v/>
      </c>
      <c r="W444" s="65" t="str">
        <f>IF(OR(A444="",AA444="Avoir"),"",ROUND(S444-U444-V444,2))</f>
        <v/>
      </c>
      <c r="X444" s="66" t="str">
        <f>IF(W444="","",IF(AND(W444&gt;0,p_asof&gt;P444),p_asof-P444,""))</f>
        <v/>
      </c>
      <c r="Y444" s="59" t="str">
        <f>IF(A444="","",IF(AA444="Avoir","Avoir",IF(W444&lt;0,"Trop-perçu",IF(W444=0,"Soldée",IF(p_asof&gt;P444,"En retard",IF(U444+V444&gt;0,"Partielle","À échoir"))))))</f>
        <v/>
      </c>
      <c r="Z444" s="59" t="str">
        <f>IF(NOT(COUNTA(B444:D444,F444:O444)&gt;0),"",IF(C444="","Date manquante",IF(NOT(ISNUMBER(C444)),"Date invalide",IF(D444="","Client manquant",IF(ISNA(MATCH(D444,cli_code,0)),"Client inconnu",IF(AC444&lt;SUMPRODUCT(MAX(($AB$6:AB443=AB444)*$AC$6:AC443)),"Date antérieure à la facture précédente",IF(AND(F444&lt;&gt;"",ISNA(MATCH(F444,dv_num,0))),"Devis inconnu",IF(AND(F444&lt;&gt;"",IFERROR(INDEX(dv_client,MATCH(F444,dv_num,0)),D444)&lt;&gt;D444),"Client différent de celui du devis",IF(AG444="","Aucune ligne : saisissez des lignes ou un devis",IF(AND(AI444&lt;&gt;"",COUNTIF($AI$6:AI444,AI444)&gt;1),"Devis déjà repris par une autre facture",IF(AND(AA444="Avoir",M444=""),"Avoir : indiquez la facture d'origine",IF(AND(AA444="Avoir",ISNA(MATCH(M444,fa_num,0))),"Facture d'origine inconnue",IF(AND(AA444&lt;&gt;"Avoir",M444&lt;&gt;""),"« Avoir sur facture » : réservé aux avoirs",IF(AND(L444&lt;&gt;"",AA444&lt;&gt;"Facture"),"Acompte à déduire : réservé aux factures",IF(AND(L444&lt;&gt;"",ISNA(MATCH(L444,fa_num,0))),"Facture d'acompte inconnue",IF(AND(L444&lt;&gt;"",IFERROR(INDEX(fa_type,MATCH(L444,fa_num,0)),"")&lt;&gt;"Facture d'acompte"),"Le n° à déduire n'est pas une facture d'acompte",IF(AND(L444&lt;&gt;"",COUNTIF($L$6:L444,L444)&gt;1),"Acompte déjà déduit sur une autre facture",IF(AND(L444&lt;&gt;"",IFERROR(INDEX(fa_client,MATCH(L444,fa_num,0)),D444)&lt;&gt;D444),"Acompte d'un autre client",IF(AND(AR444&lt;&gt;"",N(Q444)&lt;0),"Acompte supérieur au total de la facture",IF(IF(AG444="Facture",COUNTIFS(fl_doc,A444,fl_check,"&lt;&gt;OK"),IF(AG444="Devis",COUNTIFS(dl_doc,F444,dl_check,"&lt;&gt;OK"),0))&gt;0,"Ligne(s) à corriger",IF(AND(W444&lt;&gt;"",N(W444)&lt;0),"Trop-perçu : vérifiez paiements et avoirs","OK")))))))))))))))))))))</f>
        <v/>
      </c>
      <c r="AA444" s="62" t="str">
        <f>IF(COUNTA(B444:D444,F444:O444)&gt;0,IF(B444="","Facture",B444),"")</f>
        <v/>
      </c>
      <c r="AB444" s="62" t="str">
        <f>IF(AA444="","",IF(AA444="Avoir",p_pav,IF(AA444="Facture d'acompte",p_pac,p_pfa)))</f>
        <v/>
      </c>
      <c r="AC444" s="62">
        <f>IF(ISNUMBER(C444),C444,0)</f>
        <v>0.0</v>
      </c>
      <c r="AD444" s="62" t="str">
        <f>IF(OR(AA444="",AC444=0),"",YEAR(AC444))</f>
        <v/>
      </c>
      <c r="AE444" s="62" t="str">
        <f>IF(AD444="","",COUNTIFS($AB$6:AB444,AB444,$AD$6:AD444,AD444))</f>
        <v/>
      </c>
      <c r="AF444" s="62">
        <f>IF(A444="",0,COUNTIF(fl_doc,A444))</f>
        <v>0.0</v>
      </c>
      <c r="AG444" s="62" t="str">
        <f>IF(A444="","",IF(AF444&gt;0,"Facture",IF(AND(F444&lt;&gt;"",AA444="Facture",ISNUMBER(MATCH(F444,dv_num,0))),"Devis","")))</f>
        <v/>
      </c>
      <c r="AH444" s="62" t="str">
        <f>IF(AND(A444&lt;&gt;"",F444&lt;&gt;"",AA444&lt;&gt;"Avoir"),F444,"")</f>
        <v/>
      </c>
      <c r="AI444" s="62" t="str">
        <f>IF(AG444="Devis",F444,"")</f>
        <v/>
      </c>
      <c r="AJ444" s="62">
        <f>IF(AG444="Facture",SUMIF(fl_doc,A444,fl_ht),IF(AG444="Devis",SUMIF(dl_doc,F444,dl_ht),0))</f>
        <v>0.0</v>
      </c>
      <c r="AK444" s="62">
        <f>IF(OR(AG444="",INDEX(p_rates,1)=""),0,IF(AG444="Facture",SUMIFS(fl_ht,fl_doc,A444,fl_rate,INDEX(p_rates,1)),SUMIFS(dl_ht,dl_doc,F444,dl_rate,INDEX(p_rates,1))))</f>
        <v>0.0</v>
      </c>
      <c r="AL444" s="62">
        <f>IF(OR(AG444="",INDEX(p_rates,2)=""),0,IF(AG444="Facture",SUMIFS(fl_ht,fl_doc,A444,fl_rate,INDEX(p_rates,2)),SUMIFS(dl_ht,dl_doc,F444,dl_rate,INDEX(p_rates,2))))</f>
        <v>0.0</v>
      </c>
      <c r="AM444" s="62">
        <f>IF(OR(AG444="",INDEX(p_rates,3)=""),0,IF(AG444="Facture",SUMIFS(fl_ht,fl_doc,A444,fl_rate,INDEX(p_rates,3)),SUMIFS(dl_ht,dl_doc,F444,dl_rate,INDEX(p_rates,3))))</f>
        <v>0.0</v>
      </c>
      <c r="AN444" s="62">
        <f>IF(OR(AG444="",INDEX(p_rates,4)=""),0,IF(AG444="Facture",SUMIFS(fl_ht,fl_doc,A444,fl_rate,INDEX(p_rates,4)),SUMIFS(dl_ht,dl_doc,F444,dl_rate,INDEX(p_rates,4))))</f>
        <v>0.0</v>
      </c>
      <c r="AO444" s="62">
        <f>IF(OR(AG444="",INDEX(p_rates,5)=""),0,IF(AG444="Facture",SUMIFS(fl_ht,fl_doc,A444,fl_rate,INDEX(p_rates,5)),SUMIFS(dl_ht,dl_doc,F444,dl_rate,INDEX(p_rates,5))))</f>
        <v>0.0</v>
      </c>
      <c r="AP444" s="62">
        <f>IF(OR(AG444="",INDEX(p_rates,6)=""),0,IF(AG444="Facture",SUMIFS(fl_ht,fl_doc,A444,fl_rate,INDEX(p_rates,6)),SUMIFS(dl_ht,dl_doc,F444,dl_rate,INDEX(p_rates,6))))</f>
        <v>0.0</v>
      </c>
      <c r="AQ444" s="62">
        <f>ROUND(AK444*N(INDEX(p_rates,1)),2)+ROUND(AL444*N(INDEX(p_rates,2)),2)+ROUND(AM444*N(INDEX(p_rates,3)),2)+ROUND(AN444*N(INDEX(p_rates,4)),2)+ROUND(AO444*N(INDEX(p_rates,5)),2)+ROUND(AP444*N(INDEX(p_rates,6)),2)</f>
        <v>0.0</v>
      </c>
      <c r="AR444" s="62" t="str">
        <f>IF(OR(L444="",AA444&lt;&gt;"Facture"),"",IFERROR(IF(INDEX(fa_type,MATCH(L444,fa_num,0))="Facture d'acompte",MATCH(L444,fa_num,0),""),""))</f>
        <v/>
      </c>
      <c r="AS444" s="62" t="str">
        <f>IF(W444="","",IF(W444&lt;=0,"",IF(p_asof-P444&lt;=0,"Non échu",IF(p_asof-P444&lt;=30,"1-30 j",IF(p_asof-P444&lt;=60,"31-60 j",IF(p_asof-P444&lt;=90,"61-90 j","Plus de 90 j"))))))</f>
        <v/>
      </c>
      <c r="AT444" s="62" t="str">
        <f>IF(AS444="","",p_asof-P444)</f>
        <v/>
      </c>
      <c r="AU444" s="62" t="str">
        <f>IF(AT444="","",COUNTIF($AT$6:$AT$805,"&gt;"&amp;AT444)+COUNTIF($AT$6:AT444,AT444))</f>
        <v/>
      </c>
    </row>
    <row r="445">
      <c r="A445" s="59" t="str">
        <f>IF(AE445="","",AB445&amp;"-"&amp;AD445&amp;"-"&amp;RIGHT("000"&amp;AE445,4))</f>
        <v/>
      </c>
      <c r="B445" s="60" t="n"/>
      <c r="C445" s="61" t="n"/>
      <c r="D445" s="60" t="n"/>
      <c r="E445" s="62" t="str">
        <f>IF(D445="","",IFERROR(INDEX(cli_name,MATCH(D445,cli_code,0))&amp;"","Client inconnu"))</f>
        <v/>
      </c>
      <c r="F445" s="60" t="n"/>
      <c r="G445" s="63" t="n"/>
      <c r="H445" s="61" t="n"/>
      <c r="I445" s="63" t="n"/>
      <c r="J445" s="60" t="n"/>
      <c r="K445" s="61" t="n"/>
      <c r="L445" s="60" t="n"/>
      <c r="M445" s="60" t="n"/>
      <c r="N445" s="60" t="n"/>
      <c r="O445" s="61" t="n"/>
      <c r="P445" s="64" t="str">
        <f>IF(A445="","",IF(AA445="Avoir",AC445,IF(ISNUMBER(K445),K445,AC445+IF(D445="",N(p_delay),IFERROR(IF(ISNUMBER(INDEX(cli_delay,MATCH(D445,cli_code,0))),INDEX(cli_delay,MATCH(D445,cli_code,0)),N(p_delay)),N(p_delay))))))</f>
        <v/>
      </c>
      <c r="Q445" s="65" t="str">
        <f>IF(A445="","",IF(AA445="Avoir",-1,1)*ROUND(AJ445-IF(AR445="",0,INDEX(fa_htb,AR445)),2))</f>
        <v/>
      </c>
      <c r="R445" s="65" t="str">
        <f>IF(A445="","",IF(AA445="Avoir",-1,1)*ROUND(AQ445-IF(AR445="",0,INDEX(fa_tvab,AR445)),2))</f>
        <v/>
      </c>
      <c r="S445" s="65" t="str">
        <f>IF(A445="","",Q445+R445)</f>
        <v/>
      </c>
      <c r="T445" s="65" t="str">
        <f>IF(AR445="","",INDEX(fa_htb,AR445)+INDEX(fa_tvab,AR445))</f>
        <v/>
      </c>
      <c r="U445" s="65" t="str">
        <f>IF(A445="","",SUMIF(pa_inv,A445,pa_amt))</f>
        <v/>
      </c>
      <c r="V445" s="65" t="str">
        <f>IF(OR(A445="",AA445="Avoir"),"",-SUMIFS(fa_ttc,fa_avof,A445,fa_type,"Avoir"))</f>
        <v/>
      </c>
      <c r="W445" s="65" t="str">
        <f>IF(OR(A445="",AA445="Avoir"),"",ROUND(S445-U445-V445,2))</f>
        <v/>
      </c>
      <c r="X445" s="66" t="str">
        <f>IF(W445="","",IF(AND(W445&gt;0,p_asof&gt;P445),p_asof-P445,""))</f>
        <v/>
      </c>
      <c r="Y445" s="59" t="str">
        <f>IF(A445="","",IF(AA445="Avoir","Avoir",IF(W445&lt;0,"Trop-perçu",IF(W445=0,"Soldée",IF(p_asof&gt;P445,"En retard",IF(U445+V445&gt;0,"Partielle","À échoir"))))))</f>
        <v/>
      </c>
      <c r="Z445" s="59" t="str">
        <f>IF(NOT(COUNTA(B445:D445,F445:O445)&gt;0),"",IF(C445="","Date manquante",IF(NOT(ISNUMBER(C445)),"Date invalide",IF(D445="","Client manquant",IF(ISNA(MATCH(D445,cli_code,0)),"Client inconnu",IF(AC445&lt;SUMPRODUCT(MAX(($AB$6:AB444=AB445)*$AC$6:AC444)),"Date antérieure à la facture précédente",IF(AND(F445&lt;&gt;"",ISNA(MATCH(F445,dv_num,0))),"Devis inconnu",IF(AND(F445&lt;&gt;"",IFERROR(INDEX(dv_client,MATCH(F445,dv_num,0)),D445)&lt;&gt;D445),"Client différent de celui du devis",IF(AG445="","Aucune ligne : saisissez des lignes ou un devis",IF(AND(AI445&lt;&gt;"",COUNTIF($AI$6:AI445,AI445)&gt;1),"Devis déjà repris par une autre facture",IF(AND(AA445="Avoir",M445=""),"Avoir : indiquez la facture d'origine",IF(AND(AA445="Avoir",ISNA(MATCH(M445,fa_num,0))),"Facture d'origine inconnue",IF(AND(AA445&lt;&gt;"Avoir",M445&lt;&gt;""),"« Avoir sur facture » : réservé aux avoirs",IF(AND(L445&lt;&gt;"",AA445&lt;&gt;"Facture"),"Acompte à déduire : réservé aux factures",IF(AND(L445&lt;&gt;"",ISNA(MATCH(L445,fa_num,0))),"Facture d'acompte inconnue",IF(AND(L445&lt;&gt;"",IFERROR(INDEX(fa_type,MATCH(L445,fa_num,0)),"")&lt;&gt;"Facture d'acompte"),"Le n° à déduire n'est pas une facture d'acompte",IF(AND(L445&lt;&gt;"",COUNTIF($L$6:L445,L445)&gt;1),"Acompte déjà déduit sur une autre facture",IF(AND(L445&lt;&gt;"",IFERROR(INDEX(fa_client,MATCH(L445,fa_num,0)),D445)&lt;&gt;D445),"Acompte d'un autre client",IF(AND(AR445&lt;&gt;"",N(Q445)&lt;0),"Acompte supérieur au total de la facture",IF(IF(AG445="Facture",COUNTIFS(fl_doc,A445,fl_check,"&lt;&gt;OK"),IF(AG445="Devis",COUNTIFS(dl_doc,F445,dl_check,"&lt;&gt;OK"),0))&gt;0,"Ligne(s) à corriger",IF(AND(W445&lt;&gt;"",N(W445)&lt;0),"Trop-perçu : vérifiez paiements et avoirs","OK")))))))))))))))))))))</f>
        <v/>
      </c>
      <c r="AA445" s="62" t="str">
        <f>IF(COUNTA(B445:D445,F445:O445)&gt;0,IF(B445="","Facture",B445),"")</f>
        <v/>
      </c>
      <c r="AB445" s="62" t="str">
        <f>IF(AA445="","",IF(AA445="Avoir",p_pav,IF(AA445="Facture d'acompte",p_pac,p_pfa)))</f>
        <v/>
      </c>
      <c r="AC445" s="62">
        <f>IF(ISNUMBER(C445),C445,0)</f>
        <v>0.0</v>
      </c>
      <c r="AD445" s="62" t="str">
        <f>IF(OR(AA445="",AC445=0),"",YEAR(AC445))</f>
        <v/>
      </c>
      <c r="AE445" s="62" t="str">
        <f>IF(AD445="","",COUNTIFS($AB$6:AB445,AB445,$AD$6:AD445,AD445))</f>
        <v/>
      </c>
      <c r="AF445" s="62">
        <f>IF(A445="",0,COUNTIF(fl_doc,A445))</f>
        <v>0.0</v>
      </c>
      <c r="AG445" s="62" t="str">
        <f>IF(A445="","",IF(AF445&gt;0,"Facture",IF(AND(F445&lt;&gt;"",AA445="Facture",ISNUMBER(MATCH(F445,dv_num,0))),"Devis","")))</f>
        <v/>
      </c>
      <c r="AH445" s="62" t="str">
        <f>IF(AND(A445&lt;&gt;"",F445&lt;&gt;"",AA445&lt;&gt;"Avoir"),F445,"")</f>
        <v/>
      </c>
      <c r="AI445" s="62" t="str">
        <f>IF(AG445="Devis",F445,"")</f>
        <v/>
      </c>
      <c r="AJ445" s="62">
        <f>IF(AG445="Facture",SUMIF(fl_doc,A445,fl_ht),IF(AG445="Devis",SUMIF(dl_doc,F445,dl_ht),0))</f>
        <v>0.0</v>
      </c>
      <c r="AK445" s="62">
        <f>IF(OR(AG445="",INDEX(p_rates,1)=""),0,IF(AG445="Facture",SUMIFS(fl_ht,fl_doc,A445,fl_rate,INDEX(p_rates,1)),SUMIFS(dl_ht,dl_doc,F445,dl_rate,INDEX(p_rates,1))))</f>
        <v>0.0</v>
      </c>
      <c r="AL445" s="62">
        <f>IF(OR(AG445="",INDEX(p_rates,2)=""),0,IF(AG445="Facture",SUMIFS(fl_ht,fl_doc,A445,fl_rate,INDEX(p_rates,2)),SUMIFS(dl_ht,dl_doc,F445,dl_rate,INDEX(p_rates,2))))</f>
        <v>0.0</v>
      </c>
      <c r="AM445" s="62">
        <f>IF(OR(AG445="",INDEX(p_rates,3)=""),0,IF(AG445="Facture",SUMIFS(fl_ht,fl_doc,A445,fl_rate,INDEX(p_rates,3)),SUMIFS(dl_ht,dl_doc,F445,dl_rate,INDEX(p_rates,3))))</f>
        <v>0.0</v>
      </c>
      <c r="AN445" s="62">
        <f>IF(OR(AG445="",INDEX(p_rates,4)=""),0,IF(AG445="Facture",SUMIFS(fl_ht,fl_doc,A445,fl_rate,INDEX(p_rates,4)),SUMIFS(dl_ht,dl_doc,F445,dl_rate,INDEX(p_rates,4))))</f>
        <v>0.0</v>
      </c>
      <c r="AO445" s="62">
        <f>IF(OR(AG445="",INDEX(p_rates,5)=""),0,IF(AG445="Facture",SUMIFS(fl_ht,fl_doc,A445,fl_rate,INDEX(p_rates,5)),SUMIFS(dl_ht,dl_doc,F445,dl_rate,INDEX(p_rates,5))))</f>
        <v>0.0</v>
      </c>
      <c r="AP445" s="62">
        <f>IF(OR(AG445="",INDEX(p_rates,6)=""),0,IF(AG445="Facture",SUMIFS(fl_ht,fl_doc,A445,fl_rate,INDEX(p_rates,6)),SUMIFS(dl_ht,dl_doc,F445,dl_rate,INDEX(p_rates,6))))</f>
        <v>0.0</v>
      </c>
      <c r="AQ445" s="62">
        <f>ROUND(AK445*N(INDEX(p_rates,1)),2)+ROUND(AL445*N(INDEX(p_rates,2)),2)+ROUND(AM445*N(INDEX(p_rates,3)),2)+ROUND(AN445*N(INDEX(p_rates,4)),2)+ROUND(AO445*N(INDEX(p_rates,5)),2)+ROUND(AP445*N(INDEX(p_rates,6)),2)</f>
        <v>0.0</v>
      </c>
      <c r="AR445" s="62" t="str">
        <f>IF(OR(L445="",AA445&lt;&gt;"Facture"),"",IFERROR(IF(INDEX(fa_type,MATCH(L445,fa_num,0))="Facture d'acompte",MATCH(L445,fa_num,0),""),""))</f>
        <v/>
      </c>
      <c r="AS445" s="62" t="str">
        <f>IF(W445="","",IF(W445&lt;=0,"",IF(p_asof-P445&lt;=0,"Non échu",IF(p_asof-P445&lt;=30,"1-30 j",IF(p_asof-P445&lt;=60,"31-60 j",IF(p_asof-P445&lt;=90,"61-90 j","Plus de 90 j"))))))</f>
        <v/>
      </c>
      <c r="AT445" s="62" t="str">
        <f>IF(AS445="","",p_asof-P445)</f>
        <v/>
      </c>
      <c r="AU445" s="62" t="str">
        <f>IF(AT445="","",COUNTIF($AT$6:$AT$805,"&gt;"&amp;AT445)+COUNTIF($AT$6:AT445,AT445))</f>
        <v/>
      </c>
    </row>
    <row r="446">
      <c r="A446" s="59" t="str">
        <f>IF(AE446="","",AB446&amp;"-"&amp;AD446&amp;"-"&amp;RIGHT("000"&amp;AE446,4))</f>
        <v/>
      </c>
      <c r="B446" s="60" t="n"/>
      <c r="C446" s="61" t="n"/>
      <c r="D446" s="60" t="n"/>
      <c r="E446" s="62" t="str">
        <f>IF(D446="","",IFERROR(INDEX(cli_name,MATCH(D446,cli_code,0))&amp;"","Client inconnu"))</f>
        <v/>
      </c>
      <c r="F446" s="60" t="n"/>
      <c r="G446" s="63" t="n"/>
      <c r="H446" s="61" t="n"/>
      <c r="I446" s="63" t="n"/>
      <c r="J446" s="60" t="n"/>
      <c r="K446" s="61" t="n"/>
      <c r="L446" s="60" t="n"/>
      <c r="M446" s="60" t="n"/>
      <c r="N446" s="60" t="n"/>
      <c r="O446" s="61" t="n"/>
      <c r="P446" s="64" t="str">
        <f>IF(A446="","",IF(AA446="Avoir",AC446,IF(ISNUMBER(K446),K446,AC446+IF(D446="",N(p_delay),IFERROR(IF(ISNUMBER(INDEX(cli_delay,MATCH(D446,cli_code,0))),INDEX(cli_delay,MATCH(D446,cli_code,0)),N(p_delay)),N(p_delay))))))</f>
        <v/>
      </c>
      <c r="Q446" s="65" t="str">
        <f>IF(A446="","",IF(AA446="Avoir",-1,1)*ROUND(AJ446-IF(AR446="",0,INDEX(fa_htb,AR446)),2))</f>
        <v/>
      </c>
      <c r="R446" s="65" t="str">
        <f>IF(A446="","",IF(AA446="Avoir",-1,1)*ROUND(AQ446-IF(AR446="",0,INDEX(fa_tvab,AR446)),2))</f>
        <v/>
      </c>
      <c r="S446" s="65" t="str">
        <f>IF(A446="","",Q446+R446)</f>
        <v/>
      </c>
      <c r="T446" s="65" t="str">
        <f>IF(AR446="","",INDEX(fa_htb,AR446)+INDEX(fa_tvab,AR446))</f>
        <v/>
      </c>
      <c r="U446" s="65" t="str">
        <f>IF(A446="","",SUMIF(pa_inv,A446,pa_amt))</f>
        <v/>
      </c>
      <c r="V446" s="65" t="str">
        <f>IF(OR(A446="",AA446="Avoir"),"",-SUMIFS(fa_ttc,fa_avof,A446,fa_type,"Avoir"))</f>
        <v/>
      </c>
      <c r="W446" s="65" t="str">
        <f>IF(OR(A446="",AA446="Avoir"),"",ROUND(S446-U446-V446,2))</f>
        <v/>
      </c>
      <c r="X446" s="66" t="str">
        <f>IF(W446="","",IF(AND(W446&gt;0,p_asof&gt;P446),p_asof-P446,""))</f>
        <v/>
      </c>
      <c r="Y446" s="59" t="str">
        <f>IF(A446="","",IF(AA446="Avoir","Avoir",IF(W446&lt;0,"Trop-perçu",IF(W446=0,"Soldée",IF(p_asof&gt;P446,"En retard",IF(U446+V446&gt;0,"Partielle","À échoir"))))))</f>
        <v/>
      </c>
      <c r="Z446" s="59" t="str">
        <f>IF(NOT(COUNTA(B446:D446,F446:O446)&gt;0),"",IF(C446="","Date manquante",IF(NOT(ISNUMBER(C446)),"Date invalide",IF(D446="","Client manquant",IF(ISNA(MATCH(D446,cli_code,0)),"Client inconnu",IF(AC446&lt;SUMPRODUCT(MAX(($AB$6:AB445=AB446)*$AC$6:AC445)),"Date antérieure à la facture précédente",IF(AND(F446&lt;&gt;"",ISNA(MATCH(F446,dv_num,0))),"Devis inconnu",IF(AND(F446&lt;&gt;"",IFERROR(INDEX(dv_client,MATCH(F446,dv_num,0)),D446)&lt;&gt;D446),"Client différent de celui du devis",IF(AG446="","Aucune ligne : saisissez des lignes ou un devis",IF(AND(AI446&lt;&gt;"",COUNTIF($AI$6:AI446,AI446)&gt;1),"Devis déjà repris par une autre facture",IF(AND(AA446="Avoir",M446=""),"Avoir : indiquez la facture d'origine",IF(AND(AA446="Avoir",ISNA(MATCH(M446,fa_num,0))),"Facture d'origine inconnue",IF(AND(AA446&lt;&gt;"Avoir",M446&lt;&gt;""),"« Avoir sur facture » : réservé aux avoirs",IF(AND(L446&lt;&gt;"",AA446&lt;&gt;"Facture"),"Acompte à déduire : réservé aux factures",IF(AND(L446&lt;&gt;"",ISNA(MATCH(L446,fa_num,0))),"Facture d'acompte inconnue",IF(AND(L446&lt;&gt;"",IFERROR(INDEX(fa_type,MATCH(L446,fa_num,0)),"")&lt;&gt;"Facture d'acompte"),"Le n° à déduire n'est pas une facture d'acompte",IF(AND(L446&lt;&gt;"",COUNTIF($L$6:L446,L446)&gt;1),"Acompte déjà déduit sur une autre facture",IF(AND(L446&lt;&gt;"",IFERROR(INDEX(fa_client,MATCH(L446,fa_num,0)),D446)&lt;&gt;D446),"Acompte d'un autre client",IF(AND(AR446&lt;&gt;"",N(Q446)&lt;0),"Acompte supérieur au total de la facture",IF(IF(AG446="Facture",COUNTIFS(fl_doc,A446,fl_check,"&lt;&gt;OK"),IF(AG446="Devis",COUNTIFS(dl_doc,F446,dl_check,"&lt;&gt;OK"),0))&gt;0,"Ligne(s) à corriger",IF(AND(W446&lt;&gt;"",N(W446)&lt;0),"Trop-perçu : vérifiez paiements et avoirs","OK")))))))))))))))))))))</f>
        <v/>
      </c>
      <c r="AA446" s="62" t="str">
        <f>IF(COUNTA(B446:D446,F446:O446)&gt;0,IF(B446="","Facture",B446),"")</f>
        <v/>
      </c>
      <c r="AB446" s="62" t="str">
        <f>IF(AA446="","",IF(AA446="Avoir",p_pav,IF(AA446="Facture d'acompte",p_pac,p_pfa)))</f>
        <v/>
      </c>
      <c r="AC446" s="62">
        <f>IF(ISNUMBER(C446),C446,0)</f>
        <v>0.0</v>
      </c>
      <c r="AD446" s="62" t="str">
        <f>IF(OR(AA446="",AC446=0),"",YEAR(AC446))</f>
        <v/>
      </c>
      <c r="AE446" s="62" t="str">
        <f>IF(AD446="","",COUNTIFS($AB$6:AB446,AB446,$AD$6:AD446,AD446))</f>
        <v/>
      </c>
      <c r="AF446" s="62">
        <f>IF(A446="",0,COUNTIF(fl_doc,A446))</f>
        <v>0.0</v>
      </c>
      <c r="AG446" s="62" t="str">
        <f>IF(A446="","",IF(AF446&gt;0,"Facture",IF(AND(F446&lt;&gt;"",AA446="Facture",ISNUMBER(MATCH(F446,dv_num,0))),"Devis","")))</f>
        <v/>
      </c>
      <c r="AH446" s="62" t="str">
        <f>IF(AND(A446&lt;&gt;"",F446&lt;&gt;"",AA446&lt;&gt;"Avoir"),F446,"")</f>
        <v/>
      </c>
      <c r="AI446" s="62" t="str">
        <f>IF(AG446="Devis",F446,"")</f>
        <v/>
      </c>
      <c r="AJ446" s="62">
        <f>IF(AG446="Facture",SUMIF(fl_doc,A446,fl_ht),IF(AG446="Devis",SUMIF(dl_doc,F446,dl_ht),0))</f>
        <v>0.0</v>
      </c>
      <c r="AK446" s="62">
        <f>IF(OR(AG446="",INDEX(p_rates,1)=""),0,IF(AG446="Facture",SUMIFS(fl_ht,fl_doc,A446,fl_rate,INDEX(p_rates,1)),SUMIFS(dl_ht,dl_doc,F446,dl_rate,INDEX(p_rates,1))))</f>
        <v>0.0</v>
      </c>
      <c r="AL446" s="62">
        <f>IF(OR(AG446="",INDEX(p_rates,2)=""),0,IF(AG446="Facture",SUMIFS(fl_ht,fl_doc,A446,fl_rate,INDEX(p_rates,2)),SUMIFS(dl_ht,dl_doc,F446,dl_rate,INDEX(p_rates,2))))</f>
        <v>0.0</v>
      </c>
      <c r="AM446" s="62">
        <f>IF(OR(AG446="",INDEX(p_rates,3)=""),0,IF(AG446="Facture",SUMIFS(fl_ht,fl_doc,A446,fl_rate,INDEX(p_rates,3)),SUMIFS(dl_ht,dl_doc,F446,dl_rate,INDEX(p_rates,3))))</f>
        <v>0.0</v>
      </c>
      <c r="AN446" s="62">
        <f>IF(OR(AG446="",INDEX(p_rates,4)=""),0,IF(AG446="Facture",SUMIFS(fl_ht,fl_doc,A446,fl_rate,INDEX(p_rates,4)),SUMIFS(dl_ht,dl_doc,F446,dl_rate,INDEX(p_rates,4))))</f>
        <v>0.0</v>
      </c>
      <c r="AO446" s="62">
        <f>IF(OR(AG446="",INDEX(p_rates,5)=""),0,IF(AG446="Facture",SUMIFS(fl_ht,fl_doc,A446,fl_rate,INDEX(p_rates,5)),SUMIFS(dl_ht,dl_doc,F446,dl_rate,INDEX(p_rates,5))))</f>
        <v>0.0</v>
      </c>
      <c r="AP446" s="62">
        <f>IF(OR(AG446="",INDEX(p_rates,6)=""),0,IF(AG446="Facture",SUMIFS(fl_ht,fl_doc,A446,fl_rate,INDEX(p_rates,6)),SUMIFS(dl_ht,dl_doc,F446,dl_rate,INDEX(p_rates,6))))</f>
        <v>0.0</v>
      </c>
      <c r="AQ446" s="62">
        <f>ROUND(AK446*N(INDEX(p_rates,1)),2)+ROUND(AL446*N(INDEX(p_rates,2)),2)+ROUND(AM446*N(INDEX(p_rates,3)),2)+ROUND(AN446*N(INDEX(p_rates,4)),2)+ROUND(AO446*N(INDEX(p_rates,5)),2)+ROUND(AP446*N(INDEX(p_rates,6)),2)</f>
        <v>0.0</v>
      </c>
      <c r="AR446" s="62" t="str">
        <f>IF(OR(L446="",AA446&lt;&gt;"Facture"),"",IFERROR(IF(INDEX(fa_type,MATCH(L446,fa_num,0))="Facture d'acompte",MATCH(L446,fa_num,0),""),""))</f>
        <v/>
      </c>
      <c r="AS446" s="62" t="str">
        <f>IF(W446="","",IF(W446&lt;=0,"",IF(p_asof-P446&lt;=0,"Non échu",IF(p_asof-P446&lt;=30,"1-30 j",IF(p_asof-P446&lt;=60,"31-60 j",IF(p_asof-P446&lt;=90,"61-90 j","Plus de 90 j"))))))</f>
        <v/>
      </c>
      <c r="AT446" s="62" t="str">
        <f>IF(AS446="","",p_asof-P446)</f>
        <v/>
      </c>
      <c r="AU446" s="62" t="str">
        <f>IF(AT446="","",COUNTIF($AT$6:$AT$805,"&gt;"&amp;AT446)+COUNTIF($AT$6:AT446,AT446))</f>
        <v/>
      </c>
    </row>
    <row r="447">
      <c r="A447" s="59" t="str">
        <f>IF(AE447="","",AB447&amp;"-"&amp;AD447&amp;"-"&amp;RIGHT("000"&amp;AE447,4))</f>
        <v/>
      </c>
      <c r="B447" s="60" t="n"/>
      <c r="C447" s="61" t="n"/>
      <c r="D447" s="60" t="n"/>
      <c r="E447" s="62" t="str">
        <f>IF(D447="","",IFERROR(INDEX(cli_name,MATCH(D447,cli_code,0))&amp;"","Client inconnu"))</f>
        <v/>
      </c>
      <c r="F447" s="60" t="n"/>
      <c r="G447" s="63" t="n"/>
      <c r="H447" s="61" t="n"/>
      <c r="I447" s="63" t="n"/>
      <c r="J447" s="60" t="n"/>
      <c r="K447" s="61" t="n"/>
      <c r="L447" s="60" t="n"/>
      <c r="M447" s="60" t="n"/>
      <c r="N447" s="60" t="n"/>
      <c r="O447" s="61" t="n"/>
      <c r="P447" s="64" t="str">
        <f>IF(A447="","",IF(AA447="Avoir",AC447,IF(ISNUMBER(K447),K447,AC447+IF(D447="",N(p_delay),IFERROR(IF(ISNUMBER(INDEX(cli_delay,MATCH(D447,cli_code,0))),INDEX(cli_delay,MATCH(D447,cli_code,0)),N(p_delay)),N(p_delay))))))</f>
        <v/>
      </c>
      <c r="Q447" s="65" t="str">
        <f>IF(A447="","",IF(AA447="Avoir",-1,1)*ROUND(AJ447-IF(AR447="",0,INDEX(fa_htb,AR447)),2))</f>
        <v/>
      </c>
      <c r="R447" s="65" t="str">
        <f>IF(A447="","",IF(AA447="Avoir",-1,1)*ROUND(AQ447-IF(AR447="",0,INDEX(fa_tvab,AR447)),2))</f>
        <v/>
      </c>
      <c r="S447" s="65" t="str">
        <f>IF(A447="","",Q447+R447)</f>
        <v/>
      </c>
      <c r="T447" s="65" t="str">
        <f>IF(AR447="","",INDEX(fa_htb,AR447)+INDEX(fa_tvab,AR447))</f>
        <v/>
      </c>
      <c r="U447" s="65" t="str">
        <f>IF(A447="","",SUMIF(pa_inv,A447,pa_amt))</f>
        <v/>
      </c>
      <c r="V447" s="65" t="str">
        <f>IF(OR(A447="",AA447="Avoir"),"",-SUMIFS(fa_ttc,fa_avof,A447,fa_type,"Avoir"))</f>
        <v/>
      </c>
      <c r="W447" s="65" t="str">
        <f>IF(OR(A447="",AA447="Avoir"),"",ROUND(S447-U447-V447,2))</f>
        <v/>
      </c>
      <c r="X447" s="66" t="str">
        <f>IF(W447="","",IF(AND(W447&gt;0,p_asof&gt;P447),p_asof-P447,""))</f>
        <v/>
      </c>
      <c r="Y447" s="59" t="str">
        <f>IF(A447="","",IF(AA447="Avoir","Avoir",IF(W447&lt;0,"Trop-perçu",IF(W447=0,"Soldée",IF(p_asof&gt;P447,"En retard",IF(U447+V447&gt;0,"Partielle","À échoir"))))))</f>
        <v/>
      </c>
      <c r="Z447" s="59" t="str">
        <f>IF(NOT(COUNTA(B447:D447,F447:O447)&gt;0),"",IF(C447="","Date manquante",IF(NOT(ISNUMBER(C447)),"Date invalide",IF(D447="","Client manquant",IF(ISNA(MATCH(D447,cli_code,0)),"Client inconnu",IF(AC447&lt;SUMPRODUCT(MAX(($AB$6:AB446=AB447)*$AC$6:AC446)),"Date antérieure à la facture précédente",IF(AND(F447&lt;&gt;"",ISNA(MATCH(F447,dv_num,0))),"Devis inconnu",IF(AND(F447&lt;&gt;"",IFERROR(INDEX(dv_client,MATCH(F447,dv_num,0)),D447)&lt;&gt;D447),"Client différent de celui du devis",IF(AG447="","Aucune ligne : saisissez des lignes ou un devis",IF(AND(AI447&lt;&gt;"",COUNTIF($AI$6:AI447,AI447)&gt;1),"Devis déjà repris par une autre facture",IF(AND(AA447="Avoir",M447=""),"Avoir : indiquez la facture d'origine",IF(AND(AA447="Avoir",ISNA(MATCH(M447,fa_num,0))),"Facture d'origine inconnue",IF(AND(AA447&lt;&gt;"Avoir",M447&lt;&gt;""),"« Avoir sur facture » : réservé aux avoirs",IF(AND(L447&lt;&gt;"",AA447&lt;&gt;"Facture"),"Acompte à déduire : réservé aux factures",IF(AND(L447&lt;&gt;"",ISNA(MATCH(L447,fa_num,0))),"Facture d'acompte inconnue",IF(AND(L447&lt;&gt;"",IFERROR(INDEX(fa_type,MATCH(L447,fa_num,0)),"")&lt;&gt;"Facture d'acompte"),"Le n° à déduire n'est pas une facture d'acompte",IF(AND(L447&lt;&gt;"",COUNTIF($L$6:L447,L447)&gt;1),"Acompte déjà déduit sur une autre facture",IF(AND(L447&lt;&gt;"",IFERROR(INDEX(fa_client,MATCH(L447,fa_num,0)),D447)&lt;&gt;D447),"Acompte d'un autre client",IF(AND(AR447&lt;&gt;"",N(Q447)&lt;0),"Acompte supérieur au total de la facture",IF(IF(AG447="Facture",COUNTIFS(fl_doc,A447,fl_check,"&lt;&gt;OK"),IF(AG447="Devis",COUNTIFS(dl_doc,F447,dl_check,"&lt;&gt;OK"),0))&gt;0,"Ligne(s) à corriger",IF(AND(W447&lt;&gt;"",N(W447)&lt;0),"Trop-perçu : vérifiez paiements et avoirs","OK")))))))))))))))))))))</f>
        <v/>
      </c>
      <c r="AA447" s="62" t="str">
        <f>IF(COUNTA(B447:D447,F447:O447)&gt;0,IF(B447="","Facture",B447),"")</f>
        <v/>
      </c>
      <c r="AB447" s="62" t="str">
        <f>IF(AA447="","",IF(AA447="Avoir",p_pav,IF(AA447="Facture d'acompte",p_pac,p_pfa)))</f>
        <v/>
      </c>
      <c r="AC447" s="62">
        <f>IF(ISNUMBER(C447),C447,0)</f>
        <v>0.0</v>
      </c>
      <c r="AD447" s="62" t="str">
        <f>IF(OR(AA447="",AC447=0),"",YEAR(AC447))</f>
        <v/>
      </c>
      <c r="AE447" s="62" t="str">
        <f>IF(AD447="","",COUNTIFS($AB$6:AB447,AB447,$AD$6:AD447,AD447))</f>
        <v/>
      </c>
      <c r="AF447" s="62">
        <f>IF(A447="",0,COUNTIF(fl_doc,A447))</f>
        <v>0.0</v>
      </c>
      <c r="AG447" s="62" t="str">
        <f>IF(A447="","",IF(AF447&gt;0,"Facture",IF(AND(F447&lt;&gt;"",AA447="Facture",ISNUMBER(MATCH(F447,dv_num,0))),"Devis","")))</f>
        <v/>
      </c>
      <c r="AH447" s="62" t="str">
        <f>IF(AND(A447&lt;&gt;"",F447&lt;&gt;"",AA447&lt;&gt;"Avoir"),F447,"")</f>
        <v/>
      </c>
      <c r="AI447" s="62" t="str">
        <f>IF(AG447="Devis",F447,"")</f>
        <v/>
      </c>
      <c r="AJ447" s="62">
        <f>IF(AG447="Facture",SUMIF(fl_doc,A447,fl_ht),IF(AG447="Devis",SUMIF(dl_doc,F447,dl_ht),0))</f>
        <v>0.0</v>
      </c>
      <c r="AK447" s="62">
        <f>IF(OR(AG447="",INDEX(p_rates,1)=""),0,IF(AG447="Facture",SUMIFS(fl_ht,fl_doc,A447,fl_rate,INDEX(p_rates,1)),SUMIFS(dl_ht,dl_doc,F447,dl_rate,INDEX(p_rates,1))))</f>
        <v>0.0</v>
      </c>
      <c r="AL447" s="62">
        <f>IF(OR(AG447="",INDEX(p_rates,2)=""),0,IF(AG447="Facture",SUMIFS(fl_ht,fl_doc,A447,fl_rate,INDEX(p_rates,2)),SUMIFS(dl_ht,dl_doc,F447,dl_rate,INDEX(p_rates,2))))</f>
        <v>0.0</v>
      </c>
      <c r="AM447" s="62">
        <f>IF(OR(AG447="",INDEX(p_rates,3)=""),0,IF(AG447="Facture",SUMIFS(fl_ht,fl_doc,A447,fl_rate,INDEX(p_rates,3)),SUMIFS(dl_ht,dl_doc,F447,dl_rate,INDEX(p_rates,3))))</f>
        <v>0.0</v>
      </c>
      <c r="AN447" s="62">
        <f>IF(OR(AG447="",INDEX(p_rates,4)=""),0,IF(AG447="Facture",SUMIFS(fl_ht,fl_doc,A447,fl_rate,INDEX(p_rates,4)),SUMIFS(dl_ht,dl_doc,F447,dl_rate,INDEX(p_rates,4))))</f>
        <v>0.0</v>
      </c>
      <c r="AO447" s="62">
        <f>IF(OR(AG447="",INDEX(p_rates,5)=""),0,IF(AG447="Facture",SUMIFS(fl_ht,fl_doc,A447,fl_rate,INDEX(p_rates,5)),SUMIFS(dl_ht,dl_doc,F447,dl_rate,INDEX(p_rates,5))))</f>
        <v>0.0</v>
      </c>
      <c r="AP447" s="62">
        <f>IF(OR(AG447="",INDEX(p_rates,6)=""),0,IF(AG447="Facture",SUMIFS(fl_ht,fl_doc,A447,fl_rate,INDEX(p_rates,6)),SUMIFS(dl_ht,dl_doc,F447,dl_rate,INDEX(p_rates,6))))</f>
        <v>0.0</v>
      </c>
      <c r="AQ447" s="62">
        <f>ROUND(AK447*N(INDEX(p_rates,1)),2)+ROUND(AL447*N(INDEX(p_rates,2)),2)+ROUND(AM447*N(INDEX(p_rates,3)),2)+ROUND(AN447*N(INDEX(p_rates,4)),2)+ROUND(AO447*N(INDEX(p_rates,5)),2)+ROUND(AP447*N(INDEX(p_rates,6)),2)</f>
        <v>0.0</v>
      </c>
      <c r="AR447" s="62" t="str">
        <f>IF(OR(L447="",AA447&lt;&gt;"Facture"),"",IFERROR(IF(INDEX(fa_type,MATCH(L447,fa_num,0))="Facture d'acompte",MATCH(L447,fa_num,0),""),""))</f>
        <v/>
      </c>
      <c r="AS447" s="62" t="str">
        <f>IF(W447="","",IF(W447&lt;=0,"",IF(p_asof-P447&lt;=0,"Non échu",IF(p_asof-P447&lt;=30,"1-30 j",IF(p_asof-P447&lt;=60,"31-60 j",IF(p_asof-P447&lt;=90,"61-90 j","Plus de 90 j"))))))</f>
        <v/>
      </c>
      <c r="AT447" s="62" t="str">
        <f>IF(AS447="","",p_asof-P447)</f>
        <v/>
      </c>
      <c r="AU447" s="62" t="str">
        <f>IF(AT447="","",COUNTIF($AT$6:$AT$805,"&gt;"&amp;AT447)+COUNTIF($AT$6:AT447,AT447))</f>
        <v/>
      </c>
    </row>
    <row r="448">
      <c r="A448" s="59" t="str">
        <f>IF(AE448="","",AB448&amp;"-"&amp;AD448&amp;"-"&amp;RIGHT("000"&amp;AE448,4))</f>
        <v/>
      </c>
      <c r="B448" s="60" t="n"/>
      <c r="C448" s="61" t="n"/>
      <c r="D448" s="60" t="n"/>
      <c r="E448" s="62" t="str">
        <f>IF(D448="","",IFERROR(INDEX(cli_name,MATCH(D448,cli_code,0))&amp;"","Client inconnu"))</f>
        <v/>
      </c>
      <c r="F448" s="60" t="n"/>
      <c r="G448" s="63" t="n"/>
      <c r="H448" s="61" t="n"/>
      <c r="I448" s="63" t="n"/>
      <c r="J448" s="60" t="n"/>
      <c r="K448" s="61" t="n"/>
      <c r="L448" s="60" t="n"/>
      <c r="M448" s="60" t="n"/>
      <c r="N448" s="60" t="n"/>
      <c r="O448" s="61" t="n"/>
      <c r="P448" s="64" t="str">
        <f>IF(A448="","",IF(AA448="Avoir",AC448,IF(ISNUMBER(K448),K448,AC448+IF(D448="",N(p_delay),IFERROR(IF(ISNUMBER(INDEX(cli_delay,MATCH(D448,cli_code,0))),INDEX(cli_delay,MATCH(D448,cli_code,0)),N(p_delay)),N(p_delay))))))</f>
        <v/>
      </c>
      <c r="Q448" s="65" t="str">
        <f>IF(A448="","",IF(AA448="Avoir",-1,1)*ROUND(AJ448-IF(AR448="",0,INDEX(fa_htb,AR448)),2))</f>
        <v/>
      </c>
      <c r="R448" s="65" t="str">
        <f>IF(A448="","",IF(AA448="Avoir",-1,1)*ROUND(AQ448-IF(AR448="",0,INDEX(fa_tvab,AR448)),2))</f>
        <v/>
      </c>
      <c r="S448" s="65" t="str">
        <f>IF(A448="","",Q448+R448)</f>
        <v/>
      </c>
      <c r="T448" s="65" t="str">
        <f>IF(AR448="","",INDEX(fa_htb,AR448)+INDEX(fa_tvab,AR448))</f>
        <v/>
      </c>
      <c r="U448" s="65" t="str">
        <f>IF(A448="","",SUMIF(pa_inv,A448,pa_amt))</f>
        <v/>
      </c>
      <c r="V448" s="65" t="str">
        <f>IF(OR(A448="",AA448="Avoir"),"",-SUMIFS(fa_ttc,fa_avof,A448,fa_type,"Avoir"))</f>
        <v/>
      </c>
      <c r="W448" s="65" t="str">
        <f>IF(OR(A448="",AA448="Avoir"),"",ROUND(S448-U448-V448,2))</f>
        <v/>
      </c>
      <c r="X448" s="66" t="str">
        <f>IF(W448="","",IF(AND(W448&gt;0,p_asof&gt;P448),p_asof-P448,""))</f>
        <v/>
      </c>
      <c r="Y448" s="59" t="str">
        <f>IF(A448="","",IF(AA448="Avoir","Avoir",IF(W448&lt;0,"Trop-perçu",IF(W448=0,"Soldée",IF(p_asof&gt;P448,"En retard",IF(U448+V448&gt;0,"Partielle","À échoir"))))))</f>
        <v/>
      </c>
      <c r="Z448" s="59" t="str">
        <f>IF(NOT(COUNTA(B448:D448,F448:O448)&gt;0),"",IF(C448="","Date manquante",IF(NOT(ISNUMBER(C448)),"Date invalide",IF(D448="","Client manquant",IF(ISNA(MATCH(D448,cli_code,0)),"Client inconnu",IF(AC448&lt;SUMPRODUCT(MAX(($AB$6:AB447=AB448)*$AC$6:AC447)),"Date antérieure à la facture précédente",IF(AND(F448&lt;&gt;"",ISNA(MATCH(F448,dv_num,0))),"Devis inconnu",IF(AND(F448&lt;&gt;"",IFERROR(INDEX(dv_client,MATCH(F448,dv_num,0)),D448)&lt;&gt;D448),"Client différent de celui du devis",IF(AG448="","Aucune ligne : saisissez des lignes ou un devis",IF(AND(AI448&lt;&gt;"",COUNTIF($AI$6:AI448,AI448)&gt;1),"Devis déjà repris par une autre facture",IF(AND(AA448="Avoir",M448=""),"Avoir : indiquez la facture d'origine",IF(AND(AA448="Avoir",ISNA(MATCH(M448,fa_num,0))),"Facture d'origine inconnue",IF(AND(AA448&lt;&gt;"Avoir",M448&lt;&gt;""),"« Avoir sur facture » : réservé aux avoirs",IF(AND(L448&lt;&gt;"",AA448&lt;&gt;"Facture"),"Acompte à déduire : réservé aux factures",IF(AND(L448&lt;&gt;"",ISNA(MATCH(L448,fa_num,0))),"Facture d'acompte inconnue",IF(AND(L448&lt;&gt;"",IFERROR(INDEX(fa_type,MATCH(L448,fa_num,0)),"")&lt;&gt;"Facture d'acompte"),"Le n° à déduire n'est pas une facture d'acompte",IF(AND(L448&lt;&gt;"",COUNTIF($L$6:L448,L448)&gt;1),"Acompte déjà déduit sur une autre facture",IF(AND(L448&lt;&gt;"",IFERROR(INDEX(fa_client,MATCH(L448,fa_num,0)),D448)&lt;&gt;D448),"Acompte d'un autre client",IF(AND(AR448&lt;&gt;"",N(Q448)&lt;0),"Acompte supérieur au total de la facture",IF(IF(AG448="Facture",COUNTIFS(fl_doc,A448,fl_check,"&lt;&gt;OK"),IF(AG448="Devis",COUNTIFS(dl_doc,F448,dl_check,"&lt;&gt;OK"),0))&gt;0,"Ligne(s) à corriger",IF(AND(W448&lt;&gt;"",N(W448)&lt;0),"Trop-perçu : vérifiez paiements et avoirs","OK")))))))))))))))))))))</f>
        <v/>
      </c>
      <c r="AA448" s="62" t="str">
        <f>IF(COUNTA(B448:D448,F448:O448)&gt;0,IF(B448="","Facture",B448),"")</f>
        <v/>
      </c>
      <c r="AB448" s="62" t="str">
        <f>IF(AA448="","",IF(AA448="Avoir",p_pav,IF(AA448="Facture d'acompte",p_pac,p_pfa)))</f>
        <v/>
      </c>
      <c r="AC448" s="62">
        <f>IF(ISNUMBER(C448),C448,0)</f>
        <v>0.0</v>
      </c>
      <c r="AD448" s="62" t="str">
        <f>IF(OR(AA448="",AC448=0),"",YEAR(AC448))</f>
        <v/>
      </c>
      <c r="AE448" s="62" t="str">
        <f>IF(AD448="","",COUNTIFS($AB$6:AB448,AB448,$AD$6:AD448,AD448))</f>
        <v/>
      </c>
      <c r="AF448" s="62">
        <f>IF(A448="",0,COUNTIF(fl_doc,A448))</f>
        <v>0.0</v>
      </c>
      <c r="AG448" s="62" t="str">
        <f>IF(A448="","",IF(AF448&gt;0,"Facture",IF(AND(F448&lt;&gt;"",AA448="Facture",ISNUMBER(MATCH(F448,dv_num,0))),"Devis","")))</f>
        <v/>
      </c>
      <c r="AH448" s="62" t="str">
        <f>IF(AND(A448&lt;&gt;"",F448&lt;&gt;"",AA448&lt;&gt;"Avoir"),F448,"")</f>
        <v/>
      </c>
      <c r="AI448" s="62" t="str">
        <f>IF(AG448="Devis",F448,"")</f>
        <v/>
      </c>
      <c r="AJ448" s="62">
        <f>IF(AG448="Facture",SUMIF(fl_doc,A448,fl_ht),IF(AG448="Devis",SUMIF(dl_doc,F448,dl_ht),0))</f>
        <v>0.0</v>
      </c>
      <c r="AK448" s="62">
        <f>IF(OR(AG448="",INDEX(p_rates,1)=""),0,IF(AG448="Facture",SUMIFS(fl_ht,fl_doc,A448,fl_rate,INDEX(p_rates,1)),SUMIFS(dl_ht,dl_doc,F448,dl_rate,INDEX(p_rates,1))))</f>
        <v>0.0</v>
      </c>
      <c r="AL448" s="62">
        <f>IF(OR(AG448="",INDEX(p_rates,2)=""),0,IF(AG448="Facture",SUMIFS(fl_ht,fl_doc,A448,fl_rate,INDEX(p_rates,2)),SUMIFS(dl_ht,dl_doc,F448,dl_rate,INDEX(p_rates,2))))</f>
        <v>0.0</v>
      </c>
      <c r="AM448" s="62">
        <f>IF(OR(AG448="",INDEX(p_rates,3)=""),0,IF(AG448="Facture",SUMIFS(fl_ht,fl_doc,A448,fl_rate,INDEX(p_rates,3)),SUMIFS(dl_ht,dl_doc,F448,dl_rate,INDEX(p_rates,3))))</f>
        <v>0.0</v>
      </c>
      <c r="AN448" s="62">
        <f>IF(OR(AG448="",INDEX(p_rates,4)=""),0,IF(AG448="Facture",SUMIFS(fl_ht,fl_doc,A448,fl_rate,INDEX(p_rates,4)),SUMIFS(dl_ht,dl_doc,F448,dl_rate,INDEX(p_rates,4))))</f>
        <v>0.0</v>
      </c>
      <c r="AO448" s="62">
        <f>IF(OR(AG448="",INDEX(p_rates,5)=""),0,IF(AG448="Facture",SUMIFS(fl_ht,fl_doc,A448,fl_rate,INDEX(p_rates,5)),SUMIFS(dl_ht,dl_doc,F448,dl_rate,INDEX(p_rates,5))))</f>
        <v>0.0</v>
      </c>
      <c r="AP448" s="62">
        <f>IF(OR(AG448="",INDEX(p_rates,6)=""),0,IF(AG448="Facture",SUMIFS(fl_ht,fl_doc,A448,fl_rate,INDEX(p_rates,6)),SUMIFS(dl_ht,dl_doc,F448,dl_rate,INDEX(p_rates,6))))</f>
        <v>0.0</v>
      </c>
      <c r="AQ448" s="62">
        <f>ROUND(AK448*N(INDEX(p_rates,1)),2)+ROUND(AL448*N(INDEX(p_rates,2)),2)+ROUND(AM448*N(INDEX(p_rates,3)),2)+ROUND(AN448*N(INDEX(p_rates,4)),2)+ROUND(AO448*N(INDEX(p_rates,5)),2)+ROUND(AP448*N(INDEX(p_rates,6)),2)</f>
        <v>0.0</v>
      </c>
      <c r="AR448" s="62" t="str">
        <f>IF(OR(L448="",AA448&lt;&gt;"Facture"),"",IFERROR(IF(INDEX(fa_type,MATCH(L448,fa_num,0))="Facture d'acompte",MATCH(L448,fa_num,0),""),""))</f>
        <v/>
      </c>
      <c r="AS448" s="62" t="str">
        <f>IF(W448="","",IF(W448&lt;=0,"",IF(p_asof-P448&lt;=0,"Non échu",IF(p_asof-P448&lt;=30,"1-30 j",IF(p_asof-P448&lt;=60,"31-60 j",IF(p_asof-P448&lt;=90,"61-90 j","Plus de 90 j"))))))</f>
        <v/>
      </c>
      <c r="AT448" s="62" t="str">
        <f>IF(AS448="","",p_asof-P448)</f>
        <v/>
      </c>
      <c r="AU448" s="62" t="str">
        <f>IF(AT448="","",COUNTIF($AT$6:$AT$805,"&gt;"&amp;AT448)+COUNTIF($AT$6:AT448,AT448))</f>
        <v/>
      </c>
    </row>
    <row r="449">
      <c r="A449" s="59" t="str">
        <f>IF(AE449="","",AB449&amp;"-"&amp;AD449&amp;"-"&amp;RIGHT("000"&amp;AE449,4))</f>
        <v/>
      </c>
      <c r="B449" s="60" t="n"/>
      <c r="C449" s="61" t="n"/>
      <c r="D449" s="60" t="n"/>
      <c r="E449" s="62" t="str">
        <f>IF(D449="","",IFERROR(INDEX(cli_name,MATCH(D449,cli_code,0))&amp;"","Client inconnu"))</f>
        <v/>
      </c>
      <c r="F449" s="60" t="n"/>
      <c r="G449" s="63" t="n"/>
      <c r="H449" s="61" t="n"/>
      <c r="I449" s="63" t="n"/>
      <c r="J449" s="60" t="n"/>
      <c r="K449" s="61" t="n"/>
      <c r="L449" s="60" t="n"/>
      <c r="M449" s="60" t="n"/>
      <c r="N449" s="60" t="n"/>
      <c r="O449" s="61" t="n"/>
      <c r="P449" s="64" t="str">
        <f>IF(A449="","",IF(AA449="Avoir",AC449,IF(ISNUMBER(K449),K449,AC449+IF(D449="",N(p_delay),IFERROR(IF(ISNUMBER(INDEX(cli_delay,MATCH(D449,cli_code,0))),INDEX(cli_delay,MATCH(D449,cli_code,0)),N(p_delay)),N(p_delay))))))</f>
        <v/>
      </c>
      <c r="Q449" s="65" t="str">
        <f>IF(A449="","",IF(AA449="Avoir",-1,1)*ROUND(AJ449-IF(AR449="",0,INDEX(fa_htb,AR449)),2))</f>
        <v/>
      </c>
      <c r="R449" s="65" t="str">
        <f>IF(A449="","",IF(AA449="Avoir",-1,1)*ROUND(AQ449-IF(AR449="",0,INDEX(fa_tvab,AR449)),2))</f>
        <v/>
      </c>
      <c r="S449" s="65" t="str">
        <f>IF(A449="","",Q449+R449)</f>
        <v/>
      </c>
      <c r="T449" s="65" t="str">
        <f>IF(AR449="","",INDEX(fa_htb,AR449)+INDEX(fa_tvab,AR449))</f>
        <v/>
      </c>
      <c r="U449" s="65" t="str">
        <f>IF(A449="","",SUMIF(pa_inv,A449,pa_amt))</f>
        <v/>
      </c>
      <c r="V449" s="65" t="str">
        <f>IF(OR(A449="",AA449="Avoir"),"",-SUMIFS(fa_ttc,fa_avof,A449,fa_type,"Avoir"))</f>
        <v/>
      </c>
      <c r="W449" s="65" t="str">
        <f>IF(OR(A449="",AA449="Avoir"),"",ROUND(S449-U449-V449,2))</f>
        <v/>
      </c>
      <c r="X449" s="66" t="str">
        <f>IF(W449="","",IF(AND(W449&gt;0,p_asof&gt;P449),p_asof-P449,""))</f>
        <v/>
      </c>
      <c r="Y449" s="59" t="str">
        <f>IF(A449="","",IF(AA449="Avoir","Avoir",IF(W449&lt;0,"Trop-perçu",IF(W449=0,"Soldée",IF(p_asof&gt;P449,"En retard",IF(U449+V449&gt;0,"Partielle","À échoir"))))))</f>
        <v/>
      </c>
      <c r="Z449" s="59" t="str">
        <f>IF(NOT(COUNTA(B449:D449,F449:O449)&gt;0),"",IF(C449="","Date manquante",IF(NOT(ISNUMBER(C449)),"Date invalide",IF(D449="","Client manquant",IF(ISNA(MATCH(D449,cli_code,0)),"Client inconnu",IF(AC449&lt;SUMPRODUCT(MAX(($AB$6:AB448=AB449)*$AC$6:AC448)),"Date antérieure à la facture précédente",IF(AND(F449&lt;&gt;"",ISNA(MATCH(F449,dv_num,0))),"Devis inconnu",IF(AND(F449&lt;&gt;"",IFERROR(INDEX(dv_client,MATCH(F449,dv_num,0)),D449)&lt;&gt;D449),"Client différent de celui du devis",IF(AG449="","Aucune ligne : saisissez des lignes ou un devis",IF(AND(AI449&lt;&gt;"",COUNTIF($AI$6:AI449,AI449)&gt;1),"Devis déjà repris par une autre facture",IF(AND(AA449="Avoir",M449=""),"Avoir : indiquez la facture d'origine",IF(AND(AA449="Avoir",ISNA(MATCH(M449,fa_num,0))),"Facture d'origine inconnue",IF(AND(AA449&lt;&gt;"Avoir",M449&lt;&gt;""),"« Avoir sur facture » : réservé aux avoirs",IF(AND(L449&lt;&gt;"",AA449&lt;&gt;"Facture"),"Acompte à déduire : réservé aux factures",IF(AND(L449&lt;&gt;"",ISNA(MATCH(L449,fa_num,0))),"Facture d'acompte inconnue",IF(AND(L449&lt;&gt;"",IFERROR(INDEX(fa_type,MATCH(L449,fa_num,0)),"")&lt;&gt;"Facture d'acompte"),"Le n° à déduire n'est pas une facture d'acompte",IF(AND(L449&lt;&gt;"",COUNTIF($L$6:L449,L449)&gt;1),"Acompte déjà déduit sur une autre facture",IF(AND(L449&lt;&gt;"",IFERROR(INDEX(fa_client,MATCH(L449,fa_num,0)),D449)&lt;&gt;D449),"Acompte d'un autre client",IF(AND(AR449&lt;&gt;"",N(Q449)&lt;0),"Acompte supérieur au total de la facture",IF(IF(AG449="Facture",COUNTIFS(fl_doc,A449,fl_check,"&lt;&gt;OK"),IF(AG449="Devis",COUNTIFS(dl_doc,F449,dl_check,"&lt;&gt;OK"),0))&gt;0,"Ligne(s) à corriger",IF(AND(W449&lt;&gt;"",N(W449)&lt;0),"Trop-perçu : vérifiez paiements et avoirs","OK")))))))))))))))))))))</f>
        <v/>
      </c>
      <c r="AA449" s="62" t="str">
        <f>IF(COUNTA(B449:D449,F449:O449)&gt;0,IF(B449="","Facture",B449),"")</f>
        <v/>
      </c>
      <c r="AB449" s="62" t="str">
        <f>IF(AA449="","",IF(AA449="Avoir",p_pav,IF(AA449="Facture d'acompte",p_pac,p_pfa)))</f>
        <v/>
      </c>
      <c r="AC449" s="62">
        <f>IF(ISNUMBER(C449),C449,0)</f>
        <v>0.0</v>
      </c>
      <c r="AD449" s="62" t="str">
        <f>IF(OR(AA449="",AC449=0),"",YEAR(AC449))</f>
        <v/>
      </c>
      <c r="AE449" s="62" t="str">
        <f>IF(AD449="","",COUNTIFS($AB$6:AB449,AB449,$AD$6:AD449,AD449))</f>
        <v/>
      </c>
      <c r="AF449" s="62">
        <f>IF(A449="",0,COUNTIF(fl_doc,A449))</f>
        <v>0.0</v>
      </c>
      <c r="AG449" s="62" t="str">
        <f>IF(A449="","",IF(AF449&gt;0,"Facture",IF(AND(F449&lt;&gt;"",AA449="Facture",ISNUMBER(MATCH(F449,dv_num,0))),"Devis","")))</f>
        <v/>
      </c>
      <c r="AH449" s="62" t="str">
        <f>IF(AND(A449&lt;&gt;"",F449&lt;&gt;"",AA449&lt;&gt;"Avoir"),F449,"")</f>
        <v/>
      </c>
      <c r="AI449" s="62" t="str">
        <f>IF(AG449="Devis",F449,"")</f>
        <v/>
      </c>
      <c r="AJ449" s="62">
        <f>IF(AG449="Facture",SUMIF(fl_doc,A449,fl_ht),IF(AG449="Devis",SUMIF(dl_doc,F449,dl_ht),0))</f>
        <v>0.0</v>
      </c>
      <c r="AK449" s="62">
        <f>IF(OR(AG449="",INDEX(p_rates,1)=""),0,IF(AG449="Facture",SUMIFS(fl_ht,fl_doc,A449,fl_rate,INDEX(p_rates,1)),SUMIFS(dl_ht,dl_doc,F449,dl_rate,INDEX(p_rates,1))))</f>
        <v>0.0</v>
      </c>
      <c r="AL449" s="62">
        <f>IF(OR(AG449="",INDEX(p_rates,2)=""),0,IF(AG449="Facture",SUMIFS(fl_ht,fl_doc,A449,fl_rate,INDEX(p_rates,2)),SUMIFS(dl_ht,dl_doc,F449,dl_rate,INDEX(p_rates,2))))</f>
        <v>0.0</v>
      </c>
      <c r="AM449" s="62">
        <f>IF(OR(AG449="",INDEX(p_rates,3)=""),0,IF(AG449="Facture",SUMIFS(fl_ht,fl_doc,A449,fl_rate,INDEX(p_rates,3)),SUMIFS(dl_ht,dl_doc,F449,dl_rate,INDEX(p_rates,3))))</f>
        <v>0.0</v>
      </c>
      <c r="AN449" s="62">
        <f>IF(OR(AG449="",INDEX(p_rates,4)=""),0,IF(AG449="Facture",SUMIFS(fl_ht,fl_doc,A449,fl_rate,INDEX(p_rates,4)),SUMIFS(dl_ht,dl_doc,F449,dl_rate,INDEX(p_rates,4))))</f>
        <v>0.0</v>
      </c>
      <c r="AO449" s="62">
        <f>IF(OR(AG449="",INDEX(p_rates,5)=""),0,IF(AG449="Facture",SUMIFS(fl_ht,fl_doc,A449,fl_rate,INDEX(p_rates,5)),SUMIFS(dl_ht,dl_doc,F449,dl_rate,INDEX(p_rates,5))))</f>
        <v>0.0</v>
      </c>
      <c r="AP449" s="62">
        <f>IF(OR(AG449="",INDEX(p_rates,6)=""),0,IF(AG449="Facture",SUMIFS(fl_ht,fl_doc,A449,fl_rate,INDEX(p_rates,6)),SUMIFS(dl_ht,dl_doc,F449,dl_rate,INDEX(p_rates,6))))</f>
        <v>0.0</v>
      </c>
      <c r="AQ449" s="62">
        <f>ROUND(AK449*N(INDEX(p_rates,1)),2)+ROUND(AL449*N(INDEX(p_rates,2)),2)+ROUND(AM449*N(INDEX(p_rates,3)),2)+ROUND(AN449*N(INDEX(p_rates,4)),2)+ROUND(AO449*N(INDEX(p_rates,5)),2)+ROUND(AP449*N(INDEX(p_rates,6)),2)</f>
        <v>0.0</v>
      </c>
      <c r="AR449" s="62" t="str">
        <f>IF(OR(L449="",AA449&lt;&gt;"Facture"),"",IFERROR(IF(INDEX(fa_type,MATCH(L449,fa_num,0))="Facture d'acompte",MATCH(L449,fa_num,0),""),""))</f>
        <v/>
      </c>
      <c r="AS449" s="62" t="str">
        <f>IF(W449="","",IF(W449&lt;=0,"",IF(p_asof-P449&lt;=0,"Non échu",IF(p_asof-P449&lt;=30,"1-30 j",IF(p_asof-P449&lt;=60,"31-60 j",IF(p_asof-P449&lt;=90,"61-90 j","Plus de 90 j"))))))</f>
        <v/>
      </c>
      <c r="AT449" s="62" t="str">
        <f>IF(AS449="","",p_asof-P449)</f>
        <v/>
      </c>
      <c r="AU449" s="62" t="str">
        <f>IF(AT449="","",COUNTIF($AT$6:$AT$805,"&gt;"&amp;AT449)+COUNTIF($AT$6:AT449,AT449))</f>
        <v/>
      </c>
    </row>
    <row r="450">
      <c r="A450" s="59" t="str">
        <f>IF(AE450="","",AB450&amp;"-"&amp;AD450&amp;"-"&amp;RIGHT("000"&amp;AE450,4))</f>
        <v/>
      </c>
      <c r="B450" s="60" t="n"/>
      <c r="C450" s="61" t="n"/>
      <c r="D450" s="60" t="n"/>
      <c r="E450" s="62" t="str">
        <f>IF(D450="","",IFERROR(INDEX(cli_name,MATCH(D450,cli_code,0))&amp;"","Client inconnu"))</f>
        <v/>
      </c>
      <c r="F450" s="60" t="n"/>
      <c r="G450" s="63" t="n"/>
      <c r="H450" s="61" t="n"/>
      <c r="I450" s="63" t="n"/>
      <c r="J450" s="60" t="n"/>
      <c r="K450" s="61" t="n"/>
      <c r="L450" s="60" t="n"/>
      <c r="M450" s="60" t="n"/>
      <c r="N450" s="60" t="n"/>
      <c r="O450" s="61" t="n"/>
      <c r="P450" s="64" t="str">
        <f>IF(A450="","",IF(AA450="Avoir",AC450,IF(ISNUMBER(K450),K450,AC450+IF(D450="",N(p_delay),IFERROR(IF(ISNUMBER(INDEX(cli_delay,MATCH(D450,cli_code,0))),INDEX(cli_delay,MATCH(D450,cli_code,0)),N(p_delay)),N(p_delay))))))</f>
        <v/>
      </c>
      <c r="Q450" s="65" t="str">
        <f>IF(A450="","",IF(AA450="Avoir",-1,1)*ROUND(AJ450-IF(AR450="",0,INDEX(fa_htb,AR450)),2))</f>
        <v/>
      </c>
      <c r="R450" s="65" t="str">
        <f>IF(A450="","",IF(AA450="Avoir",-1,1)*ROUND(AQ450-IF(AR450="",0,INDEX(fa_tvab,AR450)),2))</f>
        <v/>
      </c>
      <c r="S450" s="65" t="str">
        <f>IF(A450="","",Q450+R450)</f>
        <v/>
      </c>
      <c r="T450" s="65" t="str">
        <f>IF(AR450="","",INDEX(fa_htb,AR450)+INDEX(fa_tvab,AR450))</f>
        <v/>
      </c>
      <c r="U450" s="65" t="str">
        <f>IF(A450="","",SUMIF(pa_inv,A450,pa_amt))</f>
        <v/>
      </c>
      <c r="V450" s="65" t="str">
        <f>IF(OR(A450="",AA450="Avoir"),"",-SUMIFS(fa_ttc,fa_avof,A450,fa_type,"Avoir"))</f>
        <v/>
      </c>
      <c r="W450" s="65" t="str">
        <f>IF(OR(A450="",AA450="Avoir"),"",ROUND(S450-U450-V450,2))</f>
        <v/>
      </c>
      <c r="X450" s="66" t="str">
        <f>IF(W450="","",IF(AND(W450&gt;0,p_asof&gt;P450),p_asof-P450,""))</f>
        <v/>
      </c>
      <c r="Y450" s="59" t="str">
        <f>IF(A450="","",IF(AA450="Avoir","Avoir",IF(W450&lt;0,"Trop-perçu",IF(W450=0,"Soldée",IF(p_asof&gt;P450,"En retard",IF(U450+V450&gt;0,"Partielle","À échoir"))))))</f>
        <v/>
      </c>
      <c r="Z450" s="59" t="str">
        <f>IF(NOT(COUNTA(B450:D450,F450:O450)&gt;0),"",IF(C450="","Date manquante",IF(NOT(ISNUMBER(C450)),"Date invalide",IF(D450="","Client manquant",IF(ISNA(MATCH(D450,cli_code,0)),"Client inconnu",IF(AC450&lt;SUMPRODUCT(MAX(($AB$6:AB449=AB450)*$AC$6:AC449)),"Date antérieure à la facture précédente",IF(AND(F450&lt;&gt;"",ISNA(MATCH(F450,dv_num,0))),"Devis inconnu",IF(AND(F450&lt;&gt;"",IFERROR(INDEX(dv_client,MATCH(F450,dv_num,0)),D450)&lt;&gt;D450),"Client différent de celui du devis",IF(AG450="","Aucune ligne : saisissez des lignes ou un devis",IF(AND(AI450&lt;&gt;"",COUNTIF($AI$6:AI450,AI450)&gt;1),"Devis déjà repris par une autre facture",IF(AND(AA450="Avoir",M450=""),"Avoir : indiquez la facture d'origine",IF(AND(AA450="Avoir",ISNA(MATCH(M450,fa_num,0))),"Facture d'origine inconnue",IF(AND(AA450&lt;&gt;"Avoir",M450&lt;&gt;""),"« Avoir sur facture » : réservé aux avoirs",IF(AND(L450&lt;&gt;"",AA450&lt;&gt;"Facture"),"Acompte à déduire : réservé aux factures",IF(AND(L450&lt;&gt;"",ISNA(MATCH(L450,fa_num,0))),"Facture d'acompte inconnue",IF(AND(L450&lt;&gt;"",IFERROR(INDEX(fa_type,MATCH(L450,fa_num,0)),"")&lt;&gt;"Facture d'acompte"),"Le n° à déduire n'est pas une facture d'acompte",IF(AND(L450&lt;&gt;"",COUNTIF($L$6:L450,L450)&gt;1),"Acompte déjà déduit sur une autre facture",IF(AND(L450&lt;&gt;"",IFERROR(INDEX(fa_client,MATCH(L450,fa_num,0)),D450)&lt;&gt;D450),"Acompte d'un autre client",IF(AND(AR450&lt;&gt;"",N(Q450)&lt;0),"Acompte supérieur au total de la facture",IF(IF(AG450="Facture",COUNTIFS(fl_doc,A450,fl_check,"&lt;&gt;OK"),IF(AG450="Devis",COUNTIFS(dl_doc,F450,dl_check,"&lt;&gt;OK"),0))&gt;0,"Ligne(s) à corriger",IF(AND(W450&lt;&gt;"",N(W450)&lt;0),"Trop-perçu : vérifiez paiements et avoirs","OK")))))))))))))))))))))</f>
        <v/>
      </c>
      <c r="AA450" s="62" t="str">
        <f>IF(COUNTA(B450:D450,F450:O450)&gt;0,IF(B450="","Facture",B450),"")</f>
        <v/>
      </c>
      <c r="AB450" s="62" t="str">
        <f>IF(AA450="","",IF(AA450="Avoir",p_pav,IF(AA450="Facture d'acompte",p_pac,p_pfa)))</f>
        <v/>
      </c>
      <c r="AC450" s="62">
        <f>IF(ISNUMBER(C450),C450,0)</f>
        <v>0.0</v>
      </c>
      <c r="AD450" s="62" t="str">
        <f>IF(OR(AA450="",AC450=0),"",YEAR(AC450))</f>
        <v/>
      </c>
      <c r="AE450" s="62" t="str">
        <f>IF(AD450="","",COUNTIFS($AB$6:AB450,AB450,$AD$6:AD450,AD450))</f>
        <v/>
      </c>
      <c r="AF450" s="62">
        <f>IF(A450="",0,COUNTIF(fl_doc,A450))</f>
        <v>0.0</v>
      </c>
      <c r="AG450" s="62" t="str">
        <f>IF(A450="","",IF(AF450&gt;0,"Facture",IF(AND(F450&lt;&gt;"",AA450="Facture",ISNUMBER(MATCH(F450,dv_num,0))),"Devis","")))</f>
        <v/>
      </c>
      <c r="AH450" s="62" t="str">
        <f>IF(AND(A450&lt;&gt;"",F450&lt;&gt;"",AA450&lt;&gt;"Avoir"),F450,"")</f>
        <v/>
      </c>
      <c r="AI450" s="62" t="str">
        <f>IF(AG450="Devis",F450,"")</f>
        <v/>
      </c>
      <c r="AJ450" s="62">
        <f>IF(AG450="Facture",SUMIF(fl_doc,A450,fl_ht),IF(AG450="Devis",SUMIF(dl_doc,F450,dl_ht),0))</f>
        <v>0.0</v>
      </c>
      <c r="AK450" s="62">
        <f>IF(OR(AG450="",INDEX(p_rates,1)=""),0,IF(AG450="Facture",SUMIFS(fl_ht,fl_doc,A450,fl_rate,INDEX(p_rates,1)),SUMIFS(dl_ht,dl_doc,F450,dl_rate,INDEX(p_rates,1))))</f>
        <v>0.0</v>
      </c>
      <c r="AL450" s="62">
        <f>IF(OR(AG450="",INDEX(p_rates,2)=""),0,IF(AG450="Facture",SUMIFS(fl_ht,fl_doc,A450,fl_rate,INDEX(p_rates,2)),SUMIFS(dl_ht,dl_doc,F450,dl_rate,INDEX(p_rates,2))))</f>
        <v>0.0</v>
      </c>
      <c r="AM450" s="62">
        <f>IF(OR(AG450="",INDEX(p_rates,3)=""),0,IF(AG450="Facture",SUMIFS(fl_ht,fl_doc,A450,fl_rate,INDEX(p_rates,3)),SUMIFS(dl_ht,dl_doc,F450,dl_rate,INDEX(p_rates,3))))</f>
        <v>0.0</v>
      </c>
      <c r="AN450" s="62">
        <f>IF(OR(AG450="",INDEX(p_rates,4)=""),0,IF(AG450="Facture",SUMIFS(fl_ht,fl_doc,A450,fl_rate,INDEX(p_rates,4)),SUMIFS(dl_ht,dl_doc,F450,dl_rate,INDEX(p_rates,4))))</f>
        <v>0.0</v>
      </c>
      <c r="AO450" s="62">
        <f>IF(OR(AG450="",INDEX(p_rates,5)=""),0,IF(AG450="Facture",SUMIFS(fl_ht,fl_doc,A450,fl_rate,INDEX(p_rates,5)),SUMIFS(dl_ht,dl_doc,F450,dl_rate,INDEX(p_rates,5))))</f>
        <v>0.0</v>
      </c>
      <c r="AP450" s="62">
        <f>IF(OR(AG450="",INDEX(p_rates,6)=""),0,IF(AG450="Facture",SUMIFS(fl_ht,fl_doc,A450,fl_rate,INDEX(p_rates,6)),SUMIFS(dl_ht,dl_doc,F450,dl_rate,INDEX(p_rates,6))))</f>
        <v>0.0</v>
      </c>
      <c r="AQ450" s="62">
        <f>ROUND(AK450*N(INDEX(p_rates,1)),2)+ROUND(AL450*N(INDEX(p_rates,2)),2)+ROUND(AM450*N(INDEX(p_rates,3)),2)+ROUND(AN450*N(INDEX(p_rates,4)),2)+ROUND(AO450*N(INDEX(p_rates,5)),2)+ROUND(AP450*N(INDEX(p_rates,6)),2)</f>
        <v>0.0</v>
      </c>
      <c r="AR450" s="62" t="str">
        <f>IF(OR(L450="",AA450&lt;&gt;"Facture"),"",IFERROR(IF(INDEX(fa_type,MATCH(L450,fa_num,0))="Facture d'acompte",MATCH(L450,fa_num,0),""),""))</f>
        <v/>
      </c>
      <c r="AS450" s="62" t="str">
        <f>IF(W450="","",IF(W450&lt;=0,"",IF(p_asof-P450&lt;=0,"Non échu",IF(p_asof-P450&lt;=30,"1-30 j",IF(p_asof-P450&lt;=60,"31-60 j",IF(p_asof-P450&lt;=90,"61-90 j","Plus de 90 j"))))))</f>
        <v/>
      </c>
      <c r="AT450" s="62" t="str">
        <f>IF(AS450="","",p_asof-P450)</f>
        <v/>
      </c>
      <c r="AU450" s="62" t="str">
        <f>IF(AT450="","",COUNTIF($AT$6:$AT$805,"&gt;"&amp;AT450)+COUNTIF($AT$6:AT450,AT450))</f>
        <v/>
      </c>
    </row>
    <row r="451">
      <c r="A451" s="59" t="str">
        <f>IF(AE451="","",AB451&amp;"-"&amp;AD451&amp;"-"&amp;RIGHT("000"&amp;AE451,4))</f>
        <v/>
      </c>
      <c r="B451" s="60" t="n"/>
      <c r="C451" s="61" t="n"/>
      <c r="D451" s="60" t="n"/>
      <c r="E451" s="62" t="str">
        <f>IF(D451="","",IFERROR(INDEX(cli_name,MATCH(D451,cli_code,0))&amp;"","Client inconnu"))</f>
        <v/>
      </c>
      <c r="F451" s="60" t="n"/>
      <c r="G451" s="63" t="n"/>
      <c r="H451" s="61" t="n"/>
      <c r="I451" s="63" t="n"/>
      <c r="J451" s="60" t="n"/>
      <c r="K451" s="61" t="n"/>
      <c r="L451" s="60" t="n"/>
      <c r="M451" s="60" t="n"/>
      <c r="N451" s="60" t="n"/>
      <c r="O451" s="61" t="n"/>
      <c r="P451" s="64" t="str">
        <f>IF(A451="","",IF(AA451="Avoir",AC451,IF(ISNUMBER(K451),K451,AC451+IF(D451="",N(p_delay),IFERROR(IF(ISNUMBER(INDEX(cli_delay,MATCH(D451,cli_code,0))),INDEX(cli_delay,MATCH(D451,cli_code,0)),N(p_delay)),N(p_delay))))))</f>
        <v/>
      </c>
      <c r="Q451" s="65" t="str">
        <f>IF(A451="","",IF(AA451="Avoir",-1,1)*ROUND(AJ451-IF(AR451="",0,INDEX(fa_htb,AR451)),2))</f>
        <v/>
      </c>
      <c r="R451" s="65" t="str">
        <f>IF(A451="","",IF(AA451="Avoir",-1,1)*ROUND(AQ451-IF(AR451="",0,INDEX(fa_tvab,AR451)),2))</f>
        <v/>
      </c>
      <c r="S451" s="65" t="str">
        <f>IF(A451="","",Q451+R451)</f>
        <v/>
      </c>
      <c r="T451" s="65" t="str">
        <f>IF(AR451="","",INDEX(fa_htb,AR451)+INDEX(fa_tvab,AR451))</f>
        <v/>
      </c>
      <c r="U451" s="65" t="str">
        <f>IF(A451="","",SUMIF(pa_inv,A451,pa_amt))</f>
        <v/>
      </c>
      <c r="V451" s="65" t="str">
        <f>IF(OR(A451="",AA451="Avoir"),"",-SUMIFS(fa_ttc,fa_avof,A451,fa_type,"Avoir"))</f>
        <v/>
      </c>
      <c r="W451" s="65" t="str">
        <f>IF(OR(A451="",AA451="Avoir"),"",ROUND(S451-U451-V451,2))</f>
        <v/>
      </c>
      <c r="X451" s="66" t="str">
        <f>IF(W451="","",IF(AND(W451&gt;0,p_asof&gt;P451),p_asof-P451,""))</f>
        <v/>
      </c>
      <c r="Y451" s="59" t="str">
        <f>IF(A451="","",IF(AA451="Avoir","Avoir",IF(W451&lt;0,"Trop-perçu",IF(W451=0,"Soldée",IF(p_asof&gt;P451,"En retard",IF(U451+V451&gt;0,"Partielle","À échoir"))))))</f>
        <v/>
      </c>
      <c r="Z451" s="59" t="str">
        <f>IF(NOT(COUNTA(B451:D451,F451:O451)&gt;0),"",IF(C451="","Date manquante",IF(NOT(ISNUMBER(C451)),"Date invalide",IF(D451="","Client manquant",IF(ISNA(MATCH(D451,cli_code,0)),"Client inconnu",IF(AC451&lt;SUMPRODUCT(MAX(($AB$6:AB450=AB451)*$AC$6:AC450)),"Date antérieure à la facture précédente",IF(AND(F451&lt;&gt;"",ISNA(MATCH(F451,dv_num,0))),"Devis inconnu",IF(AND(F451&lt;&gt;"",IFERROR(INDEX(dv_client,MATCH(F451,dv_num,0)),D451)&lt;&gt;D451),"Client différent de celui du devis",IF(AG451="","Aucune ligne : saisissez des lignes ou un devis",IF(AND(AI451&lt;&gt;"",COUNTIF($AI$6:AI451,AI451)&gt;1),"Devis déjà repris par une autre facture",IF(AND(AA451="Avoir",M451=""),"Avoir : indiquez la facture d'origine",IF(AND(AA451="Avoir",ISNA(MATCH(M451,fa_num,0))),"Facture d'origine inconnue",IF(AND(AA451&lt;&gt;"Avoir",M451&lt;&gt;""),"« Avoir sur facture » : réservé aux avoirs",IF(AND(L451&lt;&gt;"",AA451&lt;&gt;"Facture"),"Acompte à déduire : réservé aux factures",IF(AND(L451&lt;&gt;"",ISNA(MATCH(L451,fa_num,0))),"Facture d'acompte inconnue",IF(AND(L451&lt;&gt;"",IFERROR(INDEX(fa_type,MATCH(L451,fa_num,0)),"")&lt;&gt;"Facture d'acompte"),"Le n° à déduire n'est pas une facture d'acompte",IF(AND(L451&lt;&gt;"",COUNTIF($L$6:L451,L451)&gt;1),"Acompte déjà déduit sur une autre facture",IF(AND(L451&lt;&gt;"",IFERROR(INDEX(fa_client,MATCH(L451,fa_num,0)),D451)&lt;&gt;D451),"Acompte d'un autre client",IF(AND(AR451&lt;&gt;"",N(Q451)&lt;0),"Acompte supérieur au total de la facture",IF(IF(AG451="Facture",COUNTIFS(fl_doc,A451,fl_check,"&lt;&gt;OK"),IF(AG451="Devis",COUNTIFS(dl_doc,F451,dl_check,"&lt;&gt;OK"),0))&gt;0,"Ligne(s) à corriger",IF(AND(W451&lt;&gt;"",N(W451)&lt;0),"Trop-perçu : vérifiez paiements et avoirs","OK")))))))))))))))))))))</f>
        <v/>
      </c>
      <c r="AA451" s="62" t="str">
        <f>IF(COUNTA(B451:D451,F451:O451)&gt;0,IF(B451="","Facture",B451),"")</f>
        <v/>
      </c>
      <c r="AB451" s="62" t="str">
        <f>IF(AA451="","",IF(AA451="Avoir",p_pav,IF(AA451="Facture d'acompte",p_pac,p_pfa)))</f>
        <v/>
      </c>
      <c r="AC451" s="62">
        <f>IF(ISNUMBER(C451),C451,0)</f>
        <v>0.0</v>
      </c>
      <c r="AD451" s="62" t="str">
        <f>IF(OR(AA451="",AC451=0),"",YEAR(AC451))</f>
        <v/>
      </c>
      <c r="AE451" s="62" t="str">
        <f>IF(AD451="","",COUNTIFS($AB$6:AB451,AB451,$AD$6:AD451,AD451))</f>
        <v/>
      </c>
      <c r="AF451" s="62">
        <f>IF(A451="",0,COUNTIF(fl_doc,A451))</f>
        <v>0.0</v>
      </c>
      <c r="AG451" s="62" t="str">
        <f>IF(A451="","",IF(AF451&gt;0,"Facture",IF(AND(F451&lt;&gt;"",AA451="Facture",ISNUMBER(MATCH(F451,dv_num,0))),"Devis","")))</f>
        <v/>
      </c>
      <c r="AH451" s="62" t="str">
        <f>IF(AND(A451&lt;&gt;"",F451&lt;&gt;"",AA451&lt;&gt;"Avoir"),F451,"")</f>
        <v/>
      </c>
      <c r="AI451" s="62" t="str">
        <f>IF(AG451="Devis",F451,"")</f>
        <v/>
      </c>
      <c r="AJ451" s="62">
        <f>IF(AG451="Facture",SUMIF(fl_doc,A451,fl_ht),IF(AG451="Devis",SUMIF(dl_doc,F451,dl_ht),0))</f>
        <v>0.0</v>
      </c>
      <c r="AK451" s="62">
        <f>IF(OR(AG451="",INDEX(p_rates,1)=""),0,IF(AG451="Facture",SUMIFS(fl_ht,fl_doc,A451,fl_rate,INDEX(p_rates,1)),SUMIFS(dl_ht,dl_doc,F451,dl_rate,INDEX(p_rates,1))))</f>
        <v>0.0</v>
      </c>
      <c r="AL451" s="62">
        <f>IF(OR(AG451="",INDEX(p_rates,2)=""),0,IF(AG451="Facture",SUMIFS(fl_ht,fl_doc,A451,fl_rate,INDEX(p_rates,2)),SUMIFS(dl_ht,dl_doc,F451,dl_rate,INDEX(p_rates,2))))</f>
        <v>0.0</v>
      </c>
      <c r="AM451" s="62">
        <f>IF(OR(AG451="",INDEX(p_rates,3)=""),0,IF(AG451="Facture",SUMIFS(fl_ht,fl_doc,A451,fl_rate,INDEX(p_rates,3)),SUMIFS(dl_ht,dl_doc,F451,dl_rate,INDEX(p_rates,3))))</f>
        <v>0.0</v>
      </c>
      <c r="AN451" s="62">
        <f>IF(OR(AG451="",INDEX(p_rates,4)=""),0,IF(AG451="Facture",SUMIFS(fl_ht,fl_doc,A451,fl_rate,INDEX(p_rates,4)),SUMIFS(dl_ht,dl_doc,F451,dl_rate,INDEX(p_rates,4))))</f>
        <v>0.0</v>
      </c>
      <c r="AO451" s="62">
        <f>IF(OR(AG451="",INDEX(p_rates,5)=""),0,IF(AG451="Facture",SUMIFS(fl_ht,fl_doc,A451,fl_rate,INDEX(p_rates,5)),SUMIFS(dl_ht,dl_doc,F451,dl_rate,INDEX(p_rates,5))))</f>
        <v>0.0</v>
      </c>
      <c r="AP451" s="62">
        <f>IF(OR(AG451="",INDEX(p_rates,6)=""),0,IF(AG451="Facture",SUMIFS(fl_ht,fl_doc,A451,fl_rate,INDEX(p_rates,6)),SUMIFS(dl_ht,dl_doc,F451,dl_rate,INDEX(p_rates,6))))</f>
        <v>0.0</v>
      </c>
      <c r="AQ451" s="62">
        <f>ROUND(AK451*N(INDEX(p_rates,1)),2)+ROUND(AL451*N(INDEX(p_rates,2)),2)+ROUND(AM451*N(INDEX(p_rates,3)),2)+ROUND(AN451*N(INDEX(p_rates,4)),2)+ROUND(AO451*N(INDEX(p_rates,5)),2)+ROUND(AP451*N(INDEX(p_rates,6)),2)</f>
        <v>0.0</v>
      </c>
      <c r="AR451" s="62" t="str">
        <f>IF(OR(L451="",AA451&lt;&gt;"Facture"),"",IFERROR(IF(INDEX(fa_type,MATCH(L451,fa_num,0))="Facture d'acompte",MATCH(L451,fa_num,0),""),""))</f>
        <v/>
      </c>
      <c r="AS451" s="62" t="str">
        <f>IF(W451="","",IF(W451&lt;=0,"",IF(p_asof-P451&lt;=0,"Non échu",IF(p_asof-P451&lt;=30,"1-30 j",IF(p_asof-P451&lt;=60,"31-60 j",IF(p_asof-P451&lt;=90,"61-90 j","Plus de 90 j"))))))</f>
        <v/>
      </c>
      <c r="AT451" s="62" t="str">
        <f>IF(AS451="","",p_asof-P451)</f>
        <v/>
      </c>
      <c r="AU451" s="62" t="str">
        <f>IF(AT451="","",COUNTIF($AT$6:$AT$805,"&gt;"&amp;AT451)+COUNTIF($AT$6:AT451,AT451))</f>
        <v/>
      </c>
    </row>
    <row r="452">
      <c r="A452" s="59" t="str">
        <f>IF(AE452="","",AB452&amp;"-"&amp;AD452&amp;"-"&amp;RIGHT("000"&amp;AE452,4))</f>
        <v/>
      </c>
      <c r="B452" s="60" t="n"/>
      <c r="C452" s="61" t="n"/>
      <c r="D452" s="60" t="n"/>
      <c r="E452" s="62" t="str">
        <f>IF(D452="","",IFERROR(INDEX(cli_name,MATCH(D452,cli_code,0))&amp;"","Client inconnu"))</f>
        <v/>
      </c>
      <c r="F452" s="60" t="n"/>
      <c r="G452" s="63" t="n"/>
      <c r="H452" s="61" t="n"/>
      <c r="I452" s="63" t="n"/>
      <c r="J452" s="60" t="n"/>
      <c r="K452" s="61" t="n"/>
      <c r="L452" s="60" t="n"/>
      <c r="M452" s="60" t="n"/>
      <c r="N452" s="60" t="n"/>
      <c r="O452" s="61" t="n"/>
      <c r="P452" s="64" t="str">
        <f>IF(A452="","",IF(AA452="Avoir",AC452,IF(ISNUMBER(K452),K452,AC452+IF(D452="",N(p_delay),IFERROR(IF(ISNUMBER(INDEX(cli_delay,MATCH(D452,cli_code,0))),INDEX(cli_delay,MATCH(D452,cli_code,0)),N(p_delay)),N(p_delay))))))</f>
        <v/>
      </c>
      <c r="Q452" s="65" t="str">
        <f>IF(A452="","",IF(AA452="Avoir",-1,1)*ROUND(AJ452-IF(AR452="",0,INDEX(fa_htb,AR452)),2))</f>
        <v/>
      </c>
      <c r="R452" s="65" t="str">
        <f>IF(A452="","",IF(AA452="Avoir",-1,1)*ROUND(AQ452-IF(AR452="",0,INDEX(fa_tvab,AR452)),2))</f>
        <v/>
      </c>
      <c r="S452" s="65" t="str">
        <f>IF(A452="","",Q452+R452)</f>
        <v/>
      </c>
      <c r="T452" s="65" t="str">
        <f>IF(AR452="","",INDEX(fa_htb,AR452)+INDEX(fa_tvab,AR452))</f>
        <v/>
      </c>
      <c r="U452" s="65" t="str">
        <f>IF(A452="","",SUMIF(pa_inv,A452,pa_amt))</f>
        <v/>
      </c>
      <c r="V452" s="65" t="str">
        <f>IF(OR(A452="",AA452="Avoir"),"",-SUMIFS(fa_ttc,fa_avof,A452,fa_type,"Avoir"))</f>
        <v/>
      </c>
      <c r="W452" s="65" t="str">
        <f>IF(OR(A452="",AA452="Avoir"),"",ROUND(S452-U452-V452,2))</f>
        <v/>
      </c>
      <c r="X452" s="66" t="str">
        <f>IF(W452="","",IF(AND(W452&gt;0,p_asof&gt;P452),p_asof-P452,""))</f>
        <v/>
      </c>
      <c r="Y452" s="59" t="str">
        <f>IF(A452="","",IF(AA452="Avoir","Avoir",IF(W452&lt;0,"Trop-perçu",IF(W452=0,"Soldée",IF(p_asof&gt;P452,"En retard",IF(U452+V452&gt;0,"Partielle","À échoir"))))))</f>
        <v/>
      </c>
      <c r="Z452" s="59" t="str">
        <f>IF(NOT(COUNTA(B452:D452,F452:O452)&gt;0),"",IF(C452="","Date manquante",IF(NOT(ISNUMBER(C452)),"Date invalide",IF(D452="","Client manquant",IF(ISNA(MATCH(D452,cli_code,0)),"Client inconnu",IF(AC452&lt;SUMPRODUCT(MAX(($AB$6:AB451=AB452)*$AC$6:AC451)),"Date antérieure à la facture précédente",IF(AND(F452&lt;&gt;"",ISNA(MATCH(F452,dv_num,0))),"Devis inconnu",IF(AND(F452&lt;&gt;"",IFERROR(INDEX(dv_client,MATCH(F452,dv_num,0)),D452)&lt;&gt;D452),"Client différent de celui du devis",IF(AG452="","Aucune ligne : saisissez des lignes ou un devis",IF(AND(AI452&lt;&gt;"",COUNTIF($AI$6:AI452,AI452)&gt;1),"Devis déjà repris par une autre facture",IF(AND(AA452="Avoir",M452=""),"Avoir : indiquez la facture d'origine",IF(AND(AA452="Avoir",ISNA(MATCH(M452,fa_num,0))),"Facture d'origine inconnue",IF(AND(AA452&lt;&gt;"Avoir",M452&lt;&gt;""),"« Avoir sur facture » : réservé aux avoirs",IF(AND(L452&lt;&gt;"",AA452&lt;&gt;"Facture"),"Acompte à déduire : réservé aux factures",IF(AND(L452&lt;&gt;"",ISNA(MATCH(L452,fa_num,0))),"Facture d'acompte inconnue",IF(AND(L452&lt;&gt;"",IFERROR(INDEX(fa_type,MATCH(L452,fa_num,0)),"")&lt;&gt;"Facture d'acompte"),"Le n° à déduire n'est pas une facture d'acompte",IF(AND(L452&lt;&gt;"",COUNTIF($L$6:L452,L452)&gt;1),"Acompte déjà déduit sur une autre facture",IF(AND(L452&lt;&gt;"",IFERROR(INDEX(fa_client,MATCH(L452,fa_num,0)),D452)&lt;&gt;D452),"Acompte d'un autre client",IF(AND(AR452&lt;&gt;"",N(Q452)&lt;0),"Acompte supérieur au total de la facture",IF(IF(AG452="Facture",COUNTIFS(fl_doc,A452,fl_check,"&lt;&gt;OK"),IF(AG452="Devis",COUNTIFS(dl_doc,F452,dl_check,"&lt;&gt;OK"),0))&gt;0,"Ligne(s) à corriger",IF(AND(W452&lt;&gt;"",N(W452)&lt;0),"Trop-perçu : vérifiez paiements et avoirs","OK")))))))))))))))))))))</f>
        <v/>
      </c>
      <c r="AA452" s="62" t="str">
        <f>IF(COUNTA(B452:D452,F452:O452)&gt;0,IF(B452="","Facture",B452),"")</f>
        <v/>
      </c>
      <c r="AB452" s="62" t="str">
        <f>IF(AA452="","",IF(AA452="Avoir",p_pav,IF(AA452="Facture d'acompte",p_pac,p_pfa)))</f>
        <v/>
      </c>
      <c r="AC452" s="62">
        <f>IF(ISNUMBER(C452),C452,0)</f>
        <v>0.0</v>
      </c>
      <c r="AD452" s="62" t="str">
        <f>IF(OR(AA452="",AC452=0),"",YEAR(AC452))</f>
        <v/>
      </c>
      <c r="AE452" s="62" t="str">
        <f>IF(AD452="","",COUNTIFS($AB$6:AB452,AB452,$AD$6:AD452,AD452))</f>
        <v/>
      </c>
      <c r="AF452" s="62">
        <f>IF(A452="",0,COUNTIF(fl_doc,A452))</f>
        <v>0.0</v>
      </c>
      <c r="AG452" s="62" t="str">
        <f>IF(A452="","",IF(AF452&gt;0,"Facture",IF(AND(F452&lt;&gt;"",AA452="Facture",ISNUMBER(MATCH(F452,dv_num,0))),"Devis","")))</f>
        <v/>
      </c>
      <c r="AH452" s="62" t="str">
        <f>IF(AND(A452&lt;&gt;"",F452&lt;&gt;"",AA452&lt;&gt;"Avoir"),F452,"")</f>
        <v/>
      </c>
      <c r="AI452" s="62" t="str">
        <f>IF(AG452="Devis",F452,"")</f>
        <v/>
      </c>
      <c r="AJ452" s="62">
        <f>IF(AG452="Facture",SUMIF(fl_doc,A452,fl_ht),IF(AG452="Devis",SUMIF(dl_doc,F452,dl_ht),0))</f>
        <v>0.0</v>
      </c>
      <c r="AK452" s="62">
        <f>IF(OR(AG452="",INDEX(p_rates,1)=""),0,IF(AG452="Facture",SUMIFS(fl_ht,fl_doc,A452,fl_rate,INDEX(p_rates,1)),SUMIFS(dl_ht,dl_doc,F452,dl_rate,INDEX(p_rates,1))))</f>
        <v>0.0</v>
      </c>
      <c r="AL452" s="62">
        <f>IF(OR(AG452="",INDEX(p_rates,2)=""),0,IF(AG452="Facture",SUMIFS(fl_ht,fl_doc,A452,fl_rate,INDEX(p_rates,2)),SUMIFS(dl_ht,dl_doc,F452,dl_rate,INDEX(p_rates,2))))</f>
        <v>0.0</v>
      </c>
      <c r="AM452" s="62">
        <f>IF(OR(AG452="",INDEX(p_rates,3)=""),0,IF(AG452="Facture",SUMIFS(fl_ht,fl_doc,A452,fl_rate,INDEX(p_rates,3)),SUMIFS(dl_ht,dl_doc,F452,dl_rate,INDEX(p_rates,3))))</f>
        <v>0.0</v>
      </c>
      <c r="AN452" s="62">
        <f>IF(OR(AG452="",INDEX(p_rates,4)=""),0,IF(AG452="Facture",SUMIFS(fl_ht,fl_doc,A452,fl_rate,INDEX(p_rates,4)),SUMIFS(dl_ht,dl_doc,F452,dl_rate,INDEX(p_rates,4))))</f>
        <v>0.0</v>
      </c>
      <c r="AO452" s="62">
        <f>IF(OR(AG452="",INDEX(p_rates,5)=""),0,IF(AG452="Facture",SUMIFS(fl_ht,fl_doc,A452,fl_rate,INDEX(p_rates,5)),SUMIFS(dl_ht,dl_doc,F452,dl_rate,INDEX(p_rates,5))))</f>
        <v>0.0</v>
      </c>
      <c r="AP452" s="62">
        <f>IF(OR(AG452="",INDEX(p_rates,6)=""),0,IF(AG452="Facture",SUMIFS(fl_ht,fl_doc,A452,fl_rate,INDEX(p_rates,6)),SUMIFS(dl_ht,dl_doc,F452,dl_rate,INDEX(p_rates,6))))</f>
        <v>0.0</v>
      </c>
      <c r="AQ452" s="62">
        <f>ROUND(AK452*N(INDEX(p_rates,1)),2)+ROUND(AL452*N(INDEX(p_rates,2)),2)+ROUND(AM452*N(INDEX(p_rates,3)),2)+ROUND(AN452*N(INDEX(p_rates,4)),2)+ROUND(AO452*N(INDEX(p_rates,5)),2)+ROUND(AP452*N(INDEX(p_rates,6)),2)</f>
        <v>0.0</v>
      </c>
      <c r="AR452" s="62" t="str">
        <f>IF(OR(L452="",AA452&lt;&gt;"Facture"),"",IFERROR(IF(INDEX(fa_type,MATCH(L452,fa_num,0))="Facture d'acompte",MATCH(L452,fa_num,0),""),""))</f>
        <v/>
      </c>
      <c r="AS452" s="62" t="str">
        <f>IF(W452="","",IF(W452&lt;=0,"",IF(p_asof-P452&lt;=0,"Non échu",IF(p_asof-P452&lt;=30,"1-30 j",IF(p_asof-P452&lt;=60,"31-60 j",IF(p_asof-P452&lt;=90,"61-90 j","Plus de 90 j"))))))</f>
        <v/>
      </c>
      <c r="AT452" s="62" t="str">
        <f>IF(AS452="","",p_asof-P452)</f>
        <v/>
      </c>
      <c r="AU452" s="62" t="str">
        <f>IF(AT452="","",COUNTIF($AT$6:$AT$805,"&gt;"&amp;AT452)+COUNTIF($AT$6:AT452,AT452))</f>
        <v/>
      </c>
    </row>
    <row r="453">
      <c r="A453" s="59" t="str">
        <f>IF(AE453="","",AB453&amp;"-"&amp;AD453&amp;"-"&amp;RIGHT("000"&amp;AE453,4))</f>
        <v/>
      </c>
      <c r="B453" s="60" t="n"/>
      <c r="C453" s="61" t="n"/>
      <c r="D453" s="60" t="n"/>
      <c r="E453" s="62" t="str">
        <f>IF(D453="","",IFERROR(INDEX(cli_name,MATCH(D453,cli_code,0))&amp;"","Client inconnu"))</f>
        <v/>
      </c>
      <c r="F453" s="60" t="n"/>
      <c r="G453" s="63" t="n"/>
      <c r="H453" s="61" t="n"/>
      <c r="I453" s="63" t="n"/>
      <c r="J453" s="60" t="n"/>
      <c r="K453" s="61" t="n"/>
      <c r="L453" s="60" t="n"/>
      <c r="M453" s="60" t="n"/>
      <c r="N453" s="60" t="n"/>
      <c r="O453" s="61" t="n"/>
      <c r="P453" s="64" t="str">
        <f>IF(A453="","",IF(AA453="Avoir",AC453,IF(ISNUMBER(K453),K453,AC453+IF(D453="",N(p_delay),IFERROR(IF(ISNUMBER(INDEX(cli_delay,MATCH(D453,cli_code,0))),INDEX(cli_delay,MATCH(D453,cli_code,0)),N(p_delay)),N(p_delay))))))</f>
        <v/>
      </c>
      <c r="Q453" s="65" t="str">
        <f>IF(A453="","",IF(AA453="Avoir",-1,1)*ROUND(AJ453-IF(AR453="",0,INDEX(fa_htb,AR453)),2))</f>
        <v/>
      </c>
      <c r="R453" s="65" t="str">
        <f>IF(A453="","",IF(AA453="Avoir",-1,1)*ROUND(AQ453-IF(AR453="",0,INDEX(fa_tvab,AR453)),2))</f>
        <v/>
      </c>
      <c r="S453" s="65" t="str">
        <f>IF(A453="","",Q453+R453)</f>
        <v/>
      </c>
      <c r="T453" s="65" t="str">
        <f>IF(AR453="","",INDEX(fa_htb,AR453)+INDEX(fa_tvab,AR453))</f>
        <v/>
      </c>
      <c r="U453" s="65" t="str">
        <f>IF(A453="","",SUMIF(pa_inv,A453,pa_amt))</f>
        <v/>
      </c>
      <c r="V453" s="65" t="str">
        <f>IF(OR(A453="",AA453="Avoir"),"",-SUMIFS(fa_ttc,fa_avof,A453,fa_type,"Avoir"))</f>
        <v/>
      </c>
      <c r="W453" s="65" t="str">
        <f>IF(OR(A453="",AA453="Avoir"),"",ROUND(S453-U453-V453,2))</f>
        <v/>
      </c>
      <c r="X453" s="66" t="str">
        <f>IF(W453="","",IF(AND(W453&gt;0,p_asof&gt;P453),p_asof-P453,""))</f>
        <v/>
      </c>
      <c r="Y453" s="59" t="str">
        <f>IF(A453="","",IF(AA453="Avoir","Avoir",IF(W453&lt;0,"Trop-perçu",IF(W453=0,"Soldée",IF(p_asof&gt;P453,"En retard",IF(U453+V453&gt;0,"Partielle","À échoir"))))))</f>
        <v/>
      </c>
      <c r="Z453" s="59" t="str">
        <f>IF(NOT(COUNTA(B453:D453,F453:O453)&gt;0),"",IF(C453="","Date manquante",IF(NOT(ISNUMBER(C453)),"Date invalide",IF(D453="","Client manquant",IF(ISNA(MATCH(D453,cli_code,0)),"Client inconnu",IF(AC453&lt;SUMPRODUCT(MAX(($AB$6:AB452=AB453)*$AC$6:AC452)),"Date antérieure à la facture précédente",IF(AND(F453&lt;&gt;"",ISNA(MATCH(F453,dv_num,0))),"Devis inconnu",IF(AND(F453&lt;&gt;"",IFERROR(INDEX(dv_client,MATCH(F453,dv_num,0)),D453)&lt;&gt;D453),"Client différent de celui du devis",IF(AG453="","Aucune ligne : saisissez des lignes ou un devis",IF(AND(AI453&lt;&gt;"",COUNTIF($AI$6:AI453,AI453)&gt;1),"Devis déjà repris par une autre facture",IF(AND(AA453="Avoir",M453=""),"Avoir : indiquez la facture d'origine",IF(AND(AA453="Avoir",ISNA(MATCH(M453,fa_num,0))),"Facture d'origine inconnue",IF(AND(AA453&lt;&gt;"Avoir",M453&lt;&gt;""),"« Avoir sur facture » : réservé aux avoirs",IF(AND(L453&lt;&gt;"",AA453&lt;&gt;"Facture"),"Acompte à déduire : réservé aux factures",IF(AND(L453&lt;&gt;"",ISNA(MATCH(L453,fa_num,0))),"Facture d'acompte inconnue",IF(AND(L453&lt;&gt;"",IFERROR(INDEX(fa_type,MATCH(L453,fa_num,0)),"")&lt;&gt;"Facture d'acompte"),"Le n° à déduire n'est pas une facture d'acompte",IF(AND(L453&lt;&gt;"",COUNTIF($L$6:L453,L453)&gt;1),"Acompte déjà déduit sur une autre facture",IF(AND(L453&lt;&gt;"",IFERROR(INDEX(fa_client,MATCH(L453,fa_num,0)),D453)&lt;&gt;D453),"Acompte d'un autre client",IF(AND(AR453&lt;&gt;"",N(Q453)&lt;0),"Acompte supérieur au total de la facture",IF(IF(AG453="Facture",COUNTIFS(fl_doc,A453,fl_check,"&lt;&gt;OK"),IF(AG453="Devis",COUNTIFS(dl_doc,F453,dl_check,"&lt;&gt;OK"),0))&gt;0,"Ligne(s) à corriger",IF(AND(W453&lt;&gt;"",N(W453)&lt;0),"Trop-perçu : vérifiez paiements et avoirs","OK")))))))))))))))))))))</f>
        <v/>
      </c>
      <c r="AA453" s="62" t="str">
        <f>IF(COUNTA(B453:D453,F453:O453)&gt;0,IF(B453="","Facture",B453),"")</f>
        <v/>
      </c>
      <c r="AB453" s="62" t="str">
        <f>IF(AA453="","",IF(AA453="Avoir",p_pav,IF(AA453="Facture d'acompte",p_pac,p_pfa)))</f>
        <v/>
      </c>
      <c r="AC453" s="62">
        <f>IF(ISNUMBER(C453),C453,0)</f>
        <v>0.0</v>
      </c>
      <c r="AD453" s="62" t="str">
        <f>IF(OR(AA453="",AC453=0),"",YEAR(AC453))</f>
        <v/>
      </c>
      <c r="AE453" s="62" t="str">
        <f>IF(AD453="","",COUNTIFS($AB$6:AB453,AB453,$AD$6:AD453,AD453))</f>
        <v/>
      </c>
      <c r="AF453" s="62">
        <f>IF(A453="",0,COUNTIF(fl_doc,A453))</f>
        <v>0.0</v>
      </c>
      <c r="AG453" s="62" t="str">
        <f>IF(A453="","",IF(AF453&gt;0,"Facture",IF(AND(F453&lt;&gt;"",AA453="Facture",ISNUMBER(MATCH(F453,dv_num,0))),"Devis","")))</f>
        <v/>
      </c>
      <c r="AH453" s="62" t="str">
        <f>IF(AND(A453&lt;&gt;"",F453&lt;&gt;"",AA453&lt;&gt;"Avoir"),F453,"")</f>
        <v/>
      </c>
      <c r="AI453" s="62" t="str">
        <f>IF(AG453="Devis",F453,"")</f>
        <v/>
      </c>
      <c r="AJ453" s="62">
        <f>IF(AG453="Facture",SUMIF(fl_doc,A453,fl_ht),IF(AG453="Devis",SUMIF(dl_doc,F453,dl_ht),0))</f>
        <v>0.0</v>
      </c>
      <c r="AK453" s="62">
        <f>IF(OR(AG453="",INDEX(p_rates,1)=""),0,IF(AG453="Facture",SUMIFS(fl_ht,fl_doc,A453,fl_rate,INDEX(p_rates,1)),SUMIFS(dl_ht,dl_doc,F453,dl_rate,INDEX(p_rates,1))))</f>
        <v>0.0</v>
      </c>
      <c r="AL453" s="62">
        <f>IF(OR(AG453="",INDEX(p_rates,2)=""),0,IF(AG453="Facture",SUMIFS(fl_ht,fl_doc,A453,fl_rate,INDEX(p_rates,2)),SUMIFS(dl_ht,dl_doc,F453,dl_rate,INDEX(p_rates,2))))</f>
        <v>0.0</v>
      </c>
      <c r="AM453" s="62">
        <f>IF(OR(AG453="",INDEX(p_rates,3)=""),0,IF(AG453="Facture",SUMIFS(fl_ht,fl_doc,A453,fl_rate,INDEX(p_rates,3)),SUMIFS(dl_ht,dl_doc,F453,dl_rate,INDEX(p_rates,3))))</f>
        <v>0.0</v>
      </c>
      <c r="AN453" s="62">
        <f>IF(OR(AG453="",INDEX(p_rates,4)=""),0,IF(AG453="Facture",SUMIFS(fl_ht,fl_doc,A453,fl_rate,INDEX(p_rates,4)),SUMIFS(dl_ht,dl_doc,F453,dl_rate,INDEX(p_rates,4))))</f>
        <v>0.0</v>
      </c>
      <c r="AO453" s="62">
        <f>IF(OR(AG453="",INDEX(p_rates,5)=""),0,IF(AG453="Facture",SUMIFS(fl_ht,fl_doc,A453,fl_rate,INDEX(p_rates,5)),SUMIFS(dl_ht,dl_doc,F453,dl_rate,INDEX(p_rates,5))))</f>
        <v>0.0</v>
      </c>
      <c r="AP453" s="62">
        <f>IF(OR(AG453="",INDEX(p_rates,6)=""),0,IF(AG453="Facture",SUMIFS(fl_ht,fl_doc,A453,fl_rate,INDEX(p_rates,6)),SUMIFS(dl_ht,dl_doc,F453,dl_rate,INDEX(p_rates,6))))</f>
        <v>0.0</v>
      </c>
      <c r="AQ453" s="62">
        <f>ROUND(AK453*N(INDEX(p_rates,1)),2)+ROUND(AL453*N(INDEX(p_rates,2)),2)+ROUND(AM453*N(INDEX(p_rates,3)),2)+ROUND(AN453*N(INDEX(p_rates,4)),2)+ROUND(AO453*N(INDEX(p_rates,5)),2)+ROUND(AP453*N(INDEX(p_rates,6)),2)</f>
        <v>0.0</v>
      </c>
      <c r="AR453" s="62" t="str">
        <f>IF(OR(L453="",AA453&lt;&gt;"Facture"),"",IFERROR(IF(INDEX(fa_type,MATCH(L453,fa_num,0))="Facture d'acompte",MATCH(L453,fa_num,0),""),""))</f>
        <v/>
      </c>
      <c r="AS453" s="62" t="str">
        <f>IF(W453="","",IF(W453&lt;=0,"",IF(p_asof-P453&lt;=0,"Non échu",IF(p_asof-P453&lt;=30,"1-30 j",IF(p_asof-P453&lt;=60,"31-60 j",IF(p_asof-P453&lt;=90,"61-90 j","Plus de 90 j"))))))</f>
        <v/>
      </c>
      <c r="AT453" s="62" t="str">
        <f>IF(AS453="","",p_asof-P453)</f>
        <v/>
      </c>
      <c r="AU453" s="62" t="str">
        <f>IF(AT453="","",COUNTIF($AT$6:$AT$805,"&gt;"&amp;AT453)+COUNTIF($AT$6:AT453,AT453))</f>
        <v/>
      </c>
    </row>
    <row r="454">
      <c r="A454" s="59" t="str">
        <f>IF(AE454="","",AB454&amp;"-"&amp;AD454&amp;"-"&amp;RIGHT("000"&amp;AE454,4))</f>
        <v/>
      </c>
      <c r="B454" s="60" t="n"/>
      <c r="C454" s="61" t="n"/>
      <c r="D454" s="60" t="n"/>
      <c r="E454" s="62" t="str">
        <f>IF(D454="","",IFERROR(INDEX(cli_name,MATCH(D454,cli_code,0))&amp;"","Client inconnu"))</f>
        <v/>
      </c>
      <c r="F454" s="60" t="n"/>
      <c r="G454" s="63" t="n"/>
      <c r="H454" s="61" t="n"/>
      <c r="I454" s="63" t="n"/>
      <c r="J454" s="60" t="n"/>
      <c r="K454" s="61" t="n"/>
      <c r="L454" s="60" t="n"/>
      <c r="M454" s="60" t="n"/>
      <c r="N454" s="60" t="n"/>
      <c r="O454" s="61" t="n"/>
      <c r="P454" s="64" t="str">
        <f>IF(A454="","",IF(AA454="Avoir",AC454,IF(ISNUMBER(K454),K454,AC454+IF(D454="",N(p_delay),IFERROR(IF(ISNUMBER(INDEX(cli_delay,MATCH(D454,cli_code,0))),INDEX(cli_delay,MATCH(D454,cli_code,0)),N(p_delay)),N(p_delay))))))</f>
        <v/>
      </c>
      <c r="Q454" s="65" t="str">
        <f>IF(A454="","",IF(AA454="Avoir",-1,1)*ROUND(AJ454-IF(AR454="",0,INDEX(fa_htb,AR454)),2))</f>
        <v/>
      </c>
      <c r="R454" s="65" t="str">
        <f>IF(A454="","",IF(AA454="Avoir",-1,1)*ROUND(AQ454-IF(AR454="",0,INDEX(fa_tvab,AR454)),2))</f>
        <v/>
      </c>
      <c r="S454" s="65" t="str">
        <f>IF(A454="","",Q454+R454)</f>
        <v/>
      </c>
      <c r="T454" s="65" t="str">
        <f>IF(AR454="","",INDEX(fa_htb,AR454)+INDEX(fa_tvab,AR454))</f>
        <v/>
      </c>
      <c r="U454" s="65" t="str">
        <f>IF(A454="","",SUMIF(pa_inv,A454,pa_amt))</f>
        <v/>
      </c>
      <c r="V454" s="65" t="str">
        <f>IF(OR(A454="",AA454="Avoir"),"",-SUMIFS(fa_ttc,fa_avof,A454,fa_type,"Avoir"))</f>
        <v/>
      </c>
      <c r="W454" s="65" t="str">
        <f>IF(OR(A454="",AA454="Avoir"),"",ROUND(S454-U454-V454,2))</f>
        <v/>
      </c>
      <c r="X454" s="66" t="str">
        <f>IF(W454="","",IF(AND(W454&gt;0,p_asof&gt;P454),p_asof-P454,""))</f>
        <v/>
      </c>
      <c r="Y454" s="59" t="str">
        <f>IF(A454="","",IF(AA454="Avoir","Avoir",IF(W454&lt;0,"Trop-perçu",IF(W454=0,"Soldée",IF(p_asof&gt;P454,"En retard",IF(U454+V454&gt;0,"Partielle","À échoir"))))))</f>
        <v/>
      </c>
      <c r="Z454" s="59" t="str">
        <f>IF(NOT(COUNTA(B454:D454,F454:O454)&gt;0),"",IF(C454="","Date manquante",IF(NOT(ISNUMBER(C454)),"Date invalide",IF(D454="","Client manquant",IF(ISNA(MATCH(D454,cli_code,0)),"Client inconnu",IF(AC454&lt;SUMPRODUCT(MAX(($AB$6:AB453=AB454)*$AC$6:AC453)),"Date antérieure à la facture précédente",IF(AND(F454&lt;&gt;"",ISNA(MATCH(F454,dv_num,0))),"Devis inconnu",IF(AND(F454&lt;&gt;"",IFERROR(INDEX(dv_client,MATCH(F454,dv_num,0)),D454)&lt;&gt;D454),"Client différent de celui du devis",IF(AG454="","Aucune ligne : saisissez des lignes ou un devis",IF(AND(AI454&lt;&gt;"",COUNTIF($AI$6:AI454,AI454)&gt;1),"Devis déjà repris par une autre facture",IF(AND(AA454="Avoir",M454=""),"Avoir : indiquez la facture d'origine",IF(AND(AA454="Avoir",ISNA(MATCH(M454,fa_num,0))),"Facture d'origine inconnue",IF(AND(AA454&lt;&gt;"Avoir",M454&lt;&gt;""),"« Avoir sur facture » : réservé aux avoirs",IF(AND(L454&lt;&gt;"",AA454&lt;&gt;"Facture"),"Acompte à déduire : réservé aux factures",IF(AND(L454&lt;&gt;"",ISNA(MATCH(L454,fa_num,0))),"Facture d'acompte inconnue",IF(AND(L454&lt;&gt;"",IFERROR(INDEX(fa_type,MATCH(L454,fa_num,0)),"")&lt;&gt;"Facture d'acompte"),"Le n° à déduire n'est pas une facture d'acompte",IF(AND(L454&lt;&gt;"",COUNTIF($L$6:L454,L454)&gt;1),"Acompte déjà déduit sur une autre facture",IF(AND(L454&lt;&gt;"",IFERROR(INDEX(fa_client,MATCH(L454,fa_num,0)),D454)&lt;&gt;D454),"Acompte d'un autre client",IF(AND(AR454&lt;&gt;"",N(Q454)&lt;0),"Acompte supérieur au total de la facture",IF(IF(AG454="Facture",COUNTIFS(fl_doc,A454,fl_check,"&lt;&gt;OK"),IF(AG454="Devis",COUNTIFS(dl_doc,F454,dl_check,"&lt;&gt;OK"),0))&gt;0,"Ligne(s) à corriger",IF(AND(W454&lt;&gt;"",N(W454)&lt;0),"Trop-perçu : vérifiez paiements et avoirs","OK")))))))))))))))))))))</f>
        <v/>
      </c>
      <c r="AA454" s="62" t="str">
        <f>IF(COUNTA(B454:D454,F454:O454)&gt;0,IF(B454="","Facture",B454),"")</f>
        <v/>
      </c>
      <c r="AB454" s="62" t="str">
        <f>IF(AA454="","",IF(AA454="Avoir",p_pav,IF(AA454="Facture d'acompte",p_pac,p_pfa)))</f>
        <v/>
      </c>
      <c r="AC454" s="62">
        <f>IF(ISNUMBER(C454),C454,0)</f>
        <v>0.0</v>
      </c>
      <c r="AD454" s="62" t="str">
        <f>IF(OR(AA454="",AC454=0),"",YEAR(AC454))</f>
        <v/>
      </c>
      <c r="AE454" s="62" t="str">
        <f>IF(AD454="","",COUNTIFS($AB$6:AB454,AB454,$AD$6:AD454,AD454))</f>
        <v/>
      </c>
      <c r="AF454" s="62">
        <f>IF(A454="",0,COUNTIF(fl_doc,A454))</f>
        <v>0.0</v>
      </c>
      <c r="AG454" s="62" t="str">
        <f>IF(A454="","",IF(AF454&gt;0,"Facture",IF(AND(F454&lt;&gt;"",AA454="Facture",ISNUMBER(MATCH(F454,dv_num,0))),"Devis","")))</f>
        <v/>
      </c>
      <c r="AH454" s="62" t="str">
        <f>IF(AND(A454&lt;&gt;"",F454&lt;&gt;"",AA454&lt;&gt;"Avoir"),F454,"")</f>
        <v/>
      </c>
      <c r="AI454" s="62" t="str">
        <f>IF(AG454="Devis",F454,"")</f>
        <v/>
      </c>
      <c r="AJ454" s="62">
        <f>IF(AG454="Facture",SUMIF(fl_doc,A454,fl_ht),IF(AG454="Devis",SUMIF(dl_doc,F454,dl_ht),0))</f>
        <v>0.0</v>
      </c>
      <c r="AK454" s="62">
        <f>IF(OR(AG454="",INDEX(p_rates,1)=""),0,IF(AG454="Facture",SUMIFS(fl_ht,fl_doc,A454,fl_rate,INDEX(p_rates,1)),SUMIFS(dl_ht,dl_doc,F454,dl_rate,INDEX(p_rates,1))))</f>
        <v>0.0</v>
      </c>
      <c r="AL454" s="62">
        <f>IF(OR(AG454="",INDEX(p_rates,2)=""),0,IF(AG454="Facture",SUMIFS(fl_ht,fl_doc,A454,fl_rate,INDEX(p_rates,2)),SUMIFS(dl_ht,dl_doc,F454,dl_rate,INDEX(p_rates,2))))</f>
        <v>0.0</v>
      </c>
      <c r="AM454" s="62">
        <f>IF(OR(AG454="",INDEX(p_rates,3)=""),0,IF(AG454="Facture",SUMIFS(fl_ht,fl_doc,A454,fl_rate,INDEX(p_rates,3)),SUMIFS(dl_ht,dl_doc,F454,dl_rate,INDEX(p_rates,3))))</f>
        <v>0.0</v>
      </c>
      <c r="AN454" s="62">
        <f>IF(OR(AG454="",INDEX(p_rates,4)=""),0,IF(AG454="Facture",SUMIFS(fl_ht,fl_doc,A454,fl_rate,INDEX(p_rates,4)),SUMIFS(dl_ht,dl_doc,F454,dl_rate,INDEX(p_rates,4))))</f>
        <v>0.0</v>
      </c>
      <c r="AO454" s="62">
        <f>IF(OR(AG454="",INDEX(p_rates,5)=""),0,IF(AG454="Facture",SUMIFS(fl_ht,fl_doc,A454,fl_rate,INDEX(p_rates,5)),SUMIFS(dl_ht,dl_doc,F454,dl_rate,INDEX(p_rates,5))))</f>
        <v>0.0</v>
      </c>
      <c r="AP454" s="62">
        <f>IF(OR(AG454="",INDEX(p_rates,6)=""),0,IF(AG454="Facture",SUMIFS(fl_ht,fl_doc,A454,fl_rate,INDEX(p_rates,6)),SUMIFS(dl_ht,dl_doc,F454,dl_rate,INDEX(p_rates,6))))</f>
        <v>0.0</v>
      </c>
      <c r="AQ454" s="62">
        <f>ROUND(AK454*N(INDEX(p_rates,1)),2)+ROUND(AL454*N(INDEX(p_rates,2)),2)+ROUND(AM454*N(INDEX(p_rates,3)),2)+ROUND(AN454*N(INDEX(p_rates,4)),2)+ROUND(AO454*N(INDEX(p_rates,5)),2)+ROUND(AP454*N(INDEX(p_rates,6)),2)</f>
        <v>0.0</v>
      </c>
      <c r="AR454" s="62" t="str">
        <f>IF(OR(L454="",AA454&lt;&gt;"Facture"),"",IFERROR(IF(INDEX(fa_type,MATCH(L454,fa_num,0))="Facture d'acompte",MATCH(L454,fa_num,0),""),""))</f>
        <v/>
      </c>
      <c r="AS454" s="62" t="str">
        <f>IF(W454="","",IF(W454&lt;=0,"",IF(p_asof-P454&lt;=0,"Non échu",IF(p_asof-P454&lt;=30,"1-30 j",IF(p_asof-P454&lt;=60,"31-60 j",IF(p_asof-P454&lt;=90,"61-90 j","Plus de 90 j"))))))</f>
        <v/>
      </c>
      <c r="AT454" s="62" t="str">
        <f>IF(AS454="","",p_asof-P454)</f>
        <v/>
      </c>
      <c r="AU454" s="62" t="str">
        <f>IF(AT454="","",COUNTIF($AT$6:$AT$805,"&gt;"&amp;AT454)+COUNTIF($AT$6:AT454,AT454))</f>
        <v/>
      </c>
    </row>
    <row r="455">
      <c r="A455" s="59" t="str">
        <f>IF(AE455="","",AB455&amp;"-"&amp;AD455&amp;"-"&amp;RIGHT("000"&amp;AE455,4))</f>
        <v/>
      </c>
      <c r="B455" s="60" t="n"/>
      <c r="C455" s="61" t="n"/>
      <c r="D455" s="60" t="n"/>
      <c r="E455" s="62" t="str">
        <f>IF(D455="","",IFERROR(INDEX(cli_name,MATCH(D455,cli_code,0))&amp;"","Client inconnu"))</f>
        <v/>
      </c>
      <c r="F455" s="60" t="n"/>
      <c r="G455" s="63" t="n"/>
      <c r="H455" s="61" t="n"/>
      <c r="I455" s="63" t="n"/>
      <c r="J455" s="60" t="n"/>
      <c r="K455" s="61" t="n"/>
      <c r="L455" s="60" t="n"/>
      <c r="M455" s="60" t="n"/>
      <c r="N455" s="60" t="n"/>
      <c r="O455" s="61" t="n"/>
      <c r="P455" s="64" t="str">
        <f>IF(A455="","",IF(AA455="Avoir",AC455,IF(ISNUMBER(K455),K455,AC455+IF(D455="",N(p_delay),IFERROR(IF(ISNUMBER(INDEX(cli_delay,MATCH(D455,cli_code,0))),INDEX(cli_delay,MATCH(D455,cli_code,0)),N(p_delay)),N(p_delay))))))</f>
        <v/>
      </c>
      <c r="Q455" s="65" t="str">
        <f>IF(A455="","",IF(AA455="Avoir",-1,1)*ROUND(AJ455-IF(AR455="",0,INDEX(fa_htb,AR455)),2))</f>
        <v/>
      </c>
      <c r="R455" s="65" t="str">
        <f>IF(A455="","",IF(AA455="Avoir",-1,1)*ROUND(AQ455-IF(AR455="",0,INDEX(fa_tvab,AR455)),2))</f>
        <v/>
      </c>
      <c r="S455" s="65" t="str">
        <f>IF(A455="","",Q455+R455)</f>
        <v/>
      </c>
      <c r="T455" s="65" t="str">
        <f>IF(AR455="","",INDEX(fa_htb,AR455)+INDEX(fa_tvab,AR455))</f>
        <v/>
      </c>
      <c r="U455" s="65" t="str">
        <f>IF(A455="","",SUMIF(pa_inv,A455,pa_amt))</f>
        <v/>
      </c>
      <c r="V455" s="65" t="str">
        <f>IF(OR(A455="",AA455="Avoir"),"",-SUMIFS(fa_ttc,fa_avof,A455,fa_type,"Avoir"))</f>
        <v/>
      </c>
      <c r="W455" s="65" t="str">
        <f>IF(OR(A455="",AA455="Avoir"),"",ROUND(S455-U455-V455,2))</f>
        <v/>
      </c>
      <c r="X455" s="66" t="str">
        <f>IF(W455="","",IF(AND(W455&gt;0,p_asof&gt;P455),p_asof-P455,""))</f>
        <v/>
      </c>
      <c r="Y455" s="59" t="str">
        <f>IF(A455="","",IF(AA455="Avoir","Avoir",IF(W455&lt;0,"Trop-perçu",IF(W455=0,"Soldée",IF(p_asof&gt;P455,"En retard",IF(U455+V455&gt;0,"Partielle","À échoir"))))))</f>
        <v/>
      </c>
      <c r="Z455" s="59" t="str">
        <f>IF(NOT(COUNTA(B455:D455,F455:O455)&gt;0),"",IF(C455="","Date manquante",IF(NOT(ISNUMBER(C455)),"Date invalide",IF(D455="","Client manquant",IF(ISNA(MATCH(D455,cli_code,0)),"Client inconnu",IF(AC455&lt;SUMPRODUCT(MAX(($AB$6:AB454=AB455)*$AC$6:AC454)),"Date antérieure à la facture précédente",IF(AND(F455&lt;&gt;"",ISNA(MATCH(F455,dv_num,0))),"Devis inconnu",IF(AND(F455&lt;&gt;"",IFERROR(INDEX(dv_client,MATCH(F455,dv_num,0)),D455)&lt;&gt;D455),"Client différent de celui du devis",IF(AG455="","Aucune ligne : saisissez des lignes ou un devis",IF(AND(AI455&lt;&gt;"",COUNTIF($AI$6:AI455,AI455)&gt;1),"Devis déjà repris par une autre facture",IF(AND(AA455="Avoir",M455=""),"Avoir : indiquez la facture d'origine",IF(AND(AA455="Avoir",ISNA(MATCH(M455,fa_num,0))),"Facture d'origine inconnue",IF(AND(AA455&lt;&gt;"Avoir",M455&lt;&gt;""),"« Avoir sur facture » : réservé aux avoirs",IF(AND(L455&lt;&gt;"",AA455&lt;&gt;"Facture"),"Acompte à déduire : réservé aux factures",IF(AND(L455&lt;&gt;"",ISNA(MATCH(L455,fa_num,0))),"Facture d'acompte inconnue",IF(AND(L455&lt;&gt;"",IFERROR(INDEX(fa_type,MATCH(L455,fa_num,0)),"")&lt;&gt;"Facture d'acompte"),"Le n° à déduire n'est pas une facture d'acompte",IF(AND(L455&lt;&gt;"",COUNTIF($L$6:L455,L455)&gt;1),"Acompte déjà déduit sur une autre facture",IF(AND(L455&lt;&gt;"",IFERROR(INDEX(fa_client,MATCH(L455,fa_num,0)),D455)&lt;&gt;D455),"Acompte d'un autre client",IF(AND(AR455&lt;&gt;"",N(Q455)&lt;0),"Acompte supérieur au total de la facture",IF(IF(AG455="Facture",COUNTIFS(fl_doc,A455,fl_check,"&lt;&gt;OK"),IF(AG455="Devis",COUNTIFS(dl_doc,F455,dl_check,"&lt;&gt;OK"),0))&gt;0,"Ligne(s) à corriger",IF(AND(W455&lt;&gt;"",N(W455)&lt;0),"Trop-perçu : vérifiez paiements et avoirs","OK")))))))))))))))))))))</f>
        <v/>
      </c>
      <c r="AA455" s="62" t="str">
        <f>IF(COUNTA(B455:D455,F455:O455)&gt;0,IF(B455="","Facture",B455),"")</f>
        <v/>
      </c>
      <c r="AB455" s="62" t="str">
        <f>IF(AA455="","",IF(AA455="Avoir",p_pav,IF(AA455="Facture d'acompte",p_pac,p_pfa)))</f>
        <v/>
      </c>
      <c r="AC455" s="62">
        <f>IF(ISNUMBER(C455),C455,0)</f>
        <v>0.0</v>
      </c>
      <c r="AD455" s="62" t="str">
        <f>IF(OR(AA455="",AC455=0),"",YEAR(AC455))</f>
        <v/>
      </c>
      <c r="AE455" s="62" t="str">
        <f>IF(AD455="","",COUNTIFS($AB$6:AB455,AB455,$AD$6:AD455,AD455))</f>
        <v/>
      </c>
      <c r="AF455" s="62">
        <f>IF(A455="",0,COUNTIF(fl_doc,A455))</f>
        <v>0.0</v>
      </c>
      <c r="AG455" s="62" t="str">
        <f>IF(A455="","",IF(AF455&gt;0,"Facture",IF(AND(F455&lt;&gt;"",AA455="Facture",ISNUMBER(MATCH(F455,dv_num,0))),"Devis","")))</f>
        <v/>
      </c>
      <c r="AH455" s="62" t="str">
        <f>IF(AND(A455&lt;&gt;"",F455&lt;&gt;"",AA455&lt;&gt;"Avoir"),F455,"")</f>
        <v/>
      </c>
      <c r="AI455" s="62" t="str">
        <f>IF(AG455="Devis",F455,"")</f>
        <v/>
      </c>
      <c r="AJ455" s="62">
        <f>IF(AG455="Facture",SUMIF(fl_doc,A455,fl_ht),IF(AG455="Devis",SUMIF(dl_doc,F455,dl_ht),0))</f>
        <v>0.0</v>
      </c>
      <c r="AK455" s="62">
        <f>IF(OR(AG455="",INDEX(p_rates,1)=""),0,IF(AG455="Facture",SUMIFS(fl_ht,fl_doc,A455,fl_rate,INDEX(p_rates,1)),SUMIFS(dl_ht,dl_doc,F455,dl_rate,INDEX(p_rates,1))))</f>
        <v>0.0</v>
      </c>
      <c r="AL455" s="62">
        <f>IF(OR(AG455="",INDEX(p_rates,2)=""),0,IF(AG455="Facture",SUMIFS(fl_ht,fl_doc,A455,fl_rate,INDEX(p_rates,2)),SUMIFS(dl_ht,dl_doc,F455,dl_rate,INDEX(p_rates,2))))</f>
        <v>0.0</v>
      </c>
      <c r="AM455" s="62">
        <f>IF(OR(AG455="",INDEX(p_rates,3)=""),0,IF(AG455="Facture",SUMIFS(fl_ht,fl_doc,A455,fl_rate,INDEX(p_rates,3)),SUMIFS(dl_ht,dl_doc,F455,dl_rate,INDEX(p_rates,3))))</f>
        <v>0.0</v>
      </c>
      <c r="AN455" s="62">
        <f>IF(OR(AG455="",INDEX(p_rates,4)=""),0,IF(AG455="Facture",SUMIFS(fl_ht,fl_doc,A455,fl_rate,INDEX(p_rates,4)),SUMIFS(dl_ht,dl_doc,F455,dl_rate,INDEX(p_rates,4))))</f>
        <v>0.0</v>
      </c>
      <c r="AO455" s="62">
        <f>IF(OR(AG455="",INDEX(p_rates,5)=""),0,IF(AG455="Facture",SUMIFS(fl_ht,fl_doc,A455,fl_rate,INDEX(p_rates,5)),SUMIFS(dl_ht,dl_doc,F455,dl_rate,INDEX(p_rates,5))))</f>
        <v>0.0</v>
      </c>
      <c r="AP455" s="62">
        <f>IF(OR(AG455="",INDEX(p_rates,6)=""),0,IF(AG455="Facture",SUMIFS(fl_ht,fl_doc,A455,fl_rate,INDEX(p_rates,6)),SUMIFS(dl_ht,dl_doc,F455,dl_rate,INDEX(p_rates,6))))</f>
        <v>0.0</v>
      </c>
      <c r="AQ455" s="62">
        <f>ROUND(AK455*N(INDEX(p_rates,1)),2)+ROUND(AL455*N(INDEX(p_rates,2)),2)+ROUND(AM455*N(INDEX(p_rates,3)),2)+ROUND(AN455*N(INDEX(p_rates,4)),2)+ROUND(AO455*N(INDEX(p_rates,5)),2)+ROUND(AP455*N(INDEX(p_rates,6)),2)</f>
        <v>0.0</v>
      </c>
      <c r="AR455" s="62" t="str">
        <f>IF(OR(L455="",AA455&lt;&gt;"Facture"),"",IFERROR(IF(INDEX(fa_type,MATCH(L455,fa_num,0))="Facture d'acompte",MATCH(L455,fa_num,0),""),""))</f>
        <v/>
      </c>
      <c r="AS455" s="62" t="str">
        <f>IF(W455="","",IF(W455&lt;=0,"",IF(p_asof-P455&lt;=0,"Non échu",IF(p_asof-P455&lt;=30,"1-30 j",IF(p_asof-P455&lt;=60,"31-60 j",IF(p_asof-P455&lt;=90,"61-90 j","Plus de 90 j"))))))</f>
        <v/>
      </c>
      <c r="AT455" s="62" t="str">
        <f>IF(AS455="","",p_asof-P455)</f>
        <v/>
      </c>
      <c r="AU455" s="62" t="str">
        <f>IF(AT455="","",COUNTIF($AT$6:$AT$805,"&gt;"&amp;AT455)+COUNTIF($AT$6:AT455,AT455))</f>
        <v/>
      </c>
    </row>
    <row r="456">
      <c r="A456" s="59" t="str">
        <f>IF(AE456="","",AB456&amp;"-"&amp;AD456&amp;"-"&amp;RIGHT("000"&amp;AE456,4))</f>
        <v/>
      </c>
      <c r="B456" s="60" t="n"/>
      <c r="C456" s="61" t="n"/>
      <c r="D456" s="60" t="n"/>
      <c r="E456" s="62" t="str">
        <f>IF(D456="","",IFERROR(INDEX(cli_name,MATCH(D456,cli_code,0))&amp;"","Client inconnu"))</f>
        <v/>
      </c>
      <c r="F456" s="60" t="n"/>
      <c r="G456" s="63" t="n"/>
      <c r="H456" s="61" t="n"/>
      <c r="I456" s="63" t="n"/>
      <c r="J456" s="60" t="n"/>
      <c r="K456" s="61" t="n"/>
      <c r="L456" s="60" t="n"/>
      <c r="M456" s="60" t="n"/>
      <c r="N456" s="60" t="n"/>
      <c r="O456" s="61" t="n"/>
      <c r="P456" s="64" t="str">
        <f>IF(A456="","",IF(AA456="Avoir",AC456,IF(ISNUMBER(K456),K456,AC456+IF(D456="",N(p_delay),IFERROR(IF(ISNUMBER(INDEX(cli_delay,MATCH(D456,cli_code,0))),INDEX(cli_delay,MATCH(D456,cli_code,0)),N(p_delay)),N(p_delay))))))</f>
        <v/>
      </c>
      <c r="Q456" s="65" t="str">
        <f>IF(A456="","",IF(AA456="Avoir",-1,1)*ROUND(AJ456-IF(AR456="",0,INDEX(fa_htb,AR456)),2))</f>
        <v/>
      </c>
      <c r="R456" s="65" t="str">
        <f>IF(A456="","",IF(AA456="Avoir",-1,1)*ROUND(AQ456-IF(AR456="",0,INDEX(fa_tvab,AR456)),2))</f>
        <v/>
      </c>
      <c r="S456" s="65" t="str">
        <f>IF(A456="","",Q456+R456)</f>
        <v/>
      </c>
      <c r="T456" s="65" t="str">
        <f>IF(AR456="","",INDEX(fa_htb,AR456)+INDEX(fa_tvab,AR456))</f>
        <v/>
      </c>
      <c r="U456" s="65" t="str">
        <f>IF(A456="","",SUMIF(pa_inv,A456,pa_amt))</f>
        <v/>
      </c>
      <c r="V456" s="65" t="str">
        <f>IF(OR(A456="",AA456="Avoir"),"",-SUMIFS(fa_ttc,fa_avof,A456,fa_type,"Avoir"))</f>
        <v/>
      </c>
      <c r="W456" s="65" t="str">
        <f>IF(OR(A456="",AA456="Avoir"),"",ROUND(S456-U456-V456,2))</f>
        <v/>
      </c>
      <c r="X456" s="66" t="str">
        <f>IF(W456="","",IF(AND(W456&gt;0,p_asof&gt;P456),p_asof-P456,""))</f>
        <v/>
      </c>
      <c r="Y456" s="59" t="str">
        <f>IF(A456="","",IF(AA456="Avoir","Avoir",IF(W456&lt;0,"Trop-perçu",IF(W456=0,"Soldée",IF(p_asof&gt;P456,"En retard",IF(U456+V456&gt;0,"Partielle","À échoir"))))))</f>
        <v/>
      </c>
      <c r="Z456" s="59" t="str">
        <f>IF(NOT(COUNTA(B456:D456,F456:O456)&gt;0),"",IF(C456="","Date manquante",IF(NOT(ISNUMBER(C456)),"Date invalide",IF(D456="","Client manquant",IF(ISNA(MATCH(D456,cli_code,0)),"Client inconnu",IF(AC456&lt;SUMPRODUCT(MAX(($AB$6:AB455=AB456)*$AC$6:AC455)),"Date antérieure à la facture précédente",IF(AND(F456&lt;&gt;"",ISNA(MATCH(F456,dv_num,0))),"Devis inconnu",IF(AND(F456&lt;&gt;"",IFERROR(INDEX(dv_client,MATCH(F456,dv_num,0)),D456)&lt;&gt;D456),"Client différent de celui du devis",IF(AG456="","Aucune ligne : saisissez des lignes ou un devis",IF(AND(AI456&lt;&gt;"",COUNTIF($AI$6:AI456,AI456)&gt;1),"Devis déjà repris par une autre facture",IF(AND(AA456="Avoir",M456=""),"Avoir : indiquez la facture d'origine",IF(AND(AA456="Avoir",ISNA(MATCH(M456,fa_num,0))),"Facture d'origine inconnue",IF(AND(AA456&lt;&gt;"Avoir",M456&lt;&gt;""),"« Avoir sur facture » : réservé aux avoirs",IF(AND(L456&lt;&gt;"",AA456&lt;&gt;"Facture"),"Acompte à déduire : réservé aux factures",IF(AND(L456&lt;&gt;"",ISNA(MATCH(L456,fa_num,0))),"Facture d'acompte inconnue",IF(AND(L456&lt;&gt;"",IFERROR(INDEX(fa_type,MATCH(L456,fa_num,0)),"")&lt;&gt;"Facture d'acompte"),"Le n° à déduire n'est pas une facture d'acompte",IF(AND(L456&lt;&gt;"",COUNTIF($L$6:L456,L456)&gt;1),"Acompte déjà déduit sur une autre facture",IF(AND(L456&lt;&gt;"",IFERROR(INDEX(fa_client,MATCH(L456,fa_num,0)),D456)&lt;&gt;D456),"Acompte d'un autre client",IF(AND(AR456&lt;&gt;"",N(Q456)&lt;0),"Acompte supérieur au total de la facture",IF(IF(AG456="Facture",COUNTIFS(fl_doc,A456,fl_check,"&lt;&gt;OK"),IF(AG456="Devis",COUNTIFS(dl_doc,F456,dl_check,"&lt;&gt;OK"),0))&gt;0,"Ligne(s) à corriger",IF(AND(W456&lt;&gt;"",N(W456)&lt;0),"Trop-perçu : vérifiez paiements et avoirs","OK")))))))))))))))))))))</f>
        <v/>
      </c>
      <c r="AA456" s="62" t="str">
        <f>IF(COUNTA(B456:D456,F456:O456)&gt;0,IF(B456="","Facture",B456),"")</f>
        <v/>
      </c>
      <c r="AB456" s="62" t="str">
        <f>IF(AA456="","",IF(AA456="Avoir",p_pav,IF(AA456="Facture d'acompte",p_pac,p_pfa)))</f>
        <v/>
      </c>
      <c r="AC456" s="62">
        <f>IF(ISNUMBER(C456),C456,0)</f>
        <v>0.0</v>
      </c>
      <c r="AD456" s="62" t="str">
        <f>IF(OR(AA456="",AC456=0),"",YEAR(AC456))</f>
        <v/>
      </c>
      <c r="AE456" s="62" t="str">
        <f>IF(AD456="","",COUNTIFS($AB$6:AB456,AB456,$AD$6:AD456,AD456))</f>
        <v/>
      </c>
      <c r="AF456" s="62">
        <f>IF(A456="",0,COUNTIF(fl_doc,A456))</f>
        <v>0.0</v>
      </c>
      <c r="AG456" s="62" t="str">
        <f>IF(A456="","",IF(AF456&gt;0,"Facture",IF(AND(F456&lt;&gt;"",AA456="Facture",ISNUMBER(MATCH(F456,dv_num,0))),"Devis","")))</f>
        <v/>
      </c>
      <c r="AH456" s="62" t="str">
        <f>IF(AND(A456&lt;&gt;"",F456&lt;&gt;"",AA456&lt;&gt;"Avoir"),F456,"")</f>
        <v/>
      </c>
      <c r="AI456" s="62" t="str">
        <f>IF(AG456="Devis",F456,"")</f>
        <v/>
      </c>
      <c r="AJ456" s="62">
        <f>IF(AG456="Facture",SUMIF(fl_doc,A456,fl_ht),IF(AG456="Devis",SUMIF(dl_doc,F456,dl_ht),0))</f>
        <v>0.0</v>
      </c>
      <c r="AK456" s="62">
        <f>IF(OR(AG456="",INDEX(p_rates,1)=""),0,IF(AG456="Facture",SUMIFS(fl_ht,fl_doc,A456,fl_rate,INDEX(p_rates,1)),SUMIFS(dl_ht,dl_doc,F456,dl_rate,INDEX(p_rates,1))))</f>
        <v>0.0</v>
      </c>
      <c r="AL456" s="62">
        <f>IF(OR(AG456="",INDEX(p_rates,2)=""),0,IF(AG456="Facture",SUMIFS(fl_ht,fl_doc,A456,fl_rate,INDEX(p_rates,2)),SUMIFS(dl_ht,dl_doc,F456,dl_rate,INDEX(p_rates,2))))</f>
        <v>0.0</v>
      </c>
      <c r="AM456" s="62">
        <f>IF(OR(AG456="",INDEX(p_rates,3)=""),0,IF(AG456="Facture",SUMIFS(fl_ht,fl_doc,A456,fl_rate,INDEX(p_rates,3)),SUMIFS(dl_ht,dl_doc,F456,dl_rate,INDEX(p_rates,3))))</f>
        <v>0.0</v>
      </c>
      <c r="AN456" s="62">
        <f>IF(OR(AG456="",INDEX(p_rates,4)=""),0,IF(AG456="Facture",SUMIFS(fl_ht,fl_doc,A456,fl_rate,INDEX(p_rates,4)),SUMIFS(dl_ht,dl_doc,F456,dl_rate,INDEX(p_rates,4))))</f>
        <v>0.0</v>
      </c>
      <c r="AO456" s="62">
        <f>IF(OR(AG456="",INDEX(p_rates,5)=""),0,IF(AG456="Facture",SUMIFS(fl_ht,fl_doc,A456,fl_rate,INDEX(p_rates,5)),SUMIFS(dl_ht,dl_doc,F456,dl_rate,INDEX(p_rates,5))))</f>
        <v>0.0</v>
      </c>
      <c r="AP456" s="62">
        <f>IF(OR(AG456="",INDEX(p_rates,6)=""),0,IF(AG456="Facture",SUMIFS(fl_ht,fl_doc,A456,fl_rate,INDEX(p_rates,6)),SUMIFS(dl_ht,dl_doc,F456,dl_rate,INDEX(p_rates,6))))</f>
        <v>0.0</v>
      </c>
      <c r="AQ456" s="62">
        <f>ROUND(AK456*N(INDEX(p_rates,1)),2)+ROUND(AL456*N(INDEX(p_rates,2)),2)+ROUND(AM456*N(INDEX(p_rates,3)),2)+ROUND(AN456*N(INDEX(p_rates,4)),2)+ROUND(AO456*N(INDEX(p_rates,5)),2)+ROUND(AP456*N(INDEX(p_rates,6)),2)</f>
        <v>0.0</v>
      </c>
      <c r="AR456" s="62" t="str">
        <f>IF(OR(L456="",AA456&lt;&gt;"Facture"),"",IFERROR(IF(INDEX(fa_type,MATCH(L456,fa_num,0))="Facture d'acompte",MATCH(L456,fa_num,0),""),""))</f>
        <v/>
      </c>
      <c r="AS456" s="62" t="str">
        <f>IF(W456="","",IF(W456&lt;=0,"",IF(p_asof-P456&lt;=0,"Non échu",IF(p_asof-P456&lt;=30,"1-30 j",IF(p_asof-P456&lt;=60,"31-60 j",IF(p_asof-P456&lt;=90,"61-90 j","Plus de 90 j"))))))</f>
        <v/>
      </c>
      <c r="AT456" s="62" t="str">
        <f>IF(AS456="","",p_asof-P456)</f>
        <v/>
      </c>
      <c r="AU456" s="62" t="str">
        <f>IF(AT456="","",COUNTIF($AT$6:$AT$805,"&gt;"&amp;AT456)+COUNTIF($AT$6:AT456,AT456))</f>
        <v/>
      </c>
    </row>
    <row r="457">
      <c r="A457" s="59" t="str">
        <f>IF(AE457="","",AB457&amp;"-"&amp;AD457&amp;"-"&amp;RIGHT("000"&amp;AE457,4))</f>
        <v/>
      </c>
      <c r="B457" s="60" t="n"/>
      <c r="C457" s="61" t="n"/>
      <c r="D457" s="60" t="n"/>
      <c r="E457" s="62" t="str">
        <f>IF(D457="","",IFERROR(INDEX(cli_name,MATCH(D457,cli_code,0))&amp;"","Client inconnu"))</f>
        <v/>
      </c>
      <c r="F457" s="60" t="n"/>
      <c r="G457" s="63" t="n"/>
      <c r="H457" s="61" t="n"/>
      <c r="I457" s="63" t="n"/>
      <c r="J457" s="60" t="n"/>
      <c r="K457" s="61" t="n"/>
      <c r="L457" s="60" t="n"/>
      <c r="M457" s="60" t="n"/>
      <c r="N457" s="60" t="n"/>
      <c r="O457" s="61" t="n"/>
      <c r="P457" s="64" t="str">
        <f>IF(A457="","",IF(AA457="Avoir",AC457,IF(ISNUMBER(K457),K457,AC457+IF(D457="",N(p_delay),IFERROR(IF(ISNUMBER(INDEX(cli_delay,MATCH(D457,cli_code,0))),INDEX(cli_delay,MATCH(D457,cli_code,0)),N(p_delay)),N(p_delay))))))</f>
        <v/>
      </c>
      <c r="Q457" s="65" t="str">
        <f>IF(A457="","",IF(AA457="Avoir",-1,1)*ROUND(AJ457-IF(AR457="",0,INDEX(fa_htb,AR457)),2))</f>
        <v/>
      </c>
      <c r="R457" s="65" t="str">
        <f>IF(A457="","",IF(AA457="Avoir",-1,1)*ROUND(AQ457-IF(AR457="",0,INDEX(fa_tvab,AR457)),2))</f>
        <v/>
      </c>
      <c r="S457" s="65" t="str">
        <f>IF(A457="","",Q457+R457)</f>
        <v/>
      </c>
      <c r="T457" s="65" t="str">
        <f>IF(AR457="","",INDEX(fa_htb,AR457)+INDEX(fa_tvab,AR457))</f>
        <v/>
      </c>
      <c r="U457" s="65" t="str">
        <f>IF(A457="","",SUMIF(pa_inv,A457,pa_amt))</f>
        <v/>
      </c>
      <c r="V457" s="65" t="str">
        <f>IF(OR(A457="",AA457="Avoir"),"",-SUMIFS(fa_ttc,fa_avof,A457,fa_type,"Avoir"))</f>
        <v/>
      </c>
      <c r="W457" s="65" t="str">
        <f>IF(OR(A457="",AA457="Avoir"),"",ROUND(S457-U457-V457,2))</f>
        <v/>
      </c>
      <c r="X457" s="66" t="str">
        <f>IF(W457="","",IF(AND(W457&gt;0,p_asof&gt;P457),p_asof-P457,""))</f>
        <v/>
      </c>
      <c r="Y457" s="59" t="str">
        <f>IF(A457="","",IF(AA457="Avoir","Avoir",IF(W457&lt;0,"Trop-perçu",IF(W457=0,"Soldée",IF(p_asof&gt;P457,"En retard",IF(U457+V457&gt;0,"Partielle","À échoir"))))))</f>
        <v/>
      </c>
      <c r="Z457" s="59" t="str">
        <f>IF(NOT(COUNTA(B457:D457,F457:O457)&gt;0),"",IF(C457="","Date manquante",IF(NOT(ISNUMBER(C457)),"Date invalide",IF(D457="","Client manquant",IF(ISNA(MATCH(D457,cli_code,0)),"Client inconnu",IF(AC457&lt;SUMPRODUCT(MAX(($AB$6:AB456=AB457)*$AC$6:AC456)),"Date antérieure à la facture précédente",IF(AND(F457&lt;&gt;"",ISNA(MATCH(F457,dv_num,0))),"Devis inconnu",IF(AND(F457&lt;&gt;"",IFERROR(INDEX(dv_client,MATCH(F457,dv_num,0)),D457)&lt;&gt;D457),"Client différent de celui du devis",IF(AG457="","Aucune ligne : saisissez des lignes ou un devis",IF(AND(AI457&lt;&gt;"",COUNTIF($AI$6:AI457,AI457)&gt;1),"Devis déjà repris par une autre facture",IF(AND(AA457="Avoir",M457=""),"Avoir : indiquez la facture d'origine",IF(AND(AA457="Avoir",ISNA(MATCH(M457,fa_num,0))),"Facture d'origine inconnue",IF(AND(AA457&lt;&gt;"Avoir",M457&lt;&gt;""),"« Avoir sur facture » : réservé aux avoirs",IF(AND(L457&lt;&gt;"",AA457&lt;&gt;"Facture"),"Acompte à déduire : réservé aux factures",IF(AND(L457&lt;&gt;"",ISNA(MATCH(L457,fa_num,0))),"Facture d'acompte inconnue",IF(AND(L457&lt;&gt;"",IFERROR(INDEX(fa_type,MATCH(L457,fa_num,0)),"")&lt;&gt;"Facture d'acompte"),"Le n° à déduire n'est pas une facture d'acompte",IF(AND(L457&lt;&gt;"",COUNTIF($L$6:L457,L457)&gt;1),"Acompte déjà déduit sur une autre facture",IF(AND(L457&lt;&gt;"",IFERROR(INDEX(fa_client,MATCH(L457,fa_num,0)),D457)&lt;&gt;D457),"Acompte d'un autre client",IF(AND(AR457&lt;&gt;"",N(Q457)&lt;0),"Acompte supérieur au total de la facture",IF(IF(AG457="Facture",COUNTIFS(fl_doc,A457,fl_check,"&lt;&gt;OK"),IF(AG457="Devis",COUNTIFS(dl_doc,F457,dl_check,"&lt;&gt;OK"),0))&gt;0,"Ligne(s) à corriger",IF(AND(W457&lt;&gt;"",N(W457)&lt;0),"Trop-perçu : vérifiez paiements et avoirs","OK")))))))))))))))))))))</f>
        <v/>
      </c>
      <c r="AA457" s="62" t="str">
        <f>IF(COUNTA(B457:D457,F457:O457)&gt;0,IF(B457="","Facture",B457),"")</f>
        <v/>
      </c>
      <c r="AB457" s="62" t="str">
        <f>IF(AA457="","",IF(AA457="Avoir",p_pav,IF(AA457="Facture d'acompte",p_pac,p_pfa)))</f>
        <v/>
      </c>
      <c r="AC457" s="62">
        <f>IF(ISNUMBER(C457),C457,0)</f>
        <v>0.0</v>
      </c>
      <c r="AD457" s="62" t="str">
        <f>IF(OR(AA457="",AC457=0),"",YEAR(AC457))</f>
        <v/>
      </c>
      <c r="AE457" s="62" t="str">
        <f>IF(AD457="","",COUNTIFS($AB$6:AB457,AB457,$AD$6:AD457,AD457))</f>
        <v/>
      </c>
      <c r="AF457" s="62">
        <f>IF(A457="",0,COUNTIF(fl_doc,A457))</f>
        <v>0.0</v>
      </c>
      <c r="AG457" s="62" t="str">
        <f>IF(A457="","",IF(AF457&gt;0,"Facture",IF(AND(F457&lt;&gt;"",AA457="Facture",ISNUMBER(MATCH(F457,dv_num,0))),"Devis","")))</f>
        <v/>
      </c>
      <c r="AH457" s="62" t="str">
        <f>IF(AND(A457&lt;&gt;"",F457&lt;&gt;"",AA457&lt;&gt;"Avoir"),F457,"")</f>
        <v/>
      </c>
      <c r="AI457" s="62" t="str">
        <f>IF(AG457="Devis",F457,"")</f>
        <v/>
      </c>
      <c r="AJ457" s="62">
        <f>IF(AG457="Facture",SUMIF(fl_doc,A457,fl_ht),IF(AG457="Devis",SUMIF(dl_doc,F457,dl_ht),0))</f>
        <v>0.0</v>
      </c>
      <c r="AK457" s="62">
        <f>IF(OR(AG457="",INDEX(p_rates,1)=""),0,IF(AG457="Facture",SUMIFS(fl_ht,fl_doc,A457,fl_rate,INDEX(p_rates,1)),SUMIFS(dl_ht,dl_doc,F457,dl_rate,INDEX(p_rates,1))))</f>
        <v>0.0</v>
      </c>
      <c r="AL457" s="62">
        <f>IF(OR(AG457="",INDEX(p_rates,2)=""),0,IF(AG457="Facture",SUMIFS(fl_ht,fl_doc,A457,fl_rate,INDEX(p_rates,2)),SUMIFS(dl_ht,dl_doc,F457,dl_rate,INDEX(p_rates,2))))</f>
        <v>0.0</v>
      </c>
      <c r="AM457" s="62">
        <f>IF(OR(AG457="",INDEX(p_rates,3)=""),0,IF(AG457="Facture",SUMIFS(fl_ht,fl_doc,A457,fl_rate,INDEX(p_rates,3)),SUMIFS(dl_ht,dl_doc,F457,dl_rate,INDEX(p_rates,3))))</f>
        <v>0.0</v>
      </c>
      <c r="AN457" s="62">
        <f>IF(OR(AG457="",INDEX(p_rates,4)=""),0,IF(AG457="Facture",SUMIFS(fl_ht,fl_doc,A457,fl_rate,INDEX(p_rates,4)),SUMIFS(dl_ht,dl_doc,F457,dl_rate,INDEX(p_rates,4))))</f>
        <v>0.0</v>
      </c>
      <c r="AO457" s="62">
        <f>IF(OR(AG457="",INDEX(p_rates,5)=""),0,IF(AG457="Facture",SUMIFS(fl_ht,fl_doc,A457,fl_rate,INDEX(p_rates,5)),SUMIFS(dl_ht,dl_doc,F457,dl_rate,INDEX(p_rates,5))))</f>
        <v>0.0</v>
      </c>
      <c r="AP457" s="62">
        <f>IF(OR(AG457="",INDEX(p_rates,6)=""),0,IF(AG457="Facture",SUMIFS(fl_ht,fl_doc,A457,fl_rate,INDEX(p_rates,6)),SUMIFS(dl_ht,dl_doc,F457,dl_rate,INDEX(p_rates,6))))</f>
        <v>0.0</v>
      </c>
      <c r="AQ457" s="62">
        <f>ROUND(AK457*N(INDEX(p_rates,1)),2)+ROUND(AL457*N(INDEX(p_rates,2)),2)+ROUND(AM457*N(INDEX(p_rates,3)),2)+ROUND(AN457*N(INDEX(p_rates,4)),2)+ROUND(AO457*N(INDEX(p_rates,5)),2)+ROUND(AP457*N(INDEX(p_rates,6)),2)</f>
        <v>0.0</v>
      </c>
      <c r="AR457" s="62" t="str">
        <f>IF(OR(L457="",AA457&lt;&gt;"Facture"),"",IFERROR(IF(INDEX(fa_type,MATCH(L457,fa_num,0))="Facture d'acompte",MATCH(L457,fa_num,0),""),""))</f>
        <v/>
      </c>
      <c r="AS457" s="62" t="str">
        <f>IF(W457="","",IF(W457&lt;=0,"",IF(p_asof-P457&lt;=0,"Non échu",IF(p_asof-P457&lt;=30,"1-30 j",IF(p_asof-P457&lt;=60,"31-60 j",IF(p_asof-P457&lt;=90,"61-90 j","Plus de 90 j"))))))</f>
        <v/>
      </c>
      <c r="AT457" s="62" t="str">
        <f>IF(AS457="","",p_asof-P457)</f>
        <v/>
      </c>
      <c r="AU457" s="62" t="str">
        <f>IF(AT457="","",COUNTIF($AT$6:$AT$805,"&gt;"&amp;AT457)+COUNTIF($AT$6:AT457,AT457))</f>
        <v/>
      </c>
    </row>
    <row r="458">
      <c r="A458" s="59" t="str">
        <f>IF(AE458="","",AB458&amp;"-"&amp;AD458&amp;"-"&amp;RIGHT("000"&amp;AE458,4))</f>
        <v/>
      </c>
      <c r="B458" s="60" t="n"/>
      <c r="C458" s="61" t="n"/>
      <c r="D458" s="60" t="n"/>
      <c r="E458" s="62" t="str">
        <f>IF(D458="","",IFERROR(INDEX(cli_name,MATCH(D458,cli_code,0))&amp;"","Client inconnu"))</f>
        <v/>
      </c>
      <c r="F458" s="60" t="n"/>
      <c r="G458" s="63" t="n"/>
      <c r="H458" s="61" t="n"/>
      <c r="I458" s="63" t="n"/>
      <c r="J458" s="60" t="n"/>
      <c r="K458" s="61" t="n"/>
      <c r="L458" s="60" t="n"/>
      <c r="M458" s="60" t="n"/>
      <c r="N458" s="60" t="n"/>
      <c r="O458" s="61" t="n"/>
      <c r="P458" s="64" t="str">
        <f>IF(A458="","",IF(AA458="Avoir",AC458,IF(ISNUMBER(K458),K458,AC458+IF(D458="",N(p_delay),IFERROR(IF(ISNUMBER(INDEX(cli_delay,MATCH(D458,cli_code,0))),INDEX(cli_delay,MATCH(D458,cli_code,0)),N(p_delay)),N(p_delay))))))</f>
        <v/>
      </c>
      <c r="Q458" s="65" t="str">
        <f>IF(A458="","",IF(AA458="Avoir",-1,1)*ROUND(AJ458-IF(AR458="",0,INDEX(fa_htb,AR458)),2))</f>
        <v/>
      </c>
      <c r="R458" s="65" t="str">
        <f>IF(A458="","",IF(AA458="Avoir",-1,1)*ROUND(AQ458-IF(AR458="",0,INDEX(fa_tvab,AR458)),2))</f>
        <v/>
      </c>
      <c r="S458" s="65" t="str">
        <f>IF(A458="","",Q458+R458)</f>
        <v/>
      </c>
      <c r="T458" s="65" t="str">
        <f>IF(AR458="","",INDEX(fa_htb,AR458)+INDEX(fa_tvab,AR458))</f>
        <v/>
      </c>
      <c r="U458" s="65" t="str">
        <f>IF(A458="","",SUMIF(pa_inv,A458,pa_amt))</f>
        <v/>
      </c>
      <c r="V458" s="65" t="str">
        <f>IF(OR(A458="",AA458="Avoir"),"",-SUMIFS(fa_ttc,fa_avof,A458,fa_type,"Avoir"))</f>
        <v/>
      </c>
      <c r="W458" s="65" t="str">
        <f>IF(OR(A458="",AA458="Avoir"),"",ROUND(S458-U458-V458,2))</f>
        <v/>
      </c>
      <c r="X458" s="66" t="str">
        <f>IF(W458="","",IF(AND(W458&gt;0,p_asof&gt;P458),p_asof-P458,""))</f>
        <v/>
      </c>
      <c r="Y458" s="59" t="str">
        <f>IF(A458="","",IF(AA458="Avoir","Avoir",IF(W458&lt;0,"Trop-perçu",IF(W458=0,"Soldée",IF(p_asof&gt;P458,"En retard",IF(U458+V458&gt;0,"Partielle","À échoir"))))))</f>
        <v/>
      </c>
      <c r="Z458" s="59" t="str">
        <f>IF(NOT(COUNTA(B458:D458,F458:O458)&gt;0),"",IF(C458="","Date manquante",IF(NOT(ISNUMBER(C458)),"Date invalide",IF(D458="","Client manquant",IF(ISNA(MATCH(D458,cli_code,0)),"Client inconnu",IF(AC458&lt;SUMPRODUCT(MAX(($AB$6:AB457=AB458)*$AC$6:AC457)),"Date antérieure à la facture précédente",IF(AND(F458&lt;&gt;"",ISNA(MATCH(F458,dv_num,0))),"Devis inconnu",IF(AND(F458&lt;&gt;"",IFERROR(INDEX(dv_client,MATCH(F458,dv_num,0)),D458)&lt;&gt;D458),"Client différent de celui du devis",IF(AG458="","Aucune ligne : saisissez des lignes ou un devis",IF(AND(AI458&lt;&gt;"",COUNTIF($AI$6:AI458,AI458)&gt;1),"Devis déjà repris par une autre facture",IF(AND(AA458="Avoir",M458=""),"Avoir : indiquez la facture d'origine",IF(AND(AA458="Avoir",ISNA(MATCH(M458,fa_num,0))),"Facture d'origine inconnue",IF(AND(AA458&lt;&gt;"Avoir",M458&lt;&gt;""),"« Avoir sur facture » : réservé aux avoirs",IF(AND(L458&lt;&gt;"",AA458&lt;&gt;"Facture"),"Acompte à déduire : réservé aux factures",IF(AND(L458&lt;&gt;"",ISNA(MATCH(L458,fa_num,0))),"Facture d'acompte inconnue",IF(AND(L458&lt;&gt;"",IFERROR(INDEX(fa_type,MATCH(L458,fa_num,0)),"")&lt;&gt;"Facture d'acompte"),"Le n° à déduire n'est pas une facture d'acompte",IF(AND(L458&lt;&gt;"",COUNTIF($L$6:L458,L458)&gt;1),"Acompte déjà déduit sur une autre facture",IF(AND(L458&lt;&gt;"",IFERROR(INDEX(fa_client,MATCH(L458,fa_num,0)),D458)&lt;&gt;D458),"Acompte d'un autre client",IF(AND(AR458&lt;&gt;"",N(Q458)&lt;0),"Acompte supérieur au total de la facture",IF(IF(AG458="Facture",COUNTIFS(fl_doc,A458,fl_check,"&lt;&gt;OK"),IF(AG458="Devis",COUNTIFS(dl_doc,F458,dl_check,"&lt;&gt;OK"),0))&gt;0,"Ligne(s) à corriger",IF(AND(W458&lt;&gt;"",N(W458)&lt;0),"Trop-perçu : vérifiez paiements et avoirs","OK")))))))))))))))))))))</f>
        <v/>
      </c>
      <c r="AA458" s="62" t="str">
        <f>IF(COUNTA(B458:D458,F458:O458)&gt;0,IF(B458="","Facture",B458),"")</f>
        <v/>
      </c>
      <c r="AB458" s="62" t="str">
        <f>IF(AA458="","",IF(AA458="Avoir",p_pav,IF(AA458="Facture d'acompte",p_pac,p_pfa)))</f>
        <v/>
      </c>
      <c r="AC458" s="62">
        <f>IF(ISNUMBER(C458),C458,0)</f>
        <v>0.0</v>
      </c>
      <c r="AD458" s="62" t="str">
        <f>IF(OR(AA458="",AC458=0),"",YEAR(AC458))</f>
        <v/>
      </c>
      <c r="AE458" s="62" t="str">
        <f>IF(AD458="","",COUNTIFS($AB$6:AB458,AB458,$AD$6:AD458,AD458))</f>
        <v/>
      </c>
      <c r="AF458" s="62">
        <f>IF(A458="",0,COUNTIF(fl_doc,A458))</f>
        <v>0.0</v>
      </c>
      <c r="AG458" s="62" t="str">
        <f>IF(A458="","",IF(AF458&gt;0,"Facture",IF(AND(F458&lt;&gt;"",AA458="Facture",ISNUMBER(MATCH(F458,dv_num,0))),"Devis","")))</f>
        <v/>
      </c>
      <c r="AH458" s="62" t="str">
        <f>IF(AND(A458&lt;&gt;"",F458&lt;&gt;"",AA458&lt;&gt;"Avoir"),F458,"")</f>
        <v/>
      </c>
      <c r="AI458" s="62" t="str">
        <f>IF(AG458="Devis",F458,"")</f>
        <v/>
      </c>
      <c r="AJ458" s="62">
        <f>IF(AG458="Facture",SUMIF(fl_doc,A458,fl_ht),IF(AG458="Devis",SUMIF(dl_doc,F458,dl_ht),0))</f>
        <v>0.0</v>
      </c>
      <c r="AK458" s="62">
        <f>IF(OR(AG458="",INDEX(p_rates,1)=""),0,IF(AG458="Facture",SUMIFS(fl_ht,fl_doc,A458,fl_rate,INDEX(p_rates,1)),SUMIFS(dl_ht,dl_doc,F458,dl_rate,INDEX(p_rates,1))))</f>
        <v>0.0</v>
      </c>
      <c r="AL458" s="62">
        <f>IF(OR(AG458="",INDEX(p_rates,2)=""),0,IF(AG458="Facture",SUMIFS(fl_ht,fl_doc,A458,fl_rate,INDEX(p_rates,2)),SUMIFS(dl_ht,dl_doc,F458,dl_rate,INDEX(p_rates,2))))</f>
        <v>0.0</v>
      </c>
      <c r="AM458" s="62">
        <f>IF(OR(AG458="",INDEX(p_rates,3)=""),0,IF(AG458="Facture",SUMIFS(fl_ht,fl_doc,A458,fl_rate,INDEX(p_rates,3)),SUMIFS(dl_ht,dl_doc,F458,dl_rate,INDEX(p_rates,3))))</f>
        <v>0.0</v>
      </c>
      <c r="AN458" s="62">
        <f>IF(OR(AG458="",INDEX(p_rates,4)=""),0,IF(AG458="Facture",SUMIFS(fl_ht,fl_doc,A458,fl_rate,INDEX(p_rates,4)),SUMIFS(dl_ht,dl_doc,F458,dl_rate,INDEX(p_rates,4))))</f>
        <v>0.0</v>
      </c>
      <c r="AO458" s="62">
        <f>IF(OR(AG458="",INDEX(p_rates,5)=""),0,IF(AG458="Facture",SUMIFS(fl_ht,fl_doc,A458,fl_rate,INDEX(p_rates,5)),SUMIFS(dl_ht,dl_doc,F458,dl_rate,INDEX(p_rates,5))))</f>
        <v>0.0</v>
      </c>
      <c r="AP458" s="62">
        <f>IF(OR(AG458="",INDEX(p_rates,6)=""),0,IF(AG458="Facture",SUMIFS(fl_ht,fl_doc,A458,fl_rate,INDEX(p_rates,6)),SUMIFS(dl_ht,dl_doc,F458,dl_rate,INDEX(p_rates,6))))</f>
        <v>0.0</v>
      </c>
      <c r="AQ458" s="62">
        <f>ROUND(AK458*N(INDEX(p_rates,1)),2)+ROUND(AL458*N(INDEX(p_rates,2)),2)+ROUND(AM458*N(INDEX(p_rates,3)),2)+ROUND(AN458*N(INDEX(p_rates,4)),2)+ROUND(AO458*N(INDEX(p_rates,5)),2)+ROUND(AP458*N(INDEX(p_rates,6)),2)</f>
        <v>0.0</v>
      </c>
      <c r="AR458" s="62" t="str">
        <f>IF(OR(L458="",AA458&lt;&gt;"Facture"),"",IFERROR(IF(INDEX(fa_type,MATCH(L458,fa_num,0))="Facture d'acompte",MATCH(L458,fa_num,0),""),""))</f>
        <v/>
      </c>
      <c r="AS458" s="62" t="str">
        <f>IF(W458="","",IF(W458&lt;=0,"",IF(p_asof-P458&lt;=0,"Non échu",IF(p_asof-P458&lt;=30,"1-30 j",IF(p_asof-P458&lt;=60,"31-60 j",IF(p_asof-P458&lt;=90,"61-90 j","Plus de 90 j"))))))</f>
        <v/>
      </c>
      <c r="AT458" s="62" t="str">
        <f>IF(AS458="","",p_asof-P458)</f>
        <v/>
      </c>
      <c r="AU458" s="62" t="str">
        <f>IF(AT458="","",COUNTIF($AT$6:$AT$805,"&gt;"&amp;AT458)+COUNTIF($AT$6:AT458,AT458))</f>
        <v/>
      </c>
    </row>
    <row r="459">
      <c r="A459" s="59" t="str">
        <f>IF(AE459="","",AB459&amp;"-"&amp;AD459&amp;"-"&amp;RIGHT("000"&amp;AE459,4))</f>
        <v/>
      </c>
      <c r="B459" s="60" t="n"/>
      <c r="C459" s="61" t="n"/>
      <c r="D459" s="60" t="n"/>
      <c r="E459" s="62" t="str">
        <f>IF(D459="","",IFERROR(INDEX(cli_name,MATCH(D459,cli_code,0))&amp;"","Client inconnu"))</f>
        <v/>
      </c>
      <c r="F459" s="60" t="n"/>
      <c r="G459" s="63" t="n"/>
      <c r="H459" s="61" t="n"/>
      <c r="I459" s="63" t="n"/>
      <c r="J459" s="60" t="n"/>
      <c r="K459" s="61" t="n"/>
      <c r="L459" s="60" t="n"/>
      <c r="M459" s="60" t="n"/>
      <c r="N459" s="60" t="n"/>
      <c r="O459" s="61" t="n"/>
      <c r="P459" s="64" t="str">
        <f>IF(A459="","",IF(AA459="Avoir",AC459,IF(ISNUMBER(K459),K459,AC459+IF(D459="",N(p_delay),IFERROR(IF(ISNUMBER(INDEX(cli_delay,MATCH(D459,cli_code,0))),INDEX(cli_delay,MATCH(D459,cli_code,0)),N(p_delay)),N(p_delay))))))</f>
        <v/>
      </c>
      <c r="Q459" s="65" t="str">
        <f>IF(A459="","",IF(AA459="Avoir",-1,1)*ROUND(AJ459-IF(AR459="",0,INDEX(fa_htb,AR459)),2))</f>
        <v/>
      </c>
      <c r="R459" s="65" t="str">
        <f>IF(A459="","",IF(AA459="Avoir",-1,1)*ROUND(AQ459-IF(AR459="",0,INDEX(fa_tvab,AR459)),2))</f>
        <v/>
      </c>
      <c r="S459" s="65" t="str">
        <f>IF(A459="","",Q459+R459)</f>
        <v/>
      </c>
      <c r="T459" s="65" t="str">
        <f>IF(AR459="","",INDEX(fa_htb,AR459)+INDEX(fa_tvab,AR459))</f>
        <v/>
      </c>
      <c r="U459" s="65" t="str">
        <f>IF(A459="","",SUMIF(pa_inv,A459,pa_amt))</f>
        <v/>
      </c>
      <c r="V459" s="65" t="str">
        <f>IF(OR(A459="",AA459="Avoir"),"",-SUMIFS(fa_ttc,fa_avof,A459,fa_type,"Avoir"))</f>
        <v/>
      </c>
      <c r="W459" s="65" t="str">
        <f>IF(OR(A459="",AA459="Avoir"),"",ROUND(S459-U459-V459,2))</f>
        <v/>
      </c>
      <c r="X459" s="66" t="str">
        <f>IF(W459="","",IF(AND(W459&gt;0,p_asof&gt;P459),p_asof-P459,""))</f>
        <v/>
      </c>
      <c r="Y459" s="59" t="str">
        <f>IF(A459="","",IF(AA459="Avoir","Avoir",IF(W459&lt;0,"Trop-perçu",IF(W459=0,"Soldée",IF(p_asof&gt;P459,"En retard",IF(U459+V459&gt;0,"Partielle","À échoir"))))))</f>
        <v/>
      </c>
      <c r="Z459" s="59" t="str">
        <f>IF(NOT(COUNTA(B459:D459,F459:O459)&gt;0),"",IF(C459="","Date manquante",IF(NOT(ISNUMBER(C459)),"Date invalide",IF(D459="","Client manquant",IF(ISNA(MATCH(D459,cli_code,0)),"Client inconnu",IF(AC459&lt;SUMPRODUCT(MAX(($AB$6:AB458=AB459)*$AC$6:AC458)),"Date antérieure à la facture précédente",IF(AND(F459&lt;&gt;"",ISNA(MATCH(F459,dv_num,0))),"Devis inconnu",IF(AND(F459&lt;&gt;"",IFERROR(INDEX(dv_client,MATCH(F459,dv_num,0)),D459)&lt;&gt;D459),"Client différent de celui du devis",IF(AG459="","Aucune ligne : saisissez des lignes ou un devis",IF(AND(AI459&lt;&gt;"",COUNTIF($AI$6:AI459,AI459)&gt;1),"Devis déjà repris par une autre facture",IF(AND(AA459="Avoir",M459=""),"Avoir : indiquez la facture d'origine",IF(AND(AA459="Avoir",ISNA(MATCH(M459,fa_num,0))),"Facture d'origine inconnue",IF(AND(AA459&lt;&gt;"Avoir",M459&lt;&gt;""),"« Avoir sur facture » : réservé aux avoirs",IF(AND(L459&lt;&gt;"",AA459&lt;&gt;"Facture"),"Acompte à déduire : réservé aux factures",IF(AND(L459&lt;&gt;"",ISNA(MATCH(L459,fa_num,0))),"Facture d'acompte inconnue",IF(AND(L459&lt;&gt;"",IFERROR(INDEX(fa_type,MATCH(L459,fa_num,0)),"")&lt;&gt;"Facture d'acompte"),"Le n° à déduire n'est pas une facture d'acompte",IF(AND(L459&lt;&gt;"",COUNTIF($L$6:L459,L459)&gt;1),"Acompte déjà déduit sur une autre facture",IF(AND(L459&lt;&gt;"",IFERROR(INDEX(fa_client,MATCH(L459,fa_num,0)),D459)&lt;&gt;D459),"Acompte d'un autre client",IF(AND(AR459&lt;&gt;"",N(Q459)&lt;0),"Acompte supérieur au total de la facture",IF(IF(AG459="Facture",COUNTIFS(fl_doc,A459,fl_check,"&lt;&gt;OK"),IF(AG459="Devis",COUNTIFS(dl_doc,F459,dl_check,"&lt;&gt;OK"),0))&gt;0,"Ligne(s) à corriger",IF(AND(W459&lt;&gt;"",N(W459)&lt;0),"Trop-perçu : vérifiez paiements et avoirs","OK")))))))))))))))))))))</f>
        <v/>
      </c>
      <c r="AA459" s="62" t="str">
        <f>IF(COUNTA(B459:D459,F459:O459)&gt;0,IF(B459="","Facture",B459),"")</f>
        <v/>
      </c>
      <c r="AB459" s="62" t="str">
        <f>IF(AA459="","",IF(AA459="Avoir",p_pav,IF(AA459="Facture d'acompte",p_pac,p_pfa)))</f>
        <v/>
      </c>
      <c r="AC459" s="62">
        <f>IF(ISNUMBER(C459),C459,0)</f>
        <v>0.0</v>
      </c>
      <c r="AD459" s="62" t="str">
        <f>IF(OR(AA459="",AC459=0),"",YEAR(AC459))</f>
        <v/>
      </c>
      <c r="AE459" s="62" t="str">
        <f>IF(AD459="","",COUNTIFS($AB$6:AB459,AB459,$AD$6:AD459,AD459))</f>
        <v/>
      </c>
      <c r="AF459" s="62">
        <f>IF(A459="",0,COUNTIF(fl_doc,A459))</f>
        <v>0.0</v>
      </c>
      <c r="AG459" s="62" t="str">
        <f>IF(A459="","",IF(AF459&gt;0,"Facture",IF(AND(F459&lt;&gt;"",AA459="Facture",ISNUMBER(MATCH(F459,dv_num,0))),"Devis","")))</f>
        <v/>
      </c>
      <c r="AH459" s="62" t="str">
        <f>IF(AND(A459&lt;&gt;"",F459&lt;&gt;"",AA459&lt;&gt;"Avoir"),F459,"")</f>
        <v/>
      </c>
      <c r="AI459" s="62" t="str">
        <f>IF(AG459="Devis",F459,"")</f>
        <v/>
      </c>
      <c r="AJ459" s="62">
        <f>IF(AG459="Facture",SUMIF(fl_doc,A459,fl_ht),IF(AG459="Devis",SUMIF(dl_doc,F459,dl_ht),0))</f>
        <v>0.0</v>
      </c>
      <c r="AK459" s="62">
        <f>IF(OR(AG459="",INDEX(p_rates,1)=""),0,IF(AG459="Facture",SUMIFS(fl_ht,fl_doc,A459,fl_rate,INDEX(p_rates,1)),SUMIFS(dl_ht,dl_doc,F459,dl_rate,INDEX(p_rates,1))))</f>
        <v>0.0</v>
      </c>
      <c r="AL459" s="62">
        <f>IF(OR(AG459="",INDEX(p_rates,2)=""),0,IF(AG459="Facture",SUMIFS(fl_ht,fl_doc,A459,fl_rate,INDEX(p_rates,2)),SUMIFS(dl_ht,dl_doc,F459,dl_rate,INDEX(p_rates,2))))</f>
        <v>0.0</v>
      </c>
      <c r="AM459" s="62">
        <f>IF(OR(AG459="",INDEX(p_rates,3)=""),0,IF(AG459="Facture",SUMIFS(fl_ht,fl_doc,A459,fl_rate,INDEX(p_rates,3)),SUMIFS(dl_ht,dl_doc,F459,dl_rate,INDEX(p_rates,3))))</f>
        <v>0.0</v>
      </c>
      <c r="AN459" s="62">
        <f>IF(OR(AG459="",INDEX(p_rates,4)=""),0,IF(AG459="Facture",SUMIFS(fl_ht,fl_doc,A459,fl_rate,INDEX(p_rates,4)),SUMIFS(dl_ht,dl_doc,F459,dl_rate,INDEX(p_rates,4))))</f>
        <v>0.0</v>
      </c>
      <c r="AO459" s="62">
        <f>IF(OR(AG459="",INDEX(p_rates,5)=""),0,IF(AG459="Facture",SUMIFS(fl_ht,fl_doc,A459,fl_rate,INDEX(p_rates,5)),SUMIFS(dl_ht,dl_doc,F459,dl_rate,INDEX(p_rates,5))))</f>
        <v>0.0</v>
      </c>
      <c r="AP459" s="62">
        <f>IF(OR(AG459="",INDEX(p_rates,6)=""),0,IF(AG459="Facture",SUMIFS(fl_ht,fl_doc,A459,fl_rate,INDEX(p_rates,6)),SUMIFS(dl_ht,dl_doc,F459,dl_rate,INDEX(p_rates,6))))</f>
        <v>0.0</v>
      </c>
      <c r="AQ459" s="62">
        <f>ROUND(AK459*N(INDEX(p_rates,1)),2)+ROUND(AL459*N(INDEX(p_rates,2)),2)+ROUND(AM459*N(INDEX(p_rates,3)),2)+ROUND(AN459*N(INDEX(p_rates,4)),2)+ROUND(AO459*N(INDEX(p_rates,5)),2)+ROUND(AP459*N(INDEX(p_rates,6)),2)</f>
        <v>0.0</v>
      </c>
      <c r="AR459" s="62" t="str">
        <f>IF(OR(L459="",AA459&lt;&gt;"Facture"),"",IFERROR(IF(INDEX(fa_type,MATCH(L459,fa_num,0))="Facture d'acompte",MATCH(L459,fa_num,0),""),""))</f>
        <v/>
      </c>
      <c r="AS459" s="62" t="str">
        <f>IF(W459="","",IF(W459&lt;=0,"",IF(p_asof-P459&lt;=0,"Non échu",IF(p_asof-P459&lt;=30,"1-30 j",IF(p_asof-P459&lt;=60,"31-60 j",IF(p_asof-P459&lt;=90,"61-90 j","Plus de 90 j"))))))</f>
        <v/>
      </c>
      <c r="AT459" s="62" t="str">
        <f>IF(AS459="","",p_asof-P459)</f>
        <v/>
      </c>
      <c r="AU459" s="62" t="str">
        <f>IF(AT459="","",COUNTIF($AT$6:$AT$805,"&gt;"&amp;AT459)+COUNTIF($AT$6:AT459,AT459))</f>
        <v/>
      </c>
    </row>
    <row r="460">
      <c r="A460" s="59" t="str">
        <f>IF(AE460="","",AB460&amp;"-"&amp;AD460&amp;"-"&amp;RIGHT("000"&amp;AE460,4))</f>
        <v/>
      </c>
      <c r="B460" s="60" t="n"/>
      <c r="C460" s="61" t="n"/>
      <c r="D460" s="60" t="n"/>
      <c r="E460" s="62" t="str">
        <f>IF(D460="","",IFERROR(INDEX(cli_name,MATCH(D460,cli_code,0))&amp;"","Client inconnu"))</f>
        <v/>
      </c>
      <c r="F460" s="60" t="n"/>
      <c r="G460" s="63" t="n"/>
      <c r="H460" s="61" t="n"/>
      <c r="I460" s="63" t="n"/>
      <c r="J460" s="60" t="n"/>
      <c r="K460" s="61" t="n"/>
      <c r="L460" s="60" t="n"/>
      <c r="M460" s="60" t="n"/>
      <c r="N460" s="60" t="n"/>
      <c r="O460" s="61" t="n"/>
      <c r="P460" s="64" t="str">
        <f>IF(A460="","",IF(AA460="Avoir",AC460,IF(ISNUMBER(K460),K460,AC460+IF(D460="",N(p_delay),IFERROR(IF(ISNUMBER(INDEX(cli_delay,MATCH(D460,cli_code,0))),INDEX(cli_delay,MATCH(D460,cli_code,0)),N(p_delay)),N(p_delay))))))</f>
        <v/>
      </c>
      <c r="Q460" s="65" t="str">
        <f>IF(A460="","",IF(AA460="Avoir",-1,1)*ROUND(AJ460-IF(AR460="",0,INDEX(fa_htb,AR460)),2))</f>
        <v/>
      </c>
      <c r="R460" s="65" t="str">
        <f>IF(A460="","",IF(AA460="Avoir",-1,1)*ROUND(AQ460-IF(AR460="",0,INDEX(fa_tvab,AR460)),2))</f>
        <v/>
      </c>
      <c r="S460" s="65" t="str">
        <f>IF(A460="","",Q460+R460)</f>
        <v/>
      </c>
      <c r="T460" s="65" t="str">
        <f>IF(AR460="","",INDEX(fa_htb,AR460)+INDEX(fa_tvab,AR460))</f>
        <v/>
      </c>
      <c r="U460" s="65" t="str">
        <f>IF(A460="","",SUMIF(pa_inv,A460,pa_amt))</f>
        <v/>
      </c>
      <c r="V460" s="65" t="str">
        <f>IF(OR(A460="",AA460="Avoir"),"",-SUMIFS(fa_ttc,fa_avof,A460,fa_type,"Avoir"))</f>
        <v/>
      </c>
      <c r="W460" s="65" t="str">
        <f>IF(OR(A460="",AA460="Avoir"),"",ROUND(S460-U460-V460,2))</f>
        <v/>
      </c>
      <c r="X460" s="66" t="str">
        <f>IF(W460="","",IF(AND(W460&gt;0,p_asof&gt;P460),p_asof-P460,""))</f>
        <v/>
      </c>
      <c r="Y460" s="59" t="str">
        <f>IF(A460="","",IF(AA460="Avoir","Avoir",IF(W460&lt;0,"Trop-perçu",IF(W460=0,"Soldée",IF(p_asof&gt;P460,"En retard",IF(U460+V460&gt;0,"Partielle","À échoir"))))))</f>
        <v/>
      </c>
      <c r="Z460" s="59" t="str">
        <f>IF(NOT(COUNTA(B460:D460,F460:O460)&gt;0),"",IF(C460="","Date manquante",IF(NOT(ISNUMBER(C460)),"Date invalide",IF(D460="","Client manquant",IF(ISNA(MATCH(D460,cli_code,0)),"Client inconnu",IF(AC460&lt;SUMPRODUCT(MAX(($AB$6:AB459=AB460)*$AC$6:AC459)),"Date antérieure à la facture précédente",IF(AND(F460&lt;&gt;"",ISNA(MATCH(F460,dv_num,0))),"Devis inconnu",IF(AND(F460&lt;&gt;"",IFERROR(INDEX(dv_client,MATCH(F460,dv_num,0)),D460)&lt;&gt;D460),"Client différent de celui du devis",IF(AG460="","Aucune ligne : saisissez des lignes ou un devis",IF(AND(AI460&lt;&gt;"",COUNTIF($AI$6:AI460,AI460)&gt;1),"Devis déjà repris par une autre facture",IF(AND(AA460="Avoir",M460=""),"Avoir : indiquez la facture d'origine",IF(AND(AA460="Avoir",ISNA(MATCH(M460,fa_num,0))),"Facture d'origine inconnue",IF(AND(AA460&lt;&gt;"Avoir",M460&lt;&gt;""),"« Avoir sur facture » : réservé aux avoirs",IF(AND(L460&lt;&gt;"",AA460&lt;&gt;"Facture"),"Acompte à déduire : réservé aux factures",IF(AND(L460&lt;&gt;"",ISNA(MATCH(L460,fa_num,0))),"Facture d'acompte inconnue",IF(AND(L460&lt;&gt;"",IFERROR(INDEX(fa_type,MATCH(L460,fa_num,0)),"")&lt;&gt;"Facture d'acompte"),"Le n° à déduire n'est pas une facture d'acompte",IF(AND(L460&lt;&gt;"",COUNTIF($L$6:L460,L460)&gt;1),"Acompte déjà déduit sur une autre facture",IF(AND(L460&lt;&gt;"",IFERROR(INDEX(fa_client,MATCH(L460,fa_num,0)),D460)&lt;&gt;D460),"Acompte d'un autre client",IF(AND(AR460&lt;&gt;"",N(Q460)&lt;0),"Acompte supérieur au total de la facture",IF(IF(AG460="Facture",COUNTIFS(fl_doc,A460,fl_check,"&lt;&gt;OK"),IF(AG460="Devis",COUNTIFS(dl_doc,F460,dl_check,"&lt;&gt;OK"),0))&gt;0,"Ligne(s) à corriger",IF(AND(W460&lt;&gt;"",N(W460)&lt;0),"Trop-perçu : vérifiez paiements et avoirs","OK")))))))))))))))))))))</f>
        <v/>
      </c>
      <c r="AA460" s="62" t="str">
        <f>IF(COUNTA(B460:D460,F460:O460)&gt;0,IF(B460="","Facture",B460),"")</f>
        <v/>
      </c>
      <c r="AB460" s="62" t="str">
        <f>IF(AA460="","",IF(AA460="Avoir",p_pav,IF(AA460="Facture d'acompte",p_pac,p_pfa)))</f>
        <v/>
      </c>
      <c r="AC460" s="62">
        <f>IF(ISNUMBER(C460),C460,0)</f>
        <v>0.0</v>
      </c>
      <c r="AD460" s="62" t="str">
        <f>IF(OR(AA460="",AC460=0),"",YEAR(AC460))</f>
        <v/>
      </c>
      <c r="AE460" s="62" t="str">
        <f>IF(AD460="","",COUNTIFS($AB$6:AB460,AB460,$AD$6:AD460,AD460))</f>
        <v/>
      </c>
      <c r="AF460" s="62">
        <f>IF(A460="",0,COUNTIF(fl_doc,A460))</f>
        <v>0.0</v>
      </c>
      <c r="AG460" s="62" t="str">
        <f>IF(A460="","",IF(AF460&gt;0,"Facture",IF(AND(F460&lt;&gt;"",AA460="Facture",ISNUMBER(MATCH(F460,dv_num,0))),"Devis","")))</f>
        <v/>
      </c>
      <c r="AH460" s="62" t="str">
        <f>IF(AND(A460&lt;&gt;"",F460&lt;&gt;"",AA460&lt;&gt;"Avoir"),F460,"")</f>
        <v/>
      </c>
      <c r="AI460" s="62" t="str">
        <f>IF(AG460="Devis",F460,"")</f>
        <v/>
      </c>
      <c r="AJ460" s="62">
        <f>IF(AG460="Facture",SUMIF(fl_doc,A460,fl_ht),IF(AG460="Devis",SUMIF(dl_doc,F460,dl_ht),0))</f>
        <v>0.0</v>
      </c>
      <c r="AK460" s="62">
        <f>IF(OR(AG460="",INDEX(p_rates,1)=""),0,IF(AG460="Facture",SUMIFS(fl_ht,fl_doc,A460,fl_rate,INDEX(p_rates,1)),SUMIFS(dl_ht,dl_doc,F460,dl_rate,INDEX(p_rates,1))))</f>
        <v>0.0</v>
      </c>
      <c r="AL460" s="62">
        <f>IF(OR(AG460="",INDEX(p_rates,2)=""),0,IF(AG460="Facture",SUMIFS(fl_ht,fl_doc,A460,fl_rate,INDEX(p_rates,2)),SUMIFS(dl_ht,dl_doc,F460,dl_rate,INDEX(p_rates,2))))</f>
        <v>0.0</v>
      </c>
      <c r="AM460" s="62">
        <f>IF(OR(AG460="",INDEX(p_rates,3)=""),0,IF(AG460="Facture",SUMIFS(fl_ht,fl_doc,A460,fl_rate,INDEX(p_rates,3)),SUMIFS(dl_ht,dl_doc,F460,dl_rate,INDEX(p_rates,3))))</f>
        <v>0.0</v>
      </c>
      <c r="AN460" s="62">
        <f>IF(OR(AG460="",INDEX(p_rates,4)=""),0,IF(AG460="Facture",SUMIFS(fl_ht,fl_doc,A460,fl_rate,INDEX(p_rates,4)),SUMIFS(dl_ht,dl_doc,F460,dl_rate,INDEX(p_rates,4))))</f>
        <v>0.0</v>
      </c>
      <c r="AO460" s="62">
        <f>IF(OR(AG460="",INDEX(p_rates,5)=""),0,IF(AG460="Facture",SUMIFS(fl_ht,fl_doc,A460,fl_rate,INDEX(p_rates,5)),SUMIFS(dl_ht,dl_doc,F460,dl_rate,INDEX(p_rates,5))))</f>
        <v>0.0</v>
      </c>
      <c r="AP460" s="62">
        <f>IF(OR(AG460="",INDEX(p_rates,6)=""),0,IF(AG460="Facture",SUMIFS(fl_ht,fl_doc,A460,fl_rate,INDEX(p_rates,6)),SUMIFS(dl_ht,dl_doc,F460,dl_rate,INDEX(p_rates,6))))</f>
        <v>0.0</v>
      </c>
      <c r="AQ460" s="62">
        <f>ROUND(AK460*N(INDEX(p_rates,1)),2)+ROUND(AL460*N(INDEX(p_rates,2)),2)+ROUND(AM460*N(INDEX(p_rates,3)),2)+ROUND(AN460*N(INDEX(p_rates,4)),2)+ROUND(AO460*N(INDEX(p_rates,5)),2)+ROUND(AP460*N(INDEX(p_rates,6)),2)</f>
        <v>0.0</v>
      </c>
      <c r="AR460" s="62" t="str">
        <f>IF(OR(L460="",AA460&lt;&gt;"Facture"),"",IFERROR(IF(INDEX(fa_type,MATCH(L460,fa_num,0))="Facture d'acompte",MATCH(L460,fa_num,0),""),""))</f>
        <v/>
      </c>
      <c r="AS460" s="62" t="str">
        <f>IF(W460="","",IF(W460&lt;=0,"",IF(p_asof-P460&lt;=0,"Non échu",IF(p_asof-P460&lt;=30,"1-30 j",IF(p_asof-P460&lt;=60,"31-60 j",IF(p_asof-P460&lt;=90,"61-90 j","Plus de 90 j"))))))</f>
        <v/>
      </c>
      <c r="AT460" s="62" t="str">
        <f>IF(AS460="","",p_asof-P460)</f>
        <v/>
      </c>
      <c r="AU460" s="62" t="str">
        <f>IF(AT460="","",COUNTIF($AT$6:$AT$805,"&gt;"&amp;AT460)+COUNTIF($AT$6:AT460,AT460))</f>
        <v/>
      </c>
    </row>
    <row r="461">
      <c r="A461" s="59" t="str">
        <f>IF(AE461="","",AB461&amp;"-"&amp;AD461&amp;"-"&amp;RIGHT("000"&amp;AE461,4))</f>
        <v/>
      </c>
      <c r="B461" s="60" t="n"/>
      <c r="C461" s="61" t="n"/>
      <c r="D461" s="60" t="n"/>
      <c r="E461" s="62" t="str">
        <f>IF(D461="","",IFERROR(INDEX(cli_name,MATCH(D461,cli_code,0))&amp;"","Client inconnu"))</f>
        <v/>
      </c>
      <c r="F461" s="60" t="n"/>
      <c r="G461" s="63" t="n"/>
      <c r="H461" s="61" t="n"/>
      <c r="I461" s="63" t="n"/>
      <c r="J461" s="60" t="n"/>
      <c r="K461" s="61" t="n"/>
      <c r="L461" s="60" t="n"/>
      <c r="M461" s="60" t="n"/>
      <c r="N461" s="60" t="n"/>
      <c r="O461" s="61" t="n"/>
      <c r="P461" s="64" t="str">
        <f>IF(A461="","",IF(AA461="Avoir",AC461,IF(ISNUMBER(K461),K461,AC461+IF(D461="",N(p_delay),IFERROR(IF(ISNUMBER(INDEX(cli_delay,MATCH(D461,cli_code,0))),INDEX(cli_delay,MATCH(D461,cli_code,0)),N(p_delay)),N(p_delay))))))</f>
        <v/>
      </c>
      <c r="Q461" s="65" t="str">
        <f>IF(A461="","",IF(AA461="Avoir",-1,1)*ROUND(AJ461-IF(AR461="",0,INDEX(fa_htb,AR461)),2))</f>
        <v/>
      </c>
      <c r="R461" s="65" t="str">
        <f>IF(A461="","",IF(AA461="Avoir",-1,1)*ROUND(AQ461-IF(AR461="",0,INDEX(fa_tvab,AR461)),2))</f>
        <v/>
      </c>
      <c r="S461" s="65" t="str">
        <f>IF(A461="","",Q461+R461)</f>
        <v/>
      </c>
      <c r="T461" s="65" t="str">
        <f>IF(AR461="","",INDEX(fa_htb,AR461)+INDEX(fa_tvab,AR461))</f>
        <v/>
      </c>
      <c r="U461" s="65" t="str">
        <f>IF(A461="","",SUMIF(pa_inv,A461,pa_amt))</f>
        <v/>
      </c>
      <c r="V461" s="65" t="str">
        <f>IF(OR(A461="",AA461="Avoir"),"",-SUMIFS(fa_ttc,fa_avof,A461,fa_type,"Avoir"))</f>
        <v/>
      </c>
      <c r="W461" s="65" t="str">
        <f>IF(OR(A461="",AA461="Avoir"),"",ROUND(S461-U461-V461,2))</f>
        <v/>
      </c>
      <c r="X461" s="66" t="str">
        <f>IF(W461="","",IF(AND(W461&gt;0,p_asof&gt;P461),p_asof-P461,""))</f>
        <v/>
      </c>
      <c r="Y461" s="59" t="str">
        <f>IF(A461="","",IF(AA461="Avoir","Avoir",IF(W461&lt;0,"Trop-perçu",IF(W461=0,"Soldée",IF(p_asof&gt;P461,"En retard",IF(U461+V461&gt;0,"Partielle","À échoir"))))))</f>
        <v/>
      </c>
      <c r="Z461" s="59" t="str">
        <f>IF(NOT(COUNTA(B461:D461,F461:O461)&gt;0),"",IF(C461="","Date manquante",IF(NOT(ISNUMBER(C461)),"Date invalide",IF(D461="","Client manquant",IF(ISNA(MATCH(D461,cli_code,0)),"Client inconnu",IF(AC461&lt;SUMPRODUCT(MAX(($AB$6:AB460=AB461)*$AC$6:AC460)),"Date antérieure à la facture précédente",IF(AND(F461&lt;&gt;"",ISNA(MATCH(F461,dv_num,0))),"Devis inconnu",IF(AND(F461&lt;&gt;"",IFERROR(INDEX(dv_client,MATCH(F461,dv_num,0)),D461)&lt;&gt;D461),"Client différent de celui du devis",IF(AG461="","Aucune ligne : saisissez des lignes ou un devis",IF(AND(AI461&lt;&gt;"",COUNTIF($AI$6:AI461,AI461)&gt;1),"Devis déjà repris par une autre facture",IF(AND(AA461="Avoir",M461=""),"Avoir : indiquez la facture d'origine",IF(AND(AA461="Avoir",ISNA(MATCH(M461,fa_num,0))),"Facture d'origine inconnue",IF(AND(AA461&lt;&gt;"Avoir",M461&lt;&gt;""),"« Avoir sur facture » : réservé aux avoirs",IF(AND(L461&lt;&gt;"",AA461&lt;&gt;"Facture"),"Acompte à déduire : réservé aux factures",IF(AND(L461&lt;&gt;"",ISNA(MATCH(L461,fa_num,0))),"Facture d'acompte inconnue",IF(AND(L461&lt;&gt;"",IFERROR(INDEX(fa_type,MATCH(L461,fa_num,0)),"")&lt;&gt;"Facture d'acompte"),"Le n° à déduire n'est pas une facture d'acompte",IF(AND(L461&lt;&gt;"",COUNTIF($L$6:L461,L461)&gt;1),"Acompte déjà déduit sur une autre facture",IF(AND(L461&lt;&gt;"",IFERROR(INDEX(fa_client,MATCH(L461,fa_num,0)),D461)&lt;&gt;D461),"Acompte d'un autre client",IF(AND(AR461&lt;&gt;"",N(Q461)&lt;0),"Acompte supérieur au total de la facture",IF(IF(AG461="Facture",COUNTIFS(fl_doc,A461,fl_check,"&lt;&gt;OK"),IF(AG461="Devis",COUNTIFS(dl_doc,F461,dl_check,"&lt;&gt;OK"),0))&gt;0,"Ligne(s) à corriger",IF(AND(W461&lt;&gt;"",N(W461)&lt;0),"Trop-perçu : vérifiez paiements et avoirs","OK")))))))))))))))))))))</f>
        <v/>
      </c>
      <c r="AA461" s="62" t="str">
        <f>IF(COUNTA(B461:D461,F461:O461)&gt;0,IF(B461="","Facture",B461),"")</f>
        <v/>
      </c>
      <c r="AB461" s="62" t="str">
        <f>IF(AA461="","",IF(AA461="Avoir",p_pav,IF(AA461="Facture d'acompte",p_pac,p_pfa)))</f>
        <v/>
      </c>
      <c r="AC461" s="62">
        <f>IF(ISNUMBER(C461),C461,0)</f>
        <v>0.0</v>
      </c>
      <c r="AD461" s="62" t="str">
        <f>IF(OR(AA461="",AC461=0),"",YEAR(AC461))</f>
        <v/>
      </c>
      <c r="AE461" s="62" t="str">
        <f>IF(AD461="","",COUNTIFS($AB$6:AB461,AB461,$AD$6:AD461,AD461))</f>
        <v/>
      </c>
      <c r="AF461" s="62">
        <f>IF(A461="",0,COUNTIF(fl_doc,A461))</f>
        <v>0.0</v>
      </c>
      <c r="AG461" s="62" t="str">
        <f>IF(A461="","",IF(AF461&gt;0,"Facture",IF(AND(F461&lt;&gt;"",AA461="Facture",ISNUMBER(MATCH(F461,dv_num,0))),"Devis","")))</f>
        <v/>
      </c>
      <c r="AH461" s="62" t="str">
        <f>IF(AND(A461&lt;&gt;"",F461&lt;&gt;"",AA461&lt;&gt;"Avoir"),F461,"")</f>
        <v/>
      </c>
      <c r="AI461" s="62" t="str">
        <f>IF(AG461="Devis",F461,"")</f>
        <v/>
      </c>
      <c r="AJ461" s="62">
        <f>IF(AG461="Facture",SUMIF(fl_doc,A461,fl_ht),IF(AG461="Devis",SUMIF(dl_doc,F461,dl_ht),0))</f>
        <v>0.0</v>
      </c>
      <c r="AK461" s="62">
        <f>IF(OR(AG461="",INDEX(p_rates,1)=""),0,IF(AG461="Facture",SUMIFS(fl_ht,fl_doc,A461,fl_rate,INDEX(p_rates,1)),SUMIFS(dl_ht,dl_doc,F461,dl_rate,INDEX(p_rates,1))))</f>
        <v>0.0</v>
      </c>
      <c r="AL461" s="62">
        <f>IF(OR(AG461="",INDEX(p_rates,2)=""),0,IF(AG461="Facture",SUMIFS(fl_ht,fl_doc,A461,fl_rate,INDEX(p_rates,2)),SUMIFS(dl_ht,dl_doc,F461,dl_rate,INDEX(p_rates,2))))</f>
        <v>0.0</v>
      </c>
      <c r="AM461" s="62">
        <f>IF(OR(AG461="",INDEX(p_rates,3)=""),0,IF(AG461="Facture",SUMIFS(fl_ht,fl_doc,A461,fl_rate,INDEX(p_rates,3)),SUMIFS(dl_ht,dl_doc,F461,dl_rate,INDEX(p_rates,3))))</f>
        <v>0.0</v>
      </c>
      <c r="AN461" s="62">
        <f>IF(OR(AG461="",INDEX(p_rates,4)=""),0,IF(AG461="Facture",SUMIFS(fl_ht,fl_doc,A461,fl_rate,INDEX(p_rates,4)),SUMIFS(dl_ht,dl_doc,F461,dl_rate,INDEX(p_rates,4))))</f>
        <v>0.0</v>
      </c>
      <c r="AO461" s="62">
        <f>IF(OR(AG461="",INDEX(p_rates,5)=""),0,IF(AG461="Facture",SUMIFS(fl_ht,fl_doc,A461,fl_rate,INDEX(p_rates,5)),SUMIFS(dl_ht,dl_doc,F461,dl_rate,INDEX(p_rates,5))))</f>
        <v>0.0</v>
      </c>
      <c r="AP461" s="62">
        <f>IF(OR(AG461="",INDEX(p_rates,6)=""),0,IF(AG461="Facture",SUMIFS(fl_ht,fl_doc,A461,fl_rate,INDEX(p_rates,6)),SUMIFS(dl_ht,dl_doc,F461,dl_rate,INDEX(p_rates,6))))</f>
        <v>0.0</v>
      </c>
      <c r="AQ461" s="62">
        <f>ROUND(AK461*N(INDEX(p_rates,1)),2)+ROUND(AL461*N(INDEX(p_rates,2)),2)+ROUND(AM461*N(INDEX(p_rates,3)),2)+ROUND(AN461*N(INDEX(p_rates,4)),2)+ROUND(AO461*N(INDEX(p_rates,5)),2)+ROUND(AP461*N(INDEX(p_rates,6)),2)</f>
        <v>0.0</v>
      </c>
      <c r="AR461" s="62" t="str">
        <f>IF(OR(L461="",AA461&lt;&gt;"Facture"),"",IFERROR(IF(INDEX(fa_type,MATCH(L461,fa_num,0))="Facture d'acompte",MATCH(L461,fa_num,0),""),""))</f>
        <v/>
      </c>
      <c r="AS461" s="62" t="str">
        <f>IF(W461="","",IF(W461&lt;=0,"",IF(p_asof-P461&lt;=0,"Non échu",IF(p_asof-P461&lt;=30,"1-30 j",IF(p_asof-P461&lt;=60,"31-60 j",IF(p_asof-P461&lt;=90,"61-90 j","Plus de 90 j"))))))</f>
        <v/>
      </c>
      <c r="AT461" s="62" t="str">
        <f>IF(AS461="","",p_asof-P461)</f>
        <v/>
      </c>
      <c r="AU461" s="62" t="str">
        <f>IF(AT461="","",COUNTIF($AT$6:$AT$805,"&gt;"&amp;AT461)+COUNTIF($AT$6:AT461,AT461))</f>
        <v/>
      </c>
    </row>
    <row r="462">
      <c r="A462" s="59" t="str">
        <f>IF(AE462="","",AB462&amp;"-"&amp;AD462&amp;"-"&amp;RIGHT("000"&amp;AE462,4))</f>
        <v/>
      </c>
      <c r="B462" s="60" t="n"/>
      <c r="C462" s="61" t="n"/>
      <c r="D462" s="60" t="n"/>
      <c r="E462" s="62" t="str">
        <f>IF(D462="","",IFERROR(INDEX(cli_name,MATCH(D462,cli_code,0))&amp;"","Client inconnu"))</f>
        <v/>
      </c>
      <c r="F462" s="60" t="n"/>
      <c r="G462" s="63" t="n"/>
      <c r="H462" s="61" t="n"/>
      <c r="I462" s="63" t="n"/>
      <c r="J462" s="60" t="n"/>
      <c r="K462" s="61" t="n"/>
      <c r="L462" s="60" t="n"/>
      <c r="M462" s="60" t="n"/>
      <c r="N462" s="60" t="n"/>
      <c r="O462" s="61" t="n"/>
      <c r="P462" s="64" t="str">
        <f>IF(A462="","",IF(AA462="Avoir",AC462,IF(ISNUMBER(K462),K462,AC462+IF(D462="",N(p_delay),IFERROR(IF(ISNUMBER(INDEX(cli_delay,MATCH(D462,cli_code,0))),INDEX(cli_delay,MATCH(D462,cli_code,0)),N(p_delay)),N(p_delay))))))</f>
        <v/>
      </c>
      <c r="Q462" s="65" t="str">
        <f>IF(A462="","",IF(AA462="Avoir",-1,1)*ROUND(AJ462-IF(AR462="",0,INDEX(fa_htb,AR462)),2))</f>
        <v/>
      </c>
      <c r="R462" s="65" t="str">
        <f>IF(A462="","",IF(AA462="Avoir",-1,1)*ROUND(AQ462-IF(AR462="",0,INDEX(fa_tvab,AR462)),2))</f>
        <v/>
      </c>
      <c r="S462" s="65" t="str">
        <f>IF(A462="","",Q462+R462)</f>
        <v/>
      </c>
      <c r="T462" s="65" t="str">
        <f>IF(AR462="","",INDEX(fa_htb,AR462)+INDEX(fa_tvab,AR462))</f>
        <v/>
      </c>
      <c r="U462" s="65" t="str">
        <f>IF(A462="","",SUMIF(pa_inv,A462,pa_amt))</f>
        <v/>
      </c>
      <c r="V462" s="65" t="str">
        <f>IF(OR(A462="",AA462="Avoir"),"",-SUMIFS(fa_ttc,fa_avof,A462,fa_type,"Avoir"))</f>
        <v/>
      </c>
      <c r="W462" s="65" t="str">
        <f>IF(OR(A462="",AA462="Avoir"),"",ROUND(S462-U462-V462,2))</f>
        <v/>
      </c>
      <c r="X462" s="66" t="str">
        <f>IF(W462="","",IF(AND(W462&gt;0,p_asof&gt;P462),p_asof-P462,""))</f>
        <v/>
      </c>
      <c r="Y462" s="59" t="str">
        <f>IF(A462="","",IF(AA462="Avoir","Avoir",IF(W462&lt;0,"Trop-perçu",IF(W462=0,"Soldée",IF(p_asof&gt;P462,"En retard",IF(U462+V462&gt;0,"Partielle","À échoir"))))))</f>
        <v/>
      </c>
      <c r="Z462" s="59" t="str">
        <f>IF(NOT(COUNTA(B462:D462,F462:O462)&gt;0),"",IF(C462="","Date manquante",IF(NOT(ISNUMBER(C462)),"Date invalide",IF(D462="","Client manquant",IF(ISNA(MATCH(D462,cli_code,0)),"Client inconnu",IF(AC462&lt;SUMPRODUCT(MAX(($AB$6:AB461=AB462)*$AC$6:AC461)),"Date antérieure à la facture précédente",IF(AND(F462&lt;&gt;"",ISNA(MATCH(F462,dv_num,0))),"Devis inconnu",IF(AND(F462&lt;&gt;"",IFERROR(INDEX(dv_client,MATCH(F462,dv_num,0)),D462)&lt;&gt;D462),"Client différent de celui du devis",IF(AG462="","Aucune ligne : saisissez des lignes ou un devis",IF(AND(AI462&lt;&gt;"",COUNTIF($AI$6:AI462,AI462)&gt;1),"Devis déjà repris par une autre facture",IF(AND(AA462="Avoir",M462=""),"Avoir : indiquez la facture d'origine",IF(AND(AA462="Avoir",ISNA(MATCH(M462,fa_num,0))),"Facture d'origine inconnue",IF(AND(AA462&lt;&gt;"Avoir",M462&lt;&gt;""),"« Avoir sur facture » : réservé aux avoirs",IF(AND(L462&lt;&gt;"",AA462&lt;&gt;"Facture"),"Acompte à déduire : réservé aux factures",IF(AND(L462&lt;&gt;"",ISNA(MATCH(L462,fa_num,0))),"Facture d'acompte inconnue",IF(AND(L462&lt;&gt;"",IFERROR(INDEX(fa_type,MATCH(L462,fa_num,0)),"")&lt;&gt;"Facture d'acompte"),"Le n° à déduire n'est pas une facture d'acompte",IF(AND(L462&lt;&gt;"",COUNTIF($L$6:L462,L462)&gt;1),"Acompte déjà déduit sur une autre facture",IF(AND(L462&lt;&gt;"",IFERROR(INDEX(fa_client,MATCH(L462,fa_num,0)),D462)&lt;&gt;D462),"Acompte d'un autre client",IF(AND(AR462&lt;&gt;"",N(Q462)&lt;0),"Acompte supérieur au total de la facture",IF(IF(AG462="Facture",COUNTIFS(fl_doc,A462,fl_check,"&lt;&gt;OK"),IF(AG462="Devis",COUNTIFS(dl_doc,F462,dl_check,"&lt;&gt;OK"),0))&gt;0,"Ligne(s) à corriger",IF(AND(W462&lt;&gt;"",N(W462)&lt;0),"Trop-perçu : vérifiez paiements et avoirs","OK")))))))))))))))))))))</f>
        <v/>
      </c>
      <c r="AA462" s="62" t="str">
        <f>IF(COUNTA(B462:D462,F462:O462)&gt;0,IF(B462="","Facture",B462),"")</f>
        <v/>
      </c>
      <c r="AB462" s="62" t="str">
        <f>IF(AA462="","",IF(AA462="Avoir",p_pav,IF(AA462="Facture d'acompte",p_pac,p_pfa)))</f>
        <v/>
      </c>
      <c r="AC462" s="62">
        <f>IF(ISNUMBER(C462),C462,0)</f>
        <v>0.0</v>
      </c>
      <c r="AD462" s="62" t="str">
        <f>IF(OR(AA462="",AC462=0),"",YEAR(AC462))</f>
        <v/>
      </c>
      <c r="AE462" s="62" t="str">
        <f>IF(AD462="","",COUNTIFS($AB$6:AB462,AB462,$AD$6:AD462,AD462))</f>
        <v/>
      </c>
      <c r="AF462" s="62">
        <f>IF(A462="",0,COUNTIF(fl_doc,A462))</f>
        <v>0.0</v>
      </c>
      <c r="AG462" s="62" t="str">
        <f>IF(A462="","",IF(AF462&gt;0,"Facture",IF(AND(F462&lt;&gt;"",AA462="Facture",ISNUMBER(MATCH(F462,dv_num,0))),"Devis","")))</f>
        <v/>
      </c>
      <c r="AH462" s="62" t="str">
        <f>IF(AND(A462&lt;&gt;"",F462&lt;&gt;"",AA462&lt;&gt;"Avoir"),F462,"")</f>
        <v/>
      </c>
      <c r="AI462" s="62" t="str">
        <f>IF(AG462="Devis",F462,"")</f>
        <v/>
      </c>
      <c r="AJ462" s="62">
        <f>IF(AG462="Facture",SUMIF(fl_doc,A462,fl_ht),IF(AG462="Devis",SUMIF(dl_doc,F462,dl_ht),0))</f>
        <v>0.0</v>
      </c>
      <c r="AK462" s="62">
        <f>IF(OR(AG462="",INDEX(p_rates,1)=""),0,IF(AG462="Facture",SUMIFS(fl_ht,fl_doc,A462,fl_rate,INDEX(p_rates,1)),SUMIFS(dl_ht,dl_doc,F462,dl_rate,INDEX(p_rates,1))))</f>
        <v>0.0</v>
      </c>
      <c r="AL462" s="62">
        <f>IF(OR(AG462="",INDEX(p_rates,2)=""),0,IF(AG462="Facture",SUMIFS(fl_ht,fl_doc,A462,fl_rate,INDEX(p_rates,2)),SUMIFS(dl_ht,dl_doc,F462,dl_rate,INDEX(p_rates,2))))</f>
        <v>0.0</v>
      </c>
      <c r="AM462" s="62">
        <f>IF(OR(AG462="",INDEX(p_rates,3)=""),0,IF(AG462="Facture",SUMIFS(fl_ht,fl_doc,A462,fl_rate,INDEX(p_rates,3)),SUMIFS(dl_ht,dl_doc,F462,dl_rate,INDEX(p_rates,3))))</f>
        <v>0.0</v>
      </c>
      <c r="AN462" s="62">
        <f>IF(OR(AG462="",INDEX(p_rates,4)=""),0,IF(AG462="Facture",SUMIFS(fl_ht,fl_doc,A462,fl_rate,INDEX(p_rates,4)),SUMIFS(dl_ht,dl_doc,F462,dl_rate,INDEX(p_rates,4))))</f>
        <v>0.0</v>
      </c>
      <c r="AO462" s="62">
        <f>IF(OR(AG462="",INDEX(p_rates,5)=""),0,IF(AG462="Facture",SUMIFS(fl_ht,fl_doc,A462,fl_rate,INDEX(p_rates,5)),SUMIFS(dl_ht,dl_doc,F462,dl_rate,INDEX(p_rates,5))))</f>
        <v>0.0</v>
      </c>
      <c r="AP462" s="62">
        <f>IF(OR(AG462="",INDEX(p_rates,6)=""),0,IF(AG462="Facture",SUMIFS(fl_ht,fl_doc,A462,fl_rate,INDEX(p_rates,6)),SUMIFS(dl_ht,dl_doc,F462,dl_rate,INDEX(p_rates,6))))</f>
        <v>0.0</v>
      </c>
      <c r="AQ462" s="62">
        <f>ROUND(AK462*N(INDEX(p_rates,1)),2)+ROUND(AL462*N(INDEX(p_rates,2)),2)+ROUND(AM462*N(INDEX(p_rates,3)),2)+ROUND(AN462*N(INDEX(p_rates,4)),2)+ROUND(AO462*N(INDEX(p_rates,5)),2)+ROUND(AP462*N(INDEX(p_rates,6)),2)</f>
        <v>0.0</v>
      </c>
      <c r="AR462" s="62" t="str">
        <f>IF(OR(L462="",AA462&lt;&gt;"Facture"),"",IFERROR(IF(INDEX(fa_type,MATCH(L462,fa_num,0))="Facture d'acompte",MATCH(L462,fa_num,0),""),""))</f>
        <v/>
      </c>
      <c r="AS462" s="62" t="str">
        <f>IF(W462="","",IF(W462&lt;=0,"",IF(p_asof-P462&lt;=0,"Non échu",IF(p_asof-P462&lt;=30,"1-30 j",IF(p_asof-P462&lt;=60,"31-60 j",IF(p_asof-P462&lt;=90,"61-90 j","Plus de 90 j"))))))</f>
        <v/>
      </c>
      <c r="AT462" s="62" t="str">
        <f>IF(AS462="","",p_asof-P462)</f>
        <v/>
      </c>
      <c r="AU462" s="62" t="str">
        <f>IF(AT462="","",COUNTIF($AT$6:$AT$805,"&gt;"&amp;AT462)+COUNTIF($AT$6:AT462,AT462))</f>
        <v/>
      </c>
    </row>
    <row r="463">
      <c r="A463" s="59" t="str">
        <f>IF(AE463="","",AB463&amp;"-"&amp;AD463&amp;"-"&amp;RIGHT("000"&amp;AE463,4))</f>
        <v/>
      </c>
      <c r="B463" s="60" t="n"/>
      <c r="C463" s="61" t="n"/>
      <c r="D463" s="60" t="n"/>
      <c r="E463" s="62" t="str">
        <f>IF(D463="","",IFERROR(INDEX(cli_name,MATCH(D463,cli_code,0))&amp;"","Client inconnu"))</f>
        <v/>
      </c>
      <c r="F463" s="60" t="n"/>
      <c r="G463" s="63" t="n"/>
      <c r="H463" s="61" t="n"/>
      <c r="I463" s="63" t="n"/>
      <c r="J463" s="60" t="n"/>
      <c r="K463" s="61" t="n"/>
      <c r="L463" s="60" t="n"/>
      <c r="M463" s="60" t="n"/>
      <c r="N463" s="60" t="n"/>
      <c r="O463" s="61" t="n"/>
      <c r="P463" s="64" t="str">
        <f>IF(A463="","",IF(AA463="Avoir",AC463,IF(ISNUMBER(K463),K463,AC463+IF(D463="",N(p_delay),IFERROR(IF(ISNUMBER(INDEX(cli_delay,MATCH(D463,cli_code,0))),INDEX(cli_delay,MATCH(D463,cli_code,0)),N(p_delay)),N(p_delay))))))</f>
        <v/>
      </c>
      <c r="Q463" s="65" t="str">
        <f>IF(A463="","",IF(AA463="Avoir",-1,1)*ROUND(AJ463-IF(AR463="",0,INDEX(fa_htb,AR463)),2))</f>
        <v/>
      </c>
      <c r="R463" s="65" t="str">
        <f>IF(A463="","",IF(AA463="Avoir",-1,1)*ROUND(AQ463-IF(AR463="",0,INDEX(fa_tvab,AR463)),2))</f>
        <v/>
      </c>
      <c r="S463" s="65" t="str">
        <f>IF(A463="","",Q463+R463)</f>
        <v/>
      </c>
      <c r="T463" s="65" t="str">
        <f>IF(AR463="","",INDEX(fa_htb,AR463)+INDEX(fa_tvab,AR463))</f>
        <v/>
      </c>
      <c r="U463" s="65" t="str">
        <f>IF(A463="","",SUMIF(pa_inv,A463,pa_amt))</f>
        <v/>
      </c>
      <c r="V463" s="65" t="str">
        <f>IF(OR(A463="",AA463="Avoir"),"",-SUMIFS(fa_ttc,fa_avof,A463,fa_type,"Avoir"))</f>
        <v/>
      </c>
      <c r="W463" s="65" t="str">
        <f>IF(OR(A463="",AA463="Avoir"),"",ROUND(S463-U463-V463,2))</f>
        <v/>
      </c>
      <c r="X463" s="66" t="str">
        <f>IF(W463="","",IF(AND(W463&gt;0,p_asof&gt;P463),p_asof-P463,""))</f>
        <v/>
      </c>
      <c r="Y463" s="59" t="str">
        <f>IF(A463="","",IF(AA463="Avoir","Avoir",IF(W463&lt;0,"Trop-perçu",IF(W463=0,"Soldée",IF(p_asof&gt;P463,"En retard",IF(U463+V463&gt;0,"Partielle","À échoir"))))))</f>
        <v/>
      </c>
      <c r="Z463" s="59" t="str">
        <f>IF(NOT(COUNTA(B463:D463,F463:O463)&gt;0),"",IF(C463="","Date manquante",IF(NOT(ISNUMBER(C463)),"Date invalide",IF(D463="","Client manquant",IF(ISNA(MATCH(D463,cli_code,0)),"Client inconnu",IF(AC463&lt;SUMPRODUCT(MAX(($AB$6:AB462=AB463)*$AC$6:AC462)),"Date antérieure à la facture précédente",IF(AND(F463&lt;&gt;"",ISNA(MATCH(F463,dv_num,0))),"Devis inconnu",IF(AND(F463&lt;&gt;"",IFERROR(INDEX(dv_client,MATCH(F463,dv_num,0)),D463)&lt;&gt;D463),"Client différent de celui du devis",IF(AG463="","Aucune ligne : saisissez des lignes ou un devis",IF(AND(AI463&lt;&gt;"",COUNTIF($AI$6:AI463,AI463)&gt;1),"Devis déjà repris par une autre facture",IF(AND(AA463="Avoir",M463=""),"Avoir : indiquez la facture d'origine",IF(AND(AA463="Avoir",ISNA(MATCH(M463,fa_num,0))),"Facture d'origine inconnue",IF(AND(AA463&lt;&gt;"Avoir",M463&lt;&gt;""),"« Avoir sur facture » : réservé aux avoirs",IF(AND(L463&lt;&gt;"",AA463&lt;&gt;"Facture"),"Acompte à déduire : réservé aux factures",IF(AND(L463&lt;&gt;"",ISNA(MATCH(L463,fa_num,0))),"Facture d'acompte inconnue",IF(AND(L463&lt;&gt;"",IFERROR(INDEX(fa_type,MATCH(L463,fa_num,0)),"")&lt;&gt;"Facture d'acompte"),"Le n° à déduire n'est pas une facture d'acompte",IF(AND(L463&lt;&gt;"",COUNTIF($L$6:L463,L463)&gt;1),"Acompte déjà déduit sur une autre facture",IF(AND(L463&lt;&gt;"",IFERROR(INDEX(fa_client,MATCH(L463,fa_num,0)),D463)&lt;&gt;D463),"Acompte d'un autre client",IF(AND(AR463&lt;&gt;"",N(Q463)&lt;0),"Acompte supérieur au total de la facture",IF(IF(AG463="Facture",COUNTIFS(fl_doc,A463,fl_check,"&lt;&gt;OK"),IF(AG463="Devis",COUNTIFS(dl_doc,F463,dl_check,"&lt;&gt;OK"),0))&gt;0,"Ligne(s) à corriger",IF(AND(W463&lt;&gt;"",N(W463)&lt;0),"Trop-perçu : vérifiez paiements et avoirs","OK")))))))))))))))))))))</f>
        <v/>
      </c>
      <c r="AA463" s="62" t="str">
        <f>IF(COUNTA(B463:D463,F463:O463)&gt;0,IF(B463="","Facture",B463),"")</f>
        <v/>
      </c>
      <c r="AB463" s="62" t="str">
        <f>IF(AA463="","",IF(AA463="Avoir",p_pav,IF(AA463="Facture d'acompte",p_pac,p_pfa)))</f>
        <v/>
      </c>
      <c r="AC463" s="62">
        <f>IF(ISNUMBER(C463),C463,0)</f>
        <v>0.0</v>
      </c>
      <c r="AD463" s="62" t="str">
        <f>IF(OR(AA463="",AC463=0),"",YEAR(AC463))</f>
        <v/>
      </c>
      <c r="AE463" s="62" t="str">
        <f>IF(AD463="","",COUNTIFS($AB$6:AB463,AB463,$AD$6:AD463,AD463))</f>
        <v/>
      </c>
      <c r="AF463" s="62">
        <f>IF(A463="",0,COUNTIF(fl_doc,A463))</f>
        <v>0.0</v>
      </c>
      <c r="AG463" s="62" t="str">
        <f>IF(A463="","",IF(AF463&gt;0,"Facture",IF(AND(F463&lt;&gt;"",AA463="Facture",ISNUMBER(MATCH(F463,dv_num,0))),"Devis","")))</f>
        <v/>
      </c>
      <c r="AH463" s="62" t="str">
        <f>IF(AND(A463&lt;&gt;"",F463&lt;&gt;"",AA463&lt;&gt;"Avoir"),F463,"")</f>
        <v/>
      </c>
      <c r="AI463" s="62" t="str">
        <f>IF(AG463="Devis",F463,"")</f>
        <v/>
      </c>
      <c r="AJ463" s="62">
        <f>IF(AG463="Facture",SUMIF(fl_doc,A463,fl_ht),IF(AG463="Devis",SUMIF(dl_doc,F463,dl_ht),0))</f>
        <v>0.0</v>
      </c>
      <c r="AK463" s="62">
        <f>IF(OR(AG463="",INDEX(p_rates,1)=""),0,IF(AG463="Facture",SUMIFS(fl_ht,fl_doc,A463,fl_rate,INDEX(p_rates,1)),SUMIFS(dl_ht,dl_doc,F463,dl_rate,INDEX(p_rates,1))))</f>
        <v>0.0</v>
      </c>
      <c r="AL463" s="62">
        <f>IF(OR(AG463="",INDEX(p_rates,2)=""),0,IF(AG463="Facture",SUMIFS(fl_ht,fl_doc,A463,fl_rate,INDEX(p_rates,2)),SUMIFS(dl_ht,dl_doc,F463,dl_rate,INDEX(p_rates,2))))</f>
        <v>0.0</v>
      </c>
      <c r="AM463" s="62">
        <f>IF(OR(AG463="",INDEX(p_rates,3)=""),0,IF(AG463="Facture",SUMIFS(fl_ht,fl_doc,A463,fl_rate,INDEX(p_rates,3)),SUMIFS(dl_ht,dl_doc,F463,dl_rate,INDEX(p_rates,3))))</f>
        <v>0.0</v>
      </c>
      <c r="AN463" s="62">
        <f>IF(OR(AG463="",INDEX(p_rates,4)=""),0,IF(AG463="Facture",SUMIFS(fl_ht,fl_doc,A463,fl_rate,INDEX(p_rates,4)),SUMIFS(dl_ht,dl_doc,F463,dl_rate,INDEX(p_rates,4))))</f>
        <v>0.0</v>
      </c>
      <c r="AO463" s="62">
        <f>IF(OR(AG463="",INDEX(p_rates,5)=""),0,IF(AG463="Facture",SUMIFS(fl_ht,fl_doc,A463,fl_rate,INDEX(p_rates,5)),SUMIFS(dl_ht,dl_doc,F463,dl_rate,INDEX(p_rates,5))))</f>
        <v>0.0</v>
      </c>
      <c r="AP463" s="62">
        <f>IF(OR(AG463="",INDEX(p_rates,6)=""),0,IF(AG463="Facture",SUMIFS(fl_ht,fl_doc,A463,fl_rate,INDEX(p_rates,6)),SUMIFS(dl_ht,dl_doc,F463,dl_rate,INDEX(p_rates,6))))</f>
        <v>0.0</v>
      </c>
      <c r="AQ463" s="62">
        <f>ROUND(AK463*N(INDEX(p_rates,1)),2)+ROUND(AL463*N(INDEX(p_rates,2)),2)+ROUND(AM463*N(INDEX(p_rates,3)),2)+ROUND(AN463*N(INDEX(p_rates,4)),2)+ROUND(AO463*N(INDEX(p_rates,5)),2)+ROUND(AP463*N(INDEX(p_rates,6)),2)</f>
        <v>0.0</v>
      </c>
      <c r="AR463" s="62" t="str">
        <f>IF(OR(L463="",AA463&lt;&gt;"Facture"),"",IFERROR(IF(INDEX(fa_type,MATCH(L463,fa_num,0))="Facture d'acompte",MATCH(L463,fa_num,0),""),""))</f>
        <v/>
      </c>
      <c r="AS463" s="62" t="str">
        <f>IF(W463="","",IF(W463&lt;=0,"",IF(p_asof-P463&lt;=0,"Non échu",IF(p_asof-P463&lt;=30,"1-30 j",IF(p_asof-P463&lt;=60,"31-60 j",IF(p_asof-P463&lt;=90,"61-90 j","Plus de 90 j"))))))</f>
        <v/>
      </c>
      <c r="AT463" s="62" t="str">
        <f>IF(AS463="","",p_asof-P463)</f>
        <v/>
      </c>
      <c r="AU463" s="62" t="str">
        <f>IF(AT463="","",COUNTIF($AT$6:$AT$805,"&gt;"&amp;AT463)+COUNTIF($AT$6:AT463,AT463))</f>
        <v/>
      </c>
    </row>
    <row r="464">
      <c r="A464" s="59" t="str">
        <f>IF(AE464="","",AB464&amp;"-"&amp;AD464&amp;"-"&amp;RIGHT("000"&amp;AE464,4))</f>
        <v/>
      </c>
      <c r="B464" s="60" t="n"/>
      <c r="C464" s="61" t="n"/>
      <c r="D464" s="60" t="n"/>
      <c r="E464" s="62" t="str">
        <f>IF(D464="","",IFERROR(INDEX(cli_name,MATCH(D464,cli_code,0))&amp;"","Client inconnu"))</f>
        <v/>
      </c>
      <c r="F464" s="60" t="n"/>
      <c r="G464" s="63" t="n"/>
      <c r="H464" s="61" t="n"/>
      <c r="I464" s="63" t="n"/>
      <c r="J464" s="60" t="n"/>
      <c r="K464" s="61" t="n"/>
      <c r="L464" s="60" t="n"/>
      <c r="M464" s="60" t="n"/>
      <c r="N464" s="60" t="n"/>
      <c r="O464" s="61" t="n"/>
      <c r="P464" s="64" t="str">
        <f>IF(A464="","",IF(AA464="Avoir",AC464,IF(ISNUMBER(K464),K464,AC464+IF(D464="",N(p_delay),IFERROR(IF(ISNUMBER(INDEX(cli_delay,MATCH(D464,cli_code,0))),INDEX(cli_delay,MATCH(D464,cli_code,0)),N(p_delay)),N(p_delay))))))</f>
        <v/>
      </c>
      <c r="Q464" s="65" t="str">
        <f>IF(A464="","",IF(AA464="Avoir",-1,1)*ROUND(AJ464-IF(AR464="",0,INDEX(fa_htb,AR464)),2))</f>
        <v/>
      </c>
      <c r="R464" s="65" t="str">
        <f>IF(A464="","",IF(AA464="Avoir",-1,1)*ROUND(AQ464-IF(AR464="",0,INDEX(fa_tvab,AR464)),2))</f>
        <v/>
      </c>
      <c r="S464" s="65" t="str">
        <f>IF(A464="","",Q464+R464)</f>
        <v/>
      </c>
      <c r="T464" s="65" t="str">
        <f>IF(AR464="","",INDEX(fa_htb,AR464)+INDEX(fa_tvab,AR464))</f>
        <v/>
      </c>
      <c r="U464" s="65" t="str">
        <f>IF(A464="","",SUMIF(pa_inv,A464,pa_amt))</f>
        <v/>
      </c>
      <c r="V464" s="65" t="str">
        <f>IF(OR(A464="",AA464="Avoir"),"",-SUMIFS(fa_ttc,fa_avof,A464,fa_type,"Avoir"))</f>
        <v/>
      </c>
      <c r="W464" s="65" t="str">
        <f>IF(OR(A464="",AA464="Avoir"),"",ROUND(S464-U464-V464,2))</f>
        <v/>
      </c>
      <c r="X464" s="66" t="str">
        <f>IF(W464="","",IF(AND(W464&gt;0,p_asof&gt;P464),p_asof-P464,""))</f>
        <v/>
      </c>
      <c r="Y464" s="59" t="str">
        <f>IF(A464="","",IF(AA464="Avoir","Avoir",IF(W464&lt;0,"Trop-perçu",IF(W464=0,"Soldée",IF(p_asof&gt;P464,"En retard",IF(U464+V464&gt;0,"Partielle","À échoir"))))))</f>
        <v/>
      </c>
      <c r="Z464" s="59" t="str">
        <f>IF(NOT(COUNTA(B464:D464,F464:O464)&gt;0),"",IF(C464="","Date manquante",IF(NOT(ISNUMBER(C464)),"Date invalide",IF(D464="","Client manquant",IF(ISNA(MATCH(D464,cli_code,0)),"Client inconnu",IF(AC464&lt;SUMPRODUCT(MAX(($AB$6:AB463=AB464)*$AC$6:AC463)),"Date antérieure à la facture précédente",IF(AND(F464&lt;&gt;"",ISNA(MATCH(F464,dv_num,0))),"Devis inconnu",IF(AND(F464&lt;&gt;"",IFERROR(INDEX(dv_client,MATCH(F464,dv_num,0)),D464)&lt;&gt;D464),"Client différent de celui du devis",IF(AG464="","Aucune ligne : saisissez des lignes ou un devis",IF(AND(AI464&lt;&gt;"",COUNTIF($AI$6:AI464,AI464)&gt;1),"Devis déjà repris par une autre facture",IF(AND(AA464="Avoir",M464=""),"Avoir : indiquez la facture d'origine",IF(AND(AA464="Avoir",ISNA(MATCH(M464,fa_num,0))),"Facture d'origine inconnue",IF(AND(AA464&lt;&gt;"Avoir",M464&lt;&gt;""),"« Avoir sur facture » : réservé aux avoirs",IF(AND(L464&lt;&gt;"",AA464&lt;&gt;"Facture"),"Acompte à déduire : réservé aux factures",IF(AND(L464&lt;&gt;"",ISNA(MATCH(L464,fa_num,0))),"Facture d'acompte inconnue",IF(AND(L464&lt;&gt;"",IFERROR(INDEX(fa_type,MATCH(L464,fa_num,0)),"")&lt;&gt;"Facture d'acompte"),"Le n° à déduire n'est pas une facture d'acompte",IF(AND(L464&lt;&gt;"",COUNTIF($L$6:L464,L464)&gt;1),"Acompte déjà déduit sur une autre facture",IF(AND(L464&lt;&gt;"",IFERROR(INDEX(fa_client,MATCH(L464,fa_num,0)),D464)&lt;&gt;D464),"Acompte d'un autre client",IF(AND(AR464&lt;&gt;"",N(Q464)&lt;0),"Acompte supérieur au total de la facture",IF(IF(AG464="Facture",COUNTIFS(fl_doc,A464,fl_check,"&lt;&gt;OK"),IF(AG464="Devis",COUNTIFS(dl_doc,F464,dl_check,"&lt;&gt;OK"),0))&gt;0,"Ligne(s) à corriger",IF(AND(W464&lt;&gt;"",N(W464)&lt;0),"Trop-perçu : vérifiez paiements et avoirs","OK")))))))))))))))))))))</f>
        <v/>
      </c>
      <c r="AA464" s="62" t="str">
        <f>IF(COUNTA(B464:D464,F464:O464)&gt;0,IF(B464="","Facture",B464),"")</f>
        <v/>
      </c>
      <c r="AB464" s="62" t="str">
        <f>IF(AA464="","",IF(AA464="Avoir",p_pav,IF(AA464="Facture d'acompte",p_pac,p_pfa)))</f>
        <v/>
      </c>
      <c r="AC464" s="62">
        <f>IF(ISNUMBER(C464),C464,0)</f>
        <v>0.0</v>
      </c>
      <c r="AD464" s="62" t="str">
        <f>IF(OR(AA464="",AC464=0),"",YEAR(AC464))</f>
        <v/>
      </c>
      <c r="AE464" s="62" t="str">
        <f>IF(AD464="","",COUNTIFS($AB$6:AB464,AB464,$AD$6:AD464,AD464))</f>
        <v/>
      </c>
      <c r="AF464" s="62">
        <f>IF(A464="",0,COUNTIF(fl_doc,A464))</f>
        <v>0.0</v>
      </c>
      <c r="AG464" s="62" t="str">
        <f>IF(A464="","",IF(AF464&gt;0,"Facture",IF(AND(F464&lt;&gt;"",AA464="Facture",ISNUMBER(MATCH(F464,dv_num,0))),"Devis","")))</f>
        <v/>
      </c>
      <c r="AH464" s="62" t="str">
        <f>IF(AND(A464&lt;&gt;"",F464&lt;&gt;"",AA464&lt;&gt;"Avoir"),F464,"")</f>
        <v/>
      </c>
      <c r="AI464" s="62" t="str">
        <f>IF(AG464="Devis",F464,"")</f>
        <v/>
      </c>
      <c r="AJ464" s="62">
        <f>IF(AG464="Facture",SUMIF(fl_doc,A464,fl_ht),IF(AG464="Devis",SUMIF(dl_doc,F464,dl_ht),0))</f>
        <v>0.0</v>
      </c>
      <c r="AK464" s="62">
        <f>IF(OR(AG464="",INDEX(p_rates,1)=""),0,IF(AG464="Facture",SUMIFS(fl_ht,fl_doc,A464,fl_rate,INDEX(p_rates,1)),SUMIFS(dl_ht,dl_doc,F464,dl_rate,INDEX(p_rates,1))))</f>
        <v>0.0</v>
      </c>
      <c r="AL464" s="62">
        <f>IF(OR(AG464="",INDEX(p_rates,2)=""),0,IF(AG464="Facture",SUMIFS(fl_ht,fl_doc,A464,fl_rate,INDEX(p_rates,2)),SUMIFS(dl_ht,dl_doc,F464,dl_rate,INDEX(p_rates,2))))</f>
        <v>0.0</v>
      </c>
      <c r="AM464" s="62">
        <f>IF(OR(AG464="",INDEX(p_rates,3)=""),0,IF(AG464="Facture",SUMIFS(fl_ht,fl_doc,A464,fl_rate,INDEX(p_rates,3)),SUMIFS(dl_ht,dl_doc,F464,dl_rate,INDEX(p_rates,3))))</f>
        <v>0.0</v>
      </c>
      <c r="AN464" s="62">
        <f>IF(OR(AG464="",INDEX(p_rates,4)=""),0,IF(AG464="Facture",SUMIFS(fl_ht,fl_doc,A464,fl_rate,INDEX(p_rates,4)),SUMIFS(dl_ht,dl_doc,F464,dl_rate,INDEX(p_rates,4))))</f>
        <v>0.0</v>
      </c>
      <c r="AO464" s="62">
        <f>IF(OR(AG464="",INDEX(p_rates,5)=""),0,IF(AG464="Facture",SUMIFS(fl_ht,fl_doc,A464,fl_rate,INDEX(p_rates,5)),SUMIFS(dl_ht,dl_doc,F464,dl_rate,INDEX(p_rates,5))))</f>
        <v>0.0</v>
      </c>
      <c r="AP464" s="62">
        <f>IF(OR(AG464="",INDEX(p_rates,6)=""),0,IF(AG464="Facture",SUMIFS(fl_ht,fl_doc,A464,fl_rate,INDEX(p_rates,6)),SUMIFS(dl_ht,dl_doc,F464,dl_rate,INDEX(p_rates,6))))</f>
        <v>0.0</v>
      </c>
      <c r="AQ464" s="62">
        <f>ROUND(AK464*N(INDEX(p_rates,1)),2)+ROUND(AL464*N(INDEX(p_rates,2)),2)+ROUND(AM464*N(INDEX(p_rates,3)),2)+ROUND(AN464*N(INDEX(p_rates,4)),2)+ROUND(AO464*N(INDEX(p_rates,5)),2)+ROUND(AP464*N(INDEX(p_rates,6)),2)</f>
        <v>0.0</v>
      </c>
      <c r="AR464" s="62" t="str">
        <f>IF(OR(L464="",AA464&lt;&gt;"Facture"),"",IFERROR(IF(INDEX(fa_type,MATCH(L464,fa_num,0))="Facture d'acompte",MATCH(L464,fa_num,0),""),""))</f>
        <v/>
      </c>
      <c r="AS464" s="62" t="str">
        <f>IF(W464="","",IF(W464&lt;=0,"",IF(p_asof-P464&lt;=0,"Non échu",IF(p_asof-P464&lt;=30,"1-30 j",IF(p_asof-P464&lt;=60,"31-60 j",IF(p_asof-P464&lt;=90,"61-90 j","Plus de 90 j"))))))</f>
        <v/>
      </c>
      <c r="AT464" s="62" t="str">
        <f>IF(AS464="","",p_asof-P464)</f>
        <v/>
      </c>
      <c r="AU464" s="62" t="str">
        <f>IF(AT464="","",COUNTIF($AT$6:$AT$805,"&gt;"&amp;AT464)+COUNTIF($AT$6:AT464,AT464))</f>
        <v/>
      </c>
    </row>
    <row r="465">
      <c r="A465" s="59" t="str">
        <f>IF(AE465="","",AB465&amp;"-"&amp;AD465&amp;"-"&amp;RIGHT("000"&amp;AE465,4))</f>
        <v/>
      </c>
      <c r="B465" s="60" t="n"/>
      <c r="C465" s="61" t="n"/>
      <c r="D465" s="60" t="n"/>
      <c r="E465" s="62" t="str">
        <f>IF(D465="","",IFERROR(INDEX(cli_name,MATCH(D465,cli_code,0))&amp;"","Client inconnu"))</f>
        <v/>
      </c>
      <c r="F465" s="60" t="n"/>
      <c r="G465" s="63" t="n"/>
      <c r="H465" s="61" t="n"/>
      <c r="I465" s="63" t="n"/>
      <c r="J465" s="60" t="n"/>
      <c r="K465" s="61" t="n"/>
      <c r="L465" s="60" t="n"/>
      <c r="M465" s="60" t="n"/>
      <c r="N465" s="60" t="n"/>
      <c r="O465" s="61" t="n"/>
      <c r="P465" s="64" t="str">
        <f>IF(A465="","",IF(AA465="Avoir",AC465,IF(ISNUMBER(K465),K465,AC465+IF(D465="",N(p_delay),IFERROR(IF(ISNUMBER(INDEX(cli_delay,MATCH(D465,cli_code,0))),INDEX(cli_delay,MATCH(D465,cli_code,0)),N(p_delay)),N(p_delay))))))</f>
        <v/>
      </c>
      <c r="Q465" s="65" t="str">
        <f>IF(A465="","",IF(AA465="Avoir",-1,1)*ROUND(AJ465-IF(AR465="",0,INDEX(fa_htb,AR465)),2))</f>
        <v/>
      </c>
      <c r="R465" s="65" t="str">
        <f>IF(A465="","",IF(AA465="Avoir",-1,1)*ROUND(AQ465-IF(AR465="",0,INDEX(fa_tvab,AR465)),2))</f>
        <v/>
      </c>
      <c r="S465" s="65" t="str">
        <f>IF(A465="","",Q465+R465)</f>
        <v/>
      </c>
      <c r="T465" s="65" t="str">
        <f>IF(AR465="","",INDEX(fa_htb,AR465)+INDEX(fa_tvab,AR465))</f>
        <v/>
      </c>
      <c r="U465" s="65" t="str">
        <f>IF(A465="","",SUMIF(pa_inv,A465,pa_amt))</f>
        <v/>
      </c>
      <c r="V465" s="65" t="str">
        <f>IF(OR(A465="",AA465="Avoir"),"",-SUMIFS(fa_ttc,fa_avof,A465,fa_type,"Avoir"))</f>
        <v/>
      </c>
      <c r="W465" s="65" t="str">
        <f>IF(OR(A465="",AA465="Avoir"),"",ROUND(S465-U465-V465,2))</f>
        <v/>
      </c>
      <c r="X465" s="66" t="str">
        <f>IF(W465="","",IF(AND(W465&gt;0,p_asof&gt;P465),p_asof-P465,""))</f>
        <v/>
      </c>
      <c r="Y465" s="59" t="str">
        <f>IF(A465="","",IF(AA465="Avoir","Avoir",IF(W465&lt;0,"Trop-perçu",IF(W465=0,"Soldée",IF(p_asof&gt;P465,"En retard",IF(U465+V465&gt;0,"Partielle","À échoir"))))))</f>
        <v/>
      </c>
      <c r="Z465" s="59" t="str">
        <f>IF(NOT(COUNTA(B465:D465,F465:O465)&gt;0),"",IF(C465="","Date manquante",IF(NOT(ISNUMBER(C465)),"Date invalide",IF(D465="","Client manquant",IF(ISNA(MATCH(D465,cli_code,0)),"Client inconnu",IF(AC465&lt;SUMPRODUCT(MAX(($AB$6:AB464=AB465)*$AC$6:AC464)),"Date antérieure à la facture précédente",IF(AND(F465&lt;&gt;"",ISNA(MATCH(F465,dv_num,0))),"Devis inconnu",IF(AND(F465&lt;&gt;"",IFERROR(INDEX(dv_client,MATCH(F465,dv_num,0)),D465)&lt;&gt;D465),"Client différent de celui du devis",IF(AG465="","Aucune ligne : saisissez des lignes ou un devis",IF(AND(AI465&lt;&gt;"",COUNTIF($AI$6:AI465,AI465)&gt;1),"Devis déjà repris par une autre facture",IF(AND(AA465="Avoir",M465=""),"Avoir : indiquez la facture d'origine",IF(AND(AA465="Avoir",ISNA(MATCH(M465,fa_num,0))),"Facture d'origine inconnue",IF(AND(AA465&lt;&gt;"Avoir",M465&lt;&gt;""),"« Avoir sur facture » : réservé aux avoirs",IF(AND(L465&lt;&gt;"",AA465&lt;&gt;"Facture"),"Acompte à déduire : réservé aux factures",IF(AND(L465&lt;&gt;"",ISNA(MATCH(L465,fa_num,0))),"Facture d'acompte inconnue",IF(AND(L465&lt;&gt;"",IFERROR(INDEX(fa_type,MATCH(L465,fa_num,0)),"")&lt;&gt;"Facture d'acompte"),"Le n° à déduire n'est pas une facture d'acompte",IF(AND(L465&lt;&gt;"",COUNTIF($L$6:L465,L465)&gt;1),"Acompte déjà déduit sur une autre facture",IF(AND(L465&lt;&gt;"",IFERROR(INDEX(fa_client,MATCH(L465,fa_num,0)),D465)&lt;&gt;D465),"Acompte d'un autre client",IF(AND(AR465&lt;&gt;"",N(Q465)&lt;0),"Acompte supérieur au total de la facture",IF(IF(AG465="Facture",COUNTIFS(fl_doc,A465,fl_check,"&lt;&gt;OK"),IF(AG465="Devis",COUNTIFS(dl_doc,F465,dl_check,"&lt;&gt;OK"),0))&gt;0,"Ligne(s) à corriger",IF(AND(W465&lt;&gt;"",N(W465)&lt;0),"Trop-perçu : vérifiez paiements et avoirs","OK")))))))))))))))))))))</f>
        <v/>
      </c>
      <c r="AA465" s="62" t="str">
        <f>IF(COUNTA(B465:D465,F465:O465)&gt;0,IF(B465="","Facture",B465),"")</f>
        <v/>
      </c>
      <c r="AB465" s="62" t="str">
        <f>IF(AA465="","",IF(AA465="Avoir",p_pav,IF(AA465="Facture d'acompte",p_pac,p_pfa)))</f>
        <v/>
      </c>
      <c r="AC465" s="62">
        <f>IF(ISNUMBER(C465),C465,0)</f>
        <v>0.0</v>
      </c>
      <c r="AD465" s="62" t="str">
        <f>IF(OR(AA465="",AC465=0),"",YEAR(AC465))</f>
        <v/>
      </c>
      <c r="AE465" s="62" t="str">
        <f>IF(AD465="","",COUNTIFS($AB$6:AB465,AB465,$AD$6:AD465,AD465))</f>
        <v/>
      </c>
      <c r="AF465" s="62">
        <f>IF(A465="",0,COUNTIF(fl_doc,A465))</f>
        <v>0.0</v>
      </c>
      <c r="AG465" s="62" t="str">
        <f>IF(A465="","",IF(AF465&gt;0,"Facture",IF(AND(F465&lt;&gt;"",AA465="Facture",ISNUMBER(MATCH(F465,dv_num,0))),"Devis","")))</f>
        <v/>
      </c>
      <c r="AH465" s="62" t="str">
        <f>IF(AND(A465&lt;&gt;"",F465&lt;&gt;"",AA465&lt;&gt;"Avoir"),F465,"")</f>
        <v/>
      </c>
      <c r="AI465" s="62" t="str">
        <f>IF(AG465="Devis",F465,"")</f>
        <v/>
      </c>
      <c r="AJ465" s="62">
        <f>IF(AG465="Facture",SUMIF(fl_doc,A465,fl_ht),IF(AG465="Devis",SUMIF(dl_doc,F465,dl_ht),0))</f>
        <v>0.0</v>
      </c>
      <c r="AK465" s="62">
        <f>IF(OR(AG465="",INDEX(p_rates,1)=""),0,IF(AG465="Facture",SUMIFS(fl_ht,fl_doc,A465,fl_rate,INDEX(p_rates,1)),SUMIFS(dl_ht,dl_doc,F465,dl_rate,INDEX(p_rates,1))))</f>
        <v>0.0</v>
      </c>
      <c r="AL465" s="62">
        <f>IF(OR(AG465="",INDEX(p_rates,2)=""),0,IF(AG465="Facture",SUMIFS(fl_ht,fl_doc,A465,fl_rate,INDEX(p_rates,2)),SUMIFS(dl_ht,dl_doc,F465,dl_rate,INDEX(p_rates,2))))</f>
        <v>0.0</v>
      </c>
      <c r="AM465" s="62">
        <f>IF(OR(AG465="",INDEX(p_rates,3)=""),0,IF(AG465="Facture",SUMIFS(fl_ht,fl_doc,A465,fl_rate,INDEX(p_rates,3)),SUMIFS(dl_ht,dl_doc,F465,dl_rate,INDEX(p_rates,3))))</f>
        <v>0.0</v>
      </c>
      <c r="AN465" s="62">
        <f>IF(OR(AG465="",INDEX(p_rates,4)=""),0,IF(AG465="Facture",SUMIFS(fl_ht,fl_doc,A465,fl_rate,INDEX(p_rates,4)),SUMIFS(dl_ht,dl_doc,F465,dl_rate,INDEX(p_rates,4))))</f>
        <v>0.0</v>
      </c>
      <c r="AO465" s="62">
        <f>IF(OR(AG465="",INDEX(p_rates,5)=""),0,IF(AG465="Facture",SUMIFS(fl_ht,fl_doc,A465,fl_rate,INDEX(p_rates,5)),SUMIFS(dl_ht,dl_doc,F465,dl_rate,INDEX(p_rates,5))))</f>
        <v>0.0</v>
      </c>
      <c r="AP465" s="62">
        <f>IF(OR(AG465="",INDEX(p_rates,6)=""),0,IF(AG465="Facture",SUMIFS(fl_ht,fl_doc,A465,fl_rate,INDEX(p_rates,6)),SUMIFS(dl_ht,dl_doc,F465,dl_rate,INDEX(p_rates,6))))</f>
        <v>0.0</v>
      </c>
      <c r="AQ465" s="62">
        <f>ROUND(AK465*N(INDEX(p_rates,1)),2)+ROUND(AL465*N(INDEX(p_rates,2)),2)+ROUND(AM465*N(INDEX(p_rates,3)),2)+ROUND(AN465*N(INDEX(p_rates,4)),2)+ROUND(AO465*N(INDEX(p_rates,5)),2)+ROUND(AP465*N(INDEX(p_rates,6)),2)</f>
        <v>0.0</v>
      </c>
      <c r="AR465" s="62" t="str">
        <f>IF(OR(L465="",AA465&lt;&gt;"Facture"),"",IFERROR(IF(INDEX(fa_type,MATCH(L465,fa_num,0))="Facture d'acompte",MATCH(L465,fa_num,0),""),""))</f>
        <v/>
      </c>
      <c r="AS465" s="62" t="str">
        <f>IF(W465="","",IF(W465&lt;=0,"",IF(p_asof-P465&lt;=0,"Non échu",IF(p_asof-P465&lt;=30,"1-30 j",IF(p_asof-P465&lt;=60,"31-60 j",IF(p_asof-P465&lt;=90,"61-90 j","Plus de 90 j"))))))</f>
        <v/>
      </c>
      <c r="AT465" s="62" t="str">
        <f>IF(AS465="","",p_asof-P465)</f>
        <v/>
      </c>
      <c r="AU465" s="62" t="str">
        <f>IF(AT465="","",COUNTIF($AT$6:$AT$805,"&gt;"&amp;AT465)+COUNTIF($AT$6:AT465,AT465))</f>
        <v/>
      </c>
    </row>
    <row r="466">
      <c r="A466" s="59" t="str">
        <f>IF(AE466="","",AB466&amp;"-"&amp;AD466&amp;"-"&amp;RIGHT("000"&amp;AE466,4))</f>
        <v/>
      </c>
      <c r="B466" s="60" t="n"/>
      <c r="C466" s="61" t="n"/>
      <c r="D466" s="60" t="n"/>
      <c r="E466" s="62" t="str">
        <f>IF(D466="","",IFERROR(INDEX(cli_name,MATCH(D466,cli_code,0))&amp;"","Client inconnu"))</f>
        <v/>
      </c>
      <c r="F466" s="60" t="n"/>
      <c r="G466" s="63" t="n"/>
      <c r="H466" s="61" t="n"/>
      <c r="I466" s="63" t="n"/>
      <c r="J466" s="60" t="n"/>
      <c r="K466" s="61" t="n"/>
      <c r="L466" s="60" t="n"/>
      <c r="M466" s="60" t="n"/>
      <c r="N466" s="60" t="n"/>
      <c r="O466" s="61" t="n"/>
      <c r="P466" s="64" t="str">
        <f>IF(A466="","",IF(AA466="Avoir",AC466,IF(ISNUMBER(K466),K466,AC466+IF(D466="",N(p_delay),IFERROR(IF(ISNUMBER(INDEX(cli_delay,MATCH(D466,cli_code,0))),INDEX(cli_delay,MATCH(D466,cli_code,0)),N(p_delay)),N(p_delay))))))</f>
        <v/>
      </c>
      <c r="Q466" s="65" t="str">
        <f>IF(A466="","",IF(AA466="Avoir",-1,1)*ROUND(AJ466-IF(AR466="",0,INDEX(fa_htb,AR466)),2))</f>
        <v/>
      </c>
      <c r="R466" s="65" t="str">
        <f>IF(A466="","",IF(AA466="Avoir",-1,1)*ROUND(AQ466-IF(AR466="",0,INDEX(fa_tvab,AR466)),2))</f>
        <v/>
      </c>
      <c r="S466" s="65" t="str">
        <f>IF(A466="","",Q466+R466)</f>
        <v/>
      </c>
      <c r="T466" s="65" t="str">
        <f>IF(AR466="","",INDEX(fa_htb,AR466)+INDEX(fa_tvab,AR466))</f>
        <v/>
      </c>
      <c r="U466" s="65" t="str">
        <f>IF(A466="","",SUMIF(pa_inv,A466,pa_amt))</f>
        <v/>
      </c>
      <c r="V466" s="65" t="str">
        <f>IF(OR(A466="",AA466="Avoir"),"",-SUMIFS(fa_ttc,fa_avof,A466,fa_type,"Avoir"))</f>
        <v/>
      </c>
      <c r="W466" s="65" t="str">
        <f>IF(OR(A466="",AA466="Avoir"),"",ROUND(S466-U466-V466,2))</f>
        <v/>
      </c>
      <c r="X466" s="66" t="str">
        <f>IF(W466="","",IF(AND(W466&gt;0,p_asof&gt;P466),p_asof-P466,""))</f>
        <v/>
      </c>
      <c r="Y466" s="59" t="str">
        <f>IF(A466="","",IF(AA466="Avoir","Avoir",IF(W466&lt;0,"Trop-perçu",IF(W466=0,"Soldée",IF(p_asof&gt;P466,"En retard",IF(U466+V466&gt;0,"Partielle","À échoir"))))))</f>
        <v/>
      </c>
      <c r="Z466" s="59" t="str">
        <f>IF(NOT(COUNTA(B466:D466,F466:O466)&gt;0),"",IF(C466="","Date manquante",IF(NOT(ISNUMBER(C466)),"Date invalide",IF(D466="","Client manquant",IF(ISNA(MATCH(D466,cli_code,0)),"Client inconnu",IF(AC466&lt;SUMPRODUCT(MAX(($AB$6:AB465=AB466)*$AC$6:AC465)),"Date antérieure à la facture précédente",IF(AND(F466&lt;&gt;"",ISNA(MATCH(F466,dv_num,0))),"Devis inconnu",IF(AND(F466&lt;&gt;"",IFERROR(INDEX(dv_client,MATCH(F466,dv_num,0)),D466)&lt;&gt;D466),"Client différent de celui du devis",IF(AG466="","Aucune ligne : saisissez des lignes ou un devis",IF(AND(AI466&lt;&gt;"",COUNTIF($AI$6:AI466,AI466)&gt;1),"Devis déjà repris par une autre facture",IF(AND(AA466="Avoir",M466=""),"Avoir : indiquez la facture d'origine",IF(AND(AA466="Avoir",ISNA(MATCH(M466,fa_num,0))),"Facture d'origine inconnue",IF(AND(AA466&lt;&gt;"Avoir",M466&lt;&gt;""),"« Avoir sur facture » : réservé aux avoirs",IF(AND(L466&lt;&gt;"",AA466&lt;&gt;"Facture"),"Acompte à déduire : réservé aux factures",IF(AND(L466&lt;&gt;"",ISNA(MATCH(L466,fa_num,0))),"Facture d'acompte inconnue",IF(AND(L466&lt;&gt;"",IFERROR(INDEX(fa_type,MATCH(L466,fa_num,0)),"")&lt;&gt;"Facture d'acompte"),"Le n° à déduire n'est pas une facture d'acompte",IF(AND(L466&lt;&gt;"",COUNTIF($L$6:L466,L466)&gt;1),"Acompte déjà déduit sur une autre facture",IF(AND(L466&lt;&gt;"",IFERROR(INDEX(fa_client,MATCH(L466,fa_num,0)),D466)&lt;&gt;D466),"Acompte d'un autre client",IF(AND(AR466&lt;&gt;"",N(Q466)&lt;0),"Acompte supérieur au total de la facture",IF(IF(AG466="Facture",COUNTIFS(fl_doc,A466,fl_check,"&lt;&gt;OK"),IF(AG466="Devis",COUNTIFS(dl_doc,F466,dl_check,"&lt;&gt;OK"),0))&gt;0,"Ligne(s) à corriger",IF(AND(W466&lt;&gt;"",N(W466)&lt;0),"Trop-perçu : vérifiez paiements et avoirs","OK")))))))))))))))))))))</f>
        <v/>
      </c>
      <c r="AA466" s="62" t="str">
        <f>IF(COUNTA(B466:D466,F466:O466)&gt;0,IF(B466="","Facture",B466),"")</f>
        <v/>
      </c>
      <c r="AB466" s="62" t="str">
        <f>IF(AA466="","",IF(AA466="Avoir",p_pav,IF(AA466="Facture d'acompte",p_pac,p_pfa)))</f>
        <v/>
      </c>
      <c r="AC466" s="62">
        <f>IF(ISNUMBER(C466),C466,0)</f>
        <v>0.0</v>
      </c>
      <c r="AD466" s="62" t="str">
        <f>IF(OR(AA466="",AC466=0),"",YEAR(AC466))</f>
        <v/>
      </c>
      <c r="AE466" s="62" t="str">
        <f>IF(AD466="","",COUNTIFS($AB$6:AB466,AB466,$AD$6:AD466,AD466))</f>
        <v/>
      </c>
      <c r="AF466" s="62">
        <f>IF(A466="",0,COUNTIF(fl_doc,A466))</f>
        <v>0.0</v>
      </c>
      <c r="AG466" s="62" t="str">
        <f>IF(A466="","",IF(AF466&gt;0,"Facture",IF(AND(F466&lt;&gt;"",AA466="Facture",ISNUMBER(MATCH(F466,dv_num,0))),"Devis","")))</f>
        <v/>
      </c>
      <c r="AH466" s="62" t="str">
        <f>IF(AND(A466&lt;&gt;"",F466&lt;&gt;"",AA466&lt;&gt;"Avoir"),F466,"")</f>
        <v/>
      </c>
      <c r="AI466" s="62" t="str">
        <f>IF(AG466="Devis",F466,"")</f>
        <v/>
      </c>
      <c r="AJ466" s="62">
        <f>IF(AG466="Facture",SUMIF(fl_doc,A466,fl_ht),IF(AG466="Devis",SUMIF(dl_doc,F466,dl_ht),0))</f>
        <v>0.0</v>
      </c>
      <c r="AK466" s="62">
        <f>IF(OR(AG466="",INDEX(p_rates,1)=""),0,IF(AG466="Facture",SUMIFS(fl_ht,fl_doc,A466,fl_rate,INDEX(p_rates,1)),SUMIFS(dl_ht,dl_doc,F466,dl_rate,INDEX(p_rates,1))))</f>
        <v>0.0</v>
      </c>
      <c r="AL466" s="62">
        <f>IF(OR(AG466="",INDEX(p_rates,2)=""),0,IF(AG466="Facture",SUMIFS(fl_ht,fl_doc,A466,fl_rate,INDEX(p_rates,2)),SUMIFS(dl_ht,dl_doc,F466,dl_rate,INDEX(p_rates,2))))</f>
        <v>0.0</v>
      </c>
      <c r="AM466" s="62">
        <f>IF(OR(AG466="",INDEX(p_rates,3)=""),0,IF(AG466="Facture",SUMIFS(fl_ht,fl_doc,A466,fl_rate,INDEX(p_rates,3)),SUMIFS(dl_ht,dl_doc,F466,dl_rate,INDEX(p_rates,3))))</f>
        <v>0.0</v>
      </c>
      <c r="AN466" s="62">
        <f>IF(OR(AG466="",INDEX(p_rates,4)=""),0,IF(AG466="Facture",SUMIFS(fl_ht,fl_doc,A466,fl_rate,INDEX(p_rates,4)),SUMIFS(dl_ht,dl_doc,F466,dl_rate,INDEX(p_rates,4))))</f>
        <v>0.0</v>
      </c>
      <c r="AO466" s="62">
        <f>IF(OR(AG466="",INDEX(p_rates,5)=""),0,IF(AG466="Facture",SUMIFS(fl_ht,fl_doc,A466,fl_rate,INDEX(p_rates,5)),SUMIFS(dl_ht,dl_doc,F466,dl_rate,INDEX(p_rates,5))))</f>
        <v>0.0</v>
      </c>
      <c r="AP466" s="62">
        <f>IF(OR(AG466="",INDEX(p_rates,6)=""),0,IF(AG466="Facture",SUMIFS(fl_ht,fl_doc,A466,fl_rate,INDEX(p_rates,6)),SUMIFS(dl_ht,dl_doc,F466,dl_rate,INDEX(p_rates,6))))</f>
        <v>0.0</v>
      </c>
      <c r="AQ466" s="62">
        <f>ROUND(AK466*N(INDEX(p_rates,1)),2)+ROUND(AL466*N(INDEX(p_rates,2)),2)+ROUND(AM466*N(INDEX(p_rates,3)),2)+ROUND(AN466*N(INDEX(p_rates,4)),2)+ROUND(AO466*N(INDEX(p_rates,5)),2)+ROUND(AP466*N(INDEX(p_rates,6)),2)</f>
        <v>0.0</v>
      </c>
      <c r="AR466" s="62" t="str">
        <f>IF(OR(L466="",AA466&lt;&gt;"Facture"),"",IFERROR(IF(INDEX(fa_type,MATCH(L466,fa_num,0))="Facture d'acompte",MATCH(L466,fa_num,0),""),""))</f>
        <v/>
      </c>
      <c r="AS466" s="62" t="str">
        <f>IF(W466="","",IF(W466&lt;=0,"",IF(p_asof-P466&lt;=0,"Non échu",IF(p_asof-P466&lt;=30,"1-30 j",IF(p_asof-P466&lt;=60,"31-60 j",IF(p_asof-P466&lt;=90,"61-90 j","Plus de 90 j"))))))</f>
        <v/>
      </c>
      <c r="AT466" s="62" t="str">
        <f>IF(AS466="","",p_asof-P466)</f>
        <v/>
      </c>
      <c r="AU466" s="62" t="str">
        <f>IF(AT466="","",COUNTIF($AT$6:$AT$805,"&gt;"&amp;AT466)+COUNTIF($AT$6:AT466,AT466))</f>
        <v/>
      </c>
    </row>
    <row r="467">
      <c r="A467" s="59" t="str">
        <f>IF(AE467="","",AB467&amp;"-"&amp;AD467&amp;"-"&amp;RIGHT("000"&amp;AE467,4))</f>
        <v/>
      </c>
      <c r="B467" s="60" t="n"/>
      <c r="C467" s="61" t="n"/>
      <c r="D467" s="60" t="n"/>
      <c r="E467" s="62" t="str">
        <f>IF(D467="","",IFERROR(INDEX(cli_name,MATCH(D467,cli_code,0))&amp;"","Client inconnu"))</f>
        <v/>
      </c>
      <c r="F467" s="60" t="n"/>
      <c r="G467" s="63" t="n"/>
      <c r="H467" s="61" t="n"/>
      <c r="I467" s="63" t="n"/>
      <c r="J467" s="60" t="n"/>
      <c r="K467" s="61" t="n"/>
      <c r="L467" s="60" t="n"/>
      <c r="M467" s="60" t="n"/>
      <c r="N467" s="60" t="n"/>
      <c r="O467" s="61" t="n"/>
      <c r="P467" s="64" t="str">
        <f>IF(A467="","",IF(AA467="Avoir",AC467,IF(ISNUMBER(K467),K467,AC467+IF(D467="",N(p_delay),IFERROR(IF(ISNUMBER(INDEX(cli_delay,MATCH(D467,cli_code,0))),INDEX(cli_delay,MATCH(D467,cli_code,0)),N(p_delay)),N(p_delay))))))</f>
        <v/>
      </c>
      <c r="Q467" s="65" t="str">
        <f>IF(A467="","",IF(AA467="Avoir",-1,1)*ROUND(AJ467-IF(AR467="",0,INDEX(fa_htb,AR467)),2))</f>
        <v/>
      </c>
      <c r="R467" s="65" t="str">
        <f>IF(A467="","",IF(AA467="Avoir",-1,1)*ROUND(AQ467-IF(AR467="",0,INDEX(fa_tvab,AR467)),2))</f>
        <v/>
      </c>
      <c r="S467" s="65" t="str">
        <f>IF(A467="","",Q467+R467)</f>
        <v/>
      </c>
      <c r="T467" s="65" t="str">
        <f>IF(AR467="","",INDEX(fa_htb,AR467)+INDEX(fa_tvab,AR467))</f>
        <v/>
      </c>
      <c r="U467" s="65" t="str">
        <f>IF(A467="","",SUMIF(pa_inv,A467,pa_amt))</f>
        <v/>
      </c>
      <c r="V467" s="65" t="str">
        <f>IF(OR(A467="",AA467="Avoir"),"",-SUMIFS(fa_ttc,fa_avof,A467,fa_type,"Avoir"))</f>
        <v/>
      </c>
      <c r="W467" s="65" t="str">
        <f>IF(OR(A467="",AA467="Avoir"),"",ROUND(S467-U467-V467,2))</f>
        <v/>
      </c>
      <c r="X467" s="66" t="str">
        <f>IF(W467="","",IF(AND(W467&gt;0,p_asof&gt;P467),p_asof-P467,""))</f>
        <v/>
      </c>
      <c r="Y467" s="59" t="str">
        <f>IF(A467="","",IF(AA467="Avoir","Avoir",IF(W467&lt;0,"Trop-perçu",IF(W467=0,"Soldée",IF(p_asof&gt;P467,"En retard",IF(U467+V467&gt;0,"Partielle","À échoir"))))))</f>
        <v/>
      </c>
      <c r="Z467" s="59" t="str">
        <f>IF(NOT(COUNTA(B467:D467,F467:O467)&gt;0),"",IF(C467="","Date manquante",IF(NOT(ISNUMBER(C467)),"Date invalide",IF(D467="","Client manquant",IF(ISNA(MATCH(D467,cli_code,0)),"Client inconnu",IF(AC467&lt;SUMPRODUCT(MAX(($AB$6:AB466=AB467)*$AC$6:AC466)),"Date antérieure à la facture précédente",IF(AND(F467&lt;&gt;"",ISNA(MATCH(F467,dv_num,0))),"Devis inconnu",IF(AND(F467&lt;&gt;"",IFERROR(INDEX(dv_client,MATCH(F467,dv_num,0)),D467)&lt;&gt;D467),"Client différent de celui du devis",IF(AG467="","Aucune ligne : saisissez des lignes ou un devis",IF(AND(AI467&lt;&gt;"",COUNTIF($AI$6:AI467,AI467)&gt;1),"Devis déjà repris par une autre facture",IF(AND(AA467="Avoir",M467=""),"Avoir : indiquez la facture d'origine",IF(AND(AA467="Avoir",ISNA(MATCH(M467,fa_num,0))),"Facture d'origine inconnue",IF(AND(AA467&lt;&gt;"Avoir",M467&lt;&gt;""),"« Avoir sur facture » : réservé aux avoirs",IF(AND(L467&lt;&gt;"",AA467&lt;&gt;"Facture"),"Acompte à déduire : réservé aux factures",IF(AND(L467&lt;&gt;"",ISNA(MATCH(L467,fa_num,0))),"Facture d'acompte inconnue",IF(AND(L467&lt;&gt;"",IFERROR(INDEX(fa_type,MATCH(L467,fa_num,0)),"")&lt;&gt;"Facture d'acompte"),"Le n° à déduire n'est pas une facture d'acompte",IF(AND(L467&lt;&gt;"",COUNTIF($L$6:L467,L467)&gt;1),"Acompte déjà déduit sur une autre facture",IF(AND(L467&lt;&gt;"",IFERROR(INDEX(fa_client,MATCH(L467,fa_num,0)),D467)&lt;&gt;D467),"Acompte d'un autre client",IF(AND(AR467&lt;&gt;"",N(Q467)&lt;0),"Acompte supérieur au total de la facture",IF(IF(AG467="Facture",COUNTIFS(fl_doc,A467,fl_check,"&lt;&gt;OK"),IF(AG467="Devis",COUNTIFS(dl_doc,F467,dl_check,"&lt;&gt;OK"),0))&gt;0,"Ligne(s) à corriger",IF(AND(W467&lt;&gt;"",N(W467)&lt;0),"Trop-perçu : vérifiez paiements et avoirs","OK")))))))))))))))))))))</f>
        <v/>
      </c>
      <c r="AA467" s="62" t="str">
        <f>IF(COUNTA(B467:D467,F467:O467)&gt;0,IF(B467="","Facture",B467),"")</f>
        <v/>
      </c>
      <c r="AB467" s="62" t="str">
        <f>IF(AA467="","",IF(AA467="Avoir",p_pav,IF(AA467="Facture d'acompte",p_pac,p_pfa)))</f>
        <v/>
      </c>
      <c r="AC467" s="62">
        <f>IF(ISNUMBER(C467),C467,0)</f>
        <v>0.0</v>
      </c>
      <c r="AD467" s="62" t="str">
        <f>IF(OR(AA467="",AC467=0),"",YEAR(AC467))</f>
        <v/>
      </c>
      <c r="AE467" s="62" t="str">
        <f>IF(AD467="","",COUNTIFS($AB$6:AB467,AB467,$AD$6:AD467,AD467))</f>
        <v/>
      </c>
      <c r="AF467" s="62">
        <f>IF(A467="",0,COUNTIF(fl_doc,A467))</f>
        <v>0.0</v>
      </c>
      <c r="AG467" s="62" t="str">
        <f>IF(A467="","",IF(AF467&gt;0,"Facture",IF(AND(F467&lt;&gt;"",AA467="Facture",ISNUMBER(MATCH(F467,dv_num,0))),"Devis","")))</f>
        <v/>
      </c>
      <c r="AH467" s="62" t="str">
        <f>IF(AND(A467&lt;&gt;"",F467&lt;&gt;"",AA467&lt;&gt;"Avoir"),F467,"")</f>
        <v/>
      </c>
      <c r="AI467" s="62" t="str">
        <f>IF(AG467="Devis",F467,"")</f>
        <v/>
      </c>
      <c r="AJ467" s="62">
        <f>IF(AG467="Facture",SUMIF(fl_doc,A467,fl_ht),IF(AG467="Devis",SUMIF(dl_doc,F467,dl_ht),0))</f>
        <v>0.0</v>
      </c>
      <c r="AK467" s="62">
        <f>IF(OR(AG467="",INDEX(p_rates,1)=""),0,IF(AG467="Facture",SUMIFS(fl_ht,fl_doc,A467,fl_rate,INDEX(p_rates,1)),SUMIFS(dl_ht,dl_doc,F467,dl_rate,INDEX(p_rates,1))))</f>
        <v>0.0</v>
      </c>
      <c r="AL467" s="62">
        <f>IF(OR(AG467="",INDEX(p_rates,2)=""),0,IF(AG467="Facture",SUMIFS(fl_ht,fl_doc,A467,fl_rate,INDEX(p_rates,2)),SUMIFS(dl_ht,dl_doc,F467,dl_rate,INDEX(p_rates,2))))</f>
        <v>0.0</v>
      </c>
      <c r="AM467" s="62">
        <f>IF(OR(AG467="",INDEX(p_rates,3)=""),0,IF(AG467="Facture",SUMIFS(fl_ht,fl_doc,A467,fl_rate,INDEX(p_rates,3)),SUMIFS(dl_ht,dl_doc,F467,dl_rate,INDEX(p_rates,3))))</f>
        <v>0.0</v>
      </c>
      <c r="AN467" s="62">
        <f>IF(OR(AG467="",INDEX(p_rates,4)=""),0,IF(AG467="Facture",SUMIFS(fl_ht,fl_doc,A467,fl_rate,INDEX(p_rates,4)),SUMIFS(dl_ht,dl_doc,F467,dl_rate,INDEX(p_rates,4))))</f>
        <v>0.0</v>
      </c>
      <c r="AO467" s="62">
        <f>IF(OR(AG467="",INDEX(p_rates,5)=""),0,IF(AG467="Facture",SUMIFS(fl_ht,fl_doc,A467,fl_rate,INDEX(p_rates,5)),SUMIFS(dl_ht,dl_doc,F467,dl_rate,INDEX(p_rates,5))))</f>
        <v>0.0</v>
      </c>
      <c r="AP467" s="62">
        <f>IF(OR(AG467="",INDEX(p_rates,6)=""),0,IF(AG467="Facture",SUMIFS(fl_ht,fl_doc,A467,fl_rate,INDEX(p_rates,6)),SUMIFS(dl_ht,dl_doc,F467,dl_rate,INDEX(p_rates,6))))</f>
        <v>0.0</v>
      </c>
      <c r="AQ467" s="62">
        <f>ROUND(AK467*N(INDEX(p_rates,1)),2)+ROUND(AL467*N(INDEX(p_rates,2)),2)+ROUND(AM467*N(INDEX(p_rates,3)),2)+ROUND(AN467*N(INDEX(p_rates,4)),2)+ROUND(AO467*N(INDEX(p_rates,5)),2)+ROUND(AP467*N(INDEX(p_rates,6)),2)</f>
        <v>0.0</v>
      </c>
      <c r="AR467" s="62" t="str">
        <f>IF(OR(L467="",AA467&lt;&gt;"Facture"),"",IFERROR(IF(INDEX(fa_type,MATCH(L467,fa_num,0))="Facture d'acompte",MATCH(L467,fa_num,0),""),""))</f>
        <v/>
      </c>
      <c r="AS467" s="62" t="str">
        <f>IF(W467="","",IF(W467&lt;=0,"",IF(p_asof-P467&lt;=0,"Non échu",IF(p_asof-P467&lt;=30,"1-30 j",IF(p_asof-P467&lt;=60,"31-60 j",IF(p_asof-P467&lt;=90,"61-90 j","Plus de 90 j"))))))</f>
        <v/>
      </c>
      <c r="AT467" s="62" t="str">
        <f>IF(AS467="","",p_asof-P467)</f>
        <v/>
      </c>
      <c r="AU467" s="62" t="str">
        <f>IF(AT467="","",COUNTIF($AT$6:$AT$805,"&gt;"&amp;AT467)+COUNTIF($AT$6:AT467,AT467))</f>
        <v/>
      </c>
    </row>
    <row r="468">
      <c r="A468" s="59" t="str">
        <f>IF(AE468="","",AB468&amp;"-"&amp;AD468&amp;"-"&amp;RIGHT("000"&amp;AE468,4))</f>
        <v/>
      </c>
      <c r="B468" s="60" t="n"/>
      <c r="C468" s="61" t="n"/>
      <c r="D468" s="60" t="n"/>
      <c r="E468" s="62" t="str">
        <f>IF(D468="","",IFERROR(INDEX(cli_name,MATCH(D468,cli_code,0))&amp;"","Client inconnu"))</f>
        <v/>
      </c>
      <c r="F468" s="60" t="n"/>
      <c r="G468" s="63" t="n"/>
      <c r="H468" s="61" t="n"/>
      <c r="I468" s="63" t="n"/>
      <c r="J468" s="60" t="n"/>
      <c r="K468" s="61" t="n"/>
      <c r="L468" s="60" t="n"/>
      <c r="M468" s="60" t="n"/>
      <c r="N468" s="60" t="n"/>
      <c r="O468" s="61" t="n"/>
      <c r="P468" s="64" t="str">
        <f>IF(A468="","",IF(AA468="Avoir",AC468,IF(ISNUMBER(K468),K468,AC468+IF(D468="",N(p_delay),IFERROR(IF(ISNUMBER(INDEX(cli_delay,MATCH(D468,cli_code,0))),INDEX(cli_delay,MATCH(D468,cli_code,0)),N(p_delay)),N(p_delay))))))</f>
        <v/>
      </c>
      <c r="Q468" s="65" t="str">
        <f>IF(A468="","",IF(AA468="Avoir",-1,1)*ROUND(AJ468-IF(AR468="",0,INDEX(fa_htb,AR468)),2))</f>
        <v/>
      </c>
      <c r="R468" s="65" t="str">
        <f>IF(A468="","",IF(AA468="Avoir",-1,1)*ROUND(AQ468-IF(AR468="",0,INDEX(fa_tvab,AR468)),2))</f>
        <v/>
      </c>
      <c r="S468" s="65" t="str">
        <f>IF(A468="","",Q468+R468)</f>
        <v/>
      </c>
      <c r="T468" s="65" t="str">
        <f>IF(AR468="","",INDEX(fa_htb,AR468)+INDEX(fa_tvab,AR468))</f>
        <v/>
      </c>
      <c r="U468" s="65" t="str">
        <f>IF(A468="","",SUMIF(pa_inv,A468,pa_amt))</f>
        <v/>
      </c>
      <c r="V468" s="65" t="str">
        <f>IF(OR(A468="",AA468="Avoir"),"",-SUMIFS(fa_ttc,fa_avof,A468,fa_type,"Avoir"))</f>
        <v/>
      </c>
      <c r="W468" s="65" t="str">
        <f>IF(OR(A468="",AA468="Avoir"),"",ROUND(S468-U468-V468,2))</f>
        <v/>
      </c>
      <c r="X468" s="66" t="str">
        <f>IF(W468="","",IF(AND(W468&gt;0,p_asof&gt;P468),p_asof-P468,""))</f>
        <v/>
      </c>
      <c r="Y468" s="59" t="str">
        <f>IF(A468="","",IF(AA468="Avoir","Avoir",IF(W468&lt;0,"Trop-perçu",IF(W468=0,"Soldée",IF(p_asof&gt;P468,"En retard",IF(U468+V468&gt;0,"Partielle","À échoir"))))))</f>
        <v/>
      </c>
      <c r="Z468" s="59" t="str">
        <f>IF(NOT(COUNTA(B468:D468,F468:O468)&gt;0),"",IF(C468="","Date manquante",IF(NOT(ISNUMBER(C468)),"Date invalide",IF(D468="","Client manquant",IF(ISNA(MATCH(D468,cli_code,0)),"Client inconnu",IF(AC468&lt;SUMPRODUCT(MAX(($AB$6:AB467=AB468)*$AC$6:AC467)),"Date antérieure à la facture précédente",IF(AND(F468&lt;&gt;"",ISNA(MATCH(F468,dv_num,0))),"Devis inconnu",IF(AND(F468&lt;&gt;"",IFERROR(INDEX(dv_client,MATCH(F468,dv_num,0)),D468)&lt;&gt;D468),"Client différent de celui du devis",IF(AG468="","Aucune ligne : saisissez des lignes ou un devis",IF(AND(AI468&lt;&gt;"",COUNTIF($AI$6:AI468,AI468)&gt;1),"Devis déjà repris par une autre facture",IF(AND(AA468="Avoir",M468=""),"Avoir : indiquez la facture d'origine",IF(AND(AA468="Avoir",ISNA(MATCH(M468,fa_num,0))),"Facture d'origine inconnue",IF(AND(AA468&lt;&gt;"Avoir",M468&lt;&gt;""),"« Avoir sur facture » : réservé aux avoirs",IF(AND(L468&lt;&gt;"",AA468&lt;&gt;"Facture"),"Acompte à déduire : réservé aux factures",IF(AND(L468&lt;&gt;"",ISNA(MATCH(L468,fa_num,0))),"Facture d'acompte inconnue",IF(AND(L468&lt;&gt;"",IFERROR(INDEX(fa_type,MATCH(L468,fa_num,0)),"")&lt;&gt;"Facture d'acompte"),"Le n° à déduire n'est pas une facture d'acompte",IF(AND(L468&lt;&gt;"",COUNTIF($L$6:L468,L468)&gt;1),"Acompte déjà déduit sur une autre facture",IF(AND(L468&lt;&gt;"",IFERROR(INDEX(fa_client,MATCH(L468,fa_num,0)),D468)&lt;&gt;D468),"Acompte d'un autre client",IF(AND(AR468&lt;&gt;"",N(Q468)&lt;0),"Acompte supérieur au total de la facture",IF(IF(AG468="Facture",COUNTIFS(fl_doc,A468,fl_check,"&lt;&gt;OK"),IF(AG468="Devis",COUNTIFS(dl_doc,F468,dl_check,"&lt;&gt;OK"),0))&gt;0,"Ligne(s) à corriger",IF(AND(W468&lt;&gt;"",N(W468)&lt;0),"Trop-perçu : vérifiez paiements et avoirs","OK")))))))))))))))))))))</f>
        <v/>
      </c>
      <c r="AA468" s="62" t="str">
        <f>IF(COUNTA(B468:D468,F468:O468)&gt;0,IF(B468="","Facture",B468),"")</f>
        <v/>
      </c>
      <c r="AB468" s="62" t="str">
        <f>IF(AA468="","",IF(AA468="Avoir",p_pav,IF(AA468="Facture d'acompte",p_pac,p_pfa)))</f>
        <v/>
      </c>
      <c r="AC468" s="62">
        <f>IF(ISNUMBER(C468),C468,0)</f>
        <v>0.0</v>
      </c>
      <c r="AD468" s="62" t="str">
        <f>IF(OR(AA468="",AC468=0),"",YEAR(AC468))</f>
        <v/>
      </c>
      <c r="AE468" s="62" t="str">
        <f>IF(AD468="","",COUNTIFS($AB$6:AB468,AB468,$AD$6:AD468,AD468))</f>
        <v/>
      </c>
      <c r="AF468" s="62">
        <f>IF(A468="",0,COUNTIF(fl_doc,A468))</f>
        <v>0.0</v>
      </c>
      <c r="AG468" s="62" t="str">
        <f>IF(A468="","",IF(AF468&gt;0,"Facture",IF(AND(F468&lt;&gt;"",AA468="Facture",ISNUMBER(MATCH(F468,dv_num,0))),"Devis","")))</f>
        <v/>
      </c>
      <c r="AH468" s="62" t="str">
        <f>IF(AND(A468&lt;&gt;"",F468&lt;&gt;"",AA468&lt;&gt;"Avoir"),F468,"")</f>
        <v/>
      </c>
      <c r="AI468" s="62" t="str">
        <f>IF(AG468="Devis",F468,"")</f>
        <v/>
      </c>
      <c r="AJ468" s="62">
        <f>IF(AG468="Facture",SUMIF(fl_doc,A468,fl_ht),IF(AG468="Devis",SUMIF(dl_doc,F468,dl_ht),0))</f>
        <v>0.0</v>
      </c>
      <c r="AK468" s="62">
        <f>IF(OR(AG468="",INDEX(p_rates,1)=""),0,IF(AG468="Facture",SUMIFS(fl_ht,fl_doc,A468,fl_rate,INDEX(p_rates,1)),SUMIFS(dl_ht,dl_doc,F468,dl_rate,INDEX(p_rates,1))))</f>
        <v>0.0</v>
      </c>
      <c r="AL468" s="62">
        <f>IF(OR(AG468="",INDEX(p_rates,2)=""),0,IF(AG468="Facture",SUMIFS(fl_ht,fl_doc,A468,fl_rate,INDEX(p_rates,2)),SUMIFS(dl_ht,dl_doc,F468,dl_rate,INDEX(p_rates,2))))</f>
        <v>0.0</v>
      </c>
      <c r="AM468" s="62">
        <f>IF(OR(AG468="",INDEX(p_rates,3)=""),0,IF(AG468="Facture",SUMIFS(fl_ht,fl_doc,A468,fl_rate,INDEX(p_rates,3)),SUMIFS(dl_ht,dl_doc,F468,dl_rate,INDEX(p_rates,3))))</f>
        <v>0.0</v>
      </c>
      <c r="AN468" s="62">
        <f>IF(OR(AG468="",INDEX(p_rates,4)=""),0,IF(AG468="Facture",SUMIFS(fl_ht,fl_doc,A468,fl_rate,INDEX(p_rates,4)),SUMIFS(dl_ht,dl_doc,F468,dl_rate,INDEX(p_rates,4))))</f>
        <v>0.0</v>
      </c>
      <c r="AO468" s="62">
        <f>IF(OR(AG468="",INDEX(p_rates,5)=""),0,IF(AG468="Facture",SUMIFS(fl_ht,fl_doc,A468,fl_rate,INDEX(p_rates,5)),SUMIFS(dl_ht,dl_doc,F468,dl_rate,INDEX(p_rates,5))))</f>
        <v>0.0</v>
      </c>
      <c r="AP468" s="62">
        <f>IF(OR(AG468="",INDEX(p_rates,6)=""),0,IF(AG468="Facture",SUMIFS(fl_ht,fl_doc,A468,fl_rate,INDEX(p_rates,6)),SUMIFS(dl_ht,dl_doc,F468,dl_rate,INDEX(p_rates,6))))</f>
        <v>0.0</v>
      </c>
      <c r="AQ468" s="62">
        <f>ROUND(AK468*N(INDEX(p_rates,1)),2)+ROUND(AL468*N(INDEX(p_rates,2)),2)+ROUND(AM468*N(INDEX(p_rates,3)),2)+ROUND(AN468*N(INDEX(p_rates,4)),2)+ROUND(AO468*N(INDEX(p_rates,5)),2)+ROUND(AP468*N(INDEX(p_rates,6)),2)</f>
        <v>0.0</v>
      </c>
      <c r="AR468" s="62" t="str">
        <f>IF(OR(L468="",AA468&lt;&gt;"Facture"),"",IFERROR(IF(INDEX(fa_type,MATCH(L468,fa_num,0))="Facture d'acompte",MATCH(L468,fa_num,0),""),""))</f>
        <v/>
      </c>
      <c r="AS468" s="62" t="str">
        <f>IF(W468="","",IF(W468&lt;=0,"",IF(p_asof-P468&lt;=0,"Non échu",IF(p_asof-P468&lt;=30,"1-30 j",IF(p_asof-P468&lt;=60,"31-60 j",IF(p_asof-P468&lt;=90,"61-90 j","Plus de 90 j"))))))</f>
        <v/>
      </c>
      <c r="AT468" s="62" t="str">
        <f>IF(AS468="","",p_asof-P468)</f>
        <v/>
      </c>
      <c r="AU468" s="62" t="str">
        <f>IF(AT468="","",COUNTIF($AT$6:$AT$805,"&gt;"&amp;AT468)+COUNTIF($AT$6:AT468,AT468))</f>
        <v/>
      </c>
    </row>
    <row r="469">
      <c r="A469" s="59" t="str">
        <f>IF(AE469="","",AB469&amp;"-"&amp;AD469&amp;"-"&amp;RIGHT("000"&amp;AE469,4))</f>
        <v/>
      </c>
      <c r="B469" s="60" t="n"/>
      <c r="C469" s="61" t="n"/>
      <c r="D469" s="60" t="n"/>
      <c r="E469" s="62" t="str">
        <f>IF(D469="","",IFERROR(INDEX(cli_name,MATCH(D469,cli_code,0))&amp;"","Client inconnu"))</f>
        <v/>
      </c>
      <c r="F469" s="60" t="n"/>
      <c r="G469" s="63" t="n"/>
      <c r="H469" s="61" t="n"/>
      <c r="I469" s="63" t="n"/>
      <c r="J469" s="60" t="n"/>
      <c r="K469" s="61" t="n"/>
      <c r="L469" s="60" t="n"/>
      <c r="M469" s="60" t="n"/>
      <c r="N469" s="60" t="n"/>
      <c r="O469" s="61" t="n"/>
      <c r="P469" s="64" t="str">
        <f>IF(A469="","",IF(AA469="Avoir",AC469,IF(ISNUMBER(K469),K469,AC469+IF(D469="",N(p_delay),IFERROR(IF(ISNUMBER(INDEX(cli_delay,MATCH(D469,cli_code,0))),INDEX(cli_delay,MATCH(D469,cli_code,0)),N(p_delay)),N(p_delay))))))</f>
        <v/>
      </c>
      <c r="Q469" s="65" t="str">
        <f>IF(A469="","",IF(AA469="Avoir",-1,1)*ROUND(AJ469-IF(AR469="",0,INDEX(fa_htb,AR469)),2))</f>
        <v/>
      </c>
      <c r="R469" s="65" t="str">
        <f>IF(A469="","",IF(AA469="Avoir",-1,1)*ROUND(AQ469-IF(AR469="",0,INDEX(fa_tvab,AR469)),2))</f>
        <v/>
      </c>
      <c r="S469" s="65" t="str">
        <f>IF(A469="","",Q469+R469)</f>
        <v/>
      </c>
      <c r="T469" s="65" t="str">
        <f>IF(AR469="","",INDEX(fa_htb,AR469)+INDEX(fa_tvab,AR469))</f>
        <v/>
      </c>
      <c r="U469" s="65" t="str">
        <f>IF(A469="","",SUMIF(pa_inv,A469,pa_amt))</f>
        <v/>
      </c>
      <c r="V469" s="65" t="str">
        <f>IF(OR(A469="",AA469="Avoir"),"",-SUMIFS(fa_ttc,fa_avof,A469,fa_type,"Avoir"))</f>
        <v/>
      </c>
      <c r="W469" s="65" t="str">
        <f>IF(OR(A469="",AA469="Avoir"),"",ROUND(S469-U469-V469,2))</f>
        <v/>
      </c>
      <c r="X469" s="66" t="str">
        <f>IF(W469="","",IF(AND(W469&gt;0,p_asof&gt;P469),p_asof-P469,""))</f>
        <v/>
      </c>
      <c r="Y469" s="59" t="str">
        <f>IF(A469="","",IF(AA469="Avoir","Avoir",IF(W469&lt;0,"Trop-perçu",IF(W469=0,"Soldée",IF(p_asof&gt;P469,"En retard",IF(U469+V469&gt;0,"Partielle","À échoir"))))))</f>
        <v/>
      </c>
      <c r="Z469" s="59" t="str">
        <f>IF(NOT(COUNTA(B469:D469,F469:O469)&gt;0),"",IF(C469="","Date manquante",IF(NOT(ISNUMBER(C469)),"Date invalide",IF(D469="","Client manquant",IF(ISNA(MATCH(D469,cli_code,0)),"Client inconnu",IF(AC469&lt;SUMPRODUCT(MAX(($AB$6:AB468=AB469)*$AC$6:AC468)),"Date antérieure à la facture précédente",IF(AND(F469&lt;&gt;"",ISNA(MATCH(F469,dv_num,0))),"Devis inconnu",IF(AND(F469&lt;&gt;"",IFERROR(INDEX(dv_client,MATCH(F469,dv_num,0)),D469)&lt;&gt;D469),"Client différent de celui du devis",IF(AG469="","Aucune ligne : saisissez des lignes ou un devis",IF(AND(AI469&lt;&gt;"",COUNTIF($AI$6:AI469,AI469)&gt;1),"Devis déjà repris par une autre facture",IF(AND(AA469="Avoir",M469=""),"Avoir : indiquez la facture d'origine",IF(AND(AA469="Avoir",ISNA(MATCH(M469,fa_num,0))),"Facture d'origine inconnue",IF(AND(AA469&lt;&gt;"Avoir",M469&lt;&gt;""),"« Avoir sur facture » : réservé aux avoirs",IF(AND(L469&lt;&gt;"",AA469&lt;&gt;"Facture"),"Acompte à déduire : réservé aux factures",IF(AND(L469&lt;&gt;"",ISNA(MATCH(L469,fa_num,0))),"Facture d'acompte inconnue",IF(AND(L469&lt;&gt;"",IFERROR(INDEX(fa_type,MATCH(L469,fa_num,0)),"")&lt;&gt;"Facture d'acompte"),"Le n° à déduire n'est pas une facture d'acompte",IF(AND(L469&lt;&gt;"",COUNTIF($L$6:L469,L469)&gt;1),"Acompte déjà déduit sur une autre facture",IF(AND(L469&lt;&gt;"",IFERROR(INDEX(fa_client,MATCH(L469,fa_num,0)),D469)&lt;&gt;D469),"Acompte d'un autre client",IF(AND(AR469&lt;&gt;"",N(Q469)&lt;0),"Acompte supérieur au total de la facture",IF(IF(AG469="Facture",COUNTIFS(fl_doc,A469,fl_check,"&lt;&gt;OK"),IF(AG469="Devis",COUNTIFS(dl_doc,F469,dl_check,"&lt;&gt;OK"),0))&gt;0,"Ligne(s) à corriger",IF(AND(W469&lt;&gt;"",N(W469)&lt;0),"Trop-perçu : vérifiez paiements et avoirs","OK")))))))))))))))))))))</f>
        <v/>
      </c>
      <c r="AA469" s="62" t="str">
        <f>IF(COUNTA(B469:D469,F469:O469)&gt;0,IF(B469="","Facture",B469),"")</f>
        <v/>
      </c>
      <c r="AB469" s="62" t="str">
        <f>IF(AA469="","",IF(AA469="Avoir",p_pav,IF(AA469="Facture d'acompte",p_pac,p_pfa)))</f>
        <v/>
      </c>
      <c r="AC469" s="62">
        <f>IF(ISNUMBER(C469),C469,0)</f>
        <v>0.0</v>
      </c>
      <c r="AD469" s="62" t="str">
        <f>IF(OR(AA469="",AC469=0),"",YEAR(AC469))</f>
        <v/>
      </c>
      <c r="AE469" s="62" t="str">
        <f>IF(AD469="","",COUNTIFS($AB$6:AB469,AB469,$AD$6:AD469,AD469))</f>
        <v/>
      </c>
      <c r="AF469" s="62">
        <f>IF(A469="",0,COUNTIF(fl_doc,A469))</f>
        <v>0.0</v>
      </c>
      <c r="AG469" s="62" t="str">
        <f>IF(A469="","",IF(AF469&gt;0,"Facture",IF(AND(F469&lt;&gt;"",AA469="Facture",ISNUMBER(MATCH(F469,dv_num,0))),"Devis","")))</f>
        <v/>
      </c>
      <c r="AH469" s="62" t="str">
        <f>IF(AND(A469&lt;&gt;"",F469&lt;&gt;"",AA469&lt;&gt;"Avoir"),F469,"")</f>
        <v/>
      </c>
      <c r="AI469" s="62" t="str">
        <f>IF(AG469="Devis",F469,"")</f>
        <v/>
      </c>
      <c r="AJ469" s="62">
        <f>IF(AG469="Facture",SUMIF(fl_doc,A469,fl_ht),IF(AG469="Devis",SUMIF(dl_doc,F469,dl_ht),0))</f>
        <v>0.0</v>
      </c>
      <c r="AK469" s="62">
        <f>IF(OR(AG469="",INDEX(p_rates,1)=""),0,IF(AG469="Facture",SUMIFS(fl_ht,fl_doc,A469,fl_rate,INDEX(p_rates,1)),SUMIFS(dl_ht,dl_doc,F469,dl_rate,INDEX(p_rates,1))))</f>
        <v>0.0</v>
      </c>
      <c r="AL469" s="62">
        <f>IF(OR(AG469="",INDEX(p_rates,2)=""),0,IF(AG469="Facture",SUMIFS(fl_ht,fl_doc,A469,fl_rate,INDEX(p_rates,2)),SUMIFS(dl_ht,dl_doc,F469,dl_rate,INDEX(p_rates,2))))</f>
        <v>0.0</v>
      </c>
      <c r="AM469" s="62">
        <f>IF(OR(AG469="",INDEX(p_rates,3)=""),0,IF(AG469="Facture",SUMIFS(fl_ht,fl_doc,A469,fl_rate,INDEX(p_rates,3)),SUMIFS(dl_ht,dl_doc,F469,dl_rate,INDEX(p_rates,3))))</f>
        <v>0.0</v>
      </c>
      <c r="AN469" s="62">
        <f>IF(OR(AG469="",INDEX(p_rates,4)=""),0,IF(AG469="Facture",SUMIFS(fl_ht,fl_doc,A469,fl_rate,INDEX(p_rates,4)),SUMIFS(dl_ht,dl_doc,F469,dl_rate,INDEX(p_rates,4))))</f>
        <v>0.0</v>
      </c>
      <c r="AO469" s="62">
        <f>IF(OR(AG469="",INDEX(p_rates,5)=""),0,IF(AG469="Facture",SUMIFS(fl_ht,fl_doc,A469,fl_rate,INDEX(p_rates,5)),SUMIFS(dl_ht,dl_doc,F469,dl_rate,INDEX(p_rates,5))))</f>
        <v>0.0</v>
      </c>
      <c r="AP469" s="62">
        <f>IF(OR(AG469="",INDEX(p_rates,6)=""),0,IF(AG469="Facture",SUMIFS(fl_ht,fl_doc,A469,fl_rate,INDEX(p_rates,6)),SUMIFS(dl_ht,dl_doc,F469,dl_rate,INDEX(p_rates,6))))</f>
        <v>0.0</v>
      </c>
      <c r="AQ469" s="62">
        <f>ROUND(AK469*N(INDEX(p_rates,1)),2)+ROUND(AL469*N(INDEX(p_rates,2)),2)+ROUND(AM469*N(INDEX(p_rates,3)),2)+ROUND(AN469*N(INDEX(p_rates,4)),2)+ROUND(AO469*N(INDEX(p_rates,5)),2)+ROUND(AP469*N(INDEX(p_rates,6)),2)</f>
        <v>0.0</v>
      </c>
      <c r="AR469" s="62" t="str">
        <f>IF(OR(L469="",AA469&lt;&gt;"Facture"),"",IFERROR(IF(INDEX(fa_type,MATCH(L469,fa_num,0))="Facture d'acompte",MATCH(L469,fa_num,0),""),""))</f>
        <v/>
      </c>
      <c r="AS469" s="62" t="str">
        <f>IF(W469="","",IF(W469&lt;=0,"",IF(p_asof-P469&lt;=0,"Non échu",IF(p_asof-P469&lt;=30,"1-30 j",IF(p_asof-P469&lt;=60,"31-60 j",IF(p_asof-P469&lt;=90,"61-90 j","Plus de 90 j"))))))</f>
        <v/>
      </c>
      <c r="AT469" s="62" t="str">
        <f>IF(AS469="","",p_asof-P469)</f>
        <v/>
      </c>
      <c r="AU469" s="62" t="str">
        <f>IF(AT469="","",COUNTIF($AT$6:$AT$805,"&gt;"&amp;AT469)+COUNTIF($AT$6:AT469,AT469))</f>
        <v/>
      </c>
    </row>
    <row r="470">
      <c r="A470" s="59" t="str">
        <f>IF(AE470="","",AB470&amp;"-"&amp;AD470&amp;"-"&amp;RIGHT("000"&amp;AE470,4))</f>
        <v/>
      </c>
      <c r="B470" s="60" t="n"/>
      <c r="C470" s="61" t="n"/>
      <c r="D470" s="60" t="n"/>
      <c r="E470" s="62" t="str">
        <f>IF(D470="","",IFERROR(INDEX(cli_name,MATCH(D470,cli_code,0))&amp;"","Client inconnu"))</f>
        <v/>
      </c>
      <c r="F470" s="60" t="n"/>
      <c r="G470" s="63" t="n"/>
      <c r="H470" s="61" t="n"/>
      <c r="I470" s="63" t="n"/>
      <c r="J470" s="60" t="n"/>
      <c r="K470" s="61" t="n"/>
      <c r="L470" s="60" t="n"/>
      <c r="M470" s="60" t="n"/>
      <c r="N470" s="60" t="n"/>
      <c r="O470" s="61" t="n"/>
      <c r="P470" s="64" t="str">
        <f>IF(A470="","",IF(AA470="Avoir",AC470,IF(ISNUMBER(K470),K470,AC470+IF(D470="",N(p_delay),IFERROR(IF(ISNUMBER(INDEX(cli_delay,MATCH(D470,cli_code,0))),INDEX(cli_delay,MATCH(D470,cli_code,0)),N(p_delay)),N(p_delay))))))</f>
        <v/>
      </c>
      <c r="Q470" s="65" t="str">
        <f>IF(A470="","",IF(AA470="Avoir",-1,1)*ROUND(AJ470-IF(AR470="",0,INDEX(fa_htb,AR470)),2))</f>
        <v/>
      </c>
      <c r="R470" s="65" t="str">
        <f>IF(A470="","",IF(AA470="Avoir",-1,1)*ROUND(AQ470-IF(AR470="",0,INDEX(fa_tvab,AR470)),2))</f>
        <v/>
      </c>
      <c r="S470" s="65" t="str">
        <f>IF(A470="","",Q470+R470)</f>
        <v/>
      </c>
      <c r="T470" s="65" t="str">
        <f>IF(AR470="","",INDEX(fa_htb,AR470)+INDEX(fa_tvab,AR470))</f>
        <v/>
      </c>
      <c r="U470" s="65" t="str">
        <f>IF(A470="","",SUMIF(pa_inv,A470,pa_amt))</f>
        <v/>
      </c>
      <c r="V470" s="65" t="str">
        <f>IF(OR(A470="",AA470="Avoir"),"",-SUMIFS(fa_ttc,fa_avof,A470,fa_type,"Avoir"))</f>
        <v/>
      </c>
      <c r="W470" s="65" t="str">
        <f>IF(OR(A470="",AA470="Avoir"),"",ROUND(S470-U470-V470,2))</f>
        <v/>
      </c>
      <c r="X470" s="66" t="str">
        <f>IF(W470="","",IF(AND(W470&gt;0,p_asof&gt;P470),p_asof-P470,""))</f>
        <v/>
      </c>
      <c r="Y470" s="59" t="str">
        <f>IF(A470="","",IF(AA470="Avoir","Avoir",IF(W470&lt;0,"Trop-perçu",IF(W470=0,"Soldée",IF(p_asof&gt;P470,"En retard",IF(U470+V470&gt;0,"Partielle","À échoir"))))))</f>
        <v/>
      </c>
      <c r="Z470" s="59" t="str">
        <f>IF(NOT(COUNTA(B470:D470,F470:O470)&gt;0),"",IF(C470="","Date manquante",IF(NOT(ISNUMBER(C470)),"Date invalide",IF(D470="","Client manquant",IF(ISNA(MATCH(D470,cli_code,0)),"Client inconnu",IF(AC470&lt;SUMPRODUCT(MAX(($AB$6:AB469=AB470)*$AC$6:AC469)),"Date antérieure à la facture précédente",IF(AND(F470&lt;&gt;"",ISNA(MATCH(F470,dv_num,0))),"Devis inconnu",IF(AND(F470&lt;&gt;"",IFERROR(INDEX(dv_client,MATCH(F470,dv_num,0)),D470)&lt;&gt;D470),"Client différent de celui du devis",IF(AG470="","Aucune ligne : saisissez des lignes ou un devis",IF(AND(AI470&lt;&gt;"",COUNTIF($AI$6:AI470,AI470)&gt;1),"Devis déjà repris par une autre facture",IF(AND(AA470="Avoir",M470=""),"Avoir : indiquez la facture d'origine",IF(AND(AA470="Avoir",ISNA(MATCH(M470,fa_num,0))),"Facture d'origine inconnue",IF(AND(AA470&lt;&gt;"Avoir",M470&lt;&gt;""),"« Avoir sur facture » : réservé aux avoirs",IF(AND(L470&lt;&gt;"",AA470&lt;&gt;"Facture"),"Acompte à déduire : réservé aux factures",IF(AND(L470&lt;&gt;"",ISNA(MATCH(L470,fa_num,0))),"Facture d'acompte inconnue",IF(AND(L470&lt;&gt;"",IFERROR(INDEX(fa_type,MATCH(L470,fa_num,0)),"")&lt;&gt;"Facture d'acompte"),"Le n° à déduire n'est pas une facture d'acompte",IF(AND(L470&lt;&gt;"",COUNTIF($L$6:L470,L470)&gt;1),"Acompte déjà déduit sur une autre facture",IF(AND(L470&lt;&gt;"",IFERROR(INDEX(fa_client,MATCH(L470,fa_num,0)),D470)&lt;&gt;D470),"Acompte d'un autre client",IF(AND(AR470&lt;&gt;"",N(Q470)&lt;0),"Acompte supérieur au total de la facture",IF(IF(AG470="Facture",COUNTIFS(fl_doc,A470,fl_check,"&lt;&gt;OK"),IF(AG470="Devis",COUNTIFS(dl_doc,F470,dl_check,"&lt;&gt;OK"),0))&gt;0,"Ligne(s) à corriger",IF(AND(W470&lt;&gt;"",N(W470)&lt;0),"Trop-perçu : vérifiez paiements et avoirs","OK")))))))))))))))))))))</f>
        <v/>
      </c>
      <c r="AA470" s="62" t="str">
        <f>IF(COUNTA(B470:D470,F470:O470)&gt;0,IF(B470="","Facture",B470),"")</f>
        <v/>
      </c>
      <c r="AB470" s="62" t="str">
        <f>IF(AA470="","",IF(AA470="Avoir",p_pav,IF(AA470="Facture d'acompte",p_pac,p_pfa)))</f>
        <v/>
      </c>
      <c r="AC470" s="62">
        <f>IF(ISNUMBER(C470),C470,0)</f>
        <v>0.0</v>
      </c>
      <c r="AD470" s="62" t="str">
        <f>IF(OR(AA470="",AC470=0),"",YEAR(AC470))</f>
        <v/>
      </c>
      <c r="AE470" s="62" t="str">
        <f>IF(AD470="","",COUNTIFS($AB$6:AB470,AB470,$AD$6:AD470,AD470))</f>
        <v/>
      </c>
      <c r="AF470" s="62">
        <f>IF(A470="",0,COUNTIF(fl_doc,A470))</f>
        <v>0.0</v>
      </c>
      <c r="AG470" s="62" t="str">
        <f>IF(A470="","",IF(AF470&gt;0,"Facture",IF(AND(F470&lt;&gt;"",AA470="Facture",ISNUMBER(MATCH(F470,dv_num,0))),"Devis","")))</f>
        <v/>
      </c>
      <c r="AH470" s="62" t="str">
        <f>IF(AND(A470&lt;&gt;"",F470&lt;&gt;"",AA470&lt;&gt;"Avoir"),F470,"")</f>
        <v/>
      </c>
      <c r="AI470" s="62" t="str">
        <f>IF(AG470="Devis",F470,"")</f>
        <v/>
      </c>
      <c r="AJ470" s="62">
        <f>IF(AG470="Facture",SUMIF(fl_doc,A470,fl_ht),IF(AG470="Devis",SUMIF(dl_doc,F470,dl_ht),0))</f>
        <v>0.0</v>
      </c>
      <c r="AK470" s="62">
        <f>IF(OR(AG470="",INDEX(p_rates,1)=""),0,IF(AG470="Facture",SUMIFS(fl_ht,fl_doc,A470,fl_rate,INDEX(p_rates,1)),SUMIFS(dl_ht,dl_doc,F470,dl_rate,INDEX(p_rates,1))))</f>
        <v>0.0</v>
      </c>
      <c r="AL470" s="62">
        <f>IF(OR(AG470="",INDEX(p_rates,2)=""),0,IF(AG470="Facture",SUMIFS(fl_ht,fl_doc,A470,fl_rate,INDEX(p_rates,2)),SUMIFS(dl_ht,dl_doc,F470,dl_rate,INDEX(p_rates,2))))</f>
        <v>0.0</v>
      </c>
      <c r="AM470" s="62">
        <f>IF(OR(AG470="",INDEX(p_rates,3)=""),0,IF(AG470="Facture",SUMIFS(fl_ht,fl_doc,A470,fl_rate,INDEX(p_rates,3)),SUMIFS(dl_ht,dl_doc,F470,dl_rate,INDEX(p_rates,3))))</f>
        <v>0.0</v>
      </c>
      <c r="AN470" s="62">
        <f>IF(OR(AG470="",INDEX(p_rates,4)=""),0,IF(AG470="Facture",SUMIFS(fl_ht,fl_doc,A470,fl_rate,INDEX(p_rates,4)),SUMIFS(dl_ht,dl_doc,F470,dl_rate,INDEX(p_rates,4))))</f>
        <v>0.0</v>
      </c>
      <c r="AO470" s="62">
        <f>IF(OR(AG470="",INDEX(p_rates,5)=""),0,IF(AG470="Facture",SUMIFS(fl_ht,fl_doc,A470,fl_rate,INDEX(p_rates,5)),SUMIFS(dl_ht,dl_doc,F470,dl_rate,INDEX(p_rates,5))))</f>
        <v>0.0</v>
      </c>
      <c r="AP470" s="62">
        <f>IF(OR(AG470="",INDEX(p_rates,6)=""),0,IF(AG470="Facture",SUMIFS(fl_ht,fl_doc,A470,fl_rate,INDEX(p_rates,6)),SUMIFS(dl_ht,dl_doc,F470,dl_rate,INDEX(p_rates,6))))</f>
        <v>0.0</v>
      </c>
      <c r="AQ470" s="62">
        <f>ROUND(AK470*N(INDEX(p_rates,1)),2)+ROUND(AL470*N(INDEX(p_rates,2)),2)+ROUND(AM470*N(INDEX(p_rates,3)),2)+ROUND(AN470*N(INDEX(p_rates,4)),2)+ROUND(AO470*N(INDEX(p_rates,5)),2)+ROUND(AP470*N(INDEX(p_rates,6)),2)</f>
        <v>0.0</v>
      </c>
      <c r="AR470" s="62" t="str">
        <f>IF(OR(L470="",AA470&lt;&gt;"Facture"),"",IFERROR(IF(INDEX(fa_type,MATCH(L470,fa_num,0))="Facture d'acompte",MATCH(L470,fa_num,0),""),""))</f>
        <v/>
      </c>
      <c r="AS470" s="62" t="str">
        <f>IF(W470="","",IF(W470&lt;=0,"",IF(p_asof-P470&lt;=0,"Non échu",IF(p_asof-P470&lt;=30,"1-30 j",IF(p_asof-P470&lt;=60,"31-60 j",IF(p_asof-P470&lt;=90,"61-90 j","Plus de 90 j"))))))</f>
        <v/>
      </c>
      <c r="AT470" s="62" t="str">
        <f>IF(AS470="","",p_asof-P470)</f>
        <v/>
      </c>
      <c r="AU470" s="62" t="str">
        <f>IF(AT470="","",COUNTIF($AT$6:$AT$805,"&gt;"&amp;AT470)+COUNTIF($AT$6:AT470,AT470))</f>
        <v/>
      </c>
    </row>
    <row r="471">
      <c r="A471" s="59" t="str">
        <f>IF(AE471="","",AB471&amp;"-"&amp;AD471&amp;"-"&amp;RIGHT("000"&amp;AE471,4))</f>
        <v/>
      </c>
      <c r="B471" s="60" t="n"/>
      <c r="C471" s="61" t="n"/>
      <c r="D471" s="60" t="n"/>
      <c r="E471" s="62" t="str">
        <f>IF(D471="","",IFERROR(INDEX(cli_name,MATCH(D471,cli_code,0))&amp;"","Client inconnu"))</f>
        <v/>
      </c>
      <c r="F471" s="60" t="n"/>
      <c r="G471" s="63" t="n"/>
      <c r="H471" s="61" t="n"/>
      <c r="I471" s="63" t="n"/>
      <c r="J471" s="60" t="n"/>
      <c r="K471" s="61" t="n"/>
      <c r="L471" s="60" t="n"/>
      <c r="M471" s="60" t="n"/>
      <c r="N471" s="60" t="n"/>
      <c r="O471" s="61" t="n"/>
      <c r="P471" s="64" t="str">
        <f>IF(A471="","",IF(AA471="Avoir",AC471,IF(ISNUMBER(K471),K471,AC471+IF(D471="",N(p_delay),IFERROR(IF(ISNUMBER(INDEX(cli_delay,MATCH(D471,cli_code,0))),INDEX(cli_delay,MATCH(D471,cli_code,0)),N(p_delay)),N(p_delay))))))</f>
        <v/>
      </c>
      <c r="Q471" s="65" t="str">
        <f>IF(A471="","",IF(AA471="Avoir",-1,1)*ROUND(AJ471-IF(AR471="",0,INDEX(fa_htb,AR471)),2))</f>
        <v/>
      </c>
      <c r="R471" s="65" t="str">
        <f>IF(A471="","",IF(AA471="Avoir",-1,1)*ROUND(AQ471-IF(AR471="",0,INDEX(fa_tvab,AR471)),2))</f>
        <v/>
      </c>
      <c r="S471" s="65" t="str">
        <f>IF(A471="","",Q471+R471)</f>
        <v/>
      </c>
      <c r="T471" s="65" t="str">
        <f>IF(AR471="","",INDEX(fa_htb,AR471)+INDEX(fa_tvab,AR471))</f>
        <v/>
      </c>
      <c r="U471" s="65" t="str">
        <f>IF(A471="","",SUMIF(pa_inv,A471,pa_amt))</f>
        <v/>
      </c>
      <c r="V471" s="65" t="str">
        <f>IF(OR(A471="",AA471="Avoir"),"",-SUMIFS(fa_ttc,fa_avof,A471,fa_type,"Avoir"))</f>
        <v/>
      </c>
      <c r="W471" s="65" t="str">
        <f>IF(OR(A471="",AA471="Avoir"),"",ROUND(S471-U471-V471,2))</f>
        <v/>
      </c>
      <c r="X471" s="66" t="str">
        <f>IF(W471="","",IF(AND(W471&gt;0,p_asof&gt;P471),p_asof-P471,""))</f>
        <v/>
      </c>
      <c r="Y471" s="59" t="str">
        <f>IF(A471="","",IF(AA471="Avoir","Avoir",IF(W471&lt;0,"Trop-perçu",IF(W471=0,"Soldée",IF(p_asof&gt;P471,"En retard",IF(U471+V471&gt;0,"Partielle","À échoir"))))))</f>
        <v/>
      </c>
      <c r="Z471" s="59" t="str">
        <f>IF(NOT(COUNTA(B471:D471,F471:O471)&gt;0),"",IF(C471="","Date manquante",IF(NOT(ISNUMBER(C471)),"Date invalide",IF(D471="","Client manquant",IF(ISNA(MATCH(D471,cli_code,0)),"Client inconnu",IF(AC471&lt;SUMPRODUCT(MAX(($AB$6:AB470=AB471)*$AC$6:AC470)),"Date antérieure à la facture précédente",IF(AND(F471&lt;&gt;"",ISNA(MATCH(F471,dv_num,0))),"Devis inconnu",IF(AND(F471&lt;&gt;"",IFERROR(INDEX(dv_client,MATCH(F471,dv_num,0)),D471)&lt;&gt;D471),"Client différent de celui du devis",IF(AG471="","Aucune ligne : saisissez des lignes ou un devis",IF(AND(AI471&lt;&gt;"",COUNTIF($AI$6:AI471,AI471)&gt;1),"Devis déjà repris par une autre facture",IF(AND(AA471="Avoir",M471=""),"Avoir : indiquez la facture d'origine",IF(AND(AA471="Avoir",ISNA(MATCH(M471,fa_num,0))),"Facture d'origine inconnue",IF(AND(AA471&lt;&gt;"Avoir",M471&lt;&gt;""),"« Avoir sur facture » : réservé aux avoirs",IF(AND(L471&lt;&gt;"",AA471&lt;&gt;"Facture"),"Acompte à déduire : réservé aux factures",IF(AND(L471&lt;&gt;"",ISNA(MATCH(L471,fa_num,0))),"Facture d'acompte inconnue",IF(AND(L471&lt;&gt;"",IFERROR(INDEX(fa_type,MATCH(L471,fa_num,0)),"")&lt;&gt;"Facture d'acompte"),"Le n° à déduire n'est pas une facture d'acompte",IF(AND(L471&lt;&gt;"",COUNTIF($L$6:L471,L471)&gt;1),"Acompte déjà déduit sur une autre facture",IF(AND(L471&lt;&gt;"",IFERROR(INDEX(fa_client,MATCH(L471,fa_num,0)),D471)&lt;&gt;D471),"Acompte d'un autre client",IF(AND(AR471&lt;&gt;"",N(Q471)&lt;0),"Acompte supérieur au total de la facture",IF(IF(AG471="Facture",COUNTIFS(fl_doc,A471,fl_check,"&lt;&gt;OK"),IF(AG471="Devis",COUNTIFS(dl_doc,F471,dl_check,"&lt;&gt;OK"),0))&gt;0,"Ligne(s) à corriger",IF(AND(W471&lt;&gt;"",N(W471)&lt;0),"Trop-perçu : vérifiez paiements et avoirs","OK")))))))))))))))))))))</f>
        <v/>
      </c>
      <c r="AA471" s="62" t="str">
        <f>IF(COUNTA(B471:D471,F471:O471)&gt;0,IF(B471="","Facture",B471),"")</f>
        <v/>
      </c>
      <c r="AB471" s="62" t="str">
        <f>IF(AA471="","",IF(AA471="Avoir",p_pav,IF(AA471="Facture d'acompte",p_pac,p_pfa)))</f>
        <v/>
      </c>
      <c r="AC471" s="62">
        <f>IF(ISNUMBER(C471),C471,0)</f>
        <v>0.0</v>
      </c>
      <c r="AD471" s="62" t="str">
        <f>IF(OR(AA471="",AC471=0),"",YEAR(AC471))</f>
        <v/>
      </c>
      <c r="AE471" s="62" t="str">
        <f>IF(AD471="","",COUNTIFS($AB$6:AB471,AB471,$AD$6:AD471,AD471))</f>
        <v/>
      </c>
      <c r="AF471" s="62">
        <f>IF(A471="",0,COUNTIF(fl_doc,A471))</f>
        <v>0.0</v>
      </c>
      <c r="AG471" s="62" t="str">
        <f>IF(A471="","",IF(AF471&gt;0,"Facture",IF(AND(F471&lt;&gt;"",AA471="Facture",ISNUMBER(MATCH(F471,dv_num,0))),"Devis","")))</f>
        <v/>
      </c>
      <c r="AH471" s="62" t="str">
        <f>IF(AND(A471&lt;&gt;"",F471&lt;&gt;"",AA471&lt;&gt;"Avoir"),F471,"")</f>
        <v/>
      </c>
      <c r="AI471" s="62" t="str">
        <f>IF(AG471="Devis",F471,"")</f>
        <v/>
      </c>
      <c r="AJ471" s="62">
        <f>IF(AG471="Facture",SUMIF(fl_doc,A471,fl_ht),IF(AG471="Devis",SUMIF(dl_doc,F471,dl_ht),0))</f>
        <v>0.0</v>
      </c>
      <c r="AK471" s="62">
        <f>IF(OR(AG471="",INDEX(p_rates,1)=""),0,IF(AG471="Facture",SUMIFS(fl_ht,fl_doc,A471,fl_rate,INDEX(p_rates,1)),SUMIFS(dl_ht,dl_doc,F471,dl_rate,INDEX(p_rates,1))))</f>
        <v>0.0</v>
      </c>
      <c r="AL471" s="62">
        <f>IF(OR(AG471="",INDEX(p_rates,2)=""),0,IF(AG471="Facture",SUMIFS(fl_ht,fl_doc,A471,fl_rate,INDEX(p_rates,2)),SUMIFS(dl_ht,dl_doc,F471,dl_rate,INDEX(p_rates,2))))</f>
        <v>0.0</v>
      </c>
      <c r="AM471" s="62">
        <f>IF(OR(AG471="",INDEX(p_rates,3)=""),0,IF(AG471="Facture",SUMIFS(fl_ht,fl_doc,A471,fl_rate,INDEX(p_rates,3)),SUMIFS(dl_ht,dl_doc,F471,dl_rate,INDEX(p_rates,3))))</f>
        <v>0.0</v>
      </c>
      <c r="AN471" s="62">
        <f>IF(OR(AG471="",INDEX(p_rates,4)=""),0,IF(AG471="Facture",SUMIFS(fl_ht,fl_doc,A471,fl_rate,INDEX(p_rates,4)),SUMIFS(dl_ht,dl_doc,F471,dl_rate,INDEX(p_rates,4))))</f>
        <v>0.0</v>
      </c>
      <c r="AO471" s="62">
        <f>IF(OR(AG471="",INDEX(p_rates,5)=""),0,IF(AG471="Facture",SUMIFS(fl_ht,fl_doc,A471,fl_rate,INDEX(p_rates,5)),SUMIFS(dl_ht,dl_doc,F471,dl_rate,INDEX(p_rates,5))))</f>
        <v>0.0</v>
      </c>
      <c r="AP471" s="62">
        <f>IF(OR(AG471="",INDEX(p_rates,6)=""),0,IF(AG471="Facture",SUMIFS(fl_ht,fl_doc,A471,fl_rate,INDEX(p_rates,6)),SUMIFS(dl_ht,dl_doc,F471,dl_rate,INDEX(p_rates,6))))</f>
        <v>0.0</v>
      </c>
      <c r="AQ471" s="62">
        <f>ROUND(AK471*N(INDEX(p_rates,1)),2)+ROUND(AL471*N(INDEX(p_rates,2)),2)+ROUND(AM471*N(INDEX(p_rates,3)),2)+ROUND(AN471*N(INDEX(p_rates,4)),2)+ROUND(AO471*N(INDEX(p_rates,5)),2)+ROUND(AP471*N(INDEX(p_rates,6)),2)</f>
        <v>0.0</v>
      </c>
      <c r="AR471" s="62" t="str">
        <f>IF(OR(L471="",AA471&lt;&gt;"Facture"),"",IFERROR(IF(INDEX(fa_type,MATCH(L471,fa_num,0))="Facture d'acompte",MATCH(L471,fa_num,0),""),""))</f>
        <v/>
      </c>
      <c r="AS471" s="62" t="str">
        <f>IF(W471="","",IF(W471&lt;=0,"",IF(p_asof-P471&lt;=0,"Non échu",IF(p_asof-P471&lt;=30,"1-30 j",IF(p_asof-P471&lt;=60,"31-60 j",IF(p_asof-P471&lt;=90,"61-90 j","Plus de 90 j"))))))</f>
        <v/>
      </c>
      <c r="AT471" s="62" t="str">
        <f>IF(AS471="","",p_asof-P471)</f>
        <v/>
      </c>
      <c r="AU471" s="62" t="str">
        <f>IF(AT471="","",COUNTIF($AT$6:$AT$805,"&gt;"&amp;AT471)+COUNTIF($AT$6:AT471,AT471))</f>
        <v/>
      </c>
    </row>
    <row r="472">
      <c r="A472" s="59" t="str">
        <f>IF(AE472="","",AB472&amp;"-"&amp;AD472&amp;"-"&amp;RIGHT("000"&amp;AE472,4))</f>
        <v/>
      </c>
      <c r="B472" s="60" t="n"/>
      <c r="C472" s="61" t="n"/>
      <c r="D472" s="60" t="n"/>
      <c r="E472" s="62" t="str">
        <f>IF(D472="","",IFERROR(INDEX(cli_name,MATCH(D472,cli_code,0))&amp;"","Client inconnu"))</f>
        <v/>
      </c>
      <c r="F472" s="60" t="n"/>
      <c r="G472" s="63" t="n"/>
      <c r="H472" s="61" t="n"/>
      <c r="I472" s="63" t="n"/>
      <c r="J472" s="60" t="n"/>
      <c r="K472" s="61" t="n"/>
      <c r="L472" s="60" t="n"/>
      <c r="M472" s="60" t="n"/>
      <c r="N472" s="60" t="n"/>
      <c r="O472" s="61" t="n"/>
      <c r="P472" s="64" t="str">
        <f>IF(A472="","",IF(AA472="Avoir",AC472,IF(ISNUMBER(K472),K472,AC472+IF(D472="",N(p_delay),IFERROR(IF(ISNUMBER(INDEX(cli_delay,MATCH(D472,cli_code,0))),INDEX(cli_delay,MATCH(D472,cli_code,0)),N(p_delay)),N(p_delay))))))</f>
        <v/>
      </c>
      <c r="Q472" s="65" t="str">
        <f>IF(A472="","",IF(AA472="Avoir",-1,1)*ROUND(AJ472-IF(AR472="",0,INDEX(fa_htb,AR472)),2))</f>
        <v/>
      </c>
      <c r="R472" s="65" t="str">
        <f>IF(A472="","",IF(AA472="Avoir",-1,1)*ROUND(AQ472-IF(AR472="",0,INDEX(fa_tvab,AR472)),2))</f>
        <v/>
      </c>
      <c r="S472" s="65" t="str">
        <f>IF(A472="","",Q472+R472)</f>
        <v/>
      </c>
      <c r="T472" s="65" t="str">
        <f>IF(AR472="","",INDEX(fa_htb,AR472)+INDEX(fa_tvab,AR472))</f>
        <v/>
      </c>
      <c r="U472" s="65" t="str">
        <f>IF(A472="","",SUMIF(pa_inv,A472,pa_amt))</f>
        <v/>
      </c>
      <c r="V472" s="65" t="str">
        <f>IF(OR(A472="",AA472="Avoir"),"",-SUMIFS(fa_ttc,fa_avof,A472,fa_type,"Avoir"))</f>
        <v/>
      </c>
      <c r="W472" s="65" t="str">
        <f>IF(OR(A472="",AA472="Avoir"),"",ROUND(S472-U472-V472,2))</f>
        <v/>
      </c>
      <c r="X472" s="66" t="str">
        <f>IF(W472="","",IF(AND(W472&gt;0,p_asof&gt;P472),p_asof-P472,""))</f>
        <v/>
      </c>
      <c r="Y472" s="59" t="str">
        <f>IF(A472="","",IF(AA472="Avoir","Avoir",IF(W472&lt;0,"Trop-perçu",IF(W472=0,"Soldée",IF(p_asof&gt;P472,"En retard",IF(U472+V472&gt;0,"Partielle","À échoir"))))))</f>
        <v/>
      </c>
      <c r="Z472" s="59" t="str">
        <f>IF(NOT(COUNTA(B472:D472,F472:O472)&gt;0),"",IF(C472="","Date manquante",IF(NOT(ISNUMBER(C472)),"Date invalide",IF(D472="","Client manquant",IF(ISNA(MATCH(D472,cli_code,0)),"Client inconnu",IF(AC472&lt;SUMPRODUCT(MAX(($AB$6:AB471=AB472)*$AC$6:AC471)),"Date antérieure à la facture précédente",IF(AND(F472&lt;&gt;"",ISNA(MATCH(F472,dv_num,0))),"Devis inconnu",IF(AND(F472&lt;&gt;"",IFERROR(INDEX(dv_client,MATCH(F472,dv_num,0)),D472)&lt;&gt;D472),"Client différent de celui du devis",IF(AG472="","Aucune ligne : saisissez des lignes ou un devis",IF(AND(AI472&lt;&gt;"",COUNTIF($AI$6:AI472,AI472)&gt;1),"Devis déjà repris par une autre facture",IF(AND(AA472="Avoir",M472=""),"Avoir : indiquez la facture d'origine",IF(AND(AA472="Avoir",ISNA(MATCH(M472,fa_num,0))),"Facture d'origine inconnue",IF(AND(AA472&lt;&gt;"Avoir",M472&lt;&gt;""),"« Avoir sur facture » : réservé aux avoirs",IF(AND(L472&lt;&gt;"",AA472&lt;&gt;"Facture"),"Acompte à déduire : réservé aux factures",IF(AND(L472&lt;&gt;"",ISNA(MATCH(L472,fa_num,0))),"Facture d'acompte inconnue",IF(AND(L472&lt;&gt;"",IFERROR(INDEX(fa_type,MATCH(L472,fa_num,0)),"")&lt;&gt;"Facture d'acompte"),"Le n° à déduire n'est pas une facture d'acompte",IF(AND(L472&lt;&gt;"",COUNTIF($L$6:L472,L472)&gt;1),"Acompte déjà déduit sur une autre facture",IF(AND(L472&lt;&gt;"",IFERROR(INDEX(fa_client,MATCH(L472,fa_num,0)),D472)&lt;&gt;D472),"Acompte d'un autre client",IF(AND(AR472&lt;&gt;"",N(Q472)&lt;0),"Acompte supérieur au total de la facture",IF(IF(AG472="Facture",COUNTIFS(fl_doc,A472,fl_check,"&lt;&gt;OK"),IF(AG472="Devis",COUNTIFS(dl_doc,F472,dl_check,"&lt;&gt;OK"),0))&gt;0,"Ligne(s) à corriger",IF(AND(W472&lt;&gt;"",N(W472)&lt;0),"Trop-perçu : vérifiez paiements et avoirs","OK")))))))))))))))))))))</f>
        <v/>
      </c>
      <c r="AA472" s="62" t="str">
        <f>IF(COUNTA(B472:D472,F472:O472)&gt;0,IF(B472="","Facture",B472),"")</f>
        <v/>
      </c>
      <c r="AB472" s="62" t="str">
        <f>IF(AA472="","",IF(AA472="Avoir",p_pav,IF(AA472="Facture d'acompte",p_pac,p_pfa)))</f>
        <v/>
      </c>
      <c r="AC472" s="62">
        <f>IF(ISNUMBER(C472),C472,0)</f>
        <v>0.0</v>
      </c>
      <c r="AD472" s="62" t="str">
        <f>IF(OR(AA472="",AC472=0),"",YEAR(AC472))</f>
        <v/>
      </c>
      <c r="AE472" s="62" t="str">
        <f>IF(AD472="","",COUNTIFS($AB$6:AB472,AB472,$AD$6:AD472,AD472))</f>
        <v/>
      </c>
      <c r="AF472" s="62">
        <f>IF(A472="",0,COUNTIF(fl_doc,A472))</f>
        <v>0.0</v>
      </c>
      <c r="AG472" s="62" t="str">
        <f>IF(A472="","",IF(AF472&gt;0,"Facture",IF(AND(F472&lt;&gt;"",AA472="Facture",ISNUMBER(MATCH(F472,dv_num,0))),"Devis","")))</f>
        <v/>
      </c>
      <c r="AH472" s="62" t="str">
        <f>IF(AND(A472&lt;&gt;"",F472&lt;&gt;"",AA472&lt;&gt;"Avoir"),F472,"")</f>
        <v/>
      </c>
      <c r="AI472" s="62" t="str">
        <f>IF(AG472="Devis",F472,"")</f>
        <v/>
      </c>
      <c r="AJ472" s="62">
        <f>IF(AG472="Facture",SUMIF(fl_doc,A472,fl_ht),IF(AG472="Devis",SUMIF(dl_doc,F472,dl_ht),0))</f>
        <v>0.0</v>
      </c>
      <c r="AK472" s="62">
        <f>IF(OR(AG472="",INDEX(p_rates,1)=""),0,IF(AG472="Facture",SUMIFS(fl_ht,fl_doc,A472,fl_rate,INDEX(p_rates,1)),SUMIFS(dl_ht,dl_doc,F472,dl_rate,INDEX(p_rates,1))))</f>
        <v>0.0</v>
      </c>
      <c r="AL472" s="62">
        <f>IF(OR(AG472="",INDEX(p_rates,2)=""),0,IF(AG472="Facture",SUMIFS(fl_ht,fl_doc,A472,fl_rate,INDEX(p_rates,2)),SUMIFS(dl_ht,dl_doc,F472,dl_rate,INDEX(p_rates,2))))</f>
        <v>0.0</v>
      </c>
      <c r="AM472" s="62">
        <f>IF(OR(AG472="",INDEX(p_rates,3)=""),0,IF(AG472="Facture",SUMIFS(fl_ht,fl_doc,A472,fl_rate,INDEX(p_rates,3)),SUMIFS(dl_ht,dl_doc,F472,dl_rate,INDEX(p_rates,3))))</f>
        <v>0.0</v>
      </c>
      <c r="AN472" s="62">
        <f>IF(OR(AG472="",INDEX(p_rates,4)=""),0,IF(AG472="Facture",SUMIFS(fl_ht,fl_doc,A472,fl_rate,INDEX(p_rates,4)),SUMIFS(dl_ht,dl_doc,F472,dl_rate,INDEX(p_rates,4))))</f>
        <v>0.0</v>
      </c>
      <c r="AO472" s="62">
        <f>IF(OR(AG472="",INDEX(p_rates,5)=""),0,IF(AG472="Facture",SUMIFS(fl_ht,fl_doc,A472,fl_rate,INDEX(p_rates,5)),SUMIFS(dl_ht,dl_doc,F472,dl_rate,INDEX(p_rates,5))))</f>
        <v>0.0</v>
      </c>
      <c r="AP472" s="62">
        <f>IF(OR(AG472="",INDEX(p_rates,6)=""),0,IF(AG472="Facture",SUMIFS(fl_ht,fl_doc,A472,fl_rate,INDEX(p_rates,6)),SUMIFS(dl_ht,dl_doc,F472,dl_rate,INDEX(p_rates,6))))</f>
        <v>0.0</v>
      </c>
      <c r="AQ472" s="62">
        <f>ROUND(AK472*N(INDEX(p_rates,1)),2)+ROUND(AL472*N(INDEX(p_rates,2)),2)+ROUND(AM472*N(INDEX(p_rates,3)),2)+ROUND(AN472*N(INDEX(p_rates,4)),2)+ROUND(AO472*N(INDEX(p_rates,5)),2)+ROUND(AP472*N(INDEX(p_rates,6)),2)</f>
        <v>0.0</v>
      </c>
      <c r="AR472" s="62" t="str">
        <f>IF(OR(L472="",AA472&lt;&gt;"Facture"),"",IFERROR(IF(INDEX(fa_type,MATCH(L472,fa_num,0))="Facture d'acompte",MATCH(L472,fa_num,0),""),""))</f>
        <v/>
      </c>
      <c r="AS472" s="62" t="str">
        <f>IF(W472="","",IF(W472&lt;=0,"",IF(p_asof-P472&lt;=0,"Non échu",IF(p_asof-P472&lt;=30,"1-30 j",IF(p_asof-P472&lt;=60,"31-60 j",IF(p_asof-P472&lt;=90,"61-90 j","Plus de 90 j"))))))</f>
        <v/>
      </c>
      <c r="AT472" s="62" t="str">
        <f>IF(AS472="","",p_asof-P472)</f>
        <v/>
      </c>
      <c r="AU472" s="62" t="str">
        <f>IF(AT472="","",COUNTIF($AT$6:$AT$805,"&gt;"&amp;AT472)+COUNTIF($AT$6:AT472,AT472))</f>
        <v/>
      </c>
    </row>
    <row r="473">
      <c r="A473" s="59" t="str">
        <f>IF(AE473="","",AB473&amp;"-"&amp;AD473&amp;"-"&amp;RIGHT("000"&amp;AE473,4))</f>
        <v/>
      </c>
      <c r="B473" s="60" t="n"/>
      <c r="C473" s="61" t="n"/>
      <c r="D473" s="60" t="n"/>
      <c r="E473" s="62" t="str">
        <f>IF(D473="","",IFERROR(INDEX(cli_name,MATCH(D473,cli_code,0))&amp;"","Client inconnu"))</f>
        <v/>
      </c>
      <c r="F473" s="60" t="n"/>
      <c r="G473" s="63" t="n"/>
      <c r="H473" s="61" t="n"/>
      <c r="I473" s="63" t="n"/>
      <c r="J473" s="60" t="n"/>
      <c r="K473" s="61" t="n"/>
      <c r="L473" s="60" t="n"/>
      <c r="M473" s="60" t="n"/>
      <c r="N473" s="60" t="n"/>
      <c r="O473" s="61" t="n"/>
      <c r="P473" s="64" t="str">
        <f>IF(A473="","",IF(AA473="Avoir",AC473,IF(ISNUMBER(K473),K473,AC473+IF(D473="",N(p_delay),IFERROR(IF(ISNUMBER(INDEX(cli_delay,MATCH(D473,cli_code,0))),INDEX(cli_delay,MATCH(D473,cli_code,0)),N(p_delay)),N(p_delay))))))</f>
        <v/>
      </c>
      <c r="Q473" s="65" t="str">
        <f>IF(A473="","",IF(AA473="Avoir",-1,1)*ROUND(AJ473-IF(AR473="",0,INDEX(fa_htb,AR473)),2))</f>
        <v/>
      </c>
      <c r="R473" s="65" t="str">
        <f>IF(A473="","",IF(AA473="Avoir",-1,1)*ROUND(AQ473-IF(AR473="",0,INDEX(fa_tvab,AR473)),2))</f>
        <v/>
      </c>
      <c r="S473" s="65" t="str">
        <f>IF(A473="","",Q473+R473)</f>
        <v/>
      </c>
      <c r="T473" s="65" t="str">
        <f>IF(AR473="","",INDEX(fa_htb,AR473)+INDEX(fa_tvab,AR473))</f>
        <v/>
      </c>
      <c r="U473" s="65" t="str">
        <f>IF(A473="","",SUMIF(pa_inv,A473,pa_amt))</f>
        <v/>
      </c>
      <c r="V473" s="65" t="str">
        <f>IF(OR(A473="",AA473="Avoir"),"",-SUMIFS(fa_ttc,fa_avof,A473,fa_type,"Avoir"))</f>
        <v/>
      </c>
      <c r="W473" s="65" t="str">
        <f>IF(OR(A473="",AA473="Avoir"),"",ROUND(S473-U473-V473,2))</f>
        <v/>
      </c>
      <c r="X473" s="66" t="str">
        <f>IF(W473="","",IF(AND(W473&gt;0,p_asof&gt;P473),p_asof-P473,""))</f>
        <v/>
      </c>
      <c r="Y473" s="59" t="str">
        <f>IF(A473="","",IF(AA473="Avoir","Avoir",IF(W473&lt;0,"Trop-perçu",IF(W473=0,"Soldée",IF(p_asof&gt;P473,"En retard",IF(U473+V473&gt;0,"Partielle","À échoir"))))))</f>
        <v/>
      </c>
      <c r="Z473" s="59" t="str">
        <f>IF(NOT(COUNTA(B473:D473,F473:O473)&gt;0),"",IF(C473="","Date manquante",IF(NOT(ISNUMBER(C473)),"Date invalide",IF(D473="","Client manquant",IF(ISNA(MATCH(D473,cli_code,0)),"Client inconnu",IF(AC473&lt;SUMPRODUCT(MAX(($AB$6:AB472=AB473)*$AC$6:AC472)),"Date antérieure à la facture précédente",IF(AND(F473&lt;&gt;"",ISNA(MATCH(F473,dv_num,0))),"Devis inconnu",IF(AND(F473&lt;&gt;"",IFERROR(INDEX(dv_client,MATCH(F473,dv_num,0)),D473)&lt;&gt;D473),"Client différent de celui du devis",IF(AG473="","Aucune ligne : saisissez des lignes ou un devis",IF(AND(AI473&lt;&gt;"",COUNTIF($AI$6:AI473,AI473)&gt;1),"Devis déjà repris par une autre facture",IF(AND(AA473="Avoir",M473=""),"Avoir : indiquez la facture d'origine",IF(AND(AA473="Avoir",ISNA(MATCH(M473,fa_num,0))),"Facture d'origine inconnue",IF(AND(AA473&lt;&gt;"Avoir",M473&lt;&gt;""),"« Avoir sur facture » : réservé aux avoirs",IF(AND(L473&lt;&gt;"",AA473&lt;&gt;"Facture"),"Acompte à déduire : réservé aux factures",IF(AND(L473&lt;&gt;"",ISNA(MATCH(L473,fa_num,0))),"Facture d'acompte inconnue",IF(AND(L473&lt;&gt;"",IFERROR(INDEX(fa_type,MATCH(L473,fa_num,0)),"")&lt;&gt;"Facture d'acompte"),"Le n° à déduire n'est pas une facture d'acompte",IF(AND(L473&lt;&gt;"",COUNTIF($L$6:L473,L473)&gt;1),"Acompte déjà déduit sur une autre facture",IF(AND(L473&lt;&gt;"",IFERROR(INDEX(fa_client,MATCH(L473,fa_num,0)),D473)&lt;&gt;D473),"Acompte d'un autre client",IF(AND(AR473&lt;&gt;"",N(Q473)&lt;0),"Acompte supérieur au total de la facture",IF(IF(AG473="Facture",COUNTIFS(fl_doc,A473,fl_check,"&lt;&gt;OK"),IF(AG473="Devis",COUNTIFS(dl_doc,F473,dl_check,"&lt;&gt;OK"),0))&gt;0,"Ligne(s) à corriger",IF(AND(W473&lt;&gt;"",N(W473)&lt;0),"Trop-perçu : vérifiez paiements et avoirs","OK")))))))))))))))))))))</f>
        <v/>
      </c>
      <c r="AA473" s="62" t="str">
        <f>IF(COUNTA(B473:D473,F473:O473)&gt;0,IF(B473="","Facture",B473),"")</f>
        <v/>
      </c>
      <c r="AB473" s="62" t="str">
        <f>IF(AA473="","",IF(AA473="Avoir",p_pav,IF(AA473="Facture d'acompte",p_pac,p_pfa)))</f>
        <v/>
      </c>
      <c r="AC473" s="62">
        <f>IF(ISNUMBER(C473),C473,0)</f>
        <v>0.0</v>
      </c>
      <c r="AD473" s="62" t="str">
        <f>IF(OR(AA473="",AC473=0),"",YEAR(AC473))</f>
        <v/>
      </c>
      <c r="AE473" s="62" t="str">
        <f>IF(AD473="","",COUNTIFS($AB$6:AB473,AB473,$AD$6:AD473,AD473))</f>
        <v/>
      </c>
      <c r="AF473" s="62">
        <f>IF(A473="",0,COUNTIF(fl_doc,A473))</f>
        <v>0.0</v>
      </c>
      <c r="AG473" s="62" t="str">
        <f>IF(A473="","",IF(AF473&gt;0,"Facture",IF(AND(F473&lt;&gt;"",AA473="Facture",ISNUMBER(MATCH(F473,dv_num,0))),"Devis","")))</f>
        <v/>
      </c>
      <c r="AH473" s="62" t="str">
        <f>IF(AND(A473&lt;&gt;"",F473&lt;&gt;"",AA473&lt;&gt;"Avoir"),F473,"")</f>
        <v/>
      </c>
      <c r="AI473" s="62" t="str">
        <f>IF(AG473="Devis",F473,"")</f>
        <v/>
      </c>
      <c r="AJ473" s="62">
        <f>IF(AG473="Facture",SUMIF(fl_doc,A473,fl_ht),IF(AG473="Devis",SUMIF(dl_doc,F473,dl_ht),0))</f>
        <v>0.0</v>
      </c>
      <c r="AK473" s="62">
        <f>IF(OR(AG473="",INDEX(p_rates,1)=""),0,IF(AG473="Facture",SUMIFS(fl_ht,fl_doc,A473,fl_rate,INDEX(p_rates,1)),SUMIFS(dl_ht,dl_doc,F473,dl_rate,INDEX(p_rates,1))))</f>
        <v>0.0</v>
      </c>
      <c r="AL473" s="62">
        <f>IF(OR(AG473="",INDEX(p_rates,2)=""),0,IF(AG473="Facture",SUMIFS(fl_ht,fl_doc,A473,fl_rate,INDEX(p_rates,2)),SUMIFS(dl_ht,dl_doc,F473,dl_rate,INDEX(p_rates,2))))</f>
        <v>0.0</v>
      </c>
      <c r="AM473" s="62">
        <f>IF(OR(AG473="",INDEX(p_rates,3)=""),0,IF(AG473="Facture",SUMIFS(fl_ht,fl_doc,A473,fl_rate,INDEX(p_rates,3)),SUMIFS(dl_ht,dl_doc,F473,dl_rate,INDEX(p_rates,3))))</f>
        <v>0.0</v>
      </c>
      <c r="AN473" s="62">
        <f>IF(OR(AG473="",INDEX(p_rates,4)=""),0,IF(AG473="Facture",SUMIFS(fl_ht,fl_doc,A473,fl_rate,INDEX(p_rates,4)),SUMIFS(dl_ht,dl_doc,F473,dl_rate,INDEX(p_rates,4))))</f>
        <v>0.0</v>
      </c>
      <c r="AO473" s="62">
        <f>IF(OR(AG473="",INDEX(p_rates,5)=""),0,IF(AG473="Facture",SUMIFS(fl_ht,fl_doc,A473,fl_rate,INDEX(p_rates,5)),SUMIFS(dl_ht,dl_doc,F473,dl_rate,INDEX(p_rates,5))))</f>
        <v>0.0</v>
      </c>
      <c r="AP473" s="62">
        <f>IF(OR(AG473="",INDEX(p_rates,6)=""),0,IF(AG473="Facture",SUMIFS(fl_ht,fl_doc,A473,fl_rate,INDEX(p_rates,6)),SUMIFS(dl_ht,dl_doc,F473,dl_rate,INDEX(p_rates,6))))</f>
        <v>0.0</v>
      </c>
      <c r="AQ473" s="62">
        <f>ROUND(AK473*N(INDEX(p_rates,1)),2)+ROUND(AL473*N(INDEX(p_rates,2)),2)+ROUND(AM473*N(INDEX(p_rates,3)),2)+ROUND(AN473*N(INDEX(p_rates,4)),2)+ROUND(AO473*N(INDEX(p_rates,5)),2)+ROUND(AP473*N(INDEX(p_rates,6)),2)</f>
        <v>0.0</v>
      </c>
      <c r="AR473" s="62" t="str">
        <f>IF(OR(L473="",AA473&lt;&gt;"Facture"),"",IFERROR(IF(INDEX(fa_type,MATCH(L473,fa_num,0))="Facture d'acompte",MATCH(L473,fa_num,0),""),""))</f>
        <v/>
      </c>
      <c r="AS473" s="62" t="str">
        <f>IF(W473="","",IF(W473&lt;=0,"",IF(p_asof-P473&lt;=0,"Non échu",IF(p_asof-P473&lt;=30,"1-30 j",IF(p_asof-P473&lt;=60,"31-60 j",IF(p_asof-P473&lt;=90,"61-90 j","Plus de 90 j"))))))</f>
        <v/>
      </c>
      <c r="AT473" s="62" t="str">
        <f>IF(AS473="","",p_asof-P473)</f>
        <v/>
      </c>
      <c r="AU473" s="62" t="str">
        <f>IF(AT473="","",COUNTIF($AT$6:$AT$805,"&gt;"&amp;AT473)+COUNTIF($AT$6:AT473,AT473))</f>
        <v/>
      </c>
    </row>
    <row r="474">
      <c r="A474" s="59" t="str">
        <f>IF(AE474="","",AB474&amp;"-"&amp;AD474&amp;"-"&amp;RIGHT("000"&amp;AE474,4))</f>
        <v/>
      </c>
      <c r="B474" s="60" t="n"/>
      <c r="C474" s="61" t="n"/>
      <c r="D474" s="60" t="n"/>
      <c r="E474" s="62" t="str">
        <f>IF(D474="","",IFERROR(INDEX(cli_name,MATCH(D474,cli_code,0))&amp;"","Client inconnu"))</f>
        <v/>
      </c>
      <c r="F474" s="60" t="n"/>
      <c r="G474" s="63" t="n"/>
      <c r="H474" s="61" t="n"/>
      <c r="I474" s="63" t="n"/>
      <c r="J474" s="60" t="n"/>
      <c r="K474" s="61" t="n"/>
      <c r="L474" s="60" t="n"/>
      <c r="M474" s="60" t="n"/>
      <c r="N474" s="60" t="n"/>
      <c r="O474" s="61" t="n"/>
      <c r="P474" s="64" t="str">
        <f>IF(A474="","",IF(AA474="Avoir",AC474,IF(ISNUMBER(K474),K474,AC474+IF(D474="",N(p_delay),IFERROR(IF(ISNUMBER(INDEX(cli_delay,MATCH(D474,cli_code,0))),INDEX(cli_delay,MATCH(D474,cli_code,0)),N(p_delay)),N(p_delay))))))</f>
        <v/>
      </c>
      <c r="Q474" s="65" t="str">
        <f>IF(A474="","",IF(AA474="Avoir",-1,1)*ROUND(AJ474-IF(AR474="",0,INDEX(fa_htb,AR474)),2))</f>
        <v/>
      </c>
      <c r="R474" s="65" t="str">
        <f>IF(A474="","",IF(AA474="Avoir",-1,1)*ROUND(AQ474-IF(AR474="",0,INDEX(fa_tvab,AR474)),2))</f>
        <v/>
      </c>
      <c r="S474" s="65" t="str">
        <f>IF(A474="","",Q474+R474)</f>
        <v/>
      </c>
      <c r="T474" s="65" t="str">
        <f>IF(AR474="","",INDEX(fa_htb,AR474)+INDEX(fa_tvab,AR474))</f>
        <v/>
      </c>
      <c r="U474" s="65" t="str">
        <f>IF(A474="","",SUMIF(pa_inv,A474,pa_amt))</f>
        <v/>
      </c>
      <c r="V474" s="65" t="str">
        <f>IF(OR(A474="",AA474="Avoir"),"",-SUMIFS(fa_ttc,fa_avof,A474,fa_type,"Avoir"))</f>
        <v/>
      </c>
      <c r="W474" s="65" t="str">
        <f>IF(OR(A474="",AA474="Avoir"),"",ROUND(S474-U474-V474,2))</f>
        <v/>
      </c>
      <c r="X474" s="66" t="str">
        <f>IF(W474="","",IF(AND(W474&gt;0,p_asof&gt;P474),p_asof-P474,""))</f>
        <v/>
      </c>
      <c r="Y474" s="59" t="str">
        <f>IF(A474="","",IF(AA474="Avoir","Avoir",IF(W474&lt;0,"Trop-perçu",IF(W474=0,"Soldée",IF(p_asof&gt;P474,"En retard",IF(U474+V474&gt;0,"Partielle","À échoir"))))))</f>
        <v/>
      </c>
      <c r="Z474" s="59" t="str">
        <f>IF(NOT(COUNTA(B474:D474,F474:O474)&gt;0),"",IF(C474="","Date manquante",IF(NOT(ISNUMBER(C474)),"Date invalide",IF(D474="","Client manquant",IF(ISNA(MATCH(D474,cli_code,0)),"Client inconnu",IF(AC474&lt;SUMPRODUCT(MAX(($AB$6:AB473=AB474)*$AC$6:AC473)),"Date antérieure à la facture précédente",IF(AND(F474&lt;&gt;"",ISNA(MATCH(F474,dv_num,0))),"Devis inconnu",IF(AND(F474&lt;&gt;"",IFERROR(INDEX(dv_client,MATCH(F474,dv_num,0)),D474)&lt;&gt;D474),"Client différent de celui du devis",IF(AG474="","Aucune ligne : saisissez des lignes ou un devis",IF(AND(AI474&lt;&gt;"",COUNTIF($AI$6:AI474,AI474)&gt;1),"Devis déjà repris par une autre facture",IF(AND(AA474="Avoir",M474=""),"Avoir : indiquez la facture d'origine",IF(AND(AA474="Avoir",ISNA(MATCH(M474,fa_num,0))),"Facture d'origine inconnue",IF(AND(AA474&lt;&gt;"Avoir",M474&lt;&gt;""),"« Avoir sur facture » : réservé aux avoirs",IF(AND(L474&lt;&gt;"",AA474&lt;&gt;"Facture"),"Acompte à déduire : réservé aux factures",IF(AND(L474&lt;&gt;"",ISNA(MATCH(L474,fa_num,0))),"Facture d'acompte inconnue",IF(AND(L474&lt;&gt;"",IFERROR(INDEX(fa_type,MATCH(L474,fa_num,0)),"")&lt;&gt;"Facture d'acompte"),"Le n° à déduire n'est pas une facture d'acompte",IF(AND(L474&lt;&gt;"",COUNTIF($L$6:L474,L474)&gt;1),"Acompte déjà déduit sur une autre facture",IF(AND(L474&lt;&gt;"",IFERROR(INDEX(fa_client,MATCH(L474,fa_num,0)),D474)&lt;&gt;D474),"Acompte d'un autre client",IF(AND(AR474&lt;&gt;"",N(Q474)&lt;0),"Acompte supérieur au total de la facture",IF(IF(AG474="Facture",COUNTIFS(fl_doc,A474,fl_check,"&lt;&gt;OK"),IF(AG474="Devis",COUNTIFS(dl_doc,F474,dl_check,"&lt;&gt;OK"),0))&gt;0,"Ligne(s) à corriger",IF(AND(W474&lt;&gt;"",N(W474)&lt;0),"Trop-perçu : vérifiez paiements et avoirs","OK")))))))))))))))))))))</f>
        <v/>
      </c>
      <c r="AA474" s="62" t="str">
        <f>IF(COUNTA(B474:D474,F474:O474)&gt;0,IF(B474="","Facture",B474),"")</f>
        <v/>
      </c>
      <c r="AB474" s="62" t="str">
        <f>IF(AA474="","",IF(AA474="Avoir",p_pav,IF(AA474="Facture d'acompte",p_pac,p_pfa)))</f>
        <v/>
      </c>
      <c r="AC474" s="62">
        <f>IF(ISNUMBER(C474),C474,0)</f>
        <v>0.0</v>
      </c>
      <c r="AD474" s="62" t="str">
        <f>IF(OR(AA474="",AC474=0),"",YEAR(AC474))</f>
        <v/>
      </c>
      <c r="AE474" s="62" t="str">
        <f>IF(AD474="","",COUNTIFS($AB$6:AB474,AB474,$AD$6:AD474,AD474))</f>
        <v/>
      </c>
      <c r="AF474" s="62">
        <f>IF(A474="",0,COUNTIF(fl_doc,A474))</f>
        <v>0.0</v>
      </c>
      <c r="AG474" s="62" t="str">
        <f>IF(A474="","",IF(AF474&gt;0,"Facture",IF(AND(F474&lt;&gt;"",AA474="Facture",ISNUMBER(MATCH(F474,dv_num,0))),"Devis","")))</f>
        <v/>
      </c>
      <c r="AH474" s="62" t="str">
        <f>IF(AND(A474&lt;&gt;"",F474&lt;&gt;"",AA474&lt;&gt;"Avoir"),F474,"")</f>
        <v/>
      </c>
      <c r="AI474" s="62" t="str">
        <f>IF(AG474="Devis",F474,"")</f>
        <v/>
      </c>
      <c r="AJ474" s="62">
        <f>IF(AG474="Facture",SUMIF(fl_doc,A474,fl_ht),IF(AG474="Devis",SUMIF(dl_doc,F474,dl_ht),0))</f>
        <v>0.0</v>
      </c>
      <c r="AK474" s="62">
        <f>IF(OR(AG474="",INDEX(p_rates,1)=""),0,IF(AG474="Facture",SUMIFS(fl_ht,fl_doc,A474,fl_rate,INDEX(p_rates,1)),SUMIFS(dl_ht,dl_doc,F474,dl_rate,INDEX(p_rates,1))))</f>
        <v>0.0</v>
      </c>
      <c r="AL474" s="62">
        <f>IF(OR(AG474="",INDEX(p_rates,2)=""),0,IF(AG474="Facture",SUMIFS(fl_ht,fl_doc,A474,fl_rate,INDEX(p_rates,2)),SUMIFS(dl_ht,dl_doc,F474,dl_rate,INDEX(p_rates,2))))</f>
        <v>0.0</v>
      </c>
      <c r="AM474" s="62">
        <f>IF(OR(AG474="",INDEX(p_rates,3)=""),0,IF(AG474="Facture",SUMIFS(fl_ht,fl_doc,A474,fl_rate,INDEX(p_rates,3)),SUMIFS(dl_ht,dl_doc,F474,dl_rate,INDEX(p_rates,3))))</f>
        <v>0.0</v>
      </c>
      <c r="AN474" s="62">
        <f>IF(OR(AG474="",INDEX(p_rates,4)=""),0,IF(AG474="Facture",SUMIFS(fl_ht,fl_doc,A474,fl_rate,INDEX(p_rates,4)),SUMIFS(dl_ht,dl_doc,F474,dl_rate,INDEX(p_rates,4))))</f>
        <v>0.0</v>
      </c>
      <c r="AO474" s="62">
        <f>IF(OR(AG474="",INDEX(p_rates,5)=""),0,IF(AG474="Facture",SUMIFS(fl_ht,fl_doc,A474,fl_rate,INDEX(p_rates,5)),SUMIFS(dl_ht,dl_doc,F474,dl_rate,INDEX(p_rates,5))))</f>
        <v>0.0</v>
      </c>
      <c r="AP474" s="62">
        <f>IF(OR(AG474="",INDEX(p_rates,6)=""),0,IF(AG474="Facture",SUMIFS(fl_ht,fl_doc,A474,fl_rate,INDEX(p_rates,6)),SUMIFS(dl_ht,dl_doc,F474,dl_rate,INDEX(p_rates,6))))</f>
        <v>0.0</v>
      </c>
      <c r="AQ474" s="62">
        <f>ROUND(AK474*N(INDEX(p_rates,1)),2)+ROUND(AL474*N(INDEX(p_rates,2)),2)+ROUND(AM474*N(INDEX(p_rates,3)),2)+ROUND(AN474*N(INDEX(p_rates,4)),2)+ROUND(AO474*N(INDEX(p_rates,5)),2)+ROUND(AP474*N(INDEX(p_rates,6)),2)</f>
        <v>0.0</v>
      </c>
      <c r="AR474" s="62" t="str">
        <f>IF(OR(L474="",AA474&lt;&gt;"Facture"),"",IFERROR(IF(INDEX(fa_type,MATCH(L474,fa_num,0))="Facture d'acompte",MATCH(L474,fa_num,0),""),""))</f>
        <v/>
      </c>
      <c r="AS474" s="62" t="str">
        <f>IF(W474="","",IF(W474&lt;=0,"",IF(p_asof-P474&lt;=0,"Non échu",IF(p_asof-P474&lt;=30,"1-30 j",IF(p_asof-P474&lt;=60,"31-60 j",IF(p_asof-P474&lt;=90,"61-90 j","Plus de 90 j"))))))</f>
        <v/>
      </c>
      <c r="AT474" s="62" t="str">
        <f>IF(AS474="","",p_asof-P474)</f>
        <v/>
      </c>
      <c r="AU474" s="62" t="str">
        <f>IF(AT474="","",COUNTIF($AT$6:$AT$805,"&gt;"&amp;AT474)+COUNTIF($AT$6:AT474,AT474))</f>
        <v/>
      </c>
    </row>
    <row r="475">
      <c r="A475" s="59" t="str">
        <f>IF(AE475="","",AB475&amp;"-"&amp;AD475&amp;"-"&amp;RIGHT("000"&amp;AE475,4))</f>
        <v/>
      </c>
      <c r="B475" s="60" t="n"/>
      <c r="C475" s="61" t="n"/>
      <c r="D475" s="60" t="n"/>
      <c r="E475" s="62" t="str">
        <f>IF(D475="","",IFERROR(INDEX(cli_name,MATCH(D475,cli_code,0))&amp;"","Client inconnu"))</f>
        <v/>
      </c>
      <c r="F475" s="60" t="n"/>
      <c r="G475" s="63" t="n"/>
      <c r="H475" s="61" t="n"/>
      <c r="I475" s="63" t="n"/>
      <c r="J475" s="60" t="n"/>
      <c r="K475" s="61" t="n"/>
      <c r="L475" s="60" t="n"/>
      <c r="M475" s="60" t="n"/>
      <c r="N475" s="60" t="n"/>
      <c r="O475" s="61" t="n"/>
      <c r="P475" s="64" t="str">
        <f>IF(A475="","",IF(AA475="Avoir",AC475,IF(ISNUMBER(K475),K475,AC475+IF(D475="",N(p_delay),IFERROR(IF(ISNUMBER(INDEX(cli_delay,MATCH(D475,cli_code,0))),INDEX(cli_delay,MATCH(D475,cli_code,0)),N(p_delay)),N(p_delay))))))</f>
        <v/>
      </c>
      <c r="Q475" s="65" t="str">
        <f>IF(A475="","",IF(AA475="Avoir",-1,1)*ROUND(AJ475-IF(AR475="",0,INDEX(fa_htb,AR475)),2))</f>
        <v/>
      </c>
      <c r="R475" s="65" t="str">
        <f>IF(A475="","",IF(AA475="Avoir",-1,1)*ROUND(AQ475-IF(AR475="",0,INDEX(fa_tvab,AR475)),2))</f>
        <v/>
      </c>
      <c r="S475" s="65" t="str">
        <f>IF(A475="","",Q475+R475)</f>
        <v/>
      </c>
      <c r="T475" s="65" t="str">
        <f>IF(AR475="","",INDEX(fa_htb,AR475)+INDEX(fa_tvab,AR475))</f>
        <v/>
      </c>
      <c r="U475" s="65" t="str">
        <f>IF(A475="","",SUMIF(pa_inv,A475,pa_amt))</f>
        <v/>
      </c>
      <c r="V475" s="65" t="str">
        <f>IF(OR(A475="",AA475="Avoir"),"",-SUMIFS(fa_ttc,fa_avof,A475,fa_type,"Avoir"))</f>
        <v/>
      </c>
      <c r="W475" s="65" t="str">
        <f>IF(OR(A475="",AA475="Avoir"),"",ROUND(S475-U475-V475,2))</f>
        <v/>
      </c>
      <c r="X475" s="66" t="str">
        <f>IF(W475="","",IF(AND(W475&gt;0,p_asof&gt;P475),p_asof-P475,""))</f>
        <v/>
      </c>
      <c r="Y475" s="59" t="str">
        <f>IF(A475="","",IF(AA475="Avoir","Avoir",IF(W475&lt;0,"Trop-perçu",IF(W475=0,"Soldée",IF(p_asof&gt;P475,"En retard",IF(U475+V475&gt;0,"Partielle","À échoir"))))))</f>
        <v/>
      </c>
      <c r="Z475" s="59" t="str">
        <f>IF(NOT(COUNTA(B475:D475,F475:O475)&gt;0),"",IF(C475="","Date manquante",IF(NOT(ISNUMBER(C475)),"Date invalide",IF(D475="","Client manquant",IF(ISNA(MATCH(D475,cli_code,0)),"Client inconnu",IF(AC475&lt;SUMPRODUCT(MAX(($AB$6:AB474=AB475)*$AC$6:AC474)),"Date antérieure à la facture précédente",IF(AND(F475&lt;&gt;"",ISNA(MATCH(F475,dv_num,0))),"Devis inconnu",IF(AND(F475&lt;&gt;"",IFERROR(INDEX(dv_client,MATCH(F475,dv_num,0)),D475)&lt;&gt;D475),"Client différent de celui du devis",IF(AG475="","Aucune ligne : saisissez des lignes ou un devis",IF(AND(AI475&lt;&gt;"",COUNTIF($AI$6:AI475,AI475)&gt;1),"Devis déjà repris par une autre facture",IF(AND(AA475="Avoir",M475=""),"Avoir : indiquez la facture d'origine",IF(AND(AA475="Avoir",ISNA(MATCH(M475,fa_num,0))),"Facture d'origine inconnue",IF(AND(AA475&lt;&gt;"Avoir",M475&lt;&gt;""),"« Avoir sur facture » : réservé aux avoirs",IF(AND(L475&lt;&gt;"",AA475&lt;&gt;"Facture"),"Acompte à déduire : réservé aux factures",IF(AND(L475&lt;&gt;"",ISNA(MATCH(L475,fa_num,0))),"Facture d'acompte inconnue",IF(AND(L475&lt;&gt;"",IFERROR(INDEX(fa_type,MATCH(L475,fa_num,0)),"")&lt;&gt;"Facture d'acompte"),"Le n° à déduire n'est pas une facture d'acompte",IF(AND(L475&lt;&gt;"",COUNTIF($L$6:L475,L475)&gt;1),"Acompte déjà déduit sur une autre facture",IF(AND(L475&lt;&gt;"",IFERROR(INDEX(fa_client,MATCH(L475,fa_num,0)),D475)&lt;&gt;D475),"Acompte d'un autre client",IF(AND(AR475&lt;&gt;"",N(Q475)&lt;0),"Acompte supérieur au total de la facture",IF(IF(AG475="Facture",COUNTIFS(fl_doc,A475,fl_check,"&lt;&gt;OK"),IF(AG475="Devis",COUNTIFS(dl_doc,F475,dl_check,"&lt;&gt;OK"),0))&gt;0,"Ligne(s) à corriger",IF(AND(W475&lt;&gt;"",N(W475)&lt;0),"Trop-perçu : vérifiez paiements et avoirs","OK")))))))))))))))))))))</f>
        <v/>
      </c>
      <c r="AA475" s="62" t="str">
        <f>IF(COUNTA(B475:D475,F475:O475)&gt;0,IF(B475="","Facture",B475),"")</f>
        <v/>
      </c>
      <c r="AB475" s="62" t="str">
        <f>IF(AA475="","",IF(AA475="Avoir",p_pav,IF(AA475="Facture d'acompte",p_pac,p_pfa)))</f>
        <v/>
      </c>
      <c r="AC475" s="62">
        <f>IF(ISNUMBER(C475),C475,0)</f>
        <v>0.0</v>
      </c>
      <c r="AD475" s="62" t="str">
        <f>IF(OR(AA475="",AC475=0),"",YEAR(AC475))</f>
        <v/>
      </c>
      <c r="AE475" s="62" t="str">
        <f>IF(AD475="","",COUNTIFS($AB$6:AB475,AB475,$AD$6:AD475,AD475))</f>
        <v/>
      </c>
      <c r="AF475" s="62">
        <f>IF(A475="",0,COUNTIF(fl_doc,A475))</f>
        <v>0.0</v>
      </c>
      <c r="AG475" s="62" t="str">
        <f>IF(A475="","",IF(AF475&gt;0,"Facture",IF(AND(F475&lt;&gt;"",AA475="Facture",ISNUMBER(MATCH(F475,dv_num,0))),"Devis","")))</f>
        <v/>
      </c>
      <c r="AH475" s="62" t="str">
        <f>IF(AND(A475&lt;&gt;"",F475&lt;&gt;"",AA475&lt;&gt;"Avoir"),F475,"")</f>
        <v/>
      </c>
      <c r="AI475" s="62" t="str">
        <f>IF(AG475="Devis",F475,"")</f>
        <v/>
      </c>
      <c r="AJ475" s="62">
        <f>IF(AG475="Facture",SUMIF(fl_doc,A475,fl_ht),IF(AG475="Devis",SUMIF(dl_doc,F475,dl_ht),0))</f>
        <v>0.0</v>
      </c>
      <c r="AK475" s="62">
        <f>IF(OR(AG475="",INDEX(p_rates,1)=""),0,IF(AG475="Facture",SUMIFS(fl_ht,fl_doc,A475,fl_rate,INDEX(p_rates,1)),SUMIFS(dl_ht,dl_doc,F475,dl_rate,INDEX(p_rates,1))))</f>
        <v>0.0</v>
      </c>
      <c r="AL475" s="62">
        <f>IF(OR(AG475="",INDEX(p_rates,2)=""),0,IF(AG475="Facture",SUMIFS(fl_ht,fl_doc,A475,fl_rate,INDEX(p_rates,2)),SUMIFS(dl_ht,dl_doc,F475,dl_rate,INDEX(p_rates,2))))</f>
        <v>0.0</v>
      </c>
      <c r="AM475" s="62">
        <f>IF(OR(AG475="",INDEX(p_rates,3)=""),0,IF(AG475="Facture",SUMIFS(fl_ht,fl_doc,A475,fl_rate,INDEX(p_rates,3)),SUMIFS(dl_ht,dl_doc,F475,dl_rate,INDEX(p_rates,3))))</f>
        <v>0.0</v>
      </c>
      <c r="AN475" s="62">
        <f>IF(OR(AG475="",INDEX(p_rates,4)=""),0,IF(AG475="Facture",SUMIFS(fl_ht,fl_doc,A475,fl_rate,INDEX(p_rates,4)),SUMIFS(dl_ht,dl_doc,F475,dl_rate,INDEX(p_rates,4))))</f>
        <v>0.0</v>
      </c>
      <c r="AO475" s="62">
        <f>IF(OR(AG475="",INDEX(p_rates,5)=""),0,IF(AG475="Facture",SUMIFS(fl_ht,fl_doc,A475,fl_rate,INDEX(p_rates,5)),SUMIFS(dl_ht,dl_doc,F475,dl_rate,INDEX(p_rates,5))))</f>
        <v>0.0</v>
      </c>
      <c r="AP475" s="62">
        <f>IF(OR(AG475="",INDEX(p_rates,6)=""),0,IF(AG475="Facture",SUMIFS(fl_ht,fl_doc,A475,fl_rate,INDEX(p_rates,6)),SUMIFS(dl_ht,dl_doc,F475,dl_rate,INDEX(p_rates,6))))</f>
        <v>0.0</v>
      </c>
      <c r="AQ475" s="62">
        <f>ROUND(AK475*N(INDEX(p_rates,1)),2)+ROUND(AL475*N(INDEX(p_rates,2)),2)+ROUND(AM475*N(INDEX(p_rates,3)),2)+ROUND(AN475*N(INDEX(p_rates,4)),2)+ROUND(AO475*N(INDEX(p_rates,5)),2)+ROUND(AP475*N(INDEX(p_rates,6)),2)</f>
        <v>0.0</v>
      </c>
      <c r="AR475" s="62" t="str">
        <f>IF(OR(L475="",AA475&lt;&gt;"Facture"),"",IFERROR(IF(INDEX(fa_type,MATCH(L475,fa_num,0))="Facture d'acompte",MATCH(L475,fa_num,0),""),""))</f>
        <v/>
      </c>
      <c r="AS475" s="62" t="str">
        <f>IF(W475="","",IF(W475&lt;=0,"",IF(p_asof-P475&lt;=0,"Non échu",IF(p_asof-P475&lt;=30,"1-30 j",IF(p_asof-P475&lt;=60,"31-60 j",IF(p_asof-P475&lt;=90,"61-90 j","Plus de 90 j"))))))</f>
        <v/>
      </c>
      <c r="AT475" s="62" t="str">
        <f>IF(AS475="","",p_asof-P475)</f>
        <v/>
      </c>
      <c r="AU475" s="62" t="str">
        <f>IF(AT475="","",COUNTIF($AT$6:$AT$805,"&gt;"&amp;AT475)+COUNTIF($AT$6:AT475,AT475))</f>
        <v/>
      </c>
    </row>
    <row r="476">
      <c r="A476" s="59" t="str">
        <f>IF(AE476="","",AB476&amp;"-"&amp;AD476&amp;"-"&amp;RIGHT("000"&amp;AE476,4))</f>
        <v/>
      </c>
      <c r="B476" s="60" t="n"/>
      <c r="C476" s="61" t="n"/>
      <c r="D476" s="60" t="n"/>
      <c r="E476" s="62" t="str">
        <f>IF(D476="","",IFERROR(INDEX(cli_name,MATCH(D476,cli_code,0))&amp;"","Client inconnu"))</f>
        <v/>
      </c>
      <c r="F476" s="60" t="n"/>
      <c r="G476" s="63" t="n"/>
      <c r="H476" s="61" t="n"/>
      <c r="I476" s="63" t="n"/>
      <c r="J476" s="60" t="n"/>
      <c r="K476" s="61" t="n"/>
      <c r="L476" s="60" t="n"/>
      <c r="M476" s="60" t="n"/>
      <c r="N476" s="60" t="n"/>
      <c r="O476" s="61" t="n"/>
      <c r="P476" s="64" t="str">
        <f>IF(A476="","",IF(AA476="Avoir",AC476,IF(ISNUMBER(K476),K476,AC476+IF(D476="",N(p_delay),IFERROR(IF(ISNUMBER(INDEX(cli_delay,MATCH(D476,cli_code,0))),INDEX(cli_delay,MATCH(D476,cli_code,0)),N(p_delay)),N(p_delay))))))</f>
        <v/>
      </c>
      <c r="Q476" s="65" t="str">
        <f>IF(A476="","",IF(AA476="Avoir",-1,1)*ROUND(AJ476-IF(AR476="",0,INDEX(fa_htb,AR476)),2))</f>
        <v/>
      </c>
      <c r="R476" s="65" t="str">
        <f>IF(A476="","",IF(AA476="Avoir",-1,1)*ROUND(AQ476-IF(AR476="",0,INDEX(fa_tvab,AR476)),2))</f>
        <v/>
      </c>
      <c r="S476" s="65" t="str">
        <f>IF(A476="","",Q476+R476)</f>
        <v/>
      </c>
      <c r="T476" s="65" t="str">
        <f>IF(AR476="","",INDEX(fa_htb,AR476)+INDEX(fa_tvab,AR476))</f>
        <v/>
      </c>
      <c r="U476" s="65" t="str">
        <f>IF(A476="","",SUMIF(pa_inv,A476,pa_amt))</f>
        <v/>
      </c>
      <c r="V476" s="65" t="str">
        <f>IF(OR(A476="",AA476="Avoir"),"",-SUMIFS(fa_ttc,fa_avof,A476,fa_type,"Avoir"))</f>
        <v/>
      </c>
      <c r="W476" s="65" t="str">
        <f>IF(OR(A476="",AA476="Avoir"),"",ROUND(S476-U476-V476,2))</f>
        <v/>
      </c>
      <c r="X476" s="66" t="str">
        <f>IF(W476="","",IF(AND(W476&gt;0,p_asof&gt;P476),p_asof-P476,""))</f>
        <v/>
      </c>
      <c r="Y476" s="59" t="str">
        <f>IF(A476="","",IF(AA476="Avoir","Avoir",IF(W476&lt;0,"Trop-perçu",IF(W476=0,"Soldée",IF(p_asof&gt;P476,"En retard",IF(U476+V476&gt;0,"Partielle","À échoir"))))))</f>
        <v/>
      </c>
      <c r="Z476" s="59" t="str">
        <f>IF(NOT(COUNTA(B476:D476,F476:O476)&gt;0),"",IF(C476="","Date manquante",IF(NOT(ISNUMBER(C476)),"Date invalide",IF(D476="","Client manquant",IF(ISNA(MATCH(D476,cli_code,0)),"Client inconnu",IF(AC476&lt;SUMPRODUCT(MAX(($AB$6:AB475=AB476)*$AC$6:AC475)),"Date antérieure à la facture précédente",IF(AND(F476&lt;&gt;"",ISNA(MATCH(F476,dv_num,0))),"Devis inconnu",IF(AND(F476&lt;&gt;"",IFERROR(INDEX(dv_client,MATCH(F476,dv_num,0)),D476)&lt;&gt;D476),"Client différent de celui du devis",IF(AG476="","Aucune ligne : saisissez des lignes ou un devis",IF(AND(AI476&lt;&gt;"",COUNTIF($AI$6:AI476,AI476)&gt;1),"Devis déjà repris par une autre facture",IF(AND(AA476="Avoir",M476=""),"Avoir : indiquez la facture d'origine",IF(AND(AA476="Avoir",ISNA(MATCH(M476,fa_num,0))),"Facture d'origine inconnue",IF(AND(AA476&lt;&gt;"Avoir",M476&lt;&gt;""),"« Avoir sur facture » : réservé aux avoirs",IF(AND(L476&lt;&gt;"",AA476&lt;&gt;"Facture"),"Acompte à déduire : réservé aux factures",IF(AND(L476&lt;&gt;"",ISNA(MATCH(L476,fa_num,0))),"Facture d'acompte inconnue",IF(AND(L476&lt;&gt;"",IFERROR(INDEX(fa_type,MATCH(L476,fa_num,0)),"")&lt;&gt;"Facture d'acompte"),"Le n° à déduire n'est pas une facture d'acompte",IF(AND(L476&lt;&gt;"",COUNTIF($L$6:L476,L476)&gt;1),"Acompte déjà déduit sur une autre facture",IF(AND(L476&lt;&gt;"",IFERROR(INDEX(fa_client,MATCH(L476,fa_num,0)),D476)&lt;&gt;D476),"Acompte d'un autre client",IF(AND(AR476&lt;&gt;"",N(Q476)&lt;0),"Acompte supérieur au total de la facture",IF(IF(AG476="Facture",COUNTIFS(fl_doc,A476,fl_check,"&lt;&gt;OK"),IF(AG476="Devis",COUNTIFS(dl_doc,F476,dl_check,"&lt;&gt;OK"),0))&gt;0,"Ligne(s) à corriger",IF(AND(W476&lt;&gt;"",N(W476)&lt;0),"Trop-perçu : vérifiez paiements et avoirs","OK")))))))))))))))))))))</f>
        <v/>
      </c>
      <c r="AA476" s="62" t="str">
        <f>IF(COUNTA(B476:D476,F476:O476)&gt;0,IF(B476="","Facture",B476),"")</f>
        <v/>
      </c>
      <c r="AB476" s="62" t="str">
        <f>IF(AA476="","",IF(AA476="Avoir",p_pav,IF(AA476="Facture d'acompte",p_pac,p_pfa)))</f>
        <v/>
      </c>
      <c r="AC476" s="62">
        <f>IF(ISNUMBER(C476),C476,0)</f>
        <v>0.0</v>
      </c>
      <c r="AD476" s="62" t="str">
        <f>IF(OR(AA476="",AC476=0),"",YEAR(AC476))</f>
        <v/>
      </c>
      <c r="AE476" s="62" t="str">
        <f>IF(AD476="","",COUNTIFS($AB$6:AB476,AB476,$AD$6:AD476,AD476))</f>
        <v/>
      </c>
      <c r="AF476" s="62">
        <f>IF(A476="",0,COUNTIF(fl_doc,A476))</f>
        <v>0.0</v>
      </c>
      <c r="AG476" s="62" t="str">
        <f>IF(A476="","",IF(AF476&gt;0,"Facture",IF(AND(F476&lt;&gt;"",AA476="Facture",ISNUMBER(MATCH(F476,dv_num,0))),"Devis","")))</f>
        <v/>
      </c>
      <c r="AH476" s="62" t="str">
        <f>IF(AND(A476&lt;&gt;"",F476&lt;&gt;"",AA476&lt;&gt;"Avoir"),F476,"")</f>
        <v/>
      </c>
      <c r="AI476" s="62" t="str">
        <f>IF(AG476="Devis",F476,"")</f>
        <v/>
      </c>
      <c r="AJ476" s="62">
        <f>IF(AG476="Facture",SUMIF(fl_doc,A476,fl_ht),IF(AG476="Devis",SUMIF(dl_doc,F476,dl_ht),0))</f>
        <v>0.0</v>
      </c>
      <c r="AK476" s="62">
        <f>IF(OR(AG476="",INDEX(p_rates,1)=""),0,IF(AG476="Facture",SUMIFS(fl_ht,fl_doc,A476,fl_rate,INDEX(p_rates,1)),SUMIFS(dl_ht,dl_doc,F476,dl_rate,INDEX(p_rates,1))))</f>
        <v>0.0</v>
      </c>
      <c r="AL476" s="62">
        <f>IF(OR(AG476="",INDEX(p_rates,2)=""),0,IF(AG476="Facture",SUMIFS(fl_ht,fl_doc,A476,fl_rate,INDEX(p_rates,2)),SUMIFS(dl_ht,dl_doc,F476,dl_rate,INDEX(p_rates,2))))</f>
        <v>0.0</v>
      </c>
      <c r="AM476" s="62">
        <f>IF(OR(AG476="",INDEX(p_rates,3)=""),0,IF(AG476="Facture",SUMIFS(fl_ht,fl_doc,A476,fl_rate,INDEX(p_rates,3)),SUMIFS(dl_ht,dl_doc,F476,dl_rate,INDEX(p_rates,3))))</f>
        <v>0.0</v>
      </c>
      <c r="AN476" s="62">
        <f>IF(OR(AG476="",INDEX(p_rates,4)=""),0,IF(AG476="Facture",SUMIFS(fl_ht,fl_doc,A476,fl_rate,INDEX(p_rates,4)),SUMIFS(dl_ht,dl_doc,F476,dl_rate,INDEX(p_rates,4))))</f>
        <v>0.0</v>
      </c>
      <c r="AO476" s="62">
        <f>IF(OR(AG476="",INDEX(p_rates,5)=""),0,IF(AG476="Facture",SUMIFS(fl_ht,fl_doc,A476,fl_rate,INDEX(p_rates,5)),SUMIFS(dl_ht,dl_doc,F476,dl_rate,INDEX(p_rates,5))))</f>
        <v>0.0</v>
      </c>
      <c r="AP476" s="62">
        <f>IF(OR(AG476="",INDEX(p_rates,6)=""),0,IF(AG476="Facture",SUMIFS(fl_ht,fl_doc,A476,fl_rate,INDEX(p_rates,6)),SUMIFS(dl_ht,dl_doc,F476,dl_rate,INDEX(p_rates,6))))</f>
        <v>0.0</v>
      </c>
      <c r="AQ476" s="62">
        <f>ROUND(AK476*N(INDEX(p_rates,1)),2)+ROUND(AL476*N(INDEX(p_rates,2)),2)+ROUND(AM476*N(INDEX(p_rates,3)),2)+ROUND(AN476*N(INDEX(p_rates,4)),2)+ROUND(AO476*N(INDEX(p_rates,5)),2)+ROUND(AP476*N(INDEX(p_rates,6)),2)</f>
        <v>0.0</v>
      </c>
      <c r="AR476" s="62" t="str">
        <f>IF(OR(L476="",AA476&lt;&gt;"Facture"),"",IFERROR(IF(INDEX(fa_type,MATCH(L476,fa_num,0))="Facture d'acompte",MATCH(L476,fa_num,0),""),""))</f>
        <v/>
      </c>
      <c r="AS476" s="62" t="str">
        <f>IF(W476="","",IF(W476&lt;=0,"",IF(p_asof-P476&lt;=0,"Non échu",IF(p_asof-P476&lt;=30,"1-30 j",IF(p_asof-P476&lt;=60,"31-60 j",IF(p_asof-P476&lt;=90,"61-90 j","Plus de 90 j"))))))</f>
        <v/>
      </c>
      <c r="AT476" s="62" t="str">
        <f>IF(AS476="","",p_asof-P476)</f>
        <v/>
      </c>
      <c r="AU476" s="62" t="str">
        <f>IF(AT476="","",COUNTIF($AT$6:$AT$805,"&gt;"&amp;AT476)+COUNTIF($AT$6:AT476,AT476))</f>
        <v/>
      </c>
    </row>
    <row r="477">
      <c r="A477" s="59" t="str">
        <f>IF(AE477="","",AB477&amp;"-"&amp;AD477&amp;"-"&amp;RIGHT("000"&amp;AE477,4))</f>
        <v/>
      </c>
      <c r="B477" s="60" t="n"/>
      <c r="C477" s="61" t="n"/>
      <c r="D477" s="60" t="n"/>
      <c r="E477" s="62" t="str">
        <f>IF(D477="","",IFERROR(INDEX(cli_name,MATCH(D477,cli_code,0))&amp;"","Client inconnu"))</f>
        <v/>
      </c>
      <c r="F477" s="60" t="n"/>
      <c r="G477" s="63" t="n"/>
      <c r="H477" s="61" t="n"/>
      <c r="I477" s="63" t="n"/>
      <c r="J477" s="60" t="n"/>
      <c r="K477" s="61" t="n"/>
      <c r="L477" s="60" t="n"/>
      <c r="M477" s="60" t="n"/>
      <c r="N477" s="60" t="n"/>
      <c r="O477" s="61" t="n"/>
      <c r="P477" s="64" t="str">
        <f>IF(A477="","",IF(AA477="Avoir",AC477,IF(ISNUMBER(K477),K477,AC477+IF(D477="",N(p_delay),IFERROR(IF(ISNUMBER(INDEX(cli_delay,MATCH(D477,cli_code,0))),INDEX(cli_delay,MATCH(D477,cli_code,0)),N(p_delay)),N(p_delay))))))</f>
        <v/>
      </c>
      <c r="Q477" s="65" t="str">
        <f>IF(A477="","",IF(AA477="Avoir",-1,1)*ROUND(AJ477-IF(AR477="",0,INDEX(fa_htb,AR477)),2))</f>
        <v/>
      </c>
      <c r="R477" s="65" t="str">
        <f>IF(A477="","",IF(AA477="Avoir",-1,1)*ROUND(AQ477-IF(AR477="",0,INDEX(fa_tvab,AR477)),2))</f>
        <v/>
      </c>
      <c r="S477" s="65" t="str">
        <f>IF(A477="","",Q477+R477)</f>
        <v/>
      </c>
      <c r="T477" s="65" t="str">
        <f>IF(AR477="","",INDEX(fa_htb,AR477)+INDEX(fa_tvab,AR477))</f>
        <v/>
      </c>
      <c r="U477" s="65" t="str">
        <f>IF(A477="","",SUMIF(pa_inv,A477,pa_amt))</f>
        <v/>
      </c>
      <c r="V477" s="65" t="str">
        <f>IF(OR(A477="",AA477="Avoir"),"",-SUMIFS(fa_ttc,fa_avof,A477,fa_type,"Avoir"))</f>
        <v/>
      </c>
      <c r="W477" s="65" t="str">
        <f>IF(OR(A477="",AA477="Avoir"),"",ROUND(S477-U477-V477,2))</f>
        <v/>
      </c>
      <c r="X477" s="66" t="str">
        <f>IF(W477="","",IF(AND(W477&gt;0,p_asof&gt;P477),p_asof-P477,""))</f>
        <v/>
      </c>
      <c r="Y477" s="59" t="str">
        <f>IF(A477="","",IF(AA477="Avoir","Avoir",IF(W477&lt;0,"Trop-perçu",IF(W477=0,"Soldée",IF(p_asof&gt;P477,"En retard",IF(U477+V477&gt;0,"Partielle","À échoir"))))))</f>
        <v/>
      </c>
      <c r="Z477" s="59" t="str">
        <f>IF(NOT(COUNTA(B477:D477,F477:O477)&gt;0),"",IF(C477="","Date manquante",IF(NOT(ISNUMBER(C477)),"Date invalide",IF(D477="","Client manquant",IF(ISNA(MATCH(D477,cli_code,0)),"Client inconnu",IF(AC477&lt;SUMPRODUCT(MAX(($AB$6:AB476=AB477)*$AC$6:AC476)),"Date antérieure à la facture précédente",IF(AND(F477&lt;&gt;"",ISNA(MATCH(F477,dv_num,0))),"Devis inconnu",IF(AND(F477&lt;&gt;"",IFERROR(INDEX(dv_client,MATCH(F477,dv_num,0)),D477)&lt;&gt;D477),"Client différent de celui du devis",IF(AG477="","Aucune ligne : saisissez des lignes ou un devis",IF(AND(AI477&lt;&gt;"",COUNTIF($AI$6:AI477,AI477)&gt;1),"Devis déjà repris par une autre facture",IF(AND(AA477="Avoir",M477=""),"Avoir : indiquez la facture d'origine",IF(AND(AA477="Avoir",ISNA(MATCH(M477,fa_num,0))),"Facture d'origine inconnue",IF(AND(AA477&lt;&gt;"Avoir",M477&lt;&gt;""),"« Avoir sur facture » : réservé aux avoirs",IF(AND(L477&lt;&gt;"",AA477&lt;&gt;"Facture"),"Acompte à déduire : réservé aux factures",IF(AND(L477&lt;&gt;"",ISNA(MATCH(L477,fa_num,0))),"Facture d'acompte inconnue",IF(AND(L477&lt;&gt;"",IFERROR(INDEX(fa_type,MATCH(L477,fa_num,0)),"")&lt;&gt;"Facture d'acompte"),"Le n° à déduire n'est pas une facture d'acompte",IF(AND(L477&lt;&gt;"",COUNTIF($L$6:L477,L477)&gt;1),"Acompte déjà déduit sur une autre facture",IF(AND(L477&lt;&gt;"",IFERROR(INDEX(fa_client,MATCH(L477,fa_num,0)),D477)&lt;&gt;D477),"Acompte d'un autre client",IF(AND(AR477&lt;&gt;"",N(Q477)&lt;0),"Acompte supérieur au total de la facture",IF(IF(AG477="Facture",COUNTIFS(fl_doc,A477,fl_check,"&lt;&gt;OK"),IF(AG477="Devis",COUNTIFS(dl_doc,F477,dl_check,"&lt;&gt;OK"),0))&gt;0,"Ligne(s) à corriger",IF(AND(W477&lt;&gt;"",N(W477)&lt;0),"Trop-perçu : vérifiez paiements et avoirs","OK")))))))))))))))))))))</f>
        <v/>
      </c>
      <c r="AA477" s="62" t="str">
        <f>IF(COUNTA(B477:D477,F477:O477)&gt;0,IF(B477="","Facture",B477),"")</f>
        <v/>
      </c>
      <c r="AB477" s="62" t="str">
        <f>IF(AA477="","",IF(AA477="Avoir",p_pav,IF(AA477="Facture d'acompte",p_pac,p_pfa)))</f>
        <v/>
      </c>
      <c r="AC477" s="62">
        <f>IF(ISNUMBER(C477),C477,0)</f>
        <v>0.0</v>
      </c>
      <c r="AD477" s="62" t="str">
        <f>IF(OR(AA477="",AC477=0),"",YEAR(AC477))</f>
        <v/>
      </c>
      <c r="AE477" s="62" t="str">
        <f>IF(AD477="","",COUNTIFS($AB$6:AB477,AB477,$AD$6:AD477,AD477))</f>
        <v/>
      </c>
      <c r="AF477" s="62">
        <f>IF(A477="",0,COUNTIF(fl_doc,A477))</f>
        <v>0.0</v>
      </c>
      <c r="AG477" s="62" t="str">
        <f>IF(A477="","",IF(AF477&gt;0,"Facture",IF(AND(F477&lt;&gt;"",AA477="Facture",ISNUMBER(MATCH(F477,dv_num,0))),"Devis","")))</f>
        <v/>
      </c>
      <c r="AH477" s="62" t="str">
        <f>IF(AND(A477&lt;&gt;"",F477&lt;&gt;"",AA477&lt;&gt;"Avoir"),F477,"")</f>
        <v/>
      </c>
      <c r="AI477" s="62" t="str">
        <f>IF(AG477="Devis",F477,"")</f>
        <v/>
      </c>
      <c r="AJ477" s="62">
        <f>IF(AG477="Facture",SUMIF(fl_doc,A477,fl_ht),IF(AG477="Devis",SUMIF(dl_doc,F477,dl_ht),0))</f>
        <v>0.0</v>
      </c>
      <c r="AK477" s="62">
        <f>IF(OR(AG477="",INDEX(p_rates,1)=""),0,IF(AG477="Facture",SUMIFS(fl_ht,fl_doc,A477,fl_rate,INDEX(p_rates,1)),SUMIFS(dl_ht,dl_doc,F477,dl_rate,INDEX(p_rates,1))))</f>
        <v>0.0</v>
      </c>
      <c r="AL477" s="62">
        <f>IF(OR(AG477="",INDEX(p_rates,2)=""),0,IF(AG477="Facture",SUMIFS(fl_ht,fl_doc,A477,fl_rate,INDEX(p_rates,2)),SUMIFS(dl_ht,dl_doc,F477,dl_rate,INDEX(p_rates,2))))</f>
        <v>0.0</v>
      </c>
      <c r="AM477" s="62">
        <f>IF(OR(AG477="",INDEX(p_rates,3)=""),0,IF(AG477="Facture",SUMIFS(fl_ht,fl_doc,A477,fl_rate,INDEX(p_rates,3)),SUMIFS(dl_ht,dl_doc,F477,dl_rate,INDEX(p_rates,3))))</f>
        <v>0.0</v>
      </c>
      <c r="AN477" s="62">
        <f>IF(OR(AG477="",INDEX(p_rates,4)=""),0,IF(AG477="Facture",SUMIFS(fl_ht,fl_doc,A477,fl_rate,INDEX(p_rates,4)),SUMIFS(dl_ht,dl_doc,F477,dl_rate,INDEX(p_rates,4))))</f>
        <v>0.0</v>
      </c>
      <c r="AO477" s="62">
        <f>IF(OR(AG477="",INDEX(p_rates,5)=""),0,IF(AG477="Facture",SUMIFS(fl_ht,fl_doc,A477,fl_rate,INDEX(p_rates,5)),SUMIFS(dl_ht,dl_doc,F477,dl_rate,INDEX(p_rates,5))))</f>
        <v>0.0</v>
      </c>
      <c r="AP477" s="62">
        <f>IF(OR(AG477="",INDEX(p_rates,6)=""),0,IF(AG477="Facture",SUMIFS(fl_ht,fl_doc,A477,fl_rate,INDEX(p_rates,6)),SUMIFS(dl_ht,dl_doc,F477,dl_rate,INDEX(p_rates,6))))</f>
        <v>0.0</v>
      </c>
      <c r="AQ477" s="62">
        <f>ROUND(AK477*N(INDEX(p_rates,1)),2)+ROUND(AL477*N(INDEX(p_rates,2)),2)+ROUND(AM477*N(INDEX(p_rates,3)),2)+ROUND(AN477*N(INDEX(p_rates,4)),2)+ROUND(AO477*N(INDEX(p_rates,5)),2)+ROUND(AP477*N(INDEX(p_rates,6)),2)</f>
        <v>0.0</v>
      </c>
      <c r="AR477" s="62" t="str">
        <f>IF(OR(L477="",AA477&lt;&gt;"Facture"),"",IFERROR(IF(INDEX(fa_type,MATCH(L477,fa_num,0))="Facture d'acompte",MATCH(L477,fa_num,0),""),""))</f>
        <v/>
      </c>
      <c r="AS477" s="62" t="str">
        <f>IF(W477="","",IF(W477&lt;=0,"",IF(p_asof-P477&lt;=0,"Non échu",IF(p_asof-P477&lt;=30,"1-30 j",IF(p_asof-P477&lt;=60,"31-60 j",IF(p_asof-P477&lt;=90,"61-90 j","Plus de 90 j"))))))</f>
        <v/>
      </c>
      <c r="AT477" s="62" t="str">
        <f>IF(AS477="","",p_asof-P477)</f>
        <v/>
      </c>
      <c r="AU477" s="62" t="str">
        <f>IF(AT477="","",COUNTIF($AT$6:$AT$805,"&gt;"&amp;AT477)+COUNTIF($AT$6:AT477,AT477))</f>
        <v/>
      </c>
    </row>
    <row r="478">
      <c r="A478" s="59" t="str">
        <f>IF(AE478="","",AB478&amp;"-"&amp;AD478&amp;"-"&amp;RIGHT("000"&amp;AE478,4))</f>
        <v/>
      </c>
      <c r="B478" s="60" t="n"/>
      <c r="C478" s="61" t="n"/>
      <c r="D478" s="60" t="n"/>
      <c r="E478" s="62" t="str">
        <f>IF(D478="","",IFERROR(INDEX(cli_name,MATCH(D478,cli_code,0))&amp;"","Client inconnu"))</f>
        <v/>
      </c>
      <c r="F478" s="60" t="n"/>
      <c r="G478" s="63" t="n"/>
      <c r="H478" s="61" t="n"/>
      <c r="I478" s="63" t="n"/>
      <c r="J478" s="60" t="n"/>
      <c r="K478" s="61" t="n"/>
      <c r="L478" s="60" t="n"/>
      <c r="M478" s="60" t="n"/>
      <c r="N478" s="60" t="n"/>
      <c r="O478" s="61" t="n"/>
      <c r="P478" s="64" t="str">
        <f>IF(A478="","",IF(AA478="Avoir",AC478,IF(ISNUMBER(K478),K478,AC478+IF(D478="",N(p_delay),IFERROR(IF(ISNUMBER(INDEX(cli_delay,MATCH(D478,cli_code,0))),INDEX(cli_delay,MATCH(D478,cli_code,0)),N(p_delay)),N(p_delay))))))</f>
        <v/>
      </c>
      <c r="Q478" s="65" t="str">
        <f>IF(A478="","",IF(AA478="Avoir",-1,1)*ROUND(AJ478-IF(AR478="",0,INDEX(fa_htb,AR478)),2))</f>
        <v/>
      </c>
      <c r="R478" s="65" t="str">
        <f>IF(A478="","",IF(AA478="Avoir",-1,1)*ROUND(AQ478-IF(AR478="",0,INDEX(fa_tvab,AR478)),2))</f>
        <v/>
      </c>
      <c r="S478" s="65" t="str">
        <f>IF(A478="","",Q478+R478)</f>
        <v/>
      </c>
      <c r="T478" s="65" t="str">
        <f>IF(AR478="","",INDEX(fa_htb,AR478)+INDEX(fa_tvab,AR478))</f>
        <v/>
      </c>
      <c r="U478" s="65" t="str">
        <f>IF(A478="","",SUMIF(pa_inv,A478,pa_amt))</f>
        <v/>
      </c>
      <c r="V478" s="65" t="str">
        <f>IF(OR(A478="",AA478="Avoir"),"",-SUMIFS(fa_ttc,fa_avof,A478,fa_type,"Avoir"))</f>
        <v/>
      </c>
      <c r="W478" s="65" t="str">
        <f>IF(OR(A478="",AA478="Avoir"),"",ROUND(S478-U478-V478,2))</f>
        <v/>
      </c>
      <c r="X478" s="66" t="str">
        <f>IF(W478="","",IF(AND(W478&gt;0,p_asof&gt;P478),p_asof-P478,""))</f>
        <v/>
      </c>
      <c r="Y478" s="59" t="str">
        <f>IF(A478="","",IF(AA478="Avoir","Avoir",IF(W478&lt;0,"Trop-perçu",IF(W478=0,"Soldée",IF(p_asof&gt;P478,"En retard",IF(U478+V478&gt;0,"Partielle","À échoir"))))))</f>
        <v/>
      </c>
      <c r="Z478" s="59" t="str">
        <f>IF(NOT(COUNTA(B478:D478,F478:O478)&gt;0),"",IF(C478="","Date manquante",IF(NOT(ISNUMBER(C478)),"Date invalide",IF(D478="","Client manquant",IF(ISNA(MATCH(D478,cli_code,0)),"Client inconnu",IF(AC478&lt;SUMPRODUCT(MAX(($AB$6:AB477=AB478)*$AC$6:AC477)),"Date antérieure à la facture précédente",IF(AND(F478&lt;&gt;"",ISNA(MATCH(F478,dv_num,0))),"Devis inconnu",IF(AND(F478&lt;&gt;"",IFERROR(INDEX(dv_client,MATCH(F478,dv_num,0)),D478)&lt;&gt;D478),"Client différent de celui du devis",IF(AG478="","Aucune ligne : saisissez des lignes ou un devis",IF(AND(AI478&lt;&gt;"",COUNTIF($AI$6:AI478,AI478)&gt;1),"Devis déjà repris par une autre facture",IF(AND(AA478="Avoir",M478=""),"Avoir : indiquez la facture d'origine",IF(AND(AA478="Avoir",ISNA(MATCH(M478,fa_num,0))),"Facture d'origine inconnue",IF(AND(AA478&lt;&gt;"Avoir",M478&lt;&gt;""),"« Avoir sur facture » : réservé aux avoirs",IF(AND(L478&lt;&gt;"",AA478&lt;&gt;"Facture"),"Acompte à déduire : réservé aux factures",IF(AND(L478&lt;&gt;"",ISNA(MATCH(L478,fa_num,0))),"Facture d'acompte inconnue",IF(AND(L478&lt;&gt;"",IFERROR(INDEX(fa_type,MATCH(L478,fa_num,0)),"")&lt;&gt;"Facture d'acompte"),"Le n° à déduire n'est pas une facture d'acompte",IF(AND(L478&lt;&gt;"",COUNTIF($L$6:L478,L478)&gt;1),"Acompte déjà déduit sur une autre facture",IF(AND(L478&lt;&gt;"",IFERROR(INDEX(fa_client,MATCH(L478,fa_num,0)),D478)&lt;&gt;D478),"Acompte d'un autre client",IF(AND(AR478&lt;&gt;"",N(Q478)&lt;0),"Acompte supérieur au total de la facture",IF(IF(AG478="Facture",COUNTIFS(fl_doc,A478,fl_check,"&lt;&gt;OK"),IF(AG478="Devis",COUNTIFS(dl_doc,F478,dl_check,"&lt;&gt;OK"),0))&gt;0,"Ligne(s) à corriger",IF(AND(W478&lt;&gt;"",N(W478)&lt;0),"Trop-perçu : vérifiez paiements et avoirs","OK")))))))))))))))))))))</f>
        <v/>
      </c>
      <c r="AA478" s="62" t="str">
        <f>IF(COUNTA(B478:D478,F478:O478)&gt;0,IF(B478="","Facture",B478),"")</f>
        <v/>
      </c>
      <c r="AB478" s="62" t="str">
        <f>IF(AA478="","",IF(AA478="Avoir",p_pav,IF(AA478="Facture d'acompte",p_pac,p_pfa)))</f>
        <v/>
      </c>
      <c r="AC478" s="62">
        <f>IF(ISNUMBER(C478),C478,0)</f>
        <v>0.0</v>
      </c>
      <c r="AD478" s="62" t="str">
        <f>IF(OR(AA478="",AC478=0),"",YEAR(AC478))</f>
        <v/>
      </c>
      <c r="AE478" s="62" t="str">
        <f>IF(AD478="","",COUNTIFS($AB$6:AB478,AB478,$AD$6:AD478,AD478))</f>
        <v/>
      </c>
      <c r="AF478" s="62">
        <f>IF(A478="",0,COUNTIF(fl_doc,A478))</f>
        <v>0.0</v>
      </c>
      <c r="AG478" s="62" t="str">
        <f>IF(A478="","",IF(AF478&gt;0,"Facture",IF(AND(F478&lt;&gt;"",AA478="Facture",ISNUMBER(MATCH(F478,dv_num,0))),"Devis","")))</f>
        <v/>
      </c>
      <c r="AH478" s="62" t="str">
        <f>IF(AND(A478&lt;&gt;"",F478&lt;&gt;"",AA478&lt;&gt;"Avoir"),F478,"")</f>
        <v/>
      </c>
      <c r="AI478" s="62" t="str">
        <f>IF(AG478="Devis",F478,"")</f>
        <v/>
      </c>
      <c r="AJ478" s="62">
        <f>IF(AG478="Facture",SUMIF(fl_doc,A478,fl_ht),IF(AG478="Devis",SUMIF(dl_doc,F478,dl_ht),0))</f>
        <v>0.0</v>
      </c>
      <c r="AK478" s="62">
        <f>IF(OR(AG478="",INDEX(p_rates,1)=""),0,IF(AG478="Facture",SUMIFS(fl_ht,fl_doc,A478,fl_rate,INDEX(p_rates,1)),SUMIFS(dl_ht,dl_doc,F478,dl_rate,INDEX(p_rates,1))))</f>
        <v>0.0</v>
      </c>
      <c r="AL478" s="62">
        <f>IF(OR(AG478="",INDEX(p_rates,2)=""),0,IF(AG478="Facture",SUMIFS(fl_ht,fl_doc,A478,fl_rate,INDEX(p_rates,2)),SUMIFS(dl_ht,dl_doc,F478,dl_rate,INDEX(p_rates,2))))</f>
        <v>0.0</v>
      </c>
      <c r="AM478" s="62">
        <f>IF(OR(AG478="",INDEX(p_rates,3)=""),0,IF(AG478="Facture",SUMIFS(fl_ht,fl_doc,A478,fl_rate,INDEX(p_rates,3)),SUMIFS(dl_ht,dl_doc,F478,dl_rate,INDEX(p_rates,3))))</f>
        <v>0.0</v>
      </c>
      <c r="AN478" s="62">
        <f>IF(OR(AG478="",INDEX(p_rates,4)=""),0,IF(AG478="Facture",SUMIFS(fl_ht,fl_doc,A478,fl_rate,INDEX(p_rates,4)),SUMIFS(dl_ht,dl_doc,F478,dl_rate,INDEX(p_rates,4))))</f>
        <v>0.0</v>
      </c>
      <c r="AO478" s="62">
        <f>IF(OR(AG478="",INDEX(p_rates,5)=""),0,IF(AG478="Facture",SUMIFS(fl_ht,fl_doc,A478,fl_rate,INDEX(p_rates,5)),SUMIFS(dl_ht,dl_doc,F478,dl_rate,INDEX(p_rates,5))))</f>
        <v>0.0</v>
      </c>
      <c r="AP478" s="62">
        <f>IF(OR(AG478="",INDEX(p_rates,6)=""),0,IF(AG478="Facture",SUMIFS(fl_ht,fl_doc,A478,fl_rate,INDEX(p_rates,6)),SUMIFS(dl_ht,dl_doc,F478,dl_rate,INDEX(p_rates,6))))</f>
        <v>0.0</v>
      </c>
      <c r="AQ478" s="62">
        <f>ROUND(AK478*N(INDEX(p_rates,1)),2)+ROUND(AL478*N(INDEX(p_rates,2)),2)+ROUND(AM478*N(INDEX(p_rates,3)),2)+ROUND(AN478*N(INDEX(p_rates,4)),2)+ROUND(AO478*N(INDEX(p_rates,5)),2)+ROUND(AP478*N(INDEX(p_rates,6)),2)</f>
        <v>0.0</v>
      </c>
      <c r="AR478" s="62" t="str">
        <f>IF(OR(L478="",AA478&lt;&gt;"Facture"),"",IFERROR(IF(INDEX(fa_type,MATCH(L478,fa_num,0))="Facture d'acompte",MATCH(L478,fa_num,0),""),""))</f>
        <v/>
      </c>
      <c r="AS478" s="62" t="str">
        <f>IF(W478="","",IF(W478&lt;=0,"",IF(p_asof-P478&lt;=0,"Non échu",IF(p_asof-P478&lt;=30,"1-30 j",IF(p_asof-P478&lt;=60,"31-60 j",IF(p_asof-P478&lt;=90,"61-90 j","Plus de 90 j"))))))</f>
        <v/>
      </c>
      <c r="AT478" s="62" t="str">
        <f>IF(AS478="","",p_asof-P478)</f>
        <v/>
      </c>
      <c r="AU478" s="62" t="str">
        <f>IF(AT478="","",COUNTIF($AT$6:$AT$805,"&gt;"&amp;AT478)+COUNTIF($AT$6:AT478,AT478))</f>
        <v/>
      </c>
    </row>
    <row r="479">
      <c r="A479" s="59" t="str">
        <f>IF(AE479="","",AB479&amp;"-"&amp;AD479&amp;"-"&amp;RIGHT("000"&amp;AE479,4))</f>
        <v/>
      </c>
      <c r="B479" s="60" t="n"/>
      <c r="C479" s="61" t="n"/>
      <c r="D479" s="60" t="n"/>
      <c r="E479" s="62" t="str">
        <f>IF(D479="","",IFERROR(INDEX(cli_name,MATCH(D479,cli_code,0))&amp;"","Client inconnu"))</f>
        <v/>
      </c>
      <c r="F479" s="60" t="n"/>
      <c r="G479" s="63" t="n"/>
      <c r="H479" s="61" t="n"/>
      <c r="I479" s="63" t="n"/>
      <c r="J479" s="60" t="n"/>
      <c r="K479" s="61" t="n"/>
      <c r="L479" s="60" t="n"/>
      <c r="M479" s="60" t="n"/>
      <c r="N479" s="60" t="n"/>
      <c r="O479" s="61" t="n"/>
      <c r="P479" s="64" t="str">
        <f>IF(A479="","",IF(AA479="Avoir",AC479,IF(ISNUMBER(K479),K479,AC479+IF(D479="",N(p_delay),IFERROR(IF(ISNUMBER(INDEX(cli_delay,MATCH(D479,cli_code,0))),INDEX(cli_delay,MATCH(D479,cli_code,0)),N(p_delay)),N(p_delay))))))</f>
        <v/>
      </c>
      <c r="Q479" s="65" t="str">
        <f>IF(A479="","",IF(AA479="Avoir",-1,1)*ROUND(AJ479-IF(AR479="",0,INDEX(fa_htb,AR479)),2))</f>
        <v/>
      </c>
      <c r="R479" s="65" t="str">
        <f>IF(A479="","",IF(AA479="Avoir",-1,1)*ROUND(AQ479-IF(AR479="",0,INDEX(fa_tvab,AR479)),2))</f>
        <v/>
      </c>
      <c r="S479" s="65" t="str">
        <f>IF(A479="","",Q479+R479)</f>
        <v/>
      </c>
      <c r="T479" s="65" t="str">
        <f>IF(AR479="","",INDEX(fa_htb,AR479)+INDEX(fa_tvab,AR479))</f>
        <v/>
      </c>
      <c r="U479" s="65" t="str">
        <f>IF(A479="","",SUMIF(pa_inv,A479,pa_amt))</f>
        <v/>
      </c>
      <c r="V479" s="65" t="str">
        <f>IF(OR(A479="",AA479="Avoir"),"",-SUMIFS(fa_ttc,fa_avof,A479,fa_type,"Avoir"))</f>
        <v/>
      </c>
      <c r="W479" s="65" t="str">
        <f>IF(OR(A479="",AA479="Avoir"),"",ROUND(S479-U479-V479,2))</f>
        <v/>
      </c>
      <c r="X479" s="66" t="str">
        <f>IF(W479="","",IF(AND(W479&gt;0,p_asof&gt;P479),p_asof-P479,""))</f>
        <v/>
      </c>
      <c r="Y479" s="59" t="str">
        <f>IF(A479="","",IF(AA479="Avoir","Avoir",IF(W479&lt;0,"Trop-perçu",IF(W479=0,"Soldée",IF(p_asof&gt;P479,"En retard",IF(U479+V479&gt;0,"Partielle","À échoir"))))))</f>
        <v/>
      </c>
      <c r="Z479" s="59" t="str">
        <f>IF(NOT(COUNTA(B479:D479,F479:O479)&gt;0),"",IF(C479="","Date manquante",IF(NOT(ISNUMBER(C479)),"Date invalide",IF(D479="","Client manquant",IF(ISNA(MATCH(D479,cli_code,0)),"Client inconnu",IF(AC479&lt;SUMPRODUCT(MAX(($AB$6:AB478=AB479)*$AC$6:AC478)),"Date antérieure à la facture précédente",IF(AND(F479&lt;&gt;"",ISNA(MATCH(F479,dv_num,0))),"Devis inconnu",IF(AND(F479&lt;&gt;"",IFERROR(INDEX(dv_client,MATCH(F479,dv_num,0)),D479)&lt;&gt;D479),"Client différent de celui du devis",IF(AG479="","Aucune ligne : saisissez des lignes ou un devis",IF(AND(AI479&lt;&gt;"",COUNTIF($AI$6:AI479,AI479)&gt;1),"Devis déjà repris par une autre facture",IF(AND(AA479="Avoir",M479=""),"Avoir : indiquez la facture d'origine",IF(AND(AA479="Avoir",ISNA(MATCH(M479,fa_num,0))),"Facture d'origine inconnue",IF(AND(AA479&lt;&gt;"Avoir",M479&lt;&gt;""),"« Avoir sur facture » : réservé aux avoirs",IF(AND(L479&lt;&gt;"",AA479&lt;&gt;"Facture"),"Acompte à déduire : réservé aux factures",IF(AND(L479&lt;&gt;"",ISNA(MATCH(L479,fa_num,0))),"Facture d'acompte inconnue",IF(AND(L479&lt;&gt;"",IFERROR(INDEX(fa_type,MATCH(L479,fa_num,0)),"")&lt;&gt;"Facture d'acompte"),"Le n° à déduire n'est pas une facture d'acompte",IF(AND(L479&lt;&gt;"",COUNTIF($L$6:L479,L479)&gt;1),"Acompte déjà déduit sur une autre facture",IF(AND(L479&lt;&gt;"",IFERROR(INDEX(fa_client,MATCH(L479,fa_num,0)),D479)&lt;&gt;D479),"Acompte d'un autre client",IF(AND(AR479&lt;&gt;"",N(Q479)&lt;0),"Acompte supérieur au total de la facture",IF(IF(AG479="Facture",COUNTIFS(fl_doc,A479,fl_check,"&lt;&gt;OK"),IF(AG479="Devis",COUNTIFS(dl_doc,F479,dl_check,"&lt;&gt;OK"),0))&gt;0,"Ligne(s) à corriger",IF(AND(W479&lt;&gt;"",N(W479)&lt;0),"Trop-perçu : vérifiez paiements et avoirs","OK")))))))))))))))))))))</f>
        <v/>
      </c>
      <c r="AA479" s="62" t="str">
        <f>IF(COUNTA(B479:D479,F479:O479)&gt;0,IF(B479="","Facture",B479),"")</f>
        <v/>
      </c>
      <c r="AB479" s="62" t="str">
        <f>IF(AA479="","",IF(AA479="Avoir",p_pav,IF(AA479="Facture d'acompte",p_pac,p_pfa)))</f>
        <v/>
      </c>
      <c r="AC479" s="62">
        <f>IF(ISNUMBER(C479),C479,0)</f>
        <v>0.0</v>
      </c>
      <c r="AD479" s="62" t="str">
        <f>IF(OR(AA479="",AC479=0),"",YEAR(AC479))</f>
        <v/>
      </c>
      <c r="AE479" s="62" t="str">
        <f>IF(AD479="","",COUNTIFS($AB$6:AB479,AB479,$AD$6:AD479,AD479))</f>
        <v/>
      </c>
      <c r="AF479" s="62">
        <f>IF(A479="",0,COUNTIF(fl_doc,A479))</f>
        <v>0.0</v>
      </c>
      <c r="AG479" s="62" t="str">
        <f>IF(A479="","",IF(AF479&gt;0,"Facture",IF(AND(F479&lt;&gt;"",AA479="Facture",ISNUMBER(MATCH(F479,dv_num,0))),"Devis","")))</f>
        <v/>
      </c>
      <c r="AH479" s="62" t="str">
        <f>IF(AND(A479&lt;&gt;"",F479&lt;&gt;"",AA479&lt;&gt;"Avoir"),F479,"")</f>
        <v/>
      </c>
      <c r="AI479" s="62" t="str">
        <f>IF(AG479="Devis",F479,"")</f>
        <v/>
      </c>
      <c r="AJ479" s="62">
        <f>IF(AG479="Facture",SUMIF(fl_doc,A479,fl_ht),IF(AG479="Devis",SUMIF(dl_doc,F479,dl_ht),0))</f>
        <v>0.0</v>
      </c>
      <c r="AK479" s="62">
        <f>IF(OR(AG479="",INDEX(p_rates,1)=""),0,IF(AG479="Facture",SUMIFS(fl_ht,fl_doc,A479,fl_rate,INDEX(p_rates,1)),SUMIFS(dl_ht,dl_doc,F479,dl_rate,INDEX(p_rates,1))))</f>
        <v>0.0</v>
      </c>
      <c r="AL479" s="62">
        <f>IF(OR(AG479="",INDEX(p_rates,2)=""),0,IF(AG479="Facture",SUMIFS(fl_ht,fl_doc,A479,fl_rate,INDEX(p_rates,2)),SUMIFS(dl_ht,dl_doc,F479,dl_rate,INDEX(p_rates,2))))</f>
        <v>0.0</v>
      </c>
      <c r="AM479" s="62">
        <f>IF(OR(AG479="",INDEX(p_rates,3)=""),0,IF(AG479="Facture",SUMIFS(fl_ht,fl_doc,A479,fl_rate,INDEX(p_rates,3)),SUMIFS(dl_ht,dl_doc,F479,dl_rate,INDEX(p_rates,3))))</f>
        <v>0.0</v>
      </c>
      <c r="AN479" s="62">
        <f>IF(OR(AG479="",INDEX(p_rates,4)=""),0,IF(AG479="Facture",SUMIFS(fl_ht,fl_doc,A479,fl_rate,INDEX(p_rates,4)),SUMIFS(dl_ht,dl_doc,F479,dl_rate,INDEX(p_rates,4))))</f>
        <v>0.0</v>
      </c>
      <c r="AO479" s="62">
        <f>IF(OR(AG479="",INDEX(p_rates,5)=""),0,IF(AG479="Facture",SUMIFS(fl_ht,fl_doc,A479,fl_rate,INDEX(p_rates,5)),SUMIFS(dl_ht,dl_doc,F479,dl_rate,INDEX(p_rates,5))))</f>
        <v>0.0</v>
      </c>
      <c r="AP479" s="62">
        <f>IF(OR(AG479="",INDEX(p_rates,6)=""),0,IF(AG479="Facture",SUMIFS(fl_ht,fl_doc,A479,fl_rate,INDEX(p_rates,6)),SUMIFS(dl_ht,dl_doc,F479,dl_rate,INDEX(p_rates,6))))</f>
        <v>0.0</v>
      </c>
      <c r="AQ479" s="62">
        <f>ROUND(AK479*N(INDEX(p_rates,1)),2)+ROUND(AL479*N(INDEX(p_rates,2)),2)+ROUND(AM479*N(INDEX(p_rates,3)),2)+ROUND(AN479*N(INDEX(p_rates,4)),2)+ROUND(AO479*N(INDEX(p_rates,5)),2)+ROUND(AP479*N(INDEX(p_rates,6)),2)</f>
        <v>0.0</v>
      </c>
      <c r="AR479" s="62" t="str">
        <f>IF(OR(L479="",AA479&lt;&gt;"Facture"),"",IFERROR(IF(INDEX(fa_type,MATCH(L479,fa_num,0))="Facture d'acompte",MATCH(L479,fa_num,0),""),""))</f>
        <v/>
      </c>
      <c r="AS479" s="62" t="str">
        <f>IF(W479="","",IF(W479&lt;=0,"",IF(p_asof-P479&lt;=0,"Non échu",IF(p_asof-P479&lt;=30,"1-30 j",IF(p_asof-P479&lt;=60,"31-60 j",IF(p_asof-P479&lt;=90,"61-90 j","Plus de 90 j"))))))</f>
        <v/>
      </c>
      <c r="AT479" s="62" t="str">
        <f>IF(AS479="","",p_asof-P479)</f>
        <v/>
      </c>
      <c r="AU479" s="62" t="str">
        <f>IF(AT479="","",COUNTIF($AT$6:$AT$805,"&gt;"&amp;AT479)+COUNTIF($AT$6:AT479,AT479))</f>
        <v/>
      </c>
    </row>
    <row r="480">
      <c r="A480" s="59" t="str">
        <f>IF(AE480="","",AB480&amp;"-"&amp;AD480&amp;"-"&amp;RIGHT("000"&amp;AE480,4))</f>
        <v/>
      </c>
      <c r="B480" s="60" t="n"/>
      <c r="C480" s="61" t="n"/>
      <c r="D480" s="60" t="n"/>
      <c r="E480" s="62" t="str">
        <f>IF(D480="","",IFERROR(INDEX(cli_name,MATCH(D480,cli_code,0))&amp;"","Client inconnu"))</f>
        <v/>
      </c>
      <c r="F480" s="60" t="n"/>
      <c r="G480" s="63" t="n"/>
      <c r="H480" s="61" t="n"/>
      <c r="I480" s="63" t="n"/>
      <c r="J480" s="60" t="n"/>
      <c r="K480" s="61" t="n"/>
      <c r="L480" s="60" t="n"/>
      <c r="M480" s="60" t="n"/>
      <c r="N480" s="60" t="n"/>
      <c r="O480" s="61" t="n"/>
      <c r="P480" s="64" t="str">
        <f>IF(A480="","",IF(AA480="Avoir",AC480,IF(ISNUMBER(K480),K480,AC480+IF(D480="",N(p_delay),IFERROR(IF(ISNUMBER(INDEX(cli_delay,MATCH(D480,cli_code,0))),INDEX(cli_delay,MATCH(D480,cli_code,0)),N(p_delay)),N(p_delay))))))</f>
        <v/>
      </c>
      <c r="Q480" s="65" t="str">
        <f>IF(A480="","",IF(AA480="Avoir",-1,1)*ROUND(AJ480-IF(AR480="",0,INDEX(fa_htb,AR480)),2))</f>
        <v/>
      </c>
      <c r="R480" s="65" t="str">
        <f>IF(A480="","",IF(AA480="Avoir",-1,1)*ROUND(AQ480-IF(AR480="",0,INDEX(fa_tvab,AR480)),2))</f>
        <v/>
      </c>
      <c r="S480" s="65" t="str">
        <f>IF(A480="","",Q480+R480)</f>
        <v/>
      </c>
      <c r="T480" s="65" t="str">
        <f>IF(AR480="","",INDEX(fa_htb,AR480)+INDEX(fa_tvab,AR480))</f>
        <v/>
      </c>
      <c r="U480" s="65" t="str">
        <f>IF(A480="","",SUMIF(pa_inv,A480,pa_amt))</f>
        <v/>
      </c>
      <c r="V480" s="65" t="str">
        <f>IF(OR(A480="",AA480="Avoir"),"",-SUMIFS(fa_ttc,fa_avof,A480,fa_type,"Avoir"))</f>
        <v/>
      </c>
      <c r="W480" s="65" t="str">
        <f>IF(OR(A480="",AA480="Avoir"),"",ROUND(S480-U480-V480,2))</f>
        <v/>
      </c>
      <c r="X480" s="66" t="str">
        <f>IF(W480="","",IF(AND(W480&gt;0,p_asof&gt;P480),p_asof-P480,""))</f>
        <v/>
      </c>
      <c r="Y480" s="59" t="str">
        <f>IF(A480="","",IF(AA480="Avoir","Avoir",IF(W480&lt;0,"Trop-perçu",IF(W480=0,"Soldée",IF(p_asof&gt;P480,"En retard",IF(U480+V480&gt;0,"Partielle","À échoir"))))))</f>
        <v/>
      </c>
      <c r="Z480" s="59" t="str">
        <f>IF(NOT(COUNTA(B480:D480,F480:O480)&gt;0),"",IF(C480="","Date manquante",IF(NOT(ISNUMBER(C480)),"Date invalide",IF(D480="","Client manquant",IF(ISNA(MATCH(D480,cli_code,0)),"Client inconnu",IF(AC480&lt;SUMPRODUCT(MAX(($AB$6:AB479=AB480)*$AC$6:AC479)),"Date antérieure à la facture précédente",IF(AND(F480&lt;&gt;"",ISNA(MATCH(F480,dv_num,0))),"Devis inconnu",IF(AND(F480&lt;&gt;"",IFERROR(INDEX(dv_client,MATCH(F480,dv_num,0)),D480)&lt;&gt;D480),"Client différent de celui du devis",IF(AG480="","Aucune ligne : saisissez des lignes ou un devis",IF(AND(AI480&lt;&gt;"",COUNTIF($AI$6:AI480,AI480)&gt;1),"Devis déjà repris par une autre facture",IF(AND(AA480="Avoir",M480=""),"Avoir : indiquez la facture d'origine",IF(AND(AA480="Avoir",ISNA(MATCH(M480,fa_num,0))),"Facture d'origine inconnue",IF(AND(AA480&lt;&gt;"Avoir",M480&lt;&gt;""),"« Avoir sur facture » : réservé aux avoirs",IF(AND(L480&lt;&gt;"",AA480&lt;&gt;"Facture"),"Acompte à déduire : réservé aux factures",IF(AND(L480&lt;&gt;"",ISNA(MATCH(L480,fa_num,0))),"Facture d'acompte inconnue",IF(AND(L480&lt;&gt;"",IFERROR(INDEX(fa_type,MATCH(L480,fa_num,0)),"")&lt;&gt;"Facture d'acompte"),"Le n° à déduire n'est pas une facture d'acompte",IF(AND(L480&lt;&gt;"",COUNTIF($L$6:L480,L480)&gt;1),"Acompte déjà déduit sur une autre facture",IF(AND(L480&lt;&gt;"",IFERROR(INDEX(fa_client,MATCH(L480,fa_num,0)),D480)&lt;&gt;D480),"Acompte d'un autre client",IF(AND(AR480&lt;&gt;"",N(Q480)&lt;0),"Acompte supérieur au total de la facture",IF(IF(AG480="Facture",COUNTIFS(fl_doc,A480,fl_check,"&lt;&gt;OK"),IF(AG480="Devis",COUNTIFS(dl_doc,F480,dl_check,"&lt;&gt;OK"),0))&gt;0,"Ligne(s) à corriger",IF(AND(W480&lt;&gt;"",N(W480)&lt;0),"Trop-perçu : vérifiez paiements et avoirs","OK")))))))))))))))))))))</f>
        <v/>
      </c>
      <c r="AA480" s="62" t="str">
        <f>IF(COUNTA(B480:D480,F480:O480)&gt;0,IF(B480="","Facture",B480),"")</f>
        <v/>
      </c>
      <c r="AB480" s="62" t="str">
        <f>IF(AA480="","",IF(AA480="Avoir",p_pav,IF(AA480="Facture d'acompte",p_pac,p_pfa)))</f>
        <v/>
      </c>
      <c r="AC480" s="62">
        <f>IF(ISNUMBER(C480),C480,0)</f>
        <v>0.0</v>
      </c>
      <c r="AD480" s="62" t="str">
        <f>IF(OR(AA480="",AC480=0),"",YEAR(AC480))</f>
        <v/>
      </c>
      <c r="AE480" s="62" t="str">
        <f>IF(AD480="","",COUNTIFS($AB$6:AB480,AB480,$AD$6:AD480,AD480))</f>
        <v/>
      </c>
      <c r="AF480" s="62">
        <f>IF(A480="",0,COUNTIF(fl_doc,A480))</f>
        <v>0.0</v>
      </c>
      <c r="AG480" s="62" t="str">
        <f>IF(A480="","",IF(AF480&gt;0,"Facture",IF(AND(F480&lt;&gt;"",AA480="Facture",ISNUMBER(MATCH(F480,dv_num,0))),"Devis","")))</f>
        <v/>
      </c>
      <c r="AH480" s="62" t="str">
        <f>IF(AND(A480&lt;&gt;"",F480&lt;&gt;"",AA480&lt;&gt;"Avoir"),F480,"")</f>
        <v/>
      </c>
      <c r="AI480" s="62" t="str">
        <f>IF(AG480="Devis",F480,"")</f>
        <v/>
      </c>
      <c r="AJ480" s="62">
        <f>IF(AG480="Facture",SUMIF(fl_doc,A480,fl_ht),IF(AG480="Devis",SUMIF(dl_doc,F480,dl_ht),0))</f>
        <v>0.0</v>
      </c>
      <c r="AK480" s="62">
        <f>IF(OR(AG480="",INDEX(p_rates,1)=""),0,IF(AG480="Facture",SUMIFS(fl_ht,fl_doc,A480,fl_rate,INDEX(p_rates,1)),SUMIFS(dl_ht,dl_doc,F480,dl_rate,INDEX(p_rates,1))))</f>
        <v>0.0</v>
      </c>
      <c r="AL480" s="62">
        <f>IF(OR(AG480="",INDEX(p_rates,2)=""),0,IF(AG480="Facture",SUMIFS(fl_ht,fl_doc,A480,fl_rate,INDEX(p_rates,2)),SUMIFS(dl_ht,dl_doc,F480,dl_rate,INDEX(p_rates,2))))</f>
        <v>0.0</v>
      </c>
      <c r="AM480" s="62">
        <f>IF(OR(AG480="",INDEX(p_rates,3)=""),0,IF(AG480="Facture",SUMIFS(fl_ht,fl_doc,A480,fl_rate,INDEX(p_rates,3)),SUMIFS(dl_ht,dl_doc,F480,dl_rate,INDEX(p_rates,3))))</f>
        <v>0.0</v>
      </c>
      <c r="AN480" s="62">
        <f>IF(OR(AG480="",INDEX(p_rates,4)=""),0,IF(AG480="Facture",SUMIFS(fl_ht,fl_doc,A480,fl_rate,INDEX(p_rates,4)),SUMIFS(dl_ht,dl_doc,F480,dl_rate,INDEX(p_rates,4))))</f>
        <v>0.0</v>
      </c>
      <c r="AO480" s="62">
        <f>IF(OR(AG480="",INDEX(p_rates,5)=""),0,IF(AG480="Facture",SUMIFS(fl_ht,fl_doc,A480,fl_rate,INDEX(p_rates,5)),SUMIFS(dl_ht,dl_doc,F480,dl_rate,INDEX(p_rates,5))))</f>
        <v>0.0</v>
      </c>
      <c r="AP480" s="62">
        <f>IF(OR(AG480="",INDEX(p_rates,6)=""),0,IF(AG480="Facture",SUMIFS(fl_ht,fl_doc,A480,fl_rate,INDEX(p_rates,6)),SUMIFS(dl_ht,dl_doc,F480,dl_rate,INDEX(p_rates,6))))</f>
        <v>0.0</v>
      </c>
      <c r="AQ480" s="62">
        <f>ROUND(AK480*N(INDEX(p_rates,1)),2)+ROUND(AL480*N(INDEX(p_rates,2)),2)+ROUND(AM480*N(INDEX(p_rates,3)),2)+ROUND(AN480*N(INDEX(p_rates,4)),2)+ROUND(AO480*N(INDEX(p_rates,5)),2)+ROUND(AP480*N(INDEX(p_rates,6)),2)</f>
        <v>0.0</v>
      </c>
      <c r="AR480" s="62" t="str">
        <f>IF(OR(L480="",AA480&lt;&gt;"Facture"),"",IFERROR(IF(INDEX(fa_type,MATCH(L480,fa_num,0))="Facture d'acompte",MATCH(L480,fa_num,0),""),""))</f>
        <v/>
      </c>
      <c r="AS480" s="62" t="str">
        <f>IF(W480="","",IF(W480&lt;=0,"",IF(p_asof-P480&lt;=0,"Non échu",IF(p_asof-P480&lt;=30,"1-30 j",IF(p_asof-P480&lt;=60,"31-60 j",IF(p_asof-P480&lt;=90,"61-90 j","Plus de 90 j"))))))</f>
        <v/>
      </c>
      <c r="AT480" s="62" t="str">
        <f>IF(AS480="","",p_asof-P480)</f>
        <v/>
      </c>
      <c r="AU480" s="62" t="str">
        <f>IF(AT480="","",COUNTIF($AT$6:$AT$805,"&gt;"&amp;AT480)+COUNTIF($AT$6:AT480,AT480))</f>
        <v/>
      </c>
    </row>
    <row r="481">
      <c r="A481" s="59" t="str">
        <f>IF(AE481="","",AB481&amp;"-"&amp;AD481&amp;"-"&amp;RIGHT("000"&amp;AE481,4))</f>
        <v/>
      </c>
      <c r="B481" s="60" t="n"/>
      <c r="C481" s="61" t="n"/>
      <c r="D481" s="60" t="n"/>
      <c r="E481" s="62" t="str">
        <f>IF(D481="","",IFERROR(INDEX(cli_name,MATCH(D481,cli_code,0))&amp;"","Client inconnu"))</f>
        <v/>
      </c>
      <c r="F481" s="60" t="n"/>
      <c r="G481" s="63" t="n"/>
      <c r="H481" s="61" t="n"/>
      <c r="I481" s="63" t="n"/>
      <c r="J481" s="60" t="n"/>
      <c r="K481" s="61" t="n"/>
      <c r="L481" s="60" t="n"/>
      <c r="M481" s="60" t="n"/>
      <c r="N481" s="60" t="n"/>
      <c r="O481" s="61" t="n"/>
      <c r="P481" s="64" t="str">
        <f>IF(A481="","",IF(AA481="Avoir",AC481,IF(ISNUMBER(K481),K481,AC481+IF(D481="",N(p_delay),IFERROR(IF(ISNUMBER(INDEX(cli_delay,MATCH(D481,cli_code,0))),INDEX(cli_delay,MATCH(D481,cli_code,0)),N(p_delay)),N(p_delay))))))</f>
        <v/>
      </c>
      <c r="Q481" s="65" t="str">
        <f>IF(A481="","",IF(AA481="Avoir",-1,1)*ROUND(AJ481-IF(AR481="",0,INDEX(fa_htb,AR481)),2))</f>
        <v/>
      </c>
      <c r="R481" s="65" t="str">
        <f>IF(A481="","",IF(AA481="Avoir",-1,1)*ROUND(AQ481-IF(AR481="",0,INDEX(fa_tvab,AR481)),2))</f>
        <v/>
      </c>
      <c r="S481" s="65" t="str">
        <f>IF(A481="","",Q481+R481)</f>
        <v/>
      </c>
      <c r="T481" s="65" t="str">
        <f>IF(AR481="","",INDEX(fa_htb,AR481)+INDEX(fa_tvab,AR481))</f>
        <v/>
      </c>
      <c r="U481" s="65" t="str">
        <f>IF(A481="","",SUMIF(pa_inv,A481,pa_amt))</f>
        <v/>
      </c>
      <c r="V481" s="65" t="str">
        <f>IF(OR(A481="",AA481="Avoir"),"",-SUMIFS(fa_ttc,fa_avof,A481,fa_type,"Avoir"))</f>
        <v/>
      </c>
      <c r="W481" s="65" t="str">
        <f>IF(OR(A481="",AA481="Avoir"),"",ROUND(S481-U481-V481,2))</f>
        <v/>
      </c>
      <c r="X481" s="66" t="str">
        <f>IF(W481="","",IF(AND(W481&gt;0,p_asof&gt;P481),p_asof-P481,""))</f>
        <v/>
      </c>
      <c r="Y481" s="59" t="str">
        <f>IF(A481="","",IF(AA481="Avoir","Avoir",IF(W481&lt;0,"Trop-perçu",IF(W481=0,"Soldée",IF(p_asof&gt;P481,"En retard",IF(U481+V481&gt;0,"Partielle","À échoir"))))))</f>
        <v/>
      </c>
      <c r="Z481" s="59" t="str">
        <f>IF(NOT(COUNTA(B481:D481,F481:O481)&gt;0),"",IF(C481="","Date manquante",IF(NOT(ISNUMBER(C481)),"Date invalide",IF(D481="","Client manquant",IF(ISNA(MATCH(D481,cli_code,0)),"Client inconnu",IF(AC481&lt;SUMPRODUCT(MAX(($AB$6:AB480=AB481)*$AC$6:AC480)),"Date antérieure à la facture précédente",IF(AND(F481&lt;&gt;"",ISNA(MATCH(F481,dv_num,0))),"Devis inconnu",IF(AND(F481&lt;&gt;"",IFERROR(INDEX(dv_client,MATCH(F481,dv_num,0)),D481)&lt;&gt;D481),"Client différent de celui du devis",IF(AG481="","Aucune ligne : saisissez des lignes ou un devis",IF(AND(AI481&lt;&gt;"",COUNTIF($AI$6:AI481,AI481)&gt;1),"Devis déjà repris par une autre facture",IF(AND(AA481="Avoir",M481=""),"Avoir : indiquez la facture d'origine",IF(AND(AA481="Avoir",ISNA(MATCH(M481,fa_num,0))),"Facture d'origine inconnue",IF(AND(AA481&lt;&gt;"Avoir",M481&lt;&gt;""),"« Avoir sur facture » : réservé aux avoirs",IF(AND(L481&lt;&gt;"",AA481&lt;&gt;"Facture"),"Acompte à déduire : réservé aux factures",IF(AND(L481&lt;&gt;"",ISNA(MATCH(L481,fa_num,0))),"Facture d'acompte inconnue",IF(AND(L481&lt;&gt;"",IFERROR(INDEX(fa_type,MATCH(L481,fa_num,0)),"")&lt;&gt;"Facture d'acompte"),"Le n° à déduire n'est pas une facture d'acompte",IF(AND(L481&lt;&gt;"",COUNTIF($L$6:L481,L481)&gt;1),"Acompte déjà déduit sur une autre facture",IF(AND(L481&lt;&gt;"",IFERROR(INDEX(fa_client,MATCH(L481,fa_num,0)),D481)&lt;&gt;D481),"Acompte d'un autre client",IF(AND(AR481&lt;&gt;"",N(Q481)&lt;0),"Acompte supérieur au total de la facture",IF(IF(AG481="Facture",COUNTIFS(fl_doc,A481,fl_check,"&lt;&gt;OK"),IF(AG481="Devis",COUNTIFS(dl_doc,F481,dl_check,"&lt;&gt;OK"),0))&gt;0,"Ligne(s) à corriger",IF(AND(W481&lt;&gt;"",N(W481)&lt;0),"Trop-perçu : vérifiez paiements et avoirs","OK")))))))))))))))))))))</f>
        <v/>
      </c>
      <c r="AA481" s="62" t="str">
        <f>IF(COUNTA(B481:D481,F481:O481)&gt;0,IF(B481="","Facture",B481),"")</f>
        <v/>
      </c>
      <c r="AB481" s="62" t="str">
        <f>IF(AA481="","",IF(AA481="Avoir",p_pav,IF(AA481="Facture d'acompte",p_pac,p_pfa)))</f>
        <v/>
      </c>
      <c r="AC481" s="62">
        <f>IF(ISNUMBER(C481),C481,0)</f>
        <v>0.0</v>
      </c>
      <c r="AD481" s="62" t="str">
        <f>IF(OR(AA481="",AC481=0),"",YEAR(AC481))</f>
        <v/>
      </c>
      <c r="AE481" s="62" t="str">
        <f>IF(AD481="","",COUNTIFS($AB$6:AB481,AB481,$AD$6:AD481,AD481))</f>
        <v/>
      </c>
      <c r="AF481" s="62">
        <f>IF(A481="",0,COUNTIF(fl_doc,A481))</f>
        <v>0.0</v>
      </c>
      <c r="AG481" s="62" t="str">
        <f>IF(A481="","",IF(AF481&gt;0,"Facture",IF(AND(F481&lt;&gt;"",AA481="Facture",ISNUMBER(MATCH(F481,dv_num,0))),"Devis","")))</f>
        <v/>
      </c>
      <c r="AH481" s="62" t="str">
        <f>IF(AND(A481&lt;&gt;"",F481&lt;&gt;"",AA481&lt;&gt;"Avoir"),F481,"")</f>
        <v/>
      </c>
      <c r="AI481" s="62" t="str">
        <f>IF(AG481="Devis",F481,"")</f>
        <v/>
      </c>
      <c r="AJ481" s="62">
        <f>IF(AG481="Facture",SUMIF(fl_doc,A481,fl_ht),IF(AG481="Devis",SUMIF(dl_doc,F481,dl_ht),0))</f>
        <v>0.0</v>
      </c>
      <c r="AK481" s="62">
        <f>IF(OR(AG481="",INDEX(p_rates,1)=""),0,IF(AG481="Facture",SUMIFS(fl_ht,fl_doc,A481,fl_rate,INDEX(p_rates,1)),SUMIFS(dl_ht,dl_doc,F481,dl_rate,INDEX(p_rates,1))))</f>
        <v>0.0</v>
      </c>
      <c r="AL481" s="62">
        <f>IF(OR(AG481="",INDEX(p_rates,2)=""),0,IF(AG481="Facture",SUMIFS(fl_ht,fl_doc,A481,fl_rate,INDEX(p_rates,2)),SUMIFS(dl_ht,dl_doc,F481,dl_rate,INDEX(p_rates,2))))</f>
        <v>0.0</v>
      </c>
      <c r="AM481" s="62">
        <f>IF(OR(AG481="",INDEX(p_rates,3)=""),0,IF(AG481="Facture",SUMIFS(fl_ht,fl_doc,A481,fl_rate,INDEX(p_rates,3)),SUMIFS(dl_ht,dl_doc,F481,dl_rate,INDEX(p_rates,3))))</f>
        <v>0.0</v>
      </c>
      <c r="AN481" s="62">
        <f>IF(OR(AG481="",INDEX(p_rates,4)=""),0,IF(AG481="Facture",SUMIFS(fl_ht,fl_doc,A481,fl_rate,INDEX(p_rates,4)),SUMIFS(dl_ht,dl_doc,F481,dl_rate,INDEX(p_rates,4))))</f>
        <v>0.0</v>
      </c>
      <c r="AO481" s="62">
        <f>IF(OR(AG481="",INDEX(p_rates,5)=""),0,IF(AG481="Facture",SUMIFS(fl_ht,fl_doc,A481,fl_rate,INDEX(p_rates,5)),SUMIFS(dl_ht,dl_doc,F481,dl_rate,INDEX(p_rates,5))))</f>
        <v>0.0</v>
      </c>
      <c r="AP481" s="62">
        <f>IF(OR(AG481="",INDEX(p_rates,6)=""),0,IF(AG481="Facture",SUMIFS(fl_ht,fl_doc,A481,fl_rate,INDEX(p_rates,6)),SUMIFS(dl_ht,dl_doc,F481,dl_rate,INDEX(p_rates,6))))</f>
        <v>0.0</v>
      </c>
      <c r="AQ481" s="62">
        <f>ROUND(AK481*N(INDEX(p_rates,1)),2)+ROUND(AL481*N(INDEX(p_rates,2)),2)+ROUND(AM481*N(INDEX(p_rates,3)),2)+ROUND(AN481*N(INDEX(p_rates,4)),2)+ROUND(AO481*N(INDEX(p_rates,5)),2)+ROUND(AP481*N(INDEX(p_rates,6)),2)</f>
        <v>0.0</v>
      </c>
      <c r="AR481" s="62" t="str">
        <f>IF(OR(L481="",AA481&lt;&gt;"Facture"),"",IFERROR(IF(INDEX(fa_type,MATCH(L481,fa_num,0))="Facture d'acompte",MATCH(L481,fa_num,0),""),""))</f>
        <v/>
      </c>
      <c r="AS481" s="62" t="str">
        <f>IF(W481="","",IF(W481&lt;=0,"",IF(p_asof-P481&lt;=0,"Non échu",IF(p_asof-P481&lt;=30,"1-30 j",IF(p_asof-P481&lt;=60,"31-60 j",IF(p_asof-P481&lt;=90,"61-90 j","Plus de 90 j"))))))</f>
        <v/>
      </c>
      <c r="AT481" s="62" t="str">
        <f>IF(AS481="","",p_asof-P481)</f>
        <v/>
      </c>
      <c r="AU481" s="62" t="str">
        <f>IF(AT481="","",COUNTIF($AT$6:$AT$805,"&gt;"&amp;AT481)+COUNTIF($AT$6:AT481,AT481))</f>
        <v/>
      </c>
    </row>
    <row r="482">
      <c r="A482" s="59" t="str">
        <f>IF(AE482="","",AB482&amp;"-"&amp;AD482&amp;"-"&amp;RIGHT("000"&amp;AE482,4))</f>
        <v/>
      </c>
      <c r="B482" s="60" t="n"/>
      <c r="C482" s="61" t="n"/>
      <c r="D482" s="60" t="n"/>
      <c r="E482" s="62" t="str">
        <f>IF(D482="","",IFERROR(INDEX(cli_name,MATCH(D482,cli_code,0))&amp;"","Client inconnu"))</f>
        <v/>
      </c>
      <c r="F482" s="60" t="n"/>
      <c r="G482" s="63" t="n"/>
      <c r="H482" s="61" t="n"/>
      <c r="I482" s="63" t="n"/>
      <c r="J482" s="60" t="n"/>
      <c r="K482" s="61" t="n"/>
      <c r="L482" s="60" t="n"/>
      <c r="M482" s="60" t="n"/>
      <c r="N482" s="60" t="n"/>
      <c r="O482" s="61" t="n"/>
      <c r="P482" s="64" t="str">
        <f>IF(A482="","",IF(AA482="Avoir",AC482,IF(ISNUMBER(K482),K482,AC482+IF(D482="",N(p_delay),IFERROR(IF(ISNUMBER(INDEX(cli_delay,MATCH(D482,cli_code,0))),INDEX(cli_delay,MATCH(D482,cli_code,0)),N(p_delay)),N(p_delay))))))</f>
        <v/>
      </c>
      <c r="Q482" s="65" t="str">
        <f>IF(A482="","",IF(AA482="Avoir",-1,1)*ROUND(AJ482-IF(AR482="",0,INDEX(fa_htb,AR482)),2))</f>
        <v/>
      </c>
      <c r="R482" s="65" t="str">
        <f>IF(A482="","",IF(AA482="Avoir",-1,1)*ROUND(AQ482-IF(AR482="",0,INDEX(fa_tvab,AR482)),2))</f>
        <v/>
      </c>
      <c r="S482" s="65" t="str">
        <f>IF(A482="","",Q482+R482)</f>
        <v/>
      </c>
      <c r="T482" s="65" t="str">
        <f>IF(AR482="","",INDEX(fa_htb,AR482)+INDEX(fa_tvab,AR482))</f>
        <v/>
      </c>
      <c r="U482" s="65" t="str">
        <f>IF(A482="","",SUMIF(pa_inv,A482,pa_amt))</f>
        <v/>
      </c>
      <c r="V482" s="65" t="str">
        <f>IF(OR(A482="",AA482="Avoir"),"",-SUMIFS(fa_ttc,fa_avof,A482,fa_type,"Avoir"))</f>
        <v/>
      </c>
      <c r="W482" s="65" t="str">
        <f>IF(OR(A482="",AA482="Avoir"),"",ROUND(S482-U482-V482,2))</f>
        <v/>
      </c>
      <c r="X482" s="66" t="str">
        <f>IF(W482="","",IF(AND(W482&gt;0,p_asof&gt;P482),p_asof-P482,""))</f>
        <v/>
      </c>
      <c r="Y482" s="59" t="str">
        <f>IF(A482="","",IF(AA482="Avoir","Avoir",IF(W482&lt;0,"Trop-perçu",IF(W482=0,"Soldée",IF(p_asof&gt;P482,"En retard",IF(U482+V482&gt;0,"Partielle","À échoir"))))))</f>
        <v/>
      </c>
      <c r="Z482" s="59" t="str">
        <f>IF(NOT(COUNTA(B482:D482,F482:O482)&gt;0),"",IF(C482="","Date manquante",IF(NOT(ISNUMBER(C482)),"Date invalide",IF(D482="","Client manquant",IF(ISNA(MATCH(D482,cli_code,0)),"Client inconnu",IF(AC482&lt;SUMPRODUCT(MAX(($AB$6:AB481=AB482)*$AC$6:AC481)),"Date antérieure à la facture précédente",IF(AND(F482&lt;&gt;"",ISNA(MATCH(F482,dv_num,0))),"Devis inconnu",IF(AND(F482&lt;&gt;"",IFERROR(INDEX(dv_client,MATCH(F482,dv_num,0)),D482)&lt;&gt;D482),"Client différent de celui du devis",IF(AG482="","Aucune ligne : saisissez des lignes ou un devis",IF(AND(AI482&lt;&gt;"",COUNTIF($AI$6:AI482,AI482)&gt;1),"Devis déjà repris par une autre facture",IF(AND(AA482="Avoir",M482=""),"Avoir : indiquez la facture d'origine",IF(AND(AA482="Avoir",ISNA(MATCH(M482,fa_num,0))),"Facture d'origine inconnue",IF(AND(AA482&lt;&gt;"Avoir",M482&lt;&gt;""),"« Avoir sur facture » : réservé aux avoirs",IF(AND(L482&lt;&gt;"",AA482&lt;&gt;"Facture"),"Acompte à déduire : réservé aux factures",IF(AND(L482&lt;&gt;"",ISNA(MATCH(L482,fa_num,0))),"Facture d'acompte inconnue",IF(AND(L482&lt;&gt;"",IFERROR(INDEX(fa_type,MATCH(L482,fa_num,0)),"")&lt;&gt;"Facture d'acompte"),"Le n° à déduire n'est pas une facture d'acompte",IF(AND(L482&lt;&gt;"",COUNTIF($L$6:L482,L482)&gt;1),"Acompte déjà déduit sur une autre facture",IF(AND(L482&lt;&gt;"",IFERROR(INDEX(fa_client,MATCH(L482,fa_num,0)),D482)&lt;&gt;D482),"Acompte d'un autre client",IF(AND(AR482&lt;&gt;"",N(Q482)&lt;0),"Acompte supérieur au total de la facture",IF(IF(AG482="Facture",COUNTIFS(fl_doc,A482,fl_check,"&lt;&gt;OK"),IF(AG482="Devis",COUNTIFS(dl_doc,F482,dl_check,"&lt;&gt;OK"),0))&gt;0,"Ligne(s) à corriger",IF(AND(W482&lt;&gt;"",N(W482)&lt;0),"Trop-perçu : vérifiez paiements et avoirs","OK")))))))))))))))))))))</f>
        <v/>
      </c>
      <c r="AA482" s="62" t="str">
        <f>IF(COUNTA(B482:D482,F482:O482)&gt;0,IF(B482="","Facture",B482),"")</f>
        <v/>
      </c>
      <c r="AB482" s="62" t="str">
        <f>IF(AA482="","",IF(AA482="Avoir",p_pav,IF(AA482="Facture d'acompte",p_pac,p_pfa)))</f>
        <v/>
      </c>
      <c r="AC482" s="62">
        <f>IF(ISNUMBER(C482),C482,0)</f>
        <v>0.0</v>
      </c>
      <c r="AD482" s="62" t="str">
        <f>IF(OR(AA482="",AC482=0),"",YEAR(AC482))</f>
        <v/>
      </c>
      <c r="AE482" s="62" t="str">
        <f>IF(AD482="","",COUNTIFS($AB$6:AB482,AB482,$AD$6:AD482,AD482))</f>
        <v/>
      </c>
      <c r="AF482" s="62">
        <f>IF(A482="",0,COUNTIF(fl_doc,A482))</f>
        <v>0.0</v>
      </c>
      <c r="AG482" s="62" t="str">
        <f>IF(A482="","",IF(AF482&gt;0,"Facture",IF(AND(F482&lt;&gt;"",AA482="Facture",ISNUMBER(MATCH(F482,dv_num,0))),"Devis","")))</f>
        <v/>
      </c>
      <c r="AH482" s="62" t="str">
        <f>IF(AND(A482&lt;&gt;"",F482&lt;&gt;"",AA482&lt;&gt;"Avoir"),F482,"")</f>
        <v/>
      </c>
      <c r="AI482" s="62" t="str">
        <f>IF(AG482="Devis",F482,"")</f>
        <v/>
      </c>
      <c r="AJ482" s="62">
        <f>IF(AG482="Facture",SUMIF(fl_doc,A482,fl_ht),IF(AG482="Devis",SUMIF(dl_doc,F482,dl_ht),0))</f>
        <v>0.0</v>
      </c>
      <c r="AK482" s="62">
        <f>IF(OR(AG482="",INDEX(p_rates,1)=""),0,IF(AG482="Facture",SUMIFS(fl_ht,fl_doc,A482,fl_rate,INDEX(p_rates,1)),SUMIFS(dl_ht,dl_doc,F482,dl_rate,INDEX(p_rates,1))))</f>
        <v>0.0</v>
      </c>
      <c r="AL482" s="62">
        <f>IF(OR(AG482="",INDEX(p_rates,2)=""),0,IF(AG482="Facture",SUMIFS(fl_ht,fl_doc,A482,fl_rate,INDEX(p_rates,2)),SUMIFS(dl_ht,dl_doc,F482,dl_rate,INDEX(p_rates,2))))</f>
        <v>0.0</v>
      </c>
      <c r="AM482" s="62">
        <f>IF(OR(AG482="",INDEX(p_rates,3)=""),0,IF(AG482="Facture",SUMIFS(fl_ht,fl_doc,A482,fl_rate,INDEX(p_rates,3)),SUMIFS(dl_ht,dl_doc,F482,dl_rate,INDEX(p_rates,3))))</f>
        <v>0.0</v>
      </c>
      <c r="AN482" s="62">
        <f>IF(OR(AG482="",INDEX(p_rates,4)=""),0,IF(AG482="Facture",SUMIFS(fl_ht,fl_doc,A482,fl_rate,INDEX(p_rates,4)),SUMIFS(dl_ht,dl_doc,F482,dl_rate,INDEX(p_rates,4))))</f>
        <v>0.0</v>
      </c>
      <c r="AO482" s="62">
        <f>IF(OR(AG482="",INDEX(p_rates,5)=""),0,IF(AG482="Facture",SUMIFS(fl_ht,fl_doc,A482,fl_rate,INDEX(p_rates,5)),SUMIFS(dl_ht,dl_doc,F482,dl_rate,INDEX(p_rates,5))))</f>
        <v>0.0</v>
      </c>
      <c r="AP482" s="62">
        <f>IF(OR(AG482="",INDEX(p_rates,6)=""),0,IF(AG482="Facture",SUMIFS(fl_ht,fl_doc,A482,fl_rate,INDEX(p_rates,6)),SUMIFS(dl_ht,dl_doc,F482,dl_rate,INDEX(p_rates,6))))</f>
        <v>0.0</v>
      </c>
      <c r="AQ482" s="62">
        <f>ROUND(AK482*N(INDEX(p_rates,1)),2)+ROUND(AL482*N(INDEX(p_rates,2)),2)+ROUND(AM482*N(INDEX(p_rates,3)),2)+ROUND(AN482*N(INDEX(p_rates,4)),2)+ROUND(AO482*N(INDEX(p_rates,5)),2)+ROUND(AP482*N(INDEX(p_rates,6)),2)</f>
        <v>0.0</v>
      </c>
      <c r="AR482" s="62" t="str">
        <f>IF(OR(L482="",AA482&lt;&gt;"Facture"),"",IFERROR(IF(INDEX(fa_type,MATCH(L482,fa_num,0))="Facture d'acompte",MATCH(L482,fa_num,0),""),""))</f>
        <v/>
      </c>
      <c r="AS482" s="62" t="str">
        <f>IF(W482="","",IF(W482&lt;=0,"",IF(p_asof-P482&lt;=0,"Non échu",IF(p_asof-P482&lt;=30,"1-30 j",IF(p_asof-P482&lt;=60,"31-60 j",IF(p_asof-P482&lt;=90,"61-90 j","Plus de 90 j"))))))</f>
        <v/>
      </c>
      <c r="AT482" s="62" t="str">
        <f>IF(AS482="","",p_asof-P482)</f>
        <v/>
      </c>
      <c r="AU482" s="62" t="str">
        <f>IF(AT482="","",COUNTIF($AT$6:$AT$805,"&gt;"&amp;AT482)+COUNTIF($AT$6:AT482,AT482))</f>
        <v/>
      </c>
    </row>
    <row r="483">
      <c r="A483" s="59" t="str">
        <f>IF(AE483="","",AB483&amp;"-"&amp;AD483&amp;"-"&amp;RIGHT("000"&amp;AE483,4))</f>
        <v/>
      </c>
      <c r="B483" s="60" t="n"/>
      <c r="C483" s="61" t="n"/>
      <c r="D483" s="60" t="n"/>
      <c r="E483" s="62" t="str">
        <f>IF(D483="","",IFERROR(INDEX(cli_name,MATCH(D483,cli_code,0))&amp;"","Client inconnu"))</f>
        <v/>
      </c>
      <c r="F483" s="60" t="n"/>
      <c r="G483" s="63" t="n"/>
      <c r="H483" s="61" t="n"/>
      <c r="I483" s="63" t="n"/>
      <c r="J483" s="60" t="n"/>
      <c r="K483" s="61" t="n"/>
      <c r="L483" s="60" t="n"/>
      <c r="M483" s="60" t="n"/>
      <c r="N483" s="60" t="n"/>
      <c r="O483" s="61" t="n"/>
      <c r="P483" s="64" t="str">
        <f>IF(A483="","",IF(AA483="Avoir",AC483,IF(ISNUMBER(K483),K483,AC483+IF(D483="",N(p_delay),IFERROR(IF(ISNUMBER(INDEX(cli_delay,MATCH(D483,cli_code,0))),INDEX(cli_delay,MATCH(D483,cli_code,0)),N(p_delay)),N(p_delay))))))</f>
        <v/>
      </c>
      <c r="Q483" s="65" t="str">
        <f>IF(A483="","",IF(AA483="Avoir",-1,1)*ROUND(AJ483-IF(AR483="",0,INDEX(fa_htb,AR483)),2))</f>
        <v/>
      </c>
      <c r="R483" s="65" t="str">
        <f>IF(A483="","",IF(AA483="Avoir",-1,1)*ROUND(AQ483-IF(AR483="",0,INDEX(fa_tvab,AR483)),2))</f>
        <v/>
      </c>
      <c r="S483" s="65" t="str">
        <f>IF(A483="","",Q483+R483)</f>
        <v/>
      </c>
      <c r="T483" s="65" t="str">
        <f>IF(AR483="","",INDEX(fa_htb,AR483)+INDEX(fa_tvab,AR483))</f>
        <v/>
      </c>
      <c r="U483" s="65" t="str">
        <f>IF(A483="","",SUMIF(pa_inv,A483,pa_amt))</f>
        <v/>
      </c>
      <c r="V483" s="65" t="str">
        <f>IF(OR(A483="",AA483="Avoir"),"",-SUMIFS(fa_ttc,fa_avof,A483,fa_type,"Avoir"))</f>
        <v/>
      </c>
      <c r="W483" s="65" t="str">
        <f>IF(OR(A483="",AA483="Avoir"),"",ROUND(S483-U483-V483,2))</f>
        <v/>
      </c>
      <c r="X483" s="66" t="str">
        <f>IF(W483="","",IF(AND(W483&gt;0,p_asof&gt;P483),p_asof-P483,""))</f>
        <v/>
      </c>
      <c r="Y483" s="59" t="str">
        <f>IF(A483="","",IF(AA483="Avoir","Avoir",IF(W483&lt;0,"Trop-perçu",IF(W483=0,"Soldée",IF(p_asof&gt;P483,"En retard",IF(U483+V483&gt;0,"Partielle","À échoir"))))))</f>
        <v/>
      </c>
      <c r="Z483" s="59" t="str">
        <f>IF(NOT(COUNTA(B483:D483,F483:O483)&gt;0),"",IF(C483="","Date manquante",IF(NOT(ISNUMBER(C483)),"Date invalide",IF(D483="","Client manquant",IF(ISNA(MATCH(D483,cli_code,0)),"Client inconnu",IF(AC483&lt;SUMPRODUCT(MAX(($AB$6:AB482=AB483)*$AC$6:AC482)),"Date antérieure à la facture précédente",IF(AND(F483&lt;&gt;"",ISNA(MATCH(F483,dv_num,0))),"Devis inconnu",IF(AND(F483&lt;&gt;"",IFERROR(INDEX(dv_client,MATCH(F483,dv_num,0)),D483)&lt;&gt;D483),"Client différent de celui du devis",IF(AG483="","Aucune ligne : saisissez des lignes ou un devis",IF(AND(AI483&lt;&gt;"",COUNTIF($AI$6:AI483,AI483)&gt;1),"Devis déjà repris par une autre facture",IF(AND(AA483="Avoir",M483=""),"Avoir : indiquez la facture d'origine",IF(AND(AA483="Avoir",ISNA(MATCH(M483,fa_num,0))),"Facture d'origine inconnue",IF(AND(AA483&lt;&gt;"Avoir",M483&lt;&gt;""),"« Avoir sur facture » : réservé aux avoirs",IF(AND(L483&lt;&gt;"",AA483&lt;&gt;"Facture"),"Acompte à déduire : réservé aux factures",IF(AND(L483&lt;&gt;"",ISNA(MATCH(L483,fa_num,0))),"Facture d'acompte inconnue",IF(AND(L483&lt;&gt;"",IFERROR(INDEX(fa_type,MATCH(L483,fa_num,0)),"")&lt;&gt;"Facture d'acompte"),"Le n° à déduire n'est pas une facture d'acompte",IF(AND(L483&lt;&gt;"",COUNTIF($L$6:L483,L483)&gt;1),"Acompte déjà déduit sur une autre facture",IF(AND(L483&lt;&gt;"",IFERROR(INDEX(fa_client,MATCH(L483,fa_num,0)),D483)&lt;&gt;D483),"Acompte d'un autre client",IF(AND(AR483&lt;&gt;"",N(Q483)&lt;0),"Acompte supérieur au total de la facture",IF(IF(AG483="Facture",COUNTIFS(fl_doc,A483,fl_check,"&lt;&gt;OK"),IF(AG483="Devis",COUNTIFS(dl_doc,F483,dl_check,"&lt;&gt;OK"),0))&gt;0,"Ligne(s) à corriger",IF(AND(W483&lt;&gt;"",N(W483)&lt;0),"Trop-perçu : vérifiez paiements et avoirs","OK")))))))))))))))))))))</f>
        <v/>
      </c>
      <c r="AA483" s="62" t="str">
        <f>IF(COUNTA(B483:D483,F483:O483)&gt;0,IF(B483="","Facture",B483),"")</f>
        <v/>
      </c>
      <c r="AB483" s="62" t="str">
        <f>IF(AA483="","",IF(AA483="Avoir",p_pav,IF(AA483="Facture d'acompte",p_pac,p_pfa)))</f>
        <v/>
      </c>
      <c r="AC483" s="62">
        <f>IF(ISNUMBER(C483),C483,0)</f>
        <v>0.0</v>
      </c>
      <c r="AD483" s="62" t="str">
        <f>IF(OR(AA483="",AC483=0),"",YEAR(AC483))</f>
        <v/>
      </c>
      <c r="AE483" s="62" t="str">
        <f>IF(AD483="","",COUNTIFS($AB$6:AB483,AB483,$AD$6:AD483,AD483))</f>
        <v/>
      </c>
      <c r="AF483" s="62">
        <f>IF(A483="",0,COUNTIF(fl_doc,A483))</f>
        <v>0.0</v>
      </c>
      <c r="AG483" s="62" t="str">
        <f>IF(A483="","",IF(AF483&gt;0,"Facture",IF(AND(F483&lt;&gt;"",AA483="Facture",ISNUMBER(MATCH(F483,dv_num,0))),"Devis","")))</f>
        <v/>
      </c>
      <c r="AH483" s="62" t="str">
        <f>IF(AND(A483&lt;&gt;"",F483&lt;&gt;"",AA483&lt;&gt;"Avoir"),F483,"")</f>
        <v/>
      </c>
      <c r="AI483" s="62" t="str">
        <f>IF(AG483="Devis",F483,"")</f>
        <v/>
      </c>
      <c r="AJ483" s="62">
        <f>IF(AG483="Facture",SUMIF(fl_doc,A483,fl_ht),IF(AG483="Devis",SUMIF(dl_doc,F483,dl_ht),0))</f>
        <v>0.0</v>
      </c>
      <c r="AK483" s="62">
        <f>IF(OR(AG483="",INDEX(p_rates,1)=""),0,IF(AG483="Facture",SUMIFS(fl_ht,fl_doc,A483,fl_rate,INDEX(p_rates,1)),SUMIFS(dl_ht,dl_doc,F483,dl_rate,INDEX(p_rates,1))))</f>
        <v>0.0</v>
      </c>
      <c r="AL483" s="62">
        <f>IF(OR(AG483="",INDEX(p_rates,2)=""),0,IF(AG483="Facture",SUMIFS(fl_ht,fl_doc,A483,fl_rate,INDEX(p_rates,2)),SUMIFS(dl_ht,dl_doc,F483,dl_rate,INDEX(p_rates,2))))</f>
        <v>0.0</v>
      </c>
      <c r="AM483" s="62">
        <f>IF(OR(AG483="",INDEX(p_rates,3)=""),0,IF(AG483="Facture",SUMIFS(fl_ht,fl_doc,A483,fl_rate,INDEX(p_rates,3)),SUMIFS(dl_ht,dl_doc,F483,dl_rate,INDEX(p_rates,3))))</f>
        <v>0.0</v>
      </c>
      <c r="AN483" s="62">
        <f>IF(OR(AG483="",INDEX(p_rates,4)=""),0,IF(AG483="Facture",SUMIFS(fl_ht,fl_doc,A483,fl_rate,INDEX(p_rates,4)),SUMIFS(dl_ht,dl_doc,F483,dl_rate,INDEX(p_rates,4))))</f>
        <v>0.0</v>
      </c>
      <c r="AO483" s="62">
        <f>IF(OR(AG483="",INDEX(p_rates,5)=""),0,IF(AG483="Facture",SUMIFS(fl_ht,fl_doc,A483,fl_rate,INDEX(p_rates,5)),SUMIFS(dl_ht,dl_doc,F483,dl_rate,INDEX(p_rates,5))))</f>
        <v>0.0</v>
      </c>
      <c r="AP483" s="62">
        <f>IF(OR(AG483="",INDEX(p_rates,6)=""),0,IF(AG483="Facture",SUMIFS(fl_ht,fl_doc,A483,fl_rate,INDEX(p_rates,6)),SUMIFS(dl_ht,dl_doc,F483,dl_rate,INDEX(p_rates,6))))</f>
        <v>0.0</v>
      </c>
      <c r="AQ483" s="62">
        <f>ROUND(AK483*N(INDEX(p_rates,1)),2)+ROUND(AL483*N(INDEX(p_rates,2)),2)+ROUND(AM483*N(INDEX(p_rates,3)),2)+ROUND(AN483*N(INDEX(p_rates,4)),2)+ROUND(AO483*N(INDEX(p_rates,5)),2)+ROUND(AP483*N(INDEX(p_rates,6)),2)</f>
        <v>0.0</v>
      </c>
      <c r="AR483" s="62" t="str">
        <f>IF(OR(L483="",AA483&lt;&gt;"Facture"),"",IFERROR(IF(INDEX(fa_type,MATCH(L483,fa_num,0))="Facture d'acompte",MATCH(L483,fa_num,0),""),""))</f>
        <v/>
      </c>
      <c r="AS483" s="62" t="str">
        <f>IF(W483="","",IF(W483&lt;=0,"",IF(p_asof-P483&lt;=0,"Non échu",IF(p_asof-P483&lt;=30,"1-30 j",IF(p_asof-P483&lt;=60,"31-60 j",IF(p_asof-P483&lt;=90,"61-90 j","Plus de 90 j"))))))</f>
        <v/>
      </c>
      <c r="AT483" s="62" t="str">
        <f>IF(AS483="","",p_asof-P483)</f>
        <v/>
      </c>
      <c r="AU483" s="62" t="str">
        <f>IF(AT483="","",COUNTIF($AT$6:$AT$805,"&gt;"&amp;AT483)+COUNTIF($AT$6:AT483,AT483))</f>
        <v/>
      </c>
    </row>
    <row r="484">
      <c r="A484" s="59" t="str">
        <f>IF(AE484="","",AB484&amp;"-"&amp;AD484&amp;"-"&amp;RIGHT("000"&amp;AE484,4))</f>
        <v/>
      </c>
      <c r="B484" s="60" t="n"/>
      <c r="C484" s="61" t="n"/>
      <c r="D484" s="60" t="n"/>
      <c r="E484" s="62" t="str">
        <f>IF(D484="","",IFERROR(INDEX(cli_name,MATCH(D484,cli_code,0))&amp;"","Client inconnu"))</f>
        <v/>
      </c>
      <c r="F484" s="60" t="n"/>
      <c r="G484" s="63" t="n"/>
      <c r="H484" s="61" t="n"/>
      <c r="I484" s="63" t="n"/>
      <c r="J484" s="60" t="n"/>
      <c r="K484" s="61" t="n"/>
      <c r="L484" s="60" t="n"/>
      <c r="M484" s="60" t="n"/>
      <c r="N484" s="60" t="n"/>
      <c r="O484" s="61" t="n"/>
      <c r="P484" s="64" t="str">
        <f>IF(A484="","",IF(AA484="Avoir",AC484,IF(ISNUMBER(K484),K484,AC484+IF(D484="",N(p_delay),IFERROR(IF(ISNUMBER(INDEX(cli_delay,MATCH(D484,cli_code,0))),INDEX(cli_delay,MATCH(D484,cli_code,0)),N(p_delay)),N(p_delay))))))</f>
        <v/>
      </c>
      <c r="Q484" s="65" t="str">
        <f>IF(A484="","",IF(AA484="Avoir",-1,1)*ROUND(AJ484-IF(AR484="",0,INDEX(fa_htb,AR484)),2))</f>
        <v/>
      </c>
      <c r="R484" s="65" t="str">
        <f>IF(A484="","",IF(AA484="Avoir",-1,1)*ROUND(AQ484-IF(AR484="",0,INDEX(fa_tvab,AR484)),2))</f>
        <v/>
      </c>
      <c r="S484" s="65" t="str">
        <f>IF(A484="","",Q484+R484)</f>
        <v/>
      </c>
      <c r="T484" s="65" t="str">
        <f>IF(AR484="","",INDEX(fa_htb,AR484)+INDEX(fa_tvab,AR484))</f>
        <v/>
      </c>
      <c r="U484" s="65" t="str">
        <f>IF(A484="","",SUMIF(pa_inv,A484,pa_amt))</f>
        <v/>
      </c>
      <c r="V484" s="65" t="str">
        <f>IF(OR(A484="",AA484="Avoir"),"",-SUMIFS(fa_ttc,fa_avof,A484,fa_type,"Avoir"))</f>
        <v/>
      </c>
      <c r="W484" s="65" t="str">
        <f>IF(OR(A484="",AA484="Avoir"),"",ROUND(S484-U484-V484,2))</f>
        <v/>
      </c>
      <c r="X484" s="66" t="str">
        <f>IF(W484="","",IF(AND(W484&gt;0,p_asof&gt;P484),p_asof-P484,""))</f>
        <v/>
      </c>
      <c r="Y484" s="59" t="str">
        <f>IF(A484="","",IF(AA484="Avoir","Avoir",IF(W484&lt;0,"Trop-perçu",IF(W484=0,"Soldée",IF(p_asof&gt;P484,"En retard",IF(U484+V484&gt;0,"Partielle","À échoir"))))))</f>
        <v/>
      </c>
      <c r="Z484" s="59" t="str">
        <f>IF(NOT(COUNTA(B484:D484,F484:O484)&gt;0),"",IF(C484="","Date manquante",IF(NOT(ISNUMBER(C484)),"Date invalide",IF(D484="","Client manquant",IF(ISNA(MATCH(D484,cli_code,0)),"Client inconnu",IF(AC484&lt;SUMPRODUCT(MAX(($AB$6:AB483=AB484)*$AC$6:AC483)),"Date antérieure à la facture précédente",IF(AND(F484&lt;&gt;"",ISNA(MATCH(F484,dv_num,0))),"Devis inconnu",IF(AND(F484&lt;&gt;"",IFERROR(INDEX(dv_client,MATCH(F484,dv_num,0)),D484)&lt;&gt;D484),"Client différent de celui du devis",IF(AG484="","Aucune ligne : saisissez des lignes ou un devis",IF(AND(AI484&lt;&gt;"",COUNTIF($AI$6:AI484,AI484)&gt;1),"Devis déjà repris par une autre facture",IF(AND(AA484="Avoir",M484=""),"Avoir : indiquez la facture d'origine",IF(AND(AA484="Avoir",ISNA(MATCH(M484,fa_num,0))),"Facture d'origine inconnue",IF(AND(AA484&lt;&gt;"Avoir",M484&lt;&gt;""),"« Avoir sur facture » : réservé aux avoirs",IF(AND(L484&lt;&gt;"",AA484&lt;&gt;"Facture"),"Acompte à déduire : réservé aux factures",IF(AND(L484&lt;&gt;"",ISNA(MATCH(L484,fa_num,0))),"Facture d'acompte inconnue",IF(AND(L484&lt;&gt;"",IFERROR(INDEX(fa_type,MATCH(L484,fa_num,0)),"")&lt;&gt;"Facture d'acompte"),"Le n° à déduire n'est pas une facture d'acompte",IF(AND(L484&lt;&gt;"",COUNTIF($L$6:L484,L484)&gt;1),"Acompte déjà déduit sur une autre facture",IF(AND(L484&lt;&gt;"",IFERROR(INDEX(fa_client,MATCH(L484,fa_num,0)),D484)&lt;&gt;D484),"Acompte d'un autre client",IF(AND(AR484&lt;&gt;"",N(Q484)&lt;0),"Acompte supérieur au total de la facture",IF(IF(AG484="Facture",COUNTIFS(fl_doc,A484,fl_check,"&lt;&gt;OK"),IF(AG484="Devis",COUNTIFS(dl_doc,F484,dl_check,"&lt;&gt;OK"),0))&gt;0,"Ligne(s) à corriger",IF(AND(W484&lt;&gt;"",N(W484)&lt;0),"Trop-perçu : vérifiez paiements et avoirs","OK")))))))))))))))))))))</f>
        <v/>
      </c>
      <c r="AA484" s="62" t="str">
        <f>IF(COUNTA(B484:D484,F484:O484)&gt;0,IF(B484="","Facture",B484),"")</f>
        <v/>
      </c>
      <c r="AB484" s="62" t="str">
        <f>IF(AA484="","",IF(AA484="Avoir",p_pav,IF(AA484="Facture d'acompte",p_pac,p_pfa)))</f>
        <v/>
      </c>
      <c r="AC484" s="62">
        <f>IF(ISNUMBER(C484),C484,0)</f>
        <v>0.0</v>
      </c>
      <c r="AD484" s="62" t="str">
        <f>IF(OR(AA484="",AC484=0),"",YEAR(AC484))</f>
        <v/>
      </c>
      <c r="AE484" s="62" t="str">
        <f>IF(AD484="","",COUNTIFS($AB$6:AB484,AB484,$AD$6:AD484,AD484))</f>
        <v/>
      </c>
      <c r="AF484" s="62">
        <f>IF(A484="",0,COUNTIF(fl_doc,A484))</f>
        <v>0.0</v>
      </c>
      <c r="AG484" s="62" t="str">
        <f>IF(A484="","",IF(AF484&gt;0,"Facture",IF(AND(F484&lt;&gt;"",AA484="Facture",ISNUMBER(MATCH(F484,dv_num,0))),"Devis","")))</f>
        <v/>
      </c>
      <c r="AH484" s="62" t="str">
        <f>IF(AND(A484&lt;&gt;"",F484&lt;&gt;"",AA484&lt;&gt;"Avoir"),F484,"")</f>
        <v/>
      </c>
      <c r="AI484" s="62" t="str">
        <f>IF(AG484="Devis",F484,"")</f>
        <v/>
      </c>
      <c r="AJ484" s="62">
        <f>IF(AG484="Facture",SUMIF(fl_doc,A484,fl_ht),IF(AG484="Devis",SUMIF(dl_doc,F484,dl_ht),0))</f>
        <v>0.0</v>
      </c>
      <c r="AK484" s="62">
        <f>IF(OR(AG484="",INDEX(p_rates,1)=""),0,IF(AG484="Facture",SUMIFS(fl_ht,fl_doc,A484,fl_rate,INDEX(p_rates,1)),SUMIFS(dl_ht,dl_doc,F484,dl_rate,INDEX(p_rates,1))))</f>
        <v>0.0</v>
      </c>
      <c r="AL484" s="62">
        <f>IF(OR(AG484="",INDEX(p_rates,2)=""),0,IF(AG484="Facture",SUMIFS(fl_ht,fl_doc,A484,fl_rate,INDEX(p_rates,2)),SUMIFS(dl_ht,dl_doc,F484,dl_rate,INDEX(p_rates,2))))</f>
        <v>0.0</v>
      </c>
      <c r="AM484" s="62">
        <f>IF(OR(AG484="",INDEX(p_rates,3)=""),0,IF(AG484="Facture",SUMIFS(fl_ht,fl_doc,A484,fl_rate,INDEX(p_rates,3)),SUMIFS(dl_ht,dl_doc,F484,dl_rate,INDEX(p_rates,3))))</f>
        <v>0.0</v>
      </c>
      <c r="AN484" s="62">
        <f>IF(OR(AG484="",INDEX(p_rates,4)=""),0,IF(AG484="Facture",SUMIFS(fl_ht,fl_doc,A484,fl_rate,INDEX(p_rates,4)),SUMIFS(dl_ht,dl_doc,F484,dl_rate,INDEX(p_rates,4))))</f>
        <v>0.0</v>
      </c>
      <c r="AO484" s="62">
        <f>IF(OR(AG484="",INDEX(p_rates,5)=""),0,IF(AG484="Facture",SUMIFS(fl_ht,fl_doc,A484,fl_rate,INDEX(p_rates,5)),SUMIFS(dl_ht,dl_doc,F484,dl_rate,INDEX(p_rates,5))))</f>
        <v>0.0</v>
      </c>
      <c r="AP484" s="62">
        <f>IF(OR(AG484="",INDEX(p_rates,6)=""),0,IF(AG484="Facture",SUMIFS(fl_ht,fl_doc,A484,fl_rate,INDEX(p_rates,6)),SUMIFS(dl_ht,dl_doc,F484,dl_rate,INDEX(p_rates,6))))</f>
        <v>0.0</v>
      </c>
      <c r="AQ484" s="62">
        <f>ROUND(AK484*N(INDEX(p_rates,1)),2)+ROUND(AL484*N(INDEX(p_rates,2)),2)+ROUND(AM484*N(INDEX(p_rates,3)),2)+ROUND(AN484*N(INDEX(p_rates,4)),2)+ROUND(AO484*N(INDEX(p_rates,5)),2)+ROUND(AP484*N(INDEX(p_rates,6)),2)</f>
        <v>0.0</v>
      </c>
      <c r="AR484" s="62" t="str">
        <f>IF(OR(L484="",AA484&lt;&gt;"Facture"),"",IFERROR(IF(INDEX(fa_type,MATCH(L484,fa_num,0))="Facture d'acompte",MATCH(L484,fa_num,0),""),""))</f>
        <v/>
      </c>
      <c r="AS484" s="62" t="str">
        <f>IF(W484="","",IF(W484&lt;=0,"",IF(p_asof-P484&lt;=0,"Non échu",IF(p_asof-P484&lt;=30,"1-30 j",IF(p_asof-P484&lt;=60,"31-60 j",IF(p_asof-P484&lt;=90,"61-90 j","Plus de 90 j"))))))</f>
        <v/>
      </c>
      <c r="AT484" s="62" t="str">
        <f>IF(AS484="","",p_asof-P484)</f>
        <v/>
      </c>
      <c r="AU484" s="62" t="str">
        <f>IF(AT484="","",COUNTIF($AT$6:$AT$805,"&gt;"&amp;AT484)+COUNTIF($AT$6:AT484,AT484))</f>
        <v/>
      </c>
    </row>
    <row r="485">
      <c r="A485" s="59" t="str">
        <f>IF(AE485="","",AB485&amp;"-"&amp;AD485&amp;"-"&amp;RIGHT("000"&amp;AE485,4))</f>
        <v/>
      </c>
      <c r="B485" s="60" t="n"/>
      <c r="C485" s="61" t="n"/>
      <c r="D485" s="60" t="n"/>
      <c r="E485" s="62" t="str">
        <f>IF(D485="","",IFERROR(INDEX(cli_name,MATCH(D485,cli_code,0))&amp;"","Client inconnu"))</f>
        <v/>
      </c>
      <c r="F485" s="60" t="n"/>
      <c r="G485" s="63" t="n"/>
      <c r="H485" s="61" t="n"/>
      <c r="I485" s="63" t="n"/>
      <c r="J485" s="60" t="n"/>
      <c r="K485" s="61" t="n"/>
      <c r="L485" s="60" t="n"/>
      <c r="M485" s="60" t="n"/>
      <c r="N485" s="60" t="n"/>
      <c r="O485" s="61" t="n"/>
      <c r="P485" s="64" t="str">
        <f>IF(A485="","",IF(AA485="Avoir",AC485,IF(ISNUMBER(K485),K485,AC485+IF(D485="",N(p_delay),IFERROR(IF(ISNUMBER(INDEX(cli_delay,MATCH(D485,cli_code,0))),INDEX(cli_delay,MATCH(D485,cli_code,0)),N(p_delay)),N(p_delay))))))</f>
        <v/>
      </c>
      <c r="Q485" s="65" t="str">
        <f>IF(A485="","",IF(AA485="Avoir",-1,1)*ROUND(AJ485-IF(AR485="",0,INDEX(fa_htb,AR485)),2))</f>
        <v/>
      </c>
      <c r="R485" s="65" t="str">
        <f>IF(A485="","",IF(AA485="Avoir",-1,1)*ROUND(AQ485-IF(AR485="",0,INDEX(fa_tvab,AR485)),2))</f>
        <v/>
      </c>
      <c r="S485" s="65" t="str">
        <f>IF(A485="","",Q485+R485)</f>
        <v/>
      </c>
      <c r="T485" s="65" t="str">
        <f>IF(AR485="","",INDEX(fa_htb,AR485)+INDEX(fa_tvab,AR485))</f>
        <v/>
      </c>
      <c r="U485" s="65" t="str">
        <f>IF(A485="","",SUMIF(pa_inv,A485,pa_amt))</f>
        <v/>
      </c>
      <c r="V485" s="65" t="str">
        <f>IF(OR(A485="",AA485="Avoir"),"",-SUMIFS(fa_ttc,fa_avof,A485,fa_type,"Avoir"))</f>
        <v/>
      </c>
      <c r="W485" s="65" t="str">
        <f>IF(OR(A485="",AA485="Avoir"),"",ROUND(S485-U485-V485,2))</f>
        <v/>
      </c>
      <c r="X485" s="66" t="str">
        <f>IF(W485="","",IF(AND(W485&gt;0,p_asof&gt;P485),p_asof-P485,""))</f>
        <v/>
      </c>
      <c r="Y485" s="59" t="str">
        <f>IF(A485="","",IF(AA485="Avoir","Avoir",IF(W485&lt;0,"Trop-perçu",IF(W485=0,"Soldée",IF(p_asof&gt;P485,"En retard",IF(U485+V485&gt;0,"Partielle","À échoir"))))))</f>
        <v/>
      </c>
      <c r="Z485" s="59" t="str">
        <f>IF(NOT(COUNTA(B485:D485,F485:O485)&gt;0),"",IF(C485="","Date manquante",IF(NOT(ISNUMBER(C485)),"Date invalide",IF(D485="","Client manquant",IF(ISNA(MATCH(D485,cli_code,0)),"Client inconnu",IF(AC485&lt;SUMPRODUCT(MAX(($AB$6:AB484=AB485)*$AC$6:AC484)),"Date antérieure à la facture précédente",IF(AND(F485&lt;&gt;"",ISNA(MATCH(F485,dv_num,0))),"Devis inconnu",IF(AND(F485&lt;&gt;"",IFERROR(INDEX(dv_client,MATCH(F485,dv_num,0)),D485)&lt;&gt;D485),"Client différent de celui du devis",IF(AG485="","Aucune ligne : saisissez des lignes ou un devis",IF(AND(AI485&lt;&gt;"",COUNTIF($AI$6:AI485,AI485)&gt;1),"Devis déjà repris par une autre facture",IF(AND(AA485="Avoir",M485=""),"Avoir : indiquez la facture d'origine",IF(AND(AA485="Avoir",ISNA(MATCH(M485,fa_num,0))),"Facture d'origine inconnue",IF(AND(AA485&lt;&gt;"Avoir",M485&lt;&gt;""),"« Avoir sur facture » : réservé aux avoirs",IF(AND(L485&lt;&gt;"",AA485&lt;&gt;"Facture"),"Acompte à déduire : réservé aux factures",IF(AND(L485&lt;&gt;"",ISNA(MATCH(L485,fa_num,0))),"Facture d'acompte inconnue",IF(AND(L485&lt;&gt;"",IFERROR(INDEX(fa_type,MATCH(L485,fa_num,0)),"")&lt;&gt;"Facture d'acompte"),"Le n° à déduire n'est pas une facture d'acompte",IF(AND(L485&lt;&gt;"",COUNTIF($L$6:L485,L485)&gt;1),"Acompte déjà déduit sur une autre facture",IF(AND(L485&lt;&gt;"",IFERROR(INDEX(fa_client,MATCH(L485,fa_num,0)),D485)&lt;&gt;D485),"Acompte d'un autre client",IF(AND(AR485&lt;&gt;"",N(Q485)&lt;0),"Acompte supérieur au total de la facture",IF(IF(AG485="Facture",COUNTIFS(fl_doc,A485,fl_check,"&lt;&gt;OK"),IF(AG485="Devis",COUNTIFS(dl_doc,F485,dl_check,"&lt;&gt;OK"),0))&gt;0,"Ligne(s) à corriger",IF(AND(W485&lt;&gt;"",N(W485)&lt;0),"Trop-perçu : vérifiez paiements et avoirs","OK")))))))))))))))))))))</f>
        <v/>
      </c>
      <c r="AA485" s="62" t="str">
        <f>IF(COUNTA(B485:D485,F485:O485)&gt;0,IF(B485="","Facture",B485),"")</f>
        <v/>
      </c>
      <c r="AB485" s="62" t="str">
        <f>IF(AA485="","",IF(AA485="Avoir",p_pav,IF(AA485="Facture d'acompte",p_pac,p_pfa)))</f>
        <v/>
      </c>
      <c r="AC485" s="62">
        <f>IF(ISNUMBER(C485),C485,0)</f>
        <v>0.0</v>
      </c>
      <c r="AD485" s="62" t="str">
        <f>IF(OR(AA485="",AC485=0),"",YEAR(AC485))</f>
        <v/>
      </c>
      <c r="AE485" s="62" t="str">
        <f>IF(AD485="","",COUNTIFS($AB$6:AB485,AB485,$AD$6:AD485,AD485))</f>
        <v/>
      </c>
      <c r="AF485" s="62">
        <f>IF(A485="",0,COUNTIF(fl_doc,A485))</f>
        <v>0.0</v>
      </c>
      <c r="AG485" s="62" t="str">
        <f>IF(A485="","",IF(AF485&gt;0,"Facture",IF(AND(F485&lt;&gt;"",AA485="Facture",ISNUMBER(MATCH(F485,dv_num,0))),"Devis","")))</f>
        <v/>
      </c>
      <c r="AH485" s="62" t="str">
        <f>IF(AND(A485&lt;&gt;"",F485&lt;&gt;"",AA485&lt;&gt;"Avoir"),F485,"")</f>
        <v/>
      </c>
      <c r="AI485" s="62" t="str">
        <f>IF(AG485="Devis",F485,"")</f>
        <v/>
      </c>
      <c r="AJ485" s="62">
        <f>IF(AG485="Facture",SUMIF(fl_doc,A485,fl_ht),IF(AG485="Devis",SUMIF(dl_doc,F485,dl_ht),0))</f>
        <v>0.0</v>
      </c>
      <c r="AK485" s="62">
        <f>IF(OR(AG485="",INDEX(p_rates,1)=""),0,IF(AG485="Facture",SUMIFS(fl_ht,fl_doc,A485,fl_rate,INDEX(p_rates,1)),SUMIFS(dl_ht,dl_doc,F485,dl_rate,INDEX(p_rates,1))))</f>
        <v>0.0</v>
      </c>
      <c r="AL485" s="62">
        <f>IF(OR(AG485="",INDEX(p_rates,2)=""),0,IF(AG485="Facture",SUMIFS(fl_ht,fl_doc,A485,fl_rate,INDEX(p_rates,2)),SUMIFS(dl_ht,dl_doc,F485,dl_rate,INDEX(p_rates,2))))</f>
        <v>0.0</v>
      </c>
      <c r="AM485" s="62">
        <f>IF(OR(AG485="",INDEX(p_rates,3)=""),0,IF(AG485="Facture",SUMIFS(fl_ht,fl_doc,A485,fl_rate,INDEX(p_rates,3)),SUMIFS(dl_ht,dl_doc,F485,dl_rate,INDEX(p_rates,3))))</f>
        <v>0.0</v>
      </c>
      <c r="AN485" s="62">
        <f>IF(OR(AG485="",INDEX(p_rates,4)=""),0,IF(AG485="Facture",SUMIFS(fl_ht,fl_doc,A485,fl_rate,INDEX(p_rates,4)),SUMIFS(dl_ht,dl_doc,F485,dl_rate,INDEX(p_rates,4))))</f>
        <v>0.0</v>
      </c>
      <c r="AO485" s="62">
        <f>IF(OR(AG485="",INDEX(p_rates,5)=""),0,IF(AG485="Facture",SUMIFS(fl_ht,fl_doc,A485,fl_rate,INDEX(p_rates,5)),SUMIFS(dl_ht,dl_doc,F485,dl_rate,INDEX(p_rates,5))))</f>
        <v>0.0</v>
      </c>
      <c r="AP485" s="62">
        <f>IF(OR(AG485="",INDEX(p_rates,6)=""),0,IF(AG485="Facture",SUMIFS(fl_ht,fl_doc,A485,fl_rate,INDEX(p_rates,6)),SUMIFS(dl_ht,dl_doc,F485,dl_rate,INDEX(p_rates,6))))</f>
        <v>0.0</v>
      </c>
      <c r="AQ485" s="62">
        <f>ROUND(AK485*N(INDEX(p_rates,1)),2)+ROUND(AL485*N(INDEX(p_rates,2)),2)+ROUND(AM485*N(INDEX(p_rates,3)),2)+ROUND(AN485*N(INDEX(p_rates,4)),2)+ROUND(AO485*N(INDEX(p_rates,5)),2)+ROUND(AP485*N(INDEX(p_rates,6)),2)</f>
        <v>0.0</v>
      </c>
      <c r="AR485" s="62" t="str">
        <f>IF(OR(L485="",AA485&lt;&gt;"Facture"),"",IFERROR(IF(INDEX(fa_type,MATCH(L485,fa_num,0))="Facture d'acompte",MATCH(L485,fa_num,0),""),""))</f>
        <v/>
      </c>
      <c r="AS485" s="62" t="str">
        <f>IF(W485="","",IF(W485&lt;=0,"",IF(p_asof-P485&lt;=0,"Non échu",IF(p_asof-P485&lt;=30,"1-30 j",IF(p_asof-P485&lt;=60,"31-60 j",IF(p_asof-P485&lt;=90,"61-90 j","Plus de 90 j"))))))</f>
        <v/>
      </c>
      <c r="AT485" s="62" t="str">
        <f>IF(AS485="","",p_asof-P485)</f>
        <v/>
      </c>
      <c r="AU485" s="62" t="str">
        <f>IF(AT485="","",COUNTIF($AT$6:$AT$805,"&gt;"&amp;AT485)+COUNTIF($AT$6:AT485,AT485))</f>
        <v/>
      </c>
    </row>
    <row r="486">
      <c r="A486" s="59" t="str">
        <f>IF(AE486="","",AB486&amp;"-"&amp;AD486&amp;"-"&amp;RIGHT("000"&amp;AE486,4))</f>
        <v/>
      </c>
      <c r="B486" s="60" t="n"/>
      <c r="C486" s="61" t="n"/>
      <c r="D486" s="60" t="n"/>
      <c r="E486" s="62" t="str">
        <f>IF(D486="","",IFERROR(INDEX(cli_name,MATCH(D486,cli_code,0))&amp;"","Client inconnu"))</f>
        <v/>
      </c>
      <c r="F486" s="60" t="n"/>
      <c r="G486" s="63" t="n"/>
      <c r="H486" s="61" t="n"/>
      <c r="I486" s="63" t="n"/>
      <c r="J486" s="60" t="n"/>
      <c r="K486" s="61" t="n"/>
      <c r="L486" s="60" t="n"/>
      <c r="M486" s="60" t="n"/>
      <c r="N486" s="60" t="n"/>
      <c r="O486" s="61" t="n"/>
      <c r="P486" s="64" t="str">
        <f>IF(A486="","",IF(AA486="Avoir",AC486,IF(ISNUMBER(K486),K486,AC486+IF(D486="",N(p_delay),IFERROR(IF(ISNUMBER(INDEX(cli_delay,MATCH(D486,cli_code,0))),INDEX(cli_delay,MATCH(D486,cli_code,0)),N(p_delay)),N(p_delay))))))</f>
        <v/>
      </c>
      <c r="Q486" s="65" t="str">
        <f>IF(A486="","",IF(AA486="Avoir",-1,1)*ROUND(AJ486-IF(AR486="",0,INDEX(fa_htb,AR486)),2))</f>
        <v/>
      </c>
      <c r="R486" s="65" t="str">
        <f>IF(A486="","",IF(AA486="Avoir",-1,1)*ROUND(AQ486-IF(AR486="",0,INDEX(fa_tvab,AR486)),2))</f>
        <v/>
      </c>
      <c r="S486" s="65" t="str">
        <f>IF(A486="","",Q486+R486)</f>
        <v/>
      </c>
      <c r="T486" s="65" t="str">
        <f>IF(AR486="","",INDEX(fa_htb,AR486)+INDEX(fa_tvab,AR486))</f>
        <v/>
      </c>
      <c r="U486" s="65" t="str">
        <f>IF(A486="","",SUMIF(pa_inv,A486,pa_amt))</f>
        <v/>
      </c>
      <c r="V486" s="65" t="str">
        <f>IF(OR(A486="",AA486="Avoir"),"",-SUMIFS(fa_ttc,fa_avof,A486,fa_type,"Avoir"))</f>
        <v/>
      </c>
      <c r="W486" s="65" t="str">
        <f>IF(OR(A486="",AA486="Avoir"),"",ROUND(S486-U486-V486,2))</f>
        <v/>
      </c>
      <c r="X486" s="66" t="str">
        <f>IF(W486="","",IF(AND(W486&gt;0,p_asof&gt;P486),p_asof-P486,""))</f>
        <v/>
      </c>
      <c r="Y486" s="59" t="str">
        <f>IF(A486="","",IF(AA486="Avoir","Avoir",IF(W486&lt;0,"Trop-perçu",IF(W486=0,"Soldée",IF(p_asof&gt;P486,"En retard",IF(U486+V486&gt;0,"Partielle","À échoir"))))))</f>
        <v/>
      </c>
      <c r="Z486" s="59" t="str">
        <f>IF(NOT(COUNTA(B486:D486,F486:O486)&gt;0),"",IF(C486="","Date manquante",IF(NOT(ISNUMBER(C486)),"Date invalide",IF(D486="","Client manquant",IF(ISNA(MATCH(D486,cli_code,0)),"Client inconnu",IF(AC486&lt;SUMPRODUCT(MAX(($AB$6:AB485=AB486)*$AC$6:AC485)),"Date antérieure à la facture précédente",IF(AND(F486&lt;&gt;"",ISNA(MATCH(F486,dv_num,0))),"Devis inconnu",IF(AND(F486&lt;&gt;"",IFERROR(INDEX(dv_client,MATCH(F486,dv_num,0)),D486)&lt;&gt;D486),"Client différent de celui du devis",IF(AG486="","Aucune ligne : saisissez des lignes ou un devis",IF(AND(AI486&lt;&gt;"",COUNTIF($AI$6:AI486,AI486)&gt;1),"Devis déjà repris par une autre facture",IF(AND(AA486="Avoir",M486=""),"Avoir : indiquez la facture d'origine",IF(AND(AA486="Avoir",ISNA(MATCH(M486,fa_num,0))),"Facture d'origine inconnue",IF(AND(AA486&lt;&gt;"Avoir",M486&lt;&gt;""),"« Avoir sur facture » : réservé aux avoirs",IF(AND(L486&lt;&gt;"",AA486&lt;&gt;"Facture"),"Acompte à déduire : réservé aux factures",IF(AND(L486&lt;&gt;"",ISNA(MATCH(L486,fa_num,0))),"Facture d'acompte inconnue",IF(AND(L486&lt;&gt;"",IFERROR(INDEX(fa_type,MATCH(L486,fa_num,0)),"")&lt;&gt;"Facture d'acompte"),"Le n° à déduire n'est pas une facture d'acompte",IF(AND(L486&lt;&gt;"",COUNTIF($L$6:L486,L486)&gt;1),"Acompte déjà déduit sur une autre facture",IF(AND(L486&lt;&gt;"",IFERROR(INDEX(fa_client,MATCH(L486,fa_num,0)),D486)&lt;&gt;D486),"Acompte d'un autre client",IF(AND(AR486&lt;&gt;"",N(Q486)&lt;0),"Acompte supérieur au total de la facture",IF(IF(AG486="Facture",COUNTIFS(fl_doc,A486,fl_check,"&lt;&gt;OK"),IF(AG486="Devis",COUNTIFS(dl_doc,F486,dl_check,"&lt;&gt;OK"),0))&gt;0,"Ligne(s) à corriger",IF(AND(W486&lt;&gt;"",N(W486)&lt;0),"Trop-perçu : vérifiez paiements et avoirs","OK")))))))))))))))))))))</f>
        <v/>
      </c>
      <c r="AA486" s="62" t="str">
        <f>IF(COUNTA(B486:D486,F486:O486)&gt;0,IF(B486="","Facture",B486),"")</f>
        <v/>
      </c>
      <c r="AB486" s="62" t="str">
        <f>IF(AA486="","",IF(AA486="Avoir",p_pav,IF(AA486="Facture d'acompte",p_pac,p_pfa)))</f>
        <v/>
      </c>
      <c r="AC486" s="62">
        <f>IF(ISNUMBER(C486),C486,0)</f>
        <v>0.0</v>
      </c>
      <c r="AD486" s="62" t="str">
        <f>IF(OR(AA486="",AC486=0),"",YEAR(AC486))</f>
        <v/>
      </c>
      <c r="AE486" s="62" t="str">
        <f>IF(AD486="","",COUNTIFS($AB$6:AB486,AB486,$AD$6:AD486,AD486))</f>
        <v/>
      </c>
      <c r="AF486" s="62">
        <f>IF(A486="",0,COUNTIF(fl_doc,A486))</f>
        <v>0.0</v>
      </c>
      <c r="AG486" s="62" t="str">
        <f>IF(A486="","",IF(AF486&gt;0,"Facture",IF(AND(F486&lt;&gt;"",AA486="Facture",ISNUMBER(MATCH(F486,dv_num,0))),"Devis","")))</f>
        <v/>
      </c>
      <c r="AH486" s="62" t="str">
        <f>IF(AND(A486&lt;&gt;"",F486&lt;&gt;"",AA486&lt;&gt;"Avoir"),F486,"")</f>
        <v/>
      </c>
      <c r="AI486" s="62" t="str">
        <f>IF(AG486="Devis",F486,"")</f>
        <v/>
      </c>
      <c r="AJ486" s="62">
        <f>IF(AG486="Facture",SUMIF(fl_doc,A486,fl_ht),IF(AG486="Devis",SUMIF(dl_doc,F486,dl_ht),0))</f>
        <v>0.0</v>
      </c>
      <c r="AK486" s="62">
        <f>IF(OR(AG486="",INDEX(p_rates,1)=""),0,IF(AG486="Facture",SUMIFS(fl_ht,fl_doc,A486,fl_rate,INDEX(p_rates,1)),SUMIFS(dl_ht,dl_doc,F486,dl_rate,INDEX(p_rates,1))))</f>
        <v>0.0</v>
      </c>
      <c r="AL486" s="62">
        <f>IF(OR(AG486="",INDEX(p_rates,2)=""),0,IF(AG486="Facture",SUMIFS(fl_ht,fl_doc,A486,fl_rate,INDEX(p_rates,2)),SUMIFS(dl_ht,dl_doc,F486,dl_rate,INDEX(p_rates,2))))</f>
        <v>0.0</v>
      </c>
      <c r="AM486" s="62">
        <f>IF(OR(AG486="",INDEX(p_rates,3)=""),0,IF(AG486="Facture",SUMIFS(fl_ht,fl_doc,A486,fl_rate,INDEX(p_rates,3)),SUMIFS(dl_ht,dl_doc,F486,dl_rate,INDEX(p_rates,3))))</f>
        <v>0.0</v>
      </c>
      <c r="AN486" s="62">
        <f>IF(OR(AG486="",INDEX(p_rates,4)=""),0,IF(AG486="Facture",SUMIFS(fl_ht,fl_doc,A486,fl_rate,INDEX(p_rates,4)),SUMIFS(dl_ht,dl_doc,F486,dl_rate,INDEX(p_rates,4))))</f>
        <v>0.0</v>
      </c>
      <c r="AO486" s="62">
        <f>IF(OR(AG486="",INDEX(p_rates,5)=""),0,IF(AG486="Facture",SUMIFS(fl_ht,fl_doc,A486,fl_rate,INDEX(p_rates,5)),SUMIFS(dl_ht,dl_doc,F486,dl_rate,INDEX(p_rates,5))))</f>
        <v>0.0</v>
      </c>
      <c r="AP486" s="62">
        <f>IF(OR(AG486="",INDEX(p_rates,6)=""),0,IF(AG486="Facture",SUMIFS(fl_ht,fl_doc,A486,fl_rate,INDEX(p_rates,6)),SUMIFS(dl_ht,dl_doc,F486,dl_rate,INDEX(p_rates,6))))</f>
        <v>0.0</v>
      </c>
      <c r="AQ486" s="62">
        <f>ROUND(AK486*N(INDEX(p_rates,1)),2)+ROUND(AL486*N(INDEX(p_rates,2)),2)+ROUND(AM486*N(INDEX(p_rates,3)),2)+ROUND(AN486*N(INDEX(p_rates,4)),2)+ROUND(AO486*N(INDEX(p_rates,5)),2)+ROUND(AP486*N(INDEX(p_rates,6)),2)</f>
        <v>0.0</v>
      </c>
      <c r="AR486" s="62" t="str">
        <f>IF(OR(L486="",AA486&lt;&gt;"Facture"),"",IFERROR(IF(INDEX(fa_type,MATCH(L486,fa_num,0))="Facture d'acompte",MATCH(L486,fa_num,0),""),""))</f>
        <v/>
      </c>
      <c r="AS486" s="62" t="str">
        <f>IF(W486="","",IF(W486&lt;=0,"",IF(p_asof-P486&lt;=0,"Non échu",IF(p_asof-P486&lt;=30,"1-30 j",IF(p_asof-P486&lt;=60,"31-60 j",IF(p_asof-P486&lt;=90,"61-90 j","Plus de 90 j"))))))</f>
        <v/>
      </c>
      <c r="AT486" s="62" t="str">
        <f>IF(AS486="","",p_asof-P486)</f>
        <v/>
      </c>
      <c r="AU486" s="62" t="str">
        <f>IF(AT486="","",COUNTIF($AT$6:$AT$805,"&gt;"&amp;AT486)+COUNTIF($AT$6:AT486,AT486))</f>
        <v/>
      </c>
    </row>
    <row r="487">
      <c r="A487" s="59" t="str">
        <f>IF(AE487="","",AB487&amp;"-"&amp;AD487&amp;"-"&amp;RIGHT("000"&amp;AE487,4))</f>
        <v/>
      </c>
      <c r="B487" s="60" t="n"/>
      <c r="C487" s="61" t="n"/>
      <c r="D487" s="60" t="n"/>
      <c r="E487" s="62" t="str">
        <f>IF(D487="","",IFERROR(INDEX(cli_name,MATCH(D487,cli_code,0))&amp;"","Client inconnu"))</f>
        <v/>
      </c>
      <c r="F487" s="60" t="n"/>
      <c r="G487" s="63" t="n"/>
      <c r="H487" s="61" t="n"/>
      <c r="I487" s="63" t="n"/>
      <c r="J487" s="60" t="n"/>
      <c r="K487" s="61" t="n"/>
      <c r="L487" s="60" t="n"/>
      <c r="M487" s="60" t="n"/>
      <c r="N487" s="60" t="n"/>
      <c r="O487" s="61" t="n"/>
      <c r="P487" s="64" t="str">
        <f>IF(A487="","",IF(AA487="Avoir",AC487,IF(ISNUMBER(K487),K487,AC487+IF(D487="",N(p_delay),IFERROR(IF(ISNUMBER(INDEX(cli_delay,MATCH(D487,cli_code,0))),INDEX(cli_delay,MATCH(D487,cli_code,0)),N(p_delay)),N(p_delay))))))</f>
        <v/>
      </c>
      <c r="Q487" s="65" t="str">
        <f>IF(A487="","",IF(AA487="Avoir",-1,1)*ROUND(AJ487-IF(AR487="",0,INDEX(fa_htb,AR487)),2))</f>
        <v/>
      </c>
      <c r="R487" s="65" t="str">
        <f>IF(A487="","",IF(AA487="Avoir",-1,1)*ROUND(AQ487-IF(AR487="",0,INDEX(fa_tvab,AR487)),2))</f>
        <v/>
      </c>
      <c r="S487" s="65" t="str">
        <f>IF(A487="","",Q487+R487)</f>
        <v/>
      </c>
      <c r="T487" s="65" t="str">
        <f>IF(AR487="","",INDEX(fa_htb,AR487)+INDEX(fa_tvab,AR487))</f>
        <v/>
      </c>
      <c r="U487" s="65" t="str">
        <f>IF(A487="","",SUMIF(pa_inv,A487,pa_amt))</f>
        <v/>
      </c>
      <c r="V487" s="65" t="str">
        <f>IF(OR(A487="",AA487="Avoir"),"",-SUMIFS(fa_ttc,fa_avof,A487,fa_type,"Avoir"))</f>
        <v/>
      </c>
      <c r="W487" s="65" t="str">
        <f>IF(OR(A487="",AA487="Avoir"),"",ROUND(S487-U487-V487,2))</f>
        <v/>
      </c>
      <c r="X487" s="66" t="str">
        <f>IF(W487="","",IF(AND(W487&gt;0,p_asof&gt;P487),p_asof-P487,""))</f>
        <v/>
      </c>
      <c r="Y487" s="59" t="str">
        <f>IF(A487="","",IF(AA487="Avoir","Avoir",IF(W487&lt;0,"Trop-perçu",IF(W487=0,"Soldée",IF(p_asof&gt;P487,"En retard",IF(U487+V487&gt;0,"Partielle","À échoir"))))))</f>
        <v/>
      </c>
      <c r="Z487" s="59" t="str">
        <f>IF(NOT(COUNTA(B487:D487,F487:O487)&gt;0),"",IF(C487="","Date manquante",IF(NOT(ISNUMBER(C487)),"Date invalide",IF(D487="","Client manquant",IF(ISNA(MATCH(D487,cli_code,0)),"Client inconnu",IF(AC487&lt;SUMPRODUCT(MAX(($AB$6:AB486=AB487)*$AC$6:AC486)),"Date antérieure à la facture précédente",IF(AND(F487&lt;&gt;"",ISNA(MATCH(F487,dv_num,0))),"Devis inconnu",IF(AND(F487&lt;&gt;"",IFERROR(INDEX(dv_client,MATCH(F487,dv_num,0)),D487)&lt;&gt;D487),"Client différent de celui du devis",IF(AG487="","Aucune ligne : saisissez des lignes ou un devis",IF(AND(AI487&lt;&gt;"",COUNTIF($AI$6:AI487,AI487)&gt;1),"Devis déjà repris par une autre facture",IF(AND(AA487="Avoir",M487=""),"Avoir : indiquez la facture d'origine",IF(AND(AA487="Avoir",ISNA(MATCH(M487,fa_num,0))),"Facture d'origine inconnue",IF(AND(AA487&lt;&gt;"Avoir",M487&lt;&gt;""),"« Avoir sur facture » : réservé aux avoirs",IF(AND(L487&lt;&gt;"",AA487&lt;&gt;"Facture"),"Acompte à déduire : réservé aux factures",IF(AND(L487&lt;&gt;"",ISNA(MATCH(L487,fa_num,0))),"Facture d'acompte inconnue",IF(AND(L487&lt;&gt;"",IFERROR(INDEX(fa_type,MATCH(L487,fa_num,0)),"")&lt;&gt;"Facture d'acompte"),"Le n° à déduire n'est pas une facture d'acompte",IF(AND(L487&lt;&gt;"",COUNTIF($L$6:L487,L487)&gt;1),"Acompte déjà déduit sur une autre facture",IF(AND(L487&lt;&gt;"",IFERROR(INDEX(fa_client,MATCH(L487,fa_num,0)),D487)&lt;&gt;D487),"Acompte d'un autre client",IF(AND(AR487&lt;&gt;"",N(Q487)&lt;0),"Acompte supérieur au total de la facture",IF(IF(AG487="Facture",COUNTIFS(fl_doc,A487,fl_check,"&lt;&gt;OK"),IF(AG487="Devis",COUNTIFS(dl_doc,F487,dl_check,"&lt;&gt;OK"),0))&gt;0,"Ligne(s) à corriger",IF(AND(W487&lt;&gt;"",N(W487)&lt;0),"Trop-perçu : vérifiez paiements et avoirs","OK")))))))))))))))))))))</f>
        <v/>
      </c>
      <c r="AA487" s="62" t="str">
        <f>IF(COUNTA(B487:D487,F487:O487)&gt;0,IF(B487="","Facture",B487),"")</f>
        <v/>
      </c>
      <c r="AB487" s="62" t="str">
        <f>IF(AA487="","",IF(AA487="Avoir",p_pav,IF(AA487="Facture d'acompte",p_pac,p_pfa)))</f>
        <v/>
      </c>
      <c r="AC487" s="62">
        <f>IF(ISNUMBER(C487),C487,0)</f>
        <v>0.0</v>
      </c>
      <c r="AD487" s="62" t="str">
        <f>IF(OR(AA487="",AC487=0),"",YEAR(AC487))</f>
        <v/>
      </c>
      <c r="AE487" s="62" t="str">
        <f>IF(AD487="","",COUNTIFS($AB$6:AB487,AB487,$AD$6:AD487,AD487))</f>
        <v/>
      </c>
      <c r="AF487" s="62">
        <f>IF(A487="",0,COUNTIF(fl_doc,A487))</f>
        <v>0.0</v>
      </c>
      <c r="AG487" s="62" t="str">
        <f>IF(A487="","",IF(AF487&gt;0,"Facture",IF(AND(F487&lt;&gt;"",AA487="Facture",ISNUMBER(MATCH(F487,dv_num,0))),"Devis","")))</f>
        <v/>
      </c>
      <c r="AH487" s="62" t="str">
        <f>IF(AND(A487&lt;&gt;"",F487&lt;&gt;"",AA487&lt;&gt;"Avoir"),F487,"")</f>
        <v/>
      </c>
      <c r="AI487" s="62" t="str">
        <f>IF(AG487="Devis",F487,"")</f>
        <v/>
      </c>
      <c r="AJ487" s="62">
        <f>IF(AG487="Facture",SUMIF(fl_doc,A487,fl_ht),IF(AG487="Devis",SUMIF(dl_doc,F487,dl_ht),0))</f>
        <v>0.0</v>
      </c>
      <c r="AK487" s="62">
        <f>IF(OR(AG487="",INDEX(p_rates,1)=""),0,IF(AG487="Facture",SUMIFS(fl_ht,fl_doc,A487,fl_rate,INDEX(p_rates,1)),SUMIFS(dl_ht,dl_doc,F487,dl_rate,INDEX(p_rates,1))))</f>
        <v>0.0</v>
      </c>
      <c r="AL487" s="62">
        <f>IF(OR(AG487="",INDEX(p_rates,2)=""),0,IF(AG487="Facture",SUMIFS(fl_ht,fl_doc,A487,fl_rate,INDEX(p_rates,2)),SUMIFS(dl_ht,dl_doc,F487,dl_rate,INDEX(p_rates,2))))</f>
        <v>0.0</v>
      </c>
      <c r="AM487" s="62">
        <f>IF(OR(AG487="",INDEX(p_rates,3)=""),0,IF(AG487="Facture",SUMIFS(fl_ht,fl_doc,A487,fl_rate,INDEX(p_rates,3)),SUMIFS(dl_ht,dl_doc,F487,dl_rate,INDEX(p_rates,3))))</f>
        <v>0.0</v>
      </c>
      <c r="AN487" s="62">
        <f>IF(OR(AG487="",INDEX(p_rates,4)=""),0,IF(AG487="Facture",SUMIFS(fl_ht,fl_doc,A487,fl_rate,INDEX(p_rates,4)),SUMIFS(dl_ht,dl_doc,F487,dl_rate,INDEX(p_rates,4))))</f>
        <v>0.0</v>
      </c>
      <c r="AO487" s="62">
        <f>IF(OR(AG487="",INDEX(p_rates,5)=""),0,IF(AG487="Facture",SUMIFS(fl_ht,fl_doc,A487,fl_rate,INDEX(p_rates,5)),SUMIFS(dl_ht,dl_doc,F487,dl_rate,INDEX(p_rates,5))))</f>
        <v>0.0</v>
      </c>
      <c r="AP487" s="62">
        <f>IF(OR(AG487="",INDEX(p_rates,6)=""),0,IF(AG487="Facture",SUMIFS(fl_ht,fl_doc,A487,fl_rate,INDEX(p_rates,6)),SUMIFS(dl_ht,dl_doc,F487,dl_rate,INDEX(p_rates,6))))</f>
        <v>0.0</v>
      </c>
      <c r="AQ487" s="62">
        <f>ROUND(AK487*N(INDEX(p_rates,1)),2)+ROUND(AL487*N(INDEX(p_rates,2)),2)+ROUND(AM487*N(INDEX(p_rates,3)),2)+ROUND(AN487*N(INDEX(p_rates,4)),2)+ROUND(AO487*N(INDEX(p_rates,5)),2)+ROUND(AP487*N(INDEX(p_rates,6)),2)</f>
        <v>0.0</v>
      </c>
      <c r="AR487" s="62" t="str">
        <f>IF(OR(L487="",AA487&lt;&gt;"Facture"),"",IFERROR(IF(INDEX(fa_type,MATCH(L487,fa_num,0))="Facture d'acompte",MATCH(L487,fa_num,0),""),""))</f>
        <v/>
      </c>
      <c r="AS487" s="62" t="str">
        <f>IF(W487="","",IF(W487&lt;=0,"",IF(p_asof-P487&lt;=0,"Non échu",IF(p_asof-P487&lt;=30,"1-30 j",IF(p_asof-P487&lt;=60,"31-60 j",IF(p_asof-P487&lt;=90,"61-90 j","Plus de 90 j"))))))</f>
        <v/>
      </c>
      <c r="AT487" s="62" t="str">
        <f>IF(AS487="","",p_asof-P487)</f>
        <v/>
      </c>
      <c r="AU487" s="62" t="str">
        <f>IF(AT487="","",COUNTIF($AT$6:$AT$805,"&gt;"&amp;AT487)+COUNTIF($AT$6:AT487,AT487))</f>
        <v/>
      </c>
    </row>
    <row r="488">
      <c r="A488" s="59" t="str">
        <f>IF(AE488="","",AB488&amp;"-"&amp;AD488&amp;"-"&amp;RIGHT("000"&amp;AE488,4))</f>
        <v/>
      </c>
      <c r="B488" s="60" t="n"/>
      <c r="C488" s="61" t="n"/>
      <c r="D488" s="60" t="n"/>
      <c r="E488" s="62" t="str">
        <f>IF(D488="","",IFERROR(INDEX(cli_name,MATCH(D488,cli_code,0))&amp;"","Client inconnu"))</f>
        <v/>
      </c>
      <c r="F488" s="60" t="n"/>
      <c r="G488" s="63" t="n"/>
      <c r="H488" s="61" t="n"/>
      <c r="I488" s="63" t="n"/>
      <c r="J488" s="60" t="n"/>
      <c r="K488" s="61" t="n"/>
      <c r="L488" s="60" t="n"/>
      <c r="M488" s="60" t="n"/>
      <c r="N488" s="60" t="n"/>
      <c r="O488" s="61" t="n"/>
      <c r="P488" s="64" t="str">
        <f>IF(A488="","",IF(AA488="Avoir",AC488,IF(ISNUMBER(K488),K488,AC488+IF(D488="",N(p_delay),IFERROR(IF(ISNUMBER(INDEX(cli_delay,MATCH(D488,cli_code,0))),INDEX(cli_delay,MATCH(D488,cli_code,0)),N(p_delay)),N(p_delay))))))</f>
        <v/>
      </c>
      <c r="Q488" s="65" t="str">
        <f>IF(A488="","",IF(AA488="Avoir",-1,1)*ROUND(AJ488-IF(AR488="",0,INDEX(fa_htb,AR488)),2))</f>
        <v/>
      </c>
      <c r="R488" s="65" t="str">
        <f>IF(A488="","",IF(AA488="Avoir",-1,1)*ROUND(AQ488-IF(AR488="",0,INDEX(fa_tvab,AR488)),2))</f>
        <v/>
      </c>
      <c r="S488" s="65" t="str">
        <f>IF(A488="","",Q488+R488)</f>
        <v/>
      </c>
      <c r="T488" s="65" t="str">
        <f>IF(AR488="","",INDEX(fa_htb,AR488)+INDEX(fa_tvab,AR488))</f>
        <v/>
      </c>
      <c r="U488" s="65" t="str">
        <f>IF(A488="","",SUMIF(pa_inv,A488,pa_amt))</f>
        <v/>
      </c>
      <c r="V488" s="65" t="str">
        <f>IF(OR(A488="",AA488="Avoir"),"",-SUMIFS(fa_ttc,fa_avof,A488,fa_type,"Avoir"))</f>
        <v/>
      </c>
      <c r="W488" s="65" t="str">
        <f>IF(OR(A488="",AA488="Avoir"),"",ROUND(S488-U488-V488,2))</f>
        <v/>
      </c>
      <c r="X488" s="66" t="str">
        <f>IF(W488="","",IF(AND(W488&gt;0,p_asof&gt;P488),p_asof-P488,""))</f>
        <v/>
      </c>
      <c r="Y488" s="59" t="str">
        <f>IF(A488="","",IF(AA488="Avoir","Avoir",IF(W488&lt;0,"Trop-perçu",IF(W488=0,"Soldée",IF(p_asof&gt;P488,"En retard",IF(U488+V488&gt;0,"Partielle","À échoir"))))))</f>
        <v/>
      </c>
      <c r="Z488" s="59" t="str">
        <f>IF(NOT(COUNTA(B488:D488,F488:O488)&gt;0),"",IF(C488="","Date manquante",IF(NOT(ISNUMBER(C488)),"Date invalide",IF(D488="","Client manquant",IF(ISNA(MATCH(D488,cli_code,0)),"Client inconnu",IF(AC488&lt;SUMPRODUCT(MAX(($AB$6:AB487=AB488)*$AC$6:AC487)),"Date antérieure à la facture précédente",IF(AND(F488&lt;&gt;"",ISNA(MATCH(F488,dv_num,0))),"Devis inconnu",IF(AND(F488&lt;&gt;"",IFERROR(INDEX(dv_client,MATCH(F488,dv_num,0)),D488)&lt;&gt;D488),"Client différent de celui du devis",IF(AG488="","Aucune ligne : saisissez des lignes ou un devis",IF(AND(AI488&lt;&gt;"",COUNTIF($AI$6:AI488,AI488)&gt;1),"Devis déjà repris par une autre facture",IF(AND(AA488="Avoir",M488=""),"Avoir : indiquez la facture d'origine",IF(AND(AA488="Avoir",ISNA(MATCH(M488,fa_num,0))),"Facture d'origine inconnue",IF(AND(AA488&lt;&gt;"Avoir",M488&lt;&gt;""),"« Avoir sur facture » : réservé aux avoirs",IF(AND(L488&lt;&gt;"",AA488&lt;&gt;"Facture"),"Acompte à déduire : réservé aux factures",IF(AND(L488&lt;&gt;"",ISNA(MATCH(L488,fa_num,0))),"Facture d'acompte inconnue",IF(AND(L488&lt;&gt;"",IFERROR(INDEX(fa_type,MATCH(L488,fa_num,0)),"")&lt;&gt;"Facture d'acompte"),"Le n° à déduire n'est pas une facture d'acompte",IF(AND(L488&lt;&gt;"",COUNTIF($L$6:L488,L488)&gt;1),"Acompte déjà déduit sur une autre facture",IF(AND(L488&lt;&gt;"",IFERROR(INDEX(fa_client,MATCH(L488,fa_num,0)),D488)&lt;&gt;D488),"Acompte d'un autre client",IF(AND(AR488&lt;&gt;"",N(Q488)&lt;0),"Acompte supérieur au total de la facture",IF(IF(AG488="Facture",COUNTIFS(fl_doc,A488,fl_check,"&lt;&gt;OK"),IF(AG488="Devis",COUNTIFS(dl_doc,F488,dl_check,"&lt;&gt;OK"),0))&gt;0,"Ligne(s) à corriger",IF(AND(W488&lt;&gt;"",N(W488)&lt;0),"Trop-perçu : vérifiez paiements et avoirs","OK")))))))))))))))))))))</f>
        <v/>
      </c>
      <c r="AA488" s="62" t="str">
        <f>IF(COUNTA(B488:D488,F488:O488)&gt;0,IF(B488="","Facture",B488),"")</f>
        <v/>
      </c>
      <c r="AB488" s="62" t="str">
        <f>IF(AA488="","",IF(AA488="Avoir",p_pav,IF(AA488="Facture d'acompte",p_pac,p_pfa)))</f>
        <v/>
      </c>
      <c r="AC488" s="62">
        <f>IF(ISNUMBER(C488),C488,0)</f>
        <v>0.0</v>
      </c>
      <c r="AD488" s="62" t="str">
        <f>IF(OR(AA488="",AC488=0),"",YEAR(AC488))</f>
        <v/>
      </c>
      <c r="AE488" s="62" t="str">
        <f>IF(AD488="","",COUNTIFS($AB$6:AB488,AB488,$AD$6:AD488,AD488))</f>
        <v/>
      </c>
      <c r="AF488" s="62">
        <f>IF(A488="",0,COUNTIF(fl_doc,A488))</f>
        <v>0.0</v>
      </c>
      <c r="AG488" s="62" t="str">
        <f>IF(A488="","",IF(AF488&gt;0,"Facture",IF(AND(F488&lt;&gt;"",AA488="Facture",ISNUMBER(MATCH(F488,dv_num,0))),"Devis","")))</f>
        <v/>
      </c>
      <c r="AH488" s="62" t="str">
        <f>IF(AND(A488&lt;&gt;"",F488&lt;&gt;"",AA488&lt;&gt;"Avoir"),F488,"")</f>
        <v/>
      </c>
      <c r="AI488" s="62" t="str">
        <f>IF(AG488="Devis",F488,"")</f>
        <v/>
      </c>
      <c r="AJ488" s="62">
        <f>IF(AG488="Facture",SUMIF(fl_doc,A488,fl_ht),IF(AG488="Devis",SUMIF(dl_doc,F488,dl_ht),0))</f>
        <v>0.0</v>
      </c>
      <c r="AK488" s="62">
        <f>IF(OR(AG488="",INDEX(p_rates,1)=""),0,IF(AG488="Facture",SUMIFS(fl_ht,fl_doc,A488,fl_rate,INDEX(p_rates,1)),SUMIFS(dl_ht,dl_doc,F488,dl_rate,INDEX(p_rates,1))))</f>
        <v>0.0</v>
      </c>
      <c r="AL488" s="62">
        <f>IF(OR(AG488="",INDEX(p_rates,2)=""),0,IF(AG488="Facture",SUMIFS(fl_ht,fl_doc,A488,fl_rate,INDEX(p_rates,2)),SUMIFS(dl_ht,dl_doc,F488,dl_rate,INDEX(p_rates,2))))</f>
        <v>0.0</v>
      </c>
      <c r="AM488" s="62">
        <f>IF(OR(AG488="",INDEX(p_rates,3)=""),0,IF(AG488="Facture",SUMIFS(fl_ht,fl_doc,A488,fl_rate,INDEX(p_rates,3)),SUMIFS(dl_ht,dl_doc,F488,dl_rate,INDEX(p_rates,3))))</f>
        <v>0.0</v>
      </c>
      <c r="AN488" s="62">
        <f>IF(OR(AG488="",INDEX(p_rates,4)=""),0,IF(AG488="Facture",SUMIFS(fl_ht,fl_doc,A488,fl_rate,INDEX(p_rates,4)),SUMIFS(dl_ht,dl_doc,F488,dl_rate,INDEX(p_rates,4))))</f>
        <v>0.0</v>
      </c>
      <c r="AO488" s="62">
        <f>IF(OR(AG488="",INDEX(p_rates,5)=""),0,IF(AG488="Facture",SUMIFS(fl_ht,fl_doc,A488,fl_rate,INDEX(p_rates,5)),SUMIFS(dl_ht,dl_doc,F488,dl_rate,INDEX(p_rates,5))))</f>
        <v>0.0</v>
      </c>
      <c r="AP488" s="62">
        <f>IF(OR(AG488="",INDEX(p_rates,6)=""),0,IF(AG488="Facture",SUMIFS(fl_ht,fl_doc,A488,fl_rate,INDEX(p_rates,6)),SUMIFS(dl_ht,dl_doc,F488,dl_rate,INDEX(p_rates,6))))</f>
        <v>0.0</v>
      </c>
      <c r="AQ488" s="62">
        <f>ROUND(AK488*N(INDEX(p_rates,1)),2)+ROUND(AL488*N(INDEX(p_rates,2)),2)+ROUND(AM488*N(INDEX(p_rates,3)),2)+ROUND(AN488*N(INDEX(p_rates,4)),2)+ROUND(AO488*N(INDEX(p_rates,5)),2)+ROUND(AP488*N(INDEX(p_rates,6)),2)</f>
        <v>0.0</v>
      </c>
      <c r="AR488" s="62" t="str">
        <f>IF(OR(L488="",AA488&lt;&gt;"Facture"),"",IFERROR(IF(INDEX(fa_type,MATCH(L488,fa_num,0))="Facture d'acompte",MATCH(L488,fa_num,0),""),""))</f>
        <v/>
      </c>
      <c r="AS488" s="62" t="str">
        <f>IF(W488="","",IF(W488&lt;=0,"",IF(p_asof-P488&lt;=0,"Non échu",IF(p_asof-P488&lt;=30,"1-30 j",IF(p_asof-P488&lt;=60,"31-60 j",IF(p_asof-P488&lt;=90,"61-90 j","Plus de 90 j"))))))</f>
        <v/>
      </c>
      <c r="AT488" s="62" t="str">
        <f>IF(AS488="","",p_asof-P488)</f>
        <v/>
      </c>
      <c r="AU488" s="62" t="str">
        <f>IF(AT488="","",COUNTIF($AT$6:$AT$805,"&gt;"&amp;AT488)+COUNTIF($AT$6:AT488,AT488))</f>
        <v/>
      </c>
    </row>
    <row r="489">
      <c r="A489" s="59" t="str">
        <f>IF(AE489="","",AB489&amp;"-"&amp;AD489&amp;"-"&amp;RIGHT("000"&amp;AE489,4))</f>
        <v/>
      </c>
      <c r="B489" s="60" t="n"/>
      <c r="C489" s="61" t="n"/>
      <c r="D489" s="60" t="n"/>
      <c r="E489" s="62" t="str">
        <f>IF(D489="","",IFERROR(INDEX(cli_name,MATCH(D489,cli_code,0))&amp;"","Client inconnu"))</f>
        <v/>
      </c>
      <c r="F489" s="60" t="n"/>
      <c r="G489" s="63" t="n"/>
      <c r="H489" s="61" t="n"/>
      <c r="I489" s="63" t="n"/>
      <c r="J489" s="60" t="n"/>
      <c r="K489" s="61" t="n"/>
      <c r="L489" s="60" t="n"/>
      <c r="M489" s="60" t="n"/>
      <c r="N489" s="60" t="n"/>
      <c r="O489" s="61" t="n"/>
      <c r="P489" s="64" t="str">
        <f>IF(A489="","",IF(AA489="Avoir",AC489,IF(ISNUMBER(K489),K489,AC489+IF(D489="",N(p_delay),IFERROR(IF(ISNUMBER(INDEX(cli_delay,MATCH(D489,cli_code,0))),INDEX(cli_delay,MATCH(D489,cli_code,0)),N(p_delay)),N(p_delay))))))</f>
        <v/>
      </c>
      <c r="Q489" s="65" t="str">
        <f>IF(A489="","",IF(AA489="Avoir",-1,1)*ROUND(AJ489-IF(AR489="",0,INDEX(fa_htb,AR489)),2))</f>
        <v/>
      </c>
      <c r="R489" s="65" t="str">
        <f>IF(A489="","",IF(AA489="Avoir",-1,1)*ROUND(AQ489-IF(AR489="",0,INDEX(fa_tvab,AR489)),2))</f>
        <v/>
      </c>
      <c r="S489" s="65" t="str">
        <f>IF(A489="","",Q489+R489)</f>
        <v/>
      </c>
      <c r="T489" s="65" t="str">
        <f>IF(AR489="","",INDEX(fa_htb,AR489)+INDEX(fa_tvab,AR489))</f>
        <v/>
      </c>
      <c r="U489" s="65" t="str">
        <f>IF(A489="","",SUMIF(pa_inv,A489,pa_amt))</f>
        <v/>
      </c>
      <c r="V489" s="65" t="str">
        <f>IF(OR(A489="",AA489="Avoir"),"",-SUMIFS(fa_ttc,fa_avof,A489,fa_type,"Avoir"))</f>
        <v/>
      </c>
      <c r="W489" s="65" t="str">
        <f>IF(OR(A489="",AA489="Avoir"),"",ROUND(S489-U489-V489,2))</f>
        <v/>
      </c>
      <c r="X489" s="66" t="str">
        <f>IF(W489="","",IF(AND(W489&gt;0,p_asof&gt;P489),p_asof-P489,""))</f>
        <v/>
      </c>
      <c r="Y489" s="59" t="str">
        <f>IF(A489="","",IF(AA489="Avoir","Avoir",IF(W489&lt;0,"Trop-perçu",IF(W489=0,"Soldée",IF(p_asof&gt;P489,"En retard",IF(U489+V489&gt;0,"Partielle","À échoir"))))))</f>
        <v/>
      </c>
      <c r="Z489" s="59" t="str">
        <f>IF(NOT(COUNTA(B489:D489,F489:O489)&gt;0),"",IF(C489="","Date manquante",IF(NOT(ISNUMBER(C489)),"Date invalide",IF(D489="","Client manquant",IF(ISNA(MATCH(D489,cli_code,0)),"Client inconnu",IF(AC489&lt;SUMPRODUCT(MAX(($AB$6:AB488=AB489)*$AC$6:AC488)),"Date antérieure à la facture précédente",IF(AND(F489&lt;&gt;"",ISNA(MATCH(F489,dv_num,0))),"Devis inconnu",IF(AND(F489&lt;&gt;"",IFERROR(INDEX(dv_client,MATCH(F489,dv_num,0)),D489)&lt;&gt;D489),"Client différent de celui du devis",IF(AG489="","Aucune ligne : saisissez des lignes ou un devis",IF(AND(AI489&lt;&gt;"",COUNTIF($AI$6:AI489,AI489)&gt;1),"Devis déjà repris par une autre facture",IF(AND(AA489="Avoir",M489=""),"Avoir : indiquez la facture d'origine",IF(AND(AA489="Avoir",ISNA(MATCH(M489,fa_num,0))),"Facture d'origine inconnue",IF(AND(AA489&lt;&gt;"Avoir",M489&lt;&gt;""),"« Avoir sur facture » : réservé aux avoirs",IF(AND(L489&lt;&gt;"",AA489&lt;&gt;"Facture"),"Acompte à déduire : réservé aux factures",IF(AND(L489&lt;&gt;"",ISNA(MATCH(L489,fa_num,0))),"Facture d'acompte inconnue",IF(AND(L489&lt;&gt;"",IFERROR(INDEX(fa_type,MATCH(L489,fa_num,0)),"")&lt;&gt;"Facture d'acompte"),"Le n° à déduire n'est pas une facture d'acompte",IF(AND(L489&lt;&gt;"",COUNTIF($L$6:L489,L489)&gt;1),"Acompte déjà déduit sur une autre facture",IF(AND(L489&lt;&gt;"",IFERROR(INDEX(fa_client,MATCH(L489,fa_num,0)),D489)&lt;&gt;D489),"Acompte d'un autre client",IF(AND(AR489&lt;&gt;"",N(Q489)&lt;0),"Acompte supérieur au total de la facture",IF(IF(AG489="Facture",COUNTIFS(fl_doc,A489,fl_check,"&lt;&gt;OK"),IF(AG489="Devis",COUNTIFS(dl_doc,F489,dl_check,"&lt;&gt;OK"),0))&gt;0,"Ligne(s) à corriger",IF(AND(W489&lt;&gt;"",N(W489)&lt;0),"Trop-perçu : vérifiez paiements et avoirs","OK")))))))))))))))))))))</f>
        <v/>
      </c>
      <c r="AA489" s="62" t="str">
        <f>IF(COUNTA(B489:D489,F489:O489)&gt;0,IF(B489="","Facture",B489),"")</f>
        <v/>
      </c>
      <c r="AB489" s="62" t="str">
        <f>IF(AA489="","",IF(AA489="Avoir",p_pav,IF(AA489="Facture d'acompte",p_pac,p_pfa)))</f>
        <v/>
      </c>
      <c r="AC489" s="62">
        <f>IF(ISNUMBER(C489),C489,0)</f>
        <v>0.0</v>
      </c>
      <c r="AD489" s="62" t="str">
        <f>IF(OR(AA489="",AC489=0),"",YEAR(AC489))</f>
        <v/>
      </c>
      <c r="AE489" s="62" t="str">
        <f>IF(AD489="","",COUNTIFS($AB$6:AB489,AB489,$AD$6:AD489,AD489))</f>
        <v/>
      </c>
      <c r="AF489" s="62">
        <f>IF(A489="",0,COUNTIF(fl_doc,A489))</f>
        <v>0.0</v>
      </c>
      <c r="AG489" s="62" t="str">
        <f>IF(A489="","",IF(AF489&gt;0,"Facture",IF(AND(F489&lt;&gt;"",AA489="Facture",ISNUMBER(MATCH(F489,dv_num,0))),"Devis","")))</f>
        <v/>
      </c>
      <c r="AH489" s="62" t="str">
        <f>IF(AND(A489&lt;&gt;"",F489&lt;&gt;"",AA489&lt;&gt;"Avoir"),F489,"")</f>
        <v/>
      </c>
      <c r="AI489" s="62" t="str">
        <f>IF(AG489="Devis",F489,"")</f>
        <v/>
      </c>
      <c r="AJ489" s="62">
        <f>IF(AG489="Facture",SUMIF(fl_doc,A489,fl_ht),IF(AG489="Devis",SUMIF(dl_doc,F489,dl_ht),0))</f>
        <v>0.0</v>
      </c>
      <c r="AK489" s="62">
        <f>IF(OR(AG489="",INDEX(p_rates,1)=""),0,IF(AG489="Facture",SUMIFS(fl_ht,fl_doc,A489,fl_rate,INDEX(p_rates,1)),SUMIFS(dl_ht,dl_doc,F489,dl_rate,INDEX(p_rates,1))))</f>
        <v>0.0</v>
      </c>
      <c r="AL489" s="62">
        <f>IF(OR(AG489="",INDEX(p_rates,2)=""),0,IF(AG489="Facture",SUMIFS(fl_ht,fl_doc,A489,fl_rate,INDEX(p_rates,2)),SUMIFS(dl_ht,dl_doc,F489,dl_rate,INDEX(p_rates,2))))</f>
        <v>0.0</v>
      </c>
      <c r="AM489" s="62">
        <f>IF(OR(AG489="",INDEX(p_rates,3)=""),0,IF(AG489="Facture",SUMIFS(fl_ht,fl_doc,A489,fl_rate,INDEX(p_rates,3)),SUMIFS(dl_ht,dl_doc,F489,dl_rate,INDEX(p_rates,3))))</f>
        <v>0.0</v>
      </c>
      <c r="AN489" s="62">
        <f>IF(OR(AG489="",INDEX(p_rates,4)=""),0,IF(AG489="Facture",SUMIFS(fl_ht,fl_doc,A489,fl_rate,INDEX(p_rates,4)),SUMIFS(dl_ht,dl_doc,F489,dl_rate,INDEX(p_rates,4))))</f>
        <v>0.0</v>
      </c>
      <c r="AO489" s="62">
        <f>IF(OR(AG489="",INDEX(p_rates,5)=""),0,IF(AG489="Facture",SUMIFS(fl_ht,fl_doc,A489,fl_rate,INDEX(p_rates,5)),SUMIFS(dl_ht,dl_doc,F489,dl_rate,INDEX(p_rates,5))))</f>
        <v>0.0</v>
      </c>
      <c r="AP489" s="62">
        <f>IF(OR(AG489="",INDEX(p_rates,6)=""),0,IF(AG489="Facture",SUMIFS(fl_ht,fl_doc,A489,fl_rate,INDEX(p_rates,6)),SUMIFS(dl_ht,dl_doc,F489,dl_rate,INDEX(p_rates,6))))</f>
        <v>0.0</v>
      </c>
      <c r="AQ489" s="62">
        <f>ROUND(AK489*N(INDEX(p_rates,1)),2)+ROUND(AL489*N(INDEX(p_rates,2)),2)+ROUND(AM489*N(INDEX(p_rates,3)),2)+ROUND(AN489*N(INDEX(p_rates,4)),2)+ROUND(AO489*N(INDEX(p_rates,5)),2)+ROUND(AP489*N(INDEX(p_rates,6)),2)</f>
        <v>0.0</v>
      </c>
      <c r="AR489" s="62" t="str">
        <f>IF(OR(L489="",AA489&lt;&gt;"Facture"),"",IFERROR(IF(INDEX(fa_type,MATCH(L489,fa_num,0))="Facture d'acompte",MATCH(L489,fa_num,0),""),""))</f>
        <v/>
      </c>
      <c r="AS489" s="62" t="str">
        <f>IF(W489="","",IF(W489&lt;=0,"",IF(p_asof-P489&lt;=0,"Non échu",IF(p_asof-P489&lt;=30,"1-30 j",IF(p_asof-P489&lt;=60,"31-60 j",IF(p_asof-P489&lt;=90,"61-90 j","Plus de 90 j"))))))</f>
        <v/>
      </c>
      <c r="AT489" s="62" t="str">
        <f>IF(AS489="","",p_asof-P489)</f>
        <v/>
      </c>
      <c r="AU489" s="62" t="str">
        <f>IF(AT489="","",COUNTIF($AT$6:$AT$805,"&gt;"&amp;AT489)+COUNTIF($AT$6:AT489,AT489))</f>
        <v/>
      </c>
    </row>
    <row r="490">
      <c r="A490" s="59" t="str">
        <f>IF(AE490="","",AB490&amp;"-"&amp;AD490&amp;"-"&amp;RIGHT("000"&amp;AE490,4))</f>
        <v/>
      </c>
      <c r="B490" s="60" t="n"/>
      <c r="C490" s="61" t="n"/>
      <c r="D490" s="60" t="n"/>
      <c r="E490" s="62" t="str">
        <f>IF(D490="","",IFERROR(INDEX(cli_name,MATCH(D490,cli_code,0))&amp;"","Client inconnu"))</f>
        <v/>
      </c>
      <c r="F490" s="60" t="n"/>
      <c r="G490" s="63" t="n"/>
      <c r="H490" s="61" t="n"/>
      <c r="I490" s="63" t="n"/>
      <c r="J490" s="60" t="n"/>
      <c r="K490" s="61" t="n"/>
      <c r="L490" s="60" t="n"/>
      <c r="M490" s="60" t="n"/>
      <c r="N490" s="60" t="n"/>
      <c r="O490" s="61" t="n"/>
      <c r="P490" s="64" t="str">
        <f>IF(A490="","",IF(AA490="Avoir",AC490,IF(ISNUMBER(K490),K490,AC490+IF(D490="",N(p_delay),IFERROR(IF(ISNUMBER(INDEX(cli_delay,MATCH(D490,cli_code,0))),INDEX(cli_delay,MATCH(D490,cli_code,0)),N(p_delay)),N(p_delay))))))</f>
        <v/>
      </c>
      <c r="Q490" s="65" t="str">
        <f>IF(A490="","",IF(AA490="Avoir",-1,1)*ROUND(AJ490-IF(AR490="",0,INDEX(fa_htb,AR490)),2))</f>
        <v/>
      </c>
      <c r="R490" s="65" t="str">
        <f>IF(A490="","",IF(AA490="Avoir",-1,1)*ROUND(AQ490-IF(AR490="",0,INDEX(fa_tvab,AR490)),2))</f>
        <v/>
      </c>
      <c r="S490" s="65" t="str">
        <f>IF(A490="","",Q490+R490)</f>
        <v/>
      </c>
      <c r="T490" s="65" t="str">
        <f>IF(AR490="","",INDEX(fa_htb,AR490)+INDEX(fa_tvab,AR490))</f>
        <v/>
      </c>
      <c r="U490" s="65" t="str">
        <f>IF(A490="","",SUMIF(pa_inv,A490,pa_amt))</f>
        <v/>
      </c>
      <c r="V490" s="65" t="str">
        <f>IF(OR(A490="",AA490="Avoir"),"",-SUMIFS(fa_ttc,fa_avof,A490,fa_type,"Avoir"))</f>
        <v/>
      </c>
      <c r="W490" s="65" t="str">
        <f>IF(OR(A490="",AA490="Avoir"),"",ROUND(S490-U490-V490,2))</f>
        <v/>
      </c>
      <c r="X490" s="66" t="str">
        <f>IF(W490="","",IF(AND(W490&gt;0,p_asof&gt;P490),p_asof-P490,""))</f>
        <v/>
      </c>
      <c r="Y490" s="59" t="str">
        <f>IF(A490="","",IF(AA490="Avoir","Avoir",IF(W490&lt;0,"Trop-perçu",IF(W490=0,"Soldée",IF(p_asof&gt;P490,"En retard",IF(U490+V490&gt;0,"Partielle","À échoir"))))))</f>
        <v/>
      </c>
      <c r="Z490" s="59" t="str">
        <f>IF(NOT(COUNTA(B490:D490,F490:O490)&gt;0),"",IF(C490="","Date manquante",IF(NOT(ISNUMBER(C490)),"Date invalide",IF(D490="","Client manquant",IF(ISNA(MATCH(D490,cli_code,0)),"Client inconnu",IF(AC490&lt;SUMPRODUCT(MAX(($AB$6:AB489=AB490)*$AC$6:AC489)),"Date antérieure à la facture précédente",IF(AND(F490&lt;&gt;"",ISNA(MATCH(F490,dv_num,0))),"Devis inconnu",IF(AND(F490&lt;&gt;"",IFERROR(INDEX(dv_client,MATCH(F490,dv_num,0)),D490)&lt;&gt;D490),"Client différent de celui du devis",IF(AG490="","Aucune ligne : saisissez des lignes ou un devis",IF(AND(AI490&lt;&gt;"",COUNTIF($AI$6:AI490,AI490)&gt;1),"Devis déjà repris par une autre facture",IF(AND(AA490="Avoir",M490=""),"Avoir : indiquez la facture d'origine",IF(AND(AA490="Avoir",ISNA(MATCH(M490,fa_num,0))),"Facture d'origine inconnue",IF(AND(AA490&lt;&gt;"Avoir",M490&lt;&gt;""),"« Avoir sur facture » : réservé aux avoirs",IF(AND(L490&lt;&gt;"",AA490&lt;&gt;"Facture"),"Acompte à déduire : réservé aux factures",IF(AND(L490&lt;&gt;"",ISNA(MATCH(L490,fa_num,0))),"Facture d'acompte inconnue",IF(AND(L490&lt;&gt;"",IFERROR(INDEX(fa_type,MATCH(L490,fa_num,0)),"")&lt;&gt;"Facture d'acompte"),"Le n° à déduire n'est pas une facture d'acompte",IF(AND(L490&lt;&gt;"",COUNTIF($L$6:L490,L490)&gt;1),"Acompte déjà déduit sur une autre facture",IF(AND(L490&lt;&gt;"",IFERROR(INDEX(fa_client,MATCH(L490,fa_num,0)),D490)&lt;&gt;D490),"Acompte d'un autre client",IF(AND(AR490&lt;&gt;"",N(Q490)&lt;0),"Acompte supérieur au total de la facture",IF(IF(AG490="Facture",COUNTIFS(fl_doc,A490,fl_check,"&lt;&gt;OK"),IF(AG490="Devis",COUNTIFS(dl_doc,F490,dl_check,"&lt;&gt;OK"),0))&gt;0,"Ligne(s) à corriger",IF(AND(W490&lt;&gt;"",N(W490)&lt;0),"Trop-perçu : vérifiez paiements et avoirs","OK")))))))))))))))))))))</f>
        <v/>
      </c>
      <c r="AA490" s="62" t="str">
        <f>IF(COUNTA(B490:D490,F490:O490)&gt;0,IF(B490="","Facture",B490),"")</f>
        <v/>
      </c>
      <c r="AB490" s="62" t="str">
        <f>IF(AA490="","",IF(AA490="Avoir",p_pav,IF(AA490="Facture d'acompte",p_pac,p_pfa)))</f>
        <v/>
      </c>
      <c r="AC490" s="62">
        <f>IF(ISNUMBER(C490),C490,0)</f>
        <v>0.0</v>
      </c>
      <c r="AD490" s="62" t="str">
        <f>IF(OR(AA490="",AC490=0),"",YEAR(AC490))</f>
        <v/>
      </c>
      <c r="AE490" s="62" t="str">
        <f>IF(AD490="","",COUNTIFS($AB$6:AB490,AB490,$AD$6:AD490,AD490))</f>
        <v/>
      </c>
      <c r="AF490" s="62">
        <f>IF(A490="",0,COUNTIF(fl_doc,A490))</f>
        <v>0.0</v>
      </c>
      <c r="AG490" s="62" t="str">
        <f>IF(A490="","",IF(AF490&gt;0,"Facture",IF(AND(F490&lt;&gt;"",AA490="Facture",ISNUMBER(MATCH(F490,dv_num,0))),"Devis","")))</f>
        <v/>
      </c>
      <c r="AH490" s="62" t="str">
        <f>IF(AND(A490&lt;&gt;"",F490&lt;&gt;"",AA490&lt;&gt;"Avoir"),F490,"")</f>
        <v/>
      </c>
      <c r="AI490" s="62" t="str">
        <f>IF(AG490="Devis",F490,"")</f>
        <v/>
      </c>
      <c r="AJ490" s="62">
        <f>IF(AG490="Facture",SUMIF(fl_doc,A490,fl_ht),IF(AG490="Devis",SUMIF(dl_doc,F490,dl_ht),0))</f>
        <v>0.0</v>
      </c>
      <c r="AK490" s="62">
        <f>IF(OR(AG490="",INDEX(p_rates,1)=""),0,IF(AG490="Facture",SUMIFS(fl_ht,fl_doc,A490,fl_rate,INDEX(p_rates,1)),SUMIFS(dl_ht,dl_doc,F490,dl_rate,INDEX(p_rates,1))))</f>
        <v>0.0</v>
      </c>
      <c r="AL490" s="62">
        <f>IF(OR(AG490="",INDEX(p_rates,2)=""),0,IF(AG490="Facture",SUMIFS(fl_ht,fl_doc,A490,fl_rate,INDEX(p_rates,2)),SUMIFS(dl_ht,dl_doc,F490,dl_rate,INDEX(p_rates,2))))</f>
        <v>0.0</v>
      </c>
      <c r="AM490" s="62">
        <f>IF(OR(AG490="",INDEX(p_rates,3)=""),0,IF(AG490="Facture",SUMIFS(fl_ht,fl_doc,A490,fl_rate,INDEX(p_rates,3)),SUMIFS(dl_ht,dl_doc,F490,dl_rate,INDEX(p_rates,3))))</f>
        <v>0.0</v>
      </c>
      <c r="AN490" s="62">
        <f>IF(OR(AG490="",INDEX(p_rates,4)=""),0,IF(AG490="Facture",SUMIFS(fl_ht,fl_doc,A490,fl_rate,INDEX(p_rates,4)),SUMIFS(dl_ht,dl_doc,F490,dl_rate,INDEX(p_rates,4))))</f>
        <v>0.0</v>
      </c>
      <c r="AO490" s="62">
        <f>IF(OR(AG490="",INDEX(p_rates,5)=""),0,IF(AG490="Facture",SUMIFS(fl_ht,fl_doc,A490,fl_rate,INDEX(p_rates,5)),SUMIFS(dl_ht,dl_doc,F490,dl_rate,INDEX(p_rates,5))))</f>
        <v>0.0</v>
      </c>
      <c r="AP490" s="62">
        <f>IF(OR(AG490="",INDEX(p_rates,6)=""),0,IF(AG490="Facture",SUMIFS(fl_ht,fl_doc,A490,fl_rate,INDEX(p_rates,6)),SUMIFS(dl_ht,dl_doc,F490,dl_rate,INDEX(p_rates,6))))</f>
        <v>0.0</v>
      </c>
      <c r="AQ490" s="62">
        <f>ROUND(AK490*N(INDEX(p_rates,1)),2)+ROUND(AL490*N(INDEX(p_rates,2)),2)+ROUND(AM490*N(INDEX(p_rates,3)),2)+ROUND(AN490*N(INDEX(p_rates,4)),2)+ROUND(AO490*N(INDEX(p_rates,5)),2)+ROUND(AP490*N(INDEX(p_rates,6)),2)</f>
        <v>0.0</v>
      </c>
      <c r="AR490" s="62" t="str">
        <f>IF(OR(L490="",AA490&lt;&gt;"Facture"),"",IFERROR(IF(INDEX(fa_type,MATCH(L490,fa_num,0))="Facture d'acompte",MATCH(L490,fa_num,0),""),""))</f>
        <v/>
      </c>
      <c r="AS490" s="62" t="str">
        <f>IF(W490="","",IF(W490&lt;=0,"",IF(p_asof-P490&lt;=0,"Non échu",IF(p_asof-P490&lt;=30,"1-30 j",IF(p_asof-P490&lt;=60,"31-60 j",IF(p_asof-P490&lt;=90,"61-90 j","Plus de 90 j"))))))</f>
        <v/>
      </c>
      <c r="AT490" s="62" t="str">
        <f>IF(AS490="","",p_asof-P490)</f>
        <v/>
      </c>
      <c r="AU490" s="62" t="str">
        <f>IF(AT490="","",COUNTIF($AT$6:$AT$805,"&gt;"&amp;AT490)+COUNTIF($AT$6:AT490,AT490))</f>
        <v/>
      </c>
    </row>
    <row r="491">
      <c r="A491" s="59" t="str">
        <f>IF(AE491="","",AB491&amp;"-"&amp;AD491&amp;"-"&amp;RIGHT("000"&amp;AE491,4))</f>
        <v/>
      </c>
      <c r="B491" s="60" t="n"/>
      <c r="C491" s="61" t="n"/>
      <c r="D491" s="60" t="n"/>
      <c r="E491" s="62" t="str">
        <f>IF(D491="","",IFERROR(INDEX(cli_name,MATCH(D491,cli_code,0))&amp;"","Client inconnu"))</f>
        <v/>
      </c>
      <c r="F491" s="60" t="n"/>
      <c r="G491" s="63" t="n"/>
      <c r="H491" s="61" t="n"/>
      <c r="I491" s="63" t="n"/>
      <c r="J491" s="60" t="n"/>
      <c r="K491" s="61" t="n"/>
      <c r="L491" s="60" t="n"/>
      <c r="M491" s="60" t="n"/>
      <c r="N491" s="60" t="n"/>
      <c r="O491" s="61" t="n"/>
      <c r="P491" s="64" t="str">
        <f>IF(A491="","",IF(AA491="Avoir",AC491,IF(ISNUMBER(K491),K491,AC491+IF(D491="",N(p_delay),IFERROR(IF(ISNUMBER(INDEX(cli_delay,MATCH(D491,cli_code,0))),INDEX(cli_delay,MATCH(D491,cli_code,0)),N(p_delay)),N(p_delay))))))</f>
        <v/>
      </c>
      <c r="Q491" s="65" t="str">
        <f>IF(A491="","",IF(AA491="Avoir",-1,1)*ROUND(AJ491-IF(AR491="",0,INDEX(fa_htb,AR491)),2))</f>
        <v/>
      </c>
      <c r="R491" s="65" t="str">
        <f>IF(A491="","",IF(AA491="Avoir",-1,1)*ROUND(AQ491-IF(AR491="",0,INDEX(fa_tvab,AR491)),2))</f>
        <v/>
      </c>
      <c r="S491" s="65" t="str">
        <f>IF(A491="","",Q491+R491)</f>
        <v/>
      </c>
      <c r="T491" s="65" t="str">
        <f>IF(AR491="","",INDEX(fa_htb,AR491)+INDEX(fa_tvab,AR491))</f>
        <v/>
      </c>
      <c r="U491" s="65" t="str">
        <f>IF(A491="","",SUMIF(pa_inv,A491,pa_amt))</f>
        <v/>
      </c>
      <c r="V491" s="65" t="str">
        <f>IF(OR(A491="",AA491="Avoir"),"",-SUMIFS(fa_ttc,fa_avof,A491,fa_type,"Avoir"))</f>
        <v/>
      </c>
      <c r="W491" s="65" t="str">
        <f>IF(OR(A491="",AA491="Avoir"),"",ROUND(S491-U491-V491,2))</f>
        <v/>
      </c>
      <c r="X491" s="66" t="str">
        <f>IF(W491="","",IF(AND(W491&gt;0,p_asof&gt;P491),p_asof-P491,""))</f>
        <v/>
      </c>
      <c r="Y491" s="59" t="str">
        <f>IF(A491="","",IF(AA491="Avoir","Avoir",IF(W491&lt;0,"Trop-perçu",IF(W491=0,"Soldée",IF(p_asof&gt;P491,"En retard",IF(U491+V491&gt;0,"Partielle","À échoir"))))))</f>
        <v/>
      </c>
      <c r="Z491" s="59" t="str">
        <f>IF(NOT(COUNTA(B491:D491,F491:O491)&gt;0),"",IF(C491="","Date manquante",IF(NOT(ISNUMBER(C491)),"Date invalide",IF(D491="","Client manquant",IF(ISNA(MATCH(D491,cli_code,0)),"Client inconnu",IF(AC491&lt;SUMPRODUCT(MAX(($AB$6:AB490=AB491)*$AC$6:AC490)),"Date antérieure à la facture précédente",IF(AND(F491&lt;&gt;"",ISNA(MATCH(F491,dv_num,0))),"Devis inconnu",IF(AND(F491&lt;&gt;"",IFERROR(INDEX(dv_client,MATCH(F491,dv_num,0)),D491)&lt;&gt;D491),"Client différent de celui du devis",IF(AG491="","Aucune ligne : saisissez des lignes ou un devis",IF(AND(AI491&lt;&gt;"",COUNTIF($AI$6:AI491,AI491)&gt;1),"Devis déjà repris par une autre facture",IF(AND(AA491="Avoir",M491=""),"Avoir : indiquez la facture d'origine",IF(AND(AA491="Avoir",ISNA(MATCH(M491,fa_num,0))),"Facture d'origine inconnue",IF(AND(AA491&lt;&gt;"Avoir",M491&lt;&gt;""),"« Avoir sur facture » : réservé aux avoirs",IF(AND(L491&lt;&gt;"",AA491&lt;&gt;"Facture"),"Acompte à déduire : réservé aux factures",IF(AND(L491&lt;&gt;"",ISNA(MATCH(L491,fa_num,0))),"Facture d'acompte inconnue",IF(AND(L491&lt;&gt;"",IFERROR(INDEX(fa_type,MATCH(L491,fa_num,0)),"")&lt;&gt;"Facture d'acompte"),"Le n° à déduire n'est pas une facture d'acompte",IF(AND(L491&lt;&gt;"",COUNTIF($L$6:L491,L491)&gt;1),"Acompte déjà déduit sur une autre facture",IF(AND(L491&lt;&gt;"",IFERROR(INDEX(fa_client,MATCH(L491,fa_num,0)),D491)&lt;&gt;D491),"Acompte d'un autre client",IF(AND(AR491&lt;&gt;"",N(Q491)&lt;0),"Acompte supérieur au total de la facture",IF(IF(AG491="Facture",COUNTIFS(fl_doc,A491,fl_check,"&lt;&gt;OK"),IF(AG491="Devis",COUNTIFS(dl_doc,F491,dl_check,"&lt;&gt;OK"),0))&gt;0,"Ligne(s) à corriger",IF(AND(W491&lt;&gt;"",N(W491)&lt;0),"Trop-perçu : vérifiez paiements et avoirs","OK")))))))))))))))))))))</f>
        <v/>
      </c>
      <c r="AA491" s="62" t="str">
        <f>IF(COUNTA(B491:D491,F491:O491)&gt;0,IF(B491="","Facture",B491),"")</f>
        <v/>
      </c>
      <c r="AB491" s="62" t="str">
        <f>IF(AA491="","",IF(AA491="Avoir",p_pav,IF(AA491="Facture d'acompte",p_pac,p_pfa)))</f>
        <v/>
      </c>
      <c r="AC491" s="62">
        <f>IF(ISNUMBER(C491),C491,0)</f>
        <v>0.0</v>
      </c>
      <c r="AD491" s="62" t="str">
        <f>IF(OR(AA491="",AC491=0),"",YEAR(AC491))</f>
        <v/>
      </c>
      <c r="AE491" s="62" t="str">
        <f>IF(AD491="","",COUNTIFS($AB$6:AB491,AB491,$AD$6:AD491,AD491))</f>
        <v/>
      </c>
      <c r="AF491" s="62">
        <f>IF(A491="",0,COUNTIF(fl_doc,A491))</f>
        <v>0.0</v>
      </c>
      <c r="AG491" s="62" t="str">
        <f>IF(A491="","",IF(AF491&gt;0,"Facture",IF(AND(F491&lt;&gt;"",AA491="Facture",ISNUMBER(MATCH(F491,dv_num,0))),"Devis","")))</f>
        <v/>
      </c>
      <c r="AH491" s="62" t="str">
        <f>IF(AND(A491&lt;&gt;"",F491&lt;&gt;"",AA491&lt;&gt;"Avoir"),F491,"")</f>
        <v/>
      </c>
      <c r="AI491" s="62" t="str">
        <f>IF(AG491="Devis",F491,"")</f>
        <v/>
      </c>
      <c r="AJ491" s="62">
        <f>IF(AG491="Facture",SUMIF(fl_doc,A491,fl_ht),IF(AG491="Devis",SUMIF(dl_doc,F491,dl_ht),0))</f>
        <v>0.0</v>
      </c>
      <c r="AK491" s="62">
        <f>IF(OR(AG491="",INDEX(p_rates,1)=""),0,IF(AG491="Facture",SUMIFS(fl_ht,fl_doc,A491,fl_rate,INDEX(p_rates,1)),SUMIFS(dl_ht,dl_doc,F491,dl_rate,INDEX(p_rates,1))))</f>
        <v>0.0</v>
      </c>
      <c r="AL491" s="62">
        <f>IF(OR(AG491="",INDEX(p_rates,2)=""),0,IF(AG491="Facture",SUMIFS(fl_ht,fl_doc,A491,fl_rate,INDEX(p_rates,2)),SUMIFS(dl_ht,dl_doc,F491,dl_rate,INDEX(p_rates,2))))</f>
        <v>0.0</v>
      </c>
      <c r="AM491" s="62">
        <f>IF(OR(AG491="",INDEX(p_rates,3)=""),0,IF(AG491="Facture",SUMIFS(fl_ht,fl_doc,A491,fl_rate,INDEX(p_rates,3)),SUMIFS(dl_ht,dl_doc,F491,dl_rate,INDEX(p_rates,3))))</f>
        <v>0.0</v>
      </c>
      <c r="AN491" s="62">
        <f>IF(OR(AG491="",INDEX(p_rates,4)=""),0,IF(AG491="Facture",SUMIFS(fl_ht,fl_doc,A491,fl_rate,INDEX(p_rates,4)),SUMIFS(dl_ht,dl_doc,F491,dl_rate,INDEX(p_rates,4))))</f>
        <v>0.0</v>
      </c>
      <c r="AO491" s="62">
        <f>IF(OR(AG491="",INDEX(p_rates,5)=""),0,IF(AG491="Facture",SUMIFS(fl_ht,fl_doc,A491,fl_rate,INDEX(p_rates,5)),SUMIFS(dl_ht,dl_doc,F491,dl_rate,INDEX(p_rates,5))))</f>
        <v>0.0</v>
      </c>
      <c r="AP491" s="62">
        <f>IF(OR(AG491="",INDEX(p_rates,6)=""),0,IF(AG491="Facture",SUMIFS(fl_ht,fl_doc,A491,fl_rate,INDEX(p_rates,6)),SUMIFS(dl_ht,dl_doc,F491,dl_rate,INDEX(p_rates,6))))</f>
        <v>0.0</v>
      </c>
      <c r="AQ491" s="62">
        <f>ROUND(AK491*N(INDEX(p_rates,1)),2)+ROUND(AL491*N(INDEX(p_rates,2)),2)+ROUND(AM491*N(INDEX(p_rates,3)),2)+ROUND(AN491*N(INDEX(p_rates,4)),2)+ROUND(AO491*N(INDEX(p_rates,5)),2)+ROUND(AP491*N(INDEX(p_rates,6)),2)</f>
        <v>0.0</v>
      </c>
      <c r="AR491" s="62" t="str">
        <f>IF(OR(L491="",AA491&lt;&gt;"Facture"),"",IFERROR(IF(INDEX(fa_type,MATCH(L491,fa_num,0))="Facture d'acompte",MATCH(L491,fa_num,0),""),""))</f>
        <v/>
      </c>
      <c r="AS491" s="62" t="str">
        <f>IF(W491="","",IF(W491&lt;=0,"",IF(p_asof-P491&lt;=0,"Non échu",IF(p_asof-P491&lt;=30,"1-30 j",IF(p_asof-P491&lt;=60,"31-60 j",IF(p_asof-P491&lt;=90,"61-90 j","Plus de 90 j"))))))</f>
        <v/>
      </c>
      <c r="AT491" s="62" t="str">
        <f>IF(AS491="","",p_asof-P491)</f>
        <v/>
      </c>
      <c r="AU491" s="62" t="str">
        <f>IF(AT491="","",COUNTIF($AT$6:$AT$805,"&gt;"&amp;AT491)+COUNTIF($AT$6:AT491,AT491))</f>
        <v/>
      </c>
    </row>
    <row r="492">
      <c r="A492" s="59" t="str">
        <f>IF(AE492="","",AB492&amp;"-"&amp;AD492&amp;"-"&amp;RIGHT("000"&amp;AE492,4))</f>
        <v/>
      </c>
      <c r="B492" s="60" t="n"/>
      <c r="C492" s="61" t="n"/>
      <c r="D492" s="60" t="n"/>
      <c r="E492" s="62" t="str">
        <f>IF(D492="","",IFERROR(INDEX(cli_name,MATCH(D492,cli_code,0))&amp;"","Client inconnu"))</f>
        <v/>
      </c>
      <c r="F492" s="60" t="n"/>
      <c r="G492" s="63" t="n"/>
      <c r="H492" s="61" t="n"/>
      <c r="I492" s="63" t="n"/>
      <c r="J492" s="60" t="n"/>
      <c r="K492" s="61" t="n"/>
      <c r="L492" s="60" t="n"/>
      <c r="M492" s="60" t="n"/>
      <c r="N492" s="60" t="n"/>
      <c r="O492" s="61" t="n"/>
      <c r="P492" s="64" t="str">
        <f>IF(A492="","",IF(AA492="Avoir",AC492,IF(ISNUMBER(K492),K492,AC492+IF(D492="",N(p_delay),IFERROR(IF(ISNUMBER(INDEX(cli_delay,MATCH(D492,cli_code,0))),INDEX(cli_delay,MATCH(D492,cli_code,0)),N(p_delay)),N(p_delay))))))</f>
        <v/>
      </c>
      <c r="Q492" s="65" t="str">
        <f>IF(A492="","",IF(AA492="Avoir",-1,1)*ROUND(AJ492-IF(AR492="",0,INDEX(fa_htb,AR492)),2))</f>
        <v/>
      </c>
      <c r="R492" s="65" t="str">
        <f>IF(A492="","",IF(AA492="Avoir",-1,1)*ROUND(AQ492-IF(AR492="",0,INDEX(fa_tvab,AR492)),2))</f>
        <v/>
      </c>
      <c r="S492" s="65" t="str">
        <f>IF(A492="","",Q492+R492)</f>
        <v/>
      </c>
      <c r="T492" s="65" t="str">
        <f>IF(AR492="","",INDEX(fa_htb,AR492)+INDEX(fa_tvab,AR492))</f>
        <v/>
      </c>
      <c r="U492" s="65" t="str">
        <f>IF(A492="","",SUMIF(pa_inv,A492,pa_amt))</f>
        <v/>
      </c>
      <c r="V492" s="65" t="str">
        <f>IF(OR(A492="",AA492="Avoir"),"",-SUMIFS(fa_ttc,fa_avof,A492,fa_type,"Avoir"))</f>
        <v/>
      </c>
      <c r="W492" s="65" t="str">
        <f>IF(OR(A492="",AA492="Avoir"),"",ROUND(S492-U492-V492,2))</f>
        <v/>
      </c>
      <c r="X492" s="66" t="str">
        <f>IF(W492="","",IF(AND(W492&gt;0,p_asof&gt;P492),p_asof-P492,""))</f>
        <v/>
      </c>
      <c r="Y492" s="59" t="str">
        <f>IF(A492="","",IF(AA492="Avoir","Avoir",IF(W492&lt;0,"Trop-perçu",IF(W492=0,"Soldée",IF(p_asof&gt;P492,"En retard",IF(U492+V492&gt;0,"Partielle","À échoir"))))))</f>
        <v/>
      </c>
      <c r="Z492" s="59" t="str">
        <f>IF(NOT(COUNTA(B492:D492,F492:O492)&gt;0),"",IF(C492="","Date manquante",IF(NOT(ISNUMBER(C492)),"Date invalide",IF(D492="","Client manquant",IF(ISNA(MATCH(D492,cli_code,0)),"Client inconnu",IF(AC492&lt;SUMPRODUCT(MAX(($AB$6:AB491=AB492)*$AC$6:AC491)),"Date antérieure à la facture précédente",IF(AND(F492&lt;&gt;"",ISNA(MATCH(F492,dv_num,0))),"Devis inconnu",IF(AND(F492&lt;&gt;"",IFERROR(INDEX(dv_client,MATCH(F492,dv_num,0)),D492)&lt;&gt;D492),"Client différent de celui du devis",IF(AG492="","Aucune ligne : saisissez des lignes ou un devis",IF(AND(AI492&lt;&gt;"",COUNTIF($AI$6:AI492,AI492)&gt;1),"Devis déjà repris par une autre facture",IF(AND(AA492="Avoir",M492=""),"Avoir : indiquez la facture d'origine",IF(AND(AA492="Avoir",ISNA(MATCH(M492,fa_num,0))),"Facture d'origine inconnue",IF(AND(AA492&lt;&gt;"Avoir",M492&lt;&gt;""),"« Avoir sur facture » : réservé aux avoirs",IF(AND(L492&lt;&gt;"",AA492&lt;&gt;"Facture"),"Acompte à déduire : réservé aux factures",IF(AND(L492&lt;&gt;"",ISNA(MATCH(L492,fa_num,0))),"Facture d'acompte inconnue",IF(AND(L492&lt;&gt;"",IFERROR(INDEX(fa_type,MATCH(L492,fa_num,0)),"")&lt;&gt;"Facture d'acompte"),"Le n° à déduire n'est pas une facture d'acompte",IF(AND(L492&lt;&gt;"",COUNTIF($L$6:L492,L492)&gt;1),"Acompte déjà déduit sur une autre facture",IF(AND(L492&lt;&gt;"",IFERROR(INDEX(fa_client,MATCH(L492,fa_num,0)),D492)&lt;&gt;D492),"Acompte d'un autre client",IF(AND(AR492&lt;&gt;"",N(Q492)&lt;0),"Acompte supérieur au total de la facture",IF(IF(AG492="Facture",COUNTIFS(fl_doc,A492,fl_check,"&lt;&gt;OK"),IF(AG492="Devis",COUNTIFS(dl_doc,F492,dl_check,"&lt;&gt;OK"),0))&gt;0,"Ligne(s) à corriger",IF(AND(W492&lt;&gt;"",N(W492)&lt;0),"Trop-perçu : vérifiez paiements et avoirs","OK")))))))))))))))))))))</f>
        <v/>
      </c>
      <c r="AA492" s="62" t="str">
        <f>IF(COUNTA(B492:D492,F492:O492)&gt;0,IF(B492="","Facture",B492),"")</f>
        <v/>
      </c>
      <c r="AB492" s="62" t="str">
        <f>IF(AA492="","",IF(AA492="Avoir",p_pav,IF(AA492="Facture d'acompte",p_pac,p_pfa)))</f>
        <v/>
      </c>
      <c r="AC492" s="62">
        <f>IF(ISNUMBER(C492),C492,0)</f>
        <v>0.0</v>
      </c>
      <c r="AD492" s="62" t="str">
        <f>IF(OR(AA492="",AC492=0),"",YEAR(AC492))</f>
        <v/>
      </c>
      <c r="AE492" s="62" t="str">
        <f>IF(AD492="","",COUNTIFS($AB$6:AB492,AB492,$AD$6:AD492,AD492))</f>
        <v/>
      </c>
      <c r="AF492" s="62">
        <f>IF(A492="",0,COUNTIF(fl_doc,A492))</f>
        <v>0.0</v>
      </c>
      <c r="AG492" s="62" t="str">
        <f>IF(A492="","",IF(AF492&gt;0,"Facture",IF(AND(F492&lt;&gt;"",AA492="Facture",ISNUMBER(MATCH(F492,dv_num,0))),"Devis","")))</f>
        <v/>
      </c>
      <c r="AH492" s="62" t="str">
        <f>IF(AND(A492&lt;&gt;"",F492&lt;&gt;"",AA492&lt;&gt;"Avoir"),F492,"")</f>
        <v/>
      </c>
      <c r="AI492" s="62" t="str">
        <f>IF(AG492="Devis",F492,"")</f>
        <v/>
      </c>
      <c r="AJ492" s="62">
        <f>IF(AG492="Facture",SUMIF(fl_doc,A492,fl_ht),IF(AG492="Devis",SUMIF(dl_doc,F492,dl_ht),0))</f>
        <v>0.0</v>
      </c>
      <c r="AK492" s="62">
        <f>IF(OR(AG492="",INDEX(p_rates,1)=""),0,IF(AG492="Facture",SUMIFS(fl_ht,fl_doc,A492,fl_rate,INDEX(p_rates,1)),SUMIFS(dl_ht,dl_doc,F492,dl_rate,INDEX(p_rates,1))))</f>
        <v>0.0</v>
      </c>
      <c r="AL492" s="62">
        <f>IF(OR(AG492="",INDEX(p_rates,2)=""),0,IF(AG492="Facture",SUMIFS(fl_ht,fl_doc,A492,fl_rate,INDEX(p_rates,2)),SUMIFS(dl_ht,dl_doc,F492,dl_rate,INDEX(p_rates,2))))</f>
        <v>0.0</v>
      </c>
      <c r="AM492" s="62">
        <f>IF(OR(AG492="",INDEX(p_rates,3)=""),0,IF(AG492="Facture",SUMIFS(fl_ht,fl_doc,A492,fl_rate,INDEX(p_rates,3)),SUMIFS(dl_ht,dl_doc,F492,dl_rate,INDEX(p_rates,3))))</f>
        <v>0.0</v>
      </c>
      <c r="AN492" s="62">
        <f>IF(OR(AG492="",INDEX(p_rates,4)=""),0,IF(AG492="Facture",SUMIFS(fl_ht,fl_doc,A492,fl_rate,INDEX(p_rates,4)),SUMIFS(dl_ht,dl_doc,F492,dl_rate,INDEX(p_rates,4))))</f>
        <v>0.0</v>
      </c>
      <c r="AO492" s="62">
        <f>IF(OR(AG492="",INDEX(p_rates,5)=""),0,IF(AG492="Facture",SUMIFS(fl_ht,fl_doc,A492,fl_rate,INDEX(p_rates,5)),SUMIFS(dl_ht,dl_doc,F492,dl_rate,INDEX(p_rates,5))))</f>
        <v>0.0</v>
      </c>
      <c r="AP492" s="62">
        <f>IF(OR(AG492="",INDEX(p_rates,6)=""),0,IF(AG492="Facture",SUMIFS(fl_ht,fl_doc,A492,fl_rate,INDEX(p_rates,6)),SUMIFS(dl_ht,dl_doc,F492,dl_rate,INDEX(p_rates,6))))</f>
        <v>0.0</v>
      </c>
      <c r="AQ492" s="62">
        <f>ROUND(AK492*N(INDEX(p_rates,1)),2)+ROUND(AL492*N(INDEX(p_rates,2)),2)+ROUND(AM492*N(INDEX(p_rates,3)),2)+ROUND(AN492*N(INDEX(p_rates,4)),2)+ROUND(AO492*N(INDEX(p_rates,5)),2)+ROUND(AP492*N(INDEX(p_rates,6)),2)</f>
        <v>0.0</v>
      </c>
      <c r="AR492" s="62" t="str">
        <f>IF(OR(L492="",AA492&lt;&gt;"Facture"),"",IFERROR(IF(INDEX(fa_type,MATCH(L492,fa_num,0))="Facture d'acompte",MATCH(L492,fa_num,0),""),""))</f>
        <v/>
      </c>
      <c r="AS492" s="62" t="str">
        <f>IF(W492="","",IF(W492&lt;=0,"",IF(p_asof-P492&lt;=0,"Non échu",IF(p_asof-P492&lt;=30,"1-30 j",IF(p_asof-P492&lt;=60,"31-60 j",IF(p_asof-P492&lt;=90,"61-90 j","Plus de 90 j"))))))</f>
        <v/>
      </c>
      <c r="AT492" s="62" t="str">
        <f>IF(AS492="","",p_asof-P492)</f>
        <v/>
      </c>
      <c r="AU492" s="62" t="str">
        <f>IF(AT492="","",COUNTIF($AT$6:$AT$805,"&gt;"&amp;AT492)+COUNTIF($AT$6:AT492,AT492))</f>
        <v/>
      </c>
    </row>
    <row r="493">
      <c r="A493" s="59" t="str">
        <f>IF(AE493="","",AB493&amp;"-"&amp;AD493&amp;"-"&amp;RIGHT("000"&amp;AE493,4))</f>
        <v/>
      </c>
      <c r="B493" s="60" t="n"/>
      <c r="C493" s="61" t="n"/>
      <c r="D493" s="60" t="n"/>
      <c r="E493" s="62" t="str">
        <f>IF(D493="","",IFERROR(INDEX(cli_name,MATCH(D493,cli_code,0))&amp;"","Client inconnu"))</f>
        <v/>
      </c>
      <c r="F493" s="60" t="n"/>
      <c r="G493" s="63" t="n"/>
      <c r="H493" s="61" t="n"/>
      <c r="I493" s="63" t="n"/>
      <c r="J493" s="60" t="n"/>
      <c r="K493" s="61" t="n"/>
      <c r="L493" s="60" t="n"/>
      <c r="M493" s="60" t="n"/>
      <c r="N493" s="60" t="n"/>
      <c r="O493" s="61" t="n"/>
      <c r="P493" s="64" t="str">
        <f>IF(A493="","",IF(AA493="Avoir",AC493,IF(ISNUMBER(K493),K493,AC493+IF(D493="",N(p_delay),IFERROR(IF(ISNUMBER(INDEX(cli_delay,MATCH(D493,cli_code,0))),INDEX(cli_delay,MATCH(D493,cli_code,0)),N(p_delay)),N(p_delay))))))</f>
        <v/>
      </c>
      <c r="Q493" s="65" t="str">
        <f>IF(A493="","",IF(AA493="Avoir",-1,1)*ROUND(AJ493-IF(AR493="",0,INDEX(fa_htb,AR493)),2))</f>
        <v/>
      </c>
      <c r="R493" s="65" t="str">
        <f>IF(A493="","",IF(AA493="Avoir",-1,1)*ROUND(AQ493-IF(AR493="",0,INDEX(fa_tvab,AR493)),2))</f>
        <v/>
      </c>
      <c r="S493" s="65" t="str">
        <f>IF(A493="","",Q493+R493)</f>
        <v/>
      </c>
      <c r="T493" s="65" t="str">
        <f>IF(AR493="","",INDEX(fa_htb,AR493)+INDEX(fa_tvab,AR493))</f>
        <v/>
      </c>
      <c r="U493" s="65" t="str">
        <f>IF(A493="","",SUMIF(pa_inv,A493,pa_amt))</f>
        <v/>
      </c>
      <c r="V493" s="65" t="str">
        <f>IF(OR(A493="",AA493="Avoir"),"",-SUMIFS(fa_ttc,fa_avof,A493,fa_type,"Avoir"))</f>
        <v/>
      </c>
      <c r="W493" s="65" t="str">
        <f>IF(OR(A493="",AA493="Avoir"),"",ROUND(S493-U493-V493,2))</f>
        <v/>
      </c>
      <c r="X493" s="66" t="str">
        <f>IF(W493="","",IF(AND(W493&gt;0,p_asof&gt;P493),p_asof-P493,""))</f>
        <v/>
      </c>
      <c r="Y493" s="59" t="str">
        <f>IF(A493="","",IF(AA493="Avoir","Avoir",IF(W493&lt;0,"Trop-perçu",IF(W493=0,"Soldée",IF(p_asof&gt;P493,"En retard",IF(U493+V493&gt;0,"Partielle","À échoir"))))))</f>
        <v/>
      </c>
      <c r="Z493" s="59" t="str">
        <f>IF(NOT(COUNTA(B493:D493,F493:O493)&gt;0),"",IF(C493="","Date manquante",IF(NOT(ISNUMBER(C493)),"Date invalide",IF(D493="","Client manquant",IF(ISNA(MATCH(D493,cli_code,0)),"Client inconnu",IF(AC493&lt;SUMPRODUCT(MAX(($AB$6:AB492=AB493)*$AC$6:AC492)),"Date antérieure à la facture précédente",IF(AND(F493&lt;&gt;"",ISNA(MATCH(F493,dv_num,0))),"Devis inconnu",IF(AND(F493&lt;&gt;"",IFERROR(INDEX(dv_client,MATCH(F493,dv_num,0)),D493)&lt;&gt;D493),"Client différent de celui du devis",IF(AG493="","Aucune ligne : saisissez des lignes ou un devis",IF(AND(AI493&lt;&gt;"",COUNTIF($AI$6:AI493,AI493)&gt;1),"Devis déjà repris par une autre facture",IF(AND(AA493="Avoir",M493=""),"Avoir : indiquez la facture d'origine",IF(AND(AA493="Avoir",ISNA(MATCH(M493,fa_num,0))),"Facture d'origine inconnue",IF(AND(AA493&lt;&gt;"Avoir",M493&lt;&gt;""),"« Avoir sur facture » : réservé aux avoirs",IF(AND(L493&lt;&gt;"",AA493&lt;&gt;"Facture"),"Acompte à déduire : réservé aux factures",IF(AND(L493&lt;&gt;"",ISNA(MATCH(L493,fa_num,0))),"Facture d'acompte inconnue",IF(AND(L493&lt;&gt;"",IFERROR(INDEX(fa_type,MATCH(L493,fa_num,0)),"")&lt;&gt;"Facture d'acompte"),"Le n° à déduire n'est pas une facture d'acompte",IF(AND(L493&lt;&gt;"",COUNTIF($L$6:L493,L493)&gt;1),"Acompte déjà déduit sur une autre facture",IF(AND(L493&lt;&gt;"",IFERROR(INDEX(fa_client,MATCH(L493,fa_num,0)),D493)&lt;&gt;D493),"Acompte d'un autre client",IF(AND(AR493&lt;&gt;"",N(Q493)&lt;0),"Acompte supérieur au total de la facture",IF(IF(AG493="Facture",COUNTIFS(fl_doc,A493,fl_check,"&lt;&gt;OK"),IF(AG493="Devis",COUNTIFS(dl_doc,F493,dl_check,"&lt;&gt;OK"),0))&gt;0,"Ligne(s) à corriger",IF(AND(W493&lt;&gt;"",N(W493)&lt;0),"Trop-perçu : vérifiez paiements et avoirs","OK")))))))))))))))))))))</f>
        <v/>
      </c>
      <c r="AA493" s="62" t="str">
        <f>IF(COUNTA(B493:D493,F493:O493)&gt;0,IF(B493="","Facture",B493),"")</f>
        <v/>
      </c>
      <c r="AB493" s="62" t="str">
        <f>IF(AA493="","",IF(AA493="Avoir",p_pav,IF(AA493="Facture d'acompte",p_pac,p_pfa)))</f>
        <v/>
      </c>
      <c r="AC493" s="62">
        <f>IF(ISNUMBER(C493),C493,0)</f>
        <v>0.0</v>
      </c>
      <c r="AD493" s="62" t="str">
        <f>IF(OR(AA493="",AC493=0),"",YEAR(AC493))</f>
        <v/>
      </c>
      <c r="AE493" s="62" t="str">
        <f>IF(AD493="","",COUNTIFS($AB$6:AB493,AB493,$AD$6:AD493,AD493))</f>
        <v/>
      </c>
      <c r="AF493" s="62">
        <f>IF(A493="",0,COUNTIF(fl_doc,A493))</f>
        <v>0.0</v>
      </c>
      <c r="AG493" s="62" t="str">
        <f>IF(A493="","",IF(AF493&gt;0,"Facture",IF(AND(F493&lt;&gt;"",AA493="Facture",ISNUMBER(MATCH(F493,dv_num,0))),"Devis","")))</f>
        <v/>
      </c>
      <c r="AH493" s="62" t="str">
        <f>IF(AND(A493&lt;&gt;"",F493&lt;&gt;"",AA493&lt;&gt;"Avoir"),F493,"")</f>
        <v/>
      </c>
      <c r="AI493" s="62" t="str">
        <f>IF(AG493="Devis",F493,"")</f>
        <v/>
      </c>
      <c r="AJ493" s="62">
        <f>IF(AG493="Facture",SUMIF(fl_doc,A493,fl_ht),IF(AG493="Devis",SUMIF(dl_doc,F493,dl_ht),0))</f>
        <v>0.0</v>
      </c>
      <c r="AK493" s="62">
        <f>IF(OR(AG493="",INDEX(p_rates,1)=""),0,IF(AG493="Facture",SUMIFS(fl_ht,fl_doc,A493,fl_rate,INDEX(p_rates,1)),SUMIFS(dl_ht,dl_doc,F493,dl_rate,INDEX(p_rates,1))))</f>
        <v>0.0</v>
      </c>
      <c r="AL493" s="62">
        <f>IF(OR(AG493="",INDEX(p_rates,2)=""),0,IF(AG493="Facture",SUMIFS(fl_ht,fl_doc,A493,fl_rate,INDEX(p_rates,2)),SUMIFS(dl_ht,dl_doc,F493,dl_rate,INDEX(p_rates,2))))</f>
        <v>0.0</v>
      </c>
      <c r="AM493" s="62">
        <f>IF(OR(AG493="",INDEX(p_rates,3)=""),0,IF(AG493="Facture",SUMIFS(fl_ht,fl_doc,A493,fl_rate,INDEX(p_rates,3)),SUMIFS(dl_ht,dl_doc,F493,dl_rate,INDEX(p_rates,3))))</f>
        <v>0.0</v>
      </c>
      <c r="AN493" s="62">
        <f>IF(OR(AG493="",INDEX(p_rates,4)=""),0,IF(AG493="Facture",SUMIFS(fl_ht,fl_doc,A493,fl_rate,INDEX(p_rates,4)),SUMIFS(dl_ht,dl_doc,F493,dl_rate,INDEX(p_rates,4))))</f>
        <v>0.0</v>
      </c>
      <c r="AO493" s="62">
        <f>IF(OR(AG493="",INDEX(p_rates,5)=""),0,IF(AG493="Facture",SUMIFS(fl_ht,fl_doc,A493,fl_rate,INDEX(p_rates,5)),SUMIFS(dl_ht,dl_doc,F493,dl_rate,INDEX(p_rates,5))))</f>
        <v>0.0</v>
      </c>
      <c r="AP493" s="62">
        <f>IF(OR(AG493="",INDEX(p_rates,6)=""),0,IF(AG493="Facture",SUMIFS(fl_ht,fl_doc,A493,fl_rate,INDEX(p_rates,6)),SUMIFS(dl_ht,dl_doc,F493,dl_rate,INDEX(p_rates,6))))</f>
        <v>0.0</v>
      </c>
      <c r="AQ493" s="62">
        <f>ROUND(AK493*N(INDEX(p_rates,1)),2)+ROUND(AL493*N(INDEX(p_rates,2)),2)+ROUND(AM493*N(INDEX(p_rates,3)),2)+ROUND(AN493*N(INDEX(p_rates,4)),2)+ROUND(AO493*N(INDEX(p_rates,5)),2)+ROUND(AP493*N(INDEX(p_rates,6)),2)</f>
        <v>0.0</v>
      </c>
      <c r="AR493" s="62" t="str">
        <f>IF(OR(L493="",AA493&lt;&gt;"Facture"),"",IFERROR(IF(INDEX(fa_type,MATCH(L493,fa_num,0))="Facture d'acompte",MATCH(L493,fa_num,0),""),""))</f>
        <v/>
      </c>
      <c r="AS493" s="62" t="str">
        <f>IF(W493="","",IF(W493&lt;=0,"",IF(p_asof-P493&lt;=0,"Non échu",IF(p_asof-P493&lt;=30,"1-30 j",IF(p_asof-P493&lt;=60,"31-60 j",IF(p_asof-P493&lt;=90,"61-90 j","Plus de 90 j"))))))</f>
        <v/>
      </c>
      <c r="AT493" s="62" t="str">
        <f>IF(AS493="","",p_asof-P493)</f>
        <v/>
      </c>
      <c r="AU493" s="62" t="str">
        <f>IF(AT493="","",COUNTIF($AT$6:$AT$805,"&gt;"&amp;AT493)+COUNTIF($AT$6:AT493,AT493))</f>
        <v/>
      </c>
    </row>
    <row r="494">
      <c r="A494" s="59" t="str">
        <f>IF(AE494="","",AB494&amp;"-"&amp;AD494&amp;"-"&amp;RIGHT("000"&amp;AE494,4))</f>
        <v/>
      </c>
      <c r="B494" s="60" t="n"/>
      <c r="C494" s="61" t="n"/>
      <c r="D494" s="60" t="n"/>
      <c r="E494" s="62" t="str">
        <f>IF(D494="","",IFERROR(INDEX(cli_name,MATCH(D494,cli_code,0))&amp;"","Client inconnu"))</f>
        <v/>
      </c>
      <c r="F494" s="60" t="n"/>
      <c r="G494" s="63" t="n"/>
      <c r="H494" s="61" t="n"/>
      <c r="I494" s="63" t="n"/>
      <c r="J494" s="60" t="n"/>
      <c r="K494" s="61" t="n"/>
      <c r="L494" s="60" t="n"/>
      <c r="M494" s="60" t="n"/>
      <c r="N494" s="60" t="n"/>
      <c r="O494" s="61" t="n"/>
      <c r="P494" s="64" t="str">
        <f>IF(A494="","",IF(AA494="Avoir",AC494,IF(ISNUMBER(K494),K494,AC494+IF(D494="",N(p_delay),IFERROR(IF(ISNUMBER(INDEX(cli_delay,MATCH(D494,cli_code,0))),INDEX(cli_delay,MATCH(D494,cli_code,0)),N(p_delay)),N(p_delay))))))</f>
        <v/>
      </c>
      <c r="Q494" s="65" t="str">
        <f>IF(A494="","",IF(AA494="Avoir",-1,1)*ROUND(AJ494-IF(AR494="",0,INDEX(fa_htb,AR494)),2))</f>
        <v/>
      </c>
      <c r="R494" s="65" t="str">
        <f>IF(A494="","",IF(AA494="Avoir",-1,1)*ROUND(AQ494-IF(AR494="",0,INDEX(fa_tvab,AR494)),2))</f>
        <v/>
      </c>
      <c r="S494" s="65" t="str">
        <f>IF(A494="","",Q494+R494)</f>
        <v/>
      </c>
      <c r="T494" s="65" t="str">
        <f>IF(AR494="","",INDEX(fa_htb,AR494)+INDEX(fa_tvab,AR494))</f>
        <v/>
      </c>
      <c r="U494" s="65" t="str">
        <f>IF(A494="","",SUMIF(pa_inv,A494,pa_amt))</f>
        <v/>
      </c>
      <c r="V494" s="65" t="str">
        <f>IF(OR(A494="",AA494="Avoir"),"",-SUMIFS(fa_ttc,fa_avof,A494,fa_type,"Avoir"))</f>
        <v/>
      </c>
      <c r="W494" s="65" t="str">
        <f>IF(OR(A494="",AA494="Avoir"),"",ROUND(S494-U494-V494,2))</f>
        <v/>
      </c>
      <c r="X494" s="66" t="str">
        <f>IF(W494="","",IF(AND(W494&gt;0,p_asof&gt;P494),p_asof-P494,""))</f>
        <v/>
      </c>
      <c r="Y494" s="59" t="str">
        <f>IF(A494="","",IF(AA494="Avoir","Avoir",IF(W494&lt;0,"Trop-perçu",IF(W494=0,"Soldée",IF(p_asof&gt;P494,"En retard",IF(U494+V494&gt;0,"Partielle","À échoir"))))))</f>
        <v/>
      </c>
      <c r="Z494" s="59" t="str">
        <f>IF(NOT(COUNTA(B494:D494,F494:O494)&gt;0),"",IF(C494="","Date manquante",IF(NOT(ISNUMBER(C494)),"Date invalide",IF(D494="","Client manquant",IF(ISNA(MATCH(D494,cli_code,0)),"Client inconnu",IF(AC494&lt;SUMPRODUCT(MAX(($AB$6:AB493=AB494)*$AC$6:AC493)),"Date antérieure à la facture précédente",IF(AND(F494&lt;&gt;"",ISNA(MATCH(F494,dv_num,0))),"Devis inconnu",IF(AND(F494&lt;&gt;"",IFERROR(INDEX(dv_client,MATCH(F494,dv_num,0)),D494)&lt;&gt;D494),"Client différent de celui du devis",IF(AG494="","Aucune ligne : saisissez des lignes ou un devis",IF(AND(AI494&lt;&gt;"",COUNTIF($AI$6:AI494,AI494)&gt;1),"Devis déjà repris par une autre facture",IF(AND(AA494="Avoir",M494=""),"Avoir : indiquez la facture d'origine",IF(AND(AA494="Avoir",ISNA(MATCH(M494,fa_num,0))),"Facture d'origine inconnue",IF(AND(AA494&lt;&gt;"Avoir",M494&lt;&gt;""),"« Avoir sur facture » : réservé aux avoirs",IF(AND(L494&lt;&gt;"",AA494&lt;&gt;"Facture"),"Acompte à déduire : réservé aux factures",IF(AND(L494&lt;&gt;"",ISNA(MATCH(L494,fa_num,0))),"Facture d'acompte inconnue",IF(AND(L494&lt;&gt;"",IFERROR(INDEX(fa_type,MATCH(L494,fa_num,0)),"")&lt;&gt;"Facture d'acompte"),"Le n° à déduire n'est pas une facture d'acompte",IF(AND(L494&lt;&gt;"",COUNTIF($L$6:L494,L494)&gt;1),"Acompte déjà déduit sur une autre facture",IF(AND(L494&lt;&gt;"",IFERROR(INDEX(fa_client,MATCH(L494,fa_num,0)),D494)&lt;&gt;D494),"Acompte d'un autre client",IF(AND(AR494&lt;&gt;"",N(Q494)&lt;0),"Acompte supérieur au total de la facture",IF(IF(AG494="Facture",COUNTIFS(fl_doc,A494,fl_check,"&lt;&gt;OK"),IF(AG494="Devis",COUNTIFS(dl_doc,F494,dl_check,"&lt;&gt;OK"),0))&gt;0,"Ligne(s) à corriger",IF(AND(W494&lt;&gt;"",N(W494)&lt;0),"Trop-perçu : vérifiez paiements et avoirs","OK")))))))))))))))))))))</f>
        <v/>
      </c>
      <c r="AA494" s="62" t="str">
        <f>IF(COUNTA(B494:D494,F494:O494)&gt;0,IF(B494="","Facture",B494),"")</f>
        <v/>
      </c>
      <c r="AB494" s="62" t="str">
        <f>IF(AA494="","",IF(AA494="Avoir",p_pav,IF(AA494="Facture d'acompte",p_pac,p_pfa)))</f>
        <v/>
      </c>
      <c r="AC494" s="62">
        <f>IF(ISNUMBER(C494),C494,0)</f>
        <v>0.0</v>
      </c>
      <c r="AD494" s="62" t="str">
        <f>IF(OR(AA494="",AC494=0),"",YEAR(AC494))</f>
        <v/>
      </c>
      <c r="AE494" s="62" t="str">
        <f>IF(AD494="","",COUNTIFS($AB$6:AB494,AB494,$AD$6:AD494,AD494))</f>
        <v/>
      </c>
      <c r="AF494" s="62">
        <f>IF(A494="",0,COUNTIF(fl_doc,A494))</f>
        <v>0.0</v>
      </c>
      <c r="AG494" s="62" t="str">
        <f>IF(A494="","",IF(AF494&gt;0,"Facture",IF(AND(F494&lt;&gt;"",AA494="Facture",ISNUMBER(MATCH(F494,dv_num,0))),"Devis","")))</f>
        <v/>
      </c>
      <c r="AH494" s="62" t="str">
        <f>IF(AND(A494&lt;&gt;"",F494&lt;&gt;"",AA494&lt;&gt;"Avoir"),F494,"")</f>
        <v/>
      </c>
      <c r="AI494" s="62" t="str">
        <f>IF(AG494="Devis",F494,"")</f>
        <v/>
      </c>
      <c r="AJ494" s="62">
        <f>IF(AG494="Facture",SUMIF(fl_doc,A494,fl_ht),IF(AG494="Devis",SUMIF(dl_doc,F494,dl_ht),0))</f>
        <v>0.0</v>
      </c>
      <c r="AK494" s="62">
        <f>IF(OR(AG494="",INDEX(p_rates,1)=""),0,IF(AG494="Facture",SUMIFS(fl_ht,fl_doc,A494,fl_rate,INDEX(p_rates,1)),SUMIFS(dl_ht,dl_doc,F494,dl_rate,INDEX(p_rates,1))))</f>
        <v>0.0</v>
      </c>
      <c r="AL494" s="62">
        <f>IF(OR(AG494="",INDEX(p_rates,2)=""),0,IF(AG494="Facture",SUMIFS(fl_ht,fl_doc,A494,fl_rate,INDEX(p_rates,2)),SUMIFS(dl_ht,dl_doc,F494,dl_rate,INDEX(p_rates,2))))</f>
        <v>0.0</v>
      </c>
      <c r="AM494" s="62">
        <f>IF(OR(AG494="",INDEX(p_rates,3)=""),0,IF(AG494="Facture",SUMIFS(fl_ht,fl_doc,A494,fl_rate,INDEX(p_rates,3)),SUMIFS(dl_ht,dl_doc,F494,dl_rate,INDEX(p_rates,3))))</f>
        <v>0.0</v>
      </c>
      <c r="AN494" s="62">
        <f>IF(OR(AG494="",INDEX(p_rates,4)=""),0,IF(AG494="Facture",SUMIFS(fl_ht,fl_doc,A494,fl_rate,INDEX(p_rates,4)),SUMIFS(dl_ht,dl_doc,F494,dl_rate,INDEX(p_rates,4))))</f>
        <v>0.0</v>
      </c>
      <c r="AO494" s="62">
        <f>IF(OR(AG494="",INDEX(p_rates,5)=""),0,IF(AG494="Facture",SUMIFS(fl_ht,fl_doc,A494,fl_rate,INDEX(p_rates,5)),SUMIFS(dl_ht,dl_doc,F494,dl_rate,INDEX(p_rates,5))))</f>
        <v>0.0</v>
      </c>
      <c r="AP494" s="62">
        <f>IF(OR(AG494="",INDEX(p_rates,6)=""),0,IF(AG494="Facture",SUMIFS(fl_ht,fl_doc,A494,fl_rate,INDEX(p_rates,6)),SUMIFS(dl_ht,dl_doc,F494,dl_rate,INDEX(p_rates,6))))</f>
        <v>0.0</v>
      </c>
      <c r="AQ494" s="62">
        <f>ROUND(AK494*N(INDEX(p_rates,1)),2)+ROUND(AL494*N(INDEX(p_rates,2)),2)+ROUND(AM494*N(INDEX(p_rates,3)),2)+ROUND(AN494*N(INDEX(p_rates,4)),2)+ROUND(AO494*N(INDEX(p_rates,5)),2)+ROUND(AP494*N(INDEX(p_rates,6)),2)</f>
        <v>0.0</v>
      </c>
      <c r="AR494" s="62" t="str">
        <f>IF(OR(L494="",AA494&lt;&gt;"Facture"),"",IFERROR(IF(INDEX(fa_type,MATCH(L494,fa_num,0))="Facture d'acompte",MATCH(L494,fa_num,0),""),""))</f>
        <v/>
      </c>
      <c r="AS494" s="62" t="str">
        <f>IF(W494="","",IF(W494&lt;=0,"",IF(p_asof-P494&lt;=0,"Non échu",IF(p_asof-P494&lt;=30,"1-30 j",IF(p_asof-P494&lt;=60,"31-60 j",IF(p_asof-P494&lt;=90,"61-90 j","Plus de 90 j"))))))</f>
        <v/>
      </c>
      <c r="AT494" s="62" t="str">
        <f>IF(AS494="","",p_asof-P494)</f>
        <v/>
      </c>
      <c r="AU494" s="62" t="str">
        <f>IF(AT494="","",COUNTIF($AT$6:$AT$805,"&gt;"&amp;AT494)+COUNTIF($AT$6:AT494,AT494))</f>
        <v/>
      </c>
    </row>
    <row r="495">
      <c r="A495" s="59" t="str">
        <f>IF(AE495="","",AB495&amp;"-"&amp;AD495&amp;"-"&amp;RIGHT("000"&amp;AE495,4))</f>
        <v/>
      </c>
      <c r="B495" s="60" t="n"/>
      <c r="C495" s="61" t="n"/>
      <c r="D495" s="60" t="n"/>
      <c r="E495" s="62" t="str">
        <f>IF(D495="","",IFERROR(INDEX(cli_name,MATCH(D495,cli_code,0))&amp;"","Client inconnu"))</f>
        <v/>
      </c>
      <c r="F495" s="60" t="n"/>
      <c r="G495" s="63" t="n"/>
      <c r="H495" s="61" t="n"/>
      <c r="I495" s="63" t="n"/>
      <c r="J495" s="60" t="n"/>
      <c r="K495" s="61" t="n"/>
      <c r="L495" s="60" t="n"/>
      <c r="M495" s="60" t="n"/>
      <c r="N495" s="60" t="n"/>
      <c r="O495" s="61" t="n"/>
      <c r="P495" s="64" t="str">
        <f>IF(A495="","",IF(AA495="Avoir",AC495,IF(ISNUMBER(K495),K495,AC495+IF(D495="",N(p_delay),IFERROR(IF(ISNUMBER(INDEX(cli_delay,MATCH(D495,cli_code,0))),INDEX(cli_delay,MATCH(D495,cli_code,0)),N(p_delay)),N(p_delay))))))</f>
        <v/>
      </c>
      <c r="Q495" s="65" t="str">
        <f>IF(A495="","",IF(AA495="Avoir",-1,1)*ROUND(AJ495-IF(AR495="",0,INDEX(fa_htb,AR495)),2))</f>
        <v/>
      </c>
      <c r="R495" s="65" t="str">
        <f>IF(A495="","",IF(AA495="Avoir",-1,1)*ROUND(AQ495-IF(AR495="",0,INDEX(fa_tvab,AR495)),2))</f>
        <v/>
      </c>
      <c r="S495" s="65" t="str">
        <f>IF(A495="","",Q495+R495)</f>
        <v/>
      </c>
      <c r="T495" s="65" t="str">
        <f>IF(AR495="","",INDEX(fa_htb,AR495)+INDEX(fa_tvab,AR495))</f>
        <v/>
      </c>
      <c r="U495" s="65" t="str">
        <f>IF(A495="","",SUMIF(pa_inv,A495,pa_amt))</f>
        <v/>
      </c>
      <c r="V495" s="65" t="str">
        <f>IF(OR(A495="",AA495="Avoir"),"",-SUMIFS(fa_ttc,fa_avof,A495,fa_type,"Avoir"))</f>
        <v/>
      </c>
      <c r="W495" s="65" t="str">
        <f>IF(OR(A495="",AA495="Avoir"),"",ROUND(S495-U495-V495,2))</f>
        <v/>
      </c>
      <c r="X495" s="66" t="str">
        <f>IF(W495="","",IF(AND(W495&gt;0,p_asof&gt;P495),p_asof-P495,""))</f>
        <v/>
      </c>
      <c r="Y495" s="59" t="str">
        <f>IF(A495="","",IF(AA495="Avoir","Avoir",IF(W495&lt;0,"Trop-perçu",IF(W495=0,"Soldée",IF(p_asof&gt;P495,"En retard",IF(U495+V495&gt;0,"Partielle","À échoir"))))))</f>
        <v/>
      </c>
      <c r="Z495" s="59" t="str">
        <f>IF(NOT(COUNTA(B495:D495,F495:O495)&gt;0),"",IF(C495="","Date manquante",IF(NOT(ISNUMBER(C495)),"Date invalide",IF(D495="","Client manquant",IF(ISNA(MATCH(D495,cli_code,0)),"Client inconnu",IF(AC495&lt;SUMPRODUCT(MAX(($AB$6:AB494=AB495)*$AC$6:AC494)),"Date antérieure à la facture précédente",IF(AND(F495&lt;&gt;"",ISNA(MATCH(F495,dv_num,0))),"Devis inconnu",IF(AND(F495&lt;&gt;"",IFERROR(INDEX(dv_client,MATCH(F495,dv_num,0)),D495)&lt;&gt;D495),"Client différent de celui du devis",IF(AG495="","Aucune ligne : saisissez des lignes ou un devis",IF(AND(AI495&lt;&gt;"",COUNTIF($AI$6:AI495,AI495)&gt;1),"Devis déjà repris par une autre facture",IF(AND(AA495="Avoir",M495=""),"Avoir : indiquez la facture d'origine",IF(AND(AA495="Avoir",ISNA(MATCH(M495,fa_num,0))),"Facture d'origine inconnue",IF(AND(AA495&lt;&gt;"Avoir",M495&lt;&gt;""),"« Avoir sur facture » : réservé aux avoirs",IF(AND(L495&lt;&gt;"",AA495&lt;&gt;"Facture"),"Acompte à déduire : réservé aux factures",IF(AND(L495&lt;&gt;"",ISNA(MATCH(L495,fa_num,0))),"Facture d'acompte inconnue",IF(AND(L495&lt;&gt;"",IFERROR(INDEX(fa_type,MATCH(L495,fa_num,0)),"")&lt;&gt;"Facture d'acompte"),"Le n° à déduire n'est pas une facture d'acompte",IF(AND(L495&lt;&gt;"",COUNTIF($L$6:L495,L495)&gt;1),"Acompte déjà déduit sur une autre facture",IF(AND(L495&lt;&gt;"",IFERROR(INDEX(fa_client,MATCH(L495,fa_num,0)),D495)&lt;&gt;D495),"Acompte d'un autre client",IF(AND(AR495&lt;&gt;"",N(Q495)&lt;0),"Acompte supérieur au total de la facture",IF(IF(AG495="Facture",COUNTIFS(fl_doc,A495,fl_check,"&lt;&gt;OK"),IF(AG495="Devis",COUNTIFS(dl_doc,F495,dl_check,"&lt;&gt;OK"),0))&gt;0,"Ligne(s) à corriger",IF(AND(W495&lt;&gt;"",N(W495)&lt;0),"Trop-perçu : vérifiez paiements et avoirs","OK")))))))))))))))))))))</f>
        <v/>
      </c>
      <c r="AA495" s="62" t="str">
        <f>IF(COUNTA(B495:D495,F495:O495)&gt;0,IF(B495="","Facture",B495),"")</f>
        <v/>
      </c>
      <c r="AB495" s="62" t="str">
        <f>IF(AA495="","",IF(AA495="Avoir",p_pav,IF(AA495="Facture d'acompte",p_pac,p_pfa)))</f>
        <v/>
      </c>
      <c r="AC495" s="62">
        <f>IF(ISNUMBER(C495),C495,0)</f>
        <v>0.0</v>
      </c>
      <c r="AD495" s="62" t="str">
        <f>IF(OR(AA495="",AC495=0),"",YEAR(AC495))</f>
        <v/>
      </c>
      <c r="AE495" s="62" t="str">
        <f>IF(AD495="","",COUNTIFS($AB$6:AB495,AB495,$AD$6:AD495,AD495))</f>
        <v/>
      </c>
      <c r="AF495" s="62">
        <f>IF(A495="",0,COUNTIF(fl_doc,A495))</f>
        <v>0.0</v>
      </c>
      <c r="AG495" s="62" t="str">
        <f>IF(A495="","",IF(AF495&gt;0,"Facture",IF(AND(F495&lt;&gt;"",AA495="Facture",ISNUMBER(MATCH(F495,dv_num,0))),"Devis","")))</f>
        <v/>
      </c>
      <c r="AH495" s="62" t="str">
        <f>IF(AND(A495&lt;&gt;"",F495&lt;&gt;"",AA495&lt;&gt;"Avoir"),F495,"")</f>
        <v/>
      </c>
      <c r="AI495" s="62" t="str">
        <f>IF(AG495="Devis",F495,"")</f>
        <v/>
      </c>
      <c r="AJ495" s="62">
        <f>IF(AG495="Facture",SUMIF(fl_doc,A495,fl_ht),IF(AG495="Devis",SUMIF(dl_doc,F495,dl_ht),0))</f>
        <v>0.0</v>
      </c>
      <c r="AK495" s="62">
        <f>IF(OR(AG495="",INDEX(p_rates,1)=""),0,IF(AG495="Facture",SUMIFS(fl_ht,fl_doc,A495,fl_rate,INDEX(p_rates,1)),SUMIFS(dl_ht,dl_doc,F495,dl_rate,INDEX(p_rates,1))))</f>
        <v>0.0</v>
      </c>
      <c r="AL495" s="62">
        <f>IF(OR(AG495="",INDEX(p_rates,2)=""),0,IF(AG495="Facture",SUMIFS(fl_ht,fl_doc,A495,fl_rate,INDEX(p_rates,2)),SUMIFS(dl_ht,dl_doc,F495,dl_rate,INDEX(p_rates,2))))</f>
        <v>0.0</v>
      </c>
      <c r="AM495" s="62">
        <f>IF(OR(AG495="",INDEX(p_rates,3)=""),0,IF(AG495="Facture",SUMIFS(fl_ht,fl_doc,A495,fl_rate,INDEX(p_rates,3)),SUMIFS(dl_ht,dl_doc,F495,dl_rate,INDEX(p_rates,3))))</f>
        <v>0.0</v>
      </c>
      <c r="AN495" s="62">
        <f>IF(OR(AG495="",INDEX(p_rates,4)=""),0,IF(AG495="Facture",SUMIFS(fl_ht,fl_doc,A495,fl_rate,INDEX(p_rates,4)),SUMIFS(dl_ht,dl_doc,F495,dl_rate,INDEX(p_rates,4))))</f>
        <v>0.0</v>
      </c>
      <c r="AO495" s="62">
        <f>IF(OR(AG495="",INDEX(p_rates,5)=""),0,IF(AG495="Facture",SUMIFS(fl_ht,fl_doc,A495,fl_rate,INDEX(p_rates,5)),SUMIFS(dl_ht,dl_doc,F495,dl_rate,INDEX(p_rates,5))))</f>
        <v>0.0</v>
      </c>
      <c r="AP495" s="62">
        <f>IF(OR(AG495="",INDEX(p_rates,6)=""),0,IF(AG495="Facture",SUMIFS(fl_ht,fl_doc,A495,fl_rate,INDEX(p_rates,6)),SUMIFS(dl_ht,dl_doc,F495,dl_rate,INDEX(p_rates,6))))</f>
        <v>0.0</v>
      </c>
      <c r="AQ495" s="62">
        <f>ROUND(AK495*N(INDEX(p_rates,1)),2)+ROUND(AL495*N(INDEX(p_rates,2)),2)+ROUND(AM495*N(INDEX(p_rates,3)),2)+ROUND(AN495*N(INDEX(p_rates,4)),2)+ROUND(AO495*N(INDEX(p_rates,5)),2)+ROUND(AP495*N(INDEX(p_rates,6)),2)</f>
        <v>0.0</v>
      </c>
      <c r="AR495" s="62" t="str">
        <f>IF(OR(L495="",AA495&lt;&gt;"Facture"),"",IFERROR(IF(INDEX(fa_type,MATCH(L495,fa_num,0))="Facture d'acompte",MATCH(L495,fa_num,0),""),""))</f>
        <v/>
      </c>
      <c r="AS495" s="62" t="str">
        <f>IF(W495="","",IF(W495&lt;=0,"",IF(p_asof-P495&lt;=0,"Non échu",IF(p_asof-P495&lt;=30,"1-30 j",IF(p_asof-P495&lt;=60,"31-60 j",IF(p_asof-P495&lt;=90,"61-90 j","Plus de 90 j"))))))</f>
        <v/>
      </c>
      <c r="AT495" s="62" t="str">
        <f>IF(AS495="","",p_asof-P495)</f>
        <v/>
      </c>
      <c r="AU495" s="62" t="str">
        <f>IF(AT495="","",COUNTIF($AT$6:$AT$805,"&gt;"&amp;AT495)+COUNTIF($AT$6:AT495,AT495))</f>
        <v/>
      </c>
    </row>
    <row r="496">
      <c r="A496" s="59" t="str">
        <f>IF(AE496="","",AB496&amp;"-"&amp;AD496&amp;"-"&amp;RIGHT("000"&amp;AE496,4))</f>
        <v/>
      </c>
      <c r="B496" s="60" t="n"/>
      <c r="C496" s="61" t="n"/>
      <c r="D496" s="60" t="n"/>
      <c r="E496" s="62" t="str">
        <f>IF(D496="","",IFERROR(INDEX(cli_name,MATCH(D496,cli_code,0))&amp;"","Client inconnu"))</f>
        <v/>
      </c>
      <c r="F496" s="60" t="n"/>
      <c r="G496" s="63" t="n"/>
      <c r="H496" s="61" t="n"/>
      <c r="I496" s="63" t="n"/>
      <c r="J496" s="60" t="n"/>
      <c r="K496" s="61" t="n"/>
      <c r="L496" s="60" t="n"/>
      <c r="M496" s="60" t="n"/>
      <c r="N496" s="60" t="n"/>
      <c r="O496" s="61" t="n"/>
      <c r="P496" s="64" t="str">
        <f>IF(A496="","",IF(AA496="Avoir",AC496,IF(ISNUMBER(K496),K496,AC496+IF(D496="",N(p_delay),IFERROR(IF(ISNUMBER(INDEX(cli_delay,MATCH(D496,cli_code,0))),INDEX(cli_delay,MATCH(D496,cli_code,0)),N(p_delay)),N(p_delay))))))</f>
        <v/>
      </c>
      <c r="Q496" s="65" t="str">
        <f>IF(A496="","",IF(AA496="Avoir",-1,1)*ROUND(AJ496-IF(AR496="",0,INDEX(fa_htb,AR496)),2))</f>
        <v/>
      </c>
      <c r="R496" s="65" t="str">
        <f>IF(A496="","",IF(AA496="Avoir",-1,1)*ROUND(AQ496-IF(AR496="",0,INDEX(fa_tvab,AR496)),2))</f>
        <v/>
      </c>
      <c r="S496" s="65" t="str">
        <f>IF(A496="","",Q496+R496)</f>
        <v/>
      </c>
      <c r="T496" s="65" t="str">
        <f>IF(AR496="","",INDEX(fa_htb,AR496)+INDEX(fa_tvab,AR496))</f>
        <v/>
      </c>
      <c r="U496" s="65" t="str">
        <f>IF(A496="","",SUMIF(pa_inv,A496,pa_amt))</f>
        <v/>
      </c>
      <c r="V496" s="65" t="str">
        <f>IF(OR(A496="",AA496="Avoir"),"",-SUMIFS(fa_ttc,fa_avof,A496,fa_type,"Avoir"))</f>
        <v/>
      </c>
      <c r="W496" s="65" t="str">
        <f>IF(OR(A496="",AA496="Avoir"),"",ROUND(S496-U496-V496,2))</f>
        <v/>
      </c>
      <c r="X496" s="66" t="str">
        <f>IF(W496="","",IF(AND(W496&gt;0,p_asof&gt;P496),p_asof-P496,""))</f>
        <v/>
      </c>
      <c r="Y496" s="59" t="str">
        <f>IF(A496="","",IF(AA496="Avoir","Avoir",IF(W496&lt;0,"Trop-perçu",IF(W496=0,"Soldée",IF(p_asof&gt;P496,"En retard",IF(U496+V496&gt;0,"Partielle","À échoir"))))))</f>
        <v/>
      </c>
      <c r="Z496" s="59" t="str">
        <f>IF(NOT(COUNTA(B496:D496,F496:O496)&gt;0),"",IF(C496="","Date manquante",IF(NOT(ISNUMBER(C496)),"Date invalide",IF(D496="","Client manquant",IF(ISNA(MATCH(D496,cli_code,0)),"Client inconnu",IF(AC496&lt;SUMPRODUCT(MAX(($AB$6:AB495=AB496)*$AC$6:AC495)),"Date antérieure à la facture précédente",IF(AND(F496&lt;&gt;"",ISNA(MATCH(F496,dv_num,0))),"Devis inconnu",IF(AND(F496&lt;&gt;"",IFERROR(INDEX(dv_client,MATCH(F496,dv_num,0)),D496)&lt;&gt;D496),"Client différent de celui du devis",IF(AG496="","Aucune ligne : saisissez des lignes ou un devis",IF(AND(AI496&lt;&gt;"",COUNTIF($AI$6:AI496,AI496)&gt;1),"Devis déjà repris par une autre facture",IF(AND(AA496="Avoir",M496=""),"Avoir : indiquez la facture d'origine",IF(AND(AA496="Avoir",ISNA(MATCH(M496,fa_num,0))),"Facture d'origine inconnue",IF(AND(AA496&lt;&gt;"Avoir",M496&lt;&gt;""),"« Avoir sur facture » : réservé aux avoirs",IF(AND(L496&lt;&gt;"",AA496&lt;&gt;"Facture"),"Acompte à déduire : réservé aux factures",IF(AND(L496&lt;&gt;"",ISNA(MATCH(L496,fa_num,0))),"Facture d'acompte inconnue",IF(AND(L496&lt;&gt;"",IFERROR(INDEX(fa_type,MATCH(L496,fa_num,0)),"")&lt;&gt;"Facture d'acompte"),"Le n° à déduire n'est pas une facture d'acompte",IF(AND(L496&lt;&gt;"",COUNTIF($L$6:L496,L496)&gt;1),"Acompte déjà déduit sur une autre facture",IF(AND(L496&lt;&gt;"",IFERROR(INDEX(fa_client,MATCH(L496,fa_num,0)),D496)&lt;&gt;D496),"Acompte d'un autre client",IF(AND(AR496&lt;&gt;"",N(Q496)&lt;0),"Acompte supérieur au total de la facture",IF(IF(AG496="Facture",COUNTIFS(fl_doc,A496,fl_check,"&lt;&gt;OK"),IF(AG496="Devis",COUNTIFS(dl_doc,F496,dl_check,"&lt;&gt;OK"),0))&gt;0,"Ligne(s) à corriger",IF(AND(W496&lt;&gt;"",N(W496)&lt;0),"Trop-perçu : vérifiez paiements et avoirs","OK")))))))))))))))))))))</f>
        <v/>
      </c>
      <c r="AA496" s="62" t="str">
        <f>IF(COUNTA(B496:D496,F496:O496)&gt;0,IF(B496="","Facture",B496),"")</f>
        <v/>
      </c>
      <c r="AB496" s="62" t="str">
        <f>IF(AA496="","",IF(AA496="Avoir",p_pav,IF(AA496="Facture d'acompte",p_pac,p_pfa)))</f>
        <v/>
      </c>
      <c r="AC496" s="62">
        <f>IF(ISNUMBER(C496),C496,0)</f>
        <v>0.0</v>
      </c>
      <c r="AD496" s="62" t="str">
        <f>IF(OR(AA496="",AC496=0),"",YEAR(AC496))</f>
        <v/>
      </c>
      <c r="AE496" s="62" t="str">
        <f>IF(AD496="","",COUNTIFS($AB$6:AB496,AB496,$AD$6:AD496,AD496))</f>
        <v/>
      </c>
      <c r="AF496" s="62">
        <f>IF(A496="",0,COUNTIF(fl_doc,A496))</f>
        <v>0.0</v>
      </c>
      <c r="AG496" s="62" t="str">
        <f>IF(A496="","",IF(AF496&gt;0,"Facture",IF(AND(F496&lt;&gt;"",AA496="Facture",ISNUMBER(MATCH(F496,dv_num,0))),"Devis","")))</f>
        <v/>
      </c>
      <c r="AH496" s="62" t="str">
        <f>IF(AND(A496&lt;&gt;"",F496&lt;&gt;"",AA496&lt;&gt;"Avoir"),F496,"")</f>
        <v/>
      </c>
      <c r="AI496" s="62" t="str">
        <f>IF(AG496="Devis",F496,"")</f>
        <v/>
      </c>
      <c r="AJ496" s="62">
        <f>IF(AG496="Facture",SUMIF(fl_doc,A496,fl_ht),IF(AG496="Devis",SUMIF(dl_doc,F496,dl_ht),0))</f>
        <v>0.0</v>
      </c>
      <c r="AK496" s="62">
        <f>IF(OR(AG496="",INDEX(p_rates,1)=""),0,IF(AG496="Facture",SUMIFS(fl_ht,fl_doc,A496,fl_rate,INDEX(p_rates,1)),SUMIFS(dl_ht,dl_doc,F496,dl_rate,INDEX(p_rates,1))))</f>
        <v>0.0</v>
      </c>
      <c r="AL496" s="62">
        <f>IF(OR(AG496="",INDEX(p_rates,2)=""),0,IF(AG496="Facture",SUMIFS(fl_ht,fl_doc,A496,fl_rate,INDEX(p_rates,2)),SUMIFS(dl_ht,dl_doc,F496,dl_rate,INDEX(p_rates,2))))</f>
        <v>0.0</v>
      </c>
      <c r="AM496" s="62">
        <f>IF(OR(AG496="",INDEX(p_rates,3)=""),0,IF(AG496="Facture",SUMIFS(fl_ht,fl_doc,A496,fl_rate,INDEX(p_rates,3)),SUMIFS(dl_ht,dl_doc,F496,dl_rate,INDEX(p_rates,3))))</f>
        <v>0.0</v>
      </c>
      <c r="AN496" s="62">
        <f>IF(OR(AG496="",INDEX(p_rates,4)=""),0,IF(AG496="Facture",SUMIFS(fl_ht,fl_doc,A496,fl_rate,INDEX(p_rates,4)),SUMIFS(dl_ht,dl_doc,F496,dl_rate,INDEX(p_rates,4))))</f>
        <v>0.0</v>
      </c>
      <c r="AO496" s="62">
        <f>IF(OR(AG496="",INDEX(p_rates,5)=""),0,IF(AG496="Facture",SUMIFS(fl_ht,fl_doc,A496,fl_rate,INDEX(p_rates,5)),SUMIFS(dl_ht,dl_doc,F496,dl_rate,INDEX(p_rates,5))))</f>
        <v>0.0</v>
      </c>
      <c r="AP496" s="62">
        <f>IF(OR(AG496="",INDEX(p_rates,6)=""),0,IF(AG496="Facture",SUMIFS(fl_ht,fl_doc,A496,fl_rate,INDEX(p_rates,6)),SUMIFS(dl_ht,dl_doc,F496,dl_rate,INDEX(p_rates,6))))</f>
        <v>0.0</v>
      </c>
      <c r="AQ496" s="62">
        <f>ROUND(AK496*N(INDEX(p_rates,1)),2)+ROUND(AL496*N(INDEX(p_rates,2)),2)+ROUND(AM496*N(INDEX(p_rates,3)),2)+ROUND(AN496*N(INDEX(p_rates,4)),2)+ROUND(AO496*N(INDEX(p_rates,5)),2)+ROUND(AP496*N(INDEX(p_rates,6)),2)</f>
        <v>0.0</v>
      </c>
      <c r="AR496" s="62" t="str">
        <f>IF(OR(L496="",AA496&lt;&gt;"Facture"),"",IFERROR(IF(INDEX(fa_type,MATCH(L496,fa_num,0))="Facture d'acompte",MATCH(L496,fa_num,0),""),""))</f>
        <v/>
      </c>
      <c r="AS496" s="62" t="str">
        <f>IF(W496="","",IF(W496&lt;=0,"",IF(p_asof-P496&lt;=0,"Non échu",IF(p_asof-P496&lt;=30,"1-30 j",IF(p_asof-P496&lt;=60,"31-60 j",IF(p_asof-P496&lt;=90,"61-90 j","Plus de 90 j"))))))</f>
        <v/>
      </c>
      <c r="AT496" s="62" t="str">
        <f>IF(AS496="","",p_asof-P496)</f>
        <v/>
      </c>
      <c r="AU496" s="62" t="str">
        <f>IF(AT496="","",COUNTIF($AT$6:$AT$805,"&gt;"&amp;AT496)+COUNTIF($AT$6:AT496,AT496))</f>
        <v/>
      </c>
    </row>
    <row r="497">
      <c r="A497" s="59" t="str">
        <f>IF(AE497="","",AB497&amp;"-"&amp;AD497&amp;"-"&amp;RIGHT("000"&amp;AE497,4))</f>
        <v/>
      </c>
      <c r="B497" s="60" t="n"/>
      <c r="C497" s="61" t="n"/>
      <c r="D497" s="60" t="n"/>
      <c r="E497" s="62" t="str">
        <f>IF(D497="","",IFERROR(INDEX(cli_name,MATCH(D497,cli_code,0))&amp;"","Client inconnu"))</f>
        <v/>
      </c>
      <c r="F497" s="60" t="n"/>
      <c r="G497" s="63" t="n"/>
      <c r="H497" s="61" t="n"/>
      <c r="I497" s="63" t="n"/>
      <c r="J497" s="60" t="n"/>
      <c r="K497" s="61" t="n"/>
      <c r="L497" s="60" t="n"/>
      <c r="M497" s="60" t="n"/>
      <c r="N497" s="60" t="n"/>
      <c r="O497" s="61" t="n"/>
      <c r="P497" s="64" t="str">
        <f>IF(A497="","",IF(AA497="Avoir",AC497,IF(ISNUMBER(K497),K497,AC497+IF(D497="",N(p_delay),IFERROR(IF(ISNUMBER(INDEX(cli_delay,MATCH(D497,cli_code,0))),INDEX(cli_delay,MATCH(D497,cli_code,0)),N(p_delay)),N(p_delay))))))</f>
        <v/>
      </c>
      <c r="Q497" s="65" t="str">
        <f>IF(A497="","",IF(AA497="Avoir",-1,1)*ROUND(AJ497-IF(AR497="",0,INDEX(fa_htb,AR497)),2))</f>
        <v/>
      </c>
      <c r="R497" s="65" t="str">
        <f>IF(A497="","",IF(AA497="Avoir",-1,1)*ROUND(AQ497-IF(AR497="",0,INDEX(fa_tvab,AR497)),2))</f>
        <v/>
      </c>
      <c r="S497" s="65" t="str">
        <f>IF(A497="","",Q497+R497)</f>
        <v/>
      </c>
      <c r="T497" s="65" t="str">
        <f>IF(AR497="","",INDEX(fa_htb,AR497)+INDEX(fa_tvab,AR497))</f>
        <v/>
      </c>
      <c r="U497" s="65" t="str">
        <f>IF(A497="","",SUMIF(pa_inv,A497,pa_amt))</f>
        <v/>
      </c>
      <c r="V497" s="65" t="str">
        <f>IF(OR(A497="",AA497="Avoir"),"",-SUMIFS(fa_ttc,fa_avof,A497,fa_type,"Avoir"))</f>
        <v/>
      </c>
      <c r="W497" s="65" t="str">
        <f>IF(OR(A497="",AA497="Avoir"),"",ROUND(S497-U497-V497,2))</f>
        <v/>
      </c>
      <c r="X497" s="66" t="str">
        <f>IF(W497="","",IF(AND(W497&gt;0,p_asof&gt;P497),p_asof-P497,""))</f>
        <v/>
      </c>
      <c r="Y497" s="59" t="str">
        <f>IF(A497="","",IF(AA497="Avoir","Avoir",IF(W497&lt;0,"Trop-perçu",IF(W497=0,"Soldée",IF(p_asof&gt;P497,"En retard",IF(U497+V497&gt;0,"Partielle","À échoir"))))))</f>
        <v/>
      </c>
      <c r="Z497" s="59" t="str">
        <f>IF(NOT(COUNTA(B497:D497,F497:O497)&gt;0),"",IF(C497="","Date manquante",IF(NOT(ISNUMBER(C497)),"Date invalide",IF(D497="","Client manquant",IF(ISNA(MATCH(D497,cli_code,0)),"Client inconnu",IF(AC497&lt;SUMPRODUCT(MAX(($AB$6:AB496=AB497)*$AC$6:AC496)),"Date antérieure à la facture précédente",IF(AND(F497&lt;&gt;"",ISNA(MATCH(F497,dv_num,0))),"Devis inconnu",IF(AND(F497&lt;&gt;"",IFERROR(INDEX(dv_client,MATCH(F497,dv_num,0)),D497)&lt;&gt;D497),"Client différent de celui du devis",IF(AG497="","Aucune ligne : saisissez des lignes ou un devis",IF(AND(AI497&lt;&gt;"",COUNTIF($AI$6:AI497,AI497)&gt;1),"Devis déjà repris par une autre facture",IF(AND(AA497="Avoir",M497=""),"Avoir : indiquez la facture d'origine",IF(AND(AA497="Avoir",ISNA(MATCH(M497,fa_num,0))),"Facture d'origine inconnue",IF(AND(AA497&lt;&gt;"Avoir",M497&lt;&gt;""),"« Avoir sur facture » : réservé aux avoirs",IF(AND(L497&lt;&gt;"",AA497&lt;&gt;"Facture"),"Acompte à déduire : réservé aux factures",IF(AND(L497&lt;&gt;"",ISNA(MATCH(L497,fa_num,0))),"Facture d'acompte inconnue",IF(AND(L497&lt;&gt;"",IFERROR(INDEX(fa_type,MATCH(L497,fa_num,0)),"")&lt;&gt;"Facture d'acompte"),"Le n° à déduire n'est pas une facture d'acompte",IF(AND(L497&lt;&gt;"",COUNTIF($L$6:L497,L497)&gt;1),"Acompte déjà déduit sur une autre facture",IF(AND(L497&lt;&gt;"",IFERROR(INDEX(fa_client,MATCH(L497,fa_num,0)),D497)&lt;&gt;D497),"Acompte d'un autre client",IF(AND(AR497&lt;&gt;"",N(Q497)&lt;0),"Acompte supérieur au total de la facture",IF(IF(AG497="Facture",COUNTIFS(fl_doc,A497,fl_check,"&lt;&gt;OK"),IF(AG497="Devis",COUNTIFS(dl_doc,F497,dl_check,"&lt;&gt;OK"),0))&gt;0,"Ligne(s) à corriger",IF(AND(W497&lt;&gt;"",N(W497)&lt;0),"Trop-perçu : vérifiez paiements et avoirs","OK")))))))))))))))))))))</f>
        <v/>
      </c>
      <c r="AA497" s="62" t="str">
        <f>IF(COUNTA(B497:D497,F497:O497)&gt;0,IF(B497="","Facture",B497),"")</f>
        <v/>
      </c>
      <c r="AB497" s="62" t="str">
        <f>IF(AA497="","",IF(AA497="Avoir",p_pav,IF(AA497="Facture d'acompte",p_pac,p_pfa)))</f>
        <v/>
      </c>
      <c r="AC497" s="62">
        <f>IF(ISNUMBER(C497),C497,0)</f>
        <v>0.0</v>
      </c>
      <c r="AD497" s="62" t="str">
        <f>IF(OR(AA497="",AC497=0),"",YEAR(AC497))</f>
        <v/>
      </c>
      <c r="AE497" s="62" t="str">
        <f>IF(AD497="","",COUNTIFS($AB$6:AB497,AB497,$AD$6:AD497,AD497))</f>
        <v/>
      </c>
      <c r="AF497" s="62">
        <f>IF(A497="",0,COUNTIF(fl_doc,A497))</f>
        <v>0.0</v>
      </c>
      <c r="AG497" s="62" t="str">
        <f>IF(A497="","",IF(AF497&gt;0,"Facture",IF(AND(F497&lt;&gt;"",AA497="Facture",ISNUMBER(MATCH(F497,dv_num,0))),"Devis","")))</f>
        <v/>
      </c>
      <c r="AH497" s="62" t="str">
        <f>IF(AND(A497&lt;&gt;"",F497&lt;&gt;"",AA497&lt;&gt;"Avoir"),F497,"")</f>
        <v/>
      </c>
      <c r="AI497" s="62" t="str">
        <f>IF(AG497="Devis",F497,"")</f>
        <v/>
      </c>
      <c r="AJ497" s="62">
        <f>IF(AG497="Facture",SUMIF(fl_doc,A497,fl_ht),IF(AG497="Devis",SUMIF(dl_doc,F497,dl_ht),0))</f>
        <v>0.0</v>
      </c>
      <c r="AK497" s="62">
        <f>IF(OR(AG497="",INDEX(p_rates,1)=""),0,IF(AG497="Facture",SUMIFS(fl_ht,fl_doc,A497,fl_rate,INDEX(p_rates,1)),SUMIFS(dl_ht,dl_doc,F497,dl_rate,INDEX(p_rates,1))))</f>
        <v>0.0</v>
      </c>
      <c r="AL497" s="62">
        <f>IF(OR(AG497="",INDEX(p_rates,2)=""),0,IF(AG497="Facture",SUMIFS(fl_ht,fl_doc,A497,fl_rate,INDEX(p_rates,2)),SUMIFS(dl_ht,dl_doc,F497,dl_rate,INDEX(p_rates,2))))</f>
        <v>0.0</v>
      </c>
      <c r="AM497" s="62">
        <f>IF(OR(AG497="",INDEX(p_rates,3)=""),0,IF(AG497="Facture",SUMIFS(fl_ht,fl_doc,A497,fl_rate,INDEX(p_rates,3)),SUMIFS(dl_ht,dl_doc,F497,dl_rate,INDEX(p_rates,3))))</f>
        <v>0.0</v>
      </c>
      <c r="AN497" s="62">
        <f>IF(OR(AG497="",INDEX(p_rates,4)=""),0,IF(AG497="Facture",SUMIFS(fl_ht,fl_doc,A497,fl_rate,INDEX(p_rates,4)),SUMIFS(dl_ht,dl_doc,F497,dl_rate,INDEX(p_rates,4))))</f>
        <v>0.0</v>
      </c>
      <c r="AO497" s="62">
        <f>IF(OR(AG497="",INDEX(p_rates,5)=""),0,IF(AG497="Facture",SUMIFS(fl_ht,fl_doc,A497,fl_rate,INDEX(p_rates,5)),SUMIFS(dl_ht,dl_doc,F497,dl_rate,INDEX(p_rates,5))))</f>
        <v>0.0</v>
      </c>
      <c r="AP497" s="62">
        <f>IF(OR(AG497="",INDEX(p_rates,6)=""),0,IF(AG497="Facture",SUMIFS(fl_ht,fl_doc,A497,fl_rate,INDEX(p_rates,6)),SUMIFS(dl_ht,dl_doc,F497,dl_rate,INDEX(p_rates,6))))</f>
        <v>0.0</v>
      </c>
      <c r="AQ497" s="62">
        <f>ROUND(AK497*N(INDEX(p_rates,1)),2)+ROUND(AL497*N(INDEX(p_rates,2)),2)+ROUND(AM497*N(INDEX(p_rates,3)),2)+ROUND(AN497*N(INDEX(p_rates,4)),2)+ROUND(AO497*N(INDEX(p_rates,5)),2)+ROUND(AP497*N(INDEX(p_rates,6)),2)</f>
        <v>0.0</v>
      </c>
      <c r="AR497" s="62" t="str">
        <f>IF(OR(L497="",AA497&lt;&gt;"Facture"),"",IFERROR(IF(INDEX(fa_type,MATCH(L497,fa_num,0))="Facture d'acompte",MATCH(L497,fa_num,0),""),""))</f>
        <v/>
      </c>
      <c r="AS497" s="62" t="str">
        <f>IF(W497="","",IF(W497&lt;=0,"",IF(p_asof-P497&lt;=0,"Non échu",IF(p_asof-P497&lt;=30,"1-30 j",IF(p_asof-P497&lt;=60,"31-60 j",IF(p_asof-P497&lt;=90,"61-90 j","Plus de 90 j"))))))</f>
        <v/>
      </c>
      <c r="AT497" s="62" t="str">
        <f>IF(AS497="","",p_asof-P497)</f>
        <v/>
      </c>
      <c r="AU497" s="62" t="str">
        <f>IF(AT497="","",COUNTIF($AT$6:$AT$805,"&gt;"&amp;AT497)+COUNTIF($AT$6:AT497,AT497))</f>
        <v/>
      </c>
    </row>
    <row r="498">
      <c r="A498" s="59" t="str">
        <f>IF(AE498="","",AB498&amp;"-"&amp;AD498&amp;"-"&amp;RIGHT("000"&amp;AE498,4))</f>
        <v/>
      </c>
      <c r="B498" s="60" t="n"/>
      <c r="C498" s="61" t="n"/>
      <c r="D498" s="60" t="n"/>
      <c r="E498" s="62" t="str">
        <f>IF(D498="","",IFERROR(INDEX(cli_name,MATCH(D498,cli_code,0))&amp;"","Client inconnu"))</f>
        <v/>
      </c>
      <c r="F498" s="60" t="n"/>
      <c r="G498" s="63" t="n"/>
      <c r="H498" s="61" t="n"/>
      <c r="I498" s="63" t="n"/>
      <c r="J498" s="60" t="n"/>
      <c r="K498" s="61" t="n"/>
      <c r="L498" s="60" t="n"/>
      <c r="M498" s="60" t="n"/>
      <c r="N498" s="60" t="n"/>
      <c r="O498" s="61" t="n"/>
      <c r="P498" s="64" t="str">
        <f>IF(A498="","",IF(AA498="Avoir",AC498,IF(ISNUMBER(K498),K498,AC498+IF(D498="",N(p_delay),IFERROR(IF(ISNUMBER(INDEX(cli_delay,MATCH(D498,cli_code,0))),INDEX(cli_delay,MATCH(D498,cli_code,0)),N(p_delay)),N(p_delay))))))</f>
        <v/>
      </c>
      <c r="Q498" s="65" t="str">
        <f>IF(A498="","",IF(AA498="Avoir",-1,1)*ROUND(AJ498-IF(AR498="",0,INDEX(fa_htb,AR498)),2))</f>
        <v/>
      </c>
      <c r="R498" s="65" t="str">
        <f>IF(A498="","",IF(AA498="Avoir",-1,1)*ROUND(AQ498-IF(AR498="",0,INDEX(fa_tvab,AR498)),2))</f>
        <v/>
      </c>
      <c r="S498" s="65" t="str">
        <f>IF(A498="","",Q498+R498)</f>
        <v/>
      </c>
      <c r="T498" s="65" t="str">
        <f>IF(AR498="","",INDEX(fa_htb,AR498)+INDEX(fa_tvab,AR498))</f>
        <v/>
      </c>
      <c r="U498" s="65" t="str">
        <f>IF(A498="","",SUMIF(pa_inv,A498,pa_amt))</f>
        <v/>
      </c>
      <c r="V498" s="65" t="str">
        <f>IF(OR(A498="",AA498="Avoir"),"",-SUMIFS(fa_ttc,fa_avof,A498,fa_type,"Avoir"))</f>
        <v/>
      </c>
      <c r="W498" s="65" t="str">
        <f>IF(OR(A498="",AA498="Avoir"),"",ROUND(S498-U498-V498,2))</f>
        <v/>
      </c>
      <c r="X498" s="66" t="str">
        <f>IF(W498="","",IF(AND(W498&gt;0,p_asof&gt;P498),p_asof-P498,""))</f>
        <v/>
      </c>
      <c r="Y498" s="59" t="str">
        <f>IF(A498="","",IF(AA498="Avoir","Avoir",IF(W498&lt;0,"Trop-perçu",IF(W498=0,"Soldée",IF(p_asof&gt;P498,"En retard",IF(U498+V498&gt;0,"Partielle","À échoir"))))))</f>
        <v/>
      </c>
      <c r="Z498" s="59" t="str">
        <f>IF(NOT(COUNTA(B498:D498,F498:O498)&gt;0),"",IF(C498="","Date manquante",IF(NOT(ISNUMBER(C498)),"Date invalide",IF(D498="","Client manquant",IF(ISNA(MATCH(D498,cli_code,0)),"Client inconnu",IF(AC498&lt;SUMPRODUCT(MAX(($AB$6:AB497=AB498)*$AC$6:AC497)),"Date antérieure à la facture précédente",IF(AND(F498&lt;&gt;"",ISNA(MATCH(F498,dv_num,0))),"Devis inconnu",IF(AND(F498&lt;&gt;"",IFERROR(INDEX(dv_client,MATCH(F498,dv_num,0)),D498)&lt;&gt;D498),"Client différent de celui du devis",IF(AG498="","Aucune ligne : saisissez des lignes ou un devis",IF(AND(AI498&lt;&gt;"",COUNTIF($AI$6:AI498,AI498)&gt;1),"Devis déjà repris par une autre facture",IF(AND(AA498="Avoir",M498=""),"Avoir : indiquez la facture d'origine",IF(AND(AA498="Avoir",ISNA(MATCH(M498,fa_num,0))),"Facture d'origine inconnue",IF(AND(AA498&lt;&gt;"Avoir",M498&lt;&gt;""),"« Avoir sur facture » : réservé aux avoirs",IF(AND(L498&lt;&gt;"",AA498&lt;&gt;"Facture"),"Acompte à déduire : réservé aux factures",IF(AND(L498&lt;&gt;"",ISNA(MATCH(L498,fa_num,0))),"Facture d'acompte inconnue",IF(AND(L498&lt;&gt;"",IFERROR(INDEX(fa_type,MATCH(L498,fa_num,0)),"")&lt;&gt;"Facture d'acompte"),"Le n° à déduire n'est pas une facture d'acompte",IF(AND(L498&lt;&gt;"",COUNTIF($L$6:L498,L498)&gt;1),"Acompte déjà déduit sur une autre facture",IF(AND(L498&lt;&gt;"",IFERROR(INDEX(fa_client,MATCH(L498,fa_num,0)),D498)&lt;&gt;D498),"Acompte d'un autre client",IF(AND(AR498&lt;&gt;"",N(Q498)&lt;0),"Acompte supérieur au total de la facture",IF(IF(AG498="Facture",COUNTIFS(fl_doc,A498,fl_check,"&lt;&gt;OK"),IF(AG498="Devis",COUNTIFS(dl_doc,F498,dl_check,"&lt;&gt;OK"),0))&gt;0,"Ligne(s) à corriger",IF(AND(W498&lt;&gt;"",N(W498)&lt;0),"Trop-perçu : vérifiez paiements et avoirs","OK")))))))))))))))))))))</f>
        <v/>
      </c>
      <c r="AA498" s="62" t="str">
        <f>IF(COUNTA(B498:D498,F498:O498)&gt;0,IF(B498="","Facture",B498),"")</f>
        <v/>
      </c>
      <c r="AB498" s="62" t="str">
        <f>IF(AA498="","",IF(AA498="Avoir",p_pav,IF(AA498="Facture d'acompte",p_pac,p_pfa)))</f>
        <v/>
      </c>
      <c r="AC498" s="62">
        <f>IF(ISNUMBER(C498),C498,0)</f>
        <v>0.0</v>
      </c>
      <c r="AD498" s="62" t="str">
        <f>IF(OR(AA498="",AC498=0),"",YEAR(AC498))</f>
        <v/>
      </c>
      <c r="AE498" s="62" t="str">
        <f>IF(AD498="","",COUNTIFS($AB$6:AB498,AB498,$AD$6:AD498,AD498))</f>
        <v/>
      </c>
      <c r="AF498" s="62">
        <f>IF(A498="",0,COUNTIF(fl_doc,A498))</f>
        <v>0.0</v>
      </c>
      <c r="AG498" s="62" t="str">
        <f>IF(A498="","",IF(AF498&gt;0,"Facture",IF(AND(F498&lt;&gt;"",AA498="Facture",ISNUMBER(MATCH(F498,dv_num,0))),"Devis","")))</f>
        <v/>
      </c>
      <c r="AH498" s="62" t="str">
        <f>IF(AND(A498&lt;&gt;"",F498&lt;&gt;"",AA498&lt;&gt;"Avoir"),F498,"")</f>
        <v/>
      </c>
      <c r="AI498" s="62" t="str">
        <f>IF(AG498="Devis",F498,"")</f>
        <v/>
      </c>
      <c r="AJ498" s="62">
        <f>IF(AG498="Facture",SUMIF(fl_doc,A498,fl_ht),IF(AG498="Devis",SUMIF(dl_doc,F498,dl_ht),0))</f>
        <v>0.0</v>
      </c>
      <c r="AK498" s="62">
        <f>IF(OR(AG498="",INDEX(p_rates,1)=""),0,IF(AG498="Facture",SUMIFS(fl_ht,fl_doc,A498,fl_rate,INDEX(p_rates,1)),SUMIFS(dl_ht,dl_doc,F498,dl_rate,INDEX(p_rates,1))))</f>
        <v>0.0</v>
      </c>
      <c r="AL498" s="62">
        <f>IF(OR(AG498="",INDEX(p_rates,2)=""),0,IF(AG498="Facture",SUMIFS(fl_ht,fl_doc,A498,fl_rate,INDEX(p_rates,2)),SUMIFS(dl_ht,dl_doc,F498,dl_rate,INDEX(p_rates,2))))</f>
        <v>0.0</v>
      </c>
      <c r="AM498" s="62">
        <f>IF(OR(AG498="",INDEX(p_rates,3)=""),0,IF(AG498="Facture",SUMIFS(fl_ht,fl_doc,A498,fl_rate,INDEX(p_rates,3)),SUMIFS(dl_ht,dl_doc,F498,dl_rate,INDEX(p_rates,3))))</f>
        <v>0.0</v>
      </c>
      <c r="AN498" s="62">
        <f>IF(OR(AG498="",INDEX(p_rates,4)=""),0,IF(AG498="Facture",SUMIFS(fl_ht,fl_doc,A498,fl_rate,INDEX(p_rates,4)),SUMIFS(dl_ht,dl_doc,F498,dl_rate,INDEX(p_rates,4))))</f>
        <v>0.0</v>
      </c>
      <c r="AO498" s="62">
        <f>IF(OR(AG498="",INDEX(p_rates,5)=""),0,IF(AG498="Facture",SUMIFS(fl_ht,fl_doc,A498,fl_rate,INDEX(p_rates,5)),SUMIFS(dl_ht,dl_doc,F498,dl_rate,INDEX(p_rates,5))))</f>
        <v>0.0</v>
      </c>
      <c r="AP498" s="62">
        <f>IF(OR(AG498="",INDEX(p_rates,6)=""),0,IF(AG498="Facture",SUMIFS(fl_ht,fl_doc,A498,fl_rate,INDEX(p_rates,6)),SUMIFS(dl_ht,dl_doc,F498,dl_rate,INDEX(p_rates,6))))</f>
        <v>0.0</v>
      </c>
      <c r="AQ498" s="62">
        <f>ROUND(AK498*N(INDEX(p_rates,1)),2)+ROUND(AL498*N(INDEX(p_rates,2)),2)+ROUND(AM498*N(INDEX(p_rates,3)),2)+ROUND(AN498*N(INDEX(p_rates,4)),2)+ROUND(AO498*N(INDEX(p_rates,5)),2)+ROUND(AP498*N(INDEX(p_rates,6)),2)</f>
        <v>0.0</v>
      </c>
      <c r="AR498" s="62" t="str">
        <f>IF(OR(L498="",AA498&lt;&gt;"Facture"),"",IFERROR(IF(INDEX(fa_type,MATCH(L498,fa_num,0))="Facture d'acompte",MATCH(L498,fa_num,0),""),""))</f>
        <v/>
      </c>
      <c r="AS498" s="62" t="str">
        <f>IF(W498="","",IF(W498&lt;=0,"",IF(p_asof-P498&lt;=0,"Non échu",IF(p_asof-P498&lt;=30,"1-30 j",IF(p_asof-P498&lt;=60,"31-60 j",IF(p_asof-P498&lt;=90,"61-90 j","Plus de 90 j"))))))</f>
        <v/>
      </c>
      <c r="AT498" s="62" t="str">
        <f>IF(AS498="","",p_asof-P498)</f>
        <v/>
      </c>
      <c r="AU498" s="62" t="str">
        <f>IF(AT498="","",COUNTIF($AT$6:$AT$805,"&gt;"&amp;AT498)+COUNTIF($AT$6:AT498,AT498))</f>
        <v/>
      </c>
    </row>
    <row r="499">
      <c r="A499" s="59" t="str">
        <f>IF(AE499="","",AB499&amp;"-"&amp;AD499&amp;"-"&amp;RIGHT("000"&amp;AE499,4))</f>
        <v/>
      </c>
      <c r="B499" s="60" t="n"/>
      <c r="C499" s="61" t="n"/>
      <c r="D499" s="60" t="n"/>
      <c r="E499" s="62" t="str">
        <f>IF(D499="","",IFERROR(INDEX(cli_name,MATCH(D499,cli_code,0))&amp;"","Client inconnu"))</f>
        <v/>
      </c>
      <c r="F499" s="60" t="n"/>
      <c r="G499" s="63" t="n"/>
      <c r="H499" s="61" t="n"/>
      <c r="I499" s="63" t="n"/>
      <c r="J499" s="60" t="n"/>
      <c r="K499" s="61" t="n"/>
      <c r="L499" s="60" t="n"/>
      <c r="M499" s="60" t="n"/>
      <c r="N499" s="60" t="n"/>
      <c r="O499" s="61" t="n"/>
      <c r="P499" s="64" t="str">
        <f>IF(A499="","",IF(AA499="Avoir",AC499,IF(ISNUMBER(K499),K499,AC499+IF(D499="",N(p_delay),IFERROR(IF(ISNUMBER(INDEX(cli_delay,MATCH(D499,cli_code,0))),INDEX(cli_delay,MATCH(D499,cli_code,0)),N(p_delay)),N(p_delay))))))</f>
        <v/>
      </c>
      <c r="Q499" s="65" t="str">
        <f>IF(A499="","",IF(AA499="Avoir",-1,1)*ROUND(AJ499-IF(AR499="",0,INDEX(fa_htb,AR499)),2))</f>
        <v/>
      </c>
      <c r="R499" s="65" t="str">
        <f>IF(A499="","",IF(AA499="Avoir",-1,1)*ROUND(AQ499-IF(AR499="",0,INDEX(fa_tvab,AR499)),2))</f>
        <v/>
      </c>
      <c r="S499" s="65" t="str">
        <f>IF(A499="","",Q499+R499)</f>
        <v/>
      </c>
      <c r="T499" s="65" t="str">
        <f>IF(AR499="","",INDEX(fa_htb,AR499)+INDEX(fa_tvab,AR499))</f>
        <v/>
      </c>
      <c r="U499" s="65" t="str">
        <f>IF(A499="","",SUMIF(pa_inv,A499,pa_amt))</f>
        <v/>
      </c>
      <c r="V499" s="65" t="str">
        <f>IF(OR(A499="",AA499="Avoir"),"",-SUMIFS(fa_ttc,fa_avof,A499,fa_type,"Avoir"))</f>
        <v/>
      </c>
      <c r="W499" s="65" t="str">
        <f>IF(OR(A499="",AA499="Avoir"),"",ROUND(S499-U499-V499,2))</f>
        <v/>
      </c>
      <c r="X499" s="66" t="str">
        <f>IF(W499="","",IF(AND(W499&gt;0,p_asof&gt;P499),p_asof-P499,""))</f>
        <v/>
      </c>
      <c r="Y499" s="59" t="str">
        <f>IF(A499="","",IF(AA499="Avoir","Avoir",IF(W499&lt;0,"Trop-perçu",IF(W499=0,"Soldée",IF(p_asof&gt;P499,"En retard",IF(U499+V499&gt;0,"Partielle","À échoir"))))))</f>
        <v/>
      </c>
      <c r="Z499" s="59" t="str">
        <f>IF(NOT(COUNTA(B499:D499,F499:O499)&gt;0),"",IF(C499="","Date manquante",IF(NOT(ISNUMBER(C499)),"Date invalide",IF(D499="","Client manquant",IF(ISNA(MATCH(D499,cli_code,0)),"Client inconnu",IF(AC499&lt;SUMPRODUCT(MAX(($AB$6:AB498=AB499)*$AC$6:AC498)),"Date antérieure à la facture précédente",IF(AND(F499&lt;&gt;"",ISNA(MATCH(F499,dv_num,0))),"Devis inconnu",IF(AND(F499&lt;&gt;"",IFERROR(INDEX(dv_client,MATCH(F499,dv_num,0)),D499)&lt;&gt;D499),"Client différent de celui du devis",IF(AG499="","Aucune ligne : saisissez des lignes ou un devis",IF(AND(AI499&lt;&gt;"",COUNTIF($AI$6:AI499,AI499)&gt;1),"Devis déjà repris par une autre facture",IF(AND(AA499="Avoir",M499=""),"Avoir : indiquez la facture d'origine",IF(AND(AA499="Avoir",ISNA(MATCH(M499,fa_num,0))),"Facture d'origine inconnue",IF(AND(AA499&lt;&gt;"Avoir",M499&lt;&gt;""),"« Avoir sur facture » : réservé aux avoirs",IF(AND(L499&lt;&gt;"",AA499&lt;&gt;"Facture"),"Acompte à déduire : réservé aux factures",IF(AND(L499&lt;&gt;"",ISNA(MATCH(L499,fa_num,0))),"Facture d'acompte inconnue",IF(AND(L499&lt;&gt;"",IFERROR(INDEX(fa_type,MATCH(L499,fa_num,0)),"")&lt;&gt;"Facture d'acompte"),"Le n° à déduire n'est pas une facture d'acompte",IF(AND(L499&lt;&gt;"",COUNTIF($L$6:L499,L499)&gt;1),"Acompte déjà déduit sur une autre facture",IF(AND(L499&lt;&gt;"",IFERROR(INDEX(fa_client,MATCH(L499,fa_num,0)),D499)&lt;&gt;D499),"Acompte d'un autre client",IF(AND(AR499&lt;&gt;"",N(Q499)&lt;0),"Acompte supérieur au total de la facture",IF(IF(AG499="Facture",COUNTIFS(fl_doc,A499,fl_check,"&lt;&gt;OK"),IF(AG499="Devis",COUNTIFS(dl_doc,F499,dl_check,"&lt;&gt;OK"),0))&gt;0,"Ligne(s) à corriger",IF(AND(W499&lt;&gt;"",N(W499)&lt;0),"Trop-perçu : vérifiez paiements et avoirs","OK")))))))))))))))))))))</f>
        <v/>
      </c>
      <c r="AA499" s="62" t="str">
        <f>IF(COUNTA(B499:D499,F499:O499)&gt;0,IF(B499="","Facture",B499),"")</f>
        <v/>
      </c>
      <c r="AB499" s="62" t="str">
        <f>IF(AA499="","",IF(AA499="Avoir",p_pav,IF(AA499="Facture d'acompte",p_pac,p_pfa)))</f>
        <v/>
      </c>
      <c r="AC499" s="62">
        <f>IF(ISNUMBER(C499),C499,0)</f>
        <v>0.0</v>
      </c>
      <c r="AD499" s="62" t="str">
        <f>IF(OR(AA499="",AC499=0),"",YEAR(AC499))</f>
        <v/>
      </c>
      <c r="AE499" s="62" t="str">
        <f>IF(AD499="","",COUNTIFS($AB$6:AB499,AB499,$AD$6:AD499,AD499))</f>
        <v/>
      </c>
      <c r="AF499" s="62">
        <f>IF(A499="",0,COUNTIF(fl_doc,A499))</f>
        <v>0.0</v>
      </c>
      <c r="AG499" s="62" t="str">
        <f>IF(A499="","",IF(AF499&gt;0,"Facture",IF(AND(F499&lt;&gt;"",AA499="Facture",ISNUMBER(MATCH(F499,dv_num,0))),"Devis","")))</f>
        <v/>
      </c>
      <c r="AH499" s="62" t="str">
        <f>IF(AND(A499&lt;&gt;"",F499&lt;&gt;"",AA499&lt;&gt;"Avoir"),F499,"")</f>
        <v/>
      </c>
      <c r="AI499" s="62" t="str">
        <f>IF(AG499="Devis",F499,"")</f>
        <v/>
      </c>
      <c r="AJ499" s="62">
        <f>IF(AG499="Facture",SUMIF(fl_doc,A499,fl_ht),IF(AG499="Devis",SUMIF(dl_doc,F499,dl_ht),0))</f>
        <v>0.0</v>
      </c>
      <c r="AK499" s="62">
        <f>IF(OR(AG499="",INDEX(p_rates,1)=""),0,IF(AG499="Facture",SUMIFS(fl_ht,fl_doc,A499,fl_rate,INDEX(p_rates,1)),SUMIFS(dl_ht,dl_doc,F499,dl_rate,INDEX(p_rates,1))))</f>
        <v>0.0</v>
      </c>
      <c r="AL499" s="62">
        <f>IF(OR(AG499="",INDEX(p_rates,2)=""),0,IF(AG499="Facture",SUMIFS(fl_ht,fl_doc,A499,fl_rate,INDEX(p_rates,2)),SUMIFS(dl_ht,dl_doc,F499,dl_rate,INDEX(p_rates,2))))</f>
        <v>0.0</v>
      </c>
      <c r="AM499" s="62">
        <f>IF(OR(AG499="",INDEX(p_rates,3)=""),0,IF(AG499="Facture",SUMIFS(fl_ht,fl_doc,A499,fl_rate,INDEX(p_rates,3)),SUMIFS(dl_ht,dl_doc,F499,dl_rate,INDEX(p_rates,3))))</f>
        <v>0.0</v>
      </c>
      <c r="AN499" s="62">
        <f>IF(OR(AG499="",INDEX(p_rates,4)=""),0,IF(AG499="Facture",SUMIFS(fl_ht,fl_doc,A499,fl_rate,INDEX(p_rates,4)),SUMIFS(dl_ht,dl_doc,F499,dl_rate,INDEX(p_rates,4))))</f>
        <v>0.0</v>
      </c>
      <c r="AO499" s="62">
        <f>IF(OR(AG499="",INDEX(p_rates,5)=""),0,IF(AG499="Facture",SUMIFS(fl_ht,fl_doc,A499,fl_rate,INDEX(p_rates,5)),SUMIFS(dl_ht,dl_doc,F499,dl_rate,INDEX(p_rates,5))))</f>
        <v>0.0</v>
      </c>
      <c r="AP499" s="62">
        <f>IF(OR(AG499="",INDEX(p_rates,6)=""),0,IF(AG499="Facture",SUMIFS(fl_ht,fl_doc,A499,fl_rate,INDEX(p_rates,6)),SUMIFS(dl_ht,dl_doc,F499,dl_rate,INDEX(p_rates,6))))</f>
        <v>0.0</v>
      </c>
      <c r="AQ499" s="62">
        <f>ROUND(AK499*N(INDEX(p_rates,1)),2)+ROUND(AL499*N(INDEX(p_rates,2)),2)+ROUND(AM499*N(INDEX(p_rates,3)),2)+ROUND(AN499*N(INDEX(p_rates,4)),2)+ROUND(AO499*N(INDEX(p_rates,5)),2)+ROUND(AP499*N(INDEX(p_rates,6)),2)</f>
        <v>0.0</v>
      </c>
      <c r="AR499" s="62" t="str">
        <f>IF(OR(L499="",AA499&lt;&gt;"Facture"),"",IFERROR(IF(INDEX(fa_type,MATCH(L499,fa_num,0))="Facture d'acompte",MATCH(L499,fa_num,0),""),""))</f>
        <v/>
      </c>
      <c r="AS499" s="62" t="str">
        <f>IF(W499="","",IF(W499&lt;=0,"",IF(p_asof-P499&lt;=0,"Non échu",IF(p_asof-P499&lt;=30,"1-30 j",IF(p_asof-P499&lt;=60,"31-60 j",IF(p_asof-P499&lt;=90,"61-90 j","Plus de 90 j"))))))</f>
        <v/>
      </c>
      <c r="AT499" s="62" t="str">
        <f>IF(AS499="","",p_asof-P499)</f>
        <v/>
      </c>
      <c r="AU499" s="62" t="str">
        <f>IF(AT499="","",COUNTIF($AT$6:$AT$805,"&gt;"&amp;AT499)+COUNTIF($AT$6:AT499,AT499))</f>
        <v/>
      </c>
    </row>
    <row r="500">
      <c r="A500" s="59" t="str">
        <f>IF(AE500="","",AB500&amp;"-"&amp;AD500&amp;"-"&amp;RIGHT("000"&amp;AE500,4))</f>
        <v/>
      </c>
      <c r="B500" s="60" t="n"/>
      <c r="C500" s="61" t="n"/>
      <c r="D500" s="60" t="n"/>
      <c r="E500" s="62" t="str">
        <f>IF(D500="","",IFERROR(INDEX(cli_name,MATCH(D500,cli_code,0))&amp;"","Client inconnu"))</f>
        <v/>
      </c>
      <c r="F500" s="60" t="n"/>
      <c r="G500" s="63" t="n"/>
      <c r="H500" s="61" t="n"/>
      <c r="I500" s="63" t="n"/>
      <c r="J500" s="60" t="n"/>
      <c r="K500" s="61" t="n"/>
      <c r="L500" s="60" t="n"/>
      <c r="M500" s="60" t="n"/>
      <c r="N500" s="60" t="n"/>
      <c r="O500" s="61" t="n"/>
      <c r="P500" s="64" t="str">
        <f>IF(A500="","",IF(AA500="Avoir",AC500,IF(ISNUMBER(K500),K500,AC500+IF(D500="",N(p_delay),IFERROR(IF(ISNUMBER(INDEX(cli_delay,MATCH(D500,cli_code,0))),INDEX(cli_delay,MATCH(D500,cli_code,0)),N(p_delay)),N(p_delay))))))</f>
        <v/>
      </c>
      <c r="Q500" s="65" t="str">
        <f>IF(A500="","",IF(AA500="Avoir",-1,1)*ROUND(AJ500-IF(AR500="",0,INDEX(fa_htb,AR500)),2))</f>
        <v/>
      </c>
      <c r="R500" s="65" t="str">
        <f>IF(A500="","",IF(AA500="Avoir",-1,1)*ROUND(AQ500-IF(AR500="",0,INDEX(fa_tvab,AR500)),2))</f>
        <v/>
      </c>
      <c r="S500" s="65" t="str">
        <f>IF(A500="","",Q500+R500)</f>
        <v/>
      </c>
      <c r="T500" s="65" t="str">
        <f>IF(AR500="","",INDEX(fa_htb,AR500)+INDEX(fa_tvab,AR500))</f>
        <v/>
      </c>
      <c r="U500" s="65" t="str">
        <f>IF(A500="","",SUMIF(pa_inv,A500,pa_amt))</f>
        <v/>
      </c>
      <c r="V500" s="65" t="str">
        <f>IF(OR(A500="",AA500="Avoir"),"",-SUMIFS(fa_ttc,fa_avof,A500,fa_type,"Avoir"))</f>
        <v/>
      </c>
      <c r="W500" s="65" t="str">
        <f>IF(OR(A500="",AA500="Avoir"),"",ROUND(S500-U500-V500,2))</f>
        <v/>
      </c>
      <c r="X500" s="66" t="str">
        <f>IF(W500="","",IF(AND(W500&gt;0,p_asof&gt;P500),p_asof-P500,""))</f>
        <v/>
      </c>
      <c r="Y500" s="59" t="str">
        <f>IF(A500="","",IF(AA500="Avoir","Avoir",IF(W500&lt;0,"Trop-perçu",IF(W500=0,"Soldée",IF(p_asof&gt;P500,"En retard",IF(U500+V500&gt;0,"Partielle","À échoir"))))))</f>
        <v/>
      </c>
      <c r="Z500" s="59" t="str">
        <f>IF(NOT(COUNTA(B500:D500,F500:O500)&gt;0),"",IF(C500="","Date manquante",IF(NOT(ISNUMBER(C500)),"Date invalide",IF(D500="","Client manquant",IF(ISNA(MATCH(D500,cli_code,0)),"Client inconnu",IF(AC500&lt;SUMPRODUCT(MAX(($AB$6:AB499=AB500)*$AC$6:AC499)),"Date antérieure à la facture précédente",IF(AND(F500&lt;&gt;"",ISNA(MATCH(F500,dv_num,0))),"Devis inconnu",IF(AND(F500&lt;&gt;"",IFERROR(INDEX(dv_client,MATCH(F500,dv_num,0)),D500)&lt;&gt;D500),"Client différent de celui du devis",IF(AG500="","Aucune ligne : saisissez des lignes ou un devis",IF(AND(AI500&lt;&gt;"",COUNTIF($AI$6:AI500,AI500)&gt;1),"Devis déjà repris par une autre facture",IF(AND(AA500="Avoir",M500=""),"Avoir : indiquez la facture d'origine",IF(AND(AA500="Avoir",ISNA(MATCH(M500,fa_num,0))),"Facture d'origine inconnue",IF(AND(AA500&lt;&gt;"Avoir",M500&lt;&gt;""),"« Avoir sur facture » : réservé aux avoirs",IF(AND(L500&lt;&gt;"",AA500&lt;&gt;"Facture"),"Acompte à déduire : réservé aux factures",IF(AND(L500&lt;&gt;"",ISNA(MATCH(L500,fa_num,0))),"Facture d'acompte inconnue",IF(AND(L500&lt;&gt;"",IFERROR(INDEX(fa_type,MATCH(L500,fa_num,0)),"")&lt;&gt;"Facture d'acompte"),"Le n° à déduire n'est pas une facture d'acompte",IF(AND(L500&lt;&gt;"",COUNTIF($L$6:L500,L500)&gt;1),"Acompte déjà déduit sur une autre facture",IF(AND(L500&lt;&gt;"",IFERROR(INDEX(fa_client,MATCH(L500,fa_num,0)),D500)&lt;&gt;D500),"Acompte d'un autre client",IF(AND(AR500&lt;&gt;"",N(Q500)&lt;0),"Acompte supérieur au total de la facture",IF(IF(AG500="Facture",COUNTIFS(fl_doc,A500,fl_check,"&lt;&gt;OK"),IF(AG500="Devis",COUNTIFS(dl_doc,F500,dl_check,"&lt;&gt;OK"),0))&gt;0,"Ligne(s) à corriger",IF(AND(W500&lt;&gt;"",N(W500)&lt;0),"Trop-perçu : vérifiez paiements et avoirs","OK")))))))))))))))))))))</f>
        <v/>
      </c>
      <c r="AA500" s="62" t="str">
        <f>IF(COUNTA(B500:D500,F500:O500)&gt;0,IF(B500="","Facture",B500),"")</f>
        <v/>
      </c>
      <c r="AB500" s="62" t="str">
        <f>IF(AA500="","",IF(AA500="Avoir",p_pav,IF(AA500="Facture d'acompte",p_pac,p_pfa)))</f>
        <v/>
      </c>
      <c r="AC500" s="62">
        <f>IF(ISNUMBER(C500),C500,0)</f>
        <v>0.0</v>
      </c>
      <c r="AD500" s="62" t="str">
        <f>IF(OR(AA500="",AC500=0),"",YEAR(AC500))</f>
        <v/>
      </c>
      <c r="AE500" s="62" t="str">
        <f>IF(AD500="","",COUNTIFS($AB$6:AB500,AB500,$AD$6:AD500,AD500))</f>
        <v/>
      </c>
      <c r="AF500" s="62">
        <f>IF(A500="",0,COUNTIF(fl_doc,A500))</f>
        <v>0.0</v>
      </c>
      <c r="AG500" s="62" t="str">
        <f>IF(A500="","",IF(AF500&gt;0,"Facture",IF(AND(F500&lt;&gt;"",AA500="Facture",ISNUMBER(MATCH(F500,dv_num,0))),"Devis","")))</f>
        <v/>
      </c>
      <c r="AH500" s="62" t="str">
        <f>IF(AND(A500&lt;&gt;"",F500&lt;&gt;"",AA500&lt;&gt;"Avoir"),F500,"")</f>
        <v/>
      </c>
      <c r="AI500" s="62" t="str">
        <f>IF(AG500="Devis",F500,"")</f>
        <v/>
      </c>
      <c r="AJ500" s="62">
        <f>IF(AG500="Facture",SUMIF(fl_doc,A500,fl_ht),IF(AG500="Devis",SUMIF(dl_doc,F500,dl_ht),0))</f>
        <v>0.0</v>
      </c>
      <c r="AK500" s="62">
        <f>IF(OR(AG500="",INDEX(p_rates,1)=""),0,IF(AG500="Facture",SUMIFS(fl_ht,fl_doc,A500,fl_rate,INDEX(p_rates,1)),SUMIFS(dl_ht,dl_doc,F500,dl_rate,INDEX(p_rates,1))))</f>
        <v>0.0</v>
      </c>
      <c r="AL500" s="62">
        <f>IF(OR(AG500="",INDEX(p_rates,2)=""),0,IF(AG500="Facture",SUMIFS(fl_ht,fl_doc,A500,fl_rate,INDEX(p_rates,2)),SUMIFS(dl_ht,dl_doc,F500,dl_rate,INDEX(p_rates,2))))</f>
        <v>0.0</v>
      </c>
      <c r="AM500" s="62">
        <f>IF(OR(AG500="",INDEX(p_rates,3)=""),0,IF(AG500="Facture",SUMIFS(fl_ht,fl_doc,A500,fl_rate,INDEX(p_rates,3)),SUMIFS(dl_ht,dl_doc,F500,dl_rate,INDEX(p_rates,3))))</f>
        <v>0.0</v>
      </c>
      <c r="AN500" s="62">
        <f>IF(OR(AG500="",INDEX(p_rates,4)=""),0,IF(AG500="Facture",SUMIFS(fl_ht,fl_doc,A500,fl_rate,INDEX(p_rates,4)),SUMIFS(dl_ht,dl_doc,F500,dl_rate,INDEX(p_rates,4))))</f>
        <v>0.0</v>
      </c>
      <c r="AO500" s="62">
        <f>IF(OR(AG500="",INDEX(p_rates,5)=""),0,IF(AG500="Facture",SUMIFS(fl_ht,fl_doc,A500,fl_rate,INDEX(p_rates,5)),SUMIFS(dl_ht,dl_doc,F500,dl_rate,INDEX(p_rates,5))))</f>
        <v>0.0</v>
      </c>
      <c r="AP500" s="62">
        <f>IF(OR(AG500="",INDEX(p_rates,6)=""),0,IF(AG500="Facture",SUMIFS(fl_ht,fl_doc,A500,fl_rate,INDEX(p_rates,6)),SUMIFS(dl_ht,dl_doc,F500,dl_rate,INDEX(p_rates,6))))</f>
        <v>0.0</v>
      </c>
      <c r="AQ500" s="62">
        <f>ROUND(AK500*N(INDEX(p_rates,1)),2)+ROUND(AL500*N(INDEX(p_rates,2)),2)+ROUND(AM500*N(INDEX(p_rates,3)),2)+ROUND(AN500*N(INDEX(p_rates,4)),2)+ROUND(AO500*N(INDEX(p_rates,5)),2)+ROUND(AP500*N(INDEX(p_rates,6)),2)</f>
        <v>0.0</v>
      </c>
      <c r="AR500" s="62" t="str">
        <f>IF(OR(L500="",AA500&lt;&gt;"Facture"),"",IFERROR(IF(INDEX(fa_type,MATCH(L500,fa_num,0))="Facture d'acompte",MATCH(L500,fa_num,0),""),""))</f>
        <v/>
      </c>
      <c r="AS500" s="62" t="str">
        <f>IF(W500="","",IF(W500&lt;=0,"",IF(p_asof-P500&lt;=0,"Non échu",IF(p_asof-P500&lt;=30,"1-30 j",IF(p_asof-P500&lt;=60,"31-60 j",IF(p_asof-P500&lt;=90,"61-90 j","Plus de 90 j"))))))</f>
        <v/>
      </c>
      <c r="AT500" s="62" t="str">
        <f>IF(AS500="","",p_asof-P500)</f>
        <v/>
      </c>
      <c r="AU500" s="62" t="str">
        <f>IF(AT500="","",COUNTIF($AT$6:$AT$805,"&gt;"&amp;AT500)+COUNTIF($AT$6:AT500,AT500))</f>
        <v/>
      </c>
    </row>
    <row r="501">
      <c r="A501" s="59" t="str">
        <f>IF(AE501="","",AB501&amp;"-"&amp;AD501&amp;"-"&amp;RIGHT("000"&amp;AE501,4))</f>
        <v/>
      </c>
      <c r="B501" s="60" t="n"/>
      <c r="C501" s="61" t="n"/>
      <c r="D501" s="60" t="n"/>
      <c r="E501" s="62" t="str">
        <f>IF(D501="","",IFERROR(INDEX(cli_name,MATCH(D501,cli_code,0))&amp;"","Client inconnu"))</f>
        <v/>
      </c>
      <c r="F501" s="60" t="n"/>
      <c r="G501" s="63" t="n"/>
      <c r="H501" s="61" t="n"/>
      <c r="I501" s="63" t="n"/>
      <c r="J501" s="60" t="n"/>
      <c r="K501" s="61" t="n"/>
      <c r="L501" s="60" t="n"/>
      <c r="M501" s="60" t="n"/>
      <c r="N501" s="60" t="n"/>
      <c r="O501" s="61" t="n"/>
      <c r="P501" s="64" t="str">
        <f>IF(A501="","",IF(AA501="Avoir",AC501,IF(ISNUMBER(K501),K501,AC501+IF(D501="",N(p_delay),IFERROR(IF(ISNUMBER(INDEX(cli_delay,MATCH(D501,cli_code,0))),INDEX(cli_delay,MATCH(D501,cli_code,0)),N(p_delay)),N(p_delay))))))</f>
        <v/>
      </c>
      <c r="Q501" s="65" t="str">
        <f>IF(A501="","",IF(AA501="Avoir",-1,1)*ROUND(AJ501-IF(AR501="",0,INDEX(fa_htb,AR501)),2))</f>
        <v/>
      </c>
      <c r="R501" s="65" t="str">
        <f>IF(A501="","",IF(AA501="Avoir",-1,1)*ROUND(AQ501-IF(AR501="",0,INDEX(fa_tvab,AR501)),2))</f>
        <v/>
      </c>
      <c r="S501" s="65" t="str">
        <f>IF(A501="","",Q501+R501)</f>
        <v/>
      </c>
      <c r="T501" s="65" t="str">
        <f>IF(AR501="","",INDEX(fa_htb,AR501)+INDEX(fa_tvab,AR501))</f>
        <v/>
      </c>
      <c r="U501" s="65" t="str">
        <f>IF(A501="","",SUMIF(pa_inv,A501,pa_amt))</f>
        <v/>
      </c>
      <c r="V501" s="65" t="str">
        <f>IF(OR(A501="",AA501="Avoir"),"",-SUMIFS(fa_ttc,fa_avof,A501,fa_type,"Avoir"))</f>
        <v/>
      </c>
      <c r="W501" s="65" t="str">
        <f>IF(OR(A501="",AA501="Avoir"),"",ROUND(S501-U501-V501,2))</f>
        <v/>
      </c>
      <c r="X501" s="66" t="str">
        <f>IF(W501="","",IF(AND(W501&gt;0,p_asof&gt;P501),p_asof-P501,""))</f>
        <v/>
      </c>
      <c r="Y501" s="59" t="str">
        <f>IF(A501="","",IF(AA501="Avoir","Avoir",IF(W501&lt;0,"Trop-perçu",IF(W501=0,"Soldée",IF(p_asof&gt;P501,"En retard",IF(U501+V501&gt;0,"Partielle","À échoir"))))))</f>
        <v/>
      </c>
      <c r="Z501" s="59" t="str">
        <f>IF(NOT(COUNTA(B501:D501,F501:O501)&gt;0),"",IF(C501="","Date manquante",IF(NOT(ISNUMBER(C501)),"Date invalide",IF(D501="","Client manquant",IF(ISNA(MATCH(D501,cli_code,0)),"Client inconnu",IF(AC501&lt;SUMPRODUCT(MAX(($AB$6:AB500=AB501)*$AC$6:AC500)),"Date antérieure à la facture précédente",IF(AND(F501&lt;&gt;"",ISNA(MATCH(F501,dv_num,0))),"Devis inconnu",IF(AND(F501&lt;&gt;"",IFERROR(INDEX(dv_client,MATCH(F501,dv_num,0)),D501)&lt;&gt;D501),"Client différent de celui du devis",IF(AG501="","Aucune ligne : saisissez des lignes ou un devis",IF(AND(AI501&lt;&gt;"",COUNTIF($AI$6:AI501,AI501)&gt;1),"Devis déjà repris par une autre facture",IF(AND(AA501="Avoir",M501=""),"Avoir : indiquez la facture d'origine",IF(AND(AA501="Avoir",ISNA(MATCH(M501,fa_num,0))),"Facture d'origine inconnue",IF(AND(AA501&lt;&gt;"Avoir",M501&lt;&gt;""),"« Avoir sur facture » : réservé aux avoirs",IF(AND(L501&lt;&gt;"",AA501&lt;&gt;"Facture"),"Acompte à déduire : réservé aux factures",IF(AND(L501&lt;&gt;"",ISNA(MATCH(L501,fa_num,0))),"Facture d'acompte inconnue",IF(AND(L501&lt;&gt;"",IFERROR(INDEX(fa_type,MATCH(L501,fa_num,0)),"")&lt;&gt;"Facture d'acompte"),"Le n° à déduire n'est pas une facture d'acompte",IF(AND(L501&lt;&gt;"",COUNTIF($L$6:L501,L501)&gt;1),"Acompte déjà déduit sur une autre facture",IF(AND(L501&lt;&gt;"",IFERROR(INDEX(fa_client,MATCH(L501,fa_num,0)),D501)&lt;&gt;D501),"Acompte d'un autre client",IF(AND(AR501&lt;&gt;"",N(Q501)&lt;0),"Acompte supérieur au total de la facture",IF(IF(AG501="Facture",COUNTIFS(fl_doc,A501,fl_check,"&lt;&gt;OK"),IF(AG501="Devis",COUNTIFS(dl_doc,F501,dl_check,"&lt;&gt;OK"),0))&gt;0,"Ligne(s) à corriger",IF(AND(W501&lt;&gt;"",N(W501)&lt;0),"Trop-perçu : vérifiez paiements et avoirs","OK")))))))))))))))))))))</f>
        <v/>
      </c>
      <c r="AA501" s="62" t="str">
        <f>IF(COUNTA(B501:D501,F501:O501)&gt;0,IF(B501="","Facture",B501),"")</f>
        <v/>
      </c>
      <c r="AB501" s="62" t="str">
        <f>IF(AA501="","",IF(AA501="Avoir",p_pav,IF(AA501="Facture d'acompte",p_pac,p_pfa)))</f>
        <v/>
      </c>
      <c r="AC501" s="62">
        <f>IF(ISNUMBER(C501),C501,0)</f>
        <v>0.0</v>
      </c>
      <c r="AD501" s="62" t="str">
        <f>IF(OR(AA501="",AC501=0),"",YEAR(AC501))</f>
        <v/>
      </c>
      <c r="AE501" s="62" t="str">
        <f>IF(AD501="","",COUNTIFS($AB$6:AB501,AB501,$AD$6:AD501,AD501))</f>
        <v/>
      </c>
      <c r="AF501" s="62">
        <f>IF(A501="",0,COUNTIF(fl_doc,A501))</f>
        <v>0.0</v>
      </c>
      <c r="AG501" s="62" t="str">
        <f>IF(A501="","",IF(AF501&gt;0,"Facture",IF(AND(F501&lt;&gt;"",AA501="Facture",ISNUMBER(MATCH(F501,dv_num,0))),"Devis","")))</f>
        <v/>
      </c>
      <c r="AH501" s="62" t="str">
        <f>IF(AND(A501&lt;&gt;"",F501&lt;&gt;"",AA501&lt;&gt;"Avoir"),F501,"")</f>
        <v/>
      </c>
      <c r="AI501" s="62" t="str">
        <f>IF(AG501="Devis",F501,"")</f>
        <v/>
      </c>
      <c r="AJ501" s="62">
        <f>IF(AG501="Facture",SUMIF(fl_doc,A501,fl_ht),IF(AG501="Devis",SUMIF(dl_doc,F501,dl_ht),0))</f>
        <v>0.0</v>
      </c>
      <c r="AK501" s="62">
        <f>IF(OR(AG501="",INDEX(p_rates,1)=""),0,IF(AG501="Facture",SUMIFS(fl_ht,fl_doc,A501,fl_rate,INDEX(p_rates,1)),SUMIFS(dl_ht,dl_doc,F501,dl_rate,INDEX(p_rates,1))))</f>
        <v>0.0</v>
      </c>
      <c r="AL501" s="62">
        <f>IF(OR(AG501="",INDEX(p_rates,2)=""),0,IF(AG501="Facture",SUMIFS(fl_ht,fl_doc,A501,fl_rate,INDEX(p_rates,2)),SUMIFS(dl_ht,dl_doc,F501,dl_rate,INDEX(p_rates,2))))</f>
        <v>0.0</v>
      </c>
      <c r="AM501" s="62">
        <f>IF(OR(AG501="",INDEX(p_rates,3)=""),0,IF(AG501="Facture",SUMIFS(fl_ht,fl_doc,A501,fl_rate,INDEX(p_rates,3)),SUMIFS(dl_ht,dl_doc,F501,dl_rate,INDEX(p_rates,3))))</f>
        <v>0.0</v>
      </c>
      <c r="AN501" s="62">
        <f>IF(OR(AG501="",INDEX(p_rates,4)=""),0,IF(AG501="Facture",SUMIFS(fl_ht,fl_doc,A501,fl_rate,INDEX(p_rates,4)),SUMIFS(dl_ht,dl_doc,F501,dl_rate,INDEX(p_rates,4))))</f>
        <v>0.0</v>
      </c>
      <c r="AO501" s="62">
        <f>IF(OR(AG501="",INDEX(p_rates,5)=""),0,IF(AG501="Facture",SUMIFS(fl_ht,fl_doc,A501,fl_rate,INDEX(p_rates,5)),SUMIFS(dl_ht,dl_doc,F501,dl_rate,INDEX(p_rates,5))))</f>
        <v>0.0</v>
      </c>
      <c r="AP501" s="62">
        <f>IF(OR(AG501="",INDEX(p_rates,6)=""),0,IF(AG501="Facture",SUMIFS(fl_ht,fl_doc,A501,fl_rate,INDEX(p_rates,6)),SUMIFS(dl_ht,dl_doc,F501,dl_rate,INDEX(p_rates,6))))</f>
        <v>0.0</v>
      </c>
      <c r="AQ501" s="62">
        <f>ROUND(AK501*N(INDEX(p_rates,1)),2)+ROUND(AL501*N(INDEX(p_rates,2)),2)+ROUND(AM501*N(INDEX(p_rates,3)),2)+ROUND(AN501*N(INDEX(p_rates,4)),2)+ROUND(AO501*N(INDEX(p_rates,5)),2)+ROUND(AP501*N(INDEX(p_rates,6)),2)</f>
        <v>0.0</v>
      </c>
      <c r="AR501" s="62" t="str">
        <f>IF(OR(L501="",AA501&lt;&gt;"Facture"),"",IFERROR(IF(INDEX(fa_type,MATCH(L501,fa_num,0))="Facture d'acompte",MATCH(L501,fa_num,0),""),""))</f>
        <v/>
      </c>
      <c r="AS501" s="62" t="str">
        <f>IF(W501="","",IF(W501&lt;=0,"",IF(p_asof-P501&lt;=0,"Non échu",IF(p_asof-P501&lt;=30,"1-30 j",IF(p_asof-P501&lt;=60,"31-60 j",IF(p_asof-P501&lt;=90,"61-90 j","Plus de 90 j"))))))</f>
        <v/>
      </c>
      <c r="AT501" s="62" t="str">
        <f>IF(AS501="","",p_asof-P501)</f>
        <v/>
      </c>
      <c r="AU501" s="62" t="str">
        <f>IF(AT501="","",COUNTIF($AT$6:$AT$805,"&gt;"&amp;AT501)+COUNTIF($AT$6:AT501,AT501))</f>
        <v/>
      </c>
    </row>
    <row r="502">
      <c r="A502" s="59" t="str">
        <f>IF(AE502="","",AB502&amp;"-"&amp;AD502&amp;"-"&amp;RIGHT("000"&amp;AE502,4))</f>
        <v/>
      </c>
      <c r="B502" s="60" t="n"/>
      <c r="C502" s="61" t="n"/>
      <c r="D502" s="60" t="n"/>
      <c r="E502" s="62" t="str">
        <f>IF(D502="","",IFERROR(INDEX(cli_name,MATCH(D502,cli_code,0))&amp;"","Client inconnu"))</f>
        <v/>
      </c>
      <c r="F502" s="60" t="n"/>
      <c r="G502" s="63" t="n"/>
      <c r="H502" s="61" t="n"/>
      <c r="I502" s="63" t="n"/>
      <c r="J502" s="60" t="n"/>
      <c r="K502" s="61" t="n"/>
      <c r="L502" s="60" t="n"/>
      <c r="M502" s="60" t="n"/>
      <c r="N502" s="60" t="n"/>
      <c r="O502" s="61" t="n"/>
      <c r="P502" s="64" t="str">
        <f>IF(A502="","",IF(AA502="Avoir",AC502,IF(ISNUMBER(K502),K502,AC502+IF(D502="",N(p_delay),IFERROR(IF(ISNUMBER(INDEX(cli_delay,MATCH(D502,cli_code,0))),INDEX(cli_delay,MATCH(D502,cli_code,0)),N(p_delay)),N(p_delay))))))</f>
        <v/>
      </c>
      <c r="Q502" s="65" t="str">
        <f>IF(A502="","",IF(AA502="Avoir",-1,1)*ROUND(AJ502-IF(AR502="",0,INDEX(fa_htb,AR502)),2))</f>
        <v/>
      </c>
      <c r="R502" s="65" t="str">
        <f>IF(A502="","",IF(AA502="Avoir",-1,1)*ROUND(AQ502-IF(AR502="",0,INDEX(fa_tvab,AR502)),2))</f>
        <v/>
      </c>
      <c r="S502" s="65" t="str">
        <f>IF(A502="","",Q502+R502)</f>
        <v/>
      </c>
      <c r="T502" s="65" t="str">
        <f>IF(AR502="","",INDEX(fa_htb,AR502)+INDEX(fa_tvab,AR502))</f>
        <v/>
      </c>
      <c r="U502" s="65" t="str">
        <f>IF(A502="","",SUMIF(pa_inv,A502,pa_amt))</f>
        <v/>
      </c>
      <c r="V502" s="65" t="str">
        <f>IF(OR(A502="",AA502="Avoir"),"",-SUMIFS(fa_ttc,fa_avof,A502,fa_type,"Avoir"))</f>
        <v/>
      </c>
      <c r="W502" s="65" t="str">
        <f>IF(OR(A502="",AA502="Avoir"),"",ROUND(S502-U502-V502,2))</f>
        <v/>
      </c>
      <c r="X502" s="66" t="str">
        <f>IF(W502="","",IF(AND(W502&gt;0,p_asof&gt;P502),p_asof-P502,""))</f>
        <v/>
      </c>
      <c r="Y502" s="59" t="str">
        <f>IF(A502="","",IF(AA502="Avoir","Avoir",IF(W502&lt;0,"Trop-perçu",IF(W502=0,"Soldée",IF(p_asof&gt;P502,"En retard",IF(U502+V502&gt;0,"Partielle","À échoir"))))))</f>
        <v/>
      </c>
      <c r="Z502" s="59" t="str">
        <f>IF(NOT(COUNTA(B502:D502,F502:O502)&gt;0),"",IF(C502="","Date manquante",IF(NOT(ISNUMBER(C502)),"Date invalide",IF(D502="","Client manquant",IF(ISNA(MATCH(D502,cli_code,0)),"Client inconnu",IF(AC502&lt;SUMPRODUCT(MAX(($AB$6:AB501=AB502)*$AC$6:AC501)),"Date antérieure à la facture précédente",IF(AND(F502&lt;&gt;"",ISNA(MATCH(F502,dv_num,0))),"Devis inconnu",IF(AND(F502&lt;&gt;"",IFERROR(INDEX(dv_client,MATCH(F502,dv_num,0)),D502)&lt;&gt;D502),"Client différent de celui du devis",IF(AG502="","Aucune ligne : saisissez des lignes ou un devis",IF(AND(AI502&lt;&gt;"",COUNTIF($AI$6:AI502,AI502)&gt;1),"Devis déjà repris par une autre facture",IF(AND(AA502="Avoir",M502=""),"Avoir : indiquez la facture d'origine",IF(AND(AA502="Avoir",ISNA(MATCH(M502,fa_num,0))),"Facture d'origine inconnue",IF(AND(AA502&lt;&gt;"Avoir",M502&lt;&gt;""),"« Avoir sur facture » : réservé aux avoirs",IF(AND(L502&lt;&gt;"",AA502&lt;&gt;"Facture"),"Acompte à déduire : réservé aux factures",IF(AND(L502&lt;&gt;"",ISNA(MATCH(L502,fa_num,0))),"Facture d'acompte inconnue",IF(AND(L502&lt;&gt;"",IFERROR(INDEX(fa_type,MATCH(L502,fa_num,0)),"")&lt;&gt;"Facture d'acompte"),"Le n° à déduire n'est pas une facture d'acompte",IF(AND(L502&lt;&gt;"",COUNTIF($L$6:L502,L502)&gt;1),"Acompte déjà déduit sur une autre facture",IF(AND(L502&lt;&gt;"",IFERROR(INDEX(fa_client,MATCH(L502,fa_num,0)),D502)&lt;&gt;D502),"Acompte d'un autre client",IF(AND(AR502&lt;&gt;"",N(Q502)&lt;0),"Acompte supérieur au total de la facture",IF(IF(AG502="Facture",COUNTIFS(fl_doc,A502,fl_check,"&lt;&gt;OK"),IF(AG502="Devis",COUNTIFS(dl_doc,F502,dl_check,"&lt;&gt;OK"),0))&gt;0,"Ligne(s) à corriger",IF(AND(W502&lt;&gt;"",N(W502)&lt;0),"Trop-perçu : vérifiez paiements et avoirs","OK")))))))))))))))))))))</f>
        <v/>
      </c>
      <c r="AA502" s="62" t="str">
        <f>IF(COUNTA(B502:D502,F502:O502)&gt;0,IF(B502="","Facture",B502),"")</f>
        <v/>
      </c>
      <c r="AB502" s="62" t="str">
        <f>IF(AA502="","",IF(AA502="Avoir",p_pav,IF(AA502="Facture d'acompte",p_pac,p_pfa)))</f>
        <v/>
      </c>
      <c r="AC502" s="62">
        <f>IF(ISNUMBER(C502),C502,0)</f>
        <v>0.0</v>
      </c>
      <c r="AD502" s="62" t="str">
        <f>IF(OR(AA502="",AC502=0),"",YEAR(AC502))</f>
        <v/>
      </c>
      <c r="AE502" s="62" t="str">
        <f>IF(AD502="","",COUNTIFS($AB$6:AB502,AB502,$AD$6:AD502,AD502))</f>
        <v/>
      </c>
      <c r="AF502" s="62">
        <f>IF(A502="",0,COUNTIF(fl_doc,A502))</f>
        <v>0.0</v>
      </c>
      <c r="AG502" s="62" t="str">
        <f>IF(A502="","",IF(AF502&gt;0,"Facture",IF(AND(F502&lt;&gt;"",AA502="Facture",ISNUMBER(MATCH(F502,dv_num,0))),"Devis","")))</f>
        <v/>
      </c>
      <c r="AH502" s="62" t="str">
        <f>IF(AND(A502&lt;&gt;"",F502&lt;&gt;"",AA502&lt;&gt;"Avoir"),F502,"")</f>
        <v/>
      </c>
      <c r="AI502" s="62" t="str">
        <f>IF(AG502="Devis",F502,"")</f>
        <v/>
      </c>
      <c r="AJ502" s="62">
        <f>IF(AG502="Facture",SUMIF(fl_doc,A502,fl_ht),IF(AG502="Devis",SUMIF(dl_doc,F502,dl_ht),0))</f>
        <v>0.0</v>
      </c>
      <c r="AK502" s="62">
        <f>IF(OR(AG502="",INDEX(p_rates,1)=""),0,IF(AG502="Facture",SUMIFS(fl_ht,fl_doc,A502,fl_rate,INDEX(p_rates,1)),SUMIFS(dl_ht,dl_doc,F502,dl_rate,INDEX(p_rates,1))))</f>
        <v>0.0</v>
      </c>
      <c r="AL502" s="62">
        <f>IF(OR(AG502="",INDEX(p_rates,2)=""),0,IF(AG502="Facture",SUMIFS(fl_ht,fl_doc,A502,fl_rate,INDEX(p_rates,2)),SUMIFS(dl_ht,dl_doc,F502,dl_rate,INDEX(p_rates,2))))</f>
        <v>0.0</v>
      </c>
      <c r="AM502" s="62">
        <f>IF(OR(AG502="",INDEX(p_rates,3)=""),0,IF(AG502="Facture",SUMIFS(fl_ht,fl_doc,A502,fl_rate,INDEX(p_rates,3)),SUMIFS(dl_ht,dl_doc,F502,dl_rate,INDEX(p_rates,3))))</f>
        <v>0.0</v>
      </c>
      <c r="AN502" s="62">
        <f>IF(OR(AG502="",INDEX(p_rates,4)=""),0,IF(AG502="Facture",SUMIFS(fl_ht,fl_doc,A502,fl_rate,INDEX(p_rates,4)),SUMIFS(dl_ht,dl_doc,F502,dl_rate,INDEX(p_rates,4))))</f>
        <v>0.0</v>
      </c>
      <c r="AO502" s="62">
        <f>IF(OR(AG502="",INDEX(p_rates,5)=""),0,IF(AG502="Facture",SUMIFS(fl_ht,fl_doc,A502,fl_rate,INDEX(p_rates,5)),SUMIFS(dl_ht,dl_doc,F502,dl_rate,INDEX(p_rates,5))))</f>
        <v>0.0</v>
      </c>
      <c r="AP502" s="62">
        <f>IF(OR(AG502="",INDEX(p_rates,6)=""),0,IF(AG502="Facture",SUMIFS(fl_ht,fl_doc,A502,fl_rate,INDEX(p_rates,6)),SUMIFS(dl_ht,dl_doc,F502,dl_rate,INDEX(p_rates,6))))</f>
        <v>0.0</v>
      </c>
      <c r="AQ502" s="62">
        <f>ROUND(AK502*N(INDEX(p_rates,1)),2)+ROUND(AL502*N(INDEX(p_rates,2)),2)+ROUND(AM502*N(INDEX(p_rates,3)),2)+ROUND(AN502*N(INDEX(p_rates,4)),2)+ROUND(AO502*N(INDEX(p_rates,5)),2)+ROUND(AP502*N(INDEX(p_rates,6)),2)</f>
        <v>0.0</v>
      </c>
      <c r="AR502" s="62" t="str">
        <f>IF(OR(L502="",AA502&lt;&gt;"Facture"),"",IFERROR(IF(INDEX(fa_type,MATCH(L502,fa_num,0))="Facture d'acompte",MATCH(L502,fa_num,0),""),""))</f>
        <v/>
      </c>
      <c r="AS502" s="62" t="str">
        <f>IF(W502="","",IF(W502&lt;=0,"",IF(p_asof-P502&lt;=0,"Non échu",IF(p_asof-P502&lt;=30,"1-30 j",IF(p_asof-P502&lt;=60,"31-60 j",IF(p_asof-P502&lt;=90,"61-90 j","Plus de 90 j"))))))</f>
        <v/>
      </c>
      <c r="AT502" s="62" t="str">
        <f>IF(AS502="","",p_asof-P502)</f>
        <v/>
      </c>
      <c r="AU502" s="62" t="str">
        <f>IF(AT502="","",COUNTIF($AT$6:$AT$805,"&gt;"&amp;AT502)+COUNTIF($AT$6:AT502,AT502))</f>
        <v/>
      </c>
    </row>
    <row r="503">
      <c r="A503" s="59" t="str">
        <f>IF(AE503="","",AB503&amp;"-"&amp;AD503&amp;"-"&amp;RIGHT("000"&amp;AE503,4))</f>
        <v/>
      </c>
      <c r="B503" s="60" t="n"/>
      <c r="C503" s="61" t="n"/>
      <c r="D503" s="60" t="n"/>
      <c r="E503" s="62" t="str">
        <f>IF(D503="","",IFERROR(INDEX(cli_name,MATCH(D503,cli_code,0))&amp;"","Client inconnu"))</f>
        <v/>
      </c>
      <c r="F503" s="60" t="n"/>
      <c r="G503" s="63" t="n"/>
      <c r="H503" s="61" t="n"/>
      <c r="I503" s="63" t="n"/>
      <c r="J503" s="60" t="n"/>
      <c r="K503" s="61" t="n"/>
      <c r="L503" s="60" t="n"/>
      <c r="M503" s="60" t="n"/>
      <c r="N503" s="60" t="n"/>
      <c r="O503" s="61" t="n"/>
      <c r="P503" s="64" t="str">
        <f>IF(A503="","",IF(AA503="Avoir",AC503,IF(ISNUMBER(K503),K503,AC503+IF(D503="",N(p_delay),IFERROR(IF(ISNUMBER(INDEX(cli_delay,MATCH(D503,cli_code,0))),INDEX(cli_delay,MATCH(D503,cli_code,0)),N(p_delay)),N(p_delay))))))</f>
        <v/>
      </c>
      <c r="Q503" s="65" t="str">
        <f>IF(A503="","",IF(AA503="Avoir",-1,1)*ROUND(AJ503-IF(AR503="",0,INDEX(fa_htb,AR503)),2))</f>
        <v/>
      </c>
      <c r="R503" s="65" t="str">
        <f>IF(A503="","",IF(AA503="Avoir",-1,1)*ROUND(AQ503-IF(AR503="",0,INDEX(fa_tvab,AR503)),2))</f>
        <v/>
      </c>
      <c r="S503" s="65" t="str">
        <f>IF(A503="","",Q503+R503)</f>
        <v/>
      </c>
      <c r="T503" s="65" t="str">
        <f>IF(AR503="","",INDEX(fa_htb,AR503)+INDEX(fa_tvab,AR503))</f>
        <v/>
      </c>
      <c r="U503" s="65" t="str">
        <f>IF(A503="","",SUMIF(pa_inv,A503,pa_amt))</f>
        <v/>
      </c>
      <c r="V503" s="65" t="str">
        <f>IF(OR(A503="",AA503="Avoir"),"",-SUMIFS(fa_ttc,fa_avof,A503,fa_type,"Avoir"))</f>
        <v/>
      </c>
      <c r="W503" s="65" t="str">
        <f>IF(OR(A503="",AA503="Avoir"),"",ROUND(S503-U503-V503,2))</f>
        <v/>
      </c>
      <c r="X503" s="66" t="str">
        <f>IF(W503="","",IF(AND(W503&gt;0,p_asof&gt;P503),p_asof-P503,""))</f>
        <v/>
      </c>
      <c r="Y503" s="59" t="str">
        <f>IF(A503="","",IF(AA503="Avoir","Avoir",IF(W503&lt;0,"Trop-perçu",IF(W503=0,"Soldée",IF(p_asof&gt;P503,"En retard",IF(U503+V503&gt;0,"Partielle","À échoir"))))))</f>
        <v/>
      </c>
      <c r="Z503" s="59" t="str">
        <f>IF(NOT(COUNTA(B503:D503,F503:O503)&gt;0),"",IF(C503="","Date manquante",IF(NOT(ISNUMBER(C503)),"Date invalide",IF(D503="","Client manquant",IF(ISNA(MATCH(D503,cli_code,0)),"Client inconnu",IF(AC503&lt;SUMPRODUCT(MAX(($AB$6:AB502=AB503)*$AC$6:AC502)),"Date antérieure à la facture précédente",IF(AND(F503&lt;&gt;"",ISNA(MATCH(F503,dv_num,0))),"Devis inconnu",IF(AND(F503&lt;&gt;"",IFERROR(INDEX(dv_client,MATCH(F503,dv_num,0)),D503)&lt;&gt;D503),"Client différent de celui du devis",IF(AG503="","Aucune ligne : saisissez des lignes ou un devis",IF(AND(AI503&lt;&gt;"",COUNTIF($AI$6:AI503,AI503)&gt;1),"Devis déjà repris par une autre facture",IF(AND(AA503="Avoir",M503=""),"Avoir : indiquez la facture d'origine",IF(AND(AA503="Avoir",ISNA(MATCH(M503,fa_num,0))),"Facture d'origine inconnue",IF(AND(AA503&lt;&gt;"Avoir",M503&lt;&gt;""),"« Avoir sur facture » : réservé aux avoirs",IF(AND(L503&lt;&gt;"",AA503&lt;&gt;"Facture"),"Acompte à déduire : réservé aux factures",IF(AND(L503&lt;&gt;"",ISNA(MATCH(L503,fa_num,0))),"Facture d'acompte inconnue",IF(AND(L503&lt;&gt;"",IFERROR(INDEX(fa_type,MATCH(L503,fa_num,0)),"")&lt;&gt;"Facture d'acompte"),"Le n° à déduire n'est pas une facture d'acompte",IF(AND(L503&lt;&gt;"",COUNTIF($L$6:L503,L503)&gt;1),"Acompte déjà déduit sur une autre facture",IF(AND(L503&lt;&gt;"",IFERROR(INDEX(fa_client,MATCH(L503,fa_num,0)),D503)&lt;&gt;D503),"Acompte d'un autre client",IF(AND(AR503&lt;&gt;"",N(Q503)&lt;0),"Acompte supérieur au total de la facture",IF(IF(AG503="Facture",COUNTIFS(fl_doc,A503,fl_check,"&lt;&gt;OK"),IF(AG503="Devis",COUNTIFS(dl_doc,F503,dl_check,"&lt;&gt;OK"),0))&gt;0,"Ligne(s) à corriger",IF(AND(W503&lt;&gt;"",N(W503)&lt;0),"Trop-perçu : vérifiez paiements et avoirs","OK")))))))))))))))))))))</f>
        <v/>
      </c>
      <c r="AA503" s="62" t="str">
        <f>IF(COUNTA(B503:D503,F503:O503)&gt;0,IF(B503="","Facture",B503),"")</f>
        <v/>
      </c>
      <c r="AB503" s="62" t="str">
        <f>IF(AA503="","",IF(AA503="Avoir",p_pav,IF(AA503="Facture d'acompte",p_pac,p_pfa)))</f>
        <v/>
      </c>
      <c r="AC503" s="62">
        <f>IF(ISNUMBER(C503),C503,0)</f>
        <v>0.0</v>
      </c>
      <c r="AD503" s="62" t="str">
        <f>IF(OR(AA503="",AC503=0),"",YEAR(AC503))</f>
        <v/>
      </c>
      <c r="AE503" s="62" t="str">
        <f>IF(AD503="","",COUNTIFS($AB$6:AB503,AB503,$AD$6:AD503,AD503))</f>
        <v/>
      </c>
      <c r="AF503" s="62">
        <f>IF(A503="",0,COUNTIF(fl_doc,A503))</f>
        <v>0.0</v>
      </c>
      <c r="AG503" s="62" t="str">
        <f>IF(A503="","",IF(AF503&gt;0,"Facture",IF(AND(F503&lt;&gt;"",AA503="Facture",ISNUMBER(MATCH(F503,dv_num,0))),"Devis","")))</f>
        <v/>
      </c>
      <c r="AH503" s="62" t="str">
        <f>IF(AND(A503&lt;&gt;"",F503&lt;&gt;"",AA503&lt;&gt;"Avoir"),F503,"")</f>
        <v/>
      </c>
      <c r="AI503" s="62" t="str">
        <f>IF(AG503="Devis",F503,"")</f>
        <v/>
      </c>
      <c r="AJ503" s="62">
        <f>IF(AG503="Facture",SUMIF(fl_doc,A503,fl_ht),IF(AG503="Devis",SUMIF(dl_doc,F503,dl_ht),0))</f>
        <v>0.0</v>
      </c>
      <c r="AK503" s="62">
        <f>IF(OR(AG503="",INDEX(p_rates,1)=""),0,IF(AG503="Facture",SUMIFS(fl_ht,fl_doc,A503,fl_rate,INDEX(p_rates,1)),SUMIFS(dl_ht,dl_doc,F503,dl_rate,INDEX(p_rates,1))))</f>
        <v>0.0</v>
      </c>
      <c r="AL503" s="62">
        <f>IF(OR(AG503="",INDEX(p_rates,2)=""),0,IF(AG503="Facture",SUMIFS(fl_ht,fl_doc,A503,fl_rate,INDEX(p_rates,2)),SUMIFS(dl_ht,dl_doc,F503,dl_rate,INDEX(p_rates,2))))</f>
        <v>0.0</v>
      </c>
      <c r="AM503" s="62">
        <f>IF(OR(AG503="",INDEX(p_rates,3)=""),0,IF(AG503="Facture",SUMIFS(fl_ht,fl_doc,A503,fl_rate,INDEX(p_rates,3)),SUMIFS(dl_ht,dl_doc,F503,dl_rate,INDEX(p_rates,3))))</f>
        <v>0.0</v>
      </c>
      <c r="AN503" s="62">
        <f>IF(OR(AG503="",INDEX(p_rates,4)=""),0,IF(AG503="Facture",SUMIFS(fl_ht,fl_doc,A503,fl_rate,INDEX(p_rates,4)),SUMIFS(dl_ht,dl_doc,F503,dl_rate,INDEX(p_rates,4))))</f>
        <v>0.0</v>
      </c>
      <c r="AO503" s="62">
        <f>IF(OR(AG503="",INDEX(p_rates,5)=""),0,IF(AG503="Facture",SUMIFS(fl_ht,fl_doc,A503,fl_rate,INDEX(p_rates,5)),SUMIFS(dl_ht,dl_doc,F503,dl_rate,INDEX(p_rates,5))))</f>
        <v>0.0</v>
      </c>
      <c r="AP503" s="62">
        <f>IF(OR(AG503="",INDEX(p_rates,6)=""),0,IF(AG503="Facture",SUMIFS(fl_ht,fl_doc,A503,fl_rate,INDEX(p_rates,6)),SUMIFS(dl_ht,dl_doc,F503,dl_rate,INDEX(p_rates,6))))</f>
        <v>0.0</v>
      </c>
      <c r="AQ503" s="62">
        <f>ROUND(AK503*N(INDEX(p_rates,1)),2)+ROUND(AL503*N(INDEX(p_rates,2)),2)+ROUND(AM503*N(INDEX(p_rates,3)),2)+ROUND(AN503*N(INDEX(p_rates,4)),2)+ROUND(AO503*N(INDEX(p_rates,5)),2)+ROUND(AP503*N(INDEX(p_rates,6)),2)</f>
        <v>0.0</v>
      </c>
      <c r="AR503" s="62" t="str">
        <f>IF(OR(L503="",AA503&lt;&gt;"Facture"),"",IFERROR(IF(INDEX(fa_type,MATCH(L503,fa_num,0))="Facture d'acompte",MATCH(L503,fa_num,0),""),""))</f>
        <v/>
      </c>
      <c r="AS503" s="62" t="str">
        <f>IF(W503="","",IF(W503&lt;=0,"",IF(p_asof-P503&lt;=0,"Non échu",IF(p_asof-P503&lt;=30,"1-30 j",IF(p_asof-P503&lt;=60,"31-60 j",IF(p_asof-P503&lt;=90,"61-90 j","Plus de 90 j"))))))</f>
        <v/>
      </c>
      <c r="AT503" s="62" t="str">
        <f>IF(AS503="","",p_asof-P503)</f>
        <v/>
      </c>
      <c r="AU503" s="62" t="str">
        <f>IF(AT503="","",COUNTIF($AT$6:$AT$805,"&gt;"&amp;AT503)+COUNTIF($AT$6:AT503,AT503))</f>
        <v/>
      </c>
    </row>
    <row r="504">
      <c r="A504" s="59" t="str">
        <f>IF(AE504="","",AB504&amp;"-"&amp;AD504&amp;"-"&amp;RIGHT("000"&amp;AE504,4))</f>
        <v/>
      </c>
      <c r="B504" s="60" t="n"/>
      <c r="C504" s="61" t="n"/>
      <c r="D504" s="60" t="n"/>
      <c r="E504" s="62" t="str">
        <f>IF(D504="","",IFERROR(INDEX(cli_name,MATCH(D504,cli_code,0))&amp;"","Client inconnu"))</f>
        <v/>
      </c>
      <c r="F504" s="60" t="n"/>
      <c r="G504" s="63" t="n"/>
      <c r="H504" s="61" t="n"/>
      <c r="I504" s="63" t="n"/>
      <c r="J504" s="60" t="n"/>
      <c r="K504" s="61" t="n"/>
      <c r="L504" s="60" t="n"/>
      <c r="M504" s="60" t="n"/>
      <c r="N504" s="60" t="n"/>
      <c r="O504" s="61" t="n"/>
      <c r="P504" s="64" t="str">
        <f>IF(A504="","",IF(AA504="Avoir",AC504,IF(ISNUMBER(K504),K504,AC504+IF(D504="",N(p_delay),IFERROR(IF(ISNUMBER(INDEX(cli_delay,MATCH(D504,cli_code,0))),INDEX(cli_delay,MATCH(D504,cli_code,0)),N(p_delay)),N(p_delay))))))</f>
        <v/>
      </c>
      <c r="Q504" s="65" t="str">
        <f>IF(A504="","",IF(AA504="Avoir",-1,1)*ROUND(AJ504-IF(AR504="",0,INDEX(fa_htb,AR504)),2))</f>
        <v/>
      </c>
      <c r="R504" s="65" t="str">
        <f>IF(A504="","",IF(AA504="Avoir",-1,1)*ROUND(AQ504-IF(AR504="",0,INDEX(fa_tvab,AR504)),2))</f>
        <v/>
      </c>
      <c r="S504" s="65" t="str">
        <f>IF(A504="","",Q504+R504)</f>
        <v/>
      </c>
      <c r="T504" s="65" t="str">
        <f>IF(AR504="","",INDEX(fa_htb,AR504)+INDEX(fa_tvab,AR504))</f>
        <v/>
      </c>
      <c r="U504" s="65" t="str">
        <f>IF(A504="","",SUMIF(pa_inv,A504,pa_amt))</f>
        <v/>
      </c>
      <c r="V504" s="65" t="str">
        <f>IF(OR(A504="",AA504="Avoir"),"",-SUMIFS(fa_ttc,fa_avof,A504,fa_type,"Avoir"))</f>
        <v/>
      </c>
      <c r="W504" s="65" t="str">
        <f>IF(OR(A504="",AA504="Avoir"),"",ROUND(S504-U504-V504,2))</f>
        <v/>
      </c>
      <c r="X504" s="66" t="str">
        <f>IF(W504="","",IF(AND(W504&gt;0,p_asof&gt;P504),p_asof-P504,""))</f>
        <v/>
      </c>
      <c r="Y504" s="59" t="str">
        <f>IF(A504="","",IF(AA504="Avoir","Avoir",IF(W504&lt;0,"Trop-perçu",IF(W504=0,"Soldée",IF(p_asof&gt;P504,"En retard",IF(U504+V504&gt;0,"Partielle","À échoir"))))))</f>
        <v/>
      </c>
      <c r="Z504" s="59" t="str">
        <f>IF(NOT(COUNTA(B504:D504,F504:O504)&gt;0),"",IF(C504="","Date manquante",IF(NOT(ISNUMBER(C504)),"Date invalide",IF(D504="","Client manquant",IF(ISNA(MATCH(D504,cli_code,0)),"Client inconnu",IF(AC504&lt;SUMPRODUCT(MAX(($AB$6:AB503=AB504)*$AC$6:AC503)),"Date antérieure à la facture précédente",IF(AND(F504&lt;&gt;"",ISNA(MATCH(F504,dv_num,0))),"Devis inconnu",IF(AND(F504&lt;&gt;"",IFERROR(INDEX(dv_client,MATCH(F504,dv_num,0)),D504)&lt;&gt;D504),"Client différent de celui du devis",IF(AG504="","Aucune ligne : saisissez des lignes ou un devis",IF(AND(AI504&lt;&gt;"",COUNTIF($AI$6:AI504,AI504)&gt;1),"Devis déjà repris par une autre facture",IF(AND(AA504="Avoir",M504=""),"Avoir : indiquez la facture d'origine",IF(AND(AA504="Avoir",ISNA(MATCH(M504,fa_num,0))),"Facture d'origine inconnue",IF(AND(AA504&lt;&gt;"Avoir",M504&lt;&gt;""),"« Avoir sur facture » : réservé aux avoirs",IF(AND(L504&lt;&gt;"",AA504&lt;&gt;"Facture"),"Acompte à déduire : réservé aux factures",IF(AND(L504&lt;&gt;"",ISNA(MATCH(L504,fa_num,0))),"Facture d'acompte inconnue",IF(AND(L504&lt;&gt;"",IFERROR(INDEX(fa_type,MATCH(L504,fa_num,0)),"")&lt;&gt;"Facture d'acompte"),"Le n° à déduire n'est pas une facture d'acompte",IF(AND(L504&lt;&gt;"",COUNTIF($L$6:L504,L504)&gt;1),"Acompte déjà déduit sur une autre facture",IF(AND(L504&lt;&gt;"",IFERROR(INDEX(fa_client,MATCH(L504,fa_num,0)),D504)&lt;&gt;D504),"Acompte d'un autre client",IF(AND(AR504&lt;&gt;"",N(Q504)&lt;0),"Acompte supérieur au total de la facture",IF(IF(AG504="Facture",COUNTIFS(fl_doc,A504,fl_check,"&lt;&gt;OK"),IF(AG504="Devis",COUNTIFS(dl_doc,F504,dl_check,"&lt;&gt;OK"),0))&gt;0,"Ligne(s) à corriger",IF(AND(W504&lt;&gt;"",N(W504)&lt;0),"Trop-perçu : vérifiez paiements et avoirs","OK")))))))))))))))))))))</f>
        <v/>
      </c>
      <c r="AA504" s="62" t="str">
        <f>IF(COUNTA(B504:D504,F504:O504)&gt;0,IF(B504="","Facture",B504),"")</f>
        <v/>
      </c>
      <c r="AB504" s="62" t="str">
        <f>IF(AA504="","",IF(AA504="Avoir",p_pav,IF(AA504="Facture d'acompte",p_pac,p_pfa)))</f>
        <v/>
      </c>
      <c r="AC504" s="62">
        <f>IF(ISNUMBER(C504),C504,0)</f>
        <v>0.0</v>
      </c>
      <c r="AD504" s="62" t="str">
        <f>IF(OR(AA504="",AC504=0),"",YEAR(AC504))</f>
        <v/>
      </c>
      <c r="AE504" s="62" t="str">
        <f>IF(AD504="","",COUNTIFS($AB$6:AB504,AB504,$AD$6:AD504,AD504))</f>
        <v/>
      </c>
      <c r="AF504" s="62">
        <f>IF(A504="",0,COUNTIF(fl_doc,A504))</f>
        <v>0.0</v>
      </c>
      <c r="AG504" s="62" t="str">
        <f>IF(A504="","",IF(AF504&gt;0,"Facture",IF(AND(F504&lt;&gt;"",AA504="Facture",ISNUMBER(MATCH(F504,dv_num,0))),"Devis","")))</f>
        <v/>
      </c>
      <c r="AH504" s="62" t="str">
        <f>IF(AND(A504&lt;&gt;"",F504&lt;&gt;"",AA504&lt;&gt;"Avoir"),F504,"")</f>
        <v/>
      </c>
      <c r="AI504" s="62" t="str">
        <f>IF(AG504="Devis",F504,"")</f>
        <v/>
      </c>
      <c r="AJ504" s="62">
        <f>IF(AG504="Facture",SUMIF(fl_doc,A504,fl_ht),IF(AG504="Devis",SUMIF(dl_doc,F504,dl_ht),0))</f>
        <v>0.0</v>
      </c>
      <c r="AK504" s="62">
        <f>IF(OR(AG504="",INDEX(p_rates,1)=""),0,IF(AG504="Facture",SUMIFS(fl_ht,fl_doc,A504,fl_rate,INDEX(p_rates,1)),SUMIFS(dl_ht,dl_doc,F504,dl_rate,INDEX(p_rates,1))))</f>
        <v>0.0</v>
      </c>
      <c r="AL504" s="62">
        <f>IF(OR(AG504="",INDEX(p_rates,2)=""),0,IF(AG504="Facture",SUMIFS(fl_ht,fl_doc,A504,fl_rate,INDEX(p_rates,2)),SUMIFS(dl_ht,dl_doc,F504,dl_rate,INDEX(p_rates,2))))</f>
        <v>0.0</v>
      </c>
      <c r="AM504" s="62">
        <f>IF(OR(AG504="",INDEX(p_rates,3)=""),0,IF(AG504="Facture",SUMIFS(fl_ht,fl_doc,A504,fl_rate,INDEX(p_rates,3)),SUMIFS(dl_ht,dl_doc,F504,dl_rate,INDEX(p_rates,3))))</f>
        <v>0.0</v>
      </c>
      <c r="AN504" s="62">
        <f>IF(OR(AG504="",INDEX(p_rates,4)=""),0,IF(AG504="Facture",SUMIFS(fl_ht,fl_doc,A504,fl_rate,INDEX(p_rates,4)),SUMIFS(dl_ht,dl_doc,F504,dl_rate,INDEX(p_rates,4))))</f>
        <v>0.0</v>
      </c>
      <c r="AO504" s="62">
        <f>IF(OR(AG504="",INDEX(p_rates,5)=""),0,IF(AG504="Facture",SUMIFS(fl_ht,fl_doc,A504,fl_rate,INDEX(p_rates,5)),SUMIFS(dl_ht,dl_doc,F504,dl_rate,INDEX(p_rates,5))))</f>
        <v>0.0</v>
      </c>
      <c r="AP504" s="62">
        <f>IF(OR(AG504="",INDEX(p_rates,6)=""),0,IF(AG504="Facture",SUMIFS(fl_ht,fl_doc,A504,fl_rate,INDEX(p_rates,6)),SUMIFS(dl_ht,dl_doc,F504,dl_rate,INDEX(p_rates,6))))</f>
        <v>0.0</v>
      </c>
      <c r="AQ504" s="62">
        <f>ROUND(AK504*N(INDEX(p_rates,1)),2)+ROUND(AL504*N(INDEX(p_rates,2)),2)+ROUND(AM504*N(INDEX(p_rates,3)),2)+ROUND(AN504*N(INDEX(p_rates,4)),2)+ROUND(AO504*N(INDEX(p_rates,5)),2)+ROUND(AP504*N(INDEX(p_rates,6)),2)</f>
        <v>0.0</v>
      </c>
      <c r="AR504" s="62" t="str">
        <f>IF(OR(L504="",AA504&lt;&gt;"Facture"),"",IFERROR(IF(INDEX(fa_type,MATCH(L504,fa_num,0))="Facture d'acompte",MATCH(L504,fa_num,0),""),""))</f>
        <v/>
      </c>
      <c r="AS504" s="62" t="str">
        <f>IF(W504="","",IF(W504&lt;=0,"",IF(p_asof-P504&lt;=0,"Non échu",IF(p_asof-P504&lt;=30,"1-30 j",IF(p_asof-P504&lt;=60,"31-60 j",IF(p_asof-P504&lt;=90,"61-90 j","Plus de 90 j"))))))</f>
        <v/>
      </c>
      <c r="AT504" s="62" t="str">
        <f>IF(AS504="","",p_asof-P504)</f>
        <v/>
      </c>
      <c r="AU504" s="62" t="str">
        <f>IF(AT504="","",COUNTIF($AT$6:$AT$805,"&gt;"&amp;AT504)+COUNTIF($AT$6:AT504,AT504))</f>
        <v/>
      </c>
    </row>
    <row r="505">
      <c r="A505" s="59" t="str">
        <f>IF(AE505="","",AB505&amp;"-"&amp;AD505&amp;"-"&amp;RIGHT("000"&amp;AE505,4))</f>
        <v/>
      </c>
      <c r="B505" s="60" t="n"/>
      <c r="C505" s="61" t="n"/>
      <c r="D505" s="60" t="n"/>
      <c r="E505" s="62" t="str">
        <f>IF(D505="","",IFERROR(INDEX(cli_name,MATCH(D505,cli_code,0))&amp;"","Client inconnu"))</f>
        <v/>
      </c>
      <c r="F505" s="60" t="n"/>
      <c r="G505" s="63" t="n"/>
      <c r="H505" s="61" t="n"/>
      <c r="I505" s="63" t="n"/>
      <c r="J505" s="60" t="n"/>
      <c r="K505" s="61" t="n"/>
      <c r="L505" s="60" t="n"/>
      <c r="M505" s="60" t="n"/>
      <c r="N505" s="60" t="n"/>
      <c r="O505" s="61" t="n"/>
      <c r="P505" s="64" t="str">
        <f>IF(A505="","",IF(AA505="Avoir",AC505,IF(ISNUMBER(K505),K505,AC505+IF(D505="",N(p_delay),IFERROR(IF(ISNUMBER(INDEX(cli_delay,MATCH(D505,cli_code,0))),INDEX(cli_delay,MATCH(D505,cli_code,0)),N(p_delay)),N(p_delay))))))</f>
        <v/>
      </c>
      <c r="Q505" s="65" t="str">
        <f>IF(A505="","",IF(AA505="Avoir",-1,1)*ROUND(AJ505-IF(AR505="",0,INDEX(fa_htb,AR505)),2))</f>
        <v/>
      </c>
      <c r="R505" s="65" t="str">
        <f>IF(A505="","",IF(AA505="Avoir",-1,1)*ROUND(AQ505-IF(AR505="",0,INDEX(fa_tvab,AR505)),2))</f>
        <v/>
      </c>
      <c r="S505" s="65" t="str">
        <f>IF(A505="","",Q505+R505)</f>
        <v/>
      </c>
      <c r="T505" s="65" t="str">
        <f>IF(AR505="","",INDEX(fa_htb,AR505)+INDEX(fa_tvab,AR505))</f>
        <v/>
      </c>
      <c r="U505" s="65" t="str">
        <f>IF(A505="","",SUMIF(pa_inv,A505,pa_amt))</f>
        <v/>
      </c>
      <c r="V505" s="65" t="str">
        <f>IF(OR(A505="",AA505="Avoir"),"",-SUMIFS(fa_ttc,fa_avof,A505,fa_type,"Avoir"))</f>
        <v/>
      </c>
      <c r="W505" s="65" t="str">
        <f>IF(OR(A505="",AA505="Avoir"),"",ROUND(S505-U505-V505,2))</f>
        <v/>
      </c>
      <c r="X505" s="66" t="str">
        <f>IF(W505="","",IF(AND(W505&gt;0,p_asof&gt;P505),p_asof-P505,""))</f>
        <v/>
      </c>
      <c r="Y505" s="59" t="str">
        <f>IF(A505="","",IF(AA505="Avoir","Avoir",IF(W505&lt;0,"Trop-perçu",IF(W505=0,"Soldée",IF(p_asof&gt;P505,"En retard",IF(U505+V505&gt;0,"Partielle","À échoir"))))))</f>
        <v/>
      </c>
      <c r="Z505" s="59" t="str">
        <f>IF(NOT(COUNTA(B505:D505,F505:O505)&gt;0),"",IF(C505="","Date manquante",IF(NOT(ISNUMBER(C505)),"Date invalide",IF(D505="","Client manquant",IF(ISNA(MATCH(D505,cli_code,0)),"Client inconnu",IF(AC505&lt;SUMPRODUCT(MAX(($AB$6:AB504=AB505)*$AC$6:AC504)),"Date antérieure à la facture précédente",IF(AND(F505&lt;&gt;"",ISNA(MATCH(F505,dv_num,0))),"Devis inconnu",IF(AND(F505&lt;&gt;"",IFERROR(INDEX(dv_client,MATCH(F505,dv_num,0)),D505)&lt;&gt;D505),"Client différent de celui du devis",IF(AG505="","Aucune ligne : saisissez des lignes ou un devis",IF(AND(AI505&lt;&gt;"",COUNTIF($AI$6:AI505,AI505)&gt;1),"Devis déjà repris par une autre facture",IF(AND(AA505="Avoir",M505=""),"Avoir : indiquez la facture d'origine",IF(AND(AA505="Avoir",ISNA(MATCH(M505,fa_num,0))),"Facture d'origine inconnue",IF(AND(AA505&lt;&gt;"Avoir",M505&lt;&gt;""),"« Avoir sur facture » : réservé aux avoirs",IF(AND(L505&lt;&gt;"",AA505&lt;&gt;"Facture"),"Acompte à déduire : réservé aux factures",IF(AND(L505&lt;&gt;"",ISNA(MATCH(L505,fa_num,0))),"Facture d'acompte inconnue",IF(AND(L505&lt;&gt;"",IFERROR(INDEX(fa_type,MATCH(L505,fa_num,0)),"")&lt;&gt;"Facture d'acompte"),"Le n° à déduire n'est pas une facture d'acompte",IF(AND(L505&lt;&gt;"",COUNTIF($L$6:L505,L505)&gt;1),"Acompte déjà déduit sur une autre facture",IF(AND(L505&lt;&gt;"",IFERROR(INDEX(fa_client,MATCH(L505,fa_num,0)),D505)&lt;&gt;D505),"Acompte d'un autre client",IF(AND(AR505&lt;&gt;"",N(Q505)&lt;0),"Acompte supérieur au total de la facture",IF(IF(AG505="Facture",COUNTIFS(fl_doc,A505,fl_check,"&lt;&gt;OK"),IF(AG505="Devis",COUNTIFS(dl_doc,F505,dl_check,"&lt;&gt;OK"),0))&gt;0,"Ligne(s) à corriger",IF(AND(W505&lt;&gt;"",N(W505)&lt;0),"Trop-perçu : vérifiez paiements et avoirs","OK")))))))))))))))))))))</f>
        <v/>
      </c>
      <c r="AA505" s="62" t="str">
        <f>IF(COUNTA(B505:D505,F505:O505)&gt;0,IF(B505="","Facture",B505),"")</f>
        <v/>
      </c>
      <c r="AB505" s="62" t="str">
        <f>IF(AA505="","",IF(AA505="Avoir",p_pav,IF(AA505="Facture d'acompte",p_pac,p_pfa)))</f>
        <v/>
      </c>
      <c r="AC505" s="62">
        <f>IF(ISNUMBER(C505),C505,0)</f>
        <v>0.0</v>
      </c>
      <c r="AD505" s="62" t="str">
        <f>IF(OR(AA505="",AC505=0),"",YEAR(AC505))</f>
        <v/>
      </c>
      <c r="AE505" s="62" t="str">
        <f>IF(AD505="","",COUNTIFS($AB$6:AB505,AB505,$AD$6:AD505,AD505))</f>
        <v/>
      </c>
      <c r="AF505" s="62">
        <f>IF(A505="",0,COUNTIF(fl_doc,A505))</f>
        <v>0.0</v>
      </c>
      <c r="AG505" s="62" t="str">
        <f>IF(A505="","",IF(AF505&gt;0,"Facture",IF(AND(F505&lt;&gt;"",AA505="Facture",ISNUMBER(MATCH(F505,dv_num,0))),"Devis","")))</f>
        <v/>
      </c>
      <c r="AH505" s="62" t="str">
        <f>IF(AND(A505&lt;&gt;"",F505&lt;&gt;"",AA505&lt;&gt;"Avoir"),F505,"")</f>
        <v/>
      </c>
      <c r="AI505" s="62" t="str">
        <f>IF(AG505="Devis",F505,"")</f>
        <v/>
      </c>
      <c r="AJ505" s="62">
        <f>IF(AG505="Facture",SUMIF(fl_doc,A505,fl_ht),IF(AG505="Devis",SUMIF(dl_doc,F505,dl_ht),0))</f>
        <v>0.0</v>
      </c>
      <c r="AK505" s="62">
        <f>IF(OR(AG505="",INDEX(p_rates,1)=""),0,IF(AG505="Facture",SUMIFS(fl_ht,fl_doc,A505,fl_rate,INDEX(p_rates,1)),SUMIFS(dl_ht,dl_doc,F505,dl_rate,INDEX(p_rates,1))))</f>
        <v>0.0</v>
      </c>
      <c r="AL505" s="62">
        <f>IF(OR(AG505="",INDEX(p_rates,2)=""),0,IF(AG505="Facture",SUMIFS(fl_ht,fl_doc,A505,fl_rate,INDEX(p_rates,2)),SUMIFS(dl_ht,dl_doc,F505,dl_rate,INDEX(p_rates,2))))</f>
        <v>0.0</v>
      </c>
      <c r="AM505" s="62">
        <f>IF(OR(AG505="",INDEX(p_rates,3)=""),0,IF(AG505="Facture",SUMIFS(fl_ht,fl_doc,A505,fl_rate,INDEX(p_rates,3)),SUMIFS(dl_ht,dl_doc,F505,dl_rate,INDEX(p_rates,3))))</f>
        <v>0.0</v>
      </c>
      <c r="AN505" s="62">
        <f>IF(OR(AG505="",INDEX(p_rates,4)=""),0,IF(AG505="Facture",SUMIFS(fl_ht,fl_doc,A505,fl_rate,INDEX(p_rates,4)),SUMIFS(dl_ht,dl_doc,F505,dl_rate,INDEX(p_rates,4))))</f>
        <v>0.0</v>
      </c>
      <c r="AO505" s="62">
        <f>IF(OR(AG505="",INDEX(p_rates,5)=""),0,IF(AG505="Facture",SUMIFS(fl_ht,fl_doc,A505,fl_rate,INDEX(p_rates,5)),SUMIFS(dl_ht,dl_doc,F505,dl_rate,INDEX(p_rates,5))))</f>
        <v>0.0</v>
      </c>
      <c r="AP505" s="62">
        <f>IF(OR(AG505="",INDEX(p_rates,6)=""),0,IF(AG505="Facture",SUMIFS(fl_ht,fl_doc,A505,fl_rate,INDEX(p_rates,6)),SUMIFS(dl_ht,dl_doc,F505,dl_rate,INDEX(p_rates,6))))</f>
        <v>0.0</v>
      </c>
      <c r="AQ505" s="62">
        <f>ROUND(AK505*N(INDEX(p_rates,1)),2)+ROUND(AL505*N(INDEX(p_rates,2)),2)+ROUND(AM505*N(INDEX(p_rates,3)),2)+ROUND(AN505*N(INDEX(p_rates,4)),2)+ROUND(AO505*N(INDEX(p_rates,5)),2)+ROUND(AP505*N(INDEX(p_rates,6)),2)</f>
        <v>0.0</v>
      </c>
      <c r="AR505" s="62" t="str">
        <f>IF(OR(L505="",AA505&lt;&gt;"Facture"),"",IFERROR(IF(INDEX(fa_type,MATCH(L505,fa_num,0))="Facture d'acompte",MATCH(L505,fa_num,0),""),""))</f>
        <v/>
      </c>
      <c r="AS505" s="62" t="str">
        <f>IF(W505="","",IF(W505&lt;=0,"",IF(p_asof-P505&lt;=0,"Non échu",IF(p_asof-P505&lt;=30,"1-30 j",IF(p_asof-P505&lt;=60,"31-60 j",IF(p_asof-P505&lt;=90,"61-90 j","Plus de 90 j"))))))</f>
        <v/>
      </c>
      <c r="AT505" s="62" t="str">
        <f>IF(AS505="","",p_asof-P505)</f>
        <v/>
      </c>
      <c r="AU505" s="62" t="str">
        <f>IF(AT505="","",COUNTIF($AT$6:$AT$805,"&gt;"&amp;AT505)+COUNTIF($AT$6:AT505,AT505))</f>
        <v/>
      </c>
    </row>
    <row r="506">
      <c r="A506" s="59" t="str">
        <f>IF(AE506="","",AB506&amp;"-"&amp;AD506&amp;"-"&amp;RIGHT("000"&amp;AE506,4))</f>
        <v/>
      </c>
      <c r="B506" s="60" t="n"/>
      <c r="C506" s="61" t="n"/>
      <c r="D506" s="60" t="n"/>
      <c r="E506" s="62" t="str">
        <f>IF(D506="","",IFERROR(INDEX(cli_name,MATCH(D506,cli_code,0))&amp;"","Client inconnu"))</f>
        <v/>
      </c>
      <c r="F506" s="60" t="n"/>
      <c r="G506" s="63" t="n"/>
      <c r="H506" s="61" t="n"/>
      <c r="I506" s="63" t="n"/>
      <c r="J506" s="60" t="n"/>
      <c r="K506" s="61" t="n"/>
      <c r="L506" s="60" t="n"/>
      <c r="M506" s="60" t="n"/>
      <c r="N506" s="60" t="n"/>
      <c r="O506" s="61" t="n"/>
      <c r="P506" s="64" t="str">
        <f>IF(A506="","",IF(AA506="Avoir",AC506,IF(ISNUMBER(K506),K506,AC506+IF(D506="",N(p_delay),IFERROR(IF(ISNUMBER(INDEX(cli_delay,MATCH(D506,cli_code,0))),INDEX(cli_delay,MATCH(D506,cli_code,0)),N(p_delay)),N(p_delay))))))</f>
        <v/>
      </c>
      <c r="Q506" s="65" t="str">
        <f>IF(A506="","",IF(AA506="Avoir",-1,1)*ROUND(AJ506-IF(AR506="",0,INDEX(fa_htb,AR506)),2))</f>
        <v/>
      </c>
      <c r="R506" s="65" t="str">
        <f>IF(A506="","",IF(AA506="Avoir",-1,1)*ROUND(AQ506-IF(AR506="",0,INDEX(fa_tvab,AR506)),2))</f>
        <v/>
      </c>
      <c r="S506" s="65" t="str">
        <f>IF(A506="","",Q506+R506)</f>
        <v/>
      </c>
      <c r="T506" s="65" t="str">
        <f>IF(AR506="","",INDEX(fa_htb,AR506)+INDEX(fa_tvab,AR506))</f>
        <v/>
      </c>
      <c r="U506" s="65" t="str">
        <f>IF(A506="","",SUMIF(pa_inv,A506,pa_amt))</f>
        <v/>
      </c>
      <c r="V506" s="65" t="str">
        <f>IF(OR(A506="",AA506="Avoir"),"",-SUMIFS(fa_ttc,fa_avof,A506,fa_type,"Avoir"))</f>
        <v/>
      </c>
      <c r="W506" s="65" t="str">
        <f>IF(OR(A506="",AA506="Avoir"),"",ROUND(S506-U506-V506,2))</f>
        <v/>
      </c>
      <c r="X506" s="66" t="str">
        <f>IF(W506="","",IF(AND(W506&gt;0,p_asof&gt;P506),p_asof-P506,""))</f>
        <v/>
      </c>
      <c r="Y506" s="59" t="str">
        <f>IF(A506="","",IF(AA506="Avoir","Avoir",IF(W506&lt;0,"Trop-perçu",IF(W506=0,"Soldée",IF(p_asof&gt;P506,"En retard",IF(U506+V506&gt;0,"Partielle","À échoir"))))))</f>
        <v/>
      </c>
      <c r="Z506" s="59" t="str">
        <f>IF(NOT(COUNTA(B506:D506,F506:O506)&gt;0),"",IF(C506="","Date manquante",IF(NOT(ISNUMBER(C506)),"Date invalide",IF(D506="","Client manquant",IF(ISNA(MATCH(D506,cli_code,0)),"Client inconnu",IF(AC506&lt;SUMPRODUCT(MAX(($AB$6:AB505=AB506)*$AC$6:AC505)),"Date antérieure à la facture précédente",IF(AND(F506&lt;&gt;"",ISNA(MATCH(F506,dv_num,0))),"Devis inconnu",IF(AND(F506&lt;&gt;"",IFERROR(INDEX(dv_client,MATCH(F506,dv_num,0)),D506)&lt;&gt;D506),"Client différent de celui du devis",IF(AG506="","Aucune ligne : saisissez des lignes ou un devis",IF(AND(AI506&lt;&gt;"",COUNTIF($AI$6:AI506,AI506)&gt;1),"Devis déjà repris par une autre facture",IF(AND(AA506="Avoir",M506=""),"Avoir : indiquez la facture d'origine",IF(AND(AA506="Avoir",ISNA(MATCH(M506,fa_num,0))),"Facture d'origine inconnue",IF(AND(AA506&lt;&gt;"Avoir",M506&lt;&gt;""),"« Avoir sur facture » : réservé aux avoirs",IF(AND(L506&lt;&gt;"",AA506&lt;&gt;"Facture"),"Acompte à déduire : réservé aux factures",IF(AND(L506&lt;&gt;"",ISNA(MATCH(L506,fa_num,0))),"Facture d'acompte inconnue",IF(AND(L506&lt;&gt;"",IFERROR(INDEX(fa_type,MATCH(L506,fa_num,0)),"")&lt;&gt;"Facture d'acompte"),"Le n° à déduire n'est pas une facture d'acompte",IF(AND(L506&lt;&gt;"",COUNTIF($L$6:L506,L506)&gt;1),"Acompte déjà déduit sur une autre facture",IF(AND(L506&lt;&gt;"",IFERROR(INDEX(fa_client,MATCH(L506,fa_num,0)),D506)&lt;&gt;D506),"Acompte d'un autre client",IF(AND(AR506&lt;&gt;"",N(Q506)&lt;0),"Acompte supérieur au total de la facture",IF(IF(AG506="Facture",COUNTIFS(fl_doc,A506,fl_check,"&lt;&gt;OK"),IF(AG506="Devis",COUNTIFS(dl_doc,F506,dl_check,"&lt;&gt;OK"),0))&gt;0,"Ligne(s) à corriger",IF(AND(W506&lt;&gt;"",N(W506)&lt;0),"Trop-perçu : vérifiez paiements et avoirs","OK")))))))))))))))))))))</f>
        <v/>
      </c>
      <c r="AA506" s="62" t="str">
        <f>IF(COUNTA(B506:D506,F506:O506)&gt;0,IF(B506="","Facture",B506),"")</f>
        <v/>
      </c>
      <c r="AB506" s="62" t="str">
        <f>IF(AA506="","",IF(AA506="Avoir",p_pav,IF(AA506="Facture d'acompte",p_pac,p_pfa)))</f>
        <v/>
      </c>
      <c r="AC506" s="62">
        <f>IF(ISNUMBER(C506),C506,0)</f>
        <v>0.0</v>
      </c>
      <c r="AD506" s="62" t="str">
        <f>IF(OR(AA506="",AC506=0),"",YEAR(AC506))</f>
        <v/>
      </c>
      <c r="AE506" s="62" t="str">
        <f>IF(AD506="","",COUNTIFS($AB$6:AB506,AB506,$AD$6:AD506,AD506))</f>
        <v/>
      </c>
      <c r="AF506" s="62">
        <f>IF(A506="",0,COUNTIF(fl_doc,A506))</f>
        <v>0.0</v>
      </c>
      <c r="AG506" s="62" t="str">
        <f>IF(A506="","",IF(AF506&gt;0,"Facture",IF(AND(F506&lt;&gt;"",AA506="Facture",ISNUMBER(MATCH(F506,dv_num,0))),"Devis","")))</f>
        <v/>
      </c>
      <c r="AH506" s="62" t="str">
        <f>IF(AND(A506&lt;&gt;"",F506&lt;&gt;"",AA506&lt;&gt;"Avoir"),F506,"")</f>
        <v/>
      </c>
      <c r="AI506" s="62" t="str">
        <f>IF(AG506="Devis",F506,"")</f>
        <v/>
      </c>
      <c r="AJ506" s="62">
        <f>IF(AG506="Facture",SUMIF(fl_doc,A506,fl_ht),IF(AG506="Devis",SUMIF(dl_doc,F506,dl_ht),0))</f>
        <v>0.0</v>
      </c>
      <c r="AK506" s="62">
        <f>IF(OR(AG506="",INDEX(p_rates,1)=""),0,IF(AG506="Facture",SUMIFS(fl_ht,fl_doc,A506,fl_rate,INDEX(p_rates,1)),SUMIFS(dl_ht,dl_doc,F506,dl_rate,INDEX(p_rates,1))))</f>
        <v>0.0</v>
      </c>
      <c r="AL506" s="62">
        <f>IF(OR(AG506="",INDEX(p_rates,2)=""),0,IF(AG506="Facture",SUMIFS(fl_ht,fl_doc,A506,fl_rate,INDEX(p_rates,2)),SUMIFS(dl_ht,dl_doc,F506,dl_rate,INDEX(p_rates,2))))</f>
        <v>0.0</v>
      </c>
      <c r="AM506" s="62">
        <f>IF(OR(AG506="",INDEX(p_rates,3)=""),0,IF(AG506="Facture",SUMIFS(fl_ht,fl_doc,A506,fl_rate,INDEX(p_rates,3)),SUMIFS(dl_ht,dl_doc,F506,dl_rate,INDEX(p_rates,3))))</f>
        <v>0.0</v>
      </c>
      <c r="AN506" s="62">
        <f>IF(OR(AG506="",INDEX(p_rates,4)=""),0,IF(AG506="Facture",SUMIFS(fl_ht,fl_doc,A506,fl_rate,INDEX(p_rates,4)),SUMIFS(dl_ht,dl_doc,F506,dl_rate,INDEX(p_rates,4))))</f>
        <v>0.0</v>
      </c>
      <c r="AO506" s="62">
        <f>IF(OR(AG506="",INDEX(p_rates,5)=""),0,IF(AG506="Facture",SUMIFS(fl_ht,fl_doc,A506,fl_rate,INDEX(p_rates,5)),SUMIFS(dl_ht,dl_doc,F506,dl_rate,INDEX(p_rates,5))))</f>
        <v>0.0</v>
      </c>
      <c r="AP506" s="62">
        <f>IF(OR(AG506="",INDEX(p_rates,6)=""),0,IF(AG506="Facture",SUMIFS(fl_ht,fl_doc,A506,fl_rate,INDEX(p_rates,6)),SUMIFS(dl_ht,dl_doc,F506,dl_rate,INDEX(p_rates,6))))</f>
        <v>0.0</v>
      </c>
      <c r="AQ506" s="62">
        <f>ROUND(AK506*N(INDEX(p_rates,1)),2)+ROUND(AL506*N(INDEX(p_rates,2)),2)+ROUND(AM506*N(INDEX(p_rates,3)),2)+ROUND(AN506*N(INDEX(p_rates,4)),2)+ROUND(AO506*N(INDEX(p_rates,5)),2)+ROUND(AP506*N(INDEX(p_rates,6)),2)</f>
        <v>0.0</v>
      </c>
      <c r="AR506" s="62" t="str">
        <f>IF(OR(L506="",AA506&lt;&gt;"Facture"),"",IFERROR(IF(INDEX(fa_type,MATCH(L506,fa_num,0))="Facture d'acompte",MATCH(L506,fa_num,0),""),""))</f>
        <v/>
      </c>
      <c r="AS506" s="62" t="str">
        <f>IF(W506="","",IF(W506&lt;=0,"",IF(p_asof-P506&lt;=0,"Non échu",IF(p_asof-P506&lt;=30,"1-30 j",IF(p_asof-P506&lt;=60,"31-60 j",IF(p_asof-P506&lt;=90,"61-90 j","Plus de 90 j"))))))</f>
        <v/>
      </c>
      <c r="AT506" s="62" t="str">
        <f>IF(AS506="","",p_asof-P506)</f>
        <v/>
      </c>
      <c r="AU506" s="62" t="str">
        <f>IF(AT506="","",COUNTIF($AT$6:$AT$805,"&gt;"&amp;AT506)+COUNTIF($AT$6:AT506,AT506))</f>
        <v/>
      </c>
    </row>
    <row r="507">
      <c r="A507" s="59" t="str">
        <f>IF(AE507="","",AB507&amp;"-"&amp;AD507&amp;"-"&amp;RIGHT("000"&amp;AE507,4))</f>
        <v/>
      </c>
      <c r="B507" s="60" t="n"/>
      <c r="C507" s="61" t="n"/>
      <c r="D507" s="60" t="n"/>
      <c r="E507" s="62" t="str">
        <f>IF(D507="","",IFERROR(INDEX(cli_name,MATCH(D507,cli_code,0))&amp;"","Client inconnu"))</f>
        <v/>
      </c>
      <c r="F507" s="60" t="n"/>
      <c r="G507" s="63" t="n"/>
      <c r="H507" s="61" t="n"/>
      <c r="I507" s="63" t="n"/>
      <c r="J507" s="60" t="n"/>
      <c r="K507" s="61" t="n"/>
      <c r="L507" s="60" t="n"/>
      <c r="M507" s="60" t="n"/>
      <c r="N507" s="60" t="n"/>
      <c r="O507" s="61" t="n"/>
      <c r="P507" s="64" t="str">
        <f>IF(A507="","",IF(AA507="Avoir",AC507,IF(ISNUMBER(K507),K507,AC507+IF(D507="",N(p_delay),IFERROR(IF(ISNUMBER(INDEX(cli_delay,MATCH(D507,cli_code,0))),INDEX(cli_delay,MATCH(D507,cli_code,0)),N(p_delay)),N(p_delay))))))</f>
        <v/>
      </c>
      <c r="Q507" s="65" t="str">
        <f>IF(A507="","",IF(AA507="Avoir",-1,1)*ROUND(AJ507-IF(AR507="",0,INDEX(fa_htb,AR507)),2))</f>
        <v/>
      </c>
      <c r="R507" s="65" t="str">
        <f>IF(A507="","",IF(AA507="Avoir",-1,1)*ROUND(AQ507-IF(AR507="",0,INDEX(fa_tvab,AR507)),2))</f>
        <v/>
      </c>
      <c r="S507" s="65" t="str">
        <f>IF(A507="","",Q507+R507)</f>
        <v/>
      </c>
      <c r="T507" s="65" t="str">
        <f>IF(AR507="","",INDEX(fa_htb,AR507)+INDEX(fa_tvab,AR507))</f>
        <v/>
      </c>
      <c r="U507" s="65" t="str">
        <f>IF(A507="","",SUMIF(pa_inv,A507,pa_amt))</f>
        <v/>
      </c>
      <c r="V507" s="65" t="str">
        <f>IF(OR(A507="",AA507="Avoir"),"",-SUMIFS(fa_ttc,fa_avof,A507,fa_type,"Avoir"))</f>
        <v/>
      </c>
      <c r="W507" s="65" t="str">
        <f>IF(OR(A507="",AA507="Avoir"),"",ROUND(S507-U507-V507,2))</f>
        <v/>
      </c>
      <c r="X507" s="66" t="str">
        <f>IF(W507="","",IF(AND(W507&gt;0,p_asof&gt;P507),p_asof-P507,""))</f>
        <v/>
      </c>
      <c r="Y507" s="59" t="str">
        <f>IF(A507="","",IF(AA507="Avoir","Avoir",IF(W507&lt;0,"Trop-perçu",IF(W507=0,"Soldée",IF(p_asof&gt;P507,"En retard",IF(U507+V507&gt;0,"Partielle","À échoir"))))))</f>
        <v/>
      </c>
      <c r="Z507" s="59" t="str">
        <f>IF(NOT(COUNTA(B507:D507,F507:O507)&gt;0),"",IF(C507="","Date manquante",IF(NOT(ISNUMBER(C507)),"Date invalide",IF(D507="","Client manquant",IF(ISNA(MATCH(D507,cli_code,0)),"Client inconnu",IF(AC507&lt;SUMPRODUCT(MAX(($AB$6:AB506=AB507)*$AC$6:AC506)),"Date antérieure à la facture précédente",IF(AND(F507&lt;&gt;"",ISNA(MATCH(F507,dv_num,0))),"Devis inconnu",IF(AND(F507&lt;&gt;"",IFERROR(INDEX(dv_client,MATCH(F507,dv_num,0)),D507)&lt;&gt;D507),"Client différent de celui du devis",IF(AG507="","Aucune ligne : saisissez des lignes ou un devis",IF(AND(AI507&lt;&gt;"",COUNTIF($AI$6:AI507,AI507)&gt;1),"Devis déjà repris par une autre facture",IF(AND(AA507="Avoir",M507=""),"Avoir : indiquez la facture d'origine",IF(AND(AA507="Avoir",ISNA(MATCH(M507,fa_num,0))),"Facture d'origine inconnue",IF(AND(AA507&lt;&gt;"Avoir",M507&lt;&gt;""),"« Avoir sur facture » : réservé aux avoirs",IF(AND(L507&lt;&gt;"",AA507&lt;&gt;"Facture"),"Acompte à déduire : réservé aux factures",IF(AND(L507&lt;&gt;"",ISNA(MATCH(L507,fa_num,0))),"Facture d'acompte inconnue",IF(AND(L507&lt;&gt;"",IFERROR(INDEX(fa_type,MATCH(L507,fa_num,0)),"")&lt;&gt;"Facture d'acompte"),"Le n° à déduire n'est pas une facture d'acompte",IF(AND(L507&lt;&gt;"",COUNTIF($L$6:L507,L507)&gt;1),"Acompte déjà déduit sur une autre facture",IF(AND(L507&lt;&gt;"",IFERROR(INDEX(fa_client,MATCH(L507,fa_num,0)),D507)&lt;&gt;D507),"Acompte d'un autre client",IF(AND(AR507&lt;&gt;"",N(Q507)&lt;0),"Acompte supérieur au total de la facture",IF(IF(AG507="Facture",COUNTIFS(fl_doc,A507,fl_check,"&lt;&gt;OK"),IF(AG507="Devis",COUNTIFS(dl_doc,F507,dl_check,"&lt;&gt;OK"),0))&gt;0,"Ligne(s) à corriger",IF(AND(W507&lt;&gt;"",N(W507)&lt;0),"Trop-perçu : vérifiez paiements et avoirs","OK")))))))))))))))))))))</f>
        <v/>
      </c>
      <c r="AA507" s="62" t="str">
        <f>IF(COUNTA(B507:D507,F507:O507)&gt;0,IF(B507="","Facture",B507),"")</f>
        <v/>
      </c>
      <c r="AB507" s="62" t="str">
        <f>IF(AA507="","",IF(AA507="Avoir",p_pav,IF(AA507="Facture d'acompte",p_pac,p_pfa)))</f>
        <v/>
      </c>
      <c r="AC507" s="62">
        <f>IF(ISNUMBER(C507),C507,0)</f>
        <v>0.0</v>
      </c>
      <c r="AD507" s="62" t="str">
        <f>IF(OR(AA507="",AC507=0),"",YEAR(AC507))</f>
        <v/>
      </c>
      <c r="AE507" s="62" t="str">
        <f>IF(AD507="","",COUNTIFS($AB$6:AB507,AB507,$AD$6:AD507,AD507))</f>
        <v/>
      </c>
      <c r="AF507" s="62">
        <f>IF(A507="",0,COUNTIF(fl_doc,A507))</f>
        <v>0.0</v>
      </c>
      <c r="AG507" s="62" t="str">
        <f>IF(A507="","",IF(AF507&gt;0,"Facture",IF(AND(F507&lt;&gt;"",AA507="Facture",ISNUMBER(MATCH(F507,dv_num,0))),"Devis","")))</f>
        <v/>
      </c>
      <c r="AH507" s="62" t="str">
        <f>IF(AND(A507&lt;&gt;"",F507&lt;&gt;"",AA507&lt;&gt;"Avoir"),F507,"")</f>
        <v/>
      </c>
      <c r="AI507" s="62" t="str">
        <f>IF(AG507="Devis",F507,"")</f>
        <v/>
      </c>
      <c r="AJ507" s="62">
        <f>IF(AG507="Facture",SUMIF(fl_doc,A507,fl_ht),IF(AG507="Devis",SUMIF(dl_doc,F507,dl_ht),0))</f>
        <v>0.0</v>
      </c>
      <c r="AK507" s="62">
        <f>IF(OR(AG507="",INDEX(p_rates,1)=""),0,IF(AG507="Facture",SUMIFS(fl_ht,fl_doc,A507,fl_rate,INDEX(p_rates,1)),SUMIFS(dl_ht,dl_doc,F507,dl_rate,INDEX(p_rates,1))))</f>
        <v>0.0</v>
      </c>
      <c r="AL507" s="62">
        <f>IF(OR(AG507="",INDEX(p_rates,2)=""),0,IF(AG507="Facture",SUMIFS(fl_ht,fl_doc,A507,fl_rate,INDEX(p_rates,2)),SUMIFS(dl_ht,dl_doc,F507,dl_rate,INDEX(p_rates,2))))</f>
        <v>0.0</v>
      </c>
      <c r="AM507" s="62">
        <f>IF(OR(AG507="",INDEX(p_rates,3)=""),0,IF(AG507="Facture",SUMIFS(fl_ht,fl_doc,A507,fl_rate,INDEX(p_rates,3)),SUMIFS(dl_ht,dl_doc,F507,dl_rate,INDEX(p_rates,3))))</f>
        <v>0.0</v>
      </c>
      <c r="AN507" s="62">
        <f>IF(OR(AG507="",INDEX(p_rates,4)=""),0,IF(AG507="Facture",SUMIFS(fl_ht,fl_doc,A507,fl_rate,INDEX(p_rates,4)),SUMIFS(dl_ht,dl_doc,F507,dl_rate,INDEX(p_rates,4))))</f>
        <v>0.0</v>
      </c>
      <c r="AO507" s="62">
        <f>IF(OR(AG507="",INDEX(p_rates,5)=""),0,IF(AG507="Facture",SUMIFS(fl_ht,fl_doc,A507,fl_rate,INDEX(p_rates,5)),SUMIFS(dl_ht,dl_doc,F507,dl_rate,INDEX(p_rates,5))))</f>
        <v>0.0</v>
      </c>
      <c r="AP507" s="62">
        <f>IF(OR(AG507="",INDEX(p_rates,6)=""),0,IF(AG507="Facture",SUMIFS(fl_ht,fl_doc,A507,fl_rate,INDEX(p_rates,6)),SUMIFS(dl_ht,dl_doc,F507,dl_rate,INDEX(p_rates,6))))</f>
        <v>0.0</v>
      </c>
      <c r="AQ507" s="62">
        <f>ROUND(AK507*N(INDEX(p_rates,1)),2)+ROUND(AL507*N(INDEX(p_rates,2)),2)+ROUND(AM507*N(INDEX(p_rates,3)),2)+ROUND(AN507*N(INDEX(p_rates,4)),2)+ROUND(AO507*N(INDEX(p_rates,5)),2)+ROUND(AP507*N(INDEX(p_rates,6)),2)</f>
        <v>0.0</v>
      </c>
      <c r="AR507" s="62" t="str">
        <f>IF(OR(L507="",AA507&lt;&gt;"Facture"),"",IFERROR(IF(INDEX(fa_type,MATCH(L507,fa_num,0))="Facture d'acompte",MATCH(L507,fa_num,0),""),""))</f>
        <v/>
      </c>
      <c r="AS507" s="62" t="str">
        <f>IF(W507="","",IF(W507&lt;=0,"",IF(p_asof-P507&lt;=0,"Non échu",IF(p_asof-P507&lt;=30,"1-30 j",IF(p_asof-P507&lt;=60,"31-60 j",IF(p_asof-P507&lt;=90,"61-90 j","Plus de 90 j"))))))</f>
        <v/>
      </c>
      <c r="AT507" s="62" t="str">
        <f>IF(AS507="","",p_asof-P507)</f>
        <v/>
      </c>
      <c r="AU507" s="62" t="str">
        <f>IF(AT507="","",COUNTIF($AT$6:$AT$805,"&gt;"&amp;AT507)+COUNTIF($AT$6:AT507,AT507))</f>
        <v/>
      </c>
    </row>
    <row r="508">
      <c r="A508" s="59" t="str">
        <f>IF(AE508="","",AB508&amp;"-"&amp;AD508&amp;"-"&amp;RIGHT("000"&amp;AE508,4))</f>
        <v/>
      </c>
      <c r="B508" s="60" t="n"/>
      <c r="C508" s="61" t="n"/>
      <c r="D508" s="60" t="n"/>
      <c r="E508" s="62" t="str">
        <f>IF(D508="","",IFERROR(INDEX(cli_name,MATCH(D508,cli_code,0))&amp;"","Client inconnu"))</f>
        <v/>
      </c>
      <c r="F508" s="60" t="n"/>
      <c r="G508" s="63" t="n"/>
      <c r="H508" s="61" t="n"/>
      <c r="I508" s="63" t="n"/>
      <c r="J508" s="60" t="n"/>
      <c r="K508" s="61" t="n"/>
      <c r="L508" s="60" t="n"/>
      <c r="M508" s="60" t="n"/>
      <c r="N508" s="60" t="n"/>
      <c r="O508" s="61" t="n"/>
      <c r="P508" s="64" t="str">
        <f>IF(A508="","",IF(AA508="Avoir",AC508,IF(ISNUMBER(K508),K508,AC508+IF(D508="",N(p_delay),IFERROR(IF(ISNUMBER(INDEX(cli_delay,MATCH(D508,cli_code,0))),INDEX(cli_delay,MATCH(D508,cli_code,0)),N(p_delay)),N(p_delay))))))</f>
        <v/>
      </c>
      <c r="Q508" s="65" t="str">
        <f>IF(A508="","",IF(AA508="Avoir",-1,1)*ROUND(AJ508-IF(AR508="",0,INDEX(fa_htb,AR508)),2))</f>
        <v/>
      </c>
      <c r="R508" s="65" t="str">
        <f>IF(A508="","",IF(AA508="Avoir",-1,1)*ROUND(AQ508-IF(AR508="",0,INDEX(fa_tvab,AR508)),2))</f>
        <v/>
      </c>
      <c r="S508" s="65" t="str">
        <f>IF(A508="","",Q508+R508)</f>
        <v/>
      </c>
      <c r="T508" s="65" t="str">
        <f>IF(AR508="","",INDEX(fa_htb,AR508)+INDEX(fa_tvab,AR508))</f>
        <v/>
      </c>
      <c r="U508" s="65" t="str">
        <f>IF(A508="","",SUMIF(pa_inv,A508,pa_amt))</f>
        <v/>
      </c>
      <c r="V508" s="65" t="str">
        <f>IF(OR(A508="",AA508="Avoir"),"",-SUMIFS(fa_ttc,fa_avof,A508,fa_type,"Avoir"))</f>
        <v/>
      </c>
      <c r="W508" s="65" t="str">
        <f>IF(OR(A508="",AA508="Avoir"),"",ROUND(S508-U508-V508,2))</f>
        <v/>
      </c>
      <c r="X508" s="66" t="str">
        <f>IF(W508="","",IF(AND(W508&gt;0,p_asof&gt;P508),p_asof-P508,""))</f>
        <v/>
      </c>
      <c r="Y508" s="59" t="str">
        <f>IF(A508="","",IF(AA508="Avoir","Avoir",IF(W508&lt;0,"Trop-perçu",IF(W508=0,"Soldée",IF(p_asof&gt;P508,"En retard",IF(U508+V508&gt;0,"Partielle","À échoir"))))))</f>
        <v/>
      </c>
      <c r="Z508" s="59" t="str">
        <f>IF(NOT(COUNTA(B508:D508,F508:O508)&gt;0),"",IF(C508="","Date manquante",IF(NOT(ISNUMBER(C508)),"Date invalide",IF(D508="","Client manquant",IF(ISNA(MATCH(D508,cli_code,0)),"Client inconnu",IF(AC508&lt;SUMPRODUCT(MAX(($AB$6:AB507=AB508)*$AC$6:AC507)),"Date antérieure à la facture précédente",IF(AND(F508&lt;&gt;"",ISNA(MATCH(F508,dv_num,0))),"Devis inconnu",IF(AND(F508&lt;&gt;"",IFERROR(INDEX(dv_client,MATCH(F508,dv_num,0)),D508)&lt;&gt;D508),"Client différent de celui du devis",IF(AG508="","Aucune ligne : saisissez des lignes ou un devis",IF(AND(AI508&lt;&gt;"",COUNTIF($AI$6:AI508,AI508)&gt;1),"Devis déjà repris par une autre facture",IF(AND(AA508="Avoir",M508=""),"Avoir : indiquez la facture d'origine",IF(AND(AA508="Avoir",ISNA(MATCH(M508,fa_num,0))),"Facture d'origine inconnue",IF(AND(AA508&lt;&gt;"Avoir",M508&lt;&gt;""),"« Avoir sur facture » : réservé aux avoirs",IF(AND(L508&lt;&gt;"",AA508&lt;&gt;"Facture"),"Acompte à déduire : réservé aux factures",IF(AND(L508&lt;&gt;"",ISNA(MATCH(L508,fa_num,0))),"Facture d'acompte inconnue",IF(AND(L508&lt;&gt;"",IFERROR(INDEX(fa_type,MATCH(L508,fa_num,0)),"")&lt;&gt;"Facture d'acompte"),"Le n° à déduire n'est pas une facture d'acompte",IF(AND(L508&lt;&gt;"",COUNTIF($L$6:L508,L508)&gt;1),"Acompte déjà déduit sur une autre facture",IF(AND(L508&lt;&gt;"",IFERROR(INDEX(fa_client,MATCH(L508,fa_num,0)),D508)&lt;&gt;D508),"Acompte d'un autre client",IF(AND(AR508&lt;&gt;"",N(Q508)&lt;0),"Acompte supérieur au total de la facture",IF(IF(AG508="Facture",COUNTIFS(fl_doc,A508,fl_check,"&lt;&gt;OK"),IF(AG508="Devis",COUNTIFS(dl_doc,F508,dl_check,"&lt;&gt;OK"),0))&gt;0,"Ligne(s) à corriger",IF(AND(W508&lt;&gt;"",N(W508)&lt;0),"Trop-perçu : vérifiez paiements et avoirs","OK")))))))))))))))))))))</f>
        <v/>
      </c>
      <c r="AA508" s="62" t="str">
        <f>IF(COUNTA(B508:D508,F508:O508)&gt;0,IF(B508="","Facture",B508),"")</f>
        <v/>
      </c>
      <c r="AB508" s="62" t="str">
        <f>IF(AA508="","",IF(AA508="Avoir",p_pav,IF(AA508="Facture d'acompte",p_pac,p_pfa)))</f>
        <v/>
      </c>
      <c r="AC508" s="62">
        <f>IF(ISNUMBER(C508),C508,0)</f>
        <v>0.0</v>
      </c>
      <c r="AD508" s="62" t="str">
        <f>IF(OR(AA508="",AC508=0),"",YEAR(AC508))</f>
        <v/>
      </c>
      <c r="AE508" s="62" t="str">
        <f>IF(AD508="","",COUNTIFS($AB$6:AB508,AB508,$AD$6:AD508,AD508))</f>
        <v/>
      </c>
      <c r="AF508" s="62">
        <f>IF(A508="",0,COUNTIF(fl_doc,A508))</f>
        <v>0.0</v>
      </c>
      <c r="AG508" s="62" t="str">
        <f>IF(A508="","",IF(AF508&gt;0,"Facture",IF(AND(F508&lt;&gt;"",AA508="Facture",ISNUMBER(MATCH(F508,dv_num,0))),"Devis","")))</f>
        <v/>
      </c>
      <c r="AH508" s="62" t="str">
        <f>IF(AND(A508&lt;&gt;"",F508&lt;&gt;"",AA508&lt;&gt;"Avoir"),F508,"")</f>
        <v/>
      </c>
      <c r="AI508" s="62" t="str">
        <f>IF(AG508="Devis",F508,"")</f>
        <v/>
      </c>
      <c r="AJ508" s="62">
        <f>IF(AG508="Facture",SUMIF(fl_doc,A508,fl_ht),IF(AG508="Devis",SUMIF(dl_doc,F508,dl_ht),0))</f>
        <v>0.0</v>
      </c>
      <c r="AK508" s="62">
        <f>IF(OR(AG508="",INDEX(p_rates,1)=""),0,IF(AG508="Facture",SUMIFS(fl_ht,fl_doc,A508,fl_rate,INDEX(p_rates,1)),SUMIFS(dl_ht,dl_doc,F508,dl_rate,INDEX(p_rates,1))))</f>
        <v>0.0</v>
      </c>
      <c r="AL508" s="62">
        <f>IF(OR(AG508="",INDEX(p_rates,2)=""),0,IF(AG508="Facture",SUMIFS(fl_ht,fl_doc,A508,fl_rate,INDEX(p_rates,2)),SUMIFS(dl_ht,dl_doc,F508,dl_rate,INDEX(p_rates,2))))</f>
        <v>0.0</v>
      </c>
      <c r="AM508" s="62">
        <f>IF(OR(AG508="",INDEX(p_rates,3)=""),0,IF(AG508="Facture",SUMIFS(fl_ht,fl_doc,A508,fl_rate,INDEX(p_rates,3)),SUMIFS(dl_ht,dl_doc,F508,dl_rate,INDEX(p_rates,3))))</f>
        <v>0.0</v>
      </c>
      <c r="AN508" s="62">
        <f>IF(OR(AG508="",INDEX(p_rates,4)=""),0,IF(AG508="Facture",SUMIFS(fl_ht,fl_doc,A508,fl_rate,INDEX(p_rates,4)),SUMIFS(dl_ht,dl_doc,F508,dl_rate,INDEX(p_rates,4))))</f>
        <v>0.0</v>
      </c>
      <c r="AO508" s="62">
        <f>IF(OR(AG508="",INDEX(p_rates,5)=""),0,IF(AG508="Facture",SUMIFS(fl_ht,fl_doc,A508,fl_rate,INDEX(p_rates,5)),SUMIFS(dl_ht,dl_doc,F508,dl_rate,INDEX(p_rates,5))))</f>
        <v>0.0</v>
      </c>
      <c r="AP508" s="62">
        <f>IF(OR(AG508="",INDEX(p_rates,6)=""),0,IF(AG508="Facture",SUMIFS(fl_ht,fl_doc,A508,fl_rate,INDEX(p_rates,6)),SUMIFS(dl_ht,dl_doc,F508,dl_rate,INDEX(p_rates,6))))</f>
        <v>0.0</v>
      </c>
      <c r="AQ508" s="62">
        <f>ROUND(AK508*N(INDEX(p_rates,1)),2)+ROUND(AL508*N(INDEX(p_rates,2)),2)+ROUND(AM508*N(INDEX(p_rates,3)),2)+ROUND(AN508*N(INDEX(p_rates,4)),2)+ROUND(AO508*N(INDEX(p_rates,5)),2)+ROUND(AP508*N(INDEX(p_rates,6)),2)</f>
        <v>0.0</v>
      </c>
      <c r="AR508" s="62" t="str">
        <f>IF(OR(L508="",AA508&lt;&gt;"Facture"),"",IFERROR(IF(INDEX(fa_type,MATCH(L508,fa_num,0))="Facture d'acompte",MATCH(L508,fa_num,0),""),""))</f>
        <v/>
      </c>
      <c r="AS508" s="62" t="str">
        <f>IF(W508="","",IF(W508&lt;=0,"",IF(p_asof-P508&lt;=0,"Non échu",IF(p_asof-P508&lt;=30,"1-30 j",IF(p_asof-P508&lt;=60,"31-60 j",IF(p_asof-P508&lt;=90,"61-90 j","Plus de 90 j"))))))</f>
        <v/>
      </c>
      <c r="AT508" s="62" t="str">
        <f>IF(AS508="","",p_asof-P508)</f>
        <v/>
      </c>
      <c r="AU508" s="62" t="str">
        <f>IF(AT508="","",COUNTIF($AT$6:$AT$805,"&gt;"&amp;AT508)+COUNTIF($AT$6:AT508,AT508))</f>
        <v/>
      </c>
    </row>
    <row r="509">
      <c r="A509" s="59" t="str">
        <f>IF(AE509="","",AB509&amp;"-"&amp;AD509&amp;"-"&amp;RIGHT("000"&amp;AE509,4))</f>
        <v/>
      </c>
      <c r="B509" s="60" t="n"/>
      <c r="C509" s="61" t="n"/>
      <c r="D509" s="60" t="n"/>
      <c r="E509" s="62" t="str">
        <f>IF(D509="","",IFERROR(INDEX(cli_name,MATCH(D509,cli_code,0))&amp;"","Client inconnu"))</f>
        <v/>
      </c>
      <c r="F509" s="60" t="n"/>
      <c r="G509" s="63" t="n"/>
      <c r="H509" s="61" t="n"/>
      <c r="I509" s="63" t="n"/>
      <c r="J509" s="60" t="n"/>
      <c r="K509" s="61" t="n"/>
      <c r="L509" s="60" t="n"/>
      <c r="M509" s="60" t="n"/>
      <c r="N509" s="60" t="n"/>
      <c r="O509" s="61" t="n"/>
      <c r="P509" s="64" t="str">
        <f>IF(A509="","",IF(AA509="Avoir",AC509,IF(ISNUMBER(K509),K509,AC509+IF(D509="",N(p_delay),IFERROR(IF(ISNUMBER(INDEX(cli_delay,MATCH(D509,cli_code,0))),INDEX(cli_delay,MATCH(D509,cli_code,0)),N(p_delay)),N(p_delay))))))</f>
        <v/>
      </c>
      <c r="Q509" s="65" t="str">
        <f>IF(A509="","",IF(AA509="Avoir",-1,1)*ROUND(AJ509-IF(AR509="",0,INDEX(fa_htb,AR509)),2))</f>
        <v/>
      </c>
      <c r="R509" s="65" t="str">
        <f>IF(A509="","",IF(AA509="Avoir",-1,1)*ROUND(AQ509-IF(AR509="",0,INDEX(fa_tvab,AR509)),2))</f>
        <v/>
      </c>
      <c r="S509" s="65" t="str">
        <f>IF(A509="","",Q509+R509)</f>
        <v/>
      </c>
      <c r="T509" s="65" t="str">
        <f>IF(AR509="","",INDEX(fa_htb,AR509)+INDEX(fa_tvab,AR509))</f>
        <v/>
      </c>
      <c r="U509" s="65" t="str">
        <f>IF(A509="","",SUMIF(pa_inv,A509,pa_amt))</f>
        <v/>
      </c>
      <c r="V509" s="65" t="str">
        <f>IF(OR(A509="",AA509="Avoir"),"",-SUMIFS(fa_ttc,fa_avof,A509,fa_type,"Avoir"))</f>
        <v/>
      </c>
      <c r="W509" s="65" t="str">
        <f>IF(OR(A509="",AA509="Avoir"),"",ROUND(S509-U509-V509,2))</f>
        <v/>
      </c>
      <c r="X509" s="66" t="str">
        <f>IF(W509="","",IF(AND(W509&gt;0,p_asof&gt;P509),p_asof-P509,""))</f>
        <v/>
      </c>
      <c r="Y509" s="59" t="str">
        <f>IF(A509="","",IF(AA509="Avoir","Avoir",IF(W509&lt;0,"Trop-perçu",IF(W509=0,"Soldée",IF(p_asof&gt;P509,"En retard",IF(U509+V509&gt;0,"Partielle","À échoir"))))))</f>
        <v/>
      </c>
      <c r="Z509" s="59" t="str">
        <f>IF(NOT(COUNTA(B509:D509,F509:O509)&gt;0),"",IF(C509="","Date manquante",IF(NOT(ISNUMBER(C509)),"Date invalide",IF(D509="","Client manquant",IF(ISNA(MATCH(D509,cli_code,0)),"Client inconnu",IF(AC509&lt;SUMPRODUCT(MAX(($AB$6:AB508=AB509)*$AC$6:AC508)),"Date antérieure à la facture précédente",IF(AND(F509&lt;&gt;"",ISNA(MATCH(F509,dv_num,0))),"Devis inconnu",IF(AND(F509&lt;&gt;"",IFERROR(INDEX(dv_client,MATCH(F509,dv_num,0)),D509)&lt;&gt;D509),"Client différent de celui du devis",IF(AG509="","Aucune ligne : saisissez des lignes ou un devis",IF(AND(AI509&lt;&gt;"",COUNTIF($AI$6:AI509,AI509)&gt;1),"Devis déjà repris par une autre facture",IF(AND(AA509="Avoir",M509=""),"Avoir : indiquez la facture d'origine",IF(AND(AA509="Avoir",ISNA(MATCH(M509,fa_num,0))),"Facture d'origine inconnue",IF(AND(AA509&lt;&gt;"Avoir",M509&lt;&gt;""),"« Avoir sur facture » : réservé aux avoirs",IF(AND(L509&lt;&gt;"",AA509&lt;&gt;"Facture"),"Acompte à déduire : réservé aux factures",IF(AND(L509&lt;&gt;"",ISNA(MATCH(L509,fa_num,0))),"Facture d'acompte inconnue",IF(AND(L509&lt;&gt;"",IFERROR(INDEX(fa_type,MATCH(L509,fa_num,0)),"")&lt;&gt;"Facture d'acompte"),"Le n° à déduire n'est pas une facture d'acompte",IF(AND(L509&lt;&gt;"",COUNTIF($L$6:L509,L509)&gt;1),"Acompte déjà déduit sur une autre facture",IF(AND(L509&lt;&gt;"",IFERROR(INDEX(fa_client,MATCH(L509,fa_num,0)),D509)&lt;&gt;D509),"Acompte d'un autre client",IF(AND(AR509&lt;&gt;"",N(Q509)&lt;0),"Acompte supérieur au total de la facture",IF(IF(AG509="Facture",COUNTIFS(fl_doc,A509,fl_check,"&lt;&gt;OK"),IF(AG509="Devis",COUNTIFS(dl_doc,F509,dl_check,"&lt;&gt;OK"),0))&gt;0,"Ligne(s) à corriger",IF(AND(W509&lt;&gt;"",N(W509)&lt;0),"Trop-perçu : vérifiez paiements et avoirs","OK")))))))))))))))))))))</f>
        <v/>
      </c>
      <c r="AA509" s="62" t="str">
        <f>IF(COUNTA(B509:D509,F509:O509)&gt;0,IF(B509="","Facture",B509),"")</f>
        <v/>
      </c>
      <c r="AB509" s="62" t="str">
        <f>IF(AA509="","",IF(AA509="Avoir",p_pav,IF(AA509="Facture d'acompte",p_pac,p_pfa)))</f>
        <v/>
      </c>
      <c r="AC509" s="62">
        <f>IF(ISNUMBER(C509),C509,0)</f>
        <v>0.0</v>
      </c>
      <c r="AD509" s="62" t="str">
        <f>IF(OR(AA509="",AC509=0),"",YEAR(AC509))</f>
        <v/>
      </c>
      <c r="AE509" s="62" t="str">
        <f>IF(AD509="","",COUNTIFS($AB$6:AB509,AB509,$AD$6:AD509,AD509))</f>
        <v/>
      </c>
      <c r="AF509" s="62">
        <f>IF(A509="",0,COUNTIF(fl_doc,A509))</f>
        <v>0.0</v>
      </c>
      <c r="AG509" s="62" t="str">
        <f>IF(A509="","",IF(AF509&gt;0,"Facture",IF(AND(F509&lt;&gt;"",AA509="Facture",ISNUMBER(MATCH(F509,dv_num,0))),"Devis","")))</f>
        <v/>
      </c>
      <c r="AH509" s="62" t="str">
        <f>IF(AND(A509&lt;&gt;"",F509&lt;&gt;"",AA509&lt;&gt;"Avoir"),F509,"")</f>
        <v/>
      </c>
      <c r="AI509" s="62" t="str">
        <f>IF(AG509="Devis",F509,"")</f>
        <v/>
      </c>
      <c r="AJ509" s="62">
        <f>IF(AG509="Facture",SUMIF(fl_doc,A509,fl_ht),IF(AG509="Devis",SUMIF(dl_doc,F509,dl_ht),0))</f>
        <v>0.0</v>
      </c>
      <c r="AK509" s="62">
        <f>IF(OR(AG509="",INDEX(p_rates,1)=""),0,IF(AG509="Facture",SUMIFS(fl_ht,fl_doc,A509,fl_rate,INDEX(p_rates,1)),SUMIFS(dl_ht,dl_doc,F509,dl_rate,INDEX(p_rates,1))))</f>
        <v>0.0</v>
      </c>
      <c r="AL509" s="62">
        <f>IF(OR(AG509="",INDEX(p_rates,2)=""),0,IF(AG509="Facture",SUMIFS(fl_ht,fl_doc,A509,fl_rate,INDEX(p_rates,2)),SUMIFS(dl_ht,dl_doc,F509,dl_rate,INDEX(p_rates,2))))</f>
        <v>0.0</v>
      </c>
      <c r="AM509" s="62">
        <f>IF(OR(AG509="",INDEX(p_rates,3)=""),0,IF(AG509="Facture",SUMIFS(fl_ht,fl_doc,A509,fl_rate,INDEX(p_rates,3)),SUMIFS(dl_ht,dl_doc,F509,dl_rate,INDEX(p_rates,3))))</f>
        <v>0.0</v>
      </c>
      <c r="AN509" s="62">
        <f>IF(OR(AG509="",INDEX(p_rates,4)=""),0,IF(AG509="Facture",SUMIFS(fl_ht,fl_doc,A509,fl_rate,INDEX(p_rates,4)),SUMIFS(dl_ht,dl_doc,F509,dl_rate,INDEX(p_rates,4))))</f>
        <v>0.0</v>
      </c>
      <c r="AO509" s="62">
        <f>IF(OR(AG509="",INDEX(p_rates,5)=""),0,IF(AG509="Facture",SUMIFS(fl_ht,fl_doc,A509,fl_rate,INDEX(p_rates,5)),SUMIFS(dl_ht,dl_doc,F509,dl_rate,INDEX(p_rates,5))))</f>
        <v>0.0</v>
      </c>
      <c r="AP509" s="62">
        <f>IF(OR(AG509="",INDEX(p_rates,6)=""),0,IF(AG509="Facture",SUMIFS(fl_ht,fl_doc,A509,fl_rate,INDEX(p_rates,6)),SUMIFS(dl_ht,dl_doc,F509,dl_rate,INDEX(p_rates,6))))</f>
        <v>0.0</v>
      </c>
      <c r="AQ509" s="62">
        <f>ROUND(AK509*N(INDEX(p_rates,1)),2)+ROUND(AL509*N(INDEX(p_rates,2)),2)+ROUND(AM509*N(INDEX(p_rates,3)),2)+ROUND(AN509*N(INDEX(p_rates,4)),2)+ROUND(AO509*N(INDEX(p_rates,5)),2)+ROUND(AP509*N(INDEX(p_rates,6)),2)</f>
        <v>0.0</v>
      </c>
      <c r="AR509" s="62" t="str">
        <f>IF(OR(L509="",AA509&lt;&gt;"Facture"),"",IFERROR(IF(INDEX(fa_type,MATCH(L509,fa_num,0))="Facture d'acompte",MATCH(L509,fa_num,0),""),""))</f>
        <v/>
      </c>
      <c r="AS509" s="62" t="str">
        <f>IF(W509="","",IF(W509&lt;=0,"",IF(p_asof-P509&lt;=0,"Non échu",IF(p_asof-P509&lt;=30,"1-30 j",IF(p_asof-P509&lt;=60,"31-60 j",IF(p_asof-P509&lt;=90,"61-90 j","Plus de 90 j"))))))</f>
        <v/>
      </c>
      <c r="AT509" s="62" t="str">
        <f>IF(AS509="","",p_asof-P509)</f>
        <v/>
      </c>
      <c r="AU509" s="62" t="str">
        <f>IF(AT509="","",COUNTIF($AT$6:$AT$805,"&gt;"&amp;AT509)+COUNTIF($AT$6:AT509,AT509))</f>
        <v/>
      </c>
    </row>
    <row r="510">
      <c r="A510" s="59" t="str">
        <f>IF(AE510="","",AB510&amp;"-"&amp;AD510&amp;"-"&amp;RIGHT("000"&amp;AE510,4))</f>
        <v/>
      </c>
      <c r="B510" s="60" t="n"/>
      <c r="C510" s="61" t="n"/>
      <c r="D510" s="60" t="n"/>
      <c r="E510" s="62" t="str">
        <f>IF(D510="","",IFERROR(INDEX(cli_name,MATCH(D510,cli_code,0))&amp;"","Client inconnu"))</f>
        <v/>
      </c>
      <c r="F510" s="60" t="n"/>
      <c r="G510" s="63" t="n"/>
      <c r="H510" s="61" t="n"/>
      <c r="I510" s="63" t="n"/>
      <c r="J510" s="60" t="n"/>
      <c r="K510" s="61" t="n"/>
      <c r="L510" s="60" t="n"/>
      <c r="M510" s="60" t="n"/>
      <c r="N510" s="60" t="n"/>
      <c r="O510" s="61" t="n"/>
      <c r="P510" s="64" t="str">
        <f>IF(A510="","",IF(AA510="Avoir",AC510,IF(ISNUMBER(K510),K510,AC510+IF(D510="",N(p_delay),IFERROR(IF(ISNUMBER(INDEX(cli_delay,MATCH(D510,cli_code,0))),INDEX(cli_delay,MATCH(D510,cli_code,0)),N(p_delay)),N(p_delay))))))</f>
        <v/>
      </c>
      <c r="Q510" s="65" t="str">
        <f>IF(A510="","",IF(AA510="Avoir",-1,1)*ROUND(AJ510-IF(AR510="",0,INDEX(fa_htb,AR510)),2))</f>
        <v/>
      </c>
      <c r="R510" s="65" t="str">
        <f>IF(A510="","",IF(AA510="Avoir",-1,1)*ROUND(AQ510-IF(AR510="",0,INDEX(fa_tvab,AR510)),2))</f>
        <v/>
      </c>
      <c r="S510" s="65" t="str">
        <f>IF(A510="","",Q510+R510)</f>
        <v/>
      </c>
      <c r="T510" s="65" t="str">
        <f>IF(AR510="","",INDEX(fa_htb,AR510)+INDEX(fa_tvab,AR510))</f>
        <v/>
      </c>
      <c r="U510" s="65" t="str">
        <f>IF(A510="","",SUMIF(pa_inv,A510,pa_amt))</f>
        <v/>
      </c>
      <c r="V510" s="65" t="str">
        <f>IF(OR(A510="",AA510="Avoir"),"",-SUMIFS(fa_ttc,fa_avof,A510,fa_type,"Avoir"))</f>
        <v/>
      </c>
      <c r="W510" s="65" t="str">
        <f>IF(OR(A510="",AA510="Avoir"),"",ROUND(S510-U510-V510,2))</f>
        <v/>
      </c>
      <c r="X510" s="66" t="str">
        <f>IF(W510="","",IF(AND(W510&gt;0,p_asof&gt;P510),p_asof-P510,""))</f>
        <v/>
      </c>
      <c r="Y510" s="59" t="str">
        <f>IF(A510="","",IF(AA510="Avoir","Avoir",IF(W510&lt;0,"Trop-perçu",IF(W510=0,"Soldée",IF(p_asof&gt;P510,"En retard",IF(U510+V510&gt;0,"Partielle","À échoir"))))))</f>
        <v/>
      </c>
      <c r="Z510" s="59" t="str">
        <f>IF(NOT(COUNTA(B510:D510,F510:O510)&gt;0),"",IF(C510="","Date manquante",IF(NOT(ISNUMBER(C510)),"Date invalide",IF(D510="","Client manquant",IF(ISNA(MATCH(D510,cli_code,0)),"Client inconnu",IF(AC510&lt;SUMPRODUCT(MAX(($AB$6:AB509=AB510)*$AC$6:AC509)),"Date antérieure à la facture précédente",IF(AND(F510&lt;&gt;"",ISNA(MATCH(F510,dv_num,0))),"Devis inconnu",IF(AND(F510&lt;&gt;"",IFERROR(INDEX(dv_client,MATCH(F510,dv_num,0)),D510)&lt;&gt;D510),"Client différent de celui du devis",IF(AG510="","Aucune ligne : saisissez des lignes ou un devis",IF(AND(AI510&lt;&gt;"",COUNTIF($AI$6:AI510,AI510)&gt;1),"Devis déjà repris par une autre facture",IF(AND(AA510="Avoir",M510=""),"Avoir : indiquez la facture d'origine",IF(AND(AA510="Avoir",ISNA(MATCH(M510,fa_num,0))),"Facture d'origine inconnue",IF(AND(AA510&lt;&gt;"Avoir",M510&lt;&gt;""),"« Avoir sur facture » : réservé aux avoirs",IF(AND(L510&lt;&gt;"",AA510&lt;&gt;"Facture"),"Acompte à déduire : réservé aux factures",IF(AND(L510&lt;&gt;"",ISNA(MATCH(L510,fa_num,0))),"Facture d'acompte inconnue",IF(AND(L510&lt;&gt;"",IFERROR(INDEX(fa_type,MATCH(L510,fa_num,0)),"")&lt;&gt;"Facture d'acompte"),"Le n° à déduire n'est pas une facture d'acompte",IF(AND(L510&lt;&gt;"",COUNTIF($L$6:L510,L510)&gt;1),"Acompte déjà déduit sur une autre facture",IF(AND(L510&lt;&gt;"",IFERROR(INDEX(fa_client,MATCH(L510,fa_num,0)),D510)&lt;&gt;D510),"Acompte d'un autre client",IF(AND(AR510&lt;&gt;"",N(Q510)&lt;0),"Acompte supérieur au total de la facture",IF(IF(AG510="Facture",COUNTIFS(fl_doc,A510,fl_check,"&lt;&gt;OK"),IF(AG510="Devis",COUNTIFS(dl_doc,F510,dl_check,"&lt;&gt;OK"),0))&gt;0,"Ligne(s) à corriger",IF(AND(W510&lt;&gt;"",N(W510)&lt;0),"Trop-perçu : vérifiez paiements et avoirs","OK")))))))))))))))))))))</f>
        <v/>
      </c>
      <c r="AA510" s="62" t="str">
        <f>IF(COUNTA(B510:D510,F510:O510)&gt;0,IF(B510="","Facture",B510),"")</f>
        <v/>
      </c>
      <c r="AB510" s="62" t="str">
        <f>IF(AA510="","",IF(AA510="Avoir",p_pav,IF(AA510="Facture d'acompte",p_pac,p_pfa)))</f>
        <v/>
      </c>
      <c r="AC510" s="62">
        <f>IF(ISNUMBER(C510),C510,0)</f>
        <v>0.0</v>
      </c>
      <c r="AD510" s="62" t="str">
        <f>IF(OR(AA510="",AC510=0),"",YEAR(AC510))</f>
        <v/>
      </c>
      <c r="AE510" s="62" t="str">
        <f>IF(AD510="","",COUNTIFS($AB$6:AB510,AB510,$AD$6:AD510,AD510))</f>
        <v/>
      </c>
      <c r="AF510" s="62">
        <f>IF(A510="",0,COUNTIF(fl_doc,A510))</f>
        <v>0.0</v>
      </c>
      <c r="AG510" s="62" t="str">
        <f>IF(A510="","",IF(AF510&gt;0,"Facture",IF(AND(F510&lt;&gt;"",AA510="Facture",ISNUMBER(MATCH(F510,dv_num,0))),"Devis","")))</f>
        <v/>
      </c>
      <c r="AH510" s="62" t="str">
        <f>IF(AND(A510&lt;&gt;"",F510&lt;&gt;"",AA510&lt;&gt;"Avoir"),F510,"")</f>
        <v/>
      </c>
      <c r="AI510" s="62" t="str">
        <f>IF(AG510="Devis",F510,"")</f>
        <v/>
      </c>
      <c r="AJ510" s="62">
        <f>IF(AG510="Facture",SUMIF(fl_doc,A510,fl_ht),IF(AG510="Devis",SUMIF(dl_doc,F510,dl_ht),0))</f>
        <v>0.0</v>
      </c>
      <c r="AK510" s="62">
        <f>IF(OR(AG510="",INDEX(p_rates,1)=""),0,IF(AG510="Facture",SUMIFS(fl_ht,fl_doc,A510,fl_rate,INDEX(p_rates,1)),SUMIFS(dl_ht,dl_doc,F510,dl_rate,INDEX(p_rates,1))))</f>
        <v>0.0</v>
      </c>
      <c r="AL510" s="62">
        <f>IF(OR(AG510="",INDEX(p_rates,2)=""),0,IF(AG510="Facture",SUMIFS(fl_ht,fl_doc,A510,fl_rate,INDEX(p_rates,2)),SUMIFS(dl_ht,dl_doc,F510,dl_rate,INDEX(p_rates,2))))</f>
        <v>0.0</v>
      </c>
      <c r="AM510" s="62">
        <f>IF(OR(AG510="",INDEX(p_rates,3)=""),0,IF(AG510="Facture",SUMIFS(fl_ht,fl_doc,A510,fl_rate,INDEX(p_rates,3)),SUMIFS(dl_ht,dl_doc,F510,dl_rate,INDEX(p_rates,3))))</f>
        <v>0.0</v>
      </c>
      <c r="AN510" s="62">
        <f>IF(OR(AG510="",INDEX(p_rates,4)=""),0,IF(AG510="Facture",SUMIFS(fl_ht,fl_doc,A510,fl_rate,INDEX(p_rates,4)),SUMIFS(dl_ht,dl_doc,F510,dl_rate,INDEX(p_rates,4))))</f>
        <v>0.0</v>
      </c>
      <c r="AO510" s="62">
        <f>IF(OR(AG510="",INDEX(p_rates,5)=""),0,IF(AG510="Facture",SUMIFS(fl_ht,fl_doc,A510,fl_rate,INDEX(p_rates,5)),SUMIFS(dl_ht,dl_doc,F510,dl_rate,INDEX(p_rates,5))))</f>
        <v>0.0</v>
      </c>
      <c r="AP510" s="62">
        <f>IF(OR(AG510="",INDEX(p_rates,6)=""),0,IF(AG510="Facture",SUMIFS(fl_ht,fl_doc,A510,fl_rate,INDEX(p_rates,6)),SUMIFS(dl_ht,dl_doc,F510,dl_rate,INDEX(p_rates,6))))</f>
        <v>0.0</v>
      </c>
      <c r="AQ510" s="62">
        <f>ROUND(AK510*N(INDEX(p_rates,1)),2)+ROUND(AL510*N(INDEX(p_rates,2)),2)+ROUND(AM510*N(INDEX(p_rates,3)),2)+ROUND(AN510*N(INDEX(p_rates,4)),2)+ROUND(AO510*N(INDEX(p_rates,5)),2)+ROUND(AP510*N(INDEX(p_rates,6)),2)</f>
        <v>0.0</v>
      </c>
      <c r="AR510" s="62" t="str">
        <f>IF(OR(L510="",AA510&lt;&gt;"Facture"),"",IFERROR(IF(INDEX(fa_type,MATCH(L510,fa_num,0))="Facture d'acompte",MATCH(L510,fa_num,0),""),""))</f>
        <v/>
      </c>
      <c r="AS510" s="62" t="str">
        <f>IF(W510="","",IF(W510&lt;=0,"",IF(p_asof-P510&lt;=0,"Non échu",IF(p_asof-P510&lt;=30,"1-30 j",IF(p_asof-P510&lt;=60,"31-60 j",IF(p_asof-P510&lt;=90,"61-90 j","Plus de 90 j"))))))</f>
        <v/>
      </c>
      <c r="AT510" s="62" t="str">
        <f>IF(AS510="","",p_asof-P510)</f>
        <v/>
      </c>
      <c r="AU510" s="62" t="str">
        <f>IF(AT510="","",COUNTIF($AT$6:$AT$805,"&gt;"&amp;AT510)+COUNTIF($AT$6:AT510,AT510))</f>
        <v/>
      </c>
    </row>
    <row r="511">
      <c r="A511" s="59" t="str">
        <f>IF(AE511="","",AB511&amp;"-"&amp;AD511&amp;"-"&amp;RIGHT("000"&amp;AE511,4))</f>
        <v/>
      </c>
      <c r="B511" s="60" t="n"/>
      <c r="C511" s="61" t="n"/>
      <c r="D511" s="60" t="n"/>
      <c r="E511" s="62" t="str">
        <f>IF(D511="","",IFERROR(INDEX(cli_name,MATCH(D511,cli_code,0))&amp;"","Client inconnu"))</f>
        <v/>
      </c>
      <c r="F511" s="60" t="n"/>
      <c r="G511" s="63" t="n"/>
      <c r="H511" s="61" t="n"/>
      <c r="I511" s="63" t="n"/>
      <c r="J511" s="60" t="n"/>
      <c r="K511" s="61" t="n"/>
      <c r="L511" s="60" t="n"/>
      <c r="M511" s="60" t="n"/>
      <c r="N511" s="60" t="n"/>
      <c r="O511" s="61" t="n"/>
      <c r="P511" s="64" t="str">
        <f>IF(A511="","",IF(AA511="Avoir",AC511,IF(ISNUMBER(K511),K511,AC511+IF(D511="",N(p_delay),IFERROR(IF(ISNUMBER(INDEX(cli_delay,MATCH(D511,cli_code,0))),INDEX(cli_delay,MATCH(D511,cli_code,0)),N(p_delay)),N(p_delay))))))</f>
        <v/>
      </c>
      <c r="Q511" s="65" t="str">
        <f>IF(A511="","",IF(AA511="Avoir",-1,1)*ROUND(AJ511-IF(AR511="",0,INDEX(fa_htb,AR511)),2))</f>
        <v/>
      </c>
      <c r="R511" s="65" t="str">
        <f>IF(A511="","",IF(AA511="Avoir",-1,1)*ROUND(AQ511-IF(AR511="",0,INDEX(fa_tvab,AR511)),2))</f>
        <v/>
      </c>
      <c r="S511" s="65" t="str">
        <f>IF(A511="","",Q511+R511)</f>
        <v/>
      </c>
      <c r="T511" s="65" t="str">
        <f>IF(AR511="","",INDEX(fa_htb,AR511)+INDEX(fa_tvab,AR511))</f>
        <v/>
      </c>
      <c r="U511" s="65" t="str">
        <f>IF(A511="","",SUMIF(pa_inv,A511,pa_amt))</f>
        <v/>
      </c>
      <c r="V511" s="65" t="str">
        <f>IF(OR(A511="",AA511="Avoir"),"",-SUMIFS(fa_ttc,fa_avof,A511,fa_type,"Avoir"))</f>
        <v/>
      </c>
      <c r="W511" s="65" t="str">
        <f>IF(OR(A511="",AA511="Avoir"),"",ROUND(S511-U511-V511,2))</f>
        <v/>
      </c>
      <c r="X511" s="66" t="str">
        <f>IF(W511="","",IF(AND(W511&gt;0,p_asof&gt;P511),p_asof-P511,""))</f>
        <v/>
      </c>
      <c r="Y511" s="59" t="str">
        <f>IF(A511="","",IF(AA511="Avoir","Avoir",IF(W511&lt;0,"Trop-perçu",IF(W511=0,"Soldée",IF(p_asof&gt;P511,"En retard",IF(U511+V511&gt;0,"Partielle","À échoir"))))))</f>
        <v/>
      </c>
      <c r="Z511" s="59" t="str">
        <f>IF(NOT(COUNTA(B511:D511,F511:O511)&gt;0),"",IF(C511="","Date manquante",IF(NOT(ISNUMBER(C511)),"Date invalide",IF(D511="","Client manquant",IF(ISNA(MATCH(D511,cli_code,0)),"Client inconnu",IF(AC511&lt;SUMPRODUCT(MAX(($AB$6:AB510=AB511)*$AC$6:AC510)),"Date antérieure à la facture précédente",IF(AND(F511&lt;&gt;"",ISNA(MATCH(F511,dv_num,0))),"Devis inconnu",IF(AND(F511&lt;&gt;"",IFERROR(INDEX(dv_client,MATCH(F511,dv_num,0)),D511)&lt;&gt;D511),"Client différent de celui du devis",IF(AG511="","Aucune ligne : saisissez des lignes ou un devis",IF(AND(AI511&lt;&gt;"",COUNTIF($AI$6:AI511,AI511)&gt;1),"Devis déjà repris par une autre facture",IF(AND(AA511="Avoir",M511=""),"Avoir : indiquez la facture d'origine",IF(AND(AA511="Avoir",ISNA(MATCH(M511,fa_num,0))),"Facture d'origine inconnue",IF(AND(AA511&lt;&gt;"Avoir",M511&lt;&gt;""),"« Avoir sur facture » : réservé aux avoirs",IF(AND(L511&lt;&gt;"",AA511&lt;&gt;"Facture"),"Acompte à déduire : réservé aux factures",IF(AND(L511&lt;&gt;"",ISNA(MATCH(L511,fa_num,0))),"Facture d'acompte inconnue",IF(AND(L511&lt;&gt;"",IFERROR(INDEX(fa_type,MATCH(L511,fa_num,0)),"")&lt;&gt;"Facture d'acompte"),"Le n° à déduire n'est pas une facture d'acompte",IF(AND(L511&lt;&gt;"",COUNTIF($L$6:L511,L511)&gt;1),"Acompte déjà déduit sur une autre facture",IF(AND(L511&lt;&gt;"",IFERROR(INDEX(fa_client,MATCH(L511,fa_num,0)),D511)&lt;&gt;D511),"Acompte d'un autre client",IF(AND(AR511&lt;&gt;"",N(Q511)&lt;0),"Acompte supérieur au total de la facture",IF(IF(AG511="Facture",COUNTIFS(fl_doc,A511,fl_check,"&lt;&gt;OK"),IF(AG511="Devis",COUNTIFS(dl_doc,F511,dl_check,"&lt;&gt;OK"),0))&gt;0,"Ligne(s) à corriger",IF(AND(W511&lt;&gt;"",N(W511)&lt;0),"Trop-perçu : vérifiez paiements et avoirs","OK")))))))))))))))))))))</f>
        <v/>
      </c>
      <c r="AA511" s="62" t="str">
        <f>IF(COUNTA(B511:D511,F511:O511)&gt;0,IF(B511="","Facture",B511),"")</f>
        <v/>
      </c>
      <c r="AB511" s="62" t="str">
        <f>IF(AA511="","",IF(AA511="Avoir",p_pav,IF(AA511="Facture d'acompte",p_pac,p_pfa)))</f>
        <v/>
      </c>
      <c r="AC511" s="62">
        <f>IF(ISNUMBER(C511),C511,0)</f>
        <v>0.0</v>
      </c>
      <c r="AD511" s="62" t="str">
        <f>IF(OR(AA511="",AC511=0),"",YEAR(AC511))</f>
        <v/>
      </c>
      <c r="AE511" s="62" t="str">
        <f>IF(AD511="","",COUNTIFS($AB$6:AB511,AB511,$AD$6:AD511,AD511))</f>
        <v/>
      </c>
      <c r="AF511" s="62">
        <f>IF(A511="",0,COUNTIF(fl_doc,A511))</f>
        <v>0.0</v>
      </c>
      <c r="AG511" s="62" t="str">
        <f>IF(A511="","",IF(AF511&gt;0,"Facture",IF(AND(F511&lt;&gt;"",AA511="Facture",ISNUMBER(MATCH(F511,dv_num,0))),"Devis","")))</f>
        <v/>
      </c>
      <c r="AH511" s="62" t="str">
        <f>IF(AND(A511&lt;&gt;"",F511&lt;&gt;"",AA511&lt;&gt;"Avoir"),F511,"")</f>
        <v/>
      </c>
      <c r="AI511" s="62" t="str">
        <f>IF(AG511="Devis",F511,"")</f>
        <v/>
      </c>
      <c r="AJ511" s="62">
        <f>IF(AG511="Facture",SUMIF(fl_doc,A511,fl_ht),IF(AG511="Devis",SUMIF(dl_doc,F511,dl_ht),0))</f>
        <v>0.0</v>
      </c>
      <c r="AK511" s="62">
        <f>IF(OR(AG511="",INDEX(p_rates,1)=""),0,IF(AG511="Facture",SUMIFS(fl_ht,fl_doc,A511,fl_rate,INDEX(p_rates,1)),SUMIFS(dl_ht,dl_doc,F511,dl_rate,INDEX(p_rates,1))))</f>
        <v>0.0</v>
      </c>
      <c r="AL511" s="62">
        <f>IF(OR(AG511="",INDEX(p_rates,2)=""),0,IF(AG511="Facture",SUMIFS(fl_ht,fl_doc,A511,fl_rate,INDEX(p_rates,2)),SUMIFS(dl_ht,dl_doc,F511,dl_rate,INDEX(p_rates,2))))</f>
        <v>0.0</v>
      </c>
      <c r="AM511" s="62">
        <f>IF(OR(AG511="",INDEX(p_rates,3)=""),0,IF(AG511="Facture",SUMIFS(fl_ht,fl_doc,A511,fl_rate,INDEX(p_rates,3)),SUMIFS(dl_ht,dl_doc,F511,dl_rate,INDEX(p_rates,3))))</f>
        <v>0.0</v>
      </c>
      <c r="AN511" s="62">
        <f>IF(OR(AG511="",INDEX(p_rates,4)=""),0,IF(AG511="Facture",SUMIFS(fl_ht,fl_doc,A511,fl_rate,INDEX(p_rates,4)),SUMIFS(dl_ht,dl_doc,F511,dl_rate,INDEX(p_rates,4))))</f>
        <v>0.0</v>
      </c>
      <c r="AO511" s="62">
        <f>IF(OR(AG511="",INDEX(p_rates,5)=""),0,IF(AG511="Facture",SUMIFS(fl_ht,fl_doc,A511,fl_rate,INDEX(p_rates,5)),SUMIFS(dl_ht,dl_doc,F511,dl_rate,INDEX(p_rates,5))))</f>
        <v>0.0</v>
      </c>
      <c r="AP511" s="62">
        <f>IF(OR(AG511="",INDEX(p_rates,6)=""),0,IF(AG511="Facture",SUMIFS(fl_ht,fl_doc,A511,fl_rate,INDEX(p_rates,6)),SUMIFS(dl_ht,dl_doc,F511,dl_rate,INDEX(p_rates,6))))</f>
        <v>0.0</v>
      </c>
      <c r="AQ511" s="62">
        <f>ROUND(AK511*N(INDEX(p_rates,1)),2)+ROUND(AL511*N(INDEX(p_rates,2)),2)+ROUND(AM511*N(INDEX(p_rates,3)),2)+ROUND(AN511*N(INDEX(p_rates,4)),2)+ROUND(AO511*N(INDEX(p_rates,5)),2)+ROUND(AP511*N(INDEX(p_rates,6)),2)</f>
        <v>0.0</v>
      </c>
      <c r="AR511" s="62" t="str">
        <f>IF(OR(L511="",AA511&lt;&gt;"Facture"),"",IFERROR(IF(INDEX(fa_type,MATCH(L511,fa_num,0))="Facture d'acompte",MATCH(L511,fa_num,0),""),""))</f>
        <v/>
      </c>
      <c r="AS511" s="62" t="str">
        <f>IF(W511="","",IF(W511&lt;=0,"",IF(p_asof-P511&lt;=0,"Non échu",IF(p_asof-P511&lt;=30,"1-30 j",IF(p_asof-P511&lt;=60,"31-60 j",IF(p_asof-P511&lt;=90,"61-90 j","Plus de 90 j"))))))</f>
        <v/>
      </c>
      <c r="AT511" s="62" t="str">
        <f>IF(AS511="","",p_asof-P511)</f>
        <v/>
      </c>
      <c r="AU511" s="62" t="str">
        <f>IF(AT511="","",COUNTIF($AT$6:$AT$805,"&gt;"&amp;AT511)+COUNTIF($AT$6:AT511,AT511))</f>
        <v/>
      </c>
    </row>
    <row r="512">
      <c r="A512" s="59" t="str">
        <f>IF(AE512="","",AB512&amp;"-"&amp;AD512&amp;"-"&amp;RIGHT("000"&amp;AE512,4))</f>
        <v/>
      </c>
      <c r="B512" s="60" t="n"/>
      <c r="C512" s="61" t="n"/>
      <c r="D512" s="60" t="n"/>
      <c r="E512" s="62" t="str">
        <f>IF(D512="","",IFERROR(INDEX(cli_name,MATCH(D512,cli_code,0))&amp;"","Client inconnu"))</f>
        <v/>
      </c>
      <c r="F512" s="60" t="n"/>
      <c r="G512" s="63" t="n"/>
      <c r="H512" s="61" t="n"/>
      <c r="I512" s="63" t="n"/>
      <c r="J512" s="60" t="n"/>
      <c r="K512" s="61" t="n"/>
      <c r="L512" s="60" t="n"/>
      <c r="M512" s="60" t="n"/>
      <c r="N512" s="60" t="n"/>
      <c r="O512" s="61" t="n"/>
      <c r="P512" s="64" t="str">
        <f>IF(A512="","",IF(AA512="Avoir",AC512,IF(ISNUMBER(K512),K512,AC512+IF(D512="",N(p_delay),IFERROR(IF(ISNUMBER(INDEX(cli_delay,MATCH(D512,cli_code,0))),INDEX(cli_delay,MATCH(D512,cli_code,0)),N(p_delay)),N(p_delay))))))</f>
        <v/>
      </c>
      <c r="Q512" s="65" t="str">
        <f>IF(A512="","",IF(AA512="Avoir",-1,1)*ROUND(AJ512-IF(AR512="",0,INDEX(fa_htb,AR512)),2))</f>
        <v/>
      </c>
      <c r="R512" s="65" t="str">
        <f>IF(A512="","",IF(AA512="Avoir",-1,1)*ROUND(AQ512-IF(AR512="",0,INDEX(fa_tvab,AR512)),2))</f>
        <v/>
      </c>
      <c r="S512" s="65" t="str">
        <f>IF(A512="","",Q512+R512)</f>
        <v/>
      </c>
      <c r="T512" s="65" t="str">
        <f>IF(AR512="","",INDEX(fa_htb,AR512)+INDEX(fa_tvab,AR512))</f>
        <v/>
      </c>
      <c r="U512" s="65" t="str">
        <f>IF(A512="","",SUMIF(pa_inv,A512,pa_amt))</f>
        <v/>
      </c>
      <c r="V512" s="65" t="str">
        <f>IF(OR(A512="",AA512="Avoir"),"",-SUMIFS(fa_ttc,fa_avof,A512,fa_type,"Avoir"))</f>
        <v/>
      </c>
      <c r="W512" s="65" t="str">
        <f>IF(OR(A512="",AA512="Avoir"),"",ROUND(S512-U512-V512,2))</f>
        <v/>
      </c>
      <c r="X512" s="66" t="str">
        <f>IF(W512="","",IF(AND(W512&gt;0,p_asof&gt;P512),p_asof-P512,""))</f>
        <v/>
      </c>
      <c r="Y512" s="59" t="str">
        <f>IF(A512="","",IF(AA512="Avoir","Avoir",IF(W512&lt;0,"Trop-perçu",IF(W512=0,"Soldée",IF(p_asof&gt;P512,"En retard",IF(U512+V512&gt;0,"Partielle","À échoir"))))))</f>
        <v/>
      </c>
      <c r="Z512" s="59" t="str">
        <f>IF(NOT(COUNTA(B512:D512,F512:O512)&gt;0),"",IF(C512="","Date manquante",IF(NOT(ISNUMBER(C512)),"Date invalide",IF(D512="","Client manquant",IF(ISNA(MATCH(D512,cli_code,0)),"Client inconnu",IF(AC512&lt;SUMPRODUCT(MAX(($AB$6:AB511=AB512)*$AC$6:AC511)),"Date antérieure à la facture précédente",IF(AND(F512&lt;&gt;"",ISNA(MATCH(F512,dv_num,0))),"Devis inconnu",IF(AND(F512&lt;&gt;"",IFERROR(INDEX(dv_client,MATCH(F512,dv_num,0)),D512)&lt;&gt;D512),"Client différent de celui du devis",IF(AG512="","Aucune ligne : saisissez des lignes ou un devis",IF(AND(AI512&lt;&gt;"",COUNTIF($AI$6:AI512,AI512)&gt;1),"Devis déjà repris par une autre facture",IF(AND(AA512="Avoir",M512=""),"Avoir : indiquez la facture d'origine",IF(AND(AA512="Avoir",ISNA(MATCH(M512,fa_num,0))),"Facture d'origine inconnue",IF(AND(AA512&lt;&gt;"Avoir",M512&lt;&gt;""),"« Avoir sur facture » : réservé aux avoirs",IF(AND(L512&lt;&gt;"",AA512&lt;&gt;"Facture"),"Acompte à déduire : réservé aux factures",IF(AND(L512&lt;&gt;"",ISNA(MATCH(L512,fa_num,0))),"Facture d'acompte inconnue",IF(AND(L512&lt;&gt;"",IFERROR(INDEX(fa_type,MATCH(L512,fa_num,0)),"")&lt;&gt;"Facture d'acompte"),"Le n° à déduire n'est pas une facture d'acompte",IF(AND(L512&lt;&gt;"",COUNTIF($L$6:L512,L512)&gt;1),"Acompte déjà déduit sur une autre facture",IF(AND(L512&lt;&gt;"",IFERROR(INDEX(fa_client,MATCH(L512,fa_num,0)),D512)&lt;&gt;D512),"Acompte d'un autre client",IF(AND(AR512&lt;&gt;"",N(Q512)&lt;0),"Acompte supérieur au total de la facture",IF(IF(AG512="Facture",COUNTIFS(fl_doc,A512,fl_check,"&lt;&gt;OK"),IF(AG512="Devis",COUNTIFS(dl_doc,F512,dl_check,"&lt;&gt;OK"),0))&gt;0,"Ligne(s) à corriger",IF(AND(W512&lt;&gt;"",N(W512)&lt;0),"Trop-perçu : vérifiez paiements et avoirs","OK")))))))))))))))))))))</f>
        <v/>
      </c>
      <c r="AA512" s="62" t="str">
        <f>IF(COUNTA(B512:D512,F512:O512)&gt;0,IF(B512="","Facture",B512),"")</f>
        <v/>
      </c>
      <c r="AB512" s="62" t="str">
        <f>IF(AA512="","",IF(AA512="Avoir",p_pav,IF(AA512="Facture d'acompte",p_pac,p_pfa)))</f>
        <v/>
      </c>
      <c r="AC512" s="62">
        <f>IF(ISNUMBER(C512),C512,0)</f>
        <v>0.0</v>
      </c>
      <c r="AD512" s="62" t="str">
        <f>IF(OR(AA512="",AC512=0),"",YEAR(AC512))</f>
        <v/>
      </c>
      <c r="AE512" s="62" t="str">
        <f>IF(AD512="","",COUNTIFS($AB$6:AB512,AB512,$AD$6:AD512,AD512))</f>
        <v/>
      </c>
      <c r="AF512" s="62">
        <f>IF(A512="",0,COUNTIF(fl_doc,A512))</f>
        <v>0.0</v>
      </c>
      <c r="AG512" s="62" t="str">
        <f>IF(A512="","",IF(AF512&gt;0,"Facture",IF(AND(F512&lt;&gt;"",AA512="Facture",ISNUMBER(MATCH(F512,dv_num,0))),"Devis","")))</f>
        <v/>
      </c>
      <c r="AH512" s="62" t="str">
        <f>IF(AND(A512&lt;&gt;"",F512&lt;&gt;"",AA512&lt;&gt;"Avoir"),F512,"")</f>
        <v/>
      </c>
      <c r="AI512" s="62" t="str">
        <f>IF(AG512="Devis",F512,"")</f>
        <v/>
      </c>
      <c r="AJ512" s="62">
        <f>IF(AG512="Facture",SUMIF(fl_doc,A512,fl_ht),IF(AG512="Devis",SUMIF(dl_doc,F512,dl_ht),0))</f>
        <v>0.0</v>
      </c>
      <c r="AK512" s="62">
        <f>IF(OR(AG512="",INDEX(p_rates,1)=""),0,IF(AG512="Facture",SUMIFS(fl_ht,fl_doc,A512,fl_rate,INDEX(p_rates,1)),SUMIFS(dl_ht,dl_doc,F512,dl_rate,INDEX(p_rates,1))))</f>
        <v>0.0</v>
      </c>
      <c r="AL512" s="62">
        <f>IF(OR(AG512="",INDEX(p_rates,2)=""),0,IF(AG512="Facture",SUMIFS(fl_ht,fl_doc,A512,fl_rate,INDEX(p_rates,2)),SUMIFS(dl_ht,dl_doc,F512,dl_rate,INDEX(p_rates,2))))</f>
        <v>0.0</v>
      </c>
      <c r="AM512" s="62">
        <f>IF(OR(AG512="",INDEX(p_rates,3)=""),0,IF(AG512="Facture",SUMIFS(fl_ht,fl_doc,A512,fl_rate,INDEX(p_rates,3)),SUMIFS(dl_ht,dl_doc,F512,dl_rate,INDEX(p_rates,3))))</f>
        <v>0.0</v>
      </c>
      <c r="AN512" s="62">
        <f>IF(OR(AG512="",INDEX(p_rates,4)=""),0,IF(AG512="Facture",SUMIFS(fl_ht,fl_doc,A512,fl_rate,INDEX(p_rates,4)),SUMIFS(dl_ht,dl_doc,F512,dl_rate,INDEX(p_rates,4))))</f>
        <v>0.0</v>
      </c>
      <c r="AO512" s="62">
        <f>IF(OR(AG512="",INDEX(p_rates,5)=""),0,IF(AG512="Facture",SUMIFS(fl_ht,fl_doc,A512,fl_rate,INDEX(p_rates,5)),SUMIFS(dl_ht,dl_doc,F512,dl_rate,INDEX(p_rates,5))))</f>
        <v>0.0</v>
      </c>
      <c r="AP512" s="62">
        <f>IF(OR(AG512="",INDEX(p_rates,6)=""),0,IF(AG512="Facture",SUMIFS(fl_ht,fl_doc,A512,fl_rate,INDEX(p_rates,6)),SUMIFS(dl_ht,dl_doc,F512,dl_rate,INDEX(p_rates,6))))</f>
        <v>0.0</v>
      </c>
      <c r="AQ512" s="62">
        <f>ROUND(AK512*N(INDEX(p_rates,1)),2)+ROUND(AL512*N(INDEX(p_rates,2)),2)+ROUND(AM512*N(INDEX(p_rates,3)),2)+ROUND(AN512*N(INDEX(p_rates,4)),2)+ROUND(AO512*N(INDEX(p_rates,5)),2)+ROUND(AP512*N(INDEX(p_rates,6)),2)</f>
        <v>0.0</v>
      </c>
      <c r="AR512" s="62" t="str">
        <f>IF(OR(L512="",AA512&lt;&gt;"Facture"),"",IFERROR(IF(INDEX(fa_type,MATCH(L512,fa_num,0))="Facture d'acompte",MATCH(L512,fa_num,0),""),""))</f>
        <v/>
      </c>
      <c r="AS512" s="62" t="str">
        <f>IF(W512="","",IF(W512&lt;=0,"",IF(p_asof-P512&lt;=0,"Non échu",IF(p_asof-P512&lt;=30,"1-30 j",IF(p_asof-P512&lt;=60,"31-60 j",IF(p_asof-P512&lt;=90,"61-90 j","Plus de 90 j"))))))</f>
        <v/>
      </c>
      <c r="AT512" s="62" t="str">
        <f>IF(AS512="","",p_asof-P512)</f>
        <v/>
      </c>
      <c r="AU512" s="62" t="str">
        <f>IF(AT512="","",COUNTIF($AT$6:$AT$805,"&gt;"&amp;AT512)+COUNTIF($AT$6:AT512,AT512))</f>
        <v/>
      </c>
    </row>
    <row r="513">
      <c r="A513" s="59" t="str">
        <f>IF(AE513="","",AB513&amp;"-"&amp;AD513&amp;"-"&amp;RIGHT("000"&amp;AE513,4))</f>
        <v/>
      </c>
      <c r="B513" s="60" t="n"/>
      <c r="C513" s="61" t="n"/>
      <c r="D513" s="60" t="n"/>
      <c r="E513" s="62" t="str">
        <f>IF(D513="","",IFERROR(INDEX(cli_name,MATCH(D513,cli_code,0))&amp;"","Client inconnu"))</f>
        <v/>
      </c>
      <c r="F513" s="60" t="n"/>
      <c r="G513" s="63" t="n"/>
      <c r="H513" s="61" t="n"/>
      <c r="I513" s="63" t="n"/>
      <c r="J513" s="60" t="n"/>
      <c r="K513" s="61" t="n"/>
      <c r="L513" s="60" t="n"/>
      <c r="M513" s="60" t="n"/>
      <c r="N513" s="60" t="n"/>
      <c r="O513" s="61" t="n"/>
      <c r="P513" s="64" t="str">
        <f>IF(A513="","",IF(AA513="Avoir",AC513,IF(ISNUMBER(K513),K513,AC513+IF(D513="",N(p_delay),IFERROR(IF(ISNUMBER(INDEX(cli_delay,MATCH(D513,cli_code,0))),INDEX(cli_delay,MATCH(D513,cli_code,0)),N(p_delay)),N(p_delay))))))</f>
        <v/>
      </c>
      <c r="Q513" s="65" t="str">
        <f>IF(A513="","",IF(AA513="Avoir",-1,1)*ROUND(AJ513-IF(AR513="",0,INDEX(fa_htb,AR513)),2))</f>
        <v/>
      </c>
      <c r="R513" s="65" t="str">
        <f>IF(A513="","",IF(AA513="Avoir",-1,1)*ROUND(AQ513-IF(AR513="",0,INDEX(fa_tvab,AR513)),2))</f>
        <v/>
      </c>
      <c r="S513" s="65" t="str">
        <f>IF(A513="","",Q513+R513)</f>
        <v/>
      </c>
      <c r="T513" s="65" t="str">
        <f>IF(AR513="","",INDEX(fa_htb,AR513)+INDEX(fa_tvab,AR513))</f>
        <v/>
      </c>
      <c r="U513" s="65" t="str">
        <f>IF(A513="","",SUMIF(pa_inv,A513,pa_amt))</f>
        <v/>
      </c>
      <c r="V513" s="65" t="str">
        <f>IF(OR(A513="",AA513="Avoir"),"",-SUMIFS(fa_ttc,fa_avof,A513,fa_type,"Avoir"))</f>
        <v/>
      </c>
      <c r="W513" s="65" t="str">
        <f>IF(OR(A513="",AA513="Avoir"),"",ROUND(S513-U513-V513,2))</f>
        <v/>
      </c>
      <c r="X513" s="66" t="str">
        <f>IF(W513="","",IF(AND(W513&gt;0,p_asof&gt;P513),p_asof-P513,""))</f>
        <v/>
      </c>
      <c r="Y513" s="59" t="str">
        <f>IF(A513="","",IF(AA513="Avoir","Avoir",IF(W513&lt;0,"Trop-perçu",IF(W513=0,"Soldée",IF(p_asof&gt;P513,"En retard",IF(U513+V513&gt;0,"Partielle","À échoir"))))))</f>
        <v/>
      </c>
      <c r="Z513" s="59" t="str">
        <f>IF(NOT(COUNTA(B513:D513,F513:O513)&gt;0),"",IF(C513="","Date manquante",IF(NOT(ISNUMBER(C513)),"Date invalide",IF(D513="","Client manquant",IF(ISNA(MATCH(D513,cli_code,0)),"Client inconnu",IF(AC513&lt;SUMPRODUCT(MAX(($AB$6:AB512=AB513)*$AC$6:AC512)),"Date antérieure à la facture précédente",IF(AND(F513&lt;&gt;"",ISNA(MATCH(F513,dv_num,0))),"Devis inconnu",IF(AND(F513&lt;&gt;"",IFERROR(INDEX(dv_client,MATCH(F513,dv_num,0)),D513)&lt;&gt;D513),"Client différent de celui du devis",IF(AG513="","Aucune ligne : saisissez des lignes ou un devis",IF(AND(AI513&lt;&gt;"",COUNTIF($AI$6:AI513,AI513)&gt;1),"Devis déjà repris par une autre facture",IF(AND(AA513="Avoir",M513=""),"Avoir : indiquez la facture d'origine",IF(AND(AA513="Avoir",ISNA(MATCH(M513,fa_num,0))),"Facture d'origine inconnue",IF(AND(AA513&lt;&gt;"Avoir",M513&lt;&gt;""),"« Avoir sur facture » : réservé aux avoirs",IF(AND(L513&lt;&gt;"",AA513&lt;&gt;"Facture"),"Acompte à déduire : réservé aux factures",IF(AND(L513&lt;&gt;"",ISNA(MATCH(L513,fa_num,0))),"Facture d'acompte inconnue",IF(AND(L513&lt;&gt;"",IFERROR(INDEX(fa_type,MATCH(L513,fa_num,0)),"")&lt;&gt;"Facture d'acompte"),"Le n° à déduire n'est pas une facture d'acompte",IF(AND(L513&lt;&gt;"",COUNTIF($L$6:L513,L513)&gt;1),"Acompte déjà déduit sur une autre facture",IF(AND(L513&lt;&gt;"",IFERROR(INDEX(fa_client,MATCH(L513,fa_num,0)),D513)&lt;&gt;D513),"Acompte d'un autre client",IF(AND(AR513&lt;&gt;"",N(Q513)&lt;0),"Acompte supérieur au total de la facture",IF(IF(AG513="Facture",COUNTIFS(fl_doc,A513,fl_check,"&lt;&gt;OK"),IF(AG513="Devis",COUNTIFS(dl_doc,F513,dl_check,"&lt;&gt;OK"),0))&gt;0,"Ligne(s) à corriger",IF(AND(W513&lt;&gt;"",N(W513)&lt;0),"Trop-perçu : vérifiez paiements et avoirs","OK")))))))))))))))))))))</f>
        <v/>
      </c>
      <c r="AA513" s="62" t="str">
        <f>IF(COUNTA(B513:D513,F513:O513)&gt;0,IF(B513="","Facture",B513),"")</f>
        <v/>
      </c>
      <c r="AB513" s="62" t="str">
        <f>IF(AA513="","",IF(AA513="Avoir",p_pav,IF(AA513="Facture d'acompte",p_pac,p_pfa)))</f>
        <v/>
      </c>
      <c r="AC513" s="62">
        <f>IF(ISNUMBER(C513),C513,0)</f>
        <v>0.0</v>
      </c>
      <c r="AD513" s="62" t="str">
        <f>IF(OR(AA513="",AC513=0),"",YEAR(AC513))</f>
        <v/>
      </c>
      <c r="AE513" s="62" t="str">
        <f>IF(AD513="","",COUNTIFS($AB$6:AB513,AB513,$AD$6:AD513,AD513))</f>
        <v/>
      </c>
      <c r="AF513" s="62">
        <f>IF(A513="",0,COUNTIF(fl_doc,A513))</f>
        <v>0.0</v>
      </c>
      <c r="AG513" s="62" t="str">
        <f>IF(A513="","",IF(AF513&gt;0,"Facture",IF(AND(F513&lt;&gt;"",AA513="Facture",ISNUMBER(MATCH(F513,dv_num,0))),"Devis","")))</f>
        <v/>
      </c>
      <c r="AH513" s="62" t="str">
        <f>IF(AND(A513&lt;&gt;"",F513&lt;&gt;"",AA513&lt;&gt;"Avoir"),F513,"")</f>
        <v/>
      </c>
      <c r="AI513" s="62" t="str">
        <f>IF(AG513="Devis",F513,"")</f>
        <v/>
      </c>
      <c r="AJ513" s="62">
        <f>IF(AG513="Facture",SUMIF(fl_doc,A513,fl_ht),IF(AG513="Devis",SUMIF(dl_doc,F513,dl_ht),0))</f>
        <v>0.0</v>
      </c>
      <c r="AK513" s="62">
        <f>IF(OR(AG513="",INDEX(p_rates,1)=""),0,IF(AG513="Facture",SUMIFS(fl_ht,fl_doc,A513,fl_rate,INDEX(p_rates,1)),SUMIFS(dl_ht,dl_doc,F513,dl_rate,INDEX(p_rates,1))))</f>
        <v>0.0</v>
      </c>
      <c r="AL513" s="62">
        <f>IF(OR(AG513="",INDEX(p_rates,2)=""),0,IF(AG513="Facture",SUMIFS(fl_ht,fl_doc,A513,fl_rate,INDEX(p_rates,2)),SUMIFS(dl_ht,dl_doc,F513,dl_rate,INDEX(p_rates,2))))</f>
        <v>0.0</v>
      </c>
      <c r="AM513" s="62">
        <f>IF(OR(AG513="",INDEX(p_rates,3)=""),0,IF(AG513="Facture",SUMIFS(fl_ht,fl_doc,A513,fl_rate,INDEX(p_rates,3)),SUMIFS(dl_ht,dl_doc,F513,dl_rate,INDEX(p_rates,3))))</f>
        <v>0.0</v>
      </c>
      <c r="AN513" s="62">
        <f>IF(OR(AG513="",INDEX(p_rates,4)=""),0,IF(AG513="Facture",SUMIFS(fl_ht,fl_doc,A513,fl_rate,INDEX(p_rates,4)),SUMIFS(dl_ht,dl_doc,F513,dl_rate,INDEX(p_rates,4))))</f>
        <v>0.0</v>
      </c>
      <c r="AO513" s="62">
        <f>IF(OR(AG513="",INDEX(p_rates,5)=""),0,IF(AG513="Facture",SUMIFS(fl_ht,fl_doc,A513,fl_rate,INDEX(p_rates,5)),SUMIFS(dl_ht,dl_doc,F513,dl_rate,INDEX(p_rates,5))))</f>
        <v>0.0</v>
      </c>
      <c r="AP513" s="62">
        <f>IF(OR(AG513="",INDEX(p_rates,6)=""),0,IF(AG513="Facture",SUMIFS(fl_ht,fl_doc,A513,fl_rate,INDEX(p_rates,6)),SUMIFS(dl_ht,dl_doc,F513,dl_rate,INDEX(p_rates,6))))</f>
        <v>0.0</v>
      </c>
      <c r="AQ513" s="62">
        <f>ROUND(AK513*N(INDEX(p_rates,1)),2)+ROUND(AL513*N(INDEX(p_rates,2)),2)+ROUND(AM513*N(INDEX(p_rates,3)),2)+ROUND(AN513*N(INDEX(p_rates,4)),2)+ROUND(AO513*N(INDEX(p_rates,5)),2)+ROUND(AP513*N(INDEX(p_rates,6)),2)</f>
        <v>0.0</v>
      </c>
      <c r="AR513" s="62" t="str">
        <f>IF(OR(L513="",AA513&lt;&gt;"Facture"),"",IFERROR(IF(INDEX(fa_type,MATCH(L513,fa_num,0))="Facture d'acompte",MATCH(L513,fa_num,0),""),""))</f>
        <v/>
      </c>
      <c r="AS513" s="62" t="str">
        <f>IF(W513="","",IF(W513&lt;=0,"",IF(p_asof-P513&lt;=0,"Non échu",IF(p_asof-P513&lt;=30,"1-30 j",IF(p_asof-P513&lt;=60,"31-60 j",IF(p_asof-P513&lt;=90,"61-90 j","Plus de 90 j"))))))</f>
        <v/>
      </c>
      <c r="AT513" s="62" t="str">
        <f>IF(AS513="","",p_asof-P513)</f>
        <v/>
      </c>
      <c r="AU513" s="62" t="str">
        <f>IF(AT513="","",COUNTIF($AT$6:$AT$805,"&gt;"&amp;AT513)+COUNTIF($AT$6:AT513,AT513))</f>
        <v/>
      </c>
    </row>
    <row r="514">
      <c r="A514" s="59" t="str">
        <f>IF(AE514="","",AB514&amp;"-"&amp;AD514&amp;"-"&amp;RIGHT("000"&amp;AE514,4))</f>
        <v/>
      </c>
      <c r="B514" s="60" t="n"/>
      <c r="C514" s="61" t="n"/>
      <c r="D514" s="60" t="n"/>
      <c r="E514" s="62" t="str">
        <f>IF(D514="","",IFERROR(INDEX(cli_name,MATCH(D514,cli_code,0))&amp;"","Client inconnu"))</f>
        <v/>
      </c>
      <c r="F514" s="60" t="n"/>
      <c r="G514" s="63" t="n"/>
      <c r="H514" s="61" t="n"/>
      <c r="I514" s="63" t="n"/>
      <c r="J514" s="60" t="n"/>
      <c r="K514" s="61" t="n"/>
      <c r="L514" s="60" t="n"/>
      <c r="M514" s="60" t="n"/>
      <c r="N514" s="60" t="n"/>
      <c r="O514" s="61" t="n"/>
      <c r="P514" s="64" t="str">
        <f>IF(A514="","",IF(AA514="Avoir",AC514,IF(ISNUMBER(K514),K514,AC514+IF(D514="",N(p_delay),IFERROR(IF(ISNUMBER(INDEX(cli_delay,MATCH(D514,cli_code,0))),INDEX(cli_delay,MATCH(D514,cli_code,0)),N(p_delay)),N(p_delay))))))</f>
        <v/>
      </c>
      <c r="Q514" s="65" t="str">
        <f>IF(A514="","",IF(AA514="Avoir",-1,1)*ROUND(AJ514-IF(AR514="",0,INDEX(fa_htb,AR514)),2))</f>
        <v/>
      </c>
      <c r="R514" s="65" t="str">
        <f>IF(A514="","",IF(AA514="Avoir",-1,1)*ROUND(AQ514-IF(AR514="",0,INDEX(fa_tvab,AR514)),2))</f>
        <v/>
      </c>
      <c r="S514" s="65" t="str">
        <f>IF(A514="","",Q514+R514)</f>
        <v/>
      </c>
      <c r="T514" s="65" t="str">
        <f>IF(AR514="","",INDEX(fa_htb,AR514)+INDEX(fa_tvab,AR514))</f>
        <v/>
      </c>
      <c r="U514" s="65" t="str">
        <f>IF(A514="","",SUMIF(pa_inv,A514,pa_amt))</f>
        <v/>
      </c>
      <c r="V514" s="65" t="str">
        <f>IF(OR(A514="",AA514="Avoir"),"",-SUMIFS(fa_ttc,fa_avof,A514,fa_type,"Avoir"))</f>
        <v/>
      </c>
      <c r="W514" s="65" t="str">
        <f>IF(OR(A514="",AA514="Avoir"),"",ROUND(S514-U514-V514,2))</f>
        <v/>
      </c>
      <c r="X514" s="66" t="str">
        <f>IF(W514="","",IF(AND(W514&gt;0,p_asof&gt;P514),p_asof-P514,""))</f>
        <v/>
      </c>
      <c r="Y514" s="59" t="str">
        <f>IF(A514="","",IF(AA514="Avoir","Avoir",IF(W514&lt;0,"Trop-perçu",IF(W514=0,"Soldée",IF(p_asof&gt;P514,"En retard",IF(U514+V514&gt;0,"Partielle","À échoir"))))))</f>
        <v/>
      </c>
      <c r="Z514" s="59" t="str">
        <f>IF(NOT(COUNTA(B514:D514,F514:O514)&gt;0),"",IF(C514="","Date manquante",IF(NOT(ISNUMBER(C514)),"Date invalide",IF(D514="","Client manquant",IF(ISNA(MATCH(D514,cli_code,0)),"Client inconnu",IF(AC514&lt;SUMPRODUCT(MAX(($AB$6:AB513=AB514)*$AC$6:AC513)),"Date antérieure à la facture précédente",IF(AND(F514&lt;&gt;"",ISNA(MATCH(F514,dv_num,0))),"Devis inconnu",IF(AND(F514&lt;&gt;"",IFERROR(INDEX(dv_client,MATCH(F514,dv_num,0)),D514)&lt;&gt;D514),"Client différent de celui du devis",IF(AG514="","Aucune ligne : saisissez des lignes ou un devis",IF(AND(AI514&lt;&gt;"",COUNTIF($AI$6:AI514,AI514)&gt;1),"Devis déjà repris par une autre facture",IF(AND(AA514="Avoir",M514=""),"Avoir : indiquez la facture d'origine",IF(AND(AA514="Avoir",ISNA(MATCH(M514,fa_num,0))),"Facture d'origine inconnue",IF(AND(AA514&lt;&gt;"Avoir",M514&lt;&gt;""),"« Avoir sur facture » : réservé aux avoirs",IF(AND(L514&lt;&gt;"",AA514&lt;&gt;"Facture"),"Acompte à déduire : réservé aux factures",IF(AND(L514&lt;&gt;"",ISNA(MATCH(L514,fa_num,0))),"Facture d'acompte inconnue",IF(AND(L514&lt;&gt;"",IFERROR(INDEX(fa_type,MATCH(L514,fa_num,0)),"")&lt;&gt;"Facture d'acompte"),"Le n° à déduire n'est pas une facture d'acompte",IF(AND(L514&lt;&gt;"",COUNTIF($L$6:L514,L514)&gt;1),"Acompte déjà déduit sur une autre facture",IF(AND(L514&lt;&gt;"",IFERROR(INDEX(fa_client,MATCH(L514,fa_num,0)),D514)&lt;&gt;D514),"Acompte d'un autre client",IF(AND(AR514&lt;&gt;"",N(Q514)&lt;0),"Acompte supérieur au total de la facture",IF(IF(AG514="Facture",COUNTIFS(fl_doc,A514,fl_check,"&lt;&gt;OK"),IF(AG514="Devis",COUNTIFS(dl_doc,F514,dl_check,"&lt;&gt;OK"),0))&gt;0,"Ligne(s) à corriger",IF(AND(W514&lt;&gt;"",N(W514)&lt;0),"Trop-perçu : vérifiez paiements et avoirs","OK")))))))))))))))))))))</f>
        <v/>
      </c>
      <c r="AA514" s="62" t="str">
        <f>IF(COUNTA(B514:D514,F514:O514)&gt;0,IF(B514="","Facture",B514),"")</f>
        <v/>
      </c>
      <c r="AB514" s="62" t="str">
        <f>IF(AA514="","",IF(AA514="Avoir",p_pav,IF(AA514="Facture d'acompte",p_pac,p_pfa)))</f>
        <v/>
      </c>
      <c r="AC514" s="62">
        <f>IF(ISNUMBER(C514),C514,0)</f>
        <v>0.0</v>
      </c>
      <c r="AD514" s="62" t="str">
        <f>IF(OR(AA514="",AC514=0),"",YEAR(AC514))</f>
        <v/>
      </c>
      <c r="AE514" s="62" t="str">
        <f>IF(AD514="","",COUNTIFS($AB$6:AB514,AB514,$AD$6:AD514,AD514))</f>
        <v/>
      </c>
      <c r="AF514" s="62">
        <f>IF(A514="",0,COUNTIF(fl_doc,A514))</f>
        <v>0.0</v>
      </c>
      <c r="AG514" s="62" t="str">
        <f>IF(A514="","",IF(AF514&gt;0,"Facture",IF(AND(F514&lt;&gt;"",AA514="Facture",ISNUMBER(MATCH(F514,dv_num,0))),"Devis","")))</f>
        <v/>
      </c>
      <c r="AH514" s="62" t="str">
        <f>IF(AND(A514&lt;&gt;"",F514&lt;&gt;"",AA514&lt;&gt;"Avoir"),F514,"")</f>
        <v/>
      </c>
      <c r="AI514" s="62" t="str">
        <f>IF(AG514="Devis",F514,"")</f>
        <v/>
      </c>
      <c r="AJ514" s="62">
        <f>IF(AG514="Facture",SUMIF(fl_doc,A514,fl_ht),IF(AG514="Devis",SUMIF(dl_doc,F514,dl_ht),0))</f>
        <v>0.0</v>
      </c>
      <c r="AK514" s="62">
        <f>IF(OR(AG514="",INDEX(p_rates,1)=""),0,IF(AG514="Facture",SUMIFS(fl_ht,fl_doc,A514,fl_rate,INDEX(p_rates,1)),SUMIFS(dl_ht,dl_doc,F514,dl_rate,INDEX(p_rates,1))))</f>
        <v>0.0</v>
      </c>
      <c r="AL514" s="62">
        <f>IF(OR(AG514="",INDEX(p_rates,2)=""),0,IF(AG514="Facture",SUMIFS(fl_ht,fl_doc,A514,fl_rate,INDEX(p_rates,2)),SUMIFS(dl_ht,dl_doc,F514,dl_rate,INDEX(p_rates,2))))</f>
        <v>0.0</v>
      </c>
      <c r="AM514" s="62">
        <f>IF(OR(AG514="",INDEX(p_rates,3)=""),0,IF(AG514="Facture",SUMIFS(fl_ht,fl_doc,A514,fl_rate,INDEX(p_rates,3)),SUMIFS(dl_ht,dl_doc,F514,dl_rate,INDEX(p_rates,3))))</f>
        <v>0.0</v>
      </c>
      <c r="AN514" s="62">
        <f>IF(OR(AG514="",INDEX(p_rates,4)=""),0,IF(AG514="Facture",SUMIFS(fl_ht,fl_doc,A514,fl_rate,INDEX(p_rates,4)),SUMIFS(dl_ht,dl_doc,F514,dl_rate,INDEX(p_rates,4))))</f>
        <v>0.0</v>
      </c>
      <c r="AO514" s="62">
        <f>IF(OR(AG514="",INDEX(p_rates,5)=""),0,IF(AG514="Facture",SUMIFS(fl_ht,fl_doc,A514,fl_rate,INDEX(p_rates,5)),SUMIFS(dl_ht,dl_doc,F514,dl_rate,INDEX(p_rates,5))))</f>
        <v>0.0</v>
      </c>
      <c r="AP514" s="62">
        <f>IF(OR(AG514="",INDEX(p_rates,6)=""),0,IF(AG514="Facture",SUMIFS(fl_ht,fl_doc,A514,fl_rate,INDEX(p_rates,6)),SUMIFS(dl_ht,dl_doc,F514,dl_rate,INDEX(p_rates,6))))</f>
        <v>0.0</v>
      </c>
      <c r="AQ514" s="62">
        <f>ROUND(AK514*N(INDEX(p_rates,1)),2)+ROUND(AL514*N(INDEX(p_rates,2)),2)+ROUND(AM514*N(INDEX(p_rates,3)),2)+ROUND(AN514*N(INDEX(p_rates,4)),2)+ROUND(AO514*N(INDEX(p_rates,5)),2)+ROUND(AP514*N(INDEX(p_rates,6)),2)</f>
        <v>0.0</v>
      </c>
      <c r="AR514" s="62" t="str">
        <f>IF(OR(L514="",AA514&lt;&gt;"Facture"),"",IFERROR(IF(INDEX(fa_type,MATCH(L514,fa_num,0))="Facture d'acompte",MATCH(L514,fa_num,0),""),""))</f>
        <v/>
      </c>
      <c r="AS514" s="62" t="str">
        <f>IF(W514="","",IF(W514&lt;=0,"",IF(p_asof-P514&lt;=0,"Non échu",IF(p_asof-P514&lt;=30,"1-30 j",IF(p_asof-P514&lt;=60,"31-60 j",IF(p_asof-P514&lt;=90,"61-90 j","Plus de 90 j"))))))</f>
        <v/>
      </c>
      <c r="AT514" s="62" t="str">
        <f>IF(AS514="","",p_asof-P514)</f>
        <v/>
      </c>
      <c r="AU514" s="62" t="str">
        <f>IF(AT514="","",COUNTIF($AT$6:$AT$805,"&gt;"&amp;AT514)+COUNTIF($AT$6:AT514,AT514))</f>
        <v/>
      </c>
    </row>
    <row r="515">
      <c r="A515" s="59" t="str">
        <f>IF(AE515="","",AB515&amp;"-"&amp;AD515&amp;"-"&amp;RIGHT("000"&amp;AE515,4))</f>
        <v/>
      </c>
      <c r="B515" s="60" t="n"/>
      <c r="C515" s="61" t="n"/>
      <c r="D515" s="60" t="n"/>
      <c r="E515" s="62" t="str">
        <f>IF(D515="","",IFERROR(INDEX(cli_name,MATCH(D515,cli_code,0))&amp;"","Client inconnu"))</f>
        <v/>
      </c>
      <c r="F515" s="60" t="n"/>
      <c r="G515" s="63" t="n"/>
      <c r="H515" s="61" t="n"/>
      <c r="I515" s="63" t="n"/>
      <c r="J515" s="60" t="n"/>
      <c r="K515" s="61" t="n"/>
      <c r="L515" s="60" t="n"/>
      <c r="M515" s="60" t="n"/>
      <c r="N515" s="60" t="n"/>
      <c r="O515" s="61" t="n"/>
      <c r="P515" s="64" t="str">
        <f>IF(A515="","",IF(AA515="Avoir",AC515,IF(ISNUMBER(K515),K515,AC515+IF(D515="",N(p_delay),IFERROR(IF(ISNUMBER(INDEX(cli_delay,MATCH(D515,cli_code,0))),INDEX(cli_delay,MATCH(D515,cli_code,0)),N(p_delay)),N(p_delay))))))</f>
        <v/>
      </c>
      <c r="Q515" s="65" t="str">
        <f>IF(A515="","",IF(AA515="Avoir",-1,1)*ROUND(AJ515-IF(AR515="",0,INDEX(fa_htb,AR515)),2))</f>
        <v/>
      </c>
      <c r="R515" s="65" t="str">
        <f>IF(A515="","",IF(AA515="Avoir",-1,1)*ROUND(AQ515-IF(AR515="",0,INDEX(fa_tvab,AR515)),2))</f>
        <v/>
      </c>
      <c r="S515" s="65" t="str">
        <f>IF(A515="","",Q515+R515)</f>
        <v/>
      </c>
      <c r="T515" s="65" t="str">
        <f>IF(AR515="","",INDEX(fa_htb,AR515)+INDEX(fa_tvab,AR515))</f>
        <v/>
      </c>
      <c r="U515" s="65" t="str">
        <f>IF(A515="","",SUMIF(pa_inv,A515,pa_amt))</f>
        <v/>
      </c>
      <c r="V515" s="65" t="str">
        <f>IF(OR(A515="",AA515="Avoir"),"",-SUMIFS(fa_ttc,fa_avof,A515,fa_type,"Avoir"))</f>
        <v/>
      </c>
      <c r="W515" s="65" t="str">
        <f>IF(OR(A515="",AA515="Avoir"),"",ROUND(S515-U515-V515,2))</f>
        <v/>
      </c>
      <c r="X515" s="66" t="str">
        <f>IF(W515="","",IF(AND(W515&gt;0,p_asof&gt;P515),p_asof-P515,""))</f>
        <v/>
      </c>
      <c r="Y515" s="59" t="str">
        <f>IF(A515="","",IF(AA515="Avoir","Avoir",IF(W515&lt;0,"Trop-perçu",IF(W515=0,"Soldée",IF(p_asof&gt;P515,"En retard",IF(U515+V515&gt;0,"Partielle","À échoir"))))))</f>
        <v/>
      </c>
      <c r="Z515" s="59" t="str">
        <f>IF(NOT(COUNTA(B515:D515,F515:O515)&gt;0),"",IF(C515="","Date manquante",IF(NOT(ISNUMBER(C515)),"Date invalide",IF(D515="","Client manquant",IF(ISNA(MATCH(D515,cli_code,0)),"Client inconnu",IF(AC515&lt;SUMPRODUCT(MAX(($AB$6:AB514=AB515)*$AC$6:AC514)),"Date antérieure à la facture précédente",IF(AND(F515&lt;&gt;"",ISNA(MATCH(F515,dv_num,0))),"Devis inconnu",IF(AND(F515&lt;&gt;"",IFERROR(INDEX(dv_client,MATCH(F515,dv_num,0)),D515)&lt;&gt;D515),"Client différent de celui du devis",IF(AG515="","Aucune ligne : saisissez des lignes ou un devis",IF(AND(AI515&lt;&gt;"",COUNTIF($AI$6:AI515,AI515)&gt;1),"Devis déjà repris par une autre facture",IF(AND(AA515="Avoir",M515=""),"Avoir : indiquez la facture d'origine",IF(AND(AA515="Avoir",ISNA(MATCH(M515,fa_num,0))),"Facture d'origine inconnue",IF(AND(AA515&lt;&gt;"Avoir",M515&lt;&gt;""),"« Avoir sur facture » : réservé aux avoirs",IF(AND(L515&lt;&gt;"",AA515&lt;&gt;"Facture"),"Acompte à déduire : réservé aux factures",IF(AND(L515&lt;&gt;"",ISNA(MATCH(L515,fa_num,0))),"Facture d'acompte inconnue",IF(AND(L515&lt;&gt;"",IFERROR(INDEX(fa_type,MATCH(L515,fa_num,0)),"")&lt;&gt;"Facture d'acompte"),"Le n° à déduire n'est pas une facture d'acompte",IF(AND(L515&lt;&gt;"",COUNTIF($L$6:L515,L515)&gt;1),"Acompte déjà déduit sur une autre facture",IF(AND(L515&lt;&gt;"",IFERROR(INDEX(fa_client,MATCH(L515,fa_num,0)),D515)&lt;&gt;D515),"Acompte d'un autre client",IF(AND(AR515&lt;&gt;"",N(Q515)&lt;0),"Acompte supérieur au total de la facture",IF(IF(AG515="Facture",COUNTIFS(fl_doc,A515,fl_check,"&lt;&gt;OK"),IF(AG515="Devis",COUNTIFS(dl_doc,F515,dl_check,"&lt;&gt;OK"),0))&gt;0,"Ligne(s) à corriger",IF(AND(W515&lt;&gt;"",N(W515)&lt;0),"Trop-perçu : vérifiez paiements et avoirs","OK")))))))))))))))))))))</f>
        <v/>
      </c>
      <c r="AA515" s="62" t="str">
        <f>IF(COUNTA(B515:D515,F515:O515)&gt;0,IF(B515="","Facture",B515),"")</f>
        <v/>
      </c>
      <c r="AB515" s="62" t="str">
        <f>IF(AA515="","",IF(AA515="Avoir",p_pav,IF(AA515="Facture d'acompte",p_pac,p_pfa)))</f>
        <v/>
      </c>
      <c r="AC515" s="62">
        <f>IF(ISNUMBER(C515),C515,0)</f>
        <v>0.0</v>
      </c>
      <c r="AD515" s="62" t="str">
        <f>IF(OR(AA515="",AC515=0),"",YEAR(AC515))</f>
        <v/>
      </c>
      <c r="AE515" s="62" t="str">
        <f>IF(AD515="","",COUNTIFS($AB$6:AB515,AB515,$AD$6:AD515,AD515))</f>
        <v/>
      </c>
      <c r="AF515" s="62">
        <f>IF(A515="",0,COUNTIF(fl_doc,A515))</f>
        <v>0.0</v>
      </c>
      <c r="AG515" s="62" t="str">
        <f>IF(A515="","",IF(AF515&gt;0,"Facture",IF(AND(F515&lt;&gt;"",AA515="Facture",ISNUMBER(MATCH(F515,dv_num,0))),"Devis","")))</f>
        <v/>
      </c>
      <c r="AH515" s="62" t="str">
        <f>IF(AND(A515&lt;&gt;"",F515&lt;&gt;"",AA515&lt;&gt;"Avoir"),F515,"")</f>
        <v/>
      </c>
      <c r="AI515" s="62" t="str">
        <f>IF(AG515="Devis",F515,"")</f>
        <v/>
      </c>
      <c r="AJ515" s="62">
        <f>IF(AG515="Facture",SUMIF(fl_doc,A515,fl_ht),IF(AG515="Devis",SUMIF(dl_doc,F515,dl_ht),0))</f>
        <v>0.0</v>
      </c>
      <c r="AK515" s="62">
        <f>IF(OR(AG515="",INDEX(p_rates,1)=""),0,IF(AG515="Facture",SUMIFS(fl_ht,fl_doc,A515,fl_rate,INDEX(p_rates,1)),SUMIFS(dl_ht,dl_doc,F515,dl_rate,INDEX(p_rates,1))))</f>
        <v>0.0</v>
      </c>
      <c r="AL515" s="62">
        <f>IF(OR(AG515="",INDEX(p_rates,2)=""),0,IF(AG515="Facture",SUMIFS(fl_ht,fl_doc,A515,fl_rate,INDEX(p_rates,2)),SUMIFS(dl_ht,dl_doc,F515,dl_rate,INDEX(p_rates,2))))</f>
        <v>0.0</v>
      </c>
      <c r="AM515" s="62">
        <f>IF(OR(AG515="",INDEX(p_rates,3)=""),0,IF(AG515="Facture",SUMIFS(fl_ht,fl_doc,A515,fl_rate,INDEX(p_rates,3)),SUMIFS(dl_ht,dl_doc,F515,dl_rate,INDEX(p_rates,3))))</f>
        <v>0.0</v>
      </c>
      <c r="AN515" s="62">
        <f>IF(OR(AG515="",INDEX(p_rates,4)=""),0,IF(AG515="Facture",SUMIFS(fl_ht,fl_doc,A515,fl_rate,INDEX(p_rates,4)),SUMIFS(dl_ht,dl_doc,F515,dl_rate,INDEX(p_rates,4))))</f>
        <v>0.0</v>
      </c>
      <c r="AO515" s="62">
        <f>IF(OR(AG515="",INDEX(p_rates,5)=""),0,IF(AG515="Facture",SUMIFS(fl_ht,fl_doc,A515,fl_rate,INDEX(p_rates,5)),SUMIFS(dl_ht,dl_doc,F515,dl_rate,INDEX(p_rates,5))))</f>
        <v>0.0</v>
      </c>
      <c r="AP515" s="62">
        <f>IF(OR(AG515="",INDEX(p_rates,6)=""),0,IF(AG515="Facture",SUMIFS(fl_ht,fl_doc,A515,fl_rate,INDEX(p_rates,6)),SUMIFS(dl_ht,dl_doc,F515,dl_rate,INDEX(p_rates,6))))</f>
        <v>0.0</v>
      </c>
      <c r="AQ515" s="62">
        <f>ROUND(AK515*N(INDEX(p_rates,1)),2)+ROUND(AL515*N(INDEX(p_rates,2)),2)+ROUND(AM515*N(INDEX(p_rates,3)),2)+ROUND(AN515*N(INDEX(p_rates,4)),2)+ROUND(AO515*N(INDEX(p_rates,5)),2)+ROUND(AP515*N(INDEX(p_rates,6)),2)</f>
        <v>0.0</v>
      </c>
      <c r="AR515" s="62" t="str">
        <f>IF(OR(L515="",AA515&lt;&gt;"Facture"),"",IFERROR(IF(INDEX(fa_type,MATCH(L515,fa_num,0))="Facture d'acompte",MATCH(L515,fa_num,0),""),""))</f>
        <v/>
      </c>
      <c r="AS515" s="62" t="str">
        <f>IF(W515="","",IF(W515&lt;=0,"",IF(p_asof-P515&lt;=0,"Non échu",IF(p_asof-P515&lt;=30,"1-30 j",IF(p_asof-P515&lt;=60,"31-60 j",IF(p_asof-P515&lt;=90,"61-90 j","Plus de 90 j"))))))</f>
        <v/>
      </c>
      <c r="AT515" s="62" t="str">
        <f>IF(AS515="","",p_asof-P515)</f>
        <v/>
      </c>
      <c r="AU515" s="62" t="str">
        <f>IF(AT515="","",COUNTIF($AT$6:$AT$805,"&gt;"&amp;AT515)+COUNTIF($AT$6:AT515,AT515))</f>
        <v/>
      </c>
    </row>
    <row r="516">
      <c r="A516" s="59" t="str">
        <f>IF(AE516="","",AB516&amp;"-"&amp;AD516&amp;"-"&amp;RIGHT("000"&amp;AE516,4))</f>
        <v/>
      </c>
      <c r="B516" s="60" t="n"/>
      <c r="C516" s="61" t="n"/>
      <c r="D516" s="60" t="n"/>
      <c r="E516" s="62" t="str">
        <f>IF(D516="","",IFERROR(INDEX(cli_name,MATCH(D516,cli_code,0))&amp;"","Client inconnu"))</f>
        <v/>
      </c>
      <c r="F516" s="60" t="n"/>
      <c r="G516" s="63" t="n"/>
      <c r="H516" s="61" t="n"/>
      <c r="I516" s="63" t="n"/>
      <c r="J516" s="60" t="n"/>
      <c r="K516" s="61" t="n"/>
      <c r="L516" s="60" t="n"/>
      <c r="M516" s="60" t="n"/>
      <c r="N516" s="60" t="n"/>
      <c r="O516" s="61" t="n"/>
      <c r="P516" s="64" t="str">
        <f>IF(A516="","",IF(AA516="Avoir",AC516,IF(ISNUMBER(K516),K516,AC516+IF(D516="",N(p_delay),IFERROR(IF(ISNUMBER(INDEX(cli_delay,MATCH(D516,cli_code,0))),INDEX(cli_delay,MATCH(D516,cli_code,0)),N(p_delay)),N(p_delay))))))</f>
        <v/>
      </c>
      <c r="Q516" s="65" t="str">
        <f>IF(A516="","",IF(AA516="Avoir",-1,1)*ROUND(AJ516-IF(AR516="",0,INDEX(fa_htb,AR516)),2))</f>
        <v/>
      </c>
      <c r="R516" s="65" t="str">
        <f>IF(A516="","",IF(AA516="Avoir",-1,1)*ROUND(AQ516-IF(AR516="",0,INDEX(fa_tvab,AR516)),2))</f>
        <v/>
      </c>
      <c r="S516" s="65" t="str">
        <f>IF(A516="","",Q516+R516)</f>
        <v/>
      </c>
      <c r="T516" s="65" t="str">
        <f>IF(AR516="","",INDEX(fa_htb,AR516)+INDEX(fa_tvab,AR516))</f>
        <v/>
      </c>
      <c r="U516" s="65" t="str">
        <f>IF(A516="","",SUMIF(pa_inv,A516,pa_amt))</f>
        <v/>
      </c>
      <c r="V516" s="65" t="str">
        <f>IF(OR(A516="",AA516="Avoir"),"",-SUMIFS(fa_ttc,fa_avof,A516,fa_type,"Avoir"))</f>
        <v/>
      </c>
      <c r="W516" s="65" t="str">
        <f>IF(OR(A516="",AA516="Avoir"),"",ROUND(S516-U516-V516,2))</f>
        <v/>
      </c>
      <c r="X516" s="66" t="str">
        <f>IF(W516="","",IF(AND(W516&gt;0,p_asof&gt;P516),p_asof-P516,""))</f>
        <v/>
      </c>
      <c r="Y516" s="59" t="str">
        <f>IF(A516="","",IF(AA516="Avoir","Avoir",IF(W516&lt;0,"Trop-perçu",IF(W516=0,"Soldée",IF(p_asof&gt;P516,"En retard",IF(U516+V516&gt;0,"Partielle","À échoir"))))))</f>
        <v/>
      </c>
      <c r="Z516" s="59" t="str">
        <f>IF(NOT(COUNTA(B516:D516,F516:O516)&gt;0),"",IF(C516="","Date manquante",IF(NOT(ISNUMBER(C516)),"Date invalide",IF(D516="","Client manquant",IF(ISNA(MATCH(D516,cli_code,0)),"Client inconnu",IF(AC516&lt;SUMPRODUCT(MAX(($AB$6:AB515=AB516)*$AC$6:AC515)),"Date antérieure à la facture précédente",IF(AND(F516&lt;&gt;"",ISNA(MATCH(F516,dv_num,0))),"Devis inconnu",IF(AND(F516&lt;&gt;"",IFERROR(INDEX(dv_client,MATCH(F516,dv_num,0)),D516)&lt;&gt;D516),"Client différent de celui du devis",IF(AG516="","Aucune ligne : saisissez des lignes ou un devis",IF(AND(AI516&lt;&gt;"",COUNTIF($AI$6:AI516,AI516)&gt;1),"Devis déjà repris par une autre facture",IF(AND(AA516="Avoir",M516=""),"Avoir : indiquez la facture d'origine",IF(AND(AA516="Avoir",ISNA(MATCH(M516,fa_num,0))),"Facture d'origine inconnue",IF(AND(AA516&lt;&gt;"Avoir",M516&lt;&gt;""),"« Avoir sur facture » : réservé aux avoirs",IF(AND(L516&lt;&gt;"",AA516&lt;&gt;"Facture"),"Acompte à déduire : réservé aux factures",IF(AND(L516&lt;&gt;"",ISNA(MATCH(L516,fa_num,0))),"Facture d'acompte inconnue",IF(AND(L516&lt;&gt;"",IFERROR(INDEX(fa_type,MATCH(L516,fa_num,0)),"")&lt;&gt;"Facture d'acompte"),"Le n° à déduire n'est pas une facture d'acompte",IF(AND(L516&lt;&gt;"",COUNTIF($L$6:L516,L516)&gt;1),"Acompte déjà déduit sur une autre facture",IF(AND(L516&lt;&gt;"",IFERROR(INDEX(fa_client,MATCH(L516,fa_num,0)),D516)&lt;&gt;D516),"Acompte d'un autre client",IF(AND(AR516&lt;&gt;"",N(Q516)&lt;0),"Acompte supérieur au total de la facture",IF(IF(AG516="Facture",COUNTIFS(fl_doc,A516,fl_check,"&lt;&gt;OK"),IF(AG516="Devis",COUNTIFS(dl_doc,F516,dl_check,"&lt;&gt;OK"),0))&gt;0,"Ligne(s) à corriger",IF(AND(W516&lt;&gt;"",N(W516)&lt;0),"Trop-perçu : vérifiez paiements et avoirs","OK")))))))))))))))))))))</f>
        <v/>
      </c>
      <c r="AA516" s="62" t="str">
        <f>IF(COUNTA(B516:D516,F516:O516)&gt;0,IF(B516="","Facture",B516),"")</f>
        <v/>
      </c>
      <c r="AB516" s="62" t="str">
        <f>IF(AA516="","",IF(AA516="Avoir",p_pav,IF(AA516="Facture d'acompte",p_pac,p_pfa)))</f>
        <v/>
      </c>
      <c r="AC516" s="62">
        <f>IF(ISNUMBER(C516),C516,0)</f>
        <v>0.0</v>
      </c>
      <c r="AD516" s="62" t="str">
        <f>IF(OR(AA516="",AC516=0),"",YEAR(AC516))</f>
        <v/>
      </c>
      <c r="AE516" s="62" t="str">
        <f>IF(AD516="","",COUNTIFS($AB$6:AB516,AB516,$AD$6:AD516,AD516))</f>
        <v/>
      </c>
      <c r="AF516" s="62">
        <f>IF(A516="",0,COUNTIF(fl_doc,A516))</f>
        <v>0.0</v>
      </c>
      <c r="AG516" s="62" t="str">
        <f>IF(A516="","",IF(AF516&gt;0,"Facture",IF(AND(F516&lt;&gt;"",AA516="Facture",ISNUMBER(MATCH(F516,dv_num,0))),"Devis","")))</f>
        <v/>
      </c>
      <c r="AH516" s="62" t="str">
        <f>IF(AND(A516&lt;&gt;"",F516&lt;&gt;"",AA516&lt;&gt;"Avoir"),F516,"")</f>
        <v/>
      </c>
      <c r="AI516" s="62" t="str">
        <f>IF(AG516="Devis",F516,"")</f>
        <v/>
      </c>
      <c r="AJ516" s="62">
        <f>IF(AG516="Facture",SUMIF(fl_doc,A516,fl_ht),IF(AG516="Devis",SUMIF(dl_doc,F516,dl_ht),0))</f>
        <v>0.0</v>
      </c>
      <c r="AK516" s="62">
        <f>IF(OR(AG516="",INDEX(p_rates,1)=""),0,IF(AG516="Facture",SUMIFS(fl_ht,fl_doc,A516,fl_rate,INDEX(p_rates,1)),SUMIFS(dl_ht,dl_doc,F516,dl_rate,INDEX(p_rates,1))))</f>
        <v>0.0</v>
      </c>
      <c r="AL516" s="62">
        <f>IF(OR(AG516="",INDEX(p_rates,2)=""),0,IF(AG516="Facture",SUMIFS(fl_ht,fl_doc,A516,fl_rate,INDEX(p_rates,2)),SUMIFS(dl_ht,dl_doc,F516,dl_rate,INDEX(p_rates,2))))</f>
        <v>0.0</v>
      </c>
      <c r="AM516" s="62">
        <f>IF(OR(AG516="",INDEX(p_rates,3)=""),0,IF(AG516="Facture",SUMIFS(fl_ht,fl_doc,A516,fl_rate,INDEX(p_rates,3)),SUMIFS(dl_ht,dl_doc,F516,dl_rate,INDEX(p_rates,3))))</f>
        <v>0.0</v>
      </c>
      <c r="AN516" s="62">
        <f>IF(OR(AG516="",INDEX(p_rates,4)=""),0,IF(AG516="Facture",SUMIFS(fl_ht,fl_doc,A516,fl_rate,INDEX(p_rates,4)),SUMIFS(dl_ht,dl_doc,F516,dl_rate,INDEX(p_rates,4))))</f>
        <v>0.0</v>
      </c>
      <c r="AO516" s="62">
        <f>IF(OR(AG516="",INDEX(p_rates,5)=""),0,IF(AG516="Facture",SUMIFS(fl_ht,fl_doc,A516,fl_rate,INDEX(p_rates,5)),SUMIFS(dl_ht,dl_doc,F516,dl_rate,INDEX(p_rates,5))))</f>
        <v>0.0</v>
      </c>
      <c r="AP516" s="62">
        <f>IF(OR(AG516="",INDEX(p_rates,6)=""),0,IF(AG516="Facture",SUMIFS(fl_ht,fl_doc,A516,fl_rate,INDEX(p_rates,6)),SUMIFS(dl_ht,dl_doc,F516,dl_rate,INDEX(p_rates,6))))</f>
        <v>0.0</v>
      </c>
      <c r="AQ516" s="62">
        <f>ROUND(AK516*N(INDEX(p_rates,1)),2)+ROUND(AL516*N(INDEX(p_rates,2)),2)+ROUND(AM516*N(INDEX(p_rates,3)),2)+ROUND(AN516*N(INDEX(p_rates,4)),2)+ROUND(AO516*N(INDEX(p_rates,5)),2)+ROUND(AP516*N(INDEX(p_rates,6)),2)</f>
        <v>0.0</v>
      </c>
      <c r="AR516" s="62" t="str">
        <f>IF(OR(L516="",AA516&lt;&gt;"Facture"),"",IFERROR(IF(INDEX(fa_type,MATCH(L516,fa_num,0))="Facture d'acompte",MATCH(L516,fa_num,0),""),""))</f>
        <v/>
      </c>
      <c r="AS516" s="62" t="str">
        <f>IF(W516="","",IF(W516&lt;=0,"",IF(p_asof-P516&lt;=0,"Non échu",IF(p_asof-P516&lt;=30,"1-30 j",IF(p_asof-P516&lt;=60,"31-60 j",IF(p_asof-P516&lt;=90,"61-90 j","Plus de 90 j"))))))</f>
        <v/>
      </c>
      <c r="AT516" s="62" t="str">
        <f>IF(AS516="","",p_asof-P516)</f>
        <v/>
      </c>
      <c r="AU516" s="62" t="str">
        <f>IF(AT516="","",COUNTIF($AT$6:$AT$805,"&gt;"&amp;AT516)+COUNTIF($AT$6:AT516,AT516))</f>
        <v/>
      </c>
    </row>
    <row r="517">
      <c r="A517" s="59" t="str">
        <f>IF(AE517="","",AB517&amp;"-"&amp;AD517&amp;"-"&amp;RIGHT("000"&amp;AE517,4))</f>
        <v/>
      </c>
      <c r="B517" s="60" t="n"/>
      <c r="C517" s="61" t="n"/>
      <c r="D517" s="60" t="n"/>
      <c r="E517" s="62" t="str">
        <f>IF(D517="","",IFERROR(INDEX(cli_name,MATCH(D517,cli_code,0))&amp;"","Client inconnu"))</f>
        <v/>
      </c>
      <c r="F517" s="60" t="n"/>
      <c r="G517" s="63" t="n"/>
      <c r="H517" s="61" t="n"/>
      <c r="I517" s="63" t="n"/>
      <c r="J517" s="60" t="n"/>
      <c r="K517" s="61" t="n"/>
      <c r="L517" s="60" t="n"/>
      <c r="M517" s="60" t="n"/>
      <c r="N517" s="60" t="n"/>
      <c r="O517" s="61" t="n"/>
      <c r="P517" s="64" t="str">
        <f>IF(A517="","",IF(AA517="Avoir",AC517,IF(ISNUMBER(K517),K517,AC517+IF(D517="",N(p_delay),IFERROR(IF(ISNUMBER(INDEX(cli_delay,MATCH(D517,cli_code,0))),INDEX(cli_delay,MATCH(D517,cli_code,0)),N(p_delay)),N(p_delay))))))</f>
        <v/>
      </c>
      <c r="Q517" s="65" t="str">
        <f>IF(A517="","",IF(AA517="Avoir",-1,1)*ROUND(AJ517-IF(AR517="",0,INDEX(fa_htb,AR517)),2))</f>
        <v/>
      </c>
      <c r="R517" s="65" t="str">
        <f>IF(A517="","",IF(AA517="Avoir",-1,1)*ROUND(AQ517-IF(AR517="",0,INDEX(fa_tvab,AR517)),2))</f>
        <v/>
      </c>
      <c r="S517" s="65" t="str">
        <f>IF(A517="","",Q517+R517)</f>
        <v/>
      </c>
      <c r="T517" s="65" t="str">
        <f>IF(AR517="","",INDEX(fa_htb,AR517)+INDEX(fa_tvab,AR517))</f>
        <v/>
      </c>
      <c r="U517" s="65" t="str">
        <f>IF(A517="","",SUMIF(pa_inv,A517,pa_amt))</f>
        <v/>
      </c>
      <c r="V517" s="65" t="str">
        <f>IF(OR(A517="",AA517="Avoir"),"",-SUMIFS(fa_ttc,fa_avof,A517,fa_type,"Avoir"))</f>
        <v/>
      </c>
      <c r="W517" s="65" t="str">
        <f>IF(OR(A517="",AA517="Avoir"),"",ROUND(S517-U517-V517,2))</f>
        <v/>
      </c>
      <c r="X517" s="66" t="str">
        <f>IF(W517="","",IF(AND(W517&gt;0,p_asof&gt;P517),p_asof-P517,""))</f>
        <v/>
      </c>
      <c r="Y517" s="59" t="str">
        <f>IF(A517="","",IF(AA517="Avoir","Avoir",IF(W517&lt;0,"Trop-perçu",IF(W517=0,"Soldée",IF(p_asof&gt;P517,"En retard",IF(U517+V517&gt;0,"Partielle","À échoir"))))))</f>
        <v/>
      </c>
      <c r="Z517" s="59" t="str">
        <f>IF(NOT(COUNTA(B517:D517,F517:O517)&gt;0),"",IF(C517="","Date manquante",IF(NOT(ISNUMBER(C517)),"Date invalide",IF(D517="","Client manquant",IF(ISNA(MATCH(D517,cli_code,0)),"Client inconnu",IF(AC517&lt;SUMPRODUCT(MAX(($AB$6:AB516=AB517)*$AC$6:AC516)),"Date antérieure à la facture précédente",IF(AND(F517&lt;&gt;"",ISNA(MATCH(F517,dv_num,0))),"Devis inconnu",IF(AND(F517&lt;&gt;"",IFERROR(INDEX(dv_client,MATCH(F517,dv_num,0)),D517)&lt;&gt;D517),"Client différent de celui du devis",IF(AG517="","Aucune ligne : saisissez des lignes ou un devis",IF(AND(AI517&lt;&gt;"",COUNTIF($AI$6:AI517,AI517)&gt;1),"Devis déjà repris par une autre facture",IF(AND(AA517="Avoir",M517=""),"Avoir : indiquez la facture d'origine",IF(AND(AA517="Avoir",ISNA(MATCH(M517,fa_num,0))),"Facture d'origine inconnue",IF(AND(AA517&lt;&gt;"Avoir",M517&lt;&gt;""),"« Avoir sur facture » : réservé aux avoirs",IF(AND(L517&lt;&gt;"",AA517&lt;&gt;"Facture"),"Acompte à déduire : réservé aux factures",IF(AND(L517&lt;&gt;"",ISNA(MATCH(L517,fa_num,0))),"Facture d'acompte inconnue",IF(AND(L517&lt;&gt;"",IFERROR(INDEX(fa_type,MATCH(L517,fa_num,0)),"")&lt;&gt;"Facture d'acompte"),"Le n° à déduire n'est pas une facture d'acompte",IF(AND(L517&lt;&gt;"",COUNTIF($L$6:L517,L517)&gt;1),"Acompte déjà déduit sur une autre facture",IF(AND(L517&lt;&gt;"",IFERROR(INDEX(fa_client,MATCH(L517,fa_num,0)),D517)&lt;&gt;D517),"Acompte d'un autre client",IF(AND(AR517&lt;&gt;"",N(Q517)&lt;0),"Acompte supérieur au total de la facture",IF(IF(AG517="Facture",COUNTIFS(fl_doc,A517,fl_check,"&lt;&gt;OK"),IF(AG517="Devis",COUNTIFS(dl_doc,F517,dl_check,"&lt;&gt;OK"),0))&gt;0,"Ligne(s) à corriger",IF(AND(W517&lt;&gt;"",N(W517)&lt;0),"Trop-perçu : vérifiez paiements et avoirs","OK")))))))))))))))))))))</f>
        <v/>
      </c>
      <c r="AA517" s="62" t="str">
        <f>IF(COUNTA(B517:D517,F517:O517)&gt;0,IF(B517="","Facture",B517),"")</f>
        <v/>
      </c>
      <c r="AB517" s="62" t="str">
        <f>IF(AA517="","",IF(AA517="Avoir",p_pav,IF(AA517="Facture d'acompte",p_pac,p_pfa)))</f>
        <v/>
      </c>
      <c r="AC517" s="62">
        <f>IF(ISNUMBER(C517),C517,0)</f>
        <v>0.0</v>
      </c>
      <c r="AD517" s="62" t="str">
        <f>IF(OR(AA517="",AC517=0),"",YEAR(AC517))</f>
        <v/>
      </c>
      <c r="AE517" s="62" t="str">
        <f>IF(AD517="","",COUNTIFS($AB$6:AB517,AB517,$AD$6:AD517,AD517))</f>
        <v/>
      </c>
      <c r="AF517" s="62">
        <f>IF(A517="",0,COUNTIF(fl_doc,A517))</f>
        <v>0.0</v>
      </c>
      <c r="AG517" s="62" t="str">
        <f>IF(A517="","",IF(AF517&gt;0,"Facture",IF(AND(F517&lt;&gt;"",AA517="Facture",ISNUMBER(MATCH(F517,dv_num,0))),"Devis","")))</f>
        <v/>
      </c>
      <c r="AH517" s="62" t="str">
        <f>IF(AND(A517&lt;&gt;"",F517&lt;&gt;"",AA517&lt;&gt;"Avoir"),F517,"")</f>
        <v/>
      </c>
      <c r="AI517" s="62" t="str">
        <f>IF(AG517="Devis",F517,"")</f>
        <v/>
      </c>
      <c r="AJ517" s="62">
        <f>IF(AG517="Facture",SUMIF(fl_doc,A517,fl_ht),IF(AG517="Devis",SUMIF(dl_doc,F517,dl_ht),0))</f>
        <v>0.0</v>
      </c>
      <c r="AK517" s="62">
        <f>IF(OR(AG517="",INDEX(p_rates,1)=""),0,IF(AG517="Facture",SUMIFS(fl_ht,fl_doc,A517,fl_rate,INDEX(p_rates,1)),SUMIFS(dl_ht,dl_doc,F517,dl_rate,INDEX(p_rates,1))))</f>
        <v>0.0</v>
      </c>
      <c r="AL517" s="62">
        <f>IF(OR(AG517="",INDEX(p_rates,2)=""),0,IF(AG517="Facture",SUMIFS(fl_ht,fl_doc,A517,fl_rate,INDEX(p_rates,2)),SUMIFS(dl_ht,dl_doc,F517,dl_rate,INDEX(p_rates,2))))</f>
        <v>0.0</v>
      </c>
      <c r="AM517" s="62">
        <f>IF(OR(AG517="",INDEX(p_rates,3)=""),0,IF(AG517="Facture",SUMIFS(fl_ht,fl_doc,A517,fl_rate,INDEX(p_rates,3)),SUMIFS(dl_ht,dl_doc,F517,dl_rate,INDEX(p_rates,3))))</f>
        <v>0.0</v>
      </c>
      <c r="AN517" s="62">
        <f>IF(OR(AG517="",INDEX(p_rates,4)=""),0,IF(AG517="Facture",SUMIFS(fl_ht,fl_doc,A517,fl_rate,INDEX(p_rates,4)),SUMIFS(dl_ht,dl_doc,F517,dl_rate,INDEX(p_rates,4))))</f>
        <v>0.0</v>
      </c>
      <c r="AO517" s="62">
        <f>IF(OR(AG517="",INDEX(p_rates,5)=""),0,IF(AG517="Facture",SUMIFS(fl_ht,fl_doc,A517,fl_rate,INDEX(p_rates,5)),SUMIFS(dl_ht,dl_doc,F517,dl_rate,INDEX(p_rates,5))))</f>
        <v>0.0</v>
      </c>
      <c r="AP517" s="62">
        <f>IF(OR(AG517="",INDEX(p_rates,6)=""),0,IF(AG517="Facture",SUMIFS(fl_ht,fl_doc,A517,fl_rate,INDEX(p_rates,6)),SUMIFS(dl_ht,dl_doc,F517,dl_rate,INDEX(p_rates,6))))</f>
        <v>0.0</v>
      </c>
      <c r="AQ517" s="62">
        <f>ROUND(AK517*N(INDEX(p_rates,1)),2)+ROUND(AL517*N(INDEX(p_rates,2)),2)+ROUND(AM517*N(INDEX(p_rates,3)),2)+ROUND(AN517*N(INDEX(p_rates,4)),2)+ROUND(AO517*N(INDEX(p_rates,5)),2)+ROUND(AP517*N(INDEX(p_rates,6)),2)</f>
        <v>0.0</v>
      </c>
      <c r="AR517" s="62" t="str">
        <f>IF(OR(L517="",AA517&lt;&gt;"Facture"),"",IFERROR(IF(INDEX(fa_type,MATCH(L517,fa_num,0))="Facture d'acompte",MATCH(L517,fa_num,0),""),""))</f>
        <v/>
      </c>
      <c r="AS517" s="62" t="str">
        <f>IF(W517="","",IF(W517&lt;=0,"",IF(p_asof-P517&lt;=0,"Non échu",IF(p_asof-P517&lt;=30,"1-30 j",IF(p_asof-P517&lt;=60,"31-60 j",IF(p_asof-P517&lt;=90,"61-90 j","Plus de 90 j"))))))</f>
        <v/>
      </c>
      <c r="AT517" s="62" t="str">
        <f>IF(AS517="","",p_asof-P517)</f>
        <v/>
      </c>
      <c r="AU517" s="62" t="str">
        <f>IF(AT517="","",COUNTIF($AT$6:$AT$805,"&gt;"&amp;AT517)+COUNTIF($AT$6:AT517,AT517))</f>
        <v/>
      </c>
    </row>
    <row r="518">
      <c r="A518" s="59" t="str">
        <f>IF(AE518="","",AB518&amp;"-"&amp;AD518&amp;"-"&amp;RIGHT("000"&amp;AE518,4))</f>
        <v/>
      </c>
      <c r="B518" s="60" t="n"/>
      <c r="C518" s="61" t="n"/>
      <c r="D518" s="60" t="n"/>
      <c r="E518" s="62" t="str">
        <f>IF(D518="","",IFERROR(INDEX(cli_name,MATCH(D518,cli_code,0))&amp;"","Client inconnu"))</f>
        <v/>
      </c>
      <c r="F518" s="60" t="n"/>
      <c r="G518" s="63" t="n"/>
      <c r="H518" s="61" t="n"/>
      <c r="I518" s="63" t="n"/>
      <c r="J518" s="60" t="n"/>
      <c r="K518" s="61" t="n"/>
      <c r="L518" s="60" t="n"/>
      <c r="M518" s="60" t="n"/>
      <c r="N518" s="60" t="n"/>
      <c r="O518" s="61" t="n"/>
      <c r="P518" s="64" t="str">
        <f>IF(A518="","",IF(AA518="Avoir",AC518,IF(ISNUMBER(K518),K518,AC518+IF(D518="",N(p_delay),IFERROR(IF(ISNUMBER(INDEX(cli_delay,MATCH(D518,cli_code,0))),INDEX(cli_delay,MATCH(D518,cli_code,0)),N(p_delay)),N(p_delay))))))</f>
        <v/>
      </c>
      <c r="Q518" s="65" t="str">
        <f>IF(A518="","",IF(AA518="Avoir",-1,1)*ROUND(AJ518-IF(AR518="",0,INDEX(fa_htb,AR518)),2))</f>
        <v/>
      </c>
      <c r="R518" s="65" t="str">
        <f>IF(A518="","",IF(AA518="Avoir",-1,1)*ROUND(AQ518-IF(AR518="",0,INDEX(fa_tvab,AR518)),2))</f>
        <v/>
      </c>
      <c r="S518" s="65" t="str">
        <f>IF(A518="","",Q518+R518)</f>
        <v/>
      </c>
      <c r="T518" s="65" t="str">
        <f>IF(AR518="","",INDEX(fa_htb,AR518)+INDEX(fa_tvab,AR518))</f>
        <v/>
      </c>
      <c r="U518" s="65" t="str">
        <f>IF(A518="","",SUMIF(pa_inv,A518,pa_amt))</f>
        <v/>
      </c>
      <c r="V518" s="65" t="str">
        <f>IF(OR(A518="",AA518="Avoir"),"",-SUMIFS(fa_ttc,fa_avof,A518,fa_type,"Avoir"))</f>
        <v/>
      </c>
      <c r="W518" s="65" t="str">
        <f>IF(OR(A518="",AA518="Avoir"),"",ROUND(S518-U518-V518,2))</f>
        <v/>
      </c>
      <c r="X518" s="66" t="str">
        <f>IF(W518="","",IF(AND(W518&gt;0,p_asof&gt;P518),p_asof-P518,""))</f>
        <v/>
      </c>
      <c r="Y518" s="59" t="str">
        <f>IF(A518="","",IF(AA518="Avoir","Avoir",IF(W518&lt;0,"Trop-perçu",IF(W518=0,"Soldée",IF(p_asof&gt;P518,"En retard",IF(U518+V518&gt;0,"Partielle","À échoir"))))))</f>
        <v/>
      </c>
      <c r="Z518" s="59" t="str">
        <f>IF(NOT(COUNTA(B518:D518,F518:O518)&gt;0),"",IF(C518="","Date manquante",IF(NOT(ISNUMBER(C518)),"Date invalide",IF(D518="","Client manquant",IF(ISNA(MATCH(D518,cli_code,0)),"Client inconnu",IF(AC518&lt;SUMPRODUCT(MAX(($AB$6:AB517=AB518)*$AC$6:AC517)),"Date antérieure à la facture précédente",IF(AND(F518&lt;&gt;"",ISNA(MATCH(F518,dv_num,0))),"Devis inconnu",IF(AND(F518&lt;&gt;"",IFERROR(INDEX(dv_client,MATCH(F518,dv_num,0)),D518)&lt;&gt;D518),"Client différent de celui du devis",IF(AG518="","Aucune ligne : saisissez des lignes ou un devis",IF(AND(AI518&lt;&gt;"",COUNTIF($AI$6:AI518,AI518)&gt;1),"Devis déjà repris par une autre facture",IF(AND(AA518="Avoir",M518=""),"Avoir : indiquez la facture d'origine",IF(AND(AA518="Avoir",ISNA(MATCH(M518,fa_num,0))),"Facture d'origine inconnue",IF(AND(AA518&lt;&gt;"Avoir",M518&lt;&gt;""),"« Avoir sur facture » : réservé aux avoirs",IF(AND(L518&lt;&gt;"",AA518&lt;&gt;"Facture"),"Acompte à déduire : réservé aux factures",IF(AND(L518&lt;&gt;"",ISNA(MATCH(L518,fa_num,0))),"Facture d'acompte inconnue",IF(AND(L518&lt;&gt;"",IFERROR(INDEX(fa_type,MATCH(L518,fa_num,0)),"")&lt;&gt;"Facture d'acompte"),"Le n° à déduire n'est pas une facture d'acompte",IF(AND(L518&lt;&gt;"",COUNTIF($L$6:L518,L518)&gt;1),"Acompte déjà déduit sur une autre facture",IF(AND(L518&lt;&gt;"",IFERROR(INDEX(fa_client,MATCH(L518,fa_num,0)),D518)&lt;&gt;D518),"Acompte d'un autre client",IF(AND(AR518&lt;&gt;"",N(Q518)&lt;0),"Acompte supérieur au total de la facture",IF(IF(AG518="Facture",COUNTIFS(fl_doc,A518,fl_check,"&lt;&gt;OK"),IF(AG518="Devis",COUNTIFS(dl_doc,F518,dl_check,"&lt;&gt;OK"),0))&gt;0,"Ligne(s) à corriger",IF(AND(W518&lt;&gt;"",N(W518)&lt;0),"Trop-perçu : vérifiez paiements et avoirs","OK")))))))))))))))))))))</f>
        <v/>
      </c>
      <c r="AA518" s="62" t="str">
        <f>IF(COUNTA(B518:D518,F518:O518)&gt;0,IF(B518="","Facture",B518),"")</f>
        <v/>
      </c>
      <c r="AB518" s="62" t="str">
        <f>IF(AA518="","",IF(AA518="Avoir",p_pav,IF(AA518="Facture d'acompte",p_pac,p_pfa)))</f>
        <v/>
      </c>
      <c r="AC518" s="62">
        <f>IF(ISNUMBER(C518),C518,0)</f>
        <v>0.0</v>
      </c>
      <c r="AD518" s="62" t="str">
        <f>IF(OR(AA518="",AC518=0),"",YEAR(AC518))</f>
        <v/>
      </c>
      <c r="AE518" s="62" t="str">
        <f>IF(AD518="","",COUNTIFS($AB$6:AB518,AB518,$AD$6:AD518,AD518))</f>
        <v/>
      </c>
      <c r="AF518" s="62">
        <f>IF(A518="",0,COUNTIF(fl_doc,A518))</f>
        <v>0.0</v>
      </c>
      <c r="AG518" s="62" t="str">
        <f>IF(A518="","",IF(AF518&gt;0,"Facture",IF(AND(F518&lt;&gt;"",AA518="Facture",ISNUMBER(MATCH(F518,dv_num,0))),"Devis","")))</f>
        <v/>
      </c>
      <c r="AH518" s="62" t="str">
        <f>IF(AND(A518&lt;&gt;"",F518&lt;&gt;"",AA518&lt;&gt;"Avoir"),F518,"")</f>
        <v/>
      </c>
      <c r="AI518" s="62" t="str">
        <f>IF(AG518="Devis",F518,"")</f>
        <v/>
      </c>
      <c r="AJ518" s="62">
        <f>IF(AG518="Facture",SUMIF(fl_doc,A518,fl_ht),IF(AG518="Devis",SUMIF(dl_doc,F518,dl_ht),0))</f>
        <v>0.0</v>
      </c>
      <c r="AK518" s="62">
        <f>IF(OR(AG518="",INDEX(p_rates,1)=""),0,IF(AG518="Facture",SUMIFS(fl_ht,fl_doc,A518,fl_rate,INDEX(p_rates,1)),SUMIFS(dl_ht,dl_doc,F518,dl_rate,INDEX(p_rates,1))))</f>
        <v>0.0</v>
      </c>
      <c r="AL518" s="62">
        <f>IF(OR(AG518="",INDEX(p_rates,2)=""),0,IF(AG518="Facture",SUMIFS(fl_ht,fl_doc,A518,fl_rate,INDEX(p_rates,2)),SUMIFS(dl_ht,dl_doc,F518,dl_rate,INDEX(p_rates,2))))</f>
        <v>0.0</v>
      </c>
      <c r="AM518" s="62">
        <f>IF(OR(AG518="",INDEX(p_rates,3)=""),0,IF(AG518="Facture",SUMIFS(fl_ht,fl_doc,A518,fl_rate,INDEX(p_rates,3)),SUMIFS(dl_ht,dl_doc,F518,dl_rate,INDEX(p_rates,3))))</f>
        <v>0.0</v>
      </c>
      <c r="AN518" s="62">
        <f>IF(OR(AG518="",INDEX(p_rates,4)=""),0,IF(AG518="Facture",SUMIFS(fl_ht,fl_doc,A518,fl_rate,INDEX(p_rates,4)),SUMIFS(dl_ht,dl_doc,F518,dl_rate,INDEX(p_rates,4))))</f>
        <v>0.0</v>
      </c>
      <c r="AO518" s="62">
        <f>IF(OR(AG518="",INDEX(p_rates,5)=""),0,IF(AG518="Facture",SUMIFS(fl_ht,fl_doc,A518,fl_rate,INDEX(p_rates,5)),SUMIFS(dl_ht,dl_doc,F518,dl_rate,INDEX(p_rates,5))))</f>
        <v>0.0</v>
      </c>
      <c r="AP518" s="62">
        <f>IF(OR(AG518="",INDEX(p_rates,6)=""),0,IF(AG518="Facture",SUMIFS(fl_ht,fl_doc,A518,fl_rate,INDEX(p_rates,6)),SUMIFS(dl_ht,dl_doc,F518,dl_rate,INDEX(p_rates,6))))</f>
        <v>0.0</v>
      </c>
      <c r="AQ518" s="62">
        <f>ROUND(AK518*N(INDEX(p_rates,1)),2)+ROUND(AL518*N(INDEX(p_rates,2)),2)+ROUND(AM518*N(INDEX(p_rates,3)),2)+ROUND(AN518*N(INDEX(p_rates,4)),2)+ROUND(AO518*N(INDEX(p_rates,5)),2)+ROUND(AP518*N(INDEX(p_rates,6)),2)</f>
        <v>0.0</v>
      </c>
      <c r="AR518" s="62" t="str">
        <f>IF(OR(L518="",AA518&lt;&gt;"Facture"),"",IFERROR(IF(INDEX(fa_type,MATCH(L518,fa_num,0))="Facture d'acompte",MATCH(L518,fa_num,0),""),""))</f>
        <v/>
      </c>
      <c r="AS518" s="62" t="str">
        <f>IF(W518="","",IF(W518&lt;=0,"",IF(p_asof-P518&lt;=0,"Non échu",IF(p_asof-P518&lt;=30,"1-30 j",IF(p_asof-P518&lt;=60,"31-60 j",IF(p_asof-P518&lt;=90,"61-90 j","Plus de 90 j"))))))</f>
        <v/>
      </c>
      <c r="AT518" s="62" t="str">
        <f>IF(AS518="","",p_asof-P518)</f>
        <v/>
      </c>
      <c r="AU518" s="62" t="str">
        <f>IF(AT518="","",COUNTIF($AT$6:$AT$805,"&gt;"&amp;AT518)+COUNTIF($AT$6:AT518,AT518))</f>
        <v/>
      </c>
    </row>
    <row r="519">
      <c r="A519" s="59" t="str">
        <f>IF(AE519="","",AB519&amp;"-"&amp;AD519&amp;"-"&amp;RIGHT("000"&amp;AE519,4))</f>
        <v/>
      </c>
      <c r="B519" s="60" t="n"/>
      <c r="C519" s="61" t="n"/>
      <c r="D519" s="60" t="n"/>
      <c r="E519" s="62" t="str">
        <f>IF(D519="","",IFERROR(INDEX(cli_name,MATCH(D519,cli_code,0))&amp;"","Client inconnu"))</f>
        <v/>
      </c>
      <c r="F519" s="60" t="n"/>
      <c r="G519" s="63" t="n"/>
      <c r="H519" s="61" t="n"/>
      <c r="I519" s="63" t="n"/>
      <c r="J519" s="60" t="n"/>
      <c r="K519" s="61" t="n"/>
      <c r="L519" s="60" t="n"/>
      <c r="M519" s="60" t="n"/>
      <c r="N519" s="60" t="n"/>
      <c r="O519" s="61" t="n"/>
      <c r="P519" s="64" t="str">
        <f>IF(A519="","",IF(AA519="Avoir",AC519,IF(ISNUMBER(K519),K519,AC519+IF(D519="",N(p_delay),IFERROR(IF(ISNUMBER(INDEX(cli_delay,MATCH(D519,cli_code,0))),INDEX(cli_delay,MATCH(D519,cli_code,0)),N(p_delay)),N(p_delay))))))</f>
        <v/>
      </c>
      <c r="Q519" s="65" t="str">
        <f>IF(A519="","",IF(AA519="Avoir",-1,1)*ROUND(AJ519-IF(AR519="",0,INDEX(fa_htb,AR519)),2))</f>
        <v/>
      </c>
      <c r="R519" s="65" t="str">
        <f>IF(A519="","",IF(AA519="Avoir",-1,1)*ROUND(AQ519-IF(AR519="",0,INDEX(fa_tvab,AR519)),2))</f>
        <v/>
      </c>
      <c r="S519" s="65" t="str">
        <f>IF(A519="","",Q519+R519)</f>
        <v/>
      </c>
      <c r="T519" s="65" t="str">
        <f>IF(AR519="","",INDEX(fa_htb,AR519)+INDEX(fa_tvab,AR519))</f>
        <v/>
      </c>
      <c r="U519" s="65" t="str">
        <f>IF(A519="","",SUMIF(pa_inv,A519,pa_amt))</f>
        <v/>
      </c>
      <c r="V519" s="65" t="str">
        <f>IF(OR(A519="",AA519="Avoir"),"",-SUMIFS(fa_ttc,fa_avof,A519,fa_type,"Avoir"))</f>
        <v/>
      </c>
      <c r="W519" s="65" t="str">
        <f>IF(OR(A519="",AA519="Avoir"),"",ROUND(S519-U519-V519,2))</f>
        <v/>
      </c>
      <c r="X519" s="66" t="str">
        <f>IF(W519="","",IF(AND(W519&gt;0,p_asof&gt;P519),p_asof-P519,""))</f>
        <v/>
      </c>
      <c r="Y519" s="59" t="str">
        <f>IF(A519="","",IF(AA519="Avoir","Avoir",IF(W519&lt;0,"Trop-perçu",IF(W519=0,"Soldée",IF(p_asof&gt;P519,"En retard",IF(U519+V519&gt;0,"Partielle","À échoir"))))))</f>
        <v/>
      </c>
      <c r="Z519" s="59" t="str">
        <f>IF(NOT(COUNTA(B519:D519,F519:O519)&gt;0),"",IF(C519="","Date manquante",IF(NOT(ISNUMBER(C519)),"Date invalide",IF(D519="","Client manquant",IF(ISNA(MATCH(D519,cli_code,0)),"Client inconnu",IF(AC519&lt;SUMPRODUCT(MAX(($AB$6:AB518=AB519)*$AC$6:AC518)),"Date antérieure à la facture précédente",IF(AND(F519&lt;&gt;"",ISNA(MATCH(F519,dv_num,0))),"Devis inconnu",IF(AND(F519&lt;&gt;"",IFERROR(INDEX(dv_client,MATCH(F519,dv_num,0)),D519)&lt;&gt;D519),"Client différent de celui du devis",IF(AG519="","Aucune ligne : saisissez des lignes ou un devis",IF(AND(AI519&lt;&gt;"",COUNTIF($AI$6:AI519,AI519)&gt;1),"Devis déjà repris par une autre facture",IF(AND(AA519="Avoir",M519=""),"Avoir : indiquez la facture d'origine",IF(AND(AA519="Avoir",ISNA(MATCH(M519,fa_num,0))),"Facture d'origine inconnue",IF(AND(AA519&lt;&gt;"Avoir",M519&lt;&gt;""),"« Avoir sur facture » : réservé aux avoirs",IF(AND(L519&lt;&gt;"",AA519&lt;&gt;"Facture"),"Acompte à déduire : réservé aux factures",IF(AND(L519&lt;&gt;"",ISNA(MATCH(L519,fa_num,0))),"Facture d'acompte inconnue",IF(AND(L519&lt;&gt;"",IFERROR(INDEX(fa_type,MATCH(L519,fa_num,0)),"")&lt;&gt;"Facture d'acompte"),"Le n° à déduire n'est pas une facture d'acompte",IF(AND(L519&lt;&gt;"",COUNTIF($L$6:L519,L519)&gt;1),"Acompte déjà déduit sur une autre facture",IF(AND(L519&lt;&gt;"",IFERROR(INDEX(fa_client,MATCH(L519,fa_num,0)),D519)&lt;&gt;D519),"Acompte d'un autre client",IF(AND(AR519&lt;&gt;"",N(Q519)&lt;0),"Acompte supérieur au total de la facture",IF(IF(AG519="Facture",COUNTIFS(fl_doc,A519,fl_check,"&lt;&gt;OK"),IF(AG519="Devis",COUNTIFS(dl_doc,F519,dl_check,"&lt;&gt;OK"),0))&gt;0,"Ligne(s) à corriger",IF(AND(W519&lt;&gt;"",N(W519)&lt;0),"Trop-perçu : vérifiez paiements et avoirs","OK")))))))))))))))))))))</f>
        <v/>
      </c>
      <c r="AA519" s="62" t="str">
        <f>IF(COUNTA(B519:D519,F519:O519)&gt;0,IF(B519="","Facture",B519),"")</f>
        <v/>
      </c>
      <c r="AB519" s="62" t="str">
        <f>IF(AA519="","",IF(AA519="Avoir",p_pav,IF(AA519="Facture d'acompte",p_pac,p_pfa)))</f>
        <v/>
      </c>
      <c r="AC519" s="62">
        <f>IF(ISNUMBER(C519),C519,0)</f>
        <v>0.0</v>
      </c>
      <c r="AD519" s="62" t="str">
        <f>IF(OR(AA519="",AC519=0),"",YEAR(AC519))</f>
        <v/>
      </c>
      <c r="AE519" s="62" t="str">
        <f>IF(AD519="","",COUNTIFS($AB$6:AB519,AB519,$AD$6:AD519,AD519))</f>
        <v/>
      </c>
      <c r="AF519" s="62">
        <f>IF(A519="",0,COUNTIF(fl_doc,A519))</f>
        <v>0.0</v>
      </c>
      <c r="AG519" s="62" t="str">
        <f>IF(A519="","",IF(AF519&gt;0,"Facture",IF(AND(F519&lt;&gt;"",AA519="Facture",ISNUMBER(MATCH(F519,dv_num,0))),"Devis","")))</f>
        <v/>
      </c>
      <c r="AH519" s="62" t="str">
        <f>IF(AND(A519&lt;&gt;"",F519&lt;&gt;"",AA519&lt;&gt;"Avoir"),F519,"")</f>
        <v/>
      </c>
      <c r="AI519" s="62" t="str">
        <f>IF(AG519="Devis",F519,"")</f>
        <v/>
      </c>
      <c r="AJ519" s="62">
        <f>IF(AG519="Facture",SUMIF(fl_doc,A519,fl_ht),IF(AG519="Devis",SUMIF(dl_doc,F519,dl_ht),0))</f>
        <v>0.0</v>
      </c>
      <c r="AK519" s="62">
        <f>IF(OR(AG519="",INDEX(p_rates,1)=""),0,IF(AG519="Facture",SUMIFS(fl_ht,fl_doc,A519,fl_rate,INDEX(p_rates,1)),SUMIFS(dl_ht,dl_doc,F519,dl_rate,INDEX(p_rates,1))))</f>
        <v>0.0</v>
      </c>
      <c r="AL519" s="62">
        <f>IF(OR(AG519="",INDEX(p_rates,2)=""),0,IF(AG519="Facture",SUMIFS(fl_ht,fl_doc,A519,fl_rate,INDEX(p_rates,2)),SUMIFS(dl_ht,dl_doc,F519,dl_rate,INDEX(p_rates,2))))</f>
        <v>0.0</v>
      </c>
      <c r="AM519" s="62">
        <f>IF(OR(AG519="",INDEX(p_rates,3)=""),0,IF(AG519="Facture",SUMIFS(fl_ht,fl_doc,A519,fl_rate,INDEX(p_rates,3)),SUMIFS(dl_ht,dl_doc,F519,dl_rate,INDEX(p_rates,3))))</f>
        <v>0.0</v>
      </c>
      <c r="AN519" s="62">
        <f>IF(OR(AG519="",INDEX(p_rates,4)=""),0,IF(AG519="Facture",SUMIFS(fl_ht,fl_doc,A519,fl_rate,INDEX(p_rates,4)),SUMIFS(dl_ht,dl_doc,F519,dl_rate,INDEX(p_rates,4))))</f>
        <v>0.0</v>
      </c>
      <c r="AO519" s="62">
        <f>IF(OR(AG519="",INDEX(p_rates,5)=""),0,IF(AG519="Facture",SUMIFS(fl_ht,fl_doc,A519,fl_rate,INDEX(p_rates,5)),SUMIFS(dl_ht,dl_doc,F519,dl_rate,INDEX(p_rates,5))))</f>
        <v>0.0</v>
      </c>
      <c r="AP519" s="62">
        <f>IF(OR(AG519="",INDEX(p_rates,6)=""),0,IF(AG519="Facture",SUMIFS(fl_ht,fl_doc,A519,fl_rate,INDEX(p_rates,6)),SUMIFS(dl_ht,dl_doc,F519,dl_rate,INDEX(p_rates,6))))</f>
        <v>0.0</v>
      </c>
      <c r="AQ519" s="62">
        <f>ROUND(AK519*N(INDEX(p_rates,1)),2)+ROUND(AL519*N(INDEX(p_rates,2)),2)+ROUND(AM519*N(INDEX(p_rates,3)),2)+ROUND(AN519*N(INDEX(p_rates,4)),2)+ROUND(AO519*N(INDEX(p_rates,5)),2)+ROUND(AP519*N(INDEX(p_rates,6)),2)</f>
        <v>0.0</v>
      </c>
      <c r="AR519" s="62" t="str">
        <f>IF(OR(L519="",AA519&lt;&gt;"Facture"),"",IFERROR(IF(INDEX(fa_type,MATCH(L519,fa_num,0))="Facture d'acompte",MATCH(L519,fa_num,0),""),""))</f>
        <v/>
      </c>
      <c r="AS519" s="62" t="str">
        <f>IF(W519="","",IF(W519&lt;=0,"",IF(p_asof-P519&lt;=0,"Non échu",IF(p_asof-P519&lt;=30,"1-30 j",IF(p_asof-P519&lt;=60,"31-60 j",IF(p_asof-P519&lt;=90,"61-90 j","Plus de 90 j"))))))</f>
        <v/>
      </c>
      <c r="AT519" s="62" t="str">
        <f>IF(AS519="","",p_asof-P519)</f>
        <v/>
      </c>
      <c r="AU519" s="62" t="str">
        <f>IF(AT519="","",COUNTIF($AT$6:$AT$805,"&gt;"&amp;AT519)+COUNTIF($AT$6:AT519,AT519))</f>
        <v/>
      </c>
    </row>
    <row r="520">
      <c r="A520" s="59" t="str">
        <f>IF(AE520="","",AB520&amp;"-"&amp;AD520&amp;"-"&amp;RIGHT("000"&amp;AE520,4))</f>
        <v/>
      </c>
      <c r="B520" s="60" t="n"/>
      <c r="C520" s="61" t="n"/>
      <c r="D520" s="60" t="n"/>
      <c r="E520" s="62" t="str">
        <f>IF(D520="","",IFERROR(INDEX(cli_name,MATCH(D520,cli_code,0))&amp;"","Client inconnu"))</f>
        <v/>
      </c>
      <c r="F520" s="60" t="n"/>
      <c r="G520" s="63" t="n"/>
      <c r="H520" s="61" t="n"/>
      <c r="I520" s="63" t="n"/>
      <c r="J520" s="60" t="n"/>
      <c r="K520" s="61" t="n"/>
      <c r="L520" s="60" t="n"/>
      <c r="M520" s="60" t="n"/>
      <c r="N520" s="60" t="n"/>
      <c r="O520" s="61" t="n"/>
      <c r="P520" s="64" t="str">
        <f>IF(A520="","",IF(AA520="Avoir",AC520,IF(ISNUMBER(K520),K520,AC520+IF(D520="",N(p_delay),IFERROR(IF(ISNUMBER(INDEX(cli_delay,MATCH(D520,cli_code,0))),INDEX(cli_delay,MATCH(D520,cli_code,0)),N(p_delay)),N(p_delay))))))</f>
        <v/>
      </c>
      <c r="Q520" s="65" t="str">
        <f>IF(A520="","",IF(AA520="Avoir",-1,1)*ROUND(AJ520-IF(AR520="",0,INDEX(fa_htb,AR520)),2))</f>
        <v/>
      </c>
      <c r="R520" s="65" t="str">
        <f>IF(A520="","",IF(AA520="Avoir",-1,1)*ROUND(AQ520-IF(AR520="",0,INDEX(fa_tvab,AR520)),2))</f>
        <v/>
      </c>
      <c r="S520" s="65" t="str">
        <f>IF(A520="","",Q520+R520)</f>
        <v/>
      </c>
      <c r="T520" s="65" t="str">
        <f>IF(AR520="","",INDEX(fa_htb,AR520)+INDEX(fa_tvab,AR520))</f>
        <v/>
      </c>
      <c r="U520" s="65" t="str">
        <f>IF(A520="","",SUMIF(pa_inv,A520,pa_amt))</f>
        <v/>
      </c>
      <c r="V520" s="65" t="str">
        <f>IF(OR(A520="",AA520="Avoir"),"",-SUMIFS(fa_ttc,fa_avof,A520,fa_type,"Avoir"))</f>
        <v/>
      </c>
      <c r="W520" s="65" t="str">
        <f>IF(OR(A520="",AA520="Avoir"),"",ROUND(S520-U520-V520,2))</f>
        <v/>
      </c>
      <c r="X520" s="66" t="str">
        <f>IF(W520="","",IF(AND(W520&gt;0,p_asof&gt;P520),p_asof-P520,""))</f>
        <v/>
      </c>
      <c r="Y520" s="59" t="str">
        <f>IF(A520="","",IF(AA520="Avoir","Avoir",IF(W520&lt;0,"Trop-perçu",IF(W520=0,"Soldée",IF(p_asof&gt;P520,"En retard",IF(U520+V520&gt;0,"Partielle","À échoir"))))))</f>
        <v/>
      </c>
      <c r="Z520" s="59" t="str">
        <f>IF(NOT(COUNTA(B520:D520,F520:O520)&gt;0),"",IF(C520="","Date manquante",IF(NOT(ISNUMBER(C520)),"Date invalide",IF(D520="","Client manquant",IF(ISNA(MATCH(D520,cli_code,0)),"Client inconnu",IF(AC520&lt;SUMPRODUCT(MAX(($AB$6:AB519=AB520)*$AC$6:AC519)),"Date antérieure à la facture précédente",IF(AND(F520&lt;&gt;"",ISNA(MATCH(F520,dv_num,0))),"Devis inconnu",IF(AND(F520&lt;&gt;"",IFERROR(INDEX(dv_client,MATCH(F520,dv_num,0)),D520)&lt;&gt;D520),"Client différent de celui du devis",IF(AG520="","Aucune ligne : saisissez des lignes ou un devis",IF(AND(AI520&lt;&gt;"",COUNTIF($AI$6:AI520,AI520)&gt;1),"Devis déjà repris par une autre facture",IF(AND(AA520="Avoir",M520=""),"Avoir : indiquez la facture d'origine",IF(AND(AA520="Avoir",ISNA(MATCH(M520,fa_num,0))),"Facture d'origine inconnue",IF(AND(AA520&lt;&gt;"Avoir",M520&lt;&gt;""),"« Avoir sur facture » : réservé aux avoirs",IF(AND(L520&lt;&gt;"",AA520&lt;&gt;"Facture"),"Acompte à déduire : réservé aux factures",IF(AND(L520&lt;&gt;"",ISNA(MATCH(L520,fa_num,0))),"Facture d'acompte inconnue",IF(AND(L520&lt;&gt;"",IFERROR(INDEX(fa_type,MATCH(L520,fa_num,0)),"")&lt;&gt;"Facture d'acompte"),"Le n° à déduire n'est pas une facture d'acompte",IF(AND(L520&lt;&gt;"",COUNTIF($L$6:L520,L520)&gt;1),"Acompte déjà déduit sur une autre facture",IF(AND(L520&lt;&gt;"",IFERROR(INDEX(fa_client,MATCH(L520,fa_num,0)),D520)&lt;&gt;D520),"Acompte d'un autre client",IF(AND(AR520&lt;&gt;"",N(Q520)&lt;0),"Acompte supérieur au total de la facture",IF(IF(AG520="Facture",COUNTIFS(fl_doc,A520,fl_check,"&lt;&gt;OK"),IF(AG520="Devis",COUNTIFS(dl_doc,F520,dl_check,"&lt;&gt;OK"),0))&gt;0,"Ligne(s) à corriger",IF(AND(W520&lt;&gt;"",N(W520)&lt;0),"Trop-perçu : vérifiez paiements et avoirs","OK")))))))))))))))))))))</f>
        <v/>
      </c>
      <c r="AA520" s="62" t="str">
        <f>IF(COUNTA(B520:D520,F520:O520)&gt;0,IF(B520="","Facture",B520),"")</f>
        <v/>
      </c>
      <c r="AB520" s="62" t="str">
        <f>IF(AA520="","",IF(AA520="Avoir",p_pav,IF(AA520="Facture d'acompte",p_pac,p_pfa)))</f>
        <v/>
      </c>
      <c r="AC520" s="62">
        <f>IF(ISNUMBER(C520),C520,0)</f>
        <v>0.0</v>
      </c>
      <c r="AD520" s="62" t="str">
        <f>IF(OR(AA520="",AC520=0),"",YEAR(AC520))</f>
        <v/>
      </c>
      <c r="AE520" s="62" t="str">
        <f>IF(AD520="","",COUNTIFS($AB$6:AB520,AB520,$AD$6:AD520,AD520))</f>
        <v/>
      </c>
      <c r="AF520" s="62">
        <f>IF(A520="",0,COUNTIF(fl_doc,A520))</f>
        <v>0.0</v>
      </c>
      <c r="AG520" s="62" t="str">
        <f>IF(A520="","",IF(AF520&gt;0,"Facture",IF(AND(F520&lt;&gt;"",AA520="Facture",ISNUMBER(MATCH(F520,dv_num,0))),"Devis","")))</f>
        <v/>
      </c>
      <c r="AH520" s="62" t="str">
        <f>IF(AND(A520&lt;&gt;"",F520&lt;&gt;"",AA520&lt;&gt;"Avoir"),F520,"")</f>
        <v/>
      </c>
      <c r="AI520" s="62" t="str">
        <f>IF(AG520="Devis",F520,"")</f>
        <v/>
      </c>
      <c r="AJ520" s="62">
        <f>IF(AG520="Facture",SUMIF(fl_doc,A520,fl_ht),IF(AG520="Devis",SUMIF(dl_doc,F520,dl_ht),0))</f>
        <v>0.0</v>
      </c>
      <c r="AK520" s="62">
        <f>IF(OR(AG520="",INDEX(p_rates,1)=""),0,IF(AG520="Facture",SUMIFS(fl_ht,fl_doc,A520,fl_rate,INDEX(p_rates,1)),SUMIFS(dl_ht,dl_doc,F520,dl_rate,INDEX(p_rates,1))))</f>
        <v>0.0</v>
      </c>
      <c r="AL520" s="62">
        <f>IF(OR(AG520="",INDEX(p_rates,2)=""),0,IF(AG520="Facture",SUMIFS(fl_ht,fl_doc,A520,fl_rate,INDEX(p_rates,2)),SUMIFS(dl_ht,dl_doc,F520,dl_rate,INDEX(p_rates,2))))</f>
        <v>0.0</v>
      </c>
      <c r="AM520" s="62">
        <f>IF(OR(AG520="",INDEX(p_rates,3)=""),0,IF(AG520="Facture",SUMIFS(fl_ht,fl_doc,A520,fl_rate,INDEX(p_rates,3)),SUMIFS(dl_ht,dl_doc,F520,dl_rate,INDEX(p_rates,3))))</f>
        <v>0.0</v>
      </c>
      <c r="AN520" s="62">
        <f>IF(OR(AG520="",INDEX(p_rates,4)=""),0,IF(AG520="Facture",SUMIFS(fl_ht,fl_doc,A520,fl_rate,INDEX(p_rates,4)),SUMIFS(dl_ht,dl_doc,F520,dl_rate,INDEX(p_rates,4))))</f>
        <v>0.0</v>
      </c>
      <c r="AO520" s="62">
        <f>IF(OR(AG520="",INDEX(p_rates,5)=""),0,IF(AG520="Facture",SUMIFS(fl_ht,fl_doc,A520,fl_rate,INDEX(p_rates,5)),SUMIFS(dl_ht,dl_doc,F520,dl_rate,INDEX(p_rates,5))))</f>
        <v>0.0</v>
      </c>
      <c r="AP520" s="62">
        <f>IF(OR(AG520="",INDEX(p_rates,6)=""),0,IF(AG520="Facture",SUMIFS(fl_ht,fl_doc,A520,fl_rate,INDEX(p_rates,6)),SUMIFS(dl_ht,dl_doc,F520,dl_rate,INDEX(p_rates,6))))</f>
        <v>0.0</v>
      </c>
      <c r="AQ520" s="62">
        <f>ROUND(AK520*N(INDEX(p_rates,1)),2)+ROUND(AL520*N(INDEX(p_rates,2)),2)+ROUND(AM520*N(INDEX(p_rates,3)),2)+ROUND(AN520*N(INDEX(p_rates,4)),2)+ROUND(AO520*N(INDEX(p_rates,5)),2)+ROUND(AP520*N(INDEX(p_rates,6)),2)</f>
        <v>0.0</v>
      </c>
      <c r="AR520" s="62" t="str">
        <f>IF(OR(L520="",AA520&lt;&gt;"Facture"),"",IFERROR(IF(INDEX(fa_type,MATCH(L520,fa_num,0))="Facture d'acompte",MATCH(L520,fa_num,0),""),""))</f>
        <v/>
      </c>
      <c r="AS520" s="62" t="str">
        <f>IF(W520="","",IF(W520&lt;=0,"",IF(p_asof-P520&lt;=0,"Non échu",IF(p_asof-P520&lt;=30,"1-30 j",IF(p_asof-P520&lt;=60,"31-60 j",IF(p_asof-P520&lt;=90,"61-90 j","Plus de 90 j"))))))</f>
        <v/>
      </c>
      <c r="AT520" s="62" t="str">
        <f>IF(AS520="","",p_asof-P520)</f>
        <v/>
      </c>
      <c r="AU520" s="62" t="str">
        <f>IF(AT520="","",COUNTIF($AT$6:$AT$805,"&gt;"&amp;AT520)+COUNTIF($AT$6:AT520,AT520))</f>
        <v/>
      </c>
    </row>
    <row r="521">
      <c r="A521" s="59" t="str">
        <f>IF(AE521="","",AB521&amp;"-"&amp;AD521&amp;"-"&amp;RIGHT("000"&amp;AE521,4))</f>
        <v/>
      </c>
      <c r="B521" s="60" t="n"/>
      <c r="C521" s="61" t="n"/>
      <c r="D521" s="60" t="n"/>
      <c r="E521" s="62" t="str">
        <f>IF(D521="","",IFERROR(INDEX(cli_name,MATCH(D521,cli_code,0))&amp;"","Client inconnu"))</f>
        <v/>
      </c>
      <c r="F521" s="60" t="n"/>
      <c r="G521" s="63" t="n"/>
      <c r="H521" s="61" t="n"/>
      <c r="I521" s="63" t="n"/>
      <c r="J521" s="60" t="n"/>
      <c r="K521" s="61" t="n"/>
      <c r="L521" s="60" t="n"/>
      <c r="M521" s="60" t="n"/>
      <c r="N521" s="60" t="n"/>
      <c r="O521" s="61" t="n"/>
      <c r="P521" s="64" t="str">
        <f>IF(A521="","",IF(AA521="Avoir",AC521,IF(ISNUMBER(K521),K521,AC521+IF(D521="",N(p_delay),IFERROR(IF(ISNUMBER(INDEX(cli_delay,MATCH(D521,cli_code,0))),INDEX(cli_delay,MATCH(D521,cli_code,0)),N(p_delay)),N(p_delay))))))</f>
        <v/>
      </c>
      <c r="Q521" s="65" t="str">
        <f>IF(A521="","",IF(AA521="Avoir",-1,1)*ROUND(AJ521-IF(AR521="",0,INDEX(fa_htb,AR521)),2))</f>
        <v/>
      </c>
      <c r="R521" s="65" t="str">
        <f>IF(A521="","",IF(AA521="Avoir",-1,1)*ROUND(AQ521-IF(AR521="",0,INDEX(fa_tvab,AR521)),2))</f>
        <v/>
      </c>
      <c r="S521" s="65" t="str">
        <f>IF(A521="","",Q521+R521)</f>
        <v/>
      </c>
      <c r="T521" s="65" t="str">
        <f>IF(AR521="","",INDEX(fa_htb,AR521)+INDEX(fa_tvab,AR521))</f>
        <v/>
      </c>
      <c r="U521" s="65" t="str">
        <f>IF(A521="","",SUMIF(pa_inv,A521,pa_amt))</f>
        <v/>
      </c>
      <c r="V521" s="65" t="str">
        <f>IF(OR(A521="",AA521="Avoir"),"",-SUMIFS(fa_ttc,fa_avof,A521,fa_type,"Avoir"))</f>
        <v/>
      </c>
      <c r="W521" s="65" t="str">
        <f>IF(OR(A521="",AA521="Avoir"),"",ROUND(S521-U521-V521,2))</f>
        <v/>
      </c>
      <c r="X521" s="66" t="str">
        <f>IF(W521="","",IF(AND(W521&gt;0,p_asof&gt;P521),p_asof-P521,""))</f>
        <v/>
      </c>
      <c r="Y521" s="59" t="str">
        <f>IF(A521="","",IF(AA521="Avoir","Avoir",IF(W521&lt;0,"Trop-perçu",IF(W521=0,"Soldée",IF(p_asof&gt;P521,"En retard",IF(U521+V521&gt;0,"Partielle","À échoir"))))))</f>
        <v/>
      </c>
      <c r="Z521" s="59" t="str">
        <f>IF(NOT(COUNTA(B521:D521,F521:O521)&gt;0),"",IF(C521="","Date manquante",IF(NOT(ISNUMBER(C521)),"Date invalide",IF(D521="","Client manquant",IF(ISNA(MATCH(D521,cli_code,0)),"Client inconnu",IF(AC521&lt;SUMPRODUCT(MAX(($AB$6:AB520=AB521)*$AC$6:AC520)),"Date antérieure à la facture précédente",IF(AND(F521&lt;&gt;"",ISNA(MATCH(F521,dv_num,0))),"Devis inconnu",IF(AND(F521&lt;&gt;"",IFERROR(INDEX(dv_client,MATCH(F521,dv_num,0)),D521)&lt;&gt;D521),"Client différent de celui du devis",IF(AG521="","Aucune ligne : saisissez des lignes ou un devis",IF(AND(AI521&lt;&gt;"",COUNTIF($AI$6:AI521,AI521)&gt;1),"Devis déjà repris par une autre facture",IF(AND(AA521="Avoir",M521=""),"Avoir : indiquez la facture d'origine",IF(AND(AA521="Avoir",ISNA(MATCH(M521,fa_num,0))),"Facture d'origine inconnue",IF(AND(AA521&lt;&gt;"Avoir",M521&lt;&gt;""),"« Avoir sur facture » : réservé aux avoirs",IF(AND(L521&lt;&gt;"",AA521&lt;&gt;"Facture"),"Acompte à déduire : réservé aux factures",IF(AND(L521&lt;&gt;"",ISNA(MATCH(L521,fa_num,0))),"Facture d'acompte inconnue",IF(AND(L521&lt;&gt;"",IFERROR(INDEX(fa_type,MATCH(L521,fa_num,0)),"")&lt;&gt;"Facture d'acompte"),"Le n° à déduire n'est pas une facture d'acompte",IF(AND(L521&lt;&gt;"",COUNTIF($L$6:L521,L521)&gt;1),"Acompte déjà déduit sur une autre facture",IF(AND(L521&lt;&gt;"",IFERROR(INDEX(fa_client,MATCH(L521,fa_num,0)),D521)&lt;&gt;D521),"Acompte d'un autre client",IF(AND(AR521&lt;&gt;"",N(Q521)&lt;0),"Acompte supérieur au total de la facture",IF(IF(AG521="Facture",COUNTIFS(fl_doc,A521,fl_check,"&lt;&gt;OK"),IF(AG521="Devis",COUNTIFS(dl_doc,F521,dl_check,"&lt;&gt;OK"),0))&gt;0,"Ligne(s) à corriger",IF(AND(W521&lt;&gt;"",N(W521)&lt;0),"Trop-perçu : vérifiez paiements et avoirs","OK")))))))))))))))))))))</f>
        <v/>
      </c>
      <c r="AA521" s="62" t="str">
        <f>IF(COUNTA(B521:D521,F521:O521)&gt;0,IF(B521="","Facture",B521),"")</f>
        <v/>
      </c>
      <c r="AB521" s="62" t="str">
        <f>IF(AA521="","",IF(AA521="Avoir",p_pav,IF(AA521="Facture d'acompte",p_pac,p_pfa)))</f>
        <v/>
      </c>
      <c r="AC521" s="62">
        <f>IF(ISNUMBER(C521),C521,0)</f>
        <v>0.0</v>
      </c>
      <c r="AD521" s="62" t="str">
        <f>IF(OR(AA521="",AC521=0),"",YEAR(AC521))</f>
        <v/>
      </c>
      <c r="AE521" s="62" t="str">
        <f>IF(AD521="","",COUNTIFS($AB$6:AB521,AB521,$AD$6:AD521,AD521))</f>
        <v/>
      </c>
      <c r="AF521" s="62">
        <f>IF(A521="",0,COUNTIF(fl_doc,A521))</f>
        <v>0.0</v>
      </c>
      <c r="AG521" s="62" t="str">
        <f>IF(A521="","",IF(AF521&gt;0,"Facture",IF(AND(F521&lt;&gt;"",AA521="Facture",ISNUMBER(MATCH(F521,dv_num,0))),"Devis","")))</f>
        <v/>
      </c>
      <c r="AH521" s="62" t="str">
        <f>IF(AND(A521&lt;&gt;"",F521&lt;&gt;"",AA521&lt;&gt;"Avoir"),F521,"")</f>
        <v/>
      </c>
      <c r="AI521" s="62" t="str">
        <f>IF(AG521="Devis",F521,"")</f>
        <v/>
      </c>
      <c r="AJ521" s="62">
        <f>IF(AG521="Facture",SUMIF(fl_doc,A521,fl_ht),IF(AG521="Devis",SUMIF(dl_doc,F521,dl_ht),0))</f>
        <v>0.0</v>
      </c>
      <c r="AK521" s="62">
        <f>IF(OR(AG521="",INDEX(p_rates,1)=""),0,IF(AG521="Facture",SUMIFS(fl_ht,fl_doc,A521,fl_rate,INDEX(p_rates,1)),SUMIFS(dl_ht,dl_doc,F521,dl_rate,INDEX(p_rates,1))))</f>
        <v>0.0</v>
      </c>
      <c r="AL521" s="62">
        <f>IF(OR(AG521="",INDEX(p_rates,2)=""),0,IF(AG521="Facture",SUMIFS(fl_ht,fl_doc,A521,fl_rate,INDEX(p_rates,2)),SUMIFS(dl_ht,dl_doc,F521,dl_rate,INDEX(p_rates,2))))</f>
        <v>0.0</v>
      </c>
      <c r="AM521" s="62">
        <f>IF(OR(AG521="",INDEX(p_rates,3)=""),0,IF(AG521="Facture",SUMIFS(fl_ht,fl_doc,A521,fl_rate,INDEX(p_rates,3)),SUMIFS(dl_ht,dl_doc,F521,dl_rate,INDEX(p_rates,3))))</f>
        <v>0.0</v>
      </c>
      <c r="AN521" s="62">
        <f>IF(OR(AG521="",INDEX(p_rates,4)=""),0,IF(AG521="Facture",SUMIFS(fl_ht,fl_doc,A521,fl_rate,INDEX(p_rates,4)),SUMIFS(dl_ht,dl_doc,F521,dl_rate,INDEX(p_rates,4))))</f>
        <v>0.0</v>
      </c>
      <c r="AO521" s="62">
        <f>IF(OR(AG521="",INDEX(p_rates,5)=""),0,IF(AG521="Facture",SUMIFS(fl_ht,fl_doc,A521,fl_rate,INDEX(p_rates,5)),SUMIFS(dl_ht,dl_doc,F521,dl_rate,INDEX(p_rates,5))))</f>
        <v>0.0</v>
      </c>
      <c r="AP521" s="62">
        <f>IF(OR(AG521="",INDEX(p_rates,6)=""),0,IF(AG521="Facture",SUMIFS(fl_ht,fl_doc,A521,fl_rate,INDEX(p_rates,6)),SUMIFS(dl_ht,dl_doc,F521,dl_rate,INDEX(p_rates,6))))</f>
        <v>0.0</v>
      </c>
      <c r="AQ521" s="62">
        <f>ROUND(AK521*N(INDEX(p_rates,1)),2)+ROUND(AL521*N(INDEX(p_rates,2)),2)+ROUND(AM521*N(INDEX(p_rates,3)),2)+ROUND(AN521*N(INDEX(p_rates,4)),2)+ROUND(AO521*N(INDEX(p_rates,5)),2)+ROUND(AP521*N(INDEX(p_rates,6)),2)</f>
        <v>0.0</v>
      </c>
      <c r="AR521" s="62" t="str">
        <f>IF(OR(L521="",AA521&lt;&gt;"Facture"),"",IFERROR(IF(INDEX(fa_type,MATCH(L521,fa_num,0))="Facture d'acompte",MATCH(L521,fa_num,0),""),""))</f>
        <v/>
      </c>
      <c r="AS521" s="62" t="str">
        <f>IF(W521="","",IF(W521&lt;=0,"",IF(p_asof-P521&lt;=0,"Non échu",IF(p_asof-P521&lt;=30,"1-30 j",IF(p_asof-P521&lt;=60,"31-60 j",IF(p_asof-P521&lt;=90,"61-90 j","Plus de 90 j"))))))</f>
        <v/>
      </c>
      <c r="AT521" s="62" t="str">
        <f>IF(AS521="","",p_asof-P521)</f>
        <v/>
      </c>
      <c r="AU521" s="62" t="str">
        <f>IF(AT521="","",COUNTIF($AT$6:$AT$805,"&gt;"&amp;AT521)+COUNTIF($AT$6:AT521,AT521))</f>
        <v/>
      </c>
    </row>
    <row r="522">
      <c r="A522" s="59" t="str">
        <f>IF(AE522="","",AB522&amp;"-"&amp;AD522&amp;"-"&amp;RIGHT("000"&amp;AE522,4))</f>
        <v/>
      </c>
      <c r="B522" s="60" t="n"/>
      <c r="C522" s="61" t="n"/>
      <c r="D522" s="60" t="n"/>
      <c r="E522" s="62" t="str">
        <f>IF(D522="","",IFERROR(INDEX(cli_name,MATCH(D522,cli_code,0))&amp;"","Client inconnu"))</f>
        <v/>
      </c>
      <c r="F522" s="60" t="n"/>
      <c r="G522" s="63" t="n"/>
      <c r="H522" s="61" t="n"/>
      <c r="I522" s="63" t="n"/>
      <c r="J522" s="60" t="n"/>
      <c r="K522" s="61" t="n"/>
      <c r="L522" s="60" t="n"/>
      <c r="M522" s="60" t="n"/>
      <c r="N522" s="60" t="n"/>
      <c r="O522" s="61" t="n"/>
      <c r="P522" s="64" t="str">
        <f>IF(A522="","",IF(AA522="Avoir",AC522,IF(ISNUMBER(K522),K522,AC522+IF(D522="",N(p_delay),IFERROR(IF(ISNUMBER(INDEX(cli_delay,MATCH(D522,cli_code,0))),INDEX(cli_delay,MATCH(D522,cli_code,0)),N(p_delay)),N(p_delay))))))</f>
        <v/>
      </c>
      <c r="Q522" s="65" t="str">
        <f>IF(A522="","",IF(AA522="Avoir",-1,1)*ROUND(AJ522-IF(AR522="",0,INDEX(fa_htb,AR522)),2))</f>
        <v/>
      </c>
      <c r="R522" s="65" t="str">
        <f>IF(A522="","",IF(AA522="Avoir",-1,1)*ROUND(AQ522-IF(AR522="",0,INDEX(fa_tvab,AR522)),2))</f>
        <v/>
      </c>
      <c r="S522" s="65" t="str">
        <f>IF(A522="","",Q522+R522)</f>
        <v/>
      </c>
      <c r="T522" s="65" t="str">
        <f>IF(AR522="","",INDEX(fa_htb,AR522)+INDEX(fa_tvab,AR522))</f>
        <v/>
      </c>
      <c r="U522" s="65" t="str">
        <f>IF(A522="","",SUMIF(pa_inv,A522,pa_amt))</f>
        <v/>
      </c>
      <c r="V522" s="65" t="str">
        <f>IF(OR(A522="",AA522="Avoir"),"",-SUMIFS(fa_ttc,fa_avof,A522,fa_type,"Avoir"))</f>
        <v/>
      </c>
      <c r="W522" s="65" t="str">
        <f>IF(OR(A522="",AA522="Avoir"),"",ROUND(S522-U522-V522,2))</f>
        <v/>
      </c>
      <c r="X522" s="66" t="str">
        <f>IF(W522="","",IF(AND(W522&gt;0,p_asof&gt;P522),p_asof-P522,""))</f>
        <v/>
      </c>
      <c r="Y522" s="59" t="str">
        <f>IF(A522="","",IF(AA522="Avoir","Avoir",IF(W522&lt;0,"Trop-perçu",IF(W522=0,"Soldée",IF(p_asof&gt;P522,"En retard",IF(U522+V522&gt;0,"Partielle","À échoir"))))))</f>
        <v/>
      </c>
      <c r="Z522" s="59" t="str">
        <f>IF(NOT(COUNTA(B522:D522,F522:O522)&gt;0),"",IF(C522="","Date manquante",IF(NOT(ISNUMBER(C522)),"Date invalide",IF(D522="","Client manquant",IF(ISNA(MATCH(D522,cli_code,0)),"Client inconnu",IF(AC522&lt;SUMPRODUCT(MAX(($AB$6:AB521=AB522)*$AC$6:AC521)),"Date antérieure à la facture précédente",IF(AND(F522&lt;&gt;"",ISNA(MATCH(F522,dv_num,0))),"Devis inconnu",IF(AND(F522&lt;&gt;"",IFERROR(INDEX(dv_client,MATCH(F522,dv_num,0)),D522)&lt;&gt;D522),"Client différent de celui du devis",IF(AG522="","Aucune ligne : saisissez des lignes ou un devis",IF(AND(AI522&lt;&gt;"",COUNTIF($AI$6:AI522,AI522)&gt;1),"Devis déjà repris par une autre facture",IF(AND(AA522="Avoir",M522=""),"Avoir : indiquez la facture d'origine",IF(AND(AA522="Avoir",ISNA(MATCH(M522,fa_num,0))),"Facture d'origine inconnue",IF(AND(AA522&lt;&gt;"Avoir",M522&lt;&gt;""),"« Avoir sur facture » : réservé aux avoirs",IF(AND(L522&lt;&gt;"",AA522&lt;&gt;"Facture"),"Acompte à déduire : réservé aux factures",IF(AND(L522&lt;&gt;"",ISNA(MATCH(L522,fa_num,0))),"Facture d'acompte inconnue",IF(AND(L522&lt;&gt;"",IFERROR(INDEX(fa_type,MATCH(L522,fa_num,0)),"")&lt;&gt;"Facture d'acompte"),"Le n° à déduire n'est pas une facture d'acompte",IF(AND(L522&lt;&gt;"",COUNTIF($L$6:L522,L522)&gt;1),"Acompte déjà déduit sur une autre facture",IF(AND(L522&lt;&gt;"",IFERROR(INDEX(fa_client,MATCH(L522,fa_num,0)),D522)&lt;&gt;D522),"Acompte d'un autre client",IF(AND(AR522&lt;&gt;"",N(Q522)&lt;0),"Acompte supérieur au total de la facture",IF(IF(AG522="Facture",COUNTIFS(fl_doc,A522,fl_check,"&lt;&gt;OK"),IF(AG522="Devis",COUNTIFS(dl_doc,F522,dl_check,"&lt;&gt;OK"),0))&gt;0,"Ligne(s) à corriger",IF(AND(W522&lt;&gt;"",N(W522)&lt;0),"Trop-perçu : vérifiez paiements et avoirs","OK")))))))))))))))))))))</f>
        <v/>
      </c>
      <c r="AA522" s="62" t="str">
        <f>IF(COUNTA(B522:D522,F522:O522)&gt;0,IF(B522="","Facture",B522),"")</f>
        <v/>
      </c>
      <c r="AB522" s="62" t="str">
        <f>IF(AA522="","",IF(AA522="Avoir",p_pav,IF(AA522="Facture d'acompte",p_pac,p_pfa)))</f>
        <v/>
      </c>
      <c r="AC522" s="62">
        <f>IF(ISNUMBER(C522),C522,0)</f>
        <v>0.0</v>
      </c>
      <c r="AD522" s="62" t="str">
        <f>IF(OR(AA522="",AC522=0),"",YEAR(AC522))</f>
        <v/>
      </c>
      <c r="AE522" s="62" t="str">
        <f>IF(AD522="","",COUNTIFS($AB$6:AB522,AB522,$AD$6:AD522,AD522))</f>
        <v/>
      </c>
      <c r="AF522" s="62">
        <f>IF(A522="",0,COUNTIF(fl_doc,A522))</f>
        <v>0.0</v>
      </c>
      <c r="AG522" s="62" t="str">
        <f>IF(A522="","",IF(AF522&gt;0,"Facture",IF(AND(F522&lt;&gt;"",AA522="Facture",ISNUMBER(MATCH(F522,dv_num,0))),"Devis","")))</f>
        <v/>
      </c>
      <c r="AH522" s="62" t="str">
        <f>IF(AND(A522&lt;&gt;"",F522&lt;&gt;"",AA522&lt;&gt;"Avoir"),F522,"")</f>
        <v/>
      </c>
      <c r="AI522" s="62" t="str">
        <f>IF(AG522="Devis",F522,"")</f>
        <v/>
      </c>
      <c r="AJ522" s="62">
        <f>IF(AG522="Facture",SUMIF(fl_doc,A522,fl_ht),IF(AG522="Devis",SUMIF(dl_doc,F522,dl_ht),0))</f>
        <v>0.0</v>
      </c>
      <c r="AK522" s="62">
        <f>IF(OR(AG522="",INDEX(p_rates,1)=""),0,IF(AG522="Facture",SUMIFS(fl_ht,fl_doc,A522,fl_rate,INDEX(p_rates,1)),SUMIFS(dl_ht,dl_doc,F522,dl_rate,INDEX(p_rates,1))))</f>
        <v>0.0</v>
      </c>
      <c r="AL522" s="62">
        <f>IF(OR(AG522="",INDEX(p_rates,2)=""),0,IF(AG522="Facture",SUMIFS(fl_ht,fl_doc,A522,fl_rate,INDEX(p_rates,2)),SUMIFS(dl_ht,dl_doc,F522,dl_rate,INDEX(p_rates,2))))</f>
        <v>0.0</v>
      </c>
      <c r="AM522" s="62">
        <f>IF(OR(AG522="",INDEX(p_rates,3)=""),0,IF(AG522="Facture",SUMIFS(fl_ht,fl_doc,A522,fl_rate,INDEX(p_rates,3)),SUMIFS(dl_ht,dl_doc,F522,dl_rate,INDEX(p_rates,3))))</f>
        <v>0.0</v>
      </c>
      <c r="AN522" s="62">
        <f>IF(OR(AG522="",INDEX(p_rates,4)=""),0,IF(AG522="Facture",SUMIFS(fl_ht,fl_doc,A522,fl_rate,INDEX(p_rates,4)),SUMIFS(dl_ht,dl_doc,F522,dl_rate,INDEX(p_rates,4))))</f>
        <v>0.0</v>
      </c>
      <c r="AO522" s="62">
        <f>IF(OR(AG522="",INDEX(p_rates,5)=""),0,IF(AG522="Facture",SUMIFS(fl_ht,fl_doc,A522,fl_rate,INDEX(p_rates,5)),SUMIFS(dl_ht,dl_doc,F522,dl_rate,INDEX(p_rates,5))))</f>
        <v>0.0</v>
      </c>
      <c r="AP522" s="62">
        <f>IF(OR(AG522="",INDEX(p_rates,6)=""),0,IF(AG522="Facture",SUMIFS(fl_ht,fl_doc,A522,fl_rate,INDEX(p_rates,6)),SUMIFS(dl_ht,dl_doc,F522,dl_rate,INDEX(p_rates,6))))</f>
        <v>0.0</v>
      </c>
      <c r="AQ522" s="62">
        <f>ROUND(AK522*N(INDEX(p_rates,1)),2)+ROUND(AL522*N(INDEX(p_rates,2)),2)+ROUND(AM522*N(INDEX(p_rates,3)),2)+ROUND(AN522*N(INDEX(p_rates,4)),2)+ROUND(AO522*N(INDEX(p_rates,5)),2)+ROUND(AP522*N(INDEX(p_rates,6)),2)</f>
        <v>0.0</v>
      </c>
      <c r="AR522" s="62" t="str">
        <f>IF(OR(L522="",AA522&lt;&gt;"Facture"),"",IFERROR(IF(INDEX(fa_type,MATCH(L522,fa_num,0))="Facture d'acompte",MATCH(L522,fa_num,0),""),""))</f>
        <v/>
      </c>
      <c r="AS522" s="62" t="str">
        <f>IF(W522="","",IF(W522&lt;=0,"",IF(p_asof-P522&lt;=0,"Non échu",IF(p_asof-P522&lt;=30,"1-30 j",IF(p_asof-P522&lt;=60,"31-60 j",IF(p_asof-P522&lt;=90,"61-90 j","Plus de 90 j"))))))</f>
        <v/>
      </c>
      <c r="AT522" s="62" t="str">
        <f>IF(AS522="","",p_asof-P522)</f>
        <v/>
      </c>
      <c r="AU522" s="62" t="str">
        <f>IF(AT522="","",COUNTIF($AT$6:$AT$805,"&gt;"&amp;AT522)+COUNTIF($AT$6:AT522,AT522))</f>
        <v/>
      </c>
    </row>
    <row r="523">
      <c r="A523" s="59" t="str">
        <f>IF(AE523="","",AB523&amp;"-"&amp;AD523&amp;"-"&amp;RIGHT("000"&amp;AE523,4))</f>
        <v/>
      </c>
      <c r="B523" s="60" t="n"/>
      <c r="C523" s="61" t="n"/>
      <c r="D523" s="60" t="n"/>
      <c r="E523" s="62" t="str">
        <f>IF(D523="","",IFERROR(INDEX(cli_name,MATCH(D523,cli_code,0))&amp;"","Client inconnu"))</f>
        <v/>
      </c>
      <c r="F523" s="60" t="n"/>
      <c r="G523" s="63" t="n"/>
      <c r="H523" s="61" t="n"/>
      <c r="I523" s="63" t="n"/>
      <c r="J523" s="60" t="n"/>
      <c r="K523" s="61" t="n"/>
      <c r="L523" s="60" t="n"/>
      <c r="M523" s="60" t="n"/>
      <c r="N523" s="60" t="n"/>
      <c r="O523" s="61" t="n"/>
      <c r="P523" s="64" t="str">
        <f>IF(A523="","",IF(AA523="Avoir",AC523,IF(ISNUMBER(K523),K523,AC523+IF(D523="",N(p_delay),IFERROR(IF(ISNUMBER(INDEX(cli_delay,MATCH(D523,cli_code,0))),INDEX(cli_delay,MATCH(D523,cli_code,0)),N(p_delay)),N(p_delay))))))</f>
        <v/>
      </c>
      <c r="Q523" s="65" t="str">
        <f>IF(A523="","",IF(AA523="Avoir",-1,1)*ROUND(AJ523-IF(AR523="",0,INDEX(fa_htb,AR523)),2))</f>
        <v/>
      </c>
      <c r="R523" s="65" t="str">
        <f>IF(A523="","",IF(AA523="Avoir",-1,1)*ROUND(AQ523-IF(AR523="",0,INDEX(fa_tvab,AR523)),2))</f>
        <v/>
      </c>
      <c r="S523" s="65" t="str">
        <f>IF(A523="","",Q523+R523)</f>
        <v/>
      </c>
      <c r="T523" s="65" t="str">
        <f>IF(AR523="","",INDEX(fa_htb,AR523)+INDEX(fa_tvab,AR523))</f>
        <v/>
      </c>
      <c r="U523" s="65" t="str">
        <f>IF(A523="","",SUMIF(pa_inv,A523,pa_amt))</f>
        <v/>
      </c>
      <c r="V523" s="65" t="str">
        <f>IF(OR(A523="",AA523="Avoir"),"",-SUMIFS(fa_ttc,fa_avof,A523,fa_type,"Avoir"))</f>
        <v/>
      </c>
      <c r="W523" s="65" t="str">
        <f>IF(OR(A523="",AA523="Avoir"),"",ROUND(S523-U523-V523,2))</f>
        <v/>
      </c>
      <c r="X523" s="66" t="str">
        <f>IF(W523="","",IF(AND(W523&gt;0,p_asof&gt;P523),p_asof-P523,""))</f>
        <v/>
      </c>
      <c r="Y523" s="59" t="str">
        <f>IF(A523="","",IF(AA523="Avoir","Avoir",IF(W523&lt;0,"Trop-perçu",IF(W523=0,"Soldée",IF(p_asof&gt;P523,"En retard",IF(U523+V523&gt;0,"Partielle","À échoir"))))))</f>
        <v/>
      </c>
      <c r="Z523" s="59" t="str">
        <f>IF(NOT(COUNTA(B523:D523,F523:O523)&gt;0),"",IF(C523="","Date manquante",IF(NOT(ISNUMBER(C523)),"Date invalide",IF(D523="","Client manquant",IF(ISNA(MATCH(D523,cli_code,0)),"Client inconnu",IF(AC523&lt;SUMPRODUCT(MAX(($AB$6:AB522=AB523)*$AC$6:AC522)),"Date antérieure à la facture précédente",IF(AND(F523&lt;&gt;"",ISNA(MATCH(F523,dv_num,0))),"Devis inconnu",IF(AND(F523&lt;&gt;"",IFERROR(INDEX(dv_client,MATCH(F523,dv_num,0)),D523)&lt;&gt;D523),"Client différent de celui du devis",IF(AG523="","Aucune ligne : saisissez des lignes ou un devis",IF(AND(AI523&lt;&gt;"",COUNTIF($AI$6:AI523,AI523)&gt;1),"Devis déjà repris par une autre facture",IF(AND(AA523="Avoir",M523=""),"Avoir : indiquez la facture d'origine",IF(AND(AA523="Avoir",ISNA(MATCH(M523,fa_num,0))),"Facture d'origine inconnue",IF(AND(AA523&lt;&gt;"Avoir",M523&lt;&gt;""),"« Avoir sur facture » : réservé aux avoirs",IF(AND(L523&lt;&gt;"",AA523&lt;&gt;"Facture"),"Acompte à déduire : réservé aux factures",IF(AND(L523&lt;&gt;"",ISNA(MATCH(L523,fa_num,0))),"Facture d'acompte inconnue",IF(AND(L523&lt;&gt;"",IFERROR(INDEX(fa_type,MATCH(L523,fa_num,0)),"")&lt;&gt;"Facture d'acompte"),"Le n° à déduire n'est pas une facture d'acompte",IF(AND(L523&lt;&gt;"",COUNTIF($L$6:L523,L523)&gt;1),"Acompte déjà déduit sur une autre facture",IF(AND(L523&lt;&gt;"",IFERROR(INDEX(fa_client,MATCH(L523,fa_num,0)),D523)&lt;&gt;D523),"Acompte d'un autre client",IF(AND(AR523&lt;&gt;"",N(Q523)&lt;0),"Acompte supérieur au total de la facture",IF(IF(AG523="Facture",COUNTIFS(fl_doc,A523,fl_check,"&lt;&gt;OK"),IF(AG523="Devis",COUNTIFS(dl_doc,F523,dl_check,"&lt;&gt;OK"),0))&gt;0,"Ligne(s) à corriger",IF(AND(W523&lt;&gt;"",N(W523)&lt;0),"Trop-perçu : vérifiez paiements et avoirs","OK")))))))))))))))))))))</f>
        <v/>
      </c>
      <c r="AA523" s="62" t="str">
        <f>IF(COUNTA(B523:D523,F523:O523)&gt;0,IF(B523="","Facture",B523),"")</f>
        <v/>
      </c>
      <c r="AB523" s="62" t="str">
        <f>IF(AA523="","",IF(AA523="Avoir",p_pav,IF(AA523="Facture d'acompte",p_pac,p_pfa)))</f>
        <v/>
      </c>
      <c r="AC523" s="62">
        <f>IF(ISNUMBER(C523),C523,0)</f>
        <v>0.0</v>
      </c>
      <c r="AD523" s="62" t="str">
        <f>IF(OR(AA523="",AC523=0),"",YEAR(AC523))</f>
        <v/>
      </c>
      <c r="AE523" s="62" t="str">
        <f>IF(AD523="","",COUNTIFS($AB$6:AB523,AB523,$AD$6:AD523,AD523))</f>
        <v/>
      </c>
      <c r="AF523" s="62">
        <f>IF(A523="",0,COUNTIF(fl_doc,A523))</f>
        <v>0.0</v>
      </c>
      <c r="AG523" s="62" t="str">
        <f>IF(A523="","",IF(AF523&gt;0,"Facture",IF(AND(F523&lt;&gt;"",AA523="Facture",ISNUMBER(MATCH(F523,dv_num,0))),"Devis","")))</f>
        <v/>
      </c>
      <c r="AH523" s="62" t="str">
        <f>IF(AND(A523&lt;&gt;"",F523&lt;&gt;"",AA523&lt;&gt;"Avoir"),F523,"")</f>
        <v/>
      </c>
      <c r="AI523" s="62" t="str">
        <f>IF(AG523="Devis",F523,"")</f>
        <v/>
      </c>
      <c r="AJ523" s="62">
        <f>IF(AG523="Facture",SUMIF(fl_doc,A523,fl_ht),IF(AG523="Devis",SUMIF(dl_doc,F523,dl_ht),0))</f>
        <v>0.0</v>
      </c>
      <c r="AK523" s="62">
        <f>IF(OR(AG523="",INDEX(p_rates,1)=""),0,IF(AG523="Facture",SUMIFS(fl_ht,fl_doc,A523,fl_rate,INDEX(p_rates,1)),SUMIFS(dl_ht,dl_doc,F523,dl_rate,INDEX(p_rates,1))))</f>
        <v>0.0</v>
      </c>
      <c r="AL523" s="62">
        <f>IF(OR(AG523="",INDEX(p_rates,2)=""),0,IF(AG523="Facture",SUMIFS(fl_ht,fl_doc,A523,fl_rate,INDEX(p_rates,2)),SUMIFS(dl_ht,dl_doc,F523,dl_rate,INDEX(p_rates,2))))</f>
        <v>0.0</v>
      </c>
      <c r="AM523" s="62">
        <f>IF(OR(AG523="",INDEX(p_rates,3)=""),0,IF(AG523="Facture",SUMIFS(fl_ht,fl_doc,A523,fl_rate,INDEX(p_rates,3)),SUMIFS(dl_ht,dl_doc,F523,dl_rate,INDEX(p_rates,3))))</f>
        <v>0.0</v>
      </c>
      <c r="AN523" s="62">
        <f>IF(OR(AG523="",INDEX(p_rates,4)=""),0,IF(AG523="Facture",SUMIFS(fl_ht,fl_doc,A523,fl_rate,INDEX(p_rates,4)),SUMIFS(dl_ht,dl_doc,F523,dl_rate,INDEX(p_rates,4))))</f>
        <v>0.0</v>
      </c>
      <c r="AO523" s="62">
        <f>IF(OR(AG523="",INDEX(p_rates,5)=""),0,IF(AG523="Facture",SUMIFS(fl_ht,fl_doc,A523,fl_rate,INDEX(p_rates,5)),SUMIFS(dl_ht,dl_doc,F523,dl_rate,INDEX(p_rates,5))))</f>
        <v>0.0</v>
      </c>
      <c r="AP523" s="62">
        <f>IF(OR(AG523="",INDEX(p_rates,6)=""),0,IF(AG523="Facture",SUMIFS(fl_ht,fl_doc,A523,fl_rate,INDEX(p_rates,6)),SUMIFS(dl_ht,dl_doc,F523,dl_rate,INDEX(p_rates,6))))</f>
        <v>0.0</v>
      </c>
      <c r="AQ523" s="62">
        <f>ROUND(AK523*N(INDEX(p_rates,1)),2)+ROUND(AL523*N(INDEX(p_rates,2)),2)+ROUND(AM523*N(INDEX(p_rates,3)),2)+ROUND(AN523*N(INDEX(p_rates,4)),2)+ROUND(AO523*N(INDEX(p_rates,5)),2)+ROUND(AP523*N(INDEX(p_rates,6)),2)</f>
        <v>0.0</v>
      </c>
      <c r="AR523" s="62" t="str">
        <f>IF(OR(L523="",AA523&lt;&gt;"Facture"),"",IFERROR(IF(INDEX(fa_type,MATCH(L523,fa_num,0))="Facture d'acompte",MATCH(L523,fa_num,0),""),""))</f>
        <v/>
      </c>
      <c r="AS523" s="62" t="str">
        <f>IF(W523="","",IF(W523&lt;=0,"",IF(p_asof-P523&lt;=0,"Non échu",IF(p_asof-P523&lt;=30,"1-30 j",IF(p_asof-P523&lt;=60,"31-60 j",IF(p_asof-P523&lt;=90,"61-90 j","Plus de 90 j"))))))</f>
        <v/>
      </c>
      <c r="AT523" s="62" t="str">
        <f>IF(AS523="","",p_asof-P523)</f>
        <v/>
      </c>
      <c r="AU523" s="62" t="str">
        <f>IF(AT523="","",COUNTIF($AT$6:$AT$805,"&gt;"&amp;AT523)+COUNTIF($AT$6:AT523,AT523))</f>
        <v/>
      </c>
    </row>
    <row r="524">
      <c r="A524" s="59" t="str">
        <f>IF(AE524="","",AB524&amp;"-"&amp;AD524&amp;"-"&amp;RIGHT("000"&amp;AE524,4))</f>
        <v/>
      </c>
      <c r="B524" s="60" t="n"/>
      <c r="C524" s="61" t="n"/>
      <c r="D524" s="60" t="n"/>
      <c r="E524" s="62" t="str">
        <f>IF(D524="","",IFERROR(INDEX(cli_name,MATCH(D524,cli_code,0))&amp;"","Client inconnu"))</f>
        <v/>
      </c>
      <c r="F524" s="60" t="n"/>
      <c r="G524" s="63" t="n"/>
      <c r="H524" s="61" t="n"/>
      <c r="I524" s="63" t="n"/>
      <c r="J524" s="60" t="n"/>
      <c r="K524" s="61" t="n"/>
      <c r="L524" s="60" t="n"/>
      <c r="M524" s="60" t="n"/>
      <c r="N524" s="60" t="n"/>
      <c r="O524" s="61" t="n"/>
      <c r="P524" s="64" t="str">
        <f>IF(A524="","",IF(AA524="Avoir",AC524,IF(ISNUMBER(K524),K524,AC524+IF(D524="",N(p_delay),IFERROR(IF(ISNUMBER(INDEX(cli_delay,MATCH(D524,cli_code,0))),INDEX(cli_delay,MATCH(D524,cli_code,0)),N(p_delay)),N(p_delay))))))</f>
        <v/>
      </c>
      <c r="Q524" s="65" t="str">
        <f>IF(A524="","",IF(AA524="Avoir",-1,1)*ROUND(AJ524-IF(AR524="",0,INDEX(fa_htb,AR524)),2))</f>
        <v/>
      </c>
      <c r="R524" s="65" t="str">
        <f>IF(A524="","",IF(AA524="Avoir",-1,1)*ROUND(AQ524-IF(AR524="",0,INDEX(fa_tvab,AR524)),2))</f>
        <v/>
      </c>
      <c r="S524" s="65" t="str">
        <f>IF(A524="","",Q524+R524)</f>
        <v/>
      </c>
      <c r="T524" s="65" t="str">
        <f>IF(AR524="","",INDEX(fa_htb,AR524)+INDEX(fa_tvab,AR524))</f>
        <v/>
      </c>
      <c r="U524" s="65" t="str">
        <f>IF(A524="","",SUMIF(pa_inv,A524,pa_amt))</f>
        <v/>
      </c>
      <c r="V524" s="65" t="str">
        <f>IF(OR(A524="",AA524="Avoir"),"",-SUMIFS(fa_ttc,fa_avof,A524,fa_type,"Avoir"))</f>
        <v/>
      </c>
      <c r="W524" s="65" t="str">
        <f>IF(OR(A524="",AA524="Avoir"),"",ROUND(S524-U524-V524,2))</f>
        <v/>
      </c>
      <c r="X524" s="66" t="str">
        <f>IF(W524="","",IF(AND(W524&gt;0,p_asof&gt;P524),p_asof-P524,""))</f>
        <v/>
      </c>
      <c r="Y524" s="59" t="str">
        <f>IF(A524="","",IF(AA524="Avoir","Avoir",IF(W524&lt;0,"Trop-perçu",IF(W524=0,"Soldée",IF(p_asof&gt;P524,"En retard",IF(U524+V524&gt;0,"Partielle","À échoir"))))))</f>
        <v/>
      </c>
      <c r="Z524" s="59" t="str">
        <f>IF(NOT(COUNTA(B524:D524,F524:O524)&gt;0),"",IF(C524="","Date manquante",IF(NOT(ISNUMBER(C524)),"Date invalide",IF(D524="","Client manquant",IF(ISNA(MATCH(D524,cli_code,0)),"Client inconnu",IF(AC524&lt;SUMPRODUCT(MAX(($AB$6:AB523=AB524)*$AC$6:AC523)),"Date antérieure à la facture précédente",IF(AND(F524&lt;&gt;"",ISNA(MATCH(F524,dv_num,0))),"Devis inconnu",IF(AND(F524&lt;&gt;"",IFERROR(INDEX(dv_client,MATCH(F524,dv_num,0)),D524)&lt;&gt;D524),"Client différent de celui du devis",IF(AG524="","Aucune ligne : saisissez des lignes ou un devis",IF(AND(AI524&lt;&gt;"",COUNTIF($AI$6:AI524,AI524)&gt;1),"Devis déjà repris par une autre facture",IF(AND(AA524="Avoir",M524=""),"Avoir : indiquez la facture d'origine",IF(AND(AA524="Avoir",ISNA(MATCH(M524,fa_num,0))),"Facture d'origine inconnue",IF(AND(AA524&lt;&gt;"Avoir",M524&lt;&gt;""),"« Avoir sur facture » : réservé aux avoirs",IF(AND(L524&lt;&gt;"",AA524&lt;&gt;"Facture"),"Acompte à déduire : réservé aux factures",IF(AND(L524&lt;&gt;"",ISNA(MATCH(L524,fa_num,0))),"Facture d'acompte inconnue",IF(AND(L524&lt;&gt;"",IFERROR(INDEX(fa_type,MATCH(L524,fa_num,0)),"")&lt;&gt;"Facture d'acompte"),"Le n° à déduire n'est pas une facture d'acompte",IF(AND(L524&lt;&gt;"",COUNTIF($L$6:L524,L524)&gt;1),"Acompte déjà déduit sur une autre facture",IF(AND(L524&lt;&gt;"",IFERROR(INDEX(fa_client,MATCH(L524,fa_num,0)),D524)&lt;&gt;D524),"Acompte d'un autre client",IF(AND(AR524&lt;&gt;"",N(Q524)&lt;0),"Acompte supérieur au total de la facture",IF(IF(AG524="Facture",COUNTIFS(fl_doc,A524,fl_check,"&lt;&gt;OK"),IF(AG524="Devis",COUNTIFS(dl_doc,F524,dl_check,"&lt;&gt;OK"),0))&gt;0,"Ligne(s) à corriger",IF(AND(W524&lt;&gt;"",N(W524)&lt;0),"Trop-perçu : vérifiez paiements et avoirs","OK")))))))))))))))))))))</f>
        <v/>
      </c>
      <c r="AA524" s="62" t="str">
        <f>IF(COUNTA(B524:D524,F524:O524)&gt;0,IF(B524="","Facture",B524),"")</f>
        <v/>
      </c>
      <c r="AB524" s="62" t="str">
        <f>IF(AA524="","",IF(AA524="Avoir",p_pav,IF(AA524="Facture d'acompte",p_pac,p_pfa)))</f>
        <v/>
      </c>
      <c r="AC524" s="62">
        <f>IF(ISNUMBER(C524),C524,0)</f>
        <v>0.0</v>
      </c>
      <c r="AD524" s="62" t="str">
        <f>IF(OR(AA524="",AC524=0),"",YEAR(AC524))</f>
        <v/>
      </c>
      <c r="AE524" s="62" t="str">
        <f>IF(AD524="","",COUNTIFS($AB$6:AB524,AB524,$AD$6:AD524,AD524))</f>
        <v/>
      </c>
      <c r="AF524" s="62">
        <f>IF(A524="",0,COUNTIF(fl_doc,A524))</f>
        <v>0.0</v>
      </c>
      <c r="AG524" s="62" t="str">
        <f>IF(A524="","",IF(AF524&gt;0,"Facture",IF(AND(F524&lt;&gt;"",AA524="Facture",ISNUMBER(MATCH(F524,dv_num,0))),"Devis","")))</f>
        <v/>
      </c>
      <c r="AH524" s="62" t="str">
        <f>IF(AND(A524&lt;&gt;"",F524&lt;&gt;"",AA524&lt;&gt;"Avoir"),F524,"")</f>
        <v/>
      </c>
      <c r="AI524" s="62" t="str">
        <f>IF(AG524="Devis",F524,"")</f>
        <v/>
      </c>
      <c r="AJ524" s="62">
        <f>IF(AG524="Facture",SUMIF(fl_doc,A524,fl_ht),IF(AG524="Devis",SUMIF(dl_doc,F524,dl_ht),0))</f>
        <v>0.0</v>
      </c>
      <c r="AK524" s="62">
        <f>IF(OR(AG524="",INDEX(p_rates,1)=""),0,IF(AG524="Facture",SUMIFS(fl_ht,fl_doc,A524,fl_rate,INDEX(p_rates,1)),SUMIFS(dl_ht,dl_doc,F524,dl_rate,INDEX(p_rates,1))))</f>
        <v>0.0</v>
      </c>
      <c r="AL524" s="62">
        <f>IF(OR(AG524="",INDEX(p_rates,2)=""),0,IF(AG524="Facture",SUMIFS(fl_ht,fl_doc,A524,fl_rate,INDEX(p_rates,2)),SUMIFS(dl_ht,dl_doc,F524,dl_rate,INDEX(p_rates,2))))</f>
        <v>0.0</v>
      </c>
      <c r="AM524" s="62">
        <f>IF(OR(AG524="",INDEX(p_rates,3)=""),0,IF(AG524="Facture",SUMIFS(fl_ht,fl_doc,A524,fl_rate,INDEX(p_rates,3)),SUMIFS(dl_ht,dl_doc,F524,dl_rate,INDEX(p_rates,3))))</f>
        <v>0.0</v>
      </c>
      <c r="AN524" s="62">
        <f>IF(OR(AG524="",INDEX(p_rates,4)=""),0,IF(AG524="Facture",SUMIFS(fl_ht,fl_doc,A524,fl_rate,INDEX(p_rates,4)),SUMIFS(dl_ht,dl_doc,F524,dl_rate,INDEX(p_rates,4))))</f>
        <v>0.0</v>
      </c>
      <c r="AO524" s="62">
        <f>IF(OR(AG524="",INDEX(p_rates,5)=""),0,IF(AG524="Facture",SUMIFS(fl_ht,fl_doc,A524,fl_rate,INDEX(p_rates,5)),SUMIFS(dl_ht,dl_doc,F524,dl_rate,INDEX(p_rates,5))))</f>
        <v>0.0</v>
      </c>
      <c r="AP524" s="62">
        <f>IF(OR(AG524="",INDEX(p_rates,6)=""),0,IF(AG524="Facture",SUMIFS(fl_ht,fl_doc,A524,fl_rate,INDEX(p_rates,6)),SUMIFS(dl_ht,dl_doc,F524,dl_rate,INDEX(p_rates,6))))</f>
        <v>0.0</v>
      </c>
      <c r="AQ524" s="62">
        <f>ROUND(AK524*N(INDEX(p_rates,1)),2)+ROUND(AL524*N(INDEX(p_rates,2)),2)+ROUND(AM524*N(INDEX(p_rates,3)),2)+ROUND(AN524*N(INDEX(p_rates,4)),2)+ROUND(AO524*N(INDEX(p_rates,5)),2)+ROUND(AP524*N(INDEX(p_rates,6)),2)</f>
        <v>0.0</v>
      </c>
      <c r="AR524" s="62" t="str">
        <f>IF(OR(L524="",AA524&lt;&gt;"Facture"),"",IFERROR(IF(INDEX(fa_type,MATCH(L524,fa_num,0))="Facture d'acompte",MATCH(L524,fa_num,0),""),""))</f>
        <v/>
      </c>
      <c r="AS524" s="62" t="str">
        <f>IF(W524="","",IF(W524&lt;=0,"",IF(p_asof-P524&lt;=0,"Non échu",IF(p_asof-P524&lt;=30,"1-30 j",IF(p_asof-P524&lt;=60,"31-60 j",IF(p_asof-P524&lt;=90,"61-90 j","Plus de 90 j"))))))</f>
        <v/>
      </c>
      <c r="AT524" s="62" t="str">
        <f>IF(AS524="","",p_asof-P524)</f>
        <v/>
      </c>
      <c r="AU524" s="62" t="str">
        <f>IF(AT524="","",COUNTIF($AT$6:$AT$805,"&gt;"&amp;AT524)+COUNTIF($AT$6:AT524,AT524))</f>
        <v/>
      </c>
    </row>
    <row r="525">
      <c r="A525" s="59" t="str">
        <f>IF(AE525="","",AB525&amp;"-"&amp;AD525&amp;"-"&amp;RIGHT("000"&amp;AE525,4))</f>
        <v/>
      </c>
      <c r="B525" s="60" t="n"/>
      <c r="C525" s="61" t="n"/>
      <c r="D525" s="60" t="n"/>
      <c r="E525" s="62" t="str">
        <f>IF(D525="","",IFERROR(INDEX(cli_name,MATCH(D525,cli_code,0))&amp;"","Client inconnu"))</f>
        <v/>
      </c>
      <c r="F525" s="60" t="n"/>
      <c r="G525" s="63" t="n"/>
      <c r="H525" s="61" t="n"/>
      <c r="I525" s="63" t="n"/>
      <c r="J525" s="60" t="n"/>
      <c r="K525" s="61" t="n"/>
      <c r="L525" s="60" t="n"/>
      <c r="M525" s="60" t="n"/>
      <c r="N525" s="60" t="n"/>
      <c r="O525" s="61" t="n"/>
      <c r="P525" s="64" t="str">
        <f>IF(A525="","",IF(AA525="Avoir",AC525,IF(ISNUMBER(K525),K525,AC525+IF(D525="",N(p_delay),IFERROR(IF(ISNUMBER(INDEX(cli_delay,MATCH(D525,cli_code,0))),INDEX(cli_delay,MATCH(D525,cli_code,0)),N(p_delay)),N(p_delay))))))</f>
        <v/>
      </c>
      <c r="Q525" s="65" t="str">
        <f>IF(A525="","",IF(AA525="Avoir",-1,1)*ROUND(AJ525-IF(AR525="",0,INDEX(fa_htb,AR525)),2))</f>
        <v/>
      </c>
      <c r="R525" s="65" t="str">
        <f>IF(A525="","",IF(AA525="Avoir",-1,1)*ROUND(AQ525-IF(AR525="",0,INDEX(fa_tvab,AR525)),2))</f>
        <v/>
      </c>
      <c r="S525" s="65" t="str">
        <f>IF(A525="","",Q525+R525)</f>
        <v/>
      </c>
      <c r="T525" s="65" t="str">
        <f>IF(AR525="","",INDEX(fa_htb,AR525)+INDEX(fa_tvab,AR525))</f>
        <v/>
      </c>
      <c r="U525" s="65" t="str">
        <f>IF(A525="","",SUMIF(pa_inv,A525,pa_amt))</f>
        <v/>
      </c>
      <c r="V525" s="65" t="str">
        <f>IF(OR(A525="",AA525="Avoir"),"",-SUMIFS(fa_ttc,fa_avof,A525,fa_type,"Avoir"))</f>
        <v/>
      </c>
      <c r="W525" s="65" t="str">
        <f>IF(OR(A525="",AA525="Avoir"),"",ROUND(S525-U525-V525,2))</f>
        <v/>
      </c>
      <c r="X525" s="66" t="str">
        <f>IF(W525="","",IF(AND(W525&gt;0,p_asof&gt;P525),p_asof-P525,""))</f>
        <v/>
      </c>
      <c r="Y525" s="59" t="str">
        <f>IF(A525="","",IF(AA525="Avoir","Avoir",IF(W525&lt;0,"Trop-perçu",IF(W525=0,"Soldée",IF(p_asof&gt;P525,"En retard",IF(U525+V525&gt;0,"Partielle","À échoir"))))))</f>
        <v/>
      </c>
      <c r="Z525" s="59" t="str">
        <f>IF(NOT(COUNTA(B525:D525,F525:O525)&gt;0),"",IF(C525="","Date manquante",IF(NOT(ISNUMBER(C525)),"Date invalide",IF(D525="","Client manquant",IF(ISNA(MATCH(D525,cli_code,0)),"Client inconnu",IF(AC525&lt;SUMPRODUCT(MAX(($AB$6:AB524=AB525)*$AC$6:AC524)),"Date antérieure à la facture précédente",IF(AND(F525&lt;&gt;"",ISNA(MATCH(F525,dv_num,0))),"Devis inconnu",IF(AND(F525&lt;&gt;"",IFERROR(INDEX(dv_client,MATCH(F525,dv_num,0)),D525)&lt;&gt;D525),"Client différent de celui du devis",IF(AG525="","Aucune ligne : saisissez des lignes ou un devis",IF(AND(AI525&lt;&gt;"",COUNTIF($AI$6:AI525,AI525)&gt;1),"Devis déjà repris par une autre facture",IF(AND(AA525="Avoir",M525=""),"Avoir : indiquez la facture d'origine",IF(AND(AA525="Avoir",ISNA(MATCH(M525,fa_num,0))),"Facture d'origine inconnue",IF(AND(AA525&lt;&gt;"Avoir",M525&lt;&gt;""),"« Avoir sur facture » : réservé aux avoirs",IF(AND(L525&lt;&gt;"",AA525&lt;&gt;"Facture"),"Acompte à déduire : réservé aux factures",IF(AND(L525&lt;&gt;"",ISNA(MATCH(L525,fa_num,0))),"Facture d'acompte inconnue",IF(AND(L525&lt;&gt;"",IFERROR(INDEX(fa_type,MATCH(L525,fa_num,0)),"")&lt;&gt;"Facture d'acompte"),"Le n° à déduire n'est pas une facture d'acompte",IF(AND(L525&lt;&gt;"",COUNTIF($L$6:L525,L525)&gt;1),"Acompte déjà déduit sur une autre facture",IF(AND(L525&lt;&gt;"",IFERROR(INDEX(fa_client,MATCH(L525,fa_num,0)),D525)&lt;&gt;D525),"Acompte d'un autre client",IF(AND(AR525&lt;&gt;"",N(Q525)&lt;0),"Acompte supérieur au total de la facture",IF(IF(AG525="Facture",COUNTIFS(fl_doc,A525,fl_check,"&lt;&gt;OK"),IF(AG525="Devis",COUNTIFS(dl_doc,F525,dl_check,"&lt;&gt;OK"),0))&gt;0,"Ligne(s) à corriger",IF(AND(W525&lt;&gt;"",N(W525)&lt;0),"Trop-perçu : vérifiez paiements et avoirs","OK")))))))))))))))))))))</f>
        <v/>
      </c>
      <c r="AA525" s="62" t="str">
        <f>IF(COUNTA(B525:D525,F525:O525)&gt;0,IF(B525="","Facture",B525),"")</f>
        <v/>
      </c>
      <c r="AB525" s="62" t="str">
        <f>IF(AA525="","",IF(AA525="Avoir",p_pav,IF(AA525="Facture d'acompte",p_pac,p_pfa)))</f>
        <v/>
      </c>
      <c r="AC525" s="62">
        <f>IF(ISNUMBER(C525),C525,0)</f>
        <v>0.0</v>
      </c>
      <c r="AD525" s="62" t="str">
        <f>IF(OR(AA525="",AC525=0),"",YEAR(AC525))</f>
        <v/>
      </c>
      <c r="AE525" s="62" t="str">
        <f>IF(AD525="","",COUNTIFS($AB$6:AB525,AB525,$AD$6:AD525,AD525))</f>
        <v/>
      </c>
      <c r="AF525" s="62">
        <f>IF(A525="",0,COUNTIF(fl_doc,A525))</f>
        <v>0.0</v>
      </c>
      <c r="AG525" s="62" t="str">
        <f>IF(A525="","",IF(AF525&gt;0,"Facture",IF(AND(F525&lt;&gt;"",AA525="Facture",ISNUMBER(MATCH(F525,dv_num,0))),"Devis","")))</f>
        <v/>
      </c>
      <c r="AH525" s="62" t="str">
        <f>IF(AND(A525&lt;&gt;"",F525&lt;&gt;"",AA525&lt;&gt;"Avoir"),F525,"")</f>
        <v/>
      </c>
      <c r="AI525" s="62" t="str">
        <f>IF(AG525="Devis",F525,"")</f>
        <v/>
      </c>
      <c r="AJ525" s="62">
        <f>IF(AG525="Facture",SUMIF(fl_doc,A525,fl_ht),IF(AG525="Devis",SUMIF(dl_doc,F525,dl_ht),0))</f>
        <v>0.0</v>
      </c>
      <c r="AK525" s="62">
        <f>IF(OR(AG525="",INDEX(p_rates,1)=""),0,IF(AG525="Facture",SUMIFS(fl_ht,fl_doc,A525,fl_rate,INDEX(p_rates,1)),SUMIFS(dl_ht,dl_doc,F525,dl_rate,INDEX(p_rates,1))))</f>
        <v>0.0</v>
      </c>
      <c r="AL525" s="62">
        <f>IF(OR(AG525="",INDEX(p_rates,2)=""),0,IF(AG525="Facture",SUMIFS(fl_ht,fl_doc,A525,fl_rate,INDEX(p_rates,2)),SUMIFS(dl_ht,dl_doc,F525,dl_rate,INDEX(p_rates,2))))</f>
        <v>0.0</v>
      </c>
      <c r="AM525" s="62">
        <f>IF(OR(AG525="",INDEX(p_rates,3)=""),0,IF(AG525="Facture",SUMIFS(fl_ht,fl_doc,A525,fl_rate,INDEX(p_rates,3)),SUMIFS(dl_ht,dl_doc,F525,dl_rate,INDEX(p_rates,3))))</f>
        <v>0.0</v>
      </c>
      <c r="AN525" s="62">
        <f>IF(OR(AG525="",INDEX(p_rates,4)=""),0,IF(AG525="Facture",SUMIFS(fl_ht,fl_doc,A525,fl_rate,INDEX(p_rates,4)),SUMIFS(dl_ht,dl_doc,F525,dl_rate,INDEX(p_rates,4))))</f>
        <v>0.0</v>
      </c>
      <c r="AO525" s="62">
        <f>IF(OR(AG525="",INDEX(p_rates,5)=""),0,IF(AG525="Facture",SUMIFS(fl_ht,fl_doc,A525,fl_rate,INDEX(p_rates,5)),SUMIFS(dl_ht,dl_doc,F525,dl_rate,INDEX(p_rates,5))))</f>
        <v>0.0</v>
      </c>
      <c r="AP525" s="62">
        <f>IF(OR(AG525="",INDEX(p_rates,6)=""),0,IF(AG525="Facture",SUMIFS(fl_ht,fl_doc,A525,fl_rate,INDEX(p_rates,6)),SUMIFS(dl_ht,dl_doc,F525,dl_rate,INDEX(p_rates,6))))</f>
        <v>0.0</v>
      </c>
      <c r="AQ525" s="62">
        <f>ROUND(AK525*N(INDEX(p_rates,1)),2)+ROUND(AL525*N(INDEX(p_rates,2)),2)+ROUND(AM525*N(INDEX(p_rates,3)),2)+ROUND(AN525*N(INDEX(p_rates,4)),2)+ROUND(AO525*N(INDEX(p_rates,5)),2)+ROUND(AP525*N(INDEX(p_rates,6)),2)</f>
        <v>0.0</v>
      </c>
      <c r="AR525" s="62" t="str">
        <f>IF(OR(L525="",AA525&lt;&gt;"Facture"),"",IFERROR(IF(INDEX(fa_type,MATCH(L525,fa_num,0))="Facture d'acompte",MATCH(L525,fa_num,0),""),""))</f>
        <v/>
      </c>
      <c r="AS525" s="62" t="str">
        <f>IF(W525="","",IF(W525&lt;=0,"",IF(p_asof-P525&lt;=0,"Non échu",IF(p_asof-P525&lt;=30,"1-30 j",IF(p_asof-P525&lt;=60,"31-60 j",IF(p_asof-P525&lt;=90,"61-90 j","Plus de 90 j"))))))</f>
        <v/>
      </c>
      <c r="AT525" s="62" t="str">
        <f>IF(AS525="","",p_asof-P525)</f>
        <v/>
      </c>
      <c r="AU525" s="62" t="str">
        <f>IF(AT525="","",COUNTIF($AT$6:$AT$805,"&gt;"&amp;AT525)+COUNTIF($AT$6:AT525,AT525))</f>
        <v/>
      </c>
    </row>
    <row r="526">
      <c r="A526" s="59" t="str">
        <f>IF(AE526="","",AB526&amp;"-"&amp;AD526&amp;"-"&amp;RIGHT("000"&amp;AE526,4))</f>
        <v/>
      </c>
      <c r="B526" s="60" t="n"/>
      <c r="C526" s="61" t="n"/>
      <c r="D526" s="60" t="n"/>
      <c r="E526" s="62" t="str">
        <f>IF(D526="","",IFERROR(INDEX(cli_name,MATCH(D526,cli_code,0))&amp;"","Client inconnu"))</f>
        <v/>
      </c>
      <c r="F526" s="60" t="n"/>
      <c r="G526" s="63" t="n"/>
      <c r="H526" s="61" t="n"/>
      <c r="I526" s="63" t="n"/>
      <c r="J526" s="60" t="n"/>
      <c r="K526" s="61" t="n"/>
      <c r="L526" s="60" t="n"/>
      <c r="M526" s="60" t="n"/>
      <c r="N526" s="60" t="n"/>
      <c r="O526" s="61" t="n"/>
      <c r="P526" s="64" t="str">
        <f>IF(A526="","",IF(AA526="Avoir",AC526,IF(ISNUMBER(K526),K526,AC526+IF(D526="",N(p_delay),IFERROR(IF(ISNUMBER(INDEX(cli_delay,MATCH(D526,cli_code,0))),INDEX(cli_delay,MATCH(D526,cli_code,0)),N(p_delay)),N(p_delay))))))</f>
        <v/>
      </c>
      <c r="Q526" s="65" t="str">
        <f>IF(A526="","",IF(AA526="Avoir",-1,1)*ROUND(AJ526-IF(AR526="",0,INDEX(fa_htb,AR526)),2))</f>
        <v/>
      </c>
      <c r="R526" s="65" t="str">
        <f>IF(A526="","",IF(AA526="Avoir",-1,1)*ROUND(AQ526-IF(AR526="",0,INDEX(fa_tvab,AR526)),2))</f>
        <v/>
      </c>
      <c r="S526" s="65" t="str">
        <f>IF(A526="","",Q526+R526)</f>
        <v/>
      </c>
      <c r="T526" s="65" t="str">
        <f>IF(AR526="","",INDEX(fa_htb,AR526)+INDEX(fa_tvab,AR526))</f>
        <v/>
      </c>
      <c r="U526" s="65" t="str">
        <f>IF(A526="","",SUMIF(pa_inv,A526,pa_amt))</f>
        <v/>
      </c>
      <c r="V526" s="65" t="str">
        <f>IF(OR(A526="",AA526="Avoir"),"",-SUMIFS(fa_ttc,fa_avof,A526,fa_type,"Avoir"))</f>
        <v/>
      </c>
      <c r="W526" s="65" t="str">
        <f>IF(OR(A526="",AA526="Avoir"),"",ROUND(S526-U526-V526,2))</f>
        <v/>
      </c>
      <c r="X526" s="66" t="str">
        <f>IF(W526="","",IF(AND(W526&gt;0,p_asof&gt;P526),p_asof-P526,""))</f>
        <v/>
      </c>
      <c r="Y526" s="59" t="str">
        <f>IF(A526="","",IF(AA526="Avoir","Avoir",IF(W526&lt;0,"Trop-perçu",IF(W526=0,"Soldée",IF(p_asof&gt;P526,"En retard",IF(U526+V526&gt;0,"Partielle","À échoir"))))))</f>
        <v/>
      </c>
      <c r="Z526" s="59" t="str">
        <f>IF(NOT(COUNTA(B526:D526,F526:O526)&gt;0),"",IF(C526="","Date manquante",IF(NOT(ISNUMBER(C526)),"Date invalide",IF(D526="","Client manquant",IF(ISNA(MATCH(D526,cli_code,0)),"Client inconnu",IF(AC526&lt;SUMPRODUCT(MAX(($AB$6:AB525=AB526)*$AC$6:AC525)),"Date antérieure à la facture précédente",IF(AND(F526&lt;&gt;"",ISNA(MATCH(F526,dv_num,0))),"Devis inconnu",IF(AND(F526&lt;&gt;"",IFERROR(INDEX(dv_client,MATCH(F526,dv_num,0)),D526)&lt;&gt;D526),"Client différent de celui du devis",IF(AG526="","Aucune ligne : saisissez des lignes ou un devis",IF(AND(AI526&lt;&gt;"",COUNTIF($AI$6:AI526,AI526)&gt;1),"Devis déjà repris par une autre facture",IF(AND(AA526="Avoir",M526=""),"Avoir : indiquez la facture d'origine",IF(AND(AA526="Avoir",ISNA(MATCH(M526,fa_num,0))),"Facture d'origine inconnue",IF(AND(AA526&lt;&gt;"Avoir",M526&lt;&gt;""),"« Avoir sur facture » : réservé aux avoirs",IF(AND(L526&lt;&gt;"",AA526&lt;&gt;"Facture"),"Acompte à déduire : réservé aux factures",IF(AND(L526&lt;&gt;"",ISNA(MATCH(L526,fa_num,0))),"Facture d'acompte inconnue",IF(AND(L526&lt;&gt;"",IFERROR(INDEX(fa_type,MATCH(L526,fa_num,0)),"")&lt;&gt;"Facture d'acompte"),"Le n° à déduire n'est pas une facture d'acompte",IF(AND(L526&lt;&gt;"",COUNTIF($L$6:L526,L526)&gt;1),"Acompte déjà déduit sur une autre facture",IF(AND(L526&lt;&gt;"",IFERROR(INDEX(fa_client,MATCH(L526,fa_num,0)),D526)&lt;&gt;D526),"Acompte d'un autre client",IF(AND(AR526&lt;&gt;"",N(Q526)&lt;0),"Acompte supérieur au total de la facture",IF(IF(AG526="Facture",COUNTIFS(fl_doc,A526,fl_check,"&lt;&gt;OK"),IF(AG526="Devis",COUNTIFS(dl_doc,F526,dl_check,"&lt;&gt;OK"),0))&gt;0,"Ligne(s) à corriger",IF(AND(W526&lt;&gt;"",N(W526)&lt;0),"Trop-perçu : vérifiez paiements et avoirs","OK")))))))))))))))))))))</f>
        <v/>
      </c>
      <c r="AA526" s="62" t="str">
        <f>IF(COUNTA(B526:D526,F526:O526)&gt;0,IF(B526="","Facture",B526),"")</f>
        <v/>
      </c>
      <c r="AB526" s="62" t="str">
        <f>IF(AA526="","",IF(AA526="Avoir",p_pav,IF(AA526="Facture d'acompte",p_pac,p_pfa)))</f>
        <v/>
      </c>
      <c r="AC526" s="62">
        <f>IF(ISNUMBER(C526),C526,0)</f>
        <v>0.0</v>
      </c>
      <c r="AD526" s="62" t="str">
        <f>IF(OR(AA526="",AC526=0),"",YEAR(AC526))</f>
        <v/>
      </c>
      <c r="AE526" s="62" t="str">
        <f>IF(AD526="","",COUNTIFS($AB$6:AB526,AB526,$AD$6:AD526,AD526))</f>
        <v/>
      </c>
      <c r="AF526" s="62">
        <f>IF(A526="",0,COUNTIF(fl_doc,A526))</f>
        <v>0.0</v>
      </c>
      <c r="AG526" s="62" t="str">
        <f>IF(A526="","",IF(AF526&gt;0,"Facture",IF(AND(F526&lt;&gt;"",AA526="Facture",ISNUMBER(MATCH(F526,dv_num,0))),"Devis","")))</f>
        <v/>
      </c>
      <c r="AH526" s="62" t="str">
        <f>IF(AND(A526&lt;&gt;"",F526&lt;&gt;"",AA526&lt;&gt;"Avoir"),F526,"")</f>
        <v/>
      </c>
      <c r="AI526" s="62" t="str">
        <f>IF(AG526="Devis",F526,"")</f>
        <v/>
      </c>
      <c r="AJ526" s="62">
        <f>IF(AG526="Facture",SUMIF(fl_doc,A526,fl_ht),IF(AG526="Devis",SUMIF(dl_doc,F526,dl_ht),0))</f>
        <v>0.0</v>
      </c>
      <c r="AK526" s="62">
        <f>IF(OR(AG526="",INDEX(p_rates,1)=""),0,IF(AG526="Facture",SUMIFS(fl_ht,fl_doc,A526,fl_rate,INDEX(p_rates,1)),SUMIFS(dl_ht,dl_doc,F526,dl_rate,INDEX(p_rates,1))))</f>
        <v>0.0</v>
      </c>
      <c r="AL526" s="62">
        <f>IF(OR(AG526="",INDEX(p_rates,2)=""),0,IF(AG526="Facture",SUMIFS(fl_ht,fl_doc,A526,fl_rate,INDEX(p_rates,2)),SUMIFS(dl_ht,dl_doc,F526,dl_rate,INDEX(p_rates,2))))</f>
        <v>0.0</v>
      </c>
      <c r="AM526" s="62">
        <f>IF(OR(AG526="",INDEX(p_rates,3)=""),0,IF(AG526="Facture",SUMIFS(fl_ht,fl_doc,A526,fl_rate,INDEX(p_rates,3)),SUMIFS(dl_ht,dl_doc,F526,dl_rate,INDEX(p_rates,3))))</f>
        <v>0.0</v>
      </c>
      <c r="AN526" s="62">
        <f>IF(OR(AG526="",INDEX(p_rates,4)=""),0,IF(AG526="Facture",SUMIFS(fl_ht,fl_doc,A526,fl_rate,INDEX(p_rates,4)),SUMIFS(dl_ht,dl_doc,F526,dl_rate,INDEX(p_rates,4))))</f>
        <v>0.0</v>
      </c>
      <c r="AO526" s="62">
        <f>IF(OR(AG526="",INDEX(p_rates,5)=""),0,IF(AG526="Facture",SUMIFS(fl_ht,fl_doc,A526,fl_rate,INDEX(p_rates,5)),SUMIFS(dl_ht,dl_doc,F526,dl_rate,INDEX(p_rates,5))))</f>
        <v>0.0</v>
      </c>
      <c r="AP526" s="62">
        <f>IF(OR(AG526="",INDEX(p_rates,6)=""),0,IF(AG526="Facture",SUMIFS(fl_ht,fl_doc,A526,fl_rate,INDEX(p_rates,6)),SUMIFS(dl_ht,dl_doc,F526,dl_rate,INDEX(p_rates,6))))</f>
        <v>0.0</v>
      </c>
      <c r="AQ526" s="62">
        <f>ROUND(AK526*N(INDEX(p_rates,1)),2)+ROUND(AL526*N(INDEX(p_rates,2)),2)+ROUND(AM526*N(INDEX(p_rates,3)),2)+ROUND(AN526*N(INDEX(p_rates,4)),2)+ROUND(AO526*N(INDEX(p_rates,5)),2)+ROUND(AP526*N(INDEX(p_rates,6)),2)</f>
        <v>0.0</v>
      </c>
      <c r="AR526" s="62" t="str">
        <f>IF(OR(L526="",AA526&lt;&gt;"Facture"),"",IFERROR(IF(INDEX(fa_type,MATCH(L526,fa_num,0))="Facture d'acompte",MATCH(L526,fa_num,0),""),""))</f>
        <v/>
      </c>
      <c r="AS526" s="62" t="str">
        <f>IF(W526="","",IF(W526&lt;=0,"",IF(p_asof-P526&lt;=0,"Non échu",IF(p_asof-P526&lt;=30,"1-30 j",IF(p_asof-P526&lt;=60,"31-60 j",IF(p_asof-P526&lt;=90,"61-90 j","Plus de 90 j"))))))</f>
        <v/>
      </c>
      <c r="AT526" s="62" t="str">
        <f>IF(AS526="","",p_asof-P526)</f>
        <v/>
      </c>
      <c r="AU526" s="62" t="str">
        <f>IF(AT526="","",COUNTIF($AT$6:$AT$805,"&gt;"&amp;AT526)+COUNTIF($AT$6:AT526,AT526))</f>
        <v/>
      </c>
    </row>
    <row r="527">
      <c r="A527" s="59" t="str">
        <f>IF(AE527="","",AB527&amp;"-"&amp;AD527&amp;"-"&amp;RIGHT("000"&amp;AE527,4))</f>
        <v/>
      </c>
      <c r="B527" s="60" t="n"/>
      <c r="C527" s="61" t="n"/>
      <c r="D527" s="60" t="n"/>
      <c r="E527" s="62" t="str">
        <f>IF(D527="","",IFERROR(INDEX(cli_name,MATCH(D527,cli_code,0))&amp;"","Client inconnu"))</f>
        <v/>
      </c>
      <c r="F527" s="60" t="n"/>
      <c r="G527" s="63" t="n"/>
      <c r="H527" s="61" t="n"/>
      <c r="I527" s="63" t="n"/>
      <c r="J527" s="60" t="n"/>
      <c r="K527" s="61" t="n"/>
      <c r="L527" s="60" t="n"/>
      <c r="M527" s="60" t="n"/>
      <c r="N527" s="60" t="n"/>
      <c r="O527" s="61" t="n"/>
      <c r="P527" s="64" t="str">
        <f>IF(A527="","",IF(AA527="Avoir",AC527,IF(ISNUMBER(K527),K527,AC527+IF(D527="",N(p_delay),IFERROR(IF(ISNUMBER(INDEX(cli_delay,MATCH(D527,cli_code,0))),INDEX(cli_delay,MATCH(D527,cli_code,0)),N(p_delay)),N(p_delay))))))</f>
        <v/>
      </c>
      <c r="Q527" s="65" t="str">
        <f>IF(A527="","",IF(AA527="Avoir",-1,1)*ROUND(AJ527-IF(AR527="",0,INDEX(fa_htb,AR527)),2))</f>
        <v/>
      </c>
      <c r="R527" s="65" t="str">
        <f>IF(A527="","",IF(AA527="Avoir",-1,1)*ROUND(AQ527-IF(AR527="",0,INDEX(fa_tvab,AR527)),2))</f>
        <v/>
      </c>
      <c r="S527" s="65" t="str">
        <f>IF(A527="","",Q527+R527)</f>
        <v/>
      </c>
      <c r="T527" s="65" t="str">
        <f>IF(AR527="","",INDEX(fa_htb,AR527)+INDEX(fa_tvab,AR527))</f>
        <v/>
      </c>
      <c r="U527" s="65" t="str">
        <f>IF(A527="","",SUMIF(pa_inv,A527,pa_amt))</f>
        <v/>
      </c>
      <c r="V527" s="65" t="str">
        <f>IF(OR(A527="",AA527="Avoir"),"",-SUMIFS(fa_ttc,fa_avof,A527,fa_type,"Avoir"))</f>
        <v/>
      </c>
      <c r="W527" s="65" t="str">
        <f>IF(OR(A527="",AA527="Avoir"),"",ROUND(S527-U527-V527,2))</f>
        <v/>
      </c>
      <c r="X527" s="66" t="str">
        <f>IF(W527="","",IF(AND(W527&gt;0,p_asof&gt;P527),p_asof-P527,""))</f>
        <v/>
      </c>
      <c r="Y527" s="59" t="str">
        <f>IF(A527="","",IF(AA527="Avoir","Avoir",IF(W527&lt;0,"Trop-perçu",IF(W527=0,"Soldée",IF(p_asof&gt;P527,"En retard",IF(U527+V527&gt;0,"Partielle","À échoir"))))))</f>
        <v/>
      </c>
      <c r="Z527" s="59" t="str">
        <f>IF(NOT(COUNTA(B527:D527,F527:O527)&gt;0),"",IF(C527="","Date manquante",IF(NOT(ISNUMBER(C527)),"Date invalide",IF(D527="","Client manquant",IF(ISNA(MATCH(D527,cli_code,0)),"Client inconnu",IF(AC527&lt;SUMPRODUCT(MAX(($AB$6:AB526=AB527)*$AC$6:AC526)),"Date antérieure à la facture précédente",IF(AND(F527&lt;&gt;"",ISNA(MATCH(F527,dv_num,0))),"Devis inconnu",IF(AND(F527&lt;&gt;"",IFERROR(INDEX(dv_client,MATCH(F527,dv_num,0)),D527)&lt;&gt;D527),"Client différent de celui du devis",IF(AG527="","Aucune ligne : saisissez des lignes ou un devis",IF(AND(AI527&lt;&gt;"",COUNTIF($AI$6:AI527,AI527)&gt;1),"Devis déjà repris par une autre facture",IF(AND(AA527="Avoir",M527=""),"Avoir : indiquez la facture d'origine",IF(AND(AA527="Avoir",ISNA(MATCH(M527,fa_num,0))),"Facture d'origine inconnue",IF(AND(AA527&lt;&gt;"Avoir",M527&lt;&gt;""),"« Avoir sur facture » : réservé aux avoirs",IF(AND(L527&lt;&gt;"",AA527&lt;&gt;"Facture"),"Acompte à déduire : réservé aux factures",IF(AND(L527&lt;&gt;"",ISNA(MATCH(L527,fa_num,0))),"Facture d'acompte inconnue",IF(AND(L527&lt;&gt;"",IFERROR(INDEX(fa_type,MATCH(L527,fa_num,0)),"")&lt;&gt;"Facture d'acompte"),"Le n° à déduire n'est pas une facture d'acompte",IF(AND(L527&lt;&gt;"",COUNTIF($L$6:L527,L527)&gt;1),"Acompte déjà déduit sur une autre facture",IF(AND(L527&lt;&gt;"",IFERROR(INDEX(fa_client,MATCH(L527,fa_num,0)),D527)&lt;&gt;D527),"Acompte d'un autre client",IF(AND(AR527&lt;&gt;"",N(Q527)&lt;0),"Acompte supérieur au total de la facture",IF(IF(AG527="Facture",COUNTIFS(fl_doc,A527,fl_check,"&lt;&gt;OK"),IF(AG527="Devis",COUNTIFS(dl_doc,F527,dl_check,"&lt;&gt;OK"),0))&gt;0,"Ligne(s) à corriger",IF(AND(W527&lt;&gt;"",N(W527)&lt;0),"Trop-perçu : vérifiez paiements et avoirs","OK")))))))))))))))))))))</f>
        <v/>
      </c>
      <c r="AA527" s="62" t="str">
        <f>IF(COUNTA(B527:D527,F527:O527)&gt;0,IF(B527="","Facture",B527),"")</f>
        <v/>
      </c>
      <c r="AB527" s="62" t="str">
        <f>IF(AA527="","",IF(AA527="Avoir",p_pav,IF(AA527="Facture d'acompte",p_pac,p_pfa)))</f>
        <v/>
      </c>
      <c r="AC527" s="62">
        <f>IF(ISNUMBER(C527),C527,0)</f>
        <v>0.0</v>
      </c>
      <c r="AD527" s="62" t="str">
        <f>IF(OR(AA527="",AC527=0),"",YEAR(AC527))</f>
        <v/>
      </c>
      <c r="AE527" s="62" t="str">
        <f>IF(AD527="","",COUNTIFS($AB$6:AB527,AB527,$AD$6:AD527,AD527))</f>
        <v/>
      </c>
      <c r="AF527" s="62">
        <f>IF(A527="",0,COUNTIF(fl_doc,A527))</f>
        <v>0.0</v>
      </c>
      <c r="AG527" s="62" t="str">
        <f>IF(A527="","",IF(AF527&gt;0,"Facture",IF(AND(F527&lt;&gt;"",AA527="Facture",ISNUMBER(MATCH(F527,dv_num,0))),"Devis","")))</f>
        <v/>
      </c>
      <c r="AH527" s="62" t="str">
        <f>IF(AND(A527&lt;&gt;"",F527&lt;&gt;"",AA527&lt;&gt;"Avoir"),F527,"")</f>
        <v/>
      </c>
      <c r="AI527" s="62" t="str">
        <f>IF(AG527="Devis",F527,"")</f>
        <v/>
      </c>
      <c r="AJ527" s="62">
        <f>IF(AG527="Facture",SUMIF(fl_doc,A527,fl_ht),IF(AG527="Devis",SUMIF(dl_doc,F527,dl_ht),0))</f>
        <v>0.0</v>
      </c>
      <c r="AK527" s="62">
        <f>IF(OR(AG527="",INDEX(p_rates,1)=""),0,IF(AG527="Facture",SUMIFS(fl_ht,fl_doc,A527,fl_rate,INDEX(p_rates,1)),SUMIFS(dl_ht,dl_doc,F527,dl_rate,INDEX(p_rates,1))))</f>
        <v>0.0</v>
      </c>
      <c r="AL527" s="62">
        <f>IF(OR(AG527="",INDEX(p_rates,2)=""),0,IF(AG527="Facture",SUMIFS(fl_ht,fl_doc,A527,fl_rate,INDEX(p_rates,2)),SUMIFS(dl_ht,dl_doc,F527,dl_rate,INDEX(p_rates,2))))</f>
        <v>0.0</v>
      </c>
      <c r="AM527" s="62">
        <f>IF(OR(AG527="",INDEX(p_rates,3)=""),0,IF(AG527="Facture",SUMIFS(fl_ht,fl_doc,A527,fl_rate,INDEX(p_rates,3)),SUMIFS(dl_ht,dl_doc,F527,dl_rate,INDEX(p_rates,3))))</f>
        <v>0.0</v>
      </c>
      <c r="AN527" s="62">
        <f>IF(OR(AG527="",INDEX(p_rates,4)=""),0,IF(AG527="Facture",SUMIFS(fl_ht,fl_doc,A527,fl_rate,INDEX(p_rates,4)),SUMIFS(dl_ht,dl_doc,F527,dl_rate,INDEX(p_rates,4))))</f>
        <v>0.0</v>
      </c>
      <c r="AO527" s="62">
        <f>IF(OR(AG527="",INDEX(p_rates,5)=""),0,IF(AG527="Facture",SUMIFS(fl_ht,fl_doc,A527,fl_rate,INDEX(p_rates,5)),SUMIFS(dl_ht,dl_doc,F527,dl_rate,INDEX(p_rates,5))))</f>
        <v>0.0</v>
      </c>
      <c r="AP527" s="62">
        <f>IF(OR(AG527="",INDEX(p_rates,6)=""),0,IF(AG527="Facture",SUMIFS(fl_ht,fl_doc,A527,fl_rate,INDEX(p_rates,6)),SUMIFS(dl_ht,dl_doc,F527,dl_rate,INDEX(p_rates,6))))</f>
        <v>0.0</v>
      </c>
      <c r="AQ527" s="62">
        <f>ROUND(AK527*N(INDEX(p_rates,1)),2)+ROUND(AL527*N(INDEX(p_rates,2)),2)+ROUND(AM527*N(INDEX(p_rates,3)),2)+ROUND(AN527*N(INDEX(p_rates,4)),2)+ROUND(AO527*N(INDEX(p_rates,5)),2)+ROUND(AP527*N(INDEX(p_rates,6)),2)</f>
        <v>0.0</v>
      </c>
      <c r="AR527" s="62" t="str">
        <f>IF(OR(L527="",AA527&lt;&gt;"Facture"),"",IFERROR(IF(INDEX(fa_type,MATCH(L527,fa_num,0))="Facture d'acompte",MATCH(L527,fa_num,0),""),""))</f>
        <v/>
      </c>
      <c r="AS527" s="62" t="str">
        <f>IF(W527="","",IF(W527&lt;=0,"",IF(p_asof-P527&lt;=0,"Non échu",IF(p_asof-P527&lt;=30,"1-30 j",IF(p_asof-P527&lt;=60,"31-60 j",IF(p_asof-P527&lt;=90,"61-90 j","Plus de 90 j"))))))</f>
        <v/>
      </c>
      <c r="AT527" s="62" t="str">
        <f>IF(AS527="","",p_asof-P527)</f>
        <v/>
      </c>
      <c r="AU527" s="62" t="str">
        <f>IF(AT527="","",COUNTIF($AT$6:$AT$805,"&gt;"&amp;AT527)+COUNTIF($AT$6:AT527,AT527))</f>
        <v/>
      </c>
    </row>
    <row r="528">
      <c r="A528" s="59" t="str">
        <f>IF(AE528="","",AB528&amp;"-"&amp;AD528&amp;"-"&amp;RIGHT("000"&amp;AE528,4))</f>
        <v/>
      </c>
      <c r="B528" s="60" t="n"/>
      <c r="C528" s="61" t="n"/>
      <c r="D528" s="60" t="n"/>
      <c r="E528" s="62" t="str">
        <f>IF(D528="","",IFERROR(INDEX(cli_name,MATCH(D528,cli_code,0))&amp;"","Client inconnu"))</f>
        <v/>
      </c>
      <c r="F528" s="60" t="n"/>
      <c r="G528" s="63" t="n"/>
      <c r="H528" s="61" t="n"/>
      <c r="I528" s="63" t="n"/>
      <c r="J528" s="60" t="n"/>
      <c r="K528" s="61" t="n"/>
      <c r="L528" s="60" t="n"/>
      <c r="M528" s="60" t="n"/>
      <c r="N528" s="60" t="n"/>
      <c r="O528" s="61" t="n"/>
      <c r="P528" s="64" t="str">
        <f>IF(A528="","",IF(AA528="Avoir",AC528,IF(ISNUMBER(K528),K528,AC528+IF(D528="",N(p_delay),IFERROR(IF(ISNUMBER(INDEX(cli_delay,MATCH(D528,cli_code,0))),INDEX(cli_delay,MATCH(D528,cli_code,0)),N(p_delay)),N(p_delay))))))</f>
        <v/>
      </c>
      <c r="Q528" s="65" t="str">
        <f>IF(A528="","",IF(AA528="Avoir",-1,1)*ROUND(AJ528-IF(AR528="",0,INDEX(fa_htb,AR528)),2))</f>
        <v/>
      </c>
      <c r="R528" s="65" t="str">
        <f>IF(A528="","",IF(AA528="Avoir",-1,1)*ROUND(AQ528-IF(AR528="",0,INDEX(fa_tvab,AR528)),2))</f>
        <v/>
      </c>
      <c r="S528" s="65" t="str">
        <f>IF(A528="","",Q528+R528)</f>
        <v/>
      </c>
      <c r="T528" s="65" t="str">
        <f>IF(AR528="","",INDEX(fa_htb,AR528)+INDEX(fa_tvab,AR528))</f>
        <v/>
      </c>
      <c r="U528" s="65" t="str">
        <f>IF(A528="","",SUMIF(pa_inv,A528,pa_amt))</f>
        <v/>
      </c>
      <c r="V528" s="65" t="str">
        <f>IF(OR(A528="",AA528="Avoir"),"",-SUMIFS(fa_ttc,fa_avof,A528,fa_type,"Avoir"))</f>
        <v/>
      </c>
      <c r="W528" s="65" t="str">
        <f>IF(OR(A528="",AA528="Avoir"),"",ROUND(S528-U528-V528,2))</f>
        <v/>
      </c>
      <c r="X528" s="66" t="str">
        <f>IF(W528="","",IF(AND(W528&gt;0,p_asof&gt;P528),p_asof-P528,""))</f>
        <v/>
      </c>
      <c r="Y528" s="59" t="str">
        <f>IF(A528="","",IF(AA528="Avoir","Avoir",IF(W528&lt;0,"Trop-perçu",IF(W528=0,"Soldée",IF(p_asof&gt;P528,"En retard",IF(U528+V528&gt;0,"Partielle","À échoir"))))))</f>
        <v/>
      </c>
      <c r="Z528" s="59" t="str">
        <f>IF(NOT(COUNTA(B528:D528,F528:O528)&gt;0),"",IF(C528="","Date manquante",IF(NOT(ISNUMBER(C528)),"Date invalide",IF(D528="","Client manquant",IF(ISNA(MATCH(D528,cli_code,0)),"Client inconnu",IF(AC528&lt;SUMPRODUCT(MAX(($AB$6:AB527=AB528)*$AC$6:AC527)),"Date antérieure à la facture précédente",IF(AND(F528&lt;&gt;"",ISNA(MATCH(F528,dv_num,0))),"Devis inconnu",IF(AND(F528&lt;&gt;"",IFERROR(INDEX(dv_client,MATCH(F528,dv_num,0)),D528)&lt;&gt;D528),"Client différent de celui du devis",IF(AG528="","Aucune ligne : saisissez des lignes ou un devis",IF(AND(AI528&lt;&gt;"",COUNTIF($AI$6:AI528,AI528)&gt;1),"Devis déjà repris par une autre facture",IF(AND(AA528="Avoir",M528=""),"Avoir : indiquez la facture d'origine",IF(AND(AA528="Avoir",ISNA(MATCH(M528,fa_num,0))),"Facture d'origine inconnue",IF(AND(AA528&lt;&gt;"Avoir",M528&lt;&gt;""),"« Avoir sur facture » : réservé aux avoirs",IF(AND(L528&lt;&gt;"",AA528&lt;&gt;"Facture"),"Acompte à déduire : réservé aux factures",IF(AND(L528&lt;&gt;"",ISNA(MATCH(L528,fa_num,0))),"Facture d'acompte inconnue",IF(AND(L528&lt;&gt;"",IFERROR(INDEX(fa_type,MATCH(L528,fa_num,0)),"")&lt;&gt;"Facture d'acompte"),"Le n° à déduire n'est pas une facture d'acompte",IF(AND(L528&lt;&gt;"",COUNTIF($L$6:L528,L528)&gt;1),"Acompte déjà déduit sur une autre facture",IF(AND(L528&lt;&gt;"",IFERROR(INDEX(fa_client,MATCH(L528,fa_num,0)),D528)&lt;&gt;D528),"Acompte d'un autre client",IF(AND(AR528&lt;&gt;"",N(Q528)&lt;0),"Acompte supérieur au total de la facture",IF(IF(AG528="Facture",COUNTIFS(fl_doc,A528,fl_check,"&lt;&gt;OK"),IF(AG528="Devis",COUNTIFS(dl_doc,F528,dl_check,"&lt;&gt;OK"),0))&gt;0,"Ligne(s) à corriger",IF(AND(W528&lt;&gt;"",N(W528)&lt;0),"Trop-perçu : vérifiez paiements et avoirs","OK")))))))))))))))))))))</f>
        <v/>
      </c>
      <c r="AA528" s="62" t="str">
        <f>IF(COUNTA(B528:D528,F528:O528)&gt;0,IF(B528="","Facture",B528),"")</f>
        <v/>
      </c>
      <c r="AB528" s="62" t="str">
        <f>IF(AA528="","",IF(AA528="Avoir",p_pav,IF(AA528="Facture d'acompte",p_pac,p_pfa)))</f>
        <v/>
      </c>
      <c r="AC528" s="62">
        <f>IF(ISNUMBER(C528),C528,0)</f>
        <v>0.0</v>
      </c>
      <c r="AD528" s="62" t="str">
        <f>IF(OR(AA528="",AC528=0),"",YEAR(AC528))</f>
        <v/>
      </c>
      <c r="AE528" s="62" t="str">
        <f>IF(AD528="","",COUNTIFS($AB$6:AB528,AB528,$AD$6:AD528,AD528))</f>
        <v/>
      </c>
      <c r="AF528" s="62">
        <f>IF(A528="",0,COUNTIF(fl_doc,A528))</f>
        <v>0.0</v>
      </c>
      <c r="AG528" s="62" t="str">
        <f>IF(A528="","",IF(AF528&gt;0,"Facture",IF(AND(F528&lt;&gt;"",AA528="Facture",ISNUMBER(MATCH(F528,dv_num,0))),"Devis","")))</f>
        <v/>
      </c>
      <c r="AH528" s="62" t="str">
        <f>IF(AND(A528&lt;&gt;"",F528&lt;&gt;"",AA528&lt;&gt;"Avoir"),F528,"")</f>
        <v/>
      </c>
      <c r="AI528" s="62" t="str">
        <f>IF(AG528="Devis",F528,"")</f>
        <v/>
      </c>
      <c r="AJ528" s="62">
        <f>IF(AG528="Facture",SUMIF(fl_doc,A528,fl_ht),IF(AG528="Devis",SUMIF(dl_doc,F528,dl_ht),0))</f>
        <v>0.0</v>
      </c>
      <c r="AK528" s="62">
        <f>IF(OR(AG528="",INDEX(p_rates,1)=""),0,IF(AG528="Facture",SUMIFS(fl_ht,fl_doc,A528,fl_rate,INDEX(p_rates,1)),SUMIFS(dl_ht,dl_doc,F528,dl_rate,INDEX(p_rates,1))))</f>
        <v>0.0</v>
      </c>
      <c r="AL528" s="62">
        <f>IF(OR(AG528="",INDEX(p_rates,2)=""),0,IF(AG528="Facture",SUMIFS(fl_ht,fl_doc,A528,fl_rate,INDEX(p_rates,2)),SUMIFS(dl_ht,dl_doc,F528,dl_rate,INDEX(p_rates,2))))</f>
        <v>0.0</v>
      </c>
      <c r="AM528" s="62">
        <f>IF(OR(AG528="",INDEX(p_rates,3)=""),0,IF(AG528="Facture",SUMIFS(fl_ht,fl_doc,A528,fl_rate,INDEX(p_rates,3)),SUMIFS(dl_ht,dl_doc,F528,dl_rate,INDEX(p_rates,3))))</f>
        <v>0.0</v>
      </c>
      <c r="AN528" s="62">
        <f>IF(OR(AG528="",INDEX(p_rates,4)=""),0,IF(AG528="Facture",SUMIFS(fl_ht,fl_doc,A528,fl_rate,INDEX(p_rates,4)),SUMIFS(dl_ht,dl_doc,F528,dl_rate,INDEX(p_rates,4))))</f>
        <v>0.0</v>
      </c>
      <c r="AO528" s="62">
        <f>IF(OR(AG528="",INDEX(p_rates,5)=""),0,IF(AG528="Facture",SUMIFS(fl_ht,fl_doc,A528,fl_rate,INDEX(p_rates,5)),SUMIFS(dl_ht,dl_doc,F528,dl_rate,INDEX(p_rates,5))))</f>
        <v>0.0</v>
      </c>
      <c r="AP528" s="62">
        <f>IF(OR(AG528="",INDEX(p_rates,6)=""),0,IF(AG528="Facture",SUMIFS(fl_ht,fl_doc,A528,fl_rate,INDEX(p_rates,6)),SUMIFS(dl_ht,dl_doc,F528,dl_rate,INDEX(p_rates,6))))</f>
        <v>0.0</v>
      </c>
      <c r="AQ528" s="62">
        <f>ROUND(AK528*N(INDEX(p_rates,1)),2)+ROUND(AL528*N(INDEX(p_rates,2)),2)+ROUND(AM528*N(INDEX(p_rates,3)),2)+ROUND(AN528*N(INDEX(p_rates,4)),2)+ROUND(AO528*N(INDEX(p_rates,5)),2)+ROUND(AP528*N(INDEX(p_rates,6)),2)</f>
        <v>0.0</v>
      </c>
      <c r="AR528" s="62" t="str">
        <f>IF(OR(L528="",AA528&lt;&gt;"Facture"),"",IFERROR(IF(INDEX(fa_type,MATCH(L528,fa_num,0))="Facture d'acompte",MATCH(L528,fa_num,0),""),""))</f>
        <v/>
      </c>
      <c r="AS528" s="62" t="str">
        <f>IF(W528="","",IF(W528&lt;=0,"",IF(p_asof-P528&lt;=0,"Non échu",IF(p_asof-P528&lt;=30,"1-30 j",IF(p_asof-P528&lt;=60,"31-60 j",IF(p_asof-P528&lt;=90,"61-90 j","Plus de 90 j"))))))</f>
        <v/>
      </c>
      <c r="AT528" s="62" t="str">
        <f>IF(AS528="","",p_asof-P528)</f>
        <v/>
      </c>
      <c r="AU528" s="62" t="str">
        <f>IF(AT528="","",COUNTIF($AT$6:$AT$805,"&gt;"&amp;AT528)+COUNTIF($AT$6:AT528,AT528))</f>
        <v/>
      </c>
    </row>
    <row r="529">
      <c r="A529" s="59" t="str">
        <f>IF(AE529="","",AB529&amp;"-"&amp;AD529&amp;"-"&amp;RIGHT("000"&amp;AE529,4))</f>
        <v/>
      </c>
      <c r="B529" s="60" t="n"/>
      <c r="C529" s="61" t="n"/>
      <c r="D529" s="60" t="n"/>
      <c r="E529" s="62" t="str">
        <f>IF(D529="","",IFERROR(INDEX(cli_name,MATCH(D529,cli_code,0))&amp;"","Client inconnu"))</f>
        <v/>
      </c>
      <c r="F529" s="60" t="n"/>
      <c r="G529" s="63" t="n"/>
      <c r="H529" s="61" t="n"/>
      <c r="I529" s="63" t="n"/>
      <c r="J529" s="60" t="n"/>
      <c r="K529" s="61" t="n"/>
      <c r="L529" s="60" t="n"/>
      <c r="M529" s="60" t="n"/>
      <c r="N529" s="60" t="n"/>
      <c r="O529" s="61" t="n"/>
      <c r="P529" s="64" t="str">
        <f>IF(A529="","",IF(AA529="Avoir",AC529,IF(ISNUMBER(K529),K529,AC529+IF(D529="",N(p_delay),IFERROR(IF(ISNUMBER(INDEX(cli_delay,MATCH(D529,cli_code,0))),INDEX(cli_delay,MATCH(D529,cli_code,0)),N(p_delay)),N(p_delay))))))</f>
        <v/>
      </c>
      <c r="Q529" s="65" t="str">
        <f>IF(A529="","",IF(AA529="Avoir",-1,1)*ROUND(AJ529-IF(AR529="",0,INDEX(fa_htb,AR529)),2))</f>
        <v/>
      </c>
      <c r="R529" s="65" t="str">
        <f>IF(A529="","",IF(AA529="Avoir",-1,1)*ROUND(AQ529-IF(AR529="",0,INDEX(fa_tvab,AR529)),2))</f>
        <v/>
      </c>
      <c r="S529" s="65" t="str">
        <f>IF(A529="","",Q529+R529)</f>
        <v/>
      </c>
      <c r="T529" s="65" t="str">
        <f>IF(AR529="","",INDEX(fa_htb,AR529)+INDEX(fa_tvab,AR529))</f>
        <v/>
      </c>
      <c r="U529" s="65" t="str">
        <f>IF(A529="","",SUMIF(pa_inv,A529,pa_amt))</f>
        <v/>
      </c>
      <c r="V529" s="65" t="str">
        <f>IF(OR(A529="",AA529="Avoir"),"",-SUMIFS(fa_ttc,fa_avof,A529,fa_type,"Avoir"))</f>
        <v/>
      </c>
      <c r="W529" s="65" t="str">
        <f>IF(OR(A529="",AA529="Avoir"),"",ROUND(S529-U529-V529,2))</f>
        <v/>
      </c>
      <c r="X529" s="66" t="str">
        <f>IF(W529="","",IF(AND(W529&gt;0,p_asof&gt;P529),p_asof-P529,""))</f>
        <v/>
      </c>
      <c r="Y529" s="59" t="str">
        <f>IF(A529="","",IF(AA529="Avoir","Avoir",IF(W529&lt;0,"Trop-perçu",IF(W529=0,"Soldée",IF(p_asof&gt;P529,"En retard",IF(U529+V529&gt;0,"Partielle","À échoir"))))))</f>
        <v/>
      </c>
      <c r="Z529" s="59" t="str">
        <f>IF(NOT(COUNTA(B529:D529,F529:O529)&gt;0),"",IF(C529="","Date manquante",IF(NOT(ISNUMBER(C529)),"Date invalide",IF(D529="","Client manquant",IF(ISNA(MATCH(D529,cli_code,0)),"Client inconnu",IF(AC529&lt;SUMPRODUCT(MAX(($AB$6:AB528=AB529)*$AC$6:AC528)),"Date antérieure à la facture précédente",IF(AND(F529&lt;&gt;"",ISNA(MATCH(F529,dv_num,0))),"Devis inconnu",IF(AND(F529&lt;&gt;"",IFERROR(INDEX(dv_client,MATCH(F529,dv_num,0)),D529)&lt;&gt;D529),"Client différent de celui du devis",IF(AG529="","Aucune ligne : saisissez des lignes ou un devis",IF(AND(AI529&lt;&gt;"",COUNTIF($AI$6:AI529,AI529)&gt;1),"Devis déjà repris par une autre facture",IF(AND(AA529="Avoir",M529=""),"Avoir : indiquez la facture d'origine",IF(AND(AA529="Avoir",ISNA(MATCH(M529,fa_num,0))),"Facture d'origine inconnue",IF(AND(AA529&lt;&gt;"Avoir",M529&lt;&gt;""),"« Avoir sur facture » : réservé aux avoirs",IF(AND(L529&lt;&gt;"",AA529&lt;&gt;"Facture"),"Acompte à déduire : réservé aux factures",IF(AND(L529&lt;&gt;"",ISNA(MATCH(L529,fa_num,0))),"Facture d'acompte inconnue",IF(AND(L529&lt;&gt;"",IFERROR(INDEX(fa_type,MATCH(L529,fa_num,0)),"")&lt;&gt;"Facture d'acompte"),"Le n° à déduire n'est pas une facture d'acompte",IF(AND(L529&lt;&gt;"",COUNTIF($L$6:L529,L529)&gt;1),"Acompte déjà déduit sur une autre facture",IF(AND(L529&lt;&gt;"",IFERROR(INDEX(fa_client,MATCH(L529,fa_num,0)),D529)&lt;&gt;D529),"Acompte d'un autre client",IF(AND(AR529&lt;&gt;"",N(Q529)&lt;0),"Acompte supérieur au total de la facture",IF(IF(AG529="Facture",COUNTIFS(fl_doc,A529,fl_check,"&lt;&gt;OK"),IF(AG529="Devis",COUNTIFS(dl_doc,F529,dl_check,"&lt;&gt;OK"),0))&gt;0,"Ligne(s) à corriger",IF(AND(W529&lt;&gt;"",N(W529)&lt;0),"Trop-perçu : vérifiez paiements et avoirs","OK")))))))))))))))))))))</f>
        <v/>
      </c>
      <c r="AA529" s="62" t="str">
        <f>IF(COUNTA(B529:D529,F529:O529)&gt;0,IF(B529="","Facture",B529),"")</f>
        <v/>
      </c>
      <c r="AB529" s="62" t="str">
        <f>IF(AA529="","",IF(AA529="Avoir",p_pav,IF(AA529="Facture d'acompte",p_pac,p_pfa)))</f>
        <v/>
      </c>
      <c r="AC529" s="62">
        <f>IF(ISNUMBER(C529),C529,0)</f>
        <v>0.0</v>
      </c>
      <c r="AD529" s="62" t="str">
        <f>IF(OR(AA529="",AC529=0),"",YEAR(AC529))</f>
        <v/>
      </c>
      <c r="AE529" s="62" t="str">
        <f>IF(AD529="","",COUNTIFS($AB$6:AB529,AB529,$AD$6:AD529,AD529))</f>
        <v/>
      </c>
      <c r="AF529" s="62">
        <f>IF(A529="",0,COUNTIF(fl_doc,A529))</f>
        <v>0.0</v>
      </c>
      <c r="AG529" s="62" t="str">
        <f>IF(A529="","",IF(AF529&gt;0,"Facture",IF(AND(F529&lt;&gt;"",AA529="Facture",ISNUMBER(MATCH(F529,dv_num,0))),"Devis","")))</f>
        <v/>
      </c>
      <c r="AH529" s="62" t="str">
        <f>IF(AND(A529&lt;&gt;"",F529&lt;&gt;"",AA529&lt;&gt;"Avoir"),F529,"")</f>
        <v/>
      </c>
      <c r="AI529" s="62" t="str">
        <f>IF(AG529="Devis",F529,"")</f>
        <v/>
      </c>
      <c r="AJ529" s="62">
        <f>IF(AG529="Facture",SUMIF(fl_doc,A529,fl_ht),IF(AG529="Devis",SUMIF(dl_doc,F529,dl_ht),0))</f>
        <v>0.0</v>
      </c>
      <c r="AK529" s="62">
        <f>IF(OR(AG529="",INDEX(p_rates,1)=""),0,IF(AG529="Facture",SUMIFS(fl_ht,fl_doc,A529,fl_rate,INDEX(p_rates,1)),SUMIFS(dl_ht,dl_doc,F529,dl_rate,INDEX(p_rates,1))))</f>
        <v>0.0</v>
      </c>
      <c r="AL529" s="62">
        <f>IF(OR(AG529="",INDEX(p_rates,2)=""),0,IF(AG529="Facture",SUMIFS(fl_ht,fl_doc,A529,fl_rate,INDEX(p_rates,2)),SUMIFS(dl_ht,dl_doc,F529,dl_rate,INDEX(p_rates,2))))</f>
        <v>0.0</v>
      </c>
      <c r="AM529" s="62">
        <f>IF(OR(AG529="",INDEX(p_rates,3)=""),0,IF(AG529="Facture",SUMIFS(fl_ht,fl_doc,A529,fl_rate,INDEX(p_rates,3)),SUMIFS(dl_ht,dl_doc,F529,dl_rate,INDEX(p_rates,3))))</f>
        <v>0.0</v>
      </c>
      <c r="AN529" s="62">
        <f>IF(OR(AG529="",INDEX(p_rates,4)=""),0,IF(AG529="Facture",SUMIFS(fl_ht,fl_doc,A529,fl_rate,INDEX(p_rates,4)),SUMIFS(dl_ht,dl_doc,F529,dl_rate,INDEX(p_rates,4))))</f>
        <v>0.0</v>
      </c>
      <c r="AO529" s="62">
        <f>IF(OR(AG529="",INDEX(p_rates,5)=""),0,IF(AG529="Facture",SUMIFS(fl_ht,fl_doc,A529,fl_rate,INDEX(p_rates,5)),SUMIFS(dl_ht,dl_doc,F529,dl_rate,INDEX(p_rates,5))))</f>
        <v>0.0</v>
      </c>
      <c r="AP529" s="62">
        <f>IF(OR(AG529="",INDEX(p_rates,6)=""),0,IF(AG529="Facture",SUMIFS(fl_ht,fl_doc,A529,fl_rate,INDEX(p_rates,6)),SUMIFS(dl_ht,dl_doc,F529,dl_rate,INDEX(p_rates,6))))</f>
        <v>0.0</v>
      </c>
      <c r="AQ529" s="62">
        <f>ROUND(AK529*N(INDEX(p_rates,1)),2)+ROUND(AL529*N(INDEX(p_rates,2)),2)+ROUND(AM529*N(INDEX(p_rates,3)),2)+ROUND(AN529*N(INDEX(p_rates,4)),2)+ROUND(AO529*N(INDEX(p_rates,5)),2)+ROUND(AP529*N(INDEX(p_rates,6)),2)</f>
        <v>0.0</v>
      </c>
      <c r="AR529" s="62" t="str">
        <f>IF(OR(L529="",AA529&lt;&gt;"Facture"),"",IFERROR(IF(INDEX(fa_type,MATCH(L529,fa_num,0))="Facture d'acompte",MATCH(L529,fa_num,0),""),""))</f>
        <v/>
      </c>
      <c r="AS529" s="62" t="str">
        <f>IF(W529="","",IF(W529&lt;=0,"",IF(p_asof-P529&lt;=0,"Non échu",IF(p_asof-P529&lt;=30,"1-30 j",IF(p_asof-P529&lt;=60,"31-60 j",IF(p_asof-P529&lt;=90,"61-90 j","Plus de 90 j"))))))</f>
        <v/>
      </c>
      <c r="AT529" s="62" t="str">
        <f>IF(AS529="","",p_asof-P529)</f>
        <v/>
      </c>
      <c r="AU529" s="62" t="str">
        <f>IF(AT529="","",COUNTIF($AT$6:$AT$805,"&gt;"&amp;AT529)+COUNTIF($AT$6:AT529,AT529))</f>
        <v/>
      </c>
    </row>
    <row r="530">
      <c r="A530" s="59" t="str">
        <f>IF(AE530="","",AB530&amp;"-"&amp;AD530&amp;"-"&amp;RIGHT("000"&amp;AE530,4))</f>
        <v/>
      </c>
      <c r="B530" s="60" t="n"/>
      <c r="C530" s="61" t="n"/>
      <c r="D530" s="60" t="n"/>
      <c r="E530" s="62" t="str">
        <f>IF(D530="","",IFERROR(INDEX(cli_name,MATCH(D530,cli_code,0))&amp;"","Client inconnu"))</f>
        <v/>
      </c>
      <c r="F530" s="60" t="n"/>
      <c r="G530" s="63" t="n"/>
      <c r="H530" s="61" t="n"/>
      <c r="I530" s="63" t="n"/>
      <c r="J530" s="60" t="n"/>
      <c r="K530" s="61" t="n"/>
      <c r="L530" s="60" t="n"/>
      <c r="M530" s="60" t="n"/>
      <c r="N530" s="60" t="n"/>
      <c r="O530" s="61" t="n"/>
      <c r="P530" s="64" t="str">
        <f>IF(A530="","",IF(AA530="Avoir",AC530,IF(ISNUMBER(K530),K530,AC530+IF(D530="",N(p_delay),IFERROR(IF(ISNUMBER(INDEX(cli_delay,MATCH(D530,cli_code,0))),INDEX(cli_delay,MATCH(D530,cli_code,0)),N(p_delay)),N(p_delay))))))</f>
        <v/>
      </c>
      <c r="Q530" s="65" t="str">
        <f>IF(A530="","",IF(AA530="Avoir",-1,1)*ROUND(AJ530-IF(AR530="",0,INDEX(fa_htb,AR530)),2))</f>
        <v/>
      </c>
      <c r="R530" s="65" t="str">
        <f>IF(A530="","",IF(AA530="Avoir",-1,1)*ROUND(AQ530-IF(AR530="",0,INDEX(fa_tvab,AR530)),2))</f>
        <v/>
      </c>
      <c r="S530" s="65" t="str">
        <f>IF(A530="","",Q530+R530)</f>
        <v/>
      </c>
      <c r="T530" s="65" t="str">
        <f>IF(AR530="","",INDEX(fa_htb,AR530)+INDEX(fa_tvab,AR530))</f>
        <v/>
      </c>
      <c r="U530" s="65" t="str">
        <f>IF(A530="","",SUMIF(pa_inv,A530,pa_amt))</f>
        <v/>
      </c>
      <c r="V530" s="65" t="str">
        <f>IF(OR(A530="",AA530="Avoir"),"",-SUMIFS(fa_ttc,fa_avof,A530,fa_type,"Avoir"))</f>
        <v/>
      </c>
      <c r="W530" s="65" t="str">
        <f>IF(OR(A530="",AA530="Avoir"),"",ROUND(S530-U530-V530,2))</f>
        <v/>
      </c>
      <c r="X530" s="66" t="str">
        <f>IF(W530="","",IF(AND(W530&gt;0,p_asof&gt;P530),p_asof-P530,""))</f>
        <v/>
      </c>
      <c r="Y530" s="59" t="str">
        <f>IF(A530="","",IF(AA530="Avoir","Avoir",IF(W530&lt;0,"Trop-perçu",IF(W530=0,"Soldée",IF(p_asof&gt;P530,"En retard",IF(U530+V530&gt;0,"Partielle","À échoir"))))))</f>
        <v/>
      </c>
      <c r="Z530" s="59" t="str">
        <f>IF(NOT(COUNTA(B530:D530,F530:O530)&gt;0),"",IF(C530="","Date manquante",IF(NOT(ISNUMBER(C530)),"Date invalide",IF(D530="","Client manquant",IF(ISNA(MATCH(D530,cli_code,0)),"Client inconnu",IF(AC530&lt;SUMPRODUCT(MAX(($AB$6:AB529=AB530)*$AC$6:AC529)),"Date antérieure à la facture précédente",IF(AND(F530&lt;&gt;"",ISNA(MATCH(F530,dv_num,0))),"Devis inconnu",IF(AND(F530&lt;&gt;"",IFERROR(INDEX(dv_client,MATCH(F530,dv_num,0)),D530)&lt;&gt;D530),"Client différent de celui du devis",IF(AG530="","Aucune ligne : saisissez des lignes ou un devis",IF(AND(AI530&lt;&gt;"",COUNTIF($AI$6:AI530,AI530)&gt;1),"Devis déjà repris par une autre facture",IF(AND(AA530="Avoir",M530=""),"Avoir : indiquez la facture d'origine",IF(AND(AA530="Avoir",ISNA(MATCH(M530,fa_num,0))),"Facture d'origine inconnue",IF(AND(AA530&lt;&gt;"Avoir",M530&lt;&gt;""),"« Avoir sur facture » : réservé aux avoirs",IF(AND(L530&lt;&gt;"",AA530&lt;&gt;"Facture"),"Acompte à déduire : réservé aux factures",IF(AND(L530&lt;&gt;"",ISNA(MATCH(L530,fa_num,0))),"Facture d'acompte inconnue",IF(AND(L530&lt;&gt;"",IFERROR(INDEX(fa_type,MATCH(L530,fa_num,0)),"")&lt;&gt;"Facture d'acompte"),"Le n° à déduire n'est pas une facture d'acompte",IF(AND(L530&lt;&gt;"",COUNTIF($L$6:L530,L530)&gt;1),"Acompte déjà déduit sur une autre facture",IF(AND(L530&lt;&gt;"",IFERROR(INDEX(fa_client,MATCH(L530,fa_num,0)),D530)&lt;&gt;D530),"Acompte d'un autre client",IF(AND(AR530&lt;&gt;"",N(Q530)&lt;0),"Acompte supérieur au total de la facture",IF(IF(AG530="Facture",COUNTIFS(fl_doc,A530,fl_check,"&lt;&gt;OK"),IF(AG530="Devis",COUNTIFS(dl_doc,F530,dl_check,"&lt;&gt;OK"),0))&gt;0,"Ligne(s) à corriger",IF(AND(W530&lt;&gt;"",N(W530)&lt;0),"Trop-perçu : vérifiez paiements et avoirs","OK")))))))))))))))))))))</f>
        <v/>
      </c>
      <c r="AA530" s="62" t="str">
        <f>IF(COUNTA(B530:D530,F530:O530)&gt;0,IF(B530="","Facture",B530),"")</f>
        <v/>
      </c>
      <c r="AB530" s="62" t="str">
        <f>IF(AA530="","",IF(AA530="Avoir",p_pav,IF(AA530="Facture d'acompte",p_pac,p_pfa)))</f>
        <v/>
      </c>
      <c r="AC530" s="62">
        <f>IF(ISNUMBER(C530),C530,0)</f>
        <v>0.0</v>
      </c>
      <c r="AD530" s="62" t="str">
        <f>IF(OR(AA530="",AC530=0),"",YEAR(AC530))</f>
        <v/>
      </c>
      <c r="AE530" s="62" t="str">
        <f>IF(AD530="","",COUNTIFS($AB$6:AB530,AB530,$AD$6:AD530,AD530))</f>
        <v/>
      </c>
      <c r="AF530" s="62">
        <f>IF(A530="",0,COUNTIF(fl_doc,A530))</f>
        <v>0.0</v>
      </c>
      <c r="AG530" s="62" t="str">
        <f>IF(A530="","",IF(AF530&gt;0,"Facture",IF(AND(F530&lt;&gt;"",AA530="Facture",ISNUMBER(MATCH(F530,dv_num,0))),"Devis","")))</f>
        <v/>
      </c>
      <c r="AH530" s="62" t="str">
        <f>IF(AND(A530&lt;&gt;"",F530&lt;&gt;"",AA530&lt;&gt;"Avoir"),F530,"")</f>
        <v/>
      </c>
      <c r="AI530" s="62" t="str">
        <f>IF(AG530="Devis",F530,"")</f>
        <v/>
      </c>
      <c r="AJ530" s="62">
        <f>IF(AG530="Facture",SUMIF(fl_doc,A530,fl_ht),IF(AG530="Devis",SUMIF(dl_doc,F530,dl_ht),0))</f>
        <v>0.0</v>
      </c>
      <c r="AK530" s="62">
        <f>IF(OR(AG530="",INDEX(p_rates,1)=""),0,IF(AG530="Facture",SUMIFS(fl_ht,fl_doc,A530,fl_rate,INDEX(p_rates,1)),SUMIFS(dl_ht,dl_doc,F530,dl_rate,INDEX(p_rates,1))))</f>
        <v>0.0</v>
      </c>
      <c r="AL530" s="62">
        <f>IF(OR(AG530="",INDEX(p_rates,2)=""),0,IF(AG530="Facture",SUMIFS(fl_ht,fl_doc,A530,fl_rate,INDEX(p_rates,2)),SUMIFS(dl_ht,dl_doc,F530,dl_rate,INDEX(p_rates,2))))</f>
        <v>0.0</v>
      </c>
      <c r="AM530" s="62">
        <f>IF(OR(AG530="",INDEX(p_rates,3)=""),0,IF(AG530="Facture",SUMIFS(fl_ht,fl_doc,A530,fl_rate,INDEX(p_rates,3)),SUMIFS(dl_ht,dl_doc,F530,dl_rate,INDEX(p_rates,3))))</f>
        <v>0.0</v>
      </c>
      <c r="AN530" s="62">
        <f>IF(OR(AG530="",INDEX(p_rates,4)=""),0,IF(AG530="Facture",SUMIFS(fl_ht,fl_doc,A530,fl_rate,INDEX(p_rates,4)),SUMIFS(dl_ht,dl_doc,F530,dl_rate,INDEX(p_rates,4))))</f>
        <v>0.0</v>
      </c>
      <c r="AO530" s="62">
        <f>IF(OR(AG530="",INDEX(p_rates,5)=""),0,IF(AG530="Facture",SUMIFS(fl_ht,fl_doc,A530,fl_rate,INDEX(p_rates,5)),SUMIFS(dl_ht,dl_doc,F530,dl_rate,INDEX(p_rates,5))))</f>
        <v>0.0</v>
      </c>
      <c r="AP530" s="62">
        <f>IF(OR(AG530="",INDEX(p_rates,6)=""),0,IF(AG530="Facture",SUMIFS(fl_ht,fl_doc,A530,fl_rate,INDEX(p_rates,6)),SUMIFS(dl_ht,dl_doc,F530,dl_rate,INDEX(p_rates,6))))</f>
        <v>0.0</v>
      </c>
      <c r="AQ530" s="62">
        <f>ROUND(AK530*N(INDEX(p_rates,1)),2)+ROUND(AL530*N(INDEX(p_rates,2)),2)+ROUND(AM530*N(INDEX(p_rates,3)),2)+ROUND(AN530*N(INDEX(p_rates,4)),2)+ROUND(AO530*N(INDEX(p_rates,5)),2)+ROUND(AP530*N(INDEX(p_rates,6)),2)</f>
        <v>0.0</v>
      </c>
      <c r="AR530" s="62" t="str">
        <f>IF(OR(L530="",AA530&lt;&gt;"Facture"),"",IFERROR(IF(INDEX(fa_type,MATCH(L530,fa_num,0))="Facture d'acompte",MATCH(L530,fa_num,0),""),""))</f>
        <v/>
      </c>
      <c r="AS530" s="62" t="str">
        <f>IF(W530="","",IF(W530&lt;=0,"",IF(p_asof-P530&lt;=0,"Non échu",IF(p_asof-P530&lt;=30,"1-30 j",IF(p_asof-P530&lt;=60,"31-60 j",IF(p_asof-P530&lt;=90,"61-90 j","Plus de 90 j"))))))</f>
        <v/>
      </c>
      <c r="AT530" s="62" t="str">
        <f>IF(AS530="","",p_asof-P530)</f>
        <v/>
      </c>
      <c r="AU530" s="62" t="str">
        <f>IF(AT530="","",COUNTIF($AT$6:$AT$805,"&gt;"&amp;AT530)+COUNTIF($AT$6:AT530,AT530))</f>
        <v/>
      </c>
    </row>
    <row r="531">
      <c r="A531" s="59" t="str">
        <f>IF(AE531="","",AB531&amp;"-"&amp;AD531&amp;"-"&amp;RIGHT("000"&amp;AE531,4))</f>
        <v/>
      </c>
      <c r="B531" s="60" t="n"/>
      <c r="C531" s="61" t="n"/>
      <c r="D531" s="60" t="n"/>
      <c r="E531" s="62" t="str">
        <f>IF(D531="","",IFERROR(INDEX(cli_name,MATCH(D531,cli_code,0))&amp;"","Client inconnu"))</f>
        <v/>
      </c>
      <c r="F531" s="60" t="n"/>
      <c r="G531" s="63" t="n"/>
      <c r="H531" s="61" t="n"/>
      <c r="I531" s="63" t="n"/>
      <c r="J531" s="60" t="n"/>
      <c r="K531" s="61" t="n"/>
      <c r="L531" s="60" t="n"/>
      <c r="M531" s="60" t="n"/>
      <c r="N531" s="60" t="n"/>
      <c r="O531" s="61" t="n"/>
      <c r="P531" s="64" t="str">
        <f>IF(A531="","",IF(AA531="Avoir",AC531,IF(ISNUMBER(K531),K531,AC531+IF(D531="",N(p_delay),IFERROR(IF(ISNUMBER(INDEX(cli_delay,MATCH(D531,cli_code,0))),INDEX(cli_delay,MATCH(D531,cli_code,0)),N(p_delay)),N(p_delay))))))</f>
        <v/>
      </c>
      <c r="Q531" s="65" t="str">
        <f>IF(A531="","",IF(AA531="Avoir",-1,1)*ROUND(AJ531-IF(AR531="",0,INDEX(fa_htb,AR531)),2))</f>
        <v/>
      </c>
      <c r="R531" s="65" t="str">
        <f>IF(A531="","",IF(AA531="Avoir",-1,1)*ROUND(AQ531-IF(AR531="",0,INDEX(fa_tvab,AR531)),2))</f>
        <v/>
      </c>
      <c r="S531" s="65" t="str">
        <f>IF(A531="","",Q531+R531)</f>
        <v/>
      </c>
      <c r="T531" s="65" t="str">
        <f>IF(AR531="","",INDEX(fa_htb,AR531)+INDEX(fa_tvab,AR531))</f>
        <v/>
      </c>
      <c r="U531" s="65" t="str">
        <f>IF(A531="","",SUMIF(pa_inv,A531,pa_amt))</f>
        <v/>
      </c>
      <c r="V531" s="65" t="str">
        <f>IF(OR(A531="",AA531="Avoir"),"",-SUMIFS(fa_ttc,fa_avof,A531,fa_type,"Avoir"))</f>
        <v/>
      </c>
      <c r="W531" s="65" t="str">
        <f>IF(OR(A531="",AA531="Avoir"),"",ROUND(S531-U531-V531,2))</f>
        <v/>
      </c>
      <c r="X531" s="66" t="str">
        <f>IF(W531="","",IF(AND(W531&gt;0,p_asof&gt;P531),p_asof-P531,""))</f>
        <v/>
      </c>
      <c r="Y531" s="59" t="str">
        <f>IF(A531="","",IF(AA531="Avoir","Avoir",IF(W531&lt;0,"Trop-perçu",IF(W531=0,"Soldée",IF(p_asof&gt;P531,"En retard",IF(U531+V531&gt;0,"Partielle","À échoir"))))))</f>
        <v/>
      </c>
      <c r="Z531" s="59" t="str">
        <f>IF(NOT(COUNTA(B531:D531,F531:O531)&gt;0),"",IF(C531="","Date manquante",IF(NOT(ISNUMBER(C531)),"Date invalide",IF(D531="","Client manquant",IF(ISNA(MATCH(D531,cli_code,0)),"Client inconnu",IF(AC531&lt;SUMPRODUCT(MAX(($AB$6:AB530=AB531)*$AC$6:AC530)),"Date antérieure à la facture précédente",IF(AND(F531&lt;&gt;"",ISNA(MATCH(F531,dv_num,0))),"Devis inconnu",IF(AND(F531&lt;&gt;"",IFERROR(INDEX(dv_client,MATCH(F531,dv_num,0)),D531)&lt;&gt;D531),"Client différent de celui du devis",IF(AG531="","Aucune ligne : saisissez des lignes ou un devis",IF(AND(AI531&lt;&gt;"",COUNTIF($AI$6:AI531,AI531)&gt;1),"Devis déjà repris par une autre facture",IF(AND(AA531="Avoir",M531=""),"Avoir : indiquez la facture d'origine",IF(AND(AA531="Avoir",ISNA(MATCH(M531,fa_num,0))),"Facture d'origine inconnue",IF(AND(AA531&lt;&gt;"Avoir",M531&lt;&gt;""),"« Avoir sur facture » : réservé aux avoirs",IF(AND(L531&lt;&gt;"",AA531&lt;&gt;"Facture"),"Acompte à déduire : réservé aux factures",IF(AND(L531&lt;&gt;"",ISNA(MATCH(L531,fa_num,0))),"Facture d'acompte inconnue",IF(AND(L531&lt;&gt;"",IFERROR(INDEX(fa_type,MATCH(L531,fa_num,0)),"")&lt;&gt;"Facture d'acompte"),"Le n° à déduire n'est pas une facture d'acompte",IF(AND(L531&lt;&gt;"",COUNTIF($L$6:L531,L531)&gt;1),"Acompte déjà déduit sur une autre facture",IF(AND(L531&lt;&gt;"",IFERROR(INDEX(fa_client,MATCH(L531,fa_num,0)),D531)&lt;&gt;D531),"Acompte d'un autre client",IF(AND(AR531&lt;&gt;"",N(Q531)&lt;0),"Acompte supérieur au total de la facture",IF(IF(AG531="Facture",COUNTIFS(fl_doc,A531,fl_check,"&lt;&gt;OK"),IF(AG531="Devis",COUNTIFS(dl_doc,F531,dl_check,"&lt;&gt;OK"),0))&gt;0,"Ligne(s) à corriger",IF(AND(W531&lt;&gt;"",N(W531)&lt;0),"Trop-perçu : vérifiez paiements et avoirs","OK")))))))))))))))))))))</f>
        <v/>
      </c>
      <c r="AA531" s="62" t="str">
        <f>IF(COUNTA(B531:D531,F531:O531)&gt;0,IF(B531="","Facture",B531),"")</f>
        <v/>
      </c>
      <c r="AB531" s="62" t="str">
        <f>IF(AA531="","",IF(AA531="Avoir",p_pav,IF(AA531="Facture d'acompte",p_pac,p_pfa)))</f>
        <v/>
      </c>
      <c r="AC531" s="62">
        <f>IF(ISNUMBER(C531),C531,0)</f>
        <v>0.0</v>
      </c>
      <c r="AD531" s="62" t="str">
        <f>IF(OR(AA531="",AC531=0),"",YEAR(AC531))</f>
        <v/>
      </c>
      <c r="AE531" s="62" t="str">
        <f>IF(AD531="","",COUNTIFS($AB$6:AB531,AB531,$AD$6:AD531,AD531))</f>
        <v/>
      </c>
      <c r="AF531" s="62">
        <f>IF(A531="",0,COUNTIF(fl_doc,A531))</f>
        <v>0.0</v>
      </c>
      <c r="AG531" s="62" t="str">
        <f>IF(A531="","",IF(AF531&gt;0,"Facture",IF(AND(F531&lt;&gt;"",AA531="Facture",ISNUMBER(MATCH(F531,dv_num,0))),"Devis","")))</f>
        <v/>
      </c>
      <c r="AH531" s="62" t="str">
        <f>IF(AND(A531&lt;&gt;"",F531&lt;&gt;"",AA531&lt;&gt;"Avoir"),F531,"")</f>
        <v/>
      </c>
      <c r="AI531" s="62" t="str">
        <f>IF(AG531="Devis",F531,"")</f>
        <v/>
      </c>
      <c r="AJ531" s="62">
        <f>IF(AG531="Facture",SUMIF(fl_doc,A531,fl_ht),IF(AG531="Devis",SUMIF(dl_doc,F531,dl_ht),0))</f>
        <v>0.0</v>
      </c>
      <c r="AK531" s="62">
        <f>IF(OR(AG531="",INDEX(p_rates,1)=""),0,IF(AG531="Facture",SUMIFS(fl_ht,fl_doc,A531,fl_rate,INDEX(p_rates,1)),SUMIFS(dl_ht,dl_doc,F531,dl_rate,INDEX(p_rates,1))))</f>
        <v>0.0</v>
      </c>
      <c r="AL531" s="62">
        <f>IF(OR(AG531="",INDEX(p_rates,2)=""),0,IF(AG531="Facture",SUMIFS(fl_ht,fl_doc,A531,fl_rate,INDEX(p_rates,2)),SUMIFS(dl_ht,dl_doc,F531,dl_rate,INDEX(p_rates,2))))</f>
        <v>0.0</v>
      </c>
      <c r="AM531" s="62">
        <f>IF(OR(AG531="",INDEX(p_rates,3)=""),0,IF(AG531="Facture",SUMIFS(fl_ht,fl_doc,A531,fl_rate,INDEX(p_rates,3)),SUMIFS(dl_ht,dl_doc,F531,dl_rate,INDEX(p_rates,3))))</f>
        <v>0.0</v>
      </c>
      <c r="AN531" s="62">
        <f>IF(OR(AG531="",INDEX(p_rates,4)=""),0,IF(AG531="Facture",SUMIFS(fl_ht,fl_doc,A531,fl_rate,INDEX(p_rates,4)),SUMIFS(dl_ht,dl_doc,F531,dl_rate,INDEX(p_rates,4))))</f>
        <v>0.0</v>
      </c>
      <c r="AO531" s="62">
        <f>IF(OR(AG531="",INDEX(p_rates,5)=""),0,IF(AG531="Facture",SUMIFS(fl_ht,fl_doc,A531,fl_rate,INDEX(p_rates,5)),SUMIFS(dl_ht,dl_doc,F531,dl_rate,INDEX(p_rates,5))))</f>
        <v>0.0</v>
      </c>
      <c r="AP531" s="62">
        <f>IF(OR(AG531="",INDEX(p_rates,6)=""),0,IF(AG531="Facture",SUMIFS(fl_ht,fl_doc,A531,fl_rate,INDEX(p_rates,6)),SUMIFS(dl_ht,dl_doc,F531,dl_rate,INDEX(p_rates,6))))</f>
        <v>0.0</v>
      </c>
      <c r="AQ531" s="62">
        <f>ROUND(AK531*N(INDEX(p_rates,1)),2)+ROUND(AL531*N(INDEX(p_rates,2)),2)+ROUND(AM531*N(INDEX(p_rates,3)),2)+ROUND(AN531*N(INDEX(p_rates,4)),2)+ROUND(AO531*N(INDEX(p_rates,5)),2)+ROUND(AP531*N(INDEX(p_rates,6)),2)</f>
        <v>0.0</v>
      </c>
      <c r="AR531" s="62" t="str">
        <f>IF(OR(L531="",AA531&lt;&gt;"Facture"),"",IFERROR(IF(INDEX(fa_type,MATCH(L531,fa_num,0))="Facture d'acompte",MATCH(L531,fa_num,0),""),""))</f>
        <v/>
      </c>
      <c r="AS531" s="62" t="str">
        <f>IF(W531="","",IF(W531&lt;=0,"",IF(p_asof-P531&lt;=0,"Non échu",IF(p_asof-P531&lt;=30,"1-30 j",IF(p_asof-P531&lt;=60,"31-60 j",IF(p_asof-P531&lt;=90,"61-90 j","Plus de 90 j"))))))</f>
        <v/>
      </c>
      <c r="AT531" s="62" t="str">
        <f>IF(AS531="","",p_asof-P531)</f>
        <v/>
      </c>
      <c r="AU531" s="62" t="str">
        <f>IF(AT531="","",COUNTIF($AT$6:$AT$805,"&gt;"&amp;AT531)+COUNTIF($AT$6:AT531,AT531))</f>
        <v/>
      </c>
    </row>
    <row r="532">
      <c r="A532" s="59" t="str">
        <f>IF(AE532="","",AB532&amp;"-"&amp;AD532&amp;"-"&amp;RIGHT("000"&amp;AE532,4))</f>
        <v/>
      </c>
      <c r="B532" s="60" t="n"/>
      <c r="C532" s="61" t="n"/>
      <c r="D532" s="60" t="n"/>
      <c r="E532" s="62" t="str">
        <f>IF(D532="","",IFERROR(INDEX(cli_name,MATCH(D532,cli_code,0))&amp;"","Client inconnu"))</f>
        <v/>
      </c>
      <c r="F532" s="60" t="n"/>
      <c r="G532" s="63" t="n"/>
      <c r="H532" s="61" t="n"/>
      <c r="I532" s="63" t="n"/>
      <c r="J532" s="60" t="n"/>
      <c r="K532" s="61" t="n"/>
      <c r="L532" s="60" t="n"/>
      <c r="M532" s="60" t="n"/>
      <c r="N532" s="60" t="n"/>
      <c r="O532" s="61" t="n"/>
      <c r="P532" s="64" t="str">
        <f>IF(A532="","",IF(AA532="Avoir",AC532,IF(ISNUMBER(K532),K532,AC532+IF(D532="",N(p_delay),IFERROR(IF(ISNUMBER(INDEX(cli_delay,MATCH(D532,cli_code,0))),INDEX(cli_delay,MATCH(D532,cli_code,0)),N(p_delay)),N(p_delay))))))</f>
        <v/>
      </c>
      <c r="Q532" s="65" t="str">
        <f>IF(A532="","",IF(AA532="Avoir",-1,1)*ROUND(AJ532-IF(AR532="",0,INDEX(fa_htb,AR532)),2))</f>
        <v/>
      </c>
      <c r="R532" s="65" t="str">
        <f>IF(A532="","",IF(AA532="Avoir",-1,1)*ROUND(AQ532-IF(AR532="",0,INDEX(fa_tvab,AR532)),2))</f>
        <v/>
      </c>
      <c r="S532" s="65" t="str">
        <f>IF(A532="","",Q532+R532)</f>
        <v/>
      </c>
      <c r="T532" s="65" t="str">
        <f>IF(AR532="","",INDEX(fa_htb,AR532)+INDEX(fa_tvab,AR532))</f>
        <v/>
      </c>
      <c r="U532" s="65" t="str">
        <f>IF(A532="","",SUMIF(pa_inv,A532,pa_amt))</f>
        <v/>
      </c>
      <c r="V532" s="65" t="str">
        <f>IF(OR(A532="",AA532="Avoir"),"",-SUMIFS(fa_ttc,fa_avof,A532,fa_type,"Avoir"))</f>
        <v/>
      </c>
      <c r="W532" s="65" t="str">
        <f>IF(OR(A532="",AA532="Avoir"),"",ROUND(S532-U532-V532,2))</f>
        <v/>
      </c>
      <c r="X532" s="66" t="str">
        <f>IF(W532="","",IF(AND(W532&gt;0,p_asof&gt;P532),p_asof-P532,""))</f>
        <v/>
      </c>
      <c r="Y532" s="59" t="str">
        <f>IF(A532="","",IF(AA532="Avoir","Avoir",IF(W532&lt;0,"Trop-perçu",IF(W532=0,"Soldée",IF(p_asof&gt;P532,"En retard",IF(U532+V532&gt;0,"Partielle","À échoir"))))))</f>
        <v/>
      </c>
      <c r="Z532" s="59" t="str">
        <f>IF(NOT(COUNTA(B532:D532,F532:O532)&gt;0),"",IF(C532="","Date manquante",IF(NOT(ISNUMBER(C532)),"Date invalide",IF(D532="","Client manquant",IF(ISNA(MATCH(D532,cli_code,0)),"Client inconnu",IF(AC532&lt;SUMPRODUCT(MAX(($AB$6:AB531=AB532)*$AC$6:AC531)),"Date antérieure à la facture précédente",IF(AND(F532&lt;&gt;"",ISNA(MATCH(F532,dv_num,0))),"Devis inconnu",IF(AND(F532&lt;&gt;"",IFERROR(INDEX(dv_client,MATCH(F532,dv_num,0)),D532)&lt;&gt;D532),"Client différent de celui du devis",IF(AG532="","Aucune ligne : saisissez des lignes ou un devis",IF(AND(AI532&lt;&gt;"",COUNTIF($AI$6:AI532,AI532)&gt;1),"Devis déjà repris par une autre facture",IF(AND(AA532="Avoir",M532=""),"Avoir : indiquez la facture d'origine",IF(AND(AA532="Avoir",ISNA(MATCH(M532,fa_num,0))),"Facture d'origine inconnue",IF(AND(AA532&lt;&gt;"Avoir",M532&lt;&gt;""),"« Avoir sur facture » : réservé aux avoirs",IF(AND(L532&lt;&gt;"",AA532&lt;&gt;"Facture"),"Acompte à déduire : réservé aux factures",IF(AND(L532&lt;&gt;"",ISNA(MATCH(L532,fa_num,0))),"Facture d'acompte inconnue",IF(AND(L532&lt;&gt;"",IFERROR(INDEX(fa_type,MATCH(L532,fa_num,0)),"")&lt;&gt;"Facture d'acompte"),"Le n° à déduire n'est pas une facture d'acompte",IF(AND(L532&lt;&gt;"",COUNTIF($L$6:L532,L532)&gt;1),"Acompte déjà déduit sur une autre facture",IF(AND(L532&lt;&gt;"",IFERROR(INDEX(fa_client,MATCH(L532,fa_num,0)),D532)&lt;&gt;D532),"Acompte d'un autre client",IF(AND(AR532&lt;&gt;"",N(Q532)&lt;0),"Acompte supérieur au total de la facture",IF(IF(AG532="Facture",COUNTIFS(fl_doc,A532,fl_check,"&lt;&gt;OK"),IF(AG532="Devis",COUNTIFS(dl_doc,F532,dl_check,"&lt;&gt;OK"),0))&gt;0,"Ligne(s) à corriger",IF(AND(W532&lt;&gt;"",N(W532)&lt;0),"Trop-perçu : vérifiez paiements et avoirs","OK")))))))))))))))))))))</f>
        <v/>
      </c>
      <c r="AA532" s="62" t="str">
        <f>IF(COUNTA(B532:D532,F532:O532)&gt;0,IF(B532="","Facture",B532),"")</f>
        <v/>
      </c>
      <c r="AB532" s="62" t="str">
        <f>IF(AA532="","",IF(AA532="Avoir",p_pav,IF(AA532="Facture d'acompte",p_pac,p_pfa)))</f>
        <v/>
      </c>
      <c r="AC532" s="62">
        <f>IF(ISNUMBER(C532),C532,0)</f>
        <v>0.0</v>
      </c>
      <c r="AD532" s="62" t="str">
        <f>IF(OR(AA532="",AC532=0),"",YEAR(AC532))</f>
        <v/>
      </c>
      <c r="AE532" s="62" t="str">
        <f>IF(AD532="","",COUNTIFS($AB$6:AB532,AB532,$AD$6:AD532,AD532))</f>
        <v/>
      </c>
      <c r="AF532" s="62">
        <f>IF(A532="",0,COUNTIF(fl_doc,A532))</f>
        <v>0.0</v>
      </c>
      <c r="AG532" s="62" t="str">
        <f>IF(A532="","",IF(AF532&gt;0,"Facture",IF(AND(F532&lt;&gt;"",AA532="Facture",ISNUMBER(MATCH(F532,dv_num,0))),"Devis","")))</f>
        <v/>
      </c>
      <c r="AH532" s="62" t="str">
        <f>IF(AND(A532&lt;&gt;"",F532&lt;&gt;"",AA532&lt;&gt;"Avoir"),F532,"")</f>
        <v/>
      </c>
      <c r="AI532" s="62" t="str">
        <f>IF(AG532="Devis",F532,"")</f>
        <v/>
      </c>
      <c r="AJ532" s="62">
        <f>IF(AG532="Facture",SUMIF(fl_doc,A532,fl_ht),IF(AG532="Devis",SUMIF(dl_doc,F532,dl_ht),0))</f>
        <v>0.0</v>
      </c>
      <c r="AK532" s="62">
        <f>IF(OR(AG532="",INDEX(p_rates,1)=""),0,IF(AG532="Facture",SUMIFS(fl_ht,fl_doc,A532,fl_rate,INDEX(p_rates,1)),SUMIFS(dl_ht,dl_doc,F532,dl_rate,INDEX(p_rates,1))))</f>
        <v>0.0</v>
      </c>
      <c r="AL532" s="62">
        <f>IF(OR(AG532="",INDEX(p_rates,2)=""),0,IF(AG532="Facture",SUMIFS(fl_ht,fl_doc,A532,fl_rate,INDEX(p_rates,2)),SUMIFS(dl_ht,dl_doc,F532,dl_rate,INDEX(p_rates,2))))</f>
        <v>0.0</v>
      </c>
      <c r="AM532" s="62">
        <f>IF(OR(AG532="",INDEX(p_rates,3)=""),0,IF(AG532="Facture",SUMIFS(fl_ht,fl_doc,A532,fl_rate,INDEX(p_rates,3)),SUMIFS(dl_ht,dl_doc,F532,dl_rate,INDEX(p_rates,3))))</f>
        <v>0.0</v>
      </c>
      <c r="AN532" s="62">
        <f>IF(OR(AG532="",INDEX(p_rates,4)=""),0,IF(AG532="Facture",SUMIFS(fl_ht,fl_doc,A532,fl_rate,INDEX(p_rates,4)),SUMIFS(dl_ht,dl_doc,F532,dl_rate,INDEX(p_rates,4))))</f>
        <v>0.0</v>
      </c>
      <c r="AO532" s="62">
        <f>IF(OR(AG532="",INDEX(p_rates,5)=""),0,IF(AG532="Facture",SUMIFS(fl_ht,fl_doc,A532,fl_rate,INDEX(p_rates,5)),SUMIFS(dl_ht,dl_doc,F532,dl_rate,INDEX(p_rates,5))))</f>
        <v>0.0</v>
      </c>
      <c r="AP532" s="62">
        <f>IF(OR(AG532="",INDEX(p_rates,6)=""),0,IF(AG532="Facture",SUMIFS(fl_ht,fl_doc,A532,fl_rate,INDEX(p_rates,6)),SUMIFS(dl_ht,dl_doc,F532,dl_rate,INDEX(p_rates,6))))</f>
        <v>0.0</v>
      </c>
      <c r="AQ532" s="62">
        <f>ROUND(AK532*N(INDEX(p_rates,1)),2)+ROUND(AL532*N(INDEX(p_rates,2)),2)+ROUND(AM532*N(INDEX(p_rates,3)),2)+ROUND(AN532*N(INDEX(p_rates,4)),2)+ROUND(AO532*N(INDEX(p_rates,5)),2)+ROUND(AP532*N(INDEX(p_rates,6)),2)</f>
        <v>0.0</v>
      </c>
      <c r="AR532" s="62" t="str">
        <f>IF(OR(L532="",AA532&lt;&gt;"Facture"),"",IFERROR(IF(INDEX(fa_type,MATCH(L532,fa_num,0))="Facture d'acompte",MATCH(L532,fa_num,0),""),""))</f>
        <v/>
      </c>
      <c r="AS532" s="62" t="str">
        <f>IF(W532="","",IF(W532&lt;=0,"",IF(p_asof-P532&lt;=0,"Non échu",IF(p_asof-P532&lt;=30,"1-30 j",IF(p_asof-P532&lt;=60,"31-60 j",IF(p_asof-P532&lt;=90,"61-90 j","Plus de 90 j"))))))</f>
        <v/>
      </c>
      <c r="AT532" s="62" t="str">
        <f>IF(AS532="","",p_asof-P532)</f>
        <v/>
      </c>
      <c r="AU532" s="62" t="str">
        <f>IF(AT532="","",COUNTIF($AT$6:$AT$805,"&gt;"&amp;AT532)+COUNTIF($AT$6:AT532,AT532))</f>
        <v/>
      </c>
    </row>
    <row r="533">
      <c r="A533" s="59" t="str">
        <f>IF(AE533="","",AB533&amp;"-"&amp;AD533&amp;"-"&amp;RIGHT("000"&amp;AE533,4))</f>
        <v/>
      </c>
      <c r="B533" s="60" t="n"/>
      <c r="C533" s="61" t="n"/>
      <c r="D533" s="60" t="n"/>
      <c r="E533" s="62" t="str">
        <f>IF(D533="","",IFERROR(INDEX(cli_name,MATCH(D533,cli_code,0))&amp;"","Client inconnu"))</f>
        <v/>
      </c>
      <c r="F533" s="60" t="n"/>
      <c r="G533" s="63" t="n"/>
      <c r="H533" s="61" t="n"/>
      <c r="I533" s="63" t="n"/>
      <c r="J533" s="60" t="n"/>
      <c r="K533" s="61" t="n"/>
      <c r="L533" s="60" t="n"/>
      <c r="M533" s="60" t="n"/>
      <c r="N533" s="60" t="n"/>
      <c r="O533" s="61" t="n"/>
      <c r="P533" s="64" t="str">
        <f>IF(A533="","",IF(AA533="Avoir",AC533,IF(ISNUMBER(K533),K533,AC533+IF(D533="",N(p_delay),IFERROR(IF(ISNUMBER(INDEX(cli_delay,MATCH(D533,cli_code,0))),INDEX(cli_delay,MATCH(D533,cli_code,0)),N(p_delay)),N(p_delay))))))</f>
        <v/>
      </c>
      <c r="Q533" s="65" t="str">
        <f>IF(A533="","",IF(AA533="Avoir",-1,1)*ROUND(AJ533-IF(AR533="",0,INDEX(fa_htb,AR533)),2))</f>
        <v/>
      </c>
      <c r="R533" s="65" t="str">
        <f>IF(A533="","",IF(AA533="Avoir",-1,1)*ROUND(AQ533-IF(AR533="",0,INDEX(fa_tvab,AR533)),2))</f>
        <v/>
      </c>
      <c r="S533" s="65" t="str">
        <f>IF(A533="","",Q533+R533)</f>
        <v/>
      </c>
      <c r="T533" s="65" t="str">
        <f>IF(AR533="","",INDEX(fa_htb,AR533)+INDEX(fa_tvab,AR533))</f>
        <v/>
      </c>
      <c r="U533" s="65" t="str">
        <f>IF(A533="","",SUMIF(pa_inv,A533,pa_amt))</f>
        <v/>
      </c>
      <c r="V533" s="65" t="str">
        <f>IF(OR(A533="",AA533="Avoir"),"",-SUMIFS(fa_ttc,fa_avof,A533,fa_type,"Avoir"))</f>
        <v/>
      </c>
      <c r="W533" s="65" t="str">
        <f>IF(OR(A533="",AA533="Avoir"),"",ROUND(S533-U533-V533,2))</f>
        <v/>
      </c>
      <c r="X533" s="66" t="str">
        <f>IF(W533="","",IF(AND(W533&gt;0,p_asof&gt;P533),p_asof-P533,""))</f>
        <v/>
      </c>
      <c r="Y533" s="59" t="str">
        <f>IF(A533="","",IF(AA533="Avoir","Avoir",IF(W533&lt;0,"Trop-perçu",IF(W533=0,"Soldée",IF(p_asof&gt;P533,"En retard",IF(U533+V533&gt;0,"Partielle","À échoir"))))))</f>
        <v/>
      </c>
      <c r="Z533" s="59" t="str">
        <f>IF(NOT(COUNTA(B533:D533,F533:O533)&gt;0),"",IF(C533="","Date manquante",IF(NOT(ISNUMBER(C533)),"Date invalide",IF(D533="","Client manquant",IF(ISNA(MATCH(D533,cli_code,0)),"Client inconnu",IF(AC533&lt;SUMPRODUCT(MAX(($AB$6:AB532=AB533)*$AC$6:AC532)),"Date antérieure à la facture précédente",IF(AND(F533&lt;&gt;"",ISNA(MATCH(F533,dv_num,0))),"Devis inconnu",IF(AND(F533&lt;&gt;"",IFERROR(INDEX(dv_client,MATCH(F533,dv_num,0)),D533)&lt;&gt;D533),"Client différent de celui du devis",IF(AG533="","Aucune ligne : saisissez des lignes ou un devis",IF(AND(AI533&lt;&gt;"",COUNTIF($AI$6:AI533,AI533)&gt;1),"Devis déjà repris par une autre facture",IF(AND(AA533="Avoir",M533=""),"Avoir : indiquez la facture d'origine",IF(AND(AA533="Avoir",ISNA(MATCH(M533,fa_num,0))),"Facture d'origine inconnue",IF(AND(AA533&lt;&gt;"Avoir",M533&lt;&gt;""),"« Avoir sur facture » : réservé aux avoirs",IF(AND(L533&lt;&gt;"",AA533&lt;&gt;"Facture"),"Acompte à déduire : réservé aux factures",IF(AND(L533&lt;&gt;"",ISNA(MATCH(L533,fa_num,0))),"Facture d'acompte inconnue",IF(AND(L533&lt;&gt;"",IFERROR(INDEX(fa_type,MATCH(L533,fa_num,0)),"")&lt;&gt;"Facture d'acompte"),"Le n° à déduire n'est pas une facture d'acompte",IF(AND(L533&lt;&gt;"",COUNTIF($L$6:L533,L533)&gt;1),"Acompte déjà déduit sur une autre facture",IF(AND(L533&lt;&gt;"",IFERROR(INDEX(fa_client,MATCH(L533,fa_num,0)),D533)&lt;&gt;D533),"Acompte d'un autre client",IF(AND(AR533&lt;&gt;"",N(Q533)&lt;0),"Acompte supérieur au total de la facture",IF(IF(AG533="Facture",COUNTIFS(fl_doc,A533,fl_check,"&lt;&gt;OK"),IF(AG533="Devis",COUNTIFS(dl_doc,F533,dl_check,"&lt;&gt;OK"),0))&gt;0,"Ligne(s) à corriger",IF(AND(W533&lt;&gt;"",N(W533)&lt;0),"Trop-perçu : vérifiez paiements et avoirs","OK")))))))))))))))))))))</f>
        <v/>
      </c>
      <c r="AA533" s="62" t="str">
        <f>IF(COUNTA(B533:D533,F533:O533)&gt;0,IF(B533="","Facture",B533),"")</f>
        <v/>
      </c>
      <c r="AB533" s="62" t="str">
        <f>IF(AA533="","",IF(AA533="Avoir",p_pav,IF(AA533="Facture d'acompte",p_pac,p_pfa)))</f>
        <v/>
      </c>
      <c r="AC533" s="62">
        <f>IF(ISNUMBER(C533),C533,0)</f>
        <v>0.0</v>
      </c>
      <c r="AD533" s="62" t="str">
        <f>IF(OR(AA533="",AC533=0),"",YEAR(AC533))</f>
        <v/>
      </c>
      <c r="AE533" s="62" t="str">
        <f>IF(AD533="","",COUNTIFS($AB$6:AB533,AB533,$AD$6:AD533,AD533))</f>
        <v/>
      </c>
      <c r="AF533" s="62">
        <f>IF(A533="",0,COUNTIF(fl_doc,A533))</f>
        <v>0.0</v>
      </c>
      <c r="AG533" s="62" t="str">
        <f>IF(A533="","",IF(AF533&gt;0,"Facture",IF(AND(F533&lt;&gt;"",AA533="Facture",ISNUMBER(MATCH(F533,dv_num,0))),"Devis","")))</f>
        <v/>
      </c>
      <c r="AH533" s="62" t="str">
        <f>IF(AND(A533&lt;&gt;"",F533&lt;&gt;"",AA533&lt;&gt;"Avoir"),F533,"")</f>
        <v/>
      </c>
      <c r="AI533" s="62" t="str">
        <f>IF(AG533="Devis",F533,"")</f>
        <v/>
      </c>
      <c r="AJ533" s="62">
        <f>IF(AG533="Facture",SUMIF(fl_doc,A533,fl_ht),IF(AG533="Devis",SUMIF(dl_doc,F533,dl_ht),0))</f>
        <v>0.0</v>
      </c>
      <c r="AK533" s="62">
        <f>IF(OR(AG533="",INDEX(p_rates,1)=""),0,IF(AG533="Facture",SUMIFS(fl_ht,fl_doc,A533,fl_rate,INDEX(p_rates,1)),SUMIFS(dl_ht,dl_doc,F533,dl_rate,INDEX(p_rates,1))))</f>
        <v>0.0</v>
      </c>
      <c r="AL533" s="62">
        <f>IF(OR(AG533="",INDEX(p_rates,2)=""),0,IF(AG533="Facture",SUMIFS(fl_ht,fl_doc,A533,fl_rate,INDEX(p_rates,2)),SUMIFS(dl_ht,dl_doc,F533,dl_rate,INDEX(p_rates,2))))</f>
        <v>0.0</v>
      </c>
      <c r="AM533" s="62">
        <f>IF(OR(AG533="",INDEX(p_rates,3)=""),0,IF(AG533="Facture",SUMIFS(fl_ht,fl_doc,A533,fl_rate,INDEX(p_rates,3)),SUMIFS(dl_ht,dl_doc,F533,dl_rate,INDEX(p_rates,3))))</f>
        <v>0.0</v>
      </c>
      <c r="AN533" s="62">
        <f>IF(OR(AG533="",INDEX(p_rates,4)=""),0,IF(AG533="Facture",SUMIFS(fl_ht,fl_doc,A533,fl_rate,INDEX(p_rates,4)),SUMIFS(dl_ht,dl_doc,F533,dl_rate,INDEX(p_rates,4))))</f>
        <v>0.0</v>
      </c>
      <c r="AO533" s="62">
        <f>IF(OR(AG533="",INDEX(p_rates,5)=""),0,IF(AG533="Facture",SUMIFS(fl_ht,fl_doc,A533,fl_rate,INDEX(p_rates,5)),SUMIFS(dl_ht,dl_doc,F533,dl_rate,INDEX(p_rates,5))))</f>
        <v>0.0</v>
      </c>
      <c r="AP533" s="62">
        <f>IF(OR(AG533="",INDEX(p_rates,6)=""),0,IF(AG533="Facture",SUMIFS(fl_ht,fl_doc,A533,fl_rate,INDEX(p_rates,6)),SUMIFS(dl_ht,dl_doc,F533,dl_rate,INDEX(p_rates,6))))</f>
        <v>0.0</v>
      </c>
      <c r="AQ533" s="62">
        <f>ROUND(AK533*N(INDEX(p_rates,1)),2)+ROUND(AL533*N(INDEX(p_rates,2)),2)+ROUND(AM533*N(INDEX(p_rates,3)),2)+ROUND(AN533*N(INDEX(p_rates,4)),2)+ROUND(AO533*N(INDEX(p_rates,5)),2)+ROUND(AP533*N(INDEX(p_rates,6)),2)</f>
        <v>0.0</v>
      </c>
      <c r="AR533" s="62" t="str">
        <f>IF(OR(L533="",AA533&lt;&gt;"Facture"),"",IFERROR(IF(INDEX(fa_type,MATCH(L533,fa_num,0))="Facture d'acompte",MATCH(L533,fa_num,0),""),""))</f>
        <v/>
      </c>
      <c r="AS533" s="62" t="str">
        <f>IF(W533="","",IF(W533&lt;=0,"",IF(p_asof-P533&lt;=0,"Non échu",IF(p_asof-P533&lt;=30,"1-30 j",IF(p_asof-P533&lt;=60,"31-60 j",IF(p_asof-P533&lt;=90,"61-90 j","Plus de 90 j"))))))</f>
        <v/>
      </c>
      <c r="AT533" s="62" t="str">
        <f>IF(AS533="","",p_asof-P533)</f>
        <v/>
      </c>
      <c r="AU533" s="62" t="str">
        <f>IF(AT533="","",COUNTIF($AT$6:$AT$805,"&gt;"&amp;AT533)+COUNTIF($AT$6:AT533,AT533))</f>
        <v/>
      </c>
    </row>
    <row r="534">
      <c r="A534" s="59" t="str">
        <f>IF(AE534="","",AB534&amp;"-"&amp;AD534&amp;"-"&amp;RIGHT("000"&amp;AE534,4))</f>
        <v/>
      </c>
      <c r="B534" s="60" t="n"/>
      <c r="C534" s="61" t="n"/>
      <c r="D534" s="60" t="n"/>
      <c r="E534" s="62" t="str">
        <f>IF(D534="","",IFERROR(INDEX(cli_name,MATCH(D534,cli_code,0))&amp;"","Client inconnu"))</f>
        <v/>
      </c>
      <c r="F534" s="60" t="n"/>
      <c r="G534" s="63" t="n"/>
      <c r="H534" s="61" t="n"/>
      <c r="I534" s="63" t="n"/>
      <c r="J534" s="60" t="n"/>
      <c r="K534" s="61" t="n"/>
      <c r="L534" s="60" t="n"/>
      <c r="M534" s="60" t="n"/>
      <c r="N534" s="60" t="n"/>
      <c r="O534" s="61" t="n"/>
      <c r="P534" s="64" t="str">
        <f>IF(A534="","",IF(AA534="Avoir",AC534,IF(ISNUMBER(K534),K534,AC534+IF(D534="",N(p_delay),IFERROR(IF(ISNUMBER(INDEX(cli_delay,MATCH(D534,cli_code,0))),INDEX(cli_delay,MATCH(D534,cli_code,0)),N(p_delay)),N(p_delay))))))</f>
        <v/>
      </c>
      <c r="Q534" s="65" t="str">
        <f>IF(A534="","",IF(AA534="Avoir",-1,1)*ROUND(AJ534-IF(AR534="",0,INDEX(fa_htb,AR534)),2))</f>
        <v/>
      </c>
      <c r="R534" s="65" t="str">
        <f>IF(A534="","",IF(AA534="Avoir",-1,1)*ROUND(AQ534-IF(AR534="",0,INDEX(fa_tvab,AR534)),2))</f>
        <v/>
      </c>
      <c r="S534" s="65" t="str">
        <f>IF(A534="","",Q534+R534)</f>
        <v/>
      </c>
      <c r="T534" s="65" t="str">
        <f>IF(AR534="","",INDEX(fa_htb,AR534)+INDEX(fa_tvab,AR534))</f>
        <v/>
      </c>
      <c r="U534" s="65" t="str">
        <f>IF(A534="","",SUMIF(pa_inv,A534,pa_amt))</f>
        <v/>
      </c>
      <c r="V534" s="65" t="str">
        <f>IF(OR(A534="",AA534="Avoir"),"",-SUMIFS(fa_ttc,fa_avof,A534,fa_type,"Avoir"))</f>
        <v/>
      </c>
      <c r="W534" s="65" t="str">
        <f>IF(OR(A534="",AA534="Avoir"),"",ROUND(S534-U534-V534,2))</f>
        <v/>
      </c>
      <c r="X534" s="66" t="str">
        <f>IF(W534="","",IF(AND(W534&gt;0,p_asof&gt;P534),p_asof-P534,""))</f>
        <v/>
      </c>
      <c r="Y534" s="59" t="str">
        <f>IF(A534="","",IF(AA534="Avoir","Avoir",IF(W534&lt;0,"Trop-perçu",IF(W534=0,"Soldée",IF(p_asof&gt;P534,"En retard",IF(U534+V534&gt;0,"Partielle","À échoir"))))))</f>
        <v/>
      </c>
      <c r="Z534" s="59" t="str">
        <f>IF(NOT(COUNTA(B534:D534,F534:O534)&gt;0),"",IF(C534="","Date manquante",IF(NOT(ISNUMBER(C534)),"Date invalide",IF(D534="","Client manquant",IF(ISNA(MATCH(D534,cli_code,0)),"Client inconnu",IF(AC534&lt;SUMPRODUCT(MAX(($AB$6:AB533=AB534)*$AC$6:AC533)),"Date antérieure à la facture précédente",IF(AND(F534&lt;&gt;"",ISNA(MATCH(F534,dv_num,0))),"Devis inconnu",IF(AND(F534&lt;&gt;"",IFERROR(INDEX(dv_client,MATCH(F534,dv_num,0)),D534)&lt;&gt;D534),"Client différent de celui du devis",IF(AG534="","Aucune ligne : saisissez des lignes ou un devis",IF(AND(AI534&lt;&gt;"",COUNTIF($AI$6:AI534,AI534)&gt;1),"Devis déjà repris par une autre facture",IF(AND(AA534="Avoir",M534=""),"Avoir : indiquez la facture d'origine",IF(AND(AA534="Avoir",ISNA(MATCH(M534,fa_num,0))),"Facture d'origine inconnue",IF(AND(AA534&lt;&gt;"Avoir",M534&lt;&gt;""),"« Avoir sur facture » : réservé aux avoirs",IF(AND(L534&lt;&gt;"",AA534&lt;&gt;"Facture"),"Acompte à déduire : réservé aux factures",IF(AND(L534&lt;&gt;"",ISNA(MATCH(L534,fa_num,0))),"Facture d'acompte inconnue",IF(AND(L534&lt;&gt;"",IFERROR(INDEX(fa_type,MATCH(L534,fa_num,0)),"")&lt;&gt;"Facture d'acompte"),"Le n° à déduire n'est pas une facture d'acompte",IF(AND(L534&lt;&gt;"",COUNTIF($L$6:L534,L534)&gt;1),"Acompte déjà déduit sur une autre facture",IF(AND(L534&lt;&gt;"",IFERROR(INDEX(fa_client,MATCH(L534,fa_num,0)),D534)&lt;&gt;D534),"Acompte d'un autre client",IF(AND(AR534&lt;&gt;"",N(Q534)&lt;0),"Acompte supérieur au total de la facture",IF(IF(AG534="Facture",COUNTIFS(fl_doc,A534,fl_check,"&lt;&gt;OK"),IF(AG534="Devis",COUNTIFS(dl_doc,F534,dl_check,"&lt;&gt;OK"),0))&gt;0,"Ligne(s) à corriger",IF(AND(W534&lt;&gt;"",N(W534)&lt;0),"Trop-perçu : vérifiez paiements et avoirs","OK")))))))))))))))))))))</f>
        <v/>
      </c>
      <c r="AA534" s="62" t="str">
        <f>IF(COUNTA(B534:D534,F534:O534)&gt;0,IF(B534="","Facture",B534),"")</f>
        <v/>
      </c>
      <c r="AB534" s="62" t="str">
        <f>IF(AA534="","",IF(AA534="Avoir",p_pav,IF(AA534="Facture d'acompte",p_pac,p_pfa)))</f>
        <v/>
      </c>
      <c r="AC534" s="62">
        <f>IF(ISNUMBER(C534),C534,0)</f>
        <v>0.0</v>
      </c>
      <c r="AD534" s="62" t="str">
        <f>IF(OR(AA534="",AC534=0),"",YEAR(AC534))</f>
        <v/>
      </c>
      <c r="AE534" s="62" t="str">
        <f>IF(AD534="","",COUNTIFS($AB$6:AB534,AB534,$AD$6:AD534,AD534))</f>
        <v/>
      </c>
      <c r="AF534" s="62">
        <f>IF(A534="",0,COUNTIF(fl_doc,A534))</f>
        <v>0.0</v>
      </c>
      <c r="AG534" s="62" t="str">
        <f>IF(A534="","",IF(AF534&gt;0,"Facture",IF(AND(F534&lt;&gt;"",AA534="Facture",ISNUMBER(MATCH(F534,dv_num,0))),"Devis","")))</f>
        <v/>
      </c>
      <c r="AH534" s="62" t="str">
        <f>IF(AND(A534&lt;&gt;"",F534&lt;&gt;"",AA534&lt;&gt;"Avoir"),F534,"")</f>
        <v/>
      </c>
      <c r="AI534" s="62" t="str">
        <f>IF(AG534="Devis",F534,"")</f>
        <v/>
      </c>
      <c r="AJ534" s="62">
        <f>IF(AG534="Facture",SUMIF(fl_doc,A534,fl_ht),IF(AG534="Devis",SUMIF(dl_doc,F534,dl_ht),0))</f>
        <v>0.0</v>
      </c>
      <c r="AK534" s="62">
        <f>IF(OR(AG534="",INDEX(p_rates,1)=""),0,IF(AG534="Facture",SUMIFS(fl_ht,fl_doc,A534,fl_rate,INDEX(p_rates,1)),SUMIFS(dl_ht,dl_doc,F534,dl_rate,INDEX(p_rates,1))))</f>
        <v>0.0</v>
      </c>
      <c r="AL534" s="62">
        <f>IF(OR(AG534="",INDEX(p_rates,2)=""),0,IF(AG534="Facture",SUMIFS(fl_ht,fl_doc,A534,fl_rate,INDEX(p_rates,2)),SUMIFS(dl_ht,dl_doc,F534,dl_rate,INDEX(p_rates,2))))</f>
        <v>0.0</v>
      </c>
      <c r="AM534" s="62">
        <f>IF(OR(AG534="",INDEX(p_rates,3)=""),0,IF(AG534="Facture",SUMIFS(fl_ht,fl_doc,A534,fl_rate,INDEX(p_rates,3)),SUMIFS(dl_ht,dl_doc,F534,dl_rate,INDEX(p_rates,3))))</f>
        <v>0.0</v>
      </c>
      <c r="AN534" s="62">
        <f>IF(OR(AG534="",INDEX(p_rates,4)=""),0,IF(AG534="Facture",SUMIFS(fl_ht,fl_doc,A534,fl_rate,INDEX(p_rates,4)),SUMIFS(dl_ht,dl_doc,F534,dl_rate,INDEX(p_rates,4))))</f>
        <v>0.0</v>
      </c>
      <c r="AO534" s="62">
        <f>IF(OR(AG534="",INDEX(p_rates,5)=""),0,IF(AG534="Facture",SUMIFS(fl_ht,fl_doc,A534,fl_rate,INDEX(p_rates,5)),SUMIFS(dl_ht,dl_doc,F534,dl_rate,INDEX(p_rates,5))))</f>
        <v>0.0</v>
      </c>
      <c r="AP534" s="62">
        <f>IF(OR(AG534="",INDEX(p_rates,6)=""),0,IF(AG534="Facture",SUMIFS(fl_ht,fl_doc,A534,fl_rate,INDEX(p_rates,6)),SUMIFS(dl_ht,dl_doc,F534,dl_rate,INDEX(p_rates,6))))</f>
        <v>0.0</v>
      </c>
      <c r="AQ534" s="62">
        <f>ROUND(AK534*N(INDEX(p_rates,1)),2)+ROUND(AL534*N(INDEX(p_rates,2)),2)+ROUND(AM534*N(INDEX(p_rates,3)),2)+ROUND(AN534*N(INDEX(p_rates,4)),2)+ROUND(AO534*N(INDEX(p_rates,5)),2)+ROUND(AP534*N(INDEX(p_rates,6)),2)</f>
        <v>0.0</v>
      </c>
      <c r="AR534" s="62" t="str">
        <f>IF(OR(L534="",AA534&lt;&gt;"Facture"),"",IFERROR(IF(INDEX(fa_type,MATCH(L534,fa_num,0))="Facture d'acompte",MATCH(L534,fa_num,0),""),""))</f>
        <v/>
      </c>
      <c r="AS534" s="62" t="str">
        <f>IF(W534="","",IF(W534&lt;=0,"",IF(p_asof-P534&lt;=0,"Non échu",IF(p_asof-P534&lt;=30,"1-30 j",IF(p_asof-P534&lt;=60,"31-60 j",IF(p_asof-P534&lt;=90,"61-90 j","Plus de 90 j"))))))</f>
        <v/>
      </c>
      <c r="AT534" s="62" t="str">
        <f>IF(AS534="","",p_asof-P534)</f>
        <v/>
      </c>
      <c r="AU534" s="62" t="str">
        <f>IF(AT534="","",COUNTIF($AT$6:$AT$805,"&gt;"&amp;AT534)+COUNTIF($AT$6:AT534,AT534))</f>
        <v/>
      </c>
    </row>
    <row r="535">
      <c r="A535" s="59" t="str">
        <f>IF(AE535="","",AB535&amp;"-"&amp;AD535&amp;"-"&amp;RIGHT("000"&amp;AE535,4))</f>
        <v/>
      </c>
      <c r="B535" s="60" t="n"/>
      <c r="C535" s="61" t="n"/>
      <c r="D535" s="60" t="n"/>
      <c r="E535" s="62" t="str">
        <f>IF(D535="","",IFERROR(INDEX(cli_name,MATCH(D535,cli_code,0))&amp;"","Client inconnu"))</f>
        <v/>
      </c>
      <c r="F535" s="60" t="n"/>
      <c r="G535" s="63" t="n"/>
      <c r="H535" s="61" t="n"/>
      <c r="I535" s="63" t="n"/>
      <c r="J535" s="60" t="n"/>
      <c r="K535" s="61" t="n"/>
      <c r="L535" s="60" t="n"/>
      <c r="M535" s="60" t="n"/>
      <c r="N535" s="60" t="n"/>
      <c r="O535" s="61" t="n"/>
      <c r="P535" s="64" t="str">
        <f>IF(A535="","",IF(AA535="Avoir",AC535,IF(ISNUMBER(K535),K535,AC535+IF(D535="",N(p_delay),IFERROR(IF(ISNUMBER(INDEX(cli_delay,MATCH(D535,cli_code,0))),INDEX(cli_delay,MATCH(D535,cli_code,0)),N(p_delay)),N(p_delay))))))</f>
        <v/>
      </c>
      <c r="Q535" s="65" t="str">
        <f>IF(A535="","",IF(AA535="Avoir",-1,1)*ROUND(AJ535-IF(AR535="",0,INDEX(fa_htb,AR535)),2))</f>
        <v/>
      </c>
      <c r="R535" s="65" t="str">
        <f>IF(A535="","",IF(AA535="Avoir",-1,1)*ROUND(AQ535-IF(AR535="",0,INDEX(fa_tvab,AR535)),2))</f>
        <v/>
      </c>
      <c r="S535" s="65" t="str">
        <f>IF(A535="","",Q535+R535)</f>
        <v/>
      </c>
      <c r="T535" s="65" t="str">
        <f>IF(AR535="","",INDEX(fa_htb,AR535)+INDEX(fa_tvab,AR535))</f>
        <v/>
      </c>
      <c r="U535" s="65" t="str">
        <f>IF(A535="","",SUMIF(pa_inv,A535,pa_amt))</f>
        <v/>
      </c>
      <c r="V535" s="65" t="str">
        <f>IF(OR(A535="",AA535="Avoir"),"",-SUMIFS(fa_ttc,fa_avof,A535,fa_type,"Avoir"))</f>
        <v/>
      </c>
      <c r="W535" s="65" t="str">
        <f>IF(OR(A535="",AA535="Avoir"),"",ROUND(S535-U535-V535,2))</f>
        <v/>
      </c>
      <c r="X535" s="66" t="str">
        <f>IF(W535="","",IF(AND(W535&gt;0,p_asof&gt;P535),p_asof-P535,""))</f>
        <v/>
      </c>
      <c r="Y535" s="59" t="str">
        <f>IF(A535="","",IF(AA535="Avoir","Avoir",IF(W535&lt;0,"Trop-perçu",IF(W535=0,"Soldée",IF(p_asof&gt;P535,"En retard",IF(U535+V535&gt;0,"Partielle","À échoir"))))))</f>
        <v/>
      </c>
      <c r="Z535" s="59" t="str">
        <f>IF(NOT(COUNTA(B535:D535,F535:O535)&gt;0),"",IF(C535="","Date manquante",IF(NOT(ISNUMBER(C535)),"Date invalide",IF(D535="","Client manquant",IF(ISNA(MATCH(D535,cli_code,0)),"Client inconnu",IF(AC535&lt;SUMPRODUCT(MAX(($AB$6:AB534=AB535)*$AC$6:AC534)),"Date antérieure à la facture précédente",IF(AND(F535&lt;&gt;"",ISNA(MATCH(F535,dv_num,0))),"Devis inconnu",IF(AND(F535&lt;&gt;"",IFERROR(INDEX(dv_client,MATCH(F535,dv_num,0)),D535)&lt;&gt;D535),"Client différent de celui du devis",IF(AG535="","Aucune ligne : saisissez des lignes ou un devis",IF(AND(AI535&lt;&gt;"",COUNTIF($AI$6:AI535,AI535)&gt;1),"Devis déjà repris par une autre facture",IF(AND(AA535="Avoir",M535=""),"Avoir : indiquez la facture d'origine",IF(AND(AA535="Avoir",ISNA(MATCH(M535,fa_num,0))),"Facture d'origine inconnue",IF(AND(AA535&lt;&gt;"Avoir",M535&lt;&gt;""),"« Avoir sur facture » : réservé aux avoirs",IF(AND(L535&lt;&gt;"",AA535&lt;&gt;"Facture"),"Acompte à déduire : réservé aux factures",IF(AND(L535&lt;&gt;"",ISNA(MATCH(L535,fa_num,0))),"Facture d'acompte inconnue",IF(AND(L535&lt;&gt;"",IFERROR(INDEX(fa_type,MATCH(L535,fa_num,0)),"")&lt;&gt;"Facture d'acompte"),"Le n° à déduire n'est pas une facture d'acompte",IF(AND(L535&lt;&gt;"",COUNTIF($L$6:L535,L535)&gt;1),"Acompte déjà déduit sur une autre facture",IF(AND(L535&lt;&gt;"",IFERROR(INDEX(fa_client,MATCH(L535,fa_num,0)),D535)&lt;&gt;D535),"Acompte d'un autre client",IF(AND(AR535&lt;&gt;"",N(Q535)&lt;0),"Acompte supérieur au total de la facture",IF(IF(AG535="Facture",COUNTIFS(fl_doc,A535,fl_check,"&lt;&gt;OK"),IF(AG535="Devis",COUNTIFS(dl_doc,F535,dl_check,"&lt;&gt;OK"),0))&gt;0,"Ligne(s) à corriger",IF(AND(W535&lt;&gt;"",N(W535)&lt;0),"Trop-perçu : vérifiez paiements et avoirs","OK")))))))))))))))))))))</f>
        <v/>
      </c>
      <c r="AA535" s="62" t="str">
        <f>IF(COUNTA(B535:D535,F535:O535)&gt;0,IF(B535="","Facture",B535),"")</f>
        <v/>
      </c>
      <c r="AB535" s="62" t="str">
        <f>IF(AA535="","",IF(AA535="Avoir",p_pav,IF(AA535="Facture d'acompte",p_pac,p_pfa)))</f>
        <v/>
      </c>
      <c r="AC535" s="62">
        <f>IF(ISNUMBER(C535),C535,0)</f>
        <v>0.0</v>
      </c>
      <c r="AD535" s="62" t="str">
        <f>IF(OR(AA535="",AC535=0),"",YEAR(AC535))</f>
        <v/>
      </c>
      <c r="AE535" s="62" t="str">
        <f>IF(AD535="","",COUNTIFS($AB$6:AB535,AB535,$AD$6:AD535,AD535))</f>
        <v/>
      </c>
      <c r="AF535" s="62">
        <f>IF(A535="",0,COUNTIF(fl_doc,A535))</f>
        <v>0.0</v>
      </c>
      <c r="AG535" s="62" t="str">
        <f>IF(A535="","",IF(AF535&gt;0,"Facture",IF(AND(F535&lt;&gt;"",AA535="Facture",ISNUMBER(MATCH(F535,dv_num,0))),"Devis","")))</f>
        <v/>
      </c>
      <c r="AH535" s="62" t="str">
        <f>IF(AND(A535&lt;&gt;"",F535&lt;&gt;"",AA535&lt;&gt;"Avoir"),F535,"")</f>
        <v/>
      </c>
      <c r="AI535" s="62" t="str">
        <f>IF(AG535="Devis",F535,"")</f>
        <v/>
      </c>
      <c r="AJ535" s="62">
        <f>IF(AG535="Facture",SUMIF(fl_doc,A535,fl_ht),IF(AG535="Devis",SUMIF(dl_doc,F535,dl_ht),0))</f>
        <v>0.0</v>
      </c>
      <c r="AK535" s="62">
        <f>IF(OR(AG535="",INDEX(p_rates,1)=""),0,IF(AG535="Facture",SUMIFS(fl_ht,fl_doc,A535,fl_rate,INDEX(p_rates,1)),SUMIFS(dl_ht,dl_doc,F535,dl_rate,INDEX(p_rates,1))))</f>
        <v>0.0</v>
      </c>
      <c r="AL535" s="62">
        <f>IF(OR(AG535="",INDEX(p_rates,2)=""),0,IF(AG535="Facture",SUMIFS(fl_ht,fl_doc,A535,fl_rate,INDEX(p_rates,2)),SUMIFS(dl_ht,dl_doc,F535,dl_rate,INDEX(p_rates,2))))</f>
        <v>0.0</v>
      </c>
      <c r="AM535" s="62">
        <f>IF(OR(AG535="",INDEX(p_rates,3)=""),0,IF(AG535="Facture",SUMIFS(fl_ht,fl_doc,A535,fl_rate,INDEX(p_rates,3)),SUMIFS(dl_ht,dl_doc,F535,dl_rate,INDEX(p_rates,3))))</f>
        <v>0.0</v>
      </c>
      <c r="AN535" s="62">
        <f>IF(OR(AG535="",INDEX(p_rates,4)=""),0,IF(AG535="Facture",SUMIFS(fl_ht,fl_doc,A535,fl_rate,INDEX(p_rates,4)),SUMIFS(dl_ht,dl_doc,F535,dl_rate,INDEX(p_rates,4))))</f>
        <v>0.0</v>
      </c>
      <c r="AO535" s="62">
        <f>IF(OR(AG535="",INDEX(p_rates,5)=""),0,IF(AG535="Facture",SUMIFS(fl_ht,fl_doc,A535,fl_rate,INDEX(p_rates,5)),SUMIFS(dl_ht,dl_doc,F535,dl_rate,INDEX(p_rates,5))))</f>
        <v>0.0</v>
      </c>
      <c r="AP535" s="62">
        <f>IF(OR(AG535="",INDEX(p_rates,6)=""),0,IF(AG535="Facture",SUMIFS(fl_ht,fl_doc,A535,fl_rate,INDEX(p_rates,6)),SUMIFS(dl_ht,dl_doc,F535,dl_rate,INDEX(p_rates,6))))</f>
        <v>0.0</v>
      </c>
      <c r="AQ535" s="62">
        <f>ROUND(AK535*N(INDEX(p_rates,1)),2)+ROUND(AL535*N(INDEX(p_rates,2)),2)+ROUND(AM535*N(INDEX(p_rates,3)),2)+ROUND(AN535*N(INDEX(p_rates,4)),2)+ROUND(AO535*N(INDEX(p_rates,5)),2)+ROUND(AP535*N(INDEX(p_rates,6)),2)</f>
        <v>0.0</v>
      </c>
      <c r="AR535" s="62" t="str">
        <f>IF(OR(L535="",AA535&lt;&gt;"Facture"),"",IFERROR(IF(INDEX(fa_type,MATCH(L535,fa_num,0))="Facture d'acompte",MATCH(L535,fa_num,0),""),""))</f>
        <v/>
      </c>
      <c r="AS535" s="62" t="str">
        <f>IF(W535="","",IF(W535&lt;=0,"",IF(p_asof-P535&lt;=0,"Non échu",IF(p_asof-P535&lt;=30,"1-30 j",IF(p_asof-P535&lt;=60,"31-60 j",IF(p_asof-P535&lt;=90,"61-90 j","Plus de 90 j"))))))</f>
        <v/>
      </c>
      <c r="AT535" s="62" t="str">
        <f>IF(AS535="","",p_asof-P535)</f>
        <v/>
      </c>
      <c r="AU535" s="62" t="str">
        <f>IF(AT535="","",COUNTIF($AT$6:$AT$805,"&gt;"&amp;AT535)+COUNTIF($AT$6:AT535,AT535))</f>
        <v/>
      </c>
    </row>
    <row r="536">
      <c r="A536" s="59" t="str">
        <f>IF(AE536="","",AB536&amp;"-"&amp;AD536&amp;"-"&amp;RIGHT("000"&amp;AE536,4))</f>
        <v/>
      </c>
      <c r="B536" s="60" t="n"/>
      <c r="C536" s="61" t="n"/>
      <c r="D536" s="60" t="n"/>
      <c r="E536" s="62" t="str">
        <f>IF(D536="","",IFERROR(INDEX(cli_name,MATCH(D536,cli_code,0))&amp;"","Client inconnu"))</f>
        <v/>
      </c>
      <c r="F536" s="60" t="n"/>
      <c r="G536" s="63" t="n"/>
      <c r="H536" s="61" t="n"/>
      <c r="I536" s="63" t="n"/>
      <c r="J536" s="60" t="n"/>
      <c r="K536" s="61" t="n"/>
      <c r="L536" s="60" t="n"/>
      <c r="M536" s="60" t="n"/>
      <c r="N536" s="60" t="n"/>
      <c r="O536" s="61" t="n"/>
      <c r="P536" s="64" t="str">
        <f>IF(A536="","",IF(AA536="Avoir",AC536,IF(ISNUMBER(K536),K536,AC536+IF(D536="",N(p_delay),IFERROR(IF(ISNUMBER(INDEX(cli_delay,MATCH(D536,cli_code,0))),INDEX(cli_delay,MATCH(D536,cli_code,0)),N(p_delay)),N(p_delay))))))</f>
        <v/>
      </c>
      <c r="Q536" s="65" t="str">
        <f>IF(A536="","",IF(AA536="Avoir",-1,1)*ROUND(AJ536-IF(AR536="",0,INDEX(fa_htb,AR536)),2))</f>
        <v/>
      </c>
      <c r="R536" s="65" t="str">
        <f>IF(A536="","",IF(AA536="Avoir",-1,1)*ROUND(AQ536-IF(AR536="",0,INDEX(fa_tvab,AR536)),2))</f>
        <v/>
      </c>
      <c r="S536" s="65" t="str">
        <f>IF(A536="","",Q536+R536)</f>
        <v/>
      </c>
      <c r="T536" s="65" t="str">
        <f>IF(AR536="","",INDEX(fa_htb,AR536)+INDEX(fa_tvab,AR536))</f>
        <v/>
      </c>
      <c r="U536" s="65" t="str">
        <f>IF(A536="","",SUMIF(pa_inv,A536,pa_amt))</f>
        <v/>
      </c>
      <c r="V536" s="65" t="str">
        <f>IF(OR(A536="",AA536="Avoir"),"",-SUMIFS(fa_ttc,fa_avof,A536,fa_type,"Avoir"))</f>
        <v/>
      </c>
      <c r="W536" s="65" t="str">
        <f>IF(OR(A536="",AA536="Avoir"),"",ROUND(S536-U536-V536,2))</f>
        <v/>
      </c>
      <c r="X536" s="66" t="str">
        <f>IF(W536="","",IF(AND(W536&gt;0,p_asof&gt;P536),p_asof-P536,""))</f>
        <v/>
      </c>
      <c r="Y536" s="59" t="str">
        <f>IF(A536="","",IF(AA536="Avoir","Avoir",IF(W536&lt;0,"Trop-perçu",IF(W536=0,"Soldée",IF(p_asof&gt;P536,"En retard",IF(U536+V536&gt;0,"Partielle","À échoir"))))))</f>
        <v/>
      </c>
      <c r="Z536" s="59" t="str">
        <f>IF(NOT(COUNTA(B536:D536,F536:O536)&gt;0),"",IF(C536="","Date manquante",IF(NOT(ISNUMBER(C536)),"Date invalide",IF(D536="","Client manquant",IF(ISNA(MATCH(D536,cli_code,0)),"Client inconnu",IF(AC536&lt;SUMPRODUCT(MAX(($AB$6:AB535=AB536)*$AC$6:AC535)),"Date antérieure à la facture précédente",IF(AND(F536&lt;&gt;"",ISNA(MATCH(F536,dv_num,0))),"Devis inconnu",IF(AND(F536&lt;&gt;"",IFERROR(INDEX(dv_client,MATCH(F536,dv_num,0)),D536)&lt;&gt;D536),"Client différent de celui du devis",IF(AG536="","Aucune ligne : saisissez des lignes ou un devis",IF(AND(AI536&lt;&gt;"",COUNTIF($AI$6:AI536,AI536)&gt;1),"Devis déjà repris par une autre facture",IF(AND(AA536="Avoir",M536=""),"Avoir : indiquez la facture d'origine",IF(AND(AA536="Avoir",ISNA(MATCH(M536,fa_num,0))),"Facture d'origine inconnue",IF(AND(AA536&lt;&gt;"Avoir",M536&lt;&gt;""),"« Avoir sur facture » : réservé aux avoirs",IF(AND(L536&lt;&gt;"",AA536&lt;&gt;"Facture"),"Acompte à déduire : réservé aux factures",IF(AND(L536&lt;&gt;"",ISNA(MATCH(L536,fa_num,0))),"Facture d'acompte inconnue",IF(AND(L536&lt;&gt;"",IFERROR(INDEX(fa_type,MATCH(L536,fa_num,0)),"")&lt;&gt;"Facture d'acompte"),"Le n° à déduire n'est pas une facture d'acompte",IF(AND(L536&lt;&gt;"",COUNTIF($L$6:L536,L536)&gt;1),"Acompte déjà déduit sur une autre facture",IF(AND(L536&lt;&gt;"",IFERROR(INDEX(fa_client,MATCH(L536,fa_num,0)),D536)&lt;&gt;D536),"Acompte d'un autre client",IF(AND(AR536&lt;&gt;"",N(Q536)&lt;0),"Acompte supérieur au total de la facture",IF(IF(AG536="Facture",COUNTIFS(fl_doc,A536,fl_check,"&lt;&gt;OK"),IF(AG536="Devis",COUNTIFS(dl_doc,F536,dl_check,"&lt;&gt;OK"),0))&gt;0,"Ligne(s) à corriger",IF(AND(W536&lt;&gt;"",N(W536)&lt;0),"Trop-perçu : vérifiez paiements et avoirs","OK")))))))))))))))))))))</f>
        <v/>
      </c>
      <c r="AA536" s="62" t="str">
        <f>IF(COUNTA(B536:D536,F536:O536)&gt;0,IF(B536="","Facture",B536),"")</f>
        <v/>
      </c>
      <c r="AB536" s="62" t="str">
        <f>IF(AA536="","",IF(AA536="Avoir",p_pav,IF(AA536="Facture d'acompte",p_pac,p_pfa)))</f>
        <v/>
      </c>
      <c r="AC536" s="62">
        <f>IF(ISNUMBER(C536),C536,0)</f>
        <v>0.0</v>
      </c>
      <c r="AD536" s="62" t="str">
        <f>IF(OR(AA536="",AC536=0),"",YEAR(AC536))</f>
        <v/>
      </c>
      <c r="AE536" s="62" t="str">
        <f>IF(AD536="","",COUNTIFS($AB$6:AB536,AB536,$AD$6:AD536,AD536))</f>
        <v/>
      </c>
      <c r="AF536" s="62">
        <f>IF(A536="",0,COUNTIF(fl_doc,A536))</f>
        <v>0.0</v>
      </c>
      <c r="AG536" s="62" t="str">
        <f>IF(A536="","",IF(AF536&gt;0,"Facture",IF(AND(F536&lt;&gt;"",AA536="Facture",ISNUMBER(MATCH(F536,dv_num,0))),"Devis","")))</f>
        <v/>
      </c>
      <c r="AH536" s="62" t="str">
        <f>IF(AND(A536&lt;&gt;"",F536&lt;&gt;"",AA536&lt;&gt;"Avoir"),F536,"")</f>
        <v/>
      </c>
      <c r="AI536" s="62" t="str">
        <f>IF(AG536="Devis",F536,"")</f>
        <v/>
      </c>
      <c r="AJ536" s="62">
        <f>IF(AG536="Facture",SUMIF(fl_doc,A536,fl_ht),IF(AG536="Devis",SUMIF(dl_doc,F536,dl_ht),0))</f>
        <v>0.0</v>
      </c>
      <c r="AK536" s="62">
        <f>IF(OR(AG536="",INDEX(p_rates,1)=""),0,IF(AG536="Facture",SUMIFS(fl_ht,fl_doc,A536,fl_rate,INDEX(p_rates,1)),SUMIFS(dl_ht,dl_doc,F536,dl_rate,INDEX(p_rates,1))))</f>
        <v>0.0</v>
      </c>
      <c r="AL536" s="62">
        <f>IF(OR(AG536="",INDEX(p_rates,2)=""),0,IF(AG536="Facture",SUMIFS(fl_ht,fl_doc,A536,fl_rate,INDEX(p_rates,2)),SUMIFS(dl_ht,dl_doc,F536,dl_rate,INDEX(p_rates,2))))</f>
        <v>0.0</v>
      </c>
      <c r="AM536" s="62">
        <f>IF(OR(AG536="",INDEX(p_rates,3)=""),0,IF(AG536="Facture",SUMIFS(fl_ht,fl_doc,A536,fl_rate,INDEX(p_rates,3)),SUMIFS(dl_ht,dl_doc,F536,dl_rate,INDEX(p_rates,3))))</f>
        <v>0.0</v>
      </c>
      <c r="AN536" s="62">
        <f>IF(OR(AG536="",INDEX(p_rates,4)=""),0,IF(AG536="Facture",SUMIFS(fl_ht,fl_doc,A536,fl_rate,INDEX(p_rates,4)),SUMIFS(dl_ht,dl_doc,F536,dl_rate,INDEX(p_rates,4))))</f>
        <v>0.0</v>
      </c>
      <c r="AO536" s="62">
        <f>IF(OR(AG536="",INDEX(p_rates,5)=""),0,IF(AG536="Facture",SUMIFS(fl_ht,fl_doc,A536,fl_rate,INDEX(p_rates,5)),SUMIFS(dl_ht,dl_doc,F536,dl_rate,INDEX(p_rates,5))))</f>
        <v>0.0</v>
      </c>
      <c r="AP536" s="62">
        <f>IF(OR(AG536="",INDEX(p_rates,6)=""),0,IF(AG536="Facture",SUMIFS(fl_ht,fl_doc,A536,fl_rate,INDEX(p_rates,6)),SUMIFS(dl_ht,dl_doc,F536,dl_rate,INDEX(p_rates,6))))</f>
        <v>0.0</v>
      </c>
      <c r="AQ536" s="62">
        <f>ROUND(AK536*N(INDEX(p_rates,1)),2)+ROUND(AL536*N(INDEX(p_rates,2)),2)+ROUND(AM536*N(INDEX(p_rates,3)),2)+ROUND(AN536*N(INDEX(p_rates,4)),2)+ROUND(AO536*N(INDEX(p_rates,5)),2)+ROUND(AP536*N(INDEX(p_rates,6)),2)</f>
        <v>0.0</v>
      </c>
      <c r="AR536" s="62" t="str">
        <f>IF(OR(L536="",AA536&lt;&gt;"Facture"),"",IFERROR(IF(INDEX(fa_type,MATCH(L536,fa_num,0))="Facture d'acompte",MATCH(L536,fa_num,0),""),""))</f>
        <v/>
      </c>
      <c r="AS536" s="62" t="str">
        <f>IF(W536="","",IF(W536&lt;=0,"",IF(p_asof-P536&lt;=0,"Non échu",IF(p_asof-P536&lt;=30,"1-30 j",IF(p_asof-P536&lt;=60,"31-60 j",IF(p_asof-P536&lt;=90,"61-90 j","Plus de 90 j"))))))</f>
        <v/>
      </c>
      <c r="AT536" s="62" t="str">
        <f>IF(AS536="","",p_asof-P536)</f>
        <v/>
      </c>
      <c r="AU536" s="62" t="str">
        <f>IF(AT536="","",COUNTIF($AT$6:$AT$805,"&gt;"&amp;AT536)+COUNTIF($AT$6:AT536,AT536))</f>
        <v/>
      </c>
    </row>
    <row r="537">
      <c r="A537" s="59" t="str">
        <f>IF(AE537="","",AB537&amp;"-"&amp;AD537&amp;"-"&amp;RIGHT("000"&amp;AE537,4))</f>
        <v/>
      </c>
      <c r="B537" s="60" t="n"/>
      <c r="C537" s="61" t="n"/>
      <c r="D537" s="60" t="n"/>
      <c r="E537" s="62" t="str">
        <f>IF(D537="","",IFERROR(INDEX(cli_name,MATCH(D537,cli_code,0))&amp;"","Client inconnu"))</f>
        <v/>
      </c>
      <c r="F537" s="60" t="n"/>
      <c r="G537" s="63" t="n"/>
      <c r="H537" s="61" t="n"/>
      <c r="I537" s="63" t="n"/>
      <c r="J537" s="60" t="n"/>
      <c r="K537" s="61" t="n"/>
      <c r="L537" s="60" t="n"/>
      <c r="M537" s="60" t="n"/>
      <c r="N537" s="60" t="n"/>
      <c r="O537" s="61" t="n"/>
      <c r="P537" s="64" t="str">
        <f>IF(A537="","",IF(AA537="Avoir",AC537,IF(ISNUMBER(K537),K537,AC537+IF(D537="",N(p_delay),IFERROR(IF(ISNUMBER(INDEX(cli_delay,MATCH(D537,cli_code,0))),INDEX(cli_delay,MATCH(D537,cli_code,0)),N(p_delay)),N(p_delay))))))</f>
        <v/>
      </c>
      <c r="Q537" s="65" t="str">
        <f>IF(A537="","",IF(AA537="Avoir",-1,1)*ROUND(AJ537-IF(AR537="",0,INDEX(fa_htb,AR537)),2))</f>
        <v/>
      </c>
      <c r="R537" s="65" t="str">
        <f>IF(A537="","",IF(AA537="Avoir",-1,1)*ROUND(AQ537-IF(AR537="",0,INDEX(fa_tvab,AR537)),2))</f>
        <v/>
      </c>
      <c r="S537" s="65" t="str">
        <f>IF(A537="","",Q537+R537)</f>
        <v/>
      </c>
      <c r="T537" s="65" t="str">
        <f>IF(AR537="","",INDEX(fa_htb,AR537)+INDEX(fa_tvab,AR537))</f>
        <v/>
      </c>
      <c r="U537" s="65" t="str">
        <f>IF(A537="","",SUMIF(pa_inv,A537,pa_amt))</f>
        <v/>
      </c>
      <c r="V537" s="65" t="str">
        <f>IF(OR(A537="",AA537="Avoir"),"",-SUMIFS(fa_ttc,fa_avof,A537,fa_type,"Avoir"))</f>
        <v/>
      </c>
      <c r="W537" s="65" t="str">
        <f>IF(OR(A537="",AA537="Avoir"),"",ROUND(S537-U537-V537,2))</f>
        <v/>
      </c>
      <c r="X537" s="66" t="str">
        <f>IF(W537="","",IF(AND(W537&gt;0,p_asof&gt;P537),p_asof-P537,""))</f>
        <v/>
      </c>
      <c r="Y537" s="59" t="str">
        <f>IF(A537="","",IF(AA537="Avoir","Avoir",IF(W537&lt;0,"Trop-perçu",IF(W537=0,"Soldée",IF(p_asof&gt;P537,"En retard",IF(U537+V537&gt;0,"Partielle","À échoir"))))))</f>
        <v/>
      </c>
      <c r="Z537" s="59" t="str">
        <f>IF(NOT(COUNTA(B537:D537,F537:O537)&gt;0),"",IF(C537="","Date manquante",IF(NOT(ISNUMBER(C537)),"Date invalide",IF(D537="","Client manquant",IF(ISNA(MATCH(D537,cli_code,0)),"Client inconnu",IF(AC537&lt;SUMPRODUCT(MAX(($AB$6:AB536=AB537)*$AC$6:AC536)),"Date antérieure à la facture précédente",IF(AND(F537&lt;&gt;"",ISNA(MATCH(F537,dv_num,0))),"Devis inconnu",IF(AND(F537&lt;&gt;"",IFERROR(INDEX(dv_client,MATCH(F537,dv_num,0)),D537)&lt;&gt;D537),"Client différent de celui du devis",IF(AG537="","Aucune ligne : saisissez des lignes ou un devis",IF(AND(AI537&lt;&gt;"",COUNTIF($AI$6:AI537,AI537)&gt;1),"Devis déjà repris par une autre facture",IF(AND(AA537="Avoir",M537=""),"Avoir : indiquez la facture d'origine",IF(AND(AA537="Avoir",ISNA(MATCH(M537,fa_num,0))),"Facture d'origine inconnue",IF(AND(AA537&lt;&gt;"Avoir",M537&lt;&gt;""),"« Avoir sur facture » : réservé aux avoirs",IF(AND(L537&lt;&gt;"",AA537&lt;&gt;"Facture"),"Acompte à déduire : réservé aux factures",IF(AND(L537&lt;&gt;"",ISNA(MATCH(L537,fa_num,0))),"Facture d'acompte inconnue",IF(AND(L537&lt;&gt;"",IFERROR(INDEX(fa_type,MATCH(L537,fa_num,0)),"")&lt;&gt;"Facture d'acompte"),"Le n° à déduire n'est pas une facture d'acompte",IF(AND(L537&lt;&gt;"",COUNTIF($L$6:L537,L537)&gt;1),"Acompte déjà déduit sur une autre facture",IF(AND(L537&lt;&gt;"",IFERROR(INDEX(fa_client,MATCH(L537,fa_num,0)),D537)&lt;&gt;D537),"Acompte d'un autre client",IF(AND(AR537&lt;&gt;"",N(Q537)&lt;0),"Acompte supérieur au total de la facture",IF(IF(AG537="Facture",COUNTIFS(fl_doc,A537,fl_check,"&lt;&gt;OK"),IF(AG537="Devis",COUNTIFS(dl_doc,F537,dl_check,"&lt;&gt;OK"),0))&gt;0,"Ligne(s) à corriger",IF(AND(W537&lt;&gt;"",N(W537)&lt;0),"Trop-perçu : vérifiez paiements et avoirs","OK")))))))))))))))))))))</f>
        <v/>
      </c>
      <c r="AA537" s="62" t="str">
        <f>IF(COUNTA(B537:D537,F537:O537)&gt;0,IF(B537="","Facture",B537),"")</f>
        <v/>
      </c>
      <c r="AB537" s="62" t="str">
        <f>IF(AA537="","",IF(AA537="Avoir",p_pav,IF(AA537="Facture d'acompte",p_pac,p_pfa)))</f>
        <v/>
      </c>
      <c r="AC537" s="62">
        <f>IF(ISNUMBER(C537),C537,0)</f>
        <v>0.0</v>
      </c>
      <c r="AD537" s="62" t="str">
        <f>IF(OR(AA537="",AC537=0),"",YEAR(AC537))</f>
        <v/>
      </c>
      <c r="AE537" s="62" t="str">
        <f>IF(AD537="","",COUNTIFS($AB$6:AB537,AB537,$AD$6:AD537,AD537))</f>
        <v/>
      </c>
      <c r="AF537" s="62">
        <f>IF(A537="",0,COUNTIF(fl_doc,A537))</f>
        <v>0.0</v>
      </c>
      <c r="AG537" s="62" t="str">
        <f>IF(A537="","",IF(AF537&gt;0,"Facture",IF(AND(F537&lt;&gt;"",AA537="Facture",ISNUMBER(MATCH(F537,dv_num,0))),"Devis","")))</f>
        <v/>
      </c>
      <c r="AH537" s="62" t="str">
        <f>IF(AND(A537&lt;&gt;"",F537&lt;&gt;"",AA537&lt;&gt;"Avoir"),F537,"")</f>
        <v/>
      </c>
      <c r="AI537" s="62" t="str">
        <f>IF(AG537="Devis",F537,"")</f>
        <v/>
      </c>
      <c r="AJ537" s="62">
        <f>IF(AG537="Facture",SUMIF(fl_doc,A537,fl_ht),IF(AG537="Devis",SUMIF(dl_doc,F537,dl_ht),0))</f>
        <v>0.0</v>
      </c>
      <c r="AK537" s="62">
        <f>IF(OR(AG537="",INDEX(p_rates,1)=""),0,IF(AG537="Facture",SUMIFS(fl_ht,fl_doc,A537,fl_rate,INDEX(p_rates,1)),SUMIFS(dl_ht,dl_doc,F537,dl_rate,INDEX(p_rates,1))))</f>
        <v>0.0</v>
      </c>
      <c r="AL537" s="62">
        <f>IF(OR(AG537="",INDEX(p_rates,2)=""),0,IF(AG537="Facture",SUMIFS(fl_ht,fl_doc,A537,fl_rate,INDEX(p_rates,2)),SUMIFS(dl_ht,dl_doc,F537,dl_rate,INDEX(p_rates,2))))</f>
        <v>0.0</v>
      </c>
      <c r="AM537" s="62">
        <f>IF(OR(AG537="",INDEX(p_rates,3)=""),0,IF(AG537="Facture",SUMIFS(fl_ht,fl_doc,A537,fl_rate,INDEX(p_rates,3)),SUMIFS(dl_ht,dl_doc,F537,dl_rate,INDEX(p_rates,3))))</f>
        <v>0.0</v>
      </c>
      <c r="AN537" s="62">
        <f>IF(OR(AG537="",INDEX(p_rates,4)=""),0,IF(AG537="Facture",SUMIFS(fl_ht,fl_doc,A537,fl_rate,INDEX(p_rates,4)),SUMIFS(dl_ht,dl_doc,F537,dl_rate,INDEX(p_rates,4))))</f>
        <v>0.0</v>
      </c>
      <c r="AO537" s="62">
        <f>IF(OR(AG537="",INDEX(p_rates,5)=""),0,IF(AG537="Facture",SUMIFS(fl_ht,fl_doc,A537,fl_rate,INDEX(p_rates,5)),SUMIFS(dl_ht,dl_doc,F537,dl_rate,INDEX(p_rates,5))))</f>
        <v>0.0</v>
      </c>
      <c r="AP537" s="62">
        <f>IF(OR(AG537="",INDEX(p_rates,6)=""),0,IF(AG537="Facture",SUMIFS(fl_ht,fl_doc,A537,fl_rate,INDEX(p_rates,6)),SUMIFS(dl_ht,dl_doc,F537,dl_rate,INDEX(p_rates,6))))</f>
        <v>0.0</v>
      </c>
      <c r="AQ537" s="62">
        <f>ROUND(AK537*N(INDEX(p_rates,1)),2)+ROUND(AL537*N(INDEX(p_rates,2)),2)+ROUND(AM537*N(INDEX(p_rates,3)),2)+ROUND(AN537*N(INDEX(p_rates,4)),2)+ROUND(AO537*N(INDEX(p_rates,5)),2)+ROUND(AP537*N(INDEX(p_rates,6)),2)</f>
        <v>0.0</v>
      </c>
      <c r="AR537" s="62" t="str">
        <f>IF(OR(L537="",AA537&lt;&gt;"Facture"),"",IFERROR(IF(INDEX(fa_type,MATCH(L537,fa_num,0))="Facture d'acompte",MATCH(L537,fa_num,0),""),""))</f>
        <v/>
      </c>
      <c r="AS537" s="62" t="str">
        <f>IF(W537="","",IF(W537&lt;=0,"",IF(p_asof-P537&lt;=0,"Non échu",IF(p_asof-P537&lt;=30,"1-30 j",IF(p_asof-P537&lt;=60,"31-60 j",IF(p_asof-P537&lt;=90,"61-90 j","Plus de 90 j"))))))</f>
        <v/>
      </c>
      <c r="AT537" s="62" t="str">
        <f>IF(AS537="","",p_asof-P537)</f>
        <v/>
      </c>
      <c r="AU537" s="62" t="str">
        <f>IF(AT537="","",COUNTIF($AT$6:$AT$805,"&gt;"&amp;AT537)+COUNTIF($AT$6:AT537,AT537))</f>
        <v/>
      </c>
    </row>
    <row r="538">
      <c r="A538" s="59" t="str">
        <f>IF(AE538="","",AB538&amp;"-"&amp;AD538&amp;"-"&amp;RIGHT("000"&amp;AE538,4))</f>
        <v/>
      </c>
      <c r="B538" s="60" t="n"/>
      <c r="C538" s="61" t="n"/>
      <c r="D538" s="60" t="n"/>
      <c r="E538" s="62" t="str">
        <f>IF(D538="","",IFERROR(INDEX(cli_name,MATCH(D538,cli_code,0))&amp;"","Client inconnu"))</f>
        <v/>
      </c>
      <c r="F538" s="60" t="n"/>
      <c r="G538" s="63" t="n"/>
      <c r="H538" s="61" t="n"/>
      <c r="I538" s="63" t="n"/>
      <c r="J538" s="60" t="n"/>
      <c r="K538" s="61" t="n"/>
      <c r="L538" s="60" t="n"/>
      <c r="M538" s="60" t="n"/>
      <c r="N538" s="60" t="n"/>
      <c r="O538" s="61" t="n"/>
      <c r="P538" s="64" t="str">
        <f>IF(A538="","",IF(AA538="Avoir",AC538,IF(ISNUMBER(K538),K538,AC538+IF(D538="",N(p_delay),IFERROR(IF(ISNUMBER(INDEX(cli_delay,MATCH(D538,cli_code,0))),INDEX(cli_delay,MATCH(D538,cli_code,0)),N(p_delay)),N(p_delay))))))</f>
        <v/>
      </c>
      <c r="Q538" s="65" t="str">
        <f>IF(A538="","",IF(AA538="Avoir",-1,1)*ROUND(AJ538-IF(AR538="",0,INDEX(fa_htb,AR538)),2))</f>
        <v/>
      </c>
      <c r="R538" s="65" t="str">
        <f>IF(A538="","",IF(AA538="Avoir",-1,1)*ROUND(AQ538-IF(AR538="",0,INDEX(fa_tvab,AR538)),2))</f>
        <v/>
      </c>
      <c r="S538" s="65" t="str">
        <f>IF(A538="","",Q538+R538)</f>
        <v/>
      </c>
      <c r="T538" s="65" t="str">
        <f>IF(AR538="","",INDEX(fa_htb,AR538)+INDEX(fa_tvab,AR538))</f>
        <v/>
      </c>
      <c r="U538" s="65" t="str">
        <f>IF(A538="","",SUMIF(pa_inv,A538,pa_amt))</f>
        <v/>
      </c>
      <c r="V538" s="65" t="str">
        <f>IF(OR(A538="",AA538="Avoir"),"",-SUMIFS(fa_ttc,fa_avof,A538,fa_type,"Avoir"))</f>
        <v/>
      </c>
      <c r="W538" s="65" t="str">
        <f>IF(OR(A538="",AA538="Avoir"),"",ROUND(S538-U538-V538,2))</f>
        <v/>
      </c>
      <c r="X538" s="66" t="str">
        <f>IF(W538="","",IF(AND(W538&gt;0,p_asof&gt;P538),p_asof-P538,""))</f>
        <v/>
      </c>
      <c r="Y538" s="59" t="str">
        <f>IF(A538="","",IF(AA538="Avoir","Avoir",IF(W538&lt;0,"Trop-perçu",IF(W538=0,"Soldée",IF(p_asof&gt;P538,"En retard",IF(U538+V538&gt;0,"Partielle","À échoir"))))))</f>
        <v/>
      </c>
      <c r="Z538" s="59" t="str">
        <f>IF(NOT(COUNTA(B538:D538,F538:O538)&gt;0),"",IF(C538="","Date manquante",IF(NOT(ISNUMBER(C538)),"Date invalide",IF(D538="","Client manquant",IF(ISNA(MATCH(D538,cli_code,0)),"Client inconnu",IF(AC538&lt;SUMPRODUCT(MAX(($AB$6:AB537=AB538)*$AC$6:AC537)),"Date antérieure à la facture précédente",IF(AND(F538&lt;&gt;"",ISNA(MATCH(F538,dv_num,0))),"Devis inconnu",IF(AND(F538&lt;&gt;"",IFERROR(INDEX(dv_client,MATCH(F538,dv_num,0)),D538)&lt;&gt;D538),"Client différent de celui du devis",IF(AG538="","Aucune ligne : saisissez des lignes ou un devis",IF(AND(AI538&lt;&gt;"",COUNTIF($AI$6:AI538,AI538)&gt;1),"Devis déjà repris par une autre facture",IF(AND(AA538="Avoir",M538=""),"Avoir : indiquez la facture d'origine",IF(AND(AA538="Avoir",ISNA(MATCH(M538,fa_num,0))),"Facture d'origine inconnue",IF(AND(AA538&lt;&gt;"Avoir",M538&lt;&gt;""),"« Avoir sur facture » : réservé aux avoirs",IF(AND(L538&lt;&gt;"",AA538&lt;&gt;"Facture"),"Acompte à déduire : réservé aux factures",IF(AND(L538&lt;&gt;"",ISNA(MATCH(L538,fa_num,0))),"Facture d'acompte inconnue",IF(AND(L538&lt;&gt;"",IFERROR(INDEX(fa_type,MATCH(L538,fa_num,0)),"")&lt;&gt;"Facture d'acompte"),"Le n° à déduire n'est pas une facture d'acompte",IF(AND(L538&lt;&gt;"",COUNTIF($L$6:L538,L538)&gt;1),"Acompte déjà déduit sur une autre facture",IF(AND(L538&lt;&gt;"",IFERROR(INDEX(fa_client,MATCH(L538,fa_num,0)),D538)&lt;&gt;D538),"Acompte d'un autre client",IF(AND(AR538&lt;&gt;"",N(Q538)&lt;0),"Acompte supérieur au total de la facture",IF(IF(AG538="Facture",COUNTIFS(fl_doc,A538,fl_check,"&lt;&gt;OK"),IF(AG538="Devis",COUNTIFS(dl_doc,F538,dl_check,"&lt;&gt;OK"),0))&gt;0,"Ligne(s) à corriger",IF(AND(W538&lt;&gt;"",N(W538)&lt;0),"Trop-perçu : vérifiez paiements et avoirs","OK")))))))))))))))))))))</f>
        <v/>
      </c>
      <c r="AA538" s="62" t="str">
        <f>IF(COUNTA(B538:D538,F538:O538)&gt;0,IF(B538="","Facture",B538),"")</f>
        <v/>
      </c>
      <c r="AB538" s="62" t="str">
        <f>IF(AA538="","",IF(AA538="Avoir",p_pav,IF(AA538="Facture d'acompte",p_pac,p_pfa)))</f>
        <v/>
      </c>
      <c r="AC538" s="62">
        <f>IF(ISNUMBER(C538),C538,0)</f>
        <v>0.0</v>
      </c>
      <c r="AD538" s="62" t="str">
        <f>IF(OR(AA538="",AC538=0),"",YEAR(AC538))</f>
        <v/>
      </c>
      <c r="AE538" s="62" t="str">
        <f>IF(AD538="","",COUNTIFS($AB$6:AB538,AB538,$AD$6:AD538,AD538))</f>
        <v/>
      </c>
      <c r="AF538" s="62">
        <f>IF(A538="",0,COUNTIF(fl_doc,A538))</f>
        <v>0.0</v>
      </c>
      <c r="AG538" s="62" t="str">
        <f>IF(A538="","",IF(AF538&gt;0,"Facture",IF(AND(F538&lt;&gt;"",AA538="Facture",ISNUMBER(MATCH(F538,dv_num,0))),"Devis","")))</f>
        <v/>
      </c>
      <c r="AH538" s="62" t="str">
        <f>IF(AND(A538&lt;&gt;"",F538&lt;&gt;"",AA538&lt;&gt;"Avoir"),F538,"")</f>
        <v/>
      </c>
      <c r="AI538" s="62" t="str">
        <f>IF(AG538="Devis",F538,"")</f>
        <v/>
      </c>
      <c r="AJ538" s="62">
        <f>IF(AG538="Facture",SUMIF(fl_doc,A538,fl_ht),IF(AG538="Devis",SUMIF(dl_doc,F538,dl_ht),0))</f>
        <v>0.0</v>
      </c>
      <c r="AK538" s="62">
        <f>IF(OR(AG538="",INDEX(p_rates,1)=""),0,IF(AG538="Facture",SUMIFS(fl_ht,fl_doc,A538,fl_rate,INDEX(p_rates,1)),SUMIFS(dl_ht,dl_doc,F538,dl_rate,INDEX(p_rates,1))))</f>
        <v>0.0</v>
      </c>
      <c r="AL538" s="62">
        <f>IF(OR(AG538="",INDEX(p_rates,2)=""),0,IF(AG538="Facture",SUMIFS(fl_ht,fl_doc,A538,fl_rate,INDEX(p_rates,2)),SUMIFS(dl_ht,dl_doc,F538,dl_rate,INDEX(p_rates,2))))</f>
        <v>0.0</v>
      </c>
      <c r="AM538" s="62">
        <f>IF(OR(AG538="",INDEX(p_rates,3)=""),0,IF(AG538="Facture",SUMIFS(fl_ht,fl_doc,A538,fl_rate,INDEX(p_rates,3)),SUMIFS(dl_ht,dl_doc,F538,dl_rate,INDEX(p_rates,3))))</f>
        <v>0.0</v>
      </c>
      <c r="AN538" s="62">
        <f>IF(OR(AG538="",INDEX(p_rates,4)=""),0,IF(AG538="Facture",SUMIFS(fl_ht,fl_doc,A538,fl_rate,INDEX(p_rates,4)),SUMIFS(dl_ht,dl_doc,F538,dl_rate,INDEX(p_rates,4))))</f>
        <v>0.0</v>
      </c>
      <c r="AO538" s="62">
        <f>IF(OR(AG538="",INDEX(p_rates,5)=""),0,IF(AG538="Facture",SUMIFS(fl_ht,fl_doc,A538,fl_rate,INDEX(p_rates,5)),SUMIFS(dl_ht,dl_doc,F538,dl_rate,INDEX(p_rates,5))))</f>
        <v>0.0</v>
      </c>
      <c r="AP538" s="62">
        <f>IF(OR(AG538="",INDEX(p_rates,6)=""),0,IF(AG538="Facture",SUMIFS(fl_ht,fl_doc,A538,fl_rate,INDEX(p_rates,6)),SUMIFS(dl_ht,dl_doc,F538,dl_rate,INDEX(p_rates,6))))</f>
        <v>0.0</v>
      </c>
      <c r="AQ538" s="62">
        <f>ROUND(AK538*N(INDEX(p_rates,1)),2)+ROUND(AL538*N(INDEX(p_rates,2)),2)+ROUND(AM538*N(INDEX(p_rates,3)),2)+ROUND(AN538*N(INDEX(p_rates,4)),2)+ROUND(AO538*N(INDEX(p_rates,5)),2)+ROUND(AP538*N(INDEX(p_rates,6)),2)</f>
        <v>0.0</v>
      </c>
      <c r="AR538" s="62" t="str">
        <f>IF(OR(L538="",AA538&lt;&gt;"Facture"),"",IFERROR(IF(INDEX(fa_type,MATCH(L538,fa_num,0))="Facture d'acompte",MATCH(L538,fa_num,0),""),""))</f>
        <v/>
      </c>
      <c r="AS538" s="62" t="str">
        <f>IF(W538="","",IF(W538&lt;=0,"",IF(p_asof-P538&lt;=0,"Non échu",IF(p_asof-P538&lt;=30,"1-30 j",IF(p_asof-P538&lt;=60,"31-60 j",IF(p_asof-P538&lt;=90,"61-90 j","Plus de 90 j"))))))</f>
        <v/>
      </c>
      <c r="AT538" s="62" t="str">
        <f>IF(AS538="","",p_asof-P538)</f>
        <v/>
      </c>
      <c r="AU538" s="62" t="str">
        <f>IF(AT538="","",COUNTIF($AT$6:$AT$805,"&gt;"&amp;AT538)+COUNTIF($AT$6:AT538,AT538))</f>
        <v/>
      </c>
    </row>
    <row r="539">
      <c r="A539" s="59" t="str">
        <f>IF(AE539="","",AB539&amp;"-"&amp;AD539&amp;"-"&amp;RIGHT("000"&amp;AE539,4))</f>
        <v/>
      </c>
      <c r="B539" s="60" t="n"/>
      <c r="C539" s="61" t="n"/>
      <c r="D539" s="60" t="n"/>
      <c r="E539" s="62" t="str">
        <f>IF(D539="","",IFERROR(INDEX(cli_name,MATCH(D539,cli_code,0))&amp;"","Client inconnu"))</f>
        <v/>
      </c>
      <c r="F539" s="60" t="n"/>
      <c r="G539" s="63" t="n"/>
      <c r="H539" s="61" t="n"/>
      <c r="I539" s="63" t="n"/>
      <c r="J539" s="60" t="n"/>
      <c r="K539" s="61" t="n"/>
      <c r="L539" s="60" t="n"/>
      <c r="M539" s="60" t="n"/>
      <c r="N539" s="60" t="n"/>
      <c r="O539" s="61" t="n"/>
      <c r="P539" s="64" t="str">
        <f>IF(A539="","",IF(AA539="Avoir",AC539,IF(ISNUMBER(K539),K539,AC539+IF(D539="",N(p_delay),IFERROR(IF(ISNUMBER(INDEX(cli_delay,MATCH(D539,cli_code,0))),INDEX(cli_delay,MATCH(D539,cli_code,0)),N(p_delay)),N(p_delay))))))</f>
        <v/>
      </c>
      <c r="Q539" s="65" t="str">
        <f>IF(A539="","",IF(AA539="Avoir",-1,1)*ROUND(AJ539-IF(AR539="",0,INDEX(fa_htb,AR539)),2))</f>
        <v/>
      </c>
      <c r="R539" s="65" t="str">
        <f>IF(A539="","",IF(AA539="Avoir",-1,1)*ROUND(AQ539-IF(AR539="",0,INDEX(fa_tvab,AR539)),2))</f>
        <v/>
      </c>
      <c r="S539" s="65" t="str">
        <f>IF(A539="","",Q539+R539)</f>
        <v/>
      </c>
      <c r="T539" s="65" t="str">
        <f>IF(AR539="","",INDEX(fa_htb,AR539)+INDEX(fa_tvab,AR539))</f>
        <v/>
      </c>
      <c r="U539" s="65" t="str">
        <f>IF(A539="","",SUMIF(pa_inv,A539,pa_amt))</f>
        <v/>
      </c>
      <c r="V539" s="65" t="str">
        <f>IF(OR(A539="",AA539="Avoir"),"",-SUMIFS(fa_ttc,fa_avof,A539,fa_type,"Avoir"))</f>
        <v/>
      </c>
      <c r="W539" s="65" t="str">
        <f>IF(OR(A539="",AA539="Avoir"),"",ROUND(S539-U539-V539,2))</f>
        <v/>
      </c>
      <c r="X539" s="66" t="str">
        <f>IF(W539="","",IF(AND(W539&gt;0,p_asof&gt;P539),p_asof-P539,""))</f>
        <v/>
      </c>
      <c r="Y539" s="59" t="str">
        <f>IF(A539="","",IF(AA539="Avoir","Avoir",IF(W539&lt;0,"Trop-perçu",IF(W539=0,"Soldée",IF(p_asof&gt;P539,"En retard",IF(U539+V539&gt;0,"Partielle","À échoir"))))))</f>
        <v/>
      </c>
      <c r="Z539" s="59" t="str">
        <f>IF(NOT(COUNTA(B539:D539,F539:O539)&gt;0),"",IF(C539="","Date manquante",IF(NOT(ISNUMBER(C539)),"Date invalide",IF(D539="","Client manquant",IF(ISNA(MATCH(D539,cli_code,0)),"Client inconnu",IF(AC539&lt;SUMPRODUCT(MAX(($AB$6:AB538=AB539)*$AC$6:AC538)),"Date antérieure à la facture précédente",IF(AND(F539&lt;&gt;"",ISNA(MATCH(F539,dv_num,0))),"Devis inconnu",IF(AND(F539&lt;&gt;"",IFERROR(INDEX(dv_client,MATCH(F539,dv_num,0)),D539)&lt;&gt;D539),"Client différent de celui du devis",IF(AG539="","Aucune ligne : saisissez des lignes ou un devis",IF(AND(AI539&lt;&gt;"",COUNTIF($AI$6:AI539,AI539)&gt;1),"Devis déjà repris par une autre facture",IF(AND(AA539="Avoir",M539=""),"Avoir : indiquez la facture d'origine",IF(AND(AA539="Avoir",ISNA(MATCH(M539,fa_num,0))),"Facture d'origine inconnue",IF(AND(AA539&lt;&gt;"Avoir",M539&lt;&gt;""),"« Avoir sur facture » : réservé aux avoirs",IF(AND(L539&lt;&gt;"",AA539&lt;&gt;"Facture"),"Acompte à déduire : réservé aux factures",IF(AND(L539&lt;&gt;"",ISNA(MATCH(L539,fa_num,0))),"Facture d'acompte inconnue",IF(AND(L539&lt;&gt;"",IFERROR(INDEX(fa_type,MATCH(L539,fa_num,0)),"")&lt;&gt;"Facture d'acompte"),"Le n° à déduire n'est pas une facture d'acompte",IF(AND(L539&lt;&gt;"",COUNTIF($L$6:L539,L539)&gt;1),"Acompte déjà déduit sur une autre facture",IF(AND(L539&lt;&gt;"",IFERROR(INDEX(fa_client,MATCH(L539,fa_num,0)),D539)&lt;&gt;D539),"Acompte d'un autre client",IF(AND(AR539&lt;&gt;"",N(Q539)&lt;0),"Acompte supérieur au total de la facture",IF(IF(AG539="Facture",COUNTIFS(fl_doc,A539,fl_check,"&lt;&gt;OK"),IF(AG539="Devis",COUNTIFS(dl_doc,F539,dl_check,"&lt;&gt;OK"),0))&gt;0,"Ligne(s) à corriger",IF(AND(W539&lt;&gt;"",N(W539)&lt;0),"Trop-perçu : vérifiez paiements et avoirs","OK")))))))))))))))))))))</f>
        <v/>
      </c>
      <c r="AA539" s="62" t="str">
        <f>IF(COUNTA(B539:D539,F539:O539)&gt;0,IF(B539="","Facture",B539),"")</f>
        <v/>
      </c>
      <c r="AB539" s="62" t="str">
        <f>IF(AA539="","",IF(AA539="Avoir",p_pav,IF(AA539="Facture d'acompte",p_pac,p_pfa)))</f>
        <v/>
      </c>
      <c r="AC539" s="62">
        <f>IF(ISNUMBER(C539),C539,0)</f>
        <v>0.0</v>
      </c>
      <c r="AD539" s="62" t="str">
        <f>IF(OR(AA539="",AC539=0),"",YEAR(AC539))</f>
        <v/>
      </c>
      <c r="AE539" s="62" t="str">
        <f>IF(AD539="","",COUNTIFS($AB$6:AB539,AB539,$AD$6:AD539,AD539))</f>
        <v/>
      </c>
      <c r="AF539" s="62">
        <f>IF(A539="",0,COUNTIF(fl_doc,A539))</f>
        <v>0.0</v>
      </c>
      <c r="AG539" s="62" t="str">
        <f>IF(A539="","",IF(AF539&gt;0,"Facture",IF(AND(F539&lt;&gt;"",AA539="Facture",ISNUMBER(MATCH(F539,dv_num,0))),"Devis","")))</f>
        <v/>
      </c>
      <c r="AH539" s="62" t="str">
        <f>IF(AND(A539&lt;&gt;"",F539&lt;&gt;"",AA539&lt;&gt;"Avoir"),F539,"")</f>
        <v/>
      </c>
      <c r="AI539" s="62" t="str">
        <f>IF(AG539="Devis",F539,"")</f>
        <v/>
      </c>
      <c r="AJ539" s="62">
        <f>IF(AG539="Facture",SUMIF(fl_doc,A539,fl_ht),IF(AG539="Devis",SUMIF(dl_doc,F539,dl_ht),0))</f>
        <v>0.0</v>
      </c>
      <c r="AK539" s="62">
        <f>IF(OR(AG539="",INDEX(p_rates,1)=""),0,IF(AG539="Facture",SUMIFS(fl_ht,fl_doc,A539,fl_rate,INDEX(p_rates,1)),SUMIFS(dl_ht,dl_doc,F539,dl_rate,INDEX(p_rates,1))))</f>
        <v>0.0</v>
      </c>
      <c r="AL539" s="62">
        <f>IF(OR(AG539="",INDEX(p_rates,2)=""),0,IF(AG539="Facture",SUMIFS(fl_ht,fl_doc,A539,fl_rate,INDEX(p_rates,2)),SUMIFS(dl_ht,dl_doc,F539,dl_rate,INDEX(p_rates,2))))</f>
        <v>0.0</v>
      </c>
      <c r="AM539" s="62">
        <f>IF(OR(AG539="",INDEX(p_rates,3)=""),0,IF(AG539="Facture",SUMIFS(fl_ht,fl_doc,A539,fl_rate,INDEX(p_rates,3)),SUMIFS(dl_ht,dl_doc,F539,dl_rate,INDEX(p_rates,3))))</f>
        <v>0.0</v>
      </c>
      <c r="AN539" s="62">
        <f>IF(OR(AG539="",INDEX(p_rates,4)=""),0,IF(AG539="Facture",SUMIFS(fl_ht,fl_doc,A539,fl_rate,INDEX(p_rates,4)),SUMIFS(dl_ht,dl_doc,F539,dl_rate,INDEX(p_rates,4))))</f>
        <v>0.0</v>
      </c>
      <c r="AO539" s="62">
        <f>IF(OR(AG539="",INDEX(p_rates,5)=""),0,IF(AG539="Facture",SUMIFS(fl_ht,fl_doc,A539,fl_rate,INDEX(p_rates,5)),SUMIFS(dl_ht,dl_doc,F539,dl_rate,INDEX(p_rates,5))))</f>
        <v>0.0</v>
      </c>
      <c r="AP539" s="62">
        <f>IF(OR(AG539="",INDEX(p_rates,6)=""),0,IF(AG539="Facture",SUMIFS(fl_ht,fl_doc,A539,fl_rate,INDEX(p_rates,6)),SUMIFS(dl_ht,dl_doc,F539,dl_rate,INDEX(p_rates,6))))</f>
        <v>0.0</v>
      </c>
      <c r="AQ539" s="62">
        <f>ROUND(AK539*N(INDEX(p_rates,1)),2)+ROUND(AL539*N(INDEX(p_rates,2)),2)+ROUND(AM539*N(INDEX(p_rates,3)),2)+ROUND(AN539*N(INDEX(p_rates,4)),2)+ROUND(AO539*N(INDEX(p_rates,5)),2)+ROUND(AP539*N(INDEX(p_rates,6)),2)</f>
        <v>0.0</v>
      </c>
      <c r="AR539" s="62" t="str">
        <f>IF(OR(L539="",AA539&lt;&gt;"Facture"),"",IFERROR(IF(INDEX(fa_type,MATCH(L539,fa_num,0))="Facture d'acompte",MATCH(L539,fa_num,0),""),""))</f>
        <v/>
      </c>
      <c r="AS539" s="62" t="str">
        <f>IF(W539="","",IF(W539&lt;=0,"",IF(p_asof-P539&lt;=0,"Non échu",IF(p_asof-P539&lt;=30,"1-30 j",IF(p_asof-P539&lt;=60,"31-60 j",IF(p_asof-P539&lt;=90,"61-90 j","Plus de 90 j"))))))</f>
        <v/>
      </c>
      <c r="AT539" s="62" t="str">
        <f>IF(AS539="","",p_asof-P539)</f>
        <v/>
      </c>
      <c r="AU539" s="62" t="str">
        <f>IF(AT539="","",COUNTIF($AT$6:$AT$805,"&gt;"&amp;AT539)+COUNTIF($AT$6:AT539,AT539))</f>
        <v/>
      </c>
    </row>
    <row r="540">
      <c r="A540" s="59" t="str">
        <f>IF(AE540="","",AB540&amp;"-"&amp;AD540&amp;"-"&amp;RIGHT("000"&amp;AE540,4))</f>
        <v/>
      </c>
      <c r="B540" s="60" t="n"/>
      <c r="C540" s="61" t="n"/>
      <c r="D540" s="60" t="n"/>
      <c r="E540" s="62" t="str">
        <f>IF(D540="","",IFERROR(INDEX(cli_name,MATCH(D540,cli_code,0))&amp;"","Client inconnu"))</f>
        <v/>
      </c>
      <c r="F540" s="60" t="n"/>
      <c r="G540" s="63" t="n"/>
      <c r="H540" s="61" t="n"/>
      <c r="I540" s="63" t="n"/>
      <c r="J540" s="60" t="n"/>
      <c r="K540" s="61" t="n"/>
      <c r="L540" s="60" t="n"/>
      <c r="M540" s="60" t="n"/>
      <c r="N540" s="60" t="n"/>
      <c r="O540" s="61" t="n"/>
      <c r="P540" s="64" t="str">
        <f>IF(A540="","",IF(AA540="Avoir",AC540,IF(ISNUMBER(K540),K540,AC540+IF(D540="",N(p_delay),IFERROR(IF(ISNUMBER(INDEX(cli_delay,MATCH(D540,cli_code,0))),INDEX(cli_delay,MATCH(D540,cli_code,0)),N(p_delay)),N(p_delay))))))</f>
        <v/>
      </c>
      <c r="Q540" s="65" t="str">
        <f>IF(A540="","",IF(AA540="Avoir",-1,1)*ROUND(AJ540-IF(AR540="",0,INDEX(fa_htb,AR540)),2))</f>
        <v/>
      </c>
      <c r="R540" s="65" t="str">
        <f>IF(A540="","",IF(AA540="Avoir",-1,1)*ROUND(AQ540-IF(AR540="",0,INDEX(fa_tvab,AR540)),2))</f>
        <v/>
      </c>
      <c r="S540" s="65" t="str">
        <f>IF(A540="","",Q540+R540)</f>
        <v/>
      </c>
      <c r="T540" s="65" t="str">
        <f>IF(AR540="","",INDEX(fa_htb,AR540)+INDEX(fa_tvab,AR540))</f>
        <v/>
      </c>
      <c r="U540" s="65" t="str">
        <f>IF(A540="","",SUMIF(pa_inv,A540,pa_amt))</f>
        <v/>
      </c>
      <c r="V540" s="65" t="str">
        <f>IF(OR(A540="",AA540="Avoir"),"",-SUMIFS(fa_ttc,fa_avof,A540,fa_type,"Avoir"))</f>
        <v/>
      </c>
      <c r="W540" s="65" t="str">
        <f>IF(OR(A540="",AA540="Avoir"),"",ROUND(S540-U540-V540,2))</f>
        <v/>
      </c>
      <c r="X540" s="66" t="str">
        <f>IF(W540="","",IF(AND(W540&gt;0,p_asof&gt;P540),p_asof-P540,""))</f>
        <v/>
      </c>
      <c r="Y540" s="59" t="str">
        <f>IF(A540="","",IF(AA540="Avoir","Avoir",IF(W540&lt;0,"Trop-perçu",IF(W540=0,"Soldée",IF(p_asof&gt;P540,"En retard",IF(U540+V540&gt;0,"Partielle","À échoir"))))))</f>
        <v/>
      </c>
      <c r="Z540" s="59" t="str">
        <f>IF(NOT(COUNTA(B540:D540,F540:O540)&gt;0),"",IF(C540="","Date manquante",IF(NOT(ISNUMBER(C540)),"Date invalide",IF(D540="","Client manquant",IF(ISNA(MATCH(D540,cli_code,0)),"Client inconnu",IF(AC540&lt;SUMPRODUCT(MAX(($AB$6:AB539=AB540)*$AC$6:AC539)),"Date antérieure à la facture précédente",IF(AND(F540&lt;&gt;"",ISNA(MATCH(F540,dv_num,0))),"Devis inconnu",IF(AND(F540&lt;&gt;"",IFERROR(INDEX(dv_client,MATCH(F540,dv_num,0)),D540)&lt;&gt;D540),"Client différent de celui du devis",IF(AG540="","Aucune ligne : saisissez des lignes ou un devis",IF(AND(AI540&lt;&gt;"",COUNTIF($AI$6:AI540,AI540)&gt;1),"Devis déjà repris par une autre facture",IF(AND(AA540="Avoir",M540=""),"Avoir : indiquez la facture d'origine",IF(AND(AA540="Avoir",ISNA(MATCH(M540,fa_num,0))),"Facture d'origine inconnue",IF(AND(AA540&lt;&gt;"Avoir",M540&lt;&gt;""),"« Avoir sur facture » : réservé aux avoirs",IF(AND(L540&lt;&gt;"",AA540&lt;&gt;"Facture"),"Acompte à déduire : réservé aux factures",IF(AND(L540&lt;&gt;"",ISNA(MATCH(L540,fa_num,0))),"Facture d'acompte inconnue",IF(AND(L540&lt;&gt;"",IFERROR(INDEX(fa_type,MATCH(L540,fa_num,0)),"")&lt;&gt;"Facture d'acompte"),"Le n° à déduire n'est pas une facture d'acompte",IF(AND(L540&lt;&gt;"",COUNTIF($L$6:L540,L540)&gt;1),"Acompte déjà déduit sur une autre facture",IF(AND(L540&lt;&gt;"",IFERROR(INDEX(fa_client,MATCH(L540,fa_num,0)),D540)&lt;&gt;D540),"Acompte d'un autre client",IF(AND(AR540&lt;&gt;"",N(Q540)&lt;0),"Acompte supérieur au total de la facture",IF(IF(AG540="Facture",COUNTIFS(fl_doc,A540,fl_check,"&lt;&gt;OK"),IF(AG540="Devis",COUNTIFS(dl_doc,F540,dl_check,"&lt;&gt;OK"),0))&gt;0,"Ligne(s) à corriger",IF(AND(W540&lt;&gt;"",N(W540)&lt;0),"Trop-perçu : vérifiez paiements et avoirs","OK")))))))))))))))))))))</f>
        <v/>
      </c>
      <c r="AA540" s="62" t="str">
        <f>IF(COUNTA(B540:D540,F540:O540)&gt;0,IF(B540="","Facture",B540),"")</f>
        <v/>
      </c>
      <c r="AB540" s="62" t="str">
        <f>IF(AA540="","",IF(AA540="Avoir",p_pav,IF(AA540="Facture d'acompte",p_pac,p_pfa)))</f>
        <v/>
      </c>
      <c r="AC540" s="62">
        <f>IF(ISNUMBER(C540),C540,0)</f>
        <v>0.0</v>
      </c>
      <c r="AD540" s="62" t="str">
        <f>IF(OR(AA540="",AC540=0),"",YEAR(AC540))</f>
        <v/>
      </c>
      <c r="AE540" s="62" t="str">
        <f>IF(AD540="","",COUNTIFS($AB$6:AB540,AB540,$AD$6:AD540,AD540))</f>
        <v/>
      </c>
      <c r="AF540" s="62">
        <f>IF(A540="",0,COUNTIF(fl_doc,A540))</f>
        <v>0.0</v>
      </c>
      <c r="AG540" s="62" t="str">
        <f>IF(A540="","",IF(AF540&gt;0,"Facture",IF(AND(F540&lt;&gt;"",AA540="Facture",ISNUMBER(MATCH(F540,dv_num,0))),"Devis","")))</f>
        <v/>
      </c>
      <c r="AH540" s="62" t="str">
        <f>IF(AND(A540&lt;&gt;"",F540&lt;&gt;"",AA540&lt;&gt;"Avoir"),F540,"")</f>
        <v/>
      </c>
      <c r="AI540" s="62" t="str">
        <f>IF(AG540="Devis",F540,"")</f>
        <v/>
      </c>
      <c r="AJ540" s="62">
        <f>IF(AG540="Facture",SUMIF(fl_doc,A540,fl_ht),IF(AG540="Devis",SUMIF(dl_doc,F540,dl_ht),0))</f>
        <v>0.0</v>
      </c>
      <c r="AK540" s="62">
        <f>IF(OR(AG540="",INDEX(p_rates,1)=""),0,IF(AG540="Facture",SUMIFS(fl_ht,fl_doc,A540,fl_rate,INDEX(p_rates,1)),SUMIFS(dl_ht,dl_doc,F540,dl_rate,INDEX(p_rates,1))))</f>
        <v>0.0</v>
      </c>
      <c r="AL540" s="62">
        <f>IF(OR(AG540="",INDEX(p_rates,2)=""),0,IF(AG540="Facture",SUMIFS(fl_ht,fl_doc,A540,fl_rate,INDEX(p_rates,2)),SUMIFS(dl_ht,dl_doc,F540,dl_rate,INDEX(p_rates,2))))</f>
        <v>0.0</v>
      </c>
      <c r="AM540" s="62">
        <f>IF(OR(AG540="",INDEX(p_rates,3)=""),0,IF(AG540="Facture",SUMIFS(fl_ht,fl_doc,A540,fl_rate,INDEX(p_rates,3)),SUMIFS(dl_ht,dl_doc,F540,dl_rate,INDEX(p_rates,3))))</f>
        <v>0.0</v>
      </c>
      <c r="AN540" s="62">
        <f>IF(OR(AG540="",INDEX(p_rates,4)=""),0,IF(AG540="Facture",SUMIFS(fl_ht,fl_doc,A540,fl_rate,INDEX(p_rates,4)),SUMIFS(dl_ht,dl_doc,F540,dl_rate,INDEX(p_rates,4))))</f>
        <v>0.0</v>
      </c>
      <c r="AO540" s="62">
        <f>IF(OR(AG540="",INDEX(p_rates,5)=""),0,IF(AG540="Facture",SUMIFS(fl_ht,fl_doc,A540,fl_rate,INDEX(p_rates,5)),SUMIFS(dl_ht,dl_doc,F540,dl_rate,INDEX(p_rates,5))))</f>
        <v>0.0</v>
      </c>
      <c r="AP540" s="62">
        <f>IF(OR(AG540="",INDEX(p_rates,6)=""),0,IF(AG540="Facture",SUMIFS(fl_ht,fl_doc,A540,fl_rate,INDEX(p_rates,6)),SUMIFS(dl_ht,dl_doc,F540,dl_rate,INDEX(p_rates,6))))</f>
        <v>0.0</v>
      </c>
      <c r="AQ540" s="62">
        <f>ROUND(AK540*N(INDEX(p_rates,1)),2)+ROUND(AL540*N(INDEX(p_rates,2)),2)+ROUND(AM540*N(INDEX(p_rates,3)),2)+ROUND(AN540*N(INDEX(p_rates,4)),2)+ROUND(AO540*N(INDEX(p_rates,5)),2)+ROUND(AP540*N(INDEX(p_rates,6)),2)</f>
        <v>0.0</v>
      </c>
      <c r="AR540" s="62" t="str">
        <f>IF(OR(L540="",AA540&lt;&gt;"Facture"),"",IFERROR(IF(INDEX(fa_type,MATCH(L540,fa_num,0))="Facture d'acompte",MATCH(L540,fa_num,0),""),""))</f>
        <v/>
      </c>
      <c r="AS540" s="62" t="str">
        <f>IF(W540="","",IF(W540&lt;=0,"",IF(p_asof-P540&lt;=0,"Non échu",IF(p_asof-P540&lt;=30,"1-30 j",IF(p_asof-P540&lt;=60,"31-60 j",IF(p_asof-P540&lt;=90,"61-90 j","Plus de 90 j"))))))</f>
        <v/>
      </c>
      <c r="AT540" s="62" t="str">
        <f>IF(AS540="","",p_asof-P540)</f>
        <v/>
      </c>
      <c r="AU540" s="62" t="str">
        <f>IF(AT540="","",COUNTIF($AT$6:$AT$805,"&gt;"&amp;AT540)+COUNTIF($AT$6:AT540,AT540))</f>
        <v/>
      </c>
    </row>
    <row r="541">
      <c r="A541" s="59" t="str">
        <f>IF(AE541="","",AB541&amp;"-"&amp;AD541&amp;"-"&amp;RIGHT("000"&amp;AE541,4))</f>
        <v/>
      </c>
      <c r="B541" s="60" t="n"/>
      <c r="C541" s="61" t="n"/>
      <c r="D541" s="60" t="n"/>
      <c r="E541" s="62" t="str">
        <f>IF(D541="","",IFERROR(INDEX(cli_name,MATCH(D541,cli_code,0))&amp;"","Client inconnu"))</f>
        <v/>
      </c>
      <c r="F541" s="60" t="n"/>
      <c r="G541" s="63" t="n"/>
      <c r="H541" s="61" t="n"/>
      <c r="I541" s="63" t="n"/>
      <c r="J541" s="60" t="n"/>
      <c r="K541" s="61" t="n"/>
      <c r="L541" s="60" t="n"/>
      <c r="M541" s="60" t="n"/>
      <c r="N541" s="60" t="n"/>
      <c r="O541" s="61" t="n"/>
      <c r="P541" s="64" t="str">
        <f>IF(A541="","",IF(AA541="Avoir",AC541,IF(ISNUMBER(K541),K541,AC541+IF(D541="",N(p_delay),IFERROR(IF(ISNUMBER(INDEX(cli_delay,MATCH(D541,cli_code,0))),INDEX(cli_delay,MATCH(D541,cli_code,0)),N(p_delay)),N(p_delay))))))</f>
        <v/>
      </c>
      <c r="Q541" s="65" t="str">
        <f>IF(A541="","",IF(AA541="Avoir",-1,1)*ROUND(AJ541-IF(AR541="",0,INDEX(fa_htb,AR541)),2))</f>
        <v/>
      </c>
      <c r="R541" s="65" t="str">
        <f>IF(A541="","",IF(AA541="Avoir",-1,1)*ROUND(AQ541-IF(AR541="",0,INDEX(fa_tvab,AR541)),2))</f>
        <v/>
      </c>
      <c r="S541" s="65" t="str">
        <f>IF(A541="","",Q541+R541)</f>
        <v/>
      </c>
      <c r="T541" s="65" t="str">
        <f>IF(AR541="","",INDEX(fa_htb,AR541)+INDEX(fa_tvab,AR541))</f>
        <v/>
      </c>
      <c r="U541" s="65" t="str">
        <f>IF(A541="","",SUMIF(pa_inv,A541,pa_amt))</f>
        <v/>
      </c>
      <c r="V541" s="65" t="str">
        <f>IF(OR(A541="",AA541="Avoir"),"",-SUMIFS(fa_ttc,fa_avof,A541,fa_type,"Avoir"))</f>
        <v/>
      </c>
      <c r="W541" s="65" t="str">
        <f>IF(OR(A541="",AA541="Avoir"),"",ROUND(S541-U541-V541,2))</f>
        <v/>
      </c>
      <c r="X541" s="66" t="str">
        <f>IF(W541="","",IF(AND(W541&gt;0,p_asof&gt;P541),p_asof-P541,""))</f>
        <v/>
      </c>
      <c r="Y541" s="59" t="str">
        <f>IF(A541="","",IF(AA541="Avoir","Avoir",IF(W541&lt;0,"Trop-perçu",IF(W541=0,"Soldée",IF(p_asof&gt;P541,"En retard",IF(U541+V541&gt;0,"Partielle","À échoir"))))))</f>
        <v/>
      </c>
      <c r="Z541" s="59" t="str">
        <f>IF(NOT(COUNTA(B541:D541,F541:O541)&gt;0),"",IF(C541="","Date manquante",IF(NOT(ISNUMBER(C541)),"Date invalide",IF(D541="","Client manquant",IF(ISNA(MATCH(D541,cli_code,0)),"Client inconnu",IF(AC541&lt;SUMPRODUCT(MAX(($AB$6:AB540=AB541)*$AC$6:AC540)),"Date antérieure à la facture précédente",IF(AND(F541&lt;&gt;"",ISNA(MATCH(F541,dv_num,0))),"Devis inconnu",IF(AND(F541&lt;&gt;"",IFERROR(INDEX(dv_client,MATCH(F541,dv_num,0)),D541)&lt;&gt;D541),"Client différent de celui du devis",IF(AG541="","Aucune ligne : saisissez des lignes ou un devis",IF(AND(AI541&lt;&gt;"",COUNTIF($AI$6:AI541,AI541)&gt;1),"Devis déjà repris par une autre facture",IF(AND(AA541="Avoir",M541=""),"Avoir : indiquez la facture d'origine",IF(AND(AA541="Avoir",ISNA(MATCH(M541,fa_num,0))),"Facture d'origine inconnue",IF(AND(AA541&lt;&gt;"Avoir",M541&lt;&gt;""),"« Avoir sur facture » : réservé aux avoirs",IF(AND(L541&lt;&gt;"",AA541&lt;&gt;"Facture"),"Acompte à déduire : réservé aux factures",IF(AND(L541&lt;&gt;"",ISNA(MATCH(L541,fa_num,0))),"Facture d'acompte inconnue",IF(AND(L541&lt;&gt;"",IFERROR(INDEX(fa_type,MATCH(L541,fa_num,0)),"")&lt;&gt;"Facture d'acompte"),"Le n° à déduire n'est pas une facture d'acompte",IF(AND(L541&lt;&gt;"",COUNTIF($L$6:L541,L541)&gt;1),"Acompte déjà déduit sur une autre facture",IF(AND(L541&lt;&gt;"",IFERROR(INDEX(fa_client,MATCH(L541,fa_num,0)),D541)&lt;&gt;D541),"Acompte d'un autre client",IF(AND(AR541&lt;&gt;"",N(Q541)&lt;0),"Acompte supérieur au total de la facture",IF(IF(AG541="Facture",COUNTIFS(fl_doc,A541,fl_check,"&lt;&gt;OK"),IF(AG541="Devis",COUNTIFS(dl_doc,F541,dl_check,"&lt;&gt;OK"),0))&gt;0,"Ligne(s) à corriger",IF(AND(W541&lt;&gt;"",N(W541)&lt;0),"Trop-perçu : vérifiez paiements et avoirs","OK")))))))))))))))))))))</f>
        <v/>
      </c>
      <c r="AA541" s="62" t="str">
        <f>IF(COUNTA(B541:D541,F541:O541)&gt;0,IF(B541="","Facture",B541),"")</f>
        <v/>
      </c>
      <c r="AB541" s="62" t="str">
        <f>IF(AA541="","",IF(AA541="Avoir",p_pav,IF(AA541="Facture d'acompte",p_pac,p_pfa)))</f>
        <v/>
      </c>
      <c r="AC541" s="62">
        <f>IF(ISNUMBER(C541),C541,0)</f>
        <v>0.0</v>
      </c>
      <c r="AD541" s="62" t="str">
        <f>IF(OR(AA541="",AC541=0),"",YEAR(AC541))</f>
        <v/>
      </c>
      <c r="AE541" s="62" t="str">
        <f>IF(AD541="","",COUNTIFS($AB$6:AB541,AB541,$AD$6:AD541,AD541))</f>
        <v/>
      </c>
      <c r="AF541" s="62">
        <f>IF(A541="",0,COUNTIF(fl_doc,A541))</f>
        <v>0.0</v>
      </c>
      <c r="AG541" s="62" t="str">
        <f>IF(A541="","",IF(AF541&gt;0,"Facture",IF(AND(F541&lt;&gt;"",AA541="Facture",ISNUMBER(MATCH(F541,dv_num,0))),"Devis","")))</f>
        <v/>
      </c>
      <c r="AH541" s="62" t="str">
        <f>IF(AND(A541&lt;&gt;"",F541&lt;&gt;"",AA541&lt;&gt;"Avoir"),F541,"")</f>
        <v/>
      </c>
      <c r="AI541" s="62" t="str">
        <f>IF(AG541="Devis",F541,"")</f>
        <v/>
      </c>
      <c r="AJ541" s="62">
        <f>IF(AG541="Facture",SUMIF(fl_doc,A541,fl_ht),IF(AG541="Devis",SUMIF(dl_doc,F541,dl_ht),0))</f>
        <v>0.0</v>
      </c>
      <c r="AK541" s="62">
        <f>IF(OR(AG541="",INDEX(p_rates,1)=""),0,IF(AG541="Facture",SUMIFS(fl_ht,fl_doc,A541,fl_rate,INDEX(p_rates,1)),SUMIFS(dl_ht,dl_doc,F541,dl_rate,INDEX(p_rates,1))))</f>
        <v>0.0</v>
      </c>
      <c r="AL541" s="62">
        <f>IF(OR(AG541="",INDEX(p_rates,2)=""),0,IF(AG541="Facture",SUMIFS(fl_ht,fl_doc,A541,fl_rate,INDEX(p_rates,2)),SUMIFS(dl_ht,dl_doc,F541,dl_rate,INDEX(p_rates,2))))</f>
        <v>0.0</v>
      </c>
      <c r="AM541" s="62">
        <f>IF(OR(AG541="",INDEX(p_rates,3)=""),0,IF(AG541="Facture",SUMIFS(fl_ht,fl_doc,A541,fl_rate,INDEX(p_rates,3)),SUMIFS(dl_ht,dl_doc,F541,dl_rate,INDEX(p_rates,3))))</f>
        <v>0.0</v>
      </c>
      <c r="AN541" s="62">
        <f>IF(OR(AG541="",INDEX(p_rates,4)=""),0,IF(AG541="Facture",SUMIFS(fl_ht,fl_doc,A541,fl_rate,INDEX(p_rates,4)),SUMIFS(dl_ht,dl_doc,F541,dl_rate,INDEX(p_rates,4))))</f>
        <v>0.0</v>
      </c>
      <c r="AO541" s="62">
        <f>IF(OR(AG541="",INDEX(p_rates,5)=""),0,IF(AG541="Facture",SUMIFS(fl_ht,fl_doc,A541,fl_rate,INDEX(p_rates,5)),SUMIFS(dl_ht,dl_doc,F541,dl_rate,INDEX(p_rates,5))))</f>
        <v>0.0</v>
      </c>
      <c r="AP541" s="62">
        <f>IF(OR(AG541="",INDEX(p_rates,6)=""),0,IF(AG541="Facture",SUMIFS(fl_ht,fl_doc,A541,fl_rate,INDEX(p_rates,6)),SUMIFS(dl_ht,dl_doc,F541,dl_rate,INDEX(p_rates,6))))</f>
        <v>0.0</v>
      </c>
      <c r="AQ541" s="62">
        <f>ROUND(AK541*N(INDEX(p_rates,1)),2)+ROUND(AL541*N(INDEX(p_rates,2)),2)+ROUND(AM541*N(INDEX(p_rates,3)),2)+ROUND(AN541*N(INDEX(p_rates,4)),2)+ROUND(AO541*N(INDEX(p_rates,5)),2)+ROUND(AP541*N(INDEX(p_rates,6)),2)</f>
        <v>0.0</v>
      </c>
      <c r="AR541" s="62" t="str">
        <f>IF(OR(L541="",AA541&lt;&gt;"Facture"),"",IFERROR(IF(INDEX(fa_type,MATCH(L541,fa_num,0))="Facture d'acompte",MATCH(L541,fa_num,0),""),""))</f>
        <v/>
      </c>
      <c r="AS541" s="62" t="str">
        <f>IF(W541="","",IF(W541&lt;=0,"",IF(p_asof-P541&lt;=0,"Non échu",IF(p_asof-P541&lt;=30,"1-30 j",IF(p_asof-P541&lt;=60,"31-60 j",IF(p_asof-P541&lt;=90,"61-90 j","Plus de 90 j"))))))</f>
        <v/>
      </c>
      <c r="AT541" s="62" t="str">
        <f>IF(AS541="","",p_asof-P541)</f>
        <v/>
      </c>
      <c r="AU541" s="62" t="str">
        <f>IF(AT541="","",COUNTIF($AT$6:$AT$805,"&gt;"&amp;AT541)+COUNTIF($AT$6:AT541,AT541))</f>
        <v/>
      </c>
    </row>
    <row r="542">
      <c r="A542" s="59" t="str">
        <f>IF(AE542="","",AB542&amp;"-"&amp;AD542&amp;"-"&amp;RIGHT("000"&amp;AE542,4))</f>
        <v/>
      </c>
      <c r="B542" s="60" t="n"/>
      <c r="C542" s="61" t="n"/>
      <c r="D542" s="60" t="n"/>
      <c r="E542" s="62" t="str">
        <f>IF(D542="","",IFERROR(INDEX(cli_name,MATCH(D542,cli_code,0))&amp;"","Client inconnu"))</f>
        <v/>
      </c>
      <c r="F542" s="60" t="n"/>
      <c r="G542" s="63" t="n"/>
      <c r="H542" s="61" t="n"/>
      <c r="I542" s="63" t="n"/>
      <c r="J542" s="60" t="n"/>
      <c r="K542" s="61" t="n"/>
      <c r="L542" s="60" t="n"/>
      <c r="M542" s="60" t="n"/>
      <c r="N542" s="60" t="n"/>
      <c r="O542" s="61" t="n"/>
      <c r="P542" s="64" t="str">
        <f>IF(A542="","",IF(AA542="Avoir",AC542,IF(ISNUMBER(K542),K542,AC542+IF(D542="",N(p_delay),IFERROR(IF(ISNUMBER(INDEX(cli_delay,MATCH(D542,cli_code,0))),INDEX(cli_delay,MATCH(D542,cli_code,0)),N(p_delay)),N(p_delay))))))</f>
        <v/>
      </c>
      <c r="Q542" s="65" t="str">
        <f>IF(A542="","",IF(AA542="Avoir",-1,1)*ROUND(AJ542-IF(AR542="",0,INDEX(fa_htb,AR542)),2))</f>
        <v/>
      </c>
      <c r="R542" s="65" t="str">
        <f>IF(A542="","",IF(AA542="Avoir",-1,1)*ROUND(AQ542-IF(AR542="",0,INDEX(fa_tvab,AR542)),2))</f>
        <v/>
      </c>
      <c r="S542" s="65" t="str">
        <f>IF(A542="","",Q542+R542)</f>
        <v/>
      </c>
      <c r="T542" s="65" t="str">
        <f>IF(AR542="","",INDEX(fa_htb,AR542)+INDEX(fa_tvab,AR542))</f>
        <v/>
      </c>
      <c r="U542" s="65" t="str">
        <f>IF(A542="","",SUMIF(pa_inv,A542,pa_amt))</f>
        <v/>
      </c>
      <c r="V542" s="65" t="str">
        <f>IF(OR(A542="",AA542="Avoir"),"",-SUMIFS(fa_ttc,fa_avof,A542,fa_type,"Avoir"))</f>
        <v/>
      </c>
      <c r="W542" s="65" t="str">
        <f>IF(OR(A542="",AA542="Avoir"),"",ROUND(S542-U542-V542,2))</f>
        <v/>
      </c>
      <c r="X542" s="66" t="str">
        <f>IF(W542="","",IF(AND(W542&gt;0,p_asof&gt;P542),p_asof-P542,""))</f>
        <v/>
      </c>
      <c r="Y542" s="59" t="str">
        <f>IF(A542="","",IF(AA542="Avoir","Avoir",IF(W542&lt;0,"Trop-perçu",IF(W542=0,"Soldée",IF(p_asof&gt;P542,"En retard",IF(U542+V542&gt;0,"Partielle","À échoir"))))))</f>
        <v/>
      </c>
      <c r="Z542" s="59" t="str">
        <f>IF(NOT(COUNTA(B542:D542,F542:O542)&gt;0),"",IF(C542="","Date manquante",IF(NOT(ISNUMBER(C542)),"Date invalide",IF(D542="","Client manquant",IF(ISNA(MATCH(D542,cli_code,0)),"Client inconnu",IF(AC542&lt;SUMPRODUCT(MAX(($AB$6:AB541=AB542)*$AC$6:AC541)),"Date antérieure à la facture précédente",IF(AND(F542&lt;&gt;"",ISNA(MATCH(F542,dv_num,0))),"Devis inconnu",IF(AND(F542&lt;&gt;"",IFERROR(INDEX(dv_client,MATCH(F542,dv_num,0)),D542)&lt;&gt;D542),"Client différent de celui du devis",IF(AG542="","Aucune ligne : saisissez des lignes ou un devis",IF(AND(AI542&lt;&gt;"",COUNTIF($AI$6:AI542,AI542)&gt;1),"Devis déjà repris par une autre facture",IF(AND(AA542="Avoir",M542=""),"Avoir : indiquez la facture d'origine",IF(AND(AA542="Avoir",ISNA(MATCH(M542,fa_num,0))),"Facture d'origine inconnue",IF(AND(AA542&lt;&gt;"Avoir",M542&lt;&gt;""),"« Avoir sur facture » : réservé aux avoirs",IF(AND(L542&lt;&gt;"",AA542&lt;&gt;"Facture"),"Acompte à déduire : réservé aux factures",IF(AND(L542&lt;&gt;"",ISNA(MATCH(L542,fa_num,0))),"Facture d'acompte inconnue",IF(AND(L542&lt;&gt;"",IFERROR(INDEX(fa_type,MATCH(L542,fa_num,0)),"")&lt;&gt;"Facture d'acompte"),"Le n° à déduire n'est pas une facture d'acompte",IF(AND(L542&lt;&gt;"",COUNTIF($L$6:L542,L542)&gt;1),"Acompte déjà déduit sur une autre facture",IF(AND(L542&lt;&gt;"",IFERROR(INDEX(fa_client,MATCH(L542,fa_num,0)),D542)&lt;&gt;D542),"Acompte d'un autre client",IF(AND(AR542&lt;&gt;"",N(Q542)&lt;0),"Acompte supérieur au total de la facture",IF(IF(AG542="Facture",COUNTIFS(fl_doc,A542,fl_check,"&lt;&gt;OK"),IF(AG542="Devis",COUNTIFS(dl_doc,F542,dl_check,"&lt;&gt;OK"),0))&gt;0,"Ligne(s) à corriger",IF(AND(W542&lt;&gt;"",N(W542)&lt;0),"Trop-perçu : vérifiez paiements et avoirs","OK")))))))))))))))))))))</f>
        <v/>
      </c>
      <c r="AA542" s="62" t="str">
        <f>IF(COUNTA(B542:D542,F542:O542)&gt;0,IF(B542="","Facture",B542),"")</f>
        <v/>
      </c>
      <c r="AB542" s="62" t="str">
        <f>IF(AA542="","",IF(AA542="Avoir",p_pav,IF(AA542="Facture d'acompte",p_pac,p_pfa)))</f>
        <v/>
      </c>
      <c r="AC542" s="62">
        <f>IF(ISNUMBER(C542),C542,0)</f>
        <v>0.0</v>
      </c>
      <c r="AD542" s="62" t="str">
        <f>IF(OR(AA542="",AC542=0),"",YEAR(AC542))</f>
        <v/>
      </c>
      <c r="AE542" s="62" t="str">
        <f>IF(AD542="","",COUNTIFS($AB$6:AB542,AB542,$AD$6:AD542,AD542))</f>
        <v/>
      </c>
      <c r="AF542" s="62">
        <f>IF(A542="",0,COUNTIF(fl_doc,A542))</f>
        <v>0.0</v>
      </c>
      <c r="AG542" s="62" t="str">
        <f>IF(A542="","",IF(AF542&gt;0,"Facture",IF(AND(F542&lt;&gt;"",AA542="Facture",ISNUMBER(MATCH(F542,dv_num,0))),"Devis","")))</f>
        <v/>
      </c>
      <c r="AH542" s="62" t="str">
        <f>IF(AND(A542&lt;&gt;"",F542&lt;&gt;"",AA542&lt;&gt;"Avoir"),F542,"")</f>
        <v/>
      </c>
      <c r="AI542" s="62" t="str">
        <f>IF(AG542="Devis",F542,"")</f>
        <v/>
      </c>
      <c r="AJ542" s="62">
        <f>IF(AG542="Facture",SUMIF(fl_doc,A542,fl_ht),IF(AG542="Devis",SUMIF(dl_doc,F542,dl_ht),0))</f>
        <v>0.0</v>
      </c>
      <c r="AK542" s="62">
        <f>IF(OR(AG542="",INDEX(p_rates,1)=""),0,IF(AG542="Facture",SUMIFS(fl_ht,fl_doc,A542,fl_rate,INDEX(p_rates,1)),SUMIFS(dl_ht,dl_doc,F542,dl_rate,INDEX(p_rates,1))))</f>
        <v>0.0</v>
      </c>
      <c r="AL542" s="62">
        <f>IF(OR(AG542="",INDEX(p_rates,2)=""),0,IF(AG542="Facture",SUMIFS(fl_ht,fl_doc,A542,fl_rate,INDEX(p_rates,2)),SUMIFS(dl_ht,dl_doc,F542,dl_rate,INDEX(p_rates,2))))</f>
        <v>0.0</v>
      </c>
      <c r="AM542" s="62">
        <f>IF(OR(AG542="",INDEX(p_rates,3)=""),0,IF(AG542="Facture",SUMIFS(fl_ht,fl_doc,A542,fl_rate,INDEX(p_rates,3)),SUMIFS(dl_ht,dl_doc,F542,dl_rate,INDEX(p_rates,3))))</f>
        <v>0.0</v>
      </c>
      <c r="AN542" s="62">
        <f>IF(OR(AG542="",INDEX(p_rates,4)=""),0,IF(AG542="Facture",SUMIFS(fl_ht,fl_doc,A542,fl_rate,INDEX(p_rates,4)),SUMIFS(dl_ht,dl_doc,F542,dl_rate,INDEX(p_rates,4))))</f>
        <v>0.0</v>
      </c>
      <c r="AO542" s="62">
        <f>IF(OR(AG542="",INDEX(p_rates,5)=""),0,IF(AG542="Facture",SUMIFS(fl_ht,fl_doc,A542,fl_rate,INDEX(p_rates,5)),SUMIFS(dl_ht,dl_doc,F542,dl_rate,INDEX(p_rates,5))))</f>
        <v>0.0</v>
      </c>
      <c r="AP542" s="62">
        <f>IF(OR(AG542="",INDEX(p_rates,6)=""),0,IF(AG542="Facture",SUMIFS(fl_ht,fl_doc,A542,fl_rate,INDEX(p_rates,6)),SUMIFS(dl_ht,dl_doc,F542,dl_rate,INDEX(p_rates,6))))</f>
        <v>0.0</v>
      </c>
      <c r="AQ542" s="62">
        <f>ROUND(AK542*N(INDEX(p_rates,1)),2)+ROUND(AL542*N(INDEX(p_rates,2)),2)+ROUND(AM542*N(INDEX(p_rates,3)),2)+ROUND(AN542*N(INDEX(p_rates,4)),2)+ROUND(AO542*N(INDEX(p_rates,5)),2)+ROUND(AP542*N(INDEX(p_rates,6)),2)</f>
        <v>0.0</v>
      </c>
      <c r="AR542" s="62" t="str">
        <f>IF(OR(L542="",AA542&lt;&gt;"Facture"),"",IFERROR(IF(INDEX(fa_type,MATCH(L542,fa_num,0))="Facture d'acompte",MATCH(L542,fa_num,0),""),""))</f>
        <v/>
      </c>
      <c r="AS542" s="62" t="str">
        <f>IF(W542="","",IF(W542&lt;=0,"",IF(p_asof-P542&lt;=0,"Non échu",IF(p_asof-P542&lt;=30,"1-30 j",IF(p_asof-P542&lt;=60,"31-60 j",IF(p_asof-P542&lt;=90,"61-90 j","Plus de 90 j"))))))</f>
        <v/>
      </c>
      <c r="AT542" s="62" t="str">
        <f>IF(AS542="","",p_asof-P542)</f>
        <v/>
      </c>
      <c r="AU542" s="62" t="str">
        <f>IF(AT542="","",COUNTIF($AT$6:$AT$805,"&gt;"&amp;AT542)+COUNTIF($AT$6:AT542,AT542))</f>
        <v/>
      </c>
    </row>
    <row r="543">
      <c r="A543" s="59" t="str">
        <f>IF(AE543="","",AB543&amp;"-"&amp;AD543&amp;"-"&amp;RIGHT("000"&amp;AE543,4))</f>
        <v/>
      </c>
      <c r="B543" s="60" t="n"/>
      <c r="C543" s="61" t="n"/>
      <c r="D543" s="60" t="n"/>
      <c r="E543" s="62" t="str">
        <f>IF(D543="","",IFERROR(INDEX(cli_name,MATCH(D543,cli_code,0))&amp;"","Client inconnu"))</f>
        <v/>
      </c>
      <c r="F543" s="60" t="n"/>
      <c r="G543" s="63" t="n"/>
      <c r="H543" s="61" t="n"/>
      <c r="I543" s="63" t="n"/>
      <c r="J543" s="60" t="n"/>
      <c r="K543" s="61" t="n"/>
      <c r="L543" s="60" t="n"/>
      <c r="M543" s="60" t="n"/>
      <c r="N543" s="60" t="n"/>
      <c r="O543" s="61" t="n"/>
      <c r="P543" s="64" t="str">
        <f>IF(A543="","",IF(AA543="Avoir",AC543,IF(ISNUMBER(K543),K543,AC543+IF(D543="",N(p_delay),IFERROR(IF(ISNUMBER(INDEX(cli_delay,MATCH(D543,cli_code,0))),INDEX(cli_delay,MATCH(D543,cli_code,0)),N(p_delay)),N(p_delay))))))</f>
        <v/>
      </c>
      <c r="Q543" s="65" t="str">
        <f>IF(A543="","",IF(AA543="Avoir",-1,1)*ROUND(AJ543-IF(AR543="",0,INDEX(fa_htb,AR543)),2))</f>
        <v/>
      </c>
      <c r="R543" s="65" t="str">
        <f>IF(A543="","",IF(AA543="Avoir",-1,1)*ROUND(AQ543-IF(AR543="",0,INDEX(fa_tvab,AR543)),2))</f>
        <v/>
      </c>
      <c r="S543" s="65" t="str">
        <f>IF(A543="","",Q543+R543)</f>
        <v/>
      </c>
      <c r="T543" s="65" t="str">
        <f>IF(AR543="","",INDEX(fa_htb,AR543)+INDEX(fa_tvab,AR543))</f>
        <v/>
      </c>
      <c r="U543" s="65" t="str">
        <f>IF(A543="","",SUMIF(pa_inv,A543,pa_amt))</f>
        <v/>
      </c>
      <c r="V543" s="65" t="str">
        <f>IF(OR(A543="",AA543="Avoir"),"",-SUMIFS(fa_ttc,fa_avof,A543,fa_type,"Avoir"))</f>
        <v/>
      </c>
      <c r="W543" s="65" t="str">
        <f>IF(OR(A543="",AA543="Avoir"),"",ROUND(S543-U543-V543,2))</f>
        <v/>
      </c>
      <c r="X543" s="66" t="str">
        <f>IF(W543="","",IF(AND(W543&gt;0,p_asof&gt;P543),p_asof-P543,""))</f>
        <v/>
      </c>
      <c r="Y543" s="59" t="str">
        <f>IF(A543="","",IF(AA543="Avoir","Avoir",IF(W543&lt;0,"Trop-perçu",IF(W543=0,"Soldée",IF(p_asof&gt;P543,"En retard",IF(U543+V543&gt;0,"Partielle","À échoir"))))))</f>
        <v/>
      </c>
      <c r="Z543" s="59" t="str">
        <f>IF(NOT(COUNTA(B543:D543,F543:O543)&gt;0),"",IF(C543="","Date manquante",IF(NOT(ISNUMBER(C543)),"Date invalide",IF(D543="","Client manquant",IF(ISNA(MATCH(D543,cli_code,0)),"Client inconnu",IF(AC543&lt;SUMPRODUCT(MAX(($AB$6:AB542=AB543)*$AC$6:AC542)),"Date antérieure à la facture précédente",IF(AND(F543&lt;&gt;"",ISNA(MATCH(F543,dv_num,0))),"Devis inconnu",IF(AND(F543&lt;&gt;"",IFERROR(INDEX(dv_client,MATCH(F543,dv_num,0)),D543)&lt;&gt;D543),"Client différent de celui du devis",IF(AG543="","Aucune ligne : saisissez des lignes ou un devis",IF(AND(AI543&lt;&gt;"",COUNTIF($AI$6:AI543,AI543)&gt;1),"Devis déjà repris par une autre facture",IF(AND(AA543="Avoir",M543=""),"Avoir : indiquez la facture d'origine",IF(AND(AA543="Avoir",ISNA(MATCH(M543,fa_num,0))),"Facture d'origine inconnue",IF(AND(AA543&lt;&gt;"Avoir",M543&lt;&gt;""),"« Avoir sur facture » : réservé aux avoirs",IF(AND(L543&lt;&gt;"",AA543&lt;&gt;"Facture"),"Acompte à déduire : réservé aux factures",IF(AND(L543&lt;&gt;"",ISNA(MATCH(L543,fa_num,0))),"Facture d'acompte inconnue",IF(AND(L543&lt;&gt;"",IFERROR(INDEX(fa_type,MATCH(L543,fa_num,0)),"")&lt;&gt;"Facture d'acompte"),"Le n° à déduire n'est pas une facture d'acompte",IF(AND(L543&lt;&gt;"",COUNTIF($L$6:L543,L543)&gt;1),"Acompte déjà déduit sur une autre facture",IF(AND(L543&lt;&gt;"",IFERROR(INDEX(fa_client,MATCH(L543,fa_num,0)),D543)&lt;&gt;D543),"Acompte d'un autre client",IF(AND(AR543&lt;&gt;"",N(Q543)&lt;0),"Acompte supérieur au total de la facture",IF(IF(AG543="Facture",COUNTIFS(fl_doc,A543,fl_check,"&lt;&gt;OK"),IF(AG543="Devis",COUNTIFS(dl_doc,F543,dl_check,"&lt;&gt;OK"),0))&gt;0,"Ligne(s) à corriger",IF(AND(W543&lt;&gt;"",N(W543)&lt;0),"Trop-perçu : vérifiez paiements et avoirs","OK")))))))))))))))))))))</f>
        <v/>
      </c>
      <c r="AA543" s="62" t="str">
        <f>IF(COUNTA(B543:D543,F543:O543)&gt;0,IF(B543="","Facture",B543),"")</f>
        <v/>
      </c>
      <c r="AB543" s="62" t="str">
        <f>IF(AA543="","",IF(AA543="Avoir",p_pav,IF(AA543="Facture d'acompte",p_pac,p_pfa)))</f>
        <v/>
      </c>
      <c r="AC543" s="62">
        <f>IF(ISNUMBER(C543),C543,0)</f>
        <v>0.0</v>
      </c>
      <c r="AD543" s="62" t="str">
        <f>IF(OR(AA543="",AC543=0),"",YEAR(AC543))</f>
        <v/>
      </c>
      <c r="AE543" s="62" t="str">
        <f>IF(AD543="","",COUNTIFS($AB$6:AB543,AB543,$AD$6:AD543,AD543))</f>
        <v/>
      </c>
      <c r="AF543" s="62">
        <f>IF(A543="",0,COUNTIF(fl_doc,A543))</f>
        <v>0.0</v>
      </c>
      <c r="AG543" s="62" t="str">
        <f>IF(A543="","",IF(AF543&gt;0,"Facture",IF(AND(F543&lt;&gt;"",AA543="Facture",ISNUMBER(MATCH(F543,dv_num,0))),"Devis","")))</f>
        <v/>
      </c>
      <c r="AH543" s="62" t="str">
        <f>IF(AND(A543&lt;&gt;"",F543&lt;&gt;"",AA543&lt;&gt;"Avoir"),F543,"")</f>
        <v/>
      </c>
      <c r="AI543" s="62" t="str">
        <f>IF(AG543="Devis",F543,"")</f>
        <v/>
      </c>
      <c r="AJ543" s="62">
        <f>IF(AG543="Facture",SUMIF(fl_doc,A543,fl_ht),IF(AG543="Devis",SUMIF(dl_doc,F543,dl_ht),0))</f>
        <v>0.0</v>
      </c>
      <c r="AK543" s="62">
        <f>IF(OR(AG543="",INDEX(p_rates,1)=""),0,IF(AG543="Facture",SUMIFS(fl_ht,fl_doc,A543,fl_rate,INDEX(p_rates,1)),SUMIFS(dl_ht,dl_doc,F543,dl_rate,INDEX(p_rates,1))))</f>
        <v>0.0</v>
      </c>
      <c r="AL543" s="62">
        <f>IF(OR(AG543="",INDEX(p_rates,2)=""),0,IF(AG543="Facture",SUMIFS(fl_ht,fl_doc,A543,fl_rate,INDEX(p_rates,2)),SUMIFS(dl_ht,dl_doc,F543,dl_rate,INDEX(p_rates,2))))</f>
        <v>0.0</v>
      </c>
      <c r="AM543" s="62">
        <f>IF(OR(AG543="",INDEX(p_rates,3)=""),0,IF(AG543="Facture",SUMIFS(fl_ht,fl_doc,A543,fl_rate,INDEX(p_rates,3)),SUMIFS(dl_ht,dl_doc,F543,dl_rate,INDEX(p_rates,3))))</f>
        <v>0.0</v>
      </c>
      <c r="AN543" s="62">
        <f>IF(OR(AG543="",INDEX(p_rates,4)=""),0,IF(AG543="Facture",SUMIFS(fl_ht,fl_doc,A543,fl_rate,INDEX(p_rates,4)),SUMIFS(dl_ht,dl_doc,F543,dl_rate,INDEX(p_rates,4))))</f>
        <v>0.0</v>
      </c>
      <c r="AO543" s="62">
        <f>IF(OR(AG543="",INDEX(p_rates,5)=""),0,IF(AG543="Facture",SUMIFS(fl_ht,fl_doc,A543,fl_rate,INDEX(p_rates,5)),SUMIFS(dl_ht,dl_doc,F543,dl_rate,INDEX(p_rates,5))))</f>
        <v>0.0</v>
      </c>
      <c r="AP543" s="62">
        <f>IF(OR(AG543="",INDEX(p_rates,6)=""),0,IF(AG543="Facture",SUMIFS(fl_ht,fl_doc,A543,fl_rate,INDEX(p_rates,6)),SUMIFS(dl_ht,dl_doc,F543,dl_rate,INDEX(p_rates,6))))</f>
        <v>0.0</v>
      </c>
      <c r="AQ543" s="62">
        <f>ROUND(AK543*N(INDEX(p_rates,1)),2)+ROUND(AL543*N(INDEX(p_rates,2)),2)+ROUND(AM543*N(INDEX(p_rates,3)),2)+ROUND(AN543*N(INDEX(p_rates,4)),2)+ROUND(AO543*N(INDEX(p_rates,5)),2)+ROUND(AP543*N(INDEX(p_rates,6)),2)</f>
        <v>0.0</v>
      </c>
      <c r="AR543" s="62" t="str">
        <f>IF(OR(L543="",AA543&lt;&gt;"Facture"),"",IFERROR(IF(INDEX(fa_type,MATCH(L543,fa_num,0))="Facture d'acompte",MATCH(L543,fa_num,0),""),""))</f>
        <v/>
      </c>
      <c r="AS543" s="62" t="str">
        <f>IF(W543="","",IF(W543&lt;=0,"",IF(p_asof-P543&lt;=0,"Non échu",IF(p_asof-P543&lt;=30,"1-30 j",IF(p_asof-P543&lt;=60,"31-60 j",IF(p_asof-P543&lt;=90,"61-90 j","Plus de 90 j"))))))</f>
        <v/>
      </c>
      <c r="AT543" s="62" t="str">
        <f>IF(AS543="","",p_asof-P543)</f>
        <v/>
      </c>
      <c r="AU543" s="62" t="str">
        <f>IF(AT543="","",COUNTIF($AT$6:$AT$805,"&gt;"&amp;AT543)+COUNTIF($AT$6:AT543,AT543))</f>
        <v/>
      </c>
    </row>
    <row r="544">
      <c r="A544" s="59" t="str">
        <f>IF(AE544="","",AB544&amp;"-"&amp;AD544&amp;"-"&amp;RIGHT("000"&amp;AE544,4))</f>
        <v/>
      </c>
      <c r="B544" s="60" t="n"/>
      <c r="C544" s="61" t="n"/>
      <c r="D544" s="60" t="n"/>
      <c r="E544" s="62" t="str">
        <f>IF(D544="","",IFERROR(INDEX(cli_name,MATCH(D544,cli_code,0))&amp;"","Client inconnu"))</f>
        <v/>
      </c>
      <c r="F544" s="60" t="n"/>
      <c r="G544" s="63" t="n"/>
      <c r="H544" s="61" t="n"/>
      <c r="I544" s="63" t="n"/>
      <c r="J544" s="60" t="n"/>
      <c r="K544" s="61" t="n"/>
      <c r="L544" s="60" t="n"/>
      <c r="M544" s="60" t="n"/>
      <c r="N544" s="60" t="n"/>
      <c r="O544" s="61" t="n"/>
      <c r="P544" s="64" t="str">
        <f>IF(A544="","",IF(AA544="Avoir",AC544,IF(ISNUMBER(K544),K544,AC544+IF(D544="",N(p_delay),IFERROR(IF(ISNUMBER(INDEX(cli_delay,MATCH(D544,cli_code,0))),INDEX(cli_delay,MATCH(D544,cli_code,0)),N(p_delay)),N(p_delay))))))</f>
        <v/>
      </c>
      <c r="Q544" s="65" t="str">
        <f>IF(A544="","",IF(AA544="Avoir",-1,1)*ROUND(AJ544-IF(AR544="",0,INDEX(fa_htb,AR544)),2))</f>
        <v/>
      </c>
      <c r="R544" s="65" t="str">
        <f>IF(A544="","",IF(AA544="Avoir",-1,1)*ROUND(AQ544-IF(AR544="",0,INDEX(fa_tvab,AR544)),2))</f>
        <v/>
      </c>
      <c r="S544" s="65" t="str">
        <f>IF(A544="","",Q544+R544)</f>
        <v/>
      </c>
      <c r="T544" s="65" t="str">
        <f>IF(AR544="","",INDEX(fa_htb,AR544)+INDEX(fa_tvab,AR544))</f>
        <v/>
      </c>
      <c r="U544" s="65" t="str">
        <f>IF(A544="","",SUMIF(pa_inv,A544,pa_amt))</f>
        <v/>
      </c>
      <c r="V544" s="65" t="str">
        <f>IF(OR(A544="",AA544="Avoir"),"",-SUMIFS(fa_ttc,fa_avof,A544,fa_type,"Avoir"))</f>
        <v/>
      </c>
      <c r="W544" s="65" t="str">
        <f>IF(OR(A544="",AA544="Avoir"),"",ROUND(S544-U544-V544,2))</f>
        <v/>
      </c>
      <c r="X544" s="66" t="str">
        <f>IF(W544="","",IF(AND(W544&gt;0,p_asof&gt;P544),p_asof-P544,""))</f>
        <v/>
      </c>
      <c r="Y544" s="59" t="str">
        <f>IF(A544="","",IF(AA544="Avoir","Avoir",IF(W544&lt;0,"Trop-perçu",IF(W544=0,"Soldée",IF(p_asof&gt;P544,"En retard",IF(U544+V544&gt;0,"Partielle","À échoir"))))))</f>
        <v/>
      </c>
      <c r="Z544" s="59" t="str">
        <f>IF(NOT(COUNTA(B544:D544,F544:O544)&gt;0),"",IF(C544="","Date manquante",IF(NOT(ISNUMBER(C544)),"Date invalide",IF(D544="","Client manquant",IF(ISNA(MATCH(D544,cli_code,0)),"Client inconnu",IF(AC544&lt;SUMPRODUCT(MAX(($AB$6:AB543=AB544)*$AC$6:AC543)),"Date antérieure à la facture précédente",IF(AND(F544&lt;&gt;"",ISNA(MATCH(F544,dv_num,0))),"Devis inconnu",IF(AND(F544&lt;&gt;"",IFERROR(INDEX(dv_client,MATCH(F544,dv_num,0)),D544)&lt;&gt;D544),"Client différent de celui du devis",IF(AG544="","Aucune ligne : saisissez des lignes ou un devis",IF(AND(AI544&lt;&gt;"",COUNTIF($AI$6:AI544,AI544)&gt;1),"Devis déjà repris par une autre facture",IF(AND(AA544="Avoir",M544=""),"Avoir : indiquez la facture d'origine",IF(AND(AA544="Avoir",ISNA(MATCH(M544,fa_num,0))),"Facture d'origine inconnue",IF(AND(AA544&lt;&gt;"Avoir",M544&lt;&gt;""),"« Avoir sur facture » : réservé aux avoirs",IF(AND(L544&lt;&gt;"",AA544&lt;&gt;"Facture"),"Acompte à déduire : réservé aux factures",IF(AND(L544&lt;&gt;"",ISNA(MATCH(L544,fa_num,0))),"Facture d'acompte inconnue",IF(AND(L544&lt;&gt;"",IFERROR(INDEX(fa_type,MATCH(L544,fa_num,0)),"")&lt;&gt;"Facture d'acompte"),"Le n° à déduire n'est pas une facture d'acompte",IF(AND(L544&lt;&gt;"",COUNTIF($L$6:L544,L544)&gt;1),"Acompte déjà déduit sur une autre facture",IF(AND(L544&lt;&gt;"",IFERROR(INDEX(fa_client,MATCH(L544,fa_num,0)),D544)&lt;&gt;D544),"Acompte d'un autre client",IF(AND(AR544&lt;&gt;"",N(Q544)&lt;0),"Acompte supérieur au total de la facture",IF(IF(AG544="Facture",COUNTIFS(fl_doc,A544,fl_check,"&lt;&gt;OK"),IF(AG544="Devis",COUNTIFS(dl_doc,F544,dl_check,"&lt;&gt;OK"),0))&gt;0,"Ligne(s) à corriger",IF(AND(W544&lt;&gt;"",N(W544)&lt;0),"Trop-perçu : vérifiez paiements et avoirs","OK")))))))))))))))))))))</f>
        <v/>
      </c>
      <c r="AA544" s="62" t="str">
        <f>IF(COUNTA(B544:D544,F544:O544)&gt;0,IF(B544="","Facture",B544),"")</f>
        <v/>
      </c>
      <c r="AB544" s="62" t="str">
        <f>IF(AA544="","",IF(AA544="Avoir",p_pav,IF(AA544="Facture d'acompte",p_pac,p_pfa)))</f>
        <v/>
      </c>
      <c r="AC544" s="62">
        <f>IF(ISNUMBER(C544),C544,0)</f>
        <v>0.0</v>
      </c>
      <c r="AD544" s="62" t="str">
        <f>IF(OR(AA544="",AC544=0),"",YEAR(AC544))</f>
        <v/>
      </c>
      <c r="AE544" s="62" t="str">
        <f>IF(AD544="","",COUNTIFS($AB$6:AB544,AB544,$AD$6:AD544,AD544))</f>
        <v/>
      </c>
      <c r="AF544" s="62">
        <f>IF(A544="",0,COUNTIF(fl_doc,A544))</f>
        <v>0.0</v>
      </c>
      <c r="AG544" s="62" t="str">
        <f>IF(A544="","",IF(AF544&gt;0,"Facture",IF(AND(F544&lt;&gt;"",AA544="Facture",ISNUMBER(MATCH(F544,dv_num,0))),"Devis","")))</f>
        <v/>
      </c>
      <c r="AH544" s="62" t="str">
        <f>IF(AND(A544&lt;&gt;"",F544&lt;&gt;"",AA544&lt;&gt;"Avoir"),F544,"")</f>
        <v/>
      </c>
      <c r="AI544" s="62" t="str">
        <f>IF(AG544="Devis",F544,"")</f>
        <v/>
      </c>
      <c r="AJ544" s="62">
        <f>IF(AG544="Facture",SUMIF(fl_doc,A544,fl_ht),IF(AG544="Devis",SUMIF(dl_doc,F544,dl_ht),0))</f>
        <v>0.0</v>
      </c>
      <c r="AK544" s="62">
        <f>IF(OR(AG544="",INDEX(p_rates,1)=""),0,IF(AG544="Facture",SUMIFS(fl_ht,fl_doc,A544,fl_rate,INDEX(p_rates,1)),SUMIFS(dl_ht,dl_doc,F544,dl_rate,INDEX(p_rates,1))))</f>
        <v>0.0</v>
      </c>
      <c r="AL544" s="62">
        <f>IF(OR(AG544="",INDEX(p_rates,2)=""),0,IF(AG544="Facture",SUMIFS(fl_ht,fl_doc,A544,fl_rate,INDEX(p_rates,2)),SUMIFS(dl_ht,dl_doc,F544,dl_rate,INDEX(p_rates,2))))</f>
        <v>0.0</v>
      </c>
      <c r="AM544" s="62">
        <f>IF(OR(AG544="",INDEX(p_rates,3)=""),0,IF(AG544="Facture",SUMIFS(fl_ht,fl_doc,A544,fl_rate,INDEX(p_rates,3)),SUMIFS(dl_ht,dl_doc,F544,dl_rate,INDEX(p_rates,3))))</f>
        <v>0.0</v>
      </c>
      <c r="AN544" s="62">
        <f>IF(OR(AG544="",INDEX(p_rates,4)=""),0,IF(AG544="Facture",SUMIFS(fl_ht,fl_doc,A544,fl_rate,INDEX(p_rates,4)),SUMIFS(dl_ht,dl_doc,F544,dl_rate,INDEX(p_rates,4))))</f>
        <v>0.0</v>
      </c>
      <c r="AO544" s="62">
        <f>IF(OR(AG544="",INDEX(p_rates,5)=""),0,IF(AG544="Facture",SUMIFS(fl_ht,fl_doc,A544,fl_rate,INDEX(p_rates,5)),SUMIFS(dl_ht,dl_doc,F544,dl_rate,INDEX(p_rates,5))))</f>
        <v>0.0</v>
      </c>
      <c r="AP544" s="62">
        <f>IF(OR(AG544="",INDEX(p_rates,6)=""),0,IF(AG544="Facture",SUMIFS(fl_ht,fl_doc,A544,fl_rate,INDEX(p_rates,6)),SUMIFS(dl_ht,dl_doc,F544,dl_rate,INDEX(p_rates,6))))</f>
        <v>0.0</v>
      </c>
      <c r="AQ544" s="62">
        <f>ROUND(AK544*N(INDEX(p_rates,1)),2)+ROUND(AL544*N(INDEX(p_rates,2)),2)+ROUND(AM544*N(INDEX(p_rates,3)),2)+ROUND(AN544*N(INDEX(p_rates,4)),2)+ROUND(AO544*N(INDEX(p_rates,5)),2)+ROUND(AP544*N(INDEX(p_rates,6)),2)</f>
        <v>0.0</v>
      </c>
      <c r="AR544" s="62" t="str">
        <f>IF(OR(L544="",AA544&lt;&gt;"Facture"),"",IFERROR(IF(INDEX(fa_type,MATCH(L544,fa_num,0))="Facture d'acompte",MATCH(L544,fa_num,0),""),""))</f>
        <v/>
      </c>
      <c r="AS544" s="62" t="str">
        <f>IF(W544="","",IF(W544&lt;=0,"",IF(p_asof-P544&lt;=0,"Non échu",IF(p_asof-P544&lt;=30,"1-30 j",IF(p_asof-P544&lt;=60,"31-60 j",IF(p_asof-P544&lt;=90,"61-90 j","Plus de 90 j"))))))</f>
        <v/>
      </c>
      <c r="AT544" s="62" t="str">
        <f>IF(AS544="","",p_asof-P544)</f>
        <v/>
      </c>
      <c r="AU544" s="62" t="str">
        <f>IF(AT544="","",COUNTIF($AT$6:$AT$805,"&gt;"&amp;AT544)+COUNTIF($AT$6:AT544,AT544))</f>
        <v/>
      </c>
    </row>
    <row r="545">
      <c r="A545" s="59" t="str">
        <f>IF(AE545="","",AB545&amp;"-"&amp;AD545&amp;"-"&amp;RIGHT("000"&amp;AE545,4))</f>
        <v/>
      </c>
      <c r="B545" s="60" t="n"/>
      <c r="C545" s="61" t="n"/>
      <c r="D545" s="60" t="n"/>
      <c r="E545" s="62" t="str">
        <f>IF(D545="","",IFERROR(INDEX(cli_name,MATCH(D545,cli_code,0))&amp;"","Client inconnu"))</f>
        <v/>
      </c>
      <c r="F545" s="60" t="n"/>
      <c r="G545" s="63" t="n"/>
      <c r="H545" s="61" t="n"/>
      <c r="I545" s="63" t="n"/>
      <c r="J545" s="60" t="n"/>
      <c r="K545" s="61" t="n"/>
      <c r="L545" s="60" t="n"/>
      <c r="M545" s="60" t="n"/>
      <c r="N545" s="60" t="n"/>
      <c r="O545" s="61" t="n"/>
      <c r="P545" s="64" t="str">
        <f>IF(A545="","",IF(AA545="Avoir",AC545,IF(ISNUMBER(K545),K545,AC545+IF(D545="",N(p_delay),IFERROR(IF(ISNUMBER(INDEX(cli_delay,MATCH(D545,cli_code,0))),INDEX(cli_delay,MATCH(D545,cli_code,0)),N(p_delay)),N(p_delay))))))</f>
        <v/>
      </c>
      <c r="Q545" s="65" t="str">
        <f>IF(A545="","",IF(AA545="Avoir",-1,1)*ROUND(AJ545-IF(AR545="",0,INDEX(fa_htb,AR545)),2))</f>
        <v/>
      </c>
      <c r="R545" s="65" t="str">
        <f>IF(A545="","",IF(AA545="Avoir",-1,1)*ROUND(AQ545-IF(AR545="",0,INDEX(fa_tvab,AR545)),2))</f>
        <v/>
      </c>
      <c r="S545" s="65" t="str">
        <f>IF(A545="","",Q545+R545)</f>
        <v/>
      </c>
      <c r="T545" s="65" t="str">
        <f>IF(AR545="","",INDEX(fa_htb,AR545)+INDEX(fa_tvab,AR545))</f>
        <v/>
      </c>
      <c r="U545" s="65" t="str">
        <f>IF(A545="","",SUMIF(pa_inv,A545,pa_amt))</f>
        <v/>
      </c>
      <c r="V545" s="65" t="str">
        <f>IF(OR(A545="",AA545="Avoir"),"",-SUMIFS(fa_ttc,fa_avof,A545,fa_type,"Avoir"))</f>
        <v/>
      </c>
      <c r="W545" s="65" t="str">
        <f>IF(OR(A545="",AA545="Avoir"),"",ROUND(S545-U545-V545,2))</f>
        <v/>
      </c>
      <c r="X545" s="66" t="str">
        <f>IF(W545="","",IF(AND(W545&gt;0,p_asof&gt;P545),p_asof-P545,""))</f>
        <v/>
      </c>
      <c r="Y545" s="59" t="str">
        <f>IF(A545="","",IF(AA545="Avoir","Avoir",IF(W545&lt;0,"Trop-perçu",IF(W545=0,"Soldée",IF(p_asof&gt;P545,"En retard",IF(U545+V545&gt;0,"Partielle","À échoir"))))))</f>
        <v/>
      </c>
      <c r="Z545" s="59" t="str">
        <f>IF(NOT(COUNTA(B545:D545,F545:O545)&gt;0),"",IF(C545="","Date manquante",IF(NOT(ISNUMBER(C545)),"Date invalide",IF(D545="","Client manquant",IF(ISNA(MATCH(D545,cli_code,0)),"Client inconnu",IF(AC545&lt;SUMPRODUCT(MAX(($AB$6:AB544=AB545)*$AC$6:AC544)),"Date antérieure à la facture précédente",IF(AND(F545&lt;&gt;"",ISNA(MATCH(F545,dv_num,0))),"Devis inconnu",IF(AND(F545&lt;&gt;"",IFERROR(INDEX(dv_client,MATCH(F545,dv_num,0)),D545)&lt;&gt;D545),"Client différent de celui du devis",IF(AG545="","Aucune ligne : saisissez des lignes ou un devis",IF(AND(AI545&lt;&gt;"",COUNTIF($AI$6:AI545,AI545)&gt;1),"Devis déjà repris par une autre facture",IF(AND(AA545="Avoir",M545=""),"Avoir : indiquez la facture d'origine",IF(AND(AA545="Avoir",ISNA(MATCH(M545,fa_num,0))),"Facture d'origine inconnue",IF(AND(AA545&lt;&gt;"Avoir",M545&lt;&gt;""),"« Avoir sur facture » : réservé aux avoirs",IF(AND(L545&lt;&gt;"",AA545&lt;&gt;"Facture"),"Acompte à déduire : réservé aux factures",IF(AND(L545&lt;&gt;"",ISNA(MATCH(L545,fa_num,0))),"Facture d'acompte inconnue",IF(AND(L545&lt;&gt;"",IFERROR(INDEX(fa_type,MATCH(L545,fa_num,0)),"")&lt;&gt;"Facture d'acompte"),"Le n° à déduire n'est pas une facture d'acompte",IF(AND(L545&lt;&gt;"",COUNTIF($L$6:L545,L545)&gt;1),"Acompte déjà déduit sur une autre facture",IF(AND(L545&lt;&gt;"",IFERROR(INDEX(fa_client,MATCH(L545,fa_num,0)),D545)&lt;&gt;D545),"Acompte d'un autre client",IF(AND(AR545&lt;&gt;"",N(Q545)&lt;0),"Acompte supérieur au total de la facture",IF(IF(AG545="Facture",COUNTIFS(fl_doc,A545,fl_check,"&lt;&gt;OK"),IF(AG545="Devis",COUNTIFS(dl_doc,F545,dl_check,"&lt;&gt;OK"),0))&gt;0,"Ligne(s) à corriger",IF(AND(W545&lt;&gt;"",N(W545)&lt;0),"Trop-perçu : vérifiez paiements et avoirs","OK")))))))))))))))))))))</f>
        <v/>
      </c>
      <c r="AA545" s="62" t="str">
        <f>IF(COUNTA(B545:D545,F545:O545)&gt;0,IF(B545="","Facture",B545),"")</f>
        <v/>
      </c>
      <c r="AB545" s="62" t="str">
        <f>IF(AA545="","",IF(AA545="Avoir",p_pav,IF(AA545="Facture d'acompte",p_pac,p_pfa)))</f>
        <v/>
      </c>
      <c r="AC545" s="62">
        <f>IF(ISNUMBER(C545),C545,0)</f>
        <v>0.0</v>
      </c>
      <c r="AD545" s="62" t="str">
        <f>IF(OR(AA545="",AC545=0),"",YEAR(AC545))</f>
        <v/>
      </c>
      <c r="AE545" s="62" t="str">
        <f>IF(AD545="","",COUNTIFS($AB$6:AB545,AB545,$AD$6:AD545,AD545))</f>
        <v/>
      </c>
      <c r="AF545" s="62">
        <f>IF(A545="",0,COUNTIF(fl_doc,A545))</f>
        <v>0.0</v>
      </c>
      <c r="AG545" s="62" t="str">
        <f>IF(A545="","",IF(AF545&gt;0,"Facture",IF(AND(F545&lt;&gt;"",AA545="Facture",ISNUMBER(MATCH(F545,dv_num,0))),"Devis","")))</f>
        <v/>
      </c>
      <c r="AH545" s="62" t="str">
        <f>IF(AND(A545&lt;&gt;"",F545&lt;&gt;"",AA545&lt;&gt;"Avoir"),F545,"")</f>
        <v/>
      </c>
      <c r="AI545" s="62" t="str">
        <f>IF(AG545="Devis",F545,"")</f>
        <v/>
      </c>
      <c r="AJ545" s="62">
        <f>IF(AG545="Facture",SUMIF(fl_doc,A545,fl_ht),IF(AG545="Devis",SUMIF(dl_doc,F545,dl_ht),0))</f>
        <v>0.0</v>
      </c>
      <c r="AK545" s="62">
        <f>IF(OR(AG545="",INDEX(p_rates,1)=""),0,IF(AG545="Facture",SUMIFS(fl_ht,fl_doc,A545,fl_rate,INDEX(p_rates,1)),SUMIFS(dl_ht,dl_doc,F545,dl_rate,INDEX(p_rates,1))))</f>
        <v>0.0</v>
      </c>
      <c r="AL545" s="62">
        <f>IF(OR(AG545="",INDEX(p_rates,2)=""),0,IF(AG545="Facture",SUMIFS(fl_ht,fl_doc,A545,fl_rate,INDEX(p_rates,2)),SUMIFS(dl_ht,dl_doc,F545,dl_rate,INDEX(p_rates,2))))</f>
        <v>0.0</v>
      </c>
      <c r="AM545" s="62">
        <f>IF(OR(AG545="",INDEX(p_rates,3)=""),0,IF(AG545="Facture",SUMIFS(fl_ht,fl_doc,A545,fl_rate,INDEX(p_rates,3)),SUMIFS(dl_ht,dl_doc,F545,dl_rate,INDEX(p_rates,3))))</f>
        <v>0.0</v>
      </c>
      <c r="AN545" s="62">
        <f>IF(OR(AG545="",INDEX(p_rates,4)=""),0,IF(AG545="Facture",SUMIFS(fl_ht,fl_doc,A545,fl_rate,INDEX(p_rates,4)),SUMIFS(dl_ht,dl_doc,F545,dl_rate,INDEX(p_rates,4))))</f>
        <v>0.0</v>
      </c>
      <c r="AO545" s="62">
        <f>IF(OR(AG545="",INDEX(p_rates,5)=""),0,IF(AG545="Facture",SUMIFS(fl_ht,fl_doc,A545,fl_rate,INDEX(p_rates,5)),SUMIFS(dl_ht,dl_doc,F545,dl_rate,INDEX(p_rates,5))))</f>
        <v>0.0</v>
      </c>
      <c r="AP545" s="62">
        <f>IF(OR(AG545="",INDEX(p_rates,6)=""),0,IF(AG545="Facture",SUMIFS(fl_ht,fl_doc,A545,fl_rate,INDEX(p_rates,6)),SUMIFS(dl_ht,dl_doc,F545,dl_rate,INDEX(p_rates,6))))</f>
        <v>0.0</v>
      </c>
      <c r="AQ545" s="62">
        <f>ROUND(AK545*N(INDEX(p_rates,1)),2)+ROUND(AL545*N(INDEX(p_rates,2)),2)+ROUND(AM545*N(INDEX(p_rates,3)),2)+ROUND(AN545*N(INDEX(p_rates,4)),2)+ROUND(AO545*N(INDEX(p_rates,5)),2)+ROUND(AP545*N(INDEX(p_rates,6)),2)</f>
        <v>0.0</v>
      </c>
      <c r="AR545" s="62" t="str">
        <f>IF(OR(L545="",AA545&lt;&gt;"Facture"),"",IFERROR(IF(INDEX(fa_type,MATCH(L545,fa_num,0))="Facture d'acompte",MATCH(L545,fa_num,0),""),""))</f>
        <v/>
      </c>
      <c r="AS545" s="62" t="str">
        <f>IF(W545="","",IF(W545&lt;=0,"",IF(p_asof-P545&lt;=0,"Non échu",IF(p_asof-P545&lt;=30,"1-30 j",IF(p_asof-P545&lt;=60,"31-60 j",IF(p_asof-P545&lt;=90,"61-90 j","Plus de 90 j"))))))</f>
        <v/>
      </c>
      <c r="AT545" s="62" t="str">
        <f>IF(AS545="","",p_asof-P545)</f>
        <v/>
      </c>
      <c r="AU545" s="62" t="str">
        <f>IF(AT545="","",COUNTIF($AT$6:$AT$805,"&gt;"&amp;AT545)+COUNTIF($AT$6:AT545,AT545))</f>
        <v/>
      </c>
    </row>
    <row r="546">
      <c r="A546" s="59" t="str">
        <f>IF(AE546="","",AB546&amp;"-"&amp;AD546&amp;"-"&amp;RIGHT("000"&amp;AE546,4))</f>
        <v/>
      </c>
      <c r="B546" s="60" t="n"/>
      <c r="C546" s="61" t="n"/>
      <c r="D546" s="60" t="n"/>
      <c r="E546" s="62" t="str">
        <f>IF(D546="","",IFERROR(INDEX(cli_name,MATCH(D546,cli_code,0))&amp;"","Client inconnu"))</f>
        <v/>
      </c>
      <c r="F546" s="60" t="n"/>
      <c r="G546" s="63" t="n"/>
      <c r="H546" s="61" t="n"/>
      <c r="I546" s="63" t="n"/>
      <c r="J546" s="60" t="n"/>
      <c r="K546" s="61" t="n"/>
      <c r="L546" s="60" t="n"/>
      <c r="M546" s="60" t="n"/>
      <c r="N546" s="60" t="n"/>
      <c r="O546" s="61" t="n"/>
      <c r="P546" s="64" t="str">
        <f>IF(A546="","",IF(AA546="Avoir",AC546,IF(ISNUMBER(K546),K546,AC546+IF(D546="",N(p_delay),IFERROR(IF(ISNUMBER(INDEX(cli_delay,MATCH(D546,cli_code,0))),INDEX(cli_delay,MATCH(D546,cli_code,0)),N(p_delay)),N(p_delay))))))</f>
        <v/>
      </c>
      <c r="Q546" s="65" t="str">
        <f>IF(A546="","",IF(AA546="Avoir",-1,1)*ROUND(AJ546-IF(AR546="",0,INDEX(fa_htb,AR546)),2))</f>
        <v/>
      </c>
      <c r="R546" s="65" t="str">
        <f>IF(A546="","",IF(AA546="Avoir",-1,1)*ROUND(AQ546-IF(AR546="",0,INDEX(fa_tvab,AR546)),2))</f>
        <v/>
      </c>
      <c r="S546" s="65" t="str">
        <f>IF(A546="","",Q546+R546)</f>
        <v/>
      </c>
      <c r="T546" s="65" t="str">
        <f>IF(AR546="","",INDEX(fa_htb,AR546)+INDEX(fa_tvab,AR546))</f>
        <v/>
      </c>
      <c r="U546" s="65" t="str">
        <f>IF(A546="","",SUMIF(pa_inv,A546,pa_amt))</f>
        <v/>
      </c>
      <c r="V546" s="65" t="str">
        <f>IF(OR(A546="",AA546="Avoir"),"",-SUMIFS(fa_ttc,fa_avof,A546,fa_type,"Avoir"))</f>
        <v/>
      </c>
      <c r="W546" s="65" t="str">
        <f>IF(OR(A546="",AA546="Avoir"),"",ROUND(S546-U546-V546,2))</f>
        <v/>
      </c>
      <c r="X546" s="66" t="str">
        <f>IF(W546="","",IF(AND(W546&gt;0,p_asof&gt;P546),p_asof-P546,""))</f>
        <v/>
      </c>
      <c r="Y546" s="59" t="str">
        <f>IF(A546="","",IF(AA546="Avoir","Avoir",IF(W546&lt;0,"Trop-perçu",IF(W546=0,"Soldée",IF(p_asof&gt;P546,"En retard",IF(U546+V546&gt;0,"Partielle","À échoir"))))))</f>
        <v/>
      </c>
      <c r="Z546" s="59" t="str">
        <f>IF(NOT(COUNTA(B546:D546,F546:O546)&gt;0),"",IF(C546="","Date manquante",IF(NOT(ISNUMBER(C546)),"Date invalide",IF(D546="","Client manquant",IF(ISNA(MATCH(D546,cli_code,0)),"Client inconnu",IF(AC546&lt;SUMPRODUCT(MAX(($AB$6:AB545=AB546)*$AC$6:AC545)),"Date antérieure à la facture précédente",IF(AND(F546&lt;&gt;"",ISNA(MATCH(F546,dv_num,0))),"Devis inconnu",IF(AND(F546&lt;&gt;"",IFERROR(INDEX(dv_client,MATCH(F546,dv_num,0)),D546)&lt;&gt;D546),"Client différent de celui du devis",IF(AG546="","Aucune ligne : saisissez des lignes ou un devis",IF(AND(AI546&lt;&gt;"",COUNTIF($AI$6:AI546,AI546)&gt;1),"Devis déjà repris par une autre facture",IF(AND(AA546="Avoir",M546=""),"Avoir : indiquez la facture d'origine",IF(AND(AA546="Avoir",ISNA(MATCH(M546,fa_num,0))),"Facture d'origine inconnue",IF(AND(AA546&lt;&gt;"Avoir",M546&lt;&gt;""),"« Avoir sur facture » : réservé aux avoirs",IF(AND(L546&lt;&gt;"",AA546&lt;&gt;"Facture"),"Acompte à déduire : réservé aux factures",IF(AND(L546&lt;&gt;"",ISNA(MATCH(L546,fa_num,0))),"Facture d'acompte inconnue",IF(AND(L546&lt;&gt;"",IFERROR(INDEX(fa_type,MATCH(L546,fa_num,0)),"")&lt;&gt;"Facture d'acompte"),"Le n° à déduire n'est pas une facture d'acompte",IF(AND(L546&lt;&gt;"",COUNTIF($L$6:L546,L546)&gt;1),"Acompte déjà déduit sur une autre facture",IF(AND(L546&lt;&gt;"",IFERROR(INDEX(fa_client,MATCH(L546,fa_num,0)),D546)&lt;&gt;D546),"Acompte d'un autre client",IF(AND(AR546&lt;&gt;"",N(Q546)&lt;0),"Acompte supérieur au total de la facture",IF(IF(AG546="Facture",COUNTIFS(fl_doc,A546,fl_check,"&lt;&gt;OK"),IF(AG546="Devis",COUNTIFS(dl_doc,F546,dl_check,"&lt;&gt;OK"),0))&gt;0,"Ligne(s) à corriger",IF(AND(W546&lt;&gt;"",N(W546)&lt;0),"Trop-perçu : vérifiez paiements et avoirs","OK")))))))))))))))))))))</f>
        <v/>
      </c>
      <c r="AA546" s="62" t="str">
        <f>IF(COUNTA(B546:D546,F546:O546)&gt;0,IF(B546="","Facture",B546),"")</f>
        <v/>
      </c>
      <c r="AB546" s="62" t="str">
        <f>IF(AA546="","",IF(AA546="Avoir",p_pav,IF(AA546="Facture d'acompte",p_pac,p_pfa)))</f>
        <v/>
      </c>
      <c r="AC546" s="62">
        <f>IF(ISNUMBER(C546),C546,0)</f>
        <v>0.0</v>
      </c>
      <c r="AD546" s="62" t="str">
        <f>IF(OR(AA546="",AC546=0),"",YEAR(AC546))</f>
        <v/>
      </c>
      <c r="AE546" s="62" t="str">
        <f>IF(AD546="","",COUNTIFS($AB$6:AB546,AB546,$AD$6:AD546,AD546))</f>
        <v/>
      </c>
      <c r="AF546" s="62">
        <f>IF(A546="",0,COUNTIF(fl_doc,A546))</f>
        <v>0.0</v>
      </c>
      <c r="AG546" s="62" t="str">
        <f>IF(A546="","",IF(AF546&gt;0,"Facture",IF(AND(F546&lt;&gt;"",AA546="Facture",ISNUMBER(MATCH(F546,dv_num,0))),"Devis","")))</f>
        <v/>
      </c>
      <c r="AH546" s="62" t="str">
        <f>IF(AND(A546&lt;&gt;"",F546&lt;&gt;"",AA546&lt;&gt;"Avoir"),F546,"")</f>
        <v/>
      </c>
      <c r="AI546" s="62" t="str">
        <f>IF(AG546="Devis",F546,"")</f>
        <v/>
      </c>
      <c r="AJ546" s="62">
        <f>IF(AG546="Facture",SUMIF(fl_doc,A546,fl_ht),IF(AG546="Devis",SUMIF(dl_doc,F546,dl_ht),0))</f>
        <v>0.0</v>
      </c>
      <c r="AK546" s="62">
        <f>IF(OR(AG546="",INDEX(p_rates,1)=""),0,IF(AG546="Facture",SUMIFS(fl_ht,fl_doc,A546,fl_rate,INDEX(p_rates,1)),SUMIFS(dl_ht,dl_doc,F546,dl_rate,INDEX(p_rates,1))))</f>
        <v>0.0</v>
      </c>
      <c r="AL546" s="62">
        <f>IF(OR(AG546="",INDEX(p_rates,2)=""),0,IF(AG546="Facture",SUMIFS(fl_ht,fl_doc,A546,fl_rate,INDEX(p_rates,2)),SUMIFS(dl_ht,dl_doc,F546,dl_rate,INDEX(p_rates,2))))</f>
        <v>0.0</v>
      </c>
      <c r="AM546" s="62">
        <f>IF(OR(AG546="",INDEX(p_rates,3)=""),0,IF(AG546="Facture",SUMIFS(fl_ht,fl_doc,A546,fl_rate,INDEX(p_rates,3)),SUMIFS(dl_ht,dl_doc,F546,dl_rate,INDEX(p_rates,3))))</f>
        <v>0.0</v>
      </c>
      <c r="AN546" s="62">
        <f>IF(OR(AG546="",INDEX(p_rates,4)=""),0,IF(AG546="Facture",SUMIFS(fl_ht,fl_doc,A546,fl_rate,INDEX(p_rates,4)),SUMIFS(dl_ht,dl_doc,F546,dl_rate,INDEX(p_rates,4))))</f>
        <v>0.0</v>
      </c>
      <c r="AO546" s="62">
        <f>IF(OR(AG546="",INDEX(p_rates,5)=""),0,IF(AG546="Facture",SUMIFS(fl_ht,fl_doc,A546,fl_rate,INDEX(p_rates,5)),SUMIFS(dl_ht,dl_doc,F546,dl_rate,INDEX(p_rates,5))))</f>
        <v>0.0</v>
      </c>
      <c r="AP546" s="62">
        <f>IF(OR(AG546="",INDEX(p_rates,6)=""),0,IF(AG546="Facture",SUMIFS(fl_ht,fl_doc,A546,fl_rate,INDEX(p_rates,6)),SUMIFS(dl_ht,dl_doc,F546,dl_rate,INDEX(p_rates,6))))</f>
        <v>0.0</v>
      </c>
      <c r="AQ546" s="62">
        <f>ROUND(AK546*N(INDEX(p_rates,1)),2)+ROUND(AL546*N(INDEX(p_rates,2)),2)+ROUND(AM546*N(INDEX(p_rates,3)),2)+ROUND(AN546*N(INDEX(p_rates,4)),2)+ROUND(AO546*N(INDEX(p_rates,5)),2)+ROUND(AP546*N(INDEX(p_rates,6)),2)</f>
        <v>0.0</v>
      </c>
      <c r="AR546" s="62" t="str">
        <f>IF(OR(L546="",AA546&lt;&gt;"Facture"),"",IFERROR(IF(INDEX(fa_type,MATCH(L546,fa_num,0))="Facture d'acompte",MATCH(L546,fa_num,0),""),""))</f>
        <v/>
      </c>
      <c r="AS546" s="62" t="str">
        <f>IF(W546="","",IF(W546&lt;=0,"",IF(p_asof-P546&lt;=0,"Non échu",IF(p_asof-P546&lt;=30,"1-30 j",IF(p_asof-P546&lt;=60,"31-60 j",IF(p_asof-P546&lt;=90,"61-90 j","Plus de 90 j"))))))</f>
        <v/>
      </c>
      <c r="AT546" s="62" t="str">
        <f>IF(AS546="","",p_asof-P546)</f>
        <v/>
      </c>
      <c r="AU546" s="62" t="str">
        <f>IF(AT546="","",COUNTIF($AT$6:$AT$805,"&gt;"&amp;AT546)+COUNTIF($AT$6:AT546,AT546))</f>
        <v/>
      </c>
    </row>
    <row r="547">
      <c r="A547" s="59" t="str">
        <f>IF(AE547="","",AB547&amp;"-"&amp;AD547&amp;"-"&amp;RIGHT("000"&amp;AE547,4))</f>
        <v/>
      </c>
      <c r="B547" s="60" t="n"/>
      <c r="C547" s="61" t="n"/>
      <c r="D547" s="60" t="n"/>
      <c r="E547" s="62" t="str">
        <f>IF(D547="","",IFERROR(INDEX(cli_name,MATCH(D547,cli_code,0))&amp;"","Client inconnu"))</f>
        <v/>
      </c>
      <c r="F547" s="60" t="n"/>
      <c r="G547" s="63" t="n"/>
      <c r="H547" s="61" t="n"/>
      <c r="I547" s="63" t="n"/>
      <c r="J547" s="60" t="n"/>
      <c r="K547" s="61" t="n"/>
      <c r="L547" s="60" t="n"/>
      <c r="M547" s="60" t="n"/>
      <c r="N547" s="60" t="n"/>
      <c r="O547" s="61" t="n"/>
      <c r="P547" s="64" t="str">
        <f>IF(A547="","",IF(AA547="Avoir",AC547,IF(ISNUMBER(K547),K547,AC547+IF(D547="",N(p_delay),IFERROR(IF(ISNUMBER(INDEX(cli_delay,MATCH(D547,cli_code,0))),INDEX(cli_delay,MATCH(D547,cli_code,0)),N(p_delay)),N(p_delay))))))</f>
        <v/>
      </c>
      <c r="Q547" s="65" t="str">
        <f>IF(A547="","",IF(AA547="Avoir",-1,1)*ROUND(AJ547-IF(AR547="",0,INDEX(fa_htb,AR547)),2))</f>
        <v/>
      </c>
      <c r="R547" s="65" t="str">
        <f>IF(A547="","",IF(AA547="Avoir",-1,1)*ROUND(AQ547-IF(AR547="",0,INDEX(fa_tvab,AR547)),2))</f>
        <v/>
      </c>
      <c r="S547" s="65" t="str">
        <f>IF(A547="","",Q547+R547)</f>
        <v/>
      </c>
      <c r="T547" s="65" t="str">
        <f>IF(AR547="","",INDEX(fa_htb,AR547)+INDEX(fa_tvab,AR547))</f>
        <v/>
      </c>
      <c r="U547" s="65" t="str">
        <f>IF(A547="","",SUMIF(pa_inv,A547,pa_amt))</f>
        <v/>
      </c>
      <c r="V547" s="65" t="str">
        <f>IF(OR(A547="",AA547="Avoir"),"",-SUMIFS(fa_ttc,fa_avof,A547,fa_type,"Avoir"))</f>
        <v/>
      </c>
      <c r="W547" s="65" t="str">
        <f>IF(OR(A547="",AA547="Avoir"),"",ROUND(S547-U547-V547,2))</f>
        <v/>
      </c>
      <c r="X547" s="66" t="str">
        <f>IF(W547="","",IF(AND(W547&gt;0,p_asof&gt;P547),p_asof-P547,""))</f>
        <v/>
      </c>
      <c r="Y547" s="59" t="str">
        <f>IF(A547="","",IF(AA547="Avoir","Avoir",IF(W547&lt;0,"Trop-perçu",IF(W547=0,"Soldée",IF(p_asof&gt;P547,"En retard",IF(U547+V547&gt;0,"Partielle","À échoir"))))))</f>
        <v/>
      </c>
      <c r="Z547" s="59" t="str">
        <f>IF(NOT(COUNTA(B547:D547,F547:O547)&gt;0),"",IF(C547="","Date manquante",IF(NOT(ISNUMBER(C547)),"Date invalide",IF(D547="","Client manquant",IF(ISNA(MATCH(D547,cli_code,0)),"Client inconnu",IF(AC547&lt;SUMPRODUCT(MAX(($AB$6:AB546=AB547)*$AC$6:AC546)),"Date antérieure à la facture précédente",IF(AND(F547&lt;&gt;"",ISNA(MATCH(F547,dv_num,0))),"Devis inconnu",IF(AND(F547&lt;&gt;"",IFERROR(INDEX(dv_client,MATCH(F547,dv_num,0)),D547)&lt;&gt;D547),"Client différent de celui du devis",IF(AG547="","Aucune ligne : saisissez des lignes ou un devis",IF(AND(AI547&lt;&gt;"",COUNTIF($AI$6:AI547,AI547)&gt;1),"Devis déjà repris par une autre facture",IF(AND(AA547="Avoir",M547=""),"Avoir : indiquez la facture d'origine",IF(AND(AA547="Avoir",ISNA(MATCH(M547,fa_num,0))),"Facture d'origine inconnue",IF(AND(AA547&lt;&gt;"Avoir",M547&lt;&gt;""),"« Avoir sur facture » : réservé aux avoirs",IF(AND(L547&lt;&gt;"",AA547&lt;&gt;"Facture"),"Acompte à déduire : réservé aux factures",IF(AND(L547&lt;&gt;"",ISNA(MATCH(L547,fa_num,0))),"Facture d'acompte inconnue",IF(AND(L547&lt;&gt;"",IFERROR(INDEX(fa_type,MATCH(L547,fa_num,0)),"")&lt;&gt;"Facture d'acompte"),"Le n° à déduire n'est pas une facture d'acompte",IF(AND(L547&lt;&gt;"",COUNTIF($L$6:L547,L547)&gt;1),"Acompte déjà déduit sur une autre facture",IF(AND(L547&lt;&gt;"",IFERROR(INDEX(fa_client,MATCH(L547,fa_num,0)),D547)&lt;&gt;D547),"Acompte d'un autre client",IF(AND(AR547&lt;&gt;"",N(Q547)&lt;0),"Acompte supérieur au total de la facture",IF(IF(AG547="Facture",COUNTIFS(fl_doc,A547,fl_check,"&lt;&gt;OK"),IF(AG547="Devis",COUNTIFS(dl_doc,F547,dl_check,"&lt;&gt;OK"),0))&gt;0,"Ligne(s) à corriger",IF(AND(W547&lt;&gt;"",N(W547)&lt;0),"Trop-perçu : vérifiez paiements et avoirs","OK")))))))))))))))))))))</f>
        <v/>
      </c>
      <c r="AA547" s="62" t="str">
        <f>IF(COUNTA(B547:D547,F547:O547)&gt;0,IF(B547="","Facture",B547),"")</f>
        <v/>
      </c>
      <c r="AB547" s="62" t="str">
        <f>IF(AA547="","",IF(AA547="Avoir",p_pav,IF(AA547="Facture d'acompte",p_pac,p_pfa)))</f>
        <v/>
      </c>
      <c r="AC547" s="62">
        <f>IF(ISNUMBER(C547),C547,0)</f>
        <v>0.0</v>
      </c>
      <c r="AD547" s="62" t="str">
        <f>IF(OR(AA547="",AC547=0),"",YEAR(AC547))</f>
        <v/>
      </c>
      <c r="AE547" s="62" t="str">
        <f>IF(AD547="","",COUNTIFS($AB$6:AB547,AB547,$AD$6:AD547,AD547))</f>
        <v/>
      </c>
      <c r="AF547" s="62">
        <f>IF(A547="",0,COUNTIF(fl_doc,A547))</f>
        <v>0.0</v>
      </c>
      <c r="AG547" s="62" t="str">
        <f>IF(A547="","",IF(AF547&gt;0,"Facture",IF(AND(F547&lt;&gt;"",AA547="Facture",ISNUMBER(MATCH(F547,dv_num,0))),"Devis","")))</f>
        <v/>
      </c>
      <c r="AH547" s="62" t="str">
        <f>IF(AND(A547&lt;&gt;"",F547&lt;&gt;"",AA547&lt;&gt;"Avoir"),F547,"")</f>
        <v/>
      </c>
      <c r="AI547" s="62" t="str">
        <f>IF(AG547="Devis",F547,"")</f>
        <v/>
      </c>
      <c r="AJ547" s="62">
        <f>IF(AG547="Facture",SUMIF(fl_doc,A547,fl_ht),IF(AG547="Devis",SUMIF(dl_doc,F547,dl_ht),0))</f>
        <v>0.0</v>
      </c>
      <c r="AK547" s="62">
        <f>IF(OR(AG547="",INDEX(p_rates,1)=""),0,IF(AG547="Facture",SUMIFS(fl_ht,fl_doc,A547,fl_rate,INDEX(p_rates,1)),SUMIFS(dl_ht,dl_doc,F547,dl_rate,INDEX(p_rates,1))))</f>
        <v>0.0</v>
      </c>
      <c r="AL547" s="62">
        <f>IF(OR(AG547="",INDEX(p_rates,2)=""),0,IF(AG547="Facture",SUMIFS(fl_ht,fl_doc,A547,fl_rate,INDEX(p_rates,2)),SUMIFS(dl_ht,dl_doc,F547,dl_rate,INDEX(p_rates,2))))</f>
        <v>0.0</v>
      </c>
      <c r="AM547" s="62">
        <f>IF(OR(AG547="",INDEX(p_rates,3)=""),0,IF(AG547="Facture",SUMIFS(fl_ht,fl_doc,A547,fl_rate,INDEX(p_rates,3)),SUMIFS(dl_ht,dl_doc,F547,dl_rate,INDEX(p_rates,3))))</f>
        <v>0.0</v>
      </c>
      <c r="AN547" s="62">
        <f>IF(OR(AG547="",INDEX(p_rates,4)=""),0,IF(AG547="Facture",SUMIFS(fl_ht,fl_doc,A547,fl_rate,INDEX(p_rates,4)),SUMIFS(dl_ht,dl_doc,F547,dl_rate,INDEX(p_rates,4))))</f>
        <v>0.0</v>
      </c>
      <c r="AO547" s="62">
        <f>IF(OR(AG547="",INDEX(p_rates,5)=""),0,IF(AG547="Facture",SUMIFS(fl_ht,fl_doc,A547,fl_rate,INDEX(p_rates,5)),SUMIFS(dl_ht,dl_doc,F547,dl_rate,INDEX(p_rates,5))))</f>
        <v>0.0</v>
      </c>
      <c r="AP547" s="62">
        <f>IF(OR(AG547="",INDEX(p_rates,6)=""),0,IF(AG547="Facture",SUMIFS(fl_ht,fl_doc,A547,fl_rate,INDEX(p_rates,6)),SUMIFS(dl_ht,dl_doc,F547,dl_rate,INDEX(p_rates,6))))</f>
        <v>0.0</v>
      </c>
      <c r="AQ547" s="62">
        <f>ROUND(AK547*N(INDEX(p_rates,1)),2)+ROUND(AL547*N(INDEX(p_rates,2)),2)+ROUND(AM547*N(INDEX(p_rates,3)),2)+ROUND(AN547*N(INDEX(p_rates,4)),2)+ROUND(AO547*N(INDEX(p_rates,5)),2)+ROUND(AP547*N(INDEX(p_rates,6)),2)</f>
        <v>0.0</v>
      </c>
      <c r="AR547" s="62" t="str">
        <f>IF(OR(L547="",AA547&lt;&gt;"Facture"),"",IFERROR(IF(INDEX(fa_type,MATCH(L547,fa_num,0))="Facture d'acompte",MATCH(L547,fa_num,0),""),""))</f>
        <v/>
      </c>
      <c r="AS547" s="62" t="str">
        <f>IF(W547="","",IF(W547&lt;=0,"",IF(p_asof-P547&lt;=0,"Non échu",IF(p_asof-P547&lt;=30,"1-30 j",IF(p_asof-P547&lt;=60,"31-60 j",IF(p_asof-P547&lt;=90,"61-90 j","Plus de 90 j"))))))</f>
        <v/>
      </c>
      <c r="AT547" s="62" t="str">
        <f>IF(AS547="","",p_asof-P547)</f>
        <v/>
      </c>
      <c r="AU547" s="62" t="str">
        <f>IF(AT547="","",COUNTIF($AT$6:$AT$805,"&gt;"&amp;AT547)+COUNTIF($AT$6:AT547,AT547))</f>
        <v/>
      </c>
    </row>
    <row r="548">
      <c r="A548" s="59" t="str">
        <f>IF(AE548="","",AB548&amp;"-"&amp;AD548&amp;"-"&amp;RIGHT("000"&amp;AE548,4))</f>
        <v/>
      </c>
      <c r="B548" s="60" t="n"/>
      <c r="C548" s="61" t="n"/>
      <c r="D548" s="60" t="n"/>
      <c r="E548" s="62" t="str">
        <f>IF(D548="","",IFERROR(INDEX(cli_name,MATCH(D548,cli_code,0))&amp;"","Client inconnu"))</f>
        <v/>
      </c>
      <c r="F548" s="60" t="n"/>
      <c r="G548" s="63" t="n"/>
      <c r="H548" s="61" t="n"/>
      <c r="I548" s="63" t="n"/>
      <c r="J548" s="60" t="n"/>
      <c r="K548" s="61" t="n"/>
      <c r="L548" s="60" t="n"/>
      <c r="M548" s="60" t="n"/>
      <c r="N548" s="60" t="n"/>
      <c r="O548" s="61" t="n"/>
      <c r="P548" s="64" t="str">
        <f>IF(A548="","",IF(AA548="Avoir",AC548,IF(ISNUMBER(K548),K548,AC548+IF(D548="",N(p_delay),IFERROR(IF(ISNUMBER(INDEX(cli_delay,MATCH(D548,cli_code,0))),INDEX(cli_delay,MATCH(D548,cli_code,0)),N(p_delay)),N(p_delay))))))</f>
        <v/>
      </c>
      <c r="Q548" s="65" t="str">
        <f>IF(A548="","",IF(AA548="Avoir",-1,1)*ROUND(AJ548-IF(AR548="",0,INDEX(fa_htb,AR548)),2))</f>
        <v/>
      </c>
      <c r="R548" s="65" t="str">
        <f>IF(A548="","",IF(AA548="Avoir",-1,1)*ROUND(AQ548-IF(AR548="",0,INDEX(fa_tvab,AR548)),2))</f>
        <v/>
      </c>
      <c r="S548" s="65" t="str">
        <f>IF(A548="","",Q548+R548)</f>
        <v/>
      </c>
      <c r="T548" s="65" t="str">
        <f>IF(AR548="","",INDEX(fa_htb,AR548)+INDEX(fa_tvab,AR548))</f>
        <v/>
      </c>
      <c r="U548" s="65" t="str">
        <f>IF(A548="","",SUMIF(pa_inv,A548,pa_amt))</f>
        <v/>
      </c>
      <c r="V548" s="65" t="str">
        <f>IF(OR(A548="",AA548="Avoir"),"",-SUMIFS(fa_ttc,fa_avof,A548,fa_type,"Avoir"))</f>
        <v/>
      </c>
      <c r="W548" s="65" t="str">
        <f>IF(OR(A548="",AA548="Avoir"),"",ROUND(S548-U548-V548,2))</f>
        <v/>
      </c>
      <c r="X548" s="66" t="str">
        <f>IF(W548="","",IF(AND(W548&gt;0,p_asof&gt;P548),p_asof-P548,""))</f>
        <v/>
      </c>
      <c r="Y548" s="59" t="str">
        <f>IF(A548="","",IF(AA548="Avoir","Avoir",IF(W548&lt;0,"Trop-perçu",IF(W548=0,"Soldée",IF(p_asof&gt;P548,"En retard",IF(U548+V548&gt;0,"Partielle","À échoir"))))))</f>
        <v/>
      </c>
      <c r="Z548" s="59" t="str">
        <f>IF(NOT(COUNTA(B548:D548,F548:O548)&gt;0),"",IF(C548="","Date manquante",IF(NOT(ISNUMBER(C548)),"Date invalide",IF(D548="","Client manquant",IF(ISNA(MATCH(D548,cli_code,0)),"Client inconnu",IF(AC548&lt;SUMPRODUCT(MAX(($AB$6:AB547=AB548)*$AC$6:AC547)),"Date antérieure à la facture précédente",IF(AND(F548&lt;&gt;"",ISNA(MATCH(F548,dv_num,0))),"Devis inconnu",IF(AND(F548&lt;&gt;"",IFERROR(INDEX(dv_client,MATCH(F548,dv_num,0)),D548)&lt;&gt;D548),"Client différent de celui du devis",IF(AG548="","Aucune ligne : saisissez des lignes ou un devis",IF(AND(AI548&lt;&gt;"",COUNTIF($AI$6:AI548,AI548)&gt;1),"Devis déjà repris par une autre facture",IF(AND(AA548="Avoir",M548=""),"Avoir : indiquez la facture d'origine",IF(AND(AA548="Avoir",ISNA(MATCH(M548,fa_num,0))),"Facture d'origine inconnue",IF(AND(AA548&lt;&gt;"Avoir",M548&lt;&gt;""),"« Avoir sur facture » : réservé aux avoirs",IF(AND(L548&lt;&gt;"",AA548&lt;&gt;"Facture"),"Acompte à déduire : réservé aux factures",IF(AND(L548&lt;&gt;"",ISNA(MATCH(L548,fa_num,0))),"Facture d'acompte inconnue",IF(AND(L548&lt;&gt;"",IFERROR(INDEX(fa_type,MATCH(L548,fa_num,0)),"")&lt;&gt;"Facture d'acompte"),"Le n° à déduire n'est pas une facture d'acompte",IF(AND(L548&lt;&gt;"",COUNTIF($L$6:L548,L548)&gt;1),"Acompte déjà déduit sur une autre facture",IF(AND(L548&lt;&gt;"",IFERROR(INDEX(fa_client,MATCH(L548,fa_num,0)),D548)&lt;&gt;D548),"Acompte d'un autre client",IF(AND(AR548&lt;&gt;"",N(Q548)&lt;0),"Acompte supérieur au total de la facture",IF(IF(AG548="Facture",COUNTIFS(fl_doc,A548,fl_check,"&lt;&gt;OK"),IF(AG548="Devis",COUNTIFS(dl_doc,F548,dl_check,"&lt;&gt;OK"),0))&gt;0,"Ligne(s) à corriger",IF(AND(W548&lt;&gt;"",N(W548)&lt;0),"Trop-perçu : vérifiez paiements et avoirs","OK")))))))))))))))))))))</f>
        <v/>
      </c>
      <c r="AA548" s="62" t="str">
        <f>IF(COUNTA(B548:D548,F548:O548)&gt;0,IF(B548="","Facture",B548),"")</f>
        <v/>
      </c>
      <c r="AB548" s="62" t="str">
        <f>IF(AA548="","",IF(AA548="Avoir",p_pav,IF(AA548="Facture d'acompte",p_pac,p_pfa)))</f>
        <v/>
      </c>
      <c r="AC548" s="62">
        <f>IF(ISNUMBER(C548),C548,0)</f>
        <v>0.0</v>
      </c>
      <c r="AD548" s="62" t="str">
        <f>IF(OR(AA548="",AC548=0),"",YEAR(AC548))</f>
        <v/>
      </c>
      <c r="AE548" s="62" t="str">
        <f>IF(AD548="","",COUNTIFS($AB$6:AB548,AB548,$AD$6:AD548,AD548))</f>
        <v/>
      </c>
      <c r="AF548" s="62">
        <f>IF(A548="",0,COUNTIF(fl_doc,A548))</f>
        <v>0.0</v>
      </c>
      <c r="AG548" s="62" t="str">
        <f>IF(A548="","",IF(AF548&gt;0,"Facture",IF(AND(F548&lt;&gt;"",AA548="Facture",ISNUMBER(MATCH(F548,dv_num,0))),"Devis","")))</f>
        <v/>
      </c>
      <c r="AH548" s="62" t="str">
        <f>IF(AND(A548&lt;&gt;"",F548&lt;&gt;"",AA548&lt;&gt;"Avoir"),F548,"")</f>
        <v/>
      </c>
      <c r="AI548" s="62" t="str">
        <f>IF(AG548="Devis",F548,"")</f>
        <v/>
      </c>
      <c r="AJ548" s="62">
        <f>IF(AG548="Facture",SUMIF(fl_doc,A548,fl_ht),IF(AG548="Devis",SUMIF(dl_doc,F548,dl_ht),0))</f>
        <v>0.0</v>
      </c>
      <c r="AK548" s="62">
        <f>IF(OR(AG548="",INDEX(p_rates,1)=""),0,IF(AG548="Facture",SUMIFS(fl_ht,fl_doc,A548,fl_rate,INDEX(p_rates,1)),SUMIFS(dl_ht,dl_doc,F548,dl_rate,INDEX(p_rates,1))))</f>
        <v>0.0</v>
      </c>
      <c r="AL548" s="62">
        <f>IF(OR(AG548="",INDEX(p_rates,2)=""),0,IF(AG548="Facture",SUMIFS(fl_ht,fl_doc,A548,fl_rate,INDEX(p_rates,2)),SUMIFS(dl_ht,dl_doc,F548,dl_rate,INDEX(p_rates,2))))</f>
        <v>0.0</v>
      </c>
      <c r="AM548" s="62">
        <f>IF(OR(AG548="",INDEX(p_rates,3)=""),0,IF(AG548="Facture",SUMIFS(fl_ht,fl_doc,A548,fl_rate,INDEX(p_rates,3)),SUMIFS(dl_ht,dl_doc,F548,dl_rate,INDEX(p_rates,3))))</f>
        <v>0.0</v>
      </c>
      <c r="AN548" s="62">
        <f>IF(OR(AG548="",INDEX(p_rates,4)=""),0,IF(AG548="Facture",SUMIFS(fl_ht,fl_doc,A548,fl_rate,INDEX(p_rates,4)),SUMIFS(dl_ht,dl_doc,F548,dl_rate,INDEX(p_rates,4))))</f>
        <v>0.0</v>
      </c>
      <c r="AO548" s="62">
        <f>IF(OR(AG548="",INDEX(p_rates,5)=""),0,IF(AG548="Facture",SUMIFS(fl_ht,fl_doc,A548,fl_rate,INDEX(p_rates,5)),SUMIFS(dl_ht,dl_doc,F548,dl_rate,INDEX(p_rates,5))))</f>
        <v>0.0</v>
      </c>
      <c r="AP548" s="62">
        <f>IF(OR(AG548="",INDEX(p_rates,6)=""),0,IF(AG548="Facture",SUMIFS(fl_ht,fl_doc,A548,fl_rate,INDEX(p_rates,6)),SUMIFS(dl_ht,dl_doc,F548,dl_rate,INDEX(p_rates,6))))</f>
        <v>0.0</v>
      </c>
      <c r="AQ548" s="62">
        <f>ROUND(AK548*N(INDEX(p_rates,1)),2)+ROUND(AL548*N(INDEX(p_rates,2)),2)+ROUND(AM548*N(INDEX(p_rates,3)),2)+ROUND(AN548*N(INDEX(p_rates,4)),2)+ROUND(AO548*N(INDEX(p_rates,5)),2)+ROUND(AP548*N(INDEX(p_rates,6)),2)</f>
        <v>0.0</v>
      </c>
      <c r="AR548" s="62" t="str">
        <f>IF(OR(L548="",AA548&lt;&gt;"Facture"),"",IFERROR(IF(INDEX(fa_type,MATCH(L548,fa_num,0))="Facture d'acompte",MATCH(L548,fa_num,0),""),""))</f>
        <v/>
      </c>
      <c r="AS548" s="62" t="str">
        <f>IF(W548="","",IF(W548&lt;=0,"",IF(p_asof-P548&lt;=0,"Non échu",IF(p_asof-P548&lt;=30,"1-30 j",IF(p_asof-P548&lt;=60,"31-60 j",IF(p_asof-P548&lt;=90,"61-90 j","Plus de 90 j"))))))</f>
        <v/>
      </c>
      <c r="AT548" s="62" t="str">
        <f>IF(AS548="","",p_asof-P548)</f>
        <v/>
      </c>
      <c r="AU548" s="62" t="str">
        <f>IF(AT548="","",COUNTIF($AT$6:$AT$805,"&gt;"&amp;AT548)+COUNTIF($AT$6:AT548,AT548))</f>
        <v/>
      </c>
    </row>
    <row r="549">
      <c r="A549" s="59" t="str">
        <f>IF(AE549="","",AB549&amp;"-"&amp;AD549&amp;"-"&amp;RIGHT("000"&amp;AE549,4))</f>
        <v/>
      </c>
      <c r="B549" s="60" t="n"/>
      <c r="C549" s="61" t="n"/>
      <c r="D549" s="60" t="n"/>
      <c r="E549" s="62" t="str">
        <f>IF(D549="","",IFERROR(INDEX(cli_name,MATCH(D549,cli_code,0))&amp;"","Client inconnu"))</f>
        <v/>
      </c>
      <c r="F549" s="60" t="n"/>
      <c r="G549" s="63" t="n"/>
      <c r="H549" s="61" t="n"/>
      <c r="I549" s="63" t="n"/>
      <c r="J549" s="60" t="n"/>
      <c r="K549" s="61" t="n"/>
      <c r="L549" s="60" t="n"/>
      <c r="M549" s="60" t="n"/>
      <c r="N549" s="60" t="n"/>
      <c r="O549" s="61" t="n"/>
      <c r="P549" s="64" t="str">
        <f>IF(A549="","",IF(AA549="Avoir",AC549,IF(ISNUMBER(K549),K549,AC549+IF(D549="",N(p_delay),IFERROR(IF(ISNUMBER(INDEX(cli_delay,MATCH(D549,cli_code,0))),INDEX(cli_delay,MATCH(D549,cli_code,0)),N(p_delay)),N(p_delay))))))</f>
        <v/>
      </c>
      <c r="Q549" s="65" t="str">
        <f>IF(A549="","",IF(AA549="Avoir",-1,1)*ROUND(AJ549-IF(AR549="",0,INDEX(fa_htb,AR549)),2))</f>
        <v/>
      </c>
      <c r="R549" s="65" t="str">
        <f>IF(A549="","",IF(AA549="Avoir",-1,1)*ROUND(AQ549-IF(AR549="",0,INDEX(fa_tvab,AR549)),2))</f>
        <v/>
      </c>
      <c r="S549" s="65" t="str">
        <f>IF(A549="","",Q549+R549)</f>
        <v/>
      </c>
      <c r="T549" s="65" t="str">
        <f>IF(AR549="","",INDEX(fa_htb,AR549)+INDEX(fa_tvab,AR549))</f>
        <v/>
      </c>
      <c r="U549" s="65" t="str">
        <f>IF(A549="","",SUMIF(pa_inv,A549,pa_amt))</f>
        <v/>
      </c>
      <c r="V549" s="65" t="str">
        <f>IF(OR(A549="",AA549="Avoir"),"",-SUMIFS(fa_ttc,fa_avof,A549,fa_type,"Avoir"))</f>
        <v/>
      </c>
      <c r="W549" s="65" t="str">
        <f>IF(OR(A549="",AA549="Avoir"),"",ROUND(S549-U549-V549,2))</f>
        <v/>
      </c>
      <c r="X549" s="66" t="str">
        <f>IF(W549="","",IF(AND(W549&gt;0,p_asof&gt;P549),p_asof-P549,""))</f>
        <v/>
      </c>
      <c r="Y549" s="59" t="str">
        <f>IF(A549="","",IF(AA549="Avoir","Avoir",IF(W549&lt;0,"Trop-perçu",IF(W549=0,"Soldée",IF(p_asof&gt;P549,"En retard",IF(U549+V549&gt;0,"Partielle","À échoir"))))))</f>
        <v/>
      </c>
      <c r="Z549" s="59" t="str">
        <f>IF(NOT(COUNTA(B549:D549,F549:O549)&gt;0),"",IF(C549="","Date manquante",IF(NOT(ISNUMBER(C549)),"Date invalide",IF(D549="","Client manquant",IF(ISNA(MATCH(D549,cli_code,0)),"Client inconnu",IF(AC549&lt;SUMPRODUCT(MAX(($AB$6:AB548=AB549)*$AC$6:AC548)),"Date antérieure à la facture précédente",IF(AND(F549&lt;&gt;"",ISNA(MATCH(F549,dv_num,0))),"Devis inconnu",IF(AND(F549&lt;&gt;"",IFERROR(INDEX(dv_client,MATCH(F549,dv_num,0)),D549)&lt;&gt;D549),"Client différent de celui du devis",IF(AG549="","Aucune ligne : saisissez des lignes ou un devis",IF(AND(AI549&lt;&gt;"",COUNTIF($AI$6:AI549,AI549)&gt;1),"Devis déjà repris par une autre facture",IF(AND(AA549="Avoir",M549=""),"Avoir : indiquez la facture d'origine",IF(AND(AA549="Avoir",ISNA(MATCH(M549,fa_num,0))),"Facture d'origine inconnue",IF(AND(AA549&lt;&gt;"Avoir",M549&lt;&gt;""),"« Avoir sur facture » : réservé aux avoirs",IF(AND(L549&lt;&gt;"",AA549&lt;&gt;"Facture"),"Acompte à déduire : réservé aux factures",IF(AND(L549&lt;&gt;"",ISNA(MATCH(L549,fa_num,0))),"Facture d'acompte inconnue",IF(AND(L549&lt;&gt;"",IFERROR(INDEX(fa_type,MATCH(L549,fa_num,0)),"")&lt;&gt;"Facture d'acompte"),"Le n° à déduire n'est pas une facture d'acompte",IF(AND(L549&lt;&gt;"",COUNTIF($L$6:L549,L549)&gt;1),"Acompte déjà déduit sur une autre facture",IF(AND(L549&lt;&gt;"",IFERROR(INDEX(fa_client,MATCH(L549,fa_num,0)),D549)&lt;&gt;D549),"Acompte d'un autre client",IF(AND(AR549&lt;&gt;"",N(Q549)&lt;0),"Acompte supérieur au total de la facture",IF(IF(AG549="Facture",COUNTIFS(fl_doc,A549,fl_check,"&lt;&gt;OK"),IF(AG549="Devis",COUNTIFS(dl_doc,F549,dl_check,"&lt;&gt;OK"),0))&gt;0,"Ligne(s) à corriger",IF(AND(W549&lt;&gt;"",N(W549)&lt;0),"Trop-perçu : vérifiez paiements et avoirs","OK")))))))))))))))))))))</f>
        <v/>
      </c>
      <c r="AA549" s="62" t="str">
        <f>IF(COUNTA(B549:D549,F549:O549)&gt;0,IF(B549="","Facture",B549),"")</f>
        <v/>
      </c>
      <c r="AB549" s="62" t="str">
        <f>IF(AA549="","",IF(AA549="Avoir",p_pav,IF(AA549="Facture d'acompte",p_pac,p_pfa)))</f>
        <v/>
      </c>
      <c r="AC549" s="62">
        <f>IF(ISNUMBER(C549),C549,0)</f>
        <v>0.0</v>
      </c>
      <c r="AD549" s="62" t="str">
        <f>IF(OR(AA549="",AC549=0),"",YEAR(AC549))</f>
        <v/>
      </c>
      <c r="AE549" s="62" t="str">
        <f>IF(AD549="","",COUNTIFS($AB$6:AB549,AB549,$AD$6:AD549,AD549))</f>
        <v/>
      </c>
      <c r="AF549" s="62">
        <f>IF(A549="",0,COUNTIF(fl_doc,A549))</f>
        <v>0.0</v>
      </c>
      <c r="AG549" s="62" t="str">
        <f>IF(A549="","",IF(AF549&gt;0,"Facture",IF(AND(F549&lt;&gt;"",AA549="Facture",ISNUMBER(MATCH(F549,dv_num,0))),"Devis","")))</f>
        <v/>
      </c>
      <c r="AH549" s="62" t="str">
        <f>IF(AND(A549&lt;&gt;"",F549&lt;&gt;"",AA549&lt;&gt;"Avoir"),F549,"")</f>
        <v/>
      </c>
      <c r="AI549" s="62" t="str">
        <f>IF(AG549="Devis",F549,"")</f>
        <v/>
      </c>
      <c r="AJ549" s="62">
        <f>IF(AG549="Facture",SUMIF(fl_doc,A549,fl_ht),IF(AG549="Devis",SUMIF(dl_doc,F549,dl_ht),0))</f>
        <v>0.0</v>
      </c>
      <c r="AK549" s="62">
        <f>IF(OR(AG549="",INDEX(p_rates,1)=""),0,IF(AG549="Facture",SUMIFS(fl_ht,fl_doc,A549,fl_rate,INDEX(p_rates,1)),SUMIFS(dl_ht,dl_doc,F549,dl_rate,INDEX(p_rates,1))))</f>
        <v>0.0</v>
      </c>
      <c r="AL549" s="62">
        <f>IF(OR(AG549="",INDEX(p_rates,2)=""),0,IF(AG549="Facture",SUMIFS(fl_ht,fl_doc,A549,fl_rate,INDEX(p_rates,2)),SUMIFS(dl_ht,dl_doc,F549,dl_rate,INDEX(p_rates,2))))</f>
        <v>0.0</v>
      </c>
      <c r="AM549" s="62">
        <f>IF(OR(AG549="",INDEX(p_rates,3)=""),0,IF(AG549="Facture",SUMIFS(fl_ht,fl_doc,A549,fl_rate,INDEX(p_rates,3)),SUMIFS(dl_ht,dl_doc,F549,dl_rate,INDEX(p_rates,3))))</f>
        <v>0.0</v>
      </c>
      <c r="AN549" s="62">
        <f>IF(OR(AG549="",INDEX(p_rates,4)=""),0,IF(AG549="Facture",SUMIFS(fl_ht,fl_doc,A549,fl_rate,INDEX(p_rates,4)),SUMIFS(dl_ht,dl_doc,F549,dl_rate,INDEX(p_rates,4))))</f>
        <v>0.0</v>
      </c>
      <c r="AO549" s="62">
        <f>IF(OR(AG549="",INDEX(p_rates,5)=""),0,IF(AG549="Facture",SUMIFS(fl_ht,fl_doc,A549,fl_rate,INDEX(p_rates,5)),SUMIFS(dl_ht,dl_doc,F549,dl_rate,INDEX(p_rates,5))))</f>
        <v>0.0</v>
      </c>
      <c r="AP549" s="62">
        <f>IF(OR(AG549="",INDEX(p_rates,6)=""),0,IF(AG549="Facture",SUMIFS(fl_ht,fl_doc,A549,fl_rate,INDEX(p_rates,6)),SUMIFS(dl_ht,dl_doc,F549,dl_rate,INDEX(p_rates,6))))</f>
        <v>0.0</v>
      </c>
      <c r="AQ549" s="62">
        <f>ROUND(AK549*N(INDEX(p_rates,1)),2)+ROUND(AL549*N(INDEX(p_rates,2)),2)+ROUND(AM549*N(INDEX(p_rates,3)),2)+ROUND(AN549*N(INDEX(p_rates,4)),2)+ROUND(AO549*N(INDEX(p_rates,5)),2)+ROUND(AP549*N(INDEX(p_rates,6)),2)</f>
        <v>0.0</v>
      </c>
      <c r="AR549" s="62" t="str">
        <f>IF(OR(L549="",AA549&lt;&gt;"Facture"),"",IFERROR(IF(INDEX(fa_type,MATCH(L549,fa_num,0))="Facture d'acompte",MATCH(L549,fa_num,0),""),""))</f>
        <v/>
      </c>
      <c r="AS549" s="62" t="str">
        <f>IF(W549="","",IF(W549&lt;=0,"",IF(p_asof-P549&lt;=0,"Non échu",IF(p_asof-P549&lt;=30,"1-30 j",IF(p_asof-P549&lt;=60,"31-60 j",IF(p_asof-P549&lt;=90,"61-90 j","Plus de 90 j"))))))</f>
        <v/>
      </c>
      <c r="AT549" s="62" t="str">
        <f>IF(AS549="","",p_asof-P549)</f>
        <v/>
      </c>
      <c r="AU549" s="62" t="str">
        <f>IF(AT549="","",COUNTIF($AT$6:$AT$805,"&gt;"&amp;AT549)+COUNTIF($AT$6:AT549,AT549))</f>
        <v/>
      </c>
    </row>
    <row r="550">
      <c r="A550" s="59" t="str">
        <f>IF(AE550="","",AB550&amp;"-"&amp;AD550&amp;"-"&amp;RIGHT("000"&amp;AE550,4))</f>
        <v/>
      </c>
      <c r="B550" s="60" t="n"/>
      <c r="C550" s="61" t="n"/>
      <c r="D550" s="60" t="n"/>
      <c r="E550" s="62" t="str">
        <f>IF(D550="","",IFERROR(INDEX(cli_name,MATCH(D550,cli_code,0))&amp;"","Client inconnu"))</f>
        <v/>
      </c>
      <c r="F550" s="60" t="n"/>
      <c r="G550" s="63" t="n"/>
      <c r="H550" s="61" t="n"/>
      <c r="I550" s="63" t="n"/>
      <c r="J550" s="60" t="n"/>
      <c r="K550" s="61" t="n"/>
      <c r="L550" s="60" t="n"/>
      <c r="M550" s="60" t="n"/>
      <c r="N550" s="60" t="n"/>
      <c r="O550" s="61" t="n"/>
      <c r="P550" s="64" t="str">
        <f>IF(A550="","",IF(AA550="Avoir",AC550,IF(ISNUMBER(K550),K550,AC550+IF(D550="",N(p_delay),IFERROR(IF(ISNUMBER(INDEX(cli_delay,MATCH(D550,cli_code,0))),INDEX(cli_delay,MATCH(D550,cli_code,0)),N(p_delay)),N(p_delay))))))</f>
        <v/>
      </c>
      <c r="Q550" s="65" t="str">
        <f>IF(A550="","",IF(AA550="Avoir",-1,1)*ROUND(AJ550-IF(AR550="",0,INDEX(fa_htb,AR550)),2))</f>
        <v/>
      </c>
      <c r="R550" s="65" t="str">
        <f>IF(A550="","",IF(AA550="Avoir",-1,1)*ROUND(AQ550-IF(AR550="",0,INDEX(fa_tvab,AR550)),2))</f>
        <v/>
      </c>
      <c r="S550" s="65" t="str">
        <f>IF(A550="","",Q550+R550)</f>
        <v/>
      </c>
      <c r="T550" s="65" t="str">
        <f>IF(AR550="","",INDEX(fa_htb,AR550)+INDEX(fa_tvab,AR550))</f>
        <v/>
      </c>
      <c r="U550" s="65" t="str">
        <f>IF(A550="","",SUMIF(pa_inv,A550,pa_amt))</f>
        <v/>
      </c>
      <c r="V550" s="65" t="str">
        <f>IF(OR(A550="",AA550="Avoir"),"",-SUMIFS(fa_ttc,fa_avof,A550,fa_type,"Avoir"))</f>
        <v/>
      </c>
      <c r="W550" s="65" t="str">
        <f>IF(OR(A550="",AA550="Avoir"),"",ROUND(S550-U550-V550,2))</f>
        <v/>
      </c>
      <c r="X550" s="66" t="str">
        <f>IF(W550="","",IF(AND(W550&gt;0,p_asof&gt;P550),p_asof-P550,""))</f>
        <v/>
      </c>
      <c r="Y550" s="59" t="str">
        <f>IF(A550="","",IF(AA550="Avoir","Avoir",IF(W550&lt;0,"Trop-perçu",IF(W550=0,"Soldée",IF(p_asof&gt;P550,"En retard",IF(U550+V550&gt;0,"Partielle","À échoir"))))))</f>
        <v/>
      </c>
      <c r="Z550" s="59" t="str">
        <f>IF(NOT(COUNTA(B550:D550,F550:O550)&gt;0),"",IF(C550="","Date manquante",IF(NOT(ISNUMBER(C550)),"Date invalide",IF(D550="","Client manquant",IF(ISNA(MATCH(D550,cli_code,0)),"Client inconnu",IF(AC550&lt;SUMPRODUCT(MAX(($AB$6:AB549=AB550)*$AC$6:AC549)),"Date antérieure à la facture précédente",IF(AND(F550&lt;&gt;"",ISNA(MATCH(F550,dv_num,0))),"Devis inconnu",IF(AND(F550&lt;&gt;"",IFERROR(INDEX(dv_client,MATCH(F550,dv_num,0)),D550)&lt;&gt;D550),"Client différent de celui du devis",IF(AG550="","Aucune ligne : saisissez des lignes ou un devis",IF(AND(AI550&lt;&gt;"",COUNTIF($AI$6:AI550,AI550)&gt;1),"Devis déjà repris par une autre facture",IF(AND(AA550="Avoir",M550=""),"Avoir : indiquez la facture d'origine",IF(AND(AA550="Avoir",ISNA(MATCH(M550,fa_num,0))),"Facture d'origine inconnue",IF(AND(AA550&lt;&gt;"Avoir",M550&lt;&gt;""),"« Avoir sur facture » : réservé aux avoirs",IF(AND(L550&lt;&gt;"",AA550&lt;&gt;"Facture"),"Acompte à déduire : réservé aux factures",IF(AND(L550&lt;&gt;"",ISNA(MATCH(L550,fa_num,0))),"Facture d'acompte inconnue",IF(AND(L550&lt;&gt;"",IFERROR(INDEX(fa_type,MATCH(L550,fa_num,0)),"")&lt;&gt;"Facture d'acompte"),"Le n° à déduire n'est pas une facture d'acompte",IF(AND(L550&lt;&gt;"",COUNTIF($L$6:L550,L550)&gt;1),"Acompte déjà déduit sur une autre facture",IF(AND(L550&lt;&gt;"",IFERROR(INDEX(fa_client,MATCH(L550,fa_num,0)),D550)&lt;&gt;D550),"Acompte d'un autre client",IF(AND(AR550&lt;&gt;"",N(Q550)&lt;0),"Acompte supérieur au total de la facture",IF(IF(AG550="Facture",COUNTIFS(fl_doc,A550,fl_check,"&lt;&gt;OK"),IF(AG550="Devis",COUNTIFS(dl_doc,F550,dl_check,"&lt;&gt;OK"),0))&gt;0,"Ligne(s) à corriger",IF(AND(W550&lt;&gt;"",N(W550)&lt;0),"Trop-perçu : vérifiez paiements et avoirs","OK")))))))))))))))))))))</f>
        <v/>
      </c>
      <c r="AA550" s="62" t="str">
        <f>IF(COUNTA(B550:D550,F550:O550)&gt;0,IF(B550="","Facture",B550),"")</f>
        <v/>
      </c>
      <c r="AB550" s="62" t="str">
        <f>IF(AA550="","",IF(AA550="Avoir",p_pav,IF(AA550="Facture d'acompte",p_pac,p_pfa)))</f>
        <v/>
      </c>
      <c r="AC550" s="62">
        <f>IF(ISNUMBER(C550),C550,0)</f>
        <v>0.0</v>
      </c>
      <c r="AD550" s="62" t="str">
        <f>IF(OR(AA550="",AC550=0),"",YEAR(AC550))</f>
        <v/>
      </c>
      <c r="AE550" s="62" t="str">
        <f>IF(AD550="","",COUNTIFS($AB$6:AB550,AB550,$AD$6:AD550,AD550))</f>
        <v/>
      </c>
      <c r="AF550" s="62">
        <f>IF(A550="",0,COUNTIF(fl_doc,A550))</f>
        <v>0.0</v>
      </c>
      <c r="AG550" s="62" t="str">
        <f>IF(A550="","",IF(AF550&gt;0,"Facture",IF(AND(F550&lt;&gt;"",AA550="Facture",ISNUMBER(MATCH(F550,dv_num,0))),"Devis","")))</f>
        <v/>
      </c>
      <c r="AH550" s="62" t="str">
        <f>IF(AND(A550&lt;&gt;"",F550&lt;&gt;"",AA550&lt;&gt;"Avoir"),F550,"")</f>
        <v/>
      </c>
      <c r="AI550" s="62" t="str">
        <f>IF(AG550="Devis",F550,"")</f>
        <v/>
      </c>
      <c r="AJ550" s="62">
        <f>IF(AG550="Facture",SUMIF(fl_doc,A550,fl_ht),IF(AG550="Devis",SUMIF(dl_doc,F550,dl_ht),0))</f>
        <v>0.0</v>
      </c>
      <c r="AK550" s="62">
        <f>IF(OR(AG550="",INDEX(p_rates,1)=""),0,IF(AG550="Facture",SUMIFS(fl_ht,fl_doc,A550,fl_rate,INDEX(p_rates,1)),SUMIFS(dl_ht,dl_doc,F550,dl_rate,INDEX(p_rates,1))))</f>
        <v>0.0</v>
      </c>
      <c r="AL550" s="62">
        <f>IF(OR(AG550="",INDEX(p_rates,2)=""),0,IF(AG550="Facture",SUMIFS(fl_ht,fl_doc,A550,fl_rate,INDEX(p_rates,2)),SUMIFS(dl_ht,dl_doc,F550,dl_rate,INDEX(p_rates,2))))</f>
        <v>0.0</v>
      </c>
      <c r="AM550" s="62">
        <f>IF(OR(AG550="",INDEX(p_rates,3)=""),0,IF(AG550="Facture",SUMIFS(fl_ht,fl_doc,A550,fl_rate,INDEX(p_rates,3)),SUMIFS(dl_ht,dl_doc,F550,dl_rate,INDEX(p_rates,3))))</f>
        <v>0.0</v>
      </c>
      <c r="AN550" s="62">
        <f>IF(OR(AG550="",INDEX(p_rates,4)=""),0,IF(AG550="Facture",SUMIFS(fl_ht,fl_doc,A550,fl_rate,INDEX(p_rates,4)),SUMIFS(dl_ht,dl_doc,F550,dl_rate,INDEX(p_rates,4))))</f>
        <v>0.0</v>
      </c>
      <c r="AO550" s="62">
        <f>IF(OR(AG550="",INDEX(p_rates,5)=""),0,IF(AG550="Facture",SUMIFS(fl_ht,fl_doc,A550,fl_rate,INDEX(p_rates,5)),SUMIFS(dl_ht,dl_doc,F550,dl_rate,INDEX(p_rates,5))))</f>
        <v>0.0</v>
      </c>
      <c r="AP550" s="62">
        <f>IF(OR(AG550="",INDEX(p_rates,6)=""),0,IF(AG550="Facture",SUMIFS(fl_ht,fl_doc,A550,fl_rate,INDEX(p_rates,6)),SUMIFS(dl_ht,dl_doc,F550,dl_rate,INDEX(p_rates,6))))</f>
        <v>0.0</v>
      </c>
      <c r="AQ550" s="62">
        <f>ROUND(AK550*N(INDEX(p_rates,1)),2)+ROUND(AL550*N(INDEX(p_rates,2)),2)+ROUND(AM550*N(INDEX(p_rates,3)),2)+ROUND(AN550*N(INDEX(p_rates,4)),2)+ROUND(AO550*N(INDEX(p_rates,5)),2)+ROUND(AP550*N(INDEX(p_rates,6)),2)</f>
        <v>0.0</v>
      </c>
      <c r="AR550" s="62" t="str">
        <f>IF(OR(L550="",AA550&lt;&gt;"Facture"),"",IFERROR(IF(INDEX(fa_type,MATCH(L550,fa_num,0))="Facture d'acompte",MATCH(L550,fa_num,0),""),""))</f>
        <v/>
      </c>
      <c r="AS550" s="62" t="str">
        <f>IF(W550="","",IF(W550&lt;=0,"",IF(p_asof-P550&lt;=0,"Non échu",IF(p_asof-P550&lt;=30,"1-30 j",IF(p_asof-P550&lt;=60,"31-60 j",IF(p_asof-P550&lt;=90,"61-90 j","Plus de 90 j"))))))</f>
        <v/>
      </c>
      <c r="AT550" s="62" t="str">
        <f>IF(AS550="","",p_asof-P550)</f>
        <v/>
      </c>
      <c r="AU550" s="62" t="str">
        <f>IF(AT550="","",COUNTIF($AT$6:$AT$805,"&gt;"&amp;AT550)+COUNTIF($AT$6:AT550,AT550))</f>
        <v/>
      </c>
    </row>
    <row r="551">
      <c r="A551" s="59" t="str">
        <f>IF(AE551="","",AB551&amp;"-"&amp;AD551&amp;"-"&amp;RIGHT("000"&amp;AE551,4))</f>
        <v/>
      </c>
      <c r="B551" s="60" t="n"/>
      <c r="C551" s="61" t="n"/>
      <c r="D551" s="60" t="n"/>
      <c r="E551" s="62" t="str">
        <f>IF(D551="","",IFERROR(INDEX(cli_name,MATCH(D551,cli_code,0))&amp;"","Client inconnu"))</f>
        <v/>
      </c>
      <c r="F551" s="60" t="n"/>
      <c r="G551" s="63" t="n"/>
      <c r="H551" s="61" t="n"/>
      <c r="I551" s="63" t="n"/>
      <c r="J551" s="60" t="n"/>
      <c r="K551" s="61" t="n"/>
      <c r="L551" s="60" t="n"/>
      <c r="M551" s="60" t="n"/>
      <c r="N551" s="60" t="n"/>
      <c r="O551" s="61" t="n"/>
      <c r="P551" s="64" t="str">
        <f>IF(A551="","",IF(AA551="Avoir",AC551,IF(ISNUMBER(K551),K551,AC551+IF(D551="",N(p_delay),IFERROR(IF(ISNUMBER(INDEX(cli_delay,MATCH(D551,cli_code,0))),INDEX(cli_delay,MATCH(D551,cli_code,0)),N(p_delay)),N(p_delay))))))</f>
        <v/>
      </c>
      <c r="Q551" s="65" t="str">
        <f>IF(A551="","",IF(AA551="Avoir",-1,1)*ROUND(AJ551-IF(AR551="",0,INDEX(fa_htb,AR551)),2))</f>
        <v/>
      </c>
      <c r="R551" s="65" t="str">
        <f>IF(A551="","",IF(AA551="Avoir",-1,1)*ROUND(AQ551-IF(AR551="",0,INDEX(fa_tvab,AR551)),2))</f>
        <v/>
      </c>
      <c r="S551" s="65" t="str">
        <f>IF(A551="","",Q551+R551)</f>
        <v/>
      </c>
      <c r="T551" s="65" t="str">
        <f>IF(AR551="","",INDEX(fa_htb,AR551)+INDEX(fa_tvab,AR551))</f>
        <v/>
      </c>
      <c r="U551" s="65" t="str">
        <f>IF(A551="","",SUMIF(pa_inv,A551,pa_amt))</f>
        <v/>
      </c>
      <c r="V551" s="65" t="str">
        <f>IF(OR(A551="",AA551="Avoir"),"",-SUMIFS(fa_ttc,fa_avof,A551,fa_type,"Avoir"))</f>
        <v/>
      </c>
      <c r="W551" s="65" t="str">
        <f>IF(OR(A551="",AA551="Avoir"),"",ROUND(S551-U551-V551,2))</f>
        <v/>
      </c>
      <c r="X551" s="66" t="str">
        <f>IF(W551="","",IF(AND(W551&gt;0,p_asof&gt;P551),p_asof-P551,""))</f>
        <v/>
      </c>
      <c r="Y551" s="59" t="str">
        <f>IF(A551="","",IF(AA551="Avoir","Avoir",IF(W551&lt;0,"Trop-perçu",IF(W551=0,"Soldée",IF(p_asof&gt;P551,"En retard",IF(U551+V551&gt;0,"Partielle","À échoir"))))))</f>
        <v/>
      </c>
      <c r="Z551" s="59" t="str">
        <f>IF(NOT(COUNTA(B551:D551,F551:O551)&gt;0),"",IF(C551="","Date manquante",IF(NOT(ISNUMBER(C551)),"Date invalide",IF(D551="","Client manquant",IF(ISNA(MATCH(D551,cli_code,0)),"Client inconnu",IF(AC551&lt;SUMPRODUCT(MAX(($AB$6:AB550=AB551)*$AC$6:AC550)),"Date antérieure à la facture précédente",IF(AND(F551&lt;&gt;"",ISNA(MATCH(F551,dv_num,0))),"Devis inconnu",IF(AND(F551&lt;&gt;"",IFERROR(INDEX(dv_client,MATCH(F551,dv_num,0)),D551)&lt;&gt;D551),"Client différent de celui du devis",IF(AG551="","Aucune ligne : saisissez des lignes ou un devis",IF(AND(AI551&lt;&gt;"",COUNTIF($AI$6:AI551,AI551)&gt;1),"Devis déjà repris par une autre facture",IF(AND(AA551="Avoir",M551=""),"Avoir : indiquez la facture d'origine",IF(AND(AA551="Avoir",ISNA(MATCH(M551,fa_num,0))),"Facture d'origine inconnue",IF(AND(AA551&lt;&gt;"Avoir",M551&lt;&gt;""),"« Avoir sur facture » : réservé aux avoirs",IF(AND(L551&lt;&gt;"",AA551&lt;&gt;"Facture"),"Acompte à déduire : réservé aux factures",IF(AND(L551&lt;&gt;"",ISNA(MATCH(L551,fa_num,0))),"Facture d'acompte inconnue",IF(AND(L551&lt;&gt;"",IFERROR(INDEX(fa_type,MATCH(L551,fa_num,0)),"")&lt;&gt;"Facture d'acompte"),"Le n° à déduire n'est pas une facture d'acompte",IF(AND(L551&lt;&gt;"",COUNTIF($L$6:L551,L551)&gt;1),"Acompte déjà déduit sur une autre facture",IF(AND(L551&lt;&gt;"",IFERROR(INDEX(fa_client,MATCH(L551,fa_num,0)),D551)&lt;&gt;D551),"Acompte d'un autre client",IF(AND(AR551&lt;&gt;"",N(Q551)&lt;0),"Acompte supérieur au total de la facture",IF(IF(AG551="Facture",COUNTIFS(fl_doc,A551,fl_check,"&lt;&gt;OK"),IF(AG551="Devis",COUNTIFS(dl_doc,F551,dl_check,"&lt;&gt;OK"),0))&gt;0,"Ligne(s) à corriger",IF(AND(W551&lt;&gt;"",N(W551)&lt;0),"Trop-perçu : vérifiez paiements et avoirs","OK")))))))))))))))))))))</f>
        <v/>
      </c>
      <c r="AA551" s="62" t="str">
        <f>IF(COUNTA(B551:D551,F551:O551)&gt;0,IF(B551="","Facture",B551),"")</f>
        <v/>
      </c>
      <c r="AB551" s="62" t="str">
        <f>IF(AA551="","",IF(AA551="Avoir",p_pav,IF(AA551="Facture d'acompte",p_pac,p_pfa)))</f>
        <v/>
      </c>
      <c r="AC551" s="62">
        <f>IF(ISNUMBER(C551),C551,0)</f>
        <v>0.0</v>
      </c>
      <c r="AD551" s="62" t="str">
        <f>IF(OR(AA551="",AC551=0),"",YEAR(AC551))</f>
        <v/>
      </c>
      <c r="AE551" s="62" t="str">
        <f>IF(AD551="","",COUNTIFS($AB$6:AB551,AB551,$AD$6:AD551,AD551))</f>
        <v/>
      </c>
      <c r="AF551" s="62">
        <f>IF(A551="",0,COUNTIF(fl_doc,A551))</f>
        <v>0.0</v>
      </c>
      <c r="AG551" s="62" t="str">
        <f>IF(A551="","",IF(AF551&gt;0,"Facture",IF(AND(F551&lt;&gt;"",AA551="Facture",ISNUMBER(MATCH(F551,dv_num,0))),"Devis","")))</f>
        <v/>
      </c>
      <c r="AH551" s="62" t="str">
        <f>IF(AND(A551&lt;&gt;"",F551&lt;&gt;"",AA551&lt;&gt;"Avoir"),F551,"")</f>
        <v/>
      </c>
      <c r="AI551" s="62" t="str">
        <f>IF(AG551="Devis",F551,"")</f>
        <v/>
      </c>
      <c r="AJ551" s="62">
        <f>IF(AG551="Facture",SUMIF(fl_doc,A551,fl_ht),IF(AG551="Devis",SUMIF(dl_doc,F551,dl_ht),0))</f>
        <v>0.0</v>
      </c>
      <c r="AK551" s="62">
        <f>IF(OR(AG551="",INDEX(p_rates,1)=""),0,IF(AG551="Facture",SUMIFS(fl_ht,fl_doc,A551,fl_rate,INDEX(p_rates,1)),SUMIFS(dl_ht,dl_doc,F551,dl_rate,INDEX(p_rates,1))))</f>
        <v>0.0</v>
      </c>
      <c r="AL551" s="62">
        <f>IF(OR(AG551="",INDEX(p_rates,2)=""),0,IF(AG551="Facture",SUMIFS(fl_ht,fl_doc,A551,fl_rate,INDEX(p_rates,2)),SUMIFS(dl_ht,dl_doc,F551,dl_rate,INDEX(p_rates,2))))</f>
        <v>0.0</v>
      </c>
      <c r="AM551" s="62">
        <f>IF(OR(AG551="",INDEX(p_rates,3)=""),0,IF(AG551="Facture",SUMIFS(fl_ht,fl_doc,A551,fl_rate,INDEX(p_rates,3)),SUMIFS(dl_ht,dl_doc,F551,dl_rate,INDEX(p_rates,3))))</f>
        <v>0.0</v>
      </c>
      <c r="AN551" s="62">
        <f>IF(OR(AG551="",INDEX(p_rates,4)=""),0,IF(AG551="Facture",SUMIFS(fl_ht,fl_doc,A551,fl_rate,INDEX(p_rates,4)),SUMIFS(dl_ht,dl_doc,F551,dl_rate,INDEX(p_rates,4))))</f>
        <v>0.0</v>
      </c>
      <c r="AO551" s="62">
        <f>IF(OR(AG551="",INDEX(p_rates,5)=""),0,IF(AG551="Facture",SUMIFS(fl_ht,fl_doc,A551,fl_rate,INDEX(p_rates,5)),SUMIFS(dl_ht,dl_doc,F551,dl_rate,INDEX(p_rates,5))))</f>
        <v>0.0</v>
      </c>
      <c r="AP551" s="62">
        <f>IF(OR(AG551="",INDEX(p_rates,6)=""),0,IF(AG551="Facture",SUMIFS(fl_ht,fl_doc,A551,fl_rate,INDEX(p_rates,6)),SUMIFS(dl_ht,dl_doc,F551,dl_rate,INDEX(p_rates,6))))</f>
        <v>0.0</v>
      </c>
      <c r="AQ551" s="62">
        <f>ROUND(AK551*N(INDEX(p_rates,1)),2)+ROUND(AL551*N(INDEX(p_rates,2)),2)+ROUND(AM551*N(INDEX(p_rates,3)),2)+ROUND(AN551*N(INDEX(p_rates,4)),2)+ROUND(AO551*N(INDEX(p_rates,5)),2)+ROUND(AP551*N(INDEX(p_rates,6)),2)</f>
        <v>0.0</v>
      </c>
      <c r="AR551" s="62" t="str">
        <f>IF(OR(L551="",AA551&lt;&gt;"Facture"),"",IFERROR(IF(INDEX(fa_type,MATCH(L551,fa_num,0))="Facture d'acompte",MATCH(L551,fa_num,0),""),""))</f>
        <v/>
      </c>
      <c r="AS551" s="62" t="str">
        <f>IF(W551="","",IF(W551&lt;=0,"",IF(p_asof-P551&lt;=0,"Non échu",IF(p_asof-P551&lt;=30,"1-30 j",IF(p_asof-P551&lt;=60,"31-60 j",IF(p_asof-P551&lt;=90,"61-90 j","Plus de 90 j"))))))</f>
        <v/>
      </c>
      <c r="AT551" s="62" t="str">
        <f>IF(AS551="","",p_asof-P551)</f>
        <v/>
      </c>
      <c r="AU551" s="62" t="str">
        <f>IF(AT551="","",COUNTIF($AT$6:$AT$805,"&gt;"&amp;AT551)+COUNTIF($AT$6:AT551,AT551))</f>
        <v/>
      </c>
    </row>
    <row r="552">
      <c r="A552" s="59" t="str">
        <f>IF(AE552="","",AB552&amp;"-"&amp;AD552&amp;"-"&amp;RIGHT("000"&amp;AE552,4))</f>
        <v/>
      </c>
      <c r="B552" s="60" t="n"/>
      <c r="C552" s="61" t="n"/>
      <c r="D552" s="60" t="n"/>
      <c r="E552" s="62" t="str">
        <f>IF(D552="","",IFERROR(INDEX(cli_name,MATCH(D552,cli_code,0))&amp;"","Client inconnu"))</f>
        <v/>
      </c>
      <c r="F552" s="60" t="n"/>
      <c r="G552" s="63" t="n"/>
      <c r="H552" s="61" t="n"/>
      <c r="I552" s="63" t="n"/>
      <c r="J552" s="60" t="n"/>
      <c r="K552" s="61" t="n"/>
      <c r="L552" s="60" t="n"/>
      <c r="M552" s="60" t="n"/>
      <c r="N552" s="60" t="n"/>
      <c r="O552" s="61" t="n"/>
      <c r="P552" s="64" t="str">
        <f>IF(A552="","",IF(AA552="Avoir",AC552,IF(ISNUMBER(K552),K552,AC552+IF(D552="",N(p_delay),IFERROR(IF(ISNUMBER(INDEX(cli_delay,MATCH(D552,cli_code,0))),INDEX(cli_delay,MATCH(D552,cli_code,0)),N(p_delay)),N(p_delay))))))</f>
        <v/>
      </c>
      <c r="Q552" s="65" t="str">
        <f>IF(A552="","",IF(AA552="Avoir",-1,1)*ROUND(AJ552-IF(AR552="",0,INDEX(fa_htb,AR552)),2))</f>
        <v/>
      </c>
      <c r="R552" s="65" t="str">
        <f>IF(A552="","",IF(AA552="Avoir",-1,1)*ROUND(AQ552-IF(AR552="",0,INDEX(fa_tvab,AR552)),2))</f>
        <v/>
      </c>
      <c r="S552" s="65" t="str">
        <f>IF(A552="","",Q552+R552)</f>
        <v/>
      </c>
      <c r="T552" s="65" t="str">
        <f>IF(AR552="","",INDEX(fa_htb,AR552)+INDEX(fa_tvab,AR552))</f>
        <v/>
      </c>
      <c r="U552" s="65" t="str">
        <f>IF(A552="","",SUMIF(pa_inv,A552,pa_amt))</f>
        <v/>
      </c>
      <c r="V552" s="65" t="str">
        <f>IF(OR(A552="",AA552="Avoir"),"",-SUMIFS(fa_ttc,fa_avof,A552,fa_type,"Avoir"))</f>
        <v/>
      </c>
      <c r="W552" s="65" t="str">
        <f>IF(OR(A552="",AA552="Avoir"),"",ROUND(S552-U552-V552,2))</f>
        <v/>
      </c>
      <c r="X552" s="66" t="str">
        <f>IF(W552="","",IF(AND(W552&gt;0,p_asof&gt;P552),p_asof-P552,""))</f>
        <v/>
      </c>
      <c r="Y552" s="59" t="str">
        <f>IF(A552="","",IF(AA552="Avoir","Avoir",IF(W552&lt;0,"Trop-perçu",IF(W552=0,"Soldée",IF(p_asof&gt;P552,"En retard",IF(U552+V552&gt;0,"Partielle","À échoir"))))))</f>
        <v/>
      </c>
      <c r="Z552" s="59" t="str">
        <f>IF(NOT(COUNTA(B552:D552,F552:O552)&gt;0),"",IF(C552="","Date manquante",IF(NOT(ISNUMBER(C552)),"Date invalide",IF(D552="","Client manquant",IF(ISNA(MATCH(D552,cli_code,0)),"Client inconnu",IF(AC552&lt;SUMPRODUCT(MAX(($AB$6:AB551=AB552)*$AC$6:AC551)),"Date antérieure à la facture précédente",IF(AND(F552&lt;&gt;"",ISNA(MATCH(F552,dv_num,0))),"Devis inconnu",IF(AND(F552&lt;&gt;"",IFERROR(INDEX(dv_client,MATCH(F552,dv_num,0)),D552)&lt;&gt;D552),"Client différent de celui du devis",IF(AG552="","Aucune ligne : saisissez des lignes ou un devis",IF(AND(AI552&lt;&gt;"",COUNTIF($AI$6:AI552,AI552)&gt;1),"Devis déjà repris par une autre facture",IF(AND(AA552="Avoir",M552=""),"Avoir : indiquez la facture d'origine",IF(AND(AA552="Avoir",ISNA(MATCH(M552,fa_num,0))),"Facture d'origine inconnue",IF(AND(AA552&lt;&gt;"Avoir",M552&lt;&gt;""),"« Avoir sur facture » : réservé aux avoirs",IF(AND(L552&lt;&gt;"",AA552&lt;&gt;"Facture"),"Acompte à déduire : réservé aux factures",IF(AND(L552&lt;&gt;"",ISNA(MATCH(L552,fa_num,0))),"Facture d'acompte inconnue",IF(AND(L552&lt;&gt;"",IFERROR(INDEX(fa_type,MATCH(L552,fa_num,0)),"")&lt;&gt;"Facture d'acompte"),"Le n° à déduire n'est pas une facture d'acompte",IF(AND(L552&lt;&gt;"",COUNTIF($L$6:L552,L552)&gt;1),"Acompte déjà déduit sur une autre facture",IF(AND(L552&lt;&gt;"",IFERROR(INDEX(fa_client,MATCH(L552,fa_num,0)),D552)&lt;&gt;D552),"Acompte d'un autre client",IF(AND(AR552&lt;&gt;"",N(Q552)&lt;0),"Acompte supérieur au total de la facture",IF(IF(AG552="Facture",COUNTIFS(fl_doc,A552,fl_check,"&lt;&gt;OK"),IF(AG552="Devis",COUNTIFS(dl_doc,F552,dl_check,"&lt;&gt;OK"),0))&gt;0,"Ligne(s) à corriger",IF(AND(W552&lt;&gt;"",N(W552)&lt;0),"Trop-perçu : vérifiez paiements et avoirs","OK")))))))))))))))))))))</f>
        <v/>
      </c>
      <c r="AA552" s="62" t="str">
        <f>IF(COUNTA(B552:D552,F552:O552)&gt;0,IF(B552="","Facture",B552),"")</f>
        <v/>
      </c>
      <c r="AB552" s="62" t="str">
        <f>IF(AA552="","",IF(AA552="Avoir",p_pav,IF(AA552="Facture d'acompte",p_pac,p_pfa)))</f>
        <v/>
      </c>
      <c r="AC552" s="62">
        <f>IF(ISNUMBER(C552),C552,0)</f>
        <v>0.0</v>
      </c>
      <c r="AD552" s="62" t="str">
        <f>IF(OR(AA552="",AC552=0),"",YEAR(AC552))</f>
        <v/>
      </c>
      <c r="AE552" s="62" t="str">
        <f>IF(AD552="","",COUNTIFS($AB$6:AB552,AB552,$AD$6:AD552,AD552))</f>
        <v/>
      </c>
      <c r="AF552" s="62">
        <f>IF(A552="",0,COUNTIF(fl_doc,A552))</f>
        <v>0.0</v>
      </c>
      <c r="AG552" s="62" t="str">
        <f>IF(A552="","",IF(AF552&gt;0,"Facture",IF(AND(F552&lt;&gt;"",AA552="Facture",ISNUMBER(MATCH(F552,dv_num,0))),"Devis","")))</f>
        <v/>
      </c>
      <c r="AH552" s="62" t="str">
        <f>IF(AND(A552&lt;&gt;"",F552&lt;&gt;"",AA552&lt;&gt;"Avoir"),F552,"")</f>
        <v/>
      </c>
      <c r="AI552" s="62" t="str">
        <f>IF(AG552="Devis",F552,"")</f>
        <v/>
      </c>
      <c r="AJ552" s="62">
        <f>IF(AG552="Facture",SUMIF(fl_doc,A552,fl_ht),IF(AG552="Devis",SUMIF(dl_doc,F552,dl_ht),0))</f>
        <v>0.0</v>
      </c>
      <c r="AK552" s="62">
        <f>IF(OR(AG552="",INDEX(p_rates,1)=""),0,IF(AG552="Facture",SUMIFS(fl_ht,fl_doc,A552,fl_rate,INDEX(p_rates,1)),SUMIFS(dl_ht,dl_doc,F552,dl_rate,INDEX(p_rates,1))))</f>
        <v>0.0</v>
      </c>
      <c r="AL552" s="62">
        <f>IF(OR(AG552="",INDEX(p_rates,2)=""),0,IF(AG552="Facture",SUMIFS(fl_ht,fl_doc,A552,fl_rate,INDEX(p_rates,2)),SUMIFS(dl_ht,dl_doc,F552,dl_rate,INDEX(p_rates,2))))</f>
        <v>0.0</v>
      </c>
      <c r="AM552" s="62">
        <f>IF(OR(AG552="",INDEX(p_rates,3)=""),0,IF(AG552="Facture",SUMIFS(fl_ht,fl_doc,A552,fl_rate,INDEX(p_rates,3)),SUMIFS(dl_ht,dl_doc,F552,dl_rate,INDEX(p_rates,3))))</f>
        <v>0.0</v>
      </c>
      <c r="AN552" s="62">
        <f>IF(OR(AG552="",INDEX(p_rates,4)=""),0,IF(AG552="Facture",SUMIFS(fl_ht,fl_doc,A552,fl_rate,INDEX(p_rates,4)),SUMIFS(dl_ht,dl_doc,F552,dl_rate,INDEX(p_rates,4))))</f>
        <v>0.0</v>
      </c>
      <c r="AO552" s="62">
        <f>IF(OR(AG552="",INDEX(p_rates,5)=""),0,IF(AG552="Facture",SUMIFS(fl_ht,fl_doc,A552,fl_rate,INDEX(p_rates,5)),SUMIFS(dl_ht,dl_doc,F552,dl_rate,INDEX(p_rates,5))))</f>
        <v>0.0</v>
      </c>
      <c r="AP552" s="62">
        <f>IF(OR(AG552="",INDEX(p_rates,6)=""),0,IF(AG552="Facture",SUMIFS(fl_ht,fl_doc,A552,fl_rate,INDEX(p_rates,6)),SUMIFS(dl_ht,dl_doc,F552,dl_rate,INDEX(p_rates,6))))</f>
        <v>0.0</v>
      </c>
      <c r="AQ552" s="62">
        <f>ROUND(AK552*N(INDEX(p_rates,1)),2)+ROUND(AL552*N(INDEX(p_rates,2)),2)+ROUND(AM552*N(INDEX(p_rates,3)),2)+ROUND(AN552*N(INDEX(p_rates,4)),2)+ROUND(AO552*N(INDEX(p_rates,5)),2)+ROUND(AP552*N(INDEX(p_rates,6)),2)</f>
        <v>0.0</v>
      </c>
      <c r="AR552" s="62" t="str">
        <f>IF(OR(L552="",AA552&lt;&gt;"Facture"),"",IFERROR(IF(INDEX(fa_type,MATCH(L552,fa_num,0))="Facture d'acompte",MATCH(L552,fa_num,0),""),""))</f>
        <v/>
      </c>
      <c r="AS552" s="62" t="str">
        <f>IF(W552="","",IF(W552&lt;=0,"",IF(p_asof-P552&lt;=0,"Non échu",IF(p_asof-P552&lt;=30,"1-30 j",IF(p_asof-P552&lt;=60,"31-60 j",IF(p_asof-P552&lt;=90,"61-90 j","Plus de 90 j"))))))</f>
        <v/>
      </c>
      <c r="AT552" s="62" t="str">
        <f>IF(AS552="","",p_asof-P552)</f>
        <v/>
      </c>
      <c r="AU552" s="62" t="str">
        <f>IF(AT552="","",COUNTIF($AT$6:$AT$805,"&gt;"&amp;AT552)+COUNTIF($AT$6:AT552,AT552))</f>
        <v/>
      </c>
    </row>
    <row r="553">
      <c r="A553" s="59" t="str">
        <f>IF(AE553="","",AB553&amp;"-"&amp;AD553&amp;"-"&amp;RIGHT("000"&amp;AE553,4))</f>
        <v/>
      </c>
      <c r="B553" s="60" t="n"/>
      <c r="C553" s="61" t="n"/>
      <c r="D553" s="60" t="n"/>
      <c r="E553" s="62" t="str">
        <f>IF(D553="","",IFERROR(INDEX(cli_name,MATCH(D553,cli_code,0))&amp;"","Client inconnu"))</f>
        <v/>
      </c>
      <c r="F553" s="60" t="n"/>
      <c r="G553" s="63" t="n"/>
      <c r="H553" s="61" t="n"/>
      <c r="I553" s="63" t="n"/>
      <c r="J553" s="60" t="n"/>
      <c r="K553" s="61" t="n"/>
      <c r="L553" s="60" t="n"/>
      <c r="M553" s="60" t="n"/>
      <c r="N553" s="60" t="n"/>
      <c r="O553" s="61" t="n"/>
      <c r="P553" s="64" t="str">
        <f>IF(A553="","",IF(AA553="Avoir",AC553,IF(ISNUMBER(K553),K553,AC553+IF(D553="",N(p_delay),IFERROR(IF(ISNUMBER(INDEX(cli_delay,MATCH(D553,cli_code,0))),INDEX(cli_delay,MATCH(D553,cli_code,0)),N(p_delay)),N(p_delay))))))</f>
        <v/>
      </c>
      <c r="Q553" s="65" t="str">
        <f>IF(A553="","",IF(AA553="Avoir",-1,1)*ROUND(AJ553-IF(AR553="",0,INDEX(fa_htb,AR553)),2))</f>
        <v/>
      </c>
      <c r="R553" s="65" t="str">
        <f>IF(A553="","",IF(AA553="Avoir",-1,1)*ROUND(AQ553-IF(AR553="",0,INDEX(fa_tvab,AR553)),2))</f>
        <v/>
      </c>
      <c r="S553" s="65" t="str">
        <f>IF(A553="","",Q553+R553)</f>
        <v/>
      </c>
      <c r="T553" s="65" t="str">
        <f>IF(AR553="","",INDEX(fa_htb,AR553)+INDEX(fa_tvab,AR553))</f>
        <v/>
      </c>
      <c r="U553" s="65" t="str">
        <f>IF(A553="","",SUMIF(pa_inv,A553,pa_amt))</f>
        <v/>
      </c>
      <c r="V553" s="65" t="str">
        <f>IF(OR(A553="",AA553="Avoir"),"",-SUMIFS(fa_ttc,fa_avof,A553,fa_type,"Avoir"))</f>
        <v/>
      </c>
      <c r="W553" s="65" t="str">
        <f>IF(OR(A553="",AA553="Avoir"),"",ROUND(S553-U553-V553,2))</f>
        <v/>
      </c>
      <c r="X553" s="66" t="str">
        <f>IF(W553="","",IF(AND(W553&gt;0,p_asof&gt;P553),p_asof-P553,""))</f>
        <v/>
      </c>
      <c r="Y553" s="59" t="str">
        <f>IF(A553="","",IF(AA553="Avoir","Avoir",IF(W553&lt;0,"Trop-perçu",IF(W553=0,"Soldée",IF(p_asof&gt;P553,"En retard",IF(U553+V553&gt;0,"Partielle","À échoir"))))))</f>
        <v/>
      </c>
      <c r="Z553" s="59" t="str">
        <f>IF(NOT(COUNTA(B553:D553,F553:O553)&gt;0),"",IF(C553="","Date manquante",IF(NOT(ISNUMBER(C553)),"Date invalide",IF(D553="","Client manquant",IF(ISNA(MATCH(D553,cli_code,0)),"Client inconnu",IF(AC553&lt;SUMPRODUCT(MAX(($AB$6:AB552=AB553)*$AC$6:AC552)),"Date antérieure à la facture précédente",IF(AND(F553&lt;&gt;"",ISNA(MATCH(F553,dv_num,0))),"Devis inconnu",IF(AND(F553&lt;&gt;"",IFERROR(INDEX(dv_client,MATCH(F553,dv_num,0)),D553)&lt;&gt;D553),"Client différent de celui du devis",IF(AG553="","Aucune ligne : saisissez des lignes ou un devis",IF(AND(AI553&lt;&gt;"",COUNTIF($AI$6:AI553,AI553)&gt;1),"Devis déjà repris par une autre facture",IF(AND(AA553="Avoir",M553=""),"Avoir : indiquez la facture d'origine",IF(AND(AA553="Avoir",ISNA(MATCH(M553,fa_num,0))),"Facture d'origine inconnue",IF(AND(AA553&lt;&gt;"Avoir",M553&lt;&gt;""),"« Avoir sur facture » : réservé aux avoirs",IF(AND(L553&lt;&gt;"",AA553&lt;&gt;"Facture"),"Acompte à déduire : réservé aux factures",IF(AND(L553&lt;&gt;"",ISNA(MATCH(L553,fa_num,0))),"Facture d'acompte inconnue",IF(AND(L553&lt;&gt;"",IFERROR(INDEX(fa_type,MATCH(L553,fa_num,0)),"")&lt;&gt;"Facture d'acompte"),"Le n° à déduire n'est pas une facture d'acompte",IF(AND(L553&lt;&gt;"",COUNTIF($L$6:L553,L553)&gt;1),"Acompte déjà déduit sur une autre facture",IF(AND(L553&lt;&gt;"",IFERROR(INDEX(fa_client,MATCH(L553,fa_num,0)),D553)&lt;&gt;D553),"Acompte d'un autre client",IF(AND(AR553&lt;&gt;"",N(Q553)&lt;0),"Acompte supérieur au total de la facture",IF(IF(AG553="Facture",COUNTIFS(fl_doc,A553,fl_check,"&lt;&gt;OK"),IF(AG553="Devis",COUNTIFS(dl_doc,F553,dl_check,"&lt;&gt;OK"),0))&gt;0,"Ligne(s) à corriger",IF(AND(W553&lt;&gt;"",N(W553)&lt;0),"Trop-perçu : vérifiez paiements et avoirs","OK")))))))))))))))))))))</f>
        <v/>
      </c>
      <c r="AA553" s="62" t="str">
        <f>IF(COUNTA(B553:D553,F553:O553)&gt;0,IF(B553="","Facture",B553),"")</f>
        <v/>
      </c>
      <c r="AB553" s="62" t="str">
        <f>IF(AA553="","",IF(AA553="Avoir",p_pav,IF(AA553="Facture d'acompte",p_pac,p_pfa)))</f>
        <v/>
      </c>
      <c r="AC553" s="62">
        <f>IF(ISNUMBER(C553),C553,0)</f>
        <v>0.0</v>
      </c>
      <c r="AD553" s="62" t="str">
        <f>IF(OR(AA553="",AC553=0),"",YEAR(AC553))</f>
        <v/>
      </c>
      <c r="AE553" s="62" t="str">
        <f>IF(AD553="","",COUNTIFS($AB$6:AB553,AB553,$AD$6:AD553,AD553))</f>
        <v/>
      </c>
      <c r="AF553" s="62">
        <f>IF(A553="",0,COUNTIF(fl_doc,A553))</f>
        <v>0.0</v>
      </c>
      <c r="AG553" s="62" t="str">
        <f>IF(A553="","",IF(AF553&gt;0,"Facture",IF(AND(F553&lt;&gt;"",AA553="Facture",ISNUMBER(MATCH(F553,dv_num,0))),"Devis","")))</f>
        <v/>
      </c>
      <c r="AH553" s="62" t="str">
        <f>IF(AND(A553&lt;&gt;"",F553&lt;&gt;"",AA553&lt;&gt;"Avoir"),F553,"")</f>
        <v/>
      </c>
      <c r="AI553" s="62" t="str">
        <f>IF(AG553="Devis",F553,"")</f>
        <v/>
      </c>
      <c r="AJ553" s="62">
        <f>IF(AG553="Facture",SUMIF(fl_doc,A553,fl_ht),IF(AG553="Devis",SUMIF(dl_doc,F553,dl_ht),0))</f>
        <v>0.0</v>
      </c>
      <c r="AK553" s="62">
        <f>IF(OR(AG553="",INDEX(p_rates,1)=""),0,IF(AG553="Facture",SUMIFS(fl_ht,fl_doc,A553,fl_rate,INDEX(p_rates,1)),SUMIFS(dl_ht,dl_doc,F553,dl_rate,INDEX(p_rates,1))))</f>
        <v>0.0</v>
      </c>
      <c r="AL553" s="62">
        <f>IF(OR(AG553="",INDEX(p_rates,2)=""),0,IF(AG553="Facture",SUMIFS(fl_ht,fl_doc,A553,fl_rate,INDEX(p_rates,2)),SUMIFS(dl_ht,dl_doc,F553,dl_rate,INDEX(p_rates,2))))</f>
        <v>0.0</v>
      </c>
      <c r="AM553" s="62">
        <f>IF(OR(AG553="",INDEX(p_rates,3)=""),0,IF(AG553="Facture",SUMIFS(fl_ht,fl_doc,A553,fl_rate,INDEX(p_rates,3)),SUMIFS(dl_ht,dl_doc,F553,dl_rate,INDEX(p_rates,3))))</f>
        <v>0.0</v>
      </c>
      <c r="AN553" s="62">
        <f>IF(OR(AG553="",INDEX(p_rates,4)=""),0,IF(AG553="Facture",SUMIFS(fl_ht,fl_doc,A553,fl_rate,INDEX(p_rates,4)),SUMIFS(dl_ht,dl_doc,F553,dl_rate,INDEX(p_rates,4))))</f>
        <v>0.0</v>
      </c>
      <c r="AO553" s="62">
        <f>IF(OR(AG553="",INDEX(p_rates,5)=""),0,IF(AG553="Facture",SUMIFS(fl_ht,fl_doc,A553,fl_rate,INDEX(p_rates,5)),SUMIFS(dl_ht,dl_doc,F553,dl_rate,INDEX(p_rates,5))))</f>
        <v>0.0</v>
      </c>
      <c r="AP553" s="62">
        <f>IF(OR(AG553="",INDEX(p_rates,6)=""),0,IF(AG553="Facture",SUMIFS(fl_ht,fl_doc,A553,fl_rate,INDEX(p_rates,6)),SUMIFS(dl_ht,dl_doc,F553,dl_rate,INDEX(p_rates,6))))</f>
        <v>0.0</v>
      </c>
      <c r="AQ553" s="62">
        <f>ROUND(AK553*N(INDEX(p_rates,1)),2)+ROUND(AL553*N(INDEX(p_rates,2)),2)+ROUND(AM553*N(INDEX(p_rates,3)),2)+ROUND(AN553*N(INDEX(p_rates,4)),2)+ROUND(AO553*N(INDEX(p_rates,5)),2)+ROUND(AP553*N(INDEX(p_rates,6)),2)</f>
        <v>0.0</v>
      </c>
      <c r="AR553" s="62" t="str">
        <f>IF(OR(L553="",AA553&lt;&gt;"Facture"),"",IFERROR(IF(INDEX(fa_type,MATCH(L553,fa_num,0))="Facture d'acompte",MATCH(L553,fa_num,0),""),""))</f>
        <v/>
      </c>
      <c r="AS553" s="62" t="str">
        <f>IF(W553="","",IF(W553&lt;=0,"",IF(p_asof-P553&lt;=0,"Non échu",IF(p_asof-P553&lt;=30,"1-30 j",IF(p_asof-P553&lt;=60,"31-60 j",IF(p_asof-P553&lt;=90,"61-90 j","Plus de 90 j"))))))</f>
        <v/>
      </c>
      <c r="AT553" s="62" t="str">
        <f>IF(AS553="","",p_asof-P553)</f>
        <v/>
      </c>
      <c r="AU553" s="62" t="str">
        <f>IF(AT553="","",COUNTIF($AT$6:$AT$805,"&gt;"&amp;AT553)+COUNTIF($AT$6:AT553,AT553))</f>
        <v/>
      </c>
    </row>
    <row r="554">
      <c r="A554" s="59" t="str">
        <f>IF(AE554="","",AB554&amp;"-"&amp;AD554&amp;"-"&amp;RIGHT("000"&amp;AE554,4))</f>
        <v/>
      </c>
      <c r="B554" s="60" t="n"/>
      <c r="C554" s="61" t="n"/>
      <c r="D554" s="60" t="n"/>
      <c r="E554" s="62" t="str">
        <f>IF(D554="","",IFERROR(INDEX(cli_name,MATCH(D554,cli_code,0))&amp;"","Client inconnu"))</f>
        <v/>
      </c>
      <c r="F554" s="60" t="n"/>
      <c r="G554" s="63" t="n"/>
      <c r="H554" s="61" t="n"/>
      <c r="I554" s="63" t="n"/>
      <c r="J554" s="60" t="n"/>
      <c r="K554" s="61" t="n"/>
      <c r="L554" s="60" t="n"/>
      <c r="M554" s="60" t="n"/>
      <c r="N554" s="60" t="n"/>
      <c r="O554" s="61" t="n"/>
      <c r="P554" s="64" t="str">
        <f>IF(A554="","",IF(AA554="Avoir",AC554,IF(ISNUMBER(K554),K554,AC554+IF(D554="",N(p_delay),IFERROR(IF(ISNUMBER(INDEX(cli_delay,MATCH(D554,cli_code,0))),INDEX(cli_delay,MATCH(D554,cli_code,0)),N(p_delay)),N(p_delay))))))</f>
        <v/>
      </c>
      <c r="Q554" s="65" t="str">
        <f>IF(A554="","",IF(AA554="Avoir",-1,1)*ROUND(AJ554-IF(AR554="",0,INDEX(fa_htb,AR554)),2))</f>
        <v/>
      </c>
      <c r="R554" s="65" t="str">
        <f>IF(A554="","",IF(AA554="Avoir",-1,1)*ROUND(AQ554-IF(AR554="",0,INDEX(fa_tvab,AR554)),2))</f>
        <v/>
      </c>
      <c r="S554" s="65" t="str">
        <f>IF(A554="","",Q554+R554)</f>
        <v/>
      </c>
      <c r="T554" s="65" t="str">
        <f>IF(AR554="","",INDEX(fa_htb,AR554)+INDEX(fa_tvab,AR554))</f>
        <v/>
      </c>
      <c r="U554" s="65" t="str">
        <f>IF(A554="","",SUMIF(pa_inv,A554,pa_amt))</f>
        <v/>
      </c>
      <c r="V554" s="65" t="str">
        <f>IF(OR(A554="",AA554="Avoir"),"",-SUMIFS(fa_ttc,fa_avof,A554,fa_type,"Avoir"))</f>
        <v/>
      </c>
      <c r="W554" s="65" t="str">
        <f>IF(OR(A554="",AA554="Avoir"),"",ROUND(S554-U554-V554,2))</f>
        <v/>
      </c>
      <c r="X554" s="66" t="str">
        <f>IF(W554="","",IF(AND(W554&gt;0,p_asof&gt;P554),p_asof-P554,""))</f>
        <v/>
      </c>
      <c r="Y554" s="59" t="str">
        <f>IF(A554="","",IF(AA554="Avoir","Avoir",IF(W554&lt;0,"Trop-perçu",IF(W554=0,"Soldée",IF(p_asof&gt;P554,"En retard",IF(U554+V554&gt;0,"Partielle","À échoir"))))))</f>
        <v/>
      </c>
      <c r="Z554" s="59" t="str">
        <f>IF(NOT(COUNTA(B554:D554,F554:O554)&gt;0),"",IF(C554="","Date manquante",IF(NOT(ISNUMBER(C554)),"Date invalide",IF(D554="","Client manquant",IF(ISNA(MATCH(D554,cli_code,0)),"Client inconnu",IF(AC554&lt;SUMPRODUCT(MAX(($AB$6:AB553=AB554)*$AC$6:AC553)),"Date antérieure à la facture précédente",IF(AND(F554&lt;&gt;"",ISNA(MATCH(F554,dv_num,0))),"Devis inconnu",IF(AND(F554&lt;&gt;"",IFERROR(INDEX(dv_client,MATCH(F554,dv_num,0)),D554)&lt;&gt;D554),"Client différent de celui du devis",IF(AG554="","Aucune ligne : saisissez des lignes ou un devis",IF(AND(AI554&lt;&gt;"",COUNTIF($AI$6:AI554,AI554)&gt;1),"Devis déjà repris par une autre facture",IF(AND(AA554="Avoir",M554=""),"Avoir : indiquez la facture d'origine",IF(AND(AA554="Avoir",ISNA(MATCH(M554,fa_num,0))),"Facture d'origine inconnue",IF(AND(AA554&lt;&gt;"Avoir",M554&lt;&gt;""),"« Avoir sur facture » : réservé aux avoirs",IF(AND(L554&lt;&gt;"",AA554&lt;&gt;"Facture"),"Acompte à déduire : réservé aux factures",IF(AND(L554&lt;&gt;"",ISNA(MATCH(L554,fa_num,0))),"Facture d'acompte inconnue",IF(AND(L554&lt;&gt;"",IFERROR(INDEX(fa_type,MATCH(L554,fa_num,0)),"")&lt;&gt;"Facture d'acompte"),"Le n° à déduire n'est pas une facture d'acompte",IF(AND(L554&lt;&gt;"",COUNTIF($L$6:L554,L554)&gt;1),"Acompte déjà déduit sur une autre facture",IF(AND(L554&lt;&gt;"",IFERROR(INDEX(fa_client,MATCH(L554,fa_num,0)),D554)&lt;&gt;D554),"Acompte d'un autre client",IF(AND(AR554&lt;&gt;"",N(Q554)&lt;0),"Acompte supérieur au total de la facture",IF(IF(AG554="Facture",COUNTIFS(fl_doc,A554,fl_check,"&lt;&gt;OK"),IF(AG554="Devis",COUNTIFS(dl_doc,F554,dl_check,"&lt;&gt;OK"),0))&gt;0,"Ligne(s) à corriger",IF(AND(W554&lt;&gt;"",N(W554)&lt;0),"Trop-perçu : vérifiez paiements et avoirs","OK")))))))))))))))))))))</f>
        <v/>
      </c>
      <c r="AA554" s="62" t="str">
        <f>IF(COUNTA(B554:D554,F554:O554)&gt;0,IF(B554="","Facture",B554),"")</f>
        <v/>
      </c>
      <c r="AB554" s="62" t="str">
        <f>IF(AA554="","",IF(AA554="Avoir",p_pav,IF(AA554="Facture d'acompte",p_pac,p_pfa)))</f>
        <v/>
      </c>
      <c r="AC554" s="62">
        <f>IF(ISNUMBER(C554),C554,0)</f>
        <v>0.0</v>
      </c>
      <c r="AD554" s="62" t="str">
        <f>IF(OR(AA554="",AC554=0),"",YEAR(AC554))</f>
        <v/>
      </c>
      <c r="AE554" s="62" t="str">
        <f>IF(AD554="","",COUNTIFS($AB$6:AB554,AB554,$AD$6:AD554,AD554))</f>
        <v/>
      </c>
      <c r="AF554" s="62">
        <f>IF(A554="",0,COUNTIF(fl_doc,A554))</f>
        <v>0.0</v>
      </c>
      <c r="AG554" s="62" t="str">
        <f>IF(A554="","",IF(AF554&gt;0,"Facture",IF(AND(F554&lt;&gt;"",AA554="Facture",ISNUMBER(MATCH(F554,dv_num,0))),"Devis","")))</f>
        <v/>
      </c>
      <c r="AH554" s="62" t="str">
        <f>IF(AND(A554&lt;&gt;"",F554&lt;&gt;"",AA554&lt;&gt;"Avoir"),F554,"")</f>
        <v/>
      </c>
      <c r="AI554" s="62" t="str">
        <f>IF(AG554="Devis",F554,"")</f>
        <v/>
      </c>
      <c r="AJ554" s="62">
        <f>IF(AG554="Facture",SUMIF(fl_doc,A554,fl_ht),IF(AG554="Devis",SUMIF(dl_doc,F554,dl_ht),0))</f>
        <v>0.0</v>
      </c>
      <c r="AK554" s="62">
        <f>IF(OR(AG554="",INDEX(p_rates,1)=""),0,IF(AG554="Facture",SUMIFS(fl_ht,fl_doc,A554,fl_rate,INDEX(p_rates,1)),SUMIFS(dl_ht,dl_doc,F554,dl_rate,INDEX(p_rates,1))))</f>
        <v>0.0</v>
      </c>
      <c r="AL554" s="62">
        <f>IF(OR(AG554="",INDEX(p_rates,2)=""),0,IF(AG554="Facture",SUMIFS(fl_ht,fl_doc,A554,fl_rate,INDEX(p_rates,2)),SUMIFS(dl_ht,dl_doc,F554,dl_rate,INDEX(p_rates,2))))</f>
        <v>0.0</v>
      </c>
      <c r="AM554" s="62">
        <f>IF(OR(AG554="",INDEX(p_rates,3)=""),0,IF(AG554="Facture",SUMIFS(fl_ht,fl_doc,A554,fl_rate,INDEX(p_rates,3)),SUMIFS(dl_ht,dl_doc,F554,dl_rate,INDEX(p_rates,3))))</f>
        <v>0.0</v>
      </c>
      <c r="AN554" s="62">
        <f>IF(OR(AG554="",INDEX(p_rates,4)=""),0,IF(AG554="Facture",SUMIFS(fl_ht,fl_doc,A554,fl_rate,INDEX(p_rates,4)),SUMIFS(dl_ht,dl_doc,F554,dl_rate,INDEX(p_rates,4))))</f>
        <v>0.0</v>
      </c>
      <c r="AO554" s="62">
        <f>IF(OR(AG554="",INDEX(p_rates,5)=""),0,IF(AG554="Facture",SUMIFS(fl_ht,fl_doc,A554,fl_rate,INDEX(p_rates,5)),SUMIFS(dl_ht,dl_doc,F554,dl_rate,INDEX(p_rates,5))))</f>
        <v>0.0</v>
      </c>
      <c r="AP554" s="62">
        <f>IF(OR(AG554="",INDEX(p_rates,6)=""),0,IF(AG554="Facture",SUMIFS(fl_ht,fl_doc,A554,fl_rate,INDEX(p_rates,6)),SUMIFS(dl_ht,dl_doc,F554,dl_rate,INDEX(p_rates,6))))</f>
        <v>0.0</v>
      </c>
      <c r="AQ554" s="62">
        <f>ROUND(AK554*N(INDEX(p_rates,1)),2)+ROUND(AL554*N(INDEX(p_rates,2)),2)+ROUND(AM554*N(INDEX(p_rates,3)),2)+ROUND(AN554*N(INDEX(p_rates,4)),2)+ROUND(AO554*N(INDEX(p_rates,5)),2)+ROUND(AP554*N(INDEX(p_rates,6)),2)</f>
        <v>0.0</v>
      </c>
      <c r="AR554" s="62" t="str">
        <f>IF(OR(L554="",AA554&lt;&gt;"Facture"),"",IFERROR(IF(INDEX(fa_type,MATCH(L554,fa_num,0))="Facture d'acompte",MATCH(L554,fa_num,0),""),""))</f>
        <v/>
      </c>
      <c r="AS554" s="62" t="str">
        <f>IF(W554="","",IF(W554&lt;=0,"",IF(p_asof-P554&lt;=0,"Non échu",IF(p_asof-P554&lt;=30,"1-30 j",IF(p_asof-P554&lt;=60,"31-60 j",IF(p_asof-P554&lt;=90,"61-90 j","Plus de 90 j"))))))</f>
        <v/>
      </c>
      <c r="AT554" s="62" t="str">
        <f>IF(AS554="","",p_asof-P554)</f>
        <v/>
      </c>
      <c r="AU554" s="62" t="str">
        <f>IF(AT554="","",COUNTIF($AT$6:$AT$805,"&gt;"&amp;AT554)+COUNTIF($AT$6:AT554,AT554))</f>
        <v/>
      </c>
    </row>
    <row r="555">
      <c r="A555" s="59" t="str">
        <f>IF(AE555="","",AB555&amp;"-"&amp;AD555&amp;"-"&amp;RIGHT("000"&amp;AE555,4))</f>
        <v/>
      </c>
      <c r="B555" s="60" t="n"/>
      <c r="C555" s="61" t="n"/>
      <c r="D555" s="60" t="n"/>
      <c r="E555" s="62" t="str">
        <f>IF(D555="","",IFERROR(INDEX(cli_name,MATCH(D555,cli_code,0))&amp;"","Client inconnu"))</f>
        <v/>
      </c>
      <c r="F555" s="60" t="n"/>
      <c r="G555" s="63" t="n"/>
      <c r="H555" s="61" t="n"/>
      <c r="I555" s="63" t="n"/>
      <c r="J555" s="60" t="n"/>
      <c r="K555" s="61" t="n"/>
      <c r="L555" s="60" t="n"/>
      <c r="M555" s="60" t="n"/>
      <c r="N555" s="60" t="n"/>
      <c r="O555" s="61" t="n"/>
      <c r="P555" s="64" t="str">
        <f>IF(A555="","",IF(AA555="Avoir",AC555,IF(ISNUMBER(K555),K555,AC555+IF(D555="",N(p_delay),IFERROR(IF(ISNUMBER(INDEX(cli_delay,MATCH(D555,cli_code,0))),INDEX(cli_delay,MATCH(D555,cli_code,0)),N(p_delay)),N(p_delay))))))</f>
        <v/>
      </c>
      <c r="Q555" s="65" t="str">
        <f>IF(A555="","",IF(AA555="Avoir",-1,1)*ROUND(AJ555-IF(AR555="",0,INDEX(fa_htb,AR555)),2))</f>
        <v/>
      </c>
      <c r="R555" s="65" t="str">
        <f>IF(A555="","",IF(AA555="Avoir",-1,1)*ROUND(AQ555-IF(AR555="",0,INDEX(fa_tvab,AR555)),2))</f>
        <v/>
      </c>
      <c r="S555" s="65" t="str">
        <f>IF(A555="","",Q555+R555)</f>
        <v/>
      </c>
      <c r="T555" s="65" t="str">
        <f>IF(AR555="","",INDEX(fa_htb,AR555)+INDEX(fa_tvab,AR555))</f>
        <v/>
      </c>
      <c r="U555" s="65" t="str">
        <f>IF(A555="","",SUMIF(pa_inv,A555,pa_amt))</f>
        <v/>
      </c>
      <c r="V555" s="65" t="str">
        <f>IF(OR(A555="",AA555="Avoir"),"",-SUMIFS(fa_ttc,fa_avof,A555,fa_type,"Avoir"))</f>
        <v/>
      </c>
      <c r="W555" s="65" t="str">
        <f>IF(OR(A555="",AA555="Avoir"),"",ROUND(S555-U555-V555,2))</f>
        <v/>
      </c>
      <c r="X555" s="66" t="str">
        <f>IF(W555="","",IF(AND(W555&gt;0,p_asof&gt;P555),p_asof-P555,""))</f>
        <v/>
      </c>
      <c r="Y555" s="59" t="str">
        <f>IF(A555="","",IF(AA555="Avoir","Avoir",IF(W555&lt;0,"Trop-perçu",IF(W555=0,"Soldée",IF(p_asof&gt;P555,"En retard",IF(U555+V555&gt;0,"Partielle","À échoir"))))))</f>
        <v/>
      </c>
      <c r="Z555" s="59" t="str">
        <f>IF(NOT(COUNTA(B555:D555,F555:O555)&gt;0),"",IF(C555="","Date manquante",IF(NOT(ISNUMBER(C555)),"Date invalide",IF(D555="","Client manquant",IF(ISNA(MATCH(D555,cli_code,0)),"Client inconnu",IF(AC555&lt;SUMPRODUCT(MAX(($AB$6:AB554=AB555)*$AC$6:AC554)),"Date antérieure à la facture précédente",IF(AND(F555&lt;&gt;"",ISNA(MATCH(F555,dv_num,0))),"Devis inconnu",IF(AND(F555&lt;&gt;"",IFERROR(INDEX(dv_client,MATCH(F555,dv_num,0)),D555)&lt;&gt;D555),"Client différent de celui du devis",IF(AG555="","Aucune ligne : saisissez des lignes ou un devis",IF(AND(AI555&lt;&gt;"",COUNTIF($AI$6:AI555,AI555)&gt;1),"Devis déjà repris par une autre facture",IF(AND(AA555="Avoir",M555=""),"Avoir : indiquez la facture d'origine",IF(AND(AA555="Avoir",ISNA(MATCH(M555,fa_num,0))),"Facture d'origine inconnue",IF(AND(AA555&lt;&gt;"Avoir",M555&lt;&gt;""),"« Avoir sur facture » : réservé aux avoirs",IF(AND(L555&lt;&gt;"",AA555&lt;&gt;"Facture"),"Acompte à déduire : réservé aux factures",IF(AND(L555&lt;&gt;"",ISNA(MATCH(L555,fa_num,0))),"Facture d'acompte inconnue",IF(AND(L555&lt;&gt;"",IFERROR(INDEX(fa_type,MATCH(L555,fa_num,0)),"")&lt;&gt;"Facture d'acompte"),"Le n° à déduire n'est pas une facture d'acompte",IF(AND(L555&lt;&gt;"",COUNTIF($L$6:L555,L555)&gt;1),"Acompte déjà déduit sur une autre facture",IF(AND(L555&lt;&gt;"",IFERROR(INDEX(fa_client,MATCH(L555,fa_num,0)),D555)&lt;&gt;D555),"Acompte d'un autre client",IF(AND(AR555&lt;&gt;"",N(Q555)&lt;0),"Acompte supérieur au total de la facture",IF(IF(AG555="Facture",COUNTIFS(fl_doc,A555,fl_check,"&lt;&gt;OK"),IF(AG555="Devis",COUNTIFS(dl_doc,F555,dl_check,"&lt;&gt;OK"),0))&gt;0,"Ligne(s) à corriger",IF(AND(W555&lt;&gt;"",N(W555)&lt;0),"Trop-perçu : vérifiez paiements et avoirs","OK")))))))))))))))))))))</f>
        <v/>
      </c>
      <c r="AA555" s="62" t="str">
        <f>IF(COUNTA(B555:D555,F555:O555)&gt;0,IF(B555="","Facture",B555),"")</f>
        <v/>
      </c>
      <c r="AB555" s="62" t="str">
        <f>IF(AA555="","",IF(AA555="Avoir",p_pav,IF(AA555="Facture d'acompte",p_pac,p_pfa)))</f>
        <v/>
      </c>
      <c r="AC555" s="62">
        <f>IF(ISNUMBER(C555),C555,0)</f>
        <v>0.0</v>
      </c>
      <c r="AD555" s="62" t="str">
        <f>IF(OR(AA555="",AC555=0),"",YEAR(AC555))</f>
        <v/>
      </c>
      <c r="AE555" s="62" t="str">
        <f>IF(AD555="","",COUNTIFS($AB$6:AB555,AB555,$AD$6:AD555,AD555))</f>
        <v/>
      </c>
      <c r="AF555" s="62">
        <f>IF(A555="",0,COUNTIF(fl_doc,A555))</f>
        <v>0.0</v>
      </c>
      <c r="AG555" s="62" t="str">
        <f>IF(A555="","",IF(AF555&gt;0,"Facture",IF(AND(F555&lt;&gt;"",AA555="Facture",ISNUMBER(MATCH(F555,dv_num,0))),"Devis","")))</f>
        <v/>
      </c>
      <c r="AH555" s="62" t="str">
        <f>IF(AND(A555&lt;&gt;"",F555&lt;&gt;"",AA555&lt;&gt;"Avoir"),F555,"")</f>
        <v/>
      </c>
      <c r="AI555" s="62" t="str">
        <f>IF(AG555="Devis",F555,"")</f>
        <v/>
      </c>
      <c r="AJ555" s="62">
        <f>IF(AG555="Facture",SUMIF(fl_doc,A555,fl_ht),IF(AG555="Devis",SUMIF(dl_doc,F555,dl_ht),0))</f>
        <v>0.0</v>
      </c>
      <c r="AK555" s="62">
        <f>IF(OR(AG555="",INDEX(p_rates,1)=""),0,IF(AG555="Facture",SUMIFS(fl_ht,fl_doc,A555,fl_rate,INDEX(p_rates,1)),SUMIFS(dl_ht,dl_doc,F555,dl_rate,INDEX(p_rates,1))))</f>
        <v>0.0</v>
      </c>
      <c r="AL555" s="62">
        <f>IF(OR(AG555="",INDEX(p_rates,2)=""),0,IF(AG555="Facture",SUMIFS(fl_ht,fl_doc,A555,fl_rate,INDEX(p_rates,2)),SUMIFS(dl_ht,dl_doc,F555,dl_rate,INDEX(p_rates,2))))</f>
        <v>0.0</v>
      </c>
      <c r="AM555" s="62">
        <f>IF(OR(AG555="",INDEX(p_rates,3)=""),0,IF(AG555="Facture",SUMIFS(fl_ht,fl_doc,A555,fl_rate,INDEX(p_rates,3)),SUMIFS(dl_ht,dl_doc,F555,dl_rate,INDEX(p_rates,3))))</f>
        <v>0.0</v>
      </c>
      <c r="AN555" s="62">
        <f>IF(OR(AG555="",INDEX(p_rates,4)=""),0,IF(AG555="Facture",SUMIFS(fl_ht,fl_doc,A555,fl_rate,INDEX(p_rates,4)),SUMIFS(dl_ht,dl_doc,F555,dl_rate,INDEX(p_rates,4))))</f>
        <v>0.0</v>
      </c>
      <c r="AO555" s="62">
        <f>IF(OR(AG555="",INDEX(p_rates,5)=""),0,IF(AG555="Facture",SUMIFS(fl_ht,fl_doc,A555,fl_rate,INDEX(p_rates,5)),SUMIFS(dl_ht,dl_doc,F555,dl_rate,INDEX(p_rates,5))))</f>
        <v>0.0</v>
      </c>
      <c r="AP555" s="62">
        <f>IF(OR(AG555="",INDEX(p_rates,6)=""),0,IF(AG555="Facture",SUMIFS(fl_ht,fl_doc,A555,fl_rate,INDEX(p_rates,6)),SUMIFS(dl_ht,dl_doc,F555,dl_rate,INDEX(p_rates,6))))</f>
        <v>0.0</v>
      </c>
      <c r="AQ555" s="62">
        <f>ROUND(AK555*N(INDEX(p_rates,1)),2)+ROUND(AL555*N(INDEX(p_rates,2)),2)+ROUND(AM555*N(INDEX(p_rates,3)),2)+ROUND(AN555*N(INDEX(p_rates,4)),2)+ROUND(AO555*N(INDEX(p_rates,5)),2)+ROUND(AP555*N(INDEX(p_rates,6)),2)</f>
        <v>0.0</v>
      </c>
      <c r="AR555" s="62" t="str">
        <f>IF(OR(L555="",AA555&lt;&gt;"Facture"),"",IFERROR(IF(INDEX(fa_type,MATCH(L555,fa_num,0))="Facture d'acompte",MATCH(L555,fa_num,0),""),""))</f>
        <v/>
      </c>
      <c r="AS555" s="62" t="str">
        <f>IF(W555="","",IF(W555&lt;=0,"",IF(p_asof-P555&lt;=0,"Non échu",IF(p_asof-P555&lt;=30,"1-30 j",IF(p_asof-P555&lt;=60,"31-60 j",IF(p_asof-P555&lt;=90,"61-90 j","Plus de 90 j"))))))</f>
        <v/>
      </c>
      <c r="AT555" s="62" t="str">
        <f>IF(AS555="","",p_asof-P555)</f>
        <v/>
      </c>
      <c r="AU555" s="62" t="str">
        <f>IF(AT555="","",COUNTIF($AT$6:$AT$805,"&gt;"&amp;AT555)+COUNTIF($AT$6:AT555,AT555))</f>
        <v/>
      </c>
    </row>
    <row r="556">
      <c r="A556" s="59" t="str">
        <f>IF(AE556="","",AB556&amp;"-"&amp;AD556&amp;"-"&amp;RIGHT("000"&amp;AE556,4))</f>
        <v/>
      </c>
      <c r="B556" s="60" t="n"/>
      <c r="C556" s="61" t="n"/>
      <c r="D556" s="60" t="n"/>
      <c r="E556" s="62" t="str">
        <f>IF(D556="","",IFERROR(INDEX(cli_name,MATCH(D556,cli_code,0))&amp;"","Client inconnu"))</f>
        <v/>
      </c>
      <c r="F556" s="60" t="n"/>
      <c r="G556" s="63" t="n"/>
      <c r="H556" s="61" t="n"/>
      <c r="I556" s="63" t="n"/>
      <c r="J556" s="60" t="n"/>
      <c r="K556" s="61" t="n"/>
      <c r="L556" s="60" t="n"/>
      <c r="M556" s="60" t="n"/>
      <c r="N556" s="60" t="n"/>
      <c r="O556" s="61" t="n"/>
      <c r="P556" s="64" t="str">
        <f>IF(A556="","",IF(AA556="Avoir",AC556,IF(ISNUMBER(K556),K556,AC556+IF(D556="",N(p_delay),IFERROR(IF(ISNUMBER(INDEX(cli_delay,MATCH(D556,cli_code,0))),INDEX(cli_delay,MATCH(D556,cli_code,0)),N(p_delay)),N(p_delay))))))</f>
        <v/>
      </c>
      <c r="Q556" s="65" t="str">
        <f>IF(A556="","",IF(AA556="Avoir",-1,1)*ROUND(AJ556-IF(AR556="",0,INDEX(fa_htb,AR556)),2))</f>
        <v/>
      </c>
      <c r="R556" s="65" t="str">
        <f>IF(A556="","",IF(AA556="Avoir",-1,1)*ROUND(AQ556-IF(AR556="",0,INDEX(fa_tvab,AR556)),2))</f>
        <v/>
      </c>
      <c r="S556" s="65" t="str">
        <f>IF(A556="","",Q556+R556)</f>
        <v/>
      </c>
      <c r="T556" s="65" t="str">
        <f>IF(AR556="","",INDEX(fa_htb,AR556)+INDEX(fa_tvab,AR556))</f>
        <v/>
      </c>
      <c r="U556" s="65" t="str">
        <f>IF(A556="","",SUMIF(pa_inv,A556,pa_amt))</f>
        <v/>
      </c>
      <c r="V556" s="65" t="str">
        <f>IF(OR(A556="",AA556="Avoir"),"",-SUMIFS(fa_ttc,fa_avof,A556,fa_type,"Avoir"))</f>
        <v/>
      </c>
      <c r="W556" s="65" t="str">
        <f>IF(OR(A556="",AA556="Avoir"),"",ROUND(S556-U556-V556,2))</f>
        <v/>
      </c>
      <c r="X556" s="66" t="str">
        <f>IF(W556="","",IF(AND(W556&gt;0,p_asof&gt;P556),p_asof-P556,""))</f>
        <v/>
      </c>
      <c r="Y556" s="59" t="str">
        <f>IF(A556="","",IF(AA556="Avoir","Avoir",IF(W556&lt;0,"Trop-perçu",IF(W556=0,"Soldée",IF(p_asof&gt;P556,"En retard",IF(U556+V556&gt;0,"Partielle","À échoir"))))))</f>
        <v/>
      </c>
      <c r="Z556" s="59" t="str">
        <f>IF(NOT(COUNTA(B556:D556,F556:O556)&gt;0),"",IF(C556="","Date manquante",IF(NOT(ISNUMBER(C556)),"Date invalide",IF(D556="","Client manquant",IF(ISNA(MATCH(D556,cli_code,0)),"Client inconnu",IF(AC556&lt;SUMPRODUCT(MAX(($AB$6:AB555=AB556)*$AC$6:AC555)),"Date antérieure à la facture précédente",IF(AND(F556&lt;&gt;"",ISNA(MATCH(F556,dv_num,0))),"Devis inconnu",IF(AND(F556&lt;&gt;"",IFERROR(INDEX(dv_client,MATCH(F556,dv_num,0)),D556)&lt;&gt;D556),"Client différent de celui du devis",IF(AG556="","Aucune ligne : saisissez des lignes ou un devis",IF(AND(AI556&lt;&gt;"",COUNTIF($AI$6:AI556,AI556)&gt;1),"Devis déjà repris par une autre facture",IF(AND(AA556="Avoir",M556=""),"Avoir : indiquez la facture d'origine",IF(AND(AA556="Avoir",ISNA(MATCH(M556,fa_num,0))),"Facture d'origine inconnue",IF(AND(AA556&lt;&gt;"Avoir",M556&lt;&gt;""),"« Avoir sur facture » : réservé aux avoirs",IF(AND(L556&lt;&gt;"",AA556&lt;&gt;"Facture"),"Acompte à déduire : réservé aux factures",IF(AND(L556&lt;&gt;"",ISNA(MATCH(L556,fa_num,0))),"Facture d'acompte inconnue",IF(AND(L556&lt;&gt;"",IFERROR(INDEX(fa_type,MATCH(L556,fa_num,0)),"")&lt;&gt;"Facture d'acompte"),"Le n° à déduire n'est pas une facture d'acompte",IF(AND(L556&lt;&gt;"",COUNTIF($L$6:L556,L556)&gt;1),"Acompte déjà déduit sur une autre facture",IF(AND(L556&lt;&gt;"",IFERROR(INDEX(fa_client,MATCH(L556,fa_num,0)),D556)&lt;&gt;D556),"Acompte d'un autre client",IF(AND(AR556&lt;&gt;"",N(Q556)&lt;0),"Acompte supérieur au total de la facture",IF(IF(AG556="Facture",COUNTIFS(fl_doc,A556,fl_check,"&lt;&gt;OK"),IF(AG556="Devis",COUNTIFS(dl_doc,F556,dl_check,"&lt;&gt;OK"),0))&gt;0,"Ligne(s) à corriger",IF(AND(W556&lt;&gt;"",N(W556)&lt;0),"Trop-perçu : vérifiez paiements et avoirs","OK")))))))))))))))))))))</f>
        <v/>
      </c>
      <c r="AA556" s="62" t="str">
        <f>IF(COUNTA(B556:D556,F556:O556)&gt;0,IF(B556="","Facture",B556),"")</f>
        <v/>
      </c>
      <c r="AB556" s="62" t="str">
        <f>IF(AA556="","",IF(AA556="Avoir",p_pav,IF(AA556="Facture d'acompte",p_pac,p_pfa)))</f>
        <v/>
      </c>
      <c r="AC556" s="62">
        <f>IF(ISNUMBER(C556),C556,0)</f>
        <v>0.0</v>
      </c>
      <c r="AD556" s="62" t="str">
        <f>IF(OR(AA556="",AC556=0),"",YEAR(AC556))</f>
        <v/>
      </c>
      <c r="AE556" s="62" t="str">
        <f>IF(AD556="","",COUNTIFS($AB$6:AB556,AB556,$AD$6:AD556,AD556))</f>
        <v/>
      </c>
      <c r="AF556" s="62">
        <f>IF(A556="",0,COUNTIF(fl_doc,A556))</f>
        <v>0.0</v>
      </c>
      <c r="AG556" s="62" t="str">
        <f>IF(A556="","",IF(AF556&gt;0,"Facture",IF(AND(F556&lt;&gt;"",AA556="Facture",ISNUMBER(MATCH(F556,dv_num,0))),"Devis","")))</f>
        <v/>
      </c>
      <c r="AH556" s="62" t="str">
        <f>IF(AND(A556&lt;&gt;"",F556&lt;&gt;"",AA556&lt;&gt;"Avoir"),F556,"")</f>
        <v/>
      </c>
      <c r="AI556" s="62" t="str">
        <f>IF(AG556="Devis",F556,"")</f>
        <v/>
      </c>
      <c r="AJ556" s="62">
        <f>IF(AG556="Facture",SUMIF(fl_doc,A556,fl_ht),IF(AG556="Devis",SUMIF(dl_doc,F556,dl_ht),0))</f>
        <v>0.0</v>
      </c>
      <c r="AK556" s="62">
        <f>IF(OR(AG556="",INDEX(p_rates,1)=""),0,IF(AG556="Facture",SUMIFS(fl_ht,fl_doc,A556,fl_rate,INDEX(p_rates,1)),SUMIFS(dl_ht,dl_doc,F556,dl_rate,INDEX(p_rates,1))))</f>
        <v>0.0</v>
      </c>
      <c r="AL556" s="62">
        <f>IF(OR(AG556="",INDEX(p_rates,2)=""),0,IF(AG556="Facture",SUMIFS(fl_ht,fl_doc,A556,fl_rate,INDEX(p_rates,2)),SUMIFS(dl_ht,dl_doc,F556,dl_rate,INDEX(p_rates,2))))</f>
        <v>0.0</v>
      </c>
      <c r="AM556" s="62">
        <f>IF(OR(AG556="",INDEX(p_rates,3)=""),0,IF(AG556="Facture",SUMIFS(fl_ht,fl_doc,A556,fl_rate,INDEX(p_rates,3)),SUMIFS(dl_ht,dl_doc,F556,dl_rate,INDEX(p_rates,3))))</f>
        <v>0.0</v>
      </c>
      <c r="AN556" s="62">
        <f>IF(OR(AG556="",INDEX(p_rates,4)=""),0,IF(AG556="Facture",SUMIFS(fl_ht,fl_doc,A556,fl_rate,INDEX(p_rates,4)),SUMIFS(dl_ht,dl_doc,F556,dl_rate,INDEX(p_rates,4))))</f>
        <v>0.0</v>
      </c>
      <c r="AO556" s="62">
        <f>IF(OR(AG556="",INDEX(p_rates,5)=""),0,IF(AG556="Facture",SUMIFS(fl_ht,fl_doc,A556,fl_rate,INDEX(p_rates,5)),SUMIFS(dl_ht,dl_doc,F556,dl_rate,INDEX(p_rates,5))))</f>
        <v>0.0</v>
      </c>
      <c r="AP556" s="62">
        <f>IF(OR(AG556="",INDEX(p_rates,6)=""),0,IF(AG556="Facture",SUMIFS(fl_ht,fl_doc,A556,fl_rate,INDEX(p_rates,6)),SUMIFS(dl_ht,dl_doc,F556,dl_rate,INDEX(p_rates,6))))</f>
        <v>0.0</v>
      </c>
      <c r="AQ556" s="62">
        <f>ROUND(AK556*N(INDEX(p_rates,1)),2)+ROUND(AL556*N(INDEX(p_rates,2)),2)+ROUND(AM556*N(INDEX(p_rates,3)),2)+ROUND(AN556*N(INDEX(p_rates,4)),2)+ROUND(AO556*N(INDEX(p_rates,5)),2)+ROUND(AP556*N(INDEX(p_rates,6)),2)</f>
        <v>0.0</v>
      </c>
      <c r="AR556" s="62" t="str">
        <f>IF(OR(L556="",AA556&lt;&gt;"Facture"),"",IFERROR(IF(INDEX(fa_type,MATCH(L556,fa_num,0))="Facture d'acompte",MATCH(L556,fa_num,0),""),""))</f>
        <v/>
      </c>
      <c r="AS556" s="62" t="str">
        <f>IF(W556="","",IF(W556&lt;=0,"",IF(p_asof-P556&lt;=0,"Non échu",IF(p_asof-P556&lt;=30,"1-30 j",IF(p_asof-P556&lt;=60,"31-60 j",IF(p_asof-P556&lt;=90,"61-90 j","Plus de 90 j"))))))</f>
        <v/>
      </c>
      <c r="AT556" s="62" t="str">
        <f>IF(AS556="","",p_asof-P556)</f>
        <v/>
      </c>
      <c r="AU556" s="62" t="str">
        <f>IF(AT556="","",COUNTIF($AT$6:$AT$805,"&gt;"&amp;AT556)+COUNTIF($AT$6:AT556,AT556))</f>
        <v/>
      </c>
    </row>
    <row r="557">
      <c r="A557" s="59" t="str">
        <f>IF(AE557="","",AB557&amp;"-"&amp;AD557&amp;"-"&amp;RIGHT("000"&amp;AE557,4))</f>
        <v/>
      </c>
      <c r="B557" s="60" t="n"/>
      <c r="C557" s="61" t="n"/>
      <c r="D557" s="60" t="n"/>
      <c r="E557" s="62" t="str">
        <f>IF(D557="","",IFERROR(INDEX(cli_name,MATCH(D557,cli_code,0))&amp;"","Client inconnu"))</f>
        <v/>
      </c>
      <c r="F557" s="60" t="n"/>
      <c r="G557" s="63" t="n"/>
      <c r="H557" s="61" t="n"/>
      <c r="I557" s="63" t="n"/>
      <c r="J557" s="60" t="n"/>
      <c r="K557" s="61" t="n"/>
      <c r="L557" s="60" t="n"/>
      <c r="M557" s="60" t="n"/>
      <c r="N557" s="60" t="n"/>
      <c r="O557" s="61" t="n"/>
      <c r="P557" s="64" t="str">
        <f>IF(A557="","",IF(AA557="Avoir",AC557,IF(ISNUMBER(K557),K557,AC557+IF(D557="",N(p_delay),IFERROR(IF(ISNUMBER(INDEX(cli_delay,MATCH(D557,cli_code,0))),INDEX(cli_delay,MATCH(D557,cli_code,0)),N(p_delay)),N(p_delay))))))</f>
        <v/>
      </c>
      <c r="Q557" s="65" t="str">
        <f>IF(A557="","",IF(AA557="Avoir",-1,1)*ROUND(AJ557-IF(AR557="",0,INDEX(fa_htb,AR557)),2))</f>
        <v/>
      </c>
      <c r="R557" s="65" t="str">
        <f>IF(A557="","",IF(AA557="Avoir",-1,1)*ROUND(AQ557-IF(AR557="",0,INDEX(fa_tvab,AR557)),2))</f>
        <v/>
      </c>
      <c r="S557" s="65" t="str">
        <f>IF(A557="","",Q557+R557)</f>
        <v/>
      </c>
      <c r="T557" s="65" t="str">
        <f>IF(AR557="","",INDEX(fa_htb,AR557)+INDEX(fa_tvab,AR557))</f>
        <v/>
      </c>
      <c r="U557" s="65" t="str">
        <f>IF(A557="","",SUMIF(pa_inv,A557,pa_amt))</f>
        <v/>
      </c>
      <c r="V557" s="65" t="str">
        <f>IF(OR(A557="",AA557="Avoir"),"",-SUMIFS(fa_ttc,fa_avof,A557,fa_type,"Avoir"))</f>
        <v/>
      </c>
      <c r="W557" s="65" t="str">
        <f>IF(OR(A557="",AA557="Avoir"),"",ROUND(S557-U557-V557,2))</f>
        <v/>
      </c>
      <c r="X557" s="66" t="str">
        <f>IF(W557="","",IF(AND(W557&gt;0,p_asof&gt;P557),p_asof-P557,""))</f>
        <v/>
      </c>
      <c r="Y557" s="59" t="str">
        <f>IF(A557="","",IF(AA557="Avoir","Avoir",IF(W557&lt;0,"Trop-perçu",IF(W557=0,"Soldée",IF(p_asof&gt;P557,"En retard",IF(U557+V557&gt;0,"Partielle","À échoir"))))))</f>
        <v/>
      </c>
      <c r="Z557" s="59" t="str">
        <f>IF(NOT(COUNTA(B557:D557,F557:O557)&gt;0),"",IF(C557="","Date manquante",IF(NOT(ISNUMBER(C557)),"Date invalide",IF(D557="","Client manquant",IF(ISNA(MATCH(D557,cli_code,0)),"Client inconnu",IF(AC557&lt;SUMPRODUCT(MAX(($AB$6:AB556=AB557)*$AC$6:AC556)),"Date antérieure à la facture précédente",IF(AND(F557&lt;&gt;"",ISNA(MATCH(F557,dv_num,0))),"Devis inconnu",IF(AND(F557&lt;&gt;"",IFERROR(INDEX(dv_client,MATCH(F557,dv_num,0)),D557)&lt;&gt;D557),"Client différent de celui du devis",IF(AG557="","Aucune ligne : saisissez des lignes ou un devis",IF(AND(AI557&lt;&gt;"",COUNTIF($AI$6:AI557,AI557)&gt;1),"Devis déjà repris par une autre facture",IF(AND(AA557="Avoir",M557=""),"Avoir : indiquez la facture d'origine",IF(AND(AA557="Avoir",ISNA(MATCH(M557,fa_num,0))),"Facture d'origine inconnue",IF(AND(AA557&lt;&gt;"Avoir",M557&lt;&gt;""),"« Avoir sur facture » : réservé aux avoirs",IF(AND(L557&lt;&gt;"",AA557&lt;&gt;"Facture"),"Acompte à déduire : réservé aux factures",IF(AND(L557&lt;&gt;"",ISNA(MATCH(L557,fa_num,0))),"Facture d'acompte inconnue",IF(AND(L557&lt;&gt;"",IFERROR(INDEX(fa_type,MATCH(L557,fa_num,0)),"")&lt;&gt;"Facture d'acompte"),"Le n° à déduire n'est pas une facture d'acompte",IF(AND(L557&lt;&gt;"",COUNTIF($L$6:L557,L557)&gt;1),"Acompte déjà déduit sur une autre facture",IF(AND(L557&lt;&gt;"",IFERROR(INDEX(fa_client,MATCH(L557,fa_num,0)),D557)&lt;&gt;D557),"Acompte d'un autre client",IF(AND(AR557&lt;&gt;"",N(Q557)&lt;0),"Acompte supérieur au total de la facture",IF(IF(AG557="Facture",COUNTIFS(fl_doc,A557,fl_check,"&lt;&gt;OK"),IF(AG557="Devis",COUNTIFS(dl_doc,F557,dl_check,"&lt;&gt;OK"),0))&gt;0,"Ligne(s) à corriger",IF(AND(W557&lt;&gt;"",N(W557)&lt;0),"Trop-perçu : vérifiez paiements et avoirs","OK")))))))))))))))))))))</f>
        <v/>
      </c>
      <c r="AA557" s="62" t="str">
        <f>IF(COUNTA(B557:D557,F557:O557)&gt;0,IF(B557="","Facture",B557),"")</f>
        <v/>
      </c>
      <c r="AB557" s="62" t="str">
        <f>IF(AA557="","",IF(AA557="Avoir",p_pav,IF(AA557="Facture d'acompte",p_pac,p_pfa)))</f>
        <v/>
      </c>
      <c r="AC557" s="62">
        <f>IF(ISNUMBER(C557),C557,0)</f>
        <v>0.0</v>
      </c>
      <c r="AD557" s="62" t="str">
        <f>IF(OR(AA557="",AC557=0),"",YEAR(AC557))</f>
        <v/>
      </c>
      <c r="AE557" s="62" t="str">
        <f>IF(AD557="","",COUNTIFS($AB$6:AB557,AB557,$AD$6:AD557,AD557))</f>
        <v/>
      </c>
      <c r="AF557" s="62">
        <f>IF(A557="",0,COUNTIF(fl_doc,A557))</f>
        <v>0.0</v>
      </c>
      <c r="AG557" s="62" t="str">
        <f>IF(A557="","",IF(AF557&gt;0,"Facture",IF(AND(F557&lt;&gt;"",AA557="Facture",ISNUMBER(MATCH(F557,dv_num,0))),"Devis","")))</f>
        <v/>
      </c>
      <c r="AH557" s="62" t="str">
        <f>IF(AND(A557&lt;&gt;"",F557&lt;&gt;"",AA557&lt;&gt;"Avoir"),F557,"")</f>
        <v/>
      </c>
      <c r="AI557" s="62" t="str">
        <f>IF(AG557="Devis",F557,"")</f>
        <v/>
      </c>
      <c r="AJ557" s="62">
        <f>IF(AG557="Facture",SUMIF(fl_doc,A557,fl_ht),IF(AG557="Devis",SUMIF(dl_doc,F557,dl_ht),0))</f>
        <v>0.0</v>
      </c>
      <c r="AK557" s="62">
        <f>IF(OR(AG557="",INDEX(p_rates,1)=""),0,IF(AG557="Facture",SUMIFS(fl_ht,fl_doc,A557,fl_rate,INDEX(p_rates,1)),SUMIFS(dl_ht,dl_doc,F557,dl_rate,INDEX(p_rates,1))))</f>
        <v>0.0</v>
      </c>
      <c r="AL557" s="62">
        <f>IF(OR(AG557="",INDEX(p_rates,2)=""),0,IF(AG557="Facture",SUMIFS(fl_ht,fl_doc,A557,fl_rate,INDEX(p_rates,2)),SUMIFS(dl_ht,dl_doc,F557,dl_rate,INDEX(p_rates,2))))</f>
        <v>0.0</v>
      </c>
      <c r="AM557" s="62">
        <f>IF(OR(AG557="",INDEX(p_rates,3)=""),0,IF(AG557="Facture",SUMIFS(fl_ht,fl_doc,A557,fl_rate,INDEX(p_rates,3)),SUMIFS(dl_ht,dl_doc,F557,dl_rate,INDEX(p_rates,3))))</f>
        <v>0.0</v>
      </c>
      <c r="AN557" s="62">
        <f>IF(OR(AG557="",INDEX(p_rates,4)=""),0,IF(AG557="Facture",SUMIFS(fl_ht,fl_doc,A557,fl_rate,INDEX(p_rates,4)),SUMIFS(dl_ht,dl_doc,F557,dl_rate,INDEX(p_rates,4))))</f>
        <v>0.0</v>
      </c>
      <c r="AO557" s="62">
        <f>IF(OR(AG557="",INDEX(p_rates,5)=""),0,IF(AG557="Facture",SUMIFS(fl_ht,fl_doc,A557,fl_rate,INDEX(p_rates,5)),SUMIFS(dl_ht,dl_doc,F557,dl_rate,INDEX(p_rates,5))))</f>
        <v>0.0</v>
      </c>
      <c r="AP557" s="62">
        <f>IF(OR(AG557="",INDEX(p_rates,6)=""),0,IF(AG557="Facture",SUMIFS(fl_ht,fl_doc,A557,fl_rate,INDEX(p_rates,6)),SUMIFS(dl_ht,dl_doc,F557,dl_rate,INDEX(p_rates,6))))</f>
        <v>0.0</v>
      </c>
      <c r="AQ557" s="62">
        <f>ROUND(AK557*N(INDEX(p_rates,1)),2)+ROUND(AL557*N(INDEX(p_rates,2)),2)+ROUND(AM557*N(INDEX(p_rates,3)),2)+ROUND(AN557*N(INDEX(p_rates,4)),2)+ROUND(AO557*N(INDEX(p_rates,5)),2)+ROUND(AP557*N(INDEX(p_rates,6)),2)</f>
        <v>0.0</v>
      </c>
      <c r="AR557" s="62" t="str">
        <f>IF(OR(L557="",AA557&lt;&gt;"Facture"),"",IFERROR(IF(INDEX(fa_type,MATCH(L557,fa_num,0))="Facture d'acompte",MATCH(L557,fa_num,0),""),""))</f>
        <v/>
      </c>
      <c r="AS557" s="62" t="str">
        <f>IF(W557="","",IF(W557&lt;=0,"",IF(p_asof-P557&lt;=0,"Non échu",IF(p_asof-P557&lt;=30,"1-30 j",IF(p_asof-P557&lt;=60,"31-60 j",IF(p_asof-P557&lt;=90,"61-90 j","Plus de 90 j"))))))</f>
        <v/>
      </c>
      <c r="AT557" s="62" t="str">
        <f>IF(AS557="","",p_asof-P557)</f>
        <v/>
      </c>
      <c r="AU557" s="62" t="str">
        <f>IF(AT557="","",COUNTIF($AT$6:$AT$805,"&gt;"&amp;AT557)+COUNTIF($AT$6:AT557,AT557))</f>
        <v/>
      </c>
    </row>
    <row r="558">
      <c r="A558" s="59" t="str">
        <f>IF(AE558="","",AB558&amp;"-"&amp;AD558&amp;"-"&amp;RIGHT("000"&amp;AE558,4))</f>
        <v/>
      </c>
      <c r="B558" s="60" t="n"/>
      <c r="C558" s="61" t="n"/>
      <c r="D558" s="60" t="n"/>
      <c r="E558" s="62" t="str">
        <f>IF(D558="","",IFERROR(INDEX(cli_name,MATCH(D558,cli_code,0))&amp;"","Client inconnu"))</f>
        <v/>
      </c>
      <c r="F558" s="60" t="n"/>
      <c r="G558" s="63" t="n"/>
      <c r="H558" s="61" t="n"/>
      <c r="I558" s="63" t="n"/>
      <c r="J558" s="60" t="n"/>
      <c r="K558" s="61" t="n"/>
      <c r="L558" s="60" t="n"/>
      <c r="M558" s="60" t="n"/>
      <c r="N558" s="60" t="n"/>
      <c r="O558" s="61" t="n"/>
      <c r="P558" s="64" t="str">
        <f>IF(A558="","",IF(AA558="Avoir",AC558,IF(ISNUMBER(K558),K558,AC558+IF(D558="",N(p_delay),IFERROR(IF(ISNUMBER(INDEX(cli_delay,MATCH(D558,cli_code,0))),INDEX(cli_delay,MATCH(D558,cli_code,0)),N(p_delay)),N(p_delay))))))</f>
        <v/>
      </c>
      <c r="Q558" s="65" t="str">
        <f>IF(A558="","",IF(AA558="Avoir",-1,1)*ROUND(AJ558-IF(AR558="",0,INDEX(fa_htb,AR558)),2))</f>
        <v/>
      </c>
      <c r="R558" s="65" t="str">
        <f>IF(A558="","",IF(AA558="Avoir",-1,1)*ROUND(AQ558-IF(AR558="",0,INDEX(fa_tvab,AR558)),2))</f>
        <v/>
      </c>
      <c r="S558" s="65" t="str">
        <f>IF(A558="","",Q558+R558)</f>
        <v/>
      </c>
      <c r="T558" s="65" t="str">
        <f>IF(AR558="","",INDEX(fa_htb,AR558)+INDEX(fa_tvab,AR558))</f>
        <v/>
      </c>
      <c r="U558" s="65" t="str">
        <f>IF(A558="","",SUMIF(pa_inv,A558,pa_amt))</f>
        <v/>
      </c>
      <c r="V558" s="65" t="str">
        <f>IF(OR(A558="",AA558="Avoir"),"",-SUMIFS(fa_ttc,fa_avof,A558,fa_type,"Avoir"))</f>
        <v/>
      </c>
      <c r="W558" s="65" t="str">
        <f>IF(OR(A558="",AA558="Avoir"),"",ROUND(S558-U558-V558,2))</f>
        <v/>
      </c>
      <c r="X558" s="66" t="str">
        <f>IF(W558="","",IF(AND(W558&gt;0,p_asof&gt;P558),p_asof-P558,""))</f>
        <v/>
      </c>
      <c r="Y558" s="59" t="str">
        <f>IF(A558="","",IF(AA558="Avoir","Avoir",IF(W558&lt;0,"Trop-perçu",IF(W558=0,"Soldée",IF(p_asof&gt;P558,"En retard",IF(U558+V558&gt;0,"Partielle","À échoir"))))))</f>
        <v/>
      </c>
      <c r="Z558" s="59" t="str">
        <f>IF(NOT(COUNTA(B558:D558,F558:O558)&gt;0),"",IF(C558="","Date manquante",IF(NOT(ISNUMBER(C558)),"Date invalide",IF(D558="","Client manquant",IF(ISNA(MATCH(D558,cli_code,0)),"Client inconnu",IF(AC558&lt;SUMPRODUCT(MAX(($AB$6:AB557=AB558)*$AC$6:AC557)),"Date antérieure à la facture précédente",IF(AND(F558&lt;&gt;"",ISNA(MATCH(F558,dv_num,0))),"Devis inconnu",IF(AND(F558&lt;&gt;"",IFERROR(INDEX(dv_client,MATCH(F558,dv_num,0)),D558)&lt;&gt;D558),"Client différent de celui du devis",IF(AG558="","Aucune ligne : saisissez des lignes ou un devis",IF(AND(AI558&lt;&gt;"",COUNTIF($AI$6:AI558,AI558)&gt;1),"Devis déjà repris par une autre facture",IF(AND(AA558="Avoir",M558=""),"Avoir : indiquez la facture d'origine",IF(AND(AA558="Avoir",ISNA(MATCH(M558,fa_num,0))),"Facture d'origine inconnue",IF(AND(AA558&lt;&gt;"Avoir",M558&lt;&gt;""),"« Avoir sur facture » : réservé aux avoirs",IF(AND(L558&lt;&gt;"",AA558&lt;&gt;"Facture"),"Acompte à déduire : réservé aux factures",IF(AND(L558&lt;&gt;"",ISNA(MATCH(L558,fa_num,0))),"Facture d'acompte inconnue",IF(AND(L558&lt;&gt;"",IFERROR(INDEX(fa_type,MATCH(L558,fa_num,0)),"")&lt;&gt;"Facture d'acompte"),"Le n° à déduire n'est pas une facture d'acompte",IF(AND(L558&lt;&gt;"",COUNTIF($L$6:L558,L558)&gt;1),"Acompte déjà déduit sur une autre facture",IF(AND(L558&lt;&gt;"",IFERROR(INDEX(fa_client,MATCH(L558,fa_num,0)),D558)&lt;&gt;D558),"Acompte d'un autre client",IF(AND(AR558&lt;&gt;"",N(Q558)&lt;0),"Acompte supérieur au total de la facture",IF(IF(AG558="Facture",COUNTIFS(fl_doc,A558,fl_check,"&lt;&gt;OK"),IF(AG558="Devis",COUNTIFS(dl_doc,F558,dl_check,"&lt;&gt;OK"),0))&gt;0,"Ligne(s) à corriger",IF(AND(W558&lt;&gt;"",N(W558)&lt;0),"Trop-perçu : vérifiez paiements et avoirs","OK")))))))))))))))))))))</f>
        <v/>
      </c>
      <c r="AA558" s="62" t="str">
        <f>IF(COUNTA(B558:D558,F558:O558)&gt;0,IF(B558="","Facture",B558),"")</f>
        <v/>
      </c>
      <c r="AB558" s="62" t="str">
        <f>IF(AA558="","",IF(AA558="Avoir",p_pav,IF(AA558="Facture d'acompte",p_pac,p_pfa)))</f>
        <v/>
      </c>
      <c r="AC558" s="62">
        <f>IF(ISNUMBER(C558),C558,0)</f>
        <v>0.0</v>
      </c>
      <c r="AD558" s="62" t="str">
        <f>IF(OR(AA558="",AC558=0),"",YEAR(AC558))</f>
        <v/>
      </c>
      <c r="AE558" s="62" t="str">
        <f>IF(AD558="","",COUNTIFS($AB$6:AB558,AB558,$AD$6:AD558,AD558))</f>
        <v/>
      </c>
      <c r="AF558" s="62">
        <f>IF(A558="",0,COUNTIF(fl_doc,A558))</f>
        <v>0.0</v>
      </c>
      <c r="AG558" s="62" t="str">
        <f>IF(A558="","",IF(AF558&gt;0,"Facture",IF(AND(F558&lt;&gt;"",AA558="Facture",ISNUMBER(MATCH(F558,dv_num,0))),"Devis","")))</f>
        <v/>
      </c>
      <c r="AH558" s="62" t="str">
        <f>IF(AND(A558&lt;&gt;"",F558&lt;&gt;"",AA558&lt;&gt;"Avoir"),F558,"")</f>
        <v/>
      </c>
      <c r="AI558" s="62" t="str">
        <f>IF(AG558="Devis",F558,"")</f>
        <v/>
      </c>
      <c r="AJ558" s="62">
        <f>IF(AG558="Facture",SUMIF(fl_doc,A558,fl_ht),IF(AG558="Devis",SUMIF(dl_doc,F558,dl_ht),0))</f>
        <v>0.0</v>
      </c>
      <c r="AK558" s="62">
        <f>IF(OR(AG558="",INDEX(p_rates,1)=""),0,IF(AG558="Facture",SUMIFS(fl_ht,fl_doc,A558,fl_rate,INDEX(p_rates,1)),SUMIFS(dl_ht,dl_doc,F558,dl_rate,INDEX(p_rates,1))))</f>
        <v>0.0</v>
      </c>
      <c r="AL558" s="62">
        <f>IF(OR(AG558="",INDEX(p_rates,2)=""),0,IF(AG558="Facture",SUMIFS(fl_ht,fl_doc,A558,fl_rate,INDEX(p_rates,2)),SUMIFS(dl_ht,dl_doc,F558,dl_rate,INDEX(p_rates,2))))</f>
        <v>0.0</v>
      </c>
      <c r="AM558" s="62">
        <f>IF(OR(AG558="",INDEX(p_rates,3)=""),0,IF(AG558="Facture",SUMIFS(fl_ht,fl_doc,A558,fl_rate,INDEX(p_rates,3)),SUMIFS(dl_ht,dl_doc,F558,dl_rate,INDEX(p_rates,3))))</f>
        <v>0.0</v>
      </c>
      <c r="AN558" s="62">
        <f>IF(OR(AG558="",INDEX(p_rates,4)=""),0,IF(AG558="Facture",SUMIFS(fl_ht,fl_doc,A558,fl_rate,INDEX(p_rates,4)),SUMIFS(dl_ht,dl_doc,F558,dl_rate,INDEX(p_rates,4))))</f>
        <v>0.0</v>
      </c>
      <c r="AO558" s="62">
        <f>IF(OR(AG558="",INDEX(p_rates,5)=""),0,IF(AG558="Facture",SUMIFS(fl_ht,fl_doc,A558,fl_rate,INDEX(p_rates,5)),SUMIFS(dl_ht,dl_doc,F558,dl_rate,INDEX(p_rates,5))))</f>
        <v>0.0</v>
      </c>
      <c r="AP558" s="62">
        <f>IF(OR(AG558="",INDEX(p_rates,6)=""),0,IF(AG558="Facture",SUMIFS(fl_ht,fl_doc,A558,fl_rate,INDEX(p_rates,6)),SUMIFS(dl_ht,dl_doc,F558,dl_rate,INDEX(p_rates,6))))</f>
        <v>0.0</v>
      </c>
      <c r="AQ558" s="62">
        <f>ROUND(AK558*N(INDEX(p_rates,1)),2)+ROUND(AL558*N(INDEX(p_rates,2)),2)+ROUND(AM558*N(INDEX(p_rates,3)),2)+ROUND(AN558*N(INDEX(p_rates,4)),2)+ROUND(AO558*N(INDEX(p_rates,5)),2)+ROUND(AP558*N(INDEX(p_rates,6)),2)</f>
        <v>0.0</v>
      </c>
      <c r="AR558" s="62" t="str">
        <f>IF(OR(L558="",AA558&lt;&gt;"Facture"),"",IFERROR(IF(INDEX(fa_type,MATCH(L558,fa_num,0))="Facture d'acompte",MATCH(L558,fa_num,0),""),""))</f>
        <v/>
      </c>
      <c r="AS558" s="62" t="str">
        <f>IF(W558="","",IF(W558&lt;=0,"",IF(p_asof-P558&lt;=0,"Non échu",IF(p_asof-P558&lt;=30,"1-30 j",IF(p_asof-P558&lt;=60,"31-60 j",IF(p_asof-P558&lt;=90,"61-90 j","Plus de 90 j"))))))</f>
        <v/>
      </c>
      <c r="AT558" s="62" t="str">
        <f>IF(AS558="","",p_asof-P558)</f>
        <v/>
      </c>
      <c r="AU558" s="62" t="str">
        <f>IF(AT558="","",COUNTIF($AT$6:$AT$805,"&gt;"&amp;AT558)+COUNTIF($AT$6:AT558,AT558))</f>
        <v/>
      </c>
    </row>
    <row r="559">
      <c r="A559" s="59" t="str">
        <f>IF(AE559="","",AB559&amp;"-"&amp;AD559&amp;"-"&amp;RIGHT("000"&amp;AE559,4))</f>
        <v/>
      </c>
      <c r="B559" s="60" t="n"/>
      <c r="C559" s="61" t="n"/>
      <c r="D559" s="60" t="n"/>
      <c r="E559" s="62" t="str">
        <f>IF(D559="","",IFERROR(INDEX(cli_name,MATCH(D559,cli_code,0))&amp;"","Client inconnu"))</f>
        <v/>
      </c>
      <c r="F559" s="60" t="n"/>
      <c r="G559" s="63" t="n"/>
      <c r="H559" s="61" t="n"/>
      <c r="I559" s="63" t="n"/>
      <c r="J559" s="60" t="n"/>
      <c r="K559" s="61" t="n"/>
      <c r="L559" s="60" t="n"/>
      <c r="M559" s="60" t="n"/>
      <c r="N559" s="60" t="n"/>
      <c r="O559" s="61" t="n"/>
      <c r="P559" s="64" t="str">
        <f>IF(A559="","",IF(AA559="Avoir",AC559,IF(ISNUMBER(K559),K559,AC559+IF(D559="",N(p_delay),IFERROR(IF(ISNUMBER(INDEX(cli_delay,MATCH(D559,cli_code,0))),INDEX(cli_delay,MATCH(D559,cli_code,0)),N(p_delay)),N(p_delay))))))</f>
        <v/>
      </c>
      <c r="Q559" s="65" t="str">
        <f>IF(A559="","",IF(AA559="Avoir",-1,1)*ROUND(AJ559-IF(AR559="",0,INDEX(fa_htb,AR559)),2))</f>
        <v/>
      </c>
      <c r="R559" s="65" t="str">
        <f>IF(A559="","",IF(AA559="Avoir",-1,1)*ROUND(AQ559-IF(AR559="",0,INDEX(fa_tvab,AR559)),2))</f>
        <v/>
      </c>
      <c r="S559" s="65" t="str">
        <f>IF(A559="","",Q559+R559)</f>
        <v/>
      </c>
      <c r="T559" s="65" t="str">
        <f>IF(AR559="","",INDEX(fa_htb,AR559)+INDEX(fa_tvab,AR559))</f>
        <v/>
      </c>
      <c r="U559" s="65" t="str">
        <f>IF(A559="","",SUMIF(pa_inv,A559,pa_amt))</f>
        <v/>
      </c>
      <c r="V559" s="65" t="str">
        <f>IF(OR(A559="",AA559="Avoir"),"",-SUMIFS(fa_ttc,fa_avof,A559,fa_type,"Avoir"))</f>
        <v/>
      </c>
      <c r="W559" s="65" t="str">
        <f>IF(OR(A559="",AA559="Avoir"),"",ROUND(S559-U559-V559,2))</f>
        <v/>
      </c>
      <c r="X559" s="66" t="str">
        <f>IF(W559="","",IF(AND(W559&gt;0,p_asof&gt;P559),p_asof-P559,""))</f>
        <v/>
      </c>
      <c r="Y559" s="59" t="str">
        <f>IF(A559="","",IF(AA559="Avoir","Avoir",IF(W559&lt;0,"Trop-perçu",IF(W559=0,"Soldée",IF(p_asof&gt;P559,"En retard",IF(U559+V559&gt;0,"Partielle","À échoir"))))))</f>
        <v/>
      </c>
      <c r="Z559" s="59" t="str">
        <f>IF(NOT(COUNTA(B559:D559,F559:O559)&gt;0),"",IF(C559="","Date manquante",IF(NOT(ISNUMBER(C559)),"Date invalide",IF(D559="","Client manquant",IF(ISNA(MATCH(D559,cli_code,0)),"Client inconnu",IF(AC559&lt;SUMPRODUCT(MAX(($AB$6:AB558=AB559)*$AC$6:AC558)),"Date antérieure à la facture précédente",IF(AND(F559&lt;&gt;"",ISNA(MATCH(F559,dv_num,0))),"Devis inconnu",IF(AND(F559&lt;&gt;"",IFERROR(INDEX(dv_client,MATCH(F559,dv_num,0)),D559)&lt;&gt;D559),"Client différent de celui du devis",IF(AG559="","Aucune ligne : saisissez des lignes ou un devis",IF(AND(AI559&lt;&gt;"",COUNTIF($AI$6:AI559,AI559)&gt;1),"Devis déjà repris par une autre facture",IF(AND(AA559="Avoir",M559=""),"Avoir : indiquez la facture d'origine",IF(AND(AA559="Avoir",ISNA(MATCH(M559,fa_num,0))),"Facture d'origine inconnue",IF(AND(AA559&lt;&gt;"Avoir",M559&lt;&gt;""),"« Avoir sur facture » : réservé aux avoirs",IF(AND(L559&lt;&gt;"",AA559&lt;&gt;"Facture"),"Acompte à déduire : réservé aux factures",IF(AND(L559&lt;&gt;"",ISNA(MATCH(L559,fa_num,0))),"Facture d'acompte inconnue",IF(AND(L559&lt;&gt;"",IFERROR(INDEX(fa_type,MATCH(L559,fa_num,0)),"")&lt;&gt;"Facture d'acompte"),"Le n° à déduire n'est pas une facture d'acompte",IF(AND(L559&lt;&gt;"",COUNTIF($L$6:L559,L559)&gt;1),"Acompte déjà déduit sur une autre facture",IF(AND(L559&lt;&gt;"",IFERROR(INDEX(fa_client,MATCH(L559,fa_num,0)),D559)&lt;&gt;D559),"Acompte d'un autre client",IF(AND(AR559&lt;&gt;"",N(Q559)&lt;0),"Acompte supérieur au total de la facture",IF(IF(AG559="Facture",COUNTIFS(fl_doc,A559,fl_check,"&lt;&gt;OK"),IF(AG559="Devis",COUNTIFS(dl_doc,F559,dl_check,"&lt;&gt;OK"),0))&gt;0,"Ligne(s) à corriger",IF(AND(W559&lt;&gt;"",N(W559)&lt;0),"Trop-perçu : vérifiez paiements et avoirs","OK")))))))))))))))))))))</f>
        <v/>
      </c>
      <c r="AA559" s="62" t="str">
        <f>IF(COUNTA(B559:D559,F559:O559)&gt;0,IF(B559="","Facture",B559),"")</f>
        <v/>
      </c>
      <c r="AB559" s="62" t="str">
        <f>IF(AA559="","",IF(AA559="Avoir",p_pav,IF(AA559="Facture d'acompte",p_pac,p_pfa)))</f>
        <v/>
      </c>
      <c r="AC559" s="62">
        <f>IF(ISNUMBER(C559),C559,0)</f>
        <v>0.0</v>
      </c>
      <c r="AD559" s="62" t="str">
        <f>IF(OR(AA559="",AC559=0),"",YEAR(AC559))</f>
        <v/>
      </c>
      <c r="AE559" s="62" t="str">
        <f>IF(AD559="","",COUNTIFS($AB$6:AB559,AB559,$AD$6:AD559,AD559))</f>
        <v/>
      </c>
      <c r="AF559" s="62">
        <f>IF(A559="",0,COUNTIF(fl_doc,A559))</f>
        <v>0.0</v>
      </c>
      <c r="AG559" s="62" t="str">
        <f>IF(A559="","",IF(AF559&gt;0,"Facture",IF(AND(F559&lt;&gt;"",AA559="Facture",ISNUMBER(MATCH(F559,dv_num,0))),"Devis","")))</f>
        <v/>
      </c>
      <c r="AH559" s="62" t="str">
        <f>IF(AND(A559&lt;&gt;"",F559&lt;&gt;"",AA559&lt;&gt;"Avoir"),F559,"")</f>
        <v/>
      </c>
      <c r="AI559" s="62" t="str">
        <f>IF(AG559="Devis",F559,"")</f>
        <v/>
      </c>
      <c r="AJ559" s="62">
        <f>IF(AG559="Facture",SUMIF(fl_doc,A559,fl_ht),IF(AG559="Devis",SUMIF(dl_doc,F559,dl_ht),0))</f>
        <v>0.0</v>
      </c>
      <c r="AK559" s="62">
        <f>IF(OR(AG559="",INDEX(p_rates,1)=""),0,IF(AG559="Facture",SUMIFS(fl_ht,fl_doc,A559,fl_rate,INDEX(p_rates,1)),SUMIFS(dl_ht,dl_doc,F559,dl_rate,INDEX(p_rates,1))))</f>
        <v>0.0</v>
      </c>
      <c r="AL559" s="62">
        <f>IF(OR(AG559="",INDEX(p_rates,2)=""),0,IF(AG559="Facture",SUMIFS(fl_ht,fl_doc,A559,fl_rate,INDEX(p_rates,2)),SUMIFS(dl_ht,dl_doc,F559,dl_rate,INDEX(p_rates,2))))</f>
        <v>0.0</v>
      </c>
      <c r="AM559" s="62">
        <f>IF(OR(AG559="",INDEX(p_rates,3)=""),0,IF(AG559="Facture",SUMIFS(fl_ht,fl_doc,A559,fl_rate,INDEX(p_rates,3)),SUMIFS(dl_ht,dl_doc,F559,dl_rate,INDEX(p_rates,3))))</f>
        <v>0.0</v>
      </c>
      <c r="AN559" s="62">
        <f>IF(OR(AG559="",INDEX(p_rates,4)=""),0,IF(AG559="Facture",SUMIFS(fl_ht,fl_doc,A559,fl_rate,INDEX(p_rates,4)),SUMIFS(dl_ht,dl_doc,F559,dl_rate,INDEX(p_rates,4))))</f>
        <v>0.0</v>
      </c>
      <c r="AO559" s="62">
        <f>IF(OR(AG559="",INDEX(p_rates,5)=""),0,IF(AG559="Facture",SUMIFS(fl_ht,fl_doc,A559,fl_rate,INDEX(p_rates,5)),SUMIFS(dl_ht,dl_doc,F559,dl_rate,INDEX(p_rates,5))))</f>
        <v>0.0</v>
      </c>
      <c r="AP559" s="62">
        <f>IF(OR(AG559="",INDEX(p_rates,6)=""),0,IF(AG559="Facture",SUMIFS(fl_ht,fl_doc,A559,fl_rate,INDEX(p_rates,6)),SUMIFS(dl_ht,dl_doc,F559,dl_rate,INDEX(p_rates,6))))</f>
        <v>0.0</v>
      </c>
      <c r="AQ559" s="62">
        <f>ROUND(AK559*N(INDEX(p_rates,1)),2)+ROUND(AL559*N(INDEX(p_rates,2)),2)+ROUND(AM559*N(INDEX(p_rates,3)),2)+ROUND(AN559*N(INDEX(p_rates,4)),2)+ROUND(AO559*N(INDEX(p_rates,5)),2)+ROUND(AP559*N(INDEX(p_rates,6)),2)</f>
        <v>0.0</v>
      </c>
      <c r="AR559" s="62" t="str">
        <f>IF(OR(L559="",AA559&lt;&gt;"Facture"),"",IFERROR(IF(INDEX(fa_type,MATCH(L559,fa_num,0))="Facture d'acompte",MATCH(L559,fa_num,0),""),""))</f>
        <v/>
      </c>
      <c r="AS559" s="62" t="str">
        <f>IF(W559="","",IF(W559&lt;=0,"",IF(p_asof-P559&lt;=0,"Non échu",IF(p_asof-P559&lt;=30,"1-30 j",IF(p_asof-P559&lt;=60,"31-60 j",IF(p_asof-P559&lt;=90,"61-90 j","Plus de 90 j"))))))</f>
        <v/>
      </c>
      <c r="AT559" s="62" t="str">
        <f>IF(AS559="","",p_asof-P559)</f>
        <v/>
      </c>
      <c r="AU559" s="62" t="str">
        <f>IF(AT559="","",COUNTIF($AT$6:$AT$805,"&gt;"&amp;AT559)+COUNTIF($AT$6:AT559,AT559))</f>
        <v/>
      </c>
    </row>
    <row r="560">
      <c r="A560" s="59" t="str">
        <f>IF(AE560="","",AB560&amp;"-"&amp;AD560&amp;"-"&amp;RIGHT("000"&amp;AE560,4))</f>
        <v/>
      </c>
      <c r="B560" s="60" t="n"/>
      <c r="C560" s="61" t="n"/>
      <c r="D560" s="60" t="n"/>
      <c r="E560" s="62" t="str">
        <f>IF(D560="","",IFERROR(INDEX(cli_name,MATCH(D560,cli_code,0))&amp;"","Client inconnu"))</f>
        <v/>
      </c>
      <c r="F560" s="60" t="n"/>
      <c r="G560" s="63" t="n"/>
      <c r="H560" s="61" t="n"/>
      <c r="I560" s="63" t="n"/>
      <c r="J560" s="60" t="n"/>
      <c r="K560" s="61" t="n"/>
      <c r="L560" s="60" t="n"/>
      <c r="M560" s="60" t="n"/>
      <c r="N560" s="60" t="n"/>
      <c r="O560" s="61" t="n"/>
      <c r="P560" s="64" t="str">
        <f>IF(A560="","",IF(AA560="Avoir",AC560,IF(ISNUMBER(K560),K560,AC560+IF(D560="",N(p_delay),IFERROR(IF(ISNUMBER(INDEX(cli_delay,MATCH(D560,cli_code,0))),INDEX(cli_delay,MATCH(D560,cli_code,0)),N(p_delay)),N(p_delay))))))</f>
        <v/>
      </c>
      <c r="Q560" s="65" t="str">
        <f>IF(A560="","",IF(AA560="Avoir",-1,1)*ROUND(AJ560-IF(AR560="",0,INDEX(fa_htb,AR560)),2))</f>
        <v/>
      </c>
      <c r="R560" s="65" t="str">
        <f>IF(A560="","",IF(AA560="Avoir",-1,1)*ROUND(AQ560-IF(AR560="",0,INDEX(fa_tvab,AR560)),2))</f>
        <v/>
      </c>
      <c r="S560" s="65" t="str">
        <f>IF(A560="","",Q560+R560)</f>
        <v/>
      </c>
      <c r="T560" s="65" t="str">
        <f>IF(AR560="","",INDEX(fa_htb,AR560)+INDEX(fa_tvab,AR560))</f>
        <v/>
      </c>
      <c r="U560" s="65" t="str">
        <f>IF(A560="","",SUMIF(pa_inv,A560,pa_amt))</f>
        <v/>
      </c>
      <c r="V560" s="65" t="str">
        <f>IF(OR(A560="",AA560="Avoir"),"",-SUMIFS(fa_ttc,fa_avof,A560,fa_type,"Avoir"))</f>
        <v/>
      </c>
      <c r="W560" s="65" t="str">
        <f>IF(OR(A560="",AA560="Avoir"),"",ROUND(S560-U560-V560,2))</f>
        <v/>
      </c>
      <c r="X560" s="66" t="str">
        <f>IF(W560="","",IF(AND(W560&gt;0,p_asof&gt;P560),p_asof-P560,""))</f>
        <v/>
      </c>
      <c r="Y560" s="59" t="str">
        <f>IF(A560="","",IF(AA560="Avoir","Avoir",IF(W560&lt;0,"Trop-perçu",IF(W560=0,"Soldée",IF(p_asof&gt;P560,"En retard",IF(U560+V560&gt;0,"Partielle","À échoir"))))))</f>
        <v/>
      </c>
      <c r="Z560" s="59" t="str">
        <f>IF(NOT(COUNTA(B560:D560,F560:O560)&gt;0),"",IF(C560="","Date manquante",IF(NOT(ISNUMBER(C560)),"Date invalide",IF(D560="","Client manquant",IF(ISNA(MATCH(D560,cli_code,0)),"Client inconnu",IF(AC560&lt;SUMPRODUCT(MAX(($AB$6:AB559=AB560)*$AC$6:AC559)),"Date antérieure à la facture précédente",IF(AND(F560&lt;&gt;"",ISNA(MATCH(F560,dv_num,0))),"Devis inconnu",IF(AND(F560&lt;&gt;"",IFERROR(INDEX(dv_client,MATCH(F560,dv_num,0)),D560)&lt;&gt;D560),"Client différent de celui du devis",IF(AG560="","Aucune ligne : saisissez des lignes ou un devis",IF(AND(AI560&lt;&gt;"",COUNTIF($AI$6:AI560,AI560)&gt;1),"Devis déjà repris par une autre facture",IF(AND(AA560="Avoir",M560=""),"Avoir : indiquez la facture d'origine",IF(AND(AA560="Avoir",ISNA(MATCH(M560,fa_num,0))),"Facture d'origine inconnue",IF(AND(AA560&lt;&gt;"Avoir",M560&lt;&gt;""),"« Avoir sur facture » : réservé aux avoirs",IF(AND(L560&lt;&gt;"",AA560&lt;&gt;"Facture"),"Acompte à déduire : réservé aux factures",IF(AND(L560&lt;&gt;"",ISNA(MATCH(L560,fa_num,0))),"Facture d'acompte inconnue",IF(AND(L560&lt;&gt;"",IFERROR(INDEX(fa_type,MATCH(L560,fa_num,0)),"")&lt;&gt;"Facture d'acompte"),"Le n° à déduire n'est pas une facture d'acompte",IF(AND(L560&lt;&gt;"",COUNTIF($L$6:L560,L560)&gt;1),"Acompte déjà déduit sur une autre facture",IF(AND(L560&lt;&gt;"",IFERROR(INDEX(fa_client,MATCH(L560,fa_num,0)),D560)&lt;&gt;D560),"Acompte d'un autre client",IF(AND(AR560&lt;&gt;"",N(Q560)&lt;0),"Acompte supérieur au total de la facture",IF(IF(AG560="Facture",COUNTIFS(fl_doc,A560,fl_check,"&lt;&gt;OK"),IF(AG560="Devis",COUNTIFS(dl_doc,F560,dl_check,"&lt;&gt;OK"),0))&gt;0,"Ligne(s) à corriger",IF(AND(W560&lt;&gt;"",N(W560)&lt;0),"Trop-perçu : vérifiez paiements et avoirs","OK")))))))))))))))))))))</f>
        <v/>
      </c>
      <c r="AA560" s="62" t="str">
        <f>IF(COUNTA(B560:D560,F560:O560)&gt;0,IF(B560="","Facture",B560),"")</f>
        <v/>
      </c>
      <c r="AB560" s="62" t="str">
        <f>IF(AA560="","",IF(AA560="Avoir",p_pav,IF(AA560="Facture d'acompte",p_pac,p_pfa)))</f>
        <v/>
      </c>
      <c r="AC560" s="62">
        <f>IF(ISNUMBER(C560),C560,0)</f>
        <v>0.0</v>
      </c>
      <c r="AD560" s="62" t="str">
        <f>IF(OR(AA560="",AC560=0),"",YEAR(AC560))</f>
        <v/>
      </c>
      <c r="AE560" s="62" t="str">
        <f>IF(AD560="","",COUNTIFS($AB$6:AB560,AB560,$AD$6:AD560,AD560))</f>
        <v/>
      </c>
      <c r="AF560" s="62">
        <f>IF(A560="",0,COUNTIF(fl_doc,A560))</f>
        <v>0.0</v>
      </c>
      <c r="AG560" s="62" t="str">
        <f>IF(A560="","",IF(AF560&gt;0,"Facture",IF(AND(F560&lt;&gt;"",AA560="Facture",ISNUMBER(MATCH(F560,dv_num,0))),"Devis","")))</f>
        <v/>
      </c>
      <c r="AH560" s="62" t="str">
        <f>IF(AND(A560&lt;&gt;"",F560&lt;&gt;"",AA560&lt;&gt;"Avoir"),F560,"")</f>
        <v/>
      </c>
      <c r="AI560" s="62" t="str">
        <f>IF(AG560="Devis",F560,"")</f>
        <v/>
      </c>
      <c r="AJ560" s="62">
        <f>IF(AG560="Facture",SUMIF(fl_doc,A560,fl_ht),IF(AG560="Devis",SUMIF(dl_doc,F560,dl_ht),0))</f>
        <v>0.0</v>
      </c>
      <c r="AK560" s="62">
        <f>IF(OR(AG560="",INDEX(p_rates,1)=""),0,IF(AG560="Facture",SUMIFS(fl_ht,fl_doc,A560,fl_rate,INDEX(p_rates,1)),SUMIFS(dl_ht,dl_doc,F560,dl_rate,INDEX(p_rates,1))))</f>
        <v>0.0</v>
      </c>
      <c r="AL560" s="62">
        <f>IF(OR(AG560="",INDEX(p_rates,2)=""),0,IF(AG560="Facture",SUMIFS(fl_ht,fl_doc,A560,fl_rate,INDEX(p_rates,2)),SUMIFS(dl_ht,dl_doc,F560,dl_rate,INDEX(p_rates,2))))</f>
        <v>0.0</v>
      </c>
      <c r="AM560" s="62">
        <f>IF(OR(AG560="",INDEX(p_rates,3)=""),0,IF(AG560="Facture",SUMIFS(fl_ht,fl_doc,A560,fl_rate,INDEX(p_rates,3)),SUMIFS(dl_ht,dl_doc,F560,dl_rate,INDEX(p_rates,3))))</f>
        <v>0.0</v>
      </c>
      <c r="AN560" s="62">
        <f>IF(OR(AG560="",INDEX(p_rates,4)=""),0,IF(AG560="Facture",SUMIFS(fl_ht,fl_doc,A560,fl_rate,INDEX(p_rates,4)),SUMIFS(dl_ht,dl_doc,F560,dl_rate,INDEX(p_rates,4))))</f>
        <v>0.0</v>
      </c>
      <c r="AO560" s="62">
        <f>IF(OR(AG560="",INDEX(p_rates,5)=""),0,IF(AG560="Facture",SUMIFS(fl_ht,fl_doc,A560,fl_rate,INDEX(p_rates,5)),SUMIFS(dl_ht,dl_doc,F560,dl_rate,INDEX(p_rates,5))))</f>
        <v>0.0</v>
      </c>
      <c r="AP560" s="62">
        <f>IF(OR(AG560="",INDEX(p_rates,6)=""),0,IF(AG560="Facture",SUMIFS(fl_ht,fl_doc,A560,fl_rate,INDEX(p_rates,6)),SUMIFS(dl_ht,dl_doc,F560,dl_rate,INDEX(p_rates,6))))</f>
        <v>0.0</v>
      </c>
      <c r="AQ560" s="62">
        <f>ROUND(AK560*N(INDEX(p_rates,1)),2)+ROUND(AL560*N(INDEX(p_rates,2)),2)+ROUND(AM560*N(INDEX(p_rates,3)),2)+ROUND(AN560*N(INDEX(p_rates,4)),2)+ROUND(AO560*N(INDEX(p_rates,5)),2)+ROUND(AP560*N(INDEX(p_rates,6)),2)</f>
        <v>0.0</v>
      </c>
      <c r="AR560" s="62" t="str">
        <f>IF(OR(L560="",AA560&lt;&gt;"Facture"),"",IFERROR(IF(INDEX(fa_type,MATCH(L560,fa_num,0))="Facture d'acompte",MATCH(L560,fa_num,0),""),""))</f>
        <v/>
      </c>
      <c r="AS560" s="62" t="str">
        <f>IF(W560="","",IF(W560&lt;=0,"",IF(p_asof-P560&lt;=0,"Non échu",IF(p_asof-P560&lt;=30,"1-30 j",IF(p_asof-P560&lt;=60,"31-60 j",IF(p_asof-P560&lt;=90,"61-90 j","Plus de 90 j"))))))</f>
        <v/>
      </c>
      <c r="AT560" s="62" t="str">
        <f>IF(AS560="","",p_asof-P560)</f>
        <v/>
      </c>
      <c r="AU560" s="62" t="str">
        <f>IF(AT560="","",COUNTIF($AT$6:$AT$805,"&gt;"&amp;AT560)+COUNTIF($AT$6:AT560,AT560))</f>
        <v/>
      </c>
    </row>
    <row r="561">
      <c r="A561" s="59" t="str">
        <f>IF(AE561="","",AB561&amp;"-"&amp;AD561&amp;"-"&amp;RIGHT("000"&amp;AE561,4))</f>
        <v/>
      </c>
      <c r="B561" s="60" t="n"/>
      <c r="C561" s="61" t="n"/>
      <c r="D561" s="60" t="n"/>
      <c r="E561" s="62" t="str">
        <f>IF(D561="","",IFERROR(INDEX(cli_name,MATCH(D561,cli_code,0))&amp;"","Client inconnu"))</f>
        <v/>
      </c>
      <c r="F561" s="60" t="n"/>
      <c r="G561" s="63" t="n"/>
      <c r="H561" s="61" t="n"/>
      <c r="I561" s="63" t="n"/>
      <c r="J561" s="60" t="n"/>
      <c r="K561" s="61" t="n"/>
      <c r="L561" s="60" t="n"/>
      <c r="M561" s="60" t="n"/>
      <c r="N561" s="60" t="n"/>
      <c r="O561" s="61" t="n"/>
      <c r="P561" s="64" t="str">
        <f>IF(A561="","",IF(AA561="Avoir",AC561,IF(ISNUMBER(K561),K561,AC561+IF(D561="",N(p_delay),IFERROR(IF(ISNUMBER(INDEX(cli_delay,MATCH(D561,cli_code,0))),INDEX(cli_delay,MATCH(D561,cli_code,0)),N(p_delay)),N(p_delay))))))</f>
        <v/>
      </c>
      <c r="Q561" s="65" t="str">
        <f>IF(A561="","",IF(AA561="Avoir",-1,1)*ROUND(AJ561-IF(AR561="",0,INDEX(fa_htb,AR561)),2))</f>
        <v/>
      </c>
      <c r="R561" s="65" t="str">
        <f>IF(A561="","",IF(AA561="Avoir",-1,1)*ROUND(AQ561-IF(AR561="",0,INDEX(fa_tvab,AR561)),2))</f>
        <v/>
      </c>
      <c r="S561" s="65" t="str">
        <f>IF(A561="","",Q561+R561)</f>
        <v/>
      </c>
      <c r="T561" s="65" t="str">
        <f>IF(AR561="","",INDEX(fa_htb,AR561)+INDEX(fa_tvab,AR561))</f>
        <v/>
      </c>
      <c r="U561" s="65" t="str">
        <f>IF(A561="","",SUMIF(pa_inv,A561,pa_amt))</f>
        <v/>
      </c>
      <c r="V561" s="65" t="str">
        <f>IF(OR(A561="",AA561="Avoir"),"",-SUMIFS(fa_ttc,fa_avof,A561,fa_type,"Avoir"))</f>
        <v/>
      </c>
      <c r="W561" s="65" t="str">
        <f>IF(OR(A561="",AA561="Avoir"),"",ROUND(S561-U561-V561,2))</f>
        <v/>
      </c>
      <c r="X561" s="66" t="str">
        <f>IF(W561="","",IF(AND(W561&gt;0,p_asof&gt;P561),p_asof-P561,""))</f>
        <v/>
      </c>
      <c r="Y561" s="59" t="str">
        <f>IF(A561="","",IF(AA561="Avoir","Avoir",IF(W561&lt;0,"Trop-perçu",IF(W561=0,"Soldée",IF(p_asof&gt;P561,"En retard",IF(U561+V561&gt;0,"Partielle","À échoir"))))))</f>
        <v/>
      </c>
      <c r="Z561" s="59" t="str">
        <f>IF(NOT(COUNTA(B561:D561,F561:O561)&gt;0),"",IF(C561="","Date manquante",IF(NOT(ISNUMBER(C561)),"Date invalide",IF(D561="","Client manquant",IF(ISNA(MATCH(D561,cli_code,0)),"Client inconnu",IF(AC561&lt;SUMPRODUCT(MAX(($AB$6:AB560=AB561)*$AC$6:AC560)),"Date antérieure à la facture précédente",IF(AND(F561&lt;&gt;"",ISNA(MATCH(F561,dv_num,0))),"Devis inconnu",IF(AND(F561&lt;&gt;"",IFERROR(INDEX(dv_client,MATCH(F561,dv_num,0)),D561)&lt;&gt;D561),"Client différent de celui du devis",IF(AG561="","Aucune ligne : saisissez des lignes ou un devis",IF(AND(AI561&lt;&gt;"",COUNTIF($AI$6:AI561,AI561)&gt;1),"Devis déjà repris par une autre facture",IF(AND(AA561="Avoir",M561=""),"Avoir : indiquez la facture d'origine",IF(AND(AA561="Avoir",ISNA(MATCH(M561,fa_num,0))),"Facture d'origine inconnue",IF(AND(AA561&lt;&gt;"Avoir",M561&lt;&gt;""),"« Avoir sur facture » : réservé aux avoirs",IF(AND(L561&lt;&gt;"",AA561&lt;&gt;"Facture"),"Acompte à déduire : réservé aux factures",IF(AND(L561&lt;&gt;"",ISNA(MATCH(L561,fa_num,0))),"Facture d'acompte inconnue",IF(AND(L561&lt;&gt;"",IFERROR(INDEX(fa_type,MATCH(L561,fa_num,0)),"")&lt;&gt;"Facture d'acompte"),"Le n° à déduire n'est pas une facture d'acompte",IF(AND(L561&lt;&gt;"",COUNTIF($L$6:L561,L561)&gt;1),"Acompte déjà déduit sur une autre facture",IF(AND(L561&lt;&gt;"",IFERROR(INDEX(fa_client,MATCH(L561,fa_num,0)),D561)&lt;&gt;D561),"Acompte d'un autre client",IF(AND(AR561&lt;&gt;"",N(Q561)&lt;0),"Acompte supérieur au total de la facture",IF(IF(AG561="Facture",COUNTIFS(fl_doc,A561,fl_check,"&lt;&gt;OK"),IF(AG561="Devis",COUNTIFS(dl_doc,F561,dl_check,"&lt;&gt;OK"),0))&gt;0,"Ligne(s) à corriger",IF(AND(W561&lt;&gt;"",N(W561)&lt;0),"Trop-perçu : vérifiez paiements et avoirs","OK")))))))))))))))))))))</f>
        <v/>
      </c>
      <c r="AA561" s="62" t="str">
        <f>IF(COUNTA(B561:D561,F561:O561)&gt;0,IF(B561="","Facture",B561),"")</f>
        <v/>
      </c>
      <c r="AB561" s="62" t="str">
        <f>IF(AA561="","",IF(AA561="Avoir",p_pav,IF(AA561="Facture d'acompte",p_pac,p_pfa)))</f>
        <v/>
      </c>
      <c r="AC561" s="62">
        <f>IF(ISNUMBER(C561),C561,0)</f>
        <v>0.0</v>
      </c>
      <c r="AD561" s="62" t="str">
        <f>IF(OR(AA561="",AC561=0),"",YEAR(AC561))</f>
        <v/>
      </c>
      <c r="AE561" s="62" t="str">
        <f>IF(AD561="","",COUNTIFS($AB$6:AB561,AB561,$AD$6:AD561,AD561))</f>
        <v/>
      </c>
      <c r="AF561" s="62">
        <f>IF(A561="",0,COUNTIF(fl_doc,A561))</f>
        <v>0.0</v>
      </c>
      <c r="AG561" s="62" t="str">
        <f>IF(A561="","",IF(AF561&gt;0,"Facture",IF(AND(F561&lt;&gt;"",AA561="Facture",ISNUMBER(MATCH(F561,dv_num,0))),"Devis","")))</f>
        <v/>
      </c>
      <c r="AH561" s="62" t="str">
        <f>IF(AND(A561&lt;&gt;"",F561&lt;&gt;"",AA561&lt;&gt;"Avoir"),F561,"")</f>
        <v/>
      </c>
      <c r="AI561" s="62" t="str">
        <f>IF(AG561="Devis",F561,"")</f>
        <v/>
      </c>
      <c r="AJ561" s="62">
        <f>IF(AG561="Facture",SUMIF(fl_doc,A561,fl_ht),IF(AG561="Devis",SUMIF(dl_doc,F561,dl_ht),0))</f>
        <v>0.0</v>
      </c>
      <c r="AK561" s="62">
        <f>IF(OR(AG561="",INDEX(p_rates,1)=""),0,IF(AG561="Facture",SUMIFS(fl_ht,fl_doc,A561,fl_rate,INDEX(p_rates,1)),SUMIFS(dl_ht,dl_doc,F561,dl_rate,INDEX(p_rates,1))))</f>
        <v>0.0</v>
      </c>
      <c r="AL561" s="62">
        <f>IF(OR(AG561="",INDEX(p_rates,2)=""),0,IF(AG561="Facture",SUMIFS(fl_ht,fl_doc,A561,fl_rate,INDEX(p_rates,2)),SUMIFS(dl_ht,dl_doc,F561,dl_rate,INDEX(p_rates,2))))</f>
        <v>0.0</v>
      </c>
      <c r="AM561" s="62">
        <f>IF(OR(AG561="",INDEX(p_rates,3)=""),0,IF(AG561="Facture",SUMIFS(fl_ht,fl_doc,A561,fl_rate,INDEX(p_rates,3)),SUMIFS(dl_ht,dl_doc,F561,dl_rate,INDEX(p_rates,3))))</f>
        <v>0.0</v>
      </c>
      <c r="AN561" s="62">
        <f>IF(OR(AG561="",INDEX(p_rates,4)=""),0,IF(AG561="Facture",SUMIFS(fl_ht,fl_doc,A561,fl_rate,INDEX(p_rates,4)),SUMIFS(dl_ht,dl_doc,F561,dl_rate,INDEX(p_rates,4))))</f>
        <v>0.0</v>
      </c>
      <c r="AO561" s="62">
        <f>IF(OR(AG561="",INDEX(p_rates,5)=""),0,IF(AG561="Facture",SUMIFS(fl_ht,fl_doc,A561,fl_rate,INDEX(p_rates,5)),SUMIFS(dl_ht,dl_doc,F561,dl_rate,INDEX(p_rates,5))))</f>
        <v>0.0</v>
      </c>
      <c r="AP561" s="62">
        <f>IF(OR(AG561="",INDEX(p_rates,6)=""),0,IF(AG561="Facture",SUMIFS(fl_ht,fl_doc,A561,fl_rate,INDEX(p_rates,6)),SUMIFS(dl_ht,dl_doc,F561,dl_rate,INDEX(p_rates,6))))</f>
        <v>0.0</v>
      </c>
      <c r="AQ561" s="62">
        <f>ROUND(AK561*N(INDEX(p_rates,1)),2)+ROUND(AL561*N(INDEX(p_rates,2)),2)+ROUND(AM561*N(INDEX(p_rates,3)),2)+ROUND(AN561*N(INDEX(p_rates,4)),2)+ROUND(AO561*N(INDEX(p_rates,5)),2)+ROUND(AP561*N(INDEX(p_rates,6)),2)</f>
        <v>0.0</v>
      </c>
      <c r="AR561" s="62" t="str">
        <f>IF(OR(L561="",AA561&lt;&gt;"Facture"),"",IFERROR(IF(INDEX(fa_type,MATCH(L561,fa_num,0))="Facture d'acompte",MATCH(L561,fa_num,0),""),""))</f>
        <v/>
      </c>
      <c r="AS561" s="62" t="str">
        <f>IF(W561="","",IF(W561&lt;=0,"",IF(p_asof-P561&lt;=0,"Non échu",IF(p_asof-P561&lt;=30,"1-30 j",IF(p_asof-P561&lt;=60,"31-60 j",IF(p_asof-P561&lt;=90,"61-90 j","Plus de 90 j"))))))</f>
        <v/>
      </c>
      <c r="AT561" s="62" t="str">
        <f>IF(AS561="","",p_asof-P561)</f>
        <v/>
      </c>
      <c r="AU561" s="62" t="str">
        <f>IF(AT561="","",COUNTIF($AT$6:$AT$805,"&gt;"&amp;AT561)+COUNTIF($AT$6:AT561,AT561))</f>
        <v/>
      </c>
    </row>
    <row r="562">
      <c r="A562" s="59" t="str">
        <f>IF(AE562="","",AB562&amp;"-"&amp;AD562&amp;"-"&amp;RIGHT("000"&amp;AE562,4))</f>
        <v/>
      </c>
      <c r="B562" s="60" t="n"/>
      <c r="C562" s="61" t="n"/>
      <c r="D562" s="60" t="n"/>
      <c r="E562" s="62" t="str">
        <f>IF(D562="","",IFERROR(INDEX(cli_name,MATCH(D562,cli_code,0))&amp;"","Client inconnu"))</f>
        <v/>
      </c>
      <c r="F562" s="60" t="n"/>
      <c r="G562" s="63" t="n"/>
      <c r="H562" s="61" t="n"/>
      <c r="I562" s="63" t="n"/>
      <c r="J562" s="60" t="n"/>
      <c r="K562" s="61" t="n"/>
      <c r="L562" s="60" t="n"/>
      <c r="M562" s="60" t="n"/>
      <c r="N562" s="60" t="n"/>
      <c r="O562" s="61" t="n"/>
      <c r="P562" s="64" t="str">
        <f>IF(A562="","",IF(AA562="Avoir",AC562,IF(ISNUMBER(K562),K562,AC562+IF(D562="",N(p_delay),IFERROR(IF(ISNUMBER(INDEX(cli_delay,MATCH(D562,cli_code,0))),INDEX(cli_delay,MATCH(D562,cli_code,0)),N(p_delay)),N(p_delay))))))</f>
        <v/>
      </c>
      <c r="Q562" s="65" t="str">
        <f>IF(A562="","",IF(AA562="Avoir",-1,1)*ROUND(AJ562-IF(AR562="",0,INDEX(fa_htb,AR562)),2))</f>
        <v/>
      </c>
      <c r="R562" s="65" t="str">
        <f>IF(A562="","",IF(AA562="Avoir",-1,1)*ROUND(AQ562-IF(AR562="",0,INDEX(fa_tvab,AR562)),2))</f>
        <v/>
      </c>
      <c r="S562" s="65" t="str">
        <f>IF(A562="","",Q562+R562)</f>
        <v/>
      </c>
      <c r="T562" s="65" t="str">
        <f>IF(AR562="","",INDEX(fa_htb,AR562)+INDEX(fa_tvab,AR562))</f>
        <v/>
      </c>
      <c r="U562" s="65" t="str">
        <f>IF(A562="","",SUMIF(pa_inv,A562,pa_amt))</f>
        <v/>
      </c>
      <c r="V562" s="65" t="str">
        <f>IF(OR(A562="",AA562="Avoir"),"",-SUMIFS(fa_ttc,fa_avof,A562,fa_type,"Avoir"))</f>
        <v/>
      </c>
      <c r="W562" s="65" t="str">
        <f>IF(OR(A562="",AA562="Avoir"),"",ROUND(S562-U562-V562,2))</f>
        <v/>
      </c>
      <c r="X562" s="66" t="str">
        <f>IF(W562="","",IF(AND(W562&gt;0,p_asof&gt;P562),p_asof-P562,""))</f>
        <v/>
      </c>
      <c r="Y562" s="59" t="str">
        <f>IF(A562="","",IF(AA562="Avoir","Avoir",IF(W562&lt;0,"Trop-perçu",IF(W562=0,"Soldée",IF(p_asof&gt;P562,"En retard",IF(U562+V562&gt;0,"Partielle","À échoir"))))))</f>
        <v/>
      </c>
      <c r="Z562" s="59" t="str">
        <f>IF(NOT(COUNTA(B562:D562,F562:O562)&gt;0),"",IF(C562="","Date manquante",IF(NOT(ISNUMBER(C562)),"Date invalide",IF(D562="","Client manquant",IF(ISNA(MATCH(D562,cli_code,0)),"Client inconnu",IF(AC562&lt;SUMPRODUCT(MAX(($AB$6:AB561=AB562)*$AC$6:AC561)),"Date antérieure à la facture précédente",IF(AND(F562&lt;&gt;"",ISNA(MATCH(F562,dv_num,0))),"Devis inconnu",IF(AND(F562&lt;&gt;"",IFERROR(INDEX(dv_client,MATCH(F562,dv_num,0)),D562)&lt;&gt;D562),"Client différent de celui du devis",IF(AG562="","Aucune ligne : saisissez des lignes ou un devis",IF(AND(AI562&lt;&gt;"",COUNTIF($AI$6:AI562,AI562)&gt;1),"Devis déjà repris par une autre facture",IF(AND(AA562="Avoir",M562=""),"Avoir : indiquez la facture d'origine",IF(AND(AA562="Avoir",ISNA(MATCH(M562,fa_num,0))),"Facture d'origine inconnue",IF(AND(AA562&lt;&gt;"Avoir",M562&lt;&gt;""),"« Avoir sur facture » : réservé aux avoirs",IF(AND(L562&lt;&gt;"",AA562&lt;&gt;"Facture"),"Acompte à déduire : réservé aux factures",IF(AND(L562&lt;&gt;"",ISNA(MATCH(L562,fa_num,0))),"Facture d'acompte inconnue",IF(AND(L562&lt;&gt;"",IFERROR(INDEX(fa_type,MATCH(L562,fa_num,0)),"")&lt;&gt;"Facture d'acompte"),"Le n° à déduire n'est pas une facture d'acompte",IF(AND(L562&lt;&gt;"",COUNTIF($L$6:L562,L562)&gt;1),"Acompte déjà déduit sur une autre facture",IF(AND(L562&lt;&gt;"",IFERROR(INDEX(fa_client,MATCH(L562,fa_num,0)),D562)&lt;&gt;D562),"Acompte d'un autre client",IF(AND(AR562&lt;&gt;"",N(Q562)&lt;0),"Acompte supérieur au total de la facture",IF(IF(AG562="Facture",COUNTIFS(fl_doc,A562,fl_check,"&lt;&gt;OK"),IF(AG562="Devis",COUNTIFS(dl_doc,F562,dl_check,"&lt;&gt;OK"),0))&gt;0,"Ligne(s) à corriger",IF(AND(W562&lt;&gt;"",N(W562)&lt;0),"Trop-perçu : vérifiez paiements et avoirs","OK")))))))))))))))))))))</f>
        <v/>
      </c>
      <c r="AA562" s="62" t="str">
        <f>IF(COUNTA(B562:D562,F562:O562)&gt;0,IF(B562="","Facture",B562),"")</f>
        <v/>
      </c>
      <c r="AB562" s="62" t="str">
        <f>IF(AA562="","",IF(AA562="Avoir",p_pav,IF(AA562="Facture d'acompte",p_pac,p_pfa)))</f>
        <v/>
      </c>
      <c r="AC562" s="62">
        <f>IF(ISNUMBER(C562),C562,0)</f>
        <v>0.0</v>
      </c>
      <c r="AD562" s="62" t="str">
        <f>IF(OR(AA562="",AC562=0),"",YEAR(AC562))</f>
        <v/>
      </c>
      <c r="AE562" s="62" t="str">
        <f>IF(AD562="","",COUNTIFS($AB$6:AB562,AB562,$AD$6:AD562,AD562))</f>
        <v/>
      </c>
      <c r="AF562" s="62">
        <f>IF(A562="",0,COUNTIF(fl_doc,A562))</f>
        <v>0.0</v>
      </c>
      <c r="AG562" s="62" t="str">
        <f>IF(A562="","",IF(AF562&gt;0,"Facture",IF(AND(F562&lt;&gt;"",AA562="Facture",ISNUMBER(MATCH(F562,dv_num,0))),"Devis","")))</f>
        <v/>
      </c>
      <c r="AH562" s="62" t="str">
        <f>IF(AND(A562&lt;&gt;"",F562&lt;&gt;"",AA562&lt;&gt;"Avoir"),F562,"")</f>
        <v/>
      </c>
      <c r="AI562" s="62" t="str">
        <f>IF(AG562="Devis",F562,"")</f>
        <v/>
      </c>
      <c r="AJ562" s="62">
        <f>IF(AG562="Facture",SUMIF(fl_doc,A562,fl_ht),IF(AG562="Devis",SUMIF(dl_doc,F562,dl_ht),0))</f>
        <v>0.0</v>
      </c>
      <c r="AK562" s="62">
        <f>IF(OR(AG562="",INDEX(p_rates,1)=""),0,IF(AG562="Facture",SUMIFS(fl_ht,fl_doc,A562,fl_rate,INDEX(p_rates,1)),SUMIFS(dl_ht,dl_doc,F562,dl_rate,INDEX(p_rates,1))))</f>
        <v>0.0</v>
      </c>
      <c r="AL562" s="62">
        <f>IF(OR(AG562="",INDEX(p_rates,2)=""),0,IF(AG562="Facture",SUMIFS(fl_ht,fl_doc,A562,fl_rate,INDEX(p_rates,2)),SUMIFS(dl_ht,dl_doc,F562,dl_rate,INDEX(p_rates,2))))</f>
        <v>0.0</v>
      </c>
      <c r="AM562" s="62">
        <f>IF(OR(AG562="",INDEX(p_rates,3)=""),0,IF(AG562="Facture",SUMIFS(fl_ht,fl_doc,A562,fl_rate,INDEX(p_rates,3)),SUMIFS(dl_ht,dl_doc,F562,dl_rate,INDEX(p_rates,3))))</f>
        <v>0.0</v>
      </c>
      <c r="AN562" s="62">
        <f>IF(OR(AG562="",INDEX(p_rates,4)=""),0,IF(AG562="Facture",SUMIFS(fl_ht,fl_doc,A562,fl_rate,INDEX(p_rates,4)),SUMIFS(dl_ht,dl_doc,F562,dl_rate,INDEX(p_rates,4))))</f>
        <v>0.0</v>
      </c>
      <c r="AO562" s="62">
        <f>IF(OR(AG562="",INDEX(p_rates,5)=""),0,IF(AG562="Facture",SUMIFS(fl_ht,fl_doc,A562,fl_rate,INDEX(p_rates,5)),SUMIFS(dl_ht,dl_doc,F562,dl_rate,INDEX(p_rates,5))))</f>
        <v>0.0</v>
      </c>
      <c r="AP562" s="62">
        <f>IF(OR(AG562="",INDEX(p_rates,6)=""),0,IF(AG562="Facture",SUMIFS(fl_ht,fl_doc,A562,fl_rate,INDEX(p_rates,6)),SUMIFS(dl_ht,dl_doc,F562,dl_rate,INDEX(p_rates,6))))</f>
        <v>0.0</v>
      </c>
      <c r="AQ562" s="62">
        <f>ROUND(AK562*N(INDEX(p_rates,1)),2)+ROUND(AL562*N(INDEX(p_rates,2)),2)+ROUND(AM562*N(INDEX(p_rates,3)),2)+ROUND(AN562*N(INDEX(p_rates,4)),2)+ROUND(AO562*N(INDEX(p_rates,5)),2)+ROUND(AP562*N(INDEX(p_rates,6)),2)</f>
        <v>0.0</v>
      </c>
      <c r="AR562" s="62" t="str">
        <f>IF(OR(L562="",AA562&lt;&gt;"Facture"),"",IFERROR(IF(INDEX(fa_type,MATCH(L562,fa_num,0))="Facture d'acompte",MATCH(L562,fa_num,0),""),""))</f>
        <v/>
      </c>
      <c r="AS562" s="62" t="str">
        <f>IF(W562="","",IF(W562&lt;=0,"",IF(p_asof-P562&lt;=0,"Non échu",IF(p_asof-P562&lt;=30,"1-30 j",IF(p_asof-P562&lt;=60,"31-60 j",IF(p_asof-P562&lt;=90,"61-90 j","Plus de 90 j"))))))</f>
        <v/>
      </c>
      <c r="AT562" s="62" t="str">
        <f>IF(AS562="","",p_asof-P562)</f>
        <v/>
      </c>
      <c r="AU562" s="62" t="str">
        <f>IF(AT562="","",COUNTIF($AT$6:$AT$805,"&gt;"&amp;AT562)+COUNTIF($AT$6:AT562,AT562))</f>
        <v/>
      </c>
    </row>
    <row r="563">
      <c r="A563" s="59" t="str">
        <f>IF(AE563="","",AB563&amp;"-"&amp;AD563&amp;"-"&amp;RIGHT("000"&amp;AE563,4))</f>
        <v/>
      </c>
      <c r="B563" s="60" t="n"/>
      <c r="C563" s="61" t="n"/>
      <c r="D563" s="60" t="n"/>
      <c r="E563" s="62" t="str">
        <f>IF(D563="","",IFERROR(INDEX(cli_name,MATCH(D563,cli_code,0))&amp;"","Client inconnu"))</f>
        <v/>
      </c>
      <c r="F563" s="60" t="n"/>
      <c r="G563" s="63" t="n"/>
      <c r="H563" s="61" t="n"/>
      <c r="I563" s="63" t="n"/>
      <c r="J563" s="60" t="n"/>
      <c r="K563" s="61" t="n"/>
      <c r="L563" s="60" t="n"/>
      <c r="M563" s="60" t="n"/>
      <c r="N563" s="60" t="n"/>
      <c r="O563" s="61" t="n"/>
      <c r="P563" s="64" t="str">
        <f>IF(A563="","",IF(AA563="Avoir",AC563,IF(ISNUMBER(K563),K563,AC563+IF(D563="",N(p_delay),IFERROR(IF(ISNUMBER(INDEX(cli_delay,MATCH(D563,cli_code,0))),INDEX(cli_delay,MATCH(D563,cli_code,0)),N(p_delay)),N(p_delay))))))</f>
        <v/>
      </c>
      <c r="Q563" s="65" t="str">
        <f>IF(A563="","",IF(AA563="Avoir",-1,1)*ROUND(AJ563-IF(AR563="",0,INDEX(fa_htb,AR563)),2))</f>
        <v/>
      </c>
      <c r="R563" s="65" t="str">
        <f>IF(A563="","",IF(AA563="Avoir",-1,1)*ROUND(AQ563-IF(AR563="",0,INDEX(fa_tvab,AR563)),2))</f>
        <v/>
      </c>
      <c r="S563" s="65" t="str">
        <f>IF(A563="","",Q563+R563)</f>
        <v/>
      </c>
      <c r="T563" s="65" t="str">
        <f>IF(AR563="","",INDEX(fa_htb,AR563)+INDEX(fa_tvab,AR563))</f>
        <v/>
      </c>
      <c r="U563" s="65" t="str">
        <f>IF(A563="","",SUMIF(pa_inv,A563,pa_amt))</f>
        <v/>
      </c>
      <c r="V563" s="65" t="str">
        <f>IF(OR(A563="",AA563="Avoir"),"",-SUMIFS(fa_ttc,fa_avof,A563,fa_type,"Avoir"))</f>
        <v/>
      </c>
      <c r="W563" s="65" t="str">
        <f>IF(OR(A563="",AA563="Avoir"),"",ROUND(S563-U563-V563,2))</f>
        <v/>
      </c>
      <c r="X563" s="66" t="str">
        <f>IF(W563="","",IF(AND(W563&gt;0,p_asof&gt;P563),p_asof-P563,""))</f>
        <v/>
      </c>
      <c r="Y563" s="59" t="str">
        <f>IF(A563="","",IF(AA563="Avoir","Avoir",IF(W563&lt;0,"Trop-perçu",IF(W563=0,"Soldée",IF(p_asof&gt;P563,"En retard",IF(U563+V563&gt;0,"Partielle","À échoir"))))))</f>
        <v/>
      </c>
      <c r="Z563" s="59" t="str">
        <f>IF(NOT(COUNTA(B563:D563,F563:O563)&gt;0),"",IF(C563="","Date manquante",IF(NOT(ISNUMBER(C563)),"Date invalide",IF(D563="","Client manquant",IF(ISNA(MATCH(D563,cli_code,0)),"Client inconnu",IF(AC563&lt;SUMPRODUCT(MAX(($AB$6:AB562=AB563)*$AC$6:AC562)),"Date antérieure à la facture précédente",IF(AND(F563&lt;&gt;"",ISNA(MATCH(F563,dv_num,0))),"Devis inconnu",IF(AND(F563&lt;&gt;"",IFERROR(INDEX(dv_client,MATCH(F563,dv_num,0)),D563)&lt;&gt;D563),"Client différent de celui du devis",IF(AG563="","Aucune ligne : saisissez des lignes ou un devis",IF(AND(AI563&lt;&gt;"",COUNTIF($AI$6:AI563,AI563)&gt;1),"Devis déjà repris par une autre facture",IF(AND(AA563="Avoir",M563=""),"Avoir : indiquez la facture d'origine",IF(AND(AA563="Avoir",ISNA(MATCH(M563,fa_num,0))),"Facture d'origine inconnue",IF(AND(AA563&lt;&gt;"Avoir",M563&lt;&gt;""),"« Avoir sur facture » : réservé aux avoirs",IF(AND(L563&lt;&gt;"",AA563&lt;&gt;"Facture"),"Acompte à déduire : réservé aux factures",IF(AND(L563&lt;&gt;"",ISNA(MATCH(L563,fa_num,0))),"Facture d'acompte inconnue",IF(AND(L563&lt;&gt;"",IFERROR(INDEX(fa_type,MATCH(L563,fa_num,0)),"")&lt;&gt;"Facture d'acompte"),"Le n° à déduire n'est pas une facture d'acompte",IF(AND(L563&lt;&gt;"",COUNTIF($L$6:L563,L563)&gt;1),"Acompte déjà déduit sur une autre facture",IF(AND(L563&lt;&gt;"",IFERROR(INDEX(fa_client,MATCH(L563,fa_num,0)),D563)&lt;&gt;D563),"Acompte d'un autre client",IF(AND(AR563&lt;&gt;"",N(Q563)&lt;0),"Acompte supérieur au total de la facture",IF(IF(AG563="Facture",COUNTIFS(fl_doc,A563,fl_check,"&lt;&gt;OK"),IF(AG563="Devis",COUNTIFS(dl_doc,F563,dl_check,"&lt;&gt;OK"),0))&gt;0,"Ligne(s) à corriger",IF(AND(W563&lt;&gt;"",N(W563)&lt;0),"Trop-perçu : vérifiez paiements et avoirs","OK")))))))))))))))))))))</f>
        <v/>
      </c>
      <c r="AA563" s="62" t="str">
        <f>IF(COUNTA(B563:D563,F563:O563)&gt;0,IF(B563="","Facture",B563),"")</f>
        <v/>
      </c>
      <c r="AB563" s="62" t="str">
        <f>IF(AA563="","",IF(AA563="Avoir",p_pav,IF(AA563="Facture d'acompte",p_pac,p_pfa)))</f>
        <v/>
      </c>
      <c r="AC563" s="62">
        <f>IF(ISNUMBER(C563),C563,0)</f>
        <v>0.0</v>
      </c>
      <c r="AD563" s="62" t="str">
        <f>IF(OR(AA563="",AC563=0),"",YEAR(AC563))</f>
        <v/>
      </c>
      <c r="AE563" s="62" t="str">
        <f>IF(AD563="","",COUNTIFS($AB$6:AB563,AB563,$AD$6:AD563,AD563))</f>
        <v/>
      </c>
      <c r="AF563" s="62">
        <f>IF(A563="",0,COUNTIF(fl_doc,A563))</f>
        <v>0.0</v>
      </c>
      <c r="AG563" s="62" t="str">
        <f>IF(A563="","",IF(AF563&gt;0,"Facture",IF(AND(F563&lt;&gt;"",AA563="Facture",ISNUMBER(MATCH(F563,dv_num,0))),"Devis","")))</f>
        <v/>
      </c>
      <c r="AH563" s="62" t="str">
        <f>IF(AND(A563&lt;&gt;"",F563&lt;&gt;"",AA563&lt;&gt;"Avoir"),F563,"")</f>
        <v/>
      </c>
      <c r="AI563" s="62" t="str">
        <f>IF(AG563="Devis",F563,"")</f>
        <v/>
      </c>
      <c r="AJ563" s="62">
        <f>IF(AG563="Facture",SUMIF(fl_doc,A563,fl_ht),IF(AG563="Devis",SUMIF(dl_doc,F563,dl_ht),0))</f>
        <v>0.0</v>
      </c>
      <c r="AK563" s="62">
        <f>IF(OR(AG563="",INDEX(p_rates,1)=""),0,IF(AG563="Facture",SUMIFS(fl_ht,fl_doc,A563,fl_rate,INDEX(p_rates,1)),SUMIFS(dl_ht,dl_doc,F563,dl_rate,INDEX(p_rates,1))))</f>
        <v>0.0</v>
      </c>
      <c r="AL563" s="62">
        <f>IF(OR(AG563="",INDEX(p_rates,2)=""),0,IF(AG563="Facture",SUMIFS(fl_ht,fl_doc,A563,fl_rate,INDEX(p_rates,2)),SUMIFS(dl_ht,dl_doc,F563,dl_rate,INDEX(p_rates,2))))</f>
        <v>0.0</v>
      </c>
      <c r="AM563" s="62">
        <f>IF(OR(AG563="",INDEX(p_rates,3)=""),0,IF(AG563="Facture",SUMIFS(fl_ht,fl_doc,A563,fl_rate,INDEX(p_rates,3)),SUMIFS(dl_ht,dl_doc,F563,dl_rate,INDEX(p_rates,3))))</f>
        <v>0.0</v>
      </c>
      <c r="AN563" s="62">
        <f>IF(OR(AG563="",INDEX(p_rates,4)=""),0,IF(AG563="Facture",SUMIFS(fl_ht,fl_doc,A563,fl_rate,INDEX(p_rates,4)),SUMIFS(dl_ht,dl_doc,F563,dl_rate,INDEX(p_rates,4))))</f>
        <v>0.0</v>
      </c>
      <c r="AO563" s="62">
        <f>IF(OR(AG563="",INDEX(p_rates,5)=""),0,IF(AG563="Facture",SUMIFS(fl_ht,fl_doc,A563,fl_rate,INDEX(p_rates,5)),SUMIFS(dl_ht,dl_doc,F563,dl_rate,INDEX(p_rates,5))))</f>
        <v>0.0</v>
      </c>
      <c r="AP563" s="62">
        <f>IF(OR(AG563="",INDEX(p_rates,6)=""),0,IF(AG563="Facture",SUMIFS(fl_ht,fl_doc,A563,fl_rate,INDEX(p_rates,6)),SUMIFS(dl_ht,dl_doc,F563,dl_rate,INDEX(p_rates,6))))</f>
        <v>0.0</v>
      </c>
      <c r="AQ563" s="62">
        <f>ROUND(AK563*N(INDEX(p_rates,1)),2)+ROUND(AL563*N(INDEX(p_rates,2)),2)+ROUND(AM563*N(INDEX(p_rates,3)),2)+ROUND(AN563*N(INDEX(p_rates,4)),2)+ROUND(AO563*N(INDEX(p_rates,5)),2)+ROUND(AP563*N(INDEX(p_rates,6)),2)</f>
        <v>0.0</v>
      </c>
      <c r="AR563" s="62" t="str">
        <f>IF(OR(L563="",AA563&lt;&gt;"Facture"),"",IFERROR(IF(INDEX(fa_type,MATCH(L563,fa_num,0))="Facture d'acompte",MATCH(L563,fa_num,0),""),""))</f>
        <v/>
      </c>
      <c r="AS563" s="62" t="str">
        <f>IF(W563="","",IF(W563&lt;=0,"",IF(p_asof-P563&lt;=0,"Non échu",IF(p_asof-P563&lt;=30,"1-30 j",IF(p_asof-P563&lt;=60,"31-60 j",IF(p_asof-P563&lt;=90,"61-90 j","Plus de 90 j"))))))</f>
        <v/>
      </c>
      <c r="AT563" s="62" t="str">
        <f>IF(AS563="","",p_asof-P563)</f>
        <v/>
      </c>
      <c r="AU563" s="62" t="str">
        <f>IF(AT563="","",COUNTIF($AT$6:$AT$805,"&gt;"&amp;AT563)+COUNTIF($AT$6:AT563,AT563))</f>
        <v/>
      </c>
    </row>
    <row r="564">
      <c r="A564" s="59" t="str">
        <f>IF(AE564="","",AB564&amp;"-"&amp;AD564&amp;"-"&amp;RIGHT("000"&amp;AE564,4))</f>
        <v/>
      </c>
      <c r="B564" s="60" t="n"/>
      <c r="C564" s="61" t="n"/>
      <c r="D564" s="60" t="n"/>
      <c r="E564" s="62" t="str">
        <f>IF(D564="","",IFERROR(INDEX(cli_name,MATCH(D564,cli_code,0))&amp;"","Client inconnu"))</f>
        <v/>
      </c>
      <c r="F564" s="60" t="n"/>
      <c r="G564" s="63" t="n"/>
      <c r="H564" s="61" t="n"/>
      <c r="I564" s="63" t="n"/>
      <c r="J564" s="60" t="n"/>
      <c r="K564" s="61" t="n"/>
      <c r="L564" s="60" t="n"/>
      <c r="M564" s="60" t="n"/>
      <c r="N564" s="60" t="n"/>
      <c r="O564" s="61" t="n"/>
      <c r="P564" s="64" t="str">
        <f>IF(A564="","",IF(AA564="Avoir",AC564,IF(ISNUMBER(K564),K564,AC564+IF(D564="",N(p_delay),IFERROR(IF(ISNUMBER(INDEX(cli_delay,MATCH(D564,cli_code,0))),INDEX(cli_delay,MATCH(D564,cli_code,0)),N(p_delay)),N(p_delay))))))</f>
        <v/>
      </c>
      <c r="Q564" s="65" t="str">
        <f>IF(A564="","",IF(AA564="Avoir",-1,1)*ROUND(AJ564-IF(AR564="",0,INDEX(fa_htb,AR564)),2))</f>
        <v/>
      </c>
      <c r="R564" s="65" t="str">
        <f>IF(A564="","",IF(AA564="Avoir",-1,1)*ROUND(AQ564-IF(AR564="",0,INDEX(fa_tvab,AR564)),2))</f>
        <v/>
      </c>
      <c r="S564" s="65" t="str">
        <f>IF(A564="","",Q564+R564)</f>
        <v/>
      </c>
      <c r="T564" s="65" t="str">
        <f>IF(AR564="","",INDEX(fa_htb,AR564)+INDEX(fa_tvab,AR564))</f>
        <v/>
      </c>
      <c r="U564" s="65" t="str">
        <f>IF(A564="","",SUMIF(pa_inv,A564,pa_amt))</f>
        <v/>
      </c>
      <c r="V564" s="65" t="str">
        <f>IF(OR(A564="",AA564="Avoir"),"",-SUMIFS(fa_ttc,fa_avof,A564,fa_type,"Avoir"))</f>
        <v/>
      </c>
      <c r="W564" s="65" t="str">
        <f>IF(OR(A564="",AA564="Avoir"),"",ROUND(S564-U564-V564,2))</f>
        <v/>
      </c>
      <c r="X564" s="66" t="str">
        <f>IF(W564="","",IF(AND(W564&gt;0,p_asof&gt;P564),p_asof-P564,""))</f>
        <v/>
      </c>
      <c r="Y564" s="59" t="str">
        <f>IF(A564="","",IF(AA564="Avoir","Avoir",IF(W564&lt;0,"Trop-perçu",IF(W564=0,"Soldée",IF(p_asof&gt;P564,"En retard",IF(U564+V564&gt;0,"Partielle","À échoir"))))))</f>
        <v/>
      </c>
      <c r="Z564" s="59" t="str">
        <f>IF(NOT(COUNTA(B564:D564,F564:O564)&gt;0),"",IF(C564="","Date manquante",IF(NOT(ISNUMBER(C564)),"Date invalide",IF(D564="","Client manquant",IF(ISNA(MATCH(D564,cli_code,0)),"Client inconnu",IF(AC564&lt;SUMPRODUCT(MAX(($AB$6:AB563=AB564)*$AC$6:AC563)),"Date antérieure à la facture précédente",IF(AND(F564&lt;&gt;"",ISNA(MATCH(F564,dv_num,0))),"Devis inconnu",IF(AND(F564&lt;&gt;"",IFERROR(INDEX(dv_client,MATCH(F564,dv_num,0)),D564)&lt;&gt;D564),"Client différent de celui du devis",IF(AG564="","Aucune ligne : saisissez des lignes ou un devis",IF(AND(AI564&lt;&gt;"",COUNTIF($AI$6:AI564,AI564)&gt;1),"Devis déjà repris par une autre facture",IF(AND(AA564="Avoir",M564=""),"Avoir : indiquez la facture d'origine",IF(AND(AA564="Avoir",ISNA(MATCH(M564,fa_num,0))),"Facture d'origine inconnue",IF(AND(AA564&lt;&gt;"Avoir",M564&lt;&gt;""),"« Avoir sur facture » : réservé aux avoirs",IF(AND(L564&lt;&gt;"",AA564&lt;&gt;"Facture"),"Acompte à déduire : réservé aux factures",IF(AND(L564&lt;&gt;"",ISNA(MATCH(L564,fa_num,0))),"Facture d'acompte inconnue",IF(AND(L564&lt;&gt;"",IFERROR(INDEX(fa_type,MATCH(L564,fa_num,0)),"")&lt;&gt;"Facture d'acompte"),"Le n° à déduire n'est pas une facture d'acompte",IF(AND(L564&lt;&gt;"",COUNTIF($L$6:L564,L564)&gt;1),"Acompte déjà déduit sur une autre facture",IF(AND(L564&lt;&gt;"",IFERROR(INDEX(fa_client,MATCH(L564,fa_num,0)),D564)&lt;&gt;D564),"Acompte d'un autre client",IF(AND(AR564&lt;&gt;"",N(Q564)&lt;0),"Acompte supérieur au total de la facture",IF(IF(AG564="Facture",COUNTIFS(fl_doc,A564,fl_check,"&lt;&gt;OK"),IF(AG564="Devis",COUNTIFS(dl_doc,F564,dl_check,"&lt;&gt;OK"),0))&gt;0,"Ligne(s) à corriger",IF(AND(W564&lt;&gt;"",N(W564)&lt;0),"Trop-perçu : vérifiez paiements et avoirs","OK")))))))))))))))))))))</f>
        <v/>
      </c>
      <c r="AA564" s="62" t="str">
        <f>IF(COUNTA(B564:D564,F564:O564)&gt;0,IF(B564="","Facture",B564),"")</f>
        <v/>
      </c>
      <c r="AB564" s="62" t="str">
        <f>IF(AA564="","",IF(AA564="Avoir",p_pav,IF(AA564="Facture d'acompte",p_pac,p_pfa)))</f>
        <v/>
      </c>
      <c r="AC564" s="62">
        <f>IF(ISNUMBER(C564),C564,0)</f>
        <v>0.0</v>
      </c>
      <c r="AD564" s="62" t="str">
        <f>IF(OR(AA564="",AC564=0),"",YEAR(AC564))</f>
        <v/>
      </c>
      <c r="AE564" s="62" t="str">
        <f>IF(AD564="","",COUNTIFS($AB$6:AB564,AB564,$AD$6:AD564,AD564))</f>
        <v/>
      </c>
      <c r="AF564" s="62">
        <f>IF(A564="",0,COUNTIF(fl_doc,A564))</f>
        <v>0.0</v>
      </c>
      <c r="AG564" s="62" t="str">
        <f>IF(A564="","",IF(AF564&gt;0,"Facture",IF(AND(F564&lt;&gt;"",AA564="Facture",ISNUMBER(MATCH(F564,dv_num,0))),"Devis","")))</f>
        <v/>
      </c>
      <c r="AH564" s="62" t="str">
        <f>IF(AND(A564&lt;&gt;"",F564&lt;&gt;"",AA564&lt;&gt;"Avoir"),F564,"")</f>
        <v/>
      </c>
      <c r="AI564" s="62" t="str">
        <f>IF(AG564="Devis",F564,"")</f>
        <v/>
      </c>
      <c r="AJ564" s="62">
        <f>IF(AG564="Facture",SUMIF(fl_doc,A564,fl_ht),IF(AG564="Devis",SUMIF(dl_doc,F564,dl_ht),0))</f>
        <v>0.0</v>
      </c>
      <c r="AK564" s="62">
        <f>IF(OR(AG564="",INDEX(p_rates,1)=""),0,IF(AG564="Facture",SUMIFS(fl_ht,fl_doc,A564,fl_rate,INDEX(p_rates,1)),SUMIFS(dl_ht,dl_doc,F564,dl_rate,INDEX(p_rates,1))))</f>
        <v>0.0</v>
      </c>
      <c r="AL564" s="62">
        <f>IF(OR(AG564="",INDEX(p_rates,2)=""),0,IF(AG564="Facture",SUMIFS(fl_ht,fl_doc,A564,fl_rate,INDEX(p_rates,2)),SUMIFS(dl_ht,dl_doc,F564,dl_rate,INDEX(p_rates,2))))</f>
        <v>0.0</v>
      </c>
      <c r="AM564" s="62">
        <f>IF(OR(AG564="",INDEX(p_rates,3)=""),0,IF(AG564="Facture",SUMIFS(fl_ht,fl_doc,A564,fl_rate,INDEX(p_rates,3)),SUMIFS(dl_ht,dl_doc,F564,dl_rate,INDEX(p_rates,3))))</f>
        <v>0.0</v>
      </c>
      <c r="AN564" s="62">
        <f>IF(OR(AG564="",INDEX(p_rates,4)=""),0,IF(AG564="Facture",SUMIFS(fl_ht,fl_doc,A564,fl_rate,INDEX(p_rates,4)),SUMIFS(dl_ht,dl_doc,F564,dl_rate,INDEX(p_rates,4))))</f>
        <v>0.0</v>
      </c>
      <c r="AO564" s="62">
        <f>IF(OR(AG564="",INDEX(p_rates,5)=""),0,IF(AG564="Facture",SUMIFS(fl_ht,fl_doc,A564,fl_rate,INDEX(p_rates,5)),SUMIFS(dl_ht,dl_doc,F564,dl_rate,INDEX(p_rates,5))))</f>
        <v>0.0</v>
      </c>
      <c r="AP564" s="62">
        <f>IF(OR(AG564="",INDEX(p_rates,6)=""),0,IF(AG564="Facture",SUMIFS(fl_ht,fl_doc,A564,fl_rate,INDEX(p_rates,6)),SUMIFS(dl_ht,dl_doc,F564,dl_rate,INDEX(p_rates,6))))</f>
        <v>0.0</v>
      </c>
      <c r="AQ564" s="62">
        <f>ROUND(AK564*N(INDEX(p_rates,1)),2)+ROUND(AL564*N(INDEX(p_rates,2)),2)+ROUND(AM564*N(INDEX(p_rates,3)),2)+ROUND(AN564*N(INDEX(p_rates,4)),2)+ROUND(AO564*N(INDEX(p_rates,5)),2)+ROUND(AP564*N(INDEX(p_rates,6)),2)</f>
        <v>0.0</v>
      </c>
      <c r="AR564" s="62" t="str">
        <f>IF(OR(L564="",AA564&lt;&gt;"Facture"),"",IFERROR(IF(INDEX(fa_type,MATCH(L564,fa_num,0))="Facture d'acompte",MATCH(L564,fa_num,0),""),""))</f>
        <v/>
      </c>
      <c r="AS564" s="62" t="str">
        <f>IF(W564="","",IF(W564&lt;=0,"",IF(p_asof-P564&lt;=0,"Non échu",IF(p_asof-P564&lt;=30,"1-30 j",IF(p_asof-P564&lt;=60,"31-60 j",IF(p_asof-P564&lt;=90,"61-90 j","Plus de 90 j"))))))</f>
        <v/>
      </c>
      <c r="AT564" s="62" t="str">
        <f>IF(AS564="","",p_asof-P564)</f>
        <v/>
      </c>
      <c r="AU564" s="62" t="str">
        <f>IF(AT564="","",COUNTIF($AT$6:$AT$805,"&gt;"&amp;AT564)+COUNTIF($AT$6:AT564,AT564))</f>
        <v/>
      </c>
    </row>
    <row r="565">
      <c r="A565" s="59" t="str">
        <f>IF(AE565="","",AB565&amp;"-"&amp;AD565&amp;"-"&amp;RIGHT("000"&amp;AE565,4))</f>
        <v/>
      </c>
      <c r="B565" s="60" t="n"/>
      <c r="C565" s="61" t="n"/>
      <c r="D565" s="60" t="n"/>
      <c r="E565" s="62" t="str">
        <f>IF(D565="","",IFERROR(INDEX(cli_name,MATCH(D565,cli_code,0))&amp;"","Client inconnu"))</f>
        <v/>
      </c>
      <c r="F565" s="60" t="n"/>
      <c r="G565" s="63" t="n"/>
      <c r="H565" s="61" t="n"/>
      <c r="I565" s="63" t="n"/>
      <c r="J565" s="60" t="n"/>
      <c r="K565" s="61" t="n"/>
      <c r="L565" s="60" t="n"/>
      <c r="M565" s="60" t="n"/>
      <c r="N565" s="60" t="n"/>
      <c r="O565" s="61" t="n"/>
      <c r="P565" s="64" t="str">
        <f>IF(A565="","",IF(AA565="Avoir",AC565,IF(ISNUMBER(K565),K565,AC565+IF(D565="",N(p_delay),IFERROR(IF(ISNUMBER(INDEX(cli_delay,MATCH(D565,cli_code,0))),INDEX(cli_delay,MATCH(D565,cli_code,0)),N(p_delay)),N(p_delay))))))</f>
        <v/>
      </c>
      <c r="Q565" s="65" t="str">
        <f>IF(A565="","",IF(AA565="Avoir",-1,1)*ROUND(AJ565-IF(AR565="",0,INDEX(fa_htb,AR565)),2))</f>
        <v/>
      </c>
      <c r="R565" s="65" t="str">
        <f>IF(A565="","",IF(AA565="Avoir",-1,1)*ROUND(AQ565-IF(AR565="",0,INDEX(fa_tvab,AR565)),2))</f>
        <v/>
      </c>
      <c r="S565" s="65" t="str">
        <f>IF(A565="","",Q565+R565)</f>
        <v/>
      </c>
      <c r="T565" s="65" t="str">
        <f>IF(AR565="","",INDEX(fa_htb,AR565)+INDEX(fa_tvab,AR565))</f>
        <v/>
      </c>
      <c r="U565" s="65" t="str">
        <f>IF(A565="","",SUMIF(pa_inv,A565,pa_amt))</f>
        <v/>
      </c>
      <c r="V565" s="65" t="str">
        <f>IF(OR(A565="",AA565="Avoir"),"",-SUMIFS(fa_ttc,fa_avof,A565,fa_type,"Avoir"))</f>
        <v/>
      </c>
      <c r="W565" s="65" t="str">
        <f>IF(OR(A565="",AA565="Avoir"),"",ROUND(S565-U565-V565,2))</f>
        <v/>
      </c>
      <c r="X565" s="66" t="str">
        <f>IF(W565="","",IF(AND(W565&gt;0,p_asof&gt;P565),p_asof-P565,""))</f>
        <v/>
      </c>
      <c r="Y565" s="59" t="str">
        <f>IF(A565="","",IF(AA565="Avoir","Avoir",IF(W565&lt;0,"Trop-perçu",IF(W565=0,"Soldée",IF(p_asof&gt;P565,"En retard",IF(U565+V565&gt;0,"Partielle","À échoir"))))))</f>
        <v/>
      </c>
      <c r="Z565" s="59" t="str">
        <f>IF(NOT(COUNTA(B565:D565,F565:O565)&gt;0),"",IF(C565="","Date manquante",IF(NOT(ISNUMBER(C565)),"Date invalide",IF(D565="","Client manquant",IF(ISNA(MATCH(D565,cli_code,0)),"Client inconnu",IF(AC565&lt;SUMPRODUCT(MAX(($AB$6:AB564=AB565)*$AC$6:AC564)),"Date antérieure à la facture précédente",IF(AND(F565&lt;&gt;"",ISNA(MATCH(F565,dv_num,0))),"Devis inconnu",IF(AND(F565&lt;&gt;"",IFERROR(INDEX(dv_client,MATCH(F565,dv_num,0)),D565)&lt;&gt;D565),"Client différent de celui du devis",IF(AG565="","Aucune ligne : saisissez des lignes ou un devis",IF(AND(AI565&lt;&gt;"",COUNTIF($AI$6:AI565,AI565)&gt;1),"Devis déjà repris par une autre facture",IF(AND(AA565="Avoir",M565=""),"Avoir : indiquez la facture d'origine",IF(AND(AA565="Avoir",ISNA(MATCH(M565,fa_num,0))),"Facture d'origine inconnue",IF(AND(AA565&lt;&gt;"Avoir",M565&lt;&gt;""),"« Avoir sur facture » : réservé aux avoirs",IF(AND(L565&lt;&gt;"",AA565&lt;&gt;"Facture"),"Acompte à déduire : réservé aux factures",IF(AND(L565&lt;&gt;"",ISNA(MATCH(L565,fa_num,0))),"Facture d'acompte inconnue",IF(AND(L565&lt;&gt;"",IFERROR(INDEX(fa_type,MATCH(L565,fa_num,0)),"")&lt;&gt;"Facture d'acompte"),"Le n° à déduire n'est pas une facture d'acompte",IF(AND(L565&lt;&gt;"",COUNTIF($L$6:L565,L565)&gt;1),"Acompte déjà déduit sur une autre facture",IF(AND(L565&lt;&gt;"",IFERROR(INDEX(fa_client,MATCH(L565,fa_num,0)),D565)&lt;&gt;D565),"Acompte d'un autre client",IF(AND(AR565&lt;&gt;"",N(Q565)&lt;0),"Acompte supérieur au total de la facture",IF(IF(AG565="Facture",COUNTIFS(fl_doc,A565,fl_check,"&lt;&gt;OK"),IF(AG565="Devis",COUNTIFS(dl_doc,F565,dl_check,"&lt;&gt;OK"),0))&gt;0,"Ligne(s) à corriger",IF(AND(W565&lt;&gt;"",N(W565)&lt;0),"Trop-perçu : vérifiez paiements et avoirs","OK")))))))))))))))))))))</f>
        <v/>
      </c>
      <c r="AA565" s="62" t="str">
        <f>IF(COUNTA(B565:D565,F565:O565)&gt;0,IF(B565="","Facture",B565),"")</f>
        <v/>
      </c>
      <c r="AB565" s="62" t="str">
        <f>IF(AA565="","",IF(AA565="Avoir",p_pav,IF(AA565="Facture d'acompte",p_pac,p_pfa)))</f>
        <v/>
      </c>
      <c r="AC565" s="62">
        <f>IF(ISNUMBER(C565),C565,0)</f>
        <v>0.0</v>
      </c>
      <c r="AD565" s="62" t="str">
        <f>IF(OR(AA565="",AC565=0),"",YEAR(AC565))</f>
        <v/>
      </c>
      <c r="AE565" s="62" t="str">
        <f>IF(AD565="","",COUNTIFS($AB$6:AB565,AB565,$AD$6:AD565,AD565))</f>
        <v/>
      </c>
      <c r="AF565" s="62">
        <f>IF(A565="",0,COUNTIF(fl_doc,A565))</f>
        <v>0.0</v>
      </c>
      <c r="AG565" s="62" t="str">
        <f>IF(A565="","",IF(AF565&gt;0,"Facture",IF(AND(F565&lt;&gt;"",AA565="Facture",ISNUMBER(MATCH(F565,dv_num,0))),"Devis","")))</f>
        <v/>
      </c>
      <c r="AH565" s="62" t="str">
        <f>IF(AND(A565&lt;&gt;"",F565&lt;&gt;"",AA565&lt;&gt;"Avoir"),F565,"")</f>
        <v/>
      </c>
      <c r="AI565" s="62" t="str">
        <f>IF(AG565="Devis",F565,"")</f>
        <v/>
      </c>
      <c r="AJ565" s="62">
        <f>IF(AG565="Facture",SUMIF(fl_doc,A565,fl_ht),IF(AG565="Devis",SUMIF(dl_doc,F565,dl_ht),0))</f>
        <v>0.0</v>
      </c>
      <c r="AK565" s="62">
        <f>IF(OR(AG565="",INDEX(p_rates,1)=""),0,IF(AG565="Facture",SUMIFS(fl_ht,fl_doc,A565,fl_rate,INDEX(p_rates,1)),SUMIFS(dl_ht,dl_doc,F565,dl_rate,INDEX(p_rates,1))))</f>
        <v>0.0</v>
      </c>
      <c r="AL565" s="62">
        <f>IF(OR(AG565="",INDEX(p_rates,2)=""),0,IF(AG565="Facture",SUMIFS(fl_ht,fl_doc,A565,fl_rate,INDEX(p_rates,2)),SUMIFS(dl_ht,dl_doc,F565,dl_rate,INDEX(p_rates,2))))</f>
        <v>0.0</v>
      </c>
      <c r="AM565" s="62">
        <f>IF(OR(AG565="",INDEX(p_rates,3)=""),0,IF(AG565="Facture",SUMIFS(fl_ht,fl_doc,A565,fl_rate,INDEX(p_rates,3)),SUMIFS(dl_ht,dl_doc,F565,dl_rate,INDEX(p_rates,3))))</f>
        <v>0.0</v>
      </c>
      <c r="AN565" s="62">
        <f>IF(OR(AG565="",INDEX(p_rates,4)=""),0,IF(AG565="Facture",SUMIFS(fl_ht,fl_doc,A565,fl_rate,INDEX(p_rates,4)),SUMIFS(dl_ht,dl_doc,F565,dl_rate,INDEX(p_rates,4))))</f>
        <v>0.0</v>
      </c>
      <c r="AO565" s="62">
        <f>IF(OR(AG565="",INDEX(p_rates,5)=""),0,IF(AG565="Facture",SUMIFS(fl_ht,fl_doc,A565,fl_rate,INDEX(p_rates,5)),SUMIFS(dl_ht,dl_doc,F565,dl_rate,INDEX(p_rates,5))))</f>
        <v>0.0</v>
      </c>
      <c r="AP565" s="62">
        <f>IF(OR(AG565="",INDEX(p_rates,6)=""),0,IF(AG565="Facture",SUMIFS(fl_ht,fl_doc,A565,fl_rate,INDEX(p_rates,6)),SUMIFS(dl_ht,dl_doc,F565,dl_rate,INDEX(p_rates,6))))</f>
        <v>0.0</v>
      </c>
      <c r="AQ565" s="62">
        <f>ROUND(AK565*N(INDEX(p_rates,1)),2)+ROUND(AL565*N(INDEX(p_rates,2)),2)+ROUND(AM565*N(INDEX(p_rates,3)),2)+ROUND(AN565*N(INDEX(p_rates,4)),2)+ROUND(AO565*N(INDEX(p_rates,5)),2)+ROUND(AP565*N(INDEX(p_rates,6)),2)</f>
        <v>0.0</v>
      </c>
      <c r="AR565" s="62" t="str">
        <f>IF(OR(L565="",AA565&lt;&gt;"Facture"),"",IFERROR(IF(INDEX(fa_type,MATCH(L565,fa_num,0))="Facture d'acompte",MATCH(L565,fa_num,0),""),""))</f>
        <v/>
      </c>
      <c r="AS565" s="62" t="str">
        <f>IF(W565="","",IF(W565&lt;=0,"",IF(p_asof-P565&lt;=0,"Non échu",IF(p_asof-P565&lt;=30,"1-30 j",IF(p_asof-P565&lt;=60,"31-60 j",IF(p_asof-P565&lt;=90,"61-90 j","Plus de 90 j"))))))</f>
        <v/>
      </c>
      <c r="AT565" s="62" t="str">
        <f>IF(AS565="","",p_asof-P565)</f>
        <v/>
      </c>
      <c r="AU565" s="62" t="str">
        <f>IF(AT565="","",COUNTIF($AT$6:$AT$805,"&gt;"&amp;AT565)+COUNTIF($AT$6:AT565,AT565))</f>
        <v/>
      </c>
    </row>
    <row r="566">
      <c r="A566" s="59" t="str">
        <f>IF(AE566="","",AB566&amp;"-"&amp;AD566&amp;"-"&amp;RIGHT("000"&amp;AE566,4))</f>
        <v/>
      </c>
      <c r="B566" s="60" t="n"/>
      <c r="C566" s="61" t="n"/>
      <c r="D566" s="60" t="n"/>
      <c r="E566" s="62" t="str">
        <f>IF(D566="","",IFERROR(INDEX(cli_name,MATCH(D566,cli_code,0))&amp;"","Client inconnu"))</f>
        <v/>
      </c>
      <c r="F566" s="60" t="n"/>
      <c r="G566" s="63" t="n"/>
      <c r="H566" s="61" t="n"/>
      <c r="I566" s="63" t="n"/>
      <c r="J566" s="60" t="n"/>
      <c r="K566" s="61" t="n"/>
      <c r="L566" s="60" t="n"/>
      <c r="M566" s="60" t="n"/>
      <c r="N566" s="60" t="n"/>
      <c r="O566" s="61" t="n"/>
      <c r="P566" s="64" t="str">
        <f>IF(A566="","",IF(AA566="Avoir",AC566,IF(ISNUMBER(K566),K566,AC566+IF(D566="",N(p_delay),IFERROR(IF(ISNUMBER(INDEX(cli_delay,MATCH(D566,cli_code,0))),INDEX(cli_delay,MATCH(D566,cli_code,0)),N(p_delay)),N(p_delay))))))</f>
        <v/>
      </c>
      <c r="Q566" s="65" t="str">
        <f>IF(A566="","",IF(AA566="Avoir",-1,1)*ROUND(AJ566-IF(AR566="",0,INDEX(fa_htb,AR566)),2))</f>
        <v/>
      </c>
      <c r="R566" s="65" t="str">
        <f>IF(A566="","",IF(AA566="Avoir",-1,1)*ROUND(AQ566-IF(AR566="",0,INDEX(fa_tvab,AR566)),2))</f>
        <v/>
      </c>
      <c r="S566" s="65" t="str">
        <f>IF(A566="","",Q566+R566)</f>
        <v/>
      </c>
      <c r="T566" s="65" t="str">
        <f>IF(AR566="","",INDEX(fa_htb,AR566)+INDEX(fa_tvab,AR566))</f>
        <v/>
      </c>
      <c r="U566" s="65" t="str">
        <f>IF(A566="","",SUMIF(pa_inv,A566,pa_amt))</f>
        <v/>
      </c>
      <c r="V566" s="65" t="str">
        <f>IF(OR(A566="",AA566="Avoir"),"",-SUMIFS(fa_ttc,fa_avof,A566,fa_type,"Avoir"))</f>
        <v/>
      </c>
      <c r="W566" s="65" t="str">
        <f>IF(OR(A566="",AA566="Avoir"),"",ROUND(S566-U566-V566,2))</f>
        <v/>
      </c>
      <c r="X566" s="66" t="str">
        <f>IF(W566="","",IF(AND(W566&gt;0,p_asof&gt;P566),p_asof-P566,""))</f>
        <v/>
      </c>
      <c r="Y566" s="59" t="str">
        <f>IF(A566="","",IF(AA566="Avoir","Avoir",IF(W566&lt;0,"Trop-perçu",IF(W566=0,"Soldée",IF(p_asof&gt;P566,"En retard",IF(U566+V566&gt;0,"Partielle","À échoir"))))))</f>
        <v/>
      </c>
      <c r="Z566" s="59" t="str">
        <f>IF(NOT(COUNTA(B566:D566,F566:O566)&gt;0),"",IF(C566="","Date manquante",IF(NOT(ISNUMBER(C566)),"Date invalide",IF(D566="","Client manquant",IF(ISNA(MATCH(D566,cli_code,0)),"Client inconnu",IF(AC566&lt;SUMPRODUCT(MAX(($AB$6:AB565=AB566)*$AC$6:AC565)),"Date antérieure à la facture précédente",IF(AND(F566&lt;&gt;"",ISNA(MATCH(F566,dv_num,0))),"Devis inconnu",IF(AND(F566&lt;&gt;"",IFERROR(INDEX(dv_client,MATCH(F566,dv_num,0)),D566)&lt;&gt;D566),"Client différent de celui du devis",IF(AG566="","Aucune ligne : saisissez des lignes ou un devis",IF(AND(AI566&lt;&gt;"",COUNTIF($AI$6:AI566,AI566)&gt;1),"Devis déjà repris par une autre facture",IF(AND(AA566="Avoir",M566=""),"Avoir : indiquez la facture d'origine",IF(AND(AA566="Avoir",ISNA(MATCH(M566,fa_num,0))),"Facture d'origine inconnue",IF(AND(AA566&lt;&gt;"Avoir",M566&lt;&gt;""),"« Avoir sur facture » : réservé aux avoirs",IF(AND(L566&lt;&gt;"",AA566&lt;&gt;"Facture"),"Acompte à déduire : réservé aux factures",IF(AND(L566&lt;&gt;"",ISNA(MATCH(L566,fa_num,0))),"Facture d'acompte inconnue",IF(AND(L566&lt;&gt;"",IFERROR(INDEX(fa_type,MATCH(L566,fa_num,0)),"")&lt;&gt;"Facture d'acompte"),"Le n° à déduire n'est pas une facture d'acompte",IF(AND(L566&lt;&gt;"",COUNTIF($L$6:L566,L566)&gt;1),"Acompte déjà déduit sur une autre facture",IF(AND(L566&lt;&gt;"",IFERROR(INDEX(fa_client,MATCH(L566,fa_num,0)),D566)&lt;&gt;D566),"Acompte d'un autre client",IF(AND(AR566&lt;&gt;"",N(Q566)&lt;0),"Acompte supérieur au total de la facture",IF(IF(AG566="Facture",COUNTIFS(fl_doc,A566,fl_check,"&lt;&gt;OK"),IF(AG566="Devis",COUNTIFS(dl_doc,F566,dl_check,"&lt;&gt;OK"),0))&gt;0,"Ligne(s) à corriger",IF(AND(W566&lt;&gt;"",N(W566)&lt;0),"Trop-perçu : vérifiez paiements et avoirs","OK")))))))))))))))))))))</f>
        <v/>
      </c>
      <c r="AA566" s="62" t="str">
        <f>IF(COUNTA(B566:D566,F566:O566)&gt;0,IF(B566="","Facture",B566),"")</f>
        <v/>
      </c>
      <c r="AB566" s="62" t="str">
        <f>IF(AA566="","",IF(AA566="Avoir",p_pav,IF(AA566="Facture d'acompte",p_pac,p_pfa)))</f>
        <v/>
      </c>
      <c r="AC566" s="62">
        <f>IF(ISNUMBER(C566),C566,0)</f>
        <v>0.0</v>
      </c>
      <c r="AD566" s="62" t="str">
        <f>IF(OR(AA566="",AC566=0),"",YEAR(AC566))</f>
        <v/>
      </c>
      <c r="AE566" s="62" t="str">
        <f>IF(AD566="","",COUNTIFS($AB$6:AB566,AB566,$AD$6:AD566,AD566))</f>
        <v/>
      </c>
      <c r="AF566" s="62">
        <f>IF(A566="",0,COUNTIF(fl_doc,A566))</f>
        <v>0.0</v>
      </c>
      <c r="AG566" s="62" t="str">
        <f>IF(A566="","",IF(AF566&gt;0,"Facture",IF(AND(F566&lt;&gt;"",AA566="Facture",ISNUMBER(MATCH(F566,dv_num,0))),"Devis","")))</f>
        <v/>
      </c>
      <c r="AH566" s="62" t="str">
        <f>IF(AND(A566&lt;&gt;"",F566&lt;&gt;"",AA566&lt;&gt;"Avoir"),F566,"")</f>
        <v/>
      </c>
      <c r="AI566" s="62" t="str">
        <f>IF(AG566="Devis",F566,"")</f>
        <v/>
      </c>
      <c r="AJ566" s="62">
        <f>IF(AG566="Facture",SUMIF(fl_doc,A566,fl_ht),IF(AG566="Devis",SUMIF(dl_doc,F566,dl_ht),0))</f>
        <v>0.0</v>
      </c>
      <c r="AK566" s="62">
        <f>IF(OR(AG566="",INDEX(p_rates,1)=""),0,IF(AG566="Facture",SUMIFS(fl_ht,fl_doc,A566,fl_rate,INDEX(p_rates,1)),SUMIFS(dl_ht,dl_doc,F566,dl_rate,INDEX(p_rates,1))))</f>
        <v>0.0</v>
      </c>
      <c r="AL566" s="62">
        <f>IF(OR(AG566="",INDEX(p_rates,2)=""),0,IF(AG566="Facture",SUMIFS(fl_ht,fl_doc,A566,fl_rate,INDEX(p_rates,2)),SUMIFS(dl_ht,dl_doc,F566,dl_rate,INDEX(p_rates,2))))</f>
        <v>0.0</v>
      </c>
      <c r="AM566" s="62">
        <f>IF(OR(AG566="",INDEX(p_rates,3)=""),0,IF(AG566="Facture",SUMIFS(fl_ht,fl_doc,A566,fl_rate,INDEX(p_rates,3)),SUMIFS(dl_ht,dl_doc,F566,dl_rate,INDEX(p_rates,3))))</f>
        <v>0.0</v>
      </c>
      <c r="AN566" s="62">
        <f>IF(OR(AG566="",INDEX(p_rates,4)=""),0,IF(AG566="Facture",SUMIFS(fl_ht,fl_doc,A566,fl_rate,INDEX(p_rates,4)),SUMIFS(dl_ht,dl_doc,F566,dl_rate,INDEX(p_rates,4))))</f>
        <v>0.0</v>
      </c>
      <c r="AO566" s="62">
        <f>IF(OR(AG566="",INDEX(p_rates,5)=""),0,IF(AG566="Facture",SUMIFS(fl_ht,fl_doc,A566,fl_rate,INDEX(p_rates,5)),SUMIFS(dl_ht,dl_doc,F566,dl_rate,INDEX(p_rates,5))))</f>
        <v>0.0</v>
      </c>
      <c r="AP566" s="62">
        <f>IF(OR(AG566="",INDEX(p_rates,6)=""),0,IF(AG566="Facture",SUMIFS(fl_ht,fl_doc,A566,fl_rate,INDEX(p_rates,6)),SUMIFS(dl_ht,dl_doc,F566,dl_rate,INDEX(p_rates,6))))</f>
        <v>0.0</v>
      </c>
      <c r="AQ566" s="62">
        <f>ROUND(AK566*N(INDEX(p_rates,1)),2)+ROUND(AL566*N(INDEX(p_rates,2)),2)+ROUND(AM566*N(INDEX(p_rates,3)),2)+ROUND(AN566*N(INDEX(p_rates,4)),2)+ROUND(AO566*N(INDEX(p_rates,5)),2)+ROUND(AP566*N(INDEX(p_rates,6)),2)</f>
        <v>0.0</v>
      </c>
      <c r="AR566" s="62" t="str">
        <f>IF(OR(L566="",AA566&lt;&gt;"Facture"),"",IFERROR(IF(INDEX(fa_type,MATCH(L566,fa_num,0))="Facture d'acompte",MATCH(L566,fa_num,0),""),""))</f>
        <v/>
      </c>
      <c r="AS566" s="62" t="str">
        <f>IF(W566="","",IF(W566&lt;=0,"",IF(p_asof-P566&lt;=0,"Non échu",IF(p_asof-P566&lt;=30,"1-30 j",IF(p_asof-P566&lt;=60,"31-60 j",IF(p_asof-P566&lt;=90,"61-90 j","Plus de 90 j"))))))</f>
        <v/>
      </c>
      <c r="AT566" s="62" t="str">
        <f>IF(AS566="","",p_asof-P566)</f>
        <v/>
      </c>
      <c r="AU566" s="62" t="str">
        <f>IF(AT566="","",COUNTIF($AT$6:$AT$805,"&gt;"&amp;AT566)+COUNTIF($AT$6:AT566,AT566))</f>
        <v/>
      </c>
    </row>
    <row r="567">
      <c r="A567" s="59" t="str">
        <f>IF(AE567="","",AB567&amp;"-"&amp;AD567&amp;"-"&amp;RIGHT("000"&amp;AE567,4))</f>
        <v/>
      </c>
      <c r="B567" s="60" t="n"/>
      <c r="C567" s="61" t="n"/>
      <c r="D567" s="60" t="n"/>
      <c r="E567" s="62" t="str">
        <f>IF(D567="","",IFERROR(INDEX(cli_name,MATCH(D567,cli_code,0))&amp;"","Client inconnu"))</f>
        <v/>
      </c>
      <c r="F567" s="60" t="n"/>
      <c r="G567" s="63" t="n"/>
      <c r="H567" s="61" t="n"/>
      <c r="I567" s="63" t="n"/>
      <c r="J567" s="60" t="n"/>
      <c r="K567" s="61" t="n"/>
      <c r="L567" s="60" t="n"/>
      <c r="M567" s="60" t="n"/>
      <c r="N567" s="60" t="n"/>
      <c r="O567" s="61" t="n"/>
      <c r="P567" s="64" t="str">
        <f>IF(A567="","",IF(AA567="Avoir",AC567,IF(ISNUMBER(K567),K567,AC567+IF(D567="",N(p_delay),IFERROR(IF(ISNUMBER(INDEX(cli_delay,MATCH(D567,cli_code,0))),INDEX(cli_delay,MATCH(D567,cli_code,0)),N(p_delay)),N(p_delay))))))</f>
        <v/>
      </c>
      <c r="Q567" s="65" t="str">
        <f>IF(A567="","",IF(AA567="Avoir",-1,1)*ROUND(AJ567-IF(AR567="",0,INDEX(fa_htb,AR567)),2))</f>
        <v/>
      </c>
      <c r="R567" s="65" t="str">
        <f>IF(A567="","",IF(AA567="Avoir",-1,1)*ROUND(AQ567-IF(AR567="",0,INDEX(fa_tvab,AR567)),2))</f>
        <v/>
      </c>
      <c r="S567" s="65" t="str">
        <f>IF(A567="","",Q567+R567)</f>
        <v/>
      </c>
      <c r="T567" s="65" t="str">
        <f>IF(AR567="","",INDEX(fa_htb,AR567)+INDEX(fa_tvab,AR567))</f>
        <v/>
      </c>
      <c r="U567" s="65" t="str">
        <f>IF(A567="","",SUMIF(pa_inv,A567,pa_amt))</f>
        <v/>
      </c>
      <c r="V567" s="65" t="str">
        <f>IF(OR(A567="",AA567="Avoir"),"",-SUMIFS(fa_ttc,fa_avof,A567,fa_type,"Avoir"))</f>
        <v/>
      </c>
      <c r="W567" s="65" t="str">
        <f>IF(OR(A567="",AA567="Avoir"),"",ROUND(S567-U567-V567,2))</f>
        <v/>
      </c>
      <c r="X567" s="66" t="str">
        <f>IF(W567="","",IF(AND(W567&gt;0,p_asof&gt;P567),p_asof-P567,""))</f>
        <v/>
      </c>
      <c r="Y567" s="59" t="str">
        <f>IF(A567="","",IF(AA567="Avoir","Avoir",IF(W567&lt;0,"Trop-perçu",IF(W567=0,"Soldée",IF(p_asof&gt;P567,"En retard",IF(U567+V567&gt;0,"Partielle","À échoir"))))))</f>
        <v/>
      </c>
      <c r="Z567" s="59" t="str">
        <f>IF(NOT(COUNTA(B567:D567,F567:O567)&gt;0),"",IF(C567="","Date manquante",IF(NOT(ISNUMBER(C567)),"Date invalide",IF(D567="","Client manquant",IF(ISNA(MATCH(D567,cli_code,0)),"Client inconnu",IF(AC567&lt;SUMPRODUCT(MAX(($AB$6:AB566=AB567)*$AC$6:AC566)),"Date antérieure à la facture précédente",IF(AND(F567&lt;&gt;"",ISNA(MATCH(F567,dv_num,0))),"Devis inconnu",IF(AND(F567&lt;&gt;"",IFERROR(INDEX(dv_client,MATCH(F567,dv_num,0)),D567)&lt;&gt;D567),"Client différent de celui du devis",IF(AG567="","Aucune ligne : saisissez des lignes ou un devis",IF(AND(AI567&lt;&gt;"",COUNTIF($AI$6:AI567,AI567)&gt;1),"Devis déjà repris par une autre facture",IF(AND(AA567="Avoir",M567=""),"Avoir : indiquez la facture d'origine",IF(AND(AA567="Avoir",ISNA(MATCH(M567,fa_num,0))),"Facture d'origine inconnue",IF(AND(AA567&lt;&gt;"Avoir",M567&lt;&gt;""),"« Avoir sur facture » : réservé aux avoirs",IF(AND(L567&lt;&gt;"",AA567&lt;&gt;"Facture"),"Acompte à déduire : réservé aux factures",IF(AND(L567&lt;&gt;"",ISNA(MATCH(L567,fa_num,0))),"Facture d'acompte inconnue",IF(AND(L567&lt;&gt;"",IFERROR(INDEX(fa_type,MATCH(L567,fa_num,0)),"")&lt;&gt;"Facture d'acompte"),"Le n° à déduire n'est pas une facture d'acompte",IF(AND(L567&lt;&gt;"",COUNTIF($L$6:L567,L567)&gt;1),"Acompte déjà déduit sur une autre facture",IF(AND(L567&lt;&gt;"",IFERROR(INDEX(fa_client,MATCH(L567,fa_num,0)),D567)&lt;&gt;D567),"Acompte d'un autre client",IF(AND(AR567&lt;&gt;"",N(Q567)&lt;0),"Acompte supérieur au total de la facture",IF(IF(AG567="Facture",COUNTIFS(fl_doc,A567,fl_check,"&lt;&gt;OK"),IF(AG567="Devis",COUNTIFS(dl_doc,F567,dl_check,"&lt;&gt;OK"),0))&gt;0,"Ligne(s) à corriger",IF(AND(W567&lt;&gt;"",N(W567)&lt;0),"Trop-perçu : vérifiez paiements et avoirs","OK")))))))))))))))))))))</f>
        <v/>
      </c>
      <c r="AA567" s="62" t="str">
        <f>IF(COUNTA(B567:D567,F567:O567)&gt;0,IF(B567="","Facture",B567),"")</f>
        <v/>
      </c>
      <c r="AB567" s="62" t="str">
        <f>IF(AA567="","",IF(AA567="Avoir",p_pav,IF(AA567="Facture d'acompte",p_pac,p_pfa)))</f>
        <v/>
      </c>
      <c r="AC567" s="62">
        <f>IF(ISNUMBER(C567),C567,0)</f>
        <v>0.0</v>
      </c>
      <c r="AD567" s="62" t="str">
        <f>IF(OR(AA567="",AC567=0),"",YEAR(AC567))</f>
        <v/>
      </c>
      <c r="AE567" s="62" t="str">
        <f>IF(AD567="","",COUNTIFS($AB$6:AB567,AB567,$AD$6:AD567,AD567))</f>
        <v/>
      </c>
      <c r="AF567" s="62">
        <f>IF(A567="",0,COUNTIF(fl_doc,A567))</f>
        <v>0.0</v>
      </c>
      <c r="AG567" s="62" t="str">
        <f>IF(A567="","",IF(AF567&gt;0,"Facture",IF(AND(F567&lt;&gt;"",AA567="Facture",ISNUMBER(MATCH(F567,dv_num,0))),"Devis","")))</f>
        <v/>
      </c>
      <c r="AH567" s="62" t="str">
        <f>IF(AND(A567&lt;&gt;"",F567&lt;&gt;"",AA567&lt;&gt;"Avoir"),F567,"")</f>
        <v/>
      </c>
      <c r="AI567" s="62" t="str">
        <f>IF(AG567="Devis",F567,"")</f>
        <v/>
      </c>
      <c r="AJ567" s="62">
        <f>IF(AG567="Facture",SUMIF(fl_doc,A567,fl_ht),IF(AG567="Devis",SUMIF(dl_doc,F567,dl_ht),0))</f>
        <v>0.0</v>
      </c>
      <c r="AK567" s="62">
        <f>IF(OR(AG567="",INDEX(p_rates,1)=""),0,IF(AG567="Facture",SUMIFS(fl_ht,fl_doc,A567,fl_rate,INDEX(p_rates,1)),SUMIFS(dl_ht,dl_doc,F567,dl_rate,INDEX(p_rates,1))))</f>
        <v>0.0</v>
      </c>
      <c r="AL567" s="62">
        <f>IF(OR(AG567="",INDEX(p_rates,2)=""),0,IF(AG567="Facture",SUMIFS(fl_ht,fl_doc,A567,fl_rate,INDEX(p_rates,2)),SUMIFS(dl_ht,dl_doc,F567,dl_rate,INDEX(p_rates,2))))</f>
        <v>0.0</v>
      </c>
      <c r="AM567" s="62">
        <f>IF(OR(AG567="",INDEX(p_rates,3)=""),0,IF(AG567="Facture",SUMIFS(fl_ht,fl_doc,A567,fl_rate,INDEX(p_rates,3)),SUMIFS(dl_ht,dl_doc,F567,dl_rate,INDEX(p_rates,3))))</f>
        <v>0.0</v>
      </c>
      <c r="AN567" s="62">
        <f>IF(OR(AG567="",INDEX(p_rates,4)=""),0,IF(AG567="Facture",SUMIFS(fl_ht,fl_doc,A567,fl_rate,INDEX(p_rates,4)),SUMIFS(dl_ht,dl_doc,F567,dl_rate,INDEX(p_rates,4))))</f>
        <v>0.0</v>
      </c>
      <c r="AO567" s="62">
        <f>IF(OR(AG567="",INDEX(p_rates,5)=""),0,IF(AG567="Facture",SUMIFS(fl_ht,fl_doc,A567,fl_rate,INDEX(p_rates,5)),SUMIFS(dl_ht,dl_doc,F567,dl_rate,INDEX(p_rates,5))))</f>
        <v>0.0</v>
      </c>
      <c r="AP567" s="62">
        <f>IF(OR(AG567="",INDEX(p_rates,6)=""),0,IF(AG567="Facture",SUMIFS(fl_ht,fl_doc,A567,fl_rate,INDEX(p_rates,6)),SUMIFS(dl_ht,dl_doc,F567,dl_rate,INDEX(p_rates,6))))</f>
        <v>0.0</v>
      </c>
      <c r="AQ567" s="62">
        <f>ROUND(AK567*N(INDEX(p_rates,1)),2)+ROUND(AL567*N(INDEX(p_rates,2)),2)+ROUND(AM567*N(INDEX(p_rates,3)),2)+ROUND(AN567*N(INDEX(p_rates,4)),2)+ROUND(AO567*N(INDEX(p_rates,5)),2)+ROUND(AP567*N(INDEX(p_rates,6)),2)</f>
        <v>0.0</v>
      </c>
      <c r="AR567" s="62" t="str">
        <f>IF(OR(L567="",AA567&lt;&gt;"Facture"),"",IFERROR(IF(INDEX(fa_type,MATCH(L567,fa_num,0))="Facture d'acompte",MATCH(L567,fa_num,0),""),""))</f>
        <v/>
      </c>
      <c r="AS567" s="62" t="str">
        <f>IF(W567="","",IF(W567&lt;=0,"",IF(p_asof-P567&lt;=0,"Non échu",IF(p_asof-P567&lt;=30,"1-30 j",IF(p_asof-P567&lt;=60,"31-60 j",IF(p_asof-P567&lt;=90,"61-90 j","Plus de 90 j"))))))</f>
        <v/>
      </c>
      <c r="AT567" s="62" t="str">
        <f>IF(AS567="","",p_asof-P567)</f>
        <v/>
      </c>
      <c r="AU567" s="62" t="str">
        <f>IF(AT567="","",COUNTIF($AT$6:$AT$805,"&gt;"&amp;AT567)+COUNTIF($AT$6:AT567,AT567))</f>
        <v/>
      </c>
    </row>
    <row r="568">
      <c r="A568" s="59" t="str">
        <f>IF(AE568="","",AB568&amp;"-"&amp;AD568&amp;"-"&amp;RIGHT("000"&amp;AE568,4))</f>
        <v/>
      </c>
      <c r="B568" s="60" t="n"/>
      <c r="C568" s="61" t="n"/>
      <c r="D568" s="60" t="n"/>
      <c r="E568" s="62" t="str">
        <f>IF(D568="","",IFERROR(INDEX(cli_name,MATCH(D568,cli_code,0))&amp;"","Client inconnu"))</f>
        <v/>
      </c>
      <c r="F568" s="60" t="n"/>
      <c r="G568" s="63" t="n"/>
      <c r="H568" s="61" t="n"/>
      <c r="I568" s="63" t="n"/>
      <c r="J568" s="60" t="n"/>
      <c r="K568" s="61" t="n"/>
      <c r="L568" s="60" t="n"/>
      <c r="M568" s="60" t="n"/>
      <c r="N568" s="60" t="n"/>
      <c r="O568" s="61" t="n"/>
      <c r="P568" s="64" t="str">
        <f>IF(A568="","",IF(AA568="Avoir",AC568,IF(ISNUMBER(K568),K568,AC568+IF(D568="",N(p_delay),IFERROR(IF(ISNUMBER(INDEX(cli_delay,MATCH(D568,cli_code,0))),INDEX(cli_delay,MATCH(D568,cli_code,0)),N(p_delay)),N(p_delay))))))</f>
        <v/>
      </c>
      <c r="Q568" s="65" t="str">
        <f>IF(A568="","",IF(AA568="Avoir",-1,1)*ROUND(AJ568-IF(AR568="",0,INDEX(fa_htb,AR568)),2))</f>
        <v/>
      </c>
      <c r="R568" s="65" t="str">
        <f>IF(A568="","",IF(AA568="Avoir",-1,1)*ROUND(AQ568-IF(AR568="",0,INDEX(fa_tvab,AR568)),2))</f>
        <v/>
      </c>
      <c r="S568" s="65" t="str">
        <f>IF(A568="","",Q568+R568)</f>
        <v/>
      </c>
      <c r="T568" s="65" t="str">
        <f>IF(AR568="","",INDEX(fa_htb,AR568)+INDEX(fa_tvab,AR568))</f>
        <v/>
      </c>
      <c r="U568" s="65" t="str">
        <f>IF(A568="","",SUMIF(pa_inv,A568,pa_amt))</f>
        <v/>
      </c>
      <c r="V568" s="65" t="str">
        <f>IF(OR(A568="",AA568="Avoir"),"",-SUMIFS(fa_ttc,fa_avof,A568,fa_type,"Avoir"))</f>
        <v/>
      </c>
      <c r="W568" s="65" t="str">
        <f>IF(OR(A568="",AA568="Avoir"),"",ROUND(S568-U568-V568,2))</f>
        <v/>
      </c>
      <c r="X568" s="66" t="str">
        <f>IF(W568="","",IF(AND(W568&gt;0,p_asof&gt;P568),p_asof-P568,""))</f>
        <v/>
      </c>
      <c r="Y568" s="59" t="str">
        <f>IF(A568="","",IF(AA568="Avoir","Avoir",IF(W568&lt;0,"Trop-perçu",IF(W568=0,"Soldée",IF(p_asof&gt;P568,"En retard",IF(U568+V568&gt;0,"Partielle","À échoir"))))))</f>
        <v/>
      </c>
      <c r="Z568" s="59" t="str">
        <f>IF(NOT(COUNTA(B568:D568,F568:O568)&gt;0),"",IF(C568="","Date manquante",IF(NOT(ISNUMBER(C568)),"Date invalide",IF(D568="","Client manquant",IF(ISNA(MATCH(D568,cli_code,0)),"Client inconnu",IF(AC568&lt;SUMPRODUCT(MAX(($AB$6:AB567=AB568)*$AC$6:AC567)),"Date antérieure à la facture précédente",IF(AND(F568&lt;&gt;"",ISNA(MATCH(F568,dv_num,0))),"Devis inconnu",IF(AND(F568&lt;&gt;"",IFERROR(INDEX(dv_client,MATCH(F568,dv_num,0)),D568)&lt;&gt;D568),"Client différent de celui du devis",IF(AG568="","Aucune ligne : saisissez des lignes ou un devis",IF(AND(AI568&lt;&gt;"",COUNTIF($AI$6:AI568,AI568)&gt;1),"Devis déjà repris par une autre facture",IF(AND(AA568="Avoir",M568=""),"Avoir : indiquez la facture d'origine",IF(AND(AA568="Avoir",ISNA(MATCH(M568,fa_num,0))),"Facture d'origine inconnue",IF(AND(AA568&lt;&gt;"Avoir",M568&lt;&gt;""),"« Avoir sur facture » : réservé aux avoirs",IF(AND(L568&lt;&gt;"",AA568&lt;&gt;"Facture"),"Acompte à déduire : réservé aux factures",IF(AND(L568&lt;&gt;"",ISNA(MATCH(L568,fa_num,0))),"Facture d'acompte inconnue",IF(AND(L568&lt;&gt;"",IFERROR(INDEX(fa_type,MATCH(L568,fa_num,0)),"")&lt;&gt;"Facture d'acompte"),"Le n° à déduire n'est pas une facture d'acompte",IF(AND(L568&lt;&gt;"",COUNTIF($L$6:L568,L568)&gt;1),"Acompte déjà déduit sur une autre facture",IF(AND(L568&lt;&gt;"",IFERROR(INDEX(fa_client,MATCH(L568,fa_num,0)),D568)&lt;&gt;D568),"Acompte d'un autre client",IF(AND(AR568&lt;&gt;"",N(Q568)&lt;0),"Acompte supérieur au total de la facture",IF(IF(AG568="Facture",COUNTIFS(fl_doc,A568,fl_check,"&lt;&gt;OK"),IF(AG568="Devis",COUNTIFS(dl_doc,F568,dl_check,"&lt;&gt;OK"),0))&gt;0,"Ligne(s) à corriger",IF(AND(W568&lt;&gt;"",N(W568)&lt;0),"Trop-perçu : vérifiez paiements et avoirs","OK")))))))))))))))))))))</f>
        <v/>
      </c>
      <c r="AA568" s="62" t="str">
        <f>IF(COUNTA(B568:D568,F568:O568)&gt;0,IF(B568="","Facture",B568),"")</f>
        <v/>
      </c>
      <c r="AB568" s="62" t="str">
        <f>IF(AA568="","",IF(AA568="Avoir",p_pav,IF(AA568="Facture d'acompte",p_pac,p_pfa)))</f>
        <v/>
      </c>
      <c r="AC568" s="62">
        <f>IF(ISNUMBER(C568),C568,0)</f>
        <v>0.0</v>
      </c>
      <c r="AD568" s="62" t="str">
        <f>IF(OR(AA568="",AC568=0),"",YEAR(AC568))</f>
        <v/>
      </c>
      <c r="AE568" s="62" t="str">
        <f>IF(AD568="","",COUNTIFS($AB$6:AB568,AB568,$AD$6:AD568,AD568))</f>
        <v/>
      </c>
      <c r="AF568" s="62">
        <f>IF(A568="",0,COUNTIF(fl_doc,A568))</f>
        <v>0.0</v>
      </c>
      <c r="AG568" s="62" t="str">
        <f>IF(A568="","",IF(AF568&gt;0,"Facture",IF(AND(F568&lt;&gt;"",AA568="Facture",ISNUMBER(MATCH(F568,dv_num,0))),"Devis","")))</f>
        <v/>
      </c>
      <c r="AH568" s="62" t="str">
        <f>IF(AND(A568&lt;&gt;"",F568&lt;&gt;"",AA568&lt;&gt;"Avoir"),F568,"")</f>
        <v/>
      </c>
      <c r="AI568" s="62" t="str">
        <f>IF(AG568="Devis",F568,"")</f>
        <v/>
      </c>
      <c r="AJ568" s="62">
        <f>IF(AG568="Facture",SUMIF(fl_doc,A568,fl_ht),IF(AG568="Devis",SUMIF(dl_doc,F568,dl_ht),0))</f>
        <v>0.0</v>
      </c>
      <c r="AK568" s="62">
        <f>IF(OR(AG568="",INDEX(p_rates,1)=""),0,IF(AG568="Facture",SUMIFS(fl_ht,fl_doc,A568,fl_rate,INDEX(p_rates,1)),SUMIFS(dl_ht,dl_doc,F568,dl_rate,INDEX(p_rates,1))))</f>
        <v>0.0</v>
      </c>
      <c r="AL568" s="62">
        <f>IF(OR(AG568="",INDEX(p_rates,2)=""),0,IF(AG568="Facture",SUMIFS(fl_ht,fl_doc,A568,fl_rate,INDEX(p_rates,2)),SUMIFS(dl_ht,dl_doc,F568,dl_rate,INDEX(p_rates,2))))</f>
        <v>0.0</v>
      </c>
      <c r="AM568" s="62">
        <f>IF(OR(AG568="",INDEX(p_rates,3)=""),0,IF(AG568="Facture",SUMIFS(fl_ht,fl_doc,A568,fl_rate,INDEX(p_rates,3)),SUMIFS(dl_ht,dl_doc,F568,dl_rate,INDEX(p_rates,3))))</f>
        <v>0.0</v>
      </c>
      <c r="AN568" s="62">
        <f>IF(OR(AG568="",INDEX(p_rates,4)=""),0,IF(AG568="Facture",SUMIFS(fl_ht,fl_doc,A568,fl_rate,INDEX(p_rates,4)),SUMIFS(dl_ht,dl_doc,F568,dl_rate,INDEX(p_rates,4))))</f>
        <v>0.0</v>
      </c>
      <c r="AO568" s="62">
        <f>IF(OR(AG568="",INDEX(p_rates,5)=""),0,IF(AG568="Facture",SUMIFS(fl_ht,fl_doc,A568,fl_rate,INDEX(p_rates,5)),SUMIFS(dl_ht,dl_doc,F568,dl_rate,INDEX(p_rates,5))))</f>
        <v>0.0</v>
      </c>
      <c r="AP568" s="62">
        <f>IF(OR(AG568="",INDEX(p_rates,6)=""),0,IF(AG568="Facture",SUMIFS(fl_ht,fl_doc,A568,fl_rate,INDEX(p_rates,6)),SUMIFS(dl_ht,dl_doc,F568,dl_rate,INDEX(p_rates,6))))</f>
        <v>0.0</v>
      </c>
      <c r="AQ568" s="62">
        <f>ROUND(AK568*N(INDEX(p_rates,1)),2)+ROUND(AL568*N(INDEX(p_rates,2)),2)+ROUND(AM568*N(INDEX(p_rates,3)),2)+ROUND(AN568*N(INDEX(p_rates,4)),2)+ROUND(AO568*N(INDEX(p_rates,5)),2)+ROUND(AP568*N(INDEX(p_rates,6)),2)</f>
        <v>0.0</v>
      </c>
      <c r="AR568" s="62" t="str">
        <f>IF(OR(L568="",AA568&lt;&gt;"Facture"),"",IFERROR(IF(INDEX(fa_type,MATCH(L568,fa_num,0))="Facture d'acompte",MATCH(L568,fa_num,0),""),""))</f>
        <v/>
      </c>
      <c r="AS568" s="62" t="str">
        <f>IF(W568="","",IF(W568&lt;=0,"",IF(p_asof-P568&lt;=0,"Non échu",IF(p_asof-P568&lt;=30,"1-30 j",IF(p_asof-P568&lt;=60,"31-60 j",IF(p_asof-P568&lt;=90,"61-90 j","Plus de 90 j"))))))</f>
        <v/>
      </c>
      <c r="AT568" s="62" t="str">
        <f>IF(AS568="","",p_asof-P568)</f>
        <v/>
      </c>
      <c r="AU568" s="62" t="str">
        <f>IF(AT568="","",COUNTIF($AT$6:$AT$805,"&gt;"&amp;AT568)+COUNTIF($AT$6:AT568,AT568))</f>
        <v/>
      </c>
    </row>
    <row r="569">
      <c r="A569" s="59" t="str">
        <f>IF(AE569="","",AB569&amp;"-"&amp;AD569&amp;"-"&amp;RIGHT("000"&amp;AE569,4))</f>
        <v/>
      </c>
      <c r="B569" s="60" t="n"/>
      <c r="C569" s="61" t="n"/>
      <c r="D569" s="60" t="n"/>
      <c r="E569" s="62" t="str">
        <f>IF(D569="","",IFERROR(INDEX(cli_name,MATCH(D569,cli_code,0))&amp;"","Client inconnu"))</f>
        <v/>
      </c>
      <c r="F569" s="60" t="n"/>
      <c r="G569" s="63" t="n"/>
      <c r="H569" s="61" t="n"/>
      <c r="I569" s="63" t="n"/>
      <c r="J569" s="60" t="n"/>
      <c r="K569" s="61" t="n"/>
      <c r="L569" s="60" t="n"/>
      <c r="M569" s="60" t="n"/>
      <c r="N569" s="60" t="n"/>
      <c r="O569" s="61" t="n"/>
      <c r="P569" s="64" t="str">
        <f>IF(A569="","",IF(AA569="Avoir",AC569,IF(ISNUMBER(K569),K569,AC569+IF(D569="",N(p_delay),IFERROR(IF(ISNUMBER(INDEX(cli_delay,MATCH(D569,cli_code,0))),INDEX(cli_delay,MATCH(D569,cli_code,0)),N(p_delay)),N(p_delay))))))</f>
        <v/>
      </c>
      <c r="Q569" s="65" t="str">
        <f>IF(A569="","",IF(AA569="Avoir",-1,1)*ROUND(AJ569-IF(AR569="",0,INDEX(fa_htb,AR569)),2))</f>
        <v/>
      </c>
      <c r="R569" s="65" t="str">
        <f>IF(A569="","",IF(AA569="Avoir",-1,1)*ROUND(AQ569-IF(AR569="",0,INDEX(fa_tvab,AR569)),2))</f>
        <v/>
      </c>
      <c r="S569" s="65" t="str">
        <f>IF(A569="","",Q569+R569)</f>
        <v/>
      </c>
      <c r="T569" s="65" t="str">
        <f>IF(AR569="","",INDEX(fa_htb,AR569)+INDEX(fa_tvab,AR569))</f>
        <v/>
      </c>
      <c r="U569" s="65" t="str">
        <f>IF(A569="","",SUMIF(pa_inv,A569,pa_amt))</f>
        <v/>
      </c>
      <c r="V569" s="65" t="str">
        <f>IF(OR(A569="",AA569="Avoir"),"",-SUMIFS(fa_ttc,fa_avof,A569,fa_type,"Avoir"))</f>
        <v/>
      </c>
      <c r="W569" s="65" t="str">
        <f>IF(OR(A569="",AA569="Avoir"),"",ROUND(S569-U569-V569,2))</f>
        <v/>
      </c>
      <c r="X569" s="66" t="str">
        <f>IF(W569="","",IF(AND(W569&gt;0,p_asof&gt;P569),p_asof-P569,""))</f>
        <v/>
      </c>
      <c r="Y569" s="59" t="str">
        <f>IF(A569="","",IF(AA569="Avoir","Avoir",IF(W569&lt;0,"Trop-perçu",IF(W569=0,"Soldée",IF(p_asof&gt;P569,"En retard",IF(U569+V569&gt;0,"Partielle","À échoir"))))))</f>
        <v/>
      </c>
      <c r="Z569" s="59" t="str">
        <f>IF(NOT(COUNTA(B569:D569,F569:O569)&gt;0),"",IF(C569="","Date manquante",IF(NOT(ISNUMBER(C569)),"Date invalide",IF(D569="","Client manquant",IF(ISNA(MATCH(D569,cli_code,0)),"Client inconnu",IF(AC569&lt;SUMPRODUCT(MAX(($AB$6:AB568=AB569)*$AC$6:AC568)),"Date antérieure à la facture précédente",IF(AND(F569&lt;&gt;"",ISNA(MATCH(F569,dv_num,0))),"Devis inconnu",IF(AND(F569&lt;&gt;"",IFERROR(INDEX(dv_client,MATCH(F569,dv_num,0)),D569)&lt;&gt;D569),"Client différent de celui du devis",IF(AG569="","Aucune ligne : saisissez des lignes ou un devis",IF(AND(AI569&lt;&gt;"",COUNTIF($AI$6:AI569,AI569)&gt;1),"Devis déjà repris par une autre facture",IF(AND(AA569="Avoir",M569=""),"Avoir : indiquez la facture d'origine",IF(AND(AA569="Avoir",ISNA(MATCH(M569,fa_num,0))),"Facture d'origine inconnue",IF(AND(AA569&lt;&gt;"Avoir",M569&lt;&gt;""),"« Avoir sur facture » : réservé aux avoirs",IF(AND(L569&lt;&gt;"",AA569&lt;&gt;"Facture"),"Acompte à déduire : réservé aux factures",IF(AND(L569&lt;&gt;"",ISNA(MATCH(L569,fa_num,0))),"Facture d'acompte inconnue",IF(AND(L569&lt;&gt;"",IFERROR(INDEX(fa_type,MATCH(L569,fa_num,0)),"")&lt;&gt;"Facture d'acompte"),"Le n° à déduire n'est pas une facture d'acompte",IF(AND(L569&lt;&gt;"",COUNTIF($L$6:L569,L569)&gt;1),"Acompte déjà déduit sur une autre facture",IF(AND(L569&lt;&gt;"",IFERROR(INDEX(fa_client,MATCH(L569,fa_num,0)),D569)&lt;&gt;D569),"Acompte d'un autre client",IF(AND(AR569&lt;&gt;"",N(Q569)&lt;0),"Acompte supérieur au total de la facture",IF(IF(AG569="Facture",COUNTIFS(fl_doc,A569,fl_check,"&lt;&gt;OK"),IF(AG569="Devis",COUNTIFS(dl_doc,F569,dl_check,"&lt;&gt;OK"),0))&gt;0,"Ligne(s) à corriger",IF(AND(W569&lt;&gt;"",N(W569)&lt;0),"Trop-perçu : vérifiez paiements et avoirs","OK")))))))))))))))))))))</f>
        <v/>
      </c>
      <c r="AA569" s="62" t="str">
        <f>IF(COUNTA(B569:D569,F569:O569)&gt;0,IF(B569="","Facture",B569),"")</f>
        <v/>
      </c>
      <c r="AB569" s="62" t="str">
        <f>IF(AA569="","",IF(AA569="Avoir",p_pav,IF(AA569="Facture d'acompte",p_pac,p_pfa)))</f>
        <v/>
      </c>
      <c r="AC569" s="62">
        <f>IF(ISNUMBER(C569),C569,0)</f>
        <v>0.0</v>
      </c>
      <c r="AD569" s="62" t="str">
        <f>IF(OR(AA569="",AC569=0),"",YEAR(AC569))</f>
        <v/>
      </c>
      <c r="AE569" s="62" t="str">
        <f>IF(AD569="","",COUNTIFS($AB$6:AB569,AB569,$AD$6:AD569,AD569))</f>
        <v/>
      </c>
      <c r="AF569" s="62">
        <f>IF(A569="",0,COUNTIF(fl_doc,A569))</f>
        <v>0.0</v>
      </c>
      <c r="AG569" s="62" t="str">
        <f>IF(A569="","",IF(AF569&gt;0,"Facture",IF(AND(F569&lt;&gt;"",AA569="Facture",ISNUMBER(MATCH(F569,dv_num,0))),"Devis","")))</f>
        <v/>
      </c>
      <c r="AH569" s="62" t="str">
        <f>IF(AND(A569&lt;&gt;"",F569&lt;&gt;"",AA569&lt;&gt;"Avoir"),F569,"")</f>
        <v/>
      </c>
      <c r="AI569" s="62" t="str">
        <f>IF(AG569="Devis",F569,"")</f>
        <v/>
      </c>
      <c r="AJ569" s="62">
        <f>IF(AG569="Facture",SUMIF(fl_doc,A569,fl_ht),IF(AG569="Devis",SUMIF(dl_doc,F569,dl_ht),0))</f>
        <v>0.0</v>
      </c>
      <c r="AK569" s="62">
        <f>IF(OR(AG569="",INDEX(p_rates,1)=""),0,IF(AG569="Facture",SUMIFS(fl_ht,fl_doc,A569,fl_rate,INDEX(p_rates,1)),SUMIFS(dl_ht,dl_doc,F569,dl_rate,INDEX(p_rates,1))))</f>
        <v>0.0</v>
      </c>
      <c r="AL569" s="62">
        <f>IF(OR(AG569="",INDEX(p_rates,2)=""),0,IF(AG569="Facture",SUMIFS(fl_ht,fl_doc,A569,fl_rate,INDEX(p_rates,2)),SUMIFS(dl_ht,dl_doc,F569,dl_rate,INDEX(p_rates,2))))</f>
        <v>0.0</v>
      </c>
      <c r="AM569" s="62">
        <f>IF(OR(AG569="",INDEX(p_rates,3)=""),0,IF(AG569="Facture",SUMIFS(fl_ht,fl_doc,A569,fl_rate,INDEX(p_rates,3)),SUMIFS(dl_ht,dl_doc,F569,dl_rate,INDEX(p_rates,3))))</f>
        <v>0.0</v>
      </c>
      <c r="AN569" s="62">
        <f>IF(OR(AG569="",INDEX(p_rates,4)=""),0,IF(AG569="Facture",SUMIFS(fl_ht,fl_doc,A569,fl_rate,INDEX(p_rates,4)),SUMIFS(dl_ht,dl_doc,F569,dl_rate,INDEX(p_rates,4))))</f>
        <v>0.0</v>
      </c>
      <c r="AO569" s="62">
        <f>IF(OR(AG569="",INDEX(p_rates,5)=""),0,IF(AG569="Facture",SUMIFS(fl_ht,fl_doc,A569,fl_rate,INDEX(p_rates,5)),SUMIFS(dl_ht,dl_doc,F569,dl_rate,INDEX(p_rates,5))))</f>
        <v>0.0</v>
      </c>
      <c r="AP569" s="62">
        <f>IF(OR(AG569="",INDEX(p_rates,6)=""),0,IF(AG569="Facture",SUMIFS(fl_ht,fl_doc,A569,fl_rate,INDEX(p_rates,6)),SUMIFS(dl_ht,dl_doc,F569,dl_rate,INDEX(p_rates,6))))</f>
        <v>0.0</v>
      </c>
      <c r="AQ569" s="62">
        <f>ROUND(AK569*N(INDEX(p_rates,1)),2)+ROUND(AL569*N(INDEX(p_rates,2)),2)+ROUND(AM569*N(INDEX(p_rates,3)),2)+ROUND(AN569*N(INDEX(p_rates,4)),2)+ROUND(AO569*N(INDEX(p_rates,5)),2)+ROUND(AP569*N(INDEX(p_rates,6)),2)</f>
        <v>0.0</v>
      </c>
      <c r="AR569" s="62" t="str">
        <f>IF(OR(L569="",AA569&lt;&gt;"Facture"),"",IFERROR(IF(INDEX(fa_type,MATCH(L569,fa_num,0))="Facture d'acompte",MATCH(L569,fa_num,0),""),""))</f>
        <v/>
      </c>
      <c r="AS569" s="62" t="str">
        <f>IF(W569="","",IF(W569&lt;=0,"",IF(p_asof-P569&lt;=0,"Non échu",IF(p_asof-P569&lt;=30,"1-30 j",IF(p_asof-P569&lt;=60,"31-60 j",IF(p_asof-P569&lt;=90,"61-90 j","Plus de 90 j"))))))</f>
        <v/>
      </c>
      <c r="AT569" s="62" t="str">
        <f>IF(AS569="","",p_asof-P569)</f>
        <v/>
      </c>
      <c r="AU569" s="62" t="str">
        <f>IF(AT569="","",COUNTIF($AT$6:$AT$805,"&gt;"&amp;AT569)+COUNTIF($AT$6:AT569,AT569))</f>
        <v/>
      </c>
    </row>
    <row r="570">
      <c r="A570" s="59" t="str">
        <f>IF(AE570="","",AB570&amp;"-"&amp;AD570&amp;"-"&amp;RIGHT("000"&amp;AE570,4))</f>
        <v/>
      </c>
      <c r="B570" s="60" t="n"/>
      <c r="C570" s="61" t="n"/>
      <c r="D570" s="60" t="n"/>
      <c r="E570" s="62" t="str">
        <f>IF(D570="","",IFERROR(INDEX(cli_name,MATCH(D570,cli_code,0))&amp;"","Client inconnu"))</f>
        <v/>
      </c>
      <c r="F570" s="60" t="n"/>
      <c r="G570" s="63" t="n"/>
      <c r="H570" s="61" t="n"/>
      <c r="I570" s="63" t="n"/>
      <c r="J570" s="60" t="n"/>
      <c r="K570" s="61" t="n"/>
      <c r="L570" s="60" t="n"/>
      <c r="M570" s="60" t="n"/>
      <c r="N570" s="60" t="n"/>
      <c r="O570" s="61" t="n"/>
      <c r="P570" s="64" t="str">
        <f>IF(A570="","",IF(AA570="Avoir",AC570,IF(ISNUMBER(K570),K570,AC570+IF(D570="",N(p_delay),IFERROR(IF(ISNUMBER(INDEX(cli_delay,MATCH(D570,cli_code,0))),INDEX(cli_delay,MATCH(D570,cli_code,0)),N(p_delay)),N(p_delay))))))</f>
        <v/>
      </c>
      <c r="Q570" s="65" t="str">
        <f>IF(A570="","",IF(AA570="Avoir",-1,1)*ROUND(AJ570-IF(AR570="",0,INDEX(fa_htb,AR570)),2))</f>
        <v/>
      </c>
      <c r="R570" s="65" t="str">
        <f>IF(A570="","",IF(AA570="Avoir",-1,1)*ROUND(AQ570-IF(AR570="",0,INDEX(fa_tvab,AR570)),2))</f>
        <v/>
      </c>
      <c r="S570" s="65" t="str">
        <f>IF(A570="","",Q570+R570)</f>
        <v/>
      </c>
      <c r="T570" s="65" t="str">
        <f>IF(AR570="","",INDEX(fa_htb,AR570)+INDEX(fa_tvab,AR570))</f>
        <v/>
      </c>
      <c r="U570" s="65" t="str">
        <f>IF(A570="","",SUMIF(pa_inv,A570,pa_amt))</f>
        <v/>
      </c>
      <c r="V570" s="65" t="str">
        <f>IF(OR(A570="",AA570="Avoir"),"",-SUMIFS(fa_ttc,fa_avof,A570,fa_type,"Avoir"))</f>
        <v/>
      </c>
      <c r="W570" s="65" t="str">
        <f>IF(OR(A570="",AA570="Avoir"),"",ROUND(S570-U570-V570,2))</f>
        <v/>
      </c>
      <c r="X570" s="66" t="str">
        <f>IF(W570="","",IF(AND(W570&gt;0,p_asof&gt;P570),p_asof-P570,""))</f>
        <v/>
      </c>
      <c r="Y570" s="59" t="str">
        <f>IF(A570="","",IF(AA570="Avoir","Avoir",IF(W570&lt;0,"Trop-perçu",IF(W570=0,"Soldée",IF(p_asof&gt;P570,"En retard",IF(U570+V570&gt;0,"Partielle","À échoir"))))))</f>
        <v/>
      </c>
      <c r="Z570" s="59" t="str">
        <f>IF(NOT(COUNTA(B570:D570,F570:O570)&gt;0),"",IF(C570="","Date manquante",IF(NOT(ISNUMBER(C570)),"Date invalide",IF(D570="","Client manquant",IF(ISNA(MATCH(D570,cli_code,0)),"Client inconnu",IF(AC570&lt;SUMPRODUCT(MAX(($AB$6:AB569=AB570)*$AC$6:AC569)),"Date antérieure à la facture précédente",IF(AND(F570&lt;&gt;"",ISNA(MATCH(F570,dv_num,0))),"Devis inconnu",IF(AND(F570&lt;&gt;"",IFERROR(INDEX(dv_client,MATCH(F570,dv_num,0)),D570)&lt;&gt;D570),"Client différent de celui du devis",IF(AG570="","Aucune ligne : saisissez des lignes ou un devis",IF(AND(AI570&lt;&gt;"",COUNTIF($AI$6:AI570,AI570)&gt;1),"Devis déjà repris par une autre facture",IF(AND(AA570="Avoir",M570=""),"Avoir : indiquez la facture d'origine",IF(AND(AA570="Avoir",ISNA(MATCH(M570,fa_num,0))),"Facture d'origine inconnue",IF(AND(AA570&lt;&gt;"Avoir",M570&lt;&gt;""),"« Avoir sur facture » : réservé aux avoirs",IF(AND(L570&lt;&gt;"",AA570&lt;&gt;"Facture"),"Acompte à déduire : réservé aux factures",IF(AND(L570&lt;&gt;"",ISNA(MATCH(L570,fa_num,0))),"Facture d'acompte inconnue",IF(AND(L570&lt;&gt;"",IFERROR(INDEX(fa_type,MATCH(L570,fa_num,0)),"")&lt;&gt;"Facture d'acompte"),"Le n° à déduire n'est pas une facture d'acompte",IF(AND(L570&lt;&gt;"",COUNTIF($L$6:L570,L570)&gt;1),"Acompte déjà déduit sur une autre facture",IF(AND(L570&lt;&gt;"",IFERROR(INDEX(fa_client,MATCH(L570,fa_num,0)),D570)&lt;&gt;D570),"Acompte d'un autre client",IF(AND(AR570&lt;&gt;"",N(Q570)&lt;0),"Acompte supérieur au total de la facture",IF(IF(AG570="Facture",COUNTIFS(fl_doc,A570,fl_check,"&lt;&gt;OK"),IF(AG570="Devis",COUNTIFS(dl_doc,F570,dl_check,"&lt;&gt;OK"),0))&gt;0,"Ligne(s) à corriger",IF(AND(W570&lt;&gt;"",N(W570)&lt;0),"Trop-perçu : vérifiez paiements et avoirs","OK")))))))))))))))))))))</f>
        <v/>
      </c>
      <c r="AA570" s="62" t="str">
        <f>IF(COUNTA(B570:D570,F570:O570)&gt;0,IF(B570="","Facture",B570),"")</f>
        <v/>
      </c>
      <c r="AB570" s="62" t="str">
        <f>IF(AA570="","",IF(AA570="Avoir",p_pav,IF(AA570="Facture d'acompte",p_pac,p_pfa)))</f>
        <v/>
      </c>
      <c r="AC570" s="62">
        <f>IF(ISNUMBER(C570),C570,0)</f>
        <v>0.0</v>
      </c>
      <c r="AD570" s="62" t="str">
        <f>IF(OR(AA570="",AC570=0),"",YEAR(AC570))</f>
        <v/>
      </c>
      <c r="AE570" s="62" t="str">
        <f>IF(AD570="","",COUNTIFS($AB$6:AB570,AB570,$AD$6:AD570,AD570))</f>
        <v/>
      </c>
      <c r="AF570" s="62">
        <f>IF(A570="",0,COUNTIF(fl_doc,A570))</f>
        <v>0.0</v>
      </c>
      <c r="AG570" s="62" t="str">
        <f>IF(A570="","",IF(AF570&gt;0,"Facture",IF(AND(F570&lt;&gt;"",AA570="Facture",ISNUMBER(MATCH(F570,dv_num,0))),"Devis","")))</f>
        <v/>
      </c>
      <c r="AH570" s="62" t="str">
        <f>IF(AND(A570&lt;&gt;"",F570&lt;&gt;"",AA570&lt;&gt;"Avoir"),F570,"")</f>
        <v/>
      </c>
      <c r="AI570" s="62" t="str">
        <f>IF(AG570="Devis",F570,"")</f>
        <v/>
      </c>
      <c r="AJ570" s="62">
        <f>IF(AG570="Facture",SUMIF(fl_doc,A570,fl_ht),IF(AG570="Devis",SUMIF(dl_doc,F570,dl_ht),0))</f>
        <v>0.0</v>
      </c>
      <c r="AK570" s="62">
        <f>IF(OR(AG570="",INDEX(p_rates,1)=""),0,IF(AG570="Facture",SUMIFS(fl_ht,fl_doc,A570,fl_rate,INDEX(p_rates,1)),SUMIFS(dl_ht,dl_doc,F570,dl_rate,INDEX(p_rates,1))))</f>
        <v>0.0</v>
      </c>
      <c r="AL570" s="62">
        <f>IF(OR(AG570="",INDEX(p_rates,2)=""),0,IF(AG570="Facture",SUMIFS(fl_ht,fl_doc,A570,fl_rate,INDEX(p_rates,2)),SUMIFS(dl_ht,dl_doc,F570,dl_rate,INDEX(p_rates,2))))</f>
        <v>0.0</v>
      </c>
      <c r="AM570" s="62">
        <f>IF(OR(AG570="",INDEX(p_rates,3)=""),0,IF(AG570="Facture",SUMIFS(fl_ht,fl_doc,A570,fl_rate,INDEX(p_rates,3)),SUMIFS(dl_ht,dl_doc,F570,dl_rate,INDEX(p_rates,3))))</f>
        <v>0.0</v>
      </c>
      <c r="AN570" s="62">
        <f>IF(OR(AG570="",INDEX(p_rates,4)=""),0,IF(AG570="Facture",SUMIFS(fl_ht,fl_doc,A570,fl_rate,INDEX(p_rates,4)),SUMIFS(dl_ht,dl_doc,F570,dl_rate,INDEX(p_rates,4))))</f>
        <v>0.0</v>
      </c>
      <c r="AO570" s="62">
        <f>IF(OR(AG570="",INDEX(p_rates,5)=""),0,IF(AG570="Facture",SUMIFS(fl_ht,fl_doc,A570,fl_rate,INDEX(p_rates,5)),SUMIFS(dl_ht,dl_doc,F570,dl_rate,INDEX(p_rates,5))))</f>
        <v>0.0</v>
      </c>
      <c r="AP570" s="62">
        <f>IF(OR(AG570="",INDEX(p_rates,6)=""),0,IF(AG570="Facture",SUMIFS(fl_ht,fl_doc,A570,fl_rate,INDEX(p_rates,6)),SUMIFS(dl_ht,dl_doc,F570,dl_rate,INDEX(p_rates,6))))</f>
        <v>0.0</v>
      </c>
      <c r="AQ570" s="62">
        <f>ROUND(AK570*N(INDEX(p_rates,1)),2)+ROUND(AL570*N(INDEX(p_rates,2)),2)+ROUND(AM570*N(INDEX(p_rates,3)),2)+ROUND(AN570*N(INDEX(p_rates,4)),2)+ROUND(AO570*N(INDEX(p_rates,5)),2)+ROUND(AP570*N(INDEX(p_rates,6)),2)</f>
        <v>0.0</v>
      </c>
      <c r="AR570" s="62" t="str">
        <f>IF(OR(L570="",AA570&lt;&gt;"Facture"),"",IFERROR(IF(INDEX(fa_type,MATCH(L570,fa_num,0))="Facture d'acompte",MATCH(L570,fa_num,0),""),""))</f>
        <v/>
      </c>
      <c r="AS570" s="62" t="str">
        <f>IF(W570="","",IF(W570&lt;=0,"",IF(p_asof-P570&lt;=0,"Non échu",IF(p_asof-P570&lt;=30,"1-30 j",IF(p_asof-P570&lt;=60,"31-60 j",IF(p_asof-P570&lt;=90,"61-90 j","Plus de 90 j"))))))</f>
        <v/>
      </c>
      <c r="AT570" s="62" t="str">
        <f>IF(AS570="","",p_asof-P570)</f>
        <v/>
      </c>
      <c r="AU570" s="62" t="str">
        <f>IF(AT570="","",COUNTIF($AT$6:$AT$805,"&gt;"&amp;AT570)+COUNTIF($AT$6:AT570,AT570))</f>
        <v/>
      </c>
    </row>
    <row r="571">
      <c r="A571" s="59" t="str">
        <f>IF(AE571="","",AB571&amp;"-"&amp;AD571&amp;"-"&amp;RIGHT("000"&amp;AE571,4))</f>
        <v/>
      </c>
      <c r="B571" s="60" t="n"/>
      <c r="C571" s="61" t="n"/>
      <c r="D571" s="60" t="n"/>
      <c r="E571" s="62" t="str">
        <f>IF(D571="","",IFERROR(INDEX(cli_name,MATCH(D571,cli_code,0))&amp;"","Client inconnu"))</f>
        <v/>
      </c>
      <c r="F571" s="60" t="n"/>
      <c r="G571" s="63" t="n"/>
      <c r="H571" s="61" t="n"/>
      <c r="I571" s="63" t="n"/>
      <c r="J571" s="60" t="n"/>
      <c r="K571" s="61" t="n"/>
      <c r="L571" s="60" t="n"/>
      <c r="M571" s="60" t="n"/>
      <c r="N571" s="60" t="n"/>
      <c r="O571" s="61" t="n"/>
      <c r="P571" s="64" t="str">
        <f>IF(A571="","",IF(AA571="Avoir",AC571,IF(ISNUMBER(K571),K571,AC571+IF(D571="",N(p_delay),IFERROR(IF(ISNUMBER(INDEX(cli_delay,MATCH(D571,cli_code,0))),INDEX(cli_delay,MATCH(D571,cli_code,0)),N(p_delay)),N(p_delay))))))</f>
        <v/>
      </c>
      <c r="Q571" s="65" t="str">
        <f>IF(A571="","",IF(AA571="Avoir",-1,1)*ROUND(AJ571-IF(AR571="",0,INDEX(fa_htb,AR571)),2))</f>
        <v/>
      </c>
      <c r="R571" s="65" t="str">
        <f>IF(A571="","",IF(AA571="Avoir",-1,1)*ROUND(AQ571-IF(AR571="",0,INDEX(fa_tvab,AR571)),2))</f>
        <v/>
      </c>
      <c r="S571" s="65" t="str">
        <f>IF(A571="","",Q571+R571)</f>
        <v/>
      </c>
      <c r="T571" s="65" t="str">
        <f>IF(AR571="","",INDEX(fa_htb,AR571)+INDEX(fa_tvab,AR571))</f>
        <v/>
      </c>
      <c r="U571" s="65" t="str">
        <f>IF(A571="","",SUMIF(pa_inv,A571,pa_amt))</f>
        <v/>
      </c>
      <c r="V571" s="65" t="str">
        <f>IF(OR(A571="",AA571="Avoir"),"",-SUMIFS(fa_ttc,fa_avof,A571,fa_type,"Avoir"))</f>
        <v/>
      </c>
      <c r="W571" s="65" t="str">
        <f>IF(OR(A571="",AA571="Avoir"),"",ROUND(S571-U571-V571,2))</f>
        <v/>
      </c>
      <c r="X571" s="66" t="str">
        <f>IF(W571="","",IF(AND(W571&gt;0,p_asof&gt;P571),p_asof-P571,""))</f>
        <v/>
      </c>
      <c r="Y571" s="59" t="str">
        <f>IF(A571="","",IF(AA571="Avoir","Avoir",IF(W571&lt;0,"Trop-perçu",IF(W571=0,"Soldée",IF(p_asof&gt;P571,"En retard",IF(U571+V571&gt;0,"Partielle","À échoir"))))))</f>
        <v/>
      </c>
      <c r="Z571" s="59" t="str">
        <f>IF(NOT(COUNTA(B571:D571,F571:O571)&gt;0),"",IF(C571="","Date manquante",IF(NOT(ISNUMBER(C571)),"Date invalide",IF(D571="","Client manquant",IF(ISNA(MATCH(D571,cli_code,0)),"Client inconnu",IF(AC571&lt;SUMPRODUCT(MAX(($AB$6:AB570=AB571)*$AC$6:AC570)),"Date antérieure à la facture précédente",IF(AND(F571&lt;&gt;"",ISNA(MATCH(F571,dv_num,0))),"Devis inconnu",IF(AND(F571&lt;&gt;"",IFERROR(INDEX(dv_client,MATCH(F571,dv_num,0)),D571)&lt;&gt;D571),"Client différent de celui du devis",IF(AG571="","Aucune ligne : saisissez des lignes ou un devis",IF(AND(AI571&lt;&gt;"",COUNTIF($AI$6:AI571,AI571)&gt;1),"Devis déjà repris par une autre facture",IF(AND(AA571="Avoir",M571=""),"Avoir : indiquez la facture d'origine",IF(AND(AA571="Avoir",ISNA(MATCH(M571,fa_num,0))),"Facture d'origine inconnue",IF(AND(AA571&lt;&gt;"Avoir",M571&lt;&gt;""),"« Avoir sur facture » : réservé aux avoirs",IF(AND(L571&lt;&gt;"",AA571&lt;&gt;"Facture"),"Acompte à déduire : réservé aux factures",IF(AND(L571&lt;&gt;"",ISNA(MATCH(L571,fa_num,0))),"Facture d'acompte inconnue",IF(AND(L571&lt;&gt;"",IFERROR(INDEX(fa_type,MATCH(L571,fa_num,0)),"")&lt;&gt;"Facture d'acompte"),"Le n° à déduire n'est pas une facture d'acompte",IF(AND(L571&lt;&gt;"",COUNTIF($L$6:L571,L571)&gt;1),"Acompte déjà déduit sur une autre facture",IF(AND(L571&lt;&gt;"",IFERROR(INDEX(fa_client,MATCH(L571,fa_num,0)),D571)&lt;&gt;D571),"Acompte d'un autre client",IF(AND(AR571&lt;&gt;"",N(Q571)&lt;0),"Acompte supérieur au total de la facture",IF(IF(AG571="Facture",COUNTIFS(fl_doc,A571,fl_check,"&lt;&gt;OK"),IF(AG571="Devis",COUNTIFS(dl_doc,F571,dl_check,"&lt;&gt;OK"),0))&gt;0,"Ligne(s) à corriger",IF(AND(W571&lt;&gt;"",N(W571)&lt;0),"Trop-perçu : vérifiez paiements et avoirs","OK")))))))))))))))))))))</f>
        <v/>
      </c>
      <c r="AA571" s="62" t="str">
        <f>IF(COUNTA(B571:D571,F571:O571)&gt;0,IF(B571="","Facture",B571),"")</f>
        <v/>
      </c>
      <c r="AB571" s="62" t="str">
        <f>IF(AA571="","",IF(AA571="Avoir",p_pav,IF(AA571="Facture d'acompte",p_pac,p_pfa)))</f>
        <v/>
      </c>
      <c r="AC571" s="62">
        <f>IF(ISNUMBER(C571),C571,0)</f>
        <v>0.0</v>
      </c>
      <c r="AD571" s="62" t="str">
        <f>IF(OR(AA571="",AC571=0),"",YEAR(AC571))</f>
        <v/>
      </c>
      <c r="AE571" s="62" t="str">
        <f>IF(AD571="","",COUNTIFS($AB$6:AB571,AB571,$AD$6:AD571,AD571))</f>
        <v/>
      </c>
      <c r="AF571" s="62">
        <f>IF(A571="",0,COUNTIF(fl_doc,A571))</f>
        <v>0.0</v>
      </c>
      <c r="AG571" s="62" t="str">
        <f>IF(A571="","",IF(AF571&gt;0,"Facture",IF(AND(F571&lt;&gt;"",AA571="Facture",ISNUMBER(MATCH(F571,dv_num,0))),"Devis","")))</f>
        <v/>
      </c>
      <c r="AH571" s="62" t="str">
        <f>IF(AND(A571&lt;&gt;"",F571&lt;&gt;"",AA571&lt;&gt;"Avoir"),F571,"")</f>
        <v/>
      </c>
      <c r="AI571" s="62" t="str">
        <f>IF(AG571="Devis",F571,"")</f>
        <v/>
      </c>
      <c r="AJ571" s="62">
        <f>IF(AG571="Facture",SUMIF(fl_doc,A571,fl_ht),IF(AG571="Devis",SUMIF(dl_doc,F571,dl_ht),0))</f>
        <v>0.0</v>
      </c>
      <c r="AK571" s="62">
        <f>IF(OR(AG571="",INDEX(p_rates,1)=""),0,IF(AG571="Facture",SUMIFS(fl_ht,fl_doc,A571,fl_rate,INDEX(p_rates,1)),SUMIFS(dl_ht,dl_doc,F571,dl_rate,INDEX(p_rates,1))))</f>
        <v>0.0</v>
      </c>
      <c r="AL571" s="62">
        <f>IF(OR(AG571="",INDEX(p_rates,2)=""),0,IF(AG571="Facture",SUMIFS(fl_ht,fl_doc,A571,fl_rate,INDEX(p_rates,2)),SUMIFS(dl_ht,dl_doc,F571,dl_rate,INDEX(p_rates,2))))</f>
        <v>0.0</v>
      </c>
      <c r="AM571" s="62">
        <f>IF(OR(AG571="",INDEX(p_rates,3)=""),0,IF(AG571="Facture",SUMIFS(fl_ht,fl_doc,A571,fl_rate,INDEX(p_rates,3)),SUMIFS(dl_ht,dl_doc,F571,dl_rate,INDEX(p_rates,3))))</f>
        <v>0.0</v>
      </c>
      <c r="AN571" s="62">
        <f>IF(OR(AG571="",INDEX(p_rates,4)=""),0,IF(AG571="Facture",SUMIFS(fl_ht,fl_doc,A571,fl_rate,INDEX(p_rates,4)),SUMIFS(dl_ht,dl_doc,F571,dl_rate,INDEX(p_rates,4))))</f>
        <v>0.0</v>
      </c>
      <c r="AO571" s="62">
        <f>IF(OR(AG571="",INDEX(p_rates,5)=""),0,IF(AG571="Facture",SUMIFS(fl_ht,fl_doc,A571,fl_rate,INDEX(p_rates,5)),SUMIFS(dl_ht,dl_doc,F571,dl_rate,INDEX(p_rates,5))))</f>
        <v>0.0</v>
      </c>
      <c r="AP571" s="62">
        <f>IF(OR(AG571="",INDEX(p_rates,6)=""),0,IF(AG571="Facture",SUMIFS(fl_ht,fl_doc,A571,fl_rate,INDEX(p_rates,6)),SUMIFS(dl_ht,dl_doc,F571,dl_rate,INDEX(p_rates,6))))</f>
        <v>0.0</v>
      </c>
      <c r="AQ571" s="62">
        <f>ROUND(AK571*N(INDEX(p_rates,1)),2)+ROUND(AL571*N(INDEX(p_rates,2)),2)+ROUND(AM571*N(INDEX(p_rates,3)),2)+ROUND(AN571*N(INDEX(p_rates,4)),2)+ROUND(AO571*N(INDEX(p_rates,5)),2)+ROUND(AP571*N(INDEX(p_rates,6)),2)</f>
        <v>0.0</v>
      </c>
      <c r="AR571" s="62" t="str">
        <f>IF(OR(L571="",AA571&lt;&gt;"Facture"),"",IFERROR(IF(INDEX(fa_type,MATCH(L571,fa_num,0))="Facture d'acompte",MATCH(L571,fa_num,0),""),""))</f>
        <v/>
      </c>
      <c r="AS571" s="62" t="str">
        <f>IF(W571="","",IF(W571&lt;=0,"",IF(p_asof-P571&lt;=0,"Non échu",IF(p_asof-P571&lt;=30,"1-30 j",IF(p_asof-P571&lt;=60,"31-60 j",IF(p_asof-P571&lt;=90,"61-90 j","Plus de 90 j"))))))</f>
        <v/>
      </c>
      <c r="AT571" s="62" t="str">
        <f>IF(AS571="","",p_asof-P571)</f>
        <v/>
      </c>
      <c r="AU571" s="62" t="str">
        <f>IF(AT571="","",COUNTIF($AT$6:$AT$805,"&gt;"&amp;AT571)+COUNTIF($AT$6:AT571,AT571))</f>
        <v/>
      </c>
    </row>
    <row r="572">
      <c r="A572" s="59" t="str">
        <f>IF(AE572="","",AB572&amp;"-"&amp;AD572&amp;"-"&amp;RIGHT("000"&amp;AE572,4))</f>
        <v/>
      </c>
      <c r="B572" s="60" t="n"/>
      <c r="C572" s="61" t="n"/>
      <c r="D572" s="60" t="n"/>
      <c r="E572" s="62" t="str">
        <f>IF(D572="","",IFERROR(INDEX(cli_name,MATCH(D572,cli_code,0))&amp;"","Client inconnu"))</f>
        <v/>
      </c>
      <c r="F572" s="60" t="n"/>
      <c r="G572" s="63" t="n"/>
      <c r="H572" s="61" t="n"/>
      <c r="I572" s="63" t="n"/>
      <c r="J572" s="60" t="n"/>
      <c r="K572" s="61" t="n"/>
      <c r="L572" s="60" t="n"/>
      <c r="M572" s="60" t="n"/>
      <c r="N572" s="60" t="n"/>
      <c r="O572" s="61" t="n"/>
      <c r="P572" s="64" t="str">
        <f>IF(A572="","",IF(AA572="Avoir",AC572,IF(ISNUMBER(K572),K572,AC572+IF(D572="",N(p_delay),IFERROR(IF(ISNUMBER(INDEX(cli_delay,MATCH(D572,cli_code,0))),INDEX(cli_delay,MATCH(D572,cli_code,0)),N(p_delay)),N(p_delay))))))</f>
        <v/>
      </c>
      <c r="Q572" s="65" t="str">
        <f>IF(A572="","",IF(AA572="Avoir",-1,1)*ROUND(AJ572-IF(AR572="",0,INDEX(fa_htb,AR572)),2))</f>
        <v/>
      </c>
      <c r="R572" s="65" t="str">
        <f>IF(A572="","",IF(AA572="Avoir",-1,1)*ROUND(AQ572-IF(AR572="",0,INDEX(fa_tvab,AR572)),2))</f>
        <v/>
      </c>
      <c r="S572" s="65" t="str">
        <f>IF(A572="","",Q572+R572)</f>
        <v/>
      </c>
      <c r="T572" s="65" t="str">
        <f>IF(AR572="","",INDEX(fa_htb,AR572)+INDEX(fa_tvab,AR572))</f>
        <v/>
      </c>
      <c r="U572" s="65" t="str">
        <f>IF(A572="","",SUMIF(pa_inv,A572,pa_amt))</f>
        <v/>
      </c>
      <c r="V572" s="65" t="str">
        <f>IF(OR(A572="",AA572="Avoir"),"",-SUMIFS(fa_ttc,fa_avof,A572,fa_type,"Avoir"))</f>
        <v/>
      </c>
      <c r="W572" s="65" t="str">
        <f>IF(OR(A572="",AA572="Avoir"),"",ROUND(S572-U572-V572,2))</f>
        <v/>
      </c>
      <c r="X572" s="66" t="str">
        <f>IF(W572="","",IF(AND(W572&gt;0,p_asof&gt;P572),p_asof-P572,""))</f>
        <v/>
      </c>
      <c r="Y572" s="59" t="str">
        <f>IF(A572="","",IF(AA572="Avoir","Avoir",IF(W572&lt;0,"Trop-perçu",IF(W572=0,"Soldée",IF(p_asof&gt;P572,"En retard",IF(U572+V572&gt;0,"Partielle","À échoir"))))))</f>
        <v/>
      </c>
      <c r="Z572" s="59" t="str">
        <f>IF(NOT(COUNTA(B572:D572,F572:O572)&gt;0),"",IF(C572="","Date manquante",IF(NOT(ISNUMBER(C572)),"Date invalide",IF(D572="","Client manquant",IF(ISNA(MATCH(D572,cli_code,0)),"Client inconnu",IF(AC572&lt;SUMPRODUCT(MAX(($AB$6:AB571=AB572)*$AC$6:AC571)),"Date antérieure à la facture précédente",IF(AND(F572&lt;&gt;"",ISNA(MATCH(F572,dv_num,0))),"Devis inconnu",IF(AND(F572&lt;&gt;"",IFERROR(INDEX(dv_client,MATCH(F572,dv_num,0)),D572)&lt;&gt;D572),"Client différent de celui du devis",IF(AG572="","Aucune ligne : saisissez des lignes ou un devis",IF(AND(AI572&lt;&gt;"",COUNTIF($AI$6:AI572,AI572)&gt;1),"Devis déjà repris par une autre facture",IF(AND(AA572="Avoir",M572=""),"Avoir : indiquez la facture d'origine",IF(AND(AA572="Avoir",ISNA(MATCH(M572,fa_num,0))),"Facture d'origine inconnue",IF(AND(AA572&lt;&gt;"Avoir",M572&lt;&gt;""),"« Avoir sur facture » : réservé aux avoirs",IF(AND(L572&lt;&gt;"",AA572&lt;&gt;"Facture"),"Acompte à déduire : réservé aux factures",IF(AND(L572&lt;&gt;"",ISNA(MATCH(L572,fa_num,0))),"Facture d'acompte inconnue",IF(AND(L572&lt;&gt;"",IFERROR(INDEX(fa_type,MATCH(L572,fa_num,0)),"")&lt;&gt;"Facture d'acompte"),"Le n° à déduire n'est pas une facture d'acompte",IF(AND(L572&lt;&gt;"",COUNTIF($L$6:L572,L572)&gt;1),"Acompte déjà déduit sur une autre facture",IF(AND(L572&lt;&gt;"",IFERROR(INDEX(fa_client,MATCH(L572,fa_num,0)),D572)&lt;&gt;D572),"Acompte d'un autre client",IF(AND(AR572&lt;&gt;"",N(Q572)&lt;0),"Acompte supérieur au total de la facture",IF(IF(AG572="Facture",COUNTIFS(fl_doc,A572,fl_check,"&lt;&gt;OK"),IF(AG572="Devis",COUNTIFS(dl_doc,F572,dl_check,"&lt;&gt;OK"),0))&gt;0,"Ligne(s) à corriger",IF(AND(W572&lt;&gt;"",N(W572)&lt;0),"Trop-perçu : vérifiez paiements et avoirs","OK")))))))))))))))))))))</f>
        <v/>
      </c>
      <c r="AA572" s="62" t="str">
        <f>IF(COUNTA(B572:D572,F572:O572)&gt;0,IF(B572="","Facture",B572),"")</f>
        <v/>
      </c>
      <c r="AB572" s="62" t="str">
        <f>IF(AA572="","",IF(AA572="Avoir",p_pav,IF(AA572="Facture d'acompte",p_pac,p_pfa)))</f>
        <v/>
      </c>
      <c r="AC572" s="62">
        <f>IF(ISNUMBER(C572),C572,0)</f>
        <v>0.0</v>
      </c>
      <c r="AD572" s="62" t="str">
        <f>IF(OR(AA572="",AC572=0),"",YEAR(AC572))</f>
        <v/>
      </c>
      <c r="AE572" s="62" t="str">
        <f>IF(AD572="","",COUNTIFS($AB$6:AB572,AB572,$AD$6:AD572,AD572))</f>
        <v/>
      </c>
      <c r="AF572" s="62">
        <f>IF(A572="",0,COUNTIF(fl_doc,A572))</f>
        <v>0.0</v>
      </c>
      <c r="AG572" s="62" t="str">
        <f>IF(A572="","",IF(AF572&gt;0,"Facture",IF(AND(F572&lt;&gt;"",AA572="Facture",ISNUMBER(MATCH(F572,dv_num,0))),"Devis","")))</f>
        <v/>
      </c>
      <c r="AH572" s="62" t="str">
        <f>IF(AND(A572&lt;&gt;"",F572&lt;&gt;"",AA572&lt;&gt;"Avoir"),F572,"")</f>
        <v/>
      </c>
      <c r="AI572" s="62" t="str">
        <f>IF(AG572="Devis",F572,"")</f>
        <v/>
      </c>
      <c r="AJ572" s="62">
        <f>IF(AG572="Facture",SUMIF(fl_doc,A572,fl_ht),IF(AG572="Devis",SUMIF(dl_doc,F572,dl_ht),0))</f>
        <v>0.0</v>
      </c>
      <c r="AK572" s="62">
        <f>IF(OR(AG572="",INDEX(p_rates,1)=""),0,IF(AG572="Facture",SUMIFS(fl_ht,fl_doc,A572,fl_rate,INDEX(p_rates,1)),SUMIFS(dl_ht,dl_doc,F572,dl_rate,INDEX(p_rates,1))))</f>
        <v>0.0</v>
      </c>
      <c r="AL572" s="62">
        <f>IF(OR(AG572="",INDEX(p_rates,2)=""),0,IF(AG572="Facture",SUMIFS(fl_ht,fl_doc,A572,fl_rate,INDEX(p_rates,2)),SUMIFS(dl_ht,dl_doc,F572,dl_rate,INDEX(p_rates,2))))</f>
        <v>0.0</v>
      </c>
      <c r="AM572" s="62">
        <f>IF(OR(AG572="",INDEX(p_rates,3)=""),0,IF(AG572="Facture",SUMIFS(fl_ht,fl_doc,A572,fl_rate,INDEX(p_rates,3)),SUMIFS(dl_ht,dl_doc,F572,dl_rate,INDEX(p_rates,3))))</f>
        <v>0.0</v>
      </c>
      <c r="AN572" s="62">
        <f>IF(OR(AG572="",INDEX(p_rates,4)=""),0,IF(AG572="Facture",SUMIFS(fl_ht,fl_doc,A572,fl_rate,INDEX(p_rates,4)),SUMIFS(dl_ht,dl_doc,F572,dl_rate,INDEX(p_rates,4))))</f>
        <v>0.0</v>
      </c>
      <c r="AO572" s="62">
        <f>IF(OR(AG572="",INDEX(p_rates,5)=""),0,IF(AG572="Facture",SUMIFS(fl_ht,fl_doc,A572,fl_rate,INDEX(p_rates,5)),SUMIFS(dl_ht,dl_doc,F572,dl_rate,INDEX(p_rates,5))))</f>
        <v>0.0</v>
      </c>
      <c r="AP572" s="62">
        <f>IF(OR(AG572="",INDEX(p_rates,6)=""),0,IF(AG572="Facture",SUMIFS(fl_ht,fl_doc,A572,fl_rate,INDEX(p_rates,6)),SUMIFS(dl_ht,dl_doc,F572,dl_rate,INDEX(p_rates,6))))</f>
        <v>0.0</v>
      </c>
      <c r="AQ572" s="62">
        <f>ROUND(AK572*N(INDEX(p_rates,1)),2)+ROUND(AL572*N(INDEX(p_rates,2)),2)+ROUND(AM572*N(INDEX(p_rates,3)),2)+ROUND(AN572*N(INDEX(p_rates,4)),2)+ROUND(AO572*N(INDEX(p_rates,5)),2)+ROUND(AP572*N(INDEX(p_rates,6)),2)</f>
        <v>0.0</v>
      </c>
      <c r="AR572" s="62" t="str">
        <f>IF(OR(L572="",AA572&lt;&gt;"Facture"),"",IFERROR(IF(INDEX(fa_type,MATCH(L572,fa_num,0))="Facture d'acompte",MATCH(L572,fa_num,0),""),""))</f>
        <v/>
      </c>
      <c r="AS572" s="62" t="str">
        <f>IF(W572="","",IF(W572&lt;=0,"",IF(p_asof-P572&lt;=0,"Non échu",IF(p_asof-P572&lt;=30,"1-30 j",IF(p_asof-P572&lt;=60,"31-60 j",IF(p_asof-P572&lt;=90,"61-90 j","Plus de 90 j"))))))</f>
        <v/>
      </c>
      <c r="AT572" s="62" t="str">
        <f>IF(AS572="","",p_asof-P572)</f>
        <v/>
      </c>
      <c r="AU572" s="62" t="str">
        <f>IF(AT572="","",COUNTIF($AT$6:$AT$805,"&gt;"&amp;AT572)+COUNTIF($AT$6:AT572,AT572))</f>
        <v/>
      </c>
    </row>
    <row r="573">
      <c r="A573" s="59" t="str">
        <f>IF(AE573="","",AB573&amp;"-"&amp;AD573&amp;"-"&amp;RIGHT("000"&amp;AE573,4))</f>
        <v/>
      </c>
      <c r="B573" s="60" t="n"/>
      <c r="C573" s="61" t="n"/>
      <c r="D573" s="60" t="n"/>
      <c r="E573" s="62" t="str">
        <f>IF(D573="","",IFERROR(INDEX(cli_name,MATCH(D573,cli_code,0))&amp;"","Client inconnu"))</f>
        <v/>
      </c>
      <c r="F573" s="60" t="n"/>
      <c r="G573" s="63" t="n"/>
      <c r="H573" s="61" t="n"/>
      <c r="I573" s="63" t="n"/>
      <c r="J573" s="60" t="n"/>
      <c r="K573" s="61" t="n"/>
      <c r="L573" s="60" t="n"/>
      <c r="M573" s="60" t="n"/>
      <c r="N573" s="60" t="n"/>
      <c r="O573" s="61" t="n"/>
      <c r="P573" s="64" t="str">
        <f>IF(A573="","",IF(AA573="Avoir",AC573,IF(ISNUMBER(K573),K573,AC573+IF(D573="",N(p_delay),IFERROR(IF(ISNUMBER(INDEX(cli_delay,MATCH(D573,cli_code,0))),INDEX(cli_delay,MATCH(D573,cli_code,0)),N(p_delay)),N(p_delay))))))</f>
        <v/>
      </c>
      <c r="Q573" s="65" t="str">
        <f>IF(A573="","",IF(AA573="Avoir",-1,1)*ROUND(AJ573-IF(AR573="",0,INDEX(fa_htb,AR573)),2))</f>
        <v/>
      </c>
      <c r="R573" s="65" t="str">
        <f>IF(A573="","",IF(AA573="Avoir",-1,1)*ROUND(AQ573-IF(AR573="",0,INDEX(fa_tvab,AR573)),2))</f>
        <v/>
      </c>
      <c r="S573" s="65" t="str">
        <f>IF(A573="","",Q573+R573)</f>
        <v/>
      </c>
      <c r="T573" s="65" t="str">
        <f>IF(AR573="","",INDEX(fa_htb,AR573)+INDEX(fa_tvab,AR573))</f>
        <v/>
      </c>
      <c r="U573" s="65" t="str">
        <f>IF(A573="","",SUMIF(pa_inv,A573,pa_amt))</f>
        <v/>
      </c>
      <c r="V573" s="65" t="str">
        <f>IF(OR(A573="",AA573="Avoir"),"",-SUMIFS(fa_ttc,fa_avof,A573,fa_type,"Avoir"))</f>
        <v/>
      </c>
      <c r="W573" s="65" t="str">
        <f>IF(OR(A573="",AA573="Avoir"),"",ROUND(S573-U573-V573,2))</f>
        <v/>
      </c>
      <c r="X573" s="66" t="str">
        <f>IF(W573="","",IF(AND(W573&gt;0,p_asof&gt;P573),p_asof-P573,""))</f>
        <v/>
      </c>
      <c r="Y573" s="59" t="str">
        <f>IF(A573="","",IF(AA573="Avoir","Avoir",IF(W573&lt;0,"Trop-perçu",IF(W573=0,"Soldée",IF(p_asof&gt;P573,"En retard",IF(U573+V573&gt;0,"Partielle","À échoir"))))))</f>
        <v/>
      </c>
      <c r="Z573" s="59" t="str">
        <f>IF(NOT(COUNTA(B573:D573,F573:O573)&gt;0),"",IF(C573="","Date manquante",IF(NOT(ISNUMBER(C573)),"Date invalide",IF(D573="","Client manquant",IF(ISNA(MATCH(D573,cli_code,0)),"Client inconnu",IF(AC573&lt;SUMPRODUCT(MAX(($AB$6:AB572=AB573)*$AC$6:AC572)),"Date antérieure à la facture précédente",IF(AND(F573&lt;&gt;"",ISNA(MATCH(F573,dv_num,0))),"Devis inconnu",IF(AND(F573&lt;&gt;"",IFERROR(INDEX(dv_client,MATCH(F573,dv_num,0)),D573)&lt;&gt;D573),"Client différent de celui du devis",IF(AG573="","Aucune ligne : saisissez des lignes ou un devis",IF(AND(AI573&lt;&gt;"",COUNTIF($AI$6:AI573,AI573)&gt;1),"Devis déjà repris par une autre facture",IF(AND(AA573="Avoir",M573=""),"Avoir : indiquez la facture d'origine",IF(AND(AA573="Avoir",ISNA(MATCH(M573,fa_num,0))),"Facture d'origine inconnue",IF(AND(AA573&lt;&gt;"Avoir",M573&lt;&gt;""),"« Avoir sur facture » : réservé aux avoirs",IF(AND(L573&lt;&gt;"",AA573&lt;&gt;"Facture"),"Acompte à déduire : réservé aux factures",IF(AND(L573&lt;&gt;"",ISNA(MATCH(L573,fa_num,0))),"Facture d'acompte inconnue",IF(AND(L573&lt;&gt;"",IFERROR(INDEX(fa_type,MATCH(L573,fa_num,0)),"")&lt;&gt;"Facture d'acompte"),"Le n° à déduire n'est pas une facture d'acompte",IF(AND(L573&lt;&gt;"",COUNTIF($L$6:L573,L573)&gt;1),"Acompte déjà déduit sur une autre facture",IF(AND(L573&lt;&gt;"",IFERROR(INDEX(fa_client,MATCH(L573,fa_num,0)),D573)&lt;&gt;D573),"Acompte d'un autre client",IF(AND(AR573&lt;&gt;"",N(Q573)&lt;0),"Acompte supérieur au total de la facture",IF(IF(AG573="Facture",COUNTIFS(fl_doc,A573,fl_check,"&lt;&gt;OK"),IF(AG573="Devis",COUNTIFS(dl_doc,F573,dl_check,"&lt;&gt;OK"),0))&gt;0,"Ligne(s) à corriger",IF(AND(W573&lt;&gt;"",N(W573)&lt;0),"Trop-perçu : vérifiez paiements et avoirs","OK")))))))))))))))))))))</f>
        <v/>
      </c>
      <c r="AA573" s="62" t="str">
        <f>IF(COUNTA(B573:D573,F573:O573)&gt;0,IF(B573="","Facture",B573),"")</f>
        <v/>
      </c>
      <c r="AB573" s="62" t="str">
        <f>IF(AA573="","",IF(AA573="Avoir",p_pav,IF(AA573="Facture d'acompte",p_pac,p_pfa)))</f>
        <v/>
      </c>
      <c r="AC573" s="62">
        <f>IF(ISNUMBER(C573),C573,0)</f>
        <v>0.0</v>
      </c>
      <c r="AD573" s="62" t="str">
        <f>IF(OR(AA573="",AC573=0),"",YEAR(AC573))</f>
        <v/>
      </c>
      <c r="AE573" s="62" t="str">
        <f>IF(AD573="","",COUNTIFS($AB$6:AB573,AB573,$AD$6:AD573,AD573))</f>
        <v/>
      </c>
      <c r="AF573" s="62">
        <f>IF(A573="",0,COUNTIF(fl_doc,A573))</f>
        <v>0.0</v>
      </c>
      <c r="AG573" s="62" t="str">
        <f>IF(A573="","",IF(AF573&gt;0,"Facture",IF(AND(F573&lt;&gt;"",AA573="Facture",ISNUMBER(MATCH(F573,dv_num,0))),"Devis","")))</f>
        <v/>
      </c>
      <c r="AH573" s="62" t="str">
        <f>IF(AND(A573&lt;&gt;"",F573&lt;&gt;"",AA573&lt;&gt;"Avoir"),F573,"")</f>
        <v/>
      </c>
      <c r="AI573" s="62" t="str">
        <f>IF(AG573="Devis",F573,"")</f>
        <v/>
      </c>
      <c r="AJ573" s="62">
        <f>IF(AG573="Facture",SUMIF(fl_doc,A573,fl_ht),IF(AG573="Devis",SUMIF(dl_doc,F573,dl_ht),0))</f>
        <v>0.0</v>
      </c>
      <c r="AK573" s="62">
        <f>IF(OR(AG573="",INDEX(p_rates,1)=""),0,IF(AG573="Facture",SUMIFS(fl_ht,fl_doc,A573,fl_rate,INDEX(p_rates,1)),SUMIFS(dl_ht,dl_doc,F573,dl_rate,INDEX(p_rates,1))))</f>
        <v>0.0</v>
      </c>
      <c r="AL573" s="62">
        <f>IF(OR(AG573="",INDEX(p_rates,2)=""),0,IF(AG573="Facture",SUMIFS(fl_ht,fl_doc,A573,fl_rate,INDEX(p_rates,2)),SUMIFS(dl_ht,dl_doc,F573,dl_rate,INDEX(p_rates,2))))</f>
        <v>0.0</v>
      </c>
      <c r="AM573" s="62">
        <f>IF(OR(AG573="",INDEX(p_rates,3)=""),0,IF(AG573="Facture",SUMIFS(fl_ht,fl_doc,A573,fl_rate,INDEX(p_rates,3)),SUMIFS(dl_ht,dl_doc,F573,dl_rate,INDEX(p_rates,3))))</f>
        <v>0.0</v>
      </c>
      <c r="AN573" s="62">
        <f>IF(OR(AG573="",INDEX(p_rates,4)=""),0,IF(AG573="Facture",SUMIFS(fl_ht,fl_doc,A573,fl_rate,INDEX(p_rates,4)),SUMIFS(dl_ht,dl_doc,F573,dl_rate,INDEX(p_rates,4))))</f>
        <v>0.0</v>
      </c>
      <c r="AO573" s="62">
        <f>IF(OR(AG573="",INDEX(p_rates,5)=""),0,IF(AG573="Facture",SUMIFS(fl_ht,fl_doc,A573,fl_rate,INDEX(p_rates,5)),SUMIFS(dl_ht,dl_doc,F573,dl_rate,INDEX(p_rates,5))))</f>
        <v>0.0</v>
      </c>
      <c r="AP573" s="62">
        <f>IF(OR(AG573="",INDEX(p_rates,6)=""),0,IF(AG573="Facture",SUMIFS(fl_ht,fl_doc,A573,fl_rate,INDEX(p_rates,6)),SUMIFS(dl_ht,dl_doc,F573,dl_rate,INDEX(p_rates,6))))</f>
        <v>0.0</v>
      </c>
      <c r="AQ573" s="62">
        <f>ROUND(AK573*N(INDEX(p_rates,1)),2)+ROUND(AL573*N(INDEX(p_rates,2)),2)+ROUND(AM573*N(INDEX(p_rates,3)),2)+ROUND(AN573*N(INDEX(p_rates,4)),2)+ROUND(AO573*N(INDEX(p_rates,5)),2)+ROUND(AP573*N(INDEX(p_rates,6)),2)</f>
        <v>0.0</v>
      </c>
      <c r="AR573" s="62" t="str">
        <f>IF(OR(L573="",AA573&lt;&gt;"Facture"),"",IFERROR(IF(INDEX(fa_type,MATCH(L573,fa_num,0))="Facture d'acompte",MATCH(L573,fa_num,0),""),""))</f>
        <v/>
      </c>
      <c r="AS573" s="62" t="str">
        <f>IF(W573="","",IF(W573&lt;=0,"",IF(p_asof-P573&lt;=0,"Non échu",IF(p_asof-P573&lt;=30,"1-30 j",IF(p_asof-P573&lt;=60,"31-60 j",IF(p_asof-P573&lt;=90,"61-90 j","Plus de 90 j"))))))</f>
        <v/>
      </c>
      <c r="AT573" s="62" t="str">
        <f>IF(AS573="","",p_asof-P573)</f>
        <v/>
      </c>
      <c r="AU573" s="62" t="str">
        <f>IF(AT573="","",COUNTIF($AT$6:$AT$805,"&gt;"&amp;AT573)+COUNTIF($AT$6:AT573,AT573))</f>
        <v/>
      </c>
    </row>
    <row r="574">
      <c r="A574" s="59" t="str">
        <f>IF(AE574="","",AB574&amp;"-"&amp;AD574&amp;"-"&amp;RIGHT("000"&amp;AE574,4))</f>
        <v/>
      </c>
      <c r="B574" s="60" t="n"/>
      <c r="C574" s="61" t="n"/>
      <c r="D574" s="60" t="n"/>
      <c r="E574" s="62" t="str">
        <f>IF(D574="","",IFERROR(INDEX(cli_name,MATCH(D574,cli_code,0))&amp;"","Client inconnu"))</f>
        <v/>
      </c>
      <c r="F574" s="60" t="n"/>
      <c r="G574" s="63" t="n"/>
      <c r="H574" s="61" t="n"/>
      <c r="I574" s="63" t="n"/>
      <c r="J574" s="60" t="n"/>
      <c r="K574" s="61" t="n"/>
      <c r="L574" s="60" t="n"/>
      <c r="M574" s="60" t="n"/>
      <c r="N574" s="60" t="n"/>
      <c r="O574" s="61" t="n"/>
      <c r="P574" s="64" t="str">
        <f>IF(A574="","",IF(AA574="Avoir",AC574,IF(ISNUMBER(K574),K574,AC574+IF(D574="",N(p_delay),IFERROR(IF(ISNUMBER(INDEX(cli_delay,MATCH(D574,cli_code,0))),INDEX(cli_delay,MATCH(D574,cli_code,0)),N(p_delay)),N(p_delay))))))</f>
        <v/>
      </c>
      <c r="Q574" s="65" t="str">
        <f>IF(A574="","",IF(AA574="Avoir",-1,1)*ROUND(AJ574-IF(AR574="",0,INDEX(fa_htb,AR574)),2))</f>
        <v/>
      </c>
      <c r="R574" s="65" t="str">
        <f>IF(A574="","",IF(AA574="Avoir",-1,1)*ROUND(AQ574-IF(AR574="",0,INDEX(fa_tvab,AR574)),2))</f>
        <v/>
      </c>
      <c r="S574" s="65" t="str">
        <f>IF(A574="","",Q574+R574)</f>
        <v/>
      </c>
      <c r="T574" s="65" t="str">
        <f>IF(AR574="","",INDEX(fa_htb,AR574)+INDEX(fa_tvab,AR574))</f>
        <v/>
      </c>
      <c r="U574" s="65" t="str">
        <f>IF(A574="","",SUMIF(pa_inv,A574,pa_amt))</f>
        <v/>
      </c>
      <c r="V574" s="65" t="str">
        <f>IF(OR(A574="",AA574="Avoir"),"",-SUMIFS(fa_ttc,fa_avof,A574,fa_type,"Avoir"))</f>
        <v/>
      </c>
      <c r="W574" s="65" t="str">
        <f>IF(OR(A574="",AA574="Avoir"),"",ROUND(S574-U574-V574,2))</f>
        <v/>
      </c>
      <c r="X574" s="66" t="str">
        <f>IF(W574="","",IF(AND(W574&gt;0,p_asof&gt;P574),p_asof-P574,""))</f>
        <v/>
      </c>
      <c r="Y574" s="59" t="str">
        <f>IF(A574="","",IF(AA574="Avoir","Avoir",IF(W574&lt;0,"Trop-perçu",IF(W574=0,"Soldée",IF(p_asof&gt;P574,"En retard",IF(U574+V574&gt;0,"Partielle","À échoir"))))))</f>
        <v/>
      </c>
      <c r="Z574" s="59" t="str">
        <f>IF(NOT(COUNTA(B574:D574,F574:O574)&gt;0),"",IF(C574="","Date manquante",IF(NOT(ISNUMBER(C574)),"Date invalide",IF(D574="","Client manquant",IF(ISNA(MATCH(D574,cli_code,0)),"Client inconnu",IF(AC574&lt;SUMPRODUCT(MAX(($AB$6:AB573=AB574)*$AC$6:AC573)),"Date antérieure à la facture précédente",IF(AND(F574&lt;&gt;"",ISNA(MATCH(F574,dv_num,0))),"Devis inconnu",IF(AND(F574&lt;&gt;"",IFERROR(INDEX(dv_client,MATCH(F574,dv_num,0)),D574)&lt;&gt;D574),"Client différent de celui du devis",IF(AG574="","Aucune ligne : saisissez des lignes ou un devis",IF(AND(AI574&lt;&gt;"",COUNTIF($AI$6:AI574,AI574)&gt;1),"Devis déjà repris par une autre facture",IF(AND(AA574="Avoir",M574=""),"Avoir : indiquez la facture d'origine",IF(AND(AA574="Avoir",ISNA(MATCH(M574,fa_num,0))),"Facture d'origine inconnue",IF(AND(AA574&lt;&gt;"Avoir",M574&lt;&gt;""),"« Avoir sur facture » : réservé aux avoirs",IF(AND(L574&lt;&gt;"",AA574&lt;&gt;"Facture"),"Acompte à déduire : réservé aux factures",IF(AND(L574&lt;&gt;"",ISNA(MATCH(L574,fa_num,0))),"Facture d'acompte inconnue",IF(AND(L574&lt;&gt;"",IFERROR(INDEX(fa_type,MATCH(L574,fa_num,0)),"")&lt;&gt;"Facture d'acompte"),"Le n° à déduire n'est pas une facture d'acompte",IF(AND(L574&lt;&gt;"",COUNTIF($L$6:L574,L574)&gt;1),"Acompte déjà déduit sur une autre facture",IF(AND(L574&lt;&gt;"",IFERROR(INDEX(fa_client,MATCH(L574,fa_num,0)),D574)&lt;&gt;D574),"Acompte d'un autre client",IF(AND(AR574&lt;&gt;"",N(Q574)&lt;0),"Acompte supérieur au total de la facture",IF(IF(AG574="Facture",COUNTIFS(fl_doc,A574,fl_check,"&lt;&gt;OK"),IF(AG574="Devis",COUNTIFS(dl_doc,F574,dl_check,"&lt;&gt;OK"),0))&gt;0,"Ligne(s) à corriger",IF(AND(W574&lt;&gt;"",N(W574)&lt;0),"Trop-perçu : vérifiez paiements et avoirs","OK")))))))))))))))))))))</f>
        <v/>
      </c>
      <c r="AA574" s="62" t="str">
        <f>IF(COUNTA(B574:D574,F574:O574)&gt;0,IF(B574="","Facture",B574),"")</f>
        <v/>
      </c>
      <c r="AB574" s="62" t="str">
        <f>IF(AA574="","",IF(AA574="Avoir",p_pav,IF(AA574="Facture d'acompte",p_pac,p_pfa)))</f>
        <v/>
      </c>
      <c r="AC574" s="62">
        <f>IF(ISNUMBER(C574),C574,0)</f>
        <v>0.0</v>
      </c>
      <c r="AD574" s="62" t="str">
        <f>IF(OR(AA574="",AC574=0),"",YEAR(AC574))</f>
        <v/>
      </c>
      <c r="AE574" s="62" t="str">
        <f>IF(AD574="","",COUNTIFS($AB$6:AB574,AB574,$AD$6:AD574,AD574))</f>
        <v/>
      </c>
      <c r="AF574" s="62">
        <f>IF(A574="",0,COUNTIF(fl_doc,A574))</f>
        <v>0.0</v>
      </c>
      <c r="AG574" s="62" t="str">
        <f>IF(A574="","",IF(AF574&gt;0,"Facture",IF(AND(F574&lt;&gt;"",AA574="Facture",ISNUMBER(MATCH(F574,dv_num,0))),"Devis","")))</f>
        <v/>
      </c>
      <c r="AH574" s="62" t="str">
        <f>IF(AND(A574&lt;&gt;"",F574&lt;&gt;"",AA574&lt;&gt;"Avoir"),F574,"")</f>
        <v/>
      </c>
      <c r="AI574" s="62" t="str">
        <f>IF(AG574="Devis",F574,"")</f>
        <v/>
      </c>
      <c r="AJ574" s="62">
        <f>IF(AG574="Facture",SUMIF(fl_doc,A574,fl_ht),IF(AG574="Devis",SUMIF(dl_doc,F574,dl_ht),0))</f>
        <v>0.0</v>
      </c>
      <c r="AK574" s="62">
        <f>IF(OR(AG574="",INDEX(p_rates,1)=""),0,IF(AG574="Facture",SUMIFS(fl_ht,fl_doc,A574,fl_rate,INDEX(p_rates,1)),SUMIFS(dl_ht,dl_doc,F574,dl_rate,INDEX(p_rates,1))))</f>
        <v>0.0</v>
      </c>
      <c r="AL574" s="62">
        <f>IF(OR(AG574="",INDEX(p_rates,2)=""),0,IF(AG574="Facture",SUMIFS(fl_ht,fl_doc,A574,fl_rate,INDEX(p_rates,2)),SUMIFS(dl_ht,dl_doc,F574,dl_rate,INDEX(p_rates,2))))</f>
        <v>0.0</v>
      </c>
      <c r="AM574" s="62">
        <f>IF(OR(AG574="",INDEX(p_rates,3)=""),0,IF(AG574="Facture",SUMIFS(fl_ht,fl_doc,A574,fl_rate,INDEX(p_rates,3)),SUMIFS(dl_ht,dl_doc,F574,dl_rate,INDEX(p_rates,3))))</f>
        <v>0.0</v>
      </c>
      <c r="AN574" s="62">
        <f>IF(OR(AG574="",INDEX(p_rates,4)=""),0,IF(AG574="Facture",SUMIFS(fl_ht,fl_doc,A574,fl_rate,INDEX(p_rates,4)),SUMIFS(dl_ht,dl_doc,F574,dl_rate,INDEX(p_rates,4))))</f>
        <v>0.0</v>
      </c>
      <c r="AO574" s="62">
        <f>IF(OR(AG574="",INDEX(p_rates,5)=""),0,IF(AG574="Facture",SUMIFS(fl_ht,fl_doc,A574,fl_rate,INDEX(p_rates,5)),SUMIFS(dl_ht,dl_doc,F574,dl_rate,INDEX(p_rates,5))))</f>
        <v>0.0</v>
      </c>
      <c r="AP574" s="62">
        <f>IF(OR(AG574="",INDEX(p_rates,6)=""),0,IF(AG574="Facture",SUMIFS(fl_ht,fl_doc,A574,fl_rate,INDEX(p_rates,6)),SUMIFS(dl_ht,dl_doc,F574,dl_rate,INDEX(p_rates,6))))</f>
        <v>0.0</v>
      </c>
      <c r="AQ574" s="62">
        <f>ROUND(AK574*N(INDEX(p_rates,1)),2)+ROUND(AL574*N(INDEX(p_rates,2)),2)+ROUND(AM574*N(INDEX(p_rates,3)),2)+ROUND(AN574*N(INDEX(p_rates,4)),2)+ROUND(AO574*N(INDEX(p_rates,5)),2)+ROUND(AP574*N(INDEX(p_rates,6)),2)</f>
        <v>0.0</v>
      </c>
      <c r="AR574" s="62" t="str">
        <f>IF(OR(L574="",AA574&lt;&gt;"Facture"),"",IFERROR(IF(INDEX(fa_type,MATCH(L574,fa_num,0))="Facture d'acompte",MATCH(L574,fa_num,0),""),""))</f>
        <v/>
      </c>
      <c r="AS574" s="62" t="str">
        <f>IF(W574="","",IF(W574&lt;=0,"",IF(p_asof-P574&lt;=0,"Non échu",IF(p_asof-P574&lt;=30,"1-30 j",IF(p_asof-P574&lt;=60,"31-60 j",IF(p_asof-P574&lt;=90,"61-90 j","Plus de 90 j"))))))</f>
        <v/>
      </c>
      <c r="AT574" s="62" t="str">
        <f>IF(AS574="","",p_asof-P574)</f>
        <v/>
      </c>
      <c r="AU574" s="62" t="str">
        <f>IF(AT574="","",COUNTIF($AT$6:$AT$805,"&gt;"&amp;AT574)+COUNTIF($AT$6:AT574,AT574))</f>
        <v/>
      </c>
    </row>
    <row r="575">
      <c r="A575" s="59" t="str">
        <f>IF(AE575="","",AB575&amp;"-"&amp;AD575&amp;"-"&amp;RIGHT("000"&amp;AE575,4))</f>
        <v/>
      </c>
      <c r="B575" s="60" t="n"/>
      <c r="C575" s="61" t="n"/>
      <c r="D575" s="60" t="n"/>
      <c r="E575" s="62" t="str">
        <f>IF(D575="","",IFERROR(INDEX(cli_name,MATCH(D575,cli_code,0))&amp;"","Client inconnu"))</f>
        <v/>
      </c>
      <c r="F575" s="60" t="n"/>
      <c r="G575" s="63" t="n"/>
      <c r="H575" s="61" t="n"/>
      <c r="I575" s="63" t="n"/>
      <c r="J575" s="60" t="n"/>
      <c r="K575" s="61" t="n"/>
      <c r="L575" s="60" t="n"/>
      <c r="M575" s="60" t="n"/>
      <c r="N575" s="60" t="n"/>
      <c r="O575" s="61" t="n"/>
      <c r="P575" s="64" t="str">
        <f>IF(A575="","",IF(AA575="Avoir",AC575,IF(ISNUMBER(K575),K575,AC575+IF(D575="",N(p_delay),IFERROR(IF(ISNUMBER(INDEX(cli_delay,MATCH(D575,cli_code,0))),INDEX(cli_delay,MATCH(D575,cli_code,0)),N(p_delay)),N(p_delay))))))</f>
        <v/>
      </c>
      <c r="Q575" s="65" t="str">
        <f>IF(A575="","",IF(AA575="Avoir",-1,1)*ROUND(AJ575-IF(AR575="",0,INDEX(fa_htb,AR575)),2))</f>
        <v/>
      </c>
      <c r="R575" s="65" t="str">
        <f>IF(A575="","",IF(AA575="Avoir",-1,1)*ROUND(AQ575-IF(AR575="",0,INDEX(fa_tvab,AR575)),2))</f>
        <v/>
      </c>
      <c r="S575" s="65" t="str">
        <f>IF(A575="","",Q575+R575)</f>
        <v/>
      </c>
      <c r="T575" s="65" t="str">
        <f>IF(AR575="","",INDEX(fa_htb,AR575)+INDEX(fa_tvab,AR575))</f>
        <v/>
      </c>
      <c r="U575" s="65" t="str">
        <f>IF(A575="","",SUMIF(pa_inv,A575,pa_amt))</f>
        <v/>
      </c>
      <c r="V575" s="65" t="str">
        <f>IF(OR(A575="",AA575="Avoir"),"",-SUMIFS(fa_ttc,fa_avof,A575,fa_type,"Avoir"))</f>
        <v/>
      </c>
      <c r="W575" s="65" t="str">
        <f>IF(OR(A575="",AA575="Avoir"),"",ROUND(S575-U575-V575,2))</f>
        <v/>
      </c>
      <c r="X575" s="66" t="str">
        <f>IF(W575="","",IF(AND(W575&gt;0,p_asof&gt;P575),p_asof-P575,""))</f>
        <v/>
      </c>
      <c r="Y575" s="59" t="str">
        <f>IF(A575="","",IF(AA575="Avoir","Avoir",IF(W575&lt;0,"Trop-perçu",IF(W575=0,"Soldée",IF(p_asof&gt;P575,"En retard",IF(U575+V575&gt;0,"Partielle","À échoir"))))))</f>
        <v/>
      </c>
      <c r="Z575" s="59" t="str">
        <f>IF(NOT(COUNTA(B575:D575,F575:O575)&gt;0),"",IF(C575="","Date manquante",IF(NOT(ISNUMBER(C575)),"Date invalide",IF(D575="","Client manquant",IF(ISNA(MATCH(D575,cli_code,0)),"Client inconnu",IF(AC575&lt;SUMPRODUCT(MAX(($AB$6:AB574=AB575)*$AC$6:AC574)),"Date antérieure à la facture précédente",IF(AND(F575&lt;&gt;"",ISNA(MATCH(F575,dv_num,0))),"Devis inconnu",IF(AND(F575&lt;&gt;"",IFERROR(INDEX(dv_client,MATCH(F575,dv_num,0)),D575)&lt;&gt;D575),"Client différent de celui du devis",IF(AG575="","Aucune ligne : saisissez des lignes ou un devis",IF(AND(AI575&lt;&gt;"",COUNTIF($AI$6:AI575,AI575)&gt;1),"Devis déjà repris par une autre facture",IF(AND(AA575="Avoir",M575=""),"Avoir : indiquez la facture d'origine",IF(AND(AA575="Avoir",ISNA(MATCH(M575,fa_num,0))),"Facture d'origine inconnue",IF(AND(AA575&lt;&gt;"Avoir",M575&lt;&gt;""),"« Avoir sur facture » : réservé aux avoirs",IF(AND(L575&lt;&gt;"",AA575&lt;&gt;"Facture"),"Acompte à déduire : réservé aux factures",IF(AND(L575&lt;&gt;"",ISNA(MATCH(L575,fa_num,0))),"Facture d'acompte inconnue",IF(AND(L575&lt;&gt;"",IFERROR(INDEX(fa_type,MATCH(L575,fa_num,0)),"")&lt;&gt;"Facture d'acompte"),"Le n° à déduire n'est pas une facture d'acompte",IF(AND(L575&lt;&gt;"",COUNTIF($L$6:L575,L575)&gt;1),"Acompte déjà déduit sur une autre facture",IF(AND(L575&lt;&gt;"",IFERROR(INDEX(fa_client,MATCH(L575,fa_num,0)),D575)&lt;&gt;D575),"Acompte d'un autre client",IF(AND(AR575&lt;&gt;"",N(Q575)&lt;0),"Acompte supérieur au total de la facture",IF(IF(AG575="Facture",COUNTIFS(fl_doc,A575,fl_check,"&lt;&gt;OK"),IF(AG575="Devis",COUNTIFS(dl_doc,F575,dl_check,"&lt;&gt;OK"),0))&gt;0,"Ligne(s) à corriger",IF(AND(W575&lt;&gt;"",N(W575)&lt;0),"Trop-perçu : vérifiez paiements et avoirs","OK")))))))))))))))))))))</f>
        <v/>
      </c>
      <c r="AA575" s="62" t="str">
        <f>IF(COUNTA(B575:D575,F575:O575)&gt;0,IF(B575="","Facture",B575),"")</f>
        <v/>
      </c>
      <c r="AB575" s="62" t="str">
        <f>IF(AA575="","",IF(AA575="Avoir",p_pav,IF(AA575="Facture d'acompte",p_pac,p_pfa)))</f>
        <v/>
      </c>
      <c r="AC575" s="62">
        <f>IF(ISNUMBER(C575),C575,0)</f>
        <v>0.0</v>
      </c>
      <c r="AD575" s="62" t="str">
        <f>IF(OR(AA575="",AC575=0),"",YEAR(AC575))</f>
        <v/>
      </c>
      <c r="AE575" s="62" t="str">
        <f>IF(AD575="","",COUNTIFS($AB$6:AB575,AB575,$AD$6:AD575,AD575))</f>
        <v/>
      </c>
      <c r="AF575" s="62">
        <f>IF(A575="",0,COUNTIF(fl_doc,A575))</f>
        <v>0.0</v>
      </c>
      <c r="AG575" s="62" t="str">
        <f>IF(A575="","",IF(AF575&gt;0,"Facture",IF(AND(F575&lt;&gt;"",AA575="Facture",ISNUMBER(MATCH(F575,dv_num,0))),"Devis","")))</f>
        <v/>
      </c>
      <c r="AH575" s="62" t="str">
        <f>IF(AND(A575&lt;&gt;"",F575&lt;&gt;"",AA575&lt;&gt;"Avoir"),F575,"")</f>
        <v/>
      </c>
      <c r="AI575" s="62" t="str">
        <f>IF(AG575="Devis",F575,"")</f>
        <v/>
      </c>
      <c r="AJ575" s="62">
        <f>IF(AG575="Facture",SUMIF(fl_doc,A575,fl_ht),IF(AG575="Devis",SUMIF(dl_doc,F575,dl_ht),0))</f>
        <v>0.0</v>
      </c>
      <c r="AK575" s="62">
        <f>IF(OR(AG575="",INDEX(p_rates,1)=""),0,IF(AG575="Facture",SUMIFS(fl_ht,fl_doc,A575,fl_rate,INDEX(p_rates,1)),SUMIFS(dl_ht,dl_doc,F575,dl_rate,INDEX(p_rates,1))))</f>
        <v>0.0</v>
      </c>
      <c r="AL575" s="62">
        <f>IF(OR(AG575="",INDEX(p_rates,2)=""),0,IF(AG575="Facture",SUMIFS(fl_ht,fl_doc,A575,fl_rate,INDEX(p_rates,2)),SUMIFS(dl_ht,dl_doc,F575,dl_rate,INDEX(p_rates,2))))</f>
        <v>0.0</v>
      </c>
      <c r="AM575" s="62">
        <f>IF(OR(AG575="",INDEX(p_rates,3)=""),0,IF(AG575="Facture",SUMIFS(fl_ht,fl_doc,A575,fl_rate,INDEX(p_rates,3)),SUMIFS(dl_ht,dl_doc,F575,dl_rate,INDEX(p_rates,3))))</f>
        <v>0.0</v>
      </c>
      <c r="AN575" s="62">
        <f>IF(OR(AG575="",INDEX(p_rates,4)=""),0,IF(AG575="Facture",SUMIFS(fl_ht,fl_doc,A575,fl_rate,INDEX(p_rates,4)),SUMIFS(dl_ht,dl_doc,F575,dl_rate,INDEX(p_rates,4))))</f>
        <v>0.0</v>
      </c>
      <c r="AO575" s="62">
        <f>IF(OR(AG575="",INDEX(p_rates,5)=""),0,IF(AG575="Facture",SUMIFS(fl_ht,fl_doc,A575,fl_rate,INDEX(p_rates,5)),SUMIFS(dl_ht,dl_doc,F575,dl_rate,INDEX(p_rates,5))))</f>
        <v>0.0</v>
      </c>
      <c r="AP575" s="62">
        <f>IF(OR(AG575="",INDEX(p_rates,6)=""),0,IF(AG575="Facture",SUMIFS(fl_ht,fl_doc,A575,fl_rate,INDEX(p_rates,6)),SUMIFS(dl_ht,dl_doc,F575,dl_rate,INDEX(p_rates,6))))</f>
        <v>0.0</v>
      </c>
      <c r="AQ575" s="62">
        <f>ROUND(AK575*N(INDEX(p_rates,1)),2)+ROUND(AL575*N(INDEX(p_rates,2)),2)+ROUND(AM575*N(INDEX(p_rates,3)),2)+ROUND(AN575*N(INDEX(p_rates,4)),2)+ROUND(AO575*N(INDEX(p_rates,5)),2)+ROUND(AP575*N(INDEX(p_rates,6)),2)</f>
        <v>0.0</v>
      </c>
      <c r="AR575" s="62" t="str">
        <f>IF(OR(L575="",AA575&lt;&gt;"Facture"),"",IFERROR(IF(INDEX(fa_type,MATCH(L575,fa_num,0))="Facture d'acompte",MATCH(L575,fa_num,0),""),""))</f>
        <v/>
      </c>
      <c r="AS575" s="62" t="str">
        <f>IF(W575="","",IF(W575&lt;=0,"",IF(p_asof-P575&lt;=0,"Non échu",IF(p_asof-P575&lt;=30,"1-30 j",IF(p_asof-P575&lt;=60,"31-60 j",IF(p_asof-P575&lt;=90,"61-90 j","Plus de 90 j"))))))</f>
        <v/>
      </c>
      <c r="AT575" s="62" t="str">
        <f>IF(AS575="","",p_asof-P575)</f>
        <v/>
      </c>
      <c r="AU575" s="62" t="str">
        <f>IF(AT575="","",COUNTIF($AT$6:$AT$805,"&gt;"&amp;AT575)+COUNTIF($AT$6:AT575,AT575))</f>
        <v/>
      </c>
    </row>
    <row r="576">
      <c r="A576" s="59" t="str">
        <f>IF(AE576="","",AB576&amp;"-"&amp;AD576&amp;"-"&amp;RIGHT("000"&amp;AE576,4))</f>
        <v/>
      </c>
      <c r="B576" s="60" t="n"/>
      <c r="C576" s="61" t="n"/>
      <c r="D576" s="60" t="n"/>
      <c r="E576" s="62" t="str">
        <f>IF(D576="","",IFERROR(INDEX(cli_name,MATCH(D576,cli_code,0))&amp;"","Client inconnu"))</f>
        <v/>
      </c>
      <c r="F576" s="60" t="n"/>
      <c r="G576" s="63" t="n"/>
      <c r="H576" s="61" t="n"/>
      <c r="I576" s="63" t="n"/>
      <c r="J576" s="60" t="n"/>
      <c r="K576" s="61" t="n"/>
      <c r="L576" s="60" t="n"/>
      <c r="M576" s="60" t="n"/>
      <c r="N576" s="60" t="n"/>
      <c r="O576" s="61" t="n"/>
      <c r="P576" s="64" t="str">
        <f>IF(A576="","",IF(AA576="Avoir",AC576,IF(ISNUMBER(K576),K576,AC576+IF(D576="",N(p_delay),IFERROR(IF(ISNUMBER(INDEX(cli_delay,MATCH(D576,cli_code,0))),INDEX(cli_delay,MATCH(D576,cli_code,0)),N(p_delay)),N(p_delay))))))</f>
        <v/>
      </c>
      <c r="Q576" s="65" t="str">
        <f>IF(A576="","",IF(AA576="Avoir",-1,1)*ROUND(AJ576-IF(AR576="",0,INDEX(fa_htb,AR576)),2))</f>
        <v/>
      </c>
      <c r="R576" s="65" t="str">
        <f>IF(A576="","",IF(AA576="Avoir",-1,1)*ROUND(AQ576-IF(AR576="",0,INDEX(fa_tvab,AR576)),2))</f>
        <v/>
      </c>
      <c r="S576" s="65" t="str">
        <f>IF(A576="","",Q576+R576)</f>
        <v/>
      </c>
      <c r="T576" s="65" t="str">
        <f>IF(AR576="","",INDEX(fa_htb,AR576)+INDEX(fa_tvab,AR576))</f>
        <v/>
      </c>
      <c r="U576" s="65" t="str">
        <f>IF(A576="","",SUMIF(pa_inv,A576,pa_amt))</f>
        <v/>
      </c>
      <c r="V576" s="65" t="str">
        <f>IF(OR(A576="",AA576="Avoir"),"",-SUMIFS(fa_ttc,fa_avof,A576,fa_type,"Avoir"))</f>
        <v/>
      </c>
      <c r="W576" s="65" t="str">
        <f>IF(OR(A576="",AA576="Avoir"),"",ROUND(S576-U576-V576,2))</f>
        <v/>
      </c>
      <c r="X576" s="66" t="str">
        <f>IF(W576="","",IF(AND(W576&gt;0,p_asof&gt;P576),p_asof-P576,""))</f>
        <v/>
      </c>
      <c r="Y576" s="59" t="str">
        <f>IF(A576="","",IF(AA576="Avoir","Avoir",IF(W576&lt;0,"Trop-perçu",IF(W576=0,"Soldée",IF(p_asof&gt;P576,"En retard",IF(U576+V576&gt;0,"Partielle","À échoir"))))))</f>
        <v/>
      </c>
      <c r="Z576" s="59" t="str">
        <f>IF(NOT(COUNTA(B576:D576,F576:O576)&gt;0),"",IF(C576="","Date manquante",IF(NOT(ISNUMBER(C576)),"Date invalide",IF(D576="","Client manquant",IF(ISNA(MATCH(D576,cli_code,0)),"Client inconnu",IF(AC576&lt;SUMPRODUCT(MAX(($AB$6:AB575=AB576)*$AC$6:AC575)),"Date antérieure à la facture précédente",IF(AND(F576&lt;&gt;"",ISNA(MATCH(F576,dv_num,0))),"Devis inconnu",IF(AND(F576&lt;&gt;"",IFERROR(INDEX(dv_client,MATCH(F576,dv_num,0)),D576)&lt;&gt;D576),"Client différent de celui du devis",IF(AG576="","Aucune ligne : saisissez des lignes ou un devis",IF(AND(AI576&lt;&gt;"",COUNTIF($AI$6:AI576,AI576)&gt;1),"Devis déjà repris par une autre facture",IF(AND(AA576="Avoir",M576=""),"Avoir : indiquez la facture d'origine",IF(AND(AA576="Avoir",ISNA(MATCH(M576,fa_num,0))),"Facture d'origine inconnue",IF(AND(AA576&lt;&gt;"Avoir",M576&lt;&gt;""),"« Avoir sur facture » : réservé aux avoirs",IF(AND(L576&lt;&gt;"",AA576&lt;&gt;"Facture"),"Acompte à déduire : réservé aux factures",IF(AND(L576&lt;&gt;"",ISNA(MATCH(L576,fa_num,0))),"Facture d'acompte inconnue",IF(AND(L576&lt;&gt;"",IFERROR(INDEX(fa_type,MATCH(L576,fa_num,0)),"")&lt;&gt;"Facture d'acompte"),"Le n° à déduire n'est pas une facture d'acompte",IF(AND(L576&lt;&gt;"",COUNTIF($L$6:L576,L576)&gt;1),"Acompte déjà déduit sur une autre facture",IF(AND(L576&lt;&gt;"",IFERROR(INDEX(fa_client,MATCH(L576,fa_num,0)),D576)&lt;&gt;D576),"Acompte d'un autre client",IF(AND(AR576&lt;&gt;"",N(Q576)&lt;0),"Acompte supérieur au total de la facture",IF(IF(AG576="Facture",COUNTIFS(fl_doc,A576,fl_check,"&lt;&gt;OK"),IF(AG576="Devis",COUNTIFS(dl_doc,F576,dl_check,"&lt;&gt;OK"),0))&gt;0,"Ligne(s) à corriger",IF(AND(W576&lt;&gt;"",N(W576)&lt;0),"Trop-perçu : vérifiez paiements et avoirs","OK")))))))))))))))))))))</f>
        <v/>
      </c>
      <c r="AA576" s="62" t="str">
        <f>IF(COUNTA(B576:D576,F576:O576)&gt;0,IF(B576="","Facture",B576),"")</f>
        <v/>
      </c>
      <c r="AB576" s="62" t="str">
        <f>IF(AA576="","",IF(AA576="Avoir",p_pav,IF(AA576="Facture d'acompte",p_pac,p_pfa)))</f>
        <v/>
      </c>
      <c r="AC576" s="62">
        <f>IF(ISNUMBER(C576),C576,0)</f>
        <v>0.0</v>
      </c>
      <c r="AD576" s="62" t="str">
        <f>IF(OR(AA576="",AC576=0),"",YEAR(AC576))</f>
        <v/>
      </c>
      <c r="AE576" s="62" t="str">
        <f>IF(AD576="","",COUNTIFS($AB$6:AB576,AB576,$AD$6:AD576,AD576))</f>
        <v/>
      </c>
      <c r="AF576" s="62">
        <f>IF(A576="",0,COUNTIF(fl_doc,A576))</f>
        <v>0.0</v>
      </c>
      <c r="AG576" s="62" t="str">
        <f>IF(A576="","",IF(AF576&gt;0,"Facture",IF(AND(F576&lt;&gt;"",AA576="Facture",ISNUMBER(MATCH(F576,dv_num,0))),"Devis","")))</f>
        <v/>
      </c>
      <c r="AH576" s="62" t="str">
        <f>IF(AND(A576&lt;&gt;"",F576&lt;&gt;"",AA576&lt;&gt;"Avoir"),F576,"")</f>
        <v/>
      </c>
      <c r="AI576" s="62" t="str">
        <f>IF(AG576="Devis",F576,"")</f>
        <v/>
      </c>
      <c r="AJ576" s="62">
        <f>IF(AG576="Facture",SUMIF(fl_doc,A576,fl_ht),IF(AG576="Devis",SUMIF(dl_doc,F576,dl_ht),0))</f>
        <v>0.0</v>
      </c>
      <c r="AK576" s="62">
        <f>IF(OR(AG576="",INDEX(p_rates,1)=""),0,IF(AG576="Facture",SUMIFS(fl_ht,fl_doc,A576,fl_rate,INDEX(p_rates,1)),SUMIFS(dl_ht,dl_doc,F576,dl_rate,INDEX(p_rates,1))))</f>
        <v>0.0</v>
      </c>
      <c r="AL576" s="62">
        <f>IF(OR(AG576="",INDEX(p_rates,2)=""),0,IF(AG576="Facture",SUMIFS(fl_ht,fl_doc,A576,fl_rate,INDEX(p_rates,2)),SUMIFS(dl_ht,dl_doc,F576,dl_rate,INDEX(p_rates,2))))</f>
        <v>0.0</v>
      </c>
      <c r="AM576" s="62">
        <f>IF(OR(AG576="",INDEX(p_rates,3)=""),0,IF(AG576="Facture",SUMIFS(fl_ht,fl_doc,A576,fl_rate,INDEX(p_rates,3)),SUMIFS(dl_ht,dl_doc,F576,dl_rate,INDEX(p_rates,3))))</f>
        <v>0.0</v>
      </c>
      <c r="AN576" s="62">
        <f>IF(OR(AG576="",INDEX(p_rates,4)=""),0,IF(AG576="Facture",SUMIFS(fl_ht,fl_doc,A576,fl_rate,INDEX(p_rates,4)),SUMIFS(dl_ht,dl_doc,F576,dl_rate,INDEX(p_rates,4))))</f>
        <v>0.0</v>
      </c>
      <c r="AO576" s="62">
        <f>IF(OR(AG576="",INDEX(p_rates,5)=""),0,IF(AG576="Facture",SUMIFS(fl_ht,fl_doc,A576,fl_rate,INDEX(p_rates,5)),SUMIFS(dl_ht,dl_doc,F576,dl_rate,INDEX(p_rates,5))))</f>
        <v>0.0</v>
      </c>
      <c r="AP576" s="62">
        <f>IF(OR(AG576="",INDEX(p_rates,6)=""),0,IF(AG576="Facture",SUMIFS(fl_ht,fl_doc,A576,fl_rate,INDEX(p_rates,6)),SUMIFS(dl_ht,dl_doc,F576,dl_rate,INDEX(p_rates,6))))</f>
        <v>0.0</v>
      </c>
      <c r="AQ576" s="62">
        <f>ROUND(AK576*N(INDEX(p_rates,1)),2)+ROUND(AL576*N(INDEX(p_rates,2)),2)+ROUND(AM576*N(INDEX(p_rates,3)),2)+ROUND(AN576*N(INDEX(p_rates,4)),2)+ROUND(AO576*N(INDEX(p_rates,5)),2)+ROUND(AP576*N(INDEX(p_rates,6)),2)</f>
        <v>0.0</v>
      </c>
      <c r="AR576" s="62" t="str">
        <f>IF(OR(L576="",AA576&lt;&gt;"Facture"),"",IFERROR(IF(INDEX(fa_type,MATCH(L576,fa_num,0))="Facture d'acompte",MATCH(L576,fa_num,0),""),""))</f>
        <v/>
      </c>
      <c r="AS576" s="62" t="str">
        <f>IF(W576="","",IF(W576&lt;=0,"",IF(p_asof-P576&lt;=0,"Non échu",IF(p_asof-P576&lt;=30,"1-30 j",IF(p_asof-P576&lt;=60,"31-60 j",IF(p_asof-P576&lt;=90,"61-90 j","Plus de 90 j"))))))</f>
        <v/>
      </c>
      <c r="AT576" s="62" t="str">
        <f>IF(AS576="","",p_asof-P576)</f>
        <v/>
      </c>
      <c r="AU576" s="62" t="str">
        <f>IF(AT576="","",COUNTIF($AT$6:$AT$805,"&gt;"&amp;AT576)+COUNTIF($AT$6:AT576,AT576))</f>
        <v/>
      </c>
    </row>
    <row r="577">
      <c r="A577" s="59" t="str">
        <f>IF(AE577="","",AB577&amp;"-"&amp;AD577&amp;"-"&amp;RIGHT("000"&amp;AE577,4))</f>
        <v/>
      </c>
      <c r="B577" s="60" t="n"/>
      <c r="C577" s="61" t="n"/>
      <c r="D577" s="60" t="n"/>
      <c r="E577" s="62" t="str">
        <f>IF(D577="","",IFERROR(INDEX(cli_name,MATCH(D577,cli_code,0))&amp;"","Client inconnu"))</f>
        <v/>
      </c>
      <c r="F577" s="60" t="n"/>
      <c r="G577" s="63" t="n"/>
      <c r="H577" s="61" t="n"/>
      <c r="I577" s="63" t="n"/>
      <c r="J577" s="60" t="n"/>
      <c r="K577" s="61" t="n"/>
      <c r="L577" s="60" t="n"/>
      <c r="M577" s="60" t="n"/>
      <c r="N577" s="60" t="n"/>
      <c r="O577" s="61" t="n"/>
      <c r="P577" s="64" t="str">
        <f>IF(A577="","",IF(AA577="Avoir",AC577,IF(ISNUMBER(K577),K577,AC577+IF(D577="",N(p_delay),IFERROR(IF(ISNUMBER(INDEX(cli_delay,MATCH(D577,cli_code,0))),INDEX(cli_delay,MATCH(D577,cli_code,0)),N(p_delay)),N(p_delay))))))</f>
        <v/>
      </c>
      <c r="Q577" s="65" t="str">
        <f>IF(A577="","",IF(AA577="Avoir",-1,1)*ROUND(AJ577-IF(AR577="",0,INDEX(fa_htb,AR577)),2))</f>
        <v/>
      </c>
      <c r="R577" s="65" t="str">
        <f>IF(A577="","",IF(AA577="Avoir",-1,1)*ROUND(AQ577-IF(AR577="",0,INDEX(fa_tvab,AR577)),2))</f>
        <v/>
      </c>
      <c r="S577" s="65" t="str">
        <f>IF(A577="","",Q577+R577)</f>
        <v/>
      </c>
      <c r="T577" s="65" t="str">
        <f>IF(AR577="","",INDEX(fa_htb,AR577)+INDEX(fa_tvab,AR577))</f>
        <v/>
      </c>
      <c r="U577" s="65" t="str">
        <f>IF(A577="","",SUMIF(pa_inv,A577,pa_amt))</f>
        <v/>
      </c>
      <c r="V577" s="65" t="str">
        <f>IF(OR(A577="",AA577="Avoir"),"",-SUMIFS(fa_ttc,fa_avof,A577,fa_type,"Avoir"))</f>
        <v/>
      </c>
      <c r="W577" s="65" t="str">
        <f>IF(OR(A577="",AA577="Avoir"),"",ROUND(S577-U577-V577,2))</f>
        <v/>
      </c>
      <c r="X577" s="66" t="str">
        <f>IF(W577="","",IF(AND(W577&gt;0,p_asof&gt;P577),p_asof-P577,""))</f>
        <v/>
      </c>
      <c r="Y577" s="59" t="str">
        <f>IF(A577="","",IF(AA577="Avoir","Avoir",IF(W577&lt;0,"Trop-perçu",IF(W577=0,"Soldée",IF(p_asof&gt;P577,"En retard",IF(U577+V577&gt;0,"Partielle","À échoir"))))))</f>
        <v/>
      </c>
      <c r="Z577" s="59" t="str">
        <f>IF(NOT(COUNTA(B577:D577,F577:O577)&gt;0),"",IF(C577="","Date manquante",IF(NOT(ISNUMBER(C577)),"Date invalide",IF(D577="","Client manquant",IF(ISNA(MATCH(D577,cli_code,0)),"Client inconnu",IF(AC577&lt;SUMPRODUCT(MAX(($AB$6:AB576=AB577)*$AC$6:AC576)),"Date antérieure à la facture précédente",IF(AND(F577&lt;&gt;"",ISNA(MATCH(F577,dv_num,0))),"Devis inconnu",IF(AND(F577&lt;&gt;"",IFERROR(INDEX(dv_client,MATCH(F577,dv_num,0)),D577)&lt;&gt;D577),"Client différent de celui du devis",IF(AG577="","Aucune ligne : saisissez des lignes ou un devis",IF(AND(AI577&lt;&gt;"",COUNTIF($AI$6:AI577,AI577)&gt;1),"Devis déjà repris par une autre facture",IF(AND(AA577="Avoir",M577=""),"Avoir : indiquez la facture d'origine",IF(AND(AA577="Avoir",ISNA(MATCH(M577,fa_num,0))),"Facture d'origine inconnue",IF(AND(AA577&lt;&gt;"Avoir",M577&lt;&gt;""),"« Avoir sur facture » : réservé aux avoirs",IF(AND(L577&lt;&gt;"",AA577&lt;&gt;"Facture"),"Acompte à déduire : réservé aux factures",IF(AND(L577&lt;&gt;"",ISNA(MATCH(L577,fa_num,0))),"Facture d'acompte inconnue",IF(AND(L577&lt;&gt;"",IFERROR(INDEX(fa_type,MATCH(L577,fa_num,0)),"")&lt;&gt;"Facture d'acompte"),"Le n° à déduire n'est pas une facture d'acompte",IF(AND(L577&lt;&gt;"",COUNTIF($L$6:L577,L577)&gt;1),"Acompte déjà déduit sur une autre facture",IF(AND(L577&lt;&gt;"",IFERROR(INDEX(fa_client,MATCH(L577,fa_num,0)),D577)&lt;&gt;D577),"Acompte d'un autre client",IF(AND(AR577&lt;&gt;"",N(Q577)&lt;0),"Acompte supérieur au total de la facture",IF(IF(AG577="Facture",COUNTIFS(fl_doc,A577,fl_check,"&lt;&gt;OK"),IF(AG577="Devis",COUNTIFS(dl_doc,F577,dl_check,"&lt;&gt;OK"),0))&gt;0,"Ligne(s) à corriger",IF(AND(W577&lt;&gt;"",N(W577)&lt;0),"Trop-perçu : vérifiez paiements et avoirs","OK")))))))))))))))))))))</f>
        <v/>
      </c>
      <c r="AA577" s="62" t="str">
        <f>IF(COUNTA(B577:D577,F577:O577)&gt;0,IF(B577="","Facture",B577),"")</f>
        <v/>
      </c>
      <c r="AB577" s="62" t="str">
        <f>IF(AA577="","",IF(AA577="Avoir",p_pav,IF(AA577="Facture d'acompte",p_pac,p_pfa)))</f>
        <v/>
      </c>
      <c r="AC577" s="62">
        <f>IF(ISNUMBER(C577),C577,0)</f>
        <v>0.0</v>
      </c>
      <c r="AD577" s="62" t="str">
        <f>IF(OR(AA577="",AC577=0),"",YEAR(AC577))</f>
        <v/>
      </c>
      <c r="AE577" s="62" t="str">
        <f>IF(AD577="","",COUNTIFS($AB$6:AB577,AB577,$AD$6:AD577,AD577))</f>
        <v/>
      </c>
      <c r="AF577" s="62">
        <f>IF(A577="",0,COUNTIF(fl_doc,A577))</f>
        <v>0.0</v>
      </c>
      <c r="AG577" s="62" t="str">
        <f>IF(A577="","",IF(AF577&gt;0,"Facture",IF(AND(F577&lt;&gt;"",AA577="Facture",ISNUMBER(MATCH(F577,dv_num,0))),"Devis","")))</f>
        <v/>
      </c>
      <c r="AH577" s="62" t="str">
        <f>IF(AND(A577&lt;&gt;"",F577&lt;&gt;"",AA577&lt;&gt;"Avoir"),F577,"")</f>
        <v/>
      </c>
      <c r="AI577" s="62" t="str">
        <f>IF(AG577="Devis",F577,"")</f>
        <v/>
      </c>
      <c r="AJ577" s="62">
        <f>IF(AG577="Facture",SUMIF(fl_doc,A577,fl_ht),IF(AG577="Devis",SUMIF(dl_doc,F577,dl_ht),0))</f>
        <v>0.0</v>
      </c>
      <c r="AK577" s="62">
        <f>IF(OR(AG577="",INDEX(p_rates,1)=""),0,IF(AG577="Facture",SUMIFS(fl_ht,fl_doc,A577,fl_rate,INDEX(p_rates,1)),SUMIFS(dl_ht,dl_doc,F577,dl_rate,INDEX(p_rates,1))))</f>
        <v>0.0</v>
      </c>
      <c r="AL577" s="62">
        <f>IF(OR(AG577="",INDEX(p_rates,2)=""),0,IF(AG577="Facture",SUMIFS(fl_ht,fl_doc,A577,fl_rate,INDEX(p_rates,2)),SUMIFS(dl_ht,dl_doc,F577,dl_rate,INDEX(p_rates,2))))</f>
        <v>0.0</v>
      </c>
      <c r="AM577" s="62">
        <f>IF(OR(AG577="",INDEX(p_rates,3)=""),0,IF(AG577="Facture",SUMIFS(fl_ht,fl_doc,A577,fl_rate,INDEX(p_rates,3)),SUMIFS(dl_ht,dl_doc,F577,dl_rate,INDEX(p_rates,3))))</f>
        <v>0.0</v>
      </c>
      <c r="AN577" s="62">
        <f>IF(OR(AG577="",INDEX(p_rates,4)=""),0,IF(AG577="Facture",SUMIFS(fl_ht,fl_doc,A577,fl_rate,INDEX(p_rates,4)),SUMIFS(dl_ht,dl_doc,F577,dl_rate,INDEX(p_rates,4))))</f>
        <v>0.0</v>
      </c>
      <c r="AO577" s="62">
        <f>IF(OR(AG577="",INDEX(p_rates,5)=""),0,IF(AG577="Facture",SUMIFS(fl_ht,fl_doc,A577,fl_rate,INDEX(p_rates,5)),SUMIFS(dl_ht,dl_doc,F577,dl_rate,INDEX(p_rates,5))))</f>
        <v>0.0</v>
      </c>
      <c r="AP577" s="62">
        <f>IF(OR(AG577="",INDEX(p_rates,6)=""),0,IF(AG577="Facture",SUMIFS(fl_ht,fl_doc,A577,fl_rate,INDEX(p_rates,6)),SUMIFS(dl_ht,dl_doc,F577,dl_rate,INDEX(p_rates,6))))</f>
        <v>0.0</v>
      </c>
      <c r="AQ577" s="62">
        <f>ROUND(AK577*N(INDEX(p_rates,1)),2)+ROUND(AL577*N(INDEX(p_rates,2)),2)+ROUND(AM577*N(INDEX(p_rates,3)),2)+ROUND(AN577*N(INDEX(p_rates,4)),2)+ROUND(AO577*N(INDEX(p_rates,5)),2)+ROUND(AP577*N(INDEX(p_rates,6)),2)</f>
        <v>0.0</v>
      </c>
      <c r="AR577" s="62" t="str">
        <f>IF(OR(L577="",AA577&lt;&gt;"Facture"),"",IFERROR(IF(INDEX(fa_type,MATCH(L577,fa_num,0))="Facture d'acompte",MATCH(L577,fa_num,0),""),""))</f>
        <v/>
      </c>
      <c r="AS577" s="62" t="str">
        <f>IF(W577="","",IF(W577&lt;=0,"",IF(p_asof-P577&lt;=0,"Non échu",IF(p_asof-P577&lt;=30,"1-30 j",IF(p_asof-P577&lt;=60,"31-60 j",IF(p_asof-P577&lt;=90,"61-90 j","Plus de 90 j"))))))</f>
        <v/>
      </c>
      <c r="AT577" s="62" t="str">
        <f>IF(AS577="","",p_asof-P577)</f>
        <v/>
      </c>
      <c r="AU577" s="62" t="str">
        <f>IF(AT577="","",COUNTIF($AT$6:$AT$805,"&gt;"&amp;AT577)+COUNTIF($AT$6:AT577,AT577))</f>
        <v/>
      </c>
    </row>
    <row r="578">
      <c r="A578" s="59" t="str">
        <f>IF(AE578="","",AB578&amp;"-"&amp;AD578&amp;"-"&amp;RIGHT("000"&amp;AE578,4))</f>
        <v/>
      </c>
      <c r="B578" s="60" t="n"/>
      <c r="C578" s="61" t="n"/>
      <c r="D578" s="60" t="n"/>
      <c r="E578" s="62" t="str">
        <f>IF(D578="","",IFERROR(INDEX(cli_name,MATCH(D578,cli_code,0))&amp;"","Client inconnu"))</f>
        <v/>
      </c>
      <c r="F578" s="60" t="n"/>
      <c r="G578" s="63" t="n"/>
      <c r="H578" s="61" t="n"/>
      <c r="I578" s="63" t="n"/>
      <c r="J578" s="60" t="n"/>
      <c r="K578" s="61" t="n"/>
      <c r="L578" s="60" t="n"/>
      <c r="M578" s="60" t="n"/>
      <c r="N578" s="60" t="n"/>
      <c r="O578" s="61" t="n"/>
      <c r="P578" s="64" t="str">
        <f>IF(A578="","",IF(AA578="Avoir",AC578,IF(ISNUMBER(K578),K578,AC578+IF(D578="",N(p_delay),IFERROR(IF(ISNUMBER(INDEX(cli_delay,MATCH(D578,cli_code,0))),INDEX(cli_delay,MATCH(D578,cli_code,0)),N(p_delay)),N(p_delay))))))</f>
        <v/>
      </c>
      <c r="Q578" s="65" t="str">
        <f>IF(A578="","",IF(AA578="Avoir",-1,1)*ROUND(AJ578-IF(AR578="",0,INDEX(fa_htb,AR578)),2))</f>
        <v/>
      </c>
      <c r="R578" s="65" t="str">
        <f>IF(A578="","",IF(AA578="Avoir",-1,1)*ROUND(AQ578-IF(AR578="",0,INDEX(fa_tvab,AR578)),2))</f>
        <v/>
      </c>
      <c r="S578" s="65" t="str">
        <f>IF(A578="","",Q578+R578)</f>
        <v/>
      </c>
      <c r="T578" s="65" t="str">
        <f>IF(AR578="","",INDEX(fa_htb,AR578)+INDEX(fa_tvab,AR578))</f>
        <v/>
      </c>
      <c r="U578" s="65" t="str">
        <f>IF(A578="","",SUMIF(pa_inv,A578,pa_amt))</f>
        <v/>
      </c>
      <c r="V578" s="65" t="str">
        <f>IF(OR(A578="",AA578="Avoir"),"",-SUMIFS(fa_ttc,fa_avof,A578,fa_type,"Avoir"))</f>
        <v/>
      </c>
      <c r="W578" s="65" t="str">
        <f>IF(OR(A578="",AA578="Avoir"),"",ROUND(S578-U578-V578,2))</f>
        <v/>
      </c>
      <c r="X578" s="66" t="str">
        <f>IF(W578="","",IF(AND(W578&gt;0,p_asof&gt;P578),p_asof-P578,""))</f>
        <v/>
      </c>
      <c r="Y578" s="59" t="str">
        <f>IF(A578="","",IF(AA578="Avoir","Avoir",IF(W578&lt;0,"Trop-perçu",IF(W578=0,"Soldée",IF(p_asof&gt;P578,"En retard",IF(U578+V578&gt;0,"Partielle","À échoir"))))))</f>
        <v/>
      </c>
      <c r="Z578" s="59" t="str">
        <f>IF(NOT(COUNTA(B578:D578,F578:O578)&gt;0),"",IF(C578="","Date manquante",IF(NOT(ISNUMBER(C578)),"Date invalide",IF(D578="","Client manquant",IF(ISNA(MATCH(D578,cli_code,0)),"Client inconnu",IF(AC578&lt;SUMPRODUCT(MAX(($AB$6:AB577=AB578)*$AC$6:AC577)),"Date antérieure à la facture précédente",IF(AND(F578&lt;&gt;"",ISNA(MATCH(F578,dv_num,0))),"Devis inconnu",IF(AND(F578&lt;&gt;"",IFERROR(INDEX(dv_client,MATCH(F578,dv_num,0)),D578)&lt;&gt;D578),"Client différent de celui du devis",IF(AG578="","Aucune ligne : saisissez des lignes ou un devis",IF(AND(AI578&lt;&gt;"",COUNTIF($AI$6:AI578,AI578)&gt;1),"Devis déjà repris par une autre facture",IF(AND(AA578="Avoir",M578=""),"Avoir : indiquez la facture d'origine",IF(AND(AA578="Avoir",ISNA(MATCH(M578,fa_num,0))),"Facture d'origine inconnue",IF(AND(AA578&lt;&gt;"Avoir",M578&lt;&gt;""),"« Avoir sur facture » : réservé aux avoirs",IF(AND(L578&lt;&gt;"",AA578&lt;&gt;"Facture"),"Acompte à déduire : réservé aux factures",IF(AND(L578&lt;&gt;"",ISNA(MATCH(L578,fa_num,0))),"Facture d'acompte inconnue",IF(AND(L578&lt;&gt;"",IFERROR(INDEX(fa_type,MATCH(L578,fa_num,0)),"")&lt;&gt;"Facture d'acompte"),"Le n° à déduire n'est pas une facture d'acompte",IF(AND(L578&lt;&gt;"",COUNTIF($L$6:L578,L578)&gt;1),"Acompte déjà déduit sur une autre facture",IF(AND(L578&lt;&gt;"",IFERROR(INDEX(fa_client,MATCH(L578,fa_num,0)),D578)&lt;&gt;D578),"Acompte d'un autre client",IF(AND(AR578&lt;&gt;"",N(Q578)&lt;0),"Acompte supérieur au total de la facture",IF(IF(AG578="Facture",COUNTIFS(fl_doc,A578,fl_check,"&lt;&gt;OK"),IF(AG578="Devis",COUNTIFS(dl_doc,F578,dl_check,"&lt;&gt;OK"),0))&gt;0,"Ligne(s) à corriger",IF(AND(W578&lt;&gt;"",N(W578)&lt;0),"Trop-perçu : vérifiez paiements et avoirs","OK")))))))))))))))))))))</f>
        <v/>
      </c>
      <c r="AA578" s="62" t="str">
        <f>IF(COUNTA(B578:D578,F578:O578)&gt;0,IF(B578="","Facture",B578),"")</f>
        <v/>
      </c>
      <c r="AB578" s="62" t="str">
        <f>IF(AA578="","",IF(AA578="Avoir",p_pav,IF(AA578="Facture d'acompte",p_pac,p_pfa)))</f>
        <v/>
      </c>
      <c r="AC578" s="62">
        <f>IF(ISNUMBER(C578),C578,0)</f>
        <v>0.0</v>
      </c>
      <c r="AD578" s="62" t="str">
        <f>IF(OR(AA578="",AC578=0),"",YEAR(AC578))</f>
        <v/>
      </c>
      <c r="AE578" s="62" t="str">
        <f>IF(AD578="","",COUNTIFS($AB$6:AB578,AB578,$AD$6:AD578,AD578))</f>
        <v/>
      </c>
      <c r="AF578" s="62">
        <f>IF(A578="",0,COUNTIF(fl_doc,A578))</f>
        <v>0.0</v>
      </c>
      <c r="AG578" s="62" t="str">
        <f>IF(A578="","",IF(AF578&gt;0,"Facture",IF(AND(F578&lt;&gt;"",AA578="Facture",ISNUMBER(MATCH(F578,dv_num,0))),"Devis","")))</f>
        <v/>
      </c>
      <c r="AH578" s="62" t="str">
        <f>IF(AND(A578&lt;&gt;"",F578&lt;&gt;"",AA578&lt;&gt;"Avoir"),F578,"")</f>
        <v/>
      </c>
      <c r="AI578" s="62" t="str">
        <f>IF(AG578="Devis",F578,"")</f>
        <v/>
      </c>
      <c r="AJ578" s="62">
        <f>IF(AG578="Facture",SUMIF(fl_doc,A578,fl_ht),IF(AG578="Devis",SUMIF(dl_doc,F578,dl_ht),0))</f>
        <v>0.0</v>
      </c>
      <c r="AK578" s="62">
        <f>IF(OR(AG578="",INDEX(p_rates,1)=""),0,IF(AG578="Facture",SUMIFS(fl_ht,fl_doc,A578,fl_rate,INDEX(p_rates,1)),SUMIFS(dl_ht,dl_doc,F578,dl_rate,INDEX(p_rates,1))))</f>
        <v>0.0</v>
      </c>
      <c r="AL578" s="62">
        <f>IF(OR(AG578="",INDEX(p_rates,2)=""),0,IF(AG578="Facture",SUMIFS(fl_ht,fl_doc,A578,fl_rate,INDEX(p_rates,2)),SUMIFS(dl_ht,dl_doc,F578,dl_rate,INDEX(p_rates,2))))</f>
        <v>0.0</v>
      </c>
      <c r="AM578" s="62">
        <f>IF(OR(AG578="",INDEX(p_rates,3)=""),0,IF(AG578="Facture",SUMIFS(fl_ht,fl_doc,A578,fl_rate,INDEX(p_rates,3)),SUMIFS(dl_ht,dl_doc,F578,dl_rate,INDEX(p_rates,3))))</f>
        <v>0.0</v>
      </c>
      <c r="AN578" s="62">
        <f>IF(OR(AG578="",INDEX(p_rates,4)=""),0,IF(AG578="Facture",SUMIFS(fl_ht,fl_doc,A578,fl_rate,INDEX(p_rates,4)),SUMIFS(dl_ht,dl_doc,F578,dl_rate,INDEX(p_rates,4))))</f>
        <v>0.0</v>
      </c>
      <c r="AO578" s="62">
        <f>IF(OR(AG578="",INDEX(p_rates,5)=""),0,IF(AG578="Facture",SUMIFS(fl_ht,fl_doc,A578,fl_rate,INDEX(p_rates,5)),SUMIFS(dl_ht,dl_doc,F578,dl_rate,INDEX(p_rates,5))))</f>
        <v>0.0</v>
      </c>
      <c r="AP578" s="62">
        <f>IF(OR(AG578="",INDEX(p_rates,6)=""),0,IF(AG578="Facture",SUMIFS(fl_ht,fl_doc,A578,fl_rate,INDEX(p_rates,6)),SUMIFS(dl_ht,dl_doc,F578,dl_rate,INDEX(p_rates,6))))</f>
        <v>0.0</v>
      </c>
      <c r="AQ578" s="62">
        <f>ROUND(AK578*N(INDEX(p_rates,1)),2)+ROUND(AL578*N(INDEX(p_rates,2)),2)+ROUND(AM578*N(INDEX(p_rates,3)),2)+ROUND(AN578*N(INDEX(p_rates,4)),2)+ROUND(AO578*N(INDEX(p_rates,5)),2)+ROUND(AP578*N(INDEX(p_rates,6)),2)</f>
        <v>0.0</v>
      </c>
      <c r="AR578" s="62" t="str">
        <f>IF(OR(L578="",AA578&lt;&gt;"Facture"),"",IFERROR(IF(INDEX(fa_type,MATCH(L578,fa_num,0))="Facture d'acompte",MATCH(L578,fa_num,0),""),""))</f>
        <v/>
      </c>
      <c r="AS578" s="62" t="str">
        <f>IF(W578="","",IF(W578&lt;=0,"",IF(p_asof-P578&lt;=0,"Non échu",IF(p_asof-P578&lt;=30,"1-30 j",IF(p_asof-P578&lt;=60,"31-60 j",IF(p_asof-P578&lt;=90,"61-90 j","Plus de 90 j"))))))</f>
        <v/>
      </c>
      <c r="AT578" s="62" t="str">
        <f>IF(AS578="","",p_asof-P578)</f>
        <v/>
      </c>
      <c r="AU578" s="62" t="str">
        <f>IF(AT578="","",COUNTIF($AT$6:$AT$805,"&gt;"&amp;AT578)+COUNTIF($AT$6:AT578,AT578))</f>
        <v/>
      </c>
    </row>
    <row r="579">
      <c r="A579" s="59" t="str">
        <f>IF(AE579="","",AB579&amp;"-"&amp;AD579&amp;"-"&amp;RIGHT("000"&amp;AE579,4))</f>
        <v/>
      </c>
      <c r="B579" s="60" t="n"/>
      <c r="C579" s="61" t="n"/>
      <c r="D579" s="60" t="n"/>
      <c r="E579" s="62" t="str">
        <f>IF(D579="","",IFERROR(INDEX(cli_name,MATCH(D579,cli_code,0))&amp;"","Client inconnu"))</f>
        <v/>
      </c>
      <c r="F579" s="60" t="n"/>
      <c r="G579" s="63" t="n"/>
      <c r="H579" s="61" t="n"/>
      <c r="I579" s="63" t="n"/>
      <c r="J579" s="60" t="n"/>
      <c r="K579" s="61" t="n"/>
      <c r="L579" s="60" t="n"/>
      <c r="M579" s="60" t="n"/>
      <c r="N579" s="60" t="n"/>
      <c r="O579" s="61" t="n"/>
      <c r="P579" s="64" t="str">
        <f>IF(A579="","",IF(AA579="Avoir",AC579,IF(ISNUMBER(K579),K579,AC579+IF(D579="",N(p_delay),IFERROR(IF(ISNUMBER(INDEX(cli_delay,MATCH(D579,cli_code,0))),INDEX(cli_delay,MATCH(D579,cli_code,0)),N(p_delay)),N(p_delay))))))</f>
        <v/>
      </c>
      <c r="Q579" s="65" t="str">
        <f>IF(A579="","",IF(AA579="Avoir",-1,1)*ROUND(AJ579-IF(AR579="",0,INDEX(fa_htb,AR579)),2))</f>
        <v/>
      </c>
      <c r="R579" s="65" t="str">
        <f>IF(A579="","",IF(AA579="Avoir",-1,1)*ROUND(AQ579-IF(AR579="",0,INDEX(fa_tvab,AR579)),2))</f>
        <v/>
      </c>
      <c r="S579" s="65" t="str">
        <f>IF(A579="","",Q579+R579)</f>
        <v/>
      </c>
      <c r="T579" s="65" t="str">
        <f>IF(AR579="","",INDEX(fa_htb,AR579)+INDEX(fa_tvab,AR579))</f>
        <v/>
      </c>
      <c r="U579" s="65" t="str">
        <f>IF(A579="","",SUMIF(pa_inv,A579,pa_amt))</f>
        <v/>
      </c>
      <c r="V579" s="65" t="str">
        <f>IF(OR(A579="",AA579="Avoir"),"",-SUMIFS(fa_ttc,fa_avof,A579,fa_type,"Avoir"))</f>
        <v/>
      </c>
      <c r="W579" s="65" t="str">
        <f>IF(OR(A579="",AA579="Avoir"),"",ROUND(S579-U579-V579,2))</f>
        <v/>
      </c>
      <c r="X579" s="66" t="str">
        <f>IF(W579="","",IF(AND(W579&gt;0,p_asof&gt;P579),p_asof-P579,""))</f>
        <v/>
      </c>
      <c r="Y579" s="59" t="str">
        <f>IF(A579="","",IF(AA579="Avoir","Avoir",IF(W579&lt;0,"Trop-perçu",IF(W579=0,"Soldée",IF(p_asof&gt;P579,"En retard",IF(U579+V579&gt;0,"Partielle","À échoir"))))))</f>
        <v/>
      </c>
      <c r="Z579" s="59" t="str">
        <f>IF(NOT(COUNTA(B579:D579,F579:O579)&gt;0),"",IF(C579="","Date manquante",IF(NOT(ISNUMBER(C579)),"Date invalide",IF(D579="","Client manquant",IF(ISNA(MATCH(D579,cli_code,0)),"Client inconnu",IF(AC579&lt;SUMPRODUCT(MAX(($AB$6:AB578=AB579)*$AC$6:AC578)),"Date antérieure à la facture précédente",IF(AND(F579&lt;&gt;"",ISNA(MATCH(F579,dv_num,0))),"Devis inconnu",IF(AND(F579&lt;&gt;"",IFERROR(INDEX(dv_client,MATCH(F579,dv_num,0)),D579)&lt;&gt;D579),"Client différent de celui du devis",IF(AG579="","Aucune ligne : saisissez des lignes ou un devis",IF(AND(AI579&lt;&gt;"",COUNTIF($AI$6:AI579,AI579)&gt;1),"Devis déjà repris par une autre facture",IF(AND(AA579="Avoir",M579=""),"Avoir : indiquez la facture d'origine",IF(AND(AA579="Avoir",ISNA(MATCH(M579,fa_num,0))),"Facture d'origine inconnue",IF(AND(AA579&lt;&gt;"Avoir",M579&lt;&gt;""),"« Avoir sur facture » : réservé aux avoirs",IF(AND(L579&lt;&gt;"",AA579&lt;&gt;"Facture"),"Acompte à déduire : réservé aux factures",IF(AND(L579&lt;&gt;"",ISNA(MATCH(L579,fa_num,0))),"Facture d'acompte inconnue",IF(AND(L579&lt;&gt;"",IFERROR(INDEX(fa_type,MATCH(L579,fa_num,0)),"")&lt;&gt;"Facture d'acompte"),"Le n° à déduire n'est pas une facture d'acompte",IF(AND(L579&lt;&gt;"",COUNTIF($L$6:L579,L579)&gt;1),"Acompte déjà déduit sur une autre facture",IF(AND(L579&lt;&gt;"",IFERROR(INDEX(fa_client,MATCH(L579,fa_num,0)),D579)&lt;&gt;D579),"Acompte d'un autre client",IF(AND(AR579&lt;&gt;"",N(Q579)&lt;0),"Acompte supérieur au total de la facture",IF(IF(AG579="Facture",COUNTIFS(fl_doc,A579,fl_check,"&lt;&gt;OK"),IF(AG579="Devis",COUNTIFS(dl_doc,F579,dl_check,"&lt;&gt;OK"),0))&gt;0,"Ligne(s) à corriger",IF(AND(W579&lt;&gt;"",N(W579)&lt;0),"Trop-perçu : vérifiez paiements et avoirs","OK")))))))))))))))))))))</f>
        <v/>
      </c>
      <c r="AA579" s="62" t="str">
        <f>IF(COUNTA(B579:D579,F579:O579)&gt;0,IF(B579="","Facture",B579),"")</f>
        <v/>
      </c>
      <c r="AB579" s="62" t="str">
        <f>IF(AA579="","",IF(AA579="Avoir",p_pav,IF(AA579="Facture d'acompte",p_pac,p_pfa)))</f>
        <v/>
      </c>
      <c r="AC579" s="62">
        <f>IF(ISNUMBER(C579),C579,0)</f>
        <v>0.0</v>
      </c>
      <c r="AD579" s="62" t="str">
        <f>IF(OR(AA579="",AC579=0),"",YEAR(AC579))</f>
        <v/>
      </c>
      <c r="AE579" s="62" t="str">
        <f>IF(AD579="","",COUNTIFS($AB$6:AB579,AB579,$AD$6:AD579,AD579))</f>
        <v/>
      </c>
      <c r="AF579" s="62">
        <f>IF(A579="",0,COUNTIF(fl_doc,A579))</f>
        <v>0.0</v>
      </c>
      <c r="AG579" s="62" t="str">
        <f>IF(A579="","",IF(AF579&gt;0,"Facture",IF(AND(F579&lt;&gt;"",AA579="Facture",ISNUMBER(MATCH(F579,dv_num,0))),"Devis","")))</f>
        <v/>
      </c>
      <c r="AH579" s="62" t="str">
        <f>IF(AND(A579&lt;&gt;"",F579&lt;&gt;"",AA579&lt;&gt;"Avoir"),F579,"")</f>
        <v/>
      </c>
      <c r="AI579" s="62" t="str">
        <f>IF(AG579="Devis",F579,"")</f>
        <v/>
      </c>
      <c r="AJ579" s="62">
        <f>IF(AG579="Facture",SUMIF(fl_doc,A579,fl_ht),IF(AG579="Devis",SUMIF(dl_doc,F579,dl_ht),0))</f>
        <v>0.0</v>
      </c>
      <c r="AK579" s="62">
        <f>IF(OR(AG579="",INDEX(p_rates,1)=""),0,IF(AG579="Facture",SUMIFS(fl_ht,fl_doc,A579,fl_rate,INDEX(p_rates,1)),SUMIFS(dl_ht,dl_doc,F579,dl_rate,INDEX(p_rates,1))))</f>
        <v>0.0</v>
      </c>
      <c r="AL579" s="62">
        <f>IF(OR(AG579="",INDEX(p_rates,2)=""),0,IF(AG579="Facture",SUMIFS(fl_ht,fl_doc,A579,fl_rate,INDEX(p_rates,2)),SUMIFS(dl_ht,dl_doc,F579,dl_rate,INDEX(p_rates,2))))</f>
        <v>0.0</v>
      </c>
      <c r="AM579" s="62">
        <f>IF(OR(AG579="",INDEX(p_rates,3)=""),0,IF(AG579="Facture",SUMIFS(fl_ht,fl_doc,A579,fl_rate,INDEX(p_rates,3)),SUMIFS(dl_ht,dl_doc,F579,dl_rate,INDEX(p_rates,3))))</f>
        <v>0.0</v>
      </c>
      <c r="AN579" s="62">
        <f>IF(OR(AG579="",INDEX(p_rates,4)=""),0,IF(AG579="Facture",SUMIFS(fl_ht,fl_doc,A579,fl_rate,INDEX(p_rates,4)),SUMIFS(dl_ht,dl_doc,F579,dl_rate,INDEX(p_rates,4))))</f>
        <v>0.0</v>
      </c>
      <c r="AO579" s="62">
        <f>IF(OR(AG579="",INDEX(p_rates,5)=""),0,IF(AG579="Facture",SUMIFS(fl_ht,fl_doc,A579,fl_rate,INDEX(p_rates,5)),SUMIFS(dl_ht,dl_doc,F579,dl_rate,INDEX(p_rates,5))))</f>
        <v>0.0</v>
      </c>
      <c r="AP579" s="62">
        <f>IF(OR(AG579="",INDEX(p_rates,6)=""),0,IF(AG579="Facture",SUMIFS(fl_ht,fl_doc,A579,fl_rate,INDEX(p_rates,6)),SUMIFS(dl_ht,dl_doc,F579,dl_rate,INDEX(p_rates,6))))</f>
        <v>0.0</v>
      </c>
      <c r="AQ579" s="62">
        <f>ROUND(AK579*N(INDEX(p_rates,1)),2)+ROUND(AL579*N(INDEX(p_rates,2)),2)+ROUND(AM579*N(INDEX(p_rates,3)),2)+ROUND(AN579*N(INDEX(p_rates,4)),2)+ROUND(AO579*N(INDEX(p_rates,5)),2)+ROUND(AP579*N(INDEX(p_rates,6)),2)</f>
        <v>0.0</v>
      </c>
      <c r="AR579" s="62" t="str">
        <f>IF(OR(L579="",AA579&lt;&gt;"Facture"),"",IFERROR(IF(INDEX(fa_type,MATCH(L579,fa_num,0))="Facture d'acompte",MATCH(L579,fa_num,0),""),""))</f>
        <v/>
      </c>
      <c r="AS579" s="62" t="str">
        <f>IF(W579="","",IF(W579&lt;=0,"",IF(p_asof-P579&lt;=0,"Non échu",IF(p_asof-P579&lt;=30,"1-30 j",IF(p_asof-P579&lt;=60,"31-60 j",IF(p_asof-P579&lt;=90,"61-90 j","Plus de 90 j"))))))</f>
        <v/>
      </c>
      <c r="AT579" s="62" t="str">
        <f>IF(AS579="","",p_asof-P579)</f>
        <v/>
      </c>
      <c r="AU579" s="62" t="str">
        <f>IF(AT579="","",COUNTIF($AT$6:$AT$805,"&gt;"&amp;AT579)+COUNTIF($AT$6:AT579,AT579))</f>
        <v/>
      </c>
    </row>
    <row r="580">
      <c r="A580" s="59" t="str">
        <f>IF(AE580="","",AB580&amp;"-"&amp;AD580&amp;"-"&amp;RIGHT("000"&amp;AE580,4))</f>
        <v/>
      </c>
      <c r="B580" s="60" t="n"/>
      <c r="C580" s="61" t="n"/>
      <c r="D580" s="60" t="n"/>
      <c r="E580" s="62" t="str">
        <f>IF(D580="","",IFERROR(INDEX(cli_name,MATCH(D580,cli_code,0))&amp;"","Client inconnu"))</f>
        <v/>
      </c>
      <c r="F580" s="60" t="n"/>
      <c r="G580" s="63" t="n"/>
      <c r="H580" s="61" t="n"/>
      <c r="I580" s="63" t="n"/>
      <c r="J580" s="60" t="n"/>
      <c r="K580" s="61" t="n"/>
      <c r="L580" s="60" t="n"/>
      <c r="M580" s="60" t="n"/>
      <c r="N580" s="60" t="n"/>
      <c r="O580" s="61" t="n"/>
      <c r="P580" s="64" t="str">
        <f>IF(A580="","",IF(AA580="Avoir",AC580,IF(ISNUMBER(K580),K580,AC580+IF(D580="",N(p_delay),IFERROR(IF(ISNUMBER(INDEX(cli_delay,MATCH(D580,cli_code,0))),INDEX(cli_delay,MATCH(D580,cli_code,0)),N(p_delay)),N(p_delay))))))</f>
        <v/>
      </c>
      <c r="Q580" s="65" t="str">
        <f>IF(A580="","",IF(AA580="Avoir",-1,1)*ROUND(AJ580-IF(AR580="",0,INDEX(fa_htb,AR580)),2))</f>
        <v/>
      </c>
      <c r="R580" s="65" t="str">
        <f>IF(A580="","",IF(AA580="Avoir",-1,1)*ROUND(AQ580-IF(AR580="",0,INDEX(fa_tvab,AR580)),2))</f>
        <v/>
      </c>
      <c r="S580" s="65" t="str">
        <f>IF(A580="","",Q580+R580)</f>
        <v/>
      </c>
      <c r="T580" s="65" t="str">
        <f>IF(AR580="","",INDEX(fa_htb,AR580)+INDEX(fa_tvab,AR580))</f>
        <v/>
      </c>
      <c r="U580" s="65" t="str">
        <f>IF(A580="","",SUMIF(pa_inv,A580,pa_amt))</f>
        <v/>
      </c>
      <c r="V580" s="65" t="str">
        <f>IF(OR(A580="",AA580="Avoir"),"",-SUMIFS(fa_ttc,fa_avof,A580,fa_type,"Avoir"))</f>
        <v/>
      </c>
      <c r="W580" s="65" t="str">
        <f>IF(OR(A580="",AA580="Avoir"),"",ROUND(S580-U580-V580,2))</f>
        <v/>
      </c>
      <c r="X580" s="66" t="str">
        <f>IF(W580="","",IF(AND(W580&gt;0,p_asof&gt;P580),p_asof-P580,""))</f>
        <v/>
      </c>
      <c r="Y580" s="59" t="str">
        <f>IF(A580="","",IF(AA580="Avoir","Avoir",IF(W580&lt;0,"Trop-perçu",IF(W580=0,"Soldée",IF(p_asof&gt;P580,"En retard",IF(U580+V580&gt;0,"Partielle","À échoir"))))))</f>
        <v/>
      </c>
      <c r="Z580" s="59" t="str">
        <f>IF(NOT(COUNTA(B580:D580,F580:O580)&gt;0),"",IF(C580="","Date manquante",IF(NOT(ISNUMBER(C580)),"Date invalide",IF(D580="","Client manquant",IF(ISNA(MATCH(D580,cli_code,0)),"Client inconnu",IF(AC580&lt;SUMPRODUCT(MAX(($AB$6:AB579=AB580)*$AC$6:AC579)),"Date antérieure à la facture précédente",IF(AND(F580&lt;&gt;"",ISNA(MATCH(F580,dv_num,0))),"Devis inconnu",IF(AND(F580&lt;&gt;"",IFERROR(INDEX(dv_client,MATCH(F580,dv_num,0)),D580)&lt;&gt;D580),"Client différent de celui du devis",IF(AG580="","Aucune ligne : saisissez des lignes ou un devis",IF(AND(AI580&lt;&gt;"",COUNTIF($AI$6:AI580,AI580)&gt;1),"Devis déjà repris par une autre facture",IF(AND(AA580="Avoir",M580=""),"Avoir : indiquez la facture d'origine",IF(AND(AA580="Avoir",ISNA(MATCH(M580,fa_num,0))),"Facture d'origine inconnue",IF(AND(AA580&lt;&gt;"Avoir",M580&lt;&gt;""),"« Avoir sur facture » : réservé aux avoirs",IF(AND(L580&lt;&gt;"",AA580&lt;&gt;"Facture"),"Acompte à déduire : réservé aux factures",IF(AND(L580&lt;&gt;"",ISNA(MATCH(L580,fa_num,0))),"Facture d'acompte inconnue",IF(AND(L580&lt;&gt;"",IFERROR(INDEX(fa_type,MATCH(L580,fa_num,0)),"")&lt;&gt;"Facture d'acompte"),"Le n° à déduire n'est pas une facture d'acompte",IF(AND(L580&lt;&gt;"",COUNTIF($L$6:L580,L580)&gt;1),"Acompte déjà déduit sur une autre facture",IF(AND(L580&lt;&gt;"",IFERROR(INDEX(fa_client,MATCH(L580,fa_num,0)),D580)&lt;&gt;D580),"Acompte d'un autre client",IF(AND(AR580&lt;&gt;"",N(Q580)&lt;0),"Acompte supérieur au total de la facture",IF(IF(AG580="Facture",COUNTIFS(fl_doc,A580,fl_check,"&lt;&gt;OK"),IF(AG580="Devis",COUNTIFS(dl_doc,F580,dl_check,"&lt;&gt;OK"),0))&gt;0,"Ligne(s) à corriger",IF(AND(W580&lt;&gt;"",N(W580)&lt;0),"Trop-perçu : vérifiez paiements et avoirs","OK")))))))))))))))))))))</f>
        <v/>
      </c>
      <c r="AA580" s="62" t="str">
        <f>IF(COUNTA(B580:D580,F580:O580)&gt;0,IF(B580="","Facture",B580),"")</f>
        <v/>
      </c>
      <c r="AB580" s="62" t="str">
        <f>IF(AA580="","",IF(AA580="Avoir",p_pav,IF(AA580="Facture d'acompte",p_pac,p_pfa)))</f>
        <v/>
      </c>
      <c r="AC580" s="62">
        <f>IF(ISNUMBER(C580),C580,0)</f>
        <v>0.0</v>
      </c>
      <c r="AD580" s="62" t="str">
        <f>IF(OR(AA580="",AC580=0),"",YEAR(AC580))</f>
        <v/>
      </c>
      <c r="AE580" s="62" t="str">
        <f>IF(AD580="","",COUNTIFS($AB$6:AB580,AB580,$AD$6:AD580,AD580))</f>
        <v/>
      </c>
      <c r="AF580" s="62">
        <f>IF(A580="",0,COUNTIF(fl_doc,A580))</f>
        <v>0.0</v>
      </c>
      <c r="AG580" s="62" t="str">
        <f>IF(A580="","",IF(AF580&gt;0,"Facture",IF(AND(F580&lt;&gt;"",AA580="Facture",ISNUMBER(MATCH(F580,dv_num,0))),"Devis","")))</f>
        <v/>
      </c>
      <c r="AH580" s="62" t="str">
        <f>IF(AND(A580&lt;&gt;"",F580&lt;&gt;"",AA580&lt;&gt;"Avoir"),F580,"")</f>
        <v/>
      </c>
      <c r="AI580" s="62" t="str">
        <f>IF(AG580="Devis",F580,"")</f>
        <v/>
      </c>
      <c r="AJ580" s="62">
        <f>IF(AG580="Facture",SUMIF(fl_doc,A580,fl_ht),IF(AG580="Devis",SUMIF(dl_doc,F580,dl_ht),0))</f>
        <v>0.0</v>
      </c>
      <c r="AK580" s="62">
        <f>IF(OR(AG580="",INDEX(p_rates,1)=""),0,IF(AG580="Facture",SUMIFS(fl_ht,fl_doc,A580,fl_rate,INDEX(p_rates,1)),SUMIFS(dl_ht,dl_doc,F580,dl_rate,INDEX(p_rates,1))))</f>
        <v>0.0</v>
      </c>
      <c r="AL580" s="62">
        <f>IF(OR(AG580="",INDEX(p_rates,2)=""),0,IF(AG580="Facture",SUMIFS(fl_ht,fl_doc,A580,fl_rate,INDEX(p_rates,2)),SUMIFS(dl_ht,dl_doc,F580,dl_rate,INDEX(p_rates,2))))</f>
        <v>0.0</v>
      </c>
      <c r="AM580" s="62">
        <f>IF(OR(AG580="",INDEX(p_rates,3)=""),0,IF(AG580="Facture",SUMIFS(fl_ht,fl_doc,A580,fl_rate,INDEX(p_rates,3)),SUMIFS(dl_ht,dl_doc,F580,dl_rate,INDEX(p_rates,3))))</f>
        <v>0.0</v>
      </c>
      <c r="AN580" s="62">
        <f>IF(OR(AG580="",INDEX(p_rates,4)=""),0,IF(AG580="Facture",SUMIFS(fl_ht,fl_doc,A580,fl_rate,INDEX(p_rates,4)),SUMIFS(dl_ht,dl_doc,F580,dl_rate,INDEX(p_rates,4))))</f>
        <v>0.0</v>
      </c>
      <c r="AO580" s="62">
        <f>IF(OR(AG580="",INDEX(p_rates,5)=""),0,IF(AG580="Facture",SUMIFS(fl_ht,fl_doc,A580,fl_rate,INDEX(p_rates,5)),SUMIFS(dl_ht,dl_doc,F580,dl_rate,INDEX(p_rates,5))))</f>
        <v>0.0</v>
      </c>
      <c r="AP580" s="62">
        <f>IF(OR(AG580="",INDEX(p_rates,6)=""),0,IF(AG580="Facture",SUMIFS(fl_ht,fl_doc,A580,fl_rate,INDEX(p_rates,6)),SUMIFS(dl_ht,dl_doc,F580,dl_rate,INDEX(p_rates,6))))</f>
        <v>0.0</v>
      </c>
      <c r="AQ580" s="62">
        <f>ROUND(AK580*N(INDEX(p_rates,1)),2)+ROUND(AL580*N(INDEX(p_rates,2)),2)+ROUND(AM580*N(INDEX(p_rates,3)),2)+ROUND(AN580*N(INDEX(p_rates,4)),2)+ROUND(AO580*N(INDEX(p_rates,5)),2)+ROUND(AP580*N(INDEX(p_rates,6)),2)</f>
        <v>0.0</v>
      </c>
      <c r="AR580" s="62" t="str">
        <f>IF(OR(L580="",AA580&lt;&gt;"Facture"),"",IFERROR(IF(INDEX(fa_type,MATCH(L580,fa_num,0))="Facture d'acompte",MATCH(L580,fa_num,0),""),""))</f>
        <v/>
      </c>
      <c r="AS580" s="62" t="str">
        <f>IF(W580="","",IF(W580&lt;=0,"",IF(p_asof-P580&lt;=0,"Non échu",IF(p_asof-P580&lt;=30,"1-30 j",IF(p_asof-P580&lt;=60,"31-60 j",IF(p_asof-P580&lt;=90,"61-90 j","Plus de 90 j"))))))</f>
        <v/>
      </c>
      <c r="AT580" s="62" t="str">
        <f>IF(AS580="","",p_asof-P580)</f>
        <v/>
      </c>
      <c r="AU580" s="62" t="str">
        <f>IF(AT580="","",COUNTIF($AT$6:$AT$805,"&gt;"&amp;AT580)+COUNTIF($AT$6:AT580,AT580))</f>
        <v/>
      </c>
    </row>
    <row r="581">
      <c r="A581" s="59" t="str">
        <f>IF(AE581="","",AB581&amp;"-"&amp;AD581&amp;"-"&amp;RIGHT("000"&amp;AE581,4))</f>
        <v/>
      </c>
      <c r="B581" s="60" t="n"/>
      <c r="C581" s="61" t="n"/>
      <c r="D581" s="60" t="n"/>
      <c r="E581" s="62" t="str">
        <f>IF(D581="","",IFERROR(INDEX(cli_name,MATCH(D581,cli_code,0))&amp;"","Client inconnu"))</f>
        <v/>
      </c>
      <c r="F581" s="60" t="n"/>
      <c r="G581" s="63" t="n"/>
      <c r="H581" s="61" t="n"/>
      <c r="I581" s="63" t="n"/>
      <c r="J581" s="60" t="n"/>
      <c r="K581" s="61" t="n"/>
      <c r="L581" s="60" t="n"/>
      <c r="M581" s="60" t="n"/>
      <c r="N581" s="60" t="n"/>
      <c r="O581" s="61" t="n"/>
      <c r="P581" s="64" t="str">
        <f>IF(A581="","",IF(AA581="Avoir",AC581,IF(ISNUMBER(K581),K581,AC581+IF(D581="",N(p_delay),IFERROR(IF(ISNUMBER(INDEX(cli_delay,MATCH(D581,cli_code,0))),INDEX(cli_delay,MATCH(D581,cli_code,0)),N(p_delay)),N(p_delay))))))</f>
        <v/>
      </c>
      <c r="Q581" s="65" t="str">
        <f>IF(A581="","",IF(AA581="Avoir",-1,1)*ROUND(AJ581-IF(AR581="",0,INDEX(fa_htb,AR581)),2))</f>
        <v/>
      </c>
      <c r="R581" s="65" t="str">
        <f>IF(A581="","",IF(AA581="Avoir",-1,1)*ROUND(AQ581-IF(AR581="",0,INDEX(fa_tvab,AR581)),2))</f>
        <v/>
      </c>
      <c r="S581" s="65" t="str">
        <f>IF(A581="","",Q581+R581)</f>
        <v/>
      </c>
      <c r="T581" s="65" t="str">
        <f>IF(AR581="","",INDEX(fa_htb,AR581)+INDEX(fa_tvab,AR581))</f>
        <v/>
      </c>
      <c r="U581" s="65" t="str">
        <f>IF(A581="","",SUMIF(pa_inv,A581,pa_amt))</f>
        <v/>
      </c>
      <c r="V581" s="65" t="str">
        <f>IF(OR(A581="",AA581="Avoir"),"",-SUMIFS(fa_ttc,fa_avof,A581,fa_type,"Avoir"))</f>
        <v/>
      </c>
      <c r="W581" s="65" t="str">
        <f>IF(OR(A581="",AA581="Avoir"),"",ROUND(S581-U581-V581,2))</f>
        <v/>
      </c>
      <c r="X581" s="66" t="str">
        <f>IF(W581="","",IF(AND(W581&gt;0,p_asof&gt;P581),p_asof-P581,""))</f>
        <v/>
      </c>
      <c r="Y581" s="59" t="str">
        <f>IF(A581="","",IF(AA581="Avoir","Avoir",IF(W581&lt;0,"Trop-perçu",IF(W581=0,"Soldée",IF(p_asof&gt;P581,"En retard",IF(U581+V581&gt;0,"Partielle","À échoir"))))))</f>
        <v/>
      </c>
      <c r="Z581" s="59" t="str">
        <f>IF(NOT(COUNTA(B581:D581,F581:O581)&gt;0),"",IF(C581="","Date manquante",IF(NOT(ISNUMBER(C581)),"Date invalide",IF(D581="","Client manquant",IF(ISNA(MATCH(D581,cli_code,0)),"Client inconnu",IF(AC581&lt;SUMPRODUCT(MAX(($AB$6:AB580=AB581)*$AC$6:AC580)),"Date antérieure à la facture précédente",IF(AND(F581&lt;&gt;"",ISNA(MATCH(F581,dv_num,0))),"Devis inconnu",IF(AND(F581&lt;&gt;"",IFERROR(INDEX(dv_client,MATCH(F581,dv_num,0)),D581)&lt;&gt;D581),"Client différent de celui du devis",IF(AG581="","Aucune ligne : saisissez des lignes ou un devis",IF(AND(AI581&lt;&gt;"",COUNTIF($AI$6:AI581,AI581)&gt;1),"Devis déjà repris par une autre facture",IF(AND(AA581="Avoir",M581=""),"Avoir : indiquez la facture d'origine",IF(AND(AA581="Avoir",ISNA(MATCH(M581,fa_num,0))),"Facture d'origine inconnue",IF(AND(AA581&lt;&gt;"Avoir",M581&lt;&gt;""),"« Avoir sur facture » : réservé aux avoirs",IF(AND(L581&lt;&gt;"",AA581&lt;&gt;"Facture"),"Acompte à déduire : réservé aux factures",IF(AND(L581&lt;&gt;"",ISNA(MATCH(L581,fa_num,0))),"Facture d'acompte inconnue",IF(AND(L581&lt;&gt;"",IFERROR(INDEX(fa_type,MATCH(L581,fa_num,0)),"")&lt;&gt;"Facture d'acompte"),"Le n° à déduire n'est pas une facture d'acompte",IF(AND(L581&lt;&gt;"",COUNTIF($L$6:L581,L581)&gt;1),"Acompte déjà déduit sur une autre facture",IF(AND(L581&lt;&gt;"",IFERROR(INDEX(fa_client,MATCH(L581,fa_num,0)),D581)&lt;&gt;D581),"Acompte d'un autre client",IF(AND(AR581&lt;&gt;"",N(Q581)&lt;0),"Acompte supérieur au total de la facture",IF(IF(AG581="Facture",COUNTIFS(fl_doc,A581,fl_check,"&lt;&gt;OK"),IF(AG581="Devis",COUNTIFS(dl_doc,F581,dl_check,"&lt;&gt;OK"),0))&gt;0,"Ligne(s) à corriger",IF(AND(W581&lt;&gt;"",N(W581)&lt;0),"Trop-perçu : vérifiez paiements et avoirs","OK")))))))))))))))))))))</f>
        <v/>
      </c>
      <c r="AA581" s="62" t="str">
        <f>IF(COUNTA(B581:D581,F581:O581)&gt;0,IF(B581="","Facture",B581),"")</f>
        <v/>
      </c>
      <c r="AB581" s="62" t="str">
        <f>IF(AA581="","",IF(AA581="Avoir",p_pav,IF(AA581="Facture d'acompte",p_pac,p_pfa)))</f>
        <v/>
      </c>
      <c r="AC581" s="62">
        <f>IF(ISNUMBER(C581),C581,0)</f>
        <v>0.0</v>
      </c>
      <c r="AD581" s="62" t="str">
        <f>IF(OR(AA581="",AC581=0),"",YEAR(AC581))</f>
        <v/>
      </c>
      <c r="AE581" s="62" t="str">
        <f>IF(AD581="","",COUNTIFS($AB$6:AB581,AB581,$AD$6:AD581,AD581))</f>
        <v/>
      </c>
      <c r="AF581" s="62">
        <f>IF(A581="",0,COUNTIF(fl_doc,A581))</f>
        <v>0.0</v>
      </c>
      <c r="AG581" s="62" t="str">
        <f>IF(A581="","",IF(AF581&gt;0,"Facture",IF(AND(F581&lt;&gt;"",AA581="Facture",ISNUMBER(MATCH(F581,dv_num,0))),"Devis","")))</f>
        <v/>
      </c>
      <c r="AH581" s="62" t="str">
        <f>IF(AND(A581&lt;&gt;"",F581&lt;&gt;"",AA581&lt;&gt;"Avoir"),F581,"")</f>
        <v/>
      </c>
      <c r="AI581" s="62" t="str">
        <f>IF(AG581="Devis",F581,"")</f>
        <v/>
      </c>
      <c r="AJ581" s="62">
        <f>IF(AG581="Facture",SUMIF(fl_doc,A581,fl_ht),IF(AG581="Devis",SUMIF(dl_doc,F581,dl_ht),0))</f>
        <v>0.0</v>
      </c>
      <c r="AK581" s="62">
        <f>IF(OR(AG581="",INDEX(p_rates,1)=""),0,IF(AG581="Facture",SUMIFS(fl_ht,fl_doc,A581,fl_rate,INDEX(p_rates,1)),SUMIFS(dl_ht,dl_doc,F581,dl_rate,INDEX(p_rates,1))))</f>
        <v>0.0</v>
      </c>
      <c r="AL581" s="62">
        <f>IF(OR(AG581="",INDEX(p_rates,2)=""),0,IF(AG581="Facture",SUMIFS(fl_ht,fl_doc,A581,fl_rate,INDEX(p_rates,2)),SUMIFS(dl_ht,dl_doc,F581,dl_rate,INDEX(p_rates,2))))</f>
        <v>0.0</v>
      </c>
      <c r="AM581" s="62">
        <f>IF(OR(AG581="",INDEX(p_rates,3)=""),0,IF(AG581="Facture",SUMIFS(fl_ht,fl_doc,A581,fl_rate,INDEX(p_rates,3)),SUMIFS(dl_ht,dl_doc,F581,dl_rate,INDEX(p_rates,3))))</f>
        <v>0.0</v>
      </c>
      <c r="AN581" s="62">
        <f>IF(OR(AG581="",INDEX(p_rates,4)=""),0,IF(AG581="Facture",SUMIFS(fl_ht,fl_doc,A581,fl_rate,INDEX(p_rates,4)),SUMIFS(dl_ht,dl_doc,F581,dl_rate,INDEX(p_rates,4))))</f>
        <v>0.0</v>
      </c>
      <c r="AO581" s="62">
        <f>IF(OR(AG581="",INDEX(p_rates,5)=""),0,IF(AG581="Facture",SUMIFS(fl_ht,fl_doc,A581,fl_rate,INDEX(p_rates,5)),SUMIFS(dl_ht,dl_doc,F581,dl_rate,INDEX(p_rates,5))))</f>
        <v>0.0</v>
      </c>
      <c r="AP581" s="62">
        <f>IF(OR(AG581="",INDEX(p_rates,6)=""),0,IF(AG581="Facture",SUMIFS(fl_ht,fl_doc,A581,fl_rate,INDEX(p_rates,6)),SUMIFS(dl_ht,dl_doc,F581,dl_rate,INDEX(p_rates,6))))</f>
        <v>0.0</v>
      </c>
      <c r="AQ581" s="62">
        <f>ROUND(AK581*N(INDEX(p_rates,1)),2)+ROUND(AL581*N(INDEX(p_rates,2)),2)+ROUND(AM581*N(INDEX(p_rates,3)),2)+ROUND(AN581*N(INDEX(p_rates,4)),2)+ROUND(AO581*N(INDEX(p_rates,5)),2)+ROUND(AP581*N(INDEX(p_rates,6)),2)</f>
        <v>0.0</v>
      </c>
      <c r="AR581" s="62" t="str">
        <f>IF(OR(L581="",AA581&lt;&gt;"Facture"),"",IFERROR(IF(INDEX(fa_type,MATCH(L581,fa_num,0))="Facture d'acompte",MATCH(L581,fa_num,0),""),""))</f>
        <v/>
      </c>
      <c r="AS581" s="62" t="str">
        <f>IF(W581="","",IF(W581&lt;=0,"",IF(p_asof-P581&lt;=0,"Non échu",IF(p_asof-P581&lt;=30,"1-30 j",IF(p_asof-P581&lt;=60,"31-60 j",IF(p_asof-P581&lt;=90,"61-90 j","Plus de 90 j"))))))</f>
        <v/>
      </c>
      <c r="AT581" s="62" t="str">
        <f>IF(AS581="","",p_asof-P581)</f>
        <v/>
      </c>
      <c r="AU581" s="62" t="str">
        <f>IF(AT581="","",COUNTIF($AT$6:$AT$805,"&gt;"&amp;AT581)+COUNTIF($AT$6:AT581,AT581))</f>
        <v/>
      </c>
    </row>
    <row r="582">
      <c r="A582" s="59" t="str">
        <f>IF(AE582="","",AB582&amp;"-"&amp;AD582&amp;"-"&amp;RIGHT("000"&amp;AE582,4))</f>
        <v/>
      </c>
      <c r="B582" s="60" t="n"/>
      <c r="C582" s="61" t="n"/>
      <c r="D582" s="60" t="n"/>
      <c r="E582" s="62" t="str">
        <f>IF(D582="","",IFERROR(INDEX(cli_name,MATCH(D582,cli_code,0))&amp;"","Client inconnu"))</f>
        <v/>
      </c>
      <c r="F582" s="60" t="n"/>
      <c r="G582" s="63" t="n"/>
      <c r="H582" s="61" t="n"/>
      <c r="I582" s="63" t="n"/>
      <c r="J582" s="60" t="n"/>
      <c r="K582" s="61" t="n"/>
      <c r="L582" s="60" t="n"/>
      <c r="M582" s="60" t="n"/>
      <c r="N582" s="60" t="n"/>
      <c r="O582" s="61" t="n"/>
      <c r="P582" s="64" t="str">
        <f>IF(A582="","",IF(AA582="Avoir",AC582,IF(ISNUMBER(K582),K582,AC582+IF(D582="",N(p_delay),IFERROR(IF(ISNUMBER(INDEX(cli_delay,MATCH(D582,cli_code,0))),INDEX(cli_delay,MATCH(D582,cli_code,0)),N(p_delay)),N(p_delay))))))</f>
        <v/>
      </c>
      <c r="Q582" s="65" t="str">
        <f>IF(A582="","",IF(AA582="Avoir",-1,1)*ROUND(AJ582-IF(AR582="",0,INDEX(fa_htb,AR582)),2))</f>
        <v/>
      </c>
      <c r="R582" s="65" t="str">
        <f>IF(A582="","",IF(AA582="Avoir",-1,1)*ROUND(AQ582-IF(AR582="",0,INDEX(fa_tvab,AR582)),2))</f>
        <v/>
      </c>
      <c r="S582" s="65" t="str">
        <f>IF(A582="","",Q582+R582)</f>
        <v/>
      </c>
      <c r="T582" s="65" t="str">
        <f>IF(AR582="","",INDEX(fa_htb,AR582)+INDEX(fa_tvab,AR582))</f>
        <v/>
      </c>
      <c r="U582" s="65" t="str">
        <f>IF(A582="","",SUMIF(pa_inv,A582,pa_amt))</f>
        <v/>
      </c>
      <c r="V582" s="65" t="str">
        <f>IF(OR(A582="",AA582="Avoir"),"",-SUMIFS(fa_ttc,fa_avof,A582,fa_type,"Avoir"))</f>
        <v/>
      </c>
      <c r="W582" s="65" t="str">
        <f>IF(OR(A582="",AA582="Avoir"),"",ROUND(S582-U582-V582,2))</f>
        <v/>
      </c>
      <c r="X582" s="66" t="str">
        <f>IF(W582="","",IF(AND(W582&gt;0,p_asof&gt;P582),p_asof-P582,""))</f>
        <v/>
      </c>
      <c r="Y582" s="59" t="str">
        <f>IF(A582="","",IF(AA582="Avoir","Avoir",IF(W582&lt;0,"Trop-perçu",IF(W582=0,"Soldée",IF(p_asof&gt;P582,"En retard",IF(U582+V582&gt;0,"Partielle","À échoir"))))))</f>
        <v/>
      </c>
      <c r="Z582" s="59" t="str">
        <f>IF(NOT(COUNTA(B582:D582,F582:O582)&gt;0),"",IF(C582="","Date manquante",IF(NOT(ISNUMBER(C582)),"Date invalide",IF(D582="","Client manquant",IF(ISNA(MATCH(D582,cli_code,0)),"Client inconnu",IF(AC582&lt;SUMPRODUCT(MAX(($AB$6:AB581=AB582)*$AC$6:AC581)),"Date antérieure à la facture précédente",IF(AND(F582&lt;&gt;"",ISNA(MATCH(F582,dv_num,0))),"Devis inconnu",IF(AND(F582&lt;&gt;"",IFERROR(INDEX(dv_client,MATCH(F582,dv_num,0)),D582)&lt;&gt;D582),"Client différent de celui du devis",IF(AG582="","Aucune ligne : saisissez des lignes ou un devis",IF(AND(AI582&lt;&gt;"",COUNTIF($AI$6:AI582,AI582)&gt;1),"Devis déjà repris par une autre facture",IF(AND(AA582="Avoir",M582=""),"Avoir : indiquez la facture d'origine",IF(AND(AA582="Avoir",ISNA(MATCH(M582,fa_num,0))),"Facture d'origine inconnue",IF(AND(AA582&lt;&gt;"Avoir",M582&lt;&gt;""),"« Avoir sur facture » : réservé aux avoirs",IF(AND(L582&lt;&gt;"",AA582&lt;&gt;"Facture"),"Acompte à déduire : réservé aux factures",IF(AND(L582&lt;&gt;"",ISNA(MATCH(L582,fa_num,0))),"Facture d'acompte inconnue",IF(AND(L582&lt;&gt;"",IFERROR(INDEX(fa_type,MATCH(L582,fa_num,0)),"")&lt;&gt;"Facture d'acompte"),"Le n° à déduire n'est pas une facture d'acompte",IF(AND(L582&lt;&gt;"",COUNTIF($L$6:L582,L582)&gt;1),"Acompte déjà déduit sur une autre facture",IF(AND(L582&lt;&gt;"",IFERROR(INDEX(fa_client,MATCH(L582,fa_num,0)),D582)&lt;&gt;D582),"Acompte d'un autre client",IF(AND(AR582&lt;&gt;"",N(Q582)&lt;0),"Acompte supérieur au total de la facture",IF(IF(AG582="Facture",COUNTIFS(fl_doc,A582,fl_check,"&lt;&gt;OK"),IF(AG582="Devis",COUNTIFS(dl_doc,F582,dl_check,"&lt;&gt;OK"),0))&gt;0,"Ligne(s) à corriger",IF(AND(W582&lt;&gt;"",N(W582)&lt;0),"Trop-perçu : vérifiez paiements et avoirs","OK")))))))))))))))))))))</f>
        <v/>
      </c>
      <c r="AA582" s="62" t="str">
        <f>IF(COUNTA(B582:D582,F582:O582)&gt;0,IF(B582="","Facture",B582),"")</f>
        <v/>
      </c>
      <c r="AB582" s="62" t="str">
        <f>IF(AA582="","",IF(AA582="Avoir",p_pav,IF(AA582="Facture d'acompte",p_pac,p_pfa)))</f>
        <v/>
      </c>
      <c r="AC582" s="62">
        <f>IF(ISNUMBER(C582),C582,0)</f>
        <v>0.0</v>
      </c>
      <c r="AD582" s="62" t="str">
        <f>IF(OR(AA582="",AC582=0),"",YEAR(AC582))</f>
        <v/>
      </c>
      <c r="AE582" s="62" t="str">
        <f>IF(AD582="","",COUNTIFS($AB$6:AB582,AB582,$AD$6:AD582,AD582))</f>
        <v/>
      </c>
      <c r="AF582" s="62">
        <f>IF(A582="",0,COUNTIF(fl_doc,A582))</f>
        <v>0.0</v>
      </c>
      <c r="AG582" s="62" t="str">
        <f>IF(A582="","",IF(AF582&gt;0,"Facture",IF(AND(F582&lt;&gt;"",AA582="Facture",ISNUMBER(MATCH(F582,dv_num,0))),"Devis","")))</f>
        <v/>
      </c>
      <c r="AH582" s="62" t="str">
        <f>IF(AND(A582&lt;&gt;"",F582&lt;&gt;"",AA582&lt;&gt;"Avoir"),F582,"")</f>
        <v/>
      </c>
      <c r="AI582" s="62" t="str">
        <f>IF(AG582="Devis",F582,"")</f>
        <v/>
      </c>
      <c r="AJ582" s="62">
        <f>IF(AG582="Facture",SUMIF(fl_doc,A582,fl_ht),IF(AG582="Devis",SUMIF(dl_doc,F582,dl_ht),0))</f>
        <v>0.0</v>
      </c>
      <c r="AK582" s="62">
        <f>IF(OR(AG582="",INDEX(p_rates,1)=""),0,IF(AG582="Facture",SUMIFS(fl_ht,fl_doc,A582,fl_rate,INDEX(p_rates,1)),SUMIFS(dl_ht,dl_doc,F582,dl_rate,INDEX(p_rates,1))))</f>
        <v>0.0</v>
      </c>
      <c r="AL582" s="62">
        <f>IF(OR(AG582="",INDEX(p_rates,2)=""),0,IF(AG582="Facture",SUMIFS(fl_ht,fl_doc,A582,fl_rate,INDEX(p_rates,2)),SUMIFS(dl_ht,dl_doc,F582,dl_rate,INDEX(p_rates,2))))</f>
        <v>0.0</v>
      </c>
      <c r="AM582" s="62">
        <f>IF(OR(AG582="",INDEX(p_rates,3)=""),0,IF(AG582="Facture",SUMIFS(fl_ht,fl_doc,A582,fl_rate,INDEX(p_rates,3)),SUMIFS(dl_ht,dl_doc,F582,dl_rate,INDEX(p_rates,3))))</f>
        <v>0.0</v>
      </c>
      <c r="AN582" s="62">
        <f>IF(OR(AG582="",INDEX(p_rates,4)=""),0,IF(AG582="Facture",SUMIFS(fl_ht,fl_doc,A582,fl_rate,INDEX(p_rates,4)),SUMIFS(dl_ht,dl_doc,F582,dl_rate,INDEX(p_rates,4))))</f>
        <v>0.0</v>
      </c>
      <c r="AO582" s="62">
        <f>IF(OR(AG582="",INDEX(p_rates,5)=""),0,IF(AG582="Facture",SUMIFS(fl_ht,fl_doc,A582,fl_rate,INDEX(p_rates,5)),SUMIFS(dl_ht,dl_doc,F582,dl_rate,INDEX(p_rates,5))))</f>
        <v>0.0</v>
      </c>
      <c r="AP582" s="62">
        <f>IF(OR(AG582="",INDEX(p_rates,6)=""),0,IF(AG582="Facture",SUMIFS(fl_ht,fl_doc,A582,fl_rate,INDEX(p_rates,6)),SUMIFS(dl_ht,dl_doc,F582,dl_rate,INDEX(p_rates,6))))</f>
        <v>0.0</v>
      </c>
      <c r="AQ582" s="62">
        <f>ROUND(AK582*N(INDEX(p_rates,1)),2)+ROUND(AL582*N(INDEX(p_rates,2)),2)+ROUND(AM582*N(INDEX(p_rates,3)),2)+ROUND(AN582*N(INDEX(p_rates,4)),2)+ROUND(AO582*N(INDEX(p_rates,5)),2)+ROUND(AP582*N(INDEX(p_rates,6)),2)</f>
        <v>0.0</v>
      </c>
      <c r="AR582" s="62" t="str">
        <f>IF(OR(L582="",AA582&lt;&gt;"Facture"),"",IFERROR(IF(INDEX(fa_type,MATCH(L582,fa_num,0))="Facture d'acompte",MATCH(L582,fa_num,0),""),""))</f>
        <v/>
      </c>
      <c r="AS582" s="62" t="str">
        <f>IF(W582="","",IF(W582&lt;=0,"",IF(p_asof-P582&lt;=0,"Non échu",IF(p_asof-P582&lt;=30,"1-30 j",IF(p_asof-P582&lt;=60,"31-60 j",IF(p_asof-P582&lt;=90,"61-90 j","Plus de 90 j"))))))</f>
        <v/>
      </c>
      <c r="AT582" s="62" t="str">
        <f>IF(AS582="","",p_asof-P582)</f>
        <v/>
      </c>
      <c r="AU582" s="62" t="str">
        <f>IF(AT582="","",COUNTIF($AT$6:$AT$805,"&gt;"&amp;AT582)+COUNTIF($AT$6:AT582,AT582))</f>
        <v/>
      </c>
    </row>
    <row r="583">
      <c r="A583" s="59" t="str">
        <f>IF(AE583="","",AB583&amp;"-"&amp;AD583&amp;"-"&amp;RIGHT("000"&amp;AE583,4))</f>
        <v/>
      </c>
      <c r="B583" s="60" t="n"/>
      <c r="C583" s="61" t="n"/>
      <c r="D583" s="60" t="n"/>
      <c r="E583" s="62" t="str">
        <f>IF(D583="","",IFERROR(INDEX(cli_name,MATCH(D583,cli_code,0))&amp;"","Client inconnu"))</f>
        <v/>
      </c>
      <c r="F583" s="60" t="n"/>
      <c r="G583" s="63" t="n"/>
      <c r="H583" s="61" t="n"/>
      <c r="I583" s="63" t="n"/>
      <c r="J583" s="60" t="n"/>
      <c r="K583" s="61" t="n"/>
      <c r="L583" s="60" t="n"/>
      <c r="M583" s="60" t="n"/>
      <c r="N583" s="60" t="n"/>
      <c r="O583" s="61" t="n"/>
      <c r="P583" s="64" t="str">
        <f>IF(A583="","",IF(AA583="Avoir",AC583,IF(ISNUMBER(K583),K583,AC583+IF(D583="",N(p_delay),IFERROR(IF(ISNUMBER(INDEX(cli_delay,MATCH(D583,cli_code,0))),INDEX(cli_delay,MATCH(D583,cli_code,0)),N(p_delay)),N(p_delay))))))</f>
        <v/>
      </c>
      <c r="Q583" s="65" t="str">
        <f>IF(A583="","",IF(AA583="Avoir",-1,1)*ROUND(AJ583-IF(AR583="",0,INDEX(fa_htb,AR583)),2))</f>
        <v/>
      </c>
      <c r="R583" s="65" t="str">
        <f>IF(A583="","",IF(AA583="Avoir",-1,1)*ROUND(AQ583-IF(AR583="",0,INDEX(fa_tvab,AR583)),2))</f>
        <v/>
      </c>
      <c r="S583" s="65" t="str">
        <f>IF(A583="","",Q583+R583)</f>
        <v/>
      </c>
      <c r="T583" s="65" t="str">
        <f>IF(AR583="","",INDEX(fa_htb,AR583)+INDEX(fa_tvab,AR583))</f>
        <v/>
      </c>
      <c r="U583" s="65" t="str">
        <f>IF(A583="","",SUMIF(pa_inv,A583,pa_amt))</f>
        <v/>
      </c>
      <c r="V583" s="65" t="str">
        <f>IF(OR(A583="",AA583="Avoir"),"",-SUMIFS(fa_ttc,fa_avof,A583,fa_type,"Avoir"))</f>
        <v/>
      </c>
      <c r="W583" s="65" t="str">
        <f>IF(OR(A583="",AA583="Avoir"),"",ROUND(S583-U583-V583,2))</f>
        <v/>
      </c>
      <c r="X583" s="66" t="str">
        <f>IF(W583="","",IF(AND(W583&gt;0,p_asof&gt;P583),p_asof-P583,""))</f>
        <v/>
      </c>
      <c r="Y583" s="59" t="str">
        <f>IF(A583="","",IF(AA583="Avoir","Avoir",IF(W583&lt;0,"Trop-perçu",IF(W583=0,"Soldée",IF(p_asof&gt;P583,"En retard",IF(U583+V583&gt;0,"Partielle","À échoir"))))))</f>
        <v/>
      </c>
      <c r="Z583" s="59" t="str">
        <f>IF(NOT(COUNTA(B583:D583,F583:O583)&gt;0),"",IF(C583="","Date manquante",IF(NOT(ISNUMBER(C583)),"Date invalide",IF(D583="","Client manquant",IF(ISNA(MATCH(D583,cli_code,0)),"Client inconnu",IF(AC583&lt;SUMPRODUCT(MAX(($AB$6:AB582=AB583)*$AC$6:AC582)),"Date antérieure à la facture précédente",IF(AND(F583&lt;&gt;"",ISNA(MATCH(F583,dv_num,0))),"Devis inconnu",IF(AND(F583&lt;&gt;"",IFERROR(INDEX(dv_client,MATCH(F583,dv_num,0)),D583)&lt;&gt;D583),"Client différent de celui du devis",IF(AG583="","Aucune ligne : saisissez des lignes ou un devis",IF(AND(AI583&lt;&gt;"",COUNTIF($AI$6:AI583,AI583)&gt;1),"Devis déjà repris par une autre facture",IF(AND(AA583="Avoir",M583=""),"Avoir : indiquez la facture d'origine",IF(AND(AA583="Avoir",ISNA(MATCH(M583,fa_num,0))),"Facture d'origine inconnue",IF(AND(AA583&lt;&gt;"Avoir",M583&lt;&gt;""),"« Avoir sur facture » : réservé aux avoirs",IF(AND(L583&lt;&gt;"",AA583&lt;&gt;"Facture"),"Acompte à déduire : réservé aux factures",IF(AND(L583&lt;&gt;"",ISNA(MATCH(L583,fa_num,0))),"Facture d'acompte inconnue",IF(AND(L583&lt;&gt;"",IFERROR(INDEX(fa_type,MATCH(L583,fa_num,0)),"")&lt;&gt;"Facture d'acompte"),"Le n° à déduire n'est pas une facture d'acompte",IF(AND(L583&lt;&gt;"",COUNTIF($L$6:L583,L583)&gt;1),"Acompte déjà déduit sur une autre facture",IF(AND(L583&lt;&gt;"",IFERROR(INDEX(fa_client,MATCH(L583,fa_num,0)),D583)&lt;&gt;D583),"Acompte d'un autre client",IF(AND(AR583&lt;&gt;"",N(Q583)&lt;0),"Acompte supérieur au total de la facture",IF(IF(AG583="Facture",COUNTIFS(fl_doc,A583,fl_check,"&lt;&gt;OK"),IF(AG583="Devis",COUNTIFS(dl_doc,F583,dl_check,"&lt;&gt;OK"),0))&gt;0,"Ligne(s) à corriger",IF(AND(W583&lt;&gt;"",N(W583)&lt;0),"Trop-perçu : vérifiez paiements et avoirs","OK")))))))))))))))))))))</f>
        <v/>
      </c>
      <c r="AA583" s="62" t="str">
        <f>IF(COUNTA(B583:D583,F583:O583)&gt;0,IF(B583="","Facture",B583),"")</f>
        <v/>
      </c>
      <c r="AB583" s="62" t="str">
        <f>IF(AA583="","",IF(AA583="Avoir",p_pav,IF(AA583="Facture d'acompte",p_pac,p_pfa)))</f>
        <v/>
      </c>
      <c r="AC583" s="62">
        <f>IF(ISNUMBER(C583),C583,0)</f>
        <v>0.0</v>
      </c>
      <c r="AD583" s="62" t="str">
        <f>IF(OR(AA583="",AC583=0),"",YEAR(AC583))</f>
        <v/>
      </c>
      <c r="AE583" s="62" t="str">
        <f>IF(AD583="","",COUNTIFS($AB$6:AB583,AB583,$AD$6:AD583,AD583))</f>
        <v/>
      </c>
      <c r="AF583" s="62">
        <f>IF(A583="",0,COUNTIF(fl_doc,A583))</f>
        <v>0.0</v>
      </c>
      <c r="AG583" s="62" t="str">
        <f>IF(A583="","",IF(AF583&gt;0,"Facture",IF(AND(F583&lt;&gt;"",AA583="Facture",ISNUMBER(MATCH(F583,dv_num,0))),"Devis","")))</f>
        <v/>
      </c>
      <c r="AH583" s="62" t="str">
        <f>IF(AND(A583&lt;&gt;"",F583&lt;&gt;"",AA583&lt;&gt;"Avoir"),F583,"")</f>
        <v/>
      </c>
      <c r="AI583" s="62" t="str">
        <f>IF(AG583="Devis",F583,"")</f>
        <v/>
      </c>
      <c r="AJ583" s="62">
        <f>IF(AG583="Facture",SUMIF(fl_doc,A583,fl_ht),IF(AG583="Devis",SUMIF(dl_doc,F583,dl_ht),0))</f>
        <v>0.0</v>
      </c>
      <c r="AK583" s="62">
        <f>IF(OR(AG583="",INDEX(p_rates,1)=""),0,IF(AG583="Facture",SUMIFS(fl_ht,fl_doc,A583,fl_rate,INDEX(p_rates,1)),SUMIFS(dl_ht,dl_doc,F583,dl_rate,INDEX(p_rates,1))))</f>
        <v>0.0</v>
      </c>
      <c r="AL583" s="62">
        <f>IF(OR(AG583="",INDEX(p_rates,2)=""),0,IF(AG583="Facture",SUMIFS(fl_ht,fl_doc,A583,fl_rate,INDEX(p_rates,2)),SUMIFS(dl_ht,dl_doc,F583,dl_rate,INDEX(p_rates,2))))</f>
        <v>0.0</v>
      </c>
      <c r="AM583" s="62">
        <f>IF(OR(AG583="",INDEX(p_rates,3)=""),0,IF(AG583="Facture",SUMIFS(fl_ht,fl_doc,A583,fl_rate,INDEX(p_rates,3)),SUMIFS(dl_ht,dl_doc,F583,dl_rate,INDEX(p_rates,3))))</f>
        <v>0.0</v>
      </c>
      <c r="AN583" s="62">
        <f>IF(OR(AG583="",INDEX(p_rates,4)=""),0,IF(AG583="Facture",SUMIFS(fl_ht,fl_doc,A583,fl_rate,INDEX(p_rates,4)),SUMIFS(dl_ht,dl_doc,F583,dl_rate,INDEX(p_rates,4))))</f>
        <v>0.0</v>
      </c>
      <c r="AO583" s="62">
        <f>IF(OR(AG583="",INDEX(p_rates,5)=""),0,IF(AG583="Facture",SUMIFS(fl_ht,fl_doc,A583,fl_rate,INDEX(p_rates,5)),SUMIFS(dl_ht,dl_doc,F583,dl_rate,INDEX(p_rates,5))))</f>
        <v>0.0</v>
      </c>
      <c r="AP583" s="62">
        <f>IF(OR(AG583="",INDEX(p_rates,6)=""),0,IF(AG583="Facture",SUMIFS(fl_ht,fl_doc,A583,fl_rate,INDEX(p_rates,6)),SUMIFS(dl_ht,dl_doc,F583,dl_rate,INDEX(p_rates,6))))</f>
        <v>0.0</v>
      </c>
      <c r="AQ583" s="62">
        <f>ROUND(AK583*N(INDEX(p_rates,1)),2)+ROUND(AL583*N(INDEX(p_rates,2)),2)+ROUND(AM583*N(INDEX(p_rates,3)),2)+ROUND(AN583*N(INDEX(p_rates,4)),2)+ROUND(AO583*N(INDEX(p_rates,5)),2)+ROUND(AP583*N(INDEX(p_rates,6)),2)</f>
        <v>0.0</v>
      </c>
      <c r="AR583" s="62" t="str">
        <f>IF(OR(L583="",AA583&lt;&gt;"Facture"),"",IFERROR(IF(INDEX(fa_type,MATCH(L583,fa_num,0))="Facture d'acompte",MATCH(L583,fa_num,0),""),""))</f>
        <v/>
      </c>
      <c r="AS583" s="62" t="str">
        <f>IF(W583="","",IF(W583&lt;=0,"",IF(p_asof-P583&lt;=0,"Non échu",IF(p_asof-P583&lt;=30,"1-30 j",IF(p_asof-P583&lt;=60,"31-60 j",IF(p_asof-P583&lt;=90,"61-90 j","Plus de 90 j"))))))</f>
        <v/>
      </c>
      <c r="AT583" s="62" t="str">
        <f>IF(AS583="","",p_asof-P583)</f>
        <v/>
      </c>
      <c r="AU583" s="62" t="str">
        <f>IF(AT583="","",COUNTIF($AT$6:$AT$805,"&gt;"&amp;AT583)+COUNTIF($AT$6:AT583,AT583))</f>
        <v/>
      </c>
    </row>
    <row r="584">
      <c r="A584" s="59" t="str">
        <f>IF(AE584="","",AB584&amp;"-"&amp;AD584&amp;"-"&amp;RIGHT("000"&amp;AE584,4))</f>
        <v/>
      </c>
      <c r="B584" s="60" t="n"/>
      <c r="C584" s="61" t="n"/>
      <c r="D584" s="60" t="n"/>
      <c r="E584" s="62" t="str">
        <f>IF(D584="","",IFERROR(INDEX(cli_name,MATCH(D584,cli_code,0))&amp;"","Client inconnu"))</f>
        <v/>
      </c>
      <c r="F584" s="60" t="n"/>
      <c r="G584" s="63" t="n"/>
      <c r="H584" s="61" t="n"/>
      <c r="I584" s="63" t="n"/>
      <c r="J584" s="60" t="n"/>
      <c r="K584" s="61" t="n"/>
      <c r="L584" s="60" t="n"/>
      <c r="M584" s="60" t="n"/>
      <c r="N584" s="60" t="n"/>
      <c r="O584" s="61" t="n"/>
      <c r="P584" s="64" t="str">
        <f>IF(A584="","",IF(AA584="Avoir",AC584,IF(ISNUMBER(K584),K584,AC584+IF(D584="",N(p_delay),IFERROR(IF(ISNUMBER(INDEX(cli_delay,MATCH(D584,cli_code,0))),INDEX(cli_delay,MATCH(D584,cli_code,0)),N(p_delay)),N(p_delay))))))</f>
        <v/>
      </c>
      <c r="Q584" s="65" t="str">
        <f>IF(A584="","",IF(AA584="Avoir",-1,1)*ROUND(AJ584-IF(AR584="",0,INDEX(fa_htb,AR584)),2))</f>
        <v/>
      </c>
      <c r="R584" s="65" t="str">
        <f>IF(A584="","",IF(AA584="Avoir",-1,1)*ROUND(AQ584-IF(AR584="",0,INDEX(fa_tvab,AR584)),2))</f>
        <v/>
      </c>
      <c r="S584" s="65" t="str">
        <f>IF(A584="","",Q584+R584)</f>
        <v/>
      </c>
      <c r="T584" s="65" t="str">
        <f>IF(AR584="","",INDEX(fa_htb,AR584)+INDEX(fa_tvab,AR584))</f>
        <v/>
      </c>
      <c r="U584" s="65" t="str">
        <f>IF(A584="","",SUMIF(pa_inv,A584,pa_amt))</f>
        <v/>
      </c>
      <c r="V584" s="65" t="str">
        <f>IF(OR(A584="",AA584="Avoir"),"",-SUMIFS(fa_ttc,fa_avof,A584,fa_type,"Avoir"))</f>
        <v/>
      </c>
      <c r="W584" s="65" t="str">
        <f>IF(OR(A584="",AA584="Avoir"),"",ROUND(S584-U584-V584,2))</f>
        <v/>
      </c>
      <c r="X584" s="66" t="str">
        <f>IF(W584="","",IF(AND(W584&gt;0,p_asof&gt;P584),p_asof-P584,""))</f>
        <v/>
      </c>
      <c r="Y584" s="59" t="str">
        <f>IF(A584="","",IF(AA584="Avoir","Avoir",IF(W584&lt;0,"Trop-perçu",IF(W584=0,"Soldée",IF(p_asof&gt;P584,"En retard",IF(U584+V584&gt;0,"Partielle","À échoir"))))))</f>
        <v/>
      </c>
      <c r="Z584" s="59" t="str">
        <f>IF(NOT(COUNTA(B584:D584,F584:O584)&gt;0),"",IF(C584="","Date manquante",IF(NOT(ISNUMBER(C584)),"Date invalide",IF(D584="","Client manquant",IF(ISNA(MATCH(D584,cli_code,0)),"Client inconnu",IF(AC584&lt;SUMPRODUCT(MAX(($AB$6:AB583=AB584)*$AC$6:AC583)),"Date antérieure à la facture précédente",IF(AND(F584&lt;&gt;"",ISNA(MATCH(F584,dv_num,0))),"Devis inconnu",IF(AND(F584&lt;&gt;"",IFERROR(INDEX(dv_client,MATCH(F584,dv_num,0)),D584)&lt;&gt;D584),"Client différent de celui du devis",IF(AG584="","Aucune ligne : saisissez des lignes ou un devis",IF(AND(AI584&lt;&gt;"",COUNTIF($AI$6:AI584,AI584)&gt;1),"Devis déjà repris par une autre facture",IF(AND(AA584="Avoir",M584=""),"Avoir : indiquez la facture d'origine",IF(AND(AA584="Avoir",ISNA(MATCH(M584,fa_num,0))),"Facture d'origine inconnue",IF(AND(AA584&lt;&gt;"Avoir",M584&lt;&gt;""),"« Avoir sur facture » : réservé aux avoirs",IF(AND(L584&lt;&gt;"",AA584&lt;&gt;"Facture"),"Acompte à déduire : réservé aux factures",IF(AND(L584&lt;&gt;"",ISNA(MATCH(L584,fa_num,0))),"Facture d'acompte inconnue",IF(AND(L584&lt;&gt;"",IFERROR(INDEX(fa_type,MATCH(L584,fa_num,0)),"")&lt;&gt;"Facture d'acompte"),"Le n° à déduire n'est pas une facture d'acompte",IF(AND(L584&lt;&gt;"",COUNTIF($L$6:L584,L584)&gt;1),"Acompte déjà déduit sur une autre facture",IF(AND(L584&lt;&gt;"",IFERROR(INDEX(fa_client,MATCH(L584,fa_num,0)),D584)&lt;&gt;D584),"Acompte d'un autre client",IF(AND(AR584&lt;&gt;"",N(Q584)&lt;0),"Acompte supérieur au total de la facture",IF(IF(AG584="Facture",COUNTIFS(fl_doc,A584,fl_check,"&lt;&gt;OK"),IF(AG584="Devis",COUNTIFS(dl_doc,F584,dl_check,"&lt;&gt;OK"),0))&gt;0,"Ligne(s) à corriger",IF(AND(W584&lt;&gt;"",N(W584)&lt;0),"Trop-perçu : vérifiez paiements et avoirs","OK")))))))))))))))))))))</f>
        <v/>
      </c>
      <c r="AA584" s="62" t="str">
        <f>IF(COUNTA(B584:D584,F584:O584)&gt;0,IF(B584="","Facture",B584),"")</f>
        <v/>
      </c>
      <c r="AB584" s="62" t="str">
        <f>IF(AA584="","",IF(AA584="Avoir",p_pav,IF(AA584="Facture d'acompte",p_pac,p_pfa)))</f>
        <v/>
      </c>
      <c r="AC584" s="62">
        <f>IF(ISNUMBER(C584),C584,0)</f>
        <v>0.0</v>
      </c>
      <c r="AD584" s="62" t="str">
        <f>IF(OR(AA584="",AC584=0),"",YEAR(AC584))</f>
        <v/>
      </c>
      <c r="AE584" s="62" t="str">
        <f>IF(AD584="","",COUNTIFS($AB$6:AB584,AB584,$AD$6:AD584,AD584))</f>
        <v/>
      </c>
      <c r="AF584" s="62">
        <f>IF(A584="",0,COUNTIF(fl_doc,A584))</f>
        <v>0.0</v>
      </c>
      <c r="AG584" s="62" t="str">
        <f>IF(A584="","",IF(AF584&gt;0,"Facture",IF(AND(F584&lt;&gt;"",AA584="Facture",ISNUMBER(MATCH(F584,dv_num,0))),"Devis","")))</f>
        <v/>
      </c>
      <c r="AH584" s="62" t="str">
        <f>IF(AND(A584&lt;&gt;"",F584&lt;&gt;"",AA584&lt;&gt;"Avoir"),F584,"")</f>
        <v/>
      </c>
      <c r="AI584" s="62" t="str">
        <f>IF(AG584="Devis",F584,"")</f>
        <v/>
      </c>
      <c r="AJ584" s="62">
        <f>IF(AG584="Facture",SUMIF(fl_doc,A584,fl_ht),IF(AG584="Devis",SUMIF(dl_doc,F584,dl_ht),0))</f>
        <v>0.0</v>
      </c>
      <c r="AK584" s="62">
        <f>IF(OR(AG584="",INDEX(p_rates,1)=""),0,IF(AG584="Facture",SUMIFS(fl_ht,fl_doc,A584,fl_rate,INDEX(p_rates,1)),SUMIFS(dl_ht,dl_doc,F584,dl_rate,INDEX(p_rates,1))))</f>
        <v>0.0</v>
      </c>
      <c r="AL584" s="62">
        <f>IF(OR(AG584="",INDEX(p_rates,2)=""),0,IF(AG584="Facture",SUMIFS(fl_ht,fl_doc,A584,fl_rate,INDEX(p_rates,2)),SUMIFS(dl_ht,dl_doc,F584,dl_rate,INDEX(p_rates,2))))</f>
        <v>0.0</v>
      </c>
      <c r="AM584" s="62">
        <f>IF(OR(AG584="",INDEX(p_rates,3)=""),0,IF(AG584="Facture",SUMIFS(fl_ht,fl_doc,A584,fl_rate,INDEX(p_rates,3)),SUMIFS(dl_ht,dl_doc,F584,dl_rate,INDEX(p_rates,3))))</f>
        <v>0.0</v>
      </c>
      <c r="AN584" s="62">
        <f>IF(OR(AG584="",INDEX(p_rates,4)=""),0,IF(AG584="Facture",SUMIFS(fl_ht,fl_doc,A584,fl_rate,INDEX(p_rates,4)),SUMIFS(dl_ht,dl_doc,F584,dl_rate,INDEX(p_rates,4))))</f>
        <v>0.0</v>
      </c>
      <c r="AO584" s="62">
        <f>IF(OR(AG584="",INDEX(p_rates,5)=""),0,IF(AG584="Facture",SUMIFS(fl_ht,fl_doc,A584,fl_rate,INDEX(p_rates,5)),SUMIFS(dl_ht,dl_doc,F584,dl_rate,INDEX(p_rates,5))))</f>
        <v>0.0</v>
      </c>
      <c r="AP584" s="62">
        <f>IF(OR(AG584="",INDEX(p_rates,6)=""),0,IF(AG584="Facture",SUMIFS(fl_ht,fl_doc,A584,fl_rate,INDEX(p_rates,6)),SUMIFS(dl_ht,dl_doc,F584,dl_rate,INDEX(p_rates,6))))</f>
        <v>0.0</v>
      </c>
      <c r="AQ584" s="62">
        <f>ROUND(AK584*N(INDEX(p_rates,1)),2)+ROUND(AL584*N(INDEX(p_rates,2)),2)+ROUND(AM584*N(INDEX(p_rates,3)),2)+ROUND(AN584*N(INDEX(p_rates,4)),2)+ROUND(AO584*N(INDEX(p_rates,5)),2)+ROUND(AP584*N(INDEX(p_rates,6)),2)</f>
        <v>0.0</v>
      </c>
      <c r="AR584" s="62" t="str">
        <f>IF(OR(L584="",AA584&lt;&gt;"Facture"),"",IFERROR(IF(INDEX(fa_type,MATCH(L584,fa_num,0))="Facture d'acompte",MATCH(L584,fa_num,0),""),""))</f>
        <v/>
      </c>
      <c r="AS584" s="62" t="str">
        <f>IF(W584="","",IF(W584&lt;=0,"",IF(p_asof-P584&lt;=0,"Non échu",IF(p_asof-P584&lt;=30,"1-30 j",IF(p_asof-P584&lt;=60,"31-60 j",IF(p_asof-P584&lt;=90,"61-90 j","Plus de 90 j"))))))</f>
        <v/>
      </c>
      <c r="AT584" s="62" t="str">
        <f>IF(AS584="","",p_asof-P584)</f>
        <v/>
      </c>
      <c r="AU584" s="62" t="str">
        <f>IF(AT584="","",COUNTIF($AT$6:$AT$805,"&gt;"&amp;AT584)+COUNTIF($AT$6:AT584,AT584))</f>
        <v/>
      </c>
    </row>
    <row r="585">
      <c r="A585" s="59" t="str">
        <f>IF(AE585="","",AB585&amp;"-"&amp;AD585&amp;"-"&amp;RIGHT("000"&amp;AE585,4))</f>
        <v/>
      </c>
      <c r="B585" s="60" t="n"/>
      <c r="C585" s="61" t="n"/>
      <c r="D585" s="60" t="n"/>
      <c r="E585" s="62" t="str">
        <f>IF(D585="","",IFERROR(INDEX(cli_name,MATCH(D585,cli_code,0))&amp;"","Client inconnu"))</f>
        <v/>
      </c>
      <c r="F585" s="60" t="n"/>
      <c r="G585" s="63" t="n"/>
      <c r="H585" s="61" t="n"/>
      <c r="I585" s="63" t="n"/>
      <c r="J585" s="60" t="n"/>
      <c r="K585" s="61" t="n"/>
      <c r="L585" s="60" t="n"/>
      <c r="M585" s="60" t="n"/>
      <c r="N585" s="60" t="n"/>
      <c r="O585" s="61" t="n"/>
      <c r="P585" s="64" t="str">
        <f>IF(A585="","",IF(AA585="Avoir",AC585,IF(ISNUMBER(K585),K585,AC585+IF(D585="",N(p_delay),IFERROR(IF(ISNUMBER(INDEX(cli_delay,MATCH(D585,cli_code,0))),INDEX(cli_delay,MATCH(D585,cli_code,0)),N(p_delay)),N(p_delay))))))</f>
        <v/>
      </c>
      <c r="Q585" s="65" t="str">
        <f>IF(A585="","",IF(AA585="Avoir",-1,1)*ROUND(AJ585-IF(AR585="",0,INDEX(fa_htb,AR585)),2))</f>
        <v/>
      </c>
      <c r="R585" s="65" t="str">
        <f>IF(A585="","",IF(AA585="Avoir",-1,1)*ROUND(AQ585-IF(AR585="",0,INDEX(fa_tvab,AR585)),2))</f>
        <v/>
      </c>
      <c r="S585" s="65" t="str">
        <f>IF(A585="","",Q585+R585)</f>
        <v/>
      </c>
      <c r="T585" s="65" t="str">
        <f>IF(AR585="","",INDEX(fa_htb,AR585)+INDEX(fa_tvab,AR585))</f>
        <v/>
      </c>
      <c r="U585" s="65" t="str">
        <f>IF(A585="","",SUMIF(pa_inv,A585,pa_amt))</f>
        <v/>
      </c>
      <c r="V585" s="65" t="str">
        <f>IF(OR(A585="",AA585="Avoir"),"",-SUMIFS(fa_ttc,fa_avof,A585,fa_type,"Avoir"))</f>
        <v/>
      </c>
      <c r="W585" s="65" t="str">
        <f>IF(OR(A585="",AA585="Avoir"),"",ROUND(S585-U585-V585,2))</f>
        <v/>
      </c>
      <c r="X585" s="66" t="str">
        <f>IF(W585="","",IF(AND(W585&gt;0,p_asof&gt;P585),p_asof-P585,""))</f>
        <v/>
      </c>
      <c r="Y585" s="59" t="str">
        <f>IF(A585="","",IF(AA585="Avoir","Avoir",IF(W585&lt;0,"Trop-perçu",IF(W585=0,"Soldée",IF(p_asof&gt;P585,"En retard",IF(U585+V585&gt;0,"Partielle","À échoir"))))))</f>
        <v/>
      </c>
      <c r="Z585" s="59" t="str">
        <f>IF(NOT(COUNTA(B585:D585,F585:O585)&gt;0),"",IF(C585="","Date manquante",IF(NOT(ISNUMBER(C585)),"Date invalide",IF(D585="","Client manquant",IF(ISNA(MATCH(D585,cli_code,0)),"Client inconnu",IF(AC585&lt;SUMPRODUCT(MAX(($AB$6:AB584=AB585)*$AC$6:AC584)),"Date antérieure à la facture précédente",IF(AND(F585&lt;&gt;"",ISNA(MATCH(F585,dv_num,0))),"Devis inconnu",IF(AND(F585&lt;&gt;"",IFERROR(INDEX(dv_client,MATCH(F585,dv_num,0)),D585)&lt;&gt;D585),"Client différent de celui du devis",IF(AG585="","Aucune ligne : saisissez des lignes ou un devis",IF(AND(AI585&lt;&gt;"",COUNTIF($AI$6:AI585,AI585)&gt;1),"Devis déjà repris par une autre facture",IF(AND(AA585="Avoir",M585=""),"Avoir : indiquez la facture d'origine",IF(AND(AA585="Avoir",ISNA(MATCH(M585,fa_num,0))),"Facture d'origine inconnue",IF(AND(AA585&lt;&gt;"Avoir",M585&lt;&gt;""),"« Avoir sur facture » : réservé aux avoirs",IF(AND(L585&lt;&gt;"",AA585&lt;&gt;"Facture"),"Acompte à déduire : réservé aux factures",IF(AND(L585&lt;&gt;"",ISNA(MATCH(L585,fa_num,0))),"Facture d'acompte inconnue",IF(AND(L585&lt;&gt;"",IFERROR(INDEX(fa_type,MATCH(L585,fa_num,0)),"")&lt;&gt;"Facture d'acompte"),"Le n° à déduire n'est pas une facture d'acompte",IF(AND(L585&lt;&gt;"",COUNTIF($L$6:L585,L585)&gt;1),"Acompte déjà déduit sur une autre facture",IF(AND(L585&lt;&gt;"",IFERROR(INDEX(fa_client,MATCH(L585,fa_num,0)),D585)&lt;&gt;D585),"Acompte d'un autre client",IF(AND(AR585&lt;&gt;"",N(Q585)&lt;0),"Acompte supérieur au total de la facture",IF(IF(AG585="Facture",COUNTIFS(fl_doc,A585,fl_check,"&lt;&gt;OK"),IF(AG585="Devis",COUNTIFS(dl_doc,F585,dl_check,"&lt;&gt;OK"),0))&gt;0,"Ligne(s) à corriger",IF(AND(W585&lt;&gt;"",N(W585)&lt;0),"Trop-perçu : vérifiez paiements et avoirs","OK")))))))))))))))))))))</f>
        <v/>
      </c>
      <c r="AA585" s="62" t="str">
        <f>IF(COUNTA(B585:D585,F585:O585)&gt;0,IF(B585="","Facture",B585),"")</f>
        <v/>
      </c>
      <c r="AB585" s="62" t="str">
        <f>IF(AA585="","",IF(AA585="Avoir",p_pav,IF(AA585="Facture d'acompte",p_pac,p_pfa)))</f>
        <v/>
      </c>
      <c r="AC585" s="62">
        <f>IF(ISNUMBER(C585),C585,0)</f>
        <v>0.0</v>
      </c>
      <c r="AD585" s="62" t="str">
        <f>IF(OR(AA585="",AC585=0),"",YEAR(AC585))</f>
        <v/>
      </c>
      <c r="AE585" s="62" t="str">
        <f>IF(AD585="","",COUNTIFS($AB$6:AB585,AB585,$AD$6:AD585,AD585))</f>
        <v/>
      </c>
      <c r="AF585" s="62">
        <f>IF(A585="",0,COUNTIF(fl_doc,A585))</f>
        <v>0.0</v>
      </c>
      <c r="AG585" s="62" t="str">
        <f>IF(A585="","",IF(AF585&gt;0,"Facture",IF(AND(F585&lt;&gt;"",AA585="Facture",ISNUMBER(MATCH(F585,dv_num,0))),"Devis","")))</f>
        <v/>
      </c>
      <c r="AH585" s="62" t="str">
        <f>IF(AND(A585&lt;&gt;"",F585&lt;&gt;"",AA585&lt;&gt;"Avoir"),F585,"")</f>
        <v/>
      </c>
      <c r="AI585" s="62" t="str">
        <f>IF(AG585="Devis",F585,"")</f>
        <v/>
      </c>
      <c r="AJ585" s="62">
        <f>IF(AG585="Facture",SUMIF(fl_doc,A585,fl_ht),IF(AG585="Devis",SUMIF(dl_doc,F585,dl_ht),0))</f>
        <v>0.0</v>
      </c>
      <c r="AK585" s="62">
        <f>IF(OR(AG585="",INDEX(p_rates,1)=""),0,IF(AG585="Facture",SUMIFS(fl_ht,fl_doc,A585,fl_rate,INDEX(p_rates,1)),SUMIFS(dl_ht,dl_doc,F585,dl_rate,INDEX(p_rates,1))))</f>
        <v>0.0</v>
      </c>
      <c r="AL585" s="62">
        <f>IF(OR(AG585="",INDEX(p_rates,2)=""),0,IF(AG585="Facture",SUMIFS(fl_ht,fl_doc,A585,fl_rate,INDEX(p_rates,2)),SUMIFS(dl_ht,dl_doc,F585,dl_rate,INDEX(p_rates,2))))</f>
        <v>0.0</v>
      </c>
      <c r="AM585" s="62">
        <f>IF(OR(AG585="",INDEX(p_rates,3)=""),0,IF(AG585="Facture",SUMIFS(fl_ht,fl_doc,A585,fl_rate,INDEX(p_rates,3)),SUMIFS(dl_ht,dl_doc,F585,dl_rate,INDEX(p_rates,3))))</f>
        <v>0.0</v>
      </c>
      <c r="AN585" s="62">
        <f>IF(OR(AG585="",INDEX(p_rates,4)=""),0,IF(AG585="Facture",SUMIFS(fl_ht,fl_doc,A585,fl_rate,INDEX(p_rates,4)),SUMIFS(dl_ht,dl_doc,F585,dl_rate,INDEX(p_rates,4))))</f>
        <v>0.0</v>
      </c>
      <c r="AO585" s="62">
        <f>IF(OR(AG585="",INDEX(p_rates,5)=""),0,IF(AG585="Facture",SUMIFS(fl_ht,fl_doc,A585,fl_rate,INDEX(p_rates,5)),SUMIFS(dl_ht,dl_doc,F585,dl_rate,INDEX(p_rates,5))))</f>
        <v>0.0</v>
      </c>
      <c r="AP585" s="62">
        <f>IF(OR(AG585="",INDEX(p_rates,6)=""),0,IF(AG585="Facture",SUMIFS(fl_ht,fl_doc,A585,fl_rate,INDEX(p_rates,6)),SUMIFS(dl_ht,dl_doc,F585,dl_rate,INDEX(p_rates,6))))</f>
        <v>0.0</v>
      </c>
      <c r="AQ585" s="62">
        <f>ROUND(AK585*N(INDEX(p_rates,1)),2)+ROUND(AL585*N(INDEX(p_rates,2)),2)+ROUND(AM585*N(INDEX(p_rates,3)),2)+ROUND(AN585*N(INDEX(p_rates,4)),2)+ROUND(AO585*N(INDEX(p_rates,5)),2)+ROUND(AP585*N(INDEX(p_rates,6)),2)</f>
        <v>0.0</v>
      </c>
      <c r="AR585" s="62" t="str">
        <f>IF(OR(L585="",AA585&lt;&gt;"Facture"),"",IFERROR(IF(INDEX(fa_type,MATCH(L585,fa_num,0))="Facture d'acompte",MATCH(L585,fa_num,0),""),""))</f>
        <v/>
      </c>
      <c r="AS585" s="62" t="str">
        <f>IF(W585="","",IF(W585&lt;=0,"",IF(p_asof-P585&lt;=0,"Non échu",IF(p_asof-P585&lt;=30,"1-30 j",IF(p_asof-P585&lt;=60,"31-60 j",IF(p_asof-P585&lt;=90,"61-90 j","Plus de 90 j"))))))</f>
        <v/>
      </c>
      <c r="AT585" s="62" t="str">
        <f>IF(AS585="","",p_asof-P585)</f>
        <v/>
      </c>
      <c r="AU585" s="62" t="str">
        <f>IF(AT585="","",COUNTIF($AT$6:$AT$805,"&gt;"&amp;AT585)+COUNTIF($AT$6:AT585,AT585))</f>
        <v/>
      </c>
    </row>
    <row r="586">
      <c r="A586" s="59" t="str">
        <f>IF(AE586="","",AB586&amp;"-"&amp;AD586&amp;"-"&amp;RIGHT("000"&amp;AE586,4))</f>
        <v/>
      </c>
      <c r="B586" s="60" t="n"/>
      <c r="C586" s="61" t="n"/>
      <c r="D586" s="60" t="n"/>
      <c r="E586" s="62" t="str">
        <f>IF(D586="","",IFERROR(INDEX(cli_name,MATCH(D586,cli_code,0))&amp;"","Client inconnu"))</f>
        <v/>
      </c>
      <c r="F586" s="60" t="n"/>
      <c r="G586" s="63" t="n"/>
      <c r="H586" s="61" t="n"/>
      <c r="I586" s="63" t="n"/>
      <c r="J586" s="60" t="n"/>
      <c r="K586" s="61" t="n"/>
      <c r="L586" s="60" t="n"/>
      <c r="M586" s="60" t="n"/>
      <c r="N586" s="60" t="n"/>
      <c r="O586" s="61" t="n"/>
      <c r="P586" s="64" t="str">
        <f>IF(A586="","",IF(AA586="Avoir",AC586,IF(ISNUMBER(K586),K586,AC586+IF(D586="",N(p_delay),IFERROR(IF(ISNUMBER(INDEX(cli_delay,MATCH(D586,cli_code,0))),INDEX(cli_delay,MATCH(D586,cli_code,0)),N(p_delay)),N(p_delay))))))</f>
        <v/>
      </c>
      <c r="Q586" s="65" t="str">
        <f>IF(A586="","",IF(AA586="Avoir",-1,1)*ROUND(AJ586-IF(AR586="",0,INDEX(fa_htb,AR586)),2))</f>
        <v/>
      </c>
      <c r="R586" s="65" t="str">
        <f>IF(A586="","",IF(AA586="Avoir",-1,1)*ROUND(AQ586-IF(AR586="",0,INDEX(fa_tvab,AR586)),2))</f>
        <v/>
      </c>
      <c r="S586" s="65" t="str">
        <f>IF(A586="","",Q586+R586)</f>
        <v/>
      </c>
      <c r="T586" s="65" t="str">
        <f>IF(AR586="","",INDEX(fa_htb,AR586)+INDEX(fa_tvab,AR586))</f>
        <v/>
      </c>
      <c r="U586" s="65" t="str">
        <f>IF(A586="","",SUMIF(pa_inv,A586,pa_amt))</f>
        <v/>
      </c>
      <c r="V586" s="65" t="str">
        <f>IF(OR(A586="",AA586="Avoir"),"",-SUMIFS(fa_ttc,fa_avof,A586,fa_type,"Avoir"))</f>
        <v/>
      </c>
      <c r="W586" s="65" t="str">
        <f>IF(OR(A586="",AA586="Avoir"),"",ROUND(S586-U586-V586,2))</f>
        <v/>
      </c>
      <c r="X586" s="66" t="str">
        <f>IF(W586="","",IF(AND(W586&gt;0,p_asof&gt;P586),p_asof-P586,""))</f>
        <v/>
      </c>
      <c r="Y586" s="59" t="str">
        <f>IF(A586="","",IF(AA586="Avoir","Avoir",IF(W586&lt;0,"Trop-perçu",IF(W586=0,"Soldée",IF(p_asof&gt;P586,"En retard",IF(U586+V586&gt;0,"Partielle","À échoir"))))))</f>
        <v/>
      </c>
      <c r="Z586" s="59" t="str">
        <f>IF(NOT(COUNTA(B586:D586,F586:O586)&gt;0),"",IF(C586="","Date manquante",IF(NOT(ISNUMBER(C586)),"Date invalide",IF(D586="","Client manquant",IF(ISNA(MATCH(D586,cli_code,0)),"Client inconnu",IF(AC586&lt;SUMPRODUCT(MAX(($AB$6:AB585=AB586)*$AC$6:AC585)),"Date antérieure à la facture précédente",IF(AND(F586&lt;&gt;"",ISNA(MATCH(F586,dv_num,0))),"Devis inconnu",IF(AND(F586&lt;&gt;"",IFERROR(INDEX(dv_client,MATCH(F586,dv_num,0)),D586)&lt;&gt;D586),"Client différent de celui du devis",IF(AG586="","Aucune ligne : saisissez des lignes ou un devis",IF(AND(AI586&lt;&gt;"",COUNTIF($AI$6:AI586,AI586)&gt;1),"Devis déjà repris par une autre facture",IF(AND(AA586="Avoir",M586=""),"Avoir : indiquez la facture d'origine",IF(AND(AA586="Avoir",ISNA(MATCH(M586,fa_num,0))),"Facture d'origine inconnue",IF(AND(AA586&lt;&gt;"Avoir",M586&lt;&gt;""),"« Avoir sur facture » : réservé aux avoirs",IF(AND(L586&lt;&gt;"",AA586&lt;&gt;"Facture"),"Acompte à déduire : réservé aux factures",IF(AND(L586&lt;&gt;"",ISNA(MATCH(L586,fa_num,0))),"Facture d'acompte inconnue",IF(AND(L586&lt;&gt;"",IFERROR(INDEX(fa_type,MATCH(L586,fa_num,0)),"")&lt;&gt;"Facture d'acompte"),"Le n° à déduire n'est pas une facture d'acompte",IF(AND(L586&lt;&gt;"",COUNTIF($L$6:L586,L586)&gt;1),"Acompte déjà déduit sur une autre facture",IF(AND(L586&lt;&gt;"",IFERROR(INDEX(fa_client,MATCH(L586,fa_num,0)),D586)&lt;&gt;D586),"Acompte d'un autre client",IF(AND(AR586&lt;&gt;"",N(Q586)&lt;0),"Acompte supérieur au total de la facture",IF(IF(AG586="Facture",COUNTIFS(fl_doc,A586,fl_check,"&lt;&gt;OK"),IF(AG586="Devis",COUNTIFS(dl_doc,F586,dl_check,"&lt;&gt;OK"),0))&gt;0,"Ligne(s) à corriger",IF(AND(W586&lt;&gt;"",N(W586)&lt;0),"Trop-perçu : vérifiez paiements et avoirs","OK")))))))))))))))))))))</f>
        <v/>
      </c>
      <c r="AA586" s="62" t="str">
        <f>IF(COUNTA(B586:D586,F586:O586)&gt;0,IF(B586="","Facture",B586),"")</f>
        <v/>
      </c>
      <c r="AB586" s="62" t="str">
        <f>IF(AA586="","",IF(AA586="Avoir",p_pav,IF(AA586="Facture d'acompte",p_pac,p_pfa)))</f>
        <v/>
      </c>
      <c r="AC586" s="62">
        <f>IF(ISNUMBER(C586),C586,0)</f>
        <v>0.0</v>
      </c>
      <c r="AD586" s="62" t="str">
        <f>IF(OR(AA586="",AC586=0),"",YEAR(AC586))</f>
        <v/>
      </c>
      <c r="AE586" s="62" t="str">
        <f>IF(AD586="","",COUNTIFS($AB$6:AB586,AB586,$AD$6:AD586,AD586))</f>
        <v/>
      </c>
      <c r="AF586" s="62">
        <f>IF(A586="",0,COUNTIF(fl_doc,A586))</f>
        <v>0.0</v>
      </c>
      <c r="AG586" s="62" t="str">
        <f>IF(A586="","",IF(AF586&gt;0,"Facture",IF(AND(F586&lt;&gt;"",AA586="Facture",ISNUMBER(MATCH(F586,dv_num,0))),"Devis","")))</f>
        <v/>
      </c>
      <c r="AH586" s="62" t="str">
        <f>IF(AND(A586&lt;&gt;"",F586&lt;&gt;"",AA586&lt;&gt;"Avoir"),F586,"")</f>
        <v/>
      </c>
      <c r="AI586" s="62" t="str">
        <f>IF(AG586="Devis",F586,"")</f>
        <v/>
      </c>
      <c r="AJ586" s="62">
        <f>IF(AG586="Facture",SUMIF(fl_doc,A586,fl_ht),IF(AG586="Devis",SUMIF(dl_doc,F586,dl_ht),0))</f>
        <v>0.0</v>
      </c>
      <c r="AK586" s="62">
        <f>IF(OR(AG586="",INDEX(p_rates,1)=""),0,IF(AG586="Facture",SUMIFS(fl_ht,fl_doc,A586,fl_rate,INDEX(p_rates,1)),SUMIFS(dl_ht,dl_doc,F586,dl_rate,INDEX(p_rates,1))))</f>
        <v>0.0</v>
      </c>
      <c r="AL586" s="62">
        <f>IF(OR(AG586="",INDEX(p_rates,2)=""),0,IF(AG586="Facture",SUMIFS(fl_ht,fl_doc,A586,fl_rate,INDEX(p_rates,2)),SUMIFS(dl_ht,dl_doc,F586,dl_rate,INDEX(p_rates,2))))</f>
        <v>0.0</v>
      </c>
      <c r="AM586" s="62">
        <f>IF(OR(AG586="",INDEX(p_rates,3)=""),0,IF(AG586="Facture",SUMIFS(fl_ht,fl_doc,A586,fl_rate,INDEX(p_rates,3)),SUMIFS(dl_ht,dl_doc,F586,dl_rate,INDEX(p_rates,3))))</f>
        <v>0.0</v>
      </c>
      <c r="AN586" s="62">
        <f>IF(OR(AG586="",INDEX(p_rates,4)=""),0,IF(AG586="Facture",SUMIFS(fl_ht,fl_doc,A586,fl_rate,INDEX(p_rates,4)),SUMIFS(dl_ht,dl_doc,F586,dl_rate,INDEX(p_rates,4))))</f>
        <v>0.0</v>
      </c>
      <c r="AO586" s="62">
        <f>IF(OR(AG586="",INDEX(p_rates,5)=""),0,IF(AG586="Facture",SUMIFS(fl_ht,fl_doc,A586,fl_rate,INDEX(p_rates,5)),SUMIFS(dl_ht,dl_doc,F586,dl_rate,INDEX(p_rates,5))))</f>
        <v>0.0</v>
      </c>
      <c r="AP586" s="62">
        <f>IF(OR(AG586="",INDEX(p_rates,6)=""),0,IF(AG586="Facture",SUMIFS(fl_ht,fl_doc,A586,fl_rate,INDEX(p_rates,6)),SUMIFS(dl_ht,dl_doc,F586,dl_rate,INDEX(p_rates,6))))</f>
        <v>0.0</v>
      </c>
      <c r="AQ586" s="62">
        <f>ROUND(AK586*N(INDEX(p_rates,1)),2)+ROUND(AL586*N(INDEX(p_rates,2)),2)+ROUND(AM586*N(INDEX(p_rates,3)),2)+ROUND(AN586*N(INDEX(p_rates,4)),2)+ROUND(AO586*N(INDEX(p_rates,5)),2)+ROUND(AP586*N(INDEX(p_rates,6)),2)</f>
        <v>0.0</v>
      </c>
      <c r="AR586" s="62" t="str">
        <f>IF(OR(L586="",AA586&lt;&gt;"Facture"),"",IFERROR(IF(INDEX(fa_type,MATCH(L586,fa_num,0))="Facture d'acompte",MATCH(L586,fa_num,0),""),""))</f>
        <v/>
      </c>
      <c r="AS586" s="62" t="str">
        <f>IF(W586="","",IF(W586&lt;=0,"",IF(p_asof-P586&lt;=0,"Non échu",IF(p_asof-P586&lt;=30,"1-30 j",IF(p_asof-P586&lt;=60,"31-60 j",IF(p_asof-P586&lt;=90,"61-90 j","Plus de 90 j"))))))</f>
        <v/>
      </c>
      <c r="AT586" s="62" t="str">
        <f>IF(AS586="","",p_asof-P586)</f>
        <v/>
      </c>
      <c r="AU586" s="62" t="str">
        <f>IF(AT586="","",COUNTIF($AT$6:$AT$805,"&gt;"&amp;AT586)+COUNTIF($AT$6:AT586,AT586))</f>
        <v/>
      </c>
    </row>
    <row r="587">
      <c r="A587" s="59" t="str">
        <f>IF(AE587="","",AB587&amp;"-"&amp;AD587&amp;"-"&amp;RIGHT("000"&amp;AE587,4))</f>
        <v/>
      </c>
      <c r="B587" s="60" t="n"/>
      <c r="C587" s="61" t="n"/>
      <c r="D587" s="60" t="n"/>
      <c r="E587" s="62" t="str">
        <f>IF(D587="","",IFERROR(INDEX(cli_name,MATCH(D587,cli_code,0))&amp;"","Client inconnu"))</f>
        <v/>
      </c>
      <c r="F587" s="60" t="n"/>
      <c r="G587" s="63" t="n"/>
      <c r="H587" s="61" t="n"/>
      <c r="I587" s="63" t="n"/>
      <c r="J587" s="60" t="n"/>
      <c r="K587" s="61" t="n"/>
      <c r="L587" s="60" t="n"/>
      <c r="M587" s="60" t="n"/>
      <c r="N587" s="60" t="n"/>
      <c r="O587" s="61" t="n"/>
      <c r="P587" s="64" t="str">
        <f>IF(A587="","",IF(AA587="Avoir",AC587,IF(ISNUMBER(K587),K587,AC587+IF(D587="",N(p_delay),IFERROR(IF(ISNUMBER(INDEX(cli_delay,MATCH(D587,cli_code,0))),INDEX(cli_delay,MATCH(D587,cli_code,0)),N(p_delay)),N(p_delay))))))</f>
        <v/>
      </c>
      <c r="Q587" s="65" t="str">
        <f>IF(A587="","",IF(AA587="Avoir",-1,1)*ROUND(AJ587-IF(AR587="",0,INDEX(fa_htb,AR587)),2))</f>
        <v/>
      </c>
      <c r="R587" s="65" t="str">
        <f>IF(A587="","",IF(AA587="Avoir",-1,1)*ROUND(AQ587-IF(AR587="",0,INDEX(fa_tvab,AR587)),2))</f>
        <v/>
      </c>
      <c r="S587" s="65" t="str">
        <f>IF(A587="","",Q587+R587)</f>
        <v/>
      </c>
      <c r="T587" s="65" t="str">
        <f>IF(AR587="","",INDEX(fa_htb,AR587)+INDEX(fa_tvab,AR587))</f>
        <v/>
      </c>
      <c r="U587" s="65" t="str">
        <f>IF(A587="","",SUMIF(pa_inv,A587,pa_amt))</f>
        <v/>
      </c>
      <c r="V587" s="65" t="str">
        <f>IF(OR(A587="",AA587="Avoir"),"",-SUMIFS(fa_ttc,fa_avof,A587,fa_type,"Avoir"))</f>
        <v/>
      </c>
      <c r="W587" s="65" t="str">
        <f>IF(OR(A587="",AA587="Avoir"),"",ROUND(S587-U587-V587,2))</f>
        <v/>
      </c>
      <c r="X587" s="66" t="str">
        <f>IF(W587="","",IF(AND(W587&gt;0,p_asof&gt;P587),p_asof-P587,""))</f>
        <v/>
      </c>
      <c r="Y587" s="59" t="str">
        <f>IF(A587="","",IF(AA587="Avoir","Avoir",IF(W587&lt;0,"Trop-perçu",IF(W587=0,"Soldée",IF(p_asof&gt;P587,"En retard",IF(U587+V587&gt;0,"Partielle","À échoir"))))))</f>
        <v/>
      </c>
      <c r="Z587" s="59" t="str">
        <f>IF(NOT(COUNTA(B587:D587,F587:O587)&gt;0),"",IF(C587="","Date manquante",IF(NOT(ISNUMBER(C587)),"Date invalide",IF(D587="","Client manquant",IF(ISNA(MATCH(D587,cli_code,0)),"Client inconnu",IF(AC587&lt;SUMPRODUCT(MAX(($AB$6:AB586=AB587)*$AC$6:AC586)),"Date antérieure à la facture précédente",IF(AND(F587&lt;&gt;"",ISNA(MATCH(F587,dv_num,0))),"Devis inconnu",IF(AND(F587&lt;&gt;"",IFERROR(INDEX(dv_client,MATCH(F587,dv_num,0)),D587)&lt;&gt;D587),"Client différent de celui du devis",IF(AG587="","Aucune ligne : saisissez des lignes ou un devis",IF(AND(AI587&lt;&gt;"",COUNTIF($AI$6:AI587,AI587)&gt;1),"Devis déjà repris par une autre facture",IF(AND(AA587="Avoir",M587=""),"Avoir : indiquez la facture d'origine",IF(AND(AA587="Avoir",ISNA(MATCH(M587,fa_num,0))),"Facture d'origine inconnue",IF(AND(AA587&lt;&gt;"Avoir",M587&lt;&gt;""),"« Avoir sur facture » : réservé aux avoirs",IF(AND(L587&lt;&gt;"",AA587&lt;&gt;"Facture"),"Acompte à déduire : réservé aux factures",IF(AND(L587&lt;&gt;"",ISNA(MATCH(L587,fa_num,0))),"Facture d'acompte inconnue",IF(AND(L587&lt;&gt;"",IFERROR(INDEX(fa_type,MATCH(L587,fa_num,0)),"")&lt;&gt;"Facture d'acompte"),"Le n° à déduire n'est pas une facture d'acompte",IF(AND(L587&lt;&gt;"",COUNTIF($L$6:L587,L587)&gt;1),"Acompte déjà déduit sur une autre facture",IF(AND(L587&lt;&gt;"",IFERROR(INDEX(fa_client,MATCH(L587,fa_num,0)),D587)&lt;&gt;D587),"Acompte d'un autre client",IF(AND(AR587&lt;&gt;"",N(Q587)&lt;0),"Acompte supérieur au total de la facture",IF(IF(AG587="Facture",COUNTIFS(fl_doc,A587,fl_check,"&lt;&gt;OK"),IF(AG587="Devis",COUNTIFS(dl_doc,F587,dl_check,"&lt;&gt;OK"),0))&gt;0,"Ligne(s) à corriger",IF(AND(W587&lt;&gt;"",N(W587)&lt;0),"Trop-perçu : vérifiez paiements et avoirs","OK")))))))))))))))))))))</f>
        <v/>
      </c>
      <c r="AA587" s="62" t="str">
        <f>IF(COUNTA(B587:D587,F587:O587)&gt;0,IF(B587="","Facture",B587),"")</f>
        <v/>
      </c>
      <c r="AB587" s="62" t="str">
        <f>IF(AA587="","",IF(AA587="Avoir",p_pav,IF(AA587="Facture d'acompte",p_pac,p_pfa)))</f>
        <v/>
      </c>
      <c r="AC587" s="62">
        <f>IF(ISNUMBER(C587),C587,0)</f>
        <v>0.0</v>
      </c>
      <c r="AD587" s="62" t="str">
        <f>IF(OR(AA587="",AC587=0),"",YEAR(AC587))</f>
        <v/>
      </c>
      <c r="AE587" s="62" t="str">
        <f>IF(AD587="","",COUNTIFS($AB$6:AB587,AB587,$AD$6:AD587,AD587))</f>
        <v/>
      </c>
      <c r="AF587" s="62">
        <f>IF(A587="",0,COUNTIF(fl_doc,A587))</f>
        <v>0.0</v>
      </c>
      <c r="AG587" s="62" t="str">
        <f>IF(A587="","",IF(AF587&gt;0,"Facture",IF(AND(F587&lt;&gt;"",AA587="Facture",ISNUMBER(MATCH(F587,dv_num,0))),"Devis","")))</f>
        <v/>
      </c>
      <c r="AH587" s="62" t="str">
        <f>IF(AND(A587&lt;&gt;"",F587&lt;&gt;"",AA587&lt;&gt;"Avoir"),F587,"")</f>
        <v/>
      </c>
      <c r="AI587" s="62" t="str">
        <f>IF(AG587="Devis",F587,"")</f>
        <v/>
      </c>
      <c r="AJ587" s="62">
        <f>IF(AG587="Facture",SUMIF(fl_doc,A587,fl_ht),IF(AG587="Devis",SUMIF(dl_doc,F587,dl_ht),0))</f>
        <v>0.0</v>
      </c>
      <c r="AK587" s="62">
        <f>IF(OR(AG587="",INDEX(p_rates,1)=""),0,IF(AG587="Facture",SUMIFS(fl_ht,fl_doc,A587,fl_rate,INDEX(p_rates,1)),SUMIFS(dl_ht,dl_doc,F587,dl_rate,INDEX(p_rates,1))))</f>
        <v>0.0</v>
      </c>
      <c r="AL587" s="62">
        <f>IF(OR(AG587="",INDEX(p_rates,2)=""),0,IF(AG587="Facture",SUMIFS(fl_ht,fl_doc,A587,fl_rate,INDEX(p_rates,2)),SUMIFS(dl_ht,dl_doc,F587,dl_rate,INDEX(p_rates,2))))</f>
        <v>0.0</v>
      </c>
      <c r="AM587" s="62">
        <f>IF(OR(AG587="",INDEX(p_rates,3)=""),0,IF(AG587="Facture",SUMIFS(fl_ht,fl_doc,A587,fl_rate,INDEX(p_rates,3)),SUMIFS(dl_ht,dl_doc,F587,dl_rate,INDEX(p_rates,3))))</f>
        <v>0.0</v>
      </c>
      <c r="AN587" s="62">
        <f>IF(OR(AG587="",INDEX(p_rates,4)=""),0,IF(AG587="Facture",SUMIFS(fl_ht,fl_doc,A587,fl_rate,INDEX(p_rates,4)),SUMIFS(dl_ht,dl_doc,F587,dl_rate,INDEX(p_rates,4))))</f>
        <v>0.0</v>
      </c>
      <c r="AO587" s="62">
        <f>IF(OR(AG587="",INDEX(p_rates,5)=""),0,IF(AG587="Facture",SUMIFS(fl_ht,fl_doc,A587,fl_rate,INDEX(p_rates,5)),SUMIFS(dl_ht,dl_doc,F587,dl_rate,INDEX(p_rates,5))))</f>
        <v>0.0</v>
      </c>
      <c r="AP587" s="62">
        <f>IF(OR(AG587="",INDEX(p_rates,6)=""),0,IF(AG587="Facture",SUMIFS(fl_ht,fl_doc,A587,fl_rate,INDEX(p_rates,6)),SUMIFS(dl_ht,dl_doc,F587,dl_rate,INDEX(p_rates,6))))</f>
        <v>0.0</v>
      </c>
      <c r="AQ587" s="62">
        <f>ROUND(AK587*N(INDEX(p_rates,1)),2)+ROUND(AL587*N(INDEX(p_rates,2)),2)+ROUND(AM587*N(INDEX(p_rates,3)),2)+ROUND(AN587*N(INDEX(p_rates,4)),2)+ROUND(AO587*N(INDEX(p_rates,5)),2)+ROUND(AP587*N(INDEX(p_rates,6)),2)</f>
        <v>0.0</v>
      </c>
      <c r="AR587" s="62" t="str">
        <f>IF(OR(L587="",AA587&lt;&gt;"Facture"),"",IFERROR(IF(INDEX(fa_type,MATCH(L587,fa_num,0))="Facture d'acompte",MATCH(L587,fa_num,0),""),""))</f>
        <v/>
      </c>
      <c r="AS587" s="62" t="str">
        <f>IF(W587="","",IF(W587&lt;=0,"",IF(p_asof-P587&lt;=0,"Non échu",IF(p_asof-P587&lt;=30,"1-30 j",IF(p_asof-P587&lt;=60,"31-60 j",IF(p_asof-P587&lt;=90,"61-90 j","Plus de 90 j"))))))</f>
        <v/>
      </c>
      <c r="AT587" s="62" t="str">
        <f>IF(AS587="","",p_asof-P587)</f>
        <v/>
      </c>
      <c r="AU587" s="62" t="str">
        <f>IF(AT587="","",COUNTIF($AT$6:$AT$805,"&gt;"&amp;AT587)+COUNTIF($AT$6:AT587,AT587))</f>
        <v/>
      </c>
    </row>
    <row r="588">
      <c r="A588" s="59" t="str">
        <f>IF(AE588="","",AB588&amp;"-"&amp;AD588&amp;"-"&amp;RIGHT("000"&amp;AE588,4))</f>
        <v/>
      </c>
      <c r="B588" s="60" t="n"/>
      <c r="C588" s="61" t="n"/>
      <c r="D588" s="60" t="n"/>
      <c r="E588" s="62" t="str">
        <f>IF(D588="","",IFERROR(INDEX(cli_name,MATCH(D588,cli_code,0))&amp;"","Client inconnu"))</f>
        <v/>
      </c>
      <c r="F588" s="60" t="n"/>
      <c r="G588" s="63" t="n"/>
      <c r="H588" s="61" t="n"/>
      <c r="I588" s="63" t="n"/>
      <c r="J588" s="60" t="n"/>
      <c r="K588" s="61" t="n"/>
      <c r="L588" s="60" t="n"/>
      <c r="M588" s="60" t="n"/>
      <c r="N588" s="60" t="n"/>
      <c r="O588" s="61" t="n"/>
      <c r="P588" s="64" t="str">
        <f>IF(A588="","",IF(AA588="Avoir",AC588,IF(ISNUMBER(K588),K588,AC588+IF(D588="",N(p_delay),IFERROR(IF(ISNUMBER(INDEX(cli_delay,MATCH(D588,cli_code,0))),INDEX(cli_delay,MATCH(D588,cli_code,0)),N(p_delay)),N(p_delay))))))</f>
        <v/>
      </c>
      <c r="Q588" s="65" t="str">
        <f>IF(A588="","",IF(AA588="Avoir",-1,1)*ROUND(AJ588-IF(AR588="",0,INDEX(fa_htb,AR588)),2))</f>
        <v/>
      </c>
      <c r="R588" s="65" t="str">
        <f>IF(A588="","",IF(AA588="Avoir",-1,1)*ROUND(AQ588-IF(AR588="",0,INDEX(fa_tvab,AR588)),2))</f>
        <v/>
      </c>
      <c r="S588" s="65" t="str">
        <f>IF(A588="","",Q588+R588)</f>
        <v/>
      </c>
      <c r="T588" s="65" t="str">
        <f>IF(AR588="","",INDEX(fa_htb,AR588)+INDEX(fa_tvab,AR588))</f>
        <v/>
      </c>
      <c r="U588" s="65" t="str">
        <f>IF(A588="","",SUMIF(pa_inv,A588,pa_amt))</f>
        <v/>
      </c>
      <c r="V588" s="65" t="str">
        <f>IF(OR(A588="",AA588="Avoir"),"",-SUMIFS(fa_ttc,fa_avof,A588,fa_type,"Avoir"))</f>
        <v/>
      </c>
      <c r="W588" s="65" t="str">
        <f>IF(OR(A588="",AA588="Avoir"),"",ROUND(S588-U588-V588,2))</f>
        <v/>
      </c>
      <c r="X588" s="66" t="str">
        <f>IF(W588="","",IF(AND(W588&gt;0,p_asof&gt;P588),p_asof-P588,""))</f>
        <v/>
      </c>
      <c r="Y588" s="59" t="str">
        <f>IF(A588="","",IF(AA588="Avoir","Avoir",IF(W588&lt;0,"Trop-perçu",IF(W588=0,"Soldée",IF(p_asof&gt;P588,"En retard",IF(U588+V588&gt;0,"Partielle","À échoir"))))))</f>
        <v/>
      </c>
      <c r="Z588" s="59" t="str">
        <f>IF(NOT(COUNTA(B588:D588,F588:O588)&gt;0),"",IF(C588="","Date manquante",IF(NOT(ISNUMBER(C588)),"Date invalide",IF(D588="","Client manquant",IF(ISNA(MATCH(D588,cli_code,0)),"Client inconnu",IF(AC588&lt;SUMPRODUCT(MAX(($AB$6:AB587=AB588)*$AC$6:AC587)),"Date antérieure à la facture précédente",IF(AND(F588&lt;&gt;"",ISNA(MATCH(F588,dv_num,0))),"Devis inconnu",IF(AND(F588&lt;&gt;"",IFERROR(INDEX(dv_client,MATCH(F588,dv_num,0)),D588)&lt;&gt;D588),"Client différent de celui du devis",IF(AG588="","Aucune ligne : saisissez des lignes ou un devis",IF(AND(AI588&lt;&gt;"",COUNTIF($AI$6:AI588,AI588)&gt;1),"Devis déjà repris par une autre facture",IF(AND(AA588="Avoir",M588=""),"Avoir : indiquez la facture d'origine",IF(AND(AA588="Avoir",ISNA(MATCH(M588,fa_num,0))),"Facture d'origine inconnue",IF(AND(AA588&lt;&gt;"Avoir",M588&lt;&gt;""),"« Avoir sur facture » : réservé aux avoirs",IF(AND(L588&lt;&gt;"",AA588&lt;&gt;"Facture"),"Acompte à déduire : réservé aux factures",IF(AND(L588&lt;&gt;"",ISNA(MATCH(L588,fa_num,0))),"Facture d'acompte inconnue",IF(AND(L588&lt;&gt;"",IFERROR(INDEX(fa_type,MATCH(L588,fa_num,0)),"")&lt;&gt;"Facture d'acompte"),"Le n° à déduire n'est pas une facture d'acompte",IF(AND(L588&lt;&gt;"",COUNTIF($L$6:L588,L588)&gt;1),"Acompte déjà déduit sur une autre facture",IF(AND(L588&lt;&gt;"",IFERROR(INDEX(fa_client,MATCH(L588,fa_num,0)),D588)&lt;&gt;D588),"Acompte d'un autre client",IF(AND(AR588&lt;&gt;"",N(Q588)&lt;0),"Acompte supérieur au total de la facture",IF(IF(AG588="Facture",COUNTIFS(fl_doc,A588,fl_check,"&lt;&gt;OK"),IF(AG588="Devis",COUNTIFS(dl_doc,F588,dl_check,"&lt;&gt;OK"),0))&gt;0,"Ligne(s) à corriger",IF(AND(W588&lt;&gt;"",N(W588)&lt;0),"Trop-perçu : vérifiez paiements et avoirs","OK")))))))))))))))))))))</f>
        <v/>
      </c>
      <c r="AA588" s="62" t="str">
        <f>IF(COUNTA(B588:D588,F588:O588)&gt;0,IF(B588="","Facture",B588),"")</f>
        <v/>
      </c>
      <c r="AB588" s="62" t="str">
        <f>IF(AA588="","",IF(AA588="Avoir",p_pav,IF(AA588="Facture d'acompte",p_pac,p_pfa)))</f>
        <v/>
      </c>
      <c r="AC588" s="62">
        <f>IF(ISNUMBER(C588),C588,0)</f>
        <v>0.0</v>
      </c>
      <c r="AD588" s="62" t="str">
        <f>IF(OR(AA588="",AC588=0),"",YEAR(AC588))</f>
        <v/>
      </c>
      <c r="AE588" s="62" t="str">
        <f>IF(AD588="","",COUNTIFS($AB$6:AB588,AB588,$AD$6:AD588,AD588))</f>
        <v/>
      </c>
      <c r="AF588" s="62">
        <f>IF(A588="",0,COUNTIF(fl_doc,A588))</f>
        <v>0.0</v>
      </c>
      <c r="AG588" s="62" t="str">
        <f>IF(A588="","",IF(AF588&gt;0,"Facture",IF(AND(F588&lt;&gt;"",AA588="Facture",ISNUMBER(MATCH(F588,dv_num,0))),"Devis","")))</f>
        <v/>
      </c>
      <c r="AH588" s="62" t="str">
        <f>IF(AND(A588&lt;&gt;"",F588&lt;&gt;"",AA588&lt;&gt;"Avoir"),F588,"")</f>
        <v/>
      </c>
      <c r="AI588" s="62" t="str">
        <f>IF(AG588="Devis",F588,"")</f>
        <v/>
      </c>
      <c r="AJ588" s="62">
        <f>IF(AG588="Facture",SUMIF(fl_doc,A588,fl_ht),IF(AG588="Devis",SUMIF(dl_doc,F588,dl_ht),0))</f>
        <v>0.0</v>
      </c>
      <c r="AK588" s="62">
        <f>IF(OR(AG588="",INDEX(p_rates,1)=""),0,IF(AG588="Facture",SUMIFS(fl_ht,fl_doc,A588,fl_rate,INDEX(p_rates,1)),SUMIFS(dl_ht,dl_doc,F588,dl_rate,INDEX(p_rates,1))))</f>
        <v>0.0</v>
      </c>
      <c r="AL588" s="62">
        <f>IF(OR(AG588="",INDEX(p_rates,2)=""),0,IF(AG588="Facture",SUMIFS(fl_ht,fl_doc,A588,fl_rate,INDEX(p_rates,2)),SUMIFS(dl_ht,dl_doc,F588,dl_rate,INDEX(p_rates,2))))</f>
        <v>0.0</v>
      </c>
      <c r="AM588" s="62">
        <f>IF(OR(AG588="",INDEX(p_rates,3)=""),0,IF(AG588="Facture",SUMIFS(fl_ht,fl_doc,A588,fl_rate,INDEX(p_rates,3)),SUMIFS(dl_ht,dl_doc,F588,dl_rate,INDEX(p_rates,3))))</f>
        <v>0.0</v>
      </c>
      <c r="AN588" s="62">
        <f>IF(OR(AG588="",INDEX(p_rates,4)=""),0,IF(AG588="Facture",SUMIFS(fl_ht,fl_doc,A588,fl_rate,INDEX(p_rates,4)),SUMIFS(dl_ht,dl_doc,F588,dl_rate,INDEX(p_rates,4))))</f>
        <v>0.0</v>
      </c>
      <c r="AO588" s="62">
        <f>IF(OR(AG588="",INDEX(p_rates,5)=""),0,IF(AG588="Facture",SUMIFS(fl_ht,fl_doc,A588,fl_rate,INDEX(p_rates,5)),SUMIFS(dl_ht,dl_doc,F588,dl_rate,INDEX(p_rates,5))))</f>
        <v>0.0</v>
      </c>
      <c r="AP588" s="62">
        <f>IF(OR(AG588="",INDEX(p_rates,6)=""),0,IF(AG588="Facture",SUMIFS(fl_ht,fl_doc,A588,fl_rate,INDEX(p_rates,6)),SUMIFS(dl_ht,dl_doc,F588,dl_rate,INDEX(p_rates,6))))</f>
        <v>0.0</v>
      </c>
      <c r="AQ588" s="62">
        <f>ROUND(AK588*N(INDEX(p_rates,1)),2)+ROUND(AL588*N(INDEX(p_rates,2)),2)+ROUND(AM588*N(INDEX(p_rates,3)),2)+ROUND(AN588*N(INDEX(p_rates,4)),2)+ROUND(AO588*N(INDEX(p_rates,5)),2)+ROUND(AP588*N(INDEX(p_rates,6)),2)</f>
        <v>0.0</v>
      </c>
      <c r="AR588" s="62" t="str">
        <f>IF(OR(L588="",AA588&lt;&gt;"Facture"),"",IFERROR(IF(INDEX(fa_type,MATCH(L588,fa_num,0))="Facture d'acompte",MATCH(L588,fa_num,0),""),""))</f>
        <v/>
      </c>
      <c r="AS588" s="62" t="str">
        <f>IF(W588="","",IF(W588&lt;=0,"",IF(p_asof-P588&lt;=0,"Non échu",IF(p_asof-P588&lt;=30,"1-30 j",IF(p_asof-P588&lt;=60,"31-60 j",IF(p_asof-P588&lt;=90,"61-90 j","Plus de 90 j"))))))</f>
        <v/>
      </c>
      <c r="AT588" s="62" t="str">
        <f>IF(AS588="","",p_asof-P588)</f>
        <v/>
      </c>
      <c r="AU588" s="62" t="str">
        <f>IF(AT588="","",COUNTIF($AT$6:$AT$805,"&gt;"&amp;AT588)+COUNTIF($AT$6:AT588,AT588))</f>
        <v/>
      </c>
    </row>
    <row r="589">
      <c r="A589" s="59" t="str">
        <f>IF(AE589="","",AB589&amp;"-"&amp;AD589&amp;"-"&amp;RIGHT("000"&amp;AE589,4))</f>
        <v/>
      </c>
      <c r="B589" s="60" t="n"/>
      <c r="C589" s="61" t="n"/>
      <c r="D589" s="60" t="n"/>
      <c r="E589" s="62" t="str">
        <f>IF(D589="","",IFERROR(INDEX(cli_name,MATCH(D589,cli_code,0))&amp;"","Client inconnu"))</f>
        <v/>
      </c>
      <c r="F589" s="60" t="n"/>
      <c r="G589" s="63" t="n"/>
      <c r="H589" s="61" t="n"/>
      <c r="I589" s="63" t="n"/>
      <c r="J589" s="60" t="n"/>
      <c r="K589" s="61" t="n"/>
      <c r="L589" s="60" t="n"/>
      <c r="M589" s="60" t="n"/>
      <c r="N589" s="60" t="n"/>
      <c r="O589" s="61" t="n"/>
      <c r="P589" s="64" t="str">
        <f>IF(A589="","",IF(AA589="Avoir",AC589,IF(ISNUMBER(K589),K589,AC589+IF(D589="",N(p_delay),IFERROR(IF(ISNUMBER(INDEX(cli_delay,MATCH(D589,cli_code,0))),INDEX(cli_delay,MATCH(D589,cli_code,0)),N(p_delay)),N(p_delay))))))</f>
        <v/>
      </c>
      <c r="Q589" s="65" t="str">
        <f>IF(A589="","",IF(AA589="Avoir",-1,1)*ROUND(AJ589-IF(AR589="",0,INDEX(fa_htb,AR589)),2))</f>
        <v/>
      </c>
      <c r="R589" s="65" t="str">
        <f>IF(A589="","",IF(AA589="Avoir",-1,1)*ROUND(AQ589-IF(AR589="",0,INDEX(fa_tvab,AR589)),2))</f>
        <v/>
      </c>
      <c r="S589" s="65" t="str">
        <f>IF(A589="","",Q589+R589)</f>
        <v/>
      </c>
      <c r="T589" s="65" t="str">
        <f>IF(AR589="","",INDEX(fa_htb,AR589)+INDEX(fa_tvab,AR589))</f>
        <v/>
      </c>
      <c r="U589" s="65" t="str">
        <f>IF(A589="","",SUMIF(pa_inv,A589,pa_amt))</f>
        <v/>
      </c>
      <c r="V589" s="65" t="str">
        <f>IF(OR(A589="",AA589="Avoir"),"",-SUMIFS(fa_ttc,fa_avof,A589,fa_type,"Avoir"))</f>
        <v/>
      </c>
      <c r="W589" s="65" t="str">
        <f>IF(OR(A589="",AA589="Avoir"),"",ROUND(S589-U589-V589,2))</f>
        <v/>
      </c>
      <c r="X589" s="66" t="str">
        <f>IF(W589="","",IF(AND(W589&gt;0,p_asof&gt;P589),p_asof-P589,""))</f>
        <v/>
      </c>
      <c r="Y589" s="59" t="str">
        <f>IF(A589="","",IF(AA589="Avoir","Avoir",IF(W589&lt;0,"Trop-perçu",IF(W589=0,"Soldée",IF(p_asof&gt;P589,"En retard",IF(U589+V589&gt;0,"Partielle","À échoir"))))))</f>
        <v/>
      </c>
      <c r="Z589" s="59" t="str">
        <f>IF(NOT(COUNTA(B589:D589,F589:O589)&gt;0),"",IF(C589="","Date manquante",IF(NOT(ISNUMBER(C589)),"Date invalide",IF(D589="","Client manquant",IF(ISNA(MATCH(D589,cli_code,0)),"Client inconnu",IF(AC589&lt;SUMPRODUCT(MAX(($AB$6:AB588=AB589)*$AC$6:AC588)),"Date antérieure à la facture précédente",IF(AND(F589&lt;&gt;"",ISNA(MATCH(F589,dv_num,0))),"Devis inconnu",IF(AND(F589&lt;&gt;"",IFERROR(INDEX(dv_client,MATCH(F589,dv_num,0)),D589)&lt;&gt;D589),"Client différent de celui du devis",IF(AG589="","Aucune ligne : saisissez des lignes ou un devis",IF(AND(AI589&lt;&gt;"",COUNTIF($AI$6:AI589,AI589)&gt;1),"Devis déjà repris par une autre facture",IF(AND(AA589="Avoir",M589=""),"Avoir : indiquez la facture d'origine",IF(AND(AA589="Avoir",ISNA(MATCH(M589,fa_num,0))),"Facture d'origine inconnue",IF(AND(AA589&lt;&gt;"Avoir",M589&lt;&gt;""),"« Avoir sur facture » : réservé aux avoirs",IF(AND(L589&lt;&gt;"",AA589&lt;&gt;"Facture"),"Acompte à déduire : réservé aux factures",IF(AND(L589&lt;&gt;"",ISNA(MATCH(L589,fa_num,0))),"Facture d'acompte inconnue",IF(AND(L589&lt;&gt;"",IFERROR(INDEX(fa_type,MATCH(L589,fa_num,0)),"")&lt;&gt;"Facture d'acompte"),"Le n° à déduire n'est pas une facture d'acompte",IF(AND(L589&lt;&gt;"",COUNTIF($L$6:L589,L589)&gt;1),"Acompte déjà déduit sur une autre facture",IF(AND(L589&lt;&gt;"",IFERROR(INDEX(fa_client,MATCH(L589,fa_num,0)),D589)&lt;&gt;D589),"Acompte d'un autre client",IF(AND(AR589&lt;&gt;"",N(Q589)&lt;0),"Acompte supérieur au total de la facture",IF(IF(AG589="Facture",COUNTIFS(fl_doc,A589,fl_check,"&lt;&gt;OK"),IF(AG589="Devis",COUNTIFS(dl_doc,F589,dl_check,"&lt;&gt;OK"),0))&gt;0,"Ligne(s) à corriger",IF(AND(W589&lt;&gt;"",N(W589)&lt;0),"Trop-perçu : vérifiez paiements et avoirs","OK")))))))))))))))))))))</f>
        <v/>
      </c>
      <c r="AA589" s="62" t="str">
        <f>IF(COUNTA(B589:D589,F589:O589)&gt;0,IF(B589="","Facture",B589),"")</f>
        <v/>
      </c>
      <c r="AB589" s="62" t="str">
        <f>IF(AA589="","",IF(AA589="Avoir",p_pav,IF(AA589="Facture d'acompte",p_pac,p_pfa)))</f>
        <v/>
      </c>
      <c r="AC589" s="62">
        <f>IF(ISNUMBER(C589),C589,0)</f>
        <v>0.0</v>
      </c>
      <c r="AD589" s="62" t="str">
        <f>IF(OR(AA589="",AC589=0),"",YEAR(AC589))</f>
        <v/>
      </c>
      <c r="AE589" s="62" t="str">
        <f>IF(AD589="","",COUNTIFS($AB$6:AB589,AB589,$AD$6:AD589,AD589))</f>
        <v/>
      </c>
      <c r="AF589" s="62">
        <f>IF(A589="",0,COUNTIF(fl_doc,A589))</f>
        <v>0.0</v>
      </c>
      <c r="AG589" s="62" t="str">
        <f>IF(A589="","",IF(AF589&gt;0,"Facture",IF(AND(F589&lt;&gt;"",AA589="Facture",ISNUMBER(MATCH(F589,dv_num,0))),"Devis","")))</f>
        <v/>
      </c>
      <c r="AH589" s="62" t="str">
        <f>IF(AND(A589&lt;&gt;"",F589&lt;&gt;"",AA589&lt;&gt;"Avoir"),F589,"")</f>
        <v/>
      </c>
      <c r="AI589" s="62" t="str">
        <f>IF(AG589="Devis",F589,"")</f>
        <v/>
      </c>
      <c r="AJ589" s="62">
        <f>IF(AG589="Facture",SUMIF(fl_doc,A589,fl_ht),IF(AG589="Devis",SUMIF(dl_doc,F589,dl_ht),0))</f>
        <v>0.0</v>
      </c>
      <c r="AK589" s="62">
        <f>IF(OR(AG589="",INDEX(p_rates,1)=""),0,IF(AG589="Facture",SUMIFS(fl_ht,fl_doc,A589,fl_rate,INDEX(p_rates,1)),SUMIFS(dl_ht,dl_doc,F589,dl_rate,INDEX(p_rates,1))))</f>
        <v>0.0</v>
      </c>
      <c r="AL589" s="62">
        <f>IF(OR(AG589="",INDEX(p_rates,2)=""),0,IF(AG589="Facture",SUMIFS(fl_ht,fl_doc,A589,fl_rate,INDEX(p_rates,2)),SUMIFS(dl_ht,dl_doc,F589,dl_rate,INDEX(p_rates,2))))</f>
        <v>0.0</v>
      </c>
      <c r="AM589" s="62">
        <f>IF(OR(AG589="",INDEX(p_rates,3)=""),0,IF(AG589="Facture",SUMIFS(fl_ht,fl_doc,A589,fl_rate,INDEX(p_rates,3)),SUMIFS(dl_ht,dl_doc,F589,dl_rate,INDEX(p_rates,3))))</f>
        <v>0.0</v>
      </c>
      <c r="AN589" s="62">
        <f>IF(OR(AG589="",INDEX(p_rates,4)=""),0,IF(AG589="Facture",SUMIFS(fl_ht,fl_doc,A589,fl_rate,INDEX(p_rates,4)),SUMIFS(dl_ht,dl_doc,F589,dl_rate,INDEX(p_rates,4))))</f>
        <v>0.0</v>
      </c>
      <c r="AO589" s="62">
        <f>IF(OR(AG589="",INDEX(p_rates,5)=""),0,IF(AG589="Facture",SUMIFS(fl_ht,fl_doc,A589,fl_rate,INDEX(p_rates,5)),SUMIFS(dl_ht,dl_doc,F589,dl_rate,INDEX(p_rates,5))))</f>
        <v>0.0</v>
      </c>
      <c r="AP589" s="62">
        <f>IF(OR(AG589="",INDEX(p_rates,6)=""),0,IF(AG589="Facture",SUMIFS(fl_ht,fl_doc,A589,fl_rate,INDEX(p_rates,6)),SUMIFS(dl_ht,dl_doc,F589,dl_rate,INDEX(p_rates,6))))</f>
        <v>0.0</v>
      </c>
      <c r="AQ589" s="62">
        <f>ROUND(AK589*N(INDEX(p_rates,1)),2)+ROUND(AL589*N(INDEX(p_rates,2)),2)+ROUND(AM589*N(INDEX(p_rates,3)),2)+ROUND(AN589*N(INDEX(p_rates,4)),2)+ROUND(AO589*N(INDEX(p_rates,5)),2)+ROUND(AP589*N(INDEX(p_rates,6)),2)</f>
        <v>0.0</v>
      </c>
      <c r="AR589" s="62" t="str">
        <f>IF(OR(L589="",AA589&lt;&gt;"Facture"),"",IFERROR(IF(INDEX(fa_type,MATCH(L589,fa_num,0))="Facture d'acompte",MATCH(L589,fa_num,0),""),""))</f>
        <v/>
      </c>
      <c r="AS589" s="62" t="str">
        <f>IF(W589="","",IF(W589&lt;=0,"",IF(p_asof-P589&lt;=0,"Non échu",IF(p_asof-P589&lt;=30,"1-30 j",IF(p_asof-P589&lt;=60,"31-60 j",IF(p_asof-P589&lt;=90,"61-90 j","Plus de 90 j"))))))</f>
        <v/>
      </c>
      <c r="AT589" s="62" t="str">
        <f>IF(AS589="","",p_asof-P589)</f>
        <v/>
      </c>
      <c r="AU589" s="62" t="str">
        <f>IF(AT589="","",COUNTIF($AT$6:$AT$805,"&gt;"&amp;AT589)+COUNTIF($AT$6:AT589,AT589))</f>
        <v/>
      </c>
    </row>
    <row r="590">
      <c r="A590" s="59" t="str">
        <f>IF(AE590="","",AB590&amp;"-"&amp;AD590&amp;"-"&amp;RIGHT("000"&amp;AE590,4))</f>
        <v/>
      </c>
      <c r="B590" s="60" t="n"/>
      <c r="C590" s="61" t="n"/>
      <c r="D590" s="60" t="n"/>
      <c r="E590" s="62" t="str">
        <f>IF(D590="","",IFERROR(INDEX(cli_name,MATCH(D590,cli_code,0))&amp;"","Client inconnu"))</f>
        <v/>
      </c>
      <c r="F590" s="60" t="n"/>
      <c r="G590" s="63" t="n"/>
      <c r="H590" s="61" t="n"/>
      <c r="I590" s="63" t="n"/>
      <c r="J590" s="60" t="n"/>
      <c r="K590" s="61" t="n"/>
      <c r="L590" s="60" t="n"/>
      <c r="M590" s="60" t="n"/>
      <c r="N590" s="60" t="n"/>
      <c r="O590" s="61" t="n"/>
      <c r="P590" s="64" t="str">
        <f>IF(A590="","",IF(AA590="Avoir",AC590,IF(ISNUMBER(K590),K590,AC590+IF(D590="",N(p_delay),IFERROR(IF(ISNUMBER(INDEX(cli_delay,MATCH(D590,cli_code,0))),INDEX(cli_delay,MATCH(D590,cli_code,0)),N(p_delay)),N(p_delay))))))</f>
        <v/>
      </c>
      <c r="Q590" s="65" t="str">
        <f>IF(A590="","",IF(AA590="Avoir",-1,1)*ROUND(AJ590-IF(AR590="",0,INDEX(fa_htb,AR590)),2))</f>
        <v/>
      </c>
      <c r="R590" s="65" t="str">
        <f>IF(A590="","",IF(AA590="Avoir",-1,1)*ROUND(AQ590-IF(AR590="",0,INDEX(fa_tvab,AR590)),2))</f>
        <v/>
      </c>
      <c r="S590" s="65" t="str">
        <f>IF(A590="","",Q590+R590)</f>
        <v/>
      </c>
      <c r="T590" s="65" t="str">
        <f>IF(AR590="","",INDEX(fa_htb,AR590)+INDEX(fa_tvab,AR590))</f>
        <v/>
      </c>
      <c r="U590" s="65" t="str">
        <f>IF(A590="","",SUMIF(pa_inv,A590,pa_amt))</f>
        <v/>
      </c>
      <c r="V590" s="65" t="str">
        <f>IF(OR(A590="",AA590="Avoir"),"",-SUMIFS(fa_ttc,fa_avof,A590,fa_type,"Avoir"))</f>
        <v/>
      </c>
      <c r="W590" s="65" t="str">
        <f>IF(OR(A590="",AA590="Avoir"),"",ROUND(S590-U590-V590,2))</f>
        <v/>
      </c>
      <c r="X590" s="66" t="str">
        <f>IF(W590="","",IF(AND(W590&gt;0,p_asof&gt;P590),p_asof-P590,""))</f>
        <v/>
      </c>
      <c r="Y590" s="59" t="str">
        <f>IF(A590="","",IF(AA590="Avoir","Avoir",IF(W590&lt;0,"Trop-perçu",IF(W590=0,"Soldée",IF(p_asof&gt;P590,"En retard",IF(U590+V590&gt;0,"Partielle","À échoir"))))))</f>
        <v/>
      </c>
      <c r="Z590" s="59" t="str">
        <f>IF(NOT(COUNTA(B590:D590,F590:O590)&gt;0),"",IF(C590="","Date manquante",IF(NOT(ISNUMBER(C590)),"Date invalide",IF(D590="","Client manquant",IF(ISNA(MATCH(D590,cli_code,0)),"Client inconnu",IF(AC590&lt;SUMPRODUCT(MAX(($AB$6:AB589=AB590)*$AC$6:AC589)),"Date antérieure à la facture précédente",IF(AND(F590&lt;&gt;"",ISNA(MATCH(F590,dv_num,0))),"Devis inconnu",IF(AND(F590&lt;&gt;"",IFERROR(INDEX(dv_client,MATCH(F590,dv_num,0)),D590)&lt;&gt;D590),"Client différent de celui du devis",IF(AG590="","Aucune ligne : saisissez des lignes ou un devis",IF(AND(AI590&lt;&gt;"",COUNTIF($AI$6:AI590,AI590)&gt;1),"Devis déjà repris par une autre facture",IF(AND(AA590="Avoir",M590=""),"Avoir : indiquez la facture d'origine",IF(AND(AA590="Avoir",ISNA(MATCH(M590,fa_num,0))),"Facture d'origine inconnue",IF(AND(AA590&lt;&gt;"Avoir",M590&lt;&gt;""),"« Avoir sur facture » : réservé aux avoirs",IF(AND(L590&lt;&gt;"",AA590&lt;&gt;"Facture"),"Acompte à déduire : réservé aux factures",IF(AND(L590&lt;&gt;"",ISNA(MATCH(L590,fa_num,0))),"Facture d'acompte inconnue",IF(AND(L590&lt;&gt;"",IFERROR(INDEX(fa_type,MATCH(L590,fa_num,0)),"")&lt;&gt;"Facture d'acompte"),"Le n° à déduire n'est pas une facture d'acompte",IF(AND(L590&lt;&gt;"",COUNTIF($L$6:L590,L590)&gt;1),"Acompte déjà déduit sur une autre facture",IF(AND(L590&lt;&gt;"",IFERROR(INDEX(fa_client,MATCH(L590,fa_num,0)),D590)&lt;&gt;D590),"Acompte d'un autre client",IF(AND(AR590&lt;&gt;"",N(Q590)&lt;0),"Acompte supérieur au total de la facture",IF(IF(AG590="Facture",COUNTIFS(fl_doc,A590,fl_check,"&lt;&gt;OK"),IF(AG590="Devis",COUNTIFS(dl_doc,F590,dl_check,"&lt;&gt;OK"),0))&gt;0,"Ligne(s) à corriger",IF(AND(W590&lt;&gt;"",N(W590)&lt;0),"Trop-perçu : vérifiez paiements et avoirs","OK")))))))))))))))))))))</f>
        <v/>
      </c>
      <c r="AA590" s="62" t="str">
        <f>IF(COUNTA(B590:D590,F590:O590)&gt;0,IF(B590="","Facture",B590),"")</f>
        <v/>
      </c>
      <c r="AB590" s="62" t="str">
        <f>IF(AA590="","",IF(AA590="Avoir",p_pav,IF(AA590="Facture d'acompte",p_pac,p_pfa)))</f>
        <v/>
      </c>
      <c r="AC590" s="62">
        <f>IF(ISNUMBER(C590),C590,0)</f>
        <v>0.0</v>
      </c>
      <c r="AD590" s="62" t="str">
        <f>IF(OR(AA590="",AC590=0),"",YEAR(AC590))</f>
        <v/>
      </c>
      <c r="AE590" s="62" t="str">
        <f>IF(AD590="","",COUNTIFS($AB$6:AB590,AB590,$AD$6:AD590,AD590))</f>
        <v/>
      </c>
      <c r="AF590" s="62">
        <f>IF(A590="",0,COUNTIF(fl_doc,A590))</f>
        <v>0.0</v>
      </c>
      <c r="AG590" s="62" t="str">
        <f>IF(A590="","",IF(AF590&gt;0,"Facture",IF(AND(F590&lt;&gt;"",AA590="Facture",ISNUMBER(MATCH(F590,dv_num,0))),"Devis","")))</f>
        <v/>
      </c>
      <c r="AH590" s="62" t="str">
        <f>IF(AND(A590&lt;&gt;"",F590&lt;&gt;"",AA590&lt;&gt;"Avoir"),F590,"")</f>
        <v/>
      </c>
      <c r="AI590" s="62" t="str">
        <f>IF(AG590="Devis",F590,"")</f>
        <v/>
      </c>
      <c r="AJ590" s="62">
        <f>IF(AG590="Facture",SUMIF(fl_doc,A590,fl_ht),IF(AG590="Devis",SUMIF(dl_doc,F590,dl_ht),0))</f>
        <v>0.0</v>
      </c>
      <c r="AK590" s="62">
        <f>IF(OR(AG590="",INDEX(p_rates,1)=""),0,IF(AG590="Facture",SUMIFS(fl_ht,fl_doc,A590,fl_rate,INDEX(p_rates,1)),SUMIFS(dl_ht,dl_doc,F590,dl_rate,INDEX(p_rates,1))))</f>
        <v>0.0</v>
      </c>
      <c r="AL590" s="62">
        <f>IF(OR(AG590="",INDEX(p_rates,2)=""),0,IF(AG590="Facture",SUMIFS(fl_ht,fl_doc,A590,fl_rate,INDEX(p_rates,2)),SUMIFS(dl_ht,dl_doc,F590,dl_rate,INDEX(p_rates,2))))</f>
        <v>0.0</v>
      </c>
      <c r="AM590" s="62">
        <f>IF(OR(AG590="",INDEX(p_rates,3)=""),0,IF(AG590="Facture",SUMIFS(fl_ht,fl_doc,A590,fl_rate,INDEX(p_rates,3)),SUMIFS(dl_ht,dl_doc,F590,dl_rate,INDEX(p_rates,3))))</f>
        <v>0.0</v>
      </c>
      <c r="AN590" s="62">
        <f>IF(OR(AG590="",INDEX(p_rates,4)=""),0,IF(AG590="Facture",SUMIFS(fl_ht,fl_doc,A590,fl_rate,INDEX(p_rates,4)),SUMIFS(dl_ht,dl_doc,F590,dl_rate,INDEX(p_rates,4))))</f>
        <v>0.0</v>
      </c>
      <c r="AO590" s="62">
        <f>IF(OR(AG590="",INDEX(p_rates,5)=""),0,IF(AG590="Facture",SUMIFS(fl_ht,fl_doc,A590,fl_rate,INDEX(p_rates,5)),SUMIFS(dl_ht,dl_doc,F590,dl_rate,INDEX(p_rates,5))))</f>
        <v>0.0</v>
      </c>
      <c r="AP590" s="62">
        <f>IF(OR(AG590="",INDEX(p_rates,6)=""),0,IF(AG590="Facture",SUMIFS(fl_ht,fl_doc,A590,fl_rate,INDEX(p_rates,6)),SUMIFS(dl_ht,dl_doc,F590,dl_rate,INDEX(p_rates,6))))</f>
        <v>0.0</v>
      </c>
      <c r="AQ590" s="62">
        <f>ROUND(AK590*N(INDEX(p_rates,1)),2)+ROUND(AL590*N(INDEX(p_rates,2)),2)+ROUND(AM590*N(INDEX(p_rates,3)),2)+ROUND(AN590*N(INDEX(p_rates,4)),2)+ROUND(AO590*N(INDEX(p_rates,5)),2)+ROUND(AP590*N(INDEX(p_rates,6)),2)</f>
        <v>0.0</v>
      </c>
      <c r="AR590" s="62" t="str">
        <f>IF(OR(L590="",AA590&lt;&gt;"Facture"),"",IFERROR(IF(INDEX(fa_type,MATCH(L590,fa_num,0))="Facture d'acompte",MATCH(L590,fa_num,0),""),""))</f>
        <v/>
      </c>
      <c r="AS590" s="62" t="str">
        <f>IF(W590="","",IF(W590&lt;=0,"",IF(p_asof-P590&lt;=0,"Non échu",IF(p_asof-P590&lt;=30,"1-30 j",IF(p_asof-P590&lt;=60,"31-60 j",IF(p_asof-P590&lt;=90,"61-90 j","Plus de 90 j"))))))</f>
        <v/>
      </c>
      <c r="AT590" s="62" t="str">
        <f>IF(AS590="","",p_asof-P590)</f>
        <v/>
      </c>
      <c r="AU590" s="62" t="str">
        <f>IF(AT590="","",COUNTIF($AT$6:$AT$805,"&gt;"&amp;AT590)+COUNTIF($AT$6:AT590,AT590))</f>
        <v/>
      </c>
    </row>
    <row r="591">
      <c r="A591" s="59" t="str">
        <f>IF(AE591="","",AB591&amp;"-"&amp;AD591&amp;"-"&amp;RIGHT("000"&amp;AE591,4))</f>
        <v/>
      </c>
      <c r="B591" s="60" t="n"/>
      <c r="C591" s="61" t="n"/>
      <c r="D591" s="60" t="n"/>
      <c r="E591" s="62" t="str">
        <f>IF(D591="","",IFERROR(INDEX(cli_name,MATCH(D591,cli_code,0))&amp;"","Client inconnu"))</f>
        <v/>
      </c>
      <c r="F591" s="60" t="n"/>
      <c r="G591" s="63" t="n"/>
      <c r="H591" s="61" t="n"/>
      <c r="I591" s="63" t="n"/>
      <c r="J591" s="60" t="n"/>
      <c r="K591" s="61" t="n"/>
      <c r="L591" s="60" t="n"/>
      <c r="M591" s="60" t="n"/>
      <c r="N591" s="60" t="n"/>
      <c r="O591" s="61" t="n"/>
      <c r="P591" s="64" t="str">
        <f>IF(A591="","",IF(AA591="Avoir",AC591,IF(ISNUMBER(K591),K591,AC591+IF(D591="",N(p_delay),IFERROR(IF(ISNUMBER(INDEX(cli_delay,MATCH(D591,cli_code,0))),INDEX(cli_delay,MATCH(D591,cli_code,0)),N(p_delay)),N(p_delay))))))</f>
        <v/>
      </c>
      <c r="Q591" s="65" t="str">
        <f>IF(A591="","",IF(AA591="Avoir",-1,1)*ROUND(AJ591-IF(AR591="",0,INDEX(fa_htb,AR591)),2))</f>
        <v/>
      </c>
      <c r="R591" s="65" t="str">
        <f>IF(A591="","",IF(AA591="Avoir",-1,1)*ROUND(AQ591-IF(AR591="",0,INDEX(fa_tvab,AR591)),2))</f>
        <v/>
      </c>
      <c r="S591" s="65" t="str">
        <f>IF(A591="","",Q591+R591)</f>
        <v/>
      </c>
      <c r="T591" s="65" t="str">
        <f>IF(AR591="","",INDEX(fa_htb,AR591)+INDEX(fa_tvab,AR591))</f>
        <v/>
      </c>
      <c r="U591" s="65" t="str">
        <f>IF(A591="","",SUMIF(pa_inv,A591,pa_amt))</f>
        <v/>
      </c>
      <c r="V591" s="65" t="str">
        <f>IF(OR(A591="",AA591="Avoir"),"",-SUMIFS(fa_ttc,fa_avof,A591,fa_type,"Avoir"))</f>
        <v/>
      </c>
      <c r="W591" s="65" t="str">
        <f>IF(OR(A591="",AA591="Avoir"),"",ROUND(S591-U591-V591,2))</f>
        <v/>
      </c>
      <c r="X591" s="66" t="str">
        <f>IF(W591="","",IF(AND(W591&gt;0,p_asof&gt;P591),p_asof-P591,""))</f>
        <v/>
      </c>
      <c r="Y591" s="59" t="str">
        <f>IF(A591="","",IF(AA591="Avoir","Avoir",IF(W591&lt;0,"Trop-perçu",IF(W591=0,"Soldée",IF(p_asof&gt;P591,"En retard",IF(U591+V591&gt;0,"Partielle","À échoir"))))))</f>
        <v/>
      </c>
      <c r="Z591" s="59" t="str">
        <f>IF(NOT(COUNTA(B591:D591,F591:O591)&gt;0),"",IF(C591="","Date manquante",IF(NOT(ISNUMBER(C591)),"Date invalide",IF(D591="","Client manquant",IF(ISNA(MATCH(D591,cli_code,0)),"Client inconnu",IF(AC591&lt;SUMPRODUCT(MAX(($AB$6:AB590=AB591)*$AC$6:AC590)),"Date antérieure à la facture précédente",IF(AND(F591&lt;&gt;"",ISNA(MATCH(F591,dv_num,0))),"Devis inconnu",IF(AND(F591&lt;&gt;"",IFERROR(INDEX(dv_client,MATCH(F591,dv_num,0)),D591)&lt;&gt;D591),"Client différent de celui du devis",IF(AG591="","Aucune ligne : saisissez des lignes ou un devis",IF(AND(AI591&lt;&gt;"",COUNTIF($AI$6:AI591,AI591)&gt;1),"Devis déjà repris par une autre facture",IF(AND(AA591="Avoir",M591=""),"Avoir : indiquez la facture d'origine",IF(AND(AA591="Avoir",ISNA(MATCH(M591,fa_num,0))),"Facture d'origine inconnue",IF(AND(AA591&lt;&gt;"Avoir",M591&lt;&gt;""),"« Avoir sur facture » : réservé aux avoirs",IF(AND(L591&lt;&gt;"",AA591&lt;&gt;"Facture"),"Acompte à déduire : réservé aux factures",IF(AND(L591&lt;&gt;"",ISNA(MATCH(L591,fa_num,0))),"Facture d'acompte inconnue",IF(AND(L591&lt;&gt;"",IFERROR(INDEX(fa_type,MATCH(L591,fa_num,0)),"")&lt;&gt;"Facture d'acompte"),"Le n° à déduire n'est pas une facture d'acompte",IF(AND(L591&lt;&gt;"",COUNTIF($L$6:L591,L591)&gt;1),"Acompte déjà déduit sur une autre facture",IF(AND(L591&lt;&gt;"",IFERROR(INDEX(fa_client,MATCH(L591,fa_num,0)),D591)&lt;&gt;D591),"Acompte d'un autre client",IF(AND(AR591&lt;&gt;"",N(Q591)&lt;0),"Acompte supérieur au total de la facture",IF(IF(AG591="Facture",COUNTIFS(fl_doc,A591,fl_check,"&lt;&gt;OK"),IF(AG591="Devis",COUNTIFS(dl_doc,F591,dl_check,"&lt;&gt;OK"),0))&gt;0,"Ligne(s) à corriger",IF(AND(W591&lt;&gt;"",N(W591)&lt;0),"Trop-perçu : vérifiez paiements et avoirs","OK")))))))))))))))))))))</f>
        <v/>
      </c>
      <c r="AA591" s="62" t="str">
        <f>IF(COUNTA(B591:D591,F591:O591)&gt;0,IF(B591="","Facture",B591),"")</f>
        <v/>
      </c>
      <c r="AB591" s="62" t="str">
        <f>IF(AA591="","",IF(AA591="Avoir",p_pav,IF(AA591="Facture d'acompte",p_pac,p_pfa)))</f>
        <v/>
      </c>
      <c r="AC591" s="62">
        <f>IF(ISNUMBER(C591),C591,0)</f>
        <v>0.0</v>
      </c>
      <c r="AD591" s="62" t="str">
        <f>IF(OR(AA591="",AC591=0),"",YEAR(AC591))</f>
        <v/>
      </c>
      <c r="AE591" s="62" t="str">
        <f>IF(AD591="","",COUNTIFS($AB$6:AB591,AB591,$AD$6:AD591,AD591))</f>
        <v/>
      </c>
      <c r="AF591" s="62">
        <f>IF(A591="",0,COUNTIF(fl_doc,A591))</f>
        <v>0.0</v>
      </c>
      <c r="AG591" s="62" t="str">
        <f>IF(A591="","",IF(AF591&gt;0,"Facture",IF(AND(F591&lt;&gt;"",AA591="Facture",ISNUMBER(MATCH(F591,dv_num,0))),"Devis","")))</f>
        <v/>
      </c>
      <c r="AH591" s="62" t="str">
        <f>IF(AND(A591&lt;&gt;"",F591&lt;&gt;"",AA591&lt;&gt;"Avoir"),F591,"")</f>
        <v/>
      </c>
      <c r="AI591" s="62" t="str">
        <f>IF(AG591="Devis",F591,"")</f>
        <v/>
      </c>
      <c r="AJ591" s="62">
        <f>IF(AG591="Facture",SUMIF(fl_doc,A591,fl_ht),IF(AG591="Devis",SUMIF(dl_doc,F591,dl_ht),0))</f>
        <v>0.0</v>
      </c>
      <c r="AK591" s="62">
        <f>IF(OR(AG591="",INDEX(p_rates,1)=""),0,IF(AG591="Facture",SUMIFS(fl_ht,fl_doc,A591,fl_rate,INDEX(p_rates,1)),SUMIFS(dl_ht,dl_doc,F591,dl_rate,INDEX(p_rates,1))))</f>
        <v>0.0</v>
      </c>
      <c r="AL591" s="62">
        <f>IF(OR(AG591="",INDEX(p_rates,2)=""),0,IF(AG591="Facture",SUMIFS(fl_ht,fl_doc,A591,fl_rate,INDEX(p_rates,2)),SUMIFS(dl_ht,dl_doc,F591,dl_rate,INDEX(p_rates,2))))</f>
        <v>0.0</v>
      </c>
      <c r="AM591" s="62">
        <f>IF(OR(AG591="",INDEX(p_rates,3)=""),0,IF(AG591="Facture",SUMIFS(fl_ht,fl_doc,A591,fl_rate,INDEX(p_rates,3)),SUMIFS(dl_ht,dl_doc,F591,dl_rate,INDEX(p_rates,3))))</f>
        <v>0.0</v>
      </c>
      <c r="AN591" s="62">
        <f>IF(OR(AG591="",INDEX(p_rates,4)=""),0,IF(AG591="Facture",SUMIFS(fl_ht,fl_doc,A591,fl_rate,INDEX(p_rates,4)),SUMIFS(dl_ht,dl_doc,F591,dl_rate,INDEX(p_rates,4))))</f>
        <v>0.0</v>
      </c>
      <c r="AO591" s="62">
        <f>IF(OR(AG591="",INDEX(p_rates,5)=""),0,IF(AG591="Facture",SUMIFS(fl_ht,fl_doc,A591,fl_rate,INDEX(p_rates,5)),SUMIFS(dl_ht,dl_doc,F591,dl_rate,INDEX(p_rates,5))))</f>
        <v>0.0</v>
      </c>
      <c r="AP591" s="62">
        <f>IF(OR(AG591="",INDEX(p_rates,6)=""),0,IF(AG591="Facture",SUMIFS(fl_ht,fl_doc,A591,fl_rate,INDEX(p_rates,6)),SUMIFS(dl_ht,dl_doc,F591,dl_rate,INDEX(p_rates,6))))</f>
        <v>0.0</v>
      </c>
      <c r="AQ591" s="62">
        <f>ROUND(AK591*N(INDEX(p_rates,1)),2)+ROUND(AL591*N(INDEX(p_rates,2)),2)+ROUND(AM591*N(INDEX(p_rates,3)),2)+ROUND(AN591*N(INDEX(p_rates,4)),2)+ROUND(AO591*N(INDEX(p_rates,5)),2)+ROUND(AP591*N(INDEX(p_rates,6)),2)</f>
        <v>0.0</v>
      </c>
      <c r="AR591" s="62" t="str">
        <f>IF(OR(L591="",AA591&lt;&gt;"Facture"),"",IFERROR(IF(INDEX(fa_type,MATCH(L591,fa_num,0))="Facture d'acompte",MATCH(L591,fa_num,0),""),""))</f>
        <v/>
      </c>
      <c r="AS591" s="62" t="str">
        <f>IF(W591="","",IF(W591&lt;=0,"",IF(p_asof-P591&lt;=0,"Non échu",IF(p_asof-P591&lt;=30,"1-30 j",IF(p_asof-P591&lt;=60,"31-60 j",IF(p_asof-P591&lt;=90,"61-90 j","Plus de 90 j"))))))</f>
        <v/>
      </c>
      <c r="AT591" s="62" t="str">
        <f>IF(AS591="","",p_asof-P591)</f>
        <v/>
      </c>
      <c r="AU591" s="62" t="str">
        <f>IF(AT591="","",COUNTIF($AT$6:$AT$805,"&gt;"&amp;AT591)+COUNTIF($AT$6:AT591,AT591))</f>
        <v/>
      </c>
    </row>
    <row r="592">
      <c r="A592" s="59" t="str">
        <f>IF(AE592="","",AB592&amp;"-"&amp;AD592&amp;"-"&amp;RIGHT("000"&amp;AE592,4))</f>
        <v/>
      </c>
      <c r="B592" s="60" t="n"/>
      <c r="C592" s="61" t="n"/>
      <c r="D592" s="60" t="n"/>
      <c r="E592" s="62" t="str">
        <f>IF(D592="","",IFERROR(INDEX(cli_name,MATCH(D592,cli_code,0))&amp;"","Client inconnu"))</f>
        <v/>
      </c>
      <c r="F592" s="60" t="n"/>
      <c r="G592" s="63" t="n"/>
      <c r="H592" s="61" t="n"/>
      <c r="I592" s="63" t="n"/>
      <c r="J592" s="60" t="n"/>
      <c r="K592" s="61" t="n"/>
      <c r="L592" s="60" t="n"/>
      <c r="M592" s="60" t="n"/>
      <c r="N592" s="60" t="n"/>
      <c r="O592" s="61" t="n"/>
      <c r="P592" s="64" t="str">
        <f>IF(A592="","",IF(AA592="Avoir",AC592,IF(ISNUMBER(K592),K592,AC592+IF(D592="",N(p_delay),IFERROR(IF(ISNUMBER(INDEX(cli_delay,MATCH(D592,cli_code,0))),INDEX(cli_delay,MATCH(D592,cli_code,0)),N(p_delay)),N(p_delay))))))</f>
        <v/>
      </c>
      <c r="Q592" s="65" t="str">
        <f>IF(A592="","",IF(AA592="Avoir",-1,1)*ROUND(AJ592-IF(AR592="",0,INDEX(fa_htb,AR592)),2))</f>
        <v/>
      </c>
      <c r="R592" s="65" t="str">
        <f>IF(A592="","",IF(AA592="Avoir",-1,1)*ROUND(AQ592-IF(AR592="",0,INDEX(fa_tvab,AR592)),2))</f>
        <v/>
      </c>
      <c r="S592" s="65" t="str">
        <f>IF(A592="","",Q592+R592)</f>
        <v/>
      </c>
      <c r="T592" s="65" t="str">
        <f>IF(AR592="","",INDEX(fa_htb,AR592)+INDEX(fa_tvab,AR592))</f>
        <v/>
      </c>
      <c r="U592" s="65" t="str">
        <f>IF(A592="","",SUMIF(pa_inv,A592,pa_amt))</f>
        <v/>
      </c>
      <c r="V592" s="65" t="str">
        <f>IF(OR(A592="",AA592="Avoir"),"",-SUMIFS(fa_ttc,fa_avof,A592,fa_type,"Avoir"))</f>
        <v/>
      </c>
      <c r="W592" s="65" t="str">
        <f>IF(OR(A592="",AA592="Avoir"),"",ROUND(S592-U592-V592,2))</f>
        <v/>
      </c>
      <c r="X592" s="66" t="str">
        <f>IF(W592="","",IF(AND(W592&gt;0,p_asof&gt;P592),p_asof-P592,""))</f>
        <v/>
      </c>
      <c r="Y592" s="59" t="str">
        <f>IF(A592="","",IF(AA592="Avoir","Avoir",IF(W592&lt;0,"Trop-perçu",IF(W592=0,"Soldée",IF(p_asof&gt;P592,"En retard",IF(U592+V592&gt;0,"Partielle","À échoir"))))))</f>
        <v/>
      </c>
      <c r="Z592" s="59" t="str">
        <f>IF(NOT(COUNTA(B592:D592,F592:O592)&gt;0),"",IF(C592="","Date manquante",IF(NOT(ISNUMBER(C592)),"Date invalide",IF(D592="","Client manquant",IF(ISNA(MATCH(D592,cli_code,0)),"Client inconnu",IF(AC592&lt;SUMPRODUCT(MAX(($AB$6:AB591=AB592)*$AC$6:AC591)),"Date antérieure à la facture précédente",IF(AND(F592&lt;&gt;"",ISNA(MATCH(F592,dv_num,0))),"Devis inconnu",IF(AND(F592&lt;&gt;"",IFERROR(INDEX(dv_client,MATCH(F592,dv_num,0)),D592)&lt;&gt;D592),"Client différent de celui du devis",IF(AG592="","Aucune ligne : saisissez des lignes ou un devis",IF(AND(AI592&lt;&gt;"",COUNTIF($AI$6:AI592,AI592)&gt;1),"Devis déjà repris par une autre facture",IF(AND(AA592="Avoir",M592=""),"Avoir : indiquez la facture d'origine",IF(AND(AA592="Avoir",ISNA(MATCH(M592,fa_num,0))),"Facture d'origine inconnue",IF(AND(AA592&lt;&gt;"Avoir",M592&lt;&gt;""),"« Avoir sur facture » : réservé aux avoirs",IF(AND(L592&lt;&gt;"",AA592&lt;&gt;"Facture"),"Acompte à déduire : réservé aux factures",IF(AND(L592&lt;&gt;"",ISNA(MATCH(L592,fa_num,0))),"Facture d'acompte inconnue",IF(AND(L592&lt;&gt;"",IFERROR(INDEX(fa_type,MATCH(L592,fa_num,0)),"")&lt;&gt;"Facture d'acompte"),"Le n° à déduire n'est pas une facture d'acompte",IF(AND(L592&lt;&gt;"",COUNTIF($L$6:L592,L592)&gt;1),"Acompte déjà déduit sur une autre facture",IF(AND(L592&lt;&gt;"",IFERROR(INDEX(fa_client,MATCH(L592,fa_num,0)),D592)&lt;&gt;D592),"Acompte d'un autre client",IF(AND(AR592&lt;&gt;"",N(Q592)&lt;0),"Acompte supérieur au total de la facture",IF(IF(AG592="Facture",COUNTIFS(fl_doc,A592,fl_check,"&lt;&gt;OK"),IF(AG592="Devis",COUNTIFS(dl_doc,F592,dl_check,"&lt;&gt;OK"),0))&gt;0,"Ligne(s) à corriger",IF(AND(W592&lt;&gt;"",N(W592)&lt;0),"Trop-perçu : vérifiez paiements et avoirs","OK")))))))))))))))))))))</f>
        <v/>
      </c>
      <c r="AA592" s="62" t="str">
        <f>IF(COUNTA(B592:D592,F592:O592)&gt;0,IF(B592="","Facture",B592),"")</f>
        <v/>
      </c>
      <c r="AB592" s="62" t="str">
        <f>IF(AA592="","",IF(AA592="Avoir",p_pav,IF(AA592="Facture d'acompte",p_pac,p_pfa)))</f>
        <v/>
      </c>
      <c r="AC592" s="62">
        <f>IF(ISNUMBER(C592),C592,0)</f>
        <v>0.0</v>
      </c>
      <c r="AD592" s="62" t="str">
        <f>IF(OR(AA592="",AC592=0),"",YEAR(AC592))</f>
        <v/>
      </c>
      <c r="AE592" s="62" t="str">
        <f>IF(AD592="","",COUNTIFS($AB$6:AB592,AB592,$AD$6:AD592,AD592))</f>
        <v/>
      </c>
      <c r="AF592" s="62">
        <f>IF(A592="",0,COUNTIF(fl_doc,A592))</f>
        <v>0.0</v>
      </c>
      <c r="AG592" s="62" t="str">
        <f>IF(A592="","",IF(AF592&gt;0,"Facture",IF(AND(F592&lt;&gt;"",AA592="Facture",ISNUMBER(MATCH(F592,dv_num,0))),"Devis","")))</f>
        <v/>
      </c>
      <c r="AH592" s="62" t="str">
        <f>IF(AND(A592&lt;&gt;"",F592&lt;&gt;"",AA592&lt;&gt;"Avoir"),F592,"")</f>
        <v/>
      </c>
      <c r="AI592" s="62" t="str">
        <f>IF(AG592="Devis",F592,"")</f>
        <v/>
      </c>
      <c r="AJ592" s="62">
        <f>IF(AG592="Facture",SUMIF(fl_doc,A592,fl_ht),IF(AG592="Devis",SUMIF(dl_doc,F592,dl_ht),0))</f>
        <v>0.0</v>
      </c>
      <c r="AK592" s="62">
        <f>IF(OR(AG592="",INDEX(p_rates,1)=""),0,IF(AG592="Facture",SUMIFS(fl_ht,fl_doc,A592,fl_rate,INDEX(p_rates,1)),SUMIFS(dl_ht,dl_doc,F592,dl_rate,INDEX(p_rates,1))))</f>
        <v>0.0</v>
      </c>
      <c r="AL592" s="62">
        <f>IF(OR(AG592="",INDEX(p_rates,2)=""),0,IF(AG592="Facture",SUMIFS(fl_ht,fl_doc,A592,fl_rate,INDEX(p_rates,2)),SUMIFS(dl_ht,dl_doc,F592,dl_rate,INDEX(p_rates,2))))</f>
        <v>0.0</v>
      </c>
      <c r="AM592" s="62">
        <f>IF(OR(AG592="",INDEX(p_rates,3)=""),0,IF(AG592="Facture",SUMIFS(fl_ht,fl_doc,A592,fl_rate,INDEX(p_rates,3)),SUMIFS(dl_ht,dl_doc,F592,dl_rate,INDEX(p_rates,3))))</f>
        <v>0.0</v>
      </c>
      <c r="AN592" s="62">
        <f>IF(OR(AG592="",INDEX(p_rates,4)=""),0,IF(AG592="Facture",SUMIFS(fl_ht,fl_doc,A592,fl_rate,INDEX(p_rates,4)),SUMIFS(dl_ht,dl_doc,F592,dl_rate,INDEX(p_rates,4))))</f>
        <v>0.0</v>
      </c>
      <c r="AO592" s="62">
        <f>IF(OR(AG592="",INDEX(p_rates,5)=""),0,IF(AG592="Facture",SUMIFS(fl_ht,fl_doc,A592,fl_rate,INDEX(p_rates,5)),SUMIFS(dl_ht,dl_doc,F592,dl_rate,INDEX(p_rates,5))))</f>
        <v>0.0</v>
      </c>
      <c r="AP592" s="62">
        <f>IF(OR(AG592="",INDEX(p_rates,6)=""),0,IF(AG592="Facture",SUMIFS(fl_ht,fl_doc,A592,fl_rate,INDEX(p_rates,6)),SUMIFS(dl_ht,dl_doc,F592,dl_rate,INDEX(p_rates,6))))</f>
        <v>0.0</v>
      </c>
      <c r="AQ592" s="62">
        <f>ROUND(AK592*N(INDEX(p_rates,1)),2)+ROUND(AL592*N(INDEX(p_rates,2)),2)+ROUND(AM592*N(INDEX(p_rates,3)),2)+ROUND(AN592*N(INDEX(p_rates,4)),2)+ROUND(AO592*N(INDEX(p_rates,5)),2)+ROUND(AP592*N(INDEX(p_rates,6)),2)</f>
        <v>0.0</v>
      </c>
      <c r="AR592" s="62" t="str">
        <f>IF(OR(L592="",AA592&lt;&gt;"Facture"),"",IFERROR(IF(INDEX(fa_type,MATCH(L592,fa_num,0))="Facture d'acompte",MATCH(L592,fa_num,0),""),""))</f>
        <v/>
      </c>
      <c r="AS592" s="62" t="str">
        <f>IF(W592="","",IF(W592&lt;=0,"",IF(p_asof-P592&lt;=0,"Non échu",IF(p_asof-P592&lt;=30,"1-30 j",IF(p_asof-P592&lt;=60,"31-60 j",IF(p_asof-P592&lt;=90,"61-90 j","Plus de 90 j"))))))</f>
        <v/>
      </c>
      <c r="AT592" s="62" t="str">
        <f>IF(AS592="","",p_asof-P592)</f>
        <v/>
      </c>
      <c r="AU592" s="62" t="str">
        <f>IF(AT592="","",COUNTIF($AT$6:$AT$805,"&gt;"&amp;AT592)+COUNTIF($AT$6:AT592,AT592))</f>
        <v/>
      </c>
    </row>
    <row r="593">
      <c r="A593" s="59" t="str">
        <f>IF(AE593="","",AB593&amp;"-"&amp;AD593&amp;"-"&amp;RIGHT("000"&amp;AE593,4))</f>
        <v/>
      </c>
      <c r="B593" s="60" t="n"/>
      <c r="C593" s="61" t="n"/>
      <c r="D593" s="60" t="n"/>
      <c r="E593" s="62" t="str">
        <f>IF(D593="","",IFERROR(INDEX(cli_name,MATCH(D593,cli_code,0))&amp;"","Client inconnu"))</f>
        <v/>
      </c>
      <c r="F593" s="60" t="n"/>
      <c r="G593" s="63" t="n"/>
      <c r="H593" s="61" t="n"/>
      <c r="I593" s="63" t="n"/>
      <c r="J593" s="60" t="n"/>
      <c r="K593" s="61" t="n"/>
      <c r="L593" s="60" t="n"/>
      <c r="M593" s="60" t="n"/>
      <c r="N593" s="60" t="n"/>
      <c r="O593" s="61" t="n"/>
      <c r="P593" s="64" t="str">
        <f>IF(A593="","",IF(AA593="Avoir",AC593,IF(ISNUMBER(K593),K593,AC593+IF(D593="",N(p_delay),IFERROR(IF(ISNUMBER(INDEX(cli_delay,MATCH(D593,cli_code,0))),INDEX(cli_delay,MATCH(D593,cli_code,0)),N(p_delay)),N(p_delay))))))</f>
        <v/>
      </c>
      <c r="Q593" s="65" t="str">
        <f>IF(A593="","",IF(AA593="Avoir",-1,1)*ROUND(AJ593-IF(AR593="",0,INDEX(fa_htb,AR593)),2))</f>
        <v/>
      </c>
      <c r="R593" s="65" t="str">
        <f>IF(A593="","",IF(AA593="Avoir",-1,1)*ROUND(AQ593-IF(AR593="",0,INDEX(fa_tvab,AR593)),2))</f>
        <v/>
      </c>
      <c r="S593" s="65" t="str">
        <f>IF(A593="","",Q593+R593)</f>
        <v/>
      </c>
      <c r="T593" s="65" t="str">
        <f>IF(AR593="","",INDEX(fa_htb,AR593)+INDEX(fa_tvab,AR593))</f>
        <v/>
      </c>
      <c r="U593" s="65" t="str">
        <f>IF(A593="","",SUMIF(pa_inv,A593,pa_amt))</f>
        <v/>
      </c>
      <c r="V593" s="65" t="str">
        <f>IF(OR(A593="",AA593="Avoir"),"",-SUMIFS(fa_ttc,fa_avof,A593,fa_type,"Avoir"))</f>
        <v/>
      </c>
      <c r="W593" s="65" t="str">
        <f>IF(OR(A593="",AA593="Avoir"),"",ROUND(S593-U593-V593,2))</f>
        <v/>
      </c>
      <c r="X593" s="66" t="str">
        <f>IF(W593="","",IF(AND(W593&gt;0,p_asof&gt;P593),p_asof-P593,""))</f>
        <v/>
      </c>
      <c r="Y593" s="59" t="str">
        <f>IF(A593="","",IF(AA593="Avoir","Avoir",IF(W593&lt;0,"Trop-perçu",IF(W593=0,"Soldée",IF(p_asof&gt;P593,"En retard",IF(U593+V593&gt;0,"Partielle","À échoir"))))))</f>
        <v/>
      </c>
      <c r="Z593" s="59" t="str">
        <f>IF(NOT(COUNTA(B593:D593,F593:O593)&gt;0),"",IF(C593="","Date manquante",IF(NOT(ISNUMBER(C593)),"Date invalide",IF(D593="","Client manquant",IF(ISNA(MATCH(D593,cli_code,0)),"Client inconnu",IF(AC593&lt;SUMPRODUCT(MAX(($AB$6:AB592=AB593)*$AC$6:AC592)),"Date antérieure à la facture précédente",IF(AND(F593&lt;&gt;"",ISNA(MATCH(F593,dv_num,0))),"Devis inconnu",IF(AND(F593&lt;&gt;"",IFERROR(INDEX(dv_client,MATCH(F593,dv_num,0)),D593)&lt;&gt;D593),"Client différent de celui du devis",IF(AG593="","Aucune ligne : saisissez des lignes ou un devis",IF(AND(AI593&lt;&gt;"",COUNTIF($AI$6:AI593,AI593)&gt;1),"Devis déjà repris par une autre facture",IF(AND(AA593="Avoir",M593=""),"Avoir : indiquez la facture d'origine",IF(AND(AA593="Avoir",ISNA(MATCH(M593,fa_num,0))),"Facture d'origine inconnue",IF(AND(AA593&lt;&gt;"Avoir",M593&lt;&gt;""),"« Avoir sur facture » : réservé aux avoirs",IF(AND(L593&lt;&gt;"",AA593&lt;&gt;"Facture"),"Acompte à déduire : réservé aux factures",IF(AND(L593&lt;&gt;"",ISNA(MATCH(L593,fa_num,0))),"Facture d'acompte inconnue",IF(AND(L593&lt;&gt;"",IFERROR(INDEX(fa_type,MATCH(L593,fa_num,0)),"")&lt;&gt;"Facture d'acompte"),"Le n° à déduire n'est pas une facture d'acompte",IF(AND(L593&lt;&gt;"",COUNTIF($L$6:L593,L593)&gt;1),"Acompte déjà déduit sur une autre facture",IF(AND(L593&lt;&gt;"",IFERROR(INDEX(fa_client,MATCH(L593,fa_num,0)),D593)&lt;&gt;D593),"Acompte d'un autre client",IF(AND(AR593&lt;&gt;"",N(Q593)&lt;0),"Acompte supérieur au total de la facture",IF(IF(AG593="Facture",COUNTIFS(fl_doc,A593,fl_check,"&lt;&gt;OK"),IF(AG593="Devis",COUNTIFS(dl_doc,F593,dl_check,"&lt;&gt;OK"),0))&gt;0,"Ligne(s) à corriger",IF(AND(W593&lt;&gt;"",N(W593)&lt;0),"Trop-perçu : vérifiez paiements et avoirs","OK")))))))))))))))))))))</f>
        <v/>
      </c>
      <c r="AA593" s="62" t="str">
        <f>IF(COUNTA(B593:D593,F593:O593)&gt;0,IF(B593="","Facture",B593),"")</f>
        <v/>
      </c>
      <c r="AB593" s="62" t="str">
        <f>IF(AA593="","",IF(AA593="Avoir",p_pav,IF(AA593="Facture d'acompte",p_pac,p_pfa)))</f>
        <v/>
      </c>
      <c r="AC593" s="62">
        <f>IF(ISNUMBER(C593),C593,0)</f>
        <v>0.0</v>
      </c>
      <c r="AD593" s="62" t="str">
        <f>IF(OR(AA593="",AC593=0),"",YEAR(AC593))</f>
        <v/>
      </c>
      <c r="AE593" s="62" t="str">
        <f>IF(AD593="","",COUNTIFS($AB$6:AB593,AB593,$AD$6:AD593,AD593))</f>
        <v/>
      </c>
      <c r="AF593" s="62">
        <f>IF(A593="",0,COUNTIF(fl_doc,A593))</f>
        <v>0.0</v>
      </c>
      <c r="AG593" s="62" t="str">
        <f>IF(A593="","",IF(AF593&gt;0,"Facture",IF(AND(F593&lt;&gt;"",AA593="Facture",ISNUMBER(MATCH(F593,dv_num,0))),"Devis","")))</f>
        <v/>
      </c>
      <c r="AH593" s="62" t="str">
        <f>IF(AND(A593&lt;&gt;"",F593&lt;&gt;"",AA593&lt;&gt;"Avoir"),F593,"")</f>
        <v/>
      </c>
      <c r="AI593" s="62" t="str">
        <f>IF(AG593="Devis",F593,"")</f>
        <v/>
      </c>
      <c r="AJ593" s="62">
        <f>IF(AG593="Facture",SUMIF(fl_doc,A593,fl_ht),IF(AG593="Devis",SUMIF(dl_doc,F593,dl_ht),0))</f>
        <v>0.0</v>
      </c>
      <c r="AK593" s="62">
        <f>IF(OR(AG593="",INDEX(p_rates,1)=""),0,IF(AG593="Facture",SUMIFS(fl_ht,fl_doc,A593,fl_rate,INDEX(p_rates,1)),SUMIFS(dl_ht,dl_doc,F593,dl_rate,INDEX(p_rates,1))))</f>
        <v>0.0</v>
      </c>
      <c r="AL593" s="62">
        <f>IF(OR(AG593="",INDEX(p_rates,2)=""),0,IF(AG593="Facture",SUMIFS(fl_ht,fl_doc,A593,fl_rate,INDEX(p_rates,2)),SUMIFS(dl_ht,dl_doc,F593,dl_rate,INDEX(p_rates,2))))</f>
        <v>0.0</v>
      </c>
      <c r="AM593" s="62">
        <f>IF(OR(AG593="",INDEX(p_rates,3)=""),0,IF(AG593="Facture",SUMIFS(fl_ht,fl_doc,A593,fl_rate,INDEX(p_rates,3)),SUMIFS(dl_ht,dl_doc,F593,dl_rate,INDEX(p_rates,3))))</f>
        <v>0.0</v>
      </c>
      <c r="AN593" s="62">
        <f>IF(OR(AG593="",INDEX(p_rates,4)=""),0,IF(AG593="Facture",SUMIFS(fl_ht,fl_doc,A593,fl_rate,INDEX(p_rates,4)),SUMIFS(dl_ht,dl_doc,F593,dl_rate,INDEX(p_rates,4))))</f>
        <v>0.0</v>
      </c>
      <c r="AO593" s="62">
        <f>IF(OR(AG593="",INDEX(p_rates,5)=""),0,IF(AG593="Facture",SUMIFS(fl_ht,fl_doc,A593,fl_rate,INDEX(p_rates,5)),SUMIFS(dl_ht,dl_doc,F593,dl_rate,INDEX(p_rates,5))))</f>
        <v>0.0</v>
      </c>
      <c r="AP593" s="62">
        <f>IF(OR(AG593="",INDEX(p_rates,6)=""),0,IF(AG593="Facture",SUMIFS(fl_ht,fl_doc,A593,fl_rate,INDEX(p_rates,6)),SUMIFS(dl_ht,dl_doc,F593,dl_rate,INDEX(p_rates,6))))</f>
        <v>0.0</v>
      </c>
      <c r="AQ593" s="62">
        <f>ROUND(AK593*N(INDEX(p_rates,1)),2)+ROUND(AL593*N(INDEX(p_rates,2)),2)+ROUND(AM593*N(INDEX(p_rates,3)),2)+ROUND(AN593*N(INDEX(p_rates,4)),2)+ROUND(AO593*N(INDEX(p_rates,5)),2)+ROUND(AP593*N(INDEX(p_rates,6)),2)</f>
        <v>0.0</v>
      </c>
      <c r="AR593" s="62" t="str">
        <f>IF(OR(L593="",AA593&lt;&gt;"Facture"),"",IFERROR(IF(INDEX(fa_type,MATCH(L593,fa_num,0))="Facture d'acompte",MATCH(L593,fa_num,0),""),""))</f>
        <v/>
      </c>
      <c r="AS593" s="62" t="str">
        <f>IF(W593="","",IF(W593&lt;=0,"",IF(p_asof-P593&lt;=0,"Non échu",IF(p_asof-P593&lt;=30,"1-30 j",IF(p_asof-P593&lt;=60,"31-60 j",IF(p_asof-P593&lt;=90,"61-90 j","Plus de 90 j"))))))</f>
        <v/>
      </c>
      <c r="AT593" s="62" t="str">
        <f>IF(AS593="","",p_asof-P593)</f>
        <v/>
      </c>
      <c r="AU593" s="62" t="str">
        <f>IF(AT593="","",COUNTIF($AT$6:$AT$805,"&gt;"&amp;AT593)+COUNTIF($AT$6:AT593,AT593))</f>
        <v/>
      </c>
    </row>
    <row r="594">
      <c r="A594" s="59" t="str">
        <f>IF(AE594="","",AB594&amp;"-"&amp;AD594&amp;"-"&amp;RIGHT("000"&amp;AE594,4))</f>
        <v/>
      </c>
      <c r="B594" s="60" t="n"/>
      <c r="C594" s="61" t="n"/>
      <c r="D594" s="60" t="n"/>
      <c r="E594" s="62" t="str">
        <f>IF(D594="","",IFERROR(INDEX(cli_name,MATCH(D594,cli_code,0))&amp;"","Client inconnu"))</f>
        <v/>
      </c>
      <c r="F594" s="60" t="n"/>
      <c r="G594" s="63" t="n"/>
      <c r="H594" s="61" t="n"/>
      <c r="I594" s="63" t="n"/>
      <c r="J594" s="60" t="n"/>
      <c r="K594" s="61" t="n"/>
      <c r="L594" s="60" t="n"/>
      <c r="M594" s="60" t="n"/>
      <c r="N594" s="60" t="n"/>
      <c r="O594" s="61" t="n"/>
      <c r="P594" s="64" t="str">
        <f>IF(A594="","",IF(AA594="Avoir",AC594,IF(ISNUMBER(K594),K594,AC594+IF(D594="",N(p_delay),IFERROR(IF(ISNUMBER(INDEX(cli_delay,MATCH(D594,cli_code,0))),INDEX(cli_delay,MATCH(D594,cli_code,0)),N(p_delay)),N(p_delay))))))</f>
        <v/>
      </c>
      <c r="Q594" s="65" t="str">
        <f>IF(A594="","",IF(AA594="Avoir",-1,1)*ROUND(AJ594-IF(AR594="",0,INDEX(fa_htb,AR594)),2))</f>
        <v/>
      </c>
      <c r="R594" s="65" t="str">
        <f>IF(A594="","",IF(AA594="Avoir",-1,1)*ROUND(AQ594-IF(AR594="",0,INDEX(fa_tvab,AR594)),2))</f>
        <v/>
      </c>
      <c r="S594" s="65" t="str">
        <f>IF(A594="","",Q594+R594)</f>
        <v/>
      </c>
      <c r="T594" s="65" t="str">
        <f>IF(AR594="","",INDEX(fa_htb,AR594)+INDEX(fa_tvab,AR594))</f>
        <v/>
      </c>
      <c r="U594" s="65" t="str">
        <f>IF(A594="","",SUMIF(pa_inv,A594,pa_amt))</f>
        <v/>
      </c>
      <c r="V594" s="65" t="str">
        <f>IF(OR(A594="",AA594="Avoir"),"",-SUMIFS(fa_ttc,fa_avof,A594,fa_type,"Avoir"))</f>
        <v/>
      </c>
      <c r="W594" s="65" t="str">
        <f>IF(OR(A594="",AA594="Avoir"),"",ROUND(S594-U594-V594,2))</f>
        <v/>
      </c>
      <c r="X594" s="66" t="str">
        <f>IF(W594="","",IF(AND(W594&gt;0,p_asof&gt;P594),p_asof-P594,""))</f>
        <v/>
      </c>
      <c r="Y594" s="59" t="str">
        <f>IF(A594="","",IF(AA594="Avoir","Avoir",IF(W594&lt;0,"Trop-perçu",IF(W594=0,"Soldée",IF(p_asof&gt;P594,"En retard",IF(U594+V594&gt;0,"Partielle","À échoir"))))))</f>
        <v/>
      </c>
      <c r="Z594" s="59" t="str">
        <f>IF(NOT(COUNTA(B594:D594,F594:O594)&gt;0),"",IF(C594="","Date manquante",IF(NOT(ISNUMBER(C594)),"Date invalide",IF(D594="","Client manquant",IF(ISNA(MATCH(D594,cli_code,0)),"Client inconnu",IF(AC594&lt;SUMPRODUCT(MAX(($AB$6:AB593=AB594)*$AC$6:AC593)),"Date antérieure à la facture précédente",IF(AND(F594&lt;&gt;"",ISNA(MATCH(F594,dv_num,0))),"Devis inconnu",IF(AND(F594&lt;&gt;"",IFERROR(INDEX(dv_client,MATCH(F594,dv_num,0)),D594)&lt;&gt;D594),"Client différent de celui du devis",IF(AG594="","Aucune ligne : saisissez des lignes ou un devis",IF(AND(AI594&lt;&gt;"",COUNTIF($AI$6:AI594,AI594)&gt;1),"Devis déjà repris par une autre facture",IF(AND(AA594="Avoir",M594=""),"Avoir : indiquez la facture d'origine",IF(AND(AA594="Avoir",ISNA(MATCH(M594,fa_num,0))),"Facture d'origine inconnue",IF(AND(AA594&lt;&gt;"Avoir",M594&lt;&gt;""),"« Avoir sur facture » : réservé aux avoirs",IF(AND(L594&lt;&gt;"",AA594&lt;&gt;"Facture"),"Acompte à déduire : réservé aux factures",IF(AND(L594&lt;&gt;"",ISNA(MATCH(L594,fa_num,0))),"Facture d'acompte inconnue",IF(AND(L594&lt;&gt;"",IFERROR(INDEX(fa_type,MATCH(L594,fa_num,0)),"")&lt;&gt;"Facture d'acompte"),"Le n° à déduire n'est pas une facture d'acompte",IF(AND(L594&lt;&gt;"",COUNTIF($L$6:L594,L594)&gt;1),"Acompte déjà déduit sur une autre facture",IF(AND(L594&lt;&gt;"",IFERROR(INDEX(fa_client,MATCH(L594,fa_num,0)),D594)&lt;&gt;D594),"Acompte d'un autre client",IF(AND(AR594&lt;&gt;"",N(Q594)&lt;0),"Acompte supérieur au total de la facture",IF(IF(AG594="Facture",COUNTIFS(fl_doc,A594,fl_check,"&lt;&gt;OK"),IF(AG594="Devis",COUNTIFS(dl_doc,F594,dl_check,"&lt;&gt;OK"),0))&gt;0,"Ligne(s) à corriger",IF(AND(W594&lt;&gt;"",N(W594)&lt;0),"Trop-perçu : vérifiez paiements et avoirs","OK")))))))))))))))))))))</f>
        <v/>
      </c>
      <c r="AA594" s="62" t="str">
        <f>IF(COUNTA(B594:D594,F594:O594)&gt;0,IF(B594="","Facture",B594),"")</f>
        <v/>
      </c>
      <c r="AB594" s="62" t="str">
        <f>IF(AA594="","",IF(AA594="Avoir",p_pav,IF(AA594="Facture d'acompte",p_pac,p_pfa)))</f>
        <v/>
      </c>
      <c r="AC594" s="62">
        <f>IF(ISNUMBER(C594),C594,0)</f>
        <v>0.0</v>
      </c>
      <c r="AD594" s="62" t="str">
        <f>IF(OR(AA594="",AC594=0),"",YEAR(AC594))</f>
        <v/>
      </c>
      <c r="AE594" s="62" t="str">
        <f>IF(AD594="","",COUNTIFS($AB$6:AB594,AB594,$AD$6:AD594,AD594))</f>
        <v/>
      </c>
      <c r="AF594" s="62">
        <f>IF(A594="",0,COUNTIF(fl_doc,A594))</f>
        <v>0.0</v>
      </c>
      <c r="AG594" s="62" t="str">
        <f>IF(A594="","",IF(AF594&gt;0,"Facture",IF(AND(F594&lt;&gt;"",AA594="Facture",ISNUMBER(MATCH(F594,dv_num,0))),"Devis","")))</f>
        <v/>
      </c>
      <c r="AH594" s="62" t="str">
        <f>IF(AND(A594&lt;&gt;"",F594&lt;&gt;"",AA594&lt;&gt;"Avoir"),F594,"")</f>
        <v/>
      </c>
      <c r="AI594" s="62" t="str">
        <f>IF(AG594="Devis",F594,"")</f>
        <v/>
      </c>
      <c r="AJ594" s="62">
        <f>IF(AG594="Facture",SUMIF(fl_doc,A594,fl_ht),IF(AG594="Devis",SUMIF(dl_doc,F594,dl_ht),0))</f>
        <v>0.0</v>
      </c>
      <c r="AK594" s="62">
        <f>IF(OR(AG594="",INDEX(p_rates,1)=""),0,IF(AG594="Facture",SUMIFS(fl_ht,fl_doc,A594,fl_rate,INDEX(p_rates,1)),SUMIFS(dl_ht,dl_doc,F594,dl_rate,INDEX(p_rates,1))))</f>
        <v>0.0</v>
      </c>
      <c r="AL594" s="62">
        <f>IF(OR(AG594="",INDEX(p_rates,2)=""),0,IF(AG594="Facture",SUMIFS(fl_ht,fl_doc,A594,fl_rate,INDEX(p_rates,2)),SUMIFS(dl_ht,dl_doc,F594,dl_rate,INDEX(p_rates,2))))</f>
        <v>0.0</v>
      </c>
      <c r="AM594" s="62">
        <f>IF(OR(AG594="",INDEX(p_rates,3)=""),0,IF(AG594="Facture",SUMIFS(fl_ht,fl_doc,A594,fl_rate,INDEX(p_rates,3)),SUMIFS(dl_ht,dl_doc,F594,dl_rate,INDEX(p_rates,3))))</f>
        <v>0.0</v>
      </c>
      <c r="AN594" s="62">
        <f>IF(OR(AG594="",INDEX(p_rates,4)=""),0,IF(AG594="Facture",SUMIFS(fl_ht,fl_doc,A594,fl_rate,INDEX(p_rates,4)),SUMIFS(dl_ht,dl_doc,F594,dl_rate,INDEX(p_rates,4))))</f>
        <v>0.0</v>
      </c>
      <c r="AO594" s="62">
        <f>IF(OR(AG594="",INDEX(p_rates,5)=""),0,IF(AG594="Facture",SUMIFS(fl_ht,fl_doc,A594,fl_rate,INDEX(p_rates,5)),SUMIFS(dl_ht,dl_doc,F594,dl_rate,INDEX(p_rates,5))))</f>
        <v>0.0</v>
      </c>
      <c r="AP594" s="62">
        <f>IF(OR(AG594="",INDEX(p_rates,6)=""),0,IF(AG594="Facture",SUMIFS(fl_ht,fl_doc,A594,fl_rate,INDEX(p_rates,6)),SUMIFS(dl_ht,dl_doc,F594,dl_rate,INDEX(p_rates,6))))</f>
        <v>0.0</v>
      </c>
      <c r="AQ594" s="62">
        <f>ROUND(AK594*N(INDEX(p_rates,1)),2)+ROUND(AL594*N(INDEX(p_rates,2)),2)+ROUND(AM594*N(INDEX(p_rates,3)),2)+ROUND(AN594*N(INDEX(p_rates,4)),2)+ROUND(AO594*N(INDEX(p_rates,5)),2)+ROUND(AP594*N(INDEX(p_rates,6)),2)</f>
        <v>0.0</v>
      </c>
      <c r="AR594" s="62" t="str">
        <f>IF(OR(L594="",AA594&lt;&gt;"Facture"),"",IFERROR(IF(INDEX(fa_type,MATCH(L594,fa_num,0))="Facture d'acompte",MATCH(L594,fa_num,0),""),""))</f>
        <v/>
      </c>
      <c r="AS594" s="62" t="str">
        <f>IF(W594="","",IF(W594&lt;=0,"",IF(p_asof-P594&lt;=0,"Non échu",IF(p_asof-P594&lt;=30,"1-30 j",IF(p_asof-P594&lt;=60,"31-60 j",IF(p_asof-P594&lt;=90,"61-90 j","Plus de 90 j"))))))</f>
        <v/>
      </c>
      <c r="AT594" s="62" t="str">
        <f>IF(AS594="","",p_asof-P594)</f>
        <v/>
      </c>
      <c r="AU594" s="62" t="str">
        <f>IF(AT594="","",COUNTIF($AT$6:$AT$805,"&gt;"&amp;AT594)+COUNTIF($AT$6:AT594,AT594))</f>
        <v/>
      </c>
    </row>
    <row r="595">
      <c r="A595" s="59" t="str">
        <f>IF(AE595="","",AB595&amp;"-"&amp;AD595&amp;"-"&amp;RIGHT("000"&amp;AE595,4))</f>
        <v/>
      </c>
      <c r="B595" s="60" t="n"/>
      <c r="C595" s="61" t="n"/>
      <c r="D595" s="60" t="n"/>
      <c r="E595" s="62" t="str">
        <f>IF(D595="","",IFERROR(INDEX(cli_name,MATCH(D595,cli_code,0))&amp;"","Client inconnu"))</f>
        <v/>
      </c>
      <c r="F595" s="60" t="n"/>
      <c r="G595" s="63" t="n"/>
      <c r="H595" s="61" t="n"/>
      <c r="I595" s="63" t="n"/>
      <c r="J595" s="60" t="n"/>
      <c r="K595" s="61" t="n"/>
      <c r="L595" s="60" t="n"/>
      <c r="M595" s="60" t="n"/>
      <c r="N595" s="60" t="n"/>
      <c r="O595" s="61" t="n"/>
      <c r="P595" s="64" t="str">
        <f>IF(A595="","",IF(AA595="Avoir",AC595,IF(ISNUMBER(K595),K595,AC595+IF(D595="",N(p_delay),IFERROR(IF(ISNUMBER(INDEX(cli_delay,MATCH(D595,cli_code,0))),INDEX(cli_delay,MATCH(D595,cli_code,0)),N(p_delay)),N(p_delay))))))</f>
        <v/>
      </c>
      <c r="Q595" s="65" t="str">
        <f>IF(A595="","",IF(AA595="Avoir",-1,1)*ROUND(AJ595-IF(AR595="",0,INDEX(fa_htb,AR595)),2))</f>
        <v/>
      </c>
      <c r="R595" s="65" t="str">
        <f>IF(A595="","",IF(AA595="Avoir",-1,1)*ROUND(AQ595-IF(AR595="",0,INDEX(fa_tvab,AR595)),2))</f>
        <v/>
      </c>
      <c r="S595" s="65" t="str">
        <f>IF(A595="","",Q595+R595)</f>
        <v/>
      </c>
      <c r="T595" s="65" t="str">
        <f>IF(AR595="","",INDEX(fa_htb,AR595)+INDEX(fa_tvab,AR595))</f>
        <v/>
      </c>
      <c r="U595" s="65" t="str">
        <f>IF(A595="","",SUMIF(pa_inv,A595,pa_amt))</f>
        <v/>
      </c>
      <c r="V595" s="65" t="str">
        <f>IF(OR(A595="",AA595="Avoir"),"",-SUMIFS(fa_ttc,fa_avof,A595,fa_type,"Avoir"))</f>
        <v/>
      </c>
      <c r="W595" s="65" t="str">
        <f>IF(OR(A595="",AA595="Avoir"),"",ROUND(S595-U595-V595,2))</f>
        <v/>
      </c>
      <c r="X595" s="66" t="str">
        <f>IF(W595="","",IF(AND(W595&gt;0,p_asof&gt;P595),p_asof-P595,""))</f>
        <v/>
      </c>
      <c r="Y595" s="59" t="str">
        <f>IF(A595="","",IF(AA595="Avoir","Avoir",IF(W595&lt;0,"Trop-perçu",IF(W595=0,"Soldée",IF(p_asof&gt;P595,"En retard",IF(U595+V595&gt;0,"Partielle","À échoir"))))))</f>
        <v/>
      </c>
      <c r="Z595" s="59" t="str">
        <f>IF(NOT(COUNTA(B595:D595,F595:O595)&gt;0),"",IF(C595="","Date manquante",IF(NOT(ISNUMBER(C595)),"Date invalide",IF(D595="","Client manquant",IF(ISNA(MATCH(D595,cli_code,0)),"Client inconnu",IF(AC595&lt;SUMPRODUCT(MAX(($AB$6:AB594=AB595)*$AC$6:AC594)),"Date antérieure à la facture précédente",IF(AND(F595&lt;&gt;"",ISNA(MATCH(F595,dv_num,0))),"Devis inconnu",IF(AND(F595&lt;&gt;"",IFERROR(INDEX(dv_client,MATCH(F595,dv_num,0)),D595)&lt;&gt;D595),"Client différent de celui du devis",IF(AG595="","Aucune ligne : saisissez des lignes ou un devis",IF(AND(AI595&lt;&gt;"",COUNTIF($AI$6:AI595,AI595)&gt;1),"Devis déjà repris par une autre facture",IF(AND(AA595="Avoir",M595=""),"Avoir : indiquez la facture d'origine",IF(AND(AA595="Avoir",ISNA(MATCH(M595,fa_num,0))),"Facture d'origine inconnue",IF(AND(AA595&lt;&gt;"Avoir",M595&lt;&gt;""),"« Avoir sur facture » : réservé aux avoirs",IF(AND(L595&lt;&gt;"",AA595&lt;&gt;"Facture"),"Acompte à déduire : réservé aux factures",IF(AND(L595&lt;&gt;"",ISNA(MATCH(L595,fa_num,0))),"Facture d'acompte inconnue",IF(AND(L595&lt;&gt;"",IFERROR(INDEX(fa_type,MATCH(L595,fa_num,0)),"")&lt;&gt;"Facture d'acompte"),"Le n° à déduire n'est pas une facture d'acompte",IF(AND(L595&lt;&gt;"",COUNTIF($L$6:L595,L595)&gt;1),"Acompte déjà déduit sur une autre facture",IF(AND(L595&lt;&gt;"",IFERROR(INDEX(fa_client,MATCH(L595,fa_num,0)),D595)&lt;&gt;D595),"Acompte d'un autre client",IF(AND(AR595&lt;&gt;"",N(Q595)&lt;0),"Acompte supérieur au total de la facture",IF(IF(AG595="Facture",COUNTIFS(fl_doc,A595,fl_check,"&lt;&gt;OK"),IF(AG595="Devis",COUNTIFS(dl_doc,F595,dl_check,"&lt;&gt;OK"),0))&gt;0,"Ligne(s) à corriger",IF(AND(W595&lt;&gt;"",N(W595)&lt;0),"Trop-perçu : vérifiez paiements et avoirs","OK")))))))))))))))))))))</f>
        <v/>
      </c>
      <c r="AA595" s="62" t="str">
        <f>IF(COUNTA(B595:D595,F595:O595)&gt;0,IF(B595="","Facture",B595),"")</f>
        <v/>
      </c>
      <c r="AB595" s="62" t="str">
        <f>IF(AA595="","",IF(AA595="Avoir",p_pav,IF(AA595="Facture d'acompte",p_pac,p_pfa)))</f>
        <v/>
      </c>
      <c r="AC595" s="62">
        <f>IF(ISNUMBER(C595),C595,0)</f>
        <v>0.0</v>
      </c>
      <c r="AD595" s="62" t="str">
        <f>IF(OR(AA595="",AC595=0),"",YEAR(AC595))</f>
        <v/>
      </c>
      <c r="AE595" s="62" t="str">
        <f>IF(AD595="","",COUNTIFS($AB$6:AB595,AB595,$AD$6:AD595,AD595))</f>
        <v/>
      </c>
      <c r="AF595" s="62">
        <f>IF(A595="",0,COUNTIF(fl_doc,A595))</f>
        <v>0.0</v>
      </c>
      <c r="AG595" s="62" t="str">
        <f>IF(A595="","",IF(AF595&gt;0,"Facture",IF(AND(F595&lt;&gt;"",AA595="Facture",ISNUMBER(MATCH(F595,dv_num,0))),"Devis","")))</f>
        <v/>
      </c>
      <c r="AH595" s="62" t="str">
        <f>IF(AND(A595&lt;&gt;"",F595&lt;&gt;"",AA595&lt;&gt;"Avoir"),F595,"")</f>
        <v/>
      </c>
      <c r="AI595" s="62" t="str">
        <f>IF(AG595="Devis",F595,"")</f>
        <v/>
      </c>
      <c r="AJ595" s="62">
        <f>IF(AG595="Facture",SUMIF(fl_doc,A595,fl_ht),IF(AG595="Devis",SUMIF(dl_doc,F595,dl_ht),0))</f>
        <v>0.0</v>
      </c>
      <c r="AK595" s="62">
        <f>IF(OR(AG595="",INDEX(p_rates,1)=""),0,IF(AG595="Facture",SUMIFS(fl_ht,fl_doc,A595,fl_rate,INDEX(p_rates,1)),SUMIFS(dl_ht,dl_doc,F595,dl_rate,INDEX(p_rates,1))))</f>
        <v>0.0</v>
      </c>
      <c r="AL595" s="62">
        <f>IF(OR(AG595="",INDEX(p_rates,2)=""),0,IF(AG595="Facture",SUMIFS(fl_ht,fl_doc,A595,fl_rate,INDEX(p_rates,2)),SUMIFS(dl_ht,dl_doc,F595,dl_rate,INDEX(p_rates,2))))</f>
        <v>0.0</v>
      </c>
      <c r="AM595" s="62">
        <f>IF(OR(AG595="",INDEX(p_rates,3)=""),0,IF(AG595="Facture",SUMIFS(fl_ht,fl_doc,A595,fl_rate,INDEX(p_rates,3)),SUMIFS(dl_ht,dl_doc,F595,dl_rate,INDEX(p_rates,3))))</f>
        <v>0.0</v>
      </c>
      <c r="AN595" s="62">
        <f>IF(OR(AG595="",INDEX(p_rates,4)=""),0,IF(AG595="Facture",SUMIFS(fl_ht,fl_doc,A595,fl_rate,INDEX(p_rates,4)),SUMIFS(dl_ht,dl_doc,F595,dl_rate,INDEX(p_rates,4))))</f>
        <v>0.0</v>
      </c>
      <c r="AO595" s="62">
        <f>IF(OR(AG595="",INDEX(p_rates,5)=""),0,IF(AG595="Facture",SUMIFS(fl_ht,fl_doc,A595,fl_rate,INDEX(p_rates,5)),SUMIFS(dl_ht,dl_doc,F595,dl_rate,INDEX(p_rates,5))))</f>
        <v>0.0</v>
      </c>
      <c r="AP595" s="62">
        <f>IF(OR(AG595="",INDEX(p_rates,6)=""),0,IF(AG595="Facture",SUMIFS(fl_ht,fl_doc,A595,fl_rate,INDEX(p_rates,6)),SUMIFS(dl_ht,dl_doc,F595,dl_rate,INDEX(p_rates,6))))</f>
        <v>0.0</v>
      </c>
      <c r="AQ595" s="62">
        <f>ROUND(AK595*N(INDEX(p_rates,1)),2)+ROUND(AL595*N(INDEX(p_rates,2)),2)+ROUND(AM595*N(INDEX(p_rates,3)),2)+ROUND(AN595*N(INDEX(p_rates,4)),2)+ROUND(AO595*N(INDEX(p_rates,5)),2)+ROUND(AP595*N(INDEX(p_rates,6)),2)</f>
        <v>0.0</v>
      </c>
      <c r="AR595" s="62" t="str">
        <f>IF(OR(L595="",AA595&lt;&gt;"Facture"),"",IFERROR(IF(INDEX(fa_type,MATCH(L595,fa_num,0))="Facture d'acompte",MATCH(L595,fa_num,0),""),""))</f>
        <v/>
      </c>
      <c r="AS595" s="62" t="str">
        <f>IF(W595="","",IF(W595&lt;=0,"",IF(p_asof-P595&lt;=0,"Non échu",IF(p_asof-P595&lt;=30,"1-30 j",IF(p_asof-P595&lt;=60,"31-60 j",IF(p_asof-P595&lt;=90,"61-90 j","Plus de 90 j"))))))</f>
        <v/>
      </c>
      <c r="AT595" s="62" t="str">
        <f>IF(AS595="","",p_asof-P595)</f>
        <v/>
      </c>
      <c r="AU595" s="62" t="str">
        <f>IF(AT595="","",COUNTIF($AT$6:$AT$805,"&gt;"&amp;AT595)+COUNTIF($AT$6:AT595,AT595))</f>
        <v/>
      </c>
    </row>
    <row r="596">
      <c r="A596" s="59" t="str">
        <f>IF(AE596="","",AB596&amp;"-"&amp;AD596&amp;"-"&amp;RIGHT("000"&amp;AE596,4))</f>
        <v/>
      </c>
      <c r="B596" s="60" t="n"/>
      <c r="C596" s="61" t="n"/>
      <c r="D596" s="60" t="n"/>
      <c r="E596" s="62" t="str">
        <f>IF(D596="","",IFERROR(INDEX(cli_name,MATCH(D596,cli_code,0))&amp;"","Client inconnu"))</f>
        <v/>
      </c>
      <c r="F596" s="60" t="n"/>
      <c r="G596" s="63" t="n"/>
      <c r="H596" s="61" t="n"/>
      <c r="I596" s="63" t="n"/>
      <c r="J596" s="60" t="n"/>
      <c r="K596" s="61" t="n"/>
      <c r="L596" s="60" t="n"/>
      <c r="M596" s="60" t="n"/>
      <c r="N596" s="60" t="n"/>
      <c r="O596" s="61" t="n"/>
      <c r="P596" s="64" t="str">
        <f>IF(A596="","",IF(AA596="Avoir",AC596,IF(ISNUMBER(K596),K596,AC596+IF(D596="",N(p_delay),IFERROR(IF(ISNUMBER(INDEX(cli_delay,MATCH(D596,cli_code,0))),INDEX(cli_delay,MATCH(D596,cli_code,0)),N(p_delay)),N(p_delay))))))</f>
        <v/>
      </c>
      <c r="Q596" s="65" t="str">
        <f>IF(A596="","",IF(AA596="Avoir",-1,1)*ROUND(AJ596-IF(AR596="",0,INDEX(fa_htb,AR596)),2))</f>
        <v/>
      </c>
      <c r="R596" s="65" t="str">
        <f>IF(A596="","",IF(AA596="Avoir",-1,1)*ROUND(AQ596-IF(AR596="",0,INDEX(fa_tvab,AR596)),2))</f>
        <v/>
      </c>
      <c r="S596" s="65" t="str">
        <f>IF(A596="","",Q596+R596)</f>
        <v/>
      </c>
      <c r="T596" s="65" t="str">
        <f>IF(AR596="","",INDEX(fa_htb,AR596)+INDEX(fa_tvab,AR596))</f>
        <v/>
      </c>
      <c r="U596" s="65" t="str">
        <f>IF(A596="","",SUMIF(pa_inv,A596,pa_amt))</f>
        <v/>
      </c>
      <c r="V596" s="65" t="str">
        <f>IF(OR(A596="",AA596="Avoir"),"",-SUMIFS(fa_ttc,fa_avof,A596,fa_type,"Avoir"))</f>
        <v/>
      </c>
      <c r="W596" s="65" t="str">
        <f>IF(OR(A596="",AA596="Avoir"),"",ROUND(S596-U596-V596,2))</f>
        <v/>
      </c>
      <c r="X596" s="66" t="str">
        <f>IF(W596="","",IF(AND(W596&gt;0,p_asof&gt;P596),p_asof-P596,""))</f>
        <v/>
      </c>
      <c r="Y596" s="59" t="str">
        <f>IF(A596="","",IF(AA596="Avoir","Avoir",IF(W596&lt;0,"Trop-perçu",IF(W596=0,"Soldée",IF(p_asof&gt;P596,"En retard",IF(U596+V596&gt;0,"Partielle","À échoir"))))))</f>
        <v/>
      </c>
      <c r="Z596" s="59" t="str">
        <f>IF(NOT(COUNTA(B596:D596,F596:O596)&gt;0),"",IF(C596="","Date manquante",IF(NOT(ISNUMBER(C596)),"Date invalide",IF(D596="","Client manquant",IF(ISNA(MATCH(D596,cli_code,0)),"Client inconnu",IF(AC596&lt;SUMPRODUCT(MAX(($AB$6:AB595=AB596)*$AC$6:AC595)),"Date antérieure à la facture précédente",IF(AND(F596&lt;&gt;"",ISNA(MATCH(F596,dv_num,0))),"Devis inconnu",IF(AND(F596&lt;&gt;"",IFERROR(INDEX(dv_client,MATCH(F596,dv_num,0)),D596)&lt;&gt;D596),"Client différent de celui du devis",IF(AG596="","Aucune ligne : saisissez des lignes ou un devis",IF(AND(AI596&lt;&gt;"",COUNTIF($AI$6:AI596,AI596)&gt;1),"Devis déjà repris par une autre facture",IF(AND(AA596="Avoir",M596=""),"Avoir : indiquez la facture d'origine",IF(AND(AA596="Avoir",ISNA(MATCH(M596,fa_num,0))),"Facture d'origine inconnue",IF(AND(AA596&lt;&gt;"Avoir",M596&lt;&gt;""),"« Avoir sur facture » : réservé aux avoirs",IF(AND(L596&lt;&gt;"",AA596&lt;&gt;"Facture"),"Acompte à déduire : réservé aux factures",IF(AND(L596&lt;&gt;"",ISNA(MATCH(L596,fa_num,0))),"Facture d'acompte inconnue",IF(AND(L596&lt;&gt;"",IFERROR(INDEX(fa_type,MATCH(L596,fa_num,0)),"")&lt;&gt;"Facture d'acompte"),"Le n° à déduire n'est pas une facture d'acompte",IF(AND(L596&lt;&gt;"",COUNTIF($L$6:L596,L596)&gt;1),"Acompte déjà déduit sur une autre facture",IF(AND(L596&lt;&gt;"",IFERROR(INDEX(fa_client,MATCH(L596,fa_num,0)),D596)&lt;&gt;D596),"Acompte d'un autre client",IF(AND(AR596&lt;&gt;"",N(Q596)&lt;0),"Acompte supérieur au total de la facture",IF(IF(AG596="Facture",COUNTIFS(fl_doc,A596,fl_check,"&lt;&gt;OK"),IF(AG596="Devis",COUNTIFS(dl_doc,F596,dl_check,"&lt;&gt;OK"),0))&gt;0,"Ligne(s) à corriger",IF(AND(W596&lt;&gt;"",N(W596)&lt;0),"Trop-perçu : vérifiez paiements et avoirs","OK")))))))))))))))))))))</f>
        <v/>
      </c>
      <c r="AA596" s="62" t="str">
        <f>IF(COUNTA(B596:D596,F596:O596)&gt;0,IF(B596="","Facture",B596),"")</f>
        <v/>
      </c>
      <c r="AB596" s="62" t="str">
        <f>IF(AA596="","",IF(AA596="Avoir",p_pav,IF(AA596="Facture d'acompte",p_pac,p_pfa)))</f>
        <v/>
      </c>
      <c r="AC596" s="62">
        <f>IF(ISNUMBER(C596),C596,0)</f>
        <v>0.0</v>
      </c>
      <c r="AD596" s="62" t="str">
        <f>IF(OR(AA596="",AC596=0),"",YEAR(AC596))</f>
        <v/>
      </c>
      <c r="AE596" s="62" t="str">
        <f>IF(AD596="","",COUNTIFS($AB$6:AB596,AB596,$AD$6:AD596,AD596))</f>
        <v/>
      </c>
      <c r="AF596" s="62">
        <f>IF(A596="",0,COUNTIF(fl_doc,A596))</f>
        <v>0.0</v>
      </c>
      <c r="AG596" s="62" t="str">
        <f>IF(A596="","",IF(AF596&gt;0,"Facture",IF(AND(F596&lt;&gt;"",AA596="Facture",ISNUMBER(MATCH(F596,dv_num,0))),"Devis","")))</f>
        <v/>
      </c>
      <c r="AH596" s="62" t="str">
        <f>IF(AND(A596&lt;&gt;"",F596&lt;&gt;"",AA596&lt;&gt;"Avoir"),F596,"")</f>
        <v/>
      </c>
      <c r="AI596" s="62" t="str">
        <f>IF(AG596="Devis",F596,"")</f>
        <v/>
      </c>
      <c r="AJ596" s="62">
        <f>IF(AG596="Facture",SUMIF(fl_doc,A596,fl_ht),IF(AG596="Devis",SUMIF(dl_doc,F596,dl_ht),0))</f>
        <v>0.0</v>
      </c>
      <c r="AK596" s="62">
        <f>IF(OR(AG596="",INDEX(p_rates,1)=""),0,IF(AG596="Facture",SUMIFS(fl_ht,fl_doc,A596,fl_rate,INDEX(p_rates,1)),SUMIFS(dl_ht,dl_doc,F596,dl_rate,INDEX(p_rates,1))))</f>
        <v>0.0</v>
      </c>
      <c r="AL596" s="62">
        <f>IF(OR(AG596="",INDEX(p_rates,2)=""),0,IF(AG596="Facture",SUMIFS(fl_ht,fl_doc,A596,fl_rate,INDEX(p_rates,2)),SUMIFS(dl_ht,dl_doc,F596,dl_rate,INDEX(p_rates,2))))</f>
        <v>0.0</v>
      </c>
      <c r="AM596" s="62">
        <f>IF(OR(AG596="",INDEX(p_rates,3)=""),0,IF(AG596="Facture",SUMIFS(fl_ht,fl_doc,A596,fl_rate,INDEX(p_rates,3)),SUMIFS(dl_ht,dl_doc,F596,dl_rate,INDEX(p_rates,3))))</f>
        <v>0.0</v>
      </c>
      <c r="AN596" s="62">
        <f>IF(OR(AG596="",INDEX(p_rates,4)=""),0,IF(AG596="Facture",SUMIFS(fl_ht,fl_doc,A596,fl_rate,INDEX(p_rates,4)),SUMIFS(dl_ht,dl_doc,F596,dl_rate,INDEX(p_rates,4))))</f>
        <v>0.0</v>
      </c>
      <c r="AO596" s="62">
        <f>IF(OR(AG596="",INDEX(p_rates,5)=""),0,IF(AG596="Facture",SUMIFS(fl_ht,fl_doc,A596,fl_rate,INDEX(p_rates,5)),SUMIFS(dl_ht,dl_doc,F596,dl_rate,INDEX(p_rates,5))))</f>
        <v>0.0</v>
      </c>
      <c r="AP596" s="62">
        <f>IF(OR(AG596="",INDEX(p_rates,6)=""),0,IF(AG596="Facture",SUMIFS(fl_ht,fl_doc,A596,fl_rate,INDEX(p_rates,6)),SUMIFS(dl_ht,dl_doc,F596,dl_rate,INDEX(p_rates,6))))</f>
        <v>0.0</v>
      </c>
      <c r="AQ596" s="62">
        <f>ROUND(AK596*N(INDEX(p_rates,1)),2)+ROUND(AL596*N(INDEX(p_rates,2)),2)+ROUND(AM596*N(INDEX(p_rates,3)),2)+ROUND(AN596*N(INDEX(p_rates,4)),2)+ROUND(AO596*N(INDEX(p_rates,5)),2)+ROUND(AP596*N(INDEX(p_rates,6)),2)</f>
        <v>0.0</v>
      </c>
      <c r="AR596" s="62" t="str">
        <f>IF(OR(L596="",AA596&lt;&gt;"Facture"),"",IFERROR(IF(INDEX(fa_type,MATCH(L596,fa_num,0))="Facture d'acompte",MATCH(L596,fa_num,0),""),""))</f>
        <v/>
      </c>
      <c r="AS596" s="62" t="str">
        <f>IF(W596="","",IF(W596&lt;=0,"",IF(p_asof-P596&lt;=0,"Non échu",IF(p_asof-P596&lt;=30,"1-30 j",IF(p_asof-P596&lt;=60,"31-60 j",IF(p_asof-P596&lt;=90,"61-90 j","Plus de 90 j"))))))</f>
        <v/>
      </c>
      <c r="AT596" s="62" t="str">
        <f>IF(AS596="","",p_asof-P596)</f>
        <v/>
      </c>
      <c r="AU596" s="62" t="str">
        <f>IF(AT596="","",COUNTIF($AT$6:$AT$805,"&gt;"&amp;AT596)+COUNTIF($AT$6:AT596,AT596))</f>
        <v/>
      </c>
    </row>
    <row r="597">
      <c r="A597" s="59" t="str">
        <f>IF(AE597="","",AB597&amp;"-"&amp;AD597&amp;"-"&amp;RIGHT("000"&amp;AE597,4))</f>
        <v/>
      </c>
      <c r="B597" s="60" t="n"/>
      <c r="C597" s="61" t="n"/>
      <c r="D597" s="60" t="n"/>
      <c r="E597" s="62" t="str">
        <f>IF(D597="","",IFERROR(INDEX(cli_name,MATCH(D597,cli_code,0))&amp;"","Client inconnu"))</f>
        <v/>
      </c>
      <c r="F597" s="60" t="n"/>
      <c r="G597" s="63" t="n"/>
      <c r="H597" s="61" t="n"/>
      <c r="I597" s="63" t="n"/>
      <c r="J597" s="60" t="n"/>
      <c r="K597" s="61" t="n"/>
      <c r="L597" s="60" t="n"/>
      <c r="M597" s="60" t="n"/>
      <c r="N597" s="60" t="n"/>
      <c r="O597" s="61" t="n"/>
      <c r="P597" s="64" t="str">
        <f>IF(A597="","",IF(AA597="Avoir",AC597,IF(ISNUMBER(K597),K597,AC597+IF(D597="",N(p_delay),IFERROR(IF(ISNUMBER(INDEX(cli_delay,MATCH(D597,cli_code,0))),INDEX(cli_delay,MATCH(D597,cli_code,0)),N(p_delay)),N(p_delay))))))</f>
        <v/>
      </c>
      <c r="Q597" s="65" t="str">
        <f>IF(A597="","",IF(AA597="Avoir",-1,1)*ROUND(AJ597-IF(AR597="",0,INDEX(fa_htb,AR597)),2))</f>
        <v/>
      </c>
      <c r="R597" s="65" t="str">
        <f>IF(A597="","",IF(AA597="Avoir",-1,1)*ROUND(AQ597-IF(AR597="",0,INDEX(fa_tvab,AR597)),2))</f>
        <v/>
      </c>
      <c r="S597" s="65" t="str">
        <f>IF(A597="","",Q597+R597)</f>
        <v/>
      </c>
      <c r="T597" s="65" t="str">
        <f>IF(AR597="","",INDEX(fa_htb,AR597)+INDEX(fa_tvab,AR597))</f>
        <v/>
      </c>
      <c r="U597" s="65" t="str">
        <f>IF(A597="","",SUMIF(pa_inv,A597,pa_amt))</f>
        <v/>
      </c>
      <c r="V597" s="65" t="str">
        <f>IF(OR(A597="",AA597="Avoir"),"",-SUMIFS(fa_ttc,fa_avof,A597,fa_type,"Avoir"))</f>
        <v/>
      </c>
      <c r="W597" s="65" t="str">
        <f>IF(OR(A597="",AA597="Avoir"),"",ROUND(S597-U597-V597,2))</f>
        <v/>
      </c>
      <c r="X597" s="66" t="str">
        <f>IF(W597="","",IF(AND(W597&gt;0,p_asof&gt;P597),p_asof-P597,""))</f>
        <v/>
      </c>
      <c r="Y597" s="59" t="str">
        <f>IF(A597="","",IF(AA597="Avoir","Avoir",IF(W597&lt;0,"Trop-perçu",IF(W597=0,"Soldée",IF(p_asof&gt;P597,"En retard",IF(U597+V597&gt;0,"Partielle","À échoir"))))))</f>
        <v/>
      </c>
      <c r="Z597" s="59" t="str">
        <f>IF(NOT(COUNTA(B597:D597,F597:O597)&gt;0),"",IF(C597="","Date manquante",IF(NOT(ISNUMBER(C597)),"Date invalide",IF(D597="","Client manquant",IF(ISNA(MATCH(D597,cli_code,0)),"Client inconnu",IF(AC597&lt;SUMPRODUCT(MAX(($AB$6:AB596=AB597)*$AC$6:AC596)),"Date antérieure à la facture précédente",IF(AND(F597&lt;&gt;"",ISNA(MATCH(F597,dv_num,0))),"Devis inconnu",IF(AND(F597&lt;&gt;"",IFERROR(INDEX(dv_client,MATCH(F597,dv_num,0)),D597)&lt;&gt;D597),"Client différent de celui du devis",IF(AG597="","Aucune ligne : saisissez des lignes ou un devis",IF(AND(AI597&lt;&gt;"",COUNTIF($AI$6:AI597,AI597)&gt;1),"Devis déjà repris par une autre facture",IF(AND(AA597="Avoir",M597=""),"Avoir : indiquez la facture d'origine",IF(AND(AA597="Avoir",ISNA(MATCH(M597,fa_num,0))),"Facture d'origine inconnue",IF(AND(AA597&lt;&gt;"Avoir",M597&lt;&gt;""),"« Avoir sur facture » : réservé aux avoirs",IF(AND(L597&lt;&gt;"",AA597&lt;&gt;"Facture"),"Acompte à déduire : réservé aux factures",IF(AND(L597&lt;&gt;"",ISNA(MATCH(L597,fa_num,0))),"Facture d'acompte inconnue",IF(AND(L597&lt;&gt;"",IFERROR(INDEX(fa_type,MATCH(L597,fa_num,0)),"")&lt;&gt;"Facture d'acompte"),"Le n° à déduire n'est pas une facture d'acompte",IF(AND(L597&lt;&gt;"",COUNTIF($L$6:L597,L597)&gt;1),"Acompte déjà déduit sur une autre facture",IF(AND(L597&lt;&gt;"",IFERROR(INDEX(fa_client,MATCH(L597,fa_num,0)),D597)&lt;&gt;D597),"Acompte d'un autre client",IF(AND(AR597&lt;&gt;"",N(Q597)&lt;0),"Acompte supérieur au total de la facture",IF(IF(AG597="Facture",COUNTIFS(fl_doc,A597,fl_check,"&lt;&gt;OK"),IF(AG597="Devis",COUNTIFS(dl_doc,F597,dl_check,"&lt;&gt;OK"),0))&gt;0,"Ligne(s) à corriger",IF(AND(W597&lt;&gt;"",N(W597)&lt;0),"Trop-perçu : vérifiez paiements et avoirs","OK")))))))))))))))))))))</f>
        <v/>
      </c>
      <c r="AA597" s="62" t="str">
        <f>IF(COUNTA(B597:D597,F597:O597)&gt;0,IF(B597="","Facture",B597),"")</f>
        <v/>
      </c>
      <c r="AB597" s="62" t="str">
        <f>IF(AA597="","",IF(AA597="Avoir",p_pav,IF(AA597="Facture d'acompte",p_pac,p_pfa)))</f>
        <v/>
      </c>
      <c r="AC597" s="62">
        <f>IF(ISNUMBER(C597),C597,0)</f>
        <v>0.0</v>
      </c>
      <c r="AD597" s="62" t="str">
        <f>IF(OR(AA597="",AC597=0),"",YEAR(AC597))</f>
        <v/>
      </c>
      <c r="AE597" s="62" t="str">
        <f>IF(AD597="","",COUNTIFS($AB$6:AB597,AB597,$AD$6:AD597,AD597))</f>
        <v/>
      </c>
      <c r="AF597" s="62">
        <f>IF(A597="",0,COUNTIF(fl_doc,A597))</f>
        <v>0.0</v>
      </c>
      <c r="AG597" s="62" t="str">
        <f>IF(A597="","",IF(AF597&gt;0,"Facture",IF(AND(F597&lt;&gt;"",AA597="Facture",ISNUMBER(MATCH(F597,dv_num,0))),"Devis","")))</f>
        <v/>
      </c>
      <c r="AH597" s="62" t="str">
        <f>IF(AND(A597&lt;&gt;"",F597&lt;&gt;"",AA597&lt;&gt;"Avoir"),F597,"")</f>
        <v/>
      </c>
      <c r="AI597" s="62" t="str">
        <f>IF(AG597="Devis",F597,"")</f>
        <v/>
      </c>
      <c r="AJ597" s="62">
        <f>IF(AG597="Facture",SUMIF(fl_doc,A597,fl_ht),IF(AG597="Devis",SUMIF(dl_doc,F597,dl_ht),0))</f>
        <v>0.0</v>
      </c>
      <c r="AK597" s="62">
        <f>IF(OR(AG597="",INDEX(p_rates,1)=""),0,IF(AG597="Facture",SUMIFS(fl_ht,fl_doc,A597,fl_rate,INDEX(p_rates,1)),SUMIFS(dl_ht,dl_doc,F597,dl_rate,INDEX(p_rates,1))))</f>
        <v>0.0</v>
      </c>
      <c r="AL597" s="62">
        <f>IF(OR(AG597="",INDEX(p_rates,2)=""),0,IF(AG597="Facture",SUMIFS(fl_ht,fl_doc,A597,fl_rate,INDEX(p_rates,2)),SUMIFS(dl_ht,dl_doc,F597,dl_rate,INDEX(p_rates,2))))</f>
        <v>0.0</v>
      </c>
      <c r="AM597" s="62">
        <f>IF(OR(AG597="",INDEX(p_rates,3)=""),0,IF(AG597="Facture",SUMIFS(fl_ht,fl_doc,A597,fl_rate,INDEX(p_rates,3)),SUMIFS(dl_ht,dl_doc,F597,dl_rate,INDEX(p_rates,3))))</f>
        <v>0.0</v>
      </c>
      <c r="AN597" s="62">
        <f>IF(OR(AG597="",INDEX(p_rates,4)=""),0,IF(AG597="Facture",SUMIFS(fl_ht,fl_doc,A597,fl_rate,INDEX(p_rates,4)),SUMIFS(dl_ht,dl_doc,F597,dl_rate,INDEX(p_rates,4))))</f>
        <v>0.0</v>
      </c>
      <c r="AO597" s="62">
        <f>IF(OR(AG597="",INDEX(p_rates,5)=""),0,IF(AG597="Facture",SUMIFS(fl_ht,fl_doc,A597,fl_rate,INDEX(p_rates,5)),SUMIFS(dl_ht,dl_doc,F597,dl_rate,INDEX(p_rates,5))))</f>
        <v>0.0</v>
      </c>
      <c r="AP597" s="62">
        <f>IF(OR(AG597="",INDEX(p_rates,6)=""),0,IF(AG597="Facture",SUMIFS(fl_ht,fl_doc,A597,fl_rate,INDEX(p_rates,6)),SUMIFS(dl_ht,dl_doc,F597,dl_rate,INDEX(p_rates,6))))</f>
        <v>0.0</v>
      </c>
      <c r="AQ597" s="62">
        <f>ROUND(AK597*N(INDEX(p_rates,1)),2)+ROUND(AL597*N(INDEX(p_rates,2)),2)+ROUND(AM597*N(INDEX(p_rates,3)),2)+ROUND(AN597*N(INDEX(p_rates,4)),2)+ROUND(AO597*N(INDEX(p_rates,5)),2)+ROUND(AP597*N(INDEX(p_rates,6)),2)</f>
        <v>0.0</v>
      </c>
      <c r="AR597" s="62" t="str">
        <f>IF(OR(L597="",AA597&lt;&gt;"Facture"),"",IFERROR(IF(INDEX(fa_type,MATCH(L597,fa_num,0))="Facture d'acompte",MATCH(L597,fa_num,0),""),""))</f>
        <v/>
      </c>
      <c r="AS597" s="62" t="str">
        <f>IF(W597="","",IF(W597&lt;=0,"",IF(p_asof-P597&lt;=0,"Non échu",IF(p_asof-P597&lt;=30,"1-30 j",IF(p_asof-P597&lt;=60,"31-60 j",IF(p_asof-P597&lt;=90,"61-90 j","Plus de 90 j"))))))</f>
        <v/>
      </c>
      <c r="AT597" s="62" t="str">
        <f>IF(AS597="","",p_asof-P597)</f>
        <v/>
      </c>
      <c r="AU597" s="62" t="str">
        <f>IF(AT597="","",COUNTIF($AT$6:$AT$805,"&gt;"&amp;AT597)+COUNTIF($AT$6:AT597,AT597))</f>
        <v/>
      </c>
    </row>
    <row r="598">
      <c r="A598" s="59" t="str">
        <f>IF(AE598="","",AB598&amp;"-"&amp;AD598&amp;"-"&amp;RIGHT("000"&amp;AE598,4))</f>
        <v/>
      </c>
      <c r="B598" s="60" t="n"/>
      <c r="C598" s="61" t="n"/>
      <c r="D598" s="60" t="n"/>
      <c r="E598" s="62" t="str">
        <f>IF(D598="","",IFERROR(INDEX(cli_name,MATCH(D598,cli_code,0))&amp;"","Client inconnu"))</f>
        <v/>
      </c>
      <c r="F598" s="60" t="n"/>
      <c r="G598" s="63" t="n"/>
      <c r="H598" s="61" t="n"/>
      <c r="I598" s="63" t="n"/>
      <c r="J598" s="60" t="n"/>
      <c r="K598" s="61" t="n"/>
      <c r="L598" s="60" t="n"/>
      <c r="M598" s="60" t="n"/>
      <c r="N598" s="60" t="n"/>
      <c r="O598" s="61" t="n"/>
      <c r="P598" s="64" t="str">
        <f>IF(A598="","",IF(AA598="Avoir",AC598,IF(ISNUMBER(K598),K598,AC598+IF(D598="",N(p_delay),IFERROR(IF(ISNUMBER(INDEX(cli_delay,MATCH(D598,cli_code,0))),INDEX(cli_delay,MATCH(D598,cli_code,0)),N(p_delay)),N(p_delay))))))</f>
        <v/>
      </c>
      <c r="Q598" s="65" t="str">
        <f>IF(A598="","",IF(AA598="Avoir",-1,1)*ROUND(AJ598-IF(AR598="",0,INDEX(fa_htb,AR598)),2))</f>
        <v/>
      </c>
      <c r="R598" s="65" t="str">
        <f>IF(A598="","",IF(AA598="Avoir",-1,1)*ROUND(AQ598-IF(AR598="",0,INDEX(fa_tvab,AR598)),2))</f>
        <v/>
      </c>
      <c r="S598" s="65" t="str">
        <f>IF(A598="","",Q598+R598)</f>
        <v/>
      </c>
      <c r="T598" s="65" t="str">
        <f>IF(AR598="","",INDEX(fa_htb,AR598)+INDEX(fa_tvab,AR598))</f>
        <v/>
      </c>
      <c r="U598" s="65" t="str">
        <f>IF(A598="","",SUMIF(pa_inv,A598,pa_amt))</f>
        <v/>
      </c>
      <c r="V598" s="65" t="str">
        <f>IF(OR(A598="",AA598="Avoir"),"",-SUMIFS(fa_ttc,fa_avof,A598,fa_type,"Avoir"))</f>
        <v/>
      </c>
      <c r="W598" s="65" t="str">
        <f>IF(OR(A598="",AA598="Avoir"),"",ROUND(S598-U598-V598,2))</f>
        <v/>
      </c>
      <c r="X598" s="66" t="str">
        <f>IF(W598="","",IF(AND(W598&gt;0,p_asof&gt;P598),p_asof-P598,""))</f>
        <v/>
      </c>
      <c r="Y598" s="59" t="str">
        <f>IF(A598="","",IF(AA598="Avoir","Avoir",IF(W598&lt;0,"Trop-perçu",IF(W598=0,"Soldée",IF(p_asof&gt;P598,"En retard",IF(U598+V598&gt;0,"Partielle","À échoir"))))))</f>
        <v/>
      </c>
      <c r="Z598" s="59" t="str">
        <f>IF(NOT(COUNTA(B598:D598,F598:O598)&gt;0),"",IF(C598="","Date manquante",IF(NOT(ISNUMBER(C598)),"Date invalide",IF(D598="","Client manquant",IF(ISNA(MATCH(D598,cli_code,0)),"Client inconnu",IF(AC598&lt;SUMPRODUCT(MAX(($AB$6:AB597=AB598)*$AC$6:AC597)),"Date antérieure à la facture précédente",IF(AND(F598&lt;&gt;"",ISNA(MATCH(F598,dv_num,0))),"Devis inconnu",IF(AND(F598&lt;&gt;"",IFERROR(INDEX(dv_client,MATCH(F598,dv_num,0)),D598)&lt;&gt;D598),"Client différent de celui du devis",IF(AG598="","Aucune ligne : saisissez des lignes ou un devis",IF(AND(AI598&lt;&gt;"",COUNTIF($AI$6:AI598,AI598)&gt;1),"Devis déjà repris par une autre facture",IF(AND(AA598="Avoir",M598=""),"Avoir : indiquez la facture d'origine",IF(AND(AA598="Avoir",ISNA(MATCH(M598,fa_num,0))),"Facture d'origine inconnue",IF(AND(AA598&lt;&gt;"Avoir",M598&lt;&gt;""),"« Avoir sur facture » : réservé aux avoirs",IF(AND(L598&lt;&gt;"",AA598&lt;&gt;"Facture"),"Acompte à déduire : réservé aux factures",IF(AND(L598&lt;&gt;"",ISNA(MATCH(L598,fa_num,0))),"Facture d'acompte inconnue",IF(AND(L598&lt;&gt;"",IFERROR(INDEX(fa_type,MATCH(L598,fa_num,0)),"")&lt;&gt;"Facture d'acompte"),"Le n° à déduire n'est pas une facture d'acompte",IF(AND(L598&lt;&gt;"",COUNTIF($L$6:L598,L598)&gt;1),"Acompte déjà déduit sur une autre facture",IF(AND(L598&lt;&gt;"",IFERROR(INDEX(fa_client,MATCH(L598,fa_num,0)),D598)&lt;&gt;D598),"Acompte d'un autre client",IF(AND(AR598&lt;&gt;"",N(Q598)&lt;0),"Acompte supérieur au total de la facture",IF(IF(AG598="Facture",COUNTIFS(fl_doc,A598,fl_check,"&lt;&gt;OK"),IF(AG598="Devis",COUNTIFS(dl_doc,F598,dl_check,"&lt;&gt;OK"),0))&gt;0,"Ligne(s) à corriger",IF(AND(W598&lt;&gt;"",N(W598)&lt;0),"Trop-perçu : vérifiez paiements et avoirs","OK")))))))))))))))))))))</f>
        <v/>
      </c>
      <c r="AA598" s="62" t="str">
        <f>IF(COUNTA(B598:D598,F598:O598)&gt;0,IF(B598="","Facture",B598),"")</f>
        <v/>
      </c>
      <c r="AB598" s="62" t="str">
        <f>IF(AA598="","",IF(AA598="Avoir",p_pav,IF(AA598="Facture d'acompte",p_pac,p_pfa)))</f>
        <v/>
      </c>
      <c r="AC598" s="62">
        <f>IF(ISNUMBER(C598),C598,0)</f>
        <v>0.0</v>
      </c>
      <c r="AD598" s="62" t="str">
        <f>IF(OR(AA598="",AC598=0),"",YEAR(AC598))</f>
        <v/>
      </c>
      <c r="AE598" s="62" t="str">
        <f>IF(AD598="","",COUNTIFS($AB$6:AB598,AB598,$AD$6:AD598,AD598))</f>
        <v/>
      </c>
      <c r="AF598" s="62">
        <f>IF(A598="",0,COUNTIF(fl_doc,A598))</f>
        <v>0.0</v>
      </c>
      <c r="AG598" s="62" t="str">
        <f>IF(A598="","",IF(AF598&gt;0,"Facture",IF(AND(F598&lt;&gt;"",AA598="Facture",ISNUMBER(MATCH(F598,dv_num,0))),"Devis","")))</f>
        <v/>
      </c>
      <c r="AH598" s="62" t="str">
        <f>IF(AND(A598&lt;&gt;"",F598&lt;&gt;"",AA598&lt;&gt;"Avoir"),F598,"")</f>
        <v/>
      </c>
      <c r="AI598" s="62" t="str">
        <f>IF(AG598="Devis",F598,"")</f>
        <v/>
      </c>
      <c r="AJ598" s="62">
        <f>IF(AG598="Facture",SUMIF(fl_doc,A598,fl_ht),IF(AG598="Devis",SUMIF(dl_doc,F598,dl_ht),0))</f>
        <v>0.0</v>
      </c>
      <c r="AK598" s="62">
        <f>IF(OR(AG598="",INDEX(p_rates,1)=""),0,IF(AG598="Facture",SUMIFS(fl_ht,fl_doc,A598,fl_rate,INDEX(p_rates,1)),SUMIFS(dl_ht,dl_doc,F598,dl_rate,INDEX(p_rates,1))))</f>
        <v>0.0</v>
      </c>
      <c r="AL598" s="62">
        <f>IF(OR(AG598="",INDEX(p_rates,2)=""),0,IF(AG598="Facture",SUMIFS(fl_ht,fl_doc,A598,fl_rate,INDEX(p_rates,2)),SUMIFS(dl_ht,dl_doc,F598,dl_rate,INDEX(p_rates,2))))</f>
        <v>0.0</v>
      </c>
      <c r="AM598" s="62">
        <f>IF(OR(AG598="",INDEX(p_rates,3)=""),0,IF(AG598="Facture",SUMIFS(fl_ht,fl_doc,A598,fl_rate,INDEX(p_rates,3)),SUMIFS(dl_ht,dl_doc,F598,dl_rate,INDEX(p_rates,3))))</f>
        <v>0.0</v>
      </c>
      <c r="AN598" s="62">
        <f>IF(OR(AG598="",INDEX(p_rates,4)=""),0,IF(AG598="Facture",SUMIFS(fl_ht,fl_doc,A598,fl_rate,INDEX(p_rates,4)),SUMIFS(dl_ht,dl_doc,F598,dl_rate,INDEX(p_rates,4))))</f>
        <v>0.0</v>
      </c>
      <c r="AO598" s="62">
        <f>IF(OR(AG598="",INDEX(p_rates,5)=""),0,IF(AG598="Facture",SUMIFS(fl_ht,fl_doc,A598,fl_rate,INDEX(p_rates,5)),SUMIFS(dl_ht,dl_doc,F598,dl_rate,INDEX(p_rates,5))))</f>
        <v>0.0</v>
      </c>
      <c r="AP598" s="62">
        <f>IF(OR(AG598="",INDEX(p_rates,6)=""),0,IF(AG598="Facture",SUMIFS(fl_ht,fl_doc,A598,fl_rate,INDEX(p_rates,6)),SUMIFS(dl_ht,dl_doc,F598,dl_rate,INDEX(p_rates,6))))</f>
        <v>0.0</v>
      </c>
      <c r="AQ598" s="62">
        <f>ROUND(AK598*N(INDEX(p_rates,1)),2)+ROUND(AL598*N(INDEX(p_rates,2)),2)+ROUND(AM598*N(INDEX(p_rates,3)),2)+ROUND(AN598*N(INDEX(p_rates,4)),2)+ROUND(AO598*N(INDEX(p_rates,5)),2)+ROUND(AP598*N(INDEX(p_rates,6)),2)</f>
        <v>0.0</v>
      </c>
      <c r="AR598" s="62" t="str">
        <f>IF(OR(L598="",AA598&lt;&gt;"Facture"),"",IFERROR(IF(INDEX(fa_type,MATCH(L598,fa_num,0))="Facture d'acompte",MATCH(L598,fa_num,0),""),""))</f>
        <v/>
      </c>
      <c r="AS598" s="62" t="str">
        <f>IF(W598="","",IF(W598&lt;=0,"",IF(p_asof-P598&lt;=0,"Non échu",IF(p_asof-P598&lt;=30,"1-30 j",IF(p_asof-P598&lt;=60,"31-60 j",IF(p_asof-P598&lt;=90,"61-90 j","Plus de 90 j"))))))</f>
        <v/>
      </c>
      <c r="AT598" s="62" t="str">
        <f>IF(AS598="","",p_asof-P598)</f>
        <v/>
      </c>
      <c r="AU598" s="62" t="str">
        <f>IF(AT598="","",COUNTIF($AT$6:$AT$805,"&gt;"&amp;AT598)+COUNTIF($AT$6:AT598,AT598))</f>
        <v/>
      </c>
    </row>
    <row r="599">
      <c r="A599" s="59" t="str">
        <f>IF(AE599="","",AB599&amp;"-"&amp;AD599&amp;"-"&amp;RIGHT("000"&amp;AE599,4))</f>
        <v/>
      </c>
      <c r="B599" s="60" t="n"/>
      <c r="C599" s="61" t="n"/>
      <c r="D599" s="60" t="n"/>
      <c r="E599" s="62" t="str">
        <f>IF(D599="","",IFERROR(INDEX(cli_name,MATCH(D599,cli_code,0))&amp;"","Client inconnu"))</f>
        <v/>
      </c>
      <c r="F599" s="60" t="n"/>
      <c r="G599" s="63" t="n"/>
      <c r="H599" s="61" t="n"/>
      <c r="I599" s="63" t="n"/>
      <c r="J599" s="60" t="n"/>
      <c r="K599" s="61" t="n"/>
      <c r="L599" s="60" t="n"/>
      <c r="M599" s="60" t="n"/>
      <c r="N599" s="60" t="n"/>
      <c r="O599" s="61" t="n"/>
      <c r="P599" s="64" t="str">
        <f>IF(A599="","",IF(AA599="Avoir",AC599,IF(ISNUMBER(K599),K599,AC599+IF(D599="",N(p_delay),IFERROR(IF(ISNUMBER(INDEX(cli_delay,MATCH(D599,cli_code,0))),INDEX(cli_delay,MATCH(D599,cli_code,0)),N(p_delay)),N(p_delay))))))</f>
        <v/>
      </c>
      <c r="Q599" s="65" t="str">
        <f>IF(A599="","",IF(AA599="Avoir",-1,1)*ROUND(AJ599-IF(AR599="",0,INDEX(fa_htb,AR599)),2))</f>
        <v/>
      </c>
      <c r="R599" s="65" t="str">
        <f>IF(A599="","",IF(AA599="Avoir",-1,1)*ROUND(AQ599-IF(AR599="",0,INDEX(fa_tvab,AR599)),2))</f>
        <v/>
      </c>
      <c r="S599" s="65" t="str">
        <f>IF(A599="","",Q599+R599)</f>
        <v/>
      </c>
      <c r="T599" s="65" t="str">
        <f>IF(AR599="","",INDEX(fa_htb,AR599)+INDEX(fa_tvab,AR599))</f>
        <v/>
      </c>
      <c r="U599" s="65" t="str">
        <f>IF(A599="","",SUMIF(pa_inv,A599,pa_amt))</f>
        <v/>
      </c>
      <c r="V599" s="65" t="str">
        <f>IF(OR(A599="",AA599="Avoir"),"",-SUMIFS(fa_ttc,fa_avof,A599,fa_type,"Avoir"))</f>
        <v/>
      </c>
      <c r="W599" s="65" t="str">
        <f>IF(OR(A599="",AA599="Avoir"),"",ROUND(S599-U599-V599,2))</f>
        <v/>
      </c>
      <c r="X599" s="66" t="str">
        <f>IF(W599="","",IF(AND(W599&gt;0,p_asof&gt;P599),p_asof-P599,""))</f>
        <v/>
      </c>
      <c r="Y599" s="59" t="str">
        <f>IF(A599="","",IF(AA599="Avoir","Avoir",IF(W599&lt;0,"Trop-perçu",IF(W599=0,"Soldée",IF(p_asof&gt;P599,"En retard",IF(U599+V599&gt;0,"Partielle","À échoir"))))))</f>
        <v/>
      </c>
      <c r="Z599" s="59" t="str">
        <f>IF(NOT(COUNTA(B599:D599,F599:O599)&gt;0),"",IF(C599="","Date manquante",IF(NOT(ISNUMBER(C599)),"Date invalide",IF(D599="","Client manquant",IF(ISNA(MATCH(D599,cli_code,0)),"Client inconnu",IF(AC599&lt;SUMPRODUCT(MAX(($AB$6:AB598=AB599)*$AC$6:AC598)),"Date antérieure à la facture précédente",IF(AND(F599&lt;&gt;"",ISNA(MATCH(F599,dv_num,0))),"Devis inconnu",IF(AND(F599&lt;&gt;"",IFERROR(INDEX(dv_client,MATCH(F599,dv_num,0)),D599)&lt;&gt;D599),"Client différent de celui du devis",IF(AG599="","Aucune ligne : saisissez des lignes ou un devis",IF(AND(AI599&lt;&gt;"",COUNTIF($AI$6:AI599,AI599)&gt;1),"Devis déjà repris par une autre facture",IF(AND(AA599="Avoir",M599=""),"Avoir : indiquez la facture d'origine",IF(AND(AA599="Avoir",ISNA(MATCH(M599,fa_num,0))),"Facture d'origine inconnue",IF(AND(AA599&lt;&gt;"Avoir",M599&lt;&gt;""),"« Avoir sur facture » : réservé aux avoirs",IF(AND(L599&lt;&gt;"",AA599&lt;&gt;"Facture"),"Acompte à déduire : réservé aux factures",IF(AND(L599&lt;&gt;"",ISNA(MATCH(L599,fa_num,0))),"Facture d'acompte inconnue",IF(AND(L599&lt;&gt;"",IFERROR(INDEX(fa_type,MATCH(L599,fa_num,0)),"")&lt;&gt;"Facture d'acompte"),"Le n° à déduire n'est pas une facture d'acompte",IF(AND(L599&lt;&gt;"",COUNTIF($L$6:L599,L599)&gt;1),"Acompte déjà déduit sur une autre facture",IF(AND(L599&lt;&gt;"",IFERROR(INDEX(fa_client,MATCH(L599,fa_num,0)),D599)&lt;&gt;D599),"Acompte d'un autre client",IF(AND(AR599&lt;&gt;"",N(Q599)&lt;0),"Acompte supérieur au total de la facture",IF(IF(AG599="Facture",COUNTIFS(fl_doc,A599,fl_check,"&lt;&gt;OK"),IF(AG599="Devis",COUNTIFS(dl_doc,F599,dl_check,"&lt;&gt;OK"),0))&gt;0,"Ligne(s) à corriger",IF(AND(W599&lt;&gt;"",N(W599)&lt;0),"Trop-perçu : vérifiez paiements et avoirs","OK")))))))))))))))))))))</f>
        <v/>
      </c>
      <c r="AA599" s="62" t="str">
        <f>IF(COUNTA(B599:D599,F599:O599)&gt;0,IF(B599="","Facture",B599),"")</f>
        <v/>
      </c>
      <c r="AB599" s="62" t="str">
        <f>IF(AA599="","",IF(AA599="Avoir",p_pav,IF(AA599="Facture d'acompte",p_pac,p_pfa)))</f>
        <v/>
      </c>
      <c r="AC599" s="62">
        <f>IF(ISNUMBER(C599),C599,0)</f>
        <v>0.0</v>
      </c>
      <c r="AD599" s="62" t="str">
        <f>IF(OR(AA599="",AC599=0),"",YEAR(AC599))</f>
        <v/>
      </c>
      <c r="AE599" s="62" t="str">
        <f>IF(AD599="","",COUNTIFS($AB$6:AB599,AB599,$AD$6:AD599,AD599))</f>
        <v/>
      </c>
      <c r="AF599" s="62">
        <f>IF(A599="",0,COUNTIF(fl_doc,A599))</f>
        <v>0.0</v>
      </c>
      <c r="AG599" s="62" t="str">
        <f>IF(A599="","",IF(AF599&gt;0,"Facture",IF(AND(F599&lt;&gt;"",AA599="Facture",ISNUMBER(MATCH(F599,dv_num,0))),"Devis","")))</f>
        <v/>
      </c>
      <c r="AH599" s="62" t="str">
        <f>IF(AND(A599&lt;&gt;"",F599&lt;&gt;"",AA599&lt;&gt;"Avoir"),F599,"")</f>
        <v/>
      </c>
      <c r="AI599" s="62" t="str">
        <f>IF(AG599="Devis",F599,"")</f>
        <v/>
      </c>
      <c r="AJ599" s="62">
        <f>IF(AG599="Facture",SUMIF(fl_doc,A599,fl_ht),IF(AG599="Devis",SUMIF(dl_doc,F599,dl_ht),0))</f>
        <v>0.0</v>
      </c>
      <c r="AK599" s="62">
        <f>IF(OR(AG599="",INDEX(p_rates,1)=""),0,IF(AG599="Facture",SUMIFS(fl_ht,fl_doc,A599,fl_rate,INDEX(p_rates,1)),SUMIFS(dl_ht,dl_doc,F599,dl_rate,INDEX(p_rates,1))))</f>
        <v>0.0</v>
      </c>
      <c r="AL599" s="62">
        <f>IF(OR(AG599="",INDEX(p_rates,2)=""),0,IF(AG599="Facture",SUMIFS(fl_ht,fl_doc,A599,fl_rate,INDEX(p_rates,2)),SUMIFS(dl_ht,dl_doc,F599,dl_rate,INDEX(p_rates,2))))</f>
        <v>0.0</v>
      </c>
      <c r="AM599" s="62">
        <f>IF(OR(AG599="",INDEX(p_rates,3)=""),0,IF(AG599="Facture",SUMIFS(fl_ht,fl_doc,A599,fl_rate,INDEX(p_rates,3)),SUMIFS(dl_ht,dl_doc,F599,dl_rate,INDEX(p_rates,3))))</f>
        <v>0.0</v>
      </c>
      <c r="AN599" s="62">
        <f>IF(OR(AG599="",INDEX(p_rates,4)=""),0,IF(AG599="Facture",SUMIFS(fl_ht,fl_doc,A599,fl_rate,INDEX(p_rates,4)),SUMIFS(dl_ht,dl_doc,F599,dl_rate,INDEX(p_rates,4))))</f>
        <v>0.0</v>
      </c>
      <c r="AO599" s="62">
        <f>IF(OR(AG599="",INDEX(p_rates,5)=""),0,IF(AG599="Facture",SUMIFS(fl_ht,fl_doc,A599,fl_rate,INDEX(p_rates,5)),SUMIFS(dl_ht,dl_doc,F599,dl_rate,INDEX(p_rates,5))))</f>
        <v>0.0</v>
      </c>
      <c r="AP599" s="62">
        <f>IF(OR(AG599="",INDEX(p_rates,6)=""),0,IF(AG599="Facture",SUMIFS(fl_ht,fl_doc,A599,fl_rate,INDEX(p_rates,6)),SUMIFS(dl_ht,dl_doc,F599,dl_rate,INDEX(p_rates,6))))</f>
        <v>0.0</v>
      </c>
      <c r="AQ599" s="62">
        <f>ROUND(AK599*N(INDEX(p_rates,1)),2)+ROUND(AL599*N(INDEX(p_rates,2)),2)+ROUND(AM599*N(INDEX(p_rates,3)),2)+ROUND(AN599*N(INDEX(p_rates,4)),2)+ROUND(AO599*N(INDEX(p_rates,5)),2)+ROUND(AP599*N(INDEX(p_rates,6)),2)</f>
        <v>0.0</v>
      </c>
      <c r="AR599" s="62" t="str">
        <f>IF(OR(L599="",AA599&lt;&gt;"Facture"),"",IFERROR(IF(INDEX(fa_type,MATCH(L599,fa_num,0))="Facture d'acompte",MATCH(L599,fa_num,0),""),""))</f>
        <v/>
      </c>
      <c r="AS599" s="62" t="str">
        <f>IF(W599="","",IF(W599&lt;=0,"",IF(p_asof-P599&lt;=0,"Non échu",IF(p_asof-P599&lt;=30,"1-30 j",IF(p_asof-P599&lt;=60,"31-60 j",IF(p_asof-P599&lt;=90,"61-90 j","Plus de 90 j"))))))</f>
        <v/>
      </c>
      <c r="AT599" s="62" t="str">
        <f>IF(AS599="","",p_asof-P599)</f>
        <v/>
      </c>
      <c r="AU599" s="62" t="str">
        <f>IF(AT599="","",COUNTIF($AT$6:$AT$805,"&gt;"&amp;AT599)+COUNTIF($AT$6:AT599,AT599))</f>
        <v/>
      </c>
    </row>
    <row r="600">
      <c r="A600" s="59" t="str">
        <f>IF(AE600="","",AB600&amp;"-"&amp;AD600&amp;"-"&amp;RIGHT("000"&amp;AE600,4))</f>
        <v/>
      </c>
      <c r="B600" s="60" t="n"/>
      <c r="C600" s="61" t="n"/>
      <c r="D600" s="60" t="n"/>
      <c r="E600" s="62" t="str">
        <f>IF(D600="","",IFERROR(INDEX(cli_name,MATCH(D600,cli_code,0))&amp;"","Client inconnu"))</f>
        <v/>
      </c>
      <c r="F600" s="60" t="n"/>
      <c r="G600" s="63" t="n"/>
      <c r="H600" s="61" t="n"/>
      <c r="I600" s="63" t="n"/>
      <c r="J600" s="60" t="n"/>
      <c r="K600" s="61" t="n"/>
      <c r="L600" s="60" t="n"/>
      <c r="M600" s="60" t="n"/>
      <c r="N600" s="60" t="n"/>
      <c r="O600" s="61" t="n"/>
      <c r="P600" s="64" t="str">
        <f>IF(A600="","",IF(AA600="Avoir",AC600,IF(ISNUMBER(K600),K600,AC600+IF(D600="",N(p_delay),IFERROR(IF(ISNUMBER(INDEX(cli_delay,MATCH(D600,cli_code,0))),INDEX(cli_delay,MATCH(D600,cli_code,0)),N(p_delay)),N(p_delay))))))</f>
        <v/>
      </c>
      <c r="Q600" s="65" t="str">
        <f>IF(A600="","",IF(AA600="Avoir",-1,1)*ROUND(AJ600-IF(AR600="",0,INDEX(fa_htb,AR600)),2))</f>
        <v/>
      </c>
      <c r="R600" s="65" t="str">
        <f>IF(A600="","",IF(AA600="Avoir",-1,1)*ROUND(AQ600-IF(AR600="",0,INDEX(fa_tvab,AR600)),2))</f>
        <v/>
      </c>
      <c r="S600" s="65" t="str">
        <f>IF(A600="","",Q600+R600)</f>
        <v/>
      </c>
      <c r="T600" s="65" t="str">
        <f>IF(AR600="","",INDEX(fa_htb,AR600)+INDEX(fa_tvab,AR600))</f>
        <v/>
      </c>
      <c r="U600" s="65" t="str">
        <f>IF(A600="","",SUMIF(pa_inv,A600,pa_amt))</f>
        <v/>
      </c>
      <c r="V600" s="65" t="str">
        <f>IF(OR(A600="",AA600="Avoir"),"",-SUMIFS(fa_ttc,fa_avof,A600,fa_type,"Avoir"))</f>
        <v/>
      </c>
      <c r="W600" s="65" t="str">
        <f>IF(OR(A600="",AA600="Avoir"),"",ROUND(S600-U600-V600,2))</f>
        <v/>
      </c>
      <c r="X600" s="66" t="str">
        <f>IF(W600="","",IF(AND(W600&gt;0,p_asof&gt;P600),p_asof-P600,""))</f>
        <v/>
      </c>
      <c r="Y600" s="59" t="str">
        <f>IF(A600="","",IF(AA600="Avoir","Avoir",IF(W600&lt;0,"Trop-perçu",IF(W600=0,"Soldée",IF(p_asof&gt;P600,"En retard",IF(U600+V600&gt;0,"Partielle","À échoir"))))))</f>
        <v/>
      </c>
      <c r="Z600" s="59" t="str">
        <f>IF(NOT(COUNTA(B600:D600,F600:O600)&gt;0),"",IF(C600="","Date manquante",IF(NOT(ISNUMBER(C600)),"Date invalide",IF(D600="","Client manquant",IF(ISNA(MATCH(D600,cli_code,0)),"Client inconnu",IF(AC600&lt;SUMPRODUCT(MAX(($AB$6:AB599=AB600)*$AC$6:AC599)),"Date antérieure à la facture précédente",IF(AND(F600&lt;&gt;"",ISNA(MATCH(F600,dv_num,0))),"Devis inconnu",IF(AND(F600&lt;&gt;"",IFERROR(INDEX(dv_client,MATCH(F600,dv_num,0)),D600)&lt;&gt;D600),"Client différent de celui du devis",IF(AG600="","Aucune ligne : saisissez des lignes ou un devis",IF(AND(AI600&lt;&gt;"",COUNTIF($AI$6:AI600,AI600)&gt;1),"Devis déjà repris par une autre facture",IF(AND(AA600="Avoir",M600=""),"Avoir : indiquez la facture d'origine",IF(AND(AA600="Avoir",ISNA(MATCH(M600,fa_num,0))),"Facture d'origine inconnue",IF(AND(AA600&lt;&gt;"Avoir",M600&lt;&gt;""),"« Avoir sur facture » : réservé aux avoirs",IF(AND(L600&lt;&gt;"",AA600&lt;&gt;"Facture"),"Acompte à déduire : réservé aux factures",IF(AND(L600&lt;&gt;"",ISNA(MATCH(L600,fa_num,0))),"Facture d'acompte inconnue",IF(AND(L600&lt;&gt;"",IFERROR(INDEX(fa_type,MATCH(L600,fa_num,0)),"")&lt;&gt;"Facture d'acompte"),"Le n° à déduire n'est pas une facture d'acompte",IF(AND(L600&lt;&gt;"",COUNTIF($L$6:L600,L600)&gt;1),"Acompte déjà déduit sur une autre facture",IF(AND(L600&lt;&gt;"",IFERROR(INDEX(fa_client,MATCH(L600,fa_num,0)),D600)&lt;&gt;D600),"Acompte d'un autre client",IF(AND(AR600&lt;&gt;"",N(Q600)&lt;0),"Acompte supérieur au total de la facture",IF(IF(AG600="Facture",COUNTIFS(fl_doc,A600,fl_check,"&lt;&gt;OK"),IF(AG600="Devis",COUNTIFS(dl_doc,F600,dl_check,"&lt;&gt;OK"),0))&gt;0,"Ligne(s) à corriger",IF(AND(W600&lt;&gt;"",N(W600)&lt;0),"Trop-perçu : vérifiez paiements et avoirs","OK")))))))))))))))))))))</f>
        <v/>
      </c>
      <c r="AA600" s="62" t="str">
        <f>IF(COUNTA(B600:D600,F600:O600)&gt;0,IF(B600="","Facture",B600),"")</f>
        <v/>
      </c>
      <c r="AB600" s="62" t="str">
        <f>IF(AA600="","",IF(AA600="Avoir",p_pav,IF(AA600="Facture d'acompte",p_pac,p_pfa)))</f>
        <v/>
      </c>
      <c r="AC600" s="62">
        <f>IF(ISNUMBER(C600),C600,0)</f>
        <v>0.0</v>
      </c>
      <c r="AD600" s="62" t="str">
        <f>IF(OR(AA600="",AC600=0),"",YEAR(AC600))</f>
        <v/>
      </c>
      <c r="AE600" s="62" t="str">
        <f>IF(AD600="","",COUNTIFS($AB$6:AB600,AB600,$AD$6:AD600,AD600))</f>
        <v/>
      </c>
      <c r="AF600" s="62">
        <f>IF(A600="",0,COUNTIF(fl_doc,A600))</f>
        <v>0.0</v>
      </c>
      <c r="AG600" s="62" t="str">
        <f>IF(A600="","",IF(AF600&gt;0,"Facture",IF(AND(F600&lt;&gt;"",AA600="Facture",ISNUMBER(MATCH(F600,dv_num,0))),"Devis","")))</f>
        <v/>
      </c>
      <c r="AH600" s="62" t="str">
        <f>IF(AND(A600&lt;&gt;"",F600&lt;&gt;"",AA600&lt;&gt;"Avoir"),F600,"")</f>
        <v/>
      </c>
      <c r="AI600" s="62" t="str">
        <f>IF(AG600="Devis",F600,"")</f>
        <v/>
      </c>
      <c r="AJ600" s="62">
        <f>IF(AG600="Facture",SUMIF(fl_doc,A600,fl_ht),IF(AG600="Devis",SUMIF(dl_doc,F600,dl_ht),0))</f>
        <v>0.0</v>
      </c>
      <c r="AK600" s="62">
        <f>IF(OR(AG600="",INDEX(p_rates,1)=""),0,IF(AG600="Facture",SUMIFS(fl_ht,fl_doc,A600,fl_rate,INDEX(p_rates,1)),SUMIFS(dl_ht,dl_doc,F600,dl_rate,INDEX(p_rates,1))))</f>
        <v>0.0</v>
      </c>
      <c r="AL600" s="62">
        <f>IF(OR(AG600="",INDEX(p_rates,2)=""),0,IF(AG600="Facture",SUMIFS(fl_ht,fl_doc,A600,fl_rate,INDEX(p_rates,2)),SUMIFS(dl_ht,dl_doc,F600,dl_rate,INDEX(p_rates,2))))</f>
        <v>0.0</v>
      </c>
      <c r="AM600" s="62">
        <f>IF(OR(AG600="",INDEX(p_rates,3)=""),0,IF(AG600="Facture",SUMIFS(fl_ht,fl_doc,A600,fl_rate,INDEX(p_rates,3)),SUMIFS(dl_ht,dl_doc,F600,dl_rate,INDEX(p_rates,3))))</f>
        <v>0.0</v>
      </c>
      <c r="AN600" s="62">
        <f>IF(OR(AG600="",INDEX(p_rates,4)=""),0,IF(AG600="Facture",SUMIFS(fl_ht,fl_doc,A600,fl_rate,INDEX(p_rates,4)),SUMIFS(dl_ht,dl_doc,F600,dl_rate,INDEX(p_rates,4))))</f>
        <v>0.0</v>
      </c>
      <c r="AO600" s="62">
        <f>IF(OR(AG600="",INDEX(p_rates,5)=""),0,IF(AG600="Facture",SUMIFS(fl_ht,fl_doc,A600,fl_rate,INDEX(p_rates,5)),SUMIFS(dl_ht,dl_doc,F600,dl_rate,INDEX(p_rates,5))))</f>
        <v>0.0</v>
      </c>
      <c r="AP600" s="62">
        <f>IF(OR(AG600="",INDEX(p_rates,6)=""),0,IF(AG600="Facture",SUMIFS(fl_ht,fl_doc,A600,fl_rate,INDEX(p_rates,6)),SUMIFS(dl_ht,dl_doc,F600,dl_rate,INDEX(p_rates,6))))</f>
        <v>0.0</v>
      </c>
      <c r="AQ600" s="62">
        <f>ROUND(AK600*N(INDEX(p_rates,1)),2)+ROUND(AL600*N(INDEX(p_rates,2)),2)+ROUND(AM600*N(INDEX(p_rates,3)),2)+ROUND(AN600*N(INDEX(p_rates,4)),2)+ROUND(AO600*N(INDEX(p_rates,5)),2)+ROUND(AP600*N(INDEX(p_rates,6)),2)</f>
        <v>0.0</v>
      </c>
      <c r="AR600" s="62" t="str">
        <f>IF(OR(L600="",AA600&lt;&gt;"Facture"),"",IFERROR(IF(INDEX(fa_type,MATCH(L600,fa_num,0))="Facture d'acompte",MATCH(L600,fa_num,0),""),""))</f>
        <v/>
      </c>
      <c r="AS600" s="62" t="str">
        <f>IF(W600="","",IF(W600&lt;=0,"",IF(p_asof-P600&lt;=0,"Non échu",IF(p_asof-P600&lt;=30,"1-30 j",IF(p_asof-P600&lt;=60,"31-60 j",IF(p_asof-P600&lt;=90,"61-90 j","Plus de 90 j"))))))</f>
        <v/>
      </c>
      <c r="AT600" s="62" t="str">
        <f>IF(AS600="","",p_asof-P600)</f>
        <v/>
      </c>
      <c r="AU600" s="62" t="str">
        <f>IF(AT600="","",COUNTIF($AT$6:$AT$805,"&gt;"&amp;AT600)+COUNTIF($AT$6:AT600,AT600))</f>
        <v/>
      </c>
    </row>
    <row r="601">
      <c r="A601" s="59" t="str">
        <f>IF(AE601="","",AB601&amp;"-"&amp;AD601&amp;"-"&amp;RIGHT("000"&amp;AE601,4))</f>
        <v/>
      </c>
      <c r="B601" s="60" t="n"/>
      <c r="C601" s="61" t="n"/>
      <c r="D601" s="60" t="n"/>
      <c r="E601" s="62" t="str">
        <f>IF(D601="","",IFERROR(INDEX(cli_name,MATCH(D601,cli_code,0))&amp;"","Client inconnu"))</f>
        <v/>
      </c>
      <c r="F601" s="60" t="n"/>
      <c r="G601" s="63" t="n"/>
      <c r="H601" s="61" t="n"/>
      <c r="I601" s="63" t="n"/>
      <c r="J601" s="60" t="n"/>
      <c r="K601" s="61" t="n"/>
      <c r="L601" s="60" t="n"/>
      <c r="M601" s="60" t="n"/>
      <c r="N601" s="60" t="n"/>
      <c r="O601" s="61" t="n"/>
      <c r="P601" s="64" t="str">
        <f>IF(A601="","",IF(AA601="Avoir",AC601,IF(ISNUMBER(K601),K601,AC601+IF(D601="",N(p_delay),IFERROR(IF(ISNUMBER(INDEX(cli_delay,MATCH(D601,cli_code,0))),INDEX(cli_delay,MATCH(D601,cli_code,0)),N(p_delay)),N(p_delay))))))</f>
        <v/>
      </c>
      <c r="Q601" s="65" t="str">
        <f>IF(A601="","",IF(AA601="Avoir",-1,1)*ROUND(AJ601-IF(AR601="",0,INDEX(fa_htb,AR601)),2))</f>
        <v/>
      </c>
      <c r="R601" s="65" t="str">
        <f>IF(A601="","",IF(AA601="Avoir",-1,1)*ROUND(AQ601-IF(AR601="",0,INDEX(fa_tvab,AR601)),2))</f>
        <v/>
      </c>
      <c r="S601" s="65" t="str">
        <f>IF(A601="","",Q601+R601)</f>
        <v/>
      </c>
      <c r="T601" s="65" t="str">
        <f>IF(AR601="","",INDEX(fa_htb,AR601)+INDEX(fa_tvab,AR601))</f>
        <v/>
      </c>
      <c r="U601" s="65" t="str">
        <f>IF(A601="","",SUMIF(pa_inv,A601,pa_amt))</f>
        <v/>
      </c>
      <c r="V601" s="65" t="str">
        <f>IF(OR(A601="",AA601="Avoir"),"",-SUMIFS(fa_ttc,fa_avof,A601,fa_type,"Avoir"))</f>
        <v/>
      </c>
      <c r="W601" s="65" t="str">
        <f>IF(OR(A601="",AA601="Avoir"),"",ROUND(S601-U601-V601,2))</f>
        <v/>
      </c>
      <c r="X601" s="66" t="str">
        <f>IF(W601="","",IF(AND(W601&gt;0,p_asof&gt;P601),p_asof-P601,""))</f>
        <v/>
      </c>
      <c r="Y601" s="59" t="str">
        <f>IF(A601="","",IF(AA601="Avoir","Avoir",IF(W601&lt;0,"Trop-perçu",IF(W601=0,"Soldée",IF(p_asof&gt;P601,"En retard",IF(U601+V601&gt;0,"Partielle","À échoir"))))))</f>
        <v/>
      </c>
      <c r="Z601" s="59" t="str">
        <f>IF(NOT(COUNTA(B601:D601,F601:O601)&gt;0),"",IF(C601="","Date manquante",IF(NOT(ISNUMBER(C601)),"Date invalide",IF(D601="","Client manquant",IF(ISNA(MATCH(D601,cli_code,0)),"Client inconnu",IF(AC601&lt;SUMPRODUCT(MAX(($AB$6:AB600=AB601)*$AC$6:AC600)),"Date antérieure à la facture précédente",IF(AND(F601&lt;&gt;"",ISNA(MATCH(F601,dv_num,0))),"Devis inconnu",IF(AND(F601&lt;&gt;"",IFERROR(INDEX(dv_client,MATCH(F601,dv_num,0)),D601)&lt;&gt;D601),"Client différent de celui du devis",IF(AG601="","Aucune ligne : saisissez des lignes ou un devis",IF(AND(AI601&lt;&gt;"",COUNTIF($AI$6:AI601,AI601)&gt;1),"Devis déjà repris par une autre facture",IF(AND(AA601="Avoir",M601=""),"Avoir : indiquez la facture d'origine",IF(AND(AA601="Avoir",ISNA(MATCH(M601,fa_num,0))),"Facture d'origine inconnue",IF(AND(AA601&lt;&gt;"Avoir",M601&lt;&gt;""),"« Avoir sur facture » : réservé aux avoirs",IF(AND(L601&lt;&gt;"",AA601&lt;&gt;"Facture"),"Acompte à déduire : réservé aux factures",IF(AND(L601&lt;&gt;"",ISNA(MATCH(L601,fa_num,0))),"Facture d'acompte inconnue",IF(AND(L601&lt;&gt;"",IFERROR(INDEX(fa_type,MATCH(L601,fa_num,0)),"")&lt;&gt;"Facture d'acompte"),"Le n° à déduire n'est pas une facture d'acompte",IF(AND(L601&lt;&gt;"",COUNTIF($L$6:L601,L601)&gt;1),"Acompte déjà déduit sur une autre facture",IF(AND(L601&lt;&gt;"",IFERROR(INDEX(fa_client,MATCH(L601,fa_num,0)),D601)&lt;&gt;D601),"Acompte d'un autre client",IF(AND(AR601&lt;&gt;"",N(Q601)&lt;0),"Acompte supérieur au total de la facture",IF(IF(AG601="Facture",COUNTIFS(fl_doc,A601,fl_check,"&lt;&gt;OK"),IF(AG601="Devis",COUNTIFS(dl_doc,F601,dl_check,"&lt;&gt;OK"),0))&gt;0,"Ligne(s) à corriger",IF(AND(W601&lt;&gt;"",N(W601)&lt;0),"Trop-perçu : vérifiez paiements et avoirs","OK")))))))))))))))))))))</f>
        <v/>
      </c>
      <c r="AA601" s="62" t="str">
        <f>IF(COUNTA(B601:D601,F601:O601)&gt;0,IF(B601="","Facture",B601),"")</f>
        <v/>
      </c>
      <c r="AB601" s="62" t="str">
        <f>IF(AA601="","",IF(AA601="Avoir",p_pav,IF(AA601="Facture d'acompte",p_pac,p_pfa)))</f>
        <v/>
      </c>
      <c r="AC601" s="62">
        <f>IF(ISNUMBER(C601),C601,0)</f>
        <v>0.0</v>
      </c>
      <c r="AD601" s="62" t="str">
        <f>IF(OR(AA601="",AC601=0),"",YEAR(AC601))</f>
        <v/>
      </c>
      <c r="AE601" s="62" t="str">
        <f>IF(AD601="","",COUNTIFS($AB$6:AB601,AB601,$AD$6:AD601,AD601))</f>
        <v/>
      </c>
      <c r="AF601" s="62">
        <f>IF(A601="",0,COUNTIF(fl_doc,A601))</f>
        <v>0.0</v>
      </c>
      <c r="AG601" s="62" t="str">
        <f>IF(A601="","",IF(AF601&gt;0,"Facture",IF(AND(F601&lt;&gt;"",AA601="Facture",ISNUMBER(MATCH(F601,dv_num,0))),"Devis","")))</f>
        <v/>
      </c>
      <c r="AH601" s="62" t="str">
        <f>IF(AND(A601&lt;&gt;"",F601&lt;&gt;"",AA601&lt;&gt;"Avoir"),F601,"")</f>
        <v/>
      </c>
      <c r="AI601" s="62" t="str">
        <f>IF(AG601="Devis",F601,"")</f>
        <v/>
      </c>
      <c r="AJ601" s="62">
        <f>IF(AG601="Facture",SUMIF(fl_doc,A601,fl_ht),IF(AG601="Devis",SUMIF(dl_doc,F601,dl_ht),0))</f>
        <v>0.0</v>
      </c>
      <c r="AK601" s="62">
        <f>IF(OR(AG601="",INDEX(p_rates,1)=""),0,IF(AG601="Facture",SUMIFS(fl_ht,fl_doc,A601,fl_rate,INDEX(p_rates,1)),SUMIFS(dl_ht,dl_doc,F601,dl_rate,INDEX(p_rates,1))))</f>
        <v>0.0</v>
      </c>
      <c r="AL601" s="62">
        <f>IF(OR(AG601="",INDEX(p_rates,2)=""),0,IF(AG601="Facture",SUMIFS(fl_ht,fl_doc,A601,fl_rate,INDEX(p_rates,2)),SUMIFS(dl_ht,dl_doc,F601,dl_rate,INDEX(p_rates,2))))</f>
        <v>0.0</v>
      </c>
      <c r="AM601" s="62">
        <f>IF(OR(AG601="",INDEX(p_rates,3)=""),0,IF(AG601="Facture",SUMIFS(fl_ht,fl_doc,A601,fl_rate,INDEX(p_rates,3)),SUMIFS(dl_ht,dl_doc,F601,dl_rate,INDEX(p_rates,3))))</f>
        <v>0.0</v>
      </c>
      <c r="AN601" s="62">
        <f>IF(OR(AG601="",INDEX(p_rates,4)=""),0,IF(AG601="Facture",SUMIFS(fl_ht,fl_doc,A601,fl_rate,INDEX(p_rates,4)),SUMIFS(dl_ht,dl_doc,F601,dl_rate,INDEX(p_rates,4))))</f>
        <v>0.0</v>
      </c>
      <c r="AO601" s="62">
        <f>IF(OR(AG601="",INDEX(p_rates,5)=""),0,IF(AG601="Facture",SUMIFS(fl_ht,fl_doc,A601,fl_rate,INDEX(p_rates,5)),SUMIFS(dl_ht,dl_doc,F601,dl_rate,INDEX(p_rates,5))))</f>
        <v>0.0</v>
      </c>
      <c r="AP601" s="62">
        <f>IF(OR(AG601="",INDEX(p_rates,6)=""),0,IF(AG601="Facture",SUMIFS(fl_ht,fl_doc,A601,fl_rate,INDEX(p_rates,6)),SUMIFS(dl_ht,dl_doc,F601,dl_rate,INDEX(p_rates,6))))</f>
        <v>0.0</v>
      </c>
      <c r="AQ601" s="62">
        <f>ROUND(AK601*N(INDEX(p_rates,1)),2)+ROUND(AL601*N(INDEX(p_rates,2)),2)+ROUND(AM601*N(INDEX(p_rates,3)),2)+ROUND(AN601*N(INDEX(p_rates,4)),2)+ROUND(AO601*N(INDEX(p_rates,5)),2)+ROUND(AP601*N(INDEX(p_rates,6)),2)</f>
        <v>0.0</v>
      </c>
      <c r="AR601" s="62" t="str">
        <f>IF(OR(L601="",AA601&lt;&gt;"Facture"),"",IFERROR(IF(INDEX(fa_type,MATCH(L601,fa_num,0))="Facture d'acompte",MATCH(L601,fa_num,0),""),""))</f>
        <v/>
      </c>
      <c r="AS601" s="62" t="str">
        <f>IF(W601="","",IF(W601&lt;=0,"",IF(p_asof-P601&lt;=0,"Non échu",IF(p_asof-P601&lt;=30,"1-30 j",IF(p_asof-P601&lt;=60,"31-60 j",IF(p_asof-P601&lt;=90,"61-90 j","Plus de 90 j"))))))</f>
        <v/>
      </c>
      <c r="AT601" s="62" t="str">
        <f>IF(AS601="","",p_asof-P601)</f>
        <v/>
      </c>
      <c r="AU601" s="62" t="str">
        <f>IF(AT601="","",COUNTIF($AT$6:$AT$805,"&gt;"&amp;AT601)+COUNTIF($AT$6:AT601,AT601))</f>
        <v/>
      </c>
    </row>
    <row r="602">
      <c r="A602" s="59" t="str">
        <f>IF(AE602="","",AB602&amp;"-"&amp;AD602&amp;"-"&amp;RIGHT("000"&amp;AE602,4))</f>
        <v/>
      </c>
      <c r="B602" s="60" t="n"/>
      <c r="C602" s="61" t="n"/>
      <c r="D602" s="60" t="n"/>
      <c r="E602" s="62" t="str">
        <f>IF(D602="","",IFERROR(INDEX(cli_name,MATCH(D602,cli_code,0))&amp;"","Client inconnu"))</f>
        <v/>
      </c>
      <c r="F602" s="60" t="n"/>
      <c r="G602" s="63" t="n"/>
      <c r="H602" s="61" t="n"/>
      <c r="I602" s="63" t="n"/>
      <c r="J602" s="60" t="n"/>
      <c r="K602" s="61" t="n"/>
      <c r="L602" s="60" t="n"/>
      <c r="M602" s="60" t="n"/>
      <c r="N602" s="60" t="n"/>
      <c r="O602" s="61" t="n"/>
      <c r="P602" s="64" t="str">
        <f>IF(A602="","",IF(AA602="Avoir",AC602,IF(ISNUMBER(K602),K602,AC602+IF(D602="",N(p_delay),IFERROR(IF(ISNUMBER(INDEX(cli_delay,MATCH(D602,cli_code,0))),INDEX(cli_delay,MATCH(D602,cli_code,0)),N(p_delay)),N(p_delay))))))</f>
        <v/>
      </c>
      <c r="Q602" s="65" t="str">
        <f>IF(A602="","",IF(AA602="Avoir",-1,1)*ROUND(AJ602-IF(AR602="",0,INDEX(fa_htb,AR602)),2))</f>
        <v/>
      </c>
      <c r="R602" s="65" t="str">
        <f>IF(A602="","",IF(AA602="Avoir",-1,1)*ROUND(AQ602-IF(AR602="",0,INDEX(fa_tvab,AR602)),2))</f>
        <v/>
      </c>
      <c r="S602" s="65" t="str">
        <f>IF(A602="","",Q602+R602)</f>
        <v/>
      </c>
      <c r="T602" s="65" t="str">
        <f>IF(AR602="","",INDEX(fa_htb,AR602)+INDEX(fa_tvab,AR602))</f>
        <v/>
      </c>
      <c r="U602" s="65" t="str">
        <f>IF(A602="","",SUMIF(pa_inv,A602,pa_amt))</f>
        <v/>
      </c>
      <c r="V602" s="65" t="str">
        <f>IF(OR(A602="",AA602="Avoir"),"",-SUMIFS(fa_ttc,fa_avof,A602,fa_type,"Avoir"))</f>
        <v/>
      </c>
      <c r="W602" s="65" t="str">
        <f>IF(OR(A602="",AA602="Avoir"),"",ROUND(S602-U602-V602,2))</f>
        <v/>
      </c>
      <c r="X602" s="66" t="str">
        <f>IF(W602="","",IF(AND(W602&gt;0,p_asof&gt;P602),p_asof-P602,""))</f>
        <v/>
      </c>
      <c r="Y602" s="59" t="str">
        <f>IF(A602="","",IF(AA602="Avoir","Avoir",IF(W602&lt;0,"Trop-perçu",IF(W602=0,"Soldée",IF(p_asof&gt;P602,"En retard",IF(U602+V602&gt;0,"Partielle","À échoir"))))))</f>
        <v/>
      </c>
      <c r="Z602" s="59" t="str">
        <f>IF(NOT(COUNTA(B602:D602,F602:O602)&gt;0),"",IF(C602="","Date manquante",IF(NOT(ISNUMBER(C602)),"Date invalide",IF(D602="","Client manquant",IF(ISNA(MATCH(D602,cli_code,0)),"Client inconnu",IF(AC602&lt;SUMPRODUCT(MAX(($AB$6:AB601=AB602)*$AC$6:AC601)),"Date antérieure à la facture précédente",IF(AND(F602&lt;&gt;"",ISNA(MATCH(F602,dv_num,0))),"Devis inconnu",IF(AND(F602&lt;&gt;"",IFERROR(INDEX(dv_client,MATCH(F602,dv_num,0)),D602)&lt;&gt;D602),"Client différent de celui du devis",IF(AG602="","Aucune ligne : saisissez des lignes ou un devis",IF(AND(AI602&lt;&gt;"",COUNTIF($AI$6:AI602,AI602)&gt;1),"Devis déjà repris par une autre facture",IF(AND(AA602="Avoir",M602=""),"Avoir : indiquez la facture d'origine",IF(AND(AA602="Avoir",ISNA(MATCH(M602,fa_num,0))),"Facture d'origine inconnue",IF(AND(AA602&lt;&gt;"Avoir",M602&lt;&gt;""),"« Avoir sur facture » : réservé aux avoirs",IF(AND(L602&lt;&gt;"",AA602&lt;&gt;"Facture"),"Acompte à déduire : réservé aux factures",IF(AND(L602&lt;&gt;"",ISNA(MATCH(L602,fa_num,0))),"Facture d'acompte inconnue",IF(AND(L602&lt;&gt;"",IFERROR(INDEX(fa_type,MATCH(L602,fa_num,0)),"")&lt;&gt;"Facture d'acompte"),"Le n° à déduire n'est pas une facture d'acompte",IF(AND(L602&lt;&gt;"",COUNTIF($L$6:L602,L602)&gt;1),"Acompte déjà déduit sur une autre facture",IF(AND(L602&lt;&gt;"",IFERROR(INDEX(fa_client,MATCH(L602,fa_num,0)),D602)&lt;&gt;D602),"Acompte d'un autre client",IF(AND(AR602&lt;&gt;"",N(Q602)&lt;0),"Acompte supérieur au total de la facture",IF(IF(AG602="Facture",COUNTIFS(fl_doc,A602,fl_check,"&lt;&gt;OK"),IF(AG602="Devis",COUNTIFS(dl_doc,F602,dl_check,"&lt;&gt;OK"),0))&gt;0,"Ligne(s) à corriger",IF(AND(W602&lt;&gt;"",N(W602)&lt;0),"Trop-perçu : vérifiez paiements et avoirs","OK")))))))))))))))))))))</f>
        <v/>
      </c>
      <c r="AA602" s="62" t="str">
        <f>IF(COUNTA(B602:D602,F602:O602)&gt;0,IF(B602="","Facture",B602),"")</f>
        <v/>
      </c>
      <c r="AB602" s="62" t="str">
        <f>IF(AA602="","",IF(AA602="Avoir",p_pav,IF(AA602="Facture d'acompte",p_pac,p_pfa)))</f>
        <v/>
      </c>
      <c r="AC602" s="62">
        <f>IF(ISNUMBER(C602),C602,0)</f>
        <v>0.0</v>
      </c>
      <c r="AD602" s="62" t="str">
        <f>IF(OR(AA602="",AC602=0),"",YEAR(AC602))</f>
        <v/>
      </c>
      <c r="AE602" s="62" t="str">
        <f>IF(AD602="","",COUNTIFS($AB$6:AB602,AB602,$AD$6:AD602,AD602))</f>
        <v/>
      </c>
      <c r="AF602" s="62">
        <f>IF(A602="",0,COUNTIF(fl_doc,A602))</f>
        <v>0.0</v>
      </c>
      <c r="AG602" s="62" t="str">
        <f>IF(A602="","",IF(AF602&gt;0,"Facture",IF(AND(F602&lt;&gt;"",AA602="Facture",ISNUMBER(MATCH(F602,dv_num,0))),"Devis","")))</f>
        <v/>
      </c>
      <c r="AH602" s="62" t="str">
        <f>IF(AND(A602&lt;&gt;"",F602&lt;&gt;"",AA602&lt;&gt;"Avoir"),F602,"")</f>
        <v/>
      </c>
      <c r="AI602" s="62" t="str">
        <f>IF(AG602="Devis",F602,"")</f>
        <v/>
      </c>
      <c r="AJ602" s="62">
        <f>IF(AG602="Facture",SUMIF(fl_doc,A602,fl_ht),IF(AG602="Devis",SUMIF(dl_doc,F602,dl_ht),0))</f>
        <v>0.0</v>
      </c>
      <c r="AK602" s="62">
        <f>IF(OR(AG602="",INDEX(p_rates,1)=""),0,IF(AG602="Facture",SUMIFS(fl_ht,fl_doc,A602,fl_rate,INDEX(p_rates,1)),SUMIFS(dl_ht,dl_doc,F602,dl_rate,INDEX(p_rates,1))))</f>
        <v>0.0</v>
      </c>
      <c r="AL602" s="62">
        <f>IF(OR(AG602="",INDEX(p_rates,2)=""),0,IF(AG602="Facture",SUMIFS(fl_ht,fl_doc,A602,fl_rate,INDEX(p_rates,2)),SUMIFS(dl_ht,dl_doc,F602,dl_rate,INDEX(p_rates,2))))</f>
        <v>0.0</v>
      </c>
      <c r="AM602" s="62">
        <f>IF(OR(AG602="",INDEX(p_rates,3)=""),0,IF(AG602="Facture",SUMIFS(fl_ht,fl_doc,A602,fl_rate,INDEX(p_rates,3)),SUMIFS(dl_ht,dl_doc,F602,dl_rate,INDEX(p_rates,3))))</f>
        <v>0.0</v>
      </c>
      <c r="AN602" s="62">
        <f>IF(OR(AG602="",INDEX(p_rates,4)=""),0,IF(AG602="Facture",SUMIFS(fl_ht,fl_doc,A602,fl_rate,INDEX(p_rates,4)),SUMIFS(dl_ht,dl_doc,F602,dl_rate,INDEX(p_rates,4))))</f>
        <v>0.0</v>
      </c>
      <c r="AO602" s="62">
        <f>IF(OR(AG602="",INDEX(p_rates,5)=""),0,IF(AG602="Facture",SUMIFS(fl_ht,fl_doc,A602,fl_rate,INDEX(p_rates,5)),SUMIFS(dl_ht,dl_doc,F602,dl_rate,INDEX(p_rates,5))))</f>
        <v>0.0</v>
      </c>
      <c r="AP602" s="62">
        <f>IF(OR(AG602="",INDEX(p_rates,6)=""),0,IF(AG602="Facture",SUMIFS(fl_ht,fl_doc,A602,fl_rate,INDEX(p_rates,6)),SUMIFS(dl_ht,dl_doc,F602,dl_rate,INDEX(p_rates,6))))</f>
        <v>0.0</v>
      </c>
      <c r="AQ602" s="62">
        <f>ROUND(AK602*N(INDEX(p_rates,1)),2)+ROUND(AL602*N(INDEX(p_rates,2)),2)+ROUND(AM602*N(INDEX(p_rates,3)),2)+ROUND(AN602*N(INDEX(p_rates,4)),2)+ROUND(AO602*N(INDEX(p_rates,5)),2)+ROUND(AP602*N(INDEX(p_rates,6)),2)</f>
        <v>0.0</v>
      </c>
      <c r="AR602" s="62" t="str">
        <f>IF(OR(L602="",AA602&lt;&gt;"Facture"),"",IFERROR(IF(INDEX(fa_type,MATCH(L602,fa_num,0))="Facture d'acompte",MATCH(L602,fa_num,0),""),""))</f>
        <v/>
      </c>
      <c r="AS602" s="62" t="str">
        <f>IF(W602="","",IF(W602&lt;=0,"",IF(p_asof-P602&lt;=0,"Non échu",IF(p_asof-P602&lt;=30,"1-30 j",IF(p_asof-P602&lt;=60,"31-60 j",IF(p_asof-P602&lt;=90,"61-90 j","Plus de 90 j"))))))</f>
        <v/>
      </c>
      <c r="AT602" s="62" t="str">
        <f>IF(AS602="","",p_asof-P602)</f>
        <v/>
      </c>
      <c r="AU602" s="62" t="str">
        <f>IF(AT602="","",COUNTIF($AT$6:$AT$805,"&gt;"&amp;AT602)+COUNTIF($AT$6:AT602,AT602))</f>
        <v/>
      </c>
    </row>
    <row r="603">
      <c r="A603" s="59" t="str">
        <f>IF(AE603="","",AB603&amp;"-"&amp;AD603&amp;"-"&amp;RIGHT("000"&amp;AE603,4))</f>
        <v/>
      </c>
      <c r="B603" s="60" t="n"/>
      <c r="C603" s="61" t="n"/>
      <c r="D603" s="60" t="n"/>
      <c r="E603" s="62" t="str">
        <f>IF(D603="","",IFERROR(INDEX(cli_name,MATCH(D603,cli_code,0))&amp;"","Client inconnu"))</f>
        <v/>
      </c>
      <c r="F603" s="60" t="n"/>
      <c r="G603" s="63" t="n"/>
      <c r="H603" s="61" t="n"/>
      <c r="I603" s="63" t="n"/>
      <c r="J603" s="60" t="n"/>
      <c r="K603" s="61" t="n"/>
      <c r="L603" s="60" t="n"/>
      <c r="M603" s="60" t="n"/>
      <c r="N603" s="60" t="n"/>
      <c r="O603" s="61" t="n"/>
      <c r="P603" s="64" t="str">
        <f>IF(A603="","",IF(AA603="Avoir",AC603,IF(ISNUMBER(K603),K603,AC603+IF(D603="",N(p_delay),IFERROR(IF(ISNUMBER(INDEX(cli_delay,MATCH(D603,cli_code,0))),INDEX(cli_delay,MATCH(D603,cli_code,0)),N(p_delay)),N(p_delay))))))</f>
        <v/>
      </c>
      <c r="Q603" s="65" t="str">
        <f>IF(A603="","",IF(AA603="Avoir",-1,1)*ROUND(AJ603-IF(AR603="",0,INDEX(fa_htb,AR603)),2))</f>
        <v/>
      </c>
      <c r="R603" s="65" t="str">
        <f>IF(A603="","",IF(AA603="Avoir",-1,1)*ROUND(AQ603-IF(AR603="",0,INDEX(fa_tvab,AR603)),2))</f>
        <v/>
      </c>
      <c r="S603" s="65" t="str">
        <f>IF(A603="","",Q603+R603)</f>
        <v/>
      </c>
      <c r="T603" s="65" t="str">
        <f>IF(AR603="","",INDEX(fa_htb,AR603)+INDEX(fa_tvab,AR603))</f>
        <v/>
      </c>
      <c r="U603" s="65" t="str">
        <f>IF(A603="","",SUMIF(pa_inv,A603,pa_amt))</f>
        <v/>
      </c>
      <c r="V603" s="65" t="str">
        <f>IF(OR(A603="",AA603="Avoir"),"",-SUMIFS(fa_ttc,fa_avof,A603,fa_type,"Avoir"))</f>
        <v/>
      </c>
      <c r="W603" s="65" t="str">
        <f>IF(OR(A603="",AA603="Avoir"),"",ROUND(S603-U603-V603,2))</f>
        <v/>
      </c>
      <c r="X603" s="66" t="str">
        <f>IF(W603="","",IF(AND(W603&gt;0,p_asof&gt;P603),p_asof-P603,""))</f>
        <v/>
      </c>
      <c r="Y603" s="59" t="str">
        <f>IF(A603="","",IF(AA603="Avoir","Avoir",IF(W603&lt;0,"Trop-perçu",IF(W603=0,"Soldée",IF(p_asof&gt;P603,"En retard",IF(U603+V603&gt;0,"Partielle","À échoir"))))))</f>
        <v/>
      </c>
      <c r="Z603" s="59" t="str">
        <f>IF(NOT(COUNTA(B603:D603,F603:O603)&gt;0),"",IF(C603="","Date manquante",IF(NOT(ISNUMBER(C603)),"Date invalide",IF(D603="","Client manquant",IF(ISNA(MATCH(D603,cli_code,0)),"Client inconnu",IF(AC603&lt;SUMPRODUCT(MAX(($AB$6:AB602=AB603)*$AC$6:AC602)),"Date antérieure à la facture précédente",IF(AND(F603&lt;&gt;"",ISNA(MATCH(F603,dv_num,0))),"Devis inconnu",IF(AND(F603&lt;&gt;"",IFERROR(INDEX(dv_client,MATCH(F603,dv_num,0)),D603)&lt;&gt;D603),"Client différent de celui du devis",IF(AG603="","Aucune ligne : saisissez des lignes ou un devis",IF(AND(AI603&lt;&gt;"",COUNTIF($AI$6:AI603,AI603)&gt;1),"Devis déjà repris par une autre facture",IF(AND(AA603="Avoir",M603=""),"Avoir : indiquez la facture d'origine",IF(AND(AA603="Avoir",ISNA(MATCH(M603,fa_num,0))),"Facture d'origine inconnue",IF(AND(AA603&lt;&gt;"Avoir",M603&lt;&gt;""),"« Avoir sur facture » : réservé aux avoirs",IF(AND(L603&lt;&gt;"",AA603&lt;&gt;"Facture"),"Acompte à déduire : réservé aux factures",IF(AND(L603&lt;&gt;"",ISNA(MATCH(L603,fa_num,0))),"Facture d'acompte inconnue",IF(AND(L603&lt;&gt;"",IFERROR(INDEX(fa_type,MATCH(L603,fa_num,0)),"")&lt;&gt;"Facture d'acompte"),"Le n° à déduire n'est pas une facture d'acompte",IF(AND(L603&lt;&gt;"",COUNTIF($L$6:L603,L603)&gt;1),"Acompte déjà déduit sur une autre facture",IF(AND(L603&lt;&gt;"",IFERROR(INDEX(fa_client,MATCH(L603,fa_num,0)),D603)&lt;&gt;D603),"Acompte d'un autre client",IF(AND(AR603&lt;&gt;"",N(Q603)&lt;0),"Acompte supérieur au total de la facture",IF(IF(AG603="Facture",COUNTIFS(fl_doc,A603,fl_check,"&lt;&gt;OK"),IF(AG603="Devis",COUNTIFS(dl_doc,F603,dl_check,"&lt;&gt;OK"),0))&gt;0,"Ligne(s) à corriger",IF(AND(W603&lt;&gt;"",N(W603)&lt;0),"Trop-perçu : vérifiez paiements et avoirs","OK")))))))))))))))))))))</f>
        <v/>
      </c>
      <c r="AA603" s="62" t="str">
        <f>IF(COUNTA(B603:D603,F603:O603)&gt;0,IF(B603="","Facture",B603),"")</f>
        <v/>
      </c>
      <c r="AB603" s="62" t="str">
        <f>IF(AA603="","",IF(AA603="Avoir",p_pav,IF(AA603="Facture d'acompte",p_pac,p_pfa)))</f>
        <v/>
      </c>
      <c r="AC603" s="62">
        <f>IF(ISNUMBER(C603),C603,0)</f>
        <v>0.0</v>
      </c>
      <c r="AD603" s="62" t="str">
        <f>IF(OR(AA603="",AC603=0),"",YEAR(AC603))</f>
        <v/>
      </c>
      <c r="AE603" s="62" t="str">
        <f>IF(AD603="","",COUNTIFS($AB$6:AB603,AB603,$AD$6:AD603,AD603))</f>
        <v/>
      </c>
      <c r="AF603" s="62">
        <f>IF(A603="",0,COUNTIF(fl_doc,A603))</f>
        <v>0.0</v>
      </c>
      <c r="AG603" s="62" t="str">
        <f>IF(A603="","",IF(AF603&gt;0,"Facture",IF(AND(F603&lt;&gt;"",AA603="Facture",ISNUMBER(MATCH(F603,dv_num,0))),"Devis","")))</f>
        <v/>
      </c>
      <c r="AH603" s="62" t="str">
        <f>IF(AND(A603&lt;&gt;"",F603&lt;&gt;"",AA603&lt;&gt;"Avoir"),F603,"")</f>
        <v/>
      </c>
      <c r="AI603" s="62" t="str">
        <f>IF(AG603="Devis",F603,"")</f>
        <v/>
      </c>
      <c r="AJ603" s="62">
        <f>IF(AG603="Facture",SUMIF(fl_doc,A603,fl_ht),IF(AG603="Devis",SUMIF(dl_doc,F603,dl_ht),0))</f>
        <v>0.0</v>
      </c>
      <c r="AK603" s="62">
        <f>IF(OR(AG603="",INDEX(p_rates,1)=""),0,IF(AG603="Facture",SUMIFS(fl_ht,fl_doc,A603,fl_rate,INDEX(p_rates,1)),SUMIFS(dl_ht,dl_doc,F603,dl_rate,INDEX(p_rates,1))))</f>
        <v>0.0</v>
      </c>
      <c r="AL603" s="62">
        <f>IF(OR(AG603="",INDEX(p_rates,2)=""),0,IF(AG603="Facture",SUMIFS(fl_ht,fl_doc,A603,fl_rate,INDEX(p_rates,2)),SUMIFS(dl_ht,dl_doc,F603,dl_rate,INDEX(p_rates,2))))</f>
        <v>0.0</v>
      </c>
      <c r="AM603" s="62">
        <f>IF(OR(AG603="",INDEX(p_rates,3)=""),0,IF(AG603="Facture",SUMIFS(fl_ht,fl_doc,A603,fl_rate,INDEX(p_rates,3)),SUMIFS(dl_ht,dl_doc,F603,dl_rate,INDEX(p_rates,3))))</f>
        <v>0.0</v>
      </c>
      <c r="AN603" s="62">
        <f>IF(OR(AG603="",INDEX(p_rates,4)=""),0,IF(AG603="Facture",SUMIFS(fl_ht,fl_doc,A603,fl_rate,INDEX(p_rates,4)),SUMIFS(dl_ht,dl_doc,F603,dl_rate,INDEX(p_rates,4))))</f>
        <v>0.0</v>
      </c>
      <c r="AO603" s="62">
        <f>IF(OR(AG603="",INDEX(p_rates,5)=""),0,IF(AG603="Facture",SUMIFS(fl_ht,fl_doc,A603,fl_rate,INDEX(p_rates,5)),SUMIFS(dl_ht,dl_doc,F603,dl_rate,INDEX(p_rates,5))))</f>
        <v>0.0</v>
      </c>
      <c r="AP603" s="62">
        <f>IF(OR(AG603="",INDEX(p_rates,6)=""),0,IF(AG603="Facture",SUMIFS(fl_ht,fl_doc,A603,fl_rate,INDEX(p_rates,6)),SUMIFS(dl_ht,dl_doc,F603,dl_rate,INDEX(p_rates,6))))</f>
        <v>0.0</v>
      </c>
      <c r="AQ603" s="62">
        <f>ROUND(AK603*N(INDEX(p_rates,1)),2)+ROUND(AL603*N(INDEX(p_rates,2)),2)+ROUND(AM603*N(INDEX(p_rates,3)),2)+ROUND(AN603*N(INDEX(p_rates,4)),2)+ROUND(AO603*N(INDEX(p_rates,5)),2)+ROUND(AP603*N(INDEX(p_rates,6)),2)</f>
        <v>0.0</v>
      </c>
      <c r="AR603" s="62" t="str">
        <f>IF(OR(L603="",AA603&lt;&gt;"Facture"),"",IFERROR(IF(INDEX(fa_type,MATCH(L603,fa_num,0))="Facture d'acompte",MATCH(L603,fa_num,0),""),""))</f>
        <v/>
      </c>
      <c r="AS603" s="62" t="str">
        <f>IF(W603="","",IF(W603&lt;=0,"",IF(p_asof-P603&lt;=0,"Non échu",IF(p_asof-P603&lt;=30,"1-30 j",IF(p_asof-P603&lt;=60,"31-60 j",IF(p_asof-P603&lt;=90,"61-90 j","Plus de 90 j"))))))</f>
        <v/>
      </c>
      <c r="AT603" s="62" t="str">
        <f>IF(AS603="","",p_asof-P603)</f>
        <v/>
      </c>
      <c r="AU603" s="62" t="str">
        <f>IF(AT603="","",COUNTIF($AT$6:$AT$805,"&gt;"&amp;AT603)+COUNTIF($AT$6:AT603,AT603))</f>
        <v/>
      </c>
    </row>
    <row r="604">
      <c r="A604" s="59" t="str">
        <f>IF(AE604="","",AB604&amp;"-"&amp;AD604&amp;"-"&amp;RIGHT("000"&amp;AE604,4))</f>
        <v/>
      </c>
      <c r="B604" s="60" t="n"/>
      <c r="C604" s="61" t="n"/>
      <c r="D604" s="60" t="n"/>
      <c r="E604" s="62" t="str">
        <f>IF(D604="","",IFERROR(INDEX(cli_name,MATCH(D604,cli_code,0))&amp;"","Client inconnu"))</f>
        <v/>
      </c>
      <c r="F604" s="60" t="n"/>
      <c r="G604" s="63" t="n"/>
      <c r="H604" s="61" t="n"/>
      <c r="I604" s="63" t="n"/>
      <c r="J604" s="60" t="n"/>
      <c r="K604" s="61" t="n"/>
      <c r="L604" s="60" t="n"/>
      <c r="M604" s="60" t="n"/>
      <c r="N604" s="60" t="n"/>
      <c r="O604" s="61" t="n"/>
      <c r="P604" s="64" t="str">
        <f>IF(A604="","",IF(AA604="Avoir",AC604,IF(ISNUMBER(K604),K604,AC604+IF(D604="",N(p_delay),IFERROR(IF(ISNUMBER(INDEX(cli_delay,MATCH(D604,cli_code,0))),INDEX(cli_delay,MATCH(D604,cli_code,0)),N(p_delay)),N(p_delay))))))</f>
        <v/>
      </c>
      <c r="Q604" s="65" t="str">
        <f>IF(A604="","",IF(AA604="Avoir",-1,1)*ROUND(AJ604-IF(AR604="",0,INDEX(fa_htb,AR604)),2))</f>
        <v/>
      </c>
      <c r="R604" s="65" t="str">
        <f>IF(A604="","",IF(AA604="Avoir",-1,1)*ROUND(AQ604-IF(AR604="",0,INDEX(fa_tvab,AR604)),2))</f>
        <v/>
      </c>
      <c r="S604" s="65" t="str">
        <f>IF(A604="","",Q604+R604)</f>
        <v/>
      </c>
      <c r="T604" s="65" t="str">
        <f>IF(AR604="","",INDEX(fa_htb,AR604)+INDEX(fa_tvab,AR604))</f>
        <v/>
      </c>
      <c r="U604" s="65" t="str">
        <f>IF(A604="","",SUMIF(pa_inv,A604,pa_amt))</f>
        <v/>
      </c>
      <c r="V604" s="65" t="str">
        <f>IF(OR(A604="",AA604="Avoir"),"",-SUMIFS(fa_ttc,fa_avof,A604,fa_type,"Avoir"))</f>
        <v/>
      </c>
      <c r="W604" s="65" t="str">
        <f>IF(OR(A604="",AA604="Avoir"),"",ROUND(S604-U604-V604,2))</f>
        <v/>
      </c>
      <c r="X604" s="66" t="str">
        <f>IF(W604="","",IF(AND(W604&gt;0,p_asof&gt;P604),p_asof-P604,""))</f>
        <v/>
      </c>
      <c r="Y604" s="59" t="str">
        <f>IF(A604="","",IF(AA604="Avoir","Avoir",IF(W604&lt;0,"Trop-perçu",IF(W604=0,"Soldée",IF(p_asof&gt;P604,"En retard",IF(U604+V604&gt;0,"Partielle","À échoir"))))))</f>
        <v/>
      </c>
      <c r="Z604" s="59" t="str">
        <f>IF(NOT(COUNTA(B604:D604,F604:O604)&gt;0),"",IF(C604="","Date manquante",IF(NOT(ISNUMBER(C604)),"Date invalide",IF(D604="","Client manquant",IF(ISNA(MATCH(D604,cli_code,0)),"Client inconnu",IF(AC604&lt;SUMPRODUCT(MAX(($AB$6:AB603=AB604)*$AC$6:AC603)),"Date antérieure à la facture précédente",IF(AND(F604&lt;&gt;"",ISNA(MATCH(F604,dv_num,0))),"Devis inconnu",IF(AND(F604&lt;&gt;"",IFERROR(INDEX(dv_client,MATCH(F604,dv_num,0)),D604)&lt;&gt;D604),"Client différent de celui du devis",IF(AG604="","Aucune ligne : saisissez des lignes ou un devis",IF(AND(AI604&lt;&gt;"",COUNTIF($AI$6:AI604,AI604)&gt;1),"Devis déjà repris par une autre facture",IF(AND(AA604="Avoir",M604=""),"Avoir : indiquez la facture d'origine",IF(AND(AA604="Avoir",ISNA(MATCH(M604,fa_num,0))),"Facture d'origine inconnue",IF(AND(AA604&lt;&gt;"Avoir",M604&lt;&gt;""),"« Avoir sur facture » : réservé aux avoirs",IF(AND(L604&lt;&gt;"",AA604&lt;&gt;"Facture"),"Acompte à déduire : réservé aux factures",IF(AND(L604&lt;&gt;"",ISNA(MATCH(L604,fa_num,0))),"Facture d'acompte inconnue",IF(AND(L604&lt;&gt;"",IFERROR(INDEX(fa_type,MATCH(L604,fa_num,0)),"")&lt;&gt;"Facture d'acompte"),"Le n° à déduire n'est pas une facture d'acompte",IF(AND(L604&lt;&gt;"",COUNTIF($L$6:L604,L604)&gt;1),"Acompte déjà déduit sur une autre facture",IF(AND(L604&lt;&gt;"",IFERROR(INDEX(fa_client,MATCH(L604,fa_num,0)),D604)&lt;&gt;D604),"Acompte d'un autre client",IF(AND(AR604&lt;&gt;"",N(Q604)&lt;0),"Acompte supérieur au total de la facture",IF(IF(AG604="Facture",COUNTIFS(fl_doc,A604,fl_check,"&lt;&gt;OK"),IF(AG604="Devis",COUNTIFS(dl_doc,F604,dl_check,"&lt;&gt;OK"),0))&gt;0,"Ligne(s) à corriger",IF(AND(W604&lt;&gt;"",N(W604)&lt;0),"Trop-perçu : vérifiez paiements et avoirs","OK")))))))))))))))))))))</f>
        <v/>
      </c>
      <c r="AA604" s="62" t="str">
        <f>IF(COUNTA(B604:D604,F604:O604)&gt;0,IF(B604="","Facture",B604),"")</f>
        <v/>
      </c>
      <c r="AB604" s="62" t="str">
        <f>IF(AA604="","",IF(AA604="Avoir",p_pav,IF(AA604="Facture d'acompte",p_pac,p_pfa)))</f>
        <v/>
      </c>
      <c r="AC604" s="62">
        <f>IF(ISNUMBER(C604),C604,0)</f>
        <v>0.0</v>
      </c>
      <c r="AD604" s="62" t="str">
        <f>IF(OR(AA604="",AC604=0),"",YEAR(AC604))</f>
        <v/>
      </c>
      <c r="AE604" s="62" t="str">
        <f>IF(AD604="","",COUNTIFS($AB$6:AB604,AB604,$AD$6:AD604,AD604))</f>
        <v/>
      </c>
      <c r="AF604" s="62">
        <f>IF(A604="",0,COUNTIF(fl_doc,A604))</f>
        <v>0.0</v>
      </c>
      <c r="AG604" s="62" t="str">
        <f>IF(A604="","",IF(AF604&gt;0,"Facture",IF(AND(F604&lt;&gt;"",AA604="Facture",ISNUMBER(MATCH(F604,dv_num,0))),"Devis","")))</f>
        <v/>
      </c>
      <c r="AH604" s="62" t="str">
        <f>IF(AND(A604&lt;&gt;"",F604&lt;&gt;"",AA604&lt;&gt;"Avoir"),F604,"")</f>
        <v/>
      </c>
      <c r="AI604" s="62" t="str">
        <f>IF(AG604="Devis",F604,"")</f>
        <v/>
      </c>
      <c r="AJ604" s="62">
        <f>IF(AG604="Facture",SUMIF(fl_doc,A604,fl_ht),IF(AG604="Devis",SUMIF(dl_doc,F604,dl_ht),0))</f>
        <v>0.0</v>
      </c>
      <c r="AK604" s="62">
        <f>IF(OR(AG604="",INDEX(p_rates,1)=""),0,IF(AG604="Facture",SUMIFS(fl_ht,fl_doc,A604,fl_rate,INDEX(p_rates,1)),SUMIFS(dl_ht,dl_doc,F604,dl_rate,INDEX(p_rates,1))))</f>
        <v>0.0</v>
      </c>
      <c r="AL604" s="62">
        <f>IF(OR(AG604="",INDEX(p_rates,2)=""),0,IF(AG604="Facture",SUMIFS(fl_ht,fl_doc,A604,fl_rate,INDEX(p_rates,2)),SUMIFS(dl_ht,dl_doc,F604,dl_rate,INDEX(p_rates,2))))</f>
        <v>0.0</v>
      </c>
      <c r="AM604" s="62">
        <f>IF(OR(AG604="",INDEX(p_rates,3)=""),0,IF(AG604="Facture",SUMIFS(fl_ht,fl_doc,A604,fl_rate,INDEX(p_rates,3)),SUMIFS(dl_ht,dl_doc,F604,dl_rate,INDEX(p_rates,3))))</f>
        <v>0.0</v>
      </c>
      <c r="AN604" s="62">
        <f>IF(OR(AG604="",INDEX(p_rates,4)=""),0,IF(AG604="Facture",SUMIFS(fl_ht,fl_doc,A604,fl_rate,INDEX(p_rates,4)),SUMIFS(dl_ht,dl_doc,F604,dl_rate,INDEX(p_rates,4))))</f>
        <v>0.0</v>
      </c>
      <c r="AO604" s="62">
        <f>IF(OR(AG604="",INDEX(p_rates,5)=""),0,IF(AG604="Facture",SUMIFS(fl_ht,fl_doc,A604,fl_rate,INDEX(p_rates,5)),SUMIFS(dl_ht,dl_doc,F604,dl_rate,INDEX(p_rates,5))))</f>
        <v>0.0</v>
      </c>
      <c r="AP604" s="62">
        <f>IF(OR(AG604="",INDEX(p_rates,6)=""),0,IF(AG604="Facture",SUMIFS(fl_ht,fl_doc,A604,fl_rate,INDEX(p_rates,6)),SUMIFS(dl_ht,dl_doc,F604,dl_rate,INDEX(p_rates,6))))</f>
        <v>0.0</v>
      </c>
      <c r="AQ604" s="62">
        <f>ROUND(AK604*N(INDEX(p_rates,1)),2)+ROUND(AL604*N(INDEX(p_rates,2)),2)+ROUND(AM604*N(INDEX(p_rates,3)),2)+ROUND(AN604*N(INDEX(p_rates,4)),2)+ROUND(AO604*N(INDEX(p_rates,5)),2)+ROUND(AP604*N(INDEX(p_rates,6)),2)</f>
        <v>0.0</v>
      </c>
      <c r="AR604" s="62" t="str">
        <f>IF(OR(L604="",AA604&lt;&gt;"Facture"),"",IFERROR(IF(INDEX(fa_type,MATCH(L604,fa_num,0))="Facture d'acompte",MATCH(L604,fa_num,0),""),""))</f>
        <v/>
      </c>
      <c r="AS604" s="62" t="str">
        <f>IF(W604="","",IF(W604&lt;=0,"",IF(p_asof-P604&lt;=0,"Non échu",IF(p_asof-P604&lt;=30,"1-30 j",IF(p_asof-P604&lt;=60,"31-60 j",IF(p_asof-P604&lt;=90,"61-90 j","Plus de 90 j"))))))</f>
        <v/>
      </c>
      <c r="AT604" s="62" t="str">
        <f>IF(AS604="","",p_asof-P604)</f>
        <v/>
      </c>
      <c r="AU604" s="62" t="str">
        <f>IF(AT604="","",COUNTIF($AT$6:$AT$805,"&gt;"&amp;AT604)+COUNTIF($AT$6:AT604,AT604))</f>
        <v/>
      </c>
    </row>
    <row r="605">
      <c r="A605" s="59" t="str">
        <f>IF(AE605="","",AB605&amp;"-"&amp;AD605&amp;"-"&amp;RIGHT("000"&amp;AE605,4))</f>
        <v/>
      </c>
      <c r="B605" s="60" t="n"/>
      <c r="C605" s="61" t="n"/>
      <c r="D605" s="60" t="n"/>
      <c r="E605" s="62" t="str">
        <f>IF(D605="","",IFERROR(INDEX(cli_name,MATCH(D605,cli_code,0))&amp;"","Client inconnu"))</f>
        <v/>
      </c>
      <c r="F605" s="60" t="n"/>
      <c r="G605" s="63" t="n"/>
      <c r="H605" s="61" t="n"/>
      <c r="I605" s="63" t="n"/>
      <c r="J605" s="60" t="n"/>
      <c r="K605" s="61" t="n"/>
      <c r="L605" s="60" t="n"/>
      <c r="M605" s="60" t="n"/>
      <c r="N605" s="60" t="n"/>
      <c r="O605" s="61" t="n"/>
      <c r="P605" s="64" t="str">
        <f>IF(A605="","",IF(AA605="Avoir",AC605,IF(ISNUMBER(K605),K605,AC605+IF(D605="",N(p_delay),IFERROR(IF(ISNUMBER(INDEX(cli_delay,MATCH(D605,cli_code,0))),INDEX(cli_delay,MATCH(D605,cli_code,0)),N(p_delay)),N(p_delay))))))</f>
        <v/>
      </c>
      <c r="Q605" s="65" t="str">
        <f>IF(A605="","",IF(AA605="Avoir",-1,1)*ROUND(AJ605-IF(AR605="",0,INDEX(fa_htb,AR605)),2))</f>
        <v/>
      </c>
      <c r="R605" s="65" t="str">
        <f>IF(A605="","",IF(AA605="Avoir",-1,1)*ROUND(AQ605-IF(AR605="",0,INDEX(fa_tvab,AR605)),2))</f>
        <v/>
      </c>
      <c r="S605" s="65" t="str">
        <f>IF(A605="","",Q605+R605)</f>
        <v/>
      </c>
      <c r="T605" s="65" t="str">
        <f>IF(AR605="","",INDEX(fa_htb,AR605)+INDEX(fa_tvab,AR605))</f>
        <v/>
      </c>
      <c r="U605" s="65" t="str">
        <f>IF(A605="","",SUMIF(pa_inv,A605,pa_amt))</f>
        <v/>
      </c>
      <c r="V605" s="65" t="str">
        <f>IF(OR(A605="",AA605="Avoir"),"",-SUMIFS(fa_ttc,fa_avof,A605,fa_type,"Avoir"))</f>
        <v/>
      </c>
      <c r="W605" s="65" t="str">
        <f>IF(OR(A605="",AA605="Avoir"),"",ROUND(S605-U605-V605,2))</f>
        <v/>
      </c>
      <c r="X605" s="66" t="str">
        <f>IF(W605="","",IF(AND(W605&gt;0,p_asof&gt;P605),p_asof-P605,""))</f>
        <v/>
      </c>
      <c r="Y605" s="59" t="str">
        <f>IF(A605="","",IF(AA605="Avoir","Avoir",IF(W605&lt;0,"Trop-perçu",IF(W605=0,"Soldée",IF(p_asof&gt;P605,"En retard",IF(U605+V605&gt;0,"Partielle","À échoir"))))))</f>
        <v/>
      </c>
      <c r="Z605" s="59" t="str">
        <f>IF(NOT(COUNTA(B605:D605,F605:O605)&gt;0),"",IF(C605="","Date manquante",IF(NOT(ISNUMBER(C605)),"Date invalide",IF(D605="","Client manquant",IF(ISNA(MATCH(D605,cli_code,0)),"Client inconnu",IF(AC605&lt;SUMPRODUCT(MAX(($AB$6:AB604=AB605)*$AC$6:AC604)),"Date antérieure à la facture précédente",IF(AND(F605&lt;&gt;"",ISNA(MATCH(F605,dv_num,0))),"Devis inconnu",IF(AND(F605&lt;&gt;"",IFERROR(INDEX(dv_client,MATCH(F605,dv_num,0)),D605)&lt;&gt;D605),"Client différent de celui du devis",IF(AG605="","Aucune ligne : saisissez des lignes ou un devis",IF(AND(AI605&lt;&gt;"",COUNTIF($AI$6:AI605,AI605)&gt;1),"Devis déjà repris par une autre facture",IF(AND(AA605="Avoir",M605=""),"Avoir : indiquez la facture d'origine",IF(AND(AA605="Avoir",ISNA(MATCH(M605,fa_num,0))),"Facture d'origine inconnue",IF(AND(AA605&lt;&gt;"Avoir",M605&lt;&gt;""),"« Avoir sur facture » : réservé aux avoirs",IF(AND(L605&lt;&gt;"",AA605&lt;&gt;"Facture"),"Acompte à déduire : réservé aux factures",IF(AND(L605&lt;&gt;"",ISNA(MATCH(L605,fa_num,0))),"Facture d'acompte inconnue",IF(AND(L605&lt;&gt;"",IFERROR(INDEX(fa_type,MATCH(L605,fa_num,0)),"")&lt;&gt;"Facture d'acompte"),"Le n° à déduire n'est pas une facture d'acompte",IF(AND(L605&lt;&gt;"",COUNTIF($L$6:L605,L605)&gt;1),"Acompte déjà déduit sur une autre facture",IF(AND(L605&lt;&gt;"",IFERROR(INDEX(fa_client,MATCH(L605,fa_num,0)),D605)&lt;&gt;D605),"Acompte d'un autre client",IF(AND(AR605&lt;&gt;"",N(Q605)&lt;0),"Acompte supérieur au total de la facture",IF(IF(AG605="Facture",COUNTIFS(fl_doc,A605,fl_check,"&lt;&gt;OK"),IF(AG605="Devis",COUNTIFS(dl_doc,F605,dl_check,"&lt;&gt;OK"),0))&gt;0,"Ligne(s) à corriger",IF(AND(W605&lt;&gt;"",N(W605)&lt;0),"Trop-perçu : vérifiez paiements et avoirs","OK")))))))))))))))))))))</f>
        <v/>
      </c>
      <c r="AA605" s="62" t="str">
        <f>IF(COUNTA(B605:D605,F605:O605)&gt;0,IF(B605="","Facture",B605),"")</f>
        <v/>
      </c>
      <c r="AB605" s="62" t="str">
        <f>IF(AA605="","",IF(AA605="Avoir",p_pav,IF(AA605="Facture d'acompte",p_pac,p_pfa)))</f>
        <v/>
      </c>
      <c r="AC605" s="62">
        <f>IF(ISNUMBER(C605),C605,0)</f>
        <v>0.0</v>
      </c>
      <c r="AD605" s="62" t="str">
        <f>IF(OR(AA605="",AC605=0),"",YEAR(AC605))</f>
        <v/>
      </c>
      <c r="AE605" s="62" t="str">
        <f>IF(AD605="","",COUNTIFS($AB$6:AB605,AB605,$AD$6:AD605,AD605))</f>
        <v/>
      </c>
      <c r="AF605" s="62">
        <f>IF(A605="",0,COUNTIF(fl_doc,A605))</f>
        <v>0.0</v>
      </c>
      <c r="AG605" s="62" t="str">
        <f>IF(A605="","",IF(AF605&gt;0,"Facture",IF(AND(F605&lt;&gt;"",AA605="Facture",ISNUMBER(MATCH(F605,dv_num,0))),"Devis","")))</f>
        <v/>
      </c>
      <c r="AH605" s="62" t="str">
        <f>IF(AND(A605&lt;&gt;"",F605&lt;&gt;"",AA605&lt;&gt;"Avoir"),F605,"")</f>
        <v/>
      </c>
      <c r="AI605" s="62" t="str">
        <f>IF(AG605="Devis",F605,"")</f>
        <v/>
      </c>
      <c r="AJ605" s="62">
        <f>IF(AG605="Facture",SUMIF(fl_doc,A605,fl_ht),IF(AG605="Devis",SUMIF(dl_doc,F605,dl_ht),0))</f>
        <v>0.0</v>
      </c>
      <c r="AK605" s="62">
        <f>IF(OR(AG605="",INDEX(p_rates,1)=""),0,IF(AG605="Facture",SUMIFS(fl_ht,fl_doc,A605,fl_rate,INDEX(p_rates,1)),SUMIFS(dl_ht,dl_doc,F605,dl_rate,INDEX(p_rates,1))))</f>
        <v>0.0</v>
      </c>
      <c r="AL605" s="62">
        <f>IF(OR(AG605="",INDEX(p_rates,2)=""),0,IF(AG605="Facture",SUMIFS(fl_ht,fl_doc,A605,fl_rate,INDEX(p_rates,2)),SUMIFS(dl_ht,dl_doc,F605,dl_rate,INDEX(p_rates,2))))</f>
        <v>0.0</v>
      </c>
      <c r="AM605" s="62">
        <f>IF(OR(AG605="",INDEX(p_rates,3)=""),0,IF(AG605="Facture",SUMIFS(fl_ht,fl_doc,A605,fl_rate,INDEX(p_rates,3)),SUMIFS(dl_ht,dl_doc,F605,dl_rate,INDEX(p_rates,3))))</f>
        <v>0.0</v>
      </c>
      <c r="AN605" s="62">
        <f>IF(OR(AG605="",INDEX(p_rates,4)=""),0,IF(AG605="Facture",SUMIFS(fl_ht,fl_doc,A605,fl_rate,INDEX(p_rates,4)),SUMIFS(dl_ht,dl_doc,F605,dl_rate,INDEX(p_rates,4))))</f>
        <v>0.0</v>
      </c>
      <c r="AO605" s="62">
        <f>IF(OR(AG605="",INDEX(p_rates,5)=""),0,IF(AG605="Facture",SUMIFS(fl_ht,fl_doc,A605,fl_rate,INDEX(p_rates,5)),SUMIFS(dl_ht,dl_doc,F605,dl_rate,INDEX(p_rates,5))))</f>
        <v>0.0</v>
      </c>
      <c r="AP605" s="62">
        <f>IF(OR(AG605="",INDEX(p_rates,6)=""),0,IF(AG605="Facture",SUMIFS(fl_ht,fl_doc,A605,fl_rate,INDEX(p_rates,6)),SUMIFS(dl_ht,dl_doc,F605,dl_rate,INDEX(p_rates,6))))</f>
        <v>0.0</v>
      </c>
      <c r="AQ605" s="62">
        <f>ROUND(AK605*N(INDEX(p_rates,1)),2)+ROUND(AL605*N(INDEX(p_rates,2)),2)+ROUND(AM605*N(INDEX(p_rates,3)),2)+ROUND(AN605*N(INDEX(p_rates,4)),2)+ROUND(AO605*N(INDEX(p_rates,5)),2)+ROUND(AP605*N(INDEX(p_rates,6)),2)</f>
        <v>0.0</v>
      </c>
      <c r="AR605" s="62" t="str">
        <f>IF(OR(L605="",AA605&lt;&gt;"Facture"),"",IFERROR(IF(INDEX(fa_type,MATCH(L605,fa_num,0))="Facture d'acompte",MATCH(L605,fa_num,0),""),""))</f>
        <v/>
      </c>
      <c r="AS605" s="62" t="str">
        <f>IF(W605="","",IF(W605&lt;=0,"",IF(p_asof-P605&lt;=0,"Non échu",IF(p_asof-P605&lt;=30,"1-30 j",IF(p_asof-P605&lt;=60,"31-60 j",IF(p_asof-P605&lt;=90,"61-90 j","Plus de 90 j"))))))</f>
        <v/>
      </c>
      <c r="AT605" s="62" t="str">
        <f>IF(AS605="","",p_asof-P605)</f>
        <v/>
      </c>
      <c r="AU605" s="62" t="str">
        <f>IF(AT605="","",COUNTIF($AT$6:$AT$805,"&gt;"&amp;AT605)+COUNTIF($AT$6:AT605,AT605))</f>
        <v/>
      </c>
    </row>
    <row r="606">
      <c r="A606" s="59" t="str">
        <f>IF(AE606="","",AB606&amp;"-"&amp;AD606&amp;"-"&amp;RIGHT("000"&amp;AE606,4))</f>
        <v/>
      </c>
      <c r="B606" s="60" t="n"/>
      <c r="C606" s="61" t="n"/>
      <c r="D606" s="60" t="n"/>
      <c r="E606" s="62" t="str">
        <f>IF(D606="","",IFERROR(INDEX(cli_name,MATCH(D606,cli_code,0))&amp;"","Client inconnu"))</f>
        <v/>
      </c>
      <c r="F606" s="60" t="n"/>
      <c r="G606" s="63" t="n"/>
      <c r="H606" s="61" t="n"/>
      <c r="I606" s="63" t="n"/>
      <c r="J606" s="60" t="n"/>
      <c r="K606" s="61" t="n"/>
      <c r="L606" s="60" t="n"/>
      <c r="M606" s="60" t="n"/>
      <c r="N606" s="60" t="n"/>
      <c r="O606" s="61" t="n"/>
      <c r="P606" s="64" t="str">
        <f>IF(A606="","",IF(AA606="Avoir",AC606,IF(ISNUMBER(K606),K606,AC606+IF(D606="",N(p_delay),IFERROR(IF(ISNUMBER(INDEX(cli_delay,MATCH(D606,cli_code,0))),INDEX(cli_delay,MATCH(D606,cli_code,0)),N(p_delay)),N(p_delay))))))</f>
        <v/>
      </c>
      <c r="Q606" s="65" t="str">
        <f>IF(A606="","",IF(AA606="Avoir",-1,1)*ROUND(AJ606-IF(AR606="",0,INDEX(fa_htb,AR606)),2))</f>
        <v/>
      </c>
      <c r="R606" s="65" t="str">
        <f>IF(A606="","",IF(AA606="Avoir",-1,1)*ROUND(AQ606-IF(AR606="",0,INDEX(fa_tvab,AR606)),2))</f>
        <v/>
      </c>
      <c r="S606" s="65" t="str">
        <f>IF(A606="","",Q606+R606)</f>
        <v/>
      </c>
      <c r="T606" s="65" t="str">
        <f>IF(AR606="","",INDEX(fa_htb,AR606)+INDEX(fa_tvab,AR606))</f>
        <v/>
      </c>
      <c r="U606" s="65" t="str">
        <f>IF(A606="","",SUMIF(pa_inv,A606,pa_amt))</f>
        <v/>
      </c>
      <c r="V606" s="65" t="str">
        <f>IF(OR(A606="",AA606="Avoir"),"",-SUMIFS(fa_ttc,fa_avof,A606,fa_type,"Avoir"))</f>
        <v/>
      </c>
      <c r="W606" s="65" t="str">
        <f>IF(OR(A606="",AA606="Avoir"),"",ROUND(S606-U606-V606,2))</f>
        <v/>
      </c>
      <c r="X606" s="66" t="str">
        <f>IF(W606="","",IF(AND(W606&gt;0,p_asof&gt;P606),p_asof-P606,""))</f>
        <v/>
      </c>
      <c r="Y606" s="59" t="str">
        <f>IF(A606="","",IF(AA606="Avoir","Avoir",IF(W606&lt;0,"Trop-perçu",IF(W606=0,"Soldée",IF(p_asof&gt;P606,"En retard",IF(U606+V606&gt;0,"Partielle","À échoir"))))))</f>
        <v/>
      </c>
      <c r="Z606" s="59" t="str">
        <f>IF(NOT(COUNTA(B606:D606,F606:O606)&gt;0),"",IF(C606="","Date manquante",IF(NOT(ISNUMBER(C606)),"Date invalide",IF(D606="","Client manquant",IF(ISNA(MATCH(D606,cli_code,0)),"Client inconnu",IF(AC606&lt;SUMPRODUCT(MAX(($AB$6:AB605=AB606)*$AC$6:AC605)),"Date antérieure à la facture précédente",IF(AND(F606&lt;&gt;"",ISNA(MATCH(F606,dv_num,0))),"Devis inconnu",IF(AND(F606&lt;&gt;"",IFERROR(INDEX(dv_client,MATCH(F606,dv_num,0)),D606)&lt;&gt;D606),"Client différent de celui du devis",IF(AG606="","Aucune ligne : saisissez des lignes ou un devis",IF(AND(AI606&lt;&gt;"",COUNTIF($AI$6:AI606,AI606)&gt;1),"Devis déjà repris par une autre facture",IF(AND(AA606="Avoir",M606=""),"Avoir : indiquez la facture d'origine",IF(AND(AA606="Avoir",ISNA(MATCH(M606,fa_num,0))),"Facture d'origine inconnue",IF(AND(AA606&lt;&gt;"Avoir",M606&lt;&gt;""),"« Avoir sur facture » : réservé aux avoirs",IF(AND(L606&lt;&gt;"",AA606&lt;&gt;"Facture"),"Acompte à déduire : réservé aux factures",IF(AND(L606&lt;&gt;"",ISNA(MATCH(L606,fa_num,0))),"Facture d'acompte inconnue",IF(AND(L606&lt;&gt;"",IFERROR(INDEX(fa_type,MATCH(L606,fa_num,0)),"")&lt;&gt;"Facture d'acompte"),"Le n° à déduire n'est pas une facture d'acompte",IF(AND(L606&lt;&gt;"",COUNTIF($L$6:L606,L606)&gt;1),"Acompte déjà déduit sur une autre facture",IF(AND(L606&lt;&gt;"",IFERROR(INDEX(fa_client,MATCH(L606,fa_num,0)),D606)&lt;&gt;D606),"Acompte d'un autre client",IF(AND(AR606&lt;&gt;"",N(Q606)&lt;0),"Acompte supérieur au total de la facture",IF(IF(AG606="Facture",COUNTIFS(fl_doc,A606,fl_check,"&lt;&gt;OK"),IF(AG606="Devis",COUNTIFS(dl_doc,F606,dl_check,"&lt;&gt;OK"),0))&gt;0,"Ligne(s) à corriger",IF(AND(W606&lt;&gt;"",N(W606)&lt;0),"Trop-perçu : vérifiez paiements et avoirs","OK")))))))))))))))))))))</f>
        <v/>
      </c>
      <c r="AA606" s="62" t="str">
        <f>IF(COUNTA(B606:D606,F606:O606)&gt;0,IF(B606="","Facture",B606),"")</f>
        <v/>
      </c>
      <c r="AB606" s="62" t="str">
        <f>IF(AA606="","",IF(AA606="Avoir",p_pav,IF(AA606="Facture d'acompte",p_pac,p_pfa)))</f>
        <v/>
      </c>
      <c r="AC606" s="62">
        <f>IF(ISNUMBER(C606),C606,0)</f>
        <v>0.0</v>
      </c>
      <c r="AD606" s="62" t="str">
        <f>IF(OR(AA606="",AC606=0),"",YEAR(AC606))</f>
        <v/>
      </c>
      <c r="AE606" s="62" t="str">
        <f>IF(AD606="","",COUNTIFS($AB$6:AB606,AB606,$AD$6:AD606,AD606))</f>
        <v/>
      </c>
      <c r="AF606" s="62">
        <f>IF(A606="",0,COUNTIF(fl_doc,A606))</f>
        <v>0.0</v>
      </c>
      <c r="AG606" s="62" t="str">
        <f>IF(A606="","",IF(AF606&gt;0,"Facture",IF(AND(F606&lt;&gt;"",AA606="Facture",ISNUMBER(MATCH(F606,dv_num,0))),"Devis","")))</f>
        <v/>
      </c>
      <c r="AH606" s="62" t="str">
        <f>IF(AND(A606&lt;&gt;"",F606&lt;&gt;"",AA606&lt;&gt;"Avoir"),F606,"")</f>
        <v/>
      </c>
      <c r="AI606" s="62" t="str">
        <f>IF(AG606="Devis",F606,"")</f>
        <v/>
      </c>
      <c r="AJ606" s="62">
        <f>IF(AG606="Facture",SUMIF(fl_doc,A606,fl_ht),IF(AG606="Devis",SUMIF(dl_doc,F606,dl_ht),0))</f>
        <v>0.0</v>
      </c>
      <c r="AK606" s="62">
        <f>IF(OR(AG606="",INDEX(p_rates,1)=""),0,IF(AG606="Facture",SUMIFS(fl_ht,fl_doc,A606,fl_rate,INDEX(p_rates,1)),SUMIFS(dl_ht,dl_doc,F606,dl_rate,INDEX(p_rates,1))))</f>
        <v>0.0</v>
      </c>
      <c r="AL606" s="62">
        <f>IF(OR(AG606="",INDEX(p_rates,2)=""),0,IF(AG606="Facture",SUMIFS(fl_ht,fl_doc,A606,fl_rate,INDEX(p_rates,2)),SUMIFS(dl_ht,dl_doc,F606,dl_rate,INDEX(p_rates,2))))</f>
        <v>0.0</v>
      </c>
      <c r="AM606" s="62">
        <f>IF(OR(AG606="",INDEX(p_rates,3)=""),0,IF(AG606="Facture",SUMIFS(fl_ht,fl_doc,A606,fl_rate,INDEX(p_rates,3)),SUMIFS(dl_ht,dl_doc,F606,dl_rate,INDEX(p_rates,3))))</f>
        <v>0.0</v>
      </c>
      <c r="AN606" s="62">
        <f>IF(OR(AG606="",INDEX(p_rates,4)=""),0,IF(AG606="Facture",SUMIFS(fl_ht,fl_doc,A606,fl_rate,INDEX(p_rates,4)),SUMIFS(dl_ht,dl_doc,F606,dl_rate,INDEX(p_rates,4))))</f>
        <v>0.0</v>
      </c>
      <c r="AO606" s="62">
        <f>IF(OR(AG606="",INDEX(p_rates,5)=""),0,IF(AG606="Facture",SUMIFS(fl_ht,fl_doc,A606,fl_rate,INDEX(p_rates,5)),SUMIFS(dl_ht,dl_doc,F606,dl_rate,INDEX(p_rates,5))))</f>
        <v>0.0</v>
      </c>
      <c r="AP606" s="62">
        <f>IF(OR(AG606="",INDEX(p_rates,6)=""),0,IF(AG606="Facture",SUMIFS(fl_ht,fl_doc,A606,fl_rate,INDEX(p_rates,6)),SUMIFS(dl_ht,dl_doc,F606,dl_rate,INDEX(p_rates,6))))</f>
        <v>0.0</v>
      </c>
      <c r="AQ606" s="62">
        <f>ROUND(AK606*N(INDEX(p_rates,1)),2)+ROUND(AL606*N(INDEX(p_rates,2)),2)+ROUND(AM606*N(INDEX(p_rates,3)),2)+ROUND(AN606*N(INDEX(p_rates,4)),2)+ROUND(AO606*N(INDEX(p_rates,5)),2)+ROUND(AP606*N(INDEX(p_rates,6)),2)</f>
        <v>0.0</v>
      </c>
      <c r="AR606" s="62" t="str">
        <f>IF(OR(L606="",AA606&lt;&gt;"Facture"),"",IFERROR(IF(INDEX(fa_type,MATCH(L606,fa_num,0))="Facture d'acompte",MATCH(L606,fa_num,0),""),""))</f>
        <v/>
      </c>
      <c r="AS606" s="62" t="str">
        <f>IF(W606="","",IF(W606&lt;=0,"",IF(p_asof-P606&lt;=0,"Non échu",IF(p_asof-P606&lt;=30,"1-30 j",IF(p_asof-P606&lt;=60,"31-60 j",IF(p_asof-P606&lt;=90,"61-90 j","Plus de 90 j"))))))</f>
        <v/>
      </c>
      <c r="AT606" s="62" t="str">
        <f>IF(AS606="","",p_asof-P606)</f>
        <v/>
      </c>
      <c r="AU606" s="62" t="str">
        <f>IF(AT606="","",COUNTIF($AT$6:$AT$805,"&gt;"&amp;AT606)+COUNTIF($AT$6:AT606,AT606))</f>
        <v/>
      </c>
    </row>
    <row r="607">
      <c r="A607" s="59" t="str">
        <f>IF(AE607="","",AB607&amp;"-"&amp;AD607&amp;"-"&amp;RIGHT("000"&amp;AE607,4))</f>
        <v/>
      </c>
      <c r="B607" s="60" t="n"/>
      <c r="C607" s="61" t="n"/>
      <c r="D607" s="60" t="n"/>
      <c r="E607" s="62" t="str">
        <f>IF(D607="","",IFERROR(INDEX(cli_name,MATCH(D607,cli_code,0))&amp;"","Client inconnu"))</f>
        <v/>
      </c>
      <c r="F607" s="60" t="n"/>
      <c r="G607" s="63" t="n"/>
      <c r="H607" s="61" t="n"/>
      <c r="I607" s="63" t="n"/>
      <c r="J607" s="60" t="n"/>
      <c r="K607" s="61" t="n"/>
      <c r="L607" s="60" t="n"/>
      <c r="M607" s="60" t="n"/>
      <c r="N607" s="60" t="n"/>
      <c r="O607" s="61" t="n"/>
      <c r="P607" s="64" t="str">
        <f>IF(A607="","",IF(AA607="Avoir",AC607,IF(ISNUMBER(K607),K607,AC607+IF(D607="",N(p_delay),IFERROR(IF(ISNUMBER(INDEX(cli_delay,MATCH(D607,cli_code,0))),INDEX(cli_delay,MATCH(D607,cli_code,0)),N(p_delay)),N(p_delay))))))</f>
        <v/>
      </c>
      <c r="Q607" s="65" t="str">
        <f>IF(A607="","",IF(AA607="Avoir",-1,1)*ROUND(AJ607-IF(AR607="",0,INDEX(fa_htb,AR607)),2))</f>
        <v/>
      </c>
      <c r="R607" s="65" t="str">
        <f>IF(A607="","",IF(AA607="Avoir",-1,1)*ROUND(AQ607-IF(AR607="",0,INDEX(fa_tvab,AR607)),2))</f>
        <v/>
      </c>
      <c r="S607" s="65" t="str">
        <f>IF(A607="","",Q607+R607)</f>
        <v/>
      </c>
      <c r="T607" s="65" t="str">
        <f>IF(AR607="","",INDEX(fa_htb,AR607)+INDEX(fa_tvab,AR607))</f>
        <v/>
      </c>
      <c r="U607" s="65" t="str">
        <f>IF(A607="","",SUMIF(pa_inv,A607,pa_amt))</f>
        <v/>
      </c>
      <c r="V607" s="65" t="str">
        <f>IF(OR(A607="",AA607="Avoir"),"",-SUMIFS(fa_ttc,fa_avof,A607,fa_type,"Avoir"))</f>
        <v/>
      </c>
      <c r="W607" s="65" t="str">
        <f>IF(OR(A607="",AA607="Avoir"),"",ROUND(S607-U607-V607,2))</f>
        <v/>
      </c>
      <c r="X607" s="66" t="str">
        <f>IF(W607="","",IF(AND(W607&gt;0,p_asof&gt;P607),p_asof-P607,""))</f>
        <v/>
      </c>
      <c r="Y607" s="59" t="str">
        <f>IF(A607="","",IF(AA607="Avoir","Avoir",IF(W607&lt;0,"Trop-perçu",IF(W607=0,"Soldée",IF(p_asof&gt;P607,"En retard",IF(U607+V607&gt;0,"Partielle","À échoir"))))))</f>
        <v/>
      </c>
      <c r="Z607" s="59" t="str">
        <f>IF(NOT(COUNTA(B607:D607,F607:O607)&gt;0),"",IF(C607="","Date manquante",IF(NOT(ISNUMBER(C607)),"Date invalide",IF(D607="","Client manquant",IF(ISNA(MATCH(D607,cli_code,0)),"Client inconnu",IF(AC607&lt;SUMPRODUCT(MAX(($AB$6:AB606=AB607)*$AC$6:AC606)),"Date antérieure à la facture précédente",IF(AND(F607&lt;&gt;"",ISNA(MATCH(F607,dv_num,0))),"Devis inconnu",IF(AND(F607&lt;&gt;"",IFERROR(INDEX(dv_client,MATCH(F607,dv_num,0)),D607)&lt;&gt;D607),"Client différent de celui du devis",IF(AG607="","Aucune ligne : saisissez des lignes ou un devis",IF(AND(AI607&lt;&gt;"",COUNTIF($AI$6:AI607,AI607)&gt;1),"Devis déjà repris par une autre facture",IF(AND(AA607="Avoir",M607=""),"Avoir : indiquez la facture d'origine",IF(AND(AA607="Avoir",ISNA(MATCH(M607,fa_num,0))),"Facture d'origine inconnue",IF(AND(AA607&lt;&gt;"Avoir",M607&lt;&gt;""),"« Avoir sur facture » : réservé aux avoirs",IF(AND(L607&lt;&gt;"",AA607&lt;&gt;"Facture"),"Acompte à déduire : réservé aux factures",IF(AND(L607&lt;&gt;"",ISNA(MATCH(L607,fa_num,0))),"Facture d'acompte inconnue",IF(AND(L607&lt;&gt;"",IFERROR(INDEX(fa_type,MATCH(L607,fa_num,0)),"")&lt;&gt;"Facture d'acompte"),"Le n° à déduire n'est pas une facture d'acompte",IF(AND(L607&lt;&gt;"",COUNTIF($L$6:L607,L607)&gt;1),"Acompte déjà déduit sur une autre facture",IF(AND(L607&lt;&gt;"",IFERROR(INDEX(fa_client,MATCH(L607,fa_num,0)),D607)&lt;&gt;D607),"Acompte d'un autre client",IF(AND(AR607&lt;&gt;"",N(Q607)&lt;0),"Acompte supérieur au total de la facture",IF(IF(AG607="Facture",COUNTIFS(fl_doc,A607,fl_check,"&lt;&gt;OK"),IF(AG607="Devis",COUNTIFS(dl_doc,F607,dl_check,"&lt;&gt;OK"),0))&gt;0,"Ligne(s) à corriger",IF(AND(W607&lt;&gt;"",N(W607)&lt;0),"Trop-perçu : vérifiez paiements et avoirs","OK")))))))))))))))))))))</f>
        <v/>
      </c>
      <c r="AA607" s="62" t="str">
        <f>IF(COUNTA(B607:D607,F607:O607)&gt;0,IF(B607="","Facture",B607),"")</f>
        <v/>
      </c>
      <c r="AB607" s="62" t="str">
        <f>IF(AA607="","",IF(AA607="Avoir",p_pav,IF(AA607="Facture d'acompte",p_pac,p_pfa)))</f>
        <v/>
      </c>
      <c r="AC607" s="62">
        <f>IF(ISNUMBER(C607),C607,0)</f>
        <v>0.0</v>
      </c>
      <c r="AD607" s="62" t="str">
        <f>IF(OR(AA607="",AC607=0),"",YEAR(AC607))</f>
        <v/>
      </c>
      <c r="AE607" s="62" t="str">
        <f>IF(AD607="","",COUNTIFS($AB$6:AB607,AB607,$AD$6:AD607,AD607))</f>
        <v/>
      </c>
      <c r="AF607" s="62">
        <f>IF(A607="",0,COUNTIF(fl_doc,A607))</f>
        <v>0.0</v>
      </c>
      <c r="AG607" s="62" t="str">
        <f>IF(A607="","",IF(AF607&gt;0,"Facture",IF(AND(F607&lt;&gt;"",AA607="Facture",ISNUMBER(MATCH(F607,dv_num,0))),"Devis","")))</f>
        <v/>
      </c>
      <c r="AH607" s="62" t="str">
        <f>IF(AND(A607&lt;&gt;"",F607&lt;&gt;"",AA607&lt;&gt;"Avoir"),F607,"")</f>
        <v/>
      </c>
      <c r="AI607" s="62" t="str">
        <f>IF(AG607="Devis",F607,"")</f>
        <v/>
      </c>
      <c r="AJ607" s="62">
        <f>IF(AG607="Facture",SUMIF(fl_doc,A607,fl_ht),IF(AG607="Devis",SUMIF(dl_doc,F607,dl_ht),0))</f>
        <v>0.0</v>
      </c>
      <c r="AK607" s="62">
        <f>IF(OR(AG607="",INDEX(p_rates,1)=""),0,IF(AG607="Facture",SUMIFS(fl_ht,fl_doc,A607,fl_rate,INDEX(p_rates,1)),SUMIFS(dl_ht,dl_doc,F607,dl_rate,INDEX(p_rates,1))))</f>
        <v>0.0</v>
      </c>
      <c r="AL607" s="62">
        <f>IF(OR(AG607="",INDEX(p_rates,2)=""),0,IF(AG607="Facture",SUMIFS(fl_ht,fl_doc,A607,fl_rate,INDEX(p_rates,2)),SUMIFS(dl_ht,dl_doc,F607,dl_rate,INDEX(p_rates,2))))</f>
        <v>0.0</v>
      </c>
      <c r="AM607" s="62">
        <f>IF(OR(AG607="",INDEX(p_rates,3)=""),0,IF(AG607="Facture",SUMIFS(fl_ht,fl_doc,A607,fl_rate,INDEX(p_rates,3)),SUMIFS(dl_ht,dl_doc,F607,dl_rate,INDEX(p_rates,3))))</f>
        <v>0.0</v>
      </c>
      <c r="AN607" s="62">
        <f>IF(OR(AG607="",INDEX(p_rates,4)=""),0,IF(AG607="Facture",SUMIFS(fl_ht,fl_doc,A607,fl_rate,INDEX(p_rates,4)),SUMIFS(dl_ht,dl_doc,F607,dl_rate,INDEX(p_rates,4))))</f>
        <v>0.0</v>
      </c>
      <c r="AO607" s="62">
        <f>IF(OR(AG607="",INDEX(p_rates,5)=""),0,IF(AG607="Facture",SUMIFS(fl_ht,fl_doc,A607,fl_rate,INDEX(p_rates,5)),SUMIFS(dl_ht,dl_doc,F607,dl_rate,INDEX(p_rates,5))))</f>
        <v>0.0</v>
      </c>
      <c r="AP607" s="62">
        <f>IF(OR(AG607="",INDEX(p_rates,6)=""),0,IF(AG607="Facture",SUMIFS(fl_ht,fl_doc,A607,fl_rate,INDEX(p_rates,6)),SUMIFS(dl_ht,dl_doc,F607,dl_rate,INDEX(p_rates,6))))</f>
        <v>0.0</v>
      </c>
      <c r="AQ607" s="62">
        <f>ROUND(AK607*N(INDEX(p_rates,1)),2)+ROUND(AL607*N(INDEX(p_rates,2)),2)+ROUND(AM607*N(INDEX(p_rates,3)),2)+ROUND(AN607*N(INDEX(p_rates,4)),2)+ROUND(AO607*N(INDEX(p_rates,5)),2)+ROUND(AP607*N(INDEX(p_rates,6)),2)</f>
        <v>0.0</v>
      </c>
      <c r="AR607" s="62" t="str">
        <f>IF(OR(L607="",AA607&lt;&gt;"Facture"),"",IFERROR(IF(INDEX(fa_type,MATCH(L607,fa_num,0))="Facture d'acompte",MATCH(L607,fa_num,0),""),""))</f>
        <v/>
      </c>
      <c r="AS607" s="62" t="str">
        <f>IF(W607="","",IF(W607&lt;=0,"",IF(p_asof-P607&lt;=0,"Non échu",IF(p_asof-P607&lt;=30,"1-30 j",IF(p_asof-P607&lt;=60,"31-60 j",IF(p_asof-P607&lt;=90,"61-90 j","Plus de 90 j"))))))</f>
        <v/>
      </c>
      <c r="AT607" s="62" t="str">
        <f>IF(AS607="","",p_asof-P607)</f>
        <v/>
      </c>
      <c r="AU607" s="62" t="str">
        <f>IF(AT607="","",COUNTIF($AT$6:$AT$805,"&gt;"&amp;AT607)+COUNTIF($AT$6:AT607,AT607))</f>
        <v/>
      </c>
    </row>
    <row r="608">
      <c r="A608" s="59" t="str">
        <f>IF(AE608="","",AB608&amp;"-"&amp;AD608&amp;"-"&amp;RIGHT("000"&amp;AE608,4))</f>
        <v/>
      </c>
      <c r="B608" s="60" t="n"/>
      <c r="C608" s="61" t="n"/>
      <c r="D608" s="60" t="n"/>
      <c r="E608" s="62" t="str">
        <f>IF(D608="","",IFERROR(INDEX(cli_name,MATCH(D608,cli_code,0))&amp;"","Client inconnu"))</f>
        <v/>
      </c>
      <c r="F608" s="60" t="n"/>
      <c r="G608" s="63" t="n"/>
      <c r="H608" s="61" t="n"/>
      <c r="I608" s="63" t="n"/>
      <c r="J608" s="60" t="n"/>
      <c r="K608" s="61" t="n"/>
      <c r="L608" s="60" t="n"/>
      <c r="M608" s="60" t="n"/>
      <c r="N608" s="60" t="n"/>
      <c r="O608" s="61" t="n"/>
      <c r="P608" s="64" t="str">
        <f>IF(A608="","",IF(AA608="Avoir",AC608,IF(ISNUMBER(K608),K608,AC608+IF(D608="",N(p_delay),IFERROR(IF(ISNUMBER(INDEX(cli_delay,MATCH(D608,cli_code,0))),INDEX(cli_delay,MATCH(D608,cli_code,0)),N(p_delay)),N(p_delay))))))</f>
        <v/>
      </c>
      <c r="Q608" s="65" t="str">
        <f>IF(A608="","",IF(AA608="Avoir",-1,1)*ROUND(AJ608-IF(AR608="",0,INDEX(fa_htb,AR608)),2))</f>
        <v/>
      </c>
      <c r="R608" s="65" t="str">
        <f>IF(A608="","",IF(AA608="Avoir",-1,1)*ROUND(AQ608-IF(AR608="",0,INDEX(fa_tvab,AR608)),2))</f>
        <v/>
      </c>
      <c r="S608" s="65" t="str">
        <f>IF(A608="","",Q608+R608)</f>
        <v/>
      </c>
      <c r="T608" s="65" t="str">
        <f>IF(AR608="","",INDEX(fa_htb,AR608)+INDEX(fa_tvab,AR608))</f>
        <v/>
      </c>
      <c r="U608" s="65" t="str">
        <f>IF(A608="","",SUMIF(pa_inv,A608,pa_amt))</f>
        <v/>
      </c>
      <c r="V608" s="65" t="str">
        <f>IF(OR(A608="",AA608="Avoir"),"",-SUMIFS(fa_ttc,fa_avof,A608,fa_type,"Avoir"))</f>
        <v/>
      </c>
      <c r="W608" s="65" t="str">
        <f>IF(OR(A608="",AA608="Avoir"),"",ROUND(S608-U608-V608,2))</f>
        <v/>
      </c>
      <c r="X608" s="66" t="str">
        <f>IF(W608="","",IF(AND(W608&gt;0,p_asof&gt;P608),p_asof-P608,""))</f>
        <v/>
      </c>
      <c r="Y608" s="59" t="str">
        <f>IF(A608="","",IF(AA608="Avoir","Avoir",IF(W608&lt;0,"Trop-perçu",IF(W608=0,"Soldée",IF(p_asof&gt;P608,"En retard",IF(U608+V608&gt;0,"Partielle","À échoir"))))))</f>
        <v/>
      </c>
      <c r="Z608" s="59" t="str">
        <f>IF(NOT(COUNTA(B608:D608,F608:O608)&gt;0),"",IF(C608="","Date manquante",IF(NOT(ISNUMBER(C608)),"Date invalide",IF(D608="","Client manquant",IF(ISNA(MATCH(D608,cli_code,0)),"Client inconnu",IF(AC608&lt;SUMPRODUCT(MAX(($AB$6:AB607=AB608)*$AC$6:AC607)),"Date antérieure à la facture précédente",IF(AND(F608&lt;&gt;"",ISNA(MATCH(F608,dv_num,0))),"Devis inconnu",IF(AND(F608&lt;&gt;"",IFERROR(INDEX(dv_client,MATCH(F608,dv_num,0)),D608)&lt;&gt;D608),"Client différent de celui du devis",IF(AG608="","Aucune ligne : saisissez des lignes ou un devis",IF(AND(AI608&lt;&gt;"",COUNTIF($AI$6:AI608,AI608)&gt;1),"Devis déjà repris par une autre facture",IF(AND(AA608="Avoir",M608=""),"Avoir : indiquez la facture d'origine",IF(AND(AA608="Avoir",ISNA(MATCH(M608,fa_num,0))),"Facture d'origine inconnue",IF(AND(AA608&lt;&gt;"Avoir",M608&lt;&gt;""),"« Avoir sur facture » : réservé aux avoirs",IF(AND(L608&lt;&gt;"",AA608&lt;&gt;"Facture"),"Acompte à déduire : réservé aux factures",IF(AND(L608&lt;&gt;"",ISNA(MATCH(L608,fa_num,0))),"Facture d'acompte inconnue",IF(AND(L608&lt;&gt;"",IFERROR(INDEX(fa_type,MATCH(L608,fa_num,0)),"")&lt;&gt;"Facture d'acompte"),"Le n° à déduire n'est pas une facture d'acompte",IF(AND(L608&lt;&gt;"",COUNTIF($L$6:L608,L608)&gt;1),"Acompte déjà déduit sur une autre facture",IF(AND(L608&lt;&gt;"",IFERROR(INDEX(fa_client,MATCH(L608,fa_num,0)),D608)&lt;&gt;D608),"Acompte d'un autre client",IF(AND(AR608&lt;&gt;"",N(Q608)&lt;0),"Acompte supérieur au total de la facture",IF(IF(AG608="Facture",COUNTIFS(fl_doc,A608,fl_check,"&lt;&gt;OK"),IF(AG608="Devis",COUNTIFS(dl_doc,F608,dl_check,"&lt;&gt;OK"),0))&gt;0,"Ligne(s) à corriger",IF(AND(W608&lt;&gt;"",N(W608)&lt;0),"Trop-perçu : vérifiez paiements et avoirs","OK")))))))))))))))))))))</f>
        <v/>
      </c>
      <c r="AA608" s="62" t="str">
        <f>IF(COUNTA(B608:D608,F608:O608)&gt;0,IF(B608="","Facture",B608),"")</f>
        <v/>
      </c>
      <c r="AB608" s="62" t="str">
        <f>IF(AA608="","",IF(AA608="Avoir",p_pav,IF(AA608="Facture d'acompte",p_pac,p_pfa)))</f>
        <v/>
      </c>
      <c r="AC608" s="62">
        <f>IF(ISNUMBER(C608),C608,0)</f>
        <v>0.0</v>
      </c>
      <c r="AD608" s="62" t="str">
        <f>IF(OR(AA608="",AC608=0),"",YEAR(AC608))</f>
        <v/>
      </c>
      <c r="AE608" s="62" t="str">
        <f>IF(AD608="","",COUNTIFS($AB$6:AB608,AB608,$AD$6:AD608,AD608))</f>
        <v/>
      </c>
      <c r="AF608" s="62">
        <f>IF(A608="",0,COUNTIF(fl_doc,A608))</f>
        <v>0.0</v>
      </c>
      <c r="AG608" s="62" t="str">
        <f>IF(A608="","",IF(AF608&gt;0,"Facture",IF(AND(F608&lt;&gt;"",AA608="Facture",ISNUMBER(MATCH(F608,dv_num,0))),"Devis","")))</f>
        <v/>
      </c>
      <c r="AH608" s="62" t="str">
        <f>IF(AND(A608&lt;&gt;"",F608&lt;&gt;"",AA608&lt;&gt;"Avoir"),F608,"")</f>
        <v/>
      </c>
      <c r="AI608" s="62" t="str">
        <f>IF(AG608="Devis",F608,"")</f>
        <v/>
      </c>
      <c r="AJ608" s="62">
        <f>IF(AG608="Facture",SUMIF(fl_doc,A608,fl_ht),IF(AG608="Devis",SUMIF(dl_doc,F608,dl_ht),0))</f>
        <v>0.0</v>
      </c>
      <c r="AK608" s="62">
        <f>IF(OR(AG608="",INDEX(p_rates,1)=""),0,IF(AG608="Facture",SUMIFS(fl_ht,fl_doc,A608,fl_rate,INDEX(p_rates,1)),SUMIFS(dl_ht,dl_doc,F608,dl_rate,INDEX(p_rates,1))))</f>
        <v>0.0</v>
      </c>
      <c r="AL608" s="62">
        <f>IF(OR(AG608="",INDEX(p_rates,2)=""),0,IF(AG608="Facture",SUMIFS(fl_ht,fl_doc,A608,fl_rate,INDEX(p_rates,2)),SUMIFS(dl_ht,dl_doc,F608,dl_rate,INDEX(p_rates,2))))</f>
        <v>0.0</v>
      </c>
      <c r="AM608" s="62">
        <f>IF(OR(AG608="",INDEX(p_rates,3)=""),0,IF(AG608="Facture",SUMIFS(fl_ht,fl_doc,A608,fl_rate,INDEX(p_rates,3)),SUMIFS(dl_ht,dl_doc,F608,dl_rate,INDEX(p_rates,3))))</f>
        <v>0.0</v>
      </c>
      <c r="AN608" s="62">
        <f>IF(OR(AG608="",INDEX(p_rates,4)=""),0,IF(AG608="Facture",SUMIFS(fl_ht,fl_doc,A608,fl_rate,INDEX(p_rates,4)),SUMIFS(dl_ht,dl_doc,F608,dl_rate,INDEX(p_rates,4))))</f>
        <v>0.0</v>
      </c>
      <c r="AO608" s="62">
        <f>IF(OR(AG608="",INDEX(p_rates,5)=""),0,IF(AG608="Facture",SUMIFS(fl_ht,fl_doc,A608,fl_rate,INDEX(p_rates,5)),SUMIFS(dl_ht,dl_doc,F608,dl_rate,INDEX(p_rates,5))))</f>
        <v>0.0</v>
      </c>
      <c r="AP608" s="62">
        <f>IF(OR(AG608="",INDEX(p_rates,6)=""),0,IF(AG608="Facture",SUMIFS(fl_ht,fl_doc,A608,fl_rate,INDEX(p_rates,6)),SUMIFS(dl_ht,dl_doc,F608,dl_rate,INDEX(p_rates,6))))</f>
        <v>0.0</v>
      </c>
      <c r="AQ608" s="62">
        <f>ROUND(AK608*N(INDEX(p_rates,1)),2)+ROUND(AL608*N(INDEX(p_rates,2)),2)+ROUND(AM608*N(INDEX(p_rates,3)),2)+ROUND(AN608*N(INDEX(p_rates,4)),2)+ROUND(AO608*N(INDEX(p_rates,5)),2)+ROUND(AP608*N(INDEX(p_rates,6)),2)</f>
        <v>0.0</v>
      </c>
      <c r="AR608" s="62" t="str">
        <f>IF(OR(L608="",AA608&lt;&gt;"Facture"),"",IFERROR(IF(INDEX(fa_type,MATCH(L608,fa_num,0))="Facture d'acompte",MATCH(L608,fa_num,0),""),""))</f>
        <v/>
      </c>
      <c r="AS608" s="62" t="str">
        <f>IF(W608="","",IF(W608&lt;=0,"",IF(p_asof-P608&lt;=0,"Non échu",IF(p_asof-P608&lt;=30,"1-30 j",IF(p_asof-P608&lt;=60,"31-60 j",IF(p_asof-P608&lt;=90,"61-90 j","Plus de 90 j"))))))</f>
        <v/>
      </c>
      <c r="AT608" s="62" t="str">
        <f>IF(AS608="","",p_asof-P608)</f>
        <v/>
      </c>
      <c r="AU608" s="62" t="str">
        <f>IF(AT608="","",COUNTIF($AT$6:$AT$805,"&gt;"&amp;AT608)+COUNTIF($AT$6:AT608,AT608))</f>
        <v/>
      </c>
    </row>
    <row r="609">
      <c r="A609" s="59" t="str">
        <f>IF(AE609="","",AB609&amp;"-"&amp;AD609&amp;"-"&amp;RIGHT("000"&amp;AE609,4))</f>
        <v/>
      </c>
      <c r="B609" s="60" t="n"/>
      <c r="C609" s="61" t="n"/>
      <c r="D609" s="60" t="n"/>
      <c r="E609" s="62" t="str">
        <f>IF(D609="","",IFERROR(INDEX(cli_name,MATCH(D609,cli_code,0))&amp;"","Client inconnu"))</f>
        <v/>
      </c>
      <c r="F609" s="60" t="n"/>
      <c r="G609" s="63" t="n"/>
      <c r="H609" s="61" t="n"/>
      <c r="I609" s="63" t="n"/>
      <c r="J609" s="60" t="n"/>
      <c r="K609" s="61" t="n"/>
      <c r="L609" s="60" t="n"/>
      <c r="M609" s="60" t="n"/>
      <c r="N609" s="60" t="n"/>
      <c r="O609" s="61" t="n"/>
      <c r="P609" s="64" t="str">
        <f>IF(A609="","",IF(AA609="Avoir",AC609,IF(ISNUMBER(K609),K609,AC609+IF(D609="",N(p_delay),IFERROR(IF(ISNUMBER(INDEX(cli_delay,MATCH(D609,cli_code,0))),INDEX(cli_delay,MATCH(D609,cli_code,0)),N(p_delay)),N(p_delay))))))</f>
        <v/>
      </c>
      <c r="Q609" s="65" t="str">
        <f>IF(A609="","",IF(AA609="Avoir",-1,1)*ROUND(AJ609-IF(AR609="",0,INDEX(fa_htb,AR609)),2))</f>
        <v/>
      </c>
      <c r="R609" s="65" t="str">
        <f>IF(A609="","",IF(AA609="Avoir",-1,1)*ROUND(AQ609-IF(AR609="",0,INDEX(fa_tvab,AR609)),2))</f>
        <v/>
      </c>
      <c r="S609" s="65" t="str">
        <f>IF(A609="","",Q609+R609)</f>
        <v/>
      </c>
      <c r="T609" s="65" t="str">
        <f>IF(AR609="","",INDEX(fa_htb,AR609)+INDEX(fa_tvab,AR609))</f>
        <v/>
      </c>
      <c r="U609" s="65" t="str">
        <f>IF(A609="","",SUMIF(pa_inv,A609,pa_amt))</f>
        <v/>
      </c>
      <c r="V609" s="65" t="str">
        <f>IF(OR(A609="",AA609="Avoir"),"",-SUMIFS(fa_ttc,fa_avof,A609,fa_type,"Avoir"))</f>
        <v/>
      </c>
      <c r="W609" s="65" t="str">
        <f>IF(OR(A609="",AA609="Avoir"),"",ROUND(S609-U609-V609,2))</f>
        <v/>
      </c>
      <c r="X609" s="66" t="str">
        <f>IF(W609="","",IF(AND(W609&gt;0,p_asof&gt;P609),p_asof-P609,""))</f>
        <v/>
      </c>
      <c r="Y609" s="59" t="str">
        <f>IF(A609="","",IF(AA609="Avoir","Avoir",IF(W609&lt;0,"Trop-perçu",IF(W609=0,"Soldée",IF(p_asof&gt;P609,"En retard",IF(U609+V609&gt;0,"Partielle","À échoir"))))))</f>
        <v/>
      </c>
      <c r="Z609" s="59" t="str">
        <f>IF(NOT(COUNTA(B609:D609,F609:O609)&gt;0),"",IF(C609="","Date manquante",IF(NOT(ISNUMBER(C609)),"Date invalide",IF(D609="","Client manquant",IF(ISNA(MATCH(D609,cli_code,0)),"Client inconnu",IF(AC609&lt;SUMPRODUCT(MAX(($AB$6:AB608=AB609)*$AC$6:AC608)),"Date antérieure à la facture précédente",IF(AND(F609&lt;&gt;"",ISNA(MATCH(F609,dv_num,0))),"Devis inconnu",IF(AND(F609&lt;&gt;"",IFERROR(INDEX(dv_client,MATCH(F609,dv_num,0)),D609)&lt;&gt;D609),"Client différent de celui du devis",IF(AG609="","Aucune ligne : saisissez des lignes ou un devis",IF(AND(AI609&lt;&gt;"",COUNTIF($AI$6:AI609,AI609)&gt;1),"Devis déjà repris par une autre facture",IF(AND(AA609="Avoir",M609=""),"Avoir : indiquez la facture d'origine",IF(AND(AA609="Avoir",ISNA(MATCH(M609,fa_num,0))),"Facture d'origine inconnue",IF(AND(AA609&lt;&gt;"Avoir",M609&lt;&gt;""),"« Avoir sur facture » : réservé aux avoirs",IF(AND(L609&lt;&gt;"",AA609&lt;&gt;"Facture"),"Acompte à déduire : réservé aux factures",IF(AND(L609&lt;&gt;"",ISNA(MATCH(L609,fa_num,0))),"Facture d'acompte inconnue",IF(AND(L609&lt;&gt;"",IFERROR(INDEX(fa_type,MATCH(L609,fa_num,0)),"")&lt;&gt;"Facture d'acompte"),"Le n° à déduire n'est pas une facture d'acompte",IF(AND(L609&lt;&gt;"",COUNTIF($L$6:L609,L609)&gt;1),"Acompte déjà déduit sur une autre facture",IF(AND(L609&lt;&gt;"",IFERROR(INDEX(fa_client,MATCH(L609,fa_num,0)),D609)&lt;&gt;D609),"Acompte d'un autre client",IF(AND(AR609&lt;&gt;"",N(Q609)&lt;0),"Acompte supérieur au total de la facture",IF(IF(AG609="Facture",COUNTIFS(fl_doc,A609,fl_check,"&lt;&gt;OK"),IF(AG609="Devis",COUNTIFS(dl_doc,F609,dl_check,"&lt;&gt;OK"),0))&gt;0,"Ligne(s) à corriger",IF(AND(W609&lt;&gt;"",N(W609)&lt;0),"Trop-perçu : vérifiez paiements et avoirs","OK")))))))))))))))))))))</f>
        <v/>
      </c>
      <c r="AA609" s="62" t="str">
        <f>IF(COUNTA(B609:D609,F609:O609)&gt;0,IF(B609="","Facture",B609),"")</f>
        <v/>
      </c>
      <c r="AB609" s="62" t="str">
        <f>IF(AA609="","",IF(AA609="Avoir",p_pav,IF(AA609="Facture d'acompte",p_pac,p_pfa)))</f>
        <v/>
      </c>
      <c r="AC609" s="62">
        <f>IF(ISNUMBER(C609),C609,0)</f>
        <v>0.0</v>
      </c>
      <c r="AD609" s="62" t="str">
        <f>IF(OR(AA609="",AC609=0),"",YEAR(AC609))</f>
        <v/>
      </c>
      <c r="AE609" s="62" t="str">
        <f>IF(AD609="","",COUNTIFS($AB$6:AB609,AB609,$AD$6:AD609,AD609))</f>
        <v/>
      </c>
      <c r="AF609" s="62">
        <f>IF(A609="",0,COUNTIF(fl_doc,A609))</f>
        <v>0.0</v>
      </c>
      <c r="AG609" s="62" t="str">
        <f>IF(A609="","",IF(AF609&gt;0,"Facture",IF(AND(F609&lt;&gt;"",AA609="Facture",ISNUMBER(MATCH(F609,dv_num,0))),"Devis","")))</f>
        <v/>
      </c>
      <c r="AH609" s="62" t="str">
        <f>IF(AND(A609&lt;&gt;"",F609&lt;&gt;"",AA609&lt;&gt;"Avoir"),F609,"")</f>
        <v/>
      </c>
      <c r="AI609" s="62" t="str">
        <f>IF(AG609="Devis",F609,"")</f>
        <v/>
      </c>
      <c r="AJ609" s="62">
        <f>IF(AG609="Facture",SUMIF(fl_doc,A609,fl_ht),IF(AG609="Devis",SUMIF(dl_doc,F609,dl_ht),0))</f>
        <v>0.0</v>
      </c>
      <c r="AK609" s="62">
        <f>IF(OR(AG609="",INDEX(p_rates,1)=""),0,IF(AG609="Facture",SUMIFS(fl_ht,fl_doc,A609,fl_rate,INDEX(p_rates,1)),SUMIFS(dl_ht,dl_doc,F609,dl_rate,INDEX(p_rates,1))))</f>
        <v>0.0</v>
      </c>
      <c r="AL609" s="62">
        <f>IF(OR(AG609="",INDEX(p_rates,2)=""),0,IF(AG609="Facture",SUMIFS(fl_ht,fl_doc,A609,fl_rate,INDEX(p_rates,2)),SUMIFS(dl_ht,dl_doc,F609,dl_rate,INDEX(p_rates,2))))</f>
        <v>0.0</v>
      </c>
      <c r="AM609" s="62">
        <f>IF(OR(AG609="",INDEX(p_rates,3)=""),0,IF(AG609="Facture",SUMIFS(fl_ht,fl_doc,A609,fl_rate,INDEX(p_rates,3)),SUMIFS(dl_ht,dl_doc,F609,dl_rate,INDEX(p_rates,3))))</f>
        <v>0.0</v>
      </c>
      <c r="AN609" s="62">
        <f>IF(OR(AG609="",INDEX(p_rates,4)=""),0,IF(AG609="Facture",SUMIFS(fl_ht,fl_doc,A609,fl_rate,INDEX(p_rates,4)),SUMIFS(dl_ht,dl_doc,F609,dl_rate,INDEX(p_rates,4))))</f>
        <v>0.0</v>
      </c>
      <c r="AO609" s="62">
        <f>IF(OR(AG609="",INDEX(p_rates,5)=""),0,IF(AG609="Facture",SUMIFS(fl_ht,fl_doc,A609,fl_rate,INDEX(p_rates,5)),SUMIFS(dl_ht,dl_doc,F609,dl_rate,INDEX(p_rates,5))))</f>
        <v>0.0</v>
      </c>
      <c r="AP609" s="62">
        <f>IF(OR(AG609="",INDEX(p_rates,6)=""),0,IF(AG609="Facture",SUMIFS(fl_ht,fl_doc,A609,fl_rate,INDEX(p_rates,6)),SUMIFS(dl_ht,dl_doc,F609,dl_rate,INDEX(p_rates,6))))</f>
        <v>0.0</v>
      </c>
      <c r="AQ609" s="62">
        <f>ROUND(AK609*N(INDEX(p_rates,1)),2)+ROUND(AL609*N(INDEX(p_rates,2)),2)+ROUND(AM609*N(INDEX(p_rates,3)),2)+ROUND(AN609*N(INDEX(p_rates,4)),2)+ROUND(AO609*N(INDEX(p_rates,5)),2)+ROUND(AP609*N(INDEX(p_rates,6)),2)</f>
        <v>0.0</v>
      </c>
      <c r="AR609" s="62" t="str">
        <f>IF(OR(L609="",AA609&lt;&gt;"Facture"),"",IFERROR(IF(INDEX(fa_type,MATCH(L609,fa_num,0))="Facture d'acompte",MATCH(L609,fa_num,0),""),""))</f>
        <v/>
      </c>
      <c r="AS609" s="62" t="str">
        <f>IF(W609="","",IF(W609&lt;=0,"",IF(p_asof-P609&lt;=0,"Non échu",IF(p_asof-P609&lt;=30,"1-30 j",IF(p_asof-P609&lt;=60,"31-60 j",IF(p_asof-P609&lt;=90,"61-90 j","Plus de 90 j"))))))</f>
        <v/>
      </c>
      <c r="AT609" s="62" t="str">
        <f>IF(AS609="","",p_asof-P609)</f>
        <v/>
      </c>
      <c r="AU609" s="62" t="str">
        <f>IF(AT609="","",COUNTIF($AT$6:$AT$805,"&gt;"&amp;AT609)+COUNTIF($AT$6:AT609,AT609))</f>
        <v/>
      </c>
    </row>
    <row r="610">
      <c r="A610" s="59" t="str">
        <f>IF(AE610="","",AB610&amp;"-"&amp;AD610&amp;"-"&amp;RIGHT("000"&amp;AE610,4))</f>
        <v/>
      </c>
      <c r="B610" s="60" t="n"/>
      <c r="C610" s="61" t="n"/>
      <c r="D610" s="60" t="n"/>
      <c r="E610" s="62" t="str">
        <f>IF(D610="","",IFERROR(INDEX(cli_name,MATCH(D610,cli_code,0))&amp;"","Client inconnu"))</f>
        <v/>
      </c>
      <c r="F610" s="60" t="n"/>
      <c r="G610" s="63" t="n"/>
      <c r="H610" s="61" t="n"/>
      <c r="I610" s="63" t="n"/>
      <c r="J610" s="60" t="n"/>
      <c r="K610" s="61" t="n"/>
      <c r="L610" s="60" t="n"/>
      <c r="M610" s="60" t="n"/>
      <c r="N610" s="60" t="n"/>
      <c r="O610" s="61" t="n"/>
      <c r="P610" s="64" t="str">
        <f>IF(A610="","",IF(AA610="Avoir",AC610,IF(ISNUMBER(K610),K610,AC610+IF(D610="",N(p_delay),IFERROR(IF(ISNUMBER(INDEX(cli_delay,MATCH(D610,cli_code,0))),INDEX(cli_delay,MATCH(D610,cli_code,0)),N(p_delay)),N(p_delay))))))</f>
        <v/>
      </c>
      <c r="Q610" s="65" t="str">
        <f>IF(A610="","",IF(AA610="Avoir",-1,1)*ROUND(AJ610-IF(AR610="",0,INDEX(fa_htb,AR610)),2))</f>
        <v/>
      </c>
      <c r="R610" s="65" t="str">
        <f>IF(A610="","",IF(AA610="Avoir",-1,1)*ROUND(AQ610-IF(AR610="",0,INDEX(fa_tvab,AR610)),2))</f>
        <v/>
      </c>
      <c r="S610" s="65" t="str">
        <f>IF(A610="","",Q610+R610)</f>
        <v/>
      </c>
      <c r="T610" s="65" t="str">
        <f>IF(AR610="","",INDEX(fa_htb,AR610)+INDEX(fa_tvab,AR610))</f>
        <v/>
      </c>
      <c r="U610" s="65" t="str">
        <f>IF(A610="","",SUMIF(pa_inv,A610,pa_amt))</f>
        <v/>
      </c>
      <c r="V610" s="65" t="str">
        <f>IF(OR(A610="",AA610="Avoir"),"",-SUMIFS(fa_ttc,fa_avof,A610,fa_type,"Avoir"))</f>
        <v/>
      </c>
      <c r="W610" s="65" t="str">
        <f>IF(OR(A610="",AA610="Avoir"),"",ROUND(S610-U610-V610,2))</f>
        <v/>
      </c>
      <c r="X610" s="66" t="str">
        <f>IF(W610="","",IF(AND(W610&gt;0,p_asof&gt;P610),p_asof-P610,""))</f>
        <v/>
      </c>
      <c r="Y610" s="59" t="str">
        <f>IF(A610="","",IF(AA610="Avoir","Avoir",IF(W610&lt;0,"Trop-perçu",IF(W610=0,"Soldée",IF(p_asof&gt;P610,"En retard",IF(U610+V610&gt;0,"Partielle","À échoir"))))))</f>
        <v/>
      </c>
      <c r="Z610" s="59" t="str">
        <f>IF(NOT(COUNTA(B610:D610,F610:O610)&gt;0),"",IF(C610="","Date manquante",IF(NOT(ISNUMBER(C610)),"Date invalide",IF(D610="","Client manquant",IF(ISNA(MATCH(D610,cli_code,0)),"Client inconnu",IF(AC610&lt;SUMPRODUCT(MAX(($AB$6:AB609=AB610)*$AC$6:AC609)),"Date antérieure à la facture précédente",IF(AND(F610&lt;&gt;"",ISNA(MATCH(F610,dv_num,0))),"Devis inconnu",IF(AND(F610&lt;&gt;"",IFERROR(INDEX(dv_client,MATCH(F610,dv_num,0)),D610)&lt;&gt;D610),"Client différent de celui du devis",IF(AG610="","Aucune ligne : saisissez des lignes ou un devis",IF(AND(AI610&lt;&gt;"",COUNTIF($AI$6:AI610,AI610)&gt;1),"Devis déjà repris par une autre facture",IF(AND(AA610="Avoir",M610=""),"Avoir : indiquez la facture d'origine",IF(AND(AA610="Avoir",ISNA(MATCH(M610,fa_num,0))),"Facture d'origine inconnue",IF(AND(AA610&lt;&gt;"Avoir",M610&lt;&gt;""),"« Avoir sur facture » : réservé aux avoirs",IF(AND(L610&lt;&gt;"",AA610&lt;&gt;"Facture"),"Acompte à déduire : réservé aux factures",IF(AND(L610&lt;&gt;"",ISNA(MATCH(L610,fa_num,0))),"Facture d'acompte inconnue",IF(AND(L610&lt;&gt;"",IFERROR(INDEX(fa_type,MATCH(L610,fa_num,0)),"")&lt;&gt;"Facture d'acompte"),"Le n° à déduire n'est pas une facture d'acompte",IF(AND(L610&lt;&gt;"",COUNTIF($L$6:L610,L610)&gt;1),"Acompte déjà déduit sur une autre facture",IF(AND(L610&lt;&gt;"",IFERROR(INDEX(fa_client,MATCH(L610,fa_num,0)),D610)&lt;&gt;D610),"Acompte d'un autre client",IF(AND(AR610&lt;&gt;"",N(Q610)&lt;0),"Acompte supérieur au total de la facture",IF(IF(AG610="Facture",COUNTIFS(fl_doc,A610,fl_check,"&lt;&gt;OK"),IF(AG610="Devis",COUNTIFS(dl_doc,F610,dl_check,"&lt;&gt;OK"),0))&gt;0,"Ligne(s) à corriger",IF(AND(W610&lt;&gt;"",N(W610)&lt;0),"Trop-perçu : vérifiez paiements et avoirs","OK")))))))))))))))))))))</f>
        <v/>
      </c>
      <c r="AA610" s="62" t="str">
        <f>IF(COUNTA(B610:D610,F610:O610)&gt;0,IF(B610="","Facture",B610),"")</f>
        <v/>
      </c>
      <c r="AB610" s="62" t="str">
        <f>IF(AA610="","",IF(AA610="Avoir",p_pav,IF(AA610="Facture d'acompte",p_pac,p_pfa)))</f>
        <v/>
      </c>
      <c r="AC610" s="62">
        <f>IF(ISNUMBER(C610),C610,0)</f>
        <v>0.0</v>
      </c>
      <c r="AD610" s="62" t="str">
        <f>IF(OR(AA610="",AC610=0),"",YEAR(AC610))</f>
        <v/>
      </c>
      <c r="AE610" s="62" t="str">
        <f>IF(AD610="","",COUNTIFS($AB$6:AB610,AB610,$AD$6:AD610,AD610))</f>
        <v/>
      </c>
      <c r="AF610" s="62">
        <f>IF(A610="",0,COUNTIF(fl_doc,A610))</f>
        <v>0.0</v>
      </c>
      <c r="AG610" s="62" t="str">
        <f>IF(A610="","",IF(AF610&gt;0,"Facture",IF(AND(F610&lt;&gt;"",AA610="Facture",ISNUMBER(MATCH(F610,dv_num,0))),"Devis","")))</f>
        <v/>
      </c>
      <c r="AH610" s="62" t="str">
        <f>IF(AND(A610&lt;&gt;"",F610&lt;&gt;"",AA610&lt;&gt;"Avoir"),F610,"")</f>
        <v/>
      </c>
      <c r="AI610" s="62" t="str">
        <f>IF(AG610="Devis",F610,"")</f>
        <v/>
      </c>
      <c r="AJ610" s="62">
        <f>IF(AG610="Facture",SUMIF(fl_doc,A610,fl_ht),IF(AG610="Devis",SUMIF(dl_doc,F610,dl_ht),0))</f>
        <v>0.0</v>
      </c>
      <c r="AK610" s="62">
        <f>IF(OR(AG610="",INDEX(p_rates,1)=""),0,IF(AG610="Facture",SUMIFS(fl_ht,fl_doc,A610,fl_rate,INDEX(p_rates,1)),SUMIFS(dl_ht,dl_doc,F610,dl_rate,INDEX(p_rates,1))))</f>
        <v>0.0</v>
      </c>
      <c r="AL610" s="62">
        <f>IF(OR(AG610="",INDEX(p_rates,2)=""),0,IF(AG610="Facture",SUMIFS(fl_ht,fl_doc,A610,fl_rate,INDEX(p_rates,2)),SUMIFS(dl_ht,dl_doc,F610,dl_rate,INDEX(p_rates,2))))</f>
        <v>0.0</v>
      </c>
      <c r="AM610" s="62">
        <f>IF(OR(AG610="",INDEX(p_rates,3)=""),0,IF(AG610="Facture",SUMIFS(fl_ht,fl_doc,A610,fl_rate,INDEX(p_rates,3)),SUMIFS(dl_ht,dl_doc,F610,dl_rate,INDEX(p_rates,3))))</f>
        <v>0.0</v>
      </c>
      <c r="AN610" s="62">
        <f>IF(OR(AG610="",INDEX(p_rates,4)=""),0,IF(AG610="Facture",SUMIFS(fl_ht,fl_doc,A610,fl_rate,INDEX(p_rates,4)),SUMIFS(dl_ht,dl_doc,F610,dl_rate,INDEX(p_rates,4))))</f>
        <v>0.0</v>
      </c>
      <c r="AO610" s="62">
        <f>IF(OR(AG610="",INDEX(p_rates,5)=""),0,IF(AG610="Facture",SUMIFS(fl_ht,fl_doc,A610,fl_rate,INDEX(p_rates,5)),SUMIFS(dl_ht,dl_doc,F610,dl_rate,INDEX(p_rates,5))))</f>
        <v>0.0</v>
      </c>
      <c r="AP610" s="62">
        <f>IF(OR(AG610="",INDEX(p_rates,6)=""),0,IF(AG610="Facture",SUMIFS(fl_ht,fl_doc,A610,fl_rate,INDEX(p_rates,6)),SUMIFS(dl_ht,dl_doc,F610,dl_rate,INDEX(p_rates,6))))</f>
        <v>0.0</v>
      </c>
      <c r="AQ610" s="62">
        <f>ROUND(AK610*N(INDEX(p_rates,1)),2)+ROUND(AL610*N(INDEX(p_rates,2)),2)+ROUND(AM610*N(INDEX(p_rates,3)),2)+ROUND(AN610*N(INDEX(p_rates,4)),2)+ROUND(AO610*N(INDEX(p_rates,5)),2)+ROUND(AP610*N(INDEX(p_rates,6)),2)</f>
        <v>0.0</v>
      </c>
      <c r="AR610" s="62" t="str">
        <f>IF(OR(L610="",AA610&lt;&gt;"Facture"),"",IFERROR(IF(INDEX(fa_type,MATCH(L610,fa_num,0))="Facture d'acompte",MATCH(L610,fa_num,0),""),""))</f>
        <v/>
      </c>
      <c r="AS610" s="62" t="str">
        <f>IF(W610="","",IF(W610&lt;=0,"",IF(p_asof-P610&lt;=0,"Non échu",IF(p_asof-P610&lt;=30,"1-30 j",IF(p_asof-P610&lt;=60,"31-60 j",IF(p_asof-P610&lt;=90,"61-90 j","Plus de 90 j"))))))</f>
        <v/>
      </c>
      <c r="AT610" s="62" t="str">
        <f>IF(AS610="","",p_asof-P610)</f>
        <v/>
      </c>
      <c r="AU610" s="62" t="str">
        <f>IF(AT610="","",COUNTIF($AT$6:$AT$805,"&gt;"&amp;AT610)+COUNTIF($AT$6:AT610,AT610))</f>
        <v/>
      </c>
    </row>
    <row r="611">
      <c r="A611" s="59" t="str">
        <f>IF(AE611="","",AB611&amp;"-"&amp;AD611&amp;"-"&amp;RIGHT("000"&amp;AE611,4))</f>
        <v/>
      </c>
      <c r="B611" s="60" t="n"/>
      <c r="C611" s="61" t="n"/>
      <c r="D611" s="60" t="n"/>
      <c r="E611" s="62" t="str">
        <f>IF(D611="","",IFERROR(INDEX(cli_name,MATCH(D611,cli_code,0))&amp;"","Client inconnu"))</f>
        <v/>
      </c>
      <c r="F611" s="60" t="n"/>
      <c r="G611" s="63" t="n"/>
      <c r="H611" s="61" t="n"/>
      <c r="I611" s="63" t="n"/>
      <c r="J611" s="60" t="n"/>
      <c r="K611" s="61" t="n"/>
      <c r="L611" s="60" t="n"/>
      <c r="M611" s="60" t="n"/>
      <c r="N611" s="60" t="n"/>
      <c r="O611" s="61" t="n"/>
      <c r="P611" s="64" t="str">
        <f>IF(A611="","",IF(AA611="Avoir",AC611,IF(ISNUMBER(K611),K611,AC611+IF(D611="",N(p_delay),IFERROR(IF(ISNUMBER(INDEX(cli_delay,MATCH(D611,cli_code,0))),INDEX(cli_delay,MATCH(D611,cli_code,0)),N(p_delay)),N(p_delay))))))</f>
        <v/>
      </c>
      <c r="Q611" s="65" t="str">
        <f>IF(A611="","",IF(AA611="Avoir",-1,1)*ROUND(AJ611-IF(AR611="",0,INDEX(fa_htb,AR611)),2))</f>
        <v/>
      </c>
      <c r="R611" s="65" t="str">
        <f>IF(A611="","",IF(AA611="Avoir",-1,1)*ROUND(AQ611-IF(AR611="",0,INDEX(fa_tvab,AR611)),2))</f>
        <v/>
      </c>
      <c r="S611" s="65" t="str">
        <f>IF(A611="","",Q611+R611)</f>
        <v/>
      </c>
      <c r="T611" s="65" t="str">
        <f>IF(AR611="","",INDEX(fa_htb,AR611)+INDEX(fa_tvab,AR611))</f>
        <v/>
      </c>
      <c r="U611" s="65" t="str">
        <f>IF(A611="","",SUMIF(pa_inv,A611,pa_amt))</f>
        <v/>
      </c>
      <c r="V611" s="65" t="str">
        <f>IF(OR(A611="",AA611="Avoir"),"",-SUMIFS(fa_ttc,fa_avof,A611,fa_type,"Avoir"))</f>
        <v/>
      </c>
      <c r="W611" s="65" t="str">
        <f>IF(OR(A611="",AA611="Avoir"),"",ROUND(S611-U611-V611,2))</f>
        <v/>
      </c>
      <c r="X611" s="66" t="str">
        <f>IF(W611="","",IF(AND(W611&gt;0,p_asof&gt;P611),p_asof-P611,""))</f>
        <v/>
      </c>
      <c r="Y611" s="59" t="str">
        <f>IF(A611="","",IF(AA611="Avoir","Avoir",IF(W611&lt;0,"Trop-perçu",IF(W611=0,"Soldée",IF(p_asof&gt;P611,"En retard",IF(U611+V611&gt;0,"Partielle","À échoir"))))))</f>
        <v/>
      </c>
      <c r="Z611" s="59" t="str">
        <f>IF(NOT(COUNTA(B611:D611,F611:O611)&gt;0),"",IF(C611="","Date manquante",IF(NOT(ISNUMBER(C611)),"Date invalide",IF(D611="","Client manquant",IF(ISNA(MATCH(D611,cli_code,0)),"Client inconnu",IF(AC611&lt;SUMPRODUCT(MAX(($AB$6:AB610=AB611)*$AC$6:AC610)),"Date antérieure à la facture précédente",IF(AND(F611&lt;&gt;"",ISNA(MATCH(F611,dv_num,0))),"Devis inconnu",IF(AND(F611&lt;&gt;"",IFERROR(INDEX(dv_client,MATCH(F611,dv_num,0)),D611)&lt;&gt;D611),"Client différent de celui du devis",IF(AG611="","Aucune ligne : saisissez des lignes ou un devis",IF(AND(AI611&lt;&gt;"",COUNTIF($AI$6:AI611,AI611)&gt;1),"Devis déjà repris par une autre facture",IF(AND(AA611="Avoir",M611=""),"Avoir : indiquez la facture d'origine",IF(AND(AA611="Avoir",ISNA(MATCH(M611,fa_num,0))),"Facture d'origine inconnue",IF(AND(AA611&lt;&gt;"Avoir",M611&lt;&gt;""),"« Avoir sur facture » : réservé aux avoirs",IF(AND(L611&lt;&gt;"",AA611&lt;&gt;"Facture"),"Acompte à déduire : réservé aux factures",IF(AND(L611&lt;&gt;"",ISNA(MATCH(L611,fa_num,0))),"Facture d'acompte inconnue",IF(AND(L611&lt;&gt;"",IFERROR(INDEX(fa_type,MATCH(L611,fa_num,0)),"")&lt;&gt;"Facture d'acompte"),"Le n° à déduire n'est pas une facture d'acompte",IF(AND(L611&lt;&gt;"",COUNTIF($L$6:L611,L611)&gt;1),"Acompte déjà déduit sur une autre facture",IF(AND(L611&lt;&gt;"",IFERROR(INDEX(fa_client,MATCH(L611,fa_num,0)),D611)&lt;&gt;D611),"Acompte d'un autre client",IF(AND(AR611&lt;&gt;"",N(Q611)&lt;0),"Acompte supérieur au total de la facture",IF(IF(AG611="Facture",COUNTIFS(fl_doc,A611,fl_check,"&lt;&gt;OK"),IF(AG611="Devis",COUNTIFS(dl_doc,F611,dl_check,"&lt;&gt;OK"),0))&gt;0,"Ligne(s) à corriger",IF(AND(W611&lt;&gt;"",N(W611)&lt;0),"Trop-perçu : vérifiez paiements et avoirs","OK")))))))))))))))))))))</f>
        <v/>
      </c>
      <c r="AA611" s="62" t="str">
        <f>IF(COUNTA(B611:D611,F611:O611)&gt;0,IF(B611="","Facture",B611),"")</f>
        <v/>
      </c>
      <c r="AB611" s="62" t="str">
        <f>IF(AA611="","",IF(AA611="Avoir",p_pav,IF(AA611="Facture d'acompte",p_pac,p_pfa)))</f>
        <v/>
      </c>
      <c r="AC611" s="62">
        <f>IF(ISNUMBER(C611),C611,0)</f>
        <v>0.0</v>
      </c>
      <c r="AD611" s="62" t="str">
        <f>IF(OR(AA611="",AC611=0),"",YEAR(AC611))</f>
        <v/>
      </c>
      <c r="AE611" s="62" t="str">
        <f>IF(AD611="","",COUNTIFS($AB$6:AB611,AB611,$AD$6:AD611,AD611))</f>
        <v/>
      </c>
      <c r="AF611" s="62">
        <f>IF(A611="",0,COUNTIF(fl_doc,A611))</f>
        <v>0.0</v>
      </c>
      <c r="AG611" s="62" t="str">
        <f>IF(A611="","",IF(AF611&gt;0,"Facture",IF(AND(F611&lt;&gt;"",AA611="Facture",ISNUMBER(MATCH(F611,dv_num,0))),"Devis","")))</f>
        <v/>
      </c>
      <c r="AH611" s="62" t="str">
        <f>IF(AND(A611&lt;&gt;"",F611&lt;&gt;"",AA611&lt;&gt;"Avoir"),F611,"")</f>
        <v/>
      </c>
      <c r="AI611" s="62" t="str">
        <f>IF(AG611="Devis",F611,"")</f>
        <v/>
      </c>
      <c r="AJ611" s="62">
        <f>IF(AG611="Facture",SUMIF(fl_doc,A611,fl_ht),IF(AG611="Devis",SUMIF(dl_doc,F611,dl_ht),0))</f>
        <v>0.0</v>
      </c>
      <c r="AK611" s="62">
        <f>IF(OR(AG611="",INDEX(p_rates,1)=""),0,IF(AG611="Facture",SUMIFS(fl_ht,fl_doc,A611,fl_rate,INDEX(p_rates,1)),SUMIFS(dl_ht,dl_doc,F611,dl_rate,INDEX(p_rates,1))))</f>
        <v>0.0</v>
      </c>
      <c r="AL611" s="62">
        <f>IF(OR(AG611="",INDEX(p_rates,2)=""),0,IF(AG611="Facture",SUMIFS(fl_ht,fl_doc,A611,fl_rate,INDEX(p_rates,2)),SUMIFS(dl_ht,dl_doc,F611,dl_rate,INDEX(p_rates,2))))</f>
        <v>0.0</v>
      </c>
      <c r="AM611" s="62">
        <f>IF(OR(AG611="",INDEX(p_rates,3)=""),0,IF(AG611="Facture",SUMIFS(fl_ht,fl_doc,A611,fl_rate,INDEX(p_rates,3)),SUMIFS(dl_ht,dl_doc,F611,dl_rate,INDEX(p_rates,3))))</f>
        <v>0.0</v>
      </c>
      <c r="AN611" s="62">
        <f>IF(OR(AG611="",INDEX(p_rates,4)=""),0,IF(AG611="Facture",SUMIFS(fl_ht,fl_doc,A611,fl_rate,INDEX(p_rates,4)),SUMIFS(dl_ht,dl_doc,F611,dl_rate,INDEX(p_rates,4))))</f>
        <v>0.0</v>
      </c>
      <c r="AO611" s="62">
        <f>IF(OR(AG611="",INDEX(p_rates,5)=""),0,IF(AG611="Facture",SUMIFS(fl_ht,fl_doc,A611,fl_rate,INDEX(p_rates,5)),SUMIFS(dl_ht,dl_doc,F611,dl_rate,INDEX(p_rates,5))))</f>
        <v>0.0</v>
      </c>
      <c r="AP611" s="62">
        <f>IF(OR(AG611="",INDEX(p_rates,6)=""),0,IF(AG611="Facture",SUMIFS(fl_ht,fl_doc,A611,fl_rate,INDEX(p_rates,6)),SUMIFS(dl_ht,dl_doc,F611,dl_rate,INDEX(p_rates,6))))</f>
        <v>0.0</v>
      </c>
      <c r="AQ611" s="62">
        <f>ROUND(AK611*N(INDEX(p_rates,1)),2)+ROUND(AL611*N(INDEX(p_rates,2)),2)+ROUND(AM611*N(INDEX(p_rates,3)),2)+ROUND(AN611*N(INDEX(p_rates,4)),2)+ROUND(AO611*N(INDEX(p_rates,5)),2)+ROUND(AP611*N(INDEX(p_rates,6)),2)</f>
        <v>0.0</v>
      </c>
      <c r="AR611" s="62" t="str">
        <f>IF(OR(L611="",AA611&lt;&gt;"Facture"),"",IFERROR(IF(INDEX(fa_type,MATCH(L611,fa_num,0))="Facture d'acompte",MATCH(L611,fa_num,0),""),""))</f>
        <v/>
      </c>
      <c r="AS611" s="62" t="str">
        <f>IF(W611="","",IF(W611&lt;=0,"",IF(p_asof-P611&lt;=0,"Non échu",IF(p_asof-P611&lt;=30,"1-30 j",IF(p_asof-P611&lt;=60,"31-60 j",IF(p_asof-P611&lt;=90,"61-90 j","Plus de 90 j"))))))</f>
        <v/>
      </c>
      <c r="AT611" s="62" t="str">
        <f>IF(AS611="","",p_asof-P611)</f>
        <v/>
      </c>
      <c r="AU611" s="62" t="str">
        <f>IF(AT611="","",COUNTIF($AT$6:$AT$805,"&gt;"&amp;AT611)+COUNTIF($AT$6:AT611,AT611))</f>
        <v/>
      </c>
    </row>
    <row r="612">
      <c r="A612" s="59" t="str">
        <f>IF(AE612="","",AB612&amp;"-"&amp;AD612&amp;"-"&amp;RIGHT("000"&amp;AE612,4))</f>
        <v/>
      </c>
      <c r="B612" s="60" t="n"/>
      <c r="C612" s="61" t="n"/>
      <c r="D612" s="60" t="n"/>
      <c r="E612" s="62" t="str">
        <f>IF(D612="","",IFERROR(INDEX(cli_name,MATCH(D612,cli_code,0))&amp;"","Client inconnu"))</f>
        <v/>
      </c>
      <c r="F612" s="60" t="n"/>
      <c r="G612" s="63" t="n"/>
      <c r="H612" s="61" t="n"/>
      <c r="I612" s="63" t="n"/>
      <c r="J612" s="60" t="n"/>
      <c r="K612" s="61" t="n"/>
      <c r="L612" s="60" t="n"/>
      <c r="M612" s="60" t="n"/>
      <c r="N612" s="60" t="n"/>
      <c r="O612" s="61" t="n"/>
      <c r="P612" s="64" t="str">
        <f>IF(A612="","",IF(AA612="Avoir",AC612,IF(ISNUMBER(K612),K612,AC612+IF(D612="",N(p_delay),IFERROR(IF(ISNUMBER(INDEX(cli_delay,MATCH(D612,cli_code,0))),INDEX(cli_delay,MATCH(D612,cli_code,0)),N(p_delay)),N(p_delay))))))</f>
        <v/>
      </c>
      <c r="Q612" s="65" t="str">
        <f>IF(A612="","",IF(AA612="Avoir",-1,1)*ROUND(AJ612-IF(AR612="",0,INDEX(fa_htb,AR612)),2))</f>
        <v/>
      </c>
      <c r="R612" s="65" t="str">
        <f>IF(A612="","",IF(AA612="Avoir",-1,1)*ROUND(AQ612-IF(AR612="",0,INDEX(fa_tvab,AR612)),2))</f>
        <v/>
      </c>
      <c r="S612" s="65" t="str">
        <f>IF(A612="","",Q612+R612)</f>
        <v/>
      </c>
      <c r="T612" s="65" t="str">
        <f>IF(AR612="","",INDEX(fa_htb,AR612)+INDEX(fa_tvab,AR612))</f>
        <v/>
      </c>
      <c r="U612" s="65" t="str">
        <f>IF(A612="","",SUMIF(pa_inv,A612,pa_amt))</f>
        <v/>
      </c>
      <c r="V612" s="65" t="str">
        <f>IF(OR(A612="",AA612="Avoir"),"",-SUMIFS(fa_ttc,fa_avof,A612,fa_type,"Avoir"))</f>
        <v/>
      </c>
      <c r="W612" s="65" t="str">
        <f>IF(OR(A612="",AA612="Avoir"),"",ROUND(S612-U612-V612,2))</f>
        <v/>
      </c>
      <c r="X612" s="66" t="str">
        <f>IF(W612="","",IF(AND(W612&gt;0,p_asof&gt;P612),p_asof-P612,""))</f>
        <v/>
      </c>
      <c r="Y612" s="59" t="str">
        <f>IF(A612="","",IF(AA612="Avoir","Avoir",IF(W612&lt;0,"Trop-perçu",IF(W612=0,"Soldée",IF(p_asof&gt;P612,"En retard",IF(U612+V612&gt;0,"Partielle","À échoir"))))))</f>
        <v/>
      </c>
      <c r="Z612" s="59" t="str">
        <f>IF(NOT(COUNTA(B612:D612,F612:O612)&gt;0),"",IF(C612="","Date manquante",IF(NOT(ISNUMBER(C612)),"Date invalide",IF(D612="","Client manquant",IF(ISNA(MATCH(D612,cli_code,0)),"Client inconnu",IF(AC612&lt;SUMPRODUCT(MAX(($AB$6:AB611=AB612)*$AC$6:AC611)),"Date antérieure à la facture précédente",IF(AND(F612&lt;&gt;"",ISNA(MATCH(F612,dv_num,0))),"Devis inconnu",IF(AND(F612&lt;&gt;"",IFERROR(INDEX(dv_client,MATCH(F612,dv_num,0)),D612)&lt;&gt;D612),"Client différent de celui du devis",IF(AG612="","Aucune ligne : saisissez des lignes ou un devis",IF(AND(AI612&lt;&gt;"",COUNTIF($AI$6:AI612,AI612)&gt;1),"Devis déjà repris par une autre facture",IF(AND(AA612="Avoir",M612=""),"Avoir : indiquez la facture d'origine",IF(AND(AA612="Avoir",ISNA(MATCH(M612,fa_num,0))),"Facture d'origine inconnue",IF(AND(AA612&lt;&gt;"Avoir",M612&lt;&gt;""),"« Avoir sur facture » : réservé aux avoirs",IF(AND(L612&lt;&gt;"",AA612&lt;&gt;"Facture"),"Acompte à déduire : réservé aux factures",IF(AND(L612&lt;&gt;"",ISNA(MATCH(L612,fa_num,0))),"Facture d'acompte inconnue",IF(AND(L612&lt;&gt;"",IFERROR(INDEX(fa_type,MATCH(L612,fa_num,0)),"")&lt;&gt;"Facture d'acompte"),"Le n° à déduire n'est pas une facture d'acompte",IF(AND(L612&lt;&gt;"",COUNTIF($L$6:L612,L612)&gt;1),"Acompte déjà déduit sur une autre facture",IF(AND(L612&lt;&gt;"",IFERROR(INDEX(fa_client,MATCH(L612,fa_num,0)),D612)&lt;&gt;D612),"Acompte d'un autre client",IF(AND(AR612&lt;&gt;"",N(Q612)&lt;0),"Acompte supérieur au total de la facture",IF(IF(AG612="Facture",COUNTIFS(fl_doc,A612,fl_check,"&lt;&gt;OK"),IF(AG612="Devis",COUNTIFS(dl_doc,F612,dl_check,"&lt;&gt;OK"),0))&gt;0,"Ligne(s) à corriger",IF(AND(W612&lt;&gt;"",N(W612)&lt;0),"Trop-perçu : vérifiez paiements et avoirs","OK")))))))))))))))))))))</f>
        <v/>
      </c>
      <c r="AA612" s="62" t="str">
        <f>IF(COUNTA(B612:D612,F612:O612)&gt;0,IF(B612="","Facture",B612),"")</f>
        <v/>
      </c>
      <c r="AB612" s="62" t="str">
        <f>IF(AA612="","",IF(AA612="Avoir",p_pav,IF(AA612="Facture d'acompte",p_pac,p_pfa)))</f>
        <v/>
      </c>
      <c r="AC612" s="62">
        <f>IF(ISNUMBER(C612),C612,0)</f>
        <v>0.0</v>
      </c>
      <c r="AD612" s="62" t="str">
        <f>IF(OR(AA612="",AC612=0),"",YEAR(AC612))</f>
        <v/>
      </c>
      <c r="AE612" s="62" t="str">
        <f>IF(AD612="","",COUNTIFS($AB$6:AB612,AB612,$AD$6:AD612,AD612))</f>
        <v/>
      </c>
      <c r="AF612" s="62">
        <f>IF(A612="",0,COUNTIF(fl_doc,A612))</f>
        <v>0.0</v>
      </c>
      <c r="AG612" s="62" t="str">
        <f>IF(A612="","",IF(AF612&gt;0,"Facture",IF(AND(F612&lt;&gt;"",AA612="Facture",ISNUMBER(MATCH(F612,dv_num,0))),"Devis","")))</f>
        <v/>
      </c>
      <c r="AH612" s="62" t="str">
        <f>IF(AND(A612&lt;&gt;"",F612&lt;&gt;"",AA612&lt;&gt;"Avoir"),F612,"")</f>
        <v/>
      </c>
      <c r="AI612" s="62" t="str">
        <f>IF(AG612="Devis",F612,"")</f>
        <v/>
      </c>
      <c r="AJ612" s="62">
        <f>IF(AG612="Facture",SUMIF(fl_doc,A612,fl_ht),IF(AG612="Devis",SUMIF(dl_doc,F612,dl_ht),0))</f>
        <v>0.0</v>
      </c>
      <c r="AK612" s="62">
        <f>IF(OR(AG612="",INDEX(p_rates,1)=""),0,IF(AG612="Facture",SUMIFS(fl_ht,fl_doc,A612,fl_rate,INDEX(p_rates,1)),SUMIFS(dl_ht,dl_doc,F612,dl_rate,INDEX(p_rates,1))))</f>
        <v>0.0</v>
      </c>
      <c r="AL612" s="62">
        <f>IF(OR(AG612="",INDEX(p_rates,2)=""),0,IF(AG612="Facture",SUMIFS(fl_ht,fl_doc,A612,fl_rate,INDEX(p_rates,2)),SUMIFS(dl_ht,dl_doc,F612,dl_rate,INDEX(p_rates,2))))</f>
        <v>0.0</v>
      </c>
      <c r="AM612" s="62">
        <f>IF(OR(AG612="",INDEX(p_rates,3)=""),0,IF(AG612="Facture",SUMIFS(fl_ht,fl_doc,A612,fl_rate,INDEX(p_rates,3)),SUMIFS(dl_ht,dl_doc,F612,dl_rate,INDEX(p_rates,3))))</f>
        <v>0.0</v>
      </c>
      <c r="AN612" s="62">
        <f>IF(OR(AG612="",INDEX(p_rates,4)=""),0,IF(AG612="Facture",SUMIFS(fl_ht,fl_doc,A612,fl_rate,INDEX(p_rates,4)),SUMIFS(dl_ht,dl_doc,F612,dl_rate,INDEX(p_rates,4))))</f>
        <v>0.0</v>
      </c>
      <c r="AO612" s="62">
        <f>IF(OR(AG612="",INDEX(p_rates,5)=""),0,IF(AG612="Facture",SUMIFS(fl_ht,fl_doc,A612,fl_rate,INDEX(p_rates,5)),SUMIFS(dl_ht,dl_doc,F612,dl_rate,INDEX(p_rates,5))))</f>
        <v>0.0</v>
      </c>
      <c r="AP612" s="62">
        <f>IF(OR(AG612="",INDEX(p_rates,6)=""),0,IF(AG612="Facture",SUMIFS(fl_ht,fl_doc,A612,fl_rate,INDEX(p_rates,6)),SUMIFS(dl_ht,dl_doc,F612,dl_rate,INDEX(p_rates,6))))</f>
        <v>0.0</v>
      </c>
      <c r="AQ612" s="62">
        <f>ROUND(AK612*N(INDEX(p_rates,1)),2)+ROUND(AL612*N(INDEX(p_rates,2)),2)+ROUND(AM612*N(INDEX(p_rates,3)),2)+ROUND(AN612*N(INDEX(p_rates,4)),2)+ROUND(AO612*N(INDEX(p_rates,5)),2)+ROUND(AP612*N(INDEX(p_rates,6)),2)</f>
        <v>0.0</v>
      </c>
      <c r="AR612" s="62" t="str">
        <f>IF(OR(L612="",AA612&lt;&gt;"Facture"),"",IFERROR(IF(INDEX(fa_type,MATCH(L612,fa_num,0))="Facture d'acompte",MATCH(L612,fa_num,0),""),""))</f>
        <v/>
      </c>
      <c r="AS612" s="62" t="str">
        <f>IF(W612="","",IF(W612&lt;=0,"",IF(p_asof-P612&lt;=0,"Non échu",IF(p_asof-P612&lt;=30,"1-30 j",IF(p_asof-P612&lt;=60,"31-60 j",IF(p_asof-P612&lt;=90,"61-90 j","Plus de 90 j"))))))</f>
        <v/>
      </c>
      <c r="AT612" s="62" t="str">
        <f>IF(AS612="","",p_asof-P612)</f>
        <v/>
      </c>
      <c r="AU612" s="62" t="str">
        <f>IF(AT612="","",COUNTIF($AT$6:$AT$805,"&gt;"&amp;AT612)+COUNTIF($AT$6:AT612,AT612))</f>
        <v/>
      </c>
    </row>
    <row r="613">
      <c r="A613" s="59" t="str">
        <f>IF(AE613="","",AB613&amp;"-"&amp;AD613&amp;"-"&amp;RIGHT("000"&amp;AE613,4))</f>
        <v/>
      </c>
      <c r="B613" s="60" t="n"/>
      <c r="C613" s="61" t="n"/>
      <c r="D613" s="60" t="n"/>
      <c r="E613" s="62" t="str">
        <f>IF(D613="","",IFERROR(INDEX(cli_name,MATCH(D613,cli_code,0))&amp;"","Client inconnu"))</f>
        <v/>
      </c>
      <c r="F613" s="60" t="n"/>
      <c r="G613" s="63" t="n"/>
      <c r="H613" s="61" t="n"/>
      <c r="I613" s="63" t="n"/>
      <c r="J613" s="60" t="n"/>
      <c r="K613" s="61" t="n"/>
      <c r="L613" s="60" t="n"/>
      <c r="M613" s="60" t="n"/>
      <c r="N613" s="60" t="n"/>
      <c r="O613" s="61" t="n"/>
      <c r="P613" s="64" t="str">
        <f>IF(A613="","",IF(AA613="Avoir",AC613,IF(ISNUMBER(K613),K613,AC613+IF(D613="",N(p_delay),IFERROR(IF(ISNUMBER(INDEX(cli_delay,MATCH(D613,cli_code,0))),INDEX(cli_delay,MATCH(D613,cli_code,0)),N(p_delay)),N(p_delay))))))</f>
        <v/>
      </c>
      <c r="Q613" s="65" t="str">
        <f>IF(A613="","",IF(AA613="Avoir",-1,1)*ROUND(AJ613-IF(AR613="",0,INDEX(fa_htb,AR613)),2))</f>
        <v/>
      </c>
      <c r="R613" s="65" t="str">
        <f>IF(A613="","",IF(AA613="Avoir",-1,1)*ROUND(AQ613-IF(AR613="",0,INDEX(fa_tvab,AR613)),2))</f>
        <v/>
      </c>
      <c r="S613" s="65" t="str">
        <f>IF(A613="","",Q613+R613)</f>
        <v/>
      </c>
      <c r="T613" s="65" t="str">
        <f>IF(AR613="","",INDEX(fa_htb,AR613)+INDEX(fa_tvab,AR613))</f>
        <v/>
      </c>
      <c r="U613" s="65" t="str">
        <f>IF(A613="","",SUMIF(pa_inv,A613,pa_amt))</f>
        <v/>
      </c>
      <c r="V613" s="65" t="str">
        <f>IF(OR(A613="",AA613="Avoir"),"",-SUMIFS(fa_ttc,fa_avof,A613,fa_type,"Avoir"))</f>
        <v/>
      </c>
      <c r="W613" s="65" t="str">
        <f>IF(OR(A613="",AA613="Avoir"),"",ROUND(S613-U613-V613,2))</f>
        <v/>
      </c>
      <c r="X613" s="66" t="str">
        <f>IF(W613="","",IF(AND(W613&gt;0,p_asof&gt;P613),p_asof-P613,""))</f>
        <v/>
      </c>
      <c r="Y613" s="59" t="str">
        <f>IF(A613="","",IF(AA613="Avoir","Avoir",IF(W613&lt;0,"Trop-perçu",IF(W613=0,"Soldée",IF(p_asof&gt;P613,"En retard",IF(U613+V613&gt;0,"Partielle","À échoir"))))))</f>
        <v/>
      </c>
      <c r="Z613" s="59" t="str">
        <f>IF(NOT(COUNTA(B613:D613,F613:O613)&gt;0),"",IF(C613="","Date manquante",IF(NOT(ISNUMBER(C613)),"Date invalide",IF(D613="","Client manquant",IF(ISNA(MATCH(D613,cli_code,0)),"Client inconnu",IF(AC613&lt;SUMPRODUCT(MAX(($AB$6:AB612=AB613)*$AC$6:AC612)),"Date antérieure à la facture précédente",IF(AND(F613&lt;&gt;"",ISNA(MATCH(F613,dv_num,0))),"Devis inconnu",IF(AND(F613&lt;&gt;"",IFERROR(INDEX(dv_client,MATCH(F613,dv_num,0)),D613)&lt;&gt;D613),"Client différent de celui du devis",IF(AG613="","Aucune ligne : saisissez des lignes ou un devis",IF(AND(AI613&lt;&gt;"",COUNTIF($AI$6:AI613,AI613)&gt;1),"Devis déjà repris par une autre facture",IF(AND(AA613="Avoir",M613=""),"Avoir : indiquez la facture d'origine",IF(AND(AA613="Avoir",ISNA(MATCH(M613,fa_num,0))),"Facture d'origine inconnue",IF(AND(AA613&lt;&gt;"Avoir",M613&lt;&gt;""),"« Avoir sur facture » : réservé aux avoirs",IF(AND(L613&lt;&gt;"",AA613&lt;&gt;"Facture"),"Acompte à déduire : réservé aux factures",IF(AND(L613&lt;&gt;"",ISNA(MATCH(L613,fa_num,0))),"Facture d'acompte inconnue",IF(AND(L613&lt;&gt;"",IFERROR(INDEX(fa_type,MATCH(L613,fa_num,0)),"")&lt;&gt;"Facture d'acompte"),"Le n° à déduire n'est pas une facture d'acompte",IF(AND(L613&lt;&gt;"",COUNTIF($L$6:L613,L613)&gt;1),"Acompte déjà déduit sur une autre facture",IF(AND(L613&lt;&gt;"",IFERROR(INDEX(fa_client,MATCH(L613,fa_num,0)),D613)&lt;&gt;D613),"Acompte d'un autre client",IF(AND(AR613&lt;&gt;"",N(Q613)&lt;0),"Acompte supérieur au total de la facture",IF(IF(AG613="Facture",COUNTIFS(fl_doc,A613,fl_check,"&lt;&gt;OK"),IF(AG613="Devis",COUNTIFS(dl_doc,F613,dl_check,"&lt;&gt;OK"),0))&gt;0,"Ligne(s) à corriger",IF(AND(W613&lt;&gt;"",N(W613)&lt;0),"Trop-perçu : vérifiez paiements et avoirs","OK")))))))))))))))))))))</f>
        <v/>
      </c>
      <c r="AA613" s="62" t="str">
        <f>IF(COUNTA(B613:D613,F613:O613)&gt;0,IF(B613="","Facture",B613),"")</f>
        <v/>
      </c>
      <c r="AB613" s="62" t="str">
        <f>IF(AA613="","",IF(AA613="Avoir",p_pav,IF(AA613="Facture d'acompte",p_pac,p_pfa)))</f>
        <v/>
      </c>
      <c r="AC613" s="62">
        <f>IF(ISNUMBER(C613),C613,0)</f>
        <v>0.0</v>
      </c>
      <c r="AD613" s="62" t="str">
        <f>IF(OR(AA613="",AC613=0),"",YEAR(AC613))</f>
        <v/>
      </c>
      <c r="AE613" s="62" t="str">
        <f>IF(AD613="","",COUNTIFS($AB$6:AB613,AB613,$AD$6:AD613,AD613))</f>
        <v/>
      </c>
      <c r="AF613" s="62">
        <f>IF(A613="",0,COUNTIF(fl_doc,A613))</f>
        <v>0.0</v>
      </c>
      <c r="AG613" s="62" t="str">
        <f>IF(A613="","",IF(AF613&gt;0,"Facture",IF(AND(F613&lt;&gt;"",AA613="Facture",ISNUMBER(MATCH(F613,dv_num,0))),"Devis","")))</f>
        <v/>
      </c>
      <c r="AH613" s="62" t="str">
        <f>IF(AND(A613&lt;&gt;"",F613&lt;&gt;"",AA613&lt;&gt;"Avoir"),F613,"")</f>
        <v/>
      </c>
      <c r="AI613" s="62" t="str">
        <f>IF(AG613="Devis",F613,"")</f>
        <v/>
      </c>
      <c r="AJ613" s="62">
        <f>IF(AG613="Facture",SUMIF(fl_doc,A613,fl_ht),IF(AG613="Devis",SUMIF(dl_doc,F613,dl_ht),0))</f>
        <v>0.0</v>
      </c>
      <c r="AK613" s="62">
        <f>IF(OR(AG613="",INDEX(p_rates,1)=""),0,IF(AG613="Facture",SUMIFS(fl_ht,fl_doc,A613,fl_rate,INDEX(p_rates,1)),SUMIFS(dl_ht,dl_doc,F613,dl_rate,INDEX(p_rates,1))))</f>
        <v>0.0</v>
      </c>
      <c r="AL613" s="62">
        <f>IF(OR(AG613="",INDEX(p_rates,2)=""),0,IF(AG613="Facture",SUMIFS(fl_ht,fl_doc,A613,fl_rate,INDEX(p_rates,2)),SUMIFS(dl_ht,dl_doc,F613,dl_rate,INDEX(p_rates,2))))</f>
        <v>0.0</v>
      </c>
      <c r="AM613" s="62">
        <f>IF(OR(AG613="",INDEX(p_rates,3)=""),0,IF(AG613="Facture",SUMIFS(fl_ht,fl_doc,A613,fl_rate,INDEX(p_rates,3)),SUMIFS(dl_ht,dl_doc,F613,dl_rate,INDEX(p_rates,3))))</f>
        <v>0.0</v>
      </c>
      <c r="AN613" s="62">
        <f>IF(OR(AG613="",INDEX(p_rates,4)=""),0,IF(AG613="Facture",SUMIFS(fl_ht,fl_doc,A613,fl_rate,INDEX(p_rates,4)),SUMIFS(dl_ht,dl_doc,F613,dl_rate,INDEX(p_rates,4))))</f>
        <v>0.0</v>
      </c>
      <c r="AO613" s="62">
        <f>IF(OR(AG613="",INDEX(p_rates,5)=""),0,IF(AG613="Facture",SUMIFS(fl_ht,fl_doc,A613,fl_rate,INDEX(p_rates,5)),SUMIFS(dl_ht,dl_doc,F613,dl_rate,INDEX(p_rates,5))))</f>
        <v>0.0</v>
      </c>
      <c r="AP613" s="62">
        <f>IF(OR(AG613="",INDEX(p_rates,6)=""),0,IF(AG613="Facture",SUMIFS(fl_ht,fl_doc,A613,fl_rate,INDEX(p_rates,6)),SUMIFS(dl_ht,dl_doc,F613,dl_rate,INDEX(p_rates,6))))</f>
        <v>0.0</v>
      </c>
      <c r="AQ613" s="62">
        <f>ROUND(AK613*N(INDEX(p_rates,1)),2)+ROUND(AL613*N(INDEX(p_rates,2)),2)+ROUND(AM613*N(INDEX(p_rates,3)),2)+ROUND(AN613*N(INDEX(p_rates,4)),2)+ROUND(AO613*N(INDEX(p_rates,5)),2)+ROUND(AP613*N(INDEX(p_rates,6)),2)</f>
        <v>0.0</v>
      </c>
      <c r="AR613" s="62" t="str">
        <f>IF(OR(L613="",AA613&lt;&gt;"Facture"),"",IFERROR(IF(INDEX(fa_type,MATCH(L613,fa_num,0))="Facture d'acompte",MATCH(L613,fa_num,0),""),""))</f>
        <v/>
      </c>
      <c r="AS613" s="62" t="str">
        <f>IF(W613="","",IF(W613&lt;=0,"",IF(p_asof-P613&lt;=0,"Non échu",IF(p_asof-P613&lt;=30,"1-30 j",IF(p_asof-P613&lt;=60,"31-60 j",IF(p_asof-P613&lt;=90,"61-90 j","Plus de 90 j"))))))</f>
        <v/>
      </c>
      <c r="AT613" s="62" t="str">
        <f>IF(AS613="","",p_asof-P613)</f>
        <v/>
      </c>
      <c r="AU613" s="62" t="str">
        <f>IF(AT613="","",COUNTIF($AT$6:$AT$805,"&gt;"&amp;AT613)+COUNTIF($AT$6:AT613,AT613))</f>
        <v/>
      </c>
    </row>
    <row r="614">
      <c r="A614" s="59" t="str">
        <f>IF(AE614="","",AB614&amp;"-"&amp;AD614&amp;"-"&amp;RIGHT("000"&amp;AE614,4))</f>
        <v/>
      </c>
      <c r="B614" s="60" t="n"/>
      <c r="C614" s="61" t="n"/>
      <c r="D614" s="60" t="n"/>
      <c r="E614" s="62" t="str">
        <f>IF(D614="","",IFERROR(INDEX(cli_name,MATCH(D614,cli_code,0))&amp;"","Client inconnu"))</f>
        <v/>
      </c>
      <c r="F614" s="60" t="n"/>
      <c r="G614" s="63" t="n"/>
      <c r="H614" s="61" t="n"/>
      <c r="I614" s="63" t="n"/>
      <c r="J614" s="60" t="n"/>
      <c r="K614" s="61" t="n"/>
      <c r="L614" s="60" t="n"/>
      <c r="M614" s="60" t="n"/>
      <c r="N614" s="60" t="n"/>
      <c r="O614" s="61" t="n"/>
      <c r="P614" s="64" t="str">
        <f>IF(A614="","",IF(AA614="Avoir",AC614,IF(ISNUMBER(K614),K614,AC614+IF(D614="",N(p_delay),IFERROR(IF(ISNUMBER(INDEX(cli_delay,MATCH(D614,cli_code,0))),INDEX(cli_delay,MATCH(D614,cli_code,0)),N(p_delay)),N(p_delay))))))</f>
        <v/>
      </c>
      <c r="Q614" s="65" t="str">
        <f>IF(A614="","",IF(AA614="Avoir",-1,1)*ROUND(AJ614-IF(AR614="",0,INDEX(fa_htb,AR614)),2))</f>
        <v/>
      </c>
      <c r="R614" s="65" t="str">
        <f>IF(A614="","",IF(AA614="Avoir",-1,1)*ROUND(AQ614-IF(AR614="",0,INDEX(fa_tvab,AR614)),2))</f>
        <v/>
      </c>
      <c r="S614" s="65" t="str">
        <f>IF(A614="","",Q614+R614)</f>
        <v/>
      </c>
      <c r="T614" s="65" t="str">
        <f>IF(AR614="","",INDEX(fa_htb,AR614)+INDEX(fa_tvab,AR614))</f>
        <v/>
      </c>
      <c r="U614" s="65" t="str">
        <f>IF(A614="","",SUMIF(pa_inv,A614,pa_amt))</f>
        <v/>
      </c>
      <c r="V614" s="65" t="str">
        <f>IF(OR(A614="",AA614="Avoir"),"",-SUMIFS(fa_ttc,fa_avof,A614,fa_type,"Avoir"))</f>
        <v/>
      </c>
      <c r="W614" s="65" t="str">
        <f>IF(OR(A614="",AA614="Avoir"),"",ROUND(S614-U614-V614,2))</f>
        <v/>
      </c>
      <c r="X614" s="66" t="str">
        <f>IF(W614="","",IF(AND(W614&gt;0,p_asof&gt;P614),p_asof-P614,""))</f>
        <v/>
      </c>
      <c r="Y614" s="59" t="str">
        <f>IF(A614="","",IF(AA614="Avoir","Avoir",IF(W614&lt;0,"Trop-perçu",IF(W614=0,"Soldée",IF(p_asof&gt;P614,"En retard",IF(U614+V614&gt;0,"Partielle","À échoir"))))))</f>
        <v/>
      </c>
      <c r="Z614" s="59" t="str">
        <f>IF(NOT(COUNTA(B614:D614,F614:O614)&gt;0),"",IF(C614="","Date manquante",IF(NOT(ISNUMBER(C614)),"Date invalide",IF(D614="","Client manquant",IF(ISNA(MATCH(D614,cli_code,0)),"Client inconnu",IF(AC614&lt;SUMPRODUCT(MAX(($AB$6:AB613=AB614)*$AC$6:AC613)),"Date antérieure à la facture précédente",IF(AND(F614&lt;&gt;"",ISNA(MATCH(F614,dv_num,0))),"Devis inconnu",IF(AND(F614&lt;&gt;"",IFERROR(INDEX(dv_client,MATCH(F614,dv_num,0)),D614)&lt;&gt;D614),"Client différent de celui du devis",IF(AG614="","Aucune ligne : saisissez des lignes ou un devis",IF(AND(AI614&lt;&gt;"",COUNTIF($AI$6:AI614,AI614)&gt;1),"Devis déjà repris par une autre facture",IF(AND(AA614="Avoir",M614=""),"Avoir : indiquez la facture d'origine",IF(AND(AA614="Avoir",ISNA(MATCH(M614,fa_num,0))),"Facture d'origine inconnue",IF(AND(AA614&lt;&gt;"Avoir",M614&lt;&gt;""),"« Avoir sur facture » : réservé aux avoirs",IF(AND(L614&lt;&gt;"",AA614&lt;&gt;"Facture"),"Acompte à déduire : réservé aux factures",IF(AND(L614&lt;&gt;"",ISNA(MATCH(L614,fa_num,0))),"Facture d'acompte inconnue",IF(AND(L614&lt;&gt;"",IFERROR(INDEX(fa_type,MATCH(L614,fa_num,0)),"")&lt;&gt;"Facture d'acompte"),"Le n° à déduire n'est pas une facture d'acompte",IF(AND(L614&lt;&gt;"",COUNTIF($L$6:L614,L614)&gt;1),"Acompte déjà déduit sur une autre facture",IF(AND(L614&lt;&gt;"",IFERROR(INDEX(fa_client,MATCH(L614,fa_num,0)),D614)&lt;&gt;D614),"Acompte d'un autre client",IF(AND(AR614&lt;&gt;"",N(Q614)&lt;0),"Acompte supérieur au total de la facture",IF(IF(AG614="Facture",COUNTIFS(fl_doc,A614,fl_check,"&lt;&gt;OK"),IF(AG614="Devis",COUNTIFS(dl_doc,F614,dl_check,"&lt;&gt;OK"),0))&gt;0,"Ligne(s) à corriger",IF(AND(W614&lt;&gt;"",N(W614)&lt;0),"Trop-perçu : vérifiez paiements et avoirs","OK")))))))))))))))))))))</f>
        <v/>
      </c>
      <c r="AA614" s="62" t="str">
        <f>IF(COUNTA(B614:D614,F614:O614)&gt;0,IF(B614="","Facture",B614),"")</f>
        <v/>
      </c>
      <c r="AB614" s="62" t="str">
        <f>IF(AA614="","",IF(AA614="Avoir",p_pav,IF(AA614="Facture d'acompte",p_pac,p_pfa)))</f>
        <v/>
      </c>
      <c r="AC614" s="62">
        <f>IF(ISNUMBER(C614),C614,0)</f>
        <v>0.0</v>
      </c>
      <c r="AD614" s="62" t="str">
        <f>IF(OR(AA614="",AC614=0),"",YEAR(AC614))</f>
        <v/>
      </c>
      <c r="AE614" s="62" t="str">
        <f>IF(AD614="","",COUNTIFS($AB$6:AB614,AB614,$AD$6:AD614,AD614))</f>
        <v/>
      </c>
      <c r="AF614" s="62">
        <f>IF(A614="",0,COUNTIF(fl_doc,A614))</f>
        <v>0.0</v>
      </c>
      <c r="AG614" s="62" t="str">
        <f>IF(A614="","",IF(AF614&gt;0,"Facture",IF(AND(F614&lt;&gt;"",AA614="Facture",ISNUMBER(MATCH(F614,dv_num,0))),"Devis","")))</f>
        <v/>
      </c>
      <c r="AH614" s="62" t="str">
        <f>IF(AND(A614&lt;&gt;"",F614&lt;&gt;"",AA614&lt;&gt;"Avoir"),F614,"")</f>
        <v/>
      </c>
      <c r="AI614" s="62" t="str">
        <f>IF(AG614="Devis",F614,"")</f>
        <v/>
      </c>
      <c r="AJ614" s="62">
        <f>IF(AG614="Facture",SUMIF(fl_doc,A614,fl_ht),IF(AG614="Devis",SUMIF(dl_doc,F614,dl_ht),0))</f>
        <v>0.0</v>
      </c>
      <c r="AK614" s="62">
        <f>IF(OR(AG614="",INDEX(p_rates,1)=""),0,IF(AG614="Facture",SUMIFS(fl_ht,fl_doc,A614,fl_rate,INDEX(p_rates,1)),SUMIFS(dl_ht,dl_doc,F614,dl_rate,INDEX(p_rates,1))))</f>
        <v>0.0</v>
      </c>
      <c r="AL614" s="62">
        <f>IF(OR(AG614="",INDEX(p_rates,2)=""),0,IF(AG614="Facture",SUMIFS(fl_ht,fl_doc,A614,fl_rate,INDEX(p_rates,2)),SUMIFS(dl_ht,dl_doc,F614,dl_rate,INDEX(p_rates,2))))</f>
        <v>0.0</v>
      </c>
      <c r="AM614" s="62">
        <f>IF(OR(AG614="",INDEX(p_rates,3)=""),0,IF(AG614="Facture",SUMIFS(fl_ht,fl_doc,A614,fl_rate,INDEX(p_rates,3)),SUMIFS(dl_ht,dl_doc,F614,dl_rate,INDEX(p_rates,3))))</f>
        <v>0.0</v>
      </c>
      <c r="AN614" s="62">
        <f>IF(OR(AG614="",INDEX(p_rates,4)=""),0,IF(AG614="Facture",SUMIFS(fl_ht,fl_doc,A614,fl_rate,INDEX(p_rates,4)),SUMIFS(dl_ht,dl_doc,F614,dl_rate,INDEX(p_rates,4))))</f>
        <v>0.0</v>
      </c>
      <c r="AO614" s="62">
        <f>IF(OR(AG614="",INDEX(p_rates,5)=""),0,IF(AG614="Facture",SUMIFS(fl_ht,fl_doc,A614,fl_rate,INDEX(p_rates,5)),SUMIFS(dl_ht,dl_doc,F614,dl_rate,INDEX(p_rates,5))))</f>
        <v>0.0</v>
      </c>
      <c r="AP614" s="62">
        <f>IF(OR(AG614="",INDEX(p_rates,6)=""),0,IF(AG614="Facture",SUMIFS(fl_ht,fl_doc,A614,fl_rate,INDEX(p_rates,6)),SUMIFS(dl_ht,dl_doc,F614,dl_rate,INDEX(p_rates,6))))</f>
        <v>0.0</v>
      </c>
      <c r="AQ614" s="62">
        <f>ROUND(AK614*N(INDEX(p_rates,1)),2)+ROUND(AL614*N(INDEX(p_rates,2)),2)+ROUND(AM614*N(INDEX(p_rates,3)),2)+ROUND(AN614*N(INDEX(p_rates,4)),2)+ROUND(AO614*N(INDEX(p_rates,5)),2)+ROUND(AP614*N(INDEX(p_rates,6)),2)</f>
        <v>0.0</v>
      </c>
      <c r="AR614" s="62" t="str">
        <f>IF(OR(L614="",AA614&lt;&gt;"Facture"),"",IFERROR(IF(INDEX(fa_type,MATCH(L614,fa_num,0))="Facture d'acompte",MATCH(L614,fa_num,0),""),""))</f>
        <v/>
      </c>
      <c r="AS614" s="62" t="str">
        <f>IF(W614="","",IF(W614&lt;=0,"",IF(p_asof-P614&lt;=0,"Non échu",IF(p_asof-P614&lt;=30,"1-30 j",IF(p_asof-P614&lt;=60,"31-60 j",IF(p_asof-P614&lt;=90,"61-90 j","Plus de 90 j"))))))</f>
        <v/>
      </c>
      <c r="AT614" s="62" t="str">
        <f>IF(AS614="","",p_asof-P614)</f>
        <v/>
      </c>
      <c r="AU614" s="62" t="str">
        <f>IF(AT614="","",COUNTIF($AT$6:$AT$805,"&gt;"&amp;AT614)+COUNTIF($AT$6:AT614,AT614))</f>
        <v/>
      </c>
    </row>
    <row r="615">
      <c r="A615" s="59" t="str">
        <f>IF(AE615="","",AB615&amp;"-"&amp;AD615&amp;"-"&amp;RIGHT("000"&amp;AE615,4))</f>
        <v/>
      </c>
      <c r="B615" s="60" t="n"/>
      <c r="C615" s="61" t="n"/>
      <c r="D615" s="60" t="n"/>
      <c r="E615" s="62" t="str">
        <f>IF(D615="","",IFERROR(INDEX(cli_name,MATCH(D615,cli_code,0))&amp;"","Client inconnu"))</f>
        <v/>
      </c>
      <c r="F615" s="60" t="n"/>
      <c r="G615" s="63" t="n"/>
      <c r="H615" s="61" t="n"/>
      <c r="I615" s="63" t="n"/>
      <c r="J615" s="60" t="n"/>
      <c r="K615" s="61" t="n"/>
      <c r="L615" s="60" t="n"/>
      <c r="M615" s="60" t="n"/>
      <c r="N615" s="60" t="n"/>
      <c r="O615" s="61" t="n"/>
      <c r="P615" s="64" t="str">
        <f>IF(A615="","",IF(AA615="Avoir",AC615,IF(ISNUMBER(K615),K615,AC615+IF(D615="",N(p_delay),IFERROR(IF(ISNUMBER(INDEX(cli_delay,MATCH(D615,cli_code,0))),INDEX(cli_delay,MATCH(D615,cli_code,0)),N(p_delay)),N(p_delay))))))</f>
        <v/>
      </c>
      <c r="Q615" s="65" t="str">
        <f>IF(A615="","",IF(AA615="Avoir",-1,1)*ROUND(AJ615-IF(AR615="",0,INDEX(fa_htb,AR615)),2))</f>
        <v/>
      </c>
      <c r="R615" s="65" t="str">
        <f>IF(A615="","",IF(AA615="Avoir",-1,1)*ROUND(AQ615-IF(AR615="",0,INDEX(fa_tvab,AR615)),2))</f>
        <v/>
      </c>
      <c r="S615" s="65" t="str">
        <f>IF(A615="","",Q615+R615)</f>
        <v/>
      </c>
      <c r="T615" s="65" t="str">
        <f>IF(AR615="","",INDEX(fa_htb,AR615)+INDEX(fa_tvab,AR615))</f>
        <v/>
      </c>
      <c r="U615" s="65" t="str">
        <f>IF(A615="","",SUMIF(pa_inv,A615,pa_amt))</f>
        <v/>
      </c>
      <c r="V615" s="65" t="str">
        <f>IF(OR(A615="",AA615="Avoir"),"",-SUMIFS(fa_ttc,fa_avof,A615,fa_type,"Avoir"))</f>
        <v/>
      </c>
      <c r="W615" s="65" t="str">
        <f>IF(OR(A615="",AA615="Avoir"),"",ROUND(S615-U615-V615,2))</f>
        <v/>
      </c>
      <c r="X615" s="66" t="str">
        <f>IF(W615="","",IF(AND(W615&gt;0,p_asof&gt;P615),p_asof-P615,""))</f>
        <v/>
      </c>
      <c r="Y615" s="59" t="str">
        <f>IF(A615="","",IF(AA615="Avoir","Avoir",IF(W615&lt;0,"Trop-perçu",IF(W615=0,"Soldée",IF(p_asof&gt;P615,"En retard",IF(U615+V615&gt;0,"Partielle","À échoir"))))))</f>
        <v/>
      </c>
      <c r="Z615" s="59" t="str">
        <f>IF(NOT(COUNTA(B615:D615,F615:O615)&gt;0),"",IF(C615="","Date manquante",IF(NOT(ISNUMBER(C615)),"Date invalide",IF(D615="","Client manquant",IF(ISNA(MATCH(D615,cli_code,0)),"Client inconnu",IF(AC615&lt;SUMPRODUCT(MAX(($AB$6:AB614=AB615)*$AC$6:AC614)),"Date antérieure à la facture précédente",IF(AND(F615&lt;&gt;"",ISNA(MATCH(F615,dv_num,0))),"Devis inconnu",IF(AND(F615&lt;&gt;"",IFERROR(INDEX(dv_client,MATCH(F615,dv_num,0)),D615)&lt;&gt;D615),"Client différent de celui du devis",IF(AG615="","Aucune ligne : saisissez des lignes ou un devis",IF(AND(AI615&lt;&gt;"",COUNTIF($AI$6:AI615,AI615)&gt;1),"Devis déjà repris par une autre facture",IF(AND(AA615="Avoir",M615=""),"Avoir : indiquez la facture d'origine",IF(AND(AA615="Avoir",ISNA(MATCH(M615,fa_num,0))),"Facture d'origine inconnue",IF(AND(AA615&lt;&gt;"Avoir",M615&lt;&gt;""),"« Avoir sur facture » : réservé aux avoirs",IF(AND(L615&lt;&gt;"",AA615&lt;&gt;"Facture"),"Acompte à déduire : réservé aux factures",IF(AND(L615&lt;&gt;"",ISNA(MATCH(L615,fa_num,0))),"Facture d'acompte inconnue",IF(AND(L615&lt;&gt;"",IFERROR(INDEX(fa_type,MATCH(L615,fa_num,0)),"")&lt;&gt;"Facture d'acompte"),"Le n° à déduire n'est pas une facture d'acompte",IF(AND(L615&lt;&gt;"",COUNTIF($L$6:L615,L615)&gt;1),"Acompte déjà déduit sur une autre facture",IF(AND(L615&lt;&gt;"",IFERROR(INDEX(fa_client,MATCH(L615,fa_num,0)),D615)&lt;&gt;D615),"Acompte d'un autre client",IF(AND(AR615&lt;&gt;"",N(Q615)&lt;0),"Acompte supérieur au total de la facture",IF(IF(AG615="Facture",COUNTIFS(fl_doc,A615,fl_check,"&lt;&gt;OK"),IF(AG615="Devis",COUNTIFS(dl_doc,F615,dl_check,"&lt;&gt;OK"),0))&gt;0,"Ligne(s) à corriger",IF(AND(W615&lt;&gt;"",N(W615)&lt;0),"Trop-perçu : vérifiez paiements et avoirs","OK")))))))))))))))))))))</f>
        <v/>
      </c>
      <c r="AA615" s="62" t="str">
        <f>IF(COUNTA(B615:D615,F615:O615)&gt;0,IF(B615="","Facture",B615),"")</f>
        <v/>
      </c>
      <c r="AB615" s="62" t="str">
        <f>IF(AA615="","",IF(AA615="Avoir",p_pav,IF(AA615="Facture d'acompte",p_pac,p_pfa)))</f>
        <v/>
      </c>
      <c r="AC615" s="62">
        <f>IF(ISNUMBER(C615),C615,0)</f>
        <v>0.0</v>
      </c>
      <c r="AD615" s="62" t="str">
        <f>IF(OR(AA615="",AC615=0),"",YEAR(AC615))</f>
        <v/>
      </c>
      <c r="AE615" s="62" t="str">
        <f>IF(AD615="","",COUNTIFS($AB$6:AB615,AB615,$AD$6:AD615,AD615))</f>
        <v/>
      </c>
      <c r="AF615" s="62">
        <f>IF(A615="",0,COUNTIF(fl_doc,A615))</f>
        <v>0.0</v>
      </c>
      <c r="AG615" s="62" t="str">
        <f>IF(A615="","",IF(AF615&gt;0,"Facture",IF(AND(F615&lt;&gt;"",AA615="Facture",ISNUMBER(MATCH(F615,dv_num,0))),"Devis","")))</f>
        <v/>
      </c>
      <c r="AH615" s="62" t="str">
        <f>IF(AND(A615&lt;&gt;"",F615&lt;&gt;"",AA615&lt;&gt;"Avoir"),F615,"")</f>
        <v/>
      </c>
      <c r="AI615" s="62" t="str">
        <f>IF(AG615="Devis",F615,"")</f>
        <v/>
      </c>
      <c r="AJ615" s="62">
        <f>IF(AG615="Facture",SUMIF(fl_doc,A615,fl_ht),IF(AG615="Devis",SUMIF(dl_doc,F615,dl_ht),0))</f>
        <v>0.0</v>
      </c>
      <c r="AK615" s="62">
        <f>IF(OR(AG615="",INDEX(p_rates,1)=""),0,IF(AG615="Facture",SUMIFS(fl_ht,fl_doc,A615,fl_rate,INDEX(p_rates,1)),SUMIFS(dl_ht,dl_doc,F615,dl_rate,INDEX(p_rates,1))))</f>
        <v>0.0</v>
      </c>
      <c r="AL615" s="62">
        <f>IF(OR(AG615="",INDEX(p_rates,2)=""),0,IF(AG615="Facture",SUMIFS(fl_ht,fl_doc,A615,fl_rate,INDEX(p_rates,2)),SUMIFS(dl_ht,dl_doc,F615,dl_rate,INDEX(p_rates,2))))</f>
        <v>0.0</v>
      </c>
      <c r="AM615" s="62">
        <f>IF(OR(AG615="",INDEX(p_rates,3)=""),0,IF(AG615="Facture",SUMIFS(fl_ht,fl_doc,A615,fl_rate,INDEX(p_rates,3)),SUMIFS(dl_ht,dl_doc,F615,dl_rate,INDEX(p_rates,3))))</f>
        <v>0.0</v>
      </c>
      <c r="AN615" s="62">
        <f>IF(OR(AG615="",INDEX(p_rates,4)=""),0,IF(AG615="Facture",SUMIFS(fl_ht,fl_doc,A615,fl_rate,INDEX(p_rates,4)),SUMIFS(dl_ht,dl_doc,F615,dl_rate,INDEX(p_rates,4))))</f>
        <v>0.0</v>
      </c>
      <c r="AO615" s="62">
        <f>IF(OR(AG615="",INDEX(p_rates,5)=""),0,IF(AG615="Facture",SUMIFS(fl_ht,fl_doc,A615,fl_rate,INDEX(p_rates,5)),SUMIFS(dl_ht,dl_doc,F615,dl_rate,INDEX(p_rates,5))))</f>
        <v>0.0</v>
      </c>
      <c r="AP615" s="62">
        <f>IF(OR(AG615="",INDEX(p_rates,6)=""),0,IF(AG615="Facture",SUMIFS(fl_ht,fl_doc,A615,fl_rate,INDEX(p_rates,6)),SUMIFS(dl_ht,dl_doc,F615,dl_rate,INDEX(p_rates,6))))</f>
        <v>0.0</v>
      </c>
      <c r="AQ615" s="62">
        <f>ROUND(AK615*N(INDEX(p_rates,1)),2)+ROUND(AL615*N(INDEX(p_rates,2)),2)+ROUND(AM615*N(INDEX(p_rates,3)),2)+ROUND(AN615*N(INDEX(p_rates,4)),2)+ROUND(AO615*N(INDEX(p_rates,5)),2)+ROUND(AP615*N(INDEX(p_rates,6)),2)</f>
        <v>0.0</v>
      </c>
      <c r="AR615" s="62" t="str">
        <f>IF(OR(L615="",AA615&lt;&gt;"Facture"),"",IFERROR(IF(INDEX(fa_type,MATCH(L615,fa_num,0))="Facture d'acompte",MATCH(L615,fa_num,0),""),""))</f>
        <v/>
      </c>
      <c r="AS615" s="62" t="str">
        <f>IF(W615="","",IF(W615&lt;=0,"",IF(p_asof-P615&lt;=0,"Non échu",IF(p_asof-P615&lt;=30,"1-30 j",IF(p_asof-P615&lt;=60,"31-60 j",IF(p_asof-P615&lt;=90,"61-90 j","Plus de 90 j"))))))</f>
        <v/>
      </c>
      <c r="AT615" s="62" t="str">
        <f>IF(AS615="","",p_asof-P615)</f>
        <v/>
      </c>
      <c r="AU615" s="62" t="str">
        <f>IF(AT615="","",COUNTIF($AT$6:$AT$805,"&gt;"&amp;AT615)+COUNTIF($AT$6:AT615,AT615))</f>
        <v/>
      </c>
    </row>
    <row r="616">
      <c r="A616" s="59" t="str">
        <f>IF(AE616="","",AB616&amp;"-"&amp;AD616&amp;"-"&amp;RIGHT("000"&amp;AE616,4))</f>
        <v/>
      </c>
      <c r="B616" s="60" t="n"/>
      <c r="C616" s="61" t="n"/>
      <c r="D616" s="60" t="n"/>
      <c r="E616" s="62" t="str">
        <f>IF(D616="","",IFERROR(INDEX(cli_name,MATCH(D616,cli_code,0))&amp;"","Client inconnu"))</f>
        <v/>
      </c>
      <c r="F616" s="60" t="n"/>
      <c r="G616" s="63" t="n"/>
      <c r="H616" s="61" t="n"/>
      <c r="I616" s="63" t="n"/>
      <c r="J616" s="60" t="n"/>
      <c r="K616" s="61" t="n"/>
      <c r="L616" s="60" t="n"/>
      <c r="M616" s="60" t="n"/>
      <c r="N616" s="60" t="n"/>
      <c r="O616" s="61" t="n"/>
      <c r="P616" s="64" t="str">
        <f>IF(A616="","",IF(AA616="Avoir",AC616,IF(ISNUMBER(K616),K616,AC616+IF(D616="",N(p_delay),IFERROR(IF(ISNUMBER(INDEX(cli_delay,MATCH(D616,cli_code,0))),INDEX(cli_delay,MATCH(D616,cli_code,0)),N(p_delay)),N(p_delay))))))</f>
        <v/>
      </c>
      <c r="Q616" s="65" t="str">
        <f>IF(A616="","",IF(AA616="Avoir",-1,1)*ROUND(AJ616-IF(AR616="",0,INDEX(fa_htb,AR616)),2))</f>
        <v/>
      </c>
      <c r="R616" s="65" t="str">
        <f>IF(A616="","",IF(AA616="Avoir",-1,1)*ROUND(AQ616-IF(AR616="",0,INDEX(fa_tvab,AR616)),2))</f>
        <v/>
      </c>
      <c r="S616" s="65" t="str">
        <f>IF(A616="","",Q616+R616)</f>
        <v/>
      </c>
      <c r="T616" s="65" t="str">
        <f>IF(AR616="","",INDEX(fa_htb,AR616)+INDEX(fa_tvab,AR616))</f>
        <v/>
      </c>
      <c r="U616" s="65" t="str">
        <f>IF(A616="","",SUMIF(pa_inv,A616,pa_amt))</f>
        <v/>
      </c>
      <c r="V616" s="65" t="str">
        <f>IF(OR(A616="",AA616="Avoir"),"",-SUMIFS(fa_ttc,fa_avof,A616,fa_type,"Avoir"))</f>
        <v/>
      </c>
      <c r="W616" s="65" t="str">
        <f>IF(OR(A616="",AA616="Avoir"),"",ROUND(S616-U616-V616,2))</f>
        <v/>
      </c>
      <c r="X616" s="66" t="str">
        <f>IF(W616="","",IF(AND(W616&gt;0,p_asof&gt;P616),p_asof-P616,""))</f>
        <v/>
      </c>
      <c r="Y616" s="59" t="str">
        <f>IF(A616="","",IF(AA616="Avoir","Avoir",IF(W616&lt;0,"Trop-perçu",IF(W616=0,"Soldée",IF(p_asof&gt;P616,"En retard",IF(U616+V616&gt;0,"Partielle","À échoir"))))))</f>
        <v/>
      </c>
      <c r="Z616" s="59" t="str">
        <f>IF(NOT(COUNTA(B616:D616,F616:O616)&gt;0),"",IF(C616="","Date manquante",IF(NOT(ISNUMBER(C616)),"Date invalide",IF(D616="","Client manquant",IF(ISNA(MATCH(D616,cli_code,0)),"Client inconnu",IF(AC616&lt;SUMPRODUCT(MAX(($AB$6:AB615=AB616)*$AC$6:AC615)),"Date antérieure à la facture précédente",IF(AND(F616&lt;&gt;"",ISNA(MATCH(F616,dv_num,0))),"Devis inconnu",IF(AND(F616&lt;&gt;"",IFERROR(INDEX(dv_client,MATCH(F616,dv_num,0)),D616)&lt;&gt;D616),"Client différent de celui du devis",IF(AG616="","Aucune ligne : saisissez des lignes ou un devis",IF(AND(AI616&lt;&gt;"",COUNTIF($AI$6:AI616,AI616)&gt;1),"Devis déjà repris par une autre facture",IF(AND(AA616="Avoir",M616=""),"Avoir : indiquez la facture d'origine",IF(AND(AA616="Avoir",ISNA(MATCH(M616,fa_num,0))),"Facture d'origine inconnue",IF(AND(AA616&lt;&gt;"Avoir",M616&lt;&gt;""),"« Avoir sur facture » : réservé aux avoirs",IF(AND(L616&lt;&gt;"",AA616&lt;&gt;"Facture"),"Acompte à déduire : réservé aux factures",IF(AND(L616&lt;&gt;"",ISNA(MATCH(L616,fa_num,0))),"Facture d'acompte inconnue",IF(AND(L616&lt;&gt;"",IFERROR(INDEX(fa_type,MATCH(L616,fa_num,0)),"")&lt;&gt;"Facture d'acompte"),"Le n° à déduire n'est pas une facture d'acompte",IF(AND(L616&lt;&gt;"",COUNTIF($L$6:L616,L616)&gt;1),"Acompte déjà déduit sur une autre facture",IF(AND(L616&lt;&gt;"",IFERROR(INDEX(fa_client,MATCH(L616,fa_num,0)),D616)&lt;&gt;D616),"Acompte d'un autre client",IF(AND(AR616&lt;&gt;"",N(Q616)&lt;0),"Acompte supérieur au total de la facture",IF(IF(AG616="Facture",COUNTIFS(fl_doc,A616,fl_check,"&lt;&gt;OK"),IF(AG616="Devis",COUNTIFS(dl_doc,F616,dl_check,"&lt;&gt;OK"),0))&gt;0,"Ligne(s) à corriger",IF(AND(W616&lt;&gt;"",N(W616)&lt;0),"Trop-perçu : vérifiez paiements et avoirs","OK")))))))))))))))))))))</f>
        <v/>
      </c>
      <c r="AA616" s="62" t="str">
        <f>IF(COUNTA(B616:D616,F616:O616)&gt;0,IF(B616="","Facture",B616),"")</f>
        <v/>
      </c>
      <c r="AB616" s="62" t="str">
        <f>IF(AA616="","",IF(AA616="Avoir",p_pav,IF(AA616="Facture d'acompte",p_pac,p_pfa)))</f>
        <v/>
      </c>
      <c r="AC616" s="62">
        <f>IF(ISNUMBER(C616),C616,0)</f>
        <v>0.0</v>
      </c>
      <c r="AD616" s="62" t="str">
        <f>IF(OR(AA616="",AC616=0),"",YEAR(AC616))</f>
        <v/>
      </c>
      <c r="AE616" s="62" t="str">
        <f>IF(AD616="","",COUNTIFS($AB$6:AB616,AB616,$AD$6:AD616,AD616))</f>
        <v/>
      </c>
      <c r="AF616" s="62">
        <f>IF(A616="",0,COUNTIF(fl_doc,A616))</f>
        <v>0.0</v>
      </c>
      <c r="AG616" s="62" t="str">
        <f>IF(A616="","",IF(AF616&gt;0,"Facture",IF(AND(F616&lt;&gt;"",AA616="Facture",ISNUMBER(MATCH(F616,dv_num,0))),"Devis","")))</f>
        <v/>
      </c>
      <c r="AH616" s="62" t="str">
        <f>IF(AND(A616&lt;&gt;"",F616&lt;&gt;"",AA616&lt;&gt;"Avoir"),F616,"")</f>
        <v/>
      </c>
      <c r="AI616" s="62" t="str">
        <f>IF(AG616="Devis",F616,"")</f>
        <v/>
      </c>
      <c r="AJ616" s="62">
        <f>IF(AG616="Facture",SUMIF(fl_doc,A616,fl_ht),IF(AG616="Devis",SUMIF(dl_doc,F616,dl_ht),0))</f>
        <v>0.0</v>
      </c>
      <c r="AK616" s="62">
        <f>IF(OR(AG616="",INDEX(p_rates,1)=""),0,IF(AG616="Facture",SUMIFS(fl_ht,fl_doc,A616,fl_rate,INDEX(p_rates,1)),SUMIFS(dl_ht,dl_doc,F616,dl_rate,INDEX(p_rates,1))))</f>
        <v>0.0</v>
      </c>
      <c r="AL616" s="62">
        <f>IF(OR(AG616="",INDEX(p_rates,2)=""),0,IF(AG616="Facture",SUMIFS(fl_ht,fl_doc,A616,fl_rate,INDEX(p_rates,2)),SUMIFS(dl_ht,dl_doc,F616,dl_rate,INDEX(p_rates,2))))</f>
        <v>0.0</v>
      </c>
      <c r="AM616" s="62">
        <f>IF(OR(AG616="",INDEX(p_rates,3)=""),0,IF(AG616="Facture",SUMIFS(fl_ht,fl_doc,A616,fl_rate,INDEX(p_rates,3)),SUMIFS(dl_ht,dl_doc,F616,dl_rate,INDEX(p_rates,3))))</f>
        <v>0.0</v>
      </c>
      <c r="AN616" s="62">
        <f>IF(OR(AG616="",INDEX(p_rates,4)=""),0,IF(AG616="Facture",SUMIFS(fl_ht,fl_doc,A616,fl_rate,INDEX(p_rates,4)),SUMIFS(dl_ht,dl_doc,F616,dl_rate,INDEX(p_rates,4))))</f>
        <v>0.0</v>
      </c>
      <c r="AO616" s="62">
        <f>IF(OR(AG616="",INDEX(p_rates,5)=""),0,IF(AG616="Facture",SUMIFS(fl_ht,fl_doc,A616,fl_rate,INDEX(p_rates,5)),SUMIFS(dl_ht,dl_doc,F616,dl_rate,INDEX(p_rates,5))))</f>
        <v>0.0</v>
      </c>
      <c r="AP616" s="62">
        <f>IF(OR(AG616="",INDEX(p_rates,6)=""),0,IF(AG616="Facture",SUMIFS(fl_ht,fl_doc,A616,fl_rate,INDEX(p_rates,6)),SUMIFS(dl_ht,dl_doc,F616,dl_rate,INDEX(p_rates,6))))</f>
        <v>0.0</v>
      </c>
      <c r="AQ616" s="62">
        <f>ROUND(AK616*N(INDEX(p_rates,1)),2)+ROUND(AL616*N(INDEX(p_rates,2)),2)+ROUND(AM616*N(INDEX(p_rates,3)),2)+ROUND(AN616*N(INDEX(p_rates,4)),2)+ROUND(AO616*N(INDEX(p_rates,5)),2)+ROUND(AP616*N(INDEX(p_rates,6)),2)</f>
        <v>0.0</v>
      </c>
      <c r="AR616" s="62" t="str">
        <f>IF(OR(L616="",AA616&lt;&gt;"Facture"),"",IFERROR(IF(INDEX(fa_type,MATCH(L616,fa_num,0))="Facture d'acompte",MATCH(L616,fa_num,0),""),""))</f>
        <v/>
      </c>
      <c r="AS616" s="62" t="str">
        <f>IF(W616="","",IF(W616&lt;=0,"",IF(p_asof-P616&lt;=0,"Non échu",IF(p_asof-P616&lt;=30,"1-30 j",IF(p_asof-P616&lt;=60,"31-60 j",IF(p_asof-P616&lt;=90,"61-90 j","Plus de 90 j"))))))</f>
        <v/>
      </c>
      <c r="AT616" s="62" t="str">
        <f>IF(AS616="","",p_asof-P616)</f>
        <v/>
      </c>
      <c r="AU616" s="62" t="str">
        <f>IF(AT616="","",COUNTIF($AT$6:$AT$805,"&gt;"&amp;AT616)+COUNTIF($AT$6:AT616,AT616))</f>
        <v/>
      </c>
    </row>
    <row r="617">
      <c r="A617" s="59" t="str">
        <f>IF(AE617="","",AB617&amp;"-"&amp;AD617&amp;"-"&amp;RIGHT("000"&amp;AE617,4))</f>
        <v/>
      </c>
      <c r="B617" s="60" t="n"/>
      <c r="C617" s="61" t="n"/>
      <c r="D617" s="60" t="n"/>
      <c r="E617" s="62" t="str">
        <f>IF(D617="","",IFERROR(INDEX(cli_name,MATCH(D617,cli_code,0))&amp;"","Client inconnu"))</f>
        <v/>
      </c>
      <c r="F617" s="60" t="n"/>
      <c r="G617" s="63" t="n"/>
      <c r="H617" s="61" t="n"/>
      <c r="I617" s="63" t="n"/>
      <c r="J617" s="60" t="n"/>
      <c r="K617" s="61" t="n"/>
      <c r="L617" s="60" t="n"/>
      <c r="M617" s="60" t="n"/>
      <c r="N617" s="60" t="n"/>
      <c r="O617" s="61" t="n"/>
      <c r="P617" s="64" t="str">
        <f>IF(A617="","",IF(AA617="Avoir",AC617,IF(ISNUMBER(K617),K617,AC617+IF(D617="",N(p_delay),IFERROR(IF(ISNUMBER(INDEX(cli_delay,MATCH(D617,cli_code,0))),INDEX(cli_delay,MATCH(D617,cli_code,0)),N(p_delay)),N(p_delay))))))</f>
        <v/>
      </c>
      <c r="Q617" s="65" t="str">
        <f>IF(A617="","",IF(AA617="Avoir",-1,1)*ROUND(AJ617-IF(AR617="",0,INDEX(fa_htb,AR617)),2))</f>
        <v/>
      </c>
      <c r="R617" s="65" t="str">
        <f>IF(A617="","",IF(AA617="Avoir",-1,1)*ROUND(AQ617-IF(AR617="",0,INDEX(fa_tvab,AR617)),2))</f>
        <v/>
      </c>
      <c r="S617" s="65" t="str">
        <f>IF(A617="","",Q617+R617)</f>
        <v/>
      </c>
      <c r="T617" s="65" t="str">
        <f>IF(AR617="","",INDEX(fa_htb,AR617)+INDEX(fa_tvab,AR617))</f>
        <v/>
      </c>
      <c r="U617" s="65" t="str">
        <f>IF(A617="","",SUMIF(pa_inv,A617,pa_amt))</f>
        <v/>
      </c>
      <c r="V617" s="65" t="str">
        <f>IF(OR(A617="",AA617="Avoir"),"",-SUMIFS(fa_ttc,fa_avof,A617,fa_type,"Avoir"))</f>
        <v/>
      </c>
      <c r="W617" s="65" t="str">
        <f>IF(OR(A617="",AA617="Avoir"),"",ROUND(S617-U617-V617,2))</f>
        <v/>
      </c>
      <c r="X617" s="66" t="str">
        <f>IF(W617="","",IF(AND(W617&gt;0,p_asof&gt;P617),p_asof-P617,""))</f>
        <v/>
      </c>
      <c r="Y617" s="59" t="str">
        <f>IF(A617="","",IF(AA617="Avoir","Avoir",IF(W617&lt;0,"Trop-perçu",IF(W617=0,"Soldée",IF(p_asof&gt;P617,"En retard",IF(U617+V617&gt;0,"Partielle","À échoir"))))))</f>
        <v/>
      </c>
      <c r="Z617" s="59" t="str">
        <f>IF(NOT(COUNTA(B617:D617,F617:O617)&gt;0),"",IF(C617="","Date manquante",IF(NOT(ISNUMBER(C617)),"Date invalide",IF(D617="","Client manquant",IF(ISNA(MATCH(D617,cli_code,0)),"Client inconnu",IF(AC617&lt;SUMPRODUCT(MAX(($AB$6:AB616=AB617)*$AC$6:AC616)),"Date antérieure à la facture précédente",IF(AND(F617&lt;&gt;"",ISNA(MATCH(F617,dv_num,0))),"Devis inconnu",IF(AND(F617&lt;&gt;"",IFERROR(INDEX(dv_client,MATCH(F617,dv_num,0)),D617)&lt;&gt;D617),"Client différent de celui du devis",IF(AG617="","Aucune ligne : saisissez des lignes ou un devis",IF(AND(AI617&lt;&gt;"",COUNTIF($AI$6:AI617,AI617)&gt;1),"Devis déjà repris par une autre facture",IF(AND(AA617="Avoir",M617=""),"Avoir : indiquez la facture d'origine",IF(AND(AA617="Avoir",ISNA(MATCH(M617,fa_num,0))),"Facture d'origine inconnue",IF(AND(AA617&lt;&gt;"Avoir",M617&lt;&gt;""),"« Avoir sur facture » : réservé aux avoirs",IF(AND(L617&lt;&gt;"",AA617&lt;&gt;"Facture"),"Acompte à déduire : réservé aux factures",IF(AND(L617&lt;&gt;"",ISNA(MATCH(L617,fa_num,0))),"Facture d'acompte inconnue",IF(AND(L617&lt;&gt;"",IFERROR(INDEX(fa_type,MATCH(L617,fa_num,0)),"")&lt;&gt;"Facture d'acompte"),"Le n° à déduire n'est pas une facture d'acompte",IF(AND(L617&lt;&gt;"",COUNTIF($L$6:L617,L617)&gt;1),"Acompte déjà déduit sur une autre facture",IF(AND(L617&lt;&gt;"",IFERROR(INDEX(fa_client,MATCH(L617,fa_num,0)),D617)&lt;&gt;D617),"Acompte d'un autre client",IF(AND(AR617&lt;&gt;"",N(Q617)&lt;0),"Acompte supérieur au total de la facture",IF(IF(AG617="Facture",COUNTIFS(fl_doc,A617,fl_check,"&lt;&gt;OK"),IF(AG617="Devis",COUNTIFS(dl_doc,F617,dl_check,"&lt;&gt;OK"),0))&gt;0,"Ligne(s) à corriger",IF(AND(W617&lt;&gt;"",N(W617)&lt;0),"Trop-perçu : vérifiez paiements et avoirs","OK")))))))))))))))))))))</f>
        <v/>
      </c>
      <c r="AA617" s="62" t="str">
        <f>IF(COUNTA(B617:D617,F617:O617)&gt;0,IF(B617="","Facture",B617),"")</f>
        <v/>
      </c>
      <c r="AB617" s="62" t="str">
        <f>IF(AA617="","",IF(AA617="Avoir",p_pav,IF(AA617="Facture d'acompte",p_pac,p_pfa)))</f>
        <v/>
      </c>
      <c r="AC617" s="62">
        <f>IF(ISNUMBER(C617),C617,0)</f>
        <v>0.0</v>
      </c>
      <c r="AD617" s="62" t="str">
        <f>IF(OR(AA617="",AC617=0),"",YEAR(AC617))</f>
        <v/>
      </c>
      <c r="AE617" s="62" t="str">
        <f>IF(AD617="","",COUNTIFS($AB$6:AB617,AB617,$AD$6:AD617,AD617))</f>
        <v/>
      </c>
      <c r="AF617" s="62">
        <f>IF(A617="",0,COUNTIF(fl_doc,A617))</f>
        <v>0.0</v>
      </c>
      <c r="AG617" s="62" t="str">
        <f>IF(A617="","",IF(AF617&gt;0,"Facture",IF(AND(F617&lt;&gt;"",AA617="Facture",ISNUMBER(MATCH(F617,dv_num,0))),"Devis","")))</f>
        <v/>
      </c>
      <c r="AH617" s="62" t="str">
        <f>IF(AND(A617&lt;&gt;"",F617&lt;&gt;"",AA617&lt;&gt;"Avoir"),F617,"")</f>
        <v/>
      </c>
      <c r="AI617" s="62" t="str">
        <f>IF(AG617="Devis",F617,"")</f>
        <v/>
      </c>
      <c r="AJ617" s="62">
        <f>IF(AG617="Facture",SUMIF(fl_doc,A617,fl_ht),IF(AG617="Devis",SUMIF(dl_doc,F617,dl_ht),0))</f>
        <v>0.0</v>
      </c>
      <c r="AK617" s="62">
        <f>IF(OR(AG617="",INDEX(p_rates,1)=""),0,IF(AG617="Facture",SUMIFS(fl_ht,fl_doc,A617,fl_rate,INDEX(p_rates,1)),SUMIFS(dl_ht,dl_doc,F617,dl_rate,INDEX(p_rates,1))))</f>
        <v>0.0</v>
      </c>
      <c r="AL617" s="62">
        <f>IF(OR(AG617="",INDEX(p_rates,2)=""),0,IF(AG617="Facture",SUMIFS(fl_ht,fl_doc,A617,fl_rate,INDEX(p_rates,2)),SUMIFS(dl_ht,dl_doc,F617,dl_rate,INDEX(p_rates,2))))</f>
        <v>0.0</v>
      </c>
      <c r="AM617" s="62">
        <f>IF(OR(AG617="",INDEX(p_rates,3)=""),0,IF(AG617="Facture",SUMIFS(fl_ht,fl_doc,A617,fl_rate,INDEX(p_rates,3)),SUMIFS(dl_ht,dl_doc,F617,dl_rate,INDEX(p_rates,3))))</f>
        <v>0.0</v>
      </c>
      <c r="AN617" s="62">
        <f>IF(OR(AG617="",INDEX(p_rates,4)=""),0,IF(AG617="Facture",SUMIFS(fl_ht,fl_doc,A617,fl_rate,INDEX(p_rates,4)),SUMIFS(dl_ht,dl_doc,F617,dl_rate,INDEX(p_rates,4))))</f>
        <v>0.0</v>
      </c>
      <c r="AO617" s="62">
        <f>IF(OR(AG617="",INDEX(p_rates,5)=""),0,IF(AG617="Facture",SUMIFS(fl_ht,fl_doc,A617,fl_rate,INDEX(p_rates,5)),SUMIFS(dl_ht,dl_doc,F617,dl_rate,INDEX(p_rates,5))))</f>
        <v>0.0</v>
      </c>
      <c r="AP617" s="62">
        <f>IF(OR(AG617="",INDEX(p_rates,6)=""),0,IF(AG617="Facture",SUMIFS(fl_ht,fl_doc,A617,fl_rate,INDEX(p_rates,6)),SUMIFS(dl_ht,dl_doc,F617,dl_rate,INDEX(p_rates,6))))</f>
        <v>0.0</v>
      </c>
      <c r="AQ617" s="62">
        <f>ROUND(AK617*N(INDEX(p_rates,1)),2)+ROUND(AL617*N(INDEX(p_rates,2)),2)+ROUND(AM617*N(INDEX(p_rates,3)),2)+ROUND(AN617*N(INDEX(p_rates,4)),2)+ROUND(AO617*N(INDEX(p_rates,5)),2)+ROUND(AP617*N(INDEX(p_rates,6)),2)</f>
        <v>0.0</v>
      </c>
      <c r="AR617" s="62" t="str">
        <f>IF(OR(L617="",AA617&lt;&gt;"Facture"),"",IFERROR(IF(INDEX(fa_type,MATCH(L617,fa_num,0))="Facture d'acompte",MATCH(L617,fa_num,0),""),""))</f>
        <v/>
      </c>
      <c r="AS617" s="62" t="str">
        <f>IF(W617="","",IF(W617&lt;=0,"",IF(p_asof-P617&lt;=0,"Non échu",IF(p_asof-P617&lt;=30,"1-30 j",IF(p_asof-P617&lt;=60,"31-60 j",IF(p_asof-P617&lt;=90,"61-90 j","Plus de 90 j"))))))</f>
        <v/>
      </c>
      <c r="AT617" s="62" t="str">
        <f>IF(AS617="","",p_asof-P617)</f>
        <v/>
      </c>
      <c r="AU617" s="62" t="str">
        <f>IF(AT617="","",COUNTIF($AT$6:$AT$805,"&gt;"&amp;AT617)+COUNTIF($AT$6:AT617,AT617))</f>
        <v/>
      </c>
    </row>
    <row r="618">
      <c r="A618" s="59" t="str">
        <f>IF(AE618="","",AB618&amp;"-"&amp;AD618&amp;"-"&amp;RIGHT("000"&amp;AE618,4))</f>
        <v/>
      </c>
      <c r="B618" s="60" t="n"/>
      <c r="C618" s="61" t="n"/>
      <c r="D618" s="60" t="n"/>
      <c r="E618" s="62" t="str">
        <f>IF(D618="","",IFERROR(INDEX(cli_name,MATCH(D618,cli_code,0))&amp;"","Client inconnu"))</f>
        <v/>
      </c>
      <c r="F618" s="60" t="n"/>
      <c r="G618" s="63" t="n"/>
      <c r="H618" s="61" t="n"/>
      <c r="I618" s="63" t="n"/>
      <c r="J618" s="60" t="n"/>
      <c r="K618" s="61" t="n"/>
      <c r="L618" s="60" t="n"/>
      <c r="M618" s="60" t="n"/>
      <c r="N618" s="60" t="n"/>
      <c r="O618" s="61" t="n"/>
      <c r="P618" s="64" t="str">
        <f>IF(A618="","",IF(AA618="Avoir",AC618,IF(ISNUMBER(K618),K618,AC618+IF(D618="",N(p_delay),IFERROR(IF(ISNUMBER(INDEX(cli_delay,MATCH(D618,cli_code,0))),INDEX(cli_delay,MATCH(D618,cli_code,0)),N(p_delay)),N(p_delay))))))</f>
        <v/>
      </c>
      <c r="Q618" s="65" t="str">
        <f>IF(A618="","",IF(AA618="Avoir",-1,1)*ROUND(AJ618-IF(AR618="",0,INDEX(fa_htb,AR618)),2))</f>
        <v/>
      </c>
      <c r="R618" s="65" t="str">
        <f>IF(A618="","",IF(AA618="Avoir",-1,1)*ROUND(AQ618-IF(AR618="",0,INDEX(fa_tvab,AR618)),2))</f>
        <v/>
      </c>
      <c r="S618" s="65" t="str">
        <f>IF(A618="","",Q618+R618)</f>
        <v/>
      </c>
      <c r="T618" s="65" t="str">
        <f>IF(AR618="","",INDEX(fa_htb,AR618)+INDEX(fa_tvab,AR618))</f>
        <v/>
      </c>
      <c r="U618" s="65" t="str">
        <f>IF(A618="","",SUMIF(pa_inv,A618,pa_amt))</f>
        <v/>
      </c>
      <c r="V618" s="65" t="str">
        <f>IF(OR(A618="",AA618="Avoir"),"",-SUMIFS(fa_ttc,fa_avof,A618,fa_type,"Avoir"))</f>
        <v/>
      </c>
      <c r="W618" s="65" t="str">
        <f>IF(OR(A618="",AA618="Avoir"),"",ROUND(S618-U618-V618,2))</f>
        <v/>
      </c>
      <c r="X618" s="66" t="str">
        <f>IF(W618="","",IF(AND(W618&gt;0,p_asof&gt;P618),p_asof-P618,""))</f>
        <v/>
      </c>
      <c r="Y618" s="59" t="str">
        <f>IF(A618="","",IF(AA618="Avoir","Avoir",IF(W618&lt;0,"Trop-perçu",IF(W618=0,"Soldée",IF(p_asof&gt;P618,"En retard",IF(U618+V618&gt;0,"Partielle","À échoir"))))))</f>
        <v/>
      </c>
      <c r="Z618" s="59" t="str">
        <f>IF(NOT(COUNTA(B618:D618,F618:O618)&gt;0),"",IF(C618="","Date manquante",IF(NOT(ISNUMBER(C618)),"Date invalide",IF(D618="","Client manquant",IF(ISNA(MATCH(D618,cli_code,0)),"Client inconnu",IF(AC618&lt;SUMPRODUCT(MAX(($AB$6:AB617=AB618)*$AC$6:AC617)),"Date antérieure à la facture précédente",IF(AND(F618&lt;&gt;"",ISNA(MATCH(F618,dv_num,0))),"Devis inconnu",IF(AND(F618&lt;&gt;"",IFERROR(INDEX(dv_client,MATCH(F618,dv_num,0)),D618)&lt;&gt;D618),"Client différent de celui du devis",IF(AG618="","Aucune ligne : saisissez des lignes ou un devis",IF(AND(AI618&lt;&gt;"",COUNTIF($AI$6:AI618,AI618)&gt;1),"Devis déjà repris par une autre facture",IF(AND(AA618="Avoir",M618=""),"Avoir : indiquez la facture d'origine",IF(AND(AA618="Avoir",ISNA(MATCH(M618,fa_num,0))),"Facture d'origine inconnue",IF(AND(AA618&lt;&gt;"Avoir",M618&lt;&gt;""),"« Avoir sur facture » : réservé aux avoirs",IF(AND(L618&lt;&gt;"",AA618&lt;&gt;"Facture"),"Acompte à déduire : réservé aux factures",IF(AND(L618&lt;&gt;"",ISNA(MATCH(L618,fa_num,0))),"Facture d'acompte inconnue",IF(AND(L618&lt;&gt;"",IFERROR(INDEX(fa_type,MATCH(L618,fa_num,0)),"")&lt;&gt;"Facture d'acompte"),"Le n° à déduire n'est pas une facture d'acompte",IF(AND(L618&lt;&gt;"",COUNTIF($L$6:L618,L618)&gt;1),"Acompte déjà déduit sur une autre facture",IF(AND(L618&lt;&gt;"",IFERROR(INDEX(fa_client,MATCH(L618,fa_num,0)),D618)&lt;&gt;D618),"Acompte d'un autre client",IF(AND(AR618&lt;&gt;"",N(Q618)&lt;0),"Acompte supérieur au total de la facture",IF(IF(AG618="Facture",COUNTIFS(fl_doc,A618,fl_check,"&lt;&gt;OK"),IF(AG618="Devis",COUNTIFS(dl_doc,F618,dl_check,"&lt;&gt;OK"),0))&gt;0,"Ligne(s) à corriger",IF(AND(W618&lt;&gt;"",N(W618)&lt;0),"Trop-perçu : vérifiez paiements et avoirs","OK")))))))))))))))))))))</f>
        <v/>
      </c>
      <c r="AA618" s="62" t="str">
        <f>IF(COUNTA(B618:D618,F618:O618)&gt;0,IF(B618="","Facture",B618),"")</f>
        <v/>
      </c>
      <c r="AB618" s="62" t="str">
        <f>IF(AA618="","",IF(AA618="Avoir",p_pav,IF(AA618="Facture d'acompte",p_pac,p_pfa)))</f>
        <v/>
      </c>
      <c r="AC618" s="62">
        <f>IF(ISNUMBER(C618),C618,0)</f>
        <v>0.0</v>
      </c>
      <c r="AD618" s="62" t="str">
        <f>IF(OR(AA618="",AC618=0),"",YEAR(AC618))</f>
        <v/>
      </c>
      <c r="AE618" s="62" t="str">
        <f>IF(AD618="","",COUNTIFS($AB$6:AB618,AB618,$AD$6:AD618,AD618))</f>
        <v/>
      </c>
      <c r="AF618" s="62">
        <f>IF(A618="",0,COUNTIF(fl_doc,A618))</f>
        <v>0.0</v>
      </c>
      <c r="AG618" s="62" t="str">
        <f>IF(A618="","",IF(AF618&gt;0,"Facture",IF(AND(F618&lt;&gt;"",AA618="Facture",ISNUMBER(MATCH(F618,dv_num,0))),"Devis","")))</f>
        <v/>
      </c>
      <c r="AH618" s="62" t="str">
        <f>IF(AND(A618&lt;&gt;"",F618&lt;&gt;"",AA618&lt;&gt;"Avoir"),F618,"")</f>
        <v/>
      </c>
      <c r="AI618" s="62" t="str">
        <f>IF(AG618="Devis",F618,"")</f>
        <v/>
      </c>
      <c r="AJ618" s="62">
        <f>IF(AG618="Facture",SUMIF(fl_doc,A618,fl_ht),IF(AG618="Devis",SUMIF(dl_doc,F618,dl_ht),0))</f>
        <v>0.0</v>
      </c>
      <c r="AK618" s="62">
        <f>IF(OR(AG618="",INDEX(p_rates,1)=""),0,IF(AG618="Facture",SUMIFS(fl_ht,fl_doc,A618,fl_rate,INDEX(p_rates,1)),SUMIFS(dl_ht,dl_doc,F618,dl_rate,INDEX(p_rates,1))))</f>
        <v>0.0</v>
      </c>
      <c r="AL618" s="62">
        <f>IF(OR(AG618="",INDEX(p_rates,2)=""),0,IF(AG618="Facture",SUMIFS(fl_ht,fl_doc,A618,fl_rate,INDEX(p_rates,2)),SUMIFS(dl_ht,dl_doc,F618,dl_rate,INDEX(p_rates,2))))</f>
        <v>0.0</v>
      </c>
      <c r="AM618" s="62">
        <f>IF(OR(AG618="",INDEX(p_rates,3)=""),0,IF(AG618="Facture",SUMIFS(fl_ht,fl_doc,A618,fl_rate,INDEX(p_rates,3)),SUMIFS(dl_ht,dl_doc,F618,dl_rate,INDEX(p_rates,3))))</f>
        <v>0.0</v>
      </c>
      <c r="AN618" s="62">
        <f>IF(OR(AG618="",INDEX(p_rates,4)=""),0,IF(AG618="Facture",SUMIFS(fl_ht,fl_doc,A618,fl_rate,INDEX(p_rates,4)),SUMIFS(dl_ht,dl_doc,F618,dl_rate,INDEX(p_rates,4))))</f>
        <v>0.0</v>
      </c>
      <c r="AO618" s="62">
        <f>IF(OR(AG618="",INDEX(p_rates,5)=""),0,IF(AG618="Facture",SUMIFS(fl_ht,fl_doc,A618,fl_rate,INDEX(p_rates,5)),SUMIFS(dl_ht,dl_doc,F618,dl_rate,INDEX(p_rates,5))))</f>
        <v>0.0</v>
      </c>
      <c r="AP618" s="62">
        <f>IF(OR(AG618="",INDEX(p_rates,6)=""),0,IF(AG618="Facture",SUMIFS(fl_ht,fl_doc,A618,fl_rate,INDEX(p_rates,6)),SUMIFS(dl_ht,dl_doc,F618,dl_rate,INDEX(p_rates,6))))</f>
        <v>0.0</v>
      </c>
      <c r="AQ618" s="62">
        <f>ROUND(AK618*N(INDEX(p_rates,1)),2)+ROUND(AL618*N(INDEX(p_rates,2)),2)+ROUND(AM618*N(INDEX(p_rates,3)),2)+ROUND(AN618*N(INDEX(p_rates,4)),2)+ROUND(AO618*N(INDEX(p_rates,5)),2)+ROUND(AP618*N(INDEX(p_rates,6)),2)</f>
        <v>0.0</v>
      </c>
      <c r="AR618" s="62" t="str">
        <f>IF(OR(L618="",AA618&lt;&gt;"Facture"),"",IFERROR(IF(INDEX(fa_type,MATCH(L618,fa_num,0))="Facture d'acompte",MATCH(L618,fa_num,0),""),""))</f>
        <v/>
      </c>
      <c r="AS618" s="62" t="str">
        <f>IF(W618="","",IF(W618&lt;=0,"",IF(p_asof-P618&lt;=0,"Non échu",IF(p_asof-P618&lt;=30,"1-30 j",IF(p_asof-P618&lt;=60,"31-60 j",IF(p_asof-P618&lt;=90,"61-90 j","Plus de 90 j"))))))</f>
        <v/>
      </c>
      <c r="AT618" s="62" t="str">
        <f>IF(AS618="","",p_asof-P618)</f>
        <v/>
      </c>
      <c r="AU618" s="62" t="str">
        <f>IF(AT618="","",COUNTIF($AT$6:$AT$805,"&gt;"&amp;AT618)+COUNTIF($AT$6:AT618,AT618))</f>
        <v/>
      </c>
    </row>
    <row r="619">
      <c r="A619" s="59" t="str">
        <f>IF(AE619="","",AB619&amp;"-"&amp;AD619&amp;"-"&amp;RIGHT("000"&amp;AE619,4))</f>
        <v/>
      </c>
      <c r="B619" s="60" t="n"/>
      <c r="C619" s="61" t="n"/>
      <c r="D619" s="60" t="n"/>
      <c r="E619" s="62" t="str">
        <f>IF(D619="","",IFERROR(INDEX(cli_name,MATCH(D619,cli_code,0))&amp;"","Client inconnu"))</f>
        <v/>
      </c>
      <c r="F619" s="60" t="n"/>
      <c r="G619" s="63" t="n"/>
      <c r="H619" s="61" t="n"/>
      <c r="I619" s="63" t="n"/>
      <c r="J619" s="60" t="n"/>
      <c r="K619" s="61" t="n"/>
      <c r="L619" s="60" t="n"/>
      <c r="M619" s="60" t="n"/>
      <c r="N619" s="60" t="n"/>
      <c r="O619" s="61" t="n"/>
      <c r="P619" s="64" t="str">
        <f>IF(A619="","",IF(AA619="Avoir",AC619,IF(ISNUMBER(K619),K619,AC619+IF(D619="",N(p_delay),IFERROR(IF(ISNUMBER(INDEX(cli_delay,MATCH(D619,cli_code,0))),INDEX(cli_delay,MATCH(D619,cli_code,0)),N(p_delay)),N(p_delay))))))</f>
        <v/>
      </c>
      <c r="Q619" s="65" t="str">
        <f>IF(A619="","",IF(AA619="Avoir",-1,1)*ROUND(AJ619-IF(AR619="",0,INDEX(fa_htb,AR619)),2))</f>
        <v/>
      </c>
      <c r="R619" s="65" t="str">
        <f>IF(A619="","",IF(AA619="Avoir",-1,1)*ROUND(AQ619-IF(AR619="",0,INDEX(fa_tvab,AR619)),2))</f>
        <v/>
      </c>
      <c r="S619" s="65" t="str">
        <f>IF(A619="","",Q619+R619)</f>
        <v/>
      </c>
      <c r="T619" s="65" t="str">
        <f>IF(AR619="","",INDEX(fa_htb,AR619)+INDEX(fa_tvab,AR619))</f>
        <v/>
      </c>
      <c r="U619" s="65" t="str">
        <f>IF(A619="","",SUMIF(pa_inv,A619,pa_amt))</f>
        <v/>
      </c>
      <c r="V619" s="65" t="str">
        <f>IF(OR(A619="",AA619="Avoir"),"",-SUMIFS(fa_ttc,fa_avof,A619,fa_type,"Avoir"))</f>
        <v/>
      </c>
      <c r="W619" s="65" t="str">
        <f>IF(OR(A619="",AA619="Avoir"),"",ROUND(S619-U619-V619,2))</f>
        <v/>
      </c>
      <c r="X619" s="66" t="str">
        <f>IF(W619="","",IF(AND(W619&gt;0,p_asof&gt;P619),p_asof-P619,""))</f>
        <v/>
      </c>
      <c r="Y619" s="59" t="str">
        <f>IF(A619="","",IF(AA619="Avoir","Avoir",IF(W619&lt;0,"Trop-perçu",IF(W619=0,"Soldée",IF(p_asof&gt;P619,"En retard",IF(U619+V619&gt;0,"Partielle","À échoir"))))))</f>
        <v/>
      </c>
      <c r="Z619" s="59" t="str">
        <f>IF(NOT(COUNTA(B619:D619,F619:O619)&gt;0),"",IF(C619="","Date manquante",IF(NOT(ISNUMBER(C619)),"Date invalide",IF(D619="","Client manquant",IF(ISNA(MATCH(D619,cli_code,0)),"Client inconnu",IF(AC619&lt;SUMPRODUCT(MAX(($AB$6:AB618=AB619)*$AC$6:AC618)),"Date antérieure à la facture précédente",IF(AND(F619&lt;&gt;"",ISNA(MATCH(F619,dv_num,0))),"Devis inconnu",IF(AND(F619&lt;&gt;"",IFERROR(INDEX(dv_client,MATCH(F619,dv_num,0)),D619)&lt;&gt;D619),"Client différent de celui du devis",IF(AG619="","Aucune ligne : saisissez des lignes ou un devis",IF(AND(AI619&lt;&gt;"",COUNTIF($AI$6:AI619,AI619)&gt;1),"Devis déjà repris par une autre facture",IF(AND(AA619="Avoir",M619=""),"Avoir : indiquez la facture d'origine",IF(AND(AA619="Avoir",ISNA(MATCH(M619,fa_num,0))),"Facture d'origine inconnue",IF(AND(AA619&lt;&gt;"Avoir",M619&lt;&gt;""),"« Avoir sur facture » : réservé aux avoirs",IF(AND(L619&lt;&gt;"",AA619&lt;&gt;"Facture"),"Acompte à déduire : réservé aux factures",IF(AND(L619&lt;&gt;"",ISNA(MATCH(L619,fa_num,0))),"Facture d'acompte inconnue",IF(AND(L619&lt;&gt;"",IFERROR(INDEX(fa_type,MATCH(L619,fa_num,0)),"")&lt;&gt;"Facture d'acompte"),"Le n° à déduire n'est pas une facture d'acompte",IF(AND(L619&lt;&gt;"",COUNTIF($L$6:L619,L619)&gt;1),"Acompte déjà déduit sur une autre facture",IF(AND(L619&lt;&gt;"",IFERROR(INDEX(fa_client,MATCH(L619,fa_num,0)),D619)&lt;&gt;D619),"Acompte d'un autre client",IF(AND(AR619&lt;&gt;"",N(Q619)&lt;0),"Acompte supérieur au total de la facture",IF(IF(AG619="Facture",COUNTIFS(fl_doc,A619,fl_check,"&lt;&gt;OK"),IF(AG619="Devis",COUNTIFS(dl_doc,F619,dl_check,"&lt;&gt;OK"),0))&gt;0,"Ligne(s) à corriger",IF(AND(W619&lt;&gt;"",N(W619)&lt;0),"Trop-perçu : vérifiez paiements et avoirs","OK")))))))))))))))))))))</f>
        <v/>
      </c>
      <c r="AA619" s="62" t="str">
        <f>IF(COUNTA(B619:D619,F619:O619)&gt;0,IF(B619="","Facture",B619),"")</f>
        <v/>
      </c>
      <c r="AB619" s="62" t="str">
        <f>IF(AA619="","",IF(AA619="Avoir",p_pav,IF(AA619="Facture d'acompte",p_pac,p_pfa)))</f>
        <v/>
      </c>
      <c r="AC619" s="62">
        <f>IF(ISNUMBER(C619),C619,0)</f>
        <v>0.0</v>
      </c>
      <c r="AD619" s="62" t="str">
        <f>IF(OR(AA619="",AC619=0),"",YEAR(AC619))</f>
        <v/>
      </c>
      <c r="AE619" s="62" t="str">
        <f>IF(AD619="","",COUNTIFS($AB$6:AB619,AB619,$AD$6:AD619,AD619))</f>
        <v/>
      </c>
      <c r="AF619" s="62">
        <f>IF(A619="",0,COUNTIF(fl_doc,A619))</f>
        <v>0.0</v>
      </c>
      <c r="AG619" s="62" t="str">
        <f>IF(A619="","",IF(AF619&gt;0,"Facture",IF(AND(F619&lt;&gt;"",AA619="Facture",ISNUMBER(MATCH(F619,dv_num,0))),"Devis","")))</f>
        <v/>
      </c>
      <c r="AH619" s="62" t="str">
        <f>IF(AND(A619&lt;&gt;"",F619&lt;&gt;"",AA619&lt;&gt;"Avoir"),F619,"")</f>
        <v/>
      </c>
      <c r="AI619" s="62" t="str">
        <f>IF(AG619="Devis",F619,"")</f>
        <v/>
      </c>
      <c r="AJ619" s="62">
        <f>IF(AG619="Facture",SUMIF(fl_doc,A619,fl_ht),IF(AG619="Devis",SUMIF(dl_doc,F619,dl_ht),0))</f>
        <v>0.0</v>
      </c>
      <c r="AK619" s="62">
        <f>IF(OR(AG619="",INDEX(p_rates,1)=""),0,IF(AG619="Facture",SUMIFS(fl_ht,fl_doc,A619,fl_rate,INDEX(p_rates,1)),SUMIFS(dl_ht,dl_doc,F619,dl_rate,INDEX(p_rates,1))))</f>
        <v>0.0</v>
      </c>
      <c r="AL619" s="62">
        <f>IF(OR(AG619="",INDEX(p_rates,2)=""),0,IF(AG619="Facture",SUMIFS(fl_ht,fl_doc,A619,fl_rate,INDEX(p_rates,2)),SUMIFS(dl_ht,dl_doc,F619,dl_rate,INDEX(p_rates,2))))</f>
        <v>0.0</v>
      </c>
      <c r="AM619" s="62">
        <f>IF(OR(AG619="",INDEX(p_rates,3)=""),0,IF(AG619="Facture",SUMIFS(fl_ht,fl_doc,A619,fl_rate,INDEX(p_rates,3)),SUMIFS(dl_ht,dl_doc,F619,dl_rate,INDEX(p_rates,3))))</f>
        <v>0.0</v>
      </c>
      <c r="AN619" s="62">
        <f>IF(OR(AG619="",INDEX(p_rates,4)=""),0,IF(AG619="Facture",SUMIFS(fl_ht,fl_doc,A619,fl_rate,INDEX(p_rates,4)),SUMIFS(dl_ht,dl_doc,F619,dl_rate,INDEX(p_rates,4))))</f>
        <v>0.0</v>
      </c>
      <c r="AO619" s="62">
        <f>IF(OR(AG619="",INDEX(p_rates,5)=""),0,IF(AG619="Facture",SUMIFS(fl_ht,fl_doc,A619,fl_rate,INDEX(p_rates,5)),SUMIFS(dl_ht,dl_doc,F619,dl_rate,INDEX(p_rates,5))))</f>
        <v>0.0</v>
      </c>
      <c r="AP619" s="62">
        <f>IF(OR(AG619="",INDEX(p_rates,6)=""),0,IF(AG619="Facture",SUMIFS(fl_ht,fl_doc,A619,fl_rate,INDEX(p_rates,6)),SUMIFS(dl_ht,dl_doc,F619,dl_rate,INDEX(p_rates,6))))</f>
        <v>0.0</v>
      </c>
      <c r="AQ619" s="62">
        <f>ROUND(AK619*N(INDEX(p_rates,1)),2)+ROUND(AL619*N(INDEX(p_rates,2)),2)+ROUND(AM619*N(INDEX(p_rates,3)),2)+ROUND(AN619*N(INDEX(p_rates,4)),2)+ROUND(AO619*N(INDEX(p_rates,5)),2)+ROUND(AP619*N(INDEX(p_rates,6)),2)</f>
        <v>0.0</v>
      </c>
      <c r="AR619" s="62" t="str">
        <f>IF(OR(L619="",AA619&lt;&gt;"Facture"),"",IFERROR(IF(INDEX(fa_type,MATCH(L619,fa_num,0))="Facture d'acompte",MATCH(L619,fa_num,0),""),""))</f>
        <v/>
      </c>
      <c r="AS619" s="62" t="str">
        <f>IF(W619="","",IF(W619&lt;=0,"",IF(p_asof-P619&lt;=0,"Non échu",IF(p_asof-P619&lt;=30,"1-30 j",IF(p_asof-P619&lt;=60,"31-60 j",IF(p_asof-P619&lt;=90,"61-90 j","Plus de 90 j"))))))</f>
        <v/>
      </c>
      <c r="AT619" s="62" t="str">
        <f>IF(AS619="","",p_asof-P619)</f>
        <v/>
      </c>
      <c r="AU619" s="62" t="str">
        <f>IF(AT619="","",COUNTIF($AT$6:$AT$805,"&gt;"&amp;AT619)+COUNTIF($AT$6:AT619,AT619))</f>
        <v/>
      </c>
    </row>
    <row r="620">
      <c r="A620" s="59" t="str">
        <f>IF(AE620="","",AB620&amp;"-"&amp;AD620&amp;"-"&amp;RIGHT("000"&amp;AE620,4))</f>
        <v/>
      </c>
      <c r="B620" s="60" t="n"/>
      <c r="C620" s="61" t="n"/>
      <c r="D620" s="60" t="n"/>
      <c r="E620" s="62" t="str">
        <f>IF(D620="","",IFERROR(INDEX(cli_name,MATCH(D620,cli_code,0))&amp;"","Client inconnu"))</f>
        <v/>
      </c>
      <c r="F620" s="60" t="n"/>
      <c r="G620" s="63" t="n"/>
      <c r="H620" s="61" t="n"/>
      <c r="I620" s="63" t="n"/>
      <c r="J620" s="60" t="n"/>
      <c r="K620" s="61" t="n"/>
      <c r="L620" s="60" t="n"/>
      <c r="M620" s="60" t="n"/>
      <c r="N620" s="60" t="n"/>
      <c r="O620" s="61" t="n"/>
      <c r="P620" s="64" t="str">
        <f>IF(A620="","",IF(AA620="Avoir",AC620,IF(ISNUMBER(K620),K620,AC620+IF(D620="",N(p_delay),IFERROR(IF(ISNUMBER(INDEX(cli_delay,MATCH(D620,cli_code,0))),INDEX(cli_delay,MATCH(D620,cli_code,0)),N(p_delay)),N(p_delay))))))</f>
        <v/>
      </c>
      <c r="Q620" s="65" t="str">
        <f>IF(A620="","",IF(AA620="Avoir",-1,1)*ROUND(AJ620-IF(AR620="",0,INDEX(fa_htb,AR620)),2))</f>
        <v/>
      </c>
      <c r="R620" s="65" t="str">
        <f>IF(A620="","",IF(AA620="Avoir",-1,1)*ROUND(AQ620-IF(AR620="",0,INDEX(fa_tvab,AR620)),2))</f>
        <v/>
      </c>
      <c r="S620" s="65" t="str">
        <f>IF(A620="","",Q620+R620)</f>
        <v/>
      </c>
      <c r="T620" s="65" t="str">
        <f>IF(AR620="","",INDEX(fa_htb,AR620)+INDEX(fa_tvab,AR620))</f>
        <v/>
      </c>
      <c r="U620" s="65" t="str">
        <f>IF(A620="","",SUMIF(pa_inv,A620,pa_amt))</f>
        <v/>
      </c>
      <c r="V620" s="65" t="str">
        <f>IF(OR(A620="",AA620="Avoir"),"",-SUMIFS(fa_ttc,fa_avof,A620,fa_type,"Avoir"))</f>
        <v/>
      </c>
      <c r="W620" s="65" t="str">
        <f>IF(OR(A620="",AA620="Avoir"),"",ROUND(S620-U620-V620,2))</f>
        <v/>
      </c>
      <c r="X620" s="66" t="str">
        <f>IF(W620="","",IF(AND(W620&gt;0,p_asof&gt;P620),p_asof-P620,""))</f>
        <v/>
      </c>
      <c r="Y620" s="59" t="str">
        <f>IF(A620="","",IF(AA620="Avoir","Avoir",IF(W620&lt;0,"Trop-perçu",IF(W620=0,"Soldée",IF(p_asof&gt;P620,"En retard",IF(U620+V620&gt;0,"Partielle","À échoir"))))))</f>
        <v/>
      </c>
      <c r="Z620" s="59" t="str">
        <f>IF(NOT(COUNTA(B620:D620,F620:O620)&gt;0),"",IF(C620="","Date manquante",IF(NOT(ISNUMBER(C620)),"Date invalide",IF(D620="","Client manquant",IF(ISNA(MATCH(D620,cli_code,0)),"Client inconnu",IF(AC620&lt;SUMPRODUCT(MAX(($AB$6:AB619=AB620)*$AC$6:AC619)),"Date antérieure à la facture précédente",IF(AND(F620&lt;&gt;"",ISNA(MATCH(F620,dv_num,0))),"Devis inconnu",IF(AND(F620&lt;&gt;"",IFERROR(INDEX(dv_client,MATCH(F620,dv_num,0)),D620)&lt;&gt;D620),"Client différent de celui du devis",IF(AG620="","Aucune ligne : saisissez des lignes ou un devis",IF(AND(AI620&lt;&gt;"",COUNTIF($AI$6:AI620,AI620)&gt;1),"Devis déjà repris par une autre facture",IF(AND(AA620="Avoir",M620=""),"Avoir : indiquez la facture d'origine",IF(AND(AA620="Avoir",ISNA(MATCH(M620,fa_num,0))),"Facture d'origine inconnue",IF(AND(AA620&lt;&gt;"Avoir",M620&lt;&gt;""),"« Avoir sur facture » : réservé aux avoirs",IF(AND(L620&lt;&gt;"",AA620&lt;&gt;"Facture"),"Acompte à déduire : réservé aux factures",IF(AND(L620&lt;&gt;"",ISNA(MATCH(L620,fa_num,0))),"Facture d'acompte inconnue",IF(AND(L620&lt;&gt;"",IFERROR(INDEX(fa_type,MATCH(L620,fa_num,0)),"")&lt;&gt;"Facture d'acompte"),"Le n° à déduire n'est pas une facture d'acompte",IF(AND(L620&lt;&gt;"",COUNTIF($L$6:L620,L620)&gt;1),"Acompte déjà déduit sur une autre facture",IF(AND(L620&lt;&gt;"",IFERROR(INDEX(fa_client,MATCH(L620,fa_num,0)),D620)&lt;&gt;D620),"Acompte d'un autre client",IF(AND(AR620&lt;&gt;"",N(Q620)&lt;0),"Acompte supérieur au total de la facture",IF(IF(AG620="Facture",COUNTIFS(fl_doc,A620,fl_check,"&lt;&gt;OK"),IF(AG620="Devis",COUNTIFS(dl_doc,F620,dl_check,"&lt;&gt;OK"),0))&gt;0,"Ligne(s) à corriger",IF(AND(W620&lt;&gt;"",N(W620)&lt;0),"Trop-perçu : vérifiez paiements et avoirs","OK")))))))))))))))))))))</f>
        <v/>
      </c>
      <c r="AA620" s="62" t="str">
        <f>IF(COUNTA(B620:D620,F620:O620)&gt;0,IF(B620="","Facture",B620),"")</f>
        <v/>
      </c>
      <c r="AB620" s="62" t="str">
        <f>IF(AA620="","",IF(AA620="Avoir",p_pav,IF(AA620="Facture d'acompte",p_pac,p_pfa)))</f>
        <v/>
      </c>
      <c r="AC620" s="62">
        <f>IF(ISNUMBER(C620),C620,0)</f>
        <v>0.0</v>
      </c>
      <c r="AD620" s="62" t="str">
        <f>IF(OR(AA620="",AC620=0),"",YEAR(AC620))</f>
        <v/>
      </c>
      <c r="AE620" s="62" t="str">
        <f>IF(AD620="","",COUNTIFS($AB$6:AB620,AB620,$AD$6:AD620,AD620))</f>
        <v/>
      </c>
      <c r="AF620" s="62">
        <f>IF(A620="",0,COUNTIF(fl_doc,A620))</f>
        <v>0.0</v>
      </c>
      <c r="AG620" s="62" t="str">
        <f>IF(A620="","",IF(AF620&gt;0,"Facture",IF(AND(F620&lt;&gt;"",AA620="Facture",ISNUMBER(MATCH(F620,dv_num,0))),"Devis","")))</f>
        <v/>
      </c>
      <c r="AH620" s="62" t="str">
        <f>IF(AND(A620&lt;&gt;"",F620&lt;&gt;"",AA620&lt;&gt;"Avoir"),F620,"")</f>
        <v/>
      </c>
      <c r="AI620" s="62" t="str">
        <f>IF(AG620="Devis",F620,"")</f>
        <v/>
      </c>
      <c r="AJ620" s="62">
        <f>IF(AG620="Facture",SUMIF(fl_doc,A620,fl_ht),IF(AG620="Devis",SUMIF(dl_doc,F620,dl_ht),0))</f>
        <v>0.0</v>
      </c>
      <c r="AK620" s="62">
        <f>IF(OR(AG620="",INDEX(p_rates,1)=""),0,IF(AG620="Facture",SUMIFS(fl_ht,fl_doc,A620,fl_rate,INDEX(p_rates,1)),SUMIFS(dl_ht,dl_doc,F620,dl_rate,INDEX(p_rates,1))))</f>
        <v>0.0</v>
      </c>
      <c r="AL620" s="62">
        <f>IF(OR(AG620="",INDEX(p_rates,2)=""),0,IF(AG620="Facture",SUMIFS(fl_ht,fl_doc,A620,fl_rate,INDEX(p_rates,2)),SUMIFS(dl_ht,dl_doc,F620,dl_rate,INDEX(p_rates,2))))</f>
        <v>0.0</v>
      </c>
      <c r="AM620" s="62">
        <f>IF(OR(AG620="",INDEX(p_rates,3)=""),0,IF(AG620="Facture",SUMIFS(fl_ht,fl_doc,A620,fl_rate,INDEX(p_rates,3)),SUMIFS(dl_ht,dl_doc,F620,dl_rate,INDEX(p_rates,3))))</f>
        <v>0.0</v>
      </c>
      <c r="AN620" s="62">
        <f>IF(OR(AG620="",INDEX(p_rates,4)=""),0,IF(AG620="Facture",SUMIFS(fl_ht,fl_doc,A620,fl_rate,INDEX(p_rates,4)),SUMIFS(dl_ht,dl_doc,F620,dl_rate,INDEX(p_rates,4))))</f>
        <v>0.0</v>
      </c>
      <c r="AO620" s="62">
        <f>IF(OR(AG620="",INDEX(p_rates,5)=""),0,IF(AG620="Facture",SUMIFS(fl_ht,fl_doc,A620,fl_rate,INDEX(p_rates,5)),SUMIFS(dl_ht,dl_doc,F620,dl_rate,INDEX(p_rates,5))))</f>
        <v>0.0</v>
      </c>
      <c r="AP620" s="62">
        <f>IF(OR(AG620="",INDEX(p_rates,6)=""),0,IF(AG620="Facture",SUMIFS(fl_ht,fl_doc,A620,fl_rate,INDEX(p_rates,6)),SUMIFS(dl_ht,dl_doc,F620,dl_rate,INDEX(p_rates,6))))</f>
        <v>0.0</v>
      </c>
      <c r="AQ620" s="62">
        <f>ROUND(AK620*N(INDEX(p_rates,1)),2)+ROUND(AL620*N(INDEX(p_rates,2)),2)+ROUND(AM620*N(INDEX(p_rates,3)),2)+ROUND(AN620*N(INDEX(p_rates,4)),2)+ROUND(AO620*N(INDEX(p_rates,5)),2)+ROUND(AP620*N(INDEX(p_rates,6)),2)</f>
        <v>0.0</v>
      </c>
      <c r="AR620" s="62" t="str">
        <f>IF(OR(L620="",AA620&lt;&gt;"Facture"),"",IFERROR(IF(INDEX(fa_type,MATCH(L620,fa_num,0))="Facture d'acompte",MATCH(L620,fa_num,0),""),""))</f>
        <v/>
      </c>
      <c r="AS620" s="62" t="str">
        <f>IF(W620="","",IF(W620&lt;=0,"",IF(p_asof-P620&lt;=0,"Non échu",IF(p_asof-P620&lt;=30,"1-30 j",IF(p_asof-P620&lt;=60,"31-60 j",IF(p_asof-P620&lt;=90,"61-90 j","Plus de 90 j"))))))</f>
        <v/>
      </c>
      <c r="AT620" s="62" t="str">
        <f>IF(AS620="","",p_asof-P620)</f>
        <v/>
      </c>
      <c r="AU620" s="62" t="str">
        <f>IF(AT620="","",COUNTIF($AT$6:$AT$805,"&gt;"&amp;AT620)+COUNTIF($AT$6:AT620,AT620))</f>
        <v/>
      </c>
    </row>
    <row r="621">
      <c r="A621" s="59" t="str">
        <f>IF(AE621="","",AB621&amp;"-"&amp;AD621&amp;"-"&amp;RIGHT("000"&amp;AE621,4))</f>
        <v/>
      </c>
      <c r="B621" s="60" t="n"/>
      <c r="C621" s="61" t="n"/>
      <c r="D621" s="60" t="n"/>
      <c r="E621" s="62" t="str">
        <f>IF(D621="","",IFERROR(INDEX(cli_name,MATCH(D621,cli_code,0))&amp;"","Client inconnu"))</f>
        <v/>
      </c>
      <c r="F621" s="60" t="n"/>
      <c r="G621" s="63" t="n"/>
      <c r="H621" s="61" t="n"/>
      <c r="I621" s="63" t="n"/>
      <c r="J621" s="60" t="n"/>
      <c r="K621" s="61" t="n"/>
      <c r="L621" s="60" t="n"/>
      <c r="M621" s="60" t="n"/>
      <c r="N621" s="60" t="n"/>
      <c r="O621" s="61" t="n"/>
      <c r="P621" s="64" t="str">
        <f>IF(A621="","",IF(AA621="Avoir",AC621,IF(ISNUMBER(K621),K621,AC621+IF(D621="",N(p_delay),IFERROR(IF(ISNUMBER(INDEX(cli_delay,MATCH(D621,cli_code,0))),INDEX(cli_delay,MATCH(D621,cli_code,0)),N(p_delay)),N(p_delay))))))</f>
        <v/>
      </c>
      <c r="Q621" s="65" t="str">
        <f>IF(A621="","",IF(AA621="Avoir",-1,1)*ROUND(AJ621-IF(AR621="",0,INDEX(fa_htb,AR621)),2))</f>
        <v/>
      </c>
      <c r="R621" s="65" t="str">
        <f>IF(A621="","",IF(AA621="Avoir",-1,1)*ROUND(AQ621-IF(AR621="",0,INDEX(fa_tvab,AR621)),2))</f>
        <v/>
      </c>
      <c r="S621" s="65" t="str">
        <f>IF(A621="","",Q621+R621)</f>
        <v/>
      </c>
      <c r="T621" s="65" t="str">
        <f>IF(AR621="","",INDEX(fa_htb,AR621)+INDEX(fa_tvab,AR621))</f>
        <v/>
      </c>
      <c r="U621" s="65" t="str">
        <f>IF(A621="","",SUMIF(pa_inv,A621,pa_amt))</f>
        <v/>
      </c>
      <c r="V621" s="65" t="str">
        <f>IF(OR(A621="",AA621="Avoir"),"",-SUMIFS(fa_ttc,fa_avof,A621,fa_type,"Avoir"))</f>
        <v/>
      </c>
      <c r="W621" s="65" t="str">
        <f>IF(OR(A621="",AA621="Avoir"),"",ROUND(S621-U621-V621,2))</f>
        <v/>
      </c>
      <c r="X621" s="66" t="str">
        <f>IF(W621="","",IF(AND(W621&gt;0,p_asof&gt;P621),p_asof-P621,""))</f>
        <v/>
      </c>
      <c r="Y621" s="59" t="str">
        <f>IF(A621="","",IF(AA621="Avoir","Avoir",IF(W621&lt;0,"Trop-perçu",IF(W621=0,"Soldée",IF(p_asof&gt;P621,"En retard",IF(U621+V621&gt;0,"Partielle","À échoir"))))))</f>
        <v/>
      </c>
      <c r="Z621" s="59" t="str">
        <f>IF(NOT(COUNTA(B621:D621,F621:O621)&gt;0),"",IF(C621="","Date manquante",IF(NOT(ISNUMBER(C621)),"Date invalide",IF(D621="","Client manquant",IF(ISNA(MATCH(D621,cli_code,0)),"Client inconnu",IF(AC621&lt;SUMPRODUCT(MAX(($AB$6:AB620=AB621)*$AC$6:AC620)),"Date antérieure à la facture précédente",IF(AND(F621&lt;&gt;"",ISNA(MATCH(F621,dv_num,0))),"Devis inconnu",IF(AND(F621&lt;&gt;"",IFERROR(INDEX(dv_client,MATCH(F621,dv_num,0)),D621)&lt;&gt;D621),"Client différent de celui du devis",IF(AG621="","Aucune ligne : saisissez des lignes ou un devis",IF(AND(AI621&lt;&gt;"",COUNTIF($AI$6:AI621,AI621)&gt;1),"Devis déjà repris par une autre facture",IF(AND(AA621="Avoir",M621=""),"Avoir : indiquez la facture d'origine",IF(AND(AA621="Avoir",ISNA(MATCH(M621,fa_num,0))),"Facture d'origine inconnue",IF(AND(AA621&lt;&gt;"Avoir",M621&lt;&gt;""),"« Avoir sur facture » : réservé aux avoirs",IF(AND(L621&lt;&gt;"",AA621&lt;&gt;"Facture"),"Acompte à déduire : réservé aux factures",IF(AND(L621&lt;&gt;"",ISNA(MATCH(L621,fa_num,0))),"Facture d'acompte inconnue",IF(AND(L621&lt;&gt;"",IFERROR(INDEX(fa_type,MATCH(L621,fa_num,0)),"")&lt;&gt;"Facture d'acompte"),"Le n° à déduire n'est pas une facture d'acompte",IF(AND(L621&lt;&gt;"",COUNTIF($L$6:L621,L621)&gt;1),"Acompte déjà déduit sur une autre facture",IF(AND(L621&lt;&gt;"",IFERROR(INDEX(fa_client,MATCH(L621,fa_num,0)),D621)&lt;&gt;D621),"Acompte d'un autre client",IF(AND(AR621&lt;&gt;"",N(Q621)&lt;0),"Acompte supérieur au total de la facture",IF(IF(AG621="Facture",COUNTIFS(fl_doc,A621,fl_check,"&lt;&gt;OK"),IF(AG621="Devis",COUNTIFS(dl_doc,F621,dl_check,"&lt;&gt;OK"),0))&gt;0,"Ligne(s) à corriger",IF(AND(W621&lt;&gt;"",N(W621)&lt;0),"Trop-perçu : vérifiez paiements et avoirs","OK")))))))))))))))))))))</f>
        <v/>
      </c>
      <c r="AA621" s="62" t="str">
        <f>IF(COUNTA(B621:D621,F621:O621)&gt;0,IF(B621="","Facture",B621),"")</f>
        <v/>
      </c>
      <c r="AB621" s="62" t="str">
        <f>IF(AA621="","",IF(AA621="Avoir",p_pav,IF(AA621="Facture d'acompte",p_pac,p_pfa)))</f>
        <v/>
      </c>
      <c r="AC621" s="62">
        <f>IF(ISNUMBER(C621),C621,0)</f>
        <v>0.0</v>
      </c>
      <c r="AD621" s="62" t="str">
        <f>IF(OR(AA621="",AC621=0),"",YEAR(AC621))</f>
        <v/>
      </c>
      <c r="AE621" s="62" t="str">
        <f>IF(AD621="","",COUNTIFS($AB$6:AB621,AB621,$AD$6:AD621,AD621))</f>
        <v/>
      </c>
      <c r="AF621" s="62">
        <f>IF(A621="",0,COUNTIF(fl_doc,A621))</f>
        <v>0.0</v>
      </c>
      <c r="AG621" s="62" t="str">
        <f>IF(A621="","",IF(AF621&gt;0,"Facture",IF(AND(F621&lt;&gt;"",AA621="Facture",ISNUMBER(MATCH(F621,dv_num,0))),"Devis","")))</f>
        <v/>
      </c>
      <c r="AH621" s="62" t="str">
        <f>IF(AND(A621&lt;&gt;"",F621&lt;&gt;"",AA621&lt;&gt;"Avoir"),F621,"")</f>
        <v/>
      </c>
      <c r="AI621" s="62" t="str">
        <f>IF(AG621="Devis",F621,"")</f>
        <v/>
      </c>
      <c r="AJ621" s="62">
        <f>IF(AG621="Facture",SUMIF(fl_doc,A621,fl_ht),IF(AG621="Devis",SUMIF(dl_doc,F621,dl_ht),0))</f>
        <v>0.0</v>
      </c>
      <c r="AK621" s="62">
        <f>IF(OR(AG621="",INDEX(p_rates,1)=""),0,IF(AG621="Facture",SUMIFS(fl_ht,fl_doc,A621,fl_rate,INDEX(p_rates,1)),SUMIFS(dl_ht,dl_doc,F621,dl_rate,INDEX(p_rates,1))))</f>
        <v>0.0</v>
      </c>
      <c r="AL621" s="62">
        <f>IF(OR(AG621="",INDEX(p_rates,2)=""),0,IF(AG621="Facture",SUMIFS(fl_ht,fl_doc,A621,fl_rate,INDEX(p_rates,2)),SUMIFS(dl_ht,dl_doc,F621,dl_rate,INDEX(p_rates,2))))</f>
        <v>0.0</v>
      </c>
      <c r="AM621" s="62">
        <f>IF(OR(AG621="",INDEX(p_rates,3)=""),0,IF(AG621="Facture",SUMIFS(fl_ht,fl_doc,A621,fl_rate,INDEX(p_rates,3)),SUMIFS(dl_ht,dl_doc,F621,dl_rate,INDEX(p_rates,3))))</f>
        <v>0.0</v>
      </c>
      <c r="AN621" s="62">
        <f>IF(OR(AG621="",INDEX(p_rates,4)=""),0,IF(AG621="Facture",SUMIFS(fl_ht,fl_doc,A621,fl_rate,INDEX(p_rates,4)),SUMIFS(dl_ht,dl_doc,F621,dl_rate,INDEX(p_rates,4))))</f>
        <v>0.0</v>
      </c>
      <c r="AO621" s="62">
        <f>IF(OR(AG621="",INDEX(p_rates,5)=""),0,IF(AG621="Facture",SUMIFS(fl_ht,fl_doc,A621,fl_rate,INDEX(p_rates,5)),SUMIFS(dl_ht,dl_doc,F621,dl_rate,INDEX(p_rates,5))))</f>
        <v>0.0</v>
      </c>
      <c r="AP621" s="62">
        <f>IF(OR(AG621="",INDEX(p_rates,6)=""),0,IF(AG621="Facture",SUMIFS(fl_ht,fl_doc,A621,fl_rate,INDEX(p_rates,6)),SUMIFS(dl_ht,dl_doc,F621,dl_rate,INDEX(p_rates,6))))</f>
        <v>0.0</v>
      </c>
      <c r="AQ621" s="62">
        <f>ROUND(AK621*N(INDEX(p_rates,1)),2)+ROUND(AL621*N(INDEX(p_rates,2)),2)+ROUND(AM621*N(INDEX(p_rates,3)),2)+ROUND(AN621*N(INDEX(p_rates,4)),2)+ROUND(AO621*N(INDEX(p_rates,5)),2)+ROUND(AP621*N(INDEX(p_rates,6)),2)</f>
        <v>0.0</v>
      </c>
      <c r="AR621" s="62" t="str">
        <f>IF(OR(L621="",AA621&lt;&gt;"Facture"),"",IFERROR(IF(INDEX(fa_type,MATCH(L621,fa_num,0))="Facture d'acompte",MATCH(L621,fa_num,0),""),""))</f>
        <v/>
      </c>
      <c r="AS621" s="62" t="str">
        <f>IF(W621="","",IF(W621&lt;=0,"",IF(p_asof-P621&lt;=0,"Non échu",IF(p_asof-P621&lt;=30,"1-30 j",IF(p_asof-P621&lt;=60,"31-60 j",IF(p_asof-P621&lt;=90,"61-90 j","Plus de 90 j"))))))</f>
        <v/>
      </c>
      <c r="AT621" s="62" t="str">
        <f>IF(AS621="","",p_asof-P621)</f>
        <v/>
      </c>
      <c r="AU621" s="62" t="str">
        <f>IF(AT621="","",COUNTIF($AT$6:$AT$805,"&gt;"&amp;AT621)+COUNTIF($AT$6:AT621,AT621))</f>
        <v/>
      </c>
    </row>
    <row r="622">
      <c r="A622" s="59" t="str">
        <f>IF(AE622="","",AB622&amp;"-"&amp;AD622&amp;"-"&amp;RIGHT("000"&amp;AE622,4))</f>
        <v/>
      </c>
      <c r="B622" s="60" t="n"/>
      <c r="C622" s="61" t="n"/>
      <c r="D622" s="60" t="n"/>
      <c r="E622" s="62" t="str">
        <f>IF(D622="","",IFERROR(INDEX(cli_name,MATCH(D622,cli_code,0))&amp;"","Client inconnu"))</f>
        <v/>
      </c>
      <c r="F622" s="60" t="n"/>
      <c r="G622" s="63" t="n"/>
      <c r="H622" s="61" t="n"/>
      <c r="I622" s="63" t="n"/>
      <c r="J622" s="60" t="n"/>
      <c r="K622" s="61" t="n"/>
      <c r="L622" s="60" t="n"/>
      <c r="M622" s="60" t="n"/>
      <c r="N622" s="60" t="n"/>
      <c r="O622" s="61" t="n"/>
      <c r="P622" s="64" t="str">
        <f>IF(A622="","",IF(AA622="Avoir",AC622,IF(ISNUMBER(K622),K622,AC622+IF(D622="",N(p_delay),IFERROR(IF(ISNUMBER(INDEX(cli_delay,MATCH(D622,cli_code,0))),INDEX(cli_delay,MATCH(D622,cli_code,0)),N(p_delay)),N(p_delay))))))</f>
        <v/>
      </c>
      <c r="Q622" s="65" t="str">
        <f>IF(A622="","",IF(AA622="Avoir",-1,1)*ROUND(AJ622-IF(AR622="",0,INDEX(fa_htb,AR622)),2))</f>
        <v/>
      </c>
      <c r="R622" s="65" t="str">
        <f>IF(A622="","",IF(AA622="Avoir",-1,1)*ROUND(AQ622-IF(AR622="",0,INDEX(fa_tvab,AR622)),2))</f>
        <v/>
      </c>
      <c r="S622" s="65" t="str">
        <f>IF(A622="","",Q622+R622)</f>
        <v/>
      </c>
      <c r="T622" s="65" t="str">
        <f>IF(AR622="","",INDEX(fa_htb,AR622)+INDEX(fa_tvab,AR622))</f>
        <v/>
      </c>
      <c r="U622" s="65" t="str">
        <f>IF(A622="","",SUMIF(pa_inv,A622,pa_amt))</f>
        <v/>
      </c>
      <c r="V622" s="65" t="str">
        <f>IF(OR(A622="",AA622="Avoir"),"",-SUMIFS(fa_ttc,fa_avof,A622,fa_type,"Avoir"))</f>
        <v/>
      </c>
      <c r="W622" s="65" t="str">
        <f>IF(OR(A622="",AA622="Avoir"),"",ROUND(S622-U622-V622,2))</f>
        <v/>
      </c>
      <c r="X622" s="66" t="str">
        <f>IF(W622="","",IF(AND(W622&gt;0,p_asof&gt;P622),p_asof-P622,""))</f>
        <v/>
      </c>
      <c r="Y622" s="59" t="str">
        <f>IF(A622="","",IF(AA622="Avoir","Avoir",IF(W622&lt;0,"Trop-perçu",IF(W622=0,"Soldée",IF(p_asof&gt;P622,"En retard",IF(U622+V622&gt;0,"Partielle","À échoir"))))))</f>
        <v/>
      </c>
      <c r="Z622" s="59" t="str">
        <f>IF(NOT(COUNTA(B622:D622,F622:O622)&gt;0),"",IF(C622="","Date manquante",IF(NOT(ISNUMBER(C622)),"Date invalide",IF(D622="","Client manquant",IF(ISNA(MATCH(D622,cli_code,0)),"Client inconnu",IF(AC622&lt;SUMPRODUCT(MAX(($AB$6:AB621=AB622)*$AC$6:AC621)),"Date antérieure à la facture précédente",IF(AND(F622&lt;&gt;"",ISNA(MATCH(F622,dv_num,0))),"Devis inconnu",IF(AND(F622&lt;&gt;"",IFERROR(INDEX(dv_client,MATCH(F622,dv_num,0)),D622)&lt;&gt;D622),"Client différent de celui du devis",IF(AG622="","Aucune ligne : saisissez des lignes ou un devis",IF(AND(AI622&lt;&gt;"",COUNTIF($AI$6:AI622,AI622)&gt;1),"Devis déjà repris par une autre facture",IF(AND(AA622="Avoir",M622=""),"Avoir : indiquez la facture d'origine",IF(AND(AA622="Avoir",ISNA(MATCH(M622,fa_num,0))),"Facture d'origine inconnue",IF(AND(AA622&lt;&gt;"Avoir",M622&lt;&gt;""),"« Avoir sur facture » : réservé aux avoirs",IF(AND(L622&lt;&gt;"",AA622&lt;&gt;"Facture"),"Acompte à déduire : réservé aux factures",IF(AND(L622&lt;&gt;"",ISNA(MATCH(L622,fa_num,0))),"Facture d'acompte inconnue",IF(AND(L622&lt;&gt;"",IFERROR(INDEX(fa_type,MATCH(L622,fa_num,0)),"")&lt;&gt;"Facture d'acompte"),"Le n° à déduire n'est pas une facture d'acompte",IF(AND(L622&lt;&gt;"",COUNTIF($L$6:L622,L622)&gt;1),"Acompte déjà déduit sur une autre facture",IF(AND(L622&lt;&gt;"",IFERROR(INDEX(fa_client,MATCH(L622,fa_num,0)),D622)&lt;&gt;D622),"Acompte d'un autre client",IF(AND(AR622&lt;&gt;"",N(Q622)&lt;0),"Acompte supérieur au total de la facture",IF(IF(AG622="Facture",COUNTIFS(fl_doc,A622,fl_check,"&lt;&gt;OK"),IF(AG622="Devis",COUNTIFS(dl_doc,F622,dl_check,"&lt;&gt;OK"),0))&gt;0,"Ligne(s) à corriger",IF(AND(W622&lt;&gt;"",N(W622)&lt;0),"Trop-perçu : vérifiez paiements et avoirs","OK")))))))))))))))))))))</f>
        <v/>
      </c>
      <c r="AA622" s="62" t="str">
        <f>IF(COUNTA(B622:D622,F622:O622)&gt;0,IF(B622="","Facture",B622),"")</f>
        <v/>
      </c>
      <c r="AB622" s="62" t="str">
        <f>IF(AA622="","",IF(AA622="Avoir",p_pav,IF(AA622="Facture d'acompte",p_pac,p_pfa)))</f>
        <v/>
      </c>
      <c r="AC622" s="62">
        <f>IF(ISNUMBER(C622),C622,0)</f>
        <v>0.0</v>
      </c>
      <c r="AD622" s="62" t="str">
        <f>IF(OR(AA622="",AC622=0),"",YEAR(AC622))</f>
        <v/>
      </c>
      <c r="AE622" s="62" t="str">
        <f>IF(AD622="","",COUNTIFS($AB$6:AB622,AB622,$AD$6:AD622,AD622))</f>
        <v/>
      </c>
      <c r="AF622" s="62">
        <f>IF(A622="",0,COUNTIF(fl_doc,A622))</f>
        <v>0.0</v>
      </c>
      <c r="AG622" s="62" t="str">
        <f>IF(A622="","",IF(AF622&gt;0,"Facture",IF(AND(F622&lt;&gt;"",AA622="Facture",ISNUMBER(MATCH(F622,dv_num,0))),"Devis","")))</f>
        <v/>
      </c>
      <c r="AH622" s="62" t="str">
        <f>IF(AND(A622&lt;&gt;"",F622&lt;&gt;"",AA622&lt;&gt;"Avoir"),F622,"")</f>
        <v/>
      </c>
      <c r="AI622" s="62" t="str">
        <f>IF(AG622="Devis",F622,"")</f>
        <v/>
      </c>
      <c r="AJ622" s="62">
        <f>IF(AG622="Facture",SUMIF(fl_doc,A622,fl_ht),IF(AG622="Devis",SUMIF(dl_doc,F622,dl_ht),0))</f>
        <v>0.0</v>
      </c>
      <c r="AK622" s="62">
        <f>IF(OR(AG622="",INDEX(p_rates,1)=""),0,IF(AG622="Facture",SUMIFS(fl_ht,fl_doc,A622,fl_rate,INDEX(p_rates,1)),SUMIFS(dl_ht,dl_doc,F622,dl_rate,INDEX(p_rates,1))))</f>
        <v>0.0</v>
      </c>
      <c r="AL622" s="62">
        <f>IF(OR(AG622="",INDEX(p_rates,2)=""),0,IF(AG622="Facture",SUMIFS(fl_ht,fl_doc,A622,fl_rate,INDEX(p_rates,2)),SUMIFS(dl_ht,dl_doc,F622,dl_rate,INDEX(p_rates,2))))</f>
        <v>0.0</v>
      </c>
      <c r="AM622" s="62">
        <f>IF(OR(AG622="",INDEX(p_rates,3)=""),0,IF(AG622="Facture",SUMIFS(fl_ht,fl_doc,A622,fl_rate,INDEX(p_rates,3)),SUMIFS(dl_ht,dl_doc,F622,dl_rate,INDEX(p_rates,3))))</f>
        <v>0.0</v>
      </c>
      <c r="AN622" s="62">
        <f>IF(OR(AG622="",INDEX(p_rates,4)=""),0,IF(AG622="Facture",SUMIFS(fl_ht,fl_doc,A622,fl_rate,INDEX(p_rates,4)),SUMIFS(dl_ht,dl_doc,F622,dl_rate,INDEX(p_rates,4))))</f>
        <v>0.0</v>
      </c>
      <c r="AO622" s="62">
        <f>IF(OR(AG622="",INDEX(p_rates,5)=""),0,IF(AG622="Facture",SUMIFS(fl_ht,fl_doc,A622,fl_rate,INDEX(p_rates,5)),SUMIFS(dl_ht,dl_doc,F622,dl_rate,INDEX(p_rates,5))))</f>
        <v>0.0</v>
      </c>
      <c r="AP622" s="62">
        <f>IF(OR(AG622="",INDEX(p_rates,6)=""),0,IF(AG622="Facture",SUMIFS(fl_ht,fl_doc,A622,fl_rate,INDEX(p_rates,6)),SUMIFS(dl_ht,dl_doc,F622,dl_rate,INDEX(p_rates,6))))</f>
        <v>0.0</v>
      </c>
      <c r="AQ622" s="62">
        <f>ROUND(AK622*N(INDEX(p_rates,1)),2)+ROUND(AL622*N(INDEX(p_rates,2)),2)+ROUND(AM622*N(INDEX(p_rates,3)),2)+ROUND(AN622*N(INDEX(p_rates,4)),2)+ROUND(AO622*N(INDEX(p_rates,5)),2)+ROUND(AP622*N(INDEX(p_rates,6)),2)</f>
        <v>0.0</v>
      </c>
      <c r="AR622" s="62" t="str">
        <f>IF(OR(L622="",AA622&lt;&gt;"Facture"),"",IFERROR(IF(INDEX(fa_type,MATCH(L622,fa_num,0))="Facture d'acompte",MATCH(L622,fa_num,0),""),""))</f>
        <v/>
      </c>
      <c r="AS622" s="62" t="str">
        <f>IF(W622="","",IF(W622&lt;=0,"",IF(p_asof-P622&lt;=0,"Non échu",IF(p_asof-P622&lt;=30,"1-30 j",IF(p_asof-P622&lt;=60,"31-60 j",IF(p_asof-P622&lt;=90,"61-90 j","Plus de 90 j"))))))</f>
        <v/>
      </c>
      <c r="AT622" s="62" t="str">
        <f>IF(AS622="","",p_asof-P622)</f>
        <v/>
      </c>
      <c r="AU622" s="62" t="str">
        <f>IF(AT622="","",COUNTIF($AT$6:$AT$805,"&gt;"&amp;AT622)+COUNTIF($AT$6:AT622,AT622))</f>
        <v/>
      </c>
    </row>
    <row r="623">
      <c r="A623" s="59" t="str">
        <f>IF(AE623="","",AB623&amp;"-"&amp;AD623&amp;"-"&amp;RIGHT("000"&amp;AE623,4))</f>
        <v/>
      </c>
      <c r="B623" s="60" t="n"/>
      <c r="C623" s="61" t="n"/>
      <c r="D623" s="60" t="n"/>
      <c r="E623" s="62" t="str">
        <f>IF(D623="","",IFERROR(INDEX(cli_name,MATCH(D623,cli_code,0))&amp;"","Client inconnu"))</f>
        <v/>
      </c>
      <c r="F623" s="60" t="n"/>
      <c r="G623" s="63" t="n"/>
      <c r="H623" s="61" t="n"/>
      <c r="I623" s="63" t="n"/>
      <c r="J623" s="60" t="n"/>
      <c r="K623" s="61" t="n"/>
      <c r="L623" s="60" t="n"/>
      <c r="M623" s="60" t="n"/>
      <c r="N623" s="60" t="n"/>
      <c r="O623" s="61" t="n"/>
      <c r="P623" s="64" t="str">
        <f>IF(A623="","",IF(AA623="Avoir",AC623,IF(ISNUMBER(K623),K623,AC623+IF(D623="",N(p_delay),IFERROR(IF(ISNUMBER(INDEX(cli_delay,MATCH(D623,cli_code,0))),INDEX(cli_delay,MATCH(D623,cli_code,0)),N(p_delay)),N(p_delay))))))</f>
        <v/>
      </c>
      <c r="Q623" s="65" t="str">
        <f>IF(A623="","",IF(AA623="Avoir",-1,1)*ROUND(AJ623-IF(AR623="",0,INDEX(fa_htb,AR623)),2))</f>
        <v/>
      </c>
      <c r="R623" s="65" t="str">
        <f>IF(A623="","",IF(AA623="Avoir",-1,1)*ROUND(AQ623-IF(AR623="",0,INDEX(fa_tvab,AR623)),2))</f>
        <v/>
      </c>
      <c r="S623" s="65" t="str">
        <f>IF(A623="","",Q623+R623)</f>
        <v/>
      </c>
      <c r="T623" s="65" t="str">
        <f>IF(AR623="","",INDEX(fa_htb,AR623)+INDEX(fa_tvab,AR623))</f>
        <v/>
      </c>
      <c r="U623" s="65" t="str">
        <f>IF(A623="","",SUMIF(pa_inv,A623,pa_amt))</f>
        <v/>
      </c>
      <c r="V623" s="65" t="str">
        <f>IF(OR(A623="",AA623="Avoir"),"",-SUMIFS(fa_ttc,fa_avof,A623,fa_type,"Avoir"))</f>
        <v/>
      </c>
      <c r="W623" s="65" t="str">
        <f>IF(OR(A623="",AA623="Avoir"),"",ROUND(S623-U623-V623,2))</f>
        <v/>
      </c>
      <c r="X623" s="66" t="str">
        <f>IF(W623="","",IF(AND(W623&gt;0,p_asof&gt;P623),p_asof-P623,""))</f>
        <v/>
      </c>
      <c r="Y623" s="59" t="str">
        <f>IF(A623="","",IF(AA623="Avoir","Avoir",IF(W623&lt;0,"Trop-perçu",IF(W623=0,"Soldée",IF(p_asof&gt;P623,"En retard",IF(U623+V623&gt;0,"Partielle","À échoir"))))))</f>
        <v/>
      </c>
      <c r="Z623" s="59" t="str">
        <f>IF(NOT(COUNTA(B623:D623,F623:O623)&gt;0),"",IF(C623="","Date manquante",IF(NOT(ISNUMBER(C623)),"Date invalide",IF(D623="","Client manquant",IF(ISNA(MATCH(D623,cli_code,0)),"Client inconnu",IF(AC623&lt;SUMPRODUCT(MAX(($AB$6:AB622=AB623)*$AC$6:AC622)),"Date antérieure à la facture précédente",IF(AND(F623&lt;&gt;"",ISNA(MATCH(F623,dv_num,0))),"Devis inconnu",IF(AND(F623&lt;&gt;"",IFERROR(INDEX(dv_client,MATCH(F623,dv_num,0)),D623)&lt;&gt;D623),"Client différent de celui du devis",IF(AG623="","Aucune ligne : saisissez des lignes ou un devis",IF(AND(AI623&lt;&gt;"",COUNTIF($AI$6:AI623,AI623)&gt;1),"Devis déjà repris par une autre facture",IF(AND(AA623="Avoir",M623=""),"Avoir : indiquez la facture d'origine",IF(AND(AA623="Avoir",ISNA(MATCH(M623,fa_num,0))),"Facture d'origine inconnue",IF(AND(AA623&lt;&gt;"Avoir",M623&lt;&gt;""),"« Avoir sur facture » : réservé aux avoirs",IF(AND(L623&lt;&gt;"",AA623&lt;&gt;"Facture"),"Acompte à déduire : réservé aux factures",IF(AND(L623&lt;&gt;"",ISNA(MATCH(L623,fa_num,0))),"Facture d'acompte inconnue",IF(AND(L623&lt;&gt;"",IFERROR(INDEX(fa_type,MATCH(L623,fa_num,0)),"")&lt;&gt;"Facture d'acompte"),"Le n° à déduire n'est pas une facture d'acompte",IF(AND(L623&lt;&gt;"",COUNTIF($L$6:L623,L623)&gt;1),"Acompte déjà déduit sur une autre facture",IF(AND(L623&lt;&gt;"",IFERROR(INDEX(fa_client,MATCH(L623,fa_num,0)),D623)&lt;&gt;D623),"Acompte d'un autre client",IF(AND(AR623&lt;&gt;"",N(Q623)&lt;0),"Acompte supérieur au total de la facture",IF(IF(AG623="Facture",COUNTIFS(fl_doc,A623,fl_check,"&lt;&gt;OK"),IF(AG623="Devis",COUNTIFS(dl_doc,F623,dl_check,"&lt;&gt;OK"),0))&gt;0,"Ligne(s) à corriger",IF(AND(W623&lt;&gt;"",N(W623)&lt;0),"Trop-perçu : vérifiez paiements et avoirs","OK")))))))))))))))))))))</f>
        <v/>
      </c>
      <c r="AA623" s="62" t="str">
        <f>IF(COUNTA(B623:D623,F623:O623)&gt;0,IF(B623="","Facture",B623),"")</f>
        <v/>
      </c>
      <c r="AB623" s="62" t="str">
        <f>IF(AA623="","",IF(AA623="Avoir",p_pav,IF(AA623="Facture d'acompte",p_pac,p_pfa)))</f>
        <v/>
      </c>
      <c r="AC623" s="62">
        <f>IF(ISNUMBER(C623),C623,0)</f>
        <v>0.0</v>
      </c>
      <c r="AD623" s="62" t="str">
        <f>IF(OR(AA623="",AC623=0),"",YEAR(AC623))</f>
        <v/>
      </c>
      <c r="AE623" s="62" t="str">
        <f>IF(AD623="","",COUNTIFS($AB$6:AB623,AB623,$AD$6:AD623,AD623))</f>
        <v/>
      </c>
      <c r="AF623" s="62">
        <f>IF(A623="",0,COUNTIF(fl_doc,A623))</f>
        <v>0.0</v>
      </c>
      <c r="AG623" s="62" t="str">
        <f>IF(A623="","",IF(AF623&gt;0,"Facture",IF(AND(F623&lt;&gt;"",AA623="Facture",ISNUMBER(MATCH(F623,dv_num,0))),"Devis","")))</f>
        <v/>
      </c>
      <c r="AH623" s="62" t="str">
        <f>IF(AND(A623&lt;&gt;"",F623&lt;&gt;"",AA623&lt;&gt;"Avoir"),F623,"")</f>
        <v/>
      </c>
      <c r="AI623" s="62" t="str">
        <f>IF(AG623="Devis",F623,"")</f>
        <v/>
      </c>
      <c r="AJ623" s="62">
        <f>IF(AG623="Facture",SUMIF(fl_doc,A623,fl_ht),IF(AG623="Devis",SUMIF(dl_doc,F623,dl_ht),0))</f>
        <v>0.0</v>
      </c>
      <c r="AK623" s="62">
        <f>IF(OR(AG623="",INDEX(p_rates,1)=""),0,IF(AG623="Facture",SUMIFS(fl_ht,fl_doc,A623,fl_rate,INDEX(p_rates,1)),SUMIFS(dl_ht,dl_doc,F623,dl_rate,INDEX(p_rates,1))))</f>
        <v>0.0</v>
      </c>
      <c r="AL623" s="62">
        <f>IF(OR(AG623="",INDEX(p_rates,2)=""),0,IF(AG623="Facture",SUMIFS(fl_ht,fl_doc,A623,fl_rate,INDEX(p_rates,2)),SUMIFS(dl_ht,dl_doc,F623,dl_rate,INDEX(p_rates,2))))</f>
        <v>0.0</v>
      </c>
      <c r="AM623" s="62">
        <f>IF(OR(AG623="",INDEX(p_rates,3)=""),0,IF(AG623="Facture",SUMIFS(fl_ht,fl_doc,A623,fl_rate,INDEX(p_rates,3)),SUMIFS(dl_ht,dl_doc,F623,dl_rate,INDEX(p_rates,3))))</f>
        <v>0.0</v>
      </c>
      <c r="AN623" s="62">
        <f>IF(OR(AG623="",INDEX(p_rates,4)=""),0,IF(AG623="Facture",SUMIFS(fl_ht,fl_doc,A623,fl_rate,INDEX(p_rates,4)),SUMIFS(dl_ht,dl_doc,F623,dl_rate,INDEX(p_rates,4))))</f>
        <v>0.0</v>
      </c>
      <c r="AO623" s="62">
        <f>IF(OR(AG623="",INDEX(p_rates,5)=""),0,IF(AG623="Facture",SUMIFS(fl_ht,fl_doc,A623,fl_rate,INDEX(p_rates,5)),SUMIFS(dl_ht,dl_doc,F623,dl_rate,INDEX(p_rates,5))))</f>
        <v>0.0</v>
      </c>
      <c r="AP623" s="62">
        <f>IF(OR(AG623="",INDEX(p_rates,6)=""),0,IF(AG623="Facture",SUMIFS(fl_ht,fl_doc,A623,fl_rate,INDEX(p_rates,6)),SUMIFS(dl_ht,dl_doc,F623,dl_rate,INDEX(p_rates,6))))</f>
        <v>0.0</v>
      </c>
      <c r="AQ623" s="62">
        <f>ROUND(AK623*N(INDEX(p_rates,1)),2)+ROUND(AL623*N(INDEX(p_rates,2)),2)+ROUND(AM623*N(INDEX(p_rates,3)),2)+ROUND(AN623*N(INDEX(p_rates,4)),2)+ROUND(AO623*N(INDEX(p_rates,5)),2)+ROUND(AP623*N(INDEX(p_rates,6)),2)</f>
        <v>0.0</v>
      </c>
      <c r="AR623" s="62" t="str">
        <f>IF(OR(L623="",AA623&lt;&gt;"Facture"),"",IFERROR(IF(INDEX(fa_type,MATCH(L623,fa_num,0))="Facture d'acompte",MATCH(L623,fa_num,0),""),""))</f>
        <v/>
      </c>
      <c r="AS623" s="62" t="str">
        <f>IF(W623="","",IF(W623&lt;=0,"",IF(p_asof-P623&lt;=0,"Non échu",IF(p_asof-P623&lt;=30,"1-30 j",IF(p_asof-P623&lt;=60,"31-60 j",IF(p_asof-P623&lt;=90,"61-90 j","Plus de 90 j"))))))</f>
        <v/>
      </c>
      <c r="AT623" s="62" t="str">
        <f>IF(AS623="","",p_asof-P623)</f>
        <v/>
      </c>
      <c r="AU623" s="62" t="str">
        <f>IF(AT623="","",COUNTIF($AT$6:$AT$805,"&gt;"&amp;AT623)+COUNTIF($AT$6:AT623,AT623))</f>
        <v/>
      </c>
    </row>
    <row r="624">
      <c r="A624" s="59" t="str">
        <f>IF(AE624="","",AB624&amp;"-"&amp;AD624&amp;"-"&amp;RIGHT("000"&amp;AE624,4))</f>
        <v/>
      </c>
      <c r="B624" s="60" t="n"/>
      <c r="C624" s="61" t="n"/>
      <c r="D624" s="60" t="n"/>
      <c r="E624" s="62" t="str">
        <f>IF(D624="","",IFERROR(INDEX(cli_name,MATCH(D624,cli_code,0))&amp;"","Client inconnu"))</f>
        <v/>
      </c>
      <c r="F624" s="60" t="n"/>
      <c r="G624" s="63" t="n"/>
      <c r="H624" s="61" t="n"/>
      <c r="I624" s="63" t="n"/>
      <c r="J624" s="60" t="n"/>
      <c r="K624" s="61" t="n"/>
      <c r="L624" s="60" t="n"/>
      <c r="M624" s="60" t="n"/>
      <c r="N624" s="60" t="n"/>
      <c r="O624" s="61" t="n"/>
      <c r="P624" s="64" t="str">
        <f>IF(A624="","",IF(AA624="Avoir",AC624,IF(ISNUMBER(K624),K624,AC624+IF(D624="",N(p_delay),IFERROR(IF(ISNUMBER(INDEX(cli_delay,MATCH(D624,cli_code,0))),INDEX(cli_delay,MATCH(D624,cli_code,0)),N(p_delay)),N(p_delay))))))</f>
        <v/>
      </c>
      <c r="Q624" s="65" t="str">
        <f>IF(A624="","",IF(AA624="Avoir",-1,1)*ROUND(AJ624-IF(AR624="",0,INDEX(fa_htb,AR624)),2))</f>
        <v/>
      </c>
      <c r="R624" s="65" t="str">
        <f>IF(A624="","",IF(AA624="Avoir",-1,1)*ROUND(AQ624-IF(AR624="",0,INDEX(fa_tvab,AR624)),2))</f>
        <v/>
      </c>
      <c r="S624" s="65" t="str">
        <f>IF(A624="","",Q624+R624)</f>
        <v/>
      </c>
      <c r="T624" s="65" t="str">
        <f>IF(AR624="","",INDEX(fa_htb,AR624)+INDEX(fa_tvab,AR624))</f>
        <v/>
      </c>
      <c r="U624" s="65" t="str">
        <f>IF(A624="","",SUMIF(pa_inv,A624,pa_amt))</f>
        <v/>
      </c>
      <c r="V624" s="65" t="str">
        <f>IF(OR(A624="",AA624="Avoir"),"",-SUMIFS(fa_ttc,fa_avof,A624,fa_type,"Avoir"))</f>
        <v/>
      </c>
      <c r="W624" s="65" t="str">
        <f>IF(OR(A624="",AA624="Avoir"),"",ROUND(S624-U624-V624,2))</f>
        <v/>
      </c>
      <c r="X624" s="66" t="str">
        <f>IF(W624="","",IF(AND(W624&gt;0,p_asof&gt;P624),p_asof-P624,""))</f>
        <v/>
      </c>
      <c r="Y624" s="59" t="str">
        <f>IF(A624="","",IF(AA624="Avoir","Avoir",IF(W624&lt;0,"Trop-perçu",IF(W624=0,"Soldée",IF(p_asof&gt;P624,"En retard",IF(U624+V624&gt;0,"Partielle","À échoir"))))))</f>
        <v/>
      </c>
      <c r="Z624" s="59" t="str">
        <f>IF(NOT(COUNTA(B624:D624,F624:O624)&gt;0),"",IF(C624="","Date manquante",IF(NOT(ISNUMBER(C624)),"Date invalide",IF(D624="","Client manquant",IF(ISNA(MATCH(D624,cli_code,0)),"Client inconnu",IF(AC624&lt;SUMPRODUCT(MAX(($AB$6:AB623=AB624)*$AC$6:AC623)),"Date antérieure à la facture précédente",IF(AND(F624&lt;&gt;"",ISNA(MATCH(F624,dv_num,0))),"Devis inconnu",IF(AND(F624&lt;&gt;"",IFERROR(INDEX(dv_client,MATCH(F624,dv_num,0)),D624)&lt;&gt;D624),"Client différent de celui du devis",IF(AG624="","Aucune ligne : saisissez des lignes ou un devis",IF(AND(AI624&lt;&gt;"",COUNTIF($AI$6:AI624,AI624)&gt;1),"Devis déjà repris par une autre facture",IF(AND(AA624="Avoir",M624=""),"Avoir : indiquez la facture d'origine",IF(AND(AA624="Avoir",ISNA(MATCH(M624,fa_num,0))),"Facture d'origine inconnue",IF(AND(AA624&lt;&gt;"Avoir",M624&lt;&gt;""),"« Avoir sur facture » : réservé aux avoirs",IF(AND(L624&lt;&gt;"",AA624&lt;&gt;"Facture"),"Acompte à déduire : réservé aux factures",IF(AND(L624&lt;&gt;"",ISNA(MATCH(L624,fa_num,0))),"Facture d'acompte inconnue",IF(AND(L624&lt;&gt;"",IFERROR(INDEX(fa_type,MATCH(L624,fa_num,0)),"")&lt;&gt;"Facture d'acompte"),"Le n° à déduire n'est pas une facture d'acompte",IF(AND(L624&lt;&gt;"",COUNTIF($L$6:L624,L624)&gt;1),"Acompte déjà déduit sur une autre facture",IF(AND(L624&lt;&gt;"",IFERROR(INDEX(fa_client,MATCH(L624,fa_num,0)),D624)&lt;&gt;D624),"Acompte d'un autre client",IF(AND(AR624&lt;&gt;"",N(Q624)&lt;0),"Acompte supérieur au total de la facture",IF(IF(AG624="Facture",COUNTIFS(fl_doc,A624,fl_check,"&lt;&gt;OK"),IF(AG624="Devis",COUNTIFS(dl_doc,F624,dl_check,"&lt;&gt;OK"),0))&gt;0,"Ligne(s) à corriger",IF(AND(W624&lt;&gt;"",N(W624)&lt;0),"Trop-perçu : vérifiez paiements et avoirs","OK")))))))))))))))))))))</f>
        <v/>
      </c>
      <c r="AA624" s="62" t="str">
        <f>IF(COUNTA(B624:D624,F624:O624)&gt;0,IF(B624="","Facture",B624),"")</f>
        <v/>
      </c>
      <c r="AB624" s="62" t="str">
        <f>IF(AA624="","",IF(AA624="Avoir",p_pav,IF(AA624="Facture d'acompte",p_pac,p_pfa)))</f>
        <v/>
      </c>
      <c r="AC624" s="62">
        <f>IF(ISNUMBER(C624),C624,0)</f>
        <v>0.0</v>
      </c>
      <c r="AD624" s="62" t="str">
        <f>IF(OR(AA624="",AC624=0),"",YEAR(AC624))</f>
        <v/>
      </c>
      <c r="AE624" s="62" t="str">
        <f>IF(AD624="","",COUNTIFS($AB$6:AB624,AB624,$AD$6:AD624,AD624))</f>
        <v/>
      </c>
      <c r="AF624" s="62">
        <f>IF(A624="",0,COUNTIF(fl_doc,A624))</f>
        <v>0.0</v>
      </c>
      <c r="AG624" s="62" t="str">
        <f>IF(A624="","",IF(AF624&gt;0,"Facture",IF(AND(F624&lt;&gt;"",AA624="Facture",ISNUMBER(MATCH(F624,dv_num,0))),"Devis","")))</f>
        <v/>
      </c>
      <c r="AH624" s="62" t="str">
        <f>IF(AND(A624&lt;&gt;"",F624&lt;&gt;"",AA624&lt;&gt;"Avoir"),F624,"")</f>
        <v/>
      </c>
      <c r="AI624" s="62" t="str">
        <f>IF(AG624="Devis",F624,"")</f>
        <v/>
      </c>
      <c r="AJ624" s="62">
        <f>IF(AG624="Facture",SUMIF(fl_doc,A624,fl_ht),IF(AG624="Devis",SUMIF(dl_doc,F624,dl_ht),0))</f>
        <v>0.0</v>
      </c>
      <c r="AK624" s="62">
        <f>IF(OR(AG624="",INDEX(p_rates,1)=""),0,IF(AG624="Facture",SUMIFS(fl_ht,fl_doc,A624,fl_rate,INDEX(p_rates,1)),SUMIFS(dl_ht,dl_doc,F624,dl_rate,INDEX(p_rates,1))))</f>
        <v>0.0</v>
      </c>
      <c r="AL624" s="62">
        <f>IF(OR(AG624="",INDEX(p_rates,2)=""),0,IF(AG624="Facture",SUMIFS(fl_ht,fl_doc,A624,fl_rate,INDEX(p_rates,2)),SUMIFS(dl_ht,dl_doc,F624,dl_rate,INDEX(p_rates,2))))</f>
        <v>0.0</v>
      </c>
      <c r="AM624" s="62">
        <f>IF(OR(AG624="",INDEX(p_rates,3)=""),0,IF(AG624="Facture",SUMIFS(fl_ht,fl_doc,A624,fl_rate,INDEX(p_rates,3)),SUMIFS(dl_ht,dl_doc,F624,dl_rate,INDEX(p_rates,3))))</f>
        <v>0.0</v>
      </c>
      <c r="AN624" s="62">
        <f>IF(OR(AG624="",INDEX(p_rates,4)=""),0,IF(AG624="Facture",SUMIFS(fl_ht,fl_doc,A624,fl_rate,INDEX(p_rates,4)),SUMIFS(dl_ht,dl_doc,F624,dl_rate,INDEX(p_rates,4))))</f>
        <v>0.0</v>
      </c>
      <c r="AO624" s="62">
        <f>IF(OR(AG624="",INDEX(p_rates,5)=""),0,IF(AG624="Facture",SUMIFS(fl_ht,fl_doc,A624,fl_rate,INDEX(p_rates,5)),SUMIFS(dl_ht,dl_doc,F624,dl_rate,INDEX(p_rates,5))))</f>
        <v>0.0</v>
      </c>
      <c r="AP624" s="62">
        <f>IF(OR(AG624="",INDEX(p_rates,6)=""),0,IF(AG624="Facture",SUMIFS(fl_ht,fl_doc,A624,fl_rate,INDEX(p_rates,6)),SUMIFS(dl_ht,dl_doc,F624,dl_rate,INDEX(p_rates,6))))</f>
        <v>0.0</v>
      </c>
      <c r="AQ624" s="62">
        <f>ROUND(AK624*N(INDEX(p_rates,1)),2)+ROUND(AL624*N(INDEX(p_rates,2)),2)+ROUND(AM624*N(INDEX(p_rates,3)),2)+ROUND(AN624*N(INDEX(p_rates,4)),2)+ROUND(AO624*N(INDEX(p_rates,5)),2)+ROUND(AP624*N(INDEX(p_rates,6)),2)</f>
        <v>0.0</v>
      </c>
      <c r="AR624" s="62" t="str">
        <f>IF(OR(L624="",AA624&lt;&gt;"Facture"),"",IFERROR(IF(INDEX(fa_type,MATCH(L624,fa_num,0))="Facture d'acompte",MATCH(L624,fa_num,0),""),""))</f>
        <v/>
      </c>
      <c r="AS624" s="62" t="str">
        <f>IF(W624="","",IF(W624&lt;=0,"",IF(p_asof-P624&lt;=0,"Non échu",IF(p_asof-P624&lt;=30,"1-30 j",IF(p_asof-P624&lt;=60,"31-60 j",IF(p_asof-P624&lt;=90,"61-90 j","Plus de 90 j"))))))</f>
        <v/>
      </c>
      <c r="AT624" s="62" t="str">
        <f>IF(AS624="","",p_asof-P624)</f>
        <v/>
      </c>
      <c r="AU624" s="62" t="str">
        <f>IF(AT624="","",COUNTIF($AT$6:$AT$805,"&gt;"&amp;AT624)+COUNTIF($AT$6:AT624,AT624))</f>
        <v/>
      </c>
    </row>
    <row r="625">
      <c r="A625" s="59" t="str">
        <f>IF(AE625="","",AB625&amp;"-"&amp;AD625&amp;"-"&amp;RIGHT("000"&amp;AE625,4))</f>
        <v/>
      </c>
      <c r="B625" s="60" t="n"/>
      <c r="C625" s="61" t="n"/>
      <c r="D625" s="60" t="n"/>
      <c r="E625" s="62" t="str">
        <f>IF(D625="","",IFERROR(INDEX(cli_name,MATCH(D625,cli_code,0))&amp;"","Client inconnu"))</f>
        <v/>
      </c>
      <c r="F625" s="60" t="n"/>
      <c r="G625" s="63" t="n"/>
      <c r="H625" s="61" t="n"/>
      <c r="I625" s="63" t="n"/>
      <c r="J625" s="60" t="n"/>
      <c r="K625" s="61" t="n"/>
      <c r="L625" s="60" t="n"/>
      <c r="M625" s="60" t="n"/>
      <c r="N625" s="60" t="n"/>
      <c r="O625" s="61" t="n"/>
      <c r="P625" s="64" t="str">
        <f>IF(A625="","",IF(AA625="Avoir",AC625,IF(ISNUMBER(K625),K625,AC625+IF(D625="",N(p_delay),IFERROR(IF(ISNUMBER(INDEX(cli_delay,MATCH(D625,cli_code,0))),INDEX(cli_delay,MATCH(D625,cli_code,0)),N(p_delay)),N(p_delay))))))</f>
        <v/>
      </c>
      <c r="Q625" s="65" t="str">
        <f>IF(A625="","",IF(AA625="Avoir",-1,1)*ROUND(AJ625-IF(AR625="",0,INDEX(fa_htb,AR625)),2))</f>
        <v/>
      </c>
      <c r="R625" s="65" t="str">
        <f>IF(A625="","",IF(AA625="Avoir",-1,1)*ROUND(AQ625-IF(AR625="",0,INDEX(fa_tvab,AR625)),2))</f>
        <v/>
      </c>
      <c r="S625" s="65" t="str">
        <f>IF(A625="","",Q625+R625)</f>
        <v/>
      </c>
      <c r="T625" s="65" t="str">
        <f>IF(AR625="","",INDEX(fa_htb,AR625)+INDEX(fa_tvab,AR625))</f>
        <v/>
      </c>
      <c r="U625" s="65" t="str">
        <f>IF(A625="","",SUMIF(pa_inv,A625,pa_amt))</f>
        <v/>
      </c>
      <c r="V625" s="65" t="str">
        <f>IF(OR(A625="",AA625="Avoir"),"",-SUMIFS(fa_ttc,fa_avof,A625,fa_type,"Avoir"))</f>
        <v/>
      </c>
      <c r="W625" s="65" t="str">
        <f>IF(OR(A625="",AA625="Avoir"),"",ROUND(S625-U625-V625,2))</f>
        <v/>
      </c>
      <c r="X625" s="66" t="str">
        <f>IF(W625="","",IF(AND(W625&gt;0,p_asof&gt;P625),p_asof-P625,""))</f>
        <v/>
      </c>
      <c r="Y625" s="59" t="str">
        <f>IF(A625="","",IF(AA625="Avoir","Avoir",IF(W625&lt;0,"Trop-perçu",IF(W625=0,"Soldée",IF(p_asof&gt;P625,"En retard",IF(U625+V625&gt;0,"Partielle","À échoir"))))))</f>
        <v/>
      </c>
      <c r="Z625" s="59" t="str">
        <f>IF(NOT(COUNTA(B625:D625,F625:O625)&gt;0),"",IF(C625="","Date manquante",IF(NOT(ISNUMBER(C625)),"Date invalide",IF(D625="","Client manquant",IF(ISNA(MATCH(D625,cli_code,0)),"Client inconnu",IF(AC625&lt;SUMPRODUCT(MAX(($AB$6:AB624=AB625)*$AC$6:AC624)),"Date antérieure à la facture précédente",IF(AND(F625&lt;&gt;"",ISNA(MATCH(F625,dv_num,0))),"Devis inconnu",IF(AND(F625&lt;&gt;"",IFERROR(INDEX(dv_client,MATCH(F625,dv_num,0)),D625)&lt;&gt;D625),"Client différent de celui du devis",IF(AG625="","Aucune ligne : saisissez des lignes ou un devis",IF(AND(AI625&lt;&gt;"",COUNTIF($AI$6:AI625,AI625)&gt;1),"Devis déjà repris par une autre facture",IF(AND(AA625="Avoir",M625=""),"Avoir : indiquez la facture d'origine",IF(AND(AA625="Avoir",ISNA(MATCH(M625,fa_num,0))),"Facture d'origine inconnue",IF(AND(AA625&lt;&gt;"Avoir",M625&lt;&gt;""),"« Avoir sur facture » : réservé aux avoirs",IF(AND(L625&lt;&gt;"",AA625&lt;&gt;"Facture"),"Acompte à déduire : réservé aux factures",IF(AND(L625&lt;&gt;"",ISNA(MATCH(L625,fa_num,0))),"Facture d'acompte inconnue",IF(AND(L625&lt;&gt;"",IFERROR(INDEX(fa_type,MATCH(L625,fa_num,0)),"")&lt;&gt;"Facture d'acompte"),"Le n° à déduire n'est pas une facture d'acompte",IF(AND(L625&lt;&gt;"",COUNTIF($L$6:L625,L625)&gt;1),"Acompte déjà déduit sur une autre facture",IF(AND(L625&lt;&gt;"",IFERROR(INDEX(fa_client,MATCH(L625,fa_num,0)),D625)&lt;&gt;D625),"Acompte d'un autre client",IF(AND(AR625&lt;&gt;"",N(Q625)&lt;0),"Acompte supérieur au total de la facture",IF(IF(AG625="Facture",COUNTIFS(fl_doc,A625,fl_check,"&lt;&gt;OK"),IF(AG625="Devis",COUNTIFS(dl_doc,F625,dl_check,"&lt;&gt;OK"),0))&gt;0,"Ligne(s) à corriger",IF(AND(W625&lt;&gt;"",N(W625)&lt;0),"Trop-perçu : vérifiez paiements et avoirs","OK")))))))))))))))))))))</f>
        <v/>
      </c>
      <c r="AA625" s="62" t="str">
        <f>IF(COUNTA(B625:D625,F625:O625)&gt;0,IF(B625="","Facture",B625),"")</f>
        <v/>
      </c>
      <c r="AB625" s="62" t="str">
        <f>IF(AA625="","",IF(AA625="Avoir",p_pav,IF(AA625="Facture d'acompte",p_pac,p_pfa)))</f>
        <v/>
      </c>
      <c r="AC625" s="62">
        <f>IF(ISNUMBER(C625),C625,0)</f>
        <v>0.0</v>
      </c>
      <c r="AD625" s="62" t="str">
        <f>IF(OR(AA625="",AC625=0),"",YEAR(AC625))</f>
        <v/>
      </c>
      <c r="AE625" s="62" t="str">
        <f>IF(AD625="","",COUNTIFS($AB$6:AB625,AB625,$AD$6:AD625,AD625))</f>
        <v/>
      </c>
      <c r="AF625" s="62">
        <f>IF(A625="",0,COUNTIF(fl_doc,A625))</f>
        <v>0.0</v>
      </c>
      <c r="AG625" s="62" t="str">
        <f>IF(A625="","",IF(AF625&gt;0,"Facture",IF(AND(F625&lt;&gt;"",AA625="Facture",ISNUMBER(MATCH(F625,dv_num,0))),"Devis","")))</f>
        <v/>
      </c>
      <c r="AH625" s="62" t="str">
        <f>IF(AND(A625&lt;&gt;"",F625&lt;&gt;"",AA625&lt;&gt;"Avoir"),F625,"")</f>
        <v/>
      </c>
      <c r="AI625" s="62" t="str">
        <f>IF(AG625="Devis",F625,"")</f>
        <v/>
      </c>
      <c r="AJ625" s="62">
        <f>IF(AG625="Facture",SUMIF(fl_doc,A625,fl_ht),IF(AG625="Devis",SUMIF(dl_doc,F625,dl_ht),0))</f>
        <v>0.0</v>
      </c>
      <c r="AK625" s="62">
        <f>IF(OR(AG625="",INDEX(p_rates,1)=""),0,IF(AG625="Facture",SUMIFS(fl_ht,fl_doc,A625,fl_rate,INDEX(p_rates,1)),SUMIFS(dl_ht,dl_doc,F625,dl_rate,INDEX(p_rates,1))))</f>
        <v>0.0</v>
      </c>
      <c r="AL625" s="62">
        <f>IF(OR(AG625="",INDEX(p_rates,2)=""),0,IF(AG625="Facture",SUMIFS(fl_ht,fl_doc,A625,fl_rate,INDEX(p_rates,2)),SUMIFS(dl_ht,dl_doc,F625,dl_rate,INDEX(p_rates,2))))</f>
        <v>0.0</v>
      </c>
      <c r="AM625" s="62">
        <f>IF(OR(AG625="",INDEX(p_rates,3)=""),0,IF(AG625="Facture",SUMIFS(fl_ht,fl_doc,A625,fl_rate,INDEX(p_rates,3)),SUMIFS(dl_ht,dl_doc,F625,dl_rate,INDEX(p_rates,3))))</f>
        <v>0.0</v>
      </c>
      <c r="AN625" s="62">
        <f>IF(OR(AG625="",INDEX(p_rates,4)=""),0,IF(AG625="Facture",SUMIFS(fl_ht,fl_doc,A625,fl_rate,INDEX(p_rates,4)),SUMIFS(dl_ht,dl_doc,F625,dl_rate,INDEX(p_rates,4))))</f>
        <v>0.0</v>
      </c>
      <c r="AO625" s="62">
        <f>IF(OR(AG625="",INDEX(p_rates,5)=""),0,IF(AG625="Facture",SUMIFS(fl_ht,fl_doc,A625,fl_rate,INDEX(p_rates,5)),SUMIFS(dl_ht,dl_doc,F625,dl_rate,INDEX(p_rates,5))))</f>
        <v>0.0</v>
      </c>
      <c r="AP625" s="62">
        <f>IF(OR(AG625="",INDEX(p_rates,6)=""),0,IF(AG625="Facture",SUMIFS(fl_ht,fl_doc,A625,fl_rate,INDEX(p_rates,6)),SUMIFS(dl_ht,dl_doc,F625,dl_rate,INDEX(p_rates,6))))</f>
        <v>0.0</v>
      </c>
      <c r="AQ625" s="62">
        <f>ROUND(AK625*N(INDEX(p_rates,1)),2)+ROUND(AL625*N(INDEX(p_rates,2)),2)+ROUND(AM625*N(INDEX(p_rates,3)),2)+ROUND(AN625*N(INDEX(p_rates,4)),2)+ROUND(AO625*N(INDEX(p_rates,5)),2)+ROUND(AP625*N(INDEX(p_rates,6)),2)</f>
        <v>0.0</v>
      </c>
      <c r="AR625" s="62" t="str">
        <f>IF(OR(L625="",AA625&lt;&gt;"Facture"),"",IFERROR(IF(INDEX(fa_type,MATCH(L625,fa_num,0))="Facture d'acompte",MATCH(L625,fa_num,0),""),""))</f>
        <v/>
      </c>
      <c r="AS625" s="62" t="str">
        <f>IF(W625="","",IF(W625&lt;=0,"",IF(p_asof-P625&lt;=0,"Non échu",IF(p_asof-P625&lt;=30,"1-30 j",IF(p_asof-P625&lt;=60,"31-60 j",IF(p_asof-P625&lt;=90,"61-90 j","Plus de 90 j"))))))</f>
        <v/>
      </c>
      <c r="AT625" s="62" t="str">
        <f>IF(AS625="","",p_asof-P625)</f>
        <v/>
      </c>
      <c r="AU625" s="62" t="str">
        <f>IF(AT625="","",COUNTIF($AT$6:$AT$805,"&gt;"&amp;AT625)+COUNTIF($AT$6:AT625,AT625))</f>
        <v/>
      </c>
    </row>
    <row r="626">
      <c r="A626" s="59" t="str">
        <f>IF(AE626="","",AB626&amp;"-"&amp;AD626&amp;"-"&amp;RIGHT("000"&amp;AE626,4))</f>
        <v/>
      </c>
      <c r="B626" s="60" t="n"/>
      <c r="C626" s="61" t="n"/>
      <c r="D626" s="60" t="n"/>
      <c r="E626" s="62" t="str">
        <f>IF(D626="","",IFERROR(INDEX(cli_name,MATCH(D626,cli_code,0))&amp;"","Client inconnu"))</f>
        <v/>
      </c>
      <c r="F626" s="60" t="n"/>
      <c r="G626" s="63" t="n"/>
      <c r="H626" s="61" t="n"/>
      <c r="I626" s="63" t="n"/>
      <c r="J626" s="60" t="n"/>
      <c r="K626" s="61" t="n"/>
      <c r="L626" s="60" t="n"/>
      <c r="M626" s="60" t="n"/>
      <c r="N626" s="60" t="n"/>
      <c r="O626" s="61" t="n"/>
      <c r="P626" s="64" t="str">
        <f>IF(A626="","",IF(AA626="Avoir",AC626,IF(ISNUMBER(K626),K626,AC626+IF(D626="",N(p_delay),IFERROR(IF(ISNUMBER(INDEX(cli_delay,MATCH(D626,cli_code,0))),INDEX(cli_delay,MATCH(D626,cli_code,0)),N(p_delay)),N(p_delay))))))</f>
        <v/>
      </c>
      <c r="Q626" s="65" t="str">
        <f>IF(A626="","",IF(AA626="Avoir",-1,1)*ROUND(AJ626-IF(AR626="",0,INDEX(fa_htb,AR626)),2))</f>
        <v/>
      </c>
      <c r="R626" s="65" t="str">
        <f>IF(A626="","",IF(AA626="Avoir",-1,1)*ROUND(AQ626-IF(AR626="",0,INDEX(fa_tvab,AR626)),2))</f>
        <v/>
      </c>
      <c r="S626" s="65" t="str">
        <f>IF(A626="","",Q626+R626)</f>
        <v/>
      </c>
      <c r="T626" s="65" t="str">
        <f>IF(AR626="","",INDEX(fa_htb,AR626)+INDEX(fa_tvab,AR626))</f>
        <v/>
      </c>
      <c r="U626" s="65" t="str">
        <f>IF(A626="","",SUMIF(pa_inv,A626,pa_amt))</f>
        <v/>
      </c>
      <c r="V626" s="65" t="str">
        <f>IF(OR(A626="",AA626="Avoir"),"",-SUMIFS(fa_ttc,fa_avof,A626,fa_type,"Avoir"))</f>
        <v/>
      </c>
      <c r="W626" s="65" t="str">
        <f>IF(OR(A626="",AA626="Avoir"),"",ROUND(S626-U626-V626,2))</f>
        <v/>
      </c>
      <c r="X626" s="66" t="str">
        <f>IF(W626="","",IF(AND(W626&gt;0,p_asof&gt;P626),p_asof-P626,""))</f>
        <v/>
      </c>
      <c r="Y626" s="59" t="str">
        <f>IF(A626="","",IF(AA626="Avoir","Avoir",IF(W626&lt;0,"Trop-perçu",IF(W626=0,"Soldée",IF(p_asof&gt;P626,"En retard",IF(U626+V626&gt;0,"Partielle","À échoir"))))))</f>
        <v/>
      </c>
      <c r="Z626" s="59" t="str">
        <f>IF(NOT(COUNTA(B626:D626,F626:O626)&gt;0),"",IF(C626="","Date manquante",IF(NOT(ISNUMBER(C626)),"Date invalide",IF(D626="","Client manquant",IF(ISNA(MATCH(D626,cli_code,0)),"Client inconnu",IF(AC626&lt;SUMPRODUCT(MAX(($AB$6:AB625=AB626)*$AC$6:AC625)),"Date antérieure à la facture précédente",IF(AND(F626&lt;&gt;"",ISNA(MATCH(F626,dv_num,0))),"Devis inconnu",IF(AND(F626&lt;&gt;"",IFERROR(INDEX(dv_client,MATCH(F626,dv_num,0)),D626)&lt;&gt;D626),"Client différent de celui du devis",IF(AG626="","Aucune ligne : saisissez des lignes ou un devis",IF(AND(AI626&lt;&gt;"",COUNTIF($AI$6:AI626,AI626)&gt;1),"Devis déjà repris par une autre facture",IF(AND(AA626="Avoir",M626=""),"Avoir : indiquez la facture d'origine",IF(AND(AA626="Avoir",ISNA(MATCH(M626,fa_num,0))),"Facture d'origine inconnue",IF(AND(AA626&lt;&gt;"Avoir",M626&lt;&gt;""),"« Avoir sur facture » : réservé aux avoirs",IF(AND(L626&lt;&gt;"",AA626&lt;&gt;"Facture"),"Acompte à déduire : réservé aux factures",IF(AND(L626&lt;&gt;"",ISNA(MATCH(L626,fa_num,0))),"Facture d'acompte inconnue",IF(AND(L626&lt;&gt;"",IFERROR(INDEX(fa_type,MATCH(L626,fa_num,0)),"")&lt;&gt;"Facture d'acompte"),"Le n° à déduire n'est pas une facture d'acompte",IF(AND(L626&lt;&gt;"",COUNTIF($L$6:L626,L626)&gt;1),"Acompte déjà déduit sur une autre facture",IF(AND(L626&lt;&gt;"",IFERROR(INDEX(fa_client,MATCH(L626,fa_num,0)),D626)&lt;&gt;D626),"Acompte d'un autre client",IF(AND(AR626&lt;&gt;"",N(Q626)&lt;0),"Acompte supérieur au total de la facture",IF(IF(AG626="Facture",COUNTIFS(fl_doc,A626,fl_check,"&lt;&gt;OK"),IF(AG626="Devis",COUNTIFS(dl_doc,F626,dl_check,"&lt;&gt;OK"),0))&gt;0,"Ligne(s) à corriger",IF(AND(W626&lt;&gt;"",N(W626)&lt;0),"Trop-perçu : vérifiez paiements et avoirs","OK")))))))))))))))))))))</f>
        <v/>
      </c>
      <c r="AA626" s="62" t="str">
        <f>IF(COUNTA(B626:D626,F626:O626)&gt;0,IF(B626="","Facture",B626),"")</f>
        <v/>
      </c>
      <c r="AB626" s="62" t="str">
        <f>IF(AA626="","",IF(AA626="Avoir",p_pav,IF(AA626="Facture d'acompte",p_pac,p_pfa)))</f>
        <v/>
      </c>
      <c r="AC626" s="62">
        <f>IF(ISNUMBER(C626),C626,0)</f>
        <v>0.0</v>
      </c>
      <c r="AD626" s="62" t="str">
        <f>IF(OR(AA626="",AC626=0),"",YEAR(AC626))</f>
        <v/>
      </c>
      <c r="AE626" s="62" t="str">
        <f>IF(AD626="","",COUNTIFS($AB$6:AB626,AB626,$AD$6:AD626,AD626))</f>
        <v/>
      </c>
      <c r="AF626" s="62">
        <f>IF(A626="",0,COUNTIF(fl_doc,A626))</f>
        <v>0.0</v>
      </c>
      <c r="AG626" s="62" t="str">
        <f>IF(A626="","",IF(AF626&gt;0,"Facture",IF(AND(F626&lt;&gt;"",AA626="Facture",ISNUMBER(MATCH(F626,dv_num,0))),"Devis","")))</f>
        <v/>
      </c>
      <c r="AH626" s="62" t="str">
        <f>IF(AND(A626&lt;&gt;"",F626&lt;&gt;"",AA626&lt;&gt;"Avoir"),F626,"")</f>
        <v/>
      </c>
      <c r="AI626" s="62" t="str">
        <f>IF(AG626="Devis",F626,"")</f>
        <v/>
      </c>
      <c r="AJ626" s="62">
        <f>IF(AG626="Facture",SUMIF(fl_doc,A626,fl_ht),IF(AG626="Devis",SUMIF(dl_doc,F626,dl_ht),0))</f>
        <v>0.0</v>
      </c>
      <c r="AK626" s="62">
        <f>IF(OR(AG626="",INDEX(p_rates,1)=""),0,IF(AG626="Facture",SUMIFS(fl_ht,fl_doc,A626,fl_rate,INDEX(p_rates,1)),SUMIFS(dl_ht,dl_doc,F626,dl_rate,INDEX(p_rates,1))))</f>
        <v>0.0</v>
      </c>
      <c r="AL626" s="62">
        <f>IF(OR(AG626="",INDEX(p_rates,2)=""),0,IF(AG626="Facture",SUMIFS(fl_ht,fl_doc,A626,fl_rate,INDEX(p_rates,2)),SUMIFS(dl_ht,dl_doc,F626,dl_rate,INDEX(p_rates,2))))</f>
        <v>0.0</v>
      </c>
      <c r="AM626" s="62">
        <f>IF(OR(AG626="",INDEX(p_rates,3)=""),0,IF(AG626="Facture",SUMIFS(fl_ht,fl_doc,A626,fl_rate,INDEX(p_rates,3)),SUMIFS(dl_ht,dl_doc,F626,dl_rate,INDEX(p_rates,3))))</f>
        <v>0.0</v>
      </c>
      <c r="AN626" s="62">
        <f>IF(OR(AG626="",INDEX(p_rates,4)=""),0,IF(AG626="Facture",SUMIFS(fl_ht,fl_doc,A626,fl_rate,INDEX(p_rates,4)),SUMIFS(dl_ht,dl_doc,F626,dl_rate,INDEX(p_rates,4))))</f>
        <v>0.0</v>
      </c>
      <c r="AO626" s="62">
        <f>IF(OR(AG626="",INDEX(p_rates,5)=""),0,IF(AG626="Facture",SUMIFS(fl_ht,fl_doc,A626,fl_rate,INDEX(p_rates,5)),SUMIFS(dl_ht,dl_doc,F626,dl_rate,INDEX(p_rates,5))))</f>
        <v>0.0</v>
      </c>
      <c r="AP626" s="62">
        <f>IF(OR(AG626="",INDEX(p_rates,6)=""),0,IF(AG626="Facture",SUMIFS(fl_ht,fl_doc,A626,fl_rate,INDEX(p_rates,6)),SUMIFS(dl_ht,dl_doc,F626,dl_rate,INDEX(p_rates,6))))</f>
        <v>0.0</v>
      </c>
      <c r="AQ626" s="62">
        <f>ROUND(AK626*N(INDEX(p_rates,1)),2)+ROUND(AL626*N(INDEX(p_rates,2)),2)+ROUND(AM626*N(INDEX(p_rates,3)),2)+ROUND(AN626*N(INDEX(p_rates,4)),2)+ROUND(AO626*N(INDEX(p_rates,5)),2)+ROUND(AP626*N(INDEX(p_rates,6)),2)</f>
        <v>0.0</v>
      </c>
      <c r="AR626" s="62" t="str">
        <f>IF(OR(L626="",AA626&lt;&gt;"Facture"),"",IFERROR(IF(INDEX(fa_type,MATCH(L626,fa_num,0))="Facture d'acompte",MATCH(L626,fa_num,0),""),""))</f>
        <v/>
      </c>
      <c r="AS626" s="62" t="str">
        <f>IF(W626="","",IF(W626&lt;=0,"",IF(p_asof-P626&lt;=0,"Non échu",IF(p_asof-P626&lt;=30,"1-30 j",IF(p_asof-P626&lt;=60,"31-60 j",IF(p_asof-P626&lt;=90,"61-90 j","Plus de 90 j"))))))</f>
        <v/>
      </c>
      <c r="AT626" s="62" t="str">
        <f>IF(AS626="","",p_asof-P626)</f>
        <v/>
      </c>
      <c r="AU626" s="62" t="str">
        <f>IF(AT626="","",COUNTIF($AT$6:$AT$805,"&gt;"&amp;AT626)+COUNTIF($AT$6:AT626,AT626))</f>
        <v/>
      </c>
    </row>
    <row r="627">
      <c r="A627" s="59" t="str">
        <f>IF(AE627="","",AB627&amp;"-"&amp;AD627&amp;"-"&amp;RIGHT("000"&amp;AE627,4))</f>
        <v/>
      </c>
      <c r="B627" s="60" t="n"/>
      <c r="C627" s="61" t="n"/>
      <c r="D627" s="60" t="n"/>
      <c r="E627" s="62" t="str">
        <f>IF(D627="","",IFERROR(INDEX(cli_name,MATCH(D627,cli_code,0))&amp;"","Client inconnu"))</f>
        <v/>
      </c>
      <c r="F627" s="60" t="n"/>
      <c r="G627" s="63" t="n"/>
      <c r="H627" s="61" t="n"/>
      <c r="I627" s="63" t="n"/>
      <c r="J627" s="60" t="n"/>
      <c r="K627" s="61" t="n"/>
      <c r="L627" s="60" t="n"/>
      <c r="M627" s="60" t="n"/>
      <c r="N627" s="60" t="n"/>
      <c r="O627" s="61" t="n"/>
      <c r="P627" s="64" t="str">
        <f>IF(A627="","",IF(AA627="Avoir",AC627,IF(ISNUMBER(K627),K627,AC627+IF(D627="",N(p_delay),IFERROR(IF(ISNUMBER(INDEX(cli_delay,MATCH(D627,cli_code,0))),INDEX(cli_delay,MATCH(D627,cli_code,0)),N(p_delay)),N(p_delay))))))</f>
        <v/>
      </c>
      <c r="Q627" s="65" t="str">
        <f>IF(A627="","",IF(AA627="Avoir",-1,1)*ROUND(AJ627-IF(AR627="",0,INDEX(fa_htb,AR627)),2))</f>
        <v/>
      </c>
      <c r="R627" s="65" t="str">
        <f>IF(A627="","",IF(AA627="Avoir",-1,1)*ROUND(AQ627-IF(AR627="",0,INDEX(fa_tvab,AR627)),2))</f>
        <v/>
      </c>
      <c r="S627" s="65" t="str">
        <f>IF(A627="","",Q627+R627)</f>
        <v/>
      </c>
      <c r="T627" s="65" t="str">
        <f>IF(AR627="","",INDEX(fa_htb,AR627)+INDEX(fa_tvab,AR627))</f>
        <v/>
      </c>
      <c r="U627" s="65" t="str">
        <f>IF(A627="","",SUMIF(pa_inv,A627,pa_amt))</f>
        <v/>
      </c>
      <c r="V627" s="65" t="str">
        <f>IF(OR(A627="",AA627="Avoir"),"",-SUMIFS(fa_ttc,fa_avof,A627,fa_type,"Avoir"))</f>
        <v/>
      </c>
      <c r="W627" s="65" t="str">
        <f>IF(OR(A627="",AA627="Avoir"),"",ROUND(S627-U627-V627,2))</f>
        <v/>
      </c>
      <c r="X627" s="66" t="str">
        <f>IF(W627="","",IF(AND(W627&gt;0,p_asof&gt;P627),p_asof-P627,""))</f>
        <v/>
      </c>
      <c r="Y627" s="59" t="str">
        <f>IF(A627="","",IF(AA627="Avoir","Avoir",IF(W627&lt;0,"Trop-perçu",IF(W627=0,"Soldée",IF(p_asof&gt;P627,"En retard",IF(U627+V627&gt;0,"Partielle","À échoir"))))))</f>
        <v/>
      </c>
      <c r="Z627" s="59" t="str">
        <f>IF(NOT(COUNTA(B627:D627,F627:O627)&gt;0),"",IF(C627="","Date manquante",IF(NOT(ISNUMBER(C627)),"Date invalide",IF(D627="","Client manquant",IF(ISNA(MATCH(D627,cli_code,0)),"Client inconnu",IF(AC627&lt;SUMPRODUCT(MAX(($AB$6:AB626=AB627)*$AC$6:AC626)),"Date antérieure à la facture précédente",IF(AND(F627&lt;&gt;"",ISNA(MATCH(F627,dv_num,0))),"Devis inconnu",IF(AND(F627&lt;&gt;"",IFERROR(INDEX(dv_client,MATCH(F627,dv_num,0)),D627)&lt;&gt;D627),"Client différent de celui du devis",IF(AG627="","Aucune ligne : saisissez des lignes ou un devis",IF(AND(AI627&lt;&gt;"",COUNTIF($AI$6:AI627,AI627)&gt;1),"Devis déjà repris par une autre facture",IF(AND(AA627="Avoir",M627=""),"Avoir : indiquez la facture d'origine",IF(AND(AA627="Avoir",ISNA(MATCH(M627,fa_num,0))),"Facture d'origine inconnue",IF(AND(AA627&lt;&gt;"Avoir",M627&lt;&gt;""),"« Avoir sur facture » : réservé aux avoirs",IF(AND(L627&lt;&gt;"",AA627&lt;&gt;"Facture"),"Acompte à déduire : réservé aux factures",IF(AND(L627&lt;&gt;"",ISNA(MATCH(L627,fa_num,0))),"Facture d'acompte inconnue",IF(AND(L627&lt;&gt;"",IFERROR(INDEX(fa_type,MATCH(L627,fa_num,0)),"")&lt;&gt;"Facture d'acompte"),"Le n° à déduire n'est pas une facture d'acompte",IF(AND(L627&lt;&gt;"",COUNTIF($L$6:L627,L627)&gt;1),"Acompte déjà déduit sur une autre facture",IF(AND(L627&lt;&gt;"",IFERROR(INDEX(fa_client,MATCH(L627,fa_num,0)),D627)&lt;&gt;D627),"Acompte d'un autre client",IF(AND(AR627&lt;&gt;"",N(Q627)&lt;0),"Acompte supérieur au total de la facture",IF(IF(AG627="Facture",COUNTIFS(fl_doc,A627,fl_check,"&lt;&gt;OK"),IF(AG627="Devis",COUNTIFS(dl_doc,F627,dl_check,"&lt;&gt;OK"),0))&gt;0,"Ligne(s) à corriger",IF(AND(W627&lt;&gt;"",N(W627)&lt;0),"Trop-perçu : vérifiez paiements et avoirs","OK")))))))))))))))))))))</f>
        <v/>
      </c>
      <c r="AA627" s="62" t="str">
        <f>IF(COUNTA(B627:D627,F627:O627)&gt;0,IF(B627="","Facture",B627),"")</f>
        <v/>
      </c>
      <c r="AB627" s="62" t="str">
        <f>IF(AA627="","",IF(AA627="Avoir",p_pav,IF(AA627="Facture d'acompte",p_pac,p_pfa)))</f>
        <v/>
      </c>
      <c r="AC627" s="62">
        <f>IF(ISNUMBER(C627),C627,0)</f>
        <v>0.0</v>
      </c>
      <c r="AD627" s="62" t="str">
        <f>IF(OR(AA627="",AC627=0),"",YEAR(AC627))</f>
        <v/>
      </c>
      <c r="AE627" s="62" t="str">
        <f>IF(AD627="","",COUNTIFS($AB$6:AB627,AB627,$AD$6:AD627,AD627))</f>
        <v/>
      </c>
      <c r="AF627" s="62">
        <f>IF(A627="",0,COUNTIF(fl_doc,A627))</f>
        <v>0.0</v>
      </c>
      <c r="AG627" s="62" t="str">
        <f>IF(A627="","",IF(AF627&gt;0,"Facture",IF(AND(F627&lt;&gt;"",AA627="Facture",ISNUMBER(MATCH(F627,dv_num,0))),"Devis","")))</f>
        <v/>
      </c>
      <c r="AH627" s="62" t="str">
        <f>IF(AND(A627&lt;&gt;"",F627&lt;&gt;"",AA627&lt;&gt;"Avoir"),F627,"")</f>
        <v/>
      </c>
      <c r="AI627" s="62" t="str">
        <f>IF(AG627="Devis",F627,"")</f>
        <v/>
      </c>
      <c r="AJ627" s="62">
        <f>IF(AG627="Facture",SUMIF(fl_doc,A627,fl_ht),IF(AG627="Devis",SUMIF(dl_doc,F627,dl_ht),0))</f>
        <v>0.0</v>
      </c>
      <c r="AK627" s="62">
        <f>IF(OR(AG627="",INDEX(p_rates,1)=""),0,IF(AG627="Facture",SUMIFS(fl_ht,fl_doc,A627,fl_rate,INDEX(p_rates,1)),SUMIFS(dl_ht,dl_doc,F627,dl_rate,INDEX(p_rates,1))))</f>
        <v>0.0</v>
      </c>
      <c r="AL627" s="62">
        <f>IF(OR(AG627="",INDEX(p_rates,2)=""),0,IF(AG627="Facture",SUMIFS(fl_ht,fl_doc,A627,fl_rate,INDEX(p_rates,2)),SUMIFS(dl_ht,dl_doc,F627,dl_rate,INDEX(p_rates,2))))</f>
        <v>0.0</v>
      </c>
      <c r="AM627" s="62">
        <f>IF(OR(AG627="",INDEX(p_rates,3)=""),0,IF(AG627="Facture",SUMIFS(fl_ht,fl_doc,A627,fl_rate,INDEX(p_rates,3)),SUMIFS(dl_ht,dl_doc,F627,dl_rate,INDEX(p_rates,3))))</f>
        <v>0.0</v>
      </c>
      <c r="AN627" s="62">
        <f>IF(OR(AG627="",INDEX(p_rates,4)=""),0,IF(AG627="Facture",SUMIFS(fl_ht,fl_doc,A627,fl_rate,INDEX(p_rates,4)),SUMIFS(dl_ht,dl_doc,F627,dl_rate,INDEX(p_rates,4))))</f>
        <v>0.0</v>
      </c>
      <c r="AO627" s="62">
        <f>IF(OR(AG627="",INDEX(p_rates,5)=""),0,IF(AG627="Facture",SUMIFS(fl_ht,fl_doc,A627,fl_rate,INDEX(p_rates,5)),SUMIFS(dl_ht,dl_doc,F627,dl_rate,INDEX(p_rates,5))))</f>
        <v>0.0</v>
      </c>
      <c r="AP627" s="62">
        <f>IF(OR(AG627="",INDEX(p_rates,6)=""),0,IF(AG627="Facture",SUMIFS(fl_ht,fl_doc,A627,fl_rate,INDEX(p_rates,6)),SUMIFS(dl_ht,dl_doc,F627,dl_rate,INDEX(p_rates,6))))</f>
        <v>0.0</v>
      </c>
      <c r="AQ627" s="62">
        <f>ROUND(AK627*N(INDEX(p_rates,1)),2)+ROUND(AL627*N(INDEX(p_rates,2)),2)+ROUND(AM627*N(INDEX(p_rates,3)),2)+ROUND(AN627*N(INDEX(p_rates,4)),2)+ROUND(AO627*N(INDEX(p_rates,5)),2)+ROUND(AP627*N(INDEX(p_rates,6)),2)</f>
        <v>0.0</v>
      </c>
      <c r="AR627" s="62" t="str">
        <f>IF(OR(L627="",AA627&lt;&gt;"Facture"),"",IFERROR(IF(INDEX(fa_type,MATCH(L627,fa_num,0))="Facture d'acompte",MATCH(L627,fa_num,0),""),""))</f>
        <v/>
      </c>
      <c r="AS627" s="62" t="str">
        <f>IF(W627="","",IF(W627&lt;=0,"",IF(p_asof-P627&lt;=0,"Non échu",IF(p_asof-P627&lt;=30,"1-30 j",IF(p_asof-P627&lt;=60,"31-60 j",IF(p_asof-P627&lt;=90,"61-90 j","Plus de 90 j"))))))</f>
        <v/>
      </c>
      <c r="AT627" s="62" t="str">
        <f>IF(AS627="","",p_asof-P627)</f>
        <v/>
      </c>
      <c r="AU627" s="62" t="str">
        <f>IF(AT627="","",COUNTIF($AT$6:$AT$805,"&gt;"&amp;AT627)+COUNTIF($AT$6:AT627,AT627))</f>
        <v/>
      </c>
    </row>
    <row r="628">
      <c r="A628" s="59" t="str">
        <f>IF(AE628="","",AB628&amp;"-"&amp;AD628&amp;"-"&amp;RIGHT("000"&amp;AE628,4))</f>
        <v/>
      </c>
      <c r="B628" s="60" t="n"/>
      <c r="C628" s="61" t="n"/>
      <c r="D628" s="60" t="n"/>
      <c r="E628" s="62" t="str">
        <f>IF(D628="","",IFERROR(INDEX(cli_name,MATCH(D628,cli_code,0))&amp;"","Client inconnu"))</f>
        <v/>
      </c>
      <c r="F628" s="60" t="n"/>
      <c r="G628" s="63" t="n"/>
      <c r="H628" s="61" t="n"/>
      <c r="I628" s="63" t="n"/>
      <c r="J628" s="60" t="n"/>
      <c r="K628" s="61" t="n"/>
      <c r="L628" s="60" t="n"/>
      <c r="M628" s="60" t="n"/>
      <c r="N628" s="60" t="n"/>
      <c r="O628" s="61" t="n"/>
      <c r="P628" s="64" t="str">
        <f>IF(A628="","",IF(AA628="Avoir",AC628,IF(ISNUMBER(K628),K628,AC628+IF(D628="",N(p_delay),IFERROR(IF(ISNUMBER(INDEX(cli_delay,MATCH(D628,cli_code,0))),INDEX(cli_delay,MATCH(D628,cli_code,0)),N(p_delay)),N(p_delay))))))</f>
        <v/>
      </c>
      <c r="Q628" s="65" t="str">
        <f>IF(A628="","",IF(AA628="Avoir",-1,1)*ROUND(AJ628-IF(AR628="",0,INDEX(fa_htb,AR628)),2))</f>
        <v/>
      </c>
      <c r="R628" s="65" t="str">
        <f>IF(A628="","",IF(AA628="Avoir",-1,1)*ROUND(AQ628-IF(AR628="",0,INDEX(fa_tvab,AR628)),2))</f>
        <v/>
      </c>
      <c r="S628" s="65" t="str">
        <f>IF(A628="","",Q628+R628)</f>
        <v/>
      </c>
      <c r="T628" s="65" t="str">
        <f>IF(AR628="","",INDEX(fa_htb,AR628)+INDEX(fa_tvab,AR628))</f>
        <v/>
      </c>
      <c r="U628" s="65" t="str">
        <f>IF(A628="","",SUMIF(pa_inv,A628,pa_amt))</f>
        <v/>
      </c>
      <c r="V628" s="65" t="str">
        <f>IF(OR(A628="",AA628="Avoir"),"",-SUMIFS(fa_ttc,fa_avof,A628,fa_type,"Avoir"))</f>
        <v/>
      </c>
      <c r="W628" s="65" t="str">
        <f>IF(OR(A628="",AA628="Avoir"),"",ROUND(S628-U628-V628,2))</f>
        <v/>
      </c>
      <c r="X628" s="66" t="str">
        <f>IF(W628="","",IF(AND(W628&gt;0,p_asof&gt;P628),p_asof-P628,""))</f>
        <v/>
      </c>
      <c r="Y628" s="59" t="str">
        <f>IF(A628="","",IF(AA628="Avoir","Avoir",IF(W628&lt;0,"Trop-perçu",IF(W628=0,"Soldée",IF(p_asof&gt;P628,"En retard",IF(U628+V628&gt;0,"Partielle","À échoir"))))))</f>
        <v/>
      </c>
      <c r="Z628" s="59" t="str">
        <f>IF(NOT(COUNTA(B628:D628,F628:O628)&gt;0),"",IF(C628="","Date manquante",IF(NOT(ISNUMBER(C628)),"Date invalide",IF(D628="","Client manquant",IF(ISNA(MATCH(D628,cli_code,0)),"Client inconnu",IF(AC628&lt;SUMPRODUCT(MAX(($AB$6:AB627=AB628)*$AC$6:AC627)),"Date antérieure à la facture précédente",IF(AND(F628&lt;&gt;"",ISNA(MATCH(F628,dv_num,0))),"Devis inconnu",IF(AND(F628&lt;&gt;"",IFERROR(INDEX(dv_client,MATCH(F628,dv_num,0)),D628)&lt;&gt;D628),"Client différent de celui du devis",IF(AG628="","Aucune ligne : saisissez des lignes ou un devis",IF(AND(AI628&lt;&gt;"",COUNTIF($AI$6:AI628,AI628)&gt;1),"Devis déjà repris par une autre facture",IF(AND(AA628="Avoir",M628=""),"Avoir : indiquez la facture d'origine",IF(AND(AA628="Avoir",ISNA(MATCH(M628,fa_num,0))),"Facture d'origine inconnue",IF(AND(AA628&lt;&gt;"Avoir",M628&lt;&gt;""),"« Avoir sur facture » : réservé aux avoirs",IF(AND(L628&lt;&gt;"",AA628&lt;&gt;"Facture"),"Acompte à déduire : réservé aux factures",IF(AND(L628&lt;&gt;"",ISNA(MATCH(L628,fa_num,0))),"Facture d'acompte inconnue",IF(AND(L628&lt;&gt;"",IFERROR(INDEX(fa_type,MATCH(L628,fa_num,0)),"")&lt;&gt;"Facture d'acompte"),"Le n° à déduire n'est pas une facture d'acompte",IF(AND(L628&lt;&gt;"",COUNTIF($L$6:L628,L628)&gt;1),"Acompte déjà déduit sur une autre facture",IF(AND(L628&lt;&gt;"",IFERROR(INDEX(fa_client,MATCH(L628,fa_num,0)),D628)&lt;&gt;D628),"Acompte d'un autre client",IF(AND(AR628&lt;&gt;"",N(Q628)&lt;0),"Acompte supérieur au total de la facture",IF(IF(AG628="Facture",COUNTIFS(fl_doc,A628,fl_check,"&lt;&gt;OK"),IF(AG628="Devis",COUNTIFS(dl_doc,F628,dl_check,"&lt;&gt;OK"),0))&gt;0,"Ligne(s) à corriger",IF(AND(W628&lt;&gt;"",N(W628)&lt;0),"Trop-perçu : vérifiez paiements et avoirs","OK")))))))))))))))))))))</f>
        <v/>
      </c>
      <c r="AA628" s="62" t="str">
        <f>IF(COUNTA(B628:D628,F628:O628)&gt;0,IF(B628="","Facture",B628),"")</f>
        <v/>
      </c>
      <c r="AB628" s="62" t="str">
        <f>IF(AA628="","",IF(AA628="Avoir",p_pav,IF(AA628="Facture d'acompte",p_pac,p_pfa)))</f>
        <v/>
      </c>
      <c r="AC628" s="62">
        <f>IF(ISNUMBER(C628),C628,0)</f>
        <v>0.0</v>
      </c>
      <c r="AD628" s="62" t="str">
        <f>IF(OR(AA628="",AC628=0),"",YEAR(AC628))</f>
        <v/>
      </c>
      <c r="AE628" s="62" t="str">
        <f>IF(AD628="","",COUNTIFS($AB$6:AB628,AB628,$AD$6:AD628,AD628))</f>
        <v/>
      </c>
      <c r="AF628" s="62">
        <f>IF(A628="",0,COUNTIF(fl_doc,A628))</f>
        <v>0.0</v>
      </c>
      <c r="AG628" s="62" t="str">
        <f>IF(A628="","",IF(AF628&gt;0,"Facture",IF(AND(F628&lt;&gt;"",AA628="Facture",ISNUMBER(MATCH(F628,dv_num,0))),"Devis","")))</f>
        <v/>
      </c>
      <c r="AH628" s="62" t="str">
        <f>IF(AND(A628&lt;&gt;"",F628&lt;&gt;"",AA628&lt;&gt;"Avoir"),F628,"")</f>
        <v/>
      </c>
      <c r="AI628" s="62" t="str">
        <f>IF(AG628="Devis",F628,"")</f>
        <v/>
      </c>
      <c r="AJ628" s="62">
        <f>IF(AG628="Facture",SUMIF(fl_doc,A628,fl_ht),IF(AG628="Devis",SUMIF(dl_doc,F628,dl_ht),0))</f>
        <v>0.0</v>
      </c>
      <c r="AK628" s="62">
        <f>IF(OR(AG628="",INDEX(p_rates,1)=""),0,IF(AG628="Facture",SUMIFS(fl_ht,fl_doc,A628,fl_rate,INDEX(p_rates,1)),SUMIFS(dl_ht,dl_doc,F628,dl_rate,INDEX(p_rates,1))))</f>
        <v>0.0</v>
      </c>
      <c r="AL628" s="62">
        <f>IF(OR(AG628="",INDEX(p_rates,2)=""),0,IF(AG628="Facture",SUMIFS(fl_ht,fl_doc,A628,fl_rate,INDEX(p_rates,2)),SUMIFS(dl_ht,dl_doc,F628,dl_rate,INDEX(p_rates,2))))</f>
        <v>0.0</v>
      </c>
      <c r="AM628" s="62">
        <f>IF(OR(AG628="",INDEX(p_rates,3)=""),0,IF(AG628="Facture",SUMIFS(fl_ht,fl_doc,A628,fl_rate,INDEX(p_rates,3)),SUMIFS(dl_ht,dl_doc,F628,dl_rate,INDEX(p_rates,3))))</f>
        <v>0.0</v>
      </c>
      <c r="AN628" s="62">
        <f>IF(OR(AG628="",INDEX(p_rates,4)=""),0,IF(AG628="Facture",SUMIFS(fl_ht,fl_doc,A628,fl_rate,INDEX(p_rates,4)),SUMIFS(dl_ht,dl_doc,F628,dl_rate,INDEX(p_rates,4))))</f>
        <v>0.0</v>
      </c>
      <c r="AO628" s="62">
        <f>IF(OR(AG628="",INDEX(p_rates,5)=""),0,IF(AG628="Facture",SUMIFS(fl_ht,fl_doc,A628,fl_rate,INDEX(p_rates,5)),SUMIFS(dl_ht,dl_doc,F628,dl_rate,INDEX(p_rates,5))))</f>
        <v>0.0</v>
      </c>
      <c r="AP628" s="62">
        <f>IF(OR(AG628="",INDEX(p_rates,6)=""),0,IF(AG628="Facture",SUMIFS(fl_ht,fl_doc,A628,fl_rate,INDEX(p_rates,6)),SUMIFS(dl_ht,dl_doc,F628,dl_rate,INDEX(p_rates,6))))</f>
        <v>0.0</v>
      </c>
      <c r="AQ628" s="62">
        <f>ROUND(AK628*N(INDEX(p_rates,1)),2)+ROUND(AL628*N(INDEX(p_rates,2)),2)+ROUND(AM628*N(INDEX(p_rates,3)),2)+ROUND(AN628*N(INDEX(p_rates,4)),2)+ROUND(AO628*N(INDEX(p_rates,5)),2)+ROUND(AP628*N(INDEX(p_rates,6)),2)</f>
        <v>0.0</v>
      </c>
      <c r="AR628" s="62" t="str">
        <f>IF(OR(L628="",AA628&lt;&gt;"Facture"),"",IFERROR(IF(INDEX(fa_type,MATCH(L628,fa_num,0))="Facture d'acompte",MATCH(L628,fa_num,0),""),""))</f>
        <v/>
      </c>
      <c r="AS628" s="62" t="str">
        <f>IF(W628="","",IF(W628&lt;=0,"",IF(p_asof-P628&lt;=0,"Non échu",IF(p_asof-P628&lt;=30,"1-30 j",IF(p_asof-P628&lt;=60,"31-60 j",IF(p_asof-P628&lt;=90,"61-90 j","Plus de 90 j"))))))</f>
        <v/>
      </c>
      <c r="AT628" s="62" t="str">
        <f>IF(AS628="","",p_asof-P628)</f>
        <v/>
      </c>
      <c r="AU628" s="62" t="str">
        <f>IF(AT628="","",COUNTIF($AT$6:$AT$805,"&gt;"&amp;AT628)+COUNTIF($AT$6:AT628,AT628))</f>
        <v/>
      </c>
    </row>
    <row r="629">
      <c r="A629" s="59" t="str">
        <f>IF(AE629="","",AB629&amp;"-"&amp;AD629&amp;"-"&amp;RIGHT("000"&amp;AE629,4))</f>
        <v/>
      </c>
      <c r="B629" s="60" t="n"/>
      <c r="C629" s="61" t="n"/>
      <c r="D629" s="60" t="n"/>
      <c r="E629" s="62" t="str">
        <f>IF(D629="","",IFERROR(INDEX(cli_name,MATCH(D629,cli_code,0))&amp;"","Client inconnu"))</f>
        <v/>
      </c>
      <c r="F629" s="60" t="n"/>
      <c r="G629" s="63" t="n"/>
      <c r="H629" s="61" t="n"/>
      <c r="I629" s="63" t="n"/>
      <c r="J629" s="60" t="n"/>
      <c r="K629" s="61" t="n"/>
      <c r="L629" s="60" t="n"/>
      <c r="M629" s="60" t="n"/>
      <c r="N629" s="60" t="n"/>
      <c r="O629" s="61" t="n"/>
      <c r="P629" s="64" t="str">
        <f>IF(A629="","",IF(AA629="Avoir",AC629,IF(ISNUMBER(K629),K629,AC629+IF(D629="",N(p_delay),IFERROR(IF(ISNUMBER(INDEX(cli_delay,MATCH(D629,cli_code,0))),INDEX(cli_delay,MATCH(D629,cli_code,0)),N(p_delay)),N(p_delay))))))</f>
        <v/>
      </c>
      <c r="Q629" s="65" t="str">
        <f>IF(A629="","",IF(AA629="Avoir",-1,1)*ROUND(AJ629-IF(AR629="",0,INDEX(fa_htb,AR629)),2))</f>
        <v/>
      </c>
      <c r="R629" s="65" t="str">
        <f>IF(A629="","",IF(AA629="Avoir",-1,1)*ROUND(AQ629-IF(AR629="",0,INDEX(fa_tvab,AR629)),2))</f>
        <v/>
      </c>
      <c r="S629" s="65" t="str">
        <f>IF(A629="","",Q629+R629)</f>
        <v/>
      </c>
      <c r="T629" s="65" t="str">
        <f>IF(AR629="","",INDEX(fa_htb,AR629)+INDEX(fa_tvab,AR629))</f>
        <v/>
      </c>
      <c r="U629" s="65" t="str">
        <f>IF(A629="","",SUMIF(pa_inv,A629,pa_amt))</f>
        <v/>
      </c>
      <c r="V629" s="65" t="str">
        <f>IF(OR(A629="",AA629="Avoir"),"",-SUMIFS(fa_ttc,fa_avof,A629,fa_type,"Avoir"))</f>
        <v/>
      </c>
      <c r="W629" s="65" t="str">
        <f>IF(OR(A629="",AA629="Avoir"),"",ROUND(S629-U629-V629,2))</f>
        <v/>
      </c>
      <c r="X629" s="66" t="str">
        <f>IF(W629="","",IF(AND(W629&gt;0,p_asof&gt;P629),p_asof-P629,""))</f>
        <v/>
      </c>
      <c r="Y629" s="59" t="str">
        <f>IF(A629="","",IF(AA629="Avoir","Avoir",IF(W629&lt;0,"Trop-perçu",IF(W629=0,"Soldée",IF(p_asof&gt;P629,"En retard",IF(U629+V629&gt;0,"Partielle","À échoir"))))))</f>
        <v/>
      </c>
      <c r="Z629" s="59" t="str">
        <f>IF(NOT(COUNTA(B629:D629,F629:O629)&gt;0),"",IF(C629="","Date manquante",IF(NOT(ISNUMBER(C629)),"Date invalide",IF(D629="","Client manquant",IF(ISNA(MATCH(D629,cli_code,0)),"Client inconnu",IF(AC629&lt;SUMPRODUCT(MAX(($AB$6:AB628=AB629)*$AC$6:AC628)),"Date antérieure à la facture précédente",IF(AND(F629&lt;&gt;"",ISNA(MATCH(F629,dv_num,0))),"Devis inconnu",IF(AND(F629&lt;&gt;"",IFERROR(INDEX(dv_client,MATCH(F629,dv_num,0)),D629)&lt;&gt;D629),"Client différent de celui du devis",IF(AG629="","Aucune ligne : saisissez des lignes ou un devis",IF(AND(AI629&lt;&gt;"",COUNTIF($AI$6:AI629,AI629)&gt;1),"Devis déjà repris par une autre facture",IF(AND(AA629="Avoir",M629=""),"Avoir : indiquez la facture d'origine",IF(AND(AA629="Avoir",ISNA(MATCH(M629,fa_num,0))),"Facture d'origine inconnue",IF(AND(AA629&lt;&gt;"Avoir",M629&lt;&gt;""),"« Avoir sur facture » : réservé aux avoirs",IF(AND(L629&lt;&gt;"",AA629&lt;&gt;"Facture"),"Acompte à déduire : réservé aux factures",IF(AND(L629&lt;&gt;"",ISNA(MATCH(L629,fa_num,0))),"Facture d'acompte inconnue",IF(AND(L629&lt;&gt;"",IFERROR(INDEX(fa_type,MATCH(L629,fa_num,0)),"")&lt;&gt;"Facture d'acompte"),"Le n° à déduire n'est pas une facture d'acompte",IF(AND(L629&lt;&gt;"",COUNTIF($L$6:L629,L629)&gt;1),"Acompte déjà déduit sur une autre facture",IF(AND(L629&lt;&gt;"",IFERROR(INDEX(fa_client,MATCH(L629,fa_num,0)),D629)&lt;&gt;D629),"Acompte d'un autre client",IF(AND(AR629&lt;&gt;"",N(Q629)&lt;0),"Acompte supérieur au total de la facture",IF(IF(AG629="Facture",COUNTIFS(fl_doc,A629,fl_check,"&lt;&gt;OK"),IF(AG629="Devis",COUNTIFS(dl_doc,F629,dl_check,"&lt;&gt;OK"),0))&gt;0,"Ligne(s) à corriger",IF(AND(W629&lt;&gt;"",N(W629)&lt;0),"Trop-perçu : vérifiez paiements et avoirs","OK")))))))))))))))))))))</f>
        <v/>
      </c>
      <c r="AA629" s="62" t="str">
        <f>IF(COUNTA(B629:D629,F629:O629)&gt;0,IF(B629="","Facture",B629),"")</f>
        <v/>
      </c>
      <c r="AB629" s="62" t="str">
        <f>IF(AA629="","",IF(AA629="Avoir",p_pav,IF(AA629="Facture d'acompte",p_pac,p_pfa)))</f>
        <v/>
      </c>
      <c r="AC629" s="62">
        <f>IF(ISNUMBER(C629),C629,0)</f>
        <v>0.0</v>
      </c>
      <c r="AD629" s="62" t="str">
        <f>IF(OR(AA629="",AC629=0),"",YEAR(AC629))</f>
        <v/>
      </c>
      <c r="AE629" s="62" t="str">
        <f>IF(AD629="","",COUNTIFS($AB$6:AB629,AB629,$AD$6:AD629,AD629))</f>
        <v/>
      </c>
      <c r="AF629" s="62">
        <f>IF(A629="",0,COUNTIF(fl_doc,A629))</f>
        <v>0.0</v>
      </c>
      <c r="AG629" s="62" t="str">
        <f>IF(A629="","",IF(AF629&gt;0,"Facture",IF(AND(F629&lt;&gt;"",AA629="Facture",ISNUMBER(MATCH(F629,dv_num,0))),"Devis","")))</f>
        <v/>
      </c>
      <c r="AH629" s="62" t="str">
        <f>IF(AND(A629&lt;&gt;"",F629&lt;&gt;"",AA629&lt;&gt;"Avoir"),F629,"")</f>
        <v/>
      </c>
      <c r="AI629" s="62" t="str">
        <f>IF(AG629="Devis",F629,"")</f>
        <v/>
      </c>
      <c r="AJ629" s="62">
        <f>IF(AG629="Facture",SUMIF(fl_doc,A629,fl_ht),IF(AG629="Devis",SUMIF(dl_doc,F629,dl_ht),0))</f>
        <v>0.0</v>
      </c>
      <c r="AK629" s="62">
        <f>IF(OR(AG629="",INDEX(p_rates,1)=""),0,IF(AG629="Facture",SUMIFS(fl_ht,fl_doc,A629,fl_rate,INDEX(p_rates,1)),SUMIFS(dl_ht,dl_doc,F629,dl_rate,INDEX(p_rates,1))))</f>
        <v>0.0</v>
      </c>
      <c r="AL629" s="62">
        <f>IF(OR(AG629="",INDEX(p_rates,2)=""),0,IF(AG629="Facture",SUMIFS(fl_ht,fl_doc,A629,fl_rate,INDEX(p_rates,2)),SUMIFS(dl_ht,dl_doc,F629,dl_rate,INDEX(p_rates,2))))</f>
        <v>0.0</v>
      </c>
      <c r="AM629" s="62">
        <f>IF(OR(AG629="",INDEX(p_rates,3)=""),0,IF(AG629="Facture",SUMIFS(fl_ht,fl_doc,A629,fl_rate,INDEX(p_rates,3)),SUMIFS(dl_ht,dl_doc,F629,dl_rate,INDEX(p_rates,3))))</f>
        <v>0.0</v>
      </c>
      <c r="AN629" s="62">
        <f>IF(OR(AG629="",INDEX(p_rates,4)=""),0,IF(AG629="Facture",SUMIFS(fl_ht,fl_doc,A629,fl_rate,INDEX(p_rates,4)),SUMIFS(dl_ht,dl_doc,F629,dl_rate,INDEX(p_rates,4))))</f>
        <v>0.0</v>
      </c>
      <c r="AO629" s="62">
        <f>IF(OR(AG629="",INDEX(p_rates,5)=""),0,IF(AG629="Facture",SUMIFS(fl_ht,fl_doc,A629,fl_rate,INDEX(p_rates,5)),SUMIFS(dl_ht,dl_doc,F629,dl_rate,INDEX(p_rates,5))))</f>
        <v>0.0</v>
      </c>
      <c r="AP629" s="62">
        <f>IF(OR(AG629="",INDEX(p_rates,6)=""),0,IF(AG629="Facture",SUMIFS(fl_ht,fl_doc,A629,fl_rate,INDEX(p_rates,6)),SUMIFS(dl_ht,dl_doc,F629,dl_rate,INDEX(p_rates,6))))</f>
        <v>0.0</v>
      </c>
      <c r="AQ629" s="62">
        <f>ROUND(AK629*N(INDEX(p_rates,1)),2)+ROUND(AL629*N(INDEX(p_rates,2)),2)+ROUND(AM629*N(INDEX(p_rates,3)),2)+ROUND(AN629*N(INDEX(p_rates,4)),2)+ROUND(AO629*N(INDEX(p_rates,5)),2)+ROUND(AP629*N(INDEX(p_rates,6)),2)</f>
        <v>0.0</v>
      </c>
      <c r="AR629" s="62" t="str">
        <f>IF(OR(L629="",AA629&lt;&gt;"Facture"),"",IFERROR(IF(INDEX(fa_type,MATCH(L629,fa_num,0))="Facture d'acompte",MATCH(L629,fa_num,0),""),""))</f>
        <v/>
      </c>
      <c r="AS629" s="62" t="str">
        <f>IF(W629="","",IF(W629&lt;=0,"",IF(p_asof-P629&lt;=0,"Non échu",IF(p_asof-P629&lt;=30,"1-30 j",IF(p_asof-P629&lt;=60,"31-60 j",IF(p_asof-P629&lt;=90,"61-90 j","Plus de 90 j"))))))</f>
        <v/>
      </c>
      <c r="AT629" s="62" t="str">
        <f>IF(AS629="","",p_asof-P629)</f>
        <v/>
      </c>
      <c r="AU629" s="62" t="str">
        <f>IF(AT629="","",COUNTIF($AT$6:$AT$805,"&gt;"&amp;AT629)+COUNTIF($AT$6:AT629,AT629))</f>
        <v/>
      </c>
    </row>
    <row r="630">
      <c r="A630" s="59" t="str">
        <f>IF(AE630="","",AB630&amp;"-"&amp;AD630&amp;"-"&amp;RIGHT("000"&amp;AE630,4))</f>
        <v/>
      </c>
      <c r="B630" s="60" t="n"/>
      <c r="C630" s="61" t="n"/>
      <c r="D630" s="60" t="n"/>
      <c r="E630" s="62" t="str">
        <f>IF(D630="","",IFERROR(INDEX(cli_name,MATCH(D630,cli_code,0))&amp;"","Client inconnu"))</f>
        <v/>
      </c>
      <c r="F630" s="60" t="n"/>
      <c r="G630" s="63" t="n"/>
      <c r="H630" s="61" t="n"/>
      <c r="I630" s="63" t="n"/>
      <c r="J630" s="60" t="n"/>
      <c r="K630" s="61" t="n"/>
      <c r="L630" s="60" t="n"/>
      <c r="M630" s="60" t="n"/>
      <c r="N630" s="60" t="n"/>
      <c r="O630" s="61" t="n"/>
      <c r="P630" s="64" t="str">
        <f>IF(A630="","",IF(AA630="Avoir",AC630,IF(ISNUMBER(K630),K630,AC630+IF(D630="",N(p_delay),IFERROR(IF(ISNUMBER(INDEX(cli_delay,MATCH(D630,cli_code,0))),INDEX(cli_delay,MATCH(D630,cli_code,0)),N(p_delay)),N(p_delay))))))</f>
        <v/>
      </c>
      <c r="Q630" s="65" t="str">
        <f>IF(A630="","",IF(AA630="Avoir",-1,1)*ROUND(AJ630-IF(AR630="",0,INDEX(fa_htb,AR630)),2))</f>
        <v/>
      </c>
      <c r="R630" s="65" t="str">
        <f>IF(A630="","",IF(AA630="Avoir",-1,1)*ROUND(AQ630-IF(AR630="",0,INDEX(fa_tvab,AR630)),2))</f>
        <v/>
      </c>
      <c r="S630" s="65" t="str">
        <f>IF(A630="","",Q630+R630)</f>
        <v/>
      </c>
      <c r="T630" s="65" t="str">
        <f>IF(AR630="","",INDEX(fa_htb,AR630)+INDEX(fa_tvab,AR630))</f>
        <v/>
      </c>
      <c r="U630" s="65" t="str">
        <f>IF(A630="","",SUMIF(pa_inv,A630,pa_amt))</f>
        <v/>
      </c>
      <c r="V630" s="65" t="str">
        <f>IF(OR(A630="",AA630="Avoir"),"",-SUMIFS(fa_ttc,fa_avof,A630,fa_type,"Avoir"))</f>
        <v/>
      </c>
      <c r="W630" s="65" t="str">
        <f>IF(OR(A630="",AA630="Avoir"),"",ROUND(S630-U630-V630,2))</f>
        <v/>
      </c>
      <c r="X630" s="66" t="str">
        <f>IF(W630="","",IF(AND(W630&gt;0,p_asof&gt;P630),p_asof-P630,""))</f>
        <v/>
      </c>
      <c r="Y630" s="59" t="str">
        <f>IF(A630="","",IF(AA630="Avoir","Avoir",IF(W630&lt;0,"Trop-perçu",IF(W630=0,"Soldée",IF(p_asof&gt;P630,"En retard",IF(U630+V630&gt;0,"Partielle","À échoir"))))))</f>
        <v/>
      </c>
      <c r="Z630" s="59" t="str">
        <f>IF(NOT(COUNTA(B630:D630,F630:O630)&gt;0),"",IF(C630="","Date manquante",IF(NOT(ISNUMBER(C630)),"Date invalide",IF(D630="","Client manquant",IF(ISNA(MATCH(D630,cli_code,0)),"Client inconnu",IF(AC630&lt;SUMPRODUCT(MAX(($AB$6:AB629=AB630)*$AC$6:AC629)),"Date antérieure à la facture précédente",IF(AND(F630&lt;&gt;"",ISNA(MATCH(F630,dv_num,0))),"Devis inconnu",IF(AND(F630&lt;&gt;"",IFERROR(INDEX(dv_client,MATCH(F630,dv_num,0)),D630)&lt;&gt;D630),"Client différent de celui du devis",IF(AG630="","Aucune ligne : saisissez des lignes ou un devis",IF(AND(AI630&lt;&gt;"",COUNTIF($AI$6:AI630,AI630)&gt;1),"Devis déjà repris par une autre facture",IF(AND(AA630="Avoir",M630=""),"Avoir : indiquez la facture d'origine",IF(AND(AA630="Avoir",ISNA(MATCH(M630,fa_num,0))),"Facture d'origine inconnue",IF(AND(AA630&lt;&gt;"Avoir",M630&lt;&gt;""),"« Avoir sur facture » : réservé aux avoirs",IF(AND(L630&lt;&gt;"",AA630&lt;&gt;"Facture"),"Acompte à déduire : réservé aux factures",IF(AND(L630&lt;&gt;"",ISNA(MATCH(L630,fa_num,0))),"Facture d'acompte inconnue",IF(AND(L630&lt;&gt;"",IFERROR(INDEX(fa_type,MATCH(L630,fa_num,0)),"")&lt;&gt;"Facture d'acompte"),"Le n° à déduire n'est pas une facture d'acompte",IF(AND(L630&lt;&gt;"",COUNTIF($L$6:L630,L630)&gt;1),"Acompte déjà déduit sur une autre facture",IF(AND(L630&lt;&gt;"",IFERROR(INDEX(fa_client,MATCH(L630,fa_num,0)),D630)&lt;&gt;D630),"Acompte d'un autre client",IF(AND(AR630&lt;&gt;"",N(Q630)&lt;0),"Acompte supérieur au total de la facture",IF(IF(AG630="Facture",COUNTIFS(fl_doc,A630,fl_check,"&lt;&gt;OK"),IF(AG630="Devis",COUNTIFS(dl_doc,F630,dl_check,"&lt;&gt;OK"),0))&gt;0,"Ligne(s) à corriger",IF(AND(W630&lt;&gt;"",N(W630)&lt;0),"Trop-perçu : vérifiez paiements et avoirs","OK")))))))))))))))))))))</f>
        <v/>
      </c>
      <c r="AA630" s="62" t="str">
        <f>IF(COUNTA(B630:D630,F630:O630)&gt;0,IF(B630="","Facture",B630),"")</f>
        <v/>
      </c>
      <c r="AB630" s="62" t="str">
        <f>IF(AA630="","",IF(AA630="Avoir",p_pav,IF(AA630="Facture d'acompte",p_pac,p_pfa)))</f>
        <v/>
      </c>
      <c r="AC630" s="62">
        <f>IF(ISNUMBER(C630),C630,0)</f>
        <v>0.0</v>
      </c>
      <c r="AD630" s="62" t="str">
        <f>IF(OR(AA630="",AC630=0),"",YEAR(AC630))</f>
        <v/>
      </c>
      <c r="AE630" s="62" t="str">
        <f>IF(AD630="","",COUNTIFS($AB$6:AB630,AB630,$AD$6:AD630,AD630))</f>
        <v/>
      </c>
      <c r="AF630" s="62">
        <f>IF(A630="",0,COUNTIF(fl_doc,A630))</f>
        <v>0.0</v>
      </c>
      <c r="AG630" s="62" t="str">
        <f>IF(A630="","",IF(AF630&gt;0,"Facture",IF(AND(F630&lt;&gt;"",AA630="Facture",ISNUMBER(MATCH(F630,dv_num,0))),"Devis","")))</f>
        <v/>
      </c>
      <c r="AH630" s="62" t="str">
        <f>IF(AND(A630&lt;&gt;"",F630&lt;&gt;"",AA630&lt;&gt;"Avoir"),F630,"")</f>
        <v/>
      </c>
      <c r="AI630" s="62" t="str">
        <f>IF(AG630="Devis",F630,"")</f>
        <v/>
      </c>
      <c r="AJ630" s="62">
        <f>IF(AG630="Facture",SUMIF(fl_doc,A630,fl_ht),IF(AG630="Devis",SUMIF(dl_doc,F630,dl_ht),0))</f>
        <v>0.0</v>
      </c>
      <c r="AK630" s="62">
        <f>IF(OR(AG630="",INDEX(p_rates,1)=""),0,IF(AG630="Facture",SUMIFS(fl_ht,fl_doc,A630,fl_rate,INDEX(p_rates,1)),SUMIFS(dl_ht,dl_doc,F630,dl_rate,INDEX(p_rates,1))))</f>
        <v>0.0</v>
      </c>
      <c r="AL630" s="62">
        <f>IF(OR(AG630="",INDEX(p_rates,2)=""),0,IF(AG630="Facture",SUMIFS(fl_ht,fl_doc,A630,fl_rate,INDEX(p_rates,2)),SUMIFS(dl_ht,dl_doc,F630,dl_rate,INDEX(p_rates,2))))</f>
        <v>0.0</v>
      </c>
      <c r="AM630" s="62">
        <f>IF(OR(AG630="",INDEX(p_rates,3)=""),0,IF(AG630="Facture",SUMIFS(fl_ht,fl_doc,A630,fl_rate,INDEX(p_rates,3)),SUMIFS(dl_ht,dl_doc,F630,dl_rate,INDEX(p_rates,3))))</f>
        <v>0.0</v>
      </c>
      <c r="AN630" s="62">
        <f>IF(OR(AG630="",INDEX(p_rates,4)=""),0,IF(AG630="Facture",SUMIFS(fl_ht,fl_doc,A630,fl_rate,INDEX(p_rates,4)),SUMIFS(dl_ht,dl_doc,F630,dl_rate,INDEX(p_rates,4))))</f>
        <v>0.0</v>
      </c>
      <c r="AO630" s="62">
        <f>IF(OR(AG630="",INDEX(p_rates,5)=""),0,IF(AG630="Facture",SUMIFS(fl_ht,fl_doc,A630,fl_rate,INDEX(p_rates,5)),SUMIFS(dl_ht,dl_doc,F630,dl_rate,INDEX(p_rates,5))))</f>
        <v>0.0</v>
      </c>
      <c r="AP630" s="62">
        <f>IF(OR(AG630="",INDEX(p_rates,6)=""),0,IF(AG630="Facture",SUMIFS(fl_ht,fl_doc,A630,fl_rate,INDEX(p_rates,6)),SUMIFS(dl_ht,dl_doc,F630,dl_rate,INDEX(p_rates,6))))</f>
        <v>0.0</v>
      </c>
      <c r="AQ630" s="62">
        <f>ROUND(AK630*N(INDEX(p_rates,1)),2)+ROUND(AL630*N(INDEX(p_rates,2)),2)+ROUND(AM630*N(INDEX(p_rates,3)),2)+ROUND(AN630*N(INDEX(p_rates,4)),2)+ROUND(AO630*N(INDEX(p_rates,5)),2)+ROUND(AP630*N(INDEX(p_rates,6)),2)</f>
        <v>0.0</v>
      </c>
      <c r="AR630" s="62" t="str">
        <f>IF(OR(L630="",AA630&lt;&gt;"Facture"),"",IFERROR(IF(INDEX(fa_type,MATCH(L630,fa_num,0))="Facture d'acompte",MATCH(L630,fa_num,0),""),""))</f>
        <v/>
      </c>
      <c r="AS630" s="62" t="str">
        <f>IF(W630="","",IF(W630&lt;=0,"",IF(p_asof-P630&lt;=0,"Non échu",IF(p_asof-P630&lt;=30,"1-30 j",IF(p_asof-P630&lt;=60,"31-60 j",IF(p_asof-P630&lt;=90,"61-90 j","Plus de 90 j"))))))</f>
        <v/>
      </c>
      <c r="AT630" s="62" t="str">
        <f>IF(AS630="","",p_asof-P630)</f>
        <v/>
      </c>
      <c r="AU630" s="62" t="str">
        <f>IF(AT630="","",COUNTIF($AT$6:$AT$805,"&gt;"&amp;AT630)+COUNTIF($AT$6:AT630,AT630))</f>
        <v/>
      </c>
    </row>
    <row r="631">
      <c r="A631" s="59" t="str">
        <f>IF(AE631="","",AB631&amp;"-"&amp;AD631&amp;"-"&amp;RIGHT("000"&amp;AE631,4))</f>
        <v/>
      </c>
      <c r="B631" s="60" t="n"/>
      <c r="C631" s="61" t="n"/>
      <c r="D631" s="60" t="n"/>
      <c r="E631" s="62" t="str">
        <f>IF(D631="","",IFERROR(INDEX(cli_name,MATCH(D631,cli_code,0))&amp;"","Client inconnu"))</f>
        <v/>
      </c>
      <c r="F631" s="60" t="n"/>
      <c r="G631" s="63" t="n"/>
      <c r="H631" s="61" t="n"/>
      <c r="I631" s="63" t="n"/>
      <c r="J631" s="60" t="n"/>
      <c r="K631" s="61" t="n"/>
      <c r="L631" s="60" t="n"/>
      <c r="M631" s="60" t="n"/>
      <c r="N631" s="60" t="n"/>
      <c r="O631" s="61" t="n"/>
      <c r="P631" s="64" t="str">
        <f>IF(A631="","",IF(AA631="Avoir",AC631,IF(ISNUMBER(K631),K631,AC631+IF(D631="",N(p_delay),IFERROR(IF(ISNUMBER(INDEX(cli_delay,MATCH(D631,cli_code,0))),INDEX(cli_delay,MATCH(D631,cli_code,0)),N(p_delay)),N(p_delay))))))</f>
        <v/>
      </c>
      <c r="Q631" s="65" t="str">
        <f>IF(A631="","",IF(AA631="Avoir",-1,1)*ROUND(AJ631-IF(AR631="",0,INDEX(fa_htb,AR631)),2))</f>
        <v/>
      </c>
      <c r="R631" s="65" t="str">
        <f>IF(A631="","",IF(AA631="Avoir",-1,1)*ROUND(AQ631-IF(AR631="",0,INDEX(fa_tvab,AR631)),2))</f>
        <v/>
      </c>
      <c r="S631" s="65" t="str">
        <f>IF(A631="","",Q631+R631)</f>
        <v/>
      </c>
      <c r="T631" s="65" t="str">
        <f>IF(AR631="","",INDEX(fa_htb,AR631)+INDEX(fa_tvab,AR631))</f>
        <v/>
      </c>
      <c r="U631" s="65" t="str">
        <f>IF(A631="","",SUMIF(pa_inv,A631,pa_amt))</f>
        <v/>
      </c>
      <c r="V631" s="65" t="str">
        <f>IF(OR(A631="",AA631="Avoir"),"",-SUMIFS(fa_ttc,fa_avof,A631,fa_type,"Avoir"))</f>
        <v/>
      </c>
      <c r="W631" s="65" t="str">
        <f>IF(OR(A631="",AA631="Avoir"),"",ROUND(S631-U631-V631,2))</f>
        <v/>
      </c>
      <c r="X631" s="66" t="str">
        <f>IF(W631="","",IF(AND(W631&gt;0,p_asof&gt;P631),p_asof-P631,""))</f>
        <v/>
      </c>
      <c r="Y631" s="59" t="str">
        <f>IF(A631="","",IF(AA631="Avoir","Avoir",IF(W631&lt;0,"Trop-perçu",IF(W631=0,"Soldée",IF(p_asof&gt;P631,"En retard",IF(U631+V631&gt;0,"Partielle","À échoir"))))))</f>
        <v/>
      </c>
      <c r="Z631" s="59" t="str">
        <f>IF(NOT(COUNTA(B631:D631,F631:O631)&gt;0),"",IF(C631="","Date manquante",IF(NOT(ISNUMBER(C631)),"Date invalide",IF(D631="","Client manquant",IF(ISNA(MATCH(D631,cli_code,0)),"Client inconnu",IF(AC631&lt;SUMPRODUCT(MAX(($AB$6:AB630=AB631)*$AC$6:AC630)),"Date antérieure à la facture précédente",IF(AND(F631&lt;&gt;"",ISNA(MATCH(F631,dv_num,0))),"Devis inconnu",IF(AND(F631&lt;&gt;"",IFERROR(INDEX(dv_client,MATCH(F631,dv_num,0)),D631)&lt;&gt;D631),"Client différent de celui du devis",IF(AG631="","Aucune ligne : saisissez des lignes ou un devis",IF(AND(AI631&lt;&gt;"",COUNTIF($AI$6:AI631,AI631)&gt;1),"Devis déjà repris par une autre facture",IF(AND(AA631="Avoir",M631=""),"Avoir : indiquez la facture d'origine",IF(AND(AA631="Avoir",ISNA(MATCH(M631,fa_num,0))),"Facture d'origine inconnue",IF(AND(AA631&lt;&gt;"Avoir",M631&lt;&gt;""),"« Avoir sur facture » : réservé aux avoirs",IF(AND(L631&lt;&gt;"",AA631&lt;&gt;"Facture"),"Acompte à déduire : réservé aux factures",IF(AND(L631&lt;&gt;"",ISNA(MATCH(L631,fa_num,0))),"Facture d'acompte inconnue",IF(AND(L631&lt;&gt;"",IFERROR(INDEX(fa_type,MATCH(L631,fa_num,0)),"")&lt;&gt;"Facture d'acompte"),"Le n° à déduire n'est pas une facture d'acompte",IF(AND(L631&lt;&gt;"",COUNTIF($L$6:L631,L631)&gt;1),"Acompte déjà déduit sur une autre facture",IF(AND(L631&lt;&gt;"",IFERROR(INDEX(fa_client,MATCH(L631,fa_num,0)),D631)&lt;&gt;D631),"Acompte d'un autre client",IF(AND(AR631&lt;&gt;"",N(Q631)&lt;0),"Acompte supérieur au total de la facture",IF(IF(AG631="Facture",COUNTIFS(fl_doc,A631,fl_check,"&lt;&gt;OK"),IF(AG631="Devis",COUNTIFS(dl_doc,F631,dl_check,"&lt;&gt;OK"),0))&gt;0,"Ligne(s) à corriger",IF(AND(W631&lt;&gt;"",N(W631)&lt;0),"Trop-perçu : vérifiez paiements et avoirs","OK")))))))))))))))))))))</f>
        <v/>
      </c>
      <c r="AA631" s="62" t="str">
        <f>IF(COUNTA(B631:D631,F631:O631)&gt;0,IF(B631="","Facture",B631),"")</f>
        <v/>
      </c>
      <c r="AB631" s="62" t="str">
        <f>IF(AA631="","",IF(AA631="Avoir",p_pav,IF(AA631="Facture d'acompte",p_pac,p_pfa)))</f>
        <v/>
      </c>
      <c r="AC631" s="62">
        <f>IF(ISNUMBER(C631),C631,0)</f>
        <v>0.0</v>
      </c>
      <c r="AD631" s="62" t="str">
        <f>IF(OR(AA631="",AC631=0),"",YEAR(AC631))</f>
        <v/>
      </c>
      <c r="AE631" s="62" t="str">
        <f>IF(AD631="","",COUNTIFS($AB$6:AB631,AB631,$AD$6:AD631,AD631))</f>
        <v/>
      </c>
      <c r="AF631" s="62">
        <f>IF(A631="",0,COUNTIF(fl_doc,A631))</f>
        <v>0.0</v>
      </c>
      <c r="AG631" s="62" t="str">
        <f>IF(A631="","",IF(AF631&gt;0,"Facture",IF(AND(F631&lt;&gt;"",AA631="Facture",ISNUMBER(MATCH(F631,dv_num,0))),"Devis","")))</f>
        <v/>
      </c>
      <c r="AH631" s="62" t="str">
        <f>IF(AND(A631&lt;&gt;"",F631&lt;&gt;"",AA631&lt;&gt;"Avoir"),F631,"")</f>
        <v/>
      </c>
      <c r="AI631" s="62" t="str">
        <f>IF(AG631="Devis",F631,"")</f>
        <v/>
      </c>
      <c r="AJ631" s="62">
        <f>IF(AG631="Facture",SUMIF(fl_doc,A631,fl_ht),IF(AG631="Devis",SUMIF(dl_doc,F631,dl_ht),0))</f>
        <v>0.0</v>
      </c>
      <c r="AK631" s="62">
        <f>IF(OR(AG631="",INDEX(p_rates,1)=""),0,IF(AG631="Facture",SUMIFS(fl_ht,fl_doc,A631,fl_rate,INDEX(p_rates,1)),SUMIFS(dl_ht,dl_doc,F631,dl_rate,INDEX(p_rates,1))))</f>
        <v>0.0</v>
      </c>
      <c r="AL631" s="62">
        <f>IF(OR(AG631="",INDEX(p_rates,2)=""),0,IF(AG631="Facture",SUMIFS(fl_ht,fl_doc,A631,fl_rate,INDEX(p_rates,2)),SUMIFS(dl_ht,dl_doc,F631,dl_rate,INDEX(p_rates,2))))</f>
        <v>0.0</v>
      </c>
      <c r="AM631" s="62">
        <f>IF(OR(AG631="",INDEX(p_rates,3)=""),0,IF(AG631="Facture",SUMIFS(fl_ht,fl_doc,A631,fl_rate,INDEX(p_rates,3)),SUMIFS(dl_ht,dl_doc,F631,dl_rate,INDEX(p_rates,3))))</f>
        <v>0.0</v>
      </c>
      <c r="AN631" s="62">
        <f>IF(OR(AG631="",INDEX(p_rates,4)=""),0,IF(AG631="Facture",SUMIFS(fl_ht,fl_doc,A631,fl_rate,INDEX(p_rates,4)),SUMIFS(dl_ht,dl_doc,F631,dl_rate,INDEX(p_rates,4))))</f>
        <v>0.0</v>
      </c>
      <c r="AO631" s="62">
        <f>IF(OR(AG631="",INDEX(p_rates,5)=""),0,IF(AG631="Facture",SUMIFS(fl_ht,fl_doc,A631,fl_rate,INDEX(p_rates,5)),SUMIFS(dl_ht,dl_doc,F631,dl_rate,INDEX(p_rates,5))))</f>
        <v>0.0</v>
      </c>
      <c r="AP631" s="62">
        <f>IF(OR(AG631="",INDEX(p_rates,6)=""),0,IF(AG631="Facture",SUMIFS(fl_ht,fl_doc,A631,fl_rate,INDEX(p_rates,6)),SUMIFS(dl_ht,dl_doc,F631,dl_rate,INDEX(p_rates,6))))</f>
        <v>0.0</v>
      </c>
      <c r="AQ631" s="62">
        <f>ROUND(AK631*N(INDEX(p_rates,1)),2)+ROUND(AL631*N(INDEX(p_rates,2)),2)+ROUND(AM631*N(INDEX(p_rates,3)),2)+ROUND(AN631*N(INDEX(p_rates,4)),2)+ROUND(AO631*N(INDEX(p_rates,5)),2)+ROUND(AP631*N(INDEX(p_rates,6)),2)</f>
        <v>0.0</v>
      </c>
      <c r="AR631" s="62" t="str">
        <f>IF(OR(L631="",AA631&lt;&gt;"Facture"),"",IFERROR(IF(INDEX(fa_type,MATCH(L631,fa_num,0))="Facture d'acompte",MATCH(L631,fa_num,0),""),""))</f>
        <v/>
      </c>
      <c r="AS631" s="62" t="str">
        <f>IF(W631="","",IF(W631&lt;=0,"",IF(p_asof-P631&lt;=0,"Non échu",IF(p_asof-P631&lt;=30,"1-30 j",IF(p_asof-P631&lt;=60,"31-60 j",IF(p_asof-P631&lt;=90,"61-90 j","Plus de 90 j"))))))</f>
        <v/>
      </c>
      <c r="AT631" s="62" t="str">
        <f>IF(AS631="","",p_asof-P631)</f>
        <v/>
      </c>
      <c r="AU631" s="62" t="str">
        <f>IF(AT631="","",COUNTIF($AT$6:$AT$805,"&gt;"&amp;AT631)+COUNTIF($AT$6:AT631,AT631))</f>
        <v/>
      </c>
    </row>
    <row r="632">
      <c r="A632" s="59" t="str">
        <f>IF(AE632="","",AB632&amp;"-"&amp;AD632&amp;"-"&amp;RIGHT("000"&amp;AE632,4))</f>
        <v/>
      </c>
      <c r="B632" s="60" t="n"/>
      <c r="C632" s="61" t="n"/>
      <c r="D632" s="60" t="n"/>
      <c r="E632" s="62" t="str">
        <f>IF(D632="","",IFERROR(INDEX(cli_name,MATCH(D632,cli_code,0))&amp;"","Client inconnu"))</f>
        <v/>
      </c>
      <c r="F632" s="60" t="n"/>
      <c r="G632" s="63" t="n"/>
      <c r="H632" s="61" t="n"/>
      <c r="I632" s="63" t="n"/>
      <c r="J632" s="60" t="n"/>
      <c r="K632" s="61" t="n"/>
      <c r="L632" s="60" t="n"/>
      <c r="M632" s="60" t="n"/>
      <c r="N632" s="60" t="n"/>
      <c r="O632" s="61" t="n"/>
      <c r="P632" s="64" t="str">
        <f>IF(A632="","",IF(AA632="Avoir",AC632,IF(ISNUMBER(K632),K632,AC632+IF(D632="",N(p_delay),IFERROR(IF(ISNUMBER(INDEX(cli_delay,MATCH(D632,cli_code,0))),INDEX(cli_delay,MATCH(D632,cli_code,0)),N(p_delay)),N(p_delay))))))</f>
        <v/>
      </c>
      <c r="Q632" s="65" t="str">
        <f>IF(A632="","",IF(AA632="Avoir",-1,1)*ROUND(AJ632-IF(AR632="",0,INDEX(fa_htb,AR632)),2))</f>
        <v/>
      </c>
      <c r="R632" s="65" t="str">
        <f>IF(A632="","",IF(AA632="Avoir",-1,1)*ROUND(AQ632-IF(AR632="",0,INDEX(fa_tvab,AR632)),2))</f>
        <v/>
      </c>
      <c r="S632" s="65" t="str">
        <f>IF(A632="","",Q632+R632)</f>
        <v/>
      </c>
      <c r="T632" s="65" t="str">
        <f>IF(AR632="","",INDEX(fa_htb,AR632)+INDEX(fa_tvab,AR632))</f>
        <v/>
      </c>
      <c r="U632" s="65" t="str">
        <f>IF(A632="","",SUMIF(pa_inv,A632,pa_amt))</f>
        <v/>
      </c>
      <c r="V632" s="65" t="str">
        <f>IF(OR(A632="",AA632="Avoir"),"",-SUMIFS(fa_ttc,fa_avof,A632,fa_type,"Avoir"))</f>
        <v/>
      </c>
      <c r="W632" s="65" t="str">
        <f>IF(OR(A632="",AA632="Avoir"),"",ROUND(S632-U632-V632,2))</f>
        <v/>
      </c>
      <c r="X632" s="66" t="str">
        <f>IF(W632="","",IF(AND(W632&gt;0,p_asof&gt;P632),p_asof-P632,""))</f>
        <v/>
      </c>
      <c r="Y632" s="59" t="str">
        <f>IF(A632="","",IF(AA632="Avoir","Avoir",IF(W632&lt;0,"Trop-perçu",IF(W632=0,"Soldée",IF(p_asof&gt;P632,"En retard",IF(U632+V632&gt;0,"Partielle","À échoir"))))))</f>
        <v/>
      </c>
      <c r="Z632" s="59" t="str">
        <f>IF(NOT(COUNTA(B632:D632,F632:O632)&gt;0),"",IF(C632="","Date manquante",IF(NOT(ISNUMBER(C632)),"Date invalide",IF(D632="","Client manquant",IF(ISNA(MATCH(D632,cli_code,0)),"Client inconnu",IF(AC632&lt;SUMPRODUCT(MAX(($AB$6:AB631=AB632)*$AC$6:AC631)),"Date antérieure à la facture précédente",IF(AND(F632&lt;&gt;"",ISNA(MATCH(F632,dv_num,0))),"Devis inconnu",IF(AND(F632&lt;&gt;"",IFERROR(INDEX(dv_client,MATCH(F632,dv_num,0)),D632)&lt;&gt;D632),"Client différent de celui du devis",IF(AG632="","Aucune ligne : saisissez des lignes ou un devis",IF(AND(AI632&lt;&gt;"",COUNTIF($AI$6:AI632,AI632)&gt;1),"Devis déjà repris par une autre facture",IF(AND(AA632="Avoir",M632=""),"Avoir : indiquez la facture d'origine",IF(AND(AA632="Avoir",ISNA(MATCH(M632,fa_num,0))),"Facture d'origine inconnue",IF(AND(AA632&lt;&gt;"Avoir",M632&lt;&gt;""),"« Avoir sur facture » : réservé aux avoirs",IF(AND(L632&lt;&gt;"",AA632&lt;&gt;"Facture"),"Acompte à déduire : réservé aux factures",IF(AND(L632&lt;&gt;"",ISNA(MATCH(L632,fa_num,0))),"Facture d'acompte inconnue",IF(AND(L632&lt;&gt;"",IFERROR(INDEX(fa_type,MATCH(L632,fa_num,0)),"")&lt;&gt;"Facture d'acompte"),"Le n° à déduire n'est pas une facture d'acompte",IF(AND(L632&lt;&gt;"",COUNTIF($L$6:L632,L632)&gt;1),"Acompte déjà déduit sur une autre facture",IF(AND(L632&lt;&gt;"",IFERROR(INDEX(fa_client,MATCH(L632,fa_num,0)),D632)&lt;&gt;D632),"Acompte d'un autre client",IF(AND(AR632&lt;&gt;"",N(Q632)&lt;0),"Acompte supérieur au total de la facture",IF(IF(AG632="Facture",COUNTIFS(fl_doc,A632,fl_check,"&lt;&gt;OK"),IF(AG632="Devis",COUNTIFS(dl_doc,F632,dl_check,"&lt;&gt;OK"),0))&gt;0,"Ligne(s) à corriger",IF(AND(W632&lt;&gt;"",N(W632)&lt;0),"Trop-perçu : vérifiez paiements et avoirs","OK")))))))))))))))))))))</f>
        <v/>
      </c>
      <c r="AA632" s="62" t="str">
        <f>IF(COUNTA(B632:D632,F632:O632)&gt;0,IF(B632="","Facture",B632),"")</f>
        <v/>
      </c>
      <c r="AB632" s="62" t="str">
        <f>IF(AA632="","",IF(AA632="Avoir",p_pav,IF(AA632="Facture d'acompte",p_pac,p_pfa)))</f>
        <v/>
      </c>
      <c r="AC632" s="62">
        <f>IF(ISNUMBER(C632),C632,0)</f>
        <v>0.0</v>
      </c>
      <c r="AD632" s="62" t="str">
        <f>IF(OR(AA632="",AC632=0),"",YEAR(AC632))</f>
        <v/>
      </c>
      <c r="AE632" s="62" t="str">
        <f>IF(AD632="","",COUNTIFS($AB$6:AB632,AB632,$AD$6:AD632,AD632))</f>
        <v/>
      </c>
      <c r="AF632" s="62">
        <f>IF(A632="",0,COUNTIF(fl_doc,A632))</f>
        <v>0.0</v>
      </c>
      <c r="AG632" s="62" t="str">
        <f>IF(A632="","",IF(AF632&gt;0,"Facture",IF(AND(F632&lt;&gt;"",AA632="Facture",ISNUMBER(MATCH(F632,dv_num,0))),"Devis","")))</f>
        <v/>
      </c>
      <c r="AH632" s="62" t="str">
        <f>IF(AND(A632&lt;&gt;"",F632&lt;&gt;"",AA632&lt;&gt;"Avoir"),F632,"")</f>
        <v/>
      </c>
      <c r="AI632" s="62" t="str">
        <f>IF(AG632="Devis",F632,"")</f>
        <v/>
      </c>
      <c r="AJ632" s="62">
        <f>IF(AG632="Facture",SUMIF(fl_doc,A632,fl_ht),IF(AG632="Devis",SUMIF(dl_doc,F632,dl_ht),0))</f>
        <v>0.0</v>
      </c>
      <c r="AK632" s="62">
        <f>IF(OR(AG632="",INDEX(p_rates,1)=""),0,IF(AG632="Facture",SUMIFS(fl_ht,fl_doc,A632,fl_rate,INDEX(p_rates,1)),SUMIFS(dl_ht,dl_doc,F632,dl_rate,INDEX(p_rates,1))))</f>
        <v>0.0</v>
      </c>
      <c r="AL632" s="62">
        <f>IF(OR(AG632="",INDEX(p_rates,2)=""),0,IF(AG632="Facture",SUMIFS(fl_ht,fl_doc,A632,fl_rate,INDEX(p_rates,2)),SUMIFS(dl_ht,dl_doc,F632,dl_rate,INDEX(p_rates,2))))</f>
        <v>0.0</v>
      </c>
      <c r="AM632" s="62">
        <f>IF(OR(AG632="",INDEX(p_rates,3)=""),0,IF(AG632="Facture",SUMIFS(fl_ht,fl_doc,A632,fl_rate,INDEX(p_rates,3)),SUMIFS(dl_ht,dl_doc,F632,dl_rate,INDEX(p_rates,3))))</f>
        <v>0.0</v>
      </c>
      <c r="AN632" s="62">
        <f>IF(OR(AG632="",INDEX(p_rates,4)=""),0,IF(AG632="Facture",SUMIFS(fl_ht,fl_doc,A632,fl_rate,INDEX(p_rates,4)),SUMIFS(dl_ht,dl_doc,F632,dl_rate,INDEX(p_rates,4))))</f>
        <v>0.0</v>
      </c>
      <c r="AO632" s="62">
        <f>IF(OR(AG632="",INDEX(p_rates,5)=""),0,IF(AG632="Facture",SUMIFS(fl_ht,fl_doc,A632,fl_rate,INDEX(p_rates,5)),SUMIFS(dl_ht,dl_doc,F632,dl_rate,INDEX(p_rates,5))))</f>
        <v>0.0</v>
      </c>
      <c r="AP632" s="62">
        <f>IF(OR(AG632="",INDEX(p_rates,6)=""),0,IF(AG632="Facture",SUMIFS(fl_ht,fl_doc,A632,fl_rate,INDEX(p_rates,6)),SUMIFS(dl_ht,dl_doc,F632,dl_rate,INDEX(p_rates,6))))</f>
        <v>0.0</v>
      </c>
      <c r="AQ632" s="62">
        <f>ROUND(AK632*N(INDEX(p_rates,1)),2)+ROUND(AL632*N(INDEX(p_rates,2)),2)+ROUND(AM632*N(INDEX(p_rates,3)),2)+ROUND(AN632*N(INDEX(p_rates,4)),2)+ROUND(AO632*N(INDEX(p_rates,5)),2)+ROUND(AP632*N(INDEX(p_rates,6)),2)</f>
        <v>0.0</v>
      </c>
      <c r="AR632" s="62" t="str">
        <f>IF(OR(L632="",AA632&lt;&gt;"Facture"),"",IFERROR(IF(INDEX(fa_type,MATCH(L632,fa_num,0))="Facture d'acompte",MATCH(L632,fa_num,0),""),""))</f>
        <v/>
      </c>
      <c r="AS632" s="62" t="str">
        <f>IF(W632="","",IF(W632&lt;=0,"",IF(p_asof-P632&lt;=0,"Non échu",IF(p_asof-P632&lt;=30,"1-30 j",IF(p_asof-P632&lt;=60,"31-60 j",IF(p_asof-P632&lt;=90,"61-90 j","Plus de 90 j"))))))</f>
        <v/>
      </c>
      <c r="AT632" s="62" t="str">
        <f>IF(AS632="","",p_asof-P632)</f>
        <v/>
      </c>
      <c r="AU632" s="62" t="str">
        <f>IF(AT632="","",COUNTIF($AT$6:$AT$805,"&gt;"&amp;AT632)+COUNTIF($AT$6:AT632,AT632))</f>
        <v/>
      </c>
    </row>
    <row r="633">
      <c r="A633" s="59" t="str">
        <f>IF(AE633="","",AB633&amp;"-"&amp;AD633&amp;"-"&amp;RIGHT("000"&amp;AE633,4))</f>
        <v/>
      </c>
      <c r="B633" s="60" t="n"/>
      <c r="C633" s="61" t="n"/>
      <c r="D633" s="60" t="n"/>
      <c r="E633" s="62" t="str">
        <f>IF(D633="","",IFERROR(INDEX(cli_name,MATCH(D633,cli_code,0))&amp;"","Client inconnu"))</f>
        <v/>
      </c>
      <c r="F633" s="60" t="n"/>
      <c r="G633" s="63" t="n"/>
      <c r="H633" s="61" t="n"/>
      <c r="I633" s="63" t="n"/>
      <c r="J633" s="60" t="n"/>
      <c r="K633" s="61" t="n"/>
      <c r="L633" s="60" t="n"/>
      <c r="M633" s="60" t="n"/>
      <c r="N633" s="60" t="n"/>
      <c r="O633" s="61" t="n"/>
      <c r="P633" s="64" t="str">
        <f>IF(A633="","",IF(AA633="Avoir",AC633,IF(ISNUMBER(K633),K633,AC633+IF(D633="",N(p_delay),IFERROR(IF(ISNUMBER(INDEX(cli_delay,MATCH(D633,cli_code,0))),INDEX(cli_delay,MATCH(D633,cli_code,0)),N(p_delay)),N(p_delay))))))</f>
        <v/>
      </c>
      <c r="Q633" s="65" t="str">
        <f>IF(A633="","",IF(AA633="Avoir",-1,1)*ROUND(AJ633-IF(AR633="",0,INDEX(fa_htb,AR633)),2))</f>
        <v/>
      </c>
      <c r="R633" s="65" t="str">
        <f>IF(A633="","",IF(AA633="Avoir",-1,1)*ROUND(AQ633-IF(AR633="",0,INDEX(fa_tvab,AR633)),2))</f>
        <v/>
      </c>
      <c r="S633" s="65" t="str">
        <f>IF(A633="","",Q633+R633)</f>
        <v/>
      </c>
      <c r="T633" s="65" t="str">
        <f>IF(AR633="","",INDEX(fa_htb,AR633)+INDEX(fa_tvab,AR633))</f>
        <v/>
      </c>
      <c r="U633" s="65" t="str">
        <f>IF(A633="","",SUMIF(pa_inv,A633,pa_amt))</f>
        <v/>
      </c>
      <c r="V633" s="65" t="str">
        <f>IF(OR(A633="",AA633="Avoir"),"",-SUMIFS(fa_ttc,fa_avof,A633,fa_type,"Avoir"))</f>
        <v/>
      </c>
      <c r="W633" s="65" t="str">
        <f>IF(OR(A633="",AA633="Avoir"),"",ROUND(S633-U633-V633,2))</f>
        <v/>
      </c>
      <c r="X633" s="66" t="str">
        <f>IF(W633="","",IF(AND(W633&gt;0,p_asof&gt;P633),p_asof-P633,""))</f>
        <v/>
      </c>
      <c r="Y633" s="59" t="str">
        <f>IF(A633="","",IF(AA633="Avoir","Avoir",IF(W633&lt;0,"Trop-perçu",IF(W633=0,"Soldée",IF(p_asof&gt;P633,"En retard",IF(U633+V633&gt;0,"Partielle","À échoir"))))))</f>
        <v/>
      </c>
      <c r="Z633" s="59" t="str">
        <f>IF(NOT(COUNTA(B633:D633,F633:O633)&gt;0),"",IF(C633="","Date manquante",IF(NOT(ISNUMBER(C633)),"Date invalide",IF(D633="","Client manquant",IF(ISNA(MATCH(D633,cli_code,0)),"Client inconnu",IF(AC633&lt;SUMPRODUCT(MAX(($AB$6:AB632=AB633)*$AC$6:AC632)),"Date antérieure à la facture précédente",IF(AND(F633&lt;&gt;"",ISNA(MATCH(F633,dv_num,0))),"Devis inconnu",IF(AND(F633&lt;&gt;"",IFERROR(INDEX(dv_client,MATCH(F633,dv_num,0)),D633)&lt;&gt;D633),"Client différent de celui du devis",IF(AG633="","Aucune ligne : saisissez des lignes ou un devis",IF(AND(AI633&lt;&gt;"",COUNTIF($AI$6:AI633,AI633)&gt;1),"Devis déjà repris par une autre facture",IF(AND(AA633="Avoir",M633=""),"Avoir : indiquez la facture d'origine",IF(AND(AA633="Avoir",ISNA(MATCH(M633,fa_num,0))),"Facture d'origine inconnue",IF(AND(AA633&lt;&gt;"Avoir",M633&lt;&gt;""),"« Avoir sur facture » : réservé aux avoirs",IF(AND(L633&lt;&gt;"",AA633&lt;&gt;"Facture"),"Acompte à déduire : réservé aux factures",IF(AND(L633&lt;&gt;"",ISNA(MATCH(L633,fa_num,0))),"Facture d'acompte inconnue",IF(AND(L633&lt;&gt;"",IFERROR(INDEX(fa_type,MATCH(L633,fa_num,0)),"")&lt;&gt;"Facture d'acompte"),"Le n° à déduire n'est pas une facture d'acompte",IF(AND(L633&lt;&gt;"",COUNTIF($L$6:L633,L633)&gt;1),"Acompte déjà déduit sur une autre facture",IF(AND(L633&lt;&gt;"",IFERROR(INDEX(fa_client,MATCH(L633,fa_num,0)),D633)&lt;&gt;D633),"Acompte d'un autre client",IF(AND(AR633&lt;&gt;"",N(Q633)&lt;0),"Acompte supérieur au total de la facture",IF(IF(AG633="Facture",COUNTIFS(fl_doc,A633,fl_check,"&lt;&gt;OK"),IF(AG633="Devis",COUNTIFS(dl_doc,F633,dl_check,"&lt;&gt;OK"),0))&gt;0,"Ligne(s) à corriger",IF(AND(W633&lt;&gt;"",N(W633)&lt;0),"Trop-perçu : vérifiez paiements et avoirs","OK")))))))))))))))))))))</f>
        <v/>
      </c>
      <c r="AA633" s="62" t="str">
        <f>IF(COUNTA(B633:D633,F633:O633)&gt;0,IF(B633="","Facture",B633),"")</f>
        <v/>
      </c>
      <c r="AB633" s="62" t="str">
        <f>IF(AA633="","",IF(AA633="Avoir",p_pav,IF(AA633="Facture d'acompte",p_pac,p_pfa)))</f>
        <v/>
      </c>
      <c r="AC633" s="62">
        <f>IF(ISNUMBER(C633),C633,0)</f>
        <v>0.0</v>
      </c>
      <c r="AD633" s="62" t="str">
        <f>IF(OR(AA633="",AC633=0),"",YEAR(AC633))</f>
        <v/>
      </c>
      <c r="AE633" s="62" t="str">
        <f>IF(AD633="","",COUNTIFS($AB$6:AB633,AB633,$AD$6:AD633,AD633))</f>
        <v/>
      </c>
      <c r="AF633" s="62">
        <f>IF(A633="",0,COUNTIF(fl_doc,A633))</f>
        <v>0.0</v>
      </c>
      <c r="AG633" s="62" t="str">
        <f>IF(A633="","",IF(AF633&gt;0,"Facture",IF(AND(F633&lt;&gt;"",AA633="Facture",ISNUMBER(MATCH(F633,dv_num,0))),"Devis","")))</f>
        <v/>
      </c>
      <c r="AH633" s="62" t="str">
        <f>IF(AND(A633&lt;&gt;"",F633&lt;&gt;"",AA633&lt;&gt;"Avoir"),F633,"")</f>
        <v/>
      </c>
      <c r="AI633" s="62" t="str">
        <f>IF(AG633="Devis",F633,"")</f>
        <v/>
      </c>
      <c r="AJ633" s="62">
        <f>IF(AG633="Facture",SUMIF(fl_doc,A633,fl_ht),IF(AG633="Devis",SUMIF(dl_doc,F633,dl_ht),0))</f>
        <v>0.0</v>
      </c>
      <c r="AK633" s="62">
        <f>IF(OR(AG633="",INDEX(p_rates,1)=""),0,IF(AG633="Facture",SUMIFS(fl_ht,fl_doc,A633,fl_rate,INDEX(p_rates,1)),SUMIFS(dl_ht,dl_doc,F633,dl_rate,INDEX(p_rates,1))))</f>
        <v>0.0</v>
      </c>
      <c r="AL633" s="62">
        <f>IF(OR(AG633="",INDEX(p_rates,2)=""),0,IF(AG633="Facture",SUMIFS(fl_ht,fl_doc,A633,fl_rate,INDEX(p_rates,2)),SUMIFS(dl_ht,dl_doc,F633,dl_rate,INDEX(p_rates,2))))</f>
        <v>0.0</v>
      </c>
      <c r="AM633" s="62">
        <f>IF(OR(AG633="",INDEX(p_rates,3)=""),0,IF(AG633="Facture",SUMIFS(fl_ht,fl_doc,A633,fl_rate,INDEX(p_rates,3)),SUMIFS(dl_ht,dl_doc,F633,dl_rate,INDEX(p_rates,3))))</f>
        <v>0.0</v>
      </c>
      <c r="AN633" s="62">
        <f>IF(OR(AG633="",INDEX(p_rates,4)=""),0,IF(AG633="Facture",SUMIFS(fl_ht,fl_doc,A633,fl_rate,INDEX(p_rates,4)),SUMIFS(dl_ht,dl_doc,F633,dl_rate,INDEX(p_rates,4))))</f>
        <v>0.0</v>
      </c>
      <c r="AO633" s="62">
        <f>IF(OR(AG633="",INDEX(p_rates,5)=""),0,IF(AG633="Facture",SUMIFS(fl_ht,fl_doc,A633,fl_rate,INDEX(p_rates,5)),SUMIFS(dl_ht,dl_doc,F633,dl_rate,INDEX(p_rates,5))))</f>
        <v>0.0</v>
      </c>
      <c r="AP633" s="62">
        <f>IF(OR(AG633="",INDEX(p_rates,6)=""),0,IF(AG633="Facture",SUMIFS(fl_ht,fl_doc,A633,fl_rate,INDEX(p_rates,6)),SUMIFS(dl_ht,dl_doc,F633,dl_rate,INDEX(p_rates,6))))</f>
        <v>0.0</v>
      </c>
      <c r="AQ633" s="62">
        <f>ROUND(AK633*N(INDEX(p_rates,1)),2)+ROUND(AL633*N(INDEX(p_rates,2)),2)+ROUND(AM633*N(INDEX(p_rates,3)),2)+ROUND(AN633*N(INDEX(p_rates,4)),2)+ROUND(AO633*N(INDEX(p_rates,5)),2)+ROUND(AP633*N(INDEX(p_rates,6)),2)</f>
        <v>0.0</v>
      </c>
      <c r="AR633" s="62" t="str">
        <f>IF(OR(L633="",AA633&lt;&gt;"Facture"),"",IFERROR(IF(INDEX(fa_type,MATCH(L633,fa_num,0))="Facture d'acompte",MATCH(L633,fa_num,0),""),""))</f>
        <v/>
      </c>
      <c r="AS633" s="62" t="str">
        <f>IF(W633="","",IF(W633&lt;=0,"",IF(p_asof-P633&lt;=0,"Non échu",IF(p_asof-P633&lt;=30,"1-30 j",IF(p_asof-P633&lt;=60,"31-60 j",IF(p_asof-P633&lt;=90,"61-90 j","Plus de 90 j"))))))</f>
        <v/>
      </c>
      <c r="AT633" s="62" t="str">
        <f>IF(AS633="","",p_asof-P633)</f>
        <v/>
      </c>
      <c r="AU633" s="62" t="str">
        <f>IF(AT633="","",COUNTIF($AT$6:$AT$805,"&gt;"&amp;AT633)+COUNTIF($AT$6:AT633,AT633))</f>
        <v/>
      </c>
    </row>
    <row r="634">
      <c r="A634" s="59" t="str">
        <f>IF(AE634="","",AB634&amp;"-"&amp;AD634&amp;"-"&amp;RIGHT("000"&amp;AE634,4))</f>
        <v/>
      </c>
      <c r="B634" s="60" t="n"/>
      <c r="C634" s="61" t="n"/>
      <c r="D634" s="60" t="n"/>
      <c r="E634" s="62" t="str">
        <f>IF(D634="","",IFERROR(INDEX(cli_name,MATCH(D634,cli_code,0))&amp;"","Client inconnu"))</f>
        <v/>
      </c>
      <c r="F634" s="60" t="n"/>
      <c r="G634" s="63" t="n"/>
      <c r="H634" s="61" t="n"/>
      <c r="I634" s="63" t="n"/>
      <c r="J634" s="60" t="n"/>
      <c r="K634" s="61" t="n"/>
      <c r="L634" s="60" t="n"/>
      <c r="M634" s="60" t="n"/>
      <c r="N634" s="60" t="n"/>
      <c r="O634" s="61" t="n"/>
      <c r="P634" s="64" t="str">
        <f>IF(A634="","",IF(AA634="Avoir",AC634,IF(ISNUMBER(K634),K634,AC634+IF(D634="",N(p_delay),IFERROR(IF(ISNUMBER(INDEX(cli_delay,MATCH(D634,cli_code,0))),INDEX(cli_delay,MATCH(D634,cli_code,0)),N(p_delay)),N(p_delay))))))</f>
        <v/>
      </c>
      <c r="Q634" s="65" t="str">
        <f>IF(A634="","",IF(AA634="Avoir",-1,1)*ROUND(AJ634-IF(AR634="",0,INDEX(fa_htb,AR634)),2))</f>
        <v/>
      </c>
      <c r="R634" s="65" t="str">
        <f>IF(A634="","",IF(AA634="Avoir",-1,1)*ROUND(AQ634-IF(AR634="",0,INDEX(fa_tvab,AR634)),2))</f>
        <v/>
      </c>
      <c r="S634" s="65" t="str">
        <f>IF(A634="","",Q634+R634)</f>
        <v/>
      </c>
      <c r="T634" s="65" t="str">
        <f>IF(AR634="","",INDEX(fa_htb,AR634)+INDEX(fa_tvab,AR634))</f>
        <v/>
      </c>
      <c r="U634" s="65" t="str">
        <f>IF(A634="","",SUMIF(pa_inv,A634,pa_amt))</f>
        <v/>
      </c>
      <c r="V634" s="65" t="str">
        <f>IF(OR(A634="",AA634="Avoir"),"",-SUMIFS(fa_ttc,fa_avof,A634,fa_type,"Avoir"))</f>
        <v/>
      </c>
      <c r="W634" s="65" t="str">
        <f>IF(OR(A634="",AA634="Avoir"),"",ROUND(S634-U634-V634,2))</f>
        <v/>
      </c>
      <c r="X634" s="66" t="str">
        <f>IF(W634="","",IF(AND(W634&gt;0,p_asof&gt;P634),p_asof-P634,""))</f>
        <v/>
      </c>
      <c r="Y634" s="59" t="str">
        <f>IF(A634="","",IF(AA634="Avoir","Avoir",IF(W634&lt;0,"Trop-perçu",IF(W634=0,"Soldée",IF(p_asof&gt;P634,"En retard",IF(U634+V634&gt;0,"Partielle","À échoir"))))))</f>
        <v/>
      </c>
      <c r="Z634" s="59" t="str">
        <f>IF(NOT(COUNTA(B634:D634,F634:O634)&gt;0),"",IF(C634="","Date manquante",IF(NOT(ISNUMBER(C634)),"Date invalide",IF(D634="","Client manquant",IF(ISNA(MATCH(D634,cli_code,0)),"Client inconnu",IF(AC634&lt;SUMPRODUCT(MAX(($AB$6:AB633=AB634)*$AC$6:AC633)),"Date antérieure à la facture précédente",IF(AND(F634&lt;&gt;"",ISNA(MATCH(F634,dv_num,0))),"Devis inconnu",IF(AND(F634&lt;&gt;"",IFERROR(INDEX(dv_client,MATCH(F634,dv_num,0)),D634)&lt;&gt;D634),"Client différent de celui du devis",IF(AG634="","Aucune ligne : saisissez des lignes ou un devis",IF(AND(AI634&lt;&gt;"",COUNTIF($AI$6:AI634,AI634)&gt;1),"Devis déjà repris par une autre facture",IF(AND(AA634="Avoir",M634=""),"Avoir : indiquez la facture d'origine",IF(AND(AA634="Avoir",ISNA(MATCH(M634,fa_num,0))),"Facture d'origine inconnue",IF(AND(AA634&lt;&gt;"Avoir",M634&lt;&gt;""),"« Avoir sur facture » : réservé aux avoirs",IF(AND(L634&lt;&gt;"",AA634&lt;&gt;"Facture"),"Acompte à déduire : réservé aux factures",IF(AND(L634&lt;&gt;"",ISNA(MATCH(L634,fa_num,0))),"Facture d'acompte inconnue",IF(AND(L634&lt;&gt;"",IFERROR(INDEX(fa_type,MATCH(L634,fa_num,0)),"")&lt;&gt;"Facture d'acompte"),"Le n° à déduire n'est pas une facture d'acompte",IF(AND(L634&lt;&gt;"",COUNTIF($L$6:L634,L634)&gt;1),"Acompte déjà déduit sur une autre facture",IF(AND(L634&lt;&gt;"",IFERROR(INDEX(fa_client,MATCH(L634,fa_num,0)),D634)&lt;&gt;D634),"Acompte d'un autre client",IF(AND(AR634&lt;&gt;"",N(Q634)&lt;0),"Acompte supérieur au total de la facture",IF(IF(AG634="Facture",COUNTIFS(fl_doc,A634,fl_check,"&lt;&gt;OK"),IF(AG634="Devis",COUNTIFS(dl_doc,F634,dl_check,"&lt;&gt;OK"),0))&gt;0,"Ligne(s) à corriger",IF(AND(W634&lt;&gt;"",N(W634)&lt;0),"Trop-perçu : vérifiez paiements et avoirs","OK")))))))))))))))))))))</f>
        <v/>
      </c>
      <c r="AA634" s="62" t="str">
        <f>IF(COUNTA(B634:D634,F634:O634)&gt;0,IF(B634="","Facture",B634),"")</f>
        <v/>
      </c>
      <c r="AB634" s="62" t="str">
        <f>IF(AA634="","",IF(AA634="Avoir",p_pav,IF(AA634="Facture d'acompte",p_pac,p_pfa)))</f>
        <v/>
      </c>
      <c r="AC634" s="62">
        <f>IF(ISNUMBER(C634),C634,0)</f>
        <v>0.0</v>
      </c>
      <c r="AD634" s="62" t="str">
        <f>IF(OR(AA634="",AC634=0),"",YEAR(AC634))</f>
        <v/>
      </c>
      <c r="AE634" s="62" t="str">
        <f>IF(AD634="","",COUNTIFS($AB$6:AB634,AB634,$AD$6:AD634,AD634))</f>
        <v/>
      </c>
      <c r="AF634" s="62">
        <f>IF(A634="",0,COUNTIF(fl_doc,A634))</f>
        <v>0.0</v>
      </c>
      <c r="AG634" s="62" t="str">
        <f>IF(A634="","",IF(AF634&gt;0,"Facture",IF(AND(F634&lt;&gt;"",AA634="Facture",ISNUMBER(MATCH(F634,dv_num,0))),"Devis","")))</f>
        <v/>
      </c>
      <c r="AH634" s="62" t="str">
        <f>IF(AND(A634&lt;&gt;"",F634&lt;&gt;"",AA634&lt;&gt;"Avoir"),F634,"")</f>
        <v/>
      </c>
      <c r="AI634" s="62" t="str">
        <f>IF(AG634="Devis",F634,"")</f>
        <v/>
      </c>
      <c r="AJ634" s="62">
        <f>IF(AG634="Facture",SUMIF(fl_doc,A634,fl_ht),IF(AG634="Devis",SUMIF(dl_doc,F634,dl_ht),0))</f>
        <v>0.0</v>
      </c>
      <c r="AK634" s="62">
        <f>IF(OR(AG634="",INDEX(p_rates,1)=""),0,IF(AG634="Facture",SUMIFS(fl_ht,fl_doc,A634,fl_rate,INDEX(p_rates,1)),SUMIFS(dl_ht,dl_doc,F634,dl_rate,INDEX(p_rates,1))))</f>
        <v>0.0</v>
      </c>
      <c r="AL634" s="62">
        <f>IF(OR(AG634="",INDEX(p_rates,2)=""),0,IF(AG634="Facture",SUMIFS(fl_ht,fl_doc,A634,fl_rate,INDEX(p_rates,2)),SUMIFS(dl_ht,dl_doc,F634,dl_rate,INDEX(p_rates,2))))</f>
        <v>0.0</v>
      </c>
      <c r="AM634" s="62">
        <f>IF(OR(AG634="",INDEX(p_rates,3)=""),0,IF(AG634="Facture",SUMIFS(fl_ht,fl_doc,A634,fl_rate,INDEX(p_rates,3)),SUMIFS(dl_ht,dl_doc,F634,dl_rate,INDEX(p_rates,3))))</f>
        <v>0.0</v>
      </c>
      <c r="AN634" s="62">
        <f>IF(OR(AG634="",INDEX(p_rates,4)=""),0,IF(AG634="Facture",SUMIFS(fl_ht,fl_doc,A634,fl_rate,INDEX(p_rates,4)),SUMIFS(dl_ht,dl_doc,F634,dl_rate,INDEX(p_rates,4))))</f>
        <v>0.0</v>
      </c>
      <c r="AO634" s="62">
        <f>IF(OR(AG634="",INDEX(p_rates,5)=""),0,IF(AG634="Facture",SUMIFS(fl_ht,fl_doc,A634,fl_rate,INDEX(p_rates,5)),SUMIFS(dl_ht,dl_doc,F634,dl_rate,INDEX(p_rates,5))))</f>
        <v>0.0</v>
      </c>
      <c r="AP634" s="62">
        <f>IF(OR(AG634="",INDEX(p_rates,6)=""),0,IF(AG634="Facture",SUMIFS(fl_ht,fl_doc,A634,fl_rate,INDEX(p_rates,6)),SUMIFS(dl_ht,dl_doc,F634,dl_rate,INDEX(p_rates,6))))</f>
        <v>0.0</v>
      </c>
      <c r="AQ634" s="62">
        <f>ROUND(AK634*N(INDEX(p_rates,1)),2)+ROUND(AL634*N(INDEX(p_rates,2)),2)+ROUND(AM634*N(INDEX(p_rates,3)),2)+ROUND(AN634*N(INDEX(p_rates,4)),2)+ROUND(AO634*N(INDEX(p_rates,5)),2)+ROUND(AP634*N(INDEX(p_rates,6)),2)</f>
        <v>0.0</v>
      </c>
      <c r="AR634" s="62" t="str">
        <f>IF(OR(L634="",AA634&lt;&gt;"Facture"),"",IFERROR(IF(INDEX(fa_type,MATCH(L634,fa_num,0))="Facture d'acompte",MATCH(L634,fa_num,0),""),""))</f>
        <v/>
      </c>
      <c r="AS634" s="62" t="str">
        <f>IF(W634="","",IF(W634&lt;=0,"",IF(p_asof-P634&lt;=0,"Non échu",IF(p_asof-P634&lt;=30,"1-30 j",IF(p_asof-P634&lt;=60,"31-60 j",IF(p_asof-P634&lt;=90,"61-90 j","Plus de 90 j"))))))</f>
        <v/>
      </c>
      <c r="AT634" s="62" t="str">
        <f>IF(AS634="","",p_asof-P634)</f>
        <v/>
      </c>
      <c r="AU634" s="62" t="str">
        <f>IF(AT634="","",COUNTIF($AT$6:$AT$805,"&gt;"&amp;AT634)+COUNTIF($AT$6:AT634,AT634))</f>
        <v/>
      </c>
    </row>
    <row r="635">
      <c r="A635" s="59" t="str">
        <f>IF(AE635="","",AB635&amp;"-"&amp;AD635&amp;"-"&amp;RIGHT("000"&amp;AE635,4))</f>
        <v/>
      </c>
      <c r="B635" s="60" t="n"/>
      <c r="C635" s="61" t="n"/>
      <c r="D635" s="60" t="n"/>
      <c r="E635" s="62" t="str">
        <f>IF(D635="","",IFERROR(INDEX(cli_name,MATCH(D635,cli_code,0))&amp;"","Client inconnu"))</f>
        <v/>
      </c>
      <c r="F635" s="60" t="n"/>
      <c r="G635" s="63" t="n"/>
      <c r="H635" s="61" t="n"/>
      <c r="I635" s="63" t="n"/>
      <c r="J635" s="60" t="n"/>
      <c r="K635" s="61" t="n"/>
      <c r="L635" s="60" t="n"/>
      <c r="M635" s="60" t="n"/>
      <c r="N635" s="60" t="n"/>
      <c r="O635" s="61" t="n"/>
      <c r="P635" s="64" t="str">
        <f>IF(A635="","",IF(AA635="Avoir",AC635,IF(ISNUMBER(K635),K635,AC635+IF(D635="",N(p_delay),IFERROR(IF(ISNUMBER(INDEX(cli_delay,MATCH(D635,cli_code,0))),INDEX(cli_delay,MATCH(D635,cli_code,0)),N(p_delay)),N(p_delay))))))</f>
        <v/>
      </c>
      <c r="Q635" s="65" t="str">
        <f>IF(A635="","",IF(AA635="Avoir",-1,1)*ROUND(AJ635-IF(AR635="",0,INDEX(fa_htb,AR635)),2))</f>
        <v/>
      </c>
      <c r="R635" s="65" t="str">
        <f>IF(A635="","",IF(AA635="Avoir",-1,1)*ROUND(AQ635-IF(AR635="",0,INDEX(fa_tvab,AR635)),2))</f>
        <v/>
      </c>
      <c r="S635" s="65" t="str">
        <f>IF(A635="","",Q635+R635)</f>
        <v/>
      </c>
      <c r="T635" s="65" t="str">
        <f>IF(AR635="","",INDEX(fa_htb,AR635)+INDEX(fa_tvab,AR635))</f>
        <v/>
      </c>
      <c r="U635" s="65" t="str">
        <f>IF(A635="","",SUMIF(pa_inv,A635,pa_amt))</f>
        <v/>
      </c>
      <c r="V635" s="65" t="str">
        <f>IF(OR(A635="",AA635="Avoir"),"",-SUMIFS(fa_ttc,fa_avof,A635,fa_type,"Avoir"))</f>
        <v/>
      </c>
      <c r="W635" s="65" t="str">
        <f>IF(OR(A635="",AA635="Avoir"),"",ROUND(S635-U635-V635,2))</f>
        <v/>
      </c>
      <c r="X635" s="66" t="str">
        <f>IF(W635="","",IF(AND(W635&gt;0,p_asof&gt;P635),p_asof-P635,""))</f>
        <v/>
      </c>
      <c r="Y635" s="59" t="str">
        <f>IF(A635="","",IF(AA635="Avoir","Avoir",IF(W635&lt;0,"Trop-perçu",IF(W635=0,"Soldée",IF(p_asof&gt;P635,"En retard",IF(U635+V635&gt;0,"Partielle","À échoir"))))))</f>
        <v/>
      </c>
      <c r="Z635" s="59" t="str">
        <f>IF(NOT(COUNTA(B635:D635,F635:O635)&gt;0),"",IF(C635="","Date manquante",IF(NOT(ISNUMBER(C635)),"Date invalide",IF(D635="","Client manquant",IF(ISNA(MATCH(D635,cli_code,0)),"Client inconnu",IF(AC635&lt;SUMPRODUCT(MAX(($AB$6:AB634=AB635)*$AC$6:AC634)),"Date antérieure à la facture précédente",IF(AND(F635&lt;&gt;"",ISNA(MATCH(F635,dv_num,0))),"Devis inconnu",IF(AND(F635&lt;&gt;"",IFERROR(INDEX(dv_client,MATCH(F635,dv_num,0)),D635)&lt;&gt;D635),"Client différent de celui du devis",IF(AG635="","Aucune ligne : saisissez des lignes ou un devis",IF(AND(AI635&lt;&gt;"",COUNTIF($AI$6:AI635,AI635)&gt;1),"Devis déjà repris par une autre facture",IF(AND(AA635="Avoir",M635=""),"Avoir : indiquez la facture d'origine",IF(AND(AA635="Avoir",ISNA(MATCH(M635,fa_num,0))),"Facture d'origine inconnue",IF(AND(AA635&lt;&gt;"Avoir",M635&lt;&gt;""),"« Avoir sur facture » : réservé aux avoirs",IF(AND(L635&lt;&gt;"",AA635&lt;&gt;"Facture"),"Acompte à déduire : réservé aux factures",IF(AND(L635&lt;&gt;"",ISNA(MATCH(L635,fa_num,0))),"Facture d'acompte inconnue",IF(AND(L635&lt;&gt;"",IFERROR(INDEX(fa_type,MATCH(L635,fa_num,0)),"")&lt;&gt;"Facture d'acompte"),"Le n° à déduire n'est pas une facture d'acompte",IF(AND(L635&lt;&gt;"",COUNTIF($L$6:L635,L635)&gt;1),"Acompte déjà déduit sur une autre facture",IF(AND(L635&lt;&gt;"",IFERROR(INDEX(fa_client,MATCH(L635,fa_num,0)),D635)&lt;&gt;D635),"Acompte d'un autre client",IF(AND(AR635&lt;&gt;"",N(Q635)&lt;0),"Acompte supérieur au total de la facture",IF(IF(AG635="Facture",COUNTIFS(fl_doc,A635,fl_check,"&lt;&gt;OK"),IF(AG635="Devis",COUNTIFS(dl_doc,F635,dl_check,"&lt;&gt;OK"),0))&gt;0,"Ligne(s) à corriger",IF(AND(W635&lt;&gt;"",N(W635)&lt;0),"Trop-perçu : vérifiez paiements et avoirs","OK")))))))))))))))))))))</f>
        <v/>
      </c>
      <c r="AA635" s="62" t="str">
        <f>IF(COUNTA(B635:D635,F635:O635)&gt;0,IF(B635="","Facture",B635),"")</f>
        <v/>
      </c>
      <c r="AB635" s="62" t="str">
        <f>IF(AA635="","",IF(AA635="Avoir",p_pav,IF(AA635="Facture d'acompte",p_pac,p_pfa)))</f>
        <v/>
      </c>
      <c r="AC635" s="62">
        <f>IF(ISNUMBER(C635),C635,0)</f>
        <v>0.0</v>
      </c>
      <c r="AD635" s="62" t="str">
        <f>IF(OR(AA635="",AC635=0),"",YEAR(AC635))</f>
        <v/>
      </c>
      <c r="AE635" s="62" t="str">
        <f>IF(AD635="","",COUNTIFS($AB$6:AB635,AB635,$AD$6:AD635,AD635))</f>
        <v/>
      </c>
      <c r="AF635" s="62">
        <f>IF(A635="",0,COUNTIF(fl_doc,A635))</f>
        <v>0.0</v>
      </c>
      <c r="AG635" s="62" t="str">
        <f>IF(A635="","",IF(AF635&gt;0,"Facture",IF(AND(F635&lt;&gt;"",AA635="Facture",ISNUMBER(MATCH(F635,dv_num,0))),"Devis","")))</f>
        <v/>
      </c>
      <c r="AH635" s="62" t="str">
        <f>IF(AND(A635&lt;&gt;"",F635&lt;&gt;"",AA635&lt;&gt;"Avoir"),F635,"")</f>
        <v/>
      </c>
      <c r="AI635" s="62" t="str">
        <f>IF(AG635="Devis",F635,"")</f>
        <v/>
      </c>
      <c r="AJ635" s="62">
        <f>IF(AG635="Facture",SUMIF(fl_doc,A635,fl_ht),IF(AG635="Devis",SUMIF(dl_doc,F635,dl_ht),0))</f>
        <v>0.0</v>
      </c>
      <c r="AK635" s="62">
        <f>IF(OR(AG635="",INDEX(p_rates,1)=""),0,IF(AG635="Facture",SUMIFS(fl_ht,fl_doc,A635,fl_rate,INDEX(p_rates,1)),SUMIFS(dl_ht,dl_doc,F635,dl_rate,INDEX(p_rates,1))))</f>
        <v>0.0</v>
      </c>
      <c r="AL635" s="62">
        <f>IF(OR(AG635="",INDEX(p_rates,2)=""),0,IF(AG635="Facture",SUMIFS(fl_ht,fl_doc,A635,fl_rate,INDEX(p_rates,2)),SUMIFS(dl_ht,dl_doc,F635,dl_rate,INDEX(p_rates,2))))</f>
        <v>0.0</v>
      </c>
      <c r="AM635" s="62">
        <f>IF(OR(AG635="",INDEX(p_rates,3)=""),0,IF(AG635="Facture",SUMIFS(fl_ht,fl_doc,A635,fl_rate,INDEX(p_rates,3)),SUMIFS(dl_ht,dl_doc,F635,dl_rate,INDEX(p_rates,3))))</f>
        <v>0.0</v>
      </c>
      <c r="AN635" s="62">
        <f>IF(OR(AG635="",INDEX(p_rates,4)=""),0,IF(AG635="Facture",SUMIFS(fl_ht,fl_doc,A635,fl_rate,INDEX(p_rates,4)),SUMIFS(dl_ht,dl_doc,F635,dl_rate,INDEX(p_rates,4))))</f>
        <v>0.0</v>
      </c>
      <c r="AO635" s="62">
        <f>IF(OR(AG635="",INDEX(p_rates,5)=""),0,IF(AG635="Facture",SUMIFS(fl_ht,fl_doc,A635,fl_rate,INDEX(p_rates,5)),SUMIFS(dl_ht,dl_doc,F635,dl_rate,INDEX(p_rates,5))))</f>
        <v>0.0</v>
      </c>
      <c r="AP635" s="62">
        <f>IF(OR(AG635="",INDEX(p_rates,6)=""),0,IF(AG635="Facture",SUMIFS(fl_ht,fl_doc,A635,fl_rate,INDEX(p_rates,6)),SUMIFS(dl_ht,dl_doc,F635,dl_rate,INDEX(p_rates,6))))</f>
        <v>0.0</v>
      </c>
      <c r="AQ635" s="62">
        <f>ROUND(AK635*N(INDEX(p_rates,1)),2)+ROUND(AL635*N(INDEX(p_rates,2)),2)+ROUND(AM635*N(INDEX(p_rates,3)),2)+ROUND(AN635*N(INDEX(p_rates,4)),2)+ROUND(AO635*N(INDEX(p_rates,5)),2)+ROUND(AP635*N(INDEX(p_rates,6)),2)</f>
        <v>0.0</v>
      </c>
      <c r="AR635" s="62" t="str">
        <f>IF(OR(L635="",AA635&lt;&gt;"Facture"),"",IFERROR(IF(INDEX(fa_type,MATCH(L635,fa_num,0))="Facture d'acompte",MATCH(L635,fa_num,0),""),""))</f>
        <v/>
      </c>
      <c r="AS635" s="62" t="str">
        <f>IF(W635="","",IF(W635&lt;=0,"",IF(p_asof-P635&lt;=0,"Non échu",IF(p_asof-P635&lt;=30,"1-30 j",IF(p_asof-P635&lt;=60,"31-60 j",IF(p_asof-P635&lt;=90,"61-90 j","Plus de 90 j"))))))</f>
        <v/>
      </c>
      <c r="AT635" s="62" t="str">
        <f>IF(AS635="","",p_asof-P635)</f>
        <v/>
      </c>
      <c r="AU635" s="62" t="str">
        <f>IF(AT635="","",COUNTIF($AT$6:$AT$805,"&gt;"&amp;AT635)+COUNTIF($AT$6:AT635,AT635))</f>
        <v/>
      </c>
    </row>
    <row r="636">
      <c r="A636" s="59" t="str">
        <f>IF(AE636="","",AB636&amp;"-"&amp;AD636&amp;"-"&amp;RIGHT("000"&amp;AE636,4))</f>
        <v/>
      </c>
      <c r="B636" s="60" t="n"/>
      <c r="C636" s="61" t="n"/>
      <c r="D636" s="60" t="n"/>
      <c r="E636" s="62" t="str">
        <f>IF(D636="","",IFERROR(INDEX(cli_name,MATCH(D636,cli_code,0))&amp;"","Client inconnu"))</f>
        <v/>
      </c>
      <c r="F636" s="60" t="n"/>
      <c r="G636" s="63" t="n"/>
      <c r="H636" s="61" t="n"/>
      <c r="I636" s="63" t="n"/>
      <c r="J636" s="60" t="n"/>
      <c r="K636" s="61" t="n"/>
      <c r="L636" s="60" t="n"/>
      <c r="M636" s="60" t="n"/>
      <c r="N636" s="60" t="n"/>
      <c r="O636" s="61" t="n"/>
      <c r="P636" s="64" t="str">
        <f>IF(A636="","",IF(AA636="Avoir",AC636,IF(ISNUMBER(K636),K636,AC636+IF(D636="",N(p_delay),IFERROR(IF(ISNUMBER(INDEX(cli_delay,MATCH(D636,cli_code,0))),INDEX(cli_delay,MATCH(D636,cli_code,0)),N(p_delay)),N(p_delay))))))</f>
        <v/>
      </c>
      <c r="Q636" s="65" t="str">
        <f>IF(A636="","",IF(AA636="Avoir",-1,1)*ROUND(AJ636-IF(AR636="",0,INDEX(fa_htb,AR636)),2))</f>
        <v/>
      </c>
      <c r="R636" s="65" t="str">
        <f>IF(A636="","",IF(AA636="Avoir",-1,1)*ROUND(AQ636-IF(AR636="",0,INDEX(fa_tvab,AR636)),2))</f>
        <v/>
      </c>
      <c r="S636" s="65" t="str">
        <f>IF(A636="","",Q636+R636)</f>
        <v/>
      </c>
      <c r="T636" s="65" t="str">
        <f>IF(AR636="","",INDEX(fa_htb,AR636)+INDEX(fa_tvab,AR636))</f>
        <v/>
      </c>
      <c r="U636" s="65" t="str">
        <f>IF(A636="","",SUMIF(pa_inv,A636,pa_amt))</f>
        <v/>
      </c>
      <c r="V636" s="65" t="str">
        <f>IF(OR(A636="",AA636="Avoir"),"",-SUMIFS(fa_ttc,fa_avof,A636,fa_type,"Avoir"))</f>
        <v/>
      </c>
      <c r="W636" s="65" t="str">
        <f>IF(OR(A636="",AA636="Avoir"),"",ROUND(S636-U636-V636,2))</f>
        <v/>
      </c>
      <c r="X636" s="66" t="str">
        <f>IF(W636="","",IF(AND(W636&gt;0,p_asof&gt;P636),p_asof-P636,""))</f>
        <v/>
      </c>
      <c r="Y636" s="59" t="str">
        <f>IF(A636="","",IF(AA636="Avoir","Avoir",IF(W636&lt;0,"Trop-perçu",IF(W636=0,"Soldée",IF(p_asof&gt;P636,"En retard",IF(U636+V636&gt;0,"Partielle","À échoir"))))))</f>
        <v/>
      </c>
      <c r="Z636" s="59" t="str">
        <f>IF(NOT(COUNTA(B636:D636,F636:O636)&gt;0),"",IF(C636="","Date manquante",IF(NOT(ISNUMBER(C636)),"Date invalide",IF(D636="","Client manquant",IF(ISNA(MATCH(D636,cli_code,0)),"Client inconnu",IF(AC636&lt;SUMPRODUCT(MAX(($AB$6:AB635=AB636)*$AC$6:AC635)),"Date antérieure à la facture précédente",IF(AND(F636&lt;&gt;"",ISNA(MATCH(F636,dv_num,0))),"Devis inconnu",IF(AND(F636&lt;&gt;"",IFERROR(INDEX(dv_client,MATCH(F636,dv_num,0)),D636)&lt;&gt;D636),"Client différent de celui du devis",IF(AG636="","Aucune ligne : saisissez des lignes ou un devis",IF(AND(AI636&lt;&gt;"",COUNTIF($AI$6:AI636,AI636)&gt;1),"Devis déjà repris par une autre facture",IF(AND(AA636="Avoir",M636=""),"Avoir : indiquez la facture d'origine",IF(AND(AA636="Avoir",ISNA(MATCH(M636,fa_num,0))),"Facture d'origine inconnue",IF(AND(AA636&lt;&gt;"Avoir",M636&lt;&gt;""),"« Avoir sur facture » : réservé aux avoirs",IF(AND(L636&lt;&gt;"",AA636&lt;&gt;"Facture"),"Acompte à déduire : réservé aux factures",IF(AND(L636&lt;&gt;"",ISNA(MATCH(L636,fa_num,0))),"Facture d'acompte inconnue",IF(AND(L636&lt;&gt;"",IFERROR(INDEX(fa_type,MATCH(L636,fa_num,0)),"")&lt;&gt;"Facture d'acompte"),"Le n° à déduire n'est pas une facture d'acompte",IF(AND(L636&lt;&gt;"",COUNTIF($L$6:L636,L636)&gt;1),"Acompte déjà déduit sur une autre facture",IF(AND(L636&lt;&gt;"",IFERROR(INDEX(fa_client,MATCH(L636,fa_num,0)),D636)&lt;&gt;D636),"Acompte d'un autre client",IF(AND(AR636&lt;&gt;"",N(Q636)&lt;0),"Acompte supérieur au total de la facture",IF(IF(AG636="Facture",COUNTIFS(fl_doc,A636,fl_check,"&lt;&gt;OK"),IF(AG636="Devis",COUNTIFS(dl_doc,F636,dl_check,"&lt;&gt;OK"),0))&gt;0,"Ligne(s) à corriger",IF(AND(W636&lt;&gt;"",N(W636)&lt;0),"Trop-perçu : vérifiez paiements et avoirs","OK")))))))))))))))))))))</f>
        <v/>
      </c>
      <c r="AA636" s="62" t="str">
        <f>IF(COUNTA(B636:D636,F636:O636)&gt;0,IF(B636="","Facture",B636),"")</f>
        <v/>
      </c>
      <c r="AB636" s="62" t="str">
        <f>IF(AA636="","",IF(AA636="Avoir",p_pav,IF(AA636="Facture d'acompte",p_pac,p_pfa)))</f>
        <v/>
      </c>
      <c r="AC636" s="62">
        <f>IF(ISNUMBER(C636),C636,0)</f>
        <v>0.0</v>
      </c>
      <c r="AD636" s="62" t="str">
        <f>IF(OR(AA636="",AC636=0),"",YEAR(AC636))</f>
        <v/>
      </c>
      <c r="AE636" s="62" t="str">
        <f>IF(AD636="","",COUNTIFS($AB$6:AB636,AB636,$AD$6:AD636,AD636))</f>
        <v/>
      </c>
      <c r="AF636" s="62">
        <f>IF(A636="",0,COUNTIF(fl_doc,A636))</f>
        <v>0.0</v>
      </c>
      <c r="AG636" s="62" t="str">
        <f>IF(A636="","",IF(AF636&gt;0,"Facture",IF(AND(F636&lt;&gt;"",AA636="Facture",ISNUMBER(MATCH(F636,dv_num,0))),"Devis","")))</f>
        <v/>
      </c>
      <c r="AH636" s="62" t="str">
        <f>IF(AND(A636&lt;&gt;"",F636&lt;&gt;"",AA636&lt;&gt;"Avoir"),F636,"")</f>
        <v/>
      </c>
      <c r="AI636" s="62" t="str">
        <f>IF(AG636="Devis",F636,"")</f>
        <v/>
      </c>
      <c r="AJ636" s="62">
        <f>IF(AG636="Facture",SUMIF(fl_doc,A636,fl_ht),IF(AG636="Devis",SUMIF(dl_doc,F636,dl_ht),0))</f>
        <v>0.0</v>
      </c>
      <c r="AK636" s="62">
        <f>IF(OR(AG636="",INDEX(p_rates,1)=""),0,IF(AG636="Facture",SUMIFS(fl_ht,fl_doc,A636,fl_rate,INDEX(p_rates,1)),SUMIFS(dl_ht,dl_doc,F636,dl_rate,INDEX(p_rates,1))))</f>
        <v>0.0</v>
      </c>
      <c r="AL636" s="62">
        <f>IF(OR(AG636="",INDEX(p_rates,2)=""),0,IF(AG636="Facture",SUMIFS(fl_ht,fl_doc,A636,fl_rate,INDEX(p_rates,2)),SUMIFS(dl_ht,dl_doc,F636,dl_rate,INDEX(p_rates,2))))</f>
        <v>0.0</v>
      </c>
      <c r="AM636" s="62">
        <f>IF(OR(AG636="",INDEX(p_rates,3)=""),0,IF(AG636="Facture",SUMIFS(fl_ht,fl_doc,A636,fl_rate,INDEX(p_rates,3)),SUMIFS(dl_ht,dl_doc,F636,dl_rate,INDEX(p_rates,3))))</f>
        <v>0.0</v>
      </c>
      <c r="AN636" s="62">
        <f>IF(OR(AG636="",INDEX(p_rates,4)=""),0,IF(AG636="Facture",SUMIFS(fl_ht,fl_doc,A636,fl_rate,INDEX(p_rates,4)),SUMIFS(dl_ht,dl_doc,F636,dl_rate,INDEX(p_rates,4))))</f>
        <v>0.0</v>
      </c>
      <c r="AO636" s="62">
        <f>IF(OR(AG636="",INDEX(p_rates,5)=""),0,IF(AG636="Facture",SUMIFS(fl_ht,fl_doc,A636,fl_rate,INDEX(p_rates,5)),SUMIFS(dl_ht,dl_doc,F636,dl_rate,INDEX(p_rates,5))))</f>
        <v>0.0</v>
      </c>
      <c r="AP636" s="62">
        <f>IF(OR(AG636="",INDEX(p_rates,6)=""),0,IF(AG636="Facture",SUMIFS(fl_ht,fl_doc,A636,fl_rate,INDEX(p_rates,6)),SUMIFS(dl_ht,dl_doc,F636,dl_rate,INDEX(p_rates,6))))</f>
        <v>0.0</v>
      </c>
      <c r="AQ636" s="62">
        <f>ROUND(AK636*N(INDEX(p_rates,1)),2)+ROUND(AL636*N(INDEX(p_rates,2)),2)+ROUND(AM636*N(INDEX(p_rates,3)),2)+ROUND(AN636*N(INDEX(p_rates,4)),2)+ROUND(AO636*N(INDEX(p_rates,5)),2)+ROUND(AP636*N(INDEX(p_rates,6)),2)</f>
        <v>0.0</v>
      </c>
      <c r="AR636" s="62" t="str">
        <f>IF(OR(L636="",AA636&lt;&gt;"Facture"),"",IFERROR(IF(INDEX(fa_type,MATCH(L636,fa_num,0))="Facture d'acompte",MATCH(L636,fa_num,0),""),""))</f>
        <v/>
      </c>
      <c r="AS636" s="62" t="str">
        <f>IF(W636="","",IF(W636&lt;=0,"",IF(p_asof-P636&lt;=0,"Non échu",IF(p_asof-P636&lt;=30,"1-30 j",IF(p_asof-P636&lt;=60,"31-60 j",IF(p_asof-P636&lt;=90,"61-90 j","Plus de 90 j"))))))</f>
        <v/>
      </c>
      <c r="AT636" s="62" t="str">
        <f>IF(AS636="","",p_asof-P636)</f>
        <v/>
      </c>
      <c r="AU636" s="62" t="str">
        <f>IF(AT636="","",COUNTIF($AT$6:$AT$805,"&gt;"&amp;AT636)+COUNTIF($AT$6:AT636,AT636))</f>
        <v/>
      </c>
    </row>
    <row r="637">
      <c r="A637" s="59" t="str">
        <f>IF(AE637="","",AB637&amp;"-"&amp;AD637&amp;"-"&amp;RIGHT("000"&amp;AE637,4))</f>
        <v/>
      </c>
      <c r="B637" s="60" t="n"/>
      <c r="C637" s="61" t="n"/>
      <c r="D637" s="60" t="n"/>
      <c r="E637" s="62" t="str">
        <f>IF(D637="","",IFERROR(INDEX(cli_name,MATCH(D637,cli_code,0))&amp;"","Client inconnu"))</f>
        <v/>
      </c>
      <c r="F637" s="60" t="n"/>
      <c r="G637" s="63" t="n"/>
      <c r="H637" s="61" t="n"/>
      <c r="I637" s="63" t="n"/>
      <c r="J637" s="60" t="n"/>
      <c r="K637" s="61" t="n"/>
      <c r="L637" s="60" t="n"/>
      <c r="M637" s="60" t="n"/>
      <c r="N637" s="60" t="n"/>
      <c r="O637" s="61" t="n"/>
      <c r="P637" s="64" t="str">
        <f>IF(A637="","",IF(AA637="Avoir",AC637,IF(ISNUMBER(K637),K637,AC637+IF(D637="",N(p_delay),IFERROR(IF(ISNUMBER(INDEX(cli_delay,MATCH(D637,cli_code,0))),INDEX(cli_delay,MATCH(D637,cli_code,0)),N(p_delay)),N(p_delay))))))</f>
        <v/>
      </c>
      <c r="Q637" s="65" t="str">
        <f>IF(A637="","",IF(AA637="Avoir",-1,1)*ROUND(AJ637-IF(AR637="",0,INDEX(fa_htb,AR637)),2))</f>
        <v/>
      </c>
      <c r="R637" s="65" t="str">
        <f>IF(A637="","",IF(AA637="Avoir",-1,1)*ROUND(AQ637-IF(AR637="",0,INDEX(fa_tvab,AR637)),2))</f>
        <v/>
      </c>
      <c r="S637" s="65" t="str">
        <f>IF(A637="","",Q637+R637)</f>
        <v/>
      </c>
      <c r="T637" s="65" t="str">
        <f>IF(AR637="","",INDEX(fa_htb,AR637)+INDEX(fa_tvab,AR637))</f>
        <v/>
      </c>
      <c r="U637" s="65" t="str">
        <f>IF(A637="","",SUMIF(pa_inv,A637,pa_amt))</f>
        <v/>
      </c>
      <c r="V637" s="65" t="str">
        <f>IF(OR(A637="",AA637="Avoir"),"",-SUMIFS(fa_ttc,fa_avof,A637,fa_type,"Avoir"))</f>
        <v/>
      </c>
      <c r="W637" s="65" t="str">
        <f>IF(OR(A637="",AA637="Avoir"),"",ROUND(S637-U637-V637,2))</f>
        <v/>
      </c>
      <c r="X637" s="66" t="str">
        <f>IF(W637="","",IF(AND(W637&gt;0,p_asof&gt;P637),p_asof-P637,""))</f>
        <v/>
      </c>
      <c r="Y637" s="59" t="str">
        <f>IF(A637="","",IF(AA637="Avoir","Avoir",IF(W637&lt;0,"Trop-perçu",IF(W637=0,"Soldée",IF(p_asof&gt;P637,"En retard",IF(U637+V637&gt;0,"Partielle","À échoir"))))))</f>
        <v/>
      </c>
      <c r="Z637" s="59" t="str">
        <f>IF(NOT(COUNTA(B637:D637,F637:O637)&gt;0),"",IF(C637="","Date manquante",IF(NOT(ISNUMBER(C637)),"Date invalide",IF(D637="","Client manquant",IF(ISNA(MATCH(D637,cli_code,0)),"Client inconnu",IF(AC637&lt;SUMPRODUCT(MAX(($AB$6:AB636=AB637)*$AC$6:AC636)),"Date antérieure à la facture précédente",IF(AND(F637&lt;&gt;"",ISNA(MATCH(F637,dv_num,0))),"Devis inconnu",IF(AND(F637&lt;&gt;"",IFERROR(INDEX(dv_client,MATCH(F637,dv_num,0)),D637)&lt;&gt;D637),"Client différent de celui du devis",IF(AG637="","Aucune ligne : saisissez des lignes ou un devis",IF(AND(AI637&lt;&gt;"",COUNTIF($AI$6:AI637,AI637)&gt;1),"Devis déjà repris par une autre facture",IF(AND(AA637="Avoir",M637=""),"Avoir : indiquez la facture d'origine",IF(AND(AA637="Avoir",ISNA(MATCH(M637,fa_num,0))),"Facture d'origine inconnue",IF(AND(AA637&lt;&gt;"Avoir",M637&lt;&gt;""),"« Avoir sur facture » : réservé aux avoirs",IF(AND(L637&lt;&gt;"",AA637&lt;&gt;"Facture"),"Acompte à déduire : réservé aux factures",IF(AND(L637&lt;&gt;"",ISNA(MATCH(L637,fa_num,0))),"Facture d'acompte inconnue",IF(AND(L637&lt;&gt;"",IFERROR(INDEX(fa_type,MATCH(L637,fa_num,0)),"")&lt;&gt;"Facture d'acompte"),"Le n° à déduire n'est pas une facture d'acompte",IF(AND(L637&lt;&gt;"",COUNTIF($L$6:L637,L637)&gt;1),"Acompte déjà déduit sur une autre facture",IF(AND(L637&lt;&gt;"",IFERROR(INDEX(fa_client,MATCH(L637,fa_num,0)),D637)&lt;&gt;D637),"Acompte d'un autre client",IF(AND(AR637&lt;&gt;"",N(Q637)&lt;0),"Acompte supérieur au total de la facture",IF(IF(AG637="Facture",COUNTIFS(fl_doc,A637,fl_check,"&lt;&gt;OK"),IF(AG637="Devis",COUNTIFS(dl_doc,F637,dl_check,"&lt;&gt;OK"),0))&gt;0,"Ligne(s) à corriger",IF(AND(W637&lt;&gt;"",N(W637)&lt;0),"Trop-perçu : vérifiez paiements et avoirs","OK")))))))))))))))))))))</f>
        <v/>
      </c>
      <c r="AA637" s="62" t="str">
        <f>IF(COUNTA(B637:D637,F637:O637)&gt;0,IF(B637="","Facture",B637),"")</f>
        <v/>
      </c>
      <c r="AB637" s="62" t="str">
        <f>IF(AA637="","",IF(AA637="Avoir",p_pav,IF(AA637="Facture d'acompte",p_pac,p_pfa)))</f>
        <v/>
      </c>
      <c r="AC637" s="62">
        <f>IF(ISNUMBER(C637),C637,0)</f>
        <v>0.0</v>
      </c>
      <c r="AD637" s="62" t="str">
        <f>IF(OR(AA637="",AC637=0),"",YEAR(AC637))</f>
        <v/>
      </c>
      <c r="AE637" s="62" t="str">
        <f>IF(AD637="","",COUNTIFS($AB$6:AB637,AB637,$AD$6:AD637,AD637))</f>
        <v/>
      </c>
      <c r="AF637" s="62">
        <f>IF(A637="",0,COUNTIF(fl_doc,A637))</f>
        <v>0.0</v>
      </c>
      <c r="AG637" s="62" t="str">
        <f>IF(A637="","",IF(AF637&gt;0,"Facture",IF(AND(F637&lt;&gt;"",AA637="Facture",ISNUMBER(MATCH(F637,dv_num,0))),"Devis","")))</f>
        <v/>
      </c>
      <c r="AH637" s="62" t="str">
        <f>IF(AND(A637&lt;&gt;"",F637&lt;&gt;"",AA637&lt;&gt;"Avoir"),F637,"")</f>
        <v/>
      </c>
      <c r="AI637" s="62" t="str">
        <f>IF(AG637="Devis",F637,"")</f>
        <v/>
      </c>
      <c r="AJ637" s="62">
        <f>IF(AG637="Facture",SUMIF(fl_doc,A637,fl_ht),IF(AG637="Devis",SUMIF(dl_doc,F637,dl_ht),0))</f>
        <v>0.0</v>
      </c>
      <c r="AK637" s="62">
        <f>IF(OR(AG637="",INDEX(p_rates,1)=""),0,IF(AG637="Facture",SUMIFS(fl_ht,fl_doc,A637,fl_rate,INDEX(p_rates,1)),SUMIFS(dl_ht,dl_doc,F637,dl_rate,INDEX(p_rates,1))))</f>
        <v>0.0</v>
      </c>
      <c r="AL637" s="62">
        <f>IF(OR(AG637="",INDEX(p_rates,2)=""),0,IF(AG637="Facture",SUMIFS(fl_ht,fl_doc,A637,fl_rate,INDEX(p_rates,2)),SUMIFS(dl_ht,dl_doc,F637,dl_rate,INDEX(p_rates,2))))</f>
        <v>0.0</v>
      </c>
      <c r="AM637" s="62">
        <f>IF(OR(AG637="",INDEX(p_rates,3)=""),0,IF(AG637="Facture",SUMIFS(fl_ht,fl_doc,A637,fl_rate,INDEX(p_rates,3)),SUMIFS(dl_ht,dl_doc,F637,dl_rate,INDEX(p_rates,3))))</f>
        <v>0.0</v>
      </c>
      <c r="AN637" s="62">
        <f>IF(OR(AG637="",INDEX(p_rates,4)=""),0,IF(AG637="Facture",SUMIFS(fl_ht,fl_doc,A637,fl_rate,INDEX(p_rates,4)),SUMIFS(dl_ht,dl_doc,F637,dl_rate,INDEX(p_rates,4))))</f>
        <v>0.0</v>
      </c>
      <c r="AO637" s="62">
        <f>IF(OR(AG637="",INDEX(p_rates,5)=""),0,IF(AG637="Facture",SUMIFS(fl_ht,fl_doc,A637,fl_rate,INDEX(p_rates,5)),SUMIFS(dl_ht,dl_doc,F637,dl_rate,INDEX(p_rates,5))))</f>
        <v>0.0</v>
      </c>
      <c r="AP637" s="62">
        <f>IF(OR(AG637="",INDEX(p_rates,6)=""),0,IF(AG637="Facture",SUMIFS(fl_ht,fl_doc,A637,fl_rate,INDEX(p_rates,6)),SUMIFS(dl_ht,dl_doc,F637,dl_rate,INDEX(p_rates,6))))</f>
        <v>0.0</v>
      </c>
      <c r="AQ637" s="62">
        <f>ROUND(AK637*N(INDEX(p_rates,1)),2)+ROUND(AL637*N(INDEX(p_rates,2)),2)+ROUND(AM637*N(INDEX(p_rates,3)),2)+ROUND(AN637*N(INDEX(p_rates,4)),2)+ROUND(AO637*N(INDEX(p_rates,5)),2)+ROUND(AP637*N(INDEX(p_rates,6)),2)</f>
        <v>0.0</v>
      </c>
      <c r="AR637" s="62" t="str">
        <f>IF(OR(L637="",AA637&lt;&gt;"Facture"),"",IFERROR(IF(INDEX(fa_type,MATCH(L637,fa_num,0))="Facture d'acompte",MATCH(L637,fa_num,0),""),""))</f>
        <v/>
      </c>
      <c r="AS637" s="62" t="str">
        <f>IF(W637="","",IF(W637&lt;=0,"",IF(p_asof-P637&lt;=0,"Non échu",IF(p_asof-P637&lt;=30,"1-30 j",IF(p_asof-P637&lt;=60,"31-60 j",IF(p_asof-P637&lt;=90,"61-90 j","Plus de 90 j"))))))</f>
        <v/>
      </c>
      <c r="AT637" s="62" t="str">
        <f>IF(AS637="","",p_asof-P637)</f>
        <v/>
      </c>
      <c r="AU637" s="62" t="str">
        <f>IF(AT637="","",COUNTIF($AT$6:$AT$805,"&gt;"&amp;AT637)+COUNTIF($AT$6:AT637,AT637))</f>
        <v/>
      </c>
    </row>
    <row r="638">
      <c r="A638" s="59" t="str">
        <f>IF(AE638="","",AB638&amp;"-"&amp;AD638&amp;"-"&amp;RIGHT("000"&amp;AE638,4))</f>
        <v/>
      </c>
      <c r="B638" s="60" t="n"/>
      <c r="C638" s="61" t="n"/>
      <c r="D638" s="60" t="n"/>
      <c r="E638" s="62" t="str">
        <f>IF(D638="","",IFERROR(INDEX(cli_name,MATCH(D638,cli_code,0))&amp;"","Client inconnu"))</f>
        <v/>
      </c>
      <c r="F638" s="60" t="n"/>
      <c r="G638" s="63" t="n"/>
      <c r="H638" s="61" t="n"/>
      <c r="I638" s="63" t="n"/>
      <c r="J638" s="60" t="n"/>
      <c r="K638" s="61" t="n"/>
      <c r="L638" s="60" t="n"/>
      <c r="M638" s="60" t="n"/>
      <c r="N638" s="60" t="n"/>
      <c r="O638" s="61" t="n"/>
      <c r="P638" s="64" t="str">
        <f>IF(A638="","",IF(AA638="Avoir",AC638,IF(ISNUMBER(K638),K638,AC638+IF(D638="",N(p_delay),IFERROR(IF(ISNUMBER(INDEX(cli_delay,MATCH(D638,cli_code,0))),INDEX(cli_delay,MATCH(D638,cli_code,0)),N(p_delay)),N(p_delay))))))</f>
        <v/>
      </c>
      <c r="Q638" s="65" t="str">
        <f>IF(A638="","",IF(AA638="Avoir",-1,1)*ROUND(AJ638-IF(AR638="",0,INDEX(fa_htb,AR638)),2))</f>
        <v/>
      </c>
      <c r="R638" s="65" t="str">
        <f>IF(A638="","",IF(AA638="Avoir",-1,1)*ROUND(AQ638-IF(AR638="",0,INDEX(fa_tvab,AR638)),2))</f>
        <v/>
      </c>
      <c r="S638" s="65" t="str">
        <f>IF(A638="","",Q638+R638)</f>
        <v/>
      </c>
      <c r="T638" s="65" t="str">
        <f>IF(AR638="","",INDEX(fa_htb,AR638)+INDEX(fa_tvab,AR638))</f>
        <v/>
      </c>
      <c r="U638" s="65" t="str">
        <f>IF(A638="","",SUMIF(pa_inv,A638,pa_amt))</f>
        <v/>
      </c>
      <c r="V638" s="65" t="str">
        <f>IF(OR(A638="",AA638="Avoir"),"",-SUMIFS(fa_ttc,fa_avof,A638,fa_type,"Avoir"))</f>
        <v/>
      </c>
      <c r="W638" s="65" t="str">
        <f>IF(OR(A638="",AA638="Avoir"),"",ROUND(S638-U638-V638,2))</f>
        <v/>
      </c>
      <c r="X638" s="66" t="str">
        <f>IF(W638="","",IF(AND(W638&gt;0,p_asof&gt;P638),p_asof-P638,""))</f>
        <v/>
      </c>
      <c r="Y638" s="59" t="str">
        <f>IF(A638="","",IF(AA638="Avoir","Avoir",IF(W638&lt;0,"Trop-perçu",IF(W638=0,"Soldée",IF(p_asof&gt;P638,"En retard",IF(U638+V638&gt;0,"Partielle","À échoir"))))))</f>
        <v/>
      </c>
      <c r="Z638" s="59" t="str">
        <f>IF(NOT(COUNTA(B638:D638,F638:O638)&gt;0),"",IF(C638="","Date manquante",IF(NOT(ISNUMBER(C638)),"Date invalide",IF(D638="","Client manquant",IF(ISNA(MATCH(D638,cli_code,0)),"Client inconnu",IF(AC638&lt;SUMPRODUCT(MAX(($AB$6:AB637=AB638)*$AC$6:AC637)),"Date antérieure à la facture précédente",IF(AND(F638&lt;&gt;"",ISNA(MATCH(F638,dv_num,0))),"Devis inconnu",IF(AND(F638&lt;&gt;"",IFERROR(INDEX(dv_client,MATCH(F638,dv_num,0)),D638)&lt;&gt;D638),"Client différent de celui du devis",IF(AG638="","Aucune ligne : saisissez des lignes ou un devis",IF(AND(AI638&lt;&gt;"",COUNTIF($AI$6:AI638,AI638)&gt;1),"Devis déjà repris par une autre facture",IF(AND(AA638="Avoir",M638=""),"Avoir : indiquez la facture d'origine",IF(AND(AA638="Avoir",ISNA(MATCH(M638,fa_num,0))),"Facture d'origine inconnue",IF(AND(AA638&lt;&gt;"Avoir",M638&lt;&gt;""),"« Avoir sur facture » : réservé aux avoirs",IF(AND(L638&lt;&gt;"",AA638&lt;&gt;"Facture"),"Acompte à déduire : réservé aux factures",IF(AND(L638&lt;&gt;"",ISNA(MATCH(L638,fa_num,0))),"Facture d'acompte inconnue",IF(AND(L638&lt;&gt;"",IFERROR(INDEX(fa_type,MATCH(L638,fa_num,0)),"")&lt;&gt;"Facture d'acompte"),"Le n° à déduire n'est pas une facture d'acompte",IF(AND(L638&lt;&gt;"",COUNTIF($L$6:L638,L638)&gt;1),"Acompte déjà déduit sur une autre facture",IF(AND(L638&lt;&gt;"",IFERROR(INDEX(fa_client,MATCH(L638,fa_num,0)),D638)&lt;&gt;D638),"Acompte d'un autre client",IF(AND(AR638&lt;&gt;"",N(Q638)&lt;0),"Acompte supérieur au total de la facture",IF(IF(AG638="Facture",COUNTIFS(fl_doc,A638,fl_check,"&lt;&gt;OK"),IF(AG638="Devis",COUNTIFS(dl_doc,F638,dl_check,"&lt;&gt;OK"),0))&gt;0,"Ligne(s) à corriger",IF(AND(W638&lt;&gt;"",N(W638)&lt;0),"Trop-perçu : vérifiez paiements et avoirs","OK")))))))))))))))))))))</f>
        <v/>
      </c>
      <c r="AA638" s="62" t="str">
        <f>IF(COUNTA(B638:D638,F638:O638)&gt;0,IF(B638="","Facture",B638),"")</f>
        <v/>
      </c>
      <c r="AB638" s="62" t="str">
        <f>IF(AA638="","",IF(AA638="Avoir",p_pav,IF(AA638="Facture d'acompte",p_pac,p_pfa)))</f>
        <v/>
      </c>
      <c r="AC638" s="62">
        <f>IF(ISNUMBER(C638),C638,0)</f>
        <v>0.0</v>
      </c>
      <c r="AD638" s="62" t="str">
        <f>IF(OR(AA638="",AC638=0),"",YEAR(AC638))</f>
        <v/>
      </c>
      <c r="AE638" s="62" t="str">
        <f>IF(AD638="","",COUNTIFS($AB$6:AB638,AB638,$AD$6:AD638,AD638))</f>
        <v/>
      </c>
      <c r="AF638" s="62">
        <f>IF(A638="",0,COUNTIF(fl_doc,A638))</f>
        <v>0.0</v>
      </c>
      <c r="AG638" s="62" t="str">
        <f>IF(A638="","",IF(AF638&gt;0,"Facture",IF(AND(F638&lt;&gt;"",AA638="Facture",ISNUMBER(MATCH(F638,dv_num,0))),"Devis","")))</f>
        <v/>
      </c>
      <c r="AH638" s="62" t="str">
        <f>IF(AND(A638&lt;&gt;"",F638&lt;&gt;"",AA638&lt;&gt;"Avoir"),F638,"")</f>
        <v/>
      </c>
      <c r="AI638" s="62" t="str">
        <f>IF(AG638="Devis",F638,"")</f>
        <v/>
      </c>
      <c r="AJ638" s="62">
        <f>IF(AG638="Facture",SUMIF(fl_doc,A638,fl_ht),IF(AG638="Devis",SUMIF(dl_doc,F638,dl_ht),0))</f>
        <v>0.0</v>
      </c>
      <c r="AK638" s="62">
        <f>IF(OR(AG638="",INDEX(p_rates,1)=""),0,IF(AG638="Facture",SUMIFS(fl_ht,fl_doc,A638,fl_rate,INDEX(p_rates,1)),SUMIFS(dl_ht,dl_doc,F638,dl_rate,INDEX(p_rates,1))))</f>
        <v>0.0</v>
      </c>
      <c r="AL638" s="62">
        <f>IF(OR(AG638="",INDEX(p_rates,2)=""),0,IF(AG638="Facture",SUMIFS(fl_ht,fl_doc,A638,fl_rate,INDEX(p_rates,2)),SUMIFS(dl_ht,dl_doc,F638,dl_rate,INDEX(p_rates,2))))</f>
        <v>0.0</v>
      </c>
      <c r="AM638" s="62">
        <f>IF(OR(AG638="",INDEX(p_rates,3)=""),0,IF(AG638="Facture",SUMIFS(fl_ht,fl_doc,A638,fl_rate,INDEX(p_rates,3)),SUMIFS(dl_ht,dl_doc,F638,dl_rate,INDEX(p_rates,3))))</f>
        <v>0.0</v>
      </c>
      <c r="AN638" s="62">
        <f>IF(OR(AG638="",INDEX(p_rates,4)=""),0,IF(AG638="Facture",SUMIFS(fl_ht,fl_doc,A638,fl_rate,INDEX(p_rates,4)),SUMIFS(dl_ht,dl_doc,F638,dl_rate,INDEX(p_rates,4))))</f>
        <v>0.0</v>
      </c>
      <c r="AO638" s="62">
        <f>IF(OR(AG638="",INDEX(p_rates,5)=""),0,IF(AG638="Facture",SUMIFS(fl_ht,fl_doc,A638,fl_rate,INDEX(p_rates,5)),SUMIFS(dl_ht,dl_doc,F638,dl_rate,INDEX(p_rates,5))))</f>
        <v>0.0</v>
      </c>
      <c r="AP638" s="62">
        <f>IF(OR(AG638="",INDEX(p_rates,6)=""),0,IF(AG638="Facture",SUMIFS(fl_ht,fl_doc,A638,fl_rate,INDEX(p_rates,6)),SUMIFS(dl_ht,dl_doc,F638,dl_rate,INDEX(p_rates,6))))</f>
        <v>0.0</v>
      </c>
      <c r="AQ638" s="62">
        <f>ROUND(AK638*N(INDEX(p_rates,1)),2)+ROUND(AL638*N(INDEX(p_rates,2)),2)+ROUND(AM638*N(INDEX(p_rates,3)),2)+ROUND(AN638*N(INDEX(p_rates,4)),2)+ROUND(AO638*N(INDEX(p_rates,5)),2)+ROUND(AP638*N(INDEX(p_rates,6)),2)</f>
        <v>0.0</v>
      </c>
      <c r="AR638" s="62" t="str">
        <f>IF(OR(L638="",AA638&lt;&gt;"Facture"),"",IFERROR(IF(INDEX(fa_type,MATCH(L638,fa_num,0))="Facture d'acompte",MATCH(L638,fa_num,0),""),""))</f>
        <v/>
      </c>
      <c r="AS638" s="62" t="str">
        <f>IF(W638="","",IF(W638&lt;=0,"",IF(p_asof-P638&lt;=0,"Non échu",IF(p_asof-P638&lt;=30,"1-30 j",IF(p_asof-P638&lt;=60,"31-60 j",IF(p_asof-P638&lt;=90,"61-90 j","Plus de 90 j"))))))</f>
        <v/>
      </c>
      <c r="AT638" s="62" t="str">
        <f>IF(AS638="","",p_asof-P638)</f>
        <v/>
      </c>
      <c r="AU638" s="62" t="str">
        <f>IF(AT638="","",COUNTIF($AT$6:$AT$805,"&gt;"&amp;AT638)+COUNTIF($AT$6:AT638,AT638))</f>
        <v/>
      </c>
    </row>
    <row r="639">
      <c r="A639" s="59" t="str">
        <f>IF(AE639="","",AB639&amp;"-"&amp;AD639&amp;"-"&amp;RIGHT("000"&amp;AE639,4))</f>
        <v/>
      </c>
      <c r="B639" s="60" t="n"/>
      <c r="C639" s="61" t="n"/>
      <c r="D639" s="60" t="n"/>
      <c r="E639" s="62" t="str">
        <f>IF(D639="","",IFERROR(INDEX(cli_name,MATCH(D639,cli_code,0))&amp;"","Client inconnu"))</f>
        <v/>
      </c>
      <c r="F639" s="60" t="n"/>
      <c r="G639" s="63" t="n"/>
      <c r="H639" s="61" t="n"/>
      <c r="I639" s="63" t="n"/>
      <c r="J639" s="60" t="n"/>
      <c r="K639" s="61" t="n"/>
      <c r="L639" s="60" t="n"/>
      <c r="M639" s="60" t="n"/>
      <c r="N639" s="60" t="n"/>
      <c r="O639" s="61" t="n"/>
      <c r="P639" s="64" t="str">
        <f>IF(A639="","",IF(AA639="Avoir",AC639,IF(ISNUMBER(K639),K639,AC639+IF(D639="",N(p_delay),IFERROR(IF(ISNUMBER(INDEX(cli_delay,MATCH(D639,cli_code,0))),INDEX(cli_delay,MATCH(D639,cli_code,0)),N(p_delay)),N(p_delay))))))</f>
        <v/>
      </c>
      <c r="Q639" s="65" t="str">
        <f>IF(A639="","",IF(AA639="Avoir",-1,1)*ROUND(AJ639-IF(AR639="",0,INDEX(fa_htb,AR639)),2))</f>
        <v/>
      </c>
      <c r="R639" s="65" t="str">
        <f>IF(A639="","",IF(AA639="Avoir",-1,1)*ROUND(AQ639-IF(AR639="",0,INDEX(fa_tvab,AR639)),2))</f>
        <v/>
      </c>
      <c r="S639" s="65" t="str">
        <f>IF(A639="","",Q639+R639)</f>
        <v/>
      </c>
      <c r="T639" s="65" t="str">
        <f>IF(AR639="","",INDEX(fa_htb,AR639)+INDEX(fa_tvab,AR639))</f>
        <v/>
      </c>
      <c r="U639" s="65" t="str">
        <f>IF(A639="","",SUMIF(pa_inv,A639,pa_amt))</f>
        <v/>
      </c>
      <c r="V639" s="65" t="str">
        <f>IF(OR(A639="",AA639="Avoir"),"",-SUMIFS(fa_ttc,fa_avof,A639,fa_type,"Avoir"))</f>
        <v/>
      </c>
      <c r="W639" s="65" t="str">
        <f>IF(OR(A639="",AA639="Avoir"),"",ROUND(S639-U639-V639,2))</f>
        <v/>
      </c>
      <c r="X639" s="66" t="str">
        <f>IF(W639="","",IF(AND(W639&gt;0,p_asof&gt;P639),p_asof-P639,""))</f>
        <v/>
      </c>
      <c r="Y639" s="59" t="str">
        <f>IF(A639="","",IF(AA639="Avoir","Avoir",IF(W639&lt;0,"Trop-perçu",IF(W639=0,"Soldée",IF(p_asof&gt;P639,"En retard",IF(U639+V639&gt;0,"Partielle","À échoir"))))))</f>
        <v/>
      </c>
      <c r="Z639" s="59" t="str">
        <f>IF(NOT(COUNTA(B639:D639,F639:O639)&gt;0),"",IF(C639="","Date manquante",IF(NOT(ISNUMBER(C639)),"Date invalide",IF(D639="","Client manquant",IF(ISNA(MATCH(D639,cli_code,0)),"Client inconnu",IF(AC639&lt;SUMPRODUCT(MAX(($AB$6:AB638=AB639)*$AC$6:AC638)),"Date antérieure à la facture précédente",IF(AND(F639&lt;&gt;"",ISNA(MATCH(F639,dv_num,0))),"Devis inconnu",IF(AND(F639&lt;&gt;"",IFERROR(INDEX(dv_client,MATCH(F639,dv_num,0)),D639)&lt;&gt;D639),"Client différent de celui du devis",IF(AG639="","Aucune ligne : saisissez des lignes ou un devis",IF(AND(AI639&lt;&gt;"",COUNTIF($AI$6:AI639,AI639)&gt;1),"Devis déjà repris par une autre facture",IF(AND(AA639="Avoir",M639=""),"Avoir : indiquez la facture d'origine",IF(AND(AA639="Avoir",ISNA(MATCH(M639,fa_num,0))),"Facture d'origine inconnue",IF(AND(AA639&lt;&gt;"Avoir",M639&lt;&gt;""),"« Avoir sur facture » : réservé aux avoirs",IF(AND(L639&lt;&gt;"",AA639&lt;&gt;"Facture"),"Acompte à déduire : réservé aux factures",IF(AND(L639&lt;&gt;"",ISNA(MATCH(L639,fa_num,0))),"Facture d'acompte inconnue",IF(AND(L639&lt;&gt;"",IFERROR(INDEX(fa_type,MATCH(L639,fa_num,0)),"")&lt;&gt;"Facture d'acompte"),"Le n° à déduire n'est pas une facture d'acompte",IF(AND(L639&lt;&gt;"",COUNTIF($L$6:L639,L639)&gt;1),"Acompte déjà déduit sur une autre facture",IF(AND(L639&lt;&gt;"",IFERROR(INDEX(fa_client,MATCH(L639,fa_num,0)),D639)&lt;&gt;D639),"Acompte d'un autre client",IF(AND(AR639&lt;&gt;"",N(Q639)&lt;0),"Acompte supérieur au total de la facture",IF(IF(AG639="Facture",COUNTIFS(fl_doc,A639,fl_check,"&lt;&gt;OK"),IF(AG639="Devis",COUNTIFS(dl_doc,F639,dl_check,"&lt;&gt;OK"),0))&gt;0,"Ligne(s) à corriger",IF(AND(W639&lt;&gt;"",N(W639)&lt;0),"Trop-perçu : vérifiez paiements et avoirs","OK")))))))))))))))))))))</f>
        <v/>
      </c>
      <c r="AA639" s="62" t="str">
        <f>IF(COUNTA(B639:D639,F639:O639)&gt;0,IF(B639="","Facture",B639),"")</f>
        <v/>
      </c>
      <c r="AB639" s="62" t="str">
        <f>IF(AA639="","",IF(AA639="Avoir",p_pav,IF(AA639="Facture d'acompte",p_pac,p_pfa)))</f>
        <v/>
      </c>
      <c r="AC639" s="62">
        <f>IF(ISNUMBER(C639),C639,0)</f>
        <v>0.0</v>
      </c>
      <c r="AD639" s="62" t="str">
        <f>IF(OR(AA639="",AC639=0),"",YEAR(AC639))</f>
        <v/>
      </c>
      <c r="AE639" s="62" t="str">
        <f>IF(AD639="","",COUNTIFS($AB$6:AB639,AB639,$AD$6:AD639,AD639))</f>
        <v/>
      </c>
      <c r="AF639" s="62">
        <f>IF(A639="",0,COUNTIF(fl_doc,A639))</f>
        <v>0.0</v>
      </c>
      <c r="AG639" s="62" t="str">
        <f>IF(A639="","",IF(AF639&gt;0,"Facture",IF(AND(F639&lt;&gt;"",AA639="Facture",ISNUMBER(MATCH(F639,dv_num,0))),"Devis","")))</f>
        <v/>
      </c>
      <c r="AH639" s="62" t="str">
        <f>IF(AND(A639&lt;&gt;"",F639&lt;&gt;"",AA639&lt;&gt;"Avoir"),F639,"")</f>
        <v/>
      </c>
      <c r="AI639" s="62" t="str">
        <f>IF(AG639="Devis",F639,"")</f>
        <v/>
      </c>
      <c r="AJ639" s="62">
        <f>IF(AG639="Facture",SUMIF(fl_doc,A639,fl_ht),IF(AG639="Devis",SUMIF(dl_doc,F639,dl_ht),0))</f>
        <v>0.0</v>
      </c>
      <c r="AK639" s="62">
        <f>IF(OR(AG639="",INDEX(p_rates,1)=""),0,IF(AG639="Facture",SUMIFS(fl_ht,fl_doc,A639,fl_rate,INDEX(p_rates,1)),SUMIFS(dl_ht,dl_doc,F639,dl_rate,INDEX(p_rates,1))))</f>
        <v>0.0</v>
      </c>
      <c r="AL639" s="62">
        <f>IF(OR(AG639="",INDEX(p_rates,2)=""),0,IF(AG639="Facture",SUMIFS(fl_ht,fl_doc,A639,fl_rate,INDEX(p_rates,2)),SUMIFS(dl_ht,dl_doc,F639,dl_rate,INDEX(p_rates,2))))</f>
        <v>0.0</v>
      </c>
      <c r="AM639" s="62">
        <f>IF(OR(AG639="",INDEX(p_rates,3)=""),0,IF(AG639="Facture",SUMIFS(fl_ht,fl_doc,A639,fl_rate,INDEX(p_rates,3)),SUMIFS(dl_ht,dl_doc,F639,dl_rate,INDEX(p_rates,3))))</f>
        <v>0.0</v>
      </c>
      <c r="AN639" s="62">
        <f>IF(OR(AG639="",INDEX(p_rates,4)=""),0,IF(AG639="Facture",SUMIFS(fl_ht,fl_doc,A639,fl_rate,INDEX(p_rates,4)),SUMIFS(dl_ht,dl_doc,F639,dl_rate,INDEX(p_rates,4))))</f>
        <v>0.0</v>
      </c>
      <c r="AO639" s="62">
        <f>IF(OR(AG639="",INDEX(p_rates,5)=""),0,IF(AG639="Facture",SUMIFS(fl_ht,fl_doc,A639,fl_rate,INDEX(p_rates,5)),SUMIFS(dl_ht,dl_doc,F639,dl_rate,INDEX(p_rates,5))))</f>
        <v>0.0</v>
      </c>
      <c r="AP639" s="62">
        <f>IF(OR(AG639="",INDEX(p_rates,6)=""),0,IF(AG639="Facture",SUMIFS(fl_ht,fl_doc,A639,fl_rate,INDEX(p_rates,6)),SUMIFS(dl_ht,dl_doc,F639,dl_rate,INDEX(p_rates,6))))</f>
        <v>0.0</v>
      </c>
      <c r="AQ639" s="62">
        <f>ROUND(AK639*N(INDEX(p_rates,1)),2)+ROUND(AL639*N(INDEX(p_rates,2)),2)+ROUND(AM639*N(INDEX(p_rates,3)),2)+ROUND(AN639*N(INDEX(p_rates,4)),2)+ROUND(AO639*N(INDEX(p_rates,5)),2)+ROUND(AP639*N(INDEX(p_rates,6)),2)</f>
        <v>0.0</v>
      </c>
      <c r="AR639" s="62" t="str">
        <f>IF(OR(L639="",AA639&lt;&gt;"Facture"),"",IFERROR(IF(INDEX(fa_type,MATCH(L639,fa_num,0))="Facture d'acompte",MATCH(L639,fa_num,0),""),""))</f>
        <v/>
      </c>
      <c r="AS639" s="62" t="str">
        <f>IF(W639="","",IF(W639&lt;=0,"",IF(p_asof-P639&lt;=0,"Non échu",IF(p_asof-P639&lt;=30,"1-30 j",IF(p_asof-P639&lt;=60,"31-60 j",IF(p_asof-P639&lt;=90,"61-90 j","Plus de 90 j"))))))</f>
        <v/>
      </c>
      <c r="AT639" s="62" t="str">
        <f>IF(AS639="","",p_asof-P639)</f>
        <v/>
      </c>
      <c r="AU639" s="62" t="str">
        <f>IF(AT639="","",COUNTIF($AT$6:$AT$805,"&gt;"&amp;AT639)+COUNTIF($AT$6:AT639,AT639))</f>
        <v/>
      </c>
    </row>
    <row r="640">
      <c r="A640" s="59" t="str">
        <f>IF(AE640="","",AB640&amp;"-"&amp;AD640&amp;"-"&amp;RIGHT("000"&amp;AE640,4))</f>
        <v/>
      </c>
      <c r="B640" s="60" t="n"/>
      <c r="C640" s="61" t="n"/>
      <c r="D640" s="60" t="n"/>
      <c r="E640" s="62" t="str">
        <f>IF(D640="","",IFERROR(INDEX(cli_name,MATCH(D640,cli_code,0))&amp;"","Client inconnu"))</f>
        <v/>
      </c>
      <c r="F640" s="60" t="n"/>
      <c r="G640" s="63" t="n"/>
      <c r="H640" s="61" t="n"/>
      <c r="I640" s="63" t="n"/>
      <c r="J640" s="60" t="n"/>
      <c r="K640" s="61" t="n"/>
      <c r="L640" s="60" t="n"/>
      <c r="M640" s="60" t="n"/>
      <c r="N640" s="60" t="n"/>
      <c r="O640" s="61" t="n"/>
      <c r="P640" s="64" t="str">
        <f>IF(A640="","",IF(AA640="Avoir",AC640,IF(ISNUMBER(K640),K640,AC640+IF(D640="",N(p_delay),IFERROR(IF(ISNUMBER(INDEX(cli_delay,MATCH(D640,cli_code,0))),INDEX(cli_delay,MATCH(D640,cli_code,0)),N(p_delay)),N(p_delay))))))</f>
        <v/>
      </c>
      <c r="Q640" s="65" t="str">
        <f>IF(A640="","",IF(AA640="Avoir",-1,1)*ROUND(AJ640-IF(AR640="",0,INDEX(fa_htb,AR640)),2))</f>
        <v/>
      </c>
      <c r="R640" s="65" t="str">
        <f>IF(A640="","",IF(AA640="Avoir",-1,1)*ROUND(AQ640-IF(AR640="",0,INDEX(fa_tvab,AR640)),2))</f>
        <v/>
      </c>
      <c r="S640" s="65" t="str">
        <f>IF(A640="","",Q640+R640)</f>
        <v/>
      </c>
      <c r="T640" s="65" t="str">
        <f>IF(AR640="","",INDEX(fa_htb,AR640)+INDEX(fa_tvab,AR640))</f>
        <v/>
      </c>
      <c r="U640" s="65" t="str">
        <f>IF(A640="","",SUMIF(pa_inv,A640,pa_amt))</f>
        <v/>
      </c>
      <c r="V640" s="65" t="str">
        <f>IF(OR(A640="",AA640="Avoir"),"",-SUMIFS(fa_ttc,fa_avof,A640,fa_type,"Avoir"))</f>
        <v/>
      </c>
      <c r="W640" s="65" t="str">
        <f>IF(OR(A640="",AA640="Avoir"),"",ROUND(S640-U640-V640,2))</f>
        <v/>
      </c>
      <c r="X640" s="66" t="str">
        <f>IF(W640="","",IF(AND(W640&gt;0,p_asof&gt;P640),p_asof-P640,""))</f>
        <v/>
      </c>
      <c r="Y640" s="59" t="str">
        <f>IF(A640="","",IF(AA640="Avoir","Avoir",IF(W640&lt;0,"Trop-perçu",IF(W640=0,"Soldée",IF(p_asof&gt;P640,"En retard",IF(U640+V640&gt;0,"Partielle","À échoir"))))))</f>
        <v/>
      </c>
      <c r="Z640" s="59" t="str">
        <f>IF(NOT(COUNTA(B640:D640,F640:O640)&gt;0),"",IF(C640="","Date manquante",IF(NOT(ISNUMBER(C640)),"Date invalide",IF(D640="","Client manquant",IF(ISNA(MATCH(D640,cli_code,0)),"Client inconnu",IF(AC640&lt;SUMPRODUCT(MAX(($AB$6:AB639=AB640)*$AC$6:AC639)),"Date antérieure à la facture précédente",IF(AND(F640&lt;&gt;"",ISNA(MATCH(F640,dv_num,0))),"Devis inconnu",IF(AND(F640&lt;&gt;"",IFERROR(INDEX(dv_client,MATCH(F640,dv_num,0)),D640)&lt;&gt;D640),"Client différent de celui du devis",IF(AG640="","Aucune ligne : saisissez des lignes ou un devis",IF(AND(AI640&lt;&gt;"",COUNTIF($AI$6:AI640,AI640)&gt;1),"Devis déjà repris par une autre facture",IF(AND(AA640="Avoir",M640=""),"Avoir : indiquez la facture d'origine",IF(AND(AA640="Avoir",ISNA(MATCH(M640,fa_num,0))),"Facture d'origine inconnue",IF(AND(AA640&lt;&gt;"Avoir",M640&lt;&gt;""),"« Avoir sur facture » : réservé aux avoirs",IF(AND(L640&lt;&gt;"",AA640&lt;&gt;"Facture"),"Acompte à déduire : réservé aux factures",IF(AND(L640&lt;&gt;"",ISNA(MATCH(L640,fa_num,0))),"Facture d'acompte inconnue",IF(AND(L640&lt;&gt;"",IFERROR(INDEX(fa_type,MATCH(L640,fa_num,0)),"")&lt;&gt;"Facture d'acompte"),"Le n° à déduire n'est pas une facture d'acompte",IF(AND(L640&lt;&gt;"",COUNTIF($L$6:L640,L640)&gt;1),"Acompte déjà déduit sur une autre facture",IF(AND(L640&lt;&gt;"",IFERROR(INDEX(fa_client,MATCH(L640,fa_num,0)),D640)&lt;&gt;D640),"Acompte d'un autre client",IF(AND(AR640&lt;&gt;"",N(Q640)&lt;0),"Acompte supérieur au total de la facture",IF(IF(AG640="Facture",COUNTIFS(fl_doc,A640,fl_check,"&lt;&gt;OK"),IF(AG640="Devis",COUNTIFS(dl_doc,F640,dl_check,"&lt;&gt;OK"),0))&gt;0,"Ligne(s) à corriger",IF(AND(W640&lt;&gt;"",N(W640)&lt;0),"Trop-perçu : vérifiez paiements et avoirs","OK")))))))))))))))))))))</f>
        <v/>
      </c>
      <c r="AA640" s="62" t="str">
        <f>IF(COUNTA(B640:D640,F640:O640)&gt;0,IF(B640="","Facture",B640),"")</f>
        <v/>
      </c>
      <c r="AB640" s="62" t="str">
        <f>IF(AA640="","",IF(AA640="Avoir",p_pav,IF(AA640="Facture d'acompte",p_pac,p_pfa)))</f>
        <v/>
      </c>
      <c r="AC640" s="62">
        <f>IF(ISNUMBER(C640),C640,0)</f>
        <v>0.0</v>
      </c>
      <c r="AD640" s="62" t="str">
        <f>IF(OR(AA640="",AC640=0),"",YEAR(AC640))</f>
        <v/>
      </c>
      <c r="AE640" s="62" t="str">
        <f>IF(AD640="","",COUNTIFS($AB$6:AB640,AB640,$AD$6:AD640,AD640))</f>
        <v/>
      </c>
      <c r="AF640" s="62">
        <f>IF(A640="",0,COUNTIF(fl_doc,A640))</f>
        <v>0.0</v>
      </c>
      <c r="AG640" s="62" t="str">
        <f>IF(A640="","",IF(AF640&gt;0,"Facture",IF(AND(F640&lt;&gt;"",AA640="Facture",ISNUMBER(MATCH(F640,dv_num,0))),"Devis","")))</f>
        <v/>
      </c>
      <c r="AH640" s="62" t="str">
        <f>IF(AND(A640&lt;&gt;"",F640&lt;&gt;"",AA640&lt;&gt;"Avoir"),F640,"")</f>
        <v/>
      </c>
      <c r="AI640" s="62" t="str">
        <f>IF(AG640="Devis",F640,"")</f>
        <v/>
      </c>
      <c r="AJ640" s="62">
        <f>IF(AG640="Facture",SUMIF(fl_doc,A640,fl_ht),IF(AG640="Devis",SUMIF(dl_doc,F640,dl_ht),0))</f>
        <v>0.0</v>
      </c>
      <c r="AK640" s="62">
        <f>IF(OR(AG640="",INDEX(p_rates,1)=""),0,IF(AG640="Facture",SUMIFS(fl_ht,fl_doc,A640,fl_rate,INDEX(p_rates,1)),SUMIFS(dl_ht,dl_doc,F640,dl_rate,INDEX(p_rates,1))))</f>
        <v>0.0</v>
      </c>
      <c r="AL640" s="62">
        <f>IF(OR(AG640="",INDEX(p_rates,2)=""),0,IF(AG640="Facture",SUMIFS(fl_ht,fl_doc,A640,fl_rate,INDEX(p_rates,2)),SUMIFS(dl_ht,dl_doc,F640,dl_rate,INDEX(p_rates,2))))</f>
        <v>0.0</v>
      </c>
      <c r="AM640" s="62">
        <f>IF(OR(AG640="",INDEX(p_rates,3)=""),0,IF(AG640="Facture",SUMIFS(fl_ht,fl_doc,A640,fl_rate,INDEX(p_rates,3)),SUMIFS(dl_ht,dl_doc,F640,dl_rate,INDEX(p_rates,3))))</f>
        <v>0.0</v>
      </c>
      <c r="AN640" s="62">
        <f>IF(OR(AG640="",INDEX(p_rates,4)=""),0,IF(AG640="Facture",SUMIFS(fl_ht,fl_doc,A640,fl_rate,INDEX(p_rates,4)),SUMIFS(dl_ht,dl_doc,F640,dl_rate,INDEX(p_rates,4))))</f>
        <v>0.0</v>
      </c>
      <c r="AO640" s="62">
        <f>IF(OR(AG640="",INDEX(p_rates,5)=""),0,IF(AG640="Facture",SUMIFS(fl_ht,fl_doc,A640,fl_rate,INDEX(p_rates,5)),SUMIFS(dl_ht,dl_doc,F640,dl_rate,INDEX(p_rates,5))))</f>
        <v>0.0</v>
      </c>
      <c r="AP640" s="62">
        <f>IF(OR(AG640="",INDEX(p_rates,6)=""),0,IF(AG640="Facture",SUMIFS(fl_ht,fl_doc,A640,fl_rate,INDEX(p_rates,6)),SUMIFS(dl_ht,dl_doc,F640,dl_rate,INDEX(p_rates,6))))</f>
        <v>0.0</v>
      </c>
      <c r="AQ640" s="62">
        <f>ROUND(AK640*N(INDEX(p_rates,1)),2)+ROUND(AL640*N(INDEX(p_rates,2)),2)+ROUND(AM640*N(INDEX(p_rates,3)),2)+ROUND(AN640*N(INDEX(p_rates,4)),2)+ROUND(AO640*N(INDEX(p_rates,5)),2)+ROUND(AP640*N(INDEX(p_rates,6)),2)</f>
        <v>0.0</v>
      </c>
      <c r="AR640" s="62" t="str">
        <f>IF(OR(L640="",AA640&lt;&gt;"Facture"),"",IFERROR(IF(INDEX(fa_type,MATCH(L640,fa_num,0))="Facture d'acompte",MATCH(L640,fa_num,0),""),""))</f>
        <v/>
      </c>
      <c r="AS640" s="62" t="str">
        <f>IF(W640="","",IF(W640&lt;=0,"",IF(p_asof-P640&lt;=0,"Non échu",IF(p_asof-P640&lt;=30,"1-30 j",IF(p_asof-P640&lt;=60,"31-60 j",IF(p_asof-P640&lt;=90,"61-90 j","Plus de 90 j"))))))</f>
        <v/>
      </c>
      <c r="AT640" s="62" t="str">
        <f>IF(AS640="","",p_asof-P640)</f>
        <v/>
      </c>
      <c r="AU640" s="62" t="str">
        <f>IF(AT640="","",COUNTIF($AT$6:$AT$805,"&gt;"&amp;AT640)+COUNTIF($AT$6:AT640,AT640))</f>
        <v/>
      </c>
    </row>
    <row r="641">
      <c r="A641" s="59" t="str">
        <f>IF(AE641="","",AB641&amp;"-"&amp;AD641&amp;"-"&amp;RIGHT("000"&amp;AE641,4))</f>
        <v/>
      </c>
      <c r="B641" s="60" t="n"/>
      <c r="C641" s="61" t="n"/>
      <c r="D641" s="60" t="n"/>
      <c r="E641" s="62" t="str">
        <f>IF(D641="","",IFERROR(INDEX(cli_name,MATCH(D641,cli_code,0))&amp;"","Client inconnu"))</f>
        <v/>
      </c>
      <c r="F641" s="60" t="n"/>
      <c r="G641" s="63" t="n"/>
      <c r="H641" s="61" t="n"/>
      <c r="I641" s="63" t="n"/>
      <c r="J641" s="60" t="n"/>
      <c r="K641" s="61" t="n"/>
      <c r="L641" s="60" t="n"/>
      <c r="M641" s="60" t="n"/>
      <c r="N641" s="60" t="n"/>
      <c r="O641" s="61" t="n"/>
      <c r="P641" s="64" t="str">
        <f>IF(A641="","",IF(AA641="Avoir",AC641,IF(ISNUMBER(K641),K641,AC641+IF(D641="",N(p_delay),IFERROR(IF(ISNUMBER(INDEX(cli_delay,MATCH(D641,cli_code,0))),INDEX(cli_delay,MATCH(D641,cli_code,0)),N(p_delay)),N(p_delay))))))</f>
        <v/>
      </c>
      <c r="Q641" s="65" t="str">
        <f>IF(A641="","",IF(AA641="Avoir",-1,1)*ROUND(AJ641-IF(AR641="",0,INDEX(fa_htb,AR641)),2))</f>
        <v/>
      </c>
      <c r="R641" s="65" t="str">
        <f>IF(A641="","",IF(AA641="Avoir",-1,1)*ROUND(AQ641-IF(AR641="",0,INDEX(fa_tvab,AR641)),2))</f>
        <v/>
      </c>
      <c r="S641" s="65" t="str">
        <f>IF(A641="","",Q641+R641)</f>
        <v/>
      </c>
      <c r="T641" s="65" t="str">
        <f>IF(AR641="","",INDEX(fa_htb,AR641)+INDEX(fa_tvab,AR641))</f>
        <v/>
      </c>
      <c r="U641" s="65" t="str">
        <f>IF(A641="","",SUMIF(pa_inv,A641,pa_amt))</f>
        <v/>
      </c>
      <c r="V641" s="65" t="str">
        <f>IF(OR(A641="",AA641="Avoir"),"",-SUMIFS(fa_ttc,fa_avof,A641,fa_type,"Avoir"))</f>
        <v/>
      </c>
      <c r="W641" s="65" t="str">
        <f>IF(OR(A641="",AA641="Avoir"),"",ROUND(S641-U641-V641,2))</f>
        <v/>
      </c>
      <c r="X641" s="66" t="str">
        <f>IF(W641="","",IF(AND(W641&gt;0,p_asof&gt;P641),p_asof-P641,""))</f>
        <v/>
      </c>
      <c r="Y641" s="59" t="str">
        <f>IF(A641="","",IF(AA641="Avoir","Avoir",IF(W641&lt;0,"Trop-perçu",IF(W641=0,"Soldée",IF(p_asof&gt;P641,"En retard",IF(U641+V641&gt;0,"Partielle","À échoir"))))))</f>
        <v/>
      </c>
      <c r="Z641" s="59" t="str">
        <f>IF(NOT(COUNTA(B641:D641,F641:O641)&gt;0),"",IF(C641="","Date manquante",IF(NOT(ISNUMBER(C641)),"Date invalide",IF(D641="","Client manquant",IF(ISNA(MATCH(D641,cli_code,0)),"Client inconnu",IF(AC641&lt;SUMPRODUCT(MAX(($AB$6:AB640=AB641)*$AC$6:AC640)),"Date antérieure à la facture précédente",IF(AND(F641&lt;&gt;"",ISNA(MATCH(F641,dv_num,0))),"Devis inconnu",IF(AND(F641&lt;&gt;"",IFERROR(INDEX(dv_client,MATCH(F641,dv_num,0)),D641)&lt;&gt;D641),"Client différent de celui du devis",IF(AG641="","Aucune ligne : saisissez des lignes ou un devis",IF(AND(AI641&lt;&gt;"",COUNTIF($AI$6:AI641,AI641)&gt;1),"Devis déjà repris par une autre facture",IF(AND(AA641="Avoir",M641=""),"Avoir : indiquez la facture d'origine",IF(AND(AA641="Avoir",ISNA(MATCH(M641,fa_num,0))),"Facture d'origine inconnue",IF(AND(AA641&lt;&gt;"Avoir",M641&lt;&gt;""),"« Avoir sur facture » : réservé aux avoirs",IF(AND(L641&lt;&gt;"",AA641&lt;&gt;"Facture"),"Acompte à déduire : réservé aux factures",IF(AND(L641&lt;&gt;"",ISNA(MATCH(L641,fa_num,0))),"Facture d'acompte inconnue",IF(AND(L641&lt;&gt;"",IFERROR(INDEX(fa_type,MATCH(L641,fa_num,0)),"")&lt;&gt;"Facture d'acompte"),"Le n° à déduire n'est pas une facture d'acompte",IF(AND(L641&lt;&gt;"",COUNTIF($L$6:L641,L641)&gt;1),"Acompte déjà déduit sur une autre facture",IF(AND(L641&lt;&gt;"",IFERROR(INDEX(fa_client,MATCH(L641,fa_num,0)),D641)&lt;&gt;D641),"Acompte d'un autre client",IF(AND(AR641&lt;&gt;"",N(Q641)&lt;0),"Acompte supérieur au total de la facture",IF(IF(AG641="Facture",COUNTIFS(fl_doc,A641,fl_check,"&lt;&gt;OK"),IF(AG641="Devis",COUNTIFS(dl_doc,F641,dl_check,"&lt;&gt;OK"),0))&gt;0,"Ligne(s) à corriger",IF(AND(W641&lt;&gt;"",N(W641)&lt;0),"Trop-perçu : vérifiez paiements et avoirs","OK")))))))))))))))))))))</f>
        <v/>
      </c>
      <c r="AA641" s="62" t="str">
        <f>IF(COUNTA(B641:D641,F641:O641)&gt;0,IF(B641="","Facture",B641),"")</f>
        <v/>
      </c>
      <c r="AB641" s="62" t="str">
        <f>IF(AA641="","",IF(AA641="Avoir",p_pav,IF(AA641="Facture d'acompte",p_pac,p_pfa)))</f>
        <v/>
      </c>
      <c r="AC641" s="62">
        <f>IF(ISNUMBER(C641),C641,0)</f>
        <v>0.0</v>
      </c>
      <c r="AD641" s="62" t="str">
        <f>IF(OR(AA641="",AC641=0),"",YEAR(AC641))</f>
        <v/>
      </c>
      <c r="AE641" s="62" t="str">
        <f>IF(AD641="","",COUNTIFS($AB$6:AB641,AB641,$AD$6:AD641,AD641))</f>
        <v/>
      </c>
      <c r="AF641" s="62">
        <f>IF(A641="",0,COUNTIF(fl_doc,A641))</f>
        <v>0.0</v>
      </c>
      <c r="AG641" s="62" t="str">
        <f>IF(A641="","",IF(AF641&gt;0,"Facture",IF(AND(F641&lt;&gt;"",AA641="Facture",ISNUMBER(MATCH(F641,dv_num,0))),"Devis","")))</f>
        <v/>
      </c>
      <c r="AH641" s="62" t="str">
        <f>IF(AND(A641&lt;&gt;"",F641&lt;&gt;"",AA641&lt;&gt;"Avoir"),F641,"")</f>
        <v/>
      </c>
      <c r="AI641" s="62" t="str">
        <f>IF(AG641="Devis",F641,"")</f>
        <v/>
      </c>
      <c r="AJ641" s="62">
        <f>IF(AG641="Facture",SUMIF(fl_doc,A641,fl_ht),IF(AG641="Devis",SUMIF(dl_doc,F641,dl_ht),0))</f>
        <v>0.0</v>
      </c>
      <c r="AK641" s="62">
        <f>IF(OR(AG641="",INDEX(p_rates,1)=""),0,IF(AG641="Facture",SUMIFS(fl_ht,fl_doc,A641,fl_rate,INDEX(p_rates,1)),SUMIFS(dl_ht,dl_doc,F641,dl_rate,INDEX(p_rates,1))))</f>
        <v>0.0</v>
      </c>
      <c r="AL641" s="62">
        <f>IF(OR(AG641="",INDEX(p_rates,2)=""),0,IF(AG641="Facture",SUMIFS(fl_ht,fl_doc,A641,fl_rate,INDEX(p_rates,2)),SUMIFS(dl_ht,dl_doc,F641,dl_rate,INDEX(p_rates,2))))</f>
        <v>0.0</v>
      </c>
      <c r="AM641" s="62">
        <f>IF(OR(AG641="",INDEX(p_rates,3)=""),0,IF(AG641="Facture",SUMIFS(fl_ht,fl_doc,A641,fl_rate,INDEX(p_rates,3)),SUMIFS(dl_ht,dl_doc,F641,dl_rate,INDEX(p_rates,3))))</f>
        <v>0.0</v>
      </c>
      <c r="AN641" s="62">
        <f>IF(OR(AG641="",INDEX(p_rates,4)=""),0,IF(AG641="Facture",SUMIFS(fl_ht,fl_doc,A641,fl_rate,INDEX(p_rates,4)),SUMIFS(dl_ht,dl_doc,F641,dl_rate,INDEX(p_rates,4))))</f>
        <v>0.0</v>
      </c>
      <c r="AO641" s="62">
        <f>IF(OR(AG641="",INDEX(p_rates,5)=""),0,IF(AG641="Facture",SUMIFS(fl_ht,fl_doc,A641,fl_rate,INDEX(p_rates,5)),SUMIFS(dl_ht,dl_doc,F641,dl_rate,INDEX(p_rates,5))))</f>
        <v>0.0</v>
      </c>
      <c r="AP641" s="62">
        <f>IF(OR(AG641="",INDEX(p_rates,6)=""),0,IF(AG641="Facture",SUMIFS(fl_ht,fl_doc,A641,fl_rate,INDEX(p_rates,6)),SUMIFS(dl_ht,dl_doc,F641,dl_rate,INDEX(p_rates,6))))</f>
        <v>0.0</v>
      </c>
      <c r="AQ641" s="62">
        <f>ROUND(AK641*N(INDEX(p_rates,1)),2)+ROUND(AL641*N(INDEX(p_rates,2)),2)+ROUND(AM641*N(INDEX(p_rates,3)),2)+ROUND(AN641*N(INDEX(p_rates,4)),2)+ROUND(AO641*N(INDEX(p_rates,5)),2)+ROUND(AP641*N(INDEX(p_rates,6)),2)</f>
        <v>0.0</v>
      </c>
      <c r="AR641" s="62" t="str">
        <f>IF(OR(L641="",AA641&lt;&gt;"Facture"),"",IFERROR(IF(INDEX(fa_type,MATCH(L641,fa_num,0))="Facture d'acompte",MATCH(L641,fa_num,0),""),""))</f>
        <v/>
      </c>
      <c r="AS641" s="62" t="str">
        <f>IF(W641="","",IF(W641&lt;=0,"",IF(p_asof-P641&lt;=0,"Non échu",IF(p_asof-P641&lt;=30,"1-30 j",IF(p_asof-P641&lt;=60,"31-60 j",IF(p_asof-P641&lt;=90,"61-90 j","Plus de 90 j"))))))</f>
        <v/>
      </c>
      <c r="AT641" s="62" t="str">
        <f>IF(AS641="","",p_asof-P641)</f>
        <v/>
      </c>
      <c r="AU641" s="62" t="str">
        <f>IF(AT641="","",COUNTIF($AT$6:$AT$805,"&gt;"&amp;AT641)+COUNTIF($AT$6:AT641,AT641))</f>
        <v/>
      </c>
    </row>
    <row r="642">
      <c r="A642" s="59" t="str">
        <f>IF(AE642="","",AB642&amp;"-"&amp;AD642&amp;"-"&amp;RIGHT("000"&amp;AE642,4))</f>
        <v/>
      </c>
      <c r="B642" s="60" t="n"/>
      <c r="C642" s="61" t="n"/>
      <c r="D642" s="60" t="n"/>
      <c r="E642" s="62" t="str">
        <f>IF(D642="","",IFERROR(INDEX(cli_name,MATCH(D642,cli_code,0))&amp;"","Client inconnu"))</f>
        <v/>
      </c>
      <c r="F642" s="60" t="n"/>
      <c r="G642" s="63" t="n"/>
      <c r="H642" s="61" t="n"/>
      <c r="I642" s="63" t="n"/>
      <c r="J642" s="60" t="n"/>
      <c r="K642" s="61" t="n"/>
      <c r="L642" s="60" t="n"/>
      <c r="M642" s="60" t="n"/>
      <c r="N642" s="60" t="n"/>
      <c r="O642" s="61" t="n"/>
      <c r="P642" s="64" t="str">
        <f>IF(A642="","",IF(AA642="Avoir",AC642,IF(ISNUMBER(K642),K642,AC642+IF(D642="",N(p_delay),IFERROR(IF(ISNUMBER(INDEX(cli_delay,MATCH(D642,cli_code,0))),INDEX(cli_delay,MATCH(D642,cli_code,0)),N(p_delay)),N(p_delay))))))</f>
        <v/>
      </c>
      <c r="Q642" s="65" t="str">
        <f>IF(A642="","",IF(AA642="Avoir",-1,1)*ROUND(AJ642-IF(AR642="",0,INDEX(fa_htb,AR642)),2))</f>
        <v/>
      </c>
      <c r="R642" s="65" t="str">
        <f>IF(A642="","",IF(AA642="Avoir",-1,1)*ROUND(AQ642-IF(AR642="",0,INDEX(fa_tvab,AR642)),2))</f>
        <v/>
      </c>
      <c r="S642" s="65" t="str">
        <f>IF(A642="","",Q642+R642)</f>
        <v/>
      </c>
      <c r="T642" s="65" t="str">
        <f>IF(AR642="","",INDEX(fa_htb,AR642)+INDEX(fa_tvab,AR642))</f>
        <v/>
      </c>
      <c r="U642" s="65" t="str">
        <f>IF(A642="","",SUMIF(pa_inv,A642,pa_amt))</f>
        <v/>
      </c>
      <c r="V642" s="65" t="str">
        <f>IF(OR(A642="",AA642="Avoir"),"",-SUMIFS(fa_ttc,fa_avof,A642,fa_type,"Avoir"))</f>
        <v/>
      </c>
      <c r="W642" s="65" t="str">
        <f>IF(OR(A642="",AA642="Avoir"),"",ROUND(S642-U642-V642,2))</f>
        <v/>
      </c>
      <c r="X642" s="66" t="str">
        <f>IF(W642="","",IF(AND(W642&gt;0,p_asof&gt;P642),p_asof-P642,""))</f>
        <v/>
      </c>
      <c r="Y642" s="59" t="str">
        <f>IF(A642="","",IF(AA642="Avoir","Avoir",IF(W642&lt;0,"Trop-perçu",IF(W642=0,"Soldée",IF(p_asof&gt;P642,"En retard",IF(U642+V642&gt;0,"Partielle","À échoir"))))))</f>
        <v/>
      </c>
      <c r="Z642" s="59" t="str">
        <f>IF(NOT(COUNTA(B642:D642,F642:O642)&gt;0),"",IF(C642="","Date manquante",IF(NOT(ISNUMBER(C642)),"Date invalide",IF(D642="","Client manquant",IF(ISNA(MATCH(D642,cli_code,0)),"Client inconnu",IF(AC642&lt;SUMPRODUCT(MAX(($AB$6:AB641=AB642)*$AC$6:AC641)),"Date antérieure à la facture précédente",IF(AND(F642&lt;&gt;"",ISNA(MATCH(F642,dv_num,0))),"Devis inconnu",IF(AND(F642&lt;&gt;"",IFERROR(INDEX(dv_client,MATCH(F642,dv_num,0)),D642)&lt;&gt;D642),"Client différent de celui du devis",IF(AG642="","Aucune ligne : saisissez des lignes ou un devis",IF(AND(AI642&lt;&gt;"",COUNTIF($AI$6:AI642,AI642)&gt;1),"Devis déjà repris par une autre facture",IF(AND(AA642="Avoir",M642=""),"Avoir : indiquez la facture d'origine",IF(AND(AA642="Avoir",ISNA(MATCH(M642,fa_num,0))),"Facture d'origine inconnue",IF(AND(AA642&lt;&gt;"Avoir",M642&lt;&gt;""),"« Avoir sur facture » : réservé aux avoirs",IF(AND(L642&lt;&gt;"",AA642&lt;&gt;"Facture"),"Acompte à déduire : réservé aux factures",IF(AND(L642&lt;&gt;"",ISNA(MATCH(L642,fa_num,0))),"Facture d'acompte inconnue",IF(AND(L642&lt;&gt;"",IFERROR(INDEX(fa_type,MATCH(L642,fa_num,0)),"")&lt;&gt;"Facture d'acompte"),"Le n° à déduire n'est pas une facture d'acompte",IF(AND(L642&lt;&gt;"",COUNTIF($L$6:L642,L642)&gt;1),"Acompte déjà déduit sur une autre facture",IF(AND(L642&lt;&gt;"",IFERROR(INDEX(fa_client,MATCH(L642,fa_num,0)),D642)&lt;&gt;D642),"Acompte d'un autre client",IF(AND(AR642&lt;&gt;"",N(Q642)&lt;0),"Acompte supérieur au total de la facture",IF(IF(AG642="Facture",COUNTIFS(fl_doc,A642,fl_check,"&lt;&gt;OK"),IF(AG642="Devis",COUNTIFS(dl_doc,F642,dl_check,"&lt;&gt;OK"),0))&gt;0,"Ligne(s) à corriger",IF(AND(W642&lt;&gt;"",N(W642)&lt;0),"Trop-perçu : vérifiez paiements et avoirs","OK")))))))))))))))))))))</f>
        <v/>
      </c>
      <c r="AA642" s="62" t="str">
        <f>IF(COUNTA(B642:D642,F642:O642)&gt;0,IF(B642="","Facture",B642),"")</f>
        <v/>
      </c>
      <c r="AB642" s="62" t="str">
        <f>IF(AA642="","",IF(AA642="Avoir",p_pav,IF(AA642="Facture d'acompte",p_pac,p_pfa)))</f>
        <v/>
      </c>
      <c r="AC642" s="62">
        <f>IF(ISNUMBER(C642),C642,0)</f>
        <v>0.0</v>
      </c>
      <c r="AD642" s="62" t="str">
        <f>IF(OR(AA642="",AC642=0),"",YEAR(AC642))</f>
        <v/>
      </c>
      <c r="AE642" s="62" t="str">
        <f>IF(AD642="","",COUNTIFS($AB$6:AB642,AB642,$AD$6:AD642,AD642))</f>
        <v/>
      </c>
      <c r="AF642" s="62">
        <f>IF(A642="",0,COUNTIF(fl_doc,A642))</f>
        <v>0.0</v>
      </c>
      <c r="AG642" s="62" t="str">
        <f>IF(A642="","",IF(AF642&gt;0,"Facture",IF(AND(F642&lt;&gt;"",AA642="Facture",ISNUMBER(MATCH(F642,dv_num,0))),"Devis","")))</f>
        <v/>
      </c>
      <c r="AH642" s="62" t="str">
        <f>IF(AND(A642&lt;&gt;"",F642&lt;&gt;"",AA642&lt;&gt;"Avoir"),F642,"")</f>
        <v/>
      </c>
      <c r="AI642" s="62" t="str">
        <f>IF(AG642="Devis",F642,"")</f>
        <v/>
      </c>
      <c r="AJ642" s="62">
        <f>IF(AG642="Facture",SUMIF(fl_doc,A642,fl_ht),IF(AG642="Devis",SUMIF(dl_doc,F642,dl_ht),0))</f>
        <v>0.0</v>
      </c>
      <c r="AK642" s="62">
        <f>IF(OR(AG642="",INDEX(p_rates,1)=""),0,IF(AG642="Facture",SUMIFS(fl_ht,fl_doc,A642,fl_rate,INDEX(p_rates,1)),SUMIFS(dl_ht,dl_doc,F642,dl_rate,INDEX(p_rates,1))))</f>
        <v>0.0</v>
      </c>
      <c r="AL642" s="62">
        <f>IF(OR(AG642="",INDEX(p_rates,2)=""),0,IF(AG642="Facture",SUMIFS(fl_ht,fl_doc,A642,fl_rate,INDEX(p_rates,2)),SUMIFS(dl_ht,dl_doc,F642,dl_rate,INDEX(p_rates,2))))</f>
        <v>0.0</v>
      </c>
      <c r="AM642" s="62">
        <f>IF(OR(AG642="",INDEX(p_rates,3)=""),0,IF(AG642="Facture",SUMIFS(fl_ht,fl_doc,A642,fl_rate,INDEX(p_rates,3)),SUMIFS(dl_ht,dl_doc,F642,dl_rate,INDEX(p_rates,3))))</f>
        <v>0.0</v>
      </c>
      <c r="AN642" s="62">
        <f>IF(OR(AG642="",INDEX(p_rates,4)=""),0,IF(AG642="Facture",SUMIFS(fl_ht,fl_doc,A642,fl_rate,INDEX(p_rates,4)),SUMIFS(dl_ht,dl_doc,F642,dl_rate,INDEX(p_rates,4))))</f>
        <v>0.0</v>
      </c>
      <c r="AO642" s="62">
        <f>IF(OR(AG642="",INDEX(p_rates,5)=""),0,IF(AG642="Facture",SUMIFS(fl_ht,fl_doc,A642,fl_rate,INDEX(p_rates,5)),SUMIFS(dl_ht,dl_doc,F642,dl_rate,INDEX(p_rates,5))))</f>
        <v>0.0</v>
      </c>
      <c r="AP642" s="62">
        <f>IF(OR(AG642="",INDEX(p_rates,6)=""),0,IF(AG642="Facture",SUMIFS(fl_ht,fl_doc,A642,fl_rate,INDEX(p_rates,6)),SUMIFS(dl_ht,dl_doc,F642,dl_rate,INDEX(p_rates,6))))</f>
        <v>0.0</v>
      </c>
      <c r="AQ642" s="62">
        <f>ROUND(AK642*N(INDEX(p_rates,1)),2)+ROUND(AL642*N(INDEX(p_rates,2)),2)+ROUND(AM642*N(INDEX(p_rates,3)),2)+ROUND(AN642*N(INDEX(p_rates,4)),2)+ROUND(AO642*N(INDEX(p_rates,5)),2)+ROUND(AP642*N(INDEX(p_rates,6)),2)</f>
        <v>0.0</v>
      </c>
      <c r="AR642" s="62" t="str">
        <f>IF(OR(L642="",AA642&lt;&gt;"Facture"),"",IFERROR(IF(INDEX(fa_type,MATCH(L642,fa_num,0))="Facture d'acompte",MATCH(L642,fa_num,0),""),""))</f>
        <v/>
      </c>
      <c r="AS642" s="62" t="str">
        <f>IF(W642="","",IF(W642&lt;=0,"",IF(p_asof-P642&lt;=0,"Non échu",IF(p_asof-P642&lt;=30,"1-30 j",IF(p_asof-P642&lt;=60,"31-60 j",IF(p_asof-P642&lt;=90,"61-90 j","Plus de 90 j"))))))</f>
        <v/>
      </c>
      <c r="AT642" s="62" t="str">
        <f>IF(AS642="","",p_asof-P642)</f>
        <v/>
      </c>
      <c r="AU642" s="62" t="str">
        <f>IF(AT642="","",COUNTIF($AT$6:$AT$805,"&gt;"&amp;AT642)+COUNTIF($AT$6:AT642,AT642))</f>
        <v/>
      </c>
    </row>
    <row r="643">
      <c r="A643" s="59" t="str">
        <f>IF(AE643="","",AB643&amp;"-"&amp;AD643&amp;"-"&amp;RIGHT("000"&amp;AE643,4))</f>
        <v/>
      </c>
      <c r="B643" s="60" t="n"/>
      <c r="C643" s="61" t="n"/>
      <c r="D643" s="60" t="n"/>
      <c r="E643" s="62" t="str">
        <f>IF(D643="","",IFERROR(INDEX(cli_name,MATCH(D643,cli_code,0))&amp;"","Client inconnu"))</f>
        <v/>
      </c>
      <c r="F643" s="60" t="n"/>
      <c r="G643" s="63" t="n"/>
      <c r="H643" s="61" t="n"/>
      <c r="I643" s="63" t="n"/>
      <c r="J643" s="60" t="n"/>
      <c r="K643" s="61" t="n"/>
      <c r="L643" s="60" t="n"/>
      <c r="M643" s="60" t="n"/>
      <c r="N643" s="60" t="n"/>
      <c r="O643" s="61" t="n"/>
      <c r="P643" s="64" t="str">
        <f>IF(A643="","",IF(AA643="Avoir",AC643,IF(ISNUMBER(K643),K643,AC643+IF(D643="",N(p_delay),IFERROR(IF(ISNUMBER(INDEX(cli_delay,MATCH(D643,cli_code,0))),INDEX(cli_delay,MATCH(D643,cli_code,0)),N(p_delay)),N(p_delay))))))</f>
        <v/>
      </c>
      <c r="Q643" s="65" t="str">
        <f>IF(A643="","",IF(AA643="Avoir",-1,1)*ROUND(AJ643-IF(AR643="",0,INDEX(fa_htb,AR643)),2))</f>
        <v/>
      </c>
      <c r="R643" s="65" t="str">
        <f>IF(A643="","",IF(AA643="Avoir",-1,1)*ROUND(AQ643-IF(AR643="",0,INDEX(fa_tvab,AR643)),2))</f>
        <v/>
      </c>
      <c r="S643" s="65" t="str">
        <f>IF(A643="","",Q643+R643)</f>
        <v/>
      </c>
      <c r="T643" s="65" t="str">
        <f>IF(AR643="","",INDEX(fa_htb,AR643)+INDEX(fa_tvab,AR643))</f>
        <v/>
      </c>
      <c r="U643" s="65" t="str">
        <f>IF(A643="","",SUMIF(pa_inv,A643,pa_amt))</f>
        <v/>
      </c>
      <c r="V643" s="65" t="str">
        <f>IF(OR(A643="",AA643="Avoir"),"",-SUMIFS(fa_ttc,fa_avof,A643,fa_type,"Avoir"))</f>
        <v/>
      </c>
      <c r="W643" s="65" t="str">
        <f>IF(OR(A643="",AA643="Avoir"),"",ROUND(S643-U643-V643,2))</f>
        <v/>
      </c>
      <c r="X643" s="66" t="str">
        <f>IF(W643="","",IF(AND(W643&gt;0,p_asof&gt;P643),p_asof-P643,""))</f>
        <v/>
      </c>
      <c r="Y643" s="59" t="str">
        <f>IF(A643="","",IF(AA643="Avoir","Avoir",IF(W643&lt;0,"Trop-perçu",IF(W643=0,"Soldée",IF(p_asof&gt;P643,"En retard",IF(U643+V643&gt;0,"Partielle","À échoir"))))))</f>
        <v/>
      </c>
      <c r="Z643" s="59" t="str">
        <f>IF(NOT(COUNTA(B643:D643,F643:O643)&gt;0),"",IF(C643="","Date manquante",IF(NOT(ISNUMBER(C643)),"Date invalide",IF(D643="","Client manquant",IF(ISNA(MATCH(D643,cli_code,0)),"Client inconnu",IF(AC643&lt;SUMPRODUCT(MAX(($AB$6:AB642=AB643)*$AC$6:AC642)),"Date antérieure à la facture précédente",IF(AND(F643&lt;&gt;"",ISNA(MATCH(F643,dv_num,0))),"Devis inconnu",IF(AND(F643&lt;&gt;"",IFERROR(INDEX(dv_client,MATCH(F643,dv_num,0)),D643)&lt;&gt;D643),"Client différent de celui du devis",IF(AG643="","Aucune ligne : saisissez des lignes ou un devis",IF(AND(AI643&lt;&gt;"",COUNTIF($AI$6:AI643,AI643)&gt;1),"Devis déjà repris par une autre facture",IF(AND(AA643="Avoir",M643=""),"Avoir : indiquez la facture d'origine",IF(AND(AA643="Avoir",ISNA(MATCH(M643,fa_num,0))),"Facture d'origine inconnue",IF(AND(AA643&lt;&gt;"Avoir",M643&lt;&gt;""),"« Avoir sur facture » : réservé aux avoirs",IF(AND(L643&lt;&gt;"",AA643&lt;&gt;"Facture"),"Acompte à déduire : réservé aux factures",IF(AND(L643&lt;&gt;"",ISNA(MATCH(L643,fa_num,0))),"Facture d'acompte inconnue",IF(AND(L643&lt;&gt;"",IFERROR(INDEX(fa_type,MATCH(L643,fa_num,0)),"")&lt;&gt;"Facture d'acompte"),"Le n° à déduire n'est pas une facture d'acompte",IF(AND(L643&lt;&gt;"",COUNTIF($L$6:L643,L643)&gt;1),"Acompte déjà déduit sur une autre facture",IF(AND(L643&lt;&gt;"",IFERROR(INDEX(fa_client,MATCH(L643,fa_num,0)),D643)&lt;&gt;D643),"Acompte d'un autre client",IF(AND(AR643&lt;&gt;"",N(Q643)&lt;0),"Acompte supérieur au total de la facture",IF(IF(AG643="Facture",COUNTIFS(fl_doc,A643,fl_check,"&lt;&gt;OK"),IF(AG643="Devis",COUNTIFS(dl_doc,F643,dl_check,"&lt;&gt;OK"),0))&gt;0,"Ligne(s) à corriger",IF(AND(W643&lt;&gt;"",N(W643)&lt;0),"Trop-perçu : vérifiez paiements et avoirs","OK")))))))))))))))))))))</f>
        <v/>
      </c>
      <c r="AA643" s="62" t="str">
        <f>IF(COUNTA(B643:D643,F643:O643)&gt;0,IF(B643="","Facture",B643),"")</f>
        <v/>
      </c>
      <c r="AB643" s="62" t="str">
        <f>IF(AA643="","",IF(AA643="Avoir",p_pav,IF(AA643="Facture d'acompte",p_pac,p_pfa)))</f>
        <v/>
      </c>
      <c r="AC643" s="62">
        <f>IF(ISNUMBER(C643),C643,0)</f>
        <v>0.0</v>
      </c>
      <c r="AD643" s="62" t="str">
        <f>IF(OR(AA643="",AC643=0),"",YEAR(AC643))</f>
        <v/>
      </c>
      <c r="AE643" s="62" t="str">
        <f>IF(AD643="","",COUNTIFS($AB$6:AB643,AB643,$AD$6:AD643,AD643))</f>
        <v/>
      </c>
      <c r="AF643" s="62">
        <f>IF(A643="",0,COUNTIF(fl_doc,A643))</f>
        <v>0.0</v>
      </c>
      <c r="AG643" s="62" t="str">
        <f>IF(A643="","",IF(AF643&gt;0,"Facture",IF(AND(F643&lt;&gt;"",AA643="Facture",ISNUMBER(MATCH(F643,dv_num,0))),"Devis","")))</f>
        <v/>
      </c>
      <c r="AH643" s="62" t="str">
        <f>IF(AND(A643&lt;&gt;"",F643&lt;&gt;"",AA643&lt;&gt;"Avoir"),F643,"")</f>
        <v/>
      </c>
      <c r="AI643" s="62" t="str">
        <f>IF(AG643="Devis",F643,"")</f>
        <v/>
      </c>
      <c r="AJ643" s="62">
        <f>IF(AG643="Facture",SUMIF(fl_doc,A643,fl_ht),IF(AG643="Devis",SUMIF(dl_doc,F643,dl_ht),0))</f>
        <v>0.0</v>
      </c>
      <c r="AK643" s="62">
        <f>IF(OR(AG643="",INDEX(p_rates,1)=""),0,IF(AG643="Facture",SUMIFS(fl_ht,fl_doc,A643,fl_rate,INDEX(p_rates,1)),SUMIFS(dl_ht,dl_doc,F643,dl_rate,INDEX(p_rates,1))))</f>
        <v>0.0</v>
      </c>
      <c r="AL643" s="62">
        <f>IF(OR(AG643="",INDEX(p_rates,2)=""),0,IF(AG643="Facture",SUMIFS(fl_ht,fl_doc,A643,fl_rate,INDEX(p_rates,2)),SUMIFS(dl_ht,dl_doc,F643,dl_rate,INDEX(p_rates,2))))</f>
        <v>0.0</v>
      </c>
      <c r="AM643" s="62">
        <f>IF(OR(AG643="",INDEX(p_rates,3)=""),0,IF(AG643="Facture",SUMIFS(fl_ht,fl_doc,A643,fl_rate,INDEX(p_rates,3)),SUMIFS(dl_ht,dl_doc,F643,dl_rate,INDEX(p_rates,3))))</f>
        <v>0.0</v>
      </c>
      <c r="AN643" s="62">
        <f>IF(OR(AG643="",INDEX(p_rates,4)=""),0,IF(AG643="Facture",SUMIFS(fl_ht,fl_doc,A643,fl_rate,INDEX(p_rates,4)),SUMIFS(dl_ht,dl_doc,F643,dl_rate,INDEX(p_rates,4))))</f>
        <v>0.0</v>
      </c>
      <c r="AO643" s="62">
        <f>IF(OR(AG643="",INDEX(p_rates,5)=""),0,IF(AG643="Facture",SUMIFS(fl_ht,fl_doc,A643,fl_rate,INDEX(p_rates,5)),SUMIFS(dl_ht,dl_doc,F643,dl_rate,INDEX(p_rates,5))))</f>
        <v>0.0</v>
      </c>
      <c r="AP643" s="62">
        <f>IF(OR(AG643="",INDEX(p_rates,6)=""),0,IF(AG643="Facture",SUMIFS(fl_ht,fl_doc,A643,fl_rate,INDEX(p_rates,6)),SUMIFS(dl_ht,dl_doc,F643,dl_rate,INDEX(p_rates,6))))</f>
        <v>0.0</v>
      </c>
      <c r="AQ643" s="62">
        <f>ROUND(AK643*N(INDEX(p_rates,1)),2)+ROUND(AL643*N(INDEX(p_rates,2)),2)+ROUND(AM643*N(INDEX(p_rates,3)),2)+ROUND(AN643*N(INDEX(p_rates,4)),2)+ROUND(AO643*N(INDEX(p_rates,5)),2)+ROUND(AP643*N(INDEX(p_rates,6)),2)</f>
        <v>0.0</v>
      </c>
      <c r="AR643" s="62" t="str">
        <f>IF(OR(L643="",AA643&lt;&gt;"Facture"),"",IFERROR(IF(INDEX(fa_type,MATCH(L643,fa_num,0))="Facture d'acompte",MATCH(L643,fa_num,0),""),""))</f>
        <v/>
      </c>
      <c r="AS643" s="62" t="str">
        <f>IF(W643="","",IF(W643&lt;=0,"",IF(p_asof-P643&lt;=0,"Non échu",IF(p_asof-P643&lt;=30,"1-30 j",IF(p_asof-P643&lt;=60,"31-60 j",IF(p_asof-P643&lt;=90,"61-90 j","Plus de 90 j"))))))</f>
        <v/>
      </c>
      <c r="AT643" s="62" t="str">
        <f>IF(AS643="","",p_asof-P643)</f>
        <v/>
      </c>
      <c r="AU643" s="62" t="str">
        <f>IF(AT643="","",COUNTIF($AT$6:$AT$805,"&gt;"&amp;AT643)+COUNTIF($AT$6:AT643,AT643))</f>
        <v/>
      </c>
    </row>
    <row r="644">
      <c r="A644" s="59" t="str">
        <f>IF(AE644="","",AB644&amp;"-"&amp;AD644&amp;"-"&amp;RIGHT("000"&amp;AE644,4))</f>
        <v/>
      </c>
      <c r="B644" s="60" t="n"/>
      <c r="C644" s="61" t="n"/>
      <c r="D644" s="60" t="n"/>
      <c r="E644" s="62" t="str">
        <f>IF(D644="","",IFERROR(INDEX(cli_name,MATCH(D644,cli_code,0))&amp;"","Client inconnu"))</f>
        <v/>
      </c>
      <c r="F644" s="60" t="n"/>
      <c r="G644" s="63" t="n"/>
      <c r="H644" s="61" t="n"/>
      <c r="I644" s="63" t="n"/>
      <c r="J644" s="60" t="n"/>
      <c r="K644" s="61" t="n"/>
      <c r="L644" s="60" t="n"/>
      <c r="M644" s="60" t="n"/>
      <c r="N644" s="60" t="n"/>
      <c r="O644" s="61" t="n"/>
      <c r="P644" s="64" t="str">
        <f>IF(A644="","",IF(AA644="Avoir",AC644,IF(ISNUMBER(K644),K644,AC644+IF(D644="",N(p_delay),IFERROR(IF(ISNUMBER(INDEX(cli_delay,MATCH(D644,cli_code,0))),INDEX(cli_delay,MATCH(D644,cli_code,0)),N(p_delay)),N(p_delay))))))</f>
        <v/>
      </c>
      <c r="Q644" s="65" t="str">
        <f>IF(A644="","",IF(AA644="Avoir",-1,1)*ROUND(AJ644-IF(AR644="",0,INDEX(fa_htb,AR644)),2))</f>
        <v/>
      </c>
      <c r="R644" s="65" t="str">
        <f>IF(A644="","",IF(AA644="Avoir",-1,1)*ROUND(AQ644-IF(AR644="",0,INDEX(fa_tvab,AR644)),2))</f>
        <v/>
      </c>
      <c r="S644" s="65" t="str">
        <f>IF(A644="","",Q644+R644)</f>
        <v/>
      </c>
      <c r="T644" s="65" t="str">
        <f>IF(AR644="","",INDEX(fa_htb,AR644)+INDEX(fa_tvab,AR644))</f>
        <v/>
      </c>
      <c r="U644" s="65" t="str">
        <f>IF(A644="","",SUMIF(pa_inv,A644,pa_amt))</f>
        <v/>
      </c>
      <c r="V644" s="65" t="str">
        <f>IF(OR(A644="",AA644="Avoir"),"",-SUMIFS(fa_ttc,fa_avof,A644,fa_type,"Avoir"))</f>
        <v/>
      </c>
      <c r="W644" s="65" t="str">
        <f>IF(OR(A644="",AA644="Avoir"),"",ROUND(S644-U644-V644,2))</f>
        <v/>
      </c>
      <c r="X644" s="66" t="str">
        <f>IF(W644="","",IF(AND(W644&gt;0,p_asof&gt;P644),p_asof-P644,""))</f>
        <v/>
      </c>
      <c r="Y644" s="59" t="str">
        <f>IF(A644="","",IF(AA644="Avoir","Avoir",IF(W644&lt;0,"Trop-perçu",IF(W644=0,"Soldée",IF(p_asof&gt;P644,"En retard",IF(U644+V644&gt;0,"Partielle","À échoir"))))))</f>
        <v/>
      </c>
      <c r="Z644" s="59" t="str">
        <f>IF(NOT(COUNTA(B644:D644,F644:O644)&gt;0),"",IF(C644="","Date manquante",IF(NOT(ISNUMBER(C644)),"Date invalide",IF(D644="","Client manquant",IF(ISNA(MATCH(D644,cli_code,0)),"Client inconnu",IF(AC644&lt;SUMPRODUCT(MAX(($AB$6:AB643=AB644)*$AC$6:AC643)),"Date antérieure à la facture précédente",IF(AND(F644&lt;&gt;"",ISNA(MATCH(F644,dv_num,0))),"Devis inconnu",IF(AND(F644&lt;&gt;"",IFERROR(INDEX(dv_client,MATCH(F644,dv_num,0)),D644)&lt;&gt;D644),"Client différent de celui du devis",IF(AG644="","Aucune ligne : saisissez des lignes ou un devis",IF(AND(AI644&lt;&gt;"",COUNTIF($AI$6:AI644,AI644)&gt;1),"Devis déjà repris par une autre facture",IF(AND(AA644="Avoir",M644=""),"Avoir : indiquez la facture d'origine",IF(AND(AA644="Avoir",ISNA(MATCH(M644,fa_num,0))),"Facture d'origine inconnue",IF(AND(AA644&lt;&gt;"Avoir",M644&lt;&gt;""),"« Avoir sur facture » : réservé aux avoirs",IF(AND(L644&lt;&gt;"",AA644&lt;&gt;"Facture"),"Acompte à déduire : réservé aux factures",IF(AND(L644&lt;&gt;"",ISNA(MATCH(L644,fa_num,0))),"Facture d'acompte inconnue",IF(AND(L644&lt;&gt;"",IFERROR(INDEX(fa_type,MATCH(L644,fa_num,0)),"")&lt;&gt;"Facture d'acompte"),"Le n° à déduire n'est pas une facture d'acompte",IF(AND(L644&lt;&gt;"",COUNTIF($L$6:L644,L644)&gt;1),"Acompte déjà déduit sur une autre facture",IF(AND(L644&lt;&gt;"",IFERROR(INDEX(fa_client,MATCH(L644,fa_num,0)),D644)&lt;&gt;D644),"Acompte d'un autre client",IF(AND(AR644&lt;&gt;"",N(Q644)&lt;0),"Acompte supérieur au total de la facture",IF(IF(AG644="Facture",COUNTIFS(fl_doc,A644,fl_check,"&lt;&gt;OK"),IF(AG644="Devis",COUNTIFS(dl_doc,F644,dl_check,"&lt;&gt;OK"),0))&gt;0,"Ligne(s) à corriger",IF(AND(W644&lt;&gt;"",N(W644)&lt;0),"Trop-perçu : vérifiez paiements et avoirs","OK")))))))))))))))))))))</f>
        <v/>
      </c>
      <c r="AA644" s="62" t="str">
        <f>IF(COUNTA(B644:D644,F644:O644)&gt;0,IF(B644="","Facture",B644),"")</f>
        <v/>
      </c>
      <c r="AB644" s="62" t="str">
        <f>IF(AA644="","",IF(AA644="Avoir",p_pav,IF(AA644="Facture d'acompte",p_pac,p_pfa)))</f>
        <v/>
      </c>
      <c r="AC644" s="62">
        <f>IF(ISNUMBER(C644),C644,0)</f>
        <v>0.0</v>
      </c>
      <c r="AD644" s="62" t="str">
        <f>IF(OR(AA644="",AC644=0),"",YEAR(AC644))</f>
        <v/>
      </c>
      <c r="AE644" s="62" t="str">
        <f>IF(AD644="","",COUNTIFS($AB$6:AB644,AB644,$AD$6:AD644,AD644))</f>
        <v/>
      </c>
      <c r="AF644" s="62">
        <f>IF(A644="",0,COUNTIF(fl_doc,A644))</f>
        <v>0.0</v>
      </c>
      <c r="AG644" s="62" t="str">
        <f>IF(A644="","",IF(AF644&gt;0,"Facture",IF(AND(F644&lt;&gt;"",AA644="Facture",ISNUMBER(MATCH(F644,dv_num,0))),"Devis","")))</f>
        <v/>
      </c>
      <c r="AH644" s="62" t="str">
        <f>IF(AND(A644&lt;&gt;"",F644&lt;&gt;"",AA644&lt;&gt;"Avoir"),F644,"")</f>
        <v/>
      </c>
      <c r="AI644" s="62" t="str">
        <f>IF(AG644="Devis",F644,"")</f>
        <v/>
      </c>
      <c r="AJ644" s="62">
        <f>IF(AG644="Facture",SUMIF(fl_doc,A644,fl_ht),IF(AG644="Devis",SUMIF(dl_doc,F644,dl_ht),0))</f>
        <v>0.0</v>
      </c>
      <c r="AK644" s="62">
        <f>IF(OR(AG644="",INDEX(p_rates,1)=""),0,IF(AG644="Facture",SUMIFS(fl_ht,fl_doc,A644,fl_rate,INDEX(p_rates,1)),SUMIFS(dl_ht,dl_doc,F644,dl_rate,INDEX(p_rates,1))))</f>
        <v>0.0</v>
      </c>
      <c r="AL644" s="62">
        <f>IF(OR(AG644="",INDEX(p_rates,2)=""),0,IF(AG644="Facture",SUMIFS(fl_ht,fl_doc,A644,fl_rate,INDEX(p_rates,2)),SUMIFS(dl_ht,dl_doc,F644,dl_rate,INDEX(p_rates,2))))</f>
        <v>0.0</v>
      </c>
      <c r="AM644" s="62">
        <f>IF(OR(AG644="",INDEX(p_rates,3)=""),0,IF(AG644="Facture",SUMIFS(fl_ht,fl_doc,A644,fl_rate,INDEX(p_rates,3)),SUMIFS(dl_ht,dl_doc,F644,dl_rate,INDEX(p_rates,3))))</f>
        <v>0.0</v>
      </c>
      <c r="AN644" s="62">
        <f>IF(OR(AG644="",INDEX(p_rates,4)=""),0,IF(AG644="Facture",SUMIFS(fl_ht,fl_doc,A644,fl_rate,INDEX(p_rates,4)),SUMIFS(dl_ht,dl_doc,F644,dl_rate,INDEX(p_rates,4))))</f>
        <v>0.0</v>
      </c>
      <c r="AO644" s="62">
        <f>IF(OR(AG644="",INDEX(p_rates,5)=""),0,IF(AG644="Facture",SUMIFS(fl_ht,fl_doc,A644,fl_rate,INDEX(p_rates,5)),SUMIFS(dl_ht,dl_doc,F644,dl_rate,INDEX(p_rates,5))))</f>
        <v>0.0</v>
      </c>
      <c r="AP644" s="62">
        <f>IF(OR(AG644="",INDEX(p_rates,6)=""),0,IF(AG644="Facture",SUMIFS(fl_ht,fl_doc,A644,fl_rate,INDEX(p_rates,6)),SUMIFS(dl_ht,dl_doc,F644,dl_rate,INDEX(p_rates,6))))</f>
        <v>0.0</v>
      </c>
      <c r="AQ644" s="62">
        <f>ROUND(AK644*N(INDEX(p_rates,1)),2)+ROUND(AL644*N(INDEX(p_rates,2)),2)+ROUND(AM644*N(INDEX(p_rates,3)),2)+ROUND(AN644*N(INDEX(p_rates,4)),2)+ROUND(AO644*N(INDEX(p_rates,5)),2)+ROUND(AP644*N(INDEX(p_rates,6)),2)</f>
        <v>0.0</v>
      </c>
      <c r="AR644" s="62" t="str">
        <f>IF(OR(L644="",AA644&lt;&gt;"Facture"),"",IFERROR(IF(INDEX(fa_type,MATCH(L644,fa_num,0))="Facture d'acompte",MATCH(L644,fa_num,0),""),""))</f>
        <v/>
      </c>
      <c r="AS644" s="62" t="str">
        <f>IF(W644="","",IF(W644&lt;=0,"",IF(p_asof-P644&lt;=0,"Non échu",IF(p_asof-P644&lt;=30,"1-30 j",IF(p_asof-P644&lt;=60,"31-60 j",IF(p_asof-P644&lt;=90,"61-90 j","Plus de 90 j"))))))</f>
        <v/>
      </c>
      <c r="AT644" s="62" t="str">
        <f>IF(AS644="","",p_asof-P644)</f>
        <v/>
      </c>
      <c r="AU644" s="62" t="str">
        <f>IF(AT644="","",COUNTIF($AT$6:$AT$805,"&gt;"&amp;AT644)+COUNTIF($AT$6:AT644,AT644))</f>
        <v/>
      </c>
    </row>
    <row r="645">
      <c r="A645" s="59" t="str">
        <f>IF(AE645="","",AB645&amp;"-"&amp;AD645&amp;"-"&amp;RIGHT("000"&amp;AE645,4))</f>
        <v/>
      </c>
      <c r="B645" s="60" t="n"/>
      <c r="C645" s="61" t="n"/>
      <c r="D645" s="60" t="n"/>
      <c r="E645" s="62" t="str">
        <f>IF(D645="","",IFERROR(INDEX(cli_name,MATCH(D645,cli_code,0))&amp;"","Client inconnu"))</f>
        <v/>
      </c>
      <c r="F645" s="60" t="n"/>
      <c r="G645" s="63" t="n"/>
      <c r="H645" s="61" t="n"/>
      <c r="I645" s="63" t="n"/>
      <c r="J645" s="60" t="n"/>
      <c r="K645" s="61" t="n"/>
      <c r="L645" s="60" t="n"/>
      <c r="M645" s="60" t="n"/>
      <c r="N645" s="60" t="n"/>
      <c r="O645" s="61" t="n"/>
      <c r="P645" s="64" t="str">
        <f>IF(A645="","",IF(AA645="Avoir",AC645,IF(ISNUMBER(K645),K645,AC645+IF(D645="",N(p_delay),IFERROR(IF(ISNUMBER(INDEX(cli_delay,MATCH(D645,cli_code,0))),INDEX(cli_delay,MATCH(D645,cli_code,0)),N(p_delay)),N(p_delay))))))</f>
        <v/>
      </c>
      <c r="Q645" s="65" t="str">
        <f>IF(A645="","",IF(AA645="Avoir",-1,1)*ROUND(AJ645-IF(AR645="",0,INDEX(fa_htb,AR645)),2))</f>
        <v/>
      </c>
      <c r="R645" s="65" t="str">
        <f>IF(A645="","",IF(AA645="Avoir",-1,1)*ROUND(AQ645-IF(AR645="",0,INDEX(fa_tvab,AR645)),2))</f>
        <v/>
      </c>
      <c r="S645" s="65" t="str">
        <f>IF(A645="","",Q645+R645)</f>
        <v/>
      </c>
      <c r="T645" s="65" t="str">
        <f>IF(AR645="","",INDEX(fa_htb,AR645)+INDEX(fa_tvab,AR645))</f>
        <v/>
      </c>
      <c r="U645" s="65" t="str">
        <f>IF(A645="","",SUMIF(pa_inv,A645,pa_amt))</f>
        <v/>
      </c>
      <c r="V645" s="65" t="str">
        <f>IF(OR(A645="",AA645="Avoir"),"",-SUMIFS(fa_ttc,fa_avof,A645,fa_type,"Avoir"))</f>
        <v/>
      </c>
      <c r="W645" s="65" t="str">
        <f>IF(OR(A645="",AA645="Avoir"),"",ROUND(S645-U645-V645,2))</f>
        <v/>
      </c>
      <c r="X645" s="66" t="str">
        <f>IF(W645="","",IF(AND(W645&gt;0,p_asof&gt;P645),p_asof-P645,""))</f>
        <v/>
      </c>
      <c r="Y645" s="59" t="str">
        <f>IF(A645="","",IF(AA645="Avoir","Avoir",IF(W645&lt;0,"Trop-perçu",IF(W645=0,"Soldée",IF(p_asof&gt;P645,"En retard",IF(U645+V645&gt;0,"Partielle","À échoir"))))))</f>
        <v/>
      </c>
      <c r="Z645" s="59" t="str">
        <f>IF(NOT(COUNTA(B645:D645,F645:O645)&gt;0),"",IF(C645="","Date manquante",IF(NOT(ISNUMBER(C645)),"Date invalide",IF(D645="","Client manquant",IF(ISNA(MATCH(D645,cli_code,0)),"Client inconnu",IF(AC645&lt;SUMPRODUCT(MAX(($AB$6:AB644=AB645)*$AC$6:AC644)),"Date antérieure à la facture précédente",IF(AND(F645&lt;&gt;"",ISNA(MATCH(F645,dv_num,0))),"Devis inconnu",IF(AND(F645&lt;&gt;"",IFERROR(INDEX(dv_client,MATCH(F645,dv_num,0)),D645)&lt;&gt;D645),"Client différent de celui du devis",IF(AG645="","Aucune ligne : saisissez des lignes ou un devis",IF(AND(AI645&lt;&gt;"",COUNTIF($AI$6:AI645,AI645)&gt;1),"Devis déjà repris par une autre facture",IF(AND(AA645="Avoir",M645=""),"Avoir : indiquez la facture d'origine",IF(AND(AA645="Avoir",ISNA(MATCH(M645,fa_num,0))),"Facture d'origine inconnue",IF(AND(AA645&lt;&gt;"Avoir",M645&lt;&gt;""),"« Avoir sur facture » : réservé aux avoirs",IF(AND(L645&lt;&gt;"",AA645&lt;&gt;"Facture"),"Acompte à déduire : réservé aux factures",IF(AND(L645&lt;&gt;"",ISNA(MATCH(L645,fa_num,0))),"Facture d'acompte inconnue",IF(AND(L645&lt;&gt;"",IFERROR(INDEX(fa_type,MATCH(L645,fa_num,0)),"")&lt;&gt;"Facture d'acompte"),"Le n° à déduire n'est pas une facture d'acompte",IF(AND(L645&lt;&gt;"",COUNTIF($L$6:L645,L645)&gt;1),"Acompte déjà déduit sur une autre facture",IF(AND(L645&lt;&gt;"",IFERROR(INDEX(fa_client,MATCH(L645,fa_num,0)),D645)&lt;&gt;D645),"Acompte d'un autre client",IF(AND(AR645&lt;&gt;"",N(Q645)&lt;0),"Acompte supérieur au total de la facture",IF(IF(AG645="Facture",COUNTIFS(fl_doc,A645,fl_check,"&lt;&gt;OK"),IF(AG645="Devis",COUNTIFS(dl_doc,F645,dl_check,"&lt;&gt;OK"),0))&gt;0,"Ligne(s) à corriger",IF(AND(W645&lt;&gt;"",N(W645)&lt;0),"Trop-perçu : vérifiez paiements et avoirs","OK")))))))))))))))))))))</f>
        <v/>
      </c>
      <c r="AA645" s="62" t="str">
        <f>IF(COUNTA(B645:D645,F645:O645)&gt;0,IF(B645="","Facture",B645),"")</f>
        <v/>
      </c>
      <c r="AB645" s="62" t="str">
        <f>IF(AA645="","",IF(AA645="Avoir",p_pav,IF(AA645="Facture d'acompte",p_pac,p_pfa)))</f>
        <v/>
      </c>
      <c r="AC645" s="62">
        <f>IF(ISNUMBER(C645),C645,0)</f>
        <v>0.0</v>
      </c>
      <c r="AD645" s="62" t="str">
        <f>IF(OR(AA645="",AC645=0),"",YEAR(AC645))</f>
        <v/>
      </c>
      <c r="AE645" s="62" t="str">
        <f>IF(AD645="","",COUNTIFS($AB$6:AB645,AB645,$AD$6:AD645,AD645))</f>
        <v/>
      </c>
      <c r="AF645" s="62">
        <f>IF(A645="",0,COUNTIF(fl_doc,A645))</f>
        <v>0.0</v>
      </c>
      <c r="AG645" s="62" t="str">
        <f>IF(A645="","",IF(AF645&gt;0,"Facture",IF(AND(F645&lt;&gt;"",AA645="Facture",ISNUMBER(MATCH(F645,dv_num,0))),"Devis","")))</f>
        <v/>
      </c>
      <c r="AH645" s="62" t="str">
        <f>IF(AND(A645&lt;&gt;"",F645&lt;&gt;"",AA645&lt;&gt;"Avoir"),F645,"")</f>
        <v/>
      </c>
      <c r="AI645" s="62" t="str">
        <f>IF(AG645="Devis",F645,"")</f>
        <v/>
      </c>
      <c r="AJ645" s="62">
        <f>IF(AG645="Facture",SUMIF(fl_doc,A645,fl_ht),IF(AG645="Devis",SUMIF(dl_doc,F645,dl_ht),0))</f>
        <v>0.0</v>
      </c>
      <c r="AK645" s="62">
        <f>IF(OR(AG645="",INDEX(p_rates,1)=""),0,IF(AG645="Facture",SUMIFS(fl_ht,fl_doc,A645,fl_rate,INDEX(p_rates,1)),SUMIFS(dl_ht,dl_doc,F645,dl_rate,INDEX(p_rates,1))))</f>
        <v>0.0</v>
      </c>
      <c r="AL645" s="62">
        <f>IF(OR(AG645="",INDEX(p_rates,2)=""),0,IF(AG645="Facture",SUMIFS(fl_ht,fl_doc,A645,fl_rate,INDEX(p_rates,2)),SUMIFS(dl_ht,dl_doc,F645,dl_rate,INDEX(p_rates,2))))</f>
        <v>0.0</v>
      </c>
      <c r="AM645" s="62">
        <f>IF(OR(AG645="",INDEX(p_rates,3)=""),0,IF(AG645="Facture",SUMIFS(fl_ht,fl_doc,A645,fl_rate,INDEX(p_rates,3)),SUMIFS(dl_ht,dl_doc,F645,dl_rate,INDEX(p_rates,3))))</f>
        <v>0.0</v>
      </c>
      <c r="AN645" s="62">
        <f>IF(OR(AG645="",INDEX(p_rates,4)=""),0,IF(AG645="Facture",SUMIFS(fl_ht,fl_doc,A645,fl_rate,INDEX(p_rates,4)),SUMIFS(dl_ht,dl_doc,F645,dl_rate,INDEX(p_rates,4))))</f>
        <v>0.0</v>
      </c>
      <c r="AO645" s="62">
        <f>IF(OR(AG645="",INDEX(p_rates,5)=""),0,IF(AG645="Facture",SUMIFS(fl_ht,fl_doc,A645,fl_rate,INDEX(p_rates,5)),SUMIFS(dl_ht,dl_doc,F645,dl_rate,INDEX(p_rates,5))))</f>
        <v>0.0</v>
      </c>
      <c r="AP645" s="62">
        <f>IF(OR(AG645="",INDEX(p_rates,6)=""),0,IF(AG645="Facture",SUMIFS(fl_ht,fl_doc,A645,fl_rate,INDEX(p_rates,6)),SUMIFS(dl_ht,dl_doc,F645,dl_rate,INDEX(p_rates,6))))</f>
        <v>0.0</v>
      </c>
      <c r="AQ645" s="62">
        <f>ROUND(AK645*N(INDEX(p_rates,1)),2)+ROUND(AL645*N(INDEX(p_rates,2)),2)+ROUND(AM645*N(INDEX(p_rates,3)),2)+ROUND(AN645*N(INDEX(p_rates,4)),2)+ROUND(AO645*N(INDEX(p_rates,5)),2)+ROUND(AP645*N(INDEX(p_rates,6)),2)</f>
        <v>0.0</v>
      </c>
      <c r="AR645" s="62" t="str">
        <f>IF(OR(L645="",AA645&lt;&gt;"Facture"),"",IFERROR(IF(INDEX(fa_type,MATCH(L645,fa_num,0))="Facture d'acompte",MATCH(L645,fa_num,0),""),""))</f>
        <v/>
      </c>
      <c r="AS645" s="62" t="str">
        <f>IF(W645="","",IF(W645&lt;=0,"",IF(p_asof-P645&lt;=0,"Non échu",IF(p_asof-P645&lt;=30,"1-30 j",IF(p_asof-P645&lt;=60,"31-60 j",IF(p_asof-P645&lt;=90,"61-90 j","Plus de 90 j"))))))</f>
        <v/>
      </c>
      <c r="AT645" s="62" t="str">
        <f>IF(AS645="","",p_asof-P645)</f>
        <v/>
      </c>
      <c r="AU645" s="62" t="str">
        <f>IF(AT645="","",COUNTIF($AT$6:$AT$805,"&gt;"&amp;AT645)+COUNTIF($AT$6:AT645,AT645))</f>
        <v/>
      </c>
    </row>
    <row r="646">
      <c r="A646" s="59" t="str">
        <f>IF(AE646="","",AB646&amp;"-"&amp;AD646&amp;"-"&amp;RIGHT("000"&amp;AE646,4))</f>
        <v/>
      </c>
      <c r="B646" s="60" t="n"/>
      <c r="C646" s="61" t="n"/>
      <c r="D646" s="60" t="n"/>
      <c r="E646" s="62" t="str">
        <f>IF(D646="","",IFERROR(INDEX(cli_name,MATCH(D646,cli_code,0))&amp;"","Client inconnu"))</f>
        <v/>
      </c>
      <c r="F646" s="60" t="n"/>
      <c r="G646" s="63" t="n"/>
      <c r="H646" s="61" t="n"/>
      <c r="I646" s="63" t="n"/>
      <c r="J646" s="60" t="n"/>
      <c r="K646" s="61" t="n"/>
      <c r="L646" s="60" t="n"/>
      <c r="M646" s="60" t="n"/>
      <c r="N646" s="60" t="n"/>
      <c r="O646" s="61" t="n"/>
      <c r="P646" s="64" t="str">
        <f>IF(A646="","",IF(AA646="Avoir",AC646,IF(ISNUMBER(K646),K646,AC646+IF(D646="",N(p_delay),IFERROR(IF(ISNUMBER(INDEX(cli_delay,MATCH(D646,cli_code,0))),INDEX(cli_delay,MATCH(D646,cli_code,0)),N(p_delay)),N(p_delay))))))</f>
        <v/>
      </c>
      <c r="Q646" s="65" t="str">
        <f>IF(A646="","",IF(AA646="Avoir",-1,1)*ROUND(AJ646-IF(AR646="",0,INDEX(fa_htb,AR646)),2))</f>
        <v/>
      </c>
      <c r="R646" s="65" t="str">
        <f>IF(A646="","",IF(AA646="Avoir",-1,1)*ROUND(AQ646-IF(AR646="",0,INDEX(fa_tvab,AR646)),2))</f>
        <v/>
      </c>
      <c r="S646" s="65" t="str">
        <f>IF(A646="","",Q646+R646)</f>
        <v/>
      </c>
      <c r="T646" s="65" t="str">
        <f>IF(AR646="","",INDEX(fa_htb,AR646)+INDEX(fa_tvab,AR646))</f>
        <v/>
      </c>
      <c r="U646" s="65" t="str">
        <f>IF(A646="","",SUMIF(pa_inv,A646,pa_amt))</f>
        <v/>
      </c>
      <c r="V646" s="65" t="str">
        <f>IF(OR(A646="",AA646="Avoir"),"",-SUMIFS(fa_ttc,fa_avof,A646,fa_type,"Avoir"))</f>
        <v/>
      </c>
      <c r="W646" s="65" t="str">
        <f>IF(OR(A646="",AA646="Avoir"),"",ROUND(S646-U646-V646,2))</f>
        <v/>
      </c>
      <c r="X646" s="66" t="str">
        <f>IF(W646="","",IF(AND(W646&gt;0,p_asof&gt;P646),p_asof-P646,""))</f>
        <v/>
      </c>
      <c r="Y646" s="59" t="str">
        <f>IF(A646="","",IF(AA646="Avoir","Avoir",IF(W646&lt;0,"Trop-perçu",IF(W646=0,"Soldée",IF(p_asof&gt;P646,"En retard",IF(U646+V646&gt;0,"Partielle","À échoir"))))))</f>
        <v/>
      </c>
      <c r="Z646" s="59" t="str">
        <f>IF(NOT(COUNTA(B646:D646,F646:O646)&gt;0),"",IF(C646="","Date manquante",IF(NOT(ISNUMBER(C646)),"Date invalide",IF(D646="","Client manquant",IF(ISNA(MATCH(D646,cli_code,0)),"Client inconnu",IF(AC646&lt;SUMPRODUCT(MAX(($AB$6:AB645=AB646)*$AC$6:AC645)),"Date antérieure à la facture précédente",IF(AND(F646&lt;&gt;"",ISNA(MATCH(F646,dv_num,0))),"Devis inconnu",IF(AND(F646&lt;&gt;"",IFERROR(INDEX(dv_client,MATCH(F646,dv_num,0)),D646)&lt;&gt;D646),"Client différent de celui du devis",IF(AG646="","Aucune ligne : saisissez des lignes ou un devis",IF(AND(AI646&lt;&gt;"",COUNTIF($AI$6:AI646,AI646)&gt;1),"Devis déjà repris par une autre facture",IF(AND(AA646="Avoir",M646=""),"Avoir : indiquez la facture d'origine",IF(AND(AA646="Avoir",ISNA(MATCH(M646,fa_num,0))),"Facture d'origine inconnue",IF(AND(AA646&lt;&gt;"Avoir",M646&lt;&gt;""),"« Avoir sur facture » : réservé aux avoirs",IF(AND(L646&lt;&gt;"",AA646&lt;&gt;"Facture"),"Acompte à déduire : réservé aux factures",IF(AND(L646&lt;&gt;"",ISNA(MATCH(L646,fa_num,0))),"Facture d'acompte inconnue",IF(AND(L646&lt;&gt;"",IFERROR(INDEX(fa_type,MATCH(L646,fa_num,0)),"")&lt;&gt;"Facture d'acompte"),"Le n° à déduire n'est pas une facture d'acompte",IF(AND(L646&lt;&gt;"",COUNTIF($L$6:L646,L646)&gt;1),"Acompte déjà déduit sur une autre facture",IF(AND(L646&lt;&gt;"",IFERROR(INDEX(fa_client,MATCH(L646,fa_num,0)),D646)&lt;&gt;D646),"Acompte d'un autre client",IF(AND(AR646&lt;&gt;"",N(Q646)&lt;0),"Acompte supérieur au total de la facture",IF(IF(AG646="Facture",COUNTIFS(fl_doc,A646,fl_check,"&lt;&gt;OK"),IF(AG646="Devis",COUNTIFS(dl_doc,F646,dl_check,"&lt;&gt;OK"),0))&gt;0,"Ligne(s) à corriger",IF(AND(W646&lt;&gt;"",N(W646)&lt;0),"Trop-perçu : vérifiez paiements et avoirs","OK")))))))))))))))))))))</f>
        <v/>
      </c>
      <c r="AA646" s="62" t="str">
        <f>IF(COUNTA(B646:D646,F646:O646)&gt;0,IF(B646="","Facture",B646),"")</f>
        <v/>
      </c>
      <c r="AB646" s="62" t="str">
        <f>IF(AA646="","",IF(AA646="Avoir",p_pav,IF(AA646="Facture d'acompte",p_pac,p_pfa)))</f>
        <v/>
      </c>
      <c r="AC646" s="62">
        <f>IF(ISNUMBER(C646),C646,0)</f>
        <v>0.0</v>
      </c>
      <c r="AD646" s="62" t="str">
        <f>IF(OR(AA646="",AC646=0),"",YEAR(AC646))</f>
        <v/>
      </c>
      <c r="AE646" s="62" t="str">
        <f>IF(AD646="","",COUNTIFS($AB$6:AB646,AB646,$AD$6:AD646,AD646))</f>
        <v/>
      </c>
      <c r="AF646" s="62">
        <f>IF(A646="",0,COUNTIF(fl_doc,A646))</f>
        <v>0.0</v>
      </c>
      <c r="AG646" s="62" t="str">
        <f>IF(A646="","",IF(AF646&gt;0,"Facture",IF(AND(F646&lt;&gt;"",AA646="Facture",ISNUMBER(MATCH(F646,dv_num,0))),"Devis","")))</f>
        <v/>
      </c>
      <c r="AH646" s="62" t="str">
        <f>IF(AND(A646&lt;&gt;"",F646&lt;&gt;"",AA646&lt;&gt;"Avoir"),F646,"")</f>
        <v/>
      </c>
      <c r="AI646" s="62" t="str">
        <f>IF(AG646="Devis",F646,"")</f>
        <v/>
      </c>
      <c r="AJ646" s="62">
        <f>IF(AG646="Facture",SUMIF(fl_doc,A646,fl_ht),IF(AG646="Devis",SUMIF(dl_doc,F646,dl_ht),0))</f>
        <v>0.0</v>
      </c>
      <c r="AK646" s="62">
        <f>IF(OR(AG646="",INDEX(p_rates,1)=""),0,IF(AG646="Facture",SUMIFS(fl_ht,fl_doc,A646,fl_rate,INDEX(p_rates,1)),SUMIFS(dl_ht,dl_doc,F646,dl_rate,INDEX(p_rates,1))))</f>
        <v>0.0</v>
      </c>
      <c r="AL646" s="62">
        <f>IF(OR(AG646="",INDEX(p_rates,2)=""),0,IF(AG646="Facture",SUMIFS(fl_ht,fl_doc,A646,fl_rate,INDEX(p_rates,2)),SUMIFS(dl_ht,dl_doc,F646,dl_rate,INDEX(p_rates,2))))</f>
        <v>0.0</v>
      </c>
      <c r="AM646" s="62">
        <f>IF(OR(AG646="",INDEX(p_rates,3)=""),0,IF(AG646="Facture",SUMIFS(fl_ht,fl_doc,A646,fl_rate,INDEX(p_rates,3)),SUMIFS(dl_ht,dl_doc,F646,dl_rate,INDEX(p_rates,3))))</f>
        <v>0.0</v>
      </c>
      <c r="AN646" s="62">
        <f>IF(OR(AG646="",INDEX(p_rates,4)=""),0,IF(AG646="Facture",SUMIFS(fl_ht,fl_doc,A646,fl_rate,INDEX(p_rates,4)),SUMIFS(dl_ht,dl_doc,F646,dl_rate,INDEX(p_rates,4))))</f>
        <v>0.0</v>
      </c>
      <c r="AO646" s="62">
        <f>IF(OR(AG646="",INDEX(p_rates,5)=""),0,IF(AG646="Facture",SUMIFS(fl_ht,fl_doc,A646,fl_rate,INDEX(p_rates,5)),SUMIFS(dl_ht,dl_doc,F646,dl_rate,INDEX(p_rates,5))))</f>
        <v>0.0</v>
      </c>
      <c r="AP646" s="62">
        <f>IF(OR(AG646="",INDEX(p_rates,6)=""),0,IF(AG646="Facture",SUMIFS(fl_ht,fl_doc,A646,fl_rate,INDEX(p_rates,6)),SUMIFS(dl_ht,dl_doc,F646,dl_rate,INDEX(p_rates,6))))</f>
        <v>0.0</v>
      </c>
      <c r="AQ646" s="62">
        <f>ROUND(AK646*N(INDEX(p_rates,1)),2)+ROUND(AL646*N(INDEX(p_rates,2)),2)+ROUND(AM646*N(INDEX(p_rates,3)),2)+ROUND(AN646*N(INDEX(p_rates,4)),2)+ROUND(AO646*N(INDEX(p_rates,5)),2)+ROUND(AP646*N(INDEX(p_rates,6)),2)</f>
        <v>0.0</v>
      </c>
      <c r="AR646" s="62" t="str">
        <f>IF(OR(L646="",AA646&lt;&gt;"Facture"),"",IFERROR(IF(INDEX(fa_type,MATCH(L646,fa_num,0))="Facture d'acompte",MATCH(L646,fa_num,0),""),""))</f>
        <v/>
      </c>
      <c r="AS646" s="62" t="str">
        <f>IF(W646="","",IF(W646&lt;=0,"",IF(p_asof-P646&lt;=0,"Non échu",IF(p_asof-P646&lt;=30,"1-30 j",IF(p_asof-P646&lt;=60,"31-60 j",IF(p_asof-P646&lt;=90,"61-90 j","Plus de 90 j"))))))</f>
        <v/>
      </c>
      <c r="AT646" s="62" t="str">
        <f>IF(AS646="","",p_asof-P646)</f>
        <v/>
      </c>
      <c r="AU646" s="62" t="str">
        <f>IF(AT646="","",COUNTIF($AT$6:$AT$805,"&gt;"&amp;AT646)+COUNTIF($AT$6:AT646,AT646))</f>
        <v/>
      </c>
    </row>
    <row r="647">
      <c r="A647" s="59" t="str">
        <f>IF(AE647="","",AB647&amp;"-"&amp;AD647&amp;"-"&amp;RIGHT("000"&amp;AE647,4))</f>
        <v/>
      </c>
      <c r="B647" s="60" t="n"/>
      <c r="C647" s="61" t="n"/>
      <c r="D647" s="60" t="n"/>
      <c r="E647" s="62" t="str">
        <f>IF(D647="","",IFERROR(INDEX(cli_name,MATCH(D647,cli_code,0))&amp;"","Client inconnu"))</f>
        <v/>
      </c>
      <c r="F647" s="60" t="n"/>
      <c r="G647" s="63" t="n"/>
      <c r="H647" s="61" t="n"/>
      <c r="I647" s="63" t="n"/>
      <c r="J647" s="60" t="n"/>
      <c r="K647" s="61" t="n"/>
      <c r="L647" s="60" t="n"/>
      <c r="M647" s="60" t="n"/>
      <c r="N647" s="60" t="n"/>
      <c r="O647" s="61" t="n"/>
      <c r="P647" s="64" t="str">
        <f>IF(A647="","",IF(AA647="Avoir",AC647,IF(ISNUMBER(K647),K647,AC647+IF(D647="",N(p_delay),IFERROR(IF(ISNUMBER(INDEX(cli_delay,MATCH(D647,cli_code,0))),INDEX(cli_delay,MATCH(D647,cli_code,0)),N(p_delay)),N(p_delay))))))</f>
        <v/>
      </c>
      <c r="Q647" s="65" t="str">
        <f>IF(A647="","",IF(AA647="Avoir",-1,1)*ROUND(AJ647-IF(AR647="",0,INDEX(fa_htb,AR647)),2))</f>
        <v/>
      </c>
      <c r="R647" s="65" t="str">
        <f>IF(A647="","",IF(AA647="Avoir",-1,1)*ROUND(AQ647-IF(AR647="",0,INDEX(fa_tvab,AR647)),2))</f>
        <v/>
      </c>
      <c r="S647" s="65" t="str">
        <f>IF(A647="","",Q647+R647)</f>
        <v/>
      </c>
      <c r="T647" s="65" t="str">
        <f>IF(AR647="","",INDEX(fa_htb,AR647)+INDEX(fa_tvab,AR647))</f>
        <v/>
      </c>
      <c r="U647" s="65" t="str">
        <f>IF(A647="","",SUMIF(pa_inv,A647,pa_amt))</f>
        <v/>
      </c>
      <c r="V647" s="65" t="str">
        <f>IF(OR(A647="",AA647="Avoir"),"",-SUMIFS(fa_ttc,fa_avof,A647,fa_type,"Avoir"))</f>
        <v/>
      </c>
      <c r="W647" s="65" t="str">
        <f>IF(OR(A647="",AA647="Avoir"),"",ROUND(S647-U647-V647,2))</f>
        <v/>
      </c>
      <c r="X647" s="66" t="str">
        <f>IF(W647="","",IF(AND(W647&gt;0,p_asof&gt;P647),p_asof-P647,""))</f>
        <v/>
      </c>
      <c r="Y647" s="59" t="str">
        <f>IF(A647="","",IF(AA647="Avoir","Avoir",IF(W647&lt;0,"Trop-perçu",IF(W647=0,"Soldée",IF(p_asof&gt;P647,"En retard",IF(U647+V647&gt;0,"Partielle","À échoir"))))))</f>
        <v/>
      </c>
      <c r="Z647" s="59" t="str">
        <f>IF(NOT(COUNTA(B647:D647,F647:O647)&gt;0),"",IF(C647="","Date manquante",IF(NOT(ISNUMBER(C647)),"Date invalide",IF(D647="","Client manquant",IF(ISNA(MATCH(D647,cli_code,0)),"Client inconnu",IF(AC647&lt;SUMPRODUCT(MAX(($AB$6:AB646=AB647)*$AC$6:AC646)),"Date antérieure à la facture précédente",IF(AND(F647&lt;&gt;"",ISNA(MATCH(F647,dv_num,0))),"Devis inconnu",IF(AND(F647&lt;&gt;"",IFERROR(INDEX(dv_client,MATCH(F647,dv_num,0)),D647)&lt;&gt;D647),"Client différent de celui du devis",IF(AG647="","Aucune ligne : saisissez des lignes ou un devis",IF(AND(AI647&lt;&gt;"",COUNTIF($AI$6:AI647,AI647)&gt;1),"Devis déjà repris par une autre facture",IF(AND(AA647="Avoir",M647=""),"Avoir : indiquez la facture d'origine",IF(AND(AA647="Avoir",ISNA(MATCH(M647,fa_num,0))),"Facture d'origine inconnue",IF(AND(AA647&lt;&gt;"Avoir",M647&lt;&gt;""),"« Avoir sur facture » : réservé aux avoirs",IF(AND(L647&lt;&gt;"",AA647&lt;&gt;"Facture"),"Acompte à déduire : réservé aux factures",IF(AND(L647&lt;&gt;"",ISNA(MATCH(L647,fa_num,0))),"Facture d'acompte inconnue",IF(AND(L647&lt;&gt;"",IFERROR(INDEX(fa_type,MATCH(L647,fa_num,0)),"")&lt;&gt;"Facture d'acompte"),"Le n° à déduire n'est pas une facture d'acompte",IF(AND(L647&lt;&gt;"",COUNTIF($L$6:L647,L647)&gt;1),"Acompte déjà déduit sur une autre facture",IF(AND(L647&lt;&gt;"",IFERROR(INDEX(fa_client,MATCH(L647,fa_num,0)),D647)&lt;&gt;D647),"Acompte d'un autre client",IF(AND(AR647&lt;&gt;"",N(Q647)&lt;0),"Acompte supérieur au total de la facture",IF(IF(AG647="Facture",COUNTIFS(fl_doc,A647,fl_check,"&lt;&gt;OK"),IF(AG647="Devis",COUNTIFS(dl_doc,F647,dl_check,"&lt;&gt;OK"),0))&gt;0,"Ligne(s) à corriger",IF(AND(W647&lt;&gt;"",N(W647)&lt;0),"Trop-perçu : vérifiez paiements et avoirs","OK")))))))))))))))))))))</f>
        <v/>
      </c>
      <c r="AA647" s="62" t="str">
        <f>IF(COUNTA(B647:D647,F647:O647)&gt;0,IF(B647="","Facture",B647),"")</f>
        <v/>
      </c>
      <c r="AB647" s="62" t="str">
        <f>IF(AA647="","",IF(AA647="Avoir",p_pav,IF(AA647="Facture d'acompte",p_pac,p_pfa)))</f>
        <v/>
      </c>
      <c r="AC647" s="62">
        <f>IF(ISNUMBER(C647),C647,0)</f>
        <v>0.0</v>
      </c>
      <c r="AD647" s="62" t="str">
        <f>IF(OR(AA647="",AC647=0),"",YEAR(AC647))</f>
        <v/>
      </c>
      <c r="AE647" s="62" t="str">
        <f>IF(AD647="","",COUNTIFS($AB$6:AB647,AB647,$AD$6:AD647,AD647))</f>
        <v/>
      </c>
      <c r="AF647" s="62">
        <f>IF(A647="",0,COUNTIF(fl_doc,A647))</f>
        <v>0.0</v>
      </c>
      <c r="AG647" s="62" t="str">
        <f>IF(A647="","",IF(AF647&gt;0,"Facture",IF(AND(F647&lt;&gt;"",AA647="Facture",ISNUMBER(MATCH(F647,dv_num,0))),"Devis","")))</f>
        <v/>
      </c>
      <c r="AH647" s="62" t="str">
        <f>IF(AND(A647&lt;&gt;"",F647&lt;&gt;"",AA647&lt;&gt;"Avoir"),F647,"")</f>
        <v/>
      </c>
      <c r="AI647" s="62" t="str">
        <f>IF(AG647="Devis",F647,"")</f>
        <v/>
      </c>
      <c r="AJ647" s="62">
        <f>IF(AG647="Facture",SUMIF(fl_doc,A647,fl_ht),IF(AG647="Devis",SUMIF(dl_doc,F647,dl_ht),0))</f>
        <v>0.0</v>
      </c>
      <c r="AK647" s="62">
        <f>IF(OR(AG647="",INDEX(p_rates,1)=""),0,IF(AG647="Facture",SUMIFS(fl_ht,fl_doc,A647,fl_rate,INDEX(p_rates,1)),SUMIFS(dl_ht,dl_doc,F647,dl_rate,INDEX(p_rates,1))))</f>
        <v>0.0</v>
      </c>
      <c r="AL647" s="62">
        <f>IF(OR(AG647="",INDEX(p_rates,2)=""),0,IF(AG647="Facture",SUMIFS(fl_ht,fl_doc,A647,fl_rate,INDEX(p_rates,2)),SUMIFS(dl_ht,dl_doc,F647,dl_rate,INDEX(p_rates,2))))</f>
        <v>0.0</v>
      </c>
      <c r="AM647" s="62">
        <f>IF(OR(AG647="",INDEX(p_rates,3)=""),0,IF(AG647="Facture",SUMIFS(fl_ht,fl_doc,A647,fl_rate,INDEX(p_rates,3)),SUMIFS(dl_ht,dl_doc,F647,dl_rate,INDEX(p_rates,3))))</f>
        <v>0.0</v>
      </c>
      <c r="AN647" s="62">
        <f>IF(OR(AG647="",INDEX(p_rates,4)=""),0,IF(AG647="Facture",SUMIFS(fl_ht,fl_doc,A647,fl_rate,INDEX(p_rates,4)),SUMIFS(dl_ht,dl_doc,F647,dl_rate,INDEX(p_rates,4))))</f>
        <v>0.0</v>
      </c>
      <c r="AO647" s="62">
        <f>IF(OR(AG647="",INDEX(p_rates,5)=""),0,IF(AG647="Facture",SUMIFS(fl_ht,fl_doc,A647,fl_rate,INDEX(p_rates,5)),SUMIFS(dl_ht,dl_doc,F647,dl_rate,INDEX(p_rates,5))))</f>
        <v>0.0</v>
      </c>
      <c r="AP647" s="62">
        <f>IF(OR(AG647="",INDEX(p_rates,6)=""),0,IF(AG647="Facture",SUMIFS(fl_ht,fl_doc,A647,fl_rate,INDEX(p_rates,6)),SUMIFS(dl_ht,dl_doc,F647,dl_rate,INDEX(p_rates,6))))</f>
        <v>0.0</v>
      </c>
      <c r="AQ647" s="62">
        <f>ROUND(AK647*N(INDEX(p_rates,1)),2)+ROUND(AL647*N(INDEX(p_rates,2)),2)+ROUND(AM647*N(INDEX(p_rates,3)),2)+ROUND(AN647*N(INDEX(p_rates,4)),2)+ROUND(AO647*N(INDEX(p_rates,5)),2)+ROUND(AP647*N(INDEX(p_rates,6)),2)</f>
        <v>0.0</v>
      </c>
      <c r="AR647" s="62" t="str">
        <f>IF(OR(L647="",AA647&lt;&gt;"Facture"),"",IFERROR(IF(INDEX(fa_type,MATCH(L647,fa_num,0))="Facture d'acompte",MATCH(L647,fa_num,0),""),""))</f>
        <v/>
      </c>
      <c r="AS647" s="62" t="str">
        <f>IF(W647="","",IF(W647&lt;=0,"",IF(p_asof-P647&lt;=0,"Non échu",IF(p_asof-P647&lt;=30,"1-30 j",IF(p_asof-P647&lt;=60,"31-60 j",IF(p_asof-P647&lt;=90,"61-90 j","Plus de 90 j"))))))</f>
        <v/>
      </c>
      <c r="AT647" s="62" t="str">
        <f>IF(AS647="","",p_asof-P647)</f>
        <v/>
      </c>
      <c r="AU647" s="62" t="str">
        <f>IF(AT647="","",COUNTIF($AT$6:$AT$805,"&gt;"&amp;AT647)+COUNTIF($AT$6:AT647,AT647))</f>
        <v/>
      </c>
    </row>
    <row r="648">
      <c r="A648" s="59" t="str">
        <f>IF(AE648="","",AB648&amp;"-"&amp;AD648&amp;"-"&amp;RIGHT("000"&amp;AE648,4))</f>
        <v/>
      </c>
      <c r="B648" s="60" t="n"/>
      <c r="C648" s="61" t="n"/>
      <c r="D648" s="60" t="n"/>
      <c r="E648" s="62" t="str">
        <f>IF(D648="","",IFERROR(INDEX(cli_name,MATCH(D648,cli_code,0))&amp;"","Client inconnu"))</f>
        <v/>
      </c>
      <c r="F648" s="60" t="n"/>
      <c r="G648" s="63" t="n"/>
      <c r="H648" s="61" t="n"/>
      <c r="I648" s="63" t="n"/>
      <c r="J648" s="60" t="n"/>
      <c r="K648" s="61" t="n"/>
      <c r="L648" s="60" t="n"/>
      <c r="M648" s="60" t="n"/>
      <c r="N648" s="60" t="n"/>
      <c r="O648" s="61" t="n"/>
      <c r="P648" s="64" t="str">
        <f>IF(A648="","",IF(AA648="Avoir",AC648,IF(ISNUMBER(K648),K648,AC648+IF(D648="",N(p_delay),IFERROR(IF(ISNUMBER(INDEX(cli_delay,MATCH(D648,cli_code,0))),INDEX(cli_delay,MATCH(D648,cli_code,0)),N(p_delay)),N(p_delay))))))</f>
        <v/>
      </c>
      <c r="Q648" s="65" t="str">
        <f>IF(A648="","",IF(AA648="Avoir",-1,1)*ROUND(AJ648-IF(AR648="",0,INDEX(fa_htb,AR648)),2))</f>
        <v/>
      </c>
      <c r="R648" s="65" t="str">
        <f>IF(A648="","",IF(AA648="Avoir",-1,1)*ROUND(AQ648-IF(AR648="",0,INDEX(fa_tvab,AR648)),2))</f>
        <v/>
      </c>
      <c r="S648" s="65" t="str">
        <f>IF(A648="","",Q648+R648)</f>
        <v/>
      </c>
      <c r="T648" s="65" t="str">
        <f>IF(AR648="","",INDEX(fa_htb,AR648)+INDEX(fa_tvab,AR648))</f>
        <v/>
      </c>
      <c r="U648" s="65" t="str">
        <f>IF(A648="","",SUMIF(pa_inv,A648,pa_amt))</f>
        <v/>
      </c>
      <c r="V648" s="65" t="str">
        <f>IF(OR(A648="",AA648="Avoir"),"",-SUMIFS(fa_ttc,fa_avof,A648,fa_type,"Avoir"))</f>
        <v/>
      </c>
      <c r="W648" s="65" t="str">
        <f>IF(OR(A648="",AA648="Avoir"),"",ROUND(S648-U648-V648,2))</f>
        <v/>
      </c>
      <c r="X648" s="66" t="str">
        <f>IF(W648="","",IF(AND(W648&gt;0,p_asof&gt;P648),p_asof-P648,""))</f>
        <v/>
      </c>
      <c r="Y648" s="59" t="str">
        <f>IF(A648="","",IF(AA648="Avoir","Avoir",IF(W648&lt;0,"Trop-perçu",IF(W648=0,"Soldée",IF(p_asof&gt;P648,"En retard",IF(U648+V648&gt;0,"Partielle","À échoir"))))))</f>
        <v/>
      </c>
      <c r="Z648" s="59" t="str">
        <f>IF(NOT(COUNTA(B648:D648,F648:O648)&gt;0),"",IF(C648="","Date manquante",IF(NOT(ISNUMBER(C648)),"Date invalide",IF(D648="","Client manquant",IF(ISNA(MATCH(D648,cli_code,0)),"Client inconnu",IF(AC648&lt;SUMPRODUCT(MAX(($AB$6:AB647=AB648)*$AC$6:AC647)),"Date antérieure à la facture précédente",IF(AND(F648&lt;&gt;"",ISNA(MATCH(F648,dv_num,0))),"Devis inconnu",IF(AND(F648&lt;&gt;"",IFERROR(INDEX(dv_client,MATCH(F648,dv_num,0)),D648)&lt;&gt;D648),"Client différent de celui du devis",IF(AG648="","Aucune ligne : saisissez des lignes ou un devis",IF(AND(AI648&lt;&gt;"",COUNTIF($AI$6:AI648,AI648)&gt;1),"Devis déjà repris par une autre facture",IF(AND(AA648="Avoir",M648=""),"Avoir : indiquez la facture d'origine",IF(AND(AA648="Avoir",ISNA(MATCH(M648,fa_num,0))),"Facture d'origine inconnue",IF(AND(AA648&lt;&gt;"Avoir",M648&lt;&gt;""),"« Avoir sur facture » : réservé aux avoirs",IF(AND(L648&lt;&gt;"",AA648&lt;&gt;"Facture"),"Acompte à déduire : réservé aux factures",IF(AND(L648&lt;&gt;"",ISNA(MATCH(L648,fa_num,0))),"Facture d'acompte inconnue",IF(AND(L648&lt;&gt;"",IFERROR(INDEX(fa_type,MATCH(L648,fa_num,0)),"")&lt;&gt;"Facture d'acompte"),"Le n° à déduire n'est pas une facture d'acompte",IF(AND(L648&lt;&gt;"",COUNTIF($L$6:L648,L648)&gt;1),"Acompte déjà déduit sur une autre facture",IF(AND(L648&lt;&gt;"",IFERROR(INDEX(fa_client,MATCH(L648,fa_num,0)),D648)&lt;&gt;D648),"Acompte d'un autre client",IF(AND(AR648&lt;&gt;"",N(Q648)&lt;0),"Acompte supérieur au total de la facture",IF(IF(AG648="Facture",COUNTIFS(fl_doc,A648,fl_check,"&lt;&gt;OK"),IF(AG648="Devis",COUNTIFS(dl_doc,F648,dl_check,"&lt;&gt;OK"),0))&gt;0,"Ligne(s) à corriger",IF(AND(W648&lt;&gt;"",N(W648)&lt;0),"Trop-perçu : vérifiez paiements et avoirs","OK")))))))))))))))))))))</f>
        <v/>
      </c>
      <c r="AA648" s="62" t="str">
        <f>IF(COUNTA(B648:D648,F648:O648)&gt;0,IF(B648="","Facture",B648),"")</f>
        <v/>
      </c>
      <c r="AB648" s="62" t="str">
        <f>IF(AA648="","",IF(AA648="Avoir",p_pav,IF(AA648="Facture d'acompte",p_pac,p_pfa)))</f>
        <v/>
      </c>
      <c r="AC648" s="62">
        <f>IF(ISNUMBER(C648),C648,0)</f>
        <v>0.0</v>
      </c>
      <c r="AD648" s="62" t="str">
        <f>IF(OR(AA648="",AC648=0),"",YEAR(AC648))</f>
        <v/>
      </c>
      <c r="AE648" s="62" t="str">
        <f>IF(AD648="","",COUNTIFS($AB$6:AB648,AB648,$AD$6:AD648,AD648))</f>
        <v/>
      </c>
      <c r="AF648" s="62">
        <f>IF(A648="",0,COUNTIF(fl_doc,A648))</f>
        <v>0.0</v>
      </c>
      <c r="AG648" s="62" t="str">
        <f>IF(A648="","",IF(AF648&gt;0,"Facture",IF(AND(F648&lt;&gt;"",AA648="Facture",ISNUMBER(MATCH(F648,dv_num,0))),"Devis","")))</f>
        <v/>
      </c>
      <c r="AH648" s="62" t="str">
        <f>IF(AND(A648&lt;&gt;"",F648&lt;&gt;"",AA648&lt;&gt;"Avoir"),F648,"")</f>
        <v/>
      </c>
      <c r="AI648" s="62" t="str">
        <f>IF(AG648="Devis",F648,"")</f>
        <v/>
      </c>
      <c r="AJ648" s="62">
        <f>IF(AG648="Facture",SUMIF(fl_doc,A648,fl_ht),IF(AG648="Devis",SUMIF(dl_doc,F648,dl_ht),0))</f>
        <v>0.0</v>
      </c>
      <c r="AK648" s="62">
        <f>IF(OR(AG648="",INDEX(p_rates,1)=""),0,IF(AG648="Facture",SUMIFS(fl_ht,fl_doc,A648,fl_rate,INDEX(p_rates,1)),SUMIFS(dl_ht,dl_doc,F648,dl_rate,INDEX(p_rates,1))))</f>
        <v>0.0</v>
      </c>
      <c r="AL648" s="62">
        <f>IF(OR(AG648="",INDEX(p_rates,2)=""),0,IF(AG648="Facture",SUMIFS(fl_ht,fl_doc,A648,fl_rate,INDEX(p_rates,2)),SUMIFS(dl_ht,dl_doc,F648,dl_rate,INDEX(p_rates,2))))</f>
        <v>0.0</v>
      </c>
      <c r="AM648" s="62">
        <f>IF(OR(AG648="",INDEX(p_rates,3)=""),0,IF(AG648="Facture",SUMIFS(fl_ht,fl_doc,A648,fl_rate,INDEX(p_rates,3)),SUMIFS(dl_ht,dl_doc,F648,dl_rate,INDEX(p_rates,3))))</f>
        <v>0.0</v>
      </c>
      <c r="AN648" s="62">
        <f>IF(OR(AG648="",INDEX(p_rates,4)=""),0,IF(AG648="Facture",SUMIFS(fl_ht,fl_doc,A648,fl_rate,INDEX(p_rates,4)),SUMIFS(dl_ht,dl_doc,F648,dl_rate,INDEX(p_rates,4))))</f>
        <v>0.0</v>
      </c>
      <c r="AO648" s="62">
        <f>IF(OR(AG648="",INDEX(p_rates,5)=""),0,IF(AG648="Facture",SUMIFS(fl_ht,fl_doc,A648,fl_rate,INDEX(p_rates,5)),SUMIFS(dl_ht,dl_doc,F648,dl_rate,INDEX(p_rates,5))))</f>
        <v>0.0</v>
      </c>
      <c r="AP648" s="62">
        <f>IF(OR(AG648="",INDEX(p_rates,6)=""),0,IF(AG648="Facture",SUMIFS(fl_ht,fl_doc,A648,fl_rate,INDEX(p_rates,6)),SUMIFS(dl_ht,dl_doc,F648,dl_rate,INDEX(p_rates,6))))</f>
        <v>0.0</v>
      </c>
      <c r="AQ648" s="62">
        <f>ROUND(AK648*N(INDEX(p_rates,1)),2)+ROUND(AL648*N(INDEX(p_rates,2)),2)+ROUND(AM648*N(INDEX(p_rates,3)),2)+ROUND(AN648*N(INDEX(p_rates,4)),2)+ROUND(AO648*N(INDEX(p_rates,5)),2)+ROUND(AP648*N(INDEX(p_rates,6)),2)</f>
        <v>0.0</v>
      </c>
      <c r="AR648" s="62" t="str">
        <f>IF(OR(L648="",AA648&lt;&gt;"Facture"),"",IFERROR(IF(INDEX(fa_type,MATCH(L648,fa_num,0))="Facture d'acompte",MATCH(L648,fa_num,0),""),""))</f>
        <v/>
      </c>
      <c r="AS648" s="62" t="str">
        <f>IF(W648="","",IF(W648&lt;=0,"",IF(p_asof-P648&lt;=0,"Non échu",IF(p_asof-P648&lt;=30,"1-30 j",IF(p_asof-P648&lt;=60,"31-60 j",IF(p_asof-P648&lt;=90,"61-90 j","Plus de 90 j"))))))</f>
        <v/>
      </c>
      <c r="AT648" s="62" t="str">
        <f>IF(AS648="","",p_asof-P648)</f>
        <v/>
      </c>
      <c r="AU648" s="62" t="str">
        <f>IF(AT648="","",COUNTIF($AT$6:$AT$805,"&gt;"&amp;AT648)+COUNTIF($AT$6:AT648,AT648))</f>
        <v/>
      </c>
    </row>
    <row r="649">
      <c r="A649" s="59" t="str">
        <f>IF(AE649="","",AB649&amp;"-"&amp;AD649&amp;"-"&amp;RIGHT("000"&amp;AE649,4))</f>
        <v/>
      </c>
      <c r="B649" s="60" t="n"/>
      <c r="C649" s="61" t="n"/>
      <c r="D649" s="60" t="n"/>
      <c r="E649" s="62" t="str">
        <f>IF(D649="","",IFERROR(INDEX(cli_name,MATCH(D649,cli_code,0))&amp;"","Client inconnu"))</f>
        <v/>
      </c>
      <c r="F649" s="60" t="n"/>
      <c r="G649" s="63" t="n"/>
      <c r="H649" s="61" t="n"/>
      <c r="I649" s="63" t="n"/>
      <c r="J649" s="60" t="n"/>
      <c r="K649" s="61" t="n"/>
      <c r="L649" s="60" t="n"/>
      <c r="M649" s="60" t="n"/>
      <c r="N649" s="60" t="n"/>
      <c r="O649" s="61" t="n"/>
      <c r="P649" s="64" t="str">
        <f>IF(A649="","",IF(AA649="Avoir",AC649,IF(ISNUMBER(K649),K649,AC649+IF(D649="",N(p_delay),IFERROR(IF(ISNUMBER(INDEX(cli_delay,MATCH(D649,cli_code,0))),INDEX(cli_delay,MATCH(D649,cli_code,0)),N(p_delay)),N(p_delay))))))</f>
        <v/>
      </c>
      <c r="Q649" s="65" t="str">
        <f>IF(A649="","",IF(AA649="Avoir",-1,1)*ROUND(AJ649-IF(AR649="",0,INDEX(fa_htb,AR649)),2))</f>
        <v/>
      </c>
      <c r="R649" s="65" t="str">
        <f>IF(A649="","",IF(AA649="Avoir",-1,1)*ROUND(AQ649-IF(AR649="",0,INDEX(fa_tvab,AR649)),2))</f>
        <v/>
      </c>
      <c r="S649" s="65" t="str">
        <f>IF(A649="","",Q649+R649)</f>
        <v/>
      </c>
      <c r="T649" s="65" t="str">
        <f>IF(AR649="","",INDEX(fa_htb,AR649)+INDEX(fa_tvab,AR649))</f>
        <v/>
      </c>
      <c r="U649" s="65" t="str">
        <f>IF(A649="","",SUMIF(pa_inv,A649,pa_amt))</f>
        <v/>
      </c>
      <c r="V649" s="65" t="str">
        <f>IF(OR(A649="",AA649="Avoir"),"",-SUMIFS(fa_ttc,fa_avof,A649,fa_type,"Avoir"))</f>
        <v/>
      </c>
      <c r="W649" s="65" t="str">
        <f>IF(OR(A649="",AA649="Avoir"),"",ROUND(S649-U649-V649,2))</f>
        <v/>
      </c>
      <c r="X649" s="66" t="str">
        <f>IF(W649="","",IF(AND(W649&gt;0,p_asof&gt;P649),p_asof-P649,""))</f>
        <v/>
      </c>
      <c r="Y649" s="59" t="str">
        <f>IF(A649="","",IF(AA649="Avoir","Avoir",IF(W649&lt;0,"Trop-perçu",IF(W649=0,"Soldée",IF(p_asof&gt;P649,"En retard",IF(U649+V649&gt;0,"Partielle","À échoir"))))))</f>
        <v/>
      </c>
      <c r="Z649" s="59" t="str">
        <f>IF(NOT(COUNTA(B649:D649,F649:O649)&gt;0),"",IF(C649="","Date manquante",IF(NOT(ISNUMBER(C649)),"Date invalide",IF(D649="","Client manquant",IF(ISNA(MATCH(D649,cli_code,0)),"Client inconnu",IF(AC649&lt;SUMPRODUCT(MAX(($AB$6:AB648=AB649)*$AC$6:AC648)),"Date antérieure à la facture précédente",IF(AND(F649&lt;&gt;"",ISNA(MATCH(F649,dv_num,0))),"Devis inconnu",IF(AND(F649&lt;&gt;"",IFERROR(INDEX(dv_client,MATCH(F649,dv_num,0)),D649)&lt;&gt;D649),"Client différent de celui du devis",IF(AG649="","Aucune ligne : saisissez des lignes ou un devis",IF(AND(AI649&lt;&gt;"",COUNTIF($AI$6:AI649,AI649)&gt;1),"Devis déjà repris par une autre facture",IF(AND(AA649="Avoir",M649=""),"Avoir : indiquez la facture d'origine",IF(AND(AA649="Avoir",ISNA(MATCH(M649,fa_num,0))),"Facture d'origine inconnue",IF(AND(AA649&lt;&gt;"Avoir",M649&lt;&gt;""),"« Avoir sur facture » : réservé aux avoirs",IF(AND(L649&lt;&gt;"",AA649&lt;&gt;"Facture"),"Acompte à déduire : réservé aux factures",IF(AND(L649&lt;&gt;"",ISNA(MATCH(L649,fa_num,0))),"Facture d'acompte inconnue",IF(AND(L649&lt;&gt;"",IFERROR(INDEX(fa_type,MATCH(L649,fa_num,0)),"")&lt;&gt;"Facture d'acompte"),"Le n° à déduire n'est pas une facture d'acompte",IF(AND(L649&lt;&gt;"",COUNTIF($L$6:L649,L649)&gt;1),"Acompte déjà déduit sur une autre facture",IF(AND(L649&lt;&gt;"",IFERROR(INDEX(fa_client,MATCH(L649,fa_num,0)),D649)&lt;&gt;D649),"Acompte d'un autre client",IF(AND(AR649&lt;&gt;"",N(Q649)&lt;0),"Acompte supérieur au total de la facture",IF(IF(AG649="Facture",COUNTIFS(fl_doc,A649,fl_check,"&lt;&gt;OK"),IF(AG649="Devis",COUNTIFS(dl_doc,F649,dl_check,"&lt;&gt;OK"),0))&gt;0,"Ligne(s) à corriger",IF(AND(W649&lt;&gt;"",N(W649)&lt;0),"Trop-perçu : vérifiez paiements et avoirs","OK")))))))))))))))))))))</f>
        <v/>
      </c>
      <c r="AA649" s="62" t="str">
        <f>IF(COUNTA(B649:D649,F649:O649)&gt;0,IF(B649="","Facture",B649),"")</f>
        <v/>
      </c>
      <c r="AB649" s="62" t="str">
        <f>IF(AA649="","",IF(AA649="Avoir",p_pav,IF(AA649="Facture d'acompte",p_pac,p_pfa)))</f>
        <v/>
      </c>
      <c r="AC649" s="62">
        <f>IF(ISNUMBER(C649),C649,0)</f>
        <v>0.0</v>
      </c>
      <c r="AD649" s="62" t="str">
        <f>IF(OR(AA649="",AC649=0),"",YEAR(AC649))</f>
        <v/>
      </c>
      <c r="AE649" s="62" t="str">
        <f>IF(AD649="","",COUNTIFS($AB$6:AB649,AB649,$AD$6:AD649,AD649))</f>
        <v/>
      </c>
      <c r="AF649" s="62">
        <f>IF(A649="",0,COUNTIF(fl_doc,A649))</f>
        <v>0.0</v>
      </c>
      <c r="AG649" s="62" t="str">
        <f>IF(A649="","",IF(AF649&gt;0,"Facture",IF(AND(F649&lt;&gt;"",AA649="Facture",ISNUMBER(MATCH(F649,dv_num,0))),"Devis","")))</f>
        <v/>
      </c>
      <c r="AH649" s="62" t="str">
        <f>IF(AND(A649&lt;&gt;"",F649&lt;&gt;"",AA649&lt;&gt;"Avoir"),F649,"")</f>
        <v/>
      </c>
      <c r="AI649" s="62" t="str">
        <f>IF(AG649="Devis",F649,"")</f>
        <v/>
      </c>
      <c r="AJ649" s="62">
        <f>IF(AG649="Facture",SUMIF(fl_doc,A649,fl_ht),IF(AG649="Devis",SUMIF(dl_doc,F649,dl_ht),0))</f>
        <v>0.0</v>
      </c>
      <c r="AK649" s="62">
        <f>IF(OR(AG649="",INDEX(p_rates,1)=""),0,IF(AG649="Facture",SUMIFS(fl_ht,fl_doc,A649,fl_rate,INDEX(p_rates,1)),SUMIFS(dl_ht,dl_doc,F649,dl_rate,INDEX(p_rates,1))))</f>
        <v>0.0</v>
      </c>
      <c r="AL649" s="62">
        <f>IF(OR(AG649="",INDEX(p_rates,2)=""),0,IF(AG649="Facture",SUMIFS(fl_ht,fl_doc,A649,fl_rate,INDEX(p_rates,2)),SUMIFS(dl_ht,dl_doc,F649,dl_rate,INDEX(p_rates,2))))</f>
        <v>0.0</v>
      </c>
      <c r="AM649" s="62">
        <f>IF(OR(AG649="",INDEX(p_rates,3)=""),0,IF(AG649="Facture",SUMIFS(fl_ht,fl_doc,A649,fl_rate,INDEX(p_rates,3)),SUMIFS(dl_ht,dl_doc,F649,dl_rate,INDEX(p_rates,3))))</f>
        <v>0.0</v>
      </c>
      <c r="AN649" s="62">
        <f>IF(OR(AG649="",INDEX(p_rates,4)=""),0,IF(AG649="Facture",SUMIFS(fl_ht,fl_doc,A649,fl_rate,INDEX(p_rates,4)),SUMIFS(dl_ht,dl_doc,F649,dl_rate,INDEX(p_rates,4))))</f>
        <v>0.0</v>
      </c>
      <c r="AO649" s="62">
        <f>IF(OR(AG649="",INDEX(p_rates,5)=""),0,IF(AG649="Facture",SUMIFS(fl_ht,fl_doc,A649,fl_rate,INDEX(p_rates,5)),SUMIFS(dl_ht,dl_doc,F649,dl_rate,INDEX(p_rates,5))))</f>
        <v>0.0</v>
      </c>
      <c r="AP649" s="62">
        <f>IF(OR(AG649="",INDEX(p_rates,6)=""),0,IF(AG649="Facture",SUMIFS(fl_ht,fl_doc,A649,fl_rate,INDEX(p_rates,6)),SUMIFS(dl_ht,dl_doc,F649,dl_rate,INDEX(p_rates,6))))</f>
        <v>0.0</v>
      </c>
      <c r="AQ649" s="62">
        <f>ROUND(AK649*N(INDEX(p_rates,1)),2)+ROUND(AL649*N(INDEX(p_rates,2)),2)+ROUND(AM649*N(INDEX(p_rates,3)),2)+ROUND(AN649*N(INDEX(p_rates,4)),2)+ROUND(AO649*N(INDEX(p_rates,5)),2)+ROUND(AP649*N(INDEX(p_rates,6)),2)</f>
        <v>0.0</v>
      </c>
      <c r="AR649" s="62" t="str">
        <f>IF(OR(L649="",AA649&lt;&gt;"Facture"),"",IFERROR(IF(INDEX(fa_type,MATCH(L649,fa_num,0))="Facture d'acompte",MATCH(L649,fa_num,0),""),""))</f>
        <v/>
      </c>
      <c r="AS649" s="62" t="str">
        <f>IF(W649="","",IF(W649&lt;=0,"",IF(p_asof-P649&lt;=0,"Non échu",IF(p_asof-P649&lt;=30,"1-30 j",IF(p_asof-P649&lt;=60,"31-60 j",IF(p_asof-P649&lt;=90,"61-90 j","Plus de 90 j"))))))</f>
        <v/>
      </c>
      <c r="AT649" s="62" t="str">
        <f>IF(AS649="","",p_asof-P649)</f>
        <v/>
      </c>
      <c r="AU649" s="62" t="str">
        <f>IF(AT649="","",COUNTIF($AT$6:$AT$805,"&gt;"&amp;AT649)+COUNTIF($AT$6:AT649,AT649))</f>
        <v/>
      </c>
    </row>
    <row r="650">
      <c r="A650" s="59" t="str">
        <f>IF(AE650="","",AB650&amp;"-"&amp;AD650&amp;"-"&amp;RIGHT("000"&amp;AE650,4))</f>
        <v/>
      </c>
      <c r="B650" s="60" t="n"/>
      <c r="C650" s="61" t="n"/>
      <c r="D650" s="60" t="n"/>
      <c r="E650" s="62" t="str">
        <f>IF(D650="","",IFERROR(INDEX(cli_name,MATCH(D650,cli_code,0))&amp;"","Client inconnu"))</f>
        <v/>
      </c>
      <c r="F650" s="60" t="n"/>
      <c r="G650" s="63" t="n"/>
      <c r="H650" s="61" t="n"/>
      <c r="I650" s="63" t="n"/>
      <c r="J650" s="60" t="n"/>
      <c r="K650" s="61" t="n"/>
      <c r="L650" s="60" t="n"/>
      <c r="M650" s="60" t="n"/>
      <c r="N650" s="60" t="n"/>
      <c r="O650" s="61" t="n"/>
      <c r="P650" s="64" t="str">
        <f>IF(A650="","",IF(AA650="Avoir",AC650,IF(ISNUMBER(K650),K650,AC650+IF(D650="",N(p_delay),IFERROR(IF(ISNUMBER(INDEX(cli_delay,MATCH(D650,cli_code,0))),INDEX(cli_delay,MATCH(D650,cli_code,0)),N(p_delay)),N(p_delay))))))</f>
        <v/>
      </c>
      <c r="Q650" s="65" t="str">
        <f>IF(A650="","",IF(AA650="Avoir",-1,1)*ROUND(AJ650-IF(AR650="",0,INDEX(fa_htb,AR650)),2))</f>
        <v/>
      </c>
      <c r="R650" s="65" t="str">
        <f>IF(A650="","",IF(AA650="Avoir",-1,1)*ROUND(AQ650-IF(AR650="",0,INDEX(fa_tvab,AR650)),2))</f>
        <v/>
      </c>
      <c r="S650" s="65" t="str">
        <f>IF(A650="","",Q650+R650)</f>
        <v/>
      </c>
      <c r="T650" s="65" t="str">
        <f>IF(AR650="","",INDEX(fa_htb,AR650)+INDEX(fa_tvab,AR650))</f>
        <v/>
      </c>
      <c r="U650" s="65" t="str">
        <f>IF(A650="","",SUMIF(pa_inv,A650,pa_amt))</f>
        <v/>
      </c>
      <c r="V650" s="65" t="str">
        <f>IF(OR(A650="",AA650="Avoir"),"",-SUMIFS(fa_ttc,fa_avof,A650,fa_type,"Avoir"))</f>
        <v/>
      </c>
      <c r="W650" s="65" t="str">
        <f>IF(OR(A650="",AA650="Avoir"),"",ROUND(S650-U650-V650,2))</f>
        <v/>
      </c>
      <c r="X650" s="66" t="str">
        <f>IF(W650="","",IF(AND(W650&gt;0,p_asof&gt;P650),p_asof-P650,""))</f>
        <v/>
      </c>
      <c r="Y650" s="59" t="str">
        <f>IF(A650="","",IF(AA650="Avoir","Avoir",IF(W650&lt;0,"Trop-perçu",IF(W650=0,"Soldée",IF(p_asof&gt;P650,"En retard",IF(U650+V650&gt;0,"Partielle","À échoir"))))))</f>
        <v/>
      </c>
      <c r="Z650" s="59" t="str">
        <f>IF(NOT(COUNTA(B650:D650,F650:O650)&gt;0),"",IF(C650="","Date manquante",IF(NOT(ISNUMBER(C650)),"Date invalide",IF(D650="","Client manquant",IF(ISNA(MATCH(D650,cli_code,0)),"Client inconnu",IF(AC650&lt;SUMPRODUCT(MAX(($AB$6:AB649=AB650)*$AC$6:AC649)),"Date antérieure à la facture précédente",IF(AND(F650&lt;&gt;"",ISNA(MATCH(F650,dv_num,0))),"Devis inconnu",IF(AND(F650&lt;&gt;"",IFERROR(INDEX(dv_client,MATCH(F650,dv_num,0)),D650)&lt;&gt;D650),"Client différent de celui du devis",IF(AG650="","Aucune ligne : saisissez des lignes ou un devis",IF(AND(AI650&lt;&gt;"",COUNTIF($AI$6:AI650,AI650)&gt;1),"Devis déjà repris par une autre facture",IF(AND(AA650="Avoir",M650=""),"Avoir : indiquez la facture d'origine",IF(AND(AA650="Avoir",ISNA(MATCH(M650,fa_num,0))),"Facture d'origine inconnue",IF(AND(AA650&lt;&gt;"Avoir",M650&lt;&gt;""),"« Avoir sur facture » : réservé aux avoirs",IF(AND(L650&lt;&gt;"",AA650&lt;&gt;"Facture"),"Acompte à déduire : réservé aux factures",IF(AND(L650&lt;&gt;"",ISNA(MATCH(L650,fa_num,0))),"Facture d'acompte inconnue",IF(AND(L650&lt;&gt;"",IFERROR(INDEX(fa_type,MATCH(L650,fa_num,0)),"")&lt;&gt;"Facture d'acompte"),"Le n° à déduire n'est pas une facture d'acompte",IF(AND(L650&lt;&gt;"",COUNTIF($L$6:L650,L650)&gt;1),"Acompte déjà déduit sur une autre facture",IF(AND(L650&lt;&gt;"",IFERROR(INDEX(fa_client,MATCH(L650,fa_num,0)),D650)&lt;&gt;D650),"Acompte d'un autre client",IF(AND(AR650&lt;&gt;"",N(Q650)&lt;0),"Acompte supérieur au total de la facture",IF(IF(AG650="Facture",COUNTIFS(fl_doc,A650,fl_check,"&lt;&gt;OK"),IF(AG650="Devis",COUNTIFS(dl_doc,F650,dl_check,"&lt;&gt;OK"),0))&gt;0,"Ligne(s) à corriger",IF(AND(W650&lt;&gt;"",N(W650)&lt;0),"Trop-perçu : vérifiez paiements et avoirs","OK")))))))))))))))))))))</f>
        <v/>
      </c>
      <c r="AA650" s="62" t="str">
        <f>IF(COUNTA(B650:D650,F650:O650)&gt;0,IF(B650="","Facture",B650),"")</f>
        <v/>
      </c>
      <c r="AB650" s="62" t="str">
        <f>IF(AA650="","",IF(AA650="Avoir",p_pav,IF(AA650="Facture d'acompte",p_pac,p_pfa)))</f>
        <v/>
      </c>
      <c r="AC650" s="62">
        <f>IF(ISNUMBER(C650),C650,0)</f>
        <v>0.0</v>
      </c>
      <c r="AD650" s="62" t="str">
        <f>IF(OR(AA650="",AC650=0),"",YEAR(AC650))</f>
        <v/>
      </c>
      <c r="AE650" s="62" t="str">
        <f>IF(AD650="","",COUNTIFS($AB$6:AB650,AB650,$AD$6:AD650,AD650))</f>
        <v/>
      </c>
      <c r="AF650" s="62">
        <f>IF(A650="",0,COUNTIF(fl_doc,A650))</f>
        <v>0.0</v>
      </c>
      <c r="AG650" s="62" t="str">
        <f>IF(A650="","",IF(AF650&gt;0,"Facture",IF(AND(F650&lt;&gt;"",AA650="Facture",ISNUMBER(MATCH(F650,dv_num,0))),"Devis","")))</f>
        <v/>
      </c>
      <c r="AH650" s="62" t="str">
        <f>IF(AND(A650&lt;&gt;"",F650&lt;&gt;"",AA650&lt;&gt;"Avoir"),F650,"")</f>
        <v/>
      </c>
      <c r="AI650" s="62" t="str">
        <f>IF(AG650="Devis",F650,"")</f>
        <v/>
      </c>
      <c r="AJ650" s="62">
        <f>IF(AG650="Facture",SUMIF(fl_doc,A650,fl_ht),IF(AG650="Devis",SUMIF(dl_doc,F650,dl_ht),0))</f>
        <v>0.0</v>
      </c>
      <c r="AK650" s="62">
        <f>IF(OR(AG650="",INDEX(p_rates,1)=""),0,IF(AG650="Facture",SUMIFS(fl_ht,fl_doc,A650,fl_rate,INDEX(p_rates,1)),SUMIFS(dl_ht,dl_doc,F650,dl_rate,INDEX(p_rates,1))))</f>
        <v>0.0</v>
      </c>
      <c r="AL650" s="62">
        <f>IF(OR(AG650="",INDEX(p_rates,2)=""),0,IF(AG650="Facture",SUMIFS(fl_ht,fl_doc,A650,fl_rate,INDEX(p_rates,2)),SUMIFS(dl_ht,dl_doc,F650,dl_rate,INDEX(p_rates,2))))</f>
        <v>0.0</v>
      </c>
      <c r="AM650" s="62">
        <f>IF(OR(AG650="",INDEX(p_rates,3)=""),0,IF(AG650="Facture",SUMIFS(fl_ht,fl_doc,A650,fl_rate,INDEX(p_rates,3)),SUMIFS(dl_ht,dl_doc,F650,dl_rate,INDEX(p_rates,3))))</f>
        <v>0.0</v>
      </c>
      <c r="AN650" s="62">
        <f>IF(OR(AG650="",INDEX(p_rates,4)=""),0,IF(AG650="Facture",SUMIFS(fl_ht,fl_doc,A650,fl_rate,INDEX(p_rates,4)),SUMIFS(dl_ht,dl_doc,F650,dl_rate,INDEX(p_rates,4))))</f>
        <v>0.0</v>
      </c>
      <c r="AO650" s="62">
        <f>IF(OR(AG650="",INDEX(p_rates,5)=""),0,IF(AG650="Facture",SUMIFS(fl_ht,fl_doc,A650,fl_rate,INDEX(p_rates,5)),SUMIFS(dl_ht,dl_doc,F650,dl_rate,INDEX(p_rates,5))))</f>
        <v>0.0</v>
      </c>
      <c r="AP650" s="62">
        <f>IF(OR(AG650="",INDEX(p_rates,6)=""),0,IF(AG650="Facture",SUMIFS(fl_ht,fl_doc,A650,fl_rate,INDEX(p_rates,6)),SUMIFS(dl_ht,dl_doc,F650,dl_rate,INDEX(p_rates,6))))</f>
        <v>0.0</v>
      </c>
      <c r="AQ650" s="62">
        <f>ROUND(AK650*N(INDEX(p_rates,1)),2)+ROUND(AL650*N(INDEX(p_rates,2)),2)+ROUND(AM650*N(INDEX(p_rates,3)),2)+ROUND(AN650*N(INDEX(p_rates,4)),2)+ROUND(AO650*N(INDEX(p_rates,5)),2)+ROUND(AP650*N(INDEX(p_rates,6)),2)</f>
        <v>0.0</v>
      </c>
      <c r="AR650" s="62" t="str">
        <f>IF(OR(L650="",AA650&lt;&gt;"Facture"),"",IFERROR(IF(INDEX(fa_type,MATCH(L650,fa_num,0))="Facture d'acompte",MATCH(L650,fa_num,0),""),""))</f>
        <v/>
      </c>
      <c r="AS650" s="62" t="str">
        <f>IF(W650="","",IF(W650&lt;=0,"",IF(p_asof-P650&lt;=0,"Non échu",IF(p_asof-P650&lt;=30,"1-30 j",IF(p_asof-P650&lt;=60,"31-60 j",IF(p_asof-P650&lt;=90,"61-90 j","Plus de 90 j"))))))</f>
        <v/>
      </c>
      <c r="AT650" s="62" t="str">
        <f>IF(AS650="","",p_asof-P650)</f>
        <v/>
      </c>
      <c r="AU650" s="62" t="str">
        <f>IF(AT650="","",COUNTIF($AT$6:$AT$805,"&gt;"&amp;AT650)+COUNTIF($AT$6:AT650,AT650))</f>
        <v/>
      </c>
    </row>
    <row r="651">
      <c r="A651" s="59" t="str">
        <f>IF(AE651="","",AB651&amp;"-"&amp;AD651&amp;"-"&amp;RIGHT("000"&amp;AE651,4))</f>
        <v/>
      </c>
      <c r="B651" s="60" t="n"/>
      <c r="C651" s="61" t="n"/>
      <c r="D651" s="60" t="n"/>
      <c r="E651" s="62" t="str">
        <f>IF(D651="","",IFERROR(INDEX(cli_name,MATCH(D651,cli_code,0))&amp;"","Client inconnu"))</f>
        <v/>
      </c>
      <c r="F651" s="60" t="n"/>
      <c r="G651" s="63" t="n"/>
      <c r="H651" s="61" t="n"/>
      <c r="I651" s="63" t="n"/>
      <c r="J651" s="60" t="n"/>
      <c r="K651" s="61" t="n"/>
      <c r="L651" s="60" t="n"/>
      <c r="M651" s="60" t="n"/>
      <c r="N651" s="60" t="n"/>
      <c r="O651" s="61" t="n"/>
      <c r="P651" s="64" t="str">
        <f>IF(A651="","",IF(AA651="Avoir",AC651,IF(ISNUMBER(K651),K651,AC651+IF(D651="",N(p_delay),IFERROR(IF(ISNUMBER(INDEX(cli_delay,MATCH(D651,cli_code,0))),INDEX(cli_delay,MATCH(D651,cli_code,0)),N(p_delay)),N(p_delay))))))</f>
        <v/>
      </c>
      <c r="Q651" s="65" t="str">
        <f>IF(A651="","",IF(AA651="Avoir",-1,1)*ROUND(AJ651-IF(AR651="",0,INDEX(fa_htb,AR651)),2))</f>
        <v/>
      </c>
      <c r="R651" s="65" t="str">
        <f>IF(A651="","",IF(AA651="Avoir",-1,1)*ROUND(AQ651-IF(AR651="",0,INDEX(fa_tvab,AR651)),2))</f>
        <v/>
      </c>
      <c r="S651" s="65" t="str">
        <f>IF(A651="","",Q651+R651)</f>
        <v/>
      </c>
      <c r="T651" s="65" t="str">
        <f>IF(AR651="","",INDEX(fa_htb,AR651)+INDEX(fa_tvab,AR651))</f>
        <v/>
      </c>
      <c r="U651" s="65" t="str">
        <f>IF(A651="","",SUMIF(pa_inv,A651,pa_amt))</f>
        <v/>
      </c>
      <c r="V651" s="65" t="str">
        <f>IF(OR(A651="",AA651="Avoir"),"",-SUMIFS(fa_ttc,fa_avof,A651,fa_type,"Avoir"))</f>
        <v/>
      </c>
      <c r="W651" s="65" t="str">
        <f>IF(OR(A651="",AA651="Avoir"),"",ROUND(S651-U651-V651,2))</f>
        <v/>
      </c>
      <c r="X651" s="66" t="str">
        <f>IF(W651="","",IF(AND(W651&gt;0,p_asof&gt;P651),p_asof-P651,""))</f>
        <v/>
      </c>
      <c r="Y651" s="59" t="str">
        <f>IF(A651="","",IF(AA651="Avoir","Avoir",IF(W651&lt;0,"Trop-perçu",IF(W651=0,"Soldée",IF(p_asof&gt;P651,"En retard",IF(U651+V651&gt;0,"Partielle","À échoir"))))))</f>
        <v/>
      </c>
      <c r="Z651" s="59" t="str">
        <f>IF(NOT(COUNTA(B651:D651,F651:O651)&gt;0),"",IF(C651="","Date manquante",IF(NOT(ISNUMBER(C651)),"Date invalide",IF(D651="","Client manquant",IF(ISNA(MATCH(D651,cli_code,0)),"Client inconnu",IF(AC651&lt;SUMPRODUCT(MAX(($AB$6:AB650=AB651)*$AC$6:AC650)),"Date antérieure à la facture précédente",IF(AND(F651&lt;&gt;"",ISNA(MATCH(F651,dv_num,0))),"Devis inconnu",IF(AND(F651&lt;&gt;"",IFERROR(INDEX(dv_client,MATCH(F651,dv_num,0)),D651)&lt;&gt;D651),"Client différent de celui du devis",IF(AG651="","Aucune ligne : saisissez des lignes ou un devis",IF(AND(AI651&lt;&gt;"",COUNTIF($AI$6:AI651,AI651)&gt;1),"Devis déjà repris par une autre facture",IF(AND(AA651="Avoir",M651=""),"Avoir : indiquez la facture d'origine",IF(AND(AA651="Avoir",ISNA(MATCH(M651,fa_num,0))),"Facture d'origine inconnue",IF(AND(AA651&lt;&gt;"Avoir",M651&lt;&gt;""),"« Avoir sur facture » : réservé aux avoirs",IF(AND(L651&lt;&gt;"",AA651&lt;&gt;"Facture"),"Acompte à déduire : réservé aux factures",IF(AND(L651&lt;&gt;"",ISNA(MATCH(L651,fa_num,0))),"Facture d'acompte inconnue",IF(AND(L651&lt;&gt;"",IFERROR(INDEX(fa_type,MATCH(L651,fa_num,0)),"")&lt;&gt;"Facture d'acompte"),"Le n° à déduire n'est pas une facture d'acompte",IF(AND(L651&lt;&gt;"",COUNTIF($L$6:L651,L651)&gt;1),"Acompte déjà déduit sur une autre facture",IF(AND(L651&lt;&gt;"",IFERROR(INDEX(fa_client,MATCH(L651,fa_num,0)),D651)&lt;&gt;D651),"Acompte d'un autre client",IF(AND(AR651&lt;&gt;"",N(Q651)&lt;0),"Acompte supérieur au total de la facture",IF(IF(AG651="Facture",COUNTIFS(fl_doc,A651,fl_check,"&lt;&gt;OK"),IF(AG651="Devis",COUNTIFS(dl_doc,F651,dl_check,"&lt;&gt;OK"),0))&gt;0,"Ligne(s) à corriger",IF(AND(W651&lt;&gt;"",N(W651)&lt;0),"Trop-perçu : vérifiez paiements et avoirs","OK")))))))))))))))))))))</f>
        <v/>
      </c>
      <c r="AA651" s="62" t="str">
        <f>IF(COUNTA(B651:D651,F651:O651)&gt;0,IF(B651="","Facture",B651),"")</f>
        <v/>
      </c>
      <c r="AB651" s="62" t="str">
        <f>IF(AA651="","",IF(AA651="Avoir",p_pav,IF(AA651="Facture d'acompte",p_pac,p_pfa)))</f>
        <v/>
      </c>
      <c r="AC651" s="62">
        <f>IF(ISNUMBER(C651),C651,0)</f>
        <v>0.0</v>
      </c>
      <c r="AD651" s="62" t="str">
        <f>IF(OR(AA651="",AC651=0),"",YEAR(AC651))</f>
        <v/>
      </c>
      <c r="AE651" s="62" t="str">
        <f>IF(AD651="","",COUNTIFS($AB$6:AB651,AB651,$AD$6:AD651,AD651))</f>
        <v/>
      </c>
      <c r="AF651" s="62">
        <f>IF(A651="",0,COUNTIF(fl_doc,A651))</f>
        <v>0.0</v>
      </c>
      <c r="AG651" s="62" t="str">
        <f>IF(A651="","",IF(AF651&gt;0,"Facture",IF(AND(F651&lt;&gt;"",AA651="Facture",ISNUMBER(MATCH(F651,dv_num,0))),"Devis","")))</f>
        <v/>
      </c>
      <c r="AH651" s="62" t="str">
        <f>IF(AND(A651&lt;&gt;"",F651&lt;&gt;"",AA651&lt;&gt;"Avoir"),F651,"")</f>
        <v/>
      </c>
      <c r="AI651" s="62" t="str">
        <f>IF(AG651="Devis",F651,"")</f>
        <v/>
      </c>
      <c r="AJ651" s="62">
        <f>IF(AG651="Facture",SUMIF(fl_doc,A651,fl_ht),IF(AG651="Devis",SUMIF(dl_doc,F651,dl_ht),0))</f>
        <v>0.0</v>
      </c>
      <c r="AK651" s="62">
        <f>IF(OR(AG651="",INDEX(p_rates,1)=""),0,IF(AG651="Facture",SUMIFS(fl_ht,fl_doc,A651,fl_rate,INDEX(p_rates,1)),SUMIFS(dl_ht,dl_doc,F651,dl_rate,INDEX(p_rates,1))))</f>
        <v>0.0</v>
      </c>
      <c r="AL651" s="62">
        <f>IF(OR(AG651="",INDEX(p_rates,2)=""),0,IF(AG651="Facture",SUMIFS(fl_ht,fl_doc,A651,fl_rate,INDEX(p_rates,2)),SUMIFS(dl_ht,dl_doc,F651,dl_rate,INDEX(p_rates,2))))</f>
        <v>0.0</v>
      </c>
      <c r="AM651" s="62">
        <f>IF(OR(AG651="",INDEX(p_rates,3)=""),0,IF(AG651="Facture",SUMIFS(fl_ht,fl_doc,A651,fl_rate,INDEX(p_rates,3)),SUMIFS(dl_ht,dl_doc,F651,dl_rate,INDEX(p_rates,3))))</f>
        <v>0.0</v>
      </c>
      <c r="AN651" s="62">
        <f>IF(OR(AG651="",INDEX(p_rates,4)=""),0,IF(AG651="Facture",SUMIFS(fl_ht,fl_doc,A651,fl_rate,INDEX(p_rates,4)),SUMIFS(dl_ht,dl_doc,F651,dl_rate,INDEX(p_rates,4))))</f>
        <v>0.0</v>
      </c>
      <c r="AO651" s="62">
        <f>IF(OR(AG651="",INDEX(p_rates,5)=""),0,IF(AG651="Facture",SUMIFS(fl_ht,fl_doc,A651,fl_rate,INDEX(p_rates,5)),SUMIFS(dl_ht,dl_doc,F651,dl_rate,INDEX(p_rates,5))))</f>
        <v>0.0</v>
      </c>
      <c r="AP651" s="62">
        <f>IF(OR(AG651="",INDEX(p_rates,6)=""),0,IF(AG651="Facture",SUMIFS(fl_ht,fl_doc,A651,fl_rate,INDEX(p_rates,6)),SUMIFS(dl_ht,dl_doc,F651,dl_rate,INDEX(p_rates,6))))</f>
        <v>0.0</v>
      </c>
      <c r="AQ651" s="62">
        <f>ROUND(AK651*N(INDEX(p_rates,1)),2)+ROUND(AL651*N(INDEX(p_rates,2)),2)+ROUND(AM651*N(INDEX(p_rates,3)),2)+ROUND(AN651*N(INDEX(p_rates,4)),2)+ROUND(AO651*N(INDEX(p_rates,5)),2)+ROUND(AP651*N(INDEX(p_rates,6)),2)</f>
        <v>0.0</v>
      </c>
      <c r="AR651" s="62" t="str">
        <f>IF(OR(L651="",AA651&lt;&gt;"Facture"),"",IFERROR(IF(INDEX(fa_type,MATCH(L651,fa_num,0))="Facture d'acompte",MATCH(L651,fa_num,0),""),""))</f>
        <v/>
      </c>
      <c r="AS651" s="62" t="str">
        <f>IF(W651="","",IF(W651&lt;=0,"",IF(p_asof-P651&lt;=0,"Non échu",IF(p_asof-P651&lt;=30,"1-30 j",IF(p_asof-P651&lt;=60,"31-60 j",IF(p_asof-P651&lt;=90,"61-90 j","Plus de 90 j"))))))</f>
        <v/>
      </c>
      <c r="AT651" s="62" t="str">
        <f>IF(AS651="","",p_asof-P651)</f>
        <v/>
      </c>
      <c r="AU651" s="62" t="str">
        <f>IF(AT651="","",COUNTIF($AT$6:$AT$805,"&gt;"&amp;AT651)+COUNTIF($AT$6:AT651,AT651))</f>
        <v/>
      </c>
    </row>
    <row r="652">
      <c r="A652" s="59" t="str">
        <f>IF(AE652="","",AB652&amp;"-"&amp;AD652&amp;"-"&amp;RIGHT("000"&amp;AE652,4))</f>
        <v/>
      </c>
      <c r="B652" s="60" t="n"/>
      <c r="C652" s="61" t="n"/>
      <c r="D652" s="60" t="n"/>
      <c r="E652" s="62" t="str">
        <f>IF(D652="","",IFERROR(INDEX(cli_name,MATCH(D652,cli_code,0))&amp;"","Client inconnu"))</f>
        <v/>
      </c>
      <c r="F652" s="60" t="n"/>
      <c r="G652" s="63" t="n"/>
      <c r="H652" s="61" t="n"/>
      <c r="I652" s="63" t="n"/>
      <c r="J652" s="60" t="n"/>
      <c r="K652" s="61" t="n"/>
      <c r="L652" s="60" t="n"/>
      <c r="M652" s="60" t="n"/>
      <c r="N652" s="60" t="n"/>
      <c r="O652" s="61" t="n"/>
      <c r="P652" s="64" t="str">
        <f>IF(A652="","",IF(AA652="Avoir",AC652,IF(ISNUMBER(K652),K652,AC652+IF(D652="",N(p_delay),IFERROR(IF(ISNUMBER(INDEX(cli_delay,MATCH(D652,cli_code,0))),INDEX(cli_delay,MATCH(D652,cli_code,0)),N(p_delay)),N(p_delay))))))</f>
        <v/>
      </c>
      <c r="Q652" s="65" t="str">
        <f>IF(A652="","",IF(AA652="Avoir",-1,1)*ROUND(AJ652-IF(AR652="",0,INDEX(fa_htb,AR652)),2))</f>
        <v/>
      </c>
      <c r="R652" s="65" t="str">
        <f>IF(A652="","",IF(AA652="Avoir",-1,1)*ROUND(AQ652-IF(AR652="",0,INDEX(fa_tvab,AR652)),2))</f>
        <v/>
      </c>
      <c r="S652" s="65" t="str">
        <f>IF(A652="","",Q652+R652)</f>
        <v/>
      </c>
      <c r="T652" s="65" t="str">
        <f>IF(AR652="","",INDEX(fa_htb,AR652)+INDEX(fa_tvab,AR652))</f>
        <v/>
      </c>
      <c r="U652" s="65" t="str">
        <f>IF(A652="","",SUMIF(pa_inv,A652,pa_amt))</f>
        <v/>
      </c>
      <c r="V652" s="65" t="str">
        <f>IF(OR(A652="",AA652="Avoir"),"",-SUMIFS(fa_ttc,fa_avof,A652,fa_type,"Avoir"))</f>
        <v/>
      </c>
      <c r="W652" s="65" t="str">
        <f>IF(OR(A652="",AA652="Avoir"),"",ROUND(S652-U652-V652,2))</f>
        <v/>
      </c>
      <c r="X652" s="66" t="str">
        <f>IF(W652="","",IF(AND(W652&gt;0,p_asof&gt;P652),p_asof-P652,""))</f>
        <v/>
      </c>
      <c r="Y652" s="59" t="str">
        <f>IF(A652="","",IF(AA652="Avoir","Avoir",IF(W652&lt;0,"Trop-perçu",IF(W652=0,"Soldée",IF(p_asof&gt;P652,"En retard",IF(U652+V652&gt;0,"Partielle","À échoir"))))))</f>
        <v/>
      </c>
      <c r="Z652" s="59" t="str">
        <f>IF(NOT(COUNTA(B652:D652,F652:O652)&gt;0),"",IF(C652="","Date manquante",IF(NOT(ISNUMBER(C652)),"Date invalide",IF(D652="","Client manquant",IF(ISNA(MATCH(D652,cli_code,0)),"Client inconnu",IF(AC652&lt;SUMPRODUCT(MAX(($AB$6:AB651=AB652)*$AC$6:AC651)),"Date antérieure à la facture précédente",IF(AND(F652&lt;&gt;"",ISNA(MATCH(F652,dv_num,0))),"Devis inconnu",IF(AND(F652&lt;&gt;"",IFERROR(INDEX(dv_client,MATCH(F652,dv_num,0)),D652)&lt;&gt;D652),"Client différent de celui du devis",IF(AG652="","Aucune ligne : saisissez des lignes ou un devis",IF(AND(AI652&lt;&gt;"",COUNTIF($AI$6:AI652,AI652)&gt;1),"Devis déjà repris par une autre facture",IF(AND(AA652="Avoir",M652=""),"Avoir : indiquez la facture d'origine",IF(AND(AA652="Avoir",ISNA(MATCH(M652,fa_num,0))),"Facture d'origine inconnue",IF(AND(AA652&lt;&gt;"Avoir",M652&lt;&gt;""),"« Avoir sur facture » : réservé aux avoirs",IF(AND(L652&lt;&gt;"",AA652&lt;&gt;"Facture"),"Acompte à déduire : réservé aux factures",IF(AND(L652&lt;&gt;"",ISNA(MATCH(L652,fa_num,0))),"Facture d'acompte inconnue",IF(AND(L652&lt;&gt;"",IFERROR(INDEX(fa_type,MATCH(L652,fa_num,0)),"")&lt;&gt;"Facture d'acompte"),"Le n° à déduire n'est pas une facture d'acompte",IF(AND(L652&lt;&gt;"",COUNTIF($L$6:L652,L652)&gt;1),"Acompte déjà déduit sur une autre facture",IF(AND(L652&lt;&gt;"",IFERROR(INDEX(fa_client,MATCH(L652,fa_num,0)),D652)&lt;&gt;D652),"Acompte d'un autre client",IF(AND(AR652&lt;&gt;"",N(Q652)&lt;0),"Acompte supérieur au total de la facture",IF(IF(AG652="Facture",COUNTIFS(fl_doc,A652,fl_check,"&lt;&gt;OK"),IF(AG652="Devis",COUNTIFS(dl_doc,F652,dl_check,"&lt;&gt;OK"),0))&gt;0,"Ligne(s) à corriger",IF(AND(W652&lt;&gt;"",N(W652)&lt;0),"Trop-perçu : vérifiez paiements et avoirs","OK")))))))))))))))))))))</f>
        <v/>
      </c>
      <c r="AA652" s="62" t="str">
        <f>IF(COUNTA(B652:D652,F652:O652)&gt;0,IF(B652="","Facture",B652),"")</f>
        <v/>
      </c>
      <c r="AB652" s="62" t="str">
        <f>IF(AA652="","",IF(AA652="Avoir",p_pav,IF(AA652="Facture d'acompte",p_pac,p_pfa)))</f>
        <v/>
      </c>
      <c r="AC652" s="62">
        <f>IF(ISNUMBER(C652),C652,0)</f>
        <v>0.0</v>
      </c>
      <c r="AD652" s="62" t="str">
        <f>IF(OR(AA652="",AC652=0),"",YEAR(AC652))</f>
        <v/>
      </c>
      <c r="AE652" s="62" t="str">
        <f>IF(AD652="","",COUNTIFS($AB$6:AB652,AB652,$AD$6:AD652,AD652))</f>
        <v/>
      </c>
      <c r="AF652" s="62">
        <f>IF(A652="",0,COUNTIF(fl_doc,A652))</f>
        <v>0.0</v>
      </c>
      <c r="AG652" s="62" t="str">
        <f>IF(A652="","",IF(AF652&gt;0,"Facture",IF(AND(F652&lt;&gt;"",AA652="Facture",ISNUMBER(MATCH(F652,dv_num,0))),"Devis","")))</f>
        <v/>
      </c>
      <c r="AH652" s="62" t="str">
        <f>IF(AND(A652&lt;&gt;"",F652&lt;&gt;"",AA652&lt;&gt;"Avoir"),F652,"")</f>
        <v/>
      </c>
      <c r="AI652" s="62" t="str">
        <f>IF(AG652="Devis",F652,"")</f>
        <v/>
      </c>
      <c r="AJ652" s="62">
        <f>IF(AG652="Facture",SUMIF(fl_doc,A652,fl_ht),IF(AG652="Devis",SUMIF(dl_doc,F652,dl_ht),0))</f>
        <v>0.0</v>
      </c>
      <c r="AK652" s="62">
        <f>IF(OR(AG652="",INDEX(p_rates,1)=""),0,IF(AG652="Facture",SUMIFS(fl_ht,fl_doc,A652,fl_rate,INDEX(p_rates,1)),SUMIFS(dl_ht,dl_doc,F652,dl_rate,INDEX(p_rates,1))))</f>
        <v>0.0</v>
      </c>
      <c r="AL652" s="62">
        <f>IF(OR(AG652="",INDEX(p_rates,2)=""),0,IF(AG652="Facture",SUMIFS(fl_ht,fl_doc,A652,fl_rate,INDEX(p_rates,2)),SUMIFS(dl_ht,dl_doc,F652,dl_rate,INDEX(p_rates,2))))</f>
        <v>0.0</v>
      </c>
      <c r="AM652" s="62">
        <f>IF(OR(AG652="",INDEX(p_rates,3)=""),0,IF(AG652="Facture",SUMIFS(fl_ht,fl_doc,A652,fl_rate,INDEX(p_rates,3)),SUMIFS(dl_ht,dl_doc,F652,dl_rate,INDEX(p_rates,3))))</f>
        <v>0.0</v>
      </c>
      <c r="AN652" s="62">
        <f>IF(OR(AG652="",INDEX(p_rates,4)=""),0,IF(AG652="Facture",SUMIFS(fl_ht,fl_doc,A652,fl_rate,INDEX(p_rates,4)),SUMIFS(dl_ht,dl_doc,F652,dl_rate,INDEX(p_rates,4))))</f>
        <v>0.0</v>
      </c>
      <c r="AO652" s="62">
        <f>IF(OR(AG652="",INDEX(p_rates,5)=""),0,IF(AG652="Facture",SUMIFS(fl_ht,fl_doc,A652,fl_rate,INDEX(p_rates,5)),SUMIFS(dl_ht,dl_doc,F652,dl_rate,INDEX(p_rates,5))))</f>
        <v>0.0</v>
      </c>
      <c r="AP652" s="62">
        <f>IF(OR(AG652="",INDEX(p_rates,6)=""),0,IF(AG652="Facture",SUMIFS(fl_ht,fl_doc,A652,fl_rate,INDEX(p_rates,6)),SUMIFS(dl_ht,dl_doc,F652,dl_rate,INDEX(p_rates,6))))</f>
        <v>0.0</v>
      </c>
      <c r="AQ652" s="62">
        <f>ROUND(AK652*N(INDEX(p_rates,1)),2)+ROUND(AL652*N(INDEX(p_rates,2)),2)+ROUND(AM652*N(INDEX(p_rates,3)),2)+ROUND(AN652*N(INDEX(p_rates,4)),2)+ROUND(AO652*N(INDEX(p_rates,5)),2)+ROUND(AP652*N(INDEX(p_rates,6)),2)</f>
        <v>0.0</v>
      </c>
      <c r="AR652" s="62" t="str">
        <f>IF(OR(L652="",AA652&lt;&gt;"Facture"),"",IFERROR(IF(INDEX(fa_type,MATCH(L652,fa_num,0))="Facture d'acompte",MATCH(L652,fa_num,0),""),""))</f>
        <v/>
      </c>
      <c r="AS652" s="62" t="str">
        <f>IF(W652="","",IF(W652&lt;=0,"",IF(p_asof-P652&lt;=0,"Non échu",IF(p_asof-P652&lt;=30,"1-30 j",IF(p_asof-P652&lt;=60,"31-60 j",IF(p_asof-P652&lt;=90,"61-90 j","Plus de 90 j"))))))</f>
        <v/>
      </c>
      <c r="AT652" s="62" t="str">
        <f>IF(AS652="","",p_asof-P652)</f>
        <v/>
      </c>
      <c r="AU652" s="62" t="str">
        <f>IF(AT652="","",COUNTIF($AT$6:$AT$805,"&gt;"&amp;AT652)+COUNTIF($AT$6:AT652,AT652))</f>
        <v/>
      </c>
    </row>
    <row r="653">
      <c r="A653" s="59" t="str">
        <f>IF(AE653="","",AB653&amp;"-"&amp;AD653&amp;"-"&amp;RIGHT("000"&amp;AE653,4))</f>
        <v/>
      </c>
      <c r="B653" s="60" t="n"/>
      <c r="C653" s="61" t="n"/>
      <c r="D653" s="60" t="n"/>
      <c r="E653" s="62" t="str">
        <f>IF(D653="","",IFERROR(INDEX(cli_name,MATCH(D653,cli_code,0))&amp;"","Client inconnu"))</f>
        <v/>
      </c>
      <c r="F653" s="60" t="n"/>
      <c r="G653" s="63" t="n"/>
      <c r="H653" s="61" t="n"/>
      <c r="I653" s="63" t="n"/>
      <c r="J653" s="60" t="n"/>
      <c r="K653" s="61" t="n"/>
      <c r="L653" s="60" t="n"/>
      <c r="M653" s="60" t="n"/>
      <c r="N653" s="60" t="n"/>
      <c r="O653" s="61" t="n"/>
      <c r="P653" s="64" t="str">
        <f>IF(A653="","",IF(AA653="Avoir",AC653,IF(ISNUMBER(K653),K653,AC653+IF(D653="",N(p_delay),IFERROR(IF(ISNUMBER(INDEX(cli_delay,MATCH(D653,cli_code,0))),INDEX(cli_delay,MATCH(D653,cli_code,0)),N(p_delay)),N(p_delay))))))</f>
        <v/>
      </c>
      <c r="Q653" s="65" t="str">
        <f>IF(A653="","",IF(AA653="Avoir",-1,1)*ROUND(AJ653-IF(AR653="",0,INDEX(fa_htb,AR653)),2))</f>
        <v/>
      </c>
      <c r="R653" s="65" t="str">
        <f>IF(A653="","",IF(AA653="Avoir",-1,1)*ROUND(AQ653-IF(AR653="",0,INDEX(fa_tvab,AR653)),2))</f>
        <v/>
      </c>
      <c r="S653" s="65" t="str">
        <f>IF(A653="","",Q653+R653)</f>
        <v/>
      </c>
      <c r="T653" s="65" t="str">
        <f>IF(AR653="","",INDEX(fa_htb,AR653)+INDEX(fa_tvab,AR653))</f>
        <v/>
      </c>
      <c r="U653" s="65" t="str">
        <f>IF(A653="","",SUMIF(pa_inv,A653,pa_amt))</f>
        <v/>
      </c>
      <c r="V653" s="65" t="str">
        <f>IF(OR(A653="",AA653="Avoir"),"",-SUMIFS(fa_ttc,fa_avof,A653,fa_type,"Avoir"))</f>
        <v/>
      </c>
      <c r="W653" s="65" t="str">
        <f>IF(OR(A653="",AA653="Avoir"),"",ROUND(S653-U653-V653,2))</f>
        <v/>
      </c>
      <c r="X653" s="66" t="str">
        <f>IF(W653="","",IF(AND(W653&gt;0,p_asof&gt;P653),p_asof-P653,""))</f>
        <v/>
      </c>
      <c r="Y653" s="59" t="str">
        <f>IF(A653="","",IF(AA653="Avoir","Avoir",IF(W653&lt;0,"Trop-perçu",IF(W653=0,"Soldée",IF(p_asof&gt;P653,"En retard",IF(U653+V653&gt;0,"Partielle","À échoir"))))))</f>
        <v/>
      </c>
      <c r="Z653" s="59" t="str">
        <f>IF(NOT(COUNTA(B653:D653,F653:O653)&gt;0),"",IF(C653="","Date manquante",IF(NOT(ISNUMBER(C653)),"Date invalide",IF(D653="","Client manquant",IF(ISNA(MATCH(D653,cli_code,0)),"Client inconnu",IF(AC653&lt;SUMPRODUCT(MAX(($AB$6:AB652=AB653)*$AC$6:AC652)),"Date antérieure à la facture précédente",IF(AND(F653&lt;&gt;"",ISNA(MATCH(F653,dv_num,0))),"Devis inconnu",IF(AND(F653&lt;&gt;"",IFERROR(INDEX(dv_client,MATCH(F653,dv_num,0)),D653)&lt;&gt;D653),"Client différent de celui du devis",IF(AG653="","Aucune ligne : saisissez des lignes ou un devis",IF(AND(AI653&lt;&gt;"",COUNTIF($AI$6:AI653,AI653)&gt;1),"Devis déjà repris par une autre facture",IF(AND(AA653="Avoir",M653=""),"Avoir : indiquez la facture d'origine",IF(AND(AA653="Avoir",ISNA(MATCH(M653,fa_num,0))),"Facture d'origine inconnue",IF(AND(AA653&lt;&gt;"Avoir",M653&lt;&gt;""),"« Avoir sur facture » : réservé aux avoirs",IF(AND(L653&lt;&gt;"",AA653&lt;&gt;"Facture"),"Acompte à déduire : réservé aux factures",IF(AND(L653&lt;&gt;"",ISNA(MATCH(L653,fa_num,0))),"Facture d'acompte inconnue",IF(AND(L653&lt;&gt;"",IFERROR(INDEX(fa_type,MATCH(L653,fa_num,0)),"")&lt;&gt;"Facture d'acompte"),"Le n° à déduire n'est pas une facture d'acompte",IF(AND(L653&lt;&gt;"",COUNTIF($L$6:L653,L653)&gt;1),"Acompte déjà déduit sur une autre facture",IF(AND(L653&lt;&gt;"",IFERROR(INDEX(fa_client,MATCH(L653,fa_num,0)),D653)&lt;&gt;D653),"Acompte d'un autre client",IF(AND(AR653&lt;&gt;"",N(Q653)&lt;0),"Acompte supérieur au total de la facture",IF(IF(AG653="Facture",COUNTIFS(fl_doc,A653,fl_check,"&lt;&gt;OK"),IF(AG653="Devis",COUNTIFS(dl_doc,F653,dl_check,"&lt;&gt;OK"),0))&gt;0,"Ligne(s) à corriger",IF(AND(W653&lt;&gt;"",N(W653)&lt;0),"Trop-perçu : vérifiez paiements et avoirs","OK")))))))))))))))))))))</f>
        <v/>
      </c>
      <c r="AA653" s="62" t="str">
        <f>IF(COUNTA(B653:D653,F653:O653)&gt;0,IF(B653="","Facture",B653),"")</f>
        <v/>
      </c>
      <c r="AB653" s="62" t="str">
        <f>IF(AA653="","",IF(AA653="Avoir",p_pav,IF(AA653="Facture d'acompte",p_pac,p_pfa)))</f>
        <v/>
      </c>
      <c r="AC653" s="62">
        <f>IF(ISNUMBER(C653),C653,0)</f>
        <v>0.0</v>
      </c>
      <c r="AD653" s="62" t="str">
        <f>IF(OR(AA653="",AC653=0),"",YEAR(AC653))</f>
        <v/>
      </c>
      <c r="AE653" s="62" t="str">
        <f>IF(AD653="","",COUNTIFS($AB$6:AB653,AB653,$AD$6:AD653,AD653))</f>
        <v/>
      </c>
      <c r="AF653" s="62">
        <f>IF(A653="",0,COUNTIF(fl_doc,A653))</f>
        <v>0.0</v>
      </c>
      <c r="AG653" s="62" t="str">
        <f>IF(A653="","",IF(AF653&gt;0,"Facture",IF(AND(F653&lt;&gt;"",AA653="Facture",ISNUMBER(MATCH(F653,dv_num,0))),"Devis","")))</f>
        <v/>
      </c>
      <c r="AH653" s="62" t="str">
        <f>IF(AND(A653&lt;&gt;"",F653&lt;&gt;"",AA653&lt;&gt;"Avoir"),F653,"")</f>
        <v/>
      </c>
      <c r="AI653" s="62" t="str">
        <f>IF(AG653="Devis",F653,"")</f>
        <v/>
      </c>
      <c r="AJ653" s="62">
        <f>IF(AG653="Facture",SUMIF(fl_doc,A653,fl_ht),IF(AG653="Devis",SUMIF(dl_doc,F653,dl_ht),0))</f>
        <v>0.0</v>
      </c>
      <c r="AK653" s="62">
        <f>IF(OR(AG653="",INDEX(p_rates,1)=""),0,IF(AG653="Facture",SUMIFS(fl_ht,fl_doc,A653,fl_rate,INDEX(p_rates,1)),SUMIFS(dl_ht,dl_doc,F653,dl_rate,INDEX(p_rates,1))))</f>
        <v>0.0</v>
      </c>
      <c r="AL653" s="62">
        <f>IF(OR(AG653="",INDEX(p_rates,2)=""),0,IF(AG653="Facture",SUMIFS(fl_ht,fl_doc,A653,fl_rate,INDEX(p_rates,2)),SUMIFS(dl_ht,dl_doc,F653,dl_rate,INDEX(p_rates,2))))</f>
        <v>0.0</v>
      </c>
      <c r="AM653" s="62">
        <f>IF(OR(AG653="",INDEX(p_rates,3)=""),0,IF(AG653="Facture",SUMIFS(fl_ht,fl_doc,A653,fl_rate,INDEX(p_rates,3)),SUMIFS(dl_ht,dl_doc,F653,dl_rate,INDEX(p_rates,3))))</f>
        <v>0.0</v>
      </c>
      <c r="AN653" s="62">
        <f>IF(OR(AG653="",INDEX(p_rates,4)=""),0,IF(AG653="Facture",SUMIFS(fl_ht,fl_doc,A653,fl_rate,INDEX(p_rates,4)),SUMIFS(dl_ht,dl_doc,F653,dl_rate,INDEX(p_rates,4))))</f>
        <v>0.0</v>
      </c>
      <c r="AO653" s="62">
        <f>IF(OR(AG653="",INDEX(p_rates,5)=""),0,IF(AG653="Facture",SUMIFS(fl_ht,fl_doc,A653,fl_rate,INDEX(p_rates,5)),SUMIFS(dl_ht,dl_doc,F653,dl_rate,INDEX(p_rates,5))))</f>
        <v>0.0</v>
      </c>
      <c r="AP653" s="62">
        <f>IF(OR(AG653="",INDEX(p_rates,6)=""),0,IF(AG653="Facture",SUMIFS(fl_ht,fl_doc,A653,fl_rate,INDEX(p_rates,6)),SUMIFS(dl_ht,dl_doc,F653,dl_rate,INDEX(p_rates,6))))</f>
        <v>0.0</v>
      </c>
      <c r="AQ653" s="62">
        <f>ROUND(AK653*N(INDEX(p_rates,1)),2)+ROUND(AL653*N(INDEX(p_rates,2)),2)+ROUND(AM653*N(INDEX(p_rates,3)),2)+ROUND(AN653*N(INDEX(p_rates,4)),2)+ROUND(AO653*N(INDEX(p_rates,5)),2)+ROUND(AP653*N(INDEX(p_rates,6)),2)</f>
        <v>0.0</v>
      </c>
      <c r="AR653" s="62" t="str">
        <f>IF(OR(L653="",AA653&lt;&gt;"Facture"),"",IFERROR(IF(INDEX(fa_type,MATCH(L653,fa_num,0))="Facture d'acompte",MATCH(L653,fa_num,0),""),""))</f>
        <v/>
      </c>
      <c r="AS653" s="62" t="str">
        <f>IF(W653="","",IF(W653&lt;=0,"",IF(p_asof-P653&lt;=0,"Non échu",IF(p_asof-P653&lt;=30,"1-30 j",IF(p_asof-P653&lt;=60,"31-60 j",IF(p_asof-P653&lt;=90,"61-90 j","Plus de 90 j"))))))</f>
        <v/>
      </c>
      <c r="AT653" s="62" t="str">
        <f>IF(AS653="","",p_asof-P653)</f>
        <v/>
      </c>
      <c r="AU653" s="62" t="str">
        <f>IF(AT653="","",COUNTIF($AT$6:$AT$805,"&gt;"&amp;AT653)+COUNTIF($AT$6:AT653,AT653))</f>
        <v/>
      </c>
    </row>
    <row r="654">
      <c r="A654" s="59" t="str">
        <f>IF(AE654="","",AB654&amp;"-"&amp;AD654&amp;"-"&amp;RIGHT("000"&amp;AE654,4))</f>
        <v/>
      </c>
      <c r="B654" s="60" t="n"/>
      <c r="C654" s="61" t="n"/>
      <c r="D654" s="60" t="n"/>
      <c r="E654" s="62" t="str">
        <f>IF(D654="","",IFERROR(INDEX(cli_name,MATCH(D654,cli_code,0))&amp;"","Client inconnu"))</f>
        <v/>
      </c>
      <c r="F654" s="60" t="n"/>
      <c r="G654" s="63" t="n"/>
      <c r="H654" s="61" t="n"/>
      <c r="I654" s="63" t="n"/>
      <c r="J654" s="60" t="n"/>
      <c r="K654" s="61" t="n"/>
      <c r="L654" s="60" t="n"/>
      <c r="M654" s="60" t="n"/>
      <c r="N654" s="60" t="n"/>
      <c r="O654" s="61" t="n"/>
      <c r="P654" s="64" t="str">
        <f>IF(A654="","",IF(AA654="Avoir",AC654,IF(ISNUMBER(K654),K654,AC654+IF(D654="",N(p_delay),IFERROR(IF(ISNUMBER(INDEX(cli_delay,MATCH(D654,cli_code,0))),INDEX(cli_delay,MATCH(D654,cli_code,0)),N(p_delay)),N(p_delay))))))</f>
        <v/>
      </c>
      <c r="Q654" s="65" t="str">
        <f>IF(A654="","",IF(AA654="Avoir",-1,1)*ROUND(AJ654-IF(AR654="",0,INDEX(fa_htb,AR654)),2))</f>
        <v/>
      </c>
      <c r="R654" s="65" t="str">
        <f>IF(A654="","",IF(AA654="Avoir",-1,1)*ROUND(AQ654-IF(AR654="",0,INDEX(fa_tvab,AR654)),2))</f>
        <v/>
      </c>
      <c r="S654" s="65" t="str">
        <f>IF(A654="","",Q654+R654)</f>
        <v/>
      </c>
      <c r="T654" s="65" t="str">
        <f>IF(AR654="","",INDEX(fa_htb,AR654)+INDEX(fa_tvab,AR654))</f>
        <v/>
      </c>
      <c r="U654" s="65" t="str">
        <f>IF(A654="","",SUMIF(pa_inv,A654,pa_amt))</f>
        <v/>
      </c>
      <c r="V654" s="65" t="str">
        <f>IF(OR(A654="",AA654="Avoir"),"",-SUMIFS(fa_ttc,fa_avof,A654,fa_type,"Avoir"))</f>
        <v/>
      </c>
      <c r="W654" s="65" t="str">
        <f>IF(OR(A654="",AA654="Avoir"),"",ROUND(S654-U654-V654,2))</f>
        <v/>
      </c>
      <c r="X654" s="66" t="str">
        <f>IF(W654="","",IF(AND(W654&gt;0,p_asof&gt;P654),p_asof-P654,""))</f>
        <v/>
      </c>
      <c r="Y654" s="59" t="str">
        <f>IF(A654="","",IF(AA654="Avoir","Avoir",IF(W654&lt;0,"Trop-perçu",IF(W654=0,"Soldée",IF(p_asof&gt;P654,"En retard",IF(U654+V654&gt;0,"Partielle","À échoir"))))))</f>
        <v/>
      </c>
      <c r="Z654" s="59" t="str">
        <f>IF(NOT(COUNTA(B654:D654,F654:O654)&gt;0),"",IF(C654="","Date manquante",IF(NOT(ISNUMBER(C654)),"Date invalide",IF(D654="","Client manquant",IF(ISNA(MATCH(D654,cli_code,0)),"Client inconnu",IF(AC654&lt;SUMPRODUCT(MAX(($AB$6:AB653=AB654)*$AC$6:AC653)),"Date antérieure à la facture précédente",IF(AND(F654&lt;&gt;"",ISNA(MATCH(F654,dv_num,0))),"Devis inconnu",IF(AND(F654&lt;&gt;"",IFERROR(INDEX(dv_client,MATCH(F654,dv_num,0)),D654)&lt;&gt;D654),"Client différent de celui du devis",IF(AG654="","Aucune ligne : saisissez des lignes ou un devis",IF(AND(AI654&lt;&gt;"",COUNTIF($AI$6:AI654,AI654)&gt;1),"Devis déjà repris par une autre facture",IF(AND(AA654="Avoir",M654=""),"Avoir : indiquez la facture d'origine",IF(AND(AA654="Avoir",ISNA(MATCH(M654,fa_num,0))),"Facture d'origine inconnue",IF(AND(AA654&lt;&gt;"Avoir",M654&lt;&gt;""),"« Avoir sur facture » : réservé aux avoirs",IF(AND(L654&lt;&gt;"",AA654&lt;&gt;"Facture"),"Acompte à déduire : réservé aux factures",IF(AND(L654&lt;&gt;"",ISNA(MATCH(L654,fa_num,0))),"Facture d'acompte inconnue",IF(AND(L654&lt;&gt;"",IFERROR(INDEX(fa_type,MATCH(L654,fa_num,0)),"")&lt;&gt;"Facture d'acompte"),"Le n° à déduire n'est pas une facture d'acompte",IF(AND(L654&lt;&gt;"",COUNTIF($L$6:L654,L654)&gt;1),"Acompte déjà déduit sur une autre facture",IF(AND(L654&lt;&gt;"",IFERROR(INDEX(fa_client,MATCH(L654,fa_num,0)),D654)&lt;&gt;D654),"Acompte d'un autre client",IF(AND(AR654&lt;&gt;"",N(Q654)&lt;0),"Acompte supérieur au total de la facture",IF(IF(AG654="Facture",COUNTIFS(fl_doc,A654,fl_check,"&lt;&gt;OK"),IF(AG654="Devis",COUNTIFS(dl_doc,F654,dl_check,"&lt;&gt;OK"),0))&gt;0,"Ligne(s) à corriger",IF(AND(W654&lt;&gt;"",N(W654)&lt;0),"Trop-perçu : vérifiez paiements et avoirs","OK")))))))))))))))))))))</f>
        <v/>
      </c>
      <c r="AA654" s="62" t="str">
        <f>IF(COUNTA(B654:D654,F654:O654)&gt;0,IF(B654="","Facture",B654),"")</f>
        <v/>
      </c>
      <c r="AB654" s="62" t="str">
        <f>IF(AA654="","",IF(AA654="Avoir",p_pav,IF(AA654="Facture d'acompte",p_pac,p_pfa)))</f>
        <v/>
      </c>
      <c r="AC654" s="62">
        <f>IF(ISNUMBER(C654),C654,0)</f>
        <v>0.0</v>
      </c>
      <c r="AD654" s="62" t="str">
        <f>IF(OR(AA654="",AC654=0),"",YEAR(AC654))</f>
        <v/>
      </c>
      <c r="AE654" s="62" t="str">
        <f>IF(AD654="","",COUNTIFS($AB$6:AB654,AB654,$AD$6:AD654,AD654))</f>
        <v/>
      </c>
      <c r="AF654" s="62">
        <f>IF(A654="",0,COUNTIF(fl_doc,A654))</f>
        <v>0.0</v>
      </c>
      <c r="AG654" s="62" t="str">
        <f>IF(A654="","",IF(AF654&gt;0,"Facture",IF(AND(F654&lt;&gt;"",AA654="Facture",ISNUMBER(MATCH(F654,dv_num,0))),"Devis","")))</f>
        <v/>
      </c>
      <c r="AH654" s="62" t="str">
        <f>IF(AND(A654&lt;&gt;"",F654&lt;&gt;"",AA654&lt;&gt;"Avoir"),F654,"")</f>
        <v/>
      </c>
      <c r="AI654" s="62" t="str">
        <f>IF(AG654="Devis",F654,"")</f>
        <v/>
      </c>
      <c r="AJ654" s="62">
        <f>IF(AG654="Facture",SUMIF(fl_doc,A654,fl_ht),IF(AG654="Devis",SUMIF(dl_doc,F654,dl_ht),0))</f>
        <v>0.0</v>
      </c>
      <c r="AK654" s="62">
        <f>IF(OR(AG654="",INDEX(p_rates,1)=""),0,IF(AG654="Facture",SUMIFS(fl_ht,fl_doc,A654,fl_rate,INDEX(p_rates,1)),SUMIFS(dl_ht,dl_doc,F654,dl_rate,INDEX(p_rates,1))))</f>
        <v>0.0</v>
      </c>
      <c r="AL654" s="62">
        <f>IF(OR(AG654="",INDEX(p_rates,2)=""),0,IF(AG654="Facture",SUMIFS(fl_ht,fl_doc,A654,fl_rate,INDEX(p_rates,2)),SUMIFS(dl_ht,dl_doc,F654,dl_rate,INDEX(p_rates,2))))</f>
        <v>0.0</v>
      </c>
      <c r="AM654" s="62">
        <f>IF(OR(AG654="",INDEX(p_rates,3)=""),0,IF(AG654="Facture",SUMIFS(fl_ht,fl_doc,A654,fl_rate,INDEX(p_rates,3)),SUMIFS(dl_ht,dl_doc,F654,dl_rate,INDEX(p_rates,3))))</f>
        <v>0.0</v>
      </c>
      <c r="AN654" s="62">
        <f>IF(OR(AG654="",INDEX(p_rates,4)=""),0,IF(AG654="Facture",SUMIFS(fl_ht,fl_doc,A654,fl_rate,INDEX(p_rates,4)),SUMIFS(dl_ht,dl_doc,F654,dl_rate,INDEX(p_rates,4))))</f>
        <v>0.0</v>
      </c>
      <c r="AO654" s="62">
        <f>IF(OR(AG654="",INDEX(p_rates,5)=""),0,IF(AG654="Facture",SUMIFS(fl_ht,fl_doc,A654,fl_rate,INDEX(p_rates,5)),SUMIFS(dl_ht,dl_doc,F654,dl_rate,INDEX(p_rates,5))))</f>
        <v>0.0</v>
      </c>
      <c r="AP654" s="62">
        <f>IF(OR(AG654="",INDEX(p_rates,6)=""),0,IF(AG654="Facture",SUMIFS(fl_ht,fl_doc,A654,fl_rate,INDEX(p_rates,6)),SUMIFS(dl_ht,dl_doc,F654,dl_rate,INDEX(p_rates,6))))</f>
        <v>0.0</v>
      </c>
      <c r="AQ654" s="62">
        <f>ROUND(AK654*N(INDEX(p_rates,1)),2)+ROUND(AL654*N(INDEX(p_rates,2)),2)+ROUND(AM654*N(INDEX(p_rates,3)),2)+ROUND(AN654*N(INDEX(p_rates,4)),2)+ROUND(AO654*N(INDEX(p_rates,5)),2)+ROUND(AP654*N(INDEX(p_rates,6)),2)</f>
        <v>0.0</v>
      </c>
      <c r="AR654" s="62" t="str">
        <f>IF(OR(L654="",AA654&lt;&gt;"Facture"),"",IFERROR(IF(INDEX(fa_type,MATCH(L654,fa_num,0))="Facture d'acompte",MATCH(L654,fa_num,0),""),""))</f>
        <v/>
      </c>
      <c r="AS654" s="62" t="str">
        <f>IF(W654="","",IF(W654&lt;=0,"",IF(p_asof-P654&lt;=0,"Non échu",IF(p_asof-P654&lt;=30,"1-30 j",IF(p_asof-P654&lt;=60,"31-60 j",IF(p_asof-P654&lt;=90,"61-90 j","Plus de 90 j"))))))</f>
        <v/>
      </c>
      <c r="AT654" s="62" t="str">
        <f>IF(AS654="","",p_asof-P654)</f>
        <v/>
      </c>
      <c r="AU654" s="62" t="str">
        <f>IF(AT654="","",COUNTIF($AT$6:$AT$805,"&gt;"&amp;AT654)+COUNTIF($AT$6:AT654,AT654))</f>
        <v/>
      </c>
    </row>
    <row r="655">
      <c r="A655" s="59" t="str">
        <f>IF(AE655="","",AB655&amp;"-"&amp;AD655&amp;"-"&amp;RIGHT("000"&amp;AE655,4))</f>
        <v/>
      </c>
      <c r="B655" s="60" t="n"/>
      <c r="C655" s="61" t="n"/>
      <c r="D655" s="60" t="n"/>
      <c r="E655" s="62" t="str">
        <f>IF(D655="","",IFERROR(INDEX(cli_name,MATCH(D655,cli_code,0))&amp;"","Client inconnu"))</f>
        <v/>
      </c>
      <c r="F655" s="60" t="n"/>
      <c r="G655" s="63" t="n"/>
      <c r="H655" s="61" t="n"/>
      <c r="I655" s="63" t="n"/>
      <c r="J655" s="60" t="n"/>
      <c r="K655" s="61" t="n"/>
      <c r="L655" s="60" t="n"/>
      <c r="M655" s="60" t="n"/>
      <c r="N655" s="60" t="n"/>
      <c r="O655" s="61" t="n"/>
      <c r="P655" s="64" t="str">
        <f>IF(A655="","",IF(AA655="Avoir",AC655,IF(ISNUMBER(K655),K655,AC655+IF(D655="",N(p_delay),IFERROR(IF(ISNUMBER(INDEX(cli_delay,MATCH(D655,cli_code,0))),INDEX(cli_delay,MATCH(D655,cli_code,0)),N(p_delay)),N(p_delay))))))</f>
        <v/>
      </c>
      <c r="Q655" s="65" t="str">
        <f>IF(A655="","",IF(AA655="Avoir",-1,1)*ROUND(AJ655-IF(AR655="",0,INDEX(fa_htb,AR655)),2))</f>
        <v/>
      </c>
      <c r="R655" s="65" t="str">
        <f>IF(A655="","",IF(AA655="Avoir",-1,1)*ROUND(AQ655-IF(AR655="",0,INDEX(fa_tvab,AR655)),2))</f>
        <v/>
      </c>
      <c r="S655" s="65" t="str">
        <f>IF(A655="","",Q655+R655)</f>
        <v/>
      </c>
      <c r="T655" s="65" t="str">
        <f>IF(AR655="","",INDEX(fa_htb,AR655)+INDEX(fa_tvab,AR655))</f>
        <v/>
      </c>
      <c r="U655" s="65" t="str">
        <f>IF(A655="","",SUMIF(pa_inv,A655,pa_amt))</f>
        <v/>
      </c>
      <c r="V655" s="65" t="str">
        <f>IF(OR(A655="",AA655="Avoir"),"",-SUMIFS(fa_ttc,fa_avof,A655,fa_type,"Avoir"))</f>
        <v/>
      </c>
      <c r="W655" s="65" t="str">
        <f>IF(OR(A655="",AA655="Avoir"),"",ROUND(S655-U655-V655,2))</f>
        <v/>
      </c>
      <c r="X655" s="66" t="str">
        <f>IF(W655="","",IF(AND(W655&gt;0,p_asof&gt;P655),p_asof-P655,""))</f>
        <v/>
      </c>
      <c r="Y655" s="59" t="str">
        <f>IF(A655="","",IF(AA655="Avoir","Avoir",IF(W655&lt;0,"Trop-perçu",IF(W655=0,"Soldée",IF(p_asof&gt;P655,"En retard",IF(U655+V655&gt;0,"Partielle","À échoir"))))))</f>
        <v/>
      </c>
      <c r="Z655" s="59" t="str">
        <f>IF(NOT(COUNTA(B655:D655,F655:O655)&gt;0),"",IF(C655="","Date manquante",IF(NOT(ISNUMBER(C655)),"Date invalide",IF(D655="","Client manquant",IF(ISNA(MATCH(D655,cli_code,0)),"Client inconnu",IF(AC655&lt;SUMPRODUCT(MAX(($AB$6:AB654=AB655)*$AC$6:AC654)),"Date antérieure à la facture précédente",IF(AND(F655&lt;&gt;"",ISNA(MATCH(F655,dv_num,0))),"Devis inconnu",IF(AND(F655&lt;&gt;"",IFERROR(INDEX(dv_client,MATCH(F655,dv_num,0)),D655)&lt;&gt;D655),"Client différent de celui du devis",IF(AG655="","Aucune ligne : saisissez des lignes ou un devis",IF(AND(AI655&lt;&gt;"",COUNTIF($AI$6:AI655,AI655)&gt;1),"Devis déjà repris par une autre facture",IF(AND(AA655="Avoir",M655=""),"Avoir : indiquez la facture d'origine",IF(AND(AA655="Avoir",ISNA(MATCH(M655,fa_num,0))),"Facture d'origine inconnue",IF(AND(AA655&lt;&gt;"Avoir",M655&lt;&gt;""),"« Avoir sur facture » : réservé aux avoirs",IF(AND(L655&lt;&gt;"",AA655&lt;&gt;"Facture"),"Acompte à déduire : réservé aux factures",IF(AND(L655&lt;&gt;"",ISNA(MATCH(L655,fa_num,0))),"Facture d'acompte inconnue",IF(AND(L655&lt;&gt;"",IFERROR(INDEX(fa_type,MATCH(L655,fa_num,0)),"")&lt;&gt;"Facture d'acompte"),"Le n° à déduire n'est pas une facture d'acompte",IF(AND(L655&lt;&gt;"",COUNTIF($L$6:L655,L655)&gt;1),"Acompte déjà déduit sur une autre facture",IF(AND(L655&lt;&gt;"",IFERROR(INDEX(fa_client,MATCH(L655,fa_num,0)),D655)&lt;&gt;D655),"Acompte d'un autre client",IF(AND(AR655&lt;&gt;"",N(Q655)&lt;0),"Acompte supérieur au total de la facture",IF(IF(AG655="Facture",COUNTIFS(fl_doc,A655,fl_check,"&lt;&gt;OK"),IF(AG655="Devis",COUNTIFS(dl_doc,F655,dl_check,"&lt;&gt;OK"),0))&gt;0,"Ligne(s) à corriger",IF(AND(W655&lt;&gt;"",N(W655)&lt;0),"Trop-perçu : vérifiez paiements et avoirs","OK")))))))))))))))))))))</f>
        <v/>
      </c>
      <c r="AA655" s="62" t="str">
        <f>IF(COUNTA(B655:D655,F655:O655)&gt;0,IF(B655="","Facture",B655),"")</f>
        <v/>
      </c>
      <c r="AB655" s="62" t="str">
        <f>IF(AA655="","",IF(AA655="Avoir",p_pav,IF(AA655="Facture d'acompte",p_pac,p_pfa)))</f>
        <v/>
      </c>
      <c r="AC655" s="62">
        <f>IF(ISNUMBER(C655),C655,0)</f>
        <v>0.0</v>
      </c>
      <c r="AD655" s="62" t="str">
        <f>IF(OR(AA655="",AC655=0),"",YEAR(AC655))</f>
        <v/>
      </c>
      <c r="AE655" s="62" t="str">
        <f>IF(AD655="","",COUNTIFS($AB$6:AB655,AB655,$AD$6:AD655,AD655))</f>
        <v/>
      </c>
      <c r="AF655" s="62">
        <f>IF(A655="",0,COUNTIF(fl_doc,A655))</f>
        <v>0.0</v>
      </c>
      <c r="AG655" s="62" t="str">
        <f>IF(A655="","",IF(AF655&gt;0,"Facture",IF(AND(F655&lt;&gt;"",AA655="Facture",ISNUMBER(MATCH(F655,dv_num,0))),"Devis","")))</f>
        <v/>
      </c>
      <c r="AH655" s="62" t="str">
        <f>IF(AND(A655&lt;&gt;"",F655&lt;&gt;"",AA655&lt;&gt;"Avoir"),F655,"")</f>
        <v/>
      </c>
      <c r="AI655" s="62" t="str">
        <f>IF(AG655="Devis",F655,"")</f>
        <v/>
      </c>
      <c r="AJ655" s="62">
        <f>IF(AG655="Facture",SUMIF(fl_doc,A655,fl_ht),IF(AG655="Devis",SUMIF(dl_doc,F655,dl_ht),0))</f>
        <v>0.0</v>
      </c>
      <c r="AK655" s="62">
        <f>IF(OR(AG655="",INDEX(p_rates,1)=""),0,IF(AG655="Facture",SUMIFS(fl_ht,fl_doc,A655,fl_rate,INDEX(p_rates,1)),SUMIFS(dl_ht,dl_doc,F655,dl_rate,INDEX(p_rates,1))))</f>
        <v>0.0</v>
      </c>
      <c r="AL655" s="62">
        <f>IF(OR(AG655="",INDEX(p_rates,2)=""),0,IF(AG655="Facture",SUMIFS(fl_ht,fl_doc,A655,fl_rate,INDEX(p_rates,2)),SUMIFS(dl_ht,dl_doc,F655,dl_rate,INDEX(p_rates,2))))</f>
        <v>0.0</v>
      </c>
      <c r="AM655" s="62">
        <f>IF(OR(AG655="",INDEX(p_rates,3)=""),0,IF(AG655="Facture",SUMIFS(fl_ht,fl_doc,A655,fl_rate,INDEX(p_rates,3)),SUMIFS(dl_ht,dl_doc,F655,dl_rate,INDEX(p_rates,3))))</f>
        <v>0.0</v>
      </c>
      <c r="AN655" s="62">
        <f>IF(OR(AG655="",INDEX(p_rates,4)=""),0,IF(AG655="Facture",SUMIFS(fl_ht,fl_doc,A655,fl_rate,INDEX(p_rates,4)),SUMIFS(dl_ht,dl_doc,F655,dl_rate,INDEX(p_rates,4))))</f>
        <v>0.0</v>
      </c>
      <c r="AO655" s="62">
        <f>IF(OR(AG655="",INDEX(p_rates,5)=""),0,IF(AG655="Facture",SUMIFS(fl_ht,fl_doc,A655,fl_rate,INDEX(p_rates,5)),SUMIFS(dl_ht,dl_doc,F655,dl_rate,INDEX(p_rates,5))))</f>
        <v>0.0</v>
      </c>
      <c r="AP655" s="62">
        <f>IF(OR(AG655="",INDEX(p_rates,6)=""),0,IF(AG655="Facture",SUMIFS(fl_ht,fl_doc,A655,fl_rate,INDEX(p_rates,6)),SUMIFS(dl_ht,dl_doc,F655,dl_rate,INDEX(p_rates,6))))</f>
        <v>0.0</v>
      </c>
      <c r="AQ655" s="62">
        <f>ROUND(AK655*N(INDEX(p_rates,1)),2)+ROUND(AL655*N(INDEX(p_rates,2)),2)+ROUND(AM655*N(INDEX(p_rates,3)),2)+ROUND(AN655*N(INDEX(p_rates,4)),2)+ROUND(AO655*N(INDEX(p_rates,5)),2)+ROUND(AP655*N(INDEX(p_rates,6)),2)</f>
        <v>0.0</v>
      </c>
      <c r="AR655" s="62" t="str">
        <f>IF(OR(L655="",AA655&lt;&gt;"Facture"),"",IFERROR(IF(INDEX(fa_type,MATCH(L655,fa_num,0))="Facture d'acompte",MATCH(L655,fa_num,0),""),""))</f>
        <v/>
      </c>
      <c r="AS655" s="62" t="str">
        <f>IF(W655="","",IF(W655&lt;=0,"",IF(p_asof-P655&lt;=0,"Non échu",IF(p_asof-P655&lt;=30,"1-30 j",IF(p_asof-P655&lt;=60,"31-60 j",IF(p_asof-P655&lt;=90,"61-90 j","Plus de 90 j"))))))</f>
        <v/>
      </c>
      <c r="AT655" s="62" t="str">
        <f>IF(AS655="","",p_asof-P655)</f>
        <v/>
      </c>
      <c r="AU655" s="62" t="str">
        <f>IF(AT655="","",COUNTIF($AT$6:$AT$805,"&gt;"&amp;AT655)+COUNTIF($AT$6:AT655,AT655))</f>
        <v/>
      </c>
    </row>
    <row r="656">
      <c r="A656" s="59" t="str">
        <f>IF(AE656="","",AB656&amp;"-"&amp;AD656&amp;"-"&amp;RIGHT("000"&amp;AE656,4))</f>
        <v/>
      </c>
      <c r="B656" s="60" t="n"/>
      <c r="C656" s="61" t="n"/>
      <c r="D656" s="60" t="n"/>
      <c r="E656" s="62" t="str">
        <f>IF(D656="","",IFERROR(INDEX(cli_name,MATCH(D656,cli_code,0))&amp;"","Client inconnu"))</f>
        <v/>
      </c>
      <c r="F656" s="60" t="n"/>
      <c r="G656" s="63" t="n"/>
      <c r="H656" s="61" t="n"/>
      <c r="I656" s="63" t="n"/>
      <c r="J656" s="60" t="n"/>
      <c r="K656" s="61" t="n"/>
      <c r="L656" s="60" t="n"/>
      <c r="M656" s="60" t="n"/>
      <c r="N656" s="60" t="n"/>
      <c r="O656" s="61" t="n"/>
      <c r="P656" s="64" t="str">
        <f>IF(A656="","",IF(AA656="Avoir",AC656,IF(ISNUMBER(K656),K656,AC656+IF(D656="",N(p_delay),IFERROR(IF(ISNUMBER(INDEX(cli_delay,MATCH(D656,cli_code,0))),INDEX(cli_delay,MATCH(D656,cli_code,0)),N(p_delay)),N(p_delay))))))</f>
        <v/>
      </c>
      <c r="Q656" s="65" t="str">
        <f>IF(A656="","",IF(AA656="Avoir",-1,1)*ROUND(AJ656-IF(AR656="",0,INDEX(fa_htb,AR656)),2))</f>
        <v/>
      </c>
      <c r="R656" s="65" t="str">
        <f>IF(A656="","",IF(AA656="Avoir",-1,1)*ROUND(AQ656-IF(AR656="",0,INDEX(fa_tvab,AR656)),2))</f>
        <v/>
      </c>
      <c r="S656" s="65" t="str">
        <f>IF(A656="","",Q656+R656)</f>
        <v/>
      </c>
      <c r="T656" s="65" t="str">
        <f>IF(AR656="","",INDEX(fa_htb,AR656)+INDEX(fa_tvab,AR656))</f>
        <v/>
      </c>
      <c r="U656" s="65" t="str">
        <f>IF(A656="","",SUMIF(pa_inv,A656,pa_amt))</f>
        <v/>
      </c>
      <c r="V656" s="65" t="str">
        <f>IF(OR(A656="",AA656="Avoir"),"",-SUMIFS(fa_ttc,fa_avof,A656,fa_type,"Avoir"))</f>
        <v/>
      </c>
      <c r="W656" s="65" t="str">
        <f>IF(OR(A656="",AA656="Avoir"),"",ROUND(S656-U656-V656,2))</f>
        <v/>
      </c>
      <c r="X656" s="66" t="str">
        <f>IF(W656="","",IF(AND(W656&gt;0,p_asof&gt;P656),p_asof-P656,""))</f>
        <v/>
      </c>
      <c r="Y656" s="59" t="str">
        <f>IF(A656="","",IF(AA656="Avoir","Avoir",IF(W656&lt;0,"Trop-perçu",IF(W656=0,"Soldée",IF(p_asof&gt;P656,"En retard",IF(U656+V656&gt;0,"Partielle","À échoir"))))))</f>
        <v/>
      </c>
      <c r="Z656" s="59" t="str">
        <f>IF(NOT(COUNTA(B656:D656,F656:O656)&gt;0),"",IF(C656="","Date manquante",IF(NOT(ISNUMBER(C656)),"Date invalide",IF(D656="","Client manquant",IF(ISNA(MATCH(D656,cli_code,0)),"Client inconnu",IF(AC656&lt;SUMPRODUCT(MAX(($AB$6:AB655=AB656)*$AC$6:AC655)),"Date antérieure à la facture précédente",IF(AND(F656&lt;&gt;"",ISNA(MATCH(F656,dv_num,0))),"Devis inconnu",IF(AND(F656&lt;&gt;"",IFERROR(INDEX(dv_client,MATCH(F656,dv_num,0)),D656)&lt;&gt;D656),"Client différent de celui du devis",IF(AG656="","Aucune ligne : saisissez des lignes ou un devis",IF(AND(AI656&lt;&gt;"",COUNTIF($AI$6:AI656,AI656)&gt;1),"Devis déjà repris par une autre facture",IF(AND(AA656="Avoir",M656=""),"Avoir : indiquez la facture d'origine",IF(AND(AA656="Avoir",ISNA(MATCH(M656,fa_num,0))),"Facture d'origine inconnue",IF(AND(AA656&lt;&gt;"Avoir",M656&lt;&gt;""),"« Avoir sur facture » : réservé aux avoirs",IF(AND(L656&lt;&gt;"",AA656&lt;&gt;"Facture"),"Acompte à déduire : réservé aux factures",IF(AND(L656&lt;&gt;"",ISNA(MATCH(L656,fa_num,0))),"Facture d'acompte inconnue",IF(AND(L656&lt;&gt;"",IFERROR(INDEX(fa_type,MATCH(L656,fa_num,0)),"")&lt;&gt;"Facture d'acompte"),"Le n° à déduire n'est pas une facture d'acompte",IF(AND(L656&lt;&gt;"",COUNTIF($L$6:L656,L656)&gt;1),"Acompte déjà déduit sur une autre facture",IF(AND(L656&lt;&gt;"",IFERROR(INDEX(fa_client,MATCH(L656,fa_num,0)),D656)&lt;&gt;D656),"Acompte d'un autre client",IF(AND(AR656&lt;&gt;"",N(Q656)&lt;0),"Acompte supérieur au total de la facture",IF(IF(AG656="Facture",COUNTIFS(fl_doc,A656,fl_check,"&lt;&gt;OK"),IF(AG656="Devis",COUNTIFS(dl_doc,F656,dl_check,"&lt;&gt;OK"),0))&gt;0,"Ligne(s) à corriger",IF(AND(W656&lt;&gt;"",N(W656)&lt;0),"Trop-perçu : vérifiez paiements et avoirs","OK")))))))))))))))))))))</f>
        <v/>
      </c>
      <c r="AA656" s="62" t="str">
        <f>IF(COUNTA(B656:D656,F656:O656)&gt;0,IF(B656="","Facture",B656),"")</f>
        <v/>
      </c>
      <c r="AB656" s="62" t="str">
        <f>IF(AA656="","",IF(AA656="Avoir",p_pav,IF(AA656="Facture d'acompte",p_pac,p_pfa)))</f>
        <v/>
      </c>
      <c r="AC656" s="62">
        <f>IF(ISNUMBER(C656),C656,0)</f>
        <v>0.0</v>
      </c>
      <c r="AD656" s="62" t="str">
        <f>IF(OR(AA656="",AC656=0),"",YEAR(AC656))</f>
        <v/>
      </c>
      <c r="AE656" s="62" t="str">
        <f>IF(AD656="","",COUNTIFS($AB$6:AB656,AB656,$AD$6:AD656,AD656))</f>
        <v/>
      </c>
      <c r="AF656" s="62">
        <f>IF(A656="",0,COUNTIF(fl_doc,A656))</f>
        <v>0.0</v>
      </c>
      <c r="AG656" s="62" t="str">
        <f>IF(A656="","",IF(AF656&gt;0,"Facture",IF(AND(F656&lt;&gt;"",AA656="Facture",ISNUMBER(MATCH(F656,dv_num,0))),"Devis","")))</f>
        <v/>
      </c>
      <c r="AH656" s="62" t="str">
        <f>IF(AND(A656&lt;&gt;"",F656&lt;&gt;"",AA656&lt;&gt;"Avoir"),F656,"")</f>
        <v/>
      </c>
      <c r="AI656" s="62" t="str">
        <f>IF(AG656="Devis",F656,"")</f>
        <v/>
      </c>
      <c r="AJ656" s="62">
        <f>IF(AG656="Facture",SUMIF(fl_doc,A656,fl_ht),IF(AG656="Devis",SUMIF(dl_doc,F656,dl_ht),0))</f>
        <v>0.0</v>
      </c>
      <c r="AK656" s="62">
        <f>IF(OR(AG656="",INDEX(p_rates,1)=""),0,IF(AG656="Facture",SUMIFS(fl_ht,fl_doc,A656,fl_rate,INDEX(p_rates,1)),SUMIFS(dl_ht,dl_doc,F656,dl_rate,INDEX(p_rates,1))))</f>
        <v>0.0</v>
      </c>
      <c r="AL656" s="62">
        <f>IF(OR(AG656="",INDEX(p_rates,2)=""),0,IF(AG656="Facture",SUMIFS(fl_ht,fl_doc,A656,fl_rate,INDEX(p_rates,2)),SUMIFS(dl_ht,dl_doc,F656,dl_rate,INDEX(p_rates,2))))</f>
        <v>0.0</v>
      </c>
      <c r="AM656" s="62">
        <f>IF(OR(AG656="",INDEX(p_rates,3)=""),0,IF(AG656="Facture",SUMIFS(fl_ht,fl_doc,A656,fl_rate,INDEX(p_rates,3)),SUMIFS(dl_ht,dl_doc,F656,dl_rate,INDEX(p_rates,3))))</f>
        <v>0.0</v>
      </c>
      <c r="AN656" s="62">
        <f>IF(OR(AG656="",INDEX(p_rates,4)=""),0,IF(AG656="Facture",SUMIFS(fl_ht,fl_doc,A656,fl_rate,INDEX(p_rates,4)),SUMIFS(dl_ht,dl_doc,F656,dl_rate,INDEX(p_rates,4))))</f>
        <v>0.0</v>
      </c>
      <c r="AO656" s="62">
        <f>IF(OR(AG656="",INDEX(p_rates,5)=""),0,IF(AG656="Facture",SUMIFS(fl_ht,fl_doc,A656,fl_rate,INDEX(p_rates,5)),SUMIFS(dl_ht,dl_doc,F656,dl_rate,INDEX(p_rates,5))))</f>
        <v>0.0</v>
      </c>
      <c r="AP656" s="62">
        <f>IF(OR(AG656="",INDEX(p_rates,6)=""),0,IF(AG656="Facture",SUMIFS(fl_ht,fl_doc,A656,fl_rate,INDEX(p_rates,6)),SUMIFS(dl_ht,dl_doc,F656,dl_rate,INDEX(p_rates,6))))</f>
        <v>0.0</v>
      </c>
      <c r="AQ656" s="62">
        <f>ROUND(AK656*N(INDEX(p_rates,1)),2)+ROUND(AL656*N(INDEX(p_rates,2)),2)+ROUND(AM656*N(INDEX(p_rates,3)),2)+ROUND(AN656*N(INDEX(p_rates,4)),2)+ROUND(AO656*N(INDEX(p_rates,5)),2)+ROUND(AP656*N(INDEX(p_rates,6)),2)</f>
        <v>0.0</v>
      </c>
      <c r="AR656" s="62" t="str">
        <f>IF(OR(L656="",AA656&lt;&gt;"Facture"),"",IFERROR(IF(INDEX(fa_type,MATCH(L656,fa_num,0))="Facture d'acompte",MATCH(L656,fa_num,0),""),""))</f>
        <v/>
      </c>
      <c r="AS656" s="62" t="str">
        <f>IF(W656="","",IF(W656&lt;=0,"",IF(p_asof-P656&lt;=0,"Non échu",IF(p_asof-P656&lt;=30,"1-30 j",IF(p_asof-P656&lt;=60,"31-60 j",IF(p_asof-P656&lt;=90,"61-90 j","Plus de 90 j"))))))</f>
        <v/>
      </c>
      <c r="AT656" s="62" t="str">
        <f>IF(AS656="","",p_asof-P656)</f>
        <v/>
      </c>
      <c r="AU656" s="62" t="str">
        <f>IF(AT656="","",COUNTIF($AT$6:$AT$805,"&gt;"&amp;AT656)+COUNTIF($AT$6:AT656,AT656))</f>
        <v/>
      </c>
    </row>
    <row r="657">
      <c r="A657" s="59" t="str">
        <f>IF(AE657="","",AB657&amp;"-"&amp;AD657&amp;"-"&amp;RIGHT("000"&amp;AE657,4))</f>
        <v/>
      </c>
      <c r="B657" s="60" t="n"/>
      <c r="C657" s="61" t="n"/>
      <c r="D657" s="60" t="n"/>
      <c r="E657" s="62" t="str">
        <f>IF(D657="","",IFERROR(INDEX(cli_name,MATCH(D657,cli_code,0))&amp;"","Client inconnu"))</f>
        <v/>
      </c>
      <c r="F657" s="60" t="n"/>
      <c r="G657" s="63" t="n"/>
      <c r="H657" s="61" t="n"/>
      <c r="I657" s="63" t="n"/>
      <c r="J657" s="60" t="n"/>
      <c r="K657" s="61" t="n"/>
      <c r="L657" s="60" t="n"/>
      <c r="M657" s="60" t="n"/>
      <c r="N657" s="60" t="n"/>
      <c r="O657" s="61" t="n"/>
      <c r="P657" s="64" t="str">
        <f>IF(A657="","",IF(AA657="Avoir",AC657,IF(ISNUMBER(K657),K657,AC657+IF(D657="",N(p_delay),IFERROR(IF(ISNUMBER(INDEX(cli_delay,MATCH(D657,cli_code,0))),INDEX(cli_delay,MATCH(D657,cli_code,0)),N(p_delay)),N(p_delay))))))</f>
        <v/>
      </c>
      <c r="Q657" s="65" t="str">
        <f>IF(A657="","",IF(AA657="Avoir",-1,1)*ROUND(AJ657-IF(AR657="",0,INDEX(fa_htb,AR657)),2))</f>
        <v/>
      </c>
      <c r="R657" s="65" t="str">
        <f>IF(A657="","",IF(AA657="Avoir",-1,1)*ROUND(AQ657-IF(AR657="",0,INDEX(fa_tvab,AR657)),2))</f>
        <v/>
      </c>
      <c r="S657" s="65" t="str">
        <f>IF(A657="","",Q657+R657)</f>
        <v/>
      </c>
      <c r="T657" s="65" t="str">
        <f>IF(AR657="","",INDEX(fa_htb,AR657)+INDEX(fa_tvab,AR657))</f>
        <v/>
      </c>
      <c r="U657" s="65" t="str">
        <f>IF(A657="","",SUMIF(pa_inv,A657,pa_amt))</f>
        <v/>
      </c>
      <c r="V657" s="65" t="str">
        <f>IF(OR(A657="",AA657="Avoir"),"",-SUMIFS(fa_ttc,fa_avof,A657,fa_type,"Avoir"))</f>
        <v/>
      </c>
      <c r="W657" s="65" t="str">
        <f>IF(OR(A657="",AA657="Avoir"),"",ROUND(S657-U657-V657,2))</f>
        <v/>
      </c>
      <c r="X657" s="66" t="str">
        <f>IF(W657="","",IF(AND(W657&gt;0,p_asof&gt;P657),p_asof-P657,""))</f>
        <v/>
      </c>
      <c r="Y657" s="59" t="str">
        <f>IF(A657="","",IF(AA657="Avoir","Avoir",IF(W657&lt;0,"Trop-perçu",IF(W657=0,"Soldée",IF(p_asof&gt;P657,"En retard",IF(U657+V657&gt;0,"Partielle","À échoir"))))))</f>
        <v/>
      </c>
      <c r="Z657" s="59" t="str">
        <f>IF(NOT(COUNTA(B657:D657,F657:O657)&gt;0),"",IF(C657="","Date manquante",IF(NOT(ISNUMBER(C657)),"Date invalide",IF(D657="","Client manquant",IF(ISNA(MATCH(D657,cli_code,0)),"Client inconnu",IF(AC657&lt;SUMPRODUCT(MAX(($AB$6:AB656=AB657)*$AC$6:AC656)),"Date antérieure à la facture précédente",IF(AND(F657&lt;&gt;"",ISNA(MATCH(F657,dv_num,0))),"Devis inconnu",IF(AND(F657&lt;&gt;"",IFERROR(INDEX(dv_client,MATCH(F657,dv_num,0)),D657)&lt;&gt;D657),"Client différent de celui du devis",IF(AG657="","Aucune ligne : saisissez des lignes ou un devis",IF(AND(AI657&lt;&gt;"",COUNTIF($AI$6:AI657,AI657)&gt;1),"Devis déjà repris par une autre facture",IF(AND(AA657="Avoir",M657=""),"Avoir : indiquez la facture d'origine",IF(AND(AA657="Avoir",ISNA(MATCH(M657,fa_num,0))),"Facture d'origine inconnue",IF(AND(AA657&lt;&gt;"Avoir",M657&lt;&gt;""),"« Avoir sur facture » : réservé aux avoirs",IF(AND(L657&lt;&gt;"",AA657&lt;&gt;"Facture"),"Acompte à déduire : réservé aux factures",IF(AND(L657&lt;&gt;"",ISNA(MATCH(L657,fa_num,0))),"Facture d'acompte inconnue",IF(AND(L657&lt;&gt;"",IFERROR(INDEX(fa_type,MATCH(L657,fa_num,0)),"")&lt;&gt;"Facture d'acompte"),"Le n° à déduire n'est pas une facture d'acompte",IF(AND(L657&lt;&gt;"",COUNTIF($L$6:L657,L657)&gt;1),"Acompte déjà déduit sur une autre facture",IF(AND(L657&lt;&gt;"",IFERROR(INDEX(fa_client,MATCH(L657,fa_num,0)),D657)&lt;&gt;D657),"Acompte d'un autre client",IF(AND(AR657&lt;&gt;"",N(Q657)&lt;0),"Acompte supérieur au total de la facture",IF(IF(AG657="Facture",COUNTIFS(fl_doc,A657,fl_check,"&lt;&gt;OK"),IF(AG657="Devis",COUNTIFS(dl_doc,F657,dl_check,"&lt;&gt;OK"),0))&gt;0,"Ligne(s) à corriger",IF(AND(W657&lt;&gt;"",N(W657)&lt;0),"Trop-perçu : vérifiez paiements et avoirs","OK")))))))))))))))))))))</f>
        <v/>
      </c>
      <c r="AA657" s="62" t="str">
        <f>IF(COUNTA(B657:D657,F657:O657)&gt;0,IF(B657="","Facture",B657),"")</f>
        <v/>
      </c>
      <c r="AB657" s="62" t="str">
        <f>IF(AA657="","",IF(AA657="Avoir",p_pav,IF(AA657="Facture d'acompte",p_pac,p_pfa)))</f>
        <v/>
      </c>
      <c r="AC657" s="62">
        <f>IF(ISNUMBER(C657),C657,0)</f>
        <v>0.0</v>
      </c>
      <c r="AD657" s="62" t="str">
        <f>IF(OR(AA657="",AC657=0),"",YEAR(AC657))</f>
        <v/>
      </c>
      <c r="AE657" s="62" t="str">
        <f>IF(AD657="","",COUNTIFS($AB$6:AB657,AB657,$AD$6:AD657,AD657))</f>
        <v/>
      </c>
      <c r="AF657" s="62">
        <f>IF(A657="",0,COUNTIF(fl_doc,A657))</f>
        <v>0.0</v>
      </c>
      <c r="AG657" s="62" t="str">
        <f>IF(A657="","",IF(AF657&gt;0,"Facture",IF(AND(F657&lt;&gt;"",AA657="Facture",ISNUMBER(MATCH(F657,dv_num,0))),"Devis","")))</f>
        <v/>
      </c>
      <c r="AH657" s="62" t="str">
        <f>IF(AND(A657&lt;&gt;"",F657&lt;&gt;"",AA657&lt;&gt;"Avoir"),F657,"")</f>
        <v/>
      </c>
      <c r="AI657" s="62" t="str">
        <f>IF(AG657="Devis",F657,"")</f>
        <v/>
      </c>
      <c r="AJ657" s="62">
        <f>IF(AG657="Facture",SUMIF(fl_doc,A657,fl_ht),IF(AG657="Devis",SUMIF(dl_doc,F657,dl_ht),0))</f>
        <v>0.0</v>
      </c>
      <c r="AK657" s="62">
        <f>IF(OR(AG657="",INDEX(p_rates,1)=""),0,IF(AG657="Facture",SUMIFS(fl_ht,fl_doc,A657,fl_rate,INDEX(p_rates,1)),SUMIFS(dl_ht,dl_doc,F657,dl_rate,INDEX(p_rates,1))))</f>
        <v>0.0</v>
      </c>
      <c r="AL657" s="62">
        <f>IF(OR(AG657="",INDEX(p_rates,2)=""),0,IF(AG657="Facture",SUMIFS(fl_ht,fl_doc,A657,fl_rate,INDEX(p_rates,2)),SUMIFS(dl_ht,dl_doc,F657,dl_rate,INDEX(p_rates,2))))</f>
        <v>0.0</v>
      </c>
      <c r="AM657" s="62">
        <f>IF(OR(AG657="",INDEX(p_rates,3)=""),0,IF(AG657="Facture",SUMIFS(fl_ht,fl_doc,A657,fl_rate,INDEX(p_rates,3)),SUMIFS(dl_ht,dl_doc,F657,dl_rate,INDEX(p_rates,3))))</f>
        <v>0.0</v>
      </c>
      <c r="AN657" s="62">
        <f>IF(OR(AG657="",INDEX(p_rates,4)=""),0,IF(AG657="Facture",SUMIFS(fl_ht,fl_doc,A657,fl_rate,INDEX(p_rates,4)),SUMIFS(dl_ht,dl_doc,F657,dl_rate,INDEX(p_rates,4))))</f>
        <v>0.0</v>
      </c>
      <c r="AO657" s="62">
        <f>IF(OR(AG657="",INDEX(p_rates,5)=""),0,IF(AG657="Facture",SUMIFS(fl_ht,fl_doc,A657,fl_rate,INDEX(p_rates,5)),SUMIFS(dl_ht,dl_doc,F657,dl_rate,INDEX(p_rates,5))))</f>
        <v>0.0</v>
      </c>
      <c r="AP657" s="62">
        <f>IF(OR(AG657="",INDEX(p_rates,6)=""),0,IF(AG657="Facture",SUMIFS(fl_ht,fl_doc,A657,fl_rate,INDEX(p_rates,6)),SUMIFS(dl_ht,dl_doc,F657,dl_rate,INDEX(p_rates,6))))</f>
        <v>0.0</v>
      </c>
      <c r="AQ657" s="62">
        <f>ROUND(AK657*N(INDEX(p_rates,1)),2)+ROUND(AL657*N(INDEX(p_rates,2)),2)+ROUND(AM657*N(INDEX(p_rates,3)),2)+ROUND(AN657*N(INDEX(p_rates,4)),2)+ROUND(AO657*N(INDEX(p_rates,5)),2)+ROUND(AP657*N(INDEX(p_rates,6)),2)</f>
        <v>0.0</v>
      </c>
      <c r="AR657" s="62" t="str">
        <f>IF(OR(L657="",AA657&lt;&gt;"Facture"),"",IFERROR(IF(INDEX(fa_type,MATCH(L657,fa_num,0))="Facture d'acompte",MATCH(L657,fa_num,0),""),""))</f>
        <v/>
      </c>
      <c r="AS657" s="62" t="str">
        <f>IF(W657="","",IF(W657&lt;=0,"",IF(p_asof-P657&lt;=0,"Non échu",IF(p_asof-P657&lt;=30,"1-30 j",IF(p_asof-P657&lt;=60,"31-60 j",IF(p_asof-P657&lt;=90,"61-90 j","Plus de 90 j"))))))</f>
        <v/>
      </c>
      <c r="AT657" s="62" t="str">
        <f>IF(AS657="","",p_asof-P657)</f>
        <v/>
      </c>
      <c r="AU657" s="62" t="str">
        <f>IF(AT657="","",COUNTIF($AT$6:$AT$805,"&gt;"&amp;AT657)+COUNTIF($AT$6:AT657,AT657))</f>
        <v/>
      </c>
    </row>
    <row r="658">
      <c r="A658" s="59" t="str">
        <f>IF(AE658="","",AB658&amp;"-"&amp;AD658&amp;"-"&amp;RIGHT("000"&amp;AE658,4))</f>
        <v/>
      </c>
      <c r="B658" s="60" t="n"/>
      <c r="C658" s="61" t="n"/>
      <c r="D658" s="60" t="n"/>
      <c r="E658" s="62" t="str">
        <f>IF(D658="","",IFERROR(INDEX(cli_name,MATCH(D658,cli_code,0))&amp;"","Client inconnu"))</f>
        <v/>
      </c>
      <c r="F658" s="60" t="n"/>
      <c r="G658" s="63" t="n"/>
      <c r="H658" s="61" t="n"/>
      <c r="I658" s="63" t="n"/>
      <c r="J658" s="60" t="n"/>
      <c r="K658" s="61" t="n"/>
      <c r="L658" s="60" t="n"/>
      <c r="M658" s="60" t="n"/>
      <c r="N658" s="60" t="n"/>
      <c r="O658" s="61" t="n"/>
      <c r="P658" s="64" t="str">
        <f>IF(A658="","",IF(AA658="Avoir",AC658,IF(ISNUMBER(K658),K658,AC658+IF(D658="",N(p_delay),IFERROR(IF(ISNUMBER(INDEX(cli_delay,MATCH(D658,cli_code,0))),INDEX(cli_delay,MATCH(D658,cli_code,0)),N(p_delay)),N(p_delay))))))</f>
        <v/>
      </c>
      <c r="Q658" s="65" t="str">
        <f>IF(A658="","",IF(AA658="Avoir",-1,1)*ROUND(AJ658-IF(AR658="",0,INDEX(fa_htb,AR658)),2))</f>
        <v/>
      </c>
      <c r="R658" s="65" t="str">
        <f>IF(A658="","",IF(AA658="Avoir",-1,1)*ROUND(AQ658-IF(AR658="",0,INDEX(fa_tvab,AR658)),2))</f>
        <v/>
      </c>
      <c r="S658" s="65" t="str">
        <f>IF(A658="","",Q658+R658)</f>
        <v/>
      </c>
      <c r="T658" s="65" t="str">
        <f>IF(AR658="","",INDEX(fa_htb,AR658)+INDEX(fa_tvab,AR658))</f>
        <v/>
      </c>
      <c r="U658" s="65" t="str">
        <f>IF(A658="","",SUMIF(pa_inv,A658,pa_amt))</f>
        <v/>
      </c>
      <c r="V658" s="65" t="str">
        <f>IF(OR(A658="",AA658="Avoir"),"",-SUMIFS(fa_ttc,fa_avof,A658,fa_type,"Avoir"))</f>
        <v/>
      </c>
      <c r="W658" s="65" t="str">
        <f>IF(OR(A658="",AA658="Avoir"),"",ROUND(S658-U658-V658,2))</f>
        <v/>
      </c>
      <c r="X658" s="66" t="str">
        <f>IF(W658="","",IF(AND(W658&gt;0,p_asof&gt;P658),p_asof-P658,""))</f>
        <v/>
      </c>
      <c r="Y658" s="59" t="str">
        <f>IF(A658="","",IF(AA658="Avoir","Avoir",IF(W658&lt;0,"Trop-perçu",IF(W658=0,"Soldée",IF(p_asof&gt;P658,"En retard",IF(U658+V658&gt;0,"Partielle","À échoir"))))))</f>
        <v/>
      </c>
      <c r="Z658" s="59" t="str">
        <f>IF(NOT(COUNTA(B658:D658,F658:O658)&gt;0),"",IF(C658="","Date manquante",IF(NOT(ISNUMBER(C658)),"Date invalide",IF(D658="","Client manquant",IF(ISNA(MATCH(D658,cli_code,0)),"Client inconnu",IF(AC658&lt;SUMPRODUCT(MAX(($AB$6:AB657=AB658)*$AC$6:AC657)),"Date antérieure à la facture précédente",IF(AND(F658&lt;&gt;"",ISNA(MATCH(F658,dv_num,0))),"Devis inconnu",IF(AND(F658&lt;&gt;"",IFERROR(INDEX(dv_client,MATCH(F658,dv_num,0)),D658)&lt;&gt;D658),"Client différent de celui du devis",IF(AG658="","Aucune ligne : saisissez des lignes ou un devis",IF(AND(AI658&lt;&gt;"",COUNTIF($AI$6:AI658,AI658)&gt;1),"Devis déjà repris par une autre facture",IF(AND(AA658="Avoir",M658=""),"Avoir : indiquez la facture d'origine",IF(AND(AA658="Avoir",ISNA(MATCH(M658,fa_num,0))),"Facture d'origine inconnue",IF(AND(AA658&lt;&gt;"Avoir",M658&lt;&gt;""),"« Avoir sur facture » : réservé aux avoirs",IF(AND(L658&lt;&gt;"",AA658&lt;&gt;"Facture"),"Acompte à déduire : réservé aux factures",IF(AND(L658&lt;&gt;"",ISNA(MATCH(L658,fa_num,0))),"Facture d'acompte inconnue",IF(AND(L658&lt;&gt;"",IFERROR(INDEX(fa_type,MATCH(L658,fa_num,0)),"")&lt;&gt;"Facture d'acompte"),"Le n° à déduire n'est pas une facture d'acompte",IF(AND(L658&lt;&gt;"",COUNTIF($L$6:L658,L658)&gt;1),"Acompte déjà déduit sur une autre facture",IF(AND(L658&lt;&gt;"",IFERROR(INDEX(fa_client,MATCH(L658,fa_num,0)),D658)&lt;&gt;D658),"Acompte d'un autre client",IF(AND(AR658&lt;&gt;"",N(Q658)&lt;0),"Acompte supérieur au total de la facture",IF(IF(AG658="Facture",COUNTIFS(fl_doc,A658,fl_check,"&lt;&gt;OK"),IF(AG658="Devis",COUNTIFS(dl_doc,F658,dl_check,"&lt;&gt;OK"),0))&gt;0,"Ligne(s) à corriger",IF(AND(W658&lt;&gt;"",N(W658)&lt;0),"Trop-perçu : vérifiez paiements et avoirs","OK")))))))))))))))))))))</f>
        <v/>
      </c>
      <c r="AA658" s="62" t="str">
        <f>IF(COUNTA(B658:D658,F658:O658)&gt;0,IF(B658="","Facture",B658),"")</f>
        <v/>
      </c>
      <c r="AB658" s="62" t="str">
        <f>IF(AA658="","",IF(AA658="Avoir",p_pav,IF(AA658="Facture d'acompte",p_pac,p_pfa)))</f>
        <v/>
      </c>
      <c r="AC658" s="62">
        <f>IF(ISNUMBER(C658),C658,0)</f>
        <v>0.0</v>
      </c>
      <c r="AD658" s="62" t="str">
        <f>IF(OR(AA658="",AC658=0),"",YEAR(AC658))</f>
        <v/>
      </c>
      <c r="AE658" s="62" t="str">
        <f>IF(AD658="","",COUNTIFS($AB$6:AB658,AB658,$AD$6:AD658,AD658))</f>
        <v/>
      </c>
      <c r="AF658" s="62">
        <f>IF(A658="",0,COUNTIF(fl_doc,A658))</f>
        <v>0.0</v>
      </c>
      <c r="AG658" s="62" t="str">
        <f>IF(A658="","",IF(AF658&gt;0,"Facture",IF(AND(F658&lt;&gt;"",AA658="Facture",ISNUMBER(MATCH(F658,dv_num,0))),"Devis","")))</f>
        <v/>
      </c>
      <c r="AH658" s="62" t="str">
        <f>IF(AND(A658&lt;&gt;"",F658&lt;&gt;"",AA658&lt;&gt;"Avoir"),F658,"")</f>
        <v/>
      </c>
      <c r="AI658" s="62" t="str">
        <f>IF(AG658="Devis",F658,"")</f>
        <v/>
      </c>
      <c r="AJ658" s="62">
        <f>IF(AG658="Facture",SUMIF(fl_doc,A658,fl_ht),IF(AG658="Devis",SUMIF(dl_doc,F658,dl_ht),0))</f>
        <v>0.0</v>
      </c>
      <c r="AK658" s="62">
        <f>IF(OR(AG658="",INDEX(p_rates,1)=""),0,IF(AG658="Facture",SUMIFS(fl_ht,fl_doc,A658,fl_rate,INDEX(p_rates,1)),SUMIFS(dl_ht,dl_doc,F658,dl_rate,INDEX(p_rates,1))))</f>
        <v>0.0</v>
      </c>
      <c r="AL658" s="62">
        <f>IF(OR(AG658="",INDEX(p_rates,2)=""),0,IF(AG658="Facture",SUMIFS(fl_ht,fl_doc,A658,fl_rate,INDEX(p_rates,2)),SUMIFS(dl_ht,dl_doc,F658,dl_rate,INDEX(p_rates,2))))</f>
        <v>0.0</v>
      </c>
      <c r="AM658" s="62">
        <f>IF(OR(AG658="",INDEX(p_rates,3)=""),0,IF(AG658="Facture",SUMIFS(fl_ht,fl_doc,A658,fl_rate,INDEX(p_rates,3)),SUMIFS(dl_ht,dl_doc,F658,dl_rate,INDEX(p_rates,3))))</f>
        <v>0.0</v>
      </c>
      <c r="AN658" s="62">
        <f>IF(OR(AG658="",INDEX(p_rates,4)=""),0,IF(AG658="Facture",SUMIFS(fl_ht,fl_doc,A658,fl_rate,INDEX(p_rates,4)),SUMIFS(dl_ht,dl_doc,F658,dl_rate,INDEX(p_rates,4))))</f>
        <v>0.0</v>
      </c>
      <c r="AO658" s="62">
        <f>IF(OR(AG658="",INDEX(p_rates,5)=""),0,IF(AG658="Facture",SUMIFS(fl_ht,fl_doc,A658,fl_rate,INDEX(p_rates,5)),SUMIFS(dl_ht,dl_doc,F658,dl_rate,INDEX(p_rates,5))))</f>
        <v>0.0</v>
      </c>
      <c r="AP658" s="62">
        <f>IF(OR(AG658="",INDEX(p_rates,6)=""),0,IF(AG658="Facture",SUMIFS(fl_ht,fl_doc,A658,fl_rate,INDEX(p_rates,6)),SUMIFS(dl_ht,dl_doc,F658,dl_rate,INDEX(p_rates,6))))</f>
        <v>0.0</v>
      </c>
      <c r="AQ658" s="62">
        <f>ROUND(AK658*N(INDEX(p_rates,1)),2)+ROUND(AL658*N(INDEX(p_rates,2)),2)+ROUND(AM658*N(INDEX(p_rates,3)),2)+ROUND(AN658*N(INDEX(p_rates,4)),2)+ROUND(AO658*N(INDEX(p_rates,5)),2)+ROUND(AP658*N(INDEX(p_rates,6)),2)</f>
        <v>0.0</v>
      </c>
      <c r="AR658" s="62" t="str">
        <f>IF(OR(L658="",AA658&lt;&gt;"Facture"),"",IFERROR(IF(INDEX(fa_type,MATCH(L658,fa_num,0))="Facture d'acompte",MATCH(L658,fa_num,0),""),""))</f>
        <v/>
      </c>
      <c r="AS658" s="62" t="str">
        <f>IF(W658="","",IF(W658&lt;=0,"",IF(p_asof-P658&lt;=0,"Non échu",IF(p_asof-P658&lt;=30,"1-30 j",IF(p_asof-P658&lt;=60,"31-60 j",IF(p_asof-P658&lt;=90,"61-90 j","Plus de 90 j"))))))</f>
        <v/>
      </c>
      <c r="AT658" s="62" t="str">
        <f>IF(AS658="","",p_asof-P658)</f>
        <v/>
      </c>
      <c r="AU658" s="62" t="str">
        <f>IF(AT658="","",COUNTIF($AT$6:$AT$805,"&gt;"&amp;AT658)+COUNTIF($AT$6:AT658,AT658))</f>
        <v/>
      </c>
    </row>
    <row r="659">
      <c r="A659" s="59" t="str">
        <f>IF(AE659="","",AB659&amp;"-"&amp;AD659&amp;"-"&amp;RIGHT("000"&amp;AE659,4))</f>
        <v/>
      </c>
      <c r="B659" s="60" t="n"/>
      <c r="C659" s="61" t="n"/>
      <c r="D659" s="60" t="n"/>
      <c r="E659" s="62" t="str">
        <f>IF(D659="","",IFERROR(INDEX(cli_name,MATCH(D659,cli_code,0))&amp;"","Client inconnu"))</f>
        <v/>
      </c>
      <c r="F659" s="60" t="n"/>
      <c r="G659" s="63" t="n"/>
      <c r="H659" s="61" t="n"/>
      <c r="I659" s="63" t="n"/>
      <c r="J659" s="60" t="n"/>
      <c r="K659" s="61" t="n"/>
      <c r="L659" s="60" t="n"/>
      <c r="M659" s="60" t="n"/>
      <c r="N659" s="60" t="n"/>
      <c r="O659" s="61" t="n"/>
      <c r="P659" s="64" t="str">
        <f>IF(A659="","",IF(AA659="Avoir",AC659,IF(ISNUMBER(K659),K659,AC659+IF(D659="",N(p_delay),IFERROR(IF(ISNUMBER(INDEX(cli_delay,MATCH(D659,cli_code,0))),INDEX(cli_delay,MATCH(D659,cli_code,0)),N(p_delay)),N(p_delay))))))</f>
        <v/>
      </c>
      <c r="Q659" s="65" t="str">
        <f>IF(A659="","",IF(AA659="Avoir",-1,1)*ROUND(AJ659-IF(AR659="",0,INDEX(fa_htb,AR659)),2))</f>
        <v/>
      </c>
      <c r="R659" s="65" t="str">
        <f>IF(A659="","",IF(AA659="Avoir",-1,1)*ROUND(AQ659-IF(AR659="",0,INDEX(fa_tvab,AR659)),2))</f>
        <v/>
      </c>
      <c r="S659" s="65" t="str">
        <f>IF(A659="","",Q659+R659)</f>
        <v/>
      </c>
      <c r="T659" s="65" t="str">
        <f>IF(AR659="","",INDEX(fa_htb,AR659)+INDEX(fa_tvab,AR659))</f>
        <v/>
      </c>
      <c r="U659" s="65" t="str">
        <f>IF(A659="","",SUMIF(pa_inv,A659,pa_amt))</f>
        <v/>
      </c>
      <c r="V659" s="65" t="str">
        <f>IF(OR(A659="",AA659="Avoir"),"",-SUMIFS(fa_ttc,fa_avof,A659,fa_type,"Avoir"))</f>
        <v/>
      </c>
      <c r="W659" s="65" t="str">
        <f>IF(OR(A659="",AA659="Avoir"),"",ROUND(S659-U659-V659,2))</f>
        <v/>
      </c>
      <c r="X659" s="66" t="str">
        <f>IF(W659="","",IF(AND(W659&gt;0,p_asof&gt;P659),p_asof-P659,""))</f>
        <v/>
      </c>
      <c r="Y659" s="59" t="str">
        <f>IF(A659="","",IF(AA659="Avoir","Avoir",IF(W659&lt;0,"Trop-perçu",IF(W659=0,"Soldée",IF(p_asof&gt;P659,"En retard",IF(U659+V659&gt;0,"Partielle","À échoir"))))))</f>
        <v/>
      </c>
      <c r="Z659" s="59" t="str">
        <f>IF(NOT(COUNTA(B659:D659,F659:O659)&gt;0),"",IF(C659="","Date manquante",IF(NOT(ISNUMBER(C659)),"Date invalide",IF(D659="","Client manquant",IF(ISNA(MATCH(D659,cli_code,0)),"Client inconnu",IF(AC659&lt;SUMPRODUCT(MAX(($AB$6:AB658=AB659)*$AC$6:AC658)),"Date antérieure à la facture précédente",IF(AND(F659&lt;&gt;"",ISNA(MATCH(F659,dv_num,0))),"Devis inconnu",IF(AND(F659&lt;&gt;"",IFERROR(INDEX(dv_client,MATCH(F659,dv_num,0)),D659)&lt;&gt;D659),"Client différent de celui du devis",IF(AG659="","Aucune ligne : saisissez des lignes ou un devis",IF(AND(AI659&lt;&gt;"",COUNTIF($AI$6:AI659,AI659)&gt;1),"Devis déjà repris par une autre facture",IF(AND(AA659="Avoir",M659=""),"Avoir : indiquez la facture d'origine",IF(AND(AA659="Avoir",ISNA(MATCH(M659,fa_num,0))),"Facture d'origine inconnue",IF(AND(AA659&lt;&gt;"Avoir",M659&lt;&gt;""),"« Avoir sur facture » : réservé aux avoirs",IF(AND(L659&lt;&gt;"",AA659&lt;&gt;"Facture"),"Acompte à déduire : réservé aux factures",IF(AND(L659&lt;&gt;"",ISNA(MATCH(L659,fa_num,0))),"Facture d'acompte inconnue",IF(AND(L659&lt;&gt;"",IFERROR(INDEX(fa_type,MATCH(L659,fa_num,0)),"")&lt;&gt;"Facture d'acompte"),"Le n° à déduire n'est pas une facture d'acompte",IF(AND(L659&lt;&gt;"",COUNTIF($L$6:L659,L659)&gt;1),"Acompte déjà déduit sur une autre facture",IF(AND(L659&lt;&gt;"",IFERROR(INDEX(fa_client,MATCH(L659,fa_num,0)),D659)&lt;&gt;D659),"Acompte d'un autre client",IF(AND(AR659&lt;&gt;"",N(Q659)&lt;0),"Acompte supérieur au total de la facture",IF(IF(AG659="Facture",COUNTIFS(fl_doc,A659,fl_check,"&lt;&gt;OK"),IF(AG659="Devis",COUNTIFS(dl_doc,F659,dl_check,"&lt;&gt;OK"),0))&gt;0,"Ligne(s) à corriger",IF(AND(W659&lt;&gt;"",N(W659)&lt;0),"Trop-perçu : vérifiez paiements et avoirs","OK")))))))))))))))))))))</f>
        <v/>
      </c>
      <c r="AA659" s="62" t="str">
        <f>IF(COUNTA(B659:D659,F659:O659)&gt;0,IF(B659="","Facture",B659),"")</f>
        <v/>
      </c>
      <c r="AB659" s="62" t="str">
        <f>IF(AA659="","",IF(AA659="Avoir",p_pav,IF(AA659="Facture d'acompte",p_pac,p_pfa)))</f>
        <v/>
      </c>
      <c r="AC659" s="62">
        <f>IF(ISNUMBER(C659),C659,0)</f>
        <v>0.0</v>
      </c>
      <c r="AD659" s="62" t="str">
        <f>IF(OR(AA659="",AC659=0),"",YEAR(AC659))</f>
        <v/>
      </c>
      <c r="AE659" s="62" t="str">
        <f>IF(AD659="","",COUNTIFS($AB$6:AB659,AB659,$AD$6:AD659,AD659))</f>
        <v/>
      </c>
      <c r="AF659" s="62">
        <f>IF(A659="",0,COUNTIF(fl_doc,A659))</f>
        <v>0.0</v>
      </c>
      <c r="AG659" s="62" t="str">
        <f>IF(A659="","",IF(AF659&gt;0,"Facture",IF(AND(F659&lt;&gt;"",AA659="Facture",ISNUMBER(MATCH(F659,dv_num,0))),"Devis","")))</f>
        <v/>
      </c>
      <c r="AH659" s="62" t="str">
        <f>IF(AND(A659&lt;&gt;"",F659&lt;&gt;"",AA659&lt;&gt;"Avoir"),F659,"")</f>
        <v/>
      </c>
      <c r="AI659" s="62" t="str">
        <f>IF(AG659="Devis",F659,"")</f>
        <v/>
      </c>
      <c r="AJ659" s="62">
        <f>IF(AG659="Facture",SUMIF(fl_doc,A659,fl_ht),IF(AG659="Devis",SUMIF(dl_doc,F659,dl_ht),0))</f>
        <v>0.0</v>
      </c>
      <c r="AK659" s="62">
        <f>IF(OR(AG659="",INDEX(p_rates,1)=""),0,IF(AG659="Facture",SUMIFS(fl_ht,fl_doc,A659,fl_rate,INDEX(p_rates,1)),SUMIFS(dl_ht,dl_doc,F659,dl_rate,INDEX(p_rates,1))))</f>
        <v>0.0</v>
      </c>
      <c r="AL659" s="62">
        <f>IF(OR(AG659="",INDEX(p_rates,2)=""),0,IF(AG659="Facture",SUMIFS(fl_ht,fl_doc,A659,fl_rate,INDEX(p_rates,2)),SUMIFS(dl_ht,dl_doc,F659,dl_rate,INDEX(p_rates,2))))</f>
        <v>0.0</v>
      </c>
      <c r="AM659" s="62">
        <f>IF(OR(AG659="",INDEX(p_rates,3)=""),0,IF(AG659="Facture",SUMIFS(fl_ht,fl_doc,A659,fl_rate,INDEX(p_rates,3)),SUMIFS(dl_ht,dl_doc,F659,dl_rate,INDEX(p_rates,3))))</f>
        <v>0.0</v>
      </c>
      <c r="AN659" s="62">
        <f>IF(OR(AG659="",INDEX(p_rates,4)=""),0,IF(AG659="Facture",SUMIFS(fl_ht,fl_doc,A659,fl_rate,INDEX(p_rates,4)),SUMIFS(dl_ht,dl_doc,F659,dl_rate,INDEX(p_rates,4))))</f>
        <v>0.0</v>
      </c>
      <c r="AO659" s="62">
        <f>IF(OR(AG659="",INDEX(p_rates,5)=""),0,IF(AG659="Facture",SUMIFS(fl_ht,fl_doc,A659,fl_rate,INDEX(p_rates,5)),SUMIFS(dl_ht,dl_doc,F659,dl_rate,INDEX(p_rates,5))))</f>
        <v>0.0</v>
      </c>
      <c r="AP659" s="62">
        <f>IF(OR(AG659="",INDEX(p_rates,6)=""),0,IF(AG659="Facture",SUMIFS(fl_ht,fl_doc,A659,fl_rate,INDEX(p_rates,6)),SUMIFS(dl_ht,dl_doc,F659,dl_rate,INDEX(p_rates,6))))</f>
        <v>0.0</v>
      </c>
      <c r="AQ659" s="62">
        <f>ROUND(AK659*N(INDEX(p_rates,1)),2)+ROUND(AL659*N(INDEX(p_rates,2)),2)+ROUND(AM659*N(INDEX(p_rates,3)),2)+ROUND(AN659*N(INDEX(p_rates,4)),2)+ROUND(AO659*N(INDEX(p_rates,5)),2)+ROUND(AP659*N(INDEX(p_rates,6)),2)</f>
        <v>0.0</v>
      </c>
      <c r="AR659" s="62" t="str">
        <f>IF(OR(L659="",AA659&lt;&gt;"Facture"),"",IFERROR(IF(INDEX(fa_type,MATCH(L659,fa_num,0))="Facture d'acompte",MATCH(L659,fa_num,0),""),""))</f>
        <v/>
      </c>
      <c r="AS659" s="62" t="str">
        <f>IF(W659="","",IF(W659&lt;=0,"",IF(p_asof-P659&lt;=0,"Non échu",IF(p_asof-P659&lt;=30,"1-30 j",IF(p_asof-P659&lt;=60,"31-60 j",IF(p_asof-P659&lt;=90,"61-90 j","Plus de 90 j"))))))</f>
        <v/>
      </c>
      <c r="AT659" s="62" t="str">
        <f>IF(AS659="","",p_asof-P659)</f>
        <v/>
      </c>
      <c r="AU659" s="62" t="str">
        <f>IF(AT659="","",COUNTIF($AT$6:$AT$805,"&gt;"&amp;AT659)+COUNTIF($AT$6:AT659,AT659))</f>
        <v/>
      </c>
    </row>
    <row r="660">
      <c r="A660" s="59" t="str">
        <f>IF(AE660="","",AB660&amp;"-"&amp;AD660&amp;"-"&amp;RIGHT("000"&amp;AE660,4))</f>
        <v/>
      </c>
      <c r="B660" s="60" t="n"/>
      <c r="C660" s="61" t="n"/>
      <c r="D660" s="60" t="n"/>
      <c r="E660" s="62" t="str">
        <f>IF(D660="","",IFERROR(INDEX(cli_name,MATCH(D660,cli_code,0))&amp;"","Client inconnu"))</f>
        <v/>
      </c>
      <c r="F660" s="60" t="n"/>
      <c r="G660" s="63" t="n"/>
      <c r="H660" s="61" t="n"/>
      <c r="I660" s="63" t="n"/>
      <c r="J660" s="60" t="n"/>
      <c r="K660" s="61" t="n"/>
      <c r="L660" s="60" t="n"/>
      <c r="M660" s="60" t="n"/>
      <c r="N660" s="60" t="n"/>
      <c r="O660" s="61" t="n"/>
      <c r="P660" s="64" t="str">
        <f>IF(A660="","",IF(AA660="Avoir",AC660,IF(ISNUMBER(K660),K660,AC660+IF(D660="",N(p_delay),IFERROR(IF(ISNUMBER(INDEX(cli_delay,MATCH(D660,cli_code,0))),INDEX(cli_delay,MATCH(D660,cli_code,0)),N(p_delay)),N(p_delay))))))</f>
        <v/>
      </c>
      <c r="Q660" s="65" t="str">
        <f>IF(A660="","",IF(AA660="Avoir",-1,1)*ROUND(AJ660-IF(AR660="",0,INDEX(fa_htb,AR660)),2))</f>
        <v/>
      </c>
      <c r="R660" s="65" t="str">
        <f>IF(A660="","",IF(AA660="Avoir",-1,1)*ROUND(AQ660-IF(AR660="",0,INDEX(fa_tvab,AR660)),2))</f>
        <v/>
      </c>
      <c r="S660" s="65" t="str">
        <f>IF(A660="","",Q660+R660)</f>
        <v/>
      </c>
      <c r="T660" s="65" t="str">
        <f>IF(AR660="","",INDEX(fa_htb,AR660)+INDEX(fa_tvab,AR660))</f>
        <v/>
      </c>
      <c r="U660" s="65" t="str">
        <f>IF(A660="","",SUMIF(pa_inv,A660,pa_amt))</f>
        <v/>
      </c>
      <c r="V660" s="65" t="str">
        <f>IF(OR(A660="",AA660="Avoir"),"",-SUMIFS(fa_ttc,fa_avof,A660,fa_type,"Avoir"))</f>
        <v/>
      </c>
      <c r="W660" s="65" t="str">
        <f>IF(OR(A660="",AA660="Avoir"),"",ROUND(S660-U660-V660,2))</f>
        <v/>
      </c>
      <c r="X660" s="66" t="str">
        <f>IF(W660="","",IF(AND(W660&gt;0,p_asof&gt;P660),p_asof-P660,""))</f>
        <v/>
      </c>
      <c r="Y660" s="59" t="str">
        <f>IF(A660="","",IF(AA660="Avoir","Avoir",IF(W660&lt;0,"Trop-perçu",IF(W660=0,"Soldée",IF(p_asof&gt;P660,"En retard",IF(U660+V660&gt;0,"Partielle","À échoir"))))))</f>
        <v/>
      </c>
      <c r="Z660" s="59" t="str">
        <f>IF(NOT(COUNTA(B660:D660,F660:O660)&gt;0),"",IF(C660="","Date manquante",IF(NOT(ISNUMBER(C660)),"Date invalide",IF(D660="","Client manquant",IF(ISNA(MATCH(D660,cli_code,0)),"Client inconnu",IF(AC660&lt;SUMPRODUCT(MAX(($AB$6:AB659=AB660)*$AC$6:AC659)),"Date antérieure à la facture précédente",IF(AND(F660&lt;&gt;"",ISNA(MATCH(F660,dv_num,0))),"Devis inconnu",IF(AND(F660&lt;&gt;"",IFERROR(INDEX(dv_client,MATCH(F660,dv_num,0)),D660)&lt;&gt;D660),"Client différent de celui du devis",IF(AG660="","Aucune ligne : saisissez des lignes ou un devis",IF(AND(AI660&lt;&gt;"",COUNTIF($AI$6:AI660,AI660)&gt;1),"Devis déjà repris par une autre facture",IF(AND(AA660="Avoir",M660=""),"Avoir : indiquez la facture d'origine",IF(AND(AA660="Avoir",ISNA(MATCH(M660,fa_num,0))),"Facture d'origine inconnue",IF(AND(AA660&lt;&gt;"Avoir",M660&lt;&gt;""),"« Avoir sur facture » : réservé aux avoirs",IF(AND(L660&lt;&gt;"",AA660&lt;&gt;"Facture"),"Acompte à déduire : réservé aux factures",IF(AND(L660&lt;&gt;"",ISNA(MATCH(L660,fa_num,0))),"Facture d'acompte inconnue",IF(AND(L660&lt;&gt;"",IFERROR(INDEX(fa_type,MATCH(L660,fa_num,0)),"")&lt;&gt;"Facture d'acompte"),"Le n° à déduire n'est pas une facture d'acompte",IF(AND(L660&lt;&gt;"",COUNTIF($L$6:L660,L660)&gt;1),"Acompte déjà déduit sur une autre facture",IF(AND(L660&lt;&gt;"",IFERROR(INDEX(fa_client,MATCH(L660,fa_num,0)),D660)&lt;&gt;D660),"Acompte d'un autre client",IF(AND(AR660&lt;&gt;"",N(Q660)&lt;0),"Acompte supérieur au total de la facture",IF(IF(AG660="Facture",COUNTIFS(fl_doc,A660,fl_check,"&lt;&gt;OK"),IF(AG660="Devis",COUNTIFS(dl_doc,F660,dl_check,"&lt;&gt;OK"),0))&gt;0,"Ligne(s) à corriger",IF(AND(W660&lt;&gt;"",N(W660)&lt;0),"Trop-perçu : vérifiez paiements et avoirs","OK")))))))))))))))))))))</f>
        <v/>
      </c>
      <c r="AA660" s="62" t="str">
        <f>IF(COUNTA(B660:D660,F660:O660)&gt;0,IF(B660="","Facture",B660),"")</f>
        <v/>
      </c>
      <c r="AB660" s="62" t="str">
        <f>IF(AA660="","",IF(AA660="Avoir",p_pav,IF(AA660="Facture d'acompte",p_pac,p_pfa)))</f>
        <v/>
      </c>
      <c r="AC660" s="62">
        <f>IF(ISNUMBER(C660),C660,0)</f>
        <v>0.0</v>
      </c>
      <c r="AD660" s="62" t="str">
        <f>IF(OR(AA660="",AC660=0),"",YEAR(AC660))</f>
        <v/>
      </c>
      <c r="AE660" s="62" t="str">
        <f>IF(AD660="","",COUNTIFS($AB$6:AB660,AB660,$AD$6:AD660,AD660))</f>
        <v/>
      </c>
      <c r="AF660" s="62">
        <f>IF(A660="",0,COUNTIF(fl_doc,A660))</f>
        <v>0.0</v>
      </c>
      <c r="AG660" s="62" t="str">
        <f>IF(A660="","",IF(AF660&gt;0,"Facture",IF(AND(F660&lt;&gt;"",AA660="Facture",ISNUMBER(MATCH(F660,dv_num,0))),"Devis","")))</f>
        <v/>
      </c>
      <c r="AH660" s="62" t="str">
        <f>IF(AND(A660&lt;&gt;"",F660&lt;&gt;"",AA660&lt;&gt;"Avoir"),F660,"")</f>
        <v/>
      </c>
      <c r="AI660" s="62" t="str">
        <f>IF(AG660="Devis",F660,"")</f>
        <v/>
      </c>
      <c r="AJ660" s="62">
        <f>IF(AG660="Facture",SUMIF(fl_doc,A660,fl_ht),IF(AG660="Devis",SUMIF(dl_doc,F660,dl_ht),0))</f>
        <v>0.0</v>
      </c>
      <c r="AK660" s="62">
        <f>IF(OR(AG660="",INDEX(p_rates,1)=""),0,IF(AG660="Facture",SUMIFS(fl_ht,fl_doc,A660,fl_rate,INDEX(p_rates,1)),SUMIFS(dl_ht,dl_doc,F660,dl_rate,INDEX(p_rates,1))))</f>
        <v>0.0</v>
      </c>
      <c r="AL660" s="62">
        <f>IF(OR(AG660="",INDEX(p_rates,2)=""),0,IF(AG660="Facture",SUMIFS(fl_ht,fl_doc,A660,fl_rate,INDEX(p_rates,2)),SUMIFS(dl_ht,dl_doc,F660,dl_rate,INDEX(p_rates,2))))</f>
        <v>0.0</v>
      </c>
      <c r="AM660" s="62">
        <f>IF(OR(AG660="",INDEX(p_rates,3)=""),0,IF(AG660="Facture",SUMIFS(fl_ht,fl_doc,A660,fl_rate,INDEX(p_rates,3)),SUMIFS(dl_ht,dl_doc,F660,dl_rate,INDEX(p_rates,3))))</f>
        <v>0.0</v>
      </c>
      <c r="AN660" s="62">
        <f>IF(OR(AG660="",INDEX(p_rates,4)=""),0,IF(AG660="Facture",SUMIFS(fl_ht,fl_doc,A660,fl_rate,INDEX(p_rates,4)),SUMIFS(dl_ht,dl_doc,F660,dl_rate,INDEX(p_rates,4))))</f>
        <v>0.0</v>
      </c>
      <c r="AO660" s="62">
        <f>IF(OR(AG660="",INDEX(p_rates,5)=""),0,IF(AG660="Facture",SUMIFS(fl_ht,fl_doc,A660,fl_rate,INDEX(p_rates,5)),SUMIFS(dl_ht,dl_doc,F660,dl_rate,INDEX(p_rates,5))))</f>
        <v>0.0</v>
      </c>
      <c r="AP660" s="62">
        <f>IF(OR(AG660="",INDEX(p_rates,6)=""),0,IF(AG660="Facture",SUMIFS(fl_ht,fl_doc,A660,fl_rate,INDEX(p_rates,6)),SUMIFS(dl_ht,dl_doc,F660,dl_rate,INDEX(p_rates,6))))</f>
        <v>0.0</v>
      </c>
      <c r="AQ660" s="62">
        <f>ROUND(AK660*N(INDEX(p_rates,1)),2)+ROUND(AL660*N(INDEX(p_rates,2)),2)+ROUND(AM660*N(INDEX(p_rates,3)),2)+ROUND(AN660*N(INDEX(p_rates,4)),2)+ROUND(AO660*N(INDEX(p_rates,5)),2)+ROUND(AP660*N(INDEX(p_rates,6)),2)</f>
        <v>0.0</v>
      </c>
      <c r="AR660" s="62" t="str">
        <f>IF(OR(L660="",AA660&lt;&gt;"Facture"),"",IFERROR(IF(INDEX(fa_type,MATCH(L660,fa_num,0))="Facture d'acompte",MATCH(L660,fa_num,0),""),""))</f>
        <v/>
      </c>
      <c r="AS660" s="62" t="str">
        <f>IF(W660="","",IF(W660&lt;=0,"",IF(p_asof-P660&lt;=0,"Non échu",IF(p_asof-P660&lt;=30,"1-30 j",IF(p_asof-P660&lt;=60,"31-60 j",IF(p_asof-P660&lt;=90,"61-90 j","Plus de 90 j"))))))</f>
        <v/>
      </c>
      <c r="AT660" s="62" t="str">
        <f>IF(AS660="","",p_asof-P660)</f>
        <v/>
      </c>
      <c r="AU660" s="62" t="str">
        <f>IF(AT660="","",COUNTIF($AT$6:$AT$805,"&gt;"&amp;AT660)+COUNTIF($AT$6:AT660,AT660))</f>
        <v/>
      </c>
    </row>
    <row r="661">
      <c r="A661" s="59" t="str">
        <f>IF(AE661="","",AB661&amp;"-"&amp;AD661&amp;"-"&amp;RIGHT("000"&amp;AE661,4))</f>
        <v/>
      </c>
      <c r="B661" s="60" t="n"/>
      <c r="C661" s="61" t="n"/>
      <c r="D661" s="60" t="n"/>
      <c r="E661" s="62" t="str">
        <f>IF(D661="","",IFERROR(INDEX(cli_name,MATCH(D661,cli_code,0))&amp;"","Client inconnu"))</f>
        <v/>
      </c>
      <c r="F661" s="60" t="n"/>
      <c r="G661" s="63" t="n"/>
      <c r="H661" s="61" t="n"/>
      <c r="I661" s="63" t="n"/>
      <c r="J661" s="60" t="n"/>
      <c r="K661" s="61" t="n"/>
      <c r="L661" s="60" t="n"/>
      <c r="M661" s="60" t="n"/>
      <c r="N661" s="60" t="n"/>
      <c r="O661" s="61" t="n"/>
      <c r="P661" s="64" t="str">
        <f>IF(A661="","",IF(AA661="Avoir",AC661,IF(ISNUMBER(K661),K661,AC661+IF(D661="",N(p_delay),IFERROR(IF(ISNUMBER(INDEX(cli_delay,MATCH(D661,cli_code,0))),INDEX(cli_delay,MATCH(D661,cli_code,0)),N(p_delay)),N(p_delay))))))</f>
        <v/>
      </c>
      <c r="Q661" s="65" t="str">
        <f>IF(A661="","",IF(AA661="Avoir",-1,1)*ROUND(AJ661-IF(AR661="",0,INDEX(fa_htb,AR661)),2))</f>
        <v/>
      </c>
      <c r="R661" s="65" t="str">
        <f>IF(A661="","",IF(AA661="Avoir",-1,1)*ROUND(AQ661-IF(AR661="",0,INDEX(fa_tvab,AR661)),2))</f>
        <v/>
      </c>
      <c r="S661" s="65" t="str">
        <f>IF(A661="","",Q661+R661)</f>
        <v/>
      </c>
      <c r="T661" s="65" t="str">
        <f>IF(AR661="","",INDEX(fa_htb,AR661)+INDEX(fa_tvab,AR661))</f>
        <v/>
      </c>
      <c r="U661" s="65" t="str">
        <f>IF(A661="","",SUMIF(pa_inv,A661,pa_amt))</f>
        <v/>
      </c>
      <c r="V661" s="65" t="str">
        <f>IF(OR(A661="",AA661="Avoir"),"",-SUMIFS(fa_ttc,fa_avof,A661,fa_type,"Avoir"))</f>
        <v/>
      </c>
      <c r="W661" s="65" t="str">
        <f>IF(OR(A661="",AA661="Avoir"),"",ROUND(S661-U661-V661,2))</f>
        <v/>
      </c>
      <c r="X661" s="66" t="str">
        <f>IF(W661="","",IF(AND(W661&gt;0,p_asof&gt;P661),p_asof-P661,""))</f>
        <v/>
      </c>
      <c r="Y661" s="59" t="str">
        <f>IF(A661="","",IF(AA661="Avoir","Avoir",IF(W661&lt;0,"Trop-perçu",IF(W661=0,"Soldée",IF(p_asof&gt;P661,"En retard",IF(U661+V661&gt;0,"Partielle","À échoir"))))))</f>
        <v/>
      </c>
      <c r="Z661" s="59" t="str">
        <f>IF(NOT(COUNTA(B661:D661,F661:O661)&gt;0),"",IF(C661="","Date manquante",IF(NOT(ISNUMBER(C661)),"Date invalide",IF(D661="","Client manquant",IF(ISNA(MATCH(D661,cli_code,0)),"Client inconnu",IF(AC661&lt;SUMPRODUCT(MAX(($AB$6:AB660=AB661)*$AC$6:AC660)),"Date antérieure à la facture précédente",IF(AND(F661&lt;&gt;"",ISNA(MATCH(F661,dv_num,0))),"Devis inconnu",IF(AND(F661&lt;&gt;"",IFERROR(INDEX(dv_client,MATCH(F661,dv_num,0)),D661)&lt;&gt;D661),"Client différent de celui du devis",IF(AG661="","Aucune ligne : saisissez des lignes ou un devis",IF(AND(AI661&lt;&gt;"",COUNTIF($AI$6:AI661,AI661)&gt;1),"Devis déjà repris par une autre facture",IF(AND(AA661="Avoir",M661=""),"Avoir : indiquez la facture d'origine",IF(AND(AA661="Avoir",ISNA(MATCH(M661,fa_num,0))),"Facture d'origine inconnue",IF(AND(AA661&lt;&gt;"Avoir",M661&lt;&gt;""),"« Avoir sur facture » : réservé aux avoirs",IF(AND(L661&lt;&gt;"",AA661&lt;&gt;"Facture"),"Acompte à déduire : réservé aux factures",IF(AND(L661&lt;&gt;"",ISNA(MATCH(L661,fa_num,0))),"Facture d'acompte inconnue",IF(AND(L661&lt;&gt;"",IFERROR(INDEX(fa_type,MATCH(L661,fa_num,0)),"")&lt;&gt;"Facture d'acompte"),"Le n° à déduire n'est pas une facture d'acompte",IF(AND(L661&lt;&gt;"",COUNTIF($L$6:L661,L661)&gt;1),"Acompte déjà déduit sur une autre facture",IF(AND(L661&lt;&gt;"",IFERROR(INDEX(fa_client,MATCH(L661,fa_num,0)),D661)&lt;&gt;D661),"Acompte d'un autre client",IF(AND(AR661&lt;&gt;"",N(Q661)&lt;0),"Acompte supérieur au total de la facture",IF(IF(AG661="Facture",COUNTIFS(fl_doc,A661,fl_check,"&lt;&gt;OK"),IF(AG661="Devis",COUNTIFS(dl_doc,F661,dl_check,"&lt;&gt;OK"),0))&gt;0,"Ligne(s) à corriger",IF(AND(W661&lt;&gt;"",N(W661)&lt;0),"Trop-perçu : vérifiez paiements et avoirs","OK")))))))))))))))))))))</f>
        <v/>
      </c>
      <c r="AA661" s="62" t="str">
        <f>IF(COUNTA(B661:D661,F661:O661)&gt;0,IF(B661="","Facture",B661),"")</f>
        <v/>
      </c>
      <c r="AB661" s="62" t="str">
        <f>IF(AA661="","",IF(AA661="Avoir",p_pav,IF(AA661="Facture d'acompte",p_pac,p_pfa)))</f>
        <v/>
      </c>
      <c r="AC661" s="62">
        <f>IF(ISNUMBER(C661),C661,0)</f>
        <v>0.0</v>
      </c>
      <c r="AD661" s="62" t="str">
        <f>IF(OR(AA661="",AC661=0),"",YEAR(AC661))</f>
        <v/>
      </c>
      <c r="AE661" s="62" t="str">
        <f>IF(AD661="","",COUNTIFS($AB$6:AB661,AB661,$AD$6:AD661,AD661))</f>
        <v/>
      </c>
      <c r="AF661" s="62">
        <f>IF(A661="",0,COUNTIF(fl_doc,A661))</f>
        <v>0.0</v>
      </c>
      <c r="AG661" s="62" t="str">
        <f>IF(A661="","",IF(AF661&gt;0,"Facture",IF(AND(F661&lt;&gt;"",AA661="Facture",ISNUMBER(MATCH(F661,dv_num,0))),"Devis","")))</f>
        <v/>
      </c>
      <c r="AH661" s="62" t="str">
        <f>IF(AND(A661&lt;&gt;"",F661&lt;&gt;"",AA661&lt;&gt;"Avoir"),F661,"")</f>
        <v/>
      </c>
      <c r="AI661" s="62" t="str">
        <f>IF(AG661="Devis",F661,"")</f>
        <v/>
      </c>
      <c r="AJ661" s="62">
        <f>IF(AG661="Facture",SUMIF(fl_doc,A661,fl_ht),IF(AG661="Devis",SUMIF(dl_doc,F661,dl_ht),0))</f>
        <v>0.0</v>
      </c>
      <c r="AK661" s="62">
        <f>IF(OR(AG661="",INDEX(p_rates,1)=""),0,IF(AG661="Facture",SUMIFS(fl_ht,fl_doc,A661,fl_rate,INDEX(p_rates,1)),SUMIFS(dl_ht,dl_doc,F661,dl_rate,INDEX(p_rates,1))))</f>
        <v>0.0</v>
      </c>
      <c r="AL661" s="62">
        <f>IF(OR(AG661="",INDEX(p_rates,2)=""),0,IF(AG661="Facture",SUMIFS(fl_ht,fl_doc,A661,fl_rate,INDEX(p_rates,2)),SUMIFS(dl_ht,dl_doc,F661,dl_rate,INDEX(p_rates,2))))</f>
        <v>0.0</v>
      </c>
      <c r="AM661" s="62">
        <f>IF(OR(AG661="",INDEX(p_rates,3)=""),0,IF(AG661="Facture",SUMIFS(fl_ht,fl_doc,A661,fl_rate,INDEX(p_rates,3)),SUMIFS(dl_ht,dl_doc,F661,dl_rate,INDEX(p_rates,3))))</f>
        <v>0.0</v>
      </c>
      <c r="AN661" s="62">
        <f>IF(OR(AG661="",INDEX(p_rates,4)=""),0,IF(AG661="Facture",SUMIFS(fl_ht,fl_doc,A661,fl_rate,INDEX(p_rates,4)),SUMIFS(dl_ht,dl_doc,F661,dl_rate,INDEX(p_rates,4))))</f>
        <v>0.0</v>
      </c>
      <c r="AO661" s="62">
        <f>IF(OR(AG661="",INDEX(p_rates,5)=""),0,IF(AG661="Facture",SUMIFS(fl_ht,fl_doc,A661,fl_rate,INDEX(p_rates,5)),SUMIFS(dl_ht,dl_doc,F661,dl_rate,INDEX(p_rates,5))))</f>
        <v>0.0</v>
      </c>
      <c r="AP661" s="62">
        <f>IF(OR(AG661="",INDEX(p_rates,6)=""),0,IF(AG661="Facture",SUMIFS(fl_ht,fl_doc,A661,fl_rate,INDEX(p_rates,6)),SUMIFS(dl_ht,dl_doc,F661,dl_rate,INDEX(p_rates,6))))</f>
        <v>0.0</v>
      </c>
      <c r="AQ661" s="62">
        <f>ROUND(AK661*N(INDEX(p_rates,1)),2)+ROUND(AL661*N(INDEX(p_rates,2)),2)+ROUND(AM661*N(INDEX(p_rates,3)),2)+ROUND(AN661*N(INDEX(p_rates,4)),2)+ROUND(AO661*N(INDEX(p_rates,5)),2)+ROUND(AP661*N(INDEX(p_rates,6)),2)</f>
        <v>0.0</v>
      </c>
      <c r="AR661" s="62" t="str">
        <f>IF(OR(L661="",AA661&lt;&gt;"Facture"),"",IFERROR(IF(INDEX(fa_type,MATCH(L661,fa_num,0))="Facture d'acompte",MATCH(L661,fa_num,0),""),""))</f>
        <v/>
      </c>
      <c r="AS661" s="62" t="str">
        <f>IF(W661="","",IF(W661&lt;=0,"",IF(p_asof-P661&lt;=0,"Non échu",IF(p_asof-P661&lt;=30,"1-30 j",IF(p_asof-P661&lt;=60,"31-60 j",IF(p_asof-P661&lt;=90,"61-90 j","Plus de 90 j"))))))</f>
        <v/>
      </c>
      <c r="AT661" s="62" t="str">
        <f>IF(AS661="","",p_asof-P661)</f>
        <v/>
      </c>
      <c r="AU661" s="62" t="str">
        <f>IF(AT661="","",COUNTIF($AT$6:$AT$805,"&gt;"&amp;AT661)+COUNTIF($AT$6:AT661,AT661))</f>
        <v/>
      </c>
    </row>
    <row r="662">
      <c r="A662" s="59" t="str">
        <f>IF(AE662="","",AB662&amp;"-"&amp;AD662&amp;"-"&amp;RIGHT("000"&amp;AE662,4))</f>
        <v/>
      </c>
      <c r="B662" s="60" t="n"/>
      <c r="C662" s="61" t="n"/>
      <c r="D662" s="60" t="n"/>
      <c r="E662" s="62" t="str">
        <f>IF(D662="","",IFERROR(INDEX(cli_name,MATCH(D662,cli_code,0))&amp;"","Client inconnu"))</f>
        <v/>
      </c>
      <c r="F662" s="60" t="n"/>
      <c r="G662" s="63" t="n"/>
      <c r="H662" s="61" t="n"/>
      <c r="I662" s="63" t="n"/>
      <c r="J662" s="60" t="n"/>
      <c r="K662" s="61" t="n"/>
      <c r="L662" s="60" t="n"/>
      <c r="M662" s="60" t="n"/>
      <c r="N662" s="60" t="n"/>
      <c r="O662" s="61" t="n"/>
      <c r="P662" s="64" t="str">
        <f>IF(A662="","",IF(AA662="Avoir",AC662,IF(ISNUMBER(K662),K662,AC662+IF(D662="",N(p_delay),IFERROR(IF(ISNUMBER(INDEX(cli_delay,MATCH(D662,cli_code,0))),INDEX(cli_delay,MATCH(D662,cli_code,0)),N(p_delay)),N(p_delay))))))</f>
        <v/>
      </c>
      <c r="Q662" s="65" t="str">
        <f>IF(A662="","",IF(AA662="Avoir",-1,1)*ROUND(AJ662-IF(AR662="",0,INDEX(fa_htb,AR662)),2))</f>
        <v/>
      </c>
      <c r="R662" s="65" t="str">
        <f>IF(A662="","",IF(AA662="Avoir",-1,1)*ROUND(AQ662-IF(AR662="",0,INDEX(fa_tvab,AR662)),2))</f>
        <v/>
      </c>
      <c r="S662" s="65" t="str">
        <f>IF(A662="","",Q662+R662)</f>
        <v/>
      </c>
      <c r="T662" s="65" t="str">
        <f>IF(AR662="","",INDEX(fa_htb,AR662)+INDEX(fa_tvab,AR662))</f>
        <v/>
      </c>
      <c r="U662" s="65" t="str">
        <f>IF(A662="","",SUMIF(pa_inv,A662,pa_amt))</f>
        <v/>
      </c>
      <c r="V662" s="65" t="str">
        <f>IF(OR(A662="",AA662="Avoir"),"",-SUMIFS(fa_ttc,fa_avof,A662,fa_type,"Avoir"))</f>
        <v/>
      </c>
      <c r="W662" s="65" t="str">
        <f>IF(OR(A662="",AA662="Avoir"),"",ROUND(S662-U662-V662,2))</f>
        <v/>
      </c>
      <c r="X662" s="66" t="str">
        <f>IF(W662="","",IF(AND(W662&gt;0,p_asof&gt;P662),p_asof-P662,""))</f>
        <v/>
      </c>
      <c r="Y662" s="59" t="str">
        <f>IF(A662="","",IF(AA662="Avoir","Avoir",IF(W662&lt;0,"Trop-perçu",IF(W662=0,"Soldée",IF(p_asof&gt;P662,"En retard",IF(U662+V662&gt;0,"Partielle","À échoir"))))))</f>
        <v/>
      </c>
      <c r="Z662" s="59" t="str">
        <f>IF(NOT(COUNTA(B662:D662,F662:O662)&gt;0),"",IF(C662="","Date manquante",IF(NOT(ISNUMBER(C662)),"Date invalide",IF(D662="","Client manquant",IF(ISNA(MATCH(D662,cli_code,0)),"Client inconnu",IF(AC662&lt;SUMPRODUCT(MAX(($AB$6:AB661=AB662)*$AC$6:AC661)),"Date antérieure à la facture précédente",IF(AND(F662&lt;&gt;"",ISNA(MATCH(F662,dv_num,0))),"Devis inconnu",IF(AND(F662&lt;&gt;"",IFERROR(INDEX(dv_client,MATCH(F662,dv_num,0)),D662)&lt;&gt;D662),"Client différent de celui du devis",IF(AG662="","Aucune ligne : saisissez des lignes ou un devis",IF(AND(AI662&lt;&gt;"",COUNTIF($AI$6:AI662,AI662)&gt;1),"Devis déjà repris par une autre facture",IF(AND(AA662="Avoir",M662=""),"Avoir : indiquez la facture d'origine",IF(AND(AA662="Avoir",ISNA(MATCH(M662,fa_num,0))),"Facture d'origine inconnue",IF(AND(AA662&lt;&gt;"Avoir",M662&lt;&gt;""),"« Avoir sur facture » : réservé aux avoirs",IF(AND(L662&lt;&gt;"",AA662&lt;&gt;"Facture"),"Acompte à déduire : réservé aux factures",IF(AND(L662&lt;&gt;"",ISNA(MATCH(L662,fa_num,0))),"Facture d'acompte inconnue",IF(AND(L662&lt;&gt;"",IFERROR(INDEX(fa_type,MATCH(L662,fa_num,0)),"")&lt;&gt;"Facture d'acompte"),"Le n° à déduire n'est pas une facture d'acompte",IF(AND(L662&lt;&gt;"",COUNTIF($L$6:L662,L662)&gt;1),"Acompte déjà déduit sur une autre facture",IF(AND(L662&lt;&gt;"",IFERROR(INDEX(fa_client,MATCH(L662,fa_num,0)),D662)&lt;&gt;D662),"Acompte d'un autre client",IF(AND(AR662&lt;&gt;"",N(Q662)&lt;0),"Acompte supérieur au total de la facture",IF(IF(AG662="Facture",COUNTIFS(fl_doc,A662,fl_check,"&lt;&gt;OK"),IF(AG662="Devis",COUNTIFS(dl_doc,F662,dl_check,"&lt;&gt;OK"),0))&gt;0,"Ligne(s) à corriger",IF(AND(W662&lt;&gt;"",N(W662)&lt;0),"Trop-perçu : vérifiez paiements et avoirs","OK")))))))))))))))))))))</f>
        <v/>
      </c>
      <c r="AA662" s="62" t="str">
        <f>IF(COUNTA(B662:D662,F662:O662)&gt;0,IF(B662="","Facture",B662),"")</f>
        <v/>
      </c>
      <c r="AB662" s="62" t="str">
        <f>IF(AA662="","",IF(AA662="Avoir",p_pav,IF(AA662="Facture d'acompte",p_pac,p_pfa)))</f>
        <v/>
      </c>
      <c r="AC662" s="62">
        <f>IF(ISNUMBER(C662),C662,0)</f>
        <v>0.0</v>
      </c>
      <c r="AD662" s="62" t="str">
        <f>IF(OR(AA662="",AC662=0),"",YEAR(AC662))</f>
        <v/>
      </c>
      <c r="AE662" s="62" t="str">
        <f>IF(AD662="","",COUNTIFS($AB$6:AB662,AB662,$AD$6:AD662,AD662))</f>
        <v/>
      </c>
      <c r="AF662" s="62">
        <f>IF(A662="",0,COUNTIF(fl_doc,A662))</f>
        <v>0.0</v>
      </c>
      <c r="AG662" s="62" t="str">
        <f>IF(A662="","",IF(AF662&gt;0,"Facture",IF(AND(F662&lt;&gt;"",AA662="Facture",ISNUMBER(MATCH(F662,dv_num,0))),"Devis","")))</f>
        <v/>
      </c>
      <c r="AH662" s="62" t="str">
        <f>IF(AND(A662&lt;&gt;"",F662&lt;&gt;"",AA662&lt;&gt;"Avoir"),F662,"")</f>
        <v/>
      </c>
      <c r="AI662" s="62" t="str">
        <f>IF(AG662="Devis",F662,"")</f>
        <v/>
      </c>
      <c r="AJ662" s="62">
        <f>IF(AG662="Facture",SUMIF(fl_doc,A662,fl_ht),IF(AG662="Devis",SUMIF(dl_doc,F662,dl_ht),0))</f>
        <v>0.0</v>
      </c>
      <c r="AK662" s="62">
        <f>IF(OR(AG662="",INDEX(p_rates,1)=""),0,IF(AG662="Facture",SUMIFS(fl_ht,fl_doc,A662,fl_rate,INDEX(p_rates,1)),SUMIFS(dl_ht,dl_doc,F662,dl_rate,INDEX(p_rates,1))))</f>
        <v>0.0</v>
      </c>
      <c r="AL662" s="62">
        <f>IF(OR(AG662="",INDEX(p_rates,2)=""),0,IF(AG662="Facture",SUMIFS(fl_ht,fl_doc,A662,fl_rate,INDEX(p_rates,2)),SUMIFS(dl_ht,dl_doc,F662,dl_rate,INDEX(p_rates,2))))</f>
        <v>0.0</v>
      </c>
      <c r="AM662" s="62">
        <f>IF(OR(AG662="",INDEX(p_rates,3)=""),0,IF(AG662="Facture",SUMIFS(fl_ht,fl_doc,A662,fl_rate,INDEX(p_rates,3)),SUMIFS(dl_ht,dl_doc,F662,dl_rate,INDEX(p_rates,3))))</f>
        <v>0.0</v>
      </c>
      <c r="AN662" s="62">
        <f>IF(OR(AG662="",INDEX(p_rates,4)=""),0,IF(AG662="Facture",SUMIFS(fl_ht,fl_doc,A662,fl_rate,INDEX(p_rates,4)),SUMIFS(dl_ht,dl_doc,F662,dl_rate,INDEX(p_rates,4))))</f>
        <v>0.0</v>
      </c>
      <c r="AO662" s="62">
        <f>IF(OR(AG662="",INDEX(p_rates,5)=""),0,IF(AG662="Facture",SUMIFS(fl_ht,fl_doc,A662,fl_rate,INDEX(p_rates,5)),SUMIFS(dl_ht,dl_doc,F662,dl_rate,INDEX(p_rates,5))))</f>
        <v>0.0</v>
      </c>
      <c r="AP662" s="62">
        <f>IF(OR(AG662="",INDEX(p_rates,6)=""),0,IF(AG662="Facture",SUMIFS(fl_ht,fl_doc,A662,fl_rate,INDEX(p_rates,6)),SUMIFS(dl_ht,dl_doc,F662,dl_rate,INDEX(p_rates,6))))</f>
        <v>0.0</v>
      </c>
      <c r="AQ662" s="62">
        <f>ROUND(AK662*N(INDEX(p_rates,1)),2)+ROUND(AL662*N(INDEX(p_rates,2)),2)+ROUND(AM662*N(INDEX(p_rates,3)),2)+ROUND(AN662*N(INDEX(p_rates,4)),2)+ROUND(AO662*N(INDEX(p_rates,5)),2)+ROUND(AP662*N(INDEX(p_rates,6)),2)</f>
        <v>0.0</v>
      </c>
      <c r="AR662" s="62" t="str">
        <f>IF(OR(L662="",AA662&lt;&gt;"Facture"),"",IFERROR(IF(INDEX(fa_type,MATCH(L662,fa_num,0))="Facture d'acompte",MATCH(L662,fa_num,0),""),""))</f>
        <v/>
      </c>
      <c r="AS662" s="62" t="str">
        <f>IF(W662="","",IF(W662&lt;=0,"",IF(p_asof-P662&lt;=0,"Non échu",IF(p_asof-P662&lt;=30,"1-30 j",IF(p_asof-P662&lt;=60,"31-60 j",IF(p_asof-P662&lt;=90,"61-90 j","Plus de 90 j"))))))</f>
        <v/>
      </c>
      <c r="AT662" s="62" t="str">
        <f>IF(AS662="","",p_asof-P662)</f>
        <v/>
      </c>
      <c r="AU662" s="62" t="str">
        <f>IF(AT662="","",COUNTIF($AT$6:$AT$805,"&gt;"&amp;AT662)+COUNTIF($AT$6:AT662,AT662))</f>
        <v/>
      </c>
    </row>
    <row r="663">
      <c r="A663" s="59" t="str">
        <f>IF(AE663="","",AB663&amp;"-"&amp;AD663&amp;"-"&amp;RIGHT("000"&amp;AE663,4))</f>
        <v/>
      </c>
      <c r="B663" s="60" t="n"/>
      <c r="C663" s="61" t="n"/>
      <c r="D663" s="60" t="n"/>
      <c r="E663" s="62" t="str">
        <f>IF(D663="","",IFERROR(INDEX(cli_name,MATCH(D663,cli_code,0))&amp;"","Client inconnu"))</f>
        <v/>
      </c>
      <c r="F663" s="60" t="n"/>
      <c r="G663" s="63" t="n"/>
      <c r="H663" s="61" t="n"/>
      <c r="I663" s="63" t="n"/>
      <c r="J663" s="60" t="n"/>
      <c r="K663" s="61" t="n"/>
      <c r="L663" s="60" t="n"/>
      <c r="M663" s="60" t="n"/>
      <c r="N663" s="60" t="n"/>
      <c r="O663" s="61" t="n"/>
      <c r="P663" s="64" t="str">
        <f>IF(A663="","",IF(AA663="Avoir",AC663,IF(ISNUMBER(K663),K663,AC663+IF(D663="",N(p_delay),IFERROR(IF(ISNUMBER(INDEX(cli_delay,MATCH(D663,cli_code,0))),INDEX(cli_delay,MATCH(D663,cli_code,0)),N(p_delay)),N(p_delay))))))</f>
        <v/>
      </c>
      <c r="Q663" s="65" t="str">
        <f>IF(A663="","",IF(AA663="Avoir",-1,1)*ROUND(AJ663-IF(AR663="",0,INDEX(fa_htb,AR663)),2))</f>
        <v/>
      </c>
      <c r="R663" s="65" t="str">
        <f>IF(A663="","",IF(AA663="Avoir",-1,1)*ROUND(AQ663-IF(AR663="",0,INDEX(fa_tvab,AR663)),2))</f>
        <v/>
      </c>
      <c r="S663" s="65" t="str">
        <f>IF(A663="","",Q663+R663)</f>
        <v/>
      </c>
      <c r="T663" s="65" t="str">
        <f>IF(AR663="","",INDEX(fa_htb,AR663)+INDEX(fa_tvab,AR663))</f>
        <v/>
      </c>
      <c r="U663" s="65" t="str">
        <f>IF(A663="","",SUMIF(pa_inv,A663,pa_amt))</f>
        <v/>
      </c>
      <c r="V663" s="65" t="str">
        <f>IF(OR(A663="",AA663="Avoir"),"",-SUMIFS(fa_ttc,fa_avof,A663,fa_type,"Avoir"))</f>
        <v/>
      </c>
      <c r="W663" s="65" t="str">
        <f>IF(OR(A663="",AA663="Avoir"),"",ROUND(S663-U663-V663,2))</f>
        <v/>
      </c>
      <c r="X663" s="66" t="str">
        <f>IF(W663="","",IF(AND(W663&gt;0,p_asof&gt;P663),p_asof-P663,""))</f>
        <v/>
      </c>
      <c r="Y663" s="59" t="str">
        <f>IF(A663="","",IF(AA663="Avoir","Avoir",IF(W663&lt;0,"Trop-perçu",IF(W663=0,"Soldée",IF(p_asof&gt;P663,"En retard",IF(U663+V663&gt;0,"Partielle","À échoir"))))))</f>
        <v/>
      </c>
      <c r="Z663" s="59" t="str">
        <f>IF(NOT(COUNTA(B663:D663,F663:O663)&gt;0),"",IF(C663="","Date manquante",IF(NOT(ISNUMBER(C663)),"Date invalide",IF(D663="","Client manquant",IF(ISNA(MATCH(D663,cli_code,0)),"Client inconnu",IF(AC663&lt;SUMPRODUCT(MAX(($AB$6:AB662=AB663)*$AC$6:AC662)),"Date antérieure à la facture précédente",IF(AND(F663&lt;&gt;"",ISNA(MATCH(F663,dv_num,0))),"Devis inconnu",IF(AND(F663&lt;&gt;"",IFERROR(INDEX(dv_client,MATCH(F663,dv_num,0)),D663)&lt;&gt;D663),"Client différent de celui du devis",IF(AG663="","Aucune ligne : saisissez des lignes ou un devis",IF(AND(AI663&lt;&gt;"",COUNTIF($AI$6:AI663,AI663)&gt;1),"Devis déjà repris par une autre facture",IF(AND(AA663="Avoir",M663=""),"Avoir : indiquez la facture d'origine",IF(AND(AA663="Avoir",ISNA(MATCH(M663,fa_num,0))),"Facture d'origine inconnue",IF(AND(AA663&lt;&gt;"Avoir",M663&lt;&gt;""),"« Avoir sur facture » : réservé aux avoirs",IF(AND(L663&lt;&gt;"",AA663&lt;&gt;"Facture"),"Acompte à déduire : réservé aux factures",IF(AND(L663&lt;&gt;"",ISNA(MATCH(L663,fa_num,0))),"Facture d'acompte inconnue",IF(AND(L663&lt;&gt;"",IFERROR(INDEX(fa_type,MATCH(L663,fa_num,0)),"")&lt;&gt;"Facture d'acompte"),"Le n° à déduire n'est pas une facture d'acompte",IF(AND(L663&lt;&gt;"",COUNTIF($L$6:L663,L663)&gt;1),"Acompte déjà déduit sur une autre facture",IF(AND(L663&lt;&gt;"",IFERROR(INDEX(fa_client,MATCH(L663,fa_num,0)),D663)&lt;&gt;D663),"Acompte d'un autre client",IF(AND(AR663&lt;&gt;"",N(Q663)&lt;0),"Acompte supérieur au total de la facture",IF(IF(AG663="Facture",COUNTIFS(fl_doc,A663,fl_check,"&lt;&gt;OK"),IF(AG663="Devis",COUNTIFS(dl_doc,F663,dl_check,"&lt;&gt;OK"),0))&gt;0,"Ligne(s) à corriger",IF(AND(W663&lt;&gt;"",N(W663)&lt;0),"Trop-perçu : vérifiez paiements et avoirs","OK")))))))))))))))))))))</f>
        <v/>
      </c>
      <c r="AA663" s="62" t="str">
        <f>IF(COUNTA(B663:D663,F663:O663)&gt;0,IF(B663="","Facture",B663),"")</f>
        <v/>
      </c>
      <c r="AB663" s="62" t="str">
        <f>IF(AA663="","",IF(AA663="Avoir",p_pav,IF(AA663="Facture d'acompte",p_pac,p_pfa)))</f>
        <v/>
      </c>
      <c r="AC663" s="62">
        <f>IF(ISNUMBER(C663),C663,0)</f>
        <v>0.0</v>
      </c>
      <c r="AD663" s="62" t="str">
        <f>IF(OR(AA663="",AC663=0),"",YEAR(AC663))</f>
        <v/>
      </c>
      <c r="AE663" s="62" t="str">
        <f>IF(AD663="","",COUNTIFS($AB$6:AB663,AB663,$AD$6:AD663,AD663))</f>
        <v/>
      </c>
      <c r="AF663" s="62">
        <f>IF(A663="",0,COUNTIF(fl_doc,A663))</f>
        <v>0.0</v>
      </c>
      <c r="AG663" s="62" t="str">
        <f>IF(A663="","",IF(AF663&gt;0,"Facture",IF(AND(F663&lt;&gt;"",AA663="Facture",ISNUMBER(MATCH(F663,dv_num,0))),"Devis","")))</f>
        <v/>
      </c>
      <c r="AH663" s="62" t="str">
        <f>IF(AND(A663&lt;&gt;"",F663&lt;&gt;"",AA663&lt;&gt;"Avoir"),F663,"")</f>
        <v/>
      </c>
      <c r="AI663" s="62" t="str">
        <f>IF(AG663="Devis",F663,"")</f>
        <v/>
      </c>
      <c r="AJ663" s="62">
        <f>IF(AG663="Facture",SUMIF(fl_doc,A663,fl_ht),IF(AG663="Devis",SUMIF(dl_doc,F663,dl_ht),0))</f>
        <v>0.0</v>
      </c>
      <c r="AK663" s="62">
        <f>IF(OR(AG663="",INDEX(p_rates,1)=""),0,IF(AG663="Facture",SUMIFS(fl_ht,fl_doc,A663,fl_rate,INDEX(p_rates,1)),SUMIFS(dl_ht,dl_doc,F663,dl_rate,INDEX(p_rates,1))))</f>
        <v>0.0</v>
      </c>
      <c r="AL663" s="62">
        <f>IF(OR(AG663="",INDEX(p_rates,2)=""),0,IF(AG663="Facture",SUMIFS(fl_ht,fl_doc,A663,fl_rate,INDEX(p_rates,2)),SUMIFS(dl_ht,dl_doc,F663,dl_rate,INDEX(p_rates,2))))</f>
        <v>0.0</v>
      </c>
      <c r="AM663" s="62">
        <f>IF(OR(AG663="",INDEX(p_rates,3)=""),0,IF(AG663="Facture",SUMIFS(fl_ht,fl_doc,A663,fl_rate,INDEX(p_rates,3)),SUMIFS(dl_ht,dl_doc,F663,dl_rate,INDEX(p_rates,3))))</f>
        <v>0.0</v>
      </c>
      <c r="AN663" s="62">
        <f>IF(OR(AG663="",INDEX(p_rates,4)=""),0,IF(AG663="Facture",SUMIFS(fl_ht,fl_doc,A663,fl_rate,INDEX(p_rates,4)),SUMIFS(dl_ht,dl_doc,F663,dl_rate,INDEX(p_rates,4))))</f>
        <v>0.0</v>
      </c>
      <c r="AO663" s="62">
        <f>IF(OR(AG663="",INDEX(p_rates,5)=""),0,IF(AG663="Facture",SUMIFS(fl_ht,fl_doc,A663,fl_rate,INDEX(p_rates,5)),SUMIFS(dl_ht,dl_doc,F663,dl_rate,INDEX(p_rates,5))))</f>
        <v>0.0</v>
      </c>
      <c r="AP663" s="62">
        <f>IF(OR(AG663="",INDEX(p_rates,6)=""),0,IF(AG663="Facture",SUMIFS(fl_ht,fl_doc,A663,fl_rate,INDEX(p_rates,6)),SUMIFS(dl_ht,dl_doc,F663,dl_rate,INDEX(p_rates,6))))</f>
        <v>0.0</v>
      </c>
      <c r="AQ663" s="62">
        <f>ROUND(AK663*N(INDEX(p_rates,1)),2)+ROUND(AL663*N(INDEX(p_rates,2)),2)+ROUND(AM663*N(INDEX(p_rates,3)),2)+ROUND(AN663*N(INDEX(p_rates,4)),2)+ROUND(AO663*N(INDEX(p_rates,5)),2)+ROUND(AP663*N(INDEX(p_rates,6)),2)</f>
        <v>0.0</v>
      </c>
      <c r="AR663" s="62" t="str">
        <f>IF(OR(L663="",AA663&lt;&gt;"Facture"),"",IFERROR(IF(INDEX(fa_type,MATCH(L663,fa_num,0))="Facture d'acompte",MATCH(L663,fa_num,0),""),""))</f>
        <v/>
      </c>
      <c r="AS663" s="62" t="str">
        <f>IF(W663="","",IF(W663&lt;=0,"",IF(p_asof-P663&lt;=0,"Non échu",IF(p_asof-P663&lt;=30,"1-30 j",IF(p_asof-P663&lt;=60,"31-60 j",IF(p_asof-P663&lt;=90,"61-90 j","Plus de 90 j"))))))</f>
        <v/>
      </c>
      <c r="AT663" s="62" t="str">
        <f>IF(AS663="","",p_asof-P663)</f>
        <v/>
      </c>
      <c r="AU663" s="62" t="str">
        <f>IF(AT663="","",COUNTIF($AT$6:$AT$805,"&gt;"&amp;AT663)+COUNTIF($AT$6:AT663,AT663))</f>
        <v/>
      </c>
    </row>
    <row r="664">
      <c r="A664" s="59" t="str">
        <f>IF(AE664="","",AB664&amp;"-"&amp;AD664&amp;"-"&amp;RIGHT("000"&amp;AE664,4))</f>
        <v/>
      </c>
      <c r="B664" s="60" t="n"/>
      <c r="C664" s="61" t="n"/>
      <c r="D664" s="60" t="n"/>
      <c r="E664" s="62" t="str">
        <f>IF(D664="","",IFERROR(INDEX(cli_name,MATCH(D664,cli_code,0))&amp;"","Client inconnu"))</f>
        <v/>
      </c>
      <c r="F664" s="60" t="n"/>
      <c r="G664" s="63" t="n"/>
      <c r="H664" s="61" t="n"/>
      <c r="I664" s="63" t="n"/>
      <c r="J664" s="60" t="n"/>
      <c r="K664" s="61" t="n"/>
      <c r="L664" s="60" t="n"/>
      <c r="M664" s="60" t="n"/>
      <c r="N664" s="60" t="n"/>
      <c r="O664" s="61" t="n"/>
      <c r="P664" s="64" t="str">
        <f>IF(A664="","",IF(AA664="Avoir",AC664,IF(ISNUMBER(K664),K664,AC664+IF(D664="",N(p_delay),IFERROR(IF(ISNUMBER(INDEX(cli_delay,MATCH(D664,cli_code,0))),INDEX(cli_delay,MATCH(D664,cli_code,0)),N(p_delay)),N(p_delay))))))</f>
        <v/>
      </c>
      <c r="Q664" s="65" t="str">
        <f>IF(A664="","",IF(AA664="Avoir",-1,1)*ROUND(AJ664-IF(AR664="",0,INDEX(fa_htb,AR664)),2))</f>
        <v/>
      </c>
      <c r="R664" s="65" t="str">
        <f>IF(A664="","",IF(AA664="Avoir",-1,1)*ROUND(AQ664-IF(AR664="",0,INDEX(fa_tvab,AR664)),2))</f>
        <v/>
      </c>
      <c r="S664" s="65" t="str">
        <f>IF(A664="","",Q664+R664)</f>
        <v/>
      </c>
      <c r="T664" s="65" t="str">
        <f>IF(AR664="","",INDEX(fa_htb,AR664)+INDEX(fa_tvab,AR664))</f>
        <v/>
      </c>
      <c r="U664" s="65" t="str">
        <f>IF(A664="","",SUMIF(pa_inv,A664,pa_amt))</f>
        <v/>
      </c>
      <c r="V664" s="65" t="str">
        <f>IF(OR(A664="",AA664="Avoir"),"",-SUMIFS(fa_ttc,fa_avof,A664,fa_type,"Avoir"))</f>
        <v/>
      </c>
      <c r="W664" s="65" t="str">
        <f>IF(OR(A664="",AA664="Avoir"),"",ROUND(S664-U664-V664,2))</f>
        <v/>
      </c>
      <c r="X664" s="66" t="str">
        <f>IF(W664="","",IF(AND(W664&gt;0,p_asof&gt;P664),p_asof-P664,""))</f>
        <v/>
      </c>
      <c r="Y664" s="59" t="str">
        <f>IF(A664="","",IF(AA664="Avoir","Avoir",IF(W664&lt;0,"Trop-perçu",IF(W664=0,"Soldée",IF(p_asof&gt;P664,"En retard",IF(U664+V664&gt;0,"Partielle","À échoir"))))))</f>
        <v/>
      </c>
      <c r="Z664" s="59" t="str">
        <f>IF(NOT(COUNTA(B664:D664,F664:O664)&gt;0),"",IF(C664="","Date manquante",IF(NOT(ISNUMBER(C664)),"Date invalide",IF(D664="","Client manquant",IF(ISNA(MATCH(D664,cli_code,0)),"Client inconnu",IF(AC664&lt;SUMPRODUCT(MAX(($AB$6:AB663=AB664)*$AC$6:AC663)),"Date antérieure à la facture précédente",IF(AND(F664&lt;&gt;"",ISNA(MATCH(F664,dv_num,0))),"Devis inconnu",IF(AND(F664&lt;&gt;"",IFERROR(INDEX(dv_client,MATCH(F664,dv_num,0)),D664)&lt;&gt;D664),"Client différent de celui du devis",IF(AG664="","Aucune ligne : saisissez des lignes ou un devis",IF(AND(AI664&lt;&gt;"",COUNTIF($AI$6:AI664,AI664)&gt;1),"Devis déjà repris par une autre facture",IF(AND(AA664="Avoir",M664=""),"Avoir : indiquez la facture d'origine",IF(AND(AA664="Avoir",ISNA(MATCH(M664,fa_num,0))),"Facture d'origine inconnue",IF(AND(AA664&lt;&gt;"Avoir",M664&lt;&gt;""),"« Avoir sur facture » : réservé aux avoirs",IF(AND(L664&lt;&gt;"",AA664&lt;&gt;"Facture"),"Acompte à déduire : réservé aux factures",IF(AND(L664&lt;&gt;"",ISNA(MATCH(L664,fa_num,0))),"Facture d'acompte inconnue",IF(AND(L664&lt;&gt;"",IFERROR(INDEX(fa_type,MATCH(L664,fa_num,0)),"")&lt;&gt;"Facture d'acompte"),"Le n° à déduire n'est pas une facture d'acompte",IF(AND(L664&lt;&gt;"",COUNTIF($L$6:L664,L664)&gt;1),"Acompte déjà déduit sur une autre facture",IF(AND(L664&lt;&gt;"",IFERROR(INDEX(fa_client,MATCH(L664,fa_num,0)),D664)&lt;&gt;D664),"Acompte d'un autre client",IF(AND(AR664&lt;&gt;"",N(Q664)&lt;0),"Acompte supérieur au total de la facture",IF(IF(AG664="Facture",COUNTIFS(fl_doc,A664,fl_check,"&lt;&gt;OK"),IF(AG664="Devis",COUNTIFS(dl_doc,F664,dl_check,"&lt;&gt;OK"),0))&gt;0,"Ligne(s) à corriger",IF(AND(W664&lt;&gt;"",N(W664)&lt;0),"Trop-perçu : vérifiez paiements et avoirs","OK")))))))))))))))))))))</f>
        <v/>
      </c>
      <c r="AA664" s="62" t="str">
        <f>IF(COUNTA(B664:D664,F664:O664)&gt;0,IF(B664="","Facture",B664),"")</f>
        <v/>
      </c>
      <c r="AB664" s="62" t="str">
        <f>IF(AA664="","",IF(AA664="Avoir",p_pav,IF(AA664="Facture d'acompte",p_pac,p_pfa)))</f>
        <v/>
      </c>
      <c r="AC664" s="62">
        <f>IF(ISNUMBER(C664),C664,0)</f>
        <v>0.0</v>
      </c>
      <c r="AD664" s="62" t="str">
        <f>IF(OR(AA664="",AC664=0),"",YEAR(AC664))</f>
        <v/>
      </c>
      <c r="AE664" s="62" t="str">
        <f>IF(AD664="","",COUNTIFS($AB$6:AB664,AB664,$AD$6:AD664,AD664))</f>
        <v/>
      </c>
      <c r="AF664" s="62">
        <f>IF(A664="",0,COUNTIF(fl_doc,A664))</f>
        <v>0.0</v>
      </c>
      <c r="AG664" s="62" t="str">
        <f>IF(A664="","",IF(AF664&gt;0,"Facture",IF(AND(F664&lt;&gt;"",AA664="Facture",ISNUMBER(MATCH(F664,dv_num,0))),"Devis","")))</f>
        <v/>
      </c>
      <c r="AH664" s="62" t="str">
        <f>IF(AND(A664&lt;&gt;"",F664&lt;&gt;"",AA664&lt;&gt;"Avoir"),F664,"")</f>
        <v/>
      </c>
      <c r="AI664" s="62" t="str">
        <f>IF(AG664="Devis",F664,"")</f>
        <v/>
      </c>
      <c r="AJ664" s="62">
        <f>IF(AG664="Facture",SUMIF(fl_doc,A664,fl_ht),IF(AG664="Devis",SUMIF(dl_doc,F664,dl_ht),0))</f>
        <v>0.0</v>
      </c>
      <c r="AK664" s="62">
        <f>IF(OR(AG664="",INDEX(p_rates,1)=""),0,IF(AG664="Facture",SUMIFS(fl_ht,fl_doc,A664,fl_rate,INDEX(p_rates,1)),SUMIFS(dl_ht,dl_doc,F664,dl_rate,INDEX(p_rates,1))))</f>
        <v>0.0</v>
      </c>
      <c r="AL664" s="62">
        <f>IF(OR(AG664="",INDEX(p_rates,2)=""),0,IF(AG664="Facture",SUMIFS(fl_ht,fl_doc,A664,fl_rate,INDEX(p_rates,2)),SUMIFS(dl_ht,dl_doc,F664,dl_rate,INDEX(p_rates,2))))</f>
        <v>0.0</v>
      </c>
      <c r="AM664" s="62">
        <f>IF(OR(AG664="",INDEX(p_rates,3)=""),0,IF(AG664="Facture",SUMIFS(fl_ht,fl_doc,A664,fl_rate,INDEX(p_rates,3)),SUMIFS(dl_ht,dl_doc,F664,dl_rate,INDEX(p_rates,3))))</f>
        <v>0.0</v>
      </c>
      <c r="AN664" s="62">
        <f>IF(OR(AG664="",INDEX(p_rates,4)=""),0,IF(AG664="Facture",SUMIFS(fl_ht,fl_doc,A664,fl_rate,INDEX(p_rates,4)),SUMIFS(dl_ht,dl_doc,F664,dl_rate,INDEX(p_rates,4))))</f>
        <v>0.0</v>
      </c>
      <c r="AO664" s="62">
        <f>IF(OR(AG664="",INDEX(p_rates,5)=""),0,IF(AG664="Facture",SUMIFS(fl_ht,fl_doc,A664,fl_rate,INDEX(p_rates,5)),SUMIFS(dl_ht,dl_doc,F664,dl_rate,INDEX(p_rates,5))))</f>
        <v>0.0</v>
      </c>
      <c r="AP664" s="62">
        <f>IF(OR(AG664="",INDEX(p_rates,6)=""),0,IF(AG664="Facture",SUMIFS(fl_ht,fl_doc,A664,fl_rate,INDEX(p_rates,6)),SUMIFS(dl_ht,dl_doc,F664,dl_rate,INDEX(p_rates,6))))</f>
        <v>0.0</v>
      </c>
      <c r="AQ664" s="62">
        <f>ROUND(AK664*N(INDEX(p_rates,1)),2)+ROUND(AL664*N(INDEX(p_rates,2)),2)+ROUND(AM664*N(INDEX(p_rates,3)),2)+ROUND(AN664*N(INDEX(p_rates,4)),2)+ROUND(AO664*N(INDEX(p_rates,5)),2)+ROUND(AP664*N(INDEX(p_rates,6)),2)</f>
        <v>0.0</v>
      </c>
      <c r="AR664" s="62" t="str">
        <f>IF(OR(L664="",AA664&lt;&gt;"Facture"),"",IFERROR(IF(INDEX(fa_type,MATCH(L664,fa_num,0))="Facture d'acompte",MATCH(L664,fa_num,0),""),""))</f>
        <v/>
      </c>
      <c r="AS664" s="62" t="str">
        <f>IF(W664="","",IF(W664&lt;=0,"",IF(p_asof-P664&lt;=0,"Non échu",IF(p_asof-P664&lt;=30,"1-30 j",IF(p_asof-P664&lt;=60,"31-60 j",IF(p_asof-P664&lt;=90,"61-90 j","Plus de 90 j"))))))</f>
        <v/>
      </c>
      <c r="AT664" s="62" t="str">
        <f>IF(AS664="","",p_asof-P664)</f>
        <v/>
      </c>
      <c r="AU664" s="62" t="str">
        <f>IF(AT664="","",COUNTIF($AT$6:$AT$805,"&gt;"&amp;AT664)+COUNTIF($AT$6:AT664,AT664))</f>
        <v/>
      </c>
    </row>
    <row r="665">
      <c r="A665" s="59" t="str">
        <f>IF(AE665="","",AB665&amp;"-"&amp;AD665&amp;"-"&amp;RIGHT("000"&amp;AE665,4))</f>
        <v/>
      </c>
      <c r="B665" s="60" t="n"/>
      <c r="C665" s="61" t="n"/>
      <c r="D665" s="60" t="n"/>
      <c r="E665" s="62" t="str">
        <f>IF(D665="","",IFERROR(INDEX(cli_name,MATCH(D665,cli_code,0))&amp;"","Client inconnu"))</f>
        <v/>
      </c>
      <c r="F665" s="60" t="n"/>
      <c r="G665" s="63" t="n"/>
      <c r="H665" s="61" t="n"/>
      <c r="I665" s="63" t="n"/>
      <c r="J665" s="60" t="n"/>
      <c r="K665" s="61" t="n"/>
      <c r="L665" s="60" t="n"/>
      <c r="M665" s="60" t="n"/>
      <c r="N665" s="60" t="n"/>
      <c r="O665" s="61" t="n"/>
      <c r="P665" s="64" t="str">
        <f>IF(A665="","",IF(AA665="Avoir",AC665,IF(ISNUMBER(K665),K665,AC665+IF(D665="",N(p_delay),IFERROR(IF(ISNUMBER(INDEX(cli_delay,MATCH(D665,cli_code,0))),INDEX(cli_delay,MATCH(D665,cli_code,0)),N(p_delay)),N(p_delay))))))</f>
        <v/>
      </c>
      <c r="Q665" s="65" t="str">
        <f>IF(A665="","",IF(AA665="Avoir",-1,1)*ROUND(AJ665-IF(AR665="",0,INDEX(fa_htb,AR665)),2))</f>
        <v/>
      </c>
      <c r="R665" s="65" t="str">
        <f>IF(A665="","",IF(AA665="Avoir",-1,1)*ROUND(AQ665-IF(AR665="",0,INDEX(fa_tvab,AR665)),2))</f>
        <v/>
      </c>
      <c r="S665" s="65" t="str">
        <f>IF(A665="","",Q665+R665)</f>
        <v/>
      </c>
      <c r="T665" s="65" t="str">
        <f>IF(AR665="","",INDEX(fa_htb,AR665)+INDEX(fa_tvab,AR665))</f>
        <v/>
      </c>
      <c r="U665" s="65" t="str">
        <f>IF(A665="","",SUMIF(pa_inv,A665,pa_amt))</f>
        <v/>
      </c>
      <c r="V665" s="65" t="str">
        <f>IF(OR(A665="",AA665="Avoir"),"",-SUMIFS(fa_ttc,fa_avof,A665,fa_type,"Avoir"))</f>
        <v/>
      </c>
      <c r="W665" s="65" t="str">
        <f>IF(OR(A665="",AA665="Avoir"),"",ROUND(S665-U665-V665,2))</f>
        <v/>
      </c>
      <c r="X665" s="66" t="str">
        <f>IF(W665="","",IF(AND(W665&gt;0,p_asof&gt;P665),p_asof-P665,""))</f>
        <v/>
      </c>
      <c r="Y665" s="59" t="str">
        <f>IF(A665="","",IF(AA665="Avoir","Avoir",IF(W665&lt;0,"Trop-perçu",IF(W665=0,"Soldée",IF(p_asof&gt;P665,"En retard",IF(U665+V665&gt;0,"Partielle","À échoir"))))))</f>
        <v/>
      </c>
      <c r="Z665" s="59" t="str">
        <f>IF(NOT(COUNTA(B665:D665,F665:O665)&gt;0),"",IF(C665="","Date manquante",IF(NOT(ISNUMBER(C665)),"Date invalide",IF(D665="","Client manquant",IF(ISNA(MATCH(D665,cli_code,0)),"Client inconnu",IF(AC665&lt;SUMPRODUCT(MAX(($AB$6:AB664=AB665)*$AC$6:AC664)),"Date antérieure à la facture précédente",IF(AND(F665&lt;&gt;"",ISNA(MATCH(F665,dv_num,0))),"Devis inconnu",IF(AND(F665&lt;&gt;"",IFERROR(INDEX(dv_client,MATCH(F665,dv_num,0)),D665)&lt;&gt;D665),"Client différent de celui du devis",IF(AG665="","Aucune ligne : saisissez des lignes ou un devis",IF(AND(AI665&lt;&gt;"",COUNTIF($AI$6:AI665,AI665)&gt;1),"Devis déjà repris par une autre facture",IF(AND(AA665="Avoir",M665=""),"Avoir : indiquez la facture d'origine",IF(AND(AA665="Avoir",ISNA(MATCH(M665,fa_num,0))),"Facture d'origine inconnue",IF(AND(AA665&lt;&gt;"Avoir",M665&lt;&gt;""),"« Avoir sur facture » : réservé aux avoirs",IF(AND(L665&lt;&gt;"",AA665&lt;&gt;"Facture"),"Acompte à déduire : réservé aux factures",IF(AND(L665&lt;&gt;"",ISNA(MATCH(L665,fa_num,0))),"Facture d'acompte inconnue",IF(AND(L665&lt;&gt;"",IFERROR(INDEX(fa_type,MATCH(L665,fa_num,0)),"")&lt;&gt;"Facture d'acompte"),"Le n° à déduire n'est pas une facture d'acompte",IF(AND(L665&lt;&gt;"",COUNTIF($L$6:L665,L665)&gt;1),"Acompte déjà déduit sur une autre facture",IF(AND(L665&lt;&gt;"",IFERROR(INDEX(fa_client,MATCH(L665,fa_num,0)),D665)&lt;&gt;D665),"Acompte d'un autre client",IF(AND(AR665&lt;&gt;"",N(Q665)&lt;0),"Acompte supérieur au total de la facture",IF(IF(AG665="Facture",COUNTIFS(fl_doc,A665,fl_check,"&lt;&gt;OK"),IF(AG665="Devis",COUNTIFS(dl_doc,F665,dl_check,"&lt;&gt;OK"),0))&gt;0,"Ligne(s) à corriger",IF(AND(W665&lt;&gt;"",N(W665)&lt;0),"Trop-perçu : vérifiez paiements et avoirs","OK")))))))))))))))))))))</f>
        <v/>
      </c>
      <c r="AA665" s="62" t="str">
        <f>IF(COUNTA(B665:D665,F665:O665)&gt;0,IF(B665="","Facture",B665),"")</f>
        <v/>
      </c>
      <c r="AB665" s="62" t="str">
        <f>IF(AA665="","",IF(AA665="Avoir",p_pav,IF(AA665="Facture d'acompte",p_pac,p_pfa)))</f>
        <v/>
      </c>
      <c r="AC665" s="62">
        <f>IF(ISNUMBER(C665),C665,0)</f>
        <v>0.0</v>
      </c>
      <c r="AD665" s="62" t="str">
        <f>IF(OR(AA665="",AC665=0),"",YEAR(AC665))</f>
        <v/>
      </c>
      <c r="AE665" s="62" t="str">
        <f>IF(AD665="","",COUNTIFS($AB$6:AB665,AB665,$AD$6:AD665,AD665))</f>
        <v/>
      </c>
      <c r="AF665" s="62">
        <f>IF(A665="",0,COUNTIF(fl_doc,A665))</f>
        <v>0.0</v>
      </c>
      <c r="AG665" s="62" t="str">
        <f>IF(A665="","",IF(AF665&gt;0,"Facture",IF(AND(F665&lt;&gt;"",AA665="Facture",ISNUMBER(MATCH(F665,dv_num,0))),"Devis","")))</f>
        <v/>
      </c>
      <c r="AH665" s="62" t="str">
        <f>IF(AND(A665&lt;&gt;"",F665&lt;&gt;"",AA665&lt;&gt;"Avoir"),F665,"")</f>
        <v/>
      </c>
      <c r="AI665" s="62" t="str">
        <f>IF(AG665="Devis",F665,"")</f>
        <v/>
      </c>
      <c r="AJ665" s="62">
        <f>IF(AG665="Facture",SUMIF(fl_doc,A665,fl_ht),IF(AG665="Devis",SUMIF(dl_doc,F665,dl_ht),0))</f>
        <v>0.0</v>
      </c>
      <c r="AK665" s="62">
        <f>IF(OR(AG665="",INDEX(p_rates,1)=""),0,IF(AG665="Facture",SUMIFS(fl_ht,fl_doc,A665,fl_rate,INDEX(p_rates,1)),SUMIFS(dl_ht,dl_doc,F665,dl_rate,INDEX(p_rates,1))))</f>
        <v>0.0</v>
      </c>
      <c r="AL665" s="62">
        <f>IF(OR(AG665="",INDEX(p_rates,2)=""),0,IF(AG665="Facture",SUMIFS(fl_ht,fl_doc,A665,fl_rate,INDEX(p_rates,2)),SUMIFS(dl_ht,dl_doc,F665,dl_rate,INDEX(p_rates,2))))</f>
        <v>0.0</v>
      </c>
      <c r="AM665" s="62">
        <f>IF(OR(AG665="",INDEX(p_rates,3)=""),0,IF(AG665="Facture",SUMIFS(fl_ht,fl_doc,A665,fl_rate,INDEX(p_rates,3)),SUMIFS(dl_ht,dl_doc,F665,dl_rate,INDEX(p_rates,3))))</f>
        <v>0.0</v>
      </c>
      <c r="AN665" s="62">
        <f>IF(OR(AG665="",INDEX(p_rates,4)=""),0,IF(AG665="Facture",SUMIFS(fl_ht,fl_doc,A665,fl_rate,INDEX(p_rates,4)),SUMIFS(dl_ht,dl_doc,F665,dl_rate,INDEX(p_rates,4))))</f>
        <v>0.0</v>
      </c>
      <c r="AO665" s="62">
        <f>IF(OR(AG665="",INDEX(p_rates,5)=""),0,IF(AG665="Facture",SUMIFS(fl_ht,fl_doc,A665,fl_rate,INDEX(p_rates,5)),SUMIFS(dl_ht,dl_doc,F665,dl_rate,INDEX(p_rates,5))))</f>
        <v>0.0</v>
      </c>
      <c r="AP665" s="62">
        <f>IF(OR(AG665="",INDEX(p_rates,6)=""),0,IF(AG665="Facture",SUMIFS(fl_ht,fl_doc,A665,fl_rate,INDEX(p_rates,6)),SUMIFS(dl_ht,dl_doc,F665,dl_rate,INDEX(p_rates,6))))</f>
        <v>0.0</v>
      </c>
      <c r="AQ665" s="62">
        <f>ROUND(AK665*N(INDEX(p_rates,1)),2)+ROUND(AL665*N(INDEX(p_rates,2)),2)+ROUND(AM665*N(INDEX(p_rates,3)),2)+ROUND(AN665*N(INDEX(p_rates,4)),2)+ROUND(AO665*N(INDEX(p_rates,5)),2)+ROUND(AP665*N(INDEX(p_rates,6)),2)</f>
        <v>0.0</v>
      </c>
      <c r="AR665" s="62" t="str">
        <f>IF(OR(L665="",AA665&lt;&gt;"Facture"),"",IFERROR(IF(INDEX(fa_type,MATCH(L665,fa_num,0))="Facture d'acompte",MATCH(L665,fa_num,0),""),""))</f>
        <v/>
      </c>
      <c r="AS665" s="62" t="str">
        <f>IF(W665="","",IF(W665&lt;=0,"",IF(p_asof-P665&lt;=0,"Non échu",IF(p_asof-P665&lt;=30,"1-30 j",IF(p_asof-P665&lt;=60,"31-60 j",IF(p_asof-P665&lt;=90,"61-90 j","Plus de 90 j"))))))</f>
        <v/>
      </c>
      <c r="AT665" s="62" t="str">
        <f>IF(AS665="","",p_asof-P665)</f>
        <v/>
      </c>
      <c r="AU665" s="62" t="str">
        <f>IF(AT665="","",COUNTIF($AT$6:$AT$805,"&gt;"&amp;AT665)+COUNTIF($AT$6:AT665,AT665))</f>
        <v/>
      </c>
    </row>
    <row r="666">
      <c r="A666" s="59" t="str">
        <f>IF(AE666="","",AB666&amp;"-"&amp;AD666&amp;"-"&amp;RIGHT("000"&amp;AE666,4))</f>
        <v/>
      </c>
      <c r="B666" s="60" t="n"/>
      <c r="C666" s="61" t="n"/>
      <c r="D666" s="60" t="n"/>
      <c r="E666" s="62" t="str">
        <f>IF(D666="","",IFERROR(INDEX(cli_name,MATCH(D666,cli_code,0))&amp;"","Client inconnu"))</f>
        <v/>
      </c>
      <c r="F666" s="60" t="n"/>
      <c r="G666" s="63" t="n"/>
      <c r="H666" s="61" t="n"/>
      <c r="I666" s="63" t="n"/>
      <c r="J666" s="60" t="n"/>
      <c r="K666" s="61" t="n"/>
      <c r="L666" s="60" t="n"/>
      <c r="M666" s="60" t="n"/>
      <c r="N666" s="60" t="n"/>
      <c r="O666" s="61" t="n"/>
      <c r="P666" s="64" t="str">
        <f>IF(A666="","",IF(AA666="Avoir",AC666,IF(ISNUMBER(K666),K666,AC666+IF(D666="",N(p_delay),IFERROR(IF(ISNUMBER(INDEX(cli_delay,MATCH(D666,cli_code,0))),INDEX(cli_delay,MATCH(D666,cli_code,0)),N(p_delay)),N(p_delay))))))</f>
        <v/>
      </c>
      <c r="Q666" s="65" t="str">
        <f>IF(A666="","",IF(AA666="Avoir",-1,1)*ROUND(AJ666-IF(AR666="",0,INDEX(fa_htb,AR666)),2))</f>
        <v/>
      </c>
      <c r="R666" s="65" t="str">
        <f>IF(A666="","",IF(AA666="Avoir",-1,1)*ROUND(AQ666-IF(AR666="",0,INDEX(fa_tvab,AR666)),2))</f>
        <v/>
      </c>
      <c r="S666" s="65" t="str">
        <f>IF(A666="","",Q666+R666)</f>
        <v/>
      </c>
      <c r="T666" s="65" t="str">
        <f>IF(AR666="","",INDEX(fa_htb,AR666)+INDEX(fa_tvab,AR666))</f>
        <v/>
      </c>
      <c r="U666" s="65" t="str">
        <f>IF(A666="","",SUMIF(pa_inv,A666,pa_amt))</f>
        <v/>
      </c>
      <c r="V666" s="65" t="str">
        <f>IF(OR(A666="",AA666="Avoir"),"",-SUMIFS(fa_ttc,fa_avof,A666,fa_type,"Avoir"))</f>
        <v/>
      </c>
      <c r="W666" s="65" t="str">
        <f>IF(OR(A666="",AA666="Avoir"),"",ROUND(S666-U666-V666,2))</f>
        <v/>
      </c>
      <c r="X666" s="66" t="str">
        <f>IF(W666="","",IF(AND(W666&gt;0,p_asof&gt;P666),p_asof-P666,""))</f>
        <v/>
      </c>
      <c r="Y666" s="59" t="str">
        <f>IF(A666="","",IF(AA666="Avoir","Avoir",IF(W666&lt;0,"Trop-perçu",IF(W666=0,"Soldée",IF(p_asof&gt;P666,"En retard",IF(U666+V666&gt;0,"Partielle","À échoir"))))))</f>
        <v/>
      </c>
      <c r="Z666" s="59" t="str">
        <f>IF(NOT(COUNTA(B666:D666,F666:O666)&gt;0),"",IF(C666="","Date manquante",IF(NOT(ISNUMBER(C666)),"Date invalide",IF(D666="","Client manquant",IF(ISNA(MATCH(D666,cli_code,0)),"Client inconnu",IF(AC666&lt;SUMPRODUCT(MAX(($AB$6:AB665=AB666)*$AC$6:AC665)),"Date antérieure à la facture précédente",IF(AND(F666&lt;&gt;"",ISNA(MATCH(F666,dv_num,0))),"Devis inconnu",IF(AND(F666&lt;&gt;"",IFERROR(INDEX(dv_client,MATCH(F666,dv_num,0)),D666)&lt;&gt;D666),"Client différent de celui du devis",IF(AG666="","Aucune ligne : saisissez des lignes ou un devis",IF(AND(AI666&lt;&gt;"",COUNTIF($AI$6:AI666,AI666)&gt;1),"Devis déjà repris par une autre facture",IF(AND(AA666="Avoir",M666=""),"Avoir : indiquez la facture d'origine",IF(AND(AA666="Avoir",ISNA(MATCH(M666,fa_num,0))),"Facture d'origine inconnue",IF(AND(AA666&lt;&gt;"Avoir",M666&lt;&gt;""),"« Avoir sur facture » : réservé aux avoirs",IF(AND(L666&lt;&gt;"",AA666&lt;&gt;"Facture"),"Acompte à déduire : réservé aux factures",IF(AND(L666&lt;&gt;"",ISNA(MATCH(L666,fa_num,0))),"Facture d'acompte inconnue",IF(AND(L666&lt;&gt;"",IFERROR(INDEX(fa_type,MATCH(L666,fa_num,0)),"")&lt;&gt;"Facture d'acompte"),"Le n° à déduire n'est pas une facture d'acompte",IF(AND(L666&lt;&gt;"",COUNTIF($L$6:L666,L666)&gt;1),"Acompte déjà déduit sur une autre facture",IF(AND(L666&lt;&gt;"",IFERROR(INDEX(fa_client,MATCH(L666,fa_num,0)),D666)&lt;&gt;D666),"Acompte d'un autre client",IF(AND(AR666&lt;&gt;"",N(Q666)&lt;0),"Acompte supérieur au total de la facture",IF(IF(AG666="Facture",COUNTIFS(fl_doc,A666,fl_check,"&lt;&gt;OK"),IF(AG666="Devis",COUNTIFS(dl_doc,F666,dl_check,"&lt;&gt;OK"),0))&gt;0,"Ligne(s) à corriger",IF(AND(W666&lt;&gt;"",N(W666)&lt;0),"Trop-perçu : vérifiez paiements et avoirs","OK")))))))))))))))))))))</f>
        <v/>
      </c>
      <c r="AA666" s="62" t="str">
        <f>IF(COUNTA(B666:D666,F666:O666)&gt;0,IF(B666="","Facture",B666),"")</f>
        <v/>
      </c>
      <c r="AB666" s="62" t="str">
        <f>IF(AA666="","",IF(AA666="Avoir",p_pav,IF(AA666="Facture d'acompte",p_pac,p_pfa)))</f>
        <v/>
      </c>
      <c r="AC666" s="62">
        <f>IF(ISNUMBER(C666),C666,0)</f>
        <v>0.0</v>
      </c>
      <c r="AD666" s="62" t="str">
        <f>IF(OR(AA666="",AC666=0),"",YEAR(AC666))</f>
        <v/>
      </c>
      <c r="AE666" s="62" t="str">
        <f>IF(AD666="","",COUNTIFS($AB$6:AB666,AB666,$AD$6:AD666,AD666))</f>
        <v/>
      </c>
      <c r="AF666" s="62">
        <f>IF(A666="",0,COUNTIF(fl_doc,A666))</f>
        <v>0.0</v>
      </c>
      <c r="AG666" s="62" t="str">
        <f>IF(A666="","",IF(AF666&gt;0,"Facture",IF(AND(F666&lt;&gt;"",AA666="Facture",ISNUMBER(MATCH(F666,dv_num,0))),"Devis","")))</f>
        <v/>
      </c>
      <c r="AH666" s="62" t="str">
        <f>IF(AND(A666&lt;&gt;"",F666&lt;&gt;"",AA666&lt;&gt;"Avoir"),F666,"")</f>
        <v/>
      </c>
      <c r="AI666" s="62" t="str">
        <f>IF(AG666="Devis",F666,"")</f>
        <v/>
      </c>
      <c r="AJ666" s="62">
        <f>IF(AG666="Facture",SUMIF(fl_doc,A666,fl_ht),IF(AG666="Devis",SUMIF(dl_doc,F666,dl_ht),0))</f>
        <v>0.0</v>
      </c>
      <c r="AK666" s="62">
        <f>IF(OR(AG666="",INDEX(p_rates,1)=""),0,IF(AG666="Facture",SUMIFS(fl_ht,fl_doc,A666,fl_rate,INDEX(p_rates,1)),SUMIFS(dl_ht,dl_doc,F666,dl_rate,INDEX(p_rates,1))))</f>
        <v>0.0</v>
      </c>
      <c r="AL666" s="62">
        <f>IF(OR(AG666="",INDEX(p_rates,2)=""),0,IF(AG666="Facture",SUMIFS(fl_ht,fl_doc,A666,fl_rate,INDEX(p_rates,2)),SUMIFS(dl_ht,dl_doc,F666,dl_rate,INDEX(p_rates,2))))</f>
        <v>0.0</v>
      </c>
      <c r="AM666" s="62">
        <f>IF(OR(AG666="",INDEX(p_rates,3)=""),0,IF(AG666="Facture",SUMIFS(fl_ht,fl_doc,A666,fl_rate,INDEX(p_rates,3)),SUMIFS(dl_ht,dl_doc,F666,dl_rate,INDEX(p_rates,3))))</f>
        <v>0.0</v>
      </c>
      <c r="AN666" s="62">
        <f>IF(OR(AG666="",INDEX(p_rates,4)=""),0,IF(AG666="Facture",SUMIFS(fl_ht,fl_doc,A666,fl_rate,INDEX(p_rates,4)),SUMIFS(dl_ht,dl_doc,F666,dl_rate,INDEX(p_rates,4))))</f>
        <v>0.0</v>
      </c>
      <c r="AO666" s="62">
        <f>IF(OR(AG666="",INDEX(p_rates,5)=""),0,IF(AG666="Facture",SUMIFS(fl_ht,fl_doc,A666,fl_rate,INDEX(p_rates,5)),SUMIFS(dl_ht,dl_doc,F666,dl_rate,INDEX(p_rates,5))))</f>
        <v>0.0</v>
      </c>
      <c r="AP666" s="62">
        <f>IF(OR(AG666="",INDEX(p_rates,6)=""),0,IF(AG666="Facture",SUMIFS(fl_ht,fl_doc,A666,fl_rate,INDEX(p_rates,6)),SUMIFS(dl_ht,dl_doc,F666,dl_rate,INDEX(p_rates,6))))</f>
        <v>0.0</v>
      </c>
      <c r="AQ666" s="62">
        <f>ROUND(AK666*N(INDEX(p_rates,1)),2)+ROUND(AL666*N(INDEX(p_rates,2)),2)+ROUND(AM666*N(INDEX(p_rates,3)),2)+ROUND(AN666*N(INDEX(p_rates,4)),2)+ROUND(AO666*N(INDEX(p_rates,5)),2)+ROUND(AP666*N(INDEX(p_rates,6)),2)</f>
        <v>0.0</v>
      </c>
      <c r="AR666" s="62" t="str">
        <f>IF(OR(L666="",AA666&lt;&gt;"Facture"),"",IFERROR(IF(INDEX(fa_type,MATCH(L666,fa_num,0))="Facture d'acompte",MATCH(L666,fa_num,0),""),""))</f>
        <v/>
      </c>
      <c r="AS666" s="62" t="str">
        <f>IF(W666="","",IF(W666&lt;=0,"",IF(p_asof-P666&lt;=0,"Non échu",IF(p_asof-P666&lt;=30,"1-30 j",IF(p_asof-P666&lt;=60,"31-60 j",IF(p_asof-P666&lt;=90,"61-90 j","Plus de 90 j"))))))</f>
        <v/>
      </c>
      <c r="AT666" s="62" t="str">
        <f>IF(AS666="","",p_asof-P666)</f>
        <v/>
      </c>
      <c r="AU666" s="62" t="str">
        <f>IF(AT666="","",COUNTIF($AT$6:$AT$805,"&gt;"&amp;AT666)+COUNTIF($AT$6:AT666,AT666))</f>
        <v/>
      </c>
    </row>
    <row r="667">
      <c r="A667" s="59" t="str">
        <f>IF(AE667="","",AB667&amp;"-"&amp;AD667&amp;"-"&amp;RIGHT("000"&amp;AE667,4))</f>
        <v/>
      </c>
      <c r="B667" s="60" t="n"/>
      <c r="C667" s="61" t="n"/>
      <c r="D667" s="60" t="n"/>
      <c r="E667" s="62" t="str">
        <f>IF(D667="","",IFERROR(INDEX(cli_name,MATCH(D667,cli_code,0))&amp;"","Client inconnu"))</f>
        <v/>
      </c>
      <c r="F667" s="60" t="n"/>
      <c r="G667" s="63" t="n"/>
      <c r="H667" s="61" t="n"/>
      <c r="I667" s="63" t="n"/>
      <c r="J667" s="60" t="n"/>
      <c r="K667" s="61" t="n"/>
      <c r="L667" s="60" t="n"/>
      <c r="M667" s="60" t="n"/>
      <c r="N667" s="60" t="n"/>
      <c r="O667" s="61" t="n"/>
      <c r="P667" s="64" t="str">
        <f>IF(A667="","",IF(AA667="Avoir",AC667,IF(ISNUMBER(K667),K667,AC667+IF(D667="",N(p_delay),IFERROR(IF(ISNUMBER(INDEX(cli_delay,MATCH(D667,cli_code,0))),INDEX(cli_delay,MATCH(D667,cli_code,0)),N(p_delay)),N(p_delay))))))</f>
        <v/>
      </c>
      <c r="Q667" s="65" t="str">
        <f>IF(A667="","",IF(AA667="Avoir",-1,1)*ROUND(AJ667-IF(AR667="",0,INDEX(fa_htb,AR667)),2))</f>
        <v/>
      </c>
      <c r="R667" s="65" t="str">
        <f>IF(A667="","",IF(AA667="Avoir",-1,1)*ROUND(AQ667-IF(AR667="",0,INDEX(fa_tvab,AR667)),2))</f>
        <v/>
      </c>
      <c r="S667" s="65" t="str">
        <f>IF(A667="","",Q667+R667)</f>
        <v/>
      </c>
      <c r="T667" s="65" t="str">
        <f>IF(AR667="","",INDEX(fa_htb,AR667)+INDEX(fa_tvab,AR667))</f>
        <v/>
      </c>
      <c r="U667" s="65" t="str">
        <f>IF(A667="","",SUMIF(pa_inv,A667,pa_amt))</f>
        <v/>
      </c>
      <c r="V667" s="65" t="str">
        <f>IF(OR(A667="",AA667="Avoir"),"",-SUMIFS(fa_ttc,fa_avof,A667,fa_type,"Avoir"))</f>
        <v/>
      </c>
      <c r="W667" s="65" t="str">
        <f>IF(OR(A667="",AA667="Avoir"),"",ROUND(S667-U667-V667,2))</f>
        <v/>
      </c>
      <c r="X667" s="66" t="str">
        <f>IF(W667="","",IF(AND(W667&gt;0,p_asof&gt;P667),p_asof-P667,""))</f>
        <v/>
      </c>
      <c r="Y667" s="59" t="str">
        <f>IF(A667="","",IF(AA667="Avoir","Avoir",IF(W667&lt;0,"Trop-perçu",IF(W667=0,"Soldée",IF(p_asof&gt;P667,"En retard",IF(U667+V667&gt;0,"Partielle","À échoir"))))))</f>
        <v/>
      </c>
      <c r="Z667" s="59" t="str">
        <f>IF(NOT(COUNTA(B667:D667,F667:O667)&gt;0),"",IF(C667="","Date manquante",IF(NOT(ISNUMBER(C667)),"Date invalide",IF(D667="","Client manquant",IF(ISNA(MATCH(D667,cli_code,0)),"Client inconnu",IF(AC667&lt;SUMPRODUCT(MAX(($AB$6:AB666=AB667)*$AC$6:AC666)),"Date antérieure à la facture précédente",IF(AND(F667&lt;&gt;"",ISNA(MATCH(F667,dv_num,0))),"Devis inconnu",IF(AND(F667&lt;&gt;"",IFERROR(INDEX(dv_client,MATCH(F667,dv_num,0)),D667)&lt;&gt;D667),"Client différent de celui du devis",IF(AG667="","Aucune ligne : saisissez des lignes ou un devis",IF(AND(AI667&lt;&gt;"",COUNTIF($AI$6:AI667,AI667)&gt;1),"Devis déjà repris par une autre facture",IF(AND(AA667="Avoir",M667=""),"Avoir : indiquez la facture d'origine",IF(AND(AA667="Avoir",ISNA(MATCH(M667,fa_num,0))),"Facture d'origine inconnue",IF(AND(AA667&lt;&gt;"Avoir",M667&lt;&gt;""),"« Avoir sur facture » : réservé aux avoirs",IF(AND(L667&lt;&gt;"",AA667&lt;&gt;"Facture"),"Acompte à déduire : réservé aux factures",IF(AND(L667&lt;&gt;"",ISNA(MATCH(L667,fa_num,0))),"Facture d'acompte inconnue",IF(AND(L667&lt;&gt;"",IFERROR(INDEX(fa_type,MATCH(L667,fa_num,0)),"")&lt;&gt;"Facture d'acompte"),"Le n° à déduire n'est pas une facture d'acompte",IF(AND(L667&lt;&gt;"",COUNTIF($L$6:L667,L667)&gt;1),"Acompte déjà déduit sur une autre facture",IF(AND(L667&lt;&gt;"",IFERROR(INDEX(fa_client,MATCH(L667,fa_num,0)),D667)&lt;&gt;D667),"Acompte d'un autre client",IF(AND(AR667&lt;&gt;"",N(Q667)&lt;0),"Acompte supérieur au total de la facture",IF(IF(AG667="Facture",COUNTIFS(fl_doc,A667,fl_check,"&lt;&gt;OK"),IF(AG667="Devis",COUNTIFS(dl_doc,F667,dl_check,"&lt;&gt;OK"),0))&gt;0,"Ligne(s) à corriger",IF(AND(W667&lt;&gt;"",N(W667)&lt;0),"Trop-perçu : vérifiez paiements et avoirs","OK")))))))))))))))))))))</f>
        <v/>
      </c>
      <c r="AA667" s="62" t="str">
        <f>IF(COUNTA(B667:D667,F667:O667)&gt;0,IF(B667="","Facture",B667),"")</f>
        <v/>
      </c>
      <c r="AB667" s="62" t="str">
        <f>IF(AA667="","",IF(AA667="Avoir",p_pav,IF(AA667="Facture d'acompte",p_pac,p_pfa)))</f>
        <v/>
      </c>
      <c r="AC667" s="62">
        <f>IF(ISNUMBER(C667),C667,0)</f>
        <v>0.0</v>
      </c>
      <c r="AD667" s="62" t="str">
        <f>IF(OR(AA667="",AC667=0),"",YEAR(AC667))</f>
        <v/>
      </c>
      <c r="AE667" s="62" t="str">
        <f>IF(AD667="","",COUNTIFS($AB$6:AB667,AB667,$AD$6:AD667,AD667))</f>
        <v/>
      </c>
      <c r="AF667" s="62">
        <f>IF(A667="",0,COUNTIF(fl_doc,A667))</f>
        <v>0.0</v>
      </c>
      <c r="AG667" s="62" t="str">
        <f>IF(A667="","",IF(AF667&gt;0,"Facture",IF(AND(F667&lt;&gt;"",AA667="Facture",ISNUMBER(MATCH(F667,dv_num,0))),"Devis","")))</f>
        <v/>
      </c>
      <c r="AH667" s="62" t="str">
        <f>IF(AND(A667&lt;&gt;"",F667&lt;&gt;"",AA667&lt;&gt;"Avoir"),F667,"")</f>
        <v/>
      </c>
      <c r="AI667" s="62" t="str">
        <f>IF(AG667="Devis",F667,"")</f>
        <v/>
      </c>
      <c r="AJ667" s="62">
        <f>IF(AG667="Facture",SUMIF(fl_doc,A667,fl_ht),IF(AG667="Devis",SUMIF(dl_doc,F667,dl_ht),0))</f>
        <v>0.0</v>
      </c>
      <c r="AK667" s="62">
        <f>IF(OR(AG667="",INDEX(p_rates,1)=""),0,IF(AG667="Facture",SUMIFS(fl_ht,fl_doc,A667,fl_rate,INDEX(p_rates,1)),SUMIFS(dl_ht,dl_doc,F667,dl_rate,INDEX(p_rates,1))))</f>
        <v>0.0</v>
      </c>
      <c r="AL667" s="62">
        <f>IF(OR(AG667="",INDEX(p_rates,2)=""),0,IF(AG667="Facture",SUMIFS(fl_ht,fl_doc,A667,fl_rate,INDEX(p_rates,2)),SUMIFS(dl_ht,dl_doc,F667,dl_rate,INDEX(p_rates,2))))</f>
        <v>0.0</v>
      </c>
      <c r="AM667" s="62">
        <f>IF(OR(AG667="",INDEX(p_rates,3)=""),0,IF(AG667="Facture",SUMIFS(fl_ht,fl_doc,A667,fl_rate,INDEX(p_rates,3)),SUMIFS(dl_ht,dl_doc,F667,dl_rate,INDEX(p_rates,3))))</f>
        <v>0.0</v>
      </c>
      <c r="AN667" s="62">
        <f>IF(OR(AG667="",INDEX(p_rates,4)=""),0,IF(AG667="Facture",SUMIFS(fl_ht,fl_doc,A667,fl_rate,INDEX(p_rates,4)),SUMIFS(dl_ht,dl_doc,F667,dl_rate,INDEX(p_rates,4))))</f>
        <v>0.0</v>
      </c>
      <c r="AO667" s="62">
        <f>IF(OR(AG667="",INDEX(p_rates,5)=""),0,IF(AG667="Facture",SUMIFS(fl_ht,fl_doc,A667,fl_rate,INDEX(p_rates,5)),SUMIFS(dl_ht,dl_doc,F667,dl_rate,INDEX(p_rates,5))))</f>
        <v>0.0</v>
      </c>
      <c r="AP667" s="62">
        <f>IF(OR(AG667="",INDEX(p_rates,6)=""),0,IF(AG667="Facture",SUMIFS(fl_ht,fl_doc,A667,fl_rate,INDEX(p_rates,6)),SUMIFS(dl_ht,dl_doc,F667,dl_rate,INDEX(p_rates,6))))</f>
        <v>0.0</v>
      </c>
      <c r="AQ667" s="62">
        <f>ROUND(AK667*N(INDEX(p_rates,1)),2)+ROUND(AL667*N(INDEX(p_rates,2)),2)+ROUND(AM667*N(INDEX(p_rates,3)),2)+ROUND(AN667*N(INDEX(p_rates,4)),2)+ROUND(AO667*N(INDEX(p_rates,5)),2)+ROUND(AP667*N(INDEX(p_rates,6)),2)</f>
        <v>0.0</v>
      </c>
      <c r="AR667" s="62" t="str">
        <f>IF(OR(L667="",AA667&lt;&gt;"Facture"),"",IFERROR(IF(INDEX(fa_type,MATCH(L667,fa_num,0))="Facture d'acompte",MATCH(L667,fa_num,0),""),""))</f>
        <v/>
      </c>
      <c r="AS667" s="62" t="str">
        <f>IF(W667="","",IF(W667&lt;=0,"",IF(p_asof-P667&lt;=0,"Non échu",IF(p_asof-P667&lt;=30,"1-30 j",IF(p_asof-P667&lt;=60,"31-60 j",IF(p_asof-P667&lt;=90,"61-90 j","Plus de 90 j"))))))</f>
        <v/>
      </c>
      <c r="AT667" s="62" t="str">
        <f>IF(AS667="","",p_asof-P667)</f>
        <v/>
      </c>
      <c r="AU667" s="62" t="str">
        <f>IF(AT667="","",COUNTIF($AT$6:$AT$805,"&gt;"&amp;AT667)+COUNTIF($AT$6:AT667,AT667))</f>
        <v/>
      </c>
    </row>
    <row r="668">
      <c r="A668" s="59" t="str">
        <f>IF(AE668="","",AB668&amp;"-"&amp;AD668&amp;"-"&amp;RIGHT("000"&amp;AE668,4))</f>
        <v/>
      </c>
      <c r="B668" s="60" t="n"/>
      <c r="C668" s="61" t="n"/>
      <c r="D668" s="60" t="n"/>
      <c r="E668" s="62" t="str">
        <f>IF(D668="","",IFERROR(INDEX(cli_name,MATCH(D668,cli_code,0))&amp;"","Client inconnu"))</f>
        <v/>
      </c>
      <c r="F668" s="60" t="n"/>
      <c r="G668" s="63" t="n"/>
      <c r="H668" s="61" t="n"/>
      <c r="I668" s="63" t="n"/>
      <c r="J668" s="60" t="n"/>
      <c r="K668" s="61" t="n"/>
      <c r="L668" s="60" t="n"/>
      <c r="M668" s="60" t="n"/>
      <c r="N668" s="60" t="n"/>
      <c r="O668" s="61" t="n"/>
      <c r="P668" s="64" t="str">
        <f>IF(A668="","",IF(AA668="Avoir",AC668,IF(ISNUMBER(K668),K668,AC668+IF(D668="",N(p_delay),IFERROR(IF(ISNUMBER(INDEX(cli_delay,MATCH(D668,cli_code,0))),INDEX(cli_delay,MATCH(D668,cli_code,0)),N(p_delay)),N(p_delay))))))</f>
        <v/>
      </c>
      <c r="Q668" s="65" t="str">
        <f>IF(A668="","",IF(AA668="Avoir",-1,1)*ROUND(AJ668-IF(AR668="",0,INDEX(fa_htb,AR668)),2))</f>
        <v/>
      </c>
      <c r="R668" s="65" t="str">
        <f>IF(A668="","",IF(AA668="Avoir",-1,1)*ROUND(AQ668-IF(AR668="",0,INDEX(fa_tvab,AR668)),2))</f>
        <v/>
      </c>
      <c r="S668" s="65" t="str">
        <f>IF(A668="","",Q668+R668)</f>
        <v/>
      </c>
      <c r="T668" s="65" t="str">
        <f>IF(AR668="","",INDEX(fa_htb,AR668)+INDEX(fa_tvab,AR668))</f>
        <v/>
      </c>
      <c r="U668" s="65" t="str">
        <f>IF(A668="","",SUMIF(pa_inv,A668,pa_amt))</f>
        <v/>
      </c>
      <c r="V668" s="65" t="str">
        <f>IF(OR(A668="",AA668="Avoir"),"",-SUMIFS(fa_ttc,fa_avof,A668,fa_type,"Avoir"))</f>
        <v/>
      </c>
      <c r="W668" s="65" t="str">
        <f>IF(OR(A668="",AA668="Avoir"),"",ROUND(S668-U668-V668,2))</f>
        <v/>
      </c>
      <c r="X668" s="66" t="str">
        <f>IF(W668="","",IF(AND(W668&gt;0,p_asof&gt;P668),p_asof-P668,""))</f>
        <v/>
      </c>
      <c r="Y668" s="59" t="str">
        <f>IF(A668="","",IF(AA668="Avoir","Avoir",IF(W668&lt;0,"Trop-perçu",IF(W668=0,"Soldée",IF(p_asof&gt;P668,"En retard",IF(U668+V668&gt;0,"Partielle","À échoir"))))))</f>
        <v/>
      </c>
      <c r="Z668" s="59" t="str">
        <f>IF(NOT(COUNTA(B668:D668,F668:O668)&gt;0),"",IF(C668="","Date manquante",IF(NOT(ISNUMBER(C668)),"Date invalide",IF(D668="","Client manquant",IF(ISNA(MATCH(D668,cli_code,0)),"Client inconnu",IF(AC668&lt;SUMPRODUCT(MAX(($AB$6:AB667=AB668)*$AC$6:AC667)),"Date antérieure à la facture précédente",IF(AND(F668&lt;&gt;"",ISNA(MATCH(F668,dv_num,0))),"Devis inconnu",IF(AND(F668&lt;&gt;"",IFERROR(INDEX(dv_client,MATCH(F668,dv_num,0)),D668)&lt;&gt;D668),"Client différent de celui du devis",IF(AG668="","Aucune ligne : saisissez des lignes ou un devis",IF(AND(AI668&lt;&gt;"",COUNTIF($AI$6:AI668,AI668)&gt;1),"Devis déjà repris par une autre facture",IF(AND(AA668="Avoir",M668=""),"Avoir : indiquez la facture d'origine",IF(AND(AA668="Avoir",ISNA(MATCH(M668,fa_num,0))),"Facture d'origine inconnue",IF(AND(AA668&lt;&gt;"Avoir",M668&lt;&gt;""),"« Avoir sur facture » : réservé aux avoirs",IF(AND(L668&lt;&gt;"",AA668&lt;&gt;"Facture"),"Acompte à déduire : réservé aux factures",IF(AND(L668&lt;&gt;"",ISNA(MATCH(L668,fa_num,0))),"Facture d'acompte inconnue",IF(AND(L668&lt;&gt;"",IFERROR(INDEX(fa_type,MATCH(L668,fa_num,0)),"")&lt;&gt;"Facture d'acompte"),"Le n° à déduire n'est pas une facture d'acompte",IF(AND(L668&lt;&gt;"",COUNTIF($L$6:L668,L668)&gt;1),"Acompte déjà déduit sur une autre facture",IF(AND(L668&lt;&gt;"",IFERROR(INDEX(fa_client,MATCH(L668,fa_num,0)),D668)&lt;&gt;D668),"Acompte d'un autre client",IF(AND(AR668&lt;&gt;"",N(Q668)&lt;0),"Acompte supérieur au total de la facture",IF(IF(AG668="Facture",COUNTIFS(fl_doc,A668,fl_check,"&lt;&gt;OK"),IF(AG668="Devis",COUNTIFS(dl_doc,F668,dl_check,"&lt;&gt;OK"),0))&gt;0,"Ligne(s) à corriger",IF(AND(W668&lt;&gt;"",N(W668)&lt;0),"Trop-perçu : vérifiez paiements et avoirs","OK")))))))))))))))))))))</f>
        <v/>
      </c>
      <c r="AA668" s="62" t="str">
        <f>IF(COUNTA(B668:D668,F668:O668)&gt;0,IF(B668="","Facture",B668),"")</f>
        <v/>
      </c>
      <c r="AB668" s="62" t="str">
        <f>IF(AA668="","",IF(AA668="Avoir",p_pav,IF(AA668="Facture d'acompte",p_pac,p_pfa)))</f>
        <v/>
      </c>
      <c r="AC668" s="62">
        <f>IF(ISNUMBER(C668),C668,0)</f>
        <v>0.0</v>
      </c>
      <c r="AD668" s="62" t="str">
        <f>IF(OR(AA668="",AC668=0),"",YEAR(AC668))</f>
        <v/>
      </c>
      <c r="AE668" s="62" t="str">
        <f>IF(AD668="","",COUNTIFS($AB$6:AB668,AB668,$AD$6:AD668,AD668))</f>
        <v/>
      </c>
      <c r="AF668" s="62">
        <f>IF(A668="",0,COUNTIF(fl_doc,A668))</f>
        <v>0.0</v>
      </c>
      <c r="AG668" s="62" t="str">
        <f>IF(A668="","",IF(AF668&gt;0,"Facture",IF(AND(F668&lt;&gt;"",AA668="Facture",ISNUMBER(MATCH(F668,dv_num,0))),"Devis","")))</f>
        <v/>
      </c>
      <c r="AH668" s="62" t="str">
        <f>IF(AND(A668&lt;&gt;"",F668&lt;&gt;"",AA668&lt;&gt;"Avoir"),F668,"")</f>
        <v/>
      </c>
      <c r="AI668" s="62" t="str">
        <f>IF(AG668="Devis",F668,"")</f>
        <v/>
      </c>
      <c r="AJ668" s="62">
        <f>IF(AG668="Facture",SUMIF(fl_doc,A668,fl_ht),IF(AG668="Devis",SUMIF(dl_doc,F668,dl_ht),0))</f>
        <v>0.0</v>
      </c>
      <c r="AK668" s="62">
        <f>IF(OR(AG668="",INDEX(p_rates,1)=""),0,IF(AG668="Facture",SUMIFS(fl_ht,fl_doc,A668,fl_rate,INDEX(p_rates,1)),SUMIFS(dl_ht,dl_doc,F668,dl_rate,INDEX(p_rates,1))))</f>
        <v>0.0</v>
      </c>
      <c r="AL668" s="62">
        <f>IF(OR(AG668="",INDEX(p_rates,2)=""),0,IF(AG668="Facture",SUMIFS(fl_ht,fl_doc,A668,fl_rate,INDEX(p_rates,2)),SUMIFS(dl_ht,dl_doc,F668,dl_rate,INDEX(p_rates,2))))</f>
        <v>0.0</v>
      </c>
      <c r="AM668" s="62">
        <f>IF(OR(AG668="",INDEX(p_rates,3)=""),0,IF(AG668="Facture",SUMIFS(fl_ht,fl_doc,A668,fl_rate,INDEX(p_rates,3)),SUMIFS(dl_ht,dl_doc,F668,dl_rate,INDEX(p_rates,3))))</f>
        <v>0.0</v>
      </c>
      <c r="AN668" s="62">
        <f>IF(OR(AG668="",INDEX(p_rates,4)=""),0,IF(AG668="Facture",SUMIFS(fl_ht,fl_doc,A668,fl_rate,INDEX(p_rates,4)),SUMIFS(dl_ht,dl_doc,F668,dl_rate,INDEX(p_rates,4))))</f>
        <v>0.0</v>
      </c>
      <c r="AO668" s="62">
        <f>IF(OR(AG668="",INDEX(p_rates,5)=""),0,IF(AG668="Facture",SUMIFS(fl_ht,fl_doc,A668,fl_rate,INDEX(p_rates,5)),SUMIFS(dl_ht,dl_doc,F668,dl_rate,INDEX(p_rates,5))))</f>
        <v>0.0</v>
      </c>
      <c r="AP668" s="62">
        <f>IF(OR(AG668="",INDEX(p_rates,6)=""),0,IF(AG668="Facture",SUMIFS(fl_ht,fl_doc,A668,fl_rate,INDEX(p_rates,6)),SUMIFS(dl_ht,dl_doc,F668,dl_rate,INDEX(p_rates,6))))</f>
        <v>0.0</v>
      </c>
      <c r="AQ668" s="62">
        <f>ROUND(AK668*N(INDEX(p_rates,1)),2)+ROUND(AL668*N(INDEX(p_rates,2)),2)+ROUND(AM668*N(INDEX(p_rates,3)),2)+ROUND(AN668*N(INDEX(p_rates,4)),2)+ROUND(AO668*N(INDEX(p_rates,5)),2)+ROUND(AP668*N(INDEX(p_rates,6)),2)</f>
        <v>0.0</v>
      </c>
      <c r="AR668" s="62" t="str">
        <f>IF(OR(L668="",AA668&lt;&gt;"Facture"),"",IFERROR(IF(INDEX(fa_type,MATCH(L668,fa_num,0))="Facture d'acompte",MATCH(L668,fa_num,0),""),""))</f>
        <v/>
      </c>
      <c r="AS668" s="62" t="str">
        <f>IF(W668="","",IF(W668&lt;=0,"",IF(p_asof-P668&lt;=0,"Non échu",IF(p_asof-P668&lt;=30,"1-30 j",IF(p_asof-P668&lt;=60,"31-60 j",IF(p_asof-P668&lt;=90,"61-90 j","Plus de 90 j"))))))</f>
        <v/>
      </c>
      <c r="AT668" s="62" t="str">
        <f>IF(AS668="","",p_asof-P668)</f>
        <v/>
      </c>
      <c r="AU668" s="62" t="str">
        <f>IF(AT668="","",COUNTIF($AT$6:$AT$805,"&gt;"&amp;AT668)+COUNTIF($AT$6:AT668,AT668))</f>
        <v/>
      </c>
    </row>
    <row r="669">
      <c r="A669" s="59" t="str">
        <f>IF(AE669="","",AB669&amp;"-"&amp;AD669&amp;"-"&amp;RIGHT("000"&amp;AE669,4))</f>
        <v/>
      </c>
      <c r="B669" s="60" t="n"/>
      <c r="C669" s="61" t="n"/>
      <c r="D669" s="60" t="n"/>
      <c r="E669" s="62" t="str">
        <f>IF(D669="","",IFERROR(INDEX(cli_name,MATCH(D669,cli_code,0))&amp;"","Client inconnu"))</f>
        <v/>
      </c>
      <c r="F669" s="60" t="n"/>
      <c r="G669" s="63" t="n"/>
      <c r="H669" s="61" t="n"/>
      <c r="I669" s="63" t="n"/>
      <c r="J669" s="60" t="n"/>
      <c r="K669" s="61" t="n"/>
      <c r="L669" s="60" t="n"/>
      <c r="M669" s="60" t="n"/>
      <c r="N669" s="60" t="n"/>
      <c r="O669" s="61" t="n"/>
      <c r="P669" s="64" t="str">
        <f>IF(A669="","",IF(AA669="Avoir",AC669,IF(ISNUMBER(K669),K669,AC669+IF(D669="",N(p_delay),IFERROR(IF(ISNUMBER(INDEX(cli_delay,MATCH(D669,cli_code,0))),INDEX(cli_delay,MATCH(D669,cli_code,0)),N(p_delay)),N(p_delay))))))</f>
        <v/>
      </c>
      <c r="Q669" s="65" t="str">
        <f>IF(A669="","",IF(AA669="Avoir",-1,1)*ROUND(AJ669-IF(AR669="",0,INDEX(fa_htb,AR669)),2))</f>
        <v/>
      </c>
      <c r="R669" s="65" t="str">
        <f>IF(A669="","",IF(AA669="Avoir",-1,1)*ROUND(AQ669-IF(AR669="",0,INDEX(fa_tvab,AR669)),2))</f>
        <v/>
      </c>
      <c r="S669" s="65" t="str">
        <f>IF(A669="","",Q669+R669)</f>
        <v/>
      </c>
      <c r="T669" s="65" t="str">
        <f>IF(AR669="","",INDEX(fa_htb,AR669)+INDEX(fa_tvab,AR669))</f>
        <v/>
      </c>
      <c r="U669" s="65" t="str">
        <f>IF(A669="","",SUMIF(pa_inv,A669,pa_amt))</f>
        <v/>
      </c>
      <c r="V669" s="65" t="str">
        <f>IF(OR(A669="",AA669="Avoir"),"",-SUMIFS(fa_ttc,fa_avof,A669,fa_type,"Avoir"))</f>
        <v/>
      </c>
      <c r="W669" s="65" t="str">
        <f>IF(OR(A669="",AA669="Avoir"),"",ROUND(S669-U669-V669,2))</f>
        <v/>
      </c>
      <c r="X669" s="66" t="str">
        <f>IF(W669="","",IF(AND(W669&gt;0,p_asof&gt;P669),p_asof-P669,""))</f>
        <v/>
      </c>
      <c r="Y669" s="59" t="str">
        <f>IF(A669="","",IF(AA669="Avoir","Avoir",IF(W669&lt;0,"Trop-perçu",IF(W669=0,"Soldée",IF(p_asof&gt;P669,"En retard",IF(U669+V669&gt;0,"Partielle","À échoir"))))))</f>
        <v/>
      </c>
      <c r="Z669" s="59" t="str">
        <f>IF(NOT(COUNTA(B669:D669,F669:O669)&gt;0),"",IF(C669="","Date manquante",IF(NOT(ISNUMBER(C669)),"Date invalide",IF(D669="","Client manquant",IF(ISNA(MATCH(D669,cli_code,0)),"Client inconnu",IF(AC669&lt;SUMPRODUCT(MAX(($AB$6:AB668=AB669)*$AC$6:AC668)),"Date antérieure à la facture précédente",IF(AND(F669&lt;&gt;"",ISNA(MATCH(F669,dv_num,0))),"Devis inconnu",IF(AND(F669&lt;&gt;"",IFERROR(INDEX(dv_client,MATCH(F669,dv_num,0)),D669)&lt;&gt;D669),"Client différent de celui du devis",IF(AG669="","Aucune ligne : saisissez des lignes ou un devis",IF(AND(AI669&lt;&gt;"",COUNTIF($AI$6:AI669,AI669)&gt;1),"Devis déjà repris par une autre facture",IF(AND(AA669="Avoir",M669=""),"Avoir : indiquez la facture d'origine",IF(AND(AA669="Avoir",ISNA(MATCH(M669,fa_num,0))),"Facture d'origine inconnue",IF(AND(AA669&lt;&gt;"Avoir",M669&lt;&gt;""),"« Avoir sur facture » : réservé aux avoirs",IF(AND(L669&lt;&gt;"",AA669&lt;&gt;"Facture"),"Acompte à déduire : réservé aux factures",IF(AND(L669&lt;&gt;"",ISNA(MATCH(L669,fa_num,0))),"Facture d'acompte inconnue",IF(AND(L669&lt;&gt;"",IFERROR(INDEX(fa_type,MATCH(L669,fa_num,0)),"")&lt;&gt;"Facture d'acompte"),"Le n° à déduire n'est pas une facture d'acompte",IF(AND(L669&lt;&gt;"",COUNTIF($L$6:L669,L669)&gt;1),"Acompte déjà déduit sur une autre facture",IF(AND(L669&lt;&gt;"",IFERROR(INDEX(fa_client,MATCH(L669,fa_num,0)),D669)&lt;&gt;D669),"Acompte d'un autre client",IF(AND(AR669&lt;&gt;"",N(Q669)&lt;0),"Acompte supérieur au total de la facture",IF(IF(AG669="Facture",COUNTIFS(fl_doc,A669,fl_check,"&lt;&gt;OK"),IF(AG669="Devis",COUNTIFS(dl_doc,F669,dl_check,"&lt;&gt;OK"),0))&gt;0,"Ligne(s) à corriger",IF(AND(W669&lt;&gt;"",N(W669)&lt;0),"Trop-perçu : vérifiez paiements et avoirs","OK")))))))))))))))))))))</f>
        <v/>
      </c>
      <c r="AA669" s="62" t="str">
        <f>IF(COUNTA(B669:D669,F669:O669)&gt;0,IF(B669="","Facture",B669),"")</f>
        <v/>
      </c>
      <c r="AB669" s="62" t="str">
        <f>IF(AA669="","",IF(AA669="Avoir",p_pav,IF(AA669="Facture d'acompte",p_pac,p_pfa)))</f>
        <v/>
      </c>
      <c r="AC669" s="62">
        <f>IF(ISNUMBER(C669),C669,0)</f>
        <v>0.0</v>
      </c>
      <c r="AD669" s="62" t="str">
        <f>IF(OR(AA669="",AC669=0),"",YEAR(AC669))</f>
        <v/>
      </c>
      <c r="AE669" s="62" t="str">
        <f>IF(AD669="","",COUNTIFS($AB$6:AB669,AB669,$AD$6:AD669,AD669))</f>
        <v/>
      </c>
      <c r="AF669" s="62">
        <f>IF(A669="",0,COUNTIF(fl_doc,A669))</f>
        <v>0.0</v>
      </c>
      <c r="AG669" s="62" t="str">
        <f>IF(A669="","",IF(AF669&gt;0,"Facture",IF(AND(F669&lt;&gt;"",AA669="Facture",ISNUMBER(MATCH(F669,dv_num,0))),"Devis","")))</f>
        <v/>
      </c>
      <c r="AH669" s="62" t="str">
        <f>IF(AND(A669&lt;&gt;"",F669&lt;&gt;"",AA669&lt;&gt;"Avoir"),F669,"")</f>
        <v/>
      </c>
      <c r="AI669" s="62" t="str">
        <f>IF(AG669="Devis",F669,"")</f>
        <v/>
      </c>
      <c r="AJ669" s="62">
        <f>IF(AG669="Facture",SUMIF(fl_doc,A669,fl_ht),IF(AG669="Devis",SUMIF(dl_doc,F669,dl_ht),0))</f>
        <v>0.0</v>
      </c>
      <c r="AK669" s="62">
        <f>IF(OR(AG669="",INDEX(p_rates,1)=""),0,IF(AG669="Facture",SUMIFS(fl_ht,fl_doc,A669,fl_rate,INDEX(p_rates,1)),SUMIFS(dl_ht,dl_doc,F669,dl_rate,INDEX(p_rates,1))))</f>
        <v>0.0</v>
      </c>
      <c r="AL669" s="62">
        <f>IF(OR(AG669="",INDEX(p_rates,2)=""),0,IF(AG669="Facture",SUMIFS(fl_ht,fl_doc,A669,fl_rate,INDEX(p_rates,2)),SUMIFS(dl_ht,dl_doc,F669,dl_rate,INDEX(p_rates,2))))</f>
        <v>0.0</v>
      </c>
      <c r="AM669" s="62">
        <f>IF(OR(AG669="",INDEX(p_rates,3)=""),0,IF(AG669="Facture",SUMIFS(fl_ht,fl_doc,A669,fl_rate,INDEX(p_rates,3)),SUMIFS(dl_ht,dl_doc,F669,dl_rate,INDEX(p_rates,3))))</f>
        <v>0.0</v>
      </c>
      <c r="AN669" s="62">
        <f>IF(OR(AG669="",INDEX(p_rates,4)=""),0,IF(AG669="Facture",SUMIFS(fl_ht,fl_doc,A669,fl_rate,INDEX(p_rates,4)),SUMIFS(dl_ht,dl_doc,F669,dl_rate,INDEX(p_rates,4))))</f>
        <v>0.0</v>
      </c>
      <c r="AO669" s="62">
        <f>IF(OR(AG669="",INDEX(p_rates,5)=""),0,IF(AG669="Facture",SUMIFS(fl_ht,fl_doc,A669,fl_rate,INDEX(p_rates,5)),SUMIFS(dl_ht,dl_doc,F669,dl_rate,INDEX(p_rates,5))))</f>
        <v>0.0</v>
      </c>
      <c r="AP669" s="62">
        <f>IF(OR(AG669="",INDEX(p_rates,6)=""),0,IF(AG669="Facture",SUMIFS(fl_ht,fl_doc,A669,fl_rate,INDEX(p_rates,6)),SUMIFS(dl_ht,dl_doc,F669,dl_rate,INDEX(p_rates,6))))</f>
        <v>0.0</v>
      </c>
      <c r="AQ669" s="62">
        <f>ROUND(AK669*N(INDEX(p_rates,1)),2)+ROUND(AL669*N(INDEX(p_rates,2)),2)+ROUND(AM669*N(INDEX(p_rates,3)),2)+ROUND(AN669*N(INDEX(p_rates,4)),2)+ROUND(AO669*N(INDEX(p_rates,5)),2)+ROUND(AP669*N(INDEX(p_rates,6)),2)</f>
        <v>0.0</v>
      </c>
      <c r="AR669" s="62" t="str">
        <f>IF(OR(L669="",AA669&lt;&gt;"Facture"),"",IFERROR(IF(INDEX(fa_type,MATCH(L669,fa_num,0))="Facture d'acompte",MATCH(L669,fa_num,0),""),""))</f>
        <v/>
      </c>
      <c r="AS669" s="62" t="str">
        <f>IF(W669="","",IF(W669&lt;=0,"",IF(p_asof-P669&lt;=0,"Non échu",IF(p_asof-P669&lt;=30,"1-30 j",IF(p_asof-P669&lt;=60,"31-60 j",IF(p_asof-P669&lt;=90,"61-90 j","Plus de 90 j"))))))</f>
        <v/>
      </c>
      <c r="AT669" s="62" t="str">
        <f>IF(AS669="","",p_asof-P669)</f>
        <v/>
      </c>
      <c r="AU669" s="62" t="str">
        <f>IF(AT669="","",COUNTIF($AT$6:$AT$805,"&gt;"&amp;AT669)+COUNTIF($AT$6:AT669,AT669))</f>
        <v/>
      </c>
    </row>
    <row r="670">
      <c r="A670" s="59" t="str">
        <f>IF(AE670="","",AB670&amp;"-"&amp;AD670&amp;"-"&amp;RIGHT("000"&amp;AE670,4))</f>
        <v/>
      </c>
      <c r="B670" s="60" t="n"/>
      <c r="C670" s="61" t="n"/>
      <c r="D670" s="60" t="n"/>
      <c r="E670" s="62" t="str">
        <f>IF(D670="","",IFERROR(INDEX(cli_name,MATCH(D670,cli_code,0))&amp;"","Client inconnu"))</f>
        <v/>
      </c>
      <c r="F670" s="60" t="n"/>
      <c r="G670" s="63" t="n"/>
      <c r="H670" s="61" t="n"/>
      <c r="I670" s="63" t="n"/>
      <c r="J670" s="60" t="n"/>
      <c r="K670" s="61" t="n"/>
      <c r="L670" s="60" t="n"/>
      <c r="M670" s="60" t="n"/>
      <c r="N670" s="60" t="n"/>
      <c r="O670" s="61" t="n"/>
      <c r="P670" s="64" t="str">
        <f>IF(A670="","",IF(AA670="Avoir",AC670,IF(ISNUMBER(K670),K670,AC670+IF(D670="",N(p_delay),IFERROR(IF(ISNUMBER(INDEX(cli_delay,MATCH(D670,cli_code,0))),INDEX(cli_delay,MATCH(D670,cli_code,0)),N(p_delay)),N(p_delay))))))</f>
        <v/>
      </c>
      <c r="Q670" s="65" t="str">
        <f>IF(A670="","",IF(AA670="Avoir",-1,1)*ROUND(AJ670-IF(AR670="",0,INDEX(fa_htb,AR670)),2))</f>
        <v/>
      </c>
      <c r="R670" s="65" t="str">
        <f>IF(A670="","",IF(AA670="Avoir",-1,1)*ROUND(AQ670-IF(AR670="",0,INDEX(fa_tvab,AR670)),2))</f>
        <v/>
      </c>
      <c r="S670" s="65" t="str">
        <f>IF(A670="","",Q670+R670)</f>
        <v/>
      </c>
      <c r="T670" s="65" t="str">
        <f>IF(AR670="","",INDEX(fa_htb,AR670)+INDEX(fa_tvab,AR670))</f>
        <v/>
      </c>
      <c r="U670" s="65" t="str">
        <f>IF(A670="","",SUMIF(pa_inv,A670,pa_amt))</f>
        <v/>
      </c>
      <c r="V670" s="65" t="str">
        <f>IF(OR(A670="",AA670="Avoir"),"",-SUMIFS(fa_ttc,fa_avof,A670,fa_type,"Avoir"))</f>
        <v/>
      </c>
      <c r="W670" s="65" t="str">
        <f>IF(OR(A670="",AA670="Avoir"),"",ROUND(S670-U670-V670,2))</f>
        <v/>
      </c>
      <c r="X670" s="66" t="str">
        <f>IF(W670="","",IF(AND(W670&gt;0,p_asof&gt;P670),p_asof-P670,""))</f>
        <v/>
      </c>
      <c r="Y670" s="59" t="str">
        <f>IF(A670="","",IF(AA670="Avoir","Avoir",IF(W670&lt;0,"Trop-perçu",IF(W670=0,"Soldée",IF(p_asof&gt;P670,"En retard",IF(U670+V670&gt;0,"Partielle","À échoir"))))))</f>
        <v/>
      </c>
      <c r="Z670" s="59" t="str">
        <f>IF(NOT(COUNTA(B670:D670,F670:O670)&gt;0),"",IF(C670="","Date manquante",IF(NOT(ISNUMBER(C670)),"Date invalide",IF(D670="","Client manquant",IF(ISNA(MATCH(D670,cli_code,0)),"Client inconnu",IF(AC670&lt;SUMPRODUCT(MAX(($AB$6:AB669=AB670)*$AC$6:AC669)),"Date antérieure à la facture précédente",IF(AND(F670&lt;&gt;"",ISNA(MATCH(F670,dv_num,0))),"Devis inconnu",IF(AND(F670&lt;&gt;"",IFERROR(INDEX(dv_client,MATCH(F670,dv_num,0)),D670)&lt;&gt;D670),"Client différent de celui du devis",IF(AG670="","Aucune ligne : saisissez des lignes ou un devis",IF(AND(AI670&lt;&gt;"",COUNTIF($AI$6:AI670,AI670)&gt;1),"Devis déjà repris par une autre facture",IF(AND(AA670="Avoir",M670=""),"Avoir : indiquez la facture d'origine",IF(AND(AA670="Avoir",ISNA(MATCH(M670,fa_num,0))),"Facture d'origine inconnue",IF(AND(AA670&lt;&gt;"Avoir",M670&lt;&gt;""),"« Avoir sur facture » : réservé aux avoirs",IF(AND(L670&lt;&gt;"",AA670&lt;&gt;"Facture"),"Acompte à déduire : réservé aux factures",IF(AND(L670&lt;&gt;"",ISNA(MATCH(L670,fa_num,0))),"Facture d'acompte inconnue",IF(AND(L670&lt;&gt;"",IFERROR(INDEX(fa_type,MATCH(L670,fa_num,0)),"")&lt;&gt;"Facture d'acompte"),"Le n° à déduire n'est pas une facture d'acompte",IF(AND(L670&lt;&gt;"",COUNTIF($L$6:L670,L670)&gt;1),"Acompte déjà déduit sur une autre facture",IF(AND(L670&lt;&gt;"",IFERROR(INDEX(fa_client,MATCH(L670,fa_num,0)),D670)&lt;&gt;D670),"Acompte d'un autre client",IF(AND(AR670&lt;&gt;"",N(Q670)&lt;0),"Acompte supérieur au total de la facture",IF(IF(AG670="Facture",COUNTIFS(fl_doc,A670,fl_check,"&lt;&gt;OK"),IF(AG670="Devis",COUNTIFS(dl_doc,F670,dl_check,"&lt;&gt;OK"),0))&gt;0,"Ligne(s) à corriger",IF(AND(W670&lt;&gt;"",N(W670)&lt;0),"Trop-perçu : vérifiez paiements et avoirs","OK")))))))))))))))))))))</f>
        <v/>
      </c>
      <c r="AA670" s="62" t="str">
        <f>IF(COUNTA(B670:D670,F670:O670)&gt;0,IF(B670="","Facture",B670),"")</f>
        <v/>
      </c>
      <c r="AB670" s="62" t="str">
        <f>IF(AA670="","",IF(AA670="Avoir",p_pav,IF(AA670="Facture d'acompte",p_pac,p_pfa)))</f>
        <v/>
      </c>
      <c r="AC670" s="62">
        <f>IF(ISNUMBER(C670),C670,0)</f>
        <v>0.0</v>
      </c>
      <c r="AD670" s="62" t="str">
        <f>IF(OR(AA670="",AC670=0),"",YEAR(AC670))</f>
        <v/>
      </c>
      <c r="AE670" s="62" t="str">
        <f>IF(AD670="","",COUNTIFS($AB$6:AB670,AB670,$AD$6:AD670,AD670))</f>
        <v/>
      </c>
      <c r="AF670" s="62">
        <f>IF(A670="",0,COUNTIF(fl_doc,A670))</f>
        <v>0.0</v>
      </c>
      <c r="AG670" s="62" t="str">
        <f>IF(A670="","",IF(AF670&gt;0,"Facture",IF(AND(F670&lt;&gt;"",AA670="Facture",ISNUMBER(MATCH(F670,dv_num,0))),"Devis","")))</f>
        <v/>
      </c>
      <c r="AH670" s="62" t="str">
        <f>IF(AND(A670&lt;&gt;"",F670&lt;&gt;"",AA670&lt;&gt;"Avoir"),F670,"")</f>
        <v/>
      </c>
      <c r="AI670" s="62" t="str">
        <f>IF(AG670="Devis",F670,"")</f>
        <v/>
      </c>
      <c r="AJ670" s="62">
        <f>IF(AG670="Facture",SUMIF(fl_doc,A670,fl_ht),IF(AG670="Devis",SUMIF(dl_doc,F670,dl_ht),0))</f>
        <v>0.0</v>
      </c>
      <c r="AK670" s="62">
        <f>IF(OR(AG670="",INDEX(p_rates,1)=""),0,IF(AG670="Facture",SUMIFS(fl_ht,fl_doc,A670,fl_rate,INDEX(p_rates,1)),SUMIFS(dl_ht,dl_doc,F670,dl_rate,INDEX(p_rates,1))))</f>
        <v>0.0</v>
      </c>
      <c r="AL670" s="62">
        <f>IF(OR(AG670="",INDEX(p_rates,2)=""),0,IF(AG670="Facture",SUMIFS(fl_ht,fl_doc,A670,fl_rate,INDEX(p_rates,2)),SUMIFS(dl_ht,dl_doc,F670,dl_rate,INDEX(p_rates,2))))</f>
        <v>0.0</v>
      </c>
      <c r="AM670" s="62">
        <f>IF(OR(AG670="",INDEX(p_rates,3)=""),0,IF(AG670="Facture",SUMIFS(fl_ht,fl_doc,A670,fl_rate,INDEX(p_rates,3)),SUMIFS(dl_ht,dl_doc,F670,dl_rate,INDEX(p_rates,3))))</f>
        <v>0.0</v>
      </c>
      <c r="AN670" s="62">
        <f>IF(OR(AG670="",INDEX(p_rates,4)=""),0,IF(AG670="Facture",SUMIFS(fl_ht,fl_doc,A670,fl_rate,INDEX(p_rates,4)),SUMIFS(dl_ht,dl_doc,F670,dl_rate,INDEX(p_rates,4))))</f>
        <v>0.0</v>
      </c>
      <c r="AO670" s="62">
        <f>IF(OR(AG670="",INDEX(p_rates,5)=""),0,IF(AG670="Facture",SUMIFS(fl_ht,fl_doc,A670,fl_rate,INDEX(p_rates,5)),SUMIFS(dl_ht,dl_doc,F670,dl_rate,INDEX(p_rates,5))))</f>
        <v>0.0</v>
      </c>
      <c r="AP670" s="62">
        <f>IF(OR(AG670="",INDEX(p_rates,6)=""),0,IF(AG670="Facture",SUMIFS(fl_ht,fl_doc,A670,fl_rate,INDEX(p_rates,6)),SUMIFS(dl_ht,dl_doc,F670,dl_rate,INDEX(p_rates,6))))</f>
        <v>0.0</v>
      </c>
      <c r="AQ670" s="62">
        <f>ROUND(AK670*N(INDEX(p_rates,1)),2)+ROUND(AL670*N(INDEX(p_rates,2)),2)+ROUND(AM670*N(INDEX(p_rates,3)),2)+ROUND(AN670*N(INDEX(p_rates,4)),2)+ROUND(AO670*N(INDEX(p_rates,5)),2)+ROUND(AP670*N(INDEX(p_rates,6)),2)</f>
        <v>0.0</v>
      </c>
      <c r="AR670" s="62" t="str">
        <f>IF(OR(L670="",AA670&lt;&gt;"Facture"),"",IFERROR(IF(INDEX(fa_type,MATCH(L670,fa_num,0))="Facture d'acompte",MATCH(L670,fa_num,0),""),""))</f>
        <v/>
      </c>
      <c r="AS670" s="62" t="str">
        <f>IF(W670="","",IF(W670&lt;=0,"",IF(p_asof-P670&lt;=0,"Non échu",IF(p_asof-P670&lt;=30,"1-30 j",IF(p_asof-P670&lt;=60,"31-60 j",IF(p_asof-P670&lt;=90,"61-90 j","Plus de 90 j"))))))</f>
        <v/>
      </c>
      <c r="AT670" s="62" t="str">
        <f>IF(AS670="","",p_asof-P670)</f>
        <v/>
      </c>
      <c r="AU670" s="62" t="str">
        <f>IF(AT670="","",COUNTIF($AT$6:$AT$805,"&gt;"&amp;AT670)+COUNTIF($AT$6:AT670,AT670))</f>
        <v/>
      </c>
    </row>
    <row r="671">
      <c r="A671" s="59" t="str">
        <f>IF(AE671="","",AB671&amp;"-"&amp;AD671&amp;"-"&amp;RIGHT("000"&amp;AE671,4))</f>
        <v/>
      </c>
      <c r="B671" s="60" t="n"/>
      <c r="C671" s="61" t="n"/>
      <c r="D671" s="60" t="n"/>
      <c r="E671" s="62" t="str">
        <f>IF(D671="","",IFERROR(INDEX(cli_name,MATCH(D671,cli_code,0))&amp;"","Client inconnu"))</f>
        <v/>
      </c>
      <c r="F671" s="60" t="n"/>
      <c r="G671" s="63" t="n"/>
      <c r="H671" s="61" t="n"/>
      <c r="I671" s="63" t="n"/>
      <c r="J671" s="60" t="n"/>
      <c r="K671" s="61" t="n"/>
      <c r="L671" s="60" t="n"/>
      <c r="M671" s="60" t="n"/>
      <c r="N671" s="60" t="n"/>
      <c r="O671" s="61" t="n"/>
      <c r="P671" s="64" t="str">
        <f>IF(A671="","",IF(AA671="Avoir",AC671,IF(ISNUMBER(K671),K671,AC671+IF(D671="",N(p_delay),IFERROR(IF(ISNUMBER(INDEX(cli_delay,MATCH(D671,cli_code,0))),INDEX(cli_delay,MATCH(D671,cli_code,0)),N(p_delay)),N(p_delay))))))</f>
        <v/>
      </c>
      <c r="Q671" s="65" t="str">
        <f>IF(A671="","",IF(AA671="Avoir",-1,1)*ROUND(AJ671-IF(AR671="",0,INDEX(fa_htb,AR671)),2))</f>
        <v/>
      </c>
      <c r="R671" s="65" t="str">
        <f>IF(A671="","",IF(AA671="Avoir",-1,1)*ROUND(AQ671-IF(AR671="",0,INDEX(fa_tvab,AR671)),2))</f>
        <v/>
      </c>
      <c r="S671" s="65" t="str">
        <f>IF(A671="","",Q671+R671)</f>
        <v/>
      </c>
      <c r="T671" s="65" t="str">
        <f>IF(AR671="","",INDEX(fa_htb,AR671)+INDEX(fa_tvab,AR671))</f>
        <v/>
      </c>
      <c r="U671" s="65" t="str">
        <f>IF(A671="","",SUMIF(pa_inv,A671,pa_amt))</f>
        <v/>
      </c>
      <c r="V671" s="65" t="str">
        <f>IF(OR(A671="",AA671="Avoir"),"",-SUMIFS(fa_ttc,fa_avof,A671,fa_type,"Avoir"))</f>
        <v/>
      </c>
      <c r="W671" s="65" t="str">
        <f>IF(OR(A671="",AA671="Avoir"),"",ROUND(S671-U671-V671,2))</f>
        <v/>
      </c>
      <c r="X671" s="66" t="str">
        <f>IF(W671="","",IF(AND(W671&gt;0,p_asof&gt;P671),p_asof-P671,""))</f>
        <v/>
      </c>
      <c r="Y671" s="59" t="str">
        <f>IF(A671="","",IF(AA671="Avoir","Avoir",IF(W671&lt;0,"Trop-perçu",IF(W671=0,"Soldée",IF(p_asof&gt;P671,"En retard",IF(U671+V671&gt;0,"Partielle","À échoir"))))))</f>
        <v/>
      </c>
      <c r="Z671" s="59" t="str">
        <f>IF(NOT(COUNTA(B671:D671,F671:O671)&gt;0),"",IF(C671="","Date manquante",IF(NOT(ISNUMBER(C671)),"Date invalide",IF(D671="","Client manquant",IF(ISNA(MATCH(D671,cli_code,0)),"Client inconnu",IF(AC671&lt;SUMPRODUCT(MAX(($AB$6:AB670=AB671)*$AC$6:AC670)),"Date antérieure à la facture précédente",IF(AND(F671&lt;&gt;"",ISNA(MATCH(F671,dv_num,0))),"Devis inconnu",IF(AND(F671&lt;&gt;"",IFERROR(INDEX(dv_client,MATCH(F671,dv_num,0)),D671)&lt;&gt;D671),"Client différent de celui du devis",IF(AG671="","Aucune ligne : saisissez des lignes ou un devis",IF(AND(AI671&lt;&gt;"",COUNTIF($AI$6:AI671,AI671)&gt;1),"Devis déjà repris par une autre facture",IF(AND(AA671="Avoir",M671=""),"Avoir : indiquez la facture d'origine",IF(AND(AA671="Avoir",ISNA(MATCH(M671,fa_num,0))),"Facture d'origine inconnue",IF(AND(AA671&lt;&gt;"Avoir",M671&lt;&gt;""),"« Avoir sur facture » : réservé aux avoirs",IF(AND(L671&lt;&gt;"",AA671&lt;&gt;"Facture"),"Acompte à déduire : réservé aux factures",IF(AND(L671&lt;&gt;"",ISNA(MATCH(L671,fa_num,0))),"Facture d'acompte inconnue",IF(AND(L671&lt;&gt;"",IFERROR(INDEX(fa_type,MATCH(L671,fa_num,0)),"")&lt;&gt;"Facture d'acompte"),"Le n° à déduire n'est pas une facture d'acompte",IF(AND(L671&lt;&gt;"",COUNTIF($L$6:L671,L671)&gt;1),"Acompte déjà déduit sur une autre facture",IF(AND(L671&lt;&gt;"",IFERROR(INDEX(fa_client,MATCH(L671,fa_num,0)),D671)&lt;&gt;D671),"Acompte d'un autre client",IF(AND(AR671&lt;&gt;"",N(Q671)&lt;0),"Acompte supérieur au total de la facture",IF(IF(AG671="Facture",COUNTIFS(fl_doc,A671,fl_check,"&lt;&gt;OK"),IF(AG671="Devis",COUNTIFS(dl_doc,F671,dl_check,"&lt;&gt;OK"),0))&gt;0,"Ligne(s) à corriger",IF(AND(W671&lt;&gt;"",N(W671)&lt;0),"Trop-perçu : vérifiez paiements et avoirs","OK")))))))))))))))))))))</f>
        <v/>
      </c>
      <c r="AA671" s="62" t="str">
        <f>IF(COUNTA(B671:D671,F671:O671)&gt;0,IF(B671="","Facture",B671),"")</f>
        <v/>
      </c>
      <c r="AB671" s="62" t="str">
        <f>IF(AA671="","",IF(AA671="Avoir",p_pav,IF(AA671="Facture d'acompte",p_pac,p_pfa)))</f>
        <v/>
      </c>
      <c r="AC671" s="62">
        <f>IF(ISNUMBER(C671),C671,0)</f>
        <v>0.0</v>
      </c>
      <c r="AD671" s="62" t="str">
        <f>IF(OR(AA671="",AC671=0),"",YEAR(AC671))</f>
        <v/>
      </c>
      <c r="AE671" s="62" t="str">
        <f>IF(AD671="","",COUNTIFS($AB$6:AB671,AB671,$AD$6:AD671,AD671))</f>
        <v/>
      </c>
      <c r="AF671" s="62">
        <f>IF(A671="",0,COUNTIF(fl_doc,A671))</f>
        <v>0.0</v>
      </c>
      <c r="AG671" s="62" t="str">
        <f>IF(A671="","",IF(AF671&gt;0,"Facture",IF(AND(F671&lt;&gt;"",AA671="Facture",ISNUMBER(MATCH(F671,dv_num,0))),"Devis","")))</f>
        <v/>
      </c>
      <c r="AH671" s="62" t="str">
        <f>IF(AND(A671&lt;&gt;"",F671&lt;&gt;"",AA671&lt;&gt;"Avoir"),F671,"")</f>
        <v/>
      </c>
      <c r="AI671" s="62" t="str">
        <f>IF(AG671="Devis",F671,"")</f>
        <v/>
      </c>
      <c r="AJ671" s="62">
        <f>IF(AG671="Facture",SUMIF(fl_doc,A671,fl_ht),IF(AG671="Devis",SUMIF(dl_doc,F671,dl_ht),0))</f>
        <v>0.0</v>
      </c>
      <c r="AK671" s="62">
        <f>IF(OR(AG671="",INDEX(p_rates,1)=""),0,IF(AG671="Facture",SUMIFS(fl_ht,fl_doc,A671,fl_rate,INDEX(p_rates,1)),SUMIFS(dl_ht,dl_doc,F671,dl_rate,INDEX(p_rates,1))))</f>
        <v>0.0</v>
      </c>
      <c r="AL671" s="62">
        <f>IF(OR(AG671="",INDEX(p_rates,2)=""),0,IF(AG671="Facture",SUMIFS(fl_ht,fl_doc,A671,fl_rate,INDEX(p_rates,2)),SUMIFS(dl_ht,dl_doc,F671,dl_rate,INDEX(p_rates,2))))</f>
        <v>0.0</v>
      </c>
      <c r="AM671" s="62">
        <f>IF(OR(AG671="",INDEX(p_rates,3)=""),0,IF(AG671="Facture",SUMIFS(fl_ht,fl_doc,A671,fl_rate,INDEX(p_rates,3)),SUMIFS(dl_ht,dl_doc,F671,dl_rate,INDEX(p_rates,3))))</f>
        <v>0.0</v>
      </c>
      <c r="AN671" s="62">
        <f>IF(OR(AG671="",INDEX(p_rates,4)=""),0,IF(AG671="Facture",SUMIFS(fl_ht,fl_doc,A671,fl_rate,INDEX(p_rates,4)),SUMIFS(dl_ht,dl_doc,F671,dl_rate,INDEX(p_rates,4))))</f>
        <v>0.0</v>
      </c>
      <c r="AO671" s="62">
        <f>IF(OR(AG671="",INDEX(p_rates,5)=""),0,IF(AG671="Facture",SUMIFS(fl_ht,fl_doc,A671,fl_rate,INDEX(p_rates,5)),SUMIFS(dl_ht,dl_doc,F671,dl_rate,INDEX(p_rates,5))))</f>
        <v>0.0</v>
      </c>
      <c r="AP671" s="62">
        <f>IF(OR(AG671="",INDEX(p_rates,6)=""),0,IF(AG671="Facture",SUMIFS(fl_ht,fl_doc,A671,fl_rate,INDEX(p_rates,6)),SUMIFS(dl_ht,dl_doc,F671,dl_rate,INDEX(p_rates,6))))</f>
        <v>0.0</v>
      </c>
      <c r="AQ671" s="62">
        <f>ROUND(AK671*N(INDEX(p_rates,1)),2)+ROUND(AL671*N(INDEX(p_rates,2)),2)+ROUND(AM671*N(INDEX(p_rates,3)),2)+ROUND(AN671*N(INDEX(p_rates,4)),2)+ROUND(AO671*N(INDEX(p_rates,5)),2)+ROUND(AP671*N(INDEX(p_rates,6)),2)</f>
        <v>0.0</v>
      </c>
      <c r="AR671" s="62" t="str">
        <f>IF(OR(L671="",AA671&lt;&gt;"Facture"),"",IFERROR(IF(INDEX(fa_type,MATCH(L671,fa_num,0))="Facture d'acompte",MATCH(L671,fa_num,0),""),""))</f>
        <v/>
      </c>
      <c r="AS671" s="62" t="str">
        <f>IF(W671="","",IF(W671&lt;=0,"",IF(p_asof-P671&lt;=0,"Non échu",IF(p_asof-P671&lt;=30,"1-30 j",IF(p_asof-P671&lt;=60,"31-60 j",IF(p_asof-P671&lt;=90,"61-90 j","Plus de 90 j"))))))</f>
        <v/>
      </c>
      <c r="AT671" s="62" t="str">
        <f>IF(AS671="","",p_asof-P671)</f>
        <v/>
      </c>
      <c r="AU671" s="62" t="str">
        <f>IF(AT671="","",COUNTIF($AT$6:$AT$805,"&gt;"&amp;AT671)+COUNTIF($AT$6:AT671,AT671))</f>
        <v/>
      </c>
    </row>
    <row r="672">
      <c r="A672" s="59" t="str">
        <f>IF(AE672="","",AB672&amp;"-"&amp;AD672&amp;"-"&amp;RIGHT("000"&amp;AE672,4))</f>
        <v/>
      </c>
      <c r="B672" s="60" t="n"/>
      <c r="C672" s="61" t="n"/>
      <c r="D672" s="60" t="n"/>
      <c r="E672" s="62" t="str">
        <f>IF(D672="","",IFERROR(INDEX(cli_name,MATCH(D672,cli_code,0))&amp;"","Client inconnu"))</f>
        <v/>
      </c>
      <c r="F672" s="60" t="n"/>
      <c r="G672" s="63" t="n"/>
      <c r="H672" s="61" t="n"/>
      <c r="I672" s="63" t="n"/>
      <c r="J672" s="60" t="n"/>
      <c r="K672" s="61" t="n"/>
      <c r="L672" s="60" t="n"/>
      <c r="M672" s="60" t="n"/>
      <c r="N672" s="60" t="n"/>
      <c r="O672" s="61" t="n"/>
      <c r="P672" s="64" t="str">
        <f>IF(A672="","",IF(AA672="Avoir",AC672,IF(ISNUMBER(K672),K672,AC672+IF(D672="",N(p_delay),IFERROR(IF(ISNUMBER(INDEX(cli_delay,MATCH(D672,cli_code,0))),INDEX(cli_delay,MATCH(D672,cli_code,0)),N(p_delay)),N(p_delay))))))</f>
        <v/>
      </c>
      <c r="Q672" s="65" t="str">
        <f>IF(A672="","",IF(AA672="Avoir",-1,1)*ROUND(AJ672-IF(AR672="",0,INDEX(fa_htb,AR672)),2))</f>
        <v/>
      </c>
      <c r="R672" s="65" t="str">
        <f>IF(A672="","",IF(AA672="Avoir",-1,1)*ROUND(AQ672-IF(AR672="",0,INDEX(fa_tvab,AR672)),2))</f>
        <v/>
      </c>
      <c r="S672" s="65" t="str">
        <f>IF(A672="","",Q672+R672)</f>
        <v/>
      </c>
      <c r="T672" s="65" t="str">
        <f>IF(AR672="","",INDEX(fa_htb,AR672)+INDEX(fa_tvab,AR672))</f>
        <v/>
      </c>
      <c r="U672" s="65" t="str">
        <f>IF(A672="","",SUMIF(pa_inv,A672,pa_amt))</f>
        <v/>
      </c>
      <c r="V672" s="65" t="str">
        <f>IF(OR(A672="",AA672="Avoir"),"",-SUMIFS(fa_ttc,fa_avof,A672,fa_type,"Avoir"))</f>
        <v/>
      </c>
      <c r="W672" s="65" t="str">
        <f>IF(OR(A672="",AA672="Avoir"),"",ROUND(S672-U672-V672,2))</f>
        <v/>
      </c>
      <c r="X672" s="66" t="str">
        <f>IF(W672="","",IF(AND(W672&gt;0,p_asof&gt;P672),p_asof-P672,""))</f>
        <v/>
      </c>
      <c r="Y672" s="59" t="str">
        <f>IF(A672="","",IF(AA672="Avoir","Avoir",IF(W672&lt;0,"Trop-perçu",IF(W672=0,"Soldée",IF(p_asof&gt;P672,"En retard",IF(U672+V672&gt;0,"Partielle","À échoir"))))))</f>
        <v/>
      </c>
      <c r="Z672" s="59" t="str">
        <f>IF(NOT(COUNTA(B672:D672,F672:O672)&gt;0),"",IF(C672="","Date manquante",IF(NOT(ISNUMBER(C672)),"Date invalide",IF(D672="","Client manquant",IF(ISNA(MATCH(D672,cli_code,0)),"Client inconnu",IF(AC672&lt;SUMPRODUCT(MAX(($AB$6:AB671=AB672)*$AC$6:AC671)),"Date antérieure à la facture précédente",IF(AND(F672&lt;&gt;"",ISNA(MATCH(F672,dv_num,0))),"Devis inconnu",IF(AND(F672&lt;&gt;"",IFERROR(INDEX(dv_client,MATCH(F672,dv_num,0)),D672)&lt;&gt;D672),"Client différent de celui du devis",IF(AG672="","Aucune ligne : saisissez des lignes ou un devis",IF(AND(AI672&lt;&gt;"",COUNTIF($AI$6:AI672,AI672)&gt;1),"Devis déjà repris par une autre facture",IF(AND(AA672="Avoir",M672=""),"Avoir : indiquez la facture d'origine",IF(AND(AA672="Avoir",ISNA(MATCH(M672,fa_num,0))),"Facture d'origine inconnue",IF(AND(AA672&lt;&gt;"Avoir",M672&lt;&gt;""),"« Avoir sur facture » : réservé aux avoirs",IF(AND(L672&lt;&gt;"",AA672&lt;&gt;"Facture"),"Acompte à déduire : réservé aux factures",IF(AND(L672&lt;&gt;"",ISNA(MATCH(L672,fa_num,0))),"Facture d'acompte inconnue",IF(AND(L672&lt;&gt;"",IFERROR(INDEX(fa_type,MATCH(L672,fa_num,0)),"")&lt;&gt;"Facture d'acompte"),"Le n° à déduire n'est pas une facture d'acompte",IF(AND(L672&lt;&gt;"",COUNTIF($L$6:L672,L672)&gt;1),"Acompte déjà déduit sur une autre facture",IF(AND(L672&lt;&gt;"",IFERROR(INDEX(fa_client,MATCH(L672,fa_num,0)),D672)&lt;&gt;D672),"Acompte d'un autre client",IF(AND(AR672&lt;&gt;"",N(Q672)&lt;0),"Acompte supérieur au total de la facture",IF(IF(AG672="Facture",COUNTIFS(fl_doc,A672,fl_check,"&lt;&gt;OK"),IF(AG672="Devis",COUNTIFS(dl_doc,F672,dl_check,"&lt;&gt;OK"),0))&gt;0,"Ligne(s) à corriger",IF(AND(W672&lt;&gt;"",N(W672)&lt;0),"Trop-perçu : vérifiez paiements et avoirs","OK")))))))))))))))))))))</f>
        <v/>
      </c>
      <c r="AA672" s="62" t="str">
        <f>IF(COUNTA(B672:D672,F672:O672)&gt;0,IF(B672="","Facture",B672),"")</f>
        <v/>
      </c>
      <c r="AB672" s="62" t="str">
        <f>IF(AA672="","",IF(AA672="Avoir",p_pav,IF(AA672="Facture d'acompte",p_pac,p_pfa)))</f>
        <v/>
      </c>
      <c r="AC672" s="62">
        <f>IF(ISNUMBER(C672),C672,0)</f>
        <v>0.0</v>
      </c>
      <c r="AD672" s="62" t="str">
        <f>IF(OR(AA672="",AC672=0),"",YEAR(AC672))</f>
        <v/>
      </c>
      <c r="AE672" s="62" t="str">
        <f>IF(AD672="","",COUNTIFS($AB$6:AB672,AB672,$AD$6:AD672,AD672))</f>
        <v/>
      </c>
      <c r="AF672" s="62">
        <f>IF(A672="",0,COUNTIF(fl_doc,A672))</f>
        <v>0.0</v>
      </c>
      <c r="AG672" s="62" t="str">
        <f>IF(A672="","",IF(AF672&gt;0,"Facture",IF(AND(F672&lt;&gt;"",AA672="Facture",ISNUMBER(MATCH(F672,dv_num,0))),"Devis","")))</f>
        <v/>
      </c>
      <c r="AH672" s="62" t="str">
        <f>IF(AND(A672&lt;&gt;"",F672&lt;&gt;"",AA672&lt;&gt;"Avoir"),F672,"")</f>
        <v/>
      </c>
      <c r="AI672" s="62" t="str">
        <f>IF(AG672="Devis",F672,"")</f>
        <v/>
      </c>
      <c r="AJ672" s="62">
        <f>IF(AG672="Facture",SUMIF(fl_doc,A672,fl_ht),IF(AG672="Devis",SUMIF(dl_doc,F672,dl_ht),0))</f>
        <v>0.0</v>
      </c>
      <c r="AK672" s="62">
        <f>IF(OR(AG672="",INDEX(p_rates,1)=""),0,IF(AG672="Facture",SUMIFS(fl_ht,fl_doc,A672,fl_rate,INDEX(p_rates,1)),SUMIFS(dl_ht,dl_doc,F672,dl_rate,INDEX(p_rates,1))))</f>
        <v>0.0</v>
      </c>
      <c r="AL672" s="62">
        <f>IF(OR(AG672="",INDEX(p_rates,2)=""),0,IF(AG672="Facture",SUMIFS(fl_ht,fl_doc,A672,fl_rate,INDEX(p_rates,2)),SUMIFS(dl_ht,dl_doc,F672,dl_rate,INDEX(p_rates,2))))</f>
        <v>0.0</v>
      </c>
      <c r="AM672" s="62">
        <f>IF(OR(AG672="",INDEX(p_rates,3)=""),0,IF(AG672="Facture",SUMIFS(fl_ht,fl_doc,A672,fl_rate,INDEX(p_rates,3)),SUMIFS(dl_ht,dl_doc,F672,dl_rate,INDEX(p_rates,3))))</f>
        <v>0.0</v>
      </c>
      <c r="AN672" s="62">
        <f>IF(OR(AG672="",INDEX(p_rates,4)=""),0,IF(AG672="Facture",SUMIFS(fl_ht,fl_doc,A672,fl_rate,INDEX(p_rates,4)),SUMIFS(dl_ht,dl_doc,F672,dl_rate,INDEX(p_rates,4))))</f>
        <v>0.0</v>
      </c>
      <c r="AO672" s="62">
        <f>IF(OR(AG672="",INDEX(p_rates,5)=""),0,IF(AG672="Facture",SUMIFS(fl_ht,fl_doc,A672,fl_rate,INDEX(p_rates,5)),SUMIFS(dl_ht,dl_doc,F672,dl_rate,INDEX(p_rates,5))))</f>
        <v>0.0</v>
      </c>
      <c r="AP672" s="62">
        <f>IF(OR(AG672="",INDEX(p_rates,6)=""),0,IF(AG672="Facture",SUMIFS(fl_ht,fl_doc,A672,fl_rate,INDEX(p_rates,6)),SUMIFS(dl_ht,dl_doc,F672,dl_rate,INDEX(p_rates,6))))</f>
        <v>0.0</v>
      </c>
      <c r="AQ672" s="62">
        <f>ROUND(AK672*N(INDEX(p_rates,1)),2)+ROUND(AL672*N(INDEX(p_rates,2)),2)+ROUND(AM672*N(INDEX(p_rates,3)),2)+ROUND(AN672*N(INDEX(p_rates,4)),2)+ROUND(AO672*N(INDEX(p_rates,5)),2)+ROUND(AP672*N(INDEX(p_rates,6)),2)</f>
        <v>0.0</v>
      </c>
      <c r="AR672" s="62" t="str">
        <f>IF(OR(L672="",AA672&lt;&gt;"Facture"),"",IFERROR(IF(INDEX(fa_type,MATCH(L672,fa_num,0))="Facture d'acompte",MATCH(L672,fa_num,0),""),""))</f>
        <v/>
      </c>
      <c r="AS672" s="62" t="str">
        <f>IF(W672="","",IF(W672&lt;=0,"",IF(p_asof-P672&lt;=0,"Non échu",IF(p_asof-P672&lt;=30,"1-30 j",IF(p_asof-P672&lt;=60,"31-60 j",IF(p_asof-P672&lt;=90,"61-90 j","Plus de 90 j"))))))</f>
        <v/>
      </c>
      <c r="AT672" s="62" t="str">
        <f>IF(AS672="","",p_asof-P672)</f>
        <v/>
      </c>
      <c r="AU672" s="62" t="str">
        <f>IF(AT672="","",COUNTIF($AT$6:$AT$805,"&gt;"&amp;AT672)+COUNTIF($AT$6:AT672,AT672))</f>
        <v/>
      </c>
    </row>
    <row r="673">
      <c r="A673" s="59" t="str">
        <f>IF(AE673="","",AB673&amp;"-"&amp;AD673&amp;"-"&amp;RIGHT("000"&amp;AE673,4))</f>
        <v/>
      </c>
      <c r="B673" s="60" t="n"/>
      <c r="C673" s="61" t="n"/>
      <c r="D673" s="60" t="n"/>
      <c r="E673" s="62" t="str">
        <f>IF(D673="","",IFERROR(INDEX(cli_name,MATCH(D673,cli_code,0))&amp;"","Client inconnu"))</f>
        <v/>
      </c>
      <c r="F673" s="60" t="n"/>
      <c r="G673" s="63" t="n"/>
      <c r="H673" s="61" t="n"/>
      <c r="I673" s="63" t="n"/>
      <c r="J673" s="60" t="n"/>
      <c r="K673" s="61" t="n"/>
      <c r="L673" s="60" t="n"/>
      <c r="M673" s="60" t="n"/>
      <c r="N673" s="60" t="n"/>
      <c r="O673" s="61" t="n"/>
      <c r="P673" s="64" t="str">
        <f>IF(A673="","",IF(AA673="Avoir",AC673,IF(ISNUMBER(K673),K673,AC673+IF(D673="",N(p_delay),IFERROR(IF(ISNUMBER(INDEX(cli_delay,MATCH(D673,cli_code,0))),INDEX(cli_delay,MATCH(D673,cli_code,0)),N(p_delay)),N(p_delay))))))</f>
        <v/>
      </c>
      <c r="Q673" s="65" t="str">
        <f>IF(A673="","",IF(AA673="Avoir",-1,1)*ROUND(AJ673-IF(AR673="",0,INDEX(fa_htb,AR673)),2))</f>
        <v/>
      </c>
      <c r="R673" s="65" t="str">
        <f>IF(A673="","",IF(AA673="Avoir",-1,1)*ROUND(AQ673-IF(AR673="",0,INDEX(fa_tvab,AR673)),2))</f>
        <v/>
      </c>
      <c r="S673" s="65" t="str">
        <f>IF(A673="","",Q673+R673)</f>
        <v/>
      </c>
      <c r="T673" s="65" t="str">
        <f>IF(AR673="","",INDEX(fa_htb,AR673)+INDEX(fa_tvab,AR673))</f>
        <v/>
      </c>
      <c r="U673" s="65" t="str">
        <f>IF(A673="","",SUMIF(pa_inv,A673,pa_amt))</f>
        <v/>
      </c>
      <c r="V673" s="65" t="str">
        <f>IF(OR(A673="",AA673="Avoir"),"",-SUMIFS(fa_ttc,fa_avof,A673,fa_type,"Avoir"))</f>
        <v/>
      </c>
      <c r="W673" s="65" t="str">
        <f>IF(OR(A673="",AA673="Avoir"),"",ROUND(S673-U673-V673,2))</f>
        <v/>
      </c>
      <c r="X673" s="66" t="str">
        <f>IF(W673="","",IF(AND(W673&gt;0,p_asof&gt;P673),p_asof-P673,""))</f>
        <v/>
      </c>
      <c r="Y673" s="59" t="str">
        <f>IF(A673="","",IF(AA673="Avoir","Avoir",IF(W673&lt;0,"Trop-perçu",IF(W673=0,"Soldée",IF(p_asof&gt;P673,"En retard",IF(U673+V673&gt;0,"Partielle","À échoir"))))))</f>
        <v/>
      </c>
      <c r="Z673" s="59" t="str">
        <f>IF(NOT(COUNTA(B673:D673,F673:O673)&gt;0),"",IF(C673="","Date manquante",IF(NOT(ISNUMBER(C673)),"Date invalide",IF(D673="","Client manquant",IF(ISNA(MATCH(D673,cli_code,0)),"Client inconnu",IF(AC673&lt;SUMPRODUCT(MAX(($AB$6:AB672=AB673)*$AC$6:AC672)),"Date antérieure à la facture précédente",IF(AND(F673&lt;&gt;"",ISNA(MATCH(F673,dv_num,0))),"Devis inconnu",IF(AND(F673&lt;&gt;"",IFERROR(INDEX(dv_client,MATCH(F673,dv_num,0)),D673)&lt;&gt;D673),"Client différent de celui du devis",IF(AG673="","Aucune ligne : saisissez des lignes ou un devis",IF(AND(AI673&lt;&gt;"",COUNTIF($AI$6:AI673,AI673)&gt;1),"Devis déjà repris par une autre facture",IF(AND(AA673="Avoir",M673=""),"Avoir : indiquez la facture d'origine",IF(AND(AA673="Avoir",ISNA(MATCH(M673,fa_num,0))),"Facture d'origine inconnue",IF(AND(AA673&lt;&gt;"Avoir",M673&lt;&gt;""),"« Avoir sur facture » : réservé aux avoirs",IF(AND(L673&lt;&gt;"",AA673&lt;&gt;"Facture"),"Acompte à déduire : réservé aux factures",IF(AND(L673&lt;&gt;"",ISNA(MATCH(L673,fa_num,0))),"Facture d'acompte inconnue",IF(AND(L673&lt;&gt;"",IFERROR(INDEX(fa_type,MATCH(L673,fa_num,0)),"")&lt;&gt;"Facture d'acompte"),"Le n° à déduire n'est pas une facture d'acompte",IF(AND(L673&lt;&gt;"",COUNTIF($L$6:L673,L673)&gt;1),"Acompte déjà déduit sur une autre facture",IF(AND(L673&lt;&gt;"",IFERROR(INDEX(fa_client,MATCH(L673,fa_num,0)),D673)&lt;&gt;D673),"Acompte d'un autre client",IF(AND(AR673&lt;&gt;"",N(Q673)&lt;0),"Acompte supérieur au total de la facture",IF(IF(AG673="Facture",COUNTIFS(fl_doc,A673,fl_check,"&lt;&gt;OK"),IF(AG673="Devis",COUNTIFS(dl_doc,F673,dl_check,"&lt;&gt;OK"),0))&gt;0,"Ligne(s) à corriger",IF(AND(W673&lt;&gt;"",N(W673)&lt;0),"Trop-perçu : vérifiez paiements et avoirs","OK")))))))))))))))))))))</f>
        <v/>
      </c>
      <c r="AA673" s="62" t="str">
        <f>IF(COUNTA(B673:D673,F673:O673)&gt;0,IF(B673="","Facture",B673),"")</f>
        <v/>
      </c>
      <c r="AB673" s="62" t="str">
        <f>IF(AA673="","",IF(AA673="Avoir",p_pav,IF(AA673="Facture d'acompte",p_pac,p_pfa)))</f>
        <v/>
      </c>
      <c r="AC673" s="62">
        <f>IF(ISNUMBER(C673),C673,0)</f>
        <v>0.0</v>
      </c>
      <c r="AD673" s="62" t="str">
        <f>IF(OR(AA673="",AC673=0),"",YEAR(AC673))</f>
        <v/>
      </c>
      <c r="AE673" s="62" t="str">
        <f>IF(AD673="","",COUNTIFS($AB$6:AB673,AB673,$AD$6:AD673,AD673))</f>
        <v/>
      </c>
      <c r="AF673" s="62">
        <f>IF(A673="",0,COUNTIF(fl_doc,A673))</f>
        <v>0.0</v>
      </c>
      <c r="AG673" s="62" t="str">
        <f>IF(A673="","",IF(AF673&gt;0,"Facture",IF(AND(F673&lt;&gt;"",AA673="Facture",ISNUMBER(MATCH(F673,dv_num,0))),"Devis","")))</f>
        <v/>
      </c>
      <c r="AH673" s="62" t="str">
        <f>IF(AND(A673&lt;&gt;"",F673&lt;&gt;"",AA673&lt;&gt;"Avoir"),F673,"")</f>
        <v/>
      </c>
      <c r="AI673" s="62" t="str">
        <f>IF(AG673="Devis",F673,"")</f>
        <v/>
      </c>
      <c r="AJ673" s="62">
        <f>IF(AG673="Facture",SUMIF(fl_doc,A673,fl_ht),IF(AG673="Devis",SUMIF(dl_doc,F673,dl_ht),0))</f>
        <v>0.0</v>
      </c>
      <c r="AK673" s="62">
        <f>IF(OR(AG673="",INDEX(p_rates,1)=""),0,IF(AG673="Facture",SUMIFS(fl_ht,fl_doc,A673,fl_rate,INDEX(p_rates,1)),SUMIFS(dl_ht,dl_doc,F673,dl_rate,INDEX(p_rates,1))))</f>
        <v>0.0</v>
      </c>
      <c r="AL673" s="62">
        <f>IF(OR(AG673="",INDEX(p_rates,2)=""),0,IF(AG673="Facture",SUMIFS(fl_ht,fl_doc,A673,fl_rate,INDEX(p_rates,2)),SUMIFS(dl_ht,dl_doc,F673,dl_rate,INDEX(p_rates,2))))</f>
        <v>0.0</v>
      </c>
      <c r="AM673" s="62">
        <f>IF(OR(AG673="",INDEX(p_rates,3)=""),0,IF(AG673="Facture",SUMIFS(fl_ht,fl_doc,A673,fl_rate,INDEX(p_rates,3)),SUMIFS(dl_ht,dl_doc,F673,dl_rate,INDEX(p_rates,3))))</f>
        <v>0.0</v>
      </c>
      <c r="AN673" s="62">
        <f>IF(OR(AG673="",INDEX(p_rates,4)=""),0,IF(AG673="Facture",SUMIFS(fl_ht,fl_doc,A673,fl_rate,INDEX(p_rates,4)),SUMIFS(dl_ht,dl_doc,F673,dl_rate,INDEX(p_rates,4))))</f>
        <v>0.0</v>
      </c>
      <c r="AO673" s="62">
        <f>IF(OR(AG673="",INDEX(p_rates,5)=""),0,IF(AG673="Facture",SUMIFS(fl_ht,fl_doc,A673,fl_rate,INDEX(p_rates,5)),SUMIFS(dl_ht,dl_doc,F673,dl_rate,INDEX(p_rates,5))))</f>
        <v>0.0</v>
      </c>
      <c r="AP673" s="62">
        <f>IF(OR(AG673="",INDEX(p_rates,6)=""),0,IF(AG673="Facture",SUMIFS(fl_ht,fl_doc,A673,fl_rate,INDEX(p_rates,6)),SUMIFS(dl_ht,dl_doc,F673,dl_rate,INDEX(p_rates,6))))</f>
        <v>0.0</v>
      </c>
      <c r="AQ673" s="62">
        <f>ROUND(AK673*N(INDEX(p_rates,1)),2)+ROUND(AL673*N(INDEX(p_rates,2)),2)+ROUND(AM673*N(INDEX(p_rates,3)),2)+ROUND(AN673*N(INDEX(p_rates,4)),2)+ROUND(AO673*N(INDEX(p_rates,5)),2)+ROUND(AP673*N(INDEX(p_rates,6)),2)</f>
        <v>0.0</v>
      </c>
      <c r="AR673" s="62" t="str">
        <f>IF(OR(L673="",AA673&lt;&gt;"Facture"),"",IFERROR(IF(INDEX(fa_type,MATCH(L673,fa_num,0))="Facture d'acompte",MATCH(L673,fa_num,0),""),""))</f>
        <v/>
      </c>
      <c r="AS673" s="62" t="str">
        <f>IF(W673="","",IF(W673&lt;=0,"",IF(p_asof-P673&lt;=0,"Non échu",IF(p_asof-P673&lt;=30,"1-30 j",IF(p_asof-P673&lt;=60,"31-60 j",IF(p_asof-P673&lt;=90,"61-90 j","Plus de 90 j"))))))</f>
        <v/>
      </c>
      <c r="AT673" s="62" t="str">
        <f>IF(AS673="","",p_asof-P673)</f>
        <v/>
      </c>
      <c r="AU673" s="62" t="str">
        <f>IF(AT673="","",COUNTIF($AT$6:$AT$805,"&gt;"&amp;AT673)+COUNTIF($AT$6:AT673,AT673))</f>
        <v/>
      </c>
    </row>
    <row r="674">
      <c r="A674" s="59" t="str">
        <f>IF(AE674="","",AB674&amp;"-"&amp;AD674&amp;"-"&amp;RIGHT("000"&amp;AE674,4))</f>
        <v/>
      </c>
      <c r="B674" s="60" t="n"/>
      <c r="C674" s="61" t="n"/>
      <c r="D674" s="60" t="n"/>
      <c r="E674" s="62" t="str">
        <f>IF(D674="","",IFERROR(INDEX(cli_name,MATCH(D674,cli_code,0))&amp;"","Client inconnu"))</f>
        <v/>
      </c>
      <c r="F674" s="60" t="n"/>
      <c r="G674" s="63" t="n"/>
      <c r="H674" s="61" t="n"/>
      <c r="I674" s="63" t="n"/>
      <c r="J674" s="60" t="n"/>
      <c r="K674" s="61" t="n"/>
      <c r="L674" s="60" t="n"/>
      <c r="M674" s="60" t="n"/>
      <c r="N674" s="60" t="n"/>
      <c r="O674" s="61" t="n"/>
      <c r="P674" s="64" t="str">
        <f>IF(A674="","",IF(AA674="Avoir",AC674,IF(ISNUMBER(K674),K674,AC674+IF(D674="",N(p_delay),IFERROR(IF(ISNUMBER(INDEX(cli_delay,MATCH(D674,cli_code,0))),INDEX(cli_delay,MATCH(D674,cli_code,0)),N(p_delay)),N(p_delay))))))</f>
        <v/>
      </c>
      <c r="Q674" s="65" t="str">
        <f>IF(A674="","",IF(AA674="Avoir",-1,1)*ROUND(AJ674-IF(AR674="",0,INDEX(fa_htb,AR674)),2))</f>
        <v/>
      </c>
      <c r="R674" s="65" t="str">
        <f>IF(A674="","",IF(AA674="Avoir",-1,1)*ROUND(AQ674-IF(AR674="",0,INDEX(fa_tvab,AR674)),2))</f>
        <v/>
      </c>
      <c r="S674" s="65" t="str">
        <f>IF(A674="","",Q674+R674)</f>
        <v/>
      </c>
      <c r="T674" s="65" t="str">
        <f>IF(AR674="","",INDEX(fa_htb,AR674)+INDEX(fa_tvab,AR674))</f>
        <v/>
      </c>
      <c r="U674" s="65" t="str">
        <f>IF(A674="","",SUMIF(pa_inv,A674,pa_amt))</f>
        <v/>
      </c>
      <c r="V674" s="65" t="str">
        <f>IF(OR(A674="",AA674="Avoir"),"",-SUMIFS(fa_ttc,fa_avof,A674,fa_type,"Avoir"))</f>
        <v/>
      </c>
      <c r="W674" s="65" t="str">
        <f>IF(OR(A674="",AA674="Avoir"),"",ROUND(S674-U674-V674,2))</f>
        <v/>
      </c>
      <c r="X674" s="66" t="str">
        <f>IF(W674="","",IF(AND(W674&gt;0,p_asof&gt;P674),p_asof-P674,""))</f>
        <v/>
      </c>
      <c r="Y674" s="59" t="str">
        <f>IF(A674="","",IF(AA674="Avoir","Avoir",IF(W674&lt;0,"Trop-perçu",IF(W674=0,"Soldée",IF(p_asof&gt;P674,"En retard",IF(U674+V674&gt;0,"Partielle","À échoir"))))))</f>
        <v/>
      </c>
      <c r="Z674" s="59" t="str">
        <f>IF(NOT(COUNTA(B674:D674,F674:O674)&gt;0),"",IF(C674="","Date manquante",IF(NOT(ISNUMBER(C674)),"Date invalide",IF(D674="","Client manquant",IF(ISNA(MATCH(D674,cli_code,0)),"Client inconnu",IF(AC674&lt;SUMPRODUCT(MAX(($AB$6:AB673=AB674)*$AC$6:AC673)),"Date antérieure à la facture précédente",IF(AND(F674&lt;&gt;"",ISNA(MATCH(F674,dv_num,0))),"Devis inconnu",IF(AND(F674&lt;&gt;"",IFERROR(INDEX(dv_client,MATCH(F674,dv_num,0)),D674)&lt;&gt;D674),"Client différent de celui du devis",IF(AG674="","Aucune ligne : saisissez des lignes ou un devis",IF(AND(AI674&lt;&gt;"",COUNTIF($AI$6:AI674,AI674)&gt;1),"Devis déjà repris par une autre facture",IF(AND(AA674="Avoir",M674=""),"Avoir : indiquez la facture d'origine",IF(AND(AA674="Avoir",ISNA(MATCH(M674,fa_num,0))),"Facture d'origine inconnue",IF(AND(AA674&lt;&gt;"Avoir",M674&lt;&gt;""),"« Avoir sur facture » : réservé aux avoirs",IF(AND(L674&lt;&gt;"",AA674&lt;&gt;"Facture"),"Acompte à déduire : réservé aux factures",IF(AND(L674&lt;&gt;"",ISNA(MATCH(L674,fa_num,0))),"Facture d'acompte inconnue",IF(AND(L674&lt;&gt;"",IFERROR(INDEX(fa_type,MATCH(L674,fa_num,0)),"")&lt;&gt;"Facture d'acompte"),"Le n° à déduire n'est pas une facture d'acompte",IF(AND(L674&lt;&gt;"",COUNTIF($L$6:L674,L674)&gt;1),"Acompte déjà déduit sur une autre facture",IF(AND(L674&lt;&gt;"",IFERROR(INDEX(fa_client,MATCH(L674,fa_num,0)),D674)&lt;&gt;D674),"Acompte d'un autre client",IF(AND(AR674&lt;&gt;"",N(Q674)&lt;0),"Acompte supérieur au total de la facture",IF(IF(AG674="Facture",COUNTIFS(fl_doc,A674,fl_check,"&lt;&gt;OK"),IF(AG674="Devis",COUNTIFS(dl_doc,F674,dl_check,"&lt;&gt;OK"),0))&gt;0,"Ligne(s) à corriger",IF(AND(W674&lt;&gt;"",N(W674)&lt;0),"Trop-perçu : vérifiez paiements et avoirs","OK")))))))))))))))))))))</f>
        <v/>
      </c>
      <c r="AA674" s="62" t="str">
        <f>IF(COUNTA(B674:D674,F674:O674)&gt;0,IF(B674="","Facture",B674),"")</f>
        <v/>
      </c>
      <c r="AB674" s="62" t="str">
        <f>IF(AA674="","",IF(AA674="Avoir",p_pav,IF(AA674="Facture d'acompte",p_pac,p_pfa)))</f>
        <v/>
      </c>
      <c r="AC674" s="62">
        <f>IF(ISNUMBER(C674),C674,0)</f>
        <v>0.0</v>
      </c>
      <c r="AD674" s="62" t="str">
        <f>IF(OR(AA674="",AC674=0),"",YEAR(AC674))</f>
        <v/>
      </c>
      <c r="AE674" s="62" t="str">
        <f>IF(AD674="","",COUNTIFS($AB$6:AB674,AB674,$AD$6:AD674,AD674))</f>
        <v/>
      </c>
      <c r="AF674" s="62">
        <f>IF(A674="",0,COUNTIF(fl_doc,A674))</f>
        <v>0.0</v>
      </c>
      <c r="AG674" s="62" t="str">
        <f>IF(A674="","",IF(AF674&gt;0,"Facture",IF(AND(F674&lt;&gt;"",AA674="Facture",ISNUMBER(MATCH(F674,dv_num,0))),"Devis","")))</f>
        <v/>
      </c>
      <c r="AH674" s="62" t="str">
        <f>IF(AND(A674&lt;&gt;"",F674&lt;&gt;"",AA674&lt;&gt;"Avoir"),F674,"")</f>
        <v/>
      </c>
      <c r="AI674" s="62" t="str">
        <f>IF(AG674="Devis",F674,"")</f>
        <v/>
      </c>
      <c r="AJ674" s="62">
        <f>IF(AG674="Facture",SUMIF(fl_doc,A674,fl_ht),IF(AG674="Devis",SUMIF(dl_doc,F674,dl_ht),0))</f>
        <v>0.0</v>
      </c>
      <c r="AK674" s="62">
        <f>IF(OR(AG674="",INDEX(p_rates,1)=""),0,IF(AG674="Facture",SUMIFS(fl_ht,fl_doc,A674,fl_rate,INDEX(p_rates,1)),SUMIFS(dl_ht,dl_doc,F674,dl_rate,INDEX(p_rates,1))))</f>
        <v>0.0</v>
      </c>
      <c r="AL674" s="62">
        <f>IF(OR(AG674="",INDEX(p_rates,2)=""),0,IF(AG674="Facture",SUMIFS(fl_ht,fl_doc,A674,fl_rate,INDEX(p_rates,2)),SUMIFS(dl_ht,dl_doc,F674,dl_rate,INDEX(p_rates,2))))</f>
        <v>0.0</v>
      </c>
      <c r="AM674" s="62">
        <f>IF(OR(AG674="",INDEX(p_rates,3)=""),0,IF(AG674="Facture",SUMIFS(fl_ht,fl_doc,A674,fl_rate,INDEX(p_rates,3)),SUMIFS(dl_ht,dl_doc,F674,dl_rate,INDEX(p_rates,3))))</f>
        <v>0.0</v>
      </c>
      <c r="AN674" s="62">
        <f>IF(OR(AG674="",INDEX(p_rates,4)=""),0,IF(AG674="Facture",SUMIFS(fl_ht,fl_doc,A674,fl_rate,INDEX(p_rates,4)),SUMIFS(dl_ht,dl_doc,F674,dl_rate,INDEX(p_rates,4))))</f>
        <v>0.0</v>
      </c>
      <c r="AO674" s="62">
        <f>IF(OR(AG674="",INDEX(p_rates,5)=""),0,IF(AG674="Facture",SUMIFS(fl_ht,fl_doc,A674,fl_rate,INDEX(p_rates,5)),SUMIFS(dl_ht,dl_doc,F674,dl_rate,INDEX(p_rates,5))))</f>
        <v>0.0</v>
      </c>
      <c r="AP674" s="62">
        <f>IF(OR(AG674="",INDEX(p_rates,6)=""),0,IF(AG674="Facture",SUMIFS(fl_ht,fl_doc,A674,fl_rate,INDEX(p_rates,6)),SUMIFS(dl_ht,dl_doc,F674,dl_rate,INDEX(p_rates,6))))</f>
        <v>0.0</v>
      </c>
      <c r="AQ674" s="62">
        <f>ROUND(AK674*N(INDEX(p_rates,1)),2)+ROUND(AL674*N(INDEX(p_rates,2)),2)+ROUND(AM674*N(INDEX(p_rates,3)),2)+ROUND(AN674*N(INDEX(p_rates,4)),2)+ROUND(AO674*N(INDEX(p_rates,5)),2)+ROUND(AP674*N(INDEX(p_rates,6)),2)</f>
        <v>0.0</v>
      </c>
      <c r="AR674" s="62" t="str">
        <f>IF(OR(L674="",AA674&lt;&gt;"Facture"),"",IFERROR(IF(INDEX(fa_type,MATCH(L674,fa_num,0))="Facture d'acompte",MATCH(L674,fa_num,0),""),""))</f>
        <v/>
      </c>
      <c r="AS674" s="62" t="str">
        <f>IF(W674="","",IF(W674&lt;=0,"",IF(p_asof-P674&lt;=0,"Non échu",IF(p_asof-P674&lt;=30,"1-30 j",IF(p_asof-P674&lt;=60,"31-60 j",IF(p_asof-P674&lt;=90,"61-90 j","Plus de 90 j"))))))</f>
        <v/>
      </c>
      <c r="AT674" s="62" t="str">
        <f>IF(AS674="","",p_asof-P674)</f>
        <v/>
      </c>
      <c r="AU674" s="62" t="str">
        <f>IF(AT674="","",COUNTIF($AT$6:$AT$805,"&gt;"&amp;AT674)+COUNTIF($AT$6:AT674,AT674))</f>
        <v/>
      </c>
    </row>
    <row r="675">
      <c r="A675" s="59" t="str">
        <f>IF(AE675="","",AB675&amp;"-"&amp;AD675&amp;"-"&amp;RIGHT("000"&amp;AE675,4))</f>
        <v/>
      </c>
      <c r="B675" s="60" t="n"/>
      <c r="C675" s="61" t="n"/>
      <c r="D675" s="60" t="n"/>
      <c r="E675" s="62" t="str">
        <f>IF(D675="","",IFERROR(INDEX(cli_name,MATCH(D675,cli_code,0))&amp;"","Client inconnu"))</f>
        <v/>
      </c>
      <c r="F675" s="60" t="n"/>
      <c r="G675" s="63" t="n"/>
      <c r="H675" s="61" t="n"/>
      <c r="I675" s="63" t="n"/>
      <c r="J675" s="60" t="n"/>
      <c r="K675" s="61" t="n"/>
      <c r="L675" s="60" t="n"/>
      <c r="M675" s="60" t="n"/>
      <c r="N675" s="60" t="n"/>
      <c r="O675" s="61" t="n"/>
      <c r="P675" s="64" t="str">
        <f>IF(A675="","",IF(AA675="Avoir",AC675,IF(ISNUMBER(K675),K675,AC675+IF(D675="",N(p_delay),IFERROR(IF(ISNUMBER(INDEX(cli_delay,MATCH(D675,cli_code,0))),INDEX(cli_delay,MATCH(D675,cli_code,0)),N(p_delay)),N(p_delay))))))</f>
        <v/>
      </c>
      <c r="Q675" s="65" t="str">
        <f>IF(A675="","",IF(AA675="Avoir",-1,1)*ROUND(AJ675-IF(AR675="",0,INDEX(fa_htb,AR675)),2))</f>
        <v/>
      </c>
      <c r="R675" s="65" t="str">
        <f>IF(A675="","",IF(AA675="Avoir",-1,1)*ROUND(AQ675-IF(AR675="",0,INDEX(fa_tvab,AR675)),2))</f>
        <v/>
      </c>
      <c r="S675" s="65" t="str">
        <f>IF(A675="","",Q675+R675)</f>
        <v/>
      </c>
      <c r="T675" s="65" t="str">
        <f>IF(AR675="","",INDEX(fa_htb,AR675)+INDEX(fa_tvab,AR675))</f>
        <v/>
      </c>
      <c r="U675" s="65" t="str">
        <f>IF(A675="","",SUMIF(pa_inv,A675,pa_amt))</f>
        <v/>
      </c>
      <c r="V675" s="65" t="str">
        <f>IF(OR(A675="",AA675="Avoir"),"",-SUMIFS(fa_ttc,fa_avof,A675,fa_type,"Avoir"))</f>
        <v/>
      </c>
      <c r="W675" s="65" t="str">
        <f>IF(OR(A675="",AA675="Avoir"),"",ROUND(S675-U675-V675,2))</f>
        <v/>
      </c>
      <c r="X675" s="66" t="str">
        <f>IF(W675="","",IF(AND(W675&gt;0,p_asof&gt;P675),p_asof-P675,""))</f>
        <v/>
      </c>
      <c r="Y675" s="59" t="str">
        <f>IF(A675="","",IF(AA675="Avoir","Avoir",IF(W675&lt;0,"Trop-perçu",IF(W675=0,"Soldée",IF(p_asof&gt;P675,"En retard",IF(U675+V675&gt;0,"Partielle","À échoir"))))))</f>
        <v/>
      </c>
      <c r="Z675" s="59" t="str">
        <f>IF(NOT(COUNTA(B675:D675,F675:O675)&gt;0),"",IF(C675="","Date manquante",IF(NOT(ISNUMBER(C675)),"Date invalide",IF(D675="","Client manquant",IF(ISNA(MATCH(D675,cli_code,0)),"Client inconnu",IF(AC675&lt;SUMPRODUCT(MAX(($AB$6:AB674=AB675)*$AC$6:AC674)),"Date antérieure à la facture précédente",IF(AND(F675&lt;&gt;"",ISNA(MATCH(F675,dv_num,0))),"Devis inconnu",IF(AND(F675&lt;&gt;"",IFERROR(INDEX(dv_client,MATCH(F675,dv_num,0)),D675)&lt;&gt;D675),"Client différent de celui du devis",IF(AG675="","Aucune ligne : saisissez des lignes ou un devis",IF(AND(AI675&lt;&gt;"",COUNTIF($AI$6:AI675,AI675)&gt;1),"Devis déjà repris par une autre facture",IF(AND(AA675="Avoir",M675=""),"Avoir : indiquez la facture d'origine",IF(AND(AA675="Avoir",ISNA(MATCH(M675,fa_num,0))),"Facture d'origine inconnue",IF(AND(AA675&lt;&gt;"Avoir",M675&lt;&gt;""),"« Avoir sur facture » : réservé aux avoirs",IF(AND(L675&lt;&gt;"",AA675&lt;&gt;"Facture"),"Acompte à déduire : réservé aux factures",IF(AND(L675&lt;&gt;"",ISNA(MATCH(L675,fa_num,0))),"Facture d'acompte inconnue",IF(AND(L675&lt;&gt;"",IFERROR(INDEX(fa_type,MATCH(L675,fa_num,0)),"")&lt;&gt;"Facture d'acompte"),"Le n° à déduire n'est pas une facture d'acompte",IF(AND(L675&lt;&gt;"",COUNTIF($L$6:L675,L675)&gt;1),"Acompte déjà déduit sur une autre facture",IF(AND(L675&lt;&gt;"",IFERROR(INDEX(fa_client,MATCH(L675,fa_num,0)),D675)&lt;&gt;D675),"Acompte d'un autre client",IF(AND(AR675&lt;&gt;"",N(Q675)&lt;0),"Acompte supérieur au total de la facture",IF(IF(AG675="Facture",COUNTIFS(fl_doc,A675,fl_check,"&lt;&gt;OK"),IF(AG675="Devis",COUNTIFS(dl_doc,F675,dl_check,"&lt;&gt;OK"),0))&gt;0,"Ligne(s) à corriger",IF(AND(W675&lt;&gt;"",N(W675)&lt;0),"Trop-perçu : vérifiez paiements et avoirs","OK")))))))))))))))))))))</f>
        <v/>
      </c>
      <c r="AA675" s="62" t="str">
        <f>IF(COUNTA(B675:D675,F675:O675)&gt;0,IF(B675="","Facture",B675),"")</f>
        <v/>
      </c>
      <c r="AB675" s="62" t="str">
        <f>IF(AA675="","",IF(AA675="Avoir",p_pav,IF(AA675="Facture d'acompte",p_pac,p_pfa)))</f>
        <v/>
      </c>
      <c r="AC675" s="62">
        <f>IF(ISNUMBER(C675),C675,0)</f>
        <v>0.0</v>
      </c>
      <c r="AD675" s="62" t="str">
        <f>IF(OR(AA675="",AC675=0),"",YEAR(AC675))</f>
        <v/>
      </c>
      <c r="AE675" s="62" t="str">
        <f>IF(AD675="","",COUNTIFS($AB$6:AB675,AB675,$AD$6:AD675,AD675))</f>
        <v/>
      </c>
      <c r="AF675" s="62">
        <f>IF(A675="",0,COUNTIF(fl_doc,A675))</f>
        <v>0.0</v>
      </c>
      <c r="AG675" s="62" t="str">
        <f>IF(A675="","",IF(AF675&gt;0,"Facture",IF(AND(F675&lt;&gt;"",AA675="Facture",ISNUMBER(MATCH(F675,dv_num,0))),"Devis","")))</f>
        <v/>
      </c>
      <c r="AH675" s="62" t="str">
        <f>IF(AND(A675&lt;&gt;"",F675&lt;&gt;"",AA675&lt;&gt;"Avoir"),F675,"")</f>
        <v/>
      </c>
      <c r="AI675" s="62" t="str">
        <f>IF(AG675="Devis",F675,"")</f>
        <v/>
      </c>
      <c r="AJ675" s="62">
        <f>IF(AG675="Facture",SUMIF(fl_doc,A675,fl_ht),IF(AG675="Devis",SUMIF(dl_doc,F675,dl_ht),0))</f>
        <v>0.0</v>
      </c>
      <c r="AK675" s="62">
        <f>IF(OR(AG675="",INDEX(p_rates,1)=""),0,IF(AG675="Facture",SUMIFS(fl_ht,fl_doc,A675,fl_rate,INDEX(p_rates,1)),SUMIFS(dl_ht,dl_doc,F675,dl_rate,INDEX(p_rates,1))))</f>
        <v>0.0</v>
      </c>
      <c r="AL675" s="62">
        <f>IF(OR(AG675="",INDEX(p_rates,2)=""),0,IF(AG675="Facture",SUMIFS(fl_ht,fl_doc,A675,fl_rate,INDEX(p_rates,2)),SUMIFS(dl_ht,dl_doc,F675,dl_rate,INDEX(p_rates,2))))</f>
        <v>0.0</v>
      </c>
      <c r="AM675" s="62">
        <f>IF(OR(AG675="",INDEX(p_rates,3)=""),0,IF(AG675="Facture",SUMIFS(fl_ht,fl_doc,A675,fl_rate,INDEX(p_rates,3)),SUMIFS(dl_ht,dl_doc,F675,dl_rate,INDEX(p_rates,3))))</f>
        <v>0.0</v>
      </c>
      <c r="AN675" s="62">
        <f>IF(OR(AG675="",INDEX(p_rates,4)=""),0,IF(AG675="Facture",SUMIFS(fl_ht,fl_doc,A675,fl_rate,INDEX(p_rates,4)),SUMIFS(dl_ht,dl_doc,F675,dl_rate,INDEX(p_rates,4))))</f>
        <v>0.0</v>
      </c>
      <c r="AO675" s="62">
        <f>IF(OR(AG675="",INDEX(p_rates,5)=""),0,IF(AG675="Facture",SUMIFS(fl_ht,fl_doc,A675,fl_rate,INDEX(p_rates,5)),SUMIFS(dl_ht,dl_doc,F675,dl_rate,INDEX(p_rates,5))))</f>
        <v>0.0</v>
      </c>
      <c r="AP675" s="62">
        <f>IF(OR(AG675="",INDEX(p_rates,6)=""),0,IF(AG675="Facture",SUMIFS(fl_ht,fl_doc,A675,fl_rate,INDEX(p_rates,6)),SUMIFS(dl_ht,dl_doc,F675,dl_rate,INDEX(p_rates,6))))</f>
        <v>0.0</v>
      </c>
      <c r="AQ675" s="62">
        <f>ROUND(AK675*N(INDEX(p_rates,1)),2)+ROUND(AL675*N(INDEX(p_rates,2)),2)+ROUND(AM675*N(INDEX(p_rates,3)),2)+ROUND(AN675*N(INDEX(p_rates,4)),2)+ROUND(AO675*N(INDEX(p_rates,5)),2)+ROUND(AP675*N(INDEX(p_rates,6)),2)</f>
        <v>0.0</v>
      </c>
      <c r="AR675" s="62" t="str">
        <f>IF(OR(L675="",AA675&lt;&gt;"Facture"),"",IFERROR(IF(INDEX(fa_type,MATCH(L675,fa_num,0))="Facture d'acompte",MATCH(L675,fa_num,0),""),""))</f>
        <v/>
      </c>
      <c r="AS675" s="62" t="str">
        <f>IF(W675="","",IF(W675&lt;=0,"",IF(p_asof-P675&lt;=0,"Non échu",IF(p_asof-P675&lt;=30,"1-30 j",IF(p_asof-P675&lt;=60,"31-60 j",IF(p_asof-P675&lt;=90,"61-90 j","Plus de 90 j"))))))</f>
        <v/>
      </c>
      <c r="AT675" s="62" t="str">
        <f>IF(AS675="","",p_asof-P675)</f>
        <v/>
      </c>
      <c r="AU675" s="62" t="str">
        <f>IF(AT675="","",COUNTIF($AT$6:$AT$805,"&gt;"&amp;AT675)+COUNTIF($AT$6:AT675,AT675))</f>
        <v/>
      </c>
    </row>
    <row r="676">
      <c r="A676" s="59" t="str">
        <f>IF(AE676="","",AB676&amp;"-"&amp;AD676&amp;"-"&amp;RIGHT("000"&amp;AE676,4))</f>
        <v/>
      </c>
      <c r="B676" s="60" t="n"/>
      <c r="C676" s="61" t="n"/>
      <c r="D676" s="60" t="n"/>
      <c r="E676" s="62" t="str">
        <f>IF(D676="","",IFERROR(INDEX(cli_name,MATCH(D676,cli_code,0))&amp;"","Client inconnu"))</f>
        <v/>
      </c>
      <c r="F676" s="60" t="n"/>
      <c r="G676" s="63" t="n"/>
      <c r="H676" s="61" t="n"/>
      <c r="I676" s="63" t="n"/>
      <c r="J676" s="60" t="n"/>
      <c r="K676" s="61" t="n"/>
      <c r="L676" s="60" t="n"/>
      <c r="M676" s="60" t="n"/>
      <c r="N676" s="60" t="n"/>
      <c r="O676" s="61" t="n"/>
      <c r="P676" s="64" t="str">
        <f>IF(A676="","",IF(AA676="Avoir",AC676,IF(ISNUMBER(K676),K676,AC676+IF(D676="",N(p_delay),IFERROR(IF(ISNUMBER(INDEX(cli_delay,MATCH(D676,cli_code,0))),INDEX(cli_delay,MATCH(D676,cli_code,0)),N(p_delay)),N(p_delay))))))</f>
        <v/>
      </c>
      <c r="Q676" s="65" t="str">
        <f>IF(A676="","",IF(AA676="Avoir",-1,1)*ROUND(AJ676-IF(AR676="",0,INDEX(fa_htb,AR676)),2))</f>
        <v/>
      </c>
      <c r="R676" s="65" t="str">
        <f>IF(A676="","",IF(AA676="Avoir",-1,1)*ROUND(AQ676-IF(AR676="",0,INDEX(fa_tvab,AR676)),2))</f>
        <v/>
      </c>
      <c r="S676" s="65" t="str">
        <f>IF(A676="","",Q676+R676)</f>
        <v/>
      </c>
      <c r="T676" s="65" t="str">
        <f>IF(AR676="","",INDEX(fa_htb,AR676)+INDEX(fa_tvab,AR676))</f>
        <v/>
      </c>
      <c r="U676" s="65" t="str">
        <f>IF(A676="","",SUMIF(pa_inv,A676,pa_amt))</f>
        <v/>
      </c>
      <c r="V676" s="65" t="str">
        <f>IF(OR(A676="",AA676="Avoir"),"",-SUMIFS(fa_ttc,fa_avof,A676,fa_type,"Avoir"))</f>
        <v/>
      </c>
      <c r="W676" s="65" t="str">
        <f>IF(OR(A676="",AA676="Avoir"),"",ROUND(S676-U676-V676,2))</f>
        <v/>
      </c>
      <c r="X676" s="66" t="str">
        <f>IF(W676="","",IF(AND(W676&gt;0,p_asof&gt;P676),p_asof-P676,""))</f>
        <v/>
      </c>
      <c r="Y676" s="59" t="str">
        <f>IF(A676="","",IF(AA676="Avoir","Avoir",IF(W676&lt;0,"Trop-perçu",IF(W676=0,"Soldée",IF(p_asof&gt;P676,"En retard",IF(U676+V676&gt;0,"Partielle","À échoir"))))))</f>
        <v/>
      </c>
      <c r="Z676" s="59" t="str">
        <f>IF(NOT(COUNTA(B676:D676,F676:O676)&gt;0),"",IF(C676="","Date manquante",IF(NOT(ISNUMBER(C676)),"Date invalide",IF(D676="","Client manquant",IF(ISNA(MATCH(D676,cli_code,0)),"Client inconnu",IF(AC676&lt;SUMPRODUCT(MAX(($AB$6:AB675=AB676)*$AC$6:AC675)),"Date antérieure à la facture précédente",IF(AND(F676&lt;&gt;"",ISNA(MATCH(F676,dv_num,0))),"Devis inconnu",IF(AND(F676&lt;&gt;"",IFERROR(INDEX(dv_client,MATCH(F676,dv_num,0)),D676)&lt;&gt;D676),"Client différent de celui du devis",IF(AG676="","Aucune ligne : saisissez des lignes ou un devis",IF(AND(AI676&lt;&gt;"",COUNTIF($AI$6:AI676,AI676)&gt;1),"Devis déjà repris par une autre facture",IF(AND(AA676="Avoir",M676=""),"Avoir : indiquez la facture d'origine",IF(AND(AA676="Avoir",ISNA(MATCH(M676,fa_num,0))),"Facture d'origine inconnue",IF(AND(AA676&lt;&gt;"Avoir",M676&lt;&gt;""),"« Avoir sur facture » : réservé aux avoirs",IF(AND(L676&lt;&gt;"",AA676&lt;&gt;"Facture"),"Acompte à déduire : réservé aux factures",IF(AND(L676&lt;&gt;"",ISNA(MATCH(L676,fa_num,0))),"Facture d'acompte inconnue",IF(AND(L676&lt;&gt;"",IFERROR(INDEX(fa_type,MATCH(L676,fa_num,0)),"")&lt;&gt;"Facture d'acompte"),"Le n° à déduire n'est pas une facture d'acompte",IF(AND(L676&lt;&gt;"",COUNTIF($L$6:L676,L676)&gt;1),"Acompte déjà déduit sur une autre facture",IF(AND(L676&lt;&gt;"",IFERROR(INDEX(fa_client,MATCH(L676,fa_num,0)),D676)&lt;&gt;D676),"Acompte d'un autre client",IF(AND(AR676&lt;&gt;"",N(Q676)&lt;0),"Acompte supérieur au total de la facture",IF(IF(AG676="Facture",COUNTIFS(fl_doc,A676,fl_check,"&lt;&gt;OK"),IF(AG676="Devis",COUNTIFS(dl_doc,F676,dl_check,"&lt;&gt;OK"),0))&gt;0,"Ligne(s) à corriger",IF(AND(W676&lt;&gt;"",N(W676)&lt;0),"Trop-perçu : vérifiez paiements et avoirs","OK")))))))))))))))))))))</f>
        <v/>
      </c>
      <c r="AA676" s="62" t="str">
        <f>IF(COUNTA(B676:D676,F676:O676)&gt;0,IF(B676="","Facture",B676),"")</f>
        <v/>
      </c>
      <c r="AB676" s="62" t="str">
        <f>IF(AA676="","",IF(AA676="Avoir",p_pav,IF(AA676="Facture d'acompte",p_pac,p_pfa)))</f>
        <v/>
      </c>
      <c r="AC676" s="62">
        <f>IF(ISNUMBER(C676),C676,0)</f>
        <v>0.0</v>
      </c>
      <c r="AD676" s="62" t="str">
        <f>IF(OR(AA676="",AC676=0),"",YEAR(AC676))</f>
        <v/>
      </c>
      <c r="AE676" s="62" t="str">
        <f>IF(AD676="","",COUNTIFS($AB$6:AB676,AB676,$AD$6:AD676,AD676))</f>
        <v/>
      </c>
      <c r="AF676" s="62">
        <f>IF(A676="",0,COUNTIF(fl_doc,A676))</f>
        <v>0.0</v>
      </c>
      <c r="AG676" s="62" t="str">
        <f>IF(A676="","",IF(AF676&gt;0,"Facture",IF(AND(F676&lt;&gt;"",AA676="Facture",ISNUMBER(MATCH(F676,dv_num,0))),"Devis","")))</f>
        <v/>
      </c>
      <c r="AH676" s="62" t="str">
        <f>IF(AND(A676&lt;&gt;"",F676&lt;&gt;"",AA676&lt;&gt;"Avoir"),F676,"")</f>
        <v/>
      </c>
      <c r="AI676" s="62" t="str">
        <f>IF(AG676="Devis",F676,"")</f>
        <v/>
      </c>
      <c r="AJ676" s="62">
        <f>IF(AG676="Facture",SUMIF(fl_doc,A676,fl_ht),IF(AG676="Devis",SUMIF(dl_doc,F676,dl_ht),0))</f>
        <v>0.0</v>
      </c>
      <c r="AK676" s="62">
        <f>IF(OR(AG676="",INDEX(p_rates,1)=""),0,IF(AG676="Facture",SUMIFS(fl_ht,fl_doc,A676,fl_rate,INDEX(p_rates,1)),SUMIFS(dl_ht,dl_doc,F676,dl_rate,INDEX(p_rates,1))))</f>
        <v>0.0</v>
      </c>
      <c r="AL676" s="62">
        <f>IF(OR(AG676="",INDEX(p_rates,2)=""),0,IF(AG676="Facture",SUMIFS(fl_ht,fl_doc,A676,fl_rate,INDEX(p_rates,2)),SUMIFS(dl_ht,dl_doc,F676,dl_rate,INDEX(p_rates,2))))</f>
        <v>0.0</v>
      </c>
      <c r="AM676" s="62">
        <f>IF(OR(AG676="",INDEX(p_rates,3)=""),0,IF(AG676="Facture",SUMIFS(fl_ht,fl_doc,A676,fl_rate,INDEX(p_rates,3)),SUMIFS(dl_ht,dl_doc,F676,dl_rate,INDEX(p_rates,3))))</f>
        <v>0.0</v>
      </c>
      <c r="AN676" s="62">
        <f>IF(OR(AG676="",INDEX(p_rates,4)=""),0,IF(AG676="Facture",SUMIFS(fl_ht,fl_doc,A676,fl_rate,INDEX(p_rates,4)),SUMIFS(dl_ht,dl_doc,F676,dl_rate,INDEX(p_rates,4))))</f>
        <v>0.0</v>
      </c>
      <c r="AO676" s="62">
        <f>IF(OR(AG676="",INDEX(p_rates,5)=""),0,IF(AG676="Facture",SUMIFS(fl_ht,fl_doc,A676,fl_rate,INDEX(p_rates,5)),SUMIFS(dl_ht,dl_doc,F676,dl_rate,INDEX(p_rates,5))))</f>
        <v>0.0</v>
      </c>
      <c r="AP676" s="62">
        <f>IF(OR(AG676="",INDEX(p_rates,6)=""),0,IF(AG676="Facture",SUMIFS(fl_ht,fl_doc,A676,fl_rate,INDEX(p_rates,6)),SUMIFS(dl_ht,dl_doc,F676,dl_rate,INDEX(p_rates,6))))</f>
        <v>0.0</v>
      </c>
      <c r="AQ676" s="62">
        <f>ROUND(AK676*N(INDEX(p_rates,1)),2)+ROUND(AL676*N(INDEX(p_rates,2)),2)+ROUND(AM676*N(INDEX(p_rates,3)),2)+ROUND(AN676*N(INDEX(p_rates,4)),2)+ROUND(AO676*N(INDEX(p_rates,5)),2)+ROUND(AP676*N(INDEX(p_rates,6)),2)</f>
        <v>0.0</v>
      </c>
      <c r="AR676" s="62" t="str">
        <f>IF(OR(L676="",AA676&lt;&gt;"Facture"),"",IFERROR(IF(INDEX(fa_type,MATCH(L676,fa_num,0))="Facture d'acompte",MATCH(L676,fa_num,0),""),""))</f>
        <v/>
      </c>
      <c r="AS676" s="62" t="str">
        <f>IF(W676="","",IF(W676&lt;=0,"",IF(p_asof-P676&lt;=0,"Non échu",IF(p_asof-P676&lt;=30,"1-30 j",IF(p_asof-P676&lt;=60,"31-60 j",IF(p_asof-P676&lt;=90,"61-90 j","Plus de 90 j"))))))</f>
        <v/>
      </c>
      <c r="AT676" s="62" t="str">
        <f>IF(AS676="","",p_asof-P676)</f>
        <v/>
      </c>
      <c r="AU676" s="62" t="str">
        <f>IF(AT676="","",COUNTIF($AT$6:$AT$805,"&gt;"&amp;AT676)+COUNTIF($AT$6:AT676,AT676))</f>
        <v/>
      </c>
    </row>
    <row r="677">
      <c r="A677" s="59" t="str">
        <f>IF(AE677="","",AB677&amp;"-"&amp;AD677&amp;"-"&amp;RIGHT("000"&amp;AE677,4))</f>
        <v/>
      </c>
      <c r="B677" s="60" t="n"/>
      <c r="C677" s="61" t="n"/>
      <c r="D677" s="60" t="n"/>
      <c r="E677" s="62" t="str">
        <f>IF(D677="","",IFERROR(INDEX(cli_name,MATCH(D677,cli_code,0))&amp;"","Client inconnu"))</f>
        <v/>
      </c>
      <c r="F677" s="60" t="n"/>
      <c r="G677" s="63" t="n"/>
      <c r="H677" s="61" t="n"/>
      <c r="I677" s="63" t="n"/>
      <c r="J677" s="60" t="n"/>
      <c r="K677" s="61" t="n"/>
      <c r="L677" s="60" t="n"/>
      <c r="M677" s="60" t="n"/>
      <c r="N677" s="60" t="n"/>
      <c r="O677" s="61" t="n"/>
      <c r="P677" s="64" t="str">
        <f>IF(A677="","",IF(AA677="Avoir",AC677,IF(ISNUMBER(K677),K677,AC677+IF(D677="",N(p_delay),IFERROR(IF(ISNUMBER(INDEX(cli_delay,MATCH(D677,cli_code,0))),INDEX(cli_delay,MATCH(D677,cli_code,0)),N(p_delay)),N(p_delay))))))</f>
        <v/>
      </c>
      <c r="Q677" s="65" t="str">
        <f>IF(A677="","",IF(AA677="Avoir",-1,1)*ROUND(AJ677-IF(AR677="",0,INDEX(fa_htb,AR677)),2))</f>
        <v/>
      </c>
      <c r="R677" s="65" t="str">
        <f>IF(A677="","",IF(AA677="Avoir",-1,1)*ROUND(AQ677-IF(AR677="",0,INDEX(fa_tvab,AR677)),2))</f>
        <v/>
      </c>
      <c r="S677" s="65" t="str">
        <f>IF(A677="","",Q677+R677)</f>
        <v/>
      </c>
      <c r="T677" s="65" t="str">
        <f>IF(AR677="","",INDEX(fa_htb,AR677)+INDEX(fa_tvab,AR677))</f>
        <v/>
      </c>
      <c r="U677" s="65" t="str">
        <f>IF(A677="","",SUMIF(pa_inv,A677,pa_amt))</f>
        <v/>
      </c>
      <c r="V677" s="65" t="str">
        <f>IF(OR(A677="",AA677="Avoir"),"",-SUMIFS(fa_ttc,fa_avof,A677,fa_type,"Avoir"))</f>
        <v/>
      </c>
      <c r="W677" s="65" t="str">
        <f>IF(OR(A677="",AA677="Avoir"),"",ROUND(S677-U677-V677,2))</f>
        <v/>
      </c>
      <c r="X677" s="66" t="str">
        <f>IF(W677="","",IF(AND(W677&gt;0,p_asof&gt;P677),p_asof-P677,""))</f>
        <v/>
      </c>
      <c r="Y677" s="59" t="str">
        <f>IF(A677="","",IF(AA677="Avoir","Avoir",IF(W677&lt;0,"Trop-perçu",IF(W677=0,"Soldée",IF(p_asof&gt;P677,"En retard",IF(U677+V677&gt;0,"Partielle","À échoir"))))))</f>
        <v/>
      </c>
      <c r="Z677" s="59" t="str">
        <f>IF(NOT(COUNTA(B677:D677,F677:O677)&gt;0),"",IF(C677="","Date manquante",IF(NOT(ISNUMBER(C677)),"Date invalide",IF(D677="","Client manquant",IF(ISNA(MATCH(D677,cli_code,0)),"Client inconnu",IF(AC677&lt;SUMPRODUCT(MAX(($AB$6:AB676=AB677)*$AC$6:AC676)),"Date antérieure à la facture précédente",IF(AND(F677&lt;&gt;"",ISNA(MATCH(F677,dv_num,0))),"Devis inconnu",IF(AND(F677&lt;&gt;"",IFERROR(INDEX(dv_client,MATCH(F677,dv_num,0)),D677)&lt;&gt;D677),"Client différent de celui du devis",IF(AG677="","Aucune ligne : saisissez des lignes ou un devis",IF(AND(AI677&lt;&gt;"",COUNTIF($AI$6:AI677,AI677)&gt;1),"Devis déjà repris par une autre facture",IF(AND(AA677="Avoir",M677=""),"Avoir : indiquez la facture d'origine",IF(AND(AA677="Avoir",ISNA(MATCH(M677,fa_num,0))),"Facture d'origine inconnue",IF(AND(AA677&lt;&gt;"Avoir",M677&lt;&gt;""),"« Avoir sur facture » : réservé aux avoirs",IF(AND(L677&lt;&gt;"",AA677&lt;&gt;"Facture"),"Acompte à déduire : réservé aux factures",IF(AND(L677&lt;&gt;"",ISNA(MATCH(L677,fa_num,0))),"Facture d'acompte inconnue",IF(AND(L677&lt;&gt;"",IFERROR(INDEX(fa_type,MATCH(L677,fa_num,0)),"")&lt;&gt;"Facture d'acompte"),"Le n° à déduire n'est pas une facture d'acompte",IF(AND(L677&lt;&gt;"",COUNTIF($L$6:L677,L677)&gt;1),"Acompte déjà déduit sur une autre facture",IF(AND(L677&lt;&gt;"",IFERROR(INDEX(fa_client,MATCH(L677,fa_num,0)),D677)&lt;&gt;D677),"Acompte d'un autre client",IF(AND(AR677&lt;&gt;"",N(Q677)&lt;0),"Acompte supérieur au total de la facture",IF(IF(AG677="Facture",COUNTIFS(fl_doc,A677,fl_check,"&lt;&gt;OK"),IF(AG677="Devis",COUNTIFS(dl_doc,F677,dl_check,"&lt;&gt;OK"),0))&gt;0,"Ligne(s) à corriger",IF(AND(W677&lt;&gt;"",N(W677)&lt;0),"Trop-perçu : vérifiez paiements et avoirs","OK")))))))))))))))))))))</f>
        <v/>
      </c>
      <c r="AA677" s="62" t="str">
        <f>IF(COUNTA(B677:D677,F677:O677)&gt;0,IF(B677="","Facture",B677),"")</f>
        <v/>
      </c>
      <c r="AB677" s="62" t="str">
        <f>IF(AA677="","",IF(AA677="Avoir",p_pav,IF(AA677="Facture d'acompte",p_pac,p_pfa)))</f>
        <v/>
      </c>
      <c r="AC677" s="62">
        <f>IF(ISNUMBER(C677),C677,0)</f>
        <v>0.0</v>
      </c>
      <c r="AD677" s="62" t="str">
        <f>IF(OR(AA677="",AC677=0),"",YEAR(AC677))</f>
        <v/>
      </c>
      <c r="AE677" s="62" t="str">
        <f>IF(AD677="","",COUNTIFS($AB$6:AB677,AB677,$AD$6:AD677,AD677))</f>
        <v/>
      </c>
      <c r="AF677" s="62">
        <f>IF(A677="",0,COUNTIF(fl_doc,A677))</f>
        <v>0.0</v>
      </c>
      <c r="AG677" s="62" t="str">
        <f>IF(A677="","",IF(AF677&gt;0,"Facture",IF(AND(F677&lt;&gt;"",AA677="Facture",ISNUMBER(MATCH(F677,dv_num,0))),"Devis","")))</f>
        <v/>
      </c>
      <c r="AH677" s="62" t="str">
        <f>IF(AND(A677&lt;&gt;"",F677&lt;&gt;"",AA677&lt;&gt;"Avoir"),F677,"")</f>
        <v/>
      </c>
      <c r="AI677" s="62" t="str">
        <f>IF(AG677="Devis",F677,"")</f>
        <v/>
      </c>
      <c r="AJ677" s="62">
        <f>IF(AG677="Facture",SUMIF(fl_doc,A677,fl_ht),IF(AG677="Devis",SUMIF(dl_doc,F677,dl_ht),0))</f>
        <v>0.0</v>
      </c>
      <c r="AK677" s="62">
        <f>IF(OR(AG677="",INDEX(p_rates,1)=""),0,IF(AG677="Facture",SUMIFS(fl_ht,fl_doc,A677,fl_rate,INDEX(p_rates,1)),SUMIFS(dl_ht,dl_doc,F677,dl_rate,INDEX(p_rates,1))))</f>
        <v>0.0</v>
      </c>
      <c r="AL677" s="62">
        <f>IF(OR(AG677="",INDEX(p_rates,2)=""),0,IF(AG677="Facture",SUMIFS(fl_ht,fl_doc,A677,fl_rate,INDEX(p_rates,2)),SUMIFS(dl_ht,dl_doc,F677,dl_rate,INDEX(p_rates,2))))</f>
        <v>0.0</v>
      </c>
      <c r="AM677" s="62">
        <f>IF(OR(AG677="",INDEX(p_rates,3)=""),0,IF(AG677="Facture",SUMIFS(fl_ht,fl_doc,A677,fl_rate,INDEX(p_rates,3)),SUMIFS(dl_ht,dl_doc,F677,dl_rate,INDEX(p_rates,3))))</f>
        <v>0.0</v>
      </c>
      <c r="AN677" s="62">
        <f>IF(OR(AG677="",INDEX(p_rates,4)=""),0,IF(AG677="Facture",SUMIFS(fl_ht,fl_doc,A677,fl_rate,INDEX(p_rates,4)),SUMIFS(dl_ht,dl_doc,F677,dl_rate,INDEX(p_rates,4))))</f>
        <v>0.0</v>
      </c>
      <c r="AO677" s="62">
        <f>IF(OR(AG677="",INDEX(p_rates,5)=""),0,IF(AG677="Facture",SUMIFS(fl_ht,fl_doc,A677,fl_rate,INDEX(p_rates,5)),SUMIFS(dl_ht,dl_doc,F677,dl_rate,INDEX(p_rates,5))))</f>
        <v>0.0</v>
      </c>
      <c r="AP677" s="62">
        <f>IF(OR(AG677="",INDEX(p_rates,6)=""),0,IF(AG677="Facture",SUMIFS(fl_ht,fl_doc,A677,fl_rate,INDEX(p_rates,6)),SUMIFS(dl_ht,dl_doc,F677,dl_rate,INDEX(p_rates,6))))</f>
        <v>0.0</v>
      </c>
      <c r="AQ677" s="62">
        <f>ROUND(AK677*N(INDEX(p_rates,1)),2)+ROUND(AL677*N(INDEX(p_rates,2)),2)+ROUND(AM677*N(INDEX(p_rates,3)),2)+ROUND(AN677*N(INDEX(p_rates,4)),2)+ROUND(AO677*N(INDEX(p_rates,5)),2)+ROUND(AP677*N(INDEX(p_rates,6)),2)</f>
        <v>0.0</v>
      </c>
      <c r="AR677" s="62" t="str">
        <f>IF(OR(L677="",AA677&lt;&gt;"Facture"),"",IFERROR(IF(INDEX(fa_type,MATCH(L677,fa_num,0))="Facture d'acompte",MATCH(L677,fa_num,0),""),""))</f>
        <v/>
      </c>
      <c r="AS677" s="62" t="str">
        <f>IF(W677="","",IF(W677&lt;=0,"",IF(p_asof-P677&lt;=0,"Non échu",IF(p_asof-P677&lt;=30,"1-30 j",IF(p_asof-P677&lt;=60,"31-60 j",IF(p_asof-P677&lt;=90,"61-90 j","Plus de 90 j"))))))</f>
        <v/>
      </c>
      <c r="AT677" s="62" t="str">
        <f>IF(AS677="","",p_asof-P677)</f>
        <v/>
      </c>
      <c r="AU677" s="62" t="str">
        <f>IF(AT677="","",COUNTIF($AT$6:$AT$805,"&gt;"&amp;AT677)+COUNTIF($AT$6:AT677,AT677))</f>
        <v/>
      </c>
    </row>
    <row r="678">
      <c r="A678" s="59" t="str">
        <f>IF(AE678="","",AB678&amp;"-"&amp;AD678&amp;"-"&amp;RIGHT("000"&amp;AE678,4))</f>
        <v/>
      </c>
      <c r="B678" s="60" t="n"/>
      <c r="C678" s="61" t="n"/>
      <c r="D678" s="60" t="n"/>
      <c r="E678" s="62" t="str">
        <f>IF(D678="","",IFERROR(INDEX(cli_name,MATCH(D678,cli_code,0))&amp;"","Client inconnu"))</f>
        <v/>
      </c>
      <c r="F678" s="60" t="n"/>
      <c r="G678" s="63" t="n"/>
      <c r="H678" s="61" t="n"/>
      <c r="I678" s="63" t="n"/>
      <c r="J678" s="60" t="n"/>
      <c r="K678" s="61" t="n"/>
      <c r="L678" s="60" t="n"/>
      <c r="M678" s="60" t="n"/>
      <c r="N678" s="60" t="n"/>
      <c r="O678" s="61" t="n"/>
      <c r="P678" s="64" t="str">
        <f>IF(A678="","",IF(AA678="Avoir",AC678,IF(ISNUMBER(K678),K678,AC678+IF(D678="",N(p_delay),IFERROR(IF(ISNUMBER(INDEX(cli_delay,MATCH(D678,cli_code,0))),INDEX(cli_delay,MATCH(D678,cli_code,0)),N(p_delay)),N(p_delay))))))</f>
        <v/>
      </c>
      <c r="Q678" s="65" t="str">
        <f>IF(A678="","",IF(AA678="Avoir",-1,1)*ROUND(AJ678-IF(AR678="",0,INDEX(fa_htb,AR678)),2))</f>
        <v/>
      </c>
      <c r="R678" s="65" t="str">
        <f>IF(A678="","",IF(AA678="Avoir",-1,1)*ROUND(AQ678-IF(AR678="",0,INDEX(fa_tvab,AR678)),2))</f>
        <v/>
      </c>
      <c r="S678" s="65" t="str">
        <f>IF(A678="","",Q678+R678)</f>
        <v/>
      </c>
      <c r="T678" s="65" t="str">
        <f>IF(AR678="","",INDEX(fa_htb,AR678)+INDEX(fa_tvab,AR678))</f>
        <v/>
      </c>
      <c r="U678" s="65" t="str">
        <f>IF(A678="","",SUMIF(pa_inv,A678,pa_amt))</f>
        <v/>
      </c>
      <c r="V678" s="65" t="str">
        <f>IF(OR(A678="",AA678="Avoir"),"",-SUMIFS(fa_ttc,fa_avof,A678,fa_type,"Avoir"))</f>
        <v/>
      </c>
      <c r="W678" s="65" t="str">
        <f>IF(OR(A678="",AA678="Avoir"),"",ROUND(S678-U678-V678,2))</f>
        <v/>
      </c>
      <c r="X678" s="66" t="str">
        <f>IF(W678="","",IF(AND(W678&gt;0,p_asof&gt;P678),p_asof-P678,""))</f>
        <v/>
      </c>
      <c r="Y678" s="59" t="str">
        <f>IF(A678="","",IF(AA678="Avoir","Avoir",IF(W678&lt;0,"Trop-perçu",IF(W678=0,"Soldée",IF(p_asof&gt;P678,"En retard",IF(U678+V678&gt;0,"Partielle","À échoir"))))))</f>
        <v/>
      </c>
      <c r="Z678" s="59" t="str">
        <f>IF(NOT(COUNTA(B678:D678,F678:O678)&gt;0),"",IF(C678="","Date manquante",IF(NOT(ISNUMBER(C678)),"Date invalide",IF(D678="","Client manquant",IF(ISNA(MATCH(D678,cli_code,0)),"Client inconnu",IF(AC678&lt;SUMPRODUCT(MAX(($AB$6:AB677=AB678)*$AC$6:AC677)),"Date antérieure à la facture précédente",IF(AND(F678&lt;&gt;"",ISNA(MATCH(F678,dv_num,0))),"Devis inconnu",IF(AND(F678&lt;&gt;"",IFERROR(INDEX(dv_client,MATCH(F678,dv_num,0)),D678)&lt;&gt;D678),"Client différent de celui du devis",IF(AG678="","Aucune ligne : saisissez des lignes ou un devis",IF(AND(AI678&lt;&gt;"",COUNTIF($AI$6:AI678,AI678)&gt;1),"Devis déjà repris par une autre facture",IF(AND(AA678="Avoir",M678=""),"Avoir : indiquez la facture d'origine",IF(AND(AA678="Avoir",ISNA(MATCH(M678,fa_num,0))),"Facture d'origine inconnue",IF(AND(AA678&lt;&gt;"Avoir",M678&lt;&gt;""),"« Avoir sur facture » : réservé aux avoirs",IF(AND(L678&lt;&gt;"",AA678&lt;&gt;"Facture"),"Acompte à déduire : réservé aux factures",IF(AND(L678&lt;&gt;"",ISNA(MATCH(L678,fa_num,0))),"Facture d'acompte inconnue",IF(AND(L678&lt;&gt;"",IFERROR(INDEX(fa_type,MATCH(L678,fa_num,0)),"")&lt;&gt;"Facture d'acompte"),"Le n° à déduire n'est pas une facture d'acompte",IF(AND(L678&lt;&gt;"",COUNTIF($L$6:L678,L678)&gt;1),"Acompte déjà déduit sur une autre facture",IF(AND(L678&lt;&gt;"",IFERROR(INDEX(fa_client,MATCH(L678,fa_num,0)),D678)&lt;&gt;D678),"Acompte d'un autre client",IF(AND(AR678&lt;&gt;"",N(Q678)&lt;0),"Acompte supérieur au total de la facture",IF(IF(AG678="Facture",COUNTIFS(fl_doc,A678,fl_check,"&lt;&gt;OK"),IF(AG678="Devis",COUNTIFS(dl_doc,F678,dl_check,"&lt;&gt;OK"),0))&gt;0,"Ligne(s) à corriger",IF(AND(W678&lt;&gt;"",N(W678)&lt;0),"Trop-perçu : vérifiez paiements et avoirs","OK")))))))))))))))))))))</f>
        <v/>
      </c>
      <c r="AA678" s="62" t="str">
        <f>IF(COUNTA(B678:D678,F678:O678)&gt;0,IF(B678="","Facture",B678),"")</f>
        <v/>
      </c>
      <c r="AB678" s="62" t="str">
        <f>IF(AA678="","",IF(AA678="Avoir",p_pav,IF(AA678="Facture d'acompte",p_pac,p_pfa)))</f>
        <v/>
      </c>
      <c r="AC678" s="62">
        <f>IF(ISNUMBER(C678),C678,0)</f>
        <v>0.0</v>
      </c>
      <c r="AD678" s="62" t="str">
        <f>IF(OR(AA678="",AC678=0),"",YEAR(AC678))</f>
        <v/>
      </c>
      <c r="AE678" s="62" t="str">
        <f>IF(AD678="","",COUNTIFS($AB$6:AB678,AB678,$AD$6:AD678,AD678))</f>
        <v/>
      </c>
      <c r="AF678" s="62">
        <f>IF(A678="",0,COUNTIF(fl_doc,A678))</f>
        <v>0.0</v>
      </c>
      <c r="AG678" s="62" t="str">
        <f>IF(A678="","",IF(AF678&gt;0,"Facture",IF(AND(F678&lt;&gt;"",AA678="Facture",ISNUMBER(MATCH(F678,dv_num,0))),"Devis","")))</f>
        <v/>
      </c>
      <c r="AH678" s="62" t="str">
        <f>IF(AND(A678&lt;&gt;"",F678&lt;&gt;"",AA678&lt;&gt;"Avoir"),F678,"")</f>
        <v/>
      </c>
      <c r="AI678" s="62" t="str">
        <f>IF(AG678="Devis",F678,"")</f>
        <v/>
      </c>
      <c r="AJ678" s="62">
        <f>IF(AG678="Facture",SUMIF(fl_doc,A678,fl_ht),IF(AG678="Devis",SUMIF(dl_doc,F678,dl_ht),0))</f>
        <v>0.0</v>
      </c>
      <c r="AK678" s="62">
        <f>IF(OR(AG678="",INDEX(p_rates,1)=""),0,IF(AG678="Facture",SUMIFS(fl_ht,fl_doc,A678,fl_rate,INDEX(p_rates,1)),SUMIFS(dl_ht,dl_doc,F678,dl_rate,INDEX(p_rates,1))))</f>
        <v>0.0</v>
      </c>
      <c r="AL678" s="62">
        <f>IF(OR(AG678="",INDEX(p_rates,2)=""),0,IF(AG678="Facture",SUMIFS(fl_ht,fl_doc,A678,fl_rate,INDEX(p_rates,2)),SUMIFS(dl_ht,dl_doc,F678,dl_rate,INDEX(p_rates,2))))</f>
        <v>0.0</v>
      </c>
      <c r="AM678" s="62">
        <f>IF(OR(AG678="",INDEX(p_rates,3)=""),0,IF(AG678="Facture",SUMIFS(fl_ht,fl_doc,A678,fl_rate,INDEX(p_rates,3)),SUMIFS(dl_ht,dl_doc,F678,dl_rate,INDEX(p_rates,3))))</f>
        <v>0.0</v>
      </c>
      <c r="AN678" s="62">
        <f>IF(OR(AG678="",INDEX(p_rates,4)=""),0,IF(AG678="Facture",SUMIFS(fl_ht,fl_doc,A678,fl_rate,INDEX(p_rates,4)),SUMIFS(dl_ht,dl_doc,F678,dl_rate,INDEX(p_rates,4))))</f>
        <v>0.0</v>
      </c>
      <c r="AO678" s="62">
        <f>IF(OR(AG678="",INDEX(p_rates,5)=""),0,IF(AG678="Facture",SUMIFS(fl_ht,fl_doc,A678,fl_rate,INDEX(p_rates,5)),SUMIFS(dl_ht,dl_doc,F678,dl_rate,INDEX(p_rates,5))))</f>
        <v>0.0</v>
      </c>
      <c r="AP678" s="62">
        <f>IF(OR(AG678="",INDEX(p_rates,6)=""),0,IF(AG678="Facture",SUMIFS(fl_ht,fl_doc,A678,fl_rate,INDEX(p_rates,6)),SUMIFS(dl_ht,dl_doc,F678,dl_rate,INDEX(p_rates,6))))</f>
        <v>0.0</v>
      </c>
      <c r="AQ678" s="62">
        <f>ROUND(AK678*N(INDEX(p_rates,1)),2)+ROUND(AL678*N(INDEX(p_rates,2)),2)+ROUND(AM678*N(INDEX(p_rates,3)),2)+ROUND(AN678*N(INDEX(p_rates,4)),2)+ROUND(AO678*N(INDEX(p_rates,5)),2)+ROUND(AP678*N(INDEX(p_rates,6)),2)</f>
        <v>0.0</v>
      </c>
      <c r="AR678" s="62" t="str">
        <f>IF(OR(L678="",AA678&lt;&gt;"Facture"),"",IFERROR(IF(INDEX(fa_type,MATCH(L678,fa_num,0))="Facture d'acompte",MATCH(L678,fa_num,0),""),""))</f>
        <v/>
      </c>
      <c r="AS678" s="62" t="str">
        <f>IF(W678="","",IF(W678&lt;=0,"",IF(p_asof-P678&lt;=0,"Non échu",IF(p_asof-P678&lt;=30,"1-30 j",IF(p_asof-P678&lt;=60,"31-60 j",IF(p_asof-P678&lt;=90,"61-90 j","Plus de 90 j"))))))</f>
        <v/>
      </c>
      <c r="AT678" s="62" t="str">
        <f>IF(AS678="","",p_asof-P678)</f>
        <v/>
      </c>
      <c r="AU678" s="62" t="str">
        <f>IF(AT678="","",COUNTIF($AT$6:$AT$805,"&gt;"&amp;AT678)+COUNTIF($AT$6:AT678,AT678))</f>
        <v/>
      </c>
    </row>
    <row r="679">
      <c r="A679" s="59" t="str">
        <f>IF(AE679="","",AB679&amp;"-"&amp;AD679&amp;"-"&amp;RIGHT("000"&amp;AE679,4))</f>
        <v/>
      </c>
      <c r="B679" s="60" t="n"/>
      <c r="C679" s="61" t="n"/>
      <c r="D679" s="60" t="n"/>
      <c r="E679" s="62" t="str">
        <f>IF(D679="","",IFERROR(INDEX(cli_name,MATCH(D679,cli_code,0))&amp;"","Client inconnu"))</f>
        <v/>
      </c>
      <c r="F679" s="60" t="n"/>
      <c r="G679" s="63" t="n"/>
      <c r="H679" s="61" t="n"/>
      <c r="I679" s="63" t="n"/>
      <c r="J679" s="60" t="n"/>
      <c r="K679" s="61" t="n"/>
      <c r="L679" s="60" t="n"/>
      <c r="M679" s="60" t="n"/>
      <c r="N679" s="60" t="n"/>
      <c r="O679" s="61" t="n"/>
      <c r="P679" s="64" t="str">
        <f>IF(A679="","",IF(AA679="Avoir",AC679,IF(ISNUMBER(K679),K679,AC679+IF(D679="",N(p_delay),IFERROR(IF(ISNUMBER(INDEX(cli_delay,MATCH(D679,cli_code,0))),INDEX(cli_delay,MATCH(D679,cli_code,0)),N(p_delay)),N(p_delay))))))</f>
        <v/>
      </c>
      <c r="Q679" s="65" t="str">
        <f>IF(A679="","",IF(AA679="Avoir",-1,1)*ROUND(AJ679-IF(AR679="",0,INDEX(fa_htb,AR679)),2))</f>
        <v/>
      </c>
      <c r="R679" s="65" t="str">
        <f>IF(A679="","",IF(AA679="Avoir",-1,1)*ROUND(AQ679-IF(AR679="",0,INDEX(fa_tvab,AR679)),2))</f>
        <v/>
      </c>
      <c r="S679" s="65" t="str">
        <f>IF(A679="","",Q679+R679)</f>
        <v/>
      </c>
      <c r="T679" s="65" t="str">
        <f>IF(AR679="","",INDEX(fa_htb,AR679)+INDEX(fa_tvab,AR679))</f>
        <v/>
      </c>
      <c r="U679" s="65" t="str">
        <f>IF(A679="","",SUMIF(pa_inv,A679,pa_amt))</f>
        <v/>
      </c>
      <c r="V679" s="65" t="str">
        <f>IF(OR(A679="",AA679="Avoir"),"",-SUMIFS(fa_ttc,fa_avof,A679,fa_type,"Avoir"))</f>
        <v/>
      </c>
      <c r="W679" s="65" t="str">
        <f>IF(OR(A679="",AA679="Avoir"),"",ROUND(S679-U679-V679,2))</f>
        <v/>
      </c>
      <c r="X679" s="66" t="str">
        <f>IF(W679="","",IF(AND(W679&gt;0,p_asof&gt;P679),p_asof-P679,""))</f>
        <v/>
      </c>
      <c r="Y679" s="59" t="str">
        <f>IF(A679="","",IF(AA679="Avoir","Avoir",IF(W679&lt;0,"Trop-perçu",IF(W679=0,"Soldée",IF(p_asof&gt;P679,"En retard",IF(U679+V679&gt;0,"Partielle","À échoir"))))))</f>
        <v/>
      </c>
      <c r="Z679" s="59" t="str">
        <f>IF(NOT(COUNTA(B679:D679,F679:O679)&gt;0),"",IF(C679="","Date manquante",IF(NOT(ISNUMBER(C679)),"Date invalide",IF(D679="","Client manquant",IF(ISNA(MATCH(D679,cli_code,0)),"Client inconnu",IF(AC679&lt;SUMPRODUCT(MAX(($AB$6:AB678=AB679)*$AC$6:AC678)),"Date antérieure à la facture précédente",IF(AND(F679&lt;&gt;"",ISNA(MATCH(F679,dv_num,0))),"Devis inconnu",IF(AND(F679&lt;&gt;"",IFERROR(INDEX(dv_client,MATCH(F679,dv_num,0)),D679)&lt;&gt;D679),"Client différent de celui du devis",IF(AG679="","Aucune ligne : saisissez des lignes ou un devis",IF(AND(AI679&lt;&gt;"",COUNTIF($AI$6:AI679,AI679)&gt;1),"Devis déjà repris par une autre facture",IF(AND(AA679="Avoir",M679=""),"Avoir : indiquez la facture d'origine",IF(AND(AA679="Avoir",ISNA(MATCH(M679,fa_num,0))),"Facture d'origine inconnue",IF(AND(AA679&lt;&gt;"Avoir",M679&lt;&gt;""),"« Avoir sur facture » : réservé aux avoirs",IF(AND(L679&lt;&gt;"",AA679&lt;&gt;"Facture"),"Acompte à déduire : réservé aux factures",IF(AND(L679&lt;&gt;"",ISNA(MATCH(L679,fa_num,0))),"Facture d'acompte inconnue",IF(AND(L679&lt;&gt;"",IFERROR(INDEX(fa_type,MATCH(L679,fa_num,0)),"")&lt;&gt;"Facture d'acompte"),"Le n° à déduire n'est pas une facture d'acompte",IF(AND(L679&lt;&gt;"",COUNTIF($L$6:L679,L679)&gt;1),"Acompte déjà déduit sur une autre facture",IF(AND(L679&lt;&gt;"",IFERROR(INDEX(fa_client,MATCH(L679,fa_num,0)),D679)&lt;&gt;D679),"Acompte d'un autre client",IF(AND(AR679&lt;&gt;"",N(Q679)&lt;0),"Acompte supérieur au total de la facture",IF(IF(AG679="Facture",COUNTIFS(fl_doc,A679,fl_check,"&lt;&gt;OK"),IF(AG679="Devis",COUNTIFS(dl_doc,F679,dl_check,"&lt;&gt;OK"),0))&gt;0,"Ligne(s) à corriger",IF(AND(W679&lt;&gt;"",N(W679)&lt;0),"Trop-perçu : vérifiez paiements et avoirs","OK")))))))))))))))))))))</f>
        <v/>
      </c>
      <c r="AA679" s="62" t="str">
        <f>IF(COUNTA(B679:D679,F679:O679)&gt;0,IF(B679="","Facture",B679),"")</f>
        <v/>
      </c>
      <c r="AB679" s="62" t="str">
        <f>IF(AA679="","",IF(AA679="Avoir",p_pav,IF(AA679="Facture d'acompte",p_pac,p_pfa)))</f>
        <v/>
      </c>
      <c r="AC679" s="62">
        <f>IF(ISNUMBER(C679),C679,0)</f>
        <v>0.0</v>
      </c>
      <c r="AD679" s="62" t="str">
        <f>IF(OR(AA679="",AC679=0),"",YEAR(AC679))</f>
        <v/>
      </c>
      <c r="AE679" s="62" t="str">
        <f>IF(AD679="","",COUNTIFS($AB$6:AB679,AB679,$AD$6:AD679,AD679))</f>
        <v/>
      </c>
      <c r="AF679" s="62">
        <f>IF(A679="",0,COUNTIF(fl_doc,A679))</f>
        <v>0.0</v>
      </c>
      <c r="AG679" s="62" t="str">
        <f>IF(A679="","",IF(AF679&gt;0,"Facture",IF(AND(F679&lt;&gt;"",AA679="Facture",ISNUMBER(MATCH(F679,dv_num,0))),"Devis","")))</f>
        <v/>
      </c>
      <c r="AH679" s="62" t="str">
        <f>IF(AND(A679&lt;&gt;"",F679&lt;&gt;"",AA679&lt;&gt;"Avoir"),F679,"")</f>
        <v/>
      </c>
      <c r="AI679" s="62" t="str">
        <f>IF(AG679="Devis",F679,"")</f>
        <v/>
      </c>
      <c r="AJ679" s="62">
        <f>IF(AG679="Facture",SUMIF(fl_doc,A679,fl_ht),IF(AG679="Devis",SUMIF(dl_doc,F679,dl_ht),0))</f>
        <v>0.0</v>
      </c>
      <c r="AK679" s="62">
        <f>IF(OR(AG679="",INDEX(p_rates,1)=""),0,IF(AG679="Facture",SUMIFS(fl_ht,fl_doc,A679,fl_rate,INDEX(p_rates,1)),SUMIFS(dl_ht,dl_doc,F679,dl_rate,INDEX(p_rates,1))))</f>
        <v>0.0</v>
      </c>
      <c r="AL679" s="62">
        <f>IF(OR(AG679="",INDEX(p_rates,2)=""),0,IF(AG679="Facture",SUMIFS(fl_ht,fl_doc,A679,fl_rate,INDEX(p_rates,2)),SUMIFS(dl_ht,dl_doc,F679,dl_rate,INDEX(p_rates,2))))</f>
        <v>0.0</v>
      </c>
      <c r="AM679" s="62">
        <f>IF(OR(AG679="",INDEX(p_rates,3)=""),0,IF(AG679="Facture",SUMIFS(fl_ht,fl_doc,A679,fl_rate,INDEX(p_rates,3)),SUMIFS(dl_ht,dl_doc,F679,dl_rate,INDEX(p_rates,3))))</f>
        <v>0.0</v>
      </c>
      <c r="AN679" s="62">
        <f>IF(OR(AG679="",INDEX(p_rates,4)=""),0,IF(AG679="Facture",SUMIFS(fl_ht,fl_doc,A679,fl_rate,INDEX(p_rates,4)),SUMIFS(dl_ht,dl_doc,F679,dl_rate,INDEX(p_rates,4))))</f>
        <v>0.0</v>
      </c>
      <c r="AO679" s="62">
        <f>IF(OR(AG679="",INDEX(p_rates,5)=""),0,IF(AG679="Facture",SUMIFS(fl_ht,fl_doc,A679,fl_rate,INDEX(p_rates,5)),SUMIFS(dl_ht,dl_doc,F679,dl_rate,INDEX(p_rates,5))))</f>
        <v>0.0</v>
      </c>
      <c r="AP679" s="62">
        <f>IF(OR(AG679="",INDEX(p_rates,6)=""),0,IF(AG679="Facture",SUMIFS(fl_ht,fl_doc,A679,fl_rate,INDEX(p_rates,6)),SUMIFS(dl_ht,dl_doc,F679,dl_rate,INDEX(p_rates,6))))</f>
        <v>0.0</v>
      </c>
      <c r="AQ679" s="62">
        <f>ROUND(AK679*N(INDEX(p_rates,1)),2)+ROUND(AL679*N(INDEX(p_rates,2)),2)+ROUND(AM679*N(INDEX(p_rates,3)),2)+ROUND(AN679*N(INDEX(p_rates,4)),2)+ROUND(AO679*N(INDEX(p_rates,5)),2)+ROUND(AP679*N(INDEX(p_rates,6)),2)</f>
        <v>0.0</v>
      </c>
      <c r="AR679" s="62" t="str">
        <f>IF(OR(L679="",AA679&lt;&gt;"Facture"),"",IFERROR(IF(INDEX(fa_type,MATCH(L679,fa_num,0))="Facture d'acompte",MATCH(L679,fa_num,0),""),""))</f>
        <v/>
      </c>
      <c r="AS679" s="62" t="str">
        <f>IF(W679="","",IF(W679&lt;=0,"",IF(p_asof-P679&lt;=0,"Non échu",IF(p_asof-P679&lt;=30,"1-30 j",IF(p_asof-P679&lt;=60,"31-60 j",IF(p_asof-P679&lt;=90,"61-90 j","Plus de 90 j"))))))</f>
        <v/>
      </c>
      <c r="AT679" s="62" t="str">
        <f>IF(AS679="","",p_asof-P679)</f>
        <v/>
      </c>
      <c r="AU679" s="62" t="str">
        <f>IF(AT679="","",COUNTIF($AT$6:$AT$805,"&gt;"&amp;AT679)+COUNTIF($AT$6:AT679,AT679))</f>
        <v/>
      </c>
    </row>
    <row r="680">
      <c r="A680" s="59" t="str">
        <f>IF(AE680="","",AB680&amp;"-"&amp;AD680&amp;"-"&amp;RIGHT("000"&amp;AE680,4))</f>
        <v/>
      </c>
      <c r="B680" s="60" t="n"/>
      <c r="C680" s="61" t="n"/>
      <c r="D680" s="60" t="n"/>
      <c r="E680" s="62" t="str">
        <f>IF(D680="","",IFERROR(INDEX(cli_name,MATCH(D680,cli_code,0))&amp;"","Client inconnu"))</f>
        <v/>
      </c>
      <c r="F680" s="60" t="n"/>
      <c r="G680" s="63" t="n"/>
      <c r="H680" s="61" t="n"/>
      <c r="I680" s="63" t="n"/>
      <c r="J680" s="60" t="n"/>
      <c r="K680" s="61" t="n"/>
      <c r="L680" s="60" t="n"/>
      <c r="M680" s="60" t="n"/>
      <c r="N680" s="60" t="n"/>
      <c r="O680" s="61" t="n"/>
      <c r="P680" s="64" t="str">
        <f>IF(A680="","",IF(AA680="Avoir",AC680,IF(ISNUMBER(K680),K680,AC680+IF(D680="",N(p_delay),IFERROR(IF(ISNUMBER(INDEX(cli_delay,MATCH(D680,cli_code,0))),INDEX(cli_delay,MATCH(D680,cli_code,0)),N(p_delay)),N(p_delay))))))</f>
        <v/>
      </c>
      <c r="Q680" s="65" t="str">
        <f>IF(A680="","",IF(AA680="Avoir",-1,1)*ROUND(AJ680-IF(AR680="",0,INDEX(fa_htb,AR680)),2))</f>
        <v/>
      </c>
      <c r="R680" s="65" t="str">
        <f>IF(A680="","",IF(AA680="Avoir",-1,1)*ROUND(AQ680-IF(AR680="",0,INDEX(fa_tvab,AR680)),2))</f>
        <v/>
      </c>
      <c r="S680" s="65" t="str">
        <f>IF(A680="","",Q680+R680)</f>
        <v/>
      </c>
      <c r="T680" s="65" t="str">
        <f>IF(AR680="","",INDEX(fa_htb,AR680)+INDEX(fa_tvab,AR680))</f>
        <v/>
      </c>
      <c r="U680" s="65" t="str">
        <f>IF(A680="","",SUMIF(pa_inv,A680,pa_amt))</f>
        <v/>
      </c>
      <c r="V680" s="65" t="str">
        <f>IF(OR(A680="",AA680="Avoir"),"",-SUMIFS(fa_ttc,fa_avof,A680,fa_type,"Avoir"))</f>
        <v/>
      </c>
      <c r="W680" s="65" t="str">
        <f>IF(OR(A680="",AA680="Avoir"),"",ROUND(S680-U680-V680,2))</f>
        <v/>
      </c>
      <c r="X680" s="66" t="str">
        <f>IF(W680="","",IF(AND(W680&gt;0,p_asof&gt;P680),p_asof-P680,""))</f>
        <v/>
      </c>
      <c r="Y680" s="59" t="str">
        <f>IF(A680="","",IF(AA680="Avoir","Avoir",IF(W680&lt;0,"Trop-perçu",IF(W680=0,"Soldée",IF(p_asof&gt;P680,"En retard",IF(U680+V680&gt;0,"Partielle","À échoir"))))))</f>
        <v/>
      </c>
      <c r="Z680" s="59" t="str">
        <f>IF(NOT(COUNTA(B680:D680,F680:O680)&gt;0),"",IF(C680="","Date manquante",IF(NOT(ISNUMBER(C680)),"Date invalide",IF(D680="","Client manquant",IF(ISNA(MATCH(D680,cli_code,0)),"Client inconnu",IF(AC680&lt;SUMPRODUCT(MAX(($AB$6:AB679=AB680)*$AC$6:AC679)),"Date antérieure à la facture précédente",IF(AND(F680&lt;&gt;"",ISNA(MATCH(F680,dv_num,0))),"Devis inconnu",IF(AND(F680&lt;&gt;"",IFERROR(INDEX(dv_client,MATCH(F680,dv_num,0)),D680)&lt;&gt;D680),"Client différent de celui du devis",IF(AG680="","Aucune ligne : saisissez des lignes ou un devis",IF(AND(AI680&lt;&gt;"",COUNTIF($AI$6:AI680,AI680)&gt;1),"Devis déjà repris par une autre facture",IF(AND(AA680="Avoir",M680=""),"Avoir : indiquez la facture d'origine",IF(AND(AA680="Avoir",ISNA(MATCH(M680,fa_num,0))),"Facture d'origine inconnue",IF(AND(AA680&lt;&gt;"Avoir",M680&lt;&gt;""),"« Avoir sur facture » : réservé aux avoirs",IF(AND(L680&lt;&gt;"",AA680&lt;&gt;"Facture"),"Acompte à déduire : réservé aux factures",IF(AND(L680&lt;&gt;"",ISNA(MATCH(L680,fa_num,0))),"Facture d'acompte inconnue",IF(AND(L680&lt;&gt;"",IFERROR(INDEX(fa_type,MATCH(L680,fa_num,0)),"")&lt;&gt;"Facture d'acompte"),"Le n° à déduire n'est pas une facture d'acompte",IF(AND(L680&lt;&gt;"",COUNTIF($L$6:L680,L680)&gt;1),"Acompte déjà déduit sur une autre facture",IF(AND(L680&lt;&gt;"",IFERROR(INDEX(fa_client,MATCH(L680,fa_num,0)),D680)&lt;&gt;D680),"Acompte d'un autre client",IF(AND(AR680&lt;&gt;"",N(Q680)&lt;0),"Acompte supérieur au total de la facture",IF(IF(AG680="Facture",COUNTIFS(fl_doc,A680,fl_check,"&lt;&gt;OK"),IF(AG680="Devis",COUNTIFS(dl_doc,F680,dl_check,"&lt;&gt;OK"),0))&gt;0,"Ligne(s) à corriger",IF(AND(W680&lt;&gt;"",N(W680)&lt;0),"Trop-perçu : vérifiez paiements et avoirs","OK")))))))))))))))))))))</f>
        <v/>
      </c>
      <c r="AA680" s="62" t="str">
        <f>IF(COUNTA(B680:D680,F680:O680)&gt;0,IF(B680="","Facture",B680),"")</f>
        <v/>
      </c>
      <c r="AB680" s="62" t="str">
        <f>IF(AA680="","",IF(AA680="Avoir",p_pav,IF(AA680="Facture d'acompte",p_pac,p_pfa)))</f>
        <v/>
      </c>
      <c r="AC680" s="62">
        <f>IF(ISNUMBER(C680),C680,0)</f>
        <v>0.0</v>
      </c>
      <c r="AD680" s="62" t="str">
        <f>IF(OR(AA680="",AC680=0),"",YEAR(AC680))</f>
        <v/>
      </c>
      <c r="AE680" s="62" t="str">
        <f>IF(AD680="","",COUNTIFS($AB$6:AB680,AB680,$AD$6:AD680,AD680))</f>
        <v/>
      </c>
      <c r="AF680" s="62">
        <f>IF(A680="",0,COUNTIF(fl_doc,A680))</f>
        <v>0.0</v>
      </c>
      <c r="AG680" s="62" t="str">
        <f>IF(A680="","",IF(AF680&gt;0,"Facture",IF(AND(F680&lt;&gt;"",AA680="Facture",ISNUMBER(MATCH(F680,dv_num,0))),"Devis","")))</f>
        <v/>
      </c>
      <c r="AH680" s="62" t="str">
        <f>IF(AND(A680&lt;&gt;"",F680&lt;&gt;"",AA680&lt;&gt;"Avoir"),F680,"")</f>
        <v/>
      </c>
      <c r="AI680" s="62" t="str">
        <f>IF(AG680="Devis",F680,"")</f>
        <v/>
      </c>
      <c r="AJ680" s="62">
        <f>IF(AG680="Facture",SUMIF(fl_doc,A680,fl_ht),IF(AG680="Devis",SUMIF(dl_doc,F680,dl_ht),0))</f>
        <v>0.0</v>
      </c>
      <c r="AK680" s="62">
        <f>IF(OR(AG680="",INDEX(p_rates,1)=""),0,IF(AG680="Facture",SUMIFS(fl_ht,fl_doc,A680,fl_rate,INDEX(p_rates,1)),SUMIFS(dl_ht,dl_doc,F680,dl_rate,INDEX(p_rates,1))))</f>
        <v>0.0</v>
      </c>
      <c r="AL680" s="62">
        <f>IF(OR(AG680="",INDEX(p_rates,2)=""),0,IF(AG680="Facture",SUMIFS(fl_ht,fl_doc,A680,fl_rate,INDEX(p_rates,2)),SUMIFS(dl_ht,dl_doc,F680,dl_rate,INDEX(p_rates,2))))</f>
        <v>0.0</v>
      </c>
      <c r="AM680" s="62">
        <f>IF(OR(AG680="",INDEX(p_rates,3)=""),0,IF(AG680="Facture",SUMIFS(fl_ht,fl_doc,A680,fl_rate,INDEX(p_rates,3)),SUMIFS(dl_ht,dl_doc,F680,dl_rate,INDEX(p_rates,3))))</f>
        <v>0.0</v>
      </c>
      <c r="AN680" s="62">
        <f>IF(OR(AG680="",INDEX(p_rates,4)=""),0,IF(AG680="Facture",SUMIFS(fl_ht,fl_doc,A680,fl_rate,INDEX(p_rates,4)),SUMIFS(dl_ht,dl_doc,F680,dl_rate,INDEX(p_rates,4))))</f>
        <v>0.0</v>
      </c>
      <c r="AO680" s="62">
        <f>IF(OR(AG680="",INDEX(p_rates,5)=""),0,IF(AG680="Facture",SUMIFS(fl_ht,fl_doc,A680,fl_rate,INDEX(p_rates,5)),SUMIFS(dl_ht,dl_doc,F680,dl_rate,INDEX(p_rates,5))))</f>
        <v>0.0</v>
      </c>
      <c r="AP680" s="62">
        <f>IF(OR(AG680="",INDEX(p_rates,6)=""),0,IF(AG680="Facture",SUMIFS(fl_ht,fl_doc,A680,fl_rate,INDEX(p_rates,6)),SUMIFS(dl_ht,dl_doc,F680,dl_rate,INDEX(p_rates,6))))</f>
        <v>0.0</v>
      </c>
      <c r="AQ680" s="62">
        <f>ROUND(AK680*N(INDEX(p_rates,1)),2)+ROUND(AL680*N(INDEX(p_rates,2)),2)+ROUND(AM680*N(INDEX(p_rates,3)),2)+ROUND(AN680*N(INDEX(p_rates,4)),2)+ROUND(AO680*N(INDEX(p_rates,5)),2)+ROUND(AP680*N(INDEX(p_rates,6)),2)</f>
        <v>0.0</v>
      </c>
      <c r="AR680" s="62" t="str">
        <f>IF(OR(L680="",AA680&lt;&gt;"Facture"),"",IFERROR(IF(INDEX(fa_type,MATCH(L680,fa_num,0))="Facture d'acompte",MATCH(L680,fa_num,0),""),""))</f>
        <v/>
      </c>
      <c r="AS680" s="62" t="str">
        <f>IF(W680="","",IF(W680&lt;=0,"",IF(p_asof-P680&lt;=0,"Non échu",IF(p_asof-P680&lt;=30,"1-30 j",IF(p_asof-P680&lt;=60,"31-60 j",IF(p_asof-P680&lt;=90,"61-90 j","Plus de 90 j"))))))</f>
        <v/>
      </c>
      <c r="AT680" s="62" t="str">
        <f>IF(AS680="","",p_asof-P680)</f>
        <v/>
      </c>
      <c r="AU680" s="62" t="str">
        <f>IF(AT680="","",COUNTIF($AT$6:$AT$805,"&gt;"&amp;AT680)+COUNTIF($AT$6:AT680,AT680))</f>
        <v/>
      </c>
    </row>
    <row r="681">
      <c r="A681" s="59" t="str">
        <f>IF(AE681="","",AB681&amp;"-"&amp;AD681&amp;"-"&amp;RIGHT("000"&amp;AE681,4))</f>
        <v/>
      </c>
      <c r="B681" s="60" t="n"/>
      <c r="C681" s="61" t="n"/>
      <c r="D681" s="60" t="n"/>
      <c r="E681" s="62" t="str">
        <f>IF(D681="","",IFERROR(INDEX(cli_name,MATCH(D681,cli_code,0))&amp;"","Client inconnu"))</f>
        <v/>
      </c>
      <c r="F681" s="60" t="n"/>
      <c r="G681" s="63" t="n"/>
      <c r="H681" s="61" t="n"/>
      <c r="I681" s="63" t="n"/>
      <c r="J681" s="60" t="n"/>
      <c r="K681" s="61" t="n"/>
      <c r="L681" s="60" t="n"/>
      <c r="M681" s="60" t="n"/>
      <c r="N681" s="60" t="n"/>
      <c r="O681" s="61" t="n"/>
      <c r="P681" s="64" t="str">
        <f>IF(A681="","",IF(AA681="Avoir",AC681,IF(ISNUMBER(K681),K681,AC681+IF(D681="",N(p_delay),IFERROR(IF(ISNUMBER(INDEX(cli_delay,MATCH(D681,cli_code,0))),INDEX(cli_delay,MATCH(D681,cli_code,0)),N(p_delay)),N(p_delay))))))</f>
        <v/>
      </c>
      <c r="Q681" s="65" t="str">
        <f>IF(A681="","",IF(AA681="Avoir",-1,1)*ROUND(AJ681-IF(AR681="",0,INDEX(fa_htb,AR681)),2))</f>
        <v/>
      </c>
      <c r="R681" s="65" t="str">
        <f>IF(A681="","",IF(AA681="Avoir",-1,1)*ROUND(AQ681-IF(AR681="",0,INDEX(fa_tvab,AR681)),2))</f>
        <v/>
      </c>
      <c r="S681" s="65" t="str">
        <f>IF(A681="","",Q681+R681)</f>
        <v/>
      </c>
      <c r="T681" s="65" t="str">
        <f>IF(AR681="","",INDEX(fa_htb,AR681)+INDEX(fa_tvab,AR681))</f>
        <v/>
      </c>
      <c r="U681" s="65" t="str">
        <f>IF(A681="","",SUMIF(pa_inv,A681,pa_amt))</f>
        <v/>
      </c>
      <c r="V681" s="65" t="str">
        <f>IF(OR(A681="",AA681="Avoir"),"",-SUMIFS(fa_ttc,fa_avof,A681,fa_type,"Avoir"))</f>
        <v/>
      </c>
      <c r="W681" s="65" t="str">
        <f>IF(OR(A681="",AA681="Avoir"),"",ROUND(S681-U681-V681,2))</f>
        <v/>
      </c>
      <c r="X681" s="66" t="str">
        <f>IF(W681="","",IF(AND(W681&gt;0,p_asof&gt;P681),p_asof-P681,""))</f>
        <v/>
      </c>
      <c r="Y681" s="59" t="str">
        <f>IF(A681="","",IF(AA681="Avoir","Avoir",IF(W681&lt;0,"Trop-perçu",IF(W681=0,"Soldée",IF(p_asof&gt;P681,"En retard",IF(U681+V681&gt;0,"Partielle","À échoir"))))))</f>
        <v/>
      </c>
      <c r="Z681" s="59" t="str">
        <f>IF(NOT(COUNTA(B681:D681,F681:O681)&gt;0),"",IF(C681="","Date manquante",IF(NOT(ISNUMBER(C681)),"Date invalide",IF(D681="","Client manquant",IF(ISNA(MATCH(D681,cli_code,0)),"Client inconnu",IF(AC681&lt;SUMPRODUCT(MAX(($AB$6:AB680=AB681)*$AC$6:AC680)),"Date antérieure à la facture précédente",IF(AND(F681&lt;&gt;"",ISNA(MATCH(F681,dv_num,0))),"Devis inconnu",IF(AND(F681&lt;&gt;"",IFERROR(INDEX(dv_client,MATCH(F681,dv_num,0)),D681)&lt;&gt;D681),"Client différent de celui du devis",IF(AG681="","Aucune ligne : saisissez des lignes ou un devis",IF(AND(AI681&lt;&gt;"",COUNTIF($AI$6:AI681,AI681)&gt;1),"Devis déjà repris par une autre facture",IF(AND(AA681="Avoir",M681=""),"Avoir : indiquez la facture d'origine",IF(AND(AA681="Avoir",ISNA(MATCH(M681,fa_num,0))),"Facture d'origine inconnue",IF(AND(AA681&lt;&gt;"Avoir",M681&lt;&gt;""),"« Avoir sur facture » : réservé aux avoirs",IF(AND(L681&lt;&gt;"",AA681&lt;&gt;"Facture"),"Acompte à déduire : réservé aux factures",IF(AND(L681&lt;&gt;"",ISNA(MATCH(L681,fa_num,0))),"Facture d'acompte inconnue",IF(AND(L681&lt;&gt;"",IFERROR(INDEX(fa_type,MATCH(L681,fa_num,0)),"")&lt;&gt;"Facture d'acompte"),"Le n° à déduire n'est pas une facture d'acompte",IF(AND(L681&lt;&gt;"",COUNTIF($L$6:L681,L681)&gt;1),"Acompte déjà déduit sur une autre facture",IF(AND(L681&lt;&gt;"",IFERROR(INDEX(fa_client,MATCH(L681,fa_num,0)),D681)&lt;&gt;D681),"Acompte d'un autre client",IF(AND(AR681&lt;&gt;"",N(Q681)&lt;0),"Acompte supérieur au total de la facture",IF(IF(AG681="Facture",COUNTIFS(fl_doc,A681,fl_check,"&lt;&gt;OK"),IF(AG681="Devis",COUNTIFS(dl_doc,F681,dl_check,"&lt;&gt;OK"),0))&gt;0,"Ligne(s) à corriger",IF(AND(W681&lt;&gt;"",N(W681)&lt;0),"Trop-perçu : vérifiez paiements et avoirs","OK")))))))))))))))))))))</f>
        <v/>
      </c>
      <c r="AA681" s="62" t="str">
        <f>IF(COUNTA(B681:D681,F681:O681)&gt;0,IF(B681="","Facture",B681),"")</f>
        <v/>
      </c>
      <c r="AB681" s="62" t="str">
        <f>IF(AA681="","",IF(AA681="Avoir",p_pav,IF(AA681="Facture d'acompte",p_pac,p_pfa)))</f>
        <v/>
      </c>
      <c r="AC681" s="62">
        <f>IF(ISNUMBER(C681),C681,0)</f>
        <v>0.0</v>
      </c>
      <c r="AD681" s="62" t="str">
        <f>IF(OR(AA681="",AC681=0),"",YEAR(AC681))</f>
        <v/>
      </c>
      <c r="AE681" s="62" t="str">
        <f>IF(AD681="","",COUNTIFS($AB$6:AB681,AB681,$AD$6:AD681,AD681))</f>
        <v/>
      </c>
      <c r="AF681" s="62">
        <f>IF(A681="",0,COUNTIF(fl_doc,A681))</f>
        <v>0.0</v>
      </c>
      <c r="AG681" s="62" t="str">
        <f>IF(A681="","",IF(AF681&gt;0,"Facture",IF(AND(F681&lt;&gt;"",AA681="Facture",ISNUMBER(MATCH(F681,dv_num,0))),"Devis","")))</f>
        <v/>
      </c>
      <c r="AH681" s="62" t="str">
        <f>IF(AND(A681&lt;&gt;"",F681&lt;&gt;"",AA681&lt;&gt;"Avoir"),F681,"")</f>
        <v/>
      </c>
      <c r="AI681" s="62" t="str">
        <f>IF(AG681="Devis",F681,"")</f>
        <v/>
      </c>
      <c r="AJ681" s="62">
        <f>IF(AG681="Facture",SUMIF(fl_doc,A681,fl_ht),IF(AG681="Devis",SUMIF(dl_doc,F681,dl_ht),0))</f>
        <v>0.0</v>
      </c>
      <c r="AK681" s="62">
        <f>IF(OR(AG681="",INDEX(p_rates,1)=""),0,IF(AG681="Facture",SUMIFS(fl_ht,fl_doc,A681,fl_rate,INDEX(p_rates,1)),SUMIFS(dl_ht,dl_doc,F681,dl_rate,INDEX(p_rates,1))))</f>
        <v>0.0</v>
      </c>
      <c r="AL681" s="62">
        <f>IF(OR(AG681="",INDEX(p_rates,2)=""),0,IF(AG681="Facture",SUMIFS(fl_ht,fl_doc,A681,fl_rate,INDEX(p_rates,2)),SUMIFS(dl_ht,dl_doc,F681,dl_rate,INDEX(p_rates,2))))</f>
        <v>0.0</v>
      </c>
      <c r="AM681" s="62">
        <f>IF(OR(AG681="",INDEX(p_rates,3)=""),0,IF(AG681="Facture",SUMIFS(fl_ht,fl_doc,A681,fl_rate,INDEX(p_rates,3)),SUMIFS(dl_ht,dl_doc,F681,dl_rate,INDEX(p_rates,3))))</f>
        <v>0.0</v>
      </c>
      <c r="AN681" s="62">
        <f>IF(OR(AG681="",INDEX(p_rates,4)=""),0,IF(AG681="Facture",SUMIFS(fl_ht,fl_doc,A681,fl_rate,INDEX(p_rates,4)),SUMIFS(dl_ht,dl_doc,F681,dl_rate,INDEX(p_rates,4))))</f>
        <v>0.0</v>
      </c>
      <c r="AO681" s="62">
        <f>IF(OR(AG681="",INDEX(p_rates,5)=""),0,IF(AG681="Facture",SUMIFS(fl_ht,fl_doc,A681,fl_rate,INDEX(p_rates,5)),SUMIFS(dl_ht,dl_doc,F681,dl_rate,INDEX(p_rates,5))))</f>
        <v>0.0</v>
      </c>
      <c r="AP681" s="62">
        <f>IF(OR(AG681="",INDEX(p_rates,6)=""),0,IF(AG681="Facture",SUMIFS(fl_ht,fl_doc,A681,fl_rate,INDEX(p_rates,6)),SUMIFS(dl_ht,dl_doc,F681,dl_rate,INDEX(p_rates,6))))</f>
        <v>0.0</v>
      </c>
      <c r="AQ681" s="62">
        <f>ROUND(AK681*N(INDEX(p_rates,1)),2)+ROUND(AL681*N(INDEX(p_rates,2)),2)+ROUND(AM681*N(INDEX(p_rates,3)),2)+ROUND(AN681*N(INDEX(p_rates,4)),2)+ROUND(AO681*N(INDEX(p_rates,5)),2)+ROUND(AP681*N(INDEX(p_rates,6)),2)</f>
        <v>0.0</v>
      </c>
      <c r="AR681" s="62" t="str">
        <f>IF(OR(L681="",AA681&lt;&gt;"Facture"),"",IFERROR(IF(INDEX(fa_type,MATCH(L681,fa_num,0))="Facture d'acompte",MATCH(L681,fa_num,0),""),""))</f>
        <v/>
      </c>
      <c r="AS681" s="62" t="str">
        <f>IF(W681="","",IF(W681&lt;=0,"",IF(p_asof-P681&lt;=0,"Non échu",IF(p_asof-P681&lt;=30,"1-30 j",IF(p_asof-P681&lt;=60,"31-60 j",IF(p_asof-P681&lt;=90,"61-90 j","Plus de 90 j"))))))</f>
        <v/>
      </c>
      <c r="AT681" s="62" t="str">
        <f>IF(AS681="","",p_asof-P681)</f>
        <v/>
      </c>
      <c r="AU681" s="62" t="str">
        <f>IF(AT681="","",COUNTIF($AT$6:$AT$805,"&gt;"&amp;AT681)+COUNTIF($AT$6:AT681,AT681))</f>
        <v/>
      </c>
    </row>
    <row r="682">
      <c r="A682" s="59" t="str">
        <f>IF(AE682="","",AB682&amp;"-"&amp;AD682&amp;"-"&amp;RIGHT("000"&amp;AE682,4))</f>
        <v/>
      </c>
      <c r="B682" s="60" t="n"/>
      <c r="C682" s="61" t="n"/>
      <c r="D682" s="60" t="n"/>
      <c r="E682" s="62" t="str">
        <f>IF(D682="","",IFERROR(INDEX(cli_name,MATCH(D682,cli_code,0))&amp;"","Client inconnu"))</f>
        <v/>
      </c>
      <c r="F682" s="60" t="n"/>
      <c r="G682" s="63" t="n"/>
      <c r="H682" s="61" t="n"/>
      <c r="I682" s="63" t="n"/>
      <c r="J682" s="60" t="n"/>
      <c r="K682" s="61" t="n"/>
      <c r="L682" s="60" t="n"/>
      <c r="M682" s="60" t="n"/>
      <c r="N682" s="60" t="n"/>
      <c r="O682" s="61" t="n"/>
      <c r="P682" s="64" t="str">
        <f>IF(A682="","",IF(AA682="Avoir",AC682,IF(ISNUMBER(K682),K682,AC682+IF(D682="",N(p_delay),IFERROR(IF(ISNUMBER(INDEX(cli_delay,MATCH(D682,cli_code,0))),INDEX(cli_delay,MATCH(D682,cli_code,0)),N(p_delay)),N(p_delay))))))</f>
        <v/>
      </c>
      <c r="Q682" s="65" t="str">
        <f>IF(A682="","",IF(AA682="Avoir",-1,1)*ROUND(AJ682-IF(AR682="",0,INDEX(fa_htb,AR682)),2))</f>
        <v/>
      </c>
      <c r="R682" s="65" t="str">
        <f>IF(A682="","",IF(AA682="Avoir",-1,1)*ROUND(AQ682-IF(AR682="",0,INDEX(fa_tvab,AR682)),2))</f>
        <v/>
      </c>
      <c r="S682" s="65" t="str">
        <f>IF(A682="","",Q682+R682)</f>
        <v/>
      </c>
      <c r="T682" s="65" t="str">
        <f>IF(AR682="","",INDEX(fa_htb,AR682)+INDEX(fa_tvab,AR682))</f>
        <v/>
      </c>
      <c r="U682" s="65" t="str">
        <f>IF(A682="","",SUMIF(pa_inv,A682,pa_amt))</f>
        <v/>
      </c>
      <c r="V682" s="65" t="str">
        <f>IF(OR(A682="",AA682="Avoir"),"",-SUMIFS(fa_ttc,fa_avof,A682,fa_type,"Avoir"))</f>
        <v/>
      </c>
      <c r="W682" s="65" t="str">
        <f>IF(OR(A682="",AA682="Avoir"),"",ROUND(S682-U682-V682,2))</f>
        <v/>
      </c>
      <c r="X682" s="66" t="str">
        <f>IF(W682="","",IF(AND(W682&gt;0,p_asof&gt;P682),p_asof-P682,""))</f>
        <v/>
      </c>
      <c r="Y682" s="59" t="str">
        <f>IF(A682="","",IF(AA682="Avoir","Avoir",IF(W682&lt;0,"Trop-perçu",IF(W682=0,"Soldée",IF(p_asof&gt;P682,"En retard",IF(U682+V682&gt;0,"Partielle","À échoir"))))))</f>
        <v/>
      </c>
      <c r="Z682" s="59" t="str">
        <f>IF(NOT(COUNTA(B682:D682,F682:O682)&gt;0),"",IF(C682="","Date manquante",IF(NOT(ISNUMBER(C682)),"Date invalide",IF(D682="","Client manquant",IF(ISNA(MATCH(D682,cli_code,0)),"Client inconnu",IF(AC682&lt;SUMPRODUCT(MAX(($AB$6:AB681=AB682)*$AC$6:AC681)),"Date antérieure à la facture précédente",IF(AND(F682&lt;&gt;"",ISNA(MATCH(F682,dv_num,0))),"Devis inconnu",IF(AND(F682&lt;&gt;"",IFERROR(INDEX(dv_client,MATCH(F682,dv_num,0)),D682)&lt;&gt;D682),"Client différent de celui du devis",IF(AG682="","Aucune ligne : saisissez des lignes ou un devis",IF(AND(AI682&lt;&gt;"",COUNTIF($AI$6:AI682,AI682)&gt;1),"Devis déjà repris par une autre facture",IF(AND(AA682="Avoir",M682=""),"Avoir : indiquez la facture d'origine",IF(AND(AA682="Avoir",ISNA(MATCH(M682,fa_num,0))),"Facture d'origine inconnue",IF(AND(AA682&lt;&gt;"Avoir",M682&lt;&gt;""),"« Avoir sur facture » : réservé aux avoirs",IF(AND(L682&lt;&gt;"",AA682&lt;&gt;"Facture"),"Acompte à déduire : réservé aux factures",IF(AND(L682&lt;&gt;"",ISNA(MATCH(L682,fa_num,0))),"Facture d'acompte inconnue",IF(AND(L682&lt;&gt;"",IFERROR(INDEX(fa_type,MATCH(L682,fa_num,0)),"")&lt;&gt;"Facture d'acompte"),"Le n° à déduire n'est pas une facture d'acompte",IF(AND(L682&lt;&gt;"",COUNTIF($L$6:L682,L682)&gt;1),"Acompte déjà déduit sur une autre facture",IF(AND(L682&lt;&gt;"",IFERROR(INDEX(fa_client,MATCH(L682,fa_num,0)),D682)&lt;&gt;D682),"Acompte d'un autre client",IF(AND(AR682&lt;&gt;"",N(Q682)&lt;0),"Acompte supérieur au total de la facture",IF(IF(AG682="Facture",COUNTIFS(fl_doc,A682,fl_check,"&lt;&gt;OK"),IF(AG682="Devis",COUNTIFS(dl_doc,F682,dl_check,"&lt;&gt;OK"),0))&gt;0,"Ligne(s) à corriger",IF(AND(W682&lt;&gt;"",N(W682)&lt;0),"Trop-perçu : vérifiez paiements et avoirs","OK")))))))))))))))))))))</f>
        <v/>
      </c>
      <c r="AA682" s="62" t="str">
        <f>IF(COUNTA(B682:D682,F682:O682)&gt;0,IF(B682="","Facture",B682),"")</f>
        <v/>
      </c>
      <c r="AB682" s="62" t="str">
        <f>IF(AA682="","",IF(AA682="Avoir",p_pav,IF(AA682="Facture d'acompte",p_pac,p_pfa)))</f>
        <v/>
      </c>
      <c r="AC682" s="62">
        <f>IF(ISNUMBER(C682),C682,0)</f>
        <v>0.0</v>
      </c>
      <c r="AD682" s="62" t="str">
        <f>IF(OR(AA682="",AC682=0),"",YEAR(AC682))</f>
        <v/>
      </c>
      <c r="AE682" s="62" t="str">
        <f>IF(AD682="","",COUNTIFS($AB$6:AB682,AB682,$AD$6:AD682,AD682))</f>
        <v/>
      </c>
      <c r="AF682" s="62">
        <f>IF(A682="",0,COUNTIF(fl_doc,A682))</f>
        <v>0.0</v>
      </c>
      <c r="AG682" s="62" t="str">
        <f>IF(A682="","",IF(AF682&gt;0,"Facture",IF(AND(F682&lt;&gt;"",AA682="Facture",ISNUMBER(MATCH(F682,dv_num,0))),"Devis","")))</f>
        <v/>
      </c>
      <c r="AH682" s="62" t="str">
        <f>IF(AND(A682&lt;&gt;"",F682&lt;&gt;"",AA682&lt;&gt;"Avoir"),F682,"")</f>
        <v/>
      </c>
      <c r="AI682" s="62" t="str">
        <f>IF(AG682="Devis",F682,"")</f>
        <v/>
      </c>
      <c r="AJ682" s="62">
        <f>IF(AG682="Facture",SUMIF(fl_doc,A682,fl_ht),IF(AG682="Devis",SUMIF(dl_doc,F682,dl_ht),0))</f>
        <v>0.0</v>
      </c>
      <c r="AK682" s="62">
        <f>IF(OR(AG682="",INDEX(p_rates,1)=""),0,IF(AG682="Facture",SUMIFS(fl_ht,fl_doc,A682,fl_rate,INDEX(p_rates,1)),SUMIFS(dl_ht,dl_doc,F682,dl_rate,INDEX(p_rates,1))))</f>
        <v>0.0</v>
      </c>
      <c r="AL682" s="62">
        <f>IF(OR(AG682="",INDEX(p_rates,2)=""),0,IF(AG682="Facture",SUMIFS(fl_ht,fl_doc,A682,fl_rate,INDEX(p_rates,2)),SUMIFS(dl_ht,dl_doc,F682,dl_rate,INDEX(p_rates,2))))</f>
        <v>0.0</v>
      </c>
      <c r="AM682" s="62">
        <f>IF(OR(AG682="",INDEX(p_rates,3)=""),0,IF(AG682="Facture",SUMIFS(fl_ht,fl_doc,A682,fl_rate,INDEX(p_rates,3)),SUMIFS(dl_ht,dl_doc,F682,dl_rate,INDEX(p_rates,3))))</f>
        <v>0.0</v>
      </c>
      <c r="AN682" s="62">
        <f>IF(OR(AG682="",INDEX(p_rates,4)=""),0,IF(AG682="Facture",SUMIFS(fl_ht,fl_doc,A682,fl_rate,INDEX(p_rates,4)),SUMIFS(dl_ht,dl_doc,F682,dl_rate,INDEX(p_rates,4))))</f>
        <v>0.0</v>
      </c>
      <c r="AO682" s="62">
        <f>IF(OR(AG682="",INDEX(p_rates,5)=""),0,IF(AG682="Facture",SUMIFS(fl_ht,fl_doc,A682,fl_rate,INDEX(p_rates,5)),SUMIFS(dl_ht,dl_doc,F682,dl_rate,INDEX(p_rates,5))))</f>
        <v>0.0</v>
      </c>
      <c r="AP682" s="62">
        <f>IF(OR(AG682="",INDEX(p_rates,6)=""),0,IF(AG682="Facture",SUMIFS(fl_ht,fl_doc,A682,fl_rate,INDEX(p_rates,6)),SUMIFS(dl_ht,dl_doc,F682,dl_rate,INDEX(p_rates,6))))</f>
        <v>0.0</v>
      </c>
      <c r="AQ682" s="62">
        <f>ROUND(AK682*N(INDEX(p_rates,1)),2)+ROUND(AL682*N(INDEX(p_rates,2)),2)+ROUND(AM682*N(INDEX(p_rates,3)),2)+ROUND(AN682*N(INDEX(p_rates,4)),2)+ROUND(AO682*N(INDEX(p_rates,5)),2)+ROUND(AP682*N(INDEX(p_rates,6)),2)</f>
        <v>0.0</v>
      </c>
      <c r="AR682" s="62" t="str">
        <f>IF(OR(L682="",AA682&lt;&gt;"Facture"),"",IFERROR(IF(INDEX(fa_type,MATCH(L682,fa_num,0))="Facture d'acompte",MATCH(L682,fa_num,0),""),""))</f>
        <v/>
      </c>
      <c r="AS682" s="62" t="str">
        <f>IF(W682="","",IF(W682&lt;=0,"",IF(p_asof-P682&lt;=0,"Non échu",IF(p_asof-P682&lt;=30,"1-30 j",IF(p_asof-P682&lt;=60,"31-60 j",IF(p_asof-P682&lt;=90,"61-90 j","Plus de 90 j"))))))</f>
        <v/>
      </c>
      <c r="AT682" s="62" t="str">
        <f>IF(AS682="","",p_asof-P682)</f>
        <v/>
      </c>
      <c r="AU682" s="62" t="str">
        <f>IF(AT682="","",COUNTIF($AT$6:$AT$805,"&gt;"&amp;AT682)+COUNTIF($AT$6:AT682,AT682))</f>
        <v/>
      </c>
    </row>
    <row r="683">
      <c r="A683" s="59" t="str">
        <f>IF(AE683="","",AB683&amp;"-"&amp;AD683&amp;"-"&amp;RIGHT("000"&amp;AE683,4))</f>
        <v/>
      </c>
      <c r="B683" s="60" t="n"/>
      <c r="C683" s="61" t="n"/>
      <c r="D683" s="60" t="n"/>
      <c r="E683" s="62" t="str">
        <f>IF(D683="","",IFERROR(INDEX(cli_name,MATCH(D683,cli_code,0))&amp;"","Client inconnu"))</f>
        <v/>
      </c>
      <c r="F683" s="60" t="n"/>
      <c r="G683" s="63" t="n"/>
      <c r="H683" s="61" t="n"/>
      <c r="I683" s="63" t="n"/>
      <c r="J683" s="60" t="n"/>
      <c r="K683" s="61" t="n"/>
      <c r="L683" s="60" t="n"/>
      <c r="M683" s="60" t="n"/>
      <c r="N683" s="60" t="n"/>
      <c r="O683" s="61" t="n"/>
      <c r="P683" s="64" t="str">
        <f>IF(A683="","",IF(AA683="Avoir",AC683,IF(ISNUMBER(K683),K683,AC683+IF(D683="",N(p_delay),IFERROR(IF(ISNUMBER(INDEX(cli_delay,MATCH(D683,cli_code,0))),INDEX(cli_delay,MATCH(D683,cli_code,0)),N(p_delay)),N(p_delay))))))</f>
        <v/>
      </c>
      <c r="Q683" s="65" t="str">
        <f>IF(A683="","",IF(AA683="Avoir",-1,1)*ROUND(AJ683-IF(AR683="",0,INDEX(fa_htb,AR683)),2))</f>
        <v/>
      </c>
      <c r="R683" s="65" t="str">
        <f>IF(A683="","",IF(AA683="Avoir",-1,1)*ROUND(AQ683-IF(AR683="",0,INDEX(fa_tvab,AR683)),2))</f>
        <v/>
      </c>
      <c r="S683" s="65" t="str">
        <f>IF(A683="","",Q683+R683)</f>
        <v/>
      </c>
      <c r="T683" s="65" t="str">
        <f>IF(AR683="","",INDEX(fa_htb,AR683)+INDEX(fa_tvab,AR683))</f>
        <v/>
      </c>
      <c r="U683" s="65" t="str">
        <f>IF(A683="","",SUMIF(pa_inv,A683,pa_amt))</f>
        <v/>
      </c>
      <c r="V683" s="65" t="str">
        <f>IF(OR(A683="",AA683="Avoir"),"",-SUMIFS(fa_ttc,fa_avof,A683,fa_type,"Avoir"))</f>
        <v/>
      </c>
      <c r="W683" s="65" t="str">
        <f>IF(OR(A683="",AA683="Avoir"),"",ROUND(S683-U683-V683,2))</f>
        <v/>
      </c>
      <c r="X683" s="66" t="str">
        <f>IF(W683="","",IF(AND(W683&gt;0,p_asof&gt;P683),p_asof-P683,""))</f>
        <v/>
      </c>
      <c r="Y683" s="59" t="str">
        <f>IF(A683="","",IF(AA683="Avoir","Avoir",IF(W683&lt;0,"Trop-perçu",IF(W683=0,"Soldée",IF(p_asof&gt;P683,"En retard",IF(U683+V683&gt;0,"Partielle","À échoir"))))))</f>
        <v/>
      </c>
      <c r="Z683" s="59" t="str">
        <f>IF(NOT(COUNTA(B683:D683,F683:O683)&gt;0),"",IF(C683="","Date manquante",IF(NOT(ISNUMBER(C683)),"Date invalide",IF(D683="","Client manquant",IF(ISNA(MATCH(D683,cli_code,0)),"Client inconnu",IF(AC683&lt;SUMPRODUCT(MAX(($AB$6:AB682=AB683)*$AC$6:AC682)),"Date antérieure à la facture précédente",IF(AND(F683&lt;&gt;"",ISNA(MATCH(F683,dv_num,0))),"Devis inconnu",IF(AND(F683&lt;&gt;"",IFERROR(INDEX(dv_client,MATCH(F683,dv_num,0)),D683)&lt;&gt;D683),"Client différent de celui du devis",IF(AG683="","Aucune ligne : saisissez des lignes ou un devis",IF(AND(AI683&lt;&gt;"",COUNTIF($AI$6:AI683,AI683)&gt;1),"Devis déjà repris par une autre facture",IF(AND(AA683="Avoir",M683=""),"Avoir : indiquez la facture d'origine",IF(AND(AA683="Avoir",ISNA(MATCH(M683,fa_num,0))),"Facture d'origine inconnue",IF(AND(AA683&lt;&gt;"Avoir",M683&lt;&gt;""),"« Avoir sur facture » : réservé aux avoirs",IF(AND(L683&lt;&gt;"",AA683&lt;&gt;"Facture"),"Acompte à déduire : réservé aux factures",IF(AND(L683&lt;&gt;"",ISNA(MATCH(L683,fa_num,0))),"Facture d'acompte inconnue",IF(AND(L683&lt;&gt;"",IFERROR(INDEX(fa_type,MATCH(L683,fa_num,0)),"")&lt;&gt;"Facture d'acompte"),"Le n° à déduire n'est pas une facture d'acompte",IF(AND(L683&lt;&gt;"",COUNTIF($L$6:L683,L683)&gt;1),"Acompte déjà déduit sur une autre facture",IF(AND(L683&lt;&gt;"",IFERROR(INDEX(fa_client,MATCH(L683,fa_num,0)),D683)&lt;&gt;D683),"Acompte d'un autre client",IF(AND(AR683&lt;&gt;"",N(Q683)&lt;0),"Acompte supérieur au total de la facture",IF(IF(AG683="Facture",COUNTIFS(fl_doc,A683,fl_check,"&lt;&gt;OK"),IF(AG683="Devis",COUNTIFS(dl_doc,F683,dl_check,"&lt;&gt;OK"),0))&gt;0,"Ligne(s) à corriger",IF(AND(W683&lt;&gt;"",N(W683)&lt;0),"Trop-perçu : vérifiez paiements et avoirs","OK")))))))))))))))))))))</f>
        <v/>
      </c>
      <c r="AA683" s="62" t="str">
        <f>IF(COUNTA(B683:D683,F683:O683)&gt;0,IF(B683="","Facture",B683),"")</f>
        <v/>
      </c>
      <c r="AB683" s="62" t="str">
        <f>IF(AA683="","",IF(AA683="Avoir",p_pav,IF(AA683="Facture d'acompte",p_pac,p_pfa)))</f>
        <v/>
      </c>
      <c r="AC683" s="62">
        <f>IF(ISNUMBER(C683),C683,0)</f>
        <v>0.0</v>
      </c>
      <c r="AD683" s="62" t="str">
        <f>IF(OR(AA683="",AC683=0),"",YEAR(AC683))</f>
        <v/>
      </c>
      <c r="AE683" s="62" t="str">
        <f>IF(AD683="","",COUNTIFS($AB$6:AB683,AB683,$AD$6:AD683,AD683))</f>
        <v/>
      </c>
      <c r="AF683" s="62">
        <f>IF(A683="",0,COUNTIF(fl_doc,A683))</f>
        <v>0.0</v>
      </c>
      <c r="AG683" s="62" t="str">
        <f>IF(A683="","",IF(AF683&gt;0,"Facture",IF(AND(F683&lt;&gt;"",AA683="Facture",ISNUMBER(MATCH(F683,dv_num,0))),"Devis","")))</f>
        <v/>
      </c>
      <c r="AH683" s="62" t="str">
        <f>IF(AND(A683&lt;&gt;"",F683&lt;&gt;"",AA683&lt;&gt;"Avoir"),F683,"")</f>
        <v/>
      </c>
      <c r="AI683" s="62" t="str">
        <f>IF(AG683="Devis",F683,"")</f>
        <v/>
      </c>
      <c r="AJ683" s="62">
        <f>IF(AG683="Facture",SUMIF(fl_doc,A683,fl_ht),IF(AG683="Devis",SUMIF(dl_doc,F683,dl_ht),0))</f>
        <v>0.0</v>
      </c>
      <c r="AK683" s="62">
        <f>IF(OR(AG683="",INDEX(p_rates,1)=""),0,IF(AG683="Facture",SUMIFS(fl_ht,fl_doc,A683,fl_rate,INDEX(p_rates,1)),SUMIFS(dl_ht,dl_doc,F683,dl_rate,INDEX(p_rates,1))))</f>
        <v>0.0</v>
      </c>
      <c r="AL683" s="62">
        <f>IF(OR(AG683="",INDEX(p_rates,2)=""),0,IF(AG683="Facture",SUMIFS(fl_ht,fl_doc,A683,fl_rate,INDEX(p_rates,2)),SUMIFS(dl_ht,dl_doc,F683,dl_rate,INDEX(p_rates,2))))</f>
        <v>0.0</v>
      </c>
      <c r="AM683" s="62">
        <f>IF(OR(AG683="",INDEX(p_rates,3)=""),0,IF(AG683="Facture",SUMIFS(fl_ht,fl_doc,A683,fl_rate,INDEX(p_rates,3)),SUMIFS(dl_ht,dl_doc,F683,dl_rate,INDEX(p_rates,3))))</f>
        <v>0.0</v>
      </c>
      <c r="AN683" s="62">
        <f>IF(OR(AG683="",INDEX(p_rates,4)=""),0,IF(AG683="Facture",SUMIFS(fl_ht,fl_doc,A683,fl_rate,INDEX(p_rates,4)),SUMIFS(dl_ht,dl_doc,F683,dl_rate,INDEX(p_rates,4))))</f>
        <v>0.0</v>
      </c>
      <c r="AO683" s="62">
        <f>IF(OR(AG683="",INDEX(p_rates,5)=""),0,IF(AG683="Facture",SUMIFS(fl_ht,fl_doc,A683,fl_rate,INDEX(p_rates,5)),SUMIFS(dl_ht,dl_doc,F683,dl_rate,INDEX(p_rates,5))))</f>
        <v>0.0</v>
      </c>
      <c r="AP683" s="62">
        <f>IF(OR(AG683="",INDEX(p_rates,6)=""),0,IF(AG683="Facture",SUMIFS(fl_ht,fl_doc,A683,fl_rate,INDEX(p_rates,6)),SUMIFS(dl_ht,dl_doc,F683,dl_rate,INDEX(p_rates,6))))</f>
        <v>0.0</v>
      </c>
      <c r="AQ683" s="62">
        <f>ROUND(AK683*N(INDEX(p_rates,1)),2)+ROUND(AL683*N(INDEX(p_rates,2)),2)+ROUND(AM683*N(INDEX(p_rates,3)),2)+ROUND(AN683*N(INDEX(p_rates,4)),2)+ROUND(AO683*N(INDEX(p_rates,5)),2)+ROUND(AP683*N(INDEX(p_rates,6)),2)</f>
        <v>0.0</v>
      </c>
      <c r="AR683" s="62" t="str">
        <f>IF(OR(L683="",AA683&lt;&gt;"Facture"),"",IFERROR(IF(INDEX(fa_type,MATCH(L683,fa_num,0))="Facture d'acompte",MATCH(L683,fa_num,0),""),""))</f>
        <v/>
      </c>
      <c r="AS683" s="62" t="str">
        <f>IF(W683="","",IF(W683&lt;=0,"",IF(p_asof-P683&lt;=0,"Non échu",IF(p_asof-P683&lt;=30,"1-30 j",IF(p_asof-P683&lt;=60,"31-60 j",IF(p_asof-P683&lt;=90,"61-90 j","Plus de 90 j"))))))</f>
        <v/>
      </c>
      <c r="AT683" s="62" t="str">
        <f>IF(AS683="","",p_asof-P683)</f>
        <v/>
      </c>
      <c r="AU683" s="62" t="str">
        <f>IF(AT683="","",COUNTIF($AT$6:$AT$805,"&gt;"&amp;AT683)+COUNTIF($AT$6:AT683,AT683))</f>
        <v/>
      </c>
    </row>
    <row r="684">
      <c r="A684" s="59" t="str">
        <f>IF(AE684="","",AB684&amp;"-"&amp;AD684&amp;"-"&amp;RIGHT("000"&amp;AE684,4))</f>
        <v/>
      </c>
      <c r="B684" s="60" t="n"/>
      <c r="C684" s="61" t="n"/>
      <c r="D684" s="60" t="n"/>
      <c r="E684" s="62" t="str">
        <f>IF(D684="","",IFERROR(INDEX(cli_name,MATCH(D684,cli_code,0))&amp;"","Client inconnu"))</f>
        <v/>
      </c>
      <c r="F684" s="60" t="n"/>
      <c r="G684" s="63" t="n"/>
      <c r="H684" s="61" t="n"/>
      <c r="I684" s="63" t="n"/>
      <c r="J684" s="60" t="n"/>
      <c r="K684" s="61" t="n"/>
      <c r="L684" s="60" t="n"/>
      <c r="M684" s="60" t="n"/>
      <c r="N684" s="60" t="n"/>
      <c r="O684" s="61" t="n"/>
      <c r="P684" s="64" t="str">
        <f>IF(A684="","",IF(AA684="Avoir",AC684,IF(ISNUMBER(K684),K684,AC684+IF(D684="",N(p_delay),IFERROR(IF(ISNUMBER(INDEX(cli_delay,MATCH(D684,cli_code,0))),INDEX(cli_delay,MATCH(D684,cli_code,0)),N(p_delay)),N(p_delay))))))</f>
        <v/>
      </c>
      <c r="Q684" s="65" t="str">
        <f>IF(A684="","",IF(AA684="Avoir",-1,1)*ROUND(AJ684-IF(AR684="",0,INDEX(fa_htb,AR684)),2))</f>
        <v/>
      </c>
      <c r="R684" s="65" t="str">
        <f>IF(A684="","",IF(AA684="Avoir",-1,1)*ROUND(AQ684-IF(AR684="",0,INDEX(fa_tvab,AR684)),2))</f>
        <v/>
      </c>
      <c r="S684" s="65" t="str">
        <f>IF(A684="","",Q684+R684)</f>
        <v/>
      </c>
      <c r="T684" s="65" t="str">
        <f>IF(AR684="","",INDEX(fa_htb,AR684)+INDEX(fa_tvab,AR684))</f>
        <v/>
      </c>
      <c r="U684" s="65" t="str">
        <f>IF(A684="","",SUMIF(pa_inv,A684,pa_amt))</f>
        <v/>
      </c>
      <c r="V684" s="65" t="str">
        <f>IF(OR(A684="",AA684="Avoir"),"",-SUMIFS(fa_ttc,fa_avof,A684,fa_type,"Avoir"))</f>
        <v/>
      </c>
      <c r="W684" s="65" t="str">
        <f>IF(OR(A684="",AA684="Avoir"),"",ROUND(S684-U684-V684,2))</f>
        <v/>
      </c>
      <c r="X684" s="66" t="str">
        <f>IF(W684="","",IF(AND(W684&gt;0,p_asof&gt;P684),p_asof-P684,""))</f>
        <v/>
      </c>
      <c r="Y684" s="59" t="str">
        <f>IF(A684="","",IF(AA684="Avoir","Avoir",IF(W684&lt;0,"Trop-perçu",IF(W684=0,"Soldée",IF(p_asof&gt;P684,"En retard",IF(U684+V684&gt;0,"Partielle","À échoir"))))))</f>
        <v/>
      </c>
      <c r="Z684" s="59" t="str">
        <f>IF(NOT(COUNTA(B684:D684,F684:O684)&gt;0),"",IF(C684="","Date manquante",IF(NOT(ISNUMBER(C684)),"Date invalide",IF(D684="","Client manquant",IF(ISNA(MATCH(D684,cli_code,0)),"Client inconnu",IF(AC684&lt;SUMPRODUCT(MAX(($AB$6:AB683=AB684)*$AC$6:AC683)),"Date antérieure à la facture précédente",IF(AND(F684&lt;&gt;"",ISNA(MATCH(F684,dv_num,0))),"Devis inconnu",IF(AND(F684&lt;&gt;"",IFERROR(INDEX(dv_client,MATCH(F684,dv_num,0)),D684)&lt;&gt;D684),"Client différent de celui du devis",IF(AG684="","Aucune ligne : saisissez des lignes ou un devis",IF(AND(AI684&lt;&gt;"",COUNTIF($AI$6:AI684,AI684)&gt;1),"Devis déjà repris par une autre facture",IF(AND(AA684="Avoir",M684=""),"Avoir : indiquez la facture d'origine",IF(AND(AA684="Avoir",ISNA(MATCH(M684,fa_num,0))),"Facture d'origine inconnue",IF(AND(AA684&lt;&gt;"Avoir",M684&lt;&gt;""),"« Avoir sur facture » : réservé aux avoirs",IF(AND(L684&lt;&gt;"",AA684&lt;&gt;"Facture"),"Acompte à déduire : réservé aux factures",IF(AND(L684&lt;&gt;"",ISNA(MATCH(L684,fa_num,0))),"Facture d'acompte inconnue",IF(AND(L684&lt;&gt;"",IFERROR(INDEX(fa_type,MATCH(L684,fa_num,0)),"")&lt;&gt;"Facture d'acompte"),"Le n° à déduire n'est pas une facture d'acompte",IF(AND(L684&lt;&gt;"",COUNTIF($L$6:L684,L684)&gt;1),"Acompte déjà déduit sur une autre facture",IF(AND(L684&lt;&gt;"",IFERROR(INDEX(fa_client,MATCH(L684,fa_num,0)),D684)&lt;&gt;D684),"Acompte d'un autre client",IF(AND(AR684&lt;&gt;"",N(Q684)&lt;0),"Acompte supérieur au total de la facture",IF(IF(AG684="Facture",COUNTIFS(fl_doc,A684,fl_check,"&lt;&gt;OK"),IF(AG684="Devis",COUNTIFS(dl_doc,F684,dl_check,"&lt;&gt;OK"),0))&gt;0,"Ligne(s) à corriger",IF(AND(W684&lt;&gt;"",N(W684)&lt;0),"Trop-perçu : vérifiez paiements et avoirs","OK")))))))))))))))))))))</f>
        <v/>
      </c>
      <c r="AA684" s="62" t="str">
        <f>IF(COUNTA(B684:D684,F684:O684)&gt;0,IF(B684="","Facture",B684),"")</f>
        <v/>
      </c>
      <c r="AB684" s="62" t="str">
        <f>IF(AA684="","",IF(AA684="Avoir",p_pav,IF(AA684="Facture d'acompte",p_pac,p_pfa)))</f>
        <v/>
      </c>
      <c r="AC684" s="62">
        <f>IF(ISNUMBER(C684),C684,0)</f>
        <v>0.0</v>
      </c>
      <c r="AD684" s="62" t="str">
        <f>IF(OR(AA684="",AC684=0),"",YEAR(AC684))</f>
        <v/>
      </c>
      <c r="AE684" s="62" t="str">
        <f>IF(AD684="","",COUNTIFS($AB$6:AB684,AB684,$AD$6:AD684,AD684))</f>
        <v/>
      </c>
      <c r="AF684" s="62">
        <f>IF(A684="",0,COUNTIF(fl_doc,A684))</f>
        <v>0.0</v>
      </c>
      <c r="AG684" s="62" t="str">
        <f>IF(A684="","",IF(AF684&gt;0,"Facture",IF(AND(F684&lt;&gt;"",AA684="Facture",ISNUMBER(MATCH(F684,dv_num,0))),"Devis","")))</f>
        <v/>
      </c>
      <c r="AH684" s="62" t="str">
        <f>IF(AND(A684&lt;&gt;"",F684&lt;&gt;"",AA684&lt;&gt;"Avoir"),F684,"")</f>
        <v/>
      </c>
      <c r="AI684" s="62" t="str">
        <f>IF(AG684="Devis",F684,"")</f>
        <v/>
      </c>
      <c r="AJ684" s="62">
        <f>IF(AG684="Facture",SUMIF(fl_doc,A684,fl_ht),IF(AG684="Devis",SUMIF(dl_doc,F684,dl_ht),0))</f>
        <v>0.0</v>
      </c>
      <c r="AK684" s="62">
        <f>IF(OR(AG684="",INDEX(p_rates,1)=""),0,IF(AG684="Facture",SUMIFS(fl_ht,fl_doc,A684,fl_rate,INDEX(p_rates,1)),SUMIFS(dl_ht,dl_doc,F684,dl_rate,INDEX(p_rates,1))))</f>
        <v>0.0</v>
      </c>
      <c r="AL684" s="62">
        <f>IF(OR(AG684="",INDEX(p_rates,2)=""),0,IF(AG684="Facture",SUMIFS(fl_ht,fl_doc,A684,fl_rate,INDEX(p_rates,2)),SUMIFS(dl_ht,dl_doc,F684,dl_rate,INDEX(p_rates,2))))</f>
        <v>0.0</v>
      </c>
      <c r="AM684" s="62">
        <f>IF(OR(AG684="",INDEX(p_rates,3)=""),0,IF(AG684="Facture",SUMIFS(fl_ht,fl_doc,A684,fl_rate,INDEX(p_rates,3)),SUMIFS(dl_ht,dl_doc,F684,dl_rate,INDEX(p_rates,3))))</f>
        <v>0.0</v>
      </c>
      <c r="AN684" s="62">
        <f>IF(OR(AG684="",INDEX(p_rates,4)=""),0,IF(AG684="Facture",SUMIFS(fl_ht,fl_doc,A684,fl_rate,INDEX(p_rates,4)),SUMIFS(dl_ht,dl_doc,F684,dl_rate,INDEX(p_rates,4))))</f>
        <v>0.0</v>
      </c>
      <c r="AO684" s="62">
        <f>IF(OR(AG684="",INDEX(p_rates,5)=""),0,IF(AG684="Facture",SUMIFS(fl_ht,fl_doc,A684,fl_rate,INDEX(p_rates,5)),SUMIFS(dl_ht,dl_doc,F684,dl_rate,INDEX(p_rates,5))))</f>
        <v>0.0</v>
      </c>
      <c r="AP684" s="62">
        <f>IF(OR(AG684="",INDEX(p_rates,6)=""),0,IF(AG684="Facture",SUMIFS(fl_ht,fl_doc,A684,fl_rate,INDEX(p_rates,6)),SUMIFS(dl_ht,dl_doc,F684,dl_rate,INDEX(p_rates,6))))</f>
        <v>0.0</v>
      </c>
      <c r="AQ684" s="62">
        <f>ROUND(AK684*N(INDEX(p_rates,1)),2)+ROUND(AL684*N(INDEX(p_rates,2)),2)+ROUND(AM684*N(INDEX(p_rates,3)),2)+ROUND(AN684*N(INDEX(p_rates,4)),2)+ROUND(AO684*N(INDEX(p_rates,5)),2)+ROUND(AP684*N(INDEX(p_rates,6)),2)</f>
        <v>0.0</v>
      </c>
      <c r="AR684" s="62" t="str">
        <f>IF(OR(L684="",AA684&lt;&gt;"Facture"),"",IFERROR(IF(INDEX(fa_type,MATCH(L684,fa_num,0))="Facture d'acompte",MATCH(L684,fa_num,0),""),""))</f>
        <v/>
      </c>
      <c r="AS684" s="62" t="str">
        <f>IF(W684="","",IF(W684&lt;=0,"",IF(p_asof-P684&lt;=0,"Non échu",IF(p_asof-P684&lt;=30,"1-30 j",IF(p_asof-P684&lt;=60,"31-60 j",IF(p_asof-P684&lt;=90,"61-90 j","Plus de 90 j"))))))</f>
        <v/>
      </c>
      <c r="AT684" s="62" t="str">
        <f>IF(AS684="","",p_asof-P684)</f>
        <v/>
      </c>
      <c r="AU684" s="62" t="str">
        <f>IF(AT684="","",COUNTIF($AT$6:$AT$805,"&gt;"&amp;AT684)+COUNTIF($AT$6:AT684,AT684))</f>
        <v/>
      </c>
    </row>
    <row r="685">
      <c r="A685" s="59" t="str">
        <f>IF(AE685="","",AB685&amp;"-"&amp;AD685&amp;"-"&amp;RIGHT("000"&amp;AE685,4))</f>
        <v/>
      </c>
      <c r="B685" s="60" t="n"/>
      <c r="C685" s="61" t="n"/>
      <c r="D685" s="60" t="n"/>
      <c r="E685" s="62" t="str">
        <f>IF(D685="","",IFERROR(INDEX(cli_name,MATCH(D685,cli_code,0))&amp;"","Client inconnu"))</f>
        <v/>
      </c>
      <c r="F685" s="60" t="n"/>
      <c r="G685" s="63" t="n"/>
      <c r="H685" s="61" t="n"/>
      <c r="I685" s="63" t="n"/>
      <c r="J685" s="60" t="n"/>
      <c r="K685" s="61" t="n"/>
      <c r="L685" s="60" t="n"/>
      <c r="M685" s="60" t="n"/>
      <c r="N685" s="60" t="n"/>
      <c r="O685" s="61" t="n"/>
      <c r="P685" s="64" t="str">
        <f>IF(A685="","",IF(AA685="Avoir",AC685,IF(ISNUMBER(K685),K685,AC685+IF(D685="",N(p_delay),IFERROR(IF(ISNUMBER(INDEX(cli_delay,MATCH(D685,cli_code,0))),INDEX(cli_delay,MATCH(D685,cli_code,0)),N(p_delay)),N(p_delay))))))</f>
        <v/>
      </c>
      <c r="Q685" s="65" t="str">
        <f>IF(A685="","",IF(AA685="Avoir",-1,1)*ROUND(AJ685-IF(AR685="",0,INDEX(fa_htb,AR685)),2))</f>
        <v/>
      </c>
      <c r="R685" s="65" t="str">
        <f>IF(A685="","",IF(AA685="Avoir",-1,1)*ROUND(AQ685-IF(AR685="",0,INDEX(fa_tvab,AR685)),2))</f>
        <v/>
      </c>
      <c r="S685" s="65" t="str">
        <f>IF(A685="","",Q685+R685)</f>
        <v/>
      </c>
      <c r="T685" s="65" t="str">
        <f>IF(AR685="","",INDEX(fa_htb,AR685)+INDEX(fa_tvab,AR685))</f>
        <v/>
      </c>
      <c r="U685" s="65" t="str">
        <f>IF(A685="","",SUMIF(pa_inv,A685,pa_amt))</f>
        <v/>
      </c>
      <c r="V685" s="65" t="str">
        <f>IF(OR(A685="",AA685="Avoir"),"",-SUMIFS(fa_ttc,fa_avof,A685,fa_type,"Avoir"))</f>
        <v/>
      </c>
      <c r="W685" s="65" t="str">
        <f>IF(OR(A685="",AA685="Avoir"),"",ROUND(S685-U685-V685,2))</f>
        <v/>
      </c>
      <c r="X685" s="66" t="str">
        <f>IF(W685="","",IF(AND(W685&gt;0,p_asof&gt;P685),p_asof-P685,""))</f>
        <v/>
      </c>
      <c r="Y685" s="59" t="str">
        <f>IF(A685="","",IF(AA685="Avoir","Avoir",IF(W685&lt;0,"Trop-perçu",IF(W685=0,"Soldée",IF(p_asof&gt;P685,"En retard",IF(U685+V685&gt;0,"Partielle","À échoir"))))))</f>
        <v/>
      </c>
      <c r="Z685" s="59" t="str">
        <f>IF(NOT(COUNTA(B685:D685,F685:O685)&gt;0),"",IF(C685="","Date manquante",IF(NOT(ISNUMBER(C685)),"Date invalide",IF(D685="","Client manquant",IF(ISNA(MATCH(D685,cli_code,0)),"Client inconnu",IF(AC685&lt;SUMPRODUCT(MAX(($AB$6:AB684=AB685)*$AC$6:AC684)),"Date antérieure à la facture précédente",IF(AND(F685&lt;&gt;"",ISNA(MATCH(F685,dv_num,0))),"Devis inconnu",IF(AND(F685&lt;&gt;"",IFERROR(INDEX(dv_client,MATCH(F685,dv_num,0)),D685)&lt;&gt;D685),"Client différent de celui du devis",IF(AG685="","Aucune ligne : saisissez des lignes ou un devis",IF(AND(AI685&lt;&gt;"",COUNTIF($AI$6:AI685,AI685)&gt;1),"Devis déjà repris par une autre facture",IF(AND(AA685="Avoir",M685=""),"Avoir : indiquez la facture d'origine",IF(AND(AA685="Avoir",ISNA(MATCH(M685,fa_num,0))),"Facture d'origine inconnue",IF(AND(AA685&lt;&gt;"Avoir",M685&lt;&gt;""),"« Avoir sur facture » : réservé aux avoirs",IF(AND(L685&lt;&gt;"",AA685&lt;&gt;"Facture"),"Acompte à déduire : réservé aux factures",IF(AND(L685&lt;&gt;"",ISNA(MATCH(L685,fa_num,0))),"Facture d'acompte inconnue",IF(AND(L685&lt;&gt;"",IFERROR(INDEX(fa_type,MATCH(L685,fa_num,0)),"")&lt;&gt;"Facture d'acompte"),"Le n° à déduire n'est pas une facture d'acompte",IF(AND(L685&lt;&gt;"",COUNTIF($L$6:L685,L685)&gt;1),"Acompte déjà déduit sur une autre facture",IF(AND(L685&lt;&gt;"",IFERROR(INDEX(fa_client,MATCH(L685,fa_num,0)),D685)&lt;&gt;D685),"Acompte d'un autre client",IF(AND(AR685&lt;&gt;"",N(Q685)&lt;0),"Acompte supérieur au total de la facture",IF(IF(AG685="Facture",COUNTIFS(fl_doc,A685,fl_check,"&lt;&gt;OK"),IF(AG685="Devis",COUNTIFS(dl_doc,F685,dl_check,"&lt;&gt;OK"),0))&gt;0,"Ligne(s) à corriger",IF(AND(W685&lt;&gt;"",N(W685)&lt;0),"Trop-perçu : vérifiez paiements et avoirs","OK")))))))))))))))))))))</f>
        <v/>
      </c>
      <c r="AA685" s="62" t="str">
        <f>IF(COUNTA(B685:D685,F685:O685)&gt;0,IF(B685="","Facture",B685),"")</f>
        <v/>
      </c>
      <c r="AB685" s="62" t="str">
        <f>IF(AA685="","",IF(AA685="Avoir",p_pav,IF(AA685="Facture d'acompte",p_pac,p_pfa)))</f>
        <v/>
      </c>
      <c r="AC685" s="62">
        <f>IF(ISNUMBER(C685),C685,0)</f>
        <v>0.0</v>
      </c>
      <c r="AD685" s="62" t="str">
        <f>IF(OR(AA685="",AC685=0),"",YEAR(AC685))</f>
        <v/>
      </c>
      <c r="AE685" s="62" t="str">
        <f>IF(AD685="","",COUNTIFS($AB$6:AB685,AB685,$AD$6:AD685,AD685))</f>
        <v/>
      </c>
      <c r="AF685" s="62">
        <f>IF(A685="",0,COUNTIF(fl_doc,A685))</f>
        <v>0.0</v>
      </c>
      <c r="AG685" s="62" t="str">
        <f>IF(A685="","",IF(AF685&gt;0,"Facture",IF(AND(F685&lt;&gt;"",AA685="Facture",ISNUMBER(MATCH(F685,dv_num,0))),"Devis","")))</f>
        <v/>
      </c>
      <c r="AH685" s="62" t="str">
        <f>IF(AND(A685&lt;&gt;"",F685&lt;&gt;"",AA685&lt;&gt;"Avoir"),F685,"")</f>
        <v/>
      </c>
      <c r="AI685" s="62" t="str">
        <f>IF(AG685="Devis",F685,"")</f>
        <v/>
      </c>
      <c r="AJ685" s="62">
        <f>IF(AG685="Facture",SUMIF(fl_doc,A685,fl_ht),IF(AG685="Devis",SUMIF(dl_doc,F685,dl_ht),0))</f>
        <v>0.0</v>
      </c>
      <c r="AK685" s="62">
        <f>IF(OR(AG685="",INDEX(p_rates,1)=""),0,IF(AG685="Facture",SUMIFS(fl_ht,fl_doc,A685,fl_rate,INDEX(p_rates,1)),SUMIFS(dl_ht,dl_doc,F685,dl_rate,INDEX(p_rates,1))))</f>
        <v>0.0</v>
      </c>
      <c r="AL685" s="62">
        <f>IF(OR(AG685="",INDEX(p_rates,2)=""),0,IF(AG685="Facture",SUMIFS(fl_ht,fl_doc,A685,fl_rate,INDEX(p_rates,2)),SUMIFS(dl_ht,dl_doc,F685,dl_rate,INDEX(p_rates,2))))</f>
        <v>0.0</v>
      </c>
      <c r="AM685" s="62">
        <f>IF(OR(AG685="",INDEX(p_rates,3)=""),0,IF(AG685="Facture",SUMIFS(fl_ht,fl_doc,A685,fl_rate,INDEX(p_rates,3)),SUMIFS(dl_ht,dl_doc,F685,dl_rate,INDEX(p_rates,3))))</f>
        <v>0.0</v>
      </c>
      <c r="AN685" s="62">
        <f>IF(OR(AG685="",INDEX(p_rates,4)=""),0,IF(AG685="Facture",SUMIFS(fl_ht,fl_doc,A685,fl_rate,INDEX(p_rates,4)),SUMIFS(dl_ht,dl_doc,F685,dl_rate,INDEX(p_rates,4))))</f>
        <v>0.0</v>
      </c>
      <c r="AO685" s="62">
        <f>IF(OR(AG685="",INDEX(p_rates,5)=""),0,IF(AG685="Facture",SUMIFS(fl_ht,fl_doc,A685,fl_rate,INDEX(p_rates,5)),SUMIFS(dl_ht,dl_doc,F685,dl_rate,INDEX(p_rates,5))))</f>
        <v>0.0</v>
      </c>
      <c r="AP685" s="62">
        <f>IF(OR(AG685="",INDEX(p_rates,6)=""),0,IF(AG685="Facture",SUMIFS(fl_ht,fl_doc,A685,fl_rate,INDEX(p_rates,6)),SUMIFS(dl_ht,dl_doc,F685,dl_rate,INDEX(p_rates,6))))</f>
        <v>0.0</v>
      </c>
      <c r="AQ685" s="62">
        <f>ROUND(AK685*N(INDEX(p_rates,1)),2)+ROUND(AL685*N(INDEX(p_rates,2)),2)+ROUND(AM685*N(INDEX(p_rates,3)),2)+ROUND(AN685*N(INDEX(p_rates,4)),2)+ROUND(AO685*N(INDEX(p_rates,5)),2)+ROUND(AP685*N(INDEX(p_rates,6)),2)</f>
        <v>0.0</v>
      </c>
      <c r="AR685" s="62" t="str">
        <f>IF(OR(L685="",AA685&lt;&gt;"Facture"),"",IFERROR(IF(INDEX(fa_type,MATCH(L685,fa_num,0))="Facture d'acompte",MATCH(L685,fa_num,0),""),""))</f>
        <v/>
      </c>
      <c r="AS685" s="62" t="str">
        <f>IF(W685="","",IF(W685&lt;=0,"",IF(p_asof-P685&lt;=0,"Non échu",IF(p_asof-P685&lt;=30,"1-30 j",IF(p_asof-P685&lt;=60,"31-60 j",IF(p_asof-P685&lt;=90,"61-90 j","Plus de 90 j"))))))</f>
        <v/>
      </c>
      <c r="AT685" s="62" t="str">
        <f>IF(AS685="","",p_asof-P685)</f>
        <v/>
      </c>
      <c r="AU685" s="62" t="str">
        <f>IF(AT685="","",COUNTIF($AT$6:$AT$805,"&gt;"&amp;AT685)+COUNTIF($AT$6:AT685,AT685))</f>
        <v/>
      </c>
    </row>
    <row r="686">
      <c r="A686" s="59" t="str">
        <f>IF(AE686="","",AB686&amp;"-"&amp;AD686&amp;"-"&amp;RIGHT("000"&amp;AE686,4))</f>
        <v/>
      </c>
      <c r="B686" s="60" t="n"/>
      <c r="C686" s="61" t="n"/>
      <c r="D686" s="60" t="n"/>
      <c r="E686" s="62" t="str">
        <f>IF(D686="","",IFERROR(INDEX(cli_name,MATCH(D686,cli_code,0))&amp;"","Client inconnu"))</f>
        <v/>
      </c>
      <c r="F686" s="60" t="n"/>
      <c r="G686" s="63" t="n"/>
      <c r="H686" s="61" t="n"/>
      <c r="I686" s="63" t="n"/>
      <c r="J686" s="60" t="n"/>
      <c r="K686" s="61" t="n"/>
      <c r="L686" s="60" t="n"/>
      <c r="M686" s="60" t="n"/>
      <c r="N686" s="60" t="n"/>
      <c r="O686" s="61" t="n"/>
      <c r="P686" s="64" t="str">
        <f>IF(A686="","",IF(AA686="Avoir",AC686,IF(ISNUMBER(K686),K686,AC686+IF(D686="",N(p_delay),IFERROR(IF(ISNUMBER(INDEX(cli_delay,MATCH(D686,cli_code,0))),INDEX(cli_delay,MATCH(D686,cli_code,0)),N(p_delay)),N(p_delay))))))</f>
        <v/>
      </c>
      <c r="Q686" s="65" t="str">
        <f>IF(A686="","",IF(AA686="Avoir",-1,1)*ROUND(AJ686-IF(AR686="",0,INDEX(fa_htb,AR686)),2))</f>
        <v/>
      </c>
      <c r="R686" s="65" t="str">
        <f>IF(A686="","",IF(AA686="Avoir",-1,1)*ROUND(AQ686-IF(AR686="",0,INDEX(fa_tvab,AR686)),2))</f>
        <v/>
      </c>
      <c r="S686" s="65" t="str">
        <f>IF(A686="","",Q686+R686)</f>
        <v/>
      </c>
      <c r="T686" s="65" t="str">
        <f>IF(AR686="","",INDEX(fa_htb,AR686)+INDEX(fa_tvab,AR686))</f>
        <v/>
      </c>
      <c r="U686" s="65" t="str">
        <f>IF(A686="","",SUMIF(pa_inv,A686,pa_amt))</f>
        <v/>
      </c>
      <c r="V686" s="65" t="str">
        <f>IF(OR(A686="",AA686="Avoir"),"",-SUMIFS(fa_ttc,fa_avof,A686,fa_type,"Avoir"))</f>
        <v/>
      </c>
      <c r="W686" s="65" t="str">
        <f>IF(OR(A686="",AA686="Avoir"),"",ROUND(S686-U686-V686,2))</f>
        <v/>
      </c>
      <c r="X686" s="66" t="str">
        <f>IF(W686="","",IF(AND(W686&gt;0,p_asof&gt;P686),p_asof-P686,""))</f>
        <v/>
      </c>
      <c r="Y686" s="59" t="str">
        <f>IF(A686="","",IF(AA686="Avoir","Avoir",IF(W686&lt;0,"Trop-perçu",IF(W686=0,"Soldée",IF(p_asof&gt;P686,"En retard",IF(U686+V686&gt;0,"Partielle","À échoir"))))))</f>
        <v/>
      </c>
      <c r="Z686" s="59" t="str">
        <f>IF(NOT(COUNTA(B686:D686,F686:O686)&gt;0),"",IF(C686="","Date manquante",IF(NOT(ISNUMBER(C686)),"Date invalide",IF(D686="","Client manquant",IF(ISNA(MATCH(D686,cli_code,0)),"Client inconnu",IF(AC686&lt;SUMPRODUCT(MAX(($AB$6:AB685=AB686)*$AC$6:AC685)),"Date antérieure à la facture précédente",IF(AND(F686&lt;&gt;"",ISNA(MATCH(F686,dv_num,0))),"Devis inconnu",IF(AND(F686&lt;&gt;"",IFERROR(INDEX(dv_client,MATCH(F686,dv_num,0)),D686)&lt;&gt;D686),"Client différent de celui du devis",IF(AG686="","Aucune ligne : saisissez des lignes ou un devis",IF(AND(AI686&lt;&gt;"",COUNTIF($AI$6:AI686,AI686)&gt;1),"Devis déjà repris par une autre facture",IF(AND(AA686="Avoir",M686=""),"Avoir : indiquez la facture d'origine",IF(AND(AA686="Avoir",ISNA(MATCH(M686,fa_num,0))),"Facture d'origine inconnue",IF(AND(AA686&lt;&gt;"Avoir",M686&lt;&gt;""),"« Avoir sur facture » : réservé aux avoirs",IF(AND(L686&lt;&gt;"",AA686&lt;&gt;"Facture"),"Acompte à déduire : réservé aux factures",IF(AND(L686&lt;&gt;"",ISNA(MATCH(L686,fa_num,0))),"Facture d'acompte inconnue",IF(AND(L686&lt;&gt;"",IFERROR(INDEX(fa_type,MATCH(L686,fa_num,0)),"")&lt;&gt;"Facture d'acompte"),"Le n° à déduire n'est pas une facture d'acompte",IF(AND(L686&lt;&gt;"",COUNTIF($L$6:L686,L686)&gt;1),"Acompte déjà déduit sur une autre facture",IF(AND(L686&lt;&gt;"",IFERROR(INDEX(fa_client,MATCH(L686,fa_num,0)),D686)&lt;&gt;D686),"Acompte d'un autre client",IF(AND(AR686&lt;&gt;"",N(Q686)&lt;0),"Acompte supérieur au total de la facture",IF(IF(AG686="Facture",COUNTIFS(fl_doc,A686,fl_check,"&lt;&gt;OK"),IF(AG686="Devis",COUNTIFS(dl_doc,F686,dl_check,"&lt;&gt;OK"),0))&gt;0,"Ligne(s) à corriger",IF(AND(W686&lt;&gt;"",N(W686)&lt;0),"Trop-perçu : vérifiez paiements et avoirs","OK")))))))))))))))))))))</f>
        <v/>
      </c>
      <c r="AA686" s="62" t="str">
        <f>IF(COUNTA(B686:D686,F686:O686)&gt;0,IF(B686="","Facture",B686),"")</f>
        <v/>
      </c>
      <c r="AB686" s="62" t="str">
        <f>IF(AA686="","",IF(AA686="Avoir",p_pav,IF(AA686="Facture d'acompte",p_pac,p_pfa)))</f>
        <v/>
      </c>
      <c r="AC686" s="62">
        <f>IF(ISNUMBER(C686),C686,0)</f>
        <v>0.0</v>
      </c>
      <c r="AD686" s="62" t="str">
        <f>IF(OR(AA686="",AC686=0),"",YEAR(AC686))</f>
        <v/>
      </c>
      <c r="AE686" s="62" t="str">
        <f>IF(AD686="","",COUNTIFS($AB$6:AB686,AB686,$AD$6:AD686,AD686))</f>
        <v/>
      </c>
      <c r="AF686" s="62">
        <f>IF(A686="",0,COUNTIF(fl_doc,A686))</f>
        <v>0.0</v>
      </c>
      <c r="AG686" s="62" t="str">
        <f>IF(A686="","",IF(AF686&gt;0,"Facture",IF(AND(F686&lt;&gt;"",AA686="Facture",ISNUMBER(MATCH(F686,dv_num,0))),"Devis","")))</f>
        <v/>
      </c>
      <c r="AH686" s="62" t="str">
        <f>IF(AND(A686&lt;&gt;"",F686&lt;&gt;"",AA686&lt;&gt;"Avoir"),F686,"")</f>
        <v/>
      </c>
      <c r="AI686" s="62" t="str">
        <f>IF(AG686="Devis",F686,"")</f>
        <v/>
      </c>
      <c r="AJ686" s="62">
        <f>IF(AG686="Facture",SUMIF(fl_doc,A686,fl_ht),IF(AG686="Devis",SUMIF(dl_doc,F686,dl_ht),0))</f>
        <v>0.0</v>
      </c>
      <c r="AK686" s="62">
        <f>IF(OR(AG686="",INDEX(p_rates,1)=""),0,IF(AG686="Facture",SUMIFS(fl_ht,fl_doc,A686,fl_rate,INDEX(p_rates,1)),SUMIFS(dl_ht,dl_doc,F686,dl_rate,INDEX(p_rates,1))))</f>
        <v>0.0</v>
      </c>
      <c r="AL686" s="62">
        <f>IF(OR(AG686="",INDEX(p_rates,2)=""),0,IF(AG686="Facture",SUMIFS(fl_ht,fl_doc,A686,fl_rate,INDEX(p_rates,2)),SUMIFS(dl_ht,dl_doc,F686,dl_rate,INDEX(p_rates,2))))</f>
        <v>0.0</v>
      </c>
      <c r="AM686" s="62">
        <f>IF(OR(AG686="",INDEX(p_rates,3)=""),0,IF(AG686="Facture",SUMIFS(fl_ht,fl_doc,A686,fl_rate,INDEX(p_rates,3)),SUMIFS(dl_ht,dl_doc,F686,dl_rate,INDEX(p_rates,3))))</f>
        <v>0.0</v>
      </c>
      <c r="AN686" s="62">
        <f>IF(OR(AG686="",INDEX(p_rates,4)=""),0,IF(AG686="Facture",SUMIFS(fl_ht,fl_doc,A686,fl_rate,INDEX(p_rates,4)),SUMIFS(dl_ht,dl_doc,F686,dl_rate,INDEX(p_rates,4))))</f>
        <v>0.0</v>
      </c>
      <c r="AO686" s="62">
        <f>IF(OR(AG686="",INDEX(p_rates,5)=""),0,IF(AG686="Facture",SUMIFS(fl_ht,fl_doc,A686,fl_rate,INDEX(p_rates,5)),SUMIFS(dl_ht,dl_doc,F686,dl_rate,INDEX(p_rates,5))))</f>
        <v>0.0</v>
      </c>
      <c r="AP686" s="62">
        <f>IF(OR(AG686="",INDEX(p_rates,6)=""),0,IF(AG686="Facture",SUMIFS(fl_ht,fl_doc,A686,fl_rate,INDEX(p_rates,6)),SUMIFS(dl_ht,dl_doc,F686,dl_rate,INDEX(p_rates,6))))</f>
        <v>0.0</v>
      </c>
      <c r="AQ686" s="62">
        <f>ROUND(AK686*N(INDEX(p_rates,1)),2)+ROUND(AL686*N(INDEX(p_rates,2)),2)+ROUND(AM686*N(INDEX(p_rates,3)),2)+ROUND(AN686*N(INDEX(p_rates,4)),2)+ROUND(AO686*N(INDEX(p_rates,5)),2)+ROUND(AP686*N(INDEX(p_rates,6)),2)</f>
        <v>0.0</v>
      </c>
      <c r="AR686" s="62" t="str">
        <f>IF(OR(L686="",AA686&lt;&gt;"Facture"),"",IFERROR(IF(INDEX(fa_type,MATCH(L686,fa_num,0))="Facture d'acompte",MATCH(L686,fa_num,0),""),""))</f>
        <v/>
      </c>
      <c r="AS686" s="62" t="str">
        <f>IF(W686="","",IF(W686&lt;=0,"",IF(p_asof-P686&lt;=0,"Non échu",IF(p_asof-P686&lt;=30,"1-30 j",IF(p_asof-P686&lt;=60,"31-60 j",IF(p_asof-P686&lt;=90,"61-90 j","Plus de 90 j"))))))</f>
        <v/>
      </c>
      <c r="AT686" s="62" t="str">
        <f>IF(AS686="","",p_asof-P686)</f>
        <v/>
      </c>
      <c r="AU686" s="62" t="str">
        <f>IF(AT686="","",COUNTIF($AT$6:$AT$805,"&gt;"&amp;AT686)+COUNTIF($AT$6:AT686,AT686))</f>
        <v/>
      </c>
    </row>
    <row r="687">
      <c r="A687" s="59" t="str">
        <f>IF(AE687="","",AB687&amp;"-"&amp;AD687&amp;"-"&amp;RIGHT("000"&amp;AE687,4))</f>
        <v/>
      </c>
      <c r="B687" s="60" t="n"/>
      <c r="C687" s="61" t="n"/>
      <c r="D687" s="60" t="n"/>
      <c r="E687" s="62" t="str">
        <f>IF(D687="","",IFERROR(INDEX(cli_name,MATCH(D687,cli_code,0))&amp;"","Client inconnu"))</f>
        <v/>
      </c>
      <c r="F687" s="60" t="n"/>
      <c r="G687" s="63" t="n"/>
      <c r="H687" s="61" t="n"/>
      <c r="I687" s="63" t="n"/>
      <c r="J687" s="60" t="n"/>
      <c r="K687" s="61" t="n"/>
      <c r="L687" s="60" t="n"/>
      <c r="M687" s="60" t="n"/>
      <c r="N687" s="60" t="n"/>
      <c r="O687" s="61" t="n"/>
      <c r="P687" s="64" t="str">
        <f>IF(A687="","",IF(AA687="Avoir",AC687,IF(ISNUMBER(K687),K687,AC687+IF(D687="",N(p_delay),IFERROR(IF(ISNUMBER(INDEX(cli_delay,MATCH(D687,cli_code,0))),INDEX(cli_delay,MATCH(D687,cli_code,0)),N(p_delay)),N(p_delay))))))</f>
        <v/>
      </c>
      <c r="Q687" s="65" t="str">
        <f>IF(A687="","",IF(AA687="Avoir",-1,1)*ROUND(AJ687-IF(AR687="",0,INDEX(fa_htb,AR687)),2))</f>
        <v/>
      </c>
      <c r="R687" s="65" t="str">
        <f>IF(A687="","",IF(AA687="Avoir",-1,1)*ROUND(AQ687-IF(AR687="",0,INDEX(fa_tvab,AR687)),2))</f>
        <v/>
      </c>
      <c r="S687" s="65" t="str">
        <f>IF(A687="","",Q687+R687)</f>
        <v/>
      </c>
      <c r="T687" s="65" t="str">
        <f>IF(AR687="","",INDEX(fa_htb,AR687)+INDEX(fa_tvab,AR687))</f>
        <v/>
      </c>
      <c r="U687" s="65" t="str">
        <f>IF(A687="","",SUMIF(pa_inv,A687,pa_amt))</f>
        <v/>
      </c>
      <c r="V687" s="65" t="str">
        <f>IF(OR(A687="",AA687="Avoir"),"",-SUMIFS(fa_ttc,fa_avof,A687,fa_type,"Avoir"))</f>
        <v/>
      </c>
      <c r="W687" s="65" t="str">
        <f>IF(OR(A687="",AA687="Avoir"),"",ROUND(S687-U687-V687,2))</f>
        <v/>
      </c>
      <c r="X687" s="66" t="str">
        <f>IF(W687="","",IF(AND(W687&gt;0,p_asof&gt;P687),p_asof-P687,""))</f>
        <v/>
      </c>
      <c r="Y687" s="59" t="str">
        <f>IF(A687="","",IF(AA687="Avoir","Avoir",IF(W687&lt;0,"Trop-perçu",IF(W687=0,"Soldée",IF(p_asof&gt;P687,"En retard",IF(U687+V687&gt;0,"Partielle","À échoir"))))))</f>
        <v/>
      </c>
      <c r="Z687" s="59" t="str">
        <f>IF(NOT(COUNTA(B687:D687,F687:O687)&gt;0),"",IF(C687="","Date manquante",IF(NOT(ISNUMBER(C687)),"Date invalide",IF(D687="","Client manquant",IF(ISNA(MATCH(D687,cli_code,0)),"Client inconnu",IF(AC687&lt;SUMPRODUCT(MAX(($AB$6:AB686=AB687)*$AC$6:AC686)),"Date antérieure à la facture précédente",IF(AND(F687&lt;&gt;"",ISNA(MATCH(F687,dv_num,0))),"Devis inconnu",IF(AND(F687&lt;&gt;"",IFERROR(INDEX(dv_client,MATCH(F687,dv_num,0)),D687)&lt;&gt;D687),"Client différent de celui du devis",IF(AG687="","Aucune ligne : saisissez des lignes ou un devis",IF(AND(AI687&lt;&gt;"",COUNTIF($AI$6:AI687,AI687)&gt;1),"Devis déjà repris par une autre facture",IF(AND(AA687="Avoir",M687=""),"Avoir : indiquez la facture d'origine",IF(AND(AA687="Avoir",ISNA(MATCH(M687,fa_num,0))),"Facture d'origine inconnue",IF(AND(AA687&lt;&gt;"Avoir",M687&lt;&gt;""),"« Avoir sur facture » : réservé aux avoirs",IF(AND(L687&lt;&gt;"",AA687&lt;&gt;"Facture"),"Acompte à déduire : réservé aux factures",IF(AND(L687&lt;&gt;"",ISNA(MATCH(L687,fa_num,0))),"Facture d'acompte inconnue",IF(AND(L687&lt;&gt;"",IFERROR(INDEX(fa_type,MATCH(L687,fa_num,0)),"")&lt;&gt;"Facture d'acompte"),"Le n° à déduire n'est pas une facture d'acompte",IF(AND(L687&lt;&gt;"",COUNTIF($L$6:L687,L687)&gt;1),"Acompte déjà déduit sur une autre facture",IF(AND(L687&lt;&gt;"",IFERROR(INDEX(fa_client,MATCH(L687,fa_num,0)),D687)&lt;&gt;D687),"Acompte d'un autre client",IF(AND(AR687&lt;&gt;"",N(Q687)&lt;0),"Acompte supérieur au total de la facture",IF(IF(AG687="Facture",COUNTIFS(fl_doc,A687,fl_check,"&lt;&gt;OK"),IF(AG687="Devis",COUNTIFS(dl_doc,F687,dl_check,"&lt;&gt;OK"),0))&gt;0,"Ligne(s) à corriger",IF(AND(W687&lt;&gt;"",N(W687)&lt;0),"Trop-perçu : vérifiez paiements et avoirs","OK")))))))))))))))))))))</f>
        <v/>
      </c>
      <c r="AA687" s="62" t="str">
        <f>IF(COUNTA(B687:D687,F687:O687)&gt;0,IF(B687="","Facture",B687),"")</f>
        <v/>
      </c>
      <c r="AB687" s="62" t="str">
        <f>IF(AA687="","",IF(AA687="Avoir",p_pav,IF(AA687="Facture d'acompte",p_pac,p_pfa)))</f>
        <v/>
      </c>
      <c r="AC687" s="62">
        <f>IF(ISNUMBER(C687),C687,0)</f>
        <v>0.0</v>
      </c>
      <c r="AD687" s="62" t="str">
        <f>IF(OR(AA687="",AC687=0),"",YEAR(AC687))</f>
        <v/>
      </c>
      <c r="AE687" s="62" t="str">
        <f>IF(AD687="","",COUNTIFS($AB$6:AB687,AB687,$AD$6:AD687,AD687))</f>
        <v/>
      </c>
      <c r="AF687" s="62">
        <f>IF(A687="",0,COUNTIF(fl_doc,A687))</f>
        <v>0.0</v>
      </c>
      <c r="AG687" s="62" t="str">
        <f>IF(A687="","",IF(AF687&gt;0,"Facture",IF(AND(F687&lt;&gt;"",AA687="Facture",ISNUMBER(MATCH(F687,dv_num,0))),"Devis","")))</f>
        <v/>
      </c>
      <c r="AH687" s="62" t="str">
        <f>IF(AND(A687&lt;&gt;"",F687&lt;&gt;"",AA687&lt;&gt;"Avoir"),F687,"")</f>
        <v/>
      </c>
      <c r="AI687" s="62" t="str">
        <f>IF(AG687="Devis",F687,"")</f>
        <v/>
      </c>
      <c r="AJ687" s="62">
        <f>IF(AG687="Facture",SUMIF(fl_doc,A687,fl_ht),IF(AG687="Devis",SUMIF(dl_doc,F687,dl_ht),0))</f>
        <v>0.0</v>
      </c>
      <c r="AK687" s="62">
        <f>IF(OR(AG687="",INDEX(p_rates,1)=""),0,IF(AG687="Facture",SUMIFS(fl_ht,fl_doc,A687,fl_rate,INDEX(p_rates,1)),SUMIFS(dl_ht,dl_doc,F687,dl_rate,INDEX(p_rates,1))))</f>
        <v>0.0</v>
      </c>
      <c r="AL687" s="62">
        <f>IF(OR(AG687="",INDEX(p_rates,2)=""),0,IF(AG687="Facture",SUMIFS(fl_ht,fl_doc,A687,fl_rate,INDEX(p_rates,2)),SUMIFS(dl_ht,dl_doc,F687,dl_rate,INDEX(p_rates,2))))</f>
        <v>0.0</v>
      </c>
      <c r="AM687" s="62">
        <f>IF(OR(AG687="",INDEX(p_rates,3)=""),0,IF(AG687="Facture",SUMIFS(fl_ht,fl_doc,A687,fl_rate,INDEX(p_rates,3)),SUMIFS(dl_ht,dl_doc,F687,dl_rate,INDEX(p_rates,3))))</f>
        <v>0.0</v>
      </c>
      <c r="AN687" s="62">
        <f>IF(OR(AG687="",INDEX(p_rates,4)=""),0,IF(AG687="Facture",SUMIFS(fl_ht,fl_doc,A687,fl_rate,INDEX(p_rates,4)),SUMIFS(dl_ht,dl_doc,F687,dl_rate,INDEX(p_rates,4))))</f>
        <v>0.0</v>
      </c>
      <c r="AO687" s="62">
        <f>IF(OR(AG687="",INDEX(p_rates,5)=""),0,IF(AG687="Facture",SUMIFS(fl_ht,fl_doc,A687,fl_rate,INDEX(p_rates,5)),SUMIFS(dl_ht,dl_doc,F687,dl_rate,INDEX(p_rates,5))))</f>
        <v>0.0</v>
      </c>
      <c r="AP687" s="62">
        <f>IF(OR(AG687="",INDEX(p_rates,6)=""),0,IF(AG687="Facture",SUMIFS(fl_ht,fl_doc,A687,fl_rate,INDEX(p_rates,6)),SUMIFS(dl_ht,dl_doc,F687,dl_rate,INDEX(p_rates,6))))</f>
        <v>0.0</v>
      </c>
      <c r="AQ687" s="62">
        <f>ROUND(AK687*N(INDEX(p_rates,1)),2)+ROUND(AL687*N(INDEX(p_rates,2)),2)+ROUND(AM687*N(INDEX(p_rates,3)),2)+ROUND(AN687*N(INDEX(p_rates,4)),2)+ROUND(AO687*N(INDEX(p_rates,5)),2)+ROUND(AP687*N(INDEX(p_rates,6)),2)</f>
        <v>0.0</v>
      </c>
      <c r="AR687" s="62" t="str">
        <f>IF(OR(L687="",AA687&lt;&gt;"Facture"),"",IFERROR(IF(INDEX(fa_type,MATCH(L687,fa_num,0))="Facture d'acompte",MATCH(L687,fa_num,0),""),""))</f>
        <v/>
      </c>
      <c r="AS687" s="62" t="str">
        <f>IF(W687="","",IF(W687&lt;=0,"",IF(p_asof-P687&lt;=0,"Non échu",IF(p_asof-P687&lt;=30,"1-30 j",IF(p_asof-P687&lt;=60,"31-60 j",IF(p_asof-P687&lt;=90,"61-90 j","Plus de 90 j"))))))</f>
        <v/>
      </c>
      <c r="AT687" s="62" t="str">
        <f>IF(AS687="","",p_asof-P687)</f>
        <v/>
      </c>
      <c r="AU687" s="62" t="str">
        <f>IF(AT687="","",COUNTIF($AT$6:$AT$805,"&gt;"&amp;AT687)+COUNTIF($AT$6:AT687,AT687))</f>
        <v/>
      </c>
    </row>
    <row r="688">
      <c r="A688" s="59" t="str">
        <f>IF(AE688="","",AB688&amp;"-"&amp;AD688&amp;"-"&amp;RIGHT("000"&amp;AE688,4))</f>
        <v/>
      </c>
      <c r="B688" s="60" t="n"/>
      <c r="C688" s="61" t="n"/>
      <c r="D688" s="60" t="n"/>
      <c r="E688" s="62" t="str">
        <f>IF(D688="","",IFERROR(INDEX(cli_name,MATCH(D688,cli_code,0))&amp;"","Client inconnu"))</f>
        <v/>
      </c>
      <c r="F688" s="60" t="n"/>
      <c r="G688" s="63" t="n"/>
      <c r="H688" s="61" t="n"/>
      <c r="I688" s="63" t="n"/>
      <c r="J688" s="60" t="n"/>
      <c r="K688" s="61" t="n"/>
      <c r="L688" s="60" t="n"/>
      <c r="M688" s="60" t="n"/>
      <c r="N688" s="60" t="n"/>
      <c r="O688" s="61" t="n"/>
      <c r="P688" s="64" t="str">
        <f>IF(A688="","",IF(AA688="Avoir",AC688,IF(ISNUMBER(K688),K688,AC688+IF(D688="",N(p_delay),IFERROR(IF(ISNUMBER(INDEX(cli_delay,MATCH(D688,cli_code,0))),INDEX(cli_delay,MATCH(D688,cli_code,0)),N(p_delay)),N(p_delay))))))</f>
        <v/>
      </c>
      <c r="Q688" s="65" t="str">
        <f>IF(A688="","",IF(AA688="Avoir",-1,1)*ROUND(AJ688-IF(AR688="",0,INDEX(fa_htb,AR688)),2))</f>
        <v/>
      </c>
      <c r="R688" s="65" t="str">
        <f>IF(A688="","",IF(AA688="Avoir",-1,1)*ROUND(AQ688-IF(AR688="",0,INDEX(fa_tvab,AR688)),2))</f>
        <v/>
      </c>
      <c r="S688" s="65" t="str">
        <f>IF(A688="","",Q688+R688)</f>
        <v/>
      </c>
      <c r="T688" s="65" t="str">
        <f>IF(AR688="","",INDEX(fa_htb,AR688)+INDEX(fa_tvab,AR688))</f>
        <v/>
      </c>
      <c r="U688" s="65" t="str">
        <f>IF(A688="","",SUMIF(pa_inv,A688,pa_amt))</f>
        <v/>
      </c>
      <c r="V688" s="65" t="str">
        <f>IF(OR(A688="",AA688="Avoir"),"",-SUMIFS(fa_ttc,fa_avof,A688,fa_type,"Avoir"))</f>
        <v/>
      </c>
      <c r="W688" s="65" t="str">
        <f>IF(OR(A688="",AA688="Avoir"),"",ROUND(S688-U688-V688,2))</f>
        <v/>
      </c>
      <c r="X688" s="66" t="str">
        <f>IF(W688="","",IF(AND(W688&gt;0,p_asof&gt;P688),p_asof-P688,""))</f>
        <v/>
      </c>
      <c r="Y688" s="59" t="str">
        <f>IF(A688="","",IF(AA688="Avoir","Avoir",IF(W688&lt;0,"Trop-perçu",IF(W688=0,"Soldée",IF(p_asof&gt;P688,"En retard",IF(U688+V688&gt;0,"Partielle","À échoir"))))))</f>
        <v/>
      </c>
      <c r="Z688" s="59" t="str">
        <f>IF(NOT(COUNTA(B688:D688,F688:O688)&gt;0),"",IF(C688="","Date manquante",IF(NOT(ISNUMBER(C688)),"Date invalide",IF(D688="","Client manquant",IF(ISNA(MATCH(D688,cli_code,0)),"Client inconnu",IF(AC688&lt;SUMPRODUCT(MAX(($AB$6:AB687=AB688)*$AC$6:AC687)),"Date antérieure à la facture précédente",IF(AND(F688&lt;&gt;"",ISNA(MATCH(F688,dv_num,0))),"Devis inconnu",IF(AND(F688&lt;&gt;"",IFERROR(INDEX(dv_client,MATCH(F688,dv_num,0)),D688)&lt;&gt;D688),"Client différent de celui du devis",IF(AG688="","Aucune ligne : saisissez des lignes ou un devis",IF(AND(AI688&lt;&gt;"",COUNTIF($AI$6:AI688,AI688)&gt;1),"Devis déjà repris par une autre facture",IF(AND(AA688="Avoir",M688=""),"Avoir : indiquez la facture d'origine",IF(AND(AA688="Avoir",ISNA(MATCH(M688,fa_num,0))),"Facture d'origine inconnue",IF(AND(AA688&lt;&gt;"Avoir",M688&lt;&gt;""),"« Avoir sur facture » : réservé aux avoirs",IF(AND(L688&lt;&gt;"",AA688&lt;&gt;"Facture"),"Acompte à déduire : réservé aux factures",IF(AND(L688&lt;&gt;"",ISNA(MATCH(L688,fa_num,0))),"Facture d'acompte inconnue",IF(AND(L688&lt;&gt;"",IFERROR(INDEX(fa_type,MATCH(L688,fa_num,0)),"")&lt;&gt;"Facture d'acompte"),"Le n° à déduire n'est pas une facture d'acompte",IF(AND(L688&lt;&gt;"",COUNTIF($L$6:L688,L688)&gt;1),"Acompte déjà déduit sur une autre facture",IF(AND(L688&lt;&gt;"",IFERROR(INDEX(fa_client,MATCH(L688,fa_num,0)),D688)&lt;&gt;D688),"Acompte d'un autre client",IF(AND(AR688&lt;&gt;"",N(Q688)&lt;0),"Acompte supérieur au total de la facture",IF(IF(AG688="Facture",COUNTIFS(fl_doc,A688,fl_check,"&lt;&gt;OK"),IF(AG688="Devis",COUNTIFS(dl_doc,F688,dl_check,"&lt;&gt;OK"),0))&gt;0,"Ligne(s) à corriger",IF(AND(W688&lt;&gt;"",N(W688)&lt;0),"Trop-perçu : vérifiez paiements et avoirs","OK")))))))))))))))))))))</f>
        <v/>
      </c>
      <c r="AA688" s="62" t="str">
        <f>IF(COUNTA(B688:D688,F688:O688)&gt;0,IF(B688="","Facture",B688),"")</f>
        <v/>
      </c>
      <c r="AB688" s="62" t="str">
        <f>IF(AA688="","",IF(AA688="Avoir",p_pav,IF(AA688="Facture d'acompte",p_pac,p_pfa)))</f>
        <v/>
      </c>
      <c r="AC688" s="62">
        <f>IF(ISNUMBER(C688),C688,0)</f>
        <v>0.0</v>
      </c>
      <c r="AD688" s="62" t="str">
        <f>IF(OR(AA688="",AC688=0),"",YEAR(AC688))</f>
        <v/>
      </c>
      <c r="AE688" s="62" t="str">
        <f>IF(AD688="","",COUNTIFS($AB$6:AB688,AB688,$AD$6:AD688,AD688))</f>
        <v/>
      </c>
      <c r="AF688" s="62">
        <f>IF(A688="",0,COUNTIF(fl_doc,A688))</f>
        <v>0.0</v>
      </c>
      <c r="AG688" s="62" t="str">
        <f>IF(A688="","",IF(AF688&gt;0,"Facture",IF(AND(F688&lt;&gt;"",AA688="Facture",ISNUMBER(MATCH(F688,dv_num,0))),"Devis","")))</f>
        <v/>
      </c>
      <c r="AH688" s="62" t="str">
        <f>IF(AND(A688&lt;&gt;"",F688&lt;&gt;"",AA688&lt;&gt;"Avoir"),F688,"")</f>
        <v/>
      </c>
      <c r="AI688" s="62" t="str">
        <f>IF(AG688="Devis",F688,"")</f>
        <v/>
      </c>
      <c r="AJ688" s="62">
        <f>IF(AG688="Facture",SUMIF(fl_doc,A688,fl_ht),IF(AG688="Devis",SUMIF(dl_doc,F688,dl_ht),0))</f>
        <v>0.0</v>
      </c>
      <c r="AK688" s="62">
        <f>IF(OR(AG688="",INDEX(p_rates,1)=""),0,IF(AG688="Facture",SUMIFS(fl_ht,fl_doc,A688,fl_rate,INDEX(p_rates,1)),SUMIFS(dl_ht,dl_doc,F688,dl_rate,INDEX(p_rates,1))))</f>
        <v>0.0</v>
      </c>
      <c r="AL688" s="62">
        <f>IF(OR(AG688="",INDEX(p_rates,2)=""),0,IF(AG688="Facture",SUMIFS(fl_ht,fl_doc,A688,fl_rate,INDEX(p_rates,2)),SUMIFS(dl_ht,dl_doc,F688,dl_rate,INDEX(p_rates,2))))</f>
        <v>0.0</v>
      </c>
      <c r="AM688" s="62">
        <f>IF(OR(AG688="",INDEX(p_rates,3)=""),0,IF(AG688="Facture",SUMIFS(fl_ht,fl_doc,A688,fl_rate,INDEX(p_rates,3)),SUMIFS(dl_ht,dl_doc,F688,dl_rate,INDEX(p_rates,3))))</f>
        <v>0.0</v>
      </c>
      <c r="AN688" s="62">
        <f>IF(OR(AG688="",INDEX(p_rates,4)=""),0,IF(AG688="Facture",SUMIFS(fl_ht,fl_doc,A688,fl_rate,INDEX(p_rates,4)),SUMIFS(dl_ht,dl_doc,F688,dl_rate,INDEX(p_rates,4))))</f>
        <v>0.0</v>
      </c>
      <c r="AO688" s="62">
        <f>IF(OR(AG688="",INDEX(p_rates,5)=""),0,IF(AG688="Facture",SUMIFS(fl_ht,fl_doc,A688,fl_rate,INDEX(p_rates,5)),SUMIFS(dl_ht,dl_doc,F688,dl_rate,INDEX(p_rates,5))))</f>
        <v>0.0</v>
      </c>
      <c r="AP688" s="62">
        <f>IF(OR(AG688="",INDEX(p_rates,6)=""),0,IF(AG688="Facture",SUMIFS(fl_ht,fl_doc,A688,fl_rate,INDEX(p_rates,6)),SUMIFS(dl_ht,dl_doc,F688,dl_rate,INDEX(p_rates,6))))</f>
        <v>0.0</v>
      </c>
      <c r="AQ688" s="62">
        <f>ROUND(AK688*N(INDEX(p_rates,1)),2)+ROUND(AL688*N(INDEX(p_rates,2)),2)+ROUND(AM688*N(INDEX(p_rates,3)),2)+ROUND(AN688*N(INDEX(p_rates,4)),2)+ROUND(AO688*N(INDEX(p_rates,5)),2)+ROUND(AP688*N(INDEX(p_rates,6)),2)</f>
        <v>0.0</v>
      </c>
      <c r="AR688" s="62" t="str">
        <f>IF(OR(L688="",AA688&lt;&gt;"Facture"),"",IFERROR(IF(INDEX(fa_type,MATCH(L688,fa_num,0))="Facture d'acompte",MATCH(L688,fa_num,0),""),""))</f>
        <v/>
      </c>
      <c r="AS688" s="62" t="str">
        <f>IF(W688="","",IF(W688&lt;=0,"",IF(p_asof-P688&lt;=0,"Non échu",IF(p_asof-P688&lt;=30,"1-30 j",IF(p_asof-P688&lt;=60,"31-60 j",IF(p_asof-P688&lt;=90,"61-90 j","Plus de 90 j"))))))</f>
        <v/>
      </c>
      <c r="AT688" s="62" t="str">
        <f>IF(AS688="","",p_asof-P688)</f>
        <v/>
      </c>
      <c r="AU688" s="62" t="str">
        <f>IF(AT688="","",COUNTIF($AT$6:$AT$805,"&gt;"&amp;AT688)+COUNTIF($AT$6:AT688,AT688))</f>
        <v/>
      </c>
    </row>
    <row r="689">
      <c r="A689" s="59" t="str">
        <f>IF(AE689="","",AB689&amp;"-"&amp;AD689&amp;"-"&amp;RIGHT("000"&amp;AE689,4))</f>
        <v/>
      </c>
      <c r="B689" s="60" t="n"/>
      <c r="C689" s="61" t="n"/>
      <c r="D689" s="60" t="n"/>
      <c r="E689" s="62" t="str">
        <f>IF(D689="","",IFERROR(INDEX(cli_name,MATCH(D689,cli_code,0))&amp;"","Client inconnu"))</f>
        <v/>
      </c>
      <c r="F689" s="60" t="n"/>
      <c r="G689" s="63" t="n"/>
      <c r="H689" s="61" t="n"/>
      <c r="I689" s="63" t="n"/>
      <c r="J689" s="60" t="n"/>
      <c r="K689" s="61" t="n"/>
      <c r="L689" s="60" t="n"/>
      <c r="M689" s="60" t="n"/>
      <c r="N689" s="60" t="n"/>
      <c r="O689" s="61" t="n"/>
      <c r="P689" s="64" t="str">
        <f>IF(A689="","",IF(AA689="Avoir",AC689,IF(ISNUMBER(K689),K689,AC689+IF(D689="",N(p_delay),IFERROR(IF(ISNUMBER(INDEX(cli_delay,MATCH(D689,cli_code,0))),INDEX(cli_delay,MATCH(D689,cli_code,0)),N(p_delay)),N(p_delay))))))</f>
        <v/>
      </c>
      <c r="Q689" s="65" t="str">
        <f>IF(A689="","",IF(AA689="Avoir",-1,1)*ROUND(AJ689-IF(AR689="",0,INDEX(fa_htb,AR689)),2))</f>
        <v/>
      </c>
      <c r="R689" s="65" t="str">
        <f>IF(A689="","",IF(AA689="Avoir",-1,1)*ROUND(AQ689-IF(AR689="",0,INDEX(fa_tvab,AR689)),2))</f>
        <v/>
      </c>
      <c r="S689" s="65" t="str">
        <f>IF(A689="","",Q689+R689)</f>
        <v/>
      </c>
      <c r="T689" s="65" t="str">
        <f>IF(AR689="","",INDEX(fa_htb,AR689)+INDEX(fa_tvab,AR689))</f>
        <v/>
      </c>
      <c r="U689" s="65" t="str">
        <f>IF(A689="","",SUMIF(pa_inv,A689,pa_amt))</f>
        <v/>
      </c>
      <c r="V689" s="65" t="str">
        <f>IF(OR(A689="",AA689="Avoir"),"",-SUMIFS(fa_ttc,fa_avof,A689,fa_type,"Avoir"))</f>
        <v/>
      </c>
      <c r="W689" s="65" t="str">
        <f>IF(OR(A689="",AA689="Avoir"),"",ROUND(S689-U689-V689,2))</f>
        <v/>
      </c>
      <c r="X689" s="66" t="str">
        <f>IF(W689="","",IF(AND(W689&gt;0,p_asof&gt;P689),p_asof-P689,""))</f>
        <v/>
      </c>
      <c r="Y689" s="59" t="str">
        <f>IF(A689="","",IF(AA689="Avoir","Avoir",IF(W689&lt;0,"Trop-perçu",IF(W689=0,"Soldée",IF(p_asof&gt;P689,"En retard",IF(U689+V689&gt;0,"Partielle","À échoir"))))))</f>
        <v/>
      </c>
      <c r="Z689" s="59" t="str">
        <f>IF(NOT(COUNTA(B689:D689,F689:O689)&gt;0),"",IF(C689="","Date manquante",IF(NOT(ISNUMBER(C689)),"Date invalide",IF(D689="","Client manquant",IF(ISNA(MATCH(D689,cli_code,0)),"Client inconnu",IF(AC689&lt;SUMPRODUCT(MAX(($AB$6:AB688=AB689)*$AC$6:AC688)),"Date antérieure à la facture précédente",IF(AND(F689&lt;&gt;"",ISNA(MATCH(F689,dv_num,0))),"Devis inconnu",IF(AND(F689&lt;&gt;"",IFERROR(INDEX(dv_client,MATCH(F689,dv_num,0)),D689)&lt;&gt;D689),"Client différent de celui du devis",IF(AG689="","Aucune ligne : saisissez des lignes ou un devis",IF(AND(AI689&lt;&gt;"",COUNTIF($AI$6:AI689,AI689)&gt;1),"Devis déjà repris par une autre facture",IF(AND(AA689="Avoir",M689=""),"Avoir : indiquez la facture d'origine",IF(AND(AA689="Avoir",ISNA(MATCH(M689,fa_num,0))),"Facture d'origine inconnue",IF(AND(AA689&lt;&gt;"Avoir",M689&lt;&gt;""),"« Avoir sur facture » : réservé aux avoirs",IF(AND(L689&lt;&gt;"",AA689&lt;&gt;"Facture"),"Acompte à déduire : réservé aux factures",IF(AND(L689&lt;&gt;"",ISNA(MATCH(L689,fa_num,0))),"Facture d'acompte inconnue",IF(AND(L689&lt;&gt;"",IFERROR(INDEX(fa_type,MATCH(L689,fa_num,0)),"")&lt;&gt;"Facture d'acompte"),"Le n° à déduire n'est pas une facture d'acompte",IF(AND(L689&lt;&gt;"",COUNTIF($L$6:L689,L689)&gt;1),"Acompte déjà déduit sur une autre facture",IF(AND(L689&lt;&gt;"",IFERROR(INDEX(fa_client,MATCH(L689,fa_num,0)),D689)&lt;&gt;D689),"Acompte d'un autre client",IF(AND(AR689&lt;&gt;"",N(Q689)&lt;0),"Acompte supérieur au total de la facture",IF(IF(AG689="Facture",COUNTIFS(fl_doc,A689,fl_check,"&lt;&gt;OK"),IF(AG689="Devis",COUNTIFS(dl_doc,F689,dl_check,"&lt;&gt;OK"),0))&gt;0,"Ligne(s) à corriger",IF(AND(W689&lt;&gt;"",N(W689)&lt;0),"Trop-perçu : vérifiez paiements et avoirs","OK")))))))))))))))))))))</f>
        <v/>
      </c>
      <c r="AA689" s="62" t="str">
        <f>IF(COUNTA(B689:D689,F689:O689)&gt;0,IF(B689="","Facture",B689),"")</f>
        <v/>
      </c>
      <c r="AB689" s="62" t="str">
        <f>IF(AA689="","",IF(AA689="Avoir",p_pav,IF(AA689="Facture d'acompte",p_pac,p_pfa)))</f>
        <v/>
      </c>
      <c r="AC689" s="62">
        <f>IF(ISNUMBER(C689),C689,0)</f>
        <v>0.0</v>
      </c>
      <c r="AD689" s="62" t="str">
        <f>IF(OR(AA689="",AC689=0),"",YEAR(AC689))</f>
        <v/>
      </c>
      <c r="AE689" s="62" t="str">
        <f>IF(AD689="","",COUNTIFS($AB$6:AB689,AB689,$AD$6:AD689,AD689))</f>
        <v/>
      </c>
      <c r="AF689" s="62">
        <f>IF(A689="",0,COUNTIF(fl_doc,A689))</f>
        <v>0.0</v>
      </c>
      <c r="AG689" s="62" t="str">
        <f>IF(A689="","",IF(AF689&gt;0,"Facture",IF(AND(F689&lt;&gt;"",AA689="Facture",ISNUMBER(MATCH(F689,dv_num,0))),"Devis","")))</f>
        <v/>
      </c>
      <c r="AH689" s="62" t="str">
        <f>IF(AND(A689&lt;&gt;"",F689&lt;&gt;"",AA689&lt;&gt;"Avoir"),F689,"")</f>
        <v/>
      </c>
      <c r="AI689" s="62" t="str">
        <f>IF(AG689="Devis",F689,"")</f>
        <v/>
      </c>
      <c r="AJ689" s="62">
        <f>IF(AG689="Facture",SUMIF(fl_doc,A689,fl_ht),IF(AG689="Devis",SUMIF(dl_doc,F689,dl_ht),0))</f>
        <v>0.0</v>
      </c>
      <c r="AK689" s="62">
        <f>IF(OR(AG689="",INDEX(p_rates,1)=""),0,IF(AG689="Facture",SUMIFS(fl_ht,fl_doc,A689,fl_rate,INDEX(p_rates,1)),SUMIFS(dl_ht,dl_doc,F689,dl_rate,INDEX(p_rates,1))))</f>
        <v>0.0</v>
      </c>
      <c r="AL689" s="62">
        <f>IF(OR(AG689="",INDEX(p_rates,2)=""),0,IF(AG689="Facture",SUMIFS(fl_ht,fl_doc,A689,fl_rate,INDEX(p_rates,2)),SUMIFS(dl_ht,dl_doc,F689,dl_rate,INDEX(p_rates,2))))</f>
        <v>0.0</v>
      </c>
      <c r="AM689" s="62">
        <f>IF(OR(AG689="",INDEX(p_rates,3)=""),0,IF(AG689="Facture",SUMIFS(fl_ht,fl_doc,A689,fl_rate,INDEX(p_rates,3)),SUMIFS(dl_ht,dl_doc,F689,dl_rate,INDEX(p_rates,3))))</f>
        <v>0.0</v>
      </c>
      <c r="AN689" s="62">
        <f>IF(OR(AG689="",INDEX(p_rates,4)=""),0,IF(AG689="Facture",SUMIFS(fl_ht,fl_doc,A689,fl_rate,INDEX(p_rates,4)),SUMIFS(dl_ht,dl_doc,F689,dl_rate,INDEX(p_rates,4))))</f>
        <v>0.0</v>
      </c>
      <c r="AO689" s="62">
        <f>IF(OR(AG689="",INDEX(p_rates,5)=""),0,IF(AG689="Facture",SUMIFS(fl_ht,fl_doc,A689,fl_rate,INDEX(p_rates,5)),SUMIFS(dl_ht,dl_doc,F689,dl_rate,INDEX(p_rates,5))))</f>
        <v>0.0</v>
      </c>
      <c r="AP689" s="62">
        <f>IF(OR(AG689="",INDEX(p_rates,6)=""),0,IF(AG689="Facture",SUMIFS(fl_ht,fl_doc,A689,fl_rate,INDEX(p_rates,6)),SUMIFS(dl_ht,dl_doc,F689,dl_rate,INDEX(p_rates,6))))</f>
        <v>0.0</v>
      </c>
      <c r="AQ689" s="62">
        <f>ROUND(AK689*N(INDEX(p_rates,1)),2)+ROUND(AL689*N(INDEX(p_rates,2)),2)+ROUND(AM689*N(INDEX(p_rates,3)),2)+ROUND(AN689*N(INDEX(p_rates,4)),2)+ROUND(AO689*N(INDEX(p_rates,5)),2)+ROUND(AP689*N(INDEX(p_rates,6)),2)</f>
        <v>0.0</v>
      </c>
      <c r="AR689" s="62" t="str">
        <f>IF(OR(L689="",AA689&lt;&gt;"Facture"),"",IFERROR(IF(INDEX(fa_type,MATCH(L689,fa_num,0))="Facture d'acompte",MATCH(L689,fa_num,0),""),""))</f>
        <v/>
      </c>
      <c r="AS689" s="62" t="str">
        <f>IF(W689="","",IF(W689&lt;=0,"",IF(p_asof-P689&lt;=0,"Non échu",IF(p_asof-P689&lt;=30,"1-30 j",IF(p_asof-P689&lt;=60,"31-60 j",IF(p_asof-P689&lt;=90,"61-90 j","Plus de 90 j"))))))</f>
        <v/>
      </c>
      <c r="AT689" s="62" t="str">
        <f>IF(AS689="","",p_asof-P689)</f>
        <v/>
      </c>
      <c r="AU689" s="62" t="str">
        <f>IF(AT689="","",COUNTIF($AT$6:$AT$805,"&gt;"&amp;AT689)+COUNTIF($AT$6:AT689,AT689))</f>
        <v/>
      </c>
    </row>
    <row r="690">
      <c r="A690" s="59" t="str">
        <f>IF(AE690="","",AB690&amp;"-"&amp;AD690&amp;"-"&amp;RIGHT("000"&amp;AE690,4))</f>
        <v/>
      </c>
      <c r="B690" s="60" t="n"/>
      <c r="C690" s="61" t="n"/>
      <c r="D690" s="60" t="n"/>
      <c r="E690" s="62" t="str">
        <f>IF(D690="","",IFERROR(INDEX(cli_name,MATCH(D690,cli_code,0))&amp;"","Client inconnu"))</f>
        <v/>
      </c>
      <c r="F690" s="60" t="n"/>
      <c r="G690" s="63" t="n"/>
      <c r="H690" s="61" t="n"/>
      <c r="I690" s="63" t="n"/>
      <c r="J690" s="60" t="n"/>
      <c r="K690" s="61" t="n"/>
      <c r="L690" s="60" t="n"/>
      <c r="M690" s="60" t="n"/>
      <c r="N690" s="60" t="n"/>
      <c r="O690" s="61" t="n"/>
      <c r="P690" s="64" t="str">
        <f>IF(A690="","",IF(AA690="Avoir",AC690,IF(ISNUMBER(K690),K690,AC690+IF(D690="",N(p_delay),IFERROR(IF(ISNUMBER(INDEX(cli_delay,MATCH(D690,cli_code,0))),INDEX(cli_delay,MATCH(D690,cli_code,0)),N(p_delay)),N(p_delay))))))</f>
        <v/>
      </c>
      <c r="Q690" s="65" t="str">
        <f>IF(A690="","",IF(AA690="Avoir",-1,1)*ROUND(AJ690-IF(AR690="",0,INDEX(fa_htb,AR690)),2))</f>
        <v/>
      </c>
      <c r="R690" s="65" t="str">
        <f>IF(A690="","",IF(AA690="Avoir",-1,1)*ROUND(AQ690-IF(AR690="",0,INDEX(fa_tvab,AR690)),2))</f>
        <v/>
      </c>
      <c r="S690" s="65" t="str">
        <f>IF(A690="","",Q690+R690)</f>
        <v/>
      </c>
      <c r="T690" s="65" t="str">
        <f>IF(AR690="","",INDEX(fa_htb,AR690)+INDEX(fa_tvab,AR690))</f>
        <v/>
      </c>
      <c r="U690" s="65" t="str">
        <f>IF(A690="","",SUMIF(pa_inv,A690,pa_amt))</f>
        <v/>
      </c>
      <c r="V690" s="65" t="str">
        <f>IF(OR(A690="",AA690="Avoir"),"",-SUMIFS(fa_ttc,fa_avof,A690,fa_type,"Avoir"))</f>
        <v/>
      </c>
      <c r="W690" s="65" t="str">
        <f>IF(OR(A690="",AA690="Avoir"),"",ROUND(S690-U690-V690,2))</f>
        <v/>
      </c>
      <c r="X690" s="66" t="str">
        <f>IF(W690="","",IF(AND(W690&gt;0,p_asof&gt;P690),p_asof-P690,""))</f>
        <v/>
      </c>
      <c r="Y690" s="59" t="str">
        <f>IF(A690="","",IF(AA690="Avoir","Avoir",IF(W690&lt;0,"Trop-perçu",IF(W690=0,"Soldée",IF(p_asof&gt;P690,"En retard",IF(U690+V690&gt;0,"Partielle","À échoir"))))))</f>
        <v/>
      </c>
      <c r="Z690" s="59" t="str">
        <f>IF(NOT(COUNTA(B690:D690,F690:O690)&gt;0),"",IF(C690="","Date manquante",IF(NOT(ISNUMBER(C690)),"Date invalide",IF(D690="","Client manquant",IF(ISNA(MATCH(D690,cli_code,0)),"Client inconnu",IF(AC690&lt;SUMPRODUCT(MAX(($AB$6:AB689=AB690)*$AC$6:AC689)),"Date antérieure à la facture précédente",IF(AND(F690&lt;&gt;"",ISNA(MATCH(F690,dv_num,0))),"Devis inconnu",IF(AND(F690&lt;&gt;"",IFERROR(INDEX(dv_client,MATCH(F690,dv_num,0)),D690)&lt;&gt;D690),"Client différent de celui du devis",IF(AG690="","Aucune ligne : saisissez des lignes ou un devis",IF(AND(AI690&lt;&gt;"",COUNTIF($AI$6:AI690,AI690)&gt;1),"Devis déjà repris par une autre facture",IF(AND(AA690="Avoir",M690=""),"Avoir : indiquez la facture d'origine",IF(AND(AA690="Avoir",ISNA(MATCH(M690,fa_num,0))),"Facture d'origine inconnue",IF(AND(AA690&lt;&gt;"Avoir",M690&lt;&gt;""),"« Avoir sur facture » : réservé aux avoirs",IF(AND(L690&lt;&gt;"",AA690&lt;&gt;"Facture"),"Acompte à déduire : réservé aux factures",IF(AND(L690&lt;&gt;"",ISNA(MATCH(L690,fa_num,0))),"Facture d'acompte inconnue",IF(AND(L690&lt;&gt;"",IFERROR(INDEX(fa_type,MATCH(L690,fa_num,0)),"")&lt;&gt;"Facture d'acompte"),"Le n° à déduire n'est pas une facture d'acompte",IF(AND(L690&lt;&gt;"",COUNTIF($L$6:L690,L690)&gt;1),"Acompte déjà déduit sur une autre facture",IF(AND(L690&lt;&gt;"",IFERROR(INDEX(fa_client,MATCH(L690,fa_num,0)),D690)&lt;&gt;D690),"Acompte d'un autre client",IF(AND(AR690&lt;&gt;"",N(Q690)&lt;0),"Acompte supérieur au total de la facture",IF(IF(AG690="Facture",COUNTIFS(fl_doc,A690,fl_check,"&lt;&gt;OK"),IF(AG690="Devis",COUNTIFS(dl_doc,F690,dl_check,"&lt;&gt;OK"),0))&gt;0,"Ligne(s) à corriger",IF(AND(W690&lt;&gt;"",N(W690)&lt;0),"Trop-perçu : vérifiez paiements et avoirs","OK")))))))))))))))))))))</f>
        <v/>
      </c>
      <c r="AA690" s="62" t="str">
        <f>IF(COUNTA(B690:D690,F690:O690)&gt;0,IF(B690="","Facture",B690),"")</f>
        <v/>
      </c>
      <c r="AB690" s="62" t="str">
        <f>IF(AA690="","",IF(AA690="Avoir",p_pav,IF(AA690="Facture d'acompte",p_pac,p_pfa)))</f>
        <v/>
      </c>
      <c r="AC690" s="62">
        <f>IF(ISNUMBER(C690),C690,0)</f>
        <v>0.0</v>
      </c>
      <c r="AD690" s="62" t="str">
        <f>IF(OR(AA690="",AC690=0),"",YEAR(AC690))</f>
        <v/>
      </c>
      <c r="AE690" s="62" t="str">
        <f>IF(AD690="","",COUNTIFS($AB$6:AB690,AB690,$AD$6:AD690,AD690))</f>
        <v/>
      </c>
      <c r="AF690" s="62">
        <f>IF(A690="",0,COUNTIF(fl_doc,A690))</f>
        <v>0.0</v>
      </c>
      <c r="AG690" s="62" t="str">
        <f>IF(A690="","",IF(AF690&gt;0,"Facture",IF(AND(F690&lt;&gt;"",AA690="Facture",ISNUMBER(MATCH(F690,dv_num,0))),"Devis","")))</f>
        <v/>
      </c>
      <c r="AH690" s="62" t="str">
        <f>IF(AND(A690&lt;&gt;"",F690&lt;&gt;"",AA690&lt;&gt;"Avoir"),F690,"")</f>
        <v/>
      </c>
      <c r="AI690" s="62" t="str">
        <f>IF(AG690="Devis",F690,"")</f>
        <v/>
      </c>
      <c r="AJ690" s="62">
        <f>IF(AG690="Facture",SUMIF(fl_doc,A690,fl_ht),IF(AG690="Devis",SUMIF(dl_doc,F690,dl_ht),0))</f>
        <v>0.0</v>
      </c>
      <c r="AK690" s="62">
        <f>IF(OR(AG690="",INDEX(p_rates,1)=""),0,IF(AG690="Facture",SUMIFS(fl_ht,fl_doc,A690,fl_rate,INDEX(p_rates,1)),SUMIFS(dl_ht,dl_doc,F690,dl_rate,INDEX(p_rates,1))))</f>
        <v>0.0</v>
      </c>
      <c r="AL690" s="62">
        <f>IF(OR(AG690="",INDEX(p_rates,2)=""),0,IF(AG690="Facture",SUMIFS(fl_ht,fl_doc,A690,fl_rate,INDEX(p_rates,2)),SUMIFS(dl_ht,dl_doc,F690,dl_rate,INDEX(p_rates,2))))</f>
        <v>0.0</v>
      </c>
      <c r="AM690" s="62">
        <f>IF(OR(AG690="",INDEX(p_rates,3)=""),0,IF(AG690="Facture",SUMIFS(fl_ht,fl_doc,A690,fl_rate,INDEX(p_rates,3)),SUMIFS(dl_ht,dl_doc,F690,dl_rate,INDEX(p_rates,3))))</f>
        <v>0.0</v>
      </c>
      <c r="AN690" s="62">
        <f>IF(OR(AG690="",INDEX(p_rates,4)=""),0,IF(AG690="Facture",SUMIFS(fl_ht,fl_doc,A690,fl_rate,INDEX(p_rates,4)),SUMIFS(dl_ht,dl_doc,F690,dl_rate,INDEX(p_rates,4))))</f>
        <v>0.0</v>
      </c>
      <c r="AO690" s="62">
        <f>IF(OR(AG690="",INDEX(p_rates,5)=""),0,IF(AG690="Facture",SUMIFS(fl_ht,fl_doc,A690,fl_rate,INDEX(p_rates,5)),SUMIFS(dl_ht,dl_doc,F690,dl_rate,INDEX(p_rates,5))))</f>
        <v>0.0</v>
      </c>
      <c r="AP690" s="62">
        <f>IF(OR(AG690="",INDEX(p_rates,6)=""),0,IF(AG690="Facture",SUMIFS(fl_ht,fl_doc,A690,fl_rate,INDEX(p_rates,6)),SUMIFS(dl_ht,dl_doc,F690,dl_rate,INDEX(p_rates,6))))</f>
        <v>0.0</v>
      </c>
      <c r="AQ690" s="62">
        <f>ROUND(AK690*N(INDEX(p_rates,1)),2)+ROUND(AL690*N(INDEX(p_rates,2)),2)+ROUND(AM690*N(INDEX(p_rates,3)),2)+ROUND(AN690*N(INDEX(p_rates,4)),2)+ROUND(AO690*N(INDEX(p_rates,5)),2)+ROUND(AP690*N(INDEX(p_rates,6)),2)</f>
        <v>0.0</v>
      </c>
      <c r="AR690" s="62" t="str">
        <f>IF(OR(L690="",AA690&lt;&gt;"Facture"),"",IFERROR(IF(INDEX(fa_type,MATCH(L690,fa_num,0))="Facture d'acompte",MATCH(L690,fa_num,0),""),""))</f>
        <v/>
      </c>
      <c r="AS690" s="62" t="str">
        <f>IF(W690="","",IF(W690&lt;=0,"",IF(p_asof-P690&lt;=0,"Non échu",IF(p_asof-P690&lt;=30,"1-30 j",IF(p_asof-P690&lt;=60,"31-60 j",IF(p_asof-P690&lt;=90,"61-90 j","Plus de 90 j"))))))</f>
        <v/>
      </c>
      <c r="AT690" s="62" t="str">
        <f>IF(AS690="","",p_asof-P690)</f>
        <v/>
      </c>
      <c r="AU690" s="62" t="str">
        <f>IF(AT690="","",COUNTIF($AT$6:$AT$805,"&gt;"&amp;AT690)+COUNTIF($AT$6:AT690,AT690))</f>
        <v/>
      </c>
    </row>
    <row r="691">
      <c r="A691" s="59" t="str">
        <f>IF(AE691="","",AB691&amp;"-"&amp;AD691&amp;"-"&amp;RIGHT("000"&amp;AE691,4))</f>
        <v/>
      </c>
      <c r="B691" s="60" t="n"/>
      <c r="C691" s="61" t="n"/>
      <c r="D691" s="60" t="n"/>
      <c r="E691" s="62" t="str">
        <f>IF(D691="","",IFERROR(INDEX(cli_name,MATCH(D691,cli_code,0))&amp;"","Client inconnu"))</f>
        <v/>
      </c>
      <c r="F691" s="60" t="n"/>
      <c r="G691" s="63" t="n"/>
      <c r="H691" s="61" t="n"/>
      <c r="I691" s="63" t="n"/>
      <c r="J691" s="60" t="n"/>
      <c r="K691" s="61" t="n"/>
      <c r="L691" s="60" t="n"/>
      <c r="M691" s="60" t="n"/>
      <c r="N691" s="60" t="n"/>
      <c r="O691" s="61" t="n"/>
      <c r="P691" s="64" t="str">
        <f>IF(A691="","",IF(AA691="Avoir",AC691,IF(ISNUMBER(K691),K691,AC691+IF(D691="",N(p_delay),IFERROR(IF(ISNUMBER(INDEX(cli_delay,MATCH(D691,cli_code,0))),INDEX(cli_delay,MATCH(D691,cli_code,0)),N(p_delay)),N(p_delay))))))</f>
        <v/>
      </c>
      <c r="Q691" s="65" t="str">
        <f>IF(A691="","",IF(AA691="Avoir",-1,1)*ROUND(AJ691-IF(AR691="",0,INDEX(fa_htb,AR691)),2))</f>
        <v/>
      </c>
      <c r="R691" s="65" t="str">
        <f>IF(A691="","",IF(AA691="Avoir",-1,1)*ROUND(AQ691-IF(AR691="",0,INDEX(fa_tvab,AR691)),2))</f>
        <v/>
      </c>
      <c r="S691" s="65" t="str">
        <f>IF(A691="","",Q691+R691)</f>
        <v/>
      </c>
      <c r="T691" s="65" t="str">
        <f>IF(AR691="","",INDEX(fa_htb,AR691)+INDEX(fa_tvab,AR691))</f>
        <v/>
      </c>
      <c r="U691" s="65" t="str">
        <f>IF(A691="","",SUMIF(pa_inv,A691,pa_amt))</f>
        <v/>
      </c>
      <c r="V691" s="65" t="str">
        <f>IF(OR(A691="",AA691="Avoir"),"",-SUMIFS(fa_ttc,fa_avof,A691,fa_type,"Avoir"))</f>
        <v/>
      </c>
      <c r="W691" s="65" t="str">
        <f>IF(OR(A691="",AA691="Avoir"),"",ROUND(S691-U691-V691,2))</f>
        <v/>
      </c>
      <c r="X691" s="66" t="str">
        <f>IF(W691="","",IF(AND(W691&gt;0,p_asof&gt;P691),p_asof-P691,""))</f>
        <v/>
      </c>
      <c r="Y691" s="59" t="str">
        <f>IF(A691="","",IF(AA691="Avoir","Avoir",IF(W691&lt;0,"Trop-perçu",IF(W691=0,"Soldée",IF(p_asof&gt;P691,"En retard",IF(U691+V691&gt;0,"Partielle","À échoir"))))))</f>
        <v/>
      </c>
      <c r="Z691" s="59" t="str">
        <f>IF(NOT(COUNTA(B691:D691,F691:O691)&gt;0),"",IF(C691="","Date manquante",IF(NOT(ISNUMBER(C691)),"Date invalide",IF(D691="","Client manquant",IF(ISNA(MATCH(D691,cli_code,0)),"Client inconnu",IF(AC691&lt;SUMPRODUCT(MAX(($AB$6:AB690=AB691)*$AC$6:AC690)),"Date antérieure à la facture précédente",IF(AND(F691&lt;&gt;"",ISNA(MATCH(F691,dv_num,0))),"Devis inconnu",IF(AND(F691&lt;&gt;"",IFERROR(INDEX(dv_client,MATCH(F691,dv_num,0)),D691)&lt;&gt;D691),"Client différent de celui du devis",IF(AG691="","Aucune ligne : saisissez des lignes ou un devis",IF(AND(AI691&lt;&gt;"",COUNTIF($AI$6:AI691,AI691)&gt;1),"Devis déjà repris par une autre facture",IF(AND(AA691="Avoir",M691=""),"Avoir : indiquez la facture d'origine",IF(AND(AA691="Avoir",ISNA(MATCH(M691,fa_num,0))),"Facture d'origine inconnue",IF(AND(AA691&lt;&gt;"Avoir",M691&lt;&gt;""),"« Avoir sur facture » : réservé aux avoirs",IF(AND(L691&lt;&gt;"",AA691&lt;&gt;"Facture"),"Acompte à déduire : réservé aux factures",IF(AND(L691&lt;&gt;"",ISNA(MATCH(L691,fa_num,0))),"Facture d'acompte inconnue",IF(AND(L691&lt;&gt;"",IFERROR(INDEX(fa_type,MATCH(L691,fa_num,0)),"")&lt;&gt;"Facture d'acompte"),"Le n° à déduire n'est pas une facture d'acompte",IF(AND(L691&lt;&gt;"",COUNTIF($L$6:L691,L691)&gt;1),"Acompte déjà déduit sur une autre facture",IF(AND(L691&lt;&gt;"",IFERROR(INDEX(fa_client,MATCH(L691,fa_num,0)),D691)&lt;&gt;D691),"Acompte d'un autre client",IF(AND(AR691&lt;&gt;"",N(Q691)&lt;0),"Acompte supérieur au total de la facture",IF(IF(AG691="Facture",COUNTIFS(fl_doc,A691,fl_check,"&lt;&gt;OK"),IF(AG691="Devis",COUNTIFS(dl_doc,F691,dl_check,"&lt;&gt;OK"),0))&gt;0,"Ligne(s) à corriger",IF(AND(W691&lt;&gt;"",N(W691)&lt;0),"Trop-perçu : vérifiez paiements et avoirs","OK")))))))))))))))))))))</f>
        <v/>
      </c>
      <c r="AA691" s="62" t="str">
        <f>IF(COUNTA(B691:D691,F691:O691)&gt;0,IF(B691="","Facture",B691),"")</f>
        <v/>
      </c>
      <c r="AB691" s="62" t="str">
        <f>IF(AA691="","",IF(AA691="Avoir",p_pav,IF(AA691="Facture d'acompte",p_pac,p_pfa)))</f>
        <v/>
      </c>
      <c r="AC691" s="62">
        <f>IF(ISNUMBER(C691),C691,0)</f>
        <v>0.0</v>
      </c>
      <c r="AD691" s="62" t="str">
        <f>IF(OR(AA691="",AC691=0),"",YEAR(AC691))</f>
        <v/>
      </c>
      <c r="AE691" s="62" t="str">
        <f>IF(AD691="","",COUNTIFS($AB$6:AB691,AB691,$AD$6:AD691,AD691))</f>
        <v/>
      </c>
      <c r="AF691" s="62">
        <f>IF(A691="",0,COUNTIF(fl_doc,A691))</f>
        <v>0.0</v>
      </c>
      <c r="AG691" s="62" t="str">
        <f>IF(A691="","",IF(AF691&gt;0,"Facture",IF(AND(F691&lt;&gt;"",AA691="Facture",ISNUMBER(MATCH(F691,dv_num,0))),"Devis","")))</f>
        <v/>
      </c>
      <c r="AH691" s="62" t="str">
        <f>IF(AND(A691&lt;&gt;"",F691&lt;&gt;"",AA691&lt;&gt;"Avoir"),F691,"")</f>
        <v/>
      </c>
      <c r="AI691" s="62" t="str">
        <f>IF(AG691="Devis",F691,"")</f>
        <v/>
      </c>
      <c r="AJ691" s="62">
        <f>IF(AG691="Facture",SUMIF(fl_doc,A691,fl_ht),IF(AG691="Devis",SUMIF(dl_doc,F691,dl_ht),0))</f>
        <v>0.0</v>
      </c>
      <c r="AK691" s="62">
        <f>IF(OR(AG691="",INDEX(p_rates,1)=""),0,IF(AG691="Facture",SUMIFS(fl_ht,fl_doc,A691,fl_rate,INDEX(p_rates,1)),SUMIFS(dl_ht,dl_doc,F691,dl_rate,INDEX(p_rates,1))))</f>
        <v>0.0</v>
      </c>
      <c r="AL691" s="62">
        <f>IF(OR(AG691="",INDEX(p_rates,2)=""),0,IF(AG691="Facture",SUMIFS(fl_ht,fl_doc,A691,fl_rate,INDEX(p_rates,2)),SUMIFS(dl_ht,dl_doc,F691,dl_rate,INDEX(p_rates,2))))</f>
        <v>0.0</v>
      </c>
      <c r="AM691" s="62">
        <f>IF(OR(AG691="",INDEX(p_rates,3)=""),0,IF(AG691="Facture",SUMIFS(fl_ht,fl_doc,A691,fl_rate,INDEX(p_rates,3)),SUMIFS(dl_ht,dl_doc,F691,dl_rate,INDEX(p_rates,3))))</f>
        <v>0.0</v>
      </c>
      <c r="AN691" s="62">
        <f>IF(OR(AG691="",INDEX(p_rates,4)=""),0,IF(AG691="Facture",SUMIFS(fl_ht,fl_doc,A691,fl_rate,INDEX(p_rates,4)),SUMIFS(dl_ht,dl_doc,F691,dl_rate,INDEX(p_rates,4))))</f>
        <v>0.0</v>
      </c>
      <c r="AO691" s="62">
        <f>IF(OR(AG691="",INDEX(p_rates,5)=""),0,IF(AG691="Facture",SUMIFS(fl_ht,fl_doc,A691,fl_rate,INDEX(p_rates,5)),SUMIFS(dl_ht,dl_doc,F691,dl_rate,INDEX(p_rates,5))))</f>
        <v>0.0</v>
      </c>
      <c r="AP691" s="62">
        <f>IF(OR(AG691="",INDEX(p_rates,6)=""),0,IF(AG691="Facture",SUMIFS(fl_ht,fl_doc,A691,fl_rate,INDEX(p_rates,6)),SUMIFS(dl_ht,dl_doc,F691,dl_rate,INDEX(p_rates,6))))</f>
        <v>0.0</v>
      </c>
      <c r="AQ691" s="62">
        <f>ROUND(AK691*N(INDEX(p_rates,1)),2)+ROUND(AL691*N(INDEX(p_rates,2)),2)+ROUND(AM691*N(INDEX(p_rates,3)),2)+ROUND(AN691*N(INDEX(p_rates,4)),2)+ROUND(AO691*N(INDEX(p_rates,5)),2)+ROUND(AP691*N(INDEX(p_rates,6)),2)</f>
        <v>0.0</v>
      </c>
      <c r="AR691" s="62" t="str">
        <f>IF(OR(L691="",AA691&lt;&gt;"Facture"),"",IFERROR(IF(INDEX(fa_type,MATCH(L691,fa_num,0))="Facture d'acompte",MATCH(L691,fa_num,0),""),""))</f>
        <v/>
      </c>
      <c r="AS691" s="62" t="str">
        <f>IF(W691="","",IF(W691&lt;=0,"",IF(p_asof-P691&lt;=0,"Non échu",IF(p_asof-P691&lt;=30,"1-30 j",IF(p_asof-P691&lt;=60,"31-60 j",IF(p_asof-P691&lt;=90,"61-90 j","Plus de 90 j"))))))</f>
        <v/>
      </c>
      <c r="AT691" s="62" t="str">
        <f>IF(AS691="","",p_asof-P691)</f>
        <v/>
      </c>
      <c r="AU691" s="62" t="str">
        <f>IF(AT691="","",COUNTIF($AT$6:$AT$805,"&gt;"&amp;AT691)+COUNTIF($AT$6:AT691,AT691))</f>
        <v/>
      </c>
    </row>
    <row r="692">
      <c r="A692" s="59" t="str">
        <f>IF(AE692="","",AB692&amp;"-"&amp;AD692&amp;"-"&amp;RIGHT("000"&amp;AE692,4))</f>
        <v/>
      </c>
      <c r="B692" s="60" t="n"/>
      <c r="C692" s="61" t="n"/>
      <c r="D692" s="60" t="n"/>
      <c r="E692" s="62" t="str">
        <f>IF(D692="","",IFERROR(INDEX(cli_name,MATCH(D692,cli_code,0))&amp;"","Client inconnu"))</f>
        <v/>
      </c>
      <c r="F692" s="60" t="n"/>
      <c r="G692" s="63" t="n"/>
      <c r="H692" s="61" t="n"/>
      <c r="I692" s="63" t="n"/>
      <c r="J692" s="60" t="n"/>
      <c r="K692" s="61" t="n"/>
      <c r="L692" s="60" t="n"/>
      <c r="M692" s="60" t="n"/>
      <c r="N692" s="60" t="n"/>
      <c r="O692" s="61" t="n"/>
      <c r="P692" s="64" t="str">
        <f>IF(A692="","",IF(AA692="Avoir",AC692,IF(ISNUMBER(K692),K692,AC692+IF(D692="",N(p_delay),IFERROR(IF(ISNUMBER(INDEX(cli_delay,MATCH(D692,cli_code,0))),INDEX(cli_delay,MATCH(D692,cli_code,0)),N(p_delay)),N(p_delay))))))</f>
        <v/>
      </c>
      <c r="Q692" s="65" t="str">
        <f>IF(A692="","",IF(AA692="Avoir",-1,1)*ROUND(AJ692-IF(AR692="",0,INDEX(fa_htb,AR692)),2))</f>
        <v/>
      </c>
      <c r="R692" s="65" t="str">
        <f>IF(A692="","",IF(AA692="Avoir",-1,1)*ROUND(AQ692-IF(AR692="",0,INDEX(fa_tvab,AR692)),2))</f>
        <v/>
      </c>
      <c r="S692" s="65" t="str">
        <f>IF(A692="","",Q692+R692)</f>
        <v/>
      </c>
      <c r="T692" s="65" t="str">
        <f>IF(AR692="","",INDEX(fa_htb,AR692)+INDEX(fa_tvab,AR692))</f>
        <v/>
      </c>
      <c r="U692" s="65" t="str">
        <f>IF(A692="","",SUMIF(pa_inv,A692,pa_amt))</f>
        <v/>
      </c>
      <c r="V692" s="65" t="str">
        <f>IF(OR(A692="",AA692="Avoir"),"",-SUMIFS(fa_ttc,fa_avof,A692,fa_type,"Avoir"))</f>
        <v/>
      </c>
      <c r="W692" s="65" t="str">
        <f>IF(OR(A692="",AA692="Avoir"),"",ROUND(S692-U692-V692,2))</f>
        <v/>
      </c>
      <c r="X692" s="66" t="str">
        <f>IF(W692="","",IF(AND(W692&gt;0,p_asof&gt;P692),p_asof-P692,""))</f>
        <v/>
      </c>
      <c r="Y692" s="59" t="str">
        <f>IF(A692="","",IF(AA692="Avoir","Avoir",IF(W692&lt;0,"Trop-perçu",IF(W692=0,"Soldée",IF(p_asof&gt;P692,"En retard",IF(U692+V692&gt;0,"Partielle","À échoir"))))))</f>
        <v/>
      </c>
      <c r="Z692" s="59" t="str">
        <f>IF(NOT(COUNTA(B692:D692,F692:O692)&gt;0),"",IF(C692="","Date manquante",IF(NOT(ISNUMBER(C692)),"Date invalide",IF(D692="","Client manquant",IF(ISNA(MATCH(D692,cli_code,0)),"Client inconnu",IF(AC692&lt;SUMPRODUCT(MAX(($AB$6:AB691=AB692)*$AC$6:AC691)),"Date antérieure à la facture précédente",IF(AND(F692&lt;&gt;"",ISNA(MATCH(F692,dv_num,0))),"Devis inconnu",IF(AND(F692&lt;&gt;"",IFERROR(INDEX(dv_client,MATCH(F692,dv_num,0)),D692)&lt;&gt;D692),"Client différent de celui du devis",IF(AG692="","Aucune ligne : saisissez des lignes ou un devis",IF(AND(AI692&lt;&gt;"",COUNTIF($AI$6:AI692,AI692)&gt;1),"Devis déjà repris par une autre facture",IF(AND(AA692="Avoir",M692=""),"Avoir : indiquez la facture d'origine",IF(AND(AA692="Avoir",ISNA(MATCH(M692,fa_num,0))),"Facture d'origine inconnue",IF(AND(AA692&lt;&gt;"Avoir",M692&lt;&gt;""),"« Avoir sur facture » : réservé aux avoirs",IF(AND(L692&lt;&gt;"",AA692&lt;&gt;"Facture"),"Acompte à déduire : réservé aux factures",IF(AND(L692&lt;&gt;"",ISNA(MATCH(L692,fa_num,0))),"Facture d'acompte inconnue",IF(AND(L692&lt;&gt;"",IFERROR(INDEX(fa_type,MATCH(L692,fa_num,0)),"")&lt;&gt;"Facture d'acompte"),"Le n° à déduire n'est pas une facture d'acompte",IF(AND(L692&lt;&gt;"",COUNTIF($L$6:L692,L692)&gt;1),"Acompte déjà déduit sur une autre facture",IF(AND(L692&lt;&gt;"",IFERROR(INDEX(fa_client,MATCH(L692,fa_num,0)),D692)&lt;&gt;D692),"Acompte d'un autre client",IF(AND(AR692&lt;&gt;"",N(Q692)&lt;0),"Acompte supérieur au total de la facture",IF(IF(AG692="Facture",COUNTIFS(fl_doc,A692,fl_check,"&lt;&gt;OK"),IF(AG692="Devis",COUNTIFS(dl_doc,F692,dl_check,"&lt;&gt;OK"),0))&gt;0,"Ligne(s) à corriger",IF(AND(W692&lt;&gt;"",N(W692)&lt;0),"Trop-perçu : vérifiez paiements et avoirs","OK")))))))))))))))))))))</f>
        <v/>
      </c>
      <c r="AA692" s="62" t="str">
        <f>IF(COUNTA(B692:D692,F692:O692)&gt;0,IF(B692="","Facture",B692),"")</f>
        <v/>
      </c>
      <c r="AB692" s="62" t="str">
        <f>IF(AA692="","",IF(AA692="Avoir",p_pav,IF(AA692="Facture d'acompte",p_pac,p_pfa)))</f>
        <v/>
      </c>
      <c r="AC692" s="62">
        <f>IF(ISNUMBER(C692),C692,0)</f>
        <v>0.0</v>
      </c>
      <c r="AD692" s="62" t="str">
        <f>IF(OR(AA692="",AC692=0),"",YEAR(AC692))</f>
        <v/>
      </c>
      <c r="AE692" s="62" t="str">
        <f>IF(AD692="","",COUNTIFS($AB$6:AB692,AB692,$AD$6:AD692,AD692))</f>
        <v/>
      </c>
      <c r="AF692" s="62">
        <f>IF(A692="",0,COUNTIF(fl_doc,A692))</f>
        <v>0.0</v>
      </c>
      <c r="AG692" s="62" t="str">
        <f>IF(A692="","",IF(AF692&gt;0,"Facture",IF(AND(F692&lt;&gt;"",AA692="Facture",ISNUMBER(MATCH(F692,dv_num,0))),"Devis","")))</f>
        <v/>
      </c>
      <c r="AH692" s="62" t="str">
        <f>IF(AND(A692&lt;&gt;"",F692&lt;&gt;"",AA692&lt;&gt;"Avoir"),F692,"")</f>
        <v/>
      </c>
      <c r="AI692" s="62" t="str">
        <f>IF(AG692="Devis",F692,"")</f>
        <v/>
      </c>
      <c r="AJ692" s="62">
        <f>IF(AG692="Facture",SUMIF(fl_doc,A692,fl_ht),IF(AG692="Devis",SUMIF(dl_doc,F692,dl_ht),0))</f>
        <v>0.0</v>
      </c>
      <c r="AK692" s="62">
        <f>IF(OR(AG692="",INDEX(p_rates,1)=""),0,IF(AG692="Facture",SUMIFS(fl_ht,fl_doc,A692,fl_rate,INDEX(p_rates,1)),SUMIFS(dl_ht,dl_doc,F692,dl_rate,INDEX(p_rates,1))))</f>
        <v>0.0</v>
      </c>
      <c r="AL692" s="62">
        <f>IF(OR(AG692="",INDEX(p_rates,2)=""),0,IF(AG692="Facture",SUMIFS(fl_ht,fl_doc,A692,fl_rate,INDEX(p_rates,2)),SUMIFS(dl_ht,dl_doc,F692,dl_rate,INDEX(p_rates,2))))</f>
        <v>0.0</v>
      </c>
      <c r="AM692" s="62">
        <f>IF(OR(AG692="",INDEX(p_rates,3)=""),0,IF(AG692="Facture",SUMIFS(fl_ht,fl_doc,A692,fl_rate,INDEX(p_rates,3)),SUMIFS(dl_ht,dl_doc,F692,dl_rate,INDEX(p_rates,3))))</f>
        <v>0.0</v>
      </c>
      <c r="AN692" s="62">
        <f>IF(OR(AG692="",INDEX(p_rates,4)=""),0,IF(AG692="Facture",SUMIFS(fl_ht,fl_doc,A692,fl_rate,INDEX(p_rates,4)),SUMIFS(dl_ht,dl_doc,F692,dl_rate,INDEX(p_rates,4))))</f>
        <v>0.0</v>
      </c>
      <c r="AO692" s="62">
        <f>IF(OR(AG692="",INDEX(p_rates,5)=""),0,IF(AG692="Facture",SUMIFS(fl_ht,fl_doc,A692,fl_rate,INDEX(p_rates,5)),SUMIFS(dl_ht,dl_doc,F692,dl_rate,INDEX(p_rates,5))))</f>
        <v>0.0</v>
      </c>
      <c r="AP692" s="62">
        <f>IF(OR(AG692="",INDEX(p_rates,6)=""),0,IF(AG692="Facture",SUMIFS(fl_ht,fl_doc,A692,fl_rate,INDEX(p_rates,6)),SUMIFS(dl_ht,dl_doc,F692,dl_rate,INDEX(p_rates,6))))</f>
        <v>0.0</v>
      </c>
      <c r="AQ692" s="62">
        <f>ROUND(AK692*N(INDEX(p_rates,1)),2)+ROUND(AL692*N(INDEX(p_rates,2)),2)+ROUND(AM692*N(INDEX(p_rates,3)),2)+ROUND(AN692*N(INDEX(p_rates,4)),2)+ROUND(AO692*N(INDEX(p_rates,5)),2)+ROUND(AP692*N(INDEX(p_rates,6)),2)</f>
        <v>0.0</v>
      </c>
      <c r="AR692" s="62" t="str">
        <f>IF(OR(L692="",AA692&lt;&gt;"Facture"),"",IFERROR(IF(INDEX(fa_type,MATCH(L692,fa_num,0))="Facture d'acompte",MATCH(L692,fa_num,0),""),""))</f>
        <v/>
      </c>
      <c r="AS692" s="62" t="str">
        <f>IF(W692="","",IF(W692&lt;=0,"",IF(p_asof-P692&lt;=0,"Non échu",IF(p_asof-P692&lt;=30,"1-30 j",IF(p_asof-P692&lt;=60,"31-60 j",IF(p_asof-P692&lt;=90,"61-90 j","Plus de 90 j"))))))</f>
        <v/>
      </c>
      <c r="AT692" s="62" t="str">
        <f>IF(AS692="","",p_asof-P692)</f>
        <v/>
      </c>
      <c r="AU692" s="62" t="str">
        <f>IF(AT692="","",COUNTIF($AT$6:$AT$805,"&gt;"&amp;AT692)+COUNTIF($AT$6:AT692,AT692))</f>
        <v/>
      </c>
    </row>
    <row r="693">
      <c r="A693" s="59" t="str">
        <f>IF(AE693="","",AB693&amp;"-"&amp;AD693&amp;"-"&amp;RIGHT("000"&amp;AE693,4))</f>
        <v/>
      </c>
      <c r="B693" s="60" t="n"/>
      <c r="C693" s="61" t="n"/>
      <c r="D693" s="60" t="n"/>
      <c r="E693" s="62" t="str">
        <f>IF(D693="","",IFERROR(INDEX(cli_name,MATCH(D693,cli_code,0))&amp;"","Client inconnu"))</f>
        <v/>
      </c>
      <c r="F693" s="60" t="n"/>
      <c r="G693" s="63" t="n"/>
      <c r="H693" s="61" t="n"/>
      <c r="I693" s="63" t="n"/>
      <c r="J693" s="60" t="n"/>
      <c r="K693" s="61" t="n"/>
      <c r="L693" s="60" t="n"/>
      <c r="M693" s="60" t="n"/>
      <c r="N693" s="60" t="n"/>
      <c r="O693" s="61" t="n"/>
      <c r="P693" s="64" t="str">
        <f>IF(A693="","",IF(AA693="Avoir",AC693,IF(ISNUMBER(K693),K693,AC693+IF(D693="",N(p_delay),IFERROR(IF(ISNUMBER(INDEX(cli_delay,MATCH(D693,cli_code,0))),INDEX(cli_delay,MATCH(D693,cli_code,0)),N(p_delay)),N(p_delay))))))</f>
        <v/>
      </c>
      <c r="Q693" s="65" t="str">
        <f>IF(A693="","",IF(AA693="Avoir",-1,1)*ROUND(AJ693-IF(AR693="",0,INDEX(fa_htb,AR693)),2))</f>
        <v/>
      </c>
      <c r="R693" s="65" t="str">
        <f>IF(A693="","",IF(AA693="Avoir",-1,1)*ROUND(AQ693-IF(AR693="",0,INDEX(fa_tvab,AR693)),2))</f>
        <v/>
      </c>
      <c r="S693" s="65" t="str">
        <f>IF(A693="","",Q693+R693)</f>
        <v/>
      </c>
      <c r="T693" s="65" t="str">
        <f>IF(AR693="","",INDEX(fa_htb,AR693)+INDEX(fa_tvab,AR693))</f>
        <v/>
      </c>
      <c r="U693" s="65" t="str">
        <f>IF(A693="","",SUMIF(pa_inv,A693,pa_amt))</f>
        <v/>
      </c>
      <c r="V693" s="65" t="str">
        <f>IF(OR(A693="",AA693="Avoir"),"",-SUMIFS(fa_ttc,fa_avof,A693,fa_type,"Avoir"))</f>
        <v/>
      </c>
      <c r="W693" s="65" t="str">
        <f>IF(OR(A693="",AA693="Avoir"),"",ROUND(S693-U693-V693,2))</f>
        <v/>
      </c>
      <c r="X693" s="66" t="str">
        <f>IF(W693="","",IF(AND(W693&gt;0,p_asof&gt;P693),p_asof-P693,""))</f>
        <v/>
      </c>
      <c r="Y693" s="59" t="str">
        <f>IF(A693="","",IF(AA693="Avoir","Avoir",IF(W693&lt;0,"Trop-perçu",IF(W693=0,"Soldée",IF(p_asof&gt;P693,"En retard",IF(U693+V693&gt;0,"Partielle","À échoir"))))))</f>
        <v/>
      </c>
      <c r="Z693" s="59" t="str">
        <f>IF(NOT(COUNTA(B693:D693,F693:O693)&gt;0),"",IF(C693="","Date manquante",IF(NOT(ISNUMBER(C693)),"Date invalide",IF(D693="","Client manquant",IF(ISNA(MATCH(D693,cli_code,0)),"Client inconnu",IF(AC693&lt;SUMPRODUCT(MAX(($AB$6:AB692=AB693)*$AC$6:AC692)),"Date antérieure à la facture précédente",IF(AND(F693&lt;&gt;"",ISNA(MATCH(F693,dv_num,0))),"Devis inconnu",IF(AND(F693&lt;&gt;"",IFERROR(INDEX(dv_client,MATCH(F693,dv_num,0)),D693)&lt;&gt;D693),"Client différent de celui du devis",IF(AG693="","Aucune ligne : saisissez des lignes ou un devis",IF(AND(AI693&lt;&gt;"",COUNTIF($AI$6:AI693,AI693)&gt;1),"Devis déjà repris par une autre facture",IF(AND(AA693="Avoir",M693=""),"Avoir : indiquez la facture d'origine",IF(AND(AA693="Avoir",ISNA(MATCH(M693,fa_num,0))),"Facture d'origine inconnue",IF(AND(AA693&lt;&gt;"Avoir",M693&lt;&gt;""),"« Avoir sur facture » : réservé aux avoirs",IF(AND(L693&lt;&gt;"",AA693&lt;&gt;"Facture"),"Acompte à déduire : réservé aux factures",IF(AND(L693&lt;&gt;"",ISNA(MATCH(L693,fa_num,0))),"Facture d'acompte inconnue",IF(AND(L693&lt;&gt;"",IFERROR(INDEX(fa_type,MATCH(L693,fa_num,0)),"")&lt;&gt;"Facture d'acompte"),"Le n° à déduire n'est pas une facture d'acompte",IF(AND(L693&lt;&gt;"",COUNTIF($L$6:L693,L693)&gt;1),"Acompte déjà déduit sur une autre facture",IF(AND(L693&lt;&gt;"",IFERROR(INDEX(fa_client,MATCH(L693,fa_num,0)),D693)&lt;&gt;D693),"Acompte d'un autre client",IF(AND(AR693&lt;&gt;"",N(Q693)&lt;0),"Acompte supérieur au total de la facture",IF(IF(AG693="Facture",COUNTIFS(fl_doc,A693,fl_check,"&lt;&gt;OK"),IF(AG693="Devis",COUNTIFS(dl_doc,F693,dl_check,"&lt;&gt;OK"),0))&gt;0,"Ligne(s) à corriger",IF(AND(W693&lt;&gt;"",N(W693)&lt;0),"Trop-perçu : vérifiez paiements et avoirs","OK")))))))))))))))))))))</f>
        <v/>
      </c>
      <c r="AA693" s="62" t="str">
        <f>IF(COUNTA(B693:D693,F693:O693)&gt;0,IF(B693="","Facture",B693),"")</f>
        <v/>
      </c>
      <c r="AB693" s="62" t="str">
        <f>IF(AA693="","",IF(AA693="Avoir",p_pav,IF(AA693="Facture d'acompte",p_pac,p_pfa)))</f>
        <v/>
      </c>
      <c r="AC693" s="62">
        <f>IF(ISNUMBER(C693),C693,0)</f>
        <v>0.0</v>
      </c>
      <c r="AD693" s="62" t="str">
        <f>IF(OR(AA693="",AC693=0),"",YEAR(AC693))</f>
        <v/>
      </c>
      <c r="AE693" s="62" t="str">
        <f>IF(AD693="","",COUNTIFS($AB$6:AB693,AB693,$AD$6:AD693,AD693))</f>
        <v/>
      </c>
      <c r="AF693" s="62">
        <f>IF(A693="",0,COUNTIF(fl_doc,A693))</f>
        <v>0.0</v>
      </c>
      <c r="AG693" s="62" t="str">
        <f>IF(A693="","",IF(AF693&gt;0,"Facture",IF(AND(F693&lt;&gt;"",AA693="Facture",ISNUMBER(MATCH(F693,dv_num,0))),"Devis","")))</f>
        <v/>
      </c>
      <c r="AH693" s="62" t="str">
        <f>IF(AND(A693&lt;&gt;"",F693&lt;&gt;"",AA693&lt;&gt;"Avoir"),F693,"")</f>
        <v/>
      </c>
      <c r="AI693" s="62" t="str">
        <f>IF(AG693="Devis",F693,"")</f>
        <v/>
      </c>
      <c r="AJ693" s="62">
        <f>IF(AG693="Facture",SUMIF(fl_doc,A693,fl_ht),IF(AG693="Devis",SUMIF(dl_doc,F693,dl_ht),0))</f>
        <v>0.0</v>
      </c>
      <c r="AK693" s="62">
        <f>IF(OR(AG693="",INDEX(p_rates,1)=""),0,IF(AG693="Facture",SUMIFS(fl_ht,fl_doc,A693,fl_rate,INDEX(p_rates,1)),SUMIFS(dl_ht,dl_doc,F693,dl_rate,INDEX(p_rates,1))))</f>
        <v>0.0</v>
      </c>
      <c r="AL693" s="62">
        <f>IF(OR(AG693="",INDEX(p_rates,2)=""),0,IF(AG693="Facture",SUMIFS(fl_ht,fl_doc,A693,fl_rate,INDEX(p_rates,2)),SUMIFS(dl_ht,dl_doc,F693,dl_rate,INDEX(p_rates,2))))</f>
        <v>0.0</v>
      </c>
      <c r="AM693" s="62">
        <f>IF(OR(AG693="",INDEX(p_rates,3)=""),0,IF(AG693="Facture",SUMIFS(fl_ht,fl_doc,A693,fl_rate,INDEX(p_rates,3)),SUMIFS(dl_ht,dl_doc,F693,dl_rate,INDEX(p_rates,3))))</f>
        <v>0.0</v>
      </c>
      <c r="AN693" s="62">
        <f>IF(OR(AG693="",INDEX(p_rates,4)=""),0,IF(AG693="Facture",SUMIFS(fl_ht,fl_doc,A693,fl_rate,INDEX(p_rates,4)),SUMIFS(dl_ht,dl_doc,F693,dl_rate,INDEX(p_rates,4))))</f>
        <v>0.0</v>
      </c>
      <c r="AO693" s="62">
        <f>IF(OR(AG693="",INDEX(p_rates,5)=""),0,IF(AG693="Facture",SUMIFS(fl_ht,fl_doc,A693,fl_rate,INDEX(p_rates,5)),SUMIFS(dl_ht,dl_doc,F693,dl_rate,INDEX(p_rates,5))))</f>
        <v>0.0</v>
      </c>
      <c r="AP693" s="62">
        <f>IF(OR(AG693="",INDEX(p_rates,6)=""),0,IF(AG693="Facture",SUMIFS(fl_ht,fl_doc,A693,fl_rate,INDEX(p_rates,6)),SUMIFS(dl_ht,dl_doc,F693,dl_rate,INDEX(p_rates,6))))</f>
        <v>0.0</v>
      </c>
      <c r="AQ693" s="62">
        <f>ROUND(AK693*N(INDEX(p_rates,1)),2)+ROUND(AL693*N(INDEX(p_rates,2)),2)+ROUND(AM693*N(INDEX(p_rates,3)),2)+ROUND(AN693*N(INDEX(p_rates,4)),2)+ROUND(AO693*N(INDEX(p_rates,5)),2)+ROUND(AP693*N(INDEX(p_rates,6)),2)</f>
        <v>0.0</v>
      </c>
      <c r="AR693" s="62" t="str">
        <f>IF(OR(L693="",AA693&lt;&gt;"Facture"),"",IFERROR(IF(INDEX(fa_type,MATCH(L693,fa_num,0))="Facture d'acompte",MATCH(L693,fa_num,0),""),""))</f>
        <v/>
      </c>
      <c r="AS693" s="62" t="str">
        <f>IF(W693="","",IF(W693&lt;=0,"",IF(p_asof-P693&lt;=0,"Non échu",IF(p_asof-P693&lt;=30,"1-30 j",IF(p_asof-P693&lt;=60,"31-60 j",IF(p_asof-P693&lt;=90,"61-90 j","Plus de 90 j"))))))</f>
        <v/>
      </c>
      <c r="AT693" s="62" t="str">
        <f>IF(AS693="","",p_asof-P693)</f>
        <v/>
      </c>
      <c r="AU693" s="62" t="str">
        <f>IF(AT693="","",COUNTIF($AT$6:$AT$805,"&gt;"&amp;AT693)+COUNTIF($AT$6:AT693,AT693))</f>
        <v/>
      </c>
    </row>
    <row r="694">
      <c r="A694" s="59" t="str">
        <f>IF(AE694="","",AB694&amp;"-"&amp;AD694&amp;"-"&amp;RIGHT("000"&amp;AE694,4))</f>
        <v/>
      </c>
      <c r="B694" s="60" t="n"/>
      <c r="C694" s="61" t="n"/>
      <c r="D694" s="60" t="n"/>
      <c r="E694" s="62" t="str">
        <f>IF(D694="","",IFERROR(INDEX(cli_name,MATCH(D694,cli_code,0))&amp;"","Client inconnu"))</f>
        <v/>
      </c>
      <c r="F694" s="60" t="n"/>
      <c r="G694" s="63" t="n"/>
      <c r="H694" s="61" t="n"/>
      <c r="I694" s="63" t="n"/>
      <c r="J694" s="60" t="n"/>
      <c r="K694" s="61" t="n"/>
      <c r="L694" s="60" t="n"/>
      <c r="M694" s="60" t="n"/>
      <c r="N694" s="60" t="n"/>
      <c r="O694" s="61" t="n"/>
      <c r="P694" s="64" t="str">
        <f>IF(A694="","",IF(AA694="Avoir",AC694,IF(ISNUMBER(K694),K694,AC694+IF(D694="",N(p_delay),IFERROR(IF(ISNUMBER(INDEX(cli_delay,MATCH(D694,cli_code,0))),INDEX(cli_delay,MATCH(D694,cli_code,0)),N(p_delay)),N(p_delay))))))</f>
        <v/>
      </c>
      <c r="Q694" s="65" t="str">
        <f>IF(A694="","",IF(AA694="Avoir",-1,1)*ROUND(AJ694-IF(AR694="",0,INDEX(fa_htb,AR694)),2))</f>
        <v/>
      </c>
      <c r="R694" s="65" t="str">
        <f>IF(A694="","",IF(AA694="Avoir",-1,1)*ROUND(AQ694-IF(AR694="",0,INDEX(fa_tvab,AR694)),2))</f>
        <v/>
      </c>
      <c r="S694" s="65" t="str">
        <f>IF(A694="","",Q694+R694)</f>
        <v/>
      </c>
      <c r="T694" s="65" t="str">
        <f>IF(AR694="","",INDEX(fa_htb,AR694)+INDEX(fa_tvab,AR694))</f>
        <v/>
      </c>
      <c r="U694" s="65" t="str">
        <f>IF(A694="","",SUMIF(pa_inv,A694,pa_amt))</f>
        <v/>
      </c>
      <c r="V694" s="65" t="str">
        <f>IF(OR(A694="",AA694="Avoir"),"",-SUMIFS(fa_ttc,fa_avof,A694,fa_type,"Avoir"))</f>
        <v/>
      </c>
      <c r="W694" s="65" t="str">
        <f>IF(OR(A694="",AA694="Avoir"),"",ROUND(S694-U694-V694,2))</f>
        <v/>
      </c>
      <c r="X694" s="66" t="str">
        <f>IF(W694="","",IF(AND(W694&gt;0,p_asof&gt;P694),p_asof-P694,""))</f>
        <v/>
      </c>
      <c r="Y694" s="59" t="str">
        <f>IF(A694="","",IF(AA694="Avoir","Avoir",IF(W694&lt;0,"Trop-perçu",IF(W694=0,"Soldée",IF(p_asof&gt;P694,"En retard",IF(U694+V694&gt;0,"Partielle","À échoir"))))))</f>
        <v/>
      </c>
      <c r="Z694" s="59" t="str">
        <f>IF(NOT(COUNTA(B694:D694,F694:O694)&gt;0),"",IF(C694="","Date manquante",IF(NOT(ISNUMBER(C694)),"Date invalide",IF(D694="","Client manquant",IF(ISNA(MATCH(D694,cli_code,0)),"Client inconnu",IF(AC694&lt;SUMPRODUCT(MAX(($AB$6:AB693=AB694)*$AC$6:AC693)),"Date antérieure à la facture précédente",IF(AND(F694&lt;&gt;"",ISNA(MATCH(F694,dv_num,0))),"Devis inconnu",IF(AND(F694&lt;&gt;"",IFERROR(INDEX(dv_client,MATCH(F694,dv_num,0)),D694)&lt;&gt;D694),"Client différent de celui du devis",IF(AG694="","Aucune ligne : saisissez des lignes ou un devis",IF(AND(AI694&lt;&gt;"",COUNTIF($AI$6:AI694,AI694)&gt;1),"Devis déjà repris par une autre facture",IF(AND(AA694="Avoir",M694=""),"Avoir : indiquez la facture d'origine",IF(AND(AA694="Avoir",ISNA(MATCH(M694,fa_num,0))),"Facture d'origine inconnue",IF(AND(AA694&lt;&gt;"Avoir",M694&lt;&gt;""),"« Avoir sur facture » : réservé aux avoirs",IF(AND(L694&lt;&gt;"",AA694&lt;&gt;"Facture"),"Acompte à déduire : réservé aux factures",IF(AND(L694&lt;&gt;"",ISNA(MATCH(L694,fa_num,0))),"Facture d'acompte inconnue",IF(AND(L694&lt;&gt;"",IFERROR(INDEX(fa_type,MATCH(L694,fa_num,0)),"")&lt;&gt;"Facture d'acompte"),"Le n° à déduire n'est pas une facture d'acompte",IF(AND(L694&lt;&gt;"",COUNTIF($L$6:L694,L694)&gt;1),"Acompte déjà déduit sur une autre facture",IF(AND(L694&lt;&gt;"",IFERROR(INDEX(fa_client,MATCH(L694,fa_num,0)),D694)&lt;&gt;D694),"Acompte d'un autre client",IF(AND(AR694&lt;&gt;"",N(Q694)&lt;0),"Acompte supérieur au total de la facture",IF(IF(AG694="Facture",COUNTIFS(fl_doc,A694,fl_check,"&lt;&gt;OK"),IF(AG694="Devis",COUNTIFS(dl_doc,F694,dl_check,"&lt;&gt;OK"),0))&gt;0,"Ligne(s) à corriger",IF(AND(W694&lt;&gt;"",N(W694)&lt;0),"Trop-perçu : vérifiez paiements et avoirs","OK")))))))))))))))))))))</f>
        <v/>
      </c>
      <c r="AA694" s="62" t="str">
        <f>IF(COUNTA(B694:D694,F694:O694)&gt;0,IF(B694="","Facture",B694),"")</f>
        <v/>
      </c>
      <c r="AB694" s="62" t="str">
        <f>IF(AA694="","",IF(AA694="Avoir",p_pav,IF(AA694="Facture d'acompte",p_pac,p_pfa)))</f>
        <v/>
      </c>
      <c r="AC694" s="62">
        <f>IF(ISNUMBER(C694),C694,0)</f>
        <v>0.0</v>
      </c>
      <c r="AD694" s="62" t="str">
        <f>IF(OR(AA694="",AC694=0),"",YEAR(AC694))</f>
        <v/>
      </c>
      <c r="AE694" s="62" t="str">
        <f>IF(AD694="","",COUNTIFS($AB$6:AB694,AB694,$AD$6:AD694,AD694))</f>
        <v/>
      </c>
      <c r="AF694" s="62">
        <f>IF(A694="",0,COUNTIF(fl_doc,A694))</f>
        <v>0.0</v>
      </c>
      <c r="AG694" s="62" t="str">
        <f>IF(A694="","",IF(AF694&gt;0,"Facture",IF(AND(F694&lt;&gt;"",AA694="Facture",ISNUMBER(MATCH(F694,dv_num,0))),"Devis","")))</f>
        <v/>
      </c>
      <c r="AH694" s="62" t="str">
        <f>IF(AND(A694&lt;&gt;"",F694&lt;&gt;"",AA694&lt;&gt;"Avoir"),F694,"")</f>
        <v/>
      </c>
      <c r="AI694" s="62" t="str">
        <f>IF(AG694="Devis",F694,"")</f>
        <v/>
      </c>
      <c r="AJ694" s="62">
        <f>IF(AG694="Facture",SUMIF(fl_doc,A694,fl_ht),IF(AG694="Devis",SUMIF(dl_doc,F694,dl_ht),0))</f>
        <v>0.0</v>
      </c>
      <c r="AK694" s="62">
        <f>IF(OR(AG694="",INDEX(p_rates,1)=""),0,IF(AG694="Facture",SUMIFS(fl_ht,fl_doc,A694,fl_rate,INDEX(p_rates,1)),SUMIFS(dl_ht,dl_doc,F694,dl_rate,INDEX(p_rates,1))))</f>
        <v>0.0</v>
      </c>
      <c r="AL694" s="62">
        <f>IF(OR(AG694="",INDEX(p_rates,2)=""),0,IF(AG694="Facture",SUMIFS(fl_ht,fl_doc,A694,fl_rate,INDEX(p_rates,2)),SUMIFS(dl_ht,dl_doc,F694,dl_rate,INDEX(p_rates,2))))</f>
        <v>0.0</v>
      </c>
      <c r="AM694" s="62">
        <f>IF(OR(AG694="",INDEX(p_rates,3)=""),0,IF(AG694="Facture",SUMIFS(fl_ht,fl_doc,A694,fl_rate,INDEX(p_rates,3)),SUMIFS(dl_ht,dl_doc,F694,dl_rate,INDEX(p_rates,3))))</f>
        <v>0.0</v>
      </c>
      <c r="AN694" s="62">
        <f>IF(OR(AG694="",INDEX(p_rates,4)=""),0,IF(AG694="Facture",SUMIFS(fl_ht,fl_doc,A694,fl_rate,INDEX(p_rates,4)),SUMIFS(dl_ht,dl_doc,F694,dl_rate,INDEX(p_rates,4))))</f>
        <v>0.0</v>
      </c>
      <c r="AO694" s="62">
        <f>IF(OR(AG694="",INDEX(p_rates,5)=""),0,IF(AG694="Facture",SUMIFS(fl_ht,fl_doc,A694,fl_rate,INDEX(p_rates,5)),SUMIFS(dl_ht,dl_doc,F694,dl_rate,INDEX(p_rates,5))))</f>
        <v>0.0</v>
      </c>
      <c r="AP694" s="62">
        <f>IF(OR(AG694="",INDEX(p_rates,6)=""),0,IF(AG694="Facture",SUMIFS(fl_ht,fl_doc,A694,fl_rate,INDEX(p_rates,6)),SUMIFS(dl_ht,dl_doc,F694,dl_rate,INDEX(p_rates,6))))</f>
        <v>0.0</v>
      </c>
      <c r="AQ694" s="62">
        <f>ROUND(AK694*N(INDEX(p_rates,1)),2)+ROUND(AL694*N(INDEX(p_rates,2)),2)+ROUND(AM694*N(INDEX(p_rates,3)),2)+ROUND(AN694*N(INDEX(p_rates,4)),2)+ROUND(AO694*N(INDEX(p_rates,5)),2)+ROUND(AP694*N(INDEX(p_rates,6)),2)</f>
        <v>0.0</v>
      </c>
      <c r="AR694" s="62" t="str">
        <f>IF(OR(L694="",AA694&lt;&gt;"Facture"),"",IFERROR(IF(INDEX(fa_type,MATCH(L694,fa_num,0))="Facture d'acompte",MATCH(L694,fa_num,0),""),""))</f>
        <v/>
      </c>
      <c r="AS694" s="62" t="str">
        <f>IF(W694="","",IF(W694&lt;=0,"",IF(p_asof-P694&lt;=0,"Non échu",IF(p_asof-P694&lt;=30,"1-30 j",IF(p_asof-P694&lt;=60,"31-60 j",IF(p_asof-P694&lt;=90,"61-90 j","Plus de 90 j"))))))</f>
        <v/>
      </c>
      <c r="AT694" s="62" t="str">
        <f>IF(AS694="","",p_asof-P694)</f>
        <v/>
      </c>
      <c r="AU694" s="62" t="str">
        <f>IF(AT694="","",COUNTIF($AT$6:$AT$805,"&gt;"&amp;AT694)+COUNTIF($AT$6:AT694,AT694))</f>
        <v/>
      </c>
    </row>
    <row r="695">
      <c r="A695" s="59" t="str">
        <f>IF(AE695="","",AB695&amp;"-"&amp;AD695&amp;"-"&amp;RIGHT("000"&amp;AE695,4))</f>
        <v/>
      </c>
      <c r="B695" s="60" t="n"/>
      <c r="C695" s="61" t="n"/>
      <c r="D695" s="60" t="n"/>
      <c r="E695" s="62" t="str">
        <f>IF(D695="","",IFERROR(INDEX(cli_name,MATCH(D695,cli_code,0))&amp;"","Client inconnu"))</f>
        <v/>
      </c>
      <c r="F695" s="60" t="n"/>
      <c r="G695" s="63" t="n"/>
      <c r="H695" s="61" t="n"/>
      <c r="I695" s="63" t="n"/>
      <c r="J695" s="60" t="n"/>
      <c r="K695" s="61" t="n"/>
      <c r="L695" s="60" t="n"/>
      <c r="M695" s="60" t="n"/>
      <c r="N695" s="60" t="n"/>
      <c r="O695" s="61" t="n"/>
      <c r="P695" s="64" t="str">
        <f>IF(A695="","",IF(AA695="Avoir",AC695,IF(ISNUMBER(K695),K695,AC695+IF(D695="",N(p_delay),IFERROR(IF(ISNUMBER(INDEX(cli_delay,MATCH(D695,cli_code,0))),INDEX(cli_delay,MATCH(D695,cli_code,0)),N(p_delay)),N(p_delay))))))</f>
        <v/>
      </c>
      <c r="Q695" s="65" t="str">
        <f>IF(A695="","",IF(AA695="Avoir",-1,1)*ROUND(AJ695-IF(AR695="",0,INDEX(fa_htb,AR695)),2))</f>
        <v/>
      </c>
      <c r="R695" s="65" t="str">
        <f>IF(A695="","",IF(AA695="Avoir",-1,1)*ROUND(AQ695-IF(AR695="",0,INDEX(fa_tvab,AR695)),2))</f>
        <v/>
      </c>
      <c r="S695" s="65" t="str">
        <f>IF(A695="","",Q695+R695)</f>
        <v/>
      </c>
      <c r="T695" s="65" t="str">
        <f>IF(AR695="","",INDEX(fa_htb,AR695)+INDEX(fa_tvab,AR695))</f>
        <v/>
      </c>
      <c r="U695" s="65" t="str">
        <f>IF(A695="","",SUMIF(pa_inv,A695,pa_amt))</f>
        <v/>
      </c>
      <c r="V695" s="65" t="str">
        <f>IF(OR(A695="",AA695="Avoir"),"",-SUMIFS(fa_ttc,fa_avof,A695,fa_type,"Avoir"))</f>
        <v/>
      </c>
      <c r="W695" s="65" t="str">
        <f>IF(OR(A695="",AA695="Avoir"),"",ROUND(S695-U695-V695,2))</f>
        <v/>
      </c>
      <c r="X695" s="66" t="str">
        <f>IF(W695="","",IF(AND(W695&gt;0,p_asof&gt;P695),p_asof-P695,""))</f>
        <v/>
      </c>
      <c r="Y695" s="59" t="str">
        <f>IF(A695="","",IF(AA695="Avoir","Avoir",IF(W695&lt;0,"Trop-perçu",IF(W695=0,"Soldée",IF(p_asof&gt;P695,"En retard",IF(U695+V695&gt;0,"Partielle","À échoir"))))))</f>
        <v/>
      </c>
      <c r="Z695" s="59" t="str">
        <f>IF(NOT(COUNTA(B695:D695,F695:O695)&gt;0),"",IF(C695="","Date manquante",IF(NOT(ISNUMBER(C695)),"Date invalide",IF(D695="","Client manquant",IF(ISNA(MATCH(D695,cli_code,0)),"Client inconnu",IF(AC695&lt;SUMPRODUCT(MAX(($AB$6:AB694=AB695)*$AC$6:AC694)),"Date antérieure à la facture précédente",IF(AND(F695&lt;&gt;"",ISNA(MATCH(F695,dv_num,0))),"Devis inconnu",IF(AND(F695&lt;&gt;"",IFERROR(INDEX(dv_client,MATCH(F695,dv_num,0)),D695)&lt;&gt;D695),"Client différent de celui du devis",IF(AG695="","Aucune ligne : saisissez des lignes ou un devis",IF(AND(AI695&lt;&gt;"",COUNTIF($AI$6:AI695,AI695)&gt;1),"Devis déjà repris par une autre facture",IF(AND(AA695="Avoir",M695=""),"Avoir : indiquez la facture d'origine",IF(AND(AA695="Avoir",ISNA(MATCH(M695,fa_num,0))),"Facture d'origine inconnue",IF(AND(AA695&lt;&gt;"Avoir",M695&lt;&gt;""),"« Avoir sur facture » : réservé aux avoirs",IF(AND(L695&lt;&gt;"",AA695&lt;&gt;"Facture"),"Acompte à déduire : réservé aux factures",IF(AND(L695&lt;&gt;"",ISNA(MATCH(L695,fa_num,0))),"Facture d'acompte inconnue",IF(AND(L695&lt;&gt;"",IFERROR(INDEX(fa_type,MATCH(L695,fa_num,0)),"")&lt;&gt;"Facture d'acompte"),"Le n° à déduire n'est pas une facture d'acompte",IF(AND(L695&lt;&gt;"",COUNTIF($L$6:L695,L695)&gt;1),"Acompte déjà déduit sur une autre facture",IF(AND(L695&lt;&gt;"",IFERROR(INDEX(fa_client,MATCH(L695,fa_num,0)),D695)&lt;&gt;D695),"Acompte d'un autre client",IF(AND(AR695&lt;&gt;"",N(Q695)&lt;0),"Acompte supérieur au total de la facture",IF(IF(AG695="Facture",COUNTIFS(fl_doc,A695,fl_check,"&lt;&gt;OK"),IF(AG695="Devis",COUNTIFS(dl_doc,F695,dl_check,"&lt;&gt;OK"),0))&gt;0,"Ligne(s) à corriger",IF(AND(W695&lt;&gt;"",N(W695)&lt;0),"Trop-perçu : vérifiez paiements et avoirs","OK")))))))))))))))))))))</f>
        <v/>
      </c>
      <c r="AA695" s="62" t="str">
        <f>IF(COUNTA(B695:D695,F695:O695)&gt;0,IF(B695="","Facture",B695),"")</f>
        <v/>
      </c>
      <c r="AB695" s="62" t="str">
        <f>IF(AA695="","",IF(AA695="Avoir",p_pav,IF(AA695="Facture d'acompte",p_pac,p_pfa)))</f>
        <v/>
      </c>
      <c r="AC695" s="62">
        <f>IF(ISNUMBER(C695),C695,0)</f>
        <v>0.0</v>
      </c>
      <c r="AD695" s="62" t="str">
        <f>IF(OR(AA695="",AC695=0),"",YEAR(AC695))</f>
        <v/>
      </c>
      <c r="AE695" s="62" t="str">
        <f>IF(AD695="","",COUNTIFS($AB$6:AB695,AB695,$AD$6:AD695,AD695))</f>
        <v/>
      </c>
      <c r="AF695" s="62">
        <f>IF(A695="",0,COUNTIF(fl_doc,A695))</f>
        <v>0.0</v>
      </c>
      <c r="AG695" s="62" t="str">
        <f>IF(A695="","",IF(AF695&gt;0,"Facture",IF(AND(F695&lt;&gt;"",AA695="Facture",ISNUMBER(MATCH(F695,dv_num,0))),"Devis","")))</f>
        <v/>
      </c>
      <c r="AH695" s="62" t="str">
        <f>IF(AND(A695&lt;&gt;"",F695&lt;&gt;"",AA695&lt;&gt;"Avoir"),F695,"")</f>
        <v/>
      </c>
      <c r="AI695" s="62" t="str">
        <f>IF(AG695="Devis",F695,"")</f>
        <v/>
      </c>
      <c r="AJ695" s="62">
        <f>IF(AG695="Facture",SUMIF(fl_doc,A695,fl_ht),IF(AG695="Devis",SUMIF(dl_doc,F695,dl_ht),0))</f>
        <v>0.0</v>
      </c>
      <c r="AK695" s="62">
        <f>IF(OR(AG695="",INDEX(p_rates,1)=""),0,IF(AG695="Facture",SUMIFS(fl_ht,fl_doc,A695,fl_rate,INDEX(p_rates,1)),SUMIFS(dl_ht,dl_doc,F695,dl_rate,INDEX(p_rates,1))))</f>
        <v>0.0</v>
      </c>
      <c r="AL695" s="62">
        <f>IF(OR(AG695="",INDEX(p_rates,2)=""),0,IF(AG695="Facture",SUMIFS(fl_ht,fl_doc,A695,fl_rate,INDEX(p_rates,2)),SUMIFS(dl_ht,dl_doc,F695,dl_rate,INDEX(p_rates,2))))</f>
        <v>0.0</v>
      </c>
      <c r="AM695" s="62">
        <f>IF(OR(AG695="",INDEX(p_rates,3)=""),0,IF(AG695="Facture",SUMIFS(fl_ht,fl_doc,A695,fl_rate,INDEX(p_rates,3)),SUMIFS(dl_ht,dl_doc,F695,dl_rate,INDEX(p_rates,3))))</f>
        <v>0.0</v>
      </c>
      <c r="AN695" s="62">
        <f>IF(OR(AG695="",INDEX(p_rates,4)=""),0,IF(AG695="Facture",SUMIFS(fl_ht,fl_doc,A695,fl_rate,INDEX(p_rates,4)),SUMIFS(dl_ht,dl_doc,F695,dl_rate,INDEX(p_rates,4))))</f>
        <v>0.0</v>
      </c>
      <c r="AO695" s="62">
        <f>IF(OR(AG695="",INDEX(p_rates,5)=""),0,IF(AG695="Facture",SUMIFS(fl_ht,fl_doc,A695,fl_rate,INDEX(p_rates,5)),SUMIFS(dl_ht,dl_doc,F695,dl_rate,INDEX(p_rates,5))))</f>
        <v>0.0</v>
      </c>
      <c r="AP695" s="62">
        <f>IF(OR(AG695="",INDEX(p_rates,6)=""),0,IF(AG695="Facture",SUMIFS(fl_ht,fl_doc,A695,fl_rate,INDEX(p_rates,6)),SUMIFS(dl_ht,dl_doc,F695,dl_rate,INDEX(p_rates,6))))</f>
        <v>0.0</v>
      </c>
      <c r="AQ695" s="62">
        <f>ROUND(AK695*N(INDEX(p_rates,1)),2)+ROUND(AL695*N(INDEX(p_rates,2)),2)+ROUND(AM695*N(INDEX(p_rates,3)),2)+ROUND(AN695*N(INDEX(p_rates,4)),2)+ROUND(AO695*N(INDEX(p_rates,5)),2)+ROUND(AP695*N(INDEX(p_rates,6)),2)</f>
        <v>0.0</v>
      </c>
      <c r="AR695" s="62" t="str">
        <f>IF(OR(L695="",AA695&lt;&gt;"Facture"),"",IFERROR(IF(INDEX(fa_type,MATCH(L695,fa_num,0))="Facture d'acompte",MATCH(L695,fa_num,0),""),""))</f>
        <v/>
      </c>
      <c r="AS695" s="62" t="str">
        <f>IF(W695="","",IF(W695&lt;=0,"",IF(p_asof-P695&lt;=0,"Non échu",IF(p_asof-P695&lt;=30,"1-30 j",IF(p_asof-P695&lt;=60,"31-60 j",IF(p_asof-P695&lt;=90,"61-90 j","Plus de 90 j"))))))</f>
        <v/>
      </c>
      <c r="AT695" s="62" t="str">
        <f>IF(AS695="","",p_asof-P695)</f>
        <v/>
      </c>
      <c r="AU695" s="62" t="str">
        <f>IF(AT695="","",COUNTIF($AT$6:$AT$805,"&gt;"&amp;AT695)+COUNTIF($AT$6:AT695,AT695))</f>
        <v/>
      </c>
    </row>
    <row r="696">
      <c r="A696" s="59" t="str">
        <f>IF(AE696="","",AB696&amp;"-"&amp;AD696&amp;"-"&amp;RIGHT("000"&amp;AE696,4))</f>
        <v/>
      </c>
      <c r="B696" s="60" t="n"/>
      <c r="C696" s="61" t="n"/>
      <c r="D696" s="60" t="n"/>
      <c r="E696" s="62" t="str">
        <f>IF(D696="","",IFERROR(INDEX(cli_name,MATCH(D696,cli_code,0))&amp;"","Client inconnu"))</f>
        <v/>
      </c>
      <c r="F696" s="60" t="n"/>
      <c r="G696" s="63" t="n"/>
      <c r="H696" s="61" t="n"/>
      <c r="I696" s="63" t="n"/>
      <c r="J696" s="60" t="n"/>
      <c r="K696" s="61" t="n"/>
      <c r="L696" s="60" t="n"/>
      <c r="M696" s="60" t="n"/>
      <c r="N696" s="60" t="n"/>
      <c r="O696" s="61" t="n"/>
      <c r="P696" s="64" t="str">
        <f>IF(A696="","",IF(AA696="Avoir",AC696,IF(ISNUMBER(K696),K696,AC696+IF(D696="",N(p_delay),IFERROR(IF(ISNUMBER(INDEX(cli_delay,MATCH(D696,cli_code,0))),INDEX(cli_delay,MATCH(D696,cli_code,0)),N(p_delay)),N(p_delay))))))</f>
        <v/>
      </c>
      <c r="Q696" s="65" t="str">
        <f>IF(A696="","",IF(AA696="Avoir",-1,1)*ROUND(AJ696-IF(AR696="",0,INDEX(fa_htb,AR696)),2))</f>
        <v/>
      </c>
      <c r="R696" s="65" t="str">
        <f>IF(A696="","",IF(AA696="Avoir",-1,1)*ROUND(AQ696-IF(AR696="",0,INDEX(fa_tvab,AR696)),2))</f>
        <v/>
      </c>
      <c r="S696" s="65" t="str">
        <f>IF(A696="","",Q696+R696)</f>
        <v/>
      </c>
      <c r="T696" s="65" t="str">
        <f>IF(AR696="","",INDEX(fa_htb,AR696)+INDEX(fa_tvab,AR696))</f>
        <v/>
      </c>
      <c r="U696" s="65" t="str">
        <f>IF(A696="","",SUMIF(pa_inv,A696,pa_amt))</f>
        <v/>
      </c>
      <c r="V696" s="65" t="str">
        <f>IF(OR(A696="",AA696="Avoir"),"",-SUMIFS(fa_ttc,fa_avof,A696,fa_type,"Avoir"))</f>
        <v/>
      </c>
      <c r="W696" s="65" t="str">
        <f>IF(OR(A696="",AA696="Avoir"),"",ROUND(S696-U696-V696,2))</f>
        <v/>
      </c>
      <c r="X696" s="66" t="str">
        <f>IF(W696="","",IF(AND(W696&gt;0,p_asof&gt;P696),p_asof-P696,""))</f>
        <v/>
      </c>
      <c r="Y696" s="59" t="str">
        <f>IF(A696="","",IF(AA696="Avoir","Avoir",IF(W696&lt;0,"Trop-perçu",IF(W696=0,"Soldée",IF(p_asof&gt;P696,"En retard",IF(U696+V696&gt;0,"Partielle","À échoir"))))))</f>
        <v/>
      </c>
      <c r="Z696" s="59" t="str">
        <f>IF(NOT(COUNTA(B696:D696,F696:O696)&gt;0),"",IF(C696="","Date manquante",IF(NOT(ISNUMBER(C696)),"Date invalide",IF(D696="","Client manquant",IF(ISNA(MATCH(D696,cli_code,0)),"Client inconnu",IF(AC696&lt;SUMPRODUCT(MAX(($AB$6:AB695=AB696)*$AC$6:AC695)),"Date antérieure à la facture précédente",IF(AND(F696&lt;&gt;"",ISNA(MATCH(F696,dv_num,0))),"Devis inconnu",IF(AND(F696&lt;&gt;"",IFERROR(INDEX(dv_client,MATCH(F696,dv_num,0)),D696)&lt;&gt;D696),"Client différent de celui du devis",IF(AG696="","Aucune ligne : saisissez des lignes ou un devis",IF(AND(AI696&lt;&gt;"",COUNTIF($AI$6:AI696,AI696)&gt;1),"Devis déjà repris par une autre facture",IF(AND(AA696="Avoir",M696=""),"Avoir : indiquez la facture d'origine",IF(AND(AA696="Avoir",ISNA(MATCH(M696,fa_num,0))),"Facture d'origine inconnue",IF(AND(AA696&lt;&gt;"Avoir",M696&lt;&gt;""),"« Avoir sur facture » : réservé aux avoirs",IF(AND(L696&lt;&gt;"",AA696&lt;&gt;"Facture"),"Acompte à déduire : réservé aux factures",IF(AND(L696&lt;&gt;"",ISNA(MATCH(L696,fa_num,0))),"Facture d'acompte inconnue",IF(AND(L696&lt;&gt;"",IFERROR(INDEX(fa_type,MATCH(L696,fa_num,0)),"")&lt;&gt;"Facture d'acompte"),"Le n° à déduire n'est pas une facture d'acompte",IF(AND(L696&lt;&gt;"",COUNTIF($L$6:L696,L696)&gt;1),"Acompte déjà déduit sur une autre facture",IF(AND(L696&lt;&gt;"",IFERROR(INDEX(fa_client,MATCH(L696,fa_num,0)),D696)&lt;&gt;D696),"Acompte d'un autre client",IF(AND(AR696&lt;&gt;"",N(Q696)&lt;0),"Acompte supérieur au total de la facture",IF(IF(AG696="Facture",COUNTIFS(fl_doc,A696,fl_check,"&lt;&gt;OK"),IF(AG696="Devis",COUNTIFS(dl_doc,F696,dl_check,"&lt;&gt;OK"),0))&gt;0,"Ligne(s) à corriger",IF(AND(W696&lt;&gt;"",N(W696)&lt;0),"Trop-perçu : vérifiez paiements et avoirs","OK")))))))))))))))))))))</f>
        <v/>
      </c>
      <c r="AA696" s="62" t="str">
        <f>IF(COUNTA(B696:D696,F696:O696)&gt;0,IF(B696="","Facture",B696),"")</f>
        <v/>
      </c>
      <c r="AB696" s="62" t="str">
        <f>IF(AA696="","",IF(AA696="Avoir",p_pav,IF(AA696="Facture d'acompte",p_pac,p_pfa)))</f>
        <v/>
      </c>
      <c r="AC696" s="62">
        <f>IF(ISNUMBER(C696),C696,0)</f>
        <v>0.0</v>
      </c>
      <c r="AD696" s="62" t="str">
        <f>IF(OR(AA696="",AC696=0),"",YEAR(AC696))</f>
        <v/>
      </c>
      <c r="AE696" s="62" t="str">
        <f>IF(AD696="","",COUNTIFS($AB$6:AB696,AB696,$AD$6:AD696,AD696))</f>
        <v/>
      </c>
      <c r="AF696" s="62">
        <f>IF(A696="",0,COUNTIF(fl_doc,A696))</f>
        <v>0.0</v>
      </c>
      <c r="AG696" s="62" t="str">
        <f>IF(A696="","",IF(AF696&gt;0,"Facture",IF(AND(F696&lt;&gt;"",AA696="Facture",ISNUMBER(MATCH(F696,dv_num,0))),"Devis","")))</f>
        <v/>
      </c>
      <c r="AH696" s="62" t="str">
        <f>IF(AND(A696&lt;&gt;"",F696&lt;&gt;"",AA696&lt;&gt;"Avoir"),F696,"")</f>
        <v/>
      </c>
      <c r="AI696" s="62" t="str">
        <f>IF(AG696="Devis",F696,"")</f>
        <v/>
      </c>
      <c r="AJ696" s="62">
        <f>IF(AG696="Facture",SUMIF(fl_doc,A696,fl_ht),IF(AG696="Devis",SUMIF(dl_doc,F696,dl_ht),0))</f>
        <v>0.0</v>
      </c>
      <c r="AK696" s="62">
        <f>IF(OR(AG696="",INDEX(p_rates,1)=""),0,IF(AG696="Facture",SUMIFS(fl_ht,fl_doc,A696,fl_rate,INDEX(p_rates,1)),SUMIFS(dl_ht,dl_doc,F696,dl_rate,INDEX(p_rates,1))))</f>
        <v>0.0</v>
      </c>
      <c r="AL696" s="62">
        <f>IF(OR(AG696="",INDEX(p_rates,2)=""),0,IF(AG696="Facture",SUMIFS(fl_ht,fl_doc,A696,fl_rate,INDEX(p_rates,2)),SUMIFS(dl_ht,dl_doc,F696,dl_rate,INDEX(p_rates,2))))</f>
        <v>0.0</v>
      </c>
      <c r="AM696" s="62">
        <f>IF(OR(AG696="",INDEX(p_rates,3)=""),0,IF(AG696="Facture",SUMIFS(fl_ht,fl_doc,A696,fl_rate,INDEX(p_rates,3)),SUMIFS(dl_ht,dl_doc,F696,dl_rate,INDEX(p_rates,3))))</f>
        <v>0.0</v>
      </c>
      <c r="AN696" s="62">
        <f>IF(OR(AG696="",INDEX(p_rates,4)=""),0,IF(AG696="Facture",SUMIFS(fl_ht,fl_doc,A696,fl_rate,INDEX(p_rates,4)),SUMIFS(dl_ht,dl_doc,F696,dl_rate,INDEX(p_rates,4))))</f>
        <v>0.0</v>
      </c>
      <c r="AO696" s="62">
        <f>IF(OR(AG696="",INDEX(p_rates,5)=""),0,IF(AG696="Facture",SUMIFS(fl_ht,fl_doc,A696,fl_rate,INDEX(p_rates,5)),SUMIFS(dl_ht,dl_doc,F696,dl_rate,INDEX(p_rates,5))))</f>
        <v>0.0</v>
      </c>
      <c r="AP696" s="62">
        <f>IF(OR(AG696="",INDEX(p_rates,6)=""),0,IF(AG696="Facture",SUMIFS(fl_ht,fl_doc,A696,fl_rate,INDEX(p_rates,6)),SUMIFS(dl_ht,dl_doc,F696,dl_rate,INDEX(p_rates,6))))</f>
        <v>0.0</v>
      </c>
      <c r="AQ696" s="62">
        <f>ROUND(AK696*N(INDEX(p_rates,1)),2)+ROUND(AL696*N(INDEX(p_rates,2)),2)+ROUND(AM696*N(INDEX(p_rates,3)),2)+ROUND(AN696*N(INDEX(p_rates,4)),2)+ROUND(AO696*N(INDEX(p_rates,5)),2)+ROUND(AP696*N(INDEX(p_rates,6)),2)</f>
        <v>0.0</v>
      </c>
      <c r="AR696" s="62" t="str">
        <f>IF(OR(L696="",AA696&lt;&gt;"Facture"),"",IFERROR(IF(INDEX(fa_type,MATCH(L696,fa_num,0))="Facture d'acompte",MATCH(L696,fa_num,0),""),""))</f>
        <v/>
      </c>
      <c r="AS696" s="62" t="str">
        <f>IF(W696="","",IF(W696&lt;=0,"",IF(p_asof-P696&lt;=0,"Non échu",IF(p_asof-P696&lt;=30,"1-30 j",IF(p_asof-P696&lt;=60,"31-60 j",IF(p_asof-P696&lt;=90,"61-90 j","Plus de 90 j"))))))</f>
        <v/>
      </c>
      <c r="AT696" s="62" t="str">
        <f>IF(AS696="","",p_asof-P696)</f>
        <v/>
      </c>
      <c r="AU696" s="62" t="str">
        <f>IF(AT696="","",COUNTIF($AT$6:$AT$805,"&gt;"&amp;AT696)+COUNTIF($AT$6:AT696,AT696))</f>
        <v/>
      </c>
    </row>
    <row r="697">
      <c r="A697" s="59" t="str">
        <f>IF(AE697="","",AB697&amp;"-"&amp;AD697&amp;"-"&amp;RIGHT("000"&amp;AE697,4))</f>
        <v/>
      </c>
      <c r="B697" s="60" t="n"/>
      <c r="C697" s="61" t="n"/>
      <c r="D697" s="60" t="n"/>
      <c r="E697" s="62" t="str">
        <f>IF(D697="","",IFERROR(INDEX(cli_name,MATCH(D697,cli_code,0))&amp;"","Client inconnu"))</f>
        <v/>
      </c>
      <c r="F697" s="60" t="n"/>
      <c r="G697" s="63" t="n"/>
      <c r="H697" s="61" t="n"/>
      <c r="I697" s="63" t="n"/>
      <c r="J697" s="60" t="n"/>
      <c r="K697" s="61" t="n"/>
      <c r="L697" s="60" t="n"/>
      <c r="M697" s="60" t="n"/>
      <c r="N697" s="60" t="n"/>
      <c r="O697" s="61" t="n"/>
      <c r="P697" s="64" t="str">
        <f>IF(A697="","",IF(AA697="Avoir",AC697,IF(ISNUMBER(K697),K697,AC697+IF(D697="",N(p_delay),IFERROR(IF(ISNUMBER(INDEX(cli_delay,MATCH(D697,cli_code,0))),INDEX(cli_delay,MATCH(D697,cli_code,0)),N(p_delay)),N(p_delay))))))</f>
        <v/>
      </c>
      <c r="Q697" s="65" t="str">
        <f>IF(A697="","",IF(AA697="Avoir",-1,1)*ROUND(AJ697-IF(AR697="",0,INDEX(fa_htb,AR697)),2))</f>
        <v/>
      </c>
      <c r="R697" s="65" t="str">
        <f>IF(A697="","",IF(AA697="Avoir",-1,1)*ROUND(AQ697-IF(AR697="",0,INDEX(fa_tvab,AR697)),2))</f>
        <v/>
      </c>
      <c r="S697" s="65" t="str">
        <f>IF(A697="","",Q697+R697)</f>
        <v/>
      </c>
      <c r="T697" s="65" t="str">
        <f>IF(AR697="","",INDEX(fa_htb,AR697)+INDEX(fa_tvab,AR697))</f>
        <v/>
      </c>
      <c r="U697" s="65" t="str">
        <f>IF(A697="","",SUMIF(pa_inv,A697,pa_amt))</f>
        <v/>
      </c>
      <c r="V697" s="65" t="str">
        <f>IF(OR(A697="",AA697="Avoir"),"",-SUMIFS(fa_ttc,fa_avof,A697,fa_type,"Avoir"))</f>
        <v/>
      </c>
      <c r="W697" s="65" t="str">
        <f>IF(OR(A697="",AA697="Avoir"),"",ROUND(S697-U697-V697,2))</f>
        <v/>
      </c>
      <c r="X697" s="66" t="str">
        <f>IF(W697="","",IF(AND(W697&gt;0,p_asof&gt;P697),p_asof-P697,""))</f>
        <v/>
      </c>
      <c r="Y697" s="59" t="str">
        <f>IF(A697="","",IF(AA697="Avoir","Avoir",IF(W697&lt;0,"Trop-perçu",IF(W697=0,"Soldée",IF(p_asof&gt;P697,"En retard",IF(U697+V697&gt;0,"Partielle","À échoir"))))))</f>
        <v/>
      </c>
      <c r="Z697" s="59" t="str">
        <f>IF(NOT(COUNTA(B697:D697,F697:O697)&gt;0),"",IF(C697="","Date manquante",IF(NOT(ISNUMBER(C697)),"Date invalide",IF(D697="","Client manquant",IF(ISNA(MATCH(D697,cli_code,0)),"Client inconnu",IF(AC697&lt;SUMPRODUCT(MAX(($AB$6:AB696=AB697)*$AC$6:AC696)),"Date antérieure à la facture précédente",IF(AND(F697&lt;&gt;"",ISNA(MATCH(F697,dv_num,0))),"Devis inconnu",IF(AND(F697&lt;&gt;"",IFERROR(INDEX(dv_client,MATCH(F697,dv_num,0)),D697)&lt;&gt;D697),"Client différent de celui du devis",IF(AG697="","Aucune ligne : saisissez des lignes ou un devis",IF(AND(AI697&lt;&gt;"",COUNTIF($AI$6:AI697,AI697)&gt;1),"Devis déjà repris par une autre facture",IF(AND(AA697="Avoir",M697=""),"Avoir : indiquez la facture d'origine",IF(AND(AA697="Avoir",ISNA(MATCH(M697,fa_num,0))),"Facture d'origine inconnue",IF(AND(AA697&lt;&gt;"Avoir",M697&lt;&gt;""),"« Avoir sur facture » : réservé aux avoirs",IF(AND(L697&lt;&gt;"",AA697&lt;&gt;"Facture"),"Acompte à déduire : réservé aux factures",IF(AND(L697&lt;&gt;"",ISNA(MATCH(L697,fa_num,0))),"Facture d'acompte inconnue",IF(AND(L697&lt;&gt;"",IFERROR(INDEX(fa_type,MATCH(L697,fa_num,0)),"")&lt;&gt;"Facture d'acompte"),"Le n° à déduire n'est pas une facture d'acompte",IF(AND(L697&lt;&gt;"",COUNTIF($L$6:L697,L697)&gt;1),"Acompte déjà déduit sur une autre facture",IF(AND(L697&lt;&gt;"",IFERROR(INDEX(fa_client,MATCH(L697,fa_num,0)),D697)&lt;&gt;D697),"Acompte d'un autre client",IF(AND(AR697&lt;&gt;"",N(Q697)&lt;0),"Acompte supérieur au total de la facture",IF(IF(AG697="Facture",COUNTIFS(fl_doc,A697,fl_check,"&lt;&gt;OK"),IF(AG697="Devis",COUNTIFS(dl_doc,F697,dl_check,"&lt;&gt;OK"),0))&gt;0,"Ligne(s) à corriger",IF(AND(W697&lt;&gt;"",N(W697)&lt;0),"Trop-perçu : vérifiez paiements et avoirs","OK")))))))))))))))))))))</f>
        <v/>
      </c>
      <c r="AA697" s="62" t="str">
        <f>IF(COUNTA(B697:D697,F697:O697)&gt;0,IF(B697="","Facture",B697),"")</f>
        <v/>
      </c>
      <c r="AB697" s="62" t="str">
        <f>IF(AA697="","",IF(AA697="Avoir",p_pav,IF(AA697="Facture d'acompte",p_pac,p_pfa)))</f>
        <v/>
      </c>
      <c r="AC697" s="62">
        <f>IF(ISNUMBER(C697),C697,0)</f>
        <v>0.0</v>
      </c>
      <c r="AD697" s="62" t="str">
        <f>IF(OR(AA697="",AC697=0),"",YEAR(AC697))</f>
        <v/>
      </c>
      <c r="AE697" s="62" t="str">
        <f>IF(AD697="","",COUNTIFS($AB$6:AB697,AB697,$AD$6:AD697,AD697))</f>
        <v/>
      </c>
      <c r="AF697" s="62">
        <f>IF(A697="",0,COUNTIF(fl_doc,A697))</f>
        <v>0.0</v>
      </c>
      <c r="AG697" s="62" t="str">
        <f>IF(A697="","",IF(AF697&gt;0,"Facture",IF(AND(F697&lt;&gt;"",AA697="Facture",ISNUMBER(MATCH(F697,dv_num,0))),"Devis","")))</f>
        <v/>
      </c>
      <c r="AH697" s="62" t="str">
        <f>IF(AND(A697&lt;&gt;"",F697&lt;&gt;"",AA697&lt;&gt;"Avoir"),F697,"")</f>
        <v/>
      </c>
      <c r="AI697" s="62" t="str">
        <f>IF(AG697="Devis",F697,"")</f>
        <v/>
      </c>
      <c r="AJ697" s="62">
        <f>IF(AG697="Facture",SUMIF(fl_doc,A697,fl_ht),IF(AG697="Devis",SUMIF(dl_doc,F697,dl_ht),0))</f>
        <v>0.0</v>
      </c>
      <c r="AK697" s="62">
        <f>IF(OR(AG697="",INDEX(p_rates,1)=""),0,IF(AG697="Facture",SUMIFS(fl_ht,fl_doc,A697,fl_rate,INDEX(p_rates,1)),SUMIFS(dl_ht,dl_doc,F697,dl_rate,INDEX(p_rates,1))))</f>
        <v>0.0</v>
      </c>
      <c r="AL697" s="62">
        <f>IF(OR(AG697="",INDEX(p_rates,2)=""),0,IF(AG697="Facture",SUMIFS(fl_ht,fl_doc,A697,fl_rate,INDEX(p_rates,2)),SUMIFS(dl_ht,dl_doc,F697,dl_rate,INDEX(p_rates,2))))</f>
        <v>0.0</v>
      </c>
      <c r="AM697" s="62">
        <f>IF(OR(AG697="",INDEX(p_rates,3)=""),0,IF(AG697="Facture",SUMIFS(fl_ht,fl_doc,A697,fl_rate,INDEX(p_rates,3)),SUMIFS(dl_ht,dl_doc,F697,dl_rate,INDEX(p_rates,3))))</f>
        <v>0.0</v>
      </c>
      <c r="AN697" s="62">
        <f>IF(OR(AG697="",INDEX(p_rates,4)=""),0,IF(AG697="Facture",SUMIFS(fl_ht,fl_doc,A697,fl_rate,INDEX(p_rates,4)),SUMIFS(dl_ht,dl_doc,F697,dl_rate,INDEX(p_rates,4))))</f>
        <v>0.0</v>
      </c>
      <c r="AO697" s="62">
        <f>IF(OR(AG697="",INDEX(p_rates,5)=""),0,IF(AG697="Facture",SUMIFS(fl_ht,fl_doc,A697,fl_rate,INDEX(p_rates,5)),SUMIFS(dl_ht,dl_doc,F697,dl_rate,INDEX(p_rates,5))))</f>
        <v>0.0</v>
      </c>
      <c r="AP697" s="62">
        <f>IF(OR(AG697="",INDEX(p_rates,6)=""),0,IF(AG697="Facture",SUMIFS(fl_ht,fl_doc,A697,fl_rate,INDEX(p_rates,6)),SUMIFS(dl_ht,dl_doc,F697,dl_rate,INDEX(p_rates,6))))</f>
        <v>0.0</v>
      </c>
      <c r="AQ697" s="62">
        <f>ROUND(AK697*N(INDEX(p_rates,1)),2)+ROUND(AL697*N(INDEX(p_rates,2)),2)+ROUND(AM697*N(INDEX(p_rates,3)),2)+ROUND(AN697*N(INDEX(p_rates,4)),2)+ROUND(AO697*N(INDEX(p_rates,5)),2)+ROUND(AP697*N(INDEX(p_rates,6)),2)</f>
        <v>0.0</v>
      </c>
      <c r="AR697" s="62" t="str">
        <f>IF(OR(L697="",AA697&lt;&gt;"Facture"),"",IFERROR(IF(INDEX(fa_type,MATCH(L697,fa_num,0))="Facture d'acompte",MATCH(L697,fa_num,0),""),""))</f>
        <v/>
      </c>
      <c r="AS697" s="62" t="str">
        <f>IF(W697="","",IF(W697&lt;=0,"",IF(p_asof-P697&lt;=0,"Non échu",IF(p_asof-P697&lt;=30,"1-30 j",IF(p_asof-P697&lt;=60,"31-60 j",IF(p_asof-P697&lt;=90,"61-90 j","Plus de 90 j"))))))</f>
        <v/>
      </c>
      <c r="AT697" s="62" t="str">
        <f>IF(AS697="","",p_asof-P697)</f>
        <v/>
      </c>
      <c r="AU697" s="62" t="str">
        <f>IF(AT697="","",COUNTIF($AT$6:$AT$805,"&gt;"&amp;AT697)+COUNTIF($AT$6:AT697,AT697))</f>
        <v/>
      </c>
    </row>
    <row r="698">
      <c r="A698" s="59" t="str">
        <f>IF(AE698="","",AB698&amp;"-"&amp;AD698&amp;"-"&amp;RIGHT("000"&amp;AE698,4))</f>
        <v/>
      </c>
      <c r="B698" s="60" t="n"/>
      <c r="C698" s="61" t="n"/>
      <c r="D698" s="60" t="n"/>
      <c r="E698" s="62" t="str">
        <f>IF(D698="","",IFERROR(INDEX(cli_name,MATCH(D698,cli_code,0))&amp;"","Client inconnu"))</f>
        <v/>
      </c>
      <c r="F698" s="60" t="n"/>
      <c r="G698" s="63" t="n"/>
      <c r="H698" s="61" t="n"/>
      <c r="I698" s="63" t="n"/>
      <c r="J698" s="60" t="n"/>
      <c r="K698" s="61" t="n"/>
      <c r="L698" s="60" t="n"/>
      <c r="M698" s="60" t="n"/>
      <c r="N698" s="60" t="n"/>
      <c r="O698" s="61" t="n"/>
      <c r="P698" s="64" t="str">
        <f>IF(A698="","",IF(AA698="Avoir",AC698,IF(ISNUMBER(K698),K698,AC698+IF(D698="",N(p_delay),IFERROR(IF(ISNUMBER(INDEX(cli_delay,MATCH(D698,cli_code,0))),INDEX(cli_delay,MATCH(D698,cli_code,0)),N(p_delay)),N(p_delay))))))</f>
        <v/>
      </c>
      <c r="Q698" s="65" t="str">
        <f>IF(A698="","",IF(AA698="Avoir",-1,1)*ROUND(AJ698-IF(AR698="",0,INDEX(fa_htb,AR698)),2))</f>
        <v/>
      </c>
      <c r="R698" s="65" t="str">
        <f>IF(A698="","",IF(AA698="Avoir",-1,1)*ROUND(AQ698-IF(AR698="",0,INDEX(fa_tvab,AR698)),2))</f>
        <v/>
      </c>
      <c r="S698" s="65" t="str">
        <f>IF(A698="","",Q698+R698)</f>
        <v/>
      </c>
      <c r="T698" s="65" t="str">
        <f>IF(AR698="","",INDEX(fa_htb,AR698)+INDEX(fa_tvab,AR698))</f>
        <v/>
      </c>
      <c r="U698" s="65" t="str">
        <f>IF(A698="","",SUMIF(pa_inv,A698,pa_amt))</f>
        <v/>
      </c>
      <c r="V698" s="65" t="str">
        <f>IF(OR(A698="",AA698="Avoir"),"",-SUMIFS(fa_ttc,fa_avof,A698,fa_type,"Avoir"))</f>
        <v/>
      </c>
      <c r="W698" s="65" t="str">
        <f>IF(OR(A698="",AA698="Avoir"),"",ROUND(S698-U698-V698,2))</f>
        <v/>
      </c>
      <c r="X698" s="66" t="str">
        <f>IF(W698="","",IF(AND(W698&gt;0,p_asof&gt;P698),p_asof-P698,""))</f>
        <v/>
      </c>
      <c r="Y698" s="59" t="str">
        <f>IF(A698="","",IF(AA698="Avoir","Avoir",IF(W698&lt;0,"Trop-perçu",IF(W698=0,"Soldée",IF(p_asof&gt;P698,"En retard",IF(U698+V698&gt;0,"Partielle","À échoir"))))))</f>
        <v/>
      </c>
      <c r="Z698" s="59" t="str">
        <f>IF(NOT(COUNTA(B698:D698,F698:O698)&gt;0),"",IF(C698="","Date manquante",IF(NOT(ISNUMBER(C698)),"Date invalide",IF(D698="","Client manquant",IF(ISNA(MATCH(D698,cli_code,0)),"Client inconnu",IF(AC698&lt;SUMPRODUCT(MAX(($AB$6:AB697=AB698)*$AC$6:AC697)),"Date antérieure à la facture précédente",IF(AND(F698&lt;&gt;"",ISNA(MATCH(F698,dv_num,0))),"Devis inconnu",IF(AND(F698&lt;&gt;"",IFERROR(INDEX(dv_client,MATCH(F698,dv_num,0)),D698)&lt;&gt;D698),"Client différent de celui du devis",IF(AG698="","Aucune ligne : saisissez des lignes ou un devis",IF(AND(AI698&lt;&gt;"",COUNTIF($AI$6:AI698,AI698)&gt;1),"Devis déjà repris par une autre facture",IF(AND(AA698="Avoir",M698=""),"Avoir : indiquez la facture d'origine",IF(AND(AA698="Avoir",ISNA(MATCH(M698,fa_num,0))),"Facture d'origine inconnue",IF(AND(AA698&lt;&gt;"Avoir",M698&lt;&gt;""),"« Avoir sur facture » : réservé aux avoirs",IF(AND(L698&lt;&gt;"",AA698&lt;&gt;"Facture"),"Acompte à déduire : réservé aux factures",IF(AND(L698&lt;&gt;"",ISNA(MATCH(L698,fa_num,0))),"Facture d'acompte inconnue",IF(AND(L698&lt;&gt;"",IFERROR(INDEX(fa_type,MATCH(L698,fa_num,0)),"")&lt;&gt;"Facture d'acompte"),"Le n° à déduire n'est pas une facture d'acompte",IF(AND(L698&lt;&gt;"",COUNTIF($L$6:L698,L698)&gt;1),"Acompte déjà déduit sur une autre facture",IF(AND(L698&lt;&gt;"",IFERROR(INDEX(fa_client,MATCH(L698,fa_num,0)),D698)&lt;&gt;D698),"Acompte d'un autre client",IF(AND(AR698&lt;&gt;"",N(Q698)&lt;0),"Acompte supérieur au total de la facture",IF(IF(AG698="Facture",COUNTIFS(fl_doc,A698,fl_check,"&lt;&gt;OK"),IF(AG698="Devis",COUNTIFS(dl_doc,F698,dl_check,"&lt;&gt;OK"),0))&gt;0,"Ligne(s) à corriger",IF(AND(W698&lt;&gt;"",N(W698)&lt;0),"Trop-perçu : vérifiez paiements et avoirs","OK")))))))))))))))))))))</f>
        <v/>
      </c>
      <c r="AA698" s="62" t="str">
        <f>IF(COUNTA(B698:D698,F698:O698)&gt;0,IF(B698="","Facture",B698),"")</f>
        <v/>
      </c>
      <c r="AB698" s="62" t="str">
        <f>IF(AA698="","",IF(AA698="Avoir",p_pav,IF(AA698="Facture d'acompte",p_pac,p_pfa)))</f>
        <v/>
      </c>
      <c r="AC698" s="62">
        <f>IF(ISNUMBER(C698),C698,0)</f>
        <v>0.0</v>
      </c>
      <c r="AD698" s="62" t="str">
        <f>IF(OR(AA698="",AC698=0),"",YEAR(AC698))</f>
        <v/>
      </c>
      <c r="AE698" s="62" t="str">
        <f>IF(AD698="","",COUNTIFS($AB$6:AB698,AB698,$AD$6:AD698,AD698))</f>
        <v/>
      </c>
      <c r="AF698" s="62">
        <f>IF(A698="",0,COUNTIF(fl_doc,A698))</f>
        <v>0.0</v>
      </c>
      <c r="AG698" s="62" t="str">
        <f>IF(A698="","",IF(AF698&gt;0,"Facture",IF(AND(F698&lt;&gt;"",AA698="Facture",ISNUMBER(MATCH(F698,dv_num,0))),"Devis","")))</f>
        <v/>
      </c>
      <c r="AH698" s="62" t="str">
        <f>IF(AND(A698&lt;&gt;"",F698&lt;&gt;"",AA698&lt;&gt;"Avoir"),F698,"")</f>
        <v/>
      </c>
      <c r="AI698" s="62" t="str">
        <f>IF(AG698="Devis",F698,"")</f>
        <v/>
      </c>
      <c r="AJ698" s="62">
        <f>IF(AG698="Facture",SUMIF(fl_doc,A698,fl_ht),IF(AG698="Devis",SUMIF(dl_doc,F698,dl_ht),0))</f>
        <v>0.0</v>
      </c>
      <c r="AK698" s="62">
        <f>IF(OR(AG698="",INDEX(p_rates,1)=""),0,IF(AG698="Facture",SUMIFS(fl_ht,fl_doc,A698,fl_rate,INDEX(p_rates,1)),SUMIFS(dl_ht,dl_doc,F698,dl_rate,INDEX(p_rates,1))))</f>
        <v>0.0</v>
      </c>
      <c r="AL698" s="62">
        <f>IF(OR(AG698="",INDEX(p_rates,2)=""),0,IF(AG698="Facture",SUMIFS(fl_ht,fl_doc,A698,fl_rate,INDEX(p_rates,2)),SUMIFS(dl_ht,dl_doc,F698,dl_rate,INDEX(p_rates,2))))</f>
        <v>0.0</v>
      </c>
      <c r="AM698" s="62">
        <f>IF(OR(AG698="",INDEX(p_rates,3)=""),0,IF(AG698="Facture",SUMIFS(fl_ht,fl_doc,A698,fl_rate,INDEX(p_rates,3)),SUMIFS(dl_ht,dl_doc,F698,dl_rate,INDEX(p_rates,3))))</f>
        <v>0.0</v>
      </c>
      <c r="AN698" s="62">
        <f>IF(OR(AG698="",INDEX(p_rates,4)=""),0,IF(AG698="Facture",SUMIFS(fl_ht,fl_doc,A698,fl_rate,INDEX(p_rates,4)),SUMIFS(dl_ht,dl_doc,F698,dl_rate,INDEX(p_rates,4))))</f>
        <v>0.0</v>
      </c>
      <c r="AO698" s="62">
        <f>IF(OR(AG698="",INDEX(p_rates,5)=""),0,IF(AG698="Facture",SUMIFS(fl_ht,fl_doc,A698,fl_rate,INDEX(p_rates,5)),SUMIFS(dl_ht,dl_doc,F698,dl_rate,INDEX(p_rates,5))))</f>
        <v>0.0</v>
      </c>
      <c r="AP698" s="62">
        <f>IF(OR(AG698="",INDEX(p_rates,6)=""),0,IF(AG698="Facture",SUMIFS(fl_ht,fl_doc,A698,fl_rate,INDEX(p_rates,6)),SUMIFS(dl_ht,dl_doc,F698,dl_rate,INDEX(p_rates,6))))</f>
        <v>0.0</v>
      </c>
      <c r="AQ698" s="62">
        <f>ROUND(AK698*N(INDEX(p_rates,1)),2)+ROUND(AL698*N(INDEX(p_rates,2)),2)+ROUND(AM698*N(INDEX(p_rates,3)),2)+ROUND(AN698*N(INDEX(p_rates,4)),2)+ROUND(AO698*N(INDEX(p_rates,5)),2)+ROUND(AP698*N(INDEX(p_rates,6)),2)</f>
        <v>0.0</v>
      </c>
      <c r="AR698" s="62" t="str">
        <f>IF(OR(L698="",AA698&lt;&gt;"Facture"),"",IFERROR(IF(INDEX(fa_type,MATCH(L698,fa_num,0))="Facture d'acompte",MATCH(L698,fa_num,0),""),""))</f>
        <v/>
      </c>
      <c r="AS698" s="62" t="str">
        <f>IF(W698="","",IF(W698&lt;=0,"",IF(p_asof-P698&lt;=0,"Non échu",IF(p_asof-P698&lt;=30,"1-30 j",IF(p_asof-P698&lt;=60,"31-60 j",IF(p_asof-P698&lt;=90,"61-90 j","Plus de 90 j"))))))</f>
        <v/>
      </c>
      <c r="AT698" s="62" t="str">
        <f>IF(AS698="","",p_asof-P698)</f>
        <v/>
      </c>
      <c r="AU698" s="62" t="str">
        <f>IF(AT698="","",COUNTIF($AT$6:$AT$805,"&gt;"&amp;AT698)+COUNTIF($AT$6:AT698,AT698))</f>
        <v/>
      </c>
    </row>
    <row r="699">
      <c r="A699" s="59" t="str">
        <f>IF(AE699="","",AB699&amp;"-"&amp;AD699&amp;"-"&amp;RIGHT("000"&amp;AE699,4))</f>
        <v/>
      </c>
      <c r="B699" s="60" t="n"/>
      <c r="C699" s="61" t="n"/>
      <c r="D699" s="60" t="n"/>
      <c r="E699" s="62" t="str">
        <f>IF(D699="","",IFERROR(INDEX(cli_name,MATCH(D699,cli_code,0))&amp;"","Client inconnu"))</f>
        <v/>
      </c>
      <c r="F699" s="60" t="n"/>
      <c r="G699" s="63" t="n"/>
      <c r="H699" s="61" t="n"/>
      <c r="I699" s="63" t="n"/>
      <c r="J699" s="60" t="n"/>
      <c r="K699" s="61" t="n"/>
      <c r="L699" s="60" t="n"/>
      <c r="M699" s="60" t="n"/>
      <c r="N699" s="60" t="n"/>
      <c r="O699" s="61" t="n"/>
      <c r="P699" s="64" t="str">
        <f>IF(A699="","",IF(AA699="Avoir",AC699,IF(ISNUMBER(K699),K699,AC699+IF(D699="",N(p_delay),IFERROR(IF(ISNUMBER(INDEX(cli_delay,MATCH(D699,cli_code,0))),INDEX(cli_delay,MATCH(D699,cli_code,0)),N(p_delay)),N(p_delay))))))</f>
        <v/>
      </c>
      <c r="Q699" s="65" t="str">
        <f>IF(A699="","",IF(AA699="Avoir",-1,1)*ROUND(AJ699-IF(AR699="",0,INDEX(fa_htb,AR699)),2))</f>
        <v/>
      </c>
      <c r="R699" s="65" t="str">
        <f>IF(A699="","",IF(AA699="Avoir",-1,1)*ROUND(AQ699-IF(AR699="",0,INDEX(fa_tvab,AR699)),2))</f>
        <v/>
      </c>
      <c r="S699" s="65" t="str">
        <f>IF(A699="","",Q699+R699)</f>
        <v/>
      </c>
      <c r="T699" s="65" t="str">
        <f>IF(AR699="","",INDEX(fa_htb,AR699)+INDEX(fa_tvab,AR699))</f>
        <v/>
      </c>
      <c r="U699" s="65" t="str">
        <f>IF(A699="","",SUMIF(pa_inv,A699,pa_amt))</f>
        <v/>
      </c>
      <c r="V699" s="65" t="str">
        <f>IF(OR(A699="",AA699="Avoir"),"",-SUMIFS(fa_ttc,fa_avof,A699,fa_type,"Avoir"))</f>
        <v/>
      </c>
      <c r="W699" s="65" t="str">
        <f>IF(OR(A699="",AA699="Avoir"),"",ROUND(S699-U699-V699,2))</f>
        <v/>
      </c>
      <c r="X699" s="66" t="str">
        <f>IF(W699="","",IF(AND(W699&gt;0,p_asof&gt;P699),p_asof-P699,""))</f>
        <v/>
      </c>
      <c r="Y699" s="59" t="str">
        <f>IF(A699="","",IF(AA699="Avoir","Avoir",IF(W699&lt;0,"Trop-perçu",IF(W699=0,"Soldée",IF(p_asof&gt;P699,"En retard",IF(U699+V699&gt;0,"Partielle","À échoir"))))))</f>
        <v/>
      </c>
      <c r="Z699" s="59" t="str">
        <f>IF(NOT(COUNTA(B699:D699,F699:O699)&gt;0),"",IF(C699="","Date manquante",IF(NOT(ISNUMBER(C699)),"Date invalide",IF(D699="","Client manquant",IF(ISNA(MATCH(D699,cli_code,0)),"Client inconnu",IF(AC699&lt;SUMPRODUCT(MAX(($AB$6:AB698=AB699)*$AC$6:AC698)),"Date antérieure à la facture précédente",IF(AND(F699&lt;&gt;"",ISNA(MATCH(F699,dv_num,0))),"Devis inconnu",IF(AND(F699&lt;&gt;"",IFERROR(INDEX(dv_client,MATCH(F699,dv_num,0)),D699)&lt;&gt;D699),"Client différent de celui du devis",IF(AG699="","Aucune ligne : saisissez des lignes ou un devis",IF(AND(AI699&lt;&gt;"",COUNTIF($AI$6:AI699,AI699)&gt;1),"Devis déjà repris par une autre facture",IF(AND(AA699="Avoir",M699=""),"Avoir : indiquez la facture d'origine",IF(AND(AA699="Avoir",ISNA(MATCH(M699,fa_num,0))),"Facture d'origine inconnue",IF(AND(AA699&lt;&gt;"Avoir",M699&lt;&gt;""),"« Avoir sur facture » : réservé aux avoirs",IF(AND(L699&lt;&gt;"",AA699&lt;&gt;"Facture"),"Acompte à déduire : réservé aux factures",IF(AND(L699&lt;&gt;"",ISNA(MATCH(L699,fa_num,0))),"Facture d'acompte inconnue",IF(AND(L699&lt;&gt;"",IFERROR(INDEX(fa_type,MATCH(L699,fa_num,0)),"")&lt;&gt;"Facture d'acompte"),"Le n° à déduire n'est pas une facture d'acompte",IF(AND(L699&lt;&gt;"",COUNTIF($L$6:L699,L699)&gt;1),"Acompte déjà déduit sur une autre facture",IF(AND(L699&lt;&gt;"",IFERROR(INDEX(fa_client,MATCH(L699,fa_num,0)),D699)&lt;&gt;D699),"Acompte d'un autre client",IF(AND(AR699&lt;&gt;"",N(Q699)&lt;0),"Acompte supérieur au total de la facture",IF(IF(AG699="Facture",COUNTIFS(fl_doc,A699,fl_check,"&lt;&gt;OK"),IF(AG699="Devis",COUNTIFS(dl_doc,F699,dl_check,"&lt;&gt;OK"),0))&gt;0,"Ligne(s) à corriger",IF(AND(W699&lt;&gt;"",N(W699)&lt;0),"Trop-perçu : vérifiez paiements et avoirs","OK")))))))))))))))))))))</f>
        <v/>
      </c>
      <c r="AA699" s="62" t="str">
        <f>IF(COUNTA(B699:D699,F699:O699)&gt;0,IF(B699="","Facture",B699),"")</f>
        <v/>
      </c>
      <c r="AB699" s="62" t="str">
        <f>IF(AA699="","",IF(AA699="Avoir",p_pav,IF(AA699="Facture d'acompte",p_pac,p_pfa)))</f>
        <v/>
      </c>
      <c r="AC699" s="62">
        <f>IF(ISNUMBER(C699),C699,0)</f>
        <v>0.0</v>
      </c>
      <c r="AD699" s="62" t="str">
        <f>IF(OR(AA699="",AC699=0),"",YEAR(AC699))</f>
        <v/>
      </c>
      <c r="AE699" s="62" t="str">
        <f>IF(AD699="","",COUNTIFS($AB$6:AB699,AB699,$AD$6:AD699,AD699))</f>
        <v/>
      </c>
      <c r="AF699" s="62">
        <f>IF(A699="",0,COUNTIF(fl_doc,A699))</f>
        <v>0.0</v>
      </c>
      <c r="AG699" s="62" t="str">
        <f>IF(A699="","",IF(AF699&gt;0,"Facture",IF(AND(F699&lt;&gt;"",AA699="Facture",ISNUMBER(MATCH(F699,dv_num,0))),"Devis","")))</f>
        <v/>
      </c>
      <c r="AH699" s="62" t="str">
        <f>IF(AND(A699&lt;&gt;"",F699&lt;&gt;"",AA699&lt;&gt;"Avoir"),F699,"")</f>
        <v/>
      </c>
      <c r="AI699" s="62" t="str">
        <f>IF(AG699="Devis",F699,"")</f>
        <v/>
      </c>
      <c r="AJ699" s="62">
        <f>IF(AG699="Facture",SUMIF(fl_doc,A699,fl_ht),IF(AG699="Devis",SUMIF(dl_doc,F699,dl_ht),0))</f>
        <v>0.0</v>
      </c>
      <c r="AK699" s="62">
        <f>IF(OR(AG699="",INDEX(p_rates,1)=""),0,IF(AG699="Facture",SUMIFS(fl_ht,fl_doc,A699,fl_rate,INDEX(p_rates,1)),SUMIFS(dl_ht,dl_doc,F699,dl_rate,INDEX(p_rates,1))))</f>
        <v>0.0</v>
      </c>
      <c r="AL699" s="62">
        <f>IF(OR(AG699="",INDEX(p_rates,2)=""),0,IF(AG699="Facture",SUMIFS(fl_ht,fl_doc,A699,fl_rate,INDEX(p_rates,2)),SUMIFS(dl_ht,dl_doc,F699,dl_rate,INDEX(p_rates,2))))</f>
        <v>0.0</v>
      </c>
      <c r="AM699" s="62">
        <f>IF(OR(AG699="",INDEX(p_rates,3)=""),0,IF(AG699="Facture",SUMIFS(fl_ht,fl_doc,A699,fl_rate,INDEX(p_rates,3)),SUMIFS(dl_ht,dl_doc,F699,dl_rate,INDEX(p_rates,3))))</f>
        <v>0.0</v>
      </c>
      <c r="AN699" s="62">
        <f>IF(OR(AG699="",INDEX(p_rates,4)=""),0,IF(AG699="Facture",SUMIFS(fl_ht,fl_doc,A699,fl_rate,INDEX(p_rates,4)),SUMIFS(dl_ht,dl_doc,F699,dl_rate,INDEX(p_rates,4))))</f>
        <v>0.0</v>
      </c>
      <c r="AO699" s="62">
        <f>IF(OR(AG699="",INDEX(p_rates,5)=""),0,IF(AG699="Facture",SUMIFS(fl_ht,fl_doc,A699,fl_rate,INDEX(p_rates,5)),SUMIFS(dl_ht,dl_doc,F699,dl_rate,INDEX(p_rates,5))))</f>
        <v>0.0</v>
      </c>
      <c r="AP699" s="62">
        <f>IF(OR(AG699="",INDEX(p_rates,6)=""),0,IF(AG699="Facture",SUMIFS(fl_ht,fl_doc,A699,fl_rate,INDEX(p_rates,6)),SUMIFS(dl_ht,dl_doc,F699,dl_rate,INDEX(p_rates,6))))</f>
        <v>0.0</v>
      </c>
      <c r="AQ699" s="62">
        <f>ROUND(AK699*N(INDEX(p_rates,1)),2)+ROUND(AL699*N(INDEX(p_rates,2)),2)+ROUND(AM699*N(INDEX(p_rates,3)),2)+ROUND(AN699*N(INDEX(p_rates,4)),2)+ROUND(AO699*N(INDEX(p_rates,5)),2)+ROUND(AP699*N(INDEX(p_rates,6)),2)</f>
        <v>0.0</v>
      </c>
      <c r="AR699" s="62" t="str">
        <f>IF(OR(L699="",AA699&lt;&gt;"Facture"),"",IFERROR(IF(INDEX(fa_type,MATCH(L699,fa_num,0))="Facture d'acompte",MATCH(L699,fa_num,0),""),""))</f>
        <v/>
      </c>
      <c r="AS699" s="62" t="str">
        <f>IF(W699="","",IF(W699&lt;=0,"",IF(p_asof-P699&lt;=0,"Non échu",IF(p_asof-P699&lt;=30,"1-30 j",IF(p_asof-P699&lt;=60,"31-60 j",IF(p_asof-P699&lt;=90,"61-90 j","Plus de 90 j"))))))</f>
        <v/>
      </c>
      <c r="AT699" s="62" t="str">
        <f>IF(AS699="","",p_asof-P699)</f>
        <v/>
      </c>
      <c r="AU699" s="62" t="str">
        <f>IF(AT699="","",COUNTIF($AT$6:$AT$805,"&gt;"&amp;AT699)+COUNTIF($AT$6:AT699,AT699))</f>
        <v/>
      </c>
    </row>
    <row r="700">
      <c r="A700" s="59" t="str">
        <f>IF(AE700="","",AB700&amp;"-"&amp;AD700&amp;"-"&amp;RIGHT("000"&amp;AE700,4))</f>
        <v/>
      </c>
      <c r="B700" s="60" t="n"/>
      <c r="C700" s="61" t="n"/>
      <c r="D700" s="60" t="n"/>
      <c r="E700" s="62" t="str">
        <f>IF(D700="","",IFERROR(INDEX(cli_name,MATCH(D700,cli_code,0))&amp;"","Client inconnu"))</f>
        <v/>
      </c>
      <c r="F700" s="60" t="n"/>
      <c r="G700" s="63" t="n"/>
      <c r="H700" s="61" t="n"/>
      <c r="I700" s="63" t="n"/>
      <c r="J700" s="60" t="n"/>
      <c r="K700" s="61" t="n"/>
      <c r="L700" s="60" t="n"/>
      <c r="M700" s="60" t="n"/>
      <c r="N700" s="60" t="n"/>
      <c r="O700" s="61" t="n"/>
      <c r="P700" s="64" t="str">
        <f>IF(A700="","",IF(AA700="Avoir",AC700,IF(ISNUMBER(K700),K700,AC700+IF(D700="",N(p_delay),IFERROR(IF(ISNUMBER(INDEX(cli_delay,MATCH(D700,cli_code,0))),INDEX(cli_delay,MATCH(D700,cli_code,0)),N(p_delay)),N(p_delay))))))</f>
        <v/>
      </c>
      <c r="Q700" s="65" t="str">
        <f>IF(A700="","",IF(AA700="Avoir",-1,1)*ROUND(AJ700-IF(AR700="",0,INDEX(fa_htb,AR700)),2))</f>
        <v/>
      </c>
      <c r="R700" s="65" t="str">
        <f>IF(A700="","",IF(AA700="Avoir",-1,1)*ROUND(AQ700-IF(AR700="",0,INDEX(fa_tvab,AR700)),2))</f>
        <v/>
      </c>
      <c r="S700" s="65" t="str">
        <f>IF(A700="","",Q700+R700)</f>
        <v/>
      </c>
      <c r="T700" s="65" t="str">
        <f>IF(AR700="","",INDEX(fa_htb,AR700)+INDEX(fa_tvab,AR700))</f>
        <v/>
      </c>
      <c r="U700" s="65" t="str">
        <f>IF(A700="","",SUMIF(pa_inv,A700,pa_amt))</f>
        <v/>
      </c>
      <c r="V700" s="65" t="str">
        <f>IF(OR(A700="",AA700="Avoir"),"",-SUMIFS(fa_ttc,fa_avof,A700,fa_type,"Avoir"))</f>
        <v/>
      </c>
      <c r="W700" s="65" t="str">
        <f>IF(OR(A700="",AA700="Avoir"),"",ROUND(S700-U700-V700,2))</f>
        <v/>
      </c>
      <c r="X700" s="66" t="str">
        <f>IF(W700="","",IF(AND(W700&gt;0,p_asof&gt;P700),p_asof-P700,""))</f>
        <v/>
      </c>
      <c r="Y700" s="59" t="str">
        <f>IF(A700="","",IF(AA700="Avoir","Avoir",IF(W700&lt;0,"Trop-perçu",IF(W700=0,"Soldée",IF(p_asof&gt;P700,"En retard",IF(U700+V700&gt;0,"Partielle","À échoir"))))))</f>
        <v/>
      </c>
      <c r="Z700" s="59" t="str">
        <f>IF(NOT(COUNTA(B700:D700,F700:O700)&gt;0),"",IF(C700="","Date manquante",IF(NOT(ISNUMBER(C700)),"Date invalide",IF(D700="","Client manquant",IF(ISNA(MATCH(D700,cli_code,0)),"Client inconnu",IF(AC700&lt;SUMPRODUCT(MAX(($AB$6:AB699=AB700)*$AC$6:AC699)),"Date antérieure à la facture précédente",IF(AND(F700&lt;&gt;"",ISNA(MATCH(F700,dv_num,0))),"Devis inconnu",IF(AND(F700&lt;&gt;"",IFERROR(INDEX(dv_client,MATCH(F700,dv_num,0)),D700)&lt;&gt;D700),"Client différent de celui du devis",IF(AG700="","Aucune ligne : saisissez des lignes ou un devis",IF(AND(AI700&lt;&gt;"",COUNTIF($AI$6:AI700,AI700)&gt;1),"Devis déjà repris par une autre facture",IF(AND(AA700="Avoir",M700=""),"Avoir : indiquez la facture d'origine",IF(AND(AA700="Avoir",ISNA(MATCH(M700,fa_num,0))),"Facture d'origine inconnue",IF(AND(AA700&lt;&gt;"Avoir",M700&lt;&gt;""),"« Avoir sur facture » : réservé aux avoirs",IF(AND(L700&lt;&gt;"",AA700&lt;&gt;"Facture"),"Acompte à déduire : réservé aux factures",IF(AND(L700&lt;&gt;"",ISNA(MATCH(L700,fa_num,0))),"Facture d'acompte inconnue",IF(AND(L700&lt;&gt;"",IFERROR(INDEX(fa_type,MATCH(L700,fa_num,0)),"")&lt;&gt;"Facture d'acompte"),"Le n° à déduire n'est pas une facture d'acompte",IF(AND(L700&lt;&gt;"",COUNTIF($L$6:L700,L700)&gt;1),"Acompte déjà déduit sur une autre facture",IF(AND(L700&lt;&gt;"",IFERROR(INDEX(fa_client,MATCH(L700,fa_num,0)),D700)&lt;&gt;D700),"Acompte d'un autre client",IF(AND(AR700&lt;&gt;"",N(Q700)&lt;0),"Acompte supérieur au total de la facture",IF(IF(AG700="Facture",COUNTIFS(fl_doc,A700,fl_check,"&lt;&gt;OK"),IF(AG700="Devis",COUNTIFS(dl_doc,F700,dl_check,"&lt;&gt;OK"),0))&gt;0,"Ligne(s) à corriger",IF(AND(W700&lt;&gt;"",N(W700)&lt;0),"Trop-perçu : vérifiez paiements et avoirs","OK")))))))))))))))))))))</f>
        <v/>
      </c>
      <c r="AA700" s="62" t="str">
        <f>IF(COUNTA(B700:D700,F700:O700)&gt;0,IF(B700="","Facture",B700),"")</f>
        <v/>
      </c>
      <c r="AB700" s="62" t="str">
        <f>IF(AA700="","",IF(AA700="Avoir",p_pav,IF(AA700="Facture d'acompte",p_pac,p_pfa)))</f>
        <v/>
      </c>
      <c r="AC700" s="62">
        <f>IF(ISNUMBER(C700),C700,0)</f>
        <v>0.0</v>
      </c>
      <c r="AD700" s="62" t="str">
        <f>IF(OR(AA700="",AC700=0),"",YEAR(AC700))</f>
        <v/>
      </c>
      <c r="AE700" s="62" t="str">
        <f>IF(AD700="","",COUNTIFS($AB$6:AB700,AB700,$AD$6:AD700,AD700))</f>
        <v/>
      </c>
      <c r="AF700" s="62">
        <f>IF(A700="",0,COUNTIF(fl_doc,A700))</f>
        <v>0.0</v>
      </c>
      <c r="AG700" s="62" t="str">
        <f>IF(A700="","",IF(AF700&gt;0,"Facture",IF(AND(F700&lt;&gt;"",AA700="Facture",ISNUMBER(MATCH(F700,dv_num,0))),"Devis","")))</f>
        <v/>
      </c>
      <c r="AH700" s="62" t="str">
        <f>IF(AND(A700&lt;&gt;"",F700&lt;&gt;"",AA700&lt;&gt;"Avoir"),F700,"")</f>
        <v/>
      </c>
      <c r="AI700" s="62" t="str">
        <f>IF(AG700="Devis",F700,"")</f>
        <v/>
      </c>
      <c r="AJ700" s="62">
        <f>IF(AG700="Facture",SUMIF(fl_doc,A700,fl_ht),IF(AG700="Devis",SUMIF(dl_doc,F700,dl_ht),0))</f>
        <v>0.0</v>
      </c>
      <c r="AK700" s="62">
        <f>IF(OR(AG700="",INDEX(p_rates,1)=""),0,IF(AG700="Facture",SUMIFS(fl_ht,fl_doc,A700,fl_rate,INDEX(p_rates,1)),SUMIFS(dl_ht,dl_doc,F700,dl_rate,INDEX(p_rates,1))))</f>
        <v>0.0</v>
      </c>
      <c r="AL700" s="62">
        <f>IF(OR(AG700="",INDEX(p_rates,2)=""),0,IF(AG700="Facture",SUMIFS(fl_ht,fl_doc,A700,fl_rate,INDEX(p_rates,2)),SUMIFS(dl_ht,dl_doc,F700,dl_rate,INDEX(p_rates,2))))</f>
        <v>0.0</v>
      </c>
      <c r="AM700" s="62">
        <f>IF(OR(AG700="",INDEX(p_rates,3)=""),0,IF(AG700="Facture",SUMIFS(fl_ht,fl_doc,A700,fl_rate,INDEX(p_rates,3)),SUMIFS(dl_ht,dl_doc,F700,dl_rate,INDEX(p_rates,3))))</f>
        <v>0.0</v>
      </c>
      <c r="AN700" s="62">
        <f>IF(OR(AG700="",INDEX(p_rates,4)=""),0,IF(AG700="Facture",SUMIFS(fl_ht,fl_doc,A700,fl_rate,INDEX(p_rates,4)),SUMIFS(dl_ht,dl_doc,F700,dl_rate,INDEX(p_rates,4))))</f>
        <v>0.0</v>
      </c>
      <c r="AO700" s="62">
        <f>IF(OR(AG700="",INDEX(p_rates,5)=""),0,IF(AG700="Facture",SUMIFS(fl_ht,fl_doc,A700,fl_rate,INDEX(p_rates,5)),SUMIFS(dl_ht,dl_doc,F700,dl_rate,INDEX(p_rates,5))))</f>
        <v>0.0</v>
      </c>
      <c r="AP700" s="62">
        <f>IF(OR(AG700="",INDEX(p_rates,6)=""),0,IF(AG700="Facture",SUMIFS(fl_ht,fl_doc,A700,fl_rate,INDEX(p_rates,6)),SUMIFS(dl_ht,dl_doc,F700,dl_rate,INDEX(p_rates,6))))</f>
        <v>0.0</v>
      </c>
      <c r="AQ700" s="62">
        <f>ROUND(AK700*N(INDEX(p_rates,1)),2)+ROUND(AL700*N(INDEX(p_rates,2)),2)+ROUND(AM700*N(INDEX(p_rates,3)),2)+ROUND(AN700*N(INDEX(p_rates,4)),2)+ROUND(AO700*N(INDEX(p_rates,5)),2)+ROUND(AP700*N(INDEX(p_rates,6)),2)</f>
        <v>0.0</v>
      </c>
      <c r="AR700" s="62" t="str">
        <f>IF(OR(L700="",AA700&lt;&gt;"Facture"),"",IFERROR(IF(INDEX(fa_type,MATCH(L700,fa_num,0))="Facture d'acompte",MATCH(L700,fa_num,0),""),""))</f>
        <v/>
      </c>
      <c r="AS700" s="62" t="str">
        <f>IF(W700="","",IF(W700&lt;=0,"",IF(p_asof-P700&lt;=0,"Non échu",IF(p_asof-P700&lt;=30,"1-30 j",IF(p_asof-P700&lt;=60,"31-60 j",IF(p_asof-P700&lt;=90,"61-90 j","Plus de 90 j"))))))</f>
        <v/>
      </c>
      <c r="AT700" s="62" t="str">
        <f>IF(AS700="","",p_asof-P700)</f>
        <v/>
      </c>
      <c r="AU700" s="62" t="str">
        <f>IF(AT700="","",COUNTIF($AT$6:$AT$805,"&gt;"&amp;AT700)+COUNTIF($AT$6:AT700,AT700))</f>
        <v/>
      </c>
    </row>
    <row r="701">
      <c r="A701" s="59" t="str">
        <f>IF(AE701="","",AB701&amp;"-"&amp;AD701&amp;"-"&amp;RIGHT("000"&amp;AE701,4))</f>
        <v/>
      </c>
      <c r="B701" s="60" t="n"/>
      <c r="C701" s="61" t="n"/>
      <c r="D701" s="60" t="n"/>
      <c r="E701" s="62" t="str">
        <f>IF(D701="","",IFERROR(INDEX(cli_name,MATCH(D701,cli_code,0))&amp;"","Client inconnu"))</f>
        <v/>
      </c>
      <c r="F701" s="60" t="n"/>
      <c r="G701" s="63" t="n"/>
      <c r="H701" s="61" t="n"/>
      <c r="I701" s="63" t="n"/>
      <c r="J701" s="60" t="n"/>
      <c r="K701" s="61" t="n"/>
      <c r="L701" s="60" t="n"/>
      <c r="M701" s="60" t="n"/>
      <c r="N701" s="60" t="n"/>
      <c r="O701" s="61" t="n"/>
      <c r="P701" s="64" t="str">
        <f>IF(A701="","",IF(AA701="Avoir",AC701,IF(ISNUMBER(K701),K701,AC701+IF(D701="",N(p_delay),IFERROR(IF(ISNUMBER(INDEX(cli_delay,MATCH(D701,cli_code,0))),INDEX(cli_delay,MATCH(D701,cli_code,0)),N(p_delay)),N(p_delay))))))</f>
        <v/>
      </c>
      <c r="Q701" s="65" t="str">
        <f>IF(A701="","",IF(AA701="Avoir",-1,1)*ROUND(AJ701-IF(AR701="",0,INDEX(fa_htb,AR701)),2))</f>
        <v/>
      </c>
      <c r="R701" s="65" t="str">
        <f>IF(A701="","",IF(AA701="Avoir",-1,1)*ROUND(AQ701-IF(AR701="",0,INDEX(fa_tvab,AR701)),2))</f>
        <v/>
      </c>
      <c r="S701" s="65" t="str">
        <f>IF(A701="","",Q701+R701)</f>
        <v/>
      </c>
      <c r="T701" s="65" t="str">
        <f>IF(AR701="","",INDEX(fa_htb,AR701)+INDEX(fa_tvab,AR701))</f>
        <v/>
      </c>
      <c r="U701" s="65" t="str">
        <f>IF(A701="","",SUMIF(pa_inv,A701,pa_amt))</f>
        <v/>
      </c>
      <c r="V701" s="65" t="str">
        <f>IF(OR(A701="",AA701="Avoir"),"",-SUMIFS(fa_ttc,fa_avof,A701,fa_type,"Avoir"))</f>
        <v/>
      </c>
      <c r="W701" s="65" t="str">
        <f>IF(OR(A701="",AA701="Avoir"),"",ROUND(S701-U701-V701,2))</f>
        <v/>
      </c>
      <c r="X701" s="66" t="str">
        <f>IF(W701="","",IF(AND(W701&gt;0,p_asof&gt;P701),p_asof-P701,""))</f>
        <v/>
      </c>
      <c r="Y701" s="59" t="str">
        <f>IF(A701="","",IF(AA701="Avoir","Avoir",IF(W701&lt;0,"Trop-perçu",IF(W701=0,"Soldée",IF(p_asof&gt;P701,"En retard",IF(U701+V701&gt;0,"Partielle","À échoir"))))))</f>
        <v/>
      </c>
      <c r="Z701" s="59" t="str">
        <f>IF(NOT(COUNTA(B701:D701,F701:O701)&gt;0),"",IF(C701="","Date manquante",IF(NOT(ISNUMBER(C701)),"Date invalide",IF(D701="","Client manquant",IF(ISNA(MATCH(D701,cli_code,0)),"Client inconnu",IF(AC701&lt;SUMPRODUCT(MAX(($AB$6:AB700=AB701)*$AC$6:AC700)),"Date antérieure à la facture précédente",IF(AND(F701&lt;&gt;"",ISNA(MATCH(F701,dv_num,0))),"Devis inconnu",IF(AND(F701&lt;&gt;"",IFERROR(INDEX(dv_client,MATCH(F701,dv_num,0)),D701)&lt;&gt;D701),"Client différent de celui du devis",IF(AG701="","Aucune ligne : saisissez des lignes ou un devis",IF(AND(AI701&lt;&gt;"",COUNTIF($AI$6:AI701,AI701)&gt;1),"Devis déjà repris par une autre facture",IF(AND(AA701="Avoir",M701=""),"Avoir : indiquez la facture d'origine",IF(AND(AA701="Avoir",ISNA(MATCH(M701,fa_num,0))),"Facture d'origine inconnue",IF(AND(AA701&lt;&gt;"Avoir",M701&lt;&gt;""),"« Avoir sur facture » : réservé aux avoirs",IF(AND(L701&lt;&gt;"",AA701&lt;&gt;"Facture"),"Acompte à déduire : réservé aux factures",IF(AND(L701&lt;&gt;"",ISNA(MATCH(L701,fa_num,0))),"Facture d'acompte inconnue",IF(AND(L701&lt;&gt;"",IFERROR(INDEX(fa_type,MATCH(L701,fa_num,0)),"")&lt;&gt;"Facture d'acompte"),"Le n° à déduire n'est pas une facture d'acompte",IF(AND(L701&lt;&gt;"",COUNTIF($L$6:L701,L701)&gt;1),"Acompte déjà déduit sur une autre facture",IF(AND(L701&lt;&gt;"",IFERROR(INDEX(fa_client,MATCH(L701,fa_num,0)),D701)&lt;&gt;D701),"Acompte d'un autre client",IF(AND(AR701&lt;&gt;"",N(Q701)&lt;0),"Acompte supérieur au total de la facture",IF(IF(AG701="Facture",COUNTIFS(fl_doc,A701,fl_check,"&lt;&gt;OK"),IF(AG701="Devis",COUNTIFS(dl_doc,F701,dl_check,"&lt;&gt;OK"),0))&gt;0,"Ligne(s) à corriger",IF(AND(W701&lt;&gt;"",N(W701)&lt;0),"Trop-perçu : vérifiez paiements et avoirs","OK")))))))))))))))))))))</f>
        <v/>
      </c>
      <c r="AA701" s="62" t="str">
        <f>IF(COUNTA(B701:D701,F701:O701)&gt;0,IF(B701="","Facture",B701),"")</f>
        <v/>
      </c>
      <c r="AB701" s="62" t="str">
        <f>IF(AA701="","",IF(AA701="Avoir",p_pav,IF(AA701="Facture d'acompte",p_pac,p_pfa)))</f>
        <v/>
      </c>
      <c r="AC701" s="62">
        <f>IF(ISNUMBER(C701),C701,0)</f>
        <v>0.0</v>
      </c>
      <c r="AD701" s="62" t="str">
        <f>IF(OR(AA701="",AC701=0),"",YEAR(AC701))</f>
        <v/>
      </c>
      <c r="AE701" s="62" t="str">
        <f>IF(AD701="","",COUNTIFS($AB$6:AB701,AB701,$AD$6:AD701,AD701))</f>
        <v/>
      </c>
      <c r="AF701" s="62">
        <f>IF(A701="",0,COUNTIF(fl_doc,A701))</f>
        <v>0.0</v>
      </c>
      <c r="AG701" s="62" t="str">
        <f>IF(A701="","",IF(AF701&gt;0,"Facture",IF(AND(F701&lt;&gt;"",AA701="Facture",ISNUMBER(MATCH(F701,dv_num,0))),"Devis","")))</f>
        <v/>
      </c>
      <c r="AH701" s="62" t="str">
        <f>IF(AND(A701&lt;&gt;"",F701&lt;&gt;"",AA701&lt;&gt;"Avoir"),F701,"")</f>
        <v/>
      </c>
      <c r="AI701" s="62" t="str">
        <f>IF(AG701="Devis",F701,"")</f>
        <v/>
      </c>
      <c r="AJ701" s="62">
        <f>IF(AG701="Facture",SUMIF(fl_doc,A701,fl_ht),IF(AG701="Devis",SUMIF(dl_doc,F701,dl_ht),0))</f>
        <v>0.0</v>
      </c>
      <c r="AK701" s="62">
        <f>IF(OR(AG701="",INDEX(p_rates,1)=""),0,IF(AG701="Facture",SUMIFS(fl_ht,fl_doc,A701,fl_rate,INDEX(p_rates,1)),SUMIFS(dl_ht,dl_doc,F701,dl_rate,INDEX(p_rates,1))))</f>
        <v>0.0</v>
      </c>
      <c r="AL701" s="62">
        <f>IF(OR(AG701="",INDEX(p_rates,2)=""),0,IF(AG701="Facture",SUMIFS(fl_ht,fl_doc,A701,fl_rate,INDEX(p_rates,2)),SUMIFS(dl_ht,dl_doc,F701,dl_rate,INDEX(p_rates,2))))</f>
        <v>0.0</v>
      </c>
      <c r="AM701" s="62">
        <f>IF(OR(AG701="",INDEX(p_rates,3)=""),0,IF(AG701="Facture",SUMIFS(fl_ht,fl_doc,A701,fl_rate,INDEX(p_rates,3)),SUMIFS(dl_ht,dl_doc,F701,dl_rate,INDEX(p_rates,3))))</f>
        <v>0.0</v>
      </c>
      <c r="AN701" s="62">
        <f>IF(OR(AG701="",INDEX(p_rates,4)=""),0,IF(AG701="Facture",SUMIFS(fl_ht,fl_doc,A701,fl_rate,INDEX(p_rates,4)),SUMIFS(dl_ht,dl_doc,F701,dl_rate,INDEX(p_rates,4))))</f>
        <v>0.0</v>
      </c>
      <c r="AO701" s="62">
        <f>IF(OR(AG701="",INDEX(p_rates,5)=""),0,IF(AG701="Facture",SUMIFS(fl_ht,fl_doc,A701,fl_rate,INDEX(p_rates,5)),SUMIFS(dl_ht,dl_doc,F701,dl_rate,INDEX(p_rates,5))))</f>
        <v>0.0</v>
      </c>
      <c r="AP701" s="62">
        <f>IF(OR(AG701="",INDEX(p_rates,6)=""),0,IF(AG701="Facture",SUMIFS(fl_ht,fl_doc,A701,fl_rate,INDEX(p_rates,6)),SUMIFS(dl_ht,dl_doc,F701,dl_rate,INDEX(p_rates,6))))</f>
        <v>0.0</v>
      </c>
      <c r="AQ701" s="62">
        <f>ROUND(AK701*N(INDEX(p_rates,1)),2)+ROUND(AL701*N(INDEX(p_rates,2)),2)+ROUND(AM701*N(INDEX(p_rates,3)),2)+ROUND(AN701*N(INDEX(p_rates,4)),2)+ROUND(AO701*N(INDEX(p_rates,5)),2)+ROUND(AP701*N(INDEX(p_rates,6)),2)</f>
        <v>0.0</v>
      </c>
      <c r="AR701" s="62" t="str">
        <f>IF(OR(L701="",AA701&lt;&gt;"Facture"),"",IFERROR(IF(INDEX(fa_type,MATCH(L701,fa_num,0))="Facture d'acompte",MATCH(L701,fa_num,0),""),""))</f>
        <v/>
      </c>
      <c r="AS701" s="62" t="str">
        <f>IF(W701="","",IF(W701&lt;=0,"",IF(p_asof-P701&lt;=0,"Non échu",IF(p_asof-P701&lt;=30,"1-30 j",IF(p_asof-P701&lt;=60,"31-60 j",IF(p_asof-P701&lt;=90,"61-90 j","Plus de 90 j"))))))</f>
        <v/>
      </c>
      <c r="AT701" s="62" t="str">
        <f>IF(AS701="","",p_asof-P701)</f>
        <v/>
      </c>
      <c r="AU701" s="62" t="str">
        <f>IF(AT701="","",COUNTIF($AT$6:$AT$805,"&gt;"&amp;AT701)+COUNTIF($AT$6:AT701,AT701))</f>
        <v/>
      </c>
    </row>
    <row r="702">
      <c r="A702" s="59" t="str">
        <f>IF(AE702="","",AB702&amp;"-"&amp;AD702&amp;"-"&amp;RIGHT("000"&amp;AE702,4))</f>
        <v/>
      </c>
      <c r="B702" s="60" t="n"/>
      <c r="C702" s="61" t="n"/>
      <c r="D702" s="60" t="n"/>
      <c r="E702" s="62" t="str">
        <f>IF(D702="","",IFERROR(INDEX(cli_name,MATCH(D702,cli_code,0))&amp;"","Client inconnu"))</f>
        <v/>
      </c>
      <c r="F702" s="60" t="n"/>
      <c r="G702" s="63" t="n"/>
      <c r="H702" s="61" t="n"/>
      <c r="I702" s="63" t="n"/>
      <c r="J702" s="60" t="n"/>
      <c r="K702" s="61" t="n"/>
      <c r="L702" s="60" t="n"/>
      <c r="M702" s="60" t="n"/>
      <c r="N702" s="60" t="n"/>
      <c r="O702" s="61" t="n"/>
      <c r="P702" s="64" t="str">
        <f>IF(A702="","",IF(AA702="Avoir",AC702,IF(ISNUMBER(K702),K702,AC702+IF(D702="",N(p_delay),IFERROR(IF(ISNUMBER(INDEX(cli_delay,MATCH(D702,cli_code,0))),INDEX(cli_delay,MATCH(D702,cli_code,0)),N(p_delay)),N(p_delay))))))</f>
        <v/>
      </c>
      <c r="Q702" s="65" t="str">
        <f>IF(A702="","",IF(AA702="Avoir",-1,1)*ROUND(AJ702-IF(AR702="",0,INDEX(fa_htb,AR702)),2))</f>
        <v/>
      </c>
      <c r="R702" s="65" t="str">
        <f>IF(A702="","",IF(AA702="Avoir",-1,1)*ROUND(AQ702-IF(AR702="",0,INDEX(fa_tvab,AR702)),2))</f>
        <v/>
      </c>
      <c r="S702" s="65" t="str">
        <f>IF(A702="","",Q702+R702)</f>
        <v/>
      </c>
      <c r="T702" s="65" t="str">
        <f>IF(AR702="","",INDEX(fa_htb,AR702)+INDEX(fa_tvab,AR702))</f>
        <v/>
      </c>
      <c r="U702" s="65" t="str">
        <f>IF(A702="","",SUMIF(pa_inv,A702,pa_amt))</f>
        <v/>
      </c>
      <c r="V702" s="65" t="str">
        <f>IF(OR(A702="",AA702="Avoir"),"",-SUMIFS(fa_ttc,fa_avof,A702,fa_type,"Avoir"))</f>
        <v/>
      </c>
      <c r="W702" s="65" t="str">
        <f>IF(OR(A702="",AA702="Avoir"),"",ROUND(S702-U702-V702,2))</f>
        <v/>
      </c>
      <c r="X702" s="66" t="str">
        <f>IF(W702="","",IF(AND(W702&gt;0,p_asof&gt;P702),p_asof-P702,""))</f>
        <v/>
      </c>
      <c r="Y702" s="59" t="str">
        <f>IF(A702="","",IF(AA702="Avoir","Avoir",IF(W702&lt;0,"Trop-perçu",IF(W702=0,"Soldée",IF(p_asof&gt;P702,"En retard",IF(U702+V702&gt;0,"Partielle","À échoir"))))))</f>
        <v/>
      </c>
      <c r="Z702" s="59" t="str">
        <f>IF(NOT(COUNTA(B702:D702,F702:O702)&gt;0),"",IF(C702="","Date manquante",IF(NOT(ISNUMBER(C702)),"Date invalide",IF(D702="","Client manquant",IF(ISNA(MATCH(D702,cli_code,0)),"Client inconnu",IF(AC702&lt;SUMPRODUCT(MAX(($AB$6:AB701=AB702)*$AC$6:AC701)),"Date antérieure à la facture précédente",IF(AND(F702&lt;&gt;"",ISNA(MATCH(F702,dv_num,0))),"Devis inconnu",IF(AND(F702&lt;&gt;"",IFERROR(INDEX(dv_client,MATCH(F702,dv_num,0)),D702)&lt;&gt;D702),"Client différent de celui du devis",IF(AG702="","Aucune ligne : saisissez des lignes ou un devis",IF(AND(AI702&lt;&gt;"",COUNTIF($AI$6:AI702,AI702)&gt;1),"Devis déjà repris par une autre facture",IF(AND(AA702="Avoir",M702=""),"Avoir : indiquez la facture d'origine",IF(AND(AA702="Avoir",ISNA(MATCH(M702,fa_num,0))),"Facture d'origine inconnue",IF(AND(AA702&lt;&gt;"Avoir",M702&lt;&gt;""),"« Avoir sur facture » : réservé aux avoirs",IF(AND(L702&lt;&gt;"",AA702&lt;&gt;"Facture"),"Acompte à déduire : réservé aux factures",IF(AND(L702&lt;&gt;"",ISNA(MATCH(L702,fa_num,0))),"Facture d'acompte inconnue",IF(AND(L702&lt;&gt;"",IFERROR(INDEX(fa_type,MATCH(L702,fa_num,0)),"")&lt;&gt;"Facture d'acompte"),"Le n° à déduire n'est pas une facture d'acompte",IF(AND(L702&lt;&gt;"",COUNTIF($L$6:L702,L702)&gt;1),"Acompte déjà déduit sur une autre facture",IF(AND(L702&lt;&gt;"",IFERROR(INDEX(fa_client,MATCH(L702,fa_num,0)),D702)&lt;&gt;D702),"Acompte d'un autre client",IF(AND(AR702&lt;&gt;"",N(Q702)&lt;0),"Acompte supérieur au total de la facture",IF(IF(AG702="Facture",COUNTIFS(fl_doc,A702,fl_check,"&lt;&gt;OK"),IF(AG702="Devis",COUNTIFS(dl_doc,F702,dl_check,"&lt;&gt;OK"),0))&gt;0,"Ligne(s) à corriger",IF(AND(W702&lt;&gt;"",N(W702)&lt;0),"Trop-perçu : vérifiez paiements et avoirs","OK")))))))))))))))))))))</f>
        <v/>
      </c>
      <c r="AA702" s="62" t="str">
        <f>IF(COUNTA(B702:D702,F702:O702)&gt;0,IF(B702="","Facture",B702),"")</f>
        <v/>
      </c>
      <c r="AB702" s="62" t="str">
        <f>IF(AA702="","",IF(AA702="Avoir",p_pav,IF(AA702="Facture d'acompte",p_pac,p_pfa)))</f>
        <v/>
      </c>
      <c r="AC702" s="62">
        <f>IF(ISNUMBER(C702),C702,0)</f>
        <v>0.0</v>
      </c>
      <c r="AD702" s="62" t="str">
        <f>IF(OR(AA702="",AC702=0),"",YEAR(AC702))</f>
        <v/>
      </c>
      <c r="AE702" s="62" t="str">
        <f>IF(AD702="","",COUNTIFS($AB$6:AB702,AB702,$AD$6:AD702,AD702))</f>
        <v/>
      </c>
      <c r="AF702" s="62">
        <f>IF(A702="",0,COUNTIF(fl_doc,A702))</f>
        <v>0.0</v>
      </c>
      <c r="AG702" s="62" t="str">
        <f>IF(A702="","",IF(AF702&gt;0,"Facture",IF(AND(F702&lt;&gt;"",AA702="Facture",ISNUMBER(MATCH(F702,dv_num,0))),"Devis","")))</f>
        <v/>
      </c>
      <c r="AH702" s="62" t="str">
        <f>IF(AND(A702&lt;&gt;"",F702&lt;&gt;"",AA702&lt;&gt;"Avoir"),F702,"")</f>
        <v/>
      </c>
      <c r="AI702" s="62" t="str">
        <f>IF(AG702="Devis",F702,"")</f>
        <v/>
      </c>
      <c r="AJ702" s="62">
        <f>IF(AG702="Facture",SUMIF(fl_doc,A702,fl_ht),IF(AG702="Devis",SUMIF(dl_doc,F702,dl_ht),0))</f>
        <v>0.0</v>
      </c>
      <c r="AK702" s="62">
        <f>IF(OR(AG702="",INDEX(p_rates,1)=""),0,IF(AG702="Facture",SUMIFS(fl_ht,fl_doc,A702,fl_rate,INDEX(p_rates,1)),SUMIFS(dl_ht,dl_doc,F702,dl_rate,INDEX(p_rates,1))))</f>
        <v>0.0</v>
      </c>
      <c r="AL702" s="62">
        <f>IF(OR(AG702="",INDEX(p_rates,2)=""),0,IF(AG702="Facture",SUMIFS(fl_ht,fl_doc,A702,fl_rate,INDEX(p_rates,2)),SUMIFS(dl_ht,dl_doc,F702,dl_rate,INDEX(p_rates,2))))</f>
        <v>0.0</v>
      </c>
      <c r="AM702" s="62">
        <f>IF(OR(AG702="",INDEX(p_rates,3)=""),0,IF(AG702="Facture",SUMIFS(fl_ht,fl_doc,A702,fl_rate,INDEX(p_rates,3)),SUMIFS(dl_ht,dl_doc,F702,dl_rate,INDEX(p_rates,3))))</f>
        <v>0.0</v>
      </c>
      <c r="AN702" s="62">
        <f>IF(OR(AG702="",INDEX(p_rates,4)=""),0,IF(AG702="Facture",SUMIFS(fl_ht,fl_doc,A702,fl_rate,INDEX(p_rates,4)),SUMIFS(dl_ht,dl_doc,F702,dl_rate,INDEX(p_rates,4))))</f>
        <v>0.0</v>
      </c>
      <c r="AO702" s="62">
        <f>IF(OR(AG702="",INDEX(p_rates,5)=""),0,IF(AG702="Facture",SUMIFS(fl_ht,fl_doc,A702,fl_rate,INDEX(p_rates,5)),SUMIFS(dl_ht,dl_doc,F702,dl_rate,INDEX(p_rates,5))))</f>
        <v>0.0</v>
      </c>
      <c r="AP702" s="62">
        <f>IF(OR(AG702="",INDEX(p_rates,6)=""),0,IF(AG702="Facture",SUMIFS(fl_ht,fl_doc,A702,fl_rate,INDEX(p_rates,6)),SUMIFS(dl_ht,dl_doc,F702,dl_rate,INDEX(p_rates,6))))</f>
        <v>0.0</v>
      </c>
      <c r="AQ702" s="62">
        <f>ROUND(AK702*N(INDEX(p_rates,1)),2)+ROUND(AL702*N(INDEX(p_rates,2)),2)+ROUND(AM702*N(INDEX(p_rates,3)),2)+ROUND(AN702*N(INDEX(p_rates,4)),2)+ROUND(AO702*N(INDEX(p_rates,5)),2)+ROUND(AP702*N(INDEX(p_rates,6)),2)</f>
        <v>0.0</v>
      </c>
      <c r="AR702" s="62" t="str">
        <f>IF(OR(L702="",AA702&lt;&gt;"Facture"),"",IFERROR(IF(INDEX(fa_type,MATCH(L702,fa_num,0))="Facture d'acompte",MATCH(L702,fa_num,0),""),""))</f>
        <v/>
      </c>
      <c r="AS702" s="62" t="str">
        <f>IF(W702="","",IF(W702&lt;=0,"",IF(p_asof-P702&lt;=0,"Non échu",IF(p_asof-P702&lt;=30,"1-30 j",IF(p_asof-P702&lt;=60,"31-60 j",IF(p_asof-P702&lt;=90,"61-90 j","Plus de 90 j"))))))</f>
        <v/>
      </c>
      <c r="AT702" s="62" t="str">
        <f>IF(AS702="","",p_asof-P702)</f>
        <v/>
      </c>
      <c r="AU702" s="62" t="str">
        <f>IF(AT702="","",COUNTIF($AT$6:$AT$805,"&gt;"&amp;AT702)+COUNTIF($AT$6:AT702,AT702))</f>
        <v/>
      </c>
    </row>
    <row r="703">
      <c r="A703" s="59" t="str">
        <f>IF(AE703="","",AB703&amp;"-"&amp;AD703&amp;"-"&amp;RIGHT("000"&amp;AE703,4))</f>
        <v/>
      </c>
      <c r="B703" s="60" t="n"/>
      <c r="C703" s="61" t="n"/>
      <c r="D703" s="60" t="n"/>
      <c r="E703" s="62" t="str">
        <f>IF(D703="","",IFERROR(INDEX(cli_name,MATCH(D703,cli_code,0))&amp;"","Client inconnu"))</f>
        <v/>
      </c>
      <c r="F703" s="60" t="n"/>
      <c r="G703" s="63" t="n"/>
      <c r="H703" s="61" t="n"/>
      <c r="I703" s="63" t="n"/>
      <c r="J703" s="60" t="n"/>
      <c r="K703" s="61" t="n"/>
      <c r="L703" s="60" t="n"/>
      <c r="M703" s="60" t="n"/>
      <c r="N703" s="60" t="n"/>
      <c r="O703" s="61" t="n"/>
      <c r="P703" s="64" t="str">
        <f>IF(A703="","",IF(AA703="Avoir",AC703,IF(ISNUMBER(K703),K703,AC703+IF(D703="",N(p_delay),IFERROR(IF(ISNUMBER(INDEX(cli_delay,MATCH(D703,cli_code,0))),INDEX(cli_delay,MATCH(D703,cli_code,0)),N(p_delay)),N(p_delay))))))</f>
        <v/>
      </c>
      <c r="Q703" s="65" t="str">
        <f>IF(A703="","",IF(AA703="Avoir",-1,1)*ROUND(AJ703-IF(AR703="",0,INDEX(fa_htb,AR703)),2))</f>
        <v/>
      </c>
      <c r="R703" s="65" t="str">
        <f>IF(A703="","",IF(AA703="Avoir",-1,1)*ROUND(AQ703-IF(AR703="",0,INDEX(fa_tvab,AR703)),2))</f>
        <v/>
      </c>
      <c r="S703" s="65" t="str">
        <f>IF(A703="","",Q703+R703)</f>
        <v/>
      </c>
      <c r="T703" s="65" t="str">
        <f>IF(AR703="","",INDEX(fa_htb,AR703)+INDEX(fa_tvab,AR703))</f>
        <v/>
      </c>
      <c r="U703" s="65" t="str">
        <f>IF(A703="","",SUMIF(pa_inv,A703,pa_amt))</f>
        <v/>
      </c>
      <c r="V703" s="65" t="str">
        <f>IF(OR(A703="",AA703="Avoir"),"",-SUMIFS(fa_ttc,fa_avof,A703,fa_type,"Avoir"))</f>
        <v/>
      </c>
      <c r="W703" s="65" t="str">
        <f>IF(OR(A703="",AA703="Avoir"),"",ROUND(S703-U703-V703,2))</f>
        <v/>
      </c>
      <c r="X703" s="66" t="str">
        <f>IF(W703="","",IF(AND(W703&gt;0,p_asof&gt;P703),p_asof-P703,""))</f>
        <v/>
      </c>
      <c r="Y703" s="59" t="str">
        <f>IF(A703="","",IF(AA703="Avoir","Avoir",IF(W703&lt;0,"Trop-perçu",IF(W703=0,"Soldée",IF(p_asof&gt;P703,"En retard",IF(U703+V703&gt;0,"Partielle","À échoir"))))))</f>
        <v/>
      </c>
      <c r="Z703" s="59" t="str">
        <f>IF(NOT(COUNTA(B703:D703,F703:O703)&gt;0),"",IF(C703="","Date manquante",IF(NOT(ISNUMBER(C703)),"Date invalide",IF(D703="","Client manquant",IF(ISNA(MATCH(D703,cli_code,0)),"Client inconnu",IF(AC703&lt;SUMPRODUCT(MAX(($AB$6:AB702=AB703)*$AC$6:AC702)),"Date antérieure à la facture précédente",IF(AND(F703&lt;&gt;"",ISNA(MATCH(F703,dv_num,0))),"Devis inconnu",IF(AND(F703&lt;&gt;"",IFERROR(INDEX(dv_client,MATCH(F703,dv_num,0)),D703)&lt;&gt;D703),"Client différent de celui du devis",IF(AG703="","Aucune ligne : saisissez des lignes ou un devis",IF(AND(AI703&lt;&gt;"",COUNTIF($AI$6:AI703,AI703)&gt;1),"Devis déjà repris par une autre facture",IF(AND(AA703="Avoir",M703=""),"Avoir : indiquez la facture d'origine",IF(AND(AA703="Avoir",ISNA(MATCH(M703,fa_num,0))),"Facture d'origine inconnue",IF(AND(AA703&lt;&gt;"Avoir",M703&lt;&gt;""),"« Avoir sur facture » : réservé aux avoirs",IF(AND(L703&lt;&gt;"",AA703&lt;&gt;"Facture"),"Acompte à déduire : réservé aux factures",IF(AND(L703&lt;&gt;"",ISNA(MATCH(L703,fa_num,0))),"Facture d'acompte inconnue",IF(AND(L703&lt;&gt;"",IFERROR(INDEX(fa_type,MATCH(L703,fa_num,0)),"")&lt;&gt;"Facture d'acompte"),"Le n° à déduire n'est pas une facture d'acompte",IF(AND(L703&lt;&gt;"",COUNTIF($L$6:L703,L703)&gt;1),"Acompte déjà déduit sur une autre facture",IF(AND(L703&lt;&gt;"",IFERROR(INDEX(fa_client,MATCH(L703,fa_num,0)),D703)&lt;&gt;D703),"Acompte d'un autre client",IF(AND(AR703&lt;&gt;"",N(Q703)&lt;0),"Acompte supérieur au total de la facture",IF(IF(AG703="Facture",COUNTIFS(fl_doc,A703,fl_check,"&lt;&gt;OK"),IF(AG703="Devis",COUNTIFS(dl_doc,F703,dl_check,"&lt;&gt;OK"),0))&gt;0,"Ligne(s) à corriger",IF(AND(W703&lt;&gt;"",N(W703)&lt;0),"Trop-perçu : vérifiez paiements et avoirs","OK")))))))))))))))))))))</f>
        <v/>
      </c>
      <c r="AA703" s="62" t="str">
        <f>IF(COUNTA(B703:D703,F703:O703)&gt;0,IF(B703="","Facture",B703),"")</f>
        <v/>
      </c>
      <c r="AB703" s="62" t="str">
        <f>IF(AA703="","",IF(AA703="Avoir",p_pav,IF(AA703="Facture d'acompte",p_pac,p_pfa)))</f>
        <v/>
      </c>
      <c r="AC703" s="62">
        <f>IF(ISNUMBER(C703),C703,0)</f>
        <v>0.0</v>
      </c>
      <c r="AD703" s="62" t="str">
        <f>IF(OR(AA703="",AC703=0),"",YEAR(AC703))</f>
        <v/>
      </c>
      <c r="AE703" s="62" t="str">
        <f>IF(AD703="","",COUNTIFS($AB$6:AB703,AB703,$AD$6:AD703,AD703))</f>
        <v/>
      </c>
      <c r="AF703" s="62">
        <f>IF(A703="",0,COUNTIF(fl_doc,A703))</f>
        <v>0.0</v>
      </c>
      <c r="AG703" s="62" t="str">
        <f>IF(A703="","",IF(AF703&gt;0,"Facture",IF(AND(F703&lt;&gt;"",AA703="Facture",ISNUMBER(MATCH(F703,dv_num,0))),"Devis","")))</f>
        <v/>
      </c>
      <c r="AH703" s="62" t="str">
        <f>IF(AND(A703&lt;&gt;"",F703&lt;&gt;"",AA703&lt;&gt;"Avoir"),F703,"")</f>
        <v/>
      </c>
      <c r="AI703" s="62" t="str">
        <f>IF(AG703="Devis",F703,"")</f>
        <v/>
      </c>
      <c r="AJ703" s="62">
        <f>IF(AG703="Facture",SUMIF(fl_doc,A703,fl_ht),IF(AG703="Devis",SUMIF(dl_doc,F703,dl_ht),0))</f>
        <v>0.0</v>
      </c>
      <c r="AK703" s="62">
        <f>IF(OR(AG703="",INDEX(p_rates,1)=""),0,IF(AG703="Facture",SUMIFS(fl_ht,fl_doc,A703,fl_rate,INDEX(p_rates,1)),SUMIFS(dl_ht,dl_doc,F703,dl_rate,INDEX(p_rates,1))))</f>
        <v>0.0</v>
      </c>
      <c r="AL703" s="62">
        <f>IF(OR(AG703="",INDEX(p_rates,2)=""),0,IF(AG703="Facture",SUMIFS(fl_ht,fl_doc,A703,fl_rate,INDEX(p_rates,2)),SUMIFS(dl_ht,dl_doc,F703,dl_rate,INDEX(p_rates,2))))</f>
        <v>0.0</v>
      </c>
      <c r="AM703" s="62">
        <f>IF(OR(AG703="",INDEX(p_rates,3)=""),0,IF(AG703="Facture",SUMIFS(fl_ht,fl_doc,A703,fl_rate,INDEX(p_rates,3)),SUMIFS(dl_ht,dl_doc,F703,dl_rate,INDEX(p_rates,3))))</f>
        <v>0.0</v>
      </c>
      <c r="AN703" s="62">
        <f>IF(OR(AG703="",INDEX(p_rates,4)=""),0,IF(AG703="Facture",SUMIFS(fl_ht,fl_doc,A703,fl_rate,INDEX(p_rates,4)),SUMIFS(dl_ht,dl_doc,F703,dl_rate,INDEX(p_rates,4))))</f>
        <v>0.0</v>
      </c>
      <c r="AO703" s="62">
        <f>IF(OR(AG703="",INDEX(p_rates,5)=""),0,IF(AG703="Facture",SUMIFS(fl_ht,fl_doc,A703,fl_rate,INDEX(p_rates,5)),SUMIFS(dl_ht,dl_doc,F703,dl_rate,INDEX(p_rates,5))))</f>
        <v>0.0</v>
      </c>
      <c r="AP703" s="62">
        <f>IF(OR(AG703="",INDEX(p_rates,6)=""),0,IF(AG703="Facture",SUMIFS(fl_ht,fl_doc,A703,fl_rate,INDEX(p_rates,6)),SUMIFS(dl_ht,dl_doc,F703,dl_rate,INDEX(p_rates,6))))</f>
        <v>0.0</v>
      </c>
      <c r="AQ703" s="62">
        <f>ROUND(AK703*N(INDEX(p_rates,1)),2)+ROUND(AL703*N(INDEX(p_rates,2)),2)+ROUND(AM703*N(INDEX(p_rates,3)),2)+ROUND(AN703*N(INDEX(p_rates,4)),2)+ROUND(AO703*N(INDEX(p_rates,5)),2)+ROUND(AP703*N(INDEX(p_rates,6)),2)</f>
        <v>0.0</v>
      </c>
      <c r="AR703" s="62" t="str">
        <f>IF(OR(L703="",AA703&lt;&gt;"Facture"),"",IFERROR(IF(INDEX(fa_type,MATCH(L703,fa_num,0))="Facture d'acompte",MATCH(L703,fa_num,0),""),""))</f>
        <v/>
      </c>
      <c r="AS703" s="62" t="str">
        <f>IF(W703="","",IF(W703&lt;=0,"",IF(p_asof-P703&lt;=0,"Non échu",IF(p_asof-P703&lt;=30,"1-30 j",IF(p_asof-P703&lt;=60,"31-60 j",IF(p_asof-P703&lt;=90,"61-90 j","Plus de 90 j"))))))</f>
        <v/>
      </c>
      <c r="AT703" s="62" t="str">
        <f>IF(AS703="","",p_asof-P703)</f>
        <v/>
      </c>
      <c r="AU703" s="62" t="str">
        <f>IF(AT703="","",COUNTIF($AT$6:$AT$805,"&gt;"&amp;AT703)+COUNTIF($AT$6:AT703,AT703))</f>
        <v/>
      </c>
    </row>
    <row r="704">
      <c r="A704" s="59" t="str">
        <f>IF(AE704="","",AB704&amp;"-"&amp;AD704&amp;"-"&amp;RIGHT("000"&amp;AE704,4))</f>
        <v/>
      </c>
      <c r="B704" s="60" t="n"/>
      <c r="C704" s="61" t="n"/>
      <c r="D704" s="60" t="n"/>
      <c r="E704" s="62" t="str">
        <f>IF(D704="","",IFERROR(INDEX(cli_name,MATCH(D704,cli_code,0))&amp;"","Client inconnu"))</f>
        <v/>
      </c>
      <c r="F704" s="60" t="n"/>
      <c r="G704" s="63" t="n"/>
      <c r="H704" s="61" t="n"/>
      <c r="I704" s="63" t="n"/>
      <c r="J704" s="60" t="n"/>
      <c r="K704" s="61" t="n"/>
      <c r="L704" s="60" t="n"/>
      <c r="M704" s="60" t="n"/>
      <c r="N704" s="60" t="n"/>
      <c r="O704" s="61" t="n"/>
      <c r="P704" s="64" t="str">
        <f>IF(A704="","",IF(AA704="Avoir",AC704,IF(ISNUMBER(K704),K704,AC704+IF(D704="",N(p_delay),IFERROR(IF(ISNUMBER(INDEX(cli_delay,MATCH(D704,cli_code,0))),INDEX(cli_delay,MATCH(D704,cli_code,0)),N(p_delay)),N(p_delay))))))</f>
        <v/>
      </c>
      <c r="Q704" s="65" t="str">
        <f>IF(A704="","",IF(AA704="Avoir",-1,1)*ROUND(AJ704-IF(AR704="",0,INDEX(fa_htb,AR704)),2))</f>
        <v/>
      </c>
      <c r="R704" s="65" t="str">
        <f>IF(A704="","",IF(AA704="Avoir",-1,1)*ROUND(AQ704-IF(AR704="",0,INDEX(fa_tvab,AR704)),2))</f>
        <v/>
      </c>
      <c r="S704" s="65" t="str">
        <f>IF(A704="","",Q704+R704)</f>
        <v/>
      </c>
      <c r="T704" s="65" t="str">
        <f>IF(AR704="","",INDEX(fa_htb,AR704)+INDEX(fa_tvab,AR704))</f>
        <v/>
      </c>
      <c r="U704" s="65" t="str">
        <f>IF(A704="","",SUMIF(pa_inv,A704,pa_amt))</f>
        <v/>
      </c>
      <c r="V704" s="65" t="str">
        <f>IF(OR(A704="",AA704="Avoir"),"",-SUMIFS(fa_ttc,fa_avof,A704,fa_type,"Avoir"))</f>
        <v/>
      </c>
      <c r="W704" s="65" t="str">
        <f>IF(OR(A704="",AA704="Avoir"),"",ROUND(S704-U704-V704,2))</f>
        <v/>
      </c>
      <c r="X704" s="66" t="str">
        <f>IF(W704="","",IF(AND(W704&gt;0,p_asof&gt;P704),p_asof-P704,""))</f>
        <v/>
      </c>
      <c r="Y704" s="59" t="str">
        <f>IF(A704="","",IF(AA704="Avoir","Avoir",IF(W704&lt;0,"Trop-perçu",IF(W704=0,"Soldée",IF(p_asof&gt;P704,"En retard",IF(U704+V704&gt;0,"Partielle","À échoir"))))))</f>
        <v/>
      </c>
      <c r="Z704" s="59" t="str">
        <f>IF(NOT(COUNTA(B704:D704,F704:O704)&gt;0),"",IF(C704="","Date manquante",IF(NOT(ISNUMBER(C704)),"Date invalide",IF(D704="","Client manquant",IF(ISNA(MATCH(D704,cli_code,0)),"Client inconnu",IF(AC704&lt;SUMPRODUCT(MAX(($AB$6:AB703=AB704)*$AC$6:AC703)),"Date antérieure à la facture précédente",IF(AND(F704&lt;&gt;"",ISNA(MATCH(F704,dv_num,0))),"Devis inconnu",IF(AND(F704&lt;&gt;"",IFERROR(INDEX(dv_client,MATCH(F704,dv_num,0)),D704)&lt;&gt;D704),"Client différent de celui du devis",IF(AG704="","Aucune ligne : saisissez des lignes ou un devis",IF(AND(AI704&lt;&gt;"",COUNTIF($AI$6:AI704,AI704)&gt;1),"Devis déjà repris par une autre facture",IF(AND(AA704="Avoir",M704=""),"Avoir : indiquez la facture d'origine",IF(AND(AA704="Avoir",ISNA(MATCH(M704,fa_num,0))),"Facture d'origine inconnue",IF(AND(AA704&lt;&gt;"Avoir",M704&lt;&gt;""),"« Avoir sur facture » : réservé aux avoirs",IF(AND(L704&lt;&gt;"",AA704&lt;&gt;"Facture"),"Acompte à déduire : réservé aux factures",IF(AND(L704&lt;&gt;"",ISNA(MATCH(L704,fa_num,0))),"Facture d'acompte inconnue",IF(AND(L704&lt;&gt;"",IFERROR(INDEX(fa_type,MATCH(L704,fa_num,0)),"")&lt;&gt;"Facture d'acompte"),"Le n° à déduire n'est pas une facture d'acompte",IF(AND(L704&lt;&gt;"",COUNTIF($L$6:L704,L704)&gt;1),"Acompte déjà déduit sur une autre facture",IF(AND(L704&lt;&gt;"",IFERROR(INDEX(fa_client,MATCH(L704,fa_num,0)),D704)&lt;&gt;D704),"Acompte d'un autre client",IF(AND(AR704&lt;&gt;"",N(Q704)&lt;0),"Acompte supérieur au total de la facture",IF(IF(AG704="Facture",COUNTIFS(fl_doc,A704,fl_check,"&lt;&gt;OK"),IF(AG704="Devis",COUNTIFS(dl_doc,F704,dl_check,"&lt;&gt;OK"),0))&gt;0,"Ligne(s) à corriger",IF(AND(W704&lt;&gt;"",N(W704)&lt;0),"Trop-perçu : vérifiez paiements et avoirs","OK")))))))))))))))))))))</f>
        <v/>
      </c>
      <c r="AA704" s="62" t="str">
        <f>IF(COUNTA(B704:D704,F704:O704)&gt;0,IF(B704="","Facture",B704),"")</f>
        <v/>
      </c>
      <c r="AB704" s="62" t="str">
        <f>IF(AA704="","",IF(AA704="Avoir",p_pav,IF(AA704="Facture d'acompte",p_pac,p_pfa)))</f>
        <v/>
      </c>
      <c r="AC704" s="62">
        <f>IF(ISNUMBER(C704),C704,0)</f>
        <v>0.0</v>
      </c>
      <c r="AD704" s="62" t="str">
        <f>IF(OR(AA704="",AC704=0),"",YEAR(AC704))</f>
        <v/>
      </c>
      <c r="AE704" s="62" t="str">
        <f>IF(AD704="","",COUNTIFS($AB$6:AB704,AB704,$AD$6:AD704,AD704))</f>
        <v/>
      </c>
      <c r="AF704" s="62">
        <f>IF(A704="",0,COUNTIF(fl_doc,A704))</f>
        <v>0.0</v>
      </c>
      <c r="AG704" s="62" t="str">
        <f>IF(A704="","",IF(AF704&gt;0,"Facture",IF(AND(F704&lt;&gt;"",AA704="Facture",ISNUMBER(MATCH(F704,dv_num,0))),"Devis","")))</f>
        <v/>
      </c>
      <c r="AH704" s="62" t="str">
        <f>IF(AND(A704&lt;&gt;"",F704&lt;&gt;"",AA704&lt;&gt;"Avoir"),F704,"")</f>
        <v/>
      </c>
      <c r="AI704" s="62" t="str">
        <f>IF(AG704="Devis",F704,"")</f>
        <v/>
      </c>
      <c r="AJ704" s="62">
        <f>IF(AG704="Facture",SUMIF(fl_doc,A704,fl_ht),IF(AG704="Devis",SUMIF(dl_doc,F704,dl_ht),0))</f>
        <v>0.0</v>
      </c>
      <c r="AK704" s="62">
        <f>IF(OR(AG704="",INDEX(p_rates,1)=""),0,IF(AG704="Facture",SUMIFS(fl_ht,fl_doc,A704,fl_rate,INDEX(p_rates,1)),SUMIFS(dl_ht,dl_doc,F704,dl_rate,INDEX(p_rates,1))))</f>
        <v>0.0</v>
      </c>
      <c r="AL704" s="62">
        <f>IF(OR(AG704="",INDEX(p_rates,2)=""),0,IF(AG704="Facture",SUMIFS(fl_ht,fl_doc,A704,fl_rate,INDEX(p_rates,2)),SUMIFS(dl_ht,dl_doc,F704,dl_rate,INDEX(p_rates,2))))</f>
        <v>0.0</v>
      </c>
      <c r="AM704" s="62">
        <f>IF(OR(AG704="",INDEX(p_rates,3)=""),0,IF(AG704="Facture",SUMIFS(fl_ht,fl_doc,A704,fl_rate,INDEX(p_rates,3)),SUMIFS(dl_ht,dl_doc,F704,dl_rate,INDEX(p_rates,3))))</f>
        <v>0.0</v>
      </c>
      <c r="AN704" s="62">
        <f>IF(OR(AG704="",INDEX(p_rates,4)=""),0,IF(AG704="Facture",SUMIFS(fl_ht,fl_doc,A704,fl_rate,INDEX(p_rates,4)),SUMIFS(dl_ht,dl_doc,F704,dl_rate,INDEX(p_rates,4))))</f>
        <v>0.0</v>
      </c>
      <c r="AO704" s="62">
        <f>IF(OR(AG704="",INDEX(p_rates,5)=""),0,IF(AG704="Facture",SUMIFS(fl_ht,fl_doc,A704,fl_rate,INDEX(p_rates,5)),SUMIFS(dl_ht,dl_doc,F704,dl_rate,INDEX(p_rates,5))))</f>
        <v>0.0</v>
      </c>
      <c r="AP704" s="62">
        <f>IF(OR(AG704="",INDEX(p_rates,6)=""),0,IF(AG704="Facture",SUMIFS(fl_ht,fl_doc,A704,fl_rate,INDEX(p_rates,6)),SUMIFS(dl_ht,dl_doc,F704,dl_rate,INDEX(p_rates,6))))</f>
        <v>0.0</v>
      </c>
      <c r="AQ704" s="62">
        <f>ROUND(AK704*N(INDEX(p_rates,1)),2)+ROUND(AL704*N(INDEX(p_rates,2)),2)+ROUND(AM704*N(INDEX(p_rates,3)),2)+ROUND(AN704*N(INDEX(p_rates,4)),2)+ROUND(AO704*N(INDEX(p_rates,5)),2)+ROUND(AP704*N(INDEX(p_rates,6)),2)</f>
        <v>0.0</v>
      </c>
      <c r="AR704" s="62" t="str">
        <f>IF(OR(L704="",AA704&lt;&gt;"Facture"),"",IFERROR(IF(INDEX(fa_type,MATCH(L704,fa_num,0))="Facture d'acompte",MATCH(L704,fa_num,0),""),""))</f>
        <v/>
      </c>
      <c r="AS704" s="62" t="str">
        <f>IF(W704="","",IF(W704&lt;=0,"",IF(p_asof-P704&lt;=0,"Non échu",IF(p_asof-P704&lt;=30,"1-30 j",IF(p_asof-P704&lt;=60,"31-60 j",IF(p_asof-P704&lt;=90,"61-90 j","Plus de 90 j"))))))</f>
        <v/>
      </c>
      <c r="AT704" s="62" t="str">
        <f>IF(AS704="","",p_asof-P704)</f>
        <v/>
      </c>
      <c r="AU704" s="62" t="str">
        <f>IF(AT704="","",COUNTIF($AT$6:$AT$805,"&gt;"&amp;AT704)+COUNTIF($AT$6:AT704,AT704))</f>
        <v/>
      </c>
    </row>
    <row r="705">
      <c r="A705" s="59" t="str">
        <f>IF(AE705="","",AB705&amp;"-"&amp;AD705&amp;"-"&amp;RIGHT("000"&amp;AE705,4))</f>
        <v/>
      </c>
      <c r="B705" s="60" t="n"/>
      <c r="C705" s="61" t="n"/>
      <c r="D705" s="60" t="n"/>
      <c r="E705" s="62" t="str">
        <f>IF(D705="","",IFERROR(INDEX(cli_name,MATCH(D705,cli_code,0))&amp;"","Client inconnu"))</f>
        <v/>
      </c>
      <c r="F705" s="60" t="n"/>
      <c r="G705" s="63" t="n"/>
      <c r="H705" s="61" t="n"/>
      <c r="I705" s="63" t="n"/>
      <c r="J705" s="60" t="n"/>
      <c r="K705" s="61" t="n"/>
      <c r="L705" s="60" t="n"/>
      <c r="M705" s="60" t="n"/>
      <c r="N705" s="60" t="n"/>
      <c r="O705" s="61" t="n"/>
      <c r="P705" s="64" t="str">
        <f>IF(A705="","",IF(AA705="Avoir",AC705,IF(ISNUMBER(K705),K705,AC705+IF(D705="",N(p_delay),IFERROR(IF(ISNUMBER(INDEX(cli_delay,MATCH(D705,cli_code,0))),INDEX(cli_delay,MATCH(D705,cli_code,0)),N(p_delay)),N(p_delay))))))</f>
        <v/>
      </c>
      <c r="Q705" s="65" t="str">
        <f>IF(A705="","",IF(AA705="Avoir",-1,1)*ROUND(AJ705-IF(AR705="",0,INDEX(fa_htb,AR705)),2))</f>
        <v/>
      </c>
      <c r="R705" s="65" t="str">
        <f>IF(A705="","",IF(AA705="Avoir",-1,1)*ROUND(AQ705-IF(AR705="",0,INDEX(fa_tvab,AR705)),2))</f>
        <v/>
      </c>
      <c r="S705" s="65" t="str">
        <f>IF(A705="","",Q705+R705)</f>
        <v/>
      </c>
      <c r="T705" s="65" t="str">
        <f>IF(AR705="","",INDEX(fa_htb,AR705)+INDEX(fa_tvab,AR705))</f>
        <v/>
      </c>
      <c r="U705" s="65" t="str">
        <f>IF(A705="","",SUMIF(pa_inv,A705,pa_amt))</f>
        <v/>
      </c>
      <c r="V705" s="65" t="str">
        <f>IF(OR(A705="",AA705="Avoir"),"",-SUMIFS(fa_ttc,fa_avof,A705,fa_type,"Avoir"))</f>
        <v/>
      </c>
      <c r="W705" s="65" t="str">
        <f>IF(OR(A705="",AA705="Avoir"),"",ROUND(S705-U705-V705,2))</f>
        <v/>
      </c>
      <c r="X705" s="66" t="str">
        <f>IF(W705="","",IF(AND(W705&gt;0,p_asof&gt;P705),p_asof-P705,""))</f>
        <v/>
      </c>
      <c r="Y705" s="59" t="str">
        <f>IF(A705="","",IF(AA705="Avoir","Avoir",IF(W705&lt;0,"Trop-perçu",IF(W705=0,"Soldée",IF(p_asof&gt;P705,"En retard",IF(U705+V705&gt;0,"Partielle","À échoir"))))))</f>
        <v/>
      </c>
      <c r="Z705" s="59" t="str">
        <f>IF(NOT(COUNTA(B705:D705,F705:O705)&gt;0),"",IF(C705="","Date manquante",IF(NOT(ISNUMBER(C705)),"Date invalide",IF(D705="","Client manquant",IF(ISNA(MATCH(D705,cli_code,0)),"Client inconnu",IF(AC705&lt;SUMPRODUCT(MAX(($AB$6:AB704=AB705)*$AC$6:AC704)),"Date antérieure à la facture précédente",IF(AND(F705&lt;&gt;"",ISNA(MATCH(F705,dv_num,0))),"Devis inconnu",IF(AND(F705&lt;&gt;"",IFERROR(INDEX(dv_client,MATCH(F705,dv_num,0)),D705)&lt;&gt;D705),"Client différent de celui du devis",IF(AG705="","Aucune ligne : saisissez des lignes ou un devis",IF(AND(AI705&lt;&gt;"",COUNTIF($AI$6:AI705,AI705)&gt;1),"Devis déjà repris par une autre facture",IF(AND(AA705="Avoir",M705=""),"Avoir : indiquez la facture d'origine",IF(AND(AA705="Avoir",ISNA(MATCH(M705,fa_num,0))),"Facture d'origine inconnue",IF(AND(AA705&lt;&gt;"Avoir",M705&lt;&gt;""),"« Avoir sur facture » : réservé aux avoirs",IF(AND(L705&lt;&gt;"",AA705&lt;&gt;"Facture"),"Acompte à déduire : réservé aux factures",IF(AND(L705&lt;&gt;"",ISNA(MATCH(L705,fa_num,0))),"Facture d'acompte inconnue",IF(AND(L705&lt;&gt;"",IFERROR(INDEX(fa_type,MATCH(L705,fa_num,0)),"")&lt;&gt;"Facture d'acompte"),"Le n° à déduire n'est pas une facture d'acompte",IF(AND(L705&lt;&gt;"",COUNTIF($L$6:L705,L705)&gt;1),"Acompte déjà déduit sur une autre facture",IF(AND(L705&lt;&gt;"",IFERROR(INDEX(fa_client,MATCH(L705,fa_num,0)),D705)&lt;&gt;D705),"Acompte d'un autre client",IF(AND(AR705&lt;&gt;"",N(Q705)&lt;0),"Acompte supérieur au total de la facture",IF(IF(AG705="Facture",COUNTIFS(fl_doc,A705,fl_check,"&lt;&gt;OK"),IF(AG705="Devis",COUNTIFS(dl_doc,F705,dl_check,"&lt;&gt;OK"),0))&gt;0,"Ligne(s) à corriger",IF(AND(W705&lt;&gt;"",N(W705)&lt;0),"Trop-perçu : vérifiez paiements et avoirs","OK")))))))))))))))))))))</f>
        <v/>
      </c>
      <c r="AA705" s="62" t="str">
        <f>IF(COUNTA(B705:D705,F705:O705)&gt;0,IF(B705="","Facture",B705),"")</f>
        <v/>
      </c>
      <c r="AB705" s="62" t="str">
        <f>IF(AA705="","",IF(AA705="Avoir",p_pav,IF(AA705="Facture d'acompte",p_pac,p_pfa)))</f>
        <v/>
      </c>
      <c r="AC705" s="62">
        <f>IF(ISNUMBER(C705),C705,0)</f>
        <v>0.0</v>
      </c>
      <c r="AD705" s="62" t="str">
        <f>IF(OR(AA705="",AC705=0),"",YEAR(AC705))</f>
        <v/>
      </c>
      <c r="AE705" s="62" t="str">
        <f>IF(AD705="","",COUNTIFS($AB$6:AB705,AB705,$AD$6:AD705,AD705))</f>
        <v/>
      </c>
      <c r="AF705" s="62">
        <f>IF(A705="",0,COUNTIF(fl_doc,A705))</f>
        <v>0.0</v>
      </c>
      <c r="AG705" s="62" t="str">
        <f>IF(A705="","",IF(AF705&gt;0,"Facture",IF(AND(F705&lt;&gt;"",AA705="Facture",ISNUMBER(MATCH(F705,dv_num,0))),"Devis","")))</f>
        <v/>
      </c>
      <c r="AH705" s="62" t="str">
        <f>IF(AND(A705&lt;&gt;"",F705&lt;&gt;"",AA705&lt;&gt;"Avoir"),F705,"")</f>
        <v/>
      </c>
      <c r="AI705" s="62" t="str">
        <f>IF(AG705="Devis",F705,"")</f>
        <v/>
      </c>
      <c r="AJ705" s="62">
        <f>IF(AG705="Facture",SUMIF(fl_doc,A705,fl_ht),IF(AG705="Devis",SUMIF(dl_doc,F705,dl_ht),0))</f>
        <v>0.0</v>
      </c>
      <c r="AK705" s="62">
        <f>IF(OR(AG705="",INDEX(p_rates,1)=""),0,IF(AG705="Facture",SUMIFS(fl_ht,fl_doc,A705,fl_rate,INDEX(p_rates,1)),SUMIFS(dl_ht,dl_doc,F705,dl_rate,INDEX(p_rates,1))))</f>
        <v>0.0</v>
      </c>
      <c r="AL705" s="62">
        <f>IF(OR(AG705="",INDEX(p_rates,2)=""),0,IF(AG705="Facture",SUMIFS(fl_ht,fl_doc,A705,fl_rate,INDEX(p_rates,2)),SUMIFS(dl_ht,dl_doc,F705,dl_rate,INDEX(p_rates,2))))</f>
        <v>0.0</v>
      </c>
      <c r="AM705" s="62">
        <f>IF(OR(AG705="",INDEX(p_rates,3)=""),0,IF(AG705="Facture",SUMIFS(fl_ht,fl_doc,A705,fl_rate,INDEX(p_rates,3)),SUMIFS(dl_ht,dl_doc,F705,dl_rate,INDEX(p_rates,3))))</f>
        <v>0.0</v>
      </c>
      <c r="AN705" s="62">
        <f>IF(OR(AG705="",INDEX(p_rates,4)=""),0,IF(AG705="Facture",SUMIFS(fl_ht,fl_doc,A705,fl_rate,INDEX(p_rates,4)),SUMIFS(dl_ht,dl_doc,F705,dl_rate,INDEX(p_rates,4))))</f>
        <v>0.0</v>
      </c>
      <c r="AO705" s="62">
        <f>IF(OR(AG705="",INDEX(p_rates,5)=""),0,IF(AG705="Facture",SUMIFS(fl_ht,fl_doc,A705,fl_rate,INDEX(p_rates,5)),SUMIFS(dl_ht,dl_doc,F705,dl_rate,INDEX(p_rates,5))))</f>
        <v>0.0</v>
      </c>
      <c r="AP705" s="62">
        <f>IF(OR(AG705="",INDEX(p_rates,6)=""),0,IF(AG705="Facture",SUMIFS(fl_ht,fl_doc,A705,fl_rate,INDEX(p_rates,6)),SUMIFS(dl_ht,dl_doc,F705,dl_rate,INDEX(p_rates,6))))</f>
        <v>0.0</v>
      </c>
      <c r="AQ705" s="62">
        <f>ROUND(AK705*N(INDEX(p_rates,1)),2)+ROUND(AL705*N(INDEX(p_rates,2)),2)+ROUND(AM705*N(INDEX(p_rates,3)),2)+ROUND(AN705*N(INDEX(p_rates,4)),2)+ROUND(AO705*N(INDEX(p_rates,5)),2)+ROUND(AP705*N(INDEX(p_rates,6)),2)</f>
        <v>0.0</v>
      </c>
      <c r="AR705" s="62" t="str">
        <f>IF(OR(L705="",AA705&lt;&gt;"Facture"),"",IFERROR(IF(INDEX(fa_type,MATCH(L705,fa_num,0))="Facture d'acompte",MATCH(L705,fa_num,0),""),""))</f>
        <v/>
      </c>
      <c r="AS705" s="62" t="str">
        <f>IF(W705="","",IF(W705&lt;=0,"",IF(p_asof-P705&lt;=0,"Non échu",IF(p_asof-P705&lt;=30,"1-30 j",IF(p_asof-P705&lt;=60,"31-60 j",IF(p_asof-P705&lt;=90,"61-90 j","Plus de 90 j"))))))</f>
        <v/>
      </c>
      <c r="AT705" s="62" t="str">
        <f>IF(AS705="","",p_asof-P705)</f>
        <v/>
      </c>
      <c r="AU705" s="62" t="str">
        <f>IF(AT705="","",COUNTIF($AT$6:$AT$805,"&gt;"&amp;AT705)+COUNTIF($AT$6:AT705,AT705))</f>
        <v/>
      </c>
    </row>
    <row r="706">
      <c r="A706" s="59" t="str">
        <f>IF(AE706="","",AB706&amp;"-"&amp;AD706&amp;"-"&amp;RIGHT("000"&amp;AE706,4))</f>
        <v/>
      </c>
      <c r="B706" s="60" t="n"/>
      <c r="C706" s="61" t="n"/>
      <c r="D706" s="60" t="n"/>
      <c r="E706" s="62" t="str">
        <f>IF(D706="","",IFERROR(INDEX(cli_name,MATCH(D706,cli_code,0))&amp;"","Client inconnu"))</f>
        <v/>
      </c>
      <c r="F706" s="60" t="n"/>
      <c r="G706" s="63" t="n"/>
      <c r="H706" s="61" t="n"/>
      <c r="I706" s="63" t="n"/>
      <c r="J706" s="60" t="n"/>
      <c r="K706" s="61" t="n"/>
      <c r="L706" s="60" t="n"/>
      <c r="M706" s="60" t="n"/>
      <c r="N706" s="60" t="n"/>
      <c r="O706" s="61" t="n"/>
      <c r="P706" s="64" t="str">
        <f>IF(A706="","",IF(AA706="Avoir",AC706,IF(ISNUMBER(K706),K706,AC706+IF(D706="",N(p_delay),IFERROR(IF(ISNUMBER(INDEX(cli_delay,MATCH(D706,cli_code,0))),INDEX(cli_delay,MATCH(D706,cli_code,0)),N(p_delay)),N(p_delay))))))</f>
        <v/>
      </c>
      <c r="Q706" s="65" t="str">
        <f>IF(A706="","",IF(AA706="Avoir",-1,1)*ROUND(AJ706-IF(AR706="",0,INDEX(fa_htb,AR706)),2))</f>
        <v/>
      </c>
      <c r="R706" s="65" t="str">
        <f>IF(A706="","",IF(AA706="Avoir",-1,1)*ROUND(AQ706-IF(AR706="",0,INDEX(fa_tvab,AR706)),2))</f>
        <v/>
      </c>
      <c r="S706" s="65" t="str">
        <f>IF(A706="","",Q706+R706)</f>
        <v/>
      </c>
      <c r="T706" s="65" t="str">
        <f>IF(AR706="","",INDEX(fa_htb,AR706)+INDEX(fa_tvab,AR706))</f>
        <v/>
      </c>
      <c r="U706" s="65" t="str">
        <f>IF(A706="","",SUMIF(pa_inv,A706,pa_amt))</f>
        <v/>
      </c>
      <c r="V706" s="65" t="str">
        <f>IF(OR(A706="",AA706="Avoir"),"",-SUMIFS(fa_ttc,fa_avof,A706,fa_type,"Avoir"))</f>
        <v/>
      </c>
      <c r="W706" s="65" t="str">
        <f>IF(OR(A706="",AA706="Avoir"),"",ROUND(S706-U706-V706,2))</f>
        <v/>
      </c>
      <c r="X706" s="66" t="str">
        <f>IF(W706="","",IF(AND(W706&gt;0,p_asof&gt;P706),p_asof-P706,""))</f>
        <v/>
      </c>
      <c r="Y706" s="59" t="str">
        <f>IF(A706="","",IF(AA706="Avoir","Avoir",IF(W706&lt;0,"Trop-perçu",IF(W706=0,"Soldée",IF(p_asof&gt;P706,"En retard",IF(U706+V706&gt;0,"Partielle","À échoir"))))))</f>
        <v/>
      </c>
      <c r="Z706" s="59" t="str">
        <f>IF(NOT(COUNTA(B706:D706,F706:O706)&gt;0),"",IF(C706="","Date manquante",IF(NOT(ISNUMBER(C706)),"Date invalide",IF(D706="","Client manquant",IF(ISNA(MATCH(D706,cli_code,0)),"Client inconnu",IF(AC706&lt;SUMPRODUCT(MAX(($AB$6:AB705=AB706)*$AC$6:AC705)),"Date antérieure à la facture précédente",IF(AND(F706&lt;&gt;"",ISNA(MATCH(F706,dv_num,0))),"Devis inconnu",IF(AND(F706&lt;&gt;"",IFERROR(INDEX(dv_client,MATCH(F706,dv_num,0)),D706)&lt;&gt;D706),"Client différent de celui du devis",IF(AG706="","Aucune ligne : saisissez des lignes ou un devis",IF(AND(AI706&lt;&gt;"",COUNTIF($AI$6:AI706,AI706)&gt;1),"Devis déjà repris par une autre facture",IF(AND(AA706="Avoir",M706=""),"Avoir : indiquez la facture d'origine",IF(AND(AA706="Avoir",ISNA(MATCH(M706,fa_num,0))),"Facture d'origine inconnue",IF(AND(AA706&lt;&gt;"Avoir",M706&lt;&gt;""),"« Avoir sur facture » : réservé aux avoirs",IF(AND(L706&lt;&gt;"",AA706&lt;&gt;"Facture"),"Acompte à déduire : réservé aux factures",IF(AND(L706&lt;&gt;"",ISNA(MATCH(L706,fa_num,0))),"Facture d'acompte inconnue",IF(AND(L706&lt;&gt;"",IFERROR(INDEX(fa_type,MATCH(L706,fa_num,0)),"")&lt;&gt;"Facture d'acompte"),"Le n° à déduire n'est pas une facture d'acompte",IF(AND(L706&lt;&gt;"",COUNTIF($L$6:L706,L706)&gt;1),"Acompte déjà déduit sur une autre facture",IF(AND(L706&lt;&gt;"",IFERROR(INDEX(fa_client,MATCH(L706,fa_num,0)),D706)&lt;&gt;D706),"Acompte d'un autre client",IF(AND(AR706&lt;&gt;"",N(Q706)&lt;0),"Acompte supérieur au total de la facture",IF(IF(AG706="Facture",COUNTIFS(fl_doc,A706,fl_check,"&lt;&gt;OK"),IF(AG706="Devis",COUNTIFS(dl_doc,F706,dl_check,"&lt;&gt;OK"),0))&gt;0,"Ligne(s) à corriger",IF(AND(W706&lt;&gt;"",N(W706)&lt;0),"Trop-perçu : vérifiez paiements et avoirs","OK")))))))))))))))))))))</f>
        <v/>
      </c>
      <c r="AA706" s="62" t="str">
        <f>IF(COUNTA(B706:D706,F706:O706)&gt;0,IF(B706="","Facture",B706),"")</f>
        <v/>
      </c>
      <c r="AB706" s="62" t="str">
        <f>IF(AA706="","",IF(AA706="Avoir",p_pav,IF(AA706="Facture d'acompte",p_pac,p_pfa)))</f>
        <v/>
      </c>
      <c r="AC706" s="62">
        <f>IF(ISNUMBER(C706),C706,0)</f>
        <v>0.0</v>
      </c>
      <c r="AD706" s="62" t="str">
        <f>IF(OR(AA706="",AC706=0),"",YEAR(AC706))</f>
        <v/>
      </c>
      <c r="AE706" s="62" t="str">
        <f>IF(AD706="","",COUNTIFS($AB$6:AB706,AB706,$AD$6:AD706,AD706))</f>
        <v/>
      </c>
      <c r="AF706" s="62">
        <f>IF(A706="",0,COUNTIF(fl_doc,A706))</f>
        <v>0.0</v>
      </c>
      <c r="AG706" s="62" t="str">
        <f>IF(A706="","",IF(AF706&gt;0,"Facture",IF(AND(F706&lt;&gt;"",AA706="Facture",ISNUMBER(MATCH(F706,dv_num,0))),"Devis","")))</f>
        <v/>
      </c>
      <c r="AH706" s="62" t="str">
        <f>IF(AND(A706&lt;&gt;"",F706&lt;&gt;"",AA706&lt;&gt;"Avoir"),F706,"")</f>
        <v/>
      </c>
      <c r="AI706" s="62" t="str">
        <f>IF(AG706="Devis",F706,"")</f>
        <v/>
      </c>
      <c r="AJ706" s="62">
        <f>IF(AG706="Facture",SUMIF(fl_doc,A706,fl_ht),IF(AG706="Devis",SUMIF(dl_doc,F706,dl_ht),0))</f>
        <v>0.0</v>
      </c>
      <c r="AK706" s="62">
        <f>IF(OR(AG706="",INDEX(p_rates,1)=""),0,IF(AG706="Facture",SUMIFS(fl_ht,fl_doc,A706,fl_rate,INDEX(p_rates,1)),SUMIFS(dl_ht,dl_doc,F706,dl_rate,INDEX(p_rates,1))))</f>
        <v>0.0</v>
      </c>
      <c r="AL706" s="62">
        <f>IF(OR(AG706="",INDEX(p_rates,2)=""),0,IF(AG706="Facture",SUMIFS(fl_ht,fl_doc,A706,fl_rate,INDEX(p_rates,2)),SUMIFS(dl_ht,dl_doc,F706,dl_rate,INDEX(p_rates,2))))</f>
        <v>0.0</v>
      </c>
      <c r="AM706" s="62">
        <f>IF(OR(AG706="",INDEX(p_rates,3)=""),0,IF(AG706="Facture",SUMIFS(fl_ht,fl_doc,A706,fl_rate,INDEX(p_rates,3)),SUMIFS(dl_ht,dl_doc,F706,dl_rate,INDEX(p_rates,3))))</f>
        <v>0.0</v>
      </c>
      <c r="AN706" s="62">
        <f>IF(OR(AG706="",INDEX(p_rates,4)=""),0,IF(AG706="Facture",SUMIFS(fl_ht,fl_doc,A706,fl_rate,INDEX(p_rates,4)),SUMIFS(dl_ht,dl_doc,F706,dl_rate,INDEX(p_rates,4))))</f>
        <v>0.0</v>
      </c>
      <c r="AO706" s="62">
        <f>IF(OR(AG706="",INDEX(p_rates,5)=""),0,IF(AG706="Facture",SUMIFS(fl_ht,fl_doc,A706,fl_rate,INDEX(p_rates,5)),SUMIFS(dl_ht,dl_doc,F706,dl_rate,INDEX(p_rates,5))))</f>
        <v>0.0</v>
      </c>
      <c r="AP706" s="62">
        <f>IF(OR(AG706="",INDEX(p_rates,6)=""),0,IF(AG706="Facture",SUMIFS(fl_ht,fl_doc,A706,fl_rate,INDEX(p_rates,6)),SUMIFS(dl_ht,dl_doc,F706,dl_rate,INDEX(p_rates,6))))</f>
        <v>0.0</v>
      </c>
      <c r="AQ706" s="62">
        <f>ROUND(AK706*N(INDEX(p_rates,1)),2)+ROUND(AL706*N(INDEX(p_rates,2)),2)+ROUND(AM706*N(INDEX(p_rates,3)),2)+ROUND(AN706*N(INDEX(p_rates,4)),2)+ROUND(AO706*N(INDEX(p_rates,5)),2)+ROUND(AP706*N(INDEX(p_rates,6)),2)</f>
        <v>0.0</v>
      </c>
      <c r="AR706" s="62" t="str">
        <f>IF(OR(L706="",AA706&lt;&gt;"Facture"),"",IFERROR(IF(INDEX(fa_type,MATCH(L706,fa_num,0))="Facture d'acompte",MATCH(L706,fa_num,0),""),""))</f>
        <v/>
      </c>
      <c r="AS706" s="62" t="str">
        <f>IF(W706="","",IF(W706&lt;=0,"",IF(p_asof-P706&lt;=0,"Non échu",IF(p_asof-P706&lt;=30,"1-30 j",IF(p_asof-P706&lt;=60,"31-60 j",IF(p_asof-P706&lt;=90,"61-90 j","Plus de 90 j"))))))</f>
        <v/>
      </c>
      <c r="AT706" s="62" t="str">
        <f>IF(AS706="","",p_asof-P706)</f>
        <v/>
      </c>
      <c r="AU706" s="62" t="str">
        <f>IF(AT706="","",COUNTIF($AT$6:$AT$805,"&gt;"&amp;AT706)+COUNTIF($AT$6:AT706,AT706))</f>
        <v/>
      </c>
    </row>
    <row r="707">
      <c r="A707" s="59" t="str">
        <f>IF(AE707="","",AB707&amp;"-"&amp;AD707&amp;"-"&amp;RIGHT("000"&amp;AE707,4))</f>
        <v/>
      </c>
      <c r="B707" s="60" t="n"/>
      <c r="C707" s="61" t="n"/>
      <c r="D707" s="60" t="n"/>
      <c r="E707" s="62" t="str">
        <f>IF(D707="","",IFERROR(INDEX(cli_name,MATCH(D707,cli_code,0))&amp;"","Client inconnu"))</f>
        <v/>
      </c>
      <c r="F707" s="60" t="n"/>
      <c r="G707" s="63" t="n"/>
      <c r="H707" s="61" t="n"/>
      <c r="I707" s="63" t="n"/>
      <c r="J707" s="60" t="n"/>
      <c r="K707" s="61" t="n"/>
      <c r="L707" s="60" t="n"/>
      <c r="M707" s="60" t="n"/>
      <c r="N707" s="60" t="n"/>
      <c r="O707" s="61" t="n"/>
      <c r="P707" s="64" t="str">
        <f>IF(A707="","",IF(AA707="Avoir",AC707,IF(ISNUMBER(K707),K707,AC707+IF(D707="",N(p_delay),IFERROR(IF(ISNUMBER(INDEX(cli_delay,MATCH(D707,cli_code,0))),INDEX(cli_delay,MATCH(D707,cli_code,0)),N(p_delay)),N(p_delay))))))</f>
        <v/>
      </c>
      <c r="Q707" s="65" t="str">
        <f>IF(A707="","",IF(AA707="Avoir",-1,1)*ROUND(AJ707-IF(AR707="",0,INDEX(fa_htb,AR707)),2))</f>
        <v/>
      </c>
      <c r="R707" s="65" t="str">
        <f>IF(A707="","",IF(AA707="Avoir",-1,1)*ROUND(AQ707-IF(AR707="",0,INDEX(fa_tvab,AR707)),2))</f>
        <v/>
      </c>
      <c r="S707" s="65" t="str">
        <f>IF(A707="","",Q707+R707)</f>
        <v/>
      </c>
      <c r="T707" s="65" t="str">
        <f>IF(AR707="","",INDEX(fa_htb,AR707)+INDEX(fa_tvab,AR707))</f>
        <v/>
      </c>
      <c r="U707" s="65" t="str">
        <f>IF(A707="","",SUMIF(pa_inv,A707,pa_amt))</f>
        <v/>
      </c>
      <c r="V707" s="65" t="str">
        <f>IF(OR(A707="",AA707="Avoir"),"",-SUMIFS(fa_ttc,fa_avof,A707,fa_type,"Avoir"))</f>
        <v/>
      </c>
      <c r="W707" s="65" t="str">
        <f>IF(OR(A707="",AA707="Avoir"),"",ROUND(S707-U707-V707,2))</f>
        <v/>
      </c>
      <c r="X707" s="66" t="str">
        <f>IF(W707="","",IF(AND(W707&gt;0,p_asof&gt;P707),p_asof-P707,""))</f>
        <v/>
      </c>
      <c r="Y707" s="59" t="str">
        <f>IF(A707="","",IF(AA707="Avoir","Avoir",IF(W707&lt;0,"Trop-perçu",IF(W707=0,"Soldée",IF(p_asof&gt;P707,"En retard",IF(U707+V707&gt;0,"Partielle","À échoir"))))))</f>
        <v/>
      </c>
      <c r="Z707" s="59" t="str">
        <f>IF(NOT(COUNTA(B707:D707,F707:O707)&gt;0),"",IF(C707="","Date manquante",IF(NOT(ISNUMBER(C707)),"Date invalide",IF(D707="","Client manquant",IF(ISNA(MATCH(D707,cli_code,0)),"Client inconnu",IF(AC707&lt;SUMPRODUCT(MAX(($AB$6:AB706=AB707)*$AC$6:AC706)),"Date antérieure à la facture précédente",IF(AND(F707&lt;&gt;"",ISNA(MATCH(F707,dv_num,0))),"Devis inconnu",IF(AND(F707&lt;&gt;"",IFERROR(INDEX(dv_client,MATCH(F707,dv_num,0)),D707)&lt;&gt;D707),"Client différent de celui du devis",IF(AG707="","Aucune ligne : saisissez des lignes ou un devis",IF(AND(AI707&lt;&gt;"",COUNTIF($AI$6:AI707,AI707)&gt;1),"Devis déjà repris par une autre facture",IF(AND(AA707="Avoir",M707=""),"Avoir : indiquez la facture d'origine",IF(AND(AA707="Avoir",ISNA(MATCH(M707,fa_num,0))),"Facture d'origine inconnue",IF(AND(AA707&lt;&gt;"Avoir",M707&lt;&gt;""),"« Avoir sur facture » : réservé aux avoirs",IF(AND(L707&lt;&gt;"",AA707&lt;&gt;"Facture"),"Acompte à déduire : réservé aux factures",IF(AND(L707&lt;&gt;"",ISNA(MATCH(L707,fa_num,0))),"Facture d'acompte inconnue",IF(AND(L707&lt;&gt;"",IFERROR(INDEX(fa_type,MATCH(L707,fa_num,0)),"")&lt;&gt;"Facture d'acompte"),"Le n° à déduire n'est pas une facture d'acompte",IF(AND(L707&lt;&gt;"",COUNTIF($L$6:L707,L707)&gt;1),"Acompte déjà déduit sur une autre facture",IF(AND(L707&lt;&gt;"",IFERROR(INDEX(fa_client,MATCH(L707,fa_num,0)),D707)&lt;&gt;D707),"Acompte d'un autre client",IF(AND(AR707&lt;&gt;"",N(Q707)&lt;0),"Acompte supérieur au total de la facture",IF(IF(AG707="Facture",COUNTIFS(fl_doc,A707,fl_check,"&lt;&gt;OK"),IF(AG707="Devis",COUNTIFS(dl_doc,F707,dl_check,"&lt;&gt;OK"),0))&gt;0,"Ligne(s) à corriger",IF(AND(W707&lt;&gt;"",N(W707)&lt;0),"Trop-perçu : vérifiez paiements et avoirs","OK")))))))))))))))))))))</f>
        <v/>
      </c>
      <c r="AA707" s="62" t="str">
        <f>IF(COUNTA(B707:D707,F707:O707)&gt;0,IF(B707="","Facture",B707),"")</f>
        <v/>
      </c>
      <c r="AB707" s="62" t="str">
        <f>IF(AA707="","",IF(AA707="Avoir",p_pav,IF(AA707="Facture d'acompte",p_pac,p_pfa)))</f>
        <v/>
      </c>
      <c r="AC707" s="62">
        <f>IF(ISNUMBER(C707),C707,0)</f>
        <v>0.0</v>
      </c>
      <c r="AD707" s="62" t="str">
        <f>IF(OR(AA707="",AC707=0),"",YEAR(AC707))</f>
        <v/>
      </c>
      <c r="AE707" s="62" t="str">
        <f>IF(AD707="","",COUNTIFS($AB$6:AB707,AB707,$AD$6:AD707,AD707))</f>
        <v/>
      </c>
      <c r="AF707" s="62">
        <f>IF(A707="",0,COUNTIF(fl_doc,A707))</f>
        <v>0.0</v>
      </c>
      <c r="AG707" s="62" t="str">
        <f>IF(A707="","",IF(AF707&gt;0,"Facture",IF(AND(F707&lt;&gt;"",AA707="Facture",ISNUMBER(MATCH(F707,dv_num,0))),"Devis","")))</f>
        <v/>
      </c>
      <c r="AH707" s="62" t="str">
        <f>IF(AND(A707&lt;&gt;"",F707&lt;&gt;"",AA707&lt;&gt;"Avoir"),F707,"")</f>
        <v/>
      </c>
      <c r="AI707" s="62" t="str">
        <f>IF(AG707="Devis",F707,"")</f>
        <v/>
      </c>
      <c r="AJ707" s="62">
        <f>IF(AG707="Facture",SUMIF(fl_doc,A707,fl_ht),IF(AG707="Devis",SUMIF(dl_doc,F707,dl_ht),0))</f>
        <v>0.0</v>
      </c>
      <c r="AK707" s="62">
        <f>IF(OR(AG707="",INDEX(p_rates,1)=""),0,IF(AG707="Facture",SUMIFS(fl_ht,fl_doc,A707,fl_rate,INDEX(p_rates,1)),SUMIFS(dl_ht,dl_doc,F707,dl_rate,INDEX(p_rates,1))))</f>
        <v>0.0</v>
      </c>
      <c r="AL707" s="62">
        <f>IF(OR(AG707="",INDEX(p_rates,2)=""),0,IF(AG707="Facture",SUMIFS(fl_ht,fl_doc,A707,fl_rate,INDEX(p_rates,2)),SUMIFS(dl_ht,dl_doc,F707,dl_rate,INDEX(p_rates,2))))</f>
        <v>0.0</v>
      </c>
      <c r="AM707" s="62">
        <f>IF(OR(AG707="",INDEX(p_rates,3)=""),0,IF(AG707="Facture",SUMIFS(fl_ht,fl_doc,A707,fl_rate,INDEX(p_rates,3)),SUMIFS(dl_ht,dl_doc,F707,dl_rate,INDEX(p_rates,3))))</f>
        <v>0.0</v>
      </c>
      <c r="AN707" s="62">
        <f>IF(OR(AG707="",INDEX(p_rates,4)=""),0,IF(AG707="Facture",SUMIFS(fl_ht,fl_doc,A707,fl_rate,INDEX(p_rates,4)),SUMIFS(dl_ht,dl_doc,F707,dl_rate,INDEX(p_rates,4))))</f>
        <v>0.0</v>
      </c>
      <c r="AO707" s="62">
        <f>IF(OR(AG707="",INDEX(p_rates,5)=""),0,IF(AG707="Facture",SUMIFS(fl_ht,fl_doc,A707,fl_rate,INDEX(p_rates,5)),SUMIFS(dl_ht,dl_doc,F707,dl_rate,INDEX(p_rates,5))))</f>
        <v>0.0</v>
      </c>
      <c r="AP707" s="62">
        <f>IF(OR(AG707="",INDEX(p_rates,6)=""),0,IF(AG707="Facture",SUMIFS(fl_ht,fl_doc,A707,fl_rate,INDEX(p_rates,6)),SUMIFS(dl_ht,dl_doc,F707,dl_rate,INDEX(p_rates,6))))</f>
        <v>0.0</v>
      </c>
      <c r="AQ707" s="62">
        <f>ROUND(AK707*N(INDEX(p_rates,1)),2)+ROUND(AL707*N(INDEX(p_rates,2)),2)+ROUND(AM707*N(INDEX(p_rates,3)),2)+ROUND(AN707*N(INDEX(p_rates,4)),2)+ROUND(AO707*N(INDEX(p_rates,5)),2)+ROUND(AP707*N(INDEX(p_rates,6)),2)</f>
        <v>0.0</v>
      </c>
      <c r="AR707" s="62" t="str">
        <f>IF(OR(L707="",AA707&lt;&gt;"Facture"),"",IFERROR(IF(INDEX(fa_type,MATCH(L707,fa_num,0))="Facture d'acompte",MATCH(L707,fa_num,0),""),""))</f>
        <v/>
      </c>
      <c r="AS707" s="62" t="str">
        <f>IF(W707="","",IF(W707&lt;=0,"",IF(p_asof-P707&lt;=0,"Non échu",IF(p_asof-P707&lt;=30,"1-30 j",IF(p_asof-P707&lt;=60,"31-60 j",IF(p_asof-P707&lt;=90,"61-90 j","Plus de 90 j"))))))</f>
        <v/>
      </c>
      <c r="AT707" s="62" t="str">
        <f>IF(AS707="","",p_asof-P707)</f>
        <v/>
      </c>
      <c r="AU707" s="62" t="str">
        <f>IF(AT707="","",COUNTIF($AT$6:$AT$805,"&gt;"&amp;AT707)+COUNTIF($AT$6:AT707,AT707))</f>
        <v/>
      </c>
    </row>
    <row r="708">
      <c r="A708" s="59" t="str">
        <f>IF(AE708="","",AB708&amp;"-"&amp;AD708&amp;"-"&amp;RIGHT("000"&amp;AE708,4))</f>
        <v/>
      </c>
      <c r="B708" s="60" t="n"/>
      <c r="C708" s="61" t="n"/>
      <c r="D708" s="60" t="n"/>
      <c r="E708" s="62" t="str">
        <f>IF(D708="","",IFERROR(INDEX(cli_name,MATCH(D708,cli_code,0))&amp;"","Client inconnu"))</f>
        <v/>
      </c>
      <c r="F708" s="60" t="n"/>
      <c r="G708" s="63" t="n"/>
      <c r="H708" s="61" t="n"/>
      <c r="I708" s="63" t="n"/>
      <c r="J708" s="60" t="n"/>
      <c r="K708" s="61" t="n"/>
      <c r="L708" s="60" t="n"/>
      <c r="M708" s="60" t="n"/>
      <c r="N708" s="60" t="n"/>
      <c r="O708" s="61" t="n"/>
      <c r="P708" s="64" t="str">
        <f>IF(A708="","",IF(AA708="Avoir",AC708,IF(ISNUMBER(K708),K708,AC708+IF(D708="",N(p_delay),IFERROR(IF(ISNUMBER(INDEX(cli_delay,MATCH(D708,cli_code,0))),INDEX(cli_delay,MATCH(D708,cli_code,0)),N(p_delay)),N(p_delay))))))</f>
        <v/>
      </c>
      <c r="Q708" s="65" t="str">
        <f>IF(A708="","",IF(AA708="Avoir",-1,1)*ROUND(AJ708-IF(AR708="",0,INDEX(fa_htb,AR708)),2))</f>
        <v/>
      </c>
      <c r="R708" s="65" t="str">
        <f>IF(A708="","",IF(AA708="Avoir",-1,1)*ROUND(AQ708-IF(AR708="",0,INDEX(fa_tvab,AR708)),2))</f>
        <v/>
      </c>
      <c r="S708" s="65" t="str">
        <f>IF(A708="","",Q708+R708)</f>
        <v/>
      </c>
      <c r="T708" s="65" t="str">
        <f>IF(AR708="","",INDEX(fa_htb,AR708)+INDEX(fa_tvab,AR708))</f>
        <v/>
      </c>
      <c r="U708" s="65" t="str">
        <f>IF(A708="","",SUMIF(pa_inv,A708,pa_amt))</f>
        <v/>
      </c>
      <c r="V708" s="65" t="str">
        <f>IF(OR(A708="",AA708="Avoir"),"",-SUMIFS(fa_ttc,fa_avof,A708,fa_type,"Avoir"))</f>
        <v/>
      </c>
      <c r="W708" s="65" t="str">
        <f>IF(OR(A708="",AA708="Avoir"),"",ROUND(S708-U708-V708,2))</f>
        <v/>
      </c>
      <c r="X708" s="66" t="str">
        <f>IF(W708="","",IF(AND(W708&gt;0,p_asof&gt;P708),p_asof-P708,""))</f>
        <v/>
      </c>
      <c r="Y708" s="59" t="str">
        <f>IF(A708="","",IF(AA708="Avoir","Avoir",IF(W708&lt;0,"Trop-perçu",IF(W708=0,"Soldée",IF(p_asof&gt;P708,"En retard",IF(U708+V708&gt;0,"Partielle","À échoir"))))))</f>
        <v/>
      </c>
      <c r="Z708" s="59" t="str">
        <f>IF(NOT(COUNTA(B708:D708,F708:O708)&gt;0),"",IF(C708="","Date manquante",IF(NOT(ISNUMBER(C708)),"Date invalide",IF(D708="","Client manquant",IF(ISNA(MATCH(D708,cli_code,0)),"Client inconnu",IF(AC708&lt;SUMPRODUCT(MAX(($AB$6:AB707=AB708)*$AC$6:AC707)),"Date antérieure à la facture précédente",IF(AND(F708&lt;&gt;"",ISNA(MATCH(F708,dv_num,0))),"Devis inconnu",IF(AND(F708&lt;&gt;"",IFERROR(INDEX(dv_client,MATCH(F708,dv_num,0)),D708)&lt;&gt;D708),"Client différent de celui du devis",IF(AG708="","Aucune ligne : saisissez des lignes ou un devis",IF(AND(AI708&lt;&gt;"",COUNTIF($AI$6:AI708,AI708)&gt;1),"Devis déjà repris par une autre facture",IF(AND(AA708="Avoir",M708=""),"Avoir : indiquez la facture d'origine",IF(AND(AA708="Avoir",ISNA(MATCH(M708,fa_num,0))),"Facture d'origine inconnue",IF(AND(AA708&lt;&gt;"Avoir",M708&lt;&gt;""),"« Avoir sur facture » : réservé aux avoirs",IF(AND(L708&lt;&gt;"",AA708&lt;&gt;"Facture"),"Acompte à déduire : réservé aux factures",IF(AND(L708&lt;&gt;"",ISNA(MATCH(L708,fa_num,0))),"Facture d'acompte inconnue",IF(AND(L708&lt;&gt;"",IFERROR(INDEX(fa_type,MATCH(L708,fa_num,0)),"")&lt;&gt;"Facture d'acompte"),"Le n° à déduire n'est pas une facture d'acompte",IF(AND(L708&lt;&gt;"",COUNTIF($L$6:L708,L708)&gt;1),"Acompte déjà déduit sur une autre facture",IF(AND(L708&lt;&gt;"",IFERROR(INDEX(fa_client,MATCH(L708,fa_num,0)),D708)&lt;&gt;D708),"Acompte d'un autre client",IF(AND(AR708&lt;&gt;"",N(Q708)&lt;0),"Acompte supérieur au total de la facture",IF(IF(AG708="Facture",COUNTIFS(fl_doc,A708,fl_check,"&lt;&gt;OK"),IF(AG708="Devis",COUNTIFS(dl_doc,F708,dl_check,"&lt;&gt;OK"),0))&gt;0,"Ligne(s) à corriger",IF(AND(W708&lt;&gt;"",N(W708)&lt;0),"Trop-perçu : vérifiez paiements et avoirs","OK")))))))))))))))))))))</f>
        <v/>
      </c>
      <c r="AA708" s="62" t="str">
        <f>IF(COUNTA(B708:D708,F708:O708)&gt;0,IF(B708="","Facture",B708),"")</f>
        <v/>
      </c>
      <c r="AB708" s="62" t="str">
        <f>IF(AA708="","",IF(AA708="Avoir",p_pav,IF(AA708="Facture d'acompte",p_pac,p_pfa)))</f>
        <v/>
      </c>
      <c r="AC708" s="62">
        <f>IF(ISNUMBER(C708),C708,0)</f>
        <v>0.0</v>
      </c>
      <c r="AD708" s="62" t="str">
        <f>IF(OR(AA708="",AC708=0),"",YEAR(AC708))</f>
        <v/>
      </c>
      <c r="AE708" s="62" t="str">
        <f>IF(AD708="","",COUNTIFS($AB$6:AB708,AB708,$AD$6:AD708,AD708))</f>
        <v/>
      </c>
      <c r="AF708" s="62">
        <f>IF(A708="",0,COUNTIF(fl_doc,A708))</f>
        <v>0.0</v>
      </c>
      <c r="AG708" s="62" t="str">
        <f>IF(A708="","",IF(AF708&gt;0,"Facture",IF(AND(F708&lt;&gt;"",AA708="Facture",ISNUMBER(MATCH(F708,dv_num,0))),"Devis","")))</f>
        <v/>
      </c>
      <c r="AH708" s="62" t="str">
        <f>IF(AND(A708&lt;&gt;"",F708&lt;&gt;"",AA708&lt;&gt;"Avoir"),F708,"")</f>
        <v/>
      </c>
      <c r="AI708" s="62" t="str">
        <f>IF(AG708="Devis",F708,"")</f>
        <v/>
      </c>
      <c r="AJ708" s="62">
        <f>IF(AG708="Facture",SUMIF(fl_doc,A708,fl_ht),IF(AG708="Devis",SUMIF(dl_doc,F708,dl_ht),0))</f>
        <v>0.0</v>
      </c>
      <c r="AK708" s="62">
        <f>IF(OR(AG708="",INDEX(p_rates,1)=""),0,IF(AG708="Facture",SUMIFS(fl_ht,fl_doc,A708,fl_rate,INDEX(p_rates,1)),SUMIFS(dl_ht,dl_doc,F708,dl_rate,INDEX(p_rates,1))))</f>
        <v>0.0</v>
      </c>
      <c r="AL708" s="62">
        <f>IF(OR(AG708="",INDEX(p_rates,2)=""),0,IF(AG708="Facture",SUMIFS(fl_ht,fl_doc,A708,fl_rate,INDEX(p_rates,2)),SUMIFS(dl_ht,dl_doc,F708,dl_rate,INDEX(p_rates,2))))</f>
        <v>0.0</v>
      </c>
      <c r="AM708" s="62">
        <f>IF(OR(AG708="",INDEX(p_rates,3)=""),0,IF(AG708="Facture",SUMIFS(fl_ht,fl_doc,A708,fl_rate,INDEX(p_rates,3)),SUMIFS(dl_ht,dl_doc,F708,dl_rate,INDEX(p_rates,3))))</f>
        <v>0.0</v>
      </c>
      <c r="AN708" s="62">
        <f>IF(OR(AG708="",INDEX(p_rates,4)=""),0,IF(AG708="Facture",SUMIFS(fl_ht,fl_doc,A708,fl_rate,INDEX(p_rates,4)),SUMIFS(dl_ht,dl_doc,F708,dl_rate,INDEX(p_rates,4))))</f>
        <v>0.0</v>
      </c>
      <c r="AO708" s="62">
        <f>IF(OR(AG708="",INDEX(p_rates,5)=""),0,IF(AG708="Facture",SUMIFS(fl_ht,fl_doc,A708,fl_rate,INDEX(p_rates,5)),SUMIFS(dl_ht,dl_doc,F708,dl_rate,INDEX(p_rates,5))))</f>
        <v>0.0</v>
      </c>
      <c r="AP708" s="62">
        <f>IF(OR(AG708="",INDEX(p_rates,6)=""),0,IF(AG708="Facture",SUMIFS(fl_ht,fl_doc,A708,fl_rate,INDEX(p_rates,6)),SUMIFS(dl_ht,dl_doc,F708,dl_rate,INDEX(p_rates,6))))</f>
        <v>0.0</v>
      </c>
      <c r="AQ708" s="62">
        <f>ROUND(AK708*N(INDEX(p_rates,1)),2)+ROUND(AL708*N(INDEX(p_rates,2)),2)+ROUND(AM708*N(INDEX(p_rates,3)),2)+ROUND(AN708*N(INDEX(p_rates,4)),2)+ROUND(AO708*N(INDEX(p_rates,5)),2)+ROUND(AP708*N(INDEX(p_rates,6)),2)</f>
        <v>0.0</v>
      </c>
      <c r="AR708" s="62" t="str">
        <f>IF(OR(L708="",AA708&lt;&gt;"Facture"),"",IFERROR(IF(INDEX(fa_type,MATCH(L708,fa_num,0))="Facture d'acompte",MATCH(L708,fa_num,0),""),""))</f>
        <v/>
      </c>
      <c r="AS708" s="62" t="str">
        <f>IF(W708="","",IF(W708&lt;=0,"",IF(p_asof-P708&lt;=0,"Non échu",IF(p_asof-P708&lt;=30,"1-30 j",IF(p_asof-P708&lt;=60,"31-60 j",IF(p_asof-P708&lt;=90,"61-90 j","Plus de 90 j"))))))</f>
        <v/>
      </c>
      <c r="AT708" s="62" t="str">
        <f>IF(AS708="","",p_asof-P708)</f>
        <v/>
      </c>
      <c r="AU708" s="62" t="str">
        <f>IF(AT708="","",COUNTIF($AT$6:$AT$805,"&gt;"&amp;AT708)+COUNTIF($AT$6:AT708,AT708))</f>
        <v/>
      </c>
    </row>
    <row r="709">
      <c r="A709" s="59" t="str">
        <f>IF(AE709="","",AB709&amp;"-"&amp;AD709&amp;"-"&amp;RIGHT("000"&amp;AE709,4))</f>
        <v/>
      </c>
      <c r="B709" s="60" t="n"/>
      <c r="C709" s="61" t="n"/>
      <c r="D709" s="60" t="n"/>
      <c r="E709" s="62" t="str">
        <f>IF(D709="","",IFERROR(INDEX(cli_name,MATCH(D709,cli_code,0))&amp;"","Client inconnu"))</f>
        <v/>
      </c>
      <c r="F709" s="60" t="n"/>
      <c r="G709" s="63" t="n"/>
      <c r="H709" s="61" t="n"/>
      <c r="I709" s="63" t="n"/>
      <c r="J709" s="60" t="n"/>
      <c r="K709" s="61" t="n"/>
      <c r="L709" s="60" t="n"/>
      <c r="M709" s="60" t="n"/>
      <c r="N709" s="60" t="n"/>
      <c r="O709" s="61" t="n"/>
      <c r="P709" s="64" t="str">
        <f>IF(A709="","",IF(AA709="Avoir",AC709,IF(ISNUMBER(K709),K709,AC709+IF(D709="",N(p_delay),IFERROR(IF(ISNUMBER(INDEX(cli_delay,MATCH(D709,cli_code,0))),INDEX(cli_delay,MATCH(D709,cli_code,0)),N(p_delay)),N(p_delay))))))</f>
        <v/>
      </c>
      <c r="Q709" s="65" t="str">
        <f>IF(A709="","",IF(AA709="Avoir",-1,1)*ROUND(AJ709-IF(AR709="",0,INDEX(fa_htb,AR709)),2))</f>
        <v/>
      </c>
      <c r="R709" s="65" t="str">
        <f>IF(A709="","",IF(AA709="Avoir",-1,1)*ROUND(AQ709-IF(AR709="",0,INDEX(fa_tvab,AR709)),2))</f>
        <v/>
      </c>
      <c r="S709" s="65" t="str">
        <f>IF(A709="","",Q709+R709)</f>
        <v/>
      </c>
      <c r="T709" s="65" t="str">
        <f>IF(AR709="","",INDEX(fa_htb,AR709)+INDEX(fa_tvab,AR709))</f>
        <v/>
      </c>
      <c r="U709" s="65" t="str">
        <f>IF(A709="","",SUMIF(pa_inv,A709,pa_amt))</f>
        <v/>
      </c>
      <c r="V709" s="65" t="str">
        <f>IF(OR(A709="",AA709="Avoir"),"",-SUMIFS(fa_ttc,fa_avof,A709,fa_type,"Avoir"))</f>
        <v/>
      </c>
      <c r="W709" s="65" t="str">
        <f>IF(OR(A709="",AA709="Avoir"),"",ROUND(S709-U709-V709,2))</f>
        <v/>
      </c>
      <c r="X709" s="66" t="str">
        <f>IF(W709="","",IF(AND(W709&gt;0,p_asof&gt;P709),p_asof-P709,""))</f>
        <v/>
      </c>
      <c r="Y709" s="59" t="str">
        <f>IF(A709="","",IF(AA709="Avoir","Avoir",IF(W709&lt;0,"Trop-perçu",IF(W709=0,"Soldée",IF(p_asof&gt;P709,"En retard",IF(U709+V709&gt;0,"Partielle","À échoir"))))))</f>
        <v/>
      </c>
      <c r="Z709" s="59" t="str">
        <f>IF(NOT(COUNTA(B709:D709,F709:O709)&gt;0),"",IF(C709="","Date manquante",IF(NOT(ISNUMBER(C709)),"Date invalide",IF(D709="","Client manquant",IF(ISNA(MATCH(D709,cli_code,0)),"Client inconnu",IF(AC709&lt;SUMPRODUCT(MAX(($AB$6:AB708=AB709)*$AC$6:AC708)),"Date antérieure à la facture précédente",IF(AND(F709&lt;&gt;"",ISNA(MATCH(F709,dv_num,0))),"Devis inconnu",IF(AND(F709&lt;&gt;"",IFERROR(INDEX(dv_client,MATCH(F709,dv_num,0)),D709)&lt;&gt;D709),"Client différent de celui du devis",IF(AG709="","Aucune ligne : saisissez des lignes ou un devis",IF(AND(AI709&lt;&gt;"",COUNTIF($AI$6:AI709,AI709)&gt;1),"Devis déjà repris par une autre facture",IF(AND(AA709="Avoir",M709=""),"Avoir : indiquez la facture d'origine",IF(AND(AA709="Avoir",ISNA(MATCH(M709,fa_num,0))),"Facture d'origine inconnue",IF(AND(AA709&lt;&gt;"Avoir",M709&lt;&gt;""),"« Avoir sur facture » : réservé aux avoirs",IF(AND(L709&lt;&gt;"",AA709&lt;&gt;"Facture"),"Acompte à déduire : réservé aux factures",IF(AND(L709&lt;&gt;"",ISNA(MATCH(L709,fa_num,0))),"Facture d'acompte inconnue",IF(AND(L709&lt;&gt;"",IFERROR(INDEX(fa_type,MATCH(L709,fa_num,0)),"")&lt;&gt;"Facture d'acompte"),"Le n° à déduire n'est pas une facture d'acompte",IF(AND(L709&lt;&gt;"",COUNTIF($L$6:L709,L709)&gt;1),"Acompte déjà déduit sur une autre facture",IF(AND(L709&lt;&gt;"",IFERROR(INDEX(fa_client,MATCH(L709,fa_num,0)),D709)&lt;&gt;D709),"Acompte d'un autre client",IF(AND(AR709&lt;&gt;"",N(Q709)&lt;0),"Acompte supérieur au total de la facture",IF(IF(AG709="Facture",COUNTIFS(fl_doc,A709,fl_check,"&lt;&gt;OK"),IF(AG709="Devis",COUNTIFS(dl_doc,F709,dl_check,"&lt;&gt;OK"),0))&gt;0,"Ligne(s) à corriger",IF(AND(W709&lt;&gt;"",N(W709)&lt;0),"Trop-perçu : vérifiez paiements et avoirs","OK")))))))))))))))))))))</f>
        <v/>
      </c>
      <c r="AA709" s="62" t="str">
        <f>IF(COUNTA(B709:D709,F709:O709)&gt;0,IF(B709="","Facture",B709),"")</f>
        <v/>
      </c>
      <c r="AB709" s="62" t="str">
        <f>IF(AA709="","",IF(AA709="Avoir",p_pav,IF(AA709="Facture d'acompte",p_pac,p_pfa)))</f>
        <v/>
      </c>
      <c r="AC709" s="62">
        <f>IF(ISNUMBER(C709),C709,0)</f>
        <v>0.0</v>
      </c>
      <c r="AD709" s="62" t="str">
        <f>IF(OR(AA709="",AC709=0),"",YEAR(AC709))</f>
        <v/>
      </c>
      <c r="AE709" s="62" t="str">
        <f>IF(AD709="","",COUNTIFS($AB$6:AB709,AB709,$AD$6:AD709,AD709))</f>
        <v/>
      </c>
      <c r="AF709" s="62">
        <f>IF(A709="",0,COUNTIF(fl_doc,A709))</f>
        <v>0.0</v>
      </c>
      <c r="AG709" s="62" t="str">
        <f>IF(A709="","",IF(AF709&gt;0,"Facture",IF(AND(F709&lt;&gt;"",AA709="Facture",ISNUMBER(MATCH(F709,dv_num,0))),"Devis","")))</f>
        <v/>
      </c>
      <c r="AH709" s="62" t="str">
        <f>IF(AND(A709&lt;&gt;"",F709&lt;&gt;"",AA709&lt;&gt;"Avoir"),F709,"")</f>
        <v/>
      </c>
      <c r="AI709" s="62" t="str">
        <f>IF(AG709="Devis",F709,"")</f>
        <v/>
      </c>
      <c r="AJ709" s="62">
        <f>IF(AG709="Facture",SUMIF(fl_doc,A709,fl_ht),IF(AG709="Devis",SUMIF(dl_doc,F709,dl_ht),0))</f>
        <v>0.0</v>
      </c>
      <c r="AK709" s="62">
        <f>IF(OR(AG709="",INDEX(p_rates,1)=""),0,IF(AG709="Facture",SUMIFS(fl_ht,fl_doc,A709,fl_rate,INDEX(p_rates,1)),SUMIFS(dl_ht,dl_doc,F709,dl_rate,INDEX(p_rates,1))))</f>
        <v>0.0</v>
      </c>
      <c r="AL709" s="62">
        <f>IF(OR(AG709="",INDEX(p_rates,2)=""),0,IF(AG709="Facture",SUMIFS(fl_ht,fl_doc,A709,fl_rate,INDEX(p_rates,2)),SUMIFS(dl_ht,dl_doc,F709,dl_rate,INDEX(p_rates,2))))</f>
        <v>0.0</v>
      </c>
      <c r="AM709" s="62">
        <f>IF(OR(AG709="",INDEX(p_rates,3)=""),0,IF(AG709="Facture",SUMIFS(fl_ht,fl_doc,A709,fl_rate,INDEX(p_rates,3)),SUMIFS(dl_ht,dl_doc,F709,dl_rate,INDEX(p_rates,3))))</f>
        <v>0.0</v>
      </c>
      <c r="AN709" s="62">
        <f>IF(OR(AG709="",INDEX(p_rates,4)=""),0,IF(AG709="Facture",SUMIFS(fl_ht,fl_doc,A709,fl_rate,INDEX(p_rates,4)),SUMIFS(dl_ht,dl_doc,F709,dl_rate,INDEX(p_rates,4))))</f>
        <v>0.0</v>
      </c>
      <c r="AO709" s="62">
        <f>IF(OR(AG709="",INDEX(p_rates,5)=""),0,IF(AG709="Facture",SUMIFS(fl_ht,fl_doc,A709,fl_rate,INDEX(p_rates,5)),SUMIFS(dl_ht,dl_doc,F709,dl_rate,INDEX(p_rates,5))))</f>
        <v>0.0</v>
      </c>
      <c r="AP709" s="62">
        <f>IF(OR(AG709="",INDEX(p_rates,6)=""),0,IF(AG709="Facture",SUMIFS(fl_ht,fl_doc,A709,fl_rate,INDEX(p_rates,6)),SUMIFS(dl_ht,dl_doc,F709,dl_rate,INDEX(p_rates,6))))</f>
        <v>0.0</v>
      </c>
      <c r="AQ709" s="62">
        <f>ROUND(AK709*N(INDEX(p_rates,1)),2)+ROUND(AL709*N(INDEX(p_rates,2)),2)+ROUND(AM709*N(INDEX(p_rates,3)),2)+ROUND(AN709*N(INDEX(p_rates,4)),2)+ROUND(AO709*N(INDEX(p_rates,5)),2)+ROUND(AP709*N(INDEX(p_rates,6)),2)</f>
        <v>0.0</v>
      </c>
      <c r="AR709" s="62" t="str">
        <f>IF(OR(L709="",AA709&lt;&gt;"Facture"),"",IFERROR(IF(INDEX(fa_type,MATCH(L709,fa_num,0))="Facture d'acompte",MATCH(L709,fa_num,0),""),""))</f>
        <v/>
      </c>
      <c r="AS709" s="62" t="str">
        <f>IF(W709="","",IF(W709&lt;=0,"",IF(p_asof-P709&lt;=0,"Non échu",IF(p_asof-P709&lt;=30,"1-30 j",IF(p_asof-P709&lt;=60,"31-60 j",IF(p_asof-P709&lt;=90,"61-90 j","Plus de 90 j"))))))</f>
        <v/>
      </c>
      <c r="AT709" s="62" t="str">
        <f>IF(AS709="","",p_asof-P709)</f>
        <v/>
      </c>
      <c r="AU709" s="62" t="str">
        <f>IF(AT709="","",COUNTIF($AT$6:$AT$805,"&gt;"&amp;AT709)+COUNTIF($AT$6:AT709,AT709))</f>
        <v/>
      </c>
    </row>
    <row r="710">
      <c r="A710" s="59" t="str">
        <f>IF(AE710="","",AB710&amp;"-"&amp;AD710&amp;"-"&amp;RIGHT("000"&amp;AE710,4))</f>
        <v/>
      </c>
      <c r="B710" s="60" t="n"/>
      <c r="C710" s="61" t="n"/>
      <c r="D710" s="60" t="n"/>
      <c r="E710" s="62" t="str">
        <f>IF(D710="","",IFERROR(INDEX(cli_name,MATCH(D710,cli_code,0))&amp;"","Client inconnu"))</f>
        <v/>
      </c>
      <c r="F710" s="60" t="n"/>
      <c r="G710" s="63" t="n"/>
      <c r="H710" s="61" t="n"/>
      <c r="I710" s="63" t="n"/>
      <c r="J710" s="60" t="n"/>
      <c r="K710" s="61" t="n"/>
      <c r="L710" s="60" t="n"/>
      <c r="M710" s="60" t="n"/>
      <c r="N710" s="60" t="n"/>
      <c r="O710" s="61" t="n"/>
      <c r="P710" s="64" t="str">
        <f>IF(A710="","",IF(AA710="Avoir",AC710,IF(ISNUMBER(K710),K710,AC710+IF(D710="",N(p_delay),IFERROR(IF(ISNUMBER(INDEX(cli_delay,MATCH(D710,cli_code,0))),INDEX(cli_delay,MATCH(D710,cli_code,0)),N(p_delay)),N(p_delay))))))</f>
        <v/>
      </c>
      <c r="Q710" s="65" t="str">
        <f>IF(A710="","",IF(AA710="Avoir",-1,1)*ROUND(AJ710-IF(AR710="",0,INDEX(fa_htb,AR710)),2))</f>
        <v/>
      </c>
      <c r="R710" s="65" t="str">
        <f>IF(A710="","",IF(AA710="Avoir",-1,1)*ROUND(AQ710-IF(AR710="",0,INDEX(fa_tvab,AR710)),2))</f>
        <v/>
      </c>
      <c r="S710" s="65" t="str">
        <f>IF(A710="","",Q710+R710)</f>
        <v/>
      </c>
      <c r="T710" s="65" t="str">
        <f>IF(AR710="","",INDEX(fa_htb,AR710)+INDEX(fa_tvab,AR710))</f>
        <v/>
      </c>
      <c r="U710" s="65" t="str">
        <f>IF(A710="","",SUMIF(pa_inv,A710,pa_amt))</f>
        <v/>
      </c>
      <c r="V710" s="65" t="str">
        <f>IF(OR(A710="",AA710="Avoir"),"",-SUMIFS(fa_ttc,fa_avof,A710,fa_type,"Avoir"))</f>
        <v/>
      </c>
      <c r="W710" s="65" t="str">
        <f>IF(OR(A710="",AA710="Avoir"),"",ROUND(S710-U710-V710,2))</f>
        <v/>
      </c>
      <c r="X710" s="66" t="str">
        <f>IF(W710="","",IF(AND(W710&gt;0,p_asof&gt;P710),p_asof-P710,""))</f>
        <v/>
      </c>
      <c r="Y710" s="59" t="str">
        <f>IF(A710="","",IF(AA710="Avoir","Avoir",IF(W710&lt;0,"Trop-perçu",IF(W710=0,"Soldée",IF(p_asof&gt;P710,"En retard",IF(U710+V710&gt;0,"Partielle","À échoir"))))))</f>
        <v/>
      </c>
      <c r="Z710" s="59" t="str">
        <f>IF(NOT(COUNTA(B710:D710,F710:O710)&gt;0),"",IF(C710="","Date manquante",IF(NOT(ISNUMBER(C710)),"Date invalide",IF(D710="","Client manquant",IF(ISNA(MATCH(D710,cli_code,0)),"Client inconnu",IF(AC710&lt;SUMPRODUCT(MAX(($AB$6:AB709=AB710)*$AC$6:AC709)),"Date antérieure à la facture précédente",IF(AND(F710&lt;&gt;"",ISNA(MATCH(F710,dv_num,0))),"Devis inconnu",IF(AND(F710&lt;&gt;"",IFERROR(INDEX(dv_client,MATCH(F710,dv_num,0)),D710)&lt;&gt;D710),"Client différent de celui du devis",IF(AG710="","Aucune ligne : saisissez des lignes ou un devis",IF(AND(AI710&lt;&gt;"",COUNTIF($AI$6:AI710,AI710)&gt;1),"Devis déjà repris par une autre facture",IF(AND(AA710="Avoir",M710=""),"Avoir : indiquez la facture d'origine",IF(AND(AA710="Avoir",ISNA(MATCH(M710,fa_num,0))),"Facture d'origine inconnue",IF(AND(AA710&lt;&gt;"Avoir",M710&lt;&gt;""),"« Avoir sur facture » : réservé aux avoirs",IF(AND(L710&lt;&gt;"",AA710&lt;&gt;"Facture"),"Acompte à déduire : réservé aux factures",IF(AND(L710&lt;&gt;"",ISNA(MATCH(L710,fa_num,0))),"Facture d'acompte inconnue",IF(AND(L710&lt;&gt;"",IFERROR(INDEX(fa_type,MATCH(L710,fa_num,0)),"")&lt;&gt;"Facture d'acompte"),"Le n° à déduire n'est pas une facture d'acompte",IF(AND(L710&lt;&gt;"",COUNTIF($L$6:L710,L710)&gt;1),"Acompte déjà déduit sur une autre facture",IF(AND(L710&lt;&gt;"",IFERROR(INDEX(fa_client,MATCH(L710,fa_num,0)),D710)&lt;&gt;D710),"Acompte d'un autre client",IF(AND(AR710&lt;&gt;"",N(Q710)&lt;0),"Acompte supérieur au total de la facture",IF(IF(AG710="Facture",COUNTIFS(fl_doc,A710,fl_check,"&lt;&gt;OK"),IF(AG710="Devis",COUNTIFS(dl_doc,F710,dl_check,"&lt;&gt;OK"),0))&gt;0,"Ligne(s) à corriger",IF(AND(W710&lt;&gt;"",N(W710)&lt;0),"Trop-perçu : vérifiez paiements et avoirs","OK")))))))))))))))))))))</f>
        <v/>
      </c>
      <c r="AA710" s="62" t="str">
        <f>IF(COUNTA(B710:D710,F710:O710)&gt;0,IF(B710="","Facture",B710),"")</f>
        <v/>
      </c>
      <c r="AB710" s="62" t="str">
        <f>IF(AA710="","",IF(AA710="Avoir",p_pav,IF(AA710="Facture d'acompte",p_pac,p_pfa)))</f>
        <v/>
      </c>
      <c r="AC710" s="62">
        <f>IF(ISNUMBER(C710),C710,0)</f>
        <v>0.0</v>
      </c>
      <c r="AD710" s="62" t="str">
        <f>IF(OR(AA710="",AC710=0),"",YEAR(AC710))</f>
        <v/>
      </c>
      <c r="AE710" s="62" t="str">
        <f>IF(AD710="","",COUNTIFS($AB$6:AB710,AB710,$AD$6:AD710,AD710))</f>
        <v/>
      </c>
      <c r="AF710" s="62">
        <f>IF(A710="",0,COUNTIF(fl_doc,A710))</f>
        <v>0.0</v>
      </c>
      <c r="AG710" s="62" t="str">
        <f>IF(A710="","",IF(AF710&gt;0,"Facture",IF(AND(F710&lt;&gt;"",AA710="Facture",ISNUMBER(MATCH(F710,dv_num,0))),"Devis","")))</f>
        <v/>
      </c>
      <c r="AH710" s="62" t="str">
        <f>IF(AND(A710&lt;&gt;"",F710&lt;&gt;"",AA710&lt;&gt;"Avoir"),F710,"")</f>
        <v/>
      </c>
      <c r="AI710" s="62" t="str">
        <f>IF(AG710="Devis",F710,"")</f>
        <v/>
      </c>
      <c r="AJ710" s="62">
        <f>IF(AG710="Facture",SUMIF(fl_doc,A710,fl_ht),IF(AG710="Devis",SUMIF(dl_doc,F710,dl_ht),0))</f>
        <v>0.0</v>
      </c>
      <c r="AK710" s="62">
        <f>IF(OR(AG710="",INDEX(p_rates,1)=""),0,IF(AG710="Facture",SUMIFS(fl_ht,fl_doc,A710,fl_rate,INDEX(p_rates,1)),SUMIFS(dl_ht,dl_doc,F710,dl_rate,INDEX(p_rates,1))))</f>
        <v>0.0</v>
      </c>
      <c r="AL710" s="62">
        <f>IF(OR(AG710="",INDEX(p_rates,2)=""),0,IF(AG710="Facture",SUMIFS(fl_ht,fl_doc,A710,fl_rate,INDEX(p_rates,2)),SUMIFS(dl_ht,dl_doc,F710,dl_rate,INDEX(p_rates,2))))</f>
        <v>0.0</v>
      </c>
      <c r="AM710" s="62">
        <f>IF(OR(AG710="",INDEX(p_rates,3)=""),0,IF(AG710="Facture",SUMIFS(fl_ht,fl_doc,A710,fl_rate,INDEX(p_rates,3)),SUMIFS(dl_ht,dl_doc,F710,dl_rate,INDEX(p_rates,3))))</f>
        <v>0.0</v>
      </c>
      <c r="AN710" s="62">
        <f>IF(OR(AG710="",INDEX(p_rates,4)=""),0,IF(AG710="Facture",SUMIFS(fl_ht,fl_doc,A710,fl_rate,INDEX(p_rates,4)),SUMIFS(dl_ht,dl_doc,F710,dl_rate,INDEX(p_rates,4))))</f>
        <v>0.0</v>
      </c>
      <c r="AO710" s="62">
        <f>IF(OR(AG710="",INDEX(p_rates,5)=""),0,IF(AG710="Facture",SUMIFS(fl_ht,fl_doc,A710,fl_rate,INDEX(p_rates,5)),SUMIFS(dl_ht,dl_doc,F710,dl_rate,INDEX(p_rates,5))))</f>
        <v>0.0</v>
      </c>
      <c r="AP710" s="62">
        <f>IF(OR(AG710="",INDEX(p_rates,6)=""),0,IF(AG710="Facture",SUMIFS(fl_ht,fl_doc,A710,fl_rate,INDEX(p_rates,6)),SUMIFS(dl_ht,dl_doc,F710,dl_rate,INDEX(p_rates,6))))</f>
        <v>0.0</v>
      </c>
      <c r="AQ710" s="62">
        <f>ROUND(AK710*N(INDEX(p_rates,1)),2)+ROUND(AL710*N(INDEX(p_rates,2)),2)+ROUND(AM710*N(INDEX(p_rates,3)),2)+ROUND(AN710*N(INDEX(p_rates,4)),2)+ROUND(AO710*N(INDEX(p_rates,5)),2)+ROUND(AP710*N(INDEX(p_rates,6)),2)</f>
        <v>0.0</v>
      </c>
      <c r="AR710" s="62" t="str">
        <f>IF(OR(L710="",AA710&lt;&gt;"Facture"),"",IFERROR(IF(INDEX(fa_type,MATCH(L710,fa_num,0))="Facture d'acompte",MATCH(L710,fa_num,0),""),""))</f>
        <v/>
      </c>
      <c r="AS710" s="62" t="str">
        <f>IF(W710="","",IF(W710&lt;=0,"",IF(p_asof-P710&lt;=0,"Non échu",IF(p_asof-P710&lt;=30,"1-30 j",IF(p_asof-P710&lt;=60,"31-60 j",IF(p_asof-P710&lt;=90,"61-90 j","Plus de 90 j"))))))</f>
        <v/>
      </c>
      <c r="AT710" s="62" t="str">
        <f>IF(AS710="","",p_asof-P710)</f>
        <v/>
      </c>
      <c r="AU710" s="62" t="str">
        <f>IF(AT710="","",COUNTIF($AT$6:$AT$805,"&gt;"&amp;AT710)+COUNTIF($AT$6:AT710,AT710))</f>
        <v/>
      </c>
    </row>
    <row r="711">
      <c r="A711" s="59" t="str">
        <f>IF(AE711="","",AB711&amp;"-"&amp;AD711&amp;"-"&amp;RIGHT("000"&amp;AE711,4))</f>
        <v/>
      </c>
      <c r="B711" s="60" t="n"/>
      <c r="C711" s="61" t="n"/>
      <c r="D711" s="60" t="n"/>
      <c r="E711" s="62" t="str">
        <f>IF(D711="","",IFERROR(INDEX(cli_name,MATCH(D711,cli_code,0))&amp;"","Client inconnu"))</f>
        <v/>
      </c>
      <c r="F711" s="60" t="n"/>
      <c r="G711" s="63" t="n"/>
      <c r="H711" s="61" t="n"/>
      <c r="I711" s="63" t="n"/>
      <c r="J711" s="60" t="n"/>
      <c r="K711" s="61" t="n"/>
      <c r="L711" s="60" t="n"/>
      <c r="M711" s="60" t="n"/>
      <c r="N711" s="60" t="n"/>
      <c r="O711" s="61" t="n"/>
      <c r="P711" s="64" t="str">
        <f>IF(A711="","",IF(AA711="Avoir",AC711,IF(ISNUMBER(K711),K711,AC711+IF(D711="",N(p_delay),IFERROR(IF(ISNUMBER(INDEX(cli_delay,MATCH(D711,cli_code,0))),INDEX(cli_delay,MATCH(D711,cli_code,0)),N(p_delay)),N(p_delay))))))</f>
        <v/>
      </c>
      <c r="Q711" s="65" t="str">
        <f>IF(A711="","",IF(AA711="Avoir",-1,1)*ROUND(AJ711-IF(AR711="",0,INDEX(fa_htb,AR711)),2))</f>
        <v/>
      </c>
      <c r="R711" s="65" t="str">
        <f>IF(A711="","",IF(AA711="Avoir",-1,1)*ROUND(AQ711-IF(AR711="",0,INDEX(fa_tvab,AR711)),2))</f>
        <v/>
      </c>
      <c r="S711" s="65" t="str">
        <f>IF(A711="","",Q711+R711)</f>
        <v/>
      </c>
      <c r="T711" s="65" t="str">
        <f>IF(AR711="","",INDEX(fa_htb,AR711)+INDEX(fa_tvab,AR711))</f>
        <v/>
      </c>
      <c r="U711" s="65" t="str">
        <f>IF(A711="","",SUMIF(pa_inv,A711,pa_amt))</f>
        <v/>
      </c>
      <c r="V711" s="65" t="str">
        <f>IF(OR(A711="",AA711="Avoir"),"",-SUMIFS(fa_ttc,fa_avof,A711,fa_type,"Avoir"))</f>
        <v/>
      </c>
      <c r="W711" s="65" t="str">
        <f>IF(OR(A711="",AA711="Avoir"),"",ROUND(S711-U711-V711,2))</f>
        <v/>
      </c>
      <c r="X711" s="66" t="str">
        <f>IF(W711="","",IF(AND(W711&gt;0,p_asof&gt;P711),p_asof-P711,""))</f>
        <v/>
      </c>
      <c r="Y711" s="59" t="str">
        <f>IF(A711="","",IF(AA711="Avoir","Avoir",IF(W711&lt;0,"Trop-perçu",IF(W711=0,"Soldée",IF(p_asof&gt;P711,"En retard",IF(U711+V711&gt;0,"Partielle","À échoir"))))))</f>
        <v/>
      </c>
      <c r="Z711" s="59" t="str">
        <f>IF(NOT(COUNTA(B711:D711,F711:O711)&gt;0),"",IF(C711="","Date manquante",IF(NOT(ISNUMBER(C711)),"Date invalide",IF(D711="","Client manquant",IF(ISNA(MATCH(D711,cli_code,0)),"Client inconnu",IF(AC711&lt;SUMPRODUCT(MAX(($AB$6:AB710=AB711)*$AC$6:AC710)),"Date antérieure à la facture précédente",IF(AND(F711&lt;&gt;"",ISNA(MATCH(F711,dv_num,0))),"Devis inconnu",IF(AND(F711&lt;&gt;"",IFERROR(INDEX(dv_client,MATCH(F711,dv_num,0)),D711)&lt;&gt;D711),"Client différent de celui du devis",IF(AG711="","Aucune ligne : saisissez des lignes ou un devis",IF(AND(AI711&lt;&gt;"",COUNTIF($AI$6:AI711,AI711)&gt;1),"Devis déjà repris par une autre facture",IF(AND(AA711="Avoir",M711=""),"Avoir : indiquez la facture d'origine",IF(AND(AA711="Avoir",ISNA(MATCH(M711,fa_num,0))),"Facture d'origine inconnue",IF(AND(AA711&lt;&gt;"Avoir",M711&lt;&gt;""),"« Avoir sur facture » : réservé aux avoirs",IF(AND(L711&lt;&gt;"",AA711&lt;&gt;"Facture"),"Acompte à déduire : réservé aux factures",IF(AND(L711&lt;&gt;"",ISNA(MATCH(L711,fa_num,0))),"Facture d'acompte inconnue",IF(AND(L711&lt;&gt;"",IFERROR(INDEX(fa_type,MATCH(L711,fa_num,0)),"")&lt;&gt;"Facture d'acompte"),"Le n° à déduire n'est pas une facture d'acompte",IF(AND(L711&lt;&gt;"",COUNTIF($L$6:L711,L711)&gt;1),"Acompte déjà déduit sur une autre facture",IF(AND(L711&lt;&gt;"",IFERROR(INDEX(fa_client,MATCH(L711,fa_num,0)),D711)&lt;&gt;D711),"Acompte d'un autre client",IF(AND(AR711&lt;&gt;"",N(Q711)&lt;0),"Acompte supérieur au total de la facture",IF(IF(AG711="Facture",COUNTIFS(fl_doc,A711,fl_check,"&lt;&gt;OK"),IF(AG711="Devis",COUNTIFS(dl_doc,F711,dl_check,"&lt;&gt;OK"),0))&gt;0,"Ligne(s) à corriger",IF(AND(W711&lt;&gt;"",N(W711)&lt;0),"Trop-perçu : vérifiez paiements et avoirs","OK")))))))))))))))))))))</f>
        <v/>
      </c>
      <c r="AA711" s="62" t="str">
        <f>IF(COUNTA(B711:D711,F711:O711)&gt;0,IF(B711="","Facture",B711),"")</f>
        <v/>
      </c>
      <c r="AB711" s="62" t="str">
        <f>IF(AA711="","",IF(AA711="Avoir",p_pav,IF(AA711="Facture d'acompte",p_pac,p_pfa)))</f>
        <v/>
      </c>
      <c r="AC711" s="62">
        <f>IF(ISNUMBER(C711),C711,0)</f>
        <v>0.0</v>
      </c>
      <c r="AD711" s="62" t="str">
        <f>IF(OR(AA711="",AC711=0),"",YEAR(AC711))</f>
        <v/>
      </c>
      <c r="AE711" s="62" t="str">
        <f>IF(AD711="","",COUNTIFS($AB$6:AB711,AB711,$AD$6:AD711,AD711))</f>
        <v/>
      </c>
      <c r="AF711" s="62">
        <f>IF(A711="",0,COUNTIF(fl_doc,A711))</f>
        <v>0.0</v>
      </c>
      <c r="AG711" s="62" t="str">
        <f>IF(A711="","",IF(AF711&gt;0,"Facture",IF(AND(F711&lt;&gt;"",AA711="Facture",ISNUMBER(MATCH(F711,dv_num,0))),"Devis","")))</f>
        <v/>
      </c>
      <c r="AH711" s="62" t="str">
        <f>IF(AND(A711&lt;&gt;"",F711&lt;&gt;"",AA711&lt;&gt;"Avoir"),F711,"")</f>
        <v/>
      </c>
      <c r="AI711" s="62" t="str">
        <f>IF(AG711="Devis",F711,"")</f>
        <v/>
      </c>
      <c r="AJ711" s="62">
        <f>IF(AG711="Facture",SUMIF(fl_doc,A711,fl_ht),IF(AG711="Devis",SUMIF(dl_doc,F711,dl_ht),0))</f>
        <v>0.0</v>
      </c>
      <c r="AK711" s="62">
        <f>IF(OR(AG711="",INDEX(p_rates,1)=""),0,IF(AG711="Facture",SUMIFS(fl_ht,fl_doc,A711,fl_rate,INDEX(p_rates,1)),SUMIFS(dl_ht,dl_doc,F711,dl_rate,INDEX(p_rates,1))))</f>
        <v>0.0</v>
      </c>
      <c r="AL711" s="62">
        <f>IF(OR(AG711="",INDEX(p_rates,2)=""),0,IF(AG711="Facture",SUMIFS(fl_ht,fl_doc,A711,fl_rate,INDEX(p_rates,2)),SUMIFS(dl_ht,dl_doc,F711,dl_rate,INDEX(p_rates,2))))</f>
        <v>0.0</v>
      </c>
      <c r="AM711" s="62">
        <f>IF(OR(AG711="",INDEX(p_rates,3)=""),0,IF(AG711="Facture",SUMIFS(fl_ht,fl_doc,A711,fl_rate,INDEX(p_rates,3)),SUMIFS(dl_ht,dl_doc,F711,dl_rate,INDEX(p_rates,3))))</f>
        <v>0.0</v>
      </c>
      <c r="AN711" s="62">
        <f>IF(OR(AG711="",INDEX(p_rates,4)=""),0,IF(AG711="Facture",SUMIFS(fl_ht,fl_doc,A711,fl_rate,INDEX(p_rates,4)),SUMIFS(dl_ht,dl_doc,F711,dl_rate,INDEX(p_rates,4))))</f>
        <v>0.0</v>
      </c>
      <c r="AO711" s="62">
        <f>IF(OR(AG711="",INDEX(p_rates,5)=""),0,IF(AG711="Facture",SUMIFS(fl_ht,fl_doc,A711,fl_rate,INDEX(p_rates,5)),SUMIFS(dl_ht,dl_doc,F711,dl_rate,INDEX(p_rates,5))))</f>
        <v>0.0</v>
      </c>
      <c r="AP711" s="62">
        <f>IF(OR(AG711="",INDEX(p_rates,6)=""),0,IF(AG711="Facture",SUMIFS(fl_ht,fl_doc,A711,fl_rate,INDEX(p_rates,6)),SUMIFS(dl_ht,dl_doc,F711,dl_rate,INDEX(p_rates,6))))</f>
        <v>0.0</v>
      </c>
      <c r="AQ711" s="62">
        <f>ROUND(AK711*N(INDEX(p_rates,1)),2)+ROUND(AL711*N(INDEX(p_rates,2)),2)+ROUND(AM711*N(INDEX(p_rates,3)),2)+ROUND(AN711*N(INDEX(p_rates,4)),2)+ROUND(AO711*N(INDEX(p_rates,5)),2)+ROUND(AP711*N(INDEX(p_rates,6)),2)</f>
        <v>0.0</v>
      </c>
      <c r="AR711" s="62" t="str">
        <f>IF(OR(L711="",AA711&lt;&gt;"Facture"),"",IFERROR(IF(INDEX(fa_type,MATCH(L711,fa_num,0))="Facture d'acompte",MATCH(L711,fa_num,0),""),""))</f>
        <v/>
      </c>
      <c r="AS711" s="62" t="str">
        <f>IF(W711="","",IF(W711&lt;=0,"",IF(p_asof-P711&lt;=0,"Non échu",IF(p_asof-P711&lt;=30,"1-30 j",IF(p_asof-P711&lt;=60,"31-60 j",IF(p_asof-P711&lt;=90,"61-90 j","Plus de 90 j"))))))</f>
        <v/>
      </c>
      <c r="AT711" s="62" t="str">
        <f>IF(AS711="","",p_asof-P711)</f>
        <v/>
      </c>
      <c r="AU711" s="62" t="str">
        <f>IF(AT711="","",COUNTIF($AT$6:$AT$805,"&gt;"&amp;AT711)+COUNTIF($AT$6:AT711,AT711))</f>
        <v/>
      </c>
    </row>
    <row r="712">
      <c r="A712" s="59" t="str">
        <f>IF(AE712="","",AB712&amp;"-"&amp;AD712&amp;"-"&amp;RIGHT("000"&amp;AE712,4))</f>
        <v/>
      </c>
      <c r="B712" s="60" t="n"/>
      <c r="C712" s="61" t="n"/>
      <c r="D712" s="60" t="n"/>
      <c r="E712" s="62" t="str">
        <f>IF(D712="","",IFERROR(INDEX(cli_name,MATCH(D712,cli_code,0))&amp;"","Client inconnu"))</f>
        <v/>
      </c>
      <c r="F712" s="60" t="n"/>
      <c r="G712" s="63" t="n"/>
      <c r="H712" s="61" t="n"/>
      <c r="I712" s="63" t="n"/>
      <c r="J712" s="60" t="n"/>
      <c r="K712" s="61" t="n"/>
      <c r="L712" s="60" t="n"/>
      <c r="M712" s="60" t="n"/>
      <c r="N712" s="60" t="n"/>
      <c r="O712" s="61" t="n"/>
      <c r="P712" s="64" t="str">
        <f>IF(A712="","",IF(AA712="Avoir",AC712,IF(ISNUMBER(K712),K712,AC712+IF(D712="",N(p_delay),IFERROR(IF(ISNUMBER(INDEX(cli_delay,MATCH(D712,cli_code,0))),INDEX(cli_delay,MATCH(D712,cli_code,0)),N(p_delay)),N(p_delay))))))</f>
        <v/>
      </c>
      <c r="Q712" s="65" t="str">
        <f>IF(A712="","",IF(AA712="Avoir",-1,1)*ROUND(AJ712-IF(AR712="",0,INDEX(fa_htb,AR712)),2))</f>
        <v/>
      </c>
      <c r="R712" s="65" t="str">
        <f>IF(A712="","",IF(AA712="Avoir",-1,1)*ROUND(AQ712-IF(AR712="",0,INDEX(fa_tvab,AR712)),2))</f>
        <v/>
      </c>
      <c r="S712" s="65" t="str">
        <f>IF(A712="","",Q712+R712)</f>
        <v/>
      </c>
      <c r="T712" s="65" t="str">
        <f>IF(AR712="","",INDEX(fa_htb,AR712)+INDEX(fa_tvab,AR712))</f>
        <v/>
      </c>
      <c r="U712" s="65" t="str">
        <f>IF(A712="","",SUMIF(pa_inv,A712,pa_amt))</f>
        <v/>
      </c>
      <c r="V712" s="65" t="str">
        <f>IF(OR(A712="",AA712="Avoir"),"",-SUMIFS(fa_ttc,fa_avof,A712,fa_type,"Avoir"))</f>
        <v/>
      </c>
      <c r="W712" s="65" t="str">
        <f>IF(OR(A712="",AA712="Avoir"),"",ROUND(S712-U712-V712,2))</f>
        <v/>
      </c>
      <c r="X712" s="66" t="str">
        <f>IF(W712="","",IF(AND(W712&gt;0,p_asof&gt;P712),p_asof-P712,""))</f>
        <v/>
      </c>
      <c r="Y712" s="59" t="str">
        <f>IF(A712="","",IF(AA712="Avoir","Avoir",IF(W712&lt;0,"Trop-perçu",IF(W712=0,"Soldée",IF(p_asof&gt;P712,"En retard",IF(U712+V712&gt;0,"Partielle","À échoir"))))))</f>
        <v/>
      </c>
      <c r="Z712" s="59" t="str">
        <f>IF(NOT(COUNTA(B712:D712,F712:O712)&gt;0),"",IF(C712="","Date manquante",IF(NOT(ISNUMBER(C712)),"Date invalide",IF(D712="","Client manquant",IF(ISNA(MATCH(D712,cli_code,0)),"Client inconnu",IF(AC712&lt;SUMPRODUCT(MAX(($AB$6:AB711=AB712)*$AC$6:AC711)),"Date antérieure à la facture précédente",IF(AND(F712&lt;&gt;"",ISNA(MATCH(F712,dv_num,0))),"Devis inconnu",IF(AND(F712&lt;&gt;"",IFERROR(INDEX(dv_client,MATCH(F712,dv_num,0)),D712)&lt;&gt;D712),"Client différent de celui du devis",IF(AG712="","Aucune ligne : saisissez des lignes ou un devis",IF(AND(AI712&lt;&gt;"",COUNTIF($AI$6:AI712,AI712)&gt;1),"Devis déjà repris par une autre facture",IF(AND(AA712="Avoir",M712=""),"Avoir : indiquez la facture d'origine",IF(AND(AA712="Avoir",ISNA(MATCH(M712,fa_num,0))),"Facture d'origine inconnue",IF(AND(AA712&lt;&gt;"Avoir",M712&lt;&gt;""),"« Avoir sur facture » : réservé aux avoirs",IF(AND(L712&lt;&gt;"",AA712&lt;&gt;"Facture"),"Acompte à déduire : réservé aux factures",IF(AND(L712&lt;&gt;"",ISNA(MATCH(L712,fa_num,0))),"Facture d'acompte inconnue",IF(AND(L712&lt;&gt;"",IFERROR(INDEX(fa_type,MATCH(L712,fa_num,0)),"")&lt;&gt;"Facture d'acompte"),"Le n° à déduire n'est pas une facture d'acompte",IF(AND(L712&lt;&gt;"",COUNTIF($L$6:L712,L712)&gt;1),"Acompte déjà déduit sur une autre facture",IF(AND(L712&lt;&gt;"",IFERROR(INDEX(fa_client,MATCH(L712,fa_num,0)),D712)&lt;&gt;D712),"Acompte d'un autre client",IF(AND(AR712&lt;&gt;"",N(Q712)&lt;0),"Acompte supérieur au total de la facture",IF(IF(AG712="Facture",COUNTIFS(fl_doc,A712,fl_check,"&lt;&gt;OK"),IF(AG712="Devis",COUNTIFS(dl_doc,F712,dl_check,"&lt;&gt;OK"),0))&gt;0,"Ligne(s) à corriger",IF(AND(W712&lt;&gt;"",N(W712)&lt;0),"Trop-perçu : vérifiez paiements et avoirs","OK")))))))))))))))))))))</f>
        <v/>
      </c>
      <c r="AA712" s="62" t="str">
        <f>IF(COUNTA(B712:D712,F712:O712)&gt;0,IF(B712="","Facture",B712),"")</f>
        <v/>
      </c>
      <c r="AB712" s="62" t="str">
        <f>IF(AA712="","",IF(AA712="Avoir",p_pav,IF(AA712="Facture d'acompte",p_pac,p_pfa)))</f>
        <v/>
      </c>
      <c r="AC712" s="62">
        <f>IF(ISNUMBER(C712),C712,0)</f>
        <v>0.0</v>
      </c>
      <c r="AD712" s="62" t="str">
        <f>IF(OR(AA712="",AC712=0),"",YEAR(AC712))</f>
        <v/>
      </c>
      <c r="AE712" s="62" t="str">
        <f>IF(AD712="","",COUNTIFS($AB$6:AB712,AB712,$AD$6:AD712,AD712))</f>
        <v/>
      </c>
      <c r="AF712" s="62">
        <f>IF(A712="",0,COUNTIF(fl_doc,A712))</f>
        <v>0.0</v>
      </c>
      <c r="AG712" s="62" t="str">
        <f>IF(A712="","",IF(AF712&gt;0,"Facture",IF(AND(F712&lt;&gt;"",AA712="Facture",ISNUMBER(MATCH(F712,dv_num,0))),"Devis","")))</f>
        <v/>
      </c>
      <c r="AH712" s="62" t="str">
        <f>IF(AND(A712&lt;&gt;"",F712&lt;&gt;"",AA712&lt;&gt;"Avoir"),F712,"")</f>
        <v/>
      </c>
      <c r="AI712" s="62" t="str">
        <f>IF(AG712="Devis",F712,"")</f>
        <v/>
      </c>
      <c r="AJ712" s="62">
        <f>IF(AG712="Facture",SUMIF(fl_doc,A712,fl_ht),IF(AG712="Devis",SUMIF(dl_doc,F712,dl_ht),0))</f>
        <v>0.0</v>
      </c>
      <c r="AK712" s="62">
        <f>IF(OR(AG712="",INDEX(p_rates,1)=""),0,IF(AG712="Facture",SUMIFS(fl_ht,fl_doc,A712,fl_rate,INDEX(p_rates,1)),SUMIFS(dl_ht,dl_doc,F712,dl_rate,INDEX(p_rates,1))))</f>
        <v>0.0</v>
      </c>
      <c r="AL712" s="62">
        <f>IF(OR(AG712="",INDEX(p_rates,2)=""),0,IF(AG712="Facture",SUMIFS(fl_ht,fl_doc,A712,fl_rate,INDEX(p_rates,2)),SUMIFS(dl_ht,dl_doc,F712,dl_rate,INDEX(p_rates,2))))</f>
        <v>0.0</v>
      </c>
      <c r="AM712" s="62">
        <f>IF(OR(AG712="",INDEX(p_rates,3)=""),0,IF(AG712="Facture",SUMIFS(fl_ht,fl_doc,A712,fl_rate,INDEX(p_rates,3)),SUMIFS(dl_ht,dl_doc,F712,dl_rate,INDEX(p_rates,3))))</f>
        <v>0.0</v>
      </c>
      <c r="AN712" s="62">
        <f>IF(OR(AG712="",INDEX(p_rates,4)=""),0,IF(AG712="Facture",SUMIFS(fl_ht,fl_doc,A712,fl_rate,INDEX(p_rates,4)),SUMIFS(dl_ht,dl_doc,F712,dl_rate,INDEX(p_rates,4))))</f>
        <v>0.0</v>
      </c>
      <c r="AO712" s="62">
        <f>IF(OR(AG712="",INDEX(p_rates,5)=""),0,IF(AG712="Facture",SUMIFS(fl_ht,fl_doc,A712,fl_rate,INDEX(p_rates,5)),SUMIFS(dl_ht,dl_doc,F712,dl_rate,INDEX(p_rates,5))))</f>
        <v>0.0</v>
      </c>
      <c r="AP712" s="62">
        <f>IF(OR(AG712="",INDEX(p_rates,6)=""),0,IF(AG712="Facture",SUMIFS(fl_ht,fl_doc,A712,fl_rate,INDEX(p_rates,6)),SUMIFS(dl_ht,dl_doc,F712,dl_rate,INDEX(p_rates,6))))</f>
        <v>0.0</v>
      </c>
      <c r="AQ712" s="62">
        <f>ROUND(AK712*N(INDEX(p_rates,1)),2)+ROUND(AL712*N(INDEX(p_rates,2)),2)+ROUND(AM712*N(INDEX(p_rates,3)),2)+ROUND(AN712*N(INDEX(p_rates,4)),2)+ROUND(AO712*N(INDEX(p_rates,5)),2)+ROUND(AP712*N(INDEX(p_rates,6)),2)</f>
        <v>0.0</v>
      </c>
      <c r="AR712" s="62" t="str">
        <f>IF(OR(L712="",AA712&lt;&gt;"Facture"),"",IFERROR(IF(INDEX(fa_type,MATCH(L712,fa_num,0))="Facture d'acompte",MATCH(L712,fa_num,0),""),""))</f>
        <v/>
      </c>
      <c r="AS712" s="62" t="str">
        <f>IF(W712="","",IF(W712&lt;=0,"",IF(p_asof-P712&lt;=0,"Non échu",IF(p_asof-P712&lt;=30,"1-30 j",IF(p_asof-P712&lt;=60,"31-60 j",IF(p_asof-P712&lt;=90,"61-90 j","Plus de 90 j"))))))</f>
        <v/>
      </c>
      <c r="AT712" s="62" t="str">
        <f>IF(AS712="","",p_asof-P712)</f>
        <v/>
      </c>
      <c r="AU712" s="62" t="str">
        <f>IF(AT712="","",COUNTIF($AT$6:$AT$805,"&gt;"&amp;AT712)+COUNTIF($AT$6:AT712,AT712))</f>
        <v/>
      </c>
    </row>
    <row r="713">
      <c r="A713" s="59" t="str">
        <f>IF(AE713="","",AB713&amp;"-"&amp;AD713&amp;"-"&amp;RIGHT("000"&amp;AE713,4))</f>
        <v/>
      </c>
      <c r="B713" s="60" t="n"/>
      <c r="C713" s="61" t="n"/>
      <c r="D713" s="60" t="n"/>
      <c r="E713" s="62" t="str">
        <f>IF(D713="","",IFERROR(INDEX(cli_name,MATCH(D713,cli_code,0))&amp;"","Client inconnu"))</f>
        <v/>
      </c>
      <c r="F713" s="60" t="n"/>
      <c r="G713" s="63" t="n"/>
      <c r="H713" s="61" t="n"/>
      <c r="I713" s="63" t="n"/>
      <c r="J713" s="60" t="n"/>
      <c r="K713" s="61" t="n"/>
      <c r="L713" s="60" t="n"/>
      <c r="M713" s="60" t="n"/>
      <c r="N713" s="60" t="n"/>
      <c r="O713" s="61" t="n"/>
      <c r="P713" s="64" t="str">
        <f>IF(A713="","",IF(AA713="Avoir",AC713,IF(ISNUMBER(K713),K713,AC713+IF(D713="",N(p_delay),IFERROR(IF(ISNUMBER(INDEX(cli_delay,MATCH(D713,cli_code,0))),INDEX(cli_delay,MATCH(D713,cli_code,0)),N(p_delay)),N(p_delay))))))</f>
        <v/>
      </c>
      <c r="Q713" s="65" t="str">
        <f>IF(A713="","",IF(AA713="Avoir",-1,1)*ROUND(AJ713-IF(AR713="",0,INDEX(fa_htb,AR713)),2))</f>
        <v/>
      </c>
      <c r="R713" s="65" t="str">
        <f>IF(A713="","",IF(AA713="Avoir",-1,1)*ROUND(AQ713-IF(AR713="",0,INDEX(fa_tvab,AR713)),2))</f>
        <v/>
      </c>
      <c r="S713" s="65" t="str">
        <f>IF(A713="","",Q713+R713)</f>
        <v/>
      </c>
      <c r="T713" s="65" t="str">
        <f>IF(AR713="","",INDEX(fa_htb,AR713)+INDEX(fa_tvab,AR713))</f>
        <v/>
      </c>
      <c r="U713" s="65" t="str">
        <f>IF(A713="","",SUMIF(pa_inv,A713,pa_amt))</f>
        <v/>
      </c>
      <c r="V713" s="65" t="str">
        <f>IF(OR(A713="",AA713="Avoir"),"",-SUMIFS(fa_ttc,fa_avof,A713,fa_type,"Avoir"))</f>
        <v/>
      </c>
      <c r="W713" s="65" t="str">
        <f>IF(OR(A713="",AA713="Avoir"),"",ROUND(S713-U713-V713,2))</f>
        <v/>
      </c>
      <c r="X713" s="66" t="str">
        <f>IF(W713="","",IF(AND(W713&gt;0,p_asof&gt;P713),p_asof-P713,""))</f>
        <v/>
      </c>
      <c r="Y713" s="59" t="str">
        <f>IF(A713="","",IF(AA713="Avoir","Avoir",IF(W713&lt;0,"Trop-perçu",IF(W713=0,"Soldée",IF(p_asof&gt;P713,"En retard",IF(U713+V713&gt;0,"Partielle","À échoir"))))))</f>
        <v/>
      </c>
      <c r="Z713" s="59" t="str">
        <f>IF(NOT(COUNTA(B713:D713,F713:O713)&gt;0),"",IF(C713="","Date manquante",IF(NOT(ISNUMBER(C713)),"Date invalide",IF(D713="","Client manquant",IF(ISNA(MATCH(D713,cli_code,0)),"Client inconnu",IF(AC713&lt;SUMPRODUCT(MAX(($AB$6:AB712=AB713)*$AC$6:AC712)),"Date antérieure à la facture précédente",IF(AND(F713&lt;&gt;"",ISNA(MATCH(F713,dv_num,0))),"Devis inconnu",IF(AND(F713&lt;&gt;"",IFERROR(INDEX(dv_client,MATCH(F713,dv_num,0)),D713)&lt;&gt;D713),"Client différent de celui du devis",IF(AG713="","Aucune ligne : saisissez des lignes ou un devis",IF(AND(AI713&lt;&gt;"",COUNTIF($AI$6:AI713,AI713)&gt;1),"Devis déjà repris par une autre facture",IF(AND(AA713="Avoir",M713=""),"Avoir : indiquez la facture d'origine",IF(AND(AA713="Avoir",ISNA(MATCH(M713,fa_num,0))),"Facture d'origine inconnue",IF(AND(AA713&lt;&gt;"Avoir",M713&lt;&gt;""),"« Avoir sur facture » : réservé aux avoirs",IF(AND(L713&lt;&gt;"",AA713&lt;&gt;"Facture"),"Acompte à déduire : réservé aux factures",IF(AND(L713&lt;&gt;"",ISNA(MATCH(L713,fa_num,0))),"Facture d'acompte inconnue",IF(AND(L713&lt;&gt;"",IFERROR(INDEX(fa_type,MATCH(L713,fa_num,0)),"")&lt;&gt;"Facture d'acompte"),"Le n° à déduire n'est pas une facture d'acompte",IF(AND(L713&lt;&gt;"",COUNTIF($L$6:L713,L713)&gt;1),"Acompte déjà déduit sur une autre facture",IF(AND(L713&lt;&gt;"",IFERROR(INDEX(fa_client,MATCH(L713,fa_num,0)),D713)&lt;&gt;D713),"Acompte d'un autre client",IF(AND(AR713&lt;&gt;"",N(Q713)&lt;0),"Acompte supérieur au total de la facture",IF(IF(AG713="Facture",COUNTIFS(fl_doc,A713,fl_check,"&lt;&gt;OK"),IF(AG713="Devis",COUNTIFS(dl_doc,F713,dl_check,"&lt;&gt;OK"),0))&gt;0,"Ligne(s) à corriger",IF(AND(W713&lt;&gt;"",N(W713)&lt;0),"Trop-perçu : vérifiez paiements et avoirs","OK")))))))))))))))))))))</f>
        <v/>
      </c>
      <c r="AA713" s="62" t="str">
        <f>IF(COUNTA(B713:D713,F713:O713)&gt;0,IF(B713="","Facture",B713),"")</f>
        <v/>
      </c>
      <c r="AB713" s="62" t="str">
        <f>IF(AA713="","",IF(AA713="Avoir",p_pav,IF(AA713="Facture d'acompte",p_pac,p_pfa)))</f>
        <v/>
      </c>
      <c r="AC713" s="62">
        <f>IF(ISNUMBER(C713),C713,0)</f>
        <v>0.0</v>
      </c>
      <c r="AD713" s="62" t="str">
        <f>IF(OR(AA713="",AC713=0),"",YEAR(AC713))</f>
        <v/>
      </c>
      <c r="AE713" s="62" t="str">
        <f>IF(AD713="","",COUNTIFS($AB$6:AB713,AB713,$AD$6:AD713,AD713))</f>
        <v/>
      </c>
      <c r="AF713" s="62">
        <f>IF(A713="",0,COUNTIF(fl_doc,A713))</f>
        <v>0.0</v>
      </c>
      <c r="AG713" s="62" t="str">
        <f>IF(A713="","",IF(AF713&gt;0,"Facture",IF(AND(F713&lt;&gt;"",AA713="Facture",ISNUMBER(MATCH(F713,dv_num,0))),"Devis","")))</f>
        <v/>
      </c>
      <c r="AH713" s="62" t="str">
        <f>IF(AND(A713&lt;&gt;"",F713&lt;&gt;"",AA713&lt;&gt;"Avoir"),F713,"")</f>
        <v/>
      </c>
      <c r="AI713" s="62" t="str">
        <f>IF(AG713="Devis",F713,"")</f>
        <v/>
      </c>
      <c r="AJ713" s="62">
        <f>IF(AG713="Facture",SUMIF(fl_doc,A713,fl_ht),IF(AG713="Devis",SUMIF(dl_doc,F713,dl_ht),0))</f>
        <v>0.0</v>
      </c>
      <c r="AK713" s="62">
        <f>IF(OR(AG713="",INDEX(p_rates,1)=""),0,IF(AG713="Facture",SUMIFS(fl_ht,fl_doc,A713,fl_rate,INDEX(p_rates,1)),SUMIFS(dl_ht,dl_doc,F713,dl_rate,INDEX(p_rates,1))))</f>
        <v>0.0</v>
      </c>
      <c r="AL713" s="62">
        <f>IF(OR(AG713="",INDEX(p_rates,2)=""),0,IF(AG713="Facture",SUMIFS(fl_ht,fl_doc,A713,fl_rate,INDEX(p_rates,2)),SUMIFS(dl_ht,dl_doc,F713,dl_rate,INDEX(p_rates,2))))</f>
        <v>0.0</v>
      </c>
      <c r="AM713" s="62">
        <f>IF(OR(AG713="",INDEX(p_rates,3)=""),0,IF(AG713="Facture",SUMIFS(fl_ht,fl_doc,A713,fl_rate,INDEX(p_rates,3)),SUMIFS(dl_ht,dl_doc,F713,dl_rate,INDEX(p_rates,3))))</f>
        <v>0.0</v>
      </c>
      <c r="AN713" s="62">
        <f>IF(OR(AG713="",INDEX(p_rates,4)=""),0,IF(AG713="Facture",SUMIFS(fl_ht,fl_doc,A713,fl_rate,INDEX(p_rates,4)),SUMIFS(dl_ht,dl_doc,F713,dl_rate,INDEX(p_rates,4))))</f>
        <v>0.0</v>
      </c>
      <c r="AO713" s="62">
        <f>IF(OR(AG713="",INDEX(p_rates,5)=""),0,IF(AG713="Facture",SUMIFS(fl_ht,fl_doc,A713,fl_rate,INDEX(p_rates,5)),SUMIFS(dl_ht,dl_doc,F713,dl_rate,INDEX(p_rates,5))))</f>
        <v>0.0</v>
      </c>
      <c r="AP713" s="62">
        <f>IF(OR(AG713="",INDEX(p_rates,6)=""),0,IF(AG713="Facture",SUMIFS(fl_ht,fl_doc,A713,fl_rate,INDEX(p_rates,6)),SUMIFS(dl_ht,dl_doc,F713,dl_rate,INDEX(p_rates,6))))</f>
        <v>0.0</v>
      </c>
      <c r="AQ713" s="62">
        <f>ROUND(AK713*N(INDEX(p_rates,1)),2)+ROUND(AL713*N(INDEX(p_rates,2)),2)+ROUND(AM713*N(INDEX(p_rates,3)),2)+ROUND(AN713*N(INDEX(p_rates,4)),2)+ROUND(AO713*N(INDEX(p_rates,5)),2)+ROUND(AP713*N(INDEX(p_rates,6)),2)</f>
        <v>0.0</v>
      </c>
      <c r="AR713" s="62" t="str">
        <f>IF(OR(L713="",AA713&lt;&gt;"Facture"),"",IFERROR(IF(INDEX(fa_type,MATCH(L713,fa_num,0))="Facture d'acompte",MATCH(L713,fa_num,0),""),""))</f>
        <v/>
      </c>
      <c r="AS713" s="62" t="str">
        <f>IF(W713="","",IF(W713&lt;=0,"",IF(p_asof-P713&lt;=0,"Non échu",IF(p_asof-P713&lt;=30,"1-30 j",IF(p_asof-P713&lt;=60,"31-60 j",IF(p_asof-P713&lt;=90,"61-90 j","Plus de 90 j"))))))</f>
        <v/>
      </c>
      <c r="AT713" s="62" t="str">
        <f>IF(AS713="","",p_asof-P713)</f>
        <v/>
      </c>
      <c r="AU713" s="62" t="str">
        <f>IF(AT713="","",COUNTIF($AT$6:$AT$805,"&gt;"&amp;AT713)+COUNTIF($AT$6:AT713,AT713))</f>
        <v/>
      </c>
    </row>
    <row r="714">
      <c r="A714" s="59" t="str">
        <f>IF(AE714="","",AB714&amp;"-"&amp;AD714&amp;"-"&amp;RIGHT("000"&amp;AE714,4))</f>
        <v/>
      </c>
      <c r="B714" s="60" t="n"/>
      <c r="C714" s="61" t="n"/>
      <c r="D714" s="60" t="n"/>
      <c r="E714" s="62" t="str">
        <f>IF(D714="","",IFERROR(INDEX(cli_name,MATCH(D714,cli_code,0))&amp;"","Client inconnu"))</f>
        <v/>
      </c>
      <c r="F714" s="60" t="n"/>
      <c r="G714" s="63" t="n"/>
      <c r="H714" s="61" t="n"/>
      <c r="I714" s="63" t="n"/>
      <c r="J714" s="60" t="n"/>
      <c r="K714" s="61" t="n"/>
      <c r="L714" s="60" t="n"/>
      <c r="M714" s="60" t="n"/>
      <c r="N714" s="60" t="n"/>
      <c r="O714" s="61" t="n"/>
      <c r="P714" s="64" t="str">
        <f>IF(A714="","",IF(AA714="Avoir",AC714,IF(ISNUMBER(K714),K714,AC714+IF(D714="",N(p_delay),IFERROR(IF(ISNUMBER(INDEX(cli_delay,MATCH(D714,cli_code,0))),INDEX(cli_delay,MATCH(D714,cli_code,0)),N(p_delay)),N(p_delay))))))</f>
        <v/>
      </c>
      <c r="Q714" s="65" t="str">
        <f>IF(A714="","",IF(AA714="Avoir",-1,1)*ROUND(AJ714-IF(AR714="",0,INDEX(fa_htb,AR714)),2))</f>
        <v/>
      </c>
      <c r="R714" s="65" t="str">
        <f>IF(A714="","",IF(AA714="Avoir",-1,1)*ROUND(AQ714-IF(AR714="",0,INDEX(fa_tvab,AR714)),2))</f>
        <v/>
      </c>
      <c r="S714" s="65" t="str">
        <f>IF(A714="","",Q714+R714)</f>
        <v/>
      </c>
      <c r="T714" s="65" t="str">
        <f>IF(AR714="","",INDEX(fa_htb,AR714)+INDEX(fa_tvab,AR714))</f>
        <v/>
      </c>
      <c r="U714" s="65" t="str">
        <f>IF(A714="","",SUMIF(pa_inv,A714,pa_amt))</f>
        <v/>
      </c>
      <c r="V714" s="65" t="str">
        <f>IF(OR(A714="",AA714="Avoir"),"",-SUMIFS(fa_ttc,fa_avof,A714,fa_type,"Avoir"))</f>
        <v/>
      </c>
      <c r="W714" s="65" t="str">
        <f>IF(OR(A714="",AA714="Avoir"),"",ROUND(S714-U714-V714,2))</f>
        <v/>
      </c>
      <c r="X714" s="66" t="str">
        <f>IF(W714="","",IF(AND(W714&gt;0,p_asof&gt;P714),p_asof-P714,""))</f>
        <v/>
      </c>
      <c r="Y714" s="59" t="str">
        <f>IF(A714="","",IF(AA714="Avoir","Avoir",IF(W714&lt;0,"Trop-perçu",IF(W714=0,"Soldée",IF(p_asof&gt;P714,"En retard",IF(U714+V714&gt;0,"Partielle","À échoir"))))))</f>
        <v/>
      </c>
      <c r="Z714" s="59" t="str">
        <f>IF(NOT(COUNTA(B714:D714,F714:O714)&gt;0),"",IF(C714="","Date manquante",IF(NOT(ISNUMBER(C714)),"Date invalide",IF(D714="","Client manquant",IF(ISNA(MATCH(D714,cli_code,0)),"Client inconnu",IF(AC714&lt;SUMPRODUCT(MAX(($AB$6:AB713=AB714)*$AC$6:AC713)),"Date antérieure à la facture précédente",IF(AND(F714&lt;&gt;"",ISNA(MATCH(F714,dv_num,0))),"Devis inconnu",IF(AND(F714&lt;&gt;"",IFERROR(INDEX(dv_client,MATCH(F714,dv_num,0)),D714)&lt;&gt;D714),"Client différent de celui du devis",IF(AG714="","Aucune ligne : saisissez des lignes ou un devis",IF(AND(AI714&lt;&gt;"",COUNTIF($AI$6:AI714,AI714)&gt;1),"Devis déjà repris par une autre facture",IF(AND(AA714="Avoir",M714=""),"Avoir : indiquez la facture d'origine",IF(AND(AA714="Avoir",ISNA(MATCH(M714,fa_num,0))),"Facture d'origine inconnue",IF(AND(AA714&lt;&gt;"Avoir",M714&lt;&gt;""),"« Avoir sur facture » : réservé aux avoirs",IF(AND(L714&lt;&gt;"",AA714&lt;&gt;"Facture"),"Acompte à déduire : réservé aux factures",IF(AND(L714&lt;&gt;"",ISNA(MATCH(L714,fa_num,0))),"Facture d'acompte inconnue",IF(AND(L714&lt;&gt;"",IFERROR(INDEX(fa_type,MATCH(L714,fa_num,0)),"")&lt;&gt;"Facture d'acompte"),"Le n° à déduire n'est pas une facture d'acompte",IF(AND(L714&lt;&gt;"",COUNTIF($L$6:L714,L714)&gt;1),"Acompte déjà déduit sur une autre facture",IF(AND(L714&lt;&gt;"",IFERROR(INDEX(fa_client,MATCH(L714,fa_num,0)),D714)&lt;&gt;D714),"Acompte d'un autre client",IF(AND(AR714&lt;&gt;"",N(Q714)&lt;0),"Acompte supérieur au total de la facture",IF(IF(AG714="Facture",COUNTIFS(fl_doc,A714,fl_check,"&lt;&gt;OK"),IF(AG714="Devis",COUNTIFS(dl_doc,F714,dl_check,"&lt;&gt;OK"),0))&gt;0,"Ligne(s) à corriger",IF(AND(W714&lt;&gt;"",N(W714)&lt;0),"Trop-perçu : vérifiez paiements et avoirs","OK")))))))))))))))))))))</f>
        <v/>
      </c>
      <c r="AA714" s="62" t="str">
        <f>IF(COUNTA(B714:D714,F714:O714)&gt;0,IF(B714="","Facture",B714),"")</f>
        <v/>
      </c>
      <c r="AB714" s="62" t="str">
        <f>IF(AA714="","",IF(AA714="Avoir",p_pav,IF(AA714="Facture d'acompte",p_pac,p_pfa)))</f>
        <v/>
      </c>
      <c r="AC714" s="62">
        <f>IF(ISNUMBER(C714),C714,0)</f>
        <v>0.0</v>
      </c>
      <c r="AD714" s="62" t="str">
        <f>IF(OR(AA714="",AC714=0),"",YEAR(AC714))</f>
        <v/>
      </c>
      <c r="AE714" s="62" t="str">
        <f>IF(AD714="","",COUNTIFS($AB$6:AB714,AB714,$AD$6:AD714,AD714))</f>
        <v/>
      </c>
      <c r="AF714" s="62">
        <f>IF(A714="",0,COUNTIF(fl_doc,A714))</f>
        <v>0.0</v>
      </c>
      <c r="AG714" s="62" t="str">
        <f>IF(A714="","",IF(AF714&gt;0,"Facture",IF(AND(F714&lt;&gt;"",AA714="Facture",ISNUMBER(MATCH(F714,dv_num,0))),"Devis","")))</f>
        <v/>
      </c>
      <c r="AH714" s="62" t="str">
        <f>IF(AND(A714&lt;&gt;"",F714&lt;&gt;"",AA714&lt;&gt;"Avoir"),F714,"")</f>
        <v/>
      </c>
      <c r="AI714" s="62" t="str">
        <f>IF(AG714="Devis",F714,"")</f>
        <v/>
      </c>
      <c r="AJ714" s="62">
        <f>IF(AG714="Facture",SUMIF(fl_doc,A714,fl_ht),IF(AG714="Devis",SUMIF(dl_doc,F714,dl_ht),0))</f>
        <v>0.0</v>
      </c>
      <c r="AK714" s="62">
        <f>IF(OR(AG714="",INDEX(p_rates,1)=""),0,IF(AG714="Facture",SUMIFS(fl_ht,fl_doc,A714,fl_rate,INDEX(p_rates,1)),SUMIFS(dl_ht,dl_doc,F714,dl_rate,INDEX(p_rates,1))))</f>
        <v>0.0</v>
      </c>
      <c r="AL714" s="62">
        <f>IF(OR(AG714="",INDEX(p_rates,2)=""),0,IF(AG714="Facture",SUMIFS(fl_ht,fl_doc,A714,fl_rate,INDEX(p_rates,2)),SUMIFS(dl_ht,dl_doc,F714,dl_rate,INDEX(p_rates,2))))</f>
        <v>0.0</v>
      </c>
      <c r="AM714" s="62">
        <f>IF(OR(AG714="",INDEX(p_rates,3)=""),0,IF(AG714="Facture",SUMIFS(fl_ht,fl_doc,A714,fl_rate,INDEX(p_rates,3)),SUMIFS(dl_ht,dl_doc,F714,dl_rate,INDEX(p_rates,3))))</f>
        <v>0.0</v>
      </c>
      <c r="AN714" s="62">
        <f>IF(OR(AG714="",INDEX(p_rates,4)=""),0,IF(AG714="Facture",SUMIFS(fl_ht,fl_doc,A714,fl_rate,INDEX(p_rates,4)),SUMIFS(dl_ht,dl_doc,F714,dl_rate,INDEX(p_rates,4))))</f>
        <v>0.0</v>
      </c>
      <c r="AO714" s="62">
        <f>IF(OR(AG714="",INDEX(p_rates,5)=""),0,IF(AG714="Facture",SUMIFS(fl_ht,fl_doc,A714,fl_rate,INDEX(p_rates,5)),SUMIFS(dl_ht,dl_doc,F714,dl_rate,INDEX(p_rates,5))))</f>
        <v>0.0</v>
      </c>
      <c r="AP714" s="62">
        <f>IF(OR(AG714="",INDEX(p_rates,6)=""),0,IF(AG714="Facture",SUMIFS(fl_ht,fl_doc,A714,fl_rate,INDEX(p_rates,6)),SUMIFS(dl_ht,dl_doc,F714,dl_rate,INDEX(p_rates,6))))</f>
        <v>0.0</v>
      </c>
      <c r="AQ714" s="62">
        <f>ROUND(AK714*N(INDEX(p_rates,1)),2)+ROUND(AL714*N(INDEX(p_rates,2)),2)+ROUND(AM714*N(INDEX(p_rates,3)),2)+ROUND(AN714*N(INDEX(p_rates,4)),2)+ROUND(AO714*N(INDEX(p_rates,5)),2)+ROUND(AP714*N(INDEX(p_rates,6)),2)</f>
        <v>0.0</v>
      </c>
      <c r="AR714" s="62" t="str">
        <f>IF(OR(L714="",AA714&lt;&gt;"Facture"),"",IFERROR(IF(INDEX(fa_type,MATCH(L714,fa_num,0))="Facture d'acompte",MATCH(L714,fa_num,0),""),""))</f>
        <v/>
      </c>
      <c r="AS714" s="62" t="str">
        <f>IF(W714="","",IF(W714&lt;=0,"",IF(p_asof-P714&lt;=0,"Non échu",IF(p_asof-P714&lt;=30,"1-30 j",IF(p_asof-P714&lt;=60,"31-60 j",IF(p_asof-P714&lt;=90,"61-90 j","Plus de 90 j"))))))</f>
        <v/>
      </c>
      <c r="AT714" s="62" t="str">
        <f>IF(AS714="","",p_asof-P714)</f>
        <v/>
      </c>
      <c r="AU714" s="62" t="str">
        <f>IF(AT714="","",COUNTIF($AT$6:$AT$805,"&gt;"&amp;AT714)+COUNTIF($AT$6:AT714,AT714))</f>
        <v/>
      </c>
    </row>
    <row r="715">
      <c r="A715" s="59" t="str">
        <f>IF(AE715="","",AB715&amp;"-"&amp;AD715&amp;"-"&amp;RIGHT("000"&amp;AE715,4))</f>
        <v/>
      </c>
      <c r="B715" s="60" t="n"/>
      <c r="C715" s="61" t="n"/>
      <c r="D715" s="60" t="n"/>
      <c r="E715" s="62" t="str">
        <f>IF(D715="","",IFERROR(INDEX(cli_name,MATCH(D715,cli_code,0))&amp;"","Client inconnu"))</f>
        <v/>
      </c>
      <c r="F715" s="60" t="n"/>
      <c r="G715" s="63" t="n"/>
      <c r="H715" s="61" t="n"/>
      <c r="I715" s="63" t="n"/>
      <c r="J715" s="60" t="n"/>
      <c r="K715" s="61" t="n"/>
      <c r="L715" s="60" t="n"/>
      <c r="M715" s="60" t="n"/>
      <c r="N715" s="60" t="n"/>
      <c r="O715" s="61" t="n"/>
      <c r="P715" s="64" t="str">
        <f>IF(A715="","",IF(AA715="Avoir",AC715,IF(ISNUMBER(K715),K715,AC715+IF(D715="",N(p_delay),IFERROR(IF(ISNUMBER(INDEX(cli_delay,MATCH(D715,cli_code,0))),INDEX(cli_delay,MATCH(D715,cli_code,0)),N(p_delay)),N(p_delay))))))</f>
        <v/>
      </c>
      <c r="Q715" s="65" t="str">
        <f>IF(A715="","",IF(AA715="Avoir",-1,1)*ROUND(AJ715-IF(AR715="",0,INDEX(fa_htb,AR715)),2))</f>
        <v/>
      </c>
      <c r="R715" s="65" t="str">
        <f>IF(A715="","",IF(AA715="Avoir",-1,1)*ROUND(AQ715-IF(AR715="",0,INDEX(fa_tvab,AR715)),2))</f>
        <v/>
      </c>
      <c r="S715" s="65" t="str">
        <f>IF(A715="","",Q715+R715)</f>
        <v/>
      </c>
      <c r="T715" s="65" t="str">
        <f>IF(AR715="","",INDEX(fa_htb,AR715)+INDEX(fa_tvab,AR715))</f>
        <v/>
      </c>
      <c r="U715" s="65" t="str">
        <f>IF(A715="","",SUMIF(pa_inv,A715,pa_amt))</f>
        <v/>
      </c>
      <c r="V715" s="65" t="str">
        <f>IF(OR(A715="",AA715="Avoir"),"",-SUMIFS(fa_ttc,fa_avof,A715,fa_type,"Avoir"))</f>
        <v/>
      </c>
      <c r="W715" s="65" t="str">
        <f>IF(OR(A715="",AA715="Avoir"),"",ROUND(S715-U715-V715,2))</f>
        <v/>
      </c>
      <c r="X715" s="66" t="str">
        <f>IF(W715="","",IF(AND(W715&gt;0,p_asof&gt;P715),p_asof-P715,""))</f>
        <v/>
      </c>
      <c r="Y715" s="59" t="str">
        <f>IF(A715="","",IF(AA715="Avoir","Avoir",IF(W715&lt;0,"Trop-perçu",IF(W715=0,"Soldée",IF(p_asof&gt;P715,"En retard",IF(U715+V715&gt;0,"Partielle","À échoir"))))))</f>
        <v/>
      </c>
      <c r="Z715" s="59" t="str">
        <f>IF(NOT(COUNTA(B715:D715,F715:O715)&gt;0),"",IF(C715="","Date manquante",IF(NOT(ISNUMBER(C715)),"Date invalide",IF(D715="","Client manquant",IF(ISNA(MATCH(D715,cli_code,0)),"Client inconnu",IF(AC715&lt;SUMPRODUCT(MAX(($AB$6:AB714=AB715)*$AC$6:AC714)),"Date antérieure à la facture précédente",IF(AND(F715&lt;&gt;"",ISNA(MATCH(F715,dv_num,0))),"Devis inconnu",IF(AND(F715&lt;&gt;"",IFERROR(INDEX(dv_client,MATCH(F715,dv_num,0)),D715)&lt;&gt;D715),"Client différent de celui du devis",IF(AG715="","Aucune ligne : saisissez des lignes ou un devis",IF(AND(AI715&lt;&gt;"",COUNTIF($AI$6:AI715,AI715)&gt;1),"Devis déjà repris par une autre facture",IF(AND(AA715="Avoir",M715=""),"Avoir : indiquez la facture d'origine",IF(AND(AA715="Avoir",ISNA(MATCH(M715,fa_num,0))),"Facture d'origine inconnue",IF(AND(AA715&lt;&gt;"Avoir",M715&lt;&gt;""),"« Avoir sur facture » : réservé aux avoirs",IF(AND(L715&lt;&gt;"",AA715&lt;&gt;"Facture"),"Acompte à déduire : réservé aux factures",IF(AND(L715&lt;&gt;"",ISNA(MATCH(L715,fa_num,0))),"Facture d'acompte inconnue",IF(AND(L715&lt;&gt;"",IFERROR(INDEX(fa_type,MATCH(L715,fa_num,0)),"")&lt;&gt;"Facture d'acompte"),"Le n° à déduire n'est pas une facture d'acompte",IF(AND(L715&lt;&gt;"",COUNTIF($L$6:L715,L715)&gt;1),"Acompte déjà déduit sur une autre facture",IF(AND(L715&lt;&gt;"",IFERROR(INDEX(fa_client,MATCH(L715,fa_num,0)),D715)&lt;&gt;D715),"Acompte d'un autre client",IF(AND(AR715&lt;&gt;"",N(Q715)&lt;0),"Acompte supérieur au total de la facture",IF(IF(AG715="Facture",COUNTIFS(fl_doc,A715,fl_check,"&lt;&gt;OK"),IF(AG715="Devis",COUNTIFS(dl_doc,F715,dl_check,"&lt;&gt;OK"),0))&gt;0,"Ligne(s) à corriger",IF(AND(W715&lt;&gt;"",N(W715)&lt;0),"Trop-perçu : vérifiez paiements et avoirs","OK")))))))))))))))))))))</f>
        <v/>
      </c>
      <c r="AA715" s="62" t="str">
        <f>IF(COUNTA(B715:D715,F715:O715)&gt;0,IF(B715="","Facture",B715),"")</f>
        <v/>
      </c>
      <c r="AB715" s="62" t="str">
        <f>IF(AA715="","",IF(AA715="Avoir",p_pav,IF(AA715="Facture d'acompte",p_pac,p_pfa)))</f>
        <v/>
      </c>
      <c r="AC715" s="62">
        <f>IF(ISNUMBER(C715),C715,0)</f>
        <v>0.0</v>
      </c>
      <c r="AD715" s="62" t="str">
        <f>IF(OR(AA715="",AC715=0),"",YEAR(AC715))</f>
        <v/>
      </c>
      <c r="AE715" s="62" t="str">
        <f>IF(AD715="","",COUNTIFS($AB$6:AB715,AB715,$AD$6:AD715,AD715))</f>
        <v/>
      </c>
      <c r="AF715" s="62">
        <f>IF(A715="",0,COUNTIF(fl_doc,A715))</f>
        <v>0.0</v>
      </c>
      <c r="AG715" s="62" t="str">
        <f>IF(A715="","",IF(AF715&gt;0,"Facture",IF(AND(F715&lt;&gt;"",AA715="Facture",ISNUMBER(MATCH(F715,dv_num,0))),"Devis","")))</f>
        <v/>
      </c>
      <c r="AH715" s="62" t="str">
        <f>IF(AND(A715&lt;&gt;"",F715&lt;&gt;"",AA715&lt;&gt;"Avoir"),F715,"")</f>
        <v/>
      </c>
      <c r="AI715" s="62" t="str">
        <f>IF(AG715="Devis",F715,"")</f>
        <v/>
      </c>
      <c r="AJ715" s="62">
        <f>IF(AG715="Facture",SUMIF(fl_doc,A715,fl_ht),IF(AG715="Devis",SUMIF(dl_doc,F715,dl_ht),0))</f>
        <v>0.0</v>
      </c>
      <c r="AK715" s="62">
        <f>IF(OR(AG715="",INDEX(p_rates,1)=""),0,IF(AG715="Facture",SUMIFS(fl_ht,fl_doc,A715,fl_rate,INDEX(p_rates,1)),SUMIFS(dl_ht,dl_doc,F715,dl_rate,INDEX(p_rates,1))))</f>
        <v>0.0</v>
      </c>
      <c r="AL715" s="62">
        <f>IF(OR(AG715="",INDEX(p_rates,2)=""),0,IF(AG715="Facture",SUMIFS(fl_ht,fl_doc,A715,fl_rate,INDEX(p_rates,2)),SUMIFS(dl_ht,dl_doc,F715,dl_rate,INDEX(p_rates,2))))</f>
        <v>0.0</v>
      </c>
      <c r="AM715" s="62">
        <f>IF(OR(AG715="",INDEX(p_rates,3)=""),0,IF(AG715="Facture",SUMIFS(fl_ht,fl_doc,A715,fl_rate,INDEX(p_rates,3)),SUMIFS(dl_ht,dl_doc,F715,dl_rate,INDEX(p_rates,3))))</f>
        <v>0.0</v>
      </c>
      <c r="AN715" s="62">
        <f>IF(OR(AG715="",INDEX(p_rates,4)=""),0,IF(AG715="Facture",SUMIFS(fl_ht,fl_doc,A715,fl_rate,INDEX(p_rates,4)),SUMIFS(dl_ht,dl_doc,F715,dl_rate,INDEX(p_rates,4))))</f>
        <v>0.0</v>
      </c>
      <c r="AO715" s="62">
        <f>IF(OR(AG715="",INDEX(p_rates,5)=""),0,IF(AG715="Facture",SUMIFS(fl_ht,fl_doc,A715,fl_rate,INDEX(p_rates,5)),SUMIFS(dl_ht,dl_doc,F715,dl_rate,INDEX(p_rates,5))))</f>
        <v>0.0</v>
      </c>
      <c r="AP715" s="62">
        <f>IF(OR(AG715="",INDEX(p_rates,6)=""),0,IF(AG715="Facture",SUMIFS(fl_ht,fl_doc,A715,fl_rate,INDEX(p_rates,6)),SUMIFS(dl_ht,dl_doc,F715,dl_rate,INDEX(p_rates,6))))</f>
        <v>0.0</v>
      </c>
      <c r="AQ715" s="62">
        <f>ROUND(AK715*N(INDEX(p_rates,1)),2)+ROUND(AL715*N(INDEX(p_rates,2)),2)+ROUND(AM715*N(INDEX(p_rates,3)),2)+ROUND(AN715*N(INDEX(p_rates,4)),2)+ROUND(AO715*N(INDEX(p_rates,5)),2)+ROUND(AP715*N(INDEX(p_rates,6)),2)</f>
        <v>0.0</v>
      </c>
      <c r="AR715" s="62" t="str">
        <f>IF(OR(L715="",AA715&lt;&gt;"Facture"),"",IFERROR(IF(INDEX(fa_type,MATCH(L715,fa_num,0))="Facture d'acompte",MATCH(L715,fa_num,0),""),""))</f>
        <v/>
      </c>
      <c r="AS715" s="62" t="str">
        <f>IF(W715="","",IF(W715&lt;=0,"",IF(p_asof-P715&lt;=0,"Non échu",IF(p_asof-P715&lt;=30,"1-30 j",IF(p_asof-P715&lt;=60,"31-60 j",IF(p_asof-P715&lt;=90,"61-90 j","Plus de 90 j"))))))</f>
        <v/>
      </c>
      <c r="AT715" s="62" t="str">
        <f>IF(AS715="","",p_asof-P715)</f>
        <v/>
      </c>
      <c r="AU715" s="62" t="str">
        <f>IF(AT715="","",COUNTIF($AT$6:$AT$805,"&gt;"&amp;AT715)+COUNTIF($AT$6:AT715,AT715))</f>
        <v/>
      </c>
    </row>
    <row r="716">
      <c r="A716" s="59" t="str">
        <f>IF(AE716="","",AB716&amp;"-"&amp;AD716&amp;"-"&amp;RIGHT("000"&amp;AE716,4))</f>
        <v/>
      </c>
      <c r="B716" s="60" t="n"/>
      <c r="C716" s="61" t="n"/>
      <c r="D716" s="60" t="n"/>
      <c r="E716" s="62" t="str">
        <f>IF(D716="","",IFERROR(INDEX(cli_name,MATCH(D716,cli_code,0))&amp;"","Client inconnu"))</f>
        <v/>
      </c>
      <c r="F716" s="60" t="n"/>
      <c r="G716" s="63" t="n"/>
      <c r="H716" s="61" t="n"/>
      <c r="I716" s="63" t="n"/>
      <c r="J716" s="60" t="n"/>
      <c r="K716" s="61" t="n"/>
      <c r="L716" s="60" t="n"/>
      <c r="M716" s="60" t="n"/>
      <c r="N716" s="60" t="n"/>
      <c r="O716" s="61" t="n"/>
      <c r="P716" s="64" t="str">
        <f>IF(A716="","",IF(AA716="Avoir",AC716,IF(ISNUMBER(K716),K716,AC716+IF(D716="",N(p_delay),IFERROR(IF(ISNUMBER(INDEX(cli_delay,MATCH(D716,cli_code,0))),INDEX(cli_delay,MATCH(D716,cli_code,0)),N(p_delay)),N(p_delay))))))</f>
        <v/>
      </c>
      <c r="Q716" s="65" t="str">
        <f>IF(A716="","",IF(AA716="Avoir",-1,1)*ROUND(AJ716-IF(AR716="",0,INDEX(fa_htb,AR716)),2))</f>
        <v/>
      </c>
      <c r="R716" s="65" t="str">
        <f>IF(A716="","",IF(AA716="Avoir",-1,1)*ROUND(AQ716-IF(AR716="",0,INDEX(fa_tvab,AR716)),2))</f>
        <v/>
      </c>
      <c r="S716" s="65" t="str">
        <f>IF(A716="","",Q716+R716)</f>
        <v/>
      </c>
      <c r="T716" s="65" t="str">
        <f>IF(AR716="","",INDEX(fa_htb,AR716)+INDEX(fa_tvab,AR716))</f>
        <v/>
      </c>
      <c r="U716" s="65" t="str">
        <f>IF(A716="","",SUMIF(pa_inv,A716,pa_amt))</f>
        <v/>
      </c>
      <c r="V716" s="65" t="str">
        <f>IF(OR(A716="",AA716="Avoir"),"",-SUMIFS(fa_ttc,fa_avof,A716,fa_type,"Avoir"))</f>
        <v/>
      </c>
      <c r="W716" s="65" t="str">
        <f>IF(OR(A716="",AA716="Avoir"),"",ROUND(S716-U716-V716,2))</f>
        <v/>
      </c>
      <c r="X716" s="66" t="str">
        <f>IF(W716="","",IF(AND(W716&gt;0,p_asof&gt;P716),p_asof-P716,""))</f>
        <v/>
      </c>
      <c r="Y716" s="59" t="str">
        <f>IF(A716="","",IF(AA716="Avoir","Avoir",IF(W716&lt;0,"Trop-perçu",IF(W716=0,"Soldée",IF(p_asof&gt;P716,"En retard",IF(U716+V716&gt;0,"Partielle","À échoir"))))))</f>
        <v/>
      </c>
      <c r="Z716" s="59" t="str">
        <f>IF(NOT(COUNTA(B716:D716,F716:O716)&gt;0),"",IF(C716="","Date manquante",IF(NOT(ISNUMBER(C716)),"Date invalide",IF(D716="","Client manquant",IF(ISNA(MATCH(D716,cli_code,0)),"Client inconnu",IF(AC716&lt;SUMPRODUCT(MAX(($AB$6:AB715=AB716)*$AC$6:AC715)),"Date antérieure à la facture précédente",IF(AND(F716&lt;&gt;"",ISNA(MATCH(F716,dv_num,0))),"Devis inconnu",IF(AND(F716&lt;&gt;"",IFERROR(INDEX(dv_client,MATCH(F716,dv_num,0)),D716)&lt;&gt;D716),"Client différent de celui du devis",IF(AG716="","Aucune ligne : saisissez des lignes ou un devis",IF(AND(AI716&lt;&gt;"",COUNTIF($AI$6:AI716,AI716)&gt;1),"Devis déjà repris par une autre facture",IF(AND(AA716="Avoir",M716=""),"Avoir : indiquez la facture d'origine",IF(AND(AA716="Avoir",ISNA(MATCH(M716,fa_num,0))),"Facture d'origine inconnue",IF(AND(AA716&lt;&gt;"Avoir",M716&lt;&gt;""),"« Avoir sur facture » : réservé aux avoirs",IF(AND(L716&lt;&gt;"",AA716&lt;&gt;"Facture"),"Acompte à déduire : réservé aux factures",IF(AND(L716&lt;&gt;"",ISNA(MATCH(L716,fa_num,0))),"Facture d'acompte inconnue",IF(AND(L716&lt;&gt;"",IFERROR(INDEX(fa_type,MATCH(L716,fa_num,0)),"")&lt;&gt;"Facture d'acompte"),"Le n° à déduire n'est pas une facture d'acompte",IF(AND(L716&lt;&gt;"",COUNTIF($L$6:L716,L716)&gt;1),"Acompte déjà déduit sur une autre facture",IF(AND(L716&lt;&gt;"",IFERROR(INDEX(fa_client,MATCH(L716,fa_num,0)),D716)&lt;&gt;D716),"Acompte d'un autre client",IF(AND(AR716&lt;&gt;"",N(Q716)&lt;0),"Acompte supérieur au total de la facture",IF(IF(AG716="Facture",COUNTIFS(fl_doc,A716,fl_check,"&lt;&gt;OK"),IF(AG716="Devis",COUNTIFS(dl_doc,F716,dl_check,"&lt;&gt;OK"),0))&gt;0,"Ligne(s) à corriger",IF(AND(W716&lt;&gt;"",N(W716)&lt;0),"Trop-perçu : vérifiez paiements et avoirs","OK")))))))))))))))))))))</f>
        <v/>
      </c>
      <c r="AA716" s="62" t="str">
        <f>IF(COUNTA(B716:D716,F716:O716)&gt;0,IF(B716="","Facture",B716),"")</f>
        <v/>
      </c>
      <c r="AB716" s="62" t="str">
        <f>IF(AA716="","",IF(AA716="Avoir",p_pav,IF(AA716="Facture d'acompte",p_pac,p_pfa)))</f>
        <v/>
      </c>
      <c r="AC716" s="62">
        <f>IF(ISNUMBER(C716),C716,0)</f>
        <v>0.0</v>
      </c>
      <c r="AD716" s="62" t="str">
        <f>IF(OR(AA716="",AC716=0),"",YEAR(AC716))</f>
        <v/>
      </c>
      <c r="AE716" s="62" t="str">
        <f>IF(AD716="","",COUNTIFS($AB$6:AB716,AB716,$AD$6:AD716,AD716))</f>
        <v/>
      </c>
      <c r="AF716" s="62">
        <f>IF(A716="",0,COUNTIF(fl_doc,A716))</f>
        <v>0.0</v>
      </c>
      <c r="AG716" s="62" t="str">
        <f>IF(A716="","",IF(AF716&gt;0,"Facture",IF(AND(F716&lt;&gt;"",AA716="Facture",ISNUMBER(MATCH(F716,dv_num,0))),"Devis","")))</f>
        <v/>
      </c>
      <c r="AH716" s="62" t="str">
        <f>IF(AND(A716&lt;&gt;"",F716&lt;&gt;"",AA716&lt;&gt;"Avoir"),F716,"")</f>
        <v/>
      </c>
      <c r="AI716" s="62" t="str">
        <f>IF(AG716="Devis",F716,"")</f>
        <v/>
      </c>
      <c r="AJ716" s="62">
        <f>IF(AG716="Facture",SUMIF(fl_doc,A716,fl_ht),IF(AG716="Devis",SUMIF(dl_doc,F716,dl_ht),0))</f>
        <v>0.0</v>
      </c>
      <c r="AK716" s="62">
        <f>IF(OR(AG716="",INDEX(p_rates,1)=""),0,IF(AG716="Facture",SUMIFS(fl_ht,fl_doc,A716,fl_rate,INDEX(p_rates,1)),SUMIFS(dl_ht,dl_doc,F716,dl_rate,INDEX(p_rates,1))))</f>
        <v>0.0</v>
      </c>
      <c r="AL716" s="62">
        <f>IF(OR(AG716="",INDEX(p_rates,2)=""),0,IF(AG716="Facture",SUMIFS(fl_ht,fl_doc,A716,fl_rate,INDEX(p_rates,2)),SUMIFS(dl_ht,dl_doc,F716,dl_rate,INDEX(p_rates,2))))</f>
        <v>0.0</v>
      </c>
      <c r="AM716" s="62">
        <f>IF(OR(AG716="",INDEX(p_rates,3)=""),0,IF(AG716="Facture",SUMIFS(fl_ht,fl_doc,A716,fl_rate,INDEX(p_rates,3)),SUMIFS(dl_ht,dl_doc,F716,dl_rate,INDEX(p_rates,3))))</f>
        <v>0.0</v>
      </c>
      <c r="AN716" s="62">
        <f>IF(OR(AG716="",INDEX(p_rates,4)=""),0,IF(AG716="Facture",SUMIFS(fl_ht,fl_doc,A716,fl_rate,INDEX(p_rates,4)),SUMIFS(dl_ht,dl_doc,F716,dl_rate,INDEX(p_rates,4))))</f>
        <v>0.0</v>
      </c>
      <c r="AO716" s="62">
        <f>IF(OR(AG716="",INDEX(p_rates,5)=""),0,IF(AG716="Facture",SUMIFS(fl_ht,fl_doc,A716,fl_rate,INDEX(p_rates,5)),SUMIFS(dl_ht,dl_doc,F716,dl_rate,INDEX(p_rates,5))))</f>
        <v>0.0</v>
      </c>
      <c r="AP716" s="62">
        <f>IF(OR(AG716="",INDEX(p_rates,6)=""),0,IF(AG716="Facture",SUMIFS(fl_ht,fl_doc,A716,fl_rate,INDEX(p_rates,6)),SUMIFS(dl_ht,dl_doc,F716,dl_rate,INDEX(p_rates,6))))</f>
        <v>0.0</v>
      </c>
      <c r="AQ716" s="62">
        <f>ROUND(AK716*N(INDEX(p_rates,1)),2)+ROUND(AL716*N(INDEX(p_rates,2)),2)+ROUND(AM716*N(INDEX(p_rates,3)),2)+ROUND(AN716*N(INDEX(p_rates,4)),2)+ROUND(AO716*N(INDEX(p_rates,5)),2)+ROUND(AP716*N(INDEX(p_rates,6)),2)</f>
        <v>0.0</v>
      </c>
      <c r="AR716" s="62" t="str">
        <f>IF(OR(L716="",AA716&lt;&gt;"Facture"),"",IFERROR(IF(INDEX(fa_type,MATCH(L716,fa_num,0))="Facture d'acompte",MATCH(L716,fa_num,0),""),""))</f>
        <v/>
      </c>
      <c r="AS716" s="62" t="str">
        <f>IF(W716="","",IF(W716&lt;=0,"",IF(p_asof-P716&lt;=0,"Non échu",IF(p_asof-P716&lt;=30,"1-30 j",IF(p_asof-P716&lt;=60,"31-60 j",IF(p_asof-P716&lt;=90,"61-90 j","Plus de 90 j"))))))</f>
        <v/>
      </c>
      <c r="AT716" s="62" t="str">
        <f>IF(AS716="","",p_asof-P716)</f>
        <v/>
      </c>
      <c r="AU716" s="62" t="str">
        <f>IF(AT716="","",COUNTIF($AT$6:$AT$805,"&gt;"&amp;AT716)+COUNTIF($AT$6:AT716,AT716))</f>
        <v/>
      </c>
    </row>
    <row r="717">
      <c r="A717" s="59" t="str">
        <f>IF(AE717="","",AB717&amp;"-"&amp;AD717&amp;"-"&amp;RIGHT("000"&amp;AE717,4))</f>
        <v/>
      </c>
      <c r="B717" s="60" t="n"/>
      <c r="C717" s="61" t="n"/>
      <c r="D717" s="60" t="n"/>
      <c r="E717" s="62" t="str">
        <f>IF(D717="","",IFERROR(INDEX(cli_name,MATCH(D717,cli_code,0))&amp;"","Client inconnu"))</f>
        <v/>
      </c>
      <c r="F717" s="60" t="n"/>
      <c r="G717" s="63" t="n"/>
      <c r="H717" s="61" t="n"/>
      <c r="I717" s="63" t="n"/>
      <c r="J717" s="60" t="n"/>
      <c r="K717" s="61" t="n"/>
      <c r="L717" s="60" t="n"/>
      <c r="M717" s="60" t="n"/>
      <c r="N717" s="60" t="n"/>
      <c r="O717" s="61" t="n"/>
      <c r="P717" s="64" t="str">
        <f>IF(A717="","",IF(AA717="Avoir",AC717,IF(ISNUMBER(K717),K717,AC717+IF(D717="",N(p_delay),IFERROR(IF(ISNUMBER(INDEX(cli_delay,MATCH(D717,cli_code,0))),INDEX(cli_delay,MATCH(D717,cli_code,0)),N(p_delay)),N(p_delay))))))</f>
        <v/>
      </c>
      <c r="Q717" s="65" t="str">
        <f>IF(A717="","",IF(AA717="Avoir",-1,1)*ROUND(AJ717-IF(AR717="",0,INDEX(fa_htb,AR717)),2))</f>
        <v/>
      </c>
      <c r="R717" s="65" t="str">
        <f>IF(A717="","",IF(AA717="Avoir",-1,1)*ROUND(AQ717-IF(AR717="",0,INDEX(fa_tvab,AR717)),2))</f>
        <v/>
      </c>
      <c r="S717" s="65" t="str">
        <f>IF(A717="","",Q717+R717)</f>
        <v/>
      </c>
      <c r="T717" s="65" t="str">
        <f>IF(AR717="","",INDEX(fa_htb,AR717)+INDEX(fa_tvab,AR717))</f>
        <v/>
      </c>
      <c r="U717" s="65" t="str">
        <f>IF(A717="","",SUMIF(pa_inv,A717,pa_amt))</f>
        <v/>
      </c>
      <c r="V717" s="65" t="str">
        <f>IF(OR(A717="",AA717="Avoir"),"",-SUMIFS(fa_ttc,fa_avof,A717,fa_type,"Avoir"))</f>
        <v/>
      </c>
      <c r="W717" s="65" t="str">
        <f>IF(OR(A717="",AA717="Avoir"),"",ROUND(S717-U717-V717,2))</f>
        <v/>
      </c>
      <c r="X717" s="66" t="str">
        <f>IF(W717="","",IF(AND(W717&gt;0,p_asof&gt;P717),p_asof-P717,""))</f>
        <v/>
      </c>
      <c r="Y717" s="59" t="str">
        <f>IF(A717="","",IF(AA717="Avoir","Avoir",IF(W717&lt;0,"Trop-perçu",IF(W717=0,"Soldée",IF(p_asof&gt;P717,"En retard",IF(U717+V717&gt;0,"Partielle","À échoir"))))))</f>
        <v/>
      </c>
      <c r="Z717" s="59" t="str">
        <f>IF(NOT(COUNTA(B717:D717,F717:O717)&gt;0),"",IF(C717="","Date manquante",IF(NOT(ISNUMBER(C717)),"Date invalide",IF(D717="","Client manquant",IF(ISNA(MATCH(D717,cli_code,0)),"Client inconnu",IF(AC717&lt;SUMPRODUCT(MAX(($AB$6:AB716=AB717)*$AC$6:AC716)),"Date antérieure à la facture précédente",IF(AND(F717&lt;&gt;"",ISNA(MATCH(F717,dv_num,0))),"Devis inconnu",IF(AND(F717&lt;&gt;"",IFERROR(INDEX(dv_client,MATCH(F717,dv_num,0)),D717)&lt;&gt;D717),"Client différent de celui du devis",IF(AG717="","Aucune ligne : saisissez des lignes ou un devis",IF(AND(AI717&lt;&gt;"",COUNTIF($AI$6:AI717,AI717)&gt;1),"Devis déjà repris par une autre facture",IF(AND(AA717="Avoir",M717=""),"Avoir : indiquez la facture d'origine",IF(AND(AA717="Avoir",ISNA(MATCH(M717,fa_num,0))),"Facture d'origine inconnue",IF(AND(AA717&lt;&gt;"Avoir",M717&lt;&gt;""),"« Avoir sur facture » : réservé aux avoirs",IF(AND(L717&lt;&gt;"",AA717&lt;&gt;"Facture"),"Acompte à déduire : réservé aux factures",IF(AND(L717&lt;&gt;"",ISNA(MATCH(L717,fa_num,0))),"Facture d'acompte inconnue",IF(AND(L717&lt;&gt;"",IFERROR(INDEX(fa_type,MATCH(L717,fa_num,0)),"")&lt;&gt;"Facture d'acompte"),"Le n° à déduire n'est pas une facture d'acompte",IF(AND(L717&lt;&gt;"",COUNTIF($L$6:L717,L717)&gt;1),"Acompte déjà déduit sur une autre facture",IF(AND(L717&lt;&gt;"",IFERROR(INDEX(fa_client,MATCH(L717,fa_num,0)),D717)&lt;&gt;D717),"Acompte d'un autre client",IF(AND(AR717&lt;&gt;"",N(Q717)&lt;0),"Acompte supérieur au total de la facture",IF(IF(AG717="Facture",COUNTIFS(fl_doc,A717,fl_check,"&lt;&gt;OK"),IF(AG717="Devis",COUNTIFS(dl_doc,F717,dl_check,"&lt;&gt;OK"),0))&gt;0,"Ligne(s) à corriger",IF(AND(W717&lt;&gt;"",N(W717)&lt;0),"Trop-perçu : vérifiez paiements et avoirs","OK")))))))))))))))))))))</f>
        <v/>
      </c>
      <c r="AA717" s="62" t="str">
        <f>IF(COUNTA(B717:D717,F717:O717)&gt;0,IF(B717="","Facture",B717),"")</f>
        <v/>
      </c>
      <c r="AB717" s="62" t="str">
        <f>IF(AA717="","",IF(AA717="Avoir",p_pav,IF(AA717="Facture d'acompte",p_pac,p_pfa)))</f>
        <v/>
      </c>
      <c r="AC717" s="62">
        <f>IF(ISNUMBER(C717),C717,0)</f>
        <v>0.0</v>
      </c>
      <c r="AD717" s="62" t="str">
        <f>IF(OR(AA717="",AC717=0),"",YEAR(AC717))</f>
        <v/>
      </c>
      <c r="AE717" s="62" t="str">
        <f>IF(AD717="","",COUNTIFS($AB$6:AB717,AB717,$AD$6:AD717,AD717))</f>
        <v/>
      </c>
      <c r="AF717" s="62">
        <f>IF(A717="",0,COUNTIF(fl_doc,A717))</f>
        <v>0.0</v>
      </c>
      <c r="AG717" s="62" t="str">
        <f>IF(A717="","",IF(AF717&gt;0,"Facture",IF(AND(F717&lt;&gt;"",AA717="Facture",ISNUMBER(MATCH(F717,dv_num,0))),"Devis","")))</f>
        <v/>
      </c>
      <c r="AH717" s="62" t="str">
        <f>IF(AND(A717&lt;&gt;"",F717&lt;&gt;"",AA717&lt;&gt;"Avoir"),F717,"")</f>
        <v/>
      </c>
      <c r="AI717" s="62" t="str">
        <f>IF(AG717="Devis",F717,"")</f>
        <v/>
      </c>
      <c r="AJ717" s="62">
        <f>IF(AG717="Facture",SUMIF(fl_doc,A717,fl_ht),IF(AG717="Devis",SUMIF(dl_doc,F717,dl_ht),0))</f>
        <v>0.0</v>
      </c>
      <c r="AK717" s="62">
        <f>IF(OR(AG717="",INDEX(p_rates,1)=""),0,IF(AG717="Facture",SUMIFS(fl_ht,fl_doc,A717,fl_rate,INDEX(p_rates,1)),SUMIFS(dl_ht,dl_doc,F717,dl_rate,INDEX(p_rates,1))))</f>
        <v>0.0</v>
      </c>
      <c r="AL717" s="62">
        <f>IF(OR(AG717="",INDEX(p_rates,2)=""),0,IF(AG717="Facture",SUMIFS(fl_ht,fl_doc,A717,fl_rate,INDEX(p_rates,2)),SUMIFS(dl_ht,dl_doc,F717,dl_rate,INDEX(p_rates,2))))</f>
        <v>0.0</v>
      </c>
      <c r="AM717" s="62">
        <f>IF(OR(AG717="",INDEX(p_rates,3)=""),0,IF(AG717="Facture",SUMIFS(fl_ht,fl_doc,A717,fl_rate,INDEX(p_rates,3)),SUMIFS(dl_ht,dl_doc,F717,dl_rate,INDEX(p_rates,3))))</f>
        <v>0.0</v>
      </c>
      <c r="AN717" s="62">
        <f>IF(OR(AG717="",INDEX(p_rates,4)=""),0,IF(AG717="Facture",SUMIFS(fl_ht,fl_doc,A717,fl_rate,INDEX(p_rates,4)),SUMIFS(dl_ht,dl_doc,F717,dl_rate,INDEX(p_rates,4))))</f>
        <v>0.0</v>
      </c>
      <c r="AO717" s="62">
        <f>IF(OR(AG717="",INDEX(p_rates,5)=""),0,IF(AG717="Facture",SUMIFS(fl_ht,fl_doc,A717,fl_rate,INDEX(p_rates,5)),SUMIFS(dl_ht,dl_doc,F717,dl_rate,INDEX(p_rates,5))))</f>
        <v>0.0</v>
      </c>
      <c r="AP717" s="62">
        <f>IF(OR(AG717="",INDEX(p_rates,6)=""),0,IF(AG717="Facture",SUMIFS(fl_ht,fl_doc,A717,fl_rate,INDEX(p_rates,6)),SUMIFS(dl_ht,dl_doc,F717,dl_rate,INDEX(p_rates,6))))</f>
        <v>0.0</v>
      </c>
      <c r="AQ717" s="62">
        <f>ROUND(AK717*N(INDEX(p_rates,1)),2)+ROUND(AL717*N(INDEX(p_rates,2)),2)+ROUND(AM717*N(INDEX(p_rates,3)),2)+ROUND(AN717*N(INDEX(p_rates,4)),2)+ROUND(AO717*N(INDEX(p_rates,5)),2)+ROUND(AP717*N(INDEX(p_rates,6)),2)</f>
        <v>0.0</v>
      </c>
      <c r="AR717" s="62" t="str">
        <f>IF(OR(L717="",AA717&lt;&gt;"Facture"),"",IFERROR(IF(INDEX(fa_type,MATCH(L717,fa_num,0))="Facture d'acompte",MATCH(L717,fa_num,0),""),""))</f>
        <v/>
      </c>
      <c r="AS717" s="62" t="str">
        <f>IF(W717="","",IF(W717&lt;=0,"",IF(p_asof-P717&lt;=0,"Non échu",IF(p_asof-P717&lt;=30,"1-30 j",IF(p_asof-P717&lt;=60,"31-60 j",IF(p_asof-P717&lt;=90,"61-90 j","Plus de 90 j"))))))</f>
        <v/>
      </c>
      <c r="AT717" s="62" t="str">
        <f>IF(AS717="","",p_asof-P717)</f>
        <v/>
      </c>
      <c r="AU717" s="62" t="str">
        <f>IF(AT717="","",COUNTIF($AT$6:$AT$805,"&gt;"&amp;AT717)+COUNTIF($AT$6:AT717,AT717))</f>
        <v/>
      </c>
    </row>
    <row r="718">
      <c r="A718" s="59" t="str">
        <f>IF(AE718="","",AB718&amp;"-"&amp;AD718&amp;"-"&amp;RIGHT("000"&amp;AE718,4))</f>
        <v/>
      </c>
      <c r="B718" s="60" t="n"/>
      <c r="C718" s="61" t="n"/>
      <c r="D718" s="60" t="n"/>
      <c r="E718" s="62" t="str">
        <f>IF(D718="","",IFERROR(INDEX(cli_name,MATCH(D718,cli_code,0))&amp;"","Client inconnu"))</f>
        <v/>
      </c>
      <c r="F718" s="60" t="n"/>
      <c r="G718" s="63" t="n"/>
      <c r="H718" s="61" t="n"/>
      <c r="I718" s="63" t="n"/>
      <c r="J718" s="60" t="n"/>
      <c r="K718" s="61" t="n"/>
      <c r="L718" s="60" t="n"/>
      <c r="M718" s="60" t="n"/>
      <c r="N718" s="60" t="n"/>
      <c r="O718" s="61" t="n"/>
      <c r="P718" s="64" t="str">
        <f>IF(A718="","",IF(AA718="Avoir",AC718,IF(ISNUMBER(K718),K718,AC718+IF(D718="",N(p_delay),IFERROR(IF(ISNUMBER(INDEX(cli_delay,MATCH(D718,cli_code,0))),INDEX(cli_delay,MATCH(D718,cli_code,0)),N(p_delay)),N(p_delay))))))</f>
        <v/>
      </c>
      <c r="Q718" s="65" t="str">
        <f>IF(A718="","",IF(AA718="Avoir",-1,1)*ROUND(AJ718-IF(AR718="",0,INDEX(fa_htb,AR718)),2))</f>
        <v/>
      </c>
      <c r="R718" s="65" t="str">
        <f>IF(A718="","",IF(AA718="Avoir",-1,1)*ROUND(AQ718-IF(AR718="",0,INDEX(fa_tvab,AR718)),2))</f>
        <v/>
      </c>
      <c r="S718" s="65" t="str">
        <f>IF(A718="","",Q718+R718)</f>
        <v/>
      </c>
      <c r="T718" s="65" t="str">
        <f>IF(AR718="","",INDEX(fa_htb,AR718)+INDEX(fa_tvab,AR718))</f>
        <v/>
      </c>
      <c r="U718" s="65" t="str">
        <f>IF(A718="","",SUMIF(pa_inv,A718,pa_amt))</f>
        <v/>
      </c>
      <c r="V718" s="65" t="str">
        <f>IF(OR(A718="",AA718="Avoir"),"",-SUMIFS(fa_ttc,fa_avof,A718,fa_type,"Avoir"))</f>
        <v/>
      </c>
      <c r="W718" s="65" t="str">
        <f>IF(OR(A718="",AA718="Avoir"),"",ROUND(S718-U718-V718,2))</f>
        <v/>
      </c>
      <c r="X718" s="66" t="str">
        <f>IF(W718="","",IF(AND(W718&gt;0,p_asof&gt;P718),p_asof-P718,""))</f>
        <v/>
      </c>
      <c r="Y718" s="59" t="str">
        <f>IF(A718="","",IF(AA718="Avoir","Avoir",IF(W718&lt;0,"Trop-perçu",IF(W718=0,"Soldée",IF(p_asof&gt;P718,"En retard",IF(U718+V718&gt;0,"Partielle","À échoir"))))))</f>
        <v/>
      </c>
      <c r="Z718" s="59" t="str">
        <f>IF(NOT(COUNTA(B718:D718,F718:O718)&gt;0),"",IF(C718="","Date manquante",IF(NOT(ISNUMBER(C718)),"Date invalide",IF(D718="","Client manquant",IF(ISNA(MATCH(D718,cli_code,0)),"Client inconnu",IF(AC718&lt;SUMPRODUCT(MAX(($AB$6:AB717=AB718)*$AC$6:AC717)),"Date antérieure à la facture précédente",IF(AND(F718&lt;&gt;"",ISNA(MATCH(F718,dv_num,0))),"Devis inconnu",IF(AND(F718&lt;&gt;"",IFERROR(INDEX(dv_client,MATCH(F718,dv_num,0)),D718)&lt;&gt;D718),"Client différent de celui du devis",IF(AG718="","Aucune ligne : saisissez des lignes ou un devis",IF(AND(AI718&lt;&gt;"",COUNTIF($AI$6:AI718,AI718)&gt;1),"Devis déjà repris par une autre facture",IF(AND(AA718="Avoir",M718=""),"Avoir : indiquez la facture d'origine",IF(AND(AA718="Avoir",ISNA(MATCH(M718,fa_num,0))),"Facture d'origine inconnue",IF(AND(AA718&lt;&gt;"Avoir",M718&lt;&gt;""),"« Avoir sur facture » : réservé aux avoirs",IF(AND(L718&lt;&gt;"",AA718&lt;&gt;"Facture"),"Acompte à déduire : réservé aux factures",IF(AND(L718&lt;&gt;"",ISNA(MATCH(L718,fa_num,0))),"Facture d'acompte inconnue",IF(AND(L718&lt;&gt;"",IFERROR(INDEX(fa_type,MATCH(L718,fa_num,0)),"")&lt;&gt;"Facture d'acompte"),"Le n° à déduire n'est pas une facture d'acompte",IF(AND(L718&lt;&gt;"",COUNTIF($L$6:L718,L718)&gt;1),"Acompte déjà déduit sur une autre facture",IF(AND(L718&lt;&gt;"",IFERROR(INDEX(fa_client,MATCH(L718,fa_num,0)),D718)&lt;&gt;D718),"Acompte d'un autre client",IF(AND(AR718&lt;&gt;"",N(Q718)&lt;0),"Acompte supérieur au total de la facture",IF(IF(AG718="Facture",COUNTIFS(fl_doc,A718,fl_check,"&lt;&gt;OK"),IF(AG718="Devis",COUNTIFS(dl_doc,F718,dl_check,"&lt;&gt;OK"),0))&gt;0,"Ligne(s) à corriger",IF(AND(W718&lt;&gt;"",N(W718)&lt;0),"Trop-perçu : vérifiez paiements et avoirs","OK")))))))))))))))))))))</f>
        <v/>
      </c>
      <c r="AA718" s="62" t="str">
        <f>IF(COUNTA(B718:D718,F718:O718)&gt;0,IF(B718="","Facture",B718),"")</f>
        <v/>
      </c>
      <c r="AB718" s="62" t="str">
        <f>IF(AA718="","",IF(AA718="Avoir",p_pav,IF(AA718="Facture d'acompte",p_pac,p_pfa)))</f>
        <v/>
      </c>
      <c r="AC718" s="62">
        <f>IF(ISNUMBER(C718),C718,0)</f>
        <v>0.0</v>
      </c>
      <c r="AD718" s="62" t="str">
        <f>IF(OR(AA718="",AC718=0),"",YEAR(AC718))</f>
        <v/>
      </c>
      <c r="AE718" s="62" t="str">
        <f>IF(AD718="","",COUNTIFS($AB$6:AB718,AB718,$AD$6:AD718,AD718))</f>
        <v/>
      </c>
      <c r="AF718" s="62">
        <f>IF(A718="",0,COUNTIF(fl_doc,A718))</f>
        <v>0.0</v>
      </c>
      <c r="AG718" s="62" t="str">
        <f>IF(A718="","",IF(AF718&gt;0,"Facture",IF(AND(F718&lt;&gt;"",AA718="Facture",ISNUMBER(MATCH(F718,dv_num,0))),"Devis","")))</f>
        <v/>
      </c>
      <c r="AH718" s="62" t="str">
        <f>IF(AND(A718&lt;&gt;"",F718&lt;&gt;"",AA718&lt;&gt;"Avoir"),F718,"")</f>
        <v/>
      </c>
      <c r="AI718" s="62" t="str">
        <f>IF(AG718="Devis",F718,"")</f>
        <v/>
      </c>
      <c r="AJ718" s="62">
        <f>IF(AG718="Facture",SUMIF(fl_doc,A718,fl_ht),IF(AG718="Devis",SUMIF(dl_doc,F718,dl_ht),0))</f>
        <v>0.0</v>
      </c>
      <c r="AK718" s="62">
        <f>IF(OR(AG718="",INDEX(p_rates,1)=""),0,IF(AG718="Facture",SUMIFS(fl_ht,fl_doc,A718,fl_rate,INDEX(p_rates,1)),SUMIFS(dl_ht,dl_doc,F718,dl_rate,INDEX(p_rates,1))))</f>
        <v>0.0</v>
      </c>
      <c r="AL718" s="62">
        <f>IF(OR(AG718="",INDEX(p_rates,2)=""),0,IF(AG718="Facture",SUMIFS(fl_ht,fl_doc,A718,fl_rate,INDEX(p_rates,2)),SUMIFS(dl_ht,dl_doc,F718,dl_rate,INDEX(p_rates,2))))</f>
        <v>0.0</v>
      </c>
      <c r="AM718" s="62">
        <f>IF(OR(AG718="",INDEX(p_rates,3)=""),0,IF(AG718="Facture",SUMIFS(fl_ht,fl_doc,A718,fl_rate,INDEX(p_rates,3)),SUMIFS(dl_ht,dl_doc,F718,dl_rate,INDEX(p_rates,3))))</f>
        <v>0.0</v>
      </c>
      <c r="AN718" s="62">
        <f>IF(OR(AG718="",INDEX(p_rates,4)=""),0,IF(AG718="Facture",SUMIFS(fl_ht,fl_doc,A718,fl_rate,INDEX(p_rates,4)),SUMIFS(dl_ht,dl_doc,F718,dl_rate,INDEX(p_rates,4))))</f>
        <v>0.0</v>
      </c>
      <c r="AO718" s="62">
        <f>IF(OR(AG718="",INDEX(p_rates,5)=""),0,IF(AG718="Facture",SUMIFS(fl_ht,fl_doc,A718,fl_rate,INDEX(p_rates,5)),SUMIFS(dl_ht,dl_doc,F718,dl_rate,INDEX(p_rates,5))))</f>
        <v>0.0</v>
      </c>
      <c r="AP718" s="62">
        <f>IF(OR(AG718="",INDEX(p_rates,6)=""),0,IF(AG718="Facture",SUMIFS(fl_ht,fl_doc,A718,fl_rate,INDEX(p_rates,6)),SUMIFS(dl_ht,dl_doc,F718,dl_rate,INDEX(p_rates,6))))</f>
        <v>0.0</v>
      </c>
      <c r="AQ718" s="62">
        <f>ROUND(AK718*N(INDEX(p_rates,1)),2)+ROUND(AL718*N(INDEX(p_rates,2)),2)+ROUND(AM718*N(INDEX(p_rates,3)),2)+ROUND(AN718*N(INDEX(p_rates,4)),2)+ROUND(AO718*N(INDEX(p_rates,5)),2)+ROUND(AP718*N(INDEX(p_rates,6)),2)</f>
        <v>0.0</v>
      </c>
      <c r="AR718" s="62" t="str">
        <f>IF(OR(L718="",AA718&lt;&gt;"Facture"),"",IFERROR(IF(INDEX(fa_type,MATCH(L718,fa_num,0))="Facture d'acompte",MATCH(L718,fa_num,0),""),""))</f>
        <v/>
      </c>
      <c r="AS718" s="62" t="str">
        <f>IF(W718="","",IF(W718&lt;=0,"",IF(p_asof-P718&lt;=0,"Non échu",IF(p_asof-P718&lt;=30,"1-30 j",IF(p_asof-P718&lt;=60,"31-60 j",IF(p_asof-P718&lt;=90,"61-90 j","Plus de 90 j"))))))</f>
        <v/>
      </c>
      <c r="AT718" s="62" t="str">
        <f>IF(AS718="","",p_asof-P718)</f>
        <v/>
      </c>
      <c r="AU718" s="62" t="str">
        <f>IF(AT718="","",COUNTIF($AT$6:$AT$805,"&gt;"&amp;AT718)+COUNTIF($AT$6:AT718,AT718))</f>
        <v/>
      </c>
    </row>
    <row r="719">
      <c r="A719" s="59" t="str">
        <f>IF(AE719="","",AB719&amp;"-"&amp;AD719&amp;"-"&amp;RIGHT("000"&amp;AE719,4))</f>
        <v/>
      </c>
      <c r="B719" s="60" t="n"/>
      <c r="C719" s="61" t="n"/>
      <c r="D719" s="60" t="n"/>
      <c r="E719" s="62" t="str">
        <f>IF(D719="","",IFERROR(INDEX(cli_name,MATCH(D719,cli_code,0))&amp;"","Client inconnu"))</f>
        <v/>
      </c>
      <c r="F719" s="60" t="n"/>
      <c r="G719" s="63" t="n"/>
      <c r="H719" s="61" t="n"/>
      <c r="I719" s="63" t="n"/>
      <c r="J719" s="60" t="n"/>
      <c r="K719" s="61" t="n"/>
      <c r="L719" s="60" t="n"/>
      <c r="M719" s="60" t="n"/>
      <c r="N719" s="60" t="n"/>
      <c r="O719" s="61" t="n"/>
      <c r="P719" s="64" t="str">
        <f>IF(A719="","",IF(AA719="Avoir",AC719,IF(ISNUMBER(K719),K719,AC719+IF(D719="",N(p_delay),IFERROR(IF(ISNUMBER(INDEX(cli_delay,MATCH(D719,cli_code,0))),INDEX(cli_delay,MATCH(D719,cli_code,0)),N(p_delay)),N(p_delay))))))</f>
        <v/>
      </c>
      <c r="Q719" s="65" t="str">
        <f>IF(A719="","",IF(AA719="Avoir",-1,1)*ROUND(AJ719-IF(AR719="",0,INDEX(fa_htb,AR719)),2))</f>
        <v/>
      </c>
      <c r="R719" s="65" t="str">
        <f>IF(A719="","",IF(AA719="Avoir",-1,1)*ROUND(AQ719-IF(AR719="",0,INDEX(fa_tvab,AR719)),2))</f>
        <v/>
      </c>
      <c r="S719" s="65" t="str">
        <f>IF(A719="","",Q719+R719)</f>
        <v/>
      </c>
      <c r="T719" s="65" t="str">
        <f>IF(AR719="","",INDEX(fa_htb,AR719)+INDEX(fa_tvab,AR719))</f>
        <v/>
      </c>
      <c r="U719" s="65" t="str">
        <f>IF(A719="","",SUMIF(pa_inv,A719,pa_amt))</f>
        <v/>
      </c>
      <c r="V719" s="65" t="str">
        <f>IF(OR(A719="",AA719="Avoir"),"",-SUMIFS(fa_ttc,fa_avof,A719,fa_type,"Avoir"))</f>
        <v/>
      </c>
      <c r="W719" s="65" t="str">
        <f>IF(OR(A719="",AA719="Avoir"),"",ROUND(S719-U719-V719,2))</f>
        <v/>
      </c>
      <c r="X719" s="66" t="str">
        <f>IF(W719="","",IF(AND(W719&gt;0,p_asof&gt;P719),p_asof-P719,""))</f>
        <v/>
      </c>
      <c r="Y719" s="59" t="str">
        <f>IF(A719="","",IF(AA719="Avoir","Avoir",IF(W719&lt;0,"Trop-perçu",IF(W719=0,"Soldée",IF(p_asof&gt;P719,"En retard",IF(U719+V719&gt;0,"Partielle","À échoir"))))))</f>
        <v/>
      </c>
      <c r="Z719" s="59" t="str">
        <f>IF(NOT(COUNTA(B719:D719,F719:O719)&gt;0),"",IF(C719="","Date manquante",IF(NOT(ISNUMBER(C719)),"Date invalide",IF(D719="","Client manquant",IF(ISNA(MATCH(D719,cli_code,0)),"Client inconnu",IF(AC719&lt;SUMPRODUCT(MAX(($AB$6:AB718=AB719)*$AC$6:AC718)),"Date antérieure à la facture précédente",IF(AND(F719&lt;&gt;"",ISNA(MATCH(F719,dv_num,0))),"Devis inconnu",IF(AND(F719&lt;&gt;"",IFERROR(INDEX(dv_client,MATCH(F719,dv_num,0)),D719)&lt;&gt;D719),"Client différent de celui du devis",IF(AG719="","Aucune ligne : saisissez des lignes ou un devis",IF(AND(AI719&lt;&gt;"",COUNTIF($AI$6:AI719,AI719)&gt;1),"Devis déjà repris par une autre facture",IF(AND(AA719="Avoir",M719=""),"Avoir : indiquez la facture d'origine",IF(AND(AA719="Avoir",ISNA(MATCH(M719,fa_num,0))),"Facture d'origine inconnue",IF(AND(AA719&lt;&gt;"Avoir",M719&lt;&gt;""),"« Avoir sur facture » : réservé aux avoirs",IF(AND(L719&lt;&gt;"",AA719&lt;&gt;"Facture"),"Acompte à déduire : réservé aux factures",IF(AND(L719&lt;&gt;"",ISNA(MATCH(L719,fa_num,0))),"Facture d'acompte inconnue",IF(AND(L719&lt;&gt;"",IFERROR(INDEX(fa_type,MATCH(L719,fa_num,0)),"")&lt;&gt;"Facture d'acompte"),"Le n° à déduire n'est pas une facture d'acompte",IF(AND(L719&lt;&gt;"",COUNTIF($L$6:L719,L719)&gt;1),"Acompte déjà déduit sur une autre facture",IF(AND(L719&lt;&gt;"",IFERROR(INDEX(fa_client,MATCH(L719,fa_num,0)),D719)&lt;&gt;D719),"Acompte d'un autre client",IF(AND(AR719&lt;&gt;"",N(Q719)&lt;0),"Acompte supérieur au total de la facture",IF(IF(AG719="Facture",COUNTIFS(fl_doc,A719,fl_check,"&lt;&gt;OK"),IF(AG719="Devis",COUNTIFS(dl_doc,F719,dl_check,"&lt;&gt;OK"),0))&gt;0,"Ligne(s) à corriger",IF(AND(W719&lt;&gt;"",N(W719)&lt;0),"Trop-perçu : vérifiez paiements et avoirs","OK")))))))))))))))))))))</f>
        <v/>
      </c>
      <c r="AA719" s="62" t="str">
        <f>IF(COUNTA(B719:D719,F719:O719)&gt;0,IF(B719="","Facture",B719),"")</f>
        <v/>
      </c>
      <c r="AB719" s="62" t="str">
        <f>IF(AA719="","",IF(AA719="Avoir",p_pav,IF(AA719="Facture d'acompte",p_pac,p_pfa)))</f>
        <v/>
      </c>
      <c r="AC719" s="62">
        <f>IF(ISNUMBER(C719),C719,0)</f>
        <v>0.0</v>
      </c>
      <c r="AD719" s="62" t="str">
        <f>IF(OR(AA719="",AC719=0),"",YEAR(AC719))</f>
        <v/>
      </c>
      <c r="AE719" s="62" t="str">
        <f>IF(AD719="","",COUNTIFS($AB$6:AB719,AB719,$AD$6:AD719,AD719))</f>
        <v/>
      </c>
      <c r="AF719" s="62">
        <f>IF(A719="",0,COUNTIF(fl_doc,A719))</f>
        <v>0.0</v>
      </c>
      <c r="AG719" s="62" t="str">
        <f>IF(A719="","",IF(AF719&gt;0,"Facture",IF(AND(F719&lt;&gt;"",AA719="Facture",ISNUMBER(MATCH(F719,dv_num,0))),"Devis","")))</f>
        <v/>
      </c>
      <c r="AH719" s="62" t="str">
        <f>IF(AND(A719&lt;&gt;"",F719&lt;&gt;"",AA719&lt;&gt;"Avoir"),F719,"")</f>
        <v/>
      </c>
      <c r="AI719" s="62" t="str">
        <f>IF(AG719="Devis",F719,"")</f>
        <v/>
      </c>
      <c r="AJ719" s="62">
        <f>IF(AG719="Facture",SUMIF(fl_doc,A719,fl_ht),IF(AG719="Devis",SUMIF(dl_doc,F719,dl_ht),0))</f>
        <v>0.0</v>
      </c>
      <c r="AK719" s="62">
        <f>IF(OR(AG719="",INDEX(p_rates,1)=""),0,IF(AG719="Facture",SUMIFS(fl_ht,fl_doc,A719,fl_rate,INDEX(p_rates,1)),SUMIFS(dl_ht,dl_doc,F719,dl_rate,INDEX(p_rates,1))))</f>
        <v>0.0</v>
      </c>
      <c r="AL719" s="62">
        <f>IF(OR(AG719="",INDEX(p_rates,2)=""),0,IF(AG719="Facture",SUMIFS(fl_ht,fl_doc,A719,fl_rate,INDEX(p_rates,2)),SUMIFS(dl_ht,dl_doc,F719,dl_rate,INDEX(p_rates,2))))</f>
        <v>0.0</v>
      </c>
      <c r="AM719" s="62">
        <f>IF(OR(AG719="",INDEX(p_rates,3)=""),0,IF(AG719="Facture",SUMIFS(fl_ht,fl_doc,A719,fl_rate,INDEX(p_rates,3)),SUMIFS(dl_ht,dl_doc,F719,dl_rate,INDEX(p_rates,3))))</f>
        <v>0.0</v>
      </c>
      <c r="AN719" s="62">
        <f>IF(OR(AG719="",INDEX(p_rates,4)=""),0,IF(AG719="Facture",SUMIFS(fl_ht,fl_doc,A719,fl_rate,INDEX(p_rates,4)),SUMIFS(dl_ht,dl_doc,F719,dl_rate,INDEX(p_rates,4))))</f>
        <v>0.0</v>
      </c>
      <c r="AO719" s="62">
        <f>IF(OR(AG719="",INDEX(p_rates,5)=""),0,IF(AG719="Facture",SUMIFS(fl_ht,fl_doc,A719,fl_rate,INDEX(p_rates,5)),SUMIFS(dl_ht,dl_doc,F719,dl_rate,INDEX(p_rates,5))))</f>
        <v>0.0</v>
      </c>
      <c r="AP719" s="62">
        <f>IF(OR(AG719="",INDEX(p_rates,6)=""),0,IF(AG719="Facture",SUMIFS(fl_ht,fl_doc,A719,fl_rate,INDEX(p_rates,6)),SUMIFS(dl_ht,dl_doc,F719,dl_rate,INDEX(p_rates,6))))</f>
        <v>0.0</v>
      </c>
      <c r="AQ719" s="62">
        <f>ROUND(AK719*N(INDEX(p_rates,1)),2)+ROUND(AL719*N(INDEX(p_rates,2)),2)+ROUND(AM719*N(INDEX(p_rates,3)),2)+ROUND(AN719*N(INDEX(p_rates,4)),2)+ROUND(AO719*N(INDEX(p_rates,5)),2)+ROUND(AP719*N(INDEX(p_rates,6)),2)</f>
        <v>0.0</v>
      </c>
      <c r="AR719" s="62" t="str">
        <f>IF(OR(L719="",AA719&lt;&gt;"Facture"),"",IFERROR(IF(INDEX(fa_type,MATCH(L719,fa_num,0))="Facture d'acompte",MATCH(L719,fa_num,0),""),""))</f>
        <v/>
      </c>
      <c r="AS719" s="62" t="str">
        <f>IF(W719="","",IF(W719&lt;=0,"",IF(p_asof-P719&lt;=0,"Non échu",IF(p_asof-P719&lt;=30,"1-30 j",IF(p_asof-P719&lt;=60,"31-60 j",IF(p_asof-P719&lt;=90,"61-90 j","Plus de 90 j"))))))</f>
        <v/>
      </c>
      <c r="AT719" s="62" t="str">
        <f>IF(AS719="","",p_asof-P719)</f>
        <v/>
      </c>
      <c r="AU719" s="62" t="str">
        <f>IF(AT719="","",COUNTIF($AT$6:$AT$805,"&gt;"&amp;AT719)+COUNTIF($AT$6:AT719,AT719))</f>
        <v/>
      </c>
    </row>
    <row r="720">
      <c r="A720" s="59" t="str">
        <f>IF(AE720="","",AB720&amp;"-"&amp;AD720&amp;"-"&amp;RIGHT("000"&amp;AE720,4))</f>
        <v/>
      </c>
      <c r="B720" s="60" t="n"/>
      <c r="C720" s="61" t="n"/>
      <c r="D720" s="60" t="n"/>
      <c r="E720" s="62" t="str">
        <f>IF(D720="","",IFERROR(INDEX(cli_name,MATCH(D720,cli_code,0))&amp;"","Client inconnu"))</f>
        <v/>
      </c>
      <c r="F720" s="60" t="n"/>
      <c r="G720" s="63" t="n"/>
      <c r="H720" s="61" t="n"/>
      <c r="I720" s="63" t="n"/>
      <c r="J720" s="60" t="n"/>
      <c r="K720" s="61" t="n"/>
      <c r="L720" s="60" t="n"/>
      <c r="M720" s="60" t="n"/>
      <c r="N720" s="60" t="n"/>
      <c r="O720" s="61" t="n"/>
      <c r="P720" s="64" t="str">
        <f>IF(A720="","",IF(AA720="Avoir",AC720,IF(ISNUMBER(K720),K720,AC720+IF(D720="",N(p_delay),IFERROR(IF(ISNUMBER(INDEX(cli_delay,MATCH(D720,cli_code,0))),INDEX(cli_delay,MATCH(D720,cli_code,0)),N(p_delay)),N(p_delay))))))</f>
        <v/>
      </c>
      <c r="Q720" s="65" t="str">
        <f>IF(A720="","",IF(AA720="Avoir",-1,1)*ROUND(AJ720-IF(AR720="",0,INDEX(fa_htb,AR720)),2))</f>
        <v/>
      </c>
      <c r="R720" s="65" t="str">
        <f>IF(A720="","",IF(AA720="Avoir",-1,1)*ROUND(AQ720-IF(AR720="",0,INDEX(fa_tvab,AR720)),2))</f>
        <v/>
      </c>
      <c r="S720" s="65" t="str">
        <f>IF(A720="","",Q720+R720)</f>
        <v/>
      </c>
      <c r="T720" s="65" t="str">
        <f>IF(AR720="","",INDEX(fa_htb,AR720)+INDEX(fa_tvab,AR720))</f>
        <v/>
      </c>
      <c r="U720" s="65" t="str">
        <f>IF(A720="","",SUMIF(pa_inv,A720,pa_amt))</f>
        <v/>
      </c>
      <c r="V720" s="65" t="str">
        <f>IF(OR(A720="",AA720="Avoir"),"",-SUMIFS(fa_ttc,fa_avof,A720,fa_type,"Avoir"))</f>
        <v/>
      </c>
      <c r="W720" s="65" t="str">
        <f>IF(OR(A720="",AA720="Avoir"),"",ROUND(S720-U720-V720,2))</f>
        <v/>
      </c>
      <c r="X720" s="66" t="str">
        <f>IF(W720="","",IF(AND(W720&gt;0,p_asof&gt;P720),p_asof-P720,""))</f>
        <v/>
      </c>
      <c r="Y720" s="59" t="str">
        <f>IF(A720="","",IF(AA720="Avoir","Avoir",IF(W720&lt;0,"Trop-perçu",IF(W720=0,"Soldée",IF(p_asof&gt;P720,"En retard",IF(U720+V720&gt;0,"Partielle","À échoir"))))))</f>
        <v/>
      </c>
      <c r="Z720" s="59" t="str">
        <f>IF(NOT(COUNTA(B720:D720,F720:O720)&gt;0),"",IF(C720="","Date manquante",IF(NOT(ISNUMBER(C720)),"Date invalide",IF(D720="","Client manquant",IF(ISNA(MATCH(D720,cli_code,0)),"Client inconnu",IF(AC720&lt;SUMPRODUCT(MAX(($AB$6:AB719=AB720)*$AC$6:AC719)),"Date antérieure à la facture précédente",IF(AND(F720&lt;&gt;"",ISNA(MATCH(F720,dv_num,0))),"Devis inconnu",IF(AND(F720&lt;&gt;"",IFERROR(INDEX(dv_client,MATCH(F720,dv_num,0)),D720)&lt;&gt;D720),"Client différent de celui du devis",IF(AG720="","Aucune ligne : saisissez des lignes ou un devis",IF(AND(AI720&lt;&gt;"",COUNTIF($AI$6:AI720,AI720)&gt;1),"Devis déjà repris par une autre facture",IF(AND(AA720="Avoir",M720=""),"Avoir : indiquez la facture d'origine",IF(AND(AA720="Avoir",ISNA(MATCH(M720,fa_num,0))),"Facture d'origine inconnue",IF(AND(AA720&lt;&gt;"Avoir",M720&lt;&gt;""),"« Avoir sur facture » : réservé aux avoirs",IF(AND(L720&lt;&gt;"",AA720&lt;&gt;"Facture"),"Acompte à déduire : réservé aux factures",IF(AND(L720&lt;&gt;"",ISNA(MATCH(L720,fa_num,0))),"Facture d'acompte inconnue",IF(AND(L720&lt;&gt;"",IFERROR(INDEX(fa_type,MATCH(L720,fa_num,0)),"")&lt;&gt;"Facture d'acompte"),"Le n° à déduire n'est pas une facture d'acompte",IF(AND(L720&lt;&gt;"",COUNTIF($L$6:L720,L720)&gt;1),"Acompte déjà déduit sur une autre facture",IF(AND(L720&lt;&gt;"",IFERROR(INDEX(fa_client,MATCH(L720,fa_num,0)),D720)&lt;&gt;D720),"Acompte d'un autre client",IF(AND(AR720&lt;&gt;"",N(Q720)&lt;0),"Acompte supérieur au total de la facture",IF(IF(AG720="Facture",COUNTIFS(fl_doc,A720,fl_check,"&lt;&gt;OK"),IF(AG720="Devis",COUNTIFS(dl_doc,F720,dl_check,"&lt;&gt;OK"),0))&gt;0,"Ligne(s) à corriger",IF(AND(W720&lt;&gt;"",N(W720)&lt;0),"Trop-perçu : vérifiez paiements et avoirs","OK")))))))))))))))))))))</f>
        <v/>
      </c>
      <c r="AA720" s="62" t="str">
        <f>IF(COUNTA(B720:D720,F720:O720)&gt;0,IF(B720="","Facture",B720),"")</f>
        <v/>
      </c>
      <c r="AB720" s="62" t="str">
        <f>IF(AA720="","",IF(AA720="Avoir",p_pav,IF(AA720="Facture d'acompte",p_pac,p_pfa)))</f>
        <v/>
      </c>
      <c r="AC720" s="62">
        <f>IF(ISNUMBER(C720),C720,0)</f>
        <v>0.0</v>
      </c>
      <c r="AD720" s="62" t="str">
        <f>IF(OR(AA720="",AC720=0),"",YEAR(AC720))</f>
        <v/>
      </c>
      <c r="AE720" s="62" t="str">
        <f>IF(AD720="","",COUNTIFS($AB$6:AB720,AB720,$AD$6:AD720,AD720))</f>
        <v/>
      </c>
      <c r="AF720" s="62">
        <f>IF(A720="",0,COUNTIF(fl_doc,A720))</f>
        <v>0.0</v>
      </c>
      <c r="AG720" s="62" t="str">
        <f>IF(A720="","",IF(AF720&gt;0,"Facture",IF(AND(F720&lt;&gt;"",AA720="Facture",ISNUMBER(MATCH(F720,dv_num,0))),"Devis","")))</f>
        <v/>
      </c>
      <c r="AH720" s="62" t="str">
        <f>IF(AND(A720&lt;&gt;"",F720&lt;&gt;"",AA720&lt;&gt;"Avoir"),F720,"")</f>
        <v/>
      </c>
      <c r="AI720" s="62" t="str">
        <f>IF(AG720="Devis",F720,"")</f>
        <v/>
      </c>
      <c r="AJ720" s="62">
        <f>IF(AG720="Facture",SUMIF(fl_doc,A720,fl_ht),IF(AG720="Devis",SUMIF(dl_doc,F720,dl_ht),0))</f>
        <v>0.0</v>
      </c>
      <c r="AK720" s="62">
        <f>IF(OR(AG720="",INDEX(p_rates,1)=""),0,IF(AG720="Facture",SUMIFS(fl_ht,fl_doc,A720,fl_rate,INDEX(p_rates,1)),SUMIFS(dl_ht,dl_doc,F720,dl_rate,INDEX(p_rates,1))))</f>
        <v>0.0</v>
      </c>
      <c r="AL720" s="62">
        <f>IF(OR(AG720="",INDEX(p_rates,2)=""),0,IF(AG720="Facture",SUMIFS(fl_ht,fl_doc,A720,fl_rate,INDEX(p_rates,2)),SUMIFS(dl_ht,dl_doc,F720,dl_rate,INDEX(p_rates,2))))</f>
        <v>0.0</v>
      </c>
      <c r="AM720" s="62">
        <f>IF(OR(AG720="",INDEX(p_rates,3)=""),0,IF(AG720="Facture",SUMIFS(fl_ht,fl_doc,A720,fl_rate,INDEX(p_rates,3)),SUMIFS(dl_ht,dl_doc,F720,dl_rate,INDEX(p_rates,3))))</f>
        <v>0.0</v>
      </c>
      <c r="AN720" s="62">
        <f>IF(OR(AG720="",INDEX(p_rates,4)=""),0,IF(AG720="Facture",SUMIFS(fl_ht,fl_doc,A720,fl_rate,INDEX(p_rates,4)),SUMIFS(dl_ht,dl_doc,F720,dl_rate,INDEX(p_rates,4))))</f>
        <v>0.0</v>
      </c>
      <c r="AO720" s="62">
        <f>IF(OR(AG720="",INDEX(p_rates,5)=""),0,IF(AG720="Facture",SUMIFS(fl_ht,fl_doc,A720,fl_rate,INDEX(p_rates,5)),SUMIFS(dl_ht,dl_doc,F720,dl_rate,INDEX(p_rates,5))))</f>
        <v>0.0</v>
      </c>
      <c r="AP720" s="62">
        <f>IF(OR(AG720="",INDEX(p_rates,6)=""),0,IF(AG720="Facture",SUMIFS(fl_ht,fl_doc,A720,fl_rate,INDEX(p_rates,6)),SUMIFS(dl_ht,dl_doc,F720,dl_rate,INDEX(p_rates,6))))</f>
        <v>0.0</v>
      </c>
      <c r="AQ720" s="62">
        <f>ROUND(AK720*N(INDEX(p_rates,1)),2)+ROUND(AL720*N(INDEX(p_rates,2)),2)+ROUND(AM720*N(INDEX(p_rates,3)),2)+ROUND(AN720*N(INDEX(p_rates,4)),2)+ROUND(AO720*N(INDEX(p_rates,5)),2)+ROUND(AP720*N(INDEX(p_rates,6)),2)</f>
        <v>0.0</v>
      </c>
      <c r="AR720" s="62" t="str">
        <f>IF(OR(L720="",AA720&lt;&gt;"Facture"),"",IFERROR(IF(INDEX(fa_type,MATCH(L720,fa_num,0))="Facture d'acompte",MATCH(L720,fa_num,0),""),""))</f>
        <v/>
      </c>
      <c r="AS720" s="62" t="str">
        <f>IF(W720="","",IF(W720&lt;=0,"",IF(p_asof-P720&lt;=0,"Non échu",IF(p_asof-P720&lt;=30,"1-30 j",IF(p_asof-P720&lt;=60,"31-60 j",IF(p_asof-P720&lt;=90,"61-90 j","Plus de 90 j"))))))</f>
        <v/>
      </c>
      <c r="AT720" s="62" t="str">
        <f>IF(AS720="","",p_asof-P720)</f>
        <v/>
      </c>
      <c r="AU720" s="62" t="str">
        <f>IF(AT720="","",COUNTIF($AT$6:$AT$805,"&gt;"&amp;AT720)+COUNTIF($AT$6:AT720,AT720))</f>
        <v/>
      </c>
    </row>
    <row r="721">
      <c r="A721" s="59" t="str">
        <f>IF(AE721="","",AB721&amp;"-"&amp;AD721&amp;"-"&amp;RIGHT("000"&amp;AE721,4))</f>
        <v/>
      </c>
      <c r="B721" s="60" t="n"/>
      <c r="C721" s="61" t="n"/>
      <c r="D721" s="60" t="n"/>
      <c r="E721" s="62" t="str">
        <f>IF(D721="","",IFERROR(INDEX(cli_name,MATCH(D721,cli_code,0))&amp;"","Client inconnu"))</f>
        <v/>
      </c>
      <c r="F721" s="60" t="n"/>
      <c r="G721" s="63" t="n"/>
      <c r="H721" s="61" t="n"/>
      <c r="I721" s="63" t="n"/>
      <c r="J721" s="60" t="n"/>
      <c r="K721" s="61" t="n"/>
      <c r="L721" s="60" t="n"/>
      <c r="M721" s="60" t="n"/>
      <c r="N721" s="60" t="n"/>
      <c r="O721" s="61" t="n"/>
      <c r="P721" s="64" t="str">
        <f>IF(A721="","",IF(AA721="Avoir",AC721,IF(ISNUMBER(K721),K721,AC721+IF(D721="",N(p_delay),IFERROR(IF(ISNUMBER(INDEX(cli_delay,MATCH(D721,cli_code,0))),INDEX(cli_delay,MATCH(D721,cli_code,0)),N(p_delay)),N(p_delay))))))</f>
        <v/>
      </c>
      <c r="Q721" s="65" t="str">
        <f>IF(A721="","",IF(AA721="Avoir",-1,1)*ROUND(AJ721-IF(AR721="",0,INDEX(fa_htb,AR721)),2))</f>
        <v/>
      </c>
      <c r="R721" s="65" t="str">
        <f>IF(A721="","",IF(AA721="Avoir",-1,1)*ROUND(AQ721-IF(AR721="",0,INDEX(fa_tvab,AR721)),2))</f>
        <v/>
      </c>
      <c r="S721" s="65" t="str">
        <f>IF(A721="","",Q721+R721)</f>
        <v/>
      </c>
      <c r="T721" s="65" t="str">
        <f>IF(AR721="","",INDEX(fa_htb,AR721)+INDEX(fa_tvab,AR721))</f>
        <v/>
      </c>
      <c r="U721" s="65" t="str">
        <f>IF(A721="","",SUMIF(pa_inv,A721,pa_amt))</f>
        <v/>
      </c>
      <c r="V721" s="65" t="str">
        <f>IF(OR(A721="",AA721="Avoir"),"",-SUMIFS(fa_ttc,fa_avof,A721,fa_type,"Avoir"))</f>
        <v/>
      </c>
      <c r="W721" s="65" t="str">
        <f>IF(OR(A721="",AA721="Avoir"),"",ROUND(S721-U721-V721,2))</f>
        <v/>
      </c>
      <c r="X721" s="66" t="str">
        <f>IF(W721="","",IF(AND(W721&gt;0,p_asof&gt;P721),p_asof-P721,""))</f>
        <v/>
      </c>
      <c r="Y721" s="59" t="str">
        <f>IF(A721="","",IF(AA721="Avoir","Avoir",IF(W721&lt;0,"Trop-perçu",IF(W721=0,"Soldée",IF(p_asof&gt;P721,"En retard",IF(U721+V721&gt;0,"Partielle","À échoir"))))))</f>
        <v/>
      </c>
      <c r="Z721" s="59" t="str">
        <f>IF(NOT(COUNTA(B721:D721,F721:O721)&gt;0),"",IF(C721="","Date manquante",IF(NOT(ISNUMBER(C721)),"Date invalide",IF(D721="","Client manquant",IF(ISNA(MATCH(D721,cli_code,0)),"Client inconnu",IF(AC721&lt;SUMPRODUCT(MAX(($AB$6:AB720=AB721)*$AC$6:AC720)),"Date antérieure à la facture précédente",IF(AND(F721&lt;&gt;"",ISNA(MATCH(F721,dv_num,0))),"Devis inconnu",IF(AND(F721&lt;&gt;"",IFERROR(INDEX(dv_client,MATCH(F721,dv_num,0)),D721)&lt;&gt;D721),"Client différent de celui du devis",IF(AG721="","Aucune ligne : saisissez des lignes ou un devis",IF(AND(AI721&lt;&gt;"",COUNTIF($AI$6:AI721,AI721)&gt;1),"Devis déjà repris par une autre facture",IF(AND(AA721="Avoir",M721=""),"Avoir : indiquez la facture d'origine",IF(AND(AA721="Avoir",ISNA(MATCH(M721,fa_num,0))),"Facture d'origine inconnue",IF(AND(AA721&lt;&gt;"Avoir",M721&lt;&gt;""),"« Avoir sur facture » : réservé aux avoirs",IF(AND(L721&lt;&gt;"",AA721&lt;&gt;"Facture"),"Acompte à déduire : réservé aux factures",IF(AND(L721&lt;&gt;"",ISNA(MATCH(L721,fa_num,0))),"Facture d'acompte inconnue",IF(AND(L721&lt;&gt;"",IFERROR(INDEX(fa_type,MATCH(L721,fa_num,0)),"")&lt;&gt;"Facture d'acompte"),"Le n° à déduire n'est pas une facture d'acompte",IF(AND(L721&lt;&gt;"",COUNTIF($L$6:L721,L721)&gt;1),"Acompte déjà déduit sur une autre facture",IF(AND(L721&lt;&gt;"",IFERROR(INDEX(fa_client,MATCH(L721,fa_num,0)),D721)&lt;&gt;D721),"Acompte d'un autre client",IF(AND(AR721&lt;&gt;"",N(Q721)&lt;0),"Acompte supérieur au total de la facture",IF(IF(AG721="Facture",COUNTIFS(fl_doc,A721,fl_check,"&lt;&gt;OK"),IF(AG721="Devis",COUNTIFS(dl_doc,F721,dl_check,"&lt;&gt;OK"),0))&gt;0,"Ligne(s) à corriger",IF(AND(W721&lt;&gt;"",N(W721)&lt;0),"Trop-perçu : vérifiez paiements et avoirs","OK")))))))))))))))))))))</f>
        <v/>
      </c>
      <c r="AA721" s="62" t="str">
        <f>IF(COUNTA(B721:D721,F721:O721)&gt;0,IF(B721="","Facture",B721),"")</f>
        <v/>
      </c>
      <c r="AB721" s="62" t="str">
        <f>IF(AA721="","",IF(AA721="Avoir",p_pav,IF(AA721="Facture d'acompte",p_pac,p_pfa)))</f>
        <v/>
      </c>
      <c r="AC721" s="62">
        <f>IF(ISNUMBER(C721),C721,0)</f>
        <v>0.0</v>
      </c>
      <c r="AD721" s="62" t="str">
        <f>IF(OR(AA721="",AC721=0),"",YEAR(AC721))</f>
        <v/>
      </c>
      <c r="AE721" s="62" t="str">
        <f>IF(AD721="","",COUNTIFS($AB$6:AB721,AB721,$AD$6:AD721,AD721))</f>
        <v/>
      </c>
      <c r="AF721" s="62">
        <f>IF(A721="",0,COUNTIF(fl_doc,A721))</f>
        <v>0.0</v>
      </c>
      <c r="AG721" s="62" t="str">
        <f>IF(A721="","",IF(AF721&gt;0,"Facture",IF(AND(F721&lt;&gt;"",AA721="Facture",ISNUMBER(MATCH(F721,dv_num,0))),"Devis","")))</f>
        <v/>
      </c>
      <c r="AH721" s="62" t="str">
        <f>IF(AND(A721&lt;&gt;"",F721&lt;&gt;"",AA721&lt;&gt;"Avoir"),F721,"")</f>
        <v/>
      </c>
      <c r="AI721" s="62" t="str">
        <f>IF(AG721="Devis",F721,"")</f>
        <v/>
      </c>
      <c r="AJ721" s="62">
        <f>IF(AG721="Facture",SUMIF(fl_doc,A721,fl_ht),IF(AG721="Devis",SUMIF(dl_doc,F721,dl_ht),0))</f>
        <v>0.0</v>
      </c>
      <c r="AK721" s="62">
        <f>IF(OR(AG721="",INDEX(p_rates,1)=""),0,IF(AG721="Facture",SUMIFS(fl_ht,fl_doc,A721,fl_rate,INDEX(p_rates,1)),SUMIFS(dl_ht,dl_doc,F721,dl_rate,INDEX(p_rates,1))))</f>
        <v>0.0</v>
      </c>
      <c r="AL721" s="62">
        <f>IF(OR(AG721="",INDEX(p_rates,2)=""),0,IF(AG721="Facture",SUMIFS(fl_ht,fl_doc,A721,fl_rate,INDEX(p_rates,2)),SUMIFS(dl_ht,dl_doc,F721,dl_rate,INDEX(p_rates,2))))</f>
        <v>0.0</v>
      </c>
      <c r="AM721" s="62">
        <f>IF(OR(AG721="",INDEX(p_rates,3)=""),0,IF(AG721="Facture",SUMIFS(fl_ht,fl_doc,A721,fl_rate,INDEX(p_rates,3)),SUMIFS(dl_ht,dl_doc,F721,dl_rate,INDEX(p_rates,3))))</f>
        <v>0.0</v>
      </c>
      <c r="AN721" s="62">
        <f>IF(OR(AG721="",INDEX(p_rates,4)=""),0,IF(AG721="Facture",SUMIFS(fl_ht,fl_doc,A721,fl_rate,INDEX(p_rates,4)),SUMIFS(dl_ht,dl_doc,F721,dl_rate,INDEX(p_rates,4))))</f>
        <v>0.0</v>
      </c>
      <c r="AO721" s="62">
        <f>IF(OR(AG721="",INDEX(p_rates,5)=""),0,IF(AG721="Facture",SUMIFS(fl_ht,fl_doc,A721,fl_rate,INDEX(p_rates,5)),SUMIFS(dl_ht,dl_doc,F721,dl_rate,INDEX(p_rates,5))))</f>
        <v>0.0</v>
      </c>
      <c r="AP721" s="62">
        <f>IF(OR(AG721="",INDEX(p_rates,6)=""),0,IF(AG721="Facture",SUMIFS(fl_ht,fl_doc,A721,fl_rate,INDEX(p_rates,6)),SUMIFS(dl_ht,dl_doc,F721,dl_rate,INDEX(p_rates,6))))</f>
        <v>0.0</v>
      </c>
      <c r="AQ721" s="62">
        <f>ROUND(AK721*N(INDEX(p_rates,1)),2)+ROUND(AL721*N(INDEX(p_rates,2)),2)+ROUND(AM721*N(INDEX(p_rates,3)),2)+ROUND(AN721*N(INDEX(p_rates,4)),2)+ROUND(AO721*N(INDEX(p_rates,5)),2)+ROUND(AP721*N(INDEX(p_rates,6)),2)</f>
        <v>0.0</v>
      </c>
      <c r="AR721" s="62" t="str">
        <f>IF(OR(L721="",AA721&lt;&gt;"Facture"),"",IFERROR(IF(INDEX(fa_type,MATCH(L721,fa_num,0))="Facture d'acompte",MATCH(L721,fa_num,0),""),""))</f>
        <v/>
      </c>
      <c r="AS721" s="62" t="str">
        <f>IF(W721="","",IF(W721&lt;=0,"",IF(p_asof-P721&lt;=0,"Non échu",IF(p_asof-P721&lt;=30,"1-30 j",IF(p_asof-P721&lt;=60,"31-60 j",IF(p_asof-P721&lt;=90,"61-90 j","Plus de 90 j"))))))</f>
        <v/>
      </c>
      <c r="AT721" s="62" t="str">
        <f>IF(AS721="","",p_asof-P721)</f>
        <v/>
      </c>
      <c r="AU721" s="62" t="str">
        <f>IF(AT721="","",COUNTIF($AT$6:$AT$805,"&gt;"&amp;AT721)+COUNTIF($AT$6:AT721,AT721))</f>
        <v/>
      </c>
    </row>
    <row r="722">
      <c r="A722" s="59" t="str">
        <f>IF(AE722="","",AB722&amp;"-"&amp;AD722&amp;"-"&amp;RIGHT("000"&amp;AE722,4))</f>
        <v/>
      </c>
      <c r="B722" s="60" t="n"/>
      <c r="C722" s="61" t="n"/>
      <c r="D722" s="60" t="n"/>
      <c r="E722" s="62" t="str">
        <f>IF(D722="","",IFERROR(INDEX(cli_name,MATCH(D722,cli_code,0))&amp;"","Client inconnu"))</f>
        <v/>
      </c>
      <c r="F722" s="60" t="n"/>
      <c r="G722" s="63" t="n"/>
      <c r="H722" s="61" t="n"/>
      <c r="I722" s="63" t="n"/>
      <c r="J722" s="60" t="n"/>
      <c r="K722" s="61" t="n"/>
      <c r="L722" s="60" t="n"/>
      <c r="M722" s="60" t="n"/>
      <c r="N722" s="60" t="n"/>
      <c r="O722" s="61" t="n"/>
      <c r="P722" s="64" t="str">
        <f>IF(A722="","",IF(AA722="Avoir",AC722,IF(ISNUMBER(K722),K722,AC722+IF(D722="",N(p_delay),IFERROR(IF(ISNUMBER(INDEX(cli_delay,MATCH(D722,cli_code,0))),INDEX(cli_delay,MATCH(D722,cli_code,0)),N(p_delay)),N(p_delay))))))</f>
        <v/>
      </c>
      <c r="Q722" s="65" t="str">
        <f>IF(A722="","",IF(AA722="Avoir",-1,1)*ROUND(AJ722-IF(AR722="",0,INDEX(fa_htb,AR722)),2))</f>
        <v/>
      </c>
      <c r="R722" s="65" t="str">
        <f>IF(A722="","",IF(AA722="Avoir",-1,1)*ROUND(AQ722-IF(AR722="",0,INDEX(fa_tvab,AR722)),2))</f>
        <v/>
      </c>
      <c r="S722" s="65" t="str">
        <f>IF(A722="","",Q722+R722)</f>
        <v/>
      </c>
      <c r="T722" s="65" t="str">
        <f>IF(AR722="","",INDEX(fa_htb,AR722)+INDEX(fa_tvab,AR722))</f>
        <v/>
      </c>
      <c r="U722" s="65" t="str">
        <f>IF(A722="","",SUMIF(pa_inv,A722,pa_amt))</f>
        <v/>
      </c>
      <c r="V722" s="65" t="str">
        <f>IF(OR(A722="",AA722="Avoir"),"",-SUMIFS(fa_ttc,fa_avof,A722,fa_type,"Avoir"))</f>
        <v/>
      </c>
      <c r="W722" s="65" t="str">
        <f>IF(OR(A722="",AA722="Avoir"),"",ROUND(S722-U722-V722,2))</f>
        <v/>
      </c>
      <c r="X722" s="66" t="str">
        <f>IF(W722="","",IF(AND(W722&gt;0,p_asof&gt;P722),p_asof-P722,""))</f>
        <v/>
      </c>
      <c r="Y722" s="59" t="str">
        <f>IF(A722="","",IF(AA722="Avoir","Avoir",IF(W722&lt;0,"Trop-perçu",IF(W722=0,"Soldée",IF(p_asof&gt;P722,"En retard",IF(U722+V722&gt;0,"Partielle","À échoir"))))))</f>
        <v/>
      </c>
      <c r="Z722" s="59" t="str">
        <f>IF(NOT(COUNTA(B722:D722,F722:O722)&gt;0),"",IF(C722="","Date manquante",IF(NOT(ISNUMBER(C722)),"Date invalide",IF(D722="","Client manquant",IF(ISNA(MATCH(D722,cli_code,0)),"Client inconnu",IF(AC722&lt;SUMPRODUCT(MAX(($AB$6:AB721=AB722)*$AC$6:AC721)),"Date antérieure à la facture précédente",IF(AND(F722&lt;&gt;"",ISNA(MATCH(F722,dv_num,0))),"Devis inconnu",IF(AND(F722&lt;&gt;"",IFERROR(INDEX(dv_client,MATCH(F722,dv_num,0)),D722)&lt;&gt;D722),"Client différent de celui du devis",IF(AG722="","Aucune ligne : saisissez des lignes ou un devis",IF(AND(AI722&lt;&gt;"",COUNTIF($AI$6:AI722,AI722)&gt;1),"Devis déjà repris par une autre facture",IF(AND(AA722="Avoir",M722=""),"Avoir : indiquez la facture d'origine",IF(AND(AA722="Avoir",ISNA(MATCH(M722,fa_num,0))),"Facture d'origine inconnue",IF(AND(AA722&lt;&gt;"Avoir",M722&lt;&gt;""),"« Avoir sur facture » : réservé aux avoirs",IF(AND(L722&lt;&gt;"",AA722&lt;&gt;"Facture"),"Acompte à déduire : réservé aux factures",IF(AND(L722&lt;&gt;"",ISNA(MATCH(L722,fa_num,0))),"Facture d'acompte inconnue",IF(AND(L722&lt;&gt;"",IFERROR(INDEX(fa_type,MATCH(L722,fa_num,0)),"")&lt;&gt;"Facture d'acompte"),"Le n° à déduire n'est pas une facture d'acompte",IF(AND(L722&lt;&gt;"",COUNTIF($L$6:L722,L722)&gt;1),"Acompte déjà déduit sur une autre facture",IF(AND(L722&lt;&gt;"",IFERROR(INDEX(fa_client,MATCH(L722,fa_num,0)),D722)&lt;&gt;D722),"Acompte d'un autre client",IF(AND(AR722&lt;&gt;"",N(Q722)&lt;0),"Acompte supérieur au total de la facture",IF(IF(AG722="Facture",COUNTIFS(fl_doc,A722,fl_check,"&lt;&gt;OK"),IF(AG722="Devis",COUNTIFS(dl_doc,F722,dl_check,"&lt;&gt;OK"),0))&gt;0,"Ligne(s) à corriger",IF(AND(W722&lt;&gt;"",N(W722)&lt;0),"Trop-perçu : vérifiez paiements et avoirs","OK")))))))))))))))))))))</f>
        <v/>
      </c>
      <c r="AA722" s="62" t="str">
        <f>IF(COUNTA(B722:D722,F722:O722)&gt;0,IF(B722="","Facture",B722),"")</f>
        <v/>
      </c>
      <c r="AB722" s="62" t="str">
        <f>IF(AA722="","",IF(AA722="Avoir",p_pav,IF(AA722="Facture d'acompte",p_pac,p_pfa)))</f>
        <v/>
      </c>
      <c r="AC722" s="62">
        <f>IF(ISNUMBER(C722),C722,0)</f>
        <v>0.0</v>
      </c>
      <c r="AD722" s="62" t="str">
        <f>IF(OR(AA722="",AC722=0),"",YEAR(AC722))</f>
        <v/>
      </c>
      <c r="AE722" s="62" t="str">
        <f>IF(AD722="","",COUNTIFS($AB$6:AB722,AB722,$AD$6:AD722,AD722))</f>
        <v/>
      </c>
      <c r="AF722" s="62">
        <f>IF(A722="",0,COUNTIF(fl_doc,A722))</f>
        <v>0.0</v>
      </c>
      <c r="AG722" s="62" t="str">
        <f>IF(A722="","",IF(AF722&gt;0,"Facture",IF(AND(F722&lt;&gt;"",AA722="Facture",ISNUMBER(MATCH(F722,dv_num,0))),"Devis","")))</f>
        <v/>
      </c>
      <c r="AH722" s="62" t="str">
        <f>IF(AND(A722&lt;&gt;"",F722&lt;&gt;"",AA722&lt;&gt;"Avoir"),F722,"")</f>
        <v/>
      </c>
      <c r="AI722" s="62" t="str">
        <f>IF(AG722="Devis",F722,"")</f>
        <v/>
      </c>
      <c r="AJ722" s="62">
        <f>IF(AG722="Facture",SUMIF(fl_doc,A722,fl_ht),IF(AG722="Devis",SUMIF(dl_doc,F722,dl_ht),0))</f>
        <v>0.0</v>
      </c>
      <c r="AK722" s="62">
        <f>IF(OR(AG722="",INDEX(p_rates,1)=""),0,IF(AG722="Facture",SUMIFS(fl_ht,fl_doc,A722,fl_rate,INDEX(p_rates,1)),SUMIFS(dl_ht,dl_doc,F722,dl_rate,INDEX(p_rates,1))))</f>
        <v>0.0</v>
      </c>
      <c r="AL722" s="62">
        <f>IF(OR(AG722="",INDEX(p_rates,2)=""),0,IF(AG722="Facture",SUMIFS(fl_ht,fl_doc,A722,fl_rate,INDEX(p_rates,2)),SUMIFS(dl_ht,dl_doc,F722,dl_rate,INDEX(p_rates,2))))</f>
        <v>0.0</v>
      </c>
      <c r="AM722" s="62">
        <f>IF(OR(AG722="",INDEX(p_rates,3)=""),0,IF(AG722="Facture",SUMIFS(fl_ht,fl_doc,A722,fl_rate,INDEX(p_rates,3)),SUMIFS(dl_ht,dl_doc,F722,dl_rate,INDEX(p_rates,3))))</f>
        <v>0.0</v>
      </c>
      <c r="AN722" s="62">
        <f>IF(OR(AG722="",INDEX(p_rates,4)=""),0,IF(AG722="Facture",SUMIFS(fl_ht,fl_doc,A722,fl_rate,INDEX(p_rates,4)),SUMIFS(dl_ht,dl_doc,F722,dl_rate,INDEX(p_rates,4))))</f>
        <v>0.0</v>
      </c>
      <c r="AO722" s="62">
        <f>IF(OR(AG722="",INDEX(p_rates,5)=""),0,IF(AG722="Facture",SUMIFS(fl_ht,fl_doc,A722,fl_rate,INDEX(p_rates,5)),SUMIFS(dl_ht,dl_doc,F722,dl_rate,INDEX(p_rates,5))))</f>
        <v>0.0</v>
      </c>
      <c r="AP722" s="62">
        <f>IF(OR(AG722="",INDEX(p_rates,6)=""),0,IF(AG722="Facture",SUMIFS(fl_ht,fl_doc,A722,fl_rate,INDEX(p_rates,6)),SUMIFS(dl_ht,dl_doc,F722,dl_rate,INDEX(p_rates,6))))</f>
        <v>0.0</v>
      </c>
      <c r="AQ722" s="62">
        <f>ROUND(AK722*N(INDEX(p_rates,1)),2)+ROUND(AL722*N(INDEX(p_rates,2)),2)+ROUND(AM722*N(INDEX(p_rates,3)),2)+ROUND(AN722*N(INDEX(p_rates,4)),2)+ROUND(AO722*N(INDEX(p_rates,5)),2)+ROUND(AP722*N(INDEX(p_rates,6)),2)</f>
        <v>0.0</v>
      </c>
      <c r="AR722" s="62" t="str">
        <f>IF(OR(L722="",AA722&lt;&gt;"Facture"),"",IFERROR(IF(INDEX(fa_type,MATCH(L722,fa_num,0))="Facture d'acompte",MATCH(L722,fa_num,0),""),""))</f>
        <v/>
      </c>
      <c r="AS722" s="62" t="str">
        <f>IF(W722="","",IF(W722&lt;=0,"",IF(p_asof-P722&lt;=0,"Non échu",IF(p_asof-P722&lt;=30,"1-30 j",IF(p_asof-P722&lt;=60,"31-60 j",IF(p_asof-P722&lt;=90,"61-90 j","Plus de 90 j"))))))</f>
        <v/>
      </c>
      <c r="AT722" s="62" t="str">
        <f>IF(AS722="","",p_asof-P722)</f>
        <v/>
      </c>
      <c r="AU722" s="62" t="str">
        <f>IF(AT722="","",COUNTIF($AT$6:$AT$805,"&gt;"&amp;AT722)+COUNTIF($AT$6:AT722,AT722))</f>
        <v/>
      </c>
    </row>
    <row r="723">
      <c r="A723" s="59" t="str">
        <f>IF(AE723="","",AB723&amp;"-"&amp;AD723&amp;"-"&amp;RIGHT("000"&amp;AE723,4))</f>
        <v/>
      </c>
      <c r="B723" s="60" t="n"/>
      <c r="C723" s="61" t="n"/>
      <c r="D723" s="60" t="n"/>
      <c r="E723" s="62" t="str">
        <f>IF(D723="","",IFERROR(INDEX(cli_name,MATCH(D723,cli_code,0))&amp;"","Client inconnu"))</f>
        <v/>
      </c>
      <c r="F723" s="60" t="n"/>
      <c r="G723" s="63" t="n"/>
      <c r="H723" s="61" t="n"/>
      <c r="I723" s="63" t="n"/>
      <c r="J723" s="60" t="n"/>
      <c r="K723" s="61" t="n"/>
      <c r="L723" s="60" t="n"/>
      <c r="M723" s="60" t="n"/>
      <c r="N723" s="60" t="n"/>
      <c r="O723" s="61" t="n"/>
      <c r="P723" s="64" t="str">
        <f>IF(A723="","",IF(AA723="Avoir",AC723,IF(ISNUMBER(K723),K723,AC723+IF(D723="",N(p_delay),IFERROR(IF(ISNUMBER(INDEX(cli_delay,MATCH(D723,cli_code,0))),INDEX(cli_delay,MATCH(D723,cli_code,0)),N(p_delay)),N(p_delay))))))</f>
        <v/>
      </c>
      <c r="Q723" s="65" t="str">
        <f>IF(A723="","",IF(AA723="Avoir",-1,1)*ROUND(AJ723-IF(AR723="",0,INDEX(fa_htb,AR723)),2))</f>
        <v/>
      </c>
      <c r="R723" s="65" t="str">
        <f>IF(A723="","",IF(AA723="Avoir",-1,1)*ROUND(AQ723-IF(AR723="",0,INDEX(fa_tvab,AR723)),2))</f>
        <v/>
      </c>
      <c r="S723" s="65" t="str">
        <f>IF(A723="","",Q723+R723)</f>
        <v/>
      </c>
      <c r="T723" s="65" t="str">
        <f>IF(AR723="","",INDEX(fa_htb,AR723)+INDEX(fa_tvab,AR723))</f>
        <v/>
      </c>
      <c r="U723" s="65" t="str">
        <f>IF(A723="","",SUMIF(pa_inv,A723,pa_amt))</f>
        <v/>
      </c>
      <c r="V723" s="65" t="str">
        <f>IF(OR(A723="",AA723="Avoir"),"",-SUMIFS(fa_ttc,fa_avof,A723,fa_type,"Avoir"))</f>
        <v/>
      </c>
      <c r="W723" s="65" t="str">
        <f>IF(OR(A723="",AA723="Avoir"),"",ROUND(S723-U723-V723,2))</f>
        <v/>
      </c>
      <c r="X723" s="66" t="str">
        <f>IF(W723="","",IF(AND(W723&gt;0,p_asof&gt;P723),p_asof-P723,""))</f>
        <v/>
      </c>
      <c r="Y723" s="59" t="str">
        <f>IF(A723="","",IF(AA723="Avoir","Avoir",IF(W723&lt;0,"Trop-perçu",IF(W723=0,"Soldée",IF(p_asof&gt;P723,"En retard",IF(U723+V723&gt;0,"Partielle","À échoir"))))))</f>
        <v/>
      </c>
      <c r="Z723" s="59" t="str">
        <f>IF(NOT(COUNTA(B723:D723,F723:O723)&gt;0),"",IF(C723="","Date manquante",IF(NOT(ISNUMBER(C723)),"Date invalide",IF(D723="","Client manquant",IF(ISNA(MATCH(D723,cli_code,0)),"Client inconnu",IF(AC723&lt;SUMPRODUCT(MAX(($AB$6:AB722=AB723)*$AC$6:AC722)),"Date antérieure à la facture précédente",IF(AND(F723&lt;&gt;"",ISNA(MATCH(F723,dv_num,0))),"Devis inconnu",IF(AND(F723&lt;&gt;"",IFERROR(INDEX(dv_client,MATCH(F723,dv_num,0)),D723)&lt;&gt;D723),"Client différent de celui du devis",IF(AG723="","Aucune ligne : saisissez des lignes ou un devis",IF(AND(AI723&lt;&gt;"",COUNTIF($AI$6:AI723,AI723)&gt;1),"Devis déjà repris par une autre facture",IF(AND(AA723="Avoir",M723=""),"Avoir : indiquez la facture d'origine",IF(AND(AA723="Avoir",ISNA(MATCH(M723,fa_num,0))),"Facture d'origine inconnue",IF(AND(AA723&lt;&gt;"Avoir",M723&lt;&gt;""),"« Avoir sur facture » : réservé aux avoirs",IF(AND(L723&lt;&gt;"",AA723&lt;&gt;"Facture"),"Acompte à déduire : réservé aux factures",IF(AND(L723&lt;&gt;"",ISNA(MATCH(L723,fa_num,0))),"Facture d'acompte inconnue",IF(AND(L723&lt;&gt;"",IFERROR(INDEX(fa_type,MATCH(L723,fa_num,0)),"")&lt;&gt;"Facture d'acompte"),"Le n° à déduire n'est pas une facture d'acompte",IF(AND(L723&lt;&gt;"",COUNTIF($L$6:L723,L723)&gt;1),"Acompte déjà déduit sur une autre facture",IF(AND(L723&lt;&gt;"",IFERROR(INDEX(fa_client,MATCH(L723,fa_num,0)),D723)&lt;&gt;D723),"Acompte d'un autre client",IF(AND(AR723&lt;&gt;"",N(Q723)&lt;0),"Acompte supérieur au total de la facture",IF(IF(AG723="Facture",COUNTIFS(fl_doc,A723,fl_check,"&lt;&gt;OK"),IF(AG723="Devis",COUNTIFS(dl_doc,F723,dl_check,"&lt;&gt;OK"),0))&gt;0,"Ligne(s) à corriger",IF(AND(W723&lt;&gt;"",N(W723)&lt;0),"Trop-perçu : vérifiez paiements et avoirs","OK")))))))))))))))))))))</f>
        <v/>
      </c>
      <c r="AA723" s="62" t="str">
        <f>IF(COUNTA(B723:D723,F723:O723)&gt;0,IF(B723="","Facture",B723),"")</f>
        <v/>
      </c>
      <c r="AB723" s="62" t="str">
        <f>IF(AA723="","",IF(AA723="Avoir",p_pav,IF(AA723="Facture d'acompte",p_pac,p_pfa)))</f>
        <v/>
      </c>
      <c r="AC723" s="62">
        <f>IF(ISNUMBER(C723),C723,0)</f>
        <v>0.0</v>
      </c>
      <c r="AD723" s="62" t="str">
        <f>IF(OR(AA723="",AC723=0),"",YEAR(AC723))</f>
        <v/>
      </c>
      <c r="AE723" s="62" t="str">
        <f>IF(AD723="","",COUNTIFS($AB$6:AB723,AB723,$AD$6:AD723,AD723))</f>
        <v/>
      </c>
      <c r="AF723" s="62">
        <f>IF(A723="",0,COUNTIF(fl_doc,A723))</f>
        <v>0.0</v>
      </c>
      <c r="AG723" s="62" t="str">
        <f>IF(A723="","",IF(AF723&gt;0,"Facture",IF(AND(F723&lt;&gt;"",AA723="Facture",ISNUMBER(MATCH(F723,dv_num,0))),"Devis","")))</f>
        <v/>
      </c>
      <c r="AH723" s="62" t="str">
        <f>IF(AND(A723&lt;&gt;"",F723&lt;&gt;"",AA723&lt;&gt;"Avoir"),F723,"")</f>
        <v/>
      </c>
      <c r="AI723" s="62" t="str">
        <f>IF(AG723="Devis",F723,"")</f>
        <v/>
      </c>
      <c r="AJ723" s="62">
        <f>IF(AG723="Facture",SUMIF(fl_doc,A723,fl_ht),IF(AG723="Devis",SUMIF(dl_doc,F723,dl_ht),0))</f>
        <v>0.0</v>
      </c>
      <c r="AK723" s="62">
        <f>IF(OR(AG723="",INDEX(p_rates,1)=""),0,IF(AG723="Facture",SUMIFS(fl_ht,fl_doc,A723,fl_rate,INDEX(p_rates,1)),SUMIFS(dl_ht,dl_doc,F723,dl_rate,INDEX(p_rates,1))))</f>
        <v>0.0</v>
      </c>
      <c r="AL723" s="62">
        <f>IF(OR(AG723="",INDEX(p_rates,2)=""),0,IF(AG723="Facture",SUMIFS(fl_ht,fl_doc,A723,fl_rate,INDEX(p_rates,2)),SUMIFS(dl_ht,dl_doc,F723,dl_rate,INDEX(p_rates,2))))</f>
        <v>0.0</v>
      </c>
      <c r="AM723" s="62">
        <f>IF(OR(AG723="",INDEX(p_rates,3)=""),0,IF(AG723="Facture",SUMIFS(fl_ht,fl_doc,A723,fl_rate,INDEX(p_rates,3)),SUMIFS(dl_ht,dl_doc,F723,dl_rate,INDEX(p_rates,3))))</f>
        <v>0.0</v>
      </c>
      <c r="AN723" s="62">
        <f>IF(OR(AG723="",INDEX(p_rates,4)=""),0,IF(AG723="Facture",SUMIFS(fl_ht,fl_doc,A723,fl_rate,INDEX(p_rates,4)),SUMIFS(dl_ht,dl_doc,F723,dl_rate,INDEX(p_rates,4))))</f>
        <v>0.0</v>
      </c>
      <c r="AO723" s="62">
        <f>IF(OR(AG723="",INDEX(p_rates,5)=""),0,IF(AG723="Facture",SUMIFS(fl_ht,fl_doc,A723,fl_rate,INDEX(p_rates,5)),SUMIFS(dl_ht,dl_doc,F723,dl_rate,INDEX(p_rates,5))))</f>
        <v>0.0</v>
      </c>
      <c r="AP723" s="62">
        <f>IF(OR(AG723="",INDEX(p_rates,6)=""),0,IF(AG723="Facture",SUMIFS(fl_ht,fl_doc,A723,fl_rate,INDEX(p_rates,6)),SUMIFS(dl_ht,dl_doc,F723,dl_rate,INDEX(p_rates,6))))</f>
        <v>0.0</v>
      </c>
      <c r="AQ723" s="62">
        <f>ROUND(AK723*N(INDEX(p_rates,1)),2)+ROUND(AL723*N(INDEX(p_rates,2)),2)+ROUND(AM723*N(INDEX(p_rates,3)),2)+ROUND(AN723*N(INDEX(p_rates,4)),2)+ROUND(AO723*N(INDEX(p_rates,5)),2)+ROUND(AP723*N(INDEX(p_rates,6)),2)</f>
        <v>0.0</v>
      </c>
      <c r="AR723" s="62" t="str">
        <f>IF(OR(L723="",AA723&lt;&gt;"Facture"),"",IFERROR(IF(INDEX(fa_type,MATCH(L723,fa_num,0))="Facture d'acompte",MATCH(L723,fa_num,0),""),""))</f>
        <v/>
      </c>
      <c r="AS723" s="62" t="str">
        <f>IF(W723="","",IF(W723&lt;=0,"",IF(p_asof-P723&lt;=0,"Non échu",IF(p_asof-P723&lt;=30,"1-30 j",IF(p_asof-P723&lt;=60,"31-60 j",IF(p_asof-P723&lt;=90,"61-90 j","Plus de 90 j"))))))</f>
        <v/>
      </c>
      <c r="AT723" s="62" t="str">
        <f>IF(AS723="","",p_asof-P723)</f>
        <v/>
      </c>
      <c r="AU723" s="62" t="str">
        <f>IF(AT723="","",COUNTIF($AT$6:$AT$805,"&gt;"&amp;AT723)+COUNTIF($AT$6:AT723,AT723))</f>
        <v/>
      </c>
    </row>
    <row r="724">
      <c r="A724" s="59" t="str">
        <f>IF(AE724="","",AB724&amp;"-"&amp;AD724&amp;"-"&amp;RIGHT("000"&amp;AE724,4))</f>
        <v/>
      </c>
      <c r="B724" s="60" t="n"/>
      <c r="C724" s="61" t="n"/>
      <c r="D724" s="60" t="n"/>
      <c r="E724" s="62" t="str">
        <f>IF(D724="","",IFERROR(INDEX(cli_name,MATCH(D724,cli_code,0))&amp;"","Client inconnu"))</f>
        <v/>
      </c>
      <c r="F724" s="60" t="n"/>
      <c r="G724" s="63" t="n"/>
      <c r="H724" s="61" t="n"/>
      <c r="I724" s="63" t="n"/>
      <c r="J724" s="60" t="n"/>
      <c r="K724" s="61" t="n"/>
      <c r="L724" s="60" t="n"/>
      <c r="M724" s="60" t="n"/>
      <c r="N724" s="60" t="n"/>
      <c r="O724" s="61" t="n"/>
      <c r="P724" s="64" t="str">
        <f>IF(A724="","",IF(AA724="Avoir",AC724,IF(ISNUMBER(K724),K724,AC724+IF(D724="",N(p_delay),IFERROR(IF(ISNUMBER(INDEX(cli_delay,MATCH(D724,cli_code,0))),INDEX(cli_delay,MATCH(D724,cli_code,0)),N(p_delay)),N(p_delay))))))</f>
        <v/>
      </c>
      <c r="Q724" s="65" t="str">
        <f>IF(A724="","",IF(AA724="Avoir",-1,1)*ROUND(AJ724-IF(AR724="",0,INDEX(fa_htb,AR724)),2))</f>
        <v/>
      </c>
      <c r="R724" s="65" t="str">
        <f>IF(A724="","",IF(AA724="Avoir",-1,1)*ROUND(AQ724-IF(AR724="",0,INDEX(fa_tvab,AR724)),2))</f>
        <v/>
      </c>
      <c r="S724" s="65" t="str">
        <f>IF(A724="","",Q724+R724)</f>
        <v/>
      </c>
      <c r="T724" s="65" t="str">
        <f>IF(AR724="","",INDEX(fa_htb,AR724)+INDEX(fa_tvab,AR724))</f>
        <v/>
      </c>
      <c r="U724" s="65" t="str">
        <f>IF(A724="","",SUMIF(pa_inv,A724,pa_amt))</f>
        <v/>
      </c>
      <c r="V724" s="65" t="str">
        <f>IF(OR(A724="",AA724="Avoir"),"",-SUMIFS(fa_ttc,fa_avof,A724,fa_type,"Avoir"))</f>
        <v/>
      </c>
      <c r="W724" s="65" t="str">
        <f>IF(OR(A724="",AA724="Avoir"),"",ROUND(S724-U724-V724,2))</f>
        <v/>
      </c>
      <c r="X724" s="66" t="str">
        <f>IF(W724="","",IF(AND(W724&gt;0,p_asof&gt;P724),p_asof-P724,""))</f>
        <v/>
      </c>
      <c r="Y724" s="59" t="str">
        <f>IF(A724="","",IF(AA724="Avoir","Avoir",IF(W724&lt;0,"Trop-perçu",IF(W724=0,"Soldée",IF(p_asof&gt;P724,"En retard",IF(U724+V724&gt;0,"Partielle","À échoir"))))))</f>
        <v/>
      </c>
      <c r="Z724" s="59" t="str">
        <f>IF(NOT(COUNTA(B724:D724,F724:O724)&gt;0),"",IF(C724="","Date manquante",IF(NOT(ISNUMBER(C724)),"Date invalide",IF(D724="","Client manquant",IF(ISNA(MATCH(D724,cli_code,0)),"Client inconnu",IF(AC724&lt;SUMPRODUCT(MAX(($AB$6:AB723=AB724)*$AC$6:AC723)),"Date antérieure à la facture précédente",IF(AND(F724&lt;&gt;"",ISNA(MATCH(F724,dv_num,0))),"Devis inconnu",IF(AND(F724&lt;&gt;"",IFERROR(INDEX(dv_client,MATCH(F724,dv_num,0)),D724)&lt;&gt;D724),"Client différent de celui du devis",IF(AG724="","Aucune ligne : saisissez des lignes ou un devis",IF(AND(AI724&lt;&gt;"",COUNTIF($AI$6:AI724,AI724)&gt;1),"Devis déjà repris par une autre facture",IF(AND(AA724="Avoir",M724=""),"Avoir : indiquez la facture d'origine",IF(AND(AA724="Avoir",ISNA(MATCH(M724,fa_num,0))),"Facture d'origine inconnue",IF(AND(AA724&lt;&gt;"Avoir",M724&lt;&gt;""),"« Avoir sur facture » : réservé aux avoirs",IF(AND(L724&lt;&gt;"",AA724&lt;&gt;"Facture"),"Acompte à déduire : réservé aux factures",IF(AND(L724&lt;&gt;"",ISNA(MATCH(L724,fa_num,0))),"Facture d'acompte inconnue",IF(AND(L724&lt;&gt;"",IFERROR(INDEX(fa_type,MATCH(L724,fa_num,0)),"")&lt;&gt;"Facture d'acompte"),"Le n° à déduire n'est pas une facture d'acompte",IF(AND(L724&lt;&gt;"",COUNTIF($L$6:L724,L724)&gt;1),"Acompte déjà déduit sur une autre facture",IF(AND(L724&lt;&gt;"",IFERROR(INDEX(fa_client,MATCH(L724,fa_num,0)),D724)&lt;&gt;D724),"Acompte d'un autre client",IF(AND(AR724&lt;&gt;"",N(Q724)&lt;0),"Acompte supérieur au total de la facture",IF(IF(AG724="Facture",COUNTIFS(fl_doc,A724,fl_check,"&lt;&gt;OK"),IF(AG724="Devis",COUNTIFS(dl_doc,F724,dl_check,"&lt;&gt;OK"),0))&gt;0,"Ligne(s) à corriger",IF(AND(W724&lt;&gt;"",N(W724)&lt;0),"Trop-perçu : vérifiez paiements et avoirs","OK")))))))))))))))))))))</f>
        <v/>
      </c>
      <c r="AA724" s="62" t="str">
        <f>IF(COUNTA(B724:D724,F724:O724)&gt;0,IF(B724="","Facture",B724),"")</f>
        <v/>
      </c>
      <c r="AB724" s="62" t="str">
        <f>IF(AA724="","",IF(AA724="Avoir",p_pav,IF(AA724="Facture d'acompte",p_pac,p_pfa)))</f>
        <v/>
      </c>
      <c r="AC724" s="62">
        <f>IF(ISNUMBER(C724),C724,0)</f>
        <v>0.0</v>
      </c>
      <c r="AD724" s="62" t="str">
        <f>IF(OR(AA724="",AC724=0),"",YEAR(AC724))</f>
        <v/>
      </c>
      <c r="AE724" s="62" t="str">
        <f>IF(AD724="","",COUNTIFS($AB$6:AB724,AB724,$AD$6:AD724,AD724))</f>
        <v/>
      </c>
      <c r="AF724" s="62">
        <f>IF(A724="",0,COUNTIF(fl_doc,A724))</f>
        <v>0.0</v>
      </c>
      <c r="AG724" s="62" t="str">
        <f>IF(A724="","",IF(AF724&gt;0,"Facture",IF(AND(F724&lt;&gt;"",AA724="Facture",ISNUMBER(MATCH(F724,dv_num,0))),"Devis","")))</f>
        <v/>
      </c>
      <c r="AH724" s="62" t="str">
        <f>IF(AND(A724&lt;&gt;"",F724&lt;&gt;"",AA724&lt;&gt;"Avoir"),F724,"")</f>
        <v/>
      </c>
      <c r="AI724" s="62" t="str">
        <f>IF(AG724="Devis",F724,"")</f>
        <v/>
      </c>
      <c r="AJ724" s="62">
        <f>IF(AG724="Facture",SUMIF(fl_doc,A724,fl_ht),IF(AG724="Devis",SUMIF(dl_doc,F724,dl_ht),0))</f>
        <v>0.0</v>
      </c>
      <c r="AK724" s="62">
        <f>IF(OR(AG724="",INDEX(p_rates,1)=""),0,IF(AG724="Facture",SUMIFS(fl_ht,fl_doc,A724,fl_rate,INDEX(p_rates,1)),SUMIFS(dl_ht,dl_doc,F724,dl_rate,INDEX(p_rates,1))))</f>
        <v>0.0</v>
      </c>
      <c r="AL724" s="62">
        <f>IF(OR(AG724="",INDEX(p_rates,2)=""),0,IF(AG724="Facture",SUMIFS(fl_ht,fl_doc,A724,fl_rate,INDEX(p_rates,2)),SUMIFS(dl_ht,dl_doc,F724,dl_rate,INDEX(p_rates,2))))</f>
        <v>0.0</v>
      </c>
      <c r="AM724" s="62">
        <f>IF(OR(AG724="",INDEX(p_rates,3)=""),0,IF(AG724="Facture",SUMIFS(fl_ht,fl_doc,A724,fl_rate,INDEX(p_rates,3)),SUMIFS(dl_ht,dl_doc,F724,dl_rate,INDEX(p_rates,3))))</f>
        <v>0.0</v>
      </c>
      <c r="AN724" s="62">
        <f>IF(OR(AG724="",INDEX(p_rates,4)=""),0,IF(AG724="Facture",SUMIFS(fl_ht,fl_doc,A724,fl_rate,INDEX(p_rates,4)),SUMIFS(dl_ht,dl_doc,F724,dl_rate,INDEX(p_rates,4))))</f>
        <v>0.0</v>
      </c>
      <c r="AO724" s="62">
        <f>IF(OR(AG724="",INDEX(p_rates,5)=""),0,IF(AG724="Facture",SUMIFS(fl_ht,fl_doc,A724,fl_rate,INDEX(p_rates,5)),SUMIFS(dl_ht,dl_doc,F724,dl_rate,INDEX(p_rates,5))))</f>
        <v>0.0</v>
      </c>
      <c r="AP724" s="62">
        <f>IF(OR(AG724="",INDEX(p_rates,6)=""),0,IF(AG724="Facture",SUMIFS(fl_ht,fl_doc,A724,fl_rate,INDEX(p_rates,6)),SUMIFS(dl_ht,dl_doc,F724,dl_rate,INDEX(p_rates,6))))</f>
        <v>0.0</v>
      </c>
      <c r="AQ724" s="62">
        <f>ROUND(AK724*N(INDEX(p_rates,1)),2)+ROUND(AL724*N(INDEX(p_rates,2)),2)+ROUND(AM724*N(INDEX(p_rates,3)),2)+ROUND(AN724*N(INDEX(p_rates,4)),2)+ROUND(AO724*N(INDEX(p_rates,5)),2)+ROUND(AP724*N(INDEX(p_rates,6)),2)</f>
        <v>0.0</v>
      </c>
      <c r="AR724" s="62" t="str">
        <f>IF(OR(L724="",AA724&lt;&gt;"Facture"),"",IFERROR(IF(INDEX(fa_type,MATCH(L724,fa_num,0))="Facture d'acompte",MATCH(L724,fa_num,0),""),""))</f>
        <v/>
      </c>
      <c r="AS724" s="62" t="str">
        <f>IF(W724="","",IF(W724&lt;=0,"",IF(p_asof-P724&lt;=0,"Non échu",IF(p_asof-P724&lt;=30,"1-30 j",IF(p_asof-P724&lt;=60,"31-60 j",IF(p_asof-P724&lt;=90,"61-90 j","Plus de 90 j"))))))</f>
        <v/>
      </c>
      <c r="AT724" s="62" t="str">
        <f>IF(AS724="","",p_asof-P724)</f>
        <v/>
      </c>
      <c r="AU724" s="62" t="str">
        <f>IF(AT724="","",COUNTIF($AT$6:$AT$805,"&gt;"&amp;AT724)+COUNTIF($AT$6:AT724,AT724))</f>
        <v/>
      </c>
    </row>
    <row r="725">
      <c r="A725" s="59" t="str">
        <f>IF(AE725="","",AB725&amp;"-"&amp;AD725&amp;"-"&amp;RIGHT("000"&amp;AE725,4))</f>
        <v/>
      </c>
      <c r="B725" s="60" t="n"/>
      <c r="C725" s="61" t="n"/>
      <c r="D725" s="60" t="n"/>
      <c r="E725" s="62" t="str">
        <f>IF(D725="","",IFERROR(INDEX(cli_name,MATCH(D725,cli_code,0))&amp;"","Client inconnu"))</f>
        <v/>
      </c>
      <c r="F725" s="60" t="n"/>
      <c r="G725" s="63" t="n"/>
      <c r="H725" s="61" t="n"/>
      <c r="I725" s="63" t="n"/>
      <c r="J725" s="60" t="n"/>
      <c r="K725" s="61" t="n"/>
      <c r="L725" s="60" t="n"/>
      <c r="M725" s="60" t="n"/>
      <c r="N725" s="60" t="n"/>
      <c r="O725" s="61" t="n"/>
      <c r="P725" s="64" t="str">
        <f>IF(A725="","",IF(AA725="Avoir",AC725,IF(ISNUMBER(K725),K725,AC725+IF(D725="",N(p_delay),IFERROR(IF(ISNUMBER(INDEX(cli_delay,MATCH(D725,cli_code,0))),INDEX(cli_delay,MATCH(D725,cli_code,0)),N(p_delay)),N(p_delay))))))</f>
        <v/>
      </c>
      <c r="Q725" s="65" t="str">
        <f>IF(A725="","",IF(AA725="Avoir",-1,1)*ROUND(AJ725-IF(AR725="",0,INDEX(fa_htb,AR725)),2))</f>
        <v/>
      </c>
      <c r="R725" s="65" t="str">
        <f>IF(A725="","",IF(AA725="Avoir",-1,1)*ROUND(AQ725-IF(AR725="",0,INDEX(fa_tvab,AR725)),2))</f>
        <v/>
      </c>
      <c r="S725" s="65" t="str">
        <f>IF(A725="","",Q725+R725)</f>
        <v/>
      </c>
      <c r="T725" s="65" t="str">
        <f>IF(AR725="","",INDEX(fa_htb,AR725)+INDEX(fa_tvab,AR725))</f>
        <v/>
      </c>
      <c r="U725" s="65" t="str">
        <f>IF(A725="","",SUMIF(pa_inv,A725,pa_amt))</f>
        <v/>
      </c>
      <c r="V725" s="65" t="str">
        <f>IF(OR(A725="",AA725="Avoir"),"",-SUMIFS(fa_ttc,fa_avof,A725,fa_type,"Avoir"))</f>
        <v/>
      </c>
      <c r="W725" s="65" t="str">
        <f>IF(OR(A725="",AA725="Avoir"),"",ROUND(S725-U725-V725,2))</f>
        <v/>
      </c>
      <c r="X725" s="66" t="str">
        <f>IF(W725="","",IF(AND(W725&gt;0,p_asof&gt;P725),p_asof-P725,""))</f>
        <v/>
      </c>
      <c r="Y725" s="59" t="str">
        <f>IF(A725="","",IF(AA725="Avoir","Avoir",IF(W725&lt;0,"Trop-perçu",IF(W725=0,"Soldée",IF(p_asof&gt;P725,"En retard",IF(U725+V725&gt;0,"Partielle","À échoir"))))))</f>
        <v/>
      </c>
      <c r="Z725" s="59" t="str">
        <f>IF(NOT(COUNTA(B725:D725,F725:O725)&gt;0),"",IF(C725="","Date manquante",IF(NOT(ISNUMBER(C725)),"Date invalide",IF(D725="","Client manquant",IF(ISNA(MATCH(D725,cli_code,0)),"Client inconnu",IF(AC725&lt;SUMPRODUCT(MAX(($AB$6:AB724=AB725)*$AC$6:AC724)),"Date antérieure à la facture précédente",IF(AND(F725&lt;&gt;"",ISNA(MATCH(F725,dv_num,0))),"Devis inconnu",IF(AND(F725&lt;&gt;"",IFERROR(INDEX(dv_client,MATCH(F725,dv_num,0)),D725)&lt;&gt;D725),"Client différent de celui du devis",IF(AG725="","Aucune ligne : saisissez des lignes ou un devis",IF(AND(AI725&lt;&gt;"",COUNTIF($AI$6:AI725,AI725)&gt;1),"Devis déjà repris par une autre facture",IF(AND(AA725="Avoir",M725=""),"Avoir : indiquez la facture d'origine",IF(AND(AA725="Avoir",ISNA(MATCH(M725,fa_num,0))),"Facture d'origine inconnue",IF(AND(AA725&lt;&gt;"Avoir",M725&lt;&gt;""),"« Avoir sur facture » : réservé aux avoirs",IF(AND(L725&lt;&gt;"",AA725&lt;&gt;"Facture"),"Acompte à déduire : réservé aux factures",IF(AND(L725&lt;&gt;"",ISNA(MATCH(L725,fa_num,0))),"Facture d'acompte inconnue",IF(AND(L725&lt;&gt;"",IFERROR(INDEX(fa_type,MATCH(L725,fa_num,0)),"")&lt;&gt;"Facture d'acompte"),"Le n° à déduire n'est pas une facture d'acompte",IF(AND(L725&lt;&gt;"",COUNTIF($L$6:L725,L725)&gt;1),"Acompte déjà déduit sur une autre facture",IF(AND(L725&lt;&gt;"",IFERROR(INDEX(fa_client,MATCH(L725,fa_num,0)),D725)&lt;&gt;D725),"Acompte d'un autre client",IF(AND(AR725&lt;&gt;"",N(Q725)&lt;0),"Acompte supérieur au total de la facture",IF(IF(AG725="Facture",COUNTIFS(fl_doc,A725,fl_check,"&lt;&gt;OK"),IF(AG725="Devis",COUNTIFS(dl_doc,F725,dl_check,"&lt;&gt;OK"),0))&gt;0,"Ligne(s) à corriger",IF(AND(W725&lt;&gt;"",N(W725)&lt;0),"Trop-perçu : vérifiez paiements et avoirs","OK")))))))))))))))))))))</f>
        <v/>
      </c>
      <c r="AA725" s="62" t="str">
        <f>IF(COUNTA(B725:D725,F725:O725)&gt;0,IF(B725="","Facture",B725),"")</f>
        <v/>
      </c>
      <c r="AB725" s="62" t="str">
        <f>IF(AA725="","",IF(AA725="Avoir",p_pav,IF(AA725="Facture d'acompte",p_pac,p_pfa)))</f>
        <v/>
      </c>
      <c r="AC725" s="62">
        <f>IF(ISNUMBER(C725),C725,0)</f>
        <v>0.0</v>
      </c>
      <c r="AD725" s="62" t="str">
        <f>IF(OR(AA725="",AC725=0),"",YEAR(AC725))</f>
        <v/>
      </c>
      <c r="AE725" s="62" t="str">
        <f>IF(AD725="","",COUNTIFS($AB$6:AB725,AB725,$AD$6:AD725,AD725))</f>
        <v/>
      </c>
      <c r="AF725" s="62">
        <f>IF(A725="",0,COUNTIF(fl_doc,A725))</f>
        <v>0.0</v>
      </c>
      <c r="AG725" s="62" t="str">
        <f>IF(A725="","",IF(AF725&gt;0,"Facture",IF(AND(F725&lt;&gt;"",AA725="Facture",ISNUMBER(MATCH(F725,dv_num,0))),"Devis","")))</f>
        <v/>
      </c>
      <c r="AH725" s="62" t="str">
        <f>IF(AND(A725&lt;&gt;"",F725&lt;&gt;"",AA725&lt;&gt;"Avoir"),F725,"")</f>
        <v/>
      </c>
      <c r="AI725" s="62" t="str">
        <f>IF(AG725="Devis",F725,"")</f>
        <v/>
      </c>
      <c r="AJ725" s="62">
        <f>IF(AG725="Facture",SUMIF(fl_doc,A725,fl_ht),IF(AG725="Devis",SUMIF(dl_doc,F725,dl_ht),0))</f>
        <v>0.0</v>
      </c>
      <c r="AK725" s="62">
        <f>IF(OR(AG725="",INDEX(p_rates,1)=""),0,IF(AG725="Facture",SUMIFS(fl_ht,fl_doc,A725,fl_rate,INDEX(p_rates,1)),SUMIFS(dl_ht,dl_doc,F725,dl_rate,INDEX(p_rates,1))))</f>
        <v>0.0</v>
      </c>
      <c r="AL725" s="62">
        <f>IF(OR(AG725="",INDEX(p_rates,2)=""),0,IF(AG725="Facture",SUMIFS(fl_ht,fl_doc,A725,fl_rate,INDEX(p_rates,2)),SUMIFS(dl_ht,dl_doc,F725,dl_rate,INDEX(p_rates,2))))</f>
        <v>0.0</v>
      </c>
      <c r="AM725" s="62">
        <f>IF(OR(AG725="",INDEX(p_rates,3)=""),0,IF(AG725="Facture",SUMIFS(fl_ht,fl_doc,A725,fl_rate,INDEX(p_rates,3)),SUMIFS(dl_ht,dl_doc,F725,dl_rate,INDEX(p_rates,3))))</f>
        <v>0.0</v>
      </c>
      <c r="AN725" s="62">
        <f>IF(OR(AG725="",INDEX(p_rates,4)=""),0,IF(AG725="Facture",SUMIFS(fl_ht,fl_doc,A725,fl_rate,INDEX(p_rates,4)),SUMIFS(dl_ht,dl_doc,F725,dl_rate,INDEX(p_rates,4))))</f>
        <v>0.0</v>
      </c>
      <c r="AO725" s="62">
        <f>IF(OR(AG725="",INDEX(p_rates,5)=""),0,IF(AG725="Facture",SUMIFS(fl_ht,fl_doc,A725,fl_rate,INDEX(p_rates,5)),SUMIFS(dl_ht,dl_doc,F725,dl_rate,INDEX(p_rates,5))))</f>
        <v>0.0</v>
      </c>
      <c r="AP725" s="62">
        <f>IF(OR(AG725="",INDEX(p_rates,6)=""),0,IF(AG725="Facture",SUMIFS(fl_ht,fl_doc,A725,fl_rate,INDEX(p_rates,6)),SUMIFS(dl_ht,dl_doc,F725,dl_rate,INDEX(p_rates,6))))</f>
        <v>0.0</v>
      </c>
      <c r="AQ725" s="62">
        <f>ROUND(AK725*N(INDEX(p_rates,1)),2)+ROUND(AL725*N(INDEX(p_rates,2)),2)+ROUND(AM725*N(INDEX(p_rates,3)),2)+ROUND(AN725*N(INDEX(p_rates,4)),2)+ROUND(AO725*N(INDEX(p_rates,5)),2)+ROUND(AP725*N(INDEX(p_rates,6)),2)</f>
        <v>0.0</v>
      </c>
      <c r="AR725" s="62" t="str">
        <f>IF(OR(L725="",AA725&lt;&gt;"Facture"),"",IFERROR(IF(INDEX(fa_type,MATCH(L725,fa_num,0))="Facture d'acompte",MATCH(L725,fa_num,0),""),""))</f>
        <v/>
      </c>
      <c r="AS725" s="62" t="str">
        <f>IF(W725="","",IF(W725&lt;=0,"",IF(p_asof-P725&lt;=0,"Non échu",IF(p_asof-P725&lt;=30,"1-30 j",IF(p_asof-P725&lt;=60,"31-60 j",IF(p_asof-P725&lt;=90,"61-90 j","Plus de 90 j"))))))</f>
        <v/>
      </c>
      <c r="AT725" s="62" t="str">
        <f>IF(AS725="","",p_asof-P725)</f>
        <v/>
      </c>
      <c r="AU725" s="62" t="str">
        <f>IF(AT725="","",COUNTIF($AT$6:$AT$805,"&gt;"&amp;AT725)+COUNTIF($AT$6:AT725,AT725))</f>
        <v/>
      </c>
    </row>
    <row r="726">
      <c r="A726" s="59" t="str">
        <f>IF(AE726="","",AB726&amp;"-"&amp;AD726&amp;"-"&amp;RIGHT("000"&amp;AE726,4))</f>
        <v/>
      </c>
      <c r="B726" s="60" t="n"/>
      <c r="C726" s="61" t="n"/>
      <c r="D726" s="60" t="n"/>
      <c r="E726" s="62" t="str">
        <f>IF(D726="","",IFERROR(INDEX(cli_name,MATCH(D726,cli_code,0))&amp;"","Client inconnu"))</f>
        <v/>
      </c>
      <c r="F726" s="60" t="n"/>
      <c r="G726" s="63" t="n"/>
      <c r="H726" s="61" t="n"/>
      <c r="I726" s="63" t="n"/>
      <c r="J726" s="60" t="n"/>
      <c r="K726" s="61" t="n"/>
      <c r="L726" s="60" t="n"/>
      <c r="M726" s="60" t="n"/>
      <c r="N726" s="60" t="n"/>
      <c r="O726" s="61" t="n"/>
      <c r="P726" s="64" t="str">
        <f>IF(A726="","",IF(AA726="Avoir",AC726,IF(ISNUMBER(K726),K726,AC726+IF(D726="",N(p_delay),IFERROR(IF(ISNUMBER(INDEX(cli_delay,MATCH(D726,cli_code,0))),INDEX(cli_delay,MATCH(D726,cli_code,0)),N(p_delay)),N(p_delay))))))</f>
        <v/>
      </c>
      <c r="Q726" s="65" t="str">
        <f>IF(A726="","",IF(AA726="Avoir",-1,1)*ROUND(AJ726-IF(AR726="",0,INDEX(fa_htb,AR726)),2))</f>
        <v/>
      </c>
      <c r="R726" s="65" t="str">
        <f>IF(A726="","",IF(AA726="Avoir",-1,1)*ROUND(AQ726-IF(AR726="",0,INDEX(fa_tvab,AR726)),2))</f>
        <v/>
      </c>
      <c r="S726" s="65" t="str">
        <f>IF(A726="","",Q726+R726)</f>
        <v/>
      </c>
      <c r="T726" s="65" t="str">
        <f>IF(AR726="","",INDEX(fa_htb,AR726)+INDEX(fa_tvab,AR726))</f>
        <v/>
      </c>
      <c r="U726" s="65" t="str">
        <f>IF(A726="","",SUMIF(pa_inv,A726,pa_amt))</f>
        <v/>
      </c>
      <c r="V726" s="65" t="str">
        <f>IF(OR(A726="",AA726="Avoir"),"",-SUMIFS(fa_ttc,fa_avof,A726,fa_type,"Avoir"))</f>
        <v/>
      </c>
      <c r="W726" s="65" t="str">
        <f>IF(OR(A726="",AA726="Avoir"),"",ROUND(S726-U726-V726,2))</f>
        <v/>
      </c>
      <c r="X726" s="66" t="str">
        <f>IF(W726="","",IF(AND(W726&gt;0,p_asof&gt;P726),p_asof-P726,""))</f>
        <v/>
      </c>
      <c r="Y726" s="59" t="str">
        <f>IF(A726="","",IF(AA726="Avoir","Avoir",IF(W726&lt;0,"Trop-perçu",IF(W726=0,"Soldée",IF(p_asof&gt;P726,"En retard",IF(U726+V726&gt;0,"Partielle","À échoir"))))))</f>
        <v/>
      </c>
      <c r="Z726" s="59" t="str">
        <f>IF(NOT(COUNTA(B726:D726,F726:O726)&gt;0),"",IF(C726="","Date manquante",IF(NOT(ISNUMBER(C726)),"Date invalide",IF(D726="","Client manquant",IF(ISNA(MATCH(D726,cli_code,0)),"Client inconnu",IF(AC726&lt;SUMPRODUCT(MAX(($AB$6:AB725=AB726)*$AC$6:AC725)),"Date antérieure à la facture précédente",IF(AND(F726&lt;&gt;"",ISNA(MATCH(F726,dv_num,0))),"Devis inconnu",IF(AND(F726&lt;&gt;"",IFERROR(INDEX(dv_client,MATCH(F726,dv_num,0)),D726)&lt;&gt;D726),"Client différent de celui du devis",IF(AG726="","Aucune ligne : saisissez des lignes ou un devis",IF(AND(AI726&lt;&gt;"",COUNTIF($AI$6:AI726,AI726)&gt;1),"Devis déjà repris par une autre facture",IF(AND(AA726="Avoir",M726=""),"Avoir : indiquez la facture d'origine",IF(AND(AA726="Avoir",ISNA(MATCH(M726,fa_num,0))),"Facture d'origine inconnue",IF(AND(AA726&lt;&gt;"Avoir",M726&lt;&gt;""),"« Avoir sur facture » : réservé aux avoirs",IF(AND(L726&lt;&gt;"",AA726&lt;&gt;"Facture"),"Acompte à déduire : réservé aux factures",IF(AND(L726&lt;&gt;"",ISNA(MATCH(L726,fa_num,0))),"Facture d'acompte inconnue",IF(AND(L726&lt;&gt;"",IFERROR(INDEX(fa_type,MATCH(L726,fa_num,0)),"")&lt;&gt;"Facture d'acompte"),"Le n° à déduire n'est pas une facture d'acompte",IF(AND(L726&lt;&gt;"",COUNTIF($L$6:L726,L726)&gt;1),"Acompte déjà déduit sur une autre facture",IF(AND(L726&lt;&gt;"",IFERROR(INDEX(fa_client,MATCH(L726,fa_num,0)),D726)&lt;&gt;D726),"Acompte d'un autre client",IF(AND(AR726&lt;&gt;"",N(Q726)&lt;0),"Acompte supérieur au total de la facture",IF(IF(AG726="Facture",COUNTIFS(fl_doc,A726,fl_check,"&lt;&gt;OK"),IF(AG726="Devis",COUNTIFS(dl_doc,F726,dl_check,"&lt;&gt;OK"),0))&gt;0,"Ligne(s) à corriger",IF(AND(W726&lt;&gt;"",N(W726)&lt;0),"Trop-perçu : vérifiez paiements et avoirs","OK")))))))))))))))))))))</f>
        <v/>
      </c>
      <c r="AA726" s="62" t="str">
        <f>IF(COUNTA(B726:D726,F726:O726)&gt;0,IF(B726="","Facture",B726),"")</f>
        <v/>
      </c>
      <c r="AB726" s="62" t="str">
        <f>IF(AA726="","",IF(AA726="Avoir",p_pav,IF(AA726="Facture d'acompte",p_pac,p_pfa)))</f>
        <v/>
      </c>
      <c r="AC726" s="62">
        <f>IF(ISNUMBER(C726),C726,0)</f>
        <v>0.0</v>
      </c>
      <c r="AD726" s="62" t="str">
        <f>IF(OR(AA726="",AC726=0),"",YEAR(AC726))</f>
        <v/>
      </c>
      <c r="AE726" s="62" t="str">
        <f>IF(AD726="","",COUNTIFS($AB$6:AB726,AB726,$AD$6:AD726,AD726))</f>
        <v/>
      </c>
      <c r="AF726" s="62">
        <f>IF(A726="",0,COUNTIF(fl_doc,A726))</f>
        <v>0.0</v>
      </c>
      <c r="AG726" s="62" t="str">
        <f>IF(A726="","",IF(AF726&gt;0,"Facture",IF(AND(F726&lt;&gt;"",AA726="Facture",ISNUMBER(MATCH(F726,dv_num,0))),"Devis","")))</f>
        <v/>
      </c>
      <c r="AH726" s="62" t="str">
        <f>IF(AND(A726&lt;&gt;"",F726&lt;&gt;"",AA726&lt;&gt;"Avoir"),F726,"")</f>
        <v/>
      </c>
      <c r="AI726" s="62" t="str">
        <f>IF(AG726="Devis",F726,"")</f>
        <v/>
      </c>
      <c r="AJ726" s="62">
        <f>IF(AG726="Facture",SUMIF(fl_doc,A726,fl_ht),IF(AG726="Devis",SUMIF(dl_doc,F726,dl_ht),0))</f>
        <v>0.0</v>
      </c>
      <c r="AK726" s="62">
        <f>IF(OR(AG726="",INDEX(p_rates,1)=""),0,IF(AG726="Facture",SUMIFS(fl_ht,fl_doc,A726,fl_rate,INDEX(p_rates,1)),SUMIFS(dl_ht,dl_doc,F726,dl_rate,INDEX(p_rates,1))))</f>
        <v>0.0</v>
      </c>
      <c r="AL726" s="62">
        <f>IF(OR(AG726="",INDEX(p_rates,2)=""),0,IF(AG726="Facture",SUMIFS(fl_ht,fl_doc,A726,fl_rate,INDEX(p_rates,2)),SUMIFS(dl_ht,dl_doc,F726,dl_rate,INDEX(p_rates,2))))</f>
        <v>0.0</v>
      </c>
      <c r="AM726" s="62">
        <f>IF(OR(AG726="",INDEX(p_rates,3)=""),0,IF(AG726="Facture",SUMIFS(fl_ht,fl_doc,A726,fl_rate,INDEX(p_rates,3)),SUMIFS(dl_ht,dl_doc,F726,dl_rate,INDEX(p_rates,3))))</f>
        <v>0.0</v>
      </c>
      <c r="AN726" s="62">
        <f>IF(OR(AG726="",INDEX(p_rates,4)=""),0,IF(AG726="Facture",SUMIFS(fl_ht,fl_doc,A726,fl_rate,INDEX(p_rates,4)),SUMIFS(dl_ht,dl_doc,F726,dl_rate,INDEX(p_rates,4))))</f>
        <v>0.0</v>
      </c>
      <c r="AO726" s="62">
        <f>IF(OR(AG726="",INDEX(p_rates,5)=""),0,IF(AG726="Facture",SUMIFS(fl_ht,fl_doc,A726,fl_rate,INDEX(p_rates,5)),SUMIFS(dl_ht,dl_doc,F726,dl_rate,INDEX(p_rates,5))))</f>
        <v>0.0</v>
      </c>
      <c r="AP726" s="62">
        <f>IF(OR(AG726="",INDEX(p_rates,6)=""),0,IF(AG726="Facture",SUMIFS(fl_ht,fl_doc,A726,fl_rate,INDEX(p_rates,6)),SUMIFS(dl_ht,dl_doc,F726,dl_rate,INDEX(p_rates,6))))</f>
        <v>0.0</v>
      </c>
      <c r="AQ726" s="62">
        <f>ROUND(AK726*N(INDEX(p_rates,1)),2)+ROUND(AL726*N(INDEX(p_rates,2)),2)+ROUND(AM726*N(INDEX(p_rates,3)),2)+ROUND(AN726*N(INDEX(p_rates,4)),2)+ROUND(AO726*N(INDEX(p_rates,5)),2)+ROUND(AP726*N(INDEX(p_rates,6)),2)</f>
        <v>0.0</v>
      </c>
      <c r="AR726" s="62" t="str">
        <f>IF(OR(L726="",AA726&lt;&gt;"Facture"),"",IFERROR(IF(INDEX(fa_type,MATCH(L726,fa_num,0))="Facture d'acompte",MATCH(L726,fa_num,0),""),""))</f>
        <v/>
      </c>
      <c r="AS726" s="62" t="str">
        <f>IF(W726="","",IF(W726&lt;=0,"",IF(p_asof-P726&lt;=0,"Non échu",IF(p_asof-P726&lt;=30,"1-30 j",IF(p_asof-P726&lt;=60,"31-60 j",IF(p_asof-P726&lt;=90,"61-90 j","Plus de 90 j"))))))</f>
        <v/>
      </c>
      <c r="AT726" s="62" t="str">
        <f>IF(AS726="","",p_asof-P726)</f>
        <v/>
      </c>
      <c r="AU726" s="62" t="str">
        <f>IF(AT726="","",COUNTIF($AT$6:$AT$805,"&gt;"&amp;AT726)+COUNTIF($AT$6:AT726,AT726))</f>
        <v/>
      </c>
    </row>
    <row r="727">
      <c r="A727" s="59" t="str">
        <f>IF(AE727="","",AB727&amp;"-"&amp;AD727&amp;"-"&amp;RIGHT("000"&amp;AE727,4))</f>
        <v/>
      </c>
      <c r="B727" s="60" t="n"/>
      <c r="C727" s="61" t="n"/>
      <c r="D727" s="60" t="n"/>
      <c r="E727" s="62" t="str">
        <f>IF(D727="","",IFERROR(INDEX(cli_name,MATCH(D727,cli_code,0))&amp;"","Client inconnu"))</f>
        <v/>
      </c>
      <c r="F727" s="60" t="n"/>
      <c r="G727" s="63" t="n"/>
      <c r="H727" s="61" t="n"/>
      <c r="I727" s="63" t="n"/>
      <c r="J727" s="60" t="n"/>
      <c r="K727" s="61" t="n"/>
      <c r="L727" s="60" t="n"/>
      <c r="M727" s="60" t="n"/>
      <c r="N727" s="60" t="n"/>
      <c r="O727" s="61" t="n"/>
      <c r="P727" s="64" t="str">
        <f>IF(A727="","",IF(AA727="Avoir",AC727,IF(ISNUMBER(K727),K727,AC727+IF(D727="",N(p_delay),IFERROR(IF(ISNUMBER(INDEX(cli_delay,MATCH(D727,cli_code,0))),INDEX(cli_delay,MATCH(D727,cli_code,0)),N(p_delay)),N(p_delay))))))</f>
        <v/>
      </c>
      <c r="Q727" s="65" t="str">
        <f>IF(A727="","",IF(AA727="Avoir",-1,1)*ROUND(AJ727-IF(AR727="",0,INDEX(fa_htb,AR727)),2))</f>
        <v/>
      </c>
      <c r="R727" s="65" t="str">
        <f>IF(A727="","",IF(AA727="Avoir",-1,1)*ROUND(AQ727-IF(AR727="",0,INDEX(fa_tvab,AR727)),2))</f>
        <v/>
      </c>
      <c r="S727" s="65" t="str">
        <f>IF(A727="","",Q727+R727)</f>
        <v/>
      </c>
      <c r="T727" s="65" t="str">
        <f>IF(AR727="","",INDEX(fa_htb,AR727)+INDEX(fa_tvab,AR727))</f>
        <v/>
      </c>
      <c r="U727" s="65" t="str">
        <f>IF(A727="","",SUMIF(pa_inv,A727,pa_amt))</f>
        <v/>
      </c>
      <c r="V727" s="65" t="str">
        <f>IF(OR(A727="",AA727="Avoir"),"",-SUMIFS(fa_ttc,fa_avof,A727,fa_type,"Avoir"))</f>
        <v/>
      </c>
      <c r="W727" s="65" t="str">
        <f>IF(OR(A727="",AA727="Avoir"),"",ROUND(S727-U727-V727,2))</f>
        <v/>
      </c>
      <c r="X727" s="66" t="str">
        <f>IF(W727="","",IF(AND(W727&gt;0,p_asof&gt;P727),p_asof-P727,""))</f>
        <v/>
      </c>
      <c r="Y727" s="59" t="str">
        <f>IF(A727="","",IF(AA727="Avoir","Avoir",IF(W727&lt;0,"Trop-perçu",IF(W727=0,"Soldée",IF(p_asof&gt;P727,"En retard",IF(U727+V727&gt;0,"Partielle","À échoir"))))))</f>
        <v/>
      </c>
      <c r="Z727" s="59" t="str">
        <f>IF(NOT(COUNTA(B727:D727,F727:O727)&gt;0),"",IF(C727="","Date manquante",IF(NOT(ISNUMBER(C727)),"Date invalide",IF(D727="","Client manquant",IF(ISNA(MATCH(D727,cli_code,0)),"Client inconnu",IF(AC727&lt;SUMPRODUCT(MAX(($AB$6:AB726=AB727)*$AC$6:AC726)),"Date antérieure à la facture précédente",IF(AND(F727&lt;&gt;"",ISNA(MATCH(F727,dv_num,0))),"Devis inconnu",IF(AND(F727&lt;&gt;"",IFERROR(INDEX(dv_client,MATCH(F727,dv_num,0)),D727)&lt;&gt;D727),"Client différent de celui du devis",IF(AG727="","Aucune ligne : saisissez des lignes ou un devis",IF(AND(AI727&lt;&gt;"",COUNTIF($AI$6:AI727,AI727)&gt;1),"Devis déjà repris par une autre facture",IF(AND(AA727="Avoir",M727=""),"Avoir : indiquez la facture d'origine",IF(AND(AA727="Avoir",ISNA(MATCH(M727,fa_num,0))),"Facture d'origine inconnue",IF(AND(AA727&lt;&gt;"Avoir",M727&lt;&gt;""),"« Avoir sur facture » : réservé aux avoirs",IF(AND(L727&lt;&gt;"",AA727&lt;&gt;"Facture"),"Acompte à déduire : réservé aux factures",IF(AND(L727&lt;&gt;"",ISNA(MATCH(L727,fa_num,0))),"Facture d'acompte inconnue",IF(AND(L727&lt;&gt;"",IFERROR(INDEX(fa_type,MATCH(L727,fa_num,0)),"")&lt;&gt;"Facture d'acompte"),"Le n° à déduire n'est pas une facture d'acompte",IF(AND(L727&lt;&gt;"",COUNTIF($L$6:L727,L727)&gt;1),"Acompte déjà déduit sur une autre facture",IF(AND(L727&lt;&gt;"",IFERROR(INDEX(fa_client,MATCH(L727,fa_num,0)),D727)&lt;&gt;D727),"Acompte d'un autre client",IF(AND(AR727&lt;&gt;"",N(Q727)&lt;0),"Acompte supérieur au total de la facture",IF(IF(AG727="Facture",COUNTIFS(fl_doc,A727,fl_check,"&lt;&gt;OK"),IF(AG727="Devis",COUNTIFS(dl_doc,F727,dl_check,"&lt;&gt;OK"),0))&gt;0,"Ligne(s) à corriger",IF(AND(W727&lt;&gt;"",N(W727)&lt;0),"Trop-perçu : vérifiez paiements et avoirs","OK")))))))))))))))))))))</f>
        <v/>
      </c>
      <c r="AA727" s="62" t="str">
        <f>IF(COUNTA(B727:D727,F727:O727)&gt;0,IF(B727="","Facture",B727),"")</f>
        <v/>
      </c>
      <c r="AB727" s="62" t="str">
        <f>IF(AA727="","",IF(AA727="Avoir",p_pav,IF(AA727="Facture d'acompte",p_pac,p_pfa)))</f>
        <v/>
      </c>
      <c r="AC727" s="62">
        <f>IF(ISNUMBER(C727),C727,0)</f>
        <v>0.0</v>
      </c>
      <c r="AD727" s="62" t="str">
        <f>IF(OR(AA727="",AC727=0),"",YEAR(AC727))</f>
        <v/>
      </c>
      <c r="AE727" s="62" t="str">
        <f>IF(AD727="","",COUNTIFS($AB$6:AB727,AB727,$AD$6:AD727,AD727))</f>
        <v/>
      </c>
      <c r="AF727" s="62">
        <f>IF(A727="",0,COUNTIF(fl_doc,A727))</f>
        <v>0.0</v>
      </c>
      <c r="AG727" s="62" t="str">
        <f>IF(A727="","",IF(AF727&gt;0,"Facture",IF(AND(F727&lt;&gt;"",AA727="Facture",ISNUMBER(MATCH(F727,dv_num,0))),"Devis","")))</f>
        <v/>
      </c>
      <c r="AH727" s="62" t="str">
        <f>IF(AND(A727&lt;&gt;"",F727&lt;&gt;"",AA727&lt;&gt;"Avoir"),F727,"")</f>
        <v/>
      </c>
      <c r="AI727" s="62" t="str">
        <f>IF(AG727="Devis",F727,"")</f>
        <v/>
      </c>
      <c r="AJ727" s="62">
        <f>IF(AG727="Facture",SUMIF(fl_doc,A727,fl_ht),IF(AG727="Devis",SUMIF(dl_doc,F727,dl_ht),0))</f>
        <v>0.0</v>
      </c>
      <c r="AK727" s="62">
        <f>IF(OR(AG727="",INDEX(p_rates,1)=""),0,IF(AG727="Facture",SUMIFS(fl_ht,fl_doc,A727,fl_rate,INDEX(p_rates,1)),SUMIFS(dl_ht,dl_doc,F727,dl_rate,INDEX(p_rates,1))))</f>
        <v>0.0</v>
      </c>
      <c r="AL727" s="62">
        <f>IF(OR(AG727="",INDEX(p_rates,2)=""),0,IF(AG727="Facture",SUMIFS(fl_ht,fl_doc,A727,fl_rate,INDEX(p_rates,2)),SUMIFS(dl_ht,dl_doc,F727,dl_rate,INDEX(p_rates,2))))</f>
        <v>0.0</v>
      </c>
      <c r="AM727" s="62">
        <f>IF(OR(AG727="",INDEX(p_rates,3)=""),0,IF(AG727="Facture",SUMIFS(fl_ht,fl_doc,A727,fl_rate,INDEX(p_rates,3)),SUMIFS(dl_ht,dl_doc,F727,dl_rate,INDEX(p_rates,3))))</f>
        <v>0.0</v>
      </c>
      <c r="AN727" s="62">
        <f>IF(OR(AG727="",INDEX(p_rates,4)=""),0,IF(AG727="Facture",SUMIFS(fl_ht,fl_doc,A727,fl_rate,INDEX(p_rates,4)),SUMIFS(dl_ht,dl_doc,F727,dl_rate,INDEX(p_rates,4))))</f>
        <v>0.0</v>
      </c>
      <c r="AO727" s="62">
        <f>IF(OR(AG727="",INDEX(p_rates,5)=""),0,IF(AG727="Facture",SUMIFS(fl_ht,fl_doc,A727,fl_rate,INDEX(p_rates,5)),SUMIFS(dl_ht,dl_doc,F727,dl_rate,INDEX(p_rates,5))))</f>
        <v>0.0</v>
      </c>
      <c r="AP727" s="62">
        <f>IF(OR(AG727="",INDEX(p_rates,6)=""),0,IF(AG727="Facture",SUMIFS(fl_ht,fl_doc,A727,fl_rate,INDEX(p_rates,6)),SUMIFS(dl_ht,dl_doc,F727,dl_rate,INDEX(p_rates,6))))</f>
        <v>0.0</v>
      </c>
      <c r="AQ727" s="62">
        <f>ROUND(AK727*N(INDEX(p_rates,1)),2)+ROUND(AL727*N(INDEX(p_rates,2)),2)+ROUND(AM727*N(INDEX(p_rates,3)),2)+ROUND(AN727*N(INDEX(p_rates,4)),2)+ROUND(AO727*N(INDEX(p_rates,5)),2)+ROUND(AP727*N(INDEX(p_rates,6)),2)</f>
        <v>0.0</v>
      </c>
      <c r="AR727" s="62" t="str">
        <f>IF(OR(L727="",AA727&lt;&gt;"Facture"),"",IFERROR(IF(INDEX(fa_type,MATCH(L727,fa_num,0))="Facture d'acompte",MATCH(L727,fa_num,0),""),""))</f>
        <v/>
      </c>
      <c r="AS727" s="62" t="str">
        <f>IF(W727="","",IF(W727&lt;=0,"",IF(p_asof-P727&lt;=0,"Non échu",IF(p_asof-P727&lt;=30,"1-30 j",IF(p_asof-P727&lt;=60,"31-60 j",IF(p_asof-P727&lt;=90,"61-90 j","Plus de 90 j"))))))</f>
        <v/>
      </c>
      <c r="AT727" s="62" t="str">
        <f>IF(AS727="","",p_asof-P727)</f>
        <v/>
      </c>
      <c r="AU727" s="62" t="str">
        <f>IF(AT727="","",COUNTIF($AT$6:$AT$805,"&gt;"&amp;AT727)+COUNTIF($AT$6:AT727,AT727))</f>
        <v/>
      </c>
    </row>
    <row r="728">
      <c r="A728" s="59" t="str">
        <f>IF(AE728="","",AB728&amp;"-"&amp;AD728&amp;"-"&amp;RIGHT("000"&amp;AE728,4))</f>
        <v/>
      </c>
      <c r="B728" s="60" t="n"/>
      <c r="C728" s="61" t="n"/>
      <c r="D728" s="60" t="n"/>
      <c r="E728" s="62" t="str">
        <f>IF(D728="","",IFERROR(INDEX(cli_name,MATCH(D728,cli_code,0))&amp;"","Client inconnu"))</f>
        <v/>
      </c>
      <c r="F728" s="60" t="n"/>
      <c r="G728" s="63" t="n"/>
      <c r="H728" s="61" t="n"/>
      <c r="I728" s="63" t="n"/>
      <c r="J728" s="60" t="n"/>
      <c r="K728" s="61" t="n"/>
      <c r="L728" s="60" t="n"/>
      <c r="M728" s="60" t="n"/>
      <c r="N728" s="60" t="n"/>
      <c r="O728" s="61" t="n"/>
      <c r="P728" s="64" t="str">
        <f>IF(A728="","",IF(AA728="Avoir",AC728,IF(ISNUMBER(K728),K728,AC728+IF(D728="",N(p_delay),IFERROR(IF(ISNUMBER(INDEX(cli_delay,MATCH(D728,cli_code,0))),INDEX(cli_delay,MATCH(D728,cli_code,0)),N(p_delay)),N(p_delay))))))</f>
        <v/>
      </c>
      <c r="Q728" s="65" t="str">
        <f>IF(A728="","",IF(AA728="Avoir",-1,1)*ROUND(AJ728-IF(AR728="",0,INDEX(fa_htb,AR728)),2))</f>
        <v/>
      </c>
      <c r="R728" s="65" t="str">
        <f>IF(A728="","",IF(AA728="Avoir",-1,1)*ROUND(AQ728-IF(AR728="",0,INDEX(fa_tvab,AR728)),2))</f>
        <v/>
      </c>
      <c r="S728" s="65" t="str">
        <f>IF(A728="","",Q728+R728)</f>
        <v/>
      </c>
      <c r="T728" s="65" t="str">
        <f>IF(AR728="","",INDEX(fa_htb,AR728)+INDEX(fa_tvab,AR728))</f>
        <v/>
      </c>
      <c r="U728" s="65" t="str">
        <f>IF(A728="","",SUMIF(pa_inv,A728,pa_amt))</f>
        <v/>
      </c>
      <c r="V728" s="65" t="str">
        <f>IF(OR(A728="",AA728="Avoir"),"",-SUMIFS(fa_ttc,fa_avof,A728,fa_type,"Avoir"))</f>
        <v/>
      </c>
      <c r="W728" s="65" t="str">
        <f>IF(OR(A728="",AA728="Avoir"),"",ROUND(S728-U728-V728,2))</f>
        <v/>
      </c>
      <c r="X728" s="66" t="str">
        <f>IF(W728="","",IF(AND(W728&gt;0,p_asof&gt;P728),p_asof-P728,""))</f>
        <v/>
      </c>
      <c r="Y728" s="59" t="str">
        <f>IF(A728="","",IF(AA728="Avoir","Avoir",IF(W728&lt;0,"Trop-perçu",IF(W728=0,"Soldée",IF(p_asof&gt;P728,"En retard",IF(U728+V728&gt;0,"Partielle","À échoir"))))))</f>
        <v/>
      </c>
      <c r="Z728" s="59" t="str">
        <f>IF(NOT(COUNTA(B728:D728,F728:O728)&gt;0),"",IF(C728="","Date manquante",IF(NOT(ISNUMBER(C728)),"Date invalide",IF(D728="","Client manquant",IF(ISNA(MATCH(D728,cli_code,0)),"Client inconnu",IF(AC728&lt;SUMPRODUCT(MAX(($AB$6:AB727=AB728)*$AC$6:AC727)),"Date antérieure à la facture précédente",IF(AND(F728&lt;&gt;"",ISNA(MATCH(F728,dv_num,0))),"Devis inconnu",IF(AND(F728&lt;&gt;"",IFERROR(INDEX(dv_client,MATCH(F728,dv_num,0)),D728)&lt;&gt;D728),"Client différent de celui du devis",IF(AG728="","Aucune ligne : saisissez des lignes ou un devis",IF(AND(AI728&lt;&gt;"",COUNTIF($AI$6:AI728,AI728)&gt;1),"Devis déjà repris par une autre facture",IF(AND(AA728="Avoir",M728=""),"Avoir : indiquez la facture d'origine",IF(AND(AA728="Avoir",ISNA(MATCH(M728,fa_num,0))),"Facture d'origine inconnue",IF(AND(AA728&lt;&gt;"Avoir",M728&lt;&gt;""),"« Avoir sur facture » : réservé aux avoirs",IF(AND(L728&lt;&gt;"",AA728&lt;&gt;"Facture"),"Acompte à déduire : réservé aux factures",IF(AND(L728&lt;&gt;"",ISNA(MATCH(L728,fa_num,0))),"Facture d'acompte inconnue",IF(AND(L728&lt;&gt;"",IFERROR(INDEX(fa_type,MATCH(L728,fa_num,0)),"")&lt;&gt;"Facture d'acompte"),"Le n° à déduire n'est pas une facture d'acompte",IF(AND(L728&lt;&gt;"",COUNTIF($L$6:L728,L728)&gt;1),"Acompte déjà déduit sur une autre facture",IF(AND(L728&lt;&gt;"",IFERROR(INDEX(fa_client,MATCH(L728,fa_num,0)),D728)&lt;&gt;D728),"Acompte d'un autre client",IF(AND(AR728&lt;&gt;"",N(Q728)&lt;0),"Acompte supérieur au total de la facture",IF(IF(AG728="Facture",COUNTIFS(fl_doc,A728,fl_check,"&lt;&gt;OK"),IF(AG728="Devis",COUNTIFS(dl_doc,F728,dl_check,"&lt;&gt;OK"),0))&gt;0,"Ligne(s) à corriger",IF(AND(W728&lt;&gt;"",N(W728)&lt;0),"Trop-perçu : vérifiez paiements et avoirs","OK")))))))))))))))))))))</f>
        <v/>
      </c>
      <c r="AA728" s="62" t="str">
        <f>IF(COUNTA(B728:D728,F728:O728)&gt;0,IF(B728="","Facture",B728),"")</f>
        <v/>
      </c>
      <c r="AB728" s="62" t="str">
        <f>IF(AA728="","",IF(AA728="Avoir",p_pav,IF(AA728="Facture d'acompte",p_pac,p_pfa)))</f>
        <v/>
      </c>
      <c r="AC728" s="62">
        <f>IF(ISNUMBER(C728),C728,0)</f>
        <v>0.0</v>
      </c>
      <c r="AD728" s="62" t="str">
        <f>IF(OR(AA728="",AC728=0),"",YEAR(AC728))</f>
        <v/>
      </c>
      <c r="AE728" s="62" t="str">
        <f>IF(AD728="","",COUNTIFS($AB$6:AB728,AB728,$AD$6:AD728,AD728))</f>
        <v/>
      </c>
      <c r="AF728" s="62">
        <f>IF(A728="",0,COUNTIF(fl_doc,A728))</f>
        <v>0.0</v>
      </c>
      <c r="AG728" s="62" t="str">
        <f>IF(A728="","",IF(AF728&gt;0,"Facture",IF(AND(F728&lt;&gt;"",AA728="Facture",ISNUMBER(MATCH(F728,dv_num,0))),"Devis","")))</f>
        <v/>
      </c>
      <c r="AH728" s="62" t="str">
        <f>IF(AND(A728&lt;&gt;"",F728&lt;&gt;"",AA728&lt;&gt;"Avoir"),F728,"")</f>
        <v/>
      </c>
      <c r="AI728" s="62" t="str">
        <f>IF(AG728="Devis",F728,"")</f>
        <v/>
      </c>
      <c r="AJ728" s="62">
        <f>IF(AG728="Facture",SUMIF(fl_doc,A728,fl_ht),IF(AG728="Devis",SUMIF(dl_doc,F728,dl_ht),0))</f>
        <v>0.0</v>
      </c>
      <c r="AK728" s="62">
        <f>IF(OR(AG728="",INDEX(p_rates,1)=""),0,IF(AG728="Facture",SUMIFS(fl_ht,fl_doc,A728,fl_rate,INDEX(p_rates,1)),SUMIFS(dl_ht,dl_doc,F728,dl_rate,INDEX(p_rates,1))))</f>
        <v>0.0</v>
      </c>
      <c r="AL728" s="62">
        <f>IF(OR(AG728="",INDEX(p_rates,2)=""),0,IF(AG728="Facture",SUMIFS(fl_ht,fl_doc,A728,fl_rate,INDEX(p_rates,2)),SUMIFS(dl_ht,dl_doc,F728,dl_rate,INDEX(p_rates,2))))</f>
        <v>0.0</v>
      </c>
      <c r="AM728" s="62">
        <f>IF(OR(AG728="",INDEX(p_rates,3)=""),0,IF(AG728="Facture",SUMIFS(fl_ht,fl_doc,A728,fl_rate,INDEX(p_rates,3)),SUMIFS(dl_ht,dl_doc,F728,dl_rate,INDEX(p_rates,3))))</f>
        <v>0.0</v>
      </c>
      <c r="AN728" s="62">
        <f>IF(OR(AG728="",INDEX(p_rates,4)=""),0,IF(AG728="Facture",SUMIFS(fl_ht,fl_doc,A728,fl_rate,INDEX(p_rates,4)),SUMIFS(dl_ht,dl_doc,F728,dl_rate,INDEX(p_rates,4))))</f>
        <v>0.0</v>
      </c>
      <c r="AO728" s="62">
        <f>IF(OR(AG728="",INDEX(p_rates,5)=""),0,IF(AG728="Facture",SUMIFS(fl_ht,fl_doc,A728,fl_rate,INDEX(p_rates,5)),SUMIFS(dl_ht,dl_doc,F728,dl_rate,INDEX(p_rates,5))))</f>
        <v>0.0</v>
      </c>
      <c r="AP728" s="62">
        <f>IF(OR(AG728="",INDEX(p_rates,6)=""),0,IF(AG728="Facture",SUMIFS(fl_ht,fl_doc,A728,fl_rate,INDEX(p_rates,6)),SUMIFS(dl_ht,dl_doc,F728,dl_rate,INDEX(p_rates,6))))</f>
        <v>0.0</v>
      </c>
      <c r="AQ728" s="62">
        <f>ROUND(AK728*N(INDEX(p_rates,1)),2)+ROUND(AL728*N(INDEX(p_rates,2)),2)+ROUND(AM728*N(INDEX(p_rates,3)),2)+ROUND(AN728*N(INDEX(p_rates,4)),2)+ROUND(AO728*N(INDEX(p_rates,5)),2)+ROUND(AP728*N(INDEX(p_rates,6)),2)</f>
        <v>0.0</v>
      </c>
      <c r="AR728" s="62" t="str">
        <f>IF(OR(L728="",AA728&lt;&gt;"Facture"),"",IFERROR(IF(INDEX(fa_type,MATCH(L728,fa_num,0))="Facture d'acompte",MATCH(L728,fa_num,0),""),""))</f>
        <v/>
      </c>
      <c r="AS728" s="62" t="str">
        <f>IF(W728="","",IF(W728&lt;=0,"",IF(p_asof-P728&lt;=0,"Non échu",IF(p_asof-P728&lt;=30,"1-30 j",IF(p_asof-P728&lt;=60,"31-60 j",IF(p_asof-P728&lt;=90,"61-90 j","Plus de 90 j"))))))</f>
        <v/>
      </c>
      <c r="AT728" s="62" t="str">
        <f>IF(AS728="","",p_asof-P728)</f>
        <v/>
      </c>
      <c r="AU728" s="62" t="str">
        <f>IF(AT728="","",COUNTIF($AT$6:$AT$805,"&gt;"&amp;AT728)+COUNTIF($AT$6:AT728,AT728))</f>
        <v/>
      </c>
    </row>
    <row r="729">
      <c r="A729" s="59" t="str">
        <f>IF(AE729="","",AB729&amp;"-"&amp;AD729&amp;"-"&amp;RIGHT("000"&amp;AE729,4))</f>
        <v/>
      </c>
      <c r="B729" s="60" t="n"/>
      <c r="C729" s="61" t="n"/>
      <c r="D729" s="60" t="n"/>
      <c r="E729" s="62" t="str">
        <f>IF(D729="","",IFERROR(INDEX(cli_name,MATCH(D729,cli_code,0))&amp;"","Client inconnu"))</f>
        <v/>
      </c>
      <c r="F729" s="60" t="n"/>
      <c r="G729" s="63" t="n"/>
      <c r="H729" s="61" t="n"/>
      <c r="I729" s="63" t="n"/>
      <c r="J729" s="60" t="n"/>
      <c r="K729" s="61" t="n"/>
      <c r="L729" s="60" t="n"/>
      <c r="M729" s="60" t="n"/>
      <c r="N729" s="60" t="n"/>
      <c r="O729" s="61" t="n"/>
      <c r="P729" s="64" t="str">
        <f>IF(A729="","",IF(AA729="Avoir",AC729,IF(ISNUMBER(K729),K729,AC729+IF(D729="",N(p_delay),IFERROR(IF(ISNUMBER(INDEX(cli_delay,MATCH(D729,cli_code,0))),INDEX(cli_delay,MATCH(D729,cli_code,0)),N(p_delay)),N(p_delay))))))</f>
        <v/>
      </c>
      <c r="Q729" s="65" t="str">
        <f>IF(A729="","",IF(AA729="Avoir",-1,1)*ROUND(AJ729-IF(AR729="",0,INDEX(fa_htb,AR729)),2))</f>
        <v/>
      </c>
      <c r="R729" s="65" t="str">
        <f>IF(A729="","",IF(AA729="Avoir",-1,1)*ROUND(AQ729-IF(AR729="",0,INDEX(fa_tvab,AR729)),2))</f>
        <v/>
      </c>
      <c r="S729" s="65" t="str">
        <f>IF(A729="","",Q729+R729)</f>
        <v/>
      </c>
      <c r="T729" s="65" t="str">
        <f>IF(AR729="","",INDEX(fa_htb,AR729)+INDEX(fa_tvab,AR729))</f>
        <v/>
      </c>
      <c r="U729" s="65" t="str">
        <f>IF(A729="","",SUMIF(pa_inv,A729,pa_amt))</f>
        <v/>
      </c>
      <c r="V729" s="65" t="str">
        <f>IF(OR(A729="",AA729="Avoir"),"",-SUMIFS(fa_ttc,fa_avof,A729,fa_type,"Avoir"))</f>
        <v/>
      </c>
      <c r="W729" s="65" t="str">
        <f>IF(OR(A729="",AA729="Avoir"),"",ROUND(S729-U729-V729,2))</f>
        <v/>
      </c>
      <c r="X729" s="66" t="str">
        <f>IF(W729="","",IF(AND(W729&gt;0,p_asof&gt;P729),p_asof-P729,""))</f>
        <v/>
      </c>
      <c r="Y729" s="59" t="str">
        <f>IF(A729="","",IF(AA729="Avoir","Avoir",IF(W729&lt;0,"Trop-perçu",IF(W729=0,"Soldée",IF(p_asof&gt;P729,"En retard",IF(U729+V729&gt;0,"Partielle","À échoir"))))))</f>
        <v/>
      </c>
      <c r="Z729" s="59" t="str">
        <f>IF(NOT(COUNTA(B729:D729,F729:O729)&gt;0),"",IF(C729="","Date manquante",IF(NOT(ISNUMBER(C729)),"Date invalide",IF(D729="","Client manquant",IF(ISNA(MATCH(D729,cli_code,0)),"Client inconnu",IF(AC729&lt;SUMPRODUCT(MAX(($AB$6:AB728=AB729)*$AC$6:AC728)),"Date antérieure à la facture précédente",IF(AND(F729&lt;&gt;"",ISNA(MATCH(F729,dv_num,0))),"Devis inconnu",IF(AND(F729&lt;&gt;"",IFERROR(INDEX(dv_client,MATCH(F729,dv_num,0)),D729)&lt;&gt;D729),"Client différent de celui du devis",IF(AG729="","Aucune ligne : saisissez des lignes ou un devis",IF(AND(AI729&lt;&gt;"",COUNTIF($AI$6:AI729,AI729)&gt;1),"Devis déjà repris par une autre facture",IF(AND(AA729="Avoir",M729=""),"Avoir : indiquez la facture d'origine",IF(AND(AA729="Avoir",ISNA(MATCH(M729,fa_num,0))),"Facture d'origine inconnue",IF(AND(AA729&lt;&gt;"Avoir",M729&lt;&gt;""),"« Avoir sur facture » : réservé aux avoirs",IF(AND(L729&lt;&gt;"",AA729&lt;&gt;"Facture"),"Acompte à déduire : réservé aux factures",IF(AND(L729&lt;&gt;"",ISNA(MATCH(L729,fa_num,0))),"Facture d'acompte inconnue",IF(AND(L729&lt;&gt;"",IFERROR(INDEX(fa_type,MATCH(L729,fa_num,0)),"")&lt;&gt;"Facture d'acompte"),"Le n° à déduire n'est pas une facture d'acompte",IF(AND(L729&lt;&gt;"",COUNTIF($L$6:L729,L729)&gt;1),"Acompte déjà déduit sur une autre facture",IF(AND(L729&lt;&gt;"",IFERROR(INDEX(fa_client,MATCH(L729,fa_num,0)),D729)&lt;&gt;D729),"Acompte d'un autre client",IF(AND(AR729&lt;&gt;"",N(Q729)&lt;0),"Acompte supérieur au total de la facture",IF(IF(AG729="Facture",COUNTIFS(fl_doc,A729,fl_check,"&lt;&gt;OK"),IF(AG729="Devis",COUNTIFS(dl_doc,F729,dl_check,"&lt;&gt;OK"),0))&gt;0,"Ligne(s) à corriger",IF(AND(W729&lt;&gt;"",N(W729)&lt;0),"Trop-perçu : vérifiez paiements et avoirs","OK")))))))))))))))))))))</f>
        <v/>
      </c>
      <c r="AA729" s="62" t="str">
        <f>IF(COUNTA(B729:D729,F729:O729)&gt;0,IF(B729="","Facture",B729),"")</f>
        <v/>
      </c>
      <c r="AB729" s="62" t="str">
        <f>IF(AA729="","",IF(AA729="Avoir",p_pav,IF(AA729="Facture d'acompte",p_pac,p_pfa)))</f>
        <v/>
      </c>
      <c r="AC729" s="62">
        <f>IF(ISNUMBER(C729),C729,0)</f>
        <v>0.0</v>
      </c>
      <c r="AD729" s="62" t="str">
        <f>IF(OR(AA729="",AC729=0),"",YEAR(AC729))</f>
        <v/>
      </c>
      <c r="AE729" s="62" t="str">
        <f>IF(AD729="","",COUNTIFS($AB$6:AB729,AB729,$AD$6:AD729,AD729))</f>
        <v/>
      </c>
      <c r="AF729" s="62">
        <f>IF(A729="",0,COUNTIF(fl_doc,A729))</f>
        <v>0.0</v>
      </c>
      <c r="AG729" s="62" t="str">
        <f>IF(A729="","",IF(AF729&gt;0,"Facture",IF(AND(F729&lt;&gt;"",AA729="Facture",ISNUMBER(MATCH(F729,dv_num,0))),"Devis","")))</f>
        <v/>
      </c>
      <c r="AH729" s="62" t="str">
        <f>IF(AND(A729&lt;&gt;"",F729&lt;&gt;"",AA729&lt;&gt;"Avoir"),F729,"")</f>
        <v/>
      </c>
      <c r="AI729" s="62" t="str">
        <f>IF(AG729="Devis",F729,"")</f>
        <v/>
      </c>
      <c r="AJ729" s="62">
        <f>IF(AG729="Facture",SUMIF(fl_doc,A729,fl_ht),IF(AG729="Devis",SUMIF(dl_doc,F729,dl_ht),0))</f>
        <v>0.0</v>
      </c>
      <c r="AK729" s="62">
        <f>IF(OR(AG729="",INDEX(p_rates,1)=""),0,IF(AG729="Facture",SUMIFS(fl_ht,fl_doc,A729,fl_rate,INDEX(p_rates,1)),SUMIFS(dl_ht,dl_doc,F729,dl_rate,INDEX(p_rates,1))))</f>
        <v>0.0</v>
      </c>
      <c r="AL729" s="62">
        <f>IF(OR(AG729="",INDEX(p_rates,2)=""),0,IF(AG729="Facture",SUMIFS(fl_ht,fl_doc,A729,fl_rate,INDEX(p_rates,2)),SUMIFS(dl_ht,dl_doc,F729,dl_rate,INDEX(p_rates,2))))</f>
        <v>0.0</v>
      </c>
      <c r="AM729" s="62">
        <f>IF(OR(AG729="",INDEX(p_rates,3)=""),0,IF(AG729="Facture",SUMIFS(fl_ht,fl_doc,A729,fl_rate,INDEX(p_rates,3)),SUMIFS(dl_ht,dl_doc,F729,dl_rate,INDEX(p_rates,3))))</f>
        <v>0.0</v>
      </c>
      <c r="AN729" s="62">
        <f>IF(OR(AG729="",INDEX(p_rates,4)=""),0,IF(AG729="Facture",SUMIFS(fl_ht,fl_doc,A729,fl_rate,INDEX(p_rates,4)),SUMIFS(dl_ht,dl_doc,F729,dl_rate,INDEX(p_rates,4))))</f>
        <v>0.0</v>
      </c>
      <c r="AO729" s="62">
        <f>IF(OR(AG729="",INDEX(p_rates,5)=""),0,IF(AG729="Facture",SUMIFS(fl_ht,fl_doc,A729,fl_rate,INDEX(p_rates,5)),SUMIFS(dl_ht,dl_doc,F729,dl_rate,INDEX(p_rates,5))))</f>
        <v>0.0</v>
      </c>
      <c r="AP729" s="62">
        <f>IF(OR(AG729="",INDEX(p_rates,6)=""),0,IF(AG729="Facture",SUMIFS(fl_ht,fl_doc,A729,fl_rate,INDEX(p_rates,6)),SUMIFS(dl_ht,dl_doc,F729,dl_rate,INDEX(p_rates,6))))</f>
        <v>0.0</v>
      </c>
      <c r="AQ729" s="62">
        <f>ROUND(AK729*N(INDEX(p_rates,1)),2)+ROUND(AL729*N(INDEX(p_rates,2)),2)+ROUND(AM729*N(INDEX(p_rates,3)),2)+ROUND(AN729*N(INDEX(p_rates,4)),2)+ROUND(AO729*N(INDEX(p_rates,5)),2)+ROUND(AP729*N(INDEX(p_rates,6)),2)</f>
        <v>0.0</v>
      </c>
      <c r="AR729" s="62" t="str">
        <f>IF(OR(L729="",AA729&lt;&gt;"Facture"),"",IFERROR(IF(INDEX(fa_type,MATCH(L729,fa_num,0))="Facture d'acompte",MATCH(L729,fa_num,0),""),""))</f>
        <v/>
      </c>
      <c r="AS729" s="62" t="str">
        <f>IF(W729="","",IF(W729&lt;=0,"",IF(p_asof-P729&lt;=0,"Non échu",IF(p_asof-P729&lt;=30,"1-30 j",IF(p_asof-P729&lt;=60,"31-60 j",IF(p_asof-P729&lt;=90,"61-90 j","Plus de 90 j"))))))</f>
        <v/>
      </c>
      <c r="AT729" s="62" t="str">
        <f>IF(AS729="","",p_asof-P729)</f>
        <v/>
      </c>
      <c r="AU729" s="62" t="str">
        <f>IF(AT729="","",COUNTIF($AT$6:$AT$805,"&gt;"&amp;AT729)+COUNTIF($AT$6:AT729,AT729))</f>
        <v/>
      </c>
    </row>
    <row r="730">
      <c r="A730" s="59" t="str">
        <f>IF(AE730="","",AB730&amp;"-"&amp;AD730&amp;"-"&amp;RIGHT("000"&amp;AE730,4))</f>
        <v/>
      </c>
      <c r="B730" s="60" t="n"/>
      <c r="C730" s="61" t="n"/>
      <c r="D730" s="60" t="n"/>
      <c r="E730" s="62" t="str">
        <f>IF(D730="","",IFERROR(INDEX(cli_name,MATCH(D730,cli_code,0))&amp;"","Client inconnu"))</f>
        <v/>
      </c>
      <c r="F730" s="60" t="n"/>
      <c r="G730" s="63" t="n"/>
      <c r="H730" s="61" t="n"/>
      <c r="I730" s="63" t="n"/>
      <c r="J730" s="60" t="n"/>
      <c r="K730" s="61" t="n"/>
      <c r="L730" s="60" t="n"/>
      <c r="M730" s="60" t="n"/>
      <c r="N730" s="60" t="n"/>
      <c r="O730" s="61" t="n"/>
      <c r="P730" s="64" t="str">
        <f>IF(A730="","",IF(AA730="Avoir",AC730,IF(ISNUMBER(K730),K730,AC730+IF(D730="",N(p_delay),IFERROR(IF(ISNUMBER(INDEX(cli_delay,MATCH(D730,cli_code,0))),INDEX(cli_delay,MATCH(D730,cli_code,0)),N(p_delay)),N(p_delay))))))</f>
        <v/>
      </c>
      <c r="Q730" s="65" t="str">
        <f>IF(A730="","",IF(AA730="Avoir",-1,1)*ROUND(AJ730-IF(AR730="",0,INDEX(fa_htb,AR730)),2))</f>
        <v/>
      </c>
      <c r="R730" s="65" t="str">
        <f>IF(A730="","",IF(AA730="Avoir",-1,1)*ROUND(AQ730-IF(AR730="",0,INDEX(fa_tvab,AR730)),2))</f>
        <v/>
      </c>
      <c r="S730" s="65" t="str">
        <f>IF(A730="","",Q730+R730)</f>
        <v/>
      </c>
      <c r="T730" s="65" t="str">
        <f>IF(AR730="","",INDEX(fa_htb,AR730)+INDEX(fa_tvab,AR730))</f>
        <v/>
      </c>
      <c r="U730" s="65" t="str">
        <f>IF(A730="","",SUMIF(pa_inv,A730,pa_amt))</f>
        <v/>
      </c>
      <c r="V730" s="65" t="str">
        <f>IF(OR(A730="",AA730="Avoir"),"",-SUMIFS(fa_ttc,fa_avof,A730,fa_type,"Avoir"))</f>
        <v/>
      </c>
      <c r="W730" s="65" t="str">
        <f>IF(OR(A730="",AA730="Avoir"),"",ROUND(S730-U730-V730,2))</f>
        <v/>
      </c>
      <c r="X730" s="66" t="str">
        <f>IF(W730="","",IF(AND(W730&gt;0,p_asof&gt;P730),p_asof-P730,""))</f>
        <v/>
      </c>
      <c r="Y730" s="59" t="str">
        <f>IF(A730="","",IF(AA730="Avoir","Avoir",IF(W730&lt;0,"Trop-perçu",IF(W730=0,"Soldée",IF(p_asof&gt;P730,"En retard",IF(U730+V730&gt;0,"Partielle","À échoir"))))))</f>
        <v/>
      </c>
      <c r="Z730" s="59" t="str">
        <f>IF(NOT(COUNTA(B730:D730,F730:O730)&gt;0),"",IF(C730="","Date manquante",IF(NOT(ISNUMBER(C730)),"Date invalide",IF(D730="","Client manquant",IF(ISNA(MATCH(D730,cli_code,0)),"Client inconnu",IF(AC730&lt;SUMPRODUCT(MAX(($AB$6:AB729=AB730)*$AC$6:AC729)),"Date antérieure à la facture précédente",IF(AND(F730&lt;&gt;"",ISNA(MATCH(F730,dv_num,0))),"Devis inconnu",IF(AND(F730&lt;&gt;"",IFERROR(INDEX(dv_client,MATCH(F730,dv_num,0)),D730)&lt;&gt;D730),"Client différent de celui du devis",IF(AG730="","Aucune ligne : saisissez des lignes ou un devis",IF(AND(AI730&lt;&gt;"",COUNTIF($AI$6:AI730,AI730)&gt;1),"Devis déjà repris par une autre facture",IF(AND(AA730="Avoir",M730=""),"Avoir : indiquez la facture d'origine",IF(AND(AA730="Avoir",ISNA(MATCH(M730,fa_num,0))),"Facture d'origine inconnue",IF(AND(AA730&lt;&gt;"Avoir",M730&lt;&gt;""),"« Avoir sur facture » : réservé aux avoirs",IF(AND(L730&lt;&gt;"",AA730&lt;&gt;"Facture"),"Acompte à déduire : réservé aux factures",IF(AND(L730&lt;&gt;"",ISNA(MATCH(L730,fa_num,0))),"Facture d'acompte inconnue",IF(AND(L730&lt;&gt;"",IFERROR(INDEX(fa_type,MATCH(L730,fa_num,0)),"")&lt;&gt;"Facture d'acompte"),"Le n° à déduire n'est pas une facture d'acompte",IF(AND(L730&lt;&gt;"",COUNTIF($L$6:L730,L730)&gt;1),"Acompte déjà déduit sur une autre facture",IF(AND(L730&lt;&gt;"",IFERROR(INDEX(fa_client,MATCH(L730,fa_num,0)),D730)&lt;&gt;D730),"Acompte d'un autre client",IF(AND(AR730&lt;&gt;"",N(Q730)&lt;0),"Acompte supérieur au total de la facture",IF(IF(AG730="Facture",COUNTIFS(fl_doc,A730,fl_check,"&lt;&gt;OK"),IF(AG730="Devis",COUNTIFS(dl_doc,F730,dl_check,"&lt;&gt;OK"),0))&gt;0,"Ligne(s) à corriger",IF(AND(W730&lt;&gt;"",N(W730)&lt;0),"Trop-perçu : vérifiez paiements et avoirs","OK")))))))))))))))))))))</f>
        <v/>
      </c>
      <c r="AA730" s="62" t="str">
        <f>IF(COUNTA(B730:D730,F730:O730)&gt;0,IF(B730="","Facture",B730),"")</f>
        <v/>
      </c>
      <c r="AB730" s="62" t="str">
        <f>IF(AA730="","",IF(AA730="Avoir",p_pav,IF(AA730="Facture d'acompte",p_pac,p_pfa)))</f>
        <v/>
      </c>
      <c r="AC730" s="62">
        <f>IF(ISNUMBER(C730),C730,0)</f>
        <v>0.0</v>
      </c>
      <c r="AD730" s="62" t="str">
        <f>IF(OR(AA730="",AC730=0),"",YEAR(AC730))</f>
        <v/>
      </c>
      <c r="AE730" s="62" t="str">
        <f>IF(AD730="","",COUNTIFS($AB$6:AB730,AB730,$AD$6:AD730,AD730))</f>
        <v/>
      </c>
      <c r="AF730" s="62">
        <f>IF(A730="",0,COUNTIF(fl_doc,A730))</f>
        <v>0.0</v>
      </c>
      <c r="AG730" s="62" t="str">
        <f>IF(A730="","",IF(AF730&gt;0,"Facture",IF(AND(F730&lt;&gt;"",AA730="Facture",ISNUMBER(MATCH(F730,dv_num,0))),"Devis","")))</f>
        <v/>
      </c>
      <c r="AH730" s="62" t="str">
        <f>IF(AND(A730&lt;&gt;"",F730&lt;&gt;"",AA730&lt;&gt;"Avoir"),F730,"")</f>
        <v/>
      </c>
      <c r="AI730" s="62" t="str">
        <f>IF(AG730="Devis",F730,"")</f>
        <v/>
      </c>
      <c r="AJ730" s="62">
        <f>IF(AG730="Facture",SUMIF(fl_doc,A730,fl_ht),IF(AG730="Devis",SUMIF(dl_doc,F730,dl_ht),0))</f>
        <v>0.0</v>
      </c>
      <c r="AK730" s="62">
        <f>IF(OR(AG730="",INDEX(p_rates,1)=""),0,IF(AG730="Facture",SUMIFS(fl_ht,fl_doc,A730,fl_rate,INDEX(p_rates,1)),SUMIFS(dl_ht,dl_doc,F730,dl_rate,INDEX(p_rates,1))))</f>
        <v>0.0</v>
      </c>
      <c r="AL730" s="62">
        <f>IF(OR(AG730="",INDEX(p_rates,2)=""),0,IF(AG730="Facture",SUMIFS(fl_ht,fl_doc,A730,fl_rate,INDEX(p_rates,2)),SUMIFS(dl_ht,dl_doc,F730,dl_rate,INDEX(p_rates,2))))</f>
        <v>0.0</v>
      </c>
      <c r="AM730" s="62">
        <f>IF(OR(AG730="",INDEX(p_rates,3)=""),0,IF(AG730="Facture",SUMIFS(fl_ht,fl_doc,A730,fl_rate,INDEX(p_rates,3)),SUMIFS(dl_ht,dl_doc,F730,dl_rate,INDEX(p_rates,3))))</f>
        <v>0.0</v>
      </c>
      <c r="AN730" s="62">
        <f>IF(OR(AG730="",INDEX(p_rates,4)=""),0,IF(AG730="Facture",SUMIFS(fl_ht,fl_doc,A730,fl_rate,INDEX(p_rates,4)),SUMIFS(dl_ht,dl_doc,F730,dl_rate,INDEX(p_rates,4))))</f>
        <v>0.0</v>
      </c>
      <c r="AO730" s="62">
        <f>IF(OR(AG730="",INDEX(p_rates,5)=""),0,IF(AG730="Facture",SUMIFS(fl_ht,fl_doc,A730,fl_rate,INDEX(p_rates,5)),SUMIFS(dl_ht,dl_doc,F730,dl_rate,INDEX(p_rates,5))))</f>
        <v>0.0</v>
      </c>
      <c r="AP730" s="62">
        <f>IF(OR(AG730="",INDEX(p_rates,6)=""),0,IF(AG730="Facture",SUMIFS(fl_ht,fl_doc,A730,fl_rate,INDEX(p_rates,6)),SUMIFS(dl_ht,dl_doc,F730,dl_rate,INDEX(p_rates,6))))</f>
        <v>0.0</v>
      </c>
      <c r="AQ730" s="62">
        <f>ROUND(AK730*N(INDEX(p_rates,1)),2)+ROUND(AL730*N(INDEX(p_rates,2)),2)+ROUND(AM730*N(INDEX(p_rates,3)),2)+ROUND(AN730*N(INDEX(p_rates,4)),2)+ROUND(AO730*N(INDEX(p_rates,5)),2)+ROUND(AP730*N(INDEX(p_rates,6)),2)</f>
        <v>0.0</v>
      </c>
      <c r="AR730" s="62" t="str">
        <f>IF(OR(L730="",AA730&lt;&gt;"Facture"),"",IFERROR(IF(INDEX(fa_type,MATCH(L730,fa_num,0))="Facture d'acompte",MATCH(L730,fa_num,0),""),""))</f>
        <v/>
      </c>
      <c r="AS730" s="62" t="str">
        <f>IF(W730="","",IF(W730&lt;=0,"",IF(p_asof-P730&lt;=0,"Non échu",IF(p_asof-P730&lt;=30,"1-30 j",IF(p_asof-P730&lt;=60,"31-60 j",IF(p_asof-P730&lt;=90,"61-90 j","Plus de 90 j"))))))</f>
        <v/>
      </c>
      <c r="AT730" s="62" t="str">
        <f>IF(AS730="","",p_asof-P730)</f>
        <v/>
      </c>
      <c r="AU730" s="62" t="str">
        <f>IF(AT730="","",COUNTIF($AT$6:$AT$805,"&gt;"&amp;AT730)+COUNTIF($AT$6:AT730,AT730))</f>
        <v/>
      </c>
    </row>
    <row r="731">
      <c r="A731" s="59" t="str">
        <f>IF(AE731="","",AB731&amp;"-"&amp;AD731&amp;"-"&amp;RIGHT("000"&amp;AE731,4))</f>
        <v/>
      </c>
      <c r="B731" s="60" t="n"/>
      <c r="C731" s="61" t="n"/>
      <c r="D731" s="60" t="n"/>
      <c r="E731" s="62" t="str">
        <f>IF(D731="","",IFERROR(INDEX(cli_name,MATCH(D731,cli_code,0))&amp;"","Client inconnu"))</f>
        <v/>
      </c>
      <c r="F731" s="60" t="n"/>
      <c r="G731" s="63" t="n"/>
      <c r="H731" s="61" t="n"/>
      <c r="I731" s="63" t="n"/>
      <c r="J731" s="60" t="n"/>
      <c r="K731" s="61" t="n"/>
      <c r="L731" s="60" t="n"/>
      <c r="M731" s="60" t="n"/>
      <c r="N731" s="60" t="n"/>
      <c r="O731" s="61" t="n"/>
      <c r="P731" s="64" t="str">
        <f>IF(A731="","",IF(AA731="Avoir",AC731,IF(ISNUMBER(K731),K731,AC731+IF(D731="",N(p_delay),IFERROR(IF(ISNUMBER(INDEX(cli_delay,MATCH(D731,cli_code,0))),INDEX(cli_delay,MATCH(D731,cli_code,0)),N(p_delay)),N(p_delay))))))</f>
        <v/>
      </c>
      <c r="Q731" s="65" t="str">
        <f>IF(A731="","",IF(AA731="Avoir",-1,1)*ROUND(AJ731-IF(AR731="",0,INDEX(fa_htb,AR731)),2))</f>
        <v/>
      </c>
      <c r="R731" s="65" t="str">
        <f>IF(A731="","",IF(AA731="Avoir",-1,1)*ROUND(AQ731-IF(AR731="",0,INDEX(fa_tvab,AR731)),2))</f>
        <v/>
      </c>
      <c r="S731" s="65" t="str">
        <f>IF(A731="","",Q731+R731)</f>
        <v/>
      </c>
      <c r="T731" s="65" t="str">
        <f>IF(AR731="","",INDEX(fa_htb,AR731)+INDEX(fa_tvab,AR731))</f>
        <v/>
      </c>
      <c r="U731" s="65" t="str">
        <f>IF(A731="","",SUMIF(pa_inv,A731,pa_amt))</f>
        <v/>
      </c>
      <c r="V731" s="65" t="str">
        <f>IF(OR(A731="",AA731="Avoir"),"",-SUMIFS(fa_ttc,fa_avof,A731,fa_type,"Avoir"))</f>
        <v/>
      </c>
      <c r="W731" s="65" t="str">
        <f>IF(OR(A731="",AA731="Avoir"),"",ROUND(S731-U731-V731,2))</f>
        <v/>
      </c>
      <c r="X731" s="66" t="str">
        <f>IF(W731="","",IF(AND(W731&gt;0,p_asof&gt;P731),p_asof-P731,""))</f>
        <v/>
      </c>
      <c r="Y731" s="59" t="str">
        <f>IF(A731="","",IF(AA731="Avoir","Avoir",IF(W731&lt;0,"Trop-perçu",IF(W731=0,"Soldée",IF(p_asof&gt;P731,"En retard",IF(U731+V731&gt;0,"Partielle","À échoir"))))))</f>
        <v/>
      </c>
      <c r="Z731" s="59" t="str">
        <f>IF(NOT(COUNTA(B731:D731,F731:O731)&gt;0),"",IF(C731="","Date manquante",IF(NOT(ISNUMBER(C731)),"Date invalide",IF(D731="","Client manquant",IF(ISNA(MATCH(D731,cli_code,0)),"Client inconnu",IF(AC731&lt;SUMPRODUCT(MAX(($AB$6:AB730=AB731)*$AC$6:AC730)),"Date antérieure à la facture précédente",IF(AND(F731&lt;&gt;"",ISNA(MATCH(F731,dv_num,0))),"Devis inconnu",IF(AND(F731&lt;&gt;"",IFERROR(INDEX(dv_client,MATCH(F731,dv_num,0)),D731)&lt;&gt;D731),"Client différent de celui du devis",IF(AG731="","Aucune ligne : saisissez des lignes ou un devis",IF(AND(AI731&lt;&gt;"",COUNTIF($AI$6:AI731,AI731)&gt;1),"Devis déjà repris par une autre facture",IF(AND(AA731="Avoir",M731=""),"Avoir : indiquez la facture d'origine",IF(AND(AA731="Avoir",ISNA(MATCH(M731,fa_num,0))),"Facture d'origine inconnue",IF(AND(AA731&lt;&gt;"Avoir",M731&lt;&gt;""),"« Avoir sur facture » : réservé aux avoirs",IF(AND(L731&lt;&gt;"",AA731&lt;&gt;"Facture"),"Acompte à déduire : réservé aux factures",IF(AND(L731&lt;&gt;"",ISNA(MATCH(L731,fa_num,0))),"Facture d'acompte inconnue",IF(AND(L731&lt;&gt;"",IFERROR(INDEX(fa_type,MATCH(L731,fa_num,0)),"")&lt;&gt;"Facture d'acompte"),"Le n° à déduire n'est pas une facture d'acompte",IF(AND(L731&lt;&gt;"",COUNTIF($L$6:L731,L731)&gt;1),"Acompte déjà déduit sur une autre facture",IF(AND(L731&lt;&gt;"",IFERROR(INDEX(fa_client,MATCH(L731,fa_num,0)),D731)&lt;&gt;D731),"Acompte d'un autre client",IF(AND(AR731&lt;&gt;"",N(Q731)&lt;0),"Acompte supérieur au total de la facture",IF(IF(AG731="Facture",COUNTIFS(fl_doc,A731,fl_check,"&lt;&gt;OK"),IF(AG731="Devis",COUNTIFS(dl_doc,F731,dl_check,"&lt;&gt;OK"),0))&gt;0,"Ligne(s) à corriger",IF(AND(W731&lt;&gt;"",N(W731)&lt;0),"Trop-perçu : vérifiez paiements et avoirs","OK")))))))))))))))))))))</f>
        <v/>
      </c>
      <c r="AA731" s="62" t="str">
        <f>IF(COUNTA(B731:D731,F731:O731)&gt;0,IF(B731="","Facture",B731),"")</f>
        <v/>
      </c>
      <c r="AB731" s="62" t="str">
        <f>IF(AA731="","",IF(AA731="Avoir",p_pav,IF(AA731="Facture d'acompte",p_pac,p_pfa)))</f>
        <v/>
      </c>
      <c r="AC731" s="62">
        <f>IF(ISNUMBER(C731),C731,0)</f>
        <v>0.0</v>
      </c>
      <c r="AD731" s="62" t="str">
        <f>IF(OR(AA731="",AC731=0),"",YEAR(AC731))</f>
        <v/>
      </c>
      <c r="AE731" s="62" t="str">
        <f>IF(AD731="","",COUNTIFS($AB$6:AB731,AB731,$AD$6:AD731,AD731))</f>
        <v/>
      </c>
      <c r="AF731" s="62">
        <f>IF(A731="",0,COUNTIF(fl_doc,A731))</f>
        <v>0.0</v>
      </c>
      <c r="AG731" s="62" t="str">
        <f>IF(A731="","",IF(AF731&gt;0,"Facture",IF(AND(F731&lt;&gt;"",AA731="Facture",ISNUMBER(MATCH(F731,dv_num,0))),"Devis","")))</f>
        <v/>
      </c>
      <c r="AH731" s="62" t="str">
        <f>IF(AND(A731&lt;&gt;"",F731&lt;&gt;"",AA731&lt;&gt;"Avoir"),F731,"")</f>
        <v/>
      </c>
      <c r="AI731" s="62" t="str">
        <f>IF(AG731="Devis",F731,"")</f>
        <v/>
      </c>
      <c r="AJ731" s="62">
        <f>IF(AG731="Facture",SUMIF(fl_doc,A731,fl_ht),IF(AG731="Devis",SUMIF(dl_doc,F731,dl_ht),0))</f>
        <v>0.0</v>
      </c>
      <c r="AK731" s="62">
        <f>IF(OR(AG731="",INDEX(p_rates,1)=""),0,IF(AG731="Facture",SUMIFS(fl_ht,fl_doc,A731,fl_rate,INDEX(p_rates,1)),SUMIFS(dl_ht,dl_doc,F731,dl_rate,INDEX(p_rates,1))))</f>
        <v>0.0</v>
      </c>
      <c r="AL731" s="62">
        <f>IF(OR(AG731="",INDEX(p_rates,2)=""),0,IF(AG731="Facture",SUMIFS(fl_ht,fl_doc,A731,fl_rate,INDEX(p_rates,2)),SUMIFS(dl_ht,dl_doc,F731,dl_rate,INDEX(p_rates,2))))</f>
        <v>0.0</v>
      </c>
      <c r="AM731" s="62">
        <f>IF(OR(AG731="",INDEX(p_rates,3)=""),0,IF(AG731="Facture",SUMIFS(fl_ht,fl_doc,A731,fl_rate,INDEX(p_rates,3)),SUMIFS(dl_ht,dl_doc,F731,dl_rate,INDEX(p_rates,3))))</f>
        <v>0.0</v>
      </c>
      <c r="AN731" s="62">
        <f>IF(OR(AG731="",INDEX(p_rates,4)=""),0,IF(AG731="Facture",SUMIFS(fl_ht,fl_doc,A731,fl_rate,INDEX(p_rates,4)),SUMIFS(dl_ht,dl_doc,F731,dl_rate,INDEX(p_rates,4))))</f>
        <v>0.0</v>
      </c>
      <c r="AO731" s="62">
        <f>IF(OR(AG731="",INDEX(p_rates,5)=""),0,IF(AG731="Facture",SUMIFS(fl_ht,fl_doc,A731,fl_rate,INDEX(p_rates,5)),SUMIFS(dl_ht,dl_doc,F731,dl_rate,INDEX(p_rates,5))))</f>
        <v>0.0</v>
      </c>
      <c r="AP731" s="62">
        <f>IF(OR(AG731="",INDEX(p_rates,6)=""),0,IF(AG731="Facture",SUMIFS(fl_ht,fl_doc,A731,fl_rate,INDEX(p_rates,6)),SUMIFS(dl_ht,dl_doc,F731,dl_rate,INDEX(p_rates,6))))</f>
        <v>0.0</v>
      </c>
      <c r="AQ731" s="62">
        <f>ROUND(AK731*N(INDEX(p_rates,1)),2)+ROUND(AL731*N(INDEX(p_rates,2)),2)+ROUND(AM731*N(INDEX(p_rates,3)),2)+ROUND(AN731*N(INDEX(p_rates,4)),2)+ROUND(AO731*N(INDEX(p_rates,5)),2)+ROUND(AP731*N(INDEX(p_rates,6)),2)</f>
        <v>0.0</v>
      </c>
      <c r="AR731" s="62" t="str">
        <f>IF(OR(L731="",AA731&lt;&gt;"Facture"),"",IFERROR(IF(INDEX(fa_type,MATCH(L731,fa_num,0))="Facture d'acompte",MATCH(L731,fa_num,0),""),""))</f>
        <v/>
      </c>
      <c r="AS731" s="62" t="str">
        <f>IF(W731="","",IF(W731&lt;=0,"",IF(p_asof-P731&lt;=0,"Non échu",IF(p_asof-P731&lt;=30,"1-30 j",IF(p_asof-P731&lt;=60,"31-60 j",IF(p_asof-P731&lt;=90,"61-90 j","Plus de 90 j"))))))</f>
        <v/>
      </c>
      <c r="AT731" s="62" t="str">
        <f>IF(AS731="","",p_asof-P731)</f>
        <v/>
      </c>
      <c r="AU731" s="62" t="str">
        <f>IF(AT731="","",COUNTIF($AT$6:$AT$805,"&gt;"&amp;AT731)+COUNTIF($AT$6:AT731,AT731))</f>
        <v/>
      </c>
    </row>
    <row r="732">
      <c r="A732" s="59" t="str">
        <f>IF(AE732="","",AB732&amp;"-"&amp;AD732&amp;"-"&amp;RIGHT("000"&amp;AE732,4))</f>
        <v/>
      </c>
      <c r="B732" s="60" t="n"/>
      <c r="C732" s="61" t="n"/>
      <c r="D732" s="60" t="n"/>
      <c r="E732" s="62" t="str">
        <f>IF(D732="","",IFERROR(INDEX(cli_name,MATCH(D732,cli_code,0))&amp;"","Client inconnu"))</f>
        <v/>
      </c>
      <c r="F732" s="60" t="n"/>
      <c r="G732" s="63" t="n"/>
      <c r="H732" s="61" t="n"/>
      <c r="I732" s="63" t="n"/>
      <c r="J732" s="60" t="n"/>
      <c r="K732" s="61" t="n"/>
      <c r="L732" s="60" t="n"/>
      <c r="M732" s="60" t="n"/>
      <c r="N732" s="60" t="n"/>
      <c r="O732" s="61" t="n"/>
      <c r="P732" s="64" t="str">
        <f>IF(A732="","",IF(AA732="Avoir",AC732,IF(ISNUMBER(K732),K732,AC732+IF(D732="",N(p_delay),IFERROR(IF(ISNUMBER(INDEX(cli_delay,MATCH(D732,cli_code,0))),INDEX(cli_delay,MATCH(D732,cli_code,0)),N(p_delay)),N(p_delay))))))</f>
        <v/>
      </c>
      <c r="Q732" s="65" t="str">
        <f>IF(A732="","",IF(AA732="Avoir",-1,1)*ROUND(AJ732-IF(AR732="",0,INDEX(fa_htb,AR732)),2))</f>
        <v/>
      </c>
      <c r="R732" s="65" t="str">
        <f>IF(A732="","",IF(AA732="Avoir",-1,1)*ROUND(AQ732-IF(AR732="",0,INDEX(fa_tvab,AR732)),2))</f>
        <v/>
      </c>
      <c r="S732" s="65" t="str">
        <f>IF(A732="","",Q732+R732)</f>
        <v/>
      </c>
      <c r="T732" s="65" t="str">
        <f>IF(AR732="","",INDEX(fa_htb,AR732)+INDEX(fa_tvab,AR732))</f>
        <v/>
      </c>
      <c r="U732" s="65" t="str">
        <f>IF(A732="","",SUMIF(pa_inv,A732,pa_amt))</f>
        <v/>
      </c>
      <c r="V732" s="65" t="str">
        <f>IF(OR(A732="",AA732="Avoir"),"",-SUMIFS(fa_ttc,fa_avof,A732,fa_type,"Avoir"))</f>
        <v/>
      </c>
      <c r="W732" s="65" t="str">
        <f>IF(OR(A732="",AA732="Avoir"),"",ROUND(S732-U732-V732,2))</f>
        <v/>
      </c>
      <c r="X732" s="66" t="str">
        <f>IF(W732="","",IF(AND(W732&gt;0,p_asof&gt;P732),p_asof-P732,""))</f>
        <v/>
      </c>
      <c r="Y732" s="59" t="str">
        <f>IF(A732="","",IF(AA732="Avoir","Avoir",IF(W732&lt;0,"Trop-perçu",IF(W732=0,"Soldée",IF(p_asof&gt;P732,"En retard",IF(U732+V732&gt;0,"Partielle","À échoir"))))))</f>
        <v/>
      </c>
      <c r="Z732" s="59" t="str">
        <f>IF(NOT(COUNTA(B732:D732,F732:O732)&gt;0),"",IF(C732="","Date manquante",IF(NOT(ISNUMBER(C732)),"Date invalide",IF(D732="","Client manquant",IF(ISNA(MATCH(D732,cli_code,0)),"Client inconnu",IF(AC732&lt;SUMPRODUCT(MAX(($AB$6:AB731=AB732)*$AC$6:AC731)),"Date antérieure à la facture précédente",IF(AND(F732&lt;&gt;"",ISNA(MATCH(F732,dv_num,0))),"Devis inconnu",IF(AND(F732&lt;&gt;"",IFERROR(INDEX(dv_client,MATCH(F732,dv_num,0)),D732)&lt;&gt;D732),"Client différent de celui du devis",IF(AG732="","Aucune ligne : saisissez des lignes ou un devis",IF(AND(AI732&lt;&gt;"",COUNTIF($AI$6:AI732,AI732)&gt;1),"Devis déjà repris par une autre facture",IF(AND(AA732="Avoir",M732=""),"Avoir : indiquez la facture d'origine",IF(AND(AA732="Avoir",ISNA(MATCH(M732,fa_num,0))),"Facture d'origine inconnue",IF(AND(AA732&lt;&gt;"Avoir",M732&lt;&gt;""),"« Avoir sur facture » : réservé aux avoirs",IF(AND(L732&lt;&gt;"",AA732&lt;&gt;"Facture"),"Acompte à déduire : réservé aux factures",IF(AND(L732&lt;&gt;"",ISNA(MATCH(L732,fa_num,0))),"Facture d'acompte inconnue",IF(AND(L732&lt;&gt;"",IFERROR(INDEX(fa_type,MATCH(L732,fa_num,0)),"")&lt;&gt;"Facture d'acompte"),"Le n° à déduire n'est pas une facture d'acompte",IF(AND(L732&lt;&gt;"",COUNTIF($L$6:L732,L732)&gt;1),"Acompte déjà déduit sur une autre facture",IF(AND(L732&lt;&gt;"",IFERROR(INDEX(fa_client,MATCH(L732,fa_num,0)),D732)&lt;&gt;D732),"Acompte d'un autre client",IF(AND(AR732&lt;&gt;"",N(Q732)&lt;0),"Acompte supérieur au total de la facture",IF(IF(AG732="Facture",COUNTIFS(fl_doc,A732,fl_check,"&lt;&gt;OK"),IF(AG732="Devis",COUNTIFS(dl_doc,F732,dl_check,"&lt;&gt;OK"),0))&gt;0,"Ligne(s) à corriger",IF(AND(W732&lt;&gt;"",N(W732)&lt;0),"Trop-perçu : vérifiez paiements et avoirs","OK")))))))))))))))))))))</f>
        <v/>
      </c>
      <c r="AA732" s="62" t="str">
        <f>IF(COUNTA(B732:D732,F732:O732)&gt;0,IF(B732="","Facture",B732),"")</f>
        <v/>
      </c>
      <c r="AB732" s="62" t="str">
        <f>IF(AA732="","",IF(AA732="Avoir",p_pav,IF(AA732="Facture d'acompte",p_pac,p_pfa)))</f>
        <v/>
      </c>
      <c r="AC732" s="62">
        <f>IF(ISNUMBER(C732),C732,0)</f>
        <v>0.0</v>
      </c>
      <c r="AD732" s="62" t="str">
        <f>IF(OR(AA732="",AC732=0),"",YEAR(AC732))</f>
        <v/>
      </c>
      <c r="AE732" s="62" t="str">
        <f>IF(AD732="","",COUNTIFS($AB$6:AB732,AB732,$AD$6:AD732,AD732))</f>
        <v/>
      </c>
      <c r="AF732" s="62">
        <f>IF(A732="",0,COUNTIF(fl_doc,A732))</f>
        <v>0.0</v>
      </c>
      <c r="AG732" s="62" t="str">
        <f>IF(A732="","",IF(AF732&gt;0,"Facture",IF(AND(F732&lt;&gt;"",AA732="Facture",ISNUMBER(MATCH(F732,dv_num,0))),"Devis","")))</f>
        <v/>
      </c>
      <c r="AH732" s="62" t="str">
        <f>IF(AND(A732&lt;&gt;"",F732&lt;&gt;"",AA732&lt;&gt;"Avoir"),F732,"")</f>
        <v/>
      </c>
      <c r="AI732" s="62" t="str">
        <f>IF(AG732="Devis",F732,"")</f>
        <v/>
      </c>
      <c r="AJ732" s="62">
        <f>IF(AG732="Facture",SUMIF(fl_doc,A732,fl_ht),IF(AG732="Devis",SUMIF(dl_doc,F732,dl_ht),0))</f>
        <v>0.0</v>
      </c>
      <c r="AK732" s="62">
        <f>IF(OR(AG732="",INDEX(p_rates,1)=""),0,IF(AG732="Facture",SUMIFS(fl_ht,fl_doc,A732,fl_rate,INDEX(p_rates,1)),SUMIFS(dl_ht,dl_doc,F732,dl_rate,INDEX(p_rates,1))))</f>
        <v>0.0</v>
      </c>
      <c r="AL732" s="62">
        <f>IF(OR(AG732="",INDEX(p_rates,2)=""),0,IF(AG732="Facture",SUMIFS(fl_ht,fl_doc,A732,fl_rate,INDEX(p_rates,2)),SUMIFS(dl_ht,dl_doc,F732,dl_rate,INDEX(p_rates,2))))</f>
        <v>0.0</v>
      </c>
      <c r="AM732" s="62">
        <f>IF(OR(AG732="",INDEX(p_rates,3)=""),0,IF(AG732="Facture",SUMIFS(fl_ht,fl_doc,A732,fl_rate,INDEX(p_rates,3)),SUMIFS(dl_ht,dl_doc,F732,dl_rate,INDEX(p_rates,3))))</f>
        <v>0.0</v>
      </c>
      <c r="AN732" s="62">
        <f>IF(OR(AG732="",INDEX(p_rates,4)=""),0,IF(AG732="Facture",SUMIFS(fl_ht,fl_doc,A732,fl_rate,INDEX(p_rates,4)),SUMIFS(dl_ht,dl_doc,F732,dl_rate,INDEX(p_rates,4))))</f>
        <v>0.0</v>
      </c>
      <c r="AO732" s="62">
        <f>IF(OR(AG732="",INDEX(p_rates,5)=""),0,IF(AG732="Facture",SUMIFS(fl_ht,fl_doc,A732,fl_rate,INDEX(p_rates,5)),SUMIFS(dl_ht,dl_doc,F732,dl_rate,INDEX(p_rates,5))))</f>
        <v>0.0</v>
      </c>
      <c r="AP732" s="62">
        <f>IF(OR(AG732="",INDEX(p_rates,6)=""),0,IF(AG732="Facture",SUMIFS(fl_ht,fl_doc,A732,fl_rate,INDEX(p_rates,6)),SUMIFS(dl_ht,dl_doc,F732,dl_rate,INDEX(p_rates,6))))</f>
        <v>0.0</v>
      </c>
      <c r="AQ732" s="62">
        <f>ROUND(AK732*N(INDEX(p_rates,1)),2)+ROUND(AL732*N(INDEX(p_rates,2)),2)+ROUND(AM732*N(INDEX(p_rates,3)),2)+ROUND(AN732*N(INDEX(p_rates,4)),2)+ROUND(AO732*N(INDEX(p_rates,5)),2)+ROUND(AP732*N(INDEX(p_rates,6)),2)</f>
        <v>0.0</v>
      </c>
      <c r="AR732" s="62" t="str">
        <f>IF(OR(L732="",AA732&lt;&gt;"Facture"),"",IFERROR(IF(INDEX(fa_type,MATCH(L732,fa_num,0))="Facture d'acompte",MATCH(L732,fa_num,0),""),""))</f>
        <v/>
      </c>
      <c r="AS732" s="62" t="str">
        <f>IF(W732="","",IF(W732&lt;=0,"",IF(p_asof-P732&lt;=0,"Non échu",IF(p_asof-P732&lt;=30,"1-30 j",IF(p_asof-P732&lt;=60,"31-60 j",IF(p_asof-P732&lt;=90,"61-90 j","Plus de 90 j"))))))</f>
        <v/>
      </c>
      <c r="AT732" s="62" t="str">
        <f>IF(AS732="","",p_asof-P732)</f>
        <v/>
      </c>
      <c r="AU732" s="62" t="str">
        <f>IF(AT732="","",COUNTIF($AT$6:$AT$805,"&gt;"&amp;AT732)+COUNTIF($AT$6:AT732,AT732))</f>
        <v/>
      </c>
    </row>
    <row r="733">
      <c r="A733" s="59" t="str">
        <f>IF(AE733="","",AB733&amp;"-"&amp;AD733&amp;"-"&amp;RIGHT("000"&amp;AE733,4))</f>
        <v/>
      </c>
      <c r="B733" s="60" t="n"/>
      <c r="C733" s="61" t="n"/>
      <c r="D733" s="60" t="n"/>
      <c r="E733" s="62" t="str">
        <f>IF(D733="","",IFERROR(INDEX(cli_name,MATCH(D733,cli_code,0))&amp;"","Client inconnu"))</f>
        <v/>
      </c>
      <c r="F733" s="60" t="n"/>
      <c r="G733" s="63" t="n"/>
      <c r="H733" s="61" t="n"/>
      <c r="I733" s="63" t="n"/>
      <c r="J733" s="60" t="n"/>
      <c r="K733" s="61" t="n"/>
      <c r="L733" s="60" t="n"/>
      <c r="M733" s="60" t="n"/>
      <c r="N733" s="60" t="n"/>
      <c r="O733" s="61" t="n"/>
      <c r="P733" s="64" t="str">
        <f>IF(A733="","",IF(AA733="Avoir",AC733,IF(ISNUMBER(K733),K733,AC733+IF(D733="",N(p_delay),IFERROR(IF(ISNUMBER(INDEX(cli_delay,MATCH(D733,cli_code,0))),INDEX(cli_delay,MATCH(D733,cli_code,0)),N(p_delay)),N(p_delay))))))</f>
        <v/>
      </c>
      <c r="Q733" s="65" t="str">
        <f>IF(A733="","",IF(AA733="Avoir",-1,1)*ROUND(AJ733-IF(AR733="",0,INDEX(fa_htb,AR733)),2))</f>
        <v/>
      </c>
      <c r="R733" s="65" t="str">
        <f>IF(A733="","",IF(AA733="Avoir",-1,1)*ROUND(AQ733-IF(AR733="",0,INDEX(fa_tvab,AR733)),2))</f>
        <v/>
      </c>
      <c r="S733" s="65" t="str">
        <f>IF(A733="","",Q733+R733)</f>
        <v/>
      </c>
      <c r="T733" s="65" t="str">
        <f>IF(AR733="","",INDEX(fa_htb,AR733)+INDEX(fa_tvab,AR733))</f>
        <v/>
      </c>
      <c r="U733" s="65" t="str">
        <f>IF(A733="","",SUMIF(pa_inv,A733,pa_amt))</f>
        <v/>
      </c>
      <c r="V733" s="65" t="str">
        <f>IF(OR(A733="",AA733="Avoir"),"",-SUMIFS(fa_ttc,fa_avof,A733,fa_type,"Avoir"))</f>
        <v/>
      </c>
      <c r="W733" s="65" t="str">
        <f>IF(OR(A733="",AA733="Avoir"),"",ROUND(S733-U733-V733,2))</f>
        <v/>
      </c>
      <c r="X733" s="66" t="str">
        <f>IF(W733="","",IF(AND(W733&gt;0,p_asof&gt;P733),p_asof-P733,""))</f>
        <v/>
      </c>
      <c r="Y733" s="59" t="str">
        <f>IF(A733="","",IF(AA733="Avoir","Avoir",IF(W733&lt;0,"Trop-perçu",IF(W733=0,"Soldée",IF(p_asof&gt;P733,"En retard",IF(U733+V733&gt;0,"Partielle","À échoir"))))))</f>
        <v/>
      </c>
      <c r="Z733" s="59" t="str">
        <f>IF(NOT(COUNTA(B733:D733,F733:O733)&gt;0),"",IF(C733="","Date manquante",IF(NOT(ISNUMBER(C733)),"Date invalide",IF(D733="","Client manquant",IF(ISNA(MATCH(D733,cli_code,0)),"Client inconnu",IF(AC733&lt;SUMPRODUCT(MAX(($AB$6:AB732=AB733)*$AC$6:AC732)),"Date antérieure à la facture précédente",IF(AND(F733&lt;&gt;"",ISNA(MATCH(F733,dv_num,0))),"Devis inconnu",IF(AND(F733&lt;&gt;"",IFERROR(INDEX(dv_client,MATCH(F733,dv_num,0)),D733)&lt;&gt;D733),"Client différent de celui du devis",IF(AG733="","Aucune ligne : saisissez des lignes ou un devis",IF(AND(AI733&lt;&gt;"",COUNTIF($AI$6:AI733,AI733)&gt;1),"Devis déjà repris par une autre facture",IF(AND(AA733="Avoir",M733=""),"Avoir : indiquez la facture d'origine",IF(AND(AA733="Avoir",ISNA(MATCH(M733,fa_num,0))),"Facture d'origine inconnue",IF(AND(AA733&lt;&gt;"Avoir",M733&lt;&gt;""),"« Avoir sur facture » : réservé aux avoirs",IF(AND(L733&lt;&gt;"",AA733&lt;&gt;"Facture"),"Acompte à déduire : réservé aux factures",IF(AND(L733&lt;&gt;"",ISNA(MATCH(L733,fa_num,0))),"Facture d'acompte inconnue",IF(AND(L733&lt;&gt;"",IFERROR(INDEX(fa_type,MATCH(L733,fa_num,0)),"")&lt;&gt;"Facture d'acompte"),"Le n° à déduire n'est pas une facture d'acompte",IF(AND(L733&lt;&gt;"",COUNTIF($L$6:L733,L733)&gt;1),"Acompte déjà déduit sur une autre facture",IF(AND(L733&lt;&gt;"",IFERROR(INDEX(fa_client,MATCH(L733,fa_num,0)),D733)&lt;&gt;D733),"Acompte d'un autre client",IF(AND(AR733&lt;&gt;"",N(Q733)&lt;0),"Acompte supérieur au total de la facture",IF(IF(AG733="Facture",COUNTIFS(fl_doc,A733,fl_check,"&lt;&gt;OK"),IF(AG733="Devis",COUNTIFS(dl_doc,F733,dl_check,"&lt;&gt;OK"),0))&gt;0,"Ligne(s) à corriger",IF(AND(W733&lt;&gt;"",N(W733)&lt;0),"Trop-perçu : vérifiez paiements et avoirs","OK")))))))))))))))))))))</f>
        <v/>
      </c>
      <c r="AA733" s="62" t="str">
        <f>IF(COUNTA(B733:D733,F733:O733)&gt;0,IF(B733="","Facture",B733),"")</f>
        <v/>
      </c>
      <c r="AB733" s="62" t="str">
        <f>IF(AA733="","",IF(AA733="Avoir",p_pav,IF(AA733="Facture d'acompte",p_pac,p_pfa)))</f>
        <v/>
      </c>
      <c r="AC733" s="62">
        <f>IF(ISNUMBER(C733),C733,0)</f>
        <v>0.0</v>
      </c>
      <c r="AD733" s="62" t="str">
        <f>IF(OR(AA733="",AC733=0),"",YEAR(AC733))</f>
        <v/>
      </c>
      <c r="AE733" s="62" t="str">
        <f>IF(AD733="","",COUNTIFS($AB$6:AB733,AB733,$AD$6:AD733,AD733))</f>
        <v/>
      </c>
      <c r="AF733" s="62">
        <f>IF(A733="",0,COUNTIF(fl_doc,A733))</f>
        <v>0.0</v>
      </c>
      <c r="AG733" s="62" t="str">
        <f>IF(A733="","",IF(AF733&gt;0,"Facture",IF(AND(F733&lt;&gt;"",AA733="Facture",ISNUMBER(MATCH(F733,dv_num,0))),"Devis","")))</f>
        <v/>
      </c>
      <c r="AH733" s="62" t="str">
        <f>IF(AND(A733&lt;&gt;"",F733&lt;&gt;"",AA733&lt;&gt;"Avoir"),F733,"")</f>
        <v/>
      </c>
      <c r="AI733" s="62" t="str">
        <f>IF(AG733="Devis",F733,"")</f>
        <v/>
      </c>
      <c r="AJ733" s="62">
        <f>IF(AG733="Facture",SUMIF(fl_doc,A733,fl_ht),IF(AG733="Devis",SUMIF(dl_doc,F733,dl_ht),0))</f>
        <v>0.0</v>
      </c>
      <c r="AK733" s="62">
        <f>IF(OR(AG733="",INDEX(p_rates,1)=""),0,IF(AG733="Facture",SUMIFS(fl_ht,fl_doc,A733,fl_rate,INDEX(p_rates,1)),SUMIFS(dl_ht,dl_doc,F733,dl_rate,INDEX(p_rates,1))))</f>
        <v>0.0</v>
      </c>
      <c r="AL733" s="62">
        <f>IF(OR(AG733="",INDEX(p_rates,2)=""),0,IF(AG733="Facture",SUMIFS(fl_ht,fl_doc,A733,fl_rate,INDEX(p_rates,2)),SUMIFS(dl_ht,dl_doc,F733,dl_rate,INDEX(p_rates,2))))</f>
        <v>0.0</v>
      </c>
      <c r="AM733" s="62">
        <f>IF(OR(AG733="",INDEX(p_rates,3)=""),0,IF(AG733="Facture",SUMIFS(fl_ht,fl_doc,A733,fl_rate,INDEX(p_rates,3)),SUMIFS(dl_ht,dl_doc,F733,dl_rate,INDEX(p_rates,3))))</f>
        <v>0.0</v>
      </c>
      <c r="AN733" s="62">
        <f>IF(OR(AG733="",INDEX(p_rates,4)=""),0,IF(AG733="Facture",SUMIFS(fl_ht,fl_doc,A733,fl_rate,INDEX(p_rates,4)),SUMIFS(dl_ht,dl_doc,F733,dl_rate,INDEX(p_rates,4))))</f>
        <v>0.0</v>
      </c>
      <c r="AO733" s="62">
        <f>IF(OR(AG733="",INDEX(p_rates,5)=""),0,IF(AG733="Facture",SUMIFS(fl_ht,fl_doc,A733,fl_rate,INDEX(p_rates,5)),SUMIFS(dl_ht,dl_doc,F733,dl_rate,INDEX(p_rates,5))))</f>
        <v>0.0</v>
      </c>
      <c r="AP733" s="62">
        <f>IF(OR(AG733="",INDEX(p_rates,6)=""),0,IF(AG733="Facture",SUMIFS(fl_ht,fl_doc,A733,fl_rate,INDEX(p_rates,6)),SUMIFS(dl_ht,dl_doc,F733,dl_rate,INDEX(p_rates,6))))</f>
        <v>0.0</v>
      </c>
      <c r="AQ733" s="62">
        <f>ROUND(AK733*N(INDEX(p_rates,1)),2)+ROUND(AL733*N(INDEX(p_rates,2)),2)+ROUND(AM733*N(INDEX(p_rates,3)),2)+ROUND(AN733*N(INDEX(p_rates,4)),2)+ROUND(AO733*N(INDEX(p_rates,5)),2)+ROUND(AP733*N(INDEX(p_rates,6)),2)</f>
        <v>0.0</v>
      </c>
      <c r="AR733" s="62" t="str">
        <f>IF(OR(L733="",AA733&lt;&gt;"Facture"),"",IFERROR(IF(INDEX(fa_type,MATCH(L733,fa_num,0))="Facture d'acompte",MATCH(L733,fa_num,0),""),""))</f>
        <v/>
      </c>
      <c r="AS733" s="62" t="str">
        <f>IF(W733="","",IF(W733&lt;=0,"",IF(p_asof-P733&lt;=0,"Non échu",IF(p_asof-P733&lt;=30,"1-30 j",IF(p_asof-P733&lt;=60,"31-60 j",IF(p_asof-P733&lt;=90,"61-90 j","Plus de 90 j"))))))</f>
        <v/>
      </c>
      <c r="AT733" s="62" t="str">
        <f>IF(AS733="","",p_asof-P733)</f>
        <v/>
      </c>
      <c r="AU733" s="62" t="str">
        <f>IF(AT733="","",COUNTIF($AT$6:$AT$805,"&gt;"&amp;AT733)+COUNTIF($AT$6:AT733,AT733))</f>
        <v/>
      </c>
    </row>
    <row r="734">
      <c r="A734" s="59" t="str">
        <f>IF(AE734="","",AB734&amp;"-"&amp;AD734&amp;"-"&amp;RIGHT("000"&amp;AE734,4))</f>
        <v/>
      </c>
      <c r="B734" s="60" t="n"/>
      <c r="C734" s="61" t="n"/>
      <c r="D734" s="60" t="n"/>
      <c r="E734" s="62" t="str">
        <f>IF(D734="","",IFERROR(INDEX(cli_name,MATCH(D734,cli_code,0))&amp;"","Client inconnu"))</f>
        <v/>
      </c>
      <c r="F734" s="60" t="n"/>
      <c r="G734" s="63" t="n"/>
      <c r="H734" s="61" t="n"/>
      <c r="I734" s="63" t="n"/>
      <c r="J734" s="60" t="n"/>
      <c r="K734" s="61" t="n"/>
      <c r="L734" s="60" t="n"/>
      <c r="M734" s="60" t="n"/>
      <c r="N734" s="60" t="n"/>
      <c r="O734" s="61" t="n"/>
      <c r="P734" s="64" t="str">
        <f>IF(A734="","",IF(AA734="Avoir",AC734,IF(ISNUMBER(K734),K734,AC734+IF(D734="",N(p_delay),IFERROR(IF(ISNUMBER(INDEX(cli_delay,MATCH(D734,cli_code,0))),INDEX(cli_delay,MATCH(D734,cli_code,0)),N(p_delay)),N(p_delay))))))</f>
        <v/>
      </c>
      <c r="Q734" s="65" t="str">
        <f>IF(A734="","",IF(AA734="Avoir",-1,1)*ROUND(AJ734-IF(AR734="",0,INDEX(fa_htb,AR734)),2))</f>
        <v/>
      </c>
      <c r="R734" s="65" t="str">
        <f>IF(A734="","",IF(AA734="Avoir",-1,1)*ROUND(AQ734-IF(AR734="",0,INDEX(fa_tvab,AR734)),2))</f>
        <v/>
      </c>
      <c r="S734" s="65" t="str">
        <f>IF(A734="","",Q734+R734)</f>
        <v/>
      </c>
      <c r="T734" s="65" t="str">
        <f>IF(AR734="","",INDEX(fa_htb,AR734)+INDEX(fa_tvab,AR734))</f>
        <v/>
      </c>
      <c r="U734" s="65" t="str">
        <f>IF(A734="","",SUMIF(pa_inv,A734,pa_amt))</f>
        <v/>
      </c>
      <c r="V734" s="65" t="str">
        <f>IF(OR(A734="",AA734="Avoir"),"",-SUMIFS(fa_ttc,fa_avof,A734,fa_type,"Avoir"))</f>
        <v/>
      </c>
      <c r="W734" s="65" t="str">
        <f>IF(OR(A734="",AA734="Avoir"),"",ROUND(S734-U734-V734,2))</f>
        <v/>
      </c>
      <c r="X734" s="66" t="str">
        <f>IF(W734="","",IF(AND(W734&gt;0,p_asof&gt;P734),p_asof-P734,""))</f>
        <v/>
      </c>
      <c r="Y734" s="59" t="str">
        <f>IF(A734="","",IF(AA734="Avoir","Avoir",IF(W734&lt;0,"Trop-perçu",IF(W734=0,"Soldée",IF(p_asof&gt;P734,"En retard",IF(U734+V734&gt;0,"Partielle","À échoir"))))))</f>
        <v/>
      </c>
      <c r="Z734" s="59" t="str">
        <f>IF(NOT(COUNTA(B734:D734,F734:O734)&gt;0),"",IF(C734="","Date manquante",IF(NOT(ISNUMBER(C734)),"Date invalide",IF(D734="","Client manquant",IF(ISNA(MATCH(D734,cli_code,0)),"Client inconnu",IF(AC734&lt;SUMPRODUCT(MAX(($AB$6:AB733=AB734)*$AC$6:AC733)),"Date antérieure à la facture précédente",IF(AND(F734&lt;&gt;"",ISNA(MATCH(F734,dv_num,0))),"Devis inconnu",IF(AND(F734&lt;&gt;"",IFERROR(INDEX(dv_client,MATCH(F734,dv_num,0)),D734)&lt;&gt;D734),"Client différent de celui du devis",IF(AG734="","Aucune ligne : saisissez des lignes ou un devis",IF(AND(AI734&lt;&gt;"",COUNTIF($AI$6:AI734,AI734)&gt;1),"Devis déjà repris par une autre facture",IF(AND(AA734="Avoir",M734=""),"Avoir : indiquez la facture d'origine",IF(AND(AA734="Avoir",ISNA(MATCH(M734,fa_num,0))),"Facture d'origine inconnue",IF(AND(AA734&lt;&gt;"Avoir",M734&lt;&gt;""),"« Avoir sur facture » : réservé aux avoirs",IF(AND(L734&lt;&gt;"",AA734&lt;&gt;"Facture"),"Acompte à déduire : réservé aux factures",IF(AND(L734&lt;&gt;"",ISNA(MATCH(L734,fa_num,0))),"Facture d'acompte inconnue",IF(AND(L734&lt;&gt;"",IFERROR(INDEX(fa_type,MATCH(L734,fa_num,0)),"")&lt;&gt;"Facture d'acompte"),"Le n° à déduire n'est pas une facture d'acompte",IF(AND(L734&lt;&gt;"",COUNTIF($L$6:L734,L734)&gt;1),"Acompte déjà déduit sur une autre facture",IF(AND(L734&lt;&gt;"",IFERROR(INDEX(fa_client,MATCH(L734,fa_num,0)),D734)&lt;&gt;D734),"Acompte d'un autre client",IF(AND(AR734&lt;&gt;"",N(Q734)&lt;0),"Acompte supérieur au total de la facture",IF(IF(AG734="Facture",COUNTIFS(fl_doc,A734,fl_check,"&lt;&gt;OK"),IF(AG734="Devis",COUNTIFS(dl_doc,F734,dl_check,"&lt;&gt;OK"),0))&gt;0,"Ligne(s) à corriger",IF(AND(W734&lt;&gt;"",N(W734)&lt;0),"Trop-perçu : vérifiez paiements et avoirs","OK")))))))))))))))))))))</f>
        <v/>
      </c>
      <c r="AA734" s="62" t="str">
        <f>IF(COUNTA(B734:D734,F734:O734)&gt;0,IF(B734="","Facture",B734),"")</f>
        <v/>
      </c>
      <c r="AB734" s="62" t="str">
        <f>IF(AA734="","",IF(AA734="Avoir",p_pav,IF(AA734="Facture d'acompte",p_pac,p_pfa)))</f>
        <v/>
      </c>
      <c r="AC734" s="62">
        <f>IF(ISNUMBER(C734),C734,0)</f>
        <v>0.0</v>
      </c>
      <c r="AD734" s="62" t="str">
        <f>IF(OR(AA734="",AC734=0),"",YEAR(AC734))</f>
        <v/>
      </c>
      <c r="AE734" s="62" t="str">
        <f>IF(AD734="","",COUNTIFS($AB$6:AB734,AB734,$AD$6:AD734,AD734))</f>
        <v/>
      </c>
      <c r="AF734" s="62">
        <f>IF(A734="",0,COUNTIF(fl_doc,A734))</f>
        <v>0.0</v>
      </c>
      <c r="AG734" s="62" t="str">
        <f>IF(A734="","",IF(AF734&gt;0,"Facture",IF(AND(F734&lt;&gt;"",AA734="Facture",ISNUMBER(MATCH(F734,dv_num,0))),"Devis","")))</f>
        <v/>
      </c>
      <c r="AH734" s="62" t="str">
        <f>IF(AND(A734&lt;&gt;"",F734&lt;&gt;"",AA734&lt;&gt;"Avoir"),F734,"")</f>
        <v/>
      </c>
      <c r="AI734" s="62" t="str">
        <f>IF(AG734="Devis",F734,"")</f>
        <v/>
      </c>
      <c r="AJ734" s="62">
        <f>IF(AG734="Facture",SUMIF(fl_doc,A734,fl_ht),IF(AG734="Devis",SUMIF(dl_doc,F734,dl_ht),0))</f>
        <v>0.0</v>
      </c>
      <c r="AK734" s="62">
        <f>IF(OR(AG734="",INDEX(p_rates,1)=""),0,IF(AG734="Facture",SUMIFS(fl_ht,fl_doc,A734,fl_rate,INDEX(p_rates,1)),SUMIFS(dl_ht,dl_doc,F734,dl_rate,INDEX(p_rates,1))))</f>
        <v>0.0</v>
      </c>
      <c r="AL734" s="62">
        <f>IF(OR(AG734="",INDEX(p_rates,2)=""),0,IF(AG734="Facture",SUMIFS(fl_ht,fl_doc,A734,fl_rate,INDEX(p_rates,2)),SUMIFS(dl_ht,dl_doc,F734,dl_rate,INDEX(p_rates,2))))</f>
        <v>0.0</v>
      </c>
      <c r="AM734" s="62">
        <f>IF(OR(AG734="",INDEX(p_rates,3)=""),0,IF(AG734="Facture",SUMIFS(fl_ht,fl_doc,A734,fl_rate,INDEX(p_rates,3)),SUMIFS(dl_ht,dl_doc,F734,dl_rate,INDEX(p_rates,3))))</f>
        <v>0.0</v>
      </c>
      <c r="AN734" s="62">
        <f>IF(OR(AG734="",INDEX(p_rates,4)=""),0,IF(AG734="Facture",SUMIFS(fl_ht,fl_doc,A734,fl_rate,INDEX(p_rates,4)),SUMIFS(dl_ht,dl_doc,F734,dl_rate,INDEX(p_rates,4))))</f>
        <v>0.0</v>
      </c>
      <c r="AO734" s="62">
        <f>IF(OR(AG734="",INDEX(p_rates,5)=""),0,IF(AG734="Facture",SUMIFS(fl_ht,fl_doc,A734,fl_rate,INDEX(p_rates,5)),SUMIFS(dl_ht,dl_doc,F734,dl_rate,INDEX(p_rates,5))))</f>
        <v>0.0</v>
      </c>
      <c r="AP734" s="62">
        <f>IF(OR(AG734="",INDEX(p_rates,6)=""),0,IF(AG734="Facture",SUMIFS(fl_ht,fl_doc,A734,fl_rate,INDEX(p_rates,6)),SUMIFS(dl_ht,dl_doc,F734,dl_rate,INDEX(p_rates,6))))</f>
        <v>0.0</v>
      </c>
      <c r="AQ734" s="62">
        <f>ROUND(AK734*N(INDEX(p_rates,1)),2)+ROUND(AL734*N(INDEX(p_rates,2)),2)+ROUND(AM734*N(INDEX(p_rates,3)),2)+ROUND(AN734*N(INDEX(p_rates,4)),2)+ROUND(AO734*N(INDEX(p_rates,5)),2)+ROUND(AP734*N(INDEX(p_rates,6)),2)</f>
        <v>0.0</v>
      </c>
      <c r="AR734" s="62" t="str">
        <f>IF(OR(L734="",AA734&lt;&gt;"Facture"),"",IFERROR(IF(INDEX(fa_type,MATCH(L734,fa_num,0))="Facture d'acompte",MATCH(L734,fa_num,0),""),""))</f>
        <v/>
      </c>
      <c r="AS734" s="62" t="str">
        <f>IF(W734="","",IF(W734&lt;=0,"",IF(p_asof-P734&lt;=0,"Non échu",IF(p_asof-P734&lt;=30,"1-30 j",IF(p_asof-P734&lt;=60,"31-60 j",IF(p_asof-P734&lt;=90,"61-90 j","Plus de 90 j"))))))</f>
        <v/>
      </c>
      <c r="AT734" s="62" t="str">
        <f>IF(AS734="","",p_asof-P734)</f>
        <v/>
      </c>
      <c r="AU734" s="62" t="str">
        <f>IF(AT734="","",COUNTIF($AT$6:$AT$805,"&gt;"&amp;AT734)+COUNTIF($AT$6:AT734,AT734))</f>
        <v/>
      </c>
    </row>
    <row r="735">
      <c r="A735" s="59" t="str">
        <f>IF(AE735="","",AB735&amp;"-"&amp;AD735&amp;"-"&amp;RIGHT("000"&amp;AE735,4))</f>
        <v/>
      </c>
      <c r="B735" s="60" t="n"/>
      <c r="C735" s="61" t="n"/>
      <c r="D735" s="60" t="n"/>
      <c r="E735" s="62" t="str">
        <f>IF(D735="","",IFERROR(INDEX(cli_name,MATCH(D735,cli_code,0))&amp;"","Client inconnu"))</f>
        <v/>
      </c>
      <c r="F735" s="60" t="n"/>
      <c r="G735" s="63" t="n"/>
      <c r="H735" s="61" t="n"/>
      <c r="I735" s="63" t="n"/>
      <c r="J735" s="60" t="n"/>
      <c r="K735" s="61" t="n"/>
      <c r="L735" s="60" t="n"/>
      <c r="M735" s="60" t="n"/>
      <c r="N735" s="60" t="n"/>
      <c r="O735" s="61" t="n"/>
      <c r="P735" s="64" t="str">
        <f>IF(A735="","",IF(AA735="Avoir",AC735,IF(ISNUMBER(K735),K735,AC735+IF(D735="",N(p_delay),IFERROR(IF(ISNUMBER(INDEX(cli_delay,MATCH(D735,cli_code,0))),INDEX(cli_delay,MATCH(D735,cli_code,0)),N(p_delay)),N(p_delay))))))</f>
        <v/>
      </c>
      <c r="Q735" s="65" t="str">
        <f>IF(A735="","",IF(AA735="Avoir",-1,1)*ROUND(AJ735-IF(AR735="",0,INDEX(fa_htb,AR735)),2))</f>
        <v/>
      </c>
      <c r="R735" s="65" t="str">
        <f>IF(A735="","",IF(AA735="Avoir",-1,1)*ROUND(AQ735-IF(AR735="",0,INDEX(fa_tvab,AR735)),2))</f>
        <v/>
      </c>
      <c r="S735" s="65" t="str">
        <f>IF(A735="","",Q735+R735)</f>
        <v/>
      </c>
      <c r="T735" s="65" t="str">
        <f>IF(AR735="","",INDEX(fa_htb,AR735)+INDEX(fa_tvab,AR735))</f>
        <v/>
      </c>
      <c r="U735" s="65" t="str">
        <f>IF(A735="","",SUMIF(pa_inv,A735,pa_amt))</f>
        <v/>
      </c>
      <c r="V735" s="65" t="str">
        <f>IF(OR(A735="",AA735="Avoir"),"",-SUMIFS(fa_ttc,fa_avof,A735,fa_type,"Avoir"))</f>
        <v/>
      </c>
      <c r="W735" s="65" t="str">
        <f>IF(OR(A735="",AA735="Avoir"),"",ROUND(S735-U735-V735,2))</f>
        <v/>
      </c>
      <c r="X735" s="66" t="str">
        <f>IF(W735="","",IF(AND(W735&gt;0,p_asof&gt;P735),p_asof-P735,""))</f>
        <v/>
      </c>
      <c r="Y735" s="59" t="str">
        <f>IF(A735="","",IF(AA735="Avoir","Avoir",IF(W735&lt;0,"Trop-perçu",IF(W735=0,"Soldée",IF(p_asof&gt;P735,"En retard",IF(U735+V735&gt;0,"Partielle","À échoir"))))))</f>
        <v/>
      </c>
      <c r="Z735" s="59" t="str">
        <f>IF(NOT(COUNTA(B735:D735,F735:O735)&gt;0),"",IF(C735="","Date manquante",IF(NOT(ISNUMBER(C735)),"Date invalide",IF(D735="","Client manquant",IF(ISNA(MATCH(D735,cli_code,0)),"Client inconnu",IF(AC735&lt;SUMPRODUCT(MAX(($AB$6:AB734=AB735)*$AC$6:AC734)),"Date antérieure à la facture précédente",IF(AND(F735&lt;&gt;"",ISNA(MATCH(F735,dv_num,0))),"Devis inconnu",IF(AND(F735&lt;&gt;"",IFERROR(INDEX(dv_client,MATCH(F735,dv_num,0)),D735)&lt;&gt;D735),"Client différent de celui du devis",IF(AG735="","Aucune ligne : saisissez des lignes ou un devis",IF(AND(AI735&lt;&gt;"",COUNTIF($AI$6:AI735,AI735)&gt;1),"Devis déjà repris par une autre facture",IF(AND(AA735="Avoir",M735=""),"Avoir : indiquez la facture d'origine",IF(AND(AA735="Avoir",ISNA(MATCH(M735,fa_num,0))),"Facture d'origine inconnue",IF(AND(AA735&lt;&gt;"Avoir",M735&lt;&gt;""),"« Avoir sur facture » : réservé aux avoirs",IF(AND(L735&lt;&gt;"",AA735&lt;&gt;"Facture"),"Acompte à déduire : réservé aux factures",IF(AND(L735&lt;&gt;"",ISNA(MATCH(L735,fa_num,0))),"Facture d'acompte inconnue",IF(AND(L735&lt;&gt;"",IFERROR(INDEX(fa_type,MATCH(L735,fa_num,0)),"")&lt;&gt;"Facture d'acompte"),"Le n° à déduire n'est pas une facture d'acompte",IF(AND(L735&lt;&gt;"",COUNTIF($L$6:L735,L735)&gt;1),"Acompte déjà déduit sur une autre facture",IF(AND(L735&lt;&gt;"",IFERROR(INDEX(fa_client,MATCH(L735,fa_num,0)),D735)&lt;&gt;D735),"Acompte d'un autre client",IF(AND(AR735&lt;&gt;"",N(Q735)&lt;0),"Acompte supérieur au total de la facture",IF(IF(AG735="Facture",COUNTIFS(fl_doc,A735,fl_check,"&lt;&gt;OK"),IF(AG735="Devis",COUNTIFS(dl_doc,F735,dl_check,"&lt;&gt;OK"),0))&gt;0,"Ligne(s) à corriger",IF(AND(W735&lt;&gt;"",N(W735)&lt;0),"Trop-perçu : vérifiez paiements et avoirs","OK")))))))))))))))))))))</f>
        <v/>
      </c>
      <c r="AA735" s="62" t="str">
        <f>IF(COUNTA(B735:D735,F735:O735)&gt;0,IF(B735="","Facture",B735),"")</f>
        <v/>
      </c>
      <c r="AB735" s="62" t="str">
        <f>IF(AA735="","",IF(AA735="Avoir",p_pav,IF(AA735="Facture d'acompte",p_pac,p_pfa)))</f>
        <v/>
      </c>
      <c r="AC735" s="62">
        <f>IF(ISNUMBER(C735),C735,0)</f>
        <v>0.0</v>
      </c>
      <c r="AD735" s="62" t="str">
        <f>IF(OR(AA735="",AC735=0),"",YEAR(AC735))</f>
        <v/>
      </c>
      <c r="AE735" s="62" t="str">
        <f>IF(AD735="","",COUNTIFS($AB$6:AB735,AB735,$AD$6:AD735,AD735))</f>
        <v/>
      </c>
      <c r="AF735" s="62">
        <f>IF(A735="",0,COUNTIF(fl_doc,A735))</f>
        <v>0.0</v>
      </c>
      <c r="AG735" s="62" t="str">
        <f>IF(A735="","",IF(AF735&gt;0,"Facture",IF(AND(F735&lt;&gt;"",AA735="Facture",ISNUMBER(MATCH(F735,dv_num,0))),"Devis","")))</f>
        <v/>
      </c>
      <c r="AH735" s="62" t="str">
        <f>IF(AND(A735&lt;&gt;"",F735&lt;&gt;"",AA735&lt;&gt;"Avoir"),F735,"")</f>
        <v/>
      </c>
      <c r="AI735" s="62" t="str">
        <f>IF(AG735="Devis",F735,"")</f>
        <v/>
      </c>
      <c r="AJ735" s="62">
        <f>IF(AG735="Facture",SUMIF(fl_doc,A735,fl_ht),IF(AG735="Devis",SUMIF(dl_doc,F735,dl_ht),0))</f>
        <v>0.0</v>
      </c>
      <c r="AK735" s="62">
        <f>IF(OR(AG735="",INDEX(p_rates,1)=""),0,IF(AG735="Facture",SUMIFS(fl_ht,fl_doc,A735,fl_rate,INDEX(p_rates,1)),SUMIFS(dl_ht,dl_doc,F735,dl_rate,INDEX(p_rates,1))))</f>
        <v>0.0</v>
      </c>
      <c r="AL735" s="62">
        <f>IF(OR(AG735="",INDEX(p_rates,2)=""),0,IF(AG735="Facture",SUMIFS(fl_ht,fl_doc,A735,fl_rate,INDEX(p_rates,2)),SUMIFS(dl_ht,dl_doc,F735,dl_rate,INDEX(p_rates,2))))</f>
        <v>0.0</v>
      </c>
      <c r="AM735" s="62">
        <f>IF(OR(AG735="",INDEX(p_rates,3)=""),0,IF(AG735="Facture",SUMIFS(fl_ht,fl_doc,A735,fl_rate,INDEX(p_rates,3)),SUMIFS(dl_ht,dl_doc,F735,dl_rate,INDEX(p_rates,3))))</f>
        <v>0.0</v>
      </c>
      <c r="AN735" s="62">
        <f>IF(OR(AG735="",INDEX(p_rates,4)=""),0,IF(AG735="Facture",SUMIFS(fl_ht,fl_doc,A735,fl_rate,INDEX(p_rates,4)),SUMIFS(dl_ht,dl_doc,F735,dl_rate,INDEX(p_rates,4))))</f>
        <v>0.0</v>
      </c>
      <c r="AO735" s="62">
        <f>IF(OR(AG735="",INDEX(p_rates,5)=""),0,IF(AG735="Facture",SUMIFS(fl_ht,fl_doc,A735,fl_rate,INDEX(p_rates,5)),SUMIFS(dl_ht,dl_doc,F735,dl_rate,INDEX(p_rates,5))))</f>
        <v>0.0</v>
      </c>
      <c r="AP735" s="62">
        <f>IF(OR(AG735="",INDEX(p_rates,6)=""),0,IF(AG735="Facture",SUMIFS(fl_ht,fl_doc,A735,fl_rate,INDEX(p_rates,6)),SUMIFS(dl_ht,dl_doc,F735,dl_rate,INDEX(p_rates,6))))</f>
        <v>0.0</v>
      </c>
      <c r="AQ735" s="62">
        <f>ROUND(AK735*N(INDEX(p_rates,1)),2)+ROUND(AL735*N(INDEX(p_rates,2)),2)+ROUND(AM735*N(INDEX(p_rates,3)),2)+ROUND(AN735*N(INDEX(p_rates,4)),2)+ROUND(AO735*N(INDEX(p_rates,5)),2)+ROUND(AP735*N(INDEX(p_rates,6)),2)</f>
        <v>0.0</v>
      </c>
      <c r="AR735" s="62" t="str">
        <f>IF(OR(L735="",AA735&lt;&gt;"Facture"),"",IFERROR(IF(INDEX(fa_type,MATCH(L735,fa_num,0))="Facture d'acompte",MATCH(L735,fa_num,0),""),""))</f>
        <v/>
      </c>
      <c r="AS735" s="62" t="str">
        <f>IF(W735="","",IF(W735&lt;=0,"",IF(p_asof-P735&lt;=0,"Non échu",IF(p_asof-P735&lt;=30,"1-30 j",IF(p_asof-P735&lt;=60,"31-60 j",IF(p_asof-P735&lt;=90,"61-90 j","Plus de 90 j"))))))</f>
        <v/>
      </c>
      <c r="AT735" s="62" t="str">
        <f>IF(AS735="","",p_asof-P735)</f>
        <v/>
      </c>
      <c r="AU735" s="62" t="str">
        <f>IF(AT735="","",COUNTIF($AT$6:$AT$805,"&gt;"&amp;AT735)+COUNTIF($AT$6:AT735,AT735))</f>
        <v/>
      </c>
    </row>
    <row r="736">
      <c r="A736" s="59" t="str">
        <f>IF(AE736="","",AB736&amp;"-"&amp;AD736&amp;"-"&amp;RIGHT("000"&amp;AE736,4))</f>
        <v/>
      </c>
      <c r="B736" s="60" t="n"/>
      <c r="C736" s="61" t="n"/>
      <c r="D736" s="60" t="n"/>
      <c r="E736" s="62" t="str">
        <f>IF(D736="","",IFERROR(INDEX(cli_name,MATCH(D736,cli_code,0))&amp;"","Client inconnu"))</f>
        <v/>
      </c>
      <c r="F736" s="60" t="n"/>
      <c r="G736" s="63" t="n"/>
      <c r="H736" s="61" t="n"/>
      <c r="I736" s="63" t="n"/>
      <c r="J736" s="60" t="n"/>
      <c r="K736" s="61" t="n"/>
      <c r="L736" s="60" t="n"/>
      <c r="M736" s="60" t="n"/>
      <c r="N736" s="60" t="n"/>
      <c r="O736" s="61" t="n"/>
      <c r="P736" s="64" t="str">
        <f>IF(A736="","",IF(AA736="Avoir",AC736,IF(ISNUMBER(K736),K736,AC736+IF(D736="",N(p_delay),IFERROR(IF(ISNUMBER(INDEX(cli_delay,MATCH(D736,cli_code,0))),INDEX(cli_delay,MATCH(D736,cli_code,0)),N(p_delay)),N(p_delay))))))</f>
        <v/>
      </c>
      <c r="Q736" s="65" t="str">
        <f>IF(A736="","",IF(AA736="Avoir",-1,1)*ROUND(AJ736-IF(AR736="",0,INDEX(fa_htb,AR736)),2))</f>
        <v/>
      </c>
      <c r="R736" s="65" t="str">
        <f>IF(A736="","",IF(AA736="Avoir",-1,1)*ROUND(AQ736-IF(AR736="",0,INDEX(fa_tvab,AR736)),2))</f>
        <v/>
      </c>
      <c r="S736" s="65" t="str">
        <f>IF(A736="","",Q736+R736)</f>
        <v/>
      </c>
      <c r="T736" s="65" t="str">
        <f>IF(AR736="","",INDEX(fa_htb,AR736)+INDEX(fa_tvab,AR736))</f>
        <v/>
      </c>
      <c r="U736" s="65" t="str">
        <f>IF(A736="","",SUMIF(pa_inv,A736,pa_amt))</f>
        <v/>
      </c>
      <c r="V736" s="65" t="str">
        <f>IF(OR(A736="",AA736="Avoir"),"",-SUMIFS(fa_ttc,fa_avof,A736,fa_type,"Avoir"))</f>
        <v/>
      </c>
      <c r="W736" s="65" t="str">
        <f>IF(OR(A736="",AA736="Avoir"),"",ROUND(S736-U736-V736,2))</f>
        <v/>
      </c>
      <c r="X736" s="66" t="str">
        <f>IF(W736="","",IF(AND(W736&gt;0,p_asof&gt;P736),p_asof-P736,""))</f>
        <v/>
      </c>
      <c r="Y736" s="59" t="str">
        <f>IF(A736="","",IF(AA736="Avoir","Avoir",IF(W736&lt;0,"Trop-perçu",IF(W736=0,"Soldée",IF(p_asof&gt;P736,"En retard",IF(U736+V736&gt;0,"Partielle","À échoir"))))))</f>
        <v/>
      </c>
      <c r="Z736" s="59" t="str">
        <f>IF(NOT(COUNTA(B736:D736,F736:O736)&gt;0),"",IF(C736="","Date manquante",IF(NOT(ISNUMBER(C736)),"Date invalide",IF(D736="","Client manquant",IF(ISNA(MATCH(D736,cli_code,0)),"Client inconnu",IF(AC736&lt;SUMPRODUCT(MAX(($AB$6:AB735=AB736)*$AC$6:AC735)),"Date antérieure à la facture précédente",IF(AND(F736&lt;&gt;"",ISNA(MATCH(F736,dv_num,0))),"Devis inconnu",IF(AND(F736&lt;&gt;"",IFERROR(INDEX(dv_client,MATCH(F736,dv_num,0)),D736)&lt;&gt;D736),"Client différent de celui du devis",IF(AG736="","Aucune ligne : saisissez des lignes ou un devis",IF(AND(AI736&lt;&gt;"",COUNTIF($AI$6:AI736,AI736)&gt;1),"Devis déjà repris par une autre facture",IF(AND(AA736="Avoir",M736=""),"Avoir : indiquez la facture d'origine",IF(AND(AA736="Avoir",ISNA(MATCH(M736,fa_num,0))),"Facture d'origine inconnue",IF(AND(AA736&lt;&gt;"Avoir",M736&lt;&gt;""),"« Avoir sur facture » : réservé aux avoirs",IF(AND(L736&lt;&gt;"",AA736&lt;&gt;"Facture"),"Acompte à déduire : réservé aux factures",IF(AND(L736&lt;&gt;"",ISNA(MATCH(L736,fa_num,0))),"Facture d'acompte inconnue",IF(AND(L736&lt;&gt;"",IFERROR(INDEX(fa_type,MATCH(L736,fa_num,0)),"")&lt;&gt;"Facture d'acompte"),"Le n° à déduire n'est pas une facture d'acompte",IF(AND(L736&lt;&gt;"",COUNTIF($L$6:L736,L736)&gt;1),"Acompte déjà déduit sur une autre facture",IF(AND(L736&lt;&gt;"",IFERROR(INDEX(fa_client,MATCH(L736,fa_num,0)),D736)&lt;&gt;D736),"Acompte d'un autre client",IF(AND(AR736&lt;&gt;"",N(Q736)&lt;0),"Acompte supérieur au total de la facture",IF(IF(AG736="Facture",COUNTIFS(fl_doc,A736,fl_check,"&lt;&gt;OK"),IF(AG736="Devis",COUNTIFS(dl_doc,F736,dl_check,"&lt;&gt;OK"),0))&gt;0,"Ligne(s) à corriger",IF(AND(W736&lt;&gt;"",N(W736)&lt;0),"Trop-perçu : vérifiez paiements et avoirs","OK")))))))))))))))))))))</f>
        <v/>
      </c>
      <c r="AA736" s="62" t="str">
        <f>IF(COUNTA(B736:D736,F736:O736)&gt;0,IF(B736="","Facture",B736),"")</f>
        <v/>
      </c>
      <c r="AB736" s="62" t="str">
        <f>IF(AA736="","",IF(AA736="Avoir",p_pav,IF(AA736="Facture d'acompte",p_pac,p_pfa)))</f>
        <v/>
      </c>
      <c r="AC736" s="62">
        <f>IF(ISNUMBER(C736),C736,0)</f>
        <v>0.0</v>
      </c>
      <c r="AD736" s="62" t="str">
        <f>IF(OR(AA736="",AC736=0),"",YEAR(AC736))</f>
        <v/>
      </c>
      <c r="AE736" s="62" t="str">
        <f>IF(AD736="","",COUNTIFS($AB$6:AB736,AB736,$AD$6:AD736,AD736))</f>
        <v/>
      </c>
      <c r="AF736" s="62">
        <f>IF(A736="",0,COUNTIF(fl_doc,A736))</f>
        <v>0.0</v>
      </c>
      <c r="AG736" s="62" t="str">
        <f>IF(A736="","",IF(AF736&gt;0,"Facture",IF(AND(F736&lt;&gt;"",AA736="Facture",ISNUMBER(MATCH(F736,dv_num,0))),"Devis","")))</f>
        <v/>
      </c>
      <c r="AH736" s="62" t="str">
        <f>IF(AND(A736&lt;&gt;"",F736&lt;&gt;"",AA736&lt;&gt;"Avoir"),F736,"")</f>
        <v/>
      </c>
      <c r="AI736" s="62" t="str">
        <f>IF(AG736="Devis",F736,"")</f>
        <v/>
      </c>
      <c r="AJ736" s="62">
        <f>IF(AG736="Facture",SUMIF(fl_doc,A736,fl_ht),IF(AG736="Devis",SUMIF(dl_doc,F736,dl_ht),0))</f>
        <v>0.0</v>
      </c>
      <c r="AK736" s="62">
        <f>IF(OR(AG736="",INDEX(p_rates,1)=""),0,IF(AG736="Facture",SUMIFS(fl_ht,fl_doc,A736,fl_rate,INDEX(p_rates,1)),SUMIFS(dl_ht,dl_doc,F736,dl_rate,INDEX(p_rates,1))))</f>
        <v>0.0</v>
      </c>
      <c r="AL736" s="62">
        <f>IF(OR(AG736="",INDEX(p_rates,2)=""),0,IF(AG736="Facture",SUMIFS(fl_ht,fl_doc,A736,fl_rate,INDEX(p_rates,2)),SUMIFS(dl_ht,dl_doc,F736,dl_rate,INDEX(p_rates,2))))</f>
        <v>0.0</v>
      </c>
      <c r="AM736" s="62">
        <f>IF(OR(AG736="",INDEX(p_rates,3)=""),0,IF(AG736="Facture",SUMIFS(fl_ht,fl_doc,A736,fl_rate,INDEX(p_rates,3)),SUMIFS(dl_ht,dl_doc,F736,dl_rate,INDEX(p_rates,3))))</f>
        <v>0.0</v>
      </c>
      <c r="AN736" s="62">
        <f>IF(OR(AG736="",INDEX(p_rates,4)=""),0,IF(AG736="Facture",SUMIFS(fl_ht,fl_doc,A736,fl_rate,INDEX(p_rates,4)),SUMIFS(dl_ht,dl_doc,F736,dl_rate,INDEX(p_rates,4))))</f>
        <v>0.0</v>
      </c>
      <c r="AO736" s="62">
        <f>IF(OR(AG736="",INDEX(p_rates,5)=""),0,IF(AG736="Facture",SUMIFS(fl_ht,fl_doc,A736,fl_rate,INDEX(p_rates,5)),SUMIFS(dl_ht,dl_doc,F736,dl_rate,INDEX(p_rates,5))))</f>
        <v>0.0</v>
      </c>
      <c r="AP736" s="62">
        <f>IF(OR(AG736="",INDEX(p_rates,6)=""),0,IF(AG736="Facture",SUMIFS(fl_ht,fl_doc,A736,fl_rate,INDEX(p_rates,6)),SUMIFS(dl_ht,dl_doc,F736,dl_rate,INDEX(p_rates,6))))</f>
        <v>0.0</v>
      </c>
      <c r="AQ736" s="62">
        <f>ROUND(AK736*N(INDEX(p_rates,1)),2)+ROUND(AL736*N(INDEX(p_rates,2)),2)+ROUND(AM736*N(INDEX(p_rates,3)),2)+ROUND(AN736*N(INDEX(p_rates,4)),2)+ROUND(AO736*N(INDEX(p_rates,5)),2)+ROUND(AP736*N(INDEX(p_rates,6)),2)</f>
        <v>0.0</v>
      </c>
      <c r="AR736" s="62" t="str">
        <f>IF(OR(L736="",AA736&lt;&gt;"Facture"),"",IFERROR(IF(INDEX(fa_type,MATCH(L736,fa_num,0))="Facture d'acompte",MATCH(L736,fa_num,0),""),""))</f>
        <v/>
      </c>
      <c r="AS736" s="62" t="str">
        <f>IF(W736="","",IF(W736&lt;=0,"",IF(p_asof-P736&lt;=0,"Non échu",IF(p_asof-P736&lt;=30,"1-30 j",IF(p_asof-P736&lt;=60,"31-60 j",IF(p_asof-P736&lt;=90,"61-90 j","Plus de 90 j"))))))</f>
        <v/>
      </c>
      <c r="AT736" s="62" t="str">
        <f>IF(AS736="","",p_asof-P736)</f>
        <v/>
      </c>
      <c r="AU736" s="62" t="str">
        <f>IF(AT736="","",COUNTIF($AT$6:$AT$805,"&gt;"&amp;AT736)+COUNTIF($AT$6:AT736,AT736))</f>
        <v/>
      </c>
    </row>
    <row r="737">
      <c r="A737" s="59" t="str">
        <f>IF(AE737="","",AB737&amp;"-"&amp;AD737&amp;"-"&amp;RIGHT("000"&amp;AE737,4))</f>
        <v/>
      </c>
      <c r="B737" s="60" t="n"/>
      <c r="C737" s="61" t="n"/>
      <c r="D737" s="60" t="n"/>
      <c r="E737" s="62" t="str">
        <f>IF(D737="","",IFERROR(INDEX(cli_name,MATCH(D737,cli_code,0))&amp;"","Client inconnu"))</f>
        <v/>
      </c>
      <c r="F737" s="60" t="n"/>
      <c r="G737" s="63" t="n"/>
      <c r="H737" s="61" t="n"/>
      <c r="I737" s="63" t="n"/>
      <c r="J737" s="60" t="n"/>
      <c r="K737" s="61" t="n"/>
      <c r="L737" s="60" t="n"/>
      <c r="M737" s="60" t="n"/>
      <c r="N737" s="60" t="n"/>
      <c r="O737" s="61" t="n"/>
      <c r="P737" s="64" t="str">
        <f>IF(A737="","",IF(AA737="Avoir",AC737,IF(ISNUMBER(K737),K737,AC737+IF(D737="",N(p_delay),IFERROR(IF(ISNUMBER(INDEX(cli_delay,MATCH(D737,cli_code,0))),INDEX(cli_delay,MATCH(D737,cli_code,0)),N(p_delay)),N(p_delay))))))</f>
        <v/>
      </c>
      <c r="Q737" s="65" t="str">
        <f>IF(A737="","",IF(AA737="Avoir",-1,1)*ROUND(AJ737-IF(AR737="",0,INDEX(fa_htb,AR737)),2))</f>
        <v/>
      </c>
      <c r="R737" s="65" t="str">
        <f>IF(A737="","",IF(AA737="Avoir",-1,1)*ROUND(AQ737-IF(AR737="",0,INDEX(fa_tvab,AR737)),2))</f>
        <v/>
      </c>
      <c r="S737" s="65" t="str">
        <f>IF(A737="","",Q737+R737)</f>
        <v/>
      </c>
      <c r="T737" s="65" t="str">
        <f>IF(AR737="","",INDEX(fa_htb,AR737)+INDEX(fa_tvab,AR737))</f>
        <v/>
      </c>
      <c r="U737" s="65" t="str">
        <f>IF(A737="","",SUMIF(pa_inv,A737,pa_amt))</f>
        <v/>
      </c>
      <c r="V737" s="65" t="str">
        <f>IF(OR(A737="",AA737="Avoir"),"",-SUMIFS(fa_ttc,fa_avof,A737,fa_type,"Avoir"))</f>
        <v/>
      </c>
      <c r="W737" s="65" t="str">
        <f>IF(OR(A737="",AA737="Avoir"),"",ROUND(S737-U737-V737,2))</f>
        <v/>
      </c>
      <c r="X737" s="66" t="str">
        <f>IF(W737="","",IF(AND(W737&gt;0,p_asof&gt;P737),p_asof-P737,""))</f>
        <v/>
      </c>
      <c r="Y737" s="59" t="str">
        <f>IF(A737="","",IF(AA737="Avoir","Avoir",IF(W737&lt;0,"Trop-perçu",IF(W737=0,"Soldée",IF(p_asof&gt;P737,"En retard",IF(U737+V737&gt;0,"Partielle","À échoir"))))))</f>
        <v/>
      </c>
      <c r="Z737" s="59" t="str">
        <f>IF(NOT(COUNTA(B737:D737,F737:O737)&gt;0),"",IF(C737="","Date manquante",IF(NOT(ISNUMBER(C737)),"Date invalide",IF(D737="","Client manquant",IF(ISNA(MATCH(D737,cli_code,0)),"Client inconnu",IF(AC737&lt;SUMPRODUCT(MAX(($AB$6:AB736=AB737)*$AC$6:AC736)),"Date antérieure à la facture précédente",IF(AND(F737&lt;&gt;"",ISNA(MATCH(F737,dv_num,0))),"Devis inconnu",IF(AND(F737&lt;&gt;"",IFERROR(INDEX(dv_client,MATCH(F737,dv_num,0)),D737)&lt;&gt;D737),"Client différent de celui du devis",IF(AG737="","Aucune ligne : saisissez des lignes ou un devis",IF(AND(AI737&lt;&gt;"",COUNTIF($AI$6:AI737,AI737)&gt;1),"Devis déjà repris par une autre facture",IF(AND(AA737="Avoir",M737=""),"Avoir : indiquez la facture d'origine",IF(AND(AA737="Avoir",ISNA(MATCH(M737,fa_num,0))),"Facture d'origine inconnue",IF(AND(AA737&lt;&gt;"Avoir",M737&lt;&gt;""),"« Avoir sur facture » : réservé aux avoirs",IF(AND(L737&lt;&gt;"",AA737&lt;&gt;"Facture"),"Acompte à déduire : réservé aux factures",IF(AND(L737&lt;&gt;"",ISNA(MATCH(L737,fa_num,0))),"Facture d'acompte inconnue",IF(AND(L737&lt;&gt;"",IFERROR(INDEX(fa_type,MATCH(L737,fa_num,0)),"")&lt;&gt;"Facture d'acompte"),"Le n° à déduire n'est pas une facture d'acompte",IF(AND(L737&lt;&gt;"",COUNTIF($L$6:L737,L737)&gt;1),"Acompte déjà déduit sur une autre facture",IF(AND(L737&lt;&gt;"",IFERROR(INDEX(fa_client,MATCH(L737,fa_num,0)),D737)&lt;&gt;D737),"Acompte d'un autre client",IF(AND(AR737&lt;&gt;"",N(Q737)&lt;0),"Acompte supérieur au total de la facture",IF(IF(AG737="Facture",COUNTIFS(fl_doc,A737,fl_check,"&lt;&gt;OK"),IF(AG737="Devis",COUNTIFS(dl_doc,F737,dl_check,"&lt;&gt;OK"),0))&gt;0,"Ligne(s) à corriger",IF(AND(W737&lt;&gt;"",N(W737)&lt;0),"Trop-perçu : vérifiez paiements et avoirs","OK")))))))))))))))))))))</f>
        <v/>
      </c>
      <c r="AA737" s="62" t="str">
        <f>IF(COUNTA(B737:D737,F737:O737)&gt;0,IF(B737="","Facture",B737),"")</f>
        <v/>
      </c>
      <c r="AB737" s="62" t="str">
        <f>IF(AA737="","",IF(AA737="Avoir",p_pav,IF(AA737="Facture d'acompte",p_pac,p_pfa)))</f>
        <v/>
      </c>
      <c r="AC737" s="62">
        <f>IF(ISNUMBER(C737),C737,0)</f>
        <v>0.0</v>
      </c>
      <c r="AD737" s="62" t="str">
        <f>IF(OR(AA737="",AC737=0),"",YEAR(AC737))</f>
        <v/>
      </c>
      <c r="AE737" s="62" t="str">
        <f>IF(AD737="","",COUNTIFS($AB$6:AB737,AB737,$AD$6:AD737,AD737))</f>
        <v/>
      </c>
      <c r="AF737" s="62">
        <f>IF(A737="",0,COUNTIF(fl_doc,A737))</f>
        <v>0.0</v>
      </c>
      <c r="AG737" s="62" t="str">
        <f>IF(A737="","",IF(AF737&gt;0,"Facture",IF(AND(F737&lt;&gt;"",AA737="Facture",ISNUMBER(MATCH(F737,dv_num,0))),"Devis","")))</f>
        <v/>
      </c>
      <c r="AH737" s="62" t="str">
        <f>IF(AND(A737&lt;&gt;"",F737&lt;&gt;"",AA737&lt;&gt;"Avoir"),F737,"")</f>
        <v/>
      </c>
      <c r="AI737" s="62" t="str">
        <f>IF(AG737="Devis",F737,"")</f>
        <v/>
      </c>
      <c r="AJ737" s="62">
        <f>IF(AG737="Facture",SUMIF(fl_doc,A737,fl_ht),IF(AG737="Devis",SUMIF(dl_doc,F737,dl_ht),0))</f>
        <v>0.0</v>
      </c>
      <c r="AK737" s="62">
        <f>IF(OR(AG737="",INDEX(p_rates,1)=""),0,IF(AG737="Facture",SUMIFS(fl_ht,fl_doc,A737,fl_rate,INDEX(p_rates,1)),SUMIFS(dl_ht,dl_doc,F737,dl_rate,INDEX(p_rates,1))))</f>
        <v>0.0</v>
      </c>
      <c r="AL737" s="62">
        <f>IF(OR(AG737="",INDEX(p_rates,2)=""),0,IF(AG737="Facture",SUMIFS(fl_ht,fl_doc,A737,fl_rate,INDEX(p_rates,2)),SUMIFS(dl_ht,dl_doc,F737,dl_rate,INDEX(p_rates,2))))</f>
        <v>0.0</v>
      </c>
      <c r="AM737" s="62">
        <f>IF(OR(AG737="",INDEX(p_rates,3)=""),0,IF(AG737="Facture",SUMIFS(fl_ht,fl_doc,A737,fl_rate,INDEX(p_rates,3)),SUMIFS(dl_ht,dl_doc,F737,dl_rate,INDEX(p_rates,3))))</f>
        <v>0.0</v>
      </c>
      <c r="AN737" s="62">
        <f>IF(OR(AG737="",INDEX(p_rates,4)=""),0,IF(AG737="Facture",SUMIFS(fl_ht,fl_doc,A737,fl_rate,INDEX(p_rates,4)),SUMIFS(dl_ht,dl_doc,F737,dl_rate,INDEX(p_rates,4))))</f>
        <v>0.0</v>
      </c>
      <c r="AO737" s="62">
        <f>IF(OR(AG737="",INDEX(p_rates,5)=""),0,IF(AG737="Facture",SUMIFS(fl_ht,fl_doc,A737,fl_rate,INDEX(p_rates,5)),SUMIFS(dl_ht,dl_doc,F737,dl_rate,INDEX(p_rates,5))))</f>
        <v>0.0</v>
      </c>
      <c r="AP737" s="62">
        <f>IF(OR(AG737="",INDEX(p_rates,6)=""),0,IF(AG737="Facture",SUMIFS(fl_ht,fl_doc,A737,fl_rate,INDEX(p_rates,6)),SUMIFS(dl_ht,dl_doc,F737,dl_rate,INDEX(p_rates,6))))</f>
        <v>0.0</v>
      </c>
      <c r="AQ737" s="62">
        <f>ROUND(AK737*N(INDEX(p_rates,1)),2)+ROUND(AL737*N(INDEX(p_rates,2)),2)+ROUND(AM737*N(INDEX(p_rates,3)),2)+ROUND(AN737*N(INDEX(p_rates,4)),2)+ROUND(AO737*N(INDEX(p_rates,5)),2)+ROUND(AP737*N(INDEX(p_rates,6)),2)</f>
        <v>0.0</v>
      </c>
      <c r="AR737" s="62" t="str">
        <f>IF(OR(L737="",AA737&lt;&gt;"Facture"),"",IFERROR(IF(INDEX(fa_type,MATCH(L737,fa_num,0))="Facture d'acompte",MATCH(L737,fa_num,0),""),""))</f>
        <v/>
      </c>
      <c r="AS737" s="62" t="str">
        <f>IF(W737="","",IF(W737&lt;=0,"",IF(p_asof-P737&lt;=0,"Non échu",IF(p_asof-P737&lt;=30,"1-30 j",IF(p_asof-P737&lt;=60,"31-60 j",IF(p_asof-P737&lt;=90,"61-90 j","Plus de 90 j"))))))</f>
        <v/>
      </c>
      <c r="AT737" s="62" t="str">
        <f>IF(AS737="","",p_asof-P737)</f>
        <v/>
      </c>
      <c r="AU737" s="62" t="str">
        <f>IF(AT737="","",COUNTIF($AT$6:$AT$805,"&gt;"&amp;AT737)+COUNTIF($AT$6:AT737,AT737))</f>
        <v/>
      </c>
    </row>
    <row r="738">
      <c r="A738" s="59" t="str">
        <f>IF(AE738="","",AB738&amp;"-"&amp;AD738&amp;"-"&amp;RIGHT("000"&amp;AE738,4))</f>
        <v/>
      </c>
      <c r="B738" s="60" t="n"/>
      <c r="C738" s="61" t="n"/>
      <c r="D738" s="60" t="n"/>
      <c r="E738" s="62" t="str">
        <f>IF(D738="","",IFERROR(INDEX(cli_name,MATCH(D738,cli_code,0))&amp;"","Client inconnu"))</f>
        <v/>
      </c>
      <c r="F738" s="60" t="n"/>
      <c r="G738" s="63" t="n"/>
      <c r="H738" s="61" t="n"/>
      <c r="I738" s="63" t="n"/>
      <c r="J738" s="60" t="n"/>
      <c r="K738" s="61" t="n"/>
      <c r="L738" s="60" t="n"/>
      <c r="M738" s="60" t="n"/>
      <c r="N738" s="60" t="n"/>
      <c r="O738" s="61" t="n"/>
      <c r="P738" s="64" t="str">
        <f>IF(A738="","",IF(AA738="Avoir",AC738,IF(ISNUMBER(K738),K738,AC738+IF(D738="",N(p_delay),IFERROR(IF(ISNUMBER(INDEX(cli_delay,MATCH(D738,cli_code,0))),INDEX(cli_delay,MATCH(D738,cli_code,0)),N(p_delay)),N(p_delay))))))</f>
        <v/>
      </c>
      <c r="Q738" s="65" t="str">
        <f>IF(A738="","",IF(AA738="Avoir",-1,1)*ROUND(AJ738-IF(AR738="",0,INDEX(fa_htb,AR738)),2))</f>
        <v/>
      </c>
      <c r="R738" s="65" t="str">
        <f>IF(A738="","",IF(AA738="Avoir",-1,1)*ROUND(AQ738-IF(AR738="",0,INDEX(fa_tvab,AR738)),2))</f>
        <v/>
      </c>
      <c r="S738" s="65" t="str">
        <f>IF(A738="","",Q738+R738)</f>
        <v/>
      </c>
      <c r="T738" s="65" t="str">
        <f>IF(AR738="","",INDEX(fa_htb,AR738)+INDEX(fa_tvab,AR738))</f>
        <v/>
      </c>
      <c r="U738" s="65" t="str">
        <f>IF(A738="","",SUMIF(pa_inv,A738,pa_amt))</f>
        <v/>
      </c>
      <c r="V738" s="65" t="str">
        <f>IF(OR(A738="",AA738="Avoir"),"",-SUMIFS(fa_ttc,fa_avof,A738,fa_type,"Avoir"))</f>
        <v/>
      </c>
      <c r="W738" s="65" t="str">
        <f>IF(OR(A738="",AA738="Avoir"),"",ROUND(S738-U738-V738,2))</f>
        <v/>
      </c>
      <c r="X738" s="66" t="str">
        <f>IF(W738="","",IF(AND(W738&gt;0,p_asof&gt;P738),p_asof-P738,""))</f>
        <v/>
      </c>
      <c r="Y738" s="59" t="str">
        <f>IF(A738="","",IF(AA738="Avoir","Avoir",IF(W738&lt;0,"Trop-perçu",IF(W738=0,"Soldée",IF(p_asof&gt;P738,"En retard",IF(U738+V738&gt;0,"Partielle","À échoir"))))))</f>
        <v/>
      </c>
      <c r="Z738" s="59" t="str">
        <f>IF(NOT(COUNTA(B738:D738,F738:O738)&gt;0),"",IF(C738="","Date manquante",IF(NOT(ISNUMBER(C738)),"Date invalide",IF(D738="","Client manquant",IF(ISNA(MATCH(D738,cli_code,0)),"Client inconnu",IF(AC738&lt;SUMPRODUCT(MAX(($AB$6:AB737=AB738)*$AC$6:AC737)),"Date antérieure à la facture précédente",IF(AND(F738&lt;&gt;"",ISNA(MATCH(F738,dv_num,0))),"Devis inconnu",IF(AND(F738&lt;&gt;"",IFERROR(INDEX(dv_client,MATCH(F738,dv_num,0)),D738)&lt;&gt;D738),"Client différent de celui du devis",IF(AG738="","Aucune ligne : saisissez des lignes ou un devis",IF(AND(AI738&lt;&gt;"",COUNTIF($AI$6:AI738,AI738)&gt;1),"Devis déjà repris par une autre facture",IF(AND(AA738="Avoir",M738=""),"Avoir : indiquez la facture d'origine",IF(AND(AA738="Avoir",ISNA(MATCH(M738,fa_num,0))),"Facture d'origine inconnue",IF(AND(AA738&lt;&gt;"Avoir",M738&lt;&gt;""),"« Avoir sur facture » : réservé aux avoirs",IF(AND(L738&lt;&gt;"",AA738&lt;&gt;"Facture"),"Acompte à déduire : réservé aux factures",IF(AND(L738&lt;&gt;"",ISNA(MATCH(L738,fa_num,0))),"Facture d'acompte inconnue",IF(AND(L738&lt;&gt;"",IFERROR(INDEX(fa_type,MATCH(L738,fa_num,0)),"")&lt;&gt;"Facture d'acompte"),"Le n° à déduire n'est pas une facture d'acompte",IF(AND(L738&lt;&gt;"",COUNTIF($L$6:L738,L738)&gt;1),"Acompte déjà déduit sur une autre facture",IF(AND(L738&lt;&gt;"",IFERROR(INDEX(fa_client,MATCH(L738,fa_num,0)),D738)&lt;&gt;D738),"Acompte d'un autre client",IF(AND(AR738&lt;&gt;"",N(Q738)&lt;0),"Acompte supérieur au total de la facture",IF(IF(AG738="Facture",COUNTIFS(fl_doc,A738,fl_check,"&lt;&gt;OK"),IF(AG738="Devis",COUNTIFS(dl_doc,F738,dl_check,"&lt;&gt;OK"),0))&gt;0,"Ligne(s) à corriger",IF(AND(W738&lt;&gt;"",N(W738)&lt;0),"Trop-perçu : vérifiez paiements et avoirs","OK")))))))))))))))))))))</f>
        <v/>
      </c>
      <c r="AA738" s="62" t="str">
        <f>IF(COUNTA(B738:D738,F738:O738)&gt;0,IF(B738="","Facture",B738),"")</f>
        <v/>
      </c>
      <c r="AB738" s="62" t="str">
        <f>IF(AA738="","",IF(AA738="Avoir",p_pav,IF(AA738="Facture d'acompte",p_pac,p_pfa)))</f>
        <v/>
      </c>
      <c r="AC738" s="62">
        <f>IF(ISNUMBER(C738),C738,0)</f>
        <v>0.0</v>
      </c>
      <c r="AD738" s="62" t="str">
        <f>IF(OR(AA738="",AC738=0),"",YEAR(AC738))</f>
        <v/>
      </c>
      <c r="AE738" s="62" t="str">
        <f>IF(AD738="","",COUNTIFS($AB$6:AB738,AB738,$AD$6:AD738,AD738))</f>
        <v/>
      </c>
      <c r="AF738" s="62">
        <f>IF(A738="",0,COUNTIF(fl_doc,A738))</f>
        <v>0.0</v>
      </c>
      <c r="AG738" s="62" t="str">
        <f>IF(A738="","",IF(AF738&gt;0,"Facture",IF(AND(F738&lt;&gt;"",AA738="Facture",ISNUMBER(MATCH(F738,dv_num,0))),"Devis","")))</f>
        <v/>
      </c>
      <c r="AH738" s="62" t="str">
        <f>IF(AND(A738&lt;&gt;"",F738&lt;&gt;"",AA738&lt;&gt;"Avoir"),F738,"")</f>
        <v/>
      </c>
      <c r="AI738" s="62" t="str">
        <f>IF(AG738="Devis",F738,"")</f>
        <v/>
      </c>
      <c r="AJ738" s="62">
        <f>IF(AG738="Facture",SUMIF(fl_doc,A738,fl_ht),IF(AG738="Devis",SUMIF(dl_doc,F738,dl_ht),0))</f>
        <v>0.0</v>
      </c>
      <c r="AK738" s="62">
        <f>IF(OR(AG738="",INDEX(p_rates,1)=""),0,IF(AG738="Facture",SUMIFS(fl_ht,fl_doc,A738,fl_rate,INDEX(p_rates,1)),SUMIFS(dl_ht,dl_doc,F738,dl_rate,INDEX(p_rates,1))))</f>
        <v>0.0</v>
      </c>
      <c r="AL738" s="62">
        <f>IF(OR(AG738="",INDEX(p_rates,2)=""),0,IF(AG738="Facture",SUMIFS(fl_ht,fl_doc,A738,fl_rate,INDEX(p_rates,2)),SUMIFS(dl_ht,dl_doc,F738,dl_rate,INDEX(p_rates,2))))</f>
        <v>0.0</v>
      </c>
      <c r="AM738" s="62">
        <f>IF(OR(AG738="",INDEX(p_rates,3)=""),0,IF(AG738="Facture",SUMIFS(fl_ht,fl_doc,A738,fl_rate,INDEX(p_rates,3)),SUMIFS(dl_ht,dl_doc,F738,dl_rate,INDEX(p_rates,3))))</f>
        <v>0.0</v>
      </c>
      <c r="AN738" s="62">
        <f>IF(OR(AG738="",INDEX(p_rates,4)=""),0,IF(AG738="Facture",SUMIFS(fl_ht,fl_doc,A738,fl_rate,INDEX(p_rates,4)),SUMIFS(dl_ht,dl_doc,F738,dl_rate,INDEX(p_rates,4))))</f>
        <v>0.0</v>
      </c>
      <c r="AO738" s="62">
        <f>IF(OR(AG738="",INDEX(p_rates,5)=""),0,IF(AG738="Facture",SUMIFS(fl_ht,fl_doc,A738,fl_rate,INDEX(p_rates,5)),SUMIFS(dl_ht,dl_doc,F738,dl_rate,INDEX(p_rates,5))))</f>
        <v>0.0</v>
      </c>
      <c r="AP738" s="62">
        <f>IF(OR(AG738="",INDEX(p_rates,6)=""),0,IF(AG738="Facture",SUMIFS(fl_ht,fl_doc,A738,fl_rate,INDEX(p_rates,6)),SUMIFS(dl_ht,dl_doc,F738,dl_rate,INDEX(p_rates,6))))</f>
        <v>0.0</v>
      </c>
      <c r="AQ738" s="62">
        <f>ROUND(AK738*N(INDEX(p_rates,1)),2)+ROUND(AL738*N(INDEX(p_rates,2)),2)+ROUND(AM738*N(INDEX(p_rates,3)),2)+ROUND(AN738*N(INDEX(p_rates,4)),2)+ROUND(AO738*N(INDEX(p_rates,5)),2)+ROUND(AP738*N(INDEX(p_rates,6)),2)</f>
        <v>0.0</v>
      </c>
      <c r="AR738" s="62" t="str">
        <f>IF(OR(L738="",AA738&lt;&gt;"Facture"),"",IFERROR(IF(INDEX(fa_type,MATCH(L738,fa_num,0))="Facture d'acompte",MATCH(L738,fa_num,0),""),""))</f>
        <v/>
      </c>
      <c r="AS738" s="62" t="str">
        <f>IF(W738="","",IF(W738&lt;=0,"",IF(p_asof-P738&lt;=0,"Non échu",IF(p_asof-P738&lt;=30,"1-30 j",IF(p_asof-P738&lt;=60,"31-60 j",IF(p_asof-P738&lt;=90,"61-90 j","Plus de 90 j"))))))</f>
        <v/>
      </c>
      <c r="AT738" s="62" t="str">
        <f>IF(AS738="","",p_asof-P738)</f>
        <v/>
      </c>
      <c r="AU738" s="62" t="str">
        <f>IF(AT738="","",COUNTIF($AT$6:$AT$805,"&gt;"&amp;AT738)+COUNTIF($AT$6:AT738,AT738))</f>
        <v/>
      </c>
    </row>
    <row r="739">
      <c r="A739" s="59" t="str">
        <f>IF(AE739="","",AB739&amp;"-"&amp;AD739&amp;"-"&amp;RIGHT("000"&amp;AE739,4))</f>
        <v/>
      </c>
      <c r="B739" s="60" t="n"/>
      <c r="C739" s="61" t="n"/>
      <c r="D739" s="60" t="n"/>
      <c r="E739" s="62" t="str">
        <f>IF(D739="","",IFERROR(INDEX(cli_name,MATCH(D739,cli_code,0))&amp;"","Client inconnu"))</f>
        <v/>
      </c>
      <c r="F739" s="60" t="n"/>
      <c r="G739" s="63" t="n"/>
      <c r="H739" s="61" t="n"/>
      <c r="I739" s="63" t="n"/>
      <c r="J739" s="60" t="n"/>
      <c r="K739" s="61" t="n"/>
      <c r="L739" s="60" t="n"/>
      <c r="M739" s="60" t="n"/>
      <c r="N739" s="60" t="n"/>
      <c r="O739" s="61" t="n"/>
      <c r="P739" s="64" t="str">
        <f>IF(A739="","",IF(AA739="Avoir",AC739,IF(ISNUMBER(K739),K739,AC739+IF(D739="",N(p_delay),IFERROR(IF(ISNUMBER(INDEX(cli_delay,MATCH(D739,cli_code,0))),INDEX(cli_delay,MATCH(D739,cli_code,0)),N(p_delay)),N(p_delay))))))</f>
        <v/>
      </c>
      <c r="Q739" s="65" t="str">
        <f>IF(A739="","",IF(AA739="Avoir",-1,1)*ROUND(AJ739-IF(AR739="",0,INDEX(fa_htb,AR739)),2))</f>
        <v/>
      </c>
      <c r="R739" s="65" t="str">
        <f>IF(A739="","",IF(AA739="Avoir",-1,1)*ROUND(AQ739-IF(AR739="",0,INDEX(fa_tvab,AR739)),2))</f>
        <v/>
      </c>
      <c r="S739" s="65" t="str">
        <f>IF(A739="","",Q739+R739)</f>
        <v/>
      </c>
      <c r="T739" s="65" t="str">
        <f>IF(AR739="","",INDEX(fa_htb,AR739)+INDEX(fa_tvab,AR739))</f>
        <v/>
      </c>
      <c r="U739" s="65" t="str">
        <f>IF(A739="","",SUMIF(pa_inv,A739,pa_amt))</f>
        <v/>
      </c>
      <c r="V739" s="65" t="str">
        <f>IF(OR(A739="",AA739="Avoir"),"",-SUMIFS(fa_ttc,fa_avof,A739,fa_type,"Avoir"))</f>
        <v/>
      </c>
      <c r="W739" s="65" t="str">
        <f>IF(OR(A739="",AA739="Avoir"),"",ROUND(S739-U739-V739,2))</f>
        <v/>
      </c>
      <c r="X739" s="66" t="str">
        <f>IF(W739="","",IF(AND(W739&gt;0,p_asof&gt;P739),p_asof-P739,""))</f>
        <v/>
      </c>
      <c r="Y739" s="59" t="str">
        <f>IF(A739="","",IF(AA739="Avoir","Avoir",IF(W739&lt;0,"Trop-perçu",IF(W739=0,"Soldée",IF(p_asof&gt;P739,"En retard",IF(U739+V739&gt;0,"Partielle","À échoir"))))))</f>
        <v/>
      </c>
      <c r="Z739" s="59" t="str">
        <f>IF(NOT(COUNTA(B739:D739,F739:O739)&gt;0),"",IF(C739="","Date manquante",IF(NOT(ISNUMBER(C739)),"Date invalide",IF(D739="","Client manquant",IF(ISNA(MATCH(D739,cli_code,0)),"Client inconnu",IF(AC739&lt;SUMPRODUCT(MAX(($AB$6:AB738=AB739)*$AC$6:AC738)),"Date antérieure à la facture précédente",IF(AND(F739&lt;&gt;"",ISNA(MATCH(F739,dv_num,0))),"Devis inconnu",IF(AND(F739&lt;&gt;"",IFERROR(INDEX(dv_client,MATCH(F739,dv_num,0)),D739)&lt;&gt;D739),"Client différent de celui du devis",IF(AG739="","Aucune ligne : saisissez des lignes ou un devis",IF(AND(AI739&lt;&gt;"",COUNTIF($AI$6:AI739,AI739)&gt;1),"Devis déjà repris par une autre facture",IF(AND(AA739="Avoir",M739=""),"Avoir : indiquez la facture d'origine",IF(AND(AA739="Avoir",ISNA(MATCH(M739,fa_num,0))),"Facture d'origine inconnue",IF(AND(AA739&lt;&gt;"Avoir",M739&lt;&gt;""),"« Avoir sur facture » : réservé aux avoirs",IF(AND(L739&lt;&gt;"",AA739&lt;&gt;"Facture"),"Acompte à déduire : réservé aux factures",IF(AND(L739&lt;&gt;"",ISNA(MATCH(L739,fa_num,0))),"Facture d'acompte inconnue",IF(AND(L739&lt;&gt;"",IFERROR(INDEX(fa_type,MATCH(L739,fa_num,0)),"")&lt;&gt;"Facture d'acompte"),"Le n° à déduire n'est pas une facture d'acompte",IF(AND(L739&lt;&gt;"",COUNTIF($L$6:L739,L739)&gt;1),"Acompte déjà déduit sur une autre facture",IF(AND(L739&lt;&gt;"",IFERROR(INDEX(fa_client,MATCH(L739,fa_num,0)),D739)&lt;&gt;D739),"Acompte d'un autre client",IF(AND(AR739&lt;&gt;"",N(Q739)&lt;0),"Acompte supérieur au total de la facture",IF(IF(AG739="Facture",COUNTIFS(fl_doc,A739,fl_check,"&lt;&gt;OK"),IF(AG739="Devis",COUNTIFS(dl_doc,F739,dl_check,"&lt;&gt;OK"),0))&gt;0,"Ligne(s) à corriger",IF(AND(W739&lt;&gt;"",N(W739)&lt;0),"Trop-perçu : vérifiez paiements et avoirs","OK")))))))))))))))))))))</f>
        <v/>
      </c>
      <c r="AA739" s="62" t="str">
        <f>IF(COUNTA(B739:D739,F739:O739)&gt;0,IF(B739="","Facture",B739),"")</f>
        <v/>
      </c>
      <c r="AB739" s="62" t="str">
        <f>IF(AA739="","",IF(AA739="Avoir",p_pav,IF(AA739="Facture d'acompte",p_pac,p_pfa)))</f>
        <v/>
      </c>
      <c r="AC739" s="62">
        <f>IF(ISNUMBER(C739),C739,0)</f>
        <v>0.0</v>
      </c>
      <c r="AD739" s="62" t="str">
        <f>IF(OR(AA739="",AC739=0),"",YEAR(AC739))</f>
        <v/>
      </c>
      <c r="AE739" s="62" t="str">
        <f>IF(AD739="","",COUNTIFS($AB$6:AB739,AB739,$AD$6:AD739,AD739))</f>
        <v/>
      </c>
      <c r="AF739" s="62">
        <f>IF(A739="",0,COUNTIF(fl_doc,A739))</f>
        <v>0.0</v>
      </c>
      <c r="AG739" s="62" t="str">
        <f>IF(A739="","",IF(AF739&gt;0,"Facture",IF(AND(F739&lt;&gt;"",AA739="Facture",ISNUMBER(MATCH(F739,dv_num,0))),"Devis","")))</f>
        <v/>
      </c>
      <c r="AH739" s="62" t="str">
        <f>IF(AND(A739&lt;&gt;"",F739&lt;&gt;"",AA739&lt;&gt;"Avoir"),F739,"")</f>
        <v/>
      </c>
      <c r="AI739" s="62" t="str">
        <f>IF(AG739="Devis",F739,"")</f>
        <v/>
      </c>
      <c r="AJ739" s="62">
        <f>IF(AG739="Facture",SUMIF(fl_doc,A739,fl_ht),IF(AG739="Devis",SUMIF(dl_doc,F739,dl_ht),0))</f>
        <v>0.0</v>
      </c>
      <c r="AK739" s="62">
        <f>IF(OR(AG739="",INDEX(p_rates,1)=""),0,IF(AG739="Facture",SUMIFS(fl_ht,fl_doc,A739,fl_rate,INDEX(p_rates,1)),SUMIFS(dl_ht,dl_doc,F739,dl_rate,INDEX(p_rates,1))))</f>
        <v>0.0</v>
      </c>
      <c r="AL739" s="62">
        <f>IF(OR(AG739="",INDEX(p_rates,2)=""),0,IF(AG739="Facture",SUMIFS(fl_ht,fl_doc,A739,fl_rate,INDEX(p_rates,2)),SUMIFS(dl_ht,dl_doc,F739,dl_rate,INDEX(p_rates,2))))</f>
        <v>0.0</v>
      </c>
      <c r="AM739" s="62">
        <f>IF(OR(AG739="",INDEX(p_rates,3)=""),0,IF(AG739="Facture",SUMIFS(fl_ht,fl_doc,A739,fl_rate,INDEX(p_rates,3)),SUMIFS(dl_ht,dl_doc,F739,dl_rate,INDEX(p_rates,3))))</f>
        <v>0.0</v>
      </c>
      <c r="AN739" s="62">
        <f>IF(OR(AG739="",INDEX(p_rates,4)=""),0,IF(AG739="Facture",SUMIFS(fl_ht,fl_doc,A739,fl_rate,INDEX(p_rates,4)),SUMIFS(dl_ht,dl_doc,F739,dl_rate,INDEX(p_rates,4))))</f>
        <v>0.0</v>
      </c>
      <c r="AO739" s="62">
        <f>IF(OR(AG739="",INDEX(p_rates,5)=""),0,IF(AG739="Facture",SUMIFS(fl_ht,fl_doc,A739,fl_rate,INDEX(p_rates,5)),SUMIFS(dl_ht,dl_doc,F739,dl_rate,INDEX(p_rates,5))))</f>
        <v>0.0</v>
      </c>
      <c r="AP739" s="62">
        <f>IF(OR(AG739="",INDEX(p_rates,6)=""),0,IF(AG739="Facture",SUMIFS(fl_ht,fl_doc,A739,fl_rate,INDEX(p_rates,6)),SUMIFS(dl_ht,dl_doc,F739,dl_rate,INDEX(p_rates,6))))</f>
        <v>0.0</v>
      </c>
      <c r="AQ739" s="62">
        <f>ROUND(AK739*N(INDEX(p_rates,1)),2)+ROUND(AL739*N(INDEX(p_rates,2)),2)+ROUND(AM739*N(INDEX(p_rates,3)),2)+ROUND(AN739*N(INDEX(p_rates,4)),2)+ROUND(AO739*N(INDEX(p_rates,5)),2)+ROUND(AP739*N(INDEX(p_rates,6)),2)</f>
        <v>0.0</v>
      </c>
      <c r="AR739" s="62" t="str">
        <f>IF(OR(L739="",AA739&lt;&gt;"Facture"),"",IFERROR(IF(INDEX(fa_type,MATCH(L739,fa_num,0))="Facture d'acompte",MATCH(L739,fa_num,0),""),""))</f>
        <v/>
      </c>
      <c r="AS739" s="62" t="str">
        <f>IF(W739="","",IF(W739&lt;=0,"",IF(p_asof-P739&lt;=0,"Non échu",IF(p_asof-P739&lt;=30,"1-30 j",IF(p_asof-P739&lt;=60,"31-60 j",IF(p_asof-P739&lt;=90,"61-90 j","Plus de 90 j"))))))</f>
        <v/>
      </c>
      <c r="AT739" s="62" t="str">
        <f>IF(AS739="","",p_asof-P739)</f>
        <v/>
      </c>
      <c r="AU739" s="62" t="str">
        <f>IF(AT739="","",COUNTIF($AT$6:$AT$805,"&gt;"&amp;AT739)+COUNTIF($AT$6:AT739,AT739))</f>
        <v/>
      </c>
    </row>
    <row r="740">
      <c r="A740" s="59" t="str">
        <f>IF(AE740="","",AB740&amp;"-"&amp;AD740&amp;"-"&amp;RIGHT("000"&amp;AE740,4))</f>
        <v/>
      </c>
      <c r="B740" s="60" t="n"/>
      <c r="C740" s="61" t="n"/>
      <c r="D740" s="60" t="n"/>
      <c r="E740" s="62" t="str">
        <f>IF(D740="","",IFERROR(INDEX(cli_name,MATCH(D740,cli_code,0))&amp;"","Client inconnu"))</f>
        <v/>
      </c>
      <c r="F740" s="60" t="n"/>
      <c r="G740" s="63" t="n"/>
      <c r="H740" s="61" t="n"/>
      <c r="I740" s="63" t="n"/>
      <c r="J740" s="60" t="n"/>
      <c r="K740" s="61" t="n"/>
      <c r="L740" s="60" t="n"/>
      <c r="M740" s="60" t="n"/>
      <c r="N740" s="60" t="n"/>
      <c r="O740" s="61" t="n"/>
      <c r="P740" s="64" t="str">
        <f>IF(A740="","",IF(AA740="Avoir",AC740,IF(ISNUMBER(K740),K740,AC740+IF(D740="",N(p_delay),IFERROR(IF(ISNUMBER(INDEX(cli_delay,MATCH(D740,cli_code,0))),INDEX(cli_delay,MATCH(D740,cli_code,0)),N(p_delay)),N(p_delay))))))</f>
        <v/>
      </c>
      <c r="Q740" s="65" t="str">
        <f>IF(A740="","",IF(AA740="Avoir",-1,1)*ROUND(AJ740-IF(AR740="",0,INDEX(fa_htb,AR740)),2))</f>
        <v/>
      </c>
      <c r="R740" s="65" t="str">
        <f>IF(A740="","",IF(AA740="Avoir",-1,1)*ROUND(AQ740-IF(AR740="",0,INDEX(fa_tvab,AR740)),2))</f>
        <v/>
      </c>
      <c r="S740" s="65" t="str">
        <f>IF(A740="","",Q740+R740)</f>
        <v/>
      </c>
      <c r="T740" s="65" t="str">
        <f>IF(AR740="","",INDEX(fa_htb,AR740)+INDEX(fa_tvab,AR740))</f>
        <v/>
      </c>
      <c r="U740" s="65" t="str">
        <f>IF(A740="","",SUMIF(pa_inv,A740,pa_amt))</f>
        <v/>
      </c>
      <c r="V740" s="65" t="str">
        <f>IF(OR(A740="",AA740="Avoir"),"",-SUMIFS(fa_ttc,fa_avof,A740,fa_type,"Avoir"))</f>
        <v/>
      </c>
      <c r="W740" s="65" t="str">
        <f>IF(OR(A740="",AA740="Avoir"),"",ROUND(S740-U740-V740,2))</f>
        <v/>
      </c>
      <c r="X740" s="66" t="str">
        <f>IF(W740="","",IF(AND(W740&gt;0,p_asof&gt;P740),p_asof-P740,""))</f>
        <v/>
      </c>
      <c r="Y740" s="59" t="str">
        <f>IF(A740="","",IF(AA740="Avoir","Avoir",IF(W740&lt;0,"Trop-perçu",IF(W740=0,"Soldée",IF(p_asof&gt;P740,"En retard",IF(U740+V740&gt;0,"Partielle","À échoir"))))))</f>
        <v/>
      </c>
      <c r="Z740" s="59" t="str">
        <f>IF(NOT(COUNTA(B740:D740,F740:O740)&gt;0),"",IF(C740="","Date manquante",IF(NOT(ISNUMBER(C740)),"Date invalide",IF(D740="","Client manquant",IF(ISNA(MATCH(D740,cli_code,0)),"Client inconnu",IF(AC740&lt;SUMPRODUCT(MAX(($AB$6:AB739=AB740)*$AC$6:AC739)),"Date antérieure à la facture précédente",IF(AND(F740&lt;&gt;"",ISNA(MATCH(F740,dv_num,0))),"Devis inconnu",IF(AND(F740&lt;&gt;"",IFERROR(INDEX(dv_client,MATCH(F740,dv_num,0)),D740)&lt;&gt;D740),"Client différent de celui du devis",IF(AG740="","Aucune ligne : saisissez des lignes ou un devis",IF(AND(AI740&lt;&gt;"",COUNTIF($AI$6:AI740,AI740)&gt;1),"Devis déjà repris par une autre facture",IF(AND(AA740="Avoir",M740=""),"Avoir : indiquez la facture d'origine",IF(AND(AA740="Avoir",ISNA(MATCH(M740,fa_num,0))),"Facture d'origine inconnue",IF(AND(AA740&lt;&gt;"Avoir",M740&lt;&gt;""),"« Avoir sur facture » : réservé aux avoirs",IF(AND(L740&lt;&gt;"",AA740&lt;&gt;"Facture"),"Acompte à déduire : réservé aux factures",IF(AND(L740&lt;&gt;"",ISNA(MATCH(L740,fa_num,0))),"Facture d'acompte inconnue",IF(AND(L740&lt;&gt;"",IFERROR(INDEX(fa_type,MATCH(L740,fa_num,0)),"")&lt;&gt;"Facture d'acompte"),"Le n° à déduire n'est pas une facture d'acompte",IF(AND(L740&lt;&gt;"",COUNTIF($L$6:L740,L740)&gt;1),"Acompte déjà déduit sur une autre facture",IF(AND(L740&lt;&gt;"",IFERROR(INDEX(fa_client,MATCH(L740,fa_num,0)),D740)&lt;&gt;D740),"Acompte d'un autre client",IF(AND(AR740&lt;&gt;"",N(Q740)&lt;0),"Acompte supérieur au total de la facture",IF(IF(AG740="Facture",COUNTIFS(fl_doc,A740,fl_check,"&lt;&gt;OK"),IF(AG740="Devis",COUNTIFS(dl_doc,F740,dl_check,"&lt;&gt;OK"),0))&gt;0,"Ligne(s) à corriger",IF(AND(W740&lt;&gt;"",N(W740)&lt;0),"Trop-perçu : vérifiez paiements et avoirs","OK")))))))))))))))))))))</f>
        <v/>
      </c>
      <c r="AA740" s="62" t="str">
        <f>IF(COUNTA(B740:D740,F740:O740)&gt;0,IF(B740="","Facture",B740),"")</f>
        <v/>
      </c>
      <c r="AB740" s="62" t="str">
        <f>IF(AA740="","",IF(AA740="Avoir",p_pav,IF(AA740="Facture d'acompte",p_pac,p_pfa)))</f>
        <v/>
      </c>
      <c r="AC740" s="62">
        <f>IF(ISNUMBER(C740),C740,0)</f>
        <v>0.0</v>
      </c>
      <c r="AD740" s="62" t="str">
        <f>IF(OR(AA740="",AC740=0),"",YEAR(AC740))</f>
        <v/>
      </c>
      <c r="AE740" s="62" t="str">
        <f>IF(AD740="","",COUNTIFS($AB$6:AB740,AB740,$AD$6:AD740,AD740))</f>
        <v/>
      </c>
      <c r="AF740" s="62">
        <f>IF(A740="",0,COUNTIF(fl_doc,A740))</f>
        <v>0.0</v>
      </c>
      <c r="AG740" s="62" t="str">
        <f>IF(A740="","",IF(AF740&gt;0,"Facture",IF(AND(F740&lt;&gt;"",AA740="Facture",ISNUMBER(MATCH(F740,dv_num,0))),"Devis","")))</f>
        <v/>
      </c>
      <c r="AH740" s="62" t="str">
        <f>IF(AND(A740&lt;&gt;"",F740&lt;&gt;"",AA740&lt;&gt;"Avoir"),F740,"")</f>
        <v/>
      </c>
      <c r="AI740" s="62" t="str">
        <f>IF(AG740="Devis",F740,"")</f>
        <v/>
      </c>
      <c r="AJ740" s="62">
        <f>IF(AG740="Facture",SUMIF(fl_doc,A740,fl_ht),IF(AG740="Devis",SUMIF(dl_doc,F740,dl_ht),0))</f>
        <v>0.0</v>
      </c>
      <c r="AK740" s="62">
        <f>IF(OR(AG740="",INDEX(p_rates,1)=""),0,IF(AG740="Facture",SUMIFS(fl_ht,fl_doc,A740,fl_rate,INDEX(p_rates,1)),SUMIFS(dl_ht,dl_doc,F740,dl_rate,INDEX(p_rates,1))))</f>
        <v>0.0</v>
      </c>
      <c r="AL740" s="62">
        <f>IF(OR(AG740="",INDEX(p_rates,2)=""),0,IF(AG740="Facture",SUMIFS(fl_ht,fl_doc,A740,fl_rate,INDEX(p_rates,2)),SUMIFS(dl_ht,dl_doc,F740,dl_rate,INDEX(p_rates,2))))</f>
        <v>0.0</v>
      </c>
      <c r="AM740" s="62">
        <f>IF(OR(AG740="",INDEX(p_rates,3)=""),0,IF(AG740="Facture",SUMIFS(fl_ht,fl_doc,A740,fl_rate,INDEX(p_rates,3)),SUMIFS(dl_ht,dl_doc,F740,dl_rate,INDEX(p_rates,3))))</f>
        <v>0.0</v>
      </c>
      <c r="AN740" s="62">
        <f>IF(OR(AG740="",INDEX(p_rates,4)=""),0,IF(AG740="Facture",SUMIFS(fl_ht,fl_doc,A740,fl_rate,INDEX(p_rates,4)),SUMIFS(dl_ht,dl_doc,F740,dl_rate,INDEX(p_rates,4))))</f>
        <v>0.0</v>
      </c>
      <c r="AO740" s="62">
        <f>IF(OR(AG740="",INDEX(p_rates,5)=""),0,IF(AG740="Facture",SUMIFS(fl_ht,fl_doc,A740,fl_rate,INDEX(p_rates,5)),SUMIFS(dl_ht,dl_doc,F740,dl_rate,INDEX(p_rates,5))))</f>
        <v>0.0</v>
      </c>
      <c r="AP740" s="62">
        <f>IF(OR(AG740="",INDEX(p_rates,6)=""),0,IF(AG740="Facture",SUMIFS(fl_ht,fl_doc,A740,fl_rate,INDEX(p_rates,6)),SUMIFS(dl_ht,dl_doc,F740,dl_rate,INDEX(p_rates,6))))</f>
        <v>0.0</v>
      </c>
      <c r="AQ740" s="62">
        <f>ROUND(AK740*N(INDEX(p_rates,1)),2)+ROUND(AL740*N(INDEX(p_rates,2)),2)+ROUND(AM740*N(INDEX(p_rates,3)),2)+ROUND(AN740*N(INDEX(p_rates,4)),2)+ROUND(AO740*N(INDEX(p_rates,5)),2)+ROUND(AP740*N(INDEX(p_rates,6)),2)</f>
        <v>0.0</v>
      </c>
      <c r="AR740" s="62" t="str">
        <f>IF(OR(L740="",AA740&lt;&gt;"Facture"),"",IFERROR(IF(INDEX(fa_type,MATCH(L740,fa_num,0))="Facture d'acompte",MATCH(L740,fa_num,0),""),""))</f>
        <v/>
      </c>
      <c r="AS740" s="62" t="str">
        <f>IF(W740="","",IF(W740&lt;=0,"",IF(p_asof-P740&lt;=0,"Non échu",IF(p_asof-P740&lt;=30,"1-30 j",IF(p_asof-P740&lt;=60,"31-60 j",IF(p_asof-P740&lt;=90,"61-90 j","Plus de 90 j"))))))</f>
        <v/>
      </c>
      <c r="AT740" s="62" t="str">
        <f>IF(AS740="","",p_asof-P740)</f>
        <v/>
      </c>
      <c r="AU740" s="62" t="str">
        <f>IF(AT740="","",COUNTIF($AT$6:$AT$805,"&gt;"&amp;AT740)+COUNTIF($AT$6:AT740,AT740))</f>
        <v/>
      </c>
    </row>
    <row r="741">
      <c r="A741" s="59" t="str">
        <f>IF(AE741="","",AB741&amp;"-"&amp;AD741&amp;"-"&amp;RIGHT("000"&amp;AE741,4))</f>
        <v/>
      </c>
      <c r="B741" s="60" t="n"/>
      <c r="C741" s="61" t="n"/>
      <c r="D741" s="60" t="n"/>
      <c r="E741" s="62" t="str">
        <f>IF(D741="","",IFERROR(INDEX(cli_name,MATCH(D741,cli_code,0))&amp;"","Client inconnu"))</f>
        <v/>
      </c>
      <c r="F741" s="60" t="n"/>
      <c r="G741" s="63" t="n"/>
      <c r="H741" s="61" t="n"/>
      <c r="I741" s="63" t="n"/>
      <c r="J741" s="60" t="n"/>
      <c r="K741" s="61" t="n"/>
      <c r="L741" s="60" t="n"/>
      <c r="M741" s="60" t="n"/>
      <c r="N741" s="60" t="n"/>
      <c r="O741" s="61" t="n"/>
      <c r="P741" s="64" t="str">
        <f>IF(A741="","",IF(AA741="Avoir",AC741,IF(ISNUMBER(K741),K741,AC741+IF(D741="",N(p_delay),IFERROR(IF(ISNUMBER(INDEX(cli_delay,MATCH(D741,cli_code,0))),INDEX(cli_delay,MATCH(D741,cli_code,0)),N(p_delay)),N(p_delay))))))</f>
        <v/>
      </c>
      <c r="Q741" s="65" t="str">
        <f>IF(A741="","",IF(AA741="Avoir",-1,1)*ROUND(AJ741-IF(AR741="",0,INDEX(fa_htb,AR741)),2))</f>
        <v/>
      </c>
      <c r="R741" s="65" t="str">
        <f>IF(A741="","",IF(AA741="Avoir",-1,1)*ROUND(AQ741-IF(AR741="",0,INDEX(fa_tvab,AR741)),2))</f>
        <v/>
      </c>
      <c r="S741" s="65" t="str">
        <f>IF(A741="","",Q741+R741)</f>
        <v/>
      </c>
      <c r="T741" s="65" t="str">
        <f>IF(AR741="","",INDEX(fa_htb,AR741)+INDEX(fa_tvab,AR741))</f>
        <v/>
      </c>
      <c r="U741" s="65" t="str">
        <f>IF(A741="","",SUMIF(pa_inv,A741,pa_amt))</f>
        <v/>
      </c>
      <c r="V741" s="65" t="str">
        <f>IF(OR(A741="",AA741="Avoir"),"",-SUMIFS(fa_ttc,fa_avof,A741,fa_type,"Avoir"))</f>
        <v/>
      </c>
      <c r="W741" s="65" t="str">
        <f>IF(OR(A741="",AA741="Avoir"),"",ROUND(S741-U741-V741,2))</f>
        <v/>
      </c>
      <c r="X741" s="66" t="str">
        <f>IF(W741="","",IF(AND(W741&gt;0,p_asof&gt;P741),p_asof-P741,""))</f>
        <v/>
      </c>
      <c r="Y741" s="59" t="str">
        <f>IF(A741="","",IF(AA741="Avoir","Avoir",IF(W741&lt;0,"Trop-perçu",IF(W741=0,"Soldée",IF(p_asof&gt;P741,"En retard",IF(U741+V741&gt;0,"Partielle","À échoir"))))))</f>
        <v/>
      </c>
      <c r="Z741" s="59" t="str">
        <f>IF(NOT(COUNTA(B741:D741,F741:O741)&gt;0),"",IF(C741="","Date manquante",IF(NOT(ISNUMBER(C741)),"Date invalide",IF(D741="","Client manquant",IF(ISNA(MATCH(D741,cli_code,0)),"Client inconnu",IF(AC741&lt;SUMPRODUCT(MAX(($AB$6:AB740=AB741)*$AC$6:AC740)),"Date antérieure à la facture précédente",IF(AND(F741&lt;&gt;"",ISNA(MATCH(F741,dv_num,0))),"Devis inconnu",IF(AND(F741&lt;&gt;"",IFERROR(INDEX(dv_client,MATCH(F741,dv_num,0)),D741)&lt;&gt;D741),"Client différent de celui du devis",IF(AG741="","Aucune ligne : saisissez des lignes ou un devis",IF(AND(AI741&lt;&gt;"",COUNTIF($AI$6:AI741,AI741)&gt;1),"Devis déjà repris par une autre facture",IF(AND(AA741="Avoir",M741=""),"Avoir : indiquez la facture d'origine",IF(AND(AA741="Avoir",ISNA(MATCH(M741,fa_num,0))),"Facture d'origine inconnue",IF(AND(AA741&lt;&gt;"Avoir",M741&lt;&gt;""),"« Avoir sur facture » : réservé aux avoirs",IF(AND(L741&lt;&gt;"",AA741&lt;&gt;"Facture"),"Acompte à déduire : réservé aux factures",IF(AND(L741&lt;&gt;"",ISNA(MATCH(L741,fa_num,0))),"Facture d'acompte inconnue",IF(AND(L741&lt;&gt;"",IFERROR(INDEX(fa_type,MATCH(L741,fa_num,0)),"")&lt;&gt;"Facture d'acompte"),"Le n° à déduire n'est pas une facture d'acompte",IF(AND(L741&lt;&gt;"",COUNTIF($L$6:L741,L741)&gt;1),"Acompte déjà déduit sur une autre facture",IF(AND(L741&lt;&gt;"",IFERROR(INDEX(fa_client,MATCH(L741,fa_num,0)),D741)&lt;&gt;D741),"Acompte d'un autre client",IF(AND(AR741&lt;&gt;"",N(Q741)&lt;0),"Acompte supérieur au total de la facture",IF(IF(AG741="Facture",COUNTIFS(fl_doc,A741,fl_check,"&lt;&gt;OK"),IF(AG741="Devis",COUNTIFS(dl_doc,F741,dl_check,"&lt;&gt;OK"),0))&gt;0,"Ligne(s) à corriger",IF(AND(W741&lt;&gt;"",N(W741)&lt;0),"Trop-perçu : vérifiez paiements et avoirs","OK")))))))))))))))))))))</f>
        <v/>
      </c>
      <c r="AA741" s="62" t="str">
        <f>IF(COUNTA(B741:D741,F741:O741)&gt;0,IF(B741="","Facture",B741),"")</f>
        <v/>
      </c>
      <c r="AB741" s="62" t="str">
        <f>IF(AA741="","",IF(AA741="Avoir",p_pav,IF(AA741="Facture d'acompte",p_pac,p_pfa)))</f>
        <v/>
      </c>
      <c r="AC741" s="62">
        <f>IF(ISNUMBER(C741),C741,0)</f>
        <v>0.0</v>
      </c>
      <c r="AD741" s="62" t="str">
        <f>IF(OR(AA741="",AC741=0),"",YEAR(AC741))</f>
        <v/>
      </c>
      <c r="AE741" s="62" t="str">
        <f>IF(AD741="","",COUNTIFS($AB$6:AB741,AB741,$AD$6:AD741,AD741))</f>
        <v/>
      </c>
      <c r="AF741" s="62">
        <f>IF(A741="",0,COUNTIF(fl_doc,A741))</f>
        <v>0.0</v>
      </c>
      <c r="AG741" s="62" t="str">
        <f>IF(A741="","",IF(AF741&gt;0,"Facture",IF(AND(F741&lt;&gt;"",AA741="Facture",ISNUMBER(MATCH(F741,dv_num,0))),"Devis","")))</f>
        <v/>
      </c>
      <c r="AH741" s="62" t="str">
        <f>IF(AND(A741&lt;&gt;"",F741&lt;&gt;"",AA741&lt;&gt;"Avoir"),F741,"")</f>
        <v/>
      </c>
      <c r="AI741" s="62" t="str">
        <f>IF(AG741="Devis",F741,"")</f>
        <v/>
      </c>
      <c r="AJ741" s="62">
        <f>IF(AG741="Facture",SUMIF(fl_doc,A741,fl_ht),IF(AG741="Devis",SUMIF(dl_doc,F741,dl_ht),0))</f>
        <v>0.0</v>
      </c>
      <c r="AK741" s="62">
        <f>IF(OR(AG741="",INDEX(p_rates,1)=""),0,IF(AG741="Facture",SUMIFS(fl_ht,fl_doc,A741,fl_rate,INDEX(p_rates,1)),SUMIFS(dl_ht,dl_doc,F741,dl_rate,INDEX(p_rates,1))))</f>
        <v>0.0</v>
      </c>
      <c r="AL741" s="62">
        <f>IF(OR(AG741="",INDEX(p_rates,2)=""),0,IF(AG741="Facture",SUMIFS(fl_ht,fl_doc,A741,fl_rate,INDEX(p_rates,2)),SUMIFS(dl_ht,dl_doc,F741,dl_rate,INDEX(p_rates,2))))</f>
        <v>0.0</v>
      </c>
      <c r="AM741" s="62">
        <f>IF(OR(AG741="",INDEX(p_rates,3)=""),0,IF(AG741="Facture",SUMIFS(fl_ht,fl_doc,A741,fl_rate,INDEX(p_rates,3)),SUMIFS(dl_ht,dl_doc,F741,dl_rate,INDEX(p_rates,3))))</f>
        <v>0.0</v>
      </c>
      <c r="AN741" s="62">
        <f>IF(OR(AG741="",INDEX(p_rates,4)=""),0,IF(AG741="Facture",SUMIFS(fl_ht,fl_doc,A741,fl_rate,INDEX(p_rates,4)),SUMIFS(dl_ht,dl_doc,F741,dl_rate,INDEX(p_rates,4))))</f>
        <v>0.0</v>
      </c>
      <c r="AO741" s="62">
        <f>IF(OR(AG741="",INDEX(p_rates,5)=""),0,IF(AG741="Facture",SUMIFS(fl_ht,fl_doc,A741,fl_rate,INDEX(p_rates,5)),SUMIFS(dl_ht,dl_doc,F741,dl_rate,INDEX(p_rates,5))))</f>
        <v>0.0</v>
      </c>
      <c r="AP741" s="62">
        <f>IF(OR(AG741="",INDEX(p_rates,6)=""),0,IF(AG741="Facture",SUMIFS(fl_ht,fl_doc,A741,fl_rate,INDEX(p_rates,6)),SUMIFS(dl_ht,dl_doc,F741,dl_rate,INDEX(p_rates,6))))</f>
        <v>0.0</v>
      </c>
      <c r="AQ741" s="62">
        <f>ROUND(AK741*N(INDEX(p_rates,1)),2)+ROUND(AL741*N(INDEX(p_rates,2)),2)+ROUND(AM741*N(INDEX(p_rates,3)),2)+ROUND(AN741*N(INDEX(p_rates,4)),2)+ROUND(AO741*N(INDEX(p_rates,5)),2)+ROUND(AP741*N(INDEX(p_rates,6)),2)</f>
        <v>0.0</v>
      </c>
      <c r="AR741" s="62" t="str">
        <f>IF(OR(L741="",AA741&lt;&gt;"Facture"),"",IFERROR(IF(INDEX(fa_type,MATCH(L741,fa_num,0))="Facture d'acompte",MATCH(L741,fa_num,0),""),""))</f>
        <v/>
      </c>
      <c r="AS741" s="62" t="str">
        <f>IF(W741="","",IF(W741&lt;=0,"",IF(p_asof-P741&lt;=0,"Non échu",IF(p_asof-P741&lt;=30,"1-30 j",IF(p_asof-P741&lt;=60,"31-60 j",IF(p_asof-P741&lt;=90,"61-90 j","Plus de 90 j"))))))</f>
        <v/>
      </c>
      <c r="AT741" s="62" t="str">
        <f>IF(AS741="","",p_asof-P741)</f>
        <v/>
      </c>
      <c r="AU741" s="62" t="str">
        <f>IF(AT741="","",COUNTIF($AT$6:$AT$805,"&gt;"&amp;AT741)+COUNTIF($AT$6:AT741,AT741))</f>
        <v/>
      </c>
    </row>
    <row r="742">
      <c r="A742" s="59" t="str">
        <f>IF(AE742="","",AB742&amp;"-"&amp;AD742&amp;"-"&amp;RIGHT("000"&amp;AE742,4))</f>
        <v/>
      </c>
      <c r="B742" s="60" t="n"/>
      <c r="C742" s="61" t="n"/>
      <c r="D742" s="60" t="n"/>
      <c r="E742" s="62" t="str">
        <f>IF(D742="","",IFERROR(INDEX(cli_name,MATCH(D742,cli_code,0))&amp;"","Client inconnu"))</f>
        <v/>
      </c>
      <c r="F742" s="60" t="n"/>
      <c r="G742" s="63" t="n"/>
      <c r="H742" s="61" t="n"/>
      <c r="I742" s="63" t="n"/>
      <c r="J742" s="60" t="n"/>
      <c r="K742" s="61" t="n"/>
      <c r="L742" s="60" t="n"/>
      <c r="M742" s="60" t="n"/>
      <c r="N742" s="60" t="n"/>
      <c r="O742" s="61" t="n"/>
      <c r="P742" s="64" t="str">
        <f>IF(A742="","",IF(AA742="Avoir",AC742,IF(ISNUMBER(K742),K742,AC742+IF(D742="",N(p_delay),IFERROR(IF(ISNUMBER(INDEX(cli_delay,MATCH(D742,cli_code,0))),INDEX(cli_delay,MATCH(D742,cli_code,0)),N(p_delay)),N(p_delay))))))</f>
        <v/>
      </c>
      <c r="Q742" s="65" t="str">
        <f>IF(A742="","",IF(AA742="Avoir",-1,1)*ROUND(AJ742-IF(AR742="",0,INDEX(fa_htb,AR742)),2))</f>
        <v/>
      </c>
      <c r="R742" s="65" t="str">
        <f>IF(A742="","",IF(AA742="Avoir",-1,1)*ROUND(AQ742-IF(AR742="",0,INDEX(fa_tvab,AR742)),2))</f>
        <v/>
      </c>
      <c r="S742" s="65" t="str">
        <f>IF(A742="","",Q742+R742)</f>
        <v/>
      </c>
      <c r="T742" s="65" t="str">
        <f>IF(AR742="","",INDEX(fa_htb,AR742)+INDEX(fa_tvab,AR742))</f>
        <v/>
      </c>
      <c r="U742" s="65" t="str">
        <f>IF(A742="","",SUMIF(pa_inv,A742,pa_amt))</f>
        <v/>
      </c>
      <c r="V742" s="65" t="str">
        <f>IF(OR(A742="",AA742="Avoir"),"",-SUMIFS(fa_ttc,fa_avof,A742,fa_type,"Avoir"))</f>
        <v/>
      </c>
      <c r="W742" s="65" t="str">
        <f>IF(OR(A742="",AA742="Avoir"),"",ROUND(S742-U742-V742,2))</f>
        <v/>
      </c>
      <c r="X742" s="66" t="str">
        <f>IF(W742="","",IF(AND(W742&gt;0,p_asof&gt;P742),p_asof-P742,""))</f>
        <v/>
      </c>
      <c r="Y742" s="59" t="str">
        <f>IF(A742="","",IF(AA742="Avoir","Avoir",IF(W742&lt;0,"Trop-perçu",IF(W742=0,"Soldée",IF(p_asof&gt;P742,"En retard",IF(U742+V742&gt;0,"Partielle","À échoir"))))))</f>
        <v/>
      </c>
      <c r="Z742" s="59" t="str">
        <f>IF(NOT(COUNTA(B742:D742,F742:O742)&gt;0),"",IF(C742="","Date manquante",IF(NOT(ISNUMBER(C742)),"Date invalide",IF(D742="","Client manquant",IF(ISNA(MATCH(D742,cli_code,0)),"Client inconnu",IF(AC742&lt;SUMPRODUCT(MAX(($AB$6:AB741=AB742)*$AC$6:AC741)),"Date antérieure à la facture précédente",IF(AND(F742&lt;&gt;"",ISNA(MATCH(F742,dv_num,0))),"Devis inconnu",IF(AND(F742&lt;&gt;"",IFERROR(INDEX(dv_client,MATCH(F742,dv_num,0)),D742)&lt;&gt;D742),"Client différent de celui du devis",IF(AG742="","Aucune ligne : saisissez des lignes ou un devis",IF(AND(AI742&lt;&gt;"",COUNTIF($AI$6:AI742,AI742)&gt;1),"Devis déjà repris par une autre facture",IF(AND(AA742="Avoir",M742=""),"Avoir : indiquez la facture d'origine",IF(AND(AA742="Avoir",ISNA(MATCH(M742,fa_num,0))),"Facture d'origine inconnue",IF(AND(AA742&lt;&gt;"Avoir",M742&lt;&gt;""),"« Avoir sur facture » : réservé aux avoirs",IF(AND(L742&lt;&gt;"",AA742&lt;&gt;"Facture"),"Acompte à déduire : réservé aux factures",IF(AND(L742&lt;&gt;"",ISNA(MATCH(L742,fa_num,0))),"Facture d'acompte inconnue",IF(AND(L742&lt;&gt;"",IFERROR(INDEX(fa_type,MATCH(L742,fa_num,0)),"")&lt;&gt;"Facture d'acompte"),"Le n° à déduire n'est pas une facture d'acompte",IF(AND(L742&lt;&gt;"",COUNTIF($L$6:L742,L742)&gt;1),"Acompte déjà déduit sur une autre facture",IF(AND(L742&lt;&gt;"",IFERROR(INDEX(fa_client,MATCH(L742,fa_num,0)),D742)&lt;&gt;D742),"Acompte d'un autre client",IF(AND(AR742&lt;&gt;"",N(Q742)&lt;0),"Acompte supérieur au total de la facture",IF(IF(AG742="Facture",COUNTIFS(fl_doc,A742,fl_check,"&lt;&gt;OK"),IF(AG742="Devis",COUNTIFS(dl_doc,F742,dl_check,"&lt;&gt;OK"),0))&gt;0,"Ligne(s) à corriger",IF(AND(W742&lt;&gt;"",N(W742)&lt;0),"Trop-perçu : vérifiez paiements et avoirs","OK")))))))))))))))))))))</f>
        <v/>
      </c>
      <c r="AA742" s="62" t="str">
        <f>IF(COUNTA(B742:D742,F742:O742)&gt;0,IF(B742="","Facture",B742),"")</f>
        <v/>
      </c>
      <c r="AB742" s="62" t="str">
        <f>IF(AA742="","",IF(AA742="Avoir",p_pav,IF(AA742="Facture d'acompte",p_pac,p_pfa)))</f>
        <v/>
      </c>
      <c r="AC742" s="62">
        <f>IF(ISNUMBER(C742),C742,0)</f>
        <v>0.0</v>
      </c>
      <c r="AD742" s="62" t="str">
        <f>IF(OR(AA742="",AC742=0),"",YEAR(AC742))</f>
        <v/>
      </c>
      <c r="AE742" s="62" t="str">
        <f>IF(AD742="","",COUNTIFS($AB$6:AB742,AB742,$AD$6:AD742,AD742))</f>
        <v/>
      </c>
      <c r="AF742" s="62">
        <f>IF(A742="",0,COUNTIF(fl_doc,A742))</f>
        <v>0.0</v>
      </c>
      <c r="AG742" s="62" t="str">
        <f>IF(A742="","",IF(AF742&gt;0,"Facture",IF(AND(F742&lt;&gt;"",AA742="Facture",ISNUMBER(MATCH(F742,dv_num,0))),"Devis","")))</f>
        <v/>
      </c>
      <c r="AH742" s="62" t="str">
        <f>IF(AND(A742&lt;&gt;"",F742&lt;&gt;"",AA742&lt;&gt;"Avoir"),F742,"")</f>
        <v/>
      </c>
      <c r="AI742" s="62" t="str">
        <f>IF(AG742="Devis",F742,"")</f>
        <v/>
      </c>
      <c r="AJ742" s="62">
        <f>IF(AG742="Facture",SUMIF(fl_doc,A742,fl_ht),IF(AG742="Devis",SUMIF(dl_doc,F742,dl_ht),0))</f>
        <v>0.0</v>
      </c>
      <c r="AK742" s="62">
        <f>IF(OR(AG742="",INDEX(p_rates,1)=""),0,IF(AG742="Facture",SUMIFS(fl_ht,fl_doc,A742,fl_rate,INDEX(p_rates,1)),SUMIFS(dl_ht,dl_doc,F742,dl_rate,INDEX(p_rates,1))))</f>
        <v>0.0</v>
      </c>
      <c r="AL742" s="62">
        <f>IF(OR(AG742="",INDEX(p_rates,2)=""),0,IF(AG742="Facture",SUMIFS(fl_ht,fl_doc,A742,fl_rate,INDEX(p_rates,2)),SUMIFS(dl_ht,dl_doc,F742,dl_rate,INDEX(p_rates,2))))</f>
        <v>0.0</v>
      </c>
      <c r="AM742" s="62">
        <f>IF(OR(AG742="",INDEX(p_rates,3)=""),0,IF(AG742="Facture",SUMIFS(fl_ht,fl_doc,A742,fl_rate,INDEX(p_rates,3)),SUMIFS(dl_ht,dl_doc,F742,dl_rate,INDEX(p_rates,3))))</f>
        <v>0.0</v>
      </c>
      <c r="AN742" s="62">
        <f>IF(OR(AG742="",INDEX(p_rates,4)=""),0,IF(AG742="Facture",SUMIFS(fl_ht,fl_doc,A742,fl_rate,INDEX(p_rates,4)),SUMIFS(dl_ht,dl_doc,F742,dl_rate,INDEX(p_rates,4))))</f>
        <v>0.0</v>
      </c>
      <c r="AO742" s="62">
        <f>IF(OR(AG742="",INDEX(p_rates,5)=""),0,IF(AG742="Facture",SUMIFS(fl_ht,fl_doc,A742,fl_rate,INDEX(p_rates,5)),SUMIFS(dl_ht,dl_doc,F742,dl_rate,INDEX(p_rates,5))))</f>
        <v>0.0</v>
      </c>
      <c r="AP742" s="62">
        <f>IF(OR(AG742="",INDEX(p_rates,6)=""),0,IF(AG742="Facture",SUMIFS(fl_ht,fl_doc,A742,fl_rate,INDEX(p_rates,6)),SUMIFS(dl_ht,dl_doc,F742,dl_rate,INDEX(p_rates,6))))</f>
        <v>0.0</v>
      </c>
      <c r="AQ742" s="62">
        <f>ROUND(AK742*N(INDEX(p_rates,1)),2)+ROUND(AL742*N(INDEX(p_rates,2)),2)+ROUND(AM742*N(INDEX(p_rates,3)),2)+ROUND(AN742*N(INDEX(p_rates,4)),2)+ROUND(AO742*N(INDEX(p_rates,5)),2)+ROUND(AP742*N(INDEX(p_rates,6)),2)</f>
        <v>0.0</v>
      </c>
      <c r="AR742" s="62" t="str">
        <f>IF(OR(L742="",AA742&lt;&gt;"Facture"),"",IFERROR(IF(INDEX(fa_type,MATCH(L742,fa_num,0))="Facture d'acompte",MATCH(L742,fa_num,0),""),""))</f>
        <v/>
      </c>
      <c r="AS742" s="62" t="str">
        <f>IF(W742="","",IF(W742&lt;=0,"",IF(p_asof-P742&lt;=0,"Non échu",IF(p_asof-P742&lt;=30,"1-30 j",IF(p_asof-P742&lt;=60,"31-60 j",IF(p_asof-P742&lt;=90,"61-90 j","Plus de 90 j"))))))</f>
        <v/>
      </c>
      <c r="AT742" s="62" t="str">
        <f>IF(AS742="","",p_asof-P742)</f>
        <v/>
      </c>
      <c r="AU742" s="62" t="str">
        <f>IF(AT742="","",COUNTIF($AT$6:$AT$805,"&gt;"&amp;AT742)+COUNTIF($AT$6:AT742,AT742))</f>
        <v/>
      </c>
    </row>
    <row r="743">
      <c r="A743" s="59" t="str">
        <f>IF(AE743="","",AB743&amp;"-"&amp;AD743&amp;"-"&amp;RIGHT("000"&amp;AE743,4))</f>
        <v/>
      </c>
      <c r="B743" s="60" t="n"/>
      <c r="C743" s="61" t="n"/>
      <c r="D743" s="60" t="n"/>
      <c r="E743" s="62" t="str">
        <f>IF(D743="","",IFERROR(INDEX(cli_name,MATCH(D743,cli_code,0))&amp;"","Client inconnu"))</f>
        <v/>
      </c>
      <c r="F743" s="60" t="n"/>
      <c r="G743" s="63" t="n"/>
      <c r="H743" s="61" t="n"/>
      <c r="I743" s="63" t="n"/>
      <c r="J743" s="60" t="n"/>
      <c r="K743" s="61" t="n"/>
      <c r="L743" s="60" t="n"/>
      <c r="M743" s="60" t="n"/>
      <c r="N743" s="60" t="n"/>
      <c r="O743" s="61" t="n"/>
      <c r="P743" s="64" t="str">
        <f>IF(A743="","",IF(AA743="Avoir",AC743,IF(ISNUMBER(K743),K743,AC743+IF(D743="",N(p_delay),IFERROR(IF(ISNUMBER(INDEX(cli_delay,MATCH(D743,cli_code,0))),INDEX(cli_delay,MATCH(D743,cli_code,0)),N(p_delay)),N(p_delay))))))</f>
        <v/>
      </c>
      <c r="Q743" s="65" t="str">
        <f>IF(A743="","",IF(AA743="Avoir",-1,1)*ROUND(AJ743-IF(AR743="",0,INDEX(fa_htb,AR743)),2))</f>
        <v/>
      </c>
      <c r="R743" s="65" t="str">
        <f>IF(A743="","",IF(AA743="Avoir",-1,1)*ROUND(AQ743-IF(AR743="",0,INDEX(fa_tvab,AR743)),2))</f>
        <v/>
      </c>
      <c r="S743" s="65" t="str">
        <f>IF(A743="","",Q743+R743)</f>
        <v/>
      </c>
      <c r="T743" s="65" t="str">
        <f>IF(AR743="","",INDEX(fa_htb,AR743)+INDEX(fa_tvab,AR743))</f>
        <v/>
      </c>
      <c r="U743" s="65" t="str">
        <f>IF(A743="","",SUMIF(pa_inv,A743,pa_amt))</f>
        <v/>
      </c>
      <c r="V743" s="65" t="str">
        <f>IF(OR(A743="",AA743="Avoir"),"",-SUMIFS(fa_ttc,fa_avof,A743,fa_type,"Avoir"))</f>
        <v/>
      </c>
      <c r="W743" s="65" t="str">
        <f>IF(OR(A743="",AA743="Avoir"),"",ROUND(S743-U743-V743,2))</f>
        <v/>
      </c>
      <c r="X743" s="66" t="str">
        <f>IF(W743="","",IF(AND(W743&gt;0,p_asof&gt;P743),p_asof-P743,""))</f>
        <v/>
      </c>
      <c r="Y743" s="59" t="str">
        <f>IF(A743="","",IF(AA743="Avoir","Avoir",IF(W743&lt;0,"Trop-perçu",IF(W743=0,"Soldée",IF(p_asof&gt;P743,"En retard",IF(U743+V743&gt;0,"Partielle","À échoir"))))))</f>
        <v/>
      </c>
      <c r="Z743" s="59" t="str">
        <f>IF(NOT(COUNTA(B743:D743,F743:O743)&gt;0),"",IF(C743="","Date manquante",IF(NOT(ISNUMBER(C743)),"Date invalide",IF(D743="","Client manquant",IF(ISNA(MATCH(D743,cli_code,0)),"Client inconnu",IF(AC743&lt;SUMPRODUCT(MAX(($AB$6:AB742=AB743)*$AC$6:AC742)),"Date antérieure à la facture précédente",IF(AND(F743&lt;&gt;"",ISNA(MATCH(F743,dv_num,0))),"Devis inconnu",IF(AND(F743&lt;&gt;"",IFERROR(INDEX(dv_client,MATCH(F743,dv_num,0)),D743)&lt;&gt;D743),"Client différent de celui du devis",IF(AG743="","Aucune ligne : saisissez des lignes ou un devis",IF(AND(AI743&lt;&gt;"",COUNTIF($AI$6:AI743,AI743)&gt;1),"Devis déjà repris par une autre facture",IF(AND(AA743="Avoir",M743=""),"Avoir : indiquez la facture d'origine",IF(AND(AA743="Avoir",ISNA(MATCH(M743,fa_num,0))),"Facture d'origine inconnue",IF(AND(AA743&lt;&gt;"Avoir",M743&lt;&gt;""),"« Avoir sur facture » : réservé aux avoirs",IF(AND(L743&lt;&gt;"",AA743&lt;&gt;"Facture"),"Acompte à déduire : réservé aux factures",IF(AND(L743&lt;&gt;"",ISNA(MATCH(L743,fa_num,0))),"Facture d'acompte inconnue",IF(AND(L743&lt;&gt;"",IFERROR(INDEX(fa_type,MATCH(L743,fa_num,0)),"")&lt;&gt;"Facture d'acompte"),"Le n° à déduire n'est pas une facture d'acompte",IF(AND(L743&lt;&gt;"",COUNTIF($L$6:L743,L743)&gt;1),"Acompte déjà déduit sur une autre facture",IF(AND(L743&lt;&gt;"",IFERROR(INDEX(fa_client,MATCH(L743,fa_num,0)),D743)&lt;&gt;D743),"Acompte d'un autre client",IF(AND(AR743&lt;&gt;"",N(Q743)&lt;0),"Acompte supérieur au total de la facture",IF(IF(AG743="Facture",COUNTIFS(fl_doc,A743,fl_check,"&lt;&gt;OK"),IF(AG743="Devis",COUNTIFS(dl_doc,F743,dl_check,"&lt;&gt;OK"),0))&gt;0,"Ligne(s) à corriger",IF(AND(W743&lt;&gt;"",N(W743)&lt;0),"Trop-perçu : vérifiez paiements et avoirs","OK")))))))))))))))))))))</f>
        <v/>
      </c>
      <c r="AA743" s="62" t="str">
        <f>IF(COUNTA(B743:D743,F743:O743)&gt;0,IF(B743="","Facture",B743),"")</f>
        <v/>
      </c>
      <c r="AB743" s="62" t="str">
        <f>IF(AA743="","",IF(AA743="Avoir",p_pav,IF(AA743="Facture d'acompte",p_pac,p_pfa)))</f>
        <v/>
      </c>
      <c r="AC743" s="62">
        <f>IF(ISNUMBER(C743),C743,0)</f>
        <v>0.0</v>
      </c>
      <c r="AD743" s="62" t="str">
        <f>IF(OR(AA743="",AC743=0),"",YEAR(AC743))</f>
        <v/>
      </c>
      <c r="AE743" s="62" t="str">
        <f>IF(AD743="","",COUNTIFS($AB$6:AB743,AB743,$AD$6:AD743,AD743))</f>
        <v/>
      </c>
      <c r="AF743" s="62">
        <f>IF(A743="",0,COUNTIF(fl_doc,A743))</f>
        <v>0.0</v>
      </c>
      <c r="AG743" s="62" t="str">
        <f>IF(A743="","",IF(AF743&gt;0,"Facture",IF(AND(F743&lt;&gt;"",AA743="Facture",ISNUMBER(MATCH(F743,dv_num,0))),"Devis","")))</f>
        <v/>
      </c>
      <c r="AH743" s="62" t="str">
        <f>IF(AND(A743&lt;&gt;"",F743&lt;&gt;"",AA743&lt;&gt;"Avoir"),F743,"")</f>
        <v/>
      </c>
      <c r="AI743" s="62" t="str">
        <f>IF(AG743="Devis",F743,"")</f>
        <v/>
      </c>
      <c r="AJ743" s="62">
        <f>IF(AG743="Facture",SUMIF(fl_doc,A743,fl_ht),IF(AG743="Devis",SUMIF(dl_doc,F743,dl_ht),0))</f>
        <v>0.0</v>
      </c>
      <c r="AK743" s="62">
        <f>IF(OR(AG743="",INDEX(p_rates,1)=""),0,IF(AG743="Facture",SUMIFS(fl_ht,fl_doc,A743,fl_rate,INDEX(p_rates,1)),SUMIFS(dl_ht,dl_doc,F743,dl_rate,INDEX(p_rates,1))))</f>
        <v>0.0</v>
      </c>
      <c r="AL743" s="62">
        <f>IF(OR(AG743="",INDEX(p_rates,2)=""),0,IF(AG743="Facture",SUMIFS(fl_ht,fl_doc,A743,fl_rate,INDEX(p_rates,2)),SUMIFS(dl_ht,dl_doc,F743,dl_rate,INDEX(p_rates,2))))</f>
        <v>0.0</v>
      </c>
      <c r="AM743" s="62">
        <f>IF(OR(AG743="",INDEX(p_rates,3)=""),0,IF(AG743="Facture",SUMIFS(fl_ht,fl_doc,A743,fl_rate,INDEX(p_rates,3)),SUMIFS(dl_ht,dl_doc,F743,dl_rate,INDEX(p_rates,3))))</f>
        <v>0.0</v>
      </c>
      <c r="AN743" s="62">
        <f>IF(OR(AG743="",INDEX(p_rates,4)=""),0,IF(AG743="Facture",SUMIFS(fl_ht,fl_doc,A743,fl_rate,INDEX(p_rates,4)),SUMIFS(dl_ht,dl_doc,F743,dl_rate,INDEX(p_rates,4))))</f>
        <v>0.0</v>
      </c>
      <c r="AO743" s="62">
        <f>IF(OR(AG743="",INDEX(p_rates,5)=""),0,IF(AG743="Facture",SUMIFS(fl_ht,fl_doc,A743,fl_rate,INDEX(p_rates,5)),SUMIFS(dl_ht,dl_doc,F743,dl_rate,INDEX(p_rates,5))))</f>
        <v>0.0</v>
      </c>
      <c r="AP743" s="62">
        <f>IF(OR(AG743="",INDEX(p_rates,6)=""),0,IF(AG743="Facture",SUMIFS(fl_ht,fl_doc,A743,fl_rate,INDEX(p_rates,6)),SUMIFS(dl_ht,dl_doc,F743,dl_rate,INDEX(p_rates,6))))</f>
        <v>0.0</v>
      </c>
      <c r="AQ743" s="62">
        <f>ROUND(AK743*N(INDEX(p_rates,1)),2)+ROUND(AL743*N(INDEX(p_rates,2)),2)+ROUND(AM743*N(INDEX(p_rates,3)),2)+ROUND(AN743*N(INDEX(p_rates,4)),2)+ROUND(AO743*N(INDEX(p_rates,5)),2)+ROUND(AP743*N(INDEX(p_rates,6)),2)</f>
        <v>0.0</v>
      </c>
      <c r="AR743" s="62" t="str">
        <f>IF(OR(L743="",AA743&lt;&gt;"Facture"),"",IFERROR(IF(INDEX(fa_type,MATCH(L743,fa_num,0))="Facture d'acompte",MATCH(L743,fa_num,0),""),""))</f>
        <v/>
      </c>
      <c r="AS743" s="62" t="str">
        <f>IF(W743="","",IF(W743&lt;=0,"",IF(p_asof-P743&lt;=0,"Non échu",IF(p_asof-P743&lt;=30,"1-30 j",IF(p_asof-P743&lt;=60,"31-60 j",IF(p_asof-P743&lt;=90,"61-90 j","Plus de 90 j"))))))</f>
        <v/>
      </c>
      <c r="AT743" s="62" t="str">
        <f>IF(AS743="","",p_asof-P743)</f>
        <v/>
      </c>
      <c r="AU743" s="62" t="str">
        <f>IF(AT743="","",COUNTIF($AT$6:$AT$805,"&gt;"&amp;AT743)+COUNTIF($AT$6:AT743,AT743))</f>
        <v/>
      </c>
    </row>
    <row r="744">
      <c r="A744" s="59" t="str">
        <f>IF(AE744="","",AB744&amp;"-"&amp;AD744&amp;"-"&amp;RIGHT("000"&amp;AE744,4))</f>
        <v/>
      </c>
      <c r="B744" s="60" t="n"/>
      <c r="C744" s="61" t="n"/>
      <c r="D744" s="60" t="n"/>
      <c r="E744" s="62" t="str">
        <f>IF(D744="","",IFERROR(INDEX(cli_name,MATCH(D744,cli_code,0))&amp;"","Client inconnu"))</f>
        <v/>
      </c>
      <c r="F744" s="60" t="n"/>
      <c r="G744" s="63" t="n"/>
      <c r="H744" s="61" t="n"/>
      <c r="I744" s="63" t="n"/>
      <c r="J744" s="60" t="n"/>
      <c r="K744" s="61" t="n"/>
      <c r="L744" s="60" t="n"/>
      <c r="M744" s="60" t="n"/>
      <c r="N744" s="60" t="n"/>
      <c r="O744" s="61" t="n"/>
      <c r="P744" s="64" t="str">
        <f>IF(A744="","",IF(AA744="Avoir",AC744,IF(ISNUMBER(K744),K744,AC744+IF(D744="",N(p_delay),IFERROR(IF(ISNUMBER(INDEX(cli_delay,MATCH(D744,cli_code,0))),INDEX(cli_delay,MATCH(D744,cli_code,0)),N(p_delay)),N(p_delay))))))</f>
        <v/>
      </c>
      <c r="Q744" s="65" t="str">
        <f>IF(A744="","",IF(AA744="Avoir",-1,1)*ROUND(AJ744-IF(AR744="",0,INDEX(fa_htb,AR744)),2))</f>
        <v/>
      </c>
      <c r="R744" s="65" t="str">
        <f>IF(A744="","",IF(AA744="Avoir",-1,1)*ROUND(AQ744-IF(AR744="",0,INDEX(fa_tvab,AR744)),2))</f>
        <v/>
      </c>
      <c r="S744" s="65" t="str">
        <f>IF(A744="","",Q744+R744)</f>
        <v/>
      </c>
      <c r="T744" s="65" t="str">
        <f>IF(AR744="","",INDEX(fa_htb,AR744)+INDEX(fa_tvab,AR744))</f>
        <v/>
      </c>
      <c r="U744" s="65" t="str">
        <f>IF(A744="","",SUMIF(pa_inv,A744,pa_amt))</f>
        <v/>
      </c>
      <c r="V744" s="65" t="str">
        <f>IF(OR(A744="",AA744="Avoir"),"",-SUMIFS(fa_ttc,fa_avof,A744,fa_type,"Avoir"))</f>
        <v/>
      </c>
      <c r="W744" s="65" t="str">
        <f>IF(OR(A744="",AA744="Avoir"),"",ROUND(S744-U744-V744,2))</f>
        <v/>
      </c>
      <c r="X744" s="66" t="str">
        <f>IF(W744="","",IF(AND(W744&gt;0,p_asof&gt;P744),p_asof-P744,""))</f>
        <v/>
      </c>
      <c r="Y744" s="59" t="str">
        <f>IF(A744="","",IF(AA744="Avoir","Avoir",IF(W744&lt;0,"Trop-perçu",IF(W744=0,"Soldée",IF(p_asof&gt;P744,"En retard",IF(U744+V744&gt;0,"Partielle","À échoir"))))))</f>
        <v/>
      </c>
      <c r="Z744" s="59" t="str">
        <f>IF(NOT(COUNTA(B744:D744,F744:O744)&gt;0),"",IF(C744="","Date manquante",IF(NOT(ISNUMBER(C744)),"Date invalide",IF(D744="","Client manquant",IF(ISNA(MATCH(D744,cli_code,0)),"Client inconnu",IF(AC744&lt;SUMPRODUCT(MAX(($AB$6:AB743=AB744)*$AC$6:AC743)),"Date antérieure à la facture précédente",IF(AND(F744&lt;&gt;"",ISNA(MATCH(F744,dv_num,0))),"Devis inconnu",IF(AND(F744&lt;&gt;"",IFERROR(INDEX(dv_client,MATCH(F744,dv_num,0)),D744)&lt;&gt;D744),"Client différent de celui du devis",IF(AG744="","Aucune ligne : saisissez des lignes ou un devis",IF(AND(AI744&lt;&gt;"",COUNTIF($AI$6:AI744,AI744)&gt;1),"Devis déjà repris par une autre facture",IF(AND(AA744="Avoir",M744=""),"Avoir : indiquez la facture d'origine",IF(AND(AA744="Avoir",ISNA(MATCH(M744,fa_num,0))),"Facture d'origine inconnue",IF(AND(AA744&lt;&gt;"Avoir",M744&lt;&gt;""),"« Avoir sur facture » : réservé aux avoirs",IF(AND(L744&lt;&gt;"",AA744&lt;&gt;"Facture"),"Acompte à déduire : réservé aux factures",IF(AND(L744&lt;&gt;"",ISNA(MATCH(L744,fa_num,0))),"Facture d'acompte inconnue",IF(AND(L744&lt;&gt;"",IFERROR(INDEX(fa_type,MATCH(L744,fa_num,0)),"")&lt;&gt;"Facture d'acompte"),"Le n° à déduire n'est pas une facture d'acompte",IF(AND(L744&lt;&gt;"",COUNTIF($L$6:L744,L744)&gt;1),"Acompte déjà déduit sur une autre facture",IF(AND(L744&lt;&gt;"",IFERROR(INDEX(fa_client,MATCH(L744,fa_num,0)),D744)&lt;&gt;D744),"Acompte d'un autre client",IF(AND(AR744&lt;&gt;"",N(Q744)&lt;0),"Acompte supérieur au total de la facture",IF(IF(AG744="Facture",COUNTIFS(fl_doc,A744,fl_check,"&lt;&gt;OK"),IF(AG744="Devis",COUNTIFS(dl_doc,F744,dl_check,"&lt;&gt;OK"),0))&gt;0,"Ligne(s) à corriger",IF(AND(W744&lt;&gt;"",N(W744)&lt;0),"Trop-perçu : vérifiez paiements et avoirs","OK")))))))))))))))))))))</f>
        <v/>
      </c>
      <c r="AA744" s="62" t="str">
        <f>IF(COUNTA(B744:D744,F744:O744)&gt;0,IF(B744="","Facture",B744),"")</f>
        <v/>
      </c>
      <c r="AB744" s="62" t="str">
        <f>IF(AA744="","",IF(AA744="Avoir",p_pav,IF(AA744="Facture d'acompte",p_pac,p_pfa)))</f>
        <v/>
      </c>
      <c r="AC744" s="62">
        <f>IF(ISNUMBER(C744),C744,0)</f>
        <v>0.0</v>
      </c>
      <c r="AD744" s="62" t="str">
        <f>IF(OR(AA744="",AC744=0),"",YEAR(AC744))</f>
        <v/>
      </c>
      <c r="AE744" s="62" t="str">
        <f>IF(AD744="","",COUNTIFS($AB$6:AB744,AB744,$AD$6:AD744,AD744))</f>
        <v/>
      </c>
      <c r="AF744" s="62">
        <f>IF(A744="",0,COUNTIF(fl_doc,A744))</f>
        <v>0.0</v>
      </c>
      <c r="AG744" s="62" t="str">
        <f>IF(A744="","",IF(AF744&gt;0,"Facture",IF(AND(F744&lt;&gt;"",AA744="Facture",ISNUMBER(MATCH(F744,dv_num,0))),"Devis","")))</f>
        <v/>
      </c>
      <c r="AH744" s="62" t="str">
        <f>IF(AND(A744&lt;&gt;"",F744&lt;&gt;"",AA744&lt;&gt;"Avoir"),F744,"")</f>
        <v/>
      </c>
      <c r="AI744" s="62" t="str">
        <f>IF(AG744="Devis",F744,"")</f>
        <v/>
      </c>
      <c r="AJ744" s="62">
        <f>IF(AG744="Facture",SUMIF(fl_doc,A744,fl_ht),IF(AG744="Devis",SUMIF(dl_doc,F744,dl_ht),0))</f>
        <v>0.0</v>
      </c>
      <c r="AK744" s="62">
        <f>IF(OR(AG744="",INDEX(p_rates,1)=""),0,IF(AG744="Facture",SUMIFS(fl_ht,fl_doc,A744,fl_rate,INDEX(p_rates,1)),SUMIFS(dl_ht,dl_doc,F744,dl_rate,INDEX(p_rates,1))))</f>
        <v>0.0</v>
      </c>
      <c r="AL744" s="62">
        <f>IF(OR(AG744="",INDEX(p_rates,2)=""),0,IF(AG744="Facture",SUMIFS(fl_ht,fl_doc,A744,fl_rate,INDEX(p_rates,2)),SUMIFS(dl_ht,dl_doc,F744,dl_rate,INDEX(p_rates,2))))</f>
        <v>0.0</v>
      </c>
      <c r="AM744" s="62">
        <f>IF(OR(AG744="",INDEX(p_rates,3)=""),0,IF(AG744="Facture",SUMIFS(fl_ht,fl_doc,A744,fl_rate,INDEX(p_rates,3)),SUMIFS(dl_ht,dl_doc,F744,dl_rate,INDEX(p_rates,3))))</f>
        <v>0.0</v>
      </c>
      <c r="AN744" s="62">
        <f>IF(OR(AG744="",INDEX(p_rates,4)=""),0,IF(AG744="Facture",SUMIFS(fl_ht,fl_doc,A744,fl_rate,INDEX(p_rates,4)),SUMIFS(dl_ht,dl_doc,F744,dl_rate,INDEX(p_rates,4))))</f>
        <v>0.0</v>
      </c>
      <c r="AO744" s="62">
        <f>IF(OR(AG744="",INDEX(p_rates,5)=""),0,IF(AG744="Facture",SUMIFS(fl_ht,fl_doc,A744,fl_rate,INDEX(p_rates,5)),SUMIFS(dl_ht,dl_doc,F744,dl_rate,INDEX(p_rates,5))))</f>
        <v>0.0</v>
      </c>
      <c r="AP744" s="62">
        <f>IF(OR(AG744="",INDEX(p_rates,6)=""),0,IF(AG744="Facture",SUMIFS(fl_ht,fl_doc,A744,fl_rate,INDEX(p_rates,6)),SUMIFS(dl_ht,dl_doc,F744,dl_rate,INDEX(p_rates,6))))</f>
        <v>0.0</v>
      </c>
      <c r="AQ744" s="62">
        <f>ROUND(AK744*N(INDEX(p_rates,1)),2)+ROUND(AL744*N(INDEX(p_rates,2)),2)+ROUND(AM744*N(INDEX(p_rates,3)),2)+ROUND(AN744*N(INDEX(p_rates,4)),2)+ROUND(AO744*N(INDEX(p_rates,5)),2)+ROUND(AP744*N(INDEX(p_rates,6)),2)</f>
        <v>0.0</v>
      </c>
      <c r="AR744" s="62" t="str">
        <f>IF(OR(L744="",AA744&lt;&gt;"Facture"),"",IFERROR(IF(INDEX(fa_type,MATCH(L744,fa_num,0))="Facture d'acompte",MATCH(L744,fa_num,0),""),""))</f>
        <v/>
      </c>
      <c r="AS744" s="62" t="str">
        <f>IF(W744="","",IF(W744&lt;=0,"",IF(p_asof-P744&lt;=0,"Non échu",IF(p_asof-P744&lt;=30,"1-30 j",IF(p_asof-P744&lt;=60,"31-60 j",IF(p_asof-P744&lt;=90,"61-90 j","Plus de 90 j"))))))</f>
        <v/>
      </c>
      <c r="AT744" s="62" t="str">
        <f>IF(AS744="","",p_asof-P744)</f>
        <v/>
      </c>
      <c r="AU744" s="62" t="str">
        <f>IF(AT744="","",COUNTIF($AT$6:$AT$805,"&gt;"&amp;AT744)+COUNTIF($AT$6:AT744,AT744))</f>
        <v/>
      </c>
    </row>
    <row r="745">
      <c r="A745" s="59" t="str">
        <f>IF(AE745="","",AB745&amp;"-"&amp;AD745&amp;"-"&amp;RIGHT("000"&amp;AE745,4))</f>
        <v/>
      </c>
      <c r="B745" s="60" t="n"/>
      <c r="C745" s="61" t="n"/>
      <c r="D745" s="60" t="n"/>
      <c r="E745" s="62" t="str">
        <f>IF(D745="","",IFERROR(INDEX(cli_name,MATCH(D745,cli_code,0))&amp;"","Client inconnu"))</f>
        <v/>
      </c>
      <c r="F745" s="60" t="n"/>
      <c r="G745" s="63" t="n"/>
      <c r="H745" s="61" t="n"/>
      <c r="I745" s="63" t="n"/>
      <c r="J745" s="60" t="n"/>
      <c r="K745" s="61" t="n"/>
      <c r="L745" s="60" t="n"/>
      <c r="M745" s="60" t="n"/>
      <c r="N745" s="60" t="n"/>
      <c r="O745" s="61" t="n"/>
      <c r="P745" s="64" t="str">
        <f>IF(A745="","",IF(AA745="Avoir",AC745,IF(ISNUMBER(K745),K745,AC745+IF(D745="",N(p_delay),IFERROR(IF(ISNUMBER(INDEX(cli_delay,MATCH(D745,cli_code,0))),INDEX(cli_delay,MATCH(D745,cli_code,0)),N(p_delay)),N(p_delay))))))</f>
        <v/>
      </c>
      <c r="Q745" s="65" t="str">
        <f>IF(A745="","",IF(AA745="Avoir",-1,1)*ROUND(AJ745-IF(AR745="",0,INDEX(fa_htb,AR745)),2))</f>
        <v/>
      </c>
      <c r="R745" s="65" t="str">
        <f>IF(A745="","",IF(AA745="Avoir",-1,1)*ROUND(AQ745-IF(AR745="",0,INDEX(fa_tvab,AR745)),2))</f>
        <v/>
      </c>
      <c r="S745" s="65" t="str">
        <f>IF(A745="","",Q745+R745)</f>
        <v/>
      </c>
      <c r="T745" s="65" t="str">
        <f>IF(AR745="","",INDEX(fa_htb,AR745)+INDEX(fa_tvab,AR745))</f>
        <v/>
      </c>
      <c r="U745" s="65" t="str">
        <f>IF(A745="","",SUMIF(pa_inv,A745,pa_amt))</f>
        <v/>
      </c>
      <c r="V745" s="65" t="str">
        <f>IF(OR(A745="",AA745="Avoir"),"",-SUMIFS(fa_ttc,fa_avof,A745,fa_type,"Avoir"))</f>
        <v/>
      </c>
      <c r="W745" s="65" t="str">
        <f>IF(OR(A745="",AA745="Avoir"),"",ROUND(S745-U745-V745,2))</f>
        <v/>
      </c>
      <c r="X745" s="66" t="str">
        <f>IF(W745="","",IF(AND(W745&gt;0,p_asof&gt;P745),p_asof-P745,""))</f>
        <v/>
      </c>
      <c r="Y745" s="59" t="str">
        <f>IF(A745="","",IF(AA745="Avoir","Avoir",IF(W745&lt;0,"Trop-perçu",IF(W745=0,"Soldée",IF(p_asof&gt;P745,"En retard",IF(U745+V745&gt;0,"Partielle","À échoir"))))))</f>
        <v/>
      </c>
      <c r="Z745" s="59" t="str">
        <f>IF(NOT(COUNTA(B745:D745,F745:O745)&gt;0),"",IF(C745="","Date manquante",IF(NOT(ISNUMBER(C745)),"Date invalide",IF(D745="","Client manquant",IF(ISNA(MATCH(D745,cli_code,0)),"Client inconnu",IF(AC745&lt;SUMPRODUCT(MAX(($AB$6:AB744=AB745)*$AC$6:AC744)),"Date antérieure à la facture précédente",IF(AND(F745&lt;&gt;"",ISNA(MATCH(F745,dv_num,0))),"Devis inconnu",IF(AND(F745&lt;&gt;"",IFERROR(INDEX(dv_client,MATCH(F745,dv_num,0)),D745)&lt;&gt;D745),"Client différent de celui du devis",IF(AG745="","Aucune ligne : saisissez des lignes ou un devis",IF(AND(AI745&lt;&gt;"",COUNTIF($AI$6:AI745,AI745)&gt;1),"Devis déjà repris par une autre facture",IF(AND(AA745="Avoir",M745=""),"Avoir : indiquez la facture d'origine",IF(AND(AA745="Avoir",ISNA(MATCH(M745,fa_num,0))),"Facture d'origine inconnue",IF(AND(AA745&lt;&gt;"Avoir",M745&lt;&gt;""),"« Avoir sur facture » : réservé aux avoirs",IF(AND(L745&lt;&gt;"",AA745&lt;&gt;"Facture"),"Acompte à déduire : réservé aux factures",IF(AND(L745&lt;&gt;"",ISNA(MATCH(L745,fa_num,0))),"Facture d'acompte inconnue",IF(AND(L745&lt;&gt;"",IFERROR(INDEX(fa_type,MATCH(L745,fa_num,0)),"")&lt;&gt;"Facture d'acompte"),"Le n° à déduire n'est pas une facture d'acompte",IF(AND(L745&lt;&gt;"",COUNTIF($L$6:L745,L745)&gt;1),"Acompte déjà déduit sur une autre facture",IF(AND(L745&lt;&gt;"",IFERROR(INDEX(fa_client,MATCH(L745,fa_num,0)),D745)&lt;&gt;D745),"Acompte d'un autre client",IF(AND(AR745&lt;&gt;"",N(Q745)&lt;0),"Acompte supérieur au total de la facture",IF(IF(AG745="Facture",COUNTIFS(fl_doc,A745,fl_check,"&lt;&gt;OK"),IF(AG745="Devis",COUNTIFS(dl_doc,F745,dl_check,"&lt;&gt;OK"),0))&gt;0,"Ligne(s) à corriger",IF(AND(W745&lt;&gt;"",N(W745)&lt;0),"Trop-perçu : vérifiez paiements et avoirs","OK")))))))))))))))))))))</f>
        <v/>
      </c>
      <c r="AA745" s="62" t="str">
        <f>IF(COUNTA(B745:D745,F745:O745)&gt;0,IF(B745="","Facture",B745),"")</f>
        <v/>
      </c>
      <c r="AB745" s="62" t="str">
        <f>IF(AA745="","",IF(AA745="Avoir",p_pav,IF(AA745="Facture d'acompte",p_pac,p_pfa)))</f>
        <v/>
      </c>
      <c r="AC745" s="62">
        <f>IF(ISNUMBER(C745),C745,0)</f>
        <v>0.0</v>
      </c>
      <c r="AD745" s="62" t="str">
        <f>IF(OR(AA745="",AC745=0),"",YEAR(AC745))</f>
        <v/>
      </c>
      <c r="AE745" s="62" t="str">
        <f>IF(AD745="","",COUNTIFS($AB$6:AB745,AB745,$AD$6:AD745,AD745))</f>
        <v/>
      </c>
      <c r="AF745" s="62">
        <f>IF(A745="",0,COUNTIF(fl_doc,A745))</f>
        <v>0.0</v>
      </c>
      <c r="AG745" s="62" t="str">
        <f>IF(A745="","",IF(AF745&gt;0,"Facture",IF(AND(F745&lt;&gt;"",AA745="Facture",ISNUMBER(MATCH(F745,dv_num,0))),"Devis","")))</f>
        <v/>
      </c>
      <c r="AH745" s="62" t="str">
        <f>IF(AND(A745&lt;&gt;"",F745&lt;&gt;"",AA745&lt;&gt;"Avoir"),F745,"")</f>
        <v/>
      </c>
      <c r="AI745" s="62" t="str">
        <f>IF(AG745="Devis",F745,"")</f>
        <v/>
      </c>
      <c r="AJ745" s="62">
        <f>IF(AG745="Facture",SUMIF(fl_doc,A745,fl_ht),IF(AG745="Devis",SUMIF(dl_doc,F745,dl_ht),0))</f>
        <v>0.0</v>
      </c>
      <c r="AK745" s="62">
        <f>IF(OR(AG745="",INDEX(p_rates,1)=""),0,IF(AG745="Facture",SUMIFS(fl_ht,fl_doc,A745,fl_rate,INDEX(p_rates,1)),SUMIFS(dl_ht,dl_doc,F745,dl_rate,INDEX(p_rates,1))))</f>
        <v>0.0</v>
      </c>
      <c r="AL745" s="62">
        <f>IF(OR(AG745="",INDEX(p_rates,2)=""),0,IF(AG745="Facture",SUMIFS(fl_ht,fl_doc,A745,fl_rate,INDEX(p_rates,2)),SUMIFS(dl_ht,dl_doc,F745,dl_rate,INDEX(p_rates,2))))</f>
        <v>0.0</v>
      </c>
      <c r="AM745" s="62">
        <f>IF(OR(AG745="",INDEX(p_rates,3)=""),0,IF(AG745="Facture",SUMIFS(fl_ht,fl_doc,A745,fl_rate,INDEX(p_rates,3)),SUMIFS(dl_ht,dl_doc,F745,dl_rate,INDEX(p_rates,3))))</f>
        <v>0.0</v>
      </c>
      <c r="AN745" s="62">
        <f>IF(OR(AG745="",INDEX(p_rates,4)=""),0,IF(AG745="Facture",SUMIFS(fl_ht,fl_doc,A745,fl_rate,INDEX(p_rates,4)),SUMIFS(dl_ht,dl_doc,F745,dl_rate,INDEX(p_rates,4))))</f>
        <v>0.0</v>
      </c>
      <c r="AO745" s="62">
        <f>IF(OR(AG745="",INDEX(p_rates,5)=""),0,IF(AG745="Facture",SUMIFS(fl_ht,fl_doc,A745,fl_rate,INDEX(p_rates,5)),SUMIFS(dl_ht,dl_doc,F745,dl_rate,INDEX(p_rates,5))))</f>
        <v>0.0</v>
      </c>
      <c r="AP745" s="62">
        <f>IF(OR(AG745="",INDEX(p_rates,6)=""),0,IF(AG745="Facture",SUMIFS(fl_ht,fl_doc,A745,fl_rate,INDEX(p_rates,6)),SUMIFS(dl_ht,dl_doc,F745,dl_rate,INDEX(p_rates,6))))</f>
        <v>0.0</v>
      </c>
      <c r="AQ745" s="62">
        <f>ROUND(AK745*N(INDEX(p_rates,1)),2)+ROUND(AL745*N(INDEX(p_rates,2)),2)+ROUND(AM745*N(INDEX(p_rates,3)),2)+ROUND(AN745*N(INDEX(p_rates,4)),2)+ROUND(AO745*N(INDEX(p_rates,5)),2)+ROUND(AP745*N(INDEX(p_rates,6)),2)</f>
        <v>0.0</v>
      </c>
      <c r="AR745" s="62" t="str">
        <f>IF(OR(L745="",AA745&lt;&gt;"Facture"),"",IFERROR(IF(INDEX(fa_type,MATCH(L745,fa_num,0))="Facture d'acompte",MATCH(L745,fa_num,0),""),""))</f>
        <v/>
      </c>
      <c r="AS745" s="62" t="str">
        <f>IF(W745="","",IF(W745&lt;=0,"",IF(p_asof-P745&lt;=0,"Non échu",IF(p_asof-P745&lt;=30,"1-30 j",IF(p_asof-P745&lt;=60,"31-60 j",IF(p_asof-P745&lt;=90,"61-90 j","Plus de 90 j"))))))</f>
        <v/>
      </c>
      <c r="AT745" s="62" t="str">
        <f>IF(AS745="","",p_asof-P745)</f>
        <v/>
      </c>
      <c r="AU745" s="62" t="str">
        <f>IF(AT745="","",COUNTIF($AT$6:$AT$805,"&gt;"&amp;AT745)+COUNTIF($AT$6:AT745,AT745))</f>
        <v/>
      </c>
    </row>
    <row r="746">
      <c r="A746" s="59" t="str">
        <f>IF(AE746="","",AB746&amp;"-"&amp;AD746&amp;"-"&amp;RIGHT("000"&amp;AE746,4))</f>
        <v/>
      </c>
      <c r="B746" s="60" t="n"/>
      <c r="C746" s="61" t="n"/>
      <c r="D746" s="60" t="n"/>
      <c r="E746" s="62" t="str">
        <f>IF(D746="","",IFERROR(INDEX(cli_name,MATCH(D746,cli_code,0))&amp;"","Client inconnu"))</f>
        <v/>
      </c>
      <c r="F746" s="60" t="n"/>
      <c r="G746" s="63" t="n"/>
      <c r="H746" s="61" t="n"/>
      <c r="I746" s="63" t="n"/>
      <c r="J746" s="60" t="n"/>
      <c r="K746" s="61" t="n"/>
      <c r="L746" s="60" t="n"/>
      <c r="M746" s="60" t="n"/>
      <c r="N746" s="60" t="n"/>
      <c r="O746" s="61" t="n"/>
      <c r="P746" s="64" t="str">
        <f>IF(A746="","",IF(AA746="Avoir",AC746,IF(ISNUMBER(K746),K746,AC746+IF(D746="",N(p_delay),IFERROR(IF(ISNUMBER(INDEX(cli_delay,MATCH(D746,cli_code,0))),INDEX(cli_delay,MATCH(D746,cli_code,0)),N(p_delay)),N(p_delay))))))</f>
        <v/>
      </c>
      <c r="Q746" s="65" t="str">
        <f>IF(A746="","",IF(AA746="Avoir",-1,1)*ROUND(AJ746-IF(AR746="",0,INDEX(fa_htb,AR746)),2))</f>
        <v/>
      </c>
      <c r="R746" s="65" t="str">
        <f>IF(A746="","",IF(AA746="Avoir",-1,1)*ROUND(AQ746-IF(AR746="",0,INDEX(fa_tvab,AR746)),2))</f>
        <v/>
      </c>
      <c r="S746" s="65" t="str">
        <f>IF(A746="","",Q746+R746)</f>
        <v/>
      </c>
      <c r="T746" s="65" t="str">
        <f>IF(AR746="","",INDEX(fa_htb,AR746)+INDEX(fa_tvab,AR746))</f>
        <v/>
      </c>
      <c r="U746" s="65" t="str">
        <f>IF(A746="","",SUMIF(pa_inv,A746,pa_amt))</f>
        <v/>
      </c>
      <c r="V746" s="65" t="str">
        <f>IF(OR(A746="",AA746="Avoir"),"",-SUMIFS(fa_ttc,fa_avof,A746,fa_type,"Avoir"))</f>
        <v/>
      </c>
      <c r="W746" s="65" t="str">
        <f>IF(OR(A746="",AA746="Avoir"),"",ROUND(S746-U746-V746,2))</f>
        <v/>
      </c>
      <c r="X746" s="66" t="str">
        <f>IF(W746="","",IF(AND(W746&gt;0,p_asof&gt;P746),p_asof-P746,""))</f>
        <v/>
      </c>
      <c r="Y746" s="59" t="str">
        <f>IF(A746="","",IF(AA746="Avoir","Avoir",IF(W746&lt;0,"Trop-perçu",IF(W746=0,"Soldée",IF(p_asof&gt;P746,"En retard",IF(U746+V746&gt;0,"Partielle","À échoir"))))))</f>
        <v/>
      </c>
      <c r="Z746" s="59" t="str">
        <f>IF(NOT(COUNTA(B746:D746,F746:O746)&gt;0),"",IF(C746="","Date manquante",IF(NOT(ISNUMBER(C746)),"Date invalide",IF(D746="","Client manquant",IF(ISNA(MATCH(D746,cli_code,0)),"Client inconnu",IF(AC746&lt;SUMPRODUCT(MAX(($AB$6:AB745=AB746)*$AC$6:AC745)),"Date antérieure à la facture précédente",IF(AND(F746&lt;&gt;"",ISNA(MATCH(F746,dv_num,0))),"Devis inconnu",IF(AND(F746&lt;&gt;"",IFERROR(INDEX(dv_client,MATCH(F746,dv_num,0)),D746)&lt;&gt;D746),"Client différent de celui du devis",IF(AG746="","Aucune ligne : saisissez des lignes ou un devis",IF(AND(AI746&lt;&gt;"",COUNTIF($AI$6:AI746,AI746)&gt;1),"Devis déjà repris par une autre facture",IF(AND(AA746="Avoir",M746=""),"Avoir : indiquez la facture d'origine",IF(AND(AA746="Avoir",ISNA(MATCH(M746,fa_num,0))),"Facture d'origine inconnue",IF(AND(AA746&lt;&gt;"Avoir",M746&lt;&gt;""),"« Avoir sur facture » : réservé aux avoirs",IF(AND(L746&lt;&gt;"",AA746&lt;&gt;"Facture"),"Acompte à déduire : réservé aux factures",IF(AND(L746&lt;&gt;"",ISNA(MATCH(L746,fa_num,0))),"Facture d'acompte inconnue",IF(AND(L746&lt;&gt;"",IFERROR(INDEX(fa_type,MATCH(L746,fa_num,0)),"")&lt;&gt;"Facture d'acompte"),"Le n° à déduire n'est pas une facture d'acompte",IF(AND(L746&lt;&gt;"",COUNTIF($L$6:L746,L746)&gt;1),"Acompte déjà déduit sur une autre facture",IF(AND(L746&lt;&gt;"",IFERROR(INDEX(fa_client,MATCH(L746,fa_num,0)),D746)&lt;&gt;D746),"Acompte d'un autre client",IF(AND(AR746&lt;&gt;"",N(Q746)&lt;0),"Acompte supérieur au total de la facture",IF(IF(AG746="Facture",COUNTIFS(fl_doc,A746,fl_check,"&lt;&gt;OK"),IF(AG746="Devis",COUNTIFS(dl_doc,F746,dl_check,"&lt;&gt;OK"),0))&gt;0,"Ligne(s) à corriger",IF(AND(W746&lt;&gt;"",N(W746)&lt;0),"Trop-perçu : vérifiez paiements et avoirs","OK")))))))))))))))))))))</f>
        <v/>
      </c>
      <c r="AA746" s="62" t="str">
        <f>IF(COUNTA(B746:D746,F746:O746)&gt;0,IF(B746="","Facture",B746),"")</f>
        <v/>
      </c>
      <c r="AB746" s="62" t="str">
        <f>IF(AA746="","",IF(AA746="Avoir",p_pav,IF(AA746="Facture d'acompte",p_pac,p_pfa)))</f>
        <v/>
      </c>
      <c r="AC746" s="62">
        <f>IF(ISNUMBER(C746),C746,0)</f>
        <v>0.0</v>
      </c>
      <c r="AD746" s="62" t="str">
        <f>IF(OR(AA746="",AC746=0),"",YEAR(AC746))</f>
        <v/>
      </c>
      <c r="AE746" s="62" t="str">
        <f>IF(AD746="","",COUNTIFS($AB$6:AB746,AB746,$AD$6:AD746,AD746))</f>
        <v/>
      </c>
      <c r="AF746" s="62">
        <f>IF(A746="",0,COUNTIF(fl_doc,A746))</f>
        <v>0.0</v>
      </c>
      <c r="AG746" s="62" t="str">
        <f>IF(A746="","",IF(AF746&gt;0,"Facture",IF(AND(F746&lt;&gt;"",AA746="Facture",ISNUMBER(MATCH(F746,dv_num,0))),"Devis","")))</f>
        <v/>
      </c>
      <c r="AH746" s="62" t="str">
        <f>IF(AND(A746&lt;&gt;"",F746&lt;&gt;"",AA746&lt;&gt;"Avoir"),F746,"")</f>
        <v/>
      </c>
      <c r="AI746" s="62" t="str">
        <f>IF(AG746="Devis",F746,"")</f>
        <v/>
      </c>
      <c r="AJ746" s="62">
        <f>IF(AG746="Facture",SUMIF(fl_doc,A746,fl_ht),IF(AG746="Devis",SUMIF(dl_doc,F746,dl_ht),0))</f>
        <v>0.0</v>
      </c>
      <c r="AK746" s="62">
        <f>IF(OR(AG746="",INDEX(p_rates,1)=""),0,IF(AG746="Facture",SUMIFS(fl_ht,fl_doc,A746,fl_rate,INDEX(p_rates,1)),SUMIFS(dl_ht,dl_doc,F746,dl_rate,INDEX(p_rates,1))))</f>
        <v>0.0</v>
      </c>
      <c r="AL746" s="62">
        <f>IF(OR(AG746="",INDEX(p_rates,2)=""),0,IF(AG746="Facture",SUMIFS(fl_ht,fl_doc,A746,fl_rate,INDEX(p_rates,2)),SUMIFS(dl_ht,dl_doc,F746,dl_rate,INDEX(p_rates,2))))</f>
        <v>0.0</v>
      </c>
      <c r="AM746" s="62">
        <f>IF(OR(AG746="",INDEX(p_rates,3)=""),0,IF(AG746="Facture",SUMIFS(fl_ht,fl_doc,A746,fl_rate,INDEX(p_rates,3)),SUMIFS(dl_ht,dl_doc,F746,dl_rate,INDEX(p_rates,3))))</f>
        <v>0.0</v>
      </c>
      <c r="AN746" s="62">
        <f>IF(OR(AG746="",INDEX(p_rates,4)=""),0,IF(AG746="Facture",SUMIFS(fl_ht,fl_doc,A746,fl_rate,INDEX(p_rates,4)),SUMIFS(dl_ht,dl_doc,F746,dl_rate,INDEX(p_rates,4))))</f>
        <v>0.0</v>
      </c>
      <c r="AO746" s="62">
        <f>IF(OR(AG746="",INDEX(p_rates,5)=""),0,IF(AG746="Facture",SUMIFS(fl_ht,fl_doc,A746,fl_rate,INDEX(p_rates,5)),SUMIFS(dl_ht,dl_doc,F746,dl_rate,INDEX(p_rates,5))))</f>
        <v>0.0</v>
      </c>
      <c r="AP746" s="62">
        <f>IF(OR(AG746="",INDEX(p_rates,6)=""),0,IF(AG746="Facture",SUMIFS(fl_ht,fl_doc,A746,fl_rate,INDEX(p_rates,6)),SUMIFS(dl_ht,dl_doc,F746,dl_rate,INDEX(p_rates,6))))</f>
        <v>0.0</v>
      </c>
      <c r="AQ746" s="62">
        <f>ROUND(AK746*N(INDEX(p_rates,1)),2)+ROUND(AL746*N(INDEX(p_rates,2)),2)+ROUND(AM746*N(INDEX(p_rates,3)),2)+ROUND(AN746*N(INDEX(p_rates,4)),2)+ROUND(AO746*N(INDEX(p_rates,5)),2)+ROUND(AP746*N(INDEX(p_rates,6)),2)</f>
        <v>0.0</v>
      </c>
      <c r="AR746" s="62" t="str">
        <f>IF(OR(L746="",AA746&lt;&gt;"Facture"),"",IFERROR(IF(INDEX(fa_type,MATCH(L746,fa_num,0))="Facture d'acompte",MATCH(L746,fa_num,0),""),""))</f>
        <v/>
      </c>
      <c r="AS746" s="62" t="str">
        <f>IF(W746="","",IF(W746&lt;=0,"",IF(p_asof-P746&lt;=0,"Non échu",IF(p_asof-P746&lt;=30,"1-30 j",IF(p_asof-P746&lt;=60,"31-60 j",IF(p_asof-P746&lt;=90,"61-90 j","Plus de 90 j"))))))</f>
        <v/>
      </c>
      <c r="AT746" s="62" t="str">
        <f>IF(AS746="","",p_asof-P746)</f>
        <v/>
      </c>
      <c r="AU746" s="62" t="str">
        <f>IF(AT746="","",COUNTIF($AT$6:$AT$805,"&gt;"&amp;AT746)+COUNTIF($AT$6:AT746,AT746))</f>
        <v/>
      </c>
    </row>
    <row r="747">
      <c r="A747" s="59" t="str">
        <f>IF(AE747="","",AB747&amp;"-"&amp;AD747&amp;"-"&amp;RIGHT("000"&amp;AE747,4))</f>
        <v/>
      </c>
      <c r="B747" s="60" t="n"/>
      <c r="C747" s="61" t="n"/>
      <c r="D747" s="60" t="n"/>
      <c r="E747" s="62" t="str">
        <f>IF(D747="","",IFERROR(INDEX(cli_name,MATCH(D747,cli_code,0))&amp;"","Client inconnu"))</f>
        <v/>
      </c>
      <c r="F747" s="60" t="n"/>
      <c r="G747" s="63" t="n"/>
      <c r="H747" s="61" t="n"/>
      <c r="I747" s="63" t="n"/>
      <c r="J747" s="60" t="n"/>
      <c r="K747" s="61" t="n"/>
      <c r="L747" s="60" t="n"/>
      <c r="M747" s="60" t="n"/>
      <c r="N747" s="60" t="n"/>
      <c r="O747" s="61" t="n"/>
      <c r="P747" s="64" t="str">
        <f>IF(A747="","",IF(AA747="Avoir",AC747,IF(ISNUMBER(K747),K747,AC747+IF(D747="",N(p_delay),IFERROR(IF(ISNUMBER(INDEX(cli_delay,MATCH(D747,cli_code,0))),INDEX(cli_delay,MATCH(D747,cli_code,0)),N(p_delay)),N(p_delay))))))</f>
        <v/>
      </c>
      <c r="Q747" s="65" t="str">
        <f>IF(A747="","",IF(AA747="Avoir",-1,1)*ROUND(AJ747-IF(AR747="",0,INDEX(fa_htb,AR747)),2))</f>
        <v/>
      </c>
      <c r="R747" s="65" t="str">
        <f>IF(A747="","",IF(AA747="Avoir",-1,1)*ROUND(AQ747-IF(AR747="",0,INDEX(fa_tvab,AR747)),2))</f>
        <v/>
      </c>
      <c r="S747" s="65" t="str">
        <f>IF(A747="","",Q747+R747)</f>
        <v/>
      </c>
      <c r="T747" s="65" t="str">
        <f>IF(AR747="","",INDEX(fa_htb,AR747)+INDEX(fa_tvab,AR747))</f>
        <v/>
      </c>
      <c r="U747" s="65" t="str">
        <f>IF(A747="","",SUMIF(pa_inv,A747,pa_amt))</f>
        <v/>
      </c>
      <c r="V747" s="65" t="str">
        <f>IF(OR(A747="",AA747="Avoir"),"",-SUMIFS(fa_ttc,fa_avof,A747,fa_type,"Avoir"))</f>
        <v/>
      </c>
      <c r="W747" s="65" t="str">
        <f>IF(OR(A747="",AA747="Avoir"),"",ROUND(S747-U747-V747,2))</f>
        <v/>
      </c>
      <c r="X747" s="66" t="str">
        <f>IF(W747="","",IF(AND(W747&gt;0,p_asof&gt;P747),p_asof-P747,""))</f>
        <v/>
      </c>
      <c r="Y747" s="59" t="str">
        <f>IF(A747="","",IF(AA747="Avoir","Avoir",IF(W747&lt;0,"Trop-perçu",IF(W747=0,"Soldée",IF(p_asof&gt;P747,"En retard",IF(U747+V747&gt;0,"Partielle","À échoir"))))))</f>
        <v/>
      </c>
      <c r="Z747" s="59" t="str">
        <f>IF(NOT(COUNTA(B747:D747,F747:O747)&gt;0),"",IF(C747="","Date manquante",IF(NOT(ISNUMBER(C747)),"Date invalide",IF(D747="","Client manquant",IF(ISNA(MATCH(D747,cli_code,0)),"Client inconnu",IF(AC747&lt;SUMPRODUCT(MAX(($AB$6:AB746=AB747)*$AC$6:AC746)),"Date antérieure à la facture précédente",IF(AND(F747&lt;&gt;"",ISNA(MATCH(F747,dv_num,0))),"Devis inconnu",IF(AND(F747&lt;&gt;"",IFERROR(INDEX(dv_client,MATCH(F747,dv_num,0)),D747)&lt;&gt;D747),"Client différent de celui du devis",IF(AG747="","Aucune ligne : saisissez des lignes ou un devis",IF(AND(AI747&lt;&gt;"",COUNTIF($AI$6:AI747,AI747)&gt;1),"Devis déjà repris par une autre facture",IF(AND(AA747="Avoir",M747=""),"Avoir : indiquez la facture d'origine",IF(AND(AA747="Avoir",ISNA(MATCH(M747,fa_num,0))),"Facture d'origine inconnue",IF(AND(AA747&lt;&gt;"Avoir",M747&lt;&gt;""),"« Avoir sur facture » : réservé aux avoirs",IF(AND(L747&lt;&gt;"",AA747&lt;&gt;"Facture"),"Acompte à déduire : réservé aux factures",IF(AND(L747&lt;&gt;"",ISNA(MATCH(L747,fa_num,0))),"Facture d'acompte inconnue",IF(AND(L747&lt;&gt;"",IFERROR(INDEX(fa_type,MATCH(L747,fa_num,0)),"")&lt;&gt;"Facture d'acompte"),"Le n° à déduire n'est pas une facture d'acompte",IF(AND(L747&lt;&gt;"",COUNTIF($L$6:L747,L747)&gt;1),"Acompte déjà déduit sur une autre facture",IF(AND(L747&lt;&gt;"",IFERROR(INDEX(fa_client,MATCH(L747,fa_num,0)),D747)&lt;&gt;D747),"Acompte d'un autre client",IF(AND(AR747&lt;&gt;"",N(Q747)&lt;0),"Acompte supérieur au total de la facture",IF(IF(AG747="Facture",COUNTIFS(fl_doc,A747,fl_check,"&lt;&gt;OK"),IF(AG747="Devis",COUNTIFS(dl_doc,F747,dl_check,"&lt;&gt;OK"),0))&gt;0,"Ligne(s) à corriger",IF(AND(W747&lt;&gt;"",N(W747)&lt;0),"Trop-perçu : vérifiez paiements et avoirs","OK")))))))))))))))))))))</f>
        <v/>
      </c>
      <c r="AA747" s="62" t="str">
        <f>IF(COUNTA(B747:D747,F747:O747)&gt;0,IF(B747="","Facture",B747),"")</f>
        <v/>
      </c>
      <c r="AB747" s="62" t="str">
        <f>IF(AA747="","",IF(AA747="Avoir",p_pav,IF(AA747="Facture d'acompte",p_pac,p_pfa)))</f>
        <v/>
      </c>
      <c r="AC747" s="62">
        <f>IF(ISNUMBER(C747),C747,0)</f>
        <v>0.0</v>
      </c>
      <c r="AD747" s="62" t="str">
        <f>IF(OR(AA747="",AC747=0),"",YEAR(AC747))</f>
        <v/>
      </c>
      <c r="AE747" s="62" t="str">
        <f>IF(AD747="","",COUNTIFS($AB$6:AB747,AB747,$AD$6:AD747,AD747))</f>
        <v/>
      </c>
      <c r="AF747" s="62">
        <f>IF(A747="",0,COUNTIF(fl_doc,A747))</f>
        <v>0.0</v>
      </c>
      <c r="AG747" s="62" t="str">
        <f>IF(A747="","",IF(AF747&gt;0,"Facture",IF(AND(F747&lt;&gt;"",AA747="Facture",ISNUMBER(MATCH(F747,dv_num,0))),"Devis","")))</f>
        <v/>
      </c>
      <c r="AH747" s="62" t="str">
        <f>IF(AND(A747&lt;&gt;"",F747&lt;&gt;"",AA747&lt;&gt;"Avoir"),F747,"")</f>
        <v/>
      </c>
      <c r="AI747" s="62" t="str">
        <f>IF(AG747="Devis",F747,"")</f>
        <v/>
      </c>
      <c r="AJ747" s="62">
        <f>IF(AG747="Facture",SUMIF(fl_doc,A747,fl_ht),IF(AG747="Devis",SUMIF(dl_doc,F747,dl_ht),0))</f>
        <v>0.0</v>
      </c>
      <c r="AK747" s="62">
        <f>IF(OR(AG747="",INDEX(p_rates,1)=""),0,IF(AG747="Facture",SUMIFS(fl_ht,fl_doc,A747,fl_rate,INDEX(p_rates,1)),SUMIFS(dl_ht,dl_doc,F747,dl_rate,INDEX(p_rates,1))))</f>
        <v>0.0</v>
      </c>
      <c r="AL747" s="62">
        <f>IF(OR(AG747="",INDEX(p_rates,2)=""),0,IF(AG747="Facture",SUMIFS(fl_ht,fl_doc,A747,fl_rate,INDEX(p_rates,2)),SUMIFS(dl_ht,dl_doc,F747,dl_rate,INDEX(p_rates,2))))</f>
        <v>0.0</v>
      </c>
      <c r="AM747" s="62">
        <f>IF(OR(AG747="",INDEX(p_rates,3)=""),0,IF(AG747="Facture",SUMIFS(fl_ht,fl_doc,A747,fl_rate,INDEX(p_rates,3)),SUMIFS(dl_ht,dl_doc,F747,dl_rate,INDEX(p_rates,3))))</f>
        <v>0.0</v>
      </c>
      <c r="AN747" s="62">
        <f>IF(OR(AG747="",INDEX(p_rates,4)=""),0,IF(AG747="Facture",SUMIFS(fl_ht,fl_doc,A747,fl_rate,INDEX(p_rates,4)),SUMIFS(dl_ht,dl_doc,F747,dl_rate,INDEX(p_rates,4))))</f>
        <v>0.0</v>
      </c>
      <c r="AO747" s="62">
        <f>IF(OR(AG747="",INDEX(p_rates,5)=""),0,IF(AG747="Facture",SUMIFS(fl_ht,fl_doc,A747,fl_rate,INDEX(p_rates,5)),SUMIFS(dl_ht,dl_doc,F747,dl_rate,INDEX(p_rates,5))))</f>
        <v>0.0</v>
      </c>
      <c r="AP747" s="62">
        <f>IF(OR(AG747="",INDEX(p_rates,6)=""),0,IF(AG747="Facture",SUMIFS(fl_ht,fl_doc,A747,fl_rate,INDEX(p_rates,6)),SUMIFS(dl_ht,dl_doc,F747,dl_rate,INDEX(p_rates,6))))</f>
        <v>0.0</v>
      </c>
      <c r="AQ747" s="62">
        <f>ROUND(AK747*N(INDEX(p_rates,1)),2)+ROUND(AL747*N(INDEX(p_rates,2)),2)+ROUND(AM747*N(INDEX(p_rates,3)),2)+ROUND(AN747*N(INDEX(p_rates,4)),2)+ROUND(AO747*N(INDEX(p_rates,5)),2)+ROUND(AP747*N(INDEX(p_rates,6)),2)</f>
        <v>0.0</v>
      </c>
      <c r="AR747" s="62" t="str">
        <f>IF(OR(L747="",AA747&lt;&gt;"Facture"),"",IFERROR(IF(INDEX(fa_type,MATCH(L747,fa_num,0))="Facture d'acompte",MATCH(L747,fa_num,0),""),""))</f>
        <v/>
      </c>
      <c r="AS747" s="62" t="str">
        <f>IF(W747="","",IF(W747&lt;=0,"",IF(p_asof-P747&lt;=0,"Non échu",IF(p_asof-P747&lt;=30,"1-30 j",IF(p_asof-P747&lt;=60,"31-60 j",IF(p_asof-P747&lt;=90,"61-90 j","Plus de 90 j"))))))</f>
        <v/>
      </c>
      <c r="AT747" s="62" t="str">
        <f>IF(AS747="","",p_asof-P747)</f>
        <v/>
      </c>
      <c r="AU747" s="62" t="str">
        <f>IF(AT747="","",COUNTIF($AT$6:$AT$805,"&gt;"&amp;AT747)+COUNTIF($AT$6:AT747,AT747))</f>
        <v/>
      </c>
    </row>
    <row r="748">
      <c r="A748" s="59" t="str">
        <f>IF(AE748="","",AB748&amp;"-"&amp;AD748&amp;"-"&amp;RIGHT("000"&amp;AE748,4))</f>
        <v/>
      </c>
      <c r="B748" s="60" t="n"/>
      <c r="C748" s="61" t="n"/>
      <c r="D748" s="60" t="n"/>
      <c r="E748" s="62" t="str">
        <f>IF(D748="","",IFERROR(INDEX(cli_name,MATCH(D748,cli_code,0))&amp;"","Client inconnu"))</f>
        <v/>
      </c>
      <c r="F748" s="60" t="n"/>
      <c r="G748" s="63" t="n"/>
      <c r="H748" s="61" t="n"/>
      <c r="I748" s="63" t="n"/>
      <c r="J748" s="60" t="n"/>
      <c r="K748" s="61" t="n"/>
      <c r="L748" s="60" t="n"/>
      <c r="M748" s="60" t="n"/>
      <c r="N748" s="60" t="n"/>
      <c r="O748" s="61" t="n"/>
      <c r="P748" s="64" t="str">
        <f>IF(A748="","",IF(AA748="Avoir",AC748,IF(ISNUMBER(K748),K748,AC748+IF(D748="",N(p_delay),IFERROR(IF(ISNUMBER(INDEX(cli_delay,MATCH(D748,cli_code,0))),INDEX(cli_delay,MATCH(D748,cli_code,0)),N(p_delay)),N(p_delay))))))</f>
        <v/>
      </c>
      <c r="Q748" s="65" t="str">
        <f>IF(A748="","",IF(AA748="Avoir",-1,1)*ROUND(AJ748-IF(AR748="",0,INDEX(fa_htb,AR748)),2))</f>
        <v/>
      </c>
      <c r="R748" s="65" t="str">
        <f>IF(A748="","",IF(AA748="Avoir",-1,1)*ROUND(AQ748-IF(AR748="",0,INDEX(fa_tvab,AR748)),2))</f>
        <v/>
      </c>
      <c r="S748" s="65" t="str">
        <f>IF(A748="","",Q748+R748)</f>
        <v/>
      </c>
      <c r="T748" s="65" t="str">
        <f>IF(AR748="","",INDEX(fa_htb,AR748)+INDEX(fa_tvab,AR748))</f>
        <v/>
      </c>
      <c r="U748" s="65" t="str">
        <f>IF(A748="","",SUMIF(pa_inv,A748,pa_amt))</f>
        <v/>
      </c>
      <c r="V748" s="65" t="str">
        <f>IF(OR(A748="",AA748="Avoir"),"",-SUMIFS(fa_ttc,fa_avof,A748,fa_type,"Avoir"))</f>
        <v/>
      </c>
      <c r="W748" s="65" t="str">
        <f>IF(OR(A748="",AA748="Avoir"),"",ROUND(S748-U748-V748,2))</f>
        <v/>
      </c>
      <c r="X748" s="66" t="str">
        <f>IF(W748="","",IF(AND(W748&gt;0,p_asof&gt;P748),p_asof-P748,""))</f>
        <v/>
      </c>
      <c r="Y748" s="59" t="str">
        <f>IF(A748="","",IF(AA748="Avoir","Avoir",IF(W748&lt;0,"Trop-perçu",IF(W748=0,"Soldée",IF(p_asof&gt;P748,"En retard",IF(U748+V748&gt;0,"Partielle","À échoir"))))))</f>
        <v/>
      </c>
      <c r="Z748" s="59" t="str">
        <f>IF(NOT(COUNTA(B748:D748,F748:O748)&gt;0),"",IF(C748="","Date manquante",IF(NOT(ISNUMBER(C748)),"Date invalide",IF(D748="","Client manquant",IF(ISNA(MATCH(D748,cli_code,0)),"Client inconnu",IF(AC748&lt;SUMPRODUCT(MAX(($AB$6:AB747=AB748)*$AC$6:AC747)),"Date antérieure à la facture précédente",IF(AND(F748&lt;&gt;"",ISNA(MATCH(F748,dv_num,0))),"Devis inconnu",IF(AND(F748&lt;&gt;"",IFERROR(INDEX(dv_client,MATCH(F748,dv_num,0)),D748)&lt;&gt;D748),"Client différent de celui du devis",IF(AG748="","Aucune ligne : saisissez des lignes ou un devis",IF(AND(AI748&lt;&gt;"",COUNTIF($AI$6:AI748,AI748)&gt;1),"Devis déjà repris par une autre facture",IF(AND(AA748="Avoir",M748=""),"Avoir : indiquez la facture d'origine",IF(AND(AA748="Avoir",ISNA(MATCH(M748,fa_num,0))),"Facture d'origine inconnue",IF(AND(AA748&lt;&gt;"Avoir",M748&lt;&gt;""),"« Avoir sur facture » : réservé aux avoirs",IF(AND(L748&lt;&gt;"",AA748&lt;&gt;"Facture"),"Acompte à déduire : réservé aux factures",IF(AND(L748&lt;&gt;"",ISNA(MATCH(L748,fa_num,0))),"Facture d'acompte inconnue",IF(AND(L748&lt;&gt;"",IFERROR(INDEX(fa_type,MATCH(L748,fa_num,0)),"")&lt;&gt;"Facture d'acompte"),"Le n° à déduire n'est pas une facture d'acompte",IF(AND(L748&lt;&gt;"",COUNTIF($L$6:L748,L748)&gt;1),"Acompte déjà déduit sur une autre facture",IF(AND(L748&lt;&gt;"",IFERROR(INDEX(fa_client,MATCH(L748,fa_num,0)),D748)&lt;&gt;D748),"Acompte d'un autre client",IF(AND(AR748&lt;&gt;"",N(Q748)&lt;0),"Acompte supérieur au total de la facture",IF(IF(AG748="Facture",COUNTIFS(fl_doc,A748,fl_check,"&lt;&gt;OK"),IF(AG748="Devis",COUNTIFS(dl_doc,F748,dl_check,"&lt;&gt;OK"),0))&gt;0,"Ligne(s) à corriger",IF(AND(W748&lt;&gt;"",N(W748)&lt;0),"Trop-perçu : vérifiez paiements et avoirs","OK")))))))))))))))))))))</f>
        <v/>
      </c>
      <c r="AA748" s="62" t="str">
        <f>IF(COUNTA(B748:D748,F748:O748)&gt;0,IF(B748="","Facture",B748),"")</f>
        <v/>
      </c>
      <c r="AB748" s="62" t="str">
        <f>IF(AA748="","",IF(AA748="Avoir",p_pav,IF(AA748="Facture d'acompte",p_pac,p_pfa)))</f>
        <v/>
      </c>
      <c r="AC748" s="62">
        <f>IF(ISNUMBER(C748),C748,0)</f>
        <v>0.0</v>
      </c>
      <c r="AD748" s="62" t="str">
        <f>IF(OR(AA748="",AC748=0),"",YEAR(AC748))</f>
        <v/>
      </c>
      <c r="AE748" s="62" t="str">
        <f>IF(AD748="","",COUNTIFS($AB$6:AB748,AB748,$AD$6:AD748,AD748))</f>
        <v/>
      </c>
      <c r="AF748" s="62">
        <f>IF(A748="",0,COUNTIF(fl_doc,A748))</f>
        <v>0.0</v>
      </c>
      <c r="AG748" s="62" t="str">
        <f>IF(A748="","",IF(AF748&gt;0,"Facture",IF(AND(F748&lt;&gt;"",AA748="Facture",ISNUMBER(MATCH(F748,dv_num,0))),"Devis","")))</f>
        <v/>
      </c>
      <c r="AH748" s="62" t="str">
        <f>IF(AND(A748&lt;&gt;"",F748&lt;&gt;"",AA748&lt;&gt;"Avoir"),F748,"")</f>
        <v/>
      </c>
      <c r="AI748" s="62" t="str">
        <f>IF(AG748="Devis",F748,"")</f>
        <v/>
      </c>
      <c r="AJ748" s="62">
        <f>IF(AG748="Facture",SUMIF(fl_doc,A748,fl_ht),IF(AG748="Devis",SUMIF(dl_doc,F748,dl_ht),0))</f>
        <v>0.0</v>
      </c>
      <c r="AK748" s="62">
        <f>IF(OR(AG748="",INDEX(p_rates,1)=""),0,IF(AG748="Facture",SUMIFS(fl_ht,fl_doc,A748,fl_rate,INDEX(p_rates,1)),SUMIFS(dl_ht,dl_doc,F748,dl_rate,INDEX(p_rates,1))))</f>
        <v>0.0</v>
      </c>
      <c r="AL748" s="62">
        <f>IF(OR(AG748="",INDEX(p_rates,2)=""),0,IF(AG748="Facture",SUMIFS(fl_ht,fl_doc,A748,fl_rate,INDEX(p_rates,2)),SUMIFS(dl_ht,dl_doc,F748,dl_rate,INDEX(p_rates,2))))</f>
        <v>0.0</v>
      </c>
      <c r="AM748" s="62">
        <f>IF(OR(AG748="",INDEX(p_rates,3)=""),0,IF(AG748="Facture",SUMIFS(fl_ht,fl_doc,A748,fl_rate,INDEX(p_rates,3)),SUMIFS(dl_ht,dl_doc,F748,dl_rate,INDEX(p_rates,3))))</f>
        <v>0.0</v>
      </c>
      <c r="AN748" s="62">
        <f>IF(OR(AG748="",INDEX(p_rates,4)=""),0,IF(AG748="Facture",SUMIFS(fl_ht,fl_doc,A748,fl_rate,INDEX(p_rates,4)),SUMIFS(dl_ht,dl_doc,F748,dl_rate,INDEX(p_rates,4))))</f>
        <v>0.0</v>
      </c>
      <c r="AO748" s="62">
        <f>IF(OR(AG748="",INDEX(p_rates,5)=""),0,IF(AG748="Facture",SUMIFS(fl_ht,fl_doc,A748,fl_rate,INDEX(p_rates,5)),SUMIFS(dl_ht,dl_doc,F748,dl_rate,INDEX(p_rates,5))))</f>
        <v>0.0</v>
      </c>
      <c r="AP748" s="62">
        <f>IF(OR(AG748="",INDEX(p_rates,6)=""),0,IF(AG748="Facture",SUMIFS(fl_ht,fl_doc,A748,fl_rate,INDEX(p_rates,6)),SUMIFS(dl_ht,dl_doc,F748,dl_rate,INDEX(p_rates,6))))</f>
        <v>0.0</v>
      </c>
      <c r="AQ748" s="62">
        <f>ROUND(AK748*N(INDEX(p_rates,1)),2)+ROUND(AL748*N(INDEX(p_rates,2)),2)+ROUND(AM748*N(INDEX(p_rates,3)),2)+ROUND(AN748*N(INDEX(p_rates,4)),2)+ROUND(AO748*N(INDEX(p_rates,5)),2)+ROUND(AP748*N(INDEX(p_rates,6)),2)</f>
        <v>0.0</v>
      </c>
      <c r="AR748" s="62" t="str">
        <f>IF(OR(L748="",AA748&lt;&gt;"Facture"),"",IFERROR(IF(INDEX(fa_type,MATCH(L748,fa_num,0))="Facture d'acompte",MATCH(L748,fa_num,0),""),""))</f>
        <v/>
      </c>
      <c r="AS748" s="62" t="str">
        <f>IF(W748="","",IF(W748&lt;=0,"",IF(p_asof-P748&lt;=0,"Non échu",IF(p_asof-P748&lt;=30,"1-30 j",IF(p_asof-P748&lt;=60,"31-60 j",IF(p_asof-P748&lt;=90,"61-90 j","Plus de 90 j"))))))</f>
        <v/>
      </c>
      <c r="AT748" s="62" t="str">
        <f>IF(AS748="","",p_asof-P748)</f>
        <v/>
      </c>
      <c r="AU748" s="62" t="str">
        <f>IF(AT748="","",COUNTIF($AT$6:$AT$805,"&gt;"&amp;AT748)+COUNTIF($AT$6:AT748,AT748))</f>
        <v/>
      </c>
    </row>
    <row r="749">
      <c r="A749" s="59" t="str">
        <f>IF(AE749="","",AB749&amp;"-"&amp;AD749&amp;"-"&amp;RIGHT("000"&amp;AE749,4))</f>
        <v/>
      </c>
      <c r="B749" s="60" t="n"/>
      <c r="C749" s="61" t="n"/>
      <c r="D749" s="60" t="n"/>
      <c r="E749" s="62" t="str">
        <f>IF(D749="","",IFERROR(INDEX(cli_name,MATCH(D749,cli_code,0))&amp;"","Client inconnu"))</f>
        <v/>
      </c>
      <c r="F749" s="60" t="n"/>
      <c r="G749" s="63" t="n"/>
      <c r="H749" s="61" t="n"/>
      <c r="I749" s="63" t="n"/>
      <c r="J749" s="60" t="n"/>
      <c r="K749" s="61" t="n"/>
      <c r="L749" s="60" t="n"/>
      <c r="M749" s="60" t="n"/>
      <c r="N749" s="60" t="n"/>
      <c r="O749" s="61" t="n"/>
      <c r="P749" s="64" t="str">
        <f>IF(A749="","",IF(AA749="Avoir",AC749,IF(ISNUMBER(K749),K749,AC749+IF(D749="",N(p_delay),IFERROR(IF(ISNUMBER(INDEX(cli_delay,MATCH(D749,cli_code,0))),INDEX(cli_delay,MATCH(D749,cli_code,0)),N(p_delay)),N(p_delay))))))</f>
        <v/>
      </c>
      <c r="Q749" s="65" t="str">
        <f>IF(A749="","",IF(AA749="Avoir",-1,1)*ROUND(AJ749-IF(AR749="",0,INDEX(fa_htb,AR749)),2))</f>
        <v/>
      </c>
      <c r="R749" s="65" t="str">
        <f>IF(A749="","",IF(AA749="Avoir",-1,1)*ROUND(AQ749-IF(AR749="",0,INDEX(fa_tvab,AR749)),2))</f>
        <v/>
      </c>
      <c r="S749" s="65" t="str">
        <f>IF(A749="","",Q749+R749)</f>
        <v/>
      </c>
      <c r="T749" s="65" t="str">
        <f>IF(AR749="","",INDEX(fa_htb,AR749)+INDEX(fa_tvab,AR749))</f>
        <v/>
      </c>
      <c r="U749" s="65" t="str">
        <f>IF(A749="","",SUMIF(pa_inv,A749,pa_amt))</f>
        <v/>
      </c>
      <c r="V749" s="65" t="str">
        <f>IF(OR(A749="",AA749="Avoir"),"",-SUMIFS(fa_ttc,fa_avof,A749,fa_type,"Avoir"))</f>
        <v/>
      </c>
      <c r="W749" s="65" t="str">
        <f>IF(OR(A749="",AA749="Avoir"),"",ROUND(S749-U749-V749,2))</f>
        <v/>
      </c>
      <c r="X749" s="66" t="str">
        <f>IF(W749="","",IF(AND(W749&gt;0,p_asof&gt;P749),p_asof-P749,""))</f>
        <v/>
      </c>
      <c r="Y749" s="59" t="str">
        <f>IF(A749="","",IF(AA749="Avoir","Avoir",IF(W749&lt;0,"Trop-perçu",IF(W749=0,"Soldée",IF(p_asof&gt;P749,"En retard",IF(U749+V749&gt;0,"Partielle","À échoir"))))))</f>
        <v/>
      </c>
      <c r="Z749" s="59" t="str">
        <f>IF(NOT(COUNTA(B749:D749,F749:O749)&gt;0),"",IF(C749="","Date manquante",IF(NOT(ISNUMBER(C749)),"Date invalide",IF(D749="","Client manquant",IF(ISNA(MATCH(D749,cli_code,0)),"Client inconnu",IF(AC749&lt;SUMPRODUCT(MAX(($AB$6:AB748=AB749)*$AC$6:AC748)),"Date antérieure à la facture précédente",IF(AND(F749&lt;&gt;"",ISNA(MATCH(F749,dv_num,0))),"Devis inconnu",IF(AND(F749&lt;&gt;"",IFERROR(INDEX(dv_client,MATCH(F749,dv_num,0)),D749)&lt;&gt;D749),"Client différent de celui du devis",IF(AG749="","Aucune ligne : saisissez des lignes ou un devis",IF(AND(AI749&lt;&gt;"",COUNTIF($AI$6:AI749,AI749)&gt;1),"Devis déjà repris par une autre facture",IF(AND(AA749="Avoir",M749=""),"Avoir : indiquez la facture d'origine",IF(AND(AA749="Avoir",ISNA(MATCH(M749,fa_num,0))),"Facture d'origine inconnue",IF(AND(AA749&lt;&gt;"Avoir",M749&lt;&gt;""),"« Avoir sur facture » : réservé aux avoirs",IF(AND(L749&lt;&gt;"",AA749&lt;&gt;"Facture"),"Acompte à déduire : réservé aux factures",IF(AND(L749&lt;&gt;"",ISNA(MATCH(L749,fa_num,0))),"Facture d'acompte inconnue",IF(AND(L749&lt;&gt;"",IFERROR(INDEX(fa_type,MATCH(L749,fa_num,0)),"")&lt;&gt;"Facture d'acompte"),"Le n° à déduire n'est pas une facture d'acompte",IF(AND(L749&lt;&gt;"",COUNTIF($L$6:L749,L749)&gt;1),"Acompte déjà déduit sur une autre facture",IF(AND(L749&lt;&gt;"",IFERROR(INDEX(fa_client,MATCH(L749,fa_num,0)),D749)&lt;&gt;D749),"Acompte d'un autre client",IF(AND(AR749&lt;&gt;"",N(Q749)&lt;0),"Acompte supérieur au total de la facture",IF(IF(AG749="Facture",COUNTIFS(fl_doc,A749,fl_check,"&lt;&gt;OK"),IF(AG749="Devis",COUNTIFS(dl_doc,F749,dl_check,"&lt;&gt;OK"),0))&gt;0,"Ligne(s) à corriger",IF(AND(W749&lt;&gt;"",N(W749)&lt;0),"Trop-perçu : vérifiez paiements et avoirs","OK")))))))))))))))))))))</f>
        <v/>
      </c>
      <c r="AA749" s="62" t="str">
        <f>IF(COUNTA(B749:D749,F749:O749)&gt;0,IF(B749="","Facture",B749),"")</f>
        <v/>
      </c>
      <c r="AB749" s="62" t="str">
        <f>IF(AA749="","",IF(AA749="Avoir",p_pav,IF(AA749="Facture d'acompte",p_pac,p_pfa)))</f>
        <v/>
      </c>
      <c r="AC749" s="62">
        <f>IF(ISNUMBER(C749),C749,0)</f>
        <v>0.0</v>
      </c>
      <c r="AD749" s="62" t="str">
        <f>IF(OR(AA749="",AC749=0),"",YEAR(AC749))</f>
        <v/>
      </c>
      <c r="AE749" s="62" t="str">
        <f>IF(AD749="","",COUNTIFS($AB$6:AB749,AB749,$AD$6:AD749,AD749))</f>
        <v/>
      </c>
      <c r="AF749" s="62">
        <f>IF(A749="",0,COUNTIF(fl_doc,A749))</f>
        <v>0.0</v>
      </c>
      <c r="AG749" s="62" t="str">
        <f>IF(A749="","",IF(AF749&gt;0,"Facture",IF(AND(F749&lt;&gt;"",AA749="Facture",ISNUMBER(MATCH(F749,dv_num,0))),"Devis","")))</f>
        <v/>
      </c>
      <c r="AH749" s="62" t="str">
        <f>IF(AND(A749&lt;&gt;"",F749&lt;&gt;"",AA749&lt;&gt;"Avoir"),F749,"")</f>
        <v/>
      </c>
      <c r="AI749" s="62" t="str">
        <f>IF(AG749="Devis",F749,"")</f>
        <v/>
      </c>
      <c r="AJ749" s="62">
        <f>IF(AG749="Facture",SUMIF(fl_doc,A749,fl_ht),IF(AG749="Devis",SUMIF(dl_doc,F749,dl_ht),0))</f>
        <v>0.0</v>
      </c>
      <c r="AK749" s="62">
        <f>IF(OR(AG749="",INDEX(p_rates,1)=""),0,IF(AG749="Facture",SUMIFS(fl_ht,fl_doc,A749,fl_rate,INDEX(p_rates,1)),SUMIFS(dl_ht,dl_doc,F749,dl_rate,INDEX(p_rates,1))))</f>
        <v>0.0</v>
      </c>
      <c r="AL749" s="62">
        <f>IF(OR(AG749="",INDEX(p_rates,2)=""),0,IF(AG749="Facture",SUMIFS(fl_ht,fl_doc,A749,fl_rate,INDEX(p_rates,2)),SUMIFS(dl_ht,dl_doc,F749,dl_rate,INDEX(p_rates,2))))</f>
        <v>0.0</v>
      </c>
      <c r="AM749" s="62">
        <f>IF(OR(AG749="",INDEX(p_rates,3)=""),0,IF(AG749="Facture",SUMIFS(fl_ht,fl_doc,A749,fl_rate,INDEX(p_rates,3)),SUMIFS(dl_ht,dl_doc,F749,dl_rate,INDEX(p_rates,3))))</f>
        <v>0.0</v>
      </c>
      <c r="AN749" s="62">
        <f>IF(OR(AG749="",INDEX(p_rates,4)=""),0,IF(AG749="Facture",SUMIFS(fl_ht,fl_doc,A749,fl_rate,INDEX(p_rates,4)),SUMIFS(dl_ht,dl_doc,F749,dl_rate,INDEX(p_rates,4))))</f>
        <v>0.0</v>
      </c>
      <c r="AO749" s="62">
        <f>IF(OR(AG749="",INDEX(p_rates,5)=""),0,IF(AG749="Facture",SUMIFS(fl_ht,fl_doc,A749,fl_rate,INDEX(p_rates,5)),SUMIFS(dl_ht,dl_doc,F749,dl_rate,INDEX(p_rates,5))))</f>
        <v>0.0</v>
      </c>
      <c r="AP749" s="62">
        <f>IF(OR(AG749="",INDEX(p_rates,6)=""),0,IF(AG749="Facture",SUMIFS(fl_ht,fl_doc,A749,fl_rate,INDEX(p_rates,6)),SUMIFS(dl_ht,dl_doc,F749,dl_rate,INDEX(p_rates,6))))</f>
        <v>0.0</v>
      </c>
      <c r="AQ749" s="62">
        <f>ROUND(AK749*N(INDEX(p_rates,1)),2)+ROUND(AL749*N(INDEX(p_rates,2)),2)+ROUND(AM749*N(INDEX(p_rates,3)),2)+ROUND(AN749*N(INDEX(p_rates,4)),2)+ROUND(AO749*N(INDEX(p_rates,5)),2)+ROUND(AP749*N(INDEX(p_rates,6)),2)</f>
        <v>0.0</v>
      </c>
      <c r="AR749" s="62" t="str">
        <f>IF(OR(L749="",AA749&lt;&gt;"Facture"),"",IFERROR(IF(INDEX(fa_type,MATCH(L749,fa_num,0))="Facture d'acompte",MATCH(L749,fa_num,0),""),""))</f>
        <v/>
      </c>
      <c r="AS749" s="62" t="str">
        <f>IF(W749="","",IF(W749&lt;=0,"",IF(p_asof-P749&lt;=0,"Non échu",IF(p_asof-P749&lt;=30,"1-30 j",IF(p_asof-P749&lt;=60,"31-60 j",IF(p_asof-P749&lt;=90,"61-90 j","Plus de 90 j"))))))</f>
        <v/>
      </c>
      <c r="AT749" s="62" t="str">
        <f>IF(AS749="","",p_asof-P749)</f>
        <v/>
      </c>
      <c r="AU749" s="62" t="str">
        <f>IF(AT749="","",COUNTIF($AT$6:$AT$805,"&gt;"&amp;AT749)+COUNTIF($AT$6:AT749,AT749))</f>
        <v/>
      </c>
    </row>
    <row r="750">
      <c r="A750" s="59" t="str">
        <f>IF(AE750="","",AB750&amp;"-"&amp;AD750&amp;"-"&amp;RIGHT("000"&amp;AE750,4))</f>
        <v/>
      </c>
      <c r="B750" s="60" t="n"/>
      <c r="C750" s="61" t="n"/>
      <c r="D750" s="60" t="n"/>
      <c r="E750" s="62" t="str">
        <f>IF(D750="","",IFERROR(INDEX(cli_name,MATCH(D750,cli_code,0))&amp;"","Client inconnu"))</f>
        <v/>
      </c>
      <c r="F750" s="60" t="n"/>
      <c r="G750" s="63" t="n"/>
      <c r="H750" s="61" t="n"/>
      <c r="I750" s="63" t="n"/>
      <c r="J750" s="60" t="n"/>
      <c r="K750" s="61" t="n"/>
      <c r="L750" s="60" t="n"/>
      <c r="M750" s="60" t="n"/>
      <c r="N750" s="60" t="n"/>
      <c r="O750" s="61" t="n"/>
      <c r="P750" s="64" t="str">
        <f>IF(A750="","",IF(AA750="Avoir",AC750,IF(ISNUMBER(K750),K750,AC750+IF(D750="",N(p_delay),IFERROR(IF(ISNUMBER(INDEX(cli_delay,MATCH(D750,cli_code,0))),INDEX(cli_delay,MATCH(D750,cli_code,0)),N(p_delay)),N(p_delay))))))</f>
        <v/>
      </c>
      <c r="Q750" s="65" t="str">
        <f>IF(A750="","",IF(AA750="Avoir",-1,1)*ROUND(AJ750-IF(AR750="",0,INDEX(fa_htb,AR750)),2))</f>
        <v/>
      </c>
      <c r="R750" s="65" t="str">
        <f>IF(A750="","",IF(AA750="Avoir",-1,1)*ROUND(AQ750-IF(AR750="",0,INDEX(fa_tvab,AR750)),2))</f>
        <v/>
      </c>
      <c r="S750" s="65" t="str">
        <f>IF(A750="","",Q750+R750)</f>
        <v/>
      </c>
      <c r="T750" s="65" t="str">
        <f>IF(AR750="","",INDEX(fa_htb,AR750)+INDEX(fa_tvab,AR750))</f>
        <v/>
      </c>
      <c r="U750" s="65" t="str">
        <f>IF(A750="","",SUMIF(pa_inv,A750,pa_amt))</f>
        <v/>
      </c>
      <c r="V750" s="65" t="str">
        <f>IF(OR(A750="",AA750="Avoir"),"",-SUMIFS(fa_ttc,fa_avof,A750,fa_type,"Avoir"))</f>
        <v/>
      </c>
      <c r="W750" s="65" t="str">
        <f>IF(OR(A750="",AA750="Avoir"),"",ROUND(S750-U750-V750,2))</f>
        <v/>
      </c>
      <c r="X750" s="66" t="str">
        <f>IF(W750="","",IF(AND(W750&gt;0,p_asof&gt;P750),p_asof-P750,""))</f>
        <v/>
      </c>
      <c r="Y750" s="59" t="str">
        <f>IF(A750="","",IF(AA750="Avoir","Avoir",IF(W750&lt;0,"Trop-perçu",IF(W750=0,"Soldée",IF(p_asof&gt;P750,"En retard",IF(U750+V750&gt;0,"Partielle","À échoir"))))))</f>
        <v/>
      </c>
      <c r="Z750" s="59" t="str">
        <f>IF(NOT(COUNTA(B750:D750,F750:O750)&gt;0),"",IF(C750="","Date manquante",IF(NOT(ISNUMBER(C750)),"Date invalide",IF(D750="","Client manquant",IF(ISNA(MATCH(D750,cli_code,0)),"Client inconnu",IF(AC750&lt;SUMPRODUCT(MAX(($AB$6:AB749=AB750)*$AC$6:AC749)),"Date antérieure à la facture précédente",IF(AND(F750&lt;&gt;"",ISNA(MATCH(F750,dv_num,0))),"Devis inconnu",IF(AND(F750&lt;&gt;"",IFERROR(INDEX(dv_client,MATCH(F750,dv_num,0)),D750)&lt;&gt;D750),"Client différent de celui du devis",IF(AG750="","Aucune ligne : saisissez des lignes ou un devis",IF(AND(AI750&lt;&gt;"",COUNTIF($AI$6:AI750,AI750)&gt;1),"Devis déjà repris par une autre facture",IF(AND(AA750="Avoir",M750=""),"Avoir : indiquez la facture d'origine",IF(AND(AA750="Avoir",ISNA(MATCH(M750,fa_num,0))),"Facture d'origine inconnue",IF(AND(AA750&lt;&gt;"Avoir",M750&lt;&gt;""),"« Avoir sur facture » : réservé aux avoirs",IF(AND(L750&lt;&gt;"",AA750&lt;&gt;"Facture"),"Acompte à déduire : réservé aux factures",IF(AND(L750&lt;&gt;"",ISNA(MATCH(L750,fa_num,0))),"Facture d'acompte inconnue",IF(AND(L750&lt;&gt;"",IFERROR(INDEX(fa_type,MATCH(L750,fa_num,0)),"")&lt;&gt;"Facture d'acompte"),"Le n° à déduire n'est pas une facture d'acompte",IF(AND(L750&lt;&gt;"",COUNTIF($L$6:L750,L750)&gt;1),"Acompte déjà déduit sur une autre facture",IF(AND(L750&lt;&gt;"",IFERROR(INDEX(fa_client,MATCH(L750,fa_num,0)),D750)&lt;&gt;D750),"Acompte d'un autre client",IF(AND(AR750&lt;&gt;"",N(Q750)&lt;0),"Acompte supérieur au total de la facture",IF(IF(AG750="Facture",COUNTIFS(fl_doc,A750,fl_check,"&lt;&gt;OK"),IF(AG750="Devis",COUNTIFS(dl_doc,F750,dl_check,"&lt;&gt;OK"),0))&gt;0,"Ligne(s) à corriger",IF(AND(W750&lt;&gt;"",N(W750)&lt;0),"Trop-perçu : vérifiez paiements et avoirs","OK")))))))))))))))))))))</f>
        <v/>
      </c>
      <c r="AA750" s="62" t="str">
        <f>IF(COUNTA(B750:D750,F750:O750)&gt;0,IF(B750="","Facture",B750),"")</f>
        <v/>
      </c>
      <c r="AB750" s="62" t="str">
        <f>IF(AA750="","",IF(AA750="Avoir",p_pav,IF(AA750="Facture d'acompte",p_pac,p_pfa)))</f>
        <v/>
      </c>
      <c r="AC750" s="62">
        <f>IF(ISNUMBER(C750),C750,0)</f>
        <v>0.0</v>
      </c>
      <c r="AD750" s="62" t="str">
        <f>IF(OR(AA750="",AC750=0),"",YEAR(AC750))</f>
        <v/>
      </c>
      <c r="AE750" s="62" t="str">
        <f>IF(AD750="","",COUNTIFS($AB$6:AB750,AB750,$AD$6:AD750,AD750))</f>
        <v/>
      </c>
      <c r="AF750" s="62">
        <f>IF(A750="",0,COUNTIF(fl_doc,A750))</f>
        <v>0.0</v>
      </c>
      <c r="AG750" s="62" t="str">
        <f>IF(A750="","",IF(AF750&gt;0,"Facture",IF(AND(F750&lt;&gt;"",AA750="Facture",ISNUMBER(MATCH(F750,dv_num,0))),"Devis","")))</f>
        <v/>
      </c>
      <c r="AH750" s="62" t="str">
        <f>IF(AND(A750&lt;&gt;"",F750&lt;&gt;"",AA750&lt;&gt;"Avoir"),F750,"")</f>
        <v/>
      </c>
      <c r="AI750" s="62" t="str">
        <f>IF(AG750="Devis",F750,"")</f>
        <v/>
      </c>
      <c r="AJ750" s="62">
        <f>IF(AG750="Facture",SUMIF(fl_doc,A750,fl_ht),IF(AG750="Devis",SUMIF(dl_doc,F750,dl_ht),0))</f>
        <v>0.0</v>
      </c>
      <c r="AK750" s="62">
        <f>IF(OR(AG750="",INDEX(p_rates,1)=""),0,IF(AG750="Facture",SUMIFS(fl_ht,fl_doc,A750,fl_rate,INDEX(p_rates,1)),SUMIFS(dl_ht,dl_doc,F750,dl_rate,INDEX(p_rates,1))))</f>
        <v>0.0</v>
      </c>
      <c r="AL750" s="62">
        <f>IF(OR(AG750="",INDEX(p_rates,2)=""),0,IF(AG750="Facture",SUMIFS(fl_ht,fl_doc,A750,fl_rate,INDEX(p_rates,2)),SUMIFS(dl_ht,dl_doc,F750,dl_rate,INDEX(p_rates,2))))</f>
        <v>0.0</v>
      </c>
      <c r="AM750" s="62">
        <f>IF(OR(AG750="",INDEX(p_rates,3)=""),0,IF(AG750="Facture",SUMIFS(fl_ht,fl_doc,A750,fl_rate,INDEX(p_rates,3)),SUMIFS(dl_ht,dl_doc,F750,dl_rate,INDEX(p_rates,3))))</f>
        <v>0.0</v>
      </c>
      <c r="AN750" s="62">
        <f>IF(OR(AG750="",INDEX(p_rates,4)=""),0,IF(AG750="Facture",SUMIFS(fl_ht,fl_doc,A750,fl_rate,INDEX(p_rates,4)),SUMIFS(dl_ht,dl_doc,F750,dl_rate,INDEX(p_rates,4))))</f>
        <v>0.0</v>
      </c>
      <c r="AO750" s="62">
        <f>IF(OR(AG750="",INDEX(p_rates,5)=""),0,IF(AG750="Facture",SUMIFS(fl_ht,fl_doc,A750,fl_rate,INDEX(p_rates,5)),SUMIFS(dl_ht,dl_doc,F750,dl_rate,INDEX(p_rates,5))))</f>
        <v>0.0</v>
      </c>
      <c r="AP750" s="62">
        <f>IF(OR(AG750="",INDEX(p_rates,6)=""),0,IF(AG750="Facture",SUMIFS(fl_ht,fl_doc,A750,fl_rate,INDEX(p_rates,6)),SUMIFS(dl_ht,dl_doc,F750,dl_rate,INDEX(p_rates,6))))</f>
        <v>0.0</v>
      </c>
      <c r="AQ750" s="62">
        <f>ROUND(AK750*N(INDEX(p_rates,1)),2)+ROUND(AL750*N(INDEX(p_rates,2)),2)+ROUND(AM750*N(INDEX(p_rates,3)),2)+ROUND(AN750*N(INDEX(p_rates,4)),2)+ROUND(AO750*N(INDEX(p_rates,5)),2)+ROUND(AP750*N(INDEX(p_rates,6)),2)</f>
        <v>0.0</v>
      </c>
      <c r="AR750" s="62" t="str">
        <f>IF(OR(L750="",AA750&lt;&gt;"Facture"),"",IFERROR(IF(INDEX(fa_type,MATCH(L750,fa_num,0))="Facture d'acompte",MATCH(L750,fa_num,0),""),""))</f>
        <v/>
      </c>
      <c r="AS750" s="62" t="str">
        <f>IF(W750="","",IF(W750&lt;=0,"",IF(p_asof-P750&lt;=0,"Non échu",IF(p_asof-P750&lt;=30,"1-30 j",IF(p_asof-P750&lt;=60,"31-60 j",IF(p_asof-P750&lt;=90,"61-90 j","Plus de 90 j"))))))</f>
        <v/>
      </c>
      <c r="AT750" s="62" t="str">
        <f>IF(AS750="","",p_asof-P750)</f>
        <v/>
      </c>
      <c r="AU750" s="62" t="str">
        <f>IF(AT750="","",COUNTIF($AT$6:$AT$805,"&gt;"&amp;AT750)+COUNTIF($AT$6:AT750,AT750))</f>
        <v/>
      </c>
    </row>
    <row r="751">
      <c r="A751" s="59" t="str">
        <f>IF(AE751="","",AB751&amp;"-"&amp;AD751&amp;"-"&amp;RIGHT("000"&amp;AE751,4))</f>
        <v/>
      </c>
      <c r="B751" s="60" t="n"/>
      <c r="C751" s="61" t="n"/>
      <c r="D751" s="60" t="n"/>
      <c r="E751" s="62" t="str">
        <f>IF(D751="","",IFERROR(INDEX(cli_name,MATCH(D751,cli_code,0))&amp;"","Client inconnu"))</f>
        <v/>
      </c>
      <c r="F751" s="60" t="n"/>
      <c r="G751" s="63" t="n"/>
      <c r="H751" s="61" t="n"/>
      <c r="I751" s="63" t="n"/>
      <c r="J751" s="60" t="n"/>
      <c r="K751" s="61" t="n"/>
      <c r="L751" s="60" t="n"/>
      <c r="M751" s="60" t="n"/>
      <c r="N751" s="60" t="n"/>
      <c r="O751" s="61" t="n"/>
      <c r="P751" s="64" t="str">
        <f>IF(A751="","",IF(AA751="Avoir",AC751,IF(ISNUMBER(K751),K751,AC751+IF(D751="",N(p_delay),IFERROR(IF(ISNUMBER(INDEX(cli_delay,MATCH(D751,cli_code,0))),INDEX(cli_delay,MATCH(D751,cli_code,0)),N(p_delay)),N(p_delay))))))</f>
        <v/>
      </c>
      <c r="Q751" s="65" t="str">
        <f>IF(A751="","",IF(AA751="Avoir",-1,1)*ROUND(AJ751-IF(AR751="",0,INDEX(fa_htb,AR751)),2))</f>
        <v/>
      </c>
      <c r="R751" s="65" t="str">
        <f>IF(A751="","",IF(AA751="Avoir",-1,1)*ROUND(AQ751-IF(AR751="",0,INDEX(fa_tvab,AR751)),2))</f>
        <v/>
      </c>
      <c r="S751" s="65" t="str">
        <f>IF(A751="","",Q751+R751)</f>
        <v/>
      </c>
      <c r="T751" s="65" t="str">
        <f>IF(AR751="","",INDEX(fa_htb,AR751)+INDEX(fa_tvab,AR751))</f>
        <v/>
      </c>
      <c r="U751" s="65" t="str">
        <f>IF(A751="","",SUMIF(pa_inv,A751,pa_amt))</f>
        <v/>
      </c>
      <c r="V751" s="65" t="str">
        <f>IF(OR(A751="",AA751="Avoir"),"",-SUMIFS(fa_ttc,fa_avof,A751,fa_type,"Avoir"))</f>
        <v/>
      </c>
      <c r="W751" s="65" t="str">
        <f>IF(OR(A751="",AA751="Avoir"),"",ROUND(S751-U751-V751,2))</f>
        <v/>
      </c>
      <c r="X751" s="66" t="str">
        <f>IF(W751="","",IF(AND(W751&gt;0,p_asof&gt;P751),p_asof-P751,""))</f>
        <v/>
      </c>
      <c r="Y751" s="59" t="str">
        <f>IF(A751="","",IF(AA751="Avoir","Avoir",IF(W751&lt;0,"Trop-perçu",IF(W751=0,"Soldée",IF(p_asof&gt;P751,"En retard",IF(U751+V751&gt;0,"Partielle","À échoir"))))))</f>
        <v/>
      </c>
      <c r="Z751" s="59" t="str">
        <f>IF(NOT(COUNTA(B751:D751,F751:O751)&gt;0),"",IF(C751="","Date manquante",IF(NOT(ISNUMBER(C751)),"Date invalide",IF(D751="","Client manquant",IF(ISNA(MATCH(D751,cli_code,0)),"Client inconnu",IF(AC751&lt;SUMPRODUCT(MAX(($AB$6:AB750=AB751)*$AC$6:AC750)),"Date antérieure à la facture précédente",IF(AND(F751&lt;&gt;"",ISNA(MATCH(F751,dv_num,0))),"Devis inconnu",IF(AND(F751&lt;&gt;"",IFERROR(INDEX(dv_client,MATCH(F751,dv_num,0)),D751)&lt;&gt;D751),"Client différent de celui du devis",IF(AG751="","Aucune ligne : saisissez des lignes ou un devis",IF(AND(AI751&lt;&gt;"",COUNTIF($AI$6:AI751,AI751)&gt;1),"Devis déjà repris par une autre facture",IF(AND(AA751="Avoir",M751=""),"Avoir : indiquez la facture d'origine",IF(AND(AA751="Avoir",ISNA(MATCH(M751,fa_num,0))),"Facture d'origine inconnue",IF(AND(AA751&lt;&gt;"Avoir",M751&lt;&gt;""),"« Avoir sur facture » : réservé aux avoirs",IF(AND(L751&lt;&gt;"",AA751&lt;&gt;"Facture"),"Acompte à déduire : réservé aux factures",IF(AND(L751&lt;&gt;"",ISNA(MATCH(L751,fa_num,0))),"Facture d'acompte inconnue",IF(AND(L751&lt;&gt;"",IFERROR(INDEX(fa_type,MATCH(L751,fa_num,0)),"")&lt;&gt;"Facture d'acompte"),"Le n° à déduire n'est pas une facture d'acompte",IF(AND(L751&lt;&gt;"",COUNTIF($L$6:L751,L751)&gt;1),"Acompte déjà déduit sur une autre facture",IF(AND(L751&lt;&gt;"",IFERROR(INDEX(fa_client,MATCH(L751,fa_num,0)),D751)&lt;&gt;D751),"Acompte d'un autre client",IF(AND(AR751&lt;&gt;"",N(Q751)&lt;0),"Acompte supérieur au total de la facture",IF(IF(AG751="Facture",COUNTIFS(fl_doc,A751,fl_check,"&lt;&gt;OK"),IF(AG751="Devis",COUNTIFS(dl_doc,F751,dl_check,"&lt;&gt;OK"),0))&gt;0,"Ligne(s) à corriger",IF(AND(W751&lt;&gt;"",N(W751)&lt;0),"Trop-perçu : vérifiez paiements et avoirs","OK")))))))))))))))))))))</f>
        <v/>
      </c>
      <c r="AA751" s="62" t="str">
        <f>IF(COUNTA(B751:D751,F751:O751)&gt;0,IF(B751="","Facture",B751),"")</f>
        <v/>
      </c>
      <c r="AB751" s="62" t="str">
        <f>IF(AA751="","",IF(AA751="Avoir",p_pav,IF(AA751="Facture d'acompte",p_pac,p_pfa)))</f>
        <v/>
      </c>
      <c r="AC751" s="62">
        <f>IF(ISNUMBER(C751),C751,0)</f>
        <v>0.0</v>
      </c>
      <c r="AD751" s="62" t="str">
        <f>IF(OR(AA751="",AC751=0),"",YEAR(AC751))</f>
        <v/>
      </c>
      <c r="AE751" s="62" t="str">
        <f>IF(AD751="","",COUNTIFS($AB$6:AB751,AB751,$AD$6:AD751,AD751))</f>
        <v/>
      </c>
      <c r="AF751" s="62">
        <f>IF(A751="",0,COUNTIF(fl_doc,A751))</f>
        <v>0.0</v>
      </c>
      <c r="AG751" s="62" t="str">
        <f>IF(A751="","",IF(AF751&gt;0,"Facture",IF(AND(F751&lt;&gt;"",AA751="Facture",ISNUMBER(MATCH(F751,dv_num,0))),"Devis","")))</f>
        <v/>
      </c>
      <c r="AH751" s="62" t="str">
        <f>IF(AND(A751&lt;&gt;"",F751&lt;&gt;"",AA751&lt;&gt;"Avoir"),F751,"")</f>
        <v/>
      </c>
      <c r="AI751" s="62" t="str">
        <f>IF(AG751="Devis",F751,"")</f>
        <v/>
      </c>
      <c r="AJ751" s="62">
        <f>IF(AG751="Facture",SUMIF(fl_doc,A751,fl_ht),IF(AG751="Devis",SUMIF(dl_doc,F751,dl_ht),0))</f>
        <v>0.0</v>
      </c>
      <c r="AK751" s="62">
        <f>IF(OR(AG751="",INDEX(p_rates,1)=""),0,IF(AG751="Facture",SUMIFS(fl_ht,fl_doc,A751,fl_rate,INDEX(p_rates,1)),SUMIFS(dl_ht,dl_doc,F751,dl_rate,INDEX(p_rates,1))))</f>
        <v>0.0</v>
      </c>
      <c r="AL751" s="62">
        <f>IF(OR(AG751="",INDEX(p_rates,2)=""),0,IF(AG751="Facture",SUMIFS(fl_ht,fl_doc,A751,fl_rate,INDEX(p_rates,2)),SUMIFS(dl_ht,dl_doc,F751,dl_rate,INDEX(p_rates,2))))</f>
        <v>0.0</v>
      </c>
      <c r="AM751" s="62">
        <f>IF(OR(AG751="",INDEX(p_rates,3)=""),0,IF(AG751="Facture",SUMIFS(fl_ht,fl_doc,A751,fl_rate,INDEX(p_rates,3)),SUMIFS(dl_ht,dl_doc,F751,dl_rate,INDEX(p_rates,3))))</f>
        <v>0.0</v>
      </c>
      <c r="AN751" s="62">
        <f>IF(OR(AG751="",INDEX(p_rates,4)=""),0,IF(AG751="Facture",SUMIFS(fl_ht,fl_doc,A751,fl_rate,INDEX(p_rates,4)),SUMIFS(dl_ht,dl_doc,F751,dl_rate,INDEX(p_rates,4))))</f>
        <v>0.0</v>
      </c>
      <c r="AO751" s="62">
        <f>IF(OR(AG751="",INDEX(p_rates,5)=""),0,IF(AG751="Facture",SUMIFS(fl_ht,fl_doc,A751,fl_rate,INDEX(p_rates,5)),SUMIFS(dl_ht,dl_doc,F751,dl_rate,INDEX(p_rates,5))))</f>
        <v>0.0</v>
      </c>
      <c r="AP751" s="62">
        <f>IF(OR(AG751="",INDEX(p_rates,6)=""),0,IF(AG751="Facture",SUMIFS(fl_ht,fl_doc,A751,fl_rate,INDEX(p_rates,6)),SUMIFS(dl_ht,dl_doc,F751,dl_rate,INDEX(p_rates,6))))</f>
        <v>0.0</v>
      </c>
      <c r="AQ751" s="62">
        <f>ROUND(AK751*N(INDEX(p_rates,1)),2)+ROUND(AL751*N(INDEX(p_rates,2)),2)+ROUND(AM751*N(INDEX(p_rates,3)),2)+ROUND(AN751*N(INDEX(p_rates,4)),2)+ROUND(AO751*N(INDEX(p_rates,5)),2)+ROUND(AP751*N(INDEX(p_rates,6)),2)</f>
        <v>0.0</v>
      </c>
      <c r="AR751" s="62" t="str">
        <f>IF(OR(L751="",AA751&lt;&gt;"Facture"),"",IFERROR(IF(INDEX(fa_type,MATCH(L751,fa_num,0))="Facture d'acompte",MATCH(L751,fa_num,0),""),""))</f>
        <v/>
      </c>
      <c r="AS751" s="62" t="str">
        <f>IF(W751="","",IF(W751&lt;=0,"",IF(p_asof-P751&lt;=0,"Non échu",IF(p_asof-P751&lt;=30,"1-30 j",IF(p_asof-P751&lt;=60,"31-60 j",IF(p_asof-P751&lt;=90,"61-90 j","Plus de 90 j"))))))</f>
        <v/>
      </c>
      <c r="AT751" s="62" t="str">
        <f>IF(AS751="","",p_asof-P751)</f>
        <v/>
      </c>
      <c r="AU751" s="62" t="str">
        <f>IF(AT751="","",COUNTIF($AT$6:$AT$805,"&gt;"&amp;AT751)+COUNTIF($AT$6:AT751,AT751))</f>
        <v/>
      </c>
    </row>
    <row r="752">
      <c r="A752" s="59" t="str">
        <f>IF(AE752="","",AB752&amp;"-"&amp;AD752&amp;"-"&amp;RIGHT("000"&amp;AE752,4))</f>
        <v/>
      </c>
      <c r="B752" s="60" t="n"/>
      <c r="C752" s="61" t="n"/>
      <c r="D752" s="60" t="n"/>
      <c r="E752" s="62" t="str">
        <f>IF(D752="","",IFERROR(INDEX(cli_name,MATCH(D752,cli_code,0))&amp;"","Client inconnu"))</f>
        <v/>
      </c>
      <c r="F752" s="60" t="n"/>
      <c r="G752" s="63" t="n"/>
      <c r="H752" s="61" t="n"/>
      <c r="I752" s="63" t="n"/>
      <c r="J752" s="60" t="n"/>
      <c r="K752" s="61" t="n"/>
      <c r="L752" s="60" t="n"/>
      <c r="M752" s="60" t="n"/>
      <c r="N752" s="60" t="n"/>
      <c r="O752" s="61" t="n"/>
      <c r="P752" s="64" t="str">
        <f>IF(A752="","",IF(AA752="Avoir",AC752,IF(ISNUMBER(K752),K752,AC752+IF(D752="",N(p_delay),IFERROR(IF(ISNUMBER(INDEX(cli_delay,MATCH(D752,cli_code,0))),INDEX(cli_delay,MATCH(D752,cli_code,0)),N(p_delay)),N(p_delay))))))</f>
        <v/>
      </c>
      <c r="Q752" s="65" t="str">
        <f>IF(A752="","",IF(AA752="Avoir",-1,1)*ROUND(AJ752-IF(AR752="",0,INDEX(fa_htb,AR752)),2))</f>
        <v/>
      </c>
      <c r="R752" s="65" t="str">
        <f>IF(A752="","",IF(AA752="Avoir",-1,1)*ROUND(AQ752-IF(AR752="",0,INDEX(fa_tvab,AR752)),2))</f>
        <v/>
      </c>
      <c r="S752" s="65" t="str">
        <f>IF(A752="","",Q752+R752)</f>
        <v/>
      </c>
      <c r="T752" s="65" t="str">
        <f>IF(AR752="","",INDEX(fa_htb,AR752)+INDEX(fa_tvab,AR752))</f>
        <v/>
      </c>
      <c r="U752" s="65" t="str">
        <f>IF(A752="","",SUMIF(pa_inv,A752,pa_amt))</f>
        <v/>
      </c>
      <c r="V752" s="65" t="str">
        <f>IF(OR(A752="",AA752="Avoir"),"",-SUMIFS(fa_ttc,fa_avof,A752,fa_type,"Avoir"))</f>
        <v/>
      </c>
      <c r="W752" s="65" t="str">
        <f>IF(OR(A752="",AA752="Avoir"),"",ROUND(S752-U752-V752,2))</f>
        <v/>
      </c>
      <c r="X752" s="66" t="str">
        <f>IF(W752="","",IF(AND(W752&gt;0,p_asof&gt;P752),p_asof-P752,""))</f>
        <v/>
      </c>
      <c r="Y752" s="59" t="str">
        <f>IF(A752="","",IF(AA752="Avoir","Avoir",IF(W752&lt;0,"Trop-perçu",IF(W752=0,"Soldée",IF(p_asof&gt;P752,"En retard",IF(U752+V752&gt;0,"Partielle","À échoir"))))))</f>
        <v/>
      </c>
      <c r="Z752" s="59" t="str">
        <f>IF(NOT(COUNTA(B752:D752,F752:O752)&gt;0),"",IF(C752="","Date manquante",IF(NOT(ISNUMBER(C752)),"Date invalide",IF(D752="","Client manquant",IF(ISNA(MATCH(D752,cli_code,0)),"Client inconnu",IF(AC752&lt;SUMPRODUCT(MAX(($AB$6:AB751=AB752)*$AC$6:AC751)),"Date antérieure à la facture précédente",IF(AND(F752&lt;&gt;"",ISNA(MATCH(F752,dv_num,0))),"Devis inconnu",IF(AND(F752&lt;&gt;"",IFERROR(INDEX(dv_client,MATCH(F752,dv_num,0)),D752)&lt;&gt;D752),"Client différent de celui du devis",IF(AG752="","Aucune ligne : saisissez des lignes ou un devis",IF(AND(AI752&lt;&gt;"",COUNTIF($AI$6:AI752,AI752)&gt;1),"Devis déjà repris par une autre facture",IF(AND(AA752="Avoir",M752=""),"Avoir : indiquez la facture d'origine",IF(AND(AA752="Avoir",ISNA(MATCH(M752,fa_num,0))),"Facture d'origine inconnue",IF(AND(AA752&lt;&gt;"Avoir",M752&lt;&gt;""),"« Avoir sur facture » : réservé aux avoirs",IF(AND(L752&lt;&gt;"",AA752&lt;&gt;"Facture"),"Acompte à déduire : réservé aux factures",IF(AND(L752&lt;&gt;"",ISNA(MATCH(L752,fa_num,0))),"Facture d'acompte inconnue",IF(AND(L752&lt;&gt;"",IFERROR(INDEX(fa_type,MATCH(L752,fa_num,0)),"")&lt;&gt;"Facture d'acompte"),"Le n° à déduire n'est pas une facture d'acompte",IF(AND(L752&lt;&gt;"",COUNTIF($L$6:L752,L752)&gt;1),"Acompte déjà déduit sur une autre facture",IF(AND(L752&lt;&gt;"",IFERROR(INDEX(fa_client,MATCH(L752,fa_num,0)),D752)&lt;&gt;D752),"Acompte d'un autre client",IF(AND(AR752&lt;&gt;"",N(Q752)&lt;0),"Acompte supérieur au total de la facture",IF(IF(AG752="Facture",COUNTIFS(fl_doc,A752,fl_check,"&lt;&gt;OK"),IF(AG752="Devis",COUNTIFS(dl_doc,F752,dl_check,"&lt;&gt;OK"),0))&gt;0,"Ligne(s) à corriger",IF(AND(W752&lt;&gt;"",N(W752)&lt;0),"Trop-perçu : vérifiez paiements et avoirs","OK")))))))))))))))))))))</f>
        <v/>
      </c>
      <c r="AA752" s="62" t="str">
        <f>IF(COUNTA(B752:D752,F752:O752)&gt;0,IF(B752="","Facture",B752),"")</f>
        <v/>
      </c>
      <c r="AB752" s="62" t="str">
        <f>IF(AA752="","",IF(AA752="Avoir",p_pav,IF(AA752="Facture d'acompte",p_pac,p_pfa)))</f>
        <v/>
      </c>
      <c r="AC752" s="62">
        <f>IF(ISNUMBER(C752),C752,0)</f>
        <v>0.0</v>
      </c>
      <c r="AD752" s="62" t="str">
        <f>IF(OR(AA752="",AC752=0),"",YEAR(AC752))</f>
        <v/>
      </c>
      <c r="AE752" s="62" t="str">
        <f>IF(AD752="","",COUNTIFS($AB$6:AB752,AB752,$AD$6:AD752,AD752))</f>
        <v/>
      </c>
      <c r="AF752" s="62">
        <f>IF(A752="",0,COUNTIF(fl_doc,A752))</f>
        <v>0.0</v>
      </c>
      <c r="AG752" s="62" t="str">
        <f>IF(A752="","",IF(AF752&gt;0,"Facture",IF(AND(F752&lt;&gt;"",AA752="Facture",ISNUMBER(MATCH(F752,dv_num,0))),"Devis","")))</f>
        <v/>
      </c>
      <c r="AH752" s="62" t="str">
        <f>IF(AND(A752&lt;&gt;"",F752&lt;&gt;"",AA752&lt;&gt;"Avoir"),F752,"")</f>
        <v/>
      </c>
      <c r="AI752" s="62" t="str">
        <f>IF(AG752="Devis",F752,"")</f>
        <v/>
      </c>
      <c r="AJ752" s="62">
        <f>IF(AG752="Facture",SUMIF(fl_doc,A752,fl_ht),IF(AG752="Devis",SUMIF(dl_doc,F752,dl_ht),0))</f>
        <v>0.0</v>
      </c>
      <c r="AK752" s="62">
        <f>IF(OR(AG752="",INDEX(p_rates,1)=""),0,IF(AG752="Facture",SUMIFS(fl_ht,fl_doc,A752,fl_rate,INDEX(p_rates,1)),SUMIFS(dl_ht,dl_doc,F752,dl_rate,INDEX(p_rates,1))))</f>
        <v>0.0</v>
      </c>
      <c r="AL752" s="62">
        <f>IF(OR(AG752="",INDEX(p_rates,2)=""),0,IF(AG752="Facture",SUMIFS(fl_ht,fl_doc,A752,fl_rate,INDEX(p_rates,2)),SUMIFS(dl_ht,dl_doc,F752,dl_rate,INDEX(p_rates,2))))</f>
        <v>0.0</v>
      </c>
      <c r="AM752" s="62">
        <f>IF(OR(AG752="",INDEX(p_rates,3)=""),0,IF(AG752="Facture",SUMIFS(fl_ht,fl_doc,A752,fl_rate,INDEX(p_rates,3)),SUMIFS(dl_ht,dl_doc,F752,dl_rate,INDEX(p_rates,3))))</f>
        <v>0.0</v>
      </c>
      <c r="AN752" s="62">
        <f>IF(OR(AG752="",INDEX(p_rates,4)=""),0,IF(AG752="Facture",SUMIFS(fl_ht,fl_doc,A752,fl_rate,INDEX(p_rates,4)),SUMIFS(dl_ht,dl_doc,F752,dl_rate,INDEX(p_rates,4))))</f>
        <v>0.0</v>
      </c>
      <c r="AO752" s="62">
        <f>IF(OR(AG752="",INDEX(p_rates,5)=""),0,IF(AG752="Facture",SUMIFS(fl_ht,fl_doc,A752,fl_rate,INDEX(p_rates,5)),SUMIFS(dl_ht,dl_doc,F752,dl_rate,INDEX(p_rates,5))))</f>
        <v>0.0</v>
      </c>
      <c r="AP752" s="62">
        <f>IF(OR(AG752="",INDEX(p_rates,6)=""),0,IF(AG752="Facture",SUMIFS(fl_ht,fl_doc,A752,fl_rate,INDEX(p_rates,6)),SUMIFS(dl_ht,dl_doc,F752,dl_rate,INDEX(p_rates,6))))</f>
        <v>0.0</v>
      </c>
      <c r="AQ752" s="62">
        <f>ROUND(AK752*N(INDEX(p_rates,1)),2)+ROUND(AL752*N(INDEX(p_rates,2)),2)+ROUND(AM752*N(INDEX(p_rates,3)),2)+ROUND(AN752*N(INDEX(p_rates,4)),2)+ROUND(AO752*N(INDEX(p_rates,5)),2)+ROUND(AP752*N(INDEX(p_rates,6)),2)</f>
        <v>0.0</v>
      </c>
      <c r="AR752" s="62" t="str">
        <f>IF(OR(L752="",AA752&lt;&gt;"Facture"),"",IFERROR(IF(INDEX(fa_type,MATCH(L752,fa_num,0))="Facture d'acompte",MATCH(L752,fa_num,0),""),""))</f>
        <v/>
      </c>
      <c r="AS752" s="62" t="str">
        <f>IF(W752="","",IF(W752&lt;=0,"",IF(p_asof-P752&lt;=0,"Non échu",IF(p_asof-P752&lt;=30,"1-30 j",IF(p_asof-P752&lt;=60,"31-60 j",IF(p_asof-P752&lt;=90,"61-90 j","Plus de 90 j"))))))</f>
        <v/>
      </c>
      <c r="AT752" s="62" t="str">
        <f>IF(AS752="","",p_asof-P752)</f>
        <v/>
      </c>
      <c r="AU752" s="62" t="str">
        <f>IF(AT752="","",COUNTIF($AT$6:$AT$805,"&gt;"&amp;AT752)+COUNTIF($AT$6:AT752,AT752))</f>
        <v/>
      </c>
    </row>
    <row r="753">
      <c r="A753" s="59" t="str">
        <f>IF(AE753="","",AB753&amp;"-"&amp;AD753&amp;"-"&amp;RIGHT("000"&amp;AE753,4))</f>
        <v/>
      </c>
      <c r="B753" s="60" t="n"/>
      <c r="C753" s="61" t="n"/>
      <c r="D753" s="60" t="n"/>
      <c r="E753" s="62" t="str">
        <f>IF(D753="","",IFERROR(INDEX(cli_name,MATCH(D753,cli_code,0))&amp;"","Client inconnu"))</f>
        <v/>
      </c>
      <c r="F753" s="60" t="n"/>
      <c r="G753" s="63" t="n"/>
      <c r="H753" s="61" t="n"/>
      <c r="I753" s="63" t="n"/>
      <c r="J753" s="60" t="n"/>
      <c r="K753" s="61" t="n"/>
      <c r="L753" s="60" t="n"/>
      <c r="M753" s="60" t="n"/>
      <c r="N753" s="60" t="n"/>
      <c r="O753" s="61" t="n"/>
      <c r="P753" s="64" t="str">
        <f>IF(A753="","",IF(AA753="Avoir",AC753,IF(ISNUMBER(K753),K753,AC753+IF(D753="",N(p_delay),IFERROR(IF(ISNUMBER(INDEX(cli_delay,MATCH(D753,cli_code,0))),INDEX(cli_delay,MATCH(D753,cli_code,0)),N(p_delay)),N(p_delay))))))</f>
        <v/>
      </c>
      <c r="Q753" s="65" t="str">
        <f>IF(A753="","",IF(AA753="Avoir",-1,1)*ROUND(AJ753-IF(AR753="",0,INDEX(fa_htb,AR753)),2))</f>
        <v/>
      </c>
      <c r="R753" s="65" t="str">
        <f>IF(A753="","",IF(AA753="Avoir",-1,1)*ROUND(AQ753-IF(AR753="",0,INDEX(fa_tvab,AR753)),2))</f>
        <v/>
      </c>
      <c r="S753" s="65" t="str">
        <f>IF(A753="","",Q753+R753)</f>
        <v/>
      </c>
      <c r="T753" s="65" t="str">
        <f>IF(AR753="","",INDEX(fa_htb,AR753)+INDEX(fa_tvab,AR753))</f>
        <v/>
      </c>
      <c r="U753" s="65" t="str">
        <f>IF(A753="","",SUMIF(pa_inv,A753,pa_amt))</f>
        <v/>
      </c>
      <c r="V753" s="65" t="str">
        <f>IF(OR(A753="",AA753="Avoir"),"",-SUMIFS(fa_ttc,fa_avof,A753,fa_type,"Avoir"))</f>
        <v/>
      </c>
      <c r="W753" s="65" t="str">
        <f>IF(OR(A753="",AA753="Avoir"),"",ROUND(S753-U753-V753,2))</f>
        <v/>
      </c>
      <c r="X753" s="66" t="str">
        <f>IF(W753="","",IF(AND(W753&gt;0,p_asof&gt;P753),p_asof-P753,""))</f>
        <v/>
      </c>
      <c r="Y753" s="59" t="str">
        <f>IF(A753="","",IF(AA753="Avoir","Avoir",IF(W753&lt;0,"Trop-perçu",IF(W753=0,"Soldée",IF(p_asof&gt;P753,"En retard",IF(U753+V753&gt;0,"Partielle","À échoir"))))))</f>
        <v/>
      </c>
      <c r="Z753" s="59" t="str">
        <f>IF(NOT(COUNTA(B753:D753,F753:O753)&gt;0),"",IF(C753="","Date manquante",IF(NOT(ISNUMBER(C753)),"Date invalide",IF(D753="","Client manquant",IF(ISNA(MATCH(D753,cli_code,0)),"Client inconnu",IF(AC753&lt;SUMPRODUCT(MAX(($AB$6:AB752=AB753)*$AC$6:AC752)),"Date antérieure à la facture précédente",IF(AND(F753&lt;&gt;"",ISNA(MATCH(F753,dv_num,0))),"Devis inconnu",IF(AND(F753&lt;&gt;"",IFERROR(INDEX(dv_client,MATCH(F753,dv_num,0)),D753)&lt;&gt;D753),"Client différent de celui du devis",IF(AG753="","Aucune ligne : saisissez des lignes ou un devis",IF(AND(AI753&lt;&gt;"",COUNTIF($AI$6:AI753,AI753)&gt;1),"Devis déjà repris par une autre facture",IF(AND(AA753="Avoir",M753=""),"Avoir : indiquez la facture d'origine",IF(AND(AA753="Avoir",ISNA(MATCH(M753,fa_num,0))),"Facture d'origine inconnue",IF(AND(AA753&lt;&gt;"Avoir",M753&lt;&gt;""),"« Avoir sur facture » : réservé aux avoirs",IF(AND(L753&lt;&gt;"",AA753&lt;&gt;"Facture"),"Acompte à déduire : réservé aux factures",IF(AND(L753&lt;&gt;"",ISNA(MATCH(L753,fa_num,0))),"Facture d'acompte inconnue",IF(AND(L753&lt;&gt;"",IFERROR(INDEX(fa_type,MATCH(L753,fa_num,0)),"")&lt;&gt;"Facture d'acompte"),"Le n° à déduire n'est pas une facture d'acompte",IF(AND(L753&lt;&gt;"",COUNTIF($L$6:L753,L753)&gt;1),"Acompte déjà déduit sur une autre facture",IF(AND(L753&lt;&gt;"",IFERROR(INDEX(fa_client,MATCH(L753,fa_num,0)),D753)&lt;&gt;D753),"Acompte d'un autre client",IF(AND(AR753&lt;&gt;"",N(Q753)&lt;0),"Acompte supérieur au total de la facture",IF(IF(AG753="Facture",COUNTIFS(fl_doc,A753,fl_check,"&lt;&gt;OK"),IF(AG753="Devis",COUNTIFS(dl_doc,F753,dl_check,"&lt;&gt;OK"),0))&gt;0,"Ligne(s) à corriger",IF(AND(W753&lt;&gt;"",N(W753)&lt;0),"Trop-perçu : vérifiez paiements et avoirs","OK")))))))))))))))))))))</f>
        <v/>
      </c>
      <c r="AA753" s="62" t="str">
        <f>IF(COUNTA(B753:D753,F753:O753)&gt;0,IF(B753="","Facture",B753),"")</f>
        <v/>
      </c>
      <c r="AB753" s="62" t="str">
        <f>IF(AA753="","",IF(AA753="Avoir",p_pav,IF(AA753="Facture d'acompte",p_pac,p_pfa)))</f>
        <v/>
      </c>
      <c r="AC753" s="62">
        <f>IF(ISNUMBER(C753),C753,0)</f>
        <v>0.0</v>
      </c>
      <c r="AD753" s="62" t="str">
        <f>IF(OR(AA753="",AC753=0),"",YEAR(AC753))</f>
        <v/>
      </c>
      <c r="AE753" s="62" t="str">
        <f>IF(AD753="","",COUNTIFS($AB$6:AB753,AB753,$AD$6:AD753,AD753))</f>
        <v/>
      </c>
      <c r="AF753" s="62">
        <f>IF(A753="",0,COUNTIF(fl_doc,A753))</f>
        <v>0.0</v>
      </c>
      <c r="AG753" s="62" t="str">
        <f>IF(A753="","",IF(AF753&gt;0,"Facture",IF(AND(F753&lt;&gt;"",AA753="Facture",ISNUMBER(MATCH(F753,dv_num,0))),"Devis","")))</f>
        <v/>
      </c>
      <c r="AH753" s="62" t="str">
        <f>IF(AND(A753&lt;&gt;"",F753&lt;&gt;"",AA753&lt;&gt;"Avoir"),F753,"")</f>
        <v/>
      </c>
      <c r="AI753" s="62" t="str">
        <f>IF(AG753="Devis",F753,"")</f>
        <v/>
      </c>
      <c r="AJ753" s="62">
        <f>IF(AG753="Facture",SUMIF(fl_doc,A753,fl_ht),IF(AG753="Devis",SUMIF(dl_doc,F753,dl_ht),0))</f>
        <v>0.0</v>
      </c>
      <c r="AK753" s="62">
        <f>IF(OR(AG753="",INDEX(p_rates,1)=""),0,IF(AG753="Facture",SUMIFS(fl_ht,fl_doc,A753,fl_rate,INDEX(p_rates,1)),SUMIFS(dl_ht,dl_doc,F753,dl_rate,INDEX(p_rates,1))))</f>
        <v>0.0</v>
      </c>
      <c r="AL753" s="62">
        <f>IF(OR(AG753="",INDEX(p_rates,2)=""),0,IF(AG753="Facture",SUMIFS(fl_ht,fl_doc,A753,fl_rate,INDEX(p_rates,2)),SUMIFS(dl_ht,dl_doc,F753,dl_rate,INDEX(p_rates,2))))</f>
        <v>0.0</v>
      </c>
      <c r="AM753" s="62">
        <f>IF(OR(AG753="",INDEX(p_rates,3)=""),0,IF(AG753="Facture",SUMIFS(fl_ht,fl_doc,A753,fl_rate,INDEX(p_rates,3)),SUMIFS(dl_ht,dl_doc,F753,dl_rate,INDEX(p_rates,3))))</f>
        <v>0.0</v>
      </c>
      <c r="AN753" s="62">
        <f>IF(OR(AG753="",INDEX(p_rates,4)=""),0,IF(AG753="Facture",SUMIFS(fl_ht,fl_doc,A753,fl_rate,INDEX(p_rates,4)),SUMIFS(dl_ht,dl_doc,F753,dl_rate,INDEX(p_rates,4))))</f>
        <v>0.0</v>
      </c>
      <c r="AO753" s="62">
        <f>IF(OR(AG753="",INDEX(p_rates,5)=""),0,IF(AG753="Facture",SUMIFS(fl_ht,fl_doc,A753,fl_rate,INDEX(p_rates,5)),SUMIFS(dl_ht,dl_doc,F753,dl_rate,INDEX(p_rates,5))))</f>
        <v>0.0</v>
      </c>
      <c r="AP753" s="62">
        <f>IF(OR(AG753="",INDEX(p_rates,6)=""),0,IF(AG753="Facture",SUMIFS(fl_ht,fl_doc,A753,fl_rate,INDEX(p_rates,6)),SUMIFS(dl_ht,dl_doc,F753,dl_rate,INDEX(p_rates,6))))</f>
        <v>0.0</v>
      </c>
      <c r="AQ753" s="62">
        <f>ROUND(AK753*N(INDEX(p_rates,1)),2)+ROUND(AL753*N(INDEX(p_rates,2)),2)+ROUND(AM753*N(INDEX(p_rates,3)),2)+ROUND(AN753*N(INDEX(p_rates,4)),2)+ROUND(AO753*N(INDEX(p_rates,5)),2)+ROUND(AP753*N(INDEX(p_rates,6)),2)</f>
        <v>0.0</v>
      </c>
      <c r="AR753" s="62" t="str">
        <f>IF(OR(L753="",AA753&lt;&gt;"Facture"),"",IFERROR(IF(INDEX(fa_type,MATCH(L753,fa_num,0))="Facture d'acompte",MATCH(L753,fa_num,0),""),""))</f>
        <v/>
      </c>
      <c r="AS753" s="62" t="str">
        <f>IF(W753="","",IF(W753&lt;=0,"",IF(p_asof-P753&lt;=0,"Non échu",IF(p_asof-P753&lt;=30,"1-30 j",IF(p_asof-P753&lt;=60,"31-60 j",IF(p_asof-P753&lt;=90,"61-90 j","Plus de 90 j"))))))</f>
        <v/>
      </c>
      <c r="AT753" s="62" t="str">
        <f>IF(AS753="","",p_asof-P753)</f>
        <v/>
      </c>
      <c r="AU753" s="62" t="str">
        <f>IF(AT753="","",COUNTIF($AT$6:$AT$805,"&gt;"&amp;AT753)+COUNTIF($AT$6:AT753,AT753))</f>
        <v/>
      </c>
    </row>
    <row r="754">
      <c r="A754" s="59" t="str">
        <f>IF(AE754="","",AB754&amp;"-"&amp;AD754&amp;"-"&amp;RIGHT("000"&amp;AE754,4))</f>
        <v/>
      </c>
      <c r="B754" s="60" t="n"/>
      <c r="C754" s="61" t="n"/>
      <c r="D754" s="60" t="n"/>
      <c r="E754" s="62" t="str">
        <f>IF(D754="","",IFERROR(INDEX(cli_name,MATCH(D754,cli_code,0))&amp;"","Client inconnu"))</f>
        <v/>
      </c>
      <c r="F754" s="60" t="n"/>
      <c r="G754" s="63" t="n"/>
      <c r="H754" s="61" t="n"/>
      <c r="I754" s="63" t="n"/>
      <c r="J754" s="60" t="n"/>
      <c r="K754" s="61" t="n"/>
      <c r="L754" s="60" t="n"/>
      <c r="M754" s="60" t="n"/>
      <c r="N754" s="60" t="n"/>
      <c r="O754" s="61" t="n"/>
      <c r="P754" s="64" t="str">
        <f>IF(A754="","",IF(AA754="Avoir",AC754,IF(ISNUMBER(K754),K754,AC754+IF(D754="",N(p_delay),IFERROR(IF(ISNUMBER(INDEX(cli_delay,MATCH(D754,cli_code,0))),INDEX(cli_delay,MATCH(D754,cli_code,0)),N(p_delay)),N(p_delay))))))</f>
        <v/>
      </c>
      <c r="Q754" s="65" t="str">
        <f>IF(A754="","",IF(AA754="Avoir",-1,1)*ROUND(AJ754-IF(AR754="",0,INDEX(fa_htb,AR754)),2))</f>
        <v/>
      </c>
      <c r="R754" s="65" t="str">
        <f>IF(A754="","",IF(AA754="Avoir",-1,1)*ROUND(AQ754-IF(AR754="",0,INDEX(fa_tvab,AR754)),2))</f>
        <v/>
      </c>
      <c r="S754" s="65" t="str">
        <f>IF(A754="","",Q754+R754)</f>
        <v/>
      </c>
      <c r="T754" s="65" t="str">
        <f>IF(AR754="","",INDEX(fa_htb,AR754)+INDEX(fa_tvab,AR754))</f>
        <v/>
      </c>
      <c r="U754" s="65" t="str">
        <f>IF(A754="","",SUMIF(pa_inv,A754,pa_amt))</f>
        <v/>
      </c>
      <c r="V754" s="65" t="str">
        <f>IF(OR(A754="",AA754="Avoir"),"",-SUMIFS(fa_ttc,fa_avof,A754,fa_type,"Avoir"))</f>
        <v/>
      </c>
      <c r="W754" s="65" t="str">
        <f>IF(OR(A754="",AA754="Avoir"),"",ROUND(S754-U754-V754,2))</f>
        <v/>
      </c>
      <c r="X754" s="66" t="str">
        <f>IF(W754="","",IF(AND(W754&gt;0,p_asof&gt;P754),p_asof-P754,""))</f>
        <v/>
      </c>
      <c r="Y754" s="59" t="str">
        <f>IF(A754="","",IF(AA754="Avoir","Avoir",IF(W754&lt;0,"Trop-perçu",IF(W754=0,"Soldée",IF(p_asof&gt;P754,"En retard",IF(U754+V754&gt;0,"Partielle","À échoir"))))))</f>
        <v/>
      </c>
      <c r="Z754" s="59" t="str">
        <f>IF(NOT(COUNTA(B754:D754,F754:O754)&gt;0),"",IF(C754="","Date manquante",IF(NOT(ISNUMBER(C754)),"Date invalide",IF(D754="","Client manquant",IF(ISNA(MATCH(D754,cli_code,0)),"Client inconnu",IF(AC754&lt;SUMPRODUCT(MAX(($AB$6:AB753=AB754)*$AC$6:AC753)),"Date antérieure à la facture précédente",IF(AND(F754&lt;&gt;"",ISNA(MATCH(F754,dv_num,0))),"Devis inconnu",IF(AND(F754&lt;&gt;"",IFERROR(INDEX(dv_client,MATCH(F754,dv_num,0)),D754)&lt;&gt;D754),"Client différent de celui du devis",IF(AG754="","Aucune ligne : saisissez des lignes ou un devis",IF(AND(AI754&lt;&gt;"",COUNTIF($AI$6:AI754,AI754)&gt;1),"Devis déjà repris par une autre facture",IF(AND(AA754="Avoir",M754=""),"Avoir : indiquez la facture d'origine",IF(AND(AA754="Avoir",ISNA(MATCH(M754,fa_num,0))),"Facture d'origine inconnue",IF(AND(AA754&lt;&gt;"Avoir",M754&lt;&gt;""),"« Avoir sur facture » : réservé aux avoirs",IF(AND(L754&lt;&gt;"",AA754&lt;&gt;"Facture"),"Acompte à déduire : réservé aux factures",IF(AND(L754&lt;&gt;"",ISNA(MATCH(L754,fa_num,0))),"Facture d'acompte inconnue",IF(AND(L754&lt;&gt;"",IFERROR(INDEX(fa_type,MATCH(L754,fa_num,0)),"")&lt;&gt;"Facture d'acompte"),"Le n° à déduire n'est pas une facture d'acompte",IF(AND(L754&lt;&gt;"",COUNTIF($L$6:L754,L754)&gt;1),"Acompte déjà déduit sur une autre facture",IF(AND(L754&lt;&gt;"",IFERROR(INDEX(fa_client,MATCH(L754,fa_num,0)),D754)&lt;&gt;D754),"Acompte d'un autre client",IF(AND(AR754&lt;&gt;"",N(Q754)&lt;0),"Acompte supérieur au total de la facture",IF(IF(AG754="Facture",COUNTIFS(fl_doc,A754,fl_check,"&lt;&gt;OK"),IF(AG754="Devis",COUNTIFS(dl_doc,F754,dl_check,"&lt;&gt;OK"),0))&gt;0,"Ligne(s) à corriger",IF(AND(W754&lt;&gt;"",N(W754)&lt;0),"Trop-perçu : vérifiez paiements et avoirs","OK")))))))))))))))))))))</f>
        <v/>
      </c>
      <c r="AA754" s="62" t="str">
        <f>IF(COUNTA(B754:D754,F754:O754)&gt;0,IF(B754="","Facture",B754),"")</f>
        <v/>
      </c>
      <c r="AB754" s="62" t="str">
        <f>IF(AA754="","",IF(AA754="Avoir",p_pav,IF(AA754="Facture d'acompte",p_pac,p_pfa)))</f>
        <v/>
      </c>
      <c r="AC754" s="62">
        <f>IF(ISNUMBER(C754),C754,0)</f>
        <v>0.0</v>
      </c>
      <c r="AD754" s="62" t="str">
        <f>IF(OR(AA754="",AC754=0),"",YEAR(AC754))</f>
        <v/>
      </c>
      <c r="AE754" s="62" t="str">
        <f>IF(AD754="","",COUNTIFS($AB$6:AB754,AB754,$AD$6:AD754,AD754))</f>
        <v/>
      </c>
      <c r="AF754" s="62">
        <f>IF(A754="",0,COUNTIF(fl_doc,A754))</f>
        <v>0.0</v>
      </c>
      <c r="AG754" s="62" t="str">
        <f>IF(A754="","",IF(AF754&gt;0,"Facture",IF(AND(F754&lt;&gt;"",AA754="Facture",ISNUMBER(MATCH(F754,dv_num,0))),"Devis","")))</f>
        <v/>
      </c>
      <c r="AH754" s="62" t="str">
        <f>IF(AND(A754&lt;&gt;"",F754&lt;&gt;"",AA754&lt;&gt;"Avoir"),F754,"")</f>
        <v/>
      </c>
      <c r="AI754" s="62" t="str">
        <f>IF(AG754="Devis",F754,"")</f>
        <v/>
      </c>
      <c r="AJ754" s="62">
        <f>IF(AG754="Facture",SUMIF(fl_doc,A754,fl_ht),IF(AG754="Devis",SUMIF(dl_doc,F754,dl_ht),0))</f>
        <v>0.0</v>
      </c>
      <c r="AK754" s="62">
        <f>IF(OR(AG754="",INDEX(p_rates,1)=""),0,IF(AG754="Facture",SUMIFS(fl_ht,fl_doc,A754,fl_rate,INDEX(p_rates,1)),SUMIFS(dl_ht,dl_doc,F754,dl_rate,INDEX(p_rates,1))))</f>
        <v>0.0</v>
      </c>
      <c r="AL754" s="62">
        <f>IF(OR(AG754="",INDEX(p_rates,2)=""),0,IF(AG754="Facture",SUMIFS(fl_ht,fl_doc,A754,fl_rate,INDEX(p_rates,2)),SUMIFS(dl_ht,dl_doc,F754,dl_rate,INDEX(p_rates,2))))</f>
        <v>0.0</v>
      </c>
      <c r="AM754" s="62">
        <f>IF(OR(AG754="",INDEX(p_rates,3)=""),0,IF(AG754="Facture",SUMIFS(fl_ht,fl_doc,A754,fl_rate,INDEX(p_rates,3)),SUMIFS(dl_ht,dl_doc,F754,dl_rate,INDEX(p_rates,3))))</f>
        <v>0.0</v>
      </c>
      <c r="AN754" s="62">
        <f>IF(OR(AG754="",INDEX(p_rates,4)=""),0,IF(AG754="Facture",SUMIFS(fl_ht,fl_doc,A754,fl_rate,INDEX(p_rates,4)),SUMIFS(dl_ht,dl_doc,F754,dl_rate,INDEX(p_rates,4))))</f>
        <v>0.0</v>
      </c>
      <c r="AO754" s="62">
        <f>IF(OR(AG754="",INDEX(p_rates,5)=""),0,IF(AG754="Facture",SUMIFS(fl_ht,fl_doc,A754,fl_rate,INDEX(p_rates,5)),SUMIFS(dl_ht,dl_doc,F754,dl_rate,INDEX(p_rates,5))))</f>
        <v>0.0</v>
      </c>
      <c r="AP754" s="62">
        <f>IF(OR(AG754="",INDEX(p_rates,6)=""),0,IF(AG754="Facture",SUMIFS(fl_ht,fl_doc,A754,fl_rate,INDEX(p_rates,6)),SUMIFS(dl_ht,dl_doc,F754,dl_rate,INDEX(p_rates,6))))</f>
        <v>0.0</v>
      </c>
      <c r="AQ754" s="62">
        <f>ROUND(AK754*N(INDEX(p_rates,1)),2)+ROUND(AL754*N(INDEX(p_rates,2)),2)+ROUND(AM754*N(INDEX(p_rates,3)),2)+ROUND(AN754*N(INDEX(p_rates,4)),2)+ROUND(AO754*N(INDEX(p_rates,5)),2)+ROUND(AP754*N(INDEX(p_rates,6)),2)</f>
        <v>0.0</v>
      </c>
      <c r="AR754" s="62" t="str">
        <f>IF(OR(L754="",AA754&lt;&gt;"Facture"),"",IFERROR(IF(INDEX(fa_type,MATCH(L754,fa_num,0))="Facture d'acompte",MATCH(L754,fa_num,0),""),""))</f>
        <v/>
      </c>
      <c r="AS754" s="62" t="str">
        <f>IF(W754="","",IF(W754&lt;=0,"",IF(p_asof-P754&lt;=0,"Non échu",IF(p_asof-P754&lt;=30,"1-30 j",IF(p_asof-P754&lt;=60,"31-60 j",IF(p_asof-P754&lt;=90,"61-90 j","Plus de 90 j"))))))</f>
        <v/>
      </c>
      <c r="AT754" s="62" t="str">
        <f>IF(AS754="","",p_asof-P754)</f>
        <v/>
      </c>
      <c r="AU754" s="62" t="str">
        <f>IF(AT754="","",COUNTIF($AT$6:$AT$805,"&gt;"&amp;AT754)+COUNTIF($AT$6:AT754,AT754))</f>
        <v/>
      </c>
    </row>
    <row r="755">
      <c r="A755" s="59" t="str">
        <f>IF(AE755="","",AB755&amp;"-"&amp;AD755&amp;"-"&amp;RIGHT("000"&amp;AE755,4))</f>
        <v/>
      </c>
      <c r="B755" s="60" t="n"/>
      <c r="C755" s="61" t="n"/>
      <c r="D755" s="60" t="n"/>
      <c r="E755" s="62" t="str">
        <f>IF(D755="","",IFERROR(INDEX(cli_name,MATCH(D755,cli_code,0))&amp;"","Client inconnu"))</f>
        <v/>
      </c>
      <c r="F755" s="60" t="n"/>
      <c r="G755" s="63" t="n"/>
      <c r="H755" s="61" t="n"/>
      <c r="I755" s="63" t="n"/>
      <c r="J755" s="60" t="n"/>
      <c r="K755" s="61" t="n"/>
      <c r="L755" s="60" t="n"/>
      <c r="M755" s="60" t="n"/>
      <c r="N755" s="60" t="n"/>
      <c r="O755" s="61" t="n"/>
      <c r="P755" s="64" t="str">
        <f>IF(A755="","",IF(AA755="Avoir",AC755,IF(ISNUMBER(K755),K755,AC755+IF(D755="",N(p_delay),IFERROR(IF(ISNUMBER(INDEX(cli_delay,MATCH(D755,cli_code,0))),INDEX(cli_delay,MATCH(D755,cli_code,0)),N(p_delay)),N(p_delay))))))</f>
        <v/>
      </c>
      <c r="Q755" s="65" t="str">
        <f>IF(A755="","",IF(AA755="Avoir",-1,1)*ROUND(AJ755-IF(AR755="",0,INDEX(fa_htb,AR755)),2))</f>
        <v/>
      </c>
      <c r="R755" s="65" t="str">
        <f>IF(A755="","",IF(AA755="Avoir",-1,1)*ROUND(AQ755-IF(AR755="",0,INDEX(fa_tvab,AR755)),2))</f>
        <v/>
      </c>
      <c r="S755" s="65" t="str">
        <f>IF(A755="","",Q755+R755)</f>
        <v/>
      </c>
      <c r="T755" s="65" t="str">
        <f>IF(AR755="","",INDEX(fa_htb,AR755)+INDEX(fa_tvab,AR755))</f>
        <v/>
      </c>
      <c r="U755" s="65" t="str">
        <f>IF(A755="","",SUMIF(pa_inv,A755,pa_amt))</f>
        <v/>
      </c>
      <c r="V755" s="65" t="str">
        <f>IF(OR(A755="",AA755="Avoir"),"",-SUMIFS(fa_ttc,fa_avof,A755,fa_type,"Avoir"))</f>
        <v/>
      </c>
      <c r="W755" s="65" t="str">
        <f>IF(OR(A755="",AA755="Avoir"),"",ROUND(S755-U755-V755,2))</f>
        <v/>
      </c>
      <c r="X755" s="66" t="str">
        <f>IF(W755="","",IF(AND(W755&gt;0,p_asof&gt;P755),p_asof-P755,""))</f>
        <v/>
      </c>
      <c r="Y755" s="59" t="str">
        <f>IF(A755="","",IF(AA755="Avoir","Avoir",IF(W755&lt;0,"Trop-perçu",IF(W755=0,"Soldée",IF(p_asof&gt;P755,"En retard",IF(U755+V755&gt;0,"Partielle","À échoir"))))))</f>
        <v/>
      </c>
      <c r="Z755" s="59" t="str">
        <f>IF(NOT(COUNTA(B755:D755,F755:O755)&gt;0),"",IF(C755="","Date manquante",IF(NOT(ISNUMBER(C755)),"Date invalide",IF(D755="","Client manquant",IF(ISNA(MATCH(D755,cli_code,0)),"Client inconnu",IF(AC755&lt;SUMPRODUCT(MAX(($AB$6:AB754=AB755)*$AC$6:AC754)),"Date antérieure à la facture précédente",IF(AND(F755&lt;&gt;"",ISNA(MATCH(F755,dv_num,0))),"Devis inconnu",IF(AND(F755&lt;&gt;"",IFERROR(INDEX(dv_client,MATCH(F755,dv_num,0)),D755)&lt;&gt;D755),"Client différent de celui du devis",IF(AG755="","Aucune ligne : saisissez des lignes ou un devis",IF(AND(AI755&lt;&gt;"",COUNTIF($AI$6:AI755,AI755)&gt;1),"Devis déjà repris par une autre facture",IF(AND(AA755="Avoir",M755=""),"Avoir : indiquez la facture d'origine",IF(AND(AA755="Avoir",ISNA(MATCH(M755,fa_num,0))),"Facture d'origine inconnue",IF(AND(AA755&lt;&gt;"Avoir",M755&lt;&gt;""),"« Avoir sur facture » : réservé aux avoirs",IF(AND(L755&lt;&gt;"",AA755&lt;&gt;"Facture"),"Acompte à déduire : réservé aux factures",IF(AND(L755&lt;&gt;"",ISNA(MATCH(L755,fa_num,0))),"Facture d'acompte inconnue",IF(AND(L755&lt;&gt;"",IFERROR(INDEX(fa_type,MATCH(L755,fa_num,0)),"")&lt;&gt;"Facture d'acompte"),"Le n° à déduire n'est pas une facture d'acompte",IF(AND(L755&lt;&gt;"",COUNTIF($L$6:L755,L755)&gt;1),"Acompte déjà déduit sur une autre facture",IF(AND(L755&lt;&gt;"",IFERROR(INDEX(fa_client,MATCH(L755,fa_num,0)),D755)&lt;&gt;D755),"Acompte d'un autre client",IF(AND(AR755&lt;&gt;"",N(Q755)&lt;0),"Acompte supérieur au total de la facture",IF(IF(AG755="Facture",COUNTIFS(fl_doc,A755,fl_check,"&lt;&gt;OK"),IF(AG755="Devis",COUNTIFS(dl_doc,F755,dl_check,"&lt;&gt;OK"),0))&gt;0,"Ligne(s) à corriger",IF(AND(W755&lt;&gt;"",N(W755)&lt;0),"Trop-perçu : vérifiez paiements et avoirs","OK")))))))))))))))))))))</f>
        <v/>
      </c>
      <c r="AA755" s="62" t="str">
        <f>IF(COUNTA(B755:D755,F755:O755)&gt;0,IF(B755="","Facture",B755),"")</f>
        <v/>
      </c>
      <c r="AB755" s="62" t="str">
        <f>IF(AA755="","",IF(AA755="Avoir",p_pav,IF(AA755="Facture d'acompte",p_pac,p_pfa)))</f>
        <v/>
      </c>
      <c r="AC755" s="62">
        <f>IF(ISNUMBER(C755),C755,0)</f>
        <v>0.0</v>
      </c>
      <c r="AD755" s="62" t="str">
        <f>IF(OR(AA755="",AC755=0),"",YEAR(AC755))</f>
        <v/>
      </c>
      <c r="AE755" s="62" t="str">
        <f>IF(AD755="","",COUNTIFS($AB$6:AB755,AB755,$AD$6:AD755,AD755))</f>
        <v/>
      </c>
      <c r="AF755" s="62">
        <f>IF(A755="",0,COUNTIF(fl_doc,A755))</f>
        <v>0.0</v>
      </c>
      <c r="AG755" s="62" t="str">
        <f>IF(A755="","",IF(AF755&gt;0,"Facture",IF(AND(F755&lt;&gt;"",AA755="Facture",ISNUMBER(MATCH(F755,dv_num,0))),"Devis","")))</f>
        <v/>
      </c>
      <c r="AH755" s="62" t="str">
        <f>IF(AND(A755&lt;&gt;"",F755&lt;&gt;"",AA755&lt;&gt;"Avoir"),F755,"")</f>
        <v/>
      </c>
      <c r="AI755" s="62" t="str">
        <f>IF(AG755="Devis",F755,"")</f>
        <v/>
      </c>
      <c r="AJ755" s="62">
        <f>IF(AG755="Facture",SUMIF(fl_doc,A755,fl_ht),IF(AG755="Devis",SUMIF(dl_doc,F755,dl_ht),0))</f>
        <v>0.0</v>
      </c>
      <c r="AK755" s="62">
        <f>IF(OR(AG755="",INDEX(p_rates,1)=""),0,IF(AG755="Facture",SUMIFS(fl_ht,fl_doc,A755,fl_rate,INDEX(p_rates,1)),SUMIFS(dl_ht,dl_doc,F755,dl_rate,INDEX(p_rates,1))))</f>
        <v>0.0</v>
      </c>
      <c r="AL755" s="62">
        <f>IF(OR(AG755="",INDEX(p_rates,2)=""),0,IF(AG755="Facture",SUMIFS(fl_ht,fl_doc,A755,fl_rate,INDEX(p_rates,2)),SUMIFS(dl_ht,dl_doc,F755,dl_rate,INDEX(p_rates,2))))</f>
        <v>0.0</v>
      </c>
      <c r="AM755" s="62">
        <f>IF(OR(AG755="",INDEX(p_rates,3)=""),0,IF(AG755="Facture",SUMIFS(fl_ht,fl_doc,A755,fl_rate,INDEX(p_rates,3)),SUMIFS(dl_ht,dl_doc,F755,dl_rate,INDEX(p_rates,3))))</f>
        <v>0.0</v>
      </c>
      <c r="AN755" s="62">
        <f>IF(OR(AG755="",INDEX(p_rates,4)=""),0,IF(AG755="Facture",SUMIFS(fl_ht,fl_doc,A755,fl_rate,INDEX(p_rates,4)),SUMIFS(dl_ht,dl_doc,F755,dl_rate,INDEX(p_rates,4))))</f>
        <v>0.0</v>
      </c>
      <c r="AO755" s="62">
        <f>IF(OR(AG755="",INDEX(p_rates,5)=""),0,IF(AG755="Facture",SUMIFS(fl_ht,fl_doc,A755,fl_rate,INDEX(p_rates,5)),SUMIFS(dl_ht,dl_doc,F755,dl_rate,INDEX(p_rates,5))))</f>
        <v>0.0</v>
      </c>
      <c r="AP755" s="62">
        <f>IF(OR(AG755="",INDEX(p_rates,6)=""),0,IF(AG755="Facture",SUMIFS(fl_ht,fl_doc,A755,fl_rate,INDEX(p_rates,6)),SUMIFS(dl_ht,dl_doc,F755,dl_rate,INDEX(p_rates,6))))</f>
        <v>0.0</v>
      </c>
      <c r="AQ755" s="62">
        <f>ROUND(AK755*N(INDEX(p_rates,1)),2)+ROUND(AL755*N(INDEX(p_rates,2)),2)+ROUND(AM755*N(INDEX(p_rates,3)),2)+ROUND(AN755*N(INDEX(p_rates,4)),2)+ROUND(AO755*N(INDEX(p_rates,5)),2)+ROUND(AP755*N(INDEX(p_rates,6)),2)</f>
        <v>0.0</v>
      </c>
      <c r="AR755" s="62" t="str">
        <f>IF(OR(L755="",AA755&lt;&gt;"Facture"),"",IFERROR(IF(INDEX(fa_type,MATCH(L755,fa_num,0))="Facture d'acompte",MATCH(L755,fa_num,0),""),""))</f>
        <v/>
      </c>
      <c r="AS755" s="62" t="str">
        <f>IF(W755="","",IF(W755&lt;=0,"",IF(p_asof-P755&lt;=0,"Non échu",IF(p_asof-P755&lt;=30,"1-30 j",IF(p_asof-P755&lt;=60,"31-60 j",IF(p_asof-P755&lt;=90,"61-90 j","Plus de 90 j"))))))</f>
        <v/>
      </c>
      <c r="AT755" s="62" t="str">
        <f>IF(AS755="","",p_asof-P755)</f>
        <v/>
      </c>
      <c r="AU755" s="62" t="str">
        <f>IF(AT755="","",COUNTIF($AT$6:$AT$805,"&gt;"&amp;AT755)+COUNTIF($AT$6:AT755,AT755))</f>
        <v/>
      </c>
    </row>
    <row r="756">
      <c r="A756" s="59" t="str">
        <f>IF(AE756="","",AB756&amp;"-"&amp;AD756&amp;"-"&amp;RIGHT("000"&amp;AE756,4))</f>
        <v/>
      </c>
      <c r="B756" s="60" t="n"/>
      <c r="C756" s="61" t="n"/>
      <c r="D756" s="60" t="n"/>
      <c r="E756" s="62" t="str">
        <f>IF(D756="","",IFERROR(INDEX(cli_name,MATCH(D756,cli_code,0))&amp;"","Client inconnu"))</f>
        <v/>
      </c>
      <c r="F756" s="60" t="n"/>
      <c r="G756" s="63" t="n"/>
      <c r="H756" s="61" t="n"/>
      <c r="I756" s="63" t="n"/>
      <c r="J756" s="60" t="n"/>
      <c r="K756" s="61" t="n"/>
      <c r="L756" s="60" t="n"/>
      <c r="M756" s="60" t="n"/>
      <c r="N756" s="60" t="n"/>
      <c r="O756" s="61" t="n"/>
      <c r="P756" s="64" t="str">
        <f>IF(A756="","",IF(AA756="Avoir",AC756,IF(ISNUMBER(K756),K756,AC756+IF(D756="",N(p_delay),IFERROR(IF(ISNUMBER(INDEX(cli_delay,MATCH(D756,cli_code,0))),INDEX(cli_delay,MATCH(D756,cli_code,0)),N(p_delay)),N(p_delay))))))</f>
        <v/>
      </c>
      <c r="Q756" s="65" t="str">
        <f>IF(A756="","",IF(AA756="Avoir",-1,1)*ROUND(AJ756-IF(AR756="",0,INDEX(fa_htb,AR756)),2))</f>
        <v/>
      </c>
      <c r="R756" s="65" t="str">
        <f>IF(A756="","",IF(AA756="Avoir",-1,1)*ROUND(AQ756-IF(AR756="",0,INDEX(fa_tvab,AR756)),2))</f>
        <v/>
      </c>
      <c r="S756" s="65" t="str">
        <f>IF(A756="","",Q756+R756)</f>
        <v/>
      </c>
      <c r="T756" s="65" t="str">
        <f>IF(AR756="","",INDEX(fa_htb,AR756)+INDEX(fa_tvab,AR756))</f>
        <v/>
      </c>
      <c r="U756" s="65" t="str">
        <f>IF(A756="","",SUMIF(pa_inv,A756,pa_amt))</f>
        <v/>
      </c>
      <c r="V756" s="65" t="str">
        <f>IF(OR(A756="",AA756="Avoir"),"",-SUMIFS(fa_ttc,fa_avof,A756,fa_type,"Avoir"))</f>
        <v/>
      </c>
      <c r="W756" s="65" t="str">
        <f>IF(OR(A756="",AA756="Avoir"),"",ROUND(S756-U756-V756,2))</f>
        <v/>
      </c>
      <c r="X756" s="66" t="str">
        <f>IF(W756="","",IF(AND(W756&gt;0,p_asof&gt;P756),p_asof-P756,""))</f>
        <v/>
      </c>
      <c r="Y756" s="59" t="str">
        <f>IF(A756="","",IF(AA756="Avoir","Avoir",IF(W756&lt;0,"Trop-perçu",IF(W756=0,"Soldée",IF(p_asof&gt;P756,"En retard",IF(U756+V756&gt;0,"Partielle","À échoir"))))))</f>
        <v/>
      </c>
      <c r="Z756" s="59" t="str">
        <f>IF(NOT(COUNTA(B756:D756,F756:O756)&gt;0),"",IF(C756="","Date manquante",IF(NOT(ISNUMBER(C756)),"Date invalide",IF(D756="","Client manquant",IF(ISNA(MATCH(D756,cli_code,0)),"Client inconnu",IF(AC756&lt;SUMPRODUCT(MAX(($AB$6:AB755=AB756)*$AC$6:AC755)),"Date antérieure à la facture précédente",IF(AND(F756&lt;&gt;"",ISNA(MATCH(F756,dv_num,0))),"Devis inconnu",IF(AND(F756&lt;&gt;"",IFERROR(INDEX(dv_client,MATCH(F756,dv_num,0)),D756)&lt;&gt;D756),"Client différent de celui du devis",IF(AG756="","Aucune ligne : saisissez des lignes ou un devis",IF(AND(AI756&lt;&gt;"",COUNTIF($AI$6:AI756,AI756)&gt;1),"Devis déjà repris par une autre facture",IF(AND(AA756="Avoir",M756=""),"Avoir : indiquez la facture d'origine",IF(AND(AA756="Avoir",ISNA(MATCH(M756,fa_num,0))),"Facture d'origine inconnue",IF(AND(AA756&lt;&gt;"Avoir",M756&lt;&gt;""),"« Avoir sur facture » : réservé aux avoirs",IF(AND(L756&lt;&gt;"",AA756&lt;&gt;"Facture"),"Acompte à déduire : réservé aux factures",IF(AND(L756&lt;&gt;"",ISNA(MATCH(L756,fa_num,0))),"Facture d'acompte inconnue",IF(AND(L756&lt;&gt;"",IFERROR(INDEX(fa_type,MATCH(L756,fa_num,0)),"")&lt;&gt;"Facture d'acompte"),"Le n° à déduire n'est pas une facture d'acompte",IF(AND(L756&lt;&gt;"",COUNTIF($L$6:L756,L756)&gt;1),"Acompte déjà déduit sur une autre facture",IF(AND(L756&lt;&gt;"",IFERROR(INDEX(fa_client,MATCH(L756,fa_num,0)),D756)&lt;&gt;D756),"Acompte d'un autre client",IF(AND(AR756&lt;&gt;"",N(Q756)&lt;0),"Acompte supérieur au total de la facture",IF(IF(AG756="Facture",COUNTIFS(fl_doc,A756,fl_check,"&lt;&gt;OK"),IF(AG756="Devis",COUNTIFS(dl_doc,F756,dl_check,"&lt;&gt;OK"),0))&gt;0,"Ligne(s) à corriger",IF(AND(W756&lt;&gt;"",N(W756)&lt;0),"Trop-perçu : vérifiez paiements et avoirs","OK")))))))))))))))))))))</f>
        <v/>
      </c>
      <c r="AA756" s="62" t="str">
        <f>IF(COUNTA(B756:D756,F756:O756)&gt;0,IF(B756="","Facture",B756),"")</f>
        <v/>
      </c>
      <c r="AB756" s="62" t="str">
        <f>IF(AA756="","",IF(AA756="Avoir",p_pav,IF(AA756="Facture d'acompte",p_pac,p_pfa)))</f>
        <v/>
      </c>
      <c r="AC756" s="62">
        <f>IF(ISNUMBER(C756),C756,0)</f>
        <v>0.0</v>
      </c>
      <c r="AD756" s="62" t="str">
        <f>IF(OR(AA756="",AC756=0),"",YEAR(AC756))</f>
        <v/>
      </c>
      <c r="AE756" s="62" t="str">
        <f>IF(AD756="","",COUNTIFS($AB$6:AB756,AB756,$AD$6:AD756,AD756))</f>
        <v/>
      </c>
      <c r="AF756" s="62">
        <f>IF(A756="",0,COUNTIF(fl_doc,A756))</f>
        <v>0.0</v>
      </c>
      <c r="AG756" s="62" t="str">
        <f>IF(A756="","",IF(AF756&gt;0,"Facture",IF(AND(F756&lt;&gt;"",AA756="Facture",ISNUMBER(MATCH(F756,dv_num,0))),"Devis","")))</f>
        <v/>
      </c>
      <c r="AH756" s="62" t="str">
        <f>IF(AND(A756&lt;&gt;"",F756&lt;&gt;"",AA756&lt;&gt;"Avoir"),F756,"")</f>
        <v/>
      </c>
      <c r="AI756" s="62" t="str">
        <f>IF(AG756="Devis",F756,"")</f>
        <v/>
      </c>
      <c r="AJ756" s="62">
        <f>IF(AG756="Facture",SUMIF(fl_doc,A756,fl_ht),IF(AG756="Devis",SUMIF(dl_doc,F756,dl_ht),0))</f>
        <v>0.0</v>
      </c>
      <c r="AK756" s="62">
        <f>IF(OR(AG756="",INDEX(p_rates,1)=""),0,IF(AG756="Facture",SUMIFS(fl_ht,fl_doc,A756,fl_rate,INDEX(p_rates,1)),SUMIFS(dl_ht,dl_doc,F756,dl_rate,INDEX(p_rates,1))))</f>
        <v>0.0</v>
      </c>
      <c r="AL756" s="62">
        <f>IF(OR(AG756="",INDEX(p_rates,2)=""),0,IF(AG756="Facture",SUMIFS(fl_ht,fl_doc,A756,fl_rate,INDEX(p_rates,2)),SUMIFS(dl_ht,dl_doc,F756,dl_rate,INDEX(p_rates,2))))</f>
        <v>0.0</v>
      </c>
      <c r="AM756" s="62">
        <f>IF(OR(AG756="",INDEX(p_rates,3)=""),0,IF(AG756="Facture",SUMIFS(fl_ht,fl_doc,A756,fl_rate,INDEX(p_rates,3)),SUMIFS(dl_ht,dl_doc,F756,dl_rate,INDEX(p_rates,3))))</f>
        <v>0.0</v>
      </c>
      <c r="AN756" s="62">
        <f>IF(OR(AG756="",INDEX(p_rates,4)=""),0,IF(AG756="Facture",SUMIFS(fl_ht,fl_doc,A756,fl_rate,INDEX(p_rates,4)),SUMIFS(dl_ht,dl_doc,F756,dl_rate,INDEX(p_rates,4))))</f>
        <v>0.0</v>
      </c>
      <c r="AO756" s="62">
        <f>IF(OR(AG756="",INDEX(p_rates,5)=""),0,IF(AG756="Facture",SUMIFS(fl_ht,fl_doc,A756,fl_rate,INDEX(p_rates,5)),SUMIFS(dl_ht,dl_doc,F756,dl_rate,INDEX(p_rates,5))))</f>
        <v>0.0</v>
      </c>
      <c r="AP756" s="62">
        <f>IF(OR(AG756="",INDEX(p_rates,6)=""),0,IF(AG756="Facture",SUMIFS(fl_ht,fl_doc,A756,fl_rate,INDEX(p_rates,6)),SUMIFS(dl_ht,dl_doc,F756,dl_rate,INDEX(p_rates,6))))</f>
        <v>0.0</v>
      </c>
      <c r="AQ756" s="62">
        <f>ROUND(AK756*N(INDEX(p_rates,1)),2)+ROUND(AL756*N(INDEX(p_rates,2)),2)+ROUND(AM756*N(INDEX(p_rates,3)),2)+ROUND(AN756*N(INDEX(p_rates,4)),2)+ROUND(AO756*N(INDEX(p_rates,5)),2)+ROUND(AP756*N(INDEX(p_rates,6)),2)</f>
        <v>0.0</v>
      </c>
      <c r="AR756" s="62" t="str">
        <f>IF(OR(L756="",AA756&lt;&gt;"Facture"),"",IFERROR(IF(INDEX(fa_type,MATCH(L756,fa_num,0))="Facture d'acompte",MATCH(L756,fa_num,0),""),""))</f>
        <v/>
      </c>
      <c r="AS756" s="62" t="str">
        <f>IF(W756="","",IF(W756&lt;=0,"",IF(p_asof-P756&lt;=0,"Non échu",IF(p_asof-P756&lt;=30,"1-30 j",IF(p_asof-P756&lt;=60,"31-60 j",IF(p_asof-P756&lt;=90,"61-90 j","Plus de 90 j"))))))</f>
        <v/>
      </c>
      <c r="AT756" s="62" t="str">
        <f>IF(AS756="","",p_asof-P756)</f>
        <v/>
      </c>
      <c r="AU756" s="62" t="str">
        <f>IF(AT756="","",COUNTIF($AT$6:$AT$805,"&gt;"&amp;AT756)+COUNTIF($AT$6:AT756,AT756))</f>
        <v/>
      </c>
    </row>
    <row r="757">
      <c r="A757" s="59" t="str">
        <f>IF(AE757="","",AB757&amp;"-"&amp;AD757&amp;"-"&amp;RIGHT("000"&amp;AE757,4))</f>
        <v/>
      </c>
      <c r="B757" s="60" t="n"/>
      <c r="C757" s="61" t="n"/>
      <c r="D757" s="60" t="n"/>
      <c r="E757" s="62" t="str">
        <f>IF(D757="","",IFERROR(INDEX(cli_name,MATCH(D757,cli_code,0))&amp;"","Client inconnu"))</f>
        <v/>
      </c>
      <c r="F757" s="60" t="n"/>
      <c r="G757" s="63" t="n"/>
      <c r="H757" s="61" t="n"/>
      <c r="I757" s="63" t="n"/>
      <c r="J757" s="60" t="n"/>
      <c r="K757" s="61" t="n"/>
      <c r="L757" s="60" t="n"/>
      <c r="M757" s="60" t="n"/>
      <c r="N757" s="60" t="n"/>
      <c r="O757" s="61" t="n"/>
      <c r="P757" s="64" t="str">
        <f>IF(A757="","",IF(AA757="Avoir",AC757,IF(ISNUMBER(K757),K757,AC757+IF(D757="",N(p_delay),IFERROR(IF(ISNUMBER(INDEX(cli_delay,MATCH(D757,cli_code,0))),INDEX(cli_delay,MATCH(D757,cli_code,0)),N(p_delay)),N(p_delay))))))</f>
        <v/>
      </c>
      <c r="Q757" s="65" t="str">
        <f>IF(A757="","",IF(AA757="Avoir",-1,1)*ROUND(AJ757-IF(AR757="",0,INDEX(fa_htb,AR757)),2))</f>
        <v/>
      </c>
      <c r="R757" s="65" t="str">
        <f>IF(A757="","",IF(AA757="Avoir",-1,1)*ROUND(AQ757-IF(AR757="",0,INDEX(fa_tvab,AR757)),2))</f>
        <v/>
      </c>
      <c r="S757" s="65" t="str">
        <f>IF(A757="","",Q757+R757)</f>
        <v/>
      </c>
      <c r="T757" s="65" t="str">
        <f>IF(AR757="","",INDEX(fa_htb,AR757)+INDEX(fa_tvab,AR757))</f>
        <v/>
      </c>
      <c r="U757" s="65" t="str">
        <f>IF(A757="","",SUMIF(pa_inv,A757,pa_amt))</f>
        <v/>
      </c>
      <c r="V757" s="65" t="str">
        <f>IF(OR(A757="",AA757="Avoir"),"",-SUMIFS(fa_ttc,fa_avof,A757,fa_type,"Avoir"))</f>
        <v/>
      </c>
      <c r="W757" s="65" t="str">
        <f>IF(OR(A757="",AA757="Avoir"),"",ROUND(S757-U757-V757,2))</f>
        <v/>
      </c>
      <c r="X757" s="66" t="str">
        <f>IF(W757="","",IF(AND(W757&gt;0,p_asof&gt;P757),p_asof-P757,""))</f>
        <v/>
      </c>
      <c r="Y757" s="59" t="str">
        <f>IF(A757="","",IF(AA757="Avoir","Avoir",IF(W757&lt;0,"Trop-perçu",IF(W757=0,"Soldée",IF(p_asof&gt;P757,"En retard",IF(U757+V757&gt;0,"Partielle","À échoir"))))))</f>
        <v/>
      </c>
      <c r="Z757" s="59" t="str">
        <f>IF(NOT(COUNTA(B757:D757,F757:O757)&gt;0),"",IF(C757="","Date manquante",IF(NOT(ISNUMBER(C757)),"Date invalide",IF(D757="","Client manquant",IF(ISNA(MATCH(D757,cli_code,0)),"Client inconnu",IF(AC757&lt;SUMPRODUCT(MAX(($AB$6:AB756=AB757)*$AC$6:AC756)),"Date antérieure à la facture précédente",IF(AND(F757&lt;&gt;"",ISNA(MATCH(F757,dv_num,0))),"Devis inconnu",IF(AND(F757&lt;&gt;"",IFERROR(INDEX(dv_client,MATCH(F757,dv_num,0)),D757)&lt;&gt;D757),"Client différent de celui du devis",IF(AG757="","Aucune ligne : saisissez des lignes ou un devis",IF(AND(AI757&lt;&gt;"",COUNTIF($AI$6:AI757,AI757)&gt;1),"Devis déjà repris par une autre facture",IF(AND(AA757="Avoir",M757=""),"Avoir : indiquez la facture d'origine",IF(AND(AA757="Avoir",ISNA(MATCH(M757,fa_num,0))),"Facture d'origine inconnue",IF(AND(AA757&lt;&gt;"Avoir",M757&lt;&gt;""),"« Avoir sur facture » : réservé aux avoirs",IF(AND(L757&lt;&gt;"",AA757&lt;&gt;"Facture"),"Acompte à déduire : réservé aux factures",IF(AND(L757&lt;&gt;"",ISNA(MATCH(L757,fa_num,0))),"Facture d'acompte inconnue",IF(AND(L757&lt;&gt;"",IFERROR(INDEX(fa_type,MATCH(L757,fa_num,0)),"")&lt;&gt;"Facture d'acompte"),"Le n° à déduire n'est pas une facture d'acompte",IF(AND(L757&lt;&gt;"",COUNTIF($L$6:L757,L757)&gt;1),"Acompte déjà déduit sur une autre facture",IF(AND(L757&lt;&gt;"",IFERROR(INDEX(fa_client,MATCH(L757,fa_num,0)),D757)&lt;&gt;D757),"Acompte d'un autre client",IF(AND(AR757&lt;&gt;"",N(Q757)&lt;0),"Acompte supérieur au total de la facture",IF(IF(AG757="Facture",COUNTIFS(fl_doc,A757,fl_check,"&lt;&gt;OK"),IF(AG757="Devis",COUNTIFS(dl_doc,F757,dl_check,"&lt;&gt;OK"),0))&gt;0,"Ligne(s) à corriger",IF(AND(W757&lt;&gt;"",N(W757)&lt;0),"Trop-perçu : vérifiez paiements et avoirs","OK")))))))))))))))))))))</f>
        <v/>
      </c>
      <c r="AA757" s="62" t="str">
        <f>IF(COUNTA(B757:D757,F757:O757)&gt;0,IF(B757="","Facture",B757),"")</f>
        <v/>
      </c>
      <c r="AB757" s="62" t="str">
        <f>IF(AA757="","",IF(AA757="Avoir",p_pav,IF(AA757="Facture d'acompte",p_pac,p_pfa)))</f>
        <v/>
      </c>
      <c r="AC757" s="62">
        <f>IF(ISNUMBER(C757),C757,0)</f>
        <v>0.0</v>
      </c>
      <c r="AD757" s="62" t="str">
        <f>IF(OR(AA757="",AC757=0),"",YEAR(AC757))</f>
        <v/>
      </c>
      <c r="AE757" s="62" t="str">
        <f>IF(AD757="","",COUNTIFS($AB$6:AB757,AB757,$AD$6:AD757,AD757))</f>
        <v/>
      </c>
      <c r="AF757" s="62">
        <f>IF(A757="",0,COUNTIF(fl_doc,A757))</f>
        <v>0.0</v>
      </c>
      <c r="AG757" s="62" t="str">
        <f>IF(A757="","",IF(AF757&gt;0,"Facture",IF(AND(F757&lt;&gt;"",AA757="Facture",ISNUMBER(MATCH(F757,dv_num,0))),"Devis","")))</f>
        <v/>
      </c>
      <c r="AH757" s="62" t="str">
        <f>IF(AND(A757&lt;&gt;"",F757&lt;&gt;"",AA757&lt;&gt;"Avoir"),F757,"")</f>
        <v/>
      </c>
      <c r="AI757" s="62" t="str">
        <f>IF(AG757="Devis",F757,"")</f>
        <v/>
      </c>
      <c r="AJ757" s="62">
        <f>IF(AG757="Facture",SUMIF(fl_doc,A757,fl_ht),IF(AG757="Devis",SUMIF(dl_doc,F757,dl_ht),0))</f>
        <v>0.0</v>
      </c>
      <c r="AK757" s="62">
        <f>IF(OR(AG757="",INDEX(p_rates,1)=""),0,IF(AG757="Facture",SUMIFS(fl_ht,fl_doc,A757,fl_rate,INDEX(p_rates,1)),SUMIFS(dl_ht,dl_doc,F757,dl_rate,INDEX(p_rates,1))))</f>
        <v>0.0</v>
      </c>
      <c r="AL757" s="62">
        <f>IF(OR(AG757="",INDEX(p_rates,2)=""),0,IF(AG757="Facture",SUMIFS(fl_ht,fl_doc,A757,fl_rate,INDEX(p_rates,2)),SUMIFS(dl_ht,dl_doc,F757,dl_rate,INDEX(p_rates,2))))</f>
        <v>0.0</v>
      </c>
      <c r="AM757" s="62">
        <f>IF(OR(AG757="",INDEX(p_rates,3)=""),0,IF(AG757="Facture",SUMIFS(fl_ht,fl_doc,A757,fl_rate,INDEX(p_rates,3)),SUMIFS(dl_ht,dl_doc,F757,dl_rate,INDEX(p_rates,3))))</f>
        <v>0.0</v>
      </c>
      <c r="AN757" s="62">
        <f>IF(OR(AG757="",INDEX(p_rates,4)=""),0,IF(AG757="Facture",SUMIFS(fl_ht,fl_doc,A757,fl_rate,INDEX(p_rates,4)),SUMIFS(dl_ht,dl_doc,F757,dl_rate,INDEX(p_rates,4))))</f>
        <v>0.0</v>
      </c>
      <c r="AO757" s="62">
        <f>IF(OR(AG757="",INDEX(p_rates,5)=""),0,IF(AG757="Facture",SUMIFS(fl_ht,fl_doc,A757,fl_rate,INDEX(p_rates,5)),SUMIFS(dl_ht,dl_doc,F757,dl_rate,INDEX(p_rates,5))))</f>
        <v>0.0</v>
      </c>
      <c r="AP757" s="62">
        <f>IF(OR(AG757="",INDEX(p_rates,6)=""),0,IF(AG757="Facture",SUMIFS(fl_ht,fl_doc,A757,fl_rate,INDEX(p_rates,6)),SUMIFS(dl_ht,dl_doc,F757,dl_rate,INDEX(p_rates,6))))</f>
        <v>0.0</v>
      </c>
      <c r="AQ757" s="62">
        <f>ROUND(AK757*N(INDEX(p_rates,1)),2)+ROUND(AL757*N(INDEX(p_rates,2)),2)+ROUND(AM757*N(INDEX(p_rates,3)),2)+ROUND(AN757*N(INDEX(p_rates,4)),2)+ROUND(AO757*N(INDEX(p_rates,5)),2)+ROUND(AP757*N(INDEX(p_rates,6)),2)</f>
        <v>0.0</v>
      </c>
      <c r="AR757" s="62" t="str">
        <f>IF(OR(L757="",AA757&lt;&gt;"Facture"),"",IFERROR(IF(INDEX(fa_type,MATCH(L757,fa_num,0))="Facture d'acompte",MATCH(L757,fa_num,0),""),""))</f>
        <v/>
      </c>
      <c r="AS757" s="62" t="str">
        <f>IF(W757="","",IF(W757&lt;=0,"",IF(p_asof-P757&lt;=0,"Non échu",IF(p_asof-P757&lt;=30,"1-30 j",IF(p_asof-P757&lt;=60,"31-60 j",IF(p_asof-P757&lt;=90,"61-90 j","Plus de 90 j"))))))</f>
        <v/>
      </c>
      <c r="AT757" s="62" t="str">
        <f>IF(AS757="","",p_asof-P757)</f>
        <v/>
      </c>
      <c r="AU757" s="62" t="str">
        <f>IF(AT757="","",COUNTIF($AT$6:$AT$805,"&gt;"&amp;AT757)+COUNTIF($AT$6:AT757,AT757))</f>
        <v/>
      </c>
    </row>
    <row r="758">
      <c r="A758" s="59" t="str">
        <f>IF(AE758="","",AB758&amp;"-"&amp;AD758&amp;"-"&amp;RIGHT("000"&amp;AE758,4))</f>
        <v/>
      </c>
      <c r="B758" s="60" t="n"/>
      <c r="C758" s="61" t="n"/>
      <c r="D758" s="60" t="n"/>
      <c r="E758" s="62" t="str">
        <f>IF(D758="","",IFERROR(INDEX(cli_name,MATCH(D758,cli_code,0))&amp;"","Client inconnu"))</f>
        <v/>
      </c>
      <c r="F758" s="60" t="n"/>
      <c r="G758" s="63" t="n"/>
      <c r="H758" s="61" t="n"/>
      <c r="I758" s="63" t="n"/>
      <c r="J758" s="60" t="n"/>
      <c r="K758" s="61" t="n"/>
      <c r="L758" s="60" t="n"/>
      <c r="M758" s="60" t="n"/>
      <c r="N758" s="60" t="n"/>
      <c r="O758" s="61" t="n"/>
      <c r="P758" s="64" t="str">
        <f>IF(A758="","",IF(AA758="Avoir",AC758,IF(ISNUMBER(K758),K758,AC758+IF(D758="",N(p_delay),IFERROR(IF(ISNUMBER(INDEX(cli_delay,MATCH(D758,cli_code,0))),INDEX(cli_delay,MATCH(D758,cli_code,0)),N(p_delay)),N(p_delay))))))</f>
        <v/>
      </c>
      <c r="Q758" s="65" t="str">
        <f>IF(A758="","",IF(AA758="Avoir",-1,1)*ROUND(AJ758-IF(AR758="",0,INDEX(fa_htb,AR758)),2))</f>
        <v/>
      </c>
      <c r="R758" s="65" t="str">
        <f>IF(A758="","",IF(AA758="Avoir",-1,1)*ROUND(AQ758-IF(AR758="",0,INDEX(fa_tvab,AR758)),2))</f>
        <v/>
      </c>
      <c r="S758" s="65" t="str">
        <f>IF(A758="","",Q758+R758)</f>
        <v/>
      </c>
      <c r="T758" s="65" t="str">
        <f>IF(AR758="","",INDEX(fa_htb,AR758)+INDEX(fa_tvab,AR758))</f>
        <v/>
      </c>
      <c r="U758" s="65" t="str">
        <f>IF(A758="","",SUMIF(pa_inv,A758,pa_amt))</f>
        <v/>
      </c>
      <c r="V758" s="65" t="str">
        <f>IF(OR(A758="",AA758="Avoir"),"",-SUMIFS(fa_ttc,fa_avof,A758,fa_type,"Avoir"))</f>
        <v/>
      </c>
      <c r="W758" s="65" t="str">
        <f>IF(OR(A758="",AA758="Avoir"),"",ROUND(S758-U758-V758,2))</f>
        <v/>
      </c>
      <c r="X758" s="66" t="str">
        <f>IF(W758="","",IF(AND(W758&gt;0,p_asof&gt;P758),p_asof-P758,""))</f>
        <v/>
      </c>
      <c r="Y758" s="59" t="str">
        <f>IF(A758="","",IF(AA758="Avoir","Avoir",IF(W758&lt;0,"Trop-perçu",IF(W758=0,"Soldée",IF(p_asof&gt;P758,"En retard",IF(U758+V758&gt;0,"Partielle","À échoir"))))))</f>
        <v/>
      </c>
      <c r="Z758" s="59" t="str">
        <f>IF(NOT(COUNTA(B758:D758,F758:O758)&gt;0),"",IF(C758="","Date manquante",IF(NOT(ISNUMBER(C758)),"Date invalide",IF(D758="","Client manquant",IF(ISNA(MATCH(D758,cli_code,0)),"Client inconnu",IF(AC758&lt;SUMPRODUCT(MAX(($AB$6:AB757=AB758)*$AC$6:AC757)),"Date antérieure à la facture précédente",IF(AND(F758&lt;&gt;"",ISNA(MATCH(F758,dv_num,0))),"Devis inconnu",IF(AND(F758&lt;&gt;"",IFERROR(INDEX(dv_client,MATCH(F758,dv_num,0)),D758)&lt;&gt;D758),"Client différent de celui du devis",IF(AG758="","Aucune ligne : saisissez des lignes ou un devis",IF(AND(AI758&lt;&gt;"",COUNTIF($AI$6:AI758,AI758)&gt;1),"Devis déjà repris par une autre facture",IF(AND(AA758="Avoir",M758=""),"Avoir : indiquez la facture d'origine",IF(AND(AA758="Avoir",ISNA(MATCH(M758,fa_num,0))),"Facture d'origine inconnue",IF(AND(AA758&lt;&gt;"Avoir",M758&lt;&gt;""),"« Avoir sur facture » : réservé aux avoirs",IF(AND(L758&lt;&gt;"",AA758&lt;&gt;"Facture"),"Acompte à déduire : réservé aux factures",IF(AND(L758&lt;&gt;"",ISNA(MATCH(L758,fa_num,0))),"Facture d'acompte inconnue",IF(AND(L758&lt;&gt;"",IFERROR(INDEX(fa_type,MATCH(L758,fa_num,0)),"")&lt;&gt;"Facture d'acompte"),"Le n° à déduire n'est pas une facture d'acompte",IF(AND(L758&lt;&gt;"",COUNTIF($L$6:L758,L758)&gt;1),"Acompte déjà déduit sur une autre facture",IF(AND(L758&lt;&gt;"",IFERROR(INDEX(fa_client,MATCH(L758,fa_num,0)),D758)&lt;&gt;D758),"Acompte d'un autre client",IF(AND(AR758&lt;&gt;"",N(Q758)&lt;0),"Acompte supérieur au total de la facture",IF(IF(AG758="Facture",COUNTIFS(fl_doc,A758,fl_check,"&lt;&gt;OK"),IF(AG758="Devis",COUNTIFS(dl_doc,F758,dl_check,"&lt;&gt;OK"),0))&gt;0,"Ligne(s) à corriger",IF(AND(W758&lt;&gt;"",N(W758)&lt;0),"Trop-perçu : vérifiez paiements et avoirs","OK")))))))))))))))))))))</f>
        <v/>
      </c>
      <c r="AA758" s="62" t="str">
        <f>IF(COUNTA(B758:D758,F758:O758)&gt;0,IF(B758="","Facture",B758),"")</f>
        <v/>
      </c>
      <c r="AB758" s="62" t="str">
        <f>IF(AA758="","",IF(AA758="Avoir",p_pav,IF(AA758="Facture d'acompte",p_pac,p_pfa)))</f>
        <v/>
      </c>
      <c r="AC758" s="62">
        <f>IF(ISNUMBER(C758),C758,0)</f>
        <v>0.0</v>
      </c>
      <c r="AD758" s="62" t="str">
        <f>IF(OR(AA758="",AC758=0),"",YEAR(AC758))</f>
        <v/>
      </c>
      <c r="AE758" s="62" t="str">
        <f>IF(AD758="","",COUNTIFS($AB$6:AB758,AB758,$AD$6:AD758,AD758))</f>
        <v/>
      </c>
      <c r="AF758" s="62">
        <f>IF(A758="",0,COUNTIF(fl_doc,A758))</f>
        <v>0.0</v>
      </c>
      <c r="AG758" s="62" t="str">
        <f>IF(A758="","",IF(AF758&gt;0,"Facture",IF(AND(F758&lt;&gt;"",AA758="Facture",ISNUMBER(MATCH(F758,dv_num,0))),"Devis","")))</f>
        <v/>
      </c>
      <c r="AH758" s="62" t="str">
        <f>IF(AND(A758&lt;&gt;"",F758&lt;&gt;"",AA758&lt;&gt;"Avoir"),F758,"")</f>
        <v/>
      </c>
      <c r="AI758" s="62" t="str">
        <f>IF(AG758="Devis",F758,"")</f>
        <v/>
      </c>
      <c r="AJ758" s="62">
        <f>IF(AG758="Facture",SUMIF(fl_doc,A758,fl_ht),IF(AG758="Devis",SUMIF(dl_doc,F758,dl_ht),0))</f>
        <v>0.0</v>
      </c>
      <c r="AK758" s="62">
        <f>IF(OR(AG758="",INDEX(p_rates,1)=""),0,IF(AG758="Facture",SUMIFS(fl_ht,fl_doc,A758,fl_rate,INDEX(p_rates,1)),SUMIFS(dl_ht,dl_doc,F758,dl_rate,INDEX(p_rates,1))))</f>
        <v>0.0</v>
      </c>
      <c r="AL758" s="62">
        <f>IF(OR(AG758="",INDEX(p_rates,2)=""),0,IF(AG758="Facture",SUMIFS(fl_ht,fl_doc,A758,fl_rate,INDEX(p_rates,2)),SUMIFS(dl_ht,dl_doc,F758,dl_rate,INDEX(p_rates,2))))</f>
        <v>0.0</v>
      </c>
      <c r="AM758" s="62">
        <f>IF(OR(AG758="",INDEX(p_rates,3)=""),0,IF(AG758="Facture",SUMIFS(fl_ht,fl_doc,A758,fl_rate,INDEX(p_rates,3)),SUMIFS(dl_ht,dl_doc,F758,dl_rate,INDEX(p_rates,3))))</f>
        <v>0.0</v>
      </c>
      <c r="AN758" s="62">
        <f>IF(OR(AG758="",INDEX(p_rates,4)=""),0,IF(AG758="Facture",SUMIFS(fl_ht,fl_doc,A758,fl_rate,INDEX(p_rates,4)),SUMIFS(dl_ht,dl_doc,F758,dl_rate,INDEX(p_rates,4))))</f>
        <v>0.0</v>
      </c>
      <c r="AO758" s="62">
        <f>IF(OR(AG758="",INDEX(p_rates,5)=""),0,IF(AG758="Facture",SUMIFS(fl_ht,fl_doc,A758,fl_rate,INDEX(p_rates,5)),SUMIFS(dl_ht,dl_doc,F758,dl_rate,INDEX(p_rates,5))))</f>
        <v>0.0</v>
      </c>
      <c r="AP758" s="62">
        <f>IF(OR(AG758="",INDEX(p_rates,6)=""),0,IF(AG758="Facture",SUMIFS(fl_ht,fl_doc,A758,fl_rate,INDEX(p_rates,6)),SUMIFS(dl_ht,dl_doc,F758,dl_rate,INDEX(p_rates,6))))</f>
        <v>0.0</v>
      </c>
      <c r="AQ758" s="62">
        <f>ROUND(AK758*N(INDEX(p_rates,1)),2)+ROUND(AL758*N(INDEX(p_rates,2)),2)+ROUND(AM758*N(INDEX(p_rates,3)),2)+ROUND(AN758*N(INDEX(p_rates,4)),2)+ROUND(AO758*N(INDEX(p_rates,5)),2)+ROUND(AP758*N(INDEX(p_rates,6)),2)</f>
        <v>0.0</v>
      </c>
      <c r="AR758" s="62" t="str">
        <f>IF(OR(L758="",AA758&lt;&gt;"Facture"),"",IFERROR(IF(INDEX(fa_type,MATCH(L758,fa_num,0))="Facture d'acompte",MATCH(L758,fa_num,0),""),""))</f>
        <v/>
      </c>
      <c r="AS758" s="62" t="str">
        <f>IF(W758="","",IF(W758&lt;=0,"",IF(p_asof-P758&lt;=0,"Non échu",IF(p_asof-P758&lt;=30,"1-30 j",IF(p_asof-P758&lt;=60,"31-60 j",IF(p_asof-P758&lt;=90,"61-90 j","Plus de 90 j"))))))</f>
        <v/>
      </c>
      <c r="AT758" s="62" t="str">
        <f>IF(AS758="","",p_asof-P758)</f>
        <v/>
      </c>
      <c r="AU758" s="62" t="str">
        <f>IF(AT758="","",COUNTIF($AT$6:$AT$805,"&gt;"&amp;AT758)+COUNTIF($AT$6:AT758,AT758))</f>
        <v/>
      </c>
    </row>
    <row r="759">
      <c r="A759" s="59" t="str">
        <f>IF(AE759="","",AB759&amp;"-"&amp;AD759&amp;"-"&amp;RIGHT("000"&amp;AE759,4))</f>
        <v/>
      </c>
      <c r="B759" s="60" t="n"/>
      <c r="C759" s="61" t="n"/>
      <c r="D759" s="60" t="n"/>
      <c r="E759" s="62" t="str">
        <f>IF(D759="","",IFERROR(INDEX(cli_name,MATCH(D759,cli_code,0))&amp;"","Client inconnu"))</f>
        <v/>
      </c>
      <c r="F759" s="60" t="n"/>
      <c r="G759" s="63" t="n"/>
      <c r="H759" s="61" t="n"/>
      <c r="I759" s="63" t="n"/>
      <c r="J759" s="60" t="n"/>
      <c r="K759" s="61" t="n"/>
      <c r="L759" s="60" t="n"/>
      <c r="M759" s="60" t="n"/>
      <c r="N759" s="60" t="n"/>
      <c r="O759" s="61" t="n"/>
      <c r="P759" s="64" t="str">
        <f>IF(A759="","",IF(AA759="Avoir",AC759,IF(ISNUMBER(K759),K759,AC759+IF(D759="",N(p_delay),IFERROR(IF(ISNUMBER(INDEX(cli_delay,MATCH(D759,cli_code,0))),INDEX(cli_delay,MATCH(D759,cli_code,0)),N(p_delay)),N(p_delay))))))</f>
        <v/>
      </c>
      <c r="Q759" s="65" t="str">
        <f>IF(A759="","",IF(AA759="Avoir",-1,1)*ROUND(AJ759-IF(AR759="",0,INDEX(fa_htb,AR759)),2))</f>
        <v/>
      </c>
      <c r="R759" s="65" t="str">
        <f>IF(A759="","",IF(AA759="Avoir",-1,1)*ROUND(AQ759-IF(AR759="",0,INDEX(fa_tvab,AR759)),2))</f>
        <v/>
      </c>
      <c r="S759" s="65" t="str">
        <f>IF(A759="","",Q759+R759)</f>
        <v/>
      </c>
      <c r="T759" s="65" t="str">
        <f>IF(AR759="","",INDEX(fa_htb,AR759)+INDEX(fa_tvab,AR759))</f>
        <v/>
      </c>
      <c r="U759" s="65" t="str">
        <f>IF(A759="","",SUMIF(pa_inv,A759,pa_amt))</f>
        <v/>
      </c>
      <c r="V759" s="65" t="str">
        <f>IF(OR(A759="",AA759="Avoir"),"",-SUMIFS(fa_ttc,fa_avof,A759,fa_type,"Avoir"))</f>
        <v/>
      </c>
      <c r="W759" s="65" t="str">
        <f>IF(OR(A759="",AA759="Avoir"),"",ROUND(S759-U759-V759,2))</f>
        <v/>
      </c>
      <c r="X759" s="66" t="str">
        <f>IF(W759="","",IF(AND(W759&gt;0,p_asof&gt;P759),p_asof-P759,""))</f>
        <v/>
      </c>
      <c r="Y759" s="59" t="str">
        <f>IF(A759="","",IF(AA759="Avoir","Avoir",IF(W759&lt;0,"Trop-perçu",IF(W759=0,"Soldée",IF(p_asof&gt;P759,"En retard",IF(U759+V759&gt;0,"Partielle","À échoir"))))))</f>
        <v/>
      </c>
      <c r="Z759" s="59" t="str">
        <f>IF(NOT(COUNTA(B759:D759,F759:O759)&gt;0),"",IF(C759="","Date manquante",IF(NOT(ISNUMBER(C759)),"Date invalide",IF(D759="","Client manquant",IF(ISNA(MATCH(D759,cli_code,0)),"Client inconnu",IF(AC759&lt;SUMPRODUCT(MAX(($AB$6:AB758=AB759)*$AC$6:AC758)),"Date antérieure à la facture précédente",IF(AND(F759&lt;&gt;"",ISNA(MATCH(F759,dv_num,0))),"Devis inconnu",IF(AND(F759&lt;&gt;"",IFERROR(INDEX(dv_client,MATCH(F759,dv_num,0)),D759)&lt;&gt;D759),"Client différent de celui du devis",IF(AG759="","Aucune ligne : saisissez des lignes ou un devis",IF(AND(AI759&lt;&gt;"",COUNTIF($AI$6:AI759,AI759)&gt;1),"Devis déjà repris par une autre facture",IF(AND(AA759="Avoir",M759=""),"Avoir : indiquez la facture d'origine",IF(AND(AA759="Avoir",ISNA(MATCH(M759,fa_num,0))),"Facture d'origine inconnue",IF(AND(AA759&lt;&gt;"Avoir",M759&lt;&gt;""),"« Avoir sur facture » : réservé aux avoirs",IF(AND(L759&lt;&gt;"",AA759&lt;&gt;"Facture"),"Acompte à déduire : réservé aux factures",IF(AND(L759&lt;&gt;"",ISNA(MATCH(L759,fa_num,0))),"Facture d'acompte inconnue",IF(AND(L759&lt;&gt;"",IFERROR(INDEX(fa_type,MATCH(L759,fa_num,0)),"")&lt;&gt;"Facture d'acompte"),"Le n° à déduire n'est pas une facture d'acompte",IF(AND(L759&lt;&gt;"",COUNTIF($L$6:L759,L759)&gt;1),"Acompte déjà déduit sur une autre facture",IF(AND(L759&lt;&gt;"",IFERROR(INDEX(fa_client,MATCH(L759,fa_num,0)),D759)&lt;&gt;D759),"Acompte d'un autre client",IF(AND(AR759&lt;&gt;"",N(Q759)&lt;0),"Acompte supérieur au total de la facture",IF(IF(AG759="Facture",COUNTIFS(fl_doc,A759,fl_check,"&lt;&gt;OK"),IF(AG759="Devis",COUNTIFS(dl_doc,F759,dl_check,"&lt;&gt;OK"),0))&gt;0,"Ligne(s) à corriger",IF(AND(W759&lt;&gt;"",N(W759)&lt;0),"Trop-perçu : vérifiez paiements et avoirs","OK")))))))))))))))))))))</f>
        <v/>
      </c>
      <c r="AA759" s="62" t="str">
        <f>IF(COUNTA(B759:D759,F759:O759)&gt;0,IF(B759="","Facture",B759),"")</f>
        <v/>
      </c>
      <c r="AB759" s="62" t="str">
        <f>IF(AA759="","",IF(AA759="Avoir",p_pav,IF(AA759="Facture d'acompte",p_pac,p_pfa)))</f>
        <v/>
      </c>
      <c r="AC759" s="62">
        <f>IF(ISNUMBER(C759),C759,0)</f>
        <v>0.0</v>
      </c>
      <c r="AD759" s="62" t="str">
        <f>IF(OR(AA759="",AC759=0),"",YEAR(AC759))</f>
        <v/>
      </c>
      <c r="AE759" s="62" t="str">
        <f>IF(AD759="","",COUNTIFS($AB$6:AB759,AB759,$AD$6:AD759,AD759))</f>
        <v/>
      </c>
      <c r="AF759" s="62">
        <f>IF(A759="",0,COUNTIF(fl_doc,A759))</f>
        <v>0.0</v>
      </c>
      <c r="AG759" s="62" t="str">
        <f>IF(A759="","",IF(AF759&gt;0,"Facture",IF(AND(F759&lt;&gt;"",AA759="Facture",ISNUMBER(MATCH(F759,dv_num,0))),"Devis","")))</f>
        <v/>
      </c>
      <c r="AH759" s="62" t="str">
        <f>IF(AND(A759&lt;&gt;"",F759&lt;&gt;"",AA759&lt;&gt;"Avoir"),F759,"")</f>
        <v/>
      </c>
      <c r="AI759" s="62" t="str">
        <f>IF(AG759="Devis",F759,"")</f>
        <v/>
      </c>
      <c r="AJ759" s="62">
        <f>IF(AG759="Facture",SUMIF(fl_doc,A759,fl_ht),IF(AG759="Devis",SUMIF(dl_doc,F759,dl_ht),0))</f>
        <v>0.0</v>
      </c>
      <c r="AK759" s="62">
        <f>IF(OR(AG759="",INDEX(p_rates,1)=""),0,IF(AG759="Facture",SUMIFS(fl_ht,fl_doc,A759,fl_rate,INDEX(p_rates,1)),SUMIFS(dl_ht,dl_doc,F759,dl_rate,INDEX(p_rates,1))))</f>
        <v>0.0</v>
      </c>
      <c r="AL759" s="62">
        <f>IF(OR(AG759="",INDEX(p_rates,2)=""),0,IF(AG759="Facture",SUMIFS(fl_ht,fl_doc,A759,fl_rate,INDEX(p_rates,2)),SUMIFS(dl_ht,dl_doc,F759,dl_rate,INDEX(p_rates,2))))</f>
        <v>0.0</v>
      </c>
      <c r="AM759" s="62">
        <f>IF(OR(AG759="",INDEX(p_rates,3)=""),0,IF(AG759="Facture",SUMIFS(fl_ht,fl_doc,A759,fl_rate,INDEX(p_rates,3)),SUMIFS(dl_ht,dl_doc,F759,dl_rate,INDEX(p_rates,3))))</f>
        <v>0.0</v>
      </c>
      <c r="AN759" s="62">
        <f>IF(OR(AG759="",INDEX(p_rates,4)=""),0,IF(AG759="Facture",SUMIFS(fl_ht,fl_doc,A759,fl_rate,INDEX(p_rates,4)),SUMIFS(dl_ht,dl_doc,F759,dl_rate,INDEX(p_rates,4))))</f>
        <v>0.0</v>
      </c>
      <c r="AO759" s="62">
        <f>IF(OR(AG759="",INDEX(p_rates,5)=""),0,IF(AG759="Facture",SUMIFS(fl_ht,fl_doc,A759,fl_rate,INDEX(p_rates,5)),SUMIFS(dl_ht,dl_doc,F759,dl_rate,INDEX(p_rates,5))))</f>
        <v>0.0</v>
      </c>
      <c r="AP759" s="62">
        <f>IF(OR(AG759="",INDEX(p_rates,6)=""),0,IF(AG759="Facture",SUMIFS(fl_ht,fl_doc,A759,fl_rate,INDEX(p_rates,6)),SUMIFS(dl_ht,dl_doc,F759,dl_rate,INDEX(p_rates,6))))</f>
        <v>0.0</v>
      </c>
      <c r="AQ759" s="62">
        <f>ROUND(AK759*N(INDEX(p_rates,1)),2)+ROUND(AL759*N(INDEX(p_rates,2)),2)+ROUND(AM759*N(INDEX(p_rates,3)),2)+ROUND(AN759*N(INDEX(p_rates,4)),2)+ROUND(AO759*N(INDEX(p_rates,5)),2)+ROUND(AP759*N(INDEX(p_rates,6)),2)</f>
        <v>0.0</v>
      </c>
      <c r="AR759" s="62" t="str">
        <f>IF(OR(L759="",AA759&lt;&gt;"Facture"),"",IFERROR(IF(INDEX(fa_type,MATCH(L759,fa_num,0))="Facture d'acompte",MATCH(L759,fa_num,0),""),""))</f>
        <v/>
      </c>
      <c r="AS759" s="62" t="str">
        <f>IF(W759="","",IF(W759&lt;=0,"",IF(p_asof-P759&lt;=0,"Non échu",IF(p_asof-P759&lt;=30,"1-30 j",IF(p_asof-P759&lt;=60,"31-60 j",IF(p_asof-P759&lt;=90,"61-90 j","Plus de 90 j"))))))</f>
        <v/>
      </c>
      <c r="AT759" s="62" t="str">
        <f>IF(AS759="","",p_asof-P759)</f>
        <v/>
      </c>
      <c r="AU759" s="62" t="str">
        <f>IF(AT759="","",COUNTIF($AT$6:$AT$805,"&gt;"&amp;AT759)+COUNTIF($AT$6:AT759,AT759))</f>
        <v/>
      </c>
    </row>
    <row r="760">
      <c r="A760" s="59" t="str">
        <f>IF(AE760="","",AB760&amp;"-"&amp;AD760&amp;"-"&amp;RIGHT("000"&amp;AE760,4))</f>
        <v/>
      </c>
      <c r="B760" s="60" t="n"/>
      <c r="C760" s="61" t="n"/>
      <c r="D760" s="60" t="n"/>
      <c r="E760" s="62" t="str">
        <f>IF(D760="","",IFERROR(INDEX(cli_name,MATCH(D760,cli_code,0))&amp;"","Client inconnu"))</f>
        <v/>
      </c>
      <c r="F760" s="60" t="n"/>
      <c r="G760" s="63" t="n"/>
      <c r="H760" s="61" t="n"/>
      <c r="I760" s="63" t="n"/>
      <c r="J760" s="60" t="n"/>
      <c r="K760" s="61" t="n"/>
      <c r="L760" s="60" t="n"/>
      <c r="M760" s="60" t="n"/>
      <c r="N760" s="60" t="n"/>
      <c r="O760" s="61" t="n"/>
      <c r="P760" s="64" t="str">
        <f>IF(A760="","",IF(AA760="Avoir",AC760,IF(ISNUMBER(K760),K760,AC760+IF(D760="",N(p_delay),IFERROR(IF(ISNUMBER(INDEX(cli_delay,MATCH(D760,cli_code,0))),INDEX(cli_delay,MATCH(D760,cli_code,0)),N(p_delay)),N(p_delay))))))</f>
        <v/>
      </c>
      <c r="Q760" s="65" t="str">
        <f>IF(A760="","",IF(AA760="Avoir",-1,1)*ROUND(AJ760-IF(AR760="",0,INDEX(fa_htb,AR760)),2))</f>
        <v/>
      </c>
      <c r="R760" s="65" t="str">
        <f>IF(A760="","",IF(AA760="Avoir",-1,1)*ROUND(AQ760-IF(AR760="",0,INDEX(fa_tvab,AR760)),2))</f>
        <v/>
      </c>
      <c r="S760" s="65" t="str">
        <f>IF(A760="","",Q760+R760)</f>
        <v/>
      </c>
      <c r="T760" s="65" t="str">
        <f>IF(AR760="","",INDEX(fa_htb,AR760)+INDEX(fa_tvab,AR760))</f>
        <v/>
      </c>
      <c r="U760" s="65" t="str">
        <f>IF(A760="","",SUMIF(pa_inv,A760,pa_amt))</f>
        <v/>
      </c>
      <c r="V760" s="65" t="str">
        <f>IF(OR(A760="",AA760="Avoir"),"",-SUMIFS(fa_ttc,fa_avof,A760,fa_type,"Avoir"))</f>
        <v/>
      </c>
      <c r="W760" s="65" t="str">
        <f>IF(OR(A760="",AA760="Avoir"),"",ROUND(S760-U760-V760,2))</f>
        <v/>
      </c>
      <c r="X760" s="66" t="str">
        <f>IF(W760="","",IF(AND(W760&gt;0,p_asof&gt;P760),p_asof-P760,""))</f>
        <v/>
      </c>
      <c r="Y760" s="59" t="str">
        <f>IF(A760="","",IF(AA760="Avoir","Avoir",IF(W760&lt;0,"Trop-perçu",IF(W760=0,"Soldée",IF(p_asof&gt;P760,"En retard",IF(U760+V760&gt;0,"Partielle","À échoir"))))))</f>
        <v/>
      </c>
      <c r="Z760" s="59" t="str">
        <f>IF(NOT(COUNTA(B760:D760,F760:O760)&gt;0),"",IF(C760="","Date manquante",IF(NOT(ISNUMBER(C760)),"Date invalide",IF(D760="","Client manquant",IF(ISNA(MATCH(D760,cli_code,0)),"Client inconnu",IF(AC760&lt;SUMPRODUCT(MAX(($AB$6:AB759=AB760)*$AC$6:AC759)),"Date antérieure à la facture précédente",IF(AND(F760&lt;&gt;"",ISNA(MATCH(F760,dv_num,0))),"Devis inconnu",IF(AND(F760&lt;&gt;"",IFERROR(INDEX(dv_client,MATCH(F760,dv_num,0)),D760)&lt;&gt;D760),"Client différent de celui du devis",IF(AG760="","Aucune ligne : saisissez des lignes ou un devis",IF(AND(AI760&lt;&gt;"",COUNTIF($AI$6:AI760,AI760)&gt;1),"Devis déjà repris par une autre facture",IF(AND(AA760="Avoir",M760=""),"Avoir : indiquez la facture d'origine",IF(AND(AA760="Avoir",ISNA(MATCH(M760,fa_num,0))),"Facture d'origine inconnue",IF(AND(AA760&lt;&gt;"Avoir",M760&lt;&gt;""),"« Avoir sur facture » : réservé aux avoirs",IF(AND(L760&lt;&gt;"",AA760&lt;&gt;"Facture"),"Acompte à déduire : réservé aux factures",IF(AND(L760&lt;&gt;"",ISNA(MATCH(L760,fa_num,0))),"Facture d'acompte inconnue",IF(AND(L760&lt;&gt;"",IFERROR(INDEX(fa_type,MATCH(L760,fa_num,0)),"")&lt;&gt;"Facture d'acompte"),"Le n° à déduire n'est pas une facture d'acompte",IF(AND(L760&lt;&gt;"",COUNTIF($L$6:L760,L760)&gt;1),"Acompte déjà déduit sur une autre facture",IF(AND(L760&lt;&gt;"",IFERROR(INDEX(fa_client,MATCH(L760,fa_num,0)),D760)&lt;&gt;D760),"Acompte d'un autre client",IF(AND(AR760&lt;&gt;"",N(Q760)&lt;0),"Acompte supérieur au total de la facture",IF(IF(AG760="Facture",COUNTIFS(fl_doc,A760,fl_check,"&lt;&gt;OK"),IF(AG760="Devis",COUNTIFS(dl_doc,F760,dl_check,"&lt;&gt;OK"),0))&gt;0,"Ligne(s) à corriger",IF(AND(W760&lt;&gt;"",N(W760)&lt;0),"Trop-perçu : vérifiez paiements et avoirs","OK")))))))))))))))))))))</f>
        <v/>
      </c>
      <c r="AA760" s="62" t="str">
        <f>IF(COUNTA(B760:D760,F760:O760)&gt;0,IF(B760="","Facture",B760),"")</f>
        <v/>
      </c>
      <c r="AB760" s="62" t="str">
        <f>IF(AA760="","",IF(AA760="Avoir",p_pav,IF(AA760="Facture d'acompte",p_pac,p_pfa)))</f>
        <v/>
      </c>
      <c r="AC760" s="62">
        <f>IF(ISNUMBER(C760),C760,0)</f>
        <v>0.0</v>
      </c>
      <c r="AD760" s="62" t="str">
        <f>IF(OR(AA760="",AC760=0),"",YEAR(AC760))</f>
        <v/>
      </c>
      <c r="AE760" s="62" t="str">
        <f>IF(AD760="","",COUNTIFS($AB$6:AB760,AB760,$AD$6:AD760,AD760))</f>
        <v/>
      </c>
      <c r="AF760" s="62">
        <f>IF(A760="",0,COUNTIF(fl_doc,A760))</f>
        <v>0.0</v>
      </c>
      <c r="AG760" s="62" t="str">
        <f>IF(A760="","",IF(AF760&gt;0,"Facture",IF(AND(F760&lt;&gt;"",AA760="Facture",ISNUMBER(MATCH(F760,dv_num,0))),"Devis","")))</f>
        <v/>
      </c>
      <c r="AH760" s="62" t="str">
        <f>IF(AND(A760&lt;&gt;"",F760&lt;&gt;"",AA760&lt;&gt;"Avoir"),F760,"")</f>
        <v/>
      </c>
      <c r="AI760" s="62" t="str">
        <f>IF(AG760="Devis",F760,"")</f>
        <v/>
      </c>
      <c r="AJ760" s="62">
        <f>IF(AG760="Facture",SUMIF(fl_doc,A760,fl_ht),IF(AG760="Devis",SUMIF(dl_doc,F760,dl_ht),0))</f>
        <v>0.0</v>
      </c>
      <c r="AK760" s="62">
        <f>IF(OR(AG760="",INDEX(p_rates,1)=""),0,IF(AG760="Facture",SUMIFS(fl_ht,fl_doc,A760,fl_rate,INDEX(p_rates,1)),SUMIFS(dl_ht,dl_doc,F760,dl_rate,INDEX(p_rates,1))))</f>
        <v>0.0</v>
      </c>
      <c r="AL760" s="62">
        <f>IF(OR(AG760="",INDEX(p_rates,2)=""),0,IF(AG760="Facture",SUMIFS(fl_ht,fl_doc,A760,fl_rate,INDEX(p_rates,2)),SUMIFS(dl_ht,dl_doc,F760,dl_rate,INDEX(p_rates,2))))</f>
        <v>0.0</v>
      </c>
      <c r="AM760" s="62">
        <f>IF(OR(AG760="",INDEX(p_rates,3)=""),0,IF(AG760="Facture",SUMIFS(fl_ht,fl_doc,A760,fl_rate,INDEX(p_rates,3)),SUMIFS(dl_ht,dl_doc,F760,dl_rate,INDEX(p_rates,3))))</f>
        <v>0.0</v>
      </c>
      <c r="AN760" s="62">
        <f>IF(OR(AG760="",INDEX(p_rates,4)=""),0,IF(AG760="Facture",SUMIFS(fl_ht,fl_doc,A760,fl_rate,INDEX(p_rates,4)),SUMIFS(dl_ht,dl_doc,F760,dl_rate,INDEX(p_rates,4))))</f>
        <v>0.0</v>
      </c>
      <c r="AO760" s="62">
        <f>IF(OR(AG760="",INDEX(p_rates,5)=""),0,IF(AG760="Facture",SUMIFS(fl_ht,fl_doc,A760,fl_rate,INDEX(p_rates,5)),SUMIFS(dl_ht,dl_doc,F760,dl_rate,INDEX(p_rates,5))))</f>
        <v>0.0</v>
      </c>
      <c r="AP760" s="62">
        <f>IF(OR(AG760="",INDEX(p_rates,6)=""),0,IF(AG760="Facture",SUMIFS(fl_ht,fl_doc,A760,fl_rate,INDEX(p_rates,6)),SUMIFS(dl_ht,dl_doc,F760,dl_rate,INDEX(p_rates,6))))</f>
        <v>0.0</v>
      </c>
      <c r="AQ760" s="62">
        <f>ROUND(AK760*N(INDEX(p_rates,1)),2)+ROUND(AL760*N(INDEX(p_rates,2)),2)+ROUND(AM760*N(INDEX(p_rates,3)),2)+ROUND(AN760*N(INDEX(p_rates,4)),2)+ROUND(AO760*N(INDEX(p_rates,5)),2)+ROUND(AP760*N(INDEX(p_rates,6)),2)</f>
        <v>0.0</v>
      </c>
      <c r="AR760" s="62" t="str">
        <f>IF(OR(L760="",AA760&lt;&gt;"Facture"),"",IFERROR(IF(INDEX(fa_type,MATCH(L760,fa_num,0))="Facture d'acompte",MATCH(L760,fa_num,0),""),""))</f>
        <v/>
      </c>
      <c r="AS760" s="62" t="str">
        <f>IF(W760="","",IF(W760&lt;=0,"",IF(p_asof-P760&lt;=0,"Non échu",IF(p_asof-P760&lt;=30,"1-30 j",IF(p_asof-P760&lt;=60,"31-60 j",IF(p_asof-P760&lt;=90,"61-90 j","Plus de 90 j"))))))</f>
        <v/>
      </c>
      <c r="AT760" s="62" t="str">
        <f>IF(AS760="","",p_asof-P760)</f>
        <v/>
      </c>
      <c r="AU760" s="62" t="str">
        <f>IF(AT760="","",COUNTIF($AT$6:$AT$805,"&gt;"&amp;AT760)+COUNTIF($AT$6:AT760,AT760))</f>
        <v/>
      </c>
    </row>
    <row r="761">
      <c r="A761" s="59" t="str">
        <f>IF(AE761="","",AB761&amp;"-"&amp;AD761&amp;"-"&amp;RIGHT("000"&amp;AE761,4))</f>
        <v/>
      </c>
      <c r="B761" s="60" t="n"/>
      <c r="C761" s="61" t="n"/>
      <c r="D761" s="60" t="n"/>
      <c r="E761" s="62" t="str">
        <f>IF(D761="","",IFERROR(INDEX(cli_name,MATCH(D761,cli_code,0))&amp;"","Client inconnu"))</f>
        <v/>
      </c>
      <c r="F761" s="60" t="n"/>
      <c r="G761" s="63" t="n"/>
      <c r="H761" s="61" t="n"/>
      <c r="I761" s="63" t="n"/>
      <c r="J761" s="60" t="n"/>
      <c r="K761" s="61" t="n"/>
      <c r="L761" s="60" t="n"/>
      <c r="M761" s="60" t="n"/>
      <c r="N761" s="60" t="n"/>
      <c r="O761" s="61" t="n"/>
      <c r="P761" s="64" t="str">
        <f>IF(A761="","",IF(AA761="Avoir",AC761,IF(ISNUMBER(K761),K761,AC761+IF(D761="",N(p_delay),IFERROR(IF(ISNUMBER(INDEX(cli_delay,MATCH(D761,cli_code,0))),INDEX(cli_delay,MATCH(D761,cli_code,0)),N(p_delay)),N(p_delay))))))</f>
        <v/>
      </c>
      <c r="Q761" s="65" t="str">
        <f>IF(A761="","",IF(AA761="Avoir",-1,1)*ROUND(AJ761-IF(AR761="",0,INDEX(fa_htb,AR761)),2))</f>
        <v/>
      </c>
      <c r="R761" s="65" t="str">
        <f>IF(A761="","",IF(AA761="Avoir",-1,1)*ROUND(AQ761-IF(AR761="",0,INDEX(fa_tvab,AR761)),2))</f>
        <v/>
      </c>
      <c r="S761" s="65" t="str">
        <f>IF(A761="","",Q761+R761)</f>
        <v/>
      </c>
      <c r="T761" s="65" t="str">
        <f>IF(AR761="","",INDEX(fa_htb,AR761)+INDEX(fa_tvab,AR761))</f>
        <v/>
      </c>
      <c r="U761" s="65" t="str">
        <f>IF(A761="","",SUMIF(pa_inv,A761,pa_amt))</f>
        <v/>
      </c>
      <c r="V761" s="65" t="str">
        <f>IF(OR(A761="",AA761="Avoir"),"",-SUMIFS(fa_ttc,fa_avof,A761,fa_type,"Avoir"))</f>
        <v/>
      </c>
      <c r="W761" s="65" t="str">
        <f>IF(OR(A761="",AA761="Avoir"),"",ROUND(S761-U761-V761,2))</f>
        <v/>
      </c>
      <c r="X761" s="66" t="str">
        <f>IF(W761="","",IF(AND(W761&gt;0,p_asof&gt;P761),p_asof-P761,""))</f>
        <v/>
      </c>
      <c r="Y761" s="59" t="str">
        <f>IF(A761="","",IF(AA761="Avoir","Avoir",IF(W761&lt;0,"Trop-perçu",IF(W761=0,"Soldée",IF(p_asof&gt;P761,"En retard",IF(U761+V761&gt;0,"Partielle","À échoir"))))))</f>
        <v/>
      </c>
      <c r="Z761" s="59" t="str">
        <f>IF(NOT(COUNTA(B761:D761,F761:O761)&gt;0),"",IF(C761="","Date manquante",IF(NOT(ISNUMBER(C761)),"Date invalide",IF(D761="","Client manquant",IF(ISNA(MATCH(D761,cli_code,0)),"Client inconnu",IF(AC761&lt;SUMPRODUCT(MAX(($AB$6:AB760=AB761)*$AC$6:AC760)),"Date antérieure à la facture précédente",IF(AND(F761&lt;&gt;"",ISNA(MATCH(F761,dv_num,0))),"Devis inconnu",IF(AND(F761&lt;&gt;"",IFERROR(INDEX(dv_client,MATCH(F761,dv_num,0)),D761)&lt;&gt;D761),"Client différent de celui du devis",IF(AG761="","Aucune ligne : saisissez des lignes ou un devis",IF(AND(AI761&lt;&gt;"",COUNTIF($AI$6:AI761,AI761)&gt;1),"Devis déjà repris par une autre facture",IF(AND(AA761="Avoir",M761=""),"Avoir : indiquez la facture d'origine",IF(AND(AA761="Avoir",ISNA(MATCH(M761,fa_num,0))),"Facture d'origine inconnue",IF(AND(AA761&lt;&gt;"Avoir",M761&lt;&gt;""),"« Avoir sur facture » : réservé aux avoirs",IF(AND(L761&lt;&gt;"",AA761&lt;&gt;"Facture"),"Acompte à déduire : réservé aux factures",IF(AND(L761&lt;&gt;"",ISNA(MATCH(L761,fa_num,0))),"Facture d'acompte inconnue",IF(AND(L761&lt;&gt;"",IFERROR(INDEX(fa_type,MATCH(L761,fa_num,0)),"")&lt;&gt;"Facture d'acompte"),"Le n° à déduire n'est pas une facture d'acompte",IF(AND(L761&lt;&gt;"",COUNTIF($L$6:L761,L761)&gt;1),"Acompte déjà déduit sur une autre facture",IF(AND(L761&lt;&gt;"",IFERROR(INDEX(fa_client,MATCH(L761,fa_num,0)),D761)&lt;&gt;D761),"Acompte d'un autre client",IF(AND(AR761&lt;&gt;"",N(Q761)&lt;0),"Acompte supérieur au total de la facture",IF(IF(AG761="Facture",COUNTIFS(fl_doc,A761,fl_check,"&lt;&gt;OK"),IF(AG761="Devis",COUNTIFS(dl_doc,F761,dl_check,"&lt;&gt;OK"),0))&gt;0,"Ligne(s) à corriger",IF(AND(W761&lt;&gt;"",N(W761)&lt;0),"Trop-perçu : vérifiez paiements et avoirs","OK")))))))))))))))))))))</f>
        <v/>
      </c>
      <c r="AA761" s="62" t="str">
        <f>IF(COUNTA(B761:D761,F761:O761)&gt;0,IF(B761="","Facture",B761),"")</f>
        <v/>
      </c>
      <c r="AB761" s="62" t="str">
        <f>IF(AA761="","",IF(AA761="Avoir",p_pav,IF(AA761="Facture d'acompte",p_pac,p_pfa)))</f>
        <v/>
      </c>
      <c r="AC761" s="62">
        <f>IF(ISNUMBER(C761),C761,0)</f>
        <v>0.0</v>
      </c>
      <c r="AD761" s="62" t="str">
        <f>IF(OR(AA761="",AC761=0),"",YEAR(AC761))</f>
        <v/>
      </c>
      <c r="AE761" s="62" t="str">
        <f>IF(AD761="","",COUNTIFS($AB$6:AB761,AB761,$AD$6:AD761,AD761))</f>
        <v/>
      </c>
      <c r="AF761" s="62">
        <f>IF(A761="",0,COUNTIF(fl_doc,A761))</f>
        <v>0.0</v>
      </c>
      <c r="AG761" s="62" t="str">
        <f>IF(A761="","",IF(AF761&gt;0,"Facture",IF(AND(F761&lt;&gt;"",AA761="Facture",ISNUMBER(MATCH(F761,dv_num,0))),"Devis","")))</f>
        <v/>
      </c>
      <c r="AH761" s="62" t="str">
        <f>IF(AND(A761&lt;&gt;"",F761&lt;&gt;"",AA761&lt;&gt;"Avoir"),F761,"")</f>
        <v/>
      </c>
      <c r="AI761" s="62" t="str">
        <f>IF(AG761="Devis",F761,"")</f>
        <v/>
      </c>
      <c r="AJ761" s="62">
        <f>IF(AG761="Facture",SUMIF(fl_doc,A761,fl_ht),IF(AG761="Devis",SUMIF(dl_doc,F761,dl_ht),0))</f>
        <v>0.0</v>
      </c>
      <c r="AK761" s="62">
        <f>IF(OR(AG761="",INDEX(p_rates,1)=""),0,IF(AG761="Facture",SUMIFS(fl_ht,fl_doc,A761,fl_rate,INDEX(p_rates,1)),SUMIFS(dl_ht,dl_doc,F761,dl_rate,INDEX(p_rates,1))))</f>
        <v>0.0</v>
      </c>
      <c r="AL761" s="62">
        <f>IF(OR(AG761="",INDEX(p_rates,2)=""),0,IF(AG761="Facture",SUMIFS(fl_ht,fl_doc,A761,fl_rate,INDEX(p_rates,2)),SUMIFS(dl_ht,dl_doc,F761,dl_rate,INDEX(p_rates,2))))</f>
        <v>0.0</v>
      </c>
      <c r="AM761" s="62">
        <f>IF(OR(AG761="",INDEX(p_rates,3)=""),0,IF(AG761="Facture",SUMIFS(fl_ht,fl_doc,A761,fl_rate,INDEX(p_rates,3)),SUMIFS(dl_ht,dl_doc,F761,dl_rate,INDEX(p_rates,3))))</f>
        <v>0.0</v>
      </c>
      <c r="AN761" s="62">
        <f>IF(OR(AG761="",INDEX(p_rates,4)=""),0,IF(AG761="Facture",SUMIFS(fl_ht,fl_doc,A761,fl_rate,INDEX(p_rates,4)),SUMIFS(dl_ht,dl_doc,F761,dl_rate,INDEX(p_rates,4))))</f>
        <v>0.0</v>
      </c>
      <c r="AO761" s="62">
        <f>IF(OR(AG761="",INDEX(p_rates,5)=""),0,IF(AG761="Facture",SUMIFS(fl_ht,fl_doc,A761,fl_rate,INDEX(p_rates,5)),SUMIFS(dl_ht,dl_doc,F761,dl_rate,INDEX(p_rates,5))))</f>
        <v>0.0</v>
      </c>
      <c r="AP761" s="62">
        <f>IF(OR(AG761="",INDEX(p_rates,6)=""),0,IF(AG761="Facture",SUMIFS(fl_ht,fl_doc,A761,fl_rate,INDEX(p_rates,6)),SUMIFS(dl_ht,dl_doc,F761,dl_rate,INDEX(p_rates,6))))</f>
        <v>0.0</v>
      </c>
      <c r="AQ761" s="62">
        <f>ROUND(AK761*N(INDEX(p_rates,1)),2)+ROUND(AL761*N(INDEX(p_rates,2)),2)+ROUND(AM761*N(INDEX(p_rates,3)),2)+ROUND(AN761*N(INDEX(p_rates,4)),2)+ROUND(AO761*N(INDEX(p_rates,5)),2)+ROUND(AP761*N(INDEX(p_rates,6)),2)</f>
        <v>0.0</v>
      </c>
      <c r="AR761" s="62" t="str">
        <f>IF(OR(L761="",AA761&lt;&gt;"Facture"),"",IFERROR(IF(INDEX(fa_type,MATCH(L761,fa_num,0))="Facture d'acompte",MATCH(L761,fa_num,0),""),""))</f>
        <v/>
      </c>
      <c r="AS761" s="62" t="str">
        <f>IF(W761="","",IF(W761&lt;=0,"",IF(p_asof-P761&lt;=0,"Non échu",IF(p_asof-P761&lt;=30,"1-30 j",IF(p_asof-P761&lt;=60,"31-60 j",IF(p_asof-P761&lt;=90,"61-90 j","Plus de 90 j"))))))</f>
        <v/>
      </c>
      <c r="AT761" s="62" t="str">
        <f>IF(AS761="","",p_asof-P761)</f>
        <v/>
      </c>
      <c r="AU761" s="62" t="str">
        <f>IF(AT761="","",COUNTIF($AT$6:$AT$805,"&gt;"&amp;AT761)+COUNTIF($AT$6:AT761,AT761))</f>
        <v/>
      </c>
    </row>
    <row r="762">
      <c r="A762" s="59" t="str">
        <f>IF(AE762="","",AB762&amp;"-"&amp;AD762&amp;"-"&amp;RIGHT("000"&amp;AE762,4))</f>
        <v/>
      </c>
      <c r="B762" s="60" t="n"/>
      <c r="C762" s="61" t="n"/>
      <c r="D762" s="60" t="n"/>
      <c r="E762" s="62" t="str">
        <f>IF(D762="","",IFERROR(INDEX(cli_name,MATCH(D762,cli_code,0))&amp;"","Client inconnu"))</f>
        <v/>
      </c>
      <c r="F762" s="60" t="n"/>
      <c r="G762" s="63" t="n"/>
      <c r="H762" s="61" t="n"/>
      <c r="I762" s="63" t="n"/>
      <c r="J762" s="60" t="n"/>
      <c r="K762" s="61" t="n"/>
      <c r="L762" s="60" t="n"/>
      <c r="M762" s="60" t="n"/>
      <c r="N762" s="60" t="n"/>
      <c r="O762" s="61" t="n"/>
      <c r="P762" s="64" t="str">
        <f>IF(A762="","",IF(AA762="Avoir",AC762,IF(ISNUMBER(K762),K762,AC762+IF(D762="",N(p_delay),IFERROR(IF(ISNUMBER(INDEX(cli_delay,MATCH(D762,cli_code,0))),INDEX(cli_delay,MATCH(D762,cli_code,0)),N(p_delay)),N(p_delay))))))</f>
        <v/>
      </c>
      <c r="Q762" s="65" t="str">
        <f>IF(A762="","",IF(AA762="Avoir",-1,1)*ROUND(AJ762-IF(AR762="",0,INDEX(fa_htb,AR762)),2))</f>
        <v/>
      </c>
      <c r="R762" s="65" t="str">
        <f>IF(A762="","",IF(AA762="Avoir",-1,1)*ROUND(AQ762-IF(AR762="",0,INDEX(fa_tvab,AR762)),2))</f>
        <v/>
      </c>
      <c r="S762" s="65" t="str">
        <f>IF(A762="","",Q762+R762)</f>
        <v/>
      </c>
      <c r="T762" s="65" t="str">
        <f>IF(AR762="","",INDEX(fa_htb,AR762)+INDEX(fa_tvab,AR762))</f>
        <v/>
      </c>
      <c r="U762" s="65" t="str">
        <f>IF(A762="","",SUMIF(pa_inv,A762,pa_amt))</f>
        <v/>
      </c>
      <c r="V762" s="65" t="str">
        <f>IF(OR(A762="",AA762="Avoir"),"",-SUMIFS(fa_ttc,fa_avof,A762,fa_type,"Avoir"))</f>
        <v/>
      </c>
      <c r="W762" s="65" t="str">
        <f>IF(OR(A762="",AA762="Avoir"),"",ROUND(S762-U762-V762,2))</f>
        <v/>
      </c>
      <c r="X762" s="66" t="str">
        <f>IF(W762="","",IF(AND(W762&gt;0,p_asof&gt;P762),p_asof-P762,""))</f>
        <v/>
      </c>
      <c r="Y762" s="59" t="str">
        <f>IF(A762="","",IF(AA762="Avoir","Avoir",IF(W762&lt;0,"Trop-perçu",IF(W762=0,"Soldée",IF(p_asof&gt;P762,"En retard",IF(U762+V762&gt;0,"Partielle","À échoir"))))))</f>
        <v/>
      </c>
      <c r="Z762" s="59" t="str">
        <f>IF(NOT(COUNTA(B762:D762,F762:O762)&gt;0),"",IF(C762="","Date manquante",IF(NOT(ISNUMBER(C762)),"Date invalide",IF(D762="","Client manquant",IF(ISNA(MATCH(D762,cli_code,0)),"Client inconnu",IF(AC762&lt;SUMPRODUCT(MAX(($AB$6:AB761=AB762)*$AC$6:AC761)),"Date antérieure à la facture précédente",IF(AND(F762&lt;&gt;"",ISNA(MATCH(F762,dv_num,0))),"Devis inconnu",IF(AND(F762&lt;&gt;"",IFERROR(INDEX(dv_client,MATCH(F762,dv_num,0)),D762)&lt;&gt;D762),"Client différent de celui du devis",IF(AG762="","Aucune ligne : saisissez des lignes ou un devis",IF(AND(AI762&lt;&gt;"",COUNTIF($AI$6:AI762,AI762)&gt;1),"Devis déjà repris par une autre facture",IF(AND(AA762="Avoir",M762=""),"Avoir : indiquez la facture d'origine",IF(AND(AA762="Avoir",ISNA(MATCH(M762,fa_num,0))),"Facture d'origine inconnue",IF(AND(AA762&lt;&gt;"Avoir",M762&lt;&gt;""),"« Avoir sur facture » : réservé aux avoirs",IF(AND(L762&lt;&gt;"",AA762&lt;&gt;"Facture"),"Acompte à déduire : réservé aux factures",IF(AND(L762&lt;&gt;"",ISNA(MATCH(L762,fa_num,0))),"Facture d'acompte inconnue",IF(AND(L762&lt;&gt;"",IFERROR(INDEX(fa_type,MATCH(L762,fa_num,0)),"")&lt;&gt;"Facture d'acompte"),"Le n° à déduire n'est pas une facture d'acompte",IF(AND(L762&lt;&gt;"",COUNTIF($L$6:L762,L762)&gt;1),"Acompte déjà déduit sur une autre facture",IF(AND(L762&lt;&gt;"",IFERROR(INDEX(fa_client,MATCH(L762,fa_num,0)),D762)&lt;&gt;D762),"Acompte d'un autre client",IF(AND(AR762&lt;&gt;"",N(Q762)&lt;0),"Acompte supérieur au total de la facture",IF(IF(AG762="Facture",COUNTIFS(fl_doc,A762,fl_check,"&lt;&gt;OK"),IF(AG762="Devis",COUNTIFS(dl_doc,F762,dl_check,"&lt;&gt;OK"),0))&gt;0,"Ligne(s) à corriger",IF(AND(W762&lt;&gt;"",N(W762)&lt;0),"Trop-perçu : vérifiez paiements et avoirs","OK")))))))))))))))))))))</f>
        <v/>
      </c>
      <c r="AA762" s="62" t="str">
        <f>IF(COUNTA(B762:D762,F762:O762)&gt;0,IF(B762="","Facture",B762),"")</f>
        <v/>
      </c>
      <c r="AB762" s="62" t="str">
        <f>IF(AA762="","",IF(AA762="Avoir",p_pav,IF(AA762="Facture d'acompte",p_pac,p_pfa)))</f>
        <v/>
      </c>
      <c r="AC762" s="62">
        <f>IF(ISNUMBER(C762),C762,0)</f>
        <v>0.0</v>
      </c>
      <c r="AD762" s="62" t="str">
        <f>IF(OR(AA762="",AC762=0),"",YEAR(AC762))</f>
        <v/>
      </c>
      <c r="AE762" s="62" t="str">
        <f>IF(AD762="","",COUNTIFS($AB$6:AB762,AB762,$AD$6:AD762,AD762))</f>
        <v/>
      </c>
      <c r="AF762" s="62">
        <f>IF(A762="",0,COUNTIF(fl_doc,A762))</f>
        <v>0.0</v>
      </c>
      <c r="AG762" s="62" t="str">
        <f>IF(A762="","",IF(AF762&gt;0,"Facture",IF(AND(F762&lt;&gt;"",AA762="Facture",ISNUMBER(MATCH(F762,dv_num,0))),"Devis","")))</f>
        <v/>
      </c>
      <c r="AH762" s="62" t="str">
        <f>IF(AND(A762&lt;&gt;"",F762&lt;&gt;"",AA762&lt;&gt;"Avoir"),F762,"")</f>
        <v/>
      </c>
      <c r="AI762" s="62" t="str">
        <f>IF(AG762="Devis",F762,"")</f>
        <v/>
      </c>
      <c r="AJ762" s="62">
        <f>IF(AG762="Facture",SUMIF(fl_doc,A762,fl_ht),IF(AG762="Devis",SUMIF(dl_doc,F762,dl_ht),0))</f>
        <v>0.0</v>
      </c>
      <c r="AK762" s="62">
        <f>IF(OR(AG762="",INDEX(p_rates,1)=""),0,IF(AG762="Facture",SUMIFS(fl_ht,fl_doc,A762,fl_rate,INDEX(p_rates,1)),SUMIFS(dl_ht,dl_doc,F762,dl_rate,INDEX(p_rates,1))))</f>
        <v>0.0</v>
      </c>
      <c r="AL762" s="62">
        <f>IF(OR(AG762="",INDEX(p_rates,2)=""),0,IF(AG762="Facture",SUMIFS(fl_ht,fl_doc,A762,fl_rate,INDEX(p_rates,2)),SUMIFS(dl_ht,dl_doc,F762,dl_rate,INDEX(p_rates,2))))</f>
        <v>0.0</v>
      </c>
      <c r="AM762" s="62">
        <f>IF(OR(AG762="",INDEX(p_rates,3)=""),0,IF(AG762="Facture",SUMIFS(fl_ht,fl_doc,A762,fl_rate,INDEX(p_rates,3)),SUMIFS(dl_ht,dl_doc,F762,dl_rate,INDEX(p_rates,3))))</f>
        <v>0.0</v>
      </c>
      <c r="AN762" s="62">
        <f>IF(OR(AG762="",INDEX(p_rates,4)=""),0,IF(AG762="Facture",SUMIFS(fl_ht,fl_doc,A762,fl_rate,INDEX(p_rates,4)),SUMIFS(dl_ht,dl_doc,F762,dl_rate,INDEX(p_rates,4))))</f>
        <v>0.0</v>
      </c>
      <c r="AO762" s="62">
        <f>IF(OR(AG762="",INDEX(p_rates,5)=""),0,IF(AG762="Facture",SUMIFS(fl_ht,fl_doc,A762,fl_rate,INDEX(p_rates,5)),SUMIFS(dl_ht,dl_doc,F762,dl_rate,INDEX(p_rates,5))))</f>
        <v>0.0</v>
      </c>
      <c r="AP762" s="62">
        <f>IF(OR(AG762="",INDEX(p_rates,6)=""),0,IF(AG762="Facture",SUMIFS(fl_ht,fl_doc,A762,fl_rate,INDEX(p_rates,6)),SUMIFS(dl_ht,dl_doc,F762,dl_rate,INDEX(p_rates,6))))</f>
        <v>0.0</v>
      </c>
      <c r="AQ762" s="62">
        <f>ROUND(AK762*N(INDEX(p_rates,1)),2)+ROUND(AL762*N(INDEX(p_rates,2)),2)+ROUND(AM762*N(INDEX(p_rates,3)),2)+ROUND(AN762*N(INDEX(p_rates,4)),2)+ROUND(AO762*N(INDEX(p_rates,5)),2)+ROUND(AP762*N(INDEX(p_rates,6)),2)</f>
        <v>0.0</v>
      </c>
      <c r="AR762" s="62" t="str">
        <f>IF(OR(L762="",AA762&lt;&gt;"Facture"),"",IFERROR(IF(INDEX(fa_type,MATCH(L762,fa_num,0))="Facture d'acompte",MATCH(L762,fa_num,0),""),""))</f>
        <v/>
      </c>
      <c r="AS762" s="62" t="str">
        <f>IF(W762="","",IF(W762&lt;=0,"",IF(p_asof-P762&lt;=0,"Non échu",IF(p_asof-P762&lt;=30,"1-30 j",IF(p_asof-P762&lt;=60,"31-60 j",IF(p_asof-P762&lt;=90,"61-90 j","Plus de 90 j"))))))</f>
        <v/>
      </c>
      <c r="AT762" s="62" t="str">
        <f>IF(AS762="","",p_asof-P762)</f>
        <v/>
      </c>
      <c r="AU762" s="62" t="str">
        <f>IF(AT762="","",COUNTIF($AT$6:$AT$805,"&gt;"&amp;AT762)+COUNTIF($AT$6:AT762,AT762))</f>
        <v/>
      </c>
    </row>
    <row r="763">
      <c r="A763" s="59" t="str">
        <f>IF(AE763="","",AB763&amp;"-"&amp;AD763&amp;"-"&amp;RIGHT("000"&amp;AE763,4))</f>
        <v/>
      </c>
      <c r="B763" s="60" t="n"/>
      <c r="C763" s="61" t="n"/>
      <c r="D763" s="60" t="n"/>
      <c r="E763" s="62" t="str">
        <f>IF(D763="","",IFERROR(INDEX(cli_name,MATCH(D763,cli_code,0))&amp;"","Client inconnu"))</f>
        <v/>
      </c>
      <c r="F763" s="60" t="n"/>
      <c r="G763" s="63" t="n"/>
      <c r="H763" s="61" t="n"/>
      <c r="I763" s="63" t="n"/>
      <c r="J763" s="60" t="n"/>
      <c r="K763" s="61" t="n"/>
      <c r="L763" s="60" t="n"/>
      <c r="M763" s="60" t="n"/>
      <c r="N763" s="60" t="n"/>
      <c r="O763" s="61" t="n"/>
      <c r="P763" s="64" t="str">
        <f>IF(A763="","",IF(AA763="Avoir",AC763,IF(ISNUMBER(K763),K763,AC763+IF(D763="",N(p_delay),IFERROR(IF(ISNUMBER(INDEX(cli_delay,MATCH(D763,cli_code,0))),INDEX(cli_delay,MATCH(D763,cli_code,0)),N(p_delay)),N(p_delay))))))</f>
        <v/>
      </c>
      <c r="Q763" s="65" t="str">
        <f>IF(A763="","",IF(AA763="Avoir",-1,1)*ROUND(AJ763-IF(AR763="",0,INDEX(fa_htb,AR763)),2))</f>
        <v/>
      </c>
      <c r="R763" s="65" t="str">
        <f>IF(A763="","",IF(AA763="Avoir",-1,1)*ROUND(AQ763-IF(AR763="",0,INDEX(fa_tvab,AR763)),2))</f>
        <v/>
      </c>
      <c r="S763" s="65" t="str">
        <f>IF(A763="","",Q763+R763)</f>
        <v/>
      </c>
      <c r="T763" s="65" t="str">
        <f>IF(AR763="","",INDEX(fa_htb,AR763)+INDEX(fa_tvab,AR763))</f>
        <v/>
      </c>
      <c r="U763" s="65" t="str">
        <f>IF(A763="","",SUMIF(pa_inv,A763,pa_amt))</f>
        <v/>
      </c>
      <c r="V763" s="65" t="str">
        <f>IF(OR(A763="",AA763="Avoir"),"",-SUMIFS(fa_ttc,fa_avof,A763,fa_type,"Avoir"))</f>
        <v/>
      </c>
      <c r="W763" s="65" t="str">
        <f>IF(OR(A763="",AA763="Avoir"),"",ROUND(S763-U763-V763,2))</f>
        <v/>
      </c>
      <c r="X763" s="66" t="str">
        <f>IF(W763="","",IF(AND(W763&gt;0,p_asof&gt;P763),p_asof-P763,""))</f>
        <v/>
      </c>
      <c r="Y763" s="59" t="str">
        <f>IF(A763="","",IF(AA763="Avoir","Avoir",IF(W763&lt;0,"Trop-perçu",IF(W763=0,"Soldée",IF(p_asof&gt;P763,"En retard",IF(U763+V763&gt;0,"Partielle","À échoir"))))))</f>
        <v/>
      </c>
      <c r="Z763" s="59" t="str">
        <f>IF(NOT(COUNTA(B763:D763,F763:O763)&gt;0),"",IF(C763="","Date manquante",IF(NOT(ISNUMBER(C763)),"Date invalide",IF(D763="","Client manquant",IF(ISNA(MATCH(D763,cli_code,0)),"Client inconnu",IF(AC763&lt;SUMPRODUCT(MAX(($AB$6:AB762=AB763)*$AC$6:AC762)),"Date antérieure à la facture précédente",IF(AND(F763&lt;&gt;"",ISNA(MATCH(F763,dv_num,0))),"Devis inconnu",IF(AND(F763&lt;&gt;"",IFERROR(INDEX(dv_client,MATCH(F763,dv_num,0)),D763)&lt;&gt;D763),"Client différent de celui du devis",IF(AG763="","Aucune ligne : saisissez des lignes ou un devis",IF(AND(AI763&lt;&gt;"",COUNTIF($AI$6:AI763,AI763)&gt;1),"Devis déjà repris par une autre facture",IF(AND(AA763="Avoir",M763=""),"Avoir : indiquez la facture d'origine",IF(AND(AA763="Avoir",ISNA(MATCH(M763,fa_num,0))),"Facture d'origine inconnue",IF(AND(AA763&lt;&gt;"Avoir",M763&lt;&gt;""),"« Avoir sur facture » : réservé aux avoirs",IF(AND(L763&lt;&gt;"",AA763&lt;&gt;"Facture"),"Acompte à déduire : réservé aux factures",IF(AND(L763&lt;&gt;"",ISNA(MATCH(L763,fa_num,0))),"Facture d'acompte inconnue",IF(AND(L763&lt;&gt;"",IFERROR(INDEX(fa_type,MATCH(L763,fa_num,0)),"")&lt;&gt;"Facture d'acompte"),"Le n° à déduire n'est pas une facture d'acompte",IF(AND(L763&lt;&gt;"",COUNTIF($L$6:L763,L763)&gt;1),"Acompte déjà déduit sur une autre facture",IF(AND(L763&lt;&gt;"",IFERROR(INDEX(fa_client,MATCH(L763,fa_num,0)),D763)&lt;&gt;D763),"Acompte d'un autre client",IF(AND(AR763&lt;&gt;"",N(Q763)&lt;0),"Acompte supérieur au total de la facture",IF(IF(AG763="Facture",COUNTIFS(fl_doc,A763,fl_check,"&lt;&gt;OK"),IF(AG763="Devis",COUNTIFS(dl_doc,F763,dl_check,"&lt;&gt;OK"),0))&gt;0,"Ligne(s) à corriger",IF(AND(W763&lt;&gt;"",N(W763)&lt;0),"Trop-perçu : vérifiez paiements et avoirs","OK")))))))))))))))))))))</f>
        <v/>
      </c>
      <c r="AA763" s="62" t="str">
        <f>IF(COUNTA(B763:D763,F763:O763)&gt;0,IF(B763="","Facture",B763),"")</f>
        <v/>
      </c>
      <c r="AB763" s="62" t="str">
        <f>IF(AA763="","",IF(AA763="Avoir",p_pav,IF(AA763="Facture d'acompte",p_pac,p_pfa)))</f>
        <v/>
      </c>
      <c r="AC763" s="62">
        <f>IF(ISNUMBER(C763),C763,0)</f>
        <v>0.0</v>
      </c>
      <c r="AD763" s="62" t="str">
        <f>IF(OR(AA763="",AC763=0),"",YEAR(AC763))</f>
        <v/>
      </c>
      <c r="AE763" s="62" t="str">
        <f>IF(AD763="","",COUNTIFS($AB$6:AB763,AB763,$AD$6:AD763,AD763))</f>
        <v/>
      </c>
      <c r="AF763" s="62">
        <f>IF(A763="",0,COUNTIF(fl_doc,A763))</f>
        <v>0.0</v>
      </c>
      <c r="AG763" s="62" t="str">
        <f>IF(A763="","",IF(AF763&gt;0,"Facture",IF(AND(F763&lt;&gt;"",AA763="Facture",ISNUMBER(MATCH(F763,dv_num,0))),"Devis","")))</f>
        <v/>
      </c>
      <c r="AH763" s="62" t="str">
        <f>IF(AND(A763&lt;&gt;"",F763&lt;&gt;"",AA763&lt;&gt;"Avoir"),F763,"")</f>
        <v/>
      </c>
      <c r="AI763" s="62" t="str">
        <f>IF(AG763="Devis",F763,"")</f>
        <v/>
      </c>
      <c r="AJ763" s="62">
        <f>IF(AG763="Facture",SUMIF(fl_doc,A763,fl_ht),IF(AG763="Devis",SUMIF(dl_doc,F763,dl_ht),0))</f>
        <v>0.0</v>
      </c>
      <c r="AK763" s="62">
        <f>IF(OR(AG763="",INDEX(p_rates,1)=""),0,IF(AG763="Facture",SUMIFS(fl_ht,fl_doc,A763,fl_rate,INDEX(p_rates,1)),SUMIFS(dl_ht,dl_doc,F763,dl_rate,INDEX(p_rates,1))))</f>
        <v>0.0</v>
      </c>
      <c r="AL763" s="62">
        <f>IF(OR(AG763="",INDEX(p_rates,2)=""),0,IF(AG763="Facture",SUMIFS(fl_ht,fl_doc,A763,fl_rate,INDEX(p_rates,2)),SUMIFS(dl_ht,dl_doc,F763,dl_rate,INDEX(p_rates,2))))</f>
        <v>0.0</v>
      </c>
      <c r="AM763" s="62">
        <f>IF(OR(AG763="",INDEX(p_rates,3)=""),0,IF(AG763="Facture",SUMIFS(fl_ht,fl_doc,A763,fl_rate,INDEX(p_rates,3)),SUMIFS(dl_ht,dl_doc,F763,dl_rate,INDEX(p_rates,3))))</f>
        <v>0.0</v>
      </c>
      <c r="AN763" s="62">
        <f>IF(OR(AG763="",INDEX(p_rates,4)=""),0,IF(AG763="Facture",SUMIFS(fl_ht,fl_doc,A763,fl_rate,INDEX(p_rates,4)),SUMIFS(dl_ht,dl_doc,F763,dl_rate,INDEX(p_rates,4))))</f>
        <v>0.0</v>
      </c>
      <c r="AO763" s="62">
        <f>IF(OR(AG763="",INDEX(p_rates,5)=""),0,IF(AG763="Facture",SUMIFS(fl_ht,fl_doc,A763,fl_rate,INDEX(p_rates,5)),SUMIFS(dl_ht,dl_doc,F763,dl_rate,INDEX(p_rates,5))))</f>
        <v>0.0</v>
      </c>
      <c r="AP763" s="62">
        <f>IF(OR(AG763="",INDEX(p_rates,6)=""),0,IF(AG763="Facture",SUMIFS(fl_ht,fl_doc,A763,fl_rate,INDEX(p_rates,6)),SUMIFS(dl_ht,dl_doc,F763,dl_rate,INDEX(p_rates,6))))</f>
        <v>0.0</v>
      </c>
      <c r="AQ763" s="62">
        <f>ROUND(AK763*N(INDEX(p_rates,1)),2)+ROUND(AL763*N(INDEX(p_rates,2)),2)+ROUND(AM763*N(INDEX(p_rates,3)),2)+ROUND(AN763*N(INDEX(p_rates,4)),2)+ROUND(AO763*N(INDEX(p_rates,5)),2)+ROUND(AP763*N(INDEX(p_rates,6)),2)</f>
        <v>0.0</v>
      </c>
      <c r="AR763" s="62" t="str">
        <f>IF(OR(L763="",AA763&lt;&gt;"Facture"),"",IFERROR(IF(INDEX(fa_type,MATCH(L763,fa_num,0))="Facture d'acompte",MATCH(L763,fa_num,0),""),""))</f>
        <v/>
      </c>
      <c r="AS763" s="62" t="str">
        <f>IF(W763="","",IF(W763&lt;=0,"",IF(p_asof-P763&lt;=0,"Non échu",IF(p_asof-P763&lt;=30,"1-30 j",IF(p_asof-P763&lt;=60,"31-60 j",IF(p_asof-P763&lt;=90,"61-90 j","Plus de 90 j"))))))</f>
        <v/>
      </c>
      <c r="AT763" s="62" t="str">
        <f>IF(AS763="","",p_asof-P763)</f>
        <v/>
      </c>
      <c r="AU763" s="62" t="str">
        <f>IF(AT763="","",COUNTIF($AT$6:$AT$805,"&gt;"&amp;AT763)+COUNTIF($AT$6:AT763,AT763))</f>
        <v/>
      </c>
    </row>
    <row r="764">
      <c r="A764" s="59" t="str">
        <f>IF(AE764="","",AB764&amp;"-"&amp;AD764&amp;"-"&amp;RIGHT("000"&amp;AE764,4))</f>
        <v/>
      </c>
      <c r="B764" s="60" t="n"/>
      <c r="C764" s="61" t="n"/>
      <c r="D764" s="60" t="n"/>
      <c r="E764" s="62" t="str">
        <f>IF(D764="","",IFERROR(INDEX(cli_name,MATCH(D764,cli_code,0))&amp;"","Client inconnu"))</f>
        <v/>
      </c>
      <c r="F764" s="60" t="n"/>
      <c r="G764" s="63" t="n"/>
      <c r="H764" s="61" t="n"/>
      <c r="I764" s="63" t="n"/>
      <c r="J764" s="60" t="n"/>
      <c r="K764" s="61" t="n"/>
      <c r="L764" s="60" t="n"/>
      <c r="M764" s="60" t="n"/>
      <c r="N764" s="60" t="n"/>
      <c r="O764" s="61" t="n"/>
      <c r="P764" s="64" t="str">
        <f>IF(A764="","",IF(AA764="Avoir",AC764,IF(ISNUMBER(K764),K764,AC764+IF(D764="",N(p_delay),IFERROR(IF(ISNUMBER(INDEX(cli_delay,MATCH(D764,cli_code,0))),INDEX(cli_delay,MATCH(D764,cli_code,0)),N(p_delay)),N(p_delay))))))</f>
        <v/>
      </c>
      <c r="Q764" s="65" t="str">
        <f>IF(A764="","",IF(AA764="Avoir",-1,1)*ROUND(AJ764-IF(AR764="",0,INDEX(fa_htb,AR764)),2))</f>
        <v/>
      </c>
      <c r="R764" s="65" t="str">
        <f>IF(A764="","",IF(AA764="Avoir",-1,1)*ROUND(AQ764-IF(AR764="",0,INDEX(fa_tvab,AR764)),2))</f>
        <v/>
      </c>
      <c r="S764" s="65" t="str">
        <f>IF(A764="","",Q764+R764)</f>
        <v/>
      </c>
      <c r="T764" s="65" t="str">
        <f>IF(AR764="","",INDEX(fa_htb,AR764)+INDEX(fa_tvab,AR764))</f>
        <v/>
      </c>
      <c r="U764" s="65" t="str">
        <f>IF(A764="","",SUMIF(pa_inv,A764,pa_amt))</f>
        <v/>
      </c>
      <c r="V764" s="65" t="str">
        <f>IF(OR(A764="",AA764="Avoir"),"",-SUMIFS(fa_ttc,fa_avof,A764,fa_type,"Avoir"))</f>
        <v/>
      </c>
      <c r="W764" s="65" t="str">
        <f>IF(OR(A764="",AA764="Avoir"),"",ROUND(S764-U764-V764,2))</f>
        <v/>
      </c>
      <c r="X764" s="66" t="str">
        <f>IF(W764="","",IF(AND(W764&gt;0,p_asof&gt;P764),p_asof-P764,""))</f>
        <v/>
      </c>
      <c r="Y764" s="59" t="str">
        <f>IF(A764="","",IF(AA764="Avoir","Avoir",IF(W764&lt;0,"Trop-perçu",IF(W764=0,"Soldée",IF(p_asof&gt;P764,"En retard",IF(U764+V764&gt;0,"Partielle","À échoir"))))))</f>
        <v/>
      </c>
      <c r="Z764" s="59" t="str">
        <f>IF(NOT(COUNTA(B764:D764,F764:O764)&gt;0),"",IF(C764="","Date manquante",IF(NOT(ISNUMBER(C764)),"Date invalide",IF(D764="","Client manquant",IF(ISNA(MATCH(D764,cli_code,0)),"Client inconnu",IF(AC764&lt;SUMPRODUCT(MAX(($AB$6:AB763=AB764)*$AC$6:AC763)),"Date antérieure à la facture précédente",IF(AND(F764&lt;&gt;"",ISNA(MATCH(F764,dv_num,0))),"Devis inconnu",IF(AND(F764&lt;&gt;"",IFERROR(INDEX(dv_client,MATCH(F764,dv_num,0)),D764)&lt;&gt;D764),"Client différent de celui du devis",IF(AG764="","Aucune ligne : saisissez des lignes ou un devis",IF(AND(AI764&lt;&gt;"",COUNTIF($AI$6:AI764,AI764)&gt;1),"Devis déjà repris par une autre facture",IF(AND(AA764="Avoir",M764=""),"Avoir : indiquez la facture d'origine",IF(AND(AA764="Avoir",ISNA(MATCH(M764,fa_num,0))),"Facture d'origine inconnue",IF(AND(AA764&lt;&gt;"Avoir",M764&lt;&gt;""),"« Avoir sur facture » : réservé aux avoirs",IF(AND(L764&lt;&gt;"",AA764&lt;&gt;"Facture"),"Acompte à déduire : réservé aux factures",IF(AND(L764&lt;&gt;"",ISNA(MATCH(L764,fa_num,0))),"Facture d'acompte inconnue",IF(AND(L764&lt;&gt;"",IFERROR(INDEX(fa_type,MATCH(L764,fa_num,0)),"")&lt;&gt;"Facture d'acompte"),"Le n° à déduire n'est pas une facture d'acompte",IF(AND(L764&lt;&gt;"",COUNTIF($L$6:L764,L764)&gt;1),"Acompte déjà déduit sur une autre facture",IF(AND(L764&lt;&gt;"",IFERROR(INDEX(fa_client,MATCH(L764,fa_num,0)),D764)&lt;&gt;D764),"Acompte d'un autre client",IF(AND(AR764&lt;&gt;"",N(Q764)&lt;0),"Acompte supérieur au total de la facture",IF(IF(AG764="Facture",COUNTIFS(fl_doc,A764,fl_check,"&lt;&gt;OK"),IF(AG764="Devis",COUNTIFS(dl_doc,F764,dl_check,"&lt;&gt;OK"),0))&gt;0,"Ligne(s) à corriger",IF(AND(W764&lt;&gt;"",N(W764)&lt;0),"Trop-perçu : vérifiez paiements et avoirs","OK")))))))))))))))))))))</f>
        <v/>
      </c>
      <c r="AA764" s="62" t="str">
        <f>IF(COUNTA(B764:D764,F764:O764)&gt;0,IF(B764="","Facture",B764),"")</f>
        <v/>
      </c>
      <c r="AB764" s="62" t="str">
        <f>IF(AA764="","",IF(AA764="Avoir",p_pav,IF(AA764="Facture d'acompte",p_pac,p_pfa)))</f>
        <v/>
      </c>
      <c r="AC764" s="62">
        <f>IF(ISNUMBER(C764),C764,0)</f>
        <v>0.0</v>
      </c>
      <c r="AD764" s="62" t="str">
        <f>IF(OR(AA764="",AC764=0),"",YEAR(AC764))</f>
        <v/>
      </c>
      <c r="AE764" s="62" t="str">
        <f>IF(AD764="","",COUNTIFS($AB$6:AB764,AB764,$AD$6:AD764,AD764))</f>
        <v/>
      </c>
      <c r="AF764" s="62">
        <f>IF(A764="",0,COUNTIF(fl_doc,A764))</f>
        <v>0.0</v>
      </c>
      <c r="AG764" s="62" t="str">
        <f>IF(A764="","",IF(AF764&gt;0,"Facture",IF(AND(F764&lt;&gt;"",AA764="Facture",ISNUMBER(MATCH(F764,dv_num,0))),"Devis","")))</f>
        <v/>
      </c>
      <c r="AH764" s="62" t="str">
        <f>IF(AND(A764&lt;&gt;"",F764&lt;&gt;"",AA764&lt;&gt;"Avoir"),F764,"")</f>
        <v/>
      </c>
      <c r="AI764" s="62" t="str">
        <f>IF(AG764="Devis",F764,"")</f>
        <v/>
      </c>
      <c r="AJ764" s="62">
        <f>IF(AG764="Facture",SUMIF(fl_doc,A764,fl_ht),IF(AG764="Devis",SUMIF(dl_doc,F764,dl_ht),0))</f>
        <v>0.0</v>
      </c>
      <c r="AK764" s="62">
        <f>IF(OR(AG764="",INDEX(p_rates,1)=""),0,IF(AG764="Facture",SUMIFS(fl_ht,fl_doc,A764,fl_rate,INDEX(p_rates,1)),SUMIFS(dl_ht,dl_doc,F764,dl_rate,INDEX(p_rates,1))))</f>
        <v>0.0</v>
      </c>
      <c r="AL764" s="62">
        <f>IF(OR(AG764="",INDEX(p_rates,2)=""),0,IF(AG764="Facture",SUMIFS(fl_ht,fl_doc,A764,fl_rate,INDEX(p_rates,2)),SUMIFS(dl_ht,dl_doc,F764,dl_rate,INDEX(p_rates,2))))</f>
        <v>0.0</v>
      </c>
      <c r="AM764" s="62">
        <f>IF(OR(AG764="",INDEX(p_rates,3)=""),0,IF(AG764="Facture",SUMIFS(fl_ht,fl_doc,A764,fl_rate,INDEX(p_rates,3)),SUMIFS(dl_ht,dl_doc,F764,dl_rate,INDEX(p_rates,3))))</f>
        <v>0.0</v>
      </c>
      <c r="AN764" s="62">
        <f>IF(OR(AG764="",INDEX(p_rates,4)=""),0,IF(AG764="Facture",SUMIFS(fl_ht,fl_doc,A764,fl_rate,INDEX(p_rates,4)),SUMIFS(dl_ht,dl_doc,F764,dl_rate,INDEX(p_rates,4))))</f>
        <v>0.0</v>
      </c>
      <c r="AO764" s="62">
        <f>IF(OR(AG764="",INDEX(p_rates,5)=""),0,IF(AG764="Facture",SUMIFS(fl_ht,fl_doc,A764,fl_rate,INDEX(p_rates,5)),SUMIFS(dl_ht,dl_doc,F764,dl_rate,INDEX(p_rates,5))))</f>
        <v>0.0</v>
      </c>
      <c r="AP764" s="62">
        <f>IF(OR(AG764="",INDEX(p_rates,6)=""),0,IF(AG764="Facture",SUMIFS(fl_ht,fl_doc,A764,fl_rate,INDEX(p_rates,6)),SUMIFS(dl_ht,dl_doc,F764,dl_rate,INDEX(p_rates,6))))</f>
        <v>0.0</v>
      </c>
      <c r="AQ764" s="62">
        <f>ROUND(AK764*N(INDEX(p_rates,1)),2)+ROUND(AL764*N(INDEX(p_rates,2)),2)+ROUND(AM764*N(INDEX(p_rates,3)),2)+ROUND(AN764*N(INDEX(p_rates,4)),2)+ROUND(AO764*N(INDEX(p_rates,5)),2)+ROUND(AP764*N(INDEX(p_rates,6)),2)</f>
        <v>0.0</v>
      </c>
      <c r="AR764" s="62" t="str">
        <f>IF(OR(L764="",AA764&lt;&gt;"Facture"),"",IFERROR(IF(INDEX(fa_type,MATCH(L764,fa_num,0))="Facture d'acompte",MATCH(L764,fa_num,0),""),""))</f>
        <v/>
      </c>
      <c r="AS764" s="62" t="str">
        <f>IF(W764="","",IF(W764&lt;=0,"",IF(p_asof-P764&lt;=0,"Non échu",IF(p_asof-P764&lt;=30,"1-30 j",IF(p_asof-P764&lt;=60,"31-60 j",IF(p_asof-P764&lt;=90,"61-90 j","Plus de 90 j"))))))</f>
        <v/>
      </c>
      <c r="AT764" s="62" t="str">
        <f>IF(AS764="","",p_asof-P764)</f>
        <v/>
      </c>
      <c r="AU764" s="62" t="str">
        <f>IF(AT764="","",COUNTIF($AT$6:$AT$805,"&gt;"&amp;AT764)+COUNTIF($AT$6:AT764,AT764))</f>
        <v/>
      </c>
    </row>
    <row r="765">
      <c r="A765" s="59" t="str">
        <f>IF(AE765="","",AB765&amp;"-"&amp;AD765&amp;"-"&amp;RIGHT("000"&amp;AE765,4))</f>
        <v/>
      </c>
      <c r="B765" s="60" t="n"/>
      <c r="C765" s="61" t="n"/>
      <c r="D765" s="60" t="n"/>
      <c r="E765" s="62" t="str">
        <f>IF(D765="","",IFERROR(INDEX(cli_name,MATCH(D765,cli_code,0))&amp;"","Client inconnu"))</f>
        <v/>
      </c>
      <c r="F765" s="60" t="n"/>
      <c r="G765" s="63" t="n"/>
      <c r="H765" s="61" t="n"/>
      <c r="I765" s="63" t="n"/>
      <c r="J765" s="60" t="n"/>
      <c r="K765" s="61" t="n"/>
      <c r="L765" s="60" t="n"/>
      <c r="M765" s="60" t="n"/>
      <c r="N765" s="60" t="n"/>
      <c r="O765" s="61" t="n"/>
      <c r="P765" s="64" t="str">
        <f>IF(A765="","",IF(AA765="Avoir",AC765,IF(ISNUMBER(K765),K765,AC765+IF(D765="",N(p_delay),IFERROR(IF(ISNUMBER(INDEX(cli_delay,MATCH(D765,cli_code,0))),INDEX(cli_delay,MATCH(D765,cli_code,0)),N(p_delay)),N(p_delay))))))</f>
        <v/>
      </c>
      <c r="Q765" s="65" t="str">
        <f>IF(A765="","",IF(AA765="Avoir",-1,1)*ROUND(AJ765-IF(AR765="",0,INDEX(fa_htb,AR765)),2))</f>
        <v/>
      </c>
      <c r="R765" s="65" t="str">
        <f>IF(A765="","",IF(AA765="Avoir",-1,1)*ROUND(AQ765-IF(AR765="",0,INDEX(fa_tvab,AR765)),2))</f>
        <v/>
      </c>
      <c r="S765" s="65" t="str">
        <f>IF(A765="","",Q765+R765)</f>
        <v/>
      </c>
      <c r="T765" s="65" t="str">
        <f>IF(AR765="","",INDEX(fa_htb,AR765)+INDEX(fa_tvab,AR765))</f>
        <v/>
      </c>
      <c r="U765" s="65" t="str">
        <f>IF(A765="","",SUMIF(pa_inv,A765,pa_amt))</f>
        <v/>
      </c>
      <c r="V765" s="65" t="str">
        <f>IF(OR(A765="",AA765="Avoir"),"",-SUMIFS(fa_ttc,fa_avof,A765,fa_type,"Avoir"))</f>
        <v/>
      </c>
      <c r="W765" s="65" t="str">
        <f>IF(OR(A765="",AA765="Avoir"),"",ROUND(S765-U765-V765,2))</f>
        <v/>
      </c>
      <c r="X765" s="66" t="str">
        <f>IF(W765="","",IF(AND(W765&gt;0,p_asof&gt;P765),p_asof-P765,""))</f>
        <v/>
      </c>
      <c r="Y765" s="59" t="str">
        <f>IF(A765="","",IF(AA765="Avoir","Avoir",IF(W765&lt;0,"Trop-perçu",IF(W765=0,"Soldée",IF(p_asof&gt;P765,"En retard",IF(U765+V765&gt;0,"Partielle","À échoir"))))))</f>
        <v/>
      </c>
      <c r="Z765" s="59" t="str">
        <f>IF(NOT(COUNTA(B765:D765,F765:O765)&gt;0),"",IF(C765="","Date manquante",IF(NOT(ISNUMBER(C765)),"Date invalide",IF(D765="","Client manquant",IF(ISNA(MATCH(D765,cli_code,0)),"Client inconnu",IF(AC765&lt;SUMPRODUCT(MAX(($AB$6:AB764=AB765)*$AC$6:AC764)),"Date antérieure à la facture précédente",IF(AND(F765&lt;&gt;"",ISNA(MATCH(F765,dv_num,0))),"Devis inconnu",IF(AND(F765&lt;&gt;"",IFERROR(INDEX(dv_client,MATCH(F765,dv_num,0)),D765)&lt;&gt;D765),"Client différent de celui du devis",IF(AG765="","Aucune ligne : saisissez des lignes ou un devis",IF(AND(AI765&lt;&gt;"",COUNTIF($AI$6:AI765,AI765)&gt;1),"Devis déjà repris par une autre facture",IF(AND(AA765="Avoir",M765=""),"Avoir : indiquez la facture d'origine",IF(AND(AA765="Avoir",ISNA(MATCH(M765,fa_num,0))),"Facture d'origine inconnue",IF(AND(AA765&lt;&gt;"Avoir",M765&lt;&gt;""),"« Avoir sur facture » : réservé aux avoirs",IF(AND(L765&lt;&gt;"",AA765&lt;&gt;"Facture"),"Acompte à déduire : réservé aux factures",IF(AND(L765&lt;&gt;"",ISNA(MATCH(L765,fa_num,0))),"Facture d'acompte inconnue",IF(AND(L765&lt;&gt;"",IFERROR(INDEX(fa_type,MATCH(L765,fa_num,0)),"")&lt;&gt;"Facture d'acompte"),"Le n° à déduire n'est pas une facture d'acompte",IF(AND(L765&lt;&gt;"",COUNTIF($L$6:L765,L765)&gt;1),"Acompte déjà déduit sur une autre facture",IF(AND(L765&lt;&gt;"",IFERROR(INDEX(fa_client,MATCH(L765,fa_num,0)),D765)&lt;&gt;D765),"Acompte d'un autre client",IF(AND(AR765&lt;&gt;"",N(Q765)&lt;0),"Acompte supérieur au total de la facture",IF(IF(AG765="Facture",COUNTIFS(fl_doc,A765,fl_check,"&lt;&gt;OK"),IF(AG765="Devis",COUNTIFS(dl_doc,F765,dl_check,"&lt;&gt;OK"),0))&gt;0,"Ligne(s) à corriger",IF(AND(W765&lt;&gt;"",N(W765)&lt;0),"Trop-perçu : vérifiez paiements et avoirs","OK")))))))))))))))))))))</f>
        <v/>
      </c>
      <c r="AA765" s="62" t="str">
        <f>IF(COUNTA(B765:D765,F765:O765)&gt;0,IF(B765="","Facture",B765),"")</f>
        <v/>
      </c>
      <c r="AB765" s="62" t="str">
        <f>IF(AA765="","",IF(AA765="Avoir",p_pav,IF(AA765="Facture d'acompte",p_pac,p_pfa)))</f>
        <v/>
      </c>
      <c r="AC765" s="62">
        <f>IF(ISNUMBER(C765),C765,0)</f>
        <v>0.0</v>
      </c>
      <c r="AD765" s="62" t="str">
        <f>IF(OR(AA765="",AC765=0),"",YEAR(AC765))</f>
        <v/>
      </c>
      <c r="AE765" s="62" t="str">
        <f>IF(AD765="","",COUNTIFS($AB$6:AB765,AB765,$AD$6:AD765,AD765))</f>
        <v/>
      </c>
      <c r="AF765" s="62">
        <f>IF(A765="",0,COUNTIF(fl_doc,A765))</f>
        <v>0.0</v>
      </c>
      <c r="AG765" s="62" t="str">
        <f>IF(A765="","",IF(AF765&gt;0,"Facture",IF(AND(F765&lt;&gt;"",AA765="Facture",ISNUMBER(MATCH(F765,dv_num,0))),"Devis","")))</f>
        <v/>
      </c>
      <c r="AH765" s="62" t="str">
        <f>IF(AND(A765&lt;&gt;"",F765&lt;&gt;"",AA765&lt;&gt;"Avoir"),F765,"")</f>
        <v/>
      </c>
      <c r="AI765" s="62" t="str">
        <f>IF(AG765="Devis",F765,"")</f>
        <v/>
      </c>
      <c r="AJ765" s="62">
        <f>IF(AG765="Facture",SUMIF(fl_doc,A765,fl_ht),IF(AG765="Devis",SUMIF(dl_doc,F765,dl_ht),0))</f>
        <v>0.0</v>
      </c>
      <c r="AK765" s="62">
        <f>IF(OR(AG765="",INDEX(p_rates,1)=""),0,IF(AG765="Facture",SUMIFS(fl_ht,fl_doc,A765,fl_rate,INDEX(p_rates,1)),SUMIFS(dl_ht,dl_doc,F765,dl_rate,INDEX(p_rates,1))))</f>
        <v>0.0</v>
      </c>
      <c r="AL765" s="62">
        <f>IF(OR(AG765="",INDEX(p_rates,2)=""),0,IF(AG765="Facture",SUMIFS(fl_ht,fl_doc,A765,fl_rate,INDEX(p_rates,2)),SUMIFS(dl_ht,dl_doc,F765,dl_rate,INDEX(p_rates,2))))</f>
        <v>0.0</v>
      </c>
      <c r="AM765" s="62">
        <f>IF(OR(AG765="",INDEX(p_rates,3)=""),0,IF(AG765="Facture",SUMIFS(fl_ht,fl_doc,A765,fl_rate,INDEX(p_rates,3)),SUMIFS(dl_ht,dl_doc,F765,dl_rate,INDEX(p_rates,3))))</f>
        <v>0.0</v>
      </c>
      <c r="AN765" s="62">
        <f>IF(OR(AG765="",INDEX(p_rates,4)=""),0,IF(AG765="Facture",SUMIFS(fl_ht,fl_doc,A765,fl_rate,INDEX(p_rates,4)),SUMIFS(dl_ht,dl_doc,F765,dl_rate,INDEX(p_rates,4))))</f>
        <v>0.0</v>
      </c>
      <c r="AO765" s="62">
        <f>IF(OR(AG765="",INDEX(p_rates,5)=""),0,IF(AG765="Facture",SUMIFS(fl_ht,fl_doc,A765,fl_rate,INDEX(p_rates,5)),SUMIFS(dl_ht,dl_doc,F765,dl_rate,INDEX(p_rates,5))))</f>
        <v>0.0</v>
      </c>
      <c r="AP765" s="62">
        <f>IF(OR(AG765="",INDEX(p_rates,6)=""),0,IF(AG765="Facture",SUMIFS(fl_ht,fl_doc,A765,fl_rate,INDEX(p_rates,6)),SUMIFS(dl_ht,dl_doc,F765,dl_rate,INDEX(p_rates,6))))</f>
        <v>0.0</v>
      </c>
      <c r="AQ765" s="62">
        <f>ROUND(AK765*N(INDEX(p_rates,1)),2)+ROUND(AL765*N(INDEX(p_rates,2)),2)+ROUND(AM765*N(INDEX(p_rates,3)),2)+ROUND(AN765*N(INDEX(p_rates,4)),2)+ROUND(AO765*N(INDEX(p_rates,5)),2)+ROUND(AP765*N(INDEX(p_rates,6)),2)</f>
        <v>0.0</v>
      </c>
      <c r="AR765" s="62" t="str">
        <f>IF(OR(L765="",AA765&lt;&gt;"Facture"),"",IFERROR(IF(INDEX(fa_type,MATCH(L765,fa_num,0))="Facture d'acompte",MATCH(L765,fa_num,0),""),""))</f>
        <v/>
      </c>
      <c r="AS765" s="62" t="str">
        <f>IF(W765="","",IF(W765&lt;=0,"",IF(p_asof-P765&lt;=0,"Non échu",IF(p_asof-P765&lt;=30,"1-30 j",IF(p_asof-P765&lt;=60,"31-60 j",IF(p_asof-P765&lt;=90,"61-90 j","Plus de 90 j"))))))</f>
        <v/>
      </c>
      <c r="AT765" s="62" t="str">
        <f>IF(AS765="","",p_asof-P765)</f>
        <v/>
      </c>
      <c r="AU765" s="62" t="str">
        <f>IF(AT765="","",COUNTIF($AT$6:$AT$805,"&gt;"&amp;AT765)+COUNTIF($AT$6:AT765,AT765))</f>
        <v/>
      </c>
    </row>
    <row r="766">
      <c r="A766" s="59" t="str">
        <f>IF(AE766="","",AB766&amp;"-"&amp;AD766&amp;"-"&amp;RIGHT("000"&amp;AE766,4))</f>
        <v/>
      </c>
      <c r="B766" s="60" t="n"/>
      <c r="C766" s="61" t="n"/>
      <c r="D766" s="60" t="n"/>
      <c r="E766" s="62" t="str">
        <f>IF(D766="","",IFERROR(INDEX(cli_name,MATCH(D766,cli_code,0))&amp;"","Client inconnu"))</f>
        <v/>
      </c>
      <c r="F766" s="60" t="n"/>
      <c r="G766" s="63" t="n"/>
      <c r="H766" s="61" t="n"/>
      <c r="I766" s="63" t="n"/>
      <c r="J766" s="60" t="n"/>
      <c r="K766" s="61" t="n"/>
      <c r="L766" s="60" t="n"/>
      <c r="M766" s="60" t="n"/>
      <c r="N766" s="60" t="n"/>
      <c r="O766" s="61" t="n"/>
      <c r="P766" s="64" t="str">
        <f>IF(A766="","",IF(AA766="Avoir",AC766,IF(ISNUMBER(K766),K766,AC766+IF(D766="",N(p_delay),IFERROR(IF(ISNUMBER(INDEX(cli_delay,MATCH(D766,cli_code,0))),INDEX(cli_delay,MATCH(D766,cli_code,0)),N(p_delay)),N(p_delay))))))</f>
        <v/>
      </c>
      <c r="Q766" s="65" t="str">
        <f>IF(A766="","",IF(AA766="Avoir",-1,1)*ROUND(AJ766-IF(AR766="",0,INDEX(fa_htb,AR766)),2))</f>
        <v/>
      </c>
      <c r="R766" s="65" t="str">
        <f>IF(A766="","",IF(AA766="Avoir",-1,1)*ROUND(AQ766-IF(AR766="",0,INDEX(fa_tvab,AR766)),2))</f>
        <v/>
      </c>
      <c r="S766" s="65" t="str">
        <f>IF(A766="","",Q766+R766)</f>
        <v/>
      </c>
      <c r="T766" s="65" t="str">
        <f>IF(AR766="","",INDEX(fa_htb,AR766)+INDEX(fa_tvab,AR766))</f>
        <v/>
      </c>
      <c r="U766" s="65" t="str">
        <f>IF(A766="","",SUMIF(pa_inv,A766,pa_amt))</f>
        <v/>
      </c>
      <c r="V766" s="65" t="str">
        <f>IF(OR(A766="",AA766="Avoir"),"",-SUMIFS(fa_ttc,fa_avof,A766,fa_type,"Avoir"))</f>
        <v/>
      </c>
      <c r="W766" s="65" t="str">
        <f>IF(OR(A766="",AA766="Avoir"),"",ROUND(S766-U766-V766,2))</f>
        <v/>
      </c>
      <c r="X766" s="66" t="str">
        <f>IF(W766="","",IF(AND(W766&gt;0,p_asof&gt;P766),p_asof-P766,""))</f>
        <v/>
      </c>
      <c r="Y766" s="59" t="str">
        <f>IF(A766="","",IF(AA766="Avoir","Avoir",IF(W766&lt;0,"Trop-perçu",IF(W766=0,"Soldée",IF(p_asof&gt;P766,"En retard",IF(U766+V766&gt;0,"Partielle","À échoir"))))))</f>
        <v/>
      </c>
      <c r="Z766" s="59" t="str">
        <f>IF(NOT(COUNTA(B766:D766,F766:O766)&gt;0),"",IF(C766="","Date manquante",IF(NOT(ISNUMBER(C766)),"Date invalide",IF(D766="","Client manquant",IF(ISNA(MATCH(D766,cli_code,0)),"Client inconnu",IF(AC766&lt;SUMPRODUCT(MAX(($AB$6:AB765=AB766)*$AC$6:AC765)),"Date antérieure à la facture précédente",IF(AND(F766&lt;&gt;"",ISNA(MATCH(F766,dv_num,0))),"Devis inconnu",IF(AND(F766&lt;&gt;"",IFERROR(INDEX(dv_client,MATCH(F766,dv_num,0)),D766)&lt;&gt;D766),"Client différent de celui du devis",IF(AG766="","Aucune ligne : saisissez des lignes ou un devis",IF(AND(AI766&lt;&gt;"",COUNTIF($AI$6:AI766,AI766)&gt;1),"Devis déjà repris par une autre facture",IF(AND(AA766="Avoir",M766=""),"Avoir : indiquez la facture d'origine",IF(AND(AA766="Avoir",ISNA(MATCH(M766,fa_num,0))),"Facture d'origine inconnue",IF(AND(AA766&lt;&gt;"Avoir",M766&lt;&gt;""),"« Avoir sur facture » : réservé aux avoirs",IF(AND(L766&lt;&gt;"",AA766&lt;&gt;"Facture"),"Acompte à déduire : réservé aux factures",IF(AND(L766&lt;&gt;"",ISNA(MATCH(L766,fa_num,0))),"Facture d'acompte inconnue",IF(AND(L766&lt;&gt;"",IFERROR(INDEX(fa_type,MATCH(L766,fa_num,0)),"")&lt;&gt;"Facture d'acompte"),"Le n° à déduire n'est pas une facture d'acompte",IF(AND(L766&lt;&gt;"",COUNTIF($L$6:L766,L766)&gt;1),"Acompte déjà déduit sur une autre facture",IF(AND(L766&lt;&gt;"",IFERROR(INDEX(fa_client,MATCH(L766,fa_num,0)),D766)&lt;&gt;D766),"Acompte d'un autre client",IF(AND(AR766&lt;&gt;"",N(Q766)&lt;0),"Acompte supérieur au total de la facture",IF(IF(AG766="Facture",COUNTIFS(fl_doc,A766,fl_check,"&lt;&gt;OK"),IF(AG766="Devis",COUNTIFS(dl_doc,F766,dl_check,"&lt;&gt;OK"),0))&gt;0,"Ligne(s) à corriger",IF(AND(W766&lt;&gt;"",N(W766)&lt;0),"Trop-perçu : vérifiez paiements et avoirs","OK")))))))))))))))))))))</f>
        <v/>
      </c>
      <c r="AA766" s="62" t="str">
        <f>IF(COUNTA(B766:D766,F766:O766)&gt;0,IF(B766="","Facture",B766),"")</f>
        <v/>
      </c>
      <c r="AB766" s="62" t="str">
        <f>IF(AA766="","",IF(AA766="Avoir",p_pav,IF(AA766="Facture d'acompte",p_pac,p_pfa)))</f>
        <v/>
      </c>
      <c r="AC766" s="62">
        <f>IF(ISNUMBER(C766),C766,0)</f>
        <v>0.0</v>
      </c>
      <c r="AD766" s="62" t="str">
        <f>IF(OR(AA766="",AC766=0),"",YEAR(AC766))</f>
        <v/>
      </c>
      <c r="AE766" s="62" t="str">
        <f>IF(AD766="","",COUNTIFS($AB$6:AB766,AB766,$AD$6:AD766,AD766))</f>
        <v/>
      </c>
      <c r="AF766" s="62">
        <f>IF(A766="",0,COUNTIF(fl_doc,A766))</f>
        <v>0.0</v>
      </c>
      <c r="AG766" s="62" t="str">
        <f>IF(A766="","",IF(AF766&gt;0,"Facture",IF(AND(F766&lt;&gt;"",AA766="Facture",ISNUMBER(MATCH(F766,dv_num,0))),"Devis","")))</f>
        <v/>
      </c>
      <c r="AH766" s="62" t="str">
        <f>IF(AND(A766&lt;&gt;"",F766&lt;&gt;"",AA766&lt;&gt;"Avoir"),F766,"")</f>
        <v/>
      </c>
      <c r="AI766" s="62" t="str">
        <f>IF(AG766="Devis",F766,"")</f>
        <v/>
      </c>
      <c r="AJ766" s="62">
        <f>IF(AG766="Facture",SUMIF(fl_doc,A766,fl_ht),IF(AG766="Devis",SUMIF(dl_doc,F766,dl_ht),0))</f>
        <v>0.0</v>
      </c>
      <c r="AK766" s="62">
        <f>IF(OR(AG766="",INDEX(p_rates,1)=""),0,IF(AG766="Facture",SUMIFS(fl_ht,fl_doc,A766,fl_rate,INDEX(p_rates,1)),SUMIFS(dl_ht,dl_doc,F766,dl_rate,INDEX(p_rates,1))))</f>
        <v>0.0</v>
      </c>
      <c r="AL766" s="62">
        <f>IF(OR(AG766="",INDEX(p_rates,2)=""),0,IF(AG766="Facture",SUMIFS(fl_ht,fl_doc,A766,fl_rate,INDEX(p_rates,2)),SUMIFS(dl_ht,dl_doc,F766,dl_rate,INDEX(p_rates,2))))</f>
        <v>0.0</v>
      </c>
      <c r="AM766" s="62">
        <f>IF(OR(AG766="",INDEX(p_rates,3)=""),0,IF(AG766="Facture",SUMIFS(fl_ht,fl_doc,A766,fl_rate,INDEX(p_rates,3)),SUMIFS(dl_ht,dl_doc,F766,dl_rate,INDEX(p_rates,3))))</f>
        <v>0.0</v>
      </c>
      <c r="AN766" s="62">
        <f>IF(OR(AG766="",INDEX(p_rates,4)=""),0,IF(AG766="Facture",SUMIFS(fl_ht,fl_doc,A766,fl_rate,INDEX(p_rates,4)),SUMIFS(dl_ht,dl_doc,F766,dl_rate,INDEX(p_rates,4))))</f>
        <v>0.0</v>
      </c>
      <c r="AO766" s="62">
        <f>IF(OR(AG766="",INDEX(p_rates,5)=""),0,IF(AG766="Facture",SUMIFS(fl_ht,fl_doc,A766,fl_rate,INDEX(p_rates,5)),SUMIFS(dl_ht,dl_doc,F766,dl_rate,INDEX(p_rates,5))))</f>
        <v>0.0</v>
      </c>
      <c r="AP766" s="62">
        <f>IF(OR(AG766="",INDEX(p_rates,6)=""),0,IF(AG766="Facture",SUMIFS(fl_ht,fl_doc,A766,fl_rate,INDEX(p_rates,6)),SUMIFS(dl_ht,dl_doc,F766,dl_rate,INDEX(p_rates,6))))</f>
        <v>0.0</v>
      </c>
      <c r="AQ766" s="62">
        <f>ROUND(AK766*N(INDEX(p_rates,1)),2)+ROUND(AL766*N(INDEX(p_rates,2)),2)+ROUND(AM766*N(INDEX(p_rates,3)),2)+ROUND(AN766*N(INDEX(p_rates,4)),2)+ROUND(AO766*N(INDEX(p_rates,5)),2)+ROUND(AP766*N(INDEX(p_rates,6)),2)</f>
        <v>0.0</v>
      </c>
      <c r="AR766" s="62" t="str">
        <f>IF(OR(L766="",AA766&lt;&gt;"Facture"),"",IFERROR(IF(INDEX(fa_type,MATCH(L766,fa_num,0))="Facture d'acompte",MATCH(L766,fa_num,0),""),""))</f>
        <v/>
      </c>
      <c r="AS766" s="62" t="str">
        <f>IF(W766="","",IF(W766&lt;=0,"",IF(p_asof-P766&lt;=0,"Non échu",IF(p_asof-P766&lt;=30,"1-30 j",IF(p_asof-P766&lt;=60,"31-60 j",IF(p_asof-P766&lt;=90,"61-90 j","Plus de 90 j"))))))</f>
        <v/>
      </c>
      <c r="AT766" s="62" t="str">
        <f>IF(AS766="","",p_asof-P766)</f>
        <v/>
      </c>
      <c r="AU766" s="62" t="str">
        <f>IF(AT766="","",COUNTIF($AT$6:$AT$805,"&gt;"&amp;AT766)+COUNTIF($AT$6:AT766,AT766))</f>
        <v/>
      </c>
    </row>
    <row r="767">
      <c r="A767" s="59" t="str">
        <f>IF(AE767="","",AB767&amp;"-"&amp;AD767&amp;"-"&amp;RIGHT("000"&amp;AE767,4))</f>
        <v/>
      </c>
      <c r="B767" s="60" t="n"/>
      <c r="C767" s="61" t="n"/>
      <c r="D767" s="60" t="n"/>
      <c r="E767" s="62" t="str">
        <f>IF(D767="","",IFERROR(INDEX(cli_name,MATCH(D767,cli_code,0))&amp;"","Client inconnu"))</f>
        <v/>
      </c>
      <c r="F767" s="60" t="n"/>
      <c r="G767" s="63" t="n"/>
      <c r="H767" s="61" t="n"/>
      <c r="I767" s="63" t="n"/>
      <c r="J767" s="60" t="n"/>
      <c r="K767" s="61" t="n"/>
      <c r="L767" s="60" t="n"/>
      <c r="M767" s="60" t="n"/>
      <c r="N767" s="60" t="n"/>
      <c r="O767" s="61" t="n"/>
      <c r="P767" s="64" t="str">
        <f>IF(A767="","",IF(AA767="Avoir",AC767,IF(ISNUMBER(K767),K767,AC767+IF(D767="",N(p_delay),IFERROR(IF(ISNUMBER(INDEX(cli_delay,MATCH(D767,cli_code,0))),INDEX(cli_delay,MATCH(D767,cli_code,0)),N(p_delay)),N(p_delay))))))</f>
        <v/>
      </c>
      <c r="Q767" s="65" t="str">
        <f>IF(A767="","",IF(AA767="Avoir",-1,1)*ROUND(AJ767-IF(AR767="",0,INDEX(fa_htb,AR767)),2))</f>
        <v/>
      </c>
      <c r="R767" s="65" t="str">
        <f>IF(A767="","",IF(AA767="Avoir",-1,1)*ROUND(AQ767-IF(AR767="",0,INDEX(fa_tvab,AR767)),2))</f>
        <v/>
      </c>
      <c r="S767" s="65" t="str">
        <f>IF(A767="","",Q767+R767)</f>
        <v/>
      </c>
      <c r="T767" s="65" t="str">
        <f>IF(AR767="","",INDEX(fa_htb,AR767)+INDEX(fa_tvab,AR767))</f>
        <v/>
      </c>
      <c r="U767" s="65" t="str">
        <f>IF(A767="","",SUMIF(pa_inv,A767,pa_amt))</f>
        <v/>
      </c>
      <c r="V767" s="65" t="str">
        <f>IF(OR(A767="",AA767="Avoir"),"",-SUMIFS(fa_ttc,fa_avof,A767,fa_type,"Avoir"))</f>
        <v/>
      </c>
      <c r="W767" s="65" t="str">
        <f>IF(OR(A767="",AA767="Avoir"),"",ROUND(S767-U767-V767,2))</f>
        <v/>
      </c>
      <c r="X767" s="66" t="str">
        <f>IF(W767="","",IF(AND(W767&gt;0,p_asof&gt;P767),p_asof-P767,""))</f>
        <v/>
      </c>
      <c r="Y767" s="59" t="str">
        <f>IF(A767="","",IF(AA767="Avoir","Avoir",IF(W767&lt;0,"Trop-perçu",IF(W767=0,"Soldée",IF(p_asof&gt;P767,"En retard",IF(U767+V767&gt;0,"Partielle","À échoir"))))))</f>
        <v/>
      </c>
      <c r="Z767" s="59" t="str">
        <f>IF(NOT(COUNTA(B767:D767,F767:O767)&gt;0),"",IF(C767="","Date manquante",IF(NOT(ISNUMBER(C767)),"Date invalide",IF(D767="","Client manquant",IF(ISNA(MATCH(D767,cli_code,0)),"Client inconnu",IF(AC767&lt;SUMPRODUCT(MAX(($AB$6:AB766=AB767)*$AC$6:AC766)),"Date antérieure à la facture précédente",IF(AND(F767&lt;&gt;"",ISNA(MATCH(F767,dv_num,0))),"Devis inconnu",IF(AND(F767&lt;&gt;"",IFERROR(INDEX(dv_client,MATCH(F767,dv_num,0)),D767)&lt;&gt;D767),"Client différent de celui du devis",IF(AG767="","Aucune ligne : saisissez des lignes ou un devis",IF(AND(AI767&lt;&gt;"",COUNTIF($AI$6:AI767,AI767)&gt;1),"Devis déjà repris par une autre facture",IF(AND(AA767="Avoir",M767=""),"Avoir : indiquez la facture d'origine",IF(AND(AA767="Avoir",ISNA(MATCH(M767,fa_num,0))),"Facture d'origine inconnue",IF(AND(AA767&lt;&gt;"Avoir",M767&lt;&gt;""),"« Avoir sur facture » : réservé aux avoirs",IF(AND(L767&lt;&gt;"",AA767&lt;&gt;"Facture"),"Acompte à déduire : réservé aux factures",IF(AND(L767&lt;&gt;"",ISNA(MATCH(L767,fa_num,0))),"Facture d'acompte inconnue",IF(AND(L767&lt;&gt;"",IFERROR(INDEX(fa_type,MATCH(L767,fa_num,0)),"")&lt;&gt;"Facture d'acompte"),"Le n° à déduire n'est pas une facture d'acompte",IF(AND(L767&lt;&gt;"",COUNTIF($L$6:L767,L767)&gt;1),"Acompte déjà déduit sur une autre facture",IF(AND(L767&lt;&gt;"",IFERROR(INDEX(fa_client,MATCH(L767,fa_num,0)),D767)&lt;&gt;D767),"Acompte d'un autre client",IF(AND(AR767&lt;&gt;"",N(Q767)&lt;0),"Acompte supérieur au total de la facture",IF(IF(AG767="Facture",COUNTIFS(fl_doc,A767,fl_check,"&lt;&gt;OK"),IF(AG767="Devis",COUNTIFS(dl_doc,F767,dl_check,"&lt;&gt;OK"),0))&gt;0,"Ligne(s) à corriger",IF(AND(W767&lt;&gt;"",N(W767)&lt;0),"Trop-perçu : vérifiez paiements et avoirs","OK")))))))))))))))))))))</f>
        <v/>
      </c>
      <c r="AA767" s="62" t="str">
        <f>IF(COUNTA(B767:D767,F767:O767)&gt;0,IF(B767="","Facture",B767),"")</f>
        <v/>
      </c>
      <c r="AB767" s="62" t="str">
        <f>IF(AA767="","",IF(AA767="Avoir",p_pav,IF(AA767="Facture d'acompte",p_pac,p_pfa)))</f>
        <v/>
      </c>
      <c r="AC767" s="62">
        <f>IF(ISNUMBER(C767),C767,0)</f>
        <v>0.0</v>
      </c>
      <c r="AD767" s="62" t="str">
        <f>IF(OR(AA767="",AC767=0),"",YEAR(AC767))</f>
        <v/>
      </c>
      <c r="AE767" s="62" t="str">
        <f>IF(AD767="","",COUNTIFS($AB$6:AB767,AB767,$AD$6:AD767,AD767))</f>
        <v/>
      </c>
      <c r="AF767" s="62">
        <f>IF(A767="",0,COUNTIF(fl_doc,A767))</f>
        <v>0.0</v>
      </c>
      <c r="AG767" s="62" t="str">
        <f>IF(A767="","",IF(AF767&gt;0,"Facture",IF(AND(F767&lt;&gt;"",AA767="Facture",ISNUMBER(MATCH(F767,dv_num,0))),"Devis","")))</f>
        <v/>
      </c>
      <c r="AH767" s="62" t="str">
        <f>IF(AND(A767&lt;&gt;"",F767&lt;&gt;"",AA767&lt;&gt;"Avoir"),F767,"")</f>
        <v/>
      </c>
      <c r="AI767" s="62" t="str">
        <f>IF(AG767="Devis",F767,"")</f>
        <v/>
      </c>
      <c r="AJ767" s="62">
        <f>IF(AG767="Facture",SUMIF(fl_doc,A767,fl_ht),IF(AG767="Devis",SUMIF(dl_doc,F767,dl_ht),0))</f>
        <v>0.0</v>
      </c>
      <c r="AK767" s="62">
        <f>IF(OR(AG767="",INDEX(p_rates,1)=""),0,IF(AG767="Facture",SUMIFS(fl_ht,fl_doc,A767,fl_rate,INDEX(p_rates,1)),SUMIFS(dl_ht,dl_doc,F767,dl_rate,INDEX(p_rates,1))))</f>
        <v>0.0</v>
      </c>
      <c r="AL767" s="62">
        <f>IF(OR(AG767="",INDEX(p_rates,2)=""),0,IF(AG767="Facture",SUMIFS(fl_ht,fl_doc,A767,fl_rate,INDEX(p_rates,2)),SUMIFS(dl_ht,dl_doc,F767,dl_rate,INDEX(p_rates,2))))</f>
        <v>0.0</v>
      </c>
      <c r="AM767" s="62">
        <f>IF(OR(AG767="",INDEX(p_rates,3)=""),0,IF(AG767="Facture",SUMIFS(fl_ht,fl_doc,A767,fl_rate,INDEX(p_rates,3)),SUMIFS(dl_ht,dl_doc,F767,dl_rate,INDEX(p_rates,3))))</f>
        <v>0.0</v>
      </c>
      <c r="AN767" s="62">
        <f>IF(OR(AG767="",INDEX(p_rates,4)=""),0,IF(AG767="Facture",SUMIFS(fl_ht,fl_doc,A767,fl_rate,INDEX(p_rates,4)),SUMIFS(dl_ht,dl_doc,F767,dl_rate,INDEX(p_rates,4))))</f>
        <v>0.0</v>
      </c>
      <c r="AO767" s="62">
        <f>IF(OR(AG767="",INDEX(p_rates,5)=""),0,IF(AG767="Facture",SUMIFS(fl_ht,fl_doc,A767,fl_rate,INDEX(p_rates,5)),SUMIFS(dl_ht,dl_doc,F767,dl_rate,INDEX(p_rates,5))))</f>
        <v>0.0</v>
      </c>
      <c r="AP767" s="62">
        <f>IF(OR(AG767="",INDEX(p_rates,6)=""),0,IF(AG767="Facture",SUMIFS(fl_ht,fl_doc,A767,fl_rate,INDEX(p_rates,6)),SUMIFS(dl_ht,dl_doc,F767,dl_rate,INDEX(p_rates,6))))</f>
        <v>0.0</v>
      </c>
      <c r="AQ767" s="62">
        <f>ROUND(AK767*N(INDEX(p_rates,1)),2)+ROUND(AL767*N(INDEX(p_rates,2)),2)+ROUND(AM767*N(INDEX(p_rates,3)),2)+ROUND(AN767*N(INDEX(p_rates,4)),2)+ROUND(AO767*N(INDEX(p_rates,5)),2)+ROUND(AP767*N(INDEX(p_rates,6)),2)</f>
        <v>0.0</v>
      </c>
      <c r="AR767" s="62" t="str">
        <f>IF(OR(L767="",AA767&lt;&gt;"Facture"),"",IFERROR(IF(INDEX(fa_type,MATCH(L767,fa_num,0))="Facture d'acompte",MATCH(L767,fa_num,0),""),""))</f>
        <v/>
      </c>
      <c r="AS767" s="62" t="str">
        <f>IF(W767="","",IF(W767&lt;=0,"",IF(p_asof-P767&lt;=0,"Non échu",IF(p_asof-P767&lt;=30,"1-30 j",IF(p_asof-P767&lt;=60,"31-60 j",IF(p_asof-P767&lt;=90,"61-90 j","Plus de 90 j"))))))</f>
        <v/>
      </c>
      <c r="AT767" s="62" t="str">
        <f>IF(AS767="","",p_asof-P767)</f>
        <v/>
      </c>
      <c r="AU767" s="62" t="str">
        <f>IF(AT767="","",COUNTIF($AT$6:$AT$805,"&gt;"&amp;AT767)+COUNTIF($AT$6:AT767,AT767))</f>
        <v/>
      </c>
    </row>
    <row r="768">
      <c r="A768" s="59" t="str">
        <f>IF(AE768="","",AB768&amp;"-"&amp;AD768&amp;"-"&amp;RIGHT("000"&amp;AE768,4))</f>
        <v/>
      </c>
      <c r="B768" s="60" t="n"/>
      <c r="C768" s="61" t="n"/>
      <c r="D768" s="60" t="n"/>
      <c r="E768" s="62" t="str">
        <f>IF(D768="","",IFERROR(INDEX(cli_name,MATCH(D768,cli_code,0))&amp;"","Client inconnu"))</f>
        <v/>
      </c>
      <c r="F768" s="60" t="n"/>
      <c r="G768" s="63" t="n"/>
      <c r="H768" s="61" t="n"/>
      <c r="I768" s="63" t="n"/>
      <c r="J768" s="60" t="n"/>
      <c r="K768" s="61" t="n"/>
      <c r="L768" s="60" t="n"/>
      <c r="M768" s="60" t="n"/>
      <c r="N768" s="60" t="n"/>
      <c r="O768" s="61" t="n"/>
      <c r="P768" s="64" t="str">
        <f>IF(A768="","",IF(AA768="Avoir",AC768,IF(ISNUMBER(K768),K768,AC768+IF(D768="",N(p_delay),IFERROR(IF(ISNUMBER(INDEX(cli_delay,MATCH(D768,cli_code,0))),INDEX(cli_delay,MATCH(D768,cli_code,0)),N(p_delay)),N(p_delay))))))</f>
        <v/>
      </c>
      <c r="Q768" s="65" t="str">
        <f>IF(A768="","",IF(AA768="Avoir",-1,1)*ROUND(AJ768-IF(AR768="",0,INDEX(fa_htb,AR768)),2))</f>
        <v/>
      </c>
      <c r="R768" s="65" t="str">
        <f>IF(A768="","",IF(AA768="Avoir",-1,1)*ROUND(AQ768-IF(AR768="",0,INDEX(fa_tvab,AR768)),2))</f>
        <v/>
      </c>
      <c r="S768" s="65" t="str">
        <f>IF(A768="","",Q768+R768)</f>
        <v/>
      </c>
      <c r="T768" s="65" t="str">
        <f>IF(AR768="","",INDEX(fa_htb,AR768)+INDEX(fa_tvab,AR768))</f>
        <v/>
      </c>
      <c r="U768" s="65" t="str">
        <f>IF(A768="","",SUMIF(pa_inv,A768,pa_amt))</f>
        <v/>
      </c>
      <c r="V768" s="65" t="str">
        <f>IF(OR(A768="",AA768="Avoir"),"",-SUMIFS(fa_ttc,fa_avof,A768,fa_type,"Avoir"))</f>
        <v/>
      </c>
      <c r="W768" s="65" t="str">
        <f>IF(OR(A768="",AA768="Avoir"),"",ROUND(S768-U768-V768,2))</f>
        <v/>
      </c>
      <c r="X768" s="66" t="str">
        <f>IF(W768="","",IF(AND(W768&gt;0,p_asof&gt;P768),p_asof-P768,""))</f>
        <v/>
      </c>
      <c r="Y768" s="59" t="str">
        <f>IF(A768="","",IF(AA768="Avoir","Avoir",IF(W768&lt;0,"Trop-perçu",IF(W768=0,"Soldée",IF(p_asof&gt;P768,"En retard",IF(U768+V768&gt;0,"Partielle","À échoir"))))))</f>
        <v/>
      </c>
      <c r="Z768" s="59" t="str">
        <f>IF(NOT(COUNTA(B768:D768,F768:O768)&gt;0),"",IF(C768="","Date manquante",IF(NOT(ISNUMBER(C768)),"Date invalide",IF(D768="","Client manquant",IF(ISNA(MATCH(D768,cli_code,0)),"Client inconnu",IF(AC768&lt;SUMPRODUCT(MAX(($AB$6:AB767=AB768)*$AC$6:AC767)),"Date antérieure à la facture précédente",IF(AND(F768&lt;&gt;"",ISNA(MATCH(F768,dv_num,0))),"Devis inconnu",IF(AND(F768&lt;&gt;"",IFERROR(INDEX(dv_client,MATCH(F768,dv_num,0)),D768)&lt;&gt;D768),"Client différent de celui du devis",IF(AG768="","Aucune ligne : saisissez des lignes ou un devis",IF(AND(AI768&lt;&gt;"",COUNTIF($AI$6:AI768,AI768)&gt;1),"Devis déjà repris par une autre facture",IF(AND(AA768="Avoir",M768=""),"Avoir : indiquez la facture d'origine",IF(AND(AA768="Avoir",ISNA(MATCH(M768,fa_num,0))),"Facture d'origine inconnue",IF(AND(AA768&lt;&gt;"Avoir",M768&lt;&gt;""),"« Avoir sur facture » : réservé aux avoirs",IF(AND(L768&lt;&gt;"",AA768&lt;&gt;"Facture"),"Acompte à déduire : réservé aux factures",IF(AND(L768&lt;&gt;"",ISNA(MATCH(L768,fa_num,0))),"Facture d'acompte inconnue",IF(AND(L768&lt;&gt;"",IFERROR(INDEX(fa_type,MATCH(L768,fa_num,0)),"")&lt;&gt;"Facture d'acompte"),"Le n° à déduire n'est pas une facture d'acompte",IF(AND(L768&lt;&gt;"",COUNTIF($L$6:L768,L768)&gt;1),"Acompte déjà déduit sur une autre facture",IF(AND(L768&lt;&gt;"",IFERROR(INDEX(fa_client,MATCH(L768,fa_num,0)),D768)&lt;&gt;D768),"Acompte d'un autre client",IF(AND(AR768&lt;&gt;"",N(Q768)&lt;0),"Acompte supérieur au total de la facture",IF(IF(AG768="Facture",COUNTIFS(fl_doc,A768,fl_check,"&lt;&gt;OK"),IF(AG768="Devis",COUNTIFS(dl_doc,F768,dl_check,"&lt;&gt;OK"),0))&gt;0,"Ligne(s) à corriger",IF(AND(W768&lt;&gt;"",N(W768)&lt;0),"Trop-perçu : vérifiez paiements et avoirs","OK")))))))))))))))))))))</f>
        <v/>
      </c>
      <c r="AA768" s="62" t="str">
        <f>IF(COUNTA(B768:D768,F768:O768)&gt;0,IF(B768="","Facture",B768),"")</f>
        <v/>
      </c>
      <c r="AB768" s="62" t="str">
        <f>IF(AA768="","",IF(AA768="Avoir",p_pav,IF(AA768="Facture d'acompte",p_pac,p_pfa)))</f>
        <v/>
      </c>
      <c r="AC768" s="62">
        <f>IF(ISNUMBER(C768),C768,0)</f>
        <v>0.0</v>
      </c>
      <c r="AD768" s="62" t="str">
        <f>IF(OR(AA768="",AC768=0),"",YEAR(AC768))</f>
        <v/>
      </c>
      <c r="AE768" s="62" t="str">
        <f>IF(AD768="","",COUNTIFS($AB$6:AB768,AB768,$AD$6:AD768,AD768))</f>
        <v/>
      </c>
      <c r="AF768" s="62">
        <f>IF(A768="",0,COUNTIF(fl_doc,A768))</f>
        <v>0.0</v>
      </c>
      <c r="AG768" s="62" t="str">
        <f>IF(A768="","",IF(AF768&gt;0,"Facture",IF(AND(F768&lt;&gt;"",AA768="Facture",ISNUMBER(MATCH(F768,dv_num,0))),"Devis","")))</f>
        <v/>
      </c>
      <c r="AH768" s="62" t="str">
        <f>IF(AND(A768&lt;&gt;"",F768&lt;&gt;"",AA768&lt;&gt;"Avoir"),F768,"")</f>
        <v/>
      </c>
      <c r="AI768" s="62" t="str">
        <f>IF(AG768="Devis",F768,"")</f>
        <v/>
      </c>
      <c r="AJ768" s="62">
        <f>IF(AG768="Facture",SUMIF(fl_doc,A768,fl_ht),IF(AG768="Devis",SUMIF(dl_doc,F768,dl_ht),0))</f>
        <v>0.0</v>
      </c>
      <c r="AK768" s="62">
        <f>IF(OR(AG768="",INDEX(p_rates,1)=""),0,IF(AG768="Facture",SUMIFS(fl_ht,fl_doc,A768,fl_rate,INDEX(p_rates,1)),SUMIFS(dl_ht,dl_doc,F768,dl_rate,INDEX(p_rates,1))))</f>
        <v>0.0</v>
      </c>
      <c r="AL768" s="62">
        <f>IF(OR(AG768="",INDEX(p_rates,2)=""),0,IF(AG768="Facture",SUMIFS(fl_ht,fl_doc,A768,fl_rate,INDEX(p_rates,2)),SUMIFS(dl_ht,dl_doc,F768,dl_rate,INDEX(p_rates,2))))</f>
        <v>0.0</v>
      </c>
      <c r="AM768" s="62">
        <f>IF(OR(AG768="",INDEX(p_rates,3)=""),0,IF(AG768="Facture",SUMIFS(fl_ht,fl_doc,A768,fl_rate,INDEX(p_rates,3)),SUMIFS(dl_ht,dl_doc,F768,dl_rate,INDEX(p_rates,3))))</f>
        <v>0.0</v>
      </c>
      <c r="AN768" s="62">
        <f>IF(OR(AG768="",INDEX(p_rates,4)=""),0,IF(AG768="Facture",SUMIFS(fl_ht,fl_doc,A768,fl_rate,INDEX(p_rates,4)),SUMIFS(dl_ht,dl_doc,F768,dl_rate,INDEX(p_rates,4))))</f>
        <v>0.0</v>
      </c>
      <c r="AO768" s="62">
        <f>IF(OR(AG768="",INDEX(p_rates,5)=""),0,IF(AG768="Facture",SUMIFS(fl_ht,fl_doc,A768,fl_rate,INDEX(p_rates,5)),SUMIFS(dl_ht,dl_doc,F768,dl_rate,INDEX(p_rates,5))))</f>
        <v>0.0</v>
      </c>
      <c r="AP768" s="62">
        <f>IF(OR(AG768="",INDEX(p_rates,6)=""),0,IF(AG768="Facture",SUMIFS(fl_ht,fl_doc,A768,fl_rate,INDEX(p_rates,6)),SUMIFS(dl_ht,dl_doc,F768,dl_rate,INDEX(p_rates,6))))</f>
        <v>0.0</v>
      </c>
      <c r="AQ768" s="62">
        <f>ROUND(AK768*N(INDEX(p_rates,1)),2)+ROUND(AL768*N(INDEX(p_rates,2)),2)+ROUND(AM768*N(INDEX(p_rates,3)),2)+ROUND(AN768*N(INDEX(p_rates,4)),2)+ROUND(AO768*N(INDEX(p_rates,5)),2)+ROUND(AP768*N(INDEX(p_rates,6)),2)</f>
        <v>0.0</v>
      </c>
      <c r="AR768" s="62" t="str">
        <f>IF(OR(L768="",AA768&lt;&gt;"Facture"),"",IFERROR(IF(INDEX(fa_type,MATCH(L768,fa_num,0))="Facture d'acompte",MATCH(L768,fa_num,0),""),""))</f>
        <v/>
      </c>
      <c r="AS768" s="62" t="str">
        <f>IF(W768="","",IF(W768&lt;=0,"",IF(p_asof-P768&lt;=0,"Non échu",IF(p_asof-P768&lt;=30,"1-30 j",IF(p_asof-P768&lt;=60,"31-60 j",IF(p_asof-P768&lt;=90,"61-90 j","Plus de 90 j"))))))</f>
        <v/>
      </c>
      <c r="AT768" s="62" t="str">
        <f>IF(AS768="","",p_asof-P768)</f>
        <v/>
      </c>
      <c r="AU768" s="62" t="str">
        <f>IF(AT768="","",COUNTIF($AT$6:$AT$805,"&gt;"&amp;AT768)+COUNTIF($AT$6:AT768,AT768))</f>
        <v/>
      </c>
    </row>
    <row r="769">
      <c r="A769" s="59" t="str">
        <f>IF(AE769="","",AB769&amp;"-"&amp;AD769&amp;"-"&amp;RIGHT("000"&amp;AE769,4))</f>
        <v/>
      </c>
      <c r="B769" s="60" t="n"/>
      <c r="C769" s="61" t="n"/>
      <c r="D769" s="60" t="n"/>
      <c r="E769" s="62" t="str">
        <f>IF(D769="","",IFERROR(INDEX(cli_name,MATCH(D769,cli_code,0))&amp;"","Client inconnu"))</f>
        <v/>
      </c>
      <c r="F769" s="60" t="n"/>
      <c r="G769" s="63" t="n"/>
      <c r="H769" s="61" t="n"/>
      <c r="I769" s="63" t="n"/>
      <c r="J769" s="60" t="n"/>
      <c r="K769" s="61" t="n"/>
      <c r="L769" s="60" t="n"/>
      <c r="M769" s="60" t="n"/>
      <c r="N769" s="60" t="n"/>
      <c r="O769" s="61" t="n"/>
      <c r="P769" s="64" t="str">
        <f>IF(A769="","",IF(AA769="Avoir",AC769,IF(ISNUMBER(K769),K769,AC769+IF(D769="",N(p_delay),IFERROR(IF(ISNUMBER(INDEX(cli_delay,MATCH(D769,cli_code,0))),INDEX(cli_delay,MATCH(D769,cli_code,0)),N(p_delay)),N(p_delay))))))</f>
        <v/>
      </c>
      <c r="Q769" s="65" t="str">
        <f>IF(A769="","",IF(AA769="Avoir",-1,1)*ROUND(AJ769-IF(AR769="",0,INDEX(fa_htb,AR769)),2))</f>
        <v/>
      </c>
      <c r="R769" s="65" t="str">
        <f>IF(A769="","",IF(AA769="Avoir",-1,1)*ROUND(AQ769-IF(AR769="",0,INDEX(fa_tvab,AR769)),2))</f>
        <v/>
      </c>
      <c r="S769" s="65" t="str">
        <f>IF(A769="","",Q769+R769)</f>
        <v/>
      </c>
      <c r="T769" s="65" t="str">
        <f>IF(AR769="","",INDEX(fa_htb,AR769)+INDEX(fa_tvab,AR769))</f>
        <v/>
      </c>
      <c r="U769" s="65" t="str">
        <f>IF(A769="","",SUMIF(pa_inv,A769,pa_amt))</f>
        <v/>
      </c>
      <c r="V769" s="65" t="str">
        <f>IF(OR(A769="",AA769="Avoir"),"",-SUMIFS(fa_ttc,fa_avof,A769,fa_type,"Avoir"))</f>
        <v/>
      </c>
      <c r="W769" s="65" t="str">
        <f>IF(OR(A769="",AA769="Avoir"),"",ROUND(S769-U769-V769,2))</f>
        <v/>
      </c>
      <c r="X769" s="66" t="str">
        <f>IF(W769="","",IF(AND(W769&gt;0,p_asof&gt;P769),p_asof-P769,""))</f>
        <v/>
      </c>
      <c r="Y769" s="59" t="str">
        <f>IF(A769="","",IF(AA769="Avoir","Avoir",IF(W769&lt;0,"Trop-perçu",IF(W769=0,"Soldée",IF(p_asof&gt;P769,"En retard",IF(U769+V769&gt;0,"Partielle","À échoir"))))))</f>
        <v/>
      </c>
      <c r="Z769" s="59" t="str">
        <f>IF(NOT(COUNTA(B769:D769,F769:O769)&gt;0),"",IF(C769="","Date manquante",IF(NOT(ISNUMBER(C769)),"Date invalide",IF(D769="","Client manquant",IF(ISNA(MATCH(D769,cli_code,0)),"Client inconnu",IF(AC769&lt;SUMPRODUCT(MAX(($AB$6:AB768=AB769)*$AC$6:AC768)),"Date antérieure à la facture précédente",IF(AND(F769&lt;&gt;"",ISNA(MATCH(F769,dv_num,0))),"Devis inconnu",IF(AND(F769&lt;&gt;"",IFERROR(INDEX(dv_client,MATCH(F769,dv_num,0)),D769)&lt;&gt;D769),"Client différent de celui du devis",IF(AG769="","Aucune ligne : saisissez des lignes ou un devis",IF(AND(AI769&lt;&gt;"",COUNTIF($AI$6:AI769,AI769)&gt;1),"Devis déjà repris par une autre facture",IF(AND(AA769="Avoir",M769=""),"Avoir : indiquez la facture d'origine",IF(AND(AA769="Avoir",ISNA(MATCH(M769,fa_num,0))),"Facture d'origine inconnue",IF(AND(AA769&lt;&gt;"Avoir",M769&lt;&gt;""),"« Avoir sur facture » : réservé aux avoirs",IF(AND(L769&lt;&gt;"",AA769&lt;&gt;"Facture"),"Acompte à déduire : réservé aux factures",IF(AND(L769&lt;&gt;"",ISNA(MATCH(L769,fa_num,0))),"Facture d'acompte inconnue",IF(AND(L769&lt;&gt;"",IFERROR(INDEX(fa_type,MATCH(L769,fa_num,0)),"")&lt;&gt;"Facture d'acompte"),"Le n° à déduire n'est pas une facture d'acompte",IF(AND(L769&lt;&gt;"",COUNTIF($L$6:L769,L769)&gt;1),"Acompte déjà déduit sur une autre facture",IF(AND(L769&lt;&gt;"",IFERROR(INDEX(fa_client,MATCH(L769,fa_num,0)),D769)&lt;&gt;D769),"Acompte d'un autre client",IF(AND(AR769&lt;&gt;"",N(Q769)&lt;0),"Acompte supérieur au total de la facture",IF(IF(AG769="Facture",COUNTIFS(fl_doc,A769,fl_check,"&lt;&gt;OK"),IF(AG769="Devis",COUNTIFS(dl_doc,F769,dl_check,"&lt;&gt;OK"),0))&gt;0,"Ligne(s) à corriger",IF(AND(W769&lt;&gt;"",N(W769)&lt;0),"Trop-perçu : vérifiez paiements et avoirs","OK")))))))))))))))))))))</f>
        <v/>
      </c>
      <c r="AA769" s="62" t="str">
        <f>IF(COUNTA(B769:D769,F769:O769)&gt;0,IF(B769="","Facture",B769),"")</f>
        <v/>
      </c>
      <c r="AB769" s="62" t="str">
        <f>IF(AA769="","",IF(AA769="Avoir",p_pav,IF(AA769="Facture d'acompte",p_pac,p_pfa)))</f>
        <v/>
      </c>
      <c r="AC769" s="62">
        <f>IF(ISNUMBER(C769),C769,0)</f>
        <v>0.0</v>
      </c>
      <c r="AD769" s="62" t="str">
        <f>IF(OR(AA769="",AC769=0),"",YEAR(AC769))</f>
        <v/>
      </c>
      <c r="AE769" s="62" t="str">
        <f>IF(AD769="","",COUNTIFS($AB$6:AB769,AB769,$AD$6:AD769,AD769))</f>
        <v/>
      </c>
      <c r="AF769" s="62">
        <f>IF(A769="",0,COUNTIF(fl_doc,A769))</f>
        <v>0.0</v>
      </c>
      <c r="AG769" s="62" t="str">
        <f>IF(A769="","",IF(AF769&gt;0,"Facture",IF(AND(F769&lt;&gt;"",AA769="Facture",ISNUMBER(MATCH(F769,dv_num,0))),"Devis","")))</f>
        <v/>
      </c>
      <c r="AH769" s="62" t="str">
        <f>IF(AND(A769&lt;&gt;"",F769&lt;&gt;"",AA769&lt;&gt;"Avoir"),F769,"")</f>
        <v/>
      </c>
      <c r="AI769" s="62" t="str">
        <f>IF(AG769="Devis",F769,"")</f>
        <v/>
      </c>
      <c r="AJ769" s="62">
        <f>IF(AG769="Facture",SUMIF(fl_doc,A769,fl_ht),IF(AG769="Devis",SUMIF(dl_doc,F769,dl_ht),0))</f>
        <v>0.0</v>
      </c>
      <c r="AK769" s="62">
        <f>IF(OR(AG769="",INDEX(p_rates,1)=""),0,IF(AG769="Facture",SUMIFS(fl_ht,fl_doc,A769,fl_rate,INDEX(p_rates,1)),SUMIFS(dl_ht,dl_doc,F769,dl_rate,INDEX(p_rates,1))))</f>
        <v>0.0</v>
      </c>
      <c r="AL769" s="62">
        <f>IF(OR(AG769="",INDEX(p_rates,2)=""),0,IF(AG769="Facture",SUMIFS(fl_ht,fl_doc,A769,fl_rate,INDEX(p_rates,2)),SUMIFS(dl_ht,dl_doc,F769,dl_rate,INDEX(p_rates,2))))</f>
        <v>0.0</v>
      </c>
      <c r="AM769" s="62">
        <f>IF(OR(AG769="",INDEX(p_rates,3)=""),0,IF(AG769="Facture",SUMIFS(fl_ht,fl_doc,A769,fl_rate,INDEX(p_rates,3)),SUMIFS(dl_ht,dl_doc,F769,dl_rate,INDEX(p_rates,3))))</f>
        <v>0.0</v>
      </c>
      <c r="AN769" s="62">
        <f>IF(OR(AG769="",INDEX(p_rates,4)=""),0,IF(AG769="Facture",SUMIFS(fl_ht,fl_doc,A769,fl_rate,INDEX(p_rates,4)),SUMIFS(dl_ht,dl_doc,F769,dl_rate,INDEX(p_rates,4))))</f>
        <v>0.0</v>
      </c>
      <c r="AO769" s="62">
        <f>IF(OR(AG769="",INDEX(p_rates,5)=""),0,IF(AG769="Facture",SUMIFS(fl_ht,fl_doc,A769,fl_rate,INDEX(p_rates,5)),SUMIFS(dl_ht,dl_doc,F769,dl_rate,INDEX(p_rates,5))))</f>
        <v>0.0</v>
      </c>
      <c r="AP769" s="62">
        <f>IF(OR(AG769="",INDEX(p_rates,6)=""),0,IF(AG769="Facture",SUMIFS(fl_ht,fl_doc,A769,fl_rate,INDEX(p_rates,6)),SUMIFS(dl_ht,dl_doc,F769,dl_rate,INDEX(p_rates,6))))</f>
        <v>0.0</v>
      </c>
      <c r="AQ769" s="62">
        <f>ROUND(AK769*N(INDEX(p_rates,1)),2)+ROUND(AL769*N(INDEX(p_rates,2)),2)+ROUND(AM769*N(INDEX(p_rates,3)),2)+ROUND(AN769*N(INDEX(p_rates,4)),2)+ROUND(AO769*N(INDEX(p_rates,5)),2)+ROUND(AP769*N(INDEX(p_rates,6)),2)</f>
        <v>0.0</v>
      </c>
      <c r="AR769" s="62" t="str">
        <f>IF(OR(L769="",AA769&lt;&gt;"Facture"),"",IFERROR(IF(INDEX(fa_type,MATCH(L769,fa_num,0))="Facture d'acompte",MATCH(L769,fa_num,0),""),""))</f>
        <v/>
      </c>
      <c r="AS769" s="62" t="str">
        <f>IF(W769="","",IF(W769&lt;=0,"",IF(p_asof-P769&lt;=0,"Non échu",IF(p_asof-P769&lt;=30,"1-30 j",IF(p_asof-P769&lt;=60,"31-60 j",IF(p_asof-P769&lt;=90,"61-90 j","Plus de 90 j"))))))</f>
        <v/>
      </c>
      <c r="AT769" s="62" t="str">
        <f>IF(AS769="","",p_asof-P769)</f>
        <v/>
      </c>
      <c r="AU769" s="62" t="str">
        <f>IF(AT769="","",COUNTIF($AT$6:$AT$805,"&gt;"&amp;AT769)+COUNTIF($AT$6:AT769,AT769))</f>
        <v/>
      </c>
    </row>
    <row r="770">
      <c r="A770" s="59" t="str">
        <f>IF(AE770="","",AB770&amp;"-"&amp;AD770&amp;"-"&amp;RIGHT("000"&amp;AE770,4))</f>
        <v/>
      </c>
      <c r="B770" s="60" t="n"/>
      <c r="C770" s="61" t="n"/>
      <c r="D770" s="60" t="n"/>
      <c r="E770" s="62" t="str">
        <f>IF(D770="","",IFERROR(INDEX(cli_name,MATCH(D770,cli_code,0))&amp;"","Client inconnu"))</f>
        <v/>
      </c>
      <c r="F770" s="60" t="n"/>
      <c r="G770" s="63" t="n"/>
      <c r="H770" s="61" t="n"/>
      <c r="I770" s="63" t="n"/>
      <c r="J770" s="60" t="n"/>
      <c r="K770" s="61" t="n"/>
      <c r="L770" s="60" t="n"/>
      <c r="M770" s="60" t="n"/>
      <c r="N770" s="60" t="n"/>
      <c r="O770" s="61" t="n"/>
      <c r="P770" s="64" t="str">
        <f>IF(A770="","",IF(AA770="Avoir",AC770,IF(ISNUMBER(K770),K770,AC770+IF(D770="",N(p_delay),IFERROR(IF(ISNUMBER(INDEX(cli_delay,MATCH(D770,cli_code,0))),INDEX(cli_delay,MATCH(D770,cli_code,0)),N(p_delay)),N(p_delay))))))</f>
        <v/>
      </c>
      <c r="Q770" s="65" t="str">
        <f>IF(A770="","",IF(AA770="Avoir",-1,1)*ROUND(AJ770-IF(AR770="",0,INDEX(fa_htb,AR770)),2))</f>
        <v/>
      </c>
      <c r="R770" s="65" t="str">
        <f>IF(A770="","",IF(AA770="Avoir",-1,1)*ROUND(AQ770-IF(AR770="",0,INDEX(fa_tvab,AR770)),2))</f>
        <v/>
      </c>
      <c r="S770" s="65" t="str">
        <f>IF(A770="","",Q770+R770)</f>
        <v/>
      </c>
      <c r="T770" s="65" t="str">
        <f>IF(AR770="","",INDEX(fa_htb,AR770)+INDEX(fa_tvab,AR770))</f>
        <v/>
      </c>
      <c r="U770" s="65" t="str">
        <f>IF(A770="","",SUMIF(pa_inv,A770,pa_amt))</f>
        <v/>
      </c>
      <c r="V770" s="65" t="str">
        <f>IF(OR(A770="",AA770="Avoir"),"",-SUMIFS(fa_ttc,fa_avof,A770,fa_type,"Avoir"))</f>
        <v/>
      </c>
      <c r="W770" s="65" t="str">
        <f>IF(OR(A770="",AA770="Avoir"),"",ROUND(S770-U770-V770,2))</f>
        <v/>
      </c>
      <c r="X770" s="66" t="str">
        <f>IF(W770="","",IF(AND(W770&gt;0,p_asof&gt;P770),p_asof-P770,""))</f>
        <v/>
      </c>
      <c r="Y770" s="59" t="str">
        <f>IF(A770="","",IF(AA770="Avoir","Avoir",IF(W770&lt;0,"Trop-perçu",IF(W770=0,"Soldée",IF(p_asof&gt;P770,"En retard",IF(U770+V770&gt;0,"Partielle","À échoir"))))))</f>
        <v/>
      </c>
      <c r="Z770" s="59" t="str">
        <f>IF(NOT(COUNTA(B770:D770,F770:O770)&gt;0),"",IF(C770="","Date manquante",IF(NOT(ISNUMBER(C770)),"Date invalide",IF(D770="","Client manquant",IF(ISNA(MATCH(D770,cli_code,0)),"Client inconnu",IF(AC770&lt;SUMPRODUCT(MAX(($AB$6:AB769=AB770)*$AC$6:AC769)),"Date antérieure à la facture précédente",IF(AND(F770&lt;&gt;"",ISNA(MATCH(F770,dv_num,0))),"Devis inconnu",IF(AND(F770&lt;&gt;"",IFERROR(INDEX(dv_client,MATCH(F770,dv_num,0)),D770)&lt;&gt;D770),"Client différent de celui du devis",IF(AG770="","Aucune ligne : saisissez des lignes ou un devis",IF(AND(AI770&lt;&gt;"",COUNTIF($AI$6:AI770,AI770)&gt;1),"Devis déjà repris par une autre facture",IF(AND(AA770="Avoir",M770=""),"Avoir : indiquez la facture d'origine",IF(AND(AA770="Avoir",ISNA(MATCH(M770,fa_num,0))),"Facture d'origine inconnue",IF(AND(AA770&lt;&gt;"Avoir",M770&lt;&gt;""),"« Avoir sur facture » : réservé aux avoirs",IF(AND(L770&lt;&gt;"",AA770&lt;&gt;"Facture"),"Acompte à déduire : réservé aux factures",IF(AND(L770&lt;&gt;"",ISNA(MATCH(L770,fa_num,0))),"Facture d'acompte inconnue",IF(AND(L770&lt;&gt;"",IFERROR(INDEX(fa_type,MATCH(L770,fa_num,0)),"")&lt;&gt;"Facture d'acompte"),"Le n° à déduire n'est pas une facture d'acompte",IF(AND(L770&lt;&gt;"",COUNTIF($L$6:L770,L770)&gt;1),"Acompte déjà déduit sur une autre facture",IF(AND(L770&lt;&gt;"",IFERROR(INDEX(fa_client,MATCH(L770,fa_num,0)),D770)&lt;&gt;D770),"Acompte d'un autre client",IF(AND(AR770&lt;&gt;"",N(Q770)&lt;0),"Acompte supérieur au total de la facture",IF(IF(AG770="Facture",COUNTIFS(fl_doc,A770,fl_check,"&lt;&gt;OK"),IF(AG770="Devis",COUNTIFS(dl_doc,F770,dl_check,"&lt;&gt;OK"),0))&gt;0,"Ligne(s) à corriger",IF(AND(W770&lt;&gt;"",N(W770)&lt;0),"Trop-perçu : vérifiez paiements et avoirs","OK")))))))))))))))))))))</f>
        <v/>
      </c>
      <c r="AA770" s="62" t="str">
        <f>IF(COUNTA(B770:D770,F770:O770)&gt;0,IF(B770="","Facture",B770),"")</f>
        <v/>
      </c>
      <c r="AB770" s="62" t="str">
        <f>IF(AA770="","",IF(AA770="Avoir",p_pav,IF(AA770="Facture d'acompte",p_pac,p_pfa)))</f>
        <v/>
      </c>
      <c r="AC770" s="62">
        <f>IF(ISNUMBER(C770),C770,0)</f>
        <v>0.0</v>
      </c>
      <c r="AD770" s="62" t="str">
        <f>IF(OR(AA770="",AC770=0),"",YEAR(AC770))</f>
        <v/>
      </c>
      <c r="AE770" s="62" t="str">
        <f>IF(AD770="","",COUNTIFS($AB$6:AB770,AB770,$AD$6:AD770,AD770))</f>
        <v/>
      </c>
      <c r="AF770" s="62">
        <f>IF(A770="",0,COUNTIF(fl_doc,A770))</f>
        <v>0.0</v>
      </c>
      <c r="AG770" s="62" t="str">
        <f>IF(A770="","",IF(AF770&gt;0,"Facture",IF(AND(F770&lt;&gt;"",AA770="Facture",ISNUMBER(MATCH(F770,dv_num,0))),"Devis","")))</f>
        <v/>
      </c>
      <c r="AH770" s="62" t="str">
        <f>IF(AND(A770&lt;&gt;"",F770&lt;&gt;"",AA770&lt;&gt;"Avoir"),F770,"")</f>
        <v/>
      </c>
      <c r="AI770" s="62" t="str">
        <f>IF(AG770="Devis",F770,"")</f>
        <v/>
      </c>
      <c r="AJ770" s="62">
        <f>IF(AG770="Facture",SUMIF(fl_doc,A770,fl_ht),IF(AG770="Devis",SUMIF(dl_doc,F770,dl_ht),0))</f>
        <v>0.0</v>
      </c>
      <c r="AK770" s="62">
        <f>IF(OR(AG770="",INDEX(p_rates,1)=""),0,IF(AG770="Facture",SUMIFS(fl_ht,fl_doc,A770,fl_rate,INDEX(p_rates,1)),SUMIFS(dl_ht,dl_doc,F770,dl_rate,INDEX(p_rates,1))))</f>
        <v>0.0</v>
      </c>
      <c r="AL770" s="62">
        <f>IF(OR(AG770="",INDEX(p_rates,2)=""),0,IF(AG770="Facture",SUMIFS(fl_ht,fl_doc,A770,fl_rate,INDEX(p_rates,2)),SUMIFS(dl_ht,dl_doc,F770,dl_rate,INDEX(p_rates,2))))</f>
        <v>0.0</v>
      </c>
      <c r="AM770" s="62">
        <f>IF(OR(AG770="",INDEX(p_rates,3)=""),0,IF(AG770="Facture",SUMIFS(fl_ht,fl_doc,A770,fl_rate,INDEX(p_rates,3)),SUMIFS(dl_ht,dl_doc,F770,dl_rate,INDEX(p_rates,3))))</f>
        <v>0.0</v>
      </c>
      <c r="AN770" s="62">
        <f>IF(OR(AG770="",INDEX(p_rates,4)=""),0,IF(AG770="Facture",SUMIFS(fl_ht,fl_doc,A770,fl_rate,INDEX(p_rates,4)),SUMIFS(dl_ht,dl_doc,F770,dl_rate,INDEX(p_rates,4))))</f>
        <v>0.0</v>
      </c>
      <c r="AO770" s="62">
        <f>IF(OR(AG770="",INDEX(p_rates,5)=""),0,IF(AG770="Facture",SUMIFS(fl_ht,fl_doc,A770,fl_rate,INDEX(p_rates,5)),SUMIFS(dl_ht,dl_doc,F770,dl_rate,INDEX(p_rates,5))))</f>
        <v>0.0</v>
      </c>
      <c r="AP770" s="62">
        <f>IF(OR(AG770="",INDEX(p_rates,6)=""),0,IF(AG770="Facture",SUMIFS(fl_ht,fl_doc,A770,fl_rate,INDEX(p_rates,6)),SUMIFS(dl_ht,dl_doc,F770,dl_rate,INDEX(p_rates,6))))</f>
        <v>0.0</v>
      </c>
      <c r="AQ770" s="62">
        <f>ROUND(AK770*N(INDEX(p_rates,1)),2)+ROUND(AL770*N(INDEX(p_rates,2)),2)+ROUND(AM770*N(INDEX(p_rates,3)),2)+ROUND(AN770*N(INDEX(p_rates,4)),2)+ROUND(AO770*N(INDEX(p_rates,5)),2)+ROUND(AP770*N(INDEX(p_rates,6)),2)</f>
        <v>0.0</v>
      </c>
      <c r="AR770" s="62" t="str">
        <f>IF(OR(L770="",AA770&lt;&gt;"Facture"),"",IFERROR(IF(INDEX(fa_type,MATCH(L770,fa_num,0))="Facture d'acompte",MATCH(L770,fa_num,0),""),""))</f>
        <v/>
      </c>
      <c r="AS770" s="62" t="str">
        <f>IF(W770="","",IF(W770&lt;=0,"",IF(p_asof-P770&lt;=0,"Non échu",IF(p_asof-P770&lt;=30,"1-30 j",IF(p_asof-P770&lt;=60,"31-60 j",IF(p_asof-P770&lt;=90,"61-90 j","Plus de 90 j"))))))</f>
        <v/>
      </c>
      <c r="AT770" s="62" t="str">
        <f>IF(AS770="","",p_asof-P770)</f>
        <v/>
      </c>
      <c r="AU770" s="62" t="str">
        <f>IF(AT770="","",COUNTIF($AT$6:$AT$805,"&gt;"&amp;AT770)+COUNTIF($AT$6:AT770,AT770))</f>
        <v/>
      </c>
    </row>
    <row r="771">
      <c r="A771" s="59" t="str">
        <f>IF(AE771="","",AB771&amp;"-"&amp;AD771&amp;"-"&amp;RIGHT("000"&amp;AE771,4))</f>
        <v/>
      </c>
      <c r="B771" s="60" t="n"/>
      <c r="C771" s="61" t="n"/>
      <c r="D771" s="60" t="n"/>
      <c r="E771" s="62" t="str">
        <f>IF(D771="","",IFERROR(INDEX(cli_name,MATCH(D771,cli_code,0))&amp;"","Client inconnu"))</f>
        <v/>
      </c>
      <c r="F771" s="60" t="n"/>
      <c r="G771" s="63" t="n"/>
      <c r="H771" s="61" t="n"/>
      <c r="I771" s="63" t="n"/>
      <c r="J771" s="60" t="n"/>
      <c r="K771" s="61" t="n"/>
      <c r="L771" s="60" t="n"/>
      <c r="M771" s="60" t="n"/>
      <c r="N771" s="60" t="n"/>
      <c r="O771" s="61" t="n"/>
      <c r="P771" s="64" t="str">
        <f>IF(A771="","",IF(AA771="Avoir",AC771,IF(ISNUMBER(K771),K771,AC771+IF(D771="",N(p_delay),IFERROR(IF(ISNUMBER(INDEX(cli_delay,MATCH(D771,cli_code,0))),INDEX(cli_delay,MATCH(D771,cli_code,0)),N(p_delay)),N(p_delay))))))</f>
        <v/>
      </c>
      <c r="Q771" s="65" t="str">
        <f>IF(A771="","",IF(AA771="Avoir",-1,1)*ROUND(AJ771-IF(AR771="",0,INDEX(fa_htb,AR771)),2))</f>
        <v/>
      </c>
      <c r="R771" s="65" t="str">
        <f>IF(A771="","",IF(AA771="Avoir",-1,1)*ROUND(AQ771-IF(AR771="",0,INDEX(fa_tvab,AR771)),2))</f>
        <v/>
      </c>
      <c r="S771" s="65" t="str">
        <f>IF(A771="","",Q771+R771)</f>
        <v/>
      </c>
      <c r="T771" s="65" t="str">
        <f>IF(AR771="","",INDEX(fa_htb,AR771)+INDEX(fa_tvab,AR771))</f>
        <v/>
      </c>
      <c r="U771" s="65" t="str">
        <f>IF(A771="","",SUMIF(pa_inv,A771,pa_amt))</f>
        <v/>
      </c>
      <c r="V771" s="65" t="str">
        <f>IF(OR(A771="",AA771="Avoir"),"",-SUMIFS(fa_ttc,fa_avof,A771,fa_type,"Avoir"))</f>
        <v/>
      </c>
      <c r="W771" s="65" t="str">
        <f>IF(OR(A771="",AA771="Avoir"),"",ROUND(S771-U771-V771,2))</f>
        <v/>
      </c>
      <c r="X771" s="66" t="str">
        <f>IF(W771="","",IF(AND(W771&gt;0,p_asof&gt;P771),p_asof-P771,""))</f>
        <v/>
      </c>
      <c r="Y771" s="59" t="str">
        <f>IF(A771="","",IF(AA771="Avoir","Avoir",IF(W771&lt;0,"Trop-perçu",IF(W771=0,"Soldée",IF(p_asof&gt;P771,"En retard",IF(U771+V771&gt;0,"Partielle","À échoir"))))))</f>
        <v/>
      </c>
      <c r="Z771" s="59" t="str">
        <f>IF(NOT(COUNTA(B771:D771,F771:O771)&gt;0),"",IF(C771="","Date manquante",IF(NOT(ISNUMBER(C771)),"Date invalide",IF(D771="","Client manquant",IF(ISNA(MATCH(D771,cli_code,0)),"Client inconnu",IF(AC771&lt;SUMPRODUCT(MAX(($AB$6:AB770=AB771)*$AC$6:AC770)),"Date antérieure à la facture précédente",IF(AND(F771&lt;&gt;"",ISNA(MATCH(F771,dv_num,0))),"Devis inconnu",IF(AND(F771&lt;&gt;"",IFERROR(INDEX(dv_client,MATCH(F771,dv_num,0)),D771)&lt;&gt;D771),"Client différent de celui du devis",IF(AG771="","Aucune ligne : saisissez des lignes ou un devis",IF(AND(AI771&lt;&gt;"",COUNTIF($AI$6:AI771,AI771)&gt;1),"Devis déjà repris par une autre facture",IF(AND(AA771="Avoir",M771=""),"Avoir : indiquez la facture d'origine",IF(AND(AA771="Avoir",ISNA(MATCH(M771,fa_num,0))),"Facture d'origine inconnue",IF(AND(AA771&lt;&gt;"Avoir",M771&lt;&gt;""),"« Avoir sur facture » : réservé aux avoirs",IF(AND(L771&lt;&gt;"",AA771&lt;&gt;"Facture"),"Acompte à déduire : réservé aux factures",IF(AND(L771&lt;&gt;"",ISNA(MATCH(L771,fa_num,0))),"Facture d'acompte inconnue",IF(AND(L771&lt;&gt;"",IFERROR(INDEX(fa_type,MATCH(L771,fa_num,0)),"")&lt;&gt;"Facture d'acompte"),"Le n° à déduire n'est pas une facture d'acompte",IF(AND(L771&lt;&gt;"",COUNTIF($L$6:L771,L771)&gt;1),"Acompte déjà déduit sur une autre facture",IF(AND(L771&lt;&gt;"",IFERROR(INDEX(fa_client,MATCH(L771,fa_num,0)),D771)&lt;&gt;D771),"Acompte d'un autre client",IF(AND(AR771&lt;&gt;"",N(Q771)&lt;0),"Acompte supérieur au total de la facture",IF(IF(AG771="Facture",COUNTIFS(fl_doc,A771,fl_check,"&lt;&gt;OK"),IF(AG771="Devis",COUNTIFS(dl_doc,F771,dl_check,"&lt;&gt;OK"),0))&gt;0,"Ligne(s) à corriger",IF(AND(W771&lt;&gt;"",N(W771)&lt;0),"Trop-perçu : vérifiez paiements et avoirs","OK")))))))))))))))))))))</f>
        <v/>
      </c>
      <c r="AA771" s="62" t="str">
        <f>IF(COUNTA(B771:D771,F771:O771)&gt;0,IF(B771="","Facture",B771),"")</f>
        <v/>
      </c>
      <c r="AB771" s="62" t="str">
        <f>IF(AA771="","",IF(AA771="Avoir",p_pav,IF(AA771="Facture d'acompte",p_pac,p_pfa)))</f>
        <v/>
      </c>
      <c r="AC771" s="62">
        <f>IF(ISNUMBER(C771),C771,0)</f>
        <v>0.0</v>
      </c>
      <c r="AD771" s="62" t="str">
        <f>IF(OR(AA771="",AC771=0),"",YEAR(AC771))</f>
        <v/>
      </c>
      <c r="AE771" s="62" t="str">
        <f>IF(AD771="","",COUNTIFS($AB$6:AB771,AB771,$AD$6:AD771,AD771))</f>
        <v/>
      </c>
      <c r="AF771" s="62">
        <f>IF(A771="",0,COUNTIF(fl_doc,A771))</f>
        <v>0.0</v>
      </c>
      <c r="AG771" s="62" t="str">
        <f>IF(A771="","",IF(AF771&gt;0,"Facture",IF(AND(F771&lt;&gt;"",AA771="Facture",ISNUMBER(MATCH(F771,dv_num,0))),"Devis","")))</f>
        <v/>
      </c>
      <c r="AH771" s="62" t="str">
        <f>IF(AND(A771&lt;&gt;"",F771&lt;&gt;"",AA771&lt;&gt;"Avoir"),F771,"")</f>
        <v/>
      </c>
      <c r="AI771" s="62" t="str">
        <f>IF(AG771="Devis",F771,"")</f>
        <v/>
      </c>
      <c r="AJ771" s="62">
        <f>IF(AG771="Facture",SUMIF(fl_doc,A771,fl_ht),IF(AG771="Devis",SUMIF(dl_doc,F771,dl_ht),0))</f>
        <v>0.0</v>
      </c>
      <c r="AK771" s="62">
        <f>IF(OR(AG771="",INDEX(p_rates,1)=""),0,IF(AG771="Facture",SUMIFS(fl_ht,fl_doc,A771,fl_rate,INDEX(p_rates,1)),SUMIFS(dl_ht,dl_doc,F771,dl_rate,INDEX(p_rates,1))))</f>
        <v>0.0</v>
      </c>
      <c r="AL771" s="62">
        <f>IF(OR(AG771="",INDEX(p_rates,2)=""),0,IF(AG771="Facture",SUMIFS(fl_ht,fl_doc,A771,fl_rate,INDEX(p_rates,2)),SUMIFS(dl_ht,dl_doc,F771,dl_rate,INDEX(p_rates,2))))</f>
        <v>0.0</v>
      </c>
      <c r="AM771" s="62">
        <f>IF(OR(AG771="",INDEX(p_rates,3)=""),0,IF(AG771="Facture",SUMIFS(fl_ht,fl_doc,A771,fl_rate,INDEX(p_rates,3)),SUMIFS(dl_ht,dl_doc,F771,dl_rate,INDEX(p_rates,3))))</f>
        <v>0.0</v>
      </c>
      <c r="AN771" s="62">
        <f>IF(OR(AG771="",INDEX(p_rates,4)=""),0,IF(AG771="Facture",SUMIFS(fl_ht,fl_doc,A771,fl_rate,INDEX(p_rates,4)),SUMIFS(dl_ht,dl_doc,F771,dl_rate,INDEX(p_rates,4))))</f>
        <v>0.0</v>
      </c>
      <c r="AO771" s="62">
        <f>IF(OR(AG771="",INDEX(p_rates,5)=""),0,IF(AG771="Facture",SUMIFS(fl_ht,fl_doc,A771,fl_rate,INDEX(p_rates,5)),SUMIFS(dl_ht,dl_doc,F771,dl_rate,INDEX(p_rates,5))))</f>
        <v>0.0</v>
      </c>
      <c r="AP771" s="62">
        <f>IF(OR(AG771="",INDEX(p_rates,6)=""),0,IF(AG771="Facture",SUMIFS(fl_ht,fl_doc,A771,fl_rate,INDEX(p_rates,6)),SUMIFS(dl_ht,dl_doc,F771,dl_rate,INDEX(p_rates,6))))</f>
        <v>0.0</v>
      </c>
      <c r="AQ771" s="62">
        <f>ROUND(AK771*N(INDEX(p_rates,1)),2)+ROUND(AL771*N(INDEX(p_rates,2)),2)+ROUND(AM771*N(INDEX(p_rates,3)),2)+ROUND(AN771*N(INDEX(p_rates,4)),2)+ROUND(AO771*N(INDEX(p_rates,5)),2)+ROUND(AP771*N(INDEX(p_rates,6)),2)</f>
        <v>0.0</v>
      </c>
      <c r="AR771" s="62" t="str">
        <f>IF(OR(L771="",AA771&lt;&gt;"Facture"),"",IFERROR(IF(INDEX(fa_type,MATCH(L771,fa_num,0))="Facture d'acompte",MATCH(L771,fa_num,0),""),""))</f>
        <v/>
      </c>
      <c r="AS771" s="62" t="str">
        <f>IF(W771="","",IF(W771&lt;=0,"",IF(p_asof-P771&lt;=0,"Non échu",IF(p_asof-P771&lt;=30,"1-30 j",IF(p_asof-P771&lt;=60,"31-60 j",IF(p_asof-P771&lt;=90,"61-90 j","Plus de 90 j"))))))</f>
        <v/>
      </c>
      <c r="AT771" s="62" t="str">
        <f>IF(AS771="","",p_asof-P771)</f>
        <v/>
      </c>
      <c r="AU771" s="62" t="str">
        <f>IF(AT771="","",COUNTIF($AT$6:$AT$805,"&gt;"&amp;AT771)+COUNTIF($AT$6:AT771,AT771))</f>
        <v/>
      </c>
    </row>
    <row r="772">
      <c r="A772" s="59" t="str">
        <f>IF(AE772="","",AB772&amp;"-"&amp;AD772&amp;"-"&amp;RIGHT("000"&amp;AE772,4))</f>
        <v/>
      </c>
      <c r="B772" s="60" t="n"/>
      <c r="C772" s="61" t="n"/>
      <c r="D772" s="60" t="n"/>
      <c r="E772" s="62" t="str">
        <f>IF(D772="","",IFERROR(INDEX(cli_name,MATCH(D772,cli_code,0))&amp;"","Client inconnu"))</f>
        <v/>
      </c>
      <c r="F772" s="60" t="n"/>
      <c r="G772" s="63" t="n"/>
      <c r="H772" s="61" t="n"/>
      <c r="I772" s="63" t="n"/>
      <c r="J772" s="60" t="n"/>
      <c r="K772" s="61" t="n"/>
      <c r="L772" s="60" t="n"/>
      <c r="M772" s="60" t="n"/>
      <c r="N772" s="60" t="n"/>
      <c r="O772" s="61" t="n"/>
      <c r="P772" s="64" t="str">
        <f>IF(A772="","",IF(AA772="Avoir",AC772,IF(ISNUMBER(K772),K772,AC772+IF(D772="",N(p_delay),IFERROR(IF(ISNUMBER(INDEX(cli_delay,MATCH(D772,cli_code,0))),INDEX(cli_delay,MATCH(D772,cli_code,0)),N(p_delay)),N(p_delay))))))</f>
        <v/>
      </c>
      <c r="Q772" s="65" t="str">
        <f>IF(A772="","",IF(AA772="Avoir",-1,1)*ROUND(AJ772-IF(AR772="",0,INDEX(fa_htb,AR772)),2))</f>
        <v/>
      </c>
      <c r="R772" s="65" t="str">
        <f>IF(A772="","",IF(AA772="Avoir",-1,1)*ROUND(AQ772-IF(AR772="",0,INDEX(fa_tvab,AR772)),2))</f>
        <v/>
      </c>
      <c r="S772" s="65" t="str">
        <f>IF(A772="","",Q772+R772)</f>
        <v/>
      </c>
      <c r="T772" s="65" t="str">
        <f>IF(AR772="","",INDEX(fa_htb,AR772)+INDEX(fa_tvab,AR772))</f>
        <v/>
      </c>
      <c r="U772" s="65" t="str">
        <f>IF(A772="","",SUMIF(pa_inv,A772,pa_amt))</f>
        <v/>
      </c>
      <c r="V772" s="65" t="str">
        <f>IF(OR(A772="",AA772="Avoir"),"",-SUMIFS(fa_ttc,fa_avof,A772,fa_type,"Avoir"))</f>
        <v/>
      </c>
      <c r="W772" s="65" t="str">
        <f>IF(OR(A772="",AA772="Avoir"),"",ROUND(S772-U772-V772,2))</f>
        <v/>
      </c>
      <c r="X772" s="66" t="str">
        <f>IF(W772="","",IF(AND(W772&gt;0,p_asof&gt;P772),p_asof-P772,""))</f>
        <v/>
      </c>
      <c r="Y772" s="59" t="str">
        <f>IF(A772="","",IF(AA772="Avoir","Avoir",IF(W772&lt;0,"Trop-perçu",IF(W772=0,"Soldée",IF(p_asof&gt;P772,"En retard",IF(U772+V772&gt;0,"Partielle","À échoir"))))))</f>
        <v/>
      </c>
      <c r="Z772" s="59" t="str">
        <f>IF(NOT(COUNTA(B772:D772,F772:O772)&gt;0),"",IF(C772="","Date manquante",IF(NOT(ISNUMBER(C772)),"Date invalide",IF(D772="","Client manquant",IF(ISNA(MATCH(D772,cli_code,0)),"Client inconnu",IF(AC772&lt;SUMPRODUCT(MAX(($AB$6:AB771=AB772)*$AC$6:AC771)),"Date antérieure à la facture précédente",IF(AND(F772&lt;&gt;"",ISNA(MATCH(F772,dv_num,0))),"Devis inconnu",IF(AND(F772&lt;&gt;"",IFERROR(INDEX(dv_client,MATCH(F772,dv_num,0)),D772)&lt;&gt;D772),"Client différent de celui du devis",IF(AG772="","Aucune ligne : saisissez des lignes ou un devis",IF(AND(AI772&lt;&gt;"",COUNTIF($AI$6:AI772,AI772)&gt;1),"Devis déjà repris par une autre facture",IF(AND(AA772="Avoir",M772=""),"Avoir : indiquez la facture d'origine",IF(AND(AA772="Avoir",ISNA(MATCH(M772,fa_num,0))),"Facture d'origine inconnue",IF(AND(AA772&lt;&gt;"Avoir",M772&lt;&gt;""),"« Avoir sur facture » : réservé aux avoirs",IF(AND(L772&lt;&gt;"",AA772&lt;&gt;"Facture"),"Acompte à déduire : réservé aux factures",IF(AND(L772&lt;&gt;"",ISNA(MATCH(L772,fa_num,0))),"Facture d'acompte inconnue",IF(AND(L772&lt;&gt;"",IFERROR(INDEX(fa_type,MATCH(L772,fa_num,0)),"")&lt;&gt;"Facture d'acompte"),"Le n° à déduire n'est pas une facture d'acompte",IF(AND(L772&lt;&gt;"",COUNTIF($L$6:L772,L772)&gt;1),"Acompte déjà déduit sur une autre facture",IF(AND(L772&lt;&gt;"",IFERROR(INDEX(fa_client,MATCH(L772,fa_num,0)),D772)&lt;&gt;D772),"Acompte d'un autre client",IF(AND(AR772&lt;&gt;"",N(Q772)&lt;0),"Acompte supérieur au total de la facture",IF(IF(AG772="Facture",COUNTIFS(fl_doc,A772,fl_check,"&lt;&gt;OK"),IF(AG772="Devis",COUNTIFS(dl_doc,F772,dl_check,"&lt;&gt;OK"),0))&gt;0,"Ligne(s) à corriger",IF(AND(W772&lt;&gt;"",N(W772)&lt;0),"Trop-perçu : vérifiez paiements et avoirs","OK")))))))))))))))))))))</f>
        <v/>
      </c>
      <c r="AA772" s="62" t="str">
        <f>IF(COUNTA(B772:D772,F772:O772)&gt;0,IF(B772="","Facture",B772),"")</f>
        <v/>
      </c>
      <c r="AB772" s="62" t="str">
        <f>IF(AA772="","",IF(AA772="Avoir",p_pav,IF(AA772="Facture d'acompte",p_pac,p_pfa)))</f>
        <v/>
      </c>
      <c r="AC772" s="62">
        <f>IF(ISNUMBER(C772),C772,0)</f>
        <v>0.0</v>
      </c>
      <c r="AD772" s="62" t="str">
        <f>IF(OR(AA772="",AC772=0),"",YEAR(AC772))</f>
        <v/>
      </c>
      <c r="AE772" s="62" t="str">
        <f>IF(AD772="","",COUNTIFS($AB$6:AB772,AB772,$AD$6:AD772,AD772))</f>
        <v/>
      </c>
      <c r="AF772" s="62">
        <f>IF(A772="",0,COUNTIF(fl_doc,A772))</f>
        <v>0.0</v>
      </c>
      <c r="AG772" s="62" t="str">
        <f>IF(A772="","",IF(AF772&gt;0,"Facture",IF(AND(F772&lt;&gt;"",AA772="Facture",ISNUMBER(MATCH(F772,dv_num,0))),"Devis","")))</f>
        <v/>
      </c>
      <c r="AH772" s="62" t="str">
        <f>IF(AND(A772&lt;&gt;"",F772&lt;&gt;"",AA772&lt;&gt;"Avoir"),F772,"")</f>
        <v/>
      </c>
      <c r="AI772" s="62" t="str">
        <f>IF(AG772="Devis",F772,"")</f>
        <v/>
      </c>
      <c r="AJ772" s="62">
        <f>IF(AG772="Facture",SUMIF(fl_doc,A772,fl_ht),IF(AG772="Devis",SUMIF(dl_doc,F772,dl_ht),0))</f>
        <v>0.0</v>
      </c>
      <c r="AK772" s="62">
        <f>IF(OR(AG772="",INDEX(p_rates,1)=""),0,IF(AG772="Facture",SUMIFS(fl_ht,fl_doc,A772,fl_rate,INDEX(p_rates,1)),SUMIFS(dl_ht,dl_doc,F772,dl_rate,INDEX(p_rates,1))))</f>
        <v>0.0</v>
      </c>
      <c r="AL772" s="62">
        <f>IF(OR(AG772="",INDEX(p_rates,2)=""),0,IF(AG772="Facture",SUMIFS(fl_ht,fl_doc,A772,fl_rate,INDEX(p_rates,2)),SUMIFS(dl_ht,dl_doc,F772,dl_rate,INDEX(p_rates,2))))</f>
        <v>0.0</v>
      </c>
      <c r="AM772" s="62">
        <f>IF(OR(AG772="",INDEX(p_rates,3)=""),0,IF(AG772="Facture",SUMIFS(fl_ht,fl_doc,A772,fl_rate,INDEX(p_rates,3)),SUMIFS(dl_ht,dl_doc,F772,dl_rate,INDEX(p_rates,3))))</f>
        <v>0.0</v>
      </c>
      <c r="AN772" s="62">
        <f>IF(OR(AG772="",INDEX(p_rates,4)=""),0,IF(AG772="Facture",SUMIFS(fl_ht,fl_doc,A772,fl_rate,INDEX(p_rates,4)),SUMIFS(dl_ht,dl_doc,F772,dl_rate,INDEX(p_rates,4))))</f>
        <v>0.0</v>
      </c>
      <c r="AO772" s="62">
        <f>IF(OR(AG772="",INDEX(p_rates,5)=""),0,IF(AG772="Facture",SUMIFS(fl_ht,fl_doc,A772,fl_rate,INDEX(p_rates,5)),SUMIFS(dl_ht,dl_doc,F772,dl_rate,INDEX(p_rates,5))))</f>
        <v>0.0</v>
      </c>
      <c r="AP772" s="62">
        <f>IF(OR(AG772="",INDEX(p_rates,6)=""),0,IF(AG772="Facture",SUMIFS(fl_ht,fl_doc,A772,fl_rate,INDEX(p_rates,6)),SUMIFS(dl_ht,dl_doc,F772,dl_rate,INDEX(p_rates,6))))</f>
        <v>0.0</v>
      </c>
      <c r="AQ772" s="62">
        <f>ROUND(AK772*N(INDEX(p_rates,1)),2)+ROUND(AL772*N(INDEX(p_rates,2)),2)+ROUND(AM772*N(INDEX(p_rates,3)),2)+ROUND(AN772*N(INDEX(p_rates,4)),2)+ROUND(AO772*N(INDEX(p_rates,5)),2)+ROUND(AP772*N(INDEX(p_rates,6)),2)</f>
        <v>0.0</v>
      </c>
      <c r="AR772" s="62" t="str">
        <f>IF(OR(L772="",AA772&lt;&gt;"Facture"),"",IFERROR(IF(INDEX(fa_type,MATCH(L772,fa_num,0))="Facture d'acompte",MATCH(L772,fa_num,0),""),""))</f>
        <v/>
      </c>
      <c r="AS772" s="62" t="str">
        <f>IF(W772="","",IF(W772&lt;=0,"",IF(p_asof-P772&lt;=0,"Non échu",IF(p_asof-P772&lt;=30,"1-30 j",IF(p_asof-P772&lt;=60,"31-60 j",IF(p_asof-P772&lt;=90,"61-90 j","Plus de 90 j"))))))</f>
        <v/>
      </c>
      <c r="AT772" s="62" t="str">
        <f>IF(AS772="","",p_asof-P772)</f>
        <v/>
      </c>
      <c r="AU772" s="62" t="str">
        <f>IF(AT772="","",COUNTIF($AT$6:$AT$805,"&gt;"&amp;AT772)+COUNTIF($AT$6:AT772,AT772))</f>
        <v/>
      </c>
    </row>
    <row r="773">
      <c r="A773" s="59" t="str">
        <f>IF(AE773="","",AB773&amp;"-"&amp;AD773&amp;"-"&amp;RIGHT("000"&amp;AE773,4))</f>
        <v/>
      </c>
      <c r="B773" s="60" t="n"/>
      <c r="C773" s="61" t="n"/>
      <c r="D773" s="60" t="n"/>
      <c r="E773" s="62" t="str">
        <f>IF(D773="","",IFERROR(INDEX(cli_name,MATCH(D773,cli_code,0))&amp;"","Client inconnu"))</f>
        <v/>
      </c>
      <c r="F773" s="60" t="n"/>
      <c r="G773" s="63" t="n"/>
      <c r="H773" s="61" t="n"/>
      <c r="I773" s="63" t="n"/>
      <c r="J773" s="60" t="n"/>
      <c r="K773" s="61" t="n"/>
      <c r="L773" s="60" t="n"/>
      <c r="M773" s="60" t="n"/>
      <c r="N773" s="60" t="n"/>
      <c r="O773" s="61" t="n"/>
      <c r="P773" s="64" t="str">
        <f>IF(A773="","",IF(AA773="Avoir",AC773,IF(ISNUMBER(K773),K773,AC773+IF(D773="",N(p_delay),IFERROR(IF(ISNUMBER(INDEX(cli_delay,MATCH(D773,cli_code,0))),INDEX(cli_delay,MATCH(D773,cli_code,0)),N(p_delay)),N(p_delay))))))</f>
        <v/>
      </c>
      <c r="Q773" s="65" t="str">
        <f>IF(A773="","",IF(AA773="Avoir",-1,1)*ROUND(AJ773-IF(AR773="",0,INDEX(fa_htb,AR773)),2))</f>
        <v/>
      </c>
      <c r="R773" s="65" t="str">
        <f>IF(A773="","",IF(AA773="Avoir",-1,1)*ROUND(AQ773-IF(AR773="",0,INDEX(fa_tvab,AR773)),2))</f>
        <v/>
      </c>
      <c r="S773" s="65" t="str">
        <f>IF(A773="","",Q773+R773)</f>
        <v/>
      </c>
      <c r="T773" s="65" t="str">
        <f>IF(AR773="","",INDEX(fa_htb,AR773)+INDEX(fa_tvab,AR773))</f>
        <v/>
      </c>
      <c r="U773" s="65" t="str">
        <f>IF(A773="","",SUMIF(pa_inv,A773,pa_amt))</f>
        <v/>
      </c>
      <c r="V773" s="65" t="str">
        <f>IF(OR(A773="",AA773="Avoir"),"",-SUMIFS(fa_ttc,fa_avof,A773,fa_type,"Avoir"))</f>
        <v/>
      </c>
      <c r="W773" s="65" t="str">
        <f>IF(OR(A773="",AA773="Avoir"),"",ROUND(S773-U773-V773,2))</f>
        <v/>
      </c>
      <c r="X773" s="66" t="str">
        <f>IF(W773="","",IF(AND(W773&gt;0,p_asof&gt;P773),p_asof-P773,""))</f>
        <v/>
      </c>
      <c r="Y773" s="59" t="str">
        <f>IF(A773="","",IF(AA773="Avoir","Avoir",IF(W773&lt;0,"Trop-perçu",IF(W773=0,"Soldée",IF(p_asof&gt;P773,"En retard",IF(U773+V773&gt;0,"Partielle","À échoir"))))))</f>
        <v/>
      </c>
      <c r="Z773" s="59" t="str">
        <f>IF(NOT(COUNTA(B773:D773,F773:O773)&gt;0),"",IF(C773="","Date manquante",IF(NOT(ISNUMBER(C773)),"Date invalide",IF(D773="","Client manquant",IF(ISNA(MATCH(D773,cli_code,0)),"Client inconnu",IF(AC773&lt;SUMPRODUCT(MAX(($AB$6:AB772=AB773)*$AC$6:AC772)),"Date antérieure à la facture précédente",IF(AND(F773&lt;&gt;"",ISNA(MATCH(F773,dv_num,0))),"Devis inconnu",IF(AND(F773&lt;&gt;"",IFERROR(INDEX(dv_client,MATCH(F773,dv_num,0)),D773)&lt;&gt;D773),"Client différent de celui du devis",IF(AG773="","Aucune ligne : saisissez des lignes ou un devis",IF(AND(AI773&lt;&gt;"",COUNTIF($AI$6:AI773,AI773)&gt;1),"Devis déjà repris par une autre facture",IF(AND(AA773="Avoir",M773=""),"Avoir : indiquez la facture d'origine",IF(AND(AA773="Avoir",ISNA(MATCH(M773,fa_num,0))),"Facture d'origine inconnue",IF(AND(AA773&lt;&gt;"Avoir",M773&lt;&gt;""),"« Avoir sur facture » : réservé aux avoirs",IF(AND(L773&lt;&gt;"",AA773&lt;&gt;"Facture"),"Acompte à déduire : réservé aux factures",IF(AND(L773&lt;&gt;"",ISNA(MATCH(L773,fa_num,0))),"Facture d'acompte inconnue",IF(AND(L773&lt;&gt;"",IFERROR(INDEX(fa_type,MATCH(L773,fa_num,0)),"")&lt;&gt;"Facture d'acompte"),"Le n° à déduire n'est pas une facture d'acompte",IF(AND(L773&lt;&gt;"",COUNTIF($L$6:L773,L773)&gt;1),"Acompte déjà déduit sur une autre facture",IF(AND(L773&lt;&gt;"",IFERROR(INDEX(fa_client,MATCH(L773,fa_num,0)),D773)&lt;&gt;D773),"Acompte d'un autre client",IF(AND(AR773&lt;&gt;"",N(Q773)&lt;0),"Acompte supérieur au total de la facture",IF(IF(AG773="Facture",COUNTIFS(fl_doc,A773,fl_check,"&lt;&gt;OK"),IF(AG773="Devis",COUNTIFS(dl_doc,F773,dl_check,"&lt;&gt;OK"),0))&gt;0,"Ligne(s) à corriger",IF(AND(W773&lt;&gt;"",N(W773)&lt;0),"Trop-perçu : vérifiez paiements et avoirs","OK")))))))))))))))))))))</f>
        <v/>
      </c>
      <c r="AA773" s="62" t="str">
        <f>IF(COUNTA(B773:D773,F773:O773)&gt;0,IF(B773="","Facture",B773),"")</f>
        <v/>
      </c>
      <c r="AB773" s="62" t="str">
        <f>IF(AA773="","",IF(AA773="Avoir",p_pav,IF(AA773="Facture d'acompte",p_pac,p_pfa)))</f>
        <v/>
      </c>
      <c r="AC773" s="62">
        <f>IF(ISNUMBER(C773),C773,0)</f>
        <v>0.0</v>
      </c>
      <c r="AD773" s="62" t="str">
        <f>IF(OR(AA773="",AC773=0),"",YEAR(AC773))</f>
        <v/>
      </c>
      <c r="AE773" s="62" t="str">
        <f>IF(AD773="","",COUNTIFS($AB$6:AB773,AB773,$AD$6:AD773,AD773))</f>
        <v/>
      </c>
      <c r="AF773" s="62">
        <f>IF(A773="",0,COUNTIF(fl_doc,A773))</f>
        <v>0.0</v>
      </c>
      <c r="AG773" s="62" t="str">
        <f>IF(A773="","",IF(AF773&gt;0,"Facture",IF(AND(F773&lt;&gt;"",AA773="Facture",ISNUMBER(MATCH(F773,dv_num,0))),"Devis","")))</f>
        <v/>
      </c>
      <c r="AH773" s="62" t="str">
        <f>IF(AND(A773&lt;&gt;"",F773&lt;&gt;"",AA773&lt;&gt;"Avoir"),F773,"")</f>
        <v/>
      </c>
      <c r="AI773" s="62" t="str">
        <f>IF(AG773="Devis",F773,"")</f>
        <v/>
      </c>
      <c r="AJ773" s="62">
        <f>IF(AG773="Facture",SUMIF(fl_doc,A773,fl_ht),IF(AG773="Devis",SUMIF(dl_doc,F773,dl_ht),0))</f>
        <v>0.0</v>
      </c>
      <c r="AK773" s="62">
        <f>IF(OR(AG773="",INDEX(p_rates,1)=""),0,IF(AG773="Facture",SUMIFS(fl_ht,fl_doc,A773,fl_rate,INDEX(p_rates,1)),SUMIFS(dl_ht,dl_doc,F773,dl_rate,INDEX(p_rates,1))))</f>
        <v>0.0</v>
      </c>
      <c r="AL773" s="62">
        <f>IF(OR(AG773="",INDEX(p_rates,2)=""),0,IF(AG773="Facture",SUMIFS(fl_ht,fl_doc,A773,fl_rate,INDEX(p_rates,2)),SUMIFS(dl_ht,dl_doc,F773,dl_rate,INDEX(p_rates,2))))</f>
        <v>0.0</v>
      </c>
      <c r="AM773" s="62">
        <f>IF(OR(AG773="",INDEX(p_rates,3)=""),0,IF(AG773="Facture",SUMIFS(fl_ht,fl_doc,A773,fl_rate,INDEX(p_rates,3)),SUMIFS(dl_ht,dl_doc,F773,dl_rate,INDEX(p_rates,3))))</f>
        <v>0.0</v>
      </c>
      <c r="AN773" s="62">
        <f>IF(OR(AG773="",INDEX(p_rates,4)=""),0,IF(AG773="Facture",SUMIFS(fl_ht,fl_doc,A773,fl_rate,INDEX(p_rates,4)),SUMIFS(dl_ht,dl_doc,F773,dl_rate,INDEX(p_rates,4))))</f>
        <v>0.0</v>
      </c>
      <c r="AO773" s="62">
        <f>IF(OR(AG773="",INDEX(p_rates,5)=""),0,IF(AG773="Facture",SUMIFS(fl_ht,fl_doc,A773,fl_rate,INDEX(p_rates,5)),SUMIFS(dl_ht,dl_doc,F773,dl_rate,INDEX(p_rates,5))))</f>
        <v>0.0</v>
      </c>
      <c r="AP773" s="62">
        <f>IF(OR(AG773="",INDEX(p_rates,6)=""),0,IF(AG773="Facture",SUMIFS(fl_ht,fl_doc,A773,fl_rate,INDEX(p_rates,6)),SUMIFS(dl_ht,dl_doc,F773,dl_rate,INDEX(p_rates,6))))</f>
        <v>0.0</v>
      </c>
      <c r="AQ773" s="62">
        <f>ROUND(AK773*N(INDEX(p_rates,1)),2)+ROUND(AL773*N(INDEX(p_rates,2)),2)+ROUND(AM773*N(INDEX(p_rates,3)),2)+ROUND(AN773*N(INDEX(p_rates,4)),2)+ROUND(AO773*N(INDEX(p_rates,5)),2)+ROUND(AP773*N(INDEX(p_rates,6)),2)</f>
        <v>0.0</v>
      </c>
      <c r="AR773" s="62" t="str">
        <f>IF(OR(L773="",AA773&lt;&gt;"Facture"),"",IFERROR(IF(INDEX(fa_type,MATCH(L773,fa_num,0))="Facture d'acompte",MATCH(L773,fa_num,0),""),""))</f>
        <v/>
      </c>
      <c r="AS773" s="62" t="str">
        <f>IF(W773="","",IF(W773&lt;=0,"",IF(p_asof-P773&lt;=0,"Non échu",IF(p_asof-P773&lt;=30,"1-30 j",IF(p_asof-P773&lt;=60,"31-60 j",IF(p_asof-P773&lt;=90,"61-90 j","Plus de 90 j"))))))</f>
        <v/>
      </c>
      <c r="AT773" s="62" t="str">
        <f>IF(AS773="","",p_asof-P773)</f>
        <v/>
      </c>
      <c r="AU773" s="62" t="str">
        <f>IF(AT773="","",COUNTIF($AT$6:$AT$805,"&gt;"&amp;AT773)+COUNTIF($AT$6:AT773,AT773))</f>
        <v/>
      </c>
    </row>
    <row r="774">
      <c r="A774" s="59" t="str">
        <f>IF(AE774="","",AB774&amp;"-"&amp;AD774&amp;"-"&amp;RIGHT("000"&amp;AE774,4))</f>
        <v/>
      </c>
      <c r="B774" s="60" t="n"/>
      <c r="C774" s="61" t="n"/>
      <c r="D774" s="60" t="n"/>
      <c r="E774" s="62" t="str">
        <f>IF(D774="","",IFERROR(INDEX(cli_name,MATCH(D774,cli_code,0))&amp;"","Client inconnu"))</f>
        <v/>
      </c>
      <c r="F774" s="60" t="n"/>
      <c r="G774" s="63" t="n"/>
      <c r="H774" s="61" t="n"/>
      <c r="I774" s="63" t="n"/>
      <c r="J774" s="60" t="n"/>
      <c r="K774" s="61" t="n"/>
      <c r="L774" s="60" t="n"/>
      <c r="M774" s="60" t="n"/>
      <c r="N774" s="60" t="n"/>
      <c r="O774" s="61" t="n"/>
      <c r="P774" s="64" t="str">
        <f>IF(A774="","",IF(AA774="Avoir",AC774,IF(ISNUMBER(K774),K774,AC774+IF(D774="",N(p_delay),IFERROR(IF(ISNUMBER(INDEX(cli_delay,MATCH(D774,cli_code,0))),INDEX(cli_delay,MATCH(D774,cli_code,0)),N(p_delay)),N(p_delay))))))</f>
        <v/>
      </c>
      <c r="Q774" s="65" t="str">
        <f>IF(A774="","",IF(AA774="Avoir",-1,1)*ROUND(AJ774-IF(AR774="",0,INDEX(fa_htb,AR774)),2))</f>
        <v/>
      </c>
      <c r="R774" s="65" t="str">
        <f>IF(A774="","",IF(AA774="Avoir",-1,1)*ROUND(AQ774-IF(AR774="",0,INDEX(fa_tvab,AR774)),2))</f>
        <v/>
      </c>
      <c r="S774" s="65" t="str">
        <f>IF(A774="","",Q774+R774)</f>
        <v/>
      </c>
      <c r="T774" s="65" t="str">
        <f>IF(AR774="","",INDEX(fa_htb,AR774)+INDEX(fa_tvab,AR774))</f>
        <v/>
      </c>
      <c r="U774" s="65" t="str">
        <f>IF(A774="","",SUMIF(pa_inv,A774,pa_amt))</f>
        <v/>
      </c>
      <c r="V774" s="65" t="str">
        <f>IF(OR(A774="",AA774="Avoir"),"",-SUMIFS(fa_ttc,fa_avof,A774,fa_type,"Avoir"))</f>
        <v/>
      </c>
      <c r="W774" s="65" t="str">
        <f>IF(OR(A774="",AA774="Avoir"),"",ROUND(S774-U774-V774,2))</f>
        <v/>
      </c>
      <c r="X774" s="66" t="str">
        <f>IF(W774="","",IF(AND(W774&gt;0,p_asof&gt;P774),p_asof-P774,""))</f>
        <v/>
      </c>
      <c r="Y774" s="59" t="str">
        <f>IF(A774="","",IF(AA774="Avoir","Avoir",IF(W774&lt;0,"Trop-perçu",IF(W774=0,"Soldée",IF(p_asof&gt;P774,"En retard",IF(U774+V774&gt;0,"Partielle","À échoir"))))))</f>
        <v/>
      </c>
      <c r="Z774" s="59" t="str">
        <f>IF(NOT(COUNTA(B774:D774,F774:O774)&gt;0),"",IF(C774="","Date manquante",IF(NOT(ISNUMBER(C774)),"Date invalide",IF(D774="","Client manquant",IF(ISNA(MATCH(D774,cli_code,0)),"Client inconnu",IF(AC774&lt;SUMPRODUCT(MAX(($AB$6:AB773=AB774)*$AC$6:AC773)),"Date antérieure à la facture précédente",IF(AND(F774&lt;&gt;"",ISNA(MATCH(F774,dv_num,0))),"Devis inconnu",IF(AND(F774&lt;&gt;"",IFERROR(INDEX(dv_client,MATCH(F774,dv_num,0)),D774)&lt;&gt;D774),"Client différent de celui du devis",IF(AG774="","Aucune ligne : saisissez des lignes ou un devis",IF(AND(AI774&lt;&gt;"",COUNTIF($AI$6:AI774,AI774)&gt;1),"Devis déjà repris par une autre facture",IF(AND(AA774="Avoir",M774=""),"Avoir : indiquez la facture d'origine",IF(AND(AA774="Avoir",ISNA(MATCH(M774,fa_num,0))),"Facture d'origine inconnue",IF(AND(AA774&lt;&gt;"Avoir",M774&lt;&gt;""),"« Avoir sur facture » : réservé aux avoirs",IF(AND(L774&lt;&gt;"",AA774&lt;&gt;"Facture"),"Acompte à déduire : réservé aux factures",IF(AND(L774&lt;&gt;"",ISNA(MATCH(L774,fa_num,0))),"Facture d'acompte inconnue",IF(AND(L774&lt;&gt;"",IFERROR(INDEX(fa_type,MATCH(L774,fa_num,0)),"")&lt;&gt;"Facture d'acompte"),"Le n° à déduire n'est pas une facture d'acompte",IF(AND(L774&lt;&gt;"",COUNTIF($L$6:L774,L774)&gt;1),"Acompte déjà déduit sur une autre facture",IF(AND(L774&lt;&gt;"",IFERROR(INDEX(fa_client,MATCH(L774,fa_num,0)),D774)&lt;&gt;D774),"Acompte d'un autre client",IF(AND(AR774&lt;&gt;"",N(Q774)&lt;0),"Acompte supérieur au total de la facture",IF(IF(AG774="Facture",COUNTIFS(fl_doc,A774,fl_check,"&lt;&gt;OK"),IF(AG774="Devis",COUNTIFS(dl_doc,F774,dl_check,"&lt;&gt;OK"),0))&gt;0,"Ligne(s) à corriger",IF(AND(W774&lt;&gt;"",N(W774)&lt;0),"Trop-perçu : vérifiez paiements et avoirs","OK")))))))))))))))))))))</f>
        <v/>
      </c>
      <c r="AA774" s="62" t="str">
        <f>IF(COUNTA(B774:D774,F774:O774)&gt;0,IF(B774="","Facture",B774),"")</f>
        <v/>
      </c>
      <c r="AB774" s="62" t="str">
        <f>IF(AA774="","",IF(AA774="Avoir",p_pav,IF(AA774="Facture d'acompte",p_pac,p_pfa)))</f>
        <v/>
      </c>
      <c r="AC774" s="62">
        <f>IF(ISNUMBER(C774),C774,0)</f>
        <v>0.0</v>
      </c>
      <c r="AD774" s="62" t="str">
        <f>IF(OR(AA774="",AC774=0),"",YEAR(AC774))</f>
        <v/>
      </c>
      <c r="AE774" s="62" t="str">
        <f>IF(AD774="","",COUNTIFS($AB$6:AB774,AB774,$AD$6:AD774,AD774))</f>
        <v/>
      </c>
      <c r="AF774" s="62">
        <f>IF(A774="",0,COUNTIF(fl_doc,A774))</f>
        <v>0.0</v>
      </c>
      <c r="AG774" s="62" t="str">
        <f>IF(A774="","",IF(AF774&gt;0,"Facture",IF(AND(F774&lt;&gt;"",AA774="Facture",ISNUMBER(MATCH(F774,dv_num,0))),"Devis","")))</f>
        <v/>
      </c>
      <c r="AH774" s="62" t="str">
        <f>IF(AND(A774&lt;&gt;"",F774&lt;&gt;"",AA774&lt;&gt;"Avoir"),F774,"")</f>
        <v/>
      </c>
      <c r="AI774" s="62" t="str">
        <f>IF(AG774="Devis",F774,"")</f>
        <v/>
      </c>
      <c r="AJ774" s="62">
        <f>IF(AG774="Facture",SUMIF(fl_doc,A774,fl_ht),IF(AG774="Devis",SUMIF(dl_doc,F774,dl_ht),0))</f>
        <v>0.0</v>
      </c>
      <c r="AK774" s="62">
        <f>IF(OR(AG774="",INDEX(p_rates,1)=""),0,IF(AG774="Facture",SUMIFS(fl_ht,fl_doc,A774,fl_rate,INDEX(p_rates,1)),SUMIFS(dl_ht,dl_doc,F774,dl_rate,INDEX(p_rates,1))))</f>
        <v>0.0</v>
      </c>
      <c r="AL774" s="62">
        <f>IF(OR(AG774="",INDEX(p_rates,2)=""),0,IF(AG774="Facture",SUMIFS(fl_ht,fl_doc,A774,fl_rate,INDEX(p_rates,2)),SUMIFS(dl_ht,dl_doc,F774,dl_rate,INDEX(p_rates,2))))</f>
        <v>0.0</v>
      </c>
      <c r="AM774" s="62">
        <f>IF(OR(AG774="",INDEX(p_rates,3)=""),0,IF(AG774="Facture",SUMIFS(fl_ht,fl_doc,A774,fl_rate,INDEX(p_rates,3)),SUMIFS(dl_ht,dl_doc,F774,dl_rate,INDEX(p_rates,3))))</f>
        <v>0.0</v>
      </c>
      <c r="AN774" s="62">
        <f>IF(OR(AG774="",INDEX(p_rates,4)=""),0,IF(AG774="Facture",SUMIFS(fl_ht,fl_doc,A774,fl_rate,INDEX(p_rates,4)),SUMIFS(dl_ht,dl_doc,F774,dl_rate,INDEX(p_rates,4))))</f>
        <v>0.0</v>
      </c>
      <c r="AO774" s="62">
        <f>IF(OR(AG774="",INDEX(p_rates,5)=""),0,IF(AG774="Facture",SUMIFS(fl_ht,fl_doc,A774,fl_rate,INDEX(p_rates,5)),SUMIFS(dl_ht,dl_doc,F774,dl_rate,INDEX(p_rates,5))))</f>
        <v>0.0</v>
      </c>
      <c r="AP774" s="62">
        <f>IF(OR(AG774="",INDEX(p_rates,6)=""),0,IF(AG774="Facture",SUMIFS(fl_ht,fl_doc,A774,fl_rate,INDEX(p_rates,6)),SUMIFS(dl_ht,dl_doc,F774,dl_rate,INDEX(p_rates,6))))</f>
        <v>0.0</v>
      </c>
      <c r="AQ774" s="62">
        <f>ROUND(AK774*N(INDEX(p_rates,1)),2)+ROUND(AL774*N(INDEX(p_rates,2)),2)+ROUND(AM774*N(INDEX(p_rates,3)),2)+ROUND(AN774*N(INDEX(p_rates,4)),2)+ROUND(AO774*N(INDEX(p_rates,5)),2)+ROUND(AP774*N(INDEX(p_rates,6)),2)</f>
        <v>0.0</v>
      </c>
      <c r="AR774" s="62" t="str">
        <f>IF(OR(L774="",AA774&lt;&gt;"Facture"),"",IFERROR(IF(INDEX(fa_type,MATCH(L774,fa_num,0))="Facture d'acompte",MATCH(L774,fa_num,0),""),""))</f>
        <v/>
      </c>
      <c r="AS774" s="62" t="str">
        <f>IF(W774="","",IF(W774&lt;=0,"",IF(p_asof-P774&lt;=0,"Non échu",IF(p_asof-P774&lt;=30,"1-30 j",IF(p_asof-P774&lt;=60,"31-60 j",IF(p_asof-P774&lt;=90,"61-90 j","Plus de 90 j"))))))</f>
        <v/>
      </c>
      <c r="AT774" s="62" t="str">
        <f>IF(AS774="","",p_asof-P774)</f>
        <v/>
      </c>
      <c r="AU774" s="62" t="str">
        <f>IF(AT774="","",COUNTIF($AT$6:$AT$805,"&gt;"&amp;AT774)+COUNTIF($AT$6:AT774,AT774))</f>
        <v/>
      </c>
    </row>
    <row r="775">
      <c r="A775" s="59" t="str">
        <f>IF(AE775="","",AB775&amp;"-"&amp;AD775&amp;"-"&amp;RIGHT("000"&amp;AE775,4))</f>
        <v/>
      </c>
      <c r="B775" s="60" t="n"/>
      <c r="C775" s="61" t="n"/>
      <c r="D775" s="60" t="n"/>
      <c r="E775" s="62" t="str">
        <f>IF(D775="","",IFERROR(INDEX(cli_name,MATCH(D775,cli_code,0))&amp;"","Client inconnu"))</f>
        <v/>
      </c>
      <c r="F775" s="60" t="n"/>
      <c r="G775" s="63" t="n"/>
      <c r="H775" s="61" t="n"/>
      <c r="I775" s="63" t="n"/>
      <c r="J775" s="60" t="n"/>
      <c r="K775" s="61" t="n"/>
      <c r="L775" s="60" t="n"/>
      <c r="M775" s="60" t="n"/>
      <c r="N775" s="60" t="n"/>
      <c r="O775" s="61" t="n"/>
      <c r="P775" s="64" t="str">
        <f>IF(A775="","",IF(AA775="Avoir",AC775,IF(ISNUMBER(K775),K775,AC775+IF(D775="",N(p_delay),IFERROR(IF(ISNUMBER(INDEX(cli_delay,MATCH(D775,cli_code,0))),INDEX(cli_delay,MATCH(D775,cli_code,0)),N(p_delay)),N(p_delay))))))</f>
        <v/>
      </c>
      <c r="Q775" s="65" t="str">
        <f>IF(A775="","",IF(AA775="Avoir",-1,1)*ROUND(AJ775-IF(AR775="",0,INDEX(fa_htb,AR775)),2))</f>
        <v/>
      </c>
      <c r="R775" s="65" t="str">
        <f>IF(A775="","",IF(AA775="Avoir",-1,1)*ROUND(AQ775-IF(AR775="",0,INDEX(fa_tvab,AR775)),2))</f>
        <v/>
      </c>
      <c r="S775" s="65" t="str">
        <f>IF(A775="","",Q775+R775)</f>
        <v/>
      </c>
      <c r="T775" s="65" t="str">
        <f>IF(AR775="","",INDEX(fa_htb,AR775)+INDEX(fa_tvab,AR775))</f>
        <v/>
      </c>
      <c r="U775" s="65" t="str">
        <f>IF(A775="","",SUMIF(pa_inv,A775,pa_amt))</f>
        <v/>
      </c>
      <c r="V775" s="65" t="str">
        <f>IF(OR(A775="",AA775="Avoir"),"",-SUMIFS(fa_ttc,fa_avof,A775,fa_type,"Avoir"))</f>
        <v/>
      </c>
      <c r="W775" s="65" t="str">
        <f>IF(OR(A775="",AA775="Avoir"),"",ROUND(S775-U775-V775,2))</f>
        <v/>
      </c>
      <c r="X775" s="66" t="str">
        <f>IF(W775="","",IF(AND(W775&gt;0,p_asof&gt;P775),p_asof-P775,""))</f>
        <v/>
      </c>
      <c r="Y775" s="59" t="str">
        <f>IF(A775="","",IF(AA775="Avoir","Avoir",IF(W775&lt;0,"Trop-perçu",IF(W775=0,"Soldée",IF(p_asof&gt;P775,"En retard",IF(U775+V775&gt;0,"Partielle","À échoir"))))))</f>
        <v/>
      </c>
      <c r="Z775" s="59" t="str">
        <f>IF(NOT(COUNTA(B775:D775,F775:O775)&gt;0),"",IF(C775="","Date manquante",IF(NOT(ISNUMBER(C775)),"Date invalide",IF(D775="","Client manquant",IF(ISNA(MATCH(D775,cli_code,0)),"Client inconnu",IF(AC775&lt;SUMPRODUCT(MAX(($AB$6:AB774=AB775)*$AC$6:AC774)),"Date antérieure à la facture précédente",IF(AND(F775&lt;&gt;"",ISNA(MATCH(F775,dv_num,0))),"Devis inconnu",IF(AND(F775&lt;&gt;"",IFERROR(INDEX(dv_client,MATCH(F775,dv_num,0)),D775)&lt;&gt;D775),"Client différent de celui du devis",IF(AG775="","Aucune ligne : saisissez des lignes ou un devis",IF(AND(AI775&lt;&gt;"",COUNTIF($AI$6:AI775,AI775)&gt;1),"Devis déjà repris par une autre facture",IF(AND(AA775="Avoir",M775=""),"Avoir : indiquez la facture d'origine",IF(AND(AA775="Avoir",ISNA(MATCH(M775,fa_num,0))),"Facture d'origine inconnue",IF(AND(AA775&lt;&gt;"Avoir",M775&lt;&gt;""),"« Avoir sur facture » : réservé aux avoirs",IF(AND(L775&lt;&gt;"",AA775&lt;&gt;"Facture"),"Acompte à déduire : réservé aux factures",IF(AND(L775&lt;&gt;"",ISNA(MATCH(L775,fa_num,0))),"Facture d'acompte inconnue",IF(AND(L775&lt;&gt;"",IFERROR(INDEX(fa_type,MATCH(L775,fa_num,0)),"")&lt;&gt;"Facture d'acompte"),"Le n° à déduire n'est pas une facture d'acompte",IF(AND(L775&lt;&gt;"",COUNTIF($L$6:L775,L775)&gt;1),"Acompte déjà déduit sur une autre facture",IF(AND(L775&lt;&gt;"",IFERROR(INDEX(fa_client,MATCH(L775,fa_num,0)),D775)&lt;&gt;D775),"Acompte d'un autre client",IF(AND(AR775&lt;&gt;"",N(Q775)&lt;0),"Acompte supérieur au total de la facture",IF(IF(AG775="Facture",COUNTIFS(fl_doc,A775,fl_check,"&lt;&gt;OK"),IF(AG775="Devis",COUNTIFS(dl_doc,F775,dl_check,"&lt;&gt;OK"),0))&gt;0,"Ligne(s) à corriger",IF(AND(W775&lt;&gt;"",N(W775)&lt;0),"Trop-perçu : vérifiez paiements et avoirs","OK")))))))))))))))))))))</f>
        <v/>
      </c>
      <c r="AA775" s="62" t="str">
        <f>IF(COUNTA(B775:D775,F775:O775)&gt;0,IF(B775="","Facture",B775),"")</f>
        <v/>
      </c>
      <c r="AB775" s="62" t="str">
        <f>IF(AA775="","",IF(AA775="Avoir",p_pav,IF(AA775="Facture d'acompte",p_pac,p_pfa)))</f>
        <v/>
      </c>
      <c r="AC775" s="62">
        <f>IF(ISNUMBER(C775),C775,0)</f>
        <v>0.0</v>
      </c>
      <c r="AD775" s="62" t="str">
        <f>IF(OR(AA775="",AC775=0),"",YEAR(AC775))</f>
        <v/>
      </c>
      <c r="AE775" s="62" t="str">
        <f>IF(AD775="","",COUNTIFS($AB$6:AB775,AB775,$AD$6:AD775,AD775))</f>
        <v/>
      </c>
      <c r="AF775" s="62">
        <f>IF(A775="",0,COUNTIF(fl_doc,A775))</f>
        <v>0.0</v>
      </c>
      <c r="AG775" s="62" t="str">
        <f>IF(A775="","",IF(AF775&gt;0,"Facture",IF(AND(F775&lt;&gt;"",AA775="Facture",ISNUMBER(MATCH(F775,dv_num,0))),"Devis","")))</f>
        <v/>
      </c>
      <c r="AH775" s="62" t="str">
        <f>IF(AND(A775&lt;&gt;"",F775&lt;&gt;"",AA775&lt;&gt;"Avoir"),F775,"")</f>
        <v/>
      </c>
      <c r="AI775" s="62" t="str">
        <f>IF(AG775="Devis",F775,"")</f>
        <v/>
      </c>
      <c r="AJ775" s="62">
        <f>IF(AG775="Facture",SUMIF(fl_doc,A775,fl_ht),IF(AG775="Devis",SUMIF(dl_doc,F775,dl_ht),0))</f>
        <v>0.0</v>
      </c>
      <c r="AK775" s="62">
        <f>IF(OR(AG775="",INDEX(p_rates,1)=""),0,IF(AG775="Facture",SUMIFS(fl_ht,fl_doc,A775,fl_rate,INDEX(p_rates,1)),SUMIFS(dl_ht,dl_doc,F775,dl_rate,INDEX(p_rates,1))))</f>
        <v>0.0</v>
      </c>
      <c r="AL775" s="62">
        <f>IF(OR(AG775="",INDEX(p_rates,2)=""),0,IF(AG775="Facture",SUMIFS(fl_ht,fl_doc,A775,fl_rate,INDEX(p_rates,2)),SUMIFS(dl_ht,dl_doc,F775,dl_rate,INDEX(p_rates,2))))</f>
        <v>0.0</v>
      </c>
      <c r="AM775" s="62">
        <f>IF(OR(AG775="",INDEX(p_rates,3)=""),0,IF(AG775="Facture",SUMIFS(fl_ht,fl_doc,A775,fl_rate,INDEX(p_rates,3)),SUMIFS(dl_ht,dl_doc,F775,dl_rate,INDEX(p_rates,3))))</f>
        <v>0.0</v>
      </c>
      <c r="AN775" s="62">
        <f>IF(OR(AG775="",INDEX(p_rates,4)=""),0,IF(AG775="Facture",SUMIFS(fl_ht,fl_doc,A775,fl_rate,INDEX(p_rates,4)),SUMIFS(dl_ht,dl_doc,F775,dl_rate,INDEX(p_rates,4))))</f>
        <v>0.0</v>
      </c>
      <c r="AO775" s="62">
        <f>IF(OR(AG775="",INDEX(p_rates,5)=""),0,IF(AG775="Facture",SUMIFS(fl_ht,fl_doc,A775,fl_rate,INDEX(p_rates,5)),SUMIFS(dl_ht,dl_doc,F775,dl_rate,INDEX(p_rates,5))))</f>
        <v>0.0</v>
      </c>
      <c r="AP775" s="62">
        <f>IF(OR(AG775="",INDEX(p_rates,6)=""),0,IF(AG775="Facture",SUMIFS(fl_ht,fl_doc,A775,fl_rate,INDEX(p_rates,6)),SUMIFS(dl_ht,dl_doc,F775,dl_rate,INDEX(p_rates,6))))</f>
        <v>0.0</v>
      </c>
      <c r="AQ775" s="62">
        <f>ROUND(AK775*N(INDEX(p_rates,1)),2)+ROUND(AL775*N(INDEX(p_rates,2)),2)+ROUND(AM775*N(INDEX(p_rates,3)),2)+ROUND(AN775*N(INDEX(p_rates,4)),2)+ROUND(AO775*N(INDEX(p_rates,5)),2)+ROUND(AP775*N(INDEX(p_rates,6)),2)</f>
        <v>0.0</v>
      </c>
      <c r="AR775" s="62" t="str">
        <f>IF(OR(L775="",AA775&lt;&gt;"Facture"),"",IFERROR(IF(INDEX(fa_type,MATCH(L775,fa_num,0))="Facture d'acompte",MATCH(L775,fa_num,0),""),""))</f>
        <v/>
      </c>
      <c r="AS775" s="62" t="str">
        <f>IF(W775="","",IF(W775&lt;=0,"",IF(p_asof-P775&lt;=0,"Non échu",IF(p_asof-P775&lt;=30,"1-30 j",IF(p_asof-P775&lt;=60,"31-60 j",IF(p_asof-P775&lt;=90,"61-90 j","Plus de 90 j"))))))</f>
        <v/>
      </c>
      <c r="AT775" s="62" t="str">
        <f>IF(AS775="","",p_asof-P775)</f>
        <v/>
      </c>
      <c r="AU775" s="62" t="str">
        <f>IF(AT775="","",COUNTIF($AT$6:$AT$805,"&gt;"&amp;AT775)+COUNTIF($AT$6:AT775,AT775))</f>
        <v/>
      </c>
    </row>
    <row r="776">
      <c r="A776" s="59" t="str">
        <f>IF(AE776="","",AB776&amp;"-"&amp;AD776&amp;"-"&amp;RIGHT("000"&amp;AE776,4))</f>
        <v/>
      </c>
      <c r="B776" s="60" t="n"/>
      <c r="C776" s="61" t="n"/>
      <c r="D776" s="60" t="n"/>
      <c r="E776" s="62" t="str">
        <f>IF(D776="","",IFERROR(INDEX(cli_name,MATCH(D776,cli_code,0))&amp;"","Client inconnu"))</f>
        <v/>
      </c>
      <c r="F776" s="60" t="n"/>
      <c r="G776" s="63" t="n"/>
      <c r="H776" s="61" t="n"/>
      <c r="I776" s="63" t="n"/>
      <c r="J776" s="60" t="n"/>
      <c r="K776" s="61" t="n"/>
      <c r="L776" s="60" t="n"/>
      <c r="M776" s="60" t="n"/>
      <c r="N776" s="60" t="n"/>
      <c r="O776" s="61" t="n"/>
      <c r="P776" s="64" t="str">
        <f>IF(A776="","",IF(AA776="Avoir",AC776,IF(ISNUMBER(K776),K776,AC776+IF(D776="",N(p_delay),IFERROR(IF(ISNUMBER(INDEX(cli_delay,MATCH(D776,cli_code,0))),INDEX(cli_delay,MATCH(D776,cli_code,0)),N(p_delay)),N(p_delay))))))</f>
        <v/>
      </c>
      <c r="Q776" s="65" t="str">
        <f>IF(A776="","",IF(AA776="Avoir",-1,1)*ROUND(AJ776-IF(AR776="",0,INDEX(fa_htb,AR776)),2))</f>
        <v/>
      </c>
      <c r="R776" s="65" t="str">
        <f>IF(A776="","",IF(AA776="Avoir",-1,1)*ROUND(AQ776-IF(AR776="",0,INDEX(fa_tvab,AR776)),2))</f>
        <v/>
      </c>
      <c r="S776" s="65" t="str">
        <f>IF(A776="","",Q776+R776)</f>
        <v/>
      </c>
      <c r="T776" s="65" t="str">
        <f>IF(AR776="","",INDEX(fa_htb,AR776)+INDEX(fa_tvab,AR776))</f>
        <v/>
      </c>
      <c r="U776" s="65" t="str">
        <f>IF(A776="","",SUMIF(pa_inv,A776,pa_amt))</f>
        <v/>
      </c>
      <c r="V776" s="65" t="str">
        <f>IF(OR(A776="",AA776="Avoir"),"",-SUMIFS(fa_ttc,fa_avof,A776,fa_type,"Avoir"))</f>
        <v/>
      </c>
      <c r="W776" s="65" t="str">
        <f>IF(OR(A776="",AA776="Avoir"),"",ROUND(S776-U776-V776,2))</f>
        <v/>
      </c>
      <c r="X776" s="66" t="str">
        <f>IF(W776="","",IF(AND(W776&gt;0,p_asof&gt;P776),p_asof-P776,""))</f>
        <v/>
      </c>
      <c r="Y776" s="59" t="str">
        <f>IF(A776="","",IF(AA776="Avoir","Avoir",IF(W776&lt;0,"Trop-perçu",IF(W776=0,"Soldée",IF(p_asof&gt;P776,"En retard",IF(U776+V776&gt;0,"Partielle","À échoir"))))))</f>
        <v/>
      </c>
      <c r="Z776" s="59" t="str">
        <f>IF(NOT(COUNTA(B776:D776,F776:O776)&gt;0),"",IF(C776="","Date manquante",IF(NOT(ISNUMBER(C776)),"Date invalide",IF(D776="","Client manquant",IF(ISNA(MATCH(D776,cli_code,0)),"Client inconnu",IF(AC776&lt;SUMPRODUCT(MAX(($AB$6:AB775=AB776)*$AC$6:AC775)),"Date antérieure à la facture précédente",IF(AND(F776&lt;&gt;"",ISNA(MATCH(F776,dv_num,0))),"Devis inconnu",IF(AND(F776&lt;&gt;"",IFERROR(INDEX(dv_client,MATCH(F776,dv_num,0)),D776)&lt;&gt;D776),"Client différent de celui du devis",IF(AG776="","Aucune ligne : saisissez des lignes ou un devis",IF(AND(AI776&lt;&gt;"",COUNTIF($AI$6:AI776,AI776)&gt;1),"Devis déjà repris par une autre facture",IF(AND(AA776="Avoir",M776=""),"Avoir : indiquez la facture d'origine",IF(AND(AA776="Avoir",ISNA(MATCH(M776,fa_num,0))),"Facture d'origine inconnue",IF(AND(AA776&lt;&gt;"Avoir",M776&lt;&gt;""),"« Avoir sur facture » : réservé aux avoirs",IF(AND(L776&lt;&gt;"",AA776&lt;&gt;"Facture"),"Acompte à déduire : réservé aux factures",IF(AND(L776&lt;&gt;"",ISNA(MATCH(L776,fa_num,0))),"Facture d'acompte inconnue",IF(AND(L776&lt;&gt;"",IFERROR(INDEX(fa_type,MATCH(L776,fa_num,0)),"")&lt;&gt;"Facture d'acompte"),"Le n° à déduire n'est pas une facture d'acompte",IF(AND(L776&lt;&gt;"",COUNTIF($L$6:L776,L776)&gt;1),"Acompte déjà déduit sur une autre facture",IF(AND(L776&lt;&gt;"",IFERROR(INDEX(fa_client,MATCH(L776,fa_num,0)),D776)&lt;&gt;D776),"Acompte d'un autre client",IF(AND(AR776&lt;&gt;"",N(Q776)&lt;0),"Acompte supérieur au total de la facture",IF(IF(AG776="Facture",COUNTIFS(fl_doc,A776,fl_check,"&lt;&gt;OK"),IF(AG776="Devis",COUNTIFS(dl_doc,F776,dl_check,"&lt;&gt;OK"),0))&gt;0,"Ligne(s) à corriger",IF(AND(W776&lt;&gt;"",N(W776)&lt;0),"Trop-perçu : vérifiez paiements et avoirs","OK")))))))))))))))))))))</f>
        <v/>
      </c>
      <c r="AA776" s="62" t="str">
        <f>IF(COUNTA(B776:D776,F776:O776)&gt;0,IF(B776="","Facture",B776),"")</f>
        <v/>
      </c>
      <c r="AB776" s="62" t="str">
        <f>IF(AA776="","",IF(AA776="Avoir",p_pav,IF(AA776="Facture d'acompte",p_pac,p_pfa)))</f>
        <v/>
      </c>
      <c r="AC776" s="62">
        <f>IF(ISNUMBER(C776),C776,0)</f>
        <v>0.0</v>
      </c>
      <c r="AD776" s="62" t="str">
        <f>IF(OR(AA776="",AC776=0),"",YEAR(AC776))</f>
        <v/>
      </c>
      <c r="AE776" s="62" t="str">
        <f>IF(AD776="","",COUNTIFS($AB$6:AB776,AB776,$AD$6:AD776,AD776))</f>
        <v/>
      </c>
      <c r="AF776" s="62">
        <f>IF(A776="",0,COUNTIF(fl_doc,A776))</f>
        <v>0.0</v>
      </c>
      <c r="AG776" s="62" t="str">
        <f>IF(A776="","",IF(AF776&gt;0,"Facture",IF(AND(F776&lt;&gt;"",AA776="Facture",ISNUMBER(MATCH(F776,dv_num,0))),"Devis","")))</f>
        <v/>
      </c>
      <c r="AH776" s="62" t="str">
        <f>IF(AND(A776&lt;&gt;"",F776&lt;&gt;"",AA776&lt;&gt;"Avoir"),F776,"")</f>
        <v/>
      </c>
      <c r="AI776" s="62" t="str">
        <f>IF(AG776="Devis",F776,"")</f>
        <v/>
      </c>
      <c r="AJ776" s="62">
        <f>IF(AG776="Facture",SUMIF(fl_doc,A776,fl_ht),IF(AG776="Devis",SUMIF(dl_doc,F776,dl_ht),0))</f>
        <v>0.0</v>
      </c>
      <c r="AK776" s="62">
        <f>IF(OR(AG776="",INDEX(p_rates,1)=""),0,IF(AG776="Facture",SUMIFS(fl_ht,fl_doc,A776,fl_rate,INDEX(p_rates,1)),SUMIFS(dl_ht,dl_doc,F776,dl_rate,INDEX(p_rates,1))))</f>
        <v>0.0</v>
      </c>
      <c r="AL776" s="62">
        <f>IF(OR(AG776="",INDEX(p_rates,2)=""),0,IF(AG776="Facture",SUMIFS(fl_ht,fl_doc,A776,fl_rate,INDEX(p_rates,2)),SUMIFS(dl_ht,dl_doc,F776,dl_rate,INDEX(p_rates,2))))</f>
        <v>0.0</v>
      </c>
      <c r="AM776" s="62">
        <f>IF(OR(AG776="",INDEX(p_rates,3)=""),0,IF(AG776="Facture",SUMIFS(fl_ht,fl_doc,A776,fl_rate,INDEX(p_rates,3)),SUMIFS(dl_ht,dl_doc,F776,dl_rate,INDEX(p_rates,3))))</f>
        <v>0.0</v>
      </c>
      <c r="AN776" s="62">
        <f>IF(OR(AG776="",INDEX(p_rates,4)=""),0,IF(AG776="Facture",SUMIFS(fl_ht,fl_doc,A776,fl_rate,INDEX(p_rates,4)),SUMIFS(dl_ht,dl_doc,F776,dl_rate,INDEX(p_rates,4))))</f>
        <v>0.0</v>
      </c>
      <c r="AO776" s="62">
        <f>IF(OR(AG776="",INDEX(p_rates,5)=""),0,IF(AG776="Facture",SUMIFS(fl_ht,fl_doc,A776,fl_rate,INDEX(p_rates,5)),SUMIFS(dl_ht,dl_doc,F776,dl_rate,INDEX(p_rates,5))))</f>
        <v>0.0</v>
      </c>
      <c r="AP776" s="62">
        <f>IF(OR(AG776="",INDEX(p_rates,6)=""),0,IF(AG776="Facture",SUMIFS(fl_ht,fl_doc,A776,fl_rate,INDEX(p_rates,6)),SUMIFS(dl_ht,dl_doc,F776,dl_rate,INDEX(p_rates,6))))</f>
        <v>0.0</v>
      </c>
      <c r="AQ776" s="62">
        <f>ROUND(AK776*N(INDEX(p_rates,1)),2)+ROUND(AL776*N(INDEX(p_rates,2)),2)+ROUND(AM776*N(INDEX(p_rates,3)),2)+ROUND(AN776*N(INDEX(p_rates,4)),2)+ROUND(AO776*N(INDEX(p_rates,5)),2)+ROUND(AP776*N(INDEX(p_rates,6)),2)</f>
        <v>0.0</v>
      </c>
      <c r="AR776" s="62" t="str">
        <f>IF(OR(L776="",AA776&lt;&gt;"Facture"),"",IFERROR(IF(INDEX(fa_type,MATCH(L776,fa_num,0))="Facture d'acompte",MATCH(L776,fa_num,0),""),""))</f>
        <v/>
      </c>
      <c r="AS776" s="62" t="str">
        <f>IF(W776="","",IF(W776&lt;=0,"",IF(p_asof-P776&lt;=0,"Non échu",IF(p_asof-P776&lt;=30,"1-30 j",IF(p_asof-P776&lt;=60,"31-60 j",IF(p_asof-P776&lt;=90,"61-90 j","Plus de 90 j"))))))</f>
        <v/>
      </c>
      <c r="AT776" s="62" t="str">
        <f>IF(AS776="","",p_asof-P776)</f>
        <v/>
      </c>
      <c r="AU776" s="62" t="str">
        <f>IF(AT776="","",COUNTIF($AT$6:$AT$805,"&gt;"&amp;AT776)+COUNTIF($AT$6:AT776,AT776))</f>
        <v/>
      </c>
    </row>
    <row r="777">
      <c r="A777" s="59" t="str">
        <f>IF(AE777="","",AB777&amp;"-"&amp;AD777&amp;"-"&amp;RIGHT("000"&amp;AE777,4))</f>
        <v/>
      </c>
      <c r="B777" s="60" t="n"/>
      <c r="C777" s="61" t="n"/>
      <c r="D777" s="60" t="n"/>
      <c r="E777" s="62" t="str">
        <f>IF(D777="","",IFERROR(INDEX(cli_name,MATCH(D777,cli_code,0))&amp;"","Client inconnu"))</f>
        <v/>
      </c>
      <c r="F777" s="60" t="n"/>
      <c r="G777" s="63" t="n"/>
      <c r="H777" s="61" t="n"/>
      <c r="I777" s="63" t="n"/>
      <c r="J777" s="60" t="n"/>
      <c r="K777" s="61" t="n"/>
      <c r="L777" s="60" t="n"/>
      <c r="M777" s="60" t="n"/>
      <c r="N777" s="60" t="n"/>
      <c r="O777" s="61" t="n"/>
      <c r="P777" s="64" t="str">
        <f>IF(A777="","",IF(AA777="Avoir",AC777,IF(ISNUMBER(K777),K777,AC777+IF(D777="",N(p_delay),IFERROR(IF(ISNUMBER(INDEX(cli_delay,MATCH(D777,cli_code,0))),INDEX(cli_delay,MATCH(D777,cli_code,0)),N(p_delay)),N(p_delay))))))</f>
        <v/>
      </c>
      <c r="Q777" s="65" t="str">
        <f>IF(A777="","",IF(AA777="Avoir",-1,1)*ROUND(AJ777-IF(AR777="",0,INDEX(fa_htb,AR777)),2))</f>
        <v/>
      </c>
      <c r="R777" s="65" t="str">
        <f>IF(A777="","",IF(AA777="Avoir",-1,1)*ROUND(AQ777-IF(AR777="",0,INDEX(fa_tvab,AR777)),2))</f>
        <v/>
      </c>
      <c r="S777" s="65" t="str">
        <f>IF(A777="","",Q777+R777)</f>
        <v/>
      </c>
      <c r="T777" s="65" t="str">
        <f>IF(AR777="","",INDEX(fa_htb,AR777)+INDEX(fa_tvab,AR777))</f>
        <v/>
      </c>
      <c r="U777" s="65" t="str">
        <f>IF(A777="","",SUMIF(pa_inv,A777,pa_amt))</f>
        <v/>
      </c>
      <c r="V777" s="65" t="str">
        <f>IF(OR(A777="",AA777="Avoir"),"",-SUMIFS(fa_ttc,fa_avof,A777,fa_type,"Avoir"))</f>
        <v/>
      </c>
      <c r="W777" s="65" t="str">
        <f>IF(OR(A777="",AA777="Avoir"),"",ROUND(S777-U777-V777,2))</f>
        <v/>
      </c>
      <c r="X777" s="66" t="str">
        <f>IF(W777="","",IF(AND(W777&gt;0,p_asof&gt;P777),p_asof-P777,""))</f>
        <v/>
      </c>
      <c r="Y777" s="59" t="str">
        <f>IF(A777="","",IF(AA777="Avoir","Avoir",IF(W777&lt;0,"Trop-perçu",IF(W777=0,"Soldée",IF(p_asof&gt;P777,"En retard",IF(U777+V777&gt;0,"Partielle","À échoir"))))))</f>
        <v/>
      </c>
      <c r="Z777" s="59" t="str">
        <f>IF(NOT(COUNTA(B777:D777,F777:O777)&gt;0),"",IF(C777="","Date manquante",IF(NOT(ISNUMBER(C777)),"Date invalide",IF(D777="","Client manquant",IF(ISNA(MATCH(D777,cli_code,0)),"Client inconnu",IF(AC777&lt;SUMPRODUCT(MAX(($AB$6:AB776=AB777)*$AC$6:AC776)),"Date antérieure à la facture précédente",IF(AND(F777&lt;&gt;"",ISNA(MATCH(F777,dv_num,0))),"Devis inconnu",IF(AND(F777&lt;&gt;"",IFERROR(INDEX(dv_client,MATCH(F777,dv_num,0)),D777)&lt;&gt;D777),"Client différent de celui du devis",IF(AG777="","Aucune ligne : saisissez des lignes ou un devis",IF(AND(AI777&lt;&gt;"",COUNTIF($AI$6:AI777,AI777)&gt;1),"Devis déjà repris par une autre facture",IF(AND(AA777="Avoir",M777=""),"Avoir : indiquez la facture d'origine",IF(AND(AA777="Avoir",ISNA(MATCH(M777,fa_num,0))),"Facture d'origine inconnue",IF(AND(AA777&lt;&gt;"Avoir",M777&lt;&gt;""),"« Avoir sur facture » : réservé aux avoirs",IF(AND(L777&lt;&gt;"",AA777&lt;&gt;"Facture"),"Acompte à déduire : réservé aux factures",IF(AND(L777&lt;&gt;"",ISNA(MATCH(L777,fa_num,0))),"Facture d'acompte inconnue",IF(AND(L777&lt;&gt;"",IFERROR(INDEX(fa_type,MATCH(L777,fa_num,0)),"")&lt;&gt;"Facture d'acompte"),"Le n° à déduire n'est pas une facture d'acompte",IF(AND(L777&lt;&gt;"",COUNTIF($L$6:L777,L777)&gt;1),"Acompte déjà déduit sur une autre facture",IF(AND(L777&lt;&gt;"",IFERROR(INDEX(fa_client,MATCH(L777,fa_num,0)),D777)&lt;&gt;D777),"Acompte d'un autre client",IF(AND(AR777&lt;&gt;"",N(Q777)&lt;0),"Acompte supérieur au total de la facture",IF(IF(AG777="Facture",COUNTIFS(fl_doc,A777,fl_check,"&lt;&gt;OK"),IF(AG777="Devis",COUNTIFS(dl_doc,F777,dl_check,"&lt;&gt;OK"),0))&gt;0,"Ligne(s) à corriger",IF(AND(W777&lt;&gt;"",N(W777)&lt;0),"Trop-perçu : vérifiez paiements et avoirs","OK")))))))))))))))))))))</f>
        <v/>
      </c>
      <c r="AA777" s="62" t="str">
        <f>IF(COUNTA(B777:D777,F777:O777)&gt;0,IF(B777="","Facture",B777),"")</f>
        <v/>
      </c>
      <c r="AB777" s="62" t="str">
        <f>IF(AA777="","",IF(AA777="Avoir",p_pav,IF(AA777="Facture d'acompte",p_pac,p_pfa)))</f>
        <v/>
      </c>
      <c r="AC777" s="62">
        <f>IF(ISNUMBER(C777),C777,0)</f>
        <v>0.0</v>
      </c>
      <c r="AD777" s="62" t="str">
        <f>IF(OR(AA777="",AC777=0),"",YEAR(AC777))</f>
        <v/>
      </c>
      <c r="AE777" s="62" t="str">
        <f>IF(AD777="","",COUNTIFS($AB$6:AB777,AB777,$AD$6:AD777,AD777))</f>
        <v/>
      </c>
      <c r="AF777" s="62">
        <f>IF(A777="",0,COUNTIF(fl_doc,A777))</f>
        <v>0.0</v>
      </c>
      <c r="AG777" s="62" t="str">
        <f>IF(A777="","",IF(AF777&gt;0,"Facture",IF(AND(F777&lt;&gt;"",AA777="Facture",ISNUMBER(MATCH(F777,dv_num,0))),"Devis","")))</f>
        <v/>
      </c>
      <c r="AH777" s="62" t="str">
        <f>IF(AND(A777&lt;&gt;"",F777&lt;&gt;"",AA777&lt;&gt;"Avoir"),F777,"")</f>
        <v/>
      </c>
      <c r="AI777" s="62" t="str">
        <f>IF(AG777="Devis",F777,"")</f>
        <v/>
      </c>
      <c r="AJ777" s="62">
        <f>IF(AG777="Facture",SUMIF(fl_doc,A777,fl_ht),IF(AG777="Devis",SUMIF(dl_doc,F777,dl_ht),0))</f>
        <v>0.0</v>
      </c>
      <c r="AK777" s="62">
        <f>IF(OR(AG777="",INDEX(p_rates,1)=""),0,IF(AG777="Facture",SUMIFS(fl_ht,fl_doc,A777,fl_rate,INDEX(p_rates,1)),SUMIFS(dl_ht,dl_doc,F777,dl_rate,INDEX(p_rates,1))))</f>
        <v>0.0</v>
      </c>
      <c r="AL777" s="62">
        <f>IF(OR(AG777="",INDEX(p_rates,2)=""),0,IF(AG777="Facture",SUMIFS(fl_ht,fl_doc,A777,fl_rate,INDEX(p_rates,2)),SUMIFS(dl_ht,dl_doc,F777,dl_rate,INDEX(p_rates,2))))</f>
        <v>0.0</v>
      </c>
      <c r="AM777" s="62">
        <f>IF(OR(AG777="",INDEX(p_rates,3)=""),0,IF(AG777="Facture",SUMIFS(fl_ht,fl_doc,A777,fl_rate,INDEX(p_rates,3)),SUMIFS(dl_ht,dl_doc,F777,dl_rate,INDEX(p_rates,3))))</f>
        <v>0.0</v>
      </c>
      <c r="AN777" s="62">
        <f>IF(OR(AG777="",INDEX(p_rates,4)=""),0,IF(AG777="Facture",SUMIFS(fl_ht,fl_doc,A777,fl_rate,INDEX(p_rates,4)),SUMIFS(dl_ht,dl_doc,F777,dl_rate,INDEX(p_rates,4))))</f>
        <v>0.0</v>
      </c>
      <c r="AO777" s="62">
        <f>IF(OR(AG777="",INDEX(p_rates,5)=""),0,IF(AG777="Facture",SUMIFS(fl_ht,fl_doc,A777,fl_rate,INDEX(p_rates,5)),SUMIFS(dl_ht,dl_doc,F777,dl_rate,INDEX(p_rates,5))))</f>
        <v>0.0</v>
      </c>
      <c r="AP777" s="62">
        <f>IF(OR(AG777="",INDEX(p_rates,6)=""),0,IF(AG777="Facture",SUMIFS(fl_ht,fl_doc,A777,fl_rate,INDEX(p_rates,6)),SUMIFS(dl_ht,dl_doc,F777,dl_rate,INDEX(p_rates,6))))</f>
        <v>0.0</v>
      </c>
      <c r="AQ777" s="62">
        <f>ROUND(AK777*N(INDEX(p_rates,1)),2)+ROUND(AL777*N(INDEX(p_rates,2)),2)+ROUND(AM777*N(INDEX(p_rates,3)),2)+ROUND(AN777*N(INDEX(p_rates,4)),2)+ROUND(AO777*N(INDEX(p_rates,5)),2)+ROUND(AP777*N(INDEX(p_rates,6)),2)</f>
        <v>0.0</v>
      </c>
      <c r="AR777" s="62" t="str">
        <f>IF(OR(L777="",AA777&lt;&gt;"Facture"),"",IFERROR(IF(INDEX(fa_type,MATCH(L777,fa_num,0))="Facture d'acompte",MATCH(L777,fa_num,0),""),""))</f>
        <v/>
      </c>
      <c r="AS777" s="62" t="str">
        <f>IF(W777="","",IF(W777&lt;=0,"",IF(p_asof-P777&lt;=0,"Non échu",IF(p_asof-P777&lt;=30,"1-30 j",IF(p_asof-P777&lt;=60,"31-60 j",IF(p_asof-P777&lt;=90,"61-90 j","Plus de 90 j"))))))</f>
        <v/>
      </c>
      <c r="AT777" s="62" t="str">
        <f>IF(AS777="","",p_asof-P777)</f>
        <v/>
      </c>
      <c r="AU777" s="62" t="str">
        <f>IF(AT777="","",COUNTIF($AT$6:$AT$805,"&gt;"&amp;AT777)+COUNTIF($AT$6:AT777,AT777))</f>
        <v/>
      </c>
    </row>
    <row r="778">
      <c r="A778" s="59" t="str">
        <f>IF(AE778="","",AB778&amp;"-"&amp;AD778&amp;"-"&amp;RIGHT("000"&amp;AE778,4))</f>
        <v/>
      </c>
      <c r="B778" s="60" t="n"/>
      <c r="C778" s="61" t="n"/>
      <c r="D778" s="60" t="n"/>
      <c r="E778" s="62" t="str">
        <f>IF(D778="","",IFERROR(INDEX(cli_name,MATCH(D778,cli_code,0))&amp;"","Client inconnu"))</f>
        <v/>
      </c>
      <c r="F778" s="60" t="n"/>
      <c r="G778" s="63" t="n"/>
      <c r="H778" s="61" t="n"/>
      <c r="I778" s="63" t="n"/>
      <c r="J778" s="60" t="n"/>
      <c r="K778" s="61" t="n"/>
      <c r="L778" s="60" t="n"/>
      <c r="M778" s="60" t="n"/>
      <c r="N778" s="60" t="n"/>
      <c r="O778" s="61" t="n"/>
      <c r="P778" s="64" t="str">
        <f>IF(A778="","",IF(AA778="Avoir",AC778,IF(ISNUMBER(K778),K778,AC778+IF(D778="",N(p_delay),IFERROR(IF(ISNUMBER(INDEX(cli_delay,MATCH(D778,cli_code,0))),INDEX(cli_delay,MATCH(D778,cli_code,0)),N(p_delay)),N(p_delay))))))</f>
        <v/>
      </c>
      <c r="Q778" s="65" t="str">
        <f>IF(A778="","",IF(AA778="Avoir",-1,1)*ROUND(AJ778-IF(AR778="",0,INDEX(fa_htb,AR778)),2))</f>
        <v/>
      </c>
      <c r="R778" s="65" t="str">
        <f>IF(A778="","",IF(AA778="Avoir",-1,1)*ROUND(AQ778-IF(AR778="",0,INDEX(fa_tvab,AR778)),2))</f>
        <v/>
      </c>
      <c r="S778" s="65" t="str">
        <f>IF(A778="","",Q778+R778)</f>
        <v/>
      </c>
      <c r="T778" s="65" t="str">
        <f>IF(AR778="","",INDEX(fa_htb,AR778)+INDEX(fa_tvab,AR778))</f>
        <v/>
      </c>
      <c r="U778" s="65" t="str">
        <f>IF(A778="","",SUMIF(pa_inv,A778,pa_amt))</f>
        <v/>
      </c>
      <c r="V778" s="65" t="str">
        <f>IF(OR(A778="",AA778="Avoir"),"",-SUMIFS(fa_ttc,fa_avof,A778,fa_type,"Avoir"))</f>
        <v/>
      </c>
      <c r="W778" s="65" t="str">
        <f>IF(OR(A778="",AA778="Avoir"),"",ROUND(S778-U778-V778,2))</f>
        <v/>
      </c>
      <c r="X778" s="66" t="str">
        <f>IF(W778="","",IF(AND(W778&gt;0,p_asof&gt;P778),p_asof-P778,""))</f>
        <v/>
      </c>
      <c r="Y778" s="59" t="str">
        <f>IF(A778="","",IF(AA778="Avoir","Avoir",IF(W778&lt;0,"Trop-perçu",IF(W778=0,"Soldée",IF(p_asof&gt;P778,"En retard",IF(U778+V778&gt;0,"Partielle","À échoir"))))))</f>
        <v/>
      </c>
      <c r="Z778" s="59" t="str">
        <f>IF(NOT(COUNTA(B778:D778,F778:O778)&gt;0),"",IF(C778="","Date manquante",IF(NOT(ISNUMBER(C778)),"Date invalide",IF(D778="","Client manquant",IF(ISNA(MATCH(D778,cli_code,0)),"Client inconnu",IF(AC778&lt;SUMPRODUCT(MAX(($AB$6:AB777=AB778)*$AC$6:AC777)),"Date antérieure à la facture précédente",IF(AND(F778&lt;&gt;"",ISNA(MATCH(F778,dv_num,0))),"Devis inconnu",IF(AND(F778&lt;&gt;"",IFERROR(INDEX(dv_client,MATCH(F778,dv_num,0)),D778)&lt;&gt;D778),"Client différent de celui du devis",IF(AG778="","Aucune ligne : saisissez des lignes ou un devis",IF(AND(AI778&lt;&gt;"",COUNTIF($AI$6:AI778,AI778)&gt;1),"Devis déjà repris par une autre facture",IF(AND(AA778="Avoir",M778=""),"Avoir : indiquez la facture d'origine",IF(AND(AA778="Avoir",ISNA(MATCH(M778,fa_num,0))),"Facture d'origine inconnue",IF(AND(AA778&lt;&gt;"Avoir",M778&lt;&gt;""),"« Avoir sur facture » : réservé aux avoirs",IF(AND(L778&lt;&gt;"",AA778&lt;&gt;"Facture"),"Acompte à déduire : réservé aux factures",IF(AND(L778&lt;&gt;"",ISNA(MATCH(L778,fa_num,0))),"Facture d'acompte inconnue",IF(AND(L778&lt;&gt;"",IFERROR(INDEX(fa_type,MATCH(L778,fa_num,0)),"")&lt;&gt;"Facture d'acompte"),"Le n° à déduire n'est pas une facture d'acompte",IF(AND(L778&lt;&gt;"",COUNTIF($L$6:L778,L778)&gt;1),"Acompte déjà déduit sur une autre facture",IF(AND(L778&lt;&gt;"",IFERROR(INDEX(fa_client,MATCH(L778,fa_num,0)),D778)&lt;&gt;D778),"Acompte d'un autre client",IF(AND(AR778&lt;&gt;"",N(Q778)&lt;0),"Acompte supérieur au total de la facture",IF(IF(AG778="Facture",COUNTIFS(fl_doc,A778,fl_check,"&lt;&gt;OK"),IF(AG778="Devis",COUNTIFS(dl_doc,F778,dl_check,"&lt;&gt;OK"),0))&gt;0,"Ligne(s) à corriger",IF(AND(W778&lt;&gt;"",N(W778)&lt;0),"Trop-perçu : vérifiez paiements et avoirs","OK")))))))))))))))))))))</f>
        <v/>
      </c>
      <c r="AA778" s="62" t="str">
        <f>IF(COUNTA(B778:D778,F778:O778)&gt;0,IF(B778="","Facture",B778),"")</f>
        <v/>
      </c>
      <c r="AB778" s="62" t="str">
        <f>IF(AA778="","",IF(AA778="Avoir",p_pav,IF(AA778="Facture d'acompte",p_pac,p_pfa)))</f>
        <v/>
      </c>
      <c r="AC778" s="62">
        <f>IF(ISNUMBER(C778),C778,0)</f>
        <v>0.0</v>
      </c>
      <c r="AD778" s="62" t="str">
        <f>IF(OR(AA778="",AC778=0),"",YEAR(AC778))</f>
        <v/>
      </c>
      <c r="AE778" s="62" t="str">
        <f>IF(AD778="","",COUNTIFS($AB$6:AB778,AB778,$AD$6:AD778,AD778))</f>
        <v/>
      </c>
      <c r="AF778" s="62">
        <f>IF(A778="",0,COUNTIF(fl_doc,A778))</f>
        <v>0.0</v>
      </c>
      <c r="AG778" s="62" t="str">
        <f>IF(A778="","",IF(AF778&gt;0,"Facture",IF(AND(F778&lt;&gt;"",AA778="Facture",ISNUMBER(MATCH(F778,dv_num,0))),"Devis","")))</f>
        <v/>
      </c>
      <c r="AH778" s="62" t="str">
        <f>IF(AND(A778&lt;&gt;"",F778&lt;&gt;"",AA778&lt;&gt;"Avoir"),F778,"")</f>
        <v/>
      </c>
      <c r="AI778" s="62" t="str">
        <f>IF(AG778="Devis",F778,"")</f>
        <v/>
      </c>
      <c r="AJ778" s="62">
        <f>IF(AG778="Facture",SUMIF(fl_doc,A778,fl_ht),IF(AG778="Devis",SUMIF(dl_doc,F778,dl_ht),0))</f>
        <v>0.0</v>
      </c>
      <c r="AK778" s="62">
        <f>IF(OR(AG778="",INDEX(p_rates,1)=""),0,IF(AG778="Facture",SUMIFS(fl_ht,fl_doc,A778,fl_rate,INDEX(p_rates,1)),SUMIFS(dl_ht,dl_doc,F778,dl_rate,INDEX(p_rates,1))))</f>
        <v>0.0</v>
      </c>
      <c r="AL778" s="62">
        <f>IF(OR(AG778="",INDEX(p_rates,2)=""),0,IF(AG778="Facture",SUMIFS(fl_ht,fl_doc,A778,fl_rate,INDEX(p_rates,2)),SUMIFS(dl_ht,dl_doc,F778,dl_rate,INDEX(p_rates,2))))</f>
        <v>0.0</v>
      </c>
      <c r="AM778" s="62">
        <f>IF(OR(AG778="",INDEX(p_rates,3)=""),0,IF(AG778="Facture",SUMIFS(fl_ht,fl_doc,A778,fl_rate,INDEX(p_rates,3)),SUMIFS(dl_ht,dl_doc,F778,dl_rate,INDEX(p_rates,3))))</f>
        <v>0.0</v>
      </c>
      <c r="AN778" s="62">
        <f>IF(OR(AG778="",INDEX(p_rates,4)=""),0,IF(AG778="Facture",SUMIFS(fl_ht,fl_doc,A778,fl_rate,INDEX(p_rates,4)),SUMIFS(dl_ht,dl_doc,F778,dl_rate,INDEX(p_rates,4))))</f>
        <v>0.0</v>
      </c>
      <c r="AO778" s="62">
        <f>IF(OR(AG778="",INDEX(p_rates,5)=""),0,IF(AG778="Facture",SUMIFS(fl_ht,fl_doc,A778,fl_rate,INDEX(p_rates,5)),SUMIFS(dl_ht,dl_doc,F778,dl_rate,INDEX(p_rates,5))))</f>
        <v>0.0</v>
      </c>
      <c r="AP778" s="62">
        <f>IF(OR(AG778="",INDEX(p_rates,6)=""),0,IF(AG778="Facture",SUMIFS(fl_ht,fl_doc,A778,fl_rate,INDEX(p_rates,6)),SUMIFS(dl_ht,dl_doc,F778,dl_rate,INDEX(p_rates,6))))</f>
        <v>0.0</v>
      </c>
      <c r="AQ778" s="62">
        <f>ROUND(AK778*N(INDEX(p_rates,1)),2)+ROUND(AL778*N(INDEX(p_rates,2)),2)+ROUND(AM778*N(INDEX(p_rates,3)),2)+ROUND(AN778*N(INDEX(p_rates,4)),2)+ROUND(AO778*N(INDEX(p_rates,5)),2)+ROUND(AP778*N(INDEX(p_rates,6)),2)</f>
        <v>0.0</v>
      </c>
      <c r="AR778" s="62" t="str">
        <f>IF(OR(L778="",AA778&lt;&gt;"Facture"),"",IFERROR(IF(INDEX(fa_type,MATCH(L778,fa_num,0))="Facture d'acompte",MATCH(L778,fa_num,0),""),""))</f>
        <v/>
      </c>
      <c r="AS778" s="62" t="str">
        <f>IF(W778="","",IF(W778&lt;=0,"",IF(p_asof-P778&lt;=0,"Non échu",IF(p_asof-P778&lt;=30,"1-30 j",IF(p_asof-P778&lt;=60,"31-60 j",IF(p_asof-P778&lt;=90,"61-90 j","Plus de 90 j"))))))</f>
        <v/>
      </c>
      <c r="AT778" s="62" t="str">
        <f>IF(AS778="","",p_asof-P778)</f>
        <v/>
      </c>
      <c r="AU778" s="62" t="str">
        <f>IF(AT778="","",COUNTIF($AT$6:$AT$805,"&gt;"&amp;AT778)+COUNTIF($AT$6:AT778,AT778))</f>
        <v/>
      </c>
    </row>
    <row r="779">
      <c r="A779" s="59" t="str">
        <f>IF(AE779="","",AB779&amp;"-"&amp;AD779&amp;"-"&amp;RIGHT("000"&amp;AE779,4))</f>
        <v/>
      </c>
      <c r="B779" s="60" t="n"/>
      <c r="C779" s="61" t="n"/>
      <c r="D779" s="60" t="n"/>
      <c r="E779" s="62" t="str">
        <f>IF(D779="","",IFERROR(INDEX(cli_name,MATCH(D779,cli_code,0))&amp;"","Client inconnu"))</f>
        <v/>
      </c>
      <c r="F779" s="60" t="n"/>
      <c r="G779" s="63" t="n"/>
      <c r="H779" s="61" t="n"/>
      <c r="I779" s="63" t="n"/>
      <c r="J779" s="60" t="n"/>
      <c r="K779" s="61" t="n"/>
      <c r="L779" s="60" t="n"/>
      <c r="M779" s="60" t="n"/>
      <c r="N779" s="60" t="n"/>
      <c r="O779" s="61" t="n"/>
      <c r="P779" s="64" t="str">
        <f>IF(A779="","",IF(AA779="Avoir",AC779,IF(ISNUMBER(K779),K779,AC779+IF(D779="",N(p_delay),IFERROR(IF(ISNUMBER(INDEX(cli_delay,MATCH(D779,cli_code,0))),INDEX(cli_delay,MATCH(D779,cli_code,0)),N(p_delay)),N(p_delay))))))</f>
        <v/>
      </c>
      <c r="Q779" s="65" t="str">
        <f>IF(A779="","",IF(AA779="Avoir",-1,1)*ROUND(AJ779-IF(AR779="",0,INDEX(fa_htb,AR779)),2))</f>
        <v/>
      </c>
      <c r="R779" s="65" t="str">
        <f>IF(A779="","",IF(AA779="Avoir",-1,1)*ROUND(AQ779-IF(AR779="",0,INDEX(fa_tvab,AR779)),2))</f>
        <v/>
      </c>
      <c r="S779" s="65" t="str">
        <f>IF(A779="","",Q779+R779)</f>
        <v/>
      </c>
      <c r="T779" s="65" t="str">
        <f>IF(AR779="","",INDEX(fa_htb,AR779)+INDEX(fa_tvab,AR779))</f>
        <v/>
      </c>
      <c r="U779" s="65" t="str">
        <f>IF(A779="","",SUMIF(pa_inv,A779,pa_amt))</f>
        <v/>
      </c>
      <c r="V779" s="65" t="str">
        <f>IF(OR(A779="",AA779="Avoir"),"",-SUMIFS(fa_ttc,fa_avof,A779,fa_type,"Avoir"))</f>
        <v/>
      </c>
      <c r="W779" s="65" t="str">
        <f>IF(OR(A779="",AA779="Avoir"),"",ROUND(S779-U779-V779,2))</f>
        <v/>
      </c>
      <c r="X779" s="66" t="str">
        <f>IF(W779="","",IF(AND(W779&gt;0,p_asof&gt;P779),p_asof-P779,""))</f>
        <v/>
      </c>
      <c r="Y779" s="59" t="str">
        <f>IF(A779="","",IF(AA779="Avoir","Avoir",IF(W779&lt;0,"Trop-perçu",IF(W779=0,"Soldée",IF(p_asof&gt;P779,"En retard",IF(U779+V779&gt;0,"Partielle","À échoir"))))))</f>
        <v/>
      </c>
      <c r="Z779" s="59" t="str">
        <f>IF(NOT(COUNTA(B779:D779,F779:O779)&gt;0),"",IF(C779="","Date manquante",IF(NOT(ISNUMBER(C779)),"Date invalide",IF(D779="","Client manquant",IF(ISNA(MATCH(D779,cli_code,0)),"Client inconnu",IF(AC779&lt;SUMPRODUCT(MAX(($AB$6:AB778=AB779)*$AC$6:AC778)),"Date antérieure à la facture précédente",IF(AND(F779&lt;&gt;"",ISNA(MATCH(F779,dv_num,0))),"Devis inconnu",IF(AND(F779&lt;&gt;"",IFERROR(INDEX(dv_client,MATCH(F779,dv_num,0)),D779)&lt;&gt;D779),"Client différent de celui du devis",IF(AG779="","Aucune ligne : saisissez des lignes ou un devis",IF(AND(AI779&lt;&gt;"",COUNTIF($AI$6:AI779,AI779)&gt;1),"Devis déjà repris par une autre facture",IF(AND(AA779="Avoir",M779=""),"Avoir : indiquez la facture d'origine",IF(AND(AA779="Avoir",ISNA(MATCH(M779,fa_num,0))),"Facture d'origine inconnue",IF(AND(AA779&lt;&gt;"Avoir",M779&lt;&gt;""),"« Avoir sur facture » : réservé aux avoirs",IF(AND(L779&lt;&gt;"",AA779&lt;&gt;"Facture"),"Acompte à déduire : réservé aux factures",IF(AND(L779&lt;&gt;"",ISNA(MATCH(L779,fa_num,0))),"Facture d'acompte inconnue",IF(AND(L779&lt;&gt;"",IFERROR(INDEX(fa_type,MATCH(L779,fa_num,0)),"")&lt;&gt;"Facture d'acompte"),"Le n° à déduire n'est pas une facture d'acompte",IF(AND(L779&lt;&gt;"",COUNTIF($L$6:L779,L779)&gt;1),"Acompte déjà déduit sur une autre facture",IF(AND(L779&lt;&gt;"",IFERROR(INDEX(fa_client,MATCH(L779,fa_num,0)),D779)&lt;&gt;D779),"Acompte d'un autre client",IF(AND(AR779&lt;&gt;"",N(Q779)&lt;0),"Acompte supérieur au total de la facture",IF(IF(AG779="Facture",COUNTIFS(fl_doc,A779,fl_check,"&lt;&gt;OK"),IF(AG779="Devis",COUNTIFS(dl_doc,F779,dl_check,"&lt;&gt;OK"),0))&gt;0,"Ligne(s) à corriger",IF(AND(W779&lt;&gt;"",N(W779)&lt;0),"Trop-perçu : vérifiez paiements et avoirs","OK")))))))))))))))))))))</f>
        <v/>
      </c>
      <c r="AA779" s="62" t="str">
        <f>IF(COUNTA(B779:D779,F779:O779)&gt;0,IF(B779="","Facture",B779),"")</f>
        <v/>
      </c>
      <c r="AB779" s="62" t="str">
        <f>IF(AA779="","",IF(AA779="Avoir",p_pav,IF(AA779="Facture d'acompte",p_pac,p_pfa)))</f>
        <v/>
      </c>
      <c r="AC779" s="62">
        <f>IF(ISNUMBER(C779),C779,0)</f>
        <v>0.0</v>
      </c>
      <c r="AD779" s="62" t="str">
        <f>IF(OR(AA779="",AC779=0),"",YEAR(AC779))</f>
        <v/>
      </c>
      <c r="AE779" s="62" t="str">
        <f>IF(AD779="","",COUNTIFS($AB$6:AB779,AB779,$AD$6:AD779,AD779))</f>
        <v/>
      </c>
      <c r="AF779" s="62">
        <f>IF(A779="",0,COUNTIF(fl_doc,A779))</f>
        <v>0.0</v>
      </c>
      <c r="AG779" s="62" t="str">
        <f>IF(A779="","",IF(AF779&gt;0,"Facture",IF(AND(F779&lt;&gt;"",AA779="Facture",ISNUMBER(MATCH(F779,dv_num,0))),"Devis","")))</f>
        <v/>
      </c>
      <c r="AH779" s="62" t="str">
        <f>IF(AND(A779&lt;&gt;"",F779&lt;&gt;"",AA779&lt;&gt;"Avoir"),F779,"")</f>
        <v/>
      </c>
      <c r="AI779" s="62" t="str">
        <f>IF(AG779="Devis",F779,"")</f>
        <v/>
      </c>
      <c r="AJ779" s="62">
        <f>IF(AG779="Facture",SUMIF(fl_doc,A779,fl_ht),IF(AG779="Devis",SUMIF(dl_doc,F779,dl_ht),0))</f>
        <v>0.0</v>
      </c>
      <c r="AK779" s="62">
        <f>IF(OR(AG779="",INDEX(p_rates,1)=""),0,IF(AG779="Facture",SUMIFS(fl_ht,fl_doc,A779,fl_rate,INDEX(p_rates,1)),SUMIFS(dl_ht,dl_doc,F779,dl_rate,INDEX(p_rates,1))))</f>
        <v>0.0</v>
      </c>
      <c r="AL779" s="62">
        <f>IF(OR(AG779="",INDEX(p_rates,2)=""),0,IF(AG779="Facture",SUMIFS(fl_ht,fl_doc,A779,fl_rate,INDEX(p_rates,2)),SUMIFS(dl_ht,dl_doc,F779,dl_rate,INDEX(p_rates,2))))</f>
        <v>0.0</v>
      </c>
      <c r="AM779" s="62">
        <f>IF(OR(AG779="",INDEX(p_rates,3)=""),0,IF(AG779="Facture",SUMIFS(fl_ht,fl_doc,A779,fl_rate,INDEX(p_rates,3)),SUMIFS(dl_ht,dl_doc,F779,dl_rate,INDEX(p_rates,3))))</f>
        <v>0.0</v>
      </c>
      <c r="AN779" s="62">
        <f>IF(OR(AG779="",INDEX(p_rates,4)=""),0,IF(AG779="Facture",SUMIFS(fl_ht,fl_doc,A779,fl_rate,INDEX(p_rates,4)),SUMIFS(dl_ht,dl_doc,F779,dl_rate,INDEX(p_rates,4))))</f>
        <v>0.0</v>
      </c>
      <c r="AO779" s="62">
        <f>IF(OR(AG779="",INDEX(p_rates,5)=""),0,IF(AG779="Facture",SUMIFS(fl_ht,fl_doc,A779,fl_rate,INDEX(p_rates,5)),SUMIFS(dl_ht,dl_doc,F779,dl_rate,INDEX(p_rates,5))))</f>
        <v>0.0</v>
      </c>
      <c r="AP779" s="62">
        <f>IF(OR(AG779="",INDEX(p_rates,6)=""),0,IF(AG779="Facture",SUMIFS(fl_ht,fl_doc,A779,fl_rate,INDEX(p_rates,6)),SUMIFS(dl_ht,dl_doc,F779,dl_rate,INDEX(p_rates,6))))</f>
        <v>0.0</v>
      </c>
      <c r="AQ779" s="62">
        <f>ROUND(AK779*N(INDEX(p_rates,1)),2)+ROUND(AL779*N(INDEX(p_rates,2)),2)+ROUND(AM779*N(INDEX(p_rates,3)),2)+ROUND(AN779*N(INDEX(p_rates,4)),2)+ROUND(AO779*N(INDEX(p_rates,5)),2)+ROUND(AP779*N(INDEX(p_rates,6)),2)</f>
        <v>0.0</v>
      </c>
      <c r="AR779" s="62" t="str">
        <f>IF(OR(L779="",AA779&lt;&gt;"Facture"),"",IFERROR(IF(INDEX(fa_type,MATCH(L779,fa_num,0))="Facture d'acompte",MATCH(L779,fa_num,0),""),""))</f>
        <v/>
      </c>
      <c r="AS779" s="62" t="str">
        <f>IF(W779="","",IF(W779&lt;=0,"",IF(p_asof-P779&lt;=0,"Non échu",IF(p_asof-P779&lt;=30,"1-30 j",IF(p_asof-P779&lt;=60,"31-60 j",IF(p_asof-P779&lt;=90,"61-90 j","Plus de 90 j"))))))</f>
        <v/>
      </c>
      <c r="AT779" s="62" t="str">
        <f>IF(AS779="","",p_asof-P779)</f>
        <v/>
      </c>
      <c r="AU779" s="62" t="str">
        <f>IF(AT779="","",COUNTIF($AT$6:$AT$805,"&gt;"&amp;AT779)+COUNTIF($AT$6:AT779,AT779))</f>
        <v/>
      </c>
    </row>
    <row r="780">
      <c r="A780" s="59" t="str">
        <f>IF(AE780="","",AB780&amp;"-"&amp;AD780&amp;"-"&amp;RIGHT("000"&amp;AE780,4))</f>
        <v/>
      </c>
      <c r="B780" s="60" t="n"/>
      <c r="C780" s="61" t="n"/>
      <c r="D780" s="60" t="n"/>
      <c r="E780" s="62" t="str">
        <f>IF(D780="","",IFERROR(INDEX(cli_name,MATCH(D780,cli_code,0))&amp;"","Client inconnu"))</f>
        <v/>
      </c>
      <c r="F780" s="60" t="n"/>
      <c r="G780" s="63" t="n"/>
      <c r="H780" s="61" t="n"/>
      <c r="I780" s="63" t="n"/>
      <c r="J780" s="60" t="n"/>
      <c r="K780" s="61" t="n"/>
      <c r="L780" s="60" t="n"/>
      <c r="M780" s="60" t="n"/>
      <c r="N780" s="60" t="n"/>
      <c r="O780" s="61" t="n"/>
      <c r="P780" s="64" t="str">
        <f>IF(A780="","",IF(AA780="Avoir",AC780,IF(ISNUMBER(K780),K780,AC780+IF(D780="",N(p_delay),IFERROR(IF(ISNUMBER(INDEX(cli_delay,MATCH(D780,cli_code,0))),INDEX(cli_delay,MATCH(D780,cli_code,0)),N(p_delay)),N(p_delay))))))</f>
        <v/>
      </c>
      <c r="Q780" s="65" t="str">
        <f>IF(A780="","",IF(AA780="Avoir",-1,1)*ROUND(AJ780-IF(AR780="",0,INDEX(fa_htb,AR780)),2))</f>
        <v/>
      </c>
      <c r="R780" s="65" t="str">
        <f>IF(A780="","",IF(AA780="Avoir",-1,1)*ROUND(AQ780-IF(AR780="",0,INDEX(fa_tvab,AR780)),2))</f>
        <v/>
      </c>
      <c r="S780" s="65" t="str">
        <f>IF(A780="","",Q780+R780)</f>
        <v/>
      </c>
      <c r="T780" s="65" t="str">
        <f>IF(AR780="","",INDEX(fa_htb,AR780)+INDEX(fa_tvab,AR780))</f>
        <v/>
      </c>
      <c r="U780" s="65" t="str">
        <f>IF(A780="","",SUMIF(pa_inv,A780,pa_amt))</f>
        <v/>
      </c>
      <c r="V780" s="65" t="str">
        <f>IF(OR(A780="",AA780="Avoir"),"",-SUMIFS(fa_ttc,fa_avof,A780,fa_type,"Avoir"))</f>
        <v/>
      </c>
      <c r="W780" s="65" t="str">
        <f>IF(OR(A780="",AA780="Avoir"),"",ROUND(S780-U780-V780,2))</f>
        <v/>
      </c>
      <c r="X780" s="66" t="str">
        <f>IF(W780="","",IF(AND(W780&gt;0,p_asof&gt;P780),p_asof-P780,""))</f>
        <v/>
      </c>
      <c r="Y780" s="59" t="str">
        <f>IF(A780="","",IF(AA780="Avoir","Avoir",IF(W780&lt;0,"Trop-perçu",IF(W780=0,"Soldée",IF(p_asof&gt;P780,"En retard",IF(U780+V780&gt;0,"Partielle","À échoir"))))))</f>
        <v/>
      </c>
      <c r="Z780" s="59" t="str">
        <f>IF(NOT(COUNTA(B780:D780,F780:O780)&gt;0),"",IF(C780="","Date manquante",IF(NOT(ISNUMBER(C780)),"Date invalide",IF(D780="","Client manquant",IF(ISNA(MATCH(D780,cli_code,0)),"Client inconnu",IF(AC780&lt;SUMPRODUCT(MAX(($AB$6:AB779=AB780)*$AC$6:AC779)),"Date antérieure à la facture précédente",IF(AND(F780&lt;&gt;"",ISNA(MATCH(F780,dv_num,0))),"Devis inconnu",IF(AND(F780&lt;&gt;"",IFERROR(INDEX(dv_client,MATCH(F780,dv_num,0)),D780)&lt;&gt;D780),"Client différent de celui du devis",IF(AG780="","Aucune ligne : saisissez des lignes ou un devis",IF(AND(AI780&lt;&gt;"",COUNTIF($AI$6:AI780,AI780)&gt;1),"Devis déjà repris par une autre facture",IF(AND(AA780="Avoir",M780=""),"Avoir : indiquez la facture d'origine",IF(AND(AA780="Avoir",ISNA(MATCH(M780,fa_num,0))),"Facture d'origine inconnue",IF(AND(AA780&lt;&gt;"Avoir",M780&lt;&gt;""),"« Avoir sur facture » : réservé aux avoirs",IF(AND(L780&lt;&gt;"",AA780&lt;&gt;"Facture"),"Acompte à déduire : réservé aux factures",IF(AND(L780&lt;&gt;"",ISNA(MATCH(L780,fa_num,0))),"Facture d'acompte inconnue",IF(AND(L780&lt;&gt;"",IFERROR(INDEX(fa_type,MATCH(L780,fa_num,0)),"")&lt;&gt;"Facture d'acompte"),"Le n° à déduire n'est pas une facture d'acompte",IF(AND(L780&lt;&gt;"",COUNTIF($L$6:L780,L780)&gt;1),"Acompte déjà déduit sur une autre facture",IF(AND(L780&lt;&gt;"",IFERROR(INDEX(fa_client,MATCH(L780,fa_num,0)),D780)&lt;&gt;D780),"Acompte d'un autre client",IF(AND(AR780&lt;&gt;"",N(Q780)&lt;0),"Acompte supérieur au total de la facture",IF(IF(AG780="Facture",COUNTIFS(fl_doc,A780,fl_check,"&lt;&gt;OK"),IF(AG780="Devis",COUNTIFS(dl_doc,F780,dl_check,"&lt;&gt;OK"),0))&gt;0,"Ligne(s) à corriger",IF(AND(W780&lt;&gt;"",N(W780)&lt;0),"Trop-perçu : vérifiez paiements et avoirs","OK")))))))))))))))))))))</f>
        <v/>
      </c>
      <c r="AA780" s="62" t="str">
        <f>IF(COUNTA(B780:D780,F780:O780)&gt;0,IF(B780="","Facture",B780),"")</f>
        <v/>
      </c>
      <c r="AB780" s="62" t="str">
        <f>IF(AA780="","",IF(AA780="Avoir",p_pav,IF(AA780="Facture d'acompte",p_pac,p_pfa)))</f>
        <v/>
      </c>
      <c r="AC780" s="62">
        <f>IF(ISNUMBER(C780),C780,0)</f>
        <v>0.0</v>
      </c>
      <c r="AD780" s="62" t="str">
        <f>IF(OR(AA780="",AC780=0),"",YEAR(AC780))</f>
        <v/>
      </c>
      <c r="AE780" s="62" t="str">
        <f>IF(AD780="","",COUNTIFS($AB$6:AB780,AB780,$AD$6:AD780,AD780))</f>
        <v/>
      </c>
      <c r="AF780" s="62">
        <f>IF(A780="",0,COUNTIF(fl_doc,A780))</f>
        <v>0.0</v>
      </c>
      <c r="AG780" s="62" t="str">
        <f>IF(A780="","",IF(AF780&gt;0,"Facture",IF(AND(F780&lt;&gt;"",AA780="Facture",ISNUMBER(MATCH(F780,dv_num,0))),"Devis","")))</f>
        <v/>
      </c>
      <c r="AH780" s="62" t="str">
        <f>IF(AND(A780&lt;&gt;"",F780&lt;&gt;"",AA780&lt;&gt;"Avoir"),F780,"")</f>
        <v/>
      </c>
      <c r="AI780" s="62" t="str">
        <f>IF(AG780="Devis",F780,"")</f>
        <v/>
      </c>
      <c r="AJ780" s="62">
        <f>IF(AG780="Facture",SUMIF(fl_doc,A780,fl_ht),IF(AG780="Devis",SUMIF(dl_doc,F780,dl_ht),0))</f>
        <v>0.0</v>
      </c>
      <c r="AK780" s="62">
        <f>IF(OR(AG780="",INDEX(p_rates,1)=""),0,IF(AG780="Facture",SUMIFS(fl_ht,fl_doc,A780,fl_rate,INDEX(p_rates,1)),SUMIFS(dl_ht,dl_doc,F780,dl_rate,INDEX(p_rates,1))))</f>
        <v>0.0</v>
      </c>
      <c r="AL780" s="62">
        <f>IF(OR(AG780="",INDEX(p_rates,2)=""),0,IF(AG780="Facture",SUMIFS(fl_ht,fl_doc,A780,fl_rate,INDEX(p_rates,2)),SUMIFS(dl_ht,dl_doc,F780,dl_rate,INDEX(p_rates,2))))</f>
        <v>0.0</v>
      </c>
      <c r="AM780" s="62">
        <f>IF(OR(AG780="",INDEX(p_rates,3)=""),0,IF(AG780="Facture",SUMIFS(fl_ht,fl_doc,A780,fl_rate,INDEX(p_rates,3)),SUMIFS(dl_ht,dl_doc,F780,dl_rate,INDEX(p_rates,3))))</f>
        <v>0.0</v>
      </c>
      <c r="AN780" s="62">
        <f>IF(OR(AG780="",INDEX(p_rates,4)=""),0,IF(AG780="Facture",SUMIFS(fl_ht,fl_doc,A780,fl_rate,INDEX(p_rates,4)),SUMIFS(dl_ht,dl_doc,F780,dl_rate,INDEX(p_rates,4))))</f>
        <v>0.0</v>
      </c>
      <c r="AO780" s="62">
        <f>IF(OR(AG780="",INDEX(p_rates,5)=""),0,IF(AG780="Facture",SUMIFS(fl_ht,fl_doc,A780,fl_rate,INDEX(p_rates,5)),SUMIFS(dl_ht,dl_doc,F780,dl_rate,INDEX(p_rates,5))))</f>
        <v>0.0</v>
      </c>
      <c r="AP780" s="62">
        <f>IF(OR(AG780="",INDEX(p_rates,6)=""),0,IF(AG780="Facture",SUMIFS(fl_ht,fl_doc,A780,fl_rate,INDEX(p_rates,6)),SUMIFS(dl_ht,dl_doc,F780,dl_rate,INDEX(p_rates,6))))</f>
        <v>0.0</v>
      </c>
      <c r="AQ780" s="62">
        <f>ROUND(AK780*N(INDEX(p_rates,1)),2)+ROUND(AL780*N(INDEX(p_rates,2)),2)+ROUND(AM780*N(INDEX(p_rates,3)),2)+ROUND(AN780*N(INDEX(p_rates,4)),2)+ROUND(AO780*N(INDEX(p_rates,5)),2)+ROUND(AP780*N(INDEX(p_rates,6)),2)</f>
        <v>0.0</v>
      </c>
      <c r="AR780" s="62" t="str">
        <f>IF(OR(L780="",AA780&lt;&gt;"Facture"),"",IFERROR(IF(INDEX(fa_type,MATCH(L780,fa_num,0))="Facture d'acompte",MATCH(L780,fa_num,0),""),""))</f>
        <v/>
      </c>
      <c r="AS780" s="62" t="str">
        <f>IF(W780="","",IF(W780&lt;=0,"",IF(p_asof-P780&lt;=0,"Non échu",IF(p_asof-P780&lt;=30,"1-30 j",IF(p_asof-P780&lt;=60,"31-60 j",IF(p_asof-P780&lt;=90,"61-90 j","Plus de 90 j"))))))</f>
        <v/>
      </c>
      <c r="AT780" s="62" t="str">
        <f>IF(AS780="","",p_asof-P780)</f>
        <v/>
      </c>
      <c r="AU780" s="62" t="str">
        <f>IF(AT780="","",COUNTIF($AT$6:$AT$805,"&gt;"&amp;AT780)+COUNTIF($AT$6:AT780,AT780))</f>
        <v/>
      </c>
    </row>
    <row r="781">
      <c r="A781" s="59" t="str">
        <f>IF(AE781="","",AB781&amp;"-"&amp;AD781&amp;"-"&amp;RIGHT("000"&amp;AE781,4))</f>
        <v/>
      </c>
      <c r="B781" s="60" t="n"/>
      <c r="C781" s="61" t="n"/>
      <c r="D781" s="60" t="n"/>
      <c r="E781" s="62" t="str">
        <f>IF(D781="","",IFERROR(INDEX(cli_name,MATCH(D781,cli_code,0))&amp;"","Client inconnu"))</f>
        <v/>
      </c>
      <c r="F781" s="60" t="n"/>
      <c r="G781" s="63" t="n"/>
      <c r="H781" s="61" t="n"/>
      <c r="I781" s="63" t="n"/>
      <c r="J781" s="60" t="n"/>
      <c r="K781" s="61" t="n"/>
      <c r="L781" s="60" t="n"/>
      <c r="M781" s="60" t="n"/>
      <c r="N781" s="60" t="n"/>
      <c r="O781" s="61" t="n"/>
      <c r="P781" s="64" t="str">
        <f>IF(A781="","",IF(AA781="Avoir",AC781,IF(ISNUMBER(K781),K781,AC781+IF(D781="",N(p_delay),IFERROR(IF(ISNUMBER(INDEX(cli_delay,MATCH(D781,cli_code,0))),INDEX(cli_delay,MATCH(D781,cli_code,0)),N(p_delay)),N(p_delay))))))</f>
        <v/>
      </c>
      <c r="Q781" s="65" t="str">
        <f>IF(A781="","",IF(AA781="Avoir",-1,1)*ROUND(AJ781-IF(AR781="",0,INDEX(fa_htb,AR781)),2))</f>
        <v/>
      </c>
      <c r="R781" s="65" t="str">
        <f>IF(A781="","",IF(AA781="Avoir",-1,1)*ROUND(AQ781-IF(AR781="",0,INDEX(fa_tvab,AR781)),2))</f>
        <v/>
      </c>
      <c r="S781" s="65" t="str">
        <f>IF(A781="","",Q781+R781)</f>
        <v/>
      </c>
      <c r="T781" s="65" t="str">
        <f>IF(AR781="","",INDEX(fa_htb,AR781)+INDEX(fa_tvab,AR781))</f>
        <v/>
      </c>
      <c r="U781" s="65" t="str">
        <f>IF(A781="","",SUMIF(pa_inv,A781,pa_amt))</f>
        <v/>
      </c>
      <c r="V781" s="65" t="str">
        <f>IF(OR(A781="",AA781="Avoir"),"",-SUMIFS(fa_ttc,fa_avof,A781,fa_type,"Avoir"))</f>
        <v/>
      </c>
      <c r="W781" s="65" t="str">
        <f>IF(OR(A781="",AA781="Avoir"),"",ROUND(S781-U781-V781,2))</f>
        <v/>
      </c>
      <c r="X781" s="66" t="str">
        <f>IF(W781="","",IF(AND(W781&gt;0,p_asof&gt;P781),p_asof-P781,""))</f>
        <v/>
      </c>
      <c r="Y781" s="59" t="str">
        <f>IF(A781="","",IF(AA781="Avoir","Avoir",IF(W781&lt;0,"Trop-perçu",IF(W781=0,"Soldée",IF(p_asof&gt;P781,"En retard",IF(U781+V781&gt;0,"Partielle","À échoir"))))))</f>
        <v/>
      </c>
      <c r="Z781" s="59" t="str">
        <f>IF(NOT(COUNTA(B781:D781,F781:O781)&gt;0),"",IF(C781="","Date manquante",IF(NOT(ISNUMBER(C781)),"Date invalide",IF(D781="","Client manquant",IF(ISNA(MATCH(D781,cli_code,0)),"Client inconnu",IF(AC781&lt;SUMPRODUCT(MAX(($AB$6:AB780=AB781)*$AC$6:AC780)),"Date antérieure à la facture précédente",IF(AND(F781&lt;&gt;"",ISNA(MATCH(F781,dv_num,0))),"Devis inconnu",IF(AND(F781&lt;&gt;"",IFERROR(INDEX(dv_client,MATCH(F781,dv_num,0)),D781)&lt;&gt;D781),"Client différent de celui du devis",IF(AG781="","Aucune ligne : saisissez des lignes ou un devis",IF(AND(AI781&lt;&gt;"",COUNTIF($AI$6:AI781,AI781)&gt;1),"Devis déjà repris par une autre facture",IF(AND(AA781="Avoir",M781=""),"Avoir : indiquez la facture d'origine",IF(AND(AA781="Avoir",ISNA(MATCH(M781,fa_num,0))),"Facture d'origine inconnue",IF(AND(AA781&lt;&gt;"Avoir",M781&lt;&gt;""),"« Avoir sur facture » : réservé aux avoirs",IF(AND(L781&lt;&gt;"",AA781&lt;&gt;"Facture"),"Acompte à déduire : réservé aux factures",IF(AND(L781&lt;&gt;"",ISNA(MATCH(L781,fa_num,0))),"Facture d'acompte inconnue",IF(AND(L781&lt;&gt;"",IFERROR(INDEX(fa_type,MATCH(L781,fa_num,0)),"")&lt;&gt;"Facture d'acompte"),"Le n° à déduire n'est pas une facture d'acompte",IF(AND(L781&lt;&gt;"",COUNTIF($L$6:L781,L781)&gt;1),"Acompte déjà déduit sur une autre facture",IF(AND(L781&lt;&gt;"",IFERROR(INDEX(fa_client,MATCH(L781,fa_num,0)),D781)&lt;&gt;D781),"Acompte d'un autre client",IF(AND(AR781&lt;&gt;"",N(Q781)&lt;0),"Acompte supérieur au total de la facture",IF(IF(AG781="Facture",COUNTIFS(fl_doc,A781,fl_check,"&lt;&gt;OK"),IF(AG781="Devis",COUNTIFS(dl_doc,F781,dl_check,"&lt;&gt;OK"),0))&gt;0,"Ligne(s) à corriger",IF(AND(W781&lt;&gt;"",N(W781)&lt;0),"Trop-perçu : vérifiez paiements et avoirs","OK")))))))))))))))))))))</f>
        <v/>
      </c>
      <c r="AA781" s="62" t="str">
        <f>IF(COUNTA(B781:D781,F781:O781)&gt;0,IF(B781="","Facture",B781),"")</f>
        <v/>
      </c>
      <c r="AB781" s="62" t="str">
        <f>IF(AA781="","",IF(AA781="Avoir",p_pav,IF(AA781="Facture d'acompte",p_pac,p_pfa)))</f>
        <v/>
      </c>
      <c r="AC781" s="62">
        <f>IF(ISNUMBER(C781),C781,0)</f>
        <v>0.0</v>
      </c>
      <c r="AD781" s="62" t="str">
        <f>IF(OR(AA781="",AC781=0),"",YEAR(AC781))</f>
        <v/>
      </c>
      <c r="AE781" s="62" t="str">
        <f>IF(AD781="","",COUNTIFS($AB$6:AB781,AB781,$AD$6:AD781,AD781))</f>
        <v/>
      </c>
      <c r="AF781" s="62">
        <f>IF(A781="",0,COUNTIF(fl_doc,A781))</f>
        <v>0.0</v>
      </c>
      <c r="AG781" s="62" t="str">
        <f>IF(A781="","",IF(AF781&gt;0,"Facture",IF(AND(F781&lt;&gt;"",AA781="Facture",ISNUMBER(MATCH(F781,dv_num,0))),"Devis","")))</f>
        <v/>
      </c>
      <c r="AH781" s="62" t="str">
        <f>IF(AND(A781&lt;&gt;"",F781&lt;&gt;"",AA781&lt;&gt;"Avoir"),F781,"")</f>
        <v/>
      </c>
      <c r="AI781" s="62" t="str">
        <f>IF(AG781="Devis",F781,"")</f>
        <v/>
      </c>
      <c r="AJ781" s="62">
        <f>IF(AG781="Facture",SUMIF(fl_doc,A781,fl_ht),IF(AG781="Devis",SUMIF(dl_doc,F781,dl_ht),0))</f>
        <v>0.0</v>
      </c>
      <c r="AK781" s="62">
        <f>IF(OR(AG781="",INDEX(p_rates,1)=""),0,IF(AG781="Facture",SUMIFS(fl_ht,fl_doc,A781,fl_rate,INDEX(p_rates,1)),SUMIFS(dl_ht,dl_doc,F781,dl_rate,INDEX(p_rates,1))))</f>
        <v>0.0</v>
      </c>
      <c r="AL781" s="62">
        <f>IF(OR(AG781="",INDEX(p_rates,2)=""),0,IF(AG781="Facture",SUMIFS(fl_ht,fl_doc,A781,fl_rate,INDEX(p_rates,2)),SUMIFS(dl_ht,dl_doc,F781,dl_rate,INDEX(p_rates,2))))</f>
        <v>0.0</v>
      </c>
      <c r="AM781" s="62">
        <f>IF(OR(AG781="",INDEX(p_rates,3)=""),0,IF(AG781="Facture",SUMIFS(fl_ht,fl_doc,A781,fl_rate,INDEX(p_rates,3)),SUMIFS(dl_ht,dl_doc,F781,dl_rate,INDEX(p_rates,3))))</f>
        <v>0.0</v>
      </c>
      <c r="AN781" s="62">
        <f>IF(OR(AG781="",INDEX(p_rates,4)=""),0,IF(AG781="Facture",SUMIFS(fl_ht,fl_doc,A781,fl_rate,INDEX(p_rates,4)),SUMIFS(dl_ht,dl_doc,F781,dl_rate,INDEX(p_rates,4))))</f>
        <v>0.0</v>
      </c>
      <c r="AO781" s="62">
        <f>IF(OR(AG781="",INDEX(p_rates,5)=""),0,IF(AG781="Facture",SUMIFS(fl_ht,fl_doc,A781,fl_rate,INDEX(p_rates,5)),SUMIFS(dl_ht,dl_doc,F781,dl_rate,INDEX(p_rates,5))))</f>
        <v>0.0</v>
      </c>
      <c r="AP781" s="62">
        <f>IF(OR(AG781="",INDEX(p_rates,6)=""),0,IF(AG781="Facture",SUMIFS(fl_ht,fl_doc,A781,fl_rate,INDEX(p_rates,6)),SUMIFS(dl_ht,dl_doc,F781,dl_rate,INDEX(p_rates,6))))</f>
        <v>0.0</v>
      </c>
      <c r="AQ781" s="62">
        <f>ROUND(AK781*N(INDEX(p_rates,1)),2)+ROUND(AL781*N(INDEX(p_rates,2)),2)+ROUND(AM781*N(INDEX(p_rates,3)),2)+ROUND(AN781*N(INDEX(p_rates,4)),2)+ROUND(AO781*N(INDEX(p_rates,5)),2)+ROUND(AP781*N(INDEX(p_rates,6)),2)</f>
        <v>0.0</v>
      </c>
      <c r="AR781" s="62" t="str">
        <f>IF(OR(L781="",AA781&lt;&gt;"Facture"),"",IFERROR(IF(INDEX(fa_type,MATCH(L781,fa_num,0))="Facture d'acompte",MATCH(L781,fa_num,0),""),""))</f>
        <v/>
      </c>
      <c r="AS781" s="62" t="str">
        <f>IF(W781="","",IF(W781&lt;=0,"",IF(p_asof-P781&lt;=0,"Non échu",IF(p_asof-P781&lt;=30,"1-30 j",IF(p_asof-P781&lt;=60,"31-60 j",IF(p_asof-P781&lt;=90,"61-90 j","Plus de 90 j"))))))</f>
        <v/>
      </c>
      <c r="AT781" s="62" t="str">
        <f>IF(AS781="","",p_asof-P781)</f>
        <v/>
      </c>
      <c r="AU781" s="62" t="str">
        <f>IF(AT781="","",COUNTIF($AT$6:$AT$805,"&gt;"&amp;AT781)+COUNTIF($AT$6:AT781,AT781))</f>
        <v/>
      </c>
    </row>
    <row r="782">
      <c r="A782" s="59" t="str">
        <f>IF(AE782="","",AB782&amp;"-"&amp;AD782&amp;"-"&amp;RIGHT("000"&amp;AE782,4))</f>
        <v/>
      </c>
      <c r="B782" s="60" t="n"/>
      <c r="C782" s="61" t="n"/>
      <c r="D782" s="60" t="n"/>
      <c r="E782" s="62" t="str">
        <f>IF(D782="","",IFERROR(INDEX(cli_name,MATCH(D782,cli_code,0))&amp;"","Client inconnu"))</f>
        <v/>
      </c>
      <c r="F782" s="60" t="n"/>
      <c r="G782" s="63" t="n"/>
      <c r="H782" s="61" t="n"/>
      <c r="I782" s="63" t="n"/>
      <c r="J782" s="60" t="n"/>
      <c r="K782" s="61" t="n"/>
      <c r="L782" s="60" t="n"/>
      <c r="M782" s="60" t="n"/>
      <c r="N782" s="60" t="n"/>
      <c r="O782" s="61" t="n"/>
      <c r="P782" s="64" t="str">
        <f>IF(A782="","",IF(AA782="Avoir",AC782,IF(ISNUMBER(K782),K782,AC782+IF(D782="",N(p_delay),IFERROR(IF(ISNUMBER(INDEX(cli_delay,MATCH(D782,cli_code,0))),INDEX(cli_delay,MATCH(D782,cli_code,0)),N(p_delay)),N(p_delay))))))</f>
        <v/>
      </c>
      <c r="Q782" s="65" t="str">
        <f>IF(A782="","",IF(AA782="Avoir",-1,1)*ROUND(AJ782-IF(AR782="",0,INDEX(fa_htb,AR782)),2))</f>
        <v/>
      </c>
      <c r="R782" s="65" t="str">
        <f>IF(A782="","",IF(AA782="Avoir",-1,1)*ROUND(AQ782-IF(AR782="",0,INDEX(fa_tvab,AR782)),2))</f>
        <v/>
      </c>
      <c r="S782" s="65" t="str">
        <f>IF(A782="","",Q782+R782)</f>
        <v/>
      </c>
      <c r="T782" s="65" t="str">
        <f>IF(AR782="","",INDEX(fa_htb,AR782)+INDEX(fa_tvab,AR782))</f>
        <v/>
      </c>
      <c r="U782" s="65" t="str">
        <f>IF(A782="","",SUMIF(pa_inv,A782,pa_amt))</f>
        <v/>
      </c>
      <c r="V782" s="65" t="str">
        <f>IF(OR(A782="",AA782="Avoir"),"",-SUMIFS(fa_ttc,fa_avof,A782,fa_type,"Avoir"))</f>
        <v/>
      </c>
      <c r="W782" s="65" t="str">
        <f>IF(OR(A782="",AA782="Avoir"),"",ROUND(S782-U782-V782,2))</f>
        <v/>
      </c>
      <c r="X782" s="66" t="str">
        <f>IF(W782="","",IF(AND(W782&gt;0,p_asof&gt;P782),p_asof-P782,""))</f>
        <v/>
      </c>
      <c r="Y782" s="59" t="str">
        <f>IF(A782="","",IF(AA782="Avoir","Avoir",IF(W782&lt;0,"Trop-perçu",IF(W782=0,"Soldée",IF(p_asof&gt;P782,"En retard",IF(U782+V782&gt;0,"Partielle","À échoir"))))))</f>
        <v/>
      </c>
      <c r="Z782" s="59" t="str">
        <f>IF(NOT(COUNTA(B782:D782,F782:O782)&gt;0),"",IF(C782="","Date manquante",IF(NOT(ISNUMBER(C782)),"Date invalide",IF(D782="","Client manquant",IF(ISNA(MATCH(D782,cli_code,0)),"Client inconnu",IF(AC782&lt;SUMPRODUCT(MAX(($AB$6:AB781=AB782)*$AC$6:AC781)),"Date antérieure à la facture précédente",IF(AND(F782&lt;&gt;"",ISNA(MATCH(F782,dv_num,0))),"Devis inconnu",IF(AND(F782&lt;&gt;"",IFERROR(INDEX(dv_client,MATCH(F782,dv_num,0)),D782)&lt;&gt;D782),"Client différent de celui du devis",IF(AG782="","Aucune ligne : saisissez des lignes ou un devis",IF(AND(AI782&lt;&gt;"",COUNTIF($AI$6:AI782,AI782)&gt;1),"Devis déjà repris par une autre facture",IF(AND(AA782="Avoir",M782=""),"Avoir : indiquez la facture d'origine",IF(AND(AA782="Avoir",ISNA(MATCH(M782,fa_num,0))),"Facture d'origine inconnue",IF(AND(AA782&lt;&gt;"Avoir",M782&lt;&gt;""),"« Avoir sur facture » : réservé aux avoirs",IF(AND(L782&lt;&gt;"",AA782&lt;&gt;"Facture"),"Acompte à déduire : réservé aux factures",IF(AND(L782&lt;&gt;"",ISNA(MATCH(L782,fa_num,0))),"Facture d'acompte inconnue",IF(AND(L782&lt;&gt;"",IFERROR(INDEX(fa_type,MATCH(L782,fa_num,0)),"")&lt;&gt;"Facture d'acompte"),"Le n° à déduire n'est pas une facture d'acompte",IF(AND(L782&lt;&gt;"",COUNTIF($L$6:L782,L782)&gt;1),"Acompte déjà déduit sur une autre facture",IF(AND(L782&lt;&gt;"",IFERROR(INDEX(fa_client,MATCH(L782,fa_num,0)),D782)&lt;&gt;D782),"Acompte d'un autre client",IF(AND(AR782&lt;&gt;"",N(Q782)&lt;0),"Acompte supérieur au total de la facture",IF(IF(AG782="Facture",COUNTIFS(fl_doc,A782,fl_check,"&lt;&gt;OK"),IF(AG782="Devis",COUNTIFS(dl_doc,F782,dl_check,"&lt;&gt;OK"),0))&gt;0,"Ligne(s) à corriger",IF(AND(W782&lt;&gt;"",N(W782)&lt;0),"Trop-perçu : vérifiez paiements et avoirs","OK")))))))))))))))))))))</f>
        <v/>
      </c>
      <c r="AA782" s="62" t="str">
        <f>IF(COUNTA(B782:D782,F782:O782)&gt;0,IF(B782="","Facture",B782),"")</f>
        <v/>
      </c>
      <c r="AB782" s="62" t="str">
        <f>IF(AA782="","",IF(AA782="Avoir",p_pav,IF(AA782="Facture d'acompte",p_pac,p_pfa)))</f>
        <v/>
      </c>
      <c r="AC782" s="62">
        <f>IF(ISNUMBER(C782),C782,0)</f>
        <v>0.0</v>
      </c>
      <c r="AD782" s="62" t="str">
        <f>IF(OR(AA782="",AC782=0),"",YEAR(AC782))</f>
        <v/>
      </c>
      <c r="AE782" s="62" t="str">
        <f>IF(AD782="","",COUNTIFS($AB$6:AB782,AB782,$AD$6:AD782,AD782))</f>
        <v/>
      </c>
      <c r="AF782" s="62">
        <f>IF(A782="",0,COUNTIF(fl_doc,A782))</f>
        <v>0.0</v>
      </c>
      <c r="AG782" s="62" t="str">
        <f>IF(A782="","",IF(AF782&gt;0,"Facture",IF(AND(F782&lt;&gt;"",AA782="Facture",ISNUMBER(MATCH(F782,dv_num,0))),"Devis","")))</f>
        <v/>
      </c>
      <c r="AH782" s="62" t="str">
        <f>IF(AND(A782&lt;&gt;"",F782&lt;&gt;"",AA782&lt;&gt;"Avoir"),F782,"")</f>
        <v/>
      </c>
      <c r="AI782" s="62" t="str">
        <f>IF(AG782="Devis",F782,"")</f>
        <v/>
      </c>
      <c r="AJ782" s="62">
        <f>IF(AG782="Facture",SUMIF(fl_doc,A782,fl_ht),IF(AG782="Devis",SUMIF(dl_doc,F782,dl_ht),0))</f>
        <v>0.0</v>
      </c>
      <c r="AK782" s="62">
        <f>IF(OR(AG782="",INDEX(p_rates,1)=""),0,IF(AG782="Facture",SUMIFS(fl_ht,fl_doc,A782,fl_rate,INDEX(p_rates,1)),SUMIFS(dl_ht,dl_doc,F782,dl_rate,INDEX(p_rates,1))))</f>
        <v>0.0</v>
      </c>
      <c r="AL782" s="62">
        <f>IF(OR(AG782="",INDEX(p_rates,2)=""),0,IF(AG782="Facture",SUMIFS(fl_ht,fl_doc,A782,fl_rate,INDEX(p_rates,2)),SUMIFS(dl_ht,dl_doc,F782,dl_rate,INDEX(p_rates,2))))</f>
        <v>0.0</v>
      </c>
      <c r="AM782" s="62">
        <f>IF(OR(AG782="",INDEX(p_rates,3)=""),0,IF(AG782="Facture",SUMIFS(fl_ht,fl_doc,A782,fl_rate,INDEX(p_rates,3)),SUMIFS(dl_ht,dl_doc,F782,dl_rate,INDEX(p_rates,3))))</f>
        <v>0.0</v>
      </c>
      <c r="AN782" s="62">
        <f>IF(OR(AG782="",INDEX(p_rates,4)=""),0,IF(AG782="Facture",SUMIFS(fl_ht,fl_doc,A782,fl_rate,INDEX(p_rates,4)),SUMIFS(dl_ht,dl_doc,F782,dl_rate,INDEX(p_rates,4))))</f>
        <v>0.0</v>
      </c>
      <c r="AO782" s="62">
        <f>IF(OR(AG782="",INDEX(p_rates,5)=""),0,IF(AG782="Facture",SUMIFS(fl_ht,fl_doc,A782,fl_rate,INDEX(p_rates,5)),SUMIFS(dl_ht,dl_doc,F782,dl_rate,INDEX(p_rates,5))))</f>
        <v>0.0</v>
      </c>
      <c r="AP782" s="62">
        <f>IF(OR(AG782="",INDEX(p_rates,6)=""),0,IF(AG782="Facture",SUMIFS(fl_ht,fl_doc,A782,fl_rate,INDEX(p_rates,6)),SUMIFS(dl_ht,dl_doc,F782,dl_rate,INDEX(p_rates,6))))</f>
        <v>0.0</v>
      </c>
      <c r="AQ782" s="62">
        <f>ROUND(AK782*N(INDEX(p_rates,1)),2)+ROUND(AL782*N(INDEX(p_rates,2)),2)+ROUND(AM782*N(INDEX(p_rates,3)),2)+ROUND(AN782*N(INDEX(p_rates,4)),2)+ROUND(AO782*N(INDEX(p_rates,5)),2)+ROUND(AP782*N(INDEX(p_rates,6)),2)</f>
        <v>0.0</v>
      </c>
      <c r="AR782" s="62" t="str">
        <f>IF(OR(L782="",AA782&lt;&gt;"Facture"),"",IFERROR(IF(INDEX(fa_type,MATCH(L782,fa_num,0))="Facture d'acompte",MATCH(L782,fa_num,0),""),""))</f>
        <v/>
      </c>
      <c r="AS782" s="62" t="str">
        <f>IF(W782="","",IF(W782&lt;=0,"",IF(p_asof-P782&lt;=0,"Non échu",IF(p_asof-P782&lt;=30,"1-30 j",IF(p_asof-P782&lt;=60,"31-60 j",IF(p_asof-P782&lt;=90,"61-90 j","Plus de 90 j"))))))</f>
        <v/>
      </c>
      <c r="AT782" s="62" t="str">
        <f>IF(AS782="","",p_asof-P782)</f>
        <v/>
      </c>
      <c r="AU782" s="62" t="str">
        <f>IF(AT782="","",COUNTIF($AT$6:$AT$805,"&gt;"&amp;AT782)+COUNTIF($AT$6:AT782,AT782))</f>
        <v/>
      </c>
    </row>
    <row r="783">
      <c r="A783" s="59" t="str">
        <f>IF(AE783="","",AB783&amp;"-"&amp;AD783&amp;"-"&amp;RIGHT("000"&amp;AE783,4))</f>
        <v/>
      </c>
      <c r="B783" s="60" t="n"/>
      <c r="C783" s="61" t="n"/>
      <c r="D783" s="60" t="n"/>
      <c r="E783" s="62" t="str">
        <f>IF(D783="","",IFERROR(INDEX(cli_name,MATCH(D783,cli_code,0))&amp;"","Client inconnu"))</f>
        <v/>
      </c>
      <c r="F783" s="60" t="n"/>
      <c r="G783" s="63" t="n"/>
      <c r="H783" s="61" t="n"/>
      <c r="I783" s="63" t="n"/>
      <c r="J783" s="60" t="n"/>
      <c r="K783" s="61" t="n"/>
      <c r="L783" s="60" t="n"/>
      <c r="M783" s="60" t="n"/>
      <c r="N783" s="60" t="n"/>
      <c r="O783" s="61" t="n"/>
      <c r="P783" s="64" t="str">
        <f>IF(A783="","",IF(AA783="Avoir",AC783,IF(ISNUMBER(K783),K783,AC783+IF(D783="",N(p_delay),IFERROR(IF(ISNUMBER(INDEX(cli_delay,MATCH(D783,cli_code,0))),INDEX(cli_delay,MATCH(D783,cli_code,0)),N(p_delay)),N(p_delay))))))</f>
        <v/>
      </c>
      <c r="Q783" s="65" t="str">
        <f>IF(A783="","",IF(AA783="Avoir",-1,1)*ROUND(AJ783-IF(AR783="",0,INDEX(fa_htb,AR783)),2))</f>
        <v/>
      </c>
      <c r="R783" s="65" t="str">
        <f>IF(A783="","",IF(AA783="Avoir",-1,1)*ROUND(AQ783-IF(AR783="",0,INDEX(fa_tvab,AR783)),2))</f>
        <v/>
      </c>
      <c r="S783" s="65" t="str">
        <f>IF(A783="","",Q783+R783)</f>
        <v/>
      </c>
      <c r="T783" s="65" t="str">
        <f>IF(AR783="","",INDEX(fa_htb,AR783)+INDEX(fa_tvab,AR783))</f>
        <v/>
      </c>
      <c r="U783" s="65" t="str">
        <f>IF(A783="","",SUMIF(pa_inv,A783,pa_amt))</f>
        <v/>
      </c>
      <c r="V783" s="65" t="str">
        <f>IF(OR(A783="",AA783="Avoir"),"",-SUMIFS(fa_ttc,fa_avof,A783,fa_type,"Avoir"))</f>
        <v/>
      </c>
      <c r="W783" s="65" t="str">
        <f>IF(OR(A783="",AA783="Avoir"),"",ROUND(S783-U783-V783,2))</f>
        <v/>
      </c>
      <c r="X783" s="66" t="str">
        <f>IF(W783="","",IF(AND(W783&gt;0,p_asof&gt;P783),p_asof-P783,""))</f>
        <v/>
      </c>
      <c r="Y783" s="59" t="str">
        <f>IF(A783="","",IF(AA783="Avoir","Avoir",IF(W783&lt;0,"Trop-perçu",IF(W783=0,"Soldée",IF(p_asof&gt;P783,"En retard",IF(U783+V783&gt;0,"Partielle","À échoir"))))))</f>
        <v/>
      </c>
      <c r="Z783" s="59" t="str">
        <f>IF(NOT(COUNTA(B783:D783,F783:O783)&gt;0),"",IF(C783="","Date manquante",IF(NOT(ISNUMBER(C783)),"Date invalide",IF(D783="","Client manquant",IF(ISNA(MATCH(D783,cli_code,0)),"Client inconnu",IF(AC783&lt;SUMPRODUCT(MAX(($AB$6:AB782=AB783)*$AC$6:AC782)),"Date antérieure à la facture précédente",IF(AND(F783&lt;&gt;"",ISNA(MATCH(F783,dv_num,0))),"Devis inconnu",IF(AND(F783&lt;&gt;"",IFERROR(INDEX(dv_client,MATCH(F783,dv_num,0)),D783)&lt;&gt;D783),"Client différent de celui du devis",IF(AG783="","Aucune ligne : saisissez des lignes ou un devis",IF(AND(AI783&lt;&gt;"",COUNTIF($AI$6:AI783,AI783)&gt;1),"Devis déjà repris par une autre facture",IF(AND(AA783="Avoir",M783=""),"Avoir : indiquez la facture d'origine",IF(AND(AA783="Avoir",ISNA(MATCH(M783,fa_num,0))),"Facture d'origine inconnue",IF(AND(AA783&lt;&gt;"Avoir",M783&lt;&gt;""),"« Avoir sur facture » : réservé aux avoirs",IF(AND(L783&lt;&gt;"",AA783&lt;&gt;"Facture"),"Acompte à déduire : réservé aux factures",IF(AND(L783&lt;&gt;"",ISNA(MATCH(L783,fa_num,0))),"Facture d'acompte inconnue",IF(AND(L783&lt;&gt;"",IFERROR(INDEX(fa_type,MATCH(L783,fa_num,0)),"")&lt;&gt;"Facture d'acompte"),"Le n° à déduire n'est pas une facture d'acompte",IF(AND(L783&lt;&gt;"",COUNTIF($L$6:L783,L783)&gt;1),"Acompte déjà déduit sur une autre facture",IF(AND(L783&lt;&gt;"",IFERROR(INDEX(fa_client,MATCH(L783,fa_num,0)),D783)&lt;&gt;D783),"Acompte d'un autre client",IF(AND(AR783&lt;&gt;"",N(Q783)&lt;0),"Acompte supérieur au total de la facture",IF(IF(AG783="Facture",COUNTIFS(fl_doc,A783,fl_check,"&lt;&gt;OK"),IF(AG783="Devis",COUNTIFS(dl_doc,F783,dl_check,"&lt;&gt;OK"),0))&gt;0,"Ligne(s) à corriger",IF(AND(W783&lt;&gt;"",N(W783)&lt;0),"Trop-perçu : vérifiez paiements et avoirs","OK")))))))))))))))))))))</f>
        <v/>
      </c>
      <c r="AA783" s="62" t="str">
        <f>IF(COUNTA(B783:D783,F783:O783)&gt;0,IF(B783="","Facture",B783),"")</f>
        <v/>
      </c>
      <c r="AB783" s="62" t="str">
        <f>IF(AA783="","",IF(AA783="Avoir",p_pav,IF(AA783="Facture d'acompte",p_pac,p_pfa)))</f>
        <v/>
      </c>
      <c r="AC783" s="62">
        <f>IF(ISNUMBER(C783),C783,0)</f>
        <v>0.0</v>
      </c>
      <c r="AD783" s="62" t="str">
        <f>IF(OR(AA783="",AC783=0),"",YEAR(AC783))</f>
        <v/>
      </c>
      <c r="AE783" s="62" t="str">
        <f>IF(AD783="","",COUNTIFS($AB$6:AB783,AB783,$AD$6:AD783,AD783))</f>
        <v/>
      </c>
      <c r="AF783" s="62">
        <f>IF(A783="",0,COUNTIF(fl_doc,A783))</f>
        <v>0.0</v>
      </c>
      <c r="AG783" s="62" t="str">
        <f>IF(A783="","",IF(AF783&gt;0,"Facture",IF(AND(F783&lt;&gt;"",AA783="Facture",ISNUMBER(MATCH(F783,dv_num,0))),"Devis","")))</f>
        <v/>
      </c>
      <c r="AH783" s="62" t="str">
        <f>IF(AND(A783&lt;&gt;"",F783&lt;&gt;"",AA783&lt;&gt;"Avoir"),F783,"")</f>
        <v/>
      </c>
      <c r="AI783" s="62" t="str">
        <f>IF(AG783="Devis",F783,"")</f>
        <v/>
      </c>
      <c r="AJ783" s="62">
        <f>IF(AG783="Facture",SUMIF(fl_doc,A783,fl_ht),IF(AG783="Devis",SUMIF(dl_doc,F783,dl_ht),0))</f>
        <v>0.0</v>
      </c>
      <c r="AK783" s="62">
        <f>IF(OR(AG783="",INDEX(p_rates,1)=""),0,IF(AG783="Facture",SUMIFS(fl_ht,fl_doc,A783,fl_rate,INDEX(p_rates,1)),SUMIFS(dl_ht,dl_doc,F783,dl_rate,INDEX(p_rates,1))))</f>
        <v>0.0</v>
      </c>
      <c r="AL783" s="62">
        <f>IF(OR(AG783="",INDEX(p_rates,2)=""),0,IF(AG783="Facture",SUMIFS(fl_ht,fl_doc,A783,fl_rate,INDEX(p_rates,2)),SUMIFS(dl_ht,dl_doc,F783,dl_rate,INDEX(p_rates,2))))</f>
        <v>0.0</v>
      </c>
      <c r="AM783" s="62">
        <f>IF(OR(AG783="",INDEX(p_rates,3)=""),0,IF(AG783="Facture",SUMIFS(fl_ht,fl_doc,A783,fl_rate,INDEX(p_rates,3)),SUMIFS(dl_ht,dl_doc,F783,dl_rate,INDEX(p_rates,3))))</f>
        <v>0.0</v>
      </c>
      <c r="AN783" s="62">
        <f>IF(OR(AG783="",INDEX(p_rates,4)=""),0,IF(AG783="Facture",SUMIFS(fl_ht,fl_doc,A783,fl_rate,INDEX(p_rates,4)),SUMIFS(dl_ht,dl_doc,F783,dl_rate,INDEX(p_rates,4))))</f>
        <v>0.0</v>
      </c>
      <c r="AO783" s="62">
        <f>IF(OR(AG783="",INDEX(p_rates,5)=""),0,IF(AG783="Facture",SUMIFS(fl_ht,fl_doc,A783,fl_rate,INDEX(p_rates,5)),SUMIFS(dl_ht,dl_doc,F783,dl_rate,INDEX(p_rates,5))))</f>
        <v>0.0</v>
      </c>
      <c r="AP783" s="62">
        <f>IF(OR(AG783="",INDEX(p_rates,6)=""),0,IF(AG783="Facture",SUMIFS(fl_ht,fl_doc,A783,fl_rate,INDEX(p_rates,6)),SUMIFS(dl_ht,dl_doc,F783,dl_rate,INDEX(p_rates,6))))</f>
        <v>0.0</v>
      </c>
      <c r="AQ783" s="62">
        <f>ROUND(AK783*N(INDEX(p_rates,1)),2)+ROUND(AL783*N(INDEX(p_rates,2)),2)+ROUND(AM783*N(INDEX(p_rates,3)),2)+ROUND(AN783*N(INDEX(p_rates,4)),2)+ROUND(AO783*N(INDEX(p_rates,5)),2)+ROUND(AP783*N(INDEX(p_rates,6)),2)</f>
        <v>0.0</v>
      </c>
      <c r="AR783" s="62" t="str">
        <f>IF(OR(L783="",AA783&lt;&gt;"Facture"),"",IFERROR(IF(INDEX(fa_type,MATCH(L783,fa_num,0))="Facture d'acompte",MATCH(L783,fa_num,0),""),""))</f>
        <v/>
      </c>
      <c r="AS783" s="62" t="str">
        <f>IF(W783="","",IF(W783&lt;=0,"",IF(p_asof-P783&lt;=0,"Non échu",IF(p_asof-P783&lt;=30,"1-30 j",IF(p_asof-P783&lt;=60,"31-60 j",IF(p_asof-P783&lt;=90,"61-90 j","Plus de 90 j"))))))</f>
        <v/>
      </c>
      <c r="AT783" s="62" t="str">
        <f>IF(AS783="","",p_asof-P783)</f>
        <v/>
      </c>
      <c r="AU783" s="62" t="str">
        <f>IF(AT783="","",COUNTIF($AT$6:$AT$805,"&gt;"&amp;AT783)+COUNTIF($AT$6:AT783,AT783))</f>
        <v/>
      </c>
    </row>
    <row r="784">
      <c r="A784" s="59" t="str">
        <f>IF(AE784="","",AB784&amp;"-"&amp;AD784&amp;"-"&amp;RIGHT("000"&amp;AE784,4))</f>
        <v/>
      </c>
      <c r="B784" s="60" t="n"/>
      <c r="C784" s="61" t="n"/>
      <c r="D784" s="60" t="n"/>
      <c r="E784" s="62" t="str">
        <f>IF(D784="","",IFERROR(INDEX(cli_name,MATCH(D784,cli_code,0))&amp;"","Client inconnu"))</f>
        <v/>
      </c>
      <c r="F784" s="60" t="n"/>
      <c r="G784" s="63" t="n"/>
      <c r="H784" s="61" t="n"/>
      <c r="I784" s="63" t="n"/>
      <c r="J784" s="60" t="n"/>
      <c r="K784" s="61" t="n"/>
      <c r="L784" s="60" t="n"/>
      <c r="M784" s="60" t="n"/>
      <c r="N784" s="60" t="n"/>
      <c r="O784" s="61" t="n"/>
      <c r="P784" s="64" t="str">
        <f>IF(A784="","",IF(AA784="Avoir",AC784,IF(ISNUMBER(K784),K784,AC784+IF(D784="",N(p_delay),IFERROR(IF(ISNUMBER(INDEX(cli_delay,MATCH(D784,cli_code,0))),INDEX(cli_delay,MATCH(D784,cli_code,0)),N(p_delay)),N(p_delay))))))</f>
        <v/>
      </c>
      <c r="Q784" s="65" t="str">
        <f>IF(A784="","",IF(AA784="Avoir",-1,1)*ROUND(AJ784-IF(AR784="",0,INDEX(fa_htb,AR784)),2))</f>
        <v/>
      </c>
      <c r="R784" s="65" t="str">
        <f>IF(A784="","",IF(AA784="Avoir",-1,1)*ROUND(AQ784-IF(AR784="",0,INDEX(fa_tvab,AR784)),2))</f>
        <v/>
      </c>
      <c r="S784" s="65" t="str">
        <f>IF(A784="","",Q784+R784)</f>
        <v/>
      </c>
      <c r="T784" s="65" t="str">
        <f>IF(AR784="","",INDEX(fa_htb,AR784)+INDEX(fa_tvab,AR784))</f>
        <v/>
      </c>
      <c r="U784" s="65" t="str">
        <f>IF(A784="","",SUMIF(pa_inv,A784,pa_amt))</f>
        <v/>
      </c>
      <c r="V784" s="65" t="str">
        <f>IF(OR(A784="",AA784="Avoir"),"",-SUMIFS(fa_ttc,fa_avof,A784,fa_type,"Avoir"))</f>
        <v/>
      </c>
      <c r="W784" s="65" t="str">
        <f>IF(OR(A784="",AA784="Avoir"),"",ROUND(S784-U784-V784,2))</f>
        <v/>
      </c>
      <c r="X784" s="66" t="str">
        <f>IF(W784="","",IF(AND(W784&gt;0,p_asof&gt;P784),p_asof-P784,""))</f>
        <v/>
      </c>
      <c r="Y784" s="59" t="str">
        <f>IF(A784="","",IF(AA784="Avoir","Avoir",IF(W784&lt;0,"Trop-perçu",IF(W784=0,"Soldée",IF(p_asof&gt;P784,"En retard",IF(U784+V784&gt;0,"Partielle","À échoir"))))))</f>
        <v/>
      </c>
      <c r="Z784" s="59" t="str">
        <f>IF(NOT(COUNTA(B784:D784,F784:O784)&gt;0),"",IF(C784="","Date manquante",IF(NOT(ISNUMBER(C784)),"Date invalide",IF(D784="","Client manquant",IF(ISNA(MATCH(D784,cli_code,0)),"Client inconnu",IF(AC784&lt;SUMPRODUCT(MAX(($AB$6:AB783=AB784)*$AC$6:AC783)),"Date antérieure à la facture précédente",IF(AND(F784&lt;&gt;"",ISNA(MATCH(F784,dv_num,0))),"Devis inconnu",IF(AND(F784&lt;&gt;"",IFERROR(INDEX(dv_client,MATCH(F784,dv_num,0)),D784)&lt;&gt;D784),"Client différent de celui du devis",IF(AG784="","Aucune ligne : saisissez des lignes ou un devis",IF(AND(AI784&lt;&gt;"",COUNTIF($AI$6:AI784,AI784)&gt;1),"Devis déjà repris par une autre facture",IF(AND(AA784="Avoir",M784=""),"Avoir : indiquez la facture d'origine",IF(AND(AA784="Avoir",ISNA(MATCH(M784,fa_num,0))),"Facture d'origine inconnue",IF(AND(AA784&lt;&gt;"Avoir",M784&lt;&gt;""),"« Avoir sur facture » : réservé aux avoirs",IF(AND(L784&lt;&gt;"",AA784&lt;&gt;"Facture"),"Acompte à déduire : réservé aux factures",IF(AND(L784&lt;&gt;"",ISNA(MATCH(L784,fa_num,0))),"Facture d'acompte inconnue",IF(AND(L784&lt;&gt;"",IFERROR(INDEX(fa_type,MATCH(L784,fa_num,0)),"")&lt;&gt;"Facture d'acompte"),"Le n° à déduire n'est pas une facture d'acompte",IF(AND(L784&lt;&gt;"",COUNTIF($L$6:L784,L784)&gt;1),"Acompte déjà déduit sur une autre facture",IF(AND(L784&lt;&gt;"",IFERROR(INDEX(fa_client,MATCH(L784,fa_num,0)),D784)&lt;&gt;D784),"Acompte d'un autre client",IF(AND(AR784&lt;&gt;"",N(Q784)&lt;0),"Acompte supérieur au total de la facture",IF(IF(AG784="Facture",COUNTIFS(fl_doc,A784,fl_check,"&lt;&gt;OK"),IF(AG784="Devis",COUNTIFS(dl_doc,F784,dl_check,"&lt;&gt;OK"),0))&gt;0,"Ligne(s) à corriger",IF(AND(W784&lt;&gt;"",N(W784)&lt;0),"Trop-perçu : vérifiez paiements et avoirs","OK")))))))))))))))))))))</f>
        <v/>
      </c>
      <c r="AA784" s="62" t="str">
        <f>IF(COUNTA(B784:D784,F784:O784)&gt;0,IF(B784="","Facture",B784),"")</f>
        <v/>
      </c>
      <c r="AB784" s="62" t="str">
        <f>IF(AA784="","",IF(AA784="Avoir",p_pav,IF(AA784="Facture d'acompte",p_pac,p_pfa)))</f>
        <v/>
      </c>
      <c r="AC784" s="62">
        <f>IF(ISNUMBER(C784),C784,0)</f>
        <v>0.0</v>
      </c>
      <c r="AD784" s="62" t="str">
        <f>IF(OR(AA784="",AC784=0),"",YEAR(AC784))</f>
        <v/>
      </c>
      <c r="AE784" s="62" t="str">
        <f>IF(AD784="","",COUNTIFS($AB$6:AB784,AB784,$AD$6:AD784,AD784))</f>
        <v/>
      </c>
      <c r="AF784" s="62">
        <f>IF(A784="",0,COUNTIF(fl_doc,A784))</f>
        <v>0.0</v>
      </c>
      <c r="AG784" s="62" t="str">
        <f>IF(A784="","",IF(AF784&gt;0,"Facture",IF(AND(F784&lt;&gt;"",AA784="Facture",ISNUMBER(MATCH(F784,dv_num,0))),"Devis","")))</f>
        <v/>
      </c>
      <c r="AH784" s="62" t="str">
        <f>IF(AND(A784&lt;&gt;"",F784&lt;&gt;"",AA784&lt;&gt;"Avoir"),F784,"")</f>
        <v/>
      </c>
      <c r="AI784" s="62" t="str">
        <f>IF(AG784="Devis",F784,"")</f>
        <v/>
      </c>
      <c r="AJ784" s="62">
        <f>IF(AG784="Facture",SUMIF(fl_doc,A784,fl_ht),IF(AG784="Devis",SUMIF(dl_doc,F784,dl_ht),0))</f>
        <v>0.0</v>
      </c>
      <c r="AK784" s="62">
        <f>IF(OR(AG784="",INDEX(p_rates,1)=""),0,IF(AG784="Facture",SUMIFS(fl_ht,fl_doc,A784,fl_rate,INDEX(p_rates,1)),SUMIFS(dl_ht,dl_doc,F784,dl_rate,INDEX(p_rates,1))))</f>
        <v>0.0</v>
      </c>
      <c r="AL784" s="62">
        <f>IF(OR(AG784="",INDEX(p_rates,2)=""),0,IF(AG784="Facture",SUMIFS(fl_ht,fl_doc,A784,fl_rate,INDEX(p_rates,2)),SUMIFS(dl_ht,dl_doc,F784,dl_rate,INDEX(p_rates,2))))</f>
        <v>0.0</v>
      </c>
      <c r="AM784" s="62">
        <f>IF(OR(AG784="",INDEX(p_rates,3)=""),0,IF(AG784="Facture",SUMIFS(fl_ht,fl_doc,A784,fl_rate,INDEX(p_rates,3)),SUMIFS(dl_ht,dl_doc,F784,dl_rate,INDEX(p_rates,3))))</f>
        <v>0.0</v>
      </c>
      <c r="AN784" s="62">
        <f>IF(OR(AG784="",INDEX(p_rates,4)=""),0,IF(AG784="Facture",SUMIFS(fl_ht,fl_doc,A784,fl_rate,INDEX(p_rates,4)),SUMIFS(dl_ht,dl_doc,F784,dl_rate,INDEX(p_rates,4))))</f>
        <v>0.0</v>
      </c>
      <c r="AO784" s="62">
        <f>IF(OR(AG784="",INDEX(p_rates,5)=""),0,IF(AG784="Facture",SUMIFS(fl_ht,fl_doc,A784,fl_rate,INDEX(p_rates,5)),SUMIFS(dl_ht,dl_doc,F784,dl_rate,INDEX(p_rates,5))))</f>
        <v>0.0</v>
      </c>
      <c r="AP784" s="62">
        <f>IF(OR(AG784="",INDEX(p_rates,6)=""),0,IF(AG784="Facture",SUMIFS(fl_ht,fl_doc,A784,fl_rate,INDEX(p_rates,6)),SUMIFS(dl_ht,dl_doc,F784,dl_rate,INDEX(p_rates,6))))</f>
        <v>0.0</v>
      </c>
      <c r="AQ784" s="62">
        <f>ROUND(AK784*N(INDEX(p_rates,1)),2)+ROUND(AL784*N(INDEX(p_rates,2)),2)+ROUND(AM784*N(INDEX(p_rates,3)),2)+ROUND(AN784*N(INDEX(p_rates,4)),2)+ROUND(AO784*N(INDEX(p_rates,5)),2)+ROUND(AP784*N(INDEX(p_rates,6)),2)</f>
        <v>0.0</v>
      </c>
      <c r="AR784" s="62" t="str">
        <f>IF(OR(L784="",AA784&lt;&gt;"Facture"),"",IFERROR(IF(INDEX(fa_type,MATCH(L784,fa_num,0))="Facture d'acompte",MATCH(L784,fa_num,0),""),""))</f>
        <v/>
      </c>
      <c r="AS784" s="62" t="str">
        <f>IF(W784="","",IF(W784&lt;=0,"",IF(p_asof-P784&lt;=0,"Non échu",IF(p_asof-P784&lt;=30,"1-30 j",IF(p_asof-P784&lt;=60,"31-60 j",IF(p_asof-P784&lt;=90,"61-90 j","Plus de 90 j"))))))</f>
        <v/>
      </c>
      <c r="AT784" s="62" t="str">
        <f>IF(AS784="","",p_asof-P784)</f>
        <v/>
      </c>
      <c r="AU784" s="62" t="str">
        <f>IF(AT784="","",COUNTIF($AT$6:$AT$805,"&gt;"&amp;AT784)+COUNTIF($AT$6:AT784,AT784))</f>
        <v/>
      </c>
    </row>
    <row r="785">
      <c r="A785" s="59" t="str">
        <f>IF(AE785="","",AB785&amp;"-"&amp;AD785&amp;"-"&amp;RIGHT("000"&amp;AE785,4))</f>
        <v/>
      </c>
      <c r="B785" s="60" t="n"/>
      <c r="C785" s="61" t="n"/>
      <c r="D785" s="60" t="n"/>
      <c r="E785" s="62" t="str">
        <f>IF(D785="","",IFERROR(INDEX(cli_name,MATCH(D785,cli_code,0))&amp;"","Client inconnu"))</f>
        <v/>
      </c>
      <c r="F785" s="60" t="n"/>
      <c r="G785" s="63" t="n"/>
      <c r="H785" s="61" t="n"/>
      <c r="I785" s="63" t="n"/>
      <c r="J785" s="60" t="n"/>
      <c r="K785" s="61" t="n"/>
      <c r="L785" s="60" t="n"/>
      <c r="M785" s="60" t="n"/>
      <c r="N785" s="60" t="n"/>
      <c r="O785" s="61" t="n"/>
      <c r="P785" s="64" t="str">
        <f>IF(A785="","",IF(AA785="Avoir",AC785,IF(ISNUMBER(K785),K785,AC785+IF(D785="",N(p_delay),IFERROR(IF(ISNUMBER(INDEX(cli_delay,MATCH(D785,cli_code,0))),INDEX(cli_delay,MATCH(D785,cli_code,0)),N(p_delay)),N(p_delay))))))</f>
        <v/>
      </c>
      <c r="Q785" s="65" t="str">
        <f>IF(A785="","",IF(AA785="Avoir",-1,1)*ROUND(AJ785-IF(AR785="",0,INDEX(fa_htb,AR785)),2))</f>
        <v/>
      </c>
      <c r="R785" s="65" t="str">
        <f>IF(A785="","",IF(AA785="Avoir",-1,1)*ROUND(AQ785-IF(AR785="",0,INDEX(fa_tvab,AR785)),2))</f>
        <v/>
      </c>
      <c r="S785" s="65" t="str">
        <f>IF(A785="","",Q785+R785)</f>
        <v/>
      </c>
      <c r="T785" s="65" t="str">
        <f>IF(AR785="","",INDEX(fa_htb,AR785)+INDEX(fa_tvab,AR785))</f>
        <v/>
      </c>
      <c r="U785" s="65" t="str">
        <f>IF(A785="","",SUMIF(pa_inv,A785,pa_amt))</f>
        <v/>
      </c>
      <c r="V785" s="65" t="str">
        <f>IF(OR(A785="",AA785="Avoir"),"",-SUMIFS(fa_ttc,fa_avof,A785,fa_type,"Avoir"))</f>
        <v/>
      </c>
      <c r="W785" s="65" t="str">
        <f>IF(OR(A785="",AA785="Avoir"),"",ROUND(S785-U785-V785,2))</f>
        <v/>
      </c>
      <c r="X785" s="66" t="str">
        <f>IF(W785="","",IF(AND(W785&gt;0,p_asof&gt;P785),p_asof-P785,""))</f>
        <v/>
      </c>
      <c r="Y785" s="59" t="str">
        <f>IF(A785="","",IF(AA785="Avoir","Avoir",IF(W785&lt;0,"Trop-perçu",IF(W785=0,"Soldée",IF(p_asof&gt;P785,"En retard",IF(U785+V785&gt;0,"Partielle","À échoir"))))))</f>
        <v/>
      </c>
      <c r="Z785" s="59" t="str">
        <f>IF(NOT(COUNTA(B785:D785,F785:O785)&gt;0),"",IF(C785="","Date manquante",IF(NOT(ISNUMBER(C785)),"Date invalide",IF(D785="","Client manquant",IF(ISNA(MATCH(D785,cli_code,0)),"Client inconnu",IF(AC785&lt;SUMPRODUCT(MAX(($AB$6:AB784=AB785)*$AC$6:AC784)),"Date antérieure à la facture précédente",IF(AND(F785&lt;&gt;"",ISNA(MATCH(F785,dv_num,0))),"Devis inconnu",IF(AND(F785&lt;&gt;"",IFERROR(INDEX(dv_client,MATCH(F785,dv_num,0)),D785)&lt;&gt;D785),"Client différent de celui du devis",IF(AG785="","Aucune ligne : saisissez des lignes ou un devis",IF(AND(AI785&lt;&gt;"",COUNTIF($AI$6:AI785,AI785)&gt;1),"Devis déjà repris par une autre facture",IF(AND(AA785="Avoir",M785=""),"Avoir : indiquez la facture d'origine",IF(AND(AA785="Avoir",ISNA(MATCH(M785,fa_num,0))),"Facture d'origine inconnue",IF(AND(AA785&lt;&gt;"Avoir",M785&lt;&gt;""),"« Avoir sur facture » : réservé aux avoirs",IF(AND(L785&lt;&gt;"",AA785&lt;&gt;"Facture"),"Acompte à déduire : réservé aux factures",IF(AND(L785&lt;&gt;"",ISNA(MATCH(L785,fa_num,0))),"Facture d'acompte inconnue",IF(AND(L785&lt;&gt;"",IFERROR(INDEX(fa_type,MATCH(L785,fa_num,0)),"")&lt;&gt;"Facture d'acompte"),"Le n° à déduire n'est pas une facture d'acompte",IF(AND(L785&lt;&gt;"",COUNTIF($L$6:L785,L785)&gt;1),"Acompte déjà déduit sur une autre facture",IF(AND(L785&lt;&gt;"",IFERROR(INDEX(fa_client,MATCH(L785,fa_num,0)),D785)&lt;&gt;D785),"Acompte d'un autre client",IF(AND(AR785&lt;&gt;"",N(Q785)&lt;0),"Acompte supérieur au total de la facture",IF(IF(AG785="Facture",COUNTIFS(fl_doc,A785,fl_check,"&lt;&gt;OK"),IF(AG785="Devis",COUNTIFS(dl_doc,F785,dl_check,"&lt;&gt;OK"),0))&gt;0,"Ligne(s) à corriger",IF(AND(W785&lt;&gt;"",N(W785)&lt;0),"Trop-perçu : vérifiez paiements et avoirs","OK")))))))))))))))))))))</f>
        <v/>
      </c>
      <c r="AA785" s="62" t="str">
        <f>IF(COUNTA(B785:D785,F785:O785)&gt;0,IF(B785="","Facture",B785),"")</f>
        <v/>
      </c>
      <c r="AB785" s="62" t="str">
        <f>IF(AA785="","",IF(AA785="Avoir",p_pav,IF(AA785="Facture d'acompte",p_pac,p_pfa)))</f>
        <v/>
      </c>
      <c r="AC785" s="62">
        <f>IF(ISNUMBER(C785),C785,0)</f>
        <v>0.0</v>
      </c>
      <c r="AD785" s="62" t="str">
        <f>IF(OR(AA785="",AC785=0),"",YEAR(AC785))</f>
        <v/>
      </c>
      <c r="AE785" s="62" t="str">
        <f>IF(AD785="","",COUNTIFS($AB$6:AB785,AB785,$AD$6:AD785,AD785))</f>
        <v/>
      </c>
      <c r="AF785" s="62">
        <f>IF(A785="",0,COUNTIF(fl_doc,A785))</f>
        <v>0.0</v>
      </c>
      <c r="AG785" s="62" t="str">
        <f>IF(A785="","",IF(AF785&gt;0,"Facture",IF(AND(F785&lt;&gt;"",AA785="Facture",ISNUMBER(MATCH(F785,dv_num,0))),"Devis","")))</f>
        <v/>
      </c>
      <c r="AH785" s="62" t="str">
        <f>IF(AND(A785&lt;&gt;"",F785&lt;&gt;"",AA785&lt;&gt;"Avoir"),F785,"")</f>
        <v/>
      </c>
      <c r="AI785" s="62" t="str">
        <f>IF(AG785="Devis",F785,"")</f>
        <v/>
      </c>
      <c r="AJ785" s="62">
        <f>IF(AG785="Facture",SUMIF(fl_doc,A785,fl_ht),IF(AG785="Devis",SUMIF(dl_doc,F785,dl_ht),0))</f>
        <v>0.0</v>
      </c>
      <c r="AK785" s="62">
        <f>IF(OR(AG785="",INDEX(p_rates,1)=""),0,IF(AG785="Facture",SUMIFS(fl_ht,fl_doc,A785,fl_rate,INDEX(p_rates,1)),SUMIFS(dl_ht,dl_doc,F785,dl_rate,INDEX(p_rates,1))))</f>
        <v>0.0</v>
      </c>
      <c r="AL785" s="62">
        <f>IF(OR(AG785="",INDEX(p_rates,2)=""),0,IF(AG785="Facture",SUMIFS(fl_ht,fl_doc,A785,fl_rate,INDEX(p_rates,2)),SUMIFS(dl_ht,dl_doc,F785,dl_rate,INDEX(p_rates,2))))</f>
        <v>0.0</v>
      </c>
      <c r="AM785" s="62">
        <f>IF(OR(AG785="",INDEX(p_rates,3)=""),0,IF(AG785="Facture",SUMIFS(fl_ht,fl_doc,A785,fl_rate,INDEX(p_rates,3)),SUMIFS(dl_ht,dl_doc,F785,dl_rate,INDEX(p_rates,3))))</f>
        <v>0.0</v>
      </c>
      <c r="AN785" s="62">
        <f>IF(OR(AG785="",INDEX(p_rates,4)=""),0,IF(AG785="Facture",SUMIFS(fl_ht,fl_doc,A785,fl_rate,INDEX(p_rates,4)),SUMIFS(dl_ht,dl_doc,F785,dl_rate,INDEX(p_rates,4))))</f>
        <v>0.0</v>
      </c>
      <c r="AO785" s="62">
        <f>IF(OR(AG785="",INDEX(p_rates,5)=""),0,IF(AG785="Facture",SUMIFS(fl_ht,fl_doc,A785,fl_rate,INDEX(p_rates,5)),SUMIFS(dl_ht,dl_doc,F785,dl_rate,INDEX(p_rates,5))))</f>
        <v>0.0</v>
      </c>
      <c r="AP785" s="62">
        <f>IF(OR(AG785="",INDEX(p_rates,6)=""),0,IF(AG785="Facture",SUMIFS(fl_ht,fl_doc,A785,fl_rate,INDEX(p_rates,6)),SUMIFS(dl_ht,dl_doc,F785,dl_rate,INDEX(p_rates,6))))</f>
        <v>0.0</v>
      </c>
      <c r="AQ785" s="62">
        <f>ROUND(AK785*N(INDEX(p_rates,1)),2)+ROUND(AL785*N(INDEX(p_rates,2)),2)+ROUND(AM785*N(INDEX(p_rates,3)),2)+ROUND(AN785*N(INDEX(p_rates,4)),2)+ROUND(AO785*N(INDEX(p_rates,5)),2)+ROUND(AP785*N(INDEX(p_rates,6)),2)</f>
        <v>0.0</v>
      </c>
      <c r="AR785" s="62" t="str">
        <f>IF(OR(L785="",AA785&lt;&gt;"Facture"),"",IFERROR(IF(INDEX(fa_type,MATCH(L785,fa_num,0))="Facture d'acompte",MATCH(L785,fa_num,0),""),""))</f>
        <v/>
      </c>
      <c r="AS785" s="62" t="str">
        <f>IF(W785="","",IF(W785&lt;=0,"",IF(p_asof-P785&lt;=0,"Non échu",IF(p_asof-P785&lt;=30,"1-30 j",IF(p_asof-P785&lt;=60,"31-60 j",IF(p_asof-P785&lt;=90,"61-90 j","Plus de 90 j"))))))</f>
        <v/>
      </c>
      <c r="AT785" s="62" t="str">
        <f>IF(AS785="","",p_asof-P785)</f>
        <v/>
      </c>
      <c r="AU785" s="62" t="str">
        <f>IF(AT785="","",COUNTIF($AT$6:$AT$805,"&gt;"&amp;AT785)+COUNTIF($AT$6:AT785,AT785))</f>
        <v/>
      </c>
    </row>
    <row r="786">
      <c r="A786" s="59" t="str">
        <f>IF(AE786="","",AB786&amp;"-"&amp;AD786&amp;"-"&amp;RIGHT("000"&amp;AE786,4))</f>
        <v/>
      </c>
      <c r="B786" s="60" t="n"/>
      <c r="C786" s="61" t="n"/>
      <c r="D786" s="60" t="n"/>
      <c r="E786" s="62" t="str">
        <f>IF(D786="","",IFERROR(INDEX(cli_name,MATCH(D786,cli_code,0))&amp;"","Client inconnu"))</f>
        <v/>
      </c>
      <c r="F786" s="60" t="n"/>
      <c r="G786" s="63" t="n"/>
      <c r="H786" s="61" t="n"/>
      <c r="I786" s="63" t="n"/>
      <c r="J786" s="60" t="n"/>
      <c r="K786" s="61" t="n"/>
      <c r="L786" s="60" t="n"/>
      <c r="M786" s="60" t="n"/>
      <c r="N786" s="60" t="n"/>
      <c r="O786" s="61" t="n"/>
      <c r="P786" s="64" t="str">
        <f>IF(A786="","",IF(AA786="Avoir",AC786,IF(ISNUMBER(K786),K786,AC786+IF(D786="",N(p_delay),IFERROR(IF(ISNUMBER(INDEX(cli_delay,MATCH(D786,cli_code,0))),INDEX(cli_delay,MATCH(D786,cli_code,0)),N(p_delay)),N(p_delay))))))</f>
        <v/>
      </c>
      <c r="Q786" s="65" t="str">
        <f>IF(A786="","",IF(AA786="Avoir",-1,1)*ROUND(AJ786-IF(AR786="",0,INDEX(fa_htb,AR786)),2))</f>
        <v/>
      </c>
      <c r="R786" s="65" t="str">
        <f>IF(A786="","",IF(AA786="Avoir",-1,1)*ROUND(AQ786-IF(AR786="",0,INDEX(fa_tvab,AR786)),2))</f>
        <v/>
      </c>
      <c r="S786" s="65" t="str">
        <f>IF(A786="","",Q786+R786)</f>
        <v/>
      </c>
      <c r="T786" s="65" t="str">
        <f>IF(AR786="","",INDEX(fa_htb,AR786)+INDEX(fa_tvab,AR786))</f>
        <v/>
      </c>
      <c r="U786" s="65" t="str">
        <f>IF(A786="","",SUMIF(pa_inv,A786,pa_amt))</f>
        <v/>
      </c>
      <c r="V786" s="65" t="str">
        <f>IF(OR(A786="",AA786="Avoir"),"",-SUMIFS(fa_ttc,fa_avof,A786,fa_type,"Avoir"))</f>
        <v/>
      </c>
      <c r="W786" s="65" t="str">
        <f>IF(OR(A786="",AA786="Avoir"),"",ROUND(S786-U786-V786,2))</f>
        <v/>
      </c>
      <c r="X786" s="66" t="str">
        <f>IF(W786="","",IF(AND(W786&gt;0,p_asof&gt;P786),p_asof-P786,""))</f>
        <v/>
      </c>
      <c r="Y786" s="59" t="str">
        <f>IF(A786="","",IF(AA786="Avoir","Avoir",IF(W786&lt;0,"Trop-perçu",IF(W786=0,"Soldée",IF(p_asof&gt;P786,"En retard",IF(U786+V786&gt;0,"Partielle","À échoir"))))))</f>
        <v/>
      </c>
      <c r="Z786" s="59" t="str">
        <f>IF(NOT(COUNTA(B786:D786,F786:O786)&gt;0),"",IF(C786="","Date manquante",IF(NOT(ISNUMBER(C786)),"Date invalide",IF(D786="","Client manquant",IF(ISNA(MATCH(D786,cli_code,0)),"Client inconnu",IF(AC786&lt;SUMPRODUCT(MAX(($AB$6:AB785=AB786)*$AC$6:AC785)),"Date antérieure à la facture précédente",IF(AND(F786&lt;&gt;"",ISNA(MATCH(F786,dv_num,0))),"Devis inconnu",IF(AND(F786&lt;&gt;"",IFERROR(INDEX(dv_client,MATCH(F786,dv_num,0)),D786)&lt;&gt;D786),"Client différent de celui du devis",IF(AG786="","Aucune ligne : saisissez des lignes ou un devis",IF(AND(AI786&lt;&gt;"",COUNTIF($AI$6:AI786,AI786)&gt;1),"Devis déjà repris par une autre facture",IF(AND(AA786="Avoir",M786=""),"Avoir : indiquez la facture d'origine",IF(AND(AA786="Avoir",ISNA(MATCH(M786,fa_num,0))),"Facture d'origine inconnue",IF(AND(AA786&lt;&gt;"Avoir",M786&lt;&gt;""),"« Avoir sur facture » : réservé aux avoirs",IF(AND(L786&lt;&gt;"",AA786&lt;&gt;"Facture"),"Acompte à déduire : réservé aux factures",IF(AND(L786&lt;&gt;"",ISNA(MATCH(L786,fa_num,0))),"Facture d'acompte inconnue",IF(AND(L786&lt;&gt;"",IFERROR(INDEX(fa_type,MATCH(L786,fa_num,0)),"")&lt;&gt;"Facture d'acompte"),"Le n° à déduire n'est pas une facture d'acompte",IF(AND(L786&lt;&gt;"",COUNTIF($L$6:L786,L786)&gt;1),"Acompte déjà déduit sur une autre facture",IF(AND(L786&lt;&gt;"",IFERROR(INDEX(fa_client,MATCH(L786,fa_num,0)),D786)&lt;&gt;D786),"Acompte d'un autre client",IF(AND(AR786&lt;&gt;"",N(Q786)&lt;0),"Acompte supérieur au total de la facture",IF(IF(AG786="Facture",COUNTIFS(fl_doc,A786,fl_check,"&lt;&gt;OK"),IF(AG786="Devis",COUNTIFS(dl_doc,F786,dl_check,"&lt;&gt;OK"),0))&gt;0,"Ligne(s) à corriger",IF(AND(W786&lt;&gt;"",N(W786)&lt;0),"Trop-perçu : vérifiez paiements et avoirs","OK")))))))))))))))))))))</f>
        <v/>
      </c>
      <c r="AA786" s="62" t="str">
        <f>IF(COUNTA(B786:D786,F786:O786)&gt;0,IF(B786="","Facture",B786),"")</f>
        <v/>
      </c>
      <c r="AB786" s="62" t="str">
        <f>IF(AA786="","",IF(AA786="Avoir",p_pav,IF(AA786="Facture d'acompte",p_pac,p_pfa)))</f>
        <v/>
      </c>
      <c r="AC786" s="62">
        <f>IF(ISNUMBER(C786),C786,0)</f>
        <v>0.0</v>
      </c>
      <c r="AD786" s="62" t="str">
        <f>IF(OR(AA786="",AC786=0),"",YEAR(AC786))</f>
        <v/>
      </c>
      <c r="AE786" s="62" t="str">
        <f>IF(AD786="","",COUNTIFS($AB$6:AB786,AB786,$AD$6:AD786,AD786))</f>
        <v/>
      </c>
      <c r="AF786" s="62">
        <f>IF(A786="",0,COUNTIF(fl_doc,A786))</f>
        <v>0.0</v>
      </c>
      <c r="AG786" s="62" t="str">
        <f>IF(A786="","",IF(AF786&gt;0,"Facture",IF(AND(F786&lt;&gt;"",AA786="Facture",ISNUMBER(MATCH(F786,dv_num,0))),"Devis","")))</f>
        <v/>
      </c>
      <c r="AH786" s="62" t="str">
        <f>IF(AND(A786&lt;&gt;"",F786&lt;&gt;"",AA786&lt;&gt;"Avoir"),F786,"")</f>
        <v/>
      </c>
      <c r="AI786" s="62" t="str">
        <f>IF(AG786="Devis",F786,"")</f>
        <v/>
      </c>
      <c r="AJ786" s="62">
        <f>IF(AG786="Facture",SUMIF(fl_doc,A786,fl_ht),IF(AG786="Devis",SUMIF(dl_doc,F786,dl_ht),0))</f>
        <v>0.0</v>
      </c>
      <c r="AK786" s="62">
        <f>IF(OR(AG786="",INDEX(p_rates,1)=""),0,IF(AG786="Facture",SUMIFS(fl_ht,fl_doc,A786,fl_rate,INDEX(p_rates,1)),SUMIFS(dl_ht,dl_doc,F786,dl_rate,INDEX(p_rates,1))))</f>
        <v>0.0</v>
      </c>
      <c r="AL786" s="62">
        <f>IF(OR(AG786="",INDEX(p_rates,2)=""),0,IF(AG786="Facture",SUMIFS(fl_ht,fl_doc,A786,fl_rate,INDEX(p_rates,2)),SUMIFS(dl_ht,dl_doc,F786,dl_rate,INDEX(p_rates,2))))</f>
        <v>0.0</v>
      </c>
      <c r="AM786" s="62">
        <f>IF(OR(AG786="",INDEX(p_rates,3)=""),0,IF(AG786="Facture",SUMIFS(fl_ht,fl_doc,A786,fl_rate,INDEX(p_rates,3)),SUMIFS(dl_ht,dl_doc,F786,dl_rate,INDEX(p_rates,3))))</f>
        <v>0.0</v>
      </c>
      <c r="AN786" s="62">
        <f>IF(OR(AG786="",INDEX(p_rates,4)=""),0,IF(AG786="Facture",SUMIFS(fl_ht,fl_doc,A786,fl_rate,INDEX(p_rates,4)),SUMIFS(dl_ht,dl_doc,F786,dl_rate,INDEX(p_rates,4))))</f>
        <v>0.0</v>
      </c>
      <c r="AO786" s="62">
        <f>IF(OR(AG786="",INDEX(p_rates,5)=""),0,IF(AG786="Facture",SUMIFS(fl_ht,fl_doc,A786,fl_rate,INDEX(p_rates,5)),SUMIFS(dl_ht,dl_doc,F786,dl_rate,INDEX(p_rates,5))))</f>
        <v>0.0</v>
      </c>
      <c r="AP786" s="62">
        <f>IF(OR(AG786="",INDEX(p_rates,6)=""),0,IF(AG786="Facture",SUMIFS(fl_ht,fl_doc,A786,fl_rate,INDEX(p_rates,6)),SUMIFS(dl_ht,dl_doc,F786,dl_rate,INDEX(p_rates,6))))</f>
        <v>0.0</v>
      </c>
      <c r="AQ786" s="62">
        <f>ROUND(AK786*N(INDEX(p_rates,1)),2)+ROUND(AL786*N(INDEX(p_rates,2)),2)+ROUND(AM786*N(INDEX(p_rates,3)),2)+ROUND(AN786*N(INDEX(p_rates,4)),2)+ROUND(AO786*N(INDEX(p_rates,5)),2)+ROUND(AP786*N(INDEX(p_rates,6)),2)</f>
        <v>0.0</v>
      </c>
      <c r="AR786" s="62" t="str">
        <f>IF(OR(L786="",AA786&lt;&gt;"Facture"),"",IFERROR(IF(INDEX(fa_type,MATCH(L786,fa_num,0))="Facture d'acompte",MATCH(L786,fa_num,0),""),""))</f>
        <v/>
      </c>
      <c r="AS786" s="62" t="str">
        <f>IF(W786="","",IF(W786&lt;=0,"",IF(p_asof-P786&lt;=0,"Non échu",IF(p_asof-P786&lt;=30,"1-30 j",IF(p_asof-P786&lt;=60,"31-60 j",IF(p_asof-P786&lt;=90,"61-90 j","Plus de 90 j"))))))</f>
        <v/>
      </c>
      <c r="AT786" s="62" t="str">
        <f>IF(AS786="","",p_asof-P786)</f>
        <v/>
      </c>
      <c r="AU786" s="62" t="str">
        <f>IF(AT786="","",COUNTIF($AT$6:$AT$805,"&gt;"&amp;AT786)+COUNTIF($AT$6:AT786,AT786))</f>
        <v/>
      </c>
    </row>
    <row r="787">
      <c r="A787" s="59" t="str">
        <f>IF(AE787="","",AB787&amp;"-"&amp;AD787&amp;"-"&amp;RIGHT("000"&amp;AE787,4))</f>
        <v/>
      </c>
      <c r="B787" s="60" t="n"/>
      <c r="C787" s="61" t="n"/>
      <c r="D787" s="60" t="n"/>
      <c r="E787" s="62" t="str">
        <f>IF(D787="","",IFERROR(INDEX(cli_name,MATCH(D787,cli_code,0))&amp;"","Client inconnu"))</f>
        <v/>
      </c>
      <c r="F787" s="60" t="n"/>
      <c r="G787" s="63" t="n"/>
      <c r="H787" s="61" t="n"/>
      <c r="I787" s="63" t="n"/>
      <c r="J787" s="60" t="n"/>
      <c r="K787" s="61" t="n"/>
      <c r="L787" s="60" t="n"/>
      <c r="M787" s="60" t="n"/>
      <c r="N787" s="60" t="n"/>
      <c r="O787" s="61" t="n"/>
      <c r="P787" s="64" t="str">
        <f>IF(A787="","",IF(AA787="Avoir",AC787,IF(ISNUMBER(K787),K787,AC787+IF(D787="",N(p_delay),IFERROR(IF(ISNUMBER(INDEX(cli_delay,MATCH(D787,cli_code,0))),INDEX(cli_delay,MATCH(D787,cli_code,0)),N(p_delay)),N(p_delay))))))</f>
        <v/>
      </c>
      <c r="Q787" s="65" t="str">
        <f>IF(A787="","",IF(AA787="Avoir",-1,1)*ROUND(AJ787-IF(AR787="",0,INDEX(fa_htb,AR787)),2))</f>
        <v/>
      </c>
      <c r="R787" s="65" t="str">
        <f>IF(A787="","",IF(AA787="Avoir",-1,1)*ROUND(AQ787-IF(AR787="",0,INDEX(fa_tvab,AR787)),2))</f>
        <v/>
      </c>
      <c r="S787" s="65" t="str">
        <f>IF(A787="","",Q787+R787)</f>
        <v/>
      </c>
      <c r="T787" s="65" t="str">
        <f>IF(AR787="","",INDEX(fa_htb,AR787)+INDEX(fa_tvab,AR787))</f>
        <v/>
      </c>
      <c r="U787" s="65" t="str">
        <f>IF(A787="","",SUMIF(pa_inv,A787,pa_amt))</f>
        <v/>
      </c>
      <c r="V787" s="65" t="str">
        <f>IF(OR(A787="",AA787="Avoir"),"",-SUMIFS(fa_ttc,fa_avof,A787,fa_type,"Avoir"))</f>
        <v/>
      </c>
      <c r="W787" s="65" t="str">
        <f>IF(OR(A787="",AA787="Avoir"),"",ROUND(S787-U787-V787,2))</f>
        <v/>
      </c>
      <c r="X787" s="66" t="str">
        <f>IF(W787="","",IF(AND(W787&gt;0,p_asof&gt;P787),p_asof-P787,""))</f>
        <v/>
      </c>
      <c r="Y787" s="59" t="str">
        <f>IF(A787="","",IF(AA787="Avoir","Avoir",IF(W787&lt;0,"Trop-perçu",IF(W787=0,"Soldée",IF(p_asof&gt;P787,"En retard",IF(U787+V787&gt;0,"Partielle","À échoir"))))))</f>
        <v/>
      </c>
      <c r="Z787" s="59" t="str">
        <f>IF(NOT(COUNTA(B787:D787,F787:O787)&gt;0),"",IF(C787="","Date manquante",IF(NOT(ISNUMBER(C787)),"Date invalide",IF(D787="","Client manquant",IF(ISNA(MATCH(D787,cli_code,0)),"Client inconnu",IF(AC787&lt;SUMPRODUCT(MAX(($AB$6:AB786=AB787)*$AC$6:AC786)),"Date antérieure à la facture précédente",IF(AND(F787&lt;&gt;"",ISNA(MATCH(F787,dv_num,0))),"Devis inconnu",IF(AND(F787&lt;&gt;"",IFERROR(INDEX(dv_client,MATCH(F787,dv_num,0)),D787)&lt;&gt;D787),"Client différent de celui du devis",IF(AG787="","Aucune ligne : saisissez des lignes ou un devis",IF(AND(AI787&lt;&gt;"",COUNTIF($AI$6:AI787,AI787)&gt;1),"Devis déjà repris par une autre facture",IF(AND(AA787="Avoir",M787=""),"Avoir : indiquez la facture d'origine",IF(AND(AA787="Avoir",ISNA(MATCH(M787,fa_num,0))),"Facture d'origine inconnue",IF(AND(AA787&lt;&gt;"Avoir",M787&lt;&gt;""),"« Avoir sur facture » : réservé aux avoirs",IF(AND(L787&lt;&gt;"",AA787&lt;&gt;"Facture"),"Acompte à déduire : réservé aux factures",IF(AND(L787&lt;&gt;"",ISNA(MATCH(L787,fa_num,0))),"Facture d'acompte inconnue",IF(AND(L787&lt;&gt;"",IFERROR(INDEX(fa_type,MATCH(L787,fa_num,0)),"")&lt;&gt;"Facture d'acompte"),"Le n° à déduire n'est pas une facture d'acompte",IF(AND(L787&lt;&gt;"",COUNTIF($L$6:L787,L787)&gt;1),"Acompte déjà déduit sur une autre facture",IF(AND(L787&lt;&gt;"",IFERROR(INDEX(fa_client,MATCH(L787,fa_num,0)),D787)&lt;&gt;D787),"Acompte d'un autre client",IF(AND(AR787&lt;&gt;"",N(Q787)&lt;0),"Acompte supérieur au total de la facture",IF(IF(AG787="Facture",COUNTIFS(fl_doc,A787,fl_check,"&lt;&gt;OK"),IF(AG787="Devis",COUNTIFS(dl_doc,F787,dl_check,"&lt;&gt;OK"),0))&gt;0,"Ligne(s) à corriger",IF(AND(W787&lt;&gt;"",N(W787)&lt;0),"Trop-perçu : vérifiez paiements et avoirs","OK")))))))))))))))))))))</f>
        <v/>
      </c>
      <c r="AA787" s="62" t="str">
        <f>IF(COUNTA(B787:D787,F787:O787)&gt;0,IF(B787="","Facture",B787),"")</f>
        <v/>
      </c>
      <c r="AB787" s="62" t="str">
        <f>IF(AA787="","",IF(AA787="Avoir",p_pav,IF(AA787="Facture d'acompte",p_pac,p_pfa)))</f>
        <v/>
      </c>
      <c r="AC787" s="62">
        <f>IF(ISNUMBER(C787),C787,0)</f>
        <v>0.0</v>
      </c>
      <c r="AD787" s="62" t="str">
        <f>IF(OR(AA787="",AC787=0),"",YEAR(AC787))</f>
        <v/>
      </c>
      <c r="AE787" s="62" t="str">
        <f>IF(AD787="","",COUNTIFS($AB$6:AB787,AB787,$AD$6:AD787,AD787))</f>
        <v/>
      </c>
      <c r="AF787" s="62">
        <f>IF(A787="",0,COUNTIF(fl_doc,A787))</f>
        <v>0.0</v>
      </c>
      <c r="AG787" s="62" t="str">
        <f>IF(A787="","",IF(AF787&gt;0,"Facture",IF(AND(F787&lt;&gt;"",AA787="Facture",ISNUMBER(MATCH(F787,dv_num,0))),"Devis","")))</f>
        <v/>
      </c>
      <c r="AH787" s="62" t="str">
        <f>IF(AND(A787&lt;&gt;"",F787&lt;&gt;"",AA787&lt;&gt;"Avoir"),F787,"")</f>
        <v/>
      </c>
      <c r="AI787" s="62" t="str">
        <f>IF(AG787="Devis",F787,"")</f>
        <v/>
      </c>
      <c r="AJ787" s="62">
        <f>IF(AG787="Facture",SUMIF(fl_doc,A787,fl_ht),IF(AG787="Devis",SUMIF(dl_doc,F787,dl_ht),0))</f>
        <v>0.0</v>
      </c>
      <c r="AK787" s="62">
        <f>IF(OR(AG787="",INDEX(p_rates,1)=""),0,IF(AG787="Facture",SUMIFS(fl_ht,fl_doc,A787,fl_rate,INDEX(p_rates,1)),SUMIFS(dl_ht,dl_doc,F787,dl_rate,INDEX(p_rates,1))))</f>
        <v>0.0</v>
      </c>
      <c r="AL787" s="62">
        <f>IF(OR(AG787="",INDEX(p_rates,2)=""),0,IF(AG787="Facture",SUMIFS(fl_ht,fl_doc,A787,fl_rate,INDEX(p_rates,2)),SUMIFS(dl_ht,dl_doc,F787,dl_rate,INDEX(p_rates,2))))</f>
        <v>0.0</v>
      </c>
      <c r="AM787" s="62">
        <f>IF(OR(AG787="",INDEX(p_rates,3)=""),0,IF(AG787="Facture",SUMIFS(fl_ht,fl_doc,A787,fl_rate,INDEX(p_rates,3)),SUMIFS(dl_ht,dl_doc,F787,dl_rate,INDEX(p_rates,3))))</f>
        <v>0.0</v>
      </c>
      <c r="AN787" s="62">
        <f>IF(OR(AG787="",INDEX(p_rates,4)=""),0,IF(AG787="Facture",SUMIFS(fl_ht,fl_doc,A787,fl_rate,INDEX(p_rates,4)),SUMIFS(dl_ht,dl_doc,F787,dl_rate,INDEX(p_rates,4))))</f>
        <v>0.0</v>
      </c>
      <c r="AO787" s="62">
        <f>IF(OR(AG787="",INDEX(p_rates,5)=""),0,IF(AG787="Facture",SUMIFS(fl_ht,fl_doc,A787,fl_rate,INDEX(p_rates,5)),SUMIFS(dl_ht,dl_doc,F787,dl_rate,INDEX(p_rates,5))))</f>
        <v>0.0</v>
      </c>
      <c r="AP787" s="62">
        <f>IF(OR(AG787="",INDEX(p_rates,6)=""),0,IF(AG787="Facture",SUMIFS(fl_ht,fl_doc,A787,fl_rate,INDEX(p_rates,6)),SUMIFS(dl_ht,dl_doc,F787,dl_rate,INDEX(p_rates,6))))</f>
        <v>0.0</v>
      </c>
      <c r="AQ787" s="62">
        <f>ROUND(AK787*N(INDEX(p_rates,1)),2)+ROUND(AL787*N(INDEX(p_rates,2)),2)+ROUND(AM787*N(INDEX(p_rates,3)),2)+ROUND(AN787*N(INDEX(p_rates,4)),2)+ROUND(AO787*N(INDEX(p_rates,5)),2)+ROUND(AP787*N(INDEX(p_rates,6)),2)</f>
        <v>0.0</v>
      </c>
      <c r="AR787" s="62" t="str">
        <f>IF(OR(L787="",AA787&lt;&gt;"Facture"),"",IFERROR(IF(INDEX(fa_type,MATCH(L787,fa_num,0))="Facture d'acompte",MATCH(L787,fa_num,0),""),""))</f>
        <v/>
      </c>
      <c r="AS787" s="62" t="str">
        <f>IF(W787="","",IF(W787&lt;=0,"",IF(p_asof-P787&lt;=0,"Non échu",IF(p_asof-P787&lt;=30,"1-30 j",IF(p_asof-P787&lt;=60,"31-60 j",IF(p_asof-P787&lt;=90,"61-90 j","Plus de 90 j"))))))</f>
        <v/>
      </c>
      <c r="AT787" s="62" t="str">
        <f>IF(AS787="","",p_asof-P787)</f>
        <v/>
      </c>
      <c r="AU787" s="62" t="str">
        <f>IF(AT787="","",COUNTIF($AT$6:$AT$805,"&gt;"&amp;AT787)+COUNTIF($AT$6:AT787,AT787))</f>
        <v/>
      </c>
    </row>
    <row r="788">
      <c r="A788" s="59" t="str">
        <f>IF(AE788="","",AB788&amp;"-"&amp;AD788&amp;"-"&amp;RIGHT("000"&amp;AE788,4))</f>
        <v/>
      </c>
      <c r="B788" s="60" t="n"/>
      <c r="C788" s="61" t="n"/>
      <c r="D788" s="60" t="n"/>
      <c r="E788" s="62" t="str">
        <f>IF(D788="","",IFERROR(INDEX(cli_name,MATCH(D788,cli_code,0))&amp;"","Client inconnu"))</f>
        <v/>
      </c>
      <c r="F788" s="60" t="n"/>
      <c r="G788" s="63" t="n"/>
      <c r="H788" s="61" t="n"/>
      <c r="I788" s="63" t="n"/>
      <c r="J788" s="60" t="n"/>
      <c r="K788" s="61" t="n"/>
      <c r="L788" s="60" t="n"/>
      <c r="M788" s="60" t="n"/>
      <c r="N788" s="60" t="n"/>
      <c r="O788" s="61" t="n"/>
      <c r="P788" s="64" t="str">
        <f>IF(A788="","",IF(AA788="Avoir",AC788,IF(ISNUMBER(K788),K788,AC788+IF(D788="",N(p_delay),IFERROR(IF(ISNUMBER(INDEX(cli_delay,MATCH(D788,cli_code,0))),INDEX(cli_delay,MATCH(D788,cli_code,0)),N(p_delay)),N(p_delay))))))</f>
        <v/>
      </c>
      <c r="Q788" s="65" t="str">
        <f>IF(A788="","",IF(AA788="Avoir",-1,1)*ROUND(AJ788-IF(AR788="",0,INDEX(fa_htb,AR788)),2))</f>
        <v/>
      </c>
      <c r="R788" s="65" t="str">
        <f>IF(A788="","",IF(AA788="Avoir",-1,1)*ROUND(AQ788-IF(AR788="",0,INDEX(fa_tvab,AR788)),2))</f>
        <v/>
      </c>
      <c r="S788" s="65" t="str">
        <f>IF(A788="","",Q788+R788)</f>
        <v/>
      </c>
      <c r="T788" s="65" t="str">
        <f>IF(AR788="","",INDEX(fa_htb,AR788)+INDEX(fa_tvab,AR788))</f>
        <v/>
      </c>
      <c r="U788" s="65" t="str">
        <f>IF(A788="","",SUMIF(pa_inv,A788,pa_amt))</f>
        <v/>
      </c>
      <c r="V788" s="65" t="str">
        <f>IF(OR(A788="",AA788="Avoir"),"",-SUMIFS(fa_ttc,fa_avof,A788,fa_type,"Avoir"))</f>
        <v/>
      </c>
      <c r="W788" s="65" t="str">
        <f>IF(OR(A788="",AA788="Avoir"),"",ROUND(S788-U788-V788,2))</f>
        <v/>
      </c>
      <c r="X788" s="66" t="str">
        <f>IF(W788="","",IF(AND(W788&gt;0,p_asof&gt;P788),p_asof-P788,""))</f>
        <v/>
      </c>
      <c r="Y788" s="59" t="str">
        <f>IF(A788="","",IF(AA788="Avoir","Avoir",IF(W788&lt;0,"Trop-perçu",IF(W788=0,"Soldée",IF(p_asof&gt;P788,"En retard",IF(U788+V788&gt;0,"Partielle","À échoir"))))))</f>
        <v/>
      </c>
      <c r="Z788" s="59" t="str">
        <f>IF(NOT(COUNTA(B788:D788,F788:O788)&gt;0),"",IF(C788="","Date manquante",IF(NOT(ISNUMBER(C788)),"Date invalide",IF(D788="","Client manquant",IF(ISNA(MATCH(D788,cli_code,0)),"Client inconnu",IF(AC788&lt;SUMPRODUCT(MAX(($AB$6:AB787=AB788)*$AC$6:AC787)),"Date antérieure à la facture précédente",IF(AND(F788&lt;&gt;"",ISNA(MATCH(F788,dv_num,0))),"Devis inconnu",IF(AND(F788&lt;&gt;"",IFERROR(INDEX(dv_client,MATCH(F788,dv_num,0)),D788)&lt;&gt;D788),"Client différent de celui du devis",IF(AG788="","Aucune ligne : saisissez des lignes ou un devis",IF(AND(AI788&lt;&gt;"",COUNTIF($AI$6:AI788,AI788)&gt;1),"Devis déjà repris par une autre facture",IF(AND(AA788="Avoir",M788=""),"Avoir : indiquez la facture d'origine",IF(AND(AA788="Avoir",ISNA(MATCH(M788,fa_num,0))),"Facture d'origine inconnue",IF(AND(AA788&lt;&gt;"Avoir",M788&lt;&gt;""),"« Avoir sur facture » : réservé aux avoirs",IF(AND(L788&lt;&gt;"",AA788&lt;&gt;"Facture"),"Acompte à déduire : réservé aux factures",IF(AND(L788&lt;&gt;"",ISNA(MATCH(L788,fa_num,0))),"Facture d'acompte inconnue",IF(AND(L788&lt;&gt;"",IFERROR(INDEX(fa_type,MATCH(L788,fa_num,0)),"")&lt;&gt;"Facture d'acompte"),"Le n° à déduire n'est pas une facture d'acompte",IF(AND(L788&lt;&gt;"",COUNTIF($L$6:L788,L788)&gt;1),"Acompte déjà déduit sur une autre facture",IF(AND(L788&lt;&gt;"",IFERROR(INDEX(fa_client,MATCH(L788,fa_num,0)),D788)&lt;&gt;D788),"Acompte d'un autre client",IF(AND(AR788&lt;&gt;"",N(Q788)&lt;0),"Acompte supérieur au total de la facture",IF(IF(AG788="Facture",COUNTIFS(fl_doc,A788,fl_check,"&lt;&gt;OK"),IF(AG788="Devis",COUNTIFS(dl_doc,F788,dl_check,"&lt;&gt;OK"),0))&gt;0,"Ligne(s) à corriger",IF(AND(W788&lt;&gt;"",N(W788)&lt;0),"Trop-perçu : vérifiez paiements et avoirs","OK")))))))))))))))))))))</f>
        <v/>
      </c>
      <c r="AA788" s="62" t="str">
        <f>IF(COUNTA(B788:D788,F788:O788)&gt;0,IF(B788="","Facture",B788),"")</f>
        <v/>
      </c>
      <c r="AB788" s="62" t="str">
        <f>IF(AA788="","",IF(AA788="Avoir",p_pav,IF(AA788="Facture d'acompte",p_pac,p_pfa)))</f>
        <v/>
      </c>
      <c r="AC788" s="62">
        <f>IF(ISNUMBER(C788),C788,0)</f>
        <v>0.0</v>
      </c>
      <c r="AD788" s="62" t="str">
        <f>IF(OR(AA788="",AC788=0),"",YEAR(AC788))</f>
        <v/>
      </c>
      <c r="AE788" s="62" t="str">
        <f>IF(AD788="","",COUNTIFS($AB$6:AB788,AB788,$AD$6:AD788,AD788))</f>
        <v/>
      </c>
      <c r="AF788" s="62">
        <f>IF(A788="",0,COUNTIF(fl_doc,A788))</f>
        <v>0.0</v>
      </c>
      <c r="AG788" s="62" t="str">
        <f>IF(A788="","",IF(AF788&gt;0,"Facture",IF(AND(F788&lt;&gt;"",AA788="Facture",ISNUMBER(MATCH(F788,dv_num,0))),"Devis","")))</f>
        <v/>
      </c>
      <c r="AH788" s="62" t="str">
        <f>IF(AND(A788&lt;&gt;"",F788&lt;&gt;"",AA788&lt;&gt;"Avoir"),F788,"")</f>
        <v/>
      </c>
      <c r="AI788" s="62" t="str">
        <f>IF(AG788="Devis",F788,"")</f>
        <v/>
      </c>
      <c r="AJ788" s="62">
        <f>IF(AG788="Facture",SUMIF(fl_doc,A788,fl_ht),IF(AG788="Devis",SUMIF(dl_doc,F788,dl_ht),0))</f>
        <v>0.0</v>
      </c>
      <c r="AK788" s="62">
        <f>IF(OR(AG788="",INDEX(p_rates,1)=""),0,IF(AG788="Facture",SUMIFS(fl_ht,fl_doc,A788,fl_rate,INDEX(p_rates,1)),SUMIFS(dl_ht,dl_doc,F788,dl_rate,INDEX(p_rates,1))))</f>
        <v>0.0</v>
      </c>
      <c r="AL788" s="62">
        <f>IF(OR(AG788="",INDEX(p_rates,2)=""),0,IF(AG788="Facture",SUMIFS(fl_ht,fl_doc,A788,fl_rate,INDEX(p_rates,2)),SUMIFS(dl_ht,dl_doc,F788,dl_rate,INDEX(p_rates,2))))</f>
        <v>0.0</v>
      </c>
      <c r="AM788" s="62">
        <f>IF(OR(AG788="",INDEX(p_rates,3)=""),0,IF(AG788="Facture",SUMIFS(fl_ht,fl_doc,A788,fl_rate,INDEX(p_rates,3)),SUMIFS(dl_ht,dl_doc,F788,dl_rate,INDEX(p_rates,3))))</f>
        <v>0.0</v>
      </c>
      <c r="AN788" s="62">
        <f>IF(OR(AG788="",INDEX(p_rates,4)=""),0,IF(AG788="Facture",SUMIFS(fl_ht,fl_doc,A788,fl_rate,INDEX(p_rates,4)),SUMIFS(dl_ht,dl_doc,F788,dl_rate,INDEX(p_rates,4))))</f>
        <v>0.0</v>
      </c>
      <c r="AO788" s="62">
        <f>IF(OR(AG788="",INDEX(p_rates,5)=""),0,IF(AG788="Facture",SUMIFS(fl_ht,fl_doc,A788,fl_rate,INDEX(p_rates,5)),SUMIFS(dl_ht,dl_doc,F788,dl_rate,INDEX(p_rates,5))))</f>
        <v>0.0</v>
      </c>
      <c r="AP788" s="62">
        <f>IF(OR(AG788="",INDEX(p_rates,6)=""),0,IF(AG788="Facture",SUMIFS(fl_ht,fl_doc,A788,fl_rate,INDEX(p_rates,6)),SUMIFS(dl_ht,dl_doc,F788,dl_rate,INDEX(p_rates,6))))</f>
        <v>0.0</v>
      </c>
      <c r="AQ788" s="62">
        <f>ROUND(AK788*N(INDEX(p_rates,1)),2)+ROUND(AL788*N(INDEX(p_rates,2)),2)+ROUND(AM788*N(INDEX(p_rates,3)),2)+ROUND(AN788*N(INDEX(p_rates,4)),2)+ROUND(AO788*N(INDEX(p_rates,5)),2)+ROUND(AP788*N(INDEX(p_rates,6)),2)</f>
        <v>0.0</v>
      </c>
      <c r="AR788" s="62" t="str">
        <f>IF(OR(L788="",AA788&lt;&gt;"Facture"),"",IFERROR(IF(INDEX(fa_type,MATCH(L788,fa_num,0))="Facture d'acompte",MATCH(L788,fa_num,0),""),""))</f>
        <v/>
      </c>
      <c r="AS788" s="62" t="str">
        <f>IF(W788="","",IF(W788&lt;=0,"",IF(p_asof-P788&lt;=0,"Non échu",IF(p_asof-P788&lt;=30,"1-30 j",IF(p_asof-P788&lt;=60,"31-60 j",IF(p_asof-P788&lt;=90,"61-90 j","Plus de 90 j"))))))</f>
        <v/>
      </c>
      <c r="AT788" s="62" t="str">
        <f>IF(AS788="","",p_asof-P788)</f>
        <v/>
      </c>
      <c r="AU788" s="62" t="str">
        <f>IF(AT788="","",COUNTIF($AT$6:$AT$805,"&gt;"&amp;AT788)+COUNTIF($AT$6:AT788,AT788))</f>
        <v/>
      </c>
    </row>
    <row r="789">
      <c r="A789" s="59" t="str">
        <f>IF(AE789="","",AB789&amp;"-"&amp;AD789&amp;"-"&amp;RIGHT("000"&amp;AE789,4))</f>
        <v/>
      </c>
      <c r="B789" s="60" t="n"/>
      <c r="C789" s="61" t="n"/>
      <c r="D789" s="60" t="n"/>
      <c r="E789" s="62" t="str">
        <f>IF(D789="","",IFERROR(INDEX(cli_name,MATCH(D789,cli_code,0))&amp;"","Client inconnu"))</f>
        <v/>
      </c>
      <c r="F789" s="60" t="n"/>
      <c r="G789" s="63" t="n"/>
      <c r="H789" s="61" t="n"/>
      <c r="I789" s="63" t="n"/>
      <c r="J789" s="60" t="n"/>
      <c r="K789" s="61" t="n"/>
      <c r="L789" s="60" t="n"/>
      <c r="M789" s="60" t="n"/>
      <c r="N789" s="60" t="n"/>
      <c r="O789" s="61" t="n"/>
      <c r="P789" s="64" t="str">
        <f>IF(A789="","",IF(AA789="Avoir",AC789,IF(ISNUMBER(K789),K789,AC789+IF(D789="",N(p_delay),IFERROR(IF(ISNUMBER(INDEX(cli_delay,MATCH(D789,cli_code,0))),INDEX(cli_delay,MATCH(D789,cli_code,0)),N(p_delay)),N(p_delay))))))</f>
        <v/>
      </c>
      <c r="Q789" s="65" t="str">
        <f>IF(A789="","",IF(AA789="Avoir",-1,1)*ROUND(AJ789-IF(AR789="",0,INDEX(fa_htb,AR789)),2))</f>
        <v/>
      </c>
      <c r="R789" s="65" t="str">
        <f>IF(A789="","",IF(AA789="Avoir",-1,1)*ROUND(AQ789-IF(AR789="",0,INDEX(fa_tvab,AR789)),2))</f>
        <v/>
      </c>
      <c r="S789" s="65" t="str">
        <f>IF(A789="","",Q789+R789)</f>
        <v/>
      </c>
      <c r="T789" s="65" t="str">
        <f>IF(AR789="","",INDEX(fa_htb,AR789)+INDEX(fa_tvab,AR789))</f>
        <v/>
      </c>
      <c r="U789" s="65" t="str">
        <f>IF(A789="","",SUMIF(pa_inv,A789,pa_amt))</f>
        <v/>
      </c>
      <c r="V789" s="65" t="str">
        <f>IF(OR(A789="",AA789="Avoir"),"",-SUMIFS(fa_ttc,fa_avof,A789,fa_type,"Avoir"))</f>
        <v/>
      </c>
      <c r="W789" s="65" t="str">
        <f>IF(OR(A789="",AA789="Avoir"),"",ROUND(S789-U789-V789,2))</f>
        <v/>
      </c>
      <c r="X789" s="66" t="str">
        <f>IF(W789="","",IF(AND(W789&gt;0,p_asof&gt;P789),p_asof-P789,""))</f>
        <v/>
      </c>
      <c r="Y789" s="59" t="str">
        <f>IF(A789="","",IF(AA789="Avoir","Avoir",IF(W789&lt;0,"Trop-perçu",IF(W789=0,"Soldée",IF(p_asof&gt;P789,"En retard",IF(U789+V789&gt;0,"Partielle","À échoir"))))))</f>
        <v/>
      </c>
      <c r="Z789" s="59" t="str">
        <f>IF(NOT(COUNTA(B789:D789,F789:O789)&gt;0),"",IF(C789="","Date manquante",IF(NOT(ISNUMBER(C789)),"Date invalide",IF(D789="","Client manquant",IF(ISNA(MATCH(D789,cli_code,0)),"Client inconnu",IF(AC789&lt;SUMPRODUCT(MAX(($AB$6:AB788=AB789)*$AC$6:AC788)),"Date antérieure à la facture précédente",IF(AND(F789&lt;&gt;"",ISNA(MATCH(F789,dv_num,0))),"Devis inconnu",IF(AND(F789&lt;&gt;"",IFERROR(INDEX(dv_client,MATCH(F789,dv_num,0)),D789)&lt;&gt;D789),"Client différent de celui du devis",IF(AG789="","Aucune ligne : saisissez des lignes ou un devis",IF(AND(AI789&lt;&gt;"",COUNTIF($AI$6:AI789,AI789)&gt;1),"Devis déjà repris par une autre facture",IF(AND(AA789="Avoir",M789=""),"Avoir : indiquez la facture d'origine",IF(AND(AA789="Avoir",ISNA(MATCH(M789,fa_num,0))),"Facture d'origine inconnue",IF(AND(AA789&lt;&gt;"Avoir",M789&lt;&gt;""),"« Avoir sur facture » : réservé aux avoirs",IF(AND(L789&lt;&gt;"",AA789&lt;&gt;"Facture"),"Acompte à déduire : réservé aux factures",IF(AND(L789&lt;&gt;"",ISNA(MATCH(L789,fa_num,0))),"Facture d'acompte inconnue",IF(AND(L789&lt;&gt;"",IFERROR(INDEX(fa_type,MATCH(L789,fa_num,0)),"")&lt;&gt;"Facture d'acompte"),"Le n° à déduire n'est pas une facture d'acompte",IF(AND(L789&lt;&gt;"",COUNTIF($L$6:L789,L789)&gt;1),"Acompte déjà déduit sur une autre facture",IF(AND(L789&lt;&gt;"",IFERROR(INDEX(fa_client,MATCH(L789,fa_num,0)),D789)&lt;&gt;D789),"Acompte d'un autre client",IF(AND(AR789&lt;&gt;"",N(Q789)&lt;0),"Acompte supérieur au total de la facture",IF(IF(AG789="Facture",COUNTIFS(fl_doc,A789,fl_check,"&lt;&gt;OK"),IF(AG789="Devis",COUNTIFS(dl_doc,F789,dl_check,"&lt;&gt;OK"),0))&gt;0,"Ligne(s) à corriger",IF(AND(W789&lt;&gt;"",N(W789)&lt;0),"Trop-perçu : vérifiez paiements et avoirs","OK")))))))))))))))))))))</f>
        <v/>
      </c>
      <c r="AA789" s="62" t="str">
        <f>IF(COUNTA(B789:D789,F789:O789)&gt;0,IF(B789="","Facture",B789),"")</f>
        <v/>
      </c>
      <c r="AB789" s="62" t="str">
        <f>IF(AA789="","",IF(AA789="Avoir",p_pav,IF(AA789="Facture d'acompte",p_pac,p_pfa)))</f>
        <v/>
      </c>
      <c r="AC789" s="62">
        <f>IF(ISNUMBER(C789),C789,0)</f>
        <v>0.0</v>
      </c>
      <c r="AD789" s="62" t="str">
        <f>IF(OR(AA789="",AC789=0),"",YEAR(AC789))</f>
        <v/>
      </c>
      <c r="AE789" s="62" t="str">
        <f>IF(AD789="","",COUNTIFS($AB$6:AB789,AB789,$AD$6:AD789,AD789))</f>
        <v/>
      </c>
      <c r="AF789" s="62">
        <f>IF(A789="",0,COUNTIF(fl_doc,A789))</f>
        <v>0.0</v>
      </c>
      <c r="AG789" s="62" t="str">
        <f>IF(A789="","",IF(AF789&gt;0,"Facture",IF(AND(F789&lt;&gt;"",AA789="Facture",ISNUMBER(MATCH(F789,dv_num,0))),"Devis","")))</f>
        <v/>
      </c>
      <c r="AH789" s="62" t="str">
        <f>IF(AND(A789&lt;&gt;"",F789&lt;&gt;"",AA789&lt;&gt;"Avoir"),F789,"")</f>
        <v/>
      </c>
      <c r="AI789" s="62" t="str">
        <f>IF(AG789="Devis",F789,"")</f>
        <v/>
      </c>
      <c r="AJ789" s="62">
        <f>IF(AG789="Facture",SUMIF(fl_doc,A789,fl_ht),IF(AG789="Devis",SUMIF(dl_doc,F789,dl_ht),0))</f>
        <v>0.0</v>
      </c>
      <c r="AK789" s="62">
        <f>IF(OR(AG789="",INDEX(p_rates,1)=""),0,IF(AG789="Facture",SUMIFS(fl_ht,fl_doc,A789,fl_rate,INDEX(p_rates,1)),SUMIFS(dl_ht,dl_doc,F789,dl_rate,INDEX(p_rates,1))))</f>
        <v>0.0</v>
      </c>
      <c r="AL789" s="62">
        <f>IF(OR(AG789="",INDEX(p_rates,2)=""),0,IF(AG789="Facture",SUMIFS(fl_ht,fl_doc,A789,fl_rate,INDEX(p_rates,2)),SUMIFS(dl_ht,dl_doc,F789,dl_rate,INDEX(p_rates,2))))</f>
        <v>0.0</v>
      </c>
      <c r="AM789" s="62">
        <f>IF(OR(AG789="",INDEX(p_rates,3)=""),0,IF(AG789="Facture",SUMIFS(fl_ht,fl_doc,A789,fl_rate,INDEX(p_rates,3)),SUMIFS(dl_ht,dl_doc,F789,dl_rate,INDEX(p_rates,3))))</f>
        <v>0.0</v>
      </c>
      <c r="AN789" s="62">
        <f>IF(OR(AG789="",INDEX(p_rates,4)=""),0,IF(AG789="Facture",SUMIFS(fl_ht,fl_doc,A789,fl_rate,INDEX(p_rates,4)),SUMIFS(dl_ht,dl_doc,F789,dl_rate,INDEX(p_rates,4))))</f>
        <v>0.0</v>
      </c>
      <c r="AO789" s="62">
        <f>IF(OR(AG789="",INDEX(p_rates,5)=""),0,IF(AG789="Facture",SUMIFS(fl_ht,fl_doc,A789,fl_rate,INDEX(p_rates,5)),SUMIFS(dl_ht,dl_doc,F789,dl_rate,INDEX(p_rates,5))))</f>
        <v>0.0</v>
      </c>
      <c r="AP789" s="62">
        <f>IF(OR(AG789="",INDEX(p_rates,6)=""),0,IF(AG789="Facture",SUMIFS(fl_ht,fl_doc,A789,fl_rate,INDEX(p_rates,6)),SUMIFS(dl_ht,dl_doc,F789,dl_rate,INDEX(p_rates,6))))</f>
        <v>0.0</v>
      </c>
      <c r="AQ789" s="62">
        <f>ROUND(AK789*N(INDEX(p_rates,1)),2)+ROUND(AL789*N(INDEX(p_rates,2)),2)+ROUND(AM789*N(INDEX(p_rates,3)),2)+ROUND(AN789*N(INDEX(p_rates,4)),2)+ROUND(AO789*N(INDEX(p_rates,5)),2)+ROUND(AP789*N(INDEX(p_rates,6)),2)</f>
        <v>0.0</v>
      </c>
      <c r="AR789" s="62" t="str">
        <f>IF(OR(L789="",AA789&lt;&gt;"Facture"),"",IFERROR(IF(INDEX(fa_type,MATCH(L789,fa_num,0))="Facture d'acompte",MATCH(L789,fa_num,0),""),""))</f>
        <v/>
      </c>
      <c r="AS789" s="62" t="str">
        <f>IF(W789="","",IF(W789&lt;=0,"",IF(p_asof-P789&lt;=0,"Non échu",IF(p_asof-P789&lt;=30,"1-30 j",IF(p_asof-P789&lt;=60,"31-60 j",IF(p_asof-P789&lt;=90,"61-90 j","Plus de 90 j"))))))</f>
        <v/>
      </c>
      <c r="AT789" s="62" t="str">
        <f>IF(AS789="","",p_asof-P789)</f>
        <v/>
      </c>
      <c r="AU789" s="62" t="str">
        <f>IF(AT789="","",COUNTIF($AT$6:$AT$805,"&gt;"&amp;AT789)+COUNTIF($AT$6:AT789,AT789))</f>
        <v/>
      </c>
    </row>
    <row r="790">
      <c r="A790" s="59" t="str">
        <f>IF(AE790="","",AB790&amp;"-"&amp;AD790&amp;"-"&amp;RIGHT("000"&amp;AE790,4))</f>
        <v/>
      </c>
      <c r="B790" s="60" t="n"/>
      <c r="C790" s="61" t="n"/>
      <c r="D790" s="60" t="n"/>
      <c r="E790" s="62" t="str">
        <f>IF(D790="","",IFERROR(INDEX(cli_name,MATCH(D790,cli_code,0))&amp;"","Client inconnu"))</f>
        <v/>
      </c>
      <c r="F790" s="60" t="n"/>
      <c r="G790" s="63" t="n"/>
      <c r="H790" s="61" t="n"/>
      <c r="I790" s="63" t="n"/>
      <c r="J790" s="60" t="n"/>
      <c r="K790" s="61" t="n"/>
      <c r="L790" s="60" t="n"/>
      <c r="M790" s="60" t="n"/>
      <c r="N790" s="60" t="n"/>
      <c r="O790" s="61" t="n"/>
      <c r="P790" s="64" t="str">
        <f>IF(A790="","",IF(AA790="Avoir",AC790,IF(ISNUMBER(K790),K790,AC790+IF(D790="",N(p_delay),IFERROR(IF(ISNUMBER(INDEX(cli_delay,MATCH(D790,cli_code,0))),INDEX(cli_delay,MATCH(D790,cli_code,0)),N(p_delay)),N(p_delay))))))</f>
        <v/>
      </c>
      <c r="Q790" s="65" t="str">
        <f>IF(A790="","",IF(AA790="Avoir",-1,1)*ROUND(AJ790-IF(AR790="",0,INDEX(fa_htb,AR790)),2))</f>
        <v/>
      </c>
      <c r="R790" s="65" t="str">
        <f>IF(A790="","",IF(AA790="Avoir",-1,1)*ROUND(AQ790-IF(AR790="",0,INDEX(fa_tvab,AR790)),2))</f>
        <v/>
      </c>
      <c r="S790" s="65" t="str">
        <f>IF(A790="","",Q790+R790)</f>
        <v/>
      </c>
      <c r="T790" s="65" t="str">
        <f>IF(AR790="","",INDEX(fa_htb,AR790)+INDEX(fa_tvab,AR790))</f>
        <v/>
      </c>
      <c r="U790" s="65" t="str">
        <f>IF(A790="","",SUMIF(pa_inv,A790,pa_amt))</f>
        <v/>
      </c>
      <c r="V790" s="65" t="str">
        <f>IF(OR(A790="",AA790="Avoir"),"",-SUMIFS(fa_ttc,fa_avof,A790,fa_type,"Avoir"))</f>
        <v/>
      </c>
      <c r="W790" s="65" t="str">
        <f>IF(OR(A790="",AA790="Avoir"),"",ROUND(S790-U790-V790,2))</f>
        <v/>
      </c>
      <c r="X790" s="66" t="str">
        <f>IF(W790="","",IF(AND(W790&gt;0,p_asof&gt;P790),p_asof-P790,""))</f>
        <v/>
      </c>
      <c r="Y790" s="59" t="str">
        <f>IF(A790="","",IF(AA790="Avoir","Avoir",IF(W790&lt;0,"Trop-perçu",IF(W790=0,"Soldée",IF(p_asof&gt;P790,"En retard",IF(U790+V790&gt;0,"Partielle","À échoir"))))))</f>
        <v/>
      </c>
      <c r="Z790" s="59" t="str">
        <f>IF(NOT(COUNTA(B790:D790,F790:O790)&gt;0),"",IF(C790="","Date manquante",IF(NOT(ISNUMBER(C790)),"Date invalide",IF(D790="","Client manquant",IF(ISNA(MATCH(D790,cli_code,0)),"Client inconnu",IF(AC790&lt;SUMPRODUCT(MAX(($AB$6:AB789=AB790)*$AC$6:AC789)),"Date antérieure à la facture précédente",IF(AND(F790&lt;&gt;"",ISNA(MATCH(F790,dv_num,0))),"Devis inconnu",IF(AND(F790&lt;&gt;"",IFERROR(INDEX(dv_client,MATCH(F790,dv_num,0)),D790)&lt;&gt;D790),"Client différent de celui du devis",IF(AG790="","Aucune ligne : saisissez des lignes ou un devis",IF(AND(AI790&lt;&gt;"",COUNTIF($AI$6:AI790,AI790)&gt;1),"Devis déjà repris par une autre facture",IF(AND(AA790="Avoir",M790=""),"Avoir : indiquez la facture d'origine",IF(AND(AA790="Avoir",ISNA(MATCH(M790,fa_num,0))),"Facture d'origine inconnue",IF(AND(AA790&lt;&gt;"Avoir",M790&lt;&gt;""),"« Avoir sur facture » : réservé aux avoirs",IF(AND(L790&lt;&gt;"",AA790&lt;&gt;"Facture"),"Acompte à déduire : réservé aux factures",IF(AND(L790&lt;&gt;"",ISNA(MATCH(L790,fa_num,0))),"Facture d'acompte inconnue",IF(AND(L790&lt;&gt;"",IFERROR(INDEX(fa_type,MATCH(L790,fa_num,0)),"")&lt;&gt;"Facture d'acompte"),"Le n° à déduire n'est pas une facture d'acompte",IF(AND(L790&lt;&gt;"",COUNTIF($L$6:L790,L790)&gt;1),"Acompte déjà déduit sur une autre facture",IF(AND(L790&lt;&gt;"",IFERROR(INDEX(fa_client,MATCH(L790,fa_num,0)),D790)&lt;&gt;D790),"Acompte d'un autre client",IF(AND(AR790&lt;&gt;"",N(Q790)&lt;0),"Acompte supérieur au total de la facture",IF(IF(AG790="Facture",COUNTIFS(fl_doc,A790,fl_check,"&lt;&gt;OK"),IF(AG790="Devis",COUNTIFS(dl_doc,F790,dl_check,"&lt;&gt;OK"),0))&gt;0,"Ligne(s) à corriger",IF(AND(W790&lt;&gt;"",N(W790)&lt;0),"Trop-perçu : vérifiez paiements et avoirs","OK")))))))))))))))))))))</f>
        <v/>
      </c>
      <c r="AA790" s="62" t="str">
        <f>IF(COUNTA(B790:D790,F790:O790)&gt;0,IF(B790="","Facture",B790),"")</f>
        <v/>
      </c>
      <c r="AB790" s="62" t="str">
        <f>IF(AA790="","",IF(AA790="Avoir",p_pav,IF(AA790="Facture d'acompte",p_pac,p_pfa)))</f>
        <v/>
      </c>
      <c r="AC790" s="62">
        <f>IF(ISNUMBER(C790),C790,0)</f>
        <v>0.0</v>
      </c>
      <c r="AD790" s="62" t="str">
        <f>IF(OR(AA790="",AC790=0),"",YEAR(AC790))</f>
        <v/>
      </c>
      <c r="AE790" s="62" t="str">
        <f>IF(AD790="","",COUNTIFS($AB$6:AB790,AB790,$AD$6:AD790,AD790))</f>
        <v/>
      </c>
      <c r="AF790" s="62">
        <f>IF(A790="",0,COUNTIF(fl_doc,A790))</f>
        <v>0.0</v>
      </c>
      <c r="AG790" s="62" t="str">
        <f>IF(A790="","",IF(AF790&gt;0,"Facture",IF(AND(F790&lt;&gt;"",AA790="Facture",ISNUMBER(MATCH(F790,dv_num,0))),"Devis","")))</f>
        <v/>
      </c>
      <c r="AH790" s="62" t="str">
        <f>IF(AND(A790&lt;&gt;"",F790&lt;&gt;"",AA790&lt;&gt;"Avoir"),F790,"")</f>
        <v/>
      </c>
      <c r="AI790" s="62" t="str">
        <f>IF(AG790="Devis",F790,"")</f>
        <v/>
      </c>
      <c r="AJ790" s="62">
        <f>IF(AG790="Facture",SUMIF(fl_doc,A790,fl_ht),IF(AG790="Devis",SUMIF(dl_doc,F790,dl_ht),0))</f>
        <v>0.0</v>
      </c>
      <c r="AK790" s="62">
        <f>IF(OR(AG790="",INDEX(p_rates,1)=""),0,IF(AG790="Facture",SUMIFS(fl_ht,fl_doc,A790,fl_rate,INDEX(p_rates,1)),SUMIFS(dl_ht,dl_doc,F790,dl_rate,INDEX(p_rates,1))))</f>
        <v>0.0</v>
      </c>
      <c r="AL790" s="62">
        <f>IF(OR(AG790="",INDEX(p_rates,2)=""),0,IF(AG790="Facture",SUMIFS(fl_ht,fl_doc,A790,fl_rate,INDEX(p_rates,2)),SUMIFS(dl_ht,dl_doc,F790,dl_rate,INDEX(p_rates,2))))</f>
        <v>0.0</v>
      </c>
      <c r="AM790" s="62">
        <f>IF(OR(AG790="",INDEX(p_rates,3)=""),0,IF(AG790="Facture",SUMIFS(fl_ht,fl_doc,A790,fl_rate,INDEX(p_rates,3)),SUMIFS(dl_ht,dl_doc,F790,dl_rate,INDEX(p_rates,3))))</f>
        <v>0.0</v>
      </c>
      <c r="AN790" s="62">
        <f>IF(OR(AG790="",INDEX(p_rates,4)=""),0,IF(AG790="Facture",SUMIFS(fl_ht,fl_doc,A790,fl_rate,INDEX(p_rates,4)),SUMIFS(dl_ht,dl_doc,F790,dl_rate,INDEX(p_rates,4))))</f>
        <v>0.0</v>
      </c>
      <c r="AO790" s="62">
        <f>IF(OR(AG790="",INDEX(p_rates,5)=""),0,IF(AG790="Facture",SUMIFS(fl_ht,fl_doc,A790,fl_rate,INDEX(p_rates,5)),SUMIFS(dl_ht,dl_doc,F790,dl_rate,INDEX(p_rates,5))))</f>
        <v>0.0</v>
      </c>
      <c r="AP790" s="62">
        <f>IF(OR(AG790="",INDEX(p_rates,6)=""),0,IF(AG790="Facture",SUMIFS(fl_ht,fl_doc,A790,fl_rate,INDEX(p_rates,6)),SUMIFS(dl_ht,dl_doc,F790,dl_rate,INDEX(p_rates,6))))</f>
        <v>0.0</v>
      </c>
      <c r="AQ790" s="62">
        <f>ROUND(AK790*N(INDEX(p_rates,1)),2)+ROUND(AL790*N(INDEX(p_rates,2)),2)+ROUND(AM790*N(INDEX(p_rates,3)),2)+ROUND(AN790*N(INDEX(p_rates,4)),2)+ROUND(AO790*N(INDEX(p_rates,5)),2)+ROUND(AP790*N(INDEX(p_rates,6)),2)</f>
        <v>0.0</v>
      </c>
      <c r="AR790" s="62" t="str">
        <f>IF(OR(L790="",AA790&lt;&gt;"Facture"),"",IFERROR(IF(INDEX(fa_type,MATCH(L790,fa_num,0))="Facture d'acompte",MATCH(L790,fa_num,0),""),""))</f>
        <v/>
      </c>
      <c r="AS790" s="62" t="str">
        <f>IF(W790="","",IF(W790&lt;=0,"",IF(p_asof-P790&lt;=0,"Non échu",IF(p_asof-P790&lt;=30,"1-30 j",IF(p_asof-P790&lt;=60,"31-60 j",IF(p_asof-P790&lt;=90,"61-90 j","Plus de 90 j"))))))</f>
        <v/>
      </c>
      <c r="AT790" s="62" t="str">
        <f>IF(AS790="","",p_asof-P790)</f>
        <v/>
      </c>
      <c r="AU790" s="62" t="str">
        <f>IF(AT790="","",COUNTIF($AT$6:$AT$805,"&gt;"&amp;AT790)+COUNTIF($AT$6:AT790,AT790))</f>
        <v/>
      </c>
    </row>
    <row r="791">
      <c r="A791" s="59" t="str">
        <f>IF(AE791="","",AB791&amp;"-"&amp;AD791&amp;"-"&amp;RIGHT("000"&amp;AE791,4))</f>
        <v/>
      </c>
      <c r="B791" s="60" t="n"/>
      <c r="C791" s="61" t="n"/>
      <c r="D791" s="60" t="n"/>
      <c r="E791" s="62" t="str">
        <f>IF(D791="","",IFERROR(INDEX(cli_name,MATCH(D791,cli_code,0))&amp;"","Client inconnu"))</f>
        <v/>
      </c>
      <c r="F791" s="60" t="n"/>
      <c r="G791" s="63" t="n"/>
      <c r="H791" s="61" t="n"/>
      <c r="I791" s="63" t="n"/>
      <c r="J791" s="60" t="n"/>
      <c r="K791" s="61" t="n"/>
      <c r="L791" s="60" t="n"/>
      <c r="M791" s="60" t="n"/>
      <c r="N791" s="60" t="n"/>
      <c r="O791" s="61" t="n"/>
      <c r="P791" s="64" t="str">
        <f>IF(A791="","",IF(AA791="Avoir",AC791,IF(ISNUMBER(K791),K791,AC791+IF(D791="",N(p_delay),IFERROR(IF(ISNUMBER(INDEX(cli_delay,MATCH(D791,cli_code,0))),INDEX(cli_delay,MATCH(D791,cli_code,0)),N(p_delay)),N(p_delay))))))</f>
        <v/>
      </c>
      <c r="Q791" s="65" t="str">
        <f>IF(A791="","",IF(AA791="Avoir",-1,1)*ROUND(AJ791-IF(AR791="",0,INDEX(fa_htb,AR791)),2))</f>
        <v/>
      </c>
      <c r="R791" s="65" t="str">
        <f>IF(A791="","",IF(AA791="Avoir",-1,1)*ROUND(AQ791-IF(AR791="",0,INDEX(fa_tvab,AR791)),2))</f>
        <v/>
      </c>
      <c r="S791" s="65" t="str">
        <f>IF(A791="","",Q791+R791)</f>
        <v/>
      </c>
      <c r="T791" s="65" t="str">
        <f>IF(AR791="","",INDEX(fa_htb,AR791)+INDEX(fa_tvab,AR791))</f>
        <v/>
      </c>
      <c r="U791" s="65" t="str">
        <f>IF(A791="","",SUMIF(pa_inv,A791,pa_amt))</f>
        <v/>
      </c>
      <c r="V791" s="65" t="str">
        <f>IF(OR(A791="",AA791="Avoir"),"",-SUMIFS(fa_ttc,fa_avof,A791,fa_type,"Avoir"))</f>
        <v/>
      </c>
      <c r="W791" s="65" t="str">
        <f>IF(OR(A791="",AA791="Avoir"),"",ROUND(S791-U791-V791,2))</f>
        <v/>
      </c>
      <c r="X791" s="66" t="str">
        <f>IF(W791="","",IF(AND(W791&gt;0,p_asof&gt;P791),p_asof-P791,""))</f>
        <v/>
      </c>
      <c r="Y791" s="59" t="str">
        <f>IF(A791="","",IF(AA791="Avoir","Avoir",IF(W791&lt;0,"Trop-perçu",IF(W791=0,"Soldée",IF(p_asof&gt;P791,"En retard",IF(U791+V791&gt;0,"Partielle","À échoir"))))))</f>
        <v/>
      </c>
      <c r="Z791" s="59" t="str">
        <f>IF(NOT(COUNTA(B791:D791,F791:O791)&gt;0),"",IF(C791="","Date manquante",IF(NOT(ISNUMBER(C791)),"Date invalide",IF(D791="","Client manquant",IF(ISNA(MATCH(D791,cli_code,0)),"Client inconnu",IF(AC791&lt;SUMPRODUCT(MAX(($AB$6:AB790=AB791)*$AC$6:AC790)),"Date antérieure à la facture précédente",IF(AND(F791&lt;&gt;"",ISNA(MATCH(F791,dv_num,0))),"Devis inconnu",IF(AND(F791&lt;&gt;"",IFERROR(INDEX(dv_client,MATCH(F791,dv_num,0)),D791)&lt;&gt;D791),"Client différent de celui du devis",IF(AG791="","Aucune ligne : saisissez des lignes ou un devis",IF(AND(AI791&lt;&gt;"",COUNTIF($AI$6:AI791,AI791)&gt;1),"Devis déjà repris par une autre facture",IF(AND(AA791="Avoir",M791=""),"Avoir : indiquez la facture d'origine",IF(AND(AA791="Avoir",ISNA(MATCH(M791,fa_num,0))),"Facture d'origine inconnue",IF(AND(AA791&lt;&gt;"Avoir",M791&lt;&gt;""),"« Avoir sur facture » : réservé aux avoirs",IF(AND(L791&lt;&gt;"",AA791&lt;&gt;"Facture"),"Acompte à déduire : réservé aux factures",IF(AND(L791&lt;&gt;"",ISNA(MATCH(L791,fa_num,0))),"Facture d'acompte inconnue",IF(AND(L791&lt;&gt;"",IFERROR(INDEX(fa_type,MATCH(L791,fa_num,0)),"")&lt;&gt;"Facture d'acompte"),"Le n° à déduire n'est pas une facture d'acompte",IF(AND(L791&lt;&gt;"",COUNTIF($L$6:L791,L791)&gt;1),"Acompte déjà déduit sur une autre facture",IF(AND(L791&lt;&gt;"",IFERROR(INDEX(fa_client,MATCH(L791,fa_num,0)),D791)&lt;&gt;D791),"Acompte d'un autre client",IF(AND(AR791&lt;&gt;"",N(Q791)&lt;0),"Acompte supérieur au total de la facture",IF(IF(AG791="Facture",COUNTIFS(fl_doc,A791,fl_check,"&lt;&gt;OK"),IF(AG791="Devis",COUNTIFS(dl_doc,F791,dl_check,"&lt;&gt;OK"),0))&gt;0,"Ligne(s) à corriger",IF(AND(W791&lt;&gt;"",N(W791)&lt;0),"Trop-perçu : vérifiez paiements et avoirs","OK")))))))))))))))))))))</f>
        <v/>
      </c>
      <c r="AA791" s="62" t="str">
        <f>IF(COUNTA(B791:D791,F791:O791)&gt;0,IF(B791="","Facture",B791),"")</f>
        <v/>
      </c>
      <c r="AB791" s="62" t="str">
        <f>IF(AA791="","",IF(AA791="Avoir",p_pav,IF(AA791="Facture d'acompte",p_pac,p_pfa)))</f>
        <v/>
      </c>
      <c r="AC791" s="62">
        <f>IF(ISNUMBER(C791),C791,0)</f>
        <v>0.0</v>
      </c>
      <c r="AD791" s="62" t="str">
        <f>IF(OR(AA791="",AC791=0),"",YEAR(AC791))</f>
        <v/>
      </c>
      <c r="AE791" s="62" t="str">
        <f>IF(AD791="","",COUNTIFS($AB$6:AB791,AB791,$AD$6:AD791,AD791))</f>
        <v/>
      </c>
      <c r="AF791" s="62">
        <f>IF(A791="",0,COUNTIF(fl_doc,A791))</f>
        <v>0.0</v>
      </c>
      <c r="AG791" s="62" t="str">
        <f>IF(A791="","",IF(AF791&gt;0,"Facture",IF(AND(F791&lt;&gt;"",AA791="Facture",ISNUMBER(MATCH(F791,dv_num,0))),"Devis","")))</f>
        <v/>
      </c>
      <c r="AH791" s="62" t="str">
        <f>IF(AND(A791&lt;&gt;"",F791&lt;&gt;"",AA791&lt;&gt;"Avoir"),F791,"")</f>
        <v/>
      </c>
      <c r="AI791" s="62" t="str">
        <f>IF(AG791="Devis",F791,"")</f>
        <v/>
      </c>
      <c r="AJ791" s="62">
        <f>IF(AG791="Facture",SUMIF(fl_doc,A791,fl_ht),IF(AG791="Devis",SUMIF(dl_doc,F791,dl_ht),0))</f>
        <v>0.0</v>
      </c>
      <c r="AK791" s="62">
        <f>IF(OR(AG791="",INDEX(p_rates,1)=""),0,IF(AG791="Facture",SUMIFS(fl_ht,fl_doc,A791,fl_rate,INDEX(p_rates,1)),SUMIFS(dl_ht,dl_doc,F791,dl_rate,INDEX(p_rates,1))))</f>
        <v>0.0</v>
      </c>
      <c r="AL791" s="62">
        <f>IF(OR(AG791="",INDEX(p_rates,2)=""),0,IF(AG791="Facture",SUMIFS(fl_ht,fl_doc,A791,fl_rate,INDEX(p_rates,2)),SUMIFS(dl_ht,dl_doc,F791,dl_rate,INDEX(p_rates,2))))</f>
        <v>0.0</v>
      </c>
      <c r="AM791" s="62">
        <f>IF(OR(AG791="",INDEX(p_rates,3)=""),0,IF(AG791="Facture",SUMIFS(fl_ht,fl_doc,A791,fl_rate,INDEX(p_rates,3)),SUMIFS(dl_ht,dl_doc,F791,dl_rate,INDEX(p_rates,3))))</f>
        <v>0.0</v>
      </c>
      <c r="AN791" s="62">
        <f>IF(OR(AG791="",INDEX(p_rates,4)=""),0,IF(AG791="Facture",SUMIFS(fl_ht,fl_doc,A791,fl_rate,INDEX(p_rates,4)),SUMIFS(dl_ht,dl_doc,F791,dl_rate,INDEX(p_rates,4))))</f>
        <v>0.0</v>
      </c>
      <c r="AO791" s="62">
        <f>IF(OR(AG791="",INDEX(p_rates,5)=""),0,IF(AG791="Facture",SUMIFS(fl_ht,fl_doc,A791,fl_rate,INDEX(p_rates,5)),SUMIFS(dl_ht,dl_doc,F791,dl_rate,INDEX(p_rates,5))))</f>
        <v>0.0</v>
      </c>
      <c r="AP791" s="62">
        <f>IF(OR(AG791="",INDEX(p_rates,6)=""),0,IF(AG791="Facture",SUMIFS(fl_ht,fl_doc,A791,fl_rate,INDEX(p_rates,6)),SUMIFS(dl_ht,dl_doc,F791,dl_rate,INDEX(p_rates,6))))</f>
        <v>0.0</v>
      </c>
      <c r="AQ791" s="62">
        <f>ROUND(AK791*N(INDEX(p_rates,1)),2)+ROUND(AL791*N(INDEX(p_rates,2)),2)+ROUND(AM791*N(INDEX(p_rates,3)),2)+ROUND(AN791*N(INDEX(p_rates,4)),2)+ROUND(AO791*N(INDEX(p_rates,5)),2)+ROUND(AP791*N(INDEX(p_rates,6)),2)</f>
        <v>0.0</v>
      </c>
      <c r="AR791" s="62" t="str">
        <f>IF(OR(L791="",AA791&lt;&gt;"Facture"),"",IFERROR(IF(INDEX(fa_type,MATCH(L791,fa_num,0))="Facture d'acompte",MATCH(L791,fa_num,0),""),""))</f>
        <v/>
      </c>
      <c r="AS791" s="62" t="str">
        <f>IF(W791="","",IF(W791&lt;=0,"",IF(p_asof-P791&lt;=0,"Non échu",IF(p_asof-P791&lt;=30,"1-30 j",IF(p_asof-P791&lt;=60,"31-60 j",IF(p_asof-P791&lt;=90,"61-90 j","Plus de 90 j"))))))</f>
        <v/>
      </c>
      <c r="AT791" s="62" t="str">
        <f>IF(AS791="","",p_asof-P791)</f>
        <v/>
      </c>
      <c r="AU791" s="62" t="str">
        <f>IF(AT791="","",COUNTIF($AT$6:$AT$805,"&gt;"&amp;AT791)+COUNTIF($AT$6:AT791,AT791))</f>
        <v/>
      </c>
    </row>
    <row r="792">
      <c r="A792" s="59" t="str">
        <f>IF(AE792="","",AB792&amp;"-"&amp;AD792&amp;"-"&amp;RIGHT("000"&amp;AE792,4))</f>
        <v/>
      </c>
      <c r="B792" s="60" t="n"/>
      <c r="C792" s="61" t="n"/>
      <c r="D792" s="60" t="n"/>
      <c r="E792" s="62" t="str">
        <f>IF(D792="","",IFERROR(INDEX(cli_name,MATCH(D792,cli_code,0))&amp;"","Client inconnu"))</f>
        <v/>
      </c>
      <c r="F792" s="60" t="n"/>
      <c r="G792" s="63" t="n"/>
      <c r="H792" s="61" t="n"/>
      <c r="I792" s="63" t="n"/>
      <c r="J792" s="60" t="n"/>
      <c r="K792" s="61" t="n"/>
      <c r="L792" s="60" t="n"/>
      <c r="M792" s="60" t="n"/>
      <c r="N792" s="60" t="n"/>
      <c r="O792" s="61" t="n"/>
      <c r="P792" s="64" t="str">
        <f>IF(A792="","",IF(AA792="Avoir",AC792,IF(ISNUMBER(K792),K792,AC792+IF(D792="",N(p_delay),IFERROR(IF(ISNUMBER(INDEX(cli_delay,MATCH(D792,cli_code,0))),INDEX(cli_delay,MATCH(D792,cli_code,0)),N(p_delay)),N(p_delay))))))</f>
        <v/>
      </c>
      <c r="Q792" s="65" t="str">
        <f>IF(A792="","",IF(AA792="Avoir",-1,1)*ROUND(AJ792-IF(AR792="",0,INDEX(fa_htb,AR792)),2))</f>
        <v/>
      </c>
      <c r="R792" s="65" t="str">
        <f>IF(A792="","",IF(AA792="Avoir",-1,1)*ROUND(AQ792-IF(AR792="",0,INDEX(fa_tvab,AR792)),2))</f>
        <v/>
      </c>
      <c r="S792" s="65" t="str">
        <f>IF(A792="","",Q792+R792)</f>
        <v/>
      </c>
      <c r="T792" s="65" t="str">
        <f>IF(AR792="","",INDEX(fa_htb,AR792)+INDEX(fa_tvab,AR792))</f>
        <v/>
      </c>
      <c r="U792" s="65" t="str">
        <f>IF(A792="","",SUMIF(pa_inv,A792,pa_amt))</f>
        <v/>
      </c>
      <c r="V792" s="65" t="str">
        <f>IF(OR(A792="",AA792="Avoir"),"",-SUMIFS(fa_ttc,fa_avof,A792,fa_type,"Avoir"))</f>
        <v/>
      </c>
      <c r="W792" s="65" t="str">
        <f>IF(OR(A792="",AA792="Avoir"),"",ROUND(S792-U792-V792,2))</f>
        <v/>
      </c>
      <c r="X792" s="66" t="str">
        <f>IF(W792="","",IF(AND(W792&gt;0,p_asof&gt;P792),p_asof-P792,""))</f>
        <v/>
      </c>
      <c r="Y792" s="59" t="str">
        <f>IF(A792="","",IF(AA792="Avoir","Avoir",IF(W792&lt;0,"Trop-perçu",IF(W792=0,"Soldée",IF(p_asof&gt;P792,"En retard",IF(U792+V792&gt;0,"Partielle","À échoir"))))))</f>
        <v/>
      </c>
      <c r="Z792" s="59" t="str">
        <f>IF(NOT(COUNTA(B792:D792,F792:O792)&gt;0),"",IF(C792="","Date manquante",IF(NOT(ISNUMBER(C792)),"Date invalide",IF(D792="","Client manquant",IF(ISNA(MATCH(D792,cli_code,0)),"Client inconnu",IF(AC792&lt;SUMPRODUCT(MAX(($AB$6:AB791=AB792)*$AC$6:AC791)),"Date antérieure à la facture précédente",IF(AND(F792&lt;&gt;"",ISNA(MATCH(F792,dv_num,0))),"Devis inconnu",IF(AND(F792&lt;&gt;"",IFERROR(INDEX(dv_client,MATCH(F792,dv_num,0)),D792)&lt;&gt;D792),"Client différent de celui du devis",IF(AG792="","Aucune ligne : saisissez des lignes ou un devis",IF(AND(AI792&lt;&gt;"",COUNTIF($AI$6:AI792,AI792)&gt;1),"Devis déjà repris par une autre facture",IF(AND(AA792="Avoir",M792=""),"Avoir : indiquez la facture d'origine",IF(AND(AA792="Avoir",ISNA(MATCH(M792,fa_num,0))),"Facture d'origine inconnue",IF(AND(AA792&lt;&gt;"Avoir",M792&lt;&gt;""),"« Avoir sur facture » : réservé aux avoirs",IF(AND(L792&lt;&gt;"",AA792&lt;&gt;"Facture"),"Acompte à déduire : réservé aux factures",IF(AND(L792&lt;&gt;"",ISNA(MATCH(L792,fa_num,0))),"Facture d'acompte inconnue",IF(AND(L792&lt;&gt;"",IFERROR(INDEX(fa_type,MATCH(L792,fa_num,0)),"")&lt;&gt;"Facture d'acompte"),"Le n° à déduire n'est pas une facture d'acompte",IF(AND(L792&lt;&gt;"",COUNTIF($L$6:L792,L792)&gt;1),"Acompte déjà déduit sur une autre facture",IF(AND(L792&lt;&gt;"",IFERROR(INDEX(fa_client,MATCH(L792,fa_num,0)),D792)&lt;&gt;D792),"Acompte d'un autre client",IF(AND(AR792&lt;&gt;"",N(Q792)&lt;0),"Acompte supérieur au total de la facture",IF(IF(AG792="Facture",COUNTIFS(fl_doc,A792,fl_check,"&lt;&gt;OK"),IF(AG792="Devis",COUNTIFS(dl_doc,F792,dl_check,"&lt;&gt;OK"),0))&gt;0,"Ligne(s) à corriger",IF(AND(W792&lt;&gt;"",N(W792)&lt;0),"Trop-perçu : vérifiez paiements et avoirs","OK")))))))))))))))))))))</f>
        <v/>
      </c>
      <c r="AA792" s="62" t="str">
        <f>IF(COUNTA(B792:D792,F792:O792)&gt;0,IF(B792="","Facture",B792),"")</f>
        <v/>
      </c>
      <c r="AB792" s="62" t="str">
        <f>IF(AA792="","",IF(AA792="Avoir",p_pav,IF(AA792="Facture d'acompte",p_pac,p_pfa)))</f>
        <v/>
      </c>
      <c r="AC792" s="62">
        <f>IF(ISNUMBER(C792),C792,0)</f>
        <v>0.0</v>
      </c>
      <c r="AD792" s="62" t="str">
        <f>IF(OR(AA792="",AC792=0),"",YEAR(AC792))</f>
        <v/>
      </c>
      <c r="AE792" s="62" t="str">
        <f>IF(AD792="","",COUNTIFS($AB$6:AB792,AB792,$AD$6:AD792,AD792))</f>
        <v/>
      </c>
      <c r="AF792" s="62">
        <f>IF(A792="",0,COUNTIF(fl_doc,A792))</f>
        <v>0.0</v>
      </c>
      <c r="AG792" s="62" t="str">
        <f>IF(A792="","",IF(AF792&gt;0,"Facture",IF(AND(F792&lt;&gt;"",AA792="Facture",ISNUMBER(MATCH(F792,dv_num,0))),"Devis","")))</f>
        <v/>
      </c>
      <c r="AH792" s="62" t="str">
        <f>IF(AND(A792&lt;&gt;"",F792&lt;&gt;"",AA792&lt;&gt;"Avoir"),F792,"")</f>
        <v/>
      </c>
      <c r="AI792" s="62" t="str">
        <f>IF(AG792="Devis",F792,"")</f>
        <v/>
      </c>
      <c r="AJ792" s="62">
        <f>IF(AG792="Facture",SUMIF(fl_doc,A792,fl_ht),IF(AG792="Devis",SUMIF(dl_doc,F792,dl_ht),0))</f>
        <v>0.0</v>
      </c>
      <c r="AK792" s="62">
        <f>IF(OR(AG792="",INDEX(p_rates,1)=""),0,IF(AG792="Facture",SUMIFS(fl_ht,fl_doc,A792,fl_rate,INDEX(p_rates,1)),SUMIFS(dl_ht,dl_doc,F792,dl_rate,INDEX(p_rates,1))))</f>
        <v>0.0</v>
      </c>
      <c r="AL792" s="62">
        <f>IF(OR(AG792="",INDEX(p_rates,2)=""),0,IF(AG792="Facture",SUMIFS(fl_ht,fl_doc,A792,fl_rate,INDEX(p_rates,2)),SUMIFS(dl_ht,dl_doc,F792,dl_rate,INDEX(p_rates,2))))</f>
        <v>0.0</v>
      </c>
      <c r="AM792" s="62">
        <f>IF(OR(AG792="",INDEX(p_rates,3)=""),0,IF(AG792="Facture",SUMIFS(fl_ht,fl_doc,A792,fl_rate,INDEX(p_rates,3)),SUMIFS(dl_ht,dl_doc,F792,dl_rate,INDEX(p_rates,3))))</f>
        <v>0.0</v>
      </c>
      <c r="AN792" s="62">
        <f>IF(OR(AG792="",INDEX(p_rates,4)=""),0,IF(AG792="Facture",SUMIFS(fl_ht,fl_doc,A792,fl_rate,INDEX(p_rates,4)),SUMIFS(dl_ht,dl_doc,F792,dl_rate,INDEX(p_rates,4))))</f>
        <v>0.0</v>
      </c>
      <c r="AO792" s="62">
        <f>IF(OR(AG792="",INDEX(p_rates,5)=""),0,IF(AG792="Facture",SUMIFS(fl_ht,fl_doc,A792,fl_rate,INDEX(p_rates,5)),SUMIFS(dl_ht,dl_doc,F792,dl_rate,INDEX(p_rates,5))))</f>
        <v>0.0</v>
      </c>
      <c r="AP792" s="62">
        <f>IF(OR(AG792="",INDEX(p_rates,6)=""),0,IF(AG792="Facture",SUMIFS(fl_ht,fl_doc,A792,fl_rate,INDEX(p_rates,6)),SUMIFS(dl_ht,dl_doc,F792,dl_rate,INDEX(p_rates,6))))</f>
        <v>0.0</v>
      </c>
      <c r="AQ792" s="62">
        <f>ROUND(AK792*N(INDEX(p_rates,1)),2)+ROUND(AL792*N(INDEX(p_rates,2)),2)+ROUND(AM792*N(INDEX(p_rates,3)),2)+ROUND(AN792*N(INDEX(p_rates,4)),2)+ROUND(AO792*N(INDEX(p_rates,5)),2)+ROUND(AP792*N(INDEX(p_rates,6)),2)</f>
        <v>0.0</v>
      </c>
      <c r="AR792" s="62" t="str">
        <f>IF(OR(L792="",AA792&lt;&gt;"Facture"),"",IFERROR(IF(INDEX(fa_type,MATCH(L792,fa_num,0))="Facture d'acompte",MATCH(L792,fa_num,0),""),""))</f>
        <v/>
      </c>
      <c r="AS792" s="62" t="str">
        <f>IF(W792="","",IF(W792&lt;=0,"",IF(p_asof-P792&lt;=0,"Non échu",IF(p_asof-P792&lt;=30,"1-30 j",IF(p_asof-P792&lt;=60,"31-60 j",IF(p_asof-P792&lt;=90,"61-90 j","Plus de 90 j"))))))</f>
        <v/>
      </c>
      <c r="AT792" s="62" t="str">
        <f>IF(AS792="","",p_asof-P792)</f>
        <v/>
      </c>
      <c r="AU792" s="62" t="str">
        <f>IF(AT792="","",COUNTIF($AT$6:$AT$805,"&gt;"&amp;AT792)+COUNTIF($AT$6:AT792,AT792))</f>
        <v/>
      </c>
    </row>
    <row r="793">
      <c r="A793" s="59" t="str">
        <f>IF(AE793="","",AB793&amp;"-"&amp;AD793&amp;"-"&amp;RIGHT("000"&amp;AE793,4))</f>
        <v/>
      </c>
      <c r="B793" s="60" t="n"/>
      <c r="C793" s="61" t="n"/>
      <c r="D793" s="60" t="n"/>
      <c r="E793" s="62" t="str">
        <f>IF(D793="","",IFERROR(INDEX(cli_name,MATCH(D793,cli_code,0))&amp;"","Client inconnu"))</f>
        <v/>
      </c>
      <c r="F793" s="60" t="n"/>
      <c r="G793" s="63" t="n"/>
      <c r="H793" s="61" t="n"/>
      <c r="I793" s="63" t="n"/>
      <c r="J793" s="60" t="n"/>
      <c r="K793" s="61" t="n"/>
      <c r="L793" s="60" t="n"/>
      <c r="M793" s="60" t="n"/>
      <c r="N793" s="60" t="n"/>
      <c r="O793" s="61" t="n"/>
      <c r="P793" s="64" t="str">
        <f>IF(A793="","",IF(AA793="Avoir",AC793,IF(ISNUMBER(K793),K793,AC793+IF(D793="",N(p_delay),IFERROR(IF(ISNUMBER(INDEX(cli_delay,MATCH(D793,cli_code,0))),INDEX(cli_delay,MATCH(D793,cli_code,0)),N(p_delay)),N(p_delay))))))</f>
        <v/>
      </c>
      <c r="Q793" s="65" t="str">
        <f>IF(A793="","",IF(AA793="Avoir",-1,1)*ROUND(AJ793-IF(AR793="",0,INDEX(fa_htb,AR793)),2))</f>
        <v/>
      </c>
      <c r="R793" s="65" t="str">
        <f>IF(A793="","",IF(AA793="Avoir",-1,1)*ROUND(AQ793-IF(AR793="",0,INDEX(fa_tvab,AR793)),2))</f>
        <v/>
      </c>
      <c r="S793" s="65" t="str">
        <f>IF(A793="","",Q793+R793)</f>
        <v/>
      </c>
      <c r="T793" s="65" t="str">
        <f>IF(AR793="","",INDEX(fa_htb,AR793)+INDEX(fa_tvab,AR793))</f>
        <v/>
      </c>
      <c r="U793" s="65" t="str">
        <f>IF(A793="","",SUMIF(pa_inv,A793,pa_amt))</f>
        <v/>
      </c>
      <c r="V793" s="65" t="str">
        <f>IF(OR(A793="",AA793="Avoir"),"",-SUMIFS(fa_ttc,fa_avof,A793,fa_type,"Avoir"))</f>
        <v/>
      </c>
      <c r="W793" s="65" t="str">
        <f>IF(OR(A793="",AA793="Avoir"),"",ROUND(S793-U793-V793,2))</f>
        <v/>
      </c>
      <c r="X793" s="66" t="str">
        <f>IF(W793="","",IF(AND(W793&gt;0,p_asof&gt;P793),p_asof-P793,""))</f>
        <v/>
      </c>
      <c r="Y793" s="59" t="str">
        <f>IF(A793="","",IF(AA793="Avoir","Avoir",IF(W793&lt;0,"Trop-perçu",IF(W793=0,"Soldée",IF(p_asof&gt;P793,"En retard",IF(U793+V793&gt;0,"Partielle","À échoir"))))))</f>
        <v/>
      </c>
      <c r="Z793" s="59" t="str">
        <f>IF(NOT(COUNTA(B793:D793,F793:O793)&gt;0),"",IF(C793="","Date manquante",IF(NOT(ISNUMBER(C793)),"Date invalide",IF(D793="","Client manquant",IF(ISNA(MATCH(D793,cli_code,0)),"Client inconnu",IF(AC793&lt;SUMPRODUCT(MAX(($AB$6:AB792=AB793)*$AC$6:AC792)),"Date antérieure à la facture précédente",IF(AND(F793&lt;&gt;"",ISNA(MATCH(F793,dv_num,0))),"Devis inconnu",IF(AND(F793&lt;&gt;"",IFERROR(INDEX(dv_client,MATCH(F793,dv_num,0)),D793)&lt;&gt;D793),"Client différent de celui du devis",IF(AG793="","Aucune ligne : saisissez des lignes ou un devis",IF(AND(AI793&lt;&gt;"",COUNTIF($AI$6:AI793,AI793)&gt;1),"Devis déjà repris par une autre facture",IF(AND(AA793="Avoir",M793=""),"Avoir : indiquez la facture d'origine",IF(AND(AA793="Avoir",ISNA(MATCH(M793,fa_num,0))),"Facture d'origine inconnue",IF(AND(AA793&lt;&gt;"Avoir",M793&lt;&gt;""),"« Avoir sur facture » : réservé aux avoirs",IF(AND(L793&lt;&gt;"",AA793&lt;&gt;"Facture"),"Acompte à déduire : réservé aux factures",IF(AND(L793&lt;&gt;"",ISNA(MATCH(L793,fa_num,0))),"Facture d'acompte inconnue",IF(AND(L793&lt;&gt;"",IFERROR(INDEX(fa_type,MATCH(L793,fa_num,0)),"")&lt;&gt;"Facture d'acompte"),"Le n° à déduire n'est pas une facture d'acompte",IF(AND(L793&lt;&gt;"",COUNTIF($L$6:L793,L793)&gt;1),"Acompte déjà déduit sur une autre facture",IF(AND(L793&lt;&gt;"",IFERROR(INDEX(fa_client,MATCH(L793,fa_num,0)),D793)&lt;&gt;D793),"Acompte d'un autre client",IF(AND(AR793&lt;&gt;"",N(Q793)&lt;0),"Acompte supérieur au total de la facture",IF(IF(AG793="Facture",COUNTIFS(fl_doc,A793,fl_check,"&lt;&gt;OK"),IF(AG793="Devis",COUNTIFS(dl_doc,F793,dl_check,"&lt;&gt;OK"),0))&gt;0,"Ligne(s) à corriger",IF(AND(W793&lt;&gt;"",N(W793)&lt;0),"Trop-perçu : vérifiez paiements et avoirs","OK")))))))))))))))))))))</f>
        <v/>
      </c>
      <c r="AA793" s="62" t="str">
        <f>IF(COUNTA(B793:D793,F793:O793)&gt;0,IF(B793="","Facture",B793),"")</f>
        <v/>
      </c>
      <c r="AB793" s="62" t="str">
        <f>IF(AA793="","",IF(AA793="Avoir",p_pav,IF(AA793="Facture d'acompte",p_pac,p_pfa)))</f>
        <v/>
      </c>
      <c r="AC793" s="62">
        <f>IF(ISNUMBER(C793),C793,0)</f>
        <v>0.0</v>
      </c>
      <c r="AD793" s="62" t="str">
        <f>IF(OR(AA793="",AC793=0),"",YEAR(AC793))</f>
        <v/>
      </c>
      <c r="AE793" s="62" t="str">
        <f>IF(AD793="","",COUNTIFS($AB$6:AB793,AB793,$AD$6:AD793,AD793))</f>
        <v/>
      </c>
      <c r="AF793" s="62">
        <f>IF(A793="",0,COUNTIF(fl_doc,A793))</f>
        <v>0.0</v>
      </c>
      <c r="AG793" s="62" t="str">
        <f>IF(A793="","",IF(AF793&gt;0,"Facture",IF(AND(F793&lt;&gt;"",AA793="Facture",ISNUMBER(MATCH(F793,dv_num,0))),"Devis","")))</f>
        <v/>
      </c>
      <c r="AH793" s="62" t="str">
        <f>IF(AND(A793&lt;&gt;"",F793&lt;&gt;"",AA793&lt;&gt;"Avoir"),F793,"")</f>
        <v/>
      </c>
      <c r="AI793" s="62" t="str">
        <f>IF(AG793="Devis",F793,"")</f>
        <v/>
      </c>
      <c r="AJ793" s="62">
        <f>IF(AG793="Facture",SUMIF(fl_doc,A793,fl_ht),IF(AG793="Devis",SUMIF(dl_doc,F793,dl_ht),0))</f>
        <v>0.0</v>
      </c>
      <c r="AK793" s="62">
        <f>IF(OR(AG793="",INDEX(p_rates,1)=""),0,IF(AG793="Facture",SUMIFS(fl_ht,fl_doc,A793,fl_rate,INDEX(p_rates,1)),SUMIFS(dl_ht,dl_doc,F793,dl_rate,INDEX(p_rates,1))))</f>
        <v>0.0</v>
      </c>
      <c r="AL793" s="62">
        <f>IF(OR(AG793="",INDEX(p_rates,2)=""),0,IF(AG793="Facture",SUMIFS(fl_ht,fl_doc,A793,fl_rate,INDEX(p_rates,2)),SUMIFS(dl_ht,dl_doc,F793,dl_rate,INDEX(p_rates,2))))</f>
        <v>0.0</v>
      </c>
      <c r="AM793" s="62">
        <f>IF(OR(AG793="",INDEX(p_rates,3)=""),0,IF(AG793="Facture",SUMIFS(fl_ht,fl_doc,A793,fl_rate,INDEX(p_rates,3)),SUMIFS(dl_ht,dl_doc,F793,dl_rate,INDEX(p_rates,3))))</f>
        <v>0.0</v>
      </c>
      <c r="AN793" s="62">
        <f>IF(OR(AG793="",INDEX(p_rates,4)=""),0,IF(AG793="Facture",SUMIFS(fl_ht,fl_doc,A793,fl_rate,INDEX(p_rates,4)),SUMIFS(dl_ht,dl_doc,F793,dl_rate,INDEX(p_rates,4))))</f>
        <v>0.0</v>
      </c>
      <c r="AO793" s="62">
        <f>IF(OR(AG793="",INDEX(p_rates,5)=""),0,IF(AG793="Facture",SUMIFS(fl_ht,fl_doc,A793,fl_rate,INDEX(p_rates,5)),SUMIFS(dl_ht,dl_doc,F793,dl_rate,INDEX(p_rates,5))))</f>
        <v>0.0</v>
      </c>
      <c r="AP793" s="62">
        <f>IF(OR(AG793="",INDEX(p_rates,6)=""),0,IF(AG793="Facture",SUMIFS(fl_ht,fl_doc,A793,fl_rate,INDEX(p_rates,6)),SUMIFS(dl_ht,dl_doc,F793,dl_rate,INDEX(p_rates,6))))</f>
        <v>0.0</v>
      </c>
      <c r="AQ793" s="62">
        <f>ROUND(AK793*N(INDEX(p_rates,1)),2)+ROUND(AL793*N(INDEX(p_rates,2)),2)+ROUND(AM793*N(INDEX(p_rates,3)),2)+ROUND(AN793*N(INDEX(p_rates,4)),2)+ROUND(AO793*N(INDEX(p_rates,5)),2)+ROUND(AP793*N(INDEX(p_rates,6)),2)</f>
        <v>0.0</v>
      </c>
      <c r="AR793" s="62" t="str">
        <f>IF(OR(L793="",AA793&lt;&gt;"Facture"),"",IFERROR(IF(INDEX(fa_type,MATCH(L793,fa_num,0))="Facture d'acompte",MATCH(L793,fa_num,0),""),""))</f>
        <v/>
      </c>
      <c r="AS793" s="62" t="str">
        <f>IF(W793="","",IF(W793&lt;=0,"",IF(p_asof-P793&lt;=0,"Non échu",IF(p_asof-P793&lt;=30,"1-30 j",IF(p_asof-P793&lt;=60,"31-60 j",IF(p_asof-P793&lt;=90,"61-90 j","Plus de 90 j"))))))</f>
        <v/>
      </c>
      <c r="AT793" s="62" t="str">
        <f>IF(AS793="","",p_asof-P793)</f>
        <v/>
      </c>
      <c r="AU793" s="62" t="str">
        <f>IF(AT793="","",COUNTIF($AT$6:$AT$805,"&gt;"&amp;AT793)+COUNTIF($AT$6:AT793,AT793))</f>
        <v/>
      </c>
    </row>
    <row r="794">
      <c r="A794" s="59" t="str">
        <f>IF(AE794="","",AB794&amp;"-"&amp;AD794&amp;"-"&amp;RIGHT("000"&amp;AE794,4))</f>
        <v/>
      </c>
      <c r="B794" s="60" t="n"/>
      <c r="C794" s="61" t="n"/>
      <c r="D794" s="60" t="n"/>
      <c r="E794" s="62" t="str">
        <f>IF(D794="","",IFERROR(INDEX(cli_name,MATCH(D794,cli_code,0))&amp;"","Client inconnu"))</f>
        <v/>
      </c>
      <c r="F794" s="60" t="n"/>
      <c r="G794" s="63" t="n"/>
      <c r="H794" s="61" t="n"/>
      <c r="I794" s="63" t="n"/>
      <c r="J794" s="60" t="n"/>
      <c r="K794" s="61" t="n"/>
      <c r="L794" s="60" t="n"/>
      <c r="M794" s="60" t="n"/>
      <c r="N794" s="60" t="n"/>
      <c r="O794" s="61" t="n"/>
      <c r="P794" s="64" t="str">
        <f>IF(A794="","",IF(AA794="Avoir",AC794,IF(ISNUMBER(K794),K794,AC794+IF(D794="",N(p_delay),IFERROR(IF(ISNUMBER(INDEX(cli_delay,MATCH(D794,cli_code,0))),INDEX(cli_delay,MATCH(D794,cli_code,0)),N(p_delay)),N(p_delay))))))</f>
        <v/>
      </c>
      <c r="Q794" s="65" t="str">
        <f>IF(A794="","",IF(AA794="Avoir",-1,1)*ROUND(AJ794-IF(AR794="",0,INDEX(fa_htb,AR794)),2))</f>
        <v/>
      </c>
      <c r="R794" s="65" t="str">
        <f>IF(A794="","",IF(AA794="Avoir",-1,1)*ROUND(AQ794-IF(AR794="",0,INDEX(fa_tvab,AR794)),2))</f>
        <v/>
      </c>
      <c r="S794" s="65" t="str">
        <f>IF(A794="","",Q794+R794)</f>
        <v/>
      </c>
      <c r="T794" s="65" t="str">
        <f>IF(AR794="","",INDEX(fa_htb,AR794)+INDEX(fa_tvab,AR794))</f>
        <v/>
      </c>
      <c r="U794" s="65" t="str">
        <f>IF(A794="","",SUMIF(pa_inv,A794,pa_amt))</f>
        <v/>
      </c>
      <c r="V794" s="65" t="str">
        <f>IF(OR(A794="",AA794="Avoir"),"",-SUMIFS(fa_ttc,fa_avof,A794,fa_type,"Avoir"))</f>
        <v/>
      </c>
      <c r="W794" s="65" t="str">
        <f>IF(OR(A794="",AA794="Avoir"),"",ROUND(S794-U794-V794,2))</f>
        <v/>
      </c>
      <c r="X794" s="66" t="str">
        <f>IF(W794="","",IF(AND(W794&gt;0,p_asof&gt;P794),p_asof-P794,""))</f>
        <v/>
      </c>
      <c r="Y794" s="59" t="str">
        <f>IF(A794="","",IF(AA794="Avoir","Avoir",IF(W794&lt;0,"Trop-perçu",IF(W794=0,"Soldée",IF(p_asof&gt;P794,"En retard",IF(U794+V794&gt;0,"Partielle","À échoir"))))))</f>
        <v/>
      </c>
      <c r="Z794" s="59" t="str">
        <f>IF(NOT(COUNTA(B794:D794,F794:O794)&gt;0),"",IF(C794="","Date manquante",IF(NOT(ISNUMBER(C794)),"Date invalide",IF(D794="","Client manquant",IF(ISNA(MATCH(D794,cli_code,0)),"Client inconnu",IF(AC794&lt;SUMPRODUCT(MAX(($AB$6:AB793=AB794)*$AC$6:AC793)),"Date antérieure à la facture précédente",IF(AND(F794&lt;&gt;"",ISNA(MATCH(F794,dv_num,0))),"Devis inconnu",IF(AND(F794&lt;&gt;"",IFERROR(INDEX(dv_client,MATCH(F794,dv_num,0)),D794)&lt;&gt;D794),"Client différent de celui du devis",IF(AG794="","Aucune ligne : saisissez des lignes ou un devis",IF(AND(AI794&lt;&gt;"",COUNTIF($AI$6:AI794,AI794)&gt;1),"Devis déjà repris par une autre facture",IF(AND(AA794="Avoir",M794=""),"Avoir : indiquez la facture d'origine",IF(AND(AA794="Avoir",ISNA(MATCH(M794,fa_num,0))),"Facture d'origine inconnue",IF(AND(AA794&lt;&gt;"Avoir",M794&lt;&gt;""),"« Avoir sur facture » : réservé aux avoirs",IF(AND(L794&lt;&gt;"",AA794&lt;&gt;"Facture"),"Acompte à déduire : réservé aux factures",IF(AND(L794&lt;&gt;"",ISNA(MATCH(L794,fa_num,0))),"Facture d'acompte inconnue",IF(AND(L794&lt;&gt;"",IFERROR(INDEX(fa_type,MATCH(L794,fa_num,0)),"")&lt;&gt;"Facture d'acompte"),"Le n° à déduire n'est pas une facture d'acompte",IF(AND(L794&lt;&gt;"",COUNTIF($L$6:L794,L794)&gt;1),"Acompte déjà déduit sur une autre facture",IF(AND(L794&lt;&gt;"",IFERROR(INDEX(fa_client,MATCH(L794,fa_num,0)),D794)&lt;&gt;D794),"Acompte d'un autre client",IF(AND(AR794&lt;&gt;"",N(Q794)&lt;0),"Acompte supérieur au total de la facture",IF(IF(AG794="Facture",COUNTIFS(fl_doc,A794,fl_check,"&lt;&gt;OK"),IF(AG794="Devis",COUNTIFS(dl_doc,F794,dl_check,"&lt;&gt;OK"),0))&gt;0,"Ligne(s) à corriger",IF(AND(W794&lt;&gt;"",N(W794)&lt;0),"Trop-perçu : vérifiez paiements et avoirs","OK")))))))))))))))))))))</f>
        <v/>
      </c>
      <c r="AA794" s="62" t="str">
        <f>IF(COUNTA(B794:D794,F794:O794)&gt;0,IF(B794="","Facture",B794),"")</f>
        <v/>
      </c>
      <c r="AB794" s="62" t="str">
        <f>IF(AA794="","",IF(AA794="Avoir",p_pav,IF(AA794="Facture d'acompte",p_pac,p_pfa)))</f>
        <v/>
      </c>
      <c r="AC794" s="62">
        <f>IF(ISNUMBER(C794),C794,0)</f>
        <v>0.0</v>
      </c>
      <c r="AD794" s="62" t="str">
        <f>IF(OR(AA794="",AC794=0),"",YEAR(AC794))</f>
        <v/>
      </c>
      <c r="AE794" s="62" t="str">
        <f>IF(AD794="","",COUNTIFS($AB$6:AB794,AB794,$AD$6:AD794,AD794))</f>
        <v/>
      </c>
      <c r="AF794" s="62">
        <f>IF(A794="",0,COUNTIF(fl_doc,A794))</f>
        <v>0.0</v>
      </c>
      <c r="AG794" s="62" t="str">
        <f>IF(A794="","",IF(AF794&gt;0,"Facture",IF(AND(F794&lt;&gt;"",AA794="Facture",ISNUMBER(MATCH(F794,dv_num,0))),"Devis","")))</f>
        <v/>
      </c>
      <c r="AH794" s="62" t="str">
        <f>IF(AND(A794&lt;&gt;"",F794&lt;&gt;"",AA794&lt;&gt;"Avoir"),F794,"")</f>
        <v/>
      </c>
      <c r="AI794" s="62" t="str">
        <f>IF(AG794="Devis",F794,"")</f>
        <v/>
      </c>
      <c r="AJ794" s="62">
        <f>IF(AG794="Facture",SUMIF(fl_doc,A794,fl_ht),IF(AG794="Devis",SUMIF(dl_doc,F794,dl_ht),0))</f>
        <v>0.0</v>
      </c>
      <c r="AK794" s="62">
        <f>IF(OR(AG794="",INDEX(p_rates,1)=""),0,IF(AG794="Facture",SUMIFS(fl_ht,fl_doc,A794,fl_rate,INDEX(p_rates,1)),SUMIFS(dl_ht,dl_doc,F794,dl_rate,INDEX(p_rates,1))))</f>
        <v>0.0</v>
      </c>
      <c r="AL794" s="62">
        <f>IF(OR(AG794="",INDEX(p_rates,2)=""),0,IF(AG794="Facture",SUMIFS(fl_ht,fl_doc,A794,fl_rate,INDEX(p_rates,2)),SUMIFS(dl_ht,dl_doc,F794,dl_rate,INDEX(p_rates,2))))</f>
        <v>0.0</v>
      </c>
      <c r="AM794" s="62">
        <f>IF(OR(AG794="",INDEX(p_rates,3)=""),0,IF(AG794="Facture",SUMIFS(fl_ht,fl_doc,A794,fl_rate,INDEX(p_rates,3)),SUMIFS(dl_ht,dl_doc,F794,dl_rate,INDEX(p_rates,3))))</f>
        <v>0.0</v>
      </c>
      <c r="AN794" s="62">
        <f>IF(OR(AG794="",INDEX(p_rates,4)=""),0,IF(AG794="Facture",SUMIFS(fl_ht,fl_doc,A794,fl_rate,INDEX(p_rates,4)),SUMIFS(dl_ht,dl_doc,F794,dl_rate,INDEX(p_rates,4))))</f>
        <v>0.0</v>
      </c>
      <c r="AO794" s="62">
        <f>IF(OR(AG794="",INDEX(p_rates,5)=""),0,IF(AG794="Facture",SUMIFS(fl_ht,fl_doc,A794,fl_rate,INDEX(p_rates,5)),SUMIFS(dl_ht,dl_doc,F794,dl_rate,INDEX(p_rates,5))))</f>
        <v>0.0</v>
      </c>
      <c r="AP794" s="62">
        <f>IF(OR(AG794="",INDEX(p_rates,6)=""),0,IF(AG794="Facture",SUMIFS(fl_ht,fl_doc,A794,fl_rate,INDEX(p_rates,6)),SUMIFS(dl_ht,dl_doc,F794,dl_rate,INDEX(p_rates,6))))</f>
        <v>0.0</v>
      </c>
      <c r="AQ794" s="62">
        <f>ROUND(AK794*N(INDEX(p_rates,1)),2)+ROUND(AL794*N(INDEX(p_rates,2)),2)+ROUND(AM794*N(INDEX(p_rates,3)),2)+ROUND(AN794*N(INDEX(p_rates,4)),2)+ROUND(AO794*N(INDEX(p_rates,5)),2)+ROUND(AP794*N(INDEX(p_rates,6)),2)</f>
        <v>0.0</v>
      </c>
      <c r="AR794" s="62" t="str">
        <f>IF(OR(L794="",AA794&lt;&gt;"Facture"),"",IFERROR(IF(INDEX(fa_type,MATCH(L794,fa_num,0))="Facture d'acompte",MATCH(L794,fa_num,0),""),""))</f>
        <v/>
      </c>
      <c r="AS794" s="62" t="str">
        <f>IF(W794="","",IF(W794&lt;=0,"",IF(p_asof-P794&lt;=0,"Non échu",IF(p_asof-P794&lt;=30,"1-30 j",IF(p_asof-P794&lt;=60,"31-60 j",IF(p_asof-P794&lt;=90,"61-90 j","Plus de 90 j"))))))</f>
        <v/>
      </c>
      <c r="AT794" s="62" t="str">
        <f>IF(AS794="","",p_asof-P794)</f>
        <v/>
      </c>
      <c r="AU794" s="62" t="str">
        <f>IF(AT794="","",COUNTIF($AT$6:$AT$805,"&gt;"&amp;AT794)+COUNTIF($AT$6:AT794,AT794))</f>
        <v/>
      </c>
    </row>
    <row r="795">
      <c r="A795" s="59" t="str">
        <f>IF(AE795="","",AB795&amp;"-"&amp;AD795&amp;"-"&amp;RIGHT("000"&amp;AE795,4))</f>
        <v/>
      </c>
      <c r="B795" s="60" t="n"/>
      <c r="C795" s="61" t="n"/>
      <c r="D795" s="60" t="n"/>
      <c r="E795" s="62" t="str">
        <f>IF(D795="","",IFERROR(INDEX(cli_name,MATCH(D795,cli_code,0))&amp;"","Client inconnu"))</f>
        <v/>
      </c>
      <c r="F795" s="60" t="n"/>
      <c r="G795" s="63" t="n"/>
      <c r="H795" s="61" t="n"/>
      <c r="I795" s="63" t="n"/>
      <c r="J795" s="60" t="n"/>
      <c r="K795" s="61" t="n"/>
      <c r="L795" s="60" t="n"/>
      <c r="M795" s="60" t="n"/>
      <c r="N795" s="60" t="n"/>
      <c r="O795" s="61" t="n"/>
      <c r="P795" s="64" t="str">
        <f>IF(A795="","",IF(AA795="Avoir",AC795,IF(ISNUMBER(K795),K795,AC795+IF(D795="",N(p_delay),IFERROR(IF(ISNUMBER(INDEX(cli_delay,MATCH(D795,cli_code,0))),INDEX(cli_delay,MATCH(D795,cli_code,0)),N(p_delay)),N(p_delay))))))</f>
        <v/>
      </c>
      <c r="Q795" s="65" t="str">
        <f>IF(A795="","",IF(AA795="Avoir",-1,1)*ROUND(AJ795-IF(AR795="",0,INDEX(fa_htb,AR795)),2))</f>
        <v/>
      </c>
      <c r="R795" s="65" t="str">
        <f>IF(A795="","",IF(AA795="Avoir",-1,1)*ROUND(AQ795-IF(AR795="",0,INDEX(fa_tvab,AR795)),2))</f>
        <v/>
      </c>
      <c r="S795" s="65" t="str">
        <f>IF(A795="","",Q795+R795)</f>
        <v/>
      </c>
      <c r="T795" s="65" t="str">
        <f>IF(AR795="","",INDEX(fa_htb,AR795)+INDEX(fa_tvab,AR795))</f>
        <v/>
      </c>
      <c r="U795" s="65" t="str">
        <f>IF(A795="","",SUMIF(pa_inv,A795,pa_amt))</f>
        <v/>
      </c>
      <c r="V795" s="65" t="str">
        <f>IF(OR(A795="",AA795="Avoir"),"",-SUMIFS(fa_ttc,fa_avof,A795,fa_type,"Avoir"))</f>
        <v/>
      </c>
      <c r="W795" s="65" t="str">
        <f>IF(OR(A795="",AA795="Avoir"),"",ROUND(S795-U795-V795,2))</f>
        <v/>
      </c>
      <c r="X795" s="66" t="str">
        <f>IF(W795="","",IF(AND(W795&gt;0,p_asof&gt;P795),p_asof-P795,""))</f>
        <v/>
      </c>
      <c r="Y795" s="59" t="str">
        <f>IF(A795="","",IF(AA795="Avoir","Avoir",IF(W795&lt;0,"Trop-perçu",IF(W795=0,"Soldée",IF(p_asof&gt;P795,"En retard",IF(U795+V795&gt;0,"Partielle","À échoir"))))))</f>
        <v/>
      </c>
      <c r="Z795" s="59" t="str">
        <f>IF(NOT(COUNTA(B795:D795,F795:O795)&gt;0),"",IF(C795="","Date manquante",IF(NOT(ISNUMBER(C795)),"Date invalide",IF(D795="","Client manquant",IF(ISNA(MATCH(D795,cli_code,0)),"Client inconnu",IF(AC795&lt;SUMPRODUCT(MAX(($AB$6:AB794=AB795)*$AC$6:AC794)),"Date antérieure à la facture précédente",IF(AND(F795&lt;&gt;"",ISNA(MATCH(F795,dv_num,0))),"Devis inconnu",IF(AND(F795&lt;&gt;"",IFERROR(INDEX(dv_client,MATCH(F795,dv_num,0)),D795)&lt;&gt;D795),"Client différent de celui du devis",IF(AG795="","Aucune ligne : saisissez des lignes ou un devis",IF(AND(AI795&lt;&gt;"",COUNTIF($AI$6:AI795,AI795)&gt;1),"Devis déjà repris par une autre facture",IF(AND(AA795="Avoir",M795=""),"Avoir : indiquez la facture d'origine",IF(AND(AA795="Avoir",ISNA(MATCH(M795,fa_num,0))),"Facture d'origine inconnue",IF(AND(AA795&lt;&gt;"Avoir",M795&lt;&gt;""),"« Avoir sur facture » : réservé aux avoirs",IF(AND(L795&lt;&gt;"",AA795&lt;&gt;"Facture"),"Acompte à déduire : réservé aux factures",IF(AND(L795&lt;&gt;"",ISNA(MATCH(L795,fa_num,0))),"Facture d'acompte inconnue",IF(AND(L795&lt;&gt;"",IFERROR(INDEX(fa_type,MATCH(L795,fa_num,0)),"")&lt;&gt;"Facture d'acompte"),"Le n° à déduire n'est pas une facture d'acompte",IF(AND(L795&lt;&gt;"",COUNTIF($L$6:L795,L795)&gt;1),"Acompte déjà déduit sur une autre facture",IF(AND(L795&lt;&gt;"",IFERROR(INDEX(fa_client,MATCH(L795,fa_num,0)),D795)&lt;&gt;D795),"Acompte d'un autre client",IF(AND(AR795&lt;&gt;"",N(Q795)&lt;0),"Acompte supérieur au total de la facture",IF(IF(AG795="Facture",COUNTIFS(fl_doc,A795,fl_check,"&lt;&gt;OK"),IF(AG795="Devis",COUNTIFS(dl_doc,F795,dl_check,"&lt;&gt;OK"),0))&gt;0,"Ligne(s) à corriger",IF(AND(W795&lt;&gt;"",N(W795)&lt;0),"Trop-perçu : vérifiez paiements et avoirs","OK")))))))))))))))))))))</f>
        <v/>
      </c>
      <c r="AA795" s="62" t="str">
        <f>IF(COUNTA(B795:D795,F795:O795)&gt;0,IF(B795="","Facture",B795),"")</f>
        <v/>
      </c>
      <c r="AB795" s="62" t="str">
        <f>IF(AA795="","",IF(AA795="Avoir",p_pav,IF(AA795="Facture d'acompte",p_pac,p_pfa)))</f>
        <v/>
      </c>
      <c r="AC795" s="62">
        <f>IF(ISNUMBER(C795),C795,0)</f>
        <v>0.0</v>
      </c>
      <c r="AD795" s="62" t="str">
        <f>IF(OR(AA795="",AC795=0),"",YEAR(AC795))</f>
        <v/>
      </c>
      <c r="AE795" s="62" t="str">
        <f>IF(AD795="","",COUNTIFS($AB$6:AB795,AB795,$AD$6:AD795,AD795))</f>
        <v/>
      </c>
      <c r="AF795" s="62">
        <f>IF(A795="",0,COUNTIF(fl_doc,A795))</f>
        <v>0.0</v>
      </c>
      <c r="AG795" s="62" t="str">
        <f>IF(A795="","",IF(AF795&gt;0,"Facture",IF(AND(F795&lt;&gt;"",AA795="Facture",ISNUMBER(MATCH(F795,dv_num,0))),"Devis","")))</f>
        <v/>
      </c>
      <c r="AH795" s="62" t="str">
        <f>IF(AND(A795&lt;&gt;"",F795&lt;&gt;"",AA795&lt;&gt;"Avoir"),F795,"")</f>
        <v/>
      </c>
      <c r="AI795" s="62" t="str">
        <f>IF(AG795="Devis",F795,"")</f>
        <v/>
      </c>
      <c r="AJ795" s="62">
        <f>IF(AG795="Facture",SUMIF(fl_doc,A795,fl_ht),IF(AG795="Devis",SUMIF(dl_doc,F795,dl_ht),0))</f>
        <v>0.0</v>
      </c>
      <c r="AK795" s="62">
        <f>IF(OR(AG795="",INDEX(p_rates,1)=""),0,IF(AG795="Facture",SUMIFS(fl_ht,fl_doc,A795,fl_rate,INDEX(p_rates,1)),SUMIFS(dl_ht,dl_doc,F795,dl_rate,INDEX(p_rates,1))))</f>
        <v>0.0</v>
      </c>
      <c r="AL795" s="62">
        <f>IF(OR(AG795="",INDEX(p_rates,2)=""),0,IF(AG795="Facture",SUMIFS(fl_ht,fl_doc,A795,fl_rate,INDEX(p_rates,2)),SUMIFS(dl_ht,dl_doc,F795,dl_rate,INDEX(p_rates,2))))</f>
        <v>0.0</v>
      </c>
      <c r="AM795" s="62">
        <f>IF(OR(AG795="",INDEX(p_rates,3)=""),0,IF(AG795="Facture",SUMIFS(fl_ht,fl_doc,A795,fl_rate,INDEX(p_rates,3)),SUMIFS(dl_ht,dl_doc,F795,dl_rate,INDEX(p_rates,3))))</f>
        <v>0.0</v>
      </c>
      <c r="AN795" s="62">
        <f>IF(OR(AG795="",INDEX(p_rates,4)=""),0,IF(AG795="Facture",SUMIFS(fl_ht,fl_doc,A795,fl_rate,INDEX(p_rates,4)),SUMIFS(dl_ht,dl_doc,F795,dl_rate,INDEX(p_rates,4))))</f>
        <v>0.0</v>
      </c>
      <c r="AO795" s="62">
        <f>IF(OR(AG795="",INDEX(p_rates,5)=""),0,IF(AG795="Facture",SUMIFS(fl_ht,fl_doc,A795,fl_rate,INDEX(p_rates,5)),SUMIFS(dl_ht,dl_doc,F795,dl_rate,INDEX(p_rates,5))))</f>
        <v>0.0</v>
      </c>
      <c r="AP795" s="62">
        <f>IF(OR(AG795="",INDEX(p_rates,6)=""),0,IF(AG795="Facture",SUMIFS(fl_ht,fl_doc,A795,fl_rate,INDEX(p_rates,6)),SUMIFS(dl_ht,dl_doc,F795,dl_rate,INDEX(p_rates,6))))</f>
        <v>0.0</v>
      </c>
      <c r="AQ795" s="62">
        <f>ROUND(AK795*N(INDEX(p_rates,1)),2)+ROUND(AL795*N(INDEX(p_rates,2)),2)+ROUND(AM795*N(INDEX(p_rates,3)),2)+ROUND(AN795*N(INDEX(p_rates,4)),2)+ROUND(AO795*N(INDEX(p_rates,5)),2)+ROUND(AP795*N(INDEX(p_rates,6)),2)</f>
        <v>0.0</v>
      </c>
      <c r="AR795" s="62" t="str">
        <f>IF(OR(L795="",AA795&lt;&gt;"Facture"),"",IFERROR(IF(INDEX(fa_type,MATCH(L795,fa_num,0))="Facture d'acompte",MATCH(L795,fa_num,0),""),""))</f>
        <v/>
      </c>
      <c r="AS795" s="62" t="str">
        <f>IF(W795="","",IF(W795&lt;=0,"",IF(p_asof-P795&lt;=0,"Non échu",IF(p_asof-P795&lt;=30,"1-30 j",IF(p_asof-P795&lt;=60,"31-60 j",IF(p_asof-P795&lt;=90,"61-90 j","Plus de 90 j"))))))</f>
        <v/>
      </c>
      <c r="AT795" s="62" t="str">
        <f>IF(AS795="","",p_asof-P795)</f>
        <v/>
      </c>
      <c r="AU795" s="62" t="str">
        <f>IF(AT795="","",COUNTIF($AT$6:$AT$805,"&gt;"&amp;AT795)+COUNTIF($AT$6:AT795,AT795))</f>
        <v/>
      </c>
    </row>
    <row r="796">
      <c r="A796" s="59" t="str">
        <f>IF(AE796="","",AB796&amp;"-"&amp;AD796&amp;"-"&amp;RIGHT("000"&amp;AE796,4))</f>
        <v/>
      </c>
      <c r="B796" s="60" t="n"/>
      <c r="C796" s="61" t="n"/>
      <c r="D796" s="60" t="n"/>
      <c r="E796" s="62" t="str">
        <f>IF(D796="","",IFERROR(INDEX(cli_name,MATCH(D796,cli_code,0))&amp;"","Client inconnu"))</f>
        <v/>
      </c>
      <c r="F796" s="60" t="n"/>
      <c r="G796" s="63" t="n"/>
      <c r="H796" s="61" t="n"/>
      <c r="I796" s="63" t="n"/>
      <c r="J796" s="60" t="n"/>
      <c r="K796" s="61" t="n"/>
      <c r="L796" s="60" t="n"/>
      <c r="M796" s="60" t="n"/>
      <c r="N796" s="60" t="n"/>
      <c r="O796" s="61" t="n"/>
      <c r="P796" s="64" t="str">
        <f>IF(A796="","",IF(AA796="Avoir",AC796,IF(ISNUMBER(K796),K796,AC796+IF(D796="",N(p_delay),IFERROR(IF(ISNUMBER(INDEX(cli_delay,MATCH(D796,cli_code,0))),INDEX(cli_delay,MATCH(D796,cli_code,0)),N(p_delay)),N(p_delay))))))</f>
        <v/>
      </c>
      <c r="Q796" s="65" t="str">
        <f>IF(A796="","",IF(AA796="Avoir",-1,1)*ROUND(AJ796-IF(AR796="",0,INDEX(fa_htb,AR796)),2))</f>
        <v/>
      </c>
      <c r="R796" s="65" t="str">
        <f>IF(A796="","",IF(AA796="Avoir",-1,1)*ROUND(AQ796-IF(AR796="",0,INDEX(fa_tvab,AR796)),2))</f>
        <v/>
      </c>
      <c r="S796" s="65" t="str">
        <f>IF(A796="","",Q796+R796)</f>
        <v/>
      </c>
      <c r="T796" s="65" t="str">
        <f>IF(AR796="","",INDEX(fa_htb,AR796)+INDEX(fa_tvab,AR796))</f>
        <v/>
      </c>
      <c r="U796" s="65" t="str">
        <f>IF(A796="","",SUMIF(pa_inv,A796,pa_amt))</f>
        <v/>
      </c>
      <c r="V796" s="65" t="str">
        <f>IF(OR(A796="",AA796="Avoir"),"",-SUMIFS(fa_ttc,fa_avof,A796,fa_type,"Avoir"))</f>
        <v/>
      </c>
      <c r="W796" s="65" t="str">
        <f>IF(OR(A796="",AA796="Avoir"),"",ROUND(S796-U796-V796,2))</f>
        <v/>
      </c>
      <c r="X796" s="66" t="str">
        <f>IF(W796="","",IF(AND(W796&gt;0,p_asof&gt;P796),p_asof-P796,""))</f>
        <v/>
      </c>
      <c r="Y796" s="59" t="str">
        <f>IF(A796="","",IF(AA796="Avoir","Avoir",IF(W796&lt;0,"Trop-perçu",IF(W796=0,"Soldée",IF(p_asof&gt;P796,"En retard",IF(U796+V796&gt;0,"Partielle","À échoir"))))))</f>
        <v/>
      </c>
      <c r="Z796" s="59" t="str">
        <f>IF(NOT(COUNTA(B796:D796,F796:O796)&gt;0),"",IF(C796="","Date manquante",IF(NOT(ISNUMBER(C796)),"Date invalide",IF(D796="","Client manquant",IF(ISNA(MATCH(D796,cli_code,0)),"Client inconnu",IF(AC796&lt;SUMPRODUCT(MAX(($AB$6:AB795=AB796)*$AC$6:AC795)),"Date antérieure à la facture précédente",IF(AND(F796&lt;&gt;"",ISNA(MATCH(F796,dv_num,0))),"Devis inconnu",IF(AND(F796&lt;&gt;"",IFERROR(INDEX(dv_client,MATCH(F796,dv_num,0)),D796)&lt;&gt;D796),"Client différent de celui du devis",IF(AG796="","Aucune ligne : saisissez des lignes ou un devis",IF(AND(AI796&lt;&gt;"",COUNTIF($AI$6:AI796,AI796)&gt;1),"Devis déjà repris par une autre facture",IF(AND(AA796="Avoir",M796=""),"Avoir : indiquez la facture d'origine",IF(AND(AA796="Avoir",ISNA(MATCH(M796,fa_num,0))),"Facture d'origine inconnue",IF(AND(AA796&lt;&gt;"Avoir",M796&lt;&gt;""),"« Avoir sur facture » : réservé aux avoirs",IF(AND(L796&lt;&gt;"",AA796&lt;&gt;"Facture"),"Acompte à déduire : réservé aux factures",IF(AND(L796&lt;&gt;"",ISNA(MATCH(L796,fa_num,0))),"Facture d'acompte inconnue",IF(AND(L796&lt;&gt;"",IFERROR(INDEX(fa_type,MATCH(L796,fa_num,0)),"")&lt;&gt;"Facture d'acompte"),"Le n° à déduire n'est pas une facture d'acompte",IF(AND(L796&lt;&gt;"",COUNTIF($L$6:L796,L796)&gt;1),"Acompte déjà déduit sur une autre facture",IF(AND(L796&lt;&gt;"",IFERROR(INDEX(fa_client,MATCH(L796,fa_num,0)),D796)&lt;&gt;D796),"Acompte d'un autre client",IF(AND(AR796&lt;&gt;"",N(Q796)&lt;0),"Acompte supérieur au total de la facture",IF(IF(AG796="Facture",COUNTIFS(fl_doc,A796,fl_check,"&lt;&gt;OK"),IF(AG796="Devis",COUNTIFS(dl_doc,F796,dl_check,"&lt;&gt;OK"),0))&gt;0,"Ligne(s) à corriger",IF(AND(W796&lt;&gt;"",N(W796)&lt;0),"Trop-perçu : vérifiez paiements et avoirs","OK")))))))))))))))))))))</f>
        <v/>
      </c>
      <c r="AA796" s="62" t="str">
        <f>IF(COUNTA(B796:D796,F796:O796)&gt;0,IF(B796="","Facture",B796),"")</f>
        <v/>
      </c>
      <c r="AB796" s="62" t="str">
        <f>IF(AA796="","",IF(AA796="Avoir",p_pav,IF(AA796="Facture d'acompte",p_pac,p_pfa)))</f>
        <v/>
      </c>
      <c r="AC796" s="62">
        <f>IF(ISNUMBER(C796),C796,0)</f>
        <v>0.0</v>
      </c>
      <c r="AD796" s="62" t="str">
        <f>IF(OR(AA796="",AC796=0),"",YEAR(AC796))</f>
        <v/>
      </c>
      <c r="AE796" s="62" t="str">
        <f>IF(AD796="","",COUNTIFS($AB$6:AB796,AB796,$AD$6:AD796,AD796))</f>
        <v/>
      </c>
      <c r="AF796" s="62">
        <f>IF(A796="",0,COUNTIF(fl_doc,A796))</f>
        <v>0.0</v>
      </c>
      <c r="AG796" s="62" t="str">
        <f>IF(A796="","",IF(AF796&gt;0,"Facture",IF(AND(F796&lt;&gt;"",AA796="Facture",ISNUMBER(MATCH(F796,dv_num,0))),"Devis","")))</f>
        <v/>
      </c>
      <c r="AH796" s="62" t="str">
        <f>IF(AND(A796&lt;&gt;"",F796&lt;&gt;"",AA796&lt;&gt;"Avoir"),F796,"")</f>
        <v/>
      </c>
      <c r="AI796" s="62" t="str">
        <f>IF(AG796="Devis",F796,"")</f>
        <v/>
      </c>
      <c r="AJ796" s="62">
        <f>IF(AG796="Facture",SUMIF(fl_doc,A796,fl_ht),IF(AG796="Devis",SUMIF(dl_doc,F796,dl_ht),0))</f>
        <v>0.0</v>
      </c>
      <c r="AK796" s="62">
        <f>IF(OR(AG796="",INDEX(p_rates,1)=""),0,IF(AG796="Facture",SUMIFS(fl_ht,fl_doc,A796,fl_rate,INDEX(p_rates,1)),SUMIFS(dl_ht,dl_doc,F796,dl_rate,INDEX(p_rates,1))))</f>
        <v>0.0</v>
      </c>
      <c r="AL796" s="62">
        <f>IF(OR(AG796="",INDEX(p_rates,2)=""),0,IF(AG796="Facture",SUMIFS(fl_ht,fl_doc,A796,fl_rate,INDEX(p_rates,2)),SUMIFS(dl_ht,dl_doc,F796,dl_rate,INDEX(p_rates,2))))</f>
        <v>0.0</v>
      </c>
      <c r="AM796" s="62">
        <f>IF(OR(AG796="",INDEX(p_rates,3)=""),0,IF(AG796="Facture",SUMIFS(fl_ht,fl_doc,A796,fl_rate,INDEX(p_rates,3)),SUMIFS(dl_ht,dl_doc,F796,dl_rate,INDEX(p_rates,3))))</f>
        <v>0.0</v>
      </c>
      <c r="AN796" s="62">
        <f>IF(OR(AG796="",INDEX(p_rates,4)=""),0,IF(AG796="Facture",SUMIFS(fl_ht,fl_doc,A796,fl_rate,INDEX(p_rates,4)),SUMIFS(dl_ht,dl_doc,F796,dl_rate,INDEX(p_rates,4))))</f>
        <v>0.0</v>
      </c>
      <c r="AO796" s="62">
        <f>IF(OR(AG796="",INDEX(p_rates,5)=""),0,IF(AG796="Facture",SUMIFS(fl_ht,fl_doc,A796,fl_rate,INDEX(p_rates,5)),SUMIFS(dl_ht,dl_doc,F796,dl_rate,INDEX(p_rates,5))))</f>
        <v>0.0</v>
      </c>
      <c r="AP796" s="62">
        <f>IF(OR(AG796="",INDEX(p_rates,6)=""),0,IF(AG796="Facture",SUMIFS(fl_ht,fl_doc,A796,fl_rate,INDEX(p_rates,6)),SUMIFS(dl_ht,dl_doc,F796,dl_rate,INDEX(p_rates,6))))</f>
        <v>0.0</v>
      </c>
      <c r="AQ796" s="62">
        <f>ROUND(AK796*N(INDEX(p_rates,1)),2)+ROUND(AL796*N(INDEX(p_rates,2)),2)+ROUND(AM796*N(INDEX(p_rates,3)),2)+ROUND(AN796*N(INDEX(p_rates,4)),2)+ROUND(AO796*N(INDEX(p_rates,5)),2)+ROUND(AP796*N(INDEX(p_rates,6)),2)</f>
        <v>0.0</v>
      </c>
      <c r="AR796" s="62" t="str">
        <f>IF(OR(L796="",AA796&lt;&gt;"Facture"),"",IFERROR(IF(INDEX(fa_type,MATCH(L796,fa_num,0))="Facture d'acompte",MATCH(L796,fa_num,0),""),""))</f>
        <v/>
      </c>
      <c r="AS796" s="62" t="str">
        <f>IF(W796="","",IF(W796&lt;=0,"",IF(p_asof-P796&lt;=0,"Non échu",IF(p_asof-P796&lt;=30,"1-30 j",IF(p_asof-P796&lt;=60,"31-60 j",IF(p_asof-P796&lt;=90,"61-90 j","Plus de 90 j"))))))</f>
        <v/>
      </c>
      <c r="AT796" s="62" t="str">
        <f>IF(AS796="","",p_asof-P796)</f>
        <v/>
      </c>
      <c r="AU796" s="62" t="str">
        <f>IF(AT796="","",COUNTIF($AT$6:$AT$805,"&gt;"&amp;AT796)+COUNTIF($AT$6:AT796,AT796))</f>
        <v/>
      </c>
    </row>
    <row r="797">
      <c r="A797" s="59" t="str">
        <f>IF(AE797="","",AB797&amp;"-"&amp;AD797&amp;"-"&amp;RIGHT("000"&amp;AE797,4))</f>
        <v/>
      </c>
      <c r="B797" s="60" t="n"/>
      <c r="C797" s="61" t="n"/>
      <c r="D797" s="60" t="n"/>
      <c r="E797" s="62" t="str">
        <f>IF(D797="","",IFERROR(INDEX(cli_name,MATCH(D797,cli_code,0))&amp;"","Client inconnu"))</f>
        <v/>
      </c>
      <c r="F797" s="60" t="n"/>
      <c r="G797" s="63" t="n"/>
      <c r="H797" s="61" t="n"/>
      <c r="I797" s="63" t="n"/>
      <c r="J797" s="60" t="n"/>
      <c r="K797" s="61" t="n"/>
      <c r="L797" s="60" t="n"/>
      <c r="M797" s="60" t="n"/>
      <c r="N797" s="60" t="n"/>
      <c r="O797" s="61" t="n"/>
      <c r="P797" s="64" t="str">
        <f>IF(A797="","",IF(AA797="Avoir",AC797,IF(ISNUMBER(K797),K797,AC797+IF(D797="",N(p_delay),IFERROR(IF(ISNUMBER(INDEX(cli_delay,MATCH(D797,cli_code,0))),INDEX(cli_delay,MATCH(D797,cli_code,0)),N(p_delay)),N(p_delay))))))</f>
        <v/>
      </c>
      <c r="Q797" s="65" t="str">
        <f>IF(A797="","",IF(AA797="Avoir",-1,1)*ROUND(AJ797-IF(AR797="",0,INDEX(fa_htb,AR797)),2))</f>
        <v/>
      </c>
      <c r="R797" s="65" t="str">
        <f>IF(A797="","",IF(AA797="Avoir",-1,1)*ROUND(AQ797-IF(AR797="",0,INDEX(fa_tvab,AR797)),2))</f>
        <v/>
      </c>
      <c r="S797" s="65" t="str">
        <f>IF(A797="","",Q797+R797)</f>
        <v/>
      </c>
      <c r="T797" s="65" t="str">
        <f>IF(AR797="","",INDEX(fa_htb,AR797)+INDEX(fa_tvab,AR797))</f>
        <v/>
      </c>
      <c r="U797" s="65" t="str">
        <f>IF(A797="","",SUMIF(pa_inv,A797,pa_amt))</f>
        <v/>
      </c>
      <c r="V797" s="65" t="str">
        <f>IF(OR(A797="",AA797="Avoir"),"",-SUMIFS(fa_ttc,fa_avof,A797,fa_type,"Avoir"))</f>
        <v/>
      </c>
      <c r="W797" s="65" t="str">
        <f>IF(OR(A797="",AA797="Avoir"),"",ROUND(S797-U797-V797,2))</f>
        <v/>
      </c>
      <c r="X797" s="66" t="str">
        <f>IF(W797="","",IF(AND(W797&gt;0,p_asof&gt;P797),p_asof-P797,""))</f>
        <v/>
      </c>
      <c r="Y797" s="59" t="str">
        <f>IF(A797="","",IF(AA797="Avoir","Avoir",IF(W797&lt;0,"Trop-perçu",IF(W797=0,"Soldée",IF(p_asof&gt;P797,"En retard",IF(U797+V797&gt;0,"Partielle","À échoir"))))))</f>
        <v/>
      </c>
      <c r="Z797" s="59" t="str">
        <f>IF(NOT(COUNTA(B797:D797,F797:O797)&gt;0),"",IF(C797="","Date manquante",IF(NOT(ISNUMBER(C797)),"Date invalide",IF(D797="","Client manquant",IF(ISNA(MATCH(D797,cli_code,0)),"Client inconnu",IF(AC797&lt;SUMPRODUCT(MAX(($AB$6:AB796=AB797)*$AC$6:AC796)),"Date antérieure à la facture précédente",IF(AND(F797&lt;&gt;"",ISNA(MATCH(F797,dv_num,0))),"Devis inconnu",IF(AND(F797&lt;&gt;"",IFERROR(INDEX(dv_client,MATCH(F797,dv_num,0)),D797)&lt;&gt;D797),"Client différent de celui du devis",IF(AG797="","Aucune ligne : saisissez des lignes ou un devis",IF(AND(AI797&lt;&gt;"",COUNTIF($AI$6:AI797,AI797)&gt;1),"Devis déjà repris par une autre facture",IF(AND(AA797="Avoir",M797=""),"Avoir : indiquez la facture d'origine",IF(AND(AA797="Avoir",ISNA(MATCH(M797,fa_num,0))),"Facture d'origine inconnue",IF(AND(AA797&lt;&gt;"Avoir",M797&lt;&gt;""),"« Avoir sur facture » : réservé aux avoirs",IF(AND(L797&lt;&gt;"",AA797&lt;&gt;"Facture"),"Acompte à déduire : réservé aux factures",IF(AND(L797&lt;&gt;"",ISNA(MATCH(L797,fa_num,0))),"Facture d'acompte inconnue",IF(AND(L797&lt;&gt;"",IFERROR(INDEX(fa_type,MATCH(L797,fa_num,0)),"")&lt;&gt;"Facture d'acompte"),"Le n° à déduire n'est pas une facture d'acompte",IF(AND(L797&lt;&gt;"",COUNTIF($L$6:L797,L797)&gt;1),"Acompte déjà déduit sur une autre facture",IF(AND(L797&lt;&gt;"",IFERROR(INDEX(fa_client,MATCH(L797,fa_num,0)),D797)&lt;&gt;D797),"Acompte d'un autre client",IF(AND(AR797&lt;&gt;"",N(Q797)&lt;0),"Acompte supérieur au total de la facture",IF(IF(AG797="Facture",COUNTIFS(fl_doc,A797,fl_check,"&lt;&gt;OK"),IF(AG797="Devis",COUNTIFS(dl_doc,F797,dl_check,"&lt;&gt;OK"),0))&gt;0,"Ligne(s) à corriger",IF(AND(W797&lt;&gt;"",N(W797)&lt;0),"Trop-perçu : vérifiez paiements et avoirs","OK")))))))))))))))))))))</f>
        <v/>
      </c>
      <c r="AA797" s="62" t="str">
        <f>IF(COUNTA(B797:D797,F797:O797)&gt;0,IF(B797="","Facture",B797),"")</f>
        <v/>
      </c>
      <c r="AB797" s="62" t="str">
        <f>IF(AA797="","",IF(AA797="Avoir",p_pav,IF(AA797="Facture d'acompte",p_pac,p_pfa)))</f>
        <v/>
      </c>
      <c r="AC797" s="62">
        <f>IF(ISNUMBER(C797),C797,0)</f>
        <v>0.0</v>
      </c>
      <c r="AD797" s="62" t="str">
        <f>IF(OR(AA797="",AC797=0),"",YEAR(AC797))</f>
        <v/>
      </c>
      <c r="AE797" s="62" t="str">
        <f>IF(AD797="","",COUNTIFS($AB$6:AB797,AB797,$AD$6:AD797,AD797))</f>
        <v/>
      </c>
      <c r="AF797" s="62">
        <f>IF(A797="",0,COUNTIF(fl_doc,A797))</f>
        <v>0.0</v>
      </c>
      <c r="AG797" s="62" t="str">
        <f>IF(A797="","",IF(AF797&gt;0,"Facture",IF(AND(F797&lt;&gt;"",AA797="Facture",ISNUMBER(MATCH(F797,dv_num,0))),"Devis","")))</f>
        <v/>
      </c>
      <c r="AH797" s="62" t="str">
        <f>IF(AND(A797&lt;&gt;"",F797&lt;&gt;"",AA797&lt;&gt;"Avoir"),F797,"")</f>
        <v/>
      </c>
      <c r="AI797" s="62" t="str">
        <f>IF(AG797="Devis",F797,"")</f>
        <v/>
      </c>
      <c r="AJ797" s="62">
        <f>IF(AG797="Facture",SUMIF(fl_doc,A797,fl_ht),IF(AG797="Devis",SUMIF(dl_doc,F797,dl_ht),0))</f>
        <v>0.0</v>
      </c>
      <c r="AK797" s="62">
        <f>IF(OR(AG797="",INDEX(p_rates,1)=""),0,IF(AG797="Facture",SUMIFS(fl_ht,fl_doc,A797,fl_rate,INDEX(p_rates,1)),SUMIFS(dl_ht,dl_doc,F797,dl_rate,INDEX(p_rates,1))))</f>
        <v>0.0</v>
      </c>
      <c r="AL797" s="62">
        <f>IF(OR(AG797="",INDEX(p_rates,2)=""),0,IF(AG797="Facture",SUMIFS(fl_ht,fl_doc,A797,fl_rate,INDEX(p_rates,2)),SUMIFS(dl_ht,dl_doc,F797,dl_rate,INDEX(p_rates,2))))</f>
        <v>0.0</v>
      </c>
      <c r="AM797" s="62">
        <f>IF(OR(AG797="",INDEX(p_rates,3)=""),0,IF(AG797="Facture",SUMIFS(fl_ht,fl_doc,A797,fl_rate,INDEX(p_rates,3)),SUMIFS(dl_ht,dl_doc,F797,dl_rate,INDEX(p_rates,3))))</f>
        <v>0.0</v>
      </c>
      <c r="AN797" s="62">
        <f>IF(OR(AG797="",INDEX(p_rates,4)=""),0,IF(AG797="Facture",SUMIFS(fl_ht,fl_doc,A797,fl_rate,INDEX(p_rates,4)),SUMIFS(dl_ht,dl_doc,F797,dl_rate,INDEX(p_rates,4))))</f>
        <v>0.0</v>
      </c>
      <c r="AO797" s="62">
        <f>IF(OR(AG797="",INDEX(p_rates,5)=""),0,IF(AG797="Facture",SUMIFS(fl_ht,fl_doc,A797,fl_rate,INDEX(p_rates,5)),SUMIFS(dl_ht,dl_doc,F797,dl_rate,INDEX(p_rates,5))))</f>
        <v>0.0</v>
      </c>
      <c r="AP797" s="62">
        <f>IF(OR(AG797="",INDEX(p_rates,6)=""),0,IF(AG797="Facture",SUMIFS(fl_ht,fl_doc,A797,fl_rate,INDEX(p_rates,6)),SUMIFS(dl_ht,dl_doc,F797,dl_rate,INDEX(p_rates,6))))</f>
        <v>0.0</v>
      </c>
      <c r="AQ797" s="62">
        <f>ROUND(AK797*N(INDEX(p_rates,1)),2)+ROUND(AL797*N(INDEX(p_rates,2)),2)+ROUND(AM797*N(INDEX(p_rates,3)),2)+ROUND(AN797*N(INDEX(p_rates,4)),2)+ROUND(AO797*N(INDEX(p_rates,5)),2)+ROUND(AP797*N(INDEX(p_rates,6)),2)</f>
        <v>0.0</v>
      </c>
      <c r="AR797" s="62" t="str">
        <f>IF(OR(L797="",AA797&lt;&gt;"Facture"),"",IFERROR(IF(INDEX(fa_type,MATCH(L797,fa_num,0))="Facture d'acompte",MATCH(L797,fa_num,0),""),""))</f>
        <v/>
      </c>
      <c r="AS797" s="62" t="str">
        <f>IF(W797="","",IF(W797&lt;=0,"",IF(p_asof-P797&lt;=0,"Non échu",IF(p_asof-P797&lt;=30,"1-30 j",IF(p_asof-P797&lt;=60,"31-60 j",IF(p_asof-P797&lt;=90,"61-90 j","Plus de 90 j"))))))</f>
        <v/>
      </c>
      <c r="AT797" s="62" t="str">
        <f>IF(AS797="","",p_asof-P797)</f>
        <v/>
      </c>
      <c r="AU797" s="62" t="str">
        <f>IF(AT797="","",COUNTIF($AT$6:$AT$805,"&gt;"&amp;AT797)+COUNTIF($AT$6:AT797,AT797))</f>
        <v/>
      </c>
    </row>
    <row r="798">
      <c r="A798" s="59" t="str">
        <f>IF(AE798="","",AB798&amp;"-"&amp;AD798&amp;"-"&amp;RIGHT("000"&amp;AE798,4))</f>
        <v/>
      </c>
      <c r="B798" s="60" t="n"/>
      <c r="C798" s="61" t="n"/>
      <c r="D798" s="60" t="n"/>
      <c r="E798" s="62" t="str">
        <f>IF(D798="","",IFERROR(INDEX(cli_name,MATCH(D798,cli_code,0))&amp;"","Client inconnu"))</f>
        <v/>
      </c>
      <c r="F798" s="60" t="n"/>
      <c r="G798" s="63" t="n"/>
      <c r="H798" s="61" t="n"/>
      <c r="I798" s="63" t="n"/>
      <c r="J798" s="60" t="n"/>
      <c r="K798" s="61" t="n"/>
      <c r="L798" s="60" t="n"/>
      <c r="M798" s="60" t="n"/>
      <c r="N798" s="60" t="n"/>
      <c r="O798" s="61" t="n"/>
      <c r="P798" s="64" t="str">
        <f>IF(A798="","",IF(AA798="Avoir",AC798,IF(ISNUMBER(K798),K798,AC798+IF(D798="",N(p_delay),IFERROR(IF(ISNUMBER(INDEX(cli_delay,MATCH(D798,cli_code,0))),INDEX(cli_delay,MATCH(D798,cli_code,0)),N(p_delay)),N(p_delay))))))</f>
        <v/>
      </c>
      <c r="Q798" s="65" t="str">
        <f>IF(A798="","",IF(AA798="Avoir",-1,1)*ROUND(AJ798-IF(AR798="",0,INDEX(fa_htb,AR798)),2))</f>
        <v/>
      </c>
      <c r="R798" s="65" t="str">
        <f>IF(A798="","",IF(AA798="Avoir",-1,1)*ROUND(AQ798-IF(AR798="",0,INDEX(fa_tvab,AR798)),2))</f>
        <v/>
      </c>
      <c r="S798" s="65" t="str">
        <f>IF(A798="","",Q798+R798)</f>
        <v/>
      </c>
      <c r="T798" s="65" t="str">
        <f>IF(AR798="","",INDEX(fa_htb,AR798)+INDEX(fa_tvab,AR798))</f>
        <v/>
      </c>
      <c r="U798" s="65" t="str">
        <f>IF(A798="","",SUMIF(pa_inv,A798,pa_amt))</f>
        <v/>
      </c>
      <c r="V798" s="65" t="str">
        <f>IF(OR(A798="",AA798="Avoir"),"",-SUMIFS(fa_ttc,fa_avof,A798,fa_type,"Avoir"))</f>
        <v/>
      </c>
      <c r="W798" s="65" t="str">
        <f>IF(OR(A798="",AA798="Avoir"),"",ROUND(S798-U798-V798,2))</f>
        <v/>
      </c>
      <c r="X798" s="66" t="str">
        <f>IF(W798="","",IF(AND(W798&gt;0,p_asof&gt;P798),p_asof-P798,""))</f>
        <v/>
      </c>
      <c r="Y798" s="59" t="str">
        <f>IF(A798="","",IF(AA798="Avoir","Avoir",IF(W798&lt;0,"Trop-perçu",IF(W798=0,"Soldée",IF(p_asof&gt;P798,"En retard",IF(U798+V798&gt;0,"Partielle","À échoir"))))))</f>
        <v/>
      </c>
      <c r="Z798" s="59" t="str">
        <f>IF(NOT(COUNTA(B798:D798,F798:O798)&gt;0),"",IF(C798="","Date manquante",IF(NOT(ISNUMBER(C798)),"Date invalide",IF(D798="","Client manquant",IF(ISNA(MATCH(D798,cli_code,0)),"Client inconnu",IF(AC798&lt;SUMPRODUCT(MAX(($AB$6:AB797=AB798)*$AC$6:AC797)),"Date antérieure à la facture précédente",IF(AND(F798&lt;&gt;"",ISNA(MATCH(F798,dv_num,0))),"Devis inconnu",IF(AND(F798&lt;&gt;"",IFERROR(INDEX(dv_client,MATCH(F798,dv_num,0)),D798)&lt;&gt;D798),"Client différent de celui du devis",IF(AG798="","Aucune ligne : saisissez des lignes ou un devis",IF(AND(AI798&lt;&gt;"",COUNTIF($AI$6:AI798,AI798)&gt;1),"Devis déjà repris par une autre facture",IF(AND(AA798="Avoir",M798=""),"Avoir : indiquez la facture d'origine",IF(AND(AA798="Avoir",ISNA(MATCH(M798,fa_num,0))),"Facture d'origine inconnue",IF(AND(AA798&lt;&gt;"Avoir",M798&lt;&gt;""),"« Avoir sur facture » : réservé aux avoirs",IF(AND(L798&lt;&gt;"",AA798&lt;&gt;"Facture"),"Acompte à déduire : réservé aux factures",IF(AND(L798&lt;&gt;"",ISNA(MATCH(L798,fa_num,0))),"Facture d'acompte inconnue",IF(AND(L798&lt;&gt;"",IFERROR(INDEX(fa_type,MATCH(L798,fa_num,0)),"")&lt;&gt;"Facture d'acompte"),"Le n° à déduire n'est pas une facture d'acompte",IF(AND(L798&lt;&gt;"",COUNTIF($L$6:L798,L798)&gt;1),"Acompte déjà déduit sur une autre facture",IF(AND(L798&lt;&gt;"",IFERROR(INDEX(fa_client,MATCH(L798,fa_num,0)),D798)&lt;&gt;D798),"Acompte d'un autre client",IF(AND(AR798&lt;&gt;"",N(Q798)&lt;0),"Acompte supérieur au total de la facture",IF(IF(AG798="Facture",COUNTIFS(fl_doc,A798,fl_check,"&lt;&gt;OK"),IF(AG798="Devis",COUNTIFS(dl_doc,F798,dl_check,"&lt;&gt;OK"),0))&gt;0,"Ligne(s) à corriger",IF(AND(W798&lt;&gt;"",N(W798)&lt;0),"Trop-perçu : vérifiez paiements et avoirs","OK")))))))))))))))))))))</f>
        <v/>
      </c>
      <c r="AA798" s="62" t="str">
        <f>IF(COUNTA(B798:D798,F798:O798)&gt;0,IF(B798="","Facture",B798),"")</f>
        <v/>
      </c>
      <c r="AB798" s="62" t="str">
        <f>IF(AA798="","",IF(AA798="Avoir",p_pav,IF(AA798="Facture d'acompte",p_pac,p_pfa)))</f>
        <v/>
      </c>
      <c r="AC798" s="62">
        <f>IF(ISNUMBER(C798),C798,0)</f>
        <v>0.0</v>
      </c>
      <c r="AD798" s="62" t="str">
        <f>IF(OR(AA798="",AC798=0),"",YEAR(AC798))</f>
        <v/>
      </c>
      <c r="AE798" s="62" t="str">
        <f>IF(AD798="","",COUNTIFS($AB$6:AB798,AB798,$AD$6:AD798,AD798))</f>
        <v/>
      </c>
      <c r="AF798" s="62">
        <f>IF(A798="",0,COUNTIF(fl_doc,A798))</f>
        <v>0.0</v>
      </c>
      <c r="AG798" s="62" t="str">
        <f>IF(A798="","",IF(AF798&gt;0,"Facture",IF(AND(F798&lt;&gt;"",AA798="Facture",ISNUMBER(MATCH(F798,dv_num,0))),"Devis","")))</f>
        <v/>
      </c>
      <c r="AH798" s="62" t="str">
        <f>IF(AND(A798&lt;&gt;"",F798&lt;&gt;"",AA798&lt;&gt;"Avoir"),F798,"")</f>
        <v/>
      </c>
      <c r="AI798" s="62" t="str">
        <f>IF(AG798="Devis",F798,"")</f>
        <v/>
      </c>
      <c r="AJ798" s="62">
        <f>IF(AG798="Facture",SUMIF(fl_doc,A798,fl_ht),IF(AG798="Devis",SUMIF(dl_doc,F798,dl_ht),0))</f>
        <v>0.0</v>
      </c>
      <c r="AK798" s="62">
        <f>IF(OR(AG798="",INDEX(p_rates,1)=""),0,IF(AG798="Facture",SUMIFS(fl_ht,fl_doc,A798,fl_rate,INDEX(p_rates,1)),SUMIFS(dl_ht,dl_doc,F798,dl_rate,INDEX(p_rates,1))))</f>
        <v>0.0</v>
      </c>
      <c r="AL798" s="62">
        <f>IF(OR(AG798="",INDEX(p_rates,2)=""),0,IF(AG798="Facture",SUMIFS(fl_ht,fl_doc,A798,fl_rate,INDEX(p_rates,2)),SUMIFS(dl_ht,dl_doc,F798,dl_rate,INDEX(p_rates,2))))</f>
        <v>0.0</v>
      </c>
      <c r="AM798" s="62">
        <f>IF(OR(AG798="",INDEX(p_rates,3)=""),0,IF(AG798="Facture",SUMIFS(fl_ht,fl_doc,A798,fl_rate,INDEX(p_rates,3)),SUMIFS(dl_ht,dl_doc,F798,dl_rate,INDEX(p_rates,3))))</f>
        <v>0.0</v>
      </c>
      <c r="AN798" s="62">
        <f>IF(OR(AG798="",INDEX(p_rates,4)=""),0,IF(AG798="Facture",SUMIFS(fl_ht,fl_doc,A798,fl_rate,INDEX(p_rates,4)),SUMIFS(dl_ht,dl_doc,F798,dl_rate,INDEX(p_rates,4))))</f>
        <v>0.0</v>
      </c>
      <c r="AO798" s="62">
        <f>IF(OR(AG798="",INDEX(p_rates,5)=""),0,IF(AG798="Facture",SUMIFS(fl_ht,fl_doc,A798,fl_rate,INDEX(p_rates,5)),SUMIFS(dl_ht,dl_doc,F798,dl_rate,INDEX(p_rates,5))))</f>
        <v>0.0</v>
      </c>
      <c r="AP798" s="62">
        <f>IF(OR(AG798="",INDEX(p_rates,6)=""),0,IF(AG798="Facture",SUMIFS(fl_ht,fl_doc,A798,fl_rate,INDEX(p_rates,6)),SUMIFS(dl_ht,dl_doc,F798,dl_rate,INDEX(p_rates,6))))</f>
        <v>0.0</v>
      </c>
      <c r="AQ798" s="62">
        <f>ROUND(AK798*N(INDEX(p_rates,1)),2)+ROUND(AL798*N(INDEX(p_rates,2)),2)+ROUND(AM798*N(INDEX(p_rates,3)),2)+ROUND(AN798*N(INDEX(p_rates,4)),2)+ROUND(AO798*N(INDEX(p_rates,5)),2)+ROUND(AP798*N(INDEX(p_rates,6)),2)</f>
        <v>0.0</v>
      </c>
      <c r="AR798" s="62" t="str">
        <f>IF(OR(L798="",AA798&lt;&gt;"Facture"),"",IFERROR(IF(INDEX(fa_type,MATCH(L798,fa_num,0))="Facture d'acompte",MATCH(L798,fa_num,0),""),""))</f>
        <v/>
      </c>
      <c r="AS798" s="62" t="str">
        <f>IF(W798="","",IF(W798&lt;=0,"",IF(p_asof-P798&lt;=0,"Non échu",IF(p_asof-P798&lt;=30,"1-30 j",IF(p_asof-P798&lt;=60,"31-60 j",IF(p_asof-P798&lt;=90,"61-90 j","Plus de 90 j"))))))</f>
        <v/>
      </c>
      <c r="AT798" s="62" t="str">
        <f>IF(AS798="","",p_asof-P798)</f>
        <v/>
      </c>
      <c r="AU798" s="62" t="str">
        <f>IF(AT798="","",COUNTIF($AT$6:$AT$805,"&gt;"&amp;AT798)+COUNTIF($AT$6:AT798,AT798))</f>
        <v/>
      </c>
    </row>
    <row r="799">
      <c r="A799" s="59" t="str">
        <f>IF(AE799="","",AB799&amp;"-"&amp;AD799&amp;"-"&amp;RIGHT("000"&amp;AE799,4))</f>
        <v/>
      </c>
      <c r="B799" s="60" t="n"/>
      <c r="C799" s="61" t="n"/>
      <c r="D799" s="60" t="n"/>
      <c r="E799" s="62" t="str">
        <f>IF(D799="","",IFERROR(INDEX(cli_name,MATCH(D799,cli_code,0))&amp;"","Client inconnu"))</f>
        <v/>
      </c>
      <c r="F799" s="60" t="n"/>
      <c r="G799" s="63" t="n"/>
      <c r="H799" s="61" t="n"/>
      <c r="I799" s="63" t="n"/>
      <c r="J799" s="60" t="n"/>
      <c r="K799" s="61" t="n"/>
      <c r="L799" s="60" t="n"/>
      <c r="M799" s="60" t="n"/>
      <c r="N799" s="60" t="n"/>
      <c r="O799" s="61" t="n"/>
      <c r="P799" s="64" t="str">
        <f>IF(A799="","",IF(AA799="Avoir",AC799,IF(ISNUMBER(K799),K799,AC799+IF(D799="",N(p_delay),IFERROR(IF(ISNUMBER(INDEX(cli_delay,MATCH(D799,cli_code,0))),INDEX(cli_delay,MATCH(D799,cli_code,0)),N(p_delay)),N(p_delay))))))</f>
        <v/>
      </c>
      <c r="Q799" s="65" t="str">
        <f>IF(A799="","",IF(AA799="Avoir",-1,1)*ROUND(AJ799-IF(AR799="",0,INDEX(fa_htb,AR799)),2))</f>
        <v/>
      </c>
      <c r="R799" s="65" t="str">
        <f>IF(A799="","",IF(AA799="Avoir",-1,1)*ROUND(AQ799-IF(AR799="",0,INDEX(fa_tvab,AR799)),2))</f>
        <v/>
      </c>
      <c r="S799" s="65" t="str">
        <f>IF(A799="","",Q799+R799)</f>
        <v/>
      </c>
      <c r="T799" s="65" t="str">
        <f>IF(AR799="","",INDEX(fa_htb,AR799)+INDEX(fa_tvab,AR799))</f>
        <v/>
      </c>
      <c r="U799" s="65" t="str">
        <f>IF(A799="","",SUMIF(pa_inv,A799,pa_amt))</f>
        <v/>
      </c>
      <c r="V799" s="65" t="str">
        <f>IF(OR(A799="",AA799="Avoir"),"",-SUMIFS(fa_ttc,fa_avof,A799,fa_type,"Avoir"))</f>
        <v/>
      </c>
      <c r="W799" s="65" t="str">
        <f>IF(OR(A799="",AA799="Avoir"),"",ROUND(S799-U799-V799,2))</f>
        <v/>
      </c>
      <c r="X799" s="66" t="str">
        <f>IF(W799="","",IF(AND(W799&gt;0,p_asof&gt;P799),p_asof-P799,""))</f>
        <v/>
      </c>
      <c r="Y799" s="59" t="str">
        <f>IF(A799="","",IF(AA799="Avoir","Avoir",IF(W799&lt;0,"Trop-perçu",IF(W799=0,"Soldée",IF(p_asof&gt;P799,"En retard",IF(U799+V799&gt;0,"Partielle","À échoir"))))))</f>
        <v/>
      </c>
      <c r="Z799" s="59" t="str">
        <f>IF(NOT(COUNTA(B799:D799,F799:O799)&gt;0),"",IF(C799="","Date manquante",IF(NOT(ISNUMBER(C799)),"Date invalide",IF(D799="","Client manquant",IF(ISNA(MATCH(D799,cli_code,0)),"Client inconnu",IF(AC799&lt;SUMPRODUCT(MAX(($AB$6:AB798=AB799)*$AC$6:AC798)),"Date antérieure à la facture précédente",IF(AND(F799&lt;&gt;"",ISNA(MATCH(F799,dv_num,0))),"Devis inconnu",IF(AND(F799&lt;&gt;"",IFERROR(INDEX(dv_client,MATCH(F799,dv_num,0)),D799)&lt;&gt;D799),"Client différent de celui du devis",IF(AG799="","Aucune ligne : saisissez des lignes ou un devis",IF(AND(AI799&lt;&gt;"",COUNTIF($AI$6:AI799,AI799)&gt;1),"Devis déjà repris par une autre facture",IF(AND(AA799="Avoir",M799=""),"Avoir : indiquez la facture d'origine",IF(AND(AA799="Avoir",ISNA(MATCH(M799,fa_num,0))),"Facture d'origine inconnue",IF(AND(AA799&lt;&gt;"Avoir",M799&lt;&gt;""),"« Avoir sur facture » : réservé aux avoirs",IF(AND(L799&lt;&gt;"",AA799&lt;&gt;"Facture"),"Acompte à déduire : réservé aux factures",IF(AND(L799&lt;&gt;"",ISNA(MATCH(L799,fa_num,0))),"Facture d'acompte inconnue",IF(AND(L799&lt;&gt;"",IFERROR(INDEX(fa_type,MATCH(L799,fa_num,0)),"")&lt;&gt;"Facture d'acompte"),"Le n° à déduire n'est pas une facture d'acompte",IF(AND(L799&lt;&gt;"",COUNTIF($L$6:L799,L799)&gt;1),"Acompte déjà déduit sur une autre facture",IF(AND(L799&lt;&gt;"",IFERROR(INDEX(fa_client,MATCH(L799,fa_num,0)),D799)&lt;&gt;D799),"Acompte d'un autre client",IF(AND(AR799&lt;&gt;"",N(Q799)&lt;0),"Acompte supérieur au total de la facture",IF(IF(AG799="Facture",COUNTIFS(fl_doc,A799,fl_check,"&lt;&gt;OK"),IF(AG799="Devis",COUNTIFS(dl_doc,F799,dl_check,"&lt;&gt;OK"),0))&gt;0,"Ligne(s) à corriger",IF(AND(W799&lt;&gt;"",N(W799)&lt;0),"Trop-perçu : vérifiez paiements et avoirs","OK")))))))))))))))))))))</f>
        <v/>
      </c>
      <c r="AA799" s="62" t="str">
        <f>IF(COUNTA(B799:D799,F799:O799)&gt;0,IF(B799="","Facture",B799),"")</f>
        <v/>
      </c>
      <c r="AB799" s="62" t="str">
        <f>IF(AA799="","",IF(AA799="Avoir",p_pav,IF(AA799="Facture d'acompte",p_pac,p_pfa)))</f>
        <v/>
      </c>
      <c r="AC799" s="62">
        <f>IF(ISNUMBER(C799),C799,0)</f>
        <v>0.0</v>
      </c>
      <c r="AD799" s="62" t="str">
        <f>IF(OR(AA799="",AC799=0),"",YEAR(AC799))</f>
        <v/>
      </c>
      <c r="AE799" s="62" t="str">
        <f>IF(AD799="","",COUNTIFS($AB$6:AB799,AB799,$AD$6:AD799,AD799))</f>
        <v/>
      </c>
      <c r="AF799" s="62">
        <f>IF(A799="",0,COUNTIF(fl_doc,A799))</f>
        <v>0.0</v>
      </c>
      <c r="AG799" s="62" t="str">
        <f>IF(A799="","",IF(AF799&gt;0,"Facture",IF(AND(F799&lt;&gt;"",AA799="Facture",ISNUMBER(MATCH(F799,dv_num,0))),"Devis","")))</f>
        <v/>
      </c>
      <c r="AH799" s="62" t="str">
        <f>IF(AND(A799&lt;&gt;"",F799&lt;&gt;"",AA799&lt;&gt;"Avoir"),F799,"")</f>
        <v/>
      </c>
      <c r="AI799" s="62" t="str">
        <f>IF(AG799="Devis",F799,"")</f>
        <v/>
      </c>
      <c r="AJ799" s="62">
        <f>IF(AG799="Facture",SUMIF(fl_doc,A799,fl_ht),IF(AG799="Devis",SUMIF(dl_doc,F799,dl_ht),0))</f>
        <v>0.0</v>
      </c>
      <c r="AK799" s="62">
        <f>IF(OR(AG799="",INDEX(p_rates,1)=""),0,IF(AG799="Facture",SUMIFS(fl_ht,fl_doc,A799,fl_rate,INDEX(p_rates,1)),SUMIFS(dl_ht,dl_doc,F799,dl_rate,INDEX(p_rates,1))))</f>
        <v>0.0</v>
      </c>
      <c r="AL799" s="62">
        <f>IF(OR(AG799="",INDEX(p_rates,2)=""),0,IF(AG799="Facture",SUMIFS(fl_ht,fl_doc,A799,fl_rate,INDEX(p_rates,2)),SUMIFS(dl_ht,dl_doc,F799,dl_rate,INDEX(p_rates,2))))</f>
        <v>0.0</v>
      </c>
      <c r="AM799" s="62">
        <f>IF(OR(AG799="",INDEX(p_rates,3)=""),0,IF(AG799="Facture",SUMIFS(fl_ht,fl_doc,A799,fl_rate,INDEX(p_rates,3)),SUMIFS(dl_ht,dl_doc,F799,dl_rate,INDEX(p_rates,3))))</f>
        <v>0.0</v>
      </c>
      <c r="AN799" s="62">
        <f>IF(OR(AG799="",INDEX(p_rates,4)=""),0,IF(AG799="Facture",SUMIFS(fl_ht,fl_doc,A799,fl_rate,INDEX(p_rates,4)),SUMIFS(dl_ht,dl_doc,F799,dl_rate,INDEX(p_rates,4))))</f>
        <v>0.0</v>
      </c>
      <c r="AO799" s="62">
        <f>IF(OR(AG799="",INDEX(p_rates,5)=""),0,IF(AG799="Facture",SUMIFS(fl_ht,fl_doc,A799,fl_rate,INDEX(p_rates,5)),SUMIFS(dl_ht,dl_doc,F799,dl_rate,INDEX(p_rates,5))))</f>
        <v>0.0</v>
      </c>
      <c r="AP799" s="62">
        <f>IF(OR(AG799="",INDEX(p_rates,6)=""),0,IF(AG799="Facture",SUMIFS(fl_ht,fl_doc,A799,fl_rate,INDEX(p_rates,6)),SUMIFS(dl_ht,dl_doc,F799,dl_rate,INDEX(p_rates,6))))</f>
        <v>0.0</v>
      </c>
      <c r="AQ799" s="62">
        <f>ROUND(AK799*N(INDEX(p_rates,1)),2)+ROUND(AL799*N(INDEX(p_rates,2)),2)+ROUND(AM799*N(INDEX(p_rates,3)),2)+ROUND(AN799*N(INDEX(p_rates,4)),2)+ROUND(AO799*N(INDEX(p_rates,5)),2)+ROUND(AP799*N(INDEX(p_rates,6)),2)</f>
        <v>0.0</v>
      </c>
      <c r="AR799" s="62" t="str">
        <f>IF(OR(L799="",AA799&lt;&gt;"Facture"),"",IFERROR(IF(INDEX(fa_type,MATCH(L799,fa_num,0))="Facture d'acompte",MATCH(L799,fa_num,0),""),""))</f>
        <v/>
      </c>
      <c r="AS799" s="62" t="str">
        <f>IF(W799="","",IF(W799&lt;=0,"",IF(p_asof-P799&lt;=0,"Non échu",IF(p_asof-P799&lt;=30,"1-30 j",IF(p_asof-P799&lt;=60,"31-60 j",IF(p_asof-P799&lt;=90,"61-90 j","Plus de 90 j"))))))</f>
        <v/>
      </c>
      <c r="AT799" s="62" t="str">
        <f>IF(AS799="","",p_asof-P799)</f>
        <v/>
      </c>
      <c r="AU799" s="62" t="str">
        <f>IF(AT799="","",COUNTIF($AT$6:$AT$805,"&gt;"&amp;AT799)+COUNTIF($AT$6:AT799,AT799))</f>
        <v/>
      </c>
    </row>
    <row r="800">
      <c r="A800" s="59" t="str">
        <f>IF(AE800="","",AB800&amp;"-"&amp;AD800&amp;"-"&amp;RIGHT("000"&amp;AE800,4))</f>
        <v/>
      </c>
      <c r="B800" s="60" t="n"/>
      <c r="C800" s="61" t="n"/>
      <c r="D800" s="60" t="n"/>
      <c r="E800" s="62" t="str">
        <f>IF(D800="","",IFERROR(INDEX(cli_name,MATCH(D800,cli_code,0))&amp;"","Client inconnu"))</f>
        <v/>
      </c>
      <c r="F800" s="60" t="n"/>
      <c r="G800" s="63" t="n"/>
      <c r="H800" s="61" t="n"/>
      <c r="I800" s="63" t="n"/>
      <c r="J800" s="60" t="n"/>
      <c r="K800" s="61" t="n"/>
      <c r="L800" s="60" t="n"/>
      <c r="M800" s="60" t="n"/>
      <c r="N800" s="60" t="n"/>
      <c r="O800" s="61" t="n"/>
      <c r="P800" s="64" t="str">
        <f>IF(A800="","",IF(AA800="Avoir",AC800,IF(ISNUMBER(K800),K800,AC800+IF(D800="",N(p_delay),IFERROR(IF(ISNUMBER(INDEX(cli_delay,MATCH(D800,cli_code,0))),INDEX(cli_delay,MATCH(D800,cli_code,0)),N(p_delay)),N(p_delay))))))</f>
        <v/>
      </c>
      <c r="Q800" s="65" t="str">
        <f>IF(A800="","",IF(AA800="Avoir",-1,1)*ROUND(AJ800-IF(AR800="",0,INDEX(fa_htb,AR800)),2))</f>
        <v/>
      </c>
      <c r="R800" s="65" t="str">
        <f>IF(A800="","",IF(AA800="Avoir",-1,1)*ROUND(AQ800-IF(AR800="",0,INDEX(fa_tvab,AR800)),2))</f>
        <v/>
      </c>
      <c r="S800" s="65" t="str">
        <f>IF(A800="","",Q800+R800)</f>
        <v/>
      </c>
      <c r="T800" s="65" t="str">
        <f>IF(AR800="","",INDEX(fa_htb,AR800)+INDEX(fa_tvab,AR800))</f>
        <v/>
      </c>
      <c r="U800" s="65" t="str">
        <f>IF(A800="","",SUMIF(pa_inv,A800,pa_amt))</f>
        <v/>
      </c>
      <c r="V800" s="65" t="str">
        <f>IF(OR(A800="",AA800="Avoir"),"",-SUMIFS(fa_ttc,fa_avof,A800,fa_type,"Avoir"))</f>
        <v/>
      </c>
      <c r="W800" s="65" t="str">
        <f>IF(OR(A800="",AA800="Avoir"),"",ROUND(S800-U800-V800,2))</f>
        <v/>
      </c>
      <c r="X800" s="66" t="str">
        <f>IF(W800="","",IF(AND(W800&gt;0,p_asof&gt;P800),p_asof-P800,""))</f>
        <v/>
      </c>
      <c r="Y800" s="59" t="str">
        <f>IF(A800="","",IF(AA800="Avoir","Avoir",IF(W800&lt;0,"Trop-perçu",IF(W800=0,"Soldée",IF(p_asof&gt;P800,"En retard",IF(U800+V800&gt;0,"Partielle","À échoir"))))))</f>
        <v/>
      </c>
      <c r="Z800" s="59" t="str">
        <f>IF(NOT(COUNTA(B800:D800,F800:O800)&gt;0),"",IF(C800="","Date manquante",IF(NOT(ISNUMBER(C800)),"Date invalide",IF(D800="","Client manquant",IF(ISNA(MATCH(D800,cli_code,0)),"Client inconnu",IF(AC800&lt;SUMPRODUCT(MAX(($AB$6:AB799=AB800)*$AC$6:AC799)),"Date antérieure à la facture précédente",IF(AND(F800&lt;&gt;"",ISNA(MATCH(F800,dv_num,0))),"Devis inconnu",IF(AND(F800&lt;&gt;"",IFERROR(INDEX(dv_client,MATCH(F800,dv_num,0)),D800)&lt;&gt;D800),"Client différent de celui du devis",IF(AG800="","Aucune ligne : saisissez des lignes ou un devis",IF(AND(AI800&lt;&gt;"",COUNTIF($AI$6:AI800,AI800)&gt;1),"Devis déjà repris par une autre facture",IF(AND(AA800="Avoir",M800=""),"Avoir : indiquez la facture d'origine",IF(AND(AA800="Avoir",ISNA(MATCH(M800,fa_num,0))),"Facture d'origine inconnue",IF(AND(AA800&lt;&gt;"Avoir",M800&lt;&gt;""),"« Avoir sur facture » : réservé aux avoirs",IF(AND(L800&lt;&gt;"",AA800&lt;&gt;"Facture"),"Acompte à déduire : réservé aux factures",IF(AND(L800&lt;&gt;"",ISNA(MATCH(L800,fa_num,0))),"Facture d'acompte inconnue",IF(AND(L800&lt;&gt;"",IFERROR(INDEX(fa_type,MATCH(L800,fa_num,0)),"")&lt;&gt;"Facture d'acompte"),"Le n° à déduire n'est pas une facture d'acompte",IF(AND(L800&lt;&gt;"",COUNTIF($L$6:L800,L800)&gt;1),"Acompte déjà déduit sur une autre facture",IF(AND(L800&lt;&gt;"",IFERROR(INDEX(fa_client,MATCH(L800,fa_num,0)),D800)&lt;&gt;D800),"Acompte d'un autre client",IF(AND(AR800&lt;&gt;"",N(Q800)&lt;0),"Acompte supérieur au total de la facture",IF(IF(AG800="Facture",COUNTIFS(fl_doc,A800,fl_check,"&lt;&gt;OK"),IF(AG800="Devis",COUNTIFS(dl_doc,F800,dl_check,"&lt;&gt;OK"),0))&gt;0,"Ligne(s) à corriger",IF(AND(W800&lt;&gt;"",N(W800)&lt;0),"Trop-perçu : vérifiez paiements et avoirs","OK")))))))))))))))))))))</f>
        <v/>
      </c>
      <c r="AA800" s="62" t="str">
        <f>IF(COUNTA(B800:D800,F800:O800)&gt;0,IF(B800="","Facture",B800),"")</f>
        <v/>
      </c>
      <c r="AB800" s="62" t="str">
        <f>IF(AA800="","",IF(AA800="Avoir",p_pav,IF(AA800="Facture d'acompte",p_pac,p_pfa)))</f>
        <v/>
      </c>
      <c r="AC800" s="62">
        <f>IF(ISNUMBER(C800),C800,0)</f>
        <v>0.0</v>
      </c>
      <c r="AD800" s="62" t="str">
        <f>IF(OR(AA800="",AC800=0),"",YEAR(AC800))</f>
        <v/>
      </c>
      <c r="AE800" s="62" t="str">
        <f>IF(AD800="","",COUNTIFS($AB$6:AB800,AB800,$AD$6:AD800,AD800))</f>
        <v/>
      </c>
      <c r="AF800" s="62">
        <f>IF(A800="",0,COUNTIF(fl_doc,A800))</f>
        <v>0.0</v>
      </c>
      <c r="AG800" s="62" t="str">
        <f>IF(A800="","",IF(AF800&gt;0,"Facture",IF(AND(F800&lt;&gt;"",AA800="Facture",ISNUMBER(MATCH(F800,dv_num,0))),"Devis","")))</f>
        <v/>
      </c>
      <c r="AH800" s="62" t="str">
        <f>IF(AND(A800&lt;&gt;"",F800&lt;&gt;"",AA800&lt;&gt;"Avoir"),F800,"")</f>
        <v/>
      </c>
      <c r="AI800" s="62" t="str">
        <f>IF(AG800="Devis",F800,"")</f>
        <v/>
      </c>
      <c r="AJ800" s="62">
        <f>IF(AG800="Facture",SUMIF(fl_doc,A800,fl_ht),IF(AG800="Devis",SUMIF(dl_doc,F800,dl_ht),0))</f>
        <v>0.0</v>
      </c>
      <c r="AK800" s="62">
        <f>IF(OR(AG800="",INDEX(p_rates,1)=""),0,IF(AG800="Facture",SUMIFS(fl_ht,fl_doc,A800,fl_rate,INDEX(p_rates,1)),SUMIFS(dl_ht,dl_doc,F800,dl_rate,INDEX(p_rates,1))))</f>
        <v>0.0</v>
      </c>
      <c r="AL800" s="62">
        <f>IF(OR(AG800="",INDEX(p_rates,2)=""),0,IF(AG800="Facture",SUMIFS(fl_ht,fl_doc,A800,fl_rate,INDEX(p_rates,2)),SUMIFS(dl_ht,dl_doc,F800,dl_rate,INDEX(p_rates,2))))</f>
        <v>0.0</v>
      </c>
      <c r="AM800" s="62">
        <f>IF(OR(AG800="",INDEX(p_rates,3)=""),0,IF(AG800="Facture",SUMIFS(fl_ht,fl_doc,A800,fl_rate,INDEX(p_rates,3)),SUMIFS(dl_ht,dl_doc,F800,dl_rate,INDEX(p_rates,3))))</f>
        <v>0.0</v>
      </c>
      <c r="AN800" s="62">
        <f>IF(OR(AG800="",INDEX(p_rates,4)=""),0,IF(AG800="Facture",SUMIFS(fl_ht,fl_doc,A800,fl_rate,INDEX(p_rates,4)),SUMIFS(dl_ht,dl_doc,F800,dl_rate,INDEX(p_rates,4))))</f>
        <v>0.0</v>
      </c>
      <c r="AO800" s="62">
        <f>IF(OR(AG800="",INDEX(p_rates,5)=""),0,IF(AG800="Facture",SUMIFS(fl_ht,fl_doc,A800,fl_rate,INDEX(p_rates,5)),SUMIFS(dl_ht,dl_doc,F800,dl_rate,INDEX(p_rates,5))))</f>
        <v>0.0</v>
      </c>
      <c r="AP800" s="62">
        <f>IF(OR(AG800="",INDEX(p_rates,6)=""),0,IF(AG800="Facture",SUMIFS(fl_ht,fl_doc,A800,fl_rate,INDEX(p_rates,6)),SUMIFS(dl_ht,dl_doc,F800,dl_rate,INDEX(p_rates,6))))</f>
        <v>0.0</v>
      </c>
      <c r="AQ800" s="62">
        <f>ROUND(AK800*N(INDEX(p_rates,1)),2)+ROUND(AL800*N(INDEX(p_rates,2)),2)+ROUND(AM800*N(INDEX(p_rates,3)),2)+ROUND(AN800*N(INDEX(p_rates,4)),2)+ROUND(AO800*N(INDEX(p_rates,5)),2)+ROUND(AP800*N(INDEX(p_rates,6)),2)</f>
        <v>0.0</v>
      </c>
      <c r="AR800" s="62" t="str">
        <f>IF(OR(L800="",AA800&lt;&gt;"Facture"),"",IFERROR(IF(INDEX(fa_type,MATCH(L800,fa_num,0))="Facture d'acompte",MATCH(L800,fa_num,0),""),""))</f>
        <v/>
      </c>
      <c r="AS800" s="62" t="str">
        <f>IF(W800="","",IF(W800&lt;=0,"",IF(p_asof-P800&lt;=0,"Non échu",IF(p_asof-P800&lt;=30,"1-30 j",IF(p_asof-P800&lt;=60,"31-60 j",IF(p_asof-P800&lt;=90,"61-90 j","Plus de 90 j"))))))</f>
        <v/>
      </c>
      <c r="AT800" s="62" t="str">
        <f>IF(AS800="","",p_asof-P800)</f>
        <v/>
      </c>
      <c r="AU800" s="62" t="str">
        <f>IF(AT800="","",COUNTIF($AT$6:$AT$805,"&gt;"&amp;AT800)+COUNTIF($AT$6:AT800,AT800))</f>
        <v/>
      </c>
    </row>
    <row r="801">
      <c r="A801" s="59" t="str">
        <f>IF(AE801="","",AB801&amp;"-"&amp;AD801&amp;"-"&amp;RIGHT("000"&amp;AE801,4))</f>
        <v/>
      </c>
      <c r="B801" s="60" t="n"/>
      <c r="C801" s="61" t="n"/>
      <c r="D801" s="60" t="n"/>
      <c r="E801" s="62" t="str">
        <f>IF(D801="","",IFERROR(INDEX(cli_name,MATCH(D801,cli_code,0))&amp;"","Client inconnu"))</f>
        <v/>
      </c>
      <c r="F801" s="60" t="n"/>
      <c r="G801" s="63" t="n"/>
      <c r="H801" s="61" t="n"/>
      <c r="I801" s="63" t="n"/>
      <c r="J801" s="60" t="n"/>
      <c r="K801" s="61" t="n"/>
      <c r="L801" s="60" t="n"/>
      <c r="M801" s="60" t="n"/>
      <c r="N801" s="60" t="n"/>
      <c r="O801" s="61" t="n"/>
      <c r="P801" s="64" t="str">
        <f>IF(A801="","",IF(AA801="Avoir",AC801,IF(ISNUMBER(K801),K801,AC801+IF(D801="",N(p_delay),IFERROR(IF(ISNUMBER(INDEX(cli_delay,MATCH(D801,cli_code,0))),INDEX(cli_delay,MATCH(D801,cli_code,0)),N(p_delay)),N(p_delay))))))</f>
        <v/>
      </c>
      <c r="Q801" s="65" t="str">
        <f>IF(A801="","",IF(AA801="Avoir",-1,1)*ROUND(AJ801-IF(AR801="",0,INDEX(fa_htb,AR801)),2))</f>
        <v/>
      </c>
      <c r="R801" s="65" t="str">
        <f>IF(A801="","",IF(AA801="Avoir",-1,1)*ROUND(AQ801-IF(AR801="",0,INDEX(fa_tvab,AR801)),2))</f>
        <v/>
      </c>
      <c r="S801" s="65" t="str">
        <f>IF(A801="","",Q801+R801)</f>
        <v/>
      </c>
      <c r="T801" s="65" t="str">
        <f>IF(AR801="","",INDEX(fa_htb,AR801)+INDEX(fa_tvab,AR801))</f>
        <v/>
      </c>
      <c r="U801" s="65" t="str">
        <f>IF(A801="","",SUMIF(pa_inv,A801,pa_amt))</f>
        <v/>
      </c>
      <c r="V801" s="65" t="str">
        <f>IF(OR(A801="",AA801="Avoir"),"",-SUMIFS(fa_ttc,fa_avof,A801,fa_type,"Avoir"))</f>
        <v/>
      </c>
      <c r="W801" s="65" t="str">
        <f>IF(OR(A801="",AA801="Avoir"),"",ROUND(S801-U801-V801,2))</f>
        <v/>
      </c>
      <c r="X801" s="66" t="str">
        <f>IF(W801="","",IF(AND(W801&gt;0,p_asof&gt;P801),p_asof-P801,""))</f>
        <v/>
      </c>
      <c r="Y801" s="59" t="str">
        <f>IF(A801="","",IF(AA801="Avoir","Avoir",IF(W801&lt;0,"Trop-perçu",IF(W801=0,"Soldée",IF(p_asof&gt;P801,"En retard",IF(U801+V801&gt;0,"Partielle","À échoir"))))))</f>
        <v/>
      </c>
      <c r="Z801" s="59" t="str">
        <f>IF(NOT(COUNTA(B801:D801,F801:O801)&gt;0),"",IF(C801="","Date manquante",IF(NOT(ISNUMBER(C801)),"Date invalide",IF(D801="","Client manquant",IF(ISNA(MATCH(D801,cli_code,0)),"Client inconnu",IF(AC801&lt;SUMPRODUCT(MAX(($AB$6:AB800=AB801)*$AC$6:AC800)),"Date antérieure à la facture précédente",IF(AND(F801&lt;&gt;"",ISNA(MATCH(F801,dv_num,0))),"Devis inconnu",IF(AND(F801&lt;&gt;"",IFERROR(INDEX(dv_client,MATCH(F801,dv_num,0)),D801)&lt;&gt;D801),"Client différent de celui du devis",IF(AG801="","Aucune ligne : saisissez des lignes ou un devis",IF(AND(AI801&lt;&gt;"",COUNTIF($AI$6:AI801,AI801)&gt;1),"Devis déjà repris par une autre facture",IF(AND(AA801="Avoir",M801=""),"Avoir : indiquez la facture d'origine",IF(AND(AA801="Avoir",ISNA(MATCH(M801,fa_num,0))),"Facture d'origine inconnue",IF(AND(AA801&lt;&gt;"Avoir",M801&lt;&gt;""),"« Avoir sur facture » : réservé aux avoirs",IF(AND(L801&lt;&gt;"",AA801&lt;&gt;"Facture"),"Acompte à déduire : réservé aux factures",IF(AND(L801&lt;&gt;"",ISNA(MATCH(L801,fa_num,0))),"Facture d'acompte inconnue",IF(AND(L801&lt;&gt;"",IFERROR(INDEX(fa_type,MATCH(L801,fa_num,0)),"")&lt;&gt;"Facture d'acompte"),"Le n° à déduire n'est pas une facture d'acompte",IF(AND(L801&lt;&gt;"",COUNTIF($L$6:L801,L801)&gt;1),"Acompte déjà déduit sur une autre facture",IF(AND(L801&lt;&gt;"",IFERROR(INDEX(fa_client,MATCH(L801,fa_num,0)),D801)&lt;&gt;D801),"Acompte d'un autre client",IF(AND(AR801&lt;&gt;"",N(Q801)&lt;0),"Acompte supérieur au total de la facture",IF(IF(AG801="Facture",COUNTIFS(fl_doc,A801,fl_check,"&lt;&gt;OK"),IF(AG801="Devis",COUNTIFS(dl_doc,F801,dl_check,"&lt;&gt;OK"),0))&gt;0,"Ligne(s) à corriger",IF(AND(W801&lt;&gt;"",N(W801)&lt;0),"Trop-perçu : vérifiez paiements et avoirs","OK")))))))))))))))))))))</f>
        <v/>
      </c>
      <c r="AA801" s="62" t="str">
        <f>IF(COUNTA(B801:D801,F801:O801)&gt;0,IF(B801="","Facture",B801),"")</f>
        <v/>
      </c>
      <c r="AB801" s="62" t="str">
        <f>IF(AA801="","",IF(AA801="Avoir",p_pav,IF(AA801="Facture d'acompte",p_pac,p_pfa)))</f>
        <v/>
      </c>
      <c r="AC801" s="62">
        <f>IF(ISNUMBER(C801),C801,0)</f>
        <v>0.0</v>
      </c>
      <c r="AD801" s="62" t="str">
        <f>IF(OR(AA801="",AC801=0),"",YEAR(AC801))</f>
        <v/>
      </c>
      <c r="AE801" s="62" t="str">
        <f>IF(AD801="","",COUNTIFS($AB$6:AB801,AB801,$AD$6:AD801,AD801))</f>
        <v/>
      </c>
      <c r="AF801" s="62">
        <f>IF(A801="",0,COUNTIF(fl_doc,A801))</f>
        <v>0.0</v>
      </c>
      <c r="AG801" s="62" t="str">
        <f>IF(A801="","",IF(AF801&gt;0,"Facture",IF(AND(F801&lt;&gt;"",AA801="Facture",ISNUMBER(MATCH(F801,dv_num,0))),"Devis","")))</f>
        <v/>
      </c>
      <c r="AH801" s="62" t="str">
        <f>IF(AND(A801&lt;&gt;"",F801&lt;&gt;"",AA801&lt;&gt;"Avoir"),F801,"")</f>
        <v/>
      </c>
      <c r="AI801" s="62" t="str">
        <f>IF(AG801="Devis",F801,"")</f>
        <v/>
      </c>
      <c r="AJ801" s="62">
        <f>IF(AG801="Facture",SUMIF(fl_doc,A801,fl_ht),IF(AG801="Devis",SUMIF(dl_doc,F801,dl_ht),0))</f>
        <v>0.0</v>
      </c>
      <c r="AK801" s="62">
        <f>IF(OR(AG801="",INDEX(p_rates,1)=""),0,IF(AG801="Facture",SUMIFS(fl_ht,fl_doc,A801,fl_rate,INDEX(p_rates,1)),SUMIFS(dl_ht,dl_doc,F801,dl_rate,INDEX(p_rates,1))))</f>
        <v>0.0</v>
      </c>
      <c r="AL801" s="62">
        <f>IF(OR(AG801="",INDEX(p_rates,2)=""),0,IF(AG801="Facture",SUMIFS(fl_ht,fl_doc,A801,fl_rate,INDEX(p_rates,2)),SUMIFS(dl_ht,dl_doc,F801,dl_rate,INDEX(p_rates,2))))</f>
        <v>0.0</v>
      </c>
      <c r="AM801" s="62">
        <f>IF(OR(AG801="",INDEX(p_rates,3)=""),0,IF(AG801="Facture",SUMIFS(fl_ht,fl_doc,A801,fl_rate,INDEX(p_rates,3)),SUMIFS(dl_ht,dl_doc,F801,dl_rate,INDEX(p_rates,3))))</f>
        <v>0.0</v>
      </c>
      <c r="AN801" s="62">
        <f>IF(OR(AG801="",INDEX(p_rates,4)=""),0,IF(AG801="Facture",SUMIFS(fl_ht,fl_doc,A801,fl_rate,INDEX(p_rates,4)),SUMIFS(dl_ht,dl_doc,F801,dl_rate,INDEX(p_rates,4))))</f>
        <v>0.0</v>
      </c>
      <c r="AO801" s="62">
        <f>IF(OR(AG801="",INDEX(p_rates,5)=""),0,IF(AG801="Facture",SUMIFS(fl_ht,fl_doc,A801,fl_rate,INDEX(p_rates,5)),SUMIFS(dl_ht,dl_doc,F801,dl_rate,INDEX(p_rates,5))))</f>
        <v>0.0</v>
      </c>
      <c r="AP801" s="62">
        <f>IF(OR(AG801="",INDEX(p_rates,6)=""),0,IF(AG801="Facture",SUMIFS(fl_ht,fl_doc,A801,fl_rate,INDEX(p_rates,6)),SUMIFS(dl_ht,dl_doc,F801,dl_rate,INDEX(p_rates,6))))</f>
        <v>0.0</v>
      </c>
      <c r="AQ801" s="62">
        <f>ROUND(AK801*N(INDEX(p_rates,1)),2)+ROUND(AL801*N(INDEX(p_rates,2)),2)+ROUND(AM801*N(INDEX(p_rates,3)),2)+ROUND(AN801*N(INDEX(p_rates,4)),2)+ROUND(AO801*N(INDEX(p_rates,5)),2)+ROUND(AP801*N(INDEX(p_rates,6)),2)</f>
        <v>0.0</v>
      </c>
      <c r="AR801" s="62" t="str">
        <f>IF(OR(L801="",AA801&lt;&gt;"Facture"),"",IFERROR(IF(INDEX(fa_type,MATCH(L801,fa_num,0))="Facture d'acompte",MATCH(L801,fa_num,0),""),""))</f>
        <v/>
      </c>
      <c r="AS801" s="62" t="str">
        <f>IF(W801="","",IF(W801&lt;=0,"",IF(p_asof-P801&lt;=0,"Non échu",IF(p_asof-P801&lt;=30,"1-30 j",IF(p_asof-P801&lt;=60,"31-60 j",IF(p_asof-P801&lt;=90,"61-90 j","Plus de 90 j"))))))</f>
        <v/>
      </c>
      <c r="AT801" s="62" t="str">
        <f>IF(AS801="","",p_asof-P801)</f>
        <v/>
      </c>
      <c r="AU801" s="62" t="str">
        <f>IF(AT801="","",COUNTIF($AT$6:$AT$805,"&gt;"&amp;AT801)+COUNTIF($AT$6:AT801,AT801))</f>
        <v/>
      </c>
    </row>
    <row r="802">
      <c r="A802" s="59" t="str">
        <f>IF(AE802="","",AB802&amp;"-"&amp;AD802&amp;"-"&amp;RIGHT("000"&amp;AE802,4))</f>
        <v/>
      </c>
      <c r="B802" s="60" t="n"/>
      <c r="C802" s="61" t="n"/>
      <c r="D802" s="60" t="n"/>
      <c r="E802" s="62" t="str">
        <f>IF(D802="","",IFERROR(INDEX(cli_name,MATCH(D802,cli_code,0))&amp;"","Client inconnu"))</f>
        <v/>
      </c>
      <c r="F802" s="60" t="n"/>
      <c r="G802" s="63" t="n"/>
      <c r="H802" s="61" t="n"/>
      <c r="I802" s="63" t="n"/>
      <c r="J802" s="60" t="n"/>
      <c r="K802" s="61" t="n"/>
      <c r="L802" s="60" t="n"/>
      <c r="M802" s="60" t="n"/>
      <c r="N802" s="60" t="n"/>
      <c r="O802" s="61" t="n"/>
      <c r="P802" s="64" t="str">
        <f>IF(A802="","",IF(AA802="Avoir",AC802,IF(ISNUMBER(K802),K802,AC802+IF(D802="",N(p_delay),IFERROR(IF(ISNUMBER(INDEX(cli_delay,MATCH(D802,cli_code,0))),INDEX(cli_delay,MATCH(D802,cli_code,0)),N(p_delay)),N(p_delay))))))</f>
        <v/>
      </c>
      <c r="Q802" s="65" t="str">
        <f>IF(A802="","",IF(AA802="Avoir",-1,1)*ROUND(AJ802-IF(AR802="",0,INDEX(fa_htb,AR802)),2))</f>
        <v/>
      </c>
      <c r="R802" s="65" t="str">
        <f>IF(A802="","",IF(AA802="Avoir",-1,1)*ROUND(AQ802-IF(AR802="",0,INDEX(fa_tvab,AR802)),2))</f>
        <v/>
      </c>
      <c r="S802" s="65" t="str">
        <f>IF(A802="","",Q802+R802)</f>
        <v/>
      </c>
      <c r="T802" s="65" t="str">
        <f>IF(AR802="","",INDEX(fa_htb,AR802)+INDEX(fa_tvab,AR802))</f>
        <v/>
      </c>
      <c r="U802" s="65" t="str">
        <f>IF(A802="","",SUMIF(pa_inv,A802,pa_amt))</f>
        <v/>
      </c>
      <c r="V802" s="65" t="str">
        <f>IF(OR(A802="",AA802="Avoir"),"",-SUMIFS(fa_ttc,fa_avof,A802,fa_type,"Avoir"))</f>
        <v/>
      </c>
      <c r="W802" s="65" t="str">
        <f>IF(OR(A802="",AA802="Avoir"),"",ROUND(S802-U802-V802,2))</f>
        <v/>
      </c>
      <c r="X802" s="66" t="str">
        <f>IF(W802="","",IF(AND(W802&gt;0,p_asof&gt;P802),p_asof-P802,""))</f>
        <v/>
      </c>
      <c r="Y802" s="59" t="str">
        <f>IF(A802="","",IF(AA802="Avoir","Avoir",IF(W802&lt;0,"Trop-perçu",IF(W802=0,"Soldée",IF(p_asof&gt;P802,"En retard",IF(U802+V802&gt;0,"Partielle","À échoir"))))))</f>
        <v/>
      </c>
      <c r="Z802" s="59" t="str">
        <f>IF(NOT(COUNTA(B802:D802,F802:O802)&gt;0),"",IF(C802="","Date manquante",IF(NOT(ISNUMBER(C802)),"Date invalide",IF(D802="","Client manquant",IF(ISNA(MATCH(D802,cli_code,0)),"Client inconnu",IF(AC802&lt;SUMPRODUCT(MAX(($AB$6:AB801=AB802)*$AC$6:AC801)),"Date antérieure à la facture précédente",IF(AND(F802&lt;&gt;"",ISNA(MATCH(F802,dv_num,0))),"Devis inconnu",IF(AND(F802&lt;&gt;"",IFERROR(INDEX(dv_client,MATCH(F802,dv_num,0)),D802)&lt;&gt;D802),"Client différent de celui du devis",IF(AG802="","Aucune ligne : saisissez des lignes ou un devis",IF(AND(AI802&lt;&gt;"",COUNTIF($AI$6:AI802,AI802)&gt;1),"Devis déjà repris par une autre facture",IF(AND(AA802="Avoir",M802=""),"Avoir : indiquez la facture d'origine",IF(AND(AA802="Avoir",ISNA(MATCH(M802,fa_num,0))),"Facture d'origine inconnue",IF(AND(AA802&lt;&gt;"Avoir",M802&lt;&gt;""),"« Avoir sur facture » : réservé aux avoirs",IF(AND(L802&lt;&gt;"",AA802&lt;&gt;"Facture"),"Acompte à déduire : réservé aux factures",IF(AND(L802&lt;&gt;"",ISNA(MATCH(L802,fa_num,0))),"Facture d'acompte inconnue",IF(AND(L802&lt;&gt;"",IFERROR(INDEX(fa_type,MATCH(L802,fa_num,0)),"")&lt;&gt;"Facture d'acompte"),"Le n° à déduire n'est pas une facture d'acompte",IF(AND(L802&lt;&gt;"",COUNTIF($L$6:L802,L802)&gt;1),"Acompte déjà déduit sur une autre facture",IF(AND(L802&lt;&gt;"",IFERROR(INDEX(fa_client,MATCH(L802,fa_num,0)),D802)&lt;&gt;D802),"Acompte d'un autre client",IF(AND(AR802&lt;&gt;"",N(Q802)&lt;0),"Acompte supérieur au total de la facture",IF(IF(AG802="Facture",COUNTIFS(fl_doc,A802,fl_check,"&lt;&gt;OK"),IF(AG802="Devis",COUNTIFS(dl_doc,F802,dl_check,"&lt;&gt;OK"),0))&gt;0,"Ligne(s) à corriger",IF(AND(W802&lt;&gt;"",N(W802)&lt;0),"Trop-perçu : vérifiez paiements et avoirs","OK")))))))))))))))))))))</f>
        <v/>
      </c>
      <c r="AA802" s="62" t="str">
        <f>IF(COUNTA(B802:D802,F802:O802)&gt;0,IF(B802="","Facture",B802),"")</f>
        <v/>
      </c>
      <c r="AB802" s="62" t="str">
        <f>IF(AA802="","",IF(AA802="Avoir",p_pav,IF(AA802="Facture d'acompte",p_pac,p_pfa)))</f>
        <v/>
      </c>
      <c r="AC802" s="62">
        <f>IF(ISNUMBER(C802),C802,0)</f>
        <v>0.0</v>
      </c>
      <c r="AD802" s="62" t="str">
        <f>IF(OR(AA802="",AC802=0),"",YEAR(AC802))</f>
        <v/>
      </c>
      <c r="AE802" s="62" t="str">
        <f>IF(AD802="","",COUNTIFS($AB$6:AB802,AB802,$AD$6:AD802,AD802))</f>
        <v/>
      </c>
      <c r="AF802" s="62">
        <f>IF(A802="",0,COUNTIF(fl_doc,A802))</f>
        <v>0.0</v>
      </c>
      <c r="AG802" s="62" t="str">
        <f>IF(A802="","",IF(AF802&gt;0,"Facture",IF(AND(F802&lt;&gt;"",AA802="Facture",ISNUMBER(MATCH(F802,dv_num,0))),"Devis","")))</f>
        <v/>
      </c>
      <c r="AH802" s="62" t="str">
        <f>IF(AND(A802&lt;&gt;"",F802&lt;&gt;"",AA802&lt;&gt;"Avoir"),F802,"")</f>
        <v/>
      </c>
      <c r="AI802" s="62" t="str">
        <f>IF(AG802="Devis",F802,"")</f>
        <v/>
      </c>
      <c r="AJ802" s="62">
        <f>IF(AG802="Facture",SUMIF(fl_doc,A802,fl_ht),IF(AG802="Devis",SUMIF(dl_doc,F802,dl_ht),0))</f>
        <v>0.0</v>
      </c>
      <c r="AK802" s="62">
        <f>IF(OR(AG802="",INDEX(p_rates,1)=""),0,IF(AG802="Facture",SUMIFS(fl_ht,fl_doc,A802,fl_rate,INDEX(p_rates,1)),SUMIFS(dl_ht,dl_doc,F802,dl_rate,INDEX(p_rates,1))))</f>
        <v>0.0</v>
      </c>
      <c r="AL802" s="62">
        <f>IF(OR(AG802="",INDEX(p_rates,2)=""),0,IF(AG802="Facture",SUMIFS(fl_ht,fl_doc,A802,fl_rate,INDEX(p_rates,2)),SUMIFS(dl_ht,dl_doc,F802,dl_rate,INDEX(p_rates,2))))</f>
        <v>0.0</v>
      </c>
      <c r="AM802" s="62">
        <f>IF(OR(AG802="",INDEX(p_rates,3)=""),0,IF(AG802="Facture",SUMIFS(fl_ht,fl_doc,A802,fl_rate,INDEX(p_rates,3)),SUMIFS(dl_ht,dl_doc,F802,dl_rate,INDEX(p_rates,3))))</f>
        <v>0.0</v>
      </c>
      <c r="AN802" s="62">
        <f>IF(OR(AG802="",INDEX(p_rates,4)=""),0,IF(AG802="Facture",SUMIFS(fl_ht,fl_doc,A802,fl_rate,INDEX(p_rates,4)),SUMIFS(dl_ht,dl_doc,F802,dl_rate,INDEX(p_rates,4))))</f>
        <v>0.0</v>
      </c>
      <c r="AO802" s="62">
        <f>IF(OR(AG802="",INDEX(p_rates,5)=""),0,IF(AG802="Facture",SUMIFS(fl_ht,fl_doc,A802,fl_rate,INDEX(p_rates,5)),SUMIFS(dl_ht,dl_doc,F802,dl_rate,INDEX(p_rates,5))))</f>
        <v>0.0</v>
      </c>
      <c r="AP802" s="62">
        <f>IF(OR(AG802="",INDEX(p_rates,6)=""),0,IF(AG802="Facture",SUMIFS(fl_ht,fl_doc,A802,fl_rate,INDEX(p_rates,6)),SUMIFS(dl_ht,dl_doc,F802,dl_rate,INDEX(p_rates,6))))</f>
        <v>0.0</v>
      </c>
      <c r="AQ802" s="62">
        <f>ROUND(AK802*N(INDEX(p_rates,1)),2)+ROUND(AL802*N(INDEX(p_rates,2)),2)+ROUND(AM802*N(INDEX(p_rates,3)),2)+ROUND(AN802*N(INDEX(p_rates,4)),2)+ROUND(AO802*N(INDEX(p_rates,5)),2)+ROUND(AP802*N(INDEX(p_rates,6)),2)</f>
        <v>0.0</v>
      </c>
      <c r="AR802" s="62" t="str">
        <f>IF(OR(L802="",AA802&lt;&gt;"Facture"),"",IFERROR(IF(INDEX(fa_type,MATCH(L802,fa_num,0))="Facture d'acompte",MATCH(L802,fa_num,0),""),""))</f>
        <v/>
      </c>
      <c r="AS802" s="62" t="str">
        <f>IF(W802="","",IF(W802&lt;=0,"",IF(p_asof-P802&lt;=0,"Non échu",IF(p_asof-P802&lt;=30,"1-30 j",IF(p_asof-P802&lt;=60,"31-60 j",IF(p_asof-P802&lt;=90,"61-90 j","Plus de 90 j"))))))</f>
        <v/>
      </c>
      <c r="AT802" s="62" t="str">
        <f>IF(AS802="","",p_asof-P802)</f>
        <v/>
      </c>
      <c r="AU802" s="62" t="str">
        <f>IF(AT802="","",COUNTIF($AT$6:$AT$805,"&gt;"&amp;AT802)+COUNTIF($AT$6:AT802,AT802))</f>
        <v/>
      </c>
    </row>
    <row r="803">
      <c r="A803" s="59" t="str">
        <f>IF(AE803="","",AB803&amp;"-"&amp;AD803&amp;"-"&amp;RIGHT("000"&amp;AE803,4))</f>
        <v/>
      </c>
      <c r="B803" s="60" t="n"/>
      <c r="C803" s="61" t="n"/>
      <c r="D803" s="60" t="n"/>
      <c r="E803" s="62" t="str">
        <f>IF(D803="","",IFERROR(INDEX(cli_name,MATCH(D803,cli_code,0))&amp;"","Client inconnu"))</f>
        <v/>
      </c>
      <c r="F803" s="60" t="n"/>
      <c r="G803" s="63" t="n"/>
      <c r="H803" s="61" t="n"/>
      <c r="I803" s="63" t="n"/>
      <c r="J803" s="60" t="n"/>
      <c r="K803" s="61" t="n"/>
      <c r="L803" s="60" t="n"/>
      <c r="M803" s="60" t="n"/>
      <c r="N803" s="60" t="n"/>
      <c r="O803" s="61" t="n"/>
      <c r="P803" s="64" t="str">
        <f>IF(A803="","",IF(AA803="Avoir",AC803,IF(ISNUMBER(K803),K803,AC803+IF(D803="",N(p_delay),IFERROR(IF(ISNUMBER(INDEX(cli_delay,MATCH(D803,cli_code,0))),INDEX(cli_delay,MATCH(D803,cli_code,0)),N(p_delay)),N(p_delay))))))</f>
        <v/>
      </c>
      <c r="Q803" s="65" t="str">
        <f>IF(A803="","",IF(AA803="Avoir",-1,1)*ROUND(AJ803-IF(AR803="",0,INDEX(fa_htb,AR803)),2))</f>
        <v/>
      </c>
      <c r="R803" s="65" t="str">
        <f>IF(A803="","",IF(AA803="Avoir",-1,1)*ROUND(AQ803-IF(AR803="",0,INDEX(fa_tvab,AR803)),2))</f>
        <v/>
      </c>
      <c r="S803" s="65" t="str">
        <f>IF(A803="","",Q803+R803)</f>
        <v/>
      </c>
      <c r="T803" s="65" t="str">
        <f>IF(AR803="","",INDEX(fa_htb,AR803)+INDEX(fa_tvab,AR803))</f>
        <v/>
      </c>
      <c r="U803" s="65" t="str">
        <f>IF(A803="","",SUMIF(pa_inv,A803,pa_amt))</f>
        <v/>
      </c>
      <c r="V803" s="65" t="str">
        <f>IF(OR(A803="",AA803="Avoir"),"",-SUMIFS(fa_ttc,fa_avof,A803,fa_type,"Avoir"))</f>
        <v/>
      </c>
      <c r="W803" s="65" t="str">
        <f>IF(OR(A803="",AA803="Avoir"),"",ROUND(S803-U803-V803,2))</f>
        <v/>
      </c>
      <c r="X803" s="66" t="str">
        <f>IF(W803="","",IF(AND(W803&gt;0,p_asof&gt;P803),p_asof-P803,""))</f>
        <v/>
      </c>
      <c r="Y803" s="59" t="str">
        <f>IF(A803="","",IF(AA803="Avoir","Avoir",IF(W803&lt;0,"Trop-perçu",IF(W803=0,"Soldée",IF(p_asof&gt;P803,"En retard",IF(U803+V803&gt;0,"Partielle","À échoir"))))))</f>
        <v/>
      </c>
      <c r="Z803" s="59" t="str">
        <f>IF(NOT(COUNTA(B803:D803,F803:O803)&gt;0),"",IF(C803="","Date manquante",IF(NOT(ISNUMBER(C803)),"Date invalide",IF(D803="","Client manquant",IF(ISNA(MATCH(D803,cli_code,0)),"Client inconnu",IF(AC803&lt;SUMPRODUCT(MAX(($AB$6:AB802=AB803)*$AC$6:AC802)),"Date antérieure à la facture précédente",IF(AND(F803&lt;&gt;"",ISNA(MATCH(F803,dv_num,0))),"Devis inconnu",IF(AND(F803&lt;&gt;"",IFERROR(INDEX(dv_client,MATCH(F803,dv_num,0)),D803)&lt;&gt;D803),"Client différent de celui du devis",IF(AG803="","Aucune ligne : saisissez des lignes ou un devis",IF(AND(AI803&lt;&gt;"",COUNTIF($AI$6:AI803,AI803)&gt;1),"Devis déjà repris par une autre facture",IF(AND(AA803="Avoir",M803=""),"Avoir : indiquez la facture d'origine",IF(AND(AA803="Avoir",ISNA(MATCH(M803,fa_num,0))),"Facture d'origine inconnue",IF(AND(AA803&lt;&gt;"Avoir",M803&lt;&gt;""),"« Avoir sur facture » : réservé aux avoirs",IF(AND(L803&lt;&gt;"",AA803&lt;&gt;"Facture"),"Acompte à déduire : réservé aux factures",IF(AND(L803&lt;&gt;"",ISNA(MATCH(L803,fa_num,0))),"Facture d'acompte inconnue",IF(AND(L803&lt;&gt;"",IFERROR(INDEX(fa_type,MATCH(L803,fa_num,0)),"")&lt;&gt;"Facture d'acompte"),"Le n° à déduire n'est pas une facture d'acompte",IF(AND(L803&lt;&gt;"",COUNTIF($L$6:L803,L803)&gt;1),"Acompte déjà déduit sur une autre facture",IF(AND(L803&lt;&gt;"",IFERROR(INDEX(fa_client,MATCH(L803,fa_num,0)),D803)&lt;&gt;D803),"Acompte d'un autre client",IF(AND(AR803&lt;&gt;"",N(Q803)&lt;0),"Acompte supérieur au total de la facture",IF(IF(AG803="Facture",COUNTIFS(fl_doc,A803,fl_check,"&lt;&gt;OK"),IF(AG803="Devis",COUNTIFS(dl_doc,F803,dl_check,"&lt;&gt;OK"),0))&gt;0,"Ligne(s) à corriger",IF(AND(W803&lt;&gt;"",N(W803)&lt;0),"Trop-perçu : vérifiez paiements et avoirs","OK")))))))))))))))))))))</f>
        <v/>
      </c>
      <c r="AA803" s="62" t="str">
        <f>IF(COUNTA(B803:D803,F803:O803)&gt;0,IF(B803="","Facture",B803),"")</f>
        <v/>
      </c>
      <c r="AB803" s="62" t="str">
        <f>IF(AA803="","",IF(AA803="Avoir",p_pav,IF(AA803="Facture d'acompte",p_pac,p_pfa)))</f>
        <v/>
      </c>
      <c r="AC803" s="62">
        <f>IF(ISNUMBER(C803),C803,0)</f>
        <v>0.0</v>
      </c>
      <c r="AD803" s="62" t="str">
        <f>IF(OR(AA803="",AC803=0),"",YEAR(AC803))</f>
        <v/>
      </c>
      <c r="AE803" s="62" t="str">
        <f>IF(AD803="","",COUNTIFS($AB$6:AB803,AB803,$AD$6:AD803,AD803))</f>
        <v/>
      </c>
      <c r="AF803" s="62">
        <f>IF(A803="",0,COUNTIF(fl_doc,A803))</f>
        <v>0.0</v>
      </c>
      <c r="AG803" s="62" t="str">
        <f>IF(A803="","",IF(AF803&gt;0,"Facture",IF(AND(F803&lt;&gt;"",AA803="Facture",ISNUMBER(MATCH(F803,dv_num,0))),"Devis","")))</f>
        <v/>
      </c>
      <c r="AH803" s="62" t="str">
        <f>IF(AND(A803&lt;&gt;"",F803&lt;&gt;"",AA803&lt;&gt;"Avoir"),F803,"")</f>
        <v/>
      </c>
      <c r="AI803" s="62" t="str">
        <f>IF(AG803="Devis",F803,"")</f>
        <v/>
      </c>
      <c r="AJ803" s="62">
        <f>IF(AG803="Facture",SUMIF(fl_doc,A803,fl_ht),IF(AG803="Devis",SUMIF(dl_doc,F803,dl_ht),0))</f>
        <v>0.0</v>
      </c>
      <c r="AK803" s="62">
        <f>IF(OR(AG803="",INDEX(p_rates,1)=""),0,IF(AG803="Facture",SUMIFS(fl_ht,fl_doc,A803,fl_rate,INDEX(p_rates,1)),SUMIFS(dl_ht,dl_doc,F803,dl_rate,INDEX(p_rates,1))))</f>
        <v>0.0</v>
      </c>
      <c r="AL803" s="62">
        <f>IF(OR(AG803="",INDEX(p_rates,2)=""),0,IF(AG803="Facture",SUMIFS(fl_ht,fl_doc,A803,fl_rate,INDEX(p_rates,2)),SUMIFS(dl_ht,dl_doc,F803,dl_rate,INDEX(p_rates,2))))</f>
        <v>0.0</v>
      </c>
      <c r="AM803" s="62">
        <f>IF(OR(AG803="",INDEX(p_rates,3)=""),0,IF(AG803="Facture",SUMIFS(fl_ht,fl_doc,A803,fl_rate,INDEX(p_rates,3)),SUMIFS(dl_ht,dl_doc,F803,dl_rate,INDEX(p_rates,3))))</f>
        <v>0.0</v>
      </c>
      <c r="AN803" s="62">
        <f>IF(OR(AG803="",INDEX(p_rates,4)=""),0,IF(AG803="Facture",SUMIFS(fl_ht,fl_doc,A803,fl_rate,INDEX(p_rates,4)),SUMIFS(dl_ht,dl_doc,F803,dl_rate,INDEX(p_rates,4))))</f>
        <v>0.0</v>
      </c>
      <c r="AO803" s="62">
        <f>IF(OR(AG803="",INDEX(p_rates,5)=""),0,IF(AG803="Facture",SUMIFS(fl_ht,fl_doc,A803,fl_rate,INDEX(p_rates,5)),SUMIFS(dl_ht,dl_doc,F803,dl_rate,INDEX(p_rates,5))))</f>
        <v>0.0</v>
      </c>
      <c r="AP803" s="62">
        <f>IF(OR(AG803="",INDEX(p_rates,6)=""),0,IF(AG803="Facture",SUMIFS(fl_ht,fl_doc,A803,fl_rate,INDEX(p_rates,6)),SUMIFS(dl_ht,dl_doc,F803,dl_rate,INDEX(p_rates,6))))</f>
        <v>0.0</v>
      </c>
      <c r="AQ803" s="62">
        <f>ROUND(AK803*N(INDEX(p_rates,1)),2)+ROUND(AL803*N(INDEX(p_rates,2)),2)+ROUND(AM803*N(INDEX(p_rates,3)),2)+ROUND(AN803*N(INDEX(p_rates,4)),2)+ROUND(AO803*N(INDEX(p_rates,5)),2)+ROUND(AP803*N(INDEX(p_rates,6)),2)</f>
        <v>0.0</v>
      </c>
      <c r="AR803" s="62" t="str">
        <f>IF(OR(L803="",AA803&lt;&gt;"Facture"),"",IFERROR(IF(INDEX(fa_type,MATCH(L803,fa_num,0))="Facture d'acompte",MATCH(L803,fa_num,0),""),""))</f>
        <v/>
      </c>
      <c r="AS803" s="62" t="str">
        <f>IF(W803="","",IF(W803&lt;=0,"",IF(p_asof-P803&lt;=0,"Non échu",IF(p_asof-P803&lt;=30,"1-30 j",IF(p_asof-P803&lt;=60,"31-60 j",IF(p_asof-P803&lt;=90,"61-90 j","Plus de 90 j"))))))</f>
        <v/>
      </c>
      <c r="AT803" s="62" t="str">
        <f>IF(AS803="","",p_asof-P803)</f>
        <v/>
      </c>
      <c r="AU803" s="62" t="str">
        <f>IF(AT803="","",COUNTIF($AT$6:$AT$805,"&gt;"&amp;AT803)+COUNTIF($AT$6:AT803,AT803))</f>
        <v/>
      </c>
    </row>
    <row r="804">
      <c r="A804" s="59" t="str">
        <f>IF(AE804="","",AB804&amp;"-"&amp;AD804&amp;"-"&amp;RIGHT("000"&amp;AE804,4))</f>
        <v/>
      </c>
      <c r="B804" s="60" t="n"/>
      <c r="C804" s="61" t="n"/>
      <c r="D804" s="60" t="n"/>
      <c r="E804" s="62" t="str">
        <f>IF(D804="","",IFERROR(INDEX(cli_name,MATCH(D804,cli_code,0))&amp;"","Client inconnu"))</f>
        <v/>
      </c>
      <c r="F804" s="60" t="n"/>
      <c r="G804" s="63" t="n"/>
      <c r="H804" s="61" t="n"/>
      <c r="I804" s="63" t="n"/>
      <c r="J804" s="60" t="n"/>
      <c r="K804" s="61" t="n"/>
      <c r="L804" s="60" t="n"/>
      <c r="M804" s="60" t="n"/>
      <c r="N804" s="60" t="n"/>
      <c r="O804" s="61" t="n"/>
      <c r="P804" s="64" t="str">
        <f>IF(A804="","",IF(AA804="Avoir",AC804,IF(ISNUMBER(K804),K804,AC804+IF(D804="",N(p_delay),IFERROR(IF(ISNUMBER(INDEX(cli_delay,MATCH(D804,cli_code,0))),INDEX(cli_delay,MATCH(D804,cli_code,0)),N(p_delay)),N(p_delay))))))</f>
        <v/>
      </c>
      <c r="Q804" s="65" t="str">
        <f>IF(A804="","",IF(AA804="Avoir",-1,1)*ROUND(AJ804-IF(AR804="",0,INDEX(fa_htb,AR804)),2))</f>
        <v/>
      </c>
      <c r="R804" s="65" t="str">
        <f>IF(A804="","",IF(AA804="Avoir",-1,1)*ROUND(AQ804-IF(AR804="",0,INDEX(fa_tvab,AR804)),2))</f>
        <v/>
      </c>
      <c r="S804" s="65" t="str">
        <f>IF(A804="","",Q804+R804)</f>
        <v/>
      </c>
      <c r="T804" s="65" t="str">
        <f>IF(AR804="","",INDEX(fa_htb,AR804)+INDEX(fa_tvab,AR804))</f>
        <v/>
      </c>
      <c r="U804" s="65" t="str">
        <f>IF(A804="","",SUMIF(pa_inv,A804,pa_amt))</f>
        <v/>
      </c>
      <c r="V804" s="65" t="str">
        <f>IF(OR(A804="",AA804="Avoir"),"",-SUMIFS(fa_ttc,fa_avof,A804,fa_type,"Avoir"))</f>
        <v/>
      </c>
      <c r="W804" s="65" t="str">
        <f>IF(OR(A804="",AA804="Avoir"),"",ROUND(S804-U804-V804,2))</f>
        <v/>
      </c>
      <c r="X804" s="66" t="str">
        <f>IF(W804="","",IF(AND(W804&gt;0,p_asof&gt;P804),p_asof-P804,""))</f>
        <v/>
      </c>
      <c r="Y804" s="59" t="str">
        <f>IF(A804="","",IF(AA804="Avoir","Avoir",IF(W804&lt;0,"Trop-perçu",IF(W804=0,"Soldée",IF(p_asof&gt;P804,"En retard",IF(U804+V804&gt;0,"Partielle","À échoir"))))))</f>
        <v/>
      </c>
      <c r="Z804" s="59" t="str">
        <f>IF(NOT(COUNTA(B804:D804,F804:O804)&gt;0),"",IF(C804="","Date manquante",IF(NOT(ISNUMBER(C804)),"Date invalide",IF(D804="","Client manquant",IF(ISNA(MATCH(D804,cli_code,0)),"Client inconnu",IF(AC804&lt;SUMPRODUCT(MAX(($AB$6:AB803=AB804)*$AC$6:AC803)),"Date antérieure à la facture précédente",IF(AND(F804&lt;&gt;"",ISNA(MATCH(F804,dv_num,0))),"Devis inconnu",IF(AND(F804&lt;&gt;"",IFERROR(INDEX(dv_client,MATCH(F804,dv_num,0)),D804)&lt;&gt;D804),"Client différent de celui du devis",IF(AG804="","Aucune ligne : saisissez des lignes ou un devis",IF(AND(AI804&lt;&gt;"",COUNTIF($AI$6:AI804,AI804)&gt;1),"Devis déjà repris par une autre facture",IF(AND(AA804="Avoir",M804=""),"Avoir : indiquez la facture d'origine",IF(AND(AA804="Avoir",ISNA(MATCH(M804,fa_num,0))),"Facture d'origine inconnue",IF(AND(AA804&lt;&gt;"Avoir",M804&lt;&gt;""),"« Avoir sur facture » : réservé aux avoirs",IF(AND(L804&lt;&gt;"",AA804&lt;&gt;"Facture"),"Acompte à déduire : réservé aux factures",IF(AND(L804&lt;&gt;"",ISNA(MATCH(L804,fa_num,0))),"Facture d'acompte inconnue",IF(AND(L804&lt;&gt;"",IFERROR(INDEX(fa_type,MATCH(L804,fa_num,0)),"")&lt;&gt;"Facture d'acompte"),"Le n° à déduire n'est pas une facture d'acompte",IF(AND(L804&lt;&gt;"",COUNTIF($L$6:L804,L804)&gt;1),"Acompte déjà déduit sur une autre facture",IF(AND(L804&lt;&gt;"",IFERROR(INDEX(fa_client,MATCH(L804,fa_num,0)),D804)&lt;&gt;D804),"Acompte d'un autre client",IF(AND(AR804&lt;&gt;"",N(Q804)&lt;0),"Acompte supérieur au total de la facture",IF(IF(AG804="Facture",COUNTIFS(fl_doc,A804,fl_check,"&lt;&gt;OK"),IF(AG804="Devis",COUNTIFS(dl_doc,F804,dl_check,"&lt;&gt;OK"),0))&gt;0,"Ligne(s) à corriger",IF(AND(W804&lt;&gt;"",N(W804)&lt;0),"Trop-perçu : vérifiez paiements et avoirs","OK")))))))))))))))))))))</f>
        <v/>
      </c>
      <c r="AA804" s="62" t="str">
        <f>IF(COUNTA(B804:D804,F804:O804)&gt;0,IF(B804="","Facture",B804),"")</f>
        <v/>
      </c>
      <c r="AB804" s="62" t="str">
        <f>IF(AA804="","",IF(AA804="Avoir",p_pav,IF(AA804="Facture d'acompte",p_pac,p_pfa)))</f>
        <v/>
      </c>
      <c r="AC804" s="62">
        <f>IF(ISNUMBER(C804),C804,0)</f>
        <v>0.0</v>
      </c>
      <c r="AD804" s="62" t="str">
        <f>IF(OR(AA804="",AC804=0),"",YEAR(AC804))</f>
        <v/>
      </c>
      <c r="AE804" s="62" t="str">
        <f>IF(AD804="","",COUNTIFS($AB$6:AB804,AB804,$AD$6:AD804,AD804))</f>
        <v/>
      </c>
      <c r="AF804" s="62">
        <f>IF(A804="",0,COUNTIF(fl_doc,A804))</f>
        <v>0.0</v>
      </c>
      <c r="AG804" s="62" t="str">
        <f>IF(A804="","",IF(AF804&gt;0,"Facture",IF(AND(F804&lt;&gt;"",AA804="Facture",ISNUMBER(MATCH(F804,dv_num,0))),"Devis","")))</f>
        <v/>
      </c>
      <c r="AH804" s="62" t="str">
        <f>IF(AND(A804&lt;&gt;"",F804&lt;&gt;"",AA804&lt;&gt;"Avoir"),F804,"")</f>
        <v/>
      </c>
      <c r="AI804" s="62" t="str">
        <f>IF(AG804="Devis",F804,"")</f>
        <v/>
      </c>
      <c r="AJ804" s="62">
        <f>IF(AG804="Facture",SUMIF(fl_doc,A804,fl_ht),IF(AG804="Devis",SUMIF(dl_doc,F804,dl_ht),0))</f>
        <v>0.0</v>
      </c>
      <c r="AK804" s="62">
        <f>IF(OR(AG804="",INDEX(p_rates,1)=""),0,IF(AG804="Facture",SUMIFS(fl_ht,fl_doc,A804,fl_rate,INDEX(p_rates,1)),SUMIFS(dl_ht,dl_doc,F804,dl_rate,INDEX(p_rates,1))))</f>
        <v>0.0</v>
      </c>
      <c r="AL804" s="62">
        <f>IF(OR(AG804="",INDEX(p_rates,2)=""),0,IF(AG804="Facture",SUMIFS(fl_ht,fl_doc,A804,fl_rate,INDEX(p_rates,2)),SUMIFS(dl_ht,dl_doc,F804,dl_rate,INDEX(p_rates,2))))</f>
        <v>0.0</v>
      </c>
      <c r="AM804" s="62">
        <f>IF(OR(AG804="",INDEX(p_rates,3)=""),0,IF(AG804="Facture",SUMIFS(fl_ht,fl_doc,A804,fl_rate,INDEX(p_rates,3)),SUMIFS(dl_ht,dl_doc,F804,dl_rate,INDEX(p_rates,3))))</f>
        <v>0.0</v>
      </c>
      <c r="AN804" s="62">
        <f>IF(OR(AG804="",INDEX(p_rates,4)=""),0,IF(AG804="Facture",SUMIFS(fl_ht,fl_doc,A804,fl_rate,INDEX(p_rates,4)),SUMIFS(dl_ht,dl_doc,F804,dl_rate,INDEX(p_rates,4))))</f>
        <v>0.0</v>
      </c>
      <c r="AO804" s="62">
        <f>IF(OR(AG804="",INDEX(p_rates,5)=""),0,IF(AG804="Facture",SUMIFS(fl_ht,fl_doc,A804,fl_rate,INDEX(p_rates,5)),SUMIFS(dl_ht,dl_doc,F804,dl_rate,INDEX(p_rates,5))))</f>
        <v>0.0</v>
      </c>
      <c r="AP804" s="62">
        <f>IF(OR(AG804="",INDEX(p_rates,6)=""),0,IF(AG804="Facture",SUMIFS(fl_ht,fl_doc,A804,fl_rate,INDEX(p_rates,6)),SUMIFS(dl_ht,dl_doc,F804,dl_rate,INDEX(p_rates,6))))</f>
        <v>0.0</v>
      </c>
      <c r="AQ804" s="62">
        <f>ROUND(AK804*N(INDEX(p_rates,1)),2)+ROUND(AL804*N(INDEX(p_rates,2)),2)+ROUND(AM804*N(INDEX(p_rates,3)),2)+ROUND(AN804*N(INDEX(p_rates,4)),2)+ROUND(AO804*N(INDEX(p_rates,5)),2)+ROUND(AP804*N(INDEX(p_rates,6)),2)</f>
        <v>0.0</v>
      </c>
      <c r="AR804" s="62" t="str">
        <f>IF(OR(L804="",AA804&lt;&gt;"Facture"),"",IFERROR(IF(INDEX(fa_type,MATCH(L804,fa_num,0))="Facture d'acompte",MATCH(L804,fa_num,0),""),""))</f>
        <v/>
      </c>
      <c r="AS804" s="62" t="str">
        <f>IF(W804="","",IF(W804&lt;=0,"",IF(p_asof-P804&lt;=0,"Non échu",IF(p_asof-P804&lt;=30,"1-30 j",IF(p_asof-P804&lt;=60,"31-60 j",IF(p_asof-P804&lt;=90,"61-90 j","Plus de 90 j"))))))</f>
        <v/>
      </c>
      <c r="AT804" s="62" t="str">
        <f>IF(AS804="","",p_asof-P804)</f>
        <v/>
      </c>
      <c r="AU804" s="62" t="str">
        <f>IF(AT804="","",COUNTIF($AT$6:$AT$805,"&gt;"&amp;AT804)+COUNTIF($AT$6:AT804,AT804))</f>
        <v/>
      </c>
    </row>
    <row r="805">
      <c r="A805" s="59" t="str">
        <f>IF(AE805="","",AB805&amp;"-"&amp;AD805&amp;"-"&amp;RIGHT("000"&amp;AE805,4))</f>
        <v/>
      </c>
      <c r="B805" s="60" t="n"/>
      <c r="C805" s="61" t="n"/>
      <c r="D805" s="60" t="n"/>
      <c r="E805" s="62" t="str">
        <f>IF(D805="","",IFERROR(INDEX(cli_name,MATCH(D805,cli_code,0))&amp;"","Client inconnu"))</f>
        <v/>
      </c>
      <c r="F805" s="60" t="n"/>
      <c r="G805" s="63" t="n"/>
      <c r="H805" s="61" t="n"/>
      <c r="I805" s="63" t="n"/>
      <c r="J805" s="60" t="n"/>
      <c r="K805" s="61" t="n"/>
      <c r="L805" s="60" t="n"/>
      <c r="M805" s="60" t="n"/>
      <c r="N805" s="60" t="n"/>
      <c r="O805" s="61" t="n"/>
      <c r="P805" s="64" t="str">
        <f>IF(A805="","",IF(AA805="Avoir",AC805,IF(ISNUMBER(K805),K805,AC805+IF(D805="",N(p_delay),IFERROR(IF(ISNUMBER(INDEX(cli_delay,MATCH(D805,cli_code,0))),INDEX(cli_delay,MATCH(D805,cli_code,0)),N(p_delay)),N(p_delay))))))</f>
        <v/>
      </c>
      <c r="Q805" s="65" t="str">
        <f>IF(A805="","",IF(AA805="Avoir",-1,1)*ROUND(AJ805-IF(AR805="",0,INDEX(fa_htb,AR805)),2))</f>
        <v/>
      </c>
      <c r="R805" s="65" t="str">
        <f>IF(A805="","",IF(AA805="Avoir",-1,1)*ROUND(AQ805-IF(AR805="",0,INDEX(fa_tvab,AR805)),2))</f>
        <v/>
      </c>
      <c r="S805" s="65" t="str">
        <f>IF(A805="","",Q805+R805)</f>
        <v/>
      </c>
      <c r="T805" s="65" t="str">
        <f>IF(AR805="","",INDEX(fa_htb,AR805)+INDEX(fa_tvab,AR805))</f>
        <v/>
      </c>
      <c r="U805" s="65" t="str">
        <f>IF(A805="","",SUMIF(pa_inv,A805,pa_amt))</f>
        <v/>
      </c>
      <c r="V805" s="65" t="str">
        <f>IF(OR(A805="",AA805="Avoir"),"",-SUMIFS(fa_ttc,fa_avof,A805,fa_type,"Avoir"))</f>
        <v/>
      </c>
      <c r="W805" s="65" t="str">
        <f>IF(OR(A805="",AA805="Avoir"),"",ROUND(S805-U805-V805,2))</f>
        <v/>
      </c>
      <c r="X805" s="66" t="str">
        <f>IF(W805="","",IF(AND(W805&gt;0,p_asof&gt;P805),p_asof-P805,""))</f>
        <v/>
      </c>
      <c r="Y805" s="59" t="str">
        <f>IF(A805="","",IF(AA805="Avoir","Avoir",IF(W805&lt;0,"Trop-perçu",IF(W805=0,"Soldée",IF(p_asof&gt;P805,"En retard",IF(U805+V805&gt;0,"Partielle","À échoir"))))))</f>
        <v/>
      </c>
      <c r="Z805" s="59" t="str">
        <f>IF(NOT(COUNTA(B805:D805,F805:O805)&gt;0),"",IF(C805="","Date manquante",IF(NOT(ISNUMBER(C805)),"Date invalide",IF(D805="","Client manquant",IF(ISNA(MATCH(D805,cli_code,0)),"Client inconnu",IF(AC805&lt;SUMPRODUCT(MAX(($AB$6:AB804=AB805)*$AC$6:AC804)),"Date antérieure à la facture précédente",IF(AND(F805&lt;&gt;"",ISNA(MATCH(F805,dv_num,0))),"Devis inconnu",IF(AND(F805&lt;&gt;"",IFERROR(INDEX(dv_client,MATCH(F805,dv_num,0)),D805)&lt;&gt;D805),"Client différent de celui du devis",IF(AG805="","Aucune ligne : saisissez des lignes ou un devis",IF(AND(AI805&lt;&gt;"",COUNTIF($AI$6:AI805,AI805)&gt;1),"Devis déjà repris par une autre facture",IF(AND(AA805="Avoir",M805=""),"Avoir : indiquez la facture d'origine",IF(AND(AA805="Avoir",ISNA(MATCH(M805,fa_num,0))),"Facture d'origine inconnue",IF(AND(AA805&lt;&gt;"Avoir",M805&lt;&gt;""),"« Avoir sur facture » : réservé aux avoirs",IF(AND(L805&lt;&gt;"",AA805&lt;&gt;"Facture"),"Acompte à déduire : réservé aux factures",IF(AND(L805&lt;&gt;"",ISNA(MATCH(L805,fa_num,0))),"Facture d'acompte inconnue",IF(AND(L805&lt;&gt;"",IFERROR(INDEX(fa_type,MATCH(L805,fa_num,0)),"")&lt;&gt;"Facture d'acompte"),"Le n° à déduire n'est pas une facture d'acompte",IF(AND(L805&lt;&gt;"",COUNTIF($L$6:L805,L805)&gt;1),"Acompte déjà déduit sur une autre facture",IF(AND(L805&lt;&gt;"",IFERROR(INDEX(fa_client,MATCH(L805,fa_num,0)),D805)&lt;&gt;D805),"Acompte d'un autre client",IF(AND(AR805&lt;&gt;"",N(Q805)&lt;0),"Acompte supérieur au total de la facture",IF(IF(AG805="Facture",COUNTIFS(fl_doc,A805,fl_check,"&lt;&gt;OK"),IF(AG805="Devis",COUNTIFS(dl_doc,F805,dl_check,"&lt;&gt;OK"),0))&gt;0,"Ligne(s) à corriger",IF(AND(W805&lt;&gt;"",N(W805)&lt;0),"Trop-perçu : vérifiez paiements et avoirs","OK")))))))))))))))))))))</f>
        <v/>
      </c>
      <c r="AA805" s="62" t="str">
        <f>IF(COUNTA(B805:D805,F805:O805)&gt;0,IF(B805="","Facture",B805),"")</f>
        <v/>
      </c>
      <c r="AB805" s="62" t="str">
        <f>IF(AA805="","",IF(AA805="Avoir",p_pav,IF(AA805="Facture d'acompte",p_pac,p_pfa)))</f>
        <v/>
      </c>
      <c r="AC805" s="62">
        <f>IF(ISNUMBER(C805),C805,0)</f>
        <v>0.0</v>
      </c>
      <c r="AD805" s="62" t="str">
        <f>IF(OR(AA805="",AC805=0),"",YEAR(AC805))</f>
        <v/>
      </c>
      <c r="AE805" s="62" t="str">
        <f>IF(AD805="","",COUNTIFS($AB$6:AB805,AB805,$AD$6:AD805,AD805))</f>
        <v/>
      </c>
      <c r="AF805" s="62">
        <f>IF(A805="",0,COUNTIF(fl_doc,A805))</f>
        <v>0.0</v>
      </c>
      <c r="AG805" s="62" t="str">
        <f>IF(A805="","",IF(AF805&gt;0,"Facture",IF(AND(F805&lt;&gt;"",AA805="Facture",ISNUMBER(MATCH(F805,dv_num,0))),"Devis","")))</f>
        <v/>
      </c>
      <c r="AH805" s="62" t="str">
        <f>IF(AND(A805&lt;&gt;"",F805&lt;&gt;"",AA805&lt;&gt;"Avoir"),F805,"")</f>
        <v/>
      </c>
      <c r="AI805" s="62" t="str">
        <f>IF(AG805="Devis",F805,"")</f>
        <v/>
      </c>
      <c r="AJ805" s="62">
        <f>IF(AG805="Facture",SUMIF(fl_doc,A805,fl_ht),IF(AG805="Devis",SUMIF(dl_doc,F805,dl_ht),0))</f>
        <v>0.0</v>
      </c>
      <c r="AK805" s="62">
        <f>IF(OR(AG805="",INDEX(p_rates,1)=""),0,IF(AG805="Facture",SUMIFS(fl_ht,fl_doc,A805,fl_rate,INDEX(p_rates,1)),SUMIFS(dl_ht,dl_doc,F805,dl_rate,INDEX(p_rates,1))))</f>
        <v>0.0</v>
      </c>
      <c r="AL805" s="62">
        <f>IF(OR(AG805="",INDEX(p_rates,2)=""),0,IF(AG805="Facture",SUMIFS(fl_ht,fl_doc,A805,fl_rate,INDEX(p_rates,2)),SUMIFS(dl_ht,dl_doc,F805,dl_rate,INDEX(p_rates,2))))</f>
        <v>0.0</v>
      </c>
      <c r="AM805" s="62">
        <f>IF(OR(AG805="",INDEX(p_rates,3)=""),0,IF(AG805="Facture",SUMIFS(fl_ht,fl_doc,A805,fl_rate,INDEX(p_rates,3)),SUMIFS(dl_ht,dl_doc,F805,dl_rate,INDEX(p_rates,3))))</f>
        <v>0.0</v>
      </c>
      <c r="AN805" s="62">
        <f>IF(OR(AG805="",INDEX(p_rates,4)=""),0,IF(AG805="Facture",SUMIFS(fl_ht,fl_doc,A805,fl_rate,INDEX(p_rates,4)),SUMIFS(dl_ht,dl_doc,F805,dl_rate,INDEX(p_rates,4))))</f>
        <v>0.0</v>
      </c>
      <c r="AO805" s="62">
        <f>IF(OR(AG805="",INDEX(p_rates,5)=""),0,IF(AG805="Facture",SUMIFS(fl_ht,fl_doc,A805,fl_rate,INDEX(p_rates,5)),SUMIFS(dl_ht,dl_doc,F805,dl_rate,INDEX(p_rates,5))))</f>
        <v>0.0</v>
      </c>
      <c r="AP805" s="62">
        <f>IF(OR(AG805="",INDEX(p_rates,6)=""),0,IF(AG805="Facture",SUMIFS(fl_ht,fl_doc,A805,fl_rate,INDEX(p_rates,6)),SUMIFS(dl_ht,dl_doc,F805,dl_rate,INDEX(p_rates,6))))</f>
        <v>0.0</v>
      </c>
      <c r="AQ805" s="62">
        <f>ROUND(AK805*N(INDEX(p_rates,1)),2)+ROUND(AL805*N(INDEX(p_rates,2)),2)+ROUND(AM805*N(INDEX(p_rates,3)),2)+ROUND(AN805*N(INDEX(p_rates,4)),2)+ROUND(AO805*N(INDEX(p_rates,5)),2)+ROUND(AP805*N(INDEX(p_rates,6)),2)</f>
        <v>0.0</v>
      </c>
      <c r="AR805" s="62" t="str">
        <f>IF(OR(L805="",AA805&lt;&gt;"Facture"),"",IFERROR(IF(INDEX(fa_type,MATCH(L805,fa_num,0))="Facture d'acompte",MATCH(L805,fa_num,0),""),""))</f>
        <v/>
      </c>
      <c r="AS805" s="62" t="str">
        <f>IF(W805="","",IF(W805&lt;=0,"",IF(p_asof-P805&lt;=0,"Non échu",IF(p_asof-P805&lt;=30,"1-30 j",IF(p_asof-P805&lt;=60,"31-60 j",IF(p_asof-P805&lt;=90,"61-90 j","Plus de 90 j"))))))</f>
        <v/>
      </c>
      <c r="AT805" s="62" t="str">
        <f>IF(AS805="","",p_asof-P805)</f>
        <v/>
      </c>
      <c r="AU805" s="62" t="str">
        <f>IF(AT805="","",COUNTIF($AT$6:$AT$805,"&gt;"&amp;AT805)+COUNTIF($AT$6:AT805,AT805))</f>
        <v/>
      </c>
    </row>
  </sheetData>
  <autoFilter ref="A5:Z805"/>
  <conditionalFormatting sqref="Y6:Y805">
    <cfRule type="expression" priority="1" dxfId="11">
      <formula>$Y6="Soldée"</formula>
    </cfRule>
    <cfRule type="expression" priority="2" dxfId="0">
      <formula>$Y6="À échoir"</formula>
    </cfRule>
    <cfRule type="expression" priority="3" dxfId="1">
      <formula>$Y6="Partielle"</formula>
    </cfRule>
    <cfRule type="expression" priority="4" dxfId="4">
      <formula>$Y6="En retard"</formula>
    </cfRule>
    <cfRule type="expression" priority="5" dxfId="2">
      <formula>$Y6="Trop-perçu"</formula>
    </cfRule>
    <cfRule type="expression" priority="6" dxfId="12">
      <formula>$Y6="Avoir"</formula>
    </cfRule>
  </conditionalFormatting>
  <conditionalFormatting sqref="Z6:Z805">
    <cfRule type="expression" priority="7" dxfId="11">
      <formula>$Z6="OK"</formula>
    </cfRule>
    <cfRule type="expression" priority="8" dxfId="4">
      <formula>AND($Z6&lt;&gt;"",$Z6&lt;&gt;"OK")</formula>
    </cfRule>
  </conditionalFormatting>
  <conditionalFormatting sqref="Q6:Q805">
    <cfRule type="expression" priority="9" dxfId="5">
      <formula>p_currency="MAD"</formula>
    </cfRule>
    <cfRule type="expression" priority="16" dxfId="6">
      <formula>p_currency="EUR"</formula>
    </cfRule>
    <cfRule type="expression" priority="23" dxfId="7">
      <formula>p_currency="USD"</formula>
    </cfRule>
  </conditionalFormatting>
  <conditionalFormatting sqref="R6:R805">
    <cfRule type="expression" priority="10" dxfId="5">
      <formula>p_currency="MAD"</formula>
    </cfRule>
    <cfRule type="expression" priority="17" dxfId="6">
      <formula>p_currency="EUR"</formula>
    </cfRule>
    <cfRule type="expression" priority="24" dxfId="7">
      <formula>p_currency="USD"</formula>
    </cfRule>
  </conditionalFormatting>
  <conditionalFormatting sqref="S6:S805">
    <cfRule type="expression" priority="11" dxfId="5">
      <formula>p_currency="MAD"</formula>
    </cfRule>
    <cfRule type="expression" priority="18" dxfId="6">
      <formula>p_currency="EUR"</formula>
    </cfRule>
    <cfRule type="expression" priority="25" dxfId="7">
      <formula>p_currency="USD"</formula>
    </cfRule>
  </conditionalFormatting>
  <conditionalFormatting sqref="T6:T805">
    <cfRule type="expression" priority="12" dxfId="5">
      <formula>p_currency="MAD"</formula>
    </cfRule>
    <cfRule type="expression" priority="19" dxfId="6">
      <formula>p_currency="EUR"</formula>
    </cfRule>
    <cfRule type="expression" priority="26" dxfId="7">
      <formula>p_currency="USD"</formula>
    </cfRule>
  </conditionalFormatting>
  <conditionalFormatting sqref="U6:U805">
    <cfRule type="expression" priority="13" dxfId="5">
      <formula>p_currency="MAD"</formula>
    </cfRule>
    <cfRule type="expression" priority="20" dxfId="6">
      <formula>p_currency="EUR"</formula>
    </cfRule>
    <cfRule type="expression" priority="27" dxfId="7">
      <formula>p_currency="USD"</formula>
    </cfRule>
  </conditionalFormatting>
  <conditionalFormatting sqref="V6:V805">
    <cfRule type="expression" priority="14" dxfId="5">
      <formula>p_currency="MAD"</formula>
    </cfRule>
    <cfRule type="expression" priority="21" dxfId="6">
      <formula>p_currency="EUR"</formula>
    </cfRule>
    <cfRule type="expression" priority="28" dxfId="7">
      <formula>p_currency="USD"</formula>
    </cfRule>
  </conditionalFormatting>
  <conditionalFormatting sqref="W6:W805">
    <cfRule type="expression" priority="15" dxfId="5">
      <formula>p_currency="MAD"</formula>
    </cfRule>
    <cfRule type="expression" priority="22" dxfId="6">
      <formula>p_currency="EUR"</formula>
    </cfRule>
    <cfRule type="expression" priority="29" dxfId="7">
      <formula>p_currency="USD"</formula>
    </cfRule>
  </conditionalFormatting>
  <dataValidations count="13">
    <dataValidation sqref="B6:B805" showDropDown="0" showInputMessage="1" showErrorMessage="1" allowBlank="1" errorTitle="Type" error="Facture (vide = facture), Facture d'acompte ou Avoir." promptTitle="Type" prompt="Facture (vide = facture), Facture d'acompte ou Avoir." type="list">
      <formula1>"Facture,Facture d'acompte,Avoir"</formula1>
    </dataValidation>
    <dataValidation sqref="C6:C805" showDropDown="0" showInputMessage="1" showErrorMessage="1" allowBlank="1" errorTitle="Date de facture" error="Date d'émission (jj/mm/aaaa). Saisissez les factures dans l'ordre des dates : le numéro suit l'ordre des lignes." promptTitle="Date de facture" prompt="Date d'émission (jj/mm/aaaa). Saisissez les factures dans l'ordre des dates : le numéro suit l'ordre des lignes." type="date" operator="between">
      <formula1>36526</formula1>
      <formula2>73051</formula2>
    </dataValidation>
    <dataValidation sqref="D6:D805" showDropDown="0" showInputMessage="1" showErrorMessage="1" allowBlank="1" errorTitle="Client" error="Choisissez le code client (feuille « Clients »)." promptTitle="Client" prompt="Choisissez le code client (feuille « Clients »)." type="list">
      <formula1>=cli_code</formula1>
    </dataValidation>
    <dataValidation sqref="F6:F805" showDropDown="0" showInputMessage="1" showErrorMessage="1" allowBlank="1" errorTitle="Devis d'origine" error="Facultatif. Sans ligne saisie pour cette facture, elle reprend toutes les lignes de ce devis." promptTitle="Devis d'origine" prompt="Facultatif. Sans ligne saisie pour cette facture, elle reprend toutes les lignes de ce devis." type="list">
      <formula1>=dv_num</formula1>
    </dataValidation>
    <dataValidation sqref="G6:G805" showDropDown="0" showInputMessage="1" showErrorMessage="1" allowBlank="1" errorTitle="Votre commande" error="40 caractères au maximum." promptTitle="Votre commande" prompt="Numéro du bon de commande du client, s'il en a émis un." type="textLength" operator="lessThanOrEqual">
      <formula1>40</formula1>
    </dataValidation>
    <dataValidation sqref="H6:H805" showDropDown="0" showInputMessage="1" showErrorMessage="1" allowBlank="1" errorTitle="Date de livraison" error="Date de livraison ou d'exécution, si elle diffère de la date de facture." promptTitle="Date de livraison" prompt="Date de livraison ou d'exécution, si elle diffère de la date de facture." type="date" operator="between">
      <formula1>36526</formula1>
      <formula2>73051</formula2>
    </dataValidation>
    <dataValidation sqref="I6:I805" showDropDown="0" showInputMessage="1" showErrorMessage="1" allowBlank="1" errorTitle="Adresse de livraison" error="150 caractères au maximum." promptTitle="Adresse de livraison" prompt="Seulement si elle diffère de l'adresse du client." type="textLength" operator="lessThanOrEqual">
      <formula1>150</formula1>
    </dataValidation>
    <dataValidation sqref="J6:J805" showDropDown="0" showInputMessage="1" showErrorMessage="1" allowBlank="1" errorTitle="Nature" error="Biens, Services ou les deux (mention exigée en France à partir de 2027)." promptTitle="Nature" prompt="Biens, Services ou les deux (mention exigée en France à partir de 2027)." type="list">
      <formula1>"Biens,Services,Biens et services"</formula1>
    </dataValidation>
    <dataValidation sqref="K6:K805" showDropDown="0" showInputMessage="1" showErrorMessage="1" allowBlank="1" errorTitle="Échéance convenue" error="Facultatif. Sinon : date + délai du client, ou délai par défaut des Paramètres." promptTitle="Échéance convenue" prompt="Facultatif. Sinon : date + délai du client, ou délai par défaut des Paramètres." type="date" operator="between">
      <formula1>36526</formula1>
      <formula2>73051</formula2>
    </dataValidation>
    <dataValidation sqref="L6:L805" showDropDown="0" showInputMessage="1" showErrorMessage="1" allowBlank="1" errorTitle="Acompte à déduire" error="Sur la facture de solde : n° de la facture d'acompte dont le HT et la TVA sont déduits." promptTitle="Acompte à déduire" prompt="Sur la facture de solde : n° de la facture d'acompte dont le HT et la TVA sont déduits." type="list">
      <formula1>=fa_num</formula1>
    </dataValidation>
    <dataValidation sqref="M6:M805" showDropDown="0" showInputMessage="1" showErrorMessage="1" allowBlank="1" errorTitle="Avoir sur facture" error="Pour un avoir : n° de la facture corrigée. L'avoir réduit son reste dû." promptTitle="Avoir sur facture" prompt="Pour un avoir : n° de la facture corrigée. L'avoir réduit son reste dû." type="list">
      <formula1>=fa_num</formula1>
    </dataValidation>
    <dataValidation sqref="N6:N805" showDropDown="0" showInputMessage="1" showErrorMessage="1" allowBlank="1" errorTitle="Mode de paiement" error="Vide = mode par défaut des Paramètres." promptTitle="Mode de paiement" prompt="Vide = mode par défaut des Paramètres." type="list">
      <formula1>"Virement,Chèque,Effet de commerce,Espèces,Carte bancaire,Prélèvement,Compensation"</formula1>
    </dataValidation>
    <dataValidation sqref="O6:O805" showDropDown="0" showInputMessage="1" showErrorMessage="1" allowBlank="1" errorTitle="Dernière relance" error="Date de votre dernière relance (e-mail, appel, lettre)." promptTitle="Dernière relance" prompt="Date de votre dernière relance (e-mail, appel, lettre)." type="date" operator="between">
      <formula1>36526</formula1>
      <formula2>73051</formula2>
    </dataValidation>
  </dataValidations>
  <hyperlinks>
    <hyperlink ref="Z1" location="'Mode d''emploi'!A1"/>
  </hyperlinks>
  <printOptions horizontalCentered="1"/>
  <pageMargins left="0.4" right="0.4" top="0.5" bottom="0.5" header="0.5" footer="0.5"/>
  <pageSetup orientation="landscape" paperSize="9" fitToHeight="0" fitToWidth="1"/>
</worksheet>
</file>

<file path=xl/worksheets/sheet4.xml><?xml version="1.0" encoding="utf-8"?>
<worksheet xmlns="http://schemas.openxmlformats.org/spreadsheetml/2006/main">
  <sheetPr>
    <tabColor rgb="FFBE185D"/>
    <outlinePr summaryBelow="1" summaryRight="1"/>
    <pageSetUpPr fitToPage="1"/>
  </sheetPr>
  <dimension ref="A1:P40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5" customWidth="1" min="1" max="1"/>
    <col width="14" customWidth="1" min="2" max="2"/>
    <col width="30" customWidth="1" min="3" max="3"/>
    <col width="9" customWidth="1" min="4" max="4"/>
    <col width="13" customWidth="1" min="5" max="5"/>
    <col width="8" customWidth="1" min="6" max="6"/>
    <col width="9" customWidth="1" min="7" max="7"/>
    <col width="34" customWidth="1" min="8" max="8"/>
    <col width="8" customWidth="1" min="9" max="9"/>
    <col width="13" customWidth="1" min="10" max="10"/>
    <col width="9" customWidth="1" min="11" max="11"/>
    <col width="14" customWidth="1" min="12" max="12"/>
    <col width="24" customWidth="1" min="13" max="13"/>
    <col width="30" customWidth="1" min="14" max="14"/>
    <col hidden="1" width="6" customWidth="1" min="15" max="15"/>
    <col hidden="1" width="18" customWidth="1" min="16" max="16"/>
  </cols>
  <sheetData>
    <row r="1" ht="38" customHeight="1">
      <c r="A1" s="2" t="inlineStr">
        <is>
          <t>Lignes de factures</t>
        </is>
      </c>
      <c r="B1" s="1" t="n"/>
      <c r="C1" s="1" t="n"/>
      <c r="D1" s="1" t="n"/>
      <c r="E1" s="1" t="n"/>
      <c r="F1" s="1" t="n"/>
      <c r="G1" s="1" t="n"/>
      <c r="H1" s="1" t="n"/>
      <c r="I1" s="1" t="n"/>
      <c r="J1" s="1" t="n"/>
      <c r="K1" s="1" t="n"/>
      <c r="L1" s="1" t="n"/>
      <c r="M1" s="1" t="n"/>
      <c r="N1" s="18" t="inlineStr">
        <is>
          <t>⌂ Mode d'emploi</t>
        </is>
      </c>
    </row>
    <row r="2" ht="22" customHeight="1">
      <c r="A2" s="4" t="inlineStr">
        <is>
          <t>Une ligne par article facturé. Inutile pour une facture qui reprend un devis entier (champ « Devis d'origine »).</t>
        </is>
      </c>
      <c r="B2" s="3" t="n"/>
      <c r="C2" s="3" t="n"/>
      <c r="D2" s="3" t="n"/>
      <c r="E2" s="3" t="n"/>
      <c r="F2" s="3" t="n"/>
      <c r="G2" s="3" t="n"/>
      <c r="H2" s="3" t="n"/>
      <c r="I2" s="3" t="n"/>
      <c r="J2" s="3" t="n"/>
      <c r="K2" s="3" t="n"/>
      <c r="L2" s="3" t="n"/>
      <c r="M2" s="3" t="n"/>
      <c r="N2" s="3" t="n"/>
    </row>
    <row r="3" ht="18" customHeight="1">
      <c r="L3" s="16" t="inlineStr">
        <is>
          <t>Saisie</t>
        </is>
      </c>
      <c r="M3" s="17" t="inlineStr">
        <is>
          <t>Calcul auto</t>
        </is>
      </c>
    </row>
    <row r="5" ht="34" customHeight="1">
      <c r="A5" s="43" t="inlineStr">
        <is>
          <t>N° facture</t>
        </is>
      </c>
      <c r="B5" s="43" t="inlineStr">
        <is>
          <t>Code article</t>
        </is>
      </c>
      <c r="C5" s="43" t="inlineStr">
        <is>
          <t>Désignation (si autre)</t>
        </is>
      </c>
      <c r="D5" s="43" t="inlineStr">
        <is>
          <t>Quantité</t>
        </is>
      </c>
      <c r="E5" s="43" t="inlineStr">
        <is>
          <t>Prix unitaire HT (si autre)</t>
        </is>
      </c>
      <c r="F5" s="43" t="inlineStr">
        <is>
          <t>Remise</t>
        </is>
      </c>
      <c r="G5" s="43" t="inlineStr">
        <is>
          <t>TVA (si autre)</t>
        </is>
      </c>
      <c r="H5" s="43" t="inlineStr">
        <is>
          <t>Désignation</t>
        </is>
      </c>
      <c r="I5" s="43" t="inlineStr">
        <is>
          <t>Unité</t>
        </is>
      </c>
      <c r="J5" s="43" t="inlineStr">
        <is>
          <t>Prix unitaire HT</t>
        </is>
      </c>
      <c r="K5" s="43" t="inlineStr">
        <is>
          <t>TVA</t>
        </is>
      </c>
      <c r="L5" s="43" t="inlineStr">
        <is>
          <t>Montant HT</t>
        </is>
      </c>
      <c r="M5" s="43" t="inlineStr">
        <is>
          <t>Client</t>
        </is>
      </c>
      <c r="N5" s="43" t="inlineStr">
        <is>
          <t>Contrôle</t>
        </is>
      </c>
      <c r="O5" s="43" t="inlineStr">
        <is>
          <t>N° ligne</t>
        </is>
      </c>
      <c r="P5" s="43" t="inlineStr">
        <is>
          <t>Clé</t>
        </is>
      </c>
    </row>
    <row r="6">
      <c r="A6" s="60" t="n"/>
      <c r="B6" s="63" t="n"/>
      <c r="C6" s="63" t="n"/>
      <c r="D6" s="67" t="n"/>
      <c r="E6" s="68" t="n"/>
      <c r="F6" s="69" t="n"/>
      <c r="G6" s="70" t="n"/>
      <c r="H6" s="62" t="str">
        <f>IF(COUNTA(A6:G6)=0,"",IF(C6&lt;&gt;"",C6,IF(B6="","",IFERROR(INDEX(pr_des,MATCH(B6,pr_code,0))&amp;"",""))))</f>
        <v/>
      </c>
      <c r="I6" s="59" t="str">
        <f>IF(B6="","",IFERROR(INDEX(pr_unit,MATCH(B6,pr_code,0))&amp;"",""))</f>
        <v/>
      </c>
      <c r="J6" s="65" t="str">
        <f>IF(COUNTA(A6:G6)=0,"",IF(E6&lt;&gt;"",E6,IF(B6="","",IFERROR(IF(INDEX(pr_price,MATCH(B6,pr_code,0))="","",INDEX(pr_price,MATCH(B6,pr_code,0))),""))))</f>
        <v/>
      </c>
      <c r="K6" s="71" t="str">
        <f>IF(COUNTA(A6:G6)=0,"",IF(G6&lt;&gt;"",G6,IF(B6="","",IFERROR(IF(INDEX(pr_rate,MATCH(B6,pr_code,0))="","",INDEX(pr_rate,MATCH(B6,pr_code,0))),""))))</f>
        <v/>
      </c>
      <c r="L6" s="65" t="str">
        <f>IF(COUNTA(A6:G6)=0,"",IF(AND(ISNUMBER(D6),ISNUMBER(J6)),ROUND(D6*J6*(1-N(F6)),2),0))</f>
        <v/>
      </c>
      <c r="M6" s="62" t="str">
        <f>IF(A6="","",IFERROR(INDEX(fa_cname,MATCH(A6,fa_num,0))&amp;"",""))</f>
        <v/>
      </c>
      <c r="N6" s="59" t="str">
        <f>IF(COUNTA(A6:G6)=0,"",IF(A6="","N° facture manquant",IF(ISNA(MATCH(A6,fa_num,0)),"Facture inconnue",IF(AND(B6&lt;&gt;"",ISNA(MATCH(B6,pr_code,0))),"Article inconnu",IF(H6="","Désignation manquante",IF(OR(NOT(ISNUMBER(D6)),N(D6)&lt;=0),"Quantité invalide",IF(J6="","Prix manquant",IF(OR(NOT(ISNUMBER(J6)),N(J6)&lt;0),"Prix invalide",IF(OR(AND(F6&lt;&gt;"",NOT(ISNUMBER(F6))),N(F6)&lt;0,N(F6)&gt;1),"Remise invalide",IF(K6="","Taux de TVA manquant",IF(NOT(ISNUMBER(K6)),"Taux de TVA invalide",IF(COUNTIF(p_rates,K6)=0,"Taux de TVA hors liste (Paramètres)",IF(N(O6)&gt;25,"Au-delà de 25 lignes : non imprimée","OK")))))))))))))</f>
        <v/>
      </c>
      <c r="O6" s="59" t="str">
        <f>IF(A6="","",COUNTIF($A$6:A6,A6))</f>
        <v/>
      </c>
      <c r="P6" s="62" t="str">
        <f>IF(A6="","",A6&amp;"|"&amp;O6)</f>
        <v/>
      </c>
    </row>
    <row r="7">
      <c r="A7" s="60" t="n"/>
      <c r="B7" s="63" t="n"/>
      <c r="C7" s="63" t="n"/>
      <c r="D7" s="67" t="n"/>
      <c r="E7" s="68" t="n"/>
      <c r="F7" s="69" t="n"/>
      <c r="G7" s="70" t="n"/>
      <c r="H7" s="62" t="str">
        <f>IF(COUNTA(A7:G7)=0,"",IF(C7&lt;&gt;"",C7,IF(B7="","",IFERROR(INDEX(pr_des,MATCH(B7,pr_code,0))&amp;"",""))))</f>
        <v/>
      </c>
      <c r="I7" s="59" t="str">
        <f>IF(B7="","",IFERROR(INDEX(pr_unit,MATCH(B7,pr_code,0))&amp;"",""))</f>
        <v/>
      </c>
      <c r="J7" s="65" t="str">
        <f>IF(COUNTA(A7:G7)=0,"",IF(E7&lt;&gt;"",E7,IF(B7="","",IFERROR(IF(INDEX(pr_price,MATCH(B7,pr_code,0))="","",INDEX(pr_price,MATCH(B7,pr_code,0))),""))))</f>
        <v/>
      </c>
      <c r="K7" s="71" t="str">
        <f>IF(COUNTA(A7:G7)=0,"",IF(G7&lt;&gt;"",G7,IF(B7="","",IFERROR(IF(INDEX(pr_rate,MATCH(B7,pr_code,0))="","",INDEX(pr_rate,MATCH(B7,pr_code,0))),""))))</f>
        <v/>
      </c>
      <c r="L7" s="65" t="str">
        <f>IF(COUNTA(A7:G7)=0,"",IF(AND(ISNUMBER(D7),ISNUMBER(J7)),ROUND(D7*J7*(1-N(F7)),2),0))</f>
        <v/>
      </c>
      <c r="M7" s="62" t="str">
        <f>IF(A7="","",IFERROR(INDEX(fa_cname,MATCH(A7,fa_num,0))&amp;"",""))</f>
        <v/>
      </c>
      <c r="N7" s="59" t="str">
        <f>IF(COUNTA(A7:G7)=0,"",IF(A7="","N° facture manquant",IF(ISNA(MATCH(A7,fa_num,0)),"Facture inconnue",IF(AND(B7&lt;&gt;"",ISNA(MATCH(B7,pr_code,0))),"Article inconnu",IF(H7="","Désignation manquante",IF(OR(NOT(ISNUMBER(D7)),N(D7)&lt;=0),"Quantité invalide",IF(J7="","Prix manquant",IF(OR(NOT(ISNUMBER(J7)),N(J7)&lt;0),"Prix invalide",IF(OR(AND(F7&lt;&gt;"",NOT(ISNUMBER(F7))),N(F7)&lt;0,N(F7)&gt;1),"Remise invalide",IF(K7="","Taux de TVA manquant",IF(NOT(ISNUMBER(K7)),"Taux de TVA invalide",IF(COUNTIF(p_rates,K7)=0,"Taux de TVA hors liste (Paramètres)",IF(N(O7)&gt;25,"Au-delà de 25 lignes : non imprimée","OK")))))))))))))</f>
        <v/>
      </c>
      <c r="O7" s="59" t="str">
        <f>IF(A7="","",COUNTIF($A$6:A7,A7))</f>
        <v/>
      </c>
      <c r="P7" s="62" t="str">
        <f>IF(A7="","",A7&amp;"|"&amp;O7)</f>
        <v/>
      </c>
    </row>
    <row r="8">
      <c r="A8" s="60" t="n"/>
      <c r="B8" s="63" t="n"/>
      <c r="C8" s="63" t="n"/>
      <c r="D8" s="67" t="n"/>
      <c r="E8" s="68" t="n"/>
      <c r="F8" s="69" t="n"/>
      <c r="G8" s="70" t="n"/>
      <c r="H8" s="62" t="str">
        <f>IF(COUNTA(A8:G8)=0,"",IF(C8&lt;&gt;"",C8,IF(B8="","",IFERROR(INDEX(pr_des,MATCH(B8,pr_code,0))&amp;"",""))))</f>
        <v/>
      </c>
      <c r="I8" s="59" t="str">
        <f>IF(B8="","",IFERROR(INDEX(pr_unit,MATCH(B8,pr_code,0))&amp;"",""))</f>
        <v/>
      </c>
      <c r="J8" s="65" t="str">
        <f>IF(COUNTA(A8:G8)=0,"",IF(E8&lt;&gt;"",E8,IF(B8="","",IFERROR(IF(INDEX(pr_price,MATCH(B8,pr_code,0))="","",INDEX(pr_price,MATCH(B8,pr_code,0))),""))))</f>
        <v/>
      </c>
      <c r="K8" s="71" t="str">
        <f>IF(COUNTA(A8:G8)=0,"",IF(G8&lt;&gt;"",G8,IF(B8="","",IFERROR(IF(INDEX(pr_rate,MATCH(B8,pr_code,0))="","",INDEX(pr_rate,MATCH(B8,pr_code,0))),""))))</f>
        <v/>
      </c>
      <c r="L8" s="65" t="str">
        <f>IF(COUNTA(A8:G8)=0,"",IF(AND(ISNUMBER(D8),ISNUMBER(J8)),ROUND(D8*J8*(1-N(F8)),2),0))</f>
        <v/>
      </c>
      <c r="M8" s="62" t="str">
        <f>IF(A8="","",IFERROR(INDEX(fa_cname,MATCH(A8,fa_num,0))&amp;"",""))</f>
        <v/>
      </c>
      <c r="N8" s="59" t="str">
        <f>IF(COUNTA(A8:G8)=0,"",IF(A8="","N° facture manquant",IF(ISNA(MATCH(A8,fa_num,0)),"Facture inconnue",IF(AND(B8&lt;&gt;"",ISNA(MATCH(B8,pr_code,0))),"Article inconnu",IF(H8="","Désignation manquante",IF(OR(NOT(ISNUMBER(D8)),N(D8)&lt;=0),"Quantité invalide",IF(J8="","Prix manquant",IF(OR(NOT(ISNUMBER(J8)),N(J8)&lt;0),"Prix invalide",IF(OR(AND(F8&lt;&gt;"",NOT(ISNUMBER(F8))),N(F8)&lt;0,N(F8)&gt;1),"Remise invalide",IF(K8="","Taux de TVA manquant",IF(NOT(ISNUMBER(K8)),"Taux de TVA invalide",IF(COUNTIF(p_rates,K8)=0,"Taux de TVA hors liste (Paramètres)",IF(N(O8)&gt;25,"Au-delà de 25 lignes : non imprimée","OK")))))))))))))</f>
        <v/>
      </c>
      <c r="O8" s="59" t="str">
        <f>IF(A8="","",COUNTIF($A$6:A8,A8))</f>
        <v/>
      </c>
      <c r="P8" s="62" t="str">
        <f>IF(A8="","",A8&amp;"|"&amp;O8)</f>
        <v/>
      </c>
    </row>
    <row r="9">
      <c r="A9" s="60" t="n"/>
      <c r="B9" s="63" t="n"/>
      <c r="C9" s="63" t="n"/>
      <c r="D9" s="67" t="n"/>
      <c r="E9" s="68" t="n"/>
      <c r="F9" s="69" t="n"/>
      <c r="G9" s="70" t="n"/>
      <c r="H9" s="62" t="str">
        <f>IF(COUNTA(A9:G9)=0,"",IF(C9&lt;&gt;"",C9,IF(B9="","",IFERROR(INDEX(pr_des,MATCH(B9,pr_code,0))&amp;"",""))))</f>
        <v/>
      </c>
      <c r="I9" s="59" t="str">
        <f>IF(B9="","",IFERROR(INDEX(pr_unit,MATCH(B9,pr_code,0))&amp;"",""))</f>
        <v/>
      </c>
      <c r="J9" s="65" t="str">
        <f>IF(COUNTA(A9:G9)=0,"",IF(E9&lt;&gt;"",E9,IF(B9="","",IFERROR(IF(INDEX(pr_price,MATCH(B9,pr_code,0))="","",INDEX(pr_price,MATCH(B9,pr_code,0))),""))))</f>
        <v/>
      </c>
      <c r="K9" s="71" t="str">
        <f>IF(COUNTA(A9:G9)=0,"",IF(G9&lt;&gt;"",G9,IF(B9="","",IFERROR(IF(INDEX(pr_rate,MATCH(B9,pr_code,0))="","",INDEX(pr_rate,MATCH(B9,pr_code,0))),""))))</f>
        <v/>
      </c>
      <c r="L9" s="65" t="str">
        <f>IF(COUNTA(A9:G9)=0,"",IF(AND(ISNUMBER(D9),ISNUMBER(J9)),ROUND(D9*J9*(1-N(F9)),2),0))</f>
        <v/>
      </c>
      <c r="M9" s="62" t="str">
        <f>IF(A9="","",IFERROR(INDEX(fa_cname,MATCH(A9,fa_num,0))&amp;"",""))</f>
        <v/>
      </c>
      <c r="N9" s="59" t="str">
        <f>IF(COUNTA(A9:G9)=0,"",IF(A9="","N° facture manquant",IF(ISNA(MATCH(A9,fa_num,0)),"Facture inconnue",IF(AND(B9&lt;&gt;"",ISNA(MATCH(B9,pr_code,0))),"Article inconnu",IF(H9="","Désignation manquante",IF(OR(NOT(ISNUMBER(D9)),N(D9)&lt;=0),"Quantité invalide",IF(J9="","Prix manquant",IF(OR(NOT(ISNUMBER(J9)),N(J9)&lt;0),"Prix invalide",IF(OR(AND(F9&lt;&gt;"",NOT(ISNUMBER(F9))),N(F9)&lt;0,N(F9)&gt;1),"Remise invalide",IF(K9="","Taux de TVA manquant",IF(NOT(ISNUMBER(K9)),"Taux de TVA invalide",IF(COUNTIF(p_rates,K9)=0,"Taux de TVA hors liste (Paramètres)",IF(N(O9)&gt;25,"Au-delà de 25 lignes : non imprimée","OK")))))))))))))</f>
        <v/>
      </c>
      <c r="O9" s="59" t="str">
        <f>IF(A9="","",COUNTIF($A$6:A9,A9))</f>
        <v/>
      </c>
      <c r="P9" s="62" t="str">
        <f>IF(A9="","",A9&amp;"|"&amp;O9)</f>
        <v/>
      </c>
    </row>
    <row r="10">
      <c r="A10" s="60" t="n"/>
      <c r="B10" s="63" t="n"/>
      <c r="C10" s="63" t="n"/>
      <c r="D10" s="67" t="n"/>
      <c r="E10" s="68" t="n"/>
      <c r="F10" s="69" t="n"/>
      <c r="G10" s="70" t="n"/>
      <c r="H10" s="62" t="str">
        <f>IF(COUNTA(A10:G10)=0,"",IF(C10&lt;&gt;"",C10,IF(B10="","",IFERROR(INDEX(pr_des,MATCH(B10,pr_code,0))&amp;"",""))))</f>
        <v/>
      </c>
      <c r="I10" s="59" t="str">
        <f>IF(B10="","",IFERROR(INDEX(pr_unit,MATCH(B10,pr_code,0))&amp;"",""))</f>
        <v/>
      </c>
      <c r="J10" s="65" t="str">
        <f>IF(COUNTA(A10:G10)=0,"",IF(E10&lt;&gt;"",E10,IF(B10="","",IFERROR(IF(INDEX(pr_price,MATCH(B10,pr_code,0))="","",INDEX(pr_price,MATCH(B10,pr_code,0))),""))))</f>
        <v/>
      </c>
      <c r="K10" s="71" t="str">
        <f>IF(COUNTA(A10:G10)=0,"",IF(G10&lt;&gt;"",G10,IF(B10="","",IFERROR(IF(INDEX(pr_rate,MATCH(B10,pr_code,0))="","",INDEX(pr_rate,MATCH(B10,pr_code,0))),""))))</f>
        <v/>
      </c>
      <c r="L10" s="65" t="str">
        <f>IF(COUNTA(A10:G10)=0,"",IF(AND(ISNUMBER(D10),ISNUMBER(J10)),ROUND(D10*J10*(1-N(F10)),2),0))</f>
        <v/>
      </c>
      <c r="M10" s="62" t="str">
        <f>IF(A10="","",IFERROR(INDEX(fa_cname,MATCH(A10,fa_num,0))&amp;"",""))</f>
        <v/>
      </c>
      <c r="N10" s="59" t="str">
        <f>IF(COUNTA(A10:G10)=0,"",IF(A10="","N° facture manquant",IF(ISNA(MATCH(A10,fa_num,0)),"Facture inconnue",IF(AND(B10&lt;&gt;"",ISNA(MATCH(B10,pr_code,0))),"Article inconnu",IF(H10="","Désignation manquante",IF(OR(NOT(ISNUMBER(D10)),N(D10)&lt;=0),"Quantité invalide",IF(J10="","Prix manquant",IF(OR(NOT(ISNUMBER(J10)),N(J10)&lt;0),"Prix invalide",IF(OR(AND(F10&lt;&gt;"",NOT(ISNUMBER(F10))),N(F10)&lt;0,N(F10)&gt;1),"Remise invalide",IF(K10="","Taux de TVA manquant",IF(NOT(ISNUMBER(K10)),"Taux de TVA invalide",IF(COUNTIF(p_rates,K10)=0,"Taux de TVA hors liste (Paramètres)",IF(N(O10)&gt;25,"Au-delà de 25 lignes : non imprimée","OK")))))))))))))</f>
        <v/>
      </c>
      <c r="O10" s="59" t="str">
        <f>IF(A10="","",COUNTIF($A$6:A10,A10))</f>
        <v/>
      </c>
      <c r="P10" s="62" t="str">
        <f>IF(A10="","",A10&amp;"|"&amp;O10)</f>
        <v/>
      </c>
    </row>
    <row r="11">
      <c r="A11" s="60" t="n"/>
      <c r="B11" s="63" t="n"/>
      <c r="C11" s="63" t="n"/>
      <c r="D11" s="67" t="n"/>
      <c r="E11" s="68" t="n"/>
      <c r="F11" s="69" t="n"/>
      <c r="G11" s="70" t="n"/>
      <c r="H11" s="62" t="str">
        <f>IF(COUNTA(A11:G11)=0,"",IF(C11&lt;&gt;"",C11,IF(B11="","",IFERROR(INDEX(pr_des,MATCH(B11,pr_code,0))&amp;"",""))))</f>
        <v/>
      </c>
      <c r="I11" s="59" t="str">
        <f>IF(B11="","",IFERROR(INDEX(pr_unit,MATCH(B11,pr_code,0))&amp;"",""))</f>
        <v/>
      </c>
      <c r="J11" s="65" t="str">
        <f>IF(COUNTA(A11:G11)=0,"",IF(E11&lt;&gt;"",E11,IF(B11="","",IFERROR(IF(INDEX(pr_price,MATCH(B11,pr_code,0))="","",INDEX(pr_price,MATCH(B11,pr_code,0))),""))))</f>
        <v/>
      </c>
      <c r="K11" s="71" t="str">
        <f>IF(COUNTA(A11:G11)=0,"",IF(G11&lt;&gt;"",G11,IF(B11="","",IFERROR(IF(INDEX(pr_rate,MATCH(B11,pr_code,0))="","",INDEX(pr_rate,MATCH(B11,pr_code,0))),""))))</f>
        <v/>
      </c>
      <c r="L11" s="65" t="str">
        <f>IF(COUNTA(A11:G11)=0,"",IF(AND(ISNUMBER(D11),ISNUMBER(J11)),ROUND(D11*J11*(1-N(F11)),2),0))</f>
        <v/>
      </c>
      <c r="M11" s="62" t="str">
        <f>IF(A11="","",IFERROR(INDEX(fa_cname,MATCH(A11,fa_num,0))&amp;"",""))</f>
        <v/>
      </c>
      <c r="N11" s="59" t="str">
        <f>IF(COUNTA(A11:G11)=0,"",IF(A11="","N° facture manquant",IF(ISNA(MATCH(A11,fa_num,0)),"Facture inconnue",IF(AND(B11&lt;&gt;"",ISNA(MATCH(B11,pr_code,0))),"Article inconnu",IF(H11="","Désignation manquante",IF(OR(NOT(ISNUMBER(D11)),N(D11)&lt;=0),"Quantité invalide",IF(J11="","Prix manquant",IF(OR(NOT(ISNUMBER(J11)),N(J11)&lt;0),"Prix invalide",IF(OR(AND(F11&lt;&gt;"",NOT(ISNUMBER(F11))),N(F11)&lt;0,N(F11)&gt;1),"Remise invalide",IF(K11="","Taux de TVA manquant",IF(NOT(ISNUMBER(K11)),"Taux de TVA invalide",IF(COUNTIF(p_rates,K11)=0,"Taux de TVA hors liste (Paramètres)",IF(N(O11)&gt;25,"Au-delà de 25 lignes : non imprimée","OK")))))))))))))</f>
        <v/>
      </c>
      <c r="O11" s="59" t="str">
        <f>IF(A11="","",COUNTIF($A$6:A11,A11))</f>
        <v/>
      </c>
      <c r="P11" s="62" t="str">
        <f>IF(A11="","",A11&amp;"|"&amp;O11)</f>
        <v/>
      </c>
    </row>
    <row r="12">
      <c r="A12" s="60" t="n"/>
      <c r="B12" s="63" t="n"/>
      <c r="C12" s="63" t="n"/>
      <c r="D12" s="67" t="n"/>
      <c r="E12" s="68" t="n"/>
      <c r="F12" s="69" t="n"/>
      <c r="G12" s="70" t="n"/>
      <c r="H12" s="62" t="str">
        <f>IF(COUNTA(A12:G12)=0,"",IF(C12&lt;&gt;"",C12,IF(B12="","",IFERROR(INDEX(pr_des,MATCH(B12,pr_code,0))&amp;"",""))))</f>
        <v/>
      </c>
      <c r="I12" s="59" t="str">
        <f>IF(B12="","",IFERROR(INDEX(pr_unit,MATCH(B12,pr_code,0))&amp;"",""))</f>
        <v/>
      </c>
      <c r="J12" s="65" t="str">
        <f>IF(COUNTA(A12:G12)=0,"",IF(E12&lt;&gt;"",E12,IF(B12="","",IFERROR(IF(INDEX(pr_price,MATCH(B12,pr_code,0))="","",INDEX(pr_price,MATCH(B12,pr_code,0))),""))))</f>
        <v/>
      </c>
      <c r="K12" s="71" t="str">
        <f>IF(COUNTA(A12:G12)=0,"",IF(G12&lt;&gt;"",G12,IF(B12="","",IFERROR(IF(INDEX(pr_rate,MATCH(B12,pr_code,0))="","",INDEX(pr_rate,MATCH(B12,pr_code,0))),""))))</f>
        <v/>
      </c>
      <c r="L12" s="65" t="str">
        <f>IF(COUNTA(A12:G12)=0,"",IF(AND(ISNUMBER(D12),ISNUMBER(J12)),ROUND(D12*J12*(1-N(F12)),2),0))</f>
        <v/>
      </c>
      <c r="M12" s="62" t="str">
        <f>IF(A12="","",IFERROR(INDEX(fa_cname,MATCH(A12,fa_num,0))&amp;"",""))</f>
        <v/>
      </c>
      <c r="N12" s="59" t="str">
        <f>IF(COUNTA(A12:G12)=0,"",IF(A12="","N° facture manquant",IF(ISNA(MATCH(A12,fa_num,0)),"Facture inconnue",IF(AND(B12&lt;&gt;"",ISNA(MATCH(B12,pr_code,0))),"Article inconnu",IF(H12="","Désignation manquante",IF(OR(NOT(ISNUMBER(D12)),N(D12)&lt;=0),"Quantité invalide",IF(J12="","Prix manquant",IF(OR(NOT(ISNUMBER(J12)),N(J12)&lt;0),"Prix invalide",IF(OR(AND(F12&lt;&gt;"",NOT(ISNUMBER(F12))),N(F12)&lt;0,N(F12)&gt;1),"Remise invalide",IF(K12="","Taux de TVA manquant",IF(NOT(ISNUMBER(K12)),"Taux de TVA invalide",IF(COUNTIF(p_rates,K12)=0,"Taux de TVA hors liste (Paramètres)",IF(N(O12)&gt;25,"Au-delà de 25 lignes : non imprimée","OK")))))))))))))</f>
        <v/>
      </c>
      <c r="O12" s="59" t="str">
        <f>IF(A12="","",COUNTIF($A$6:A12,A12))</f>
        <v/>
      </c>
      <c r="P12" s="62" t="str">
        <f>IF(A12="","",A12&amp;"|"&amp;O12)</f>
        <v/>
      </c>
    </row>
    <row r="13">
      <c r="A13" s="60" t="n"/>
      <c r="B13" s="63" t="n"/>
      <c r="C13" s="63" t="n"/>
      <c r="D13" s="67" t="n"/>
      <c r="E13" s="68" t="n"/>
      <c r="F13" s="69" t="n"/>
      <c r="G13" s="70" t="n"/>
      <c r="H13" s="62" t="str">
        <f>IF(COUNTA(A13:G13)=0,"",IF(C13&lt;&gt;"",C13,IF(B13="","",IFERROR(INDEX(pr_des,MATCH(B13,pr_code,0))&amp;"",""))))</f>
        <v/>
      </c>
      <c r="I13" s="59" t="str">
        <f>IF(B13="","",IFERROR(INDEX(pr_unit,MATCH(B13,pr_code,0))&amp;"",""))</f>
        <v/>
      </c>
      <c r="J13" s="65" t="str">
        <f>IF(COUNTA(A13:G13)=0,"",IF(E13&lt;&gt;"",E13,IF(B13="","",IFERROR(IF(INDEX(pr_price,MATCH(B13,pr_code,0))="","",INDEX(pr_price,MATCH(B13,pr_code,0))),""))))</f>
        <v/>
      </c>
      <c r="K13" s="71" t="str">
        <f>IF(COUNTA(A13:G13)=0,"",IF(G13&lt;&gt;"",G13,IF(B13="","",IFERROR(IF(INDEX(pr_rate,MATCH(B13,pr_code,0))="","",INDEX(pr_rate,MATCH(B13,pr_code,0))),""))))</f>
        <v/>
      </c>
      <c r="L13" s="65" t="str">
        <f>IF(COUNTA(A13:G13)=0,"",IF(AND(ISNUMBER(D13),ISNUMBER(J13)),ROUND(D13*J13*(1-N(F13)),2),0))</f>
        <v/>
      </c>
      <c r="M13" s="62" t="str">
        <f>IF(A13="","",IFERROR(INDEX(fa_cname,MATCH(A13,fa_num,0))&amp;"",""))</f>
        <v/>
      </c>
      <c r="N13" s="59" t="str">
        <f>IF(COUNTA(A13:G13)=0,"",IF(A13="","N° facture manquant",IF(ISNA(MATCH(A13,fa_num,0)),"Facture inconnue",IF(AND(B13&lt;&gt;"",ISNA(MATCH(B13,pr_code,0))),"Article inconnu",IF(H13="","Désignation manquante",IF(OR(NOT(ISNUMBER(D13)),N(D13)&lt;=0),"Quantité invalide",IF(J13="","Prix manquant",IF(OR(NOT(ISNUMBER(J13)),N(J13)&lt;0),"Prix invalide",IF(OR(AND(F13&lt;&gt;"",NOT(ISNUMBER(F13))),N(F13)&lt;0,N(F13)&gt;1),"Remise invalide",IF(K13="","Taux de TVA manquant",IF(NOT(ISNUMBER(K13)),"Taux de TVA invalide",IF(COUNTIF(p_rates,K13)=0,"Taux de TVA hors liste (Paramètres)",IF(N(O13)&gt;25,"Au-delà de 25 lignes : non imprimée","OK")))))))))))))</f>
        <v/>
      </c>
      <c r="O13" s="59" t="str">
        <f>IF(A13="","",COUNTIF($A$6:A13,A13))</f>
        <v/>
      </c>
      <c r="P13" s="62" t="str">
        <f>IF(A13="","",A13&amp;"|"&amp;O13)</f>
        <v/>
      </c>
    </row>
    <row r="14">
      <c r="A14" s="60" t="n"/>
      <c r="B14" s="63" t="n"/>
      <c r="C14" s="63" t="n"/>
      <c r="D14" s="67" t="n"/>
      <c r="E14" s="68" t="n"/>
      <c r="F14" s="69" t="n"/>
      <c r="G14" s="70" t="n"/>
      <c r="H14" s="62" t="str">
        <f>IF(COUNTA(A14:G14)=0,"",IF(C14&lt;&gt;"",C14,IF(B14="","",IFERROR(INDEX(pr_des,MATCH(B14,pr_code,0))&amp;"",""))))</f>
        <v/>
      </c>
      <c r="I14" s="59" t="str">
        <f>IF(B14="","",IFERROR(INDEX(pr_unit,MATCH(B14,pr_code,0))&amp;"",""))</f>
        <v/>
      </c>
      <c r="J14" s="65" t="str">
        <f>IF(COUNTA(A14:G14)=0,"",IF(E14&lt;&gt;"",E14,IF(B14="","",IFERROR(IF(INDEX(pr_price,MATCH(B14,pr_code,0))="","",INDEX(pr_price,MATCH(B14,pr_code,0))),""))))</f>
        <v/>
      </c>
      <c r="K14" s="71" t="str">
        <f>IF(COUNTA(A14:G14)=0,"",IF(G14&lt;&gt;"",G14,IF(B14="","",IFERROR(IF(INDEX(pr_rate,MATCH(B14,pr_code,0))="","",INDEX(pr_rate,MATCH(B14,pr_code,0))),""))))</f>
        <v/>
      </c>
      <c r="L14" s="65" t="str">
        <f>IF(COUNTA(A14:G14)=0,"",IF(AND(ISNUMBER(D14),ISNUMBER(J14)),ROUND(D14*J14*(1-N(F14)),2),0))</f>
        <v/>
      </c>
      <c r="M14" s="62" t="str">
        <f>IF(A14="","",IFERROR(INDEX(fa_cname,MATCH(A14,fa_num,0))&amp;"",""))</f>
        <v/>
      </c>
      <c r="N14" s="59" t="str">
        <f>IF(COUNTA(A14:G14)=0,"",IF(A14="","N° facture manquant",IF(ISNA(MATCH(A14,fa_num,0)),"Facture inconnue",IF(AND(B14&lt;&gt;"",ISNA(MATCH(B14,pr_code,0))),"Article inconnu",IF(H14="","Désignation manquante",IF(OR(NOT(ISNUMBER(D14)),N(D14)&lt;=0),"Quantité invalide",IF(J14="","Prix manquant",IF(OR(NOT(ISNUMBER(J14)),N(J14)&lt;0),"Prix invalide",IF(OR(AND(F14&lt;&gt;"",NOT(ISNUMBER(F14))),N(F14)&lt;0,N(F14)&gt;1),"Remise invalide",IF(K14="","Taux de TVA manquant",IF(NOT(ISNUMBER(K14)),"Taux de TVA invalide",IF(COUNTIF(p_rates,K14)=0,"Taux de TVA hors liste (Paramètres)",IF(N(O14)&gt;25,"Au-delà de 25 lignes : non imprimée","OK")))))))))))))</f>
        <v/>
      </c>
      <c r="O14" s="59" t="str">
        <f>IF(A14="","",COUNTIF($A$6:A14,A14))</f>
        <v/>
      </c>
      <c r="P14" s="62" t="str">
        <f>IF(A14="","",A14&amp;"|"&amp;O14)</f>
        <v/>
      </c>
    </row>
    <row r="15">
      <c r="A15" s="60" t="n"/>
      <c r="B15" s="63" t="n"/>
      <c r="C15" s="63" t="n"/>
      <c r="D15" s="67" t="n"/>
      <c r="E15" s="68" t="n"/>
      <c r="F15" s="69" t="n"/>
      <c r="G15" s="70" t="n"/>
      <c r="H15" s="62" t="str">
        <f>IF(COUNTA(A15:G15)=0,"",IF(C15&lt;&gt;"",C15,IF(B15="","",IFERROR(INDEX(pr_des,MATCH(B15,pr_code,0))&amp;"",""))))</f>
        <v/>
      </c>
      <c r="I15" s="59" t="str">
        <f>IF(B15="","",IFERROR(INDEX(pr_unit,MATCH(B15,pr_code,0))&amp;"",""))</f>
        <v/>
      </c>
      <c r="J15" s="65" t="str">
        <f>IF(COUNTA(A15:G15)=0,"",IF(E15&lt;&gt;"",E15,IF(B15="","",IFERROR(IF(INDEX(pr_price,MATCH(B15,pr_code,0))="","",INDEX(pr_price,MATCH(B15,pr_code,0))),""))))</f>
        <v/>
      </c>
      <c r="K15" s="71" t="str">
        <f>IF(COUNTA(A15:G15)=0,"",IF(G15&lt;&gt;"",G15,IF(B15="","",IFERROR(IF(INDEX(pr_rate,MATCH(B15,pr_code,0))="","",INDEX(pr_rate,MATCH(B15,pr_code,0))),""))))</f>
        <v/>
      </c>
      <c r="L15" s="65" t="str">
        <f>IF(COUNTA(A15:G15)=0,"",IF(AND(ISNUMBER(D15),ISNUMBER(J15)),ROUND(D15*J15*(1-N(F15)),2),0))</f>
        <v/>
      </c>
      <c r="M15" s="62" t="str">
        <f>IF(A15="","",IFERROR(INDEX(fa_cname,MATCH(A15,fa_num,0))&amp;"",""))</f>
        <v/>
      </c>
      <c r="N15" s="59" t="str">
        <f>IF(COUNTA(A15:G15)=0,"",IF(A15="","N° facture manquant",IF(ISNA(MATCH(A15,fa_num,0)),"Facture inconnue",IF(AND(B15&lt;&gt;"",ISNA(MATCH(B15,pr_code,0))),"Article inconnu",IF(H15="","Désignation manquante",IF(OR(NOT(ISNUMBER(D15)),N(D15)&lt;=0),"Quantité invalide",IF(J15="","Prix manquant",IF(OR(NOT(ISNUMBER(J15)),N(J15)&lt;0),"Prix invalide",IF(OR(AND(F15&lt;&gt;"",NOT(ISNUMBER(F15))),N(F15)&lt;0,N(F15)&gt;1),"Remise invalide",IF(K15="","Taux de TVA manquant",IF(NOT(ISNUMBER(K15)),"Taux de TVA invalide",IF(COUNTIF(p_rates,K15)=0,"Taux de TVA hors liste (Paramètres)",IF(N(O15)&gt;25,"Au-delà de 25 lignes : non imprimée","OK")))))))))))))</f>
        <v/>
      </c>
      <c r="O15" s="59" t="str">
        <f>IF(A15="","",COUNTIF($A$6:A15,A15))</f>
        <v/>
      </c>
      <c r="P15" s="62" t="str">
        <f>IF(A15="","",A15&amp;"|"&amp;O15)</f>
        <v/>
      </c>
    </row>
    <row r="16">
      <c r="A16" s="60" t="n"/>
      <c r="B16" s="63" t="n"/>
      <c r="C16" s="63" t="n"/>
      <c r="D16" s="67" t="n"/>
      <c r="E16" s="68" t="n"/>
      <c r="F16" s="69" t="n"/>
      <c r="G16" s="70" t="n"/>
      <c r="H16" s="62" t="str">
        <f>IF(COUNTA(A16:G16)=0,"",IF(C16&lt;&gt;"",C16,IF(B16="","",IFERROR(INDEX(pr_des,MATCH(B16,pr_code,0))&amp;"",""))))</f>
        <v/>
      </c>
      <c r="I16" s="59" t="str">
        <f>IF(B16="","",IFERROR(INDEX(pr_unit,MATCH(B16,pr_code,0))&amp;"",""))</f>
        <v/>
      </c>
      <c r="J16" s="65" t="str">
        <f>IF(COUNTA(A16:G16)=0,"",IF(E16&lt;&gt;"",E16,IF(B16="","",IFERROR(IF(INDEX(pr_price,MATCH(B16,pr_code,0))="","",INDEX(pr_price,MATCH(B16,pr_code,0))),""))))</f>
        <v/>
      </c>
      <c r="K16" s="71" t="str">
        <f>IF(COUNTA(A16:G16)=0,"",IF(G16&lt;&gt;"",G16,IF(B16="","",IFERROR(IF(INDEX(pr_rate,MATCH(B16,pr_code,0))="","",INDEX(pr_rate,MATCH(B16,pr_code,0))),""))))</f>
        <v/>
      </c>
      <c r="L16" s="65" t="str">
        <f>IF(COUNTA(A16:G16)=0,"",IF(AND(ISNUMBER(D16),ISNUMBER(J16)),ROUND(D16*J16*(1-N(F16)),2),0))</f>
        <v/>
      </c>
      <c r="M16" s="62" t="str">
        <f>IF(A16="","",IFERROR(INDEX(fa_cname,MATCH(A16,fa_num,0))&amp;"",""))</f>
        <v/>
      </c>
      <c r="N16" s="59" t="str">
        <f>IF(COUNTA(A16:G16)=0,"",IF(A16="","N° facture manquant",IF(ISNA(MATCH(A16,fa_num,0)),"Facture inconnue",IF(AND(B16&lt;&gt;"",ISNA(MATCH(B16,pr_code,0))),"Article inconnu",IF(H16="","Désignation manquante",IF(OR(NOT(ISNUMBER(D16)),N(D16)&lt;=0),"Quantité invalide",IF(J16="","Prix manquant",IF(OR(NOT(ISNUMBER(J16)),N(J16)&lt;0),"Prix invalide",IF(OR(AND(F16&lt;&gt;"",NOT(ISNUMBER(F16))),N(F16)&lt;0,N(F16)&gt;1),"Remise invalide",IF(K16="","Taux de TVA manquant",IF(NOT(ISNUMBER(K16)),"Taux de TVA invalide",IF(COUNTIF(p_rates,K16)=0,"Taux de TVA hors liste (Paramètres)",IF(N(O16)&gt;25,"Au-delà de 25 lignes : non imprimée","OK")))))))))))))</f>
        <v/>
      </c>
      <c r="O16" s="59" t="str">
        <f>IF(A16="","",COUNTIF($A$6:A16,A16))</f>
        <v/>
      </c>
      <c r="P16" s="62" t="str">
        <f>IF(A16="","",A16&amp;"|"&amp;O16)</f>
        <v/>
      </c>
    </row>
    <row r="17">
      <c r="A17" s="60" t="n"/>
      <c r="B17" s="63" t="n"/>
      <c r="C17" s="63" t="n"/>
      <c r="D17" s="67" t="n"/>
      <c r="E17" s="68" t="n"/>
      <c r="F17" s="69" t="n"/>
      <c r="G17" s="70" t="n"/>
      <c r="H17" s="62" t="str">
        <f>IF(COUNTA(A17:G17)=0,"",IF(C17&lt;&gt;"",C17,IF(B17="","",IFERROR(INDEX(pr_des,MATCH(B17,pr_code,0))&amp;"",""))))</f>
        <v/>
      </c>
      <c r="I17" s="59" t="str">
        <f>IF(B17="","",IFERROR(INDEX(pr_unit,MATCH(B17,pr_code,0))&amp;"",""))</f>
        <v/>
      </c>
      <c r="J17" s="65" t="str">
        <f>IF(COUNTA(A17:G17)=0,"",IF(E17&lt;&gt;"",E17,IF(B17="","",IFERROR(IF(INDEX(pr_price,MATCH(B17,pr_code,0))="","",INDEX(pr_price,MATCH(B17,pr_code,0))),""))))</f>
        <v/>
      </c>
      <c r="K17" s="71" t="str">
        <f>IF(COUNTA(A17:G17)=0,"",IF(G17&lt;&gt;"",G17,IF(B17="","",IFERROR(IF(INDEX(pr_rate,MATCH(B17,pr_code,0))="","",INDEX(pr_rate,MATCH(B17,pr_code,0))),""))))</f>
        <v/>
      </c>
      <c r="L17" s="65" t="str">
        <f>IF(COUNTA(A17:G17)=0,"",IF(AND(ISNUMBER(D17),ISNUMBER(J17)),ROUND(D17*J17*(1-N(F17)),2),0))</f>
        <v/>
      </c>
      <c r="M17" s="62" t="str">
        <f>IF(A17="","",IFERROR(INDEX(fa_cname,MATCH(A17,fa_num,0))&amp;"",""))</f>
        <v/>
      </c>
      <c r="N17" s="59" t="str">
        <f>IF(COUNTA(A17:G17)=0,"",IF(A17="","N° facture manquant",IF(ISNA(MATCH(A17,fa_num,0)),"Facture inconnue",IF(AND(B17&lt;&gt;"",ISNA(MATCH(B17,pr_code,0))),"Article inconnu",IF(H17="","Désignation manquante",IF(OR(NOT(ISNUMBER(D17)),N(D17)&lt;=0),"Quantité invalide",IF(J17="","Prix manquant",IF(OR(NOT(ISNUMBER(J17)),N(J17)&lt;0),"Prix invalide",IF(OR(AND(F17&lt;&gt;"",NOT(ISNUMBER(F17))),N(F17)&lt;0,N(F17)&gt;1),"Remise invalide",IF(K17="","Taux de TVA manquant",IF(NOT(ISNUMBER(K17)),"Taux de TVA invalide",IF(COUNTIF(p_rates,K17)=0,"Taux de TVA hors liste (Paramètres)",IF(N(O17)&gt;25,"Au-delà de 25 lignes : non imprimée","OK")))))))))))))</f>
        <v/>
      </c>
      <c r="O17" s="59" t="str">
        <f>IF(A17="","",COUNTIF($A$6:A17,A17))</f>
        <v/>
      </c>
      <c r="P17" s="62" t="str">
        <f>IF(A17="","",A17&amp;"|"&amp;O17)</f>
        <v/>
      </c>
    </row>
    <row r="18">
      <c r="A18" s="60" t="n"/>
      <c r="B18" s="63" t="n"/>
      <c r="C18" s="63" t="n"/>
      <c r="D18" s="67" t="n"/>
      <c r="E18" s="68" t="n"/>
      <c r="F18" s="69" t="n"/>
      <c r="G18" s="70" t="n"/>
      <c r="H18" s="62" t="str">
        <f>IF(COUNTA(A18:G18)=0,"",IF(C18&lt;&gt;"",C18,IF(B18="","",IFERROR(INDEX(pr_des,MATCH(B18,pr_code,0))&amp;"",""))))</f>
        <v/>
      </c>
      <c r="I18" s="59" t="str">
        <f>IF(B18="","",IFERROR(INDEX(pr_unit,MATCH(B18,pr_code,0))&amp;"",""))</f>
        <v/>
      </c>
      <c r="J18" s="65" t="str">
        <f>IF(COUNTA(A18:G18)=0,"",IF(E18&lt;&gt;"",E18,IF(B18="","",IFERROR(IF(INDEX(pr_price,MATCH(B18,pr_code,0))="","",INDEX(pr_price,MATCH(B18,pr_code,0))),""))))</f>
        <v/>
      </c>
      <c r="K18" s="71" t="str">
        <f>IF(COUNTA(A18:G18)=0,"",IF(G18&lt;&gt;"",G18,IF(B18="","",IFERROR(IF(INDEX(pr_rate,MATCH(B18,pr_code,0))="","",INDEX(pr_rate,MATCH(B18,pr_code,0))),""))))</f>
        <v/>
      </c>
      <c r="L18" s="65" t="str">
        <f>IF(COUNTA(A18:G18)=0,"",IF(AND(ISNUMBER(D18),ISNUMBER(J18)),ROUND(D18*J18*(1-N(F18)),2),0))</f>
        <v/>
      </c>
      <c r="M18" s="62" t="str">
        <f>IF(A18="","",IFERROR(INDEX(fa_cname,MATCH(A18,fa_num,0))&amp;"",""))</f>
        <v/>
      </c>
      <c r="N18" s="59" t="str">
        <f>IF(COUNTA(A18:G18)=0,"",IF(A18="","N° facture manquant",IF(ISNA(MATCH(A18,fa_num,0)),"Facture inconnue",IF(AND(B18&lt;&gt;"",ISNA(MATCH(B18,pr_code,0))),"Article inconnu",IF(H18="","Désignation manquante",IF(OR(NOT(ISNUMBER(D18)),N(D18)&lt;=0),"Quantité invalide",IF(J18="","Prix manquant",IF(OR(NOT(ISNUMBER(J18)),N(J18)&lt;0),"Prix invalide",IF(OR(AND(F18&lt;&gt;"",NOT(ISNUMBER(F18))),N(F18)&lt;0,N(F18)&gt;1),"Remise invalide",IF(K18="","Taux de TVA manquant",IF(NOT(ISNUMBER(K18)),"Taux de TVA invalide",IF(COUNTIF(p_rates,K18)=0,"Taux de TVA hors liste (Paramètres)",IF(N(O18)&gt;25,"Au-delà de 25 lignes : non imprimée","OK")))))))))))))</f>
        <v/>
      </c>
      <c r="O18" s="59" t="str">
        <f>IF(A18="","",COUNTIF($A$6:A18,A18))</f>
        <v/>
      </c>
      <c r="P18" s="62" t="str">
        <f>IF(A18="","",A18&amp;"|"&amp;O18)</f>
        <v/>
      </c>
    </row>
    <row r="19">
      <c r="A19" s="60" t="n"/>
      <c r="B19" s="63" t="n"/>
      <c r="C19" s="63" t="n"/>
      <c r="D19" s="67" t="n"/>
      <c r="E19" s="68" t="n"/>
      <c r="F19" s="69" t="n"/>
      <c r="G19" s="70" t="n"/>
      <c r="H19" s="62" t="str">
        <f>IF(COUNTA(A19:G19)=0,"",IF(C19&lt;&gt;"",C19,IF(B19="","",IFERROR(INDEX(pr_des,MATCH(B19,pr_code,0))&amp;"",""))))</f>
        <v/>
      </c>
      <c r="I19" s="59" t="str">
        <f>IF(B19="","",IFERROR(INDEX(pr_unit,MATCH(B19,pr_code,0))&amp;"",""))</f>
        <v/>
      </c>
      <c r="J19" s="65" t="str">
        <f>IF(COUNTA(A19:G19)=0,"",IF(E19&lt;&gt;"",E19,IF(B19="","",IFERROR(IF(INDEX(pr_price,MATCH(B19,pr_code,0))="","",INDEX(pr_price,MATCH(B19,pr_code,0))),""))))</f>
        <v/>
      </c>
      <c r="K19" s="71" t="str">
        <f>IF(COUNTA(A19:G19)=0,"",IF(G19&lt;&gt;"",G19,IF(B19="","",IFERROR(IF(INDEX(pr_rate,MATCH(B19,pr_code,0))="","",INDEX(pr_rate,MATCH(B19,pr_code,0))),""))))</f>
        <v/>
      </c>
      <c r="L19" s="65" t="str">
        <f>IF(COUNTA(A19:G19)=0,"",IF(AND(ISNUMBER(D19),ISNUMBER(J19)),ROUND(D19*J19*(1-N(F19)),2),0))</f>
        <v/>
      </c>
      <c r="M19" s="62" t="str">
        <f>IF(A19="","",IFERROR(INDEX(fa_cname,MATCH(A19,fa_num,0))&amp;"",""))</f>
        <v/>
      </c>
      <c r="N19" s="59" t="str">
        <f>IF(COUNTA(A19:G19)=0,"",IF(A19="","N° facture manquant",IF(ISNA(MATCH(A19,fa_num,0)),"Facture inconnue",IF(AND(B19&lt;&gt;"",ISNA(MATCH(B19,pr_code,0))),"Article inconnu",IF(H19="","Désignation manquante",IF(OR(NOT(ISNUMBER(D19)),N(D19)&lt;=0),"Quantité invalide",IF(J19="","Prix manquant",IF(OR(NOT(ISNUMBER(J19)),N(J19)&lt;0),"Prix invalide",IF(OR(AND(F19&lt;&gt;"",NOT(ISNUMBER(F19))),N(F19)&lt;0,N(F19)&gt;1),"Remise invalide",IF(K19="","Taux de TVA manquant",IF(NOT(ISNUMBER(K19)),"Taux de TVA invalide",IF(COUNTIF(p_rates,K19)=0,"Taux de TVA hors liste (Paramètres)",IF(N(O19)&gt;25,"Au-delà de 25 lignes : non imprimée","OK")))))))))))))</f>
        <v/>
      </c>
      <c r="O19" s="59" t="str">
        <f>IF(A19="","",COUNTIF($A$6:A19,A19))</f>
        <v/>
      </c>
      <c r="P19" s="62" t="str">
        <f>IF(A19="","",A19&amp;"|"&amp;O19)</f>
        <v/>
      </c>
    </row>
    <row r="20">
      <c r="A20" s="60" t="n"/>
      <c r="B20" s="63" t="n"/>
      <c r="C20" s="63" t="n"/>
      <c r="D20" s="67" t="n"/>
      <c r="E20" s="68" t="n"/>
      <c r="F20" s="69" t="n"/>
      <c r="G20" s="70" t="n"/>
      <c r="H20" s="62" t="str">
        <f>IF(COUNTA(A20:G20)=0,"",IF(C20&lt;&gt;"",C20,IF(B20="","",IFERROR(INDEX(pr_des,MATCH(B20,pr_code,0))&amp;"",""))))</f>
        <v/>
      </c>
      <c r="I20" s="59" t="str">
        <f>IF(B20="","",IFERROR(INDEX(pr_unit,MATCH(B20,pr_code,0))&amp;"",""))</f>
        <v/>
      </c>
      <c r="J20" s="65" t="str">
        <f>IF(COUNTA(A20:G20)=0,"",IF(E20&lt;&gt;"",E20,IF(B20="","",IFERROR(IF(INDEX(pr_price,MATCH(B20,pr_code,0))="","",INDEX(pr_price,MATCH(B20,pr_code,0))),""))))</f>
        <v/>
      </c>
      <c r="K20" s="71" t="str">
        <f>IF(COUNTA(A20:G20)=0,"",IF(G20&lt;&gt;"",G20,IF(B20="","",IFERROR(IF(INDEX(pr_rate,MATCH(B20,pr_code,0))="","",INDEX(pr_rate,MATCH(B20,pr_code,0))),""))))</f>
        <v/>
      </c>
      <c r="L20" s="65" t="str">
        <f>IF(COUNTA(A20:G20)=0,"",IF(AND(ISNUMBER(D20),ISNUMBER(J20)),ROUND(D20*J20*(1-N(F20)),2),0))</f>
        <v/>
      </c>
      <c r="M20" s="62" t="str">
        <f>IF(A20="","",IFERROR(INDEX(fa_cname,MATCH(A20,fa_num,0))&amp;"",""))</f>
        <v/>
      </c>
      <c r="N20" s="59" t="str">
        <f>IF(COUNTA(A20:G20)=0,"",IF(A20="","N° facture manquant",IF(ISNA(MATCH(A20,fa_num,0)),"Facture inconnue",IF(AND(B20&lt;&gt;"",ISNA(MATCH(B20,pr_code,0))),"Article inconnu",IF(H20="","Désignation manquante",IF(OR(NOT(ISNUMBER(D20)),N(D20)&lt;=0),"Quantité invalide",IF(J20="","Prix manquant",IF(OR(NOT(ISNUMBER(J20)),N(J20)&lt;0),"Prix invalide",IF(OR(AND(F20&lt;&gt;"",NOT(ISNUMBER(F20))),N(F20)&lt;0,N(F20)&gt;1),"Remise invalide",IF(K20="","Taux de TVA manquant",IF(NOT(ISNUMBER(K20)),"Taux de TVA invalide",IF(COUNTIF(p_rates,K20)=0,"Taux de TVA hors liste (Paramètres)",IF(N(O20)&gt;25,"Au-delà de 25 lignes : non imprimée","OK")))))))))))))</f>
        <v/>
      </c>
      <c r="O20" s="59" t="str">
        <f>IF(A20="","",COUNTIF($A$6:A20,A20))</f>
        <v/>
      </c>
      <c r="P20" s="62" t="str">
        <f>IF(A20="","",A20&amp;"|"&amp;O20)</f>
        <v/>
      </c>
    </row>
    <row r="21">
      <c r="A21" s="60" t="n"/>
      <c r="B21" s="63" t="n"/>
      <c r="C21" s="63" t="n"/>
      <c r="D21" s="67" t="n"/>
      <c r="E21" s="68" t="n"/>
      <c r="F21" s="69" t="n"/>
      <c r="G21" s="70" t="n"/>
      <c r="H21" s="62" t="str">
        <f>IF(COUNTA(A21:G21)=0,"",IF(C21&lt;&gt;"",C21,IF(B21="","",IFERROR(INDEX(pr_des,MATCH(B21,pr_code,0))&amp;"",""))))</f>
        <v/>
      </c>
      <c r="I21" s="59" t="str">
        <f>IF(B21="","",IFERROR(INDEX(pr_unit,MATCH(B21,pr_code,0))&amp;"",""))</f>
        <v/>
      </c>
      <c r="J21" s="65" t="str">
        <f>IF(COUNTA(A21:G21)=0,"",IF(E21&lt;&gt;"",E21,IF(B21="","",IFERROR(IF(INDEX(pr_price,MATCH(B21,pr_code,0))="","",INDEX(pr_price,MATCH(B21,pr_code,0))),""))))</f>
        <v/>
      </c>
      <c r="K21" s="71" t="str">
        <f>IF(COUNTA(A21:G21)=0,"",IF(G21&lt;&gt;"",G21,IF(B21="","",IFERROR(IF(INDEX(pr_rate,MATCH(B21,pr_code,0))="","",INDEX(pr_rate,MATCH(B21,pr_code,0))),""))))</f>
        <v/>
      </c>
      <c r="L21" s="65" t="str">
        <f>IF(COUNTA(A21:G21)=0,"",IF(AND(ISNUMBER(D21),ISNUMBER(J21)),ROUND(D21*J21*(1-N(F21)),2),0))</f>
        <v/>
      </c>
      <c r="M21" s="62" t="str">
        <f>IF(A21="","",IFERROR(INDEX(fa_cname,MATCH(A21,fa_num,0))&amp;"",""))</f>
        <v/>
      </c>
      <c r="N21" s="59" t="str">
        <f>IF(COUNTA(A21:G21)=0,"",IF(A21="","N° facture manquant",IF(ISNA(MATCH(A21,fa_num,0)),"Facture inconnue",IF(AND(B21&lt;&gt;"",ISNA(MATCH(B21,pr_code,0))),"Article inconnu",IF(H21="","Désignation manquante",IF(OR(NOT(ISNUMBER(D21)),N(D21)&lt;=0),"Quantité invalide",IF(J21="","Prix manquant",IF(OR(NOT(ISNUMBER(J21)),N(J21)&lt;0),"Prix invalide",IF(OR(AND(F21&lt;&gt;"",NOT(ISNUMBER(F21))),N(F21)&lt;0,N(F21)&gt;1),"Remise invalide",IF(K21="","Taux de TVA manquant",IF(NOT(ISNUMBER(K21)),"Taux de TVA invalide",IF(COUNTIF(p_rates,K21)=0,"Taux de TVA hors liste (Paramètres)",IF(N(O21)&gt;25,"Au-delà de 25 lignes : non imprimée","OK")))))))))))))</f>
        <v/>
      </c>
      <c r="O21" s="59" t="str">
        <f>IF(A21="","",COUNTIF($A$6:A21,A21))</f>
        <v/>
      </c>
      <c r="P21" s="62" t="str">
        <f>IF(A21="","",A21&amp;"|"&amp;O21)</f>
        <v/>
      </c>
    </row>
    <row r="22">
      <c r="A22" s="60" t="n"/>
      <c r="B22" s="63" t="n"/>
      <c r="C22" s="63" t="n"/>
      <c r="D22" s="67" t="n"/>
      <c r="E22" s="68" t="n"/>
      <c r="F22" s="69" t="n"/>
      <c r="G22" s="70" t="n"/>
      <c r="H22" s="62" t="str">
        <f>IF(COUNTA(A22:G22)=0,"",IF(C22&lt;&gt;"",C22,IF(B22="","",IFERROR(INDEX(pr_des,MATCH(B22,pr_code,0))&amp;"",""))))</f>
        <v/>
      </c>
      <c r="I22" s="59" t="str">
        <f>IF(B22="","",IFERROR(INDEX(pr_unit,MATCH(B22,pr_code,0))&amp;"",""))</f>
        <v/>
      </c>
      <c r="J22" s="65" t="str">
        <f>IF(COUNTA(A22:G22)=0,"",IF(E22&lt;&gt;"",E22,IF(B22="","",IFERROR(IF(INDEX(pr_price,MATCH(B22,pr_code,0))="","",INDEX(pr_price,MATCH(B22,pr_code,0))),""))))</f>
        <v/>
      </c>
      <c r="K22" s="71" t="str">
        <f>IF(COUNTA(A22:G22)=0,"",IF(G22&lt;&gt;"",G22,IF(B22="","",IFERROR(IF(INDEX(pr_rate,MATCH(B22,pr_code,0))="","",INDEX(pr_rate,MATCH(B22,pr_code,0))),""))))</f>
        <v/>
      </c>
      <c r="L22" s="65" t="str">
        <f>IF(COUNTA(A22:G22)=0,"",IF(AND(ISNUMBER(D22),ISNUMBER(J22)),ROUND(D22*J22*(1-N(F22)),2),0))</f>
        <v/>
      </c>
      <c r="M22" s="62" t="str">
        <f>IF(A22="","",IFERROR(INDEX(fa_cname,MATCH(A22,fa_num,0))&amp;"",""))</f>
        <v/>
      </c>
      <c r="N22" s="59" t="str">
        <f>IF(COUNTA(A22:G22)=0,"",IF(A22="","N° facture manquant",IF(ISNA(MATCH(A22,fa_num,0)),"Facture inconnue",IF(AND(B22&lt;&gt;"",ISNA(MATCH(B22,pr_code,0))),"Article inconnu",IF(H22="","Désignation manquante",IF(OR(NOT(ISNUMBER(D22)),N(D22)&lt;=0),"Quantité invalide",IF(J22="","Prix manquant",IF(OR(NOT(ISNUMBER(J22)),N(J22)&lt;0),"Prix invalide",IF(OR(AND(F22&lt;&gt;"",NOT(ISNUMBER(F22))),N(F22)&lt;0,N(F22)&gt;1),"Remise invalide",IF(K22="","Taux de TVA manquant",IF(NOT(ISNUMBER(K22)),"Taux de TVA invalide",IF(COUNTIF(p_rates,K22)=0,"Taux de TVA hors liste (Paramètres)",IF(N(O22)&gt;25,"Au-delà de 25 lignes : non imprimée","OK")))))))))))))</f>
        <v/>
      </c>
      <c r="O22" s="59" t="str">
        <f>IF(A22="","",COUNTIF($A$6:A22,A22))</f>
        <v/>
      </c>
      <c r="P22" s="62" t="str">
        <f>IF(A22="","",A22&amp;"|"&amp;O22)</f>
        <v/>
      </c>
    </row>
    <row r="23">
      <c r="A23" s="60" t="n"/>
      <c r="B23" s="63" t="n"/>
      <c r="C23" s="63" t="n"/>
      <c r="D23" s="67" t="n"/>
      <c r="E23" s="68" t="n"/>
      <c r="F23" s="69" t="n"/>
      <c r="G23" s="70" t="n"/>
      <c r="H23" s="62" t="str">
        <f>IF(COUNTA(A23:G23)=0,"",IF(C23&lt;&gt;"",C23,IF(B23="","",IFERROR(INDEX(pr_des,MATCH(B23,pr_code,0))&amp;"",""))))</f>
        <v/>
      </c>
      <c r="I23" s="59" t="str">
        <f>IF(B23="","",IFERROR(INDEX(pr_unit,MATCH(B23,pr_code,0))&amp;"",""))</f>
        <v/>
      </c>
      <c r="J23" s="65" t="str">
        <f>IF(COUNTA(A23:G23)=0,"",IF(E23&lt;&gt;"",E23,IF(B23="","",IFERROR(IF(INDEX(pr_price,MATCH(B23,pr_code,0))="","",INDEX(pr_price,MATCH(B23,pr_code,0))),""))))</f>
        <v/>
      </c>
      <c r="K23" s="71" t="str">
        <f>IF(COUNTA(A23:G23)=0,"",IF(G23&lt;&gt;"",G23,IF(B23="","",IFERROR(IF(INDEX(pr_rate,MATCH(B23,pr_code,0))="","",INDEX(pr_rate,MATCH(B23,pr_code,0))),""))))</f>
        <v/>
      </c>
      <c r="L23" s="65" t="str">
        <f>IF(COUNTA(A23:G23)=0,"",IF(AND(ISNUMBER(D23),ISNUMBER(J23)),ROUND(D23*J23*(1-N(F23)),2),0))</f>
        <v/>
      </c>
      <c r="M23" s="62" t="str">
        <f>IF(A23="","",IFERROR(INDEX(fa_cname,MATCH(A23,fa_num,0))&amp;"",""))</f>
        <v/>
      </c>
      <c r="N23" s="59" t="str">
        <f>IF(COUNTA(A23:G23)=0,"",IF(A23="","N° facture manquant",IF(ISNA(MATCH(A23,fa_num,0)),"Facture inconnue",IF(AND(B23&lt;&gt;"",ISNA(MATCH(B23,pr_code,0))),"Article inconnu",IF(H23="","Désignation manquante",IF(OR(NOT(ISNUMBER(D23)),N(D23)&lt;=0),"Quantité invalide",IF(J23="","Prix manquant",IF(OR(NOT(ISNUMBER(J23)),N(J23)&lt;0),"Prix invalide",IF(OR(AND(F23&lt;&gt;"",NOT(ISNUMBER(F23))),N(F23)&lt;0,N(F23)&gt;1),"Remise invalide",IF(K23="","Taux de TVA manquant",IF(NOT(ISNUMBER(K23)),"Taux de TVA invalide",IF(COUNTIF(p_rates,K23)=0,"Taux de TVA hors liste (Paramètres)",IF(N(O23)&gt;25,"Au-delà de 25 lignes : non imprimée","OK")))))))))))))</f>
        <v/>
      </c>
      <c r="O23" s="59" t="str">
        <f>IF(A23="","",COUNTIF($A$6:A23,A23))</f>
        <v/>
      </c>
      <c r="P23" s="62" t="str">
        <f>IF(A23="","",A23&amp;"|"&amp;O23)</f>
        <v/>
      </c>
    </row>
    <row r="24">
      <c r="A24" s="60" t="n"/>
      <c r="B24" s="63" t="n"/>
      <c r="C24" s="63" t="n"/>
      <c r="D24" s="67" t="n"/>
      <c r="E24" s="68" t="n"/>
      <c r="F24" s="69" t="n"/>
      <c r="G24" s="70" t="n"/>
      <c r="H24" s="62" t="str">
        <f>IF(COUNTA(A24:G24)=0,"",IF(C24&lt;&gt;"",C24,IF(B24="","",IFERROR(INDEX(pr_des,MATCH(B24,pr_code,0))&amp;"",""))))</f>
        <v/>
      </c>
      <c r="I24" s="59" t="str">
        <f>IF(B24="","",IFERROR(INDEX(pr_unit,MATCH(B24,pr_code,0))&amp;"",""))</f>
        <v/>
      </c>
      <c r="J24" s="65" t="str">
        <f>IF(COUNTA(A24:G24)=0,"",IF(E24&lt;&gt;"",E24,IF(B24="","",IFERROR(IF(INDEX(pr_price,MATCH(B24,pr_code,0))="","",INDEX(pr_price,MATCH(B24,pr_code,0))),""))))</f>
        <v/>
      </c>
      <c r="K24" s="71" t="str">
        <f>IF(COUNTA(A24:G24)=0,"",IF(G24&lt;&gt;"",G24,IF(B24="","",IFERROR(IF(INDEX(pr_rate,MATCH(B24,pr_code,0))="","",INDEX(pr_rate,MATCH(B24,pr_code,0))),""))))</f>
        <v/>
      </c>
      <c r="L24" s="65" t="str">
        <f>IF(COUNTA(A24:G24)=0,"",IF(AND(ISNUMBER(D24),ISNUMBER(J24)),ROUND(D24*J24*(1-N(F24)),2),0))</f>
        <v/>
      </c>
      <c r="M24" s="62" t="str">
        <f>IF(A24="","",IFERROR(INDEX(fa_cname,MATCH(A24,fa_num,0))&amp;"",""))</f>
        <v/>
      </c>
      <c r="N24" s="59" t="str">
        <f>IF(COUNTA(A24:G24)=0,"",IF(A24="","N° facture manquant",IF(ISNA(MATCH(A24,fa_num,0)),"Facture inconnue",IF(AND(B24&lt;&gt;"",ISNA(MATCH(B24,pr_code,0))),"Article inconnu",IF(H24="","Désignation manquante",IF(OR(NOT(ISNUMBER(D24)),N(D24)&lt;=0),"Quantité invalide",IF(J24="","Prix manquant",IF(OR(NOT(ISNUMBER(J24)),N(J24)&lt;0),"Prix invalide",IF(OR(AND(F24&lt;&gt;"",NOT(ISNUMBER(F24))),N(F24)&lt;0,N(F24)&gt;1),"Remise invalide",IF(K24="","Taux de TVA manquant",IF(NOT(ISNUMBER(K24)),"Taux de TVA invalide",IF(COUNTIF(p_rates,K24)=0,"Taux de TVA hors liste (Paramètres)",IF(N(O24)&gt;25,"Au-delà de 25 lignes : non imprimée","OK")))))))))))))</f>
        <v/>
      </c>
      <c r="O24" s="59" t="str">
        <f>IF(A24="","",COUNTIF($A$6:A24,A24))</f>
        <v/>
      </c>
      <c r="P24" s="62" t="str">
        <f>IF(A24="","",A24&amp;"|"&amp;O24)</f>
        <v/>
      </c>
    </row>
    <row r="25">
      <c r="A25" s="60" t="n"/>
      <c r="B25" s="63" t="n"/>
      <c r="C25" s="63" t="n"/>
      <c r="D25" s="67" t="n"/>
      <c r="E25" s="68" t="n"/>
      <c r="F25" s="69" t="n"/>
      <c r="G25" s="70" t="n"/>
      <c r="H25" s="62" t="str">
        <f>IF(COUNTA(A25:G25)=0,"",IF(C25&lt;&gt;"",C25,IF(B25="","",IFERROR(INDEX(pr_des,MATCH(B25,pr_code,0))&amp;"",""))))</f>
        <v/>
      </c>
      <c r="I25" s="59" t="str">
        <f>IF(B25="","",IFERROR(INDEX(pr_unit,MATCH(B25,pr_code,0))&amp;"",""))</f>
        <v/>
      </c>
      <c r="J25" s="65" t="str">
        <f>IF(COUNTA(A25:G25)=0,"",IF(E25&lt;&gt;"",E25,IF(B25="","",IFERROR(IF(INDEX(pr_price,MATCH(B25,pr_code,0))="","",INDEX(pr_price,MATCH(B25,pr_code,0))),""))))</f>
        <v/>
      </c>
      <c r="K25" s="71" t="str">
        <f>IF(COUNTA(A25:G25)=0,"",IF(G25&lt;&gt;"",G25,IF(B25="","",IFERROR(IF(INDEX(pr_rate,MATCH(B25,pr_code,0))="","",INDEX(pr_rate,MATCH(B25,pr_code,0))),""))))</f>
        <v/>
      </c>
      <c r="L25" s="65" t="str">
        <f>IF(COUNTA(A25:G25)=0,"",IF(AND(ISNUMBER(D25),ISNUMBER(J25)),ROUND(D25*J25*(1-N(F25)),2),0))</f>
        <v/>
      </c>
      <c r="M25" s="62" t="str">
        <f>IF(A25="","",IFERROR(INDEX(fa_cname,MATCH(A25,fa_num,0))&amp;"",""))</f>
        <v/>
      </c>
      <c r="N25" s="59" t="str">
        <f>IF(COUNTA(A25:G25)=0,"",IF(A25="","N° facture manquant",IF(ISNA(MATCH(A25,fa_num,0)),"Facture inconnue",IF(AND(B25&lt;&gt;"",ISNA(MATCH(B25,pr_code,0))),"Article inconnu",IF(H25="","Désignation manquante",IF(OR(NOT(ISNUMBER(D25)),N(D25)&lt;=0),"Quantité invalide",IF(J25="","Prix manquant",IF(OR(NOT(ISNUMBER(J25)),N(J25)&lt;0),"Prix invalide",IF(OR(AND(F25&lt;&gt;"",NOT(ISNUMBER(F25))),N(F25)&lt;0,N(F25)&gt;1),"Remise invalide",IF(K25="","Taux de TVA manquant",IF(NOT(ISNUMBER(K25)),"Taux de TVA invalide",IF(COUNTIF(p_rates,K25)=0,"Taux de TVA hors liste (Paramètres)",IF(N(O25)&gt;25,"Au-delà de 25 lignes : non imprimée","OK")))))))))))))</f>
        <v/>
      </c>
      <c r="O25" s="59" t="str">
        <f>IF(A25="","",COUNTIF($A$6:A25,A25))</f>
        <v/>
      </c>
      <c r="P25" s="62" t="str">
        <f>IF(A25="","",A25&amp;"|"&amp;O25)</f>
        <v/>
      </c>
    </row>
    <row r="26">
      <c r="A26" s="60" t="n"/>
      <c r="B26" s="63" t="n"/>
      <c r="C26" s="63" t="n"/>
      <c r="D26" s="67" t="n"/>
      <c r="E26" s="68" t="n"/>
      <c r="F26" s="69" t="n"/>
      <c r="G26" s="70" t="n"/>
      <c r="H26" s="62" t="str">
        <f>IF(COUNTA(A26:G26)=0,"",IF(C26&lt;&gt;"",C26,IF(B26="","",IFERROR(INDEX(pr_des,MATCH(B26,pr_code,0))&amp;"",""))))</f>
        <v/>
      </c>
      <c r="I26" s="59" t="str">
        <f>IF(B26="","",IFERROR(INDEX(pr_unit,MATCH(B26,pr_code,0))&amp;"",""))</f>
        <v/>
      </c>
      <c r="J26" s="65" t="str">
        <f>IF(COUNTA(A26:G26)=0,"",IF(E26&lt;&gt;"",E26,IF(B26="","",IFERROR(IF(INDEX(pr_price,MATCH(B26,pr_code,0))="","",INDEX(pr_price,MATCH(B26,pr_code,0))),""))))</f>
        <v/>
      </c>
      <c r="K26" s="71" t="str">
        <f>IF(COUNTA(A26:G26)=0,"",IF(G26&lt;&gt;"",G26,IF(B26="","",IFERROR(IF(INDEX(pr_rate,MATCH(B26,pr_code,0))="","",INDEX(pr_rate,MATCH(B26,pr_code,0))),""))))</f>
        <v/>
      </c>
      <c r="L26" s="65" t="str">
        <f>IF(COUNTA(A26:G26)=0,"",IF(AND(ISNUMBER(D26),ISNUMBER(J26)),ROUND(D26*J26*(1-N(F26)),2),0))</f>
        <v/>
      </c>
      <c r="M26" s="62" t="str">
        <f>IF(A26="","",IFERROR(INDEX(fa_cname,MATCH(A26,fa_num,0))&amp;"",""))</f>
        <v/>
      </c>
      <c r="N26" s="59" t="str">
        <f>IF(COUNTA(A26:G26)=0,"",IF(A26="","N° facture manquant",IF(ISNA(MATCH(A26,fa_num,0)),"Facture inconnue",IF(AND(B26&lt;&gt;"",ISNA(MATCH(B26,pr_code,0))),"Article inconnu",IF(H26="","Désignation manquante",IF(OR(NOT(ISNUMBER(D26)),N(D26)&lt;=0),"Quantité invalide",IF(J26="","Prix manquant",IF(OR(NOT(ISNUMBER(J26)),N(J26)&lt;0),"Prix invalide",IF(OR(AND(F26&lt;&gt;"",NOT(ISNUMBER(F26))),N(F26)&lt;0,N(F26)&gt;1),"Remise invalide",IF(K26="","Taux de TVA manquant",IF(NOT(ISNUMBER(K26)),"Taux de TVA invalide",IF(COUNTIF(p_rates,K26)=0,"Taux de TVA hors liste (Paramètres)",IF(N(O26)&gt;25,"Au-delà de 25 lignes : non imprimée","OK")))))))))))))</f>
        <v/>
      </c>
      <c r="O26" s="59" t="str">
        <f>IF(A26="","",COUNTIF($A$6:A26,A26))</f>
        <v/>
      </c>
      <c r="P26" s="62" t="str">
        <f>IF(A26="","",A26&amp;"|"&amp;O26)</f>
        <v/>
      </c>
    </row>
    <row r="27">
      <c r="A27" s="60" t="n"/>
      <c r="B27" s="63" t="n"/>
      <c r="C27" s="63" t="n"/>
      <c r="D27" s="67" t="n"/>
      <c r="E27" s="68" t="n"/>
      <c r="F27" s="69" t="n"/>
      <c r="G27" s="70" t="n"/>
      <c r="H27" s="62" t="str">
        <f>IF(COUNTA(A27:G27)=0,"",IF(C27&lt;&gt;"",C27,IF(B27="","",IFERROR(INDEX(pr_des,MATCH(B27,pr_code,0))&amp;"",""))))</f>
        <v/>
      </c>
      <c r="I27" s="59" t="str">
        <f>IF(B27="","",IFERROR(INDEX(pr_unit,MATCH(B27,pr_code,0))&amp;"",""))</f>
        <v/>
      </c>
      <c r="J27" s="65" t="str">
        <f>IF(COUNTA(A27:G27)=0,"",IF(E27&lt;&gt;"",E27,IF(B27="","",IFERROR(IF(INDEX(pr_price,MATCH(B27,pr_code,0))="","",INDEX(pr_price,MATCH(B27,pr_code,0))),""))))</f>
        <v/>
      </c>
      <c r="K27" s="71" t="str">
        <f>IF(COUNTA(A27:G27)=0,"",IF(G27&lt;&gt;"",G27,IF(B27="","",IFERROR(IF(INDEX(pr_rate,MATCH(B27,pr_code,0))="","",INDEX(pr_rate,MATCH(B27,pr_code,0))),""))))</f>
        <v/>
      </c>
      <c r="L27" s="65" t="str">
        <f>IF(COUNTA(A27:G27)=0,"",IF(AND(ISNUMBER(D27),ISNUMBER(J27)),ROUND(D27*J27*(1-N(F27)),2),0))</f>
        <v/>
      </c>
      <c r="M27" s="62" t="str">
        <f>IF(A27="","",IFERROR(INDEX(fa_cname,MATCH(A27,fa_num,0))&amp;"",""))</f>
        <v/>
      </c>
      <c r="N27" s="59" t="str">
        <f>IF(COUNTA(A27:G27)=0,"",IF(A27="","N° facture manquant",IF(ISNA(MATCH(A27,fa_num,0)),"Facture inconnue",IF(AND(B27&lt;&gt;"",ISNA(MATCH(B27,pr_code,0))),"Article inconnu",IF(H27="","Désignation manquante",IF(OR(NOT(ISNUMBER(D27)),N(D27)&lt;=0),"Quantité invalide",IF(J27="","Prix manquant",IF(OR(NOT(ISNUMBER(J27)),N(J27)&lt;0),"Prix invalide",IF(OR(AND(F27&lt;&gt;"",NOT(ISNUMBER(F27))),N(F27)&lt;0,N(F27)&gt;1),"Remise invalide",IF(K27="","Taux de TVA manquant",IF(NOT(ISNUMBER(K27)),"Taux de TVA invalide",IF(COUNTIF(p_rates,K27)=0,"Taux de TVA hors liste (Paramètres)",IF(N(O27)&gt;25,"Au-delà de 25 lignes : non imprimée","OK")))))))))))))</f>
        <v/>
      </c>
      <c r="O27" s="59" t="str">
        <f>IF(A27="","",COUNTIF($A$6:A27,A27))</f>
        <v/>
      </c>
      <c r="P27" s="62" t="str">
        <f>IF(A27="","",A27&amp;"|"&amp;O27)</f>
        <v/>
      </c>
    </row>
    <row r="28">
      <c r="A28" s="60" t="n"/>
      <c r="B28" s="63" t="n"/>
      <c r="C28" s="63" t="n"/>
      <c r="D28" s="67" t="n"/>
      <c r="E28" s="68" t="n"/>
      <c r="F28" s="69" t="n"/>
      <c r="G28" s="70" t="n"/>
      <c r="H28" s="62" t="str">
        <f>IF(COUNTA(A28:G28)=0,"",IF(C28&lt;&gt;"",C28,IF(B28="","",IFERROR(INDEX(pr_des,MATCH(B28,pr_code,0))&amp;"",""))))</f>
        <v/>
      </c>
      <c r="I28" s="59" t="str">
        <f>IF(B28="","",IFERROR(INDEX(pr_unit,MATCH(B28,pr_code,0))&amp;"",""))</f>
        <v/>
      </c>
      <c r="J28" s="65" t="str">
        <f>IF(COUNTA(A28:G28)=0,"",IF(E28&lt;&gt;"",E28,IF(B28="","",IFERROR(IF(INDEX(pr_price,MATCH(B28,pr_code,0))="","",INDEX(pr_price,MATCH(B28,pr_code,0))),""))))</f>
        <v/>
      </c>
      <c r="K28" s="71" t="str">
        <f>IF(COUNTA(A28:G28)=0,"",IF(G28&lt;&gt;"",G28,IF(B28="","",IFERROR(IF(INDEX(pr_rate,MATCH(B28,pr_code,0))="","",INDEX(pr_rate,MATCH(B28,pr_code,0))),""))))</f>
        <v/>
      </c>
      <c r="L28" s="65" t="str">
        <f>IF(COUNTA(A28:G28)=0,"",IF(AND(ISNUMBER(D28),ISNUMBER(J28)),ROUND(D28*J28*(1-N(F28)),2),0))</f>
        <v/>
      </c>
      <c r="M28" s="62" t="str">
        <f>IF(A28="","",IFERROR(INDEX(fa_cname,MATCH(A28,fa_num,0))&amp;"",""))</f>
        <v/>
      </c>
      <c r="N28" s="59" t="str">
        <f>IF(COUNTA(A28:G28)=0,"",IF(A28="","N° facture manquant",IF(ISNA(MATCH(A28,fa_num,0)),"Facture inconnue",IF(AND(B28&lt;&gt;"",ISNA(MATCH(B28,pr_code,0))),"Article inconnu",IF(H28="","Désignation manquante",IF(OR(NOT(ISNUMBER(D28)),N(D28)&lt;=0),"Quantité invalide",IF(J28="","Prix manquant",IF(OR(NOT(ISNUMBER(J28)),N(J28)&lt;0),"Prix invalide",IF(OR(AND(F28&lt;&gt;"",NOT(ISNUMBER(F28))),N(F28)&lt;0,N(F28)&gt;1),"Remise invalide",IF(K28="","Taux de TVA manquant",IF(NOT(ISNUMBER(K28)),"Taux de TVA invalide",IF(COUNTIF(p_rates,K28)=0,"Taux de TVA hors liste (Paramètres)",IF(N(O28)&gt;25,"Au-delà de 25 lignes : non imprimée","OK")))))))))))))</f>
        <v/>
      </c>
      <c r="O28" s="59" t="str">
        <f>IF(A28="","",COUNTIF($A$6:A28,A28))</f>
        <v/>
      </c>
      <c r="P28" s="62" t="str">
        <f>IF(A28="","",A28&amp;"|"&amp;O28)</f>
        <v/>
      </c>
    </row>
    <row r="29">
      <c r="A29" s="60" t="n"/>
      <c r="B29" s="63" t="n"/>
      <c r="C29" s="63" t="n"/>
      <c r="D29" s="67" t="n"/>
      <c r="E29" s="68" t="n"/>
      <c r="F29" s="69" t="n"/>
      <c r="G29" s="70" t="n"/>
      <c r="H29" s="62" t="str">
        <f>IF(COUNTA(A29:G29)=0,"",IF(C29&lt;&gt;"",C29,IF(B29="","",IFERROR(INDEX(pr_des,MATCH(B29,pr_code,0))&amp;"",""))))</f>
        <v/>
      </c>
      <c r="I29" s="59" t="str">
        <f>IF(B29="","",IFERROR(INDEX(pr_unit,MATCH(B29,pr_code,0))&amp;"",""))</f>
        <v/>
      </c>
      <c r="J29" s="65" t="str">
        <f>IF(COUNTA(A29:G29)=0,"",IF(E29&lt;&gt;"",E29,IF(B29="","",IFERROR(IF(INDEX(pr_price,MATCH(B29,pr_code,0))="","",INDEX(pr_price,MATCH(B29,pr_code,0))),""))))</f>
        <v/>
      </c>
      <c r="K29" s="71" t="str">
        <f>IF(COUNTA(A29:G29)=0,"",IF(G29&lt;&gt;"",G29,IF(B29="","",IFERROR(IF(INDEX(pr_rate,MATCH(B29,pr_code,0))="","",INDEX(pr_rate,MATCH(B29,pr_code,0))),""))))</f>
        <v/>
      </c>
      <c r="L29" s="65" t="str">
        <f>IF(COUNTA(A29:G29)=0,"",IF(AND(ISNUMBER(D29),ISNUMBER(J29)),ROUND(D29*J29*(1-N(F29)),2),0))</f>
        <v/>
      </c>
      <c r="M29" s="62" t="str">
        <f>IF(A29="","",IFERROR(INDEX(fa_cname,MATCH(A29,fa_num,0))&amp;"",""))</f>
        <v/>
      </c>
      <c r="N29" s="59" t="str">
        <f>IF(COUNTA(A29:G29)=0,"",IF(A29="","N° facture manquant",IF(ISNA(MATCH(A29,fa_num,0)),"Facture inconnue",IF(AND(B29&lt;&gt;"",ISNA(MATCH(B29,pr_code,0))),"Article inconnu",IF(H29="","Désignation manquante",IF(OR(NOT(ISNUMBER(D29)),N(D29)&lt;=0),"Quantité invalide",IF(J29="","Prix manquant",IF(OR(NOT(ISNUMBER(J29)),N(J29)&lt;0),"Prix invalide",IF(OR(AND(F29&lt;&gt;"",NOT(ISNUMBER(F29))),N(F29)&lt;0,N(F29)&gt;1),"Remise invalide",IF(K29="","Taux de TVA manquant",IF(NOT(ISNUMBER(K29)),"Taux de TVA invalide",IF(COUNTIF(p_rates,K29)=0,"Taux de TVA hors liste (Paramètres)",IF(N(O29)&gt;25,"Au-delà de 25 lignes : non imprimée","OK")))))))))))))</f>
        <v/>
      </c>
      <c r="O29" s="59" t="str">
        <f>IF(A29="","",COUNTIF($A$6:A29,A29))</f>
        <v/>
      </c>
      <c r="P29" s="62" t="str">
        <f>IF(A29="","",A29&amp;"|"&amp;O29)</f>
        <v/>
      </c>
    </row>
    <row r="30">
      <c r="A30" s="60" t="n"/>
      <c r="B30" s="63" t="n"/>
      <c r="C30" s="63" t="n"/>
      <c r="D30" s="67" t="n"/>
      <c r="E30" s="68" t="n"/>
      <c r="F30" s="69" t="n"/>
      <c r="G30" s="70" t="n"/>
      <c r="H30" s="62" t="str">
        <f>IF(COUNTA(A30:G30)=0,"",IF(C30&lt;&gt;"",C30,IF(B30="","",IFERROR(INDEX(pr_des,MATCH(B30,pr_code,0))&amp;"",""))))</f>
        <v/>
      </c>
      <c r="I30" s="59" t="str">
        <f>IF(B30="","",IFERROR(INDEX(pr_unit,MATCH(B30,pr_code,0))&amp;"",""))</f>
        <v/>
      </c>
      <c r="J30" s="65" t="str">
        <f>IF(COUNTA(A30:G30)=0,"",IF(E30&lt;&gt;"",E30,IF(B30="","",IFERROR(IF(INDEX(pr_price,MATCH(B30,pr_code,0))="","",INDEX(pr_price,MATCH(B30,pr_code,0))),""))))</f>
        <v/>
      </c>
      <c r="K30" s="71" t="str">
        <f>IF(COUNTA(A30:G30)=0,"",IF(G30&lt;&gt;"",G30,IF(B30="","",IFERROR(IF(INDEX(pr_rate,MATCH(B30,pr_code,0))="","",INDEX(pr_rate,MATCH(B30,pr_code,0))),""))))</f>
        <v/>
      </c>
      <c r="L30" s="65" t="str">
        <f>IF(COUNTA(A30:G30)=0,"",IF(AND(ISNUMBER(D30),ISNUMBER(J30)),ROUND(D30*J30*(1-N(F30)),2),0))</f>
        <v/>
      </c>
      <c r="M30" s="62" t="str">
        <f>IF(A30="","",IFERROR(INDEX(fa_cname,MATCH(A30,fa_num,0))&amp;"",""))</f>
        <v/>
      </c>
      <c r="N30" s="59" t="str">
        <f>IF(COUNTA(A30:G30)=0,"",IF(A30="","N° facture manquant",IF(ISNA(MATCH(A30,fa_num,0)),"Facture inconnue",IF(AND(B30&lt;&gt;"",ISNA(MATCH(B30,pr_code,0))),"Article inconnu",IF(H30="","Désignation manquante",IF(OR(NOT(ISNUMBER(D30)),N(D30)&lt;=0),"Quantité invalide",IF(J30="","Prix manquant",IF(OR(NOT(ISNUMBER(J30)),N(J30)&lt;0),"Prix invalide",IF(OR(AND(F30&lt;&gt;"",NOT(ISNUMBER(F30))),N(F30)&lt;0,N(F30)&gt;1),"Remise invalide",IF(K30="","Taux de TVA manquant",IF(NOT(ISNUMBER(K30)),"Taux de TVA invalide",IF(COUNTIF(p_rates,K30)=0,"Taux de TVA hors liste (Paramètres)",IF(N(O30)&gt;25,"Au-delà de 25 lignes : non imprimée","OK")))))))))))))</f>
        <v/>
      </c>
      <c r="O30" s="59" t="str">
        <f>IF(A30="","",COUNTIF($A$6:A30,A30))</f>
        <v/>
      </c>
      <c r="P30" s="62" t="str">
        <f>IF(A30="","",A30&amp;"|"&amp;O30)</f>
        <v/>
      </c>
    </row>
    <row r="31">
      <c r="A31" s="60" t="n"/>
      <c r="B31" s="63" t="n"/>
      <c r="C31" s="63" t="n"/>
      <c r="D31" s="67" t="n"/>
      <c r="E31" s="68" t="n"/>
      <c r="F31" s="69" t="n"/>
      <c r="G31" s="70" t="n"/>
      <c r="H31" s="62" t="str">
        <f>IF(COUNTA(A31:G31)=0,"",IF(C31&lt;&gt;"",C31,IF(B31="","",IFERROR(INDEX(pr_des,MATCH(B31,pr_code,0))&amp;"",""))))</f>
        <v/>
      </c>
      <c r="I31" s="59" t="str">
        <f>IF(B31="","",IFERROR(INDEX(pr_unit,MATCH(B31,pr_code,0))&amp;"",""))</f>
        <v/>
      </c>
      <c r="J31" s="65" t="str">
        <f>IF(COUNTA(A31:G31)=0,"",IF(E31&lt;&gt;"",E31,IF(B31="","",IFERROR(IF(INDEX(pr_price,MATCH(B31,pr_code,0))="","",INDEX(pr_price,MATCH(B31,pr_code,0))),""))))</f>
        <v/>
      </c>
      <c r="K31" s="71" t="str">
        <f>IF(COUNTA(A31:G31)=0,"",IF(G31&lt;&gt;"",G31,IF(B31="","",IFERROR(IF(INDEX(pr_rate,MATCH(B31,pr_code,0))="","",INDEX(pr_rate,MATCH(B31,pr_code,0))),""))))</f>
        <v/>
      </c>
      <c r="L31" s="65" t="str">
        <f>IF(COUNTA(A31:G31)=0,"",IF(AND(ISNUMBER(D31),ISNUMBER(J31)),ROUND(D31*J31*(1-N(F31)),2),0))</f>
        <v/>
      </c>
      <c r="M31" s="62" t="str">
        <f>IF(A31="","",IFERROR(INDEX(fa_cname,MATCH(A31,fa_num,0))&amp;"",""))</f>
        <v/>
      </c>
      <c r="N31" s="59" t="str">
        <f>IF(COUNTA(A31:G31)=0,"",IF(A31="","N° facture manquant",IF(ISNA(MATCH(A31,fa_num,0)),"Facture inconnue",IF(AND(B31&lt;&gt;"",ISNA(MATCH(B31,pr_code,0))),"Article inconnu",IF(H31="","Désignation manquante",IF(OR(NOT(ISNUMBER(D31)),N(D31)&lt;=0),"Quantité invalide",IF(J31="","Prix manquant",IF(OR(NOT(ISNUMBER(J31)),N(J31)&lt;0),"Prix invalide",IF(OR(AND(F31&lt;&gt;"",NOT(ISNUMBER(F31))),N(F31)&lt;0,N(F31)&gt;1),"Remise invalide",IF(K31="","Taux de TVA manquant",IF(NOT(ISNUMBER(K31)),"Taux de TVA invalide",IF(COUNTIF(p_rates,K31)=0,"Taux de TVA hors liste (Paramètres)",IF(N(O31)&gt;25,"Au-delà de 25 lignes : non imprimée","OK")))))))))))))</f>
        <v/>
      </c>
      <c r="O31" s="59" t="str">
        <f>IF(A31="","",COUNTIF($A$6:A31,A31))</f>
        <v/>
      </c>
      <c r="P31" s="62" t="str">
        <f>IF(A31="","",A31&amp;"|"&amp;O31)</f>
        <v/>
      </c>
    </row>
    <row r="32">
      <c r="A32" s="60" t="n"/>
      <c r="B32" s="63" t="n"/>
      <c r="C32" s="63" t="n"/>
      <c r="D32" s="67" t="n"/>
      <c r="E32" s="68" t="n"/>
      <c r="F32" s="69" t="n"/>
      <c r="G32" s="70" t="n"/>
      <c r="H32" s="62" t="str">
        <f>IF(COUNTA(A32:G32)=0,"",IF(C32&lt;&gt;"",C32,IF(B32="","",IFERROR(INDEX(pr_des,MATCH(B32,pr_code,0))&amp;"",""))))</f>
        <v/>
      </c>
      <c r="I32" s="59" t="str">
        <f>IF(B32="","",IFERROR(INDEX(pr_unit,MATCH(B32,pr_code,0))&amp;"",""))</f>
        <v/>
      </c>
      <c r="J32" s="65" t="str">
        <f>IF(COUNTA(A32:G32)=0,"",IF(E32&lt;&gt;"",E32,IF(B32="","",IFERROR(IF(INDEX(pr_price,MATCH(B32,pr_code,0))="","",INDEX(pr_price,MATCH(B32,pr_code,0))),""))))</f>
        <v/>
      </c>
      <c r="K32" s="71" t="str">
        <f>IF(COUNTA(A32:G32)=0,"",IF(G32&lt;&gt;"",G32,IF(B32="","",IFERROR(IF(INDEX(pr_rate,MATCH(B32,pr_code,0))="","",INDEX(pr_rate,MATCH(B32,pr_code,0))),""))))</f>
        <v/>
      </c>
      <c r="L32" s="65" t="str">
        <f>IF(COUNTA(A32:G32)=0,"",IF(AND(ISNUMBER(D32),ISNUMBER(J32)),ROUND(D32*J32*(1-N(F32)),2),0))</f>
        <v/>
      </c>
      <c r="M32" s="62" t="str">
        <f>IF(A32="","",IFERROR(INDEX(fa_cname,MATCH(A32,fa_num,0))&amp;"",""))</f>
        <v/>
      </c>
      <c r="N32" s="59" t="str">
        <f>IF(COUNTA(A32:G32)=0,"",IF(A32="","N° facture manquant",IF(ISNA(MATCH(A32,fa_num,0)),"Facture inconnue",IF(AND(B32&lt;&gt;"",ISNA(MATCH(B32,pr_code,0))),"Article inconnu",IF(H32="","Désignation manquante",IF(OR(NOT(ISNUMBER(D32)),N(D32)&lt;=0),"Quantité invalide",IF(J32="","Prix manquant",IF(OR(NOT(ISNUMBER(J32)),N(J32)&lt;0),"Prix invalide",IF(OR(AND(F32&lt;&gt;"",NOT(ISNUMBER(F32))),N(F32)&lt;0,N(F32)&gt;1),"Remise invalide",IF(K32="","Taux de TVA manquant",IF(NOT(ISNUMBER(K32)),"Taux de TVA invalide",IF(COUNTIF(p_rates,K32)=0,"Taux de TVA hors liste (Paramètres)",IF(N(O32)&gt;25,"Au-delà de 25 lignes : non imprimée","OK")))))))))))))</f>
        <v/>
      </c>
      <c r="O32" s="59" t="str">
        <f>IF(A32="","",COUNTIF($A$6:A32,A32))</f>
        <v/>
      </c>
      <c r="P32" s="62" t="str">
        <f>IF(A32="","",A32&amp;"|"&amp;O32)</f>
        <v/>
      </c>
    </row>
    <row r="33">
      <c r="A33" s="60" t="n"/>
      <c r="B33" s="63" t="n"/>
      <c r="C33" s="63" t="n"/>
      <c r="D33" s="67" t="n"/>
      <c r="E33" s="68" t="n"/>
      <c r="F33" s="69" t="n"/>
      <c r="G33" s="70" t="n"/>
      <c r="H33" s="62" t="str">
        <f>IF(COUNTA(A33:G33)=0,"",IF(C33&lt;&gt;"",C33,IF(B33="","",IFERROR(INDEX(pr_des,MATCH(B33,pr_code,0))&amp;"",""))))</f>
        <v/>
      </c>
      <c r="I33" s="59" t="str">
        <f>IF(B33="","",IFERROR(INDEX(pr_unit,MATCH(B33,pr_code,0))&amp;"",""))</f>
        <v/>
      </c>
      <c r="J33" s="65" t="str">
        <f>IF(COUNTA(A33:G33)=0,"",IF(E33&lt;&gt;"",E33,IF(B33="","",IFERROR(IF(INDEX(pr_price,MATCH(B33,pr_code,0))="","",INDEX(pr_price,MATCH(B33,pr_code,0))),""))))</f>
        <v/>
      </c>
      <c r="K33" s="71" t="str">
        <f>IF(COUNTA(A33:G33)=0,"",IF(G33&lt;&gt;"",G33,IF(B33="","",IFERROR(IF(INDEX(pr_rate,MATCH(B33,pr_code,0))="","",INDEX(pr_rate,MATCH(B33,pr_code,0))),""))))</f>
        <v/>
      </c>
      <c r="L33" s="65" t="str">
        <f>IF(COUNTA(A33:G33)=0,"",IF(AND(ISNUMBER(D33),ISNUMBER(J33)),ROUND(D33*J33*(1-N(F33)),2),0))</f>
        <v/>
      </c>
      <c r="M33" s="62" t="str">
        <f>IF(A33="","",IFERROR(INDEX(fa_cname,MATCH(A33,fa_num,0))&amp;"",""))</f>
        <v/>
      </c>
      <c r="N33" s="59" t="str">
        <f>IF(COUNTA(A33:G33)=0,"",IF(A33="","N° facture manquant",IF(ISNA(MATCH(A33,fa_num,0)),"Facture inconnue",IF(AND(B33&lt;&gt;"",ISNA(MATCH(B33,pr_code,0))),"Article inconnu",IF(H33="","Désignation manquante",IF(OR(NOT(ISNUMBER(D33)),N(D33)&lt;=0),"Quantité invalide",IF(J33="","Prix manquant",IF(OR(NOT(ISNUMBER(J33)),N(J33)&lt;0),"Prix invalide",IF(OR(AND(F33&lt;&gt;"",NOT(ISNUMBER(F33))),N(F33)&lt;0,N(F33)&gt;1),"Remise invalide",IF(K33="","Taux de TVA manquant",IF(NOT(ISNUMBER(K33)),"Taux de TVA invalide",IF(COUNTIF(p_rates,K33)=0,"Taux de TVA hors liste (Paramètres)",IF(N(O33)&gt;25,"Au-delà de 25 lignes : non imprimée","OK")))))))))))))</f>
        <v/>
      </c>
      <c r="O33" s="59" t="str">
        <f>IF(A33="","",COUNTIF($A$6:A33,A33))</f>
        <v/>
      </c>
      <c r="P33" s="62" t="str">
        <f>IF(A33="","",A33&amp;"|"&amp;O33)</f>
        <v/>
      </c>
    </row>
    <row r="34">
      <c r="A34" s="60" t="n"/>
      <c r="B34" s="63" t="n"/>
      <c r="C34" s="63" t="n"/>
      <c r="D34" s="67" t="n"/>
      <c r="E34" s="68" t="n"/>
      <c r="F34" s="69" t="n"/>
      <c r="G34" s="70" t="n"/>
      <c r="H34" s="62" t="str">
        <f>IF(COUNTA(A34:G34)=0,"",IF(C34&lt;&gt;"",C34,IF(B34="","",IFERROR(INDEX(pr_des,MATCH(B34,pr_code,0))&amp;"",""))))</f>
        <v/>
      </c>
      <c r="I34" s="59" t="str">
        <f>IF(B34="","",IFERROR(INDEX(pr_unit,MATCH(B34,pr_code,0))&amp;"",""))</f>
        <v/>
      </c>
      <c r="J34" s="65" t="str">
        <f>IF(COUNTA(A34:G34)=0,"",IF(E34&lt;&gt;"",E34,IF(B34="","",IFERROR(IF(INDEX(pr_price,MATCH(B34,pr_code,0))="","",INDEX(pr_price,MATCH(B34,pr_code,0))),""))))</f>
        <v/>
      </c>
      <c r="K34" s="71" t="str">
        <f>IF(COUNTA(A34:G34)=0,"",IF(G34&lt;&gt;"",G34,IF(B34="","",IFERROR(IF(INDEX(pr_rate,MATCH(B34,pr_code,0))="","",INDEX(pr_rate,MATCH(B34,pr_code,0))),""))))</f>
        <v/>
      </c>
      <c r="L34" s="65" t="str">
        <f>IF(COUNTA(A34:G34)=0,"",IF(AND(ISNUMBER(D34),ISNUMBER(J34)),ROUND(D34*J34*(1-N(F34)),2),0))</f>
        <v/>
      </c>
      <c r="M34" s="62" t="str">
        <f>IF(A34="","",IFERROR(INDEX(fa_cname,MATCH(A34,fa_num,0))&amp;"",""))</f>
        <v/>
      </c>
      <c r="N34" s="59" t="str">
        <f>IF(COUNTA(A34:G34)=0,"",IF(A34="","N° facture manquant",IF(ISNA(MATCH(A34,fa_num,0)),"Facture inconnue",IF(AND(B34&lt;&gt;"",ISNA(MATCH(B34,pr_code,0))),"Article inconnu",IF(H34="","Désignation manquante",IF(OR(NOT(ISNUMBER(D34)),N(D34)&lt;=0),"Quantité invalide",IF(J34="","Prix manquant",IF(OR(NOT(ISNUMBER(J34)),N(J34)&lt;0),"Prix invalide",IF(OR(AND(F34&lt;&gt;"",NOT(ISNUMBER(F34))),N(F34)&lt;0,N(F34)&gt;1),"Remise invalide",IF(K34="","Taux de TVA manquant",IF(NOT(ISNUMBER(K34)),"Taux de TVA invalide",IF(COUNTIF(p_rates,K34)=0,"Taux de TVA hors liste (Paramètres)",IF(N(O34)&gt;25,"Au-delà de 25 lignes : non imprimée","OK")))))))))))))</f>
        <v/>
      </c>
      <c r="O34" s="59" t="str">
        <f>IF(A34="","",COUNTIF($A$6:A34,A34))</f>
        <v/>
      </c>
      <c r="P34" s="62" t="str">
        <f>IF(A34="","",A34&amp;"|"&amp;O34)</f>
        <v/>
      </c>
    </row>
    <row r="35">
      <c r="A35" s="60" t="n"/>
      <c r="B35" s="63" t="n"/>
      <c r="C35" s="63" t="n"/>
      <c r="D35" s="67" t="n"/>
      <c r="E35" s="68" t="n"/>
      <c r="F35" s="69" t="n"/>
      <c r="G35" s="70" t="n"/>
      <c r="H35" s="62" t="str">
        <f>IF(COUNTA(A35:G35)=0,"",IF(C35&lt;&gt;"",C35,IF(B35="","",IFERROR(INDEX(pr_des,MATCH(B35,pr_code,0))&amp;"",""))))</f>
        <v/>
      </c>
      <c r="I35" s="59" t="str">
        <f>IF(B35="","",IFERROR(INDEX(pr_unit,MATCH(B35,pr_code,0))&amp;"",""))</f>
        <v/>
      </c>
      <c r="J35" s="65" t="str">
        <f>IF(COUNTA(A35:G35)=0,"",IF(E35&lt;&gt;"",E35,IF(B35="","",IFERROR(IF(INDEX(pr_price,MATCH(B35,pr_code,0))="","",INDEX(pr_price,MATCH(B35,pr_code,0))),""))))</f>
        <v/>
      </c>
      <c r="K35" s="71" t="str">
        <f>IF(COUNTA(A35:G35)=0,"",IF(G35&lt;&gt;"",G35,IF(B35="","",IFERROR(IF(INDEX(pr_rate,MATCH(B35,pr_code,0))="","",INDEX(pr_rate,MATCH(B35,pr_code,0))),""))))</f>
        <v/>
      </c>
      <c r="L35" s="65" t="str">
        <f>IF(COUNTA(A35:G35)=0,"",IF(AND(ISNUMBER(D35),ISNUMBER(J35)),ROUND(D35*J35*(1-N(F35)),2),0))</f>
        <v/>
      </c>
      <c r="M35" s="62" t="str">
        <f>IF(A35="","",IFERROR(INDEX(fa_cname,MATCH(A35,fa_num,0))&amp;"",""))</f>
        <v/>
      </c>
      <c r="N35" s="59" t="str">
        <f>IF(COUNTA(A35:G35)=0,"",IF(A35="","N° facture manquant",IF(ISNA(MATCH(A35,fa_num,0)),"Facture inconnue",IF(AND(B35&lt;&gt;"",ISNA(MATCH(B35,pr_code,0))),"Article inconnu",IF(H35="","Désignation manquante",IF(OR(NOT(ISNUMBER(D35)),N(D35)&lt;=0),"Quantité invalide",IF(J35="","Prix manquant",IF(OR(NOT(ISNUMBER(J35)),N(J35)&lt;0),"Prix invalide",IF(OR(AND(F35&lt;&gt;"",NOT(ISNUMBER(F35))),N(F35)&lt;0,N(F35)&gt;1),"Remise invalide",IF(K35="","Taux de TVA manquant",IF(NOT(ISNUMBER(K35)),"Taux de TVA invalide",IF(COUNTIF(p_rates,K35)=0,"Taux de TVA hors liste (Paramètres)",IF(N(O35)&gt;25,"Au-delà de 25 lignes : non imprimée","OK")))))))))))))</f>
        <v/>
      </c>
      <c r="O35" s="59" t="str">
        <f>IF(A35="","",COUNTIF($A$6:A35,A35))</f>
        <v/>
      </c>
      <c r="P35" s="62" t="str">
        <f>IF(A35="","",A35&amp;"|"&amp;O35)</f>
        <v/>
      </c>
    </row>
    <row r="36">
      <c r="A36" s="60" t="n"/>
      <c r="B36" s="63" t="n"/>
      <c r="C36" s="63" t="n"/>
      <c r="D36" s="67" t="n"/>
      <c r="E36" s="68" t="n"/>
      <c r="F36" s="69" t="n"/>
      <c r="G36" s="70" t="n"/>
      <c r="H36" s="62" t="str">
        <f>IF(COUNTA(A36:G36)=0,"",IF(C36&lt;&gt;"",C36,IF(B36="","",IFERROR(INDEX(pr_des,MATCH(B36,pr_code,0))&amp;"",""))))</f>
        <v/>
      </c>
      <c r="I36" s="59" t="str">
        <f>IF(B36="","",IFERROR(INDEX(pr_unit,MATCH(B36,pr_code,0))&amp;"",""))</f>
        <v/>
      </c>
      <c r="J36" s="65" t="str">
        <f>IF(COUNTA(A36:G36)=0,"",IF(E36&lt;&gt;"",E36,IF(B36="","",IFERROR(IF(INDEX(pr_price,MATCH(B36,pr_code,0))="","",INDEX(pr_price,MATCH(B36,pr_code,0))),""))))</f>
        <v/>
      </c>
      <c r="K36" s="71" t="str">
        <f>IF(COUNTA(A36:G36)=0,"",IF(G36&lt;&gt;"",G36,IF(B36="","",IFERROR(IF(INDEX(pr_rate,MATCH(B36,pr_code,0))="","",INDEX(pr_rate,MATCH(B36,pr_code,0))),""))))</f>
        <v/>
      </c>
      <c r="L36" s="65" t="str">
        <f>IF(COUNTA(A36:G36)=0,"",IF(AND(ISNUMBER(D36),ISNUMBER(J36)),ROUND(D36*J36*(1-N(F36)),2),0))</f>
        <v/>
      </c>
      <c r="M36" s="62" t="str">
        <f>IF(A36="","",IFERROR(INDEX(fa_cname,MATCH(A36,fa_num,0))&amp;"",""))</f>
        <v/>
      </c>
      <c r="N36" s="59" t="str">
        <f>IF(COUNTA(A36:G36)=0,"",IF(A36="","N° facture manquant",IF(ISNA(MATCH(A36,fa_num,0)),"Facture inconnue",IF(AND(B36&lt;&gt;"",ISNA(MATCH(B36,pr_code,0))),"Article inconnu",IF(H36="","Désignation manquante",IF(OR(NOT(ISNUMBER(D36)),N(D36)&lt;=0),"Quantité invalide",IF(J36="","Prix manquant",IF(OR(NOT(ISNUMBER(J36)),N(J36)&lt;0),"Prix invalide",IF(OR(AND(F36&lt;&gt;"",NOT(ISNUMBER(F36))),N(F36)&lt;0,N(F36)&gt;1),"Remise invalide",IF(K36="","Taux de TVA manquant",IF(NOT(ISNUMBER(K36)),"Taux de TVA invalide",IF(COUNTIF(p_rates,K36)=0,"Taux de TVA hors liste (Paramètres)",IF(N(O36)&gt;25,"Au-delà de 25 lignes : non imprimée","OK")))))))))))))</f>
        <v/>
      </c>
      <c r="O36" s="59" t="str">
        <f>IF(A36="","",COUNTIF($A$6:A36,A36))</f>
        <v/>
      </c>
      <c r="P36" s="62" t="str">
        <f>IF(A36="","",A36&amp;"|"&amp;O36)</f>
        <v/>
      </c>
    </row>
    <row r="37">
      <c r="A37" s="60" t="n"/>
      <c r="B37" s="63" t="n"/>
      <c r="C37" s="63" t="n"/>
      <c r="D37" s="67" t="n"/>
      <c r="E37" s="68" t="n"/>
      <c r="F37" s="69" t="n"/>
      <c r="G37" s="70" t="n"/>
      <c r="H37" s="62" t="str">
        <f>IF(COUNTA(A37:G37)=0,"",IF(C37&lt;&gt;"",C37,IF(B37="","",IFERROR(INDEX(pr_des,MATCH(B37,pr_code,0))&amp;"",""))))</f>
        <v/>
      </c>
      <c r="I37" s="59" t="str">
        <f>IF(B37="","",IFERROR(INDEX(pr_unit,MATCH(B37,pr_code,0))&amp;"",""))</f>
        <v/>
      </c>
      <c r="J37" s="65" t="str">
        <f>IF(COUNTA(A37:G37)=0,"",IF(E37&lt;&gt;"",E37,IF(B37="","",IFERROR(IF(INDEX(pr_price,MATCH(B37,pr_code,0))="","",INDEX(pr_price,MATCH(B37,pr_code,0))),""))))</f>
        <v/>
      </c>
      <c r="K37" s="71" t="str">
        <f>IF(COUNTA(A37:G37)=0,"",IF(G37&lt;&gt;"",G37,IF(B37="","",IFERROR(IF(INDEX(pr_rate,MATCH(B37,pr_code,0))="","",INDEX(pr_rate,MATCH(B37,pr_code,0))),""))))</f>
        <v/>
      </c>
      <c r="L37" s="65" t="str">
        <f>IF(COUNTA(A37:G37)=0,"",IF(AND(ISNUMBER(D37),ISNUMBER(J37)),ROUND(D37*J37*(1-N(F37)),2),0))</f>
        <v/>
      </c>
      <c r="M37" s="62" t="str">
        <f>IF(A37="","",IFERROR(INDEX(fa_cname,MATCH(A37,fa_num,0))&amp;"",""))</f>
        <v/>
      </c>
      <c r="N37" s="59" t="str">
        <f>IF(COUNTA(A37:G37)=0,"",IF(A37="","N° facture manquant",IF(ISNA(MATCH(A37,fa_num,0)),"Facture inconnue",IF(AND(B37&lt;&gt;"",ISNA(MATCH(B37,pr_code,0))),"Article inconnu",IF(H37="","Désignation manquante",IF(OR(NOT(ISNUMBER(D37)),N(D37)&lt;=0),"Quantité invalide",IF(J37="","Prix manquant",IF(OR(NOT(ISNUMBER(J37)),N(J37)&lt;0),"Prix invalide",IF(OR(AND(F37&lt;&gt;"",NOT(ISNUMBER(F37))),N(F37)&lt;0,N(F37)&gt;1),"Remise invalide",IF(K37="","Taux de TVA manquant",IF(NOT(ISNUMBER(K37)),"Taux de TVA invalide",IF(COUNTIF(p_rates,K37)=0,"Taux de TVA hors liste (Paramètres)",IF(N(O37)&gt;25,"Au-delà de 25 lignes : non imprimée","OK")))))))))))))</f>
        <v/>
      </c>
      <c r="O37" s="59" t="str">
        <f>IF(A37="","",COUNTIF($A$6:A37,A37))</f>
        <v/>
      </c>
      <c r="P37" s="62" t="str">
        <f>IF(A37="","",A37&amp;"|"&amp;O37)</f>
        <v/>
      </c>
    </row>
    <row r="38">
      <c r="A38" s="60" t="n"/>
      <c r="B38" s="63" t="n"/>
      <c r="C38" s="63" t="n"/>
      <c r="D38" s="67" t="n"/>
      <c r="E38" s="68" t="n"/>
      <c r="F38" s="69" t="n"/>
      <c r="G38" s="70" t="n"/>
      <c r="H38" s="62" t="str">
        <f>IF(COUNTA(A38:G38)=0,"",IF(C38&lt;&gt;"",C38,IF(B38="","",IFERROR(INDEX(pr_des,MATCH(B38,pr_code,0))&amp;"",""))))</f>
        <v/>
      </c>
      <c r="I38" s="59" t="str">
        <f>IF(B38="","",IFERROR(INDEX(pr_unit,MATCH(B38,pr_code,0))&amp;"",""))</f>
        <v/>
      </c>
      <c r="J38" s="65" t="str">
        <f>IF(COUNTA(A38:G38)=0,"",IF(E38&lt;&gt;"",E38,IF(B38="","",IFERROR(IF(INDEX(pr_price,MATCH(B38,pr_code,0))="","",INDEX(pr_price,MATCH(B38,pr_code,0))),""))))</f>
        <v/>
      </c>
      <c r="K38" s="71" t="str">
        <f>IF(COUNTA(A38:G38)=0,"",IF(G38&lt;&gt;"",G38,IF(B38="","",IFERROR(IF(INDEX(pr_rate,MATCH(B38,pr_code,0))="","",INDEX(pr_rate,MATCH(B38,pr_code,0))),""))))</f>
        <v/>
      </c>
      <c r="L38" s="65" t="str">
        <f>IF(COUNTA(A38:G38)=0,"",IF(AND(ISNUMBER(D38),ISNUMBER(J38)),ROUND(D38*J38*(1-N(F38)),2),0))</f>
        <v/>
      </c>
      <c r="M38" s="62" t="str">
        <f>IF(A38="","",IFERROR(INDEX(fa_cname,MATCH(A38,fa_num,0))&amp;"",""))</f>
        <v/>
      </c>
      <c r="N38" s="59" t="str">
        <f>IF(COUNTA(A38:G38)=0,"",IF(A38="","N° facture manquant",IF(ISNA(MATCH(A38,fa_num,0)),"Facture inconnue",IF(AND(B38&lt;&gt;"",ISNA(MATCH(B38,pr_code,0))),"Article inconnu",IF(H38="","Désignation manquante",IF(OR(NOT(ISNUMBER(D38)),N(D38)&lt;=0),"Quantité invalide",IF(J38="","Prix manquant",IF(OR(NOT(ISNUMBER(J38)),N(J38)&lt;0),"Prix invalide",IF(OR(AND(F38&lt;&gt;"",NOT(ISNUMBER(F38))),N(F38)&lt;0,N(F38)&gt;1),"Remise invalide",IF(K38="","Taux de TVA manquant",IF(NOT(ISNUMBER(K38)),"Taux de TVA invalide",IF(COUNTIF(p_rates,K38)=0,"Taux de TVA hors liste (Paramètres)",IF(N(O38)&gt;25,"Au-delà de 25 lignes : non imprimée","OK")))))))))))))</f>
        <v/>
      </c>
      <c r="O38" s="59" t="str">
        <f>IF(A38="","",COUNTIF($A$6:A38,A38))</f>
        <v/>
      </c>
      <c r="P38" s="62" t="str">
        <f>IF(A38="","",A38&amp;"|"&amp;O38)</f>
        <v/>
      </c>
    </row>
    <row r="39">
      <c r="A39" s="60" t="n"/>
      <c r="B39" s="63" t="n"/>
      <c r="C39" s="63" t="n"/>
      <c r="D39" s="67" t="n"/>
      <c r="E39" s="68" t="n"/>
      <c r="F39" s="69" t="n"/>
      <c r="G39" s="70" t="n"/>
      <c r="H39" s="62" t="str">
        <f>IF(COUNTA(A39:G39)=0,"",IF(C39&lt;&gt;"",C39,IF(B39="","",IFERROR(INDEX(pr_des,MATCH(B39,pr_code,0))&amp;"",""))))</f>
        <v/>
      </c>
      <c r="I39" s="59" t="str">
        <f>IF(B39="","",IFERROR(INDEX(pr_unit,MATCH(B39,pr_code,0))&amp;"",""))</f>
        <v/>
      </c>
      <c r="J39" s="65" t="str">
        <f>IF(COUNTA(A39:G39)=0,"",IF(E39&lt;&gt;"",E39,IF(B39="","",IFERROR(IF(INDEX(pr_price,MATCH(B39,pr_code,0))="","",INDEX(pr_price,MATCH(B39,pr_code,0))),""))))</f>
        <v/>
      </c>
      <c r="K39" s="71" t="str">
        <f>IF(COUNTA(A39:G39)=0,"",IF(G39&lt;&gt;"",G39,IF(B39="","",IFERROR(IF(INDEX(pr_rate,MATCH(B39,pr_code,0))="","",INDEX(pr_rate,MATCH(B39,pr_code,0))),""))))</f>
        <v/>
      </c>
      <c r="L39" s="65" t="str">
        <f>IF(COUNTA(A39:G39)=0,"",IF(AND(ISNUMBER(D39),ISNUMBER(J39)),ROUND(D39*J39*(1-N(F39)),2),0))</f>
        <v/>
      </c>
      <c r="M39" s="62" t="str">
        <f>IF(A39="","",IFERROR(INDEX(fa_cname,MATCH(A39,fa_num,0))&amp;"",""))</f>
        <v/>
      </c>
      <c r="N39" s="59" t="str">
        <f>IF(COUNTA(A39:G39)=0,"",IF(A39="","N° facture manquant",IF(ISNA(MATCH(A39,fa_num,0)),"Facture inconnue",IF(AND(B39&lt;&gt;"",ISNA(MATCH(B39,pr_code,0))),"Article inconnu",IF(H39="","Désignation manquante",IF(OR(NOT(ISNUMBER(D39)),N(D39)&lt;=0),"Quantité invalide",IF(J39="","Prix manquant",IF(OR(NOT(ISNUMBER(J39)),N(J39)&lt;0),"Prix invalide",IF(OR(AND(F39&lt;&gt;"",NOT(ISNUMBER(F39))),N(F39)&lt;0,N(F39)&gt;1),"Remise invalide",IF(K39="","Taux de TVA manquant",IF(NOT(ISNUMBER(K39)),"Taux de TVA invalide",IF(COUNTIF(p_rates,K39)=0,"Taux de TVA hors liste (Paramètres)",IF(N(O39)&gt;25,"Au-delà de 25 lignes : non imprimée","OK")))))))))))))</f>
        <v/>
      </c>
      <c r="O39" s="59" t="str">
        <f>IF(A39="","",COUNTIF($A$6:A39,A39))</f>
        <v/>
      </c>
      <c r="P39" s="62" t="str">
        <f>IF(A39="","",A39&amp;"|"&amp;O39)</f>
        <v/>
      </c>
    </row>
    <row r="40">
      <c r="A40" s="60" t="n"/>
      <c r="B40" s="63" t="n"/>
      <c r="C40" s="63" t="n"/>
      <c r="D40" s="67" t="n"/>
      <c r="E40" s="68" t="n"/>
      <c r="F40" s="69" t="n"/>
      <c r="G40" s="70" t="n"/>
      <c r="H40" s="62" t="str">
        <f>IF(COUNTA(A40:G40)=0,"",IF(C40&lt;&gt;"",C40,IF(B40="","",IFERROR(INDEX(pr_des,MATCH(B40,pr_code,0))&amp;"",""))))</f>
        <v/>
      </c>
      <c r="I40" s="59" t="str">
        <f>IF(B40="","",IFERROR(INDEX(pr_unit,MATCH(B40,pr_code,0))&amp;"",""))</f>
        <v/>
      </c>
      <c r="J40" s="65" t="str">
        <f>IF(COUNTA(A40:G40)=0,"",IF(E40&lt;&gt;"",E40,IF(B40="","",IFERROR(IF(INDEX(pr_price,MATCH(B40,pr_code,0))="","",INDEX(pr_price,MATCH(B40,pr_code,0))),""))))</f>
        <v/>
      </c>
      <c r="K40" s="71" t="str">
        <f>IF(COUNTA(A40:G40)=0,"",IF(G40&lt;&gt;"",G40,IF(B40="","",IFERROR(IF(INDEX(pr_rate,MATCH(B40,pr_code,0))="","",INDEX(pr_rate,MATCH(B40,pr_code,0))),""))))</f>
        <v/>
      </c>
      <c r="L40" s="65" t="str">
        <f>IF(COUNTA(A40:G40)=0,"",IF(AND(ISNUMBER(D40),ISNUMBER(J40)),ROUND(D40*J40*(1-N(F40)),2),0))</f>
        <v/>
      </c>
      <c r="M40" s="62" t="str">
        <f>IF(A40="","",IFERROR(INDEX(fa_cname,MATCH(A40,fa_num,0))&amp;"",""))</f>
        <v/>
      </c>
      <c r="N40" s="59" t="str">
        <f>IF(COUNTA(A40:G40)=0,"",IF(A40="","N° facture manquant",IF(ISNA(MATCH(A40,fa_num,0)),"Facture inconnue",IF(AND(B40&lt;&gt;"",ISNA(MATCH(B40,pr_code,0))),"Article inconnu",IF(H40="","Désignation manquante",IF(OR(NOT(ISNUMBER(D40)),N(D40)&lt;=0),"Quantité invalide",IF(J40="","Prix manquant",IF(OR(NOT(ISNUMBER(J40)),N(J40)&lt;0),"Prix invalide",IF(OR(AND(F40&lt;&gt;"",NOT(ISNUMBER(F40))),N(F40)&lt;0,N(F40)&gt;1),"Remise invalide",IF(K40="","Taux de TVA manquant",IF(NOT(ISNUMBER(K40)),"Taux de TVA invalide",IF(COUNTIF(p_rates,K40)=0,"Taux de TVA hors liste (Paramètres)",IF(N(O40)&gt;25,"Au-delà de 25 lignes : non imprimée","OK")))))))))))))</f>
        <v/>
      </c>
      <c r="O40" s="59" t="str">
        <f>IF(A40="","",COUNTIF($A$6:A40,A40))</f>
        <v/>
      </c>
      <c r="P40" s="62" t="str">
        <f>IF(A40="","",A40&amp;"|"&amp;O40)</f>
        <v/>
      </c>
    </row>
    <row r="41">
      <c r="A41" s="60" t="n"/>
      <c r="B41" s="63" t="n"/>
      <c r="C41" s="63" t="n"/>
      <c r="D41" s="67" t="n"/>
      <c r="E41" s="68" t="n"/>
      <c r="F41" s="69" t="n"/>
      <c r="G41" s="70" t="n"/>
      <c r="H41" s="62" t="str">
        <f>IF(COUNTA(A41:G41)=0,"",IF(C41&lt;&gt;"",C41,IF(B41="","",IFERROR(INDEX(pr_des,MATCH(B41,pr_code,0))&amp;"",""))))</f>
        <v/>
      </c>
      <c r="I41" s="59" t="str">
        <f>IF(B41="","",IFERROR(INDEX(pr_unit,MATCH(B41,pr_code,0))&amp;"",""))</f>
        <v/>
      </c>
      <c r="J41" s="65" t="str">
        <f>IF(COUNTA(A41:G41)=0,"",IF(E41&lt;&gt;"",E41,IF(B41="","",IFERROR(IF(INDEX(pr_price,MATCH(B41,pr_code,0))="","",INDEX(pr_price,MATCH(B41,pr_code,0))),""))))</f>
        <v/>
      </c>
      <c r="K41" s="71" t="str">
        <f>IF(COUNTA(A41:G41)=0,"",IF(G41&lt;&gt;"",G41,IF(B41="","",IFERROR(IF(INDEX(pr_rate,MATCH(B41,pr_code,0))="","",INDEX(pr_rate,MATCH(B41,pr_code,0))),""))))</f>
        <v/>
      </c>
      <c r="L41" s="65" t="str">
        <f>IF(COUNTA(A41:G41)=0,"",IF(AND(ISNUMBER(D41),ISNUMBER(J41)),ROUND(D41*J41*(1-N(F41)),2),0))</f>
        <v/>
      </c>
      <c r="M41" s="62" t="str">
        <f>IF(A41="","",IFERROR(INDEX(fa_cname,MATCH(A41,fa_num,0))&amp;"",""))</f>
        <v/>
      </c>
      <c r="N41" s="59" t="str">
        <f>IF(COUNTA(A41:G41)=0,"",IF(A41="","N° facture manquant",IF(ISNA(MATCH(A41,fa_num,0)),"Facture inconnue",IF(AND(B41&lt;&gt;"",ISNA(MATCH(B41,pr_code,0))),"Article inconnu",IF(H41="","Désignation manquante",IF(OR(NOT(ISNUMBER(D41)),N(D41)&lt;=0),"Quantité invalide",IF(J41="","Prix manquant",IF(OR(NOT(ISNUMBER(J41)),N(J41)&lt;0),"Prix invalide",IF(OR(AND(F41&lt;&gt;"",NOT(ISNUMBER(F41))),N(F41)&lt;0,N(F41)&gt;1),"Remise invalide",IF(K41="","Taux de TVA manquant",IF(NOT(ISNUMBER(K41)),"Taux de TVA invalide",IF(COUNTIF(p_rates,K41)=0,"Taux de TVA hors liste (Paramètres)",IF(N(O41)&gt;25,"Au-delà de 25 lignes : non imprimée","OK")))))))))))))</f>
        <v/>
      </c>
      <c r="O41" s="59" t="str">
        <f>IF(A41="","",COUNTIF($A$6:A41,A41))</f>
        <v/>
      </c>
      <c r="P41" s="62" t="str">
        <f>IF(A41="","",A41&amp;"|"&amp;O41)</f>
        <v/>
      </c>
    </row>
    <row r="42">
      <c r="A42" s="60" t="n"/>
      <c r="B42" s="63" t="n"/>
      <c r="C42" s="63" t="n"/>
      <c r="D42" s="67" t="n"/>
      <c r="E42" s="68" t="n"/>
      <c r="F42" s="69" t="n"/>
      <c r="G42" s="70" t="n"/>
      <c r="H42" s="62" t="str">
        <f>IF(COUNTA(A42:G42)=0,"",IF(C42&lt;&gt;"",C42,IF(B42="","",IFERROR(INDEX(pr_des,MATCH(B42,pr_code,0))&amp;"",""))))</f>
        <v/>
      </c>
      <c r="I42" s="59" t="str">
        <f>IF(B42="","",IFERROR(INDEX(pr_unit,MATCH(B42,pr_code,0))&amp;"",""))</f>
        <v/>
      </c>
      <c r="J42" s="65" t="str">
        <f>IF(COUNTA(A42:G42)=0,"",IF(E42&lt;&gt;"",E42,IF(B42="","",IFERROR(IF(INDEX(pr_price,MATCH(B42,pr_code,0))="","",INDEX(pr_price,MATCH(B42,pr_code,0))),""))))</f>
        <v/>
      </c>
      <c r="K42" s="71" t="str">
        <f>IF(COUNTA(A42:G42)=0,"",IF(G42&lt;&gt;"",G42,IF(B42="","",IFERROR(IF(INDEX(pr_rate,MATCH(B42,pr_code,0))="","",INDEX(pr_rate,MATCH(B42,pr_code,0))),""))))</f>
        <v/>
      </c>
      <c r="L42" s="65" t="str">
        <f>IF(COUNTA(A42:G42)=0,"",IF(AND(ISNUMBER(D42),ISNUMBER(J42)),ROUND(D42*J42*(1-N(F42)),2),0))</f>
        <v/>
      </c>
      <c r="M42" s="62" t="str">
        <f>IF(A42="","",IFERROR(INDEX(fa_cname,MATCH(A42,fa_num,0))&amp;"",""))</f>
        <v/>
      </c>
      <c r="N42" s="59" t="str">
        <f>IF(COUNTA(A42:G42)=0,"",IF(A42="","N° facture manquant",IF(ISNA(MATCH(A42,fa_num,0)),"Facture inconnue",IF(AND(B42&lt;&gt;"",ISNA(MATCH(B42,pr_code,0))),"Article inconnu",IF(H42="","Désignation manquante",IF(OR(NOT(ISNUMBER(D42)),N(D42)&lt;=0),"Quantité invalide",IF(J42="","Prix manquant",IF(OR(NOT(ISNUMBER(J42)),N(J42)&lt;0),"Prix invalide",IF(OR(AND(F42&lt;&gt;"",NOT(ISNUMBER(F42))),N(F42)&lt;0,N(F42)&gt;1),"Remise invalide",IF(K42="","Taux de TVA manquant",IF(NOT(ISNUMBER(K42)),"Taux de TVA invalide",IF(COUNTIF(p_rates,K42)=0,"Taux de TVA hors liste (Paramètres)",IF(N(O42)&gt;25,"Au-delà de 25 lignes : non imprimée","OK")))))))))))))</f>
        <v/>
      </c>
      <c r="O42" s="59" t="str">
        <f>IF(A42="","",COUNTIF($A$6:A42,A42))</f>
        <v/>
      </c>
      <c r="P42" s="62" t="str">
        <f>IF(A42="","",A42&amp;"|"&amp;O42)</f>
        <v/>
      </c>
    </row>
    <row r="43">
      <c r="A43" s="60" t="n"/>
      <c r="B43" s="63" t="n"/>
      <c r="C43" s="63" t="n"/>
      <c r="D43" s="67" t="n"/>
      <c r="E43" s="68" t="n"/>
      <c r="F43" s="69" t="n"/>
      <c r="G43" s="70" t="n"/>
      <c r="H43" s="62" t="str">
        <f>IF(COUNTA(A43:G43)=0,"",IF(C43&lt;&gt;"",C43,IF(B43="","",IFERROR(INDEX(pr_des,MATCH(B43,pr_code,0))&amp;"",""))))</f>
        <v/>
      </c>
      <c r="I43" s="59" t="str">
        <f>IF(B43="","",IFERROR(INDEX(pr_unit,MATCH(B43,pr_code,0))&amp;"",""))</f>
        <v/>
      </c>
      <c r="J43" s="65" t="str">
        <f>IF(COUNTA(A43:G43)=0,"",IF(E43&lt;&gt;"",E43,IF(B43="","",IFERROR(IF(INDEX(pr_price,MATCH(B43,pr_code,0))="","",INDEX(pr_price,MATCH(B43,pr_code,0))),""))))</f>
        <v/>
      </c>
      <c r="K43" s="71" t="str">
        <f>IF(COUNTA(A43:G43)=0,"",IF(G43&lt;&gt;"",G43,IF(B43="","",IFERROR(IF(INDEX(pr_rate,MATCH(B43,pr_code,0))="","",INDEX(pr_rate,MATCH(B43,pr_code,0))),""))))</f>
        <v/>
      </c>
      <c r="L43" s="65" t="str">
        <f>IF(COUNTA(A43:G43)=0,"",IF(AND(ISNUMBER(D43),ISNUMBER(J43)),ROUND(D43*J43*(1-N(F43)),2),0))</f>
        <v/>
      </c>
      <c r="M43" s="62" t="str">
        <f>IF(A43="","",IFERROR(INDEX(fa_cname,MATCH(A43,fa_num,0))&amp;"",""))</f>
        <v/>
      </c>
      <c r="N43" s="59" t="str">
        <f>IF(COUNTA(A43:G43)=0,"",IF(A43="","N° facture manquant",IF(ISNA(MATCH(A43,fa_num,0)),"Facture inconnue",IF(AND(B43&lt;&gt;"",ISNA(MATCH(B43,pr_code,0))),"Article inconnu",IF(H43="","Désignation manquante",IF(OR(NOT(ISNUMBER(D43)),N(D43)&lt;=0),"Quantité invalide",IF(J43="","Prix manquant",IF(OR(NOT(ISNUMBER(J43)),N(J43)&lt;0),"Prix invalide",IF(OR(AND(F43&lt;&gt;"",NOT(ISNUMBER(F43))),N(F43)&lt;0,N(F43)&gt;1),"Remise invalide",IF(K43="","Taux de TVA manquant",IF(NOT(ISNUMBER(K43)),"Taux de TVA invalide",IF(COUNTIF(p_rates,K43)=0,"Taux de TVA hors liste (Paramètres)",IF(N(O43)&gt;25,"Au-delà de 25 lignes : non imprimée","OK")))))))))))))</f>
        <v/>
      </c>
      <c r="O43" s="59" t="str">
        <f>IF(A43="","",COUNTIF($A$6:A43,A43))</f>
        <v/>
      </c>
      <c r="P43" s="62" t="str">
        <f>IF(A43="","",A43&amp;"|"&amp;O43)</f>
        <v/>
      </c>
    </row>
    <row r="44">
      <c r="A44" s="60" t="n"/>
      <c r="B44" s="63" t="n"/>
      <c r="C44" s="63" t="n"/>
      <c r="D44" s="67" t="n"/>
      <c r="E44" s="68" t="n"/>
      <c r="F44" s="69" t="n"/>
      <c r="G44" s="70" t="n"/>
      <c r="H44" s="62" t="str">
        <f>IF(COUNTA(A44:G44)=0,"",IF(C44&lt;&gt;"",C44,IF(B44="","",IFERROR(INDEX(pr_des,MATCH(B44,pr_code,0))&amp;"",""))))</f>
        <v/>
      </c>
      <c r="I44" s="59" t="str">
        <f>IF(B44="","",IFERROR(INDEX(pr_unit,MATCH(B44,pr_code,0))&amp;"",""))</f>
        <v/>
      </c>
      <c r="J44" s="65" t="str">
        <f>IF(COUNTA(A44:G44)=0,"",IF(E44&lt;&gt;"",E44,IF(B44="","",IFERROR(IF(INDEX(pr_price,MATCH(B44,pr_code,0))="","",INDEX(pr_price,MATCH(B44,pr_code,0))),""))))</f>
        <v/>
      </c>
      <c r="K44" s="71" t="str">
        <f>IF(COUNTA(A44:G44)=0,"",IF(G44&lt;&gt;"",G44,IF(B44="","",IFERROR(IF(INDEX(pr_rate,MATCH(B44,pr_code,0))="","",INDEX(pr_rate,MATCH(B44,pr_code,0))),""))))</f>
        <v/>
      </c>
      <c r="L44" s="65" t="str">
        <f>IF(COUNTA(A44:G44)=0,"",IF(AND(ISNUMBER(D44),ISNUMBER(J44)),ROUND(D44*J44*(1-N(F44)),2),0))</f>
        <v/>
      </c>
      <c r="M44" s="62" t="str">
        <f>IF(A44="","",IFERROR(INDEX(fa_cname,MATCH(A44,fa_num,0))&amp;"",""))</f>
        <v/>
      </c>
      <c r="N44" s="59" t="str">
        <f>IF(COUNTA(A44:G44)=0,"",IF(A44="","N° facture manquant",IF(ISNA(MATCH(A44,fa_num,0)),"Facture inconnue",IF(AND(B44&lt;&gt;"",ISNA(MATCH(B44,pr_code,0))),"Article inconnu",IF(H44="","Désignation manquante",IF(OR(NOT(ISNUMBER(D44)),N(D44)&lt;=0),"Quantité invalide",IF(J44="","Prix manquant",IF(OR(NOT(ISNUMBER(J44)),N(J44)&lt;0),"Prix invalide",IF(OR(AND(F44&lt;&gt;"",NOT(ISNUMBER(F44))),N(F44)&lt;0,N(F44)&gt;1),"Remise invalide",IF(K44="","Taux de TVA manquant",IF(NOT(ISNUMBER(K44)),"Taux de TVA invalide",IF(COUNTIF(p_rates,K44)=0,"Taux de TVA hors liste (Paramètres)",IF(N(O44)&gt;25,"Au-delà de 25 lignes : non imprimée","OK")))))))))))))</f>
        <v/>
      </c>
      <c r="O44" s="59" t="str">
        <f>IF(A44="","",COUNTIF($A$6:A44,A44))</f>
        <v/>
      </c>
      <c r="P44" s="62" t="str">
        <f>IF(A44="","",A44&amp;"|"&amp;O44)</f>
        <v/>
      </c>
    </row>
    <row r="45">
      <c r="A45" s="60" t="n"/>
      <c r="B45" s="63" t="n"/>
      <c r="C45" s="63" t="n"/>
      <c r="D45" s="67" t="n"/>
      <c r="E45" s="68" t="n"/>
      <c r="F45" s="69" t="n"/>
      <c r="G45" s="70" t="n"/>
      <c r="H45" s="62" t="str">
        <f>IF(COUNTA(A45:G45)=0,"",IF(C45&lt;&gt;"",C45,IF(B45="","",IFERROR(INDEX(pr_des,MATCH(B45,pr_code,0))&amp;"",""))))</f>
        <v/>
      </c>
      <c r="I45" s="59" t="str">
        <f>IF(B45="","",IFERROR(INDEX(pr_unit,MATCH(B45,pr_code,0))&amp;"",""))</f>
        <v/>
      </c>
      <c r="J45" s="65" t="str">
        <f>IF(COUNTA(A45:G45)=0,"",IF(E45&lt;&gt;"",E45,IF(B45="","",IFERROR(IF(INDEX(pr_price,MATCH(B45,pr_code,0))="","",INDEX(pr_price,MATCH(B45,pr_code,0))),""))))</f>
        <v/>
      </c>
      <c r="K45" s="71" t="str">
        <f>IF(COUNTA(A45:G45)=0,"",IF(G45&lt;&gt;"",G45,IF(B45="","",IFERROR(IF(INDEX(pr_rate,MATCH(B45,pr_code,0))="","",INDEX(pr_rate,MATCH(B45,pr_code,0))),""))))</f>
        <v/>
      </c>
      <c r="L45" s="65" t="str">
        <f>IF(COUNTA(A45:G45)=0,"",IF(AND(ISNUMBER(D45),ISNUMBER(J45)),ROUND(D45*J45*(1-N(F45)),2),0))</f>
        <v/>
      </c>
      <c r="M45" s="62" t="str">
        <f>IF(A45="","",IFERROR(INDEX(fa_cname,MATCH(A45,fa_num,0))&amp;"",""))</f>
        <v/>
      </c>
      <c r="N45" s="59" t="str">
        <f>IF(COUNTA(A45:G45)=0,"",IF(A45="","N° facture manquant",IF(ISNA(MATCH(A45,fa_num,0)),"Facture inconnue",IF(AND(B45&lt;&gt;"",ISNA(MATCH(B45,pr_code,0))),"Article inconnu",IF(H45="","Désignation manquante",IF(OR(NOT(ISNUMBER(D45)),N(D45)&lt;=0),"Quantité invalide",IF(J45="","Prix manquant",IF(OR(NOT(ISNUMBER(J45)),N(J45)&lt;0),"Prix invalide",IF(OR(AND(F45&lt;&gt;"",NOT(ISNUMBER(F45))),N(F45)&lt;0,N(F45)&gt;1),"Remise invalide",IF(K45="","Taux de TVA manquant",IF(NOT(ISNUMBER(K45)),"Taux de TVA invalide",IF(COUNTIF(p_rates,K45)=0,"Taux de TVA hors liste (Paramètres)",IF(N(O45)&gt;25,"Au-delà de 25 lignes : non imprimée","OK")))))))))))))</f>
        <v/>
      </c>
      <c r="O45" s="59" t="str">
        <f>IF(A45="","",COUNTIF($A$6:A45,A45))</f>
        <v/>
      </c>
      <c r="P45" s="62" t="str">
        <f>IF(A45="","",A45&amp;"|"&amp;O45)</f>
        <v/>
      </c>
    </row>
    <row r="46">
      <c r="A46" s="60" t="n"/>
      <c r="B46" s="63" t="n"/>
      <c r="C46" s="63" t="n"/>
      <c r="D46" s="67" t="n"/>
      <c r="E46" s="68" t="n"/>
      <c r="F46" s="69" t="n"/>
      <c r="G46" s="70" t="n"/>
      <c r="H46" s="62" t="str">
        <f>IF(COUNTA(A46:G46)=0,"",IF(C46&lt;&gt;"",C46,IF(B46="","",IFERROR(INDEX(pr_des,MATCH(B46,pr_code,0))&amp;"",""))))</f>
        <v/>
      </c>
      <c r="I46" s="59" t="str">
        <f>IF(B46="","",IFERROR(INDEX(pr_unit,MATCH(B46,pr_code,0))&amp;"",""))</f>
        <v/>
      </c>
      <c r="J46" s="65" t="str">
        <f>IF(COUNTA(A46:G46)=0,"",IF(E46&lt;&gt;"",E46,IF(B46="","",IFERROR(IF(INDEX(pr_price,MATCH(B46,pr_code,0))="","",INDEX(pr_price,MATCH(B46,pr_code,0))),""))))</f>
        <v/>
      </c>
      <c r="K46" s="71" t="str">
        <f>IF(COUNTA(A46:G46)=0,"",IF(G46&lt;&gt;"",G46,IF(B46="","",IFERROR(IF(INDEX(pr_rate,MATCH(B46,pr_code,0))="","",INDEX(pr_rate,MATCH(B46,pr_code,0))),""))))</f>
        <v/>
      </c>
      <c r="L46" s="65" t="str">
        <f>IF(COUNTA(A46:G46)=0,"",IF(AND(ISNUMBER(D46),ISNUMBER(J46)),ROUND(D46*J46*(1-N(F46)),2),0))</f>
        <v/>
      </c>
      <c r="M46" s="62" t="str">
        <f>IF(A46="","",IFERROR(INDEX(fa_cname,MATCH(A46,fa_num,0))&amp;"",""))</f>
        <v/>
      </c>
      <c r="N46" s="59" t="str">
        <f>IF(COUNTA(A46:G46)=0,"",IF(A46="","N° facture manquant",IF(ISNA(MATCH(A46,fa_num,0)),"Facture inconnue",IF(AND(B46&lt;&gt;"",ISNA(MATCH(B46,pr_code,0))),"Article inconnu",IF(H46="","Désignation manquante",IF(OR(NOT(ISNUMBER(D46)),N(D46)&lt;=0),"Quantité invalide",IF(J46="","Prix manquant",IF(OR(NOT(ISNUMBER(J46)),N(J46)&lt;0),"Prix invalide",IF(OR(AND(F46&lt;&gt;"",NOT(ISNUMBER(F46))),N(F46)&lt;0,N(F46)&gt;1),"Remise invalide",IF(K46="","Taux de TVA manquant",IF(NOT(ISNUMBER(K46)),"Taux de TVA invalide",IF(COUNTIF(p_rates,K46)=0,"Taux de TVA hors liste (Paramètres)",IF(N(O46)&gt;25,"Au-delà de 25 lignes : non imprimée","OK")))))))))))))</f>
        <v/>
      </c>
      <c r="O46" s="59" t="str">
        <f>IF(A46="","",COUNTIF($A$6:A46,A46))</f>
        <v/>
      </c>
      <c r="P46" s="62" t="str">
        <f>IF(A46="","",A46&amp;"|"&amp;O46)</f>
        <v/>
      </c>
    </row>
    <row r="47">
      <c r="A47" s="60" t="n"/>
      <c r="B47" s="63" t="n"/>
      <c r="C47" s="63" t="n"/>
      <c r="D47" s="67" t="n"/>
      <c r="E47" s="68" t="n"/>
      <c r="F47" s="69" t="n"/>
      <c r="G47" s="70" t="n"/>
      <c r="H47" s="62" t="str">
        <f>IF(COUNTA(A47:G47)=0,"",IF(C47&lt;&gt;"",C47,IF(B47="","",IFERROR(INDEX(pr_des,MATCH(B47,pr_code,0))&amp;"",""))))</f>
        <v/>
      </c>
      <c r="I47" s="59" t="str">
        <f>IF(B47="","",IFERROR(INDEX(pr_unit,MATCH(B47,pr_code,0))&amp;"",""))</f>
        <v/>
      </c>
      <c r="J47" s="65" t="str">
        <f>IF(COUNTA(A47:G47)=0,"",IF(E47&lt;&gt;"",E47,IF(B47="","",IFERROR(IF(INDEX(pr_price,MATCH(B47,pr_code,0))="","",INDEX(pr_price,MATCH(B47,pr_code,0))),""))))</f>
        <v/>
      </c>
      <c r="K47" s="71" t="str">
        <f>IF(COUNTA(A47:G47)=0,"",IF(G47&lt;&gt;"",G47,IF(B47="","",IFERROR(IF(INDEX(pr_rate,MATCH(B47,pr_code,0))="","",INDEX(pr_rate,MATCH(B47,pr_code,0))),""))))</f>
        <v/>
      </c>
      <c r="L47" s="65" t="str">
        <f>IF(COUNTA(A47:G47)=0,"",IF(AND(ISNUMBER(D47),ISNUMBER(J47)),ROUND(D47*J47*(1-N(F47)),2),0))</f>
        <v/>
      </c>
      <c r="M47" s="62" t="str">
        <f>IF(A47="","",IFERROR(INDEX(fa_cname,MATCH(A47,fa_num,0))&amp;"",""))</f>
        <v/>
      </c>
      <c r="N47" s="59" t="str">
        <f>IF(COUNTA(A47:G47)=0,"",IF(A47="","N° facture manquant",IF(ISNA(MATCH(A47,fa_num,0)),"Facture inconnue",IF(AND(B47&lt;&gt;"",ISNA(MATCH(B47,pr_code,0))),"Article inconnu",IF(H47="","Désignation manquante",IF(OR(NOT(ISNUMBER(D47)),N(D47)&lt;=0),"Quantité invalide",IF(J47="","Prix manquant",IF(OR(NOT(ISNUMBER(J47)),N(J47)&lt;0),"Prix invalide",IF(OR(AND(F47&lt;&gt;"",NOT(ISNUMBER(F47))),N(F47)&lt;0,N(F47)&gt;1),"Remise invalide",IF(K47="","Taux de TVA manquant",IF(NOT(ISNUMBER(K47)),"Taux de TVA invalide",IF(COUNTIF(p_rates,K47)=0,"Taux de TVA hors liste (Paramètres)",IF(N(O47)&gt;25,"Au-delà de 25 lignes : non imprimée","OK")))))))))))))</f>
        <v/>
      </c>
      <c r="O47" s="59" t="str">
        <f>IF(A47="","",COUNTIF($A$6:A47,A47))</f>
        <v/>
      </c>
      <c r="P47" s="62" t="str">
        <f>IF(A47="","",A47&amp;"|"&amp;O47)</f>
        <v/>
      </c>
    </row>
    <row r="48">
      <c r="A48" s="60" t="n"/>
      <c r="B48" s="63" t="n"/>
      <c r="C48" s="63" t="n"/>
      <c r="D48" s="67" t="n"/>
      <c r="E48" s="68" t="n"/>
      <c r="F48" s="69" t="n"/>
      <c r="G48" s="70" t="n"/>
      <c r="H48" s="62" t="str">
        <f>IF(COUNTA(A48:G48)=0,"",IF(C48&lt;&gt;"",C48,IF(B48="","",IFERROR(INDEX(pr_des,MATCH(B48,pr_code,0))&amp;"",""))))</f>
        <v/>
      </c>
      <c r="I48" s="59" t="str">
        <f>IF(B48="","",IFERROR(INDEX(pr_unit,MATCH(B48,pr_code,0))&amp;"",""))</f>
        <v/>
      </c>
      <c r="J48" s="65" t="str">
        <f>IF(COUNTA(A48:G48)=0,"",IF(E48&lt;&gt;"",E48,IF(B48="","",IFERROR(IF(INDEX(pr_price,MATCH(B48,pr_code,0))="","",INDEX(pr_price,MATCH(B48,pr_code,0))),""))))</f>
        <v/>
      </c>
      <c r="K48" s="71" t="str">
        <f>IF(COUNTA(A48:G48)=0,"",IF(G48&lt;&gt;"",G48,IF(B48="","",IFERROR(IF(INDEX(pr_rate,MATCH(B48,pr_code,0))="","",INDEX(pr_rate,MATCH(B48,pr_code,0))),""))))</f>
        <v/>
      </c>
      <c r="L48" s="65" t="str">
        <f>IF(COUNTA(A48:G48)=0,"",IF(AND(ISNUMBER(D48),ISNUMBER(J48)),ROUND(D48*J48*(1-N(F48)),2),0))</f>
        <v/>
      </c>
      <c r="M48" s="62" t="str">
        <f>IF(A48="","",IFERROR(INDEX(fa_cname,MATCH(A48,fa_num,0))&amp;"",""))</f>
        <v/>
      </c>
      <c r="N48" s="59" t="str">
        <f>IF(COUNTA(A48:G48)=0,"",IF(A48="","N° facture manquant",IF(ISNA(MATCH(A48,fa_num,0)),"Facture inconnue",IF(AND(B48&lt;&gt;"",ISNA(MATCH(B48,pr_code,0))),"Article inconnu",IF(H48="","Désignation manquante",IF(OR(NOT(ISNUMBER(D48)),N(D48)&lt;=0),"Quantité invalide",IF(J48="","Prix manquant",IF(OR(NOT(ISNUMBER(J48)),N(J48)&lt;0),"Prix invalide",IF(OR(AND(F48&lt;&gt;"",NOT(ISNUMBER(F48))),N(F48)&lt;0,N(F48)&gt;1),"Remise invalide",IF(K48="","Taux de TVA manquant",IF(NOT(ISNUMBER(K48)),"Taux de TVA invalide",IF(COUNTIF(p_rates,K48)=0,"Taux de TVA hors liste (Paramètres)",IF(N(O48)&gt;25,"Au-delà de 25 lignes : non imprimée","OK")))))))))))))</f>
        <v/>
      </c>
      <c r="O48" s="59" t="str">
        <f>IF(A48="","",COUNTIF($A$6:A48,A48))</f>
        <v/>
      </c>
      <c r="P48" s="62" t="str">
        <f>IF(A48="","",A48&amp;"|"&amp;O48)</f>
        <v/>
      </c>
    </row>
    <row r="49">
      <c r="A49" s="60" t="n"/>
      <c r="B49" s="63" t="n"/>
      <c r="C49" s="63" t="n"/>
      <c r="D49" s="67" t="n"/>
      <c r="E49" s="68" t="n"/>
      <c r="F49" s="69" t="n"/>
      <c r="G49" s="70" t="n"/>
      <c r="H49" s="62" t="str">
        <f>IF(COUNTA(A49:G49)=0,"",IF(C49&lt;&gt;"",C49,IF(B49="","",IFERROR(INDEX(pr_des,MATCH(B49,pr_code,0))&amp;"",""))))</f>
        <v/>
      </c>
      <c r="I49" s="59" t="str">
        <f>IF(B49="","",IFERROR(INDEX(pr_unit,MATCH(B49,pr_code,0))&amp;"",""))</f>
        <v/>
      </c>
      <c r="J49" s="65" t="str">
        <f>IF(COUNTA(A49:G49)=0,"",IF(E49&lt;&gt;"",E49,IF(B49="","",IFERROR(IF(INDEX(pr_price,MATCH(B49,pr_code,0))="","",INDEX(pr_price,MATCH(B49,pr_code,0))),""))))</f>
        <v/>
      </c>
      <c r="K49" s="71" t="str">
        <f>IF(COUNTA(A49:G49)=0,"",IF(G49&lt;&gt;"",G49,IF(B49="","",IFERROR(IF(INDEX(pr_rate,MATCH(B49,pr_code,0))="","",INDEX(pr_rate,MATCH(B49,pr_code,0))),""))))</f>
        <v/>
      </c>
      <c r="L49" s="65" t="str">
        <f>IF(COUNTA(A49:G49)=0,"",IF(AND(ISNUMBER(D49),ISNUMBER(J49)),ROUND(D49*J49*(1-N(F49)),2),0))</f>
        <v/>
      </c>
      <c r="M49" s="62" t="str">
        <f>IF(A49="","",IFERROR(INDEX(fa_cname,MATCH(A49,fa_num,0))&amp;"",""))</f>
        <v/>
      </c>
      <c r="N49" s="59" t="str">
        <f>IF(COUNTA(A49:G49)=0,"",IF(A49="","N° facture manquant",IF(ISNA(MATCH(A49,fa_num,0)),"Facture inconnue",IF(AND(B49&lt;&gt;"",ISNA(MATCH(B49,pr_code,0))),"Article inconnu",IF(H49="","Désignation manquante",IF(OR(NOT(ISNUMBER(D49)),N(D49)&lt;=0),"Quantité invalide",IF(J49="","Prix manquant",IF(OR(NOT(ISNUMBER(J49)),N(J49)&lt;0),"Prix invalide",IF(OR(AND(F49&lt;&gt;"",NOT(ISNUMBER(F49))),N(F49)&lt;0,N(F49)&gt;1),"Remise invalide",IF(K49="","Taux de TVA manquant",IF(NOT(ISNUMBER(K49)),"Taux de TVA invalide",IF(COUNTIF(p_rates,K49)=0,"Taux de TVA hors liste (Paramètres)",IF(N(O49)&gt;25,"Au-delà de 25 lignes : non imprimée","OK")))))))))))))</f>
        <v/>
      </c>
      <c r="O49" s="59" t="str">
        <f>IF(A49="","",COUNTIF($A$6:A49,A49))</f>
        <v/>
      </c>
      <c r="P49" s="62" t="str">
        <f>IF(A49="","",A49&amp;"|"&amp;O49)</f>
        <v/>
      </c>
    </row>
    <row r="50">
      <c r="A50" s="60" t="n"/>
      <c r="B50" s="63" t="n"/>
      <c r="C50" s="63" t="n"/>
      <c r="D50" s="67" t="n"/>
      <c r="E50" s="68" t="n"/>
      <c r="F50" s="69" t="n"/>
      <c r="G50" s="70" t="n"/>
      <c r="H50" s="62" t="str">
        <f>IF(COUNTA(A50:G50)=0,"",IF(C50&lt;&gt;"",C50,IF(B50="","",IFERROR(INDEX(pr_des,MATCH(B50,pr_code,0))&amp;"",""))))</f>
        <v/>
      </c>
      <c r="I50" s="59" t="str">
        <f>IF(B50="","",IFERROR(INDEX(pr_unit,MATCH(B50,pr_code,0))&amp;"",""))</f>
        <v/>
      </c>
      <c r="J50" s="65" t="str">
        <f>IF(COUNTA(A50:G50)=0,"",IF(E50&lt;&gt;"",E50,IF(B50="","",IFERROR(IF(INDEX(pr_price,MATCH(B50,pr_code,0))="","",INDEX(pr_price,MATCH(B50,pr_code,0))),""))))</f>
        <v/>
      </c>
      <c r="K50" s="71" t="str">
        <f>IF(COUNTA(A50:G50)=0,"",IF(G50&lt;&gt;"",G50,IF(B50="","",IFERROR(IF(INDEX(pr_rate,MATCH(B50,pr_code,0))="","",INDEX(pr_rate,MATCH(B50,pr_code,0))),""))))</f>
        <v/>
      </c>
      <c r="L50" s="65" t="str">
        <f>IF(COUNTA(A50:G50)=0,"",IF(AND(ISNUMBER(D50),ISNUMBER(J50)),ROUND(D50*J50*(1-N(F50)),2),0))</f>
        <v/>
      </c>
      <c r="M50" s="62" t="str">
        <f>IF(A50="","",IFERROR(INDEX(fa_cname,MATCH(A50,fa_num,0))&amp;"",""))</f>
        <v/>
      </c>
      <c r="N50" s="59" t="str">
        <f>IF(COUNTA(A50:G50)=0,"",IF(A50="","N° facture manquant",IF(ISNA(MATCH(A50,fa_num,0)),"Facture inconnue",IF(AND(B50&lt;&gt;"",ISNA(MATCH(B50,pr_code,0))),"Article inconnu",IF(H50="","Désignation manquante",IF(OR(NOT(ISNUMBER(D50)),N(D50)&lt;=0),"Quantité invalide",IF(J50="","Prix manquant",IF(OR(NOT(ISNUMBER(J50)),N(J50)&lt;0),"Prix invalide",IF(OR(AND(F50&lt;&gt;"",NOT(ISNUMBER(F50))),N(F50)&lt;0,N(F50)&gt;1),"Remise invalide",IF(K50="","Taux de TVA manquant",IF(NOT(ISNUMBER(K50)),"Taux de TVA invalide",IF(COUNTIF(p_rates,K50)=0,"Taux de TVA hors liste (Paramètres)",IF(N(O50)&gt;25,"Au-delà de 25 lignes : non imprimée","OK")))))))))))))</f>
        <v/>
      </c>
      <c r="O50" s="59" t="str">
        <f>IF(A50="","",COUNTIF($A$6:A50,A50))</f>
        <v/>
      </c>
      <c r="P50" s="62" t="str">
        <f>IF(A50="","",A50&amp;"|"&amp;O50)</f>
        <v/>
      </c>
    </row>
    <row r="51">
      <c r="A51" s="60" t="n"/>
      <c r="B51" s="63" t="n"/>
      <c r="C51" s="63" t="n"/>
      <c r="D51" s="67" t="n"/>
      <c r="E51" s="68" t="n"/>
      <c r="F51" s="69" t="n"/>
      <c r="G51" s="70" t="n"/>
      <c r="H51" s="62" t="str">
        <f>IF(COUNTA(A51:G51)=0,"",IF(C51&lt;&gt;"",C51,IF(B51="","",IFERROR(INDEX(pr_des,MATCH(B51,pr_code,0))&amp;"",""))))</f>
        <v/>
      </c>
      <c r="I51" s="59" t="str">
        <f>IF(B51="","",IFERROR(INDEX(pr_unit,MATCH(B51,pr_code,0))&amp;"",""))</f>
        <v/>
      </c>
      <c r="J51" s="65" t="str">
        <f>IF(COUNTA(A51:G51)=0,"",IF(E51&lt;&gt;"",E51,IF(B51="","",IFERROR(IF(INDEX(pr_price,MATCH(B51,pr_code,0))="","",INDEX(pr_price,MATCH(B51,pr_code,0))),""))))</f>
        <v/>
      </c>
      <c r="K51" s="71" t="str">
        <f>IF(COUNTA(A51:G51)=0,"",IF(G51&lt;&gt;"",G51,IF(B51="","",IFERROR(IF(INDEX(pr_rate,MATCH(B51,pr_code,0))="","",INDEX(pr_rate,MATCH(B51,pr_code,0))),""))))</f>
        <v/>
      </c>
      <c r="L51" s="65" t="str">
        <f>IF(COUNTA(A51:G51)=0,"",IF(AND(ISNUMBER(D51),ISNUMBER(J51)),ROUND(D51*J51*(1-N(F51)),2),0))</f>
        <v/>
      </c>
      <c r="M51" s="62" t="str">
        <f>IF(A51="","",IFERROR(INDEX(fa_cname,MATCH(A51,fa_num,0))&amp;"",""))</f>
        <v/>
      </c>
      <c r="N51" s="59" t="str">
        <f>IF(COUNTA(A51:G51)=0,"",IF(A51="","N° facture manquant",IF(ISNA(MATCH(A51,fa_num,0)),"Facture inconnue",IF(AND(B51&lt;&gt;"",ISNA(MATCH(B51,pr_code,0))),"Article inconnu",IF(H51="","Désignation manquante",IF(OR(NOT(ISNUMBER(D51)),N(D51)&lt;=0),"Quantité invalide",IF(J51="","Prix manquant",IF(OR(NOT(ISNUMBER(J51)),N(J51)&lt;0),"Prix invalide",IF(OR(AND(F51&lt;&gt;"",NOT(ISNUMBER(F51))),N(F51)&lt;0,N(F51)&gt;1),"Remise invalide",IF(K51="","Taux de TVA manquant",IF(NOT(ISNUMBER(K51)),"Taux de TVA invalide",IF(COUNTIF(p_rates,K51)=0,"Taux de TVA hors liste (Paramètres)",IF(N(O51)&gt;25,"Au-delà de 25 lignes : non imprimée","OK")))))))))))))</f>
        <v/>
      </c>
      <c r="O51" s="59" t="str">
        <f>IF(A51="","",COUNTIF($A$6:A51,A51))</f>
        <v/>
      </c>
      <c r="P51" s="62" t="str">
        <f>IF(A51="","",A51&amp;"|"&amp;O51)</f>
        <v/>
      </c>
    </row>
    <row r="52">
      <c r="A52" s="60" t="n"/>
      <c r="B52" s="63" t="n"/>
      <c r="C52" s="63" t="n"/>
      <c r="D52" s="67" t="n"/>
      <c r="E52" s="68" t="n"/>
      <c r="F52" s="69" t="n"/>
      <c r="G52" s="70" t="n"/>
      <c r="H52" s="62" t="str">
        <f>IF(COUNTA(A52:G52)=0,"",IF(C52&lt;&gt;"",C52,IF(B52="","",IFERROR(INDEX(pr_des,MATCH(B52,pr_code,0))&amp;"",""))))</f>
        <v/>
      </c>
      <c r="I52" s="59" t="str">
        <f>IF(B52="","",IFERROR(INDEX(pr_unit,MATCH(B52,pr_code,0))&amp;"",""))</f>
        <v/>
      </c>
      <c r="J52" s="65" t="str">
        <f>IF(COUNTA(A52:G52)=0,"",IF(E52&lt;&gt;"",E52,IF(B52="","",IFERROR(IF(INDEX(pr_price,MATCH(B52,pr_code,0))="","",INDEX(pr_price,MATCH(B52,pr_code,0))),""))))</f>
        <v/>
      </c>
      <c r="K52" s="71" t="str">
        <f>IF(COUNTA(A52:G52)=0,"",IF(G52&lt;&gt;"",G52,IF(B52="","",IFERROR(IF(INDEX(pr_rate,MATCH(B52,pr_code,0))="","",INDEX(pr_rate,MATCH(B52,pr_code,0))),""))))</f>
        <v/>
      </c>
      <c r="L52" s="65" t="str">
        <f>IF(COUNTA(A52:G52)=0,"",IF(AND(ISNUMBER(D52),ISNUMBER(J52)),ROUND(D52*J52*(1-N(F52)),2),0))</f>
        <v/>
      </c>
      <c r="M52" s="62" t="str">
        <f>IF(A52="","",IFERROR(INDEX(fa_cname,MATCH(A52,fa_num,0))&amp;"",""))</f>
        <v/>
      </c>
      <c r="N52" s="59" t="str">
        <f>IF(COUNTA(A52:G52)=0,"",IF(A52="","N° facture manquant",IF(ISNA(MATCH(A52,fa_num,0)),"Facture inconnue",IF(AND(B52&lt;&gt;"",ISNA(MATCH(B52,pr_code,0))),"Article inconnu",IF(H52="","Désignation manquante",IF(OR(NOT(ISNUMBER(D52)),N(D52)&lt;=0),"Quantité invalide",IF(J52="","Prix manquant",IF(OR(NOT(ISNUMBER(J52)),N(J52)&lt;0),"Prix invalide",IF(OR(AND(F52&lt;&gt;"",NOT(ISNUMBER(F52))),N(F52)&lt;0,N(F52)&gt;1),"Remise invalide",IF(K52="","Taux de TVA manquant",IF(NOT(ISNUMBER(K52)),"Taux de TVA invalide",IF(COUNTIF(p_rates,K52)=0,"Taux de TVA hors liste (Paramètres)",IF(N(O52)&gt;25,"Au-delà de 25 lignes : non imprimée","OK")))))))))))))</f>
        <v/>
      </c>
      <c r="O52" s="59" t="str">
        <f>IF(A52="","",COUNTIF($A$6:A52,A52))</f>
        <v/>
      </c>
      <c r="P52" s="62" t="str">
        <f>IF(A52="","",A52&amp;"|"&amp;O52)</f>
        <v/>
      </c>
    </row>
    <row r="53">
      <c r="A53" s="60" t="n"/>
      <c r="B53" s="63" t="n"/>
      <c r="C53" s="63" t="n"/>
      <c r="D53" s="67" t="n"/>
      <c r="E53" s="68" t="n"/>
      <c r="F53" s="69" t="n"/>
      <c r="G53" s="70" t="n"/>
      <c r="H53" s="62" t="str">
        <f>IF(COUNTA(A53:G53)=0,"",IF(C53&lt;&gt;"",C53,IF(B53="","",IFERROR(INDEX(pr_des,MATCH(B53,pr_code,0))&amp;"",""))))</f>
        <v/>
      </c>
      <c r="I53" s="59" t="str">
        <f>IF(B53="","",IFERROR(INDEX(pr_unit,MATCH(B53,pr_code,0))&amp;"",""))</f>
        <v/>
      </c>
      <c r="J53" s="65" t="str">
        <f>IF(COUNTA(A53:G53)=0,"",IF(E53&lt;&gt;"",E53,IF(B53="","",IFERROR(IF(INDEX(pr_price,MATCH(B53,pr_code,0))="","",INDEX(pr_price,MATCH(B53,pr_code,0))),""))))</f>
        <v/>
      </c>
      <c r="K53" s="71" t="str">
        <f>IF(COUNTA(A53:G53)=0,"",IF(G53&lt;&gt;"",G53,IF(B53="","",IFERROR(IF(INDEX(pr_rate,MATCH(B53,pr_code,0))="","",INDEX(pr_rate,MATCH(B53,pr_code,0))),""))))</f>
        <v/>
      </c>
      <c r="L53" s="65" t="str">
        <f>IF(COUNTA(A53:G53)=0,"",IF(AND(ISNUMBER(D53),ISNUMBER(J53)),ROUND(D53*J53*(1-N(F53)),2),0))</f>
        <v/>
      </c>
      <c r="M53" s="62" t="str">
        <f>IF(A53="","",IFERROR(INDEX(fa_cname,MATCH(A53,fa_num,0))&amp;"",""))</f>
        <v/>
      </c>
      <c r="N53" s="59" t="str">
        <f>IF(COUNTA(A53:G53)=0,"",IF(A53="","N° facture manquant",IF(ISNA(MATCH(A53,fa_num,0)),"Facture inconnue",IF(AND(B53&lt;&gt;"",ISNA(MATCH(B53,pr_code,0))),"Article inconnu",IF(H53="","Désignation manquante",IF(OR(NOT(ISNUMBER(D53)),N(D53)&lt;=0),"Quantité invalide",IF(J53="","Prix manquant",IF(OR(NOT(ISNUMBER(J53)),N(J53)&lt;0),"Prix invalide",IF(OR(AND(F53&lt;&gt;"",NOT(ISNUMBER(F53))),N(F53)&lt;0,N(F53)&gt;1),"Remise invalide",IF(K53="","Taux de TVA manquant",IF(NOT(ISNUMBER(K53)),"Taux de TVA invalide",IF(COUNTIF(p_rates,K53)=0,"Taux de TVA hors liste (Paramètres)",IF(N(O53)&gt;25,"Au-delà de 25 lignes : non imprimée","OK")))))))))))))</f>
        <v/>
      </c>
      <c r="O53" s="59" t="str">
        <f>IF(A53="","",COUNTIF($A$6:A53,A53))</f>
        <v/>
      </c>
      <c r="P53" s="62" t="str">
        <f>IF(A53="","",A53&amp;"|"&amp;O53)</f>
        <v/>
      </c>
    </row>
    <row r="54">
      <c r="A54" s="60" t="n"/>
      <c r="B54" s="63" t="n"/>
      <c r="C54" s="63" t="n"/>
      <c r="D54" s="67" t="n"/>
      <c r="E54" s="68" t="n"/>
      <c r="F54" s="69" t="n"/>
      <c r="G54" s="70" t="n"/>
      <c r="H54" s="62" t="str">
        <f>IF(COUNTA(A54:G54)=0,"",IF(C54&lt;&gt;"",C54,IF(B54="","",IFERROR(INDEX(pr_des,MATCH(B54,pr_code,0))&amp;"",""))))</f>
        <v/>
      </c>
      <c r="I54" s="59" t="str">
        <f>IF(B54="","",IFERROR(INDEX(pr_unit,MATCH(B54,pr_code,0))&amp;"",""))</f>
        <v/>
      </c>
      <c r="J54" s="65" t="str">
        <f>IF(COUNTA(A54:G54)=0,"",IF(E54&lt;&gt;"",E54,IF(B54="","",IFERROR(IF(INDEX(pr_price,MATCH(B54,pr_code,0))="","",INDEX(pr_price,MATCH(B54,pr_code,0))),""))))</f>
        <v/>
      </c>
      <c r="K54" s="71" t="str">
        <f>IF(COUNTA(A54:G54)=0,"",IF(G54&lt;&gt;"",G54,IF(B54="","",IFERROR(IF(INDEX(pr_rate,MATCH(B54,pr_code,0))="","",INDEX(pr_rate,MATCH(B54,pr_code,0))),""))))</f>
        <v/>
      </c>
      <c r="L54" s="65" t="str">
        <f>IF(COUNTA(A54:G54)=0,"",IF(AND(ISNUMBER(D54),ISNUMBER(J54)),ROUND(D54*J54*(1-N(F54)),2),0))</f>
        <v/>
      </c>
      <c r="M54" s="62" t="str">
        <f>IF(A54="","",IFERROR(INDEX(fa_cname,MATCH(A54,fa_num,0))&amp;"",""))</f>
        <v/>
      </c>
      <c r="N54" s="59" t="str">
        <f>IF(COUNTA(A54:G54)=0,"",IF(A54="","N° facture manquant",IF(ISNA(MATCH(A54,fa_num,0)),"Facture inconnue",IF(AND(B54&lt;&gt;"",ISNA(MATCH(B54,pr_code,0))),"Article inconnu",IF(H54="","Désignation manquante",IF(OR(NOT(ISNUMBER(D54)),N(D54)&lt;=0),"Quantité invalide",IF(J54="","Prix manquant",IF(OR(NOT(ISNUMBER(J54)),N(J54)&lt;0),"Prix invalide",IF(OR(AND(F54&lt;&gt;"",NOT(ISNUMBER(F54))),N(F54)&lt;0,N(F54)&gt;1),"Remise invalide",IF(K54="","Taux de TVA manquant",IF(NOT(ISNUMBER(K54)),"Taux de TVA invalide",IF(COUNTIF(p_rates,K54)=0,"Taux de TVA hors liste (Paramètres)",IF(N(O54)&gt;25,"Au-delà de 25 lignes : non imprimée","OK")))))))))))))</f>
        <v/>
      </c>
      <c r="O54" s="59" t="str">
        <f>IF(A54="","",COUNTIF($A$6:A54,A54))</f>
        <v/>
      </c>
      <c r="P54" s="62" t="str">
        <f>IF(A54="","",A54&amp;"|"&amp;O54)</f>
        <v/>
      </c>
    </row>
    <row r="55">
      <c r="A55" s="60" t="n"/>
      <c r="B55" s="63" t="n"/>
      <c r="C55" s="63" t="n"/>
      <c r="D55" s="67" t="n"/>
      <c r="E55" s="68" t="n"/>
      <c r="F55" s="69" t="n"/>
      <c r="G55" s="70" t="n"/>
      <c r="H55" s="62" t="str">
        <f>IF(COUNTA(A55:G55)=0,"",IF(C55&lt;&gt;"",C55,IF(B55="","",IFERROR(INDEX(pr_des,MATCH(B55,pr_code,0))&amp;"",""))))</f>
        <v/>
      </c>
      <c r="I55" s="59" t="str">
        <f>IF(B55="","",IFERROR(INDEX(pr_unit,MATCH(B55,pr_code,0))&amp;"",""))</f>
        <v/>
      </c>
      <c r="J55" s="65" t="str">
        <f>IF(COUNTA(A55:G55)=0,"",IF(E55&lt;&gt;"",E55,IF(B55="","",IFERROR(IF(INDEX(pr_price,MATCH(B55,pr_code,0))="","",INDEX(pr_price,MATCH(B55,pr_code,0))),""))))</f>
        <v/>
      </c>
      <c r="K55" s="71" t="str">
        <f>IF(COUNTA(A55:G55)=0,"",IF(G55&lt;&gt;"",G55,IF(B55="","",IFERROR(IF(INDEX(pr_rate,MATCH(B55,pr_code,0))="","",INDEX(pr_rate,MATCH(B55,pr_code,0))),""))))</f>
        <v/>
      </c>
      <c r="L55" s="65" t="str">
        <f>IF(COUNTA(A55:G55)=0,"",IF(AND(ISNUMBER(D55),ISNUMBER(J55)),ROUND(D55*J55*(1-N(F55)),2),0))</f>
        <v/>
      </c>
      <c r="M55" s="62" t="str">
        <f>IF(A55="","",IFERROR(INDEX(fa_cname,MATCH(A55,fa_num,0))&amp;"",""))</f>
        <v/>
      </c>
      <c r="N55" s="59" t="str">
        <f>IF(COUNTA(A55:G55)=0,"",IF(A55="","N° facture manquant",IF(ISNA(MATCH(A55,fa_num,0)),"Facture inconnue",IF(AND(B55&lt;&gt;"",ISNA(MATCH(B55,pr_code,0))),"Article inconnu",IF(H55="","Désignation manquante",IF(OR(NOT(ISNUMBER(D55)),N(D55)&lt;=0),"Quantité invalide",IF(J55="","Prix manquant",IF(OR(NOT(ISNUMBER(J55)),N(J55)&lt;0),"Prix invalide",IF(OR(AND(F55&lt;&gt;"",NOT(ISNUMBER(F55))),N(F55)&lt;0,N(F55)&gt;1),"Remise invalide",IF(K55="","Taux de TVA manquant",IF(NOT(ISNUMBER(K55)),"Taux de TVA invalide",IF(COUNTIF(p_rates,K55)=0,"Taux de TVA hors liste (Paramètres)",IF(N(O55)&gt;25,"Au-delà de 25 lignes : non imprimée","OK")))))))))))))</f>
        <v/>
      </c>
      <c r="O55" s="59" t="str">
        <f>IF(A55="","",COUNTIF($A$6:A55,A55))</f>
        <v/>
      </c>
      <c r="P55" s="62" t="str">
        <f>IF(A55="","",A55&amp;"|"&amp;O55)</f>
        <v/>
      </c>
    </row>
    <row r="56">
      <c r="A56" s="60" t="n"/>
      <c r="B56" s="63" t="n"/>
      <c r="C56" s="63" t="n"/>
      <c r="D56" s="67" t="n"/>
      <c r="E56" s="68" t="n"/>
      <c r="F56" s="69" t="n"/>
      <c r="G56" s="70" t="n"/>
      <c r="H56" s="62" t="str">
        <f>IF(COUNTA(A56:G56)=0,"",IF(C56&lt;&gt;"",C56,IF(B56="","",IFERROR(INDEX(pr_des,MATCH(B56,pr_code,0))&amp;"",""))))</f>
        <v/>
      </c>
      <c r="I56" s="59" t="str">
        <f>IF(B56="","",IFERROR(INDEX(pr_unit,MATCH(B56,pr_code,0))&amp;"",""))</f>
        <v/>
      </c>
      <c r="J56" s="65" t="str">
        <f>IF(COUNTA(A56:G56)=0,"",IF(E56&lt;&gt;"",E56,IF(B56="","",IFERROR(IF(INDEX(pr_price,MATCH(B56,pr_code,0))="","",INDEX(pr_price,MATCH(B56,pr_code,0))),""))))</f>
        <v/>
      </c>
      <c r="K56" s="71" t="str">
        <f>IF(COUNTA(A56:G56)=0,"",IF(G56&lt;&gt;"",G56,IF(B56="","",IFERROR(IF(INDEX(pr_rate,MATCH(B56,pr_code,0))="","",INDEX(pr_rate,MATCH(B56,pr_code,0))),""))))</f>
        <v/>
      </c>
      <c r="L56" s="65" t="str">
        <f>IF(COUNTA(A56:G56)=0,"",IF(AND(ISNUMBER(D56),ISNUMBER(J56)),ROUND(D56*J56*(1-N(F56)),2),0))</f>
        <v/>
      </c>
      <c r="M56" s="62" t="str">
        <f>IF(A56="","",IFERROR(INDEX(fa_cname,MATCH(A56,fa_num,0))&amp;"",""))</f>
        <v/>
      </c>
      <c r="N56" s="59" t="str">
        <f>IF(COUNTA(A56:G56)=0,"",IF(A56="","N° facture manquant",IF(ISNA(MATCH(A56,fa_num,0)),"Facture inconnue",IF(AND(B56&lt;&gt;"",ISNA(MATCH(B56,pr_code,0))),"Article inconnu",IF(H56="","Désignation manquante",IF(OR(NOT(ISNUMBER(D56)),N(D56)&lt;=0),"Quantité invalide",IF(J56="","Prix manquant",IF(OR(NOT(ISNUMBER(J56)),N(J56)&lt;0),"Prix invalide",IF(OR(AND(F56&lt;&gt;"",NOT(ISNUMBER(F56))),N(F56)&lt;0,N(F56)&gt;1),"Remise invalide",IF(K56="","Taux de TVA manquant",IF(NOT(ISNUMBER(K56)),"Taux de TVA invalide",IF(COUNTIF(p_rates,K56)=0,"Taux de TVA hors liste (Paramètres)",IF(N(O56)&gt;25,"Au-delà de 25 lignes : non imprimée","OK")))))))))))))</f>
        <v/>
      </c>
      <c r="O56" s="59" t="str">
        <f>IF(A56="","",COUNTIF($A$6:A56,A56))</f>
        <v/>
      </c>
      <c r="P56" s="62" t="str">
        <f>IF(A56="","",A56&amp;"|"&amp;O56)</f>
        <v/>
      </c>
    </row>
    <row r="57">
      <c r="A57" s="60" t="n"/>
      <c r="B57" s="63" t="n"/>
      <c r="C57" s="63" t="n"/>
      <c r="D57" s="67" t="n"/>
      <c r="E57" s="68" t="n"/>
      <c r="F57" s="69" t="n"/>
      <c r="G57" s="70" t="n"/>
      <c r="H57" s="62" t="str">
        <f>IF(COUNTA(A57:G57)=0,"",IF(C57&lt;&gt;"",C57,IF(B57="","",IFERROR(INDEX(pr_des,MATCH(B57,pr_code,0))&amp;"",""))))</f>
        <v/>
      </c>
      <c r="I57" s="59" t="str">
        <f>IF(B57="","",IFERROR(INDEX(pr_unit,MATCH(B57,pr_code,0))&amp;"",""))</f>
        <v/>
      </c>
      <c r="J57" s="65" t="str">
        <f>IF(COUNTA(A57:G57)=0,"",IF(E57&lt;&gt;"",E57,IF(B57="","",IFERROR(IF(INDEX(pr_price,MATCH(B57,pr_code,0))="","",INDEX(pr_price,MATCH(B57,pr_code,0))),""))))</f>
        <v/>
      </c>
      <c r="K57" s="71" t="str">
        <f>IF(COUNTA(A57:G57)=0,"",IF(G57&lt;&gt;"",G57,IF(B57="","",IFERROR(IF(INDEX(pr_rate,MATCH(B57,pr_code,0))="","",INDEX(pr_rate,MATCH(B57,pr_code,0))),""))))</f>
        <v/>
      </c>
      <c r="L57" s="65" t="str">
        <f>IF(COUNTA(A57:G57)=0,"",IF(AND(ISNUMBER(D57),ISNUMBER(J57)),ROUND(D57*J57*(1-N(F57)),2),0))</f>
        <v/>
      </c>
      <c r="M57" s="62" t="str">
        <f>IF(A57="","",IFERROR(INDEX(fa_cname,MATCH(A57,fa_num,0))&amp;"",""))</f>
        <v/>
      </c>
      <c r="N57" s="59" t="str">
        <f>IF(COUNTA(A57:G57)=0,"",IF(A57="","N° facture manquant",IF(ISNA(MATCH(A57,fa_num,0)),"Facture inconnue",IF(AND(B57&lt;&gt;"",ISNA(MATCH(B57,pr_code,0))),"Article inconnu",IF(H57="","Désignation manquante",IF(OR(NOT(ISNUMBER(D57)),N(D57)&lt;=0),"Quantité invalide",IF(J57="","Prix manquant",IF(OR(NOT(ISNUMBER(J57)),N(J57)&lt;0),"Prix invalide",IF(OR(AND(F57&lt;&gt;"",NOT(ISNUMBER(F57))),N(F57)&lt;0,N(F57)&gt;1),"Remise invalide",IF(K57="","Taux de TVA manquant",IF(NOT(ISNUMBER(K57)),"Taux de TVA invalide",IF(COUNTIF(p_rates,K57)=0,"Taux de TVA hors liste (Paramètres)",IF(N(O57)&gt;25,"Au-delà de 25 lignes : non imprimée","OK")))))))))))))</f>
        <v/>
      </c>
      <c r="O57" s="59" t="str">
        <f>IF(A57="","",COUNTIF($A$6:A57,A57))</f>
        <v/>
      </c>
      <c r="P57" s="62" t="str">
        <f>IF(A57="","",A57&amp;"|"&amp;O57)</f>
        <v/>
      </c>
    </row>
    <row r="58">
      <c r="A58" s="60" t="n"/>
      <c r="B58" s="63" t="n"/>
      <c r="C58" s="63" t="n"/>
      <c r="D58" s="67" t="n"/>
      <c r="E58" s="68" t="n"/>
      <c r="F58" s="69" t="n"/>
      <c r="G58" s="70" t="n"/>
      <c r="H58" s="62" t="str">
        <f>IF(COUNTA(A58:G58)=0,"",IF(C58&lt;&gt;"",C58,IF(B58="","",IFERROR(INDEX(pr_des,MATCH(B58,pr_code,0))&amp;"",""))))</f>
        <v/>
      </c>
      <c r="I58" s="59" t="str">
        <f>IF(B58="","",IFERROR(INDEX(pr_unit,MATCH(B58,pr_code,0))&amp;"",""))</f>
        <v/>
      </c>
      <c r="J58" s="65" t="str">
        <f>IF(COUNTA(A58:G58)=0,"",IF(E58&lt;&gt;"",E58,IF(B58="","",IFERROR(IF(INDEX(pr_price,MATCH(B58,pr_code,0))="","",INDEX(pr_price,MATCH(B58,pr_code,0))),""))))</f>
        <v/>
      </c>
      <c r="K58" s="71" t="str">
        <f>IF(COUNTA(A58:G58)=0,"",IF(G58&lt;&gt;"",G58,IF(B58="","",IFERROR(IF(INDEX(pr_rate,MATCH(B58,pr_code,0))="","",INDEX(pr_rate,MATCH(B58,pr_code,0))),""))))</f>
        <v/>
      </c>
      <c r="L58" s="65" t="str">
        <f>IF(COUNTA(A58:G58)=0,"",IF(AND(ISNUMBER(D58),ISNUMBER(J58)),ROUND(D58*J58*(1-N(F58)),2),0))</f>
        <v/>
      </c>
      <c r="M58" s="62" t="str">
        <f>IF(A58="","",IFERROR(INDEX(fa_cname,MATCH(A58,fa_num,0))&amp;"",""))</f>
        <v/>
      </c>
      <c r="N58" s="59" t="str">
        <f>IF(COUNTA(A58:G58)=0,"",IF(A58="","N° facture manquant",IF(ISNA(MATCH(A58,fa_num,0)),"Facture inconnue",IF(AND(B58&lt;&gt;"",ISNA(MATCH(B58,pr_code,0))),"Article inconnu",IF(H58="","Désignation manquante",IF(OR(NOT(ISNUMBER(D58)),N(D58)&lt;=0),"Quantité invalide",IF(J58="","Prix manquant",IF(OR(NOT(ISNUMBER(J58)),N(J58)&lt;0),"Prix invalide",IF(OR(AND(F58&lt;&gt;"",NOT(ISNUMBER(F58))),N(F58)&lt;0,N(F58)&gt;1),"Remise invalide",IF(K58="","Taux de TVA manquant",IF(NOT(ISNUMBER(K58)),"Taux de TVA invalide",IF(COUNTIF(p_rates,K58)=0,"Taux de TVA hors liste (Paramètres)",IF(N(O58)&gt;25,"Au-delà de 25 lignes : non imprimée","OK")))))))))))))</f>
        <v/>
      </c>
      <c r="O58" s="59" t="str">
        <f>IF(A58="","",COUNTIF($A$6:A58,A58))</f>
        <v/>
      </c>
      <c r="P58" s="62" t="str">
        <f>IF(A58="","",A58&amp;"|"&amp;O58)</f>
        <v/>
      </c>
    </row>
    <row r="59">
      <c r="A59" s="60" t="n"/>
      <c r="B59" s="63" t="n"/>
      <c r="C59" s="63" t="n"/>
      <c r="D59" s="67" t="n"/>
      <c r="E59" s="68" t="n"/>
      <c r="F59" s="69" t="n"/>
      <c r="G59" s="70" t="n"/>
      <c r="H59" s="62" t="str">
        <f>IF(COUNTA(A59:G59)=0,"",IF(C59&lt;&gt;"",C59,IF(B59="","",IFERROR(INDEX(pr_des,MATCH(B59,pr_code,0))&amp;"",""))))</f>
        <v/>
      </c>
      <c r="I59" s="59" t="str">
        <f>IF(B59="","",IFERROR(INDEX(pr_unit,MATCH(B59,pr_code,0))&amp;"",""))</f>
        <v/>
      </c>
      <c r="J59" s="65" t="str">
        <f>IF(COUNTA(A59:G59)=0,"",IF(E59&lt;&gt;"",E59,IF(B59="","",IFERROR(IF(INDEX(pr_price,MATCH(B59,pr_code,0))="","",INDEX(pr_price,MATCH(B59,pr_code,0))),""))))</f>
        <v/>
      </c>
      <c r="K59" s="71" t="str">
        <f>IF(COUNTA(A59:G59)=0,"",IF(G59&lt;&gt;"",G59,IF(B59="","",IFERROR(IF(INDEX(pr_rate,MATCH(B59,pr_code,0))="","",INDEX(pr_rate,MATCH(B59,pr_code,0))),""))))</f>
        <v/>
      </c>
      <c r="L59" s="65" t="str">
        <f>IF(COUNTA(A59:G59)=0,"",IF(AND(ISNUMBER(D59),ISNUMBER(J59)),ROUND(D59*J59*(1-N(F59)),2),0))</f>
        <v/>
      </c>
      <c r="M59" s="62" t="str">
        <f>IF(A59="","",IFERROR(INDEX(fa_cname,MATCH(A59,fa_num,0))&amp;"",""))</f>
        <v/>
      </c>
      <c r="N59" s="59" t="str">
        <f>IF(COUNTA(A59:G59)=0,"",IF(A59="","N° facture manquant",IF(ISNA(MATCH(A59,fa_num,0)),"Facture inconnue",IF(AND(B59&lt;&gt;"",ISNA(MATCH(B59,pr_code,0))),"Article inconnu",IF(H59="","Désignation manquante",IF(OR(NOT(ISNUMBER(D59)),N(D59)&lt;=0),"Quantité invalide",IF(J59="","Prix manquant",IF(OR(NOT(ISNUMBER(J59)),N(J59)&lt;0),"Prix invalide",IF(OR(AND(F59&lt;&gt;"",NOT(ISNUMBER(F59))),N(F59)&lt;0,N(F59)&gt;1),"Remise invalide",IF(K59="","Taux de TVA manquant",IF(NOT(ISNUMBER(K59)),"Taux de TVA invalide",IF(COUNTIF(p_rates,K59)=0,"Taux de TVA hors liste (Paramètres)",IF(N(O59)&gt;25,"Au-delà de 25 lignes : non imprimée","OK")))))))))))))</f>
        <v/>
      </c>
      <c r="O59" s="59" t="str">
        <f>IF(A59="","",COUNTIF($A$6:A59,A59))</f>
        <v/>
      </c>
      <c r="P59" s="62" t="str">
        <f>IF(A59="","",A59&amp;"|"&amp;O59)</f>
        <v/>
      </c>
    </row>
    <row r="60">
      <c r="A60" s="60" t="n"/>
      <c r="B60" s="63" t="n"/>
      <c r="C60" s="63" t="n"/>
      <c r="D60" s="67" t="n"/>
      <c r="E60" s="68" t="n"/>
      <c r="F60" s="69" t="n"/>
      <c r="G60" s="70" t="n"/>
      <c r="H60" s="62" t="str">
        <f>IF(COUNTA(A60:G60)=0,"",IF(C60&lt;&gt;"",C60,IF(B60="","",IFERROR(INDEX(pr_des,MATCH(B60,pr_code,0))&amp;"",""))))</f>
        <v/>
      </c>
      <c r="I60" s="59" t="str">
        <f>IF(B60="","",IFERROR(INDEX(pr_unit,MATCH(B60,pr_code,0))&amp;"",""))</f>
        <v/>
      </c>
      <c r="J60" s="65" t="str">
        <f>IF(COUNTA(A60:G60)=0,"",IF(E60&lt;&gt;"",E60,IF(B60="","",IFERROR(IF(INDEX(pr_price,MATCH(B60,pr_code,0))="","",INDEX(pr_price,MATCH(B60,pr_code,0))),""))))</f>
        <v/>
      </c>
      <c r="K60" s="71" t="str">
        <f>IF(COUNTA(A60:G60)=0,"",IF(G60&lt;&gt;"",G60,IF(B60="","",IFERROR(IF(INDEX(pr_rate,MATCH(B60,pr_code,0))="","",INDEX(pr_rate,MATCH(B60,pr_code,0))),""))))</f>
        <v/>
      </c>
      <c r="L60" s="65" t="str">
        <f>IF(COUNTA(A60:G60)=0,"",IF(AND(ISNUMBER(D60),ISNUMBER(J60)),ROUND(D60*J60*(1-N(F60)),2),0))</f>
        <v/>
      </c>
      <c r="M60" s="62" t="str">
        <f>IF(A60="","",IFERROR(INDEX(fa_cname,MATCH(A60,fa_num,0))&amp;"",""))</f>
        <v/>
      </c>
      <c r="N60" s="59" t="str">
        <f>IF(COUNTA(A60:G60)=0,"",IF(A60="","N° facture manquant",IF(ISNA(MATCH(A60,fa_num,0)),"Facture inconnue",IF(AND(B60&lt;&gt;"",ISNA(MATCH(B60,pr_code,0))),"Article inconnu",IF(H60="","Désignation manquante",IF(OR(NOT(ISNUMBER(D60)),N(D60)&lt;=0),"Quantité invalide",IF(J60="","Prix manquant",IF(OR(NOT(ISNUMBER(J60)),N(J60)&lt;0),"Prix invalide",IF(OR(AND(F60&lt;&gt;"",NOT(ISNUMBER(F60))),N(F60)&lt;0,N(F60)&gt;1),"Remise invalide",IF(K60="","Taux de TVA manquant",IF(NOT(ISNUMBER(K60)),"Taux de TVA invalide",IF(COUNTIF(p_rates,K60)=0,"Taux de TVA hors liste (Paramètres)",IF(N(O60)&gt;25,"Au-delà de 25 lignes : non imprimée","OK")))))))))))))</f>
        <v/>
      </c>
      <c r="O60" s="59" t="str">
        <f>IF(A60="","",COUNTIF($A$6:A60,A60))</f>
        <v/>
      </c>
      <c r="P60" s="62" t="str">
        <f>IF(A60="","",A60&amp;"|"&amp;O60)</f>
        <v/>
      </c>
    </row>
    <row r="61">
      <c r="A61" s="60" t="n"/>
      <c r="B61" s="63" t="n"/>
      <c r="C61" s="63" t="n"/>
      <c r="D61" s="67" t="n"/>
      <c r="E61" s="68" t="n"/>
      <c r="F61" s="69" t="n"/>
      <c r="G61" s="70" t="n"/>
      <c r="H61" s="62" t="str">
        <f>IF(COUNTA(A61:G61)=0,"",IF(C61&lt;&gt;"",C61,IF(B61="","",IFERROR(INDEX(pr_des,MATCH(B61,pr_code,0))&amp;"",""))))</f>
        <v/>
      </c>
      <c r="I61" s="59" t="str">
        <f>IF(B61="","",IFERROR(INDEX(pr_unit,MATCH(B61,pr_code,0))&amp;"",""))</f>
        <v/>
      </c>
      <c r="J61" s="65" t="str">
        <f>IF(COUNTA(A61:G61)=0,"",IF(E61&lt;&gt;"",E61,IF(B61="","",IFERROR(IF(INDEX(pr_price,MATCH(B61,pr_code,0))="","",INDEX(pr_price,MATCH(B61,pr_code,0))),""))))</f>
        <v/>
      </c>
      <c r="K61" s="71" t="str">
        <f>IF(COUNTA(A61:G61)=0,"",IF(G61&lt;&gt;"",G61,IF(B61="","",IFERROR(IF(INDEX(pr_rate,MATCH(B61,pr_code,0))="","",INDEX(pr_rate,MATCH(B61,pr_code,0))),""))))</f>
        <v/>
      </c>
      <c r="L61" s="65" t="str">
        <f>IF(COUNTA(A61:G61)=0,"",IF(AND(ISNUMBER(D61),ISNUMBER(J61)),ROUND(D61*J61*(1-N(F61)),2),0))</f>
        <v/>
      </c>
      <c r="M61" s="62" t="str">
        <f>IF(A61="","",IFERROR(INDEX(fa_cname,MATCH(A61,fa_num,0))&amp;"",""))</f>
        <v/>
      </c>
      <c r="N61" s="59" t="str">
        <f>IF(COUNTA(A61:G61)=0,"",IF(A61="","N° facture manquant",IF(ISNA(MATCH(A61,fa_num,0)),"Facture inconnue",IF(AND(B61&lt;&gt;"",ISNA(MATCH(B61,pr_code,0))),"Article inconnu",IF(H61="","Désignation manquante",IF(OR(NOT(ISNUMBER(D61)),N(D61)&lt;=0),"Quantité invalide",IF(J61="","Prix manquant",IF(OR(NOT(ISNUMBER(J61)),N(J61)&lt;0),"Prix invalide",IF(OR(AND(F61&lt;&gt;"",NOT(ISNUMBER(F61))),N(F61)&lt;0,N(F61)&gt;1),"Remise invalide",IF(K61="","Taux de TVA manquant",IF(NOT(ISNUMBER(K61)),"Taux de TVA invalide",IF(COUNTIF(p_rates,K61)=0,"Taux de TVA hors liste (Paramètres)",IF(N(O61)&gt;25,"Au-delà de 25 lignes : non imprimée","OK")))))))))))))</f>
        <v/>
      </c>
      <c r="O61" s="59" t="str">
        <f>IF(A61="","",COUNTIF($A$6:A61,A61))</f>
        <v/>
      </c>
      <c r="P61" s="62" t="str">
        <f>IF(A61="","",A61&amp;"|"&amp;O61)</f>
        <v/>
      </c>
    </row>
    <row r="62">
      <c r="A62" s="60" t="n"/>
      <c r="B62" s="63" t="n"/>
      <c r="C62" s="63" t="n"/>
      <c r="D62" s="67" t="n"/>
      <c r="E62" s="68" t="n"/>
      <c r="F62" s="69" t="n"/>
      <c r="G62" s="70" t="n"/>
      <c r="H62" s="62" t="str">
        <f>IF(COUNTA(A62:G62)=0,"",IF(C62&lt;&gt;"",C62,IF(B62="","",IFERROR(INDEX(pr_des,MATCH(B62,pr_code,0))&amp;"",""))))</f>
        <v/>
      </c>
      <c r="I62" s="59" t="str">
        <f>IF(B62="","",IFERROR(INDEX(pr_unit,MATCH(B62,pr_code,0))&amp;"",""))</f>
        <v/>
      </c>
      <c r="J62" s="65" t="str">
        <f>IF(COUNTA(A62:G62)=0,"",IF(E62&lt;&gt;"",E62,IF(B62="","",IFERROR(IF(INDEX(pr_price,MATCH(B62,pr_code,0))="","",INDEX(pr_price,MATCH(B62,pr_code,0))),""))))</f>
        <v/>
      </c>
      <c r="K62" s="71" t="str">
        <f>IF(COUNTA(A62:G62)=0,"",IF(G62&lt;&gt;"",G62,IF(B62="","",IFERROR(IF(INDEX(pr_rate,MATCH(B62,pr_code,0))="","",INDEX(pr_rate,MATCH(B62,pr_code,0))),""))))</f>
        <v/>
      </c>
      <c r="L62" s="65" t="str">
        <f>IF(COUNTA(A62:G62)=0,"",IF(AND(ISNUMBER(D62),ISNUMBER(J62)),ROUND(D62*J62*(1-N(F62)),2),0))</f>
        <v/>
      </c>
      <c r="M62" s="62" t="str">
        <f>IF(A62="","",IFERROR(INDEX(fa_cname,MATCH(A62,fa_num,0))&amp;"",""))</f>
        <v/>
      </c>
      <c r="N62" s="59" t="str">
        <f>IF(COUNTA(A62:G62)=0,"",IF(A62="","N° facture manquant",IF(ISNA(MATCH(A62,fa_num,0)),"Facture inconnue",IF(AND(B62&lt;&gt;"",ISNA(MATCH(B62,pr_code,0))),"Article inconnu",IF(H62="","Désignation manquante",IF(OR(NOT(ISNUMBER(D62)),N(D62)&lt;=0),"Quantité invalide",IF(J62="","Prix manquant",IF(OR(NOT(ISNUMBER(J62)),N(J62)&lt;0),"Prix invalide",IF(OR(AND(F62&lt;&gt;"",NOT(ISNUMBER(F62))),N(F62)&lt;0,N(F62)&gt;1),"Remise invalide",IF(K62="","Taux de TVA manquant",IF(NOT(ISNUMBER(K62)),"Taux de TVA invalide",IF(COUNTIF(p_rates,K62)=0,"Taux de TVA hors liste (Paramètres)",IF(N(O62)&gt;25,"Au-delà de 25 lignes : non imprimée","OK")))))))))))))</f>
        <v/>
      </c>
      <c r="O62" s="59" t="str">
        <f>IF(A62="","",COUNTIF($A$6:A62,A62))</f>
        <v/>
      </c>
      <c r="P62" s="62" t="str">
        <f>IF(A62="","",A62&amp;"|"&amp;O62)</f>
        <v/>
      </c>
    </row>
    <row r="63">
      <c r="A63" s="60" t="n"/>
      <c r="B63" s="63" t="n"/>
      <c r="C63" s="63" t="n"/>
      <c r="D63" s="67" t="n"/>
      <c r="E63" s="68" t="n"/>
      <c r="F63" s="69" t="n"/>
      <c r="G63" s="70" t="n"/>
      <c r="H63" s="62" t="str">
        <f>IF(COUNTA(A63:G63)=0,"",IF(C63&lt;&gt;"",C63,IF(B63="","",IFERROR(INDEX(pr_des,MATCH(B63,pr_code,0))&amp;"",""))))</f>
        <v/>
      </c>
      <c r="I63" s="59" t="str">
        <f>IF(B63="","",IFERROR(INDEX(pr_unit,MATCH(B63,pr_code,0))&amp;"",""))</f>
        <v/>
      </c>
      <c r="J63" s="65" t="str">
        <f>IF(COUNTA(A63:G63)=0,"",IF(E63&lt;&gt;"",E63,IF(B63="","",IFERROR(IF(INDEX(pr_price,MATCH(B63,pr_code,0))="","",INDEX(pr_price,MATCH(B63,pr_code,0))),""))))</f>
        <v/>
      </c>
      <c r="K63" s="71" t="str">
        <f>IF(COUNTA(A63:G63)=0,"",IF(G63&lt;&gt;"",G63,IF(B63="","",IFERROR(IF(INDEX(pr_rate,MATCH(B63,pr_code,0))="","",INDEX(pr_rate,MATCH(B63,pr_code,0))),""))))</f>
        <v/>
      </c>
      <c r="L63" s="65" t="str">
        <f>IF(COUNTA(A63:G63)=0,"",IF(AND(ISNUMBER(D63),ISNUMBER(J63)),ROUND(D63*J63*(1-N(F63)),2),0))</f>
        <v/>
      </c>
      <c r="M63" s="62" t="str">
        <f>IF(A63="","",IFERROR(INDEX(fa_cname,MATCH(A63,fa_num,0))&amp;"",""))</f>
        <v/>
      </c>
      <c r="N63" s="59" t="str">
        <f>IF(COUNTA(A63:G63)=0,"",IF(A63="","N° facture manquant",IF(ISNA(MATCH(A63,fa_num,0)),"Facture inconnue",IF(AND(B63&lt;&gt;"",ISNA(MATCH(B63,pr_code,0))),"Article inconnu",IF(H63="","Désignation manquante",IF(OR(NOT(ISNUMBER(D63)),N(D63)&lt;=0),"Quantité invalide",IF(J63="","Prix manquant",IF(OR(NOT(ISNUMBER(J63)),N(J63)&lt;0),"Prix invalide",IF(OR(AND(F63&lt;&gt;"",NOT(ISNUMBER(F63))),N(F63)&lt;0,N(F63)&gt;1),"Remise invalide",IF(K63="","Taux de TVA manquant",IF(NOT(ISNUMBER(K63)),"Taux de TVA invalide",IF(COUNTIF(p_rates,K63)=0,"Taux de TVA hors liste (Paramètres)",IF(N(O63)&gt;25,"Au-delà de 25 lignes : non imprimée","OK")))))))))))))</f>
        <v/>
      </c>
      <c r="O63" s="59" t="str">
        <f>IF(A63="","",COUNTIF($A$6:A63,A63))</f>
        <v/>
      </c>
      <c r="P63" s="62" t="str">
        <f>IF(A63="","",A63&amp;"|"&amp;O63)</f>
        <v/>
      </c>
    </row>
    <row r="64">
      <c r="A64" s="60" t="n"/>
      <c r="B64" s="63" t="n"/>
      <c r="C64" s="63" t="n"/>
      <c r="D64" s="67" t="n"/>
      <c r="E64" s="68" t="n"/>
      <c r="F64" s="69" t="n"/>
      <c r="G64" s="70" t="n"/>
      <c r="H64" s="62" t="str">
        <f>IF(COUNTA(A64:G64)=0,"",IF(C64&lt;&gt;"",C64,IF(B64="","",IFERROR(INDEX(pr_des,MATCH(B64,pr_code,0))&amp;"",""))))</f>
        <v/>
      </c>
      <c r="I64" s="59" t="str">
        <f>IF(B64="","",IFERROR(INDEX(pr_unit,MATCH(B64,pr_code,0))&amp;"",""))</f>
        <v/>
      </c>
      <c r="J64" s="65" t="str">
        <f>IF(COUNTA(A64:G64)=0,"",IF(E64&lt;&gt;"",E64,IF(B64="","",IFERROR(IF(INDEX(pr_price,MATCH(B64,pr_code,0))="","",INDEX(pr_price,MATCH(B64,pr_code,0))),""))))</f>
        <v/>
      </c>
      <c r="K64" s="71" t="str">
        <f>IF(COUNTA(A64:G64)=0,"",IF(G64&lt;&gt;"",G64,IF(B64="","",IFERROR(IF(INDEX(pr_rate,MATCH(B64,pr_code,0))="","",INDEX(pr_rate,MATCH(B64,pr_code,0))),""))))</f>
        <v/>
      </c>
      <c r="L64" s="65" t="str">
        <f>IF(COUNTA(A64:G64)=0,"",IF(AND(ISNUMBER(D64),ISNUMBER(J64)),ROUND(D64*J64*(1-N(F64)),2),0))</f>
        <v/>
      </c>
      <c r="M64" s="62" t="str">
        <f>IF(A64="","",IFERROR(INDEX(fa_cname,MATCH(A64,fa_num,0))&amp;"",""))</f>
        <v/>
      </c>
      <c r="N64" s="59" t="str">
        <f>IF(COUNTA(A64:G64)=0,"",IF(A64="","N° facture manquant",IF(ISNA(MATCH(A64,fa_num,0)),"Facture inconnue",IF(AND(B64&lt;&gt;"",ISNA(MATCH(B64,pr_code,0))),"Article inconnu",IF(H64="","Désignation manquante",IF(OR(NOT(ISNUMBER(D64)),N(D64)&lt;=0),"Quantité invalide",IF(J64="","Prix manquant",IF(OR(NOT(ISNUMBER(J64)),N(J64)&lt;0),"Prix invalide",IF(OR(AND(F64&lt;&gt;"",NOT(ISNUMBER(F64))),N(F64)&lt;0,N(F64)&gt;1),"Remise invalide",IF(K64="","Taux de TVA manquant",IF(NOT(ISNUMBER(K64)),"Taux de TVA invalide",IF(COUNTIF(p_rates,K64)=0,"Taux de TVA hors liste (Paramètres)",IF(N(O64)&gt;25,"Au-delà de 25 lignes : non imprimée","OK")))))))))))))</f>
        <v/>
      </c>
      <c r="O64" s="59" t="str">
        <f>IF(A64="","",COUNTIF($A$6:A64,A64))</f>
        <v/>
      </c>
      <c r="P64" s="62" t="str">
        <f>IF(A64="","",A64&amp;"|"&amp;O64)</f>
        <v/>
      </c>
    </row>
    <row r="65">
      <c r="A65" s="60" t="n"/>
      <c r="B65" s="63" t="n"/>
      <c r="C65" s="63" t="n"/>
      <c r="D65" s="67" t="n"/>
      <c r="E65" s="68" t="n"/>
      <c r="F65" s="69" t="n"/>
      <c r="G65" s="70" t="n"/>
      <c r="H65" s="62" t="str">
        <f>IF(COUNTA(A65:G65)=0,"",IF(C65&lt;&gt;"",C65,IF(B65="","",IFERROR(INDEX(pr_des,MATCH(B65,pr_code,0))&amp;"",""))))</f>
        <v/>
      </c>
      <c r="I65" s="59" t="str">
        <f>IF(B65="","",IFERROR(INDEX(pr_unit,MATCH(B65,pr_code,0))&amp;"",""))</f>
        <v/>
      </c>
      <c r="J65" s="65" t="str">
        <f>IF(COUNTA(A65:G65)=0,"",IF(E65&lt;&gt;"",E65,IF(B65="","",IFERROR(IF(INDEX(pr_price,MATCH(B65,pr_code,0))="","",INDEX(pr_price,MATCH(B65,pr_code,0))),""))))</f>
        <v/>
      </c>
      <c r="K65" s="71" t="str">
        <f>IF(COUNTA(A65:G65)=0,"",IF(G65&lt;&gt;"",G65,IF(B65="","",IFERROR(IF(INDEX(pr_rate,MATCH(B65,pr_code,0))="","",INDEX(pr_rate,MATCH(B65,pr_code,0))),""))))</f>
        <v/>
      </c>
      <c r="L65" s="65" t="str">
        <f>IF(COUNTA(A65:G65)=0,"",IF(AND(ISNUMBER(D65),ISNUMBER(J65)),ROUND(D65*J65*(1-N(F65)),2),0))</f>
        <v/>
      </c>
      <c r="M65" s="62" t="str">
        <f>IF(A65="","",IFERROR(INDEX(fa_cname,MATCH(A65,fa_num,0))&amp;"",""))</f>
        <v/>
      </c>
      <c r="N65" s="59" t="str">
        <f>IF(COUNTA(A65:G65)=0,"",IF(A65="","N° facture manquant",IF(ISNA(MATCH(A65,fa_num,0)),"Facture inconnue",IF(AND(B65&lt;&gt;"",ISNA(MATCH(B65,pr_code,0))),"Article inconnu",IF(H65="","Désignation manquante",IF(OR(NOT(ISNUMBER(D65)),N(D65)&lt;=0),"Quantité invalide",IF(J65="","Prix manquant",IF(OR(NOT(ISNUMBER(J65)),N(J65)&lt;0),"Prix invalide",IF(OR(AND(F65&lt;&gt;"",NOT(ISNUMBER(F65))),N(F65)&lt;0,N(F65)&gt;1),"Remise invalide",IF(K65="","Taux de TVA manquant",IF(NOT(ISNUMBER(K65)),"Taux de TVA invalide",IF(COUNTIF(p_rates,K65)=0,"Taux de TVA hors liste (Paramètres)",IF(N(O65)&gt;25,"Au-delà de 25 lignes : non imprimée","OK")))))))))))))</f>
        <v/>
      </c>
      <c r="O65" s="59" t="str">
        <f>IF(A65="","",COUNTIF($A$6:A65,A65))</f>
        <v/>
      </c>
      <c r="P65" s="62" t="str">
        <f>IF(A65="","",A65&amp;"|"&amp;O65)</f>
        <v/>
      </c>
    </row>
    <row r="66">
      <c r="A66" s="60" t="n"/>
      <c r="B66" s="63" t="n"/>
      <c r="C66" s="63" t="n"/>
      <c r="D66" s="67" t="n"/>
      <c r="E66" s="68" t="n"/>
      <c r="F66" s="69" t="n"/>
      <c r="G66" s="70" t="n"/>
      <c r="H66" s="62" t="str">
        <f>IF(COUNTA(A66:G66)=0,"",IF(C66&lt;&gt;"",C66,IF(B66="","",IFERROR(INDEX(pr_des,MATCH(B66,pr_code,0))&amp;"",""))))</f>
        <v/>
      </c>
      <c r="I66" s="59" t="str">
        <f>IF(B66="","",IFERROR(INDEX(pr_unit,MATCH(B66,pr_code,0))&amp;"",""))</f>
        <v/>
      </c>
      <c r="J66" s="65" t="str">
        <f>IF(COUNTA(A66:G66)=0,"",IF(E66&lt;&gt;"",E66,IF(B66="","",IFERROR(IF(INDEX(pr_price,MATCH(B66,pr_code,0))="","",INDEX(pr_price,MATCH(B66,pr_code,0))),""))))</f>
        <v/>
      </c>
      <c r="K66" s="71" t="str">
        <f>IF(COUNTA(A66:G66)=0,"",IF(G66&lt;&gt;"",G66,IF(B66="","",IFERROR(IF(INDEX(pr_rate,MATCH(B66,pr_code,0))="","",INDEX(pr_rate,MATCH(B66,pr_code,0))),""))))</f>
        <v/>
      </c>
      <c r="L66" s="65" t="str">
        <f>IF(COUNTA(A66:G66)=0,"",IF(AND(ISNUMBER(D66),ISNUMBER(J66)),ROUND(D66*J66*(1-N(F66)),2),0))</f>
        <v/>
      </c>
      <c r="M66" s="62" t="str">
        <f>IF(A66="","",IFERROR(INDEX(fa_cname,MATCH(A66,fa_num,0))&amp;"",""))</f>
        <v/>
      </c>
      <c r="N66" s="59" t="str">
        <f>IF(COUNTA(A66:G66)=0,"",IF(A66="","N° facture manquant",IF(ISNA(MATCH(A66,fa_num,0)),"Facture inconnue",IF(AND(B66&lt;&gt;"",ISNA(MATCH(B66,pr_code,0))),"Article inconnu",IF(H66="","Désignation manquante",IF(OR(NOT(ISNUMBER(D66)),N(D66)&lt;=0),"Quantité invalide",IF(J66="","Prix manquant",IF(OR(NOT(ISNUMBER(J66)),N(J66)&lt;0),"Prix invalide",IF(OR(AND(F66&lt;&gt;"",NOT(ISNUMBER(F66))),N(F66)&lt;0,N(F66)&gt;1),"Remise invalide",IF(K66="","Taux de TVA manquant",IF(NOT(ISNUMBER(K66)),"Taux de TVA invalide",IF(COUNTIF(p_rates,K66)=0,"Taux de TVA hors liste (Paramètres)",IF(N(O66)&gt;25,"Au-delà de 25 lignes : non imprimée","OK")))))))))))))</f>
        <v/>
      </c>
      <c r="O66" s="59" t="str">
        <f>IF(A66="","",COUNTIF($A$6:A66,A66))</f>
        <v/>
      </c>
      <c r="P66" s="62" t="str">
        <f>IF(A66="","",A66&amp;"|"&amp;O66)</f>
        <v/>
      </c>
    </row>
    <row r="67">
      <c r="A67" s="60" t="n"/>
      <c r="B67" s="63" t="n"/>
      <c r="C67" s="63" t="n"/>
      <c r="D67" s="67" t="n"/>
      <c r="E67" s="68" t="n"/>
      <c r="F67" s="69" t="n"/>
      <c r="G67" s="70" t="n"/>
      <c r="H67" s="62" t="str">
        <f>IF(COUNTA(A67:G67)=0,"",IF(C67&lt;&gt;"",C67,IF(B67="","",IFERROR(INDEX(pr_des,MATCH(B67,pr_code,0))&amp;"",""))))</f>
        <v/>
      </c>
      <c r="I67" s="59" t="str">
        <f>IF(B67="","",IFERROR(INDEX(pr_unit,MATCH(B67,pr_code,0))&amp;"",""))</f>
        <v/>
      </c>
      <c r="J67" s="65" t="str">
        <f>IF(COUNTA(A67:G67)=0,"",IF(E67&lt;&gt;"",E67,IF(B67="","",IFERROR(IF(INDEX(pr_price,MATCH(B67,pr_code,0))="","",INDEX(pr_price,MATCH(B67,pr_code,0))),""))))</f>
        <v/>
      </c>
      <c r="K67" s="71" t="str">
        <f>IF(COUNTA(A67:G67)=0,"",IF(G67&lt;&gt;"",G67,IF(B67="","",IFERROR(IF(INDEX(pr_rate,MATCH(B67,pr_code,0))="","",INDEX(pr_rate,MATCH(B67,pr_code,0))),""))))</f>
        <v/>
      </c>
      <c r="L67" s="65" t="str">
        <f>IF(COUNTA(A67:G67)=0,"",IF(AND(ISNUMBER(D67),ISNUMBER(J67)),ROUND(D67*J67*(1-N(F67)),2),0))</f>
        <v/>
      </c>
      <c r="M67" s="62" t="str">
        <f>IF(A67="","",IFERROR(INDEX(fa_cname,MATCH(A67,fa_num,0))&amp;"",""))</f>
        <v/>
      </c>
      <c r="N67" s="59" t="str">
        <f>IF(COUNTA(A67:G67)=0,"",IF(A67="","N° facture manquant",IF(ISNA(MATCH(A67,fa_num,0)),"Facture inconnue",IF(AND(B67&lt;&gt;"",ISNA(MATCH(B67,pr_code,0))),"Article inconnu",IF(H67="","Désignation manquante",IF(OR(NOT(ISNUMBER(D67)),N(D67)&lt;=0),"Quantité invalide",IF(J67="","Prix manquant",IF(OR(NOT(ISNUMBER(J67)),N(J67)&lt;0),"Prix invalide",IF(OR(AND(F67&lt;&gt;"",NOT(ISNUMBER(F67))),N(F67)&lt;0,N(F67)&gt;1),"Remise invalide",IF(K67="","Taux de TVA manquant",IF(NOT(ISNUMBER(K67)),"Taux de TVA invalide",IF(COUNTIF(p_rates,K67)=0,"Taux de TVA hors liste (Paramètres)",IF(N(O67)&gt;25,"Au-delà de 25 lignes : non imprimée","OK")))))))))))))</f>
        <v/>
      </c>
      <c r="O67" s="59" t="str">
        <f>IF(A67="","",COUNTIF($A$6:A67,A67))</f>
        <v/>
      </c>
      <c r="P67" s="62" t="str">
        <f>IF(A67="","",A67&amp;"|"&amp;O67)</f>
        <v/>
      </c>
    </row>
    <row r="68">
      <c r="A68" s="60" t="n"/>
      <c r="B68" s="63" t="n"/>
      <c r="C68" s="63" t="n"/>
      <c r="D68" s="67" t="n"/>
      <c r="E68" s="68" t="n"/>
      <c r="F68" s="69" t="n"/>
      <c r="G68" s="70" t="n"/>
      <c r="H68" s="62" t="str">
        <f>IF(COUNTA(A68:G68)=0,"",IF(C68&lt;&gt;"",C68,IF(B68="","",IFERROR(INDEX(pr_des,MATCH(B68,pr_code,0))&amp;"",""))))</f>
        <v/>
      </c>
      <c r="I68" s="59" t="str">
        <f>IF(B68="","",IFERROR(INDEX(pr_unit,MATCH(B68,pr_code,0))&amp;"",""))</f>
        <v/>
      </c>
      <c r="J68" s="65" t="str">
        <f>IF(COUNTA(A68:G68)=0,"",IF(E68&lt;&gt;"",E68,IF(B68="","",IFERROR(IF(INDEX(pr_price,MATCH(B68,pr_code,0))="","",INDEX(pr_price,MATCH(B68,pr_code,0))),""))))</f>
        <v/>
      </c>
      <c r="K68" s="71" t="str">
        <f>IF(COUNTA(A68:G68)=0,"",IF(G68&lt;&gt;"",G68,IF(B68="","",IFERROR(IF(INDEX(pr_rate,MATCH(B68,pr_code,0))="","",INDEX(pr_rate,MATCH(B68,pr_code,0))),""))))</f>
        <v/>
      </c>
      <c r="L68" s="65" t="str">
        <f>IF(COUNTA(A68:G68)=0,"",IF(AND(ISNUMBER(D68),ISNUMBER(J68)),ROUND(D68*J68*(1-N(F68)),2),0))</f>
        <v/>
      </c>
      <c r="M68" s="62" t="str">
        <f>IF(A68="","",IFERROR(INDEX(fa_cname,MATCH(A68,fa_num,0))&amp;"",""))</f>
        <v/>
      </c>
      <c r="N68" s="59" t="str">
        <f>IF(COUNTA(A68:G68)=0,"",IF(A68="","N° facture manquant",IF(ISNA(MATCH(A68,fa_num,0)),"Facture inconnue",IF(AND(B68&lt;&gt;"",ISNA(MATCH(B68,pr_code,0))),"Article inconnu",IF(H68="","Désignation manquante",IF(OR(NOT(ISNUMBER(D68)),N(D68)&lt;=0),"Quantité invalide",IF(J68="","Prix manquant",IF(OR(NOT(ISNUMBER(J68)),N(J68)&lt;0),"Prix invalide",IF(OR(AND(F68&lt;&gt;"",NOT(ISNUMBER(F68))),N(F68)&lt;0,N(F68)&gt;1),"Remise invalide",IF(K68="","Taux de TVA manquant",IF(NOT(ISNUMBER(K68)),"Taux de TVA invalide",IF(COUNTIF(p_rates,K68)=0,"Taux de TVA hors liste (Paramètres)",IF(N(O68)&gt;25,"Au-delà de 25 lignes : non imprimée","OK")))))))))))))</f>
        <v/>
      </c>
      <c r="O68" s="59" t="str">
        <f>IF(A68="","",COUNTIF($A$6:A68,A68))</f>
        <v/>
      </c>
      <c r="P68" s="62" t="str">
        <f>IF(A68="","",A68&amp;"|"&amp;O68)</f>
        <v/>
      </c>
    </row>
    <row r="69">
      <c r="A69" s="60" t="n"/>
      <c r="B69" s="63" t="n"/>
      <c r="C69" s="63" t="n"/>
      <c r="D69" s="67" t="n"/>
      <c r="E69" s="68" t="n"/>
      <c r="F69" s="69" t="n"/>
      <c r="G69" s="70" t="n"/>
      <c r="H69" s="62" t="str">
        <f>IF(COUNTA(A69:G69)=0,"",IF(C69&lt;&gt;"",C69,IF(B69="","",IFERROR(INDEX(pr_des,MATCH(B69,pr_code,0))&amp;"",""))))</f>
        <v/>
      </c>
      <c r="I69" s="59" t="str">
        <f>IF(B69="","",IFERROR(INDEX(pr_unit,MATCH(B69,pr_code,0))&amp;"",""))</f>
        <v/>
      </c>
      <c r="J69" s="65" t="str">
        <f>IF(COUNTA(A69:G69)=0,"",IF(E69&lt;&gt;"",E69,IF(B69="","",IFERROR(IF(INDEX(pr_price,MATCH(B69,pr_code,0))="","",INDEX(pr_price,MATCH(B69,pr_code,0))),""))))</f>
        <v/>
      </c>
      <c r="K69" s="71" t="str">
        <f>IF(COUNTA(A69:G69)=0,"",IF(G69&lt;&gt;"",G69,IF(B69="","",IFERROR(IF(INDEX(pr_rate,MATCH(B69,pr_code,0))="","",INDEX(pr_rate,MATCH(B69,pr_code,0))),""))))</f>
        <v/>
      </c>
      <c r="L69" s="65" t="str">
        <f>IF(COUNTA(A69:G69)=0,"",IF(AND(ISNUMBER(D69),ISNUMBER(J69)),ROUND(D69*J69*(1-N(F69)),2),0))</f>
        <v/>
      </c>
      <c r="M69" s="62" t="str">
        <f>IF(A69="","",IFERROR(INDEX(fa_cname,MATCH(A69,fa_num,0))&amp;"",""))</f>
        <v/>
      </c>
      <c r="N69" s="59" t="str">
        <f>IF(COUNTA(A69:G69)=0,"",IF(A69="","N° facture manquant",IF(ISNA(MATCH(A69,fa_num,0)),"Facture inconnue",IF(AND(B69&lt;&gt;"",ISNA(MATCH(B69,pr_code,0))),"Article inconnu",IF(H69="","Désignation manquante",IF(OR(NOT(ISNUMBER(D69)),N(D69)&lt;=0),"Quantité invalide",IF(J69="","Prix manquant",IF(OR(NOT(ISNUMBER(J69)),N(J69)&lt;0),"Prix invalide",IF(OR(AND(F69&lt;&gt;"",NOT(ISNUMBER(F69))),N(F69)&lt;0,N(F69)&gt;1),"Remise invalide",IF(K69="","Taux de TVA manquant",IF(NOT(ISNUMBER(K69)),"Taux de TVA invalide",IF(COUNTIF(p_rates,K69)=0,"Taux de TVA hors liste (Paramètres)",IF(N(O69)&gt;25,"Au-delà de 25 lignes : non imprimée","OK")))))))))))))</f>
        <v/>
      </c>
      <c r="O69" s="59" t="str">
        <f>IF(A69="","",COUNTIF($A$6:A69,A69))</f>
        <v/>
      </c>
      <c r="P69" s="62" t="str">
        <f>IF(A69="","",A69&amp;"|"&amp;O69)</f>
        <v/>
      </c>
    </row>
    <row r="70">
      <c r="A70" s="60" t="n"/>
      <c r="B70" s="63" t="n"/>
      <c r="C70" s="63" t="n"/>
      <c r="D70" s="67" t="n"/>
      <c r="E70" s="68" t="n"/>
      <c r="F70" s="69" t="n"/>
      <c r="G70" s="70" t="n"/>
      <c r="H70" s="62" t="str">
        <f>IF(COUNTA(A70:G70)=0,"",IF(C70&lt;&gt;"",C70,IF(B70="","",IFERROR(INDEX(pr_des,MATCH(B70,pr_code,0))&amp;"",""))))</f>
        <v/>
      </c>
      <c r="I70" s="59" t="str">
        <f>IF(B70="","",IFERROR(INDEX(pr_unit,MATCH(B70,pr_code,0))&amp;"",""))</f>
        <v/>
      </c>
      <c r="J70" s="65" t="str">
        <f>IF(COUNTA(A70:G70)=0,"",IF(E70&lt;&gt;"",E70,IF(B70="","",IFERROR(IF(INDEX(pr_price,MATCH(B70,pr_code,0))="","",INDEX(pr_price,MATCH(B70,pr_code,0))),""))))</f>
        <v/>
      </c>
      <c r="K70" s="71" t="str">
        <f>IF(COUNTA(A70:G70)=0,"",IF(G70&lt;&gt;"",G70,IF(B70="","",IFERROR(IF(INDEX(pr_rate,MATCH(B70,pr_code,0))="","",INDEX(pr_rate,MATCH(B70,pr_code,0))),""))))</f>
        <v/>
      </c>
      <c r="L70" s="65" t="str">
        <f>IF(COUNTA(A70:G70)=0,"",IF(AND(ISNUMBER(D70),ISNUMBER(J70)),ROUND(D70*J70*(1-N(F70)),2),0))</f>
        <v/>
      </c>
      <c r="M70" s="62" t="str">
        <f>IF(A70="","",IFERROR(INDEX(fa_cname,MATCH(A70,fa_num,0))&amp;"",""))</f>
        <v/>
      </c>
      <c r="N70" s="59" t="str">
        <f>IF(COUNTA(A70:G70)=0,"",IF(A70="","N° facture manquant",IF(ISNA(MATCH(A70,fa_num,0)),"Facture inconnue",IF(AND(B70&lt;&gt;"",ISNA(MATCH(B70,pr_code,0))),"Article inconnu",IF(H70="","Désignation manquante",IF(OR(NOT(ISNUMBER(D70)),N(D70)&lt;=0),"Quantité invalide",IF(J70="","Prix manquant",IF(OR(NOT(ISNUMBER(J70)),N(J70)&lt;0),"Prix invalide",IF(OR(AND(F70&lt;&gt;"",NOT(ISNUMBER(F70))),N(F70)&lt;0,N(F70)&gt;1),"Remise invalide",IF(K70="","Taux de TVA manquant",IF(NOT(ISNUMBER(K70)),"Taux de TVA invalide",IF(COUNTIF(p_rates,K70)=0,"Taux de TVA hors liste (Paramètres)",IF(N(O70)&gt;25,"Au-delà de 25 lignes : non imprimée","OK")))))))))))))</f>
        <v/>
      </c>
      <c r="O70" s="59" t="str">
        <f>IF(A70="","",COUNTIF($A$6:A70,A70))</f>
        <v/>
      </c>
      <c r="P70" s="62" t="str">
        <f>IF(A70="","",A70&amp;"|"&amp;O70)</f>
        <v/>
      </c>
    </row>
    <row r="71">
      <c r="A71" s="60" t="n"/>
      <c r="B71" s="63" t="n"/>
      <c r="C71" s="63" t="n"/>
      <c r="D71" s="67" t="n"/>
      <c r="E71" s="68" t="n"/>
      <c r="F71" s="69" t="n"/>
      <c r="G71" s="70" t="n"/>
      <c r="H71" s="62" t="str">
        <f>IF(COUNTA(A71:G71)=0,"",IF(C71&lt;&gt;"",C71,IF(B71="","",IFERROR(INDEX(pr_des,MATCH(B71,pr_code,0))&amp;"",""))))</f>
        <v/>
      </c>
      <c r="I71" s="59" t="str">
        <f>IF(B71="","",IFERROR(INDEX(pr_unit,MATCH(B71,pr_code,0))&amp;"",""))</f>
        <v/>
      </c>
      <c r="J71" s="65" t="str">
        <f>IF(COUNTA(A71:G71)=0,"",IF(E71&lt;&gt;"",E71,IF(B71="","",IFERROR(IF(INDEX(pr_price,MATCH(B71,pr_code,0))="","",INDEX(pr_price,MATCH(B71,pr_code,0))),""))))</f>
        <v/>
      </c>
      <c r="K71" s="71" t="str">
        <f>IF(COUNTA(A71:G71)=0,"",IF(G71&lt;&gt;"",G71,IF(B71="","",IFERROR(IF(INDEX(pr_rate,MATCH(B71,pr_code,0))="","",INDEX(pr_rate,MATCH(B71,pr_code,0))),""))))</f>
        <v/>
      </c>
      <c r="L71" s="65" t="str">
        <f>IF(COUNTA(A71:G71)=0,"",IF(AND(ISNUMBER(D71),ISNUMBER(J71)),ROUND(D71*J71*(1-N(F71)),2),0))</f>
        <v/>
      </c>
      <c r="M71" s="62" t="str">
        <f>IF(A71="","",IFERROR(INDEX(fa_cname,MATCH(A71,fa_num,0))&amp;"",""))</f>
        <v/>
      </c>
      <c r="N71" s="59" t="str">
        <f>IF(COUNTA(A71:G71)=0,"",IF(A71="","N° facture manquant",IF(ISNA(MATCH(A71,fa_num,0)),"Facture inconnue",IF(AND(B71&lt;&gt;"",ISNA(MATCH(B71,pr_code,0))),"Article inconnu",IF(H71="","Désignation manquante",IF(OR(NOT(ISNUMBER(D71)),N(D71)&lt;=0),"Quantité invalide",IF(J71="","Prix manquant",IF(OR(NOT(ISNUMBER(J71)),N(J71)&lt;0),"Prix invalide",IF(OR(AND(F71&lt;&gt;"",NOT(ISNUMBER(F71))),N(F71)&lt;0,N(F71)&gt;1),"Remise invalide",IF(K71="","Taux de TVA manquant",IF(NOT(ISNUMBER(K71)),"Taux de TVA invalide",IF(COUNTIF(p_rates,K71)=0,"Taux de TVA hors liste (Paramètres)",IF(N(O71)&gt;25,"Au-delà de 25 lignes : non imprimée","OK")))))))))))))</f>
        <v/>
      </c>
      <c r="O71" s="59" t="str">
        <f>IF(A71="","",COUNTIF($A$6:A71,A71))</f>
        <v/>
      </c>
      <c r="P71" s="62" t="str">
        <f>IF(A71="","",A71&amp;"|"&amp;O71)</f>
        <v/>
      </c>
    </row>
    <row r="72">
      <c r="A72" s="60" t="n"/>
      <c r="B72" s="63" t="n"/>
      <c r="C72" s="63" t="n"/>
      <c r="D72" s="67" t="n"/>
      <c r="E72" s="68" t="n"/>
      <c r="F72" s="69" t="n"/>
      <c r="G72" s="70" t="n"/>
      <c r="H72" s="62" t="str">
        <f>IF(COUNTA(A72:G72)=0,"",IF(C72&lt;&gt;"",C72,IF(B72="","",IFERROR(INDEX(pr_des,MATCH(B72,pr_code,0))&amp;"",""))))</f>
        <v/>
      </c>
      <c r="I72" s="59" t="str">
        <f>IF(B72="","",IFERROR(INDEX(pr_unit,MATCH(B72,pr_code,0))&amp;"",""))</f>
        <v/>
      </c>
      <c r="J72" s="65" t="str">
        <f>IF(COUNTA(A72:G72)=0,"",IF(E72&lt;&gt;"",E72,IF(B72="","",IFERROR(IF(INDEX(pr_price,MATCH(B72,pr_code,0))="","",INDEX(pr_price,MATCH(B72,pr_code,0))),""))))</f>
        <v/>
      </c>
      <c r="K72" s="71" t="str">
        <f>IF(COUNTA(A72:G72)=0,"",IF(G72&lt;&gt;"",G72,IF(B72="","",IFERROR(IF(INDEX(pr_rate,MATCH(B72,pr_code,0))="","",INDEX(pr_rate,MATCH(B72,pr_code,0))),""))))</f>
        <v/>
      </c>
      <c r="L72" s="65" t="str">
        <f>IF(COUNTA(A72:G72)=0,"",IF(AND(ISNUMBER(D72),ISNUMBER(J72)),ROUND(D72*J72*(1-N(F72)),2),0))</f>
        <v/>
      </c>
      <c r="M72" s="62" t="str">
        <f>IF(A72="","",IFERROR(INDEX(fa_cname,MATCH(A72,fa_num,0))&amp;"",""))</f>
        <v/>
      </c>
      <c r="N72" s="59" t="str">
        <f>IF(COUNTA(A72:G72)=0,"",IF(A72="","N° facture manquant",IF(ISNA(MATCH(A72,fa_num,0)),"Facture inconnue",IF(AND(B72&lt;&gt;"",ISNA(MATCH(B72,pr_code,0))),"Article inconnu",IF(H72="","Désignation manquante",IF(OR(NOT(ISNUMBER(D72)),N(D72)&lt;=0),"Quantité invalide",IF(J72="","Prix manquant",IF(OR(NOT(ISNUMBER(J72)),N(J72)&lt;0),"Prix invalide",IF(OR(AND(F72&lt;&gt;"",NOT(ISNUMBER(F72))),N(F72)&lt;0,N(F72)&gt;1),"Remise invalide",IF(K72="","Taux de TVA manquant",IF(NOT(ISNUMBER(K72)),"Taux de TVA invalide",IF(COUNTIF(p_rates,K72)=0,"Taux de TVA hors liste (Paramètres)",IF(N(O72)&gt;25,"Au-delà de 25 lignes : non imprimée","OK")))))))))))))</f>
        <v/>
      </c>
      <c r="O72" s="59" t="str">
        <f>IF(A72="","",COUNTIF($A$6:A72,A72))</f>
        <v/>
      </c>
      <c r="P72" s="62" t="str">
        <f>IF(A72="","",A72&amp;"|"&amp;O72)</f>
        <v/>
      </c>
    </row>
    <row r="73">
      <c r="A73" s="60" t="n"/>
      <c r="B73" s="63" t="n"/>
      <c r="C73" s="63" t="n"/>
      <c r="D73" s="67" t="n"/>
      <c r="E73" s="68" t="n"/>
      <c r="F73" s="69" t="n"/>
      <c r="G73" s="70" t="n"/>
      <c r="H73" s="62" t="str">
        <f>IF(COUNTA(A73:G73)=0,"",IF(C73&lt;&gt;"",C73,IF(B73="","",IFERROR(INDEX(pr_des,MATCH(B73,pr_code,0))&amp;"",""))))</f>
        <v/>
      </c>
      <c r="I73" s="59" t="str">
        <f>IF(B73="","",IFERROR(INDEX(pr_unit,MATCH(B73,pr_code,0))&amp;"",""))</f>
        <v/>
      </c>
      <c r="J73" s="65" t="str">
        <f>IF(COUNTA(A73:G73)=0,"",IF(E73&lt;&gt;"",E73,IF(B73="","",IFERROR(IF(INDEX(pr_price,MATCH(B73,pr_code,0))="","",INDEX(pr_price,MATCH(B73,pr_code,0))),""))))</f>
        <v/>
      </c>
      <c r="K73" s="71" t="str">
        <f>IF(COUNTA(A73:G73)=0,"",IF(G73&lt;&gt;"",G73,IF(B73="","",IFERROR(IF(INDEX(pr_rate,MATCH(B73,pr_code,0))="","",INDEX(pr_rate,MATCH(B73,pr_code,0))),""))))</f>
        <v/>
      </c>
      <c r="L73" s="65" t="str">
        <f>IF(COUNTA(A73:G73)=0,"",IF(AND(ISNUMBER(D73),ISNUMBER(J73)),ROUND(D73*J73*(1-N(F73)),2),0))</f>
        <v/>
      </c>
      <c r="M73" s="62" t="str">
        <f>IF(A73="","",IFERROR(INDEX(fa_cname,MATCH(A73,fa_num,0))&amp;"",""))</f>
        <v/>
      </c>
      <c r="N73" s="59" t="str">
        <f>IF(COUNTA(A73:G73)=0,"",IF(A73="","N° facture manquant",IF(ISNA(MATCH(A73,fa_num,0)),"Facture inconnue",IF(AND(B73&lt;&gt;"",ISNA(MATCH(B73,pr_code,0))),"Article inconnu",IF(H73="","Désignation manquante",IF(OR(NOT(ISNUMBER(D73)),N(D73)&lt;=0),"Quantité invalide",IF(J73="","Prix manquant",IF(OR(NOT(ISNUMBER(J73)),N(J73)&lt;0),"Prix invalide",IF(OR(AND(F73&lt;&gt;"",NOT(ISNUMBER(F73))),N(F73)&lt;0,N(F73)&gt;1),"Remise invalide",IF(K73="","Taux de TVA manquant",IF(NOT(ISNUMBER(K73)),"Taux de TVA invalide",IF(COUNTIF(p_rates,K73)=0,"Taux de TVA hors liste (Paramètres)",IF(N(O73)&gt;25,"Au-delà de 25 lignes : non imprimée","OK")))))))))))))</f>
        <v/>
      </c>
      <c r="O73" s="59" t="str">
        <f>IF(A73="","",COUNTIF($A$6:A73,A73))</f>
        <v/>
      </c>
      <c r="P73" s="62" t="str">
        <f>IF(A73="","",A73&amp;"|"&amp;O73)</f>
        <v/>
      </c>
    </row>
    <row r="74">
      <c r="A74" s="60" t="n"/>
      <c r="B74" s="63" t="n"/>
      <c r="C74" s="63" t="n"/>
      <c r="D74" s="67" t="n"/>
      <c r="E74" s="68" t="n"/>
      <c r="F74" s="69" t="n"/>
      <c r="G74" s="70" t="n"/>
      <c r="H74" s="62" t="str">
        <f>IF(COUNTA(A74:G74)=0,"",IF(C74&lt;&gt;"",C74,IF(B74="","",IFERROR(INDEX(pr_des,MATCH(B74,pr_code,0))&amp;"",""))))</f>
        <v/>
      </c>
      <c r="I74" s="59" t="str">
        <f>IF(B74="","",IFERROR(INDEX(pr_unit,MATCH(B74,pr_code,0))&amp;"",""))</f>
        <v/>
      </c>
      <c r="J74" s="65" t="str">
        <f>IF(COUNTA(A74:G74)=0,"",IF(E74&lt;&gt;"",E74,IF(B74="","",IFERROR(IF(INDEX(pr_price,MATCH(B74,pr_code,0))="","",INDEX(pr_price,MATCH(B74,pr_code,0))),""))))</f>
        <v/>
      </c>
      <c r="K74" s="71" t="str">
        <f>IF(COUNTA(A74:G74)=0,"",IF(G74&lt;&gt;"",G74,IF(B74="","",IFERROR(IF(INDEX(pr_rate,MATCH(B74,pr_code,0))="","",INDEX(pr_rate,MATCH(B74,pr_code,0))),""))))</f>
        <v/>
      </c>
      <c r="L74" s="65" t="str">
        <f>IF(COUNTA(A74:G74)=0,"",IF(AND(ISNUMBER(D74),ISNUMBER(J74)),ROUND(D74*J74*(1-N(F74)),2),0))</f>
        <v/>
      </c>
      <c r="M74" s="62" t="str">
        <f>IF(A74="","",IFERROR(INDEX(fa_cname,MATCH(A74,fa_num,0))&amp;"",""))</f>
        <v/>
      </c>
      <c r="N74" s="59" t="str">
        <f>IF(COUNTA(A74:G74)=0,"",IF(A74="","N° facture manquant",IF(ISNA(MATCH(A74,fa_num,0)),"Facture inconnue",IF(AND(B74&lt;&gt;"",ISNA(MATCH(B74,pr_code,0))),"Article inconnu",IF(H74="","Désignation manquante",IF(OR(NOT(ISNUMBER(D74)),N(D74)&lt;=0),"Quantité invalide",IF(J74="","Prix manquant",IF(OR(NOT(ISNUMBER(J74)),N(J74)&lt;0),"Prix invalide",IF(OR(AND(F74&lt;&gt;"",NOT(ISNUMBER(F74))),N(F74)&lt;0,N(F74)&gt;1),"Remise invalide",IF(K74="","Taux de TVA manquant",IF(NOT(ISNUMBER(K74)),"Taux de TVA invalide",IF(COUNTIF(p_rates,K74)=0,"Taux de TVA hors liste (Paramètres)",IF(N(O74)&gt;25,"Au-delà de 25 lignes : non imprimée","OK")))))))))))))</f>
        <v/>
      </c>
      <c r="O74" s="59" t="str">
        <f>IF(A74="","",COUNTIF($A$6:A74,A74))</f>
        <v/>
      </c>
      <c r="P74" s="62" t="str">
        <f>IF(A74="","",A74&amp;"|"&amp;O74)</f>
        <v/>
      </c>
    </row>
    <row r="75">
      <c r="A75" s="60" t="n"/>
      <c r="B75" s="63" t="n"/>
      <c r="C75" s="63" t="n"/>
      <c r="D75" s="67" t="n"/>
      <c r="E75" s="68" t="n"/>
      <c r="F75" s="69" t="n"/>
      <c r="G75" s="70" t="n"/>
      <c r="H75" s="62" t="str">
        <f>IF(COUNTA(A75:G75)=0,"",IF(C75&lt;&gt;"",C75,IF(B75="","",IFERROR(INDEX(pr_des,MATCH(B75,pr_code,0))&amp;"",""))))</f>
        <v/>
      </c>
      <c r="I75" s="59" t="str">
        <f>IF(B75="","",IFERROR(INDEX(pr_unit,MATCH(B75,pr_code,0))&amp;"",""))</f>
        <v/>
      </c>
      <c r="J75" s="65" t="str">
        <f>IF(COUNTA(A75:G75)=0,"",IF(E75&lt;&gt;"",E75,IF(B75="","",IFERROR(IF(INDEX(pr_price,MATCH(B75,pr_code,0))="","",INDEX(pr_price,MATCH(B75,pr_code,0))),""))))</f>
        <v/>
      </c>
      <c r="K75" s="71" t="str">
        <f>IF(COUNTA(A75:G75)=0,"",IF(G75&lt;&gt;"",G75,IF(B75="","",IFERROR(IF(INDEX(pr_rate,MATCH(B75,pr_code,0))="","",INDEX(pr_rate,MATCH(B75,pr_code,0))),""))))</f>
        <v/>
      </c>
      <c r="L75" s="65" t="str">
        <f>IF(COUNTA(A75:G75)=0,"",IF(AND(ISNUMBER(D75),ISNUMBER(J75)),ROUND(D75*J75*(1-N(F75)),2),0))</f>
        <v/>
      </c>
      <c r="M75" s="62" t="str">
        <f>IF(A75="","",IFERROR(INDEX(fa_cname,MATCH(A75,fa_num,0))&amp;"",""))</f>
        <v/>
      </c>
      <c r="N75" s="59" t="str">
        <f>IF(COUNTA(A75:G75)=0,"",IF(A75="","N° facture manquant",IF(ISNA(MATCH(A75,fa_num,0)),"Facture inconnue",IF(AND(B75&lt;&gt;"",ISNA(MATCH(B75,pr_code,0))),"Article inconnu",IF(H75="","Désignation manquante",IF(OR(NOT(ISNUMBER(D75)),N(D75)&lt;=0),"Quantité invalide",IF(J75="","Prix manquant",IF(OR(NOT(ISNUMBER(J75)),N(J75)&lt;0),"Prix invalide",IF(OR(AND(F75&lt;&gt;"",NOT(ISNUMBER(F75))),N(F75)&lt;0,N(F75)&gt;1),"Remise invalide",IF(K75="","Taux de TVA manquant",IF(NOT(ISNUMBER(K75)),"Taux de TVA invalide",IF(COUNTIF(p_rates,K75)=0,"Taux de TVA hors liste (Paramètres)",IF(N(O75)&gt;25,"Au-delà de 25 lignes : non imprimée","OK")))))))))))))</f>
        <v/>
      </c>
      <c r="O75" s="59" t="str">
        <f>IF(A75="","",COUNTIF($A$6:A75,A75))</f>
        <v/>
      </c>
      <c r="P75" s="62" t="str">
        <f>IF(A75="","",A75&amp;"|"&amp;O75)</f>
        <v/>
      </c>
    </row>
    <row r="76">
      <c r="A76" s="60" t="n"/>
      <c r="B76" s="63" t="n"/>
      <c r="C76" s="63" t="n"/>
      <c r="D76" s="67" t="n"/>
      <c r="E76" s="68" t="n"/>
      <c r="F76" s="69" t="n"/>
      <c r="G76" s="70" t="n"/>
      <c r="H76" s="62" t="str">
        <f>IF(COUNTA(A76:G76)=0,"",IF(C76&lt;&gt;"",C76,IF(B76="","",IFERROR(INDEX(pr_des,MATCH(B76,pr_code,0))&amp;"",""))))</f>
        <v/>
      </c>
      <c r="I76" s="59" t="str">
        <f>IF(B76="","",IFERROR(INDEX(pr_unit,MATCH(B76,pr_code,0))&amp;"",""))</f>
        <v/>
      </c>
      <c r="J76" s="65" t="str">
        <f>IF(COUNTA(A76:G76)=0,"",IF(E76&lt;&gt;"",E76,IF(B76="","",IFERROR(IF(INDEX(pr_price,MATCH(B76,pr_code,0))="","",INDEX(pr_price,MATCH(B76,pr_code,0))),""))))</f>
        <v/>
      </c>
      <c r="K76" s="71" t="str">
        <f>IF(COUNTA(A76:G76)=0,"",IF(G76&lt;&gt;"",G76,IF(B76="","",IFERROR(IF(INDEX(pr_rate,MATCH(B76,pr_code,0))="","",INDEX(pr_rate,MATCH(B76,pr_code,0))),""))))</f>
        <v/>
      </c>
      <c r="L76" s="65" t="str">
        <f>IF(COUNTA(A76:G76)=0,"",IF(AND(ISNUMBER(D76),ISNUMBER(J76)),ROUND(D76*J76*(1-N(F76)),2),0))</f>
        <v/>
      </c>
      <c r="M76" s="62" t="str">
        <f>IF(A76="","",IFERROR(INDEX(fa_cname,MATCH(A76,fa_num,0))&amp;"",""))</f>
        <v/>
      </c>
      <c r="N76" s="59" t="str">
        <f>IF(COUNTA(A76:G76)=0,"",IF(A76="","N° facture manquant",IF(ISNA(MATCH(A76,fa_num,0)),"Facture inconnue",IF(AND(B76&lt;&gt;"",ISNA(MATCH(B76,pr_code,0))),"Article inconnu",IF(H76="","Désignation manquante",IF(OR(NOT(ISNUMBER(D76)),N(D76)&lt;=0),"Quantité invalide",IF(J76="","Prix manquant",IF(OR(NOT(ISNUMBER(J76)),N(J76)&lt;0),"Prix invalide",IF(OR(AND(F76&lt;&gt;"",NOT(ISNUMBER(F76))),N(F76)&lt;0,N(F76)&gt;1),"Remise invalide",IF(K76="","Taux de TVA manquant",IF(NOT(ISNUMBER(K76)),"Taux de TVA invalide",IF(COUNTIF(p_rates,K76)=0,"Taux de TVA hors liste (Paramètres)",IF(N(O76)&gt;25,"Au-delà de 25 lignes : non imprimée","OK")))))))))))))</f>
        <v/>
      </c>
      <c r="O76" s="59" t="str">
        <f>IF(A76="","",COUNTIF($A$6:A76,A76))</f>
        <v/>
      </c>
      <c r="P76" s="62" t="str">
        <f>IF(A76="","",A76&amp;"|"&amp;O76)</f>
        <v/>
      </c>
    </row>
    <row r="77">
      <c r="A77" s="60" t="n"/>
      <c r="B77" s="63" t="n"/>
      <c r="C77" s="63" t="n"/>
      <c r="D77" s="67" t="n"/>
      <c r="E77" s="68" t="n"/>
      <c r="F77" s="69" t="n"/>
      <c r="G77" s="70" t="n"/>
      <c r="H77" s="62" t="str">
        <f>IF(COUNTA(A77:G77)=0,"",IF(C77&lt;&gt;"",C77,IF(B77="","",IFERROR(INDEX(pr_des,MATCH(B77,pr_code,0))&amp;"",""))))</f>
        <v/>
      </c>
      <c r="I77" s="59" t="str">
        <f>IF(B77="","",IFERROR(INDEX(pr_unit,MATCH(B77,pr_code,0))&amp;"",""))</f>
        <v/>
      </c>
      <c r="J77" s="65" t="str">
        <f>IF(COUNTA(A77:G77)=0,"",IF(E77&lt;&gt;"",E77,IF(B77="","",IFERROR(IF(INDEX(pr_price,MATCH(B77,pr_code,0))="","",INDEX(pr_price,MATCH(B77,pr_code,0))),""))))</f>
        <v/>
      </c>
      <c r="K77" s="71" t="str">
        <f>IF(COUNTA(A77:G77)=0,"",IF(G77&lt;&gt;"",G77,IF(B77="","",IFERROR(IF(INDEX(pr_rate,MATCH(B77,pr_code,0))="","",INDEX(pr_rate,MATCH(B77,pr_code,0))),""))))</f>
        <v/>
      </c>
      <c r="L77" s="65" t="str">
        <f>IF(COUNTA(A77:G77)=0,"",IF(AND(ISNUMBER(D77),ISNUMBER(J77)),ROUND(D77*J77*(1-N(F77)),2),0))</f>
        <v/>
      </c>
      <c r="M77" s="62" t="str">
        <f>IF(A77="","",IFERROR(INDEX(fa_cname,MATCH(A77,fa_num,0))&amp;"",""))</f>
        <v/>
      </c>
      <c r="N77" s="59" t="str">
        <f>IF(COUNTA(A77:G77)=0,"",IF(A77="","N° facture manquant",IF(ISNA(MATCH(A77,fa_num,0)),"Facture inconnue",IF(AND(B77&lt;&gt;"",ISNA(MATCH(B77,pr_code,0))),"Article inconnu",IF(H77="","Désignation manquante",IF(OR(NOT(ISNUMBER(D77)),N(D77)&lt;=0),"Quantité invalide",IF(J77="","Prix manquant",IF(OR(NOT(ISNUMBER(J77)),N(J77)&lt;0),"Prix invalide",IF(OR(AND(F77&lt;&gt;"",NOT(ISNUMBER(F77))),N(F77)&lt;0,N(F77)&gt;1),"Remise invalide",IF(K77="","Taux de TVA manquant",IF(NOT(ISNUMBER(K77)),"Taux de TVA invalide",IF(COUNTIF(p_rates,K77)=0,"Taux de TVA hors liste (Paramètres)",IF(N(O77)&gt;25,"Au-delà de 25 lignes : non imprimée","OK")))))))))))))</f>
        <v/>
      </c>
      <c r="O77" s="59" t="str">
        <f>IF(A77="","",COUNTIF($A$6:A77,A77))</f>
        <v/>
      </c>
      <c r="P77" s="62" t="str">
        <f>IF(A77="","",A77&amp;"|"&amp;O77)</f>
        <v/>
      </c>
    </row>
    <row r="78">
      <c r="A78" s="60" t="n"/>
      <c r="B78" s="63" t="n"/>
      <c r="C78" s="63" t="n"/>
      <c r="D78" s="67" t="n"/>
      <c r="E78" s="68" t="n"/>
      <c r="F78" s="69" t="n"/>
      <c r="G78" s="70" t="n"/>
      <c r="H78" s="62" t="str">
        <f>IF(COUNTA(A78:G78)=0,"",IF(C78&lt;&gt;"",C78,IF(B78="","",IFERROR(INDEX(pr_des,MATCH(B78,pr_code,0))&amp;"",""))))</f>
        <v/>
      </c>
      <c r="I78" s="59" t="str">
        <f>IF(B78="","",IFERROR(INDEX(pr_unit,MATCH(B78,pr_code,0))&amp;"",""))</f>
        <v/>
      </c>
      <c r="J78" s="65" t="str">
        <f>IF(COUNTA(A78:G78)=0,"",IF(E78&lt;&gt;"",E78,IF(B78="","",IFERROR(IF(INDEX(pr_price,MATCH(B78,pr_code,0))="","",INDEX(pr_price,MATCH(B78,pr_code,0))),""))))</f>
        <v/>
      </c>
      <c r="K78" s="71" t="str">
        <f>IF(COUNTA(A78:G78)=0,"",IF(G78&lt;&gt;"",G78,IF(B78="","",IFERROR(IF(INDEX(pr_rate,MATCH(B78,pr_code,0))="","",INDEX(pr_rate,MATCH(B78,pr_code,0))),""))))</f>
        <v/>
      </c>
      <c r="L78" s="65" t="str">
        <f>IF(COUNTA(A78:G78)=0,"",IF(AND(ISNUMBER(D78),ISNUMBER(J78)),ROUND(D78*J78*(1-N(F78)),2),0))</f>
        <v/>
      </c>
      <c r="M78" s="62" t="str">
        <f>IF(A78="","",IFERROR(INDEX(fa_cname,MATCH(A78,fa_num,0))&amp;"",""))</f>
        <v/>
      </c>
      <c r="N78" s="59" t="str">
        <f>IF(COUNTA(A78:G78)=0,"",IF(A78="","N° facture manquant",IF(ISNA(MATCH(A78,fa_num,0)),"Facture inconnue",IF(AND(B78&lt;&gt;"",ISNA(MATCH(B78,pr_code,0))),"Article inconnu",IF(H78="","Désignation manquante",IF(OR(NOT(ISNUMBER(D78)),N(D78)&lt;=0),"Quantité invalide",IF(J78="","Prix manquant",IF(OR(NOT(ISNUMBER(J78)),N(J78)&lt;0),"Prix invalide",IF(OR(AND(F78&lt;&gt;"",NOT(ISNUMBER(F78))),N(F78)&lt;0,N(F78)&gt;1),"Remise invalide",IF(K78="","Taux de TVA manquant",IF(NOT(ISNUMBER(K78)),"Taux de TVA invalide",IF(COUNTIF(p_rates,K78)=0,"Taux de TVA hors liste (Paramètres)",IF(N(O78)&gt;25,"Au-delà de 25 lignes : non imprimée","OK")))))))))))))</f>
        <v/>
      </c>
      <c r="O78" s="59" t="str">
        <f>IF(A78="","",COUNTIF($A$6:A78,A78))</f>
        <v/>
      </c>
      <c r="P78" s="62" t="str">
        <f>IF(A78="","",A78&amp;"|"&amp;O78)</f>
        <v/>
      </c>
    </row>
    <row r="79">
      <c r="A79" s="60" t="n"/>
      <c r="B79" s="63" t="n"/>
      <c r="C79" s="63" t="n"/>
      <c r="D79" s="67" t="n"/>
      <c r="E79" s="68" t="n"/>
      <c r="F79" s="69" t="n"/>
      <c r="G79" s="70" t="n"/>
      <c r="H79" s="62" t="str">
        <f>IF(COUNTA(A79:G79)=0,"",IF(C79&lt;&gt;"",C79,IF(B79="","",IFERROR(INDEX(pr_des,MATCH(B79,pr_code,0))&amp;"",""))))</f>
        <v/>
      </c>
      <c r="I79" s="59" t="str">
        <f>IF(B79="","",IFERROR(INDEX(pr_unit,MATCH(B79,pr_code,0))&amp;"",""))</f>
        <v/>
      </c>
      <c r="J79" s="65" t="str">
        <f>IF(COUNTA(A79:G79)=0,"",IF(E79&lt;&gt;"",E79,IF(B79="","",IFERROR(IF(INDEX(pr_price,MATCH(B79,pr_code,0))="","",INDEX(pr_price,MATCH(B79,pr_code,0))),""))))</f>
        <v/>
      </c>
      <c r="K79" s="71" t="str">
        <f>IF(COUNTA(A79:G79)=0,"",IF(G79&lt;&gt;"",G79,IF(B79="","",IFERROR(IF(INDEX(pr_rate,MATCH(B79,pr_code,0))="","",INDEX(pr_rate,MATCH(B79,pr_code,0))),""))))</f>
        <v/>
      </c>
      <c r="L79" s="65" t="str">
        <f>IF(COUNTA(A79:G79)=0,"",IF(AND(ISNUMBER(D79),ISNUMBER(J79)),ROUND(D79*J79*(1-N(F79)),2),0))</f>
        <v/>
      </c>
      <c r="M79" s="62" t="str">
        <f>IF(A79="","",IFERROR(INDEX(fa_cname,MATCH(A79,fa_num,0))&amp;"",""))</f>
        <v/>
      </c>
      <c r="N79" s="59" t="str">
        <f>IF(COUNTA(A79:G79)=0,"",IF(A79="","N° facture manquant",IF(ISNA(MATCH(A79,fa_num,0)),"Facture inconnue",IF(AND(B79&lt;&gt;"",ISNA(MATCH(B79,pr_code,0))),"Article inconnu",IF(H79="","Désignation manquante",IF(OR(NOT(ISNUMBER(D79)),N(D79)&lt;=0),"Quantité invalide",IF(J79="","Prix manquant",IF(OR(NOT(ISNUMBER(J79)),N(J79)&lt;0),"Prix invalide",IF(OR(AND(F79&lt;&gt;"",NOT(ISNUMBER(F79))),N(F79)&lt;0,N(F79)&gt;1),"Remise invalide",IF(K79="","Taux de TVA manquant",IF(NOT(ISNUMBER(K79)),"Taux de TVA invalide",IF(COUNTIF(p_rates,K79)=0,"Taux de TVA hors liste (Paramètres)",IF(N(O79)&gt;25,"Au-delà de 25 lignes : non imprimée","OK")))))))))))))</f>
        <v/>
      </c>
      <c r="O79" s="59" t="str">
        <f>IF(A79="","",COUNTIF($A$6:A79,A79))</f>
        <v/>
      </c>
      <c r="P79" s="62" t="str">
        <f>IF(A79="","",A79&amp;"|"&amp;O79)</f>
        <v/>
      </c>
    </row>
    <row r="80">
      <c r="A80" s="60" t="n"/>
      <c r="B80" s="63" t="n"/>
      <c r="C80" s="63" t="n"/>
      <c r="D80" s="67" t="n"/>
      <c r="E80" s="68" t="n"/>
      <c r="F80" s="69" t="n"/>
      <c r="G80" s="70" t="n"/>
      <c r="H80" s="62" t="str">
        <f>IF(COUNTA(A80:G80)=0,"",IF(C80&lt;&gt;"",C80,IF(B80="","",IFERROR(INDEX(pr_des,MATCH(B80,pr_code,0))&amp;"",""))))</f>
        <v/>
      </c>
      <c r="I80" s="59" t="str">
        <f>IF(B80="","",IFERROR(INDEX(pr_unit,MATCH(B80,pr_code,0))&amp;"",""))</f>
        <v/>
      </c>
      <c r="J80" s="65" t="str">
        <f>IF(COUNTA(A80:G80)=0,"",IF(E80&lt;&gt;"",E80,IF(B80="","",IFERROR(IF(INDEX(pr_price,MATCH(B80,pr_code,0))="","",INDEX(pr_price,MATCH(B80,pr_code,0))),""))))</f>
        <v/>
      </c>
      <c r="K80" s="71" t="str">
        <f>IF(COUNTA(A80:G80)=0,"",IF(G80&lt;&gt;"",G80,IF(B80="","",IFERROR(IF(INDEX(pr_rate,MATCH(B80,pr_code,0))="","",INDEX(pr_rate,MATCH(B80,pr_code,0))),""))))</f>
        <v/>
      </c>
      <c r="L80" s="65" t="str">
        <f>IF(COUNTA(A80:G80)=0,"",IF(AND(ISNUMBER(D80),ISNUMBER(J80)),ROUND(D80*J80*(1-N(F80)),2),0))</f>
        <v/>
      </c>
      <c r="M80" s="62" t="str">
        <f>IF(A80="","",IFERROR(INDEX(fa_cname,MATCH(A80,fa_num,0))&amp;"",""))</f>
        <v/>
      </c>
      <c r="N80" s="59" t="str">
        <f>IF(COUNTA(A80:G80)=0,"",IF(A80="","N° facture manquant",IF(ISNA(MATCH(A80,fa_num,0)),"Facture inconnue",IF(AND(B80&lt;&gt;"",ISNA(MATCH(B80,pr_code,0))),"Article inconnu",IF(H80="","Désignation manquante",IF(OR(NOT(ISNUMBER(D80)),N(D80)&lt;=0),"Quantité invalide",IF(J80="","Prix manquant",IF(OR(NOT(ISNUMBER(J80)),N(J80)&lt;0),"Prix invalide",IF(OR(AND(F80&lt;&gt;"",NOT(ISNUMBER(F80))),N(F80)&lt;0,N(F80)&gt;1),"Remise invalide",IF(K80="","Taux de TVA manquant",IF(NOT(ISNUMBER(K80)),"Taux de TVA invalide",IF(COUNTIF(p_rates,K80)=0,"Taux de TVA hors liste (Paramètres)",IF(N(O80)&gt;25,"Au-delà de 25 lignes : non imprimée","OK")))))))))))))</f>
        <v/>
      </c>
      <c r="O80" s="59" t="str">
        <f>IF(A80="","",COUNTIF($A$6:A80,A80))</f>
        <v/>
      </c>
      <c r="P80" s="62" t="str">
        <f>IF(A80="","",A80&amp;"|"&amp;O80)</f>
        <v/>
      </c>
    </row>
    <row r="81">
      <c r="A81" s="60" t="n"/>
      <c r="B81" s="63" t="n"/>
      <c r="C81" s="63" t="n"/>
      <c r="D81" s="67" t="n"/>
      <c r="E81" s="68" t="n"/>
      <c r="F81" s="69" t="n"/>
      <c r="G81" s="70" t="n"/>
      <c r="H81" s="62" t="str">
        <f>IF(COUNTA(A81:G81)=0,"",IF(C81&lt;&gt;"",C81,IF(B81="","",IFERROR(INDEX(pr_des,MATCH(B81,pr_code,0))&amp;"",""))))</f>
        <v/>
      </c>
      <c r="I81" s="59" t="str">
        <f>IF(B81="","",IFERROR(INDEX(pr_unit,MATCH(B81,pr_code,0))&amp;"",""))</f>
        <v/>
      </c>
      <c r="J81" s="65" t="str">
        <f>IF(COUNTA(A81:G81)=0,"",IF(E81&lt;&gt;"",E81,IF(B81="","",IFERROR(IF(INDEX(pr_price,MATCH(B81,pr_code,0))="","",INDEX(pr_price,MATCH(B81,pr_code,0))),""))))</f>
        <v/>
      </c>
      <c r="K81" s="71" t="str">
        <f>IF(COUNTA(A81:G81)=0,"",IF(G81&lt;&gt;"",G81,IF(B81="","",IFERROR(IF(INDEX(pr_rate,MATCH(B81,pr_code,0))="","",INDEX(pr_rate,MATCH(B81,pr_code,0))),""))))</f>
        <v/>
      </c>
      <c r="L81" s="65" t="str">
        <f>IF(COUNTA(A81:G81)=0,"",IF(AND(ISNUMBER(D81),ISNUMBER(J81)),ROUND(D81*J81*(1-N(F81)),2),0))</f>
        <v/>
      </c>
      <c r="M81" s="62" t="str">
        <f>IF(A81="","",IFERROR(INDEX(fa_cname,MATCH(A81,fa_num,0))&amp;"",""))</f>
        <v/>
      </c>
      <c r="N81" s="59" t="str">
        <f>IF(COUNTA(A81:G81)=0,"",IF(A81="","N° facture manquant",IF(ISNA(MATCH(A81,fa_num,0)),"Facture inconnue",IF(AND(B81&lt;&gt;"",ISNA(MATCH(B81,pr_code,0))),"Article inconnu",IF(H81="","Désignation manquante",IF(OR(NOT(ISNUMBER(D81)),N(D81)&lt;=0),"Quantité invalide",IF(J81="","Prix manquant",IF(OR(NOT(ISNUMBER(J81)),N(J81)&lt;0),"Prix invalide",IF(OR(AND(F81&lt;&gt;"",NOT(ISNUMBER(F81))),N(F81)&lt;0,N(F81)&gt;1),"Remise invalide",IF(K81="","Taux de TVA manquant",IF(NOT(ISNUMBER(K81)),"Taux de TVA invalide",IF(COUNTIF(p_rates,K81)=0,"Taux de TVA hors liste (Paramètres)",IF(N(O81)&gt;25,"Au-delà de 25 lignes : non imprimée","OK")))))))))))))</f>
        <v/>
      </c>
      <c r="O81" s="59" t="str">
        <f>IF(A81="","",COUNTIF($A$6:A81,A81))</f>
        <v/>
      </c>
      <c r="P81" s="62" t="str">
        <f>IF(A81="","",A81&amp;"|"&amp;O81)</f>
        <v/>
      </c>
    </row>
    <row r="82">
      <c r="A82" s="60" t="n"/>
      <c r="B82" s="63" t="n"/>
      <c r="C82" s="63" t="n"/>
      <c r="D82" s="67" t="n"/>
      <c r="E82" s="68" t="n"/>
      <c r="F82" s="69" t="n"/>
      <c r="G82" s="70" t="n"/>
      <c r="H82" s="62" t="str">
        <f>IF(COUNTA(A82:G82)=0,"",IF(C82&lt;&gt;"",C82,IF(B82="","",IFERROR(INDEX(pr_des,MATCH(B82,pr_code,0))&amp;"",""))))</f>
        <v/>
      </c>
      <c r="I82" s="59" t="str">
        <f>IF(B82="","",IFERROR(INDEX(pr_unit,MATCH(B82,pr_code,0))&amp;"",""))</f>
        <v/>
      </c>
      <c r="J82" s="65" t="str">
        <f>IF(COUNTA(A82:G82)=0,"",IF(E82&lt;&gt;"",E82,IF(B82="","",IFERROR(IF(INDEX(pr_price,MATCH(B82,pr_code,0))="","",INDEX(pr_price,MATCH(B82,pr_code,0))),""))))</f>
        <v/>
      </c>
      <c r="K82" s="71" t="str">
        <f>IF(COUNTA(A82:G82)=0,"",IF(G82&lt;&gt;"",G82,IF(B82="","",IFERROR(IF(INDEX(pr_rate,MATCH(B82,pr_code,0))="","",INDEX(pr_rate,MATCH(B82,pr_code,0))),""))))</f>
        <v/>
      </c>
      <c r="L82" s="65" t="str">
        <f>IF(COUNTA(A82:G82)=0,"",IF(AND(ISNUMBER(D82),ISNUMBER(J82)),ROUND(D82*J82*(1-N(F82)),2),0))</f>
        <v/>
      </c>
      <c r="M82" s="62" t="str">
        <f>IF(A82="","",IFERROR(INDEX(fa_cname,MATCH(A82,fa_num,0))&amp;"",""))</f>
        <v/>
      </c>
      <c r="N82" s="59" t="str">
        <f>IF(COUNTA(A82:G82)=0,"",IF(A82="","N° facture manquant",IF(ISNA(MATCH(A82,fa_num,0)),"Facture inconnue",IF(AND(B82&lt;&gt;"",ISNA(MATCH(B82,pr_code,0))),"Article inconnu",IF(H82="","Désignation manquante",IF(OR(NOT(ISNUMBER(D82)),N(D82)&lt;=0),"Quantité invalide",IF(J82="","Prix manquant",IF(OR(NOT(ISNUMBER(J82)),N(J82)&lt;0),"Prix invalide",IF(OR(AND(F82&lt;&gt;"",NOT(ISNUMBER(F82))),N(F82)&lt;0,N(F82)&gt;1),"Remise invalide",IF(K82="","Taux de TVA manquant",IF(NOT(ISNUMBER(K82)),"Taux de TVA invalide",IF(COUNTIF(p_rates,K82)=0,"Taux de TVA hors liste (Paramètres)",IF(N(O82)&gt;25,"Au-delà de 25 lignes : non imprimée","OK")))))))))))))</f>
        <v/>
      </c>
      <c r="O82" s="59" t="str">
        <f>IF(A82="","",COUNTIF($A$6:A82,A82))</f>
        <v/>
      </c>
      <c r="P82" s="62" t="str">
        <f>IF(A82="","",A82&amp;"|"&amp;O82)</f>
        <v/>
      </c>
    </row>
    <row r="83">
      <c r="A83" s="60" t="n"/>
      <c r="B83" s="63" t="n"/>
      <c r="C83" s="63" t="n"/>
      <c r="D83" s="67" t="n"/>
      <c r="E83" s="68" t="n"/>
      <c r="F83" s="69" t="n"/>
      <c r="G83" s="70" t="n"/>
      <c r="H83" s="62" t="str">
        <f>IF(COUNTA(A83:G83)=0,"",IF(C83&lt;&gt;"",C83,IF(B83="","",IFERROR(INDEX(pr_des,MATCH(B83,pr_code,0))&amp;"",""))))</f>
        <v/>
      </c>
      <c r="I83" s="59" t="str">
        <f>IF(B83="","",IFERROR(INDEX(pr_unit,MATCH(B83,pr_code,0))&amp;"",""))</f>
        <v/>
      </c>
      <c r="J83" s="65" t="str">
        <f>IF(COUNTA(A83:G83)=0,"",IF(E83&lt;&gt;"",E83,IF(B83="","",IFERROR(IF(INDEX(pr_price,MATCH(B83,pr_code,0))="","",INDEX(pr_price,MATCH(B83,pr_code,0))),""))))</f>
        <v/>
      </c>
      <c r="K83" s="71" t="str">
        <f>IF(COUNTA(A83:G83)=0,"",IF(G83&lt;&gt;"",G83,IF(B83="","",IFERROR(IF(INDEX(pr_rate,MATCH(B83,pr_code,0))="","",INDEX(pr_rate,MATCH(B83,pr_code,0))),""))))</f>
        <v/>
      </c>
      <c r="L83" s="65" t="str">
        <f>IF(COUNTA(A83:G83)=0,"",IF(AND(ISNUMBER(D83),ISNUMBER(J83)),ROUND(D83*J83*(1-N(F83)),2),0))</f>
        <v/>
      </c>
      <c r="M83" s="62" t="str">
        <f>IF(A83="","",IFERROR(INDEX(fa_cname,MATCH(A83,fa_num,0))&amp;"",""))</f>
        <v/>
      </c>
      <c r="N83" s="59" t="str">
        <f>IF(COUNTA(A83:G83)=0,"",IF(A83="","N° facture manquant",IF(ISNA(MATCH(A83,fa_num,0)),"Facture inconnue",IF(AND(B83&lt;&gt;"",ISNA(MATCH(B83,pr_code,0))),"Article inconnu",IF(H83="","Désignation manquante",IF(OR(NOT(ISNUMBER(D83)),N(D83)&lt;=0),"Quantité invalide",IF(J83="","Prix manquant",IF(OR(NOT(ISNUMBER(J83)),N(J83)&lt;0),"Prix invalide",IF(OR(AND(F83&lt;&gt;"",NOT(ISNUMBER(F83))),N(F83)&lt;0,N(F83)&gt;1),"Remise invalide",IF(K83="","Taux de TVA manquant",IF(NOT(ISNUMBER(K83)),"Taux de TVA invalide",IF(COUNTIF(p_rates,K83)=0,"Taux de TVA hors liste (Paramètres)",IF(N(O83)&gt;25,"Au-delà de 25 lignes : non imprimée","OK")))))))))))))</f>
        <v/>
      </c>
      <c r="O83" s="59" t="str">
        <f>IF(A83="","",COUNTIF($A$6:A83,A83))</f>
        <v/>
      </c>
      <c r="P83" s="62" t="str">
        <f>IF(A83="","",A83&amp;"|"&amp;O83)</f>
        <v/>
      </c>
    </row>
    <row r="84">
      <c r="A84" s="60" t="n"/>
      <c r="B84" s="63" t="n"/>
      <c r="C84" s="63" t="n"/>
      <c r="D84" s="67" t="n"/>
      <c r="E84" s="68" t="n"/>
      <c r="F84" s="69" t="n"/>
      <c r="G84" s="70" t="n"/>
      <c r="H84" s="62" t="str">
        <f>IF(COUNTA(A84:G84)=0,"",IF(C84&lt;&gt;"",C84,IF(B84="","",IFERROR(INDEX(pr_des,MATCH(B84,pr_code,0))&amp;"",""))))</f>
        <v/>
      </c>
      <c r="I84" s="59" t="str">
        <f>IF(B84="","",IFERROR(INDEX(pr_unit,MATCH(B84,pr_code,0))&amp;"",""))</f>
        <v/>
      </c>
      <c r="J84" s="65" t="str">
        <f>IF(COUNTA(A84:G84)=0,"",IF(E84&lt;&gt;"",E84,IF(B84="","",IFERROR(IF(INDEX(pr_price,MATCH(B84,pr_code,0))="","",INDEX(pr_price,MATCH(B84,pr_code,0))),""))))</f>
        <v/>
      </c>
      <c r="K84" s="71" t="str">
        <f>IF(COUNTA(A84:G84)=0,"",IF(G84&lt;&gt;"",G84,IF(B84="","",IFERROR(IF(INDEX(pr_rate,MATCH(B84,pr_code,0))="","",INDEX(pr_rate,MATCH(B84,pr_code,0))),""))))</f>
        <v/>
      </c>
      <c r="L84" s="65" t="str">
        <f>IF(COUNTA(A84:G84)=0,"",IF(AND(ISNUMBER(D84),ISNUMBER(J84)),ROUND(D84*J84*(1-N(F84)),2),0))</f>
        <v/>
      </c>
      <c r="M84" s="62" t="str">
        <f>IF(A84="","",IFERROR(INDEX(fa_cname,MATCH(A84,fa_num,0))&amp;"",""))</f>
        <v/>
      </c>
      <c r="N84" s="59" t="str">
        <f>IF(COUNTA(A84:G84)=0,"",IF(A84="","N° facture manquant",IF(ISNA(MATCH(A84,fa_num,0)),"Facture inconnue",IF(AND(B84&lt;&gt;"",ISNA(MATCH(B84,pr_code,0))),"Article inconnu",IF(H84="","Désignation manquante",IF(OR(NOT(ISNUMBER(D84)),N(D84)&lt;=0),"Quantité invalide",IF(J84="","Prix manquant",IF(OR(NOT(ISNUMBER(J84)),N(J84)&lt;0),"Prix invalide",IF(OR(AND(F84&lt;&gt;"",NOT(ISNUMBER(F84))),N(F84)&lt;0,N(F84)&gt;1),"Remise invalide",IF(K84="","Taux de TVA manquant",IF(NOT(ISNUMBER(K84)),"Taux de TVA invalide",IF(COUNTIF(p_rates,K84)=0,"Taux de TVA hors liste (Paramètres)",IF(N(O84)&gt;25,"Au-delà de 25 lignes : non imprimée","OK")))))))))))))</f>
        <v/>
      </c>
      <c r="O84" s="59" t="str">
        <f>IF(A84="","",COUNTIF($A$6:A84,A84))</f>
        <v/>
      </c>
      <c r="P84" s="62" t="str">
        <f>IF(A84="","",A84&amp;"|"&amp;O84)</f>
        <v/>
      </c>
    </row>
    <row r="85">
      <c r="A85" s="60" t="n"/>
      <c r="B85" s="63" t="n"/>
      <c r="C85" s="63" t="n"/>
      <c r="D85" s="67" t="n"/>
      <c r="E85" s="68" t="n"/>
      <c r="F85" s="69" t="n"/>
      <c r="G85" s="70" t="n"/>
      <c r="H85" s="62" t="str">
        <f>IF(COUNTA(A85:G85)=0,"",IF(C85&lt;&gt;"",C85,IF(B85="","",IFERROR(INDEX(pr_des,MATCH(B85,pr_code,0))&amp;"",""))))</f>
        <v/>
      </c>
      <c r="I85" s="59" t="str">
        <f>IF(B85="","",IFERROR(INDEX(pr_unit,MATCH(B85,pr_code,0))&amp;"",""))</f>
        <v/>
      </c>
      <c r="J85" s="65" t="str">
        <f>IF(COUNTA(A85:G85)=0,"",IF(E85&lt;&gt;"",E85,IF(B85="","",IFERROR(IF(INDEX(pr_price,MATCH(B85,pr_code,0))="","",INDEX(pr_price,MATCH(B85,pr_code,0))),""))))</f>
        <v/>
      </c>
      <c r="K85" s="71" t="str">
        <f>IF(COUNTA(A85:G85)=0,"",IF(G85&lt;&gt;"",G85,IF(B85="","",IFERROR(IF(INDEX(pr_rate,MATCH(B85,pr_code,0))="","",INDEX(pr_rate,MATCH(B85,pr_code,0))),""))))</f>
        <v/>
      </c>
      <c r="L85" s="65" t="str">
        <f>IF(COUNTA(A85:G85)=0,"",IF(AND(ISNUMBER(D85),ISNUMBER(J85)),ROUND(D85*J85*(1-N(F85)),2),0))</f>
        <v/>
      </c>
      <c r="M85" s="62" t="str">
        <f>IF(A85="","",IFERROR(INDEX(fa_cname,MATCH(A85,fa_num,0))&amp;"",""))</f>
        <v/>
      </c>
      <c r="N85" s="59" t="str">
        <f>IF(COUNTA(A85:G85)=0,"",IF(A85="","N° facture manquant",IF(ISNA(MATCH(A85,fa_num,0)),"Facture inconnue",IF(AND(B85&lt;&gt;"",ISNA(MATCH(B85,pr_code,0))),"Article inconnu",IF(H85="","Désignation manquante",IF(OR(NOT(ISNUMBER(D85)),N(D85)&lt;=0),"Quantité invalide",IF(J85="","Prix manquant",IF(OR(NOT(ISNUMBER(J85)),N(J85)&lt;0),"Prix invalide",IF(OR(AND(F85&lt;&gt;"",NOT(ISNUMBER(F85))),N(F85)&lt;0,N(F85)&gt;1),"Remise invalide",IF(K85="","Taux de TVA manquant",IF(NOT(ISNUMBER(K85)),"Taux de TVA invalide",IF(COUNTIF(p_rates,K85)=0,"Taux de TVA hors liste (Paramètres)",IF(N(O85)&gt;25,"Au-delà de 25 lignes : non imprimée","OK")))))))))))))</f>
        <v/>
      </c>
      <c r="O85" s="59" t="str">
        <f>IF(A85="","",COUNTIF($A$6:A85,A85))</f>
        <v/>
      </c>
      <c r="P85" s="62" t="str">
        <f>IF(A85="","",A85&amp;"|"&amp;O85)</f>
        <v/>
      </c>
    </row>
    <row r="86">
      <c r="A86" s="60" t="n"/>
      <c r="B86" s="63" t="n"/>
      <c r="C86" s="63" t="n"/>
      <c r="D86" s="67" t="n"/>
      <c r="E86" s="68" t="n"/>
      <c r="F86" s="69" t="n"/>
      <c r="G86" s="70" t="n"/>
      <c r="H86" s="62" t="str">
        <f>IF(COUNTA(A86:G86)=0,"",IF(C86&lt;&gt;"",C86,IF(B86="","",IFERROR(INDEX(pr_des,MATCH(B86,pr_code,0))&amp;"",""))))</f>
        <v/>
      </c>
      <c r="I86" s="59" t="str">
        <f>IF(B86="","",IFERROR(INDEX(pr_unit,MATCH(B86,pr_code,0))&amp;"",""))</f>
        <v/>
      </c>
      <c r="J86" s="65" t="str">
        <f>IF(COUNTA(A86:G86)=0,"",IF(E86&lt;&gt;"",E86,IF(B86="","",IFERROR(IF(INDEX(pr_price,MATCH(B86,pr_code,0))="","",INDEX(pr_price,MATCH(B86,pr_code,0))),""))))</f>
        <v/>
      </c>
      <c r="K86" s="71" t="str">
        <f>IF(COUNTA(A86:G86)=0,"",IF(G86&lt;&gt;"",G86,IF(B86="","",IFERROR(IF(INDEX(pr_rate,MATCH(B86,pr_code,0))="","",INDEX(pr_rate,MATCH(B86,pr_code,0))),""))))</f>
        <v/>
      </c>
      <c r="L86" s="65" t="str">
        <f>IF(COUNTA(A86:G86)=0,"",IF(AND(ISNUMBER(D86),ISNUMBER(J86)),ROUND(D86*J86*(1-N(F86)),2),0))</f>
        <v/>
      </c>
      <c r="M86" s="62" t="str">
        <f>IF(A86="","",IFERROR(INDEX(fa_cname,MATCH(A86,fa_num,0))&amp;"",""))</f>
        <v/>
      </c>
      <c r="N86" s="59" t="str">
        <f>IF(COUNTA(A86:G86)=0,"",IF(A86="","N° facture manquant",IF(ISNA(MATCH(A86,fa_num,0)),"Facture inconnue",IF(AND(B86&lt;&gt;"",ISNA(MATCH(B86,pr_code,0))),"Article inconnu",IF(H86="","Désignation manquante",IF(OR(NOT(ISNUMBER(D86)),N(D86)&lt;=0),"Quantité invalide",IF(J86="","Prix manquant",IF(OR(NOT(ISNUMBER(J86)),N(J86)&lt;0),"Prix invalide",IF(OR(AND(F86&lt;&gt;"",NOT(ISNUMBER(F86))),N(F86)&lt;0,N(F86)&gt;1),"Remise invalide",IF(K86="","Taux de TVA manquant",IF(NOT(ISNUMBER(K86)),"Taux de TVA invalide",IF(COUNTIF(p_rates,K86)=0,"Taux de TVA hors liste (Paramètres)",IF(N(O86)&gt;25,"Au-delà de 25 lignes : non imprimée","OK")))))))))))))</f>
        <v/>
      </c>
      <c r="O86" s="59" t="str">
        <f>IF(A86="","",COUNTIF($A$6:A86,A86))</f>
        <v/>
      </c>
      <c r="P86" s="62" t="str">
        <f>IF(A86="","",A86&amp;"|"&amp;O86)</f>
        <v/>
      </c>
    </row>
    <row r="87">
      <c r="A87" s="60" t="n"/>
      <c r="B87" s="63" t="n"/>
      <c r="C87" s="63" t="n"/>
      <c r="D87" s="67" t="n"/>
      <c r="E87" s="68" t="n"/>
      <c r="F87" s="69" t="n"/>
      <c r="G87" s="70" t="n"/>
      <c r="H87" s="62" t="str">
        <f>IF(COUNTA(A87:G87)=0,"",IF(C87&lt;&gt;"",C87,IF(B87="","",IFERROR(INDEX(pr_des,MATCH(B87,pr_code,0))&amp;"",""))))</f>
        <v/>
      </c>
      <c r="I87" s="59" t="str">
        <f>IF(B87="","",IFERROR(INDEX(pr_unit,MATCH(B87,pr_code,0))&amp;"",""))</f>
        <v/>
      </c>
      <c r="J87" s="65" t="str">
        <f>IF(COUNTA(A87:G87)=0,"",IF(E87&lt;&gt;"",E87,IF(B87="","",IFERROR(IF(INDEX(pr_price,MATCH(B87,pr_code,0))="","",INDEX(pr_price,MATCH(B87,pr_code,0))),""))))</f>
        <v/>
      </c>
      <c r="K87" s="71" t="str">
        <f>IF(COUNTA(A87:G87)=0,"",IF(G87&lt;&gt;"",G87,IF(B87="","",IFERROR(IF(INDEX(pr_rate,MATCH(B87,pr_code,0))="","",INDEX(pr_rate,MATCH(B87,pr_code,0))),""))))</f>
        <v/>
      </c>
      <c r="L87" s="65" t="str">
        <f>IF(COUNTA(A87:G87)=0,"",IF(AND(ISNUMBER(D87),ISNUMBER(J87)),ROUND(D87*J87*(1-N(F87)),2),0))</f>
        <v/>
      </c>
      <c r="M87" s="62" t="str">
        <f>IF(A87="","",IFERROR(INDEX(fa_cname,MATCH(A87,fa_num,0))&amp;"",""))</f>
        <v/>
      </c>
      <c r="N87" s="59" t="str">
        <f>IF(COUNTA(A87:G87)=0,"",IF(A87="","N° facture manquant",IF(ISNA(MATCH(A87,fa_num,0)),"Facture inconnue",IF(AND(B87&lt;&gt;"",ISNA(MATCH(B87,pr_code,0))),"Article inconnu",IF(H87="","Désignation manquante",IF(OR(NOT(ISNUMBER(D87)),N(D87)&lt;=0),"Quantité invalide",IF(J87="","Prix manquant",IF(OR(NOT(ISNUMBER(J87)),N(J87)&lt;0),"Prix invalide",IF(OR(AND(F87&lt;&gt;"",NOT(ISNUMBER(F87))),N(F87)&lt;0,N(F87)&gt;1),"Remise invalide",IF(K87="","Taux de TVA manquant",IF(NOT(ISNUMBER(K87)),"Taux de TVA invalide",IF(COUNTIF(p_rates,K87)=0,"Taux de TVA hors liste (Paramètres)",IF(N(O87)&gt;25,"Au-delà de 25 lignes : non imprimée","OK")))))))))))))</f>
        <v/>
      </c>
      <c r="O87" s="59" t="str">
        <f>IF(A87="","",COUNTIF($A$6:A87,A87))</f>
        <v/>
      </c>
      <c r="P87" s="62" t="str">
        <f>IF(A87="","",A87&amp;"|"&amp;O87)</f>
        <v/>
      </c>
    </row>
    <row r="88">
      <c r="A88" s="60" t="n"/>
      <c r="B88" s="63" t="n"/>
      <c r="C88" s="63" t="n"/>
      <c r="D88" s="67" t="n"/>
      <c r="E88" s="68" t="n"/>
      <c r="F88" s="69" t="n"/>
      <c r="G88" s="70" t="n"/>
      <c r="H88" s="62" t="str">
        <f>IF(COUNTA(A88:G88)=0,"",IF(C88&lt;&gt;"",C88,IF(B88="","",IFERROR(INDEX(pr_des,MATCH(B88,pr_code,0))&amp;"",""))))</f>
        <v/>
      </c>
      <c r="I88" s="59" t="str">
        <f>IF(B88="","",IFERROR(INDEX(pr_unit,MATCH(B88,pr_code,0))&amp;"",""))</f>
        <v/>
      </c>
      <c r="J88" s="65" t="str">
        <f>IF(COUNTA(A88:G88)=0,"",IF(E88&lt;&gt;"",E88,IF(B88="","",IFERROR(IF(INDEX(pr_price,MATCH(B88,pr_code,0))="","",INDEX(pr_price,MATCH(B88,pr_code,0))),""))))</f>
        <v/>
      </c>
      <c r="K88" s="71" t="str">
        <f>IF(COUNTA(A88:G88)=0,"",IF(G88&lt;&gt;"",G88,IF(B88="","",IFERROR(IF(INDEX(pr_rate,MATCH(B88,pr_code,0))="","",INDEX(pr_rate,MATCH(B88,pr_code,0))),""))))</f>
        <v/>
      </c>
      <c r="L88" s="65" t="str">
        <f>IF(COUNTA(A88:G88)=0,"",IF(AND(ISNUMBER(D88),ISNUMBER(J88)),ROUND(D88*J88*(1-N(F88)),2),0))</f>
        <v/>
      </c>
      <c r="M88" s="62" t="str">
        <f>IF(A88="","",IFERROR(INDEX(fa_cname,MATCH(A88,fa_num,0))&amp;"",""))</f>
        <v/>
      </c>
      <c r="N88" s="59" t="str">
        <f>IF(COUNTA(A88:G88)=0,"",IF(A88="","N° facture manquant",IF(ISNA(MATCH(A88,fa_num,0)),"Facture inconnue",IF(AND(B88&lt;&gt;"",ISNA(MATCH(B88,pr_code,0))),"Article inconnu",IF(H88="","Désignation manquante",IF(OR(NOT(ISNUMBER(D88)),N(D88)&lt;=0),"Quantité invalide",IF(J88="","Prix manquant",IF(OR(NOT(ISNUMBER(J88)),N(J88)&lt;0),"Prix invalide",IF(OR(AND(F88&lt;&gt;"",NOT(ISNUMBER(F88))),N(F88)&lt;0,N(F88)&gt;1),"Remise invalide",IF(K88="","Taux de TVA manquant",IF(NOT(ISNUMBER(K88)),"Taux de TVA invalide",IF(COUNTIF(p_rates,K88)=0,"Taux de TVA hors liste (Paramètres)",IF(N(O88)&gt;25,"Au-delà de 25 lignes : non imprimée","OK")))))))))))))</f>
        <v/>
      </c>
      <c r="O88" s="59" t="str">
        <f>IF(A88="","",COUNTIF($A$6:A88,A88))</f>
        <v/>
      </c>
      <c r="P88" s="62" t="str">
        <f>IF(A88="","",A88&amp;"|"&amp;O88)</f>
        <v/>
      </c>
    </row>
    <row r="89">
      <c r="A89" s="60" t="n"/>
      <c r="B89" s="63" t="n"/>
      <c r="C89" s="63" t="n"/>
      <c r="D89" s="67" t="n"/>
      <c r="E89" s="68" t="n"/>
      <c r="F89" s="69" t="n"/>
      <c r="G89" s="70" t="n"/>
      <c r="H89" s="62" t="str">
        <f>IF(COUNTA(A89:G89)=0,"",IF(C89&lt;&gt;"",C89,IF(B89="","",IFERROR(INDEX(pr_des,MATCH(B89,pr_code,0))&amp;"",""))))</f>
        <v/>
      </c>
      <c r="I89" s="59" t="str">
        <f>IF(B89="","",IFERROR(INDEX(pr_unit,MATCH(B89,pr_code,0))&amp;"",""))</f>
        <v/>
      </c>
      <c r="J89" s="65" t="str">
        <f>IF(COUNTA(A89:G89)=0,"",IF(E89&lt;&gt;"",E89,IF(B89="","",IFERROR(IF(INDEX(pr_price,MATCH(B89,pr_code,0))="","",INDEX(pr_price,MATCH(B89,pr_code,0))),""))))</f>
        <v/>
      </c>
      <c r="K89" s="71" t="str">
        <f>IF(COUNTA(A89:G89)=0,"",IF(G89&lt;&gt;"",G89,IF(B89="","",IFERROR(IF(INDEX(pr_rate,MATCH(B89,pr_code,0))="","",INDEX(pr_rate,MATCH(B89,pr_code,0))),""))))</f>
        <v/>
      </c>
      <c r="L89" s="65" t="str">
        <f>IF(COUNTA(A89:G89)=0,"",IF(AND(ISNUMBER(D89),ISNUMBER(J89)),ROUND(D89*J89*(1-N(F89)),2),0))</f>
        <v/>
      </c>
      <c r="M89" s="62" t="str">
        <f>IF(A89="","",IFERROR(INDEX(fa_cname,MATCH(A89,fa_num,0))&amp;"",""))</f>
        <v/>
      </c>
      <c r="N89" s="59" t="str">
        <f>IF(COUNTA(A89:G89)=0,"",IF(A89="","N° facture manquant",IF(ISNA(MATCH(A89,fa_num,0)),"Facture inconnue",IF(AND(B89&lt;&gt;"",ISNA(MATCH(B89,pr_code,0))),"Article inconnu",IF(H89="","Désignation manquante",IF(OR(NOT(ISNUMBER(D89)),N(D89)&lt;=0),"Quantité invalide",IF(J89="","Prix manquant",IF(OR(NOT(ISNUMBER(J89)),N(J89)&lt;0),"Prix invalide",IF(OR(AND(F89&lt;&gt;"",NOT(ISNUMBER(F89))),N(F89)&lt;0,N(F89)&gt;1),"Remise invalide",IF(K89="","Taux de TVA manquant",IF(NOT(ISNUMBER(K89)),"Taux de TVA invalide",IF(COUNTIF(p_rates,K89)=0,"Taux de TVA hors liste (Paramètres)",IF(N(O89)&gt;25,"Au-delà de 25 lignes : non imprimée","OK")))))))))))))</f>
        <v/>
      </c>
      <c r="O89" s="59" t="str">
        <f>IF(A89="","",COUNTIF($A$6:A89,A89))</f>
        <v/>
      </c>
      <c r="P89" s="62" t="str">
        <f>IF(A89="","",A89&amp;"|"&amp;O89)</f>
        <v/>
      </c>
    </row>
    <row r="90">
      <c r="A90" s="60" t="n"/>
      <c r="B90" s="63" t="n"/>
      <c r="C90" s="63" t="n"/>
      <c r="D90" s="67" t="n"/>
      <c r="E90" s="68" t="n"/>
      <c r="F90" s="69" t="n"/>
      <c r="G90" s="70" t="n"/>
      <c r="H90" s="62" t="str">
        <f>IF(COUNTA(A90:G90)=0,"",IF(C90&lt;&gt;"",C90,IF(B90="","",IFERROR(INDEX(pr_des,MATCH(B90,pr_code,0))&amp;"",""))))</f>
        <v/>
      </c>
      <c r="I90" s="59" t="str">
        <f>IF(B90="","",IFERROR(INDEX(pr_unit,MATCH(B90,pr_code,0))&amp;"",""))</f>
        <v/>
      </c>
      <c r="J90" s="65" t="str">
        <f>IF(COUNTA(A90:G90)=0,"",IF(E90&lt;&gt;"",E90,IF(B90="","",IFERROR(IF(INDEX(pr_price,MATCH(B90,pr_code,0))="","",INDEX(pr_price,MATCH(B90,pr_code,0))),""))))</f>
        <v/>
      </c>
      <c r="K90" s="71" t="str">
        <f>IF(COUNTA(A90:G90)=0,"",IF(G90&lt;&gt;"",G90,IF(B90="","",IFERROR(IF(INDEX(pr_rate,MATCH(B90,pr_code,0))="","",INDEX(pr_rate,MATCH(B90,pr_code,0))),""))))</f>
        <v/>
      </c>
      <c r="L90" s="65" t="str">
        <f>IF(COUNTA(A90:G90)=0,"",IF(AND(ISNUMBER(D90),ISNUMBER(J90)),ROUND(D90*J90*(1-N(F90)),2),0))</f>
        <v/>
      </c>
      <c r="M90" s="62" t="str">
        <f>IF(A90="","",IFERROR(INDEX(fa_cname,MATCH(A90,fa_num,0))&amp;"",""))</f>
        <v/>
      </c>
      <c r="N90" s="59" t="str">
        <f>IF(COUNTA(A90:G90)=0,"",IF(A90="","N° facture manquant",IF(ISNA(MATCH(A90,fa_num,0)),"Facture inconnue",IF(AND(B90&lt;&gt;"",ISNA(MATCH(B90,pr_code,0))),"Article inconnu",IF(H90="","Désignation manquante",IF(OR(NOT(ISNUMBER(D90)),N(D90)&lt;=0),"Quantité invalide",IF(J90="","Prix manquant",IF(OR(NOT(ISNUMBER(J90)),N(J90)&lt;0),"Prix invalide",IF(OR(AND(F90&lt;&gt;"",NOT(ISNUMBER(F90))),N(F90)&lt;0,N(F90)&gt;1),"Remise invalide",IF(K90="","Taux de TVA manquant",IF(NOT(ISNUMBER(K90)),"Taux de TVA invalide",IF(COUNTIF(p_rates,K90)=0,"Taux de TVA hors liste (Paramètres)",IF(N(O90)&gt;25,"Au-delà de 25 lignes : non imprimée","OK")))))))))))))</f>
        <v/>
      </c>
      <c r="O90" s="59" t="str">
        <f>IF(A90="","",COUNTIF($A$6:A90,A90))</f>
        <v/>
      </c>
      <c r="P90" s="62" t="str">
        <f>IF(A90="","",A90&amp;"|"&amp;O90)</f>
        <v/>
      </c>
    </row>
    <row r="91">
      <c r="A91" s="60" t="n"/>
      <c r="B91" s="63" t="n"/>
      <c r="C91" s="63" t="n"/>
      <c r="D91" s="67" t="n"/>
      <c r="E91" s="68" t="n"/>
      <c r="F91" s="69" t="n"/>
      <c r="G91" s="70" t="n"/>
      <c r="H91" s="62" t="str">
        <f>IF(COUNTA(A91:G91)=0,"",IF(C91&lt;&gt;"",C91,IF(B91="","",IFERROR(INDEX(pr_des,MATCH(B91,pr_code,0))&amp;"",""))))</f>
        <v/>
      </c>
      <c r="I91" s="59" t="str">
        <f>IF(B91="","",IFERROR(INDEX(pr_unit,MATCH(B91,pr_code,0))&amp;"",""))</f>
        <v/>
      </c>
      <c r="J91" s="65" t="str">
        <f>IF(COUNTA(A91:G91)=0,"",IF(E91&lt;&gt;"",E91,IF(B91="","",IFERROR(IF(INDEX(pr_price,MATCH(B91,pr_code,0))="","",INDEX(pr_price,MATCH(B91,pr_code,0))),""))))</f>
        <v/>
      </c>
      <c r="K91" s="71" t="str">
        <f>IF(COUNTA(A91:G91)=0,"",IF(G91&lt;&gt;"",G91,IF(B91="","",IFERROR(IF(INDEX(pr_rate,MATCH(B91,pr_code,0))="","",INDEX(pr_rate,MATCH(B91,pr_code,0))),""))))</f>
        <v/>
      </c>
      <c r="L91" s="65" t="str">
        <f>IF(COUNTA(A91:G91)=0,"",IF(AND(ISNUMBER(D91),ISNUMBER(J91)),ROUND(D91*J91*(1-N(F91)),2),0))</f>
        <v/>
      </c>
      <c r="M91" s="62" t="str">
        <f>IF(A91="","",IFERROR(INDEX(fa_cname,MATCH(A91,fa_num,0))&amp;"",""))</f>
        <v/>
      </c>
      <c r="N91" s="59" t="str">
        <f>IF(COUNTA(A91:G91)=0,"",IF(A91="","N° facture manquant",IF(ISNA(MATCH(A91,fa_num,0)),"Facture inconnue",IF(AND(B91&lt;&gt;"",ISNA(MATCH(B91,pr_code,0))),"Article inconnu",IF(H91="","Désignation manquante",IF(OR(NOT(ISNUMBER(D91)),N(D91)&lt;=0),"Quantité invalide",IF(J91="","Prix manquant",IF(OR(NOT(ISNUMBER(J91)),N(J91)&lt;0),"Prix invalide",IF(OR(AND(F91&lt;&gt;"",NOT(ISNUMBER(F91))),N(F91)&lt;0,N(F91)&gt;1),"Remise invalide",IF(K91="","Taux de TVA manquant",IF(NOT(ISNUMBER(K91)),"Taux de TVA invalide",IF(COUNTIF(p_rates,K91)=0,"Taux de TVA hors liste (Paramètres)",IF(N(O91)&gt;25,"Au-delà de 25 lignes : non imprimée","OK")))))))))))))</f>
        <v/>
      </c>
      <c r="O91" s="59" t="str">
        <f>IF(A91="","",COUNTIF($A$6:A91,A91))</f>
        <v/>
      </c>
      <c r="P91" s="62" t="str">
        <f>IF(A91="","",A91&amp;"|"&amp;O91)</f>
        <v/>
      </c>
    </row>
    <row r="92">
      <c r="A92" s="60" t="n"/>
      <c r="B92" s="63" t="n"/>
      <c r="C92" s="63" t="n"/>
      <c r="D92" s="67" t="n"/>
      <c r="E92" s="68" t="n"/>
      <c r="F92" s="69" t="n"/>
      <c r="G92" s="70" t="n"/>
      <c r="H92" s="62" t="str">
        <f>IF(COUNTA(A92:G92)=0,"",IF(C92&lt;&gt;"",C92,IF(B92="","",IFERROR(INDEX(pr_des,MATCH(B92,pr_code,0))&amp;"",""))))</f>
        <v/>
      </c>
      <c r="I92" s="59" t="str">
        <f>IF(B92="","",IFERROR(INDEX(pr_unit,MATCH(B92,pr_code,0))&amp;"",""))</f>
        <v/>
      </c>
      <c r="J92" s="65" t="str">
        <f>IF(COUNTA(A92:G92)=0,"",IF(E92&lt;&gt;"",E92,IF(B92="","",IFERROR(IF(INDEX(pr_price,MATCH(B92,pr_code,0))="","",INDEX(pr_price,MATCH(B92,pr_code,0))),""))))</f>
        <v/>
      </c>
      <c r="K92" s="71" t="str">
        <f>IF(COUNTA(A92:G92)=0,"",IF(G92&lt;&gt;"",G92,IF(B92="","",IFERROR(IF(INDEX(pr_rate,MATCH(B92,pr_code,0))="","",INDEX(pr_rate,MATCH(B92,pr_code,0))),""))))</f>
        <v/>
      </c>
      <c r="L92" s="65" t="str">
        <f>IF(COUNTA(A92:G92)=0,"",IF(AND(ISNUMBER(D92),ISNUMBER(J92)),ROUND(D92*J92*(1-N(F92)),2),0))</f>
        <v/>
      </c>
      <c r="M92" s="62" t="str">
        <f>IF(A92="","",IFERROR(INDEX(fa_cname,MATCH(A92,fa_num,0))&amp;"",""))</f>
        <v/>
      </c>
      <c r="N92" s="59" t="str">
        <f>IF(COUNTA(A92:G92)=0,"",IF(A92="","N° facture manquant",IF(ISNA(MATCH(A92,fa_num,0)),"Facture inconnue",IF(AND(B92&lt;&gt;"",ISNA(MATCH(B92,pr_code,0))),"Article inconnu",IF(H92="","Désignation manquante",IF(OR(NOT(ISNUMBER(D92)),N(D92)&lt;=0),"Quantité invalide",IF(J92="","Prix manquant",IF(OR(NOT(ISNUMBER(J92)),N(J92)&lt;0),"Prix invalide",IF(OR(AND(F92&lt;&gt;"",NOT(ISNUMBER(F92))),N(F92)&lt;0,N(F92)&gt;1),"Remise invalide",IF(K92="","Taux de TVA manquant",IF(NOT(ISNUMBER(K92)),"Taux de TVA invalide",IF(COUNTIF(p_rates,K92)=0,"Taux de TVA hors liste (Paramètres)",IF(N(O92)&gt;25,"Au-delà de 25 lignes : non imprimée","OK")))))))))))))</f>
        <v/>
      </c>
      <c r="O92" s="59" t="str">
        <f>IF(A92="","",COUNTIF($A$6:A92,A92))</f>
        <v/>
      </c>
      <c r="P92" s="62" t="str">
        <f>IF(A92="","",A92&amp;"|"&amp;O92)</f>
        <v/>
      </c>
    </row>
    <row r="93">
      <c r="A93" s="60" t="n"/>
      <c r="B93" s="63" t="n"/>
      <c r="C93" s="63" t="n"/>
      <c r="D93" s="67" t="n"/>
      <c r="E93" s="68" t="n"/>
      <c r="F93" s="69" t="n"/>
      <c r="G93" s="70" t="n"/>
      <c r="H93" s="62" t="str">
        <f>IF(COUNTA(A93:G93)=0,"",IF(C93&lt;&gt;"",C93,IF(B93="","",IFERROR(INDEX(pr_des,MATCH(B93,pr_code,0))&amp;"",""))))</f>
        <v/>
      </c>
      <c r="I93" s="59" t="str">
        <f>IF(B93="","",IFERROR(INDEX(pr_unit,MATCH(B93,pr_code,0))&amp;"",""))</f>
        <v/>
      </c>
      <c r="J93" s="65" t="str">
        <f>IF(COUNTA(A93:G93)=0,"",IF(E93&lt;&gt;"",E93,IF(B93="","",IFERROR(IF(INDEX(pr_price,MATCH(B93,pr_code,0))="","",INDEX(pr_price,MATCH(B93,pr_code,0))),""))))</f>
        <v/>
      </c>
      <c r="K93" s="71" t="str">
        <f>IF(COUNTA(A93:G93)=0,"",IF(G93&lt;&gt;"",G93,IF(B93="","",IFERROR(IF(INDEX(pr_rate,MATCH(B93,pr_code,0))="","",INDEX(pr_rate,MATCH(B93,pr_code,0))),""))))</f>
        <v/>
      </c>
      <c r="L93" s="65" t="str">
        <f>IF(COUNTA(A93:G93)=0,"",IF(AND(ISNUMBER(D93),ISNUMBER(J93)),ROUND(D93*J93*(1-N(F93)),2),0))</f>
        <v/>
      </c>
      <c r="M93" s="62" t="str">
        <f>IF(A93="","",IFERROR(INDEX(fa_cname,MATCH(A93,fa_num,0))&amp;"",""))</f>
        <v/>
      </c>
      <c r="N93" s="59" t="str">
        <f>IF(COUNTA(A93:G93)=0,"",IF(A93="","N° facture manquant",IF(ISNA(MATCH(A93,fa_num,0)),"Facture inconnue",IF(AND(B93&lt;&gt;"",ISNA(MATCH(B93,pr_code,0))),"Article inconnu",IF(H93="","Désignation manquante",IF(OR(NOT(ISNUMBER(D93)),N(D93)&lt;=0),"Quantité invalide",IF(J93="","Prix manquant",IF(OR(NOT(ISNUMBER(J93)),N(J93)&lt;0),"Prix invalide",IF(OR(AND(F93&lt;&gt;"",NOT(ISNUMBER(F93))),N(F93)&lt;0,N(F93)&gt;1),"Remise invalide",IF(K93="","Taux de TVA manquant",IF(NOT(ISNUMBER(K93)),"Taux de TVA invalide",IF(COUNTIF(p_rates,K93)=0,"Taux de TVA hors liste (Paramètres)",IF(N(O93)&gt;25,"Au-delà de 25 lignes : non imprimée","OK")))))))))))))</f>
        <v/>
      </c>
      <c r="O93" s="59" t="str">
        <f>IF(A93="","",COUNTIF($A$6:A93,A93))</f>
        <v/>
      </c>
      <c r="P93" s="62" t="str">
        <f>IF(A93="","",A93&amp;"|"&amp;O93)</f>
        <v/>
      </c>
    </row>
    <row r="94">
      <c r="A94" s="60" t="n"/>
      <c r="B94" s="63" t="n"/>
      <c r="C94" s="63" t="n"/>
      <c r="D94" s="67" t="n"/>
      <c r="E94" s="68" t="n"/>
      <c r="F94" s="69" t="n"/>
      <c r="G94" s="70" t="n"/>
      <c r="H94" s="62" t="str">
        <f>IF(COUNTA(A94:G94)=0,"",IF(C94&lt;&gt;"",C94,IF(B94="","",IFERROR(INDEX(pr_des,MATCH(B94,pr_code,0))&amp;"",""))))</f>
        <v/>
      </c>
      <c r="I94" s="59" t="str">
        <f>IF(B94="","",IFERROR(INDEX(pr_unit,MATCH(B94,pr_code,0))&amp;"",""))</f>
        <v/>
      </c>
      <c r="J94" s="65" t="str">
        <f>IF(COUNTA(A94:G94)=0,"",IF(E94&lt;&gt;"",E94,IF(B94="","",IFERROR(IF(INDEX(pr_price,MATCH(B94,pr_code,0))="","",INDEX(pr_price,MATCH(B94,pr_code,0))),""))))</f>
        <v/>
      </c>
      <c r="K94" s="71" t="str">
        <f>IF(COUNTA(A94:G94)=0,"",IF(G94&lt;&gt;"",G94,IF(B94="","",IFERROR(IF(INDEX(pr_rate,MATCH(B94,pr_code,0))="","",INDEX(pr_rate,MATCH(B94,pr_code,0))),""))))</f>
        <v/>
      </c>
      <c r="L94" s="65" t="str">
        <f>IF(COUNTA(A94:G94)=0,"",IF(AND(ISNUMBER(D94),ISNUMBER(J94)),ROUND(D94*J94*(1-N(F94)),2),0))</f>
        <v/>
      </c>
      <c r="M94" s="62" t="str">
        <f>IF(A94="","",IFERROR(INDEX(fa_cname,MATCH(A94,fa_num,0))&amp;"",""))</f>
        <v/>
      </c>
      <c r="N94" s="59" t="str">
        <f>IF(COUNTA(A94:G94)=0,"",IF(A94="","N° facture manquant",IF(ISNA(MATCH(A94,fa_num,0)),"Facture inconnue",IF(AND(B94&lt;&gt;"",ISNA(MATCH(B94,pr_code,0))),"Article inconnu",IF(H94="","Désignation manquante",IF(OR(NOT(ISNUMBER(D94)),N(D94)&lt;=0),"Quantité invalide",IF(J94="","Prix manquant",IF(OR(NOT(ISNUMBER(J94)),N(J94)&lt;0),"Prix invalide",IF(OR(AND(F94&lt;&gt;"",NOT(ISNUMBER(F94))),N(F94)&lt;0,N(F94)&gt;1),"Remise invalide",IF(K94="","Taux de TVA manquant",IF(NOT(ISNUMBER(K94)),"Taux de TVA invalide",IF(COUNTIF(p_rates,K94)=0,"Taux de TVA hors liste (Paramètres)",IF(N(O94)&gt;25,"Au-delà de 25 lignes : non imprimée","OK")))))))))))))</f>
        <v/>
      </c>
      <c r="O94" s="59" t="str">
        <f>IF(A94="","",COUNTIF($A$6:A94,A94))</f>
        <v/>
      </c>
      <c r="P94" s="62" t="str">
        <f>IF(A94="","",A94&amp;"|"&amp;O94)</f>
        <v/>
      </c>
    </row>
    <row r="95">
      <c r="A95" s="60" t="n"/>
      <c r="B95" s="63" t="n"/>
      <c r="C95" s="63" t="n"/>
      <c r="D95" s="67" t="n"/>
      <c r="E95" s="68" t="n"/>
      <c r="F95" s="69" t="n"/>
      <c r="G95" s="70" t="n"/>
      <c r="H95" s="62" t="str">
        <f>IF(COUNTA(A95:G95)=0,"",IF(C95&lt;&gt;"",C95,IF(B95="","",IFERROR(INDEX(pr_des,MATCH(B95,pr_code,0))&amp;"",""))))</f>
        <v/>
      </c>
      <c r="I95" s="59" t="str">
        <f>IF(B95="","",IFERROR(INDEX(pr_unit,MATCH(B95,pr_code,0))&amp;"",""))</f>
        <v/>
      </c>
      <c r="J95" s="65" t="str">
        <f>IF(COUNTA(A95:G95)=0,"",IF(E95&lt;&gt;"",E95,IF(B95="","",IFERROR(IF(INDEX(pr_price,MATCH(B95,pr_code,0))="","",INDEX(pr_price,MATCH(B95,pr_code,0))),""))))</f>
        <v/>
      </c>
      <c r="K95" s="71" t="str">
        <f>IF(COUNTA(A95:G95)=0,"",IF(G95&lt;&gt;"",G95,IF(B95="","",IFERROR(IF(INDEX(pr_rate,MATCH(B95,pr_code,0))="","",INDEX(pr_rate,MATCH(B95,pr_code,0))),""))))</f>
        <v/>
      </c>
      <c r="L95" s="65" t="str">
        <f>IF(COUNTA(A95:G95)=0,"",IF(AND(ISNUMBER(D95),ISNUMBER(J95)),ROUND(D95*J95*(1-N(F95)),2),0))</f>
        <v/>
      </c>
      <c r="M95" s="62" t="str">
        <f>IF(A95="","",IFERROR(INDEX(fa_cname,MATCH(A95,fa_num,0))&amp;"",""))</f>
        <v/>
      </c>
      <c r="N95" s="59" t="str">
        <f>IF(COUNTA(A95:G95)=0,"",IF(A95="","N° facture manquant",IF(ISNA(MATCH(A95,fa_num,0)),"Facture inconnue",IF(AND(B95&lt;&gt;"",ISNA(MATCH(B95,pr_code,0))),"Article inconnu",IF(H95="","Désignation manquante",IF(OR(NOT(ISNUMBER(D95)),N(D95)&lt;=0),"Quantité invalide",IF(J95="","Prix manquant",IF(OR(NOT(ISNUMBER(J95)),N(J95)&lt;0),"Prix invalide",IF(OR(AND(F95&lt;&gt;"",NOT(ISNUMBER(F95))),N(F95)&lt;0,N(F95)&gt;1),"Remise invalide",IF(K95="","Taux de TVA manquant",IF(NOT(ISNUMBER(K95)),"Taux de TVA invalide",IF(COUNTIF(p_rates,K95)=0,"Taux de TVA hors liste (Paramètres)",IF(N(O95)&gt;25,"Au-delà de 25 lignes : non imprimée","OK")))))))))))))</f>
        <v/>
      </c>
      <c r="O95" s="59" t="str">
        <f>IF(A95="","",COUNTIF($A$6:A95,A95))</f>
        <v/>
      </c>
      <c r="P95" s="62" t="str">
        <f>IF(A95="","",A95&amp;"|"&amp;O95)</f>
        <v/>
      </c>
    </row>
    <row r="96">
      <c r="A96" s="60" t="n"/>
      <c r="B96" s="63" t="n"/>
      <c r="C96" s="63" t="n"/>
      <c r="D96" s="67" t="n"/>
      <c r="E96" s="68" t="n"/>
      <c r="F96" s="69" t="n"/>
      <c r="G96" s="70" t="n"/>
      <c r="H96" s="62" t="str">
        <f>IF(COUNTA(A96:G96)=0,"",IF(C96&lt;&gt;"",C96,IF(B96="","",IFERROR(INDEX(pr_des,MATCH(B96,pr_code,0))&amp;"",""))))</f>
        <v/>
      </c>
      <c r="I96" s="59" t="str">
        <f>IF(B96="","",IFERROR(INDEX(pr_unit,MATCH(B96,pr_code,0))&amp;"",""))</f>
        <v/>
      </c>
      <c r="J96" s="65" t="str">
        <f>IF(COUNTA(A96:G96)=0,"",IF(E96&lt;&gt;"",E96,IF(B96="","",IFERROR(IF(INDEX(pr_price,MATCH(B96,pr_code,0))="","",INDEX(pr_price,MATCH(B96,pr_code,0))),""))))</f>
        <v/>
      </c>
      <c r="K96" s="71" t="str">
        <f>IF(COUNTA(A96:G96)=0,"",IF(G96&lt;&gt;"",G96,IF(B96="","",IFERROR(IF(INDEX(pr_rate,MATCH(B96,pr_code,0))="","",INDEX(pr_rate,MATCH(B96,pr_code,0))),""))))</f>
        <v/>
      </c>
      <c r="L96" s="65" t="str">
        <f>IF(COUNTA(A96:G96)=0,"",IF(AND(ISNUMBER(D96),ISNUMBER(J96)),ROUND(D96*J96*(1-N(F96)),2),0))</f>
        <v/>
      </c>
      <c r="M96" s="62" t="str">
        <f>IF(A96="","",IFERROR(INDEX(fa_cname,MATCH(A96,fa_num,0))&amp;"",""))</f>
        <v/>
      </c>
      <c r="N96" s="59" t="str">
        <f>IF(COUNTA(A96:G96)=0,"",IF(A96="","N° facture manquant",IF(ISNA(MATCH(A96,fa_num,0)),"Facture inconnue",IF(AND(B96&lt;&gt;"",ISNA(MATCH(B96,pr_code,0))),"Article inconnu",IF(H96="","Désignation manquante",IF(OR(NOT(ISNUMBER(D96)),N(D96)&lt;=0),"Quantité invalide",IF(J96="","Prix manquant",IF(OR(NOT(ISNUMBER(J96)),N(J96)&lt;0),"Prix invalide",IF(OR(AND(F96&lt;&gt;"",NOT(ISNUMBER(F96))),N(F96)&lt;0,N(F96)&gt;1),"Remise invalide",IF(K96="","Taux de TVA manquant",IF(NOT(ISNUMBER(K96)),"Taux de TVA invalide",IF(COUNTIF(p_rates,K96)=0,"Taux de TVA hors liste (Paramètres)",IF(N(O96)&gt;25,"Au-delà de 25 lignes : non imprimée","OK")))))))))))))</f>
        <v/>
      </c>
      <c r="O96" s="59" t="str">
        <f>IF(A96="","",COUNTIF($A$6:A96,A96))</f>
        <v/>
      </c>
      <c r="P96" s="62" t="str">
        <f>IF(A96="","",A96&amp;"|"&amp;O96)</f>
        <v/>
      </c>
    </row>
    <row r="97">
      <c r="A97" s="60" t="n"/>
      <c r="B97" s="63" t="n"/>
      <c r="C97" s="63" t="n"/>
      <c r="D97" s="67" t="n"/>
      <c r="E97" s="68" t="n"/>
      <c r="F97" s="69" t="n"/>
      <c r="G97" s="70" t="n"/>
      <c r="H97" s="62" t="str">
        <f>IF(COUNTA(A97:G97)=0,"",IF(C97&lt;&gt;"",C97,IF(B97="","",IFERROR(INDEX(pr_des,MATCH(B97,pr_code,0))&amp;"",""))))</f>
        <v/>
      </c>
      <c r="I97" s="59" t="str">
        <f>IF(B97="","",IFERROR(INDEX(pr_unit,MATCH(B97,pr_code,0))&amp;"",""))</f>
        <v/>
      </c>
      <c r="J97" s="65" t="str">
        <f>IF(COUNTA(A97:G97)=0,"",IF(E97&lt;&gt;"",E97,IF(B97="","",IFERROR(IF(INDEX(pr_price,MATCH(B97,pr_code,0))="","",INDEX(pr_price,MATCH(B97,pr_code,0))),""))))</f>
        <v/>
      </c>
      <c r="K97" s="71" t="str">
        <f>IF(COUNTA(A97:G97)=0,"",IF(G97&lt;&gt;"",G97,IF(B97="","",IFERROR(IF(INDEX(pr_rate,MATCH(B97,pr_code,0))="","",INDEX(pr_rate,MATCH(B97,pr_code,0))),""))))</f>
        <v/>
      </c>
      <c r="L97" s="65" t="str">
        <f>IF(COUNTA(A97:G97)=0,"",IF(AND(ISNUMBER(D97),ISNUMBER(J97)),ROUND(D97*J97*(1-N(F97)),2),0))</f>
        <v/>
      </c>
      <c r="M97" s="62" t="str">
        <f>IF(A97="","",IFERROR(INDEX(fa_cname,MATCH(A97,fa_num,0))&amp;"",""))</f>
        <v/>
      </c>
      <c r="N97" s="59" t="str">
        <f>IF(COUNTA(A97:G97)=0,"",IF(A97="","N° facture manquant",IF(ISNA(MATCH(A97,fa_num,0)),"Facture inconnue",IF(AND(B97&lt;&gt;"",ISNA(MATCH(B97,pr_code,0))),"Article inconnu",IF(H97="","Désignation manquante",IF(OR(NOT(ISNUMBER(D97)),N(D97)&lt;=0),"Quantité invalide",IF(J97="","Prix manquant",IF(OR(NOT(ISNUMBER(J97)),N(J97)&lt;0),"Prix invalide",IF(OR(AND(F97&lt;&gt;"",NOT(ISNUMBER(F97))),N(F97)&lt;0,N(F97)&gt;1),"Remise invalide",IF(K97="","Taux de TVA manquant",IF(NOT(ISNUMBER(K97)),"Taux de TVA invalide",IF(COUNTIF(p_rates,K97)=0,"Taux de TVA hors liste (Paramètres)",IF(N(O97)&gt;25,"Au-delà de 25 lignes : non imprimée","OK")))))))))))))</f>
        <v/>
      </c>
      <c r="O97" s="59" t="str">
        <f>IF(A97="","",COUNTIF($A$6:A97,A97))</f>
        <v/>
      </c>
      <c r="P97" s="62" t="str">
        <f>IF(A97="","",A97&amp;"|"&amp;O97)</f>
        <v/>
      </c>
    </row>
    <row r="98">
      <c r="A98" s="60" t="n"/>
      <c r="B98" s="63" t="n"/>
      <c r="C98" s="63" t="n"/>
      <c r="D98" s="67" t="n"/>
      <c r="E98" s="68" t="n"/>
      <c r="F98" s="69" t="n"/>
      <c r="G98" s="70" t="n"/>
      <c r="H98" s="62" t="str">
        <f>IF(COUNTA(A98:G98)=0,"",IF(C98&lt;&gt;"",C98,IF(B98="","",IFERROR(INDEX(pr_des,MATCH(B98,pr_code,0))&amp;"",""))))</f>
        <v/>
      </c>
      <c r="I98" s="59" t="str">
        <f>IF(B98="","",IFERROR(INDEX(pr_unit,MATCH(B98,pr_code,0))&amp;"",""))</f>
        <v/>
      </c>
      <c r="J98" s="65" t="str">
        <f>IF(COUNTA(A98:G98)=0,"",IF(E98&lt;&gt;"",E98,IF(B98="","",IFERROR(IF(INDEX(pr_price,MATCH(B98,pr_code,0))="","",INDEX(pr_price,MATCH(B98,pr_code,0))),""))))</f>
        <v/>
      </c>
      <c r="K98" s="71" t="str">
        <f>IF(COUNTA(A98:G98)=0,"",IF(G98&lt;&gt;"",G98,IF(B98="","",IFERROR(IF(INDEX(pr_rate,MATCH(B98,pr_code,0))="","",INDEX(pr_rate,MATCH(B98,pr_code,0))),""))))</f>
        <v/>
      </c>
      <c r="L98" s="65" t="str">
        <f>IF(COUNTA(A98:G98)=0,"",IF(AND(ISNUMBER(D98),ISNUMBER(J98)),ROUND(D98*J98*(1-N(F98)),2),0))</f>
        <v/>
      </c>
      <c r="M98" s="62" t="str">
        <f>IF(A98="","",IFERROR(INDEX(fa_cname,MATCH(A98,fa_num,0))&amp;"",""))</f>
        <v/>
      </c>
      <c r="N98" s="59" t="str">
        <f>IF(COUNTA(A98:G98)=0,"",IF(A98="","N° facture manquant",IF(ISNA(MATCH(A98,fa_num,0)),"Facture inconnue",IF(AND(B98&lt;&gt;"",ISNA(MATCH(B98,pr_code,0))),"Article inconnu",IF(H98="","Désignation manquante",IF(OR(NOT(ISNUMBER(D98)),N(D98)&lt;=0),"Quantité invalide",IF(J98="","Prix manquant",IF(OR(NOT(ISNUMBER(J98)),N(J98)&lt;0),"Prix invalide",IF(OR(AND(F98&lt;&gt;"",NOT(ISNUMBER(F98))),N(F98)&lt;0,N(F98)&gt;1),"Remise invalide",IF(K98="","Taux de TVA manquant",IF(NOT(ISNUMBER(K98)),"Taux de TVA invalide",IF(COUNTIF(p_rates,K98)=0,"Taux de TVA hors liste (Paramètres)",IF(N(O98)&gt;25,"Au-delà de 25 lignes : non imprimée","OK")))))))))))))</f>
        <v/>
      </c>
      <c r="O98" s="59" t="str">
        <f>IF(A98="","",COUNTIF($A$6:A98,A98))</f>
        <v/>
      </c>
      <c r="P98" s="62" t="str">
        <f>IF(A98="","",A98&amp;"|"&amp;O98)</f>
        <v/>
      </c>
    </row>
    <row r="99">
      <c r="A99" s="60" t="n"/>
      <c r="B99" s="63" t="n"/>
      <c r="C99" s="63" t="n"/>
      <c r="D99" s="67" t="n"/>
      <c r="E99" s="68" t="n"/>
      <c r="F99" s="69" t="n"/>
      <c r="G99" s="70" t="n"/>
      <c r="H99" s="62" t="str">
        <f>IF(COUNTA(A99:G99)=0,"",IF(C99&lt;&gt;"",C99,IF(B99="","",IFERROR(INDEX(pr_des,MATCH(B99,pr_code,0))&amp;"",""))))</f>
        <v/>
      </c>
      <c r="I99" s="59" t="str">
        <f>IF(B99="","",IFERROR(INDEX(pr_unit,MATCH(B99,pr_code,0))&amp;"",""))</f>
        <v/>
      </c>
      <c r="J99" s="65" t="str">
        <f>IF(COUNTA(A99:G99)=0,"",IF(E99&lt;&gt;"",E99,IF(B99="","",IFERROR(IF(INDEX(pr_price,MATCH(B99,pr_code,0))="","",INDEX(pr_price,MATCH(B99,pr_code,0))),""))))</f>
        <v/>
      </c>
      <c r="K99" s="71" t="str">
        <f>IF(COUNTA(A99:G99)=0,"",IF(G99&lt;&gt;"",G99,IF(B99="","",IFERROR(IF(INDEX(pr_rate,MATCH(B99,pr_code,0))="","",INDEX(pr_rate,MATCH(B99,pr_code,0))),""))))</f>
        <v/>
      </c>
      <c r="L99" s="65" t="str">
        <f>IF(COUNTA(A99:G99)=0,"",IF(AND(ISNUMBER(D99),ISNUMBER(J99)),ROUND(D99*J99*(1-N(F99)),2),0))</f>
        <v/>
      </c>
      <c r="M99" s="62" t="str">
        <f>IF(A99="","",IFERROR(INDEX(fa_cname,MATCH(A99,fa_num,0))&amp;"",""))</f>
        <v/>
      </c>
      <c r="N99" s="59" t="str">
        <f>IF(COUNTA(A99:G99)=0,"",IF(A99="","N° facture manquant",IF(ISNA(MATCH(A99,fa_num,0)),"Facture inconnue",IF(AND(B99&lt;&gt;"",ISNA(MATCH(B99,pr_code,0))),"Article inconnu",IF(H99="","Désignation manquante",IF(OR(NOT(ISNUMBER(D99)),N(D99)&lt;=0),"Quantité invalide",IF(J99="","Prix manquant",IF(OR(NOT(ISNUMBER(J99)),N(J99)&lt;0),"Prix invalide",IF(OR(AND(F99&lt;&gt;"",NOT(ISNUMBER(F99))),N(F99)&lt;0,N(F99)&gt;1),"Remise invalide",IF(K99="","Taux de TVA manquant",IF(NOT(ISNUMBER(K99)),"Taux de TVA invalide",IF(COUNTIF(p_rates,K99)=0,"Taux de TVA hors liste (Paramètres)",IF(N(O99)&gt;25,"Au-delà de 25 lignes : non imprimée","OK")))))))))))))</f>
        <v/>
      </c>
      <c r="O99" s="59" t="str">
        <f>IF(A99="","",COUNTIF($A$6:A99,A99))</f>
        <v/>
      </c>
      <c r="P99" s="62" t="str">
        <f>IF(A99="","",A99&amp;"|"&amp;O99)</f>
        <v/>
      </c>
    </row>
    <row r="100">
      <c r="A100" s="60" t="n"/>
      <c r="B100" s="63" t="n"/>
      <c r="C100" s="63" t="n"/>
      <c r="D100" s="67" t="n"/>
      <c r="E100" s="68" t="n"/>
      <c r="F100" s="69" t="n"/>
      <c r="G100" s="70" t="n"/>
      <c r="H100" s="62" t="str">
        <f>IF(COUNTA(A100:G100)=0,"",IF(C100&lt;&gt;"",C100,IF(B100="","",IFERROR(INDEX(pr_des,MATCH(B100,pr_code,0))&amp;"",""))))</f>
        <v/>
      </c>
      <c r="I100" s="59" t="str">
        <f>IF(B100="","",IFERROR(INDEX(pr_unit,MATCH(B100,pr_code,0))&amp;"",""))</f>
        <v/>
      </c>
      <c r="J100" s="65" t="str">
        <f>IF(COUNTA(A100:G100)=0,"",IF(E100&lt;&gt;"",E100,IF(B100="","",IFERROR(IF(INDEX(pr_price,MATCH(B100,pr_code,0))="","",INDEX(pr_price,MATCH(B100,pr_code,0))),""))))</f>
        <v/>
      </c>
      <c r="K100" s="71" t="str">
        <f>IF(COUNTA(A100:G100)=0,"",IF(G100&lt;&gt;"",G100,IF(B100="","",IFERROR(IF(INDEX(pr_rate,MATCH(B100,pr_code,0))="","",INDEX(pr_rate,MATCH(B100,pr_code,0))),""))))</f>
        <v/>
      </c>
      <c r="L100" s="65" t="str">
        <f>IF(COUNTA(A100:G100)=0,"",IF(AND(ISNUMBER(D100),ISNUMBER(J100)),ROUND(D100*J100*(1-N(F100)),2),0))</f>
        <v/>
      </c>
      <c r="M100" s="62" t="str">
        <f>IF(A100="","",IFERROR(INDEX(fa_cname,MATCH(A100,fa_num,0))&amp;"",""))</f>
        <v/>
      </c>
      <c r="N100" s="59" t="str">
        <f>IF(COUNTA(A100:G100)=0,"",IF(A100="","N° facture manquant",IF(ISNA(MATCH(A100,fa_num,0)),"Facture inconnue",IF(AND(B100&lt;&gt;"",ISNA(MATCH(B100,pr_code,0))),"Article inconnu",IF(H100="","Désignation manquante",IF(OR(NOT(ISNUMBER(D100)),N(D100)&lt;=0),"Quantité invalide",IF(J100="","Prix manquant",IF(OR(NOT(ISNUMBER(J100)),N(J100)&lt;0),"Prix invalide",IF(OR(AND(F100&lt;&gt;"",NOT(ISNUMBER(F100))),N(F100)&lt;0,N(F100)&gt;1),"Remise invalide",IF(K100="","Taux de TVA manquant",IF(NOT(ISNUMBER(K100)),"Taux de TVA invalide",IF(COUNTIF(p_rates,K100)=0,"Taux de TVA hors liste (Paramètres)",IF(N(O100)&gt;25,"Au-delà de 25 lignes : non imprimée","OK")))))))))))))</f>
        <v/>
      </c>
      <c r="O100" s="59" t="str">
        <f>IF(A100="","",COUNTIF($A$6:A100,A100))</f>
        <v/>
      </c>
      <c r="P100" s="62" t="str">
        <f>IF(A100="","",A100&amp;"|"&amp;O100)</f>
        <v/>
      </c>
    </row>
    <row r="101">
      <c r="A101" s="60" t="n"/>
      <c r="B101" s="63" t="n"/>
      <c r="C101" s="63" t="n"/>
      <c r="D101" s="67" t="n"/>
      <c r="E101" s="68" t="n"/>
      <c r="F101" s="69" t="n"/>
      <c r="G101" s="70" t="n"/>
      <c r="H101" s="62" t="str">
        <f>IF(COUNTA(A101:G101)=0,"",IF(C101&lt;&gt;"",C101,IF(B101="","",IFERROR(INDEX(pr_des,MATCH(B101,pr_code,0))&amp;"",""))))</f>
        <v/>
      </c>
      <c r="I101" s="59" t="str">
        <f>IF(B101="","",IFERROR(INDEX(pr_unit,MATCH(B101,pr_code,0))&amp;"",""))</f>
        <v/>
      </c>
      <c r="J101" s="65" t="str">
        <f>IF(COUNTA(A101:G101)=0,"",IF(E101&lt;&gt;"",E101,IF(B101="","",IFERROR(IF(INDEX(pr_price,MATCH(B101,pr_code,0))="","",INDEX(pr_price,MATCH(B101,pr_code,0))),""))))</f>
        <v/>
      </c>
      <c r="K101" s="71" t="str">
        <f>IF(COUNTA(A101:G101)=0,"",IF(G101&lt;&gt;"",G101,IF(B101="","",IFERROR(IF(INDEX(pr_rate,MATCH(B101,pr_code,0))="","",INDEX(pr_rate,MATCH(B101,pr_code,0))),""))))</f>
        <v/>
      </c>
      <c r="L101" s="65" t="str">
        <f>IF(COUNTA(A101:G101)=0,"",IF(AND(ISNUMBER(D101),ISNUMBER(J101)),ROUND(D101*J101*(1-N(F101)),2),0))</f>
        <v/>
      </c>
      <c r="M101" s="62" t="str">
        <f>IF(A101="","",IFERROR(INDEX(fa_cname,MATCH(A101,fa_num,0))&amp;"",""))</f>
        <v/>
      </c>
      <c r="N101" s="59" t="str">
        <f>IF(COUNTA(A101:G101)=0,"",IF(A101="","N° facture manquant",IF(ISNA(MATCH(A101,fa_num,0)),"Facture inconnue",IF(AND(B101&lt;&gt;"",ISNA(MATCH(B101,pr_code,0))),"Article inconnu",IF(H101="","Désignation manquante",IF(OR(NOT(ISNUMBER(D101)),N(D101)&lt;=0),"Quantité invalide",IF(J101="","Prix manquant",IF(OR(NOT(ISNUMBER(J101)),N(J101)&lt;0),"Prix invalide",IF(OR(AND(F101&lt;&gt;"",NOT(ISNUMBER(F101))),N(F101)&lt;0,N(F101)&gt;1),"Remise invalide",IF(K101="","Taux de TVA manquant",IF(NOT(ISNUMBER(K101)),"Taux de TVA invalide",IF(COUNTIF(p_rates,K101)=0,"Taux de TVA hors liste (Paramètres)",IF(N(O101)&gt;25,"Au-delà de 25 lignes : non imprimée","OK")))))))))))))</f>
        <v/>
      </c>
      <c r="O101" s="59" t="str">
        <f>IF(A101="","",COUNTIF($A$6:A101,A101))</f>
        <v/>
      </c>
      <c r="P101" s="62" t="str">
        <f>IF(A101="","",A101&amp;"|"&amp;O101)</f>
        <v/>
      </c>
    </row>
    <row r="102">
      <c r="A102" s="60" t="n"/>
      <c r="B102" s="63" t="n"/>
      <c r="C102" s="63" t="n"/>
      <c r="D102" s="67" t="n"/>
      <c r="E102" s="68" t="n"/>
      <c r="F102" s="69" t="n"/>
      <c r="G102" s="70" t="n"/>
      <c r="H102" s="62" t="str">
        <f>IF(COUNTA(A102:G102)=0,"",IF(C102&lt;&gt;"",C102,IF(B102="","",IFERROR(INDEX(pr_des,MATCH(B102,pr_code,0))&amp;"",""))))</f>
        <v/>
      </c>
      <c r="I102" s="59" t="str">
        <f>IF(B102="","",IFERROR(INDEX(pr_unit,MATCH(B102,pr_code,0))&amp;"",""))</f>
        <v/>
      </c>
      <c r="J102" s="65" t="str">
        <f>IF(COUNTA(A102:G102)=0,"",IF(E102&lt;&gt;"",E102,IF(B102="","",IFERROR(IF(INDEX(pr_price,MATCH(B102,pr_code,0))="","",INDEX(pr_price,MATCH(B102,pr_code,0))),""))))</f>
        <v/>
      </c>
      <c r="K102" s="71" t="str">
        <f>IF(COUNTA(A102:G102)=0,"",IF(G102&lt;&gt;"",G102,IF(B102="","",IFERROR(IF(INDEX(pr_rate,MATCH(B102,pr_code,0))="","",INDEX(pr_rate,MATCH(B102,pr_code,0))),""))))</f>
        <v/>
      </c>
      <c r="L102" s="65" t="str">
        <f>IF(COUNTA(A102:G102)=0,"",IF(AND(ISNUMBER(D102),ISNUMBER(J102)),ROUND(D102*J102*(1-N(F102)),2),0))</f>
        <v/>
      </c>
      <c r="M102" s="62" t="str">
        <f>IF(A102="","",IFERROR(INDEX(fa_cname,MATCH(A102,fa_num,0))&amp;"",""))</f>
        <v/>
      </c>
      <c r="N102" s="59" t="str">
        <f>IF(COUNTA(A102:G102)=0,"",IF(A102="","N° facture manquant",IF(ISNA(MATCH(A102,fa_num,0)),"Facture inconnue",IF(AND(B102&lt;&gt;"",ISNA(MATCH(B102,pr_code,0))),"Article inconnu",IF(H102="","Désignation manquante",IF(OR(NOT(ISNUMBER(D102)),N(D102)&lt;=0),"Quantité invalide",IF(J102="","Prix manquant",IF(OR(NOT(ISNUMBER(J102)),N(J102)&lt;0),"Prix invalide",IF(OR(AND(F102&lt;&gt;"",NOT(ISNUMBER(F102))),N(F102)&lt;0,N(F102)&gt;1),"Remise invalide",IF(K102="","Taux de TVA manquant",IF(NOT(ISNUMBER(K102)),"Taux de TVA invalide",IF(COUNTIF(p_rates,K102)=0,"Taux de TVA hors liste (Paramètres)",IF(N(O102)&gt;25,"Au-delà de 25 lignes : non imprimée","OK")))))))))))))</f>
        <v/>
      </c>
      <c r="O102" s="59" t="str">
        <f>IF(A102="","",COUNTIF($A$6:A102,A102))</f>
        <v/>
      </c>
      <c r="P102" s="62" t="str">
        <f>IF(A102="","",A102&amp;"|"&amp;O102)</f>
        <v/>
      </c>
    </row>
    <row r="103">
      <c r="A103" s="60" t="n"/>
      <c r="B103" s="63" t="n"/>
      <c r="C103" s="63" t="n"/>
      <c r="D103" s="67" t="n"/>
      <c r="E103" s="68" t="n"/>
      <c r="F103" s="69" t="n"/>
      <c r="G103" s="70" t="n"/>
      <c r="H103" s="62" t="str">
        <f>IF(COUNTA(A103:G103)=0,"",IF(C103&lt;&gt;"",C103,IF(B103="","",IFERROR(INDEX(pr_des,MATCH(B103,pr_code,0))&amp;"",""))))</f>
        <v/>
      </c>
      <c r="I103" s="59" t="str">
        <f>IF(B103="","",IFERROR(INDEX(pr_unit,MATCH(B103,pr_code,0))&amp;"",""))</f>
        <v/>
      </c>
      <c r="J103" s="65" t="str">
        <f>IF(COUNTA(A103:G103)=0,"",IF(E103&lt;&gt;"",E103,IF(B103="","",IFERROR(IF(INDEX(pr_price,MATCH(B103,pr_code,0))="","",INDEX(pr_price,MATCH(B103,pr_code,0))),""))))</f>
        <v/>
      </c>
      <c r="K103" s="71" t="str">
        <f>IF(COUNTA(A103:G103)=0,"",IF(G103&lt;&gt;"",G103,IF(B103="","",IFERROR(IF(INDEX(pr_rate,MATCH(B103,pr_code,0))="","",INDEX(pr_rate,MATCH(B103,pr_code,0))),""))))</f>
        <v/>
      </c>
      <c r="L103" s="65" t="str">
        <f>IF(COUNTA(A103:G103)=0,"",IF(AND(ISNUMBER(D103),ISNUMBER(J103)),ROUND(D103*J103*(1-N(F103)),2),0))</f>
        <v/>
      </c>
      <c r="M103" s="62" t="str">
        <f>IF(A103="","",IFERROR(INDEX(fa_cname,MATCH(A103,fa_num,0))&amp;"",""))</f>
        <v/>
      </c>
      <c r="N103" s="59" t="str">
        <f>IF(COUNTA(A103:G103)=0,"",IF(A103="","N° facture manquant",IF(ISNA(MATCH(A103,fa_num,0)),"Facture inconnue",IF(AND(B103&lt;&gt;"",ISNA(MATCH(B103,pr_code,0))),"Article inconnu",IF(H103="","Désignation manquante",IF(OR(NOT(ISNUMBER(D103)),N(D103)&lt;=0),"Quantité invalide",IF(J103="","Prix manquant",IF(OR(NOT(ISNUMBER(J103)),N(J103)&lt;0),"Prix invalide",IF(OR(AND(F103&lt;&gt;"",NOT(ISNUMBER(F103))),N(F103)&lt;0,N(F103)&gt;1),"Remise invalide",IF(K103="","Taux de TVA manquant",IF(NOT(ISNUMBER(K103)),"Taux de TVA invalide",IF(COUNTIF(p_rates,K103)=0,"Taux de TVA hors liste (Paramètres)",IF(N(O103)&gt;25,"Au-delà de 25 lignes : non imprimée","OK")))))))))))))</f>
        <v/>
      </c>
      <c r="O103" s="59" t="str">
        <f>IF(A103="","",COUNTIF($A$6:A103,A103))</f>
        <v/>
      </c>
      <c r="P103" s="62" t="str">
        <f>IF(A103="","",A103&amp;"|"&amp;O103)</f>
        <v/>
      </c>
    </row>
    <row r="104">
      <c r="A104" s="60" t="n"/>
      <c r="B104" s="63" t="n"/>
      <c r="C104" s="63" t="n"/>
      <c r="D104" s="67" t="n"/>
      <c r="E104" s="68" t="n"/>
      <c r="F104" s="69" t="n"/>
      <c r="G104" s="70" t="n"/>
      <c r="H104" s="62" t="str">
        <f>IF(COUNTA(A104:G104)=0,"",IF(C104&lt;&gt;"",C104,IF(B104="","",IFERROR(INDEX(pr_des,MATCH(B104,pr_code,0))&amp;"",""))))</f>
        <v/>
      </c>
      <c r="I104" s="59" t="str">
        <f>IF(B104="","",IFERROR(INDEX(pr_unit,MATCH(B104,pr_code,0))&amp;"",""))</f>
        <v/>
      </c>
      <c r="J104" s="65" t="str">
        <f>IF(COUNTA(A104:G104)=0,"",IF(E104&lt;&gt;"",E104,IF(B104="","",IFERROR(IF(INDEX(pr_price,MATCH(B104,pr_code,0))="","",INDEX(pr_price,MATCH(B104,pr_code,0))),""))))</f>
        <v/>
      </c>
      <c r="K104" s="71" t="str">
        <f>IF(COUNTA(A104:G104)=0,"",IF(G104&lt;&gt;"",G104,IF(B104="","",IFERROR(IF(INDEX(pr_rate,MATCH(B104,pr_code,0))="","",INDEX(pr_rate,MATCH(B104,pr_code,0))),""))))</f>
        <v/>
      </c>
      <c r="L104" s="65" t="str">
        <f>IF(COUNTA(A104:G104)=0,"",IF(AND(ISNUMBER(D104),ISNUMBER(J104)),ROUND(D104*J104*(1-N(F104)),2),0))</f>
        <v/>
      </c>
      <c r="M104" s="62" t="str">
        <f>IF(A104="","",IFERROR(INDEX(fa_cname,MATCH(A104,fa_num,0))&amp;"",""))</f>
        <v/>
      </c>
      <c r="N104" s="59" t="str">
        <f>IF(COUNTA(A104:G104)=0,"",IF(A104="","N° facture manquant",IF(ISNA(MATCH(A104,fa_num,0)),"Facture inconnue",IF(AND(B104&lt;&gt;"",ISNA(MATCH(B104,pr_code,0))),"Article inconnu",IF(H104="","Désignation manquante",IF(OR(NOT(ISNUMBER(D104)),N(D104)&lt;=0),"Quantité invalide",IF(J104="","Prix manquant",IF(OR(NOT(ISNUMBER(J104)),N(J104)&lt;0),"Prix invalide",IF(OR(AND(F104&lt;&gt;"",NOT(ISNUMBER(F104))),N(F104)&lt;0,N(F104)&gt;1),"Remise invalide",IF(K104="","Taux de TVA manquant",IF(NOT(ISNUMBER(K104)),"Taux de TVA invalide",IF(COUNTIF(p_rates,K104)=0,"Taux de TVA hors liste (Paramètres)",IF(N(O104)&gt;25,"Au-delà de 25 lignes : non imprimée","OK")))))))))))))</f>
        <v/>
      </c>
      <c r="O104" s="59" t="str">
        <f>IF(A104="","",COUNTIF($A$6:A104,A104))</f>
        <v/>
      </c>
      <c r="P104" s="62" t="str">
        <f>IF(A104="","",A104&amp;"|"&amp;O104)</f>
        <v/>
      </c>
    </row>
    <row r="105">
      <c r="A105" s="60" t="n"/>
      <c r="B105" s="63" t="n"/>
      <c r="C105" s="63" t="n"/>
      <c r="D105" s="67" t="n"/>
      <c r="E105" s="68" t="n"/>
      <c r="F105" s="69" t="n"/>
      <c r="G105" s="70" t="n"/>
      <c r="H105" s="62" t="str">
        <f>IF(COUNTA(A105:G105)=0,"",IF(C105&lt;&gt;"",C105,IF(B105="","",IFERROR(INDEX(pr_des,MATCH(B105,pr_code,0))&amp;"",""))))</f>
        <v/>
      </c>
      <c r="I105" s="59" t="str">
        <f>IF(B105="","",IFERROR(INDEX(pr_unit,MATCH(B105,pr_code,0))&amp;"",""))</f>
        <v/>
      </c>
      <c r="J105" s="65" t="str">
        <f>IF(COUNTA(A105:G105)=0,"",IF(E105&lt;&gt;"",E105,IF(B105="","",IFERROR(IF(INDEX(pr_price,MATCH(B105,pr_code,0))="","",INDEX(pr_price,MATCH(B105,pr_code,0))),""))))</f>
        <v/>
      </c>
      <c r="K105" s="71" t="str">
        <f>IF(COUNTA(A105:G105)=0,"",IF(G105&lt;&gt;"",G105,IF(B105="","",IFERROR(IF(INDEX(pr_rate,MATCH(B105,pr_code,0))="","",INDEX(pr_rate,MATCH(B105,pr_code,0))),""))))</f>
        <v/>
      </c>
      <c r="L105" s="65" t="str">
        <f>IF(COUNTA(A105:G105)=0,"",IF(AND(ISNUMBER(D105),ISNUMBER(J105)),ROUND(D105*J105*(1-N(F105)),2),0))</f>
        <v/>
      </c>
      <c r="M105" s="62" t="str">
        <f>IF(A105="","",IFERROR(INDEX(fa_cname,MATCH(A105,fa_num,0))&amp;"",""))</f>
        <v/>
      </c>
      <c r="N105" s="59" t="str">
        <f>IF(COUNTA(A105:G105)=0,"",IF(A105="","N° facture manquant",IF(ISNA(MATCH(A105,fa_num,0)),"Facture inconnue",IF(AND(B105&lt;&gt;"",ISNA(MATCH(B105,pr_code,0))),"Article inconnu",IF(H105="","Désignation manquante",IF(OR(NOT(ISNUMBER(D105)),N(D105)&lt;=0),"Quantité invalide",IF(J105="","Prix manquant",IF(OR(NOT(ISNUMBER(J105)),N(J105)&lt;0),"Prix invalide",IF(OR(AND(F105&lt;&gt;"",NOT(ISNUMBER(F105))),N(F105)&lt;0,N(F105)&gt;1),"Remise invalide",IF(K105="","Taux de TVA manquant",IF(NOT(ISNUMBER(K105)),"Taux de TVA invalide",IF(COUNTIF(p_rates,K105)=0,"Taux de TVA hors liste (Paramètres)",IF(N(O105)&gt;25,"Au-delà de 25 lignes : non imprimée","OK")))))))))))))</f>
        <v/>
      </c>
      <c r="O105" s="59" t="str">
        <f>IF(A105="","",COUNTIF($A$6:A105,A105))</f>
        <v/>
      </c>
      <c r="P105" s="62" t="str">
        <f>IF(A105="","",A105&amp;"|"&amp;O105)</f>
        <v/>
      </c>
    </row>
    <row r="106">
      <c r="A106" s="60" t="n"/>
      <c r="B106" s="63" t="n"/>
      <c r="C106" s="63" t="n"/>
      <c r="D106" s="67" t="n"/>
      <c r="E106" s="68" t="n"/>
      <c r="F106" s="69" t="n"/>
      <c r="G106" s="70" t="n"/>
      <c r="H106" s="62" t="str">
        <f>IF(COUNTA(A106:G106)=0,"",IF(C106&lt;&gt;"",C106,IF(B106="","",IFERROR(INDEX(pr_des,MATCH(B106,pr_code,0))&amp;"",""))))</f>
        <v/>
      </c>
      <c r="I106" s="59" t="str">
        <f>IF(B106="","",IFERROR(INDEX(pr_unit,MATCH(B106,pr_code,0))&amp;"",""))</f>
        <v/>
      </c>
      <c r="J106" s="65" t="str">
        <f>IF(COUNTA(A106:G106)=0,"",IF(E106&lt;&gt;"",E106,IF(B106="","",IFERROR(IF(INDEX(pr_price,MATCH(B106,pr_code,0))="","",INDEX(pr_price,MATCH(B106,pr_code,0))),""))))</f>
        <v/>
      </c>
      <c r="K106" s="71" t="str">
        <f>IF(COUNTA(A106:G106)=0,"",IF(G106&lt;&gt;"",G106,IF(B106="","",IFERROR(IF(INDEX(pr_rate,MATCH(B106,pr_code,0))="","",INDEX(pr_rate,MATCH(B106,pr_code,0))),""))))</f>
        <v/>
      </c>
      <c r="L106" s="65" t="str">
        <f>IF(COUNTA(A106:G106)=0,"",IF(AND(ISNUMBER(D106),ISNUMBER(J106)),ROUND(D106*J106*(1-N(F106)),2),0))</f>
        <v/>
      </c>
      <c r="M106" s="62" t="str">
        <f>IF(A106="","",IFERROR(INDEX(fa_cname,MATCH(A106,fa_num,0))&amp;"",""))</f>
        <v/>
      </c>
      <c r="N106" s="59" t="str">
        <f>IF(COUNTA(A106:G106)=0,"",IF(A106="","N° facture manquant",IF(ISNA(MATCH(A106,fa_num,0)),"Facture inconnue",IF(AND(B106&lt;&gt;"",ISNA(MATCH(B106,pr_code,0))),"Article inconnu",IF(H106="","Désignation manquante",IF(OR(NOT(ISNUMBER(D106)),N(D106)&lt;=0),"Quantité invalide",IF(J106="","Prix manquant",IF(OR(NOT(ISNUMBER(J106)),N(J106)&lt;0),"Prix invalide",IF(OR(AND(F106&lt;&gt;"",NOT(ISNUMBER(F106))),N(F106)&lt;0,N(F106)&gt;1),"Remise invalide",IF(K106="","Taux de TVA manquant",IF(NOT(ISNUMBER(K106)),"Taux de TVA invalide",IF(COUNTIF(p_rates,K106)=0,"Taux de TVA hors liste (Paramètres)",IF(N(O106)&gt;25,"Au-delà de 25 lignes : non imprimée","OK")))))))))))))</f>
        <v/>
      </c>
      <c r="O106" s="59" t="str">
        <f>IF(A106="","",COUNTIF($A$6:A106,A106))</f>
        <v/>
      </c>
      <c r="P106" s="62" t="str">
        <f>IF(A106="","",A106&amp;"|"&amp;O106)</f>
        <v/>
      </c>
    </row>
    <row r="107">
      <c r="A107" s="60" t="n"/>
      <c r="B107" s="63" t="n"/>
      <c r="C107" s="63" t="n"/>
      <c r="D107" s="67" t="n"/>
      <c r="E107" s="68" t="n"/>
      <c r="F107" s="69" t="n"/>
      <c r="G107" s="70" t="n"/>
      <c r="H107" s="62" t="str">
        <f>IF(COUNTA(A107:G107)=0,"",IF(C107&lt;&gt;"",C107,IF(B107="","",IFERROR(INDEX(pr_des,MATCH(B107,pr_code,0))&amp;"",""))))</f>
        <v/>
      </c>
      <c r="I107" s="59" t="str">
        <f>IF(B107="","",IFERROR(INDEX(pr_unit,MATCH(B107,pr_code,0))&amp;"",""))</f>
        <v/>
      </c>
      <c r="J107" s="65" t="str">
        <f>IF(COUNTA(A107:G107)=0,"",IF(E107&lt;&gt;"",E107,IF(B107="","",IFERROR(IF(INDEX(pr_price,MATCH(B107,pr_code,0))="","",INDEX(pr_price,MATCH(B107,pr_code,0))),""))))</f>
        <v/>
      </c>
      <c r="K107" s="71" t="str">
        <f>IF(COUNTA(A107:G107)=0,"",IF(G107&lt;&gt;"",G107,IF(B107="","",IFERROR(IF(INDEX(pr_rate,MATCH(B107,pr_code,0))="","",INDEX(pr_rate,MATCH(B107,pr_code,0))),""))))</f>
        <v/>
      </c>
      <c r="L107" s="65" t="str">
        <f>IF(COUNTA(A107:G107)=0,"",IF(AND(ISNUMBER(D107),ISNUMBER(J107)),ROUND(D107*J107*(1-N(F107)),2),0))</f>
        <v/>
      </c>
      <c r="M107" s="62" t="str">
        <f>IF(A107="","",IFERROR(INDEX(fa_cname,MATCH(A107,fa_num,0))&amp;"",""))</f>
        <v/>
      </c>
      <c r="N107" s="59" t="str">
        <f>IF(COUNTA(A107:G107)=0,"",IF(A107="","N° facture manquant",IF(ISNA(MATCH(A107,fa_num,0)),"Facture inconnue",IF(AND(B107&lt;&gt;"",ISNA(MATCH(B107,pr_code,0))),"Article inconnu",IF(H107="","Désignation manquante",IF(OR(NOT(ISNUMBER(D107)),N(D107)&lt;=0),"Quantité invalide",IF(J107="","Prix manquant",IF(OR(NOT(ISNUMBER(J107)),N(J107)&lt;0),"Prix invalide",IF(OR(AND(F107&lt;&gt;"",NOT(ISNUMBER(F107))),N(F107)&lt;0,N(F107)&gt;1),"Remise invalide",IF(K107="","Taux de TVA manquant",IF(NOT(ISNUMBER(K107)),"Taux de TVA invalide",IF(COUNTIF(p_rates,K107)=0,"Taux de TVA hors liste (Paramètres)",IF(N(O107)&gt;25,"Au-delà de 25 lignes : non imprimée","OK")))))))))))))</f>
        <v/>
      </c>
      <c r="O107" s="59" t="str">
        <f>IF(A107="","",COUNTIF($A$6:A107,A107))</f>
        <v/>
      </c>
      <c r="P107" s="62" t="str">
        <f>IF(A107="","",A107&amp;"|"&amp;O107)</f>
        <v/>
      </c>
    </row>
    <row r="108">
      <c r="A108" s="60" t="n"/>
      <c r="B108" s="63" t="n"/>
      <c r="C108" s="63" t="n"/>
      <c r="D108" s="67" t="n"/>
      <c r="E108" s="68" t="n"/>
      <c r="F108" s="69" t="n"/>
      <c r="G108" s="70" t="n"/>
      <c r="H108" s="62" t="str">
        <f>IF(COUNTA(A108:G108)=0,"",IF(C108&lt;&gt;"",C108,IF(B108="","",IFERROR(INDEX(pr_des,MATCH(B108,pr_code,0))&amp;"",""))))</f>
        <v/>
      </c>
      <c r="I108" s="59" t="str">
        <f>IF(B108="","",IFERROR(INDEX(pr_unit,MATCH(B108,pr_code,0))&amp;"",""))</f>
        <v/>
      </c>
      <c r="J108" s="65" t="str">
        <f>IF(COUNTA(A108:G108)=0,"",IF(E108&lt;&gt;"",E108,IF(B108="","",IFERROR(IF(INDEX(pr_price,MATCH(B108,pr_code,0))="","",INDEX(pr_price,MATCH(B108,pr_code,0))),""))))</f>
        <v/>
      </c>
      <c r="K108" s="71" t="str">
        <f>IF(COUNTA(A108:G108)=0,"",IF(G108&lt;&gt;"",G108,IF(B108="","",IFERROR(IF(INDEX(pr_rate,MATCH(B108,pr_code,0))="","",INDEX(pr_rate,MATCH(B108,pr_code,0))),""))))</f>
        <v/>
      </c>
      <c r="L108" s="65" t="str">
        <f>IF(COUNTA(A108:G108)=0,"",IF(AND(ISNUMBER(D108),ISNUMBER(J108)),ROUND(D108*J108*(1-N(F108)),2),0))</f>
        <v/>
      </c>
      <c r="M108" s="62" t="str">
        <f>IF(A108="","",IFERROR(INDEX(fa_cname,MATCH(A108,fa_num,0))&amp;"",""))</f>
        <v/>
      </c>
      <c r="N108" s="59" t="str">
        <f>IF(COUNTA(A108:G108)=0,"",IF(A108="","N° facture manquant",IF(ISNA(MATCH(A108,fa_num,0)),"Facture inconnue",IF(AND(B108&lt;&gt;"",ISNA(MATCH(B108,pr_code,0))),"Article inconnu",IF(H108="","Désignation manquante",IF(OR(NOT(ISNUMBER(D108)),N(D108)&lt;=0),"Quantité invalide",IF(J108="","Prix manquant",IF(OR(NOT(ISNUMBER(J108)),N(J108)&lt;0),"Prix invalide",IF(OR(AND(F108&lt;&gt;"",NOT(ISNUMBER(F108))),N(F108)&lt;0,N(F108)&gt;1),"Remise invalide",IF(K108="","Taux de TVA manquant",IF(NOT(ISNUMBER(K108)),"Taux de TVA invalide",IF(COUNTIF(p_rates,K108)=0,"Taux de TVA hors liste (Paramètres)",IF(N(O108)&gt;25,"Au-delà de 25 lignes : non imprimée","OK")))))))))))))</f>
        <v/>
      </c>
      <c r="O108" s="59" t="str">
        <f>IF(A108="","",COUNTIF($A$6:A108,A108))</f>
        <v/>
      </c>
      <c r="P108" s="62" t="str">
        <f>IF(A108="","",A108&amp;"|"&amp;O108)</f>
        <v/>
      </c>
    </row>
    <row r="109">
      <c r="A109" s="60" t="n"/>
      <c r="B109" s="63" t="n"/>
      <c r="C109" s="63" t="n"/>
      <c r="D109" s="67" t="n"/>
      <c r="E109" s="68" t="n"/>
      <c r="F109" s="69" t="n"/>
      <c r="G109" s="70" t="n"/>
      <c r="H109" s="62" t="str">
        <f>IF(COUNTA(A109:G109)=0,"",IF(C109&lt;&gt;"",C109,IF(B109="","",IFERROR(INDEX(pr_des,MATCH(B109,pr_code,0))&amp;"",""))))</f>
        <v/>
      </c>
      <c r="I109" s="59" t="str">
        <f>IF(B109="","",IFERROR(INDEX(pr_unit,MATCH(B109,pr_code,0))&amp;"",""))</f>
        <v/>
      </c>
      <c r="J109" s="65" t="str">
        <f>IF(COUNTA(A109:G109)=0,"",IF(E109&lt;&gt;"",E109,IF(B109="","",IFERROR(IF(INDEX(pr_price,MATCH(B109,pr_code,0))="","",INDEX(pr_price,MATCH(B109,pr_code,0))),""))))</f>
        <v/>
      </c>
      <c r="K109" s="71" t="str">
        <f>IF(COUNTA(A109:G109)=0,"",IF(G109&lt;&gt;"",G109,IF(B109="","",IFERROR(IF(INDEX(pr_rate,MATCH(B109,pr_code,0))="","",INDEX(pr_rate,MATCH(B109,pr_code,0))),""))))</f>
        <v/>
      </c>
      <c r="L109" s="65" t="str">
        <f>IF(COUNTA(A109:G109)=0,"",IF(AND(ISNUMBER(D109),ISNUMBER(J109)),ROUND(D109*J109*(1-N(F109)),2),0))</f>
        <v/>
      </c>
      <c r="M109" s="62" t="str">
        <f>IF(A109="","",IFERROR(INDEX(fa_cname,MATCH(A109,fa_num,0))&amp;"",""))</f>
        <v/>
      </c>
      <c r="N109" s="59" t="str">
        <f>IF(COUNTA(A109:G109)=0,"",IF(A109="","N° facture manquant",IF(ISNA(MATCH(A109,fa_num,0)),"Facture inconnue",IF(AND(B109&lt;&gt;"",ISNA(MATCH(B109,pr_code,0))),"Article inconnu",IF(H109="","Désignation manquante",IF(OR(NOT(ISNUMBER(D109)),N(D109)&lt;=0),"Quantité invalide",IF(J109="","Prix manquant",IF(OR(NOT(ISNUMBER(J109)),N(J109)&lt;0),"Prix invalide",IF(OR(AND(F109&lt;&gt;"",NOT(ISNUMBER(F109))),N(F109)&lt;0,N(F109)&gt;1),"Remise invalide",IF(K109="","Taux de TVA manquant",IF(NOT(ISNUMBER(K109)),"Taux de TVA invalide",IF(COUNTIF(p_rates,K109)=0,"Taux de TVA hors liste (Paramètres)",IF(N(O109)&gt;25,"Au-delà de 25 lignes : non imprimée","OK")))))))))))))</f>
        <v/>
      </c>
      <c r="O109" s="59" t="str">
        <f>IF(A109="","",COUNTIF($A$6:A109,A109))</f>
        <v/>
      </c>
      <c r="P109" s="62" t="str">
        <f>IF(A109="","",A109&amp;"|"&amp;O109)</f>
        <v/>
      </c>
    </row>
    <row r="110">
      <c r="A110" s="60" t="n"/>
      <c r="B110" s="63" t="n"/>
      <c r="C110" s="63" t="n"/>
      <c r="D110" s="67" t="n"/>
      <c r="E110" s="68" t="n"/>
      <c r="F110" s="69" t="n"/>
      <c r="G110" s="70" t="n"/>
      <c r="H110" s="62" t="str">
        <f>IF(COUNTA(A110:G110)=0,"",IF(C110&lt;&gt;"",C110,IF(B110="","",IFERROR(INDEX(pr_des,MATCH(B110,pr_code,0))&amp;"",""))))</f>
        <v/>
      </c>
      <c r="I110" s="59" t="str">
        <f>IF(B110="","",IFERROR(INDEX(pr_unit,MATCH(B110,pr_code,0))&amp;"",""))</f>
        <v/>
      </c>
      <c r="J110" s="65" t="str">
        <f>IF(COUNTA(A110:G110)=0,"",IF(E110&lt;&gt;"",E110,IF(B110="","",IFERROR(IF(INDEX(pr_price,MATCH(B110,pr_code,0))="","",INDEX(pr_price,MATCH(B110,pr_code,0))),""))))</f>
        <v/>
      </c>
      <c r="K110" s="71" t="str">
        <f>IF(COUNTA(A110:G110)=0,"",IF(G110&lt;&gt;"",G110,IF(B110="","",IFERROR(IF(INDEX(pr_rate,MATCH(B110,pr_code,0))="","",INDEX(pr_rate,MATCH(B110,pr_code,0))),""))))</f>
        <v/>
      </c>
      <c r="L110" s="65" t="str">
        <f>IF(COUNTA(A110:G110)=0,"",IF(AND(ISNUMBER(D110),ISNUMBER(J110)),ROUND(D110*J110*(1-N(F110)),2),0))</f>
        <v/>
      </c>
      <c r="M110" s="62" t="str">
        <f>IF(A110="","",IFERROR(INDEX(fa_cname,MATCH(A110,fa_num,0))&amp;"",""))</f>
        <v/>
      </c>
      <c r="N110" s="59" t="str">
        <f>IF(COUNTA(A110:G110)=0,"",IF(A110="","N° facture manquant",IF(ISNA(MATCH(A110,fa_num,0)),"Facture inconnue",IF(AND(B110&lt;&gt;"",ISNA(MATCH(B110,pr_code,0))),"Article inconnu",IF(H110="","Désignation manquante",IF(OR(NOT(ISNUMBER(D110)),N(D110)&lt;=0),"Quantité invalide",IF(J110="","Prix manquant",IF(OR(NOT(ISNUMBER(J110)),N(J110)&lt;0),"Prix invalide",IF(OR(AND(F110&lt;&gt;"",NOT(ISNUMBER(F110))),N(F110)&lt;0,N(F110)&gt;1),"Remise invalide",IF(K110="","Taux de TVA manquant",IF(NOT(ISNUMBER(K110)),"Taux de TVA invalide",IF(COUNTIF(p_rates,K110)=0,"Taux de TVA hors liste (Paramètres)",IF(N(O110)&gt;25,"Au-delà de 25 lignes : non imprimée","OK")))))))))))))</f>
        <v/>
      </c>
      <c r="O110" s="59" t="str">
        <f>IF(A110="","",COUNTIF($A$6:A110,A110))</f>
        <v/>
      </c>
      <c r="P110" s="62" t="str">
        <f>IF(A110="","",A110&amp;"|"&amp;O110)</f>
        <v/>
      </c>
    </row>
    <row r="111">
      <c r="A111" s="60" t="n"/>
      <c r="B111" s="63" t="n"/>
      <c r="C111" s="63" t="n"/>
      <c r="D111" s="67" t="n"/>
      <c r="E111" s="68" t="n"/>
      <c r="F111" s="69" t="n"/>
      <c r="G111" s="70" t="n"/>
      <c r="H111" s="62" t="str">
        <f>IF(COUNTA(A111:G111)=0,"",IF(C111&lt;&gt;"",C111,IF(B111="","",IFERROR(INDEX(pr_des,MATCH(B111,pr_code,0))&amp;"",""))))</f>
        <v/>
      </c>
      <c r="I111" s="59" t="str">
        <f>IF(B111="","",IFERROR(INDEX(pr_unit,MATCH(B111,pr_code,0))&amp;"",""))</f>
        <v/>
      </c>
      <c r="J111" s="65" t="str">
        <f>IF(COUNTA(A111:G111)=0,"",IF(E111&lt;&gt;"",E111,IF(B111="","",IFERROR(IF(INDEX(pr_price,MATCH(B111,pr_code,0))="","",INDEX(pr_price,MATCH(B111,pr_code,0))),""))))</f>
        <v/>
      </c>
      <c r="K111" s="71" t="str">
        <f>IF(COUNTA(A111:G111)=0,"",IF(G111&lt;&gt;"",G111,IF(B111="","",IFERROR(IF(INDEX(pr_rate,MATCH(B111,pr_code,0))="","",INDEX(pr_rate,MATCH(B111,pr_code,0))),""))))</f>
        <v/>
      </c>
      <c r="L111" s="65" t="str">
        <f>IF(COUNTA(A111:G111)=0,"",IF(AND(ISNUMBER(D111),ISNUMBER(J111)),ROUND(D111*J111*(1-N(F111)),2),0))</f>
        <v/>
      </c>
      <c r="M111" s="62" t="str">
        <f>IF(A111="","",IFERROR(INDEX(fa_cname,MATCH(A111,fa_num,0))&amp;"",""))</f>
        <v/>
      </c>
      <c r="N111" s="59" t="str">
        <f>IF(COUNTA(A111:G111)=0,"",IF(A111="","N° facture manquant",IF(ISNA(MATCH(A111,fa_num,0)),"Facture inconnue",IF(AND(B111&lt;&gt;"",ISNA(MATCH(B111,pr_code,0))),"Article inconnu",IF(H111="","Désignation manquante",IF(OR(NOT(ISNUMBER(D111)),N(D111)&lt;=0),"Quantité invalide",IF(J111="","Prix manquant",IF(OR(NOT(ISNUMBER(J111)),N(J111)&lt;0),"Prix invalide",IF(OR(AND(F111&lt;&gt;"",NOT(ISNUMBER(F111))),N(F111)&lt;0,N(F111)&gt;1),"Remise invalide",IF(K111="","Taux de TVA manquant",IF(NOT(ISNUMBER(K111)),"Taux de TVA invalide",IF(COUNTIF(p_rates,K111)=0,"Taux de TVA hors liste (Paramètres)",IF(N(O111)&gt;25,"Au-delà de 25 lignes : non imprimée","OK")))))))))))))</f>
        <v/>
      </c>
      <c r="O111" s="59" t="str">
        <f>IF(A111="","",COUNTIF($A$6:A111,A111))</f>
        <v/>
      </c>
      <c r="P111" s="62" t="str">
        <f>IF(A111="","",A111&amp;"|"&amp;O111)</f>
        <v/>
      </c>
    </row>
    <row r="112">
      <c r="A112" s="60" t="n"/>
      <c r="B112" s="63" t="n"/>
      <c r="C112" s="63" t="n"/>
      <c r="D112" s="67" t="n"/>
      <c r="E112" s="68" t="n"/>
      <c r="F112" s="69" t="n"/>
      <c r="G112" s="70" t="n"/>
      <c r="H112" s="62" t="str">
        <f>IF(COUNTA(A112:G112)=0,"",IF(C112&lt;&gt;"",C112,IF(B112="","",IFERROR(INDEX(pr_des,MATCH(B112,pr_code,0))&amp;"",""))))</f>
        <v/>
      </c>
      <c r="I112" s="59" t="str">
        <f>IF(B112="","",IFERROR(INDEX(pr_unit,MATCH(B112,pr_code,0))&amp;"",""))</f>
        <v/>
      </c>
      <c r="J112" s="65" t="str">
        <f>IF(COUNTA(A112:G112)=0,"",IF(E112&lt;&gt;"",E112,IF(B112="","",IFERROR(IF(INDEX(pr_price,MATCH(B112,pr_code,0))="","",INDEX(pr_price,MATCH(B112,pr_code,0))),""))))</f>
        <v/>
      </c>
      <c r="K112" s="71" t="str">
        <f>IF(COUNTA(A112:G112)=0,"",IF(G112&lt;&gt;"",G112,IF(B112="","",IFERROR(IF(INDEX(pr_rate,MATCH(B112,pr_code,0))="","",INDEX(pr_rate,MATCH(B112,pr_code,0))),""))))</f>
        <v/>
      </c>
      <c r="L112" s="65" t="str">
        <f>IF(COUNTA(A112:G112)=0,"",IF(AND(ISNUMBER(D112),ISNUMBER(J112)),ROUND(D112*J112*(1-N(F112)),2),0))</f>
        <v/>
      </c>
      <c r="M112" s="62" t="str">
        <f>IF(A112="","",IFERROR(INDEX(fa_cname,MATCH(A112,fa_num,0))&amp;"",""))</f>
        <v/>
      </c>
      <c r="N112" s="59" t="str">
        <f>IF(COUNTA(A112:G112)=0,"",IF(A112="","N° facture manquant",IF(ISNA(MATCH(A112,fa_num,0)),"Facture inconnue",IF(AND(B112&lt;&gt;"",ISNA(MATCH(B112,pr_code,0))),"Article inconnu",IF(H112="","Désignation manquante",IF(OR(NOT(ISNUMBER(D112)),N(D112)&lt;=0),"Quantité invalide",IF(J112="","Prix manquant",IF(OR(NOT(ISNUMBER(J112)),N(J112)&lt;0),"Prix invalide",IF(OR(AND(F112&lt;&gt;"",NOT(ISNUMBER(F112))),N(F112)&lt;0,N(F112)&gt;1),"Remise invalide",IF(K112="","Taux de TVA manquant",IF(NOT(ISNUMBER(K112)),"Taux de TVA invalide",IF(COUNTIF(p_rates,K112)=0,"Taux de TVA hors liste (Paramètres)",IF(N(O112)&gt;25,"Au-delà de 25 lignes : non imprimée","OK")))))))))))))</f>
        <v/>
      </c>
      <c r="O112" s="59" t="str">
        <f>IF(A112="","",COUNTIF($A$6:A112,A112))</f>
        <v/>
      </c>
      <c r="P112" s="62" t="str">
        <f>IF(A112="","",A112&amp;"|"&amp;O112)</f>
        <v/>
      </c>
    </row>
    <row r="113">
      <c r="A113" s="60" t="n"/>
      <c r="B113" s="63" t="n"/>
      <c r="C113" s="63" t="n"/>
      <c r="D113" s="67" t="n"/>
      <c r="E113" s="68" t="n"/>
      <c r="F113" s="69" t="n"/>
      <c r="G113" s="70" t="n"/>
      <c r="H113" s="62" t="str">
        <f>IF(COUNTA(A113:G113)=0,"",IF(C113&lt;&gt;"",C113,IF(B113="","",IFERROR(INDEX(pr_des,MATCH(B113,pr_code,0))&amp;"",""))))</f>
        <v/>
      </c>
      <c r="I113" s="59" t="str">
        <f>IF(B113="","",IFERROR(INDEX(pr_unit,MATCH(B113,pr_code,0))&amp;"",""))</f>
        <v/>
      </c>
      <c r="J113" s="65" t="str">
        <f>IF(COUNTA(A113:G113)=0,"",IF(E113&lt;&gt;"",E113,IF(B113="","",IFERROR(IF(INDEX(pr_price,MATCH(B113,pr_code,0))="","",INDEX(pr_price,MATCH(B113,pr_code,0))),""))))</f>
        <v/>
      </c>
      <c r="K113" s="71" t="str">
        <f>IF(COUNTA(A113:G113)=0,"",IF(G113&lt;&gt;"",G113,IF(B113="","",IFERROR(IF(INDEX(pr_rate,MATCH(B113,pr_code,0))="","",INDEX(pr_rate,MATCH(B113,pr_code,0))),""))))</f>
        <v/>
      </c>
      <c r="L113" s="65" t="str">
        <f>IF(COUNTA(A113:G113)=0,"",IF(AND(ISNUMBER(D113),ISNUMBER(J113)),ROUND(D113*J113*(1-N(F113)),2),0))</f>
        <v/>
      </c>
      <c r="M113" s="62" t="str">
        <f>IF(A113="","",IFERROR(INDEX(fa_cname,MATCH(A113,fa_num,0))&amp;"",""))</f>
        <v/>
      </c>
      <c r="N113" s="59" t="str">
        <f>IF(COUNTA(A113:G113)=0,"",IF(A113="","N° facture manquant",IF(ISNA(MATCH(A113,fa_num,0)),"Facture inconnue",IF(AND(B113&lt;&gt;"",ISNA(MATCH(B113,pr_code,0))),"Article inconnu",IF(H113="","Désignation manquante",IF(OR(NOT(ISNUMBER(D113)),N(D113)&lt;=0),"Quantité invalide",IF(J113="","Prix manquant",IF(OR(NOT(ISNUMBER(J113)),N(J113)&lt;0),"Prix invalide",IF(OR(AND(F113&lt;&gt;"",NOT(ISNUMBER(F113))),N(F113)&lt;0,N(F113)&gt;1),"Remise invalide",IF(K113="","Taux de TVA manquant",IF(NOT(ISNUMBER(K113)),"Taux de TVA invalide",IF(COUNTIF(p_rates,K113)=0,"Taux de TVA hors liste (Paramètres)",IF(N(O113)&gt;25,"Au-delà de 25 lignes : non imprimée","OK")))))))))))))</f>
        <v/>
      </c>
      <c r="O113" s="59" t="str">
        <f>IF(A113="","",COUNTIF($A$6:A113,A113))</f>
        <v/>
      </c>
      <c r="P113" s="62" t="str">
        <f>IF(A113="","",A113&amp;"|"&amp;O113)</f>
        <v/>
      </c>
    </row>
    <row r="114">
      <c r="A114" s="60" t="n"/>
      <c r="B114" s="63" t="n"/>
      <c r="C114" s="63" t="n"/>
      <c r="D114" s="67" t="n"/>
      <c r="E114" s="68" t="n"/>
      <c r="F114" s="69" t="n"/>
      <c r="G114" s="70" t="n"/>
      <c r="H114" s="62" t="str">
        <f>IF(COUNTA(A114:G114)=0,"",IF(C114&lt;&gt;"",C114,IF(B114="","",IFERROR(INDEX(pr_des,MATCH(B114,pr_code,0))&amp;"",""))))</f>
        <v/>
      </c>
      <c r="I114" s="59" t="str">
        <f>IF(B114="","",IFERROR(INDEX(pr_unit,MATCH(B114,pr_code,0))&amp;"",""))</f>
        <v/>
      </c>
      <c r="J114" s="65" t="str">
        <f>IF(COUNTA(A114:G114)=0,"",IF(E114&lt;&gt;"",E114,IF(B114="","",IFERROR(IF(INDEX(pr_price,MATCH(B114,pr_code,0))="","",INDEX(pr_price,MATCH(B114,pr_code,0))),""))))</f>
        <v/>
      </c>
      <c r="K114" s="71" t="str">
        <f>IF(COUNTA(A114:G114)=0,"",IF(G114&lt;&gt;"",G114,IF(B114="","",IFERROR(IF(INDEX(pr_rate,MATCH(B114,pr_code,0))="","",INDEX(pr_rate,MATCH(B114,pr_code,0))),""))))</f>
        <v/>
      </c>
      <c r="L114" s="65" t="str">
        <f>IF(COUNTA(A114:G114)=0,"",IF(AND(ISNUMBER(D114),ISNUMBER(J114)),ROUND(D114*J114*(1-N(F114)),2),0))</f>
        <v/>
      </c>
      <c r="M114" s="62" t="str">
        <f>IF(A114="","",IFERROR(INDEX(fa_cname,MATCH(A114,fa_num,0))&amp;"",""))</f>
        <v/>
      </c>
      <c r="N114" s="59" t="str">
        <f>IF(COUNTA(A114:G114)=0,"",IF(A114="","N° facture manquant",IF(ISNA(MATCH(A114,fa_num,0)),"Facture inconnue",IF(AND(B114&lt;&gt;"",ISNA(MATCH(B114,pr_code,0))),"Article inconnu",IF(H114="","Désignation manquante",IF(OR(NOT(ISNUMBER(D114)),N(D114)&lt;=0),"Quantité invalide",IF(J114="","Prix manquant",IF(OR(NOT(ISNUMBER(J114)),N(J114)&lt;0),"Prix invalide",IF(OR(AND(F114&lt;&gt;"",NOT(ISNUMBER(F114))),N(F114)&lt;0,N(F114)&gt;1),"Remise invalide",IF(K114="","Taux de TVA manquant",IF(NOT(ISNUMBER(K114)),"Taux de TVA invalide",IF(COUNTIF(p_rates,K114)=0,"Taux de TVA hors liste (Paramètres)",IF(N(O114)&gt;25,"Au-delà de 25 lignes : non imprimée","OK")))))))))))))</f>
        <v/>
      </c>
      <c r="O114" s="59" t="str">
        <f>IF(A114="","",COUNTIF($A$6:A114,A114))</f>
        <v/>
      </c>
      <c r="P114" s="62" t="str">
        <f>IF(A114="","",A114&amp;"|"&amp;O114)</f>
        <v/>
      </c>
    </row>
    <row r="115">
      <c r="A115" s="60" t="n"/>
      <c r="B115" s="63" t="n"/>
      <c r="C115" s="63" t="n"/>
      <c r="D115" s="67" t="n"/>
      <c r="E115" s="68" t="n"/>
      <c r="F115" s="69" t="n"/>
      <c r="G115" s="70" t="n"/>
      <c r="H115" s="62" t="str">
        <f>IF(COUNTA(A115:G115)=0,"",IF(C115&lt;&gt;"",C115,IF(B115="","",IFERROR(INDEX(pr_des,MATCH(B115,pr_code,0))&amp;"",""))))</f>
        <v/>
      </c>
      <c r="I115" s="59" t="str">
        <f>IF(B115="","",IFERROR(INDEX(pr_unit,MATCH(B115,pr_code,0))&amp;"",""))</f>
        <v/>
      </c>
      <c r="J115" s="65" t="str">
        <f>IF(COUNTA(A115:G115)=0,"",IF(E115&lt;&gt;"",E115,IF(B115="","",IFERROR(IF(INDEX(pr_price,MATCH(B115,pr_code,0))="","",INDEX(pr_price,MATCH(B115,pr_code,0))),""))))</f>
        <v/>
      </c>
      <c r="K115" s="71" t="str">
        <f>IF(COUNTA(A115:G115)=0,"",IF(G115&lt;&gt;"",G115,IF(B115="","",IFERROR(IF(INDEX(pr_rate,MATCH(B115,pr_code,0))="","",INDEX(pr_rate,MATCH(B115,pr_code,0))),""))))</f>
        <v/>
      </c>
      <c r="L115" s="65" t="str">
        <f>IF(COUNTA(A115:G115)=0,"",IF(AND(ISNUMBER(D115),ISNUMBER(J115)),ROUND(D115*J115*(1-N(F115)),2),0))</f>
        <v/>
      </c>
      <c r="M115" s="62" t="str">
        <f>IF(A115="","",IFERROR(INDEX(fa_cname,MATCH(A115,fa_num,0))&amp;"",""))</f>
        <v/>
      </c>
      <c r="N115" s="59" t="str">
        <f>IF(COUNTA(A115:G115)=0,"",IF(A115="","N° facture manquant",IF(ISNA(MATCH(A115,fa_num,0)),"Facture inconnue",IF(AND(B115&lt;&gt;"",ISNA(MATCH(B115,pr_code,0))),"Article inconnu",IF(H115="","Désignation manquante",IF(OR(NOT(ISNUMBER(D115)),N(D115)&lt;=0),"Quantité invalide",IF(J115="","Prix manquant",IF(OR(NOT(ISNUMBER(J115)),N(J115)&lt;0),"Prix invalide",IF(OR(AND(F115&lt;&gt;"",NOT(ISNUMBER(F115))),N(F115)&lt;0,N(F115)&gt;1),"Remise invalide",IF(K115="","Taux de TVA manquant",IF(NOT(ISNUMBER(K115)),"Taux de TVA invalide",IF(COUNTIF(p_rates,K115)=0,"Taux de TVA hors liste (Paramètres)",IF(N(O115)&gt;25,"Au-delà de 25 lignes : non imprimée","OK")))))))))))))</f>
        <v/>
      </c>
      <c r="O115" s="59" t="str">
        <f>IF(A115="","",COUNTIF($A$6:A115,A115))</f>
        <v/>
      </c>
      <c r="P115" s="62" t="str">
        <f>IF(A115="","",A115&amp;"|"&amp;O115)</f>
        <v/>
      </c>
    </row>
    <row r="116">
      <c r="A116" s="60" t="n"/>
      <c r="B116" s="63" t="n"/>
      <c r="C116" s="63" t="n"/>
      <c r="D116" s="67" t="n"/>
      <c r="E116" s="68" t="n"/>
      <c r="F116" s="69" t="n"/>
      <c r="G116" s="70" t="n"/>
      <c r="H116" s="62" t="str">
        <f>IF(COUNTA(A116:G116)=0,"",IF(C116&lt;&gt;"",C116,IF(B116="","",IFERROR(INDEX(pr_des,MATCH(B116,pr_code,0))&amp;"",""))))</f>
        <v/>
      </c>
      <c r="I116" s="59" t="str">
        <f>IF(B116="","",IFERROR(INDEX(pr_unit,MATCH(B116,pr_code,0))&amp;"",""))</f>
        <v/>
      </c>
      <c r="J116" s="65" t="str">
        <f>IF(COUNTA(A116:G116)=0,"",IF(E116&lt;&gt;"",E116,IF(B116="","",IFERROR(IF(INDEX(pr_price,MATCH(B116,pr_code,0))="","",INDEX(pr_price,MATCH(B116,pr_code,0))),""))))</f>
        <v/>
      </c>
      <c r="K116" s="71" t="str">
        <f>IF(COUNTA(A116:G116)=0,"",IF(G116&lt;&gt;"",G116,IF(B116="","",IFERROR(IF(INDEX(pr_rate,MATCH(B116,pr_code,0))="","",INDEX(pr_rate,MATCH(B116,pr_code,0))),""))))</f>
        <v/>
      </c>
      <c r="L116" s="65" t="str">
        <f>IF(COUNTA(A116:G116)=0,"",IF(AND(ISNUMBER(D116),ISNUMBER(J116)),ROUND(D116*J116*(1-N(F116)),2),0))</f>
        <v/>
      </c>
      <c r="M116" s="62" t="str">
        <f>IF(A116="","",IFERROR(INDEX(fa_cname,MATCH(A116,fa_num,0))&amp;"",""))</f>
        <v/>
      </c>
      <c r="N116" s="59" t="str">
        <f>IF(COUNTA(A116:G116)=0,"",IF(A116="","N° facture manquant",IF(ISNA(MATCH(A116,fa_num,0)),"Facture inconnue",IF(AND(B116&lt;&gt;"",ISNA(MATCH(B116,pr_code,0))),"Article inconnu",IF(H116="","Désignation manquante",IF(OR(NOT(ISNUMBER(D116)),N(D116)&lt;=0),"Quantité invalide",IF(J116="","Prix manquant",IF(OR(NOT(ISNUMBER(J116)),N(J116)&lt;0),"Prix invalide",IF(OR(AND(F116&lt;&gt;"",NOT(ISNUMBER(F116))),N(F116)&lt;0,N(F116)&gt;1),"Remise invalide",IF(K116="","Taux de TVA manquant",IF(NOT(ISNUMBER(K116)),"Taux de TVA invalide",IF(COUNTIF(p_rates,K116)=0,"Taux de TVA hors liste (Paramètres)",IF(N(O116)&gt;25,"Au-delà de 25 lignes : non imprimée","OK")))))))))))))</f>
        <v/>
      </c>
      <c r="O116" s="59" t="str">
        <f>IF(A116="","",COUNTIF($A$6:A116,A116))</f>
        <v/>
      </c>
      <c r="P116" s="62" t="str">
        <f>IF(A116="","",A116&amp;"|"&amp;O116)</f>
        <v/>
      </c>
    </row>
    <row r="117">
      <c r="A117" s="60" t="n"/>
      <c r="B117" s="63" t="n"/>
      <c r="C117" s="63" t="n"/>
      <c r="D117" s="67" t="n"/>
      <c r="E117" s="68" t="n"/>
      <c r="F117" s="69" t="n"/>
      <c r="G117" s="70" t="n"/>
      <c r="H117" s="62" t="str">
        <f>IF(COUNTA(A117:G117)=0,"",IF(C117&lt;&gt;"",C117,IF(B117="","",IFERROR(INDEX(pr_des,MATCH(B117,pr_code,0))&amp;"",""))))</f>
        <v/>
      </c>
      <c r="I117" s="59" t="str">
        <f>IF(B117="","",IFERROR(INDEX(pr_unit,MATCH(B117,pr_code,0))&amp;"",""))</f>
        <v/>
      </c>
      <c r="J117" s="65" t="str">
        <f>IF(COUNTA(A117:G117)=0,"",IF(E117&lt;&gt;"",E117,IF(B117="","",IFERROR(IF(INDEX(pr_price,MATCH(B117,pr_code,0))="","",INDEX(pr_price,MATCH(B117,pr_code,0))),""))))</f>
        <v/>
      </c>
      <c r="K117" s="71" t="str">
        <f>IF(COUNTA(A117:G117)=0,"",IF(G117&lt;&gt;"",G117,IF(B117="","",IFERROR(IF(INDEX(pr_rate,MATCH(B117,pr_code,0))="","",INDEX(pr_rate,MATCH(B117,pr_code,0))),""))))</f>
        <v/>
      </c>
      <c r="L117" s="65" t="str">
        <f>IF(COUNTA(A117:G117)=0,"",IF(AND(ISNUMBER(D117),ISNUMBER(J117)),ROUND(D117*J117*(1-N(F117)),2),0))</f>
        <v/>
      </c>
      <c r="M117" s="62" t="str">
        <f>IF(A117="","",IFERROR(INDEX(fa_cname,MATCH(A117,fa_num,0))&amp;"",""))</f>
        <v/>
      </c>
      <c r="N117" s="59" t="str">
        <f>IF(COUNTA(A117:G117)=0,"",IF(A117="","N° facture manquant",IF(ISNA(MATCH(A117,fa_num,0)),"Facture inconnue",IF(AND(B117&lt;&gt;"",ISNA(MATCH(B117,pr_code,0))),"Article inconnu",IF(H117="","Désignation manquante",IF(OR(NOT(ISNUMBER(D117)),N(D117)&lt;=0),"Quantité invalide",IF(J117="","Prix manquant",IF(OR(NOT(ISNUMBER(J117)),N(J117)&lt;0),"Prix invalide",IF(OR(AND(F117&lt;&gt;"",NOT(ISNUMBER(F117))),N(F117)&lt;0,N(F117)&gt;1),"Remise invalide",IF(K117="","Taux de TVA manquant",IF(NOT(ISNUMBER(K117)),"Taux de TVA invalide",IF(COUNTIF(p_rates,K117)=0,"Taux de TVA hors liste (Paramètres)",IF(N(O117)&gt;25,"Au-delà de 25 lignes : non imprimée","OK")))))))))))))</f>
        <v/>
      </c>
      <c r="O117" s="59" t="str">
        <f>IF(A117="","",COUNTIF($A$6:A117,A117))</f>
        <v/>
      </c>
      <c r="P117" s="62" t="str">
        <f>IF(A117="","",A117&amp;"|"&amp;O117)</f>
        <v/>
      </c>
    </row>
    <row r="118">
      <c r="A118" s="60" t="n"/>
      <c r="B118" s="63" t="n"/>
      <c r="C118" s="63" t="n"/>
      <c r="D118" s="67" t="n"/>
      <c r="E118" s="68" t="n"/>
      <c r="F118" s="69" t="n"/>
      <c r="G118" s="70" t="n"/>
      <c r="H118" s="62" t="str">
        <f>IF(COUNTA(A118:G118)=0,"",IF(C118&lt;&gt;"",C118,IF(B118="","",IFERROR(INDEX(pr_des,MATCH(B118,pr_code,0))&amp;"",""))))</f>
        <v/>
      </c>
      <c r="I118" s="59" t="str">
        <f>IF(B118="","",IFERROR(INDEX(pr_unit,MATCH(B118,pr_code,0))&amp;"",""))</f>
        <v/>
      </c>
      <c r="J118" s="65" t="str">
        <f>IF(COUNTA(A118:G118)=0,"",IF(E118&lt;&gt;"",E118,IF(B118="","",IFERROR(IF(INDEX(pr_price,MATCH(B118,pr_code,0))="","",INDEX(pr_price,MATCH(B118,pr_code,0))),""))))</f>
        <v/>
      </c>
      <c r="K118" s="71" t="str">
        <f>IF(COUNTA(A118:G118)=0,"",IF(G118&lt;&gt;"",G118,IF(B118="","",IFERROR(IF(INDEX(pr_rate,MATCH(B118,pr_code,0))="","",INDEX(pr_rate,MATCH(B118,pr_code,0))),""))))</f>
        <v/>
      </c>
      <c r="L118" s="65" t="str">
        <f>IF(COUNTA(A118:G118)=0,"",IF(AND(ISNUMBER(D118),ISNUMBER(J118)),ROUND(D118*J118*(1-N(F118)),2),0))</f>
        <v/>
      </c>
      <c r="M118" s="62" t="str">
        <f>IF(A118="","",IFERROR(INDEX(fa_cname,MATCH(A118,fa_num,0))&amp;"",""))</f>
        <v/>
      </c>
      <c r="N118" s="59" t="str">
        <f>IF(COUNTA(A118:G118)=0,"",IF(A118="","N° facture manquant",IF(ISNA(MATCH(A118,fa_num,0)),"Facture inconnue",IF(AND(B118&lt;&gt;"",ISNA(MATCH(B118,pr_code,0))),"Article inconnu",IF(H118="","Désignation manquante",IF(OR(NOT(ISNUMBER(D118)),N(D118)&lt;=0),"Quantité invalide",IF(J118="","Prix manquant",IF(OR(NOT(ISNUMBER(J118)),N(J118)&lt;0),"Prix invalide",IF(OR(AND(F118&lt;&gt;"",NOT(ISNUMBER(F118))),N(F118)&lt;0,N(F118)&gt;1),"Remise invalide",IF(K118="","Taux de TVA manquant",IF(NOT(ISNUMBER(K118)),"Taux de TVA invalide",IF(COUNTIF(p_rates,K118)=0,"Taux de TVA hors liste (Paramètres)",IF(N(O118)&gt;25,"Au-delà de 25 lignes : non imprimée","OK")))))))))))))</f>
        <v/>
      </c>
      <c r="O118" s="59" t="str">
        <f>IF(A118="","",COUNTIF($A$6:A118,A118))</f>
        <v/>
      </c>
      <c r="P118" s="62" t="str">
        <f>IF(A118="","",A118&amp;"|"&amp;O118)</f>
        <v/>
      </c>
    </row>
    <row r="119">
      <c r="A119" s="60" t="n"/>
      <c r="B119" s="63" t="n"/>
      <c r="C119" s="63" t="n"/>
      <c r="D119" s="67" t="n"/>
      <c r="E119" s="68" t="n"/>
      <c r="F119" s="69" t="n"/>
      <c r="G119" s="70" t="n"/>
      <c r="H119" s="62" t="str">
        <f>IF(COUNTA(A119:G119)=0,"",IF(C119&lt;&gt;"",C119,IF(B119="","",IFERROR(INDEX(pr_des,MATCH(B119,pr_code,0))&amp;"",""))))</f>
        <v/>
      </c>
      <c r="I119" s="59" t="str">
        <f>IF(B119="","",IFERROR(INDEX(pr_unit,MATCH(B119,pr_code,0))&amp;"",""))</f>
        <v/>
      </c>
      <c r="J119" s="65" t="str">
        <f>IF(COUNTA(A119:G119)=0,"",IF(E119&lt;&gt;"",E119,IF(B119="","",IFERROR(IF(INDEX(pr_price,MATCH(B119,pr_code,0))="","",INDEX(pr_price,MATCH(B119,pr_code,0))),""))))</f>
        <v/>
      </c>
      <c r="K119" s="71" t="str">
        <f>IF(COUNTA(A119:G119)=0,"",IF(G119&lt;&gt;"",G119,IF(B119="","",IFERROR(IF(INDEX(pr_rate,MATCH(B119,pr_code,0))="","",INDEX(pr_rate,MATCH(B119,pr_code,0))),""))))</f>
        <v/>
      </c>
      <c r="L119" s="65" t="str">
        <f>IF(COUNTA(A119:G119)=0,"",IF(AND(ISNUMBER(D119),ISNUMBER(J119)),ROUND(D119*J119*(1-N(F119)),2),0))</f>
        <v/>
      </c>
      <c r="M119" s="62" t="str">
        <f>IF(A119="","",IFERROR(INDEX(fa_cname,MATCH(A119,fa_num,0))&amp;"",""))</f>
        <v/>
      </c>
      <c r="N119" s="59" t="str">
        <f>IF(COUNTA(A119:G119)=0,"",IF(A119="","N° facture manquant",IF(ISNA(MATCH(A119,fa_num,0)),"Facture inconnue",IF(AND(B119&lt;&gt;"",ISNA(MATCH(B119,pr_code,0))),"Article inconnu",IF(H119="","Désignation manquante",IF(OR(NOT(ISNUMBER(D119)),N(D119)&lt;=0),"Quantité invalide",IF(J119="","Prix manquant",IF(OR(NOT(ISNUMBER(J119)),N(J119)&lt;0),"Prix invalide",IF(OR(AND(F119&lt;&gt;"",NOT(ISNUMBER(F119))),N(F119)&lt;0,N(F119)&gt;1),"Remise invalide",IF(K119="","Taux de TVA manquant",IF(NOT(ISNUMBER(K119)),"Taux de TVA invalide",IF(COUNTIF(p_rates,K119)=0,"Taux de TVA hors liste (Paramètres)",IF(N(O119)&gt;25,"Au-delà de 25 lignes : non imprimée","OK")))))))))))))</f>
        <v/>
      </c>
      <c r="O119" s="59" t="str">
        <f>IF(A119="","",COUNTIF($A$6:A119,A119))</f>
        <v/>
      </c>
      <c r="P119" s="62" t="str">
        <f>IF(A119="","",A119&amp;"|"&amp;O119)</f>
        <v/>
      </c>
    </row>
    <row r="120">
      <c r="A120" s="60" t="n"/>
      <c r="B120" s="63" t="n"/>
      <c r="C120" s="63" t="n"/>
      <c r="D120" s="67" t="n"/>
      <c r="E120" s="68" t="n"/>
      <c r="F120" s="69" t="n"/>
      <c r="G120" s="70" t="n"/>
      <c r="H120" s="62" t="str">
        <f>IF(COUNTA(A120:G120)=0,"",IF(C120&lt;&gt;"",C120,IF(B120="","",IFERROR(INDEX(pr_des,MATCH(B120,pr_code,0))&amp;"",""))))</f>
        <v/>
      </c>
      <c r="I120" s="59" t="str">
        <f>IF(B120="","",IFERROR(INDEX(pr_unit,MATCH(B120,pr_code,0))&amp;"",""))</f>
        <v/>
      </c>
      <c r="J120" s="65" t="str">
        <f>IF(COUNTA(A120:G120)=0,"",IF(E120&lt;&gt;"",E120,IF(B120="","",IFERROR(IF(INDEX(pr_price,MATCH(B120,pr_code,0))="","",INDEX(pr_price,MATCH(B120,pr_code,0))),""))))</f>
        <v/>
      </c>
      <c r="K120" s="71" t="str">
        <f>IF(COUNTA(A120:G120)=0,"",IF(G120&lt;&gt;"",G120,IF(B120="","",IFERROR(IF(INDEX(pr_rate,MATCH(B120,pr_code,0))="","",INDEX(pr_rate,MATCH(B120,pr_code,0))),""))))</f>
        <v/>
      </c>
      <c r="L120" s="65" t="str">
        <f>IF(COUNTA(A120:G120)=0,"",IF(AND(ISNUMBER(D120),ISNUMBER(J120)),ROUND(D120*J120*(1-N(F120)),2),0))</f>
        <v/>
      </c>
      <c r="M120" s="62" t="str">
        <f>IF(A120="","",IFERROR(INDEX(fa_cname,MATCH(A120,fa_num,0))&amp;"",""))</f>
        <v/>
      </c>
      <c r="N120" s="59" t="str">
        <f>IF(COUNTA(A120:G120)=0,"",IF(A120="","N° facture manquant",IF(ISNA(MATCH(A120,fa_num,0)),"Facture inconnue",IF(AND(B120&lt;&gt;"",ISNA(MATCH(B120,pr_code,0))),"Article inconnu",IF(H120="","Désignation manquante",IF(OR(NOT(ISNUMBER(D120)),N(D120)&lt;=0),"Quantité invalide",IF(J120="","Prix manquant",IF(OR(NOT(ISNUMBER(J120)),N(J120)&lt;0),"Prix invalide",IF(OR(AND(F120&lt;&gt;"",NOT(ISNUMBER(F120))),N(F120)&lt;0,N(F120)&gt;1),"Remise invalide",IF(K120="","Taux de TVA manquant",IF(NOT(ISNUMBER(K120)),"Taux de TVA invalide",IF(COUNTIF(p_rates,K120)=0,"Taux de TVA hors liste (Paramètres)",IF(N(O120)&gt;25,"Au-delà de 25 lignes : non imprimée","OK")))))))))))))</f>
        <v/>
      </c>
      <c r="O120" s="59" t="str">
        <f>IF(A120="","",COUNTIF($A$6:A120,A120))</f>
        <v/>
      </c>
      <c r="P120" s="62" t="str">
        <f>IF(A120="","",A120&amp;"|"&amp;O120)</f>
        <v/>
      </c>
    </row>
    <row r="121">
      <c r="A121" s="60" t="n"/>
      <c r="B121" s="63" t="n"/>
      <c r="C121" s="63" t="n"/>
      <c r="D121" s="67" t="n"/>
      <c r="E121" s="68" t="n"/>
      <c r="F121" s="69" t="n"/>
      <c r="G121" s="70" t="n"/>
      <c r="H121" s="62" t="str">
        <f>IF(COUNTA(A121:G121)=0,"",IF(C121&lt;&gt;"",C121,IF(B121="","",IFERROR(INDEX(pr_des,MATCH(B121,pr_code,0))&amp;"",""))))</f>
        <v/>
      </c>
      <c r="I121" s="59" t="str">
        <f>IF(B121="","",IFERROR(INDEX(pr_unit,MATCH(B121,pr_code,0))&amp;"",""))</f>
        <v/>
      </c>
      <c r="J121" s="65" t="str">
        <f>IF(COUNTA(A121:G121)=0,"",IF(E121&lt;&gt;"",E121,IF(B121="","",IFERROR(IF(INDEX(pr_price,MATCH(B121,pr_code,0))="","",INDEX(pr_price,MATCH(B121,pr_code,0))),""))))</f>
        <v/>
      </c>
      <c r="K121" s="71" t="str">
        <f>IF(COUNTA(A121:G121)=0,"",IF(G121&lt;&gt;"",G121,IF(B121="","",IFERROR(IF(INDEX(pr_rate,MATCH(B121,pr_code,0))="","",INDEX(pr_rate,MATCH(B121,pr_code,0))),""))))</f>
        <v/>
      </c>
      <c r="L121" s="65" t="str">
        <f>IF(COUNTA(A121:G121)=0,"",IF(AND(ISNUMBER(D121),ISNUMBER(J121)),ROUND(D121*J121*(1-N(F121)),2),0))</f>
        <v/>
      </c>
      <c r="M121" s="62" t="str">
        <f>IF(A121="","",IFERROR(INDEX(fa_cname,MATCH(A121,fa_num,0))&amp;"",""))</f>
        <v/>
      </c>
      <c r="N121" s="59" t="str">
        <f>IF(COUNTA(A121:G121)=0,"",IF(A121="","N° facture manquant",IF(ISNA(MATCH(A121,fa_num,0)),"Facture inconnue",IF(AND(B121&lt;&gt;"",ISNA(MATCH(B121,pr_code,0))),"Article inconnu",IF(H121="","Désignation manquante",IF(OR(NOT(ISNUMBER(D121)),N(D121)&lt;=0),"Quantité invalide",IF(J121="","Prix manquant",IF(OR(NOT(ISNUMBER(J121)),N(J121)&lt;0),"Prix invalide",IF(OR(AND(F121&lt;&gt;"",NOT(ISNUMBER(F121))),N(F121)&lt;0,N(F121)&gt;1),"Remise invalide",IF(K121="","Taux de TVA manquant",IF(NOT(ISNUMBER(K121)),"Taux de TVA invalide",IF(COUNTIF(p_rates,K121)=0,"Taux de TVA hors liste (Paramètres)",IF(N(O121)&gt;25,"Au-delà de 25 lignes : non imprimée","OK")))))))))))))</f>
        <v/>
      </c>
      <c r="O121" s="59" t="str">
        <f>IF(A121="","",COUNTIF($A$6:A121,A121))</f>
        <v/>
      </c>
      <c r="P121" s="62" t="str">
        <f>IF(A121="","",A121&amp;"|"&amp;O121)</f>
        <v/>
      </c>
    </row>
    <row r="122">
      <c r="A122" s="60" t="n"/>
      <c r="B122" s="63" t="n"/>
      <c r="C122" s="63" t="n"/>
      <c r="D122" s="67" t="n"/>
      <c r="E122" s="68" t="n"/>
      <c r="F122" s="69" t="n"/>
      <c r="G122" s="70" t="n"/>
      <c r="H122" s="62" t="str">
        <f>IF(COUNTA(A122:G122)=0,"",IF(C122&lt;&gt;"",C122,IF(B122="","",IFERROR(INDEX(pr_des,MATCH(B122,pr_code,0))&amp;"",""))))</f>
        <v/>
      </c>
      <c r="I122" s="59" t="str">
        <f>IF(B122="","",IFERROR(INDEX(pr_unit,MATCH(B122,pr_code,0))&amp;"",""))</f>
        <v/>
      </c>
      <c r="J122" s="65" t="str">
        <f>IF(COUNTA(A122:G122)=0,"",IF(E122&lt;&gt;"",E122,IF(B122="","",IFERROR(IF(INDEX(pr_price,MATCH(B122,pr_code,0))="","",INDEX(pr_price,MATCH(B122,pr_code,0))),""))))</f>
        <v/>
      </c>
      <c r="K122" s="71" t="str">
        <f>IF(COUNTA(A122:G122)=0,"",IF(G122&lt;&gt;"",G122,IF(B122="","",IFERROR(IF(INDEX(pr_rate,MATCH(B122,pr_code,0))="","",INDEX(pr_rate,MATCH(B122,pr_code,0))),""))))</f>
        <v/>
      </c>
      <c r="L122" s="65" t="str">
        <f>IF(COUNTA(A122:G122)=0,"",IF(AND(ISNUMBER(D122),ISNUMBER(J122)),ROUND(D122*J122*(1-N(F122)),2),0))</f>
        <v/>
      </c>
      <c r="M122" s="62" t="str">
        <f>IF(A122="","",IFERROR(INDEX(fa_cname,MATCH(A122,fa_num,0))&amp;"",""))</f>
        <v/>
      </c>
      <c r="N122" s="59" t="str">
        <f>IF(COUNTA(A122:G122)=0,"",IF(A122="","N° facture manquant",IF(ISNA(MATCH(A122,fa_num,0)),"Facture inconnue",IF(AND(B122&lt;&gt;"",ISNA(MATCH(B122,pr_code,0))),"Article inconnu",IF(H122="","Désignation manquante",IF(OR(NOT(ISNUMBER(D122)),N(D122)&lt;=0),"Quantité invalide",IF(J122="","Prix manquant",IF(OR(NOT(ISNUMBER(J122)),N(J122)&lt;0),"Prix invalide",IF(OR(AND(F122&lt;&gt;"",NOT(ISNUMBER(F122))),N(F122)&lt;0,N(F122)&gt;1),"Remise invalide",IF(K122="","Taux de TVA manquant",IF(NOT(ISNUMBER(K122)),"Taux de TVA invalide",IF(COUNTIF(p_rates,K122)=0,"Taux de TVA hors liste (Paramètres)",IF(N(O122)&gt;25,"Au-delà de 25 lignes : non imprimée","OK")))))))))))))</f>
        <v/>
      </c>
      <c r="O122" s="59" t="str">
        <f>IF(A122="","",COUNTIF($A$6:A122,A122))</f>
        <v/>
      </c>
      <c r="P122" s="62" t="str">
        <f>IF(A122="","",A122&amp;"|"&amp;O122)</f>
        <v/>
      </c>
    </row>
    <row r="123">
      <c r="A123" s="60" t="n"/>
      <c r="B123" s="63" t="n"/>
      <c r="C123" s="63" t="n"/>
      <c r="D123" s="67" t="n"/>
      <c r="E123" s="68" t="n"/>
      <c r="F123" s="69" t="n"/>
      <c r="G123" s="70" t="n"/>
      <c r="H123" s="62" t="str">
        <f>IF(COUNTA(A123:G123)=0,"",IF(C123&lt;&gt;"",C123,IF(B123="","",IFERROR(INDEX(pr_des,MATCH(B123,pr_code,0))&amp;"",""))))</f>
        <v/>
      </c>
      <c r="I123" s="59" t="str">
        <f>IF(B123="","",IFERROR(INDEX(pr_unit,MATCH(B123,pr_code,0))&amp;"",""))</f>
        <v/>
      </c>
      <c r="J123" s="65" t="str">
        <f>IF(COUNTA(A123:G123)=0,"",IF(E123&lt;&gt;"",E123,IF(B123="","",IFERROR(IF(INDEX(pr_price,MATCH(B123,pr_code,0))="","",INDEX(pr_price,MATCH(B123,pr_code,0))),""))))</f>
        <v/>
      </c>
      <c r="K123" s="71" t="str">
        <f>IF(COUNTA(A123:G123)=0,"",IF(G123&lt;&gt;"",G123,IF(B123="","",IFERROR(IF(INDEX(pr_rate,MATCH(B123,pr_code,0))="","",INDEX(pr_rate,MATCH(B123,pr_code,0))),""))))</f>
        <v/>
      </c>
      <c r="L123" s="65" t="str">
        <f>IF(COUNTA(A123:G123)=0,"",IF(AND(ISNUMBER(D123),ISNUMBER(J123)),ROUND(D123*J123*(1-N(F123)),2),0))</f>
        <v/>
      </c>
      <c r="M123" s="62" t="str">
        <f>IF(A123="","",IFERROR(INDEX(fa_cname,MATCH(A123,fa_num,0))&amp;"",""))</f>
        <v/>
      </c>
      <c r="N123" s="59" t="str">
        <f>IF(COUNTA(A123:G123)=0,"",IF(A123="","N° facture manquant",IF(ISNA(MATCH(A123,fa_num,0)),"Facture inconnue",IF(AND(B123&lt;&gt;"",ISNA(MATCH(B123,pr_code,0))),"Article inconnu",IF(H123="","Désignation manquante",IF(OR(NOT(ISNUMBER(D123)),N(D123)&lt;=0),"Quantité invalide",IF(J123="","Prix manquant",IF(OR(NOT(ISNUMBER(J123)),N(J123)&lt;0),"Prix invalide",IF(OR(AND(F123&lt;&gt;"",NOT(ISNUMBER(F123))),N(F123)&lt;0,N(F123)&gt;1),"Remise invalide",IF(K123="","Taux de TVA manquant",IF(NOT(ISNUMBER(K123)),"Taux de TVA invalide",IF(COUNTIF(p_rates,K123)=0,"Taux de TVA hors liste (Paramètres)",IF(N(O123)&gt;25,"Au-delà de 25 lignes : non imprimée","OK")))))))))))))</f>
        <v/>
      </c>
      <c r="O123" s="59" t="str">
        <f>IF(A123="","",COUNTIF($A$6:A123,A123))</f>
        <v/>
      </c>
      <c r="P123" s="62" t="str">
        <f>IF(A123="","",A123&amp;"|"&amp;O123)</f>
        <v/>
      </c>
    </row>
    <row r="124">
      <c r="A124" s="60" t="n"/>
      <c r="B124" s="63" t="n"/>
      <c r="C124" s="63" t="n"/>
      <c r="D124" s="67" t="n"/>
      <c r="E124" s="68" t="n"/>
      <c r="F124" s="69" t="n"/>
      <c r="G124" s="70" t="n"/>
      <c r="H124" s="62" t="str">
        <f>IF(COUNTA(A124:G124)=0,"",IF(C124&lt;&gt;"",C124,IF(B124="","",IFERROR(INDEX(pr_des,MATCH(B124,pr_code,0))&amp;"",""))))</f>
        <v/>
      </c>
      <c r="I124" s="59" t="str">
        <f>IF(B124="","",IFERROR(INDEX(pr_unit,MATCH(B124,pr_code,0))&amp;"",""))</f>
        <v/>
      </c>
      <c r="J124" s="65" t="str">
        <f>IF(COUNTA(A124:G124)=0,"",IF(E124&lt;&gt;"",E124,IF(B124="","",IFERROR(IF(INDEX(pr_price,MATCH(B124,pr_code,0))="","",INDEX(pr_price,MATCH(B124,pr_code,0))),""))))</f>
        <v/>
      </c>
      <c r="K124" s="71" t="str">
        <f>IF(COUNTA(A124:G124)=0,"",IF(G124&lt;&gt;"",G124,IF(B124="","",IFERROR(IF(INDEX(pr_rate,MATCH(B124,pr_code,0))="","",INDEX(pr_rate,MATCH(B124,pr_code,0))),""))))</f>
        <v/>
      </c>
      <c r="L124" s="65" t="str">
        <f>IF(COUNTA(A124:G124)=0,"",IF(AND(ISNUMBER(D124),ISNUMBER(J124)),ROUND(D124*J124*(1-N(F124)),2),0))</f>
        <v/>
      </c>
      <c r="M124" s="62" t="str">
        <f>IF(A124="","",IFERROR(INDEX(fa_cname,MATCH(A124,fa_num,0))&amp;"",""))</f>
        <v/>
      </c>
      <c r="N124" s="59" t="str">
        <f>IF(COUNTA(A124:G124)=0,"",IF(A124="","N° facture manquant",IF(ISNA(MATCH(A124,fa_num,0)),"Facture inconnue",IF(AND(B124&lt;&gt;"",ISNA(MATCH(B124,pr_code,0))),"Article inconnu",IF(H124="","Désignation manquante",IF(OR(NOT(ISNUMBER(D124)),N(D124)&lt;=0),"Quantité invalide",IF(J124="","Prix manquant",IF(OR(NOT(ISNUMBER(J124)),N(J124)&lt;0),"Prix invalide",IF(OR(AND(F124&lt;&gt;"",NOT(ISNUMBER(F124))),N(F124)&lt;0,N(F124)&gt;1),"Remise invalide",IF(K124="","Taux de TVA manquant",IF(NOT(ISNUMBER(K124)),"Taux de TVA invalide",IF(COUNTIF(p_rates,K124)=0,"Taux de TVA hors liste (Paramètres)",IF(N(O124)&gt;25,"Au-delà de 25 lignes : non imprimée","OK")))))))))))))</f>
        <v/>
      </c>
      <c r="O124" s="59" t="str">
        <f>IF(A124="","",COUNTIF($A$6:A124,A124))</f>
        <v/>
      </c>
      <c r="P124" s="62" t="str">
        <f>IF(A124="","",A124&amp;"|"&amp;O124)</f>
        <v/>
      </c>
    </row>
    <row r="125">
      <c r="A125" s="60" t="n"/>
      <c r="B125" s="63" t="n"/>
      <c r="C125" s="63" t="n"/>
      <c r="D125" s="67" t="n"/>
      <c r="E125" s="68" t="n"/>
      <c r="F125" s="69" t="n"/>
      <c r="G125" s="70" t="n"/>
      <c r="H125" s="62" t="str">
        <f>IF(COUNTA(A125:G125)=0,"",IF(C125&lt;&gt;"",C125,IF(B125="","",IFERROR(INDEX(pr_des,MATCH(B125,pr_code,0))&amp;"",""))))</f>
        <v/>
      </c>
      <c r="I125" s="59" t="str">
        <f>IF(B125="","",IFERROR(INDEX(pr_unit,MATCH(B125,pr_code,0))&amp;"",""))</f>
        <v/>
      </c>
      <c r="J125" s="65" t="str">
        <f>IF(COUNTA(A125:G125)=0,"",IF(E125&lt;&gt;"",E125,IF(B125="","",IFERROR(IF(INDEX(pr_price,MATCH(B125,pr_code,0))="","",INDEX(pr_price,MATCH(B125,pr_code,0))),""))))</f>
        <v/>
      </c>
      <c r="K125" s="71" t="str">
        <f>IF(COUNTA(A125:G125)=0,"",IF(G125&lt;&gt;"",G125,IF(B125="","",IFERROR(IF(INDEX(pr_rate,MATCH(B125,pr_code,0))="","",INDEX(pr_rate,MATCH(B125,pr_code,0))),""))))</f>
        <v/>
      </c>
      <c r="L125" s="65" t="str">
        <f>IF(COUNTA(A125:G125)=0,"",IF(AND(ISNUMBER(D125),ISNUMBER(J125)),ROUND(D125*J125*(1-N(F125)),2),0))</f>
        <v/>
      </c>
      <c r="M125" s="62" t="str">
        <f>IF(A125="","",IFERROR(INDEX(fa_cname,MATCH(A125,fa_num,0))&amp;"",""))</f>
        <v/>
      </c>
      <c r="N125" s="59" t="str">
        <f>IF(COUNTA(A125:G125)=0,"",IF(A125="","N° facture manquant",IF(ISNA(MATCH(A125,fa_num,0)),"Facture inconnue",IF(AND(B125&lt;&gt;"",ISNA(MATCH(B125,pr_code,0))),"Article inconnu",IF(H125="","Désignation manquante",IF(OR(NOT(ISNUMBER(D125)),N(D125)&lt;=0),"Quantité invalide",IF(J125="","Prix manquant",IF(OR(NOT(ISNUMBER(J125)),N(J125)&lt;0),"Prix invalide",IF(OR(AND(F125&lt;&gt;"",NOT(ISNUMBER(F125))),N(F125)&lt;0,N(F125)&gt;1),"Remise invalide",IF(K125="","Taux de TVA manquant",IF(NOT(ISNUMBER(K125)),"Taux de TVA invalide",IF(COUNTIF(p_rates,K125)=0,"Taux de TVA hors liste (Paramètres)",IF(N(O125)&gt;25,"Au-delà de 25 lignes : non imprimée","OK")))))))))))))</f>
        <v/>
      </c>
      <c r="O125" s="59" t="str">
        <f>IF(A125="","",COUNTIF($A$6:A125,A125))</f>
        <v/>
      </c>
      <c r="P125" s="62" t="str">
        <f>IF(A125="","",A125&amp;"|"&amp;O125)</f>
        <v/>
      </c>
    </row>
    <row r="126">
      <c r="A126" s="60" t="n"/>
      <c r="B126" s="63" t="n"/>
      <c r="C126" s="63" t="n"/>
      <c r="D126" s="67" t="n"/>
      <c r="E126" s="68" t="n"/>
      <c r="F126" s="69" t="n"/>
      <c r="G126" s="70" t="n"/>
      <c r="H126" s="62" t="str">
        <f>IF(COUNTA(A126:G126)=0,"",IF(C126&lt;&gt;"",C126,IF(B126="","",IFERROR(INDEX(pr_des,MATCH(B126,pr_code,0))&amp;"",""))))</f>
        <v/>
      </c>
      <c r="I126" s="59" t="str">
        <f>IF(B126="","",IFERROR(INDEX(pr_unit,MATCH(B126,pr_code,0))&amp;"",""))</f>
        <v/>
      </c>
      <c r="J126" s="65" t="str">
        <f>IF(COUNTA(A126:G126)=0,"",IF(E126&lt;&gt;"",E126,IF(B126="","",IFERROR(IF(INDEX(pr_price,MATCH(B126,pr_code,0))="","",INDEX(pr_price,MATCH(B126,pr_code,0))),""))))</f>
        <v/>
      </c>
      <c r="K126" s="71" t="str">
        <f>IF(COUNTA(A126:G126)=0,"",IF(G126&lt;&gt;"",G126,IF(B126="","",IFERROR(IF(INDEX(pr_rate,MATCH(B126,pr_code,0))="","",INDEX(pr_rate,MATCH(B126,pr_code,0))),""))))</f>
        <v/>
      </c>
      <c r="L126" s="65" t="str">
        <f>IF(COUNTA(A126:G126)=0,"",IF(AND(ISNUMBER(D126),ISNUMBER(J126)),ROUND(D126*J126*(1-N(F126)),2),0))</f>
        <v/>
      </c>
      <c r="M126" s="62" t="str">
        <f>IF(A126="","",IFERROR(INDEX(fa_cname,MATCH(A126,fa_num,0))&amp;"",""))</f>
        <v/>
      </c>
      <c r="N126" s="59" t="str">
        <f>IF(COUNTA(A126:G126)=0,"",IF(A126="","N° facture manquant",IF(ISNA(MATCH(A126,fa_num,0)),"Facture inconnue",IF(AND(B126&lt;&gt;"",ISNA(MATCH(B126,pr_code,0))),"Article inconnu",IF(H126="","Désignation manquante",IF(OR(NOT(ISNUMBER(D126)),N(D126)&lt;=0),"Quantité invalide",IF(J126="","Prix manquant",IF(OR(NOT(ISNUMBER(J126)),N(J126)&lt;0),"Prix invalide",IF(OR(AND(F126&lt;&gt;"",NOT(ISNUMBER(F126))),N(F126)&lt;0,N(F126)&gt;1),"Remise invalide",IF(K126="","Taux de TVA manquant",IF(NOT(ISNUMBER(K126)),"Taux de TVA invalide",IF(COUNTIF(p_rates,K126)=0,"Taux de TVA hors liste (Paramètres)",IF(N(O126)&gt;25,"Au-delà de 25 lignes : non imprimée","OK")))))))))))))</f>
        <v/>
      </c>
      <c r="O126" s="59" t="str">
        <f>IF(A126="","",COUNTIF($A$6:A126,A126))</f>
        <v/>
      </c>
      <c r="P126" s="62" t="str">
        <f>IF(A126="","",A126&amp;"|"&amp;O126)</f>
        <v/>
      </c>
    </row>
    <row r="127">
      <c r="A127" s="60" t="n"/>
      <c r="B127" s="63" t="n"/>
      <c r="C127" s="63" t="n"/>
      <c r="D127" s="67" t="n"/>
      <c r="E127" s="68" t="n"/>
      <c r="F127" s="69" t="n"/>
      <c r="G127" s="70" t="n"/>
      <c r="H127" s="62" t="str">
        <f>IF(COUNTA(A127:G127)=0,"",IF(C127&lt;&gt;"",C127,IF(B127="","",IFERROR(INDEX(pr_des,MATCH(B127,pr_code,0))&amp;"",""))))</f>
        <v/>
      </c>
      <c r="I127" s="59" t="str">
        <f>IF(B127="","",IFERROR(INDEX(pr_unit,MATCH(B127,pr_code,0))&amp;"",""))</f>
        <v/>
      </c>
      <c r="J127" s="65" t="str">
        <f>IF(COUNTA(A127:G127)=0,"",IF(E127&lt;&gt;"",E127,IF(B127="","",IFERROR(IF(INDEX(pr_price,MATCH(B127,pr_code,0))="","",INDEX(pr_price,MATCH(B127,pr_code,0))),""))))</f>
        <v/>
      </c>
      <c r="K127" s="71" t="str">
        <f>IF(COUNTA(A127:G127)=0,"",IF(G127&lt;&gt;"",G127,IF(B127="","",IFERROR(IF(INDEX(pr_rate,MATCH(B127,pr_code,0))="","",INDEX(pr_rate,MATCH(B127,pr_code,0))),""))))</f>
        <v/>
      </c>
      <c r="L127" s="65" t="str">
        <f>IF(COUNTA(A127:G127)=0,"",IF(AND(ISNUMBER(D127),ISNUMBER(J127)),ROUND(D127*J127*(1-N(F127)),2),0))</f>
        <v/>
      </c>
      <c r="M127" s="62" t="str">
        <f>IF(A127="","",IFERROR(INDEX(fa_cname,MATCH(A127,fa_num,0))&amp;"",""))</f>
        <v/>
      </c>
      <c r="N127" s="59" t="str">
        <f>IF(COUNTA(A127:G127)=0,"",IF(A127="","N° facture manquant",IF(ISNA(MATCH(A127,fa_num,0)),"Facture inconnue",IF(AND(B127&lt;&gt;"",ISNA(MATCH(B127,pr_code,0))),"Article inconnu",IF(H127="","Désignation manquante",IF(OR(NOT(ISNUMBER(D127)),N(D127)&lt;=0),"Quantité invalide",IF(J127="","Prix manquant",IF(OR(NOT(ISNUMBER(J127)),N(J127)&lt;0),"Prix invalide",IF(OR(AND(F127&lt;&gt;"",NOT(ISNUMBER(F127))),N(F127)&lt;0,N(F127)&gt;1),"Remise invalide",IF(K127="","Taux de TVA manquant",IF(NOT(ISNUMBER(K127)),"Taux de TVA invalide",IF(COUNTIF(p_rates,K127)=0,"Taux de TVA hors liste (Paramètres)",IF(N(O127)&gt;25,"Au-delà de 25 lignes : non imprimée","OK")))))))))))))</f>
        <v/>
      </c>
      <c r="O127" s="59" t="str">
        <f>IF(A127="","",COUNTIF($A$6:A127,A127))</f>
        <v/>
      </c>
      <c r="P127" s="62" t="str">
        <f>IF(A127="","",A127&amp;"|"&amp;O127)</f>
        <v/>
      </c>
    </row>
    <row r="128">
      <c r="A128" s="60" t="n"/>
      <c r="B128" s="63" t="n"/>
      <c r="C128" s="63" t="n"/>
      <c r="D128" s="67" t="n"/>
      <c r="E128" s="68" t="n"/>
      <c r="F128" s="69" t="n"/>
      <c r="G128" s="70" t="n"/>
      <c r="H128" s="62" t="str">
        <f>IF(COUNTA(A128:G128)=0,"",IF(C128&lt;&gt;"",C128,IF(B128="","",IFERROR(INDEX(pr_des,MATCH(B128,pr_code,0))&amp;"",""))))</f>
        <v/>
      </c>
      <c r="I128" s="59" t="str">
        <f>IF(B128="","",IFERROR(INDEX(pr_unit,MATCH(B128,pr_code,0))&amp;"",""))</f>
        <v/>
      </c>
      <c r="J128" s="65" t="str">
        <f>IF(COUNTA(A128:G128)=0,"",IF(E128&lt;&gt;"",E128,IF(B128="","",IFERROR(IF(INDEX(pr_price,MATCH(B128,pr_code,0))="","",INDEX(pr_price,MATCH(B128,pr_code,0))),""))))</f>
        <v/>
      </c>
      <c r="K128" s="71" t="str">
        <f>IF(COUNTA(A128:G128)=0,"",IF(G128&lt;&gt;"",G128,IF(B128="","",IFERROR(IF(INDEX(pr_rate,MATCH(B128,pr_code,0))="","",INDEX(pr_rate,MATCH(B128,pr_code,0))),""))))</f>
        <v/>
      </c>
      <c r="L128" s="65" t="str">
        <f>IF(COUNTA(A128:G128)=0,"",IF(AND(ISNUMBER(D128),ISNUMBER(J128)),ROUND(D128*J128*(1-N(F128)),2),0))</f>
        <v/>
      </c>
      <c r="M128" s="62" t="str">
        <f>IF(A128="","",IFERROR(INDEX(fa_cname,MATCH(A128,fa_num,0))&amp;"",""))</f>
        <v/>
      </c>
      <c r="N128" s="59" t="str">
        <f>IF(COUNTA(A128:G128)=0,"",IF(A128="","N° facture manquant",IF(ISNA(MATCH(A128,fa_num,0)),"Facture inconnue",IF(AND(B128&lt;&gt;"",ISNA(MATCH(B128,pr_code,0))),"Article inconnu",IF(H128="","Désignation manquante",IF(OR(NOT(ISNUMBER(D128)),N(D128)&lt;=0),"Quantité invalide",IF(J128="","Prix manquant",IF(OR(NOT(ISNUMBER(J128)),N(J128)&lt;0),"Prix invalide",IF(OR(AND(F128&lt;&gt;"",NOT(ISNUMBER(F128))),N(F128)&lt;0,N(F128)&gt;1),"Remise invalide",IF(K128="","Taux de TVA manquant",IF(NOT(ISNUMBER(K128)),"Taux de TVA invalide",IF(COUNTIF(p_rates,K128)=0,"Taux de TVA hors liste (Paramètres)",IF(N(O128)&gt;25,"Au-delà de 25 lignes : non imprimée","OK")))))))))))))</f>
        <v/>
      </c>
      <c r="O128" s="59" t="str">
        <f>IF(A128="","",COUNTIF($A$6:A128,A128))</f>
        <v/>
      </c>
      <c r="P128" s="62" t="str">
        <f>IF(A128="","",A128&amp;"|"&amp;O128)</f>
        <v/>
      </c>
    </row>
    <row r="129">
      <c r="A129" s="60" t="n"/>
      <c r="B129" s="63" t="n"/>
      <c r="C129" s="63" t="n"/>
      <c r="D129" s="67" t="n"/>
      <c r="E129" s="68" t="n"/>
      <c r="F129" s="69" t="n"/>
      <c r="G129" s="70" t="n"/>
      <c r="H129" s="62" t="str">
        <f>IF(COUNTA(A129:G129)=0,"",IF(C129&lt;&gt;"",C129,IF(B129="","",IFERROR(INDEX(pr_des,MATCH(B129,pr_code,0))&amp;"",""))))</f>
        <v/>
      </c>
      <c r="I129" s="59" t="str">
        <f>IF(B129="","",IFERROR(INDEX(pr_unit,MATCH(B129,pr_code,0))&amp;"",""))</f>
        <v/>
      </c>
      <c r="J129" s="65" t="str">
        <f>IF(COUNTA(A129:G129)=0,"",IF(E129&lt;&gt;"",E129,IF(B129="","",IFERROR(IF(INDEX(pr_price,MATCH(B129,pr_code,0))="","",INDEX(pr_price,MATCH(B129,pr_code,0))),""))))</f>
        <v/>
      </c>
      <c r="K129" s="71" t="str">
        <f>IF(COUNTA(A129:G129)=0,"",IF(G129&lt;&gt;"",G129,IF(B129="","",IFERROR(IF(INDEX(pr_rate,MATCH(B129,pr_code,0))="","",INDEX(pr_rate,MATCH(B129,pr_code,0))),""))))</f>
        <v/>
      </c>
      <c r="L129" s="65" t="str">
        <f>IF(COUNTA(A129:G129)=0,"",IF(AND(ISNUMBER(D129),ISNUMBER(J129)),ROUND(D129*J129*(1-N(F129)),2),0))</f>
        <v/>
      </c>
      <c r="M129" s="62" t="str">
        <f>IF(A129="","",IFERROR(INDEX(fa_cname,MATCH(A129,fa_num,0))&amp;"",""))</f>
        <v/>
      </c>
      <c r="N129" s="59" t="str">
        <f>IF(COUNTA(A129:G129)=0,"",IF(A129="","N° facture manquant",IF(ISNA(MATCH(A129,fa_num,0)),"Facture inconnue",IF(AND(B129&lt;&gt;"",ISNA(MATCH(B129,pr_code,0))),"Article inconnu",IF(H129="","Désignation manquante",IF(OR(NOT(ISNUMBER(D129)),N(D129)&lt;=0),"Quantité invalide",IF(J129="","Prix manquant",IF(OR(NOT(ISNUMBER(J129)),N(J129)&lt;0),"Prix invalide",IF(OR(AND(F129&lt;&gt;"",NOT(ISNUMBER(F129))),N(F129)&lt;0,N(F129)&gt;1),"Remise invalide",IF(K129="","Taux de TVA manquant",IF(NOT(ISNUMBER(K129)),"Taux de TVA invalide",IF(COUNTIF(p_rates,K129)=0,"Taux de TVA hors liste (Paramètres)",IF(N(O129)&gt;25,"Au-delà de 25 lignes : non imprimée","OK")))))))))))))</f>
        <v/>
      </c>
      <c r="O129" s="59" t="str">
        <f>IF(A129="","",COUNTIF($A$6:A129,A129))</f>
        <v/>
      </c>
      <c r="P129" s="62" t="str">
        <f>IF(A129="","",A129&amp;"|"&amp;O129)</f>
        <v/>
      </c>
    </row>
    <row r="130">
      <c r="A130" s="60" t="n"/>
      <c r="B130" s="63" t="n"/>
      <c r="C130" s="63" t="n"/>
      <c r="D130" s="67" t="n"/>
      <c r="E130" s="68" t="n"/>
      <c r="F130" s="69" t="n"/>
      <c r="G130" s="70" t="n"/>
      <c r="H130" s="62" t="str">
        <f>IF(COUNTA(A130:G130)=0,"",IF(C130&lt;&gt;"",C130,IF(B130="","",IFERROR(INDEX(pr_des,MATCH(B130,pr_code,0))&amp;"",""))))</f>
        <v/>
      </c>
      <c r="I130" s="59" t="str">
        <f>IF(B130="","",IFERROR(INDEX(pr_unit,MATCH(B130,pr_code,0))&amp;"",""))</f>
        <v/>
      </c>
      <c r="J130" s="65" t="str">
        <f>IF(COUNTA(A130:G130)=0,"",IF(E130&lt;&gt;"",E130,IF(B130="","",IFERROR(IF(INDEX(pr_price,MATCH(B130,pr_code,0))="","",INDEX(pr_price,MATCH(B130,pr_code,0))),""))))</f>
        <v/>
      </c>
      <c r="K130" s="71" t="str">
        <f>IF(COUNTA(A130:G130)=0,"",IF(G130&lt;&gt;"",G130,IF(B130="","",IFERROR(IF(INDEX(pr_rate,MATCH(B130,pr_code,0))="","",INDEX(pr_rate,MATCH(B130,pr_code,0))),""))))</f>
        <v/>
      </c>
      <c r="L130" s="65" t="str">
        <f>IF(COUNTA(A130:G130)=0,"",IF(AND(ISNUMBER(D130),ISNUMBER(J130)),ROUND(D130*J130*(1-N(F130)),2),0))</f>
        <v/>
      </c>
      <c r="M130" s="62" t="str">
        <f>IF(A130="","",IFERROR(INDEX(fa_cname,MATCH(A130,fa_num,0))&amp;"",""))</f>
        <v/>
      </c>
      <c r="N130" s="59" t="str">
        <f>IF(COUNTA(A130:G130)=0,"",IF(A130="","N° facture manquant",IF(ISNA(MATCH(A130,fa_num,0)),"Facture inconnue",IF(AND(B130&lt;&gt;"",ISNA(MATCH(B130,pr_code,0))),"Article inconnu",IF(H130="","Désignation manquante",IF(OR(NOT(ISNUMBER(D130)),N(D130)&lt;=0),"Quantité invalide",IF(J130="","Prix manquant",IF(OR(NOT(ISNUMBER(J130)),N(J130)&lt;0),"Prix invalide",IF(OR(AND(F130&lt;&gt;"",NOT(ISNUMBER(F130))),N(F130)&lt;0,N(F130)&gt;1),"Remise invalide",IF(K130="","Taux de TVA manquant",IF(NOT(ISNUMBER(K130)),"Taux de TVA invalide",IF(COUNTIF(p_rates,K130)=0,"Taux de TVA hors liste (Paramètres)",IF(N(O130)&gt;25,"Au-delà de 25 lignes : non imprimée","OK")))))))))))))</f>
        <v/>
      </c>
      <c r="O130" s="59" t="str">
        <f>IF(A130="","",COUNTIF($A$6:A130,A130))</f>
        <v/>
      </c>
      <c r="P130" s="62" t="str">
        <f>IF(A130="","",A130&amp;"|"&amp;O130)</f>
        <v/>
      </c>
    </row>
    <row r="131">
      <c r="A131" s="60" t="n"/>
      <c r="B131" s="63" t="n"/>
      <c r="C131" s="63" t="n"/>
      <c r="D131" s="67" t="n"/>
      <c r="E131" s="68" t="n"/>
      <c r="F131" s="69" t="n"/>
      <c r="G131" s="70" t="n"/>
      <c r="H131" s="62" t="str">
        <f>IF(COUNTA(A131:G131)=0,"",IF(C131&lt;&gt;"",C131,IF(B131="","",IFERROR(INDEX(pr_des,MATCH(B131,pr_code,0))&amp;"",""))))</f>
        <v/>
      </c>
      <c r="I131" s="59" t="str">
        <f>IF(B131="","",IFERROR(INDEX(pr_unit,MATCH(B131,pr_code,0))&amp;"",""))</f>
        <v/>
      </c>
      <c r="J131" s="65" t="str">
        <f>IF(COUNTA(A131:G131)=0,"",IF(E131&lt;&gt;"",E131,IF(B131="","",IFERROR(IF(INDEX(pr_price,MATCH(B131,pr_code,0))="","",INDEX(pr_price,MATCH(B131,pr_code,0))),""))))</f>
        <v/>
      </c>
      <c r="K131" s="71" t="str">
        <f>IF(COUNTA(A131:G131)=0,"",IF(G131&lt;&gt;"",G131,IF(B131="","",IFERROR(IF(INDEX(pr_rate,MATCH(B131,pr_code,0))="","",INDEX(pr_rate,MATCH(B131,pr_code,0))),""))))</f>
        <v/>
      </c>
      <c r="L131" s="65" t="str">
        <f>IF(COUNTA(A131:G131)=0,"",IF(AND(ISNUMBER(D131),ISNUMBER(J131)),ROUND(D131*J131*(1-N(F131)),2),0))</f>
        <v/>
      </c>
      <c r="M131" s="62" t="str">
        <f>IF(A131="","",IFERROR(INDEX(fa_cname,MATCH(A131,fa_num,0))&amp;"",""))</f>
        <v/>
      </c>
      <c r="N131" s="59" t="str">
        <f>IF(COUNTA(A131:G131)=0,"",IF(A131="","N° facture manquant",IF(ISNA(MATCH(A131,fa_num,0)),"Facture inconnue",IF(AND(B131&lt;&gt;"",ISNA(MATCH(B131,pr_code,0))),"Article inconnu",IF(H131="","Désignation manquante",IF(OR(NOT(ISNUMBER(D131)),N(D131)&lt;=0),"Quantité invalide",IF(J131="","Prix manquant",IF(OR(NOT(ISNUMBER(J131)),N(J131)&lt;0),"Prix invalide",IF(OR(AND(F131&lt;&gt;"",NOT(ISNUMBER(F131))),N(F131)&lt;0,N(F131)&gt;1),"Remise invalide",IF(K131="","Taux de TVA manquant",IF(NOT(ISNUMBER(K131)),"Taux de TVA invalide",IF(COUNTIF(p_rates,K131)=0,"Taux de TVA hors liste (Paramètres)",IF(N(O131)&gt;25,"Au-delà de 25 lignes : non imprimée","OK")))))))))))))</f>
        <v/>
      </c>
      <c r="O131" s="59" t="str">
        <f>IF(A131="","",COUNTIF($A$6:A131,A131))</f>
        <v/>
      </c>
      <c r="P131" s="62" t="str">
        <f>IF(A131="","",A131&amp;"|"&amp;O131)</f>
        <v/>
      </c>
    </row>
    <row r="132">
      <c r="A132" s="60" t="n"/>
      <c r="B132" s="63" t="n"/>
      <c r="C132" s="63" t="n"/>
      <c r="D132" s="67" t="n"/>
      <c r="E132" s="68" t="n"/>
      <c r="F132" s="69" t="n"/>
      <c r="G132" s="70" t="n"/>
      <c r="H132" s="62" t="str">
        <f>IF(COUNTA(A132:G132)=0,"",IF(C132&lt;&gt;"",C132,IF(B132="","",IFERROR(INDEX(pr_des,MATCH(B132,pr_code,0))&amp;"",""))))</f>
        <v/>
      </c>
      <c r="I132" s="59" t="str">
        <f>IF(B132="","",IFERROR(INDEX(pr_unit,MATCH(B132,pr_code,0))&amp;"",""))</f>
        <v/>
      </c>
      <c r="J132" s="65" t="str">
        <f>IF(COUNTA(A132:G132)=0,"",IF(E132&lt;&gt;"",E132,IF(B132="","",IFERROR(IF(INDEX(pr_price,MATCH(B132,pr_code,0))="","",INDEX(pr_price,MATCH(B132,pr_code,0))),""))))</f>
        <v/>
      </c>
      <c r="K132" s="71" t="str">
        <f>IF(COUNTA(A132:G132)=0,"",IF(G132&lt;&gt;"",G132,IF(B132="","",IFERROR(IF(INDEX(pr_rate,MATCH(B132,pr_code,0))="","",INDEX(pr_rate,MATCH(B132,pr_code,0))),""))))</f>
        <v/>
      </c>
      <c r="L132" s="65" t="str">
        <f>IF(COUNTA(A132:G132)=0,"",IF(AND(ISNUMBER(D132),ISNUMBER(J132)),ROUND(D132*J132*(1-N(F132)),2),0))</f>
        <v/>
      </c>
      <c r="M132" s="62" t="str">
        <f>IF(A132="","",IFERROR(INDEX(fa_cname,MATCH(A132,fa_num,0))&amp;"",""))</f>
        <v/>
      </c>
      <c r="N132" s="59" t="str">
        <f>IF(COUNTA(A132:G132)=0,"",IF(A132="","N° facture manquant",IF(ISNA(MATCH(A132,fa_num,0)),"Facture inconnue",IF(AND(B132&lt;&gt;"",ISNA(MATCH(B132,pr_code,0))),"Article inconnu",IF(H132="","Désignation manquante",IF(OR(NOT(ISNUMBER(D132)),N(D132)&lt;=0),"Quantité invalide",IF(J132="","Prix manquant",IF(OR(NOT(ISNUMBER(J132)),N(J132)&lt;0),"Prix invalide",IF(OR(AND(F132&lt;&gt;"",NOT(ISNUMBER(F132))),N(F132)&lt;0,N(F132)&gt;1),"Remise invalide",IF(K132="","Taux de TVA manquant",IF(NOT(ISNUMBER(K132)),"Taux de TVA invalide",IF(COUNTIF(p_rates,K132)=0,"Taux de TVA hors liste (Paramètres)",IF(N(O132)&gt;25,"Au-delà de 25 lignes : non imprimée","OK")))))))))))))</f>
        <v/>
      </c>
      <c r="O132" s="59" t="str">
        <f>IF(A132="","",COUNTIF($A$6:A132,A132))</f>
        <v/>
      </c>
      <c r="P132" s="62" t="str">
        <f>IF(A132="","",A132&amp;"|"&amp;O132)</f>
        <v/>
      </c>
    </row>
    <row r="133">
      <c r="A133" s="60" t="n"/>
      <c r="B133" s="63" t="n"/>
      <c r="C133" s="63" t="n"/>
      <c r="D133" s="67" t="n"/>
      <c r="E133" s="68" t="n"/>
      <c r="F133" s="69" t="n"/>
      <c r="G133" s="70" t="n"/>
      <c r="H133" s="62" t="str">
        <f>IF(COUNTA(A133:G133)=0,"",IF(C133&lt;&gt;"",C133,IF(B133="","",IFERROR(INDEX(pr_des,MATCH(B133,pr_code,0))&amp;"",""))))</f>
        <v/>
      </c>
      <c r="I133" s="59" t="str">
        <f>IF(B133="","",IFERROR(INDEX(pr_unit,MATCH(B133,pr_code,0))&amp;"",""))</f>
        <v/>
      </c>
      <c r="J133" s="65" t="str">
        <f>IF(COUNTA(A133:G133)=0,"",IF(E133&lt;&gt;"",E133,IF(B133="","",IFERROR(IF(INDEX(pr_price,MATCH(B133,pr_code,0))="","",INDEX(pr_price,MATCH(B133,pr_code,0))),""))))</f>
        <v/>
      </c>
      <c r="K133" s="71" t="str">
        <f>IF(COUNTA(A133:G133)=0,"",IF(G133&lt;&gt;"",G133,IF(B133="","",IFERROR(IF(INDEX(pr_rate,MATCH(B133,pr_code,0))="","",INDEX(pr_rate,MATCH(B133,pr_code,0))),""))))</f>
        <v/>
      </c>
      <c r="L133" s="65" t="str">
        <f>IF(COUNTA(A133:G133)=0,"",IF(AND(ISNUMBER(D133),ISNUMBER(J133)),ROUND(D133*J133*(1-N(F133)),2),0))</f>
        <v/>
      </c>
      <c r="M133" s="62" t="str">
        <f>IF(A133="","",IFERROR(INDEX(fa_cname,MATCH(A133,fa_num,0))&amp;"",""))</f>
        <v/>
      </c>
      <c r="N133" s="59" t="str">
        <f>IF(COUNTA(A133:G133)=0,"",IF(A133="","N° facture manquant",IF(ISNA(MATCH(A133,fa_num,0)),"Facture inconnue",IF(AND(B133&lt;&gt;"",ISNA(MATCH(B133,pr_code,0))),"Article inconnu",IF(H133="","Désignation manquante",IF(OR(NOT(ISNUMBER(D133)),N(D133)&lt;=0),"Quantité invalide",IF(J133="","Prix manquant",IF(OR(NOT(ISNUMBER(J133)),N(J133)&lt;0),"Prix invalide",IF(OR(AND(F133&lt;&gt;"",NOT(ISNUMBER(F133))),N(F133)&lt;0,N(F133)&gt;1),"Remise invalide",IF(K133="","Taux de TVA manquant",IF(NOT(ISNUMBER(K133)),"Taux de TVA invalide",IF(COUNTIF(p_rates,K133)=0,"Taux de TVA hors liste (Paramètres)",IF(N(O133)&gt;25,"Au-delà de 25 lignes : non imprimée","OK")))))))))))))</f>
        <v/>
      </c>
      <c r="O133" s="59" t="str">
        <f>IF(A133="","",COUNTIF($A$6:A133,A133))</f>
        <v/>
      </c>
      <c r="P133" s="62" t="str">
        <f>IF(A133="","",A133&amp;"|"&amp;O133)</f>
        <v/>
      </c>
    </row>
    <row r="134">
      <c r="A134" s="60" t="n"/>
      <c r="B134" s="63" t="n"/>
      <c r="C134" s="63" t="n"/>
      <c r="D134" s="67" t="n"/>
      <c r="E134" s="68" t="n"/>
      <c r="F134" s="69" t="n"/>
      <c r="G134" s="70" t="n"/>
      <c r="H134" s="62" t="str">
        <f>IF(COUNTA(A134:G134)=0,"",IF(C134&lt;&gt;"",C134,IF(B134="","",IFERROR(INDEX(pr_des,MATCH(B134,pr_code,0))&amp;"",""))))</f>
        <v/>
      </c>
      <c r="I134" s="59" t="str">
        <f>IF(B134="","",IFERROR(INDEX(pr_unit,MATCH(B134,pr_code,0))&amp;"",""))</f>
        <v/>
      </c>
      <c r="J134" s="65" t="str">
        <f>IF(COUNTA(A134:G134)=0,"",IF(E134&lt;&gt;"",E134,IF(B134="","",IFERROR(IF(INDEX(pr_price,MATCH(B134,pr_code,0))="","",INDEX(pr_price,MATCH(B134,pr_code,0))),""))))</f>
        <v/>
      </c>
      <c r="K134" s="71" t="str">
        <f>IF(COUNTA(A134:G134)=0,"",IF(G134&lt;&gt;"",G134,IF(B134="","",IFERROR(IF(INDEX(pr_rate,MATCH(B134,pr_code,0))="","",INDEX(pr_rate,MATCH(B134,pr_code,0))),""))))</f>
        <v/>
      </c>
      <c r="L134" s="65" t="str">
        <f>IF(COUNTA(A134:G134)=0,"",IF(AND(ISNUMBER(D134),ISNUMBER(J134)),ROUND(D134*J134*(1-N(F134)),2),0))</f>
        <v/>
      </c>
      <c r="M134" s="62" t="str">
        <f>IF(A134="","",IFERROR(INDEX(fa_cname,MATCH(A134,fa_num,0))&amp;"",""))</f>
        <v/>
      </c>
      <c r="N134" s="59" t="str">
        <f>IF(COUNTA(A134:G134)=0,"",IF(A134="","N° facture manquant",IF(ISNA(MATCH(A134,fa_num,0)),"Facture inconnue",IF(AND(B134&lt;&gt;"",ISNA(MATCH(B134,pr_code,0))),"Article inconnu",IF(H134="","Désignation manquante",IF(OR(NOT(ISNUMBER(D134)),N(D134)&lt;=0),"Quantité invalide",IF(J134="","Prix manquant",IF(OR(NOT(ISNUMBER(J134)),N(J134)&lt;0),"Prix invalide",IF(OR(AND(F134&lt;&gt;"",NOT(ISNUMBER(F134))),N(F134)&lt;0,N(F134)&gt;1),"Remise invalide",IF(K134="","Taux de TVA manquant",IF(NOT(ISNUMBER(K134)),"Taux de TVA invalide",IF(COUNTIF(p_rates,K134)=0,"Taux de TVA hors liste (Paramètres)",IF(N(O134)&gt;25,"Au-delà de 25 lignes : non imprimée","OK")))))))))))))</f>
        <v/>
      </c>
      <c r="O134" s="59" t="str">
        <f>IF(A134="","",COUNTIF($A$6:A134,A134))</f>
        <v/>
      </c>
      <c r="P134" s="62" t="str">
        <f>IF(A134="","",A134&amp;"|"&amp;O134)</f>
        <v/>
      </c>
    </row>
    <row r="135">
      <c r="A135" s="60" t="n"/>
      <c r="B135" s="63" t="n"/>
      <c r="C135" s="63" t="n"/>
      <c r="D135" s="67" t="n"/>
      <c r="E135" s="68" t="n"/>
      <c r="F135" s="69" t="n"/>
      <c r="G135" s="70" t="n"/>
      <c r="H135" s="62" t="str">
        <f>IF(COUNTA(A135:G135)=0,"",IF(C135&lt;&gt;"",C135,IF(B135="","",IFERROR(INDEX(pr_des,MATCH(B135,pr_code,0))&amp;"",""))))</f>
        <v/>
      </c>
      <c r="I135" s="59" t="str">
        <f>IF(B135="","",IFERROR(INDEX(pr_unit,MATCH(B135,pr_code,0))&amp;"",""))</f>
        <v/>
      </c>
      <c r="J135" s="65" t="str">
        <f>IF(COUNTA(A135:G135)=0,"",IF(E135&lt;&gt;"",E135,IF(B135="","",IFERROR(IF(INDEX(pr_price,MATCH(B135,pr_code,0))="","",INDEX(pr_price,MATCH(B135,pr_code,0))),""))))</f>
        <v/>
      </c>
      <c r="K135" s="71" t="str">
        <f>IF(COUNTA(A135:G135)=0,"",IF(G135&lt;&gt;"",G135,IF(B135="","",IFERROR(IF(INDEX(pr_rate,MATCH(B135,pr_code,0))="","",INDEX(pr_rate,MATCH(B135,pr_code,0))),""))))</f>
        <v/>
      </c>
      <c r="L135" s="65" t="str">
        <f>IF(COUNTA(A135:G135)=0,"",IF(AND(ISNUMBER(D135),ISNUMBER(J135)),ROUND(D135*J135*(1-N(F135)),2),0))</f>
        <v/>
      </c>
      <c r="M135" s="62" t="str">
        <f>IF(A135="","",IFERROR(INDEX(fa_cname,MATCH(A135,fa_num,0))&amp;"",""))</f>
        <v/>
      </c>
      <c r="N135" s="59" t="str">
        <f>IF(COUNTA(A135:G135)=0,"",IF(A135="","N° facture manquant",IF(ISNA(MATCH(A135,fa_num,0)),"Facture inconnue",IF(AND(B135&lt;&gt;"",ISNA(MATCH(B135,pr_code,0))),"Article inconnu",IF(H135="","Désignation manquante",IF(OR(NOT(ISNUMBER(D135)),N(D135)&lt;=0),"Quantité invalide",IF(J135="","Prix manquant",IF(OR(NOT(ISNUMBER(J135)),N(J135)&lt;0),"Prix invalide",IF(OR(AND(F135&lt;&gt;"",NOT(ISNUMBER(F135))),N(F135)&lt;0,N(F135)&gt;1),"Remise invalide",IF(K135="","Taux de TVA manquant",IF(NOT(ISNUMBER(K135)),"Taux de TVA invalide",IF(COUNTIF(p_rates,K135)=0,"Taux de TVA hors liste (Paramètres)",IF(N(O135)&gt;25,"Au-delà de 25 lignes : non imprimée","OK")))))))))))))</f>
        <v/>
      </c>
      <c r="O135" s="59" t="str">
        <f>IF(A135="","",COUNTIF($A$6:A135,A135))</f>
        <v/>
      </c>
      <c r="P135" s="62" t="str">
        <f>IF(A135="","",A135&amp;"|"&amp;O135)</f>
        <v/>
      </c>
    </row>
    <row r="136">
      <c r="A136" s="60" t="n"/>
      <c r="B136" s="63" t="n"/>
      <c r="C136" s="63" t="n"/>
      <c r="D136" s="67" t="n"/>
      <c r="E136" s="68" t="n"/>
      <c r="F136" s="69" t="n"/>
      <c r="G136" s="70" t="n"/>
      <c r="H136" s="62" t="str">
        <f>IF(COUNTA(A136:G136)=0,"",IF(C136&lt;&gt;"",C136,IF(B136="","",IFERROR(INDEX(pr_des,MATCH(B136,pr_code,0))&amp;"",""))))</f>
        <v/>
      </c>
      <c r="I136" s="59" t="str">
        <f>IF(B136="","",IFERROR(INDEX(pr_unit,MATCH(B136,pr_code,0))&amp;"",""))</f>
        <v/>
      </c>
      <c r="J136" s="65" t="str">
        <f>IF(COUNTA(A136:G136)=0,"",IF(E136&lt;&gt;"",E136,IF(B136="","",IFERROR(IF(INDEX(pr_price,MATCH(B136,pr_code,0))="","",INDEX(pr_price,MATCH(B136,pr_code,0))),""))))</f>
        <v/>
      </c>
      <c r="K136" s="71" t="str">
        <f>IF(COUNTA(A136:G136)=0,"",IF(G136&lt;&gt;"",G136,IF(B136="","",IFERROR(IF(INDEX(pr_rate,MATCH(B136,pr_code,0))="","",INDEX(pr_rate,MATCH(B136,pr_code,0))),""))))</f>
        <v/>
      </c>
      <c r="L136" s="65" t="str">
        <f>IF(COUNTA(A136:G136)=0,"",IF(AND(ISNUMBER(D136),ISNUMBER(J136)),ROUND(D136*J136*(1-N(F136)),2),0))</f>
        <v/>
      </c>
      <c r="M136" s="62" t="str">
        <f>IF(A136="","",IFERROR(INDEX(fa_cname,MATCH(A136,fa_num,0))&amp;"",""))</f>
        <v/>
      </c>
      <c r="N136" s="59" t="str">
        <f>IF(COUNTA(A136:G136)=0,"",IF(A136="","N° facture manquant",IF(ISNA(MATCH(A136,fa_num,0)),"Facture inconnue",IF(AND(B136&lt;&gt;"",ISNA(MATCH(B136,pr_code,0))),"Article inconnu",IF(H136="","Désignation manquante",IF(OR(NOT(ISNUMBER(D136)),N(D136)&lt;=0),"Quantité invalide",IF(J136="","Prix manquant",IF(OR(NOT(ISNUMBER(J136)),N(J136)&lt;0),"Prix invalide",IF(OR(AND(F136&lt;&gt;"",NOT(ISNUMBER(F136))),N(F136)&lt;0,N(F136)&gt;1),"Remise invalide",IF(K136="","Taux de TVA manquant",IF(NOT(ISNUMBER(K136)),"Taux de TVA invalide",IF(COUNTIF(p_rates,K136)=0,"Taux de TVA hors liste (Paramètres)",IF(N(O136)&gt;25,"Au-delà de 25 lignes : non imprimée","OK")))))))))))))</f>
        <v/>
      </c>
      <c r="O136" s="59" t="str">
        <f>IF(A136="","",COUNTIF($A$6:A136,A136))</f>
        <v/>
      </c>
      <c r="P136" s="62" t="str">
        <f>IF(A136="","",A136&amp;"|"&amp;O136)</f>
        <v/>
      </c>
    </row>
    <row r="137">
      <c r="A137" s="60" t="n"/>
      <c r="B137" s="63" t="n"/>
      <c r="C137" s="63" t="n"/>
      <c r="D137" s="67" t="n"/>
      <c r="E137" s="68" t="n"/>
      <c r="F137" s="69" t="n"/>
      <c r="G137" s="70" t="n"/>
      <c r="H137" s="62" t="str">
        <f>IF(COUNTA(A137:G137)=0,"",IF(C137&lt;&gt;"",C137,IF(B137="","",IFERROR(INDEX(pr_des,MATCH(B137,pr_code,0))&amp;"",""))))</f>
        <v/>
      </c>
      <c r="I137" s="59" t="str">
        <f>IF(B137="","",IFERROR(INDEX(pr_unit,MATCH(B137,pr_code,0))&amp;"",""))</f>
        <v/>
      </c>
      <c r="J137" s="65" t="str">
        <f>IF(COUNTA(A137:G137)=0,"",IF(E137&lt;&gt;"",E137,IF(B137="","",IFERROR(IF(INDEX(pr_price,MATCH(B137,pr_code,0))="","",INDEX(pr_price,MATCH(B137,pr_code,0))),""))))</f>
        <v/>
      </c>
      <c r="K137" s="71" t="str">
        <f>IF(COUNTA(A137:G137)=0,"",IF(G137&lt;&gt;"",G137,IF(B137="","",IFERROR(IF(INDEX(pr_rate,MATCH(B137,pr_code,0))="","",INDEX(pr_rate,MATCH(B137,pr_code,0))),""))))</f>
        <v/>
      </c>
      <c r="L137" s="65" t="str">
        <f>IF(COUNTA(A137:G137)=0,"",IF(AND(ISNUMBER(D137),ISNUMBER(J137)),ROUND(D137*J137*(1-N(F137)),2),0))</f>
        <v/>
      </c>
      <c r="M137" s="62" t="str">
        <f>IF(A137="","",IFERROR(INDEX(fa_cname,MATCH(A137,fa_num,0))&amp;"",""))</f>
        <v/>
      </c>
      <c r="N137" s="59" t="str">
        <f>IF(COUNTA(A137:G137)=0,"",IF(A137="","N° facture manquant",IF(ISNA(MATCH(A137,fa_num,0)),"Facture inconnue",IF(AND(B137&lt;&gt;"",ISNA(MATCH(B137,pr_code,0))),"Article inconnu",IF(H137="","Désignation manquante",IF(OR(NOT(ISNUMBER(D137)),N(D137)&lt;=0),"Quantité invalide",IF(J137="","Prix manquant",IF(OR(NOT(ISNUMBER(J137)),N(J137)&lt;0),"Prix invalide",IF(OR(AND(F137&lt;&gt;"",NOT(ISNUMBER(F137))),N(F137)&lt;0,N(F137)&gt;1),"Remise invalide",IF(K137="","Taux de TVA manquant",IF(NOT(ISNUMBER(K137)),"Taux de TVA invalide",IF(COUNTIF(p_rates,K137)=0,"Taux de TVA hors liste (Paramètres)",IF(N(O137)&gt;25,"Au-delà de 25 lignes : non imprimée","OK")))))))))))))</f>
        <v/>
      </c>
      <c r="O137" s="59" t="str">
        <f>IF(A137="","",COUNTIF($A$6:A137,A137))</f>
        <v/>
      </c>
      <c r="P137" s="62" t="str">
        <f>IF(A137="","",A137&amp;"|"&amp;O137)</f>
        <v/>
      </c>
    </row>
    <row r="138">
      <c r="A138" s="60" t="n"/>
      <c r="B138" s="63" t="n"/>
      <c r="C138" s="63" t="n"/>
      <c r="D138" s="67" t="n"/>
      <c r="E138" s="68" t="n"/>
      <c r="F138" s="69" t="n"/>
      <c r="G138" s="70" t="n"/>
      <c r="H138" s="62" t="str">
        <f>IF(COUNTA(A138:G138)=0,"",IF(C138&lt;&gt;"",C138,IF(B138="","",IFERROR(INDEX(pr_des,MATCH(B138,pr_code,0))&amp;"",""))))</f>
        <v/>
      </c>
      <c r="I138" s="59" t="str">
        <f>IF(B138="","",IFERROR(INDEX(pr_unit,MATCH(B138,pr_code,0))&amp;"",""))</f>
        <v/>
      </c>
      <c r="J138" s="65" t="str">
        <f>IF(COUNTA(A138:G138)=0,"",IF(E138&lt;&gt;"",E138,IF(B138="","",IFERROR(IF(INDEX(pr_price,MATCH(B138,pr_code,0))="","",INDEX(pr_price,MATCH(B138,pr_code,0))),""))))</f>
        <v/>
      </c>
      <c r="K138" s="71" t="str">
        <f>IF(COUNTA(A138:G138)=0,"",IF(G138&lt;&gt;"",G138,IF(B138="","",IFERROR(IF(INDEX(pr_rate,MATCH(B138,pr_code,0))="","",INDEX(pr_rate,MATCH(B138,pr_code,0))),""))))</f>
        <v/>
      </c>
      <c r="L138" s="65" t="str">
        <f>IF(COUNTA(A138:G138)=0,"",IF(AND(ISNUMBER(D138),ISNUMBER(J138)),ROUND(D138*J138*(1-N(F138)),2),0))</f>
        <v/>
      </c>
      <c r="M138" s="62" t="str">
        <f>IF(A138="","",IFERROR(INDEX(fa_cname,MATCH(A138,fa_num,0))&amp;"",""))</f>
        <v/>
      </c>
      <c r="N138" s="59" t="str">
        <f>IF(COUNTA(A138:G138)=0,"",IF(A138="","N° facture manquant",IF(ISNA(MATCH(A138,fa_num,0)),"Facture inconnue",IF(AND(B138&lt;&gt;"",ISNA(MATCH(B138,pr_code,0))),"Article inconnu",IF(H138="","Désignation manquante",IF(OR(NOT(ISNUMBER(D138)),N(D138)&lt;=0),"Quantité invalide",IF(J138="","Prix manquant",IF(OR(NOT(ISNUMBER(J138)),N(J138)&lt;0),"Prix invalide",IF(OR(AND(F138&lt;&gt;"",NOT(ISNUMBER(F138))),N(F138)&lt;0,N(F138)&gt;1),"Remise invalide",IF(K138="","Taux de TVA manquant",IF(NOT(ISNUMBER(K138)),"Taux de TVA invalide",IF(COUNTIF(p_rates,K138)=0,"Taux de TVA hors liste (Paramètres)",IF(N(O138)&gt;25,"Au-delà de 25 lignes : non imprimée","OK")))))))))))))</f>
        <v/>
      </c>
      <c r="O138" s="59" t="str">
        <f>IF(A138="","",COUNTIF($A$6:A138,A138))</f>
        <v/>
      </c>
      <c r="P138" s="62" t="str">
        <f>IF(A138="","",A138&amp;"|"&amp;O138)</f>
        <v/>
      </c>
    </row>
    <row r="139">
      <c r="A139" s="60" t="n"/>
      <c r="B139" s="63" t="n"/>
      <c r="C139" s="63" t="n"/>
      <c r="D139" s="67" t="n"/>
      <c r="E139" s="68" t="n"/>
      <c r="F139" s="69" t="n"/>
      <c r="G139" s="70" t="n"/>
      <c r="H139" s="62" t="str">
        <f>IF(COUNTA(A139:G139)=0,"",IF(C139&lt;&gt;"",C139,IF(B139="","",IFERROR(INDEX(pr_des,MATCH(B139,pr_code,0))&amp;"",""))))</f>
        <v/>
      </c>
      <c r="I139" s="59" t="str">
        <f>IF(B139="","",IFERROR(INDEX(pr_unit,MATCH(B139,pr_code,0))&amp;"",""))</f>
        <v/>
      </c>
      <c r="J139" s="65" t="str">
        <f>IF(COUNTA(A139:G139)=0,"",IF(E139&lt;&gt;"",E139,IF(B139="","",IFERROR(IF(INDEX(pr_price,MATCH(B139,pr_code,0))="","",INDEX(pr_price,MATCH(B139,pr_code,0))),""))))</f>
        <v/>
      </c>
      <c r="K139" s="71" t="str">
        <f>IF(COUNTA(A139:G139)=0,"",IF(G139&lt;&gt;"",G139,IF(B139="","",IFERROR(IF(INDEX(pr_rate,MATCH(B139,pr_code,0))="","",INDEX(pr_rate,MATCH(B139,pr_code,0))),""))))</f>
        <v/>
      </c>
      <c r="L139" s="65" t="str">
        <f>IF(COUNTA(A139:G139)=0,"",IF(AND(ISNUMBER(D139),ISNUMBER(J139)),ROUND(D139*J139*(1-N(F139)),2),0))</f>
        <v/>
      </c>
      <c r="M139" s="62" t="str">
        <f>IF(A139="","",IFERROR(INDEX(fa_cname,MATCH(A139,fa_num,0))&amp;"",""))</f>
        <v/>
      </c>
      <c r="N139" s="59" t="str">
        <f>IF(COUNTA(A139:G139)=0,"",IF(A139="","N° facture manquant",IF(ISNA(MATCH(A139,fa_num,0)),"Facture inconnue",IF(AND(B139&lt;&gt;"",ISNA(MATCH(B139,pr_code,0))),"Article inconnu",IF(H139="","Désignation manquante",IF(OR(NOT(ISNUMBER(D139)),N(D139)&lt;=0),"Quantité invalide",IF(J139="","Prix manquant",IF(OR(NOT(ISNUMBER(J139)),N(J139)&lt;0),"Prix invalide",IF(OR(AND(F139&lt;&gt;"",NOT(ISNUMBER(F139))),N(F139)&lt;0,N(F139)&gt;1),"Remise invalide",IF(K139="","Taux de TVA manquant",IF(NOT(ISNUMBER(K139)),"Taux de TVA invalide",IF(COUNTIF(p_rates,K139)=0,"Taux de TVA hors liste (Paramètres)",IF(N(O139)&gt;25,"Au-delà de 25 lignes : non imprimée","OK")))))))))))))</f>
        <v/>
      </c>
      <c r="O139" s="59" t="str">
        <f>IF(A139="","",COUNTIF($A$6:A139,A139))</f>
        <v/>
      </c>
      <c r="P139" s="62" t="str">
        <f>IF(A139="","",A139&amp;"|"&amp;O139)</f>
        <v/>
      </c>
    </row>
    <row r="140">
      <c r="A140" s="60" t="n"/>
      <c r="B140" s="63" t="n"/>
      <c r="C140" s="63" t="n"/>
      <c r="D140" s="67" t="n"/>
      <c r="E140" s="68" t="n"/>
      <c r="F140" s="69" t="n"/>
      <c r="G140" s="70" t="n"/>
      <c r="H140" s="62" t="str">
        <f>IF(COUNTA(A140:G140)=0,"",IF(C140&lt;&gt;"",C140,IF(B140="","",IFERROR(INDEX(pr_des,MATCH(B140,pr_code,0))&amp;"",""))))</f>
        <v/>
      </c>
      <c r="I140" s="59" t="str">
        <f>IF(B140="","",IFERROR(INDEX(pr_unit,MATCH(B140,pr_code,0))&amp;"",""))</f>
        <v/>
      </c>
      <c r="J140" s="65" t="str">
        <f>IF(COUNTA(A140:G140)=0,"",IF(E140&lt;&gt;"",E140,IF(B140="","",IFERROR(IF(INDEX(pr_price,MATCH(B140,pr_code,0))="","",INDEX(pr_price,MATCH(B140,pr_code,0))),""))))</f>
        <v/>
      </c>
      <c r="K140" s="71" t="str">
        <f>IF(COUNTA(A140:G140)=0,"",IF(G140&lt;&gt;"",G140,IF(B140="","",IFERROR(IF(INDEX(pr_rate,MATCH(B140,pr_code,0))="","",INDEX(pr_rate,MATCH(B140,pr_code,0))),""))))</f>
        <v/>
      </c>
      <c r="L140" s="65" t="str">
        <f>IF(COUNTA(A140:G140)=0,"",IF(AND(ISNUMBER(D140),ISNUMBER(J140)),ROUND(D140*J140*(1-N(F140)),2),0))</f>
        <v/>
      </c>
      <c r="M140" s="62" t="str">
        <f>IF(A140="","",IFERROR(INDEX(fa_cname,MATCH(A140,fa_num,0))&amp;"",""))</f>
        <v/>
      </c>
      <c r="N140" s="59" t="str">
        <f>IF(COUNTA(A140:G140)=0,"",IF(A140="","N° facture manquant",IF(ISNA(MATCH(A140,fa_num,0)),"Facture inconnue",IF(AND(B140&lt;&gt;"",ISNA(MATCH(B140,pr_code,0))),"Article inconnu",IF(H140="","Désignation manquante",IF(OR(NOT(ISNUMBER(D140)),N(D140)&lt;=0),"Quantité invalide",IF(J140="","Prix manquant",IF(OR(NOT(ISNUMBER(J140)),N(J140)&lt;0),"Prix invalide",IF(OR(AND(F140&lt;&gt;"",NOT(ISNUMBER(F140))),N(F140)&lt;0,N(F140)&gt;1),"Remise invalide",IF(K140="","Taux de TVA manquant",IF(NOT(ISNUMBER(K140)),"Taux de TVA invalide",IF(COUNTIF(p_rates,K140)=0,"Taux de TVA hors liste (Paramètres)",IF(N(O140)&gt;25,"Au-delà de 25 lignes : non imprimée","OK")))))))))))))</f>
        <v/>
      </c>
      <c r="O140" s="59" t="str">
        <f>IF(A140="","",COUNTIF($A$6:A140,A140))</f>
        <v/>
      </c>
      <c r="P140" s="62" t="str">
        <f>IF(A140="","",A140&amp;"|"&amp;O140)</f>
        <v/>
      </c>
    </row>
    <row r="141">
      <c r="A141" s="60" t="n"/>
      <c r="B141" s="63" t="n"/>
      <c r="C141" s="63" t="n"/>
      <c r="D141" s="67" t="n"/>
      <c r="E141" s="68" t="n"/>
      <c r="F141" s="69" t="n"/>
      <c r="G141" s="70" t="n"/>
      <c r="H141" s="62" t="str">
        <f>IF(COUNTA(A141:G141)=0,"",IF(C141&lt;&gt;"",C141,IF(B141="","",IFERROR(INDEX(pr_des,MATCH(B141,pr_code,0))&amp;"",""))))</f>
        <v/>
      </c>
      <c r="I141" s="59" t="str">
        <f>IF(B141="","",IFERROR(INDEX(pr_unit,MATCH(B141,pr_code,0))&amp;"",""))</f>
        <v/>
      </c>
      <c r="J141" s="65" t="str">
        <f>IF(COUNTA(A141:G141)=0,"",IF(E141&lt;&gt;"",E141,IF(B141="","",IFERROR(IF(INDEX(pr_price,MATCH(B141,pr_code,0))="","",INDEX(pr_price,MATCH(B141,pr_code,0))),""))))</f>
        <v/>
      </c>
      <c r="K141" s="71" t="str">
        <f>IF(COUNTA(A141:G141)=0,"",IF(G141&lt;&gt;"",G141,IF(B141="","",IFERROR(IF(INDEX(pr_rate,MATCH(B141,pr_code,0))="","",INDEX(pr_rate,MATCH(B141,pr_code,0))),""))))</f>
        <v/>
      </c>
      <c r="L141" s="65" t="str">
        <f>IF(COUNTA(A141:G141)=0,"",IF(AND(ISNUMBER(D141),ISNUMBER(J141)),ROUND(D141*J141*(1-N(F141)),2),0))</f>
        <v/>
      </c>
      <c r="M141" s="62" t="str">
        <f>IF(A141="","",IFERROR(INDEX(fa_cname,MATCH(A141,fa_num,0))&amp;"",""))</f>
        <v/>
      </c>
      <c r="N141" s="59" t="str">
        <f>IF(COUNTA(A141:G141)=0,"",IF(A141="","N° facture manquant",IF(ISNA(MATCH(A141,fa_num,0)),"Facture inconnue",IF(AND(B141&lt;&gt;"",ISNA(MATCH(B141,pr_code,0))),"Article inconnu",IF(H141="","Désignation manquante",IF(OR(NOT(ISNUMBER(D141)),N(D141)&lt;=0),"Quantité invalide",IF(J141="","Prix manquant",IF(OR(NOT(ISNUMBER(J141)),N(J141)&lt;0),"Prix invalide",IF(OR(AND(F141&lt;&gt;"",NOT(ISNUMBER(F141))),N(F141)&lt;0,N(F141)&gt;1),"Remise invalide",IF(K141="","Taux de TVA manquant",IF(NOT(ISNUMBER(K141)),"Taux de TVA invalide",IF(COUNTIF(p_rates,K141)=0,"Taux de TVA hors liste (Paramètres)",IF(N(O141)&gt;25,"Au-delà de 25 lignes : non imprimée","OK")))))))))))))</f>
        <v/>
      </c>
      <c r="O141" s="59" t="str">
        <f>IF(A141="","",COUNTIF($A$6:A141,A141))</f>
        <v/>
      </c>
      <c r="P141" s="62" t="str">
        <f>IF(A141="","",A141&amp;"|"&amp;O141)</f>
        <v/>
      </c>
    </row>
    <row r="142">
      <c r="A142" s="60" t="n"/>
      <c r="B142" s="63" t="n"/>
      <c r="C142" s="63" t="n"/>
      <c r="D142" s="67" t="n"/>
      <c r="E142" s="68" t="n"/>
      <c r="F142" s="69" t="n"/>
      <c r="G142" s="70" t="n"/>
      <c r="H142" s="62" t="str">
        <f>IF(COUNTA(A142:G142)=0,"",IF(C142&lt;&gt;"",C142,IF(B142="","",IFERROR(INDEX(pr_des,MATCH(B142,pr_code,0))&amp;"",""))))</f>
        <v/>
      </c>
      <c r="I142" s="59" t="str">
        <f>IF(B142="","",IFERROR(INDEX(pr_unit,MATCH(B142,pr_code,0))&amp;"",""))</f>
        <v/>
      </c>
      <c r="J142" s="65" t="str">
        <f>IF(COUNTA(A142:G142)=0,"",IF(E142&lt;&gt;"",E142,IF(B142="","",IFERROR(IF(INDEX(pr_price,MATCH(B142,pr_code,0))="","",INDEX(pr_price,MATCH(B142,pr_code,0))),""))))</f>
        <v/>
      </c>
      <c r="K142" s="71" t="str">
        <f>IF(COUNTA(A142:G142)=0,"",IF(G142&lt;&gt;"",G142,IF(B142="","",IFERROR(IF(INDEX(pr_rate,MATCH(B142,pr_code,0))="","",INDEX(pr_rate,MATCH(B142,pr_code,0))),""))))</f>
        <v/>
      </c>
      <c r="L142" s="65" t="str">
        <f>IF(COUNTA(A142:G142)=0,"",IF(AND(ISNUMBER(D142),ISNUMBER(J142)),ROUND(D142*J142*(1-N(F142)),2),0))</f>
        <v/>
      </c>
      <c r="M142" s="62" t="str">
        <f>IF(A142="","",IFERROR(INDEX(fa_cname,MATCH(A142,fa_num,0))&amp;"",""))</f>
        <v/>
      </c>
      <c r="N142" s="59" t="str">
        <f>IF(COUNTA(A142:G142)=0,"",IF(A142="","N° facture manquant",IF(ISNA(MATCH(A142,fa_num,0)),"Facture inconnue",IF(AND(B142&lt;&gt;"",ISNA(MATCH(B142,pr_code,0))),"Article inconnu",IF(H142="","Désignation manquante",IF(OR(NOT(ISNUMBER(D142)),N(D142)&lt;=0),"Quantité invalide",IF(J142="","Prix manquant",IF(OR(NOT(ISNUMBER(J142)),N(J142)&lt;0),"Prix invalide",IF(OR(AND(F142&lt;&gt;"",NOT(ISNUMBER(F142))),N(F142)&lt;0,N(F142)&gt;1),"Remise invalide",IF(K142="","Taux de TVA manquant",IF(NOT(ISNUMBER(K142)),"Taux de TVA invalide",IF(COUNTIF(p_rates,K142)=0,"Taux de TVA hors liste (Paramètres)",IF(N(O142)&gt;25,"Au-delà de 25 lignes : non imprimée","OK")))))))))))))</f>
        <v/>
      </c>
      <c r="O142" s="59" t="str">
        <f>IF(A142="","",COUNTIF($A$6:A142,A142))</f>
        <v/>
      </c>
      <c r="P142" s="62" t="str">
        <f>IF(A142="","",A142&amp;"|"&amp;O142)</f>
        <v/>
      </c>
    </row>
    <row r="143">
      <c r="A143" s="60" t="n"/>
      <c r="B143" s="63" t="n"/>
      <c r="C143" s="63" t="n"/>
      <c r="D143" s="67" t="n"/>
      <c r="E143" s="68" t="n"/>
      <c r="F143" s="69" t="n"/>
      <c r="G143" s="70" t="n"/>
      <c r="H143" s="62" t="str">
        <f>IF(COUNTA(A143:G143)=0,"",IF(C143&lt;&gt;"",C143,IF(B143="","",IFERROR(INDEX(pr_des,MATCH(B143,pr_code,0))&amp;"",""))))</f>
        <v/>
      </c>
      <c r="I143" s="59" t="str">
        <f>IF(B143="","",IFERROR(INDEX(pr_unit,MATCH(B143,pr_code,0))&amp;"",""))</f>
        <v/>
      </c>
      <c r="J143" s="65" t="str">
        <f>IF(COUNTA(A143:G143)=0,"",IF(E143&lt;&gt;"",E143,IF(B143="","",IFERROR(IF(INDEX(pr_price,MATCH(B143,pr_code,0))="","",INDEX(pr_price,MATCH(B143,pr_code,0))),""))))</f>
        <v/>
      </c>
      <c r="K143" s="71" t="str">
        <f>IF(COUNTA(A143:G143)=0,"",IF(G143&lt;&gt;"",G143,IF(B143="","",IFERROR(IF(INDEX(pr_rate,MATCH(B143,pr_code,0))="","",INDEX(pr_rate,MATCH(B143,pr_code,0))),""))))</f>
        <v/>
      </c>
      <c r="L143" s="65" t="str">
        <f>IF(COUNTA(A143:G143)=0,"",IF(AND(ISNUMBER(D143),ISNUMBER(J143)),ROUND(D143*J143*(1-N(F143)),2),0))</f>
        <v/>
      </c>
      <c r="M143" s="62" t="str">
        <f>IF(A143="","",IFERROR(INDEX(fa_cname,MATCH(A143,fa_num,0))&amp;"",""))</f>
        <v/>
      </c>
      <c r="N143" s="59" t="str">
        <f>IF(COUNTA(A143:G143)=0,"",IF(A143="","N° facture manquant",IF(ISNA(MATCH(A143,fa_num,0)),"Facture inconnue",IF(AND(B143&lt;&gt;"",ISNA(MATCH(B143,pr_code,0))),"Article inconnu",IF(H143="","Désignation manquante",IF(OR(NOT(ISNUMBER(D143)),N(D143)&lt;=0),"Quantité invalide",IF(J143="","Prix manquant",IF(OR(NOT(ISNUMBER(J143)),N(J143)&lt;0),"Prix invalide",IF(OR(AND(F143&lt;&gt;"",NOT(ISNUMBER(F143))),N(F143)&lt;0,N(F143)&gt;1),"Remise invalide",IF(K143="","Taux de TVA manquant",IF(NOT(ISNUMBER(K143)),"Taux de TVA invalide",IF(COUNTIF(p_rates,K143)=0,"Taux de TVA hors liste (Paramètres)",IF(N(O143)&gt;25,"Au-delà de 25 lignes : non imprimée","OK")))))))))))))</f>
        <v/>
      </c>
      <c r="O143" s="59" t="str">
        <f>IF(A143="","",COUNTIF($A$6:A143,A143))</f>
        <v/>
      </c>
      <c r="P143" s="62" t="str">
        <f>IF(A143="","",A143&amp;"|"&amp;O143)</f>
        <v/>
      </c>
    </row>
    <row r="144">
      <c r="A144" s="60" t="n"/>
      <c r="B144" s="63" t="n"/>
      <c r="C144" s="63" t="n"/>
      <c r="D144" s="67" t="n"/>
      <c r="E144" s="68" t="n"/>
      <c r="F144" s="69" t="n"/>
      <c r="G144" s="70" t="n"/>
      <c r="H144" s="62" t="str">
        <f>IF(COUNTA(A144:G144)=0,"",IF(C144&lt;&gt;"",C144,IF(B144="","",IFERROR(INDEX(pr_des,MATCH(B144,pr_code,0))&amp;"",""))))</f>
        <v/>
      </c>
      <c r="I144" s="59" t="str">
        <f>IF(B144="","",IFERROR(INDEX(pr_unit,MATCH(B144,pr_code,0))&amp;"",""))</f>
        <v/>
      </c>
      <c r="J144" s="65" t="str">
        <f>IF(COUNTA(A144:G144)=0,"",IF(E144&lt;&gt;"",E144,IF(B144="","",IFERROR(IF(INDEX(pr_price,MATCH(B144,pr_code,0))="","",INDEX(pr_price,MATCH(B144,pr_code,0))),""))))</f>
        <v/>
      </c>
      <c r="K144" s="71" t="str">
        <f>IF(COUNTA(A144:G144)=0,"",IF(G144&lt;&gt;"",G144,IF(B144="","",IFERROR(IF(INDEX(pr_rate,MATCH(B144,pr_code,0))="","",INDEX(pr_rate,MATCH(B144,pr_code,0))),""))))</f>
        <v/>
      </c>
      <c r="L144" s="65" t="str">
        <f>IF(COUNTA(A144:G144)=0,"",IF(AND(ISNUMBER(D144),ISNUMBER(J144)),ROUND(D144*J144*(1-N(F144)),2),0))</f>
        <v/>
      </c>
      <c r="M144" s="62" t="str">
        <f>IF(A144="","",IFERROR(INDEX(fa_cname,MATCH(A144,fa_num,0))&amp;"",""))</f>
        <v/>
      </c>
      <c r="N144" s="59" t="str">
        <f>IF(COUNTA(A144:G144)=0,"",IF(A144="","N° facture manquant",IF(ISNA(MATCH(A144,fa_num,0)),"Facture inconnue",IF(AND(B144&lt;&gt;"",ISNA(MATCH(B144,pr_code,0))),"Article inconnu",IF(H144="","Désignation manquante",IF(OR(NOT(ISNUMBER(D144)),N(D144)&lt;=0),"Quantité invalide",IF(J144="","Prix manquant",IF(OR(NOT(ISNUMBER(J144)),N(J144)&lt;0),"Prix invalide",IF(OR(AND(F144&lt;&gt;"",NOT(ISNUMBER(F144))),N(F144)&lt;0,N(F144)&gt;1),"Remise invalide",IF(K144="","Taux de TVA manquant",IF(NOT(ISNUMBER(K144)),"Taux de TVA invalide",IF(COUNTIF(p_rates,K144)=0,"Taux de TVA hors liste (Paramètres)",IF(N(O144)&gt;25,"Au-delà de 25 lignes : non imprimée","OK")))))))))))))</f>
        <v/>
      </c>
      <c r="O144" s="59" t="str">
        <f>IF(A144="","",COUNTIF($A$6:A144,A144))</f>
        <v/>
      </c>
      <c r="P144" s="62" t="str">
        <f>IF(A144="","",A144&amp;"|"&amp;O144)</f>
        <v/>
      </c>
    </row>
    <row r="145">
      <c r="A145" s="60" t="n"/>
      <c r="B145" s="63" t="n"/>
      <c r="C145" s="63" t="n"/>
      <c r="D145" s="67" t="n"/>
      <c r="E145" s="68" t="n"/>
      <c r="F145" s="69" t="n"/>
      <c r="G145" s="70" t="n"/>
      <c r="H145" s="62" t="str">
        <f>IF(COUNTA(A145:G145)=0,"",IF(C145&lt;&gt;"",C145,IF(B145="","",IFERROR(INDEX(pr_des,MATCH(B145,pr_code,0))&amp;"",""))))</f>
        <v/>
      </c>
      <c r="I145" s="59" t="str">
        <f>IF(B145="","",IFERROR(INDEX(pr_unit,MATCH(B145,pr_code,0))&amp;"",""))</f>
        <v/>
      </c>
      <c r="J145" s="65" t="str">
        <f>IF(COUNTA(A145:G145)=0,"",IF(E145&lt;&gt;"",E145,IF(B145="","",IFERROR(IF(INDEX(pr_price,MATCH(B145,pr_code,0))="","",INDEX(pr_price,MATCH(B145,pr_code,0))),""))))</f>
        <v/>
      </c>
      <c r="K145" s="71" t="str">
        <f>IF(COUNTA(A145:G145)=0,"",IF(G145&lt;&gt;"",G145,IF(B145="","",IFERROR(IF(INDEX(pr_rate,MATCH(B145,pr_code,0))="","",INDEX(pr_rate,MATCH(B145,pr_code,0))),""))))</f>
        <v/>
      </c>
      <c r="L145" s="65" t="str">
        <f>IF(COUNTA(A145:G145)=0,"",IF(AND(ISNUMBER(D145),ISNUMBER(J145)),ROUND(D145*J145*(1-N(F145)),2),0))</f>
        <v/>
      </c>
      <c r="M145" s="62" t="str">
        <f>IF(A145="","",IFERROR(INDEX(fa_cname,MATCH(A145,fa_num,0))&amp;"",""))</f>
        <v/>
      </c>
      <c r="N145" s="59" t="str">
        <f>IF(COUNTA(A145:G145)=0,"",IF(A145="","N° facture manquant",IF(ISNA(MATCH(A145,fa_num,0)),"Facture inconnue",IF(AND(B145&lt;&gt;"",ISNA(MATCH(B145,pr_code,0))),"Article inconnu",IF(H145="","Désignation manquante",IF(OR(NOT(ISNUMBER(D145)),N(D145)&lt;=0),"Quantité invalide",IF(J145="","Prix manquant",IF(OR(NOT(ISNUMBER(J145)),N(J145)&lt;0),"Prix invalide",IF(OR(AND(F145&lt;&gt;"",NOT(ISNUMBER(F145))),N(F145)&lt;0,N(F145)&gt;1),"Remise invalide",IF(K145="","Taux de TVA manquant",IF(NOT(ISNUMBER(K145)),"Taux de TVA invalide",IF(COUNTIF(p_rates,K145)=0,"Taux de TVA hors liste (Paramètres)",IF(N(O145)&gt;25,"Au-delà de 25 lignes : non imprimée","OK")))))))))))))</f>
        <v/>
      </c>
      <c r="O145" s="59" t="str">
        <f>IF(A145="","",COUNTIF($A$6:A145,A145))</f>
        <v/>
      </c>
      <c r="P145" s="62" t="str">
        <f>IF(A145="","",A145&amp;"|"&amp;O145)</f>
        <v/>
      </c>
    </row>
    <row r="146">
      <c r="A146" s="60" t="n"/>
      <c r="B146" s="63" t="n"/>
      <c r="C146" s="63" t="n"/>
      <c r="D146" s="67" t="n"/>
      <c r="E146" s="68" t="n"/>
      <c r="F146" s="69" t="n"/>
      <c r="G146" s="70" t="n"/>
      <c r="H146" s="62" t="str">
        <f>IF(COUNTA(A146:G146)=0,"",IF(C146&lt;&gt;"",C146,IF(B146="","",IFERROR(INDEX(pr_des,MATCH(B146,pr_code,0))&amp;"",""))))</f>
        <v/>
      </c>
      <c r="I146" s="59" t="str">
        <f>IF(B146="","",IFERROR(INDEX(pr_unit,MATCH(B146,pr_code,0))&amp;"",""))</f>
        <v/>
      </c>
      <c r="J146" s="65" t="str">
        <f>IF(COUNTA(A146:G146)=0,"",IF(E146&lt;&gt;"",E146,IF(B146="","",IFERROR(IF(INDEX(pr_price,MATCH(B146,pr_code,0))="","",INDEX(pr_price,MATCH(B146,pr_code,0))),""))))</f>
        <v/>
      </c>
      <c r="K146" s="71" t="str">
        <f>IF(COUNTA(A146:G146)=0,"",IF(G146&lt;&gt;"",G146,IF(B146="","",IFERROR(IF(INDEX(pr_rate,MATCH(B146,pr_code,0))="","",INDEX(pr_rate,MATCH(B146,pr_code,0))),""))))</f>
        <v/>
      </c>
      <c r="L146" s="65" t="str">
        <f>IF(COUNTA(A146:G146)=0,"",IF(AND(ISNUMBER(D146),ISNUMBER(J146)),ROUND(D146*J146*(1-N(F146)),2),0))</f>
        <v/>
      </c>
      <c r="M146" s="62" t="str">
        <f>IF(A146="","",IFERROR(INDEX(fa_cname,MATCH(A146,fa_num,0))&amp;"",""))</f>
        <v/>
      </c>
      <c r="N146" s="59" t="str">
        <f>IF(COUNTA(A146:G146)=0,"",IF(A146="","N° facture manquant",IF(ISNA(MATCH(A146,fa_num,0)),"Facture inconnue",IF(AND(B146&lt;&gt;"",ISNA(MATCH(B146,pr_code,0))),"Article inconnu",IF(H146="","Désignation manquante",IF(OR(NOT(ISNUMBER(D146)),N(D146)&lt;=0),"Quantité invalide",IF(J146="","Prix manquant",IF(OR(NOT(ISNUMBER(J146)),N(J146)&lt;0),"Prix invalide",IF(OR(AND(F146&lt;&gt;"",NOT(ISNUMBER(F146))),N(F146)&lt;0,N(F146)&gt;1),"Remise invalide",IF(K146="","Taux de TVA manquant",IF(NOT(ISNUMBER(K146)),"Taux de TVA invalide",IF(COUNTIF(p_rates,K146)=0,"Taux de TVA hors liste (Paramètres)",IF(N(O146)&gt;25,"Au-delà de 25 lignes : non imprimée","OK")))))))))))))</f>
        <v/>
      </c>
      <c r="O146" s="59" t="str">
        <f>IF(A146="","",COUNTIF($A$6:A146,A146))</f>
        <v/>
      </c>
      <c r="P146" s="62" t="str">
        <f>IF(A146="","",A146&amp;"|"&amp;O146)</f>
        <v/>
      </c>
    </row>
    <row r="147">
      <c r="A147" s="60" t="n"/>
      <c r="B147" s="63" t="n"/>
      <c r="C147" s="63" t="n"/>
      <c r="D147" s="67" t="n"/>
      <c r="E147" s="68" t="n"/>
      <c r="F147" s="69" t="n"/>
      <c r="G147" s="70" t="n"/>
      <c r="H147" s="62" t="str">
        <f>IF(COUNTA(A147:G147)=0,"",IF(C147&lt;&gt;"",C147,IF(B147="","",IFERROR(INDEX(pr_des,MATCH(B147,pr_code,0))&amp;"",""))))</f>
        <v/>
      </c>
      <c r="I147" s="59" t="str">
        <f>IF(B147="","",IFERROR(INDEX(pr_unit,MATCH(B147,pr_code,0))&amp;"",""))</f>
        <v/>
      </c>
      <c r="J147" s="65" t="str">
        <f>IF(COUNTA(A147:G147)=0,"",IF(E147&lt;&gt;"",E147,IF(B147="","",IFERROR(IF(INDEX(pr_price,MATCH(B147,pr_code,0))="","",INDEX(pr_price,MATCH(B147,pr_code,0))),""))))</f>
        <v/>
      </c>
      <c r="K147" s="71" t="str">
        <f>IF(COUNTA(A147:G147)=0,"",IF(G147&lt;&gt;"",G147,IF(B147="","",IFERROR(IF(INDEX(pr_rate,MATCH(B147,pr_code,0))="","",INDEX(pr_rate,MATCH(B147,pr_code,0))),""))))</f>
        <v/>
      </c>
      <c r="L147" s="65" t="str">
        <f>IF(COUNTA(A147:G147)=0,"",IF(AND(ISNUMBER(D147),ISNUMBER(J147)),ROUND(D147*J147*(1-N(F147)),2),0))</f>
        <v/>
      </c>
      <c r="M147" s="62" t="str">
        <f>IF(A147="","",IFERROR(INDEX(fa_cname,MATCH(A147,fa_num,0))&amp;"",""))</f>
        <v/>
      </c>
      <c r="N147" s="59" t="str">
        <f>IF(COUNTA(A147:G147)=0,"",IF(A147="","N° facture manquant",IF(ISNA(MATCH(A147,fa_num,0)),"Facture inconnue",IF(AND(B147&lt;&gt;"",ISNA(MATCH(B147,pr_code,0))),"Article inconnu",IF(H147="","Désignation manquante",IF(OR(NOT(ISNUMBER(D147)),N(D147)&lt;=0),"Quantité invalide",IF(J147="","Prix manquant",IF(OR(NOT(ISNUMBER(J147)),N(J147)&lt;0),"Prix invalide",IF(OR(AND(F147&lt;&gt;"",NOT(ISNUMBER(F147))),N(F147)&lt;0,N(F147)&gt;1),"Remise invalide",IF(K147="","Taux de TVA manquant",IF(NOT(ISNUMBER(K147)),"Taux de TVA invalide",IF(COUNTIF(p_rates,K147)=0,"Taux de TVA hors liste (Paramètres)",IF(N(O147)&gt;25,"Au-delà de 25 lignes : non imprimée","OK")))))))))))))</f>
        <v/>
      </c>
      <c r="O147" s="59" t="str">
        <f>IF(A147="","",COUNTIF($A$6:A147,A147))</f>
        <v/>
      </c>
      <c r="P147" s="62" t="str">
        <f>IF(A147="","",A147&amp;"|"&amp;O147)</f>
        <v/>
      </c>
    </row>
    <row r="148">
      <c r="A148" s="60" t="n"/>
      <c r="B148" s="63" t="n"/>
      <c r="C148" s="63" t="n"/>
      <c r="D148" s="67" t="n"/>
      <c r="E148" s="68" t="n"/>
      <c r="F148" s="69" t="n"/>
      <c r="G148" s="70" t="n"/>
      <c r="H148" s="62" t="str">
        <f>IF(COUNTA(A148:G148)=0,"",IF(C148&lt;&gt;"",C148,IF(B148="","",IFERROR(INDEX(pr_des,MATCH(B148,pr_code,0))&amp;"",""))))</f>
        <v/>
      </c>
      <c r="I148" s="59" t="str">
        <f>IF(B148="","",IFERROR(INDEX(pr_unit,MATCH(B148,pr_code,0))&amp;"",""))</f>
        <v/>
      </c>
      <c r="J148" s="65" t="str">
        <f>IF(COUNTA(A148:G148)=0,"",IF(E148&lt;&gt;"",E148,IF(B148="","",IFERROR(IF(INDEX(pr_price,MATCH(B148,pr_code,0))="","",INDEX(pr_price,MATCH(B148,pr_code,0))),""))))</f>
        <v/>
      </c>
      <c r="K148" s="71" t="str">
        <f>IF(COUNTA(A148:G148)=0,"",IF(G148&lt;&gt;"",G148,IF(B148="","",IFERROR(IF(INDEX(pr_rate,MATCH(B148,pr_code,0))="","",INDEX(pr_rate,MATCH(B148,pr_code,0))),""))))</f>
        <v/>
      </c>
      <c r="L148" s="65" t="str">
        <f>IF(COUNTA(A148:G148)=0,"",IF(AND(ISNUMBER(D148),ISNUMBER(J148)),ROUND(D148*J148*(1-N(F148)),2),0))</f>
        <v/>
      </c>
      <c r="M148" s="62" t="str">
        <f>IF(A148="","",IFERROR(INDEX(fa_cname,MATCH(A148,fa_num,0))&amp;"",""))</f>
        <v/>
      </c>
      <c r="N148" s="59" t="str">
        <f>IF(COUNTA(A148:G148)=0,"",IF(A148="","N° facture manquant",IF(ISNA(MATCH(A148,fa_num,0)),"Facture inconnue",IF(AND(B148&lt;&gt;"",ISNA(MATCH(B148,pr_code,0))),"Article inconnu",IF(H148="","Désignation manquante",IF(OR(NOT(ISNUMBER(D148)),N(D148)&lt;=0),"Quantité invalide",IF(J148="","Prix manquant",IF(OR(NOT(ISNUMBER(J148)),N(J148)&lt;0),"Prix invalide",IF(OR(AND(F148&lt;&gt;"",NOT(ISNUMBER(F148))),N(F148)&lt;0,N(F148)&gt;1),"Remise invalide",IF(K148="","Taux de TVA manquant",IF(NOT(ISNUMBER(K148)),"Taux de TVA invalide",IF(COUNTIF(p_rates,K148)=0,"Taux de TVA hors liste (Paramètres)",IF(N(O148)&gt;25,"Au-delà de 25 lignes : non imprimée","OK")))))))))))))</f>
        <v/>
      </c>
      <c r="O148" s="59" t="str">
        <f>IF(A148="","",COUNTIF($A$6:A148,A148))</f>
        <v/>
      </c>
      <c r="P148" s="62" t="str">
        <f>IF(A148="","",A148&amp;"|"&amp;O148)</f>
        <v/>
      </c>
    </row>
    <row r="149">
      <c r="A149" s="60" t="n"/>
      <c r="B149" s="63" t="n"/>
      <c r="C149" s="63" t="n"/>
      <c r="D149" s="67" t="n"/>
      <c r="E149" s="68" t="n"/>
      <c r="F149" s="69" t="n"/>
      <c r="G149" s="70" t="n"/>
      <c r="H149" s="62" t="str">
        <f>IF(COUNTA(A149:G149)=0,"",IF(C149&lt;&gt;"",C149,IF(B149="","",IFERROR(INDEX(pr_des,MATCH(B149,pr_code,0))&amp;"",""))))</f>
        <v/>
      </c>
      <c r="I149" s="59" t="str">
        <f>IF(B149="","",IFERROR(INDEX(pr_unit,MATCH(B149,pr_code,0))&amp;"",""))</f>
        <v/>
      </c>
      <c r="J149" s="65" t="str">
        <f>IF(COUNTA(A149:G149)=0,"",IF(E149&lt;&gt;"",E149,IF(B149="","",IFERROR(IF(INDEX(pr_price,MATCH(B149,pr_code,0))="","",INDEX(pr_price,MATCH(B149,pr_code,0))),""))))</f>
        <v/>
      </c>
      <c r="K149" s="71" t="str">
        <f>IF(COUNTA(A149:G149)=0,"",IF(G149&lt;&gt;"",G149,IF(B149="","",IFERROR(IF(INDEX(pr_rate,MATCH(B149,pr_code,0))="","",INDEX(pr_rate,MATCH(B149,pr_code,0))),""))))</f>
        <v/>
      </c>
      <c r="L149" s="65" t="str">
        <f>IF(COUNTA(A149:G149)=0,"",IF(AND(ISNUMBER(D149),ISNUMBER(J149)),ROUND(D149*J149*(1-N(F149)),2),0))</f>
        <v/>
      </c>
      <c r="M149" s="62" t="str">
        <f>IF(A149="","",IFERROR(INDEX(fa_cname,MATCH(A149,fa_num,0))&amp;"",""))</f>
        <v/>
      </c>
      <c r="N149" s="59" t="str">
        <f>IF(COUNTA(A149:G149)=0,"",IF(A149="","N° facture manquant",IF(ISNA(MATCH(A149,fa_num,0)),"Facture inconnue",IF(AND(B149&lt;&gt;"",ISNA(MATCH(B149,pr_code,0))),"Article inconnu",IF(H149="","Désignation manquante",IF(OR(NOT(ISNUMBER(D149)),N(D149)&lt;=0),"Quantité invalide",IF(J149="","Prix manquant",IF(OR(NOT(ISNUMBER(J149)),N(J149)&lt;0),"Prix invalide",IF(OR(AND(F149&lt;&gt;"",NOT(ISNUMBER(F149))),N(F149)&lt;0,N(F149)&gt;1),"Remise invalide",IF(K149="","Taux de TVA manquant",IF(NOT(ISNUMBER(K149)),"Taux de TVA invalide",IF(COUNTIF(p_rates,K149)=0,"Taux de TVA hors liste (Paramètres)",IF(N(O149)&gt;25,"Au-delà de 25 lignes : non imprimée","OK")))))))))))))</f>
        <v/>
      </c>
      <c r="O149" s="59" t="str">
        <f>IF(A149="","",COUNTIF($A$6:A149,A149))</f>
        <v/>
      </c>
      <c r="P149" s="62" t="str">
        <f>IF(A149="","",A149&amp;"|"&amp;O149)</f>
        <v/>
      </c>
    </row>
    <row r="150">
      <c r="A150" s="60" t="n"/>
      <c r="B150" s="63" t="n"/>
      <c r="C150" s="63" t="n"/>
      <c r="D150" s="67" t="n"/>
      <c r="E150" s="68" t="n"/>
      <c r="F150" s="69" t="n"/>
      <c r="G150" s="70" t="n"/>
      <c r="H150" s="62" t="str">
        <f>IF(COUNTA(A150:G150)=0,"",IF(C150&lt;&gt;"",C150,IF(B150="","",IFERROR(INDEX(pr_des,MATCH(B150,pr_code,0))&amp;"",""))))</f>
        <v/>
      </c>
      <c r="I150" s="59" t="str">
        <f>IF(B150="","",IFERROR(INDEX(pr_unit,MATCH(B150,pr_code,0))&amp;"",""))</f>
        <v/>
      </c>
      <c r="J150" s="65" t="str">
        <f>IF(COUNTA(A150:G150)=0,"",IF(E150&lt;&gt;"",E150,IF(B150="","",IFERROR(IF(INDEX(pr_price,MATCH(B150,pr_code,0))="","",INDEX(pr_price,MATCH(B150,pr_code,0))),""))))</f>
        <v/>
      </c>
      <c r="K150" s="71" t="str">
        <f>IF(COUNTA(A150:G150)=0,"",IF(G150&lt;&gt;"",G150,IF(B150="","",IFERROR(IF(INDEX(pr_rate,MATCH(B150,pr_code,0))="","",INDEX(pr_rate,MATCH(B150,pr_code,0))),""))))</f>
        <v/>
      </c>
      <c r="L150" s="65" t="str">
        <f>IF(COUNTA(A150:G150)=0,"",IF(AND(ISNUMBER(D150),ISNUMBER(J150)),ROUND(D150*J150*(1-N(F150)),2),0))</f>
        <v/>
      </c>
      <c r="M150" s="62" t="str">
        <f>IF(A150="","",IFERROR(INDEX(fa_cname,MATCH(A150,fa_num,0))&amp;"",""))</f>
        <v/>
      </c>
      <c r="N150" s="59" t="str">
        <f>IF(COUNTA(A150:G150)=0,"",IF(A150="","N° facture manquant",IF(ISNA(MATCH(A150,fa_num,0)),"Facture inconnue",IF(AND(B150&lt;&gt;"",ISNA(MATCH(B150,pr_code,0))),"Article inconnu",IF(H150="","Désignation manquante",IF(OR(NOT(ISNUMBER(D150)),N(D150)&lt;=0),"Quantité invalide",IF(J150="","Prix manquant",IF(OR(NOT(ISNUMBER(J150)),N(J150)&lt;0),"Prix invalide",IF(OR(AND(F150&lt;&gt;"",NOT(ISNUMBER(F150))),N(F150)&lt;0,N(F150)&gt;1),"Remise invalide",IF(K150="","Taux de TVA manquant",IF(NOT(ISNUMBER(K150)),"Taux de TVA invalide",IF(COUNTIF(p_rates,K150)=0,"Taux de TVA hors liste (Paramètres)",IF(N(O150)&gt;25,"Au-delà de 25 lignes : non imprimée","OK")))))))))))))</f>
        <v/>
      </c>
      <c r="O150" s="59" t="str">
        <f>IF(A150="","",COUNTIF($A$6:A150,A150))</f>
        <v/>
      </c>
      <c r="P150" s="62" t="str">
        <f>IF(A150="","",A150&amp;"|"&amp;O150)</f>
        <v/>
      </c>
    </row>
    <row r="151">
      <c r="A151" s="60" t="n"/>
      <c r="B151" s="63" t="n"/>
      <c r="C151" s="63" t="n"/>
      <c r="D151" s="67" t="n"/>
      <c r="E151" s="68" t="n"/>
      <c r="F151" s="69" t="n"/>
      <c r="G151" s="70" t="n"/>
      <c r="H151" s="62" t="str">
        <f>IF(COUNTA(A151:G151)=0,"",IF(C151&lt;&gt;"",C151,IF(B151="","",IFERROR(INDEX(pr_des,MATCH(B151,pr_code,0))&amp;"",""))))</f>
        <v/>
      </c>
      <c r="I151" s="59" t="str">
        <f>IF(B151="","",IFERROR(INDEX(pr_unit,MATCH(B151,pr_code,0))&amp;"",""))</f>
        <v/>
      </c>
      <c r="J151" s="65" t="str">
        <f>IF(COUNTA(A151:G151)=0,"",IF(E151&lt;&gt;"",E151,IF(B151="","",IFERROR(IF(INDEX(pr_price,MATCH(B151,pr_code,0))="","",INDEX(pr_price,MATCH(B151,pr_code,0))),""))))</f>
        <v/>
      </c>
      <c r="K151" s="71" t="str">
        <f>IF(COUNTA(A151:G151)=0,"",IF(G151&lt;&gt;"",G151,IF(B151="","",IFERROR(IF(INDEX(pr_rate,MATCH(B151,pr_code,0))="","",INDEX(pr_rate,MATCH(B151,pr_code,0))),""))))</f>
        <v/>
      </c>
      <c r="L151" s="65" t="str">
        <f>IF(COUNTA(A151:G151)=0,"",IF(AND(ISNUMBER(D151),ISNUMBER(J151)),ROUND(D151*J151*(1-N(F151)),2),0))</f>
        <v/>
      </c>
      <c r="M151" s="62" t="str">
        <f>IF(A151="","",IFERROR(INDEX(fa_cname,MATCH(A151,fa_num,0))&amp;"",""))</f>
        <v/>
      </c>
      <c r="N151" s="59" t="str">
        <f>IF(COUNTA(A151:G151)=0,"",IF(A151="","N° facture manquant",IF(ISNA(MATCH(A151,fa_num,0)),"Facture inconnue",IF(AND(B151&lt;&gt;"",ISNA(MATCH(B151,pr_code,0))),"Article inconnu",IF(H151="","Désignation manquante",IF(OR(NOT(ISNUMBER(D151)),N(D151)&lt;=0),"Quantité invalide",IF(J151="","Prix manquant",IF(OR(NOT(ISNUMBER(J151)),N(J151)&lt;0),"Prix invalide",IF(OR(AND(F151&lt;&gt;"",NOT(ISNUMBER(F151))),N(F151)&lt;0,N(F151)&gt;1),"Remise invalide",IF(K151="","Taux de TVA manquant",IF(NOT(ISNUMBER(K151)),"Taux de TVA invalide",IF(COUNTIF(p_rates,K151)=0,"Taux de TVA hors liste (Paramètres)",IF(N(O151)&gt;25,"Au-delà de 25 lignes : non imprimée","OK")))))))))))))</f>
        <v/>
      </c>
      <c r="O151" s="59" t="str">
        <f>IF(A151="","",COUNTIF($A$6:A151,A151))</f>
        <v/>
      </c>
      <c r="P151" s="62" t="str">
        <f>IF(A151="","",A151&amp;"|"&amp;O151)</f>
        <v/>
      </c>
    </row>
    <row r="152">
      <c r="A152" s="60" t="n"/>
      <c r="B152" s="63" t="n"/>
      <c r="C152" s="63" t="n"/>
      <c r="D152" s="67" t="n"/>
      <c r="E152" s="68" t="n"/>
      <c r="F152" s="69" t="n"/>
      <c r="G152" s="70" t="n"/>
      <c r="H152" s="62" t="str">
        <f>IF(COUNTA(A152:G152)=0,"",IF(C152&lt;&gt;"",C152,IF(B152="","",IFERROR(INDEX(pr_des,MATCH(B152,pr_code,0))&amp;"",""))))</f>
        <v/>
      </c>
      <c r="I152" s="59" t="str">
        <f>IF(B152="","",IFERROR(INDEX(pr_unit,MATCH(B152,pr_code,0))&amp;"",""))</f>
        <v/>
      </c>
      <c r="J152" s="65" t="str">
        <f>IF(COUNTA(A152:G152)=0,"",IF(E152&lt;&gt;"",E152,IF(B152="","",IFERROR(IF(INDEX(pr_price,MATCH(B152,pr_code,0))="","",INDEX(pr_price,MATCH(B152,pr_code,0))),""))))</f>
        <v/>
      </c>
      <c r="K152" s="71" t="str">
        <f>IF(COUNTA(A152:G152)=0,"",IF(G152&lt;&gt;"",G152,IF(B152="","",IFERROR(IF(INDEX(pr_rate,MATCH(B152,pr_code,0))="","",INDEX(pr_rate,MATCH(B152,pr_code,0))),""))))</f>
        <v/>
      </c>
      <c r="L152" s="65" t="str">
        <f>IF(COUNTA(A152:G152)=0,"",IF(AND(ISNUMBER(D152),ISNUMBER(J152)),ROUND(D152*J152*(1-N(F152)),2),0))</f>
        <v/>
      </c>
      <c r="M152" s="62" t="str">
        <f>IF(A152="","",IFERROR(INDEX(fa_cname,MATCH(A152,fa_num,0))&amp;"",""))</f>
        <v/>
      </c>
      <c r="N152" s="59" t="str">
        <f>IF(COUNTA(A152:G152)=0,"",IF(A152="","N° facture manquant",IF(ISNA(MATCH(A152,fa_num,0)),"Facture inconnue",IF(AND(B152&lt;&gt;"",ISNA(MATCH(B152,pr_code,0))),"Article inconnu",IF(H152="","Désignation manquante",IF(OR(NOT(ISNUMBER(D152)),N(D152)&lt;=0),"Quantité invalide",IF(J152="","Prix manquant",IF(OR(NOT(ISNUMBER(J152)),N(J152)&lt;0),"Prix invalide",IF(OR(AND(F152&lt;&gt;"",NOT(ISNUMBER(F152))),N(F152)&lt;0,N(F152)&gt;1),"Remise invalide",IF(K152="","Taux de TVA manquant",IF(NOT(ISNUMBER(K152)),"Taux de TVA invalide",IF(COUNTIF(p_rates,K152)=0,"Taux de TVA hors liste (Paramètres)",IF(N(O152)&gt;25,"Au-delà de 25 lignes : non imprimée","OK")))))))))))))</f>
        <v/>
      </c>
      <c r="O152" s="59" t="str">
        <f>IF(A152="","",COUNTIF($A$6:A152,A152))</f>
        <v/>
      </c>
      <c r="P152" s="62" t="str">
        <f>IF(A152="","",A152&amp;"|"&amp;O152)</f>
        <v/>
      </c>
    </row>
    <row r="153">
      <c r="A153" s="60" t="n"/>
      <c r="B153" s="63" t="n"/>
      <c r="C153" s="63" t="n"/>
      <c r="D153" s="67" t="n"/>
      <c r="E153" s="68" t="n"/>
      <c r="F153" s="69" t="n"/>
      <c r="G153" s="70" t="n"/>
      <c r="H153" s="62" t="str">
        <f>IF(COUNTA(A153:G153)=0,"",IF(C153&lt;&gt;"",C153,IF(B153="","",IFERROR(INDEX(pr_des,MATCH(B153,pr_code,0))&amp;"",""))))</f>
        <v/>
      </c>
      <c r="I153" s="59" t="str">
        <f>IF(B153="","",IFERROR(INDEX(pr_unit,MATCH(B153,pr_code,0))&amp;"",""))</f>
        <v/>
      </c>
      <c r="J153" s="65" t="str">
        <f>IF(COUNTA(A153:G153)=0,"",IF(E153&lt;&gt;"",E153,IF(B153="","",IFERROR(IF(INDEX(pr_price,MATCH(B153,pr_code,0))="","",INDEX(pr_price,MATCH(B153,pr_code,0))),""))))</f>
        <v/>
      </c>
      <c r="K153" s="71" t="str">
        <f>IF(COUNTA(A153:G153)=0,"",IF(G153&lt;&gt;"",G153,IF(B153="","",IFERROR(IF(INDEX(pr_rate,MATCH(B153,pr_code,0))="","",INDEX(pr_rate,MATCH(B153,pr_code,0))),""))))</f>
        <v/>
      </c>
      <c r="L153" s="65" t="str">
        <f>IF(COUNTA(A153:G153)=0,"",IF(AND(ISNUMBER(D153),ISNUMBER(J153)),ROUND(D153*J153*(1-N(F153)),2),0))</f>
        <v/>
      </c>
      <c r="M153" s="62" t="str">
        <f>IF(A153="","",IFERROR(INDEX(fa_cname,MATCH(A153,fa_num,0))&amp;"",""))</f>
        <v/>
      </c>
      <c r="N153" s="59" t="str">
        <f>IF(COUNTA(A153:G153)=0,"",IF(A153="","N° facture manquant",IF(ISNA(MATCH(A153,fa_num,0)),"Facture inconnue",IF(AND(B153&lt;&gt;"",ISNA(MATCH(B153,pr_code,0))),"Article inconnu",IF(H153="","Désignation manquante",IF(OR(NOT(ISNUMBER(D153)),N(D153)&lt;=0),"Quantité invalide",IF(J153="","Prix manquant",IF(OR(NOT(ISNUMBER(J153)),N(J153)&lt;0),"Prix invalide",IF(OR(AND(F153&lt;&gt;"",NOT(ISNUMBER(F153))),N(F153)&lt;0,N(F153)&gt;1),"Remise invalide",IF(K153="","Taux de TVA manquant",IF(NOT(ISNUMBER(K153)),"Taux de TVA invalide",IF(COUNTIF(p_rates,K153)=0,"Taux de TVA hors liste (Paramètres)",IF(N(O153)&gt;25,"Au-delà de 25 lignes : non imprimée","OK")))))))))))))</f>
        <v/>
      </c>
      <c r="O153" s="59" t="str">
        <f>IF(A153="","",COUNTIF($A$6:A153,A153))</f>
        <v/>
      </c>
      <c r="P153" s="62" t="str">
        <f>IF(A153="","",A153&amp;"|"&amp;O153)</f>
        <v/>
      </c>
    </row>
    <row r="154">
      <c r="A154" s="60" t="n"/>
      <c r="B154" s="63" t="n"/>
      <c r="C154" s="63" t="n"/>
      <c r="D154" s="67" t="n"/>
      <c r="E154" s="68" t="n"/>
      <c r="F154" s="69" t="n"/>
      <c r="G154" s="70" t="n"/>
      <c r="H154" s="62" t="str">
        <f>IF(COUNTA(A154:G154)=0,"",IF(C154&lt;&gt;"",C154,IF(B154="","",IFERROR(INDEX(pr_des,MATCH(B154,pr_code,0))&amp;"",""))))</f>
        <v/>
      </c>
      <c r="I154" s="59" t="str">
        <f>IF(B154="","",IFERROR(INDEX(pr_unit,MATCH(B154,pr_code,0))&amp;"",""))</f>
        <v/>
      </c>
      <c r="J154" s="65" t="str">
        <f>IF(COUNTA(A154:G154)=0,"",IF(E154&lt;&gt;"",E154,IF(B154="","",IFERROR(IF(INDEX(pr_price,MATCH(B154,pr_code,0))="","",INDEX(pr_price,MATCH(B154,pr_code,0))),""))))</f>
        <v/>
      </c>
      <c r="K154" s="71" t="str">
        <f>IF(COUNTA(A154:G154)=0,"",IF(G154&lt;&gt;"",G154,IF(B154="","",IFERROR(IF(INDEX(pr_rate,MATCH(B154,pr_code,0))="","",INDEX(pr_rate,MATCH(B154,pr_code,0))),""))))</f>
        <v/>
      </c>
      <c r="L154" s="65" t="str">
        <f>IF(COUNTA(A154:G154)=0,"",IF(AND(ISNUMBER(D154),ISNUMBER(J154)),ROUND(D154*J154*(1-N(F154)),2),0))</f>
        <v/>
      </c>
      <c r="M154" s="62" t="str">
        <f>IF(A154="","",IFERROR(INDEX(fa_cname,MATCH(A154,fa_num,0))&amp;"",""))</f>
        <v/>
      </c>
      <c r="N154" s="59" t="str">
        <f>IF(COUNTA(A154:G154)=0,"",IF(A154="","N° facture manquant",IF(ISNA(MATCH(A154,fa_num,0)),"Facture inconnue",IF(AND(B154&lt;&gt;"",ISNA(MATCH(B154,pr_code,0))),"Article inconnu",IF(H154="","Désignation manquante",IF(OR(NOT(ISNUMBER(D154)),N(D154)&lt;=0),"Quantité invalide",IF(J154="","Prix manquant",IF(OR(NOT(ISNUMBER(J154)),N(J154)&lt;0),"Prix invalide",IF(OR(AND(F154&lt;&gt;"",NOT(ISNUMBER(F154))),N(F154)&lt;0,N(F154)&gt;1),"Remise invalide",IF(K154="","Taux de TVA manquant",IF(NOT(ISNUMBER(K154)),"Taux de TVA invalide",IF(COUNTIF(p_rates,K154)=0,"Taux de TVA hors liste (Paramètres)",IF(N(O154)&gt;25,"Au-delà de 25 lignes : non imprimée","OK")))))))))))))</f>
        <v/>
      </c>
      <c r="O154" s="59" t="str">
        <f>IF(A154="","",COUNTIF($A$6:A154,A154))</f>
        <v/>
      </c>
      <c r="P154" s="62" t="str">
        <f>IF(A154="","",A154&amp;"|"&amp;O154)</f>
        <v/>
      </c>
    </row>
    <row r="155">
      <c r="A155" s="60" t="n"/>
      <c r="B155" s="63" t="n"/>
      <c r="C155" s="63" t="n"/>
      <c r="D155" s="67" t="n"/>
      <c r="E155" s="68" t="n"/>
      <c r="F155" s="69" t="n"/>
      <c r="G155" s="70" t="n"/>
      <c r="H155" s="62" t="str">
        <f>IF(COUNTA(A155:G155)=0,"",IF(C155&lt;&gt;"",C155,IF(B155="","",IFERROR(INDEX(pr_des,MATCH(B155,pr_code,0))&amp;"",""))))</f>
        <v/>
      </c>
      <c r="I155" s="59" t="str">
        <f>IF(B155="","",IFERROR(INDEX(pr_unit,MATCH(B155,pr_code,0))&amp;"",""))</f>
        <v/>
      </c>
      <c r="J155" s="65" t="str">
        <f>IF(COUNTA(A155:G155)=0,"",IF(E155&lt;&gt;"",E155,IF(B155="","",IFERROR(IF(INDEX(pr_price,MATCH(B155,pr_code,0))="","",INDEX(pr_price,MATCH(B155,pr_code,0))),""))))</f>
        <v/>
      </c>
      <c r="K155" s="71" t="str">
        <f>IF(COUNTA(A155:G155)=0,"",IF(G155&lt;&gt;"",G155,IF(B155="","",IFERROR(IF(INDEX(pr_rate,MATCH(B155,pr_code,0))="","",INDEX(pr_rate,MATCH(B155,pr_code,0))),""))))</f>
        <v/>
      </c>
      <c r="L155" s="65" t="str">
        <f>IF(COUNTA(A155:G155)=0,"",IF(AND(ISNUMBER(D155),ISNUMBER(J155)),ROUND(D155*J155*(1-N(F155)),2),0))</f>
        <v/>
      </c>
      <c r="M155" s="62" t="str">
        <f>IF(A155="","",IFERROR(INDEX(fa_cname,MATCH(A155,fa_num,0))&amp;"",""))</f>
        <v/>
      </c>
      <c r="N155" s="59" t="str">
        <f>IF(COUNTA(A155:G155)=0,"",IF(A155="","N° facture manquant",IF(ISNA(MATCH(A155,fa_num,0)),"Facture inconnue",IF(AND(B155&lt;&gt;"",ISNA(MATCH(B155,pr_code,0))),"Article inconnu",IF(H155="","Désignation manquante",IF(OR(NOT(ISNUMBER(D155)),N(D155)&lt;=0),"Quantité invalide",IF(J155="","Prix manquant",IF(OR(NOT(ISNUMBER(J155)),N(J155)&lt;0),"Prix invalide",IF(OR(AND(F155&lt;&gt;"",NOT(ISNUMBER(F155))),N(F155)&lt;0,N(F155)&gt;1),"Remise invalide",IF(K155="","Taux de TVA manquant",IF(NOT(ISNUMBER(K155)),"Taux de TVA invalide",IF(COUNTIF(p_rates,K155)=0,"Taux de TVA hors liste (Paramètres)",IF(N(O155)&gt;25,"Au-delà de 25 lignes : non imprimée","OK")))))))))))))</f>
        <v/>
      </c>
      <c r="O155" s="59" t="str">
        <f>IF(A155="","",COUNTIF($A$6:A155,A155))</f>
        <v/>
      </c>
      <c r="P155" s="62" t="str">
        <f>IF(A155="","",A155&amp;"|"&amp;O155)</f>
        <v/>
      </c>
    </row>
    <row r="156">
      <c r="A156" s="60" t="n"/>
      <c r="B156" s="63" t="n"/>
      <c r="C156" s="63" t="n"/>
      <c r="D156" s="67" t="n"/>
      <c r="E156" s="68" t="n"/>
      <c r="F156" s="69" t="n"/>
      <c r="G156" s="70" t="n"/>
      <c r="H156" s="62" t="str">
        <f>IF(COUNTA(A156:G156)=0,"",IF(C156&lt;&gt;"",C156,IF(B156="","",IFERROR(INDEX(pr_des,MATCH(B156,pr_code,0))&amp;"",""))))</f>
        <v/>
      </c>
      <c r="I156" s="59" t="str">
        <f>IF(B156="","",IFERROR(INDEX(pr_unit,MATCH(B156,pr_code,0))&amp;"",""))</f>
        <v/>
      </c>
      <c r="J156" s="65" t="str">
        <f>IF(COUNTA(A156:G156)=0,"",IF(E156&lt;&gt;"",E156,IF(B156="","",IFERROR(IF(INDEX(pr_price,MATCH(B156,pr_code,0))="","",INDEX(pr_price,MATCH(B156,pr_code,0))),""))))</f>
        <v/>
      </c>
      <c r="K156" s="71" t="str">
        <f>IF(COUNTA(A156:G156)=0,"",IF(G156&lt;&gt;"",G156,IF(B156="","",IFERROR(IF(INDEX(pr_rate,MATCH(B156,pr_code,0))="","",INDEX(pr_rate,MATCH(B156,pr_code,0))),""))))</f>
        <v/>
      </c>
      <c r="L156" s="65" t="str">
        <f>IF(COUNTA(A156:G156)=0,"",IF(AND(ISNUMBER(D156),ISNUMBER(J156)),ROUND(D156*J156*(1-N(F156)),2),0))</f>
        <v/>
      </c>
      <c r="M156" s="62" t="str">
        <f>IF(A156="","",IFERROR(INDEX(fa_cname,MATCH(A156,fa_num,0))&amp;"",""))</f>
        <v/>
      </c>
      <c r="N156" s="59" t="str">
        <f>IF(COUNTA(A156:G156)=0,"",IF(A156="","N° facture manquant",IF(ISNA(MATCH(A156,fa_num,0)),"Facture inconnue",IF(AND(B156&lt;&gt;"",ISNA(MATCH(B156,pr_code,0))),"Article inconnu",IF(H156="","Désignation manquante",IF(OR(NOT(ISNUMBER(D156)),N(D156)&lt;=0),"Quantité invalide",IF(J156="","Prix manquant",IF(OR(NOT(ISNUMBER(J156)),N(J156)&lt;0),"Prix invalide",IF(OR(AND(F156&lt;&gt;"",NOT(ISNUMBER(F156))),N(F156)&lt;0,N(F156)&gt;1),"Remise invalide",IF(K156="","Taux de TVA manquant",IF(NOT(ISNUMBER(K156)),"Taux de TVA invalide",IF(COUNTIF(p_rates,K156)=0,"Taux de TVA hors liste (Paramètres)",IF(N(O156)&gt;25,"Au-delà de 25 lignes : non imprimée","OK")))))))))))))</f>
        <v/>
      </c>
      <c r="O156" s="59" t="str">
        <f>IF(A156="","",COUNTIF($A$6:A156,A156))</f>
        <v/>
      </c>
      <c r="P156" s="62" t="str">
        <f>IF(A156="","",A156&amp;"|"&amp;O156)</f>
        <v/>
      </c>
    </row>
    <row r="157">
      <c r="A157" s="60" t="n"/>
      <c r="B157" s="63" t="n"/>
      <c r="C157" s="63" t="n"/>
      <c r="D157" s="67" t="n"/>
      <c r="E157" s="68" t="n"/>
      <c r="F157" s="69" t="n"/>
      <c r="G157" s="70" t="n"/>
      <c r="H157" s="62" t="str">
        <f>IF(COUNTA(A157:G157)=0,"",IF(C157&lt;&gt;"",C157,IF(B157="","",IFERROR(INDEX(pr_des,MATCH(B157,pr_code,0))&amp;"",""))))</f>
        <v/>
      </c>
      <c r="I157" s="59" t="str">
        <f>IF(B157="","",IFERROR(INDEX(pr_unit,MATCH(B157,pr_code,0))&amp;"",""))</f>
        <v/>
      </c>
      <c r="J157" s="65" t="str">
        <f>IF(COUNTA(A157:G157)=0,"",IF(E157&lt;&gt;"",E157,IF(B157="","",IFERROR(IF(INDEX(pr_price,MATCH(B157,pr_code,0))="","",INDEX(pr_price,MATCH(B157,pr_code,0))),""))))</f>
        <v/>
      </c>
      <c r="K157" s="71" t="str">
        <f>IF(COUNTA(A157:G157)=0,"",IF(G157&lt;&gt;"",G157,IF(B157="","",IFERROR(IF(INDEX(pr_rate,MATCH(B157,pr_code,0))="","",INDEX(pr_rate,MATCH(B157,pr_code,0))),""))))</f>
        <v/>
      </c>
      <c r="L157" s="65" t="str">
        <f>IF(COUNTA(A157:G157)=0,"",IF(AND(ISNUMBER(D157),ISNUMBER(J157)),ROUND(D157*J157*(1-N(F157)),2),0))</f>
        <v/>
      </c>
      <c r="M157" s="62" t="str">
        <f>IF(A157="","",IFERROR(INDEX(fa_cname,MATCH(A157,fa_num,0))&amp;"",""))</f>
        <v/>
      </c>
      <c r="N157" s="59" t="str">
        <f>IF(COUNTA(A157:G157)=0,"",IF(A157="","N° facture manquant",IF(ISNA(MATCH(A157,fa_num,0)),"Facture inconnue",IF(AND(B157&lt;&gt;"",ISNA(MATCH(B157,pr_code,0))),"Article inconnu",IF(H157="","Désignation manquante",IF(OR(NOT(ISNUMBER(D157)),N(D157)&lt;=0),"Quantité invalide",IF(J157="","Prix manquant",IF(OR(NOT(ISNUMBER(J157)),N(J157)&lt;0),"Prix invalide",IF(OR(AND(F157&lt;&gt;"",NOT(ISNUMBER(F157))),N(F157)&lt;0,N(F157)&gt;1),"Remise invalide",IF(K157="","Taux de TVA manquant",IF(NOT(ISNUMBER(K157)),"Taux de TVA invalide",IF(COUNTIF(p_rates,K157)=0,"Taux de TVA hors liste (Paramètres)",IF(N(O157)&gt;25,"Au-delà de 25 lignes : non imprimée","OK")))))))))))))</f>
        <v/>
      </c>
      <c r="O157" s="59" t="str">
        <f>IF(A157="","",COUNTIF($A$6:A157,A157))</f>
        <v/>
      </c>
      <c r="P157" s="62" t="str">
        <f>IF(A157="","",A157&amp;"|"&amp;O157)</f>
        <v/>
      </c>
    </row>
    <row r="158">
      <c r="A158" s="60" t="n"/>
      <c r="B158" s="63" t="n"/>
      <c r="C158" s="63" t="n"/>
      <c r="D158" s="67" t="n"/>
      <c r="E158" s="68" t="n"/>
      <c r="F158" s="69" t="n"/>
      <c r="G158" s="70" t="n"/>
      <c r="H158" s="62" t="str">
        <f>IF(COUNTA(A158:G158)=0,"",IF(C158&lt;&gt;"",C158,IF(B158="","",IFERROR(INDEX(pr_des,MATCH(B158,pr_code,0))&amp;"",""))))</f>
        <v/>
      </c>
      <c r="I158" s="59" t="str">
        <f>IF(B158="","",IFERROR(INDEX(pr_unit,MATCH(B158,pr_code,0))&amp;"",""))</f>
        <v/>
      </c>
      <c r="J158" s="65" t="str">
        <f>IF(COUNTA(A158:G158)=0,"",IF(E158&lt;&gt;"",E158,IF(B158="","",IFERROR(IF(INDEX(pr_price,MATCH(B158,pr_code,0))="","",INDEX(pr_price,MATCH(B158,pr_code,0))),""))))</f>
        <v/>
      </c>
      <c r="K158" s="71" t="str">
        <f>IF(COUNTA(A158:G158)=0,"",IF(G158&lt;&gt;"",G158,IF(B158="","",IFERROR(IF(INDEX(pr_rate,MATCH(B158,pr_code,0))="","",INDEX(pr_rate,MATCH(B158,pr_code,0))),""))))</f>
        <v/>
      </c>
      <c r="L158" s="65" t="str">
        <f>IF(COUNTA(A158:G158)=0,"",IF(AND(ISNUMBER(D158),ISNUMBER(J158)),ROUND(D158*J158*(1-N(F158)),2),0))</f>
        <v/>
      </c>
      <c r="M158" s="62" t="str">
        <f>IF(A158="","",IFERROR(INDEX(fa_cname,MATCH(A158,fa_num,0))&amp;"",""))</f>
        <v/>
      </c>
      <c r="N158" s="59" t="str">
        <f>IF(COUNTA(A158:G158)=0,"",IF(A158="","N° facture manquant",IF(ISNA(MATCH(A158,fa_num,0)),"Facture inconnue",IF(AND(B158&lt;&gt;"",ISNA(MATCH(B158,pr_code,0))),"Article inconnu",IF(H158="","Désignation manquante",IF(OR(NOT(ISNUMBER(D158)),N(D158)&lt;=0),"Quantité invalide",IF(J158="","Prix manquant",IF(OR(NOT(ISNUMBER(J158)),N(J158)&lt;0),"Prix invalide",IF(OR(AND(F158&lt;&gt;"",NOT(ISNUMBER(F158))),N(F158)&lt;0,N(F158)&gt;1),"Remise invalide",IF(K158="","Taux de TVA manquant",IF(NOT(ISNUMBER(K158)),"Taux de TVA invalide",IF(COUNTIF(p_rates,K158)=0,"Taux de TVA hors liste (Paramètres)",IF(N(O158)&gt;25,"Au-delà de 25 lignes : non imprimée","OK")))))))))))))</f>
        <v/>
      </c>
      <c r="O158" s="59" t="str">
        <f>IF(A158="","",COUNTIF($A$6:A158,A158))</f>
        <v/>
      </c>
      <c r="P158" s="62" t="str">
        <f>IF(A158="","",A158&amp;"|"&amp;O158)</f>
        <v/>
      </c>
    </row>
    <row r="159">
      <c r="A159" s="60" t="n"/>
      <c r="B159" s="63" t="n"/>
      <c r="C159" s="63" t="n"/>
      <c r="D159" s="67" t="n"/>
      <c r="E159" s="68" t="n"/>
      <c r="F159" s="69" t="n"/>
      <c r="G159" s="70" t="n"/>
      <c r="H159" s="62" t="str">
        <f>IF(COUNTA(A159:G159)=0,"",IF(C159&lt;&gt;"",C159,IF(B159="","",IFERROR(INDEX(pr_des,MATCH(B159,pr_code,0))&amp;"",""))))</f>
        <v/>
      </c>
      <c r="I159" s="59" t="str">
        <f>IF(B159="","",IFERROR(INDEX(pr_unit,MATCH(B159,pr_code,0))&amp;"",""))</f>
        <v/>
      </c>
      <c r="J159" s="65" t="str">
        <f>IF(COUNTA(A159:G159)=0,"",IF(E159&lt;&gt;"",E159,IF(B159="","",IFERROR(IF(INDEX(pr_price,MATCH(B159,pr_code,0))="","",INDEX(pr_price,MATCH(B159,pr_code,0))),""))))</f>
        <v/>
      </c>
      <c r="K159" s="71" t="str">
        <f>IF(COUNTA(A159:G159)=0,"",IF(G159&lt;&gt;"",G159,IF(B159="","",IFERROR(IF(INDEX(pr_rate,MATCH(B159,pr_code,0))="","",INDEX(pr_rate,MATCH(B159,pr_code,0))),""))))</f>
        <v/>
      </c>
      <c r="L159" s="65" t="str">
        <f>IF(COUNTA(A159:G159)=0,"",IF(AND(ISNUMBER(D159),ISNUMBER(J159)),ROUND(D159*J159*(1-N(F159)),2),0))</f>
        <v/>
      </c>
      <c r="M159" s="62" t="str">
        <f>IF(A159="","",IFERROR(INDEX(fa_cname,MATCH(A159,fa_num,0))&amp;"",""))</f>
        <v/>
      </c>
      <c r="N159" s="59" t="str">
        <f>IF(COUNTA(A159:G159)=0,"",IF(A159="","N° facture manquant",IF(ISNA(MATCH(A159,fa_num,0)),"Facture inconnue",IF(AND(B159&lt;&gt;"",ISNA(MATCH(B159,pr_code,0))),"Article inconnu",IF(H159="","Désignation manquante",IF(OR(NOT(ISNUMBER(D159)),N(D159)&lt;=0),"Quantité invalide",IF(J159="","Prix manquant",IF(OR(NOT(ISNUMBER(J159)),N(J159)&lt;0),"Prix invalide",IF(OR(AND(F159&lt;&gt;"",NOT(ISNUMBER(F159))),N(F159)&lt;0,N(F159)&gt;1),"Remise invalide",IF(K159="","Taux de TVA manquant",IF(NOT(ISNUMBER(K159)),"Taux de TVA invalide",IF(COUNTIF(p_rates,K159)=0,"Taux de TVA hors liste (Paramètres)",IF(N(O159)&gt;25,"Au-delà de 25 lignes : non imprimée","OK")))))))))))))</f>
        <v/>
      </c>
      <c r="O159" s="59" t="str">
        <f>IF(A159="","",COUNTIF($A$6:A159,A159))</f>
        <v/>
      </c>
      <c r="P159" s="62" t="str">
        <f>IF(A159="","",A159&amp;"|"&amp;O159)</f>
        <v/>
      </c>
    </row>
    <row r="160">
      <c r="A160" s="60" t="n"/>
      <c r="B160" s="63" t="n"/>
      <c r="C160" s="63" t="n"/>
      <c r="D160" s="67" t="n"/>
      <c r="E160" s="68" t="n"/>
      <c r="F160" s="69" t="n"/>
      <c r="G160" s="70" t="n"/>
      <c r="H160" s="62" t="str">
        <f>IF(COUNTA(A160:G160)=0,"",IF(C160&lt;&gt;"",C160,IF(B160="","",IFERROR(INDEX(pr_des,MATCH(B160,pr_code,0))&amp;"",""))))</f>
        <v/>
      </c>
      <c r="I160" s="59" t="str">
        <f>IF(B160="","",IFERROR(INDEX(pr_unit,MATCH(B160,pr_code,0))&amp;"",""))</f>
        <v/>
      </c>
      <c r="J160" s="65" t="str">
        <f>IF(COUNTA(A160:G160)=0,"",IF(E160&lt;&gt;"",E160,IF(B160="","",IFERROR(IF(INDEX(pr_price,MATCH(B160,pr_code,0))="","",INDEX(pr_price,MATCH(B160,pr_code,0))),""))))</f>
        <v/>
      </c>
      <c r="K160" s="71" t="str">
        <f>IF(COUNTA(A160:G160)=0,"",IF(G160&lt;&gt;"",G160,IF(B160="","",IFERROR(IF(INDEX(pr_rate,MATCH(B160,pr_code,0))="","",INDEX(pr_rate,MATCH(B160,pr_code,0))),""))))</f>
        <v/>
      </c>
      <c r="L160" s="65" t="str">
        <f>IF(COUNTA(A160:G160)=0,"",IF(AND(ISNUMBER(D160),ISNUMBER(J160)),ROUND(D160*J160*(1-N(F160)),2),0))</f>
        <v/>
      </c>
      <c r="M160" s="62" t="str">
        <f>IF(A160="","",IFERROR(INDEX(fa_cname,MATCH(A160,fa_num,0))&amp;"",""))</f>
        <v/>
      </c>
      <c r="N160" s="59" t="str">
        <f>IF(COUNTA(A160:G160)=0,"",IF(A160="","N° facture manquant",IF(ISNA(MATCH(A160,fa_num,0)),"Facture inconnue",IF(AND(B160&lt;&gt;"",ISNA(MATCH(B160,pr_code,0))),"Article inconnu",IF(H160="","Désignation manquante",IF(OR(NOT(ISNUMBER(D160)),N(D160)&lt;=0),"Quantité invalide",IF(J160="","Prix manquant",IF(OR(NOT(ISNUMBER(J160)),N(J160)&lt;0),"Prix invalide",IF(OR(AND(F160&lt;&gt;"",NOT(ISNUMBER(F160))),N(F160)&lt;0,N(F160)&gt;1),"Remise invalide",IF(K160="","Taux de TVA manquant",IF(NOT(ISNUMBER(K160)),"Taux de TVA invalide",IF(COUNTIF(p_rates,K160)=0,"Taux de TVA hors liste (Paramètres)",IF(N(O160)&gt;25,"Au-delà de 25 lignes : non imprimée","OK")))))))))))))</f>
        <v/>
      </c>
      <c r="O160" s="59" t="str">
        <f>IF(A160="","",COUNTIF($A$6:A160,A160))</f>
        <v/>
      </c>
      <c r="P160" s="62" t="str">
        <f>IF(A160="","",A160&amp;"|"&amp;O160)</f>
        <v/>
      </c>
    </row>
    <row r="161">
      <c r="A161" s="60" t="n"/>
      <c r="B161" s="63" t="n"/>
      <c r="C161" s="63" t="n"/>
      <c r="D161" s="67" t="n"/>
      <c r="E161" s="68" t="n"/>
      <c r="F161" s="69" t="n"/>
      <c r="G161" s="70" t="n"/>
      <c r="H161" s="62" t="str">
        <f>IF(COUNTA(A161:G161)=0,"",IF(C161&lt;&gt;"",C161,IF(B161="","",IFERROR(INDEX(pr_des,MATCH(B161,pr_code,0))&amp;"",""))))</f>
        <v/>
      </c>
      <c r="I161" s="59" t="str">
        <f>IF(B161="","",IFERROR(INDEX(pr_unit,MATCH(B161,pr_code,0))&amp;"",""))</f>
        <v/>
      </c>
      <c r="J161" s="65" t="str">
        <f>IF(COUNTA(A161:G161)=0,"",IF(E161&lt;&gt;"",E161,IF(B161="","",IFERROR(IF(INDEX(pr_price,MATCH(B161,pr_code,0))="","",INDEX(pr_price,MATCH(B161,pr_code,0))),""))))</f>
        <v/>
      </c>
      <c r="K161" s="71" t="str">
        <f>IF(COUNTA(A161:G161)=0,"",IF(G161&lt;&gt;"",G161,IF(B161="","",IFERROR(IF(INDEX(pr_rate,MATCH(B161,pr_code,0))="","",INDEX(pr_rate,MATCH(B161,pr_code,0))),""))))</f>
        <v/>
      </c>
      <c r="L161" s="65" t="str">
        <f>IF(COUNTA(A161:G161)=0,"",IF(AND(ISNUMBER(D161),ISNUMBER(J161)),ROUND(D161*J161*(1-N(F161)),2),0))</f>
        <v/>
      </c>
      <c r="M161" s="62" t="str">
        <f>IF(A161="","",IFERROR(INDEX(fa_cname,MATCH(A161,fa_num,0))&amp;"",""))</f>
        <v/>
      </c>
      <c r="N161" s="59" t="str">
        <f>IF(COUNTA(A161:G161)=0,"",IF(A161="","N° facture manquant",IF(ISNA(MATCH(A161,fa_num,0)),"Facture inconnue",IF(AND(B161&lt;&gt;"",ISNA(MATCH(B161,pr_code,0))),"Article inconnu",IF(H161="","Désignation manquante",IF(OR(NOT(ISNUMBER(D161)),N(D161)&lt;=0),"Quantité invalide",IF(J161="","Prix manquant",IF(OR(NOT(ISNUMBER(J161)),N(J161)&lt;0),"Prix invalide",IF(OR(AND(F161&lt;&gt;"",NOT(ISNUMBER(F161))),N(F161)&lt;0,N(F161)&gt;1),"Remise invalide",IF(K161="","Taux de TVA manquant",IF(NOT(ISNUMBER(K161)),"Taux de TVA invalide",IF(COUNTIF(p_rates,K161)=0,"Taux de TVA hors liste (Paramètres)",IF(N(O161)&gt;25,"Au-delà de 25 lignes : non imprimée","OK")))))))))))))</f>
        <v/>
      </c>
      <c r="O161" s="59" t="str">
        <f>IF(A161="","",COUNTIF($A$6:A161,A161))</f>
        <v/>
      </c>
      <c r="P161" s="62" t="str">
        <f>IF(A161="","",A161&amp;"|"&amp;O161)</f>
        <v/>
      </c>
    </row>
    <row r="162">
      <c r="A162" s="60" t="n"/>
      <c r="B162" s="63" t="n"/>
      <c r="C162" s="63" t="n"/>
      <c r="D162" s="67" t="n"/>
      <c r="E162" s="68" t="n"/>
      <c r="F162" s="69" t="n"/>
      <c r="G162" s="70" t="n"/>
      <c r="H162" s="62" t="str">
        <f>IF(COUNTA(A162:G162)=0,"",IF(C162&lt;&gt;"",C162,IF(B162="","",IFERROR(INDEX(pr_des,MATCH(B162,pr_code,0))&amp;"",""))))</f>
        <v/>
      </c>
      <c r="I162" s="59" t="str">
        <f>IF(B162="","",IFERROR(INDEX(pr_unit,MATCH(B162,pr_code,0))&amp;"",""))</f>
        <v/>
      </c>
      <c r="J162" s="65" t="str">
        <f>IF(COUNTA(A162:G162)=0,"",IF(E162&lt;&gt;"",E162,IF(B162="","",IFERROR(IF(INDEX(pr_price,MATCH(B162,pr_code,0))="","",INDEX(pr_price,MATCH(B162,pr_code,0))),""))))</f>
        <v/>
      </c>
      <c r="K162" s="71" t="str">
        <f>IF(COUNTA(A162:G162)=0,"",IF(G162&lt;&gt;"",G162,IF(B162="","",IFERROR(IF(INDEX(pr_rate,MATCH(B162,pr_code,0))="","",INDEX(pr_rate,MATCH(B162,pr_code,0))),""))))</f>
        <v/>
      </c>
      <c r="L162" s="65" t="str">
        <f>IF(COUNTA(A162:G162)=0,"",IF(AND(ISNUMBER(D162),ISNUMBER(J162)),ROUND(D162*J162*(1-N(F162)),2),0))</f>
        <v/>
      </c>
      <c r="M162" s="62" t="str">
        <f>IF(A162="","",IFERROR(INDEX(fa_cname,MATCH(A162,fa_num,0))&amp;"",""))</f>
        <v/>
      </c>
      <c r="N162" s="59" t="str">
        <f>IF(COUNTA(A162:G162)=0,"",IF(A162="","N° facture manquant",IF(ISNA(MATCH(A162,fa_num,0)),"Facture inconnue",IF(AND(B162&lt;&gt;"",ISNA(MATCH(B162,pr_code,0))),"Article inconnu",IF(H162="","Désignation manquante",IF(OR(NOT(ISNUMBER(D162)),N(D162)&lt;=0),"Quantité invalide",IF(J162="","Prix manquant",IF(OR(NOT(ISNUMBER(J162)),N(J162)&lt;0),"Prix invalide",IF(OR(AND(F162&lt;&gt;"",NOT(ISNUMBER(F162))),N(F162)&lt;0,N(F162)&gt;1),"Remise invalide",IF(K162="","Taux de TVA manquant",IF(NOT(ISNUMBER(K162)),"Taux de TVA invalide",IF(COUNTIF(p_rates,K162)=0,"Taux de TVA hors liste (Paramètres)",IF(N(O162)&gt;25,"Au-delà de 25 lignes : non imprimée","OK")))))))))))))</f>
        <v/>
      </c>
      <c r="O162" s="59" t="str">
        <f>IF(A162="","",COUNTIF($A$6:A162,A162))</f>
        <v/>
      </c>
      <c r="P162" s="62" t="str">
        <f>IF(A162="","",A162&amp;"|"&amp;O162)</f>
        <v/>
      </c>
    </row>
    <row r="163">
      <c r="A163" s="60" t="n"/>
      <c r="B163" s="63" t="n"/>
      <c r="C163" s="63" t="n"/>
      <c r="D163" s="67" t="n"/>
      <c r="E163" s="68" t="n"/>
      <c r="F163" s="69" t="n"/>
      <c r="G163" s="70" t="n"/>
      <c r="H163" s="62" t="str">
        <f>IF(COUNTA(A163:G163)=0,"",IF(C163&lt;&gt;"",C163,IF(B163="","",IFERROR(INDEX(pr_des,MATCH(B163,pr_code,0))&amp;"",""))))</f>
        <v/>
      </c>
      <c r="I163" s="59" t="str">
        <f>IF(B163="","",IFERROR(INDEX(pr_unit,MATCH(B163,pr_code,0))&amp;"",""))</f>
        <v/>
      </c>
      <c r="J163" s="65" t="str">
        <f>IF(COUNTA(A163:G163)=0,"",IF(E163&lt;&gt;"",E163,IF(B163="","",IFERROR(IF(INDEX(pr_price,MATCH(B163,pr_code,0))="","",INDEX(pr_price,MATCH(B163,pr_code,0))),""))))</f>
        <v/>
      </c>
      <c r="K163" s="71" t="str">
        <f>IF(COUNTA(A163:G163)=0,"",IF(G163&lt;&gt;"",G163,IF(B163="","",IFERROR(IF(INDEX(pr_rate,MATCH(B163,pr_code,0))="","",INDEX(pr_rate,MATCH(B163,pr_code,0))),""))))</f>
        <v/>
      </c>
      <c r="L163" s="65" t="str">
        <f>IF(COUNTA(A163:G163)=0,"",IF(AND(ISNUMBER(D163),ISNUMBER(J163)),ROUND(D163*J163*(1-N(F163)),2),0))</f>
        <v/>
      </c>
      <c r="M163" s="62" t="str">
        <f>IF(A163="","",IFERROR(INDEX(fa_cname,MATCH(A163,fa_num,0))&amp;"",""))</f>
        <v/>
      </c>
      <c r="N163" s="59" t="str">
        <f>IF(COUNTA(A163:G163)=0,"",IF(A163="","N° facture manquant",IF(ISNA(MATCH(A163,fa_num,0)),"Facture inconnue",IF(AND(B163&lt;&gt;"",ISNA(MATCH(B163,pr_code,0))),"Article inconnu",IF(H163="","Désignation manquante",IF(OR(NOT(ISNUMBER(D163)),N(D163)&lt;=0),"Quantité invalide",IF(J163="","Prix manquant",IF(OR(NOT(ISNUMBER(J163)),N(J163)&lt;0),"Prix invalide",IF(OR(AND(F163&lt;&gt;"",NOT(ISNUMBER(F163))),N(F163)&lt;0,N(F163)&gt;1),"Remise invalide",IF(K163="","Taux de TVA manquant",IF(NOT(ISNUMBER(K163)),"Taux de TVA invalide",IF(COUNTIF(p_rates,K163)=0,"Taux de TVA hors liste (Paramètres)",IF(N(O163)&gt;25,"Au-delà de 25 lignes : non imprimée","OK")))))))))))))</f>
        <v/>
      </c>
      <c r="O163" s="59" t="str">
        <f>IF(A163="","",COUNTIF($A$6:A163,A163))</f>
        <v/>
      </c>
      <c r="P163" s="62" t="str">
        <f>IF(A163="","",A163&amp;"|"&amp;O163)</f>
        <v/>
      </c>
    </row>
    <row r="164">
      <c r="A164" s="60" t="n"/>
      <c r="B164" s="63" t="n"/>
      <c r="C164" s="63" t="n"/>
      <c r="D164" s="67" t="n"/>
      <c r="E164" s="68" t="n"/>
      <c r="F164" s="69" t="n"/>
      <c r="G164" s="70" t="n"/>
      <c r="H164" s="62" t="str">
        <f>IF(COUNTA(A164:G164)=0,"",IF(C164&lt;&gt;"",C164,IF(B164="","",IFERROR(INDEX(pr_des,MATCH(B164,pr_code,0))&amp;"",""))))</f>
        <v/>
      </c>
      <c r="I164" s="59" t="str">
        <f>IF(B164="","",IFERROR(INDEX(pr_unit,MATCH(B164,pr_code,0))&amp;"",""))</f>
        <v/>
      </c>
      <c r="J164" s="65" t="str">
        <f>IF(COUNTA(A164:G164)=0,"",IF(E164&lt;&gt;"",E164,IF(B164="","",IFERROR(IF(INDEX(pr_price,MATCH(B164,pr_code,0))="","",INDEX(pr_price,MATCH(B164,pr_code,0))),""))))</f>
        <v/>
      </c>
      <c r="K164" s="71" t="str">
        <f>IF(COUNTA(A164:G164)=0,"",IF(G164&lt;&gt;"",G164,IF(B164="","",IFERROR(IF(INDEX(pr_rate,MATCH(B164,pr_code,0))="","",INDEX(pr_rate,MATCH(B164,pr_code,0))),""))))</f>
        <v/>
      </c>
      <c r="L164" s="65" t="str">
        <f>IF(COUNTA(A164:G164)=0,"",IF(AND(ISNUMBER(D164),ISNUMBER(J164)),ROUND(D164*J164*(1-N(F164)),2),0))</f>
        <v/>
      </c>
      <c r="M164" s="62" t="str">
        <f>IF(A164="","",IFERROR(INDEX(fa_cname,MATCH(A164,fa_num,0))&amp;"",""))</f>
        <v/>
      </c>
      <c r="N164" s="59" t="str">
        <f>IF(COUNTA(A164:G164)=0,"",IF(A164="","N° facture manquant",IF(ISNA(MATCH(A164,fa_num,0)),"Facture inconnue",IF(AND(B164&lt;&gt;"",ISNA(MATCH(B164,pr_code,0))),"Article inconnu",IF(H164="","Désignation manquante",IF(OR(NOT(ISNUMBER(D164)),N(D164)&lt;=0),"Quantité invalide",IF(J164="","Prix manquant",IF(OR(NOT(ISNUMBER(J164)),N(J164)&lt;0),"Prix invalide",IF(OR(AND(F164&lt;&gt;"",NOT(ISNUMBER(F164))),N(F164)&lt;0,N(F164)&gt;1),"Remise invalide",IF(K164="","Taux de TVA manquant",IF(NOT(ISNUMBER(K164)),"Taux de TVA invalide",IF(COUNTIF(p_rates,K164)=0,"Taux de TVA hors liste (Paramètres)",IF(N(O164)&gt;25,"Au-delà de 25 lignes : non imprimée","OK")))))))))))))</f>
        <v/>
      </c>
      <c r="O164" s="59" t="str">
        <f>IF(A164="","",COUNTIF($A$6:A164,A164))</f>
        <v/>
      </c>
      <c r="P164" s="62" t="str">
        <f>IF(A164="","",A164&amp;"|"&amp;O164)</f>
        <v/>
      </c>
    </row>
    <row r="165">
      <c r="A165" s="60" t="n"/>
      <c r="B165" s="63" t="n"/>
      <c r="C165" s="63" t="n"/>
      <c r="D165" s="67" t="n"/>
      <c r="E165" s="68" t="n"/>
      <c r="F165" s="69" t="n"/>
      <c r="G165" s="70" t="n"/>
      <c r="H165" s="62" t="str">
        <f>IF(COUNTA(A165:G165)=0,"",IF(C165&lt;&gt;"",C165,IF(B165="","",IFERROR(INDEX(pr_des,MATCH(B165,pr_code,0))&amp;"",""))))</f>
        <v/>
      </c>
      <c r="I165" s="59" t="str">
        <f>IF(B165="","",IFERROR(INDEX(pr_unit,MATCH(B165,pr_code,0))&amp;"",""))</f>
        <v/>
      </c>
      <c r="J165" s="65" t="str">
        <f>IF(COUNTA(A165:G165)=0,"",IF(E165&lt;&gt;"",E165,IF(B165="","",IFERROR(IF(INDEX(pr_price,MATCH(B165,pr_code,0))="","",INDEX(pr_price,MATCH(B165,pr_code,0))),""))))</f>
        <v/>
      </c>
      <c r="K165" s="71" t="str">
        <f>IF(COUNTA(A165:G165)=0,"",IF(G165&lt;&gt;"",G165,IF(B165="","",IFERROR(IF(INDEX(pr_rate,MATCH(B165,pr_code,0))="","",INDEX(pr_rate,MATCH(B165,pr_code,0))),""))))</f>
        <v/>
      </c>
      <c r="L165" s="65" t="str">
        <f>IF(COUNTA(A165:G165)=0,"",IF(AND(ISNUMBER(D165),ISNUMBER(J165)),ROUND(D165*J165*(1-N(F165)),2),0))</f>
        <v/>
      </c>
      <c r="M165" s="62" t="str">
        <f>IF(A165="","",IFERROR(INDEX(fa_cname,MATCH(A165,fa_num,0))&amp;"",""))</f>
        <v/>
      </c>
      <c r="N165" s="59" t="str">
        <f>IF(COUNTA(A165:G165)=0,"",IF(A165="","N° facture manquant",IF(ISNA(MATCH(A165,fa_num,0)),"Facture inconnue",IF(AND(B165&lt;&gt;"",ISNA(MATCH(B165,pr_code,0))),"Article inconnu",IF(H165="","Désignation manquante",IF(OR(NOT(ISNUMBER(D165)),N(D165)&lt;=0),"Quantité invalide",IF(J165="","Prix manquant",IF(OR(NOT(ISNUMBER(J165)),N(J165)&lt;0),"Prix invalide",IF(OR(AND(F165&lt;&gt;"",NOT(ISNUMBER(F165))),N(F165)&lt;0,N(F165)&gt;1),"Remise invalide",IF(K165="","Taux de TVA manquant",IF(NOT(ISNUMBER(K165)),"Taux de TVA invalide",IF(COUNTIF(p_rates,K165)=0,"Taux de TVA hors liste (Paramètres)",IF(N(O165)&gt;25,"Au-delà de 25 lignes : non imprimée","OK")))))))))))))</f>
        <v/>
      </c>
      <c r="O165" s="59" t="str">
        <f>IF(A165="","",COUNTIF($A$6:A165,A165))</f>
        <v/>
      </c>
      <c r="P165" s="62" t="str">
        <f>IF(A165="","",A165&amp;"|"&amp;O165)</f>
        <v/>
      </c>
    </row>
    <row r="166">
      <c r="A166" s="60" t="n"/>
      <c r="B166" s="63" t="n"/>
      <c r="C166" s="63" t="n"/>
      <c r="D166" s="67" t="n"/>
      <c r="E166" s="68" t="n"/>
      <c r="F166" s="69" t="n"/>
      <c r="G166" s="70" t="n"/>
      <c r="H166" s="62" t="str">
        <f>IF(COUNTA(A166:G166)=0,"",IF(C166&lt;&gt;"",C166,IF(B166="","",IFERROR(INDEX(pr_des,MATCH(B166,pr_code,0))&amp;"",""))))</f>
        <v/>
      </c>
      <c r="I166" s="59" t="str">
        <f>IF(B166="","",IFERROR(INDEX(pr_unit,MATCH(B166,pr_code,0))&amp;"",""))</f>
        <v/>
      </c>
      <c r="J166" s="65" t="str">
        <f>IF(COUNTA(A166:G166)=0,"",IF(E166&lt;&gt;"",E166,IF(B166="","",IFERROR(IF(INDEX(pr_price,MATCH(B166,pr_code,0))="","",INDEX(pr_price,MATCH(B166,pr_code,0))),""))))</f>
        <v/>
      </c>
      <c r="K166" s="71" t="str">
        <f>IF(COUNTA(A166:G166)=0,"",IF(G166&lt;&gt;"",G166,IF(B166="","",IFERROR(IF(INDEX(pr_rate,MATCH(B166,pr_code,0))="","",INDEX(pr_rate,MATCH(B166,pr_code,0))),""))))</f>
        <v/>
      </c>
      <c r="L166" s="65" t="str">
        <f>IF(COUNTA(A166:G166)=0,"",IF(AND(ISNUMBER(D166),ISNUMBER(J166)),ROUND(D166*J166*(1-N(F166)),2),0))</f>
        <v/>
      </c>
      <c r="M166" s="62" t="str">
        <f>IF(A166="","",IFERROR(INDEX(fa_cname,MATCH(A166,fa_num,0))&amp;"",""))</f>
        <v/>
      </c>
      <c r="N166" s="59" t="str">
        <f>IF(COUNTA(A166:G166)=0,"",IF(A166="","N° facture manquant",IF(ISNA(MATCH(A166,fa_num,0)),"Facture inconnue",IF(AND(B166&lt;&gt;"",ISNA(MATCH(B166,pr_code,0))),"Article inconnu",IF(H166="","Désignation manquante",IF(OR(NOT(ISNUMBER(D166)),N(D166)&lt;=0),"Quantité invalide",IF(J166="","Prix manquant",IF(OR(NOT(ISNUMBER(J166)),N(J166)&lt;0),"Prix invalide",IF(OR(AND(F166&lt;&gt;"",NOT(ISNUMBER(F166))),N(F166)&lt;0,N(F166)&gt;1),"Remise invalide",IF(K166="","Taux de TVA manquant",IF(NOT(ISNUMBER(K166)),"Taux de TVA invalide",IF(COUNTIF(p_rates,K166)=0,"Taux de TVA hors liste (Paramètres)",IF(N(O166)&gt;25,"Au-delà de 25 lignes : non imprimée","OK")))))))))))))</f>
        <v/>
      </c>
      <c r="O166" s="59" t="str">
        <f>IF(A166="","",COUNTIF($A$6:A166,A166))</f>
        <v/>
      </c>
      <c r="P166" s="62" t="str">
        <f>IF(A166="","",A166&amp;"|"&amp;O166)</f>
        <v/>
      </c>
    </row>
    <row r="167">
      <c r="A167" s="60" t="n"/>
      <c r="B167" s="63" t="n"/>
      <c r="C167" s="63" t="n"/>
      <c r="D167" s="67" t="n"/>
      <c r="E167" s="68" t="n"/>
      <c r="F167" s="69" t="n"/>
      <c r="G167" s="70" t="n"/>
      <c r="H167" s="62" t="str">
        <f>IF(COUNTA(A167:G167)=0,"",IF(C167&lt;&gt;"",C167,IF(B167="","",IFERROR(INDEX(pr_des,MATCH(B167,pr_code,0))&amp;"",""))))</f>
        <v/>
      </c>
      <c r="I167" s="59" t="str">
        <f>IF(B167="","",IFERROR(INDEX(pr_unit,MATCH(B167,pr_code,0))&amp;"",""))</f>
        <v/>
      </c>
      <c r="J167" s="65" t="str">
        <f>IF(COUNTA(A167:G167)=0,"",IF(E167&lt;&gt;"",E167,IF(B167="","",IFERROR(IF(INDEX(pr_price,MATCH(B167,pr_code,0))="","",INDEX(pr_price,MATCH(B167,pr_code,0))),""))))</f>
        <v/>
      </c>
      <c r="K167" s="71" t="str">
        <f>IF(COUNTA(A167:G167)=0,"",IF(G167&lt;&gt;"",G167,IF(B167="","",IFERROR(IF(INDEX(pr_rate,MATCH(B167,pr_code,0))="","",INDEX(pr_rate,MATCH(B167,pr_code,0))),""))))</f>
        <v/>
      </c>
      <c r="L167" s="65" t="str">
        <f>IF(COUNTA(A167:G167)=0,"",IF(AND(ISNUMBER(D167),ISNUMBER(J167)),ROUND(D167*J167*(1-N(F167)),2),0))</f>
        <v/>
      </c>
      <c r="M167" s="62" t="str">
        <f>IF(A167="","",IFERROR(INDEX(fa_cname,MATCH(A167,fa_num,0))&amp;"",""))</f>
        <v/>
      </c>
      <c r="N167" s="59" t="str">
        <f>IF(COUNTA(A167:G167)=0,"",IF(A167="","N° facture manquant",IF(ISNA(MATCH(A167,fa_num,0)),"Facture inconnue",IF(AND(B167&lt;&gt;"",ISNA(MATCH(B167,pr_code,0))),"Article inconnu",IF(H167="","Désignation manquante",IF(OR(NOT(ISNUMBER(D167)),N(D167)&lt;=0),"Quantité invalide",IF(J167="","Prix manquant",IF(OR(NOT(ISNUMBER(J167)),N(J167)&lt;0),"Prix invalide",IF(OR(AND(F167&lt;&gt;"",NOT(ISNUMBER(F167))),N(F167)&lt;0,N(F167)&gt;1),"Remise invalide",IF(K167="","Taux de TVA manquant",IF(NOT(ISNUMBER(K167)),"Taux de TVA invalide",IF(COUNTIF(p_rates,K167)=0,"Taux de TVA hors liste (Paramètres)",IF(N(O167)&gt;25,"Au-delà de 25 lignes : non imprimée","OK")))))))))))))</f>
        <v/>
      </c>
      <c r="O167" s="59" t="str">
        <f>IF(A167="","",COUNTIF($A$6:A167,A167))</f>
        <v/>
      </c>
      <c r="P167" s="62" t="str">
        <f>IF(A167="","",A167&amp;"|"&amp;O167)</f>
        <v/>
      </c>
    </row>
    <row r="168">
      <c r="A168" s="60" t="n"/>
      <c r="B168" s="63" t="n"/>
      <c r="C168" s="63" t="n"/>
      <c r="D168" s="67" t="n"/>
      <c r="E168" s="68" t="n"/>
      <c r="F168" s="69" t="n"/>
      <c r="G168" s="70" t="n"/>
      <c r="H168" s="62" t="str">
        <f>IF(COUNTA(A168:G168)=0,"",IF(C168&lt;&gt;"",C168,IF(B168="","",IFERROR(INDEX(pr_des,MATCH(B168,pr_code,0))&amp;"",""))))</f>
        <v/>
      </c>
      <c r="I168" s="59" t="str">
        <f>IF(B168="","",IFERROR(INDEX(pr_unit,MATCH(B168,pr_code,0))&amp;"",""))</f>
        <v/>
      </c>
      <c r="J168" s="65" t="str">
        <f>IF(COUNTA(A168:G168)=0,"",IF(E168&lt;&gt;"",E168,IF(B168="","",IFERROR(IF(INDEX(pr_price,MATCH(B168,pr_code,0))="","",INDEX(pr_price,MATCH(B168,pr_code,0))),""))))</f>
        <v/>
      </c>
      <c r="K168" s="71" t="str">
        <f>IF(COUNTA(A168:G168)=0,"",IF(G168&lt;&gt;"",G168,IF(B168="","",IFERROR(IF(INDEX(pr_rate,MATCH(B168,pr_code,0))="","",INDEX(pr_rate,MATCH(B168,pr_code,0))),""))))</f>
        <v/>
      </c>
      <c r="L168" s="65" t="str">
        <f>IF(COUNTA(A168:G168)=0,"",IF(AND(ISNUMBER(D168),ISNUMBER(J168)),ROUND(D168*J168*(1-N(F168)),2),0))</f>
        <v/>
      </c>
      <c r="M168" s="62" t="str">
        <f>IF(A168="","",IFERROR(INDEX(fa_cname,MATCH(A168,fa_num,0))&amp;"",""))</f>
        <v/>
      </c>
      <c r="N168" s="59" t="str">
        <f>IF(COUNTA(A168:G168)=0,"",IF(A168="","N° facture manquant",IF(ISNA(MATCH(A168,fa_num,0)),"Facture inconnue",IF(AND(B168&lt;&gt;"",ISNA(MATCH(B168,pr_code,0))),"Article inconnu",IF(H168="","Désignation manquante",IF(OR(NOT(ISNUMBER(D168)),N(D168)&lt;=0),"Quantité invalide",IF(J168="","Prix manquant",IF(OR(NOT(ISNUMBER(J168)),N(J168)&lt;0),"Prix invalide",IF(OR(AND(F168&lt;&gt;"",NOT(ISNUMBER(F168))),N(F168)&lt;0,N(F168)&gt;1),"Remise invalide",IF(K168="","Taux de TVA manquant",IF(NOT(ISNUMBER(K168)),"Taux de TVA invalide",IF(COUNTIF(p_rates,K168)=0,"Taux de TVA hors liste (Paramètres)",IF(N(O168)&gt;25,"Au-delà de 25 lignes : non imprimée","OK")))))))))))))</f>
        <v/>
      </c>
      <c r="O168" s="59" t="str">
        <f>IF(A168="","",COUNTIF($A$6:A168,A168))</f>
        <v/>
      </c>
      <c r="P168" s="62" t="str">
        <f>IF(A168="","",A168&amp;"|"&amp;O168)</f>
        <v/>
      </c>
    </row>
    <row r="169">
      <c r="A169" s="60" t="n"/>
      <c r="B169" s="63" t="n"/>
      <c r="C169" s="63" t="n"/>
      <c r="D169" s="67" t="n"/>
      <c r="E169" s="68" t="n"/>
      <c r="F169" s="69" t="n"/>
      <c r="G169" s="70" t="n"/>
      <c r="H169" s="62" t="str">
        <f>IF(COUNTA(A169:G169)=0,"",IF(C169&lt;&gt;"",C169,IF(B169="","",IFERROR(INDEX(pr_des,MATCH(B169,pr_code,0))&amp;"",""))))</f>
        <v/>
      </c>
      <c r="I169" s="59" t="str">
        <f>IF(B169="","",IFERROR(INDEX(pr_unit,MATCH(B169,pr_code,0))&amp;"",""))</f>
        <v/>
      </c>
      <c r="J169" s="65" t="str">
        <f>IF(COUNTA(A169:G169)=0,"",IF(E169&lt;&gt;"",E169,IF(B169="","",IFERROR(IF(INDEX(pr_price,MATCH(B169,pr_code,0))="","",INDEX(pr_price,MATCH(B169,pr_code,0))),""))))</f>
        <v/>
      </c>
      <c r="K169" s="71" t="str">
        <f>IF(COUNTA(A169:G169)=0,"",IF(G169&lt;&gt;"",G169,IF(B169="","",IFERROR(IF(INDEX(pr_rate,MATCH(B169,pr_code,0))="","",INDEX(pr_rate,MATCH(B169,pr_code,0))),""))))</f>
        <v/>
      </c>
      <c r="L169" s="65" t="str">
        <f>IF(COUNTA(A169:G169)=0,"",IF(AND(ISNUMBER(D169),ISNUMBER(J169)),ROUND(D169*J169*(1-N(F169)),2),0))</f>
        <v/>
      </c>
      <c r="M169" s="62" t="str">
        <f>IF(A169="","",IFERROR(INDEX(fa_cname,MATCH(A169,fa_num,0))&amp;"",""))</f>
        <v/>
      </c>
      <c r="N169" s="59" t="str">
        <f>IF(COUNTA(A169:G169)=0,"",IF(A169="","N° facture manquant",IF(ISNA(MATCH(A169,fa_num,0)),"Facture inconnue",IF(AND(B169&lt;&gt;"",ISNA(MATCH(B169,pr_code,0))),"Article inconnu",IF(H169="","Désignation manquante",IF(OR(NOT(ISNUMBER(D169)),N(D169)&lt;=0),"Quantité invalide",IF(J169="","Prix manquant",IF(OR(NOT(ISNUMBER(J169)),N(J169)&lt;0),"Prix invalide",IF(OR(AND(F169&lt;&gt;"",NOT(ISNUMBER(F169))),N(F169)&lt;0,N(F169)&gt;1),"Remise invalide",IF(K169="","Taux de TVA manquant",IF(NOT(ISNUMBER(K169)),"Taux de TVA invalide",IF(COUNTIF(p_rates,K169)=0,"Taux de TVA hors liste (Paramètres)",IF(N(O169)&gt;25,"Au-delà de 25 lignes : non imprimée","OK")))))))))))))</f>
        <v/>
      </c>
      <c r="O169" s="59" t="str">
        <f>IF(A169="","",COUNTIF($A$6:A169,A169))</f>
        <v/>
      </c>
      <c r="P169" s="62" t="str">
        <f>IF(A169="","",A169&amp;"|"&amp;O169)</f>
        <v/>
      </c>
    </row>
    <row r="170">
      <c r="A170" s="60" t="n"/>
      <c r="B170" s="63" t="n"/>
      <c r="C170" s="63" t="n"/>
      <c r="D170" s="67" t="n"/>
      <c r="E170" s="68" t="n"/>
      <c r="F170" s="69" t="n"/>
      <c r="G170" s="70" t="n"/>
      <c r="H170" s="62" t="str">
        <f>IF(COUNTA(A170:G170)=0,"",IF(C170&lt;&gt;"",C170,IF(B170="","",IFERROR(INDEX(pr_des,MATCH(B170,pr_code,0))&amp;"",""))))</f>
        <v/>
      </c>
      <c r="I170" s="59" t="str">
        <f>IF(B170="","",IFERROR(INDEX(pr_unit,MATCH(B170,pr_code,0))&amp;"",""))</f>
        <v/>
      </c>
      <c r="J170" s="65" t="str">
        <f>IF(COUNTA(A170:G170)=0,"",IF(E170&lt;&gt;"",E170,IF(B170="","",IFERROR(IF(INDEX(pr_price,MATCH(B170,pr_code,0))="","",INDEX(pr_price,MATCH(B170,pr_code,0))),""))))</f>
        <v/>
      </c>
      <c r="K170" s="71" t="str">
        <f>IF(COUNTA(A170:G170)=0,"",IF(G170&lt;&gt;"",G170,IF(B170="","",IFERROR(IF(INDEX(pr_rate,MATCH(B170,pr_code,0))="","",INDEX(pr_rate,MATCH(B170,pr_code,0))),""))))</f>
        <v/>
      </c>
      <c r="L170" s="65" t="str">
        <f>IF(COUNTA(A170:G170)=0,"",IF(AND(ISNUMBER(D170),ISNUMBER(J170)),ROUND(D170*J170*(1-N(F170)),2),0))</f>
        <v/>
      </c>
      <c r="M170" s="62" t="str">
        <f>IF(A170="","",IFERROR(INDEX(fa_cname,MATCH(A170,fa_num,0))&amp;"",""))</f>
        <v/>
      </c>
      <c r="N170" s="59" t="str">
        <f>IF(COUNTA(A170:G170)=0,"",IF(A170="","N° facture manquant",IF(ISNA(MATCH(A170,fa_num,0)),"Facture inconnue",IF(AND(B170&lt;&gt;"",ISNA(MATCH(B170,pr_code,0))),"Article inconnu",IF(H170="","Désignation manquante",IF(OR(NOT(ISNUMBER(D170)),N(D170)&lt;=0),"Quantité invalide",IF(J170="","Prix manquant",IF(OR(NOT(ISNUMBER(J170)),N(J170)&lt;0),"Prix invalide",IF(OR(AND(F170&lt;&gt;"",NOT(ISNUMBER(F170))),N(F170)&lt;0,N(F170)&gt;1),"Remise invalide",IF(K170="","Taux de TVA manquant",IF(NOT(ISNUMBER(K170)),"Taux de TVA invalide",IF(COUNTIF(p_rates,K170)=0,"Taux de TVA hors liste (Paramètres)",IF(N(O170)&gt;25,"Au-delà de 25 lignes : non imprimée","OK")))))))))))))</f>
        <v/>
      </c>
      <c r="O170" s="59" t="str">
        <f>IF(A170="","",COUNTIF($A$6:A170,A170))</f>
        <v/>
      </c>
      <c r="P170" s="62" t="str">
        <f>IF(A170="","",A170&amp;"|"&amp;O170)</f>
        <v/>
      </c>
    </row>
    <row r="171">
      <c r="A171" s="60" t="n"/>
      <c r="B171" s="63" t="n"/>
      <c r="C171" s="63" t="n"/>
      <c r="D171" s="67" t="n"/>
      <c r="E171" s="68" t="n"/>
      <c r="F171" s="69" t="n"/>
      <c r="G171" s="70" t="n"/>
      <c r="H171" s="62" t="str">
        <f>IF(COUNTA(A171:G171)=0,"",IF(C171&lt;&gt;"",C171,IF(B171="","",IFERROR(INDEX(pr_des,MATCH(B171,pr_code,0))&amp;"",""))))</f>
        <v/>
      </c>
      <c r="I171" s="59" t="str">
        <f>IF(B171="","",IFERROR(INDEX(pr_unit,MATCH(B171,pr_code,0))&amp;"",""))</f>
        <v/>
      </c>
      <c r="J171" s="65" t="str">
        <f>IF(COUNTA(A171:G171)=0,"",IF(E171&lt;&gt;"",E171,IF(B171="","",IFERROR(IF(INDEX(pr_price,MATCH(B171,pr_code,0))="","",INDEX(pr_price,MATCH(B171,pr_code,0))),""))))</f>
        <v/>
      </c>
      <c r="K171" s="71" t="str">
        <f>IF(COUNTA(A171:G171)=0,"",IF(G171&lt;&gt;"",G171,IF(B171="","",IFERROR(IF(INDEX(pr_rate,MATCH(B171,pr_code,0))="","",INDEX(pr_rate,MATCH(B171,pr_code,0))),""))))</f>
        <v/>
      </c>
      <c r="L171" s="65" t="str">
        <f>IF(COUNTA(A171:G171)=0,"",IF(AND(ISNUMBER(D171),ISNUMBER(J171)),ROUND(D171*J171*(1-N(F171)),2),0))</f>
        <v/>
      </c>
      <c r="M171" s="62" t="str">
        <f>IF(A171="","",IFERROR(INDEX(fa_cname,MATCH(A171,fa_num,0))&amp;"",""))</f>
        <v/>
      </c>
      <c r="N171" s="59" t="str">
        <f>IF(COUNTA(A171:G171)=0,"",IF(A171="","N° facture manquant",IF(ISNA(MATCH(A171,fa_num,0)),"Facture inconnue",IF(AND(B171&lt;&gt;"",ISNA(MATCH(B171,pr_code,0))),"Article inconnu",IF(H171="","Désignation manquante",IF(OR(NOT(ISNUMBER(D171)),N(D171)&lt;=0),"Quantité invalide",IF(J171="","Prix manquant",IF(OR(NOT(ISNUMBER(J171)),N(J171)&lt;0),"Prix invalide",IF(OR(AND(F171&lt;&gt;"",NOT(ISNUMBER(F171))),N(F171)&lt;0,N(F171)&gt;1),"Remise invalide",IF(K171="","Taux de TVA manquant",IF(NOT(ISNUMBER(K171)),"Taux de TVA invalide",IF(COUNTIF(p_rates,K171)=0,"Taux de TVA hors liste (Paramètres)",IF(N(O171)&gt;25,"Au-delà de 25 lignes : non imprimée","OK")))))))))))))</f>
        <v/>
      </c>
      <c r="O171" s="59" t="str">
        <f>IF(A171="","",COUNTIF($A$6:A171,A171))</f>
        <v/>
      </c>
      <c r="P171" s="62" t="str">
        <f>IF(A171="","",A171&amp;"|"&amp;O171)</f>
        <v/>
      </c>
    </row>
    <row r="172">
      <c r="A172" s="60" t="n"/>
      <c r="B172" s="63" t="n"/>
      <c r="C172" s="63" t="n"/>
      <c r="D172" s="67" t="n"/>
      <c r="E172" s="68" t="n"/>
      <c r="F172" s="69" t="n"/>
      <c r="G172" s="70" t="n"/>
      <c r="H172" s="62" t="str">
        <f>IF(COUNTA(A172:G172)=0,"",IF(C172&lt;&gt;"",C172,IF(B172="","",IFERROR(INDEX(pr_des,MATCH(B172,pr_code,0))&amp;"",""))))</f>
        <v/>
      </c>
      <c r="I172" s="59" t="str">
        <f>IF(B172="","",IFERROR(INDEX(pr_unit,MATCH(B172,pr_code,0))&amp;"",""))</f>
        <v/>
      </c>
      <c r="J172" s="65" t="str">
        <f>IF(COUNTA(A172:G172)=0,"",IF(E172&lt;&gt;"",E172,IF(B172="","",IFERROR(IF(INDEX(pr_price,MATCH(B172,pr_code,0))="","",INDEX(pr_price,MATCH(B172,pr_code,0))),""))))</f>
        <v/>
      </c>
      <c r="K172" s="71" t="str">
        <f>IF(COUNTA(A172:G172)=0,"",IF(G172&lt;&gt;"",G172,IF(B172="","",IFERROR(IF(INDEX(pr_rate,MATCH(B172,pr_code,0))="","",INDEX(pr_rate,MATCH(B172,pr_code,0))),""))))</f>
        <v/>
      </c>
      <c r="L172" s="65" t="str">
        <f>IF(COUNTA(A172:G172)=0,"",IF(AND(ISNUMBER(D172),ISNUMBER(J172)),ROUND(D172*J172*(1-N(F172)),2),0))</f>
        <v/>
      </c>
      <c r="M172" s="62" t="str">
        <f>IF(A172="","",IFERROR(INDEX(fa_cname,MATCH(A172,fa_num,0))&amp;"",""))</f>
        <v/>
      </c>
      <c r="N172" s="59" t="str">
        <f>IF(COUNTA(A172:G172)=0,"",IF(A172="","N° facture manquant",IF(ISNA(MATCH(A172,fa_num,0)),"Facture inconnue",IF(AND(B172&lt;&gt;"",ISNA(MATCH(B172,pr_code,0))),"Article inconnu",IF(H172="","Désignation manquante",IF(OR(NOT(ISNUMBER(D172)),N(D172)&lt;=0),"Quantité invalide",IF(J172="","Prix manquant",IF(OR(NOT(ISNUMBER(J172)),N(J172)&lt;0),"Prix invalide",IF(OR(AND(F172&lt;&gt;"",NOT(ISNUMBER(F172))),N(F172)&lt;0,N(F172)&gt;1),"Remise invalide",IF(K172="","Taux de TVA manquant",IF(NOT(ISNUMBER(K172)),"Taux de TVA invalide",IF(COUNTIF(p_rates,K172)=0,"Taux de TVA hors liste (Paramètres)",IF(N(O172)&gt;25,"Au-delà de 25 lignes : non imprimée","OK")))))))))))))</f>
        <v/>
      </c>
      <c r="O172" s="59" t="str">
        <f>IF(A172="","",COUNTIF($A$6:A172,A172))</f>
        <v/>
      </c>
      <c r="P172" s="62" t="str">
        <f>IF(A172="","",A172&amp;"|"&amp;O172)</f>
        <v/>
      </c>
    </row>
    <row r="173">
      <c r="A173" s="60" t="n"/>
      <c r="B173" s="63" t="n"/>
      <c r="C173" s="63" t="n"/>
      <c r="D173" s="67" t="n"/>
      <c r="E173" s="68" t="n"/>
      <c r="F173" s="69" t="n"/>
      <c r="G173" s="70" t="n"/>
      <c r="H173" s="62" t="str">
        <f>IF(COUNTA(A173:G173)=0,"",IF(C173&lt;&gt;"",C173,IF(B173="","",IFERROR(INDEX(pr_des,MATCH(B173,pr_code,0))&amp;"",""))))</f>
        <v/>
      </c>
      <c r="I173" s="59" t="str">
        <f>IF(B173="","",IFERROR(INDEX(pr_unit,MATCH(B173,pr_code,0))&amp;"",""))</f>
        <v/>
      </c>
      <c r="J173" s="65" t="str">
        <f>IF(COUNTA(A173:G173)=0,"",IF(E173&lt;&gt;"",E173,IF(B173="","",IFERROR(IF(INDEX(pr_price,MATCH(B173,pr_code,0))="","",INDEX(pr_price,MATCH(B173,pr_code,0))),""))))</f>
        <v/>
      </c>
      <c r="K173" s="71" t="str">
        <f>IF(COUNTA(A173:G173)=0,"",IF(G173&lt;&gt;"",G173,IF(B173="","",IFERROR(IF(INDEX(pr_rate,MATCH(B173,pr_code,0))="","",INDEX(pr_rate,MATCH(B173,pr_code,0))),""))))</f>
        <v/>
      </c>
      <c r="L173" s="65" t="str">
        <f>IF(COUNTA(A173:G173)=0,"",IF(AND(ISNUMBER(D173),ISNUMBER(J173)),ROUND(D173*J173*(1-N(F173)),2),0))</f>
        <v/>
      </c>
      <c r="M173" s="62" t="str">
        <f>IF(A173="","",IFERROR(INDEX(fa_cname,MATCH(A173,fa_num,0))&amp;"",""))</f>
        <v/>
      </c>
      <c r="N173" s="59" t="str">
        <f>IF(COUNTA(A173:G173)=0,"",IF(A173="","N° facture manquant",IF(ISNA(MATCH(A173,fa_num,0)),"Facture inconnue",IF(AND(B173&lt;&gt;"",ISNA(MATCH(B173,pr_code,0))),"Article inconnu",IF(H173="","Désignation manquante",IF(OR(NOT(ISNUMBER(D173)),N(D173)&lt;=0),"Quantité invalide",IF(J173="","Prix manquant",IF(OR(NOT(ISNUMBER(J173)),N(J173)&lt;0),"Prix invalide",IF(OR(AND(F173&lt;&gt;"",NOT(ISNUMBER(F173))),N(F173)&lt;0,N(F173)&gt;1),"Remise invalide",IF(K173="","Taux de TVA manquant",IF(NOT(ISNUMBER(K173)),"Taux de TVA invalide",IF(COUNTIF(p_rates,K173)=0,"Taux de TVA hors liste (Paramètres)",IF(N(O173)&gt;25,"Au-delà de 25 lignes : non imprimée","OK")))))))))))))</f>
        <v/>
      </c>
      <c r="O173" s="59" t="str">
        <f>IF(A173="","",COUNTIF($A$6:A173,A173))</f>
        <v/>
      </c>
      <c r="P173" s="62" t="str">
        <f>IF(A173="","",A173&amp;"|"&amp;O173)</f>
        <v/>
      </c>
    </row>
    <row r="174">
      <c r="A174" s="60" t="n"/>
      <c r="B174" s="63" t="n"/>
      <c r="C174" s="63" t="n"/>
      <c r="D174" s="67" t="n"/>
      <c r="E174" s="68" t="n"/>
      <c r="F174" s="69" t="n"/>
      <c r="G174" s="70" t="n"/>
      <c r="H174" s="62" t="str">
        <f>IF(COUNTA(A174:G174)=0,"",IF(C174&lt;&gt;"",C174,IF(B174="","",IFERROR(INDEX(pr_des,MATCH(B174,pr_code,0))&amp;"",""))))</f>
        <v/>
      </c>
      <c r="I174" s="59" t="str">
        <f>IF(B174="","",IFERROR(INDEX(pr_unit,MATCH(B174,pr_code,0))&amp;"",""))</f>
        <v/>
      </c>
      <c r="J174" s="65" t="str">
        <f>IF(COUNTA(A174:G174)=0,"",IF(E174&lt;&gt;"",E174,IF(B174="","",IFERROR(IF(INDEX(pr_price,MATCH(B174,pr_code,0))="","",INDEX(pr_price,MATCH(B174,pr_code,0))),""))))</f>
        <v/>
      </c>
      <c r="K174" s="71" t="str">
        <f>IF(COUNTA(A174:G174)=0,"",IF(G174&lt;&gt;"",G174,IF(B174="","",IFERROR(IF(INDEX(pr_rate,MATCH(B174,pr_code,0))="","",INDEX(pr_rate,MATCH(B174,pr_code,0))),""))))</f>
        <v/>
      </c>
      <c r="L174" s="65" t="str">
        <f>IF(COUNTA(A174:G174)=0,"",IF(AND(ISNUMBER(D174),ISNUMBER(J174)),ROUND(D174*J174*(1-N(F174)),2),0))</f>
        <v/>
      </c>
      <c r="M174" s="62" t="str">
        <f>IF(A174="","",IFERROR(INDEX(fa_cname,MATCH(A174,fa_num,0))&amp;"",""))</f>
        <v/>
      </c>
      <c r="N174" s="59" t="str">
        <f>IF(COUNTA(A174:G174)=0,"",IF(A174="","N° facture manquant",IF(ISNA(MATCH(A174,fa_num,0)),"Facture inconnue",IF(AND(B174&lt;&gt;"",ISNA(MATCH(B174,pr_code,0))),"Article inconnu",IF(H174="","Désignation manquante",IF(OR(NOT(ISNUMBER(D174)),N(D174)&lt;=0),"Quantité invalide",IF(J174="","Prix manquant",IF(OR(NOT(ISNUMBER(J174)),N(J174)&lt;0),"Prix invalide",IF(OR(AND(F174&lt;&gt;"",NOT(ISNUMBER(F174))),N(F174)&lt;0,N(F174)&gt;1),"Remise invalide",IF(K174="","Taux de TVA manquant",IF(NOT(ISNUMBER(K174)),"Taux de TVA invalide",IF(COUNTIF(p_rates,K174)=0,"Taux de TVA hors liste (Paramètres)",IF(N(O174)&gt;25,"Au-delà de 25 lignes : non imprimée","OK")))))))))))))</f>
        <v/>
      </c>
      <c r="O174" s="59" t="str">
        <f>IF(A174="","",COUNTIF($A$6:A174,A174))</f>
        <v/>
      </c>
      <c r="P174" s="62" t="str">
        <f>IF(A174="","",A174&amp;"|"&amp;O174)</f>
        <v/>
      </c>
    </row>
    <row r="175">
      <c r="A175" s="60" t="n"/>
      <c r="B175" s="63" t="n"/>
      <c r="C175" s="63" t="n"/>
      <c r="D175" s="67" t="n"/>
      <c r="E175" s="68" t="n"/>
      <c r="F175" s="69" t="n"/>
      <c r="G175" s="70" t="n"/>
      <c r="H175" s="62" t="str">
        <f>IF(COUNTA(A175:G175)=0,"",IF(C175&lt;&gt;"",C175,IF(B175="","",IFERROR(INDEX(pr_des,MATCH(B175,pr_code,0))&amp;"",""))))</f>
        <v/>
      </c>
      <c r="I175" s="59" t="str">
        <f>IF(B175="","",IFERROR(INDEX(pr_unit,MATCH(B175,pr_code,0))&amp;"",""))</f>
        <v/>
      </c>
      <c r="J175" s="65" t="str">
        <f>IF(COUNTA(A175:G175)=0,"",IF(E175&lt;&gt;"",E175,IF(B175="","",IFERROR(IF(INDEX(pr_price,MATCH(B175,pr_code,0))="","",INDEX(pr_price,MATCH(B175,pr_code,0))),""))))</f>
        <v/>
      </c>
      <c r="K175" s="71" t="str">
        <f>IF(COUNTA(A175:G175)=0,"",IF(G175&lt;&gt;"",G175,IF(B175="","",IFERROR(IF(INDEX(pr_rate,MATCH(B175,pr_code,0))="","",INDEX(pr_rate,MATCH(B175,pr_code,0))),""))))</f>
        <v/>
      </c>
      <c r="L175" s="65" t="str">
        <f>IF(COUNTA(A175:G175)=0,"",IF(AND(ISNUMBER(D175),ISNUMBER(J175)),ROUND(D175*J175*(1-N(F175)),2),0))</f>
        <v/>
      </c>
      <c r="M175" s="62" t="str">
        <f>IF(A175="","",IFERROR(INDEX(fa_cname,MATCH(A175,fa_num,0))&amp;"",""))</f>
        <v/>
      </c>
      <c r="N175" s="59" t="str">
        <f>IF(COUNTA(A175:G175)=0,"",IF(A175="","N° facture manquant",IF(ISNA(MATCH(A175,fa_num,0)),"Facture inconnue",IF(AND(B175&lt;&gt;"",ISNA(MATCH(B175,pr_code,0))),"Article inconnu",IF(H175="","Désignation manquante",IF(OR(NOT(ISNUMBER(D175)),N(D175)&lt;=0),"Quantité invalide",IF(J175="","Prix manquant",IF(OR(NOT(ISNUMBER(J175)),N(J175)&lt;0),"Prix invalide",IF(OR(AND(F175&lt;&gt;"",NOT(ISNUMBER(F175))),N(F175)&lt;0,N(F175)&gt;1),"Remise invalide",IF(K175="","Taux de TVA manquant",IF(NOT(ISNUMBER(K175)),"Taux de TVA invalide",IF(COUNTIF(p_rates,K175)=0,"Taux de TVA hors liste (Paramètres)",IF(N(O175)&gt;25,"Au-delà de 25 lignes : non imprimée","OK")))))))))))))</f>
        <v/>
      </c>
      <c r="O175" s="59" t="str">
        <f>IF(A175="","",COUNTIF($A$6:A175,A175))</f>
        <v/>
      </c>
      <c r="P175" s="62" t="str">
        <f>IF(A175="","",A175&amp;"|"&amp;O175)</f>
        <v/>
      </c>
    </row>
    <row r="176">
      <c r="A176" s="60" t="n"/>
      <c r="B176" s="63" t="n"/>
      <c r="C176" s="63" t="n"/>
      <c r="D176" s="67" t="n"/>
      <c r="E176" s="68" t="n"/>
      <c r="F176" s="69" t="n"/>
      <c r="G176" s="70" t="n"/>
      <c r="H176" s="62" t="str">
        <f>IF(COUNTA(A176:G176)=0,"",IF(C176&lt;&gt;"",C176,IF(B176="","",IFERROR(INDEX(pr_des,MATCH(B176,pr_code,0))&amp;"",""))))</f>
        <v/>
      </c>
      <c r="I176" s="59" t="str">
        <f>IF(B176="","",IFERROR(INDEX(pr_unit,MATCH(B176,pr_code,0))&amp;"",""))</f>
        <v/>
      </c>
      <c r="J176" s="65" t="str">
        <f>IF(COUNTA(A176:G176)=0,"",IF(E176&lt;&gt;"",E176,IF(B176="","",IFERROR(IF(INDEX(pr_price,MATCH(B176,pr_code,0))="","",INDEX(pr_price,MATCH(B176,pr_code,0))),""))))</f>
        <v/>
      </c>
      <c r="K176" s="71" t="str">
        <f>IF(COUNTA(A176:G176)=0,"",IF(G176&lt;&gt;"",G176,IF(B176="","",IFERROR(IF(INDEX(pr_rate,MATCH(B176,pr_code,0))="","",INDEX(pr_rate,MATCH(B176,pr_code,0))),""))))</f>
        <v/>
      </c>
      <c r="L176" s="65" t="str">
        <f>IF(COUNTA(A176:G176)=0,"",IF(AND(ISNUMBER(D176),ISNUMBER(J176)),ROUND(D176*J176*(1-N(F176)),2),0))</f>
        <v/>
      </c>
      <c r="M176" s="62" t="str">
        <f>IF(A176="","",IFERROR(INDEX(fa_cname,MATCH(A176,fa_num,0))&amp;"",""))</f>
        <v/>
      </c>
      <c r="N176" s="59" t="str">
        <f>IF(COUNTA(A176:G176)=0,"",IF(A176="","N° facture manquant",IF(ISNA(MATCH(A176,fa_num,0)),"Facture inconnue",IF(AND(B176&lt;&gt;"",ISNA(MATCH(B176,pr_code,0))),"Article inconnu",IF(H176="","Désignation manquante",IF(OR(NOT(ISNUMBER(D176)),N(D176)&lt;=0),"Quantité invalide",IF(J176="","Prix manquant",IF(OR(NOT(ISNUMBER(J176)),N(J176)&lt;0),"Prix invalide",IF(OR(AND(F176&lt;&gt;"",NOT(ISNUMBER(F176))),N(F176)&lt;0,N(F176)&gt;1),"Remise invalide",IF(K176="","Taux de TVA manquant",IF(NOT(ISNUMBER(K176)),"Taux de TVA invalide",IF(COUNTIF(p_rates,K176)=0,"Taux de TVA hors liste (Paramètres)",IF(N(O176)&gt;25,"Au-delà de 25 lignes : non imprimée","OK")))))))))))))</f>
        <v/>
      </c>
      <c r="O176" s="59" t="str">
        <f>IF(A176="","",COUNTIF($A$6:A176,A176))</f>
        <v/>
      </c>
      <c r="P176" s="62" t="str">
        <f>IF(A176="","",A176&amp;"|"&amp;O176)</f>
        <v/>
      </c>
    </row>
    <row r="177">
      <c r="A177" s="60" t="n"/>
      <c r="B177" s="63" t="n"/>
      <c r="C177" s="63" t="n"/>
      <c r="D177" s="67" t="n"/>
      <c r="E177" s="68" t="n"/>
      <c r="F177" s="69" t="n"/>
      <c r="G177" s="70" t="n"/>
      <c r="H177" s="62" t="str">
        <f>IF(COUNTA(A177:G177)=0,"",IF(C177&lt;&gt;"",C177,IF(B177="","",IFERROR(INDEX(pr_des,MATCH(B177,pr_code,0))&amp;"",""))))</f>
        <v/>
      </c>
      <c r="I177" s="59" t="str">
        <f>IF(B177="","",IFERROR(INDEX(pr_unit,MATCH(B177,pr_code,0))&amp;"",""))</f>
        <v/>
      </c>
      <c r="J177" s="65" t="str">
        <f>IF(COUNTA(A177:G177)=0,"",IF(E177&lt;&gt;"",E177,IF(B177="","",IFERROR(IF(INDEX(pr_price,MATCH(B177,pr_code,0))="","",INDEX(pr_price,MATCH(B177,pr_code,0))),""))))</f>
        <v/>
      </c>
      <c r="K177" s="71" t="str">
        <f>IF(COUNTA(A177:G177)=0,"",IF(G177&lt;&gt;"",G177,IF(B177="","",IFERROR(IF(INDEX(pr_rate,MATCH(B177,pr_code,0))="","",INDEX(pr_rate,MATCH(B177,pr_code,0))),""))))</f>
        <v/>
      </c>
      <c r="L177" s="65" t="str">
        <f>IF(COUNTA(A177:G177)=0,"",IF(AND(ISNUMBER(D177),ISNUMBER(J177)),ROUND(D177*J177*(1-N(F177)),2),0))</f>
        <v/>
      </c>
      <c r="M177" s="62" t="str">
        <f>IF(A177="","",IFERROR(INDEX(fa_cname,MATCH(A177,fa_num,0))&amp;"",""))</f>
        <v/>
      </c>
      <c r="N177" s="59" t="str">
        <f>IF(COUNTA(A177:G177)=0,"",IF(A177="","N° facture manquant",IF(ISNA(MATCH(A177,fa_num,0)),"Facture inconnue",IF(AND(B177&lt;&gt;"",ISNA(MATCH(B177,pr_code,0))),"Article inconnu",IF(H177="","Désignation manquante",IF(OR(NOT(ISNUMBER(D177)),N(D177)&lt;=0),"Quantité invalide",IF(J177="","Prix manquant",IF(OR(NOT(ISNUMBER(J177)),N(J177)&lt;0),"Prix invalide",IF(OR(AND(F177&lt;&gt;"",NOT(ISNUMBER(F177))),N(F177)&lt;0,N(F177)&gt;1),"Remise invalide",IF(K177="","Taux de TVA manquant",IF(NOT(ISNUMBER(K177)),"Taux de TVA invalide",IF(COUNTIF(p_rates,K177)=0,"Taux de TVA hors liste (Paramètres)",IF(N(O177)&gt;25,"Au-delà de 25 lignes : non imprimée","OK")))))))))))))</f>
        <v/>
      </c>
      <c r="O177" s="59" t="str">
        <f>IF(A177="","",COUNTIF($A$6:A177,A177))</f>
        <v/>
      </c>
      <c r="P177" s="62" t="str">
        <f>IF(A177="","",A177&amp;"|"&amp;O177)</f>
        <v/>
      </c>
    </row>
    <row r="178">
      <c r="A178" s="60" t="n"/>
      <c r="B178" s="63" t="n"/>
      <c r="C178" s="63" t="n"/>
      <c r="D178" s="67" t="n"/>
      <c r="E178" s="68" t="n"/>
      <c r="F178" s="69" t="n"/>
      <c r="G178" s="70" t="n"/>
      <c r="H178" s="62" t="str">
        <f>IF(COUNTA(A178:G178)=0,"",IF(C178&lt;&gt;"",C178,IF(B178="","",IFERROR(INDEX(pr_des,MATCH(B178,pr_code,0))&amp;"",""))))</f>
        <v/>
      </c>
      <c r="I178" s="59" t="str">
        <f>IF(B178="","",IFERROR(INDEX(pr_unit,MATCH(B178,pr_code,0))&amp;"",""))</f>
        <v/>
      </c>
      <c r="J178" s="65" t="str">
        <f>IF(COUNTA(A178:G178)=0,"",IF(E178&lt;&gt;"",E178,IF(B178="","",IFERROR(IF(INDEX(pr_price,MATCH(B178,pr_code,0))="","",INDEX(pr_price,MATCH(B178,pr_code,0))),""))))</f>
        <v/>
      </c>
      <c r="K178" s="71" t="str">
        <f>IF(COUNTA(A178:G178)=0,"",IF(G178&lt;&gt;"",G178,IF(B178="","",IFERROR(IF(INDEX(pr_rate,MATCH(B178,pr_code,0))="","",INDEX(pr_rate,MATCH(B178,pr_code,0))),""))))</f>
        <v/>
      </c>
      <c r="L178" s="65" t="str">
        <f>IF(COUNTA(A178:G178)=0,"",IF(AND(ISNUMBER(D178),ISNUMBER(J178)),ROUND(D178*J178*(1-N(F178)),2),0))</f>
        <v/>
      </c>
      <c r="M178" s="62" t="str">
        <f>IF(A178="","",IFERROR(INDEX(fa_cname,MATCH(A178,fa_num,0))&amp;"",""))</f>
        <v/>
      </c>
      <c r="N178" s="59" t="str">
        <f>IF(COUNTA(A178:G178)=0,"",IF(A178="","N° facture manquant",IF(ISNA(MATCH(A178,fa_num,0)),"Facture inconnue",IF(AND(B178&lt;&gt;"",ISNA(MATCH(B178,pr_code,0))),"Article inconnu",IF(H178="","Désignation manquante",IF(OR(NOT(ISNUMBER(D178)),N(D178)&lt;=0),"Quantité invalide",IF(J178="","Prix manquant",IF(OR(NOT(ISNUMBER(J178)),N(J178)&lt;0),"Prix invalide",IF(OR(AND(F178&lt;&gt;"",NOT(ISNUMBER(F178))),N(F178)&lt;0,N(F178)&gt;1),"Remise invalide",IF(K178="","Taux de TVA manquant",IF(NOT(ISNUMBER(K178)),"Taux de TVA invalide",IF(COUNTIF(p_rates,K178)=0,"Taux de TVA hors liste (Paramètres)",IF(N(O178)&gt;25,"Au-delà de 25 lignes : non imprimée","OK")))))))))))))</f>
        <v/>
      </c>
      <c r="O178" s="59" t="str">
        <f>IF(A178="","",COUNTIF($A$6:A178,A178))</f>
        <v/>
      </c>
      <c r="P178" s="62" t="str">
        <f>IF(A178="","",A178&amp;"|"&amp;O178)</f>
        <v/>
      </c>
    </row>
    <row r="179">
      <c r="A179" s="60" t="n"/>
      <c r="B179" s="63" t="n"/>
      <c r="C179" s="63" t="n"/>
      <c r="D179" s="67" t="n"/>
      <c r="E179" s="68" t="n"/>
      <c r="F179" s="69" t="n"/>
      <c r="G179" s="70" t="n"/>
      <c r="H179" s="62" t="str">
        <f>IF(COUNTA(A179:G179)=0,"",IF(C179&lt;&gt;"",C179,IF(B179="","",IFERROR(INDEX(pr_des,MATCH(B179,pr_code,0))&amp;"",""))))</f>
        <v/>
      </c>
      <c r="I179" s="59" t="str">
        <f>IF(B179="","",IFERROR(INDEX(pr_unit,MATCH(B179,pr_code,0))&amp;"",""))</f>
        <v/>
      </c>
      <c r="J179" s="65" t="str">
        <f>IF(COUNTA(A179:G179)=0,"",IF(E179&lt;&gt;"",E179,IF(B179="","",IFERROR(IF(INDEX(pr_price,MATCH(B179,pr_code,0))="","",INDEX(pr_price,MATCH(B179,pr_code,0))),""))))</f>
        <v/>
      </c>
      <c r="K179" s="71" t="str">
        <f>IF(COUNTA(A179:G179)=0,"",IF(G179&lt;&gt;"",G179,IF(B179="","",IFERROR(IF(INDEX(pr_rate,MATCH(B179,pr_code,0))="","",INDEX(pr_rate,MATCH(B179,pr_code,0))),""))))</f>
        <v/>
      </c>
      <c r="L179" s="65" t="str">
        <f>IF(COUNTA(A179:G179)=0,"",IF(AND(ISNUMBER(D179),ISNUMBER(J179)),ROUND(D179*J179*(1-N(F179)),2),0))</f>
        <v/>
      </c>
      <c r="M179" s="62" t="str">
        <f>IF(A179="","",IFERROR(INDEX(fa_cname,MATCH(A179,fa_num,0))&amp;"",""))</f>
        <v/>
      </c>
      <c r="N179" s="59" t="str">
        <f>IF(COUNTA(A179:G179)=0,"",IF(A179="","N° facture manquant",IF(ISNA(MATCH(A179,fa_num,0)),"Facture inconnue",IF(AND(B179&lt;&gt;"",ISNA(MATCH(B179,pr_code,0))),"Article inconnu",IF(H179="","Désignation manquante",IF(OR(NOT(ISNUMBER(D179)),N(D179)&lt;=0),"Quantité invalide",IF(J179="","Prix manquant",IF(OR(NOT(ISNUMBER(J179)),N(J179)&lt;0),"Prix invalide",IF(OR(AND(F179&lt;&gt;"",NOT(ISNUMBER(F179))),N(F179)&lt;0,N(F179)&gt;1),"Remise invalide",IF(K179="","Taux de TVA manquant",IF(NOT(ISNUMBER(K179)),"Taux de TVA invalide",IF(COUNTIF(p_rates,K179)=0,"Taux de TVA hors liste (Paramètres)",IF(N(O179)&gt;25,"Au-delà de 25 lignes : non imprimée","OK")))))))))))))</f>
        <v/>
      </c>
      <c r="O179" s="59" t="str">
        <f>IF(A179="","",COUNTIF($A$6:A179,A179))</f>
        <v/>
      </c>
      <c r="P179" s="62" t="str">
        <f>IF(A179="","",A179&amp;"|"&amp;O179)</f>
        <v/>
      </c>
    </row>
    <row r="180">
      <c r="A180" s="60" t="n"/>
      <c r="B180" s="63" t="n"/>
      <c r="C180" s="63" t="n"/>
      <c r="D180" s="67" t="n"/>
      <c r="E180" s="68" t="n"/>
      <c r="F180" s="69" t="n"/>
      <c r="G180" s="70" t="n"/>
      <c r="H180" s="62" t="str">
        <f>IF(COUNTA(A180:G180)=0,"",IF(C180&lt;&gt;"",C180,IF(B180="","",IFERROR(INDEX(pr_des,MATCH(B180,pr_code,0))&amp;"",""))))</f>
        <v/>
      </c>
      <c r="I180" s="59" t="str">
        <f>IF(B180="","",IFERROR(INDEX(pr_unit,MATCH(B180,pr_code,0))&amp;"",""))</f>
        <v/>
      </c>
      <c r="J180" s="65" t="str">
        <f>IF(COUNTA(A180:G180)=0,"",IF(E180&lt;&gt;"",E180,IF(B180="","",IFERROR(IF(INDEX(pr_price,MATCH(B180,pr_code,0))="","",INDEX(pr_price,MATCH(B180,pr_code,0))),""))))</f>
        <v/>
      </c>
      <c r="K180" s="71" t="str">
        <f>IF(COUNTA(A180:G180)=0,"",IF(G180&lt;&gt;"",G180,IF(B180="","",IFERROR(IF(INDEX(pr_rate,MATCH(B180,pr_code,0))="","",INDEX(pr_rate,MATCH(B180,pr_code,0))),""))))</f>
        <v/>
      </c>
      <c r="L180" s="65" t="str">
        <f>IF(COUNTA(A180:G180)=0,"",IF(AND(ISNUMBER(D180),ISNUMBER(J180)),ROUND(D180*J180*(1-N(F180)),2),0))</f>
        <v/>
      </c>
      <c r="M180" s="62" t="str">
        <f>IF(A180="","",IFERROR(INDEX(fa_cname,MATCH(A180,fa_num,0))&amp;"",""))</f>
        <v/>
      </c>
      <c r="N180" s="59" t="str">
        <f>IF(COUNTA(A180:G180)=0,"",IF(A180="","N° facture manquant",IF(ISNA(MATCH(A180,fa_num,0)),"Facture inconnue",IF(AND(B180&lt;&gt;"",ISNA(MATCH(B180,pr_code,0))),"Article inconnu",IF(H180="","Désignation manquante",IF(OR(NOT(ISNUMBER(D180)),N(D180)&lt;=0),"Quantité invalide",IF(J180="","Prix manquant",IF(OR(NOT(ISNUMBER(J180)),N(J180)&lt;0),"Prix invalide",IF(OR(AND(F180&lt;&gt;"",NOT(ISNUMBER(F180))),N(F180)&lt;0,N(F180)&gt;1),"Remise invalide",IF(K180="","Taux de TVA manquant",IF(NOT(ISNUMBER(K180)),"Taux de TVA invalide",IF(COUNTIF(p_rates,K180)=0,"Taux de TVA hors liste (Paramètres)",IF(N(O180)&gt;25,"Au-delà de 25 lignes : non imprimée","OK")))))))))))))</f>
        <v/>
      </c>
      <c r="O180" s="59" t="str">
        <f>IF(A180="","",COUNTIF($A$6:A180,A180))</f>
        <v/>
      </c>
      <c r="P180" s="62" t="str">
        <f>IF(A180="","",A180&amp;"|"&amp;O180)</f>
        <v/>
      </c>
    </row>
    <row r="181">
      <c r="A181" s="60" t="n"/>
      <c r="B181" s="63" t="n"/>
      <c r="C181" s="63" t="n"/>
      <c r="D181" s="67" t="n"/>
      <c r="E181" s="68" t="n"/>
      <c r="F181" s="69" t="n"/>
      <c r="G181" s="70" t="n"/>
      <c r="H181" s="62" t="str">
        <f>IF(COUNTA(A181:G181)=0,"",IF(C181&lt;&gt;"",C181,IF(B181="","",IFERROR(INDEX(pr_des,MATCH(B181,pr_code,0))&amp;"",""))))</f>
        <v/>
      </c>
      <c r="I181" s="59" t="str">
        <f>IF(B181="","",IFERROR(INDEX(pr_unit,MATCH(B181,pr_code,0))&amp;"",""))</f>
        <v/>
      </c>
      <c r="J181" s="65" t="str">
        <f>IF(COUNTA(A181:G181)=0,"",IF(E181&lt;&gt;"",E181,IF(B181="","",IFERROR(IF(INDEX(pr_price,MATCH(B181,pr_code,0))="","",INDEX(pr_price,MATCH(B181,pr_code,0))),""))))</f>
        <v/>
      </c>
      <c r="K181" s="71" t="str">
        <f>IF(COUNTA(A181:G181)=0,"",IF(G181&lt;&gt;"",G181,IF(B181="","",IFERROR(IF(INDEX(pr_rate,MATCH(B181,pr_code,0))="","",INDEX(pr_rate,MATCH(B181,pr_code,0))),""))))</f>
        <v/>
      </c>
      <c r="L181" s="65" t="str">
        <f>IF(COUNTA(A181:G181)=0,"",IF(AND(ISNUMBER(D181),ISNUMBER(J181)),ROUND(D181*J181*(1-N(F181)),2),0))</f>
        <v/>
      </c>
      <c r="M181" s="62" t="str">
        <f>IF(A181="","",IFERROR(INDEX(fa_cname,MATCH(A181,fa_num,0))&amp;"",""))</f>
        <v/>
      </c>
      <c r="N181" s="59" t="str">
        <f>IF(COUNTA(A181:G181)=0,"",IF(A181="","N° facture manquant",IF(ISNA(MATCH(A181,fa_num,0)),"Facture inconnue",IF(AND(B181&lt;&gt;"",ISNA(MATCH(B181,pr_code,0))),"Article inconnu",IF(H181="","Désignation manquante",IF(OR(NOT(ISNUMBER(D181)),N(D181)&lt;=0),"Quantité invalide",IF(J181="","Prix manquant",IF(OR(NOT(ISNUMBER(J181)),N(J181)&lt;0),"Prix invalide",IF(OR(AND(F181&lt;&gt;"",NOT(ISNUMBER(F181))),N(F181)&lt;0,N(F181)&gt;1),"Remise invalide",IF(K181="","Taux de TVA manquant",IF(NOT(ISNUMBER(K181)),"Taux de TVA invalide",IF(COUNTIF(p_rates,K181)=0,"Taux de TVA hors liste (Paramètres)",IF(N(O181)&gt;25,"Au-delà de 25 lignes : non imprimée","OK")))))))))))))</f>
        <v/>
      </c>
      <c r="O181" s="59" t="str">
        <f>IF(A181="","",COUNTIF($A$6:A181,A181))</f>
        <v/>
      </c>
      <c r="P181" s="62" t="str">
        <f>IF(A181="","",A181&amp;"|"&amp;O181)</f>
        <v/>
      </c>
    </row>
    <row r="182">
      <c r="A182" s="60" t="n"/>
      <c r="B182" s="63" t="n"/>
      <c r="C182" s="63" t="n"/>
      <c r="D182" s="67" t="n"/>
      <c r="E182" s="68" t="n"/>
      <c r="F182" s="69" t="n"/>
      <c r="G182" s="70" t="n"/>
      <c r="H182" s="62" t="str">
        <f>IF(COUNTA(A182:G182)=0,"",IF(C182&lt;&gt;"",C182,IF(B182="","",IFERROR(INDEX(pr_des,MATCH(B182,pr_code,0))&amp;"",""))))</f>
        <v/>
      </c>
      <c r="I182" s="59" t="str">
        <f>IF(B182="","",IFERROR(INDEX(pr_unit,MATCH(B182,pr_code,0))&amp;"",""))</f>
        <v/>
      </c>
      <c r="J182" s="65" t="str">
        <f>IF(COUNTA(A182:G182)=0,"",IF(E182&lt;&gt;"",E182,IF(B182="","",IFERROR(IF(INDEX(pr_price,MATCH(B182,pr_code,0))="","",INDEX(pr_price,MATCH(B182,pr_code,0))),""))))</f>
        <v/>
      </c>
      <c r="K182" s="71" t="str">
        <f>IF(COUNTA(A182:G182)=0,"",IF(G182&lt;&gt;"",G182,IF(B182="","",IFERROR(IF(INDEX(pr_rate,MATCH(B182,pr_code,0))="","",INDEX(pr_rate,MATCH(B182,pr_code,0))),""))))</f>
        <v/>
      </c>
      <c r="L182" s="65" t="str">
        <f>IF(COUNTA(A182:G182)=0,"",IF(AND(ISNUMBER(D182),ISNUMBER(J182)),ROUND(D182*J182*(1-N(F182)),2),0))</f>
        <v/>
      </c>
      <c r="M182" s="62" t="str">
        <f>IF(A182="","",IFERROR(INDEX(fa_cname,MATCH(A182,fa_num,0))&amp;"",""))</f>
        <v/>
      </c>
      <c r="N182" s="59" t="str">
        <f>IF(COUNTA(A182:G182)=0,"",IF(A182="","N° facture manquant",IF(ISNA(MATCH(A182,fa_num,0)),"Facture inconnue",IF(AND(B182&lt;&gt;"",ISNA(MATCH(B182,pr_code,0))),"Article inconnu",IF(H182="","Désignation manquante",IF(OR(NOT(ISNUMBER(D182)),N(D182)&lt;=0),"Quantité invalide",IF(J182="","Prix manquant",IF(OR(NOT(ISNUMBER(J182)),N(J182)&lt;0),"Prix invalide",IF(OR(AND(F182&lt;&gt;"",NOT(ISNUMBER(F182))),N(F182)&lt;0,N(F182)&gt;1),"Remise invalide",IF(K182="","Taux de TVA manquant",IF(NOT(ISNUMBER(K182)),"Taux de TVA invalide",IF(COUNTIF(p_rates,K182)=0,"Taux de TVA hors liste (Paramètres)",IF(N(O182)&gt;25,"Au-delà de 25 lignes : non imprimée","OK")))))))))))))</f>
        <v/>
      </c>
      <c r="O182" s="59" t="str">
        <f>IF(A182="","",COUNTIF($A$6:A182,A182))</f>
        <v/>
      </c>
      <c r="P182" s="62" t="str">
        <f>IF(A182="","",A182&amp;"|"&amp;O182)</f>
        <v/>
      </c>
    </row>
    <row r="183">
      <c r="A183" s="60" t="n"/>
      <c r="B183" s="63" t="n"/>
      <c r="C183" s="63" t="n"/>
      <c r="D183" s="67" t="n"/>
      <c r="E183" s="68" t="n"/>
      <c r="F183" s="69" t="n"/>
      <c r="G183" s="70" t="n"/>
      <c r="H183" s="62" t="str">
        <f>IF(COUNTA(A183:G183)=0,"",IF(C183&lt;&gt;"",C183,IF(B183="","",IFERROR(INDEX(pr_des,MATCH(B183,pr_code,0))&amp;"",""))))</f>
        <v/>
      </c>
      <c r="I183" s="59" t="str">
        <f>IF(B183="","",IFERROR(INDEX(pr_unit,MATCH(B183,pr_code,0))&amp;"",""))</f>
        <v/>
      </c>
      <c r="J183" s="65" t="str">
        <f>IF(COUNTA(A183:G183)=0,"",IF(E183&lt;&gt;"",E183,IF(B183="","",IFERROR(IF(INDEX(pr_price,MATCH(B183,pr_code,0))="","",INDEX(pr_price,MATCH(B183,pr_code,0))),""))))</f>
        <v/>
      </c>
      <c r="K183" s="71" t="str">
        <f>IF(COUNTA(A183:G183)=0,"",IF(G183&lt;&gt;"",G183,IF(B183="","",IFERROR(IF(INDEX(pr_rate,MATCH(B183,pr_code,0))="","",INDEX(pr_rate,MATCH(B183,pr_code,0))),""))))</f>
        <v/>
      </c>
      <c r="L183" s="65" t="str">
        <f>IF(COUNTA(A183:G183)=0,"",IF(AND(ISNUMBER(D183),ISNUMBER(J183)),ROUND(D183*J183*(1-N(F183)),2),0))</f>
        <v/>
      </c>
      <c r="M183" s="62" t="str">
        <f>IF(A183="","",IFERROR(INDEX(fa_cname,MATCH(A183,fa_num,0))&amp;"",""))</f>
        <v/>
      </c>
      <c r="N183" s="59" t="str">
        <f>IF(COUNTA(A183:G183)=0,"",IF(A183="","N° facture manquant",IF(ISNA(MATCH(A183,fa_num,0)),"Facture inconnue",IF(AND(B183&lt;&gt;"",ISNA(MATCH(B183,pr_code,0))),"Article inconnu",IF(H183="","Désignation manquante",IF(OR(NOT(ISNUMBER(D183)),N(D183)&lt;=0),"Quantité invalide",IF(J183="","Prix manquant",IF(OR(NOT(ISNUMBER(J183)),N(J183)&lt;0),"Prix invalide",IF(OR(AND(F183&lt;&gt;"",NOT(ISNUMBER(F183))),N(F183)&lt;0,N(F183)&gt;1),"Remise invalide",IF(K183="","Taux de TVA manquant",IF(NOT(ISNUMBER(K183)),"Taux de TVA invalide",IF(COUNTIF(p_rates,K183)=0,"Taux de TVA hors liste (Paramètres)",IF(N(O183)&gt;25,"Au-delà de 25 lignes : non imprimée","OK")))))))))))))</f>
        <v/>
      </c>
      <c r="O183" s="59" t="str">
        <f>IF(A183="","",COUNTIF($A$6:A183,A183))</f>
        <v/>
      </c>
      <c r="P183" s="62" t="str">
        <f>IF(A183="","",A183&amp;"|"&amp;O183)</f>
        <v/>
      </c>
    </row>
    <row r="184">
      <c r="A184" s="60" t="n"/>
      <c r="B184" s="63" t="n"/>
      <c r="C184" s="63" t="n"/>
      <c r="D184" s="67" t="n"/>
      <c r="E184" s="68" t="n"/>
      <c r="F184" s="69" t="n"/>
      <c r="G184" s="70" t="n"/>
      <c r="H184" s="62" t="str">
        <f>IF(COUNTA(A184:G184)=0,"",IF(C184&lt;&gt;"",C184,IF(B184="","",IFERROR(INDEX(pr_des,MATCH(B184,pr_code,0))&amp;"",""))))</f>
        <v/>
      </c>
      <c r="I184" s="59" t="str">
        <f>IF(B184="","",IFERROR(INDEX(pr_unit,MATCH(B184,pr_code,0))&amp;"",""))</f>
        <v/>
      </c>
      <c r="J184" s="65" t="str">
        <f>IF(COUNTA(A184:G184)=0,"",IF(E184&lt;&gt;"",E184,IF(B184="","",IFERROR(IF(INDEX(pr_price,MATCH(B184,pr_code,0))="","",INDEX(pr_price,MATCH(B184,pr_code,0))),""))))</f>
        <v/>
      </c>
      <c r="K184" s="71" t="str">
        <f>IF(COUNTA(A184:G184)=0,"",IF(G184&lt;&gt;"",G184,IF(B184="","",IFERROR(IF(INDEX(pr_rate,MATCH(B184,pr_code,0))="","",INDEX(pr_rate,MATCH(B184,pr_code,0))),""))))</f>
        <v/>
      </c>
      <c r="L184" s="65" t="str">
        <f>IF(COUNTA(A184:G184)=0,"",IF(AND(ISNUMBER(D184),ISNUMBER(J184)),ROUND(D184*J184*(1-N(F184)),2),0))</f>
        <v/>
      </c>
      <c r="M184" s="62" t="str">
        <f>IF(A184="","",IFERROR(INDEX(fa_cname,MATCH(A184,fa_num,0))&amp;"",""))</f>
        <v/>
      </c>
      <c r="N184" s="59" t="str">
        <f>IF(COUNTA(A184:G184)=0,"",IF(A184="","N° facture manquant",IF(ISNA(MATCH(A184,fa_num,0)),"Facture inconnue",IF(AND(B184&lt;&gt;"",ISNA(MATCH(B184,pr_code,0))),"Article inconnu",IF(H184="","Désignation manquante",IF(OR(NOT(ISNUMBER(D184)),N(D184)&lt;=0),"Quantité invalide",IF(J184="","Prix manquant",IF(OR(NOT(ISNUMBER(J184)),N(J184)&lt;0),"Prix invalide",IF(OR(AND(F184&lt;&gt;"",NOT(ISNUMBER(F184))),N(F184)&lt;0,N(F184)&gt;1),"Remise invalide",IF(K184="","Taux de TVA manquant",IF(NOT(ISNUMBER(K184)),"Taux de TVA invalide",IF(COUNTIF(p_rates,K184)=0,"Taux de TVA hors liste (Paramètres)",IF(N(O184)&gt;25,"Au-delà de 25 lignes : non imprimée","OK")))))))))))))</f>
        <v/>
      </c>
      <c r="O184" s="59" t="str">
        <f>IF(A184="","",COUNTIF($A$6:A184,A184))</f>
        <v/>
      </c>
      <c r="P184" s="62" t="str">
        <f>IF(A184="","",A184&amp;"|"&amp;O184)</f>
        <v/>
      </c>
    </row>
    <row r="185">
      <c r="A185" s="60" t="n"/>
      <c r="B185" s="63" t="n"/>
      <c r="C185" s="63" t="n"/>
      <c r="D185" s="67" t="n"/>
      <c r="E185" s="68" t="n"/>
      <c r="F185" s="69" t="n"/>
      <c r="G185" s="70" t="n"/>
      <c r="H185" s="62" t="str">
        <f>IF(COUNTA(A185:G185)=0,"",IF(C185&lt;&gt;"",C185,IF(B185="","",IFERROR(INDEX(pr_des,MATCH(B185,pr_code,0))&amp;"",""))))</f>
        <v/>
      </c>
      <c r="I185" s="59" t="str">
        <f>IF(B185="","",IFERROR(INDEX(pr_unit,MATCH(B185,pr_code,0))&amp;"",""))</f>
        <v/>
      </c>
      <c r="J185" s="65" t="str">
        <f>IF(COUNTA(A185:G185)=0,"",IF(E185&lt;&gt;"",E185,IF(B185="","",IFERROR(IF(INDEX(pr_price,MATCH(B185,pr_code,0))="","",INDEX(pr_price,MATCH(B185,pr_code,0))),""))))</f>
        <v/>
      </c>
      <c r="K185" s="71" t="str">
        <f>IF(COUNTA(A185:G185)=0,"",IF(G185&lt;&gt;"",G185,IF(B185="","",IFERROR(IF(INDEX(pr_rate,MATCH(B185,pr_code,0))="","",INDEX(pr_rate,MATCH(B185,pr_code,0))),""))))</f>
        <v/>
      </c>
      <c r="L185" s="65" t="str">
        <f>IF(COUNTA(A185:G185)=0,"",IF(AND(ISNUMBER(D185),ISNUMBER(J185)),ROUND(D185*J185*(1-N(F185)),2),0))</f>
        <v/>
      </c>
      <c r="M185" s="62" t="str">
        <f>IF(A185="","",IFERROR(INDEX(fa_cname,MATCH(A185,fa_num,0))&amp;"",""))</f>
        <v/>
      </c>
      <c r="N185" s="59" t="str">
        <f>IF(COUNTA(A185:G185)=0,"",IF(A185="","N° facture manquant",IF(ISNA(MATCH(A185,fa_num,0)),"Facture inconnue",IF(AND(B185&lt;&gt;"",ISNA(MATCH(B185,pr_code,0))),"Article inconnu",IF(H185="","Désignation manquante",IF(OR(NOT(ISNUMBER(D185)),N(D185)&lt;=0),"Quantité invalide",IF(J185="","Prix manquant",IF(OR(NOT(ISNUMBER(J185)),N(J185)&lt;0),"Prix invalide",IF(OR(AND(F185&lt;&gt;"",NOT(ISNUMBER(F185))),N(F185)&lt;0,N(F185)&gt;1),"Remise invalide",IF(K185="","Taux de TVA manquant",IF(NOT(ISNUMBER(K185)),"Taux de TVA invalide",IF(COUNTIF(p_rates,K185)=0,"Taux de TVA hors liste (Paramètres)",IF(N(O185)&gt;25,"Au-delà de 25 lignes : non imprimée","OK")))))))))))))</f>
        <v/>
      </c>
      <c r="O185" s="59" t="str">
        <f>IF(A185="","",COUNTIF($A$6:A185,A185))</f>
        <v/>
      </c>
      <c r="P185" s="62" t="str">
        <f>IF(A185="","",A185&amp;"|"&amp;O185)</f>
        <v/>
      </c>
    </row>
    <row r="186">
      <c r="A186" s="60" t="n"/>
      <c r="B186" s="63" t="n"/>
      <c r="C186" s="63" t="n"/>
      <c r="D186" s="67" t="n"/>
      <c r="E186" s="68" t="n"/>
      <c r="F186" s="69" t="n"/>
      <c r="G186" s="70" t="n"/>
      <c r="H186" s="62" t="str">
        <f>IF(COUNTA(A186:G186)=0,"",IF(C186&lt;&gt;"",C186,IF(B186="","",IFERROR(INDEX(pr_des,MATCH(B186,pr_code,0))&amp;"",""))))</f>
        <v/>
      </c>
      <c r="I186" s="59" t="str">
        <f>IF(B186="","",IFERROR(INDEX(pr_unit,MATCH(B186,pr_code,0))&amp;"",""))</f>
        <v/>
      </c>
      <c r="J186" s="65" t="str">
        <f>IF(COUNTA(A186:G186)=0,"",IF(E186&lt;&gt;"",E186,IF(B186="","",IFERROR(IF(INDEX(pr_price,MATCH(B186,pr_code,0))="","",INDEX(pr_price,MATCH(B186,pr_code,0))),""))))</f>
        <v/>
      </c>
      <c r="K186" s="71" t="str">
        <f>IF(COUNTA(A186:G186)=0,"",IF(G186&lt;&gt;"",G186,IF(B186="","",IFERROR(IF(INDEX(pr_rate,MATCH(B186,pr_code,0))="","",INDEX(pr_rate,MATCH(B186,pr_code,0))),""))))</f>
        <v/>
      </c>
      <c r="L186" s="65" t="str">
        <f>IF(COUNTA(A186:G186)=0,"",IF(AND(ISNUMBER(D186),ISNUMBER(J186)),ROUND(D186*J186*(1-N(F186)),2),0))</f>
        <v/>
      </c>
      <c r="M186" s="62" t="str">
        <f>IF(A186="","",IFERROR(INDEX(fa_cname,MATCH(A186,fa_num,0))&amp;"",""))</f>
        <v/>
      </c>
      <c r="N186" s="59" t="str">
        <f>IF(COUNTA(A186:G186)=0,"",IF(A186="","N° facture manquant",IF(ISNA(MATCH(A186,fa_num,0)),"Facture inconnue",IF(AND(B186&lt;&gt;"",ISNA(MATCH(B186,pr_code,0))),"Article inconnu",IF(H186="","Désignation manquante",IF(OR(NOT(ISNUMBER(D186)),N(D186)&lt;=0),"Quantité invalide",IF(J186="","Prix manquant",IF(OR(NOT(ISNUMBER(J186)),N(J186)&lt;0),"Prix invalide",IF(OR(AND(F186&lt;&gt;"",NOT(ISNUMBER(F186))),N(F186)&lt;0,N(F186)&gt;1),"Remise invalide",IF(K186="","Taux de TVA manquant",IF(NOT(ISNUMBER(K186)),"Taux de TVA invalide",IF(COUNTIF(p_rates,K186)=0,"Taux de TVA hors liste (Paramètres)",IF(N(O186)&gt;25,"Au-delà de 25 lignes : non imprimée","OK")))))))))))))</f>
        <v/>
      </c>
      <c r="O186" s="59" t="str">
        <f>IF(A186="","",COUNTIF($A$6:A186,A186))</f>
        <v/>
      </c>
      <c r="P186" s="62" t="str">
        <f>IF(A186="","",A186&amp;"|"&amp;O186)</f>
        <v/>
      </c>
    </row>
    <row r="187">
      <c r="A187" s="60" t="n"/>
      <c r="B187" s="63" t="n"/>
      <c r="C187" s="63" t="n"/>
      <c r="D187" s="67" t="n"/>
      <c r="E187" s="68" t="n"/>
      <c r="F187" s="69" t="n"/>
      <c r="G187" s="70" t="n"/>
      <c r="H187" s="62" t="str">
        <f>IF(COUNTA(A187:G187)=0,"",IF(C187&lt;&gt;"",C187,IF(B187="","",IFERROR(INDEX(pr_des,MATCH(B187,pr_code,0))&amp;"",""))))</f>
        <v/>
      </c>
      <c r="I187" s="59" t="str">
        <f>IF(B187="","",IFERROR(INDEX(pr_unit,MATCH(B187,pr_code,0))&amp;"",""))</f>
        <v/>
      </c>
      <c r="J187" s="65" t="str">
        <f>IF(COUNTA(A187:G187)=0,"",IF(E187&lt;&gt;"",E187,IF(B187="","",IFERROR(IF(INDEX(pr_price,MATCH(B187,pr_code,0))="","",INDEX(pr_price,MATCH(B187,pr_code,0))),""))))</f>
        <v/>
      </c>
      <c r="K187" s="71" t="str">
        <f>IF(COUNTA(A187:G187)=0,"",IF(G187&lt;&gt;"",G187,IF(B187="","",IFERROR(IF(INDEX(pr_rate,MATCH(B187,pr_code,0))="","",INDEX(pr_rate,MATCH(B187,pr_code,0))),""))))</f>
        <v/>
      </c>
      <c r="L187" s="65" t="str">
        <f>IF(COUNTA(A187:G187)=0,"",IF(AND(ISNUMBER(D187),ISNUMBER(J187)),ROUND(D187*J187*(1-N(F187)),2),0))</f>
        <v/>
      </c>
      <c r="M187" s="62" t="str">
        <f>IF(A187="","",IFERROR(INDEX(fa_cname,MATCH(A187,fa_num,0))&amp;"",""))</f>
        <v/>
      </c>
      <c r="N187" s="59" t="str">
        <f>IF(COUNTA(A187:G187)=0,"",IF(A187="","N° facture manquant",IF(ISNA(MATCH(A187,fa_num,0)),"Facture inconnue",IF(AND(B187&lt;&gt;"",ISNA(MATCH(B187,pr_code,0))),"Article inconnu",IF(H187="","Désignation manquante",IF(OR(NOT(ISNUMBER(D187)),N(D187)&lt;=0),"Quantité invalide",IF(J187="","Prix manquant",IF(OR(NOT(ISNUMBER(J187)),N(J187)&lt;0),"Prix invalide",IF(OR(AND(F187&lt;&gt;"",NOT(ISNUMBER(F187))),N(F187)&lt;0,N(F187)&gt;1),"Remise invalide",IF(K187="","Taux de TVA manquant",IF(NOT(ISNUMBER(K187)),"Taux de TVA invalide",IF(COUNTIF(p_rates,K187)=0,"Taux de TVA hors liste (Paramètres)",IF(N(O187)&gt;25,"Au-delà de 25 lignes : non imprimée","OK")))))))))))))</f>
        <v/>
      </c>
      <c r="O187" s="59" t="str">
        <f>IF(A187="","",COUNTIF($A$6:A187,A187))</f>
        <v/>
      </c>
      <c r="P187" s="62" t="str">
        <f>IF(A187="","",A187&amp;"|"&amp;O187)</f>
        <v/>
      </c>
    </row>
    <row r="188">
      <c r="A188" s="60" t="n"/>
      <c r="B188" s="63" t="n"/>
      <c r="C188" s="63" t="n"/>
      <c r="D188" s="67" t="n"/>
      <c r="E188" s="68" t="n"/>
      <c r="F188" s="69" t="n"/>
      <c r="G188" s="70" t="n"/>
      <c r="H188" s="62" t="str">
        <f>IF(COUNTA(A188:G188)=0,"",IF(C188&lt;&gt;"",C188,IF(B188="","",IFERROR(INDEX(pr_des,MATCH(B188,pr_code,0))&amp;"",""))))</f>
        <v/>
      </c>
      <c r="I188" s="59" t="str">
        <f>IF(B188="","",IFERROR(INDEX(pr_unit,MATCH(B188,pr_code,0))&amp;"",""))</f>
        <v/>
      </c>
      <c r="J188" s="65" t="str">
        <f>IF(COUNTA(A188:G188)=0,"",IF(E188&lt;&gt;"",E188,IF(B188="","",IFERROR(IF(INDEX(pr_price,MATCH(B188,pr_code,0))="","",INDEX(pr_price,MATCH(B188,pr_code,0))),""))))</f>
        <v/>
      </c>
      <c r="K188" s="71" t="str">
        <f>IF(COUNTA(A188:G188)=0,"",IF(G188&lt;&gt;"",G188,IF(B188="","",IFERROR(IF(INDEX(pr_rate,MATCH(B188,pr_code,0))="","",INDEX(pr_rate,MATCH(B188,pr_code,0))),""))))</f>
        <v/>
      </c>
      <c r="L188" s="65" t="str">
        <f>IF(COUNTA(A188:G188)=0,"",IF(AND(ISNUMBER(D188),ISNUMBER(J188)),ROUND(D188*J188*(1-N(F188)),2),0))</f>
        <v/>
      </c>
      <c r="M188" s="62" t="str">
        <f>IF(A188="","",IFERROR(INDEX(fa_cname,MATCH(A188,fa_num,0))&amp;"",""))</f>
        <v/>
      </c>
      <c r="N188" s="59" t="str">
        <f>IF(COUNTA(A188:G188)=0,"",IF(A188="","N° facture manquant",IF(ISNA(MATCH(A188,fa_num,0)),"Facture inconnue",IF(AND(B188&lt;&gt;"",ISNA(MATCH(B188,pr_code,0))),"Article inconnu",IF(H188="","Désignation manquante",IF(OR(NOT(ISNUMBER(D188)),N(D188)&lt;=0),"Quantité invalide",IF(J188="","Prix manquant",IF(OR(NOT(ISNUMBER(J188)),N(J188)&lt;0),"Prix invalide",IF(OR(AND(F188&lt;&gt;"",NOT(ISNUMBER(F188))),N(F188)&lt;0,N(F188)&gt;1),"Remise invalide",IF(K188="","Taux de TVA manquant",IF(NOT(ISNUMBER(K188)),"Taux de TVA invalide",IF(COUNTIF(p_rates,K188)=0,"Taux de TVA hors liste (Paramètres)",IF(N(O188)&gt;25,"Au-delà de 25 lignes : non imprimée","OK")))))))))))))</f>
        <v/>
      </c>
      <c r="O188" s="59" t="str">
        <f>IF(A188="","",COUNTIF($A$6:A188,A188))</f>
        <v/>
      </c>
      <c r="P188" s="62" t="str">
        <f>IF(A188="","",A188&amp;"|"&amp;O188)</f>
        <v/>
      </c>
    </row>
    <row r="189">
      <c r="A189" s="60" t="n"/>
      <c r="B189" s="63" t="n"/>
      <c r="C189" s="63" t="n"/>
      <c r="D189" s="67" t="n"/>
      <c r="E189" s="68" t="n"/>
      <c r="F189" s="69" t="n"/>
      <c r="G189" s="70" t="n"/>
      <c r="H189" s="62" t="str">
        <f>IF(COUNTA(A189:G189)=0,"",IF(C189&lt;&gt;"",C189,IF(B189="","",IFERROR(INDEX(pr_des,MATCH(B189,pr_code,0))&amp;"",""))))</f>
        <v/>
      </c>
      <c r="I189" s="59" t="str">
        <f>IF(B189="","",IFERROR(INDEX(pr_unit,MATCH(B189,pr_code,0))&amp;"",""))</f>
        <v/>
      </c>
      <c r="J189" s="65" t="str">
        <f>IF(COUNTA(A189:G189)=0,"",IF(E189&lt;&gt;"",E189,IF(B189="","",IFERROR(IF(INDEX(pr_price,MATCH(B189,pr_code,0))="","",INDEX(pr_price,MATCH(B189,pr_code,0))),""))))</f>
        <v/>
      </c>
      <c r="K189" s="71" t="str">
        <f>IF(COUNTA(A189:G189)=0,"",IF(G189&lt;&gt;"",G189,IF(B189="","",IFERROR(IF(INDEX(pr_rate,MATCH(B189,pr_code,0))="","",INDEX(pr_rate,MATCH(B189,pr_code,0))),""))))</f>
        <v/>
      </c>
      <c r="L189" s="65" t="str">
        <f>IF(COUNTA(A189:G189)=0,"",IF(AND(ISNUMBER(D189),ISNUMBER(J189)),ROUND(D189*J189*(1-N(F189)),2),0))</f>
        <v/>
      </c>
      <c r="M189" s="62" t="str">
        <f>IF(A189="","",IFERROR(INDEX(fa_cname,MATCH(A189,fa_num,0))&amp;"",""))</f>
        <v/>
      </c>
      <c r="N189" s="59" t="str">
        <f>IF(COUNTA(A189:G189)=0,"",IF(A189="","N° facture manquant",IF(ISNA(MATCH(A189,fa_num,0)),"Facture inconnue",IF(AND(B189&lt;&gt;"",ISNA(MATCH(B189,pr_code,0))),"Article inconnu",IF(H189="","Désignation manquante",IF(OR(NOT(ISNUMBER(D189)),N(D189)&lt;=0),"Quantité invalide",IF(J189="","Prix manquant",IF(OR(NOT(ISNUMBER(J189)),N(J189)&lt;0),"Prix invalide",IF(OR(AND(F189&lt;&gt;"",NOT(ISNUMBER(F189))),N(F189)&lt;0,N(F189)&gt;1),"Remise invalide",IF(K189="","Taux de TVA manquant",IF(NOT(ISNUMBER(K189)),"Taux de TVA invalide",IF(COUNTIF(p_rates,K189)=0,"Taux de TVA hors liste (Paramètres)",IF(N(O189)&gt;25,"Au-delà de 25 lignes : non imprimée","OK")))))))))))))</f>
        <v/>
      </c>
      <c r="O189" s="59" t="str">
        <f>IF(A189="","",COUNTIF($A$6:A189,A189))</f>
        <v/>
      </c>
      <c r="P189" s="62" t="str">
        <f>IF(A189="","",A189&amp;"|"&amp;O189)</f>
        <v/>
      </c>
    </row>
    <row r="190">
      <c r="A190" s="60" t="n"/>
      <c r="B190" s="63" t="n"/>
      <c r="C190" s="63" t="n"/>
      <c r="D190" s="67" t="n"/>
      <c r="E190" s="68" t="n"/>
      <c r="F190" s="69" t="n"/>
      <c r="G190" s="70" t="n"/>
      <c r="H190" s="62" t="str">
        <f>IF(COUNTA(A190:G190)=0,"",IF(C190&lt;&gt;"",C190,IF(B190="","",IFERROR(INDEX(pr_des,MATCH(B190,pr_code,0))&amp;"",""))))</f>
        <v/>
      </c>
      <c r="I190" s="59" t="str">
        <f>IF(B190="","",IFERROR(INDEX(pr_unit,MATCH(B190,pr_code,0))&amp;"",""))</f>
        <v/>
      </c>
      <c r="J190" s="65" t="str">
        <f>IF(COUNTA(A190:G190)=0,"",IF(E190&lt;&gt;"",E190,IF(B190="","",IFERROR(IF(INDEX(pr_price,MATCH(B190,pr_code,0))="","",INDEX(pr_price,MATCH(B190,pr_code,0))),""))))</f>
        <v/>
      </c>
      <c r="K190" s="71" t="str">
        <f>IF(COUNTA(A190:G190)=0,"",IF(G190&lt;&gt;"",G190,IF(B190="","",IFERROR(IF(INDEX(pr_rate,MATCH(B190,pr_code,0))="","",INDEX(pr_rate,MATCH(B190,pr_code,0))),""))))</f>
        <v/>
      </c>
      <c r="L190" s="65" t="str">
        <f>IF(COUNTA(A190:G190)=0,"",IF(AND(ISNUMBER(D190),ISNUMBER(J190)),ROUND(D190*J190*(1-N(F190)),2),0))</f>
        <v/>
      </c>
      <c r="M190" s="62" t="str">
        <f>IF(A190="","",IFERROR(INDEX(fa_cname,MATCH(A190,fa_num,0))&amp;"",""))</f>
        <v/>
      </c>
      <c r="N190" s="59" t="str">
        <f>IF(COUNTA(A190:G190)=0,"",IF(A190="","N° facture manquant",IF(ISNA(MATCH(A190,fa_num,0)),"Facture inconnue",IF(AND(B190&lt;&gt;"",ISNA(MATCH(B190,pr_code,0))),"Article inconnu",IF(H190="","Désignation manquante",IF(OR(NOT(ISNUMBER(D190)),N(D190)&lt;=0),"Quantité invalide",IF(J190="","Prix manquant",IF(OR(NOT(ISNUMBER(J190)),N(J190)&lt;0),"Prix invalide",IF(OR(AND(F190&lt;&gt;"",NOT(ISNUMBER(F190))),N(F190)&lt;0,N(F190)&gt;1),"Remise invalide",IF(K190="","Taux de TVA manquant",IF(NOT(ISNUMBER(K190)),"Taux de TVA invalide",IF(COUNTIF(p_rates,K190)=0,"Taux de TVA hors liste (Paramètres)",IF(N(O190)&gt;25,"Au-delà de 25 lignes : non imprimée","OK")))))))))))))</f>
        <v/>
      </c>
      <c r="O190" s="59" t="str">
        <f>IF(A190="","",COUNTIF($A$6:A190,A190))</f>
        <v/>
      </c>
      <c r="P190" s="62" t="str">
        <f>IF(A190="","",A190&amp;"|"&amp;O190)</f>
        <v/>
      </c>
    </row>
    <row r="191">
      <c r="A191" s="60" t="n"/>
      <c r="B191" s="63" t="n"/>
      <c r="C191" s="63" t="n"/>
      <c r="D191" s="67" t="n"/>
      <c r="E191" s="68" t="n"/>
      <c r="F191" s="69" t="n"/>
      <c r="G191" s="70" t="n"/>
      <c r="H191" s="62" t="str">
        <f>IF(COUNTA(A191:G191)=0,"",IF(C191&lt;&gt;"",C191,IF(B191="","",IFERROR(INDEX(pr_des,MATCH(B191,pr_code,0))&amp;"",""))))</f>
        <v/>
      </c>
      <c r="I191" s="59" t="str">
        <f>IF(B191="","",IFERROR(INDEX(pr_unit,MATCH(B191,pr_code,0))&amp;"",""))</f>
        <v/>
      </c>
      <c r="J191" s="65" t="str">
        <f>IF(COUNTA(A191:G191)=0,"",IF(E191&lt;&gt;"",E191,IF(B191="","",IFERROR(IF(INDEX(pr_price,MATCH(B191,pr_code,0))="","",INDEX(pr_price,MATCH(B191,pr_code,0))),""))))</f>
        <v/>
      </c>
      <c r="K191" s="71" t="str">
        <f>IF(COUNTA(A191:G191)=0,"",IF(G191&lt;&gt;"",G191,IF(B191="","",IFERROR(IF(INDEX(pr_rate,MATCH(B191,pr_code,0))="","",INDEX(pr_rate,MATCH(B191,pr_code,0))),""))))</f>
        <v/>
      </c>
      <c r="L191" s="65" t="str">
        <f>IF(COUNTA(A191:G191)=0,"",IF(AND(ISNUMBER(D191),ISNUMBER(J191)),ROUND(D191*J191*(1-N(F191)),2),0))</f>
        <v/>
      </c>
      <c r="M191" s="62" t="str">
        <f>IF(A191="","",IFERROR(INDEX(fa_cname,MATCH(A191,fa_num,0))&amp;"",""))</f>
        <v/>
      </c>
      <c r="N191" s="59" t="str">
        <f>IF(COUNTA(A191:G191)=0,"",IF(A191="","N° facture manquant",IF(ISNA(MATCH(A191,fa_num,0)),"Facture inconnue",IF(AND(B191&lt;&gt;"",ISNA(MATCH(B191,pr_code,0))),"Article inconnu",IF(H191="","Désignation manquante",IF(OR(NOT(ISNUMBER(D191)),N(D191)&lt;=0),"Quantité invalide",IF(J191="","Prix manquant",IF(OR(NOT(ISNUMBER(J191)),N(J191)&lt;0),"Prix invalide",IF(OR(AND(F191&lt;&gt;"",NOT(ISNUMBER(F191))),N(F191)&lt;0,N(F191)&gt;1),"Remise invalide",IF(K191="","Taux de TVA manquant",IF(NOT(ISNUMBER(K191)),"Taux de TVA invalide",IF(COUNTIF(p_rates,K191)=0,"Taux de TVA hors liste (Paramètres)",IF(N(O191)&gt;25,"Au-delà de 25 lignes : non imprimée","OK")))))))))))))</f>
        <v/>
      </c>
      <c r="O191" s="59" t="str">
        <f>IF(A191="","",COUNTIF($A$6:A191,A191))</f>
        <v/>
      </c>
      <c r="P191" s="62" t="str">
        <f>IF(A191="","",A191&amp;"|"&amp;O191)</f>
        <v/>
      </c>
    </row>
    <row r="192">
      <c r="A192" s="60" t="n"/>
      <c r="B192" s="63" t="n"/>
      <c r="C192" s="63" t="n"/>
      <c r="D192" s="67" t="n"/>
      <c r="E192" s="68" t="n"/>
      <c r="F192" s="69" t="n"/>
      <c r="G192" s="70" t="n"/>
      <c r="H192" s="62" t="str">
        <f>IF(COUNTA(A192:G192)=0,"",IF(C192&lt;&gt;"",C192,IF(B192="","",IFERROR(INDEX(pr_des,MATCH(B192,pr_code,0))&amp;"",""))))</f>
        <v/>
      </c>
      <c r="I192" s="59" t="str">
        <f>IF(B192="","",IFERROR(INDEX(pr_unit,MATCH(B192,pr_code,0))&amp;"",""))</f>
        <v/>
      </c>
      <c r="J192" s="65" t="str">
        <f>IF(COUNTA(A192:G192)=0,"",IF(E192&lt;&gt;"",E192,IF(B192="","",IFERROR(IF(INDEX(pr_price,MATCH(B192,pr_code,0))="","",INDEX(pr_price,MATCH(B192,pr_code,0))),""))))</f>
        <v/>
      </c>
      <c r="K192" s="71" t="str">
        <f>IF(COUNTA(A192:G192)=0,"",IF(G192&lt;&gt;"",G192,IF(B192="","",IFERROR(IF(INDEX(pr_rate,MATCH(B192,pr_code,0))="","",INDEX(pr_rate,MATCH(B192,pr_code,0))),""))))</f>
        <v/>
      </c>
      <c r="L192" s="65" t="str">
        <f>IF(COUNTA(A192:G192)=0,"",IF(AND(ISNUMBER(D192),ISNUMBER(J192)),ROUND(D192*J192*(1-N(F192)),2),0))</f>
        <v/>
      </c>
      <c r="M192" s="62" t="str">
        <f>IF(A192="","",IFERROR(INDEX(fa_cname,MATCH(A192,fa_num,0))&amp;"",""))</f>
        <v/>
      </c>
      <c r="N192" s="59" t="str">
        <f>IF(COUNTA(A192:G192)=0,"",IF(A192="","N° facture manquant",IF(ISNA(MATCH(A192,fa_num,0)),"Facture inconnue",IF(AND(B192&lt;&gt;"",ISNA(MATCH(B192,pr_code,0))),"Article inconnu",IF(H192="","Désignation manquante",IF(OR(NOT(ISNUMBER(D192)),N(D192)&lt;=0),"Quantité invalide",IF(J192="","Prix manquant",IF(OR(NOT(ISNUMBER(J192)),N(J192)&lt;0),"Prix invalide",IF(OR(AND(F192&lt;&gt;"",NOT(ISNUMBER(F192))),N(F192)&lt;0,N(F192)&gt;1),"Remise invalide",IF(K192="","Taux de TVA manquant",IF(NOT(ISNUMBER(K192)),"Taux de TVA invalide",IF(COUNTIF(p_rates,K192)=0,"Taux de TVA hors liste (Paramètres)",IF(N(O192)&gt;25,"Au-delà de 25 lignes : non imprimée","OK")))))))))))))</f>
        <v/>
      </c>
      <c r="O192" s="59" t="str">
        <f>IF(A192="","",COUNTIF($A$6:A192,A192))</f>
        <v/>
      </c>
      <c r="P192" s="62" t="str">
        <f>IF(A192="","",A192&amp;"|"&amp;O192)</f>
        <v/>
      </c>
    </row>
    <row r="193">
      <c r="A193" s="60" t="n"/>
      <c r="B193" s="63" t="n"/>
      <c r="C193" s="63" t="n"/>
      <c r="D193" s="67" t="n"/>
      <c r="E193" s="68" t="n"/>
      <c r="F193" s="69" t="n"/>
      <c r="G193" s="70" t="n"/>
      <c r="H193" s="62" t="str">
        <f>IF(COUNTA(A193:G193)=0,"",IF(C193&lt;&gt;"",C193,IF(B193="","",IFERROR(INDEX(pr_des,MATCH(B193,pr_code,0))&amp;"",""))))</f>
        <v/>
      </c>
      <c r="I193" s="59" t="str">
        <f>IF(B193="","",IFERROR(INDEX(pr_unit,MATCH(B193,pr_code,0))&amp;"",""))</f>
        <v/>
      </c>
      <c r="J193" s="65" t="str">
        <f>IF(COUNTA(A193:G193)=0,"",IF(E193&lt;&gt;"",E193,IF(B193="","",IFERROR(IF(INDEX(pr_price,MATCH(B193,pr_code,0))="","",INDEX(pr_price,MATCH(B193,pr_code,0))),""))))</f>
        <v/>
      </c>
      <c r="K193" s="71" t="str">
        <f>IF(COUNTA(A193:G193)=0,"",IF(G193&lt;&gt;"",G193,IF(B193="","",IFERROR(IF(INDEX(pr_rate,MATCH(B193,pr_code,0))="","",INDEX(pr_rate,MATCH(B193,pr_code,0))),""))))</f>
        <v/>
      </c>
      <c r="L193" s="65" t="str">
        <f>IF(COUNTA(A193:G193)=0,"",IF(AND(ISNUMBER(D193),ISNUMBER(J193)),ROUND(D193*J193*(1-N(F193)),2),0))</f>
        <v/>
      </c>
      <c r="M193" s="62" t="str">
        <f>IF(A193="","",IFERROR(INDEX(fa_cname,MATCH(A193,fa_num,0))&amp;"",""))</f>
        <v/>
      </c>
      <c r="N193" s="59" t="str">
        <f>IF(COUNTA(A193:G193)=0,"",IF(A193="","N° facture manquant",IF(ISNA(MATCH(A193,fa_num,0)),"Facture inconnue",IF(AND(B193&lt;&gt;"",ISNA(MATCH(B193,pr_code,0))),"Article inconnu",IF(H193="","Désignation manquante",IF(OR(NOT(ISNUMBER(D193)),N(D193)&lt;=0),"Quantité invalide",IF(J193="","Prix manquant",IF(OR(NOT(ISNUMBER(J193)),N(J193)&lt;0),"Prix invalide",IF(OR(AND(F193&lt;&gt;"",NOT(ISNUMBER(F193))),N(F193)&lt;0,N(F193)&gt;1),"Remise invalide",IF(K193="","Taux de TVA manquant",IF(NOT(ISNUMBER(K193)),"Taux de TVA invalide",IF(COUNTIF(p_rates,K193)=0,"Taux de TVA hors liste (Paramètres)",IF(N(O193)&gt;25,"Au-delà de 25 lignes : non imprimée","OK")))))))))))))</f>
        <v/>
      </c>
      <c r="O193" s="59" t="str">
        <f>IF(A193="","",COUNTIF($A$6:A193,A193))</f>
        <v/>
      </c>
      <c r="P193" s="62" t="str">
        <f>IF(A193="","",A193&amp;"|"&amp;O193)</f>
        <v/>
      </c>
    </row>
    <row r="194">
      <c r="A194" s="60" t="n"/>
      <c r="B194" s="63" t="n"/>
      <c r="C194" s="63" t="n"/>
      <c r="D194" s="67" t="n"/>
      <c r="E194" s="68" t="n"/>
      <c r="F194" s="69" t="n"/>
      <c r="G194" s="70" t="n"/>
      <c r="H194" s="62" t="str">
        <f>IF(COUNTA(A194:G194)=0,"",IF(C194&lt;&gt;"",C194,IF(B194="","",IFERROR(INDEX(pr_des,MATCH(B194,pr_code,0))&amp;"",""))))</f>
        <v/>
      </c>
      <c r="I194" s="59" t="str">
        <f>IF(B194="","",IFERROR(INDEX(pr_unit,MATCH(B194,pr_code,0))&amp;"",""))</f>
        <v/>
      </c>
      <c r="J194" s="65" t="str">
        <f>IF(COUNTA(A194:G194)=0,"",IF(E194&lt;&gt;"",E194,IF(B194="","",IFERROR(IF(INDEX(pr_price,MATCH(B194,pr_code,0))="","",INDEX(pr_price,MATCH(B194,pr_code,0))),""))))</f>
        <v/>
      </c>
      <c r="K194" s="71" t="str">
        <f>IF(COUNTA(A194:G194)=0,"",IF(G194&lt;&gt;"",G194,IF(B194="","",IFERROR(IF(INDEX(pr_rate,MATCH(B194,pr_code,0))="","",INDEX(pr_rate,MATCH(B194,pr_code,0))),""))))</f>
        <v/>
      </c>
      <c r="L194" s="65" t="str">
        <f>IF(COUNTA(A194:G194)=0,"",IF(AND(ISNUMBER(D194),ISNUMBER(J194)),ROUND(D194*J194*(1-N(F194)),2),0))</f>
        <v/>
      </c>
      <c r="M194" s="62" t="str">
        <f>IF(A194="","",IFERROR(INDEX(fa_cname,MATCH(A194,fa_num,0))&amp;"",""))</f>
        <v/>
      </c>
      <c r="N194" s="59" t="str">
        <f>IF(COUNTA(A194:G194)=0,"",IF(A194="","N° facture manquant",IF(ISNA(MATCH(A194,fa_num,0)),"Facture inconnue",IF(AND(B194&lt;&gt;"",ISNA(MATCH(B194,pr_code,0))),"Article inconnu",IF(H194="","Désignation manquante",IF(OR(NOT(ISNUMBER(D194)),N(D194)&lt;=0),"Quantité invalide",IF(J194="","Prix manquant",IF(OR(NOT(ISNUMBER(J194)),N(J194)&lt;0),"Prix invalide",IF(OR(AND(F194&lt;&gt;"",NOT(ISNUMBER(F194))),N(F194)&lt;0,N(F194)&gt;1),"Remise invalide",IF(K194="","Taux de TVA manquant",IF(NOT(ISNUMBER(K194)),"Taux de TVA invalide",IF(COUNTIF(p_rates,K194)=0,"Taux de TVA hors liste (Paramètres)",IF(N(O194)&gt;25,"Au-delà de 25 lignes : non imprimée","OK")))))))))))))</f>
        <v/>
      </c>
      <c r="O194" s="59" t="str">
        <f>IF(A194="","",COUNTIF($A$6:A194,A194))</f>
        <v/>
      </c>
      <c r="P194" s="62" t="str">
        <f>IF(A194="","",A194&amp;"|"&amp;O194)</f>
        <v/>
      </c>
    </row>
    <row r="195">
      <c r="A195" s="60" t="n"/>
      <c r="B195" s="63" t="n"/>
      <c r="C195" s="63" t="n"/>
      <c r="D195" s="67" t="n"/>
      <c r="E195" s="68" t="n"/>
      <c r="F195" s="69" t="n"/>
      <c r="G195" s="70" t="n"/>
      <c r="H195" s="62" t="str">
        <f>IF(COUNTA(A195:G195)=0,"",IF(C195&lt;&gt;"",C195,IF(B195="","",IFERROR(INDEX(pr_des,MATCH(B195,pr_code,0))&amp;"",""))))</f>
        <v/>
      </c>
      <c r="I195" s="59" t="str">
        <f>IF(B195="","",IFERROR(INDEX(pr_unit,MATCH(B195,pr_code,0))&amp;"",""))</f>
        <v/>
      </c>
      <c r="J195" s="65" t="str">
        <f>IF(COUNTA(A195:G195)=0,"",IF(E195&lt;&gt;"",E195,IF(B195="","",IFERROR(IF(INDEX(pr_price,MATCH(B195,pr_code,0))="","",INDEX(pr_price,MATCH(B195,pr_code,0))),""))))</f>
        <v/>
      </c>
      <c r="K195" s="71" t="str">
        <f>IF(COUNTA(A195:G195)=0,"",IF(G195&lt;&gt;"",G195,IF(B195="","",IFERROR(IF(INDEX(pr_rate,MATCH(B195,pr_code,0))="","",INDEX(pr_rate,MATCH(B195,pr_code,0))),""))))</f>
        <v/>
      </c>
      <c r="L195" s="65" t="str">
        <f>IF(COUNTA(A195:G195)=0,"",IF(AND(ISNUMBER(D195),ISNUMBER(J195)),ROUND(D195*J195*(1-N(F195)),2),0))</f>
        <v/>
      </c>
      <c r="M195" s="62" t="str">
        <f>IF(A195="","",IFERROR(INDEX(fa_cname,MATCH(A195,fa_num,0))&amp;"",""))</f>
        <v/>
      </c>
      <c r="N195" s="59" t="str">
        <f>IF(COUNTA(A195:G195)=0,"",IF(A195="","N° facture manquant",IF(ISNA(MATCH(A195,fa_num,0)),"Facture inconnue",IF(AND(B195&lt;&gt;"",ISNA(MATCH(B195,pr_code,0))),"Article inconnu",IF(H195="","Désignation manquante",IF(OR(NOT(ISNUMBER(D195)),N(D195)&lt;=0),"Quantité invalide",IF(J195="","Prix manquant",IF(OR(NOT(ISNUMBER(J195)),N(J195)&lt;0),"Prix invalide",IF(OR(AND(F195&lt;&gt;"",NOT(ISNUMBER(F195))),N(F195)&lt;0,N(F195)&gt;1),"Remise invalide",IF(K195="","Taux de TVA manquant",IF(NOT(ISNUMBER(K195)),"Taux de TVA invalide",IF(COUNTIF(p_rates,K195)=0,"Taux de TVA hors liste (Paramètres)",IF(N(O195)&gt;25,"Au-delà de 25 lignes : non imprimée","OK")))))))))))))</f>
        <v/>
      </c>
      <c r="O195" s="59" t="str">
        <f>IF(A195="","",COUNTIF($A$6:A195,A195))</f>
        <v/>
      </c>
      <c r="P195" s="62" t="str">
        <f>IF(A195="","",A195&amp;"|"&amp;O195)</f>
        <v/>
      </c>
    </row>
    <row r="196">
      <c r="A196" s="60" t="n"/>
      <c r="B196" s="63" t="n"/>
      <c r="C196" s="63" t="n"/>
      <c r="D196" s="67" t="n"/>
      <c r="E196" s="68" t="n"/>
      <c r="F196" s="69" t="n"/>
      <c r="G196" s="70" t="n"/>
      <c r="H196" s="62" t="str">
        <f>IF(COUNTA(A196:G196)=0,"",IF(C196&lt;&gt;"",C196,IF(B196="","",IFERROR(INDEX(pr_des,MATCH(B196,pr_code,0))&amp;"",""))))</f>
        <v/>
      </c>
      <c r="I196" s="59" t="str">
        <f>IF(B196="","",IFERROR(INDEX(pr_unit,MATCH(B196,pr_code,0))&amp;"",""))</f>
        <v/>
      </c>
      <c r="J196" s="65" t="str">
        <f>IF(COUNTA(A196:G196)=0,"",IF(E196&lt;&gt;"",E196,IF(B196="","",IFERROR(IF(INDEX(pr_price,MATCH(B196,pr_code,0))="","",INDEX(pr_price,MATCH(B196,pr_code,0))),""))))</f>
        <v/>
      </c>
      <c r="K196" s="71" t="str">
        <f>IF(COUNTA(A196:G196)=0,"",IF(G196&lt;&gt;"",G196,IF(B196="","",IFERROR(IF(INDEX(pr_rate,MATCH(B196,pr_code,0))="","",INDEX(pr_rate,MATCH(B196,pr_code,0))),""))))</f>
        <v/>
      </c>
      <c r="L196" s="65" t="str">
        <f>IF(COUNTA(A196:G196)=0,"",IF(AND(ISNUMBER(D196),ISNUMBER(J196)),ROUND(D196*J196*(1-N(F196)),2),0))</f>
        <v/>
      </c>
      <c r="M196" s="62" t="str">
        <f>IF(A196="","",IFERROR(INDEX(fa_cname,MATCH(A196,fa_num,0))&amp;"",""))</f>
        <v/>
      </c>
      <c r="N196" s="59" t="str">
        <f>IF(COUNTA(A196:G196)=0,"",IF(A196="","N° facture manquant",IF(ISNA(MATCH(A196,fa_num,0)),"Facture inconnue",IF(AND(B196&lt;&gt;"",ISNA(MATCH(B196,pr_code,0))),"Article inconnu",IF(H196="","Désignation manquante",IF(OR(NOT(ISNUMBER(D196)),N(D196)&lt;=0),"Quantité invalide",IF(J196="","Prix manquant",IF(OR(NOT(ISNUMBER(J196)),N(J196)&lt;0),"Prix invalide",IF(OR(AND(F196&lt;&gt;"",NOT(ISNUMBER(F196))),N(F196)&lt;0,N(F196)&gt;1),"Remise invalide",IF(K196="","Taux de TVA manquant",IF(NOT(ISNUMBER(K196)),"Taux de TVA invalide",IF(COUNTIF(p_rates,K196)=0,"Taux de TVA hors liste (Paramètres)",IF(N(O196)&gt;25,"Au-delà de 25 lignes : non imprimée","OK")))))))))))))</f>
        <v/>
      </c>
      <c r="O196" s="59" t="str">
        <f>IF(A196="","",COUNTIF($A$6:A196,A196))</f>
        <v/>
      </c>
      <c r="P196" s="62" t="str">
        <f>IF(A196="","",A196&amp;"|"&amp;O196)</f>
        <v/>
      </c>
    </row>
    <row r="197">
      <c r="A197" s="60" t="n"/>
      <c r="B197" s="63" t="n"/>
      <c r="C197" s="63" t="n"/>
      <c r="D197" s="67" t="n"/>
      <c r="E197" s="68" t="n"/>
      <c r="F197" s="69" t="n"/>
      <c r="G197" s="70" t="n"/>
      <c r="H197" s="62" t="str">
        <f>IF(COUNTA(A197:G197)=0,"",IF(C197&lt;&gt;"",C197,IF(B197="","",IFERROR(INDEX(pr_des,MATCH(B197,pr_code,0))&amp;"",""))))</f>
        <v/>
      </c>
      <c r="I197" s="59" t="str">
        <f>IF(B197="","",IFERROR(INDEX(pr_unit,MATCH(B197,pr_code,0))&amp;"",""))</f>
        <v/>
      </c>
      <c r="J197" s="65" t="str">
        <f>IF(COUNTA(A197:G197)=0,"",IF(E197&lt;&gt;"",E197,IF(B197="","",IFERROR(IF(INDEX(pr_price,MATCH(B197,pr_code,0))="","",INDEX(pr_price,MATCH(B197,pr_code,0))),""))))</f>
        <v/>
      </c>
      <c r="K197" s="71" t="str">
        <f>IF(COUNTA(A197:G197)=0,"",IF(G197&lt;&gt;"",G197,IF(B197="","",IFERROR(IF(INDEX(pr_rate,MATCH(B197,pr_code,0))="","",INDEX(pr_rate,MATCH(B197,pr_code,0))),""))))</f>
        <v/>
      </c>
      <c r="L197" s="65" t="str">
        <f>IF(COUNTA(A197:G197)=0,"",IF(AND(ISNUMBER(D197),ISNUMBER(J197)),ROUND(D197*J197*(1-N(F197)),2),0))</f>
        <v/>
      </c>
      <c r="M197" s="62" t="str">
        <f>IF(A197="","",IFERROR(INDEX(fa_cname,MATCH(A197,fa_num,0))&amp;"",""))</f>
        <v/>
      </c>
      <c r="N197" s="59" t="str">
        <f>IF(COUNTA(A197:G197)=0,"",IF(A197="","N° facture manquant",IF(ISNA(MATCH(A197,fa_num,0)),"Facture inconnue",IF(AND(B197&lt;&gt;"",ISNA(MATCH(B197,pr_code,0))),"Article inconnu",IF(H197="","Désignation manquante",IF(OR(NOT(ISNUMBER(D197)),N(D197)&lt;=0),"Quantité invalide",IF(J197="","Prix manquant",IF(OR(NOT(ISNUMBER(J197)),N(J197)&lt;0),"Prix invalide",IF(OR(AND(F197&lt;&gt;"",NOT(ISNUMBER(F197))),N(F197)&lt;0,N(F197)&gt;1),"Remise invalide",IF(K197="","Taux de TVA manquant",IF(NOT(ISNUMBER(K197)),"Taux de TVA invalide",IF(COUNTIF(p_rates,K197)=0,"Taux de TVA hors liste (Paramètres)",IF(N(O197)&gt;25,"Au-delà de 25 lignes : non imprimée","OK")))))))))))))</f>
        <v/>
      </c>
      <c r="O197" s="59" t="str">
        <f>IF(A197="","",COUNTIF($A$6:A197,A197))</f>
        <v/>
      </c>
      <c r="P197" s="62" t="str">
        <f>IF(A197="","",A197&amp;"|"&amp;O197)</f>
        <v/>
      </c>
    </row>
    <row r="198">
      <c r="A198" s="60" t="n"/>
      <c r="B198" s="63" t="n"/>
      <c r="C198" s="63" t="n"/>
      <c r="D198" s="67" t="n"/>
      <c r="E198" s="68" t="n"/>
      <c r="F198" s="69" t="n"/>
      <c r="G198" s="70" t="n"/>
      <c r="H198" s="62" t="str">
        <f>IF(COUNTA(A198:G198)=0,"",IF(C198&lt;&gt;"",C198,IF(B198="","",IFERROR(INDEX(pr_des,MATCH(B198,pr_code,0))&amp;"",""))))</f>
        <v/>
      </c>
      <c r="I198" s="59" t="str">
        <f>IF(B198="","",IFERROR(INDEX(pr_unit,MATCH(B198,pr_code,0))&amp;"",""))</f>
        <v/>
      </c>
      <c r="J198" s="65" t="str">
        <f>IF(COUNTA(A198:G198)=0,"",IF(E198&lt;&gt;"",E198,IF(B198="","",IFERROR(IF(INDEX(pr_price,MATCH(B198,pr_code,0))="","",INDEX(pr_price,MATCH(B198,pr_code,0))),""))))</f>
        <v/>
      </c>
      <c r="K198" s="71" t="str">
        <f>IF(COUNTA(A198:G198)=0,"",IF(G198&lt;&gt;"",G198,IF(B198="","",IFERROR(IF(INDEX(pr_rate,MATCH(B198,pr_code,0))="","",INDEX(pr_rate,MATCH(B198,pr_code,0))),""))))</f>
        <v/>
      </c>
      <c r="L198" s="65" t="str">
        <f>IF(COUNTA(A198:G198)=0,"",IF(AND(ISNUMBER(D198),ISNUMBER(J198)),ROUND(D198*J198*(1-N(F198)),2),0))</f>
        <v/>
      </c>
      <c r="M198" s="62" t="str">
        <f>IF(A198="","",IFERROR(INDEX(fa_cname,MATCH(A198,fa_num,0))&amp;"",""))</f>
        <v/>
      </c>
      <c r="N198" s="59" t="str">
        <f>IF(COUNTA(A198:G198)=0,"",IF(A198="","N° facture manquant",IF(ISNA(MATCH(A198,fa_num,0)),"Facture inconnue",IF(AND(B198&lt;&gt;"",ISNA(MATCH(B198,pr_code,0))),"Article inconnu",IF(H198="","Désignation manquante",IF(OR(NOT(ISNUMBER(D198)),N(D198)&lt;=0),"Quantité invalide",IF(J198="","Prix manquant",IF(OR(NOT(ISNUMBER(J198)),N(J198)&lt;0),"Prix invalide",IF(OR(AND(F198&lt;&gt;"",NOT(ISNUMBER(F198))),N(F198)&lt;0,N(F198)&gt;1),"Remise invalide",IF(K198="","Taux de TVA manquant",IF(NOT(ISNUMBER(K198)),"Taux de TVA invalide",IF(COUNTIF(p_rates,K198)=0,"Taux de TVA hors liste (Paramètres)",IF(N(O198)&gt;25,"Au-delà de 25 lignes : non imprimée","OK")))))))))))))</f>
        <v/>
      </c>
      <c r="O198" s="59" t="str">
        <f>IF(A198="","",COUNTIF($A$6:A198,A198))</f>
        <v/>
      </c>
      <c r="P198" s="62" t="str">
        <f>IF(A198="","",A198&amp;"|"&amp;O198)</f>
        <v/>
      </c>
    </row>
    <row r="199">
      <c r="A199" s="60" t="n"/>
      <c r="B199" s="63" t="n"/>
      <c r="C199" s="63" t="n"/>
      <c r="D199" s="67" t="n"/>
      <c r="E199" s="68" t="n"/>
      <c r="F199" s="69" t="n"/>
      <c r="G199" s="70" t="n"/>
      <c r="H199" s="62" t="str">
        <f>IF(COUNTA(A199:G199)=0,"",IF(C199&lt;&gt;"",C199,IF(B199="","",IFERROR(INDEX(pr_des,MATCH(B199,pr_code,0))&amp;"",""))))</f>
        <v/>
      </c>
      <c r="I199" s="59" t="str">
        <f>IF(B199="","",IFERROR(INDEX(pr_unit,MATCH(B199,pr_code,0))&amp;"",""))</f>
        <v/>
      </c>
      <c r="J199" s="65" t="str">
        <f>IF(COUNTA(A199:G199)=0,"",IF(E199&lt;&gt;"",E199,IF(B199="","",IFERROR(IF(INDEX(pr_price,MATCH(B199,pr_code,0))="","",INDEX(pr_price,MATCH(B199,pr_code,0))),""))))</f>
        <v/>
      </c>
      <c r="K199" s="71" t="str">
        <f>IF(COUNTA(A199:G199)=0,"",IF(G199&lt;&gt;"",G199,IF(B199="","",IFERROR(IF(INDEX(pr_rate,MATCH(B199,pr_code,0))="","",INDEX(pr_rate,MATCH(B199,pr_code,0))),""))))</f>
        <v/>
      </c>
      <c r="L199" s="65" t="str">
        <f>IF(COUNTA(A199:G199)=0,"",IF(AND(ISNUMBER(D199),ISNUMBER(J199)),ROUND(D199*J199*(1-N(F199)),2),0))</f>
        <v/>
      </c>
      <c r="M199" s="62" t="str">
        <f>IF(A199="","",IFERROR(INDEX(fa_cname,MATCH(A199,fa_num,0))&amp;"",""))</f>
        <v/>
      </c>
      <c r="N199" s="59" t="str">
        <f>IF(COUNTA(A199:G199)=0,"",IF(A199="","N° facture manquant",IF(ISNA(MATCH(A199,fa_num,0)),"Facture inconnue",IF(AND(B199&lt;&gt;"",ISNA(MATCH(B199,pr_code,0))),"Article inconnu",IF(H199="","Désignation manquante",IF(OR(NOT(ISNUMBER(D199)),N(D199)&lt;=0),"Quantité invalide",IF(J199="","Prix manquant",IF(OR(NOT(ISNUMBER(J199)),N(J199)&lt;0),"Prix invalide",IF(OR(AND(F199&lt;&gt;"",NOT(ISNUMBER(F199))),N(F199)&lt;0,N(F199)&gt;1),"Remise invalide",IF(K199="","Taux de TVA manquant",IF(NOT(ISNUMBER(K199)),"Taux de TVA invalide",IF(COUNTIF(p_rates,K199)=0,"Taux de TVA hors liste (Paramètres)",IF(N(O199)&gt;25,"Au-delà de 25 lignes : non imprimée","OK")))))))))))))</f>
        <v/>
      </c>
      <c r="O199" s="59" t="str">
        <f>IF(A199="","",COUNTIF($A$6:A199,A199))</f>
        <v/>
      </c>
      <c r="P199" s="62" t="str">
        <f>IF(A199="","",A199&amp;"|"&amp;O199)</f>
        <v/>
      </c>
    </row>
    <row r="200">
      <c r="A200" s="60" t="n"/>
      <c r="B200" s="63" t="n"/>
      <c r="C200" s="63" t="n"/>
      <c r="D200" s="67" t="n"/>
      <c r="E200" s="68" t="n"/>
      <c r="F200" s="69" t="n"/>
      <c r="G200" s="70" t="n"/>
      <c r="H200" s="62" t="str">
        <f>IF(COUNTA(A200:G200)=0,"",IF(C200&lt;&gt;"",C200,IF(B200="","",IFERROR(INDEX(pr_des,MATCH(B200,pr_code,0))&amp;"",""))))</f>
        <v/>
      </c>
      <c r="I200" s="59" t="str">
        <f>IF(B200="","",IFERROR(INDEX(pr_unit,MATCH(B200,pr_code,0))&amp;"",""))</f>
        <v/>
      </c>
      <c r="J200" s="65" t="str">
        <f>IF(COUNTA(A200:G200)=0,"",IF(E200&lt;&gt;"",E200,IF(B200="","",IFERROR(IF(INDEX(pr_price,MATCH(B200,pr_code,0))="","",INDEX(pr_price,MATCH(B200,pr_code,0))),""))))</f>
        <v/>
      </c>
      <c r="K200" s="71" t="str">
        <f>IF(COUNTA(A200:G200)=0,"",IF(G200&lt;&gt;"",G200,IF(B200="","",IFERROR(IF(INDEX(pr_rate,MATCH(B200,pr_code,0))="","",INDEX(pr_rate,MATCH(B200,pr_code,0))),""))))</f>
        <v/>
      </c>
      <c r="L200" s="65" t="str">
        <f>IF(COUNTA(A200:G200)=0,"",IF(AND(ISNUMBER(D200),ISNUMBER(J200)),ROUND(D200*J200*(1-N(F200)),2),0))</f>
        <v/>
      </c>
      <c r="M200" s="62" t="str">
        <f>IF(A200="","",IFERROR(INDEX(fa_cname,MATCH(A200,fa_num,0))&amp;"",""))</f>
        <v/>
      </c>
      <c r="N200" s="59" t="str">
        <f>IF(COUNTA(A200:G200)=0,"",IF(A200="","N° facture manquant",IF(ISNA(MATCH(A200,fa_num,0)),"Facture inconnue",IF(AND(B200&lt;&gt;"",ISNA(MATCH(B200,pr_code,0))),"Article inconnu",IF(H200="","Désignation manquante",IF(OR(NOT(ISNUMBER(D200)),N(D200)&lt;=0),"Quantité invalide",IF(J200="","Prix manquant",IF(OR(NOT(ISNUMBER(J200)),N(J200)&lt;0),"Prix invalide",IF(OR(AND(F200&lt;&gt;"",NOT(ISNUMBER(F200))),N(F200)&lt;0,N(F200)&gt;1),"Remise invalide",IF(K200="","Taux de TVA manquant",IF(NOT(ISNUMBER(K200)),"Taux de TVA invalide",IF(COUNTIF(p_rates,K200)=0,"Taux de TVA hors liste (Paramètres)",IF(N(O200)&gt;25,"Au-delà de 25 lignes : non imprimée","OK")))))))))))))</f>
        <v/>
      </c>
      <c r="O200" s="59" t="str">
        <f>IF(A200="","",COUNTIF($A$6:A200,A200))</f>
        <v/>
      </c>
      <c r="P200" s="62" t="str">
        <f>IF(A200="","",A200&amp;"|"&amp;O200)</f>
        <v/>
      </c>
    </row>
    <row r="201">
      <c r="A201" s="60" t="n"/>
      <c r="B201" s="63" t="n"/>
      <c r="C201" s="63" t="n"/>
      <c r="D201" s="67" t="n"/>
      <c r="E201" s="68" t="n"/>
      <c r="F201" s="69" t="n"/>
      <c r="G201" s="70" t="n"/>
      <c r="H201" s="62" t="str">
        <f>IF(COUNTA(A201:G201)=0,"",IF(C201&lt;&gt;"",C201,IF(B201="","",IFERROR(INDEX(pr_des,MATCH(B201,pr_code,0))&amp;"",""))))</f>
        <v/>
      </c>
      <c r="I201" s="59" t="str">
        <f>IF(B201="","",IFERROR(INDEX(pr_unit,MATCH(B201,pr_code,0))&amp;"",""))</f>
        <v/>
      </c>
      <c r="J201" s="65" t="str">
        <f>IF(COUNTA(A201:G201)=0,"",IF(E201&lt;&gt;"",E201,IF(B201="","",IFERROR(IF(INDEX(pr_price,MATCH(B201,pr_code,0))="","",INDEX(pr_price,MATCH(B201,pr_code,0))),""))))</f>
        <v/>
      </c>
      <c r="K201" s="71" t="str">
        <f>IF(COUNTA(A201:G201)=0,"",IF(G201&lt;&gt;"",G201,IF(B201="","",IFERROR(IF(INDEX(pr_rate,MATCH(B201,pr_code,0))="","",INDEX(pr_rate,MATCH(B201,pr_code,0))),""))))</f>
        <v/>
      </c>
      <c r="L201" s="65" t="str">
        <f>IF(COUNTA(A201:G201)=0,"",IF(AND(ISNUMBER(D201),ISNUMBER(J201)),ROUND(D201*J201*(1-N(F201)),2),0))</f>
        <v/>
      </c>
      <c r="M201" s="62" t="str">
        <f>IF(A201="","",IFERROR(INDEX(fa_cname,MATCH(A201,fa_num,0))&amp;"",""))</f>
        <v/>
      </c>
      <c r="N201" s="59" t="str">
        <f>IF(COUNTA(A201:G201)=0,"",IF(A201="","N° facture manquant",IF(ISNA(MATCH(A201,fa_num,0)),"Facture inconnue",IF(AND(B201&lt;&gt;"",ISNA(MATCH(B201,pr_code,0))),"Article inconnu",IF(H201="","Désignation manquante",IF(OR(NOT(ISNUMBER(D201)),N(D201)&lt;=0),"Quantité invalide",IF(J201="","Prix manquant",IF(OR(NOT(ISNUMBER(J201)),N(J201)&lt;0),"Prix invalide",IF(OR(AND(F201&lt;&gt;"",NOT(ISNUMBER(F201))),N(F201)&lt;0,N(F201)&gt;1),"Remise invalide",IF(K201="","Taux de TVA manquant",IF(NOT(ISNUMBER(K201)),"Taux de TVA invalide",IF(COUNTIF(p_rates,K201)=0,"Taux de TVA hors liste (Paramètres)",IF(N(O201)&gt;25,"Au-delà de 25 lignes : non imprimée","OK")))))))))))))</f>
        <v/>
      </c>
      <c r="O201" s="59" t="str">
        <f>IF(A201="","",COUNTIF($A$6:A201,A201))</f>
        <v/>
      </c>
      <c r="P201" s="62" t="str">
        <f>IF(A201="","",A201&amp;"|"&amp;O201)</f>
        <v/>
      </c>
    </row>
    <row r="202">
      <c r="A202" s="60" t="n"/>
      <c r="B202" s="63" t="n"/>
      <c r="C202" s="63" t="n"/>
      <c r="D202" s="67" t="n"/>
      <c r="E202" s="68" t="n"/>
      <c r="F202" s="69" t="n"/>
      <c r="G202" s="70" t="n"/>
      <c r="H202" s="62" t="str">
        <f>IF(COUNTA(A202:G202)=0,"",IF(C202&lt;&gt;"",C202,IF(B202="","",IFERROR(INDEX(pr_des,MATCH(B202,pr_code,0))&amp;"",""))))</f>
        <v/>
      </c>
      <c r="I202" s="59" t="str">
        <f>IF(B202="","",IFERROR(INDEX(pr_unit,MATCH(B202,pr_code,0))&amp;"",""))</f>
        <v/>
      </c>
      <c r="J202" s="65" t="str">
        <f>IF(COUNTA(A202:G202)=0,"",IF(E202&lt;&gt;"",E202,IF(B202="","",IFERROR(IF(INDEX(pr_price,MATCH(B202,pr_code,0))="","",INDEX(pr_price,MATCH(B202,pr_code,0))),""))))</f>
        <v/>
      </c>
      <c r="K202" s="71" t="str">
        <f>IF(COUNTA(A202:G202)=0,"",IF(G202&lt;&gt;"",G202,IF(B202="","",IFERROR(IF(INDEX(pr_rate,MATCH(B202,pr_code,0))="","",INDEX(pr_rate,MATCH(B202,pr_code,0))),""))))</f>
        <v/>
      </c>
      <c r="L202" s="65" t="str">
        <f>IF(COUNTA(A202:G202)=0,"",IF(AND(ISNUMBER(D202),ISNUMBER(J202)),ROUND(D202*J202*(1-N(F202)),2),0))</f>
        <v/>
      </c>
      <c r="M202" s="62" t="str">
        <f>IF(A202="","",IFERROR(INDEX(fa_cname,MATCH(A202,fa_num,0))&amp;"",""))</f>
        <v/>
      </c>
      <c r="N202" s="59" t="str">
        <f>IF(COUNTA(A202:G202)=0,"",IF(A202="","N° facture manquant",IF(ISNA(MATCH(A202,fa_num,0)),"Facture inconnue",IF(AND(B202&lt;&gt;"",ISNA(MATCH(B202,pr_code,0))),"Article inconnu",IF(H202="","Désignation manquante",IF(OR(NOT(ISNUMBER(D202)),N(D202)&lt;=0),"Quantité invalide",IF(J202="","Prix manquant",IF(OR(NOT(ISNUMBER(J202)),N(J202)&lt;0),"Prix invalide",IF(OR(AND(F202&lt;&gt;"",NOT(ISNUMBER(F202))),N(F202)&lt;0,N(F202)&gt;1),"Remise invalide",IF(K202="","Taux de TVA manquant",IF(NOT(ISNUMBER(K202)),"Taux de TVA invalide",IF(COUNTIF(p_rates,K202)=0,"Taux de TVA hors liste (Paramètres)",IF(N(O202)&gt;25,"Au-delà de 25 lignes : non imprimée","OK")))))))))))))</f>
        <v/>
      </c>
      <c r="O202" s="59" t="str">
        <f>IF(A202="","",COUNTIF($A$6:A202,A202))</f>
        <v/>
      </c>
      <c r="P202" s="62" t="str">
        <f>IF(A202="","",A202&amp;"|"&amp;O202)</f>
        <v/>
      </c>
    </row>
    <row r="203">
      <c r="A203" s="60" t="n"/>
      <c r="B203" s="63" t="n"/>
      <c r="C203" s="63" t="n"/>
      <c r="D203" s="67" t="n"/>
      <c r="E203" s="68" t="n"/>
      <c r="F203" s="69" t="n"/>
      <c r="G203" s="70" t="n"/>
      <c r="H203" s="62" t="str">
        <f>IF(COUNTA(A203:G203)=0,"",IF(C203&lt;&gt;"",C203,IF(B203="","",IFERROR(INDEX(pr_des,MATCH(B203,pr_code,0))&amp;"",""))))</f>
        <v/>
      </c>
      <c r="I203" s="59" t="str">
        <f>IF(B203="","",IFERROR(INDEX(pr_unit,MATCH(B203,pr_code,0))&amp;"",""))</f>
        <v/>
      </c>
      <c r="J203" s="65" t="str">
        <f>IF(COUNTA(A203:G203)=0,"",IF(E203&lt;&gt;"",E203,IF(B203="","",IFERROR(IF(INDEX(pr_price,MATCH(B203,pr_code,0))="","",INDEX(pr_price,MATCH(B203,pr_code,0))),""))))</f>
        <v/>
      </c>
      <c r="K203" s="71" t="str">
        <f>IF(COUNTA(A203:G203)=0,"",IF(G203&lt;&gt;"",G203,IF(B203="","",IFERROR(IF(INDEX(pr_rate,MATCH(B203,pr_code,0))="","",INDEX(pr_rate,MATCH(B203,pr_code,0))),""))))</f>
        <v/>
      </c>
      <c r="L203" s="65" t="str">
        <f>IF(COUNTA(A203:G203)=0,"",IF(AND(ISNUMBER(D203),ISNUMBER(J203)),ROUND(D203*J203*(1-N(F203)),2),0))</f>
        <v/>
      </c>
      <c r="M203" s="62" t="str">
        <f>IF(A203="","",IFERROR(INDEX(fa_cname,MATCH(A203,fa_num,0))&amp;"",""))</f>
        <v/>
      </c>
      <c r="N203" s="59" t="str">
        <f>IF(COUNTA(A203:G203)=0,"",IF(A203="","N° facture manquant",IF(ISNA(MATCH(A203,fa_num,0)),"Facture inconnue",IF(AND(B203&lt;&gt;"",ISNA(MATCH(B203,pr_code,0))),"Article inconnu",IF(H203="","Désignation manquante",IF(OR(NOT(ISNUMBER(D203)),N(D203)&lt;=0),"Quantité invalide",IF(J203="","Prix manquant",IF(OR(NOT(ISNUMBER(J203)),N(J203)&lt;0),"Prix invalide",IF(OR(AND(F203&lt;&gt;"",NOT(ISNUMBER(F203))),N(F203)&lt;0,N(F203)&gt;1),"Remise invalide",IF(K203="","Taux de TVA manquant",IF(NOT(ISNUMBER(K203)),"Taux de TVA invalide",IF(COUNTIF(p_rates,K203)=0,"Taux de TVA hors liste (Paramètres)",IF(N(O203)&gt;25,"Au-delà de 25 lignes : non imprimée","OK")))))))))))))</f>
        <v/>
      </c>
      <c r="O203" s="59" t="str">
        <f>IF(A203="","",COUNTIF($A$6:A203,A203))</f>
        <v/>
      </c>
      <c r="P203" s="62" t="str">
        <f>IF(A203="","",A203&amp;"|"&amp;O203)</f>
        <v/>
      </c>
    </row>
    <row r="204">
      <c r="A204" s="60" t="n"/>
      <c r="B204" s="63" t="n"/>
      <c r="C204" s="63" t="n"/>
      <c r="D204" s="67" t="n"/>
      <c r="E204" s="68" t="n"/>
      <c r="F204" s="69" t="n"/>
      <c r="G204" s="70" t="n"/>
      <c r="H204" s="62" t="str">
        <f>IF(COUNTA(A204:G204)=0,"",IF(C204&lt;&gt;"",C204,IF(B204="","",IFERROR(INDEX(pr_des,MATCH(B204,pr_code,0))&amp;"",""))))</f>
        <v/>
      </c>
      <c r="I204" s="59" t="str">
        <f>IF(B204="","",IFERROR(INDEX(pr_unit,MATCH(B204,pr_code,0))&amp;"",""))</f>
        <v/>
      </c>
      <c r="J204" s="65" t="str">
        <f>IF(COUNTA(A204:G204)=0,"",IF(E204&lt;&gt;"",E204,IF(B204="","",IFERROR(IF(INDEX(pr_price,MATCH(B204,pr_code,0))="","",INDEX(pr_price,MATCH(B204,pr_code,0))),""))))</f>
        <v/>
      </c>
      <c r="K204" s="71" t="str">
        <f>IF(COUNTA(A204:G204)=0,"",IF(G204&lt;&gt;"",G204,IF(B204="","",IFERROR(IF(INDEX(pr_rate,MATCH(B204,pr_code,0))="","",INDEX(pr_rate,MATCH(B204,pr_code,0))),""))))</f>
        <v/>
      </c>
      <c r="L204" s="65" t="str">
        <f>IF(COUNTA(A204:G204)=0,"",IF(AND(ISNUMBER(D204),ISNUMBER(J204)),ROUND(D204*J204*(1-N(F204)),2),0))</f>
        <v/>
      </c>
      <c r="M204" s="62" t="str">
        <f>IF(A204="","",IFERROR(INDEX(fa_cname,MATCH(A204,fa_num,0))&amp;"",""))</f>
        <v/>
      </c>
      <c r="N204" s="59" t="str">
        <f>IF(COUNTA(A204:G204)=0,"",IF(A204="","N° facture manquant",IF(ISNA(MATCH(A204,fa_num,0)),"Facture inconnue",IF(AND(B204&lt;&gt;"",ISNA(MATCH(B204,pr_code,0))),"Article inconnu",IF(H204="","Désignation manquante",IF(OR(NOT(ISNUMBER(D204)),N(D204)&lt;=0),"Quantité invalide",IF(J204="","Prix manquant",IF(OR(NOT(ISNUMBER(J204)),N(J204)&lt;0),"Prix invalide",IF(OR(AND(F204&lt;&gt;"",NOT(ISNUMBER(F204))),N(F204)&lt;0,N(F204)&gt;1),"Remise invalide",IF(K204="","Taux de TVA manquant",IF(NOT(ISNUMBER(K204)),"Taux de TVA invalide",IF(COUNTIF(p_rates,K204)=0,"Taux de TVA hors liste (Paramètres)",IF(N(O204)&gt;25,"Au-delà de 25 lignes : non imprimée","OK")))))))))))))</f>
        <v/>
      </c>
      <c r="O204" s="59" t="str">
        <f>IF(A204="","",COUNTIF($A$6:A204,A204))</f>
        <v/>
      </c>
      <c r="P204" s="62" t="str">
        <f>IF(A204="","",A204&amp;"|"&amp;O204)</f>
        <v/>
      </c>
    </row>
    <row r="205">
      <c r="A205" s="60" t="n"/>
      <c r="B205" s="63" t="n"/>
      <c r="C205" s="63" t="n"/>
      <c r="D205" s="67" t="n"/>
      <c r="E205" s="68" t="n"/>
      <c r="F205" s="69" t="n"/>
      <c r="G205" s="70" t="n"/>
      <c r="H205" s="62" t="str">
        <f>IF(COUNTA(A205:G205)=0,"",IF(C205&lt;&gt;"",C205,IF(B205="","",IFERROR(INDEX(pr_des,MATCH(B205,pr_code,0))&amp;"",""))))</f>
        <v/>
      </c>
      <c r="I205" s="59" t="str">
        <f>IF(B205="","",IFERROR(INDEX(pr_unit,MATCH(B205,pr_code,0))&amp;"",""))</f>
        <v/>
      </c>
      <c r="J205" s="65" t="str">
        <f>IF(COUNTA(A205:G205)=0,"",IF(E205&lt;&gt;"",E205,IF(B205="","",IFERROR(IF(INDEX(pr_price,MATCH(B205,pr_code,0))="","",INDEX(pr_price,MATCH(B205,pr_code,0))),""))))</f>
        <v/>
      </c>
      <c r="K205" s="71" t="str">
        <f>IF(COUNTA(A205:G205)=0,"",IF(G205&lt;&gt;"",G205,IF(B205="","",IFERROR(IF(INDEX(pr_rate,MATCH(B205,pr_code,0))="","",INDEX(pr_rate,MATCH(B205,pr_code,0))),""))))</f>
        <v/>
      </c>
      <c r="L205" s="65" t="str">
        <f>IF(COUNTA(A205:G205)=0,"",IF(AND(ISNUMBER(D205),ISNUMBER(J205)),ROUND(D205*J205*(1-N(F205)),2),0))</f>
        <v/>
      </c>
      <c r="M205" s="62" t="str">
        <f>IF(A205="","",IFERROR(INDEX(fa_cname,MATCH(A205,fa_num,0))&amp;"",""))</f>
        <v/>
      </c>
      <c r="N205" s="59" t="str">
        <f>IF(COUNTA(A205:G205)=0,"",IF(A205="","N° facture manquant",IF(ISNA(MATCH(A205,fa_num,0)),"Facture inconnue",IF(AND(B205&lt;&gt;"",ISNA(MATCH(B205,pr_code,0))),"Article inconnu",IF(H205="","Désignation manquante",IF(OR(NOT(ISNUMBER(D205)),N(D205)&lt;=0),"Quantité invalide",IF(J205="","Prix manquant",IF(OR(NOT(ISNUMBER(J205)),N(J205)&lt;0),"Prix invalide",IF(OR(AND(F205&lt;&gt;"",NOT(ISNUMBER(F205))),N(F205)&lt;0,N(F205)&gt;1),"Remise invalide",IF(K205="","Taux de TVA manquant",IF(NOT(ISNUMBER(K205)),"Taux de TVA invalide",IF(COUNTIF(p_rates,K205)=0,"Taux de TVA hors liste (Paramètres)",IF(N(O205)&gt;25,"Au-delà de 25 lignes : non imprimée","OK")))))))))))))</f>
        <v/>
      </c>
      <c r="O205" s="59" t="str">
        <f>IF(A205="","",COUNTIF($A$6:A205,A205))</f>
        <v/>
      </c>
      <c r="P205" s="62" t="str">
        <f>IF(A205="","",A205&amp;"|"&amp;O205)</f>
        <v/>
      </c>
    </row>
    <row r="206">
      <c r="A206" s="60" t="n"/>
      <c r="B206" s="63" t="n"/>
      <c r="C206" s="63" t="n"/>
      <c r="D206" s="67" t="n"/>
      <c r="E206" s="68" t="n"/>
      <c r="F206" s="69" t="n"/>
      <c r="G206" s="70" t="n"/>
      <c r="H206" s="62" t="str">
        <f>IF(COUNTA(A206:G206)=0,"",IF(C206&lt;&gt;"",C206,IF(B206="","",IFERROR(INDEX(pr_des,MATCH(B206,pr_code,0))&amp;"",""))))</f>
        <v/>
      </c>
      <c r="I206" s="59" t="str">
        <f>IF(B206="","",IFERROR(INDEX(pr_unit,MATCH(B206,pr_code,0))&amp;"",""))</f>
        <v/>
      </c>
      <c r="J206" s="65" t="str">
        <f>IF(COUNTA(A206:G206)=0,"",IF(E206&lt;&gt;"",E206,IF(B206="","",IFERROR(IF(INDEX(pr_price,MATCH(B206,pr_code,0))="","",INDEX(pr_price,MATCH(B206,pr_code,0))),""))))</f>
        <v/>
      </c>
      <c r="K206" s="71" t="str">
        <f>IF(COUNTA(A206:G206)=0,"",IF(G206&lt;&gt;"",G206,IF(B206="","",IFERROR(IF(INDEX(pr_rate,MATCH(B206,pr_code,0))="","",INDEX(pr_rate,MATCH(B206,pr_code,0))),""))))</f>
        <v/>
      </c>
      <c r="L206" s="65" t="str">
        <f>IF(COUNTA(A206:G206)=0,"",IF(AND(ISNUMBER(D206),ISNUMBER(J206)),ROUND(D206*J206*(1-N(F206)),2),0))</f>
        <v/>
      </c>
      <c r="M206" s="62" t="str">
        <f>IF(A206="","",IFERROR(INDEX(fa_cname,MATCH(A206,fa_num,0))&amp;"",""))</f>
        <v/>
      </c>
      <c r="N206" s="59" t="str">
        <f>IF(COUNTA(A206:G206)=0,"",IF(A206="","N° facture manquant",IF(ISNA(MATCH(A206,fa_num,0)),"Facture inconnue",IF(AND(B206&lt;&gt;"",ISNA(MATCH(B206,pr_code,0))),"Article inconnu",IF(H206="","Désignation manquante",IF(OR(NOT(ISNUMBER(D206)),N(D206)&lt;=0),"Quantité invalide",IF(J206="","Prix manquant",IF(OR(NOT(ISNUMBER(J206)),N(J206)&lt;0),"Prix invalide",IF(OR(AND(F206&lt;&gt;"",NOT(ISNUMBER(F206))),N(F206)&lt;0,N(F206)&gt;1),"Remise invalide",IF(K206="","Taux de TVA manquant",IF(NOT(ISNUMBER(K206)),"Taux de TVA invalide",IF(COUNTIF(p_rates,K206)=0,"Taux de TVA hors liste (Paramètres)",IF(N(O206)&gt;25,"Au-delà de 25 lignes : non imprimée","OK")))))))))))))</f>
        <v/>
      </c>
      <c r="O206" s="59" t="str">
        <f>IF(A206="","",COUNTIF($A$6:A206,A206))</f>
        <v/>
      </c>
      <c r="P206" s="62" t="str">
        <f>IF(A206="","",A206&amp;"|"&amp;O206)</f>
        <v/>
      </c>
    </row>
    <row r="207">
      <c r="A207" s="60" t="n"/>
      <c r="B207" s="63" t="n"/>
      <c r="C207" s="63" t="n"/>
      <c r="D207" s="67" t="n"/>
      <c r="E207" s="68" t="n"/>
      <c r="F207" s="69" t="n"/>
      <c r="G207" s="70" t="n"/>
      <c r="H207" s="62" t="str">
        <f>IF(COUNTA(A207:G207)=0,"",IF(C207&lt;&gt;"",C207,IF(B207="","",IFERROR(INDEX(pr_des,MATCH(B207,pr_code,0))&amp;"",""))))</f>
        <v/>
      </c>
      <c r="I207" s="59" t="str">
        <f>IF(B207="","",IFERROR(INDEX(pr_unit,MATCH(B207,pr_code,0))&amp;"",""))</f>
        <v/>
      </c>
      <c r="J207" s="65" t="str">
        <f>IF(COUNTA(A207:G207)=0,"",IF(E207&lt;&gt;"",E207,IF(B207="","",IFERROR(IF(INDEX(pr_price,MATCH(B207,pr_code,0))="","",INDEX(pr_price,MATCH(B207,pr_code,0))),""))))</f>
        <v/>
      </c>
      <c r="K207" s="71" t="str">
        <f>IF(COUNTA(A207:G207)=0,"",IF(G207&lt;&gt;"",G207,IF(B207="","",IFERROR(IF(INDEX(pr_rate,MATCH(B207,pr_code,0))="","",INDEX(pr_rate,MATCH(B207,pr_code,0))),""))))</f>
        <v/>
      </c>
      <c r="L207" s="65" t="str">
        <f>IF(COUNTA(A207:G207)=0,"",IF(AND(ISNUMBER(D207),ISNUMBER(J207)),ROUND(D207*J207*(1-N(F207)),2),0))</f>
        <v/>
      </c>
      <c r="M207" s="62" t="str">
        <f>IF(A207="","",IFERROR(INDEX(fa_cname,MATCH(A207,fa_num,0))&amp;"",""))</f>
        <v/>
      </c>
      <c r="N207" s="59" t="str">
        <f>IF(COUNTA(A207:G207)=0,"",IF(A207="","N° facture manquant",IF(ISNA(MATCH(A207,fa_num,0)),"Facture inconnue",IF(AND(B207&lt;&gt;"",ISNA(MATCH(B207,pr_code,0))),"Article inconnu",IF(H207="","Désignation manquante",IF(OR(NOT(ISNUMBER(D207)),N(D207)&lt;=0),"Quantité invalide",IF(J207="","Prix manquant",IF(OR(NOT(ISNUMBER(J207)),N(J207)&lt;0),"Prix invalide",IF(OR(AND(F207&lt;&gt;"",NOT(ISNUMBER(F207))),N(F207)&lt;0,N(F207)&gt;1),"Remise invalide",IF(K207="","Taux de TVA manquant",IF(NOT(ISNUMBER(K207)),"Taux de TVA invalide",IF(COUNTIF(p_rates,K207)=0,"Taux de TVA hors liste (Paramètres)",IF(N(O207)&gt;25,"Au-delà de 25 lignes : non imprimée","OK")))))))))))))</f>
        <v/>
      </c>
      <c r="O207" s="59" t="str">
        <f>IF(A207="","",COUNTIF($A$6:A207,A207))</f>
        <v/>
      </c>
      <c r="P207" s="62" t="str">
        <f>IF(A207="","",A207&amp;"|"&amp;O207)</f>
        <v/>
      </c>
    </row>
    <row r="208">
      <c r="A208" s="60" t="n"/>
      <c r="B208" s="63" t="n"/>
      <c r="C208" s="63" t="n"/>
      <c r="D208" s="67" t="n"/>
      <c r="E208" s="68" t="n"/>
      <c r="F208" s="69" t="n"/>
      <c r="G208" s="70" t="n"/>
      <c r="H208" s="62" t="str">
        <f>IF(COUNTA(A208:G208)=0,"",IF(C208&lt;&gt;"",C208,IF(B208="","",IFERROR(INDEX(pr_des,MATCH(B208,pr_code,0))&amp;"",""))))</f>
        <v/>
      </c>
      <c r="I208" s="59" t="str">
        <f>IF(B208="","",IFERROR(INDEX(pr_unit,MATCH(B208,pr_code,0))&amp;"",""))</f>
        <v/>
      </c>
      <c r="J208" s="65" t="str">
        <f>IF(COUNTA(A208:G208)=0,"",IF(E208&lt;&gt;"",E208,IF(B208="","",IFERROR(IF(INDEX(pr_price,MATCH(B208,pr_code,0))="","",INDEX(pr_price,MATCH(B208,pr_code,0))),""))))</f>
        <v/>
      </c>
      <c r="K208" s="71" t="str">
        <f>IF(COUNTA(A208:G208)=0,"",IF(G208&lt;&gt;"",G208,IF(B208="","",IFERROR(IF(INDEX(pr_rate,MATCH(B208,pr_code,0))="","",INDEX(pr_rate,MATCH(B208,pr_code,0))),""))))</f>
        <v/>
      </c>
      <c r="L208" s="65" t="str">
        <f>IF(COUNTA(A208:G208)=0,"",IF(AND(ISNUMBER(D208),ISNUMBER(J208)),ROUND(D208*J208*(1-N(F208)),2),0))</f>
        <v/>
      </c>
      <c r="M208" s="62" t="str">
        <f>IF(A208="","",IFERROR(INDEX(fa_cname,MATCH(A208,fa_num,0))&amp;"",""))</f>
        <v/>
      </c>
      <c r="N208" s="59" t="str">
        <f>IF(COUNTA(A208:G208)=0,"",IF(A208="","N° facture manquant",IF(ISNA(MATCH(A208,fa_num,0)),"Facture inconnue",IF(AND(B208&lt;&gt;"",ISNA(MATCH(B208,pr_code,0))),"Article inconnu",IF(H208="","Désignation manquante",IF(OR(NOT(ISNUMBER(D208)),N(D208)&lt;=0),"Quantité invalide",IF(J208="","Prix manquant",IF(OR(NOT(ISNUMBER(J208)),N(J208)&lt;0),"Prix invalide",IF(OR(AND(F208&lt;&gt;"",NOT(ISNUMBER(F208))),N(F208)&lt;0,N(F208)&gt;1),"Remise invalide",IF(K208="","Taux de TVA manquant",IF(NOT(ISNUMBER(K208)),"Taux de TVA invalide",IF(COUNTIF(p_rates,K208)=0,"Taux de TVA hors liste (Paramètres)",IF(N(O208)&gt;25,"Au-delà de 25 lignes : non imprimée","OK")))))))))))))</f>
        <v/>
      </c>
      <c r="O208" s="59" t="str">
        <f>IF(A208="","",COUNTIF($A$6:A208,A208))</f>
        <v/>
      </c>
      <c r="P208" s="62" t="str">
        <f>IF(A208="","",A208&amp;"|"&amp;O208)</f>
        <v/>
      </c>
    </row>
    <row r="209">
      <c r="A209" s="60" t="n"/>
      <c r="B209" s="63" t="n"/>
      <c r="C209" s="63" t="n"/>
      <c r="D209" s="67" t="n"/>
      <c r="E209" s="68" t="n"/>
      <c r="F209" s="69" t="n"/>
      <c r="G209" s="70" t="n"/>
      <c r="H209" s="62" t="str">
        <f>IF(COUNTA(A209:G209)=0,"",IF(C209&lt;&gt;"",C209,IF(B209="","",IFERROR(INDEX(pr_des,MATCH(B209,pr_code,0))&amp;"",""))))</f>
        <v/>
      </c>
      <c r="I209" s="59" t="str">
        <f>IF(B209="","",IFERROR(INDEX(pr_unit,MATCH(B209,pr_code,0))&amp;"",""))</f>
        <v/>
      </c>
      <c r="J209" s="65" t="str">
        <f>IF(COUNTA(A209:G209)=0,"",IF(E209&lt;&gt;"",E209,IF(B209="","",IFERROR(IF(INDEX(pr_price,MATCH(B209,pr_code,0))="","",INDEX(pr_price,MATCH(B209,pr_code,0))),""))))</f>
        <v/>
      </c>
      <c r="K209" s="71" t="str">
        <f>IF(COUNTA(A209:G209)=0,"",IF(G209&lt;&gt;"",G209,IF(B209="","",IFERROR(IF(INDEX(pr_rate,MATCH(B209,pr_code,0))="","",INDEX(pr_rate,MATCH(B209,pr_code,0))),""))))</f>
        <v/>
      </c>
      <c r="L209" s="65" t="str">
        <f>IF(COUNTA(A209:G209)=0,"",IF(AND(ISNUMBER(D209),ISNUMBER(J209)),ROUND(D209*J209*(1-N(F209)),2),0))</f>
        <v/>
      </c>
      <c r="M209" s="62" t="str">
        <f>IF(A209="","",IFERROR(INDEX(fa_cname,MATCH(A209,fa_num,0))&amp;"",""))</f>
        <v/>
      </c>
      <c r="N209" s="59" t="str">
        <f>IF(COUNTA(A209:G209)=0,"",IF(A209="","N° facture manquant",IF(ISNA(MATCH(A209,fa_num,0)),"Facture inconnue",IF(AND(B209&lt;&gt;"",ISNA(MATCH(B209,pr_code,0))),"Article inconnu",IF(H209="","Désignation manquante",IF(OR(NOT(ISNUMBER(D209)),N(D209)&lt;=0),"Quantité invalide",IF(J209="","Prix manquant",IF(OR(NOT(ISNUMBER(J209)),N(J209)&lt;0),"Prix invalide",IF(OR(AND(F209&lt;&gt;"",NOT(ISNUMBER(F209))),N(F209)&lt;0,N(F209)&gt;1),"Remise invalide",IF(K209="","Taux de TVA manquant",IF(NOT(ISNUMBER(K209)),"Taux de TVA invalide",IF(COUNTIF(p_rates,K209)=0,"Taux de TVA hors liste (Paramètres)",IF(N(O209)&gt;25,"Au-delà de 25 lignes : non imprimée","OK")))))))))))))</f>
        <v/>
      </c>
      <c r="O209" s="59" t="str">
        <f>IF(A209="","",COUNTIF($A$6:A209,A209))</f>
        <v/>
      </c>
      <c r="P209" s="62" t="str">
        <f>IF(A209="","",A209&amp;"|"&amp;O209)</f>
        <v/>
      </c>
    </row>
    <row r="210">
      <c r="A210" s="60" t="n"/>
      <c r="B210" s="63" t="n"/>
      <c r="C210" s="63" t="n"/>
      <c r="D210" s="67" t="n"/>
      <c r="E210" s="68" t="n"/>
      <c r="F210" s="69" t="n"/>
      <c r="G210" s="70" t="n"/>
      <c r="H210" s="62" t="str">
        <f>IF(COUNTA(A210:G210)=0,"",IF(C210&lt;&gt;"",C210,IF(B210="","",IFERROR(INDEX(pr_des,MATCH(B210,pr_code,0))&amp;"",""))))</f>
        <v/>
      </c>
      <c r="I210" s="59" t="str">
        <f>IF(B210="","",IFERROR(INDEX(pr_unit,MATCH(B210,pr_code,0))&amp;"",""))</f>
        <v/>
      </c>
      <c r="J210" s="65" t="str">
        <f>IF(COUNTA(A210:G210)=0,"",IF(E210&lt;&gt;"",E210,IF(B210="","",IFERROR(IF(INDEX(pr_price,MATCH(B210,pr_code,0))="","",INDEX(pr_price,MATCH(B210,pr_code,0))),""))))</f>
        <v/>
      </c>
      <c r="K210" s="71" t="str">
        <f>IF(COUNTA(A210:G210)=0,"",IF(G210&lt;&gt;"",G210,IF(B210="","",IFERROR(IF(INDEX(pr_rate,MATCH(B210,pr_code,0))="","",INDEX(pr_rate,MATCH(B210,pr_code,0))),""))))</f>
        <v/>
      </c>
      <c r="L210" s="65" t="str">
        <f>IF(COUNTA(A210:G210)=0,"",IF(AND(ISNUMBER(D210),ISNUMBER(J210)),ROUND(D210*J210*(1-N(F210)),2),0))</f>
        <v/>
      </c>
      <c r="M210" s="62" t="str">
        <f>IF(A210="","",IFERROR(INDEX(fa_cname,MATCH(A210,fa_num,0))&amp;"",""))</f>
        <v/>
      </c>
      <c r="N210" s="59" t="str">
        <f>IF(COUNTA(A210:G210)=0,"",IF(A210="","N° facture manquant",IF(ISNA(MATCH(A210,fa_num,0)),"Facture inconnue",IF(AND(B210&lt;&gt;"",ISNA(MATCH(B210,pr_code,0))),"Article inconnu",IF(H210="","Désignation manquante",IF(OR(NOT(ISNUMBER(D210)),N(D210)&lt;=0),"Quantité invalide",IF(J210="","Prix manquant",IF(OR(NOT(ISNUMBER(J210)),N(J210)&lt;0),"Prix invalide",IF(OR(AND(F210&lt;&gt;"",NOT(ISNUMBER(F210))),N(F210)&lt;0,N(F210)&gt;1),"Remise invalide",IF(K210="","Taux de TVA manquant",IF(NOT(ISNUMBER(K210)),"Taux de TVA invalide",IF(COUNTIF(p_rates,K210)=0,"Taux de TVA hors liste (Paramètres)",IF(N(O210)&gt;25,"Au-delà de 25 lignes : non imprimée","OK")))))))))))))</f>
        <v/>
      </c>
      <c r="O210" s="59" t="str">
        <f>IF(A210="","",COUNTIF($A$6:A210,A210))</f>
        <v/>
      </c>
      <c r="P210" s="62" t="str">
        <f>IF(A210="","",A210&amp;"|"&amp;O210)</f>
        <v/>
      </c>
    </row>
    <row r="211">
      <c r="A211" s="60" t="n"/>
      <c r="B211" s="63" t="n"/>
      <c r="C211" s="63" t="n"/>
      <c r="D211" s="67" t="n"/>
      <c r="E211" s="68" t="n"/>
      <c r="F211" s="69" t="n"/>
      <c r="G211" s="70" t="n"/>
      <c r="H211" s="62" t="str">
        <f>IF(COUNTA(A211:G211)=0,"",IF(C211&lt;&gt;"",C211,IF(B211="","",IFERROR(INDEX(pr_des,MATCH(B211,pr_code,0))&amp;"",""))))</f>
        <v/>
      </c>
      <c r="I211" s="59" t="str">
        <f>IF(B211="","",IFERROR(INDEX(pr_unit,MATCH(B211,pr_code,0))&amp;"",""))</f>
        <v/>
      </c>
      <c r="J211" s="65" t="str">
        <f>IF(COUNTA(A211:G211)=0,"",IF(E211&lt;&gt;"",E211,IF(B211="","",IFERROR(IF(INDEX(pr_price,MATCH(B211,pr_code,0))="","",INDEX(pr_price,MATCH(B211,pr_code,0))),""))))</f>
        <v/>
      </c>
      <c r="K211" s="71" t="str">
        <f>IF(COUNTA(A211:G211)=0,"",IF(G211&lt;&gt;"",G211,IF(B211="","",IFERROR(IF(INDEX(pr_rate,MATCH(B211,pr_code,0))="","",INDEX(pr_rate,MATCH(B211,pr_code,0))),""))))</f>
        <v/>
      </c>
      <c r="L211" s="65" t="str">
        <f>IF(COUNTA(A211:G211)=0,"",IF(AND(ISNUMBER(D211),ISNUMBER(J211)),ROUND(D211*J211*(1-N(F211)),2),0))</f>
        <v/>
      </c>
      <c r="M211" s="62" t="str">
        <f>IF(A211="","",IFERROR(INDEX(fa_cname,MATCH(A211,fa_num,0))&amp;"",""))</f>
        <v/>
      </c>
      <c r="N211" s="59" t="str">
        <f>IF(COUNTA(A211:G211)=0,"",IF(A211="","N° facture manquant",IF(ISNA(MATCH(A211,fa_num,0)),"Facture inconnue",IF(AND(B211&lt;&gt;"",ISNA(MATCH(B211,pr_code,0))),"Article inconnu",IF(H211="","Désignation manquante",IF(OR(NOT(ISNUMBER(D211)),N(D211)&lt;=0),"Quantité invalide",IF(J211="","Prix manquant",IF(OR(NOT(ISNUMBER(J211)),N(J211)&lt;0),"Prix invalide",IF(OR(AND(F211&lt;&gt;"",NOT(ISNUMBER(F211))),N(F211)&lt;0,N(F211)&gt;1),"Remise invalide",IF(K211="","Taux de TVA manquant",IF(NOT(ISNUMBER(K211)),"Taux de TVA invalide",IF(COUNTIF(p_rates,K211)=0,"Taux de TVA hors liste (Paramètres)",IF(N(O211)&gt;25,"Au-delà de 25 lignes : non imprimée","OK")))))))))))))</f>
        <v/>
      </c>
      <c r="O211" s="59" t="str">
        <f>IF(A211="","",COUNTIF($A$6:A211,A211))</f>
        <v/>
      </c>
      <c r="P211" s="62" t="str">
        <f>IF(A211="","",A211&amp;"|"&amp;O211)</f>
        <v/>
      </c>
    </row>
    <row r="212">
      <c r="A212" s="60" t="n"/>
      <c r="B212" s="63" t="n"/>
      <c r="C212" s="63" t="n"/>
      <c r="D212" s="67" t="n"/>
      <c r="E212" s="68" t="n"/>
      <c r="F212" s="69" t="n"/>
      <c r="G212" s="70" t="n"/>
      <c r="H212" s="62" t="str">
        <f>IF(COUNTA(A212:G212)=0,"",IF(C212&lt;&gt;"",C212,IF(B212="","",IFERROR(INDEX(pr_des,MATCH(B212,pr_code,0))&amp;"",""))))</f>
        <v/>
      </c>
      <c r="I212" s="59" t="str">
        <f>IF(B212="","",IFERROR(INDEX(pr_unit,MATCH(B212,pr_code,0))&amp;"",""))</f>
        <v/>
      </c>
      <c r="J212" s="65" t="str">
        <f>IF(COUNTA(A212:G212)=0,"",IF(E212&lt;&gt;"",E212,IF(B212="","",IFERROR(IF(INDEX(pr_price,MATCH(B212,pr_code,0))="","",INDEX(pr_price,MATCH(B212,pr_code,0))),""))))</f>
        <v/>
      </c>
      <c r="K212" s="71" t="str">
        <f>IF(COUNTA(A212:G212)=0,"",IF(G212&lt;&gt;"",G212,IF(B212="","",IFERROR(IF(INDEX(pr_rate,MATCH(B212,pr_code,0))="","",INDEX(pr_rate,MATCH(B212,pr_code,0))),""))))</f>
        <v/>
      </c>
      <c r="L212" s="65" t="str">
        <f>IF(COUNTA(A212:G212)=0,"",IF(AND(ISNUMBER(D212),ISNUMBER(J212)),ROUND(D212*J212*(1-N(F212)),2),0))</f>
        <v/>
      </c>
      <c r="M212" s="62" t="str">
        <f>IF(A212="","",IFERROR(INDEX(fa_cname,MATCH(A212,fa_num,0))&amp;"",""))</f>
        <v/>
      </c>
      <c r="N212" s="59" t="str">
        <f>IF(COUNTA(A212:G212)=0,"",IF(A212="","N° facture manquant",IF(ISNA(MATCH(A212,fa_num,0)),"Facture inconnue",IF(AND(B212&lt;&gt;"",ISNA(MATCH(B212,pr_code,0))),"Article inconnu",IF(H212="","Désignation manquante",IF(OR(NOT(ISNUMBER(D212)),N(D212)&lt;=0),"Quantité invalide",IF(J212="","Prix manquant",IF(OR(NOT(ISNUMBER(J212)),N(J212)&lt;0),"Prix invalide",IF(OR(AND(F212&lt;&gt;"",NOT(ISNUMBER(F212))),N(F212)&lt;0,N(F212)&gt;1),"Remise invalide",IF(K212="","Taux de TVA manquant",IF(NOT(ISNUMBER(K212)),"Taux de TVA invalide",IF(COUNTIF(p_rates,K212)=0,"Taux de TVA hors liste (Paramètres)",IF(N(O212)&gt;25,"Au-delà de 25 lignes : non imprimée","OK")))))))))))))</f>
        <v/>
      </c>
      <c r="O212" s="59" t="str">
        <f>IF(A212="","",COUNTIF($A$6:A212,A212))</f>
        <v/>
      </c>
      <c r="P212" s="62" t="str">
        <f>IF(A212="","",A212&amp;"|"&amp;O212)</f>
        <v/>
      </c>
    </row>
    <row r="213">
      <c r="A213" s="60" t="n"/>
      <c r="B213" s="63" t="n"/>
      <c r="C213" s="63" t="n"/>
      <c r="D213" s="67" t="n"/>
      <c r="E213" s="68" t="n"/>
      <c r="F213" s="69" t="n"/>
      <c r="G213" s="70" t="n"/>
      <c r="H213" s="62" t="str">
        <f>IF(COUNTA(A213:G213)=0,"",IF(C213&lt;&gt;"",C213,IF(B213="","",IFERROR(INDEX(pr_des,MATCH(B213,pr_code,0))&amp;"",""))))</f>
        <v/>
      </c>
      <c r="I213" s="59" t="str">
        <f>IF(B213="","",IFERROR(INDEX(pr_unit,MATCH(B213,pr_code,0))&amp;"",""))</f>
        <v/>
      </c>
      <c r="J213" s="65" t="str">
        <f>IF(COUNTA(A213:G213)=0,"",IF(E213&lt;&gt;"",E213,IF(B213="","",IFERROR(IF(INDEX(pr_price,MATCH(B213,pr_code,0))="","",INDEX(pr_price,MATCH(B213,pr_code,0))),""))))</f>
        <v/>
      </c>
      <c r="K213" s="71" t="str">
        <f>IF(COUNTA(A213:G213)=0,"",IF(G213&lt;&gt;"",G213,IF(B213="","",IFERROR(IF(INDEX(pr_rate,MATCH(B213,pr_code,0))="","",INDEX(pr_rate,MATCH(B213,pr_code,0))),""))))</f>
        <v/>
      </c>
      <c r="L213" s="65" t="str">
        <f>IF(COUNTA(A213:G213)=0,"",IF(AND(ISNUMBER(D213),ISNUMBER(J213)),ROUND(D213*J213*(1-N(F213)),2),0))</f>
        <v/>
      </c>
      <c r="M213" s="62" t="str">
        <f>IF(A213="","",IFERROR(INDEX(fa_cname,MATCH(A213,fa_num,0))&amp;"",""))</f>
        <v/>
      </c>
      <c r="N213" s="59" t="str">
        <f>IF(COUNTA(A213:G213)=0,"",IF(A213="","N° facture manquant",IF(ISNA(MATCH(A213,fa_num,0)),"Facture inconnue",IF(AND(B213&lt;&gt;"",ISNA(MATCH(B213,pr_code,0))),"Article inconnu",IF(H213="","Désignation manquante",IF(OR(NOT(ISNUMBER(D213)),N(D213)&lt;=0),"Quantité invalide",IF(J213="","Prix manquant",IF(OR(NOT(ISNUMBER(J213)),N(J213)&lt;0),"Prix invalide",IF(OR(AND(F213&lt;&gt;"",NOT(ISNUMBER(F213))),N(F213)&lt;0,N(F213)&gt;1),"Remise invalide",IF(K213="","Taux de TVA manquant",IF(NOT(ISNUMBER(K213)),"Taux de TVA invalide",IF(COUNTIF(p_rates,K213)=0,"Taux de TVA hors liste (Paramètres)",IF(N(O213)&gt;25,"Au-delà de 25 lignes : non imprimée","OK")))))))))))))</f>
        <v/>
      </c>
      <c r="O213" s="59" t="str">
        <f>IF(A213="","",COUNTIF($A$6:A213,A213))</f>
        <v/>
      </c>
      <c r="P213" s="62" t="str">
        <f>IF(A213="","",A213&amp;"|"&amp;O213)</f>
        <v/>
      </c>
    </row>
    <row r="214">
      <c r="A214" s="60" t="n"/>
      <c r="B214" s="63" t="n"/>
      <c r="C214" s="63" t="n"/>
      <c r="D214" s="67" t="n"/>
      <c r="E214" s="68" t="n"/>
      <c r="F214" s="69" t="n"/>
      <c r="G214" s="70" t="n"/>
      <c r="H214" s="62" t="str">
        <f>IF(COUNTA(A214:G214)=0,"",IF(C214&lt;&gt;"",C214,IF(B214="","",IFERROR(INDEX(pr_des,MATCH(B214,pr_code,0))&amp;"",""))))</f>
        <v/>
      </c>
      <c r="I214" s="59" t="str">
        <f>IF(B214="","",IFERROR(INDEX(pr_unit,MATCH(B214,pr_code,0))&amp;"",""))</f>
        <v/>
      </c>
      <c r="J214" s="65" t="str">
        <f>IF(COUNTA(A214:G214)=0,"",IF(E214&lt;&gt;"",E214,IF(B214="","",IFERROR(IF(INDEX(pr_price,MATCH(B214,pr_code,0))="","",INDEX(pr_price,MATCH(B214,pr_code,0))),""))))</f>
        <v/>
      </c>
      <c r="K214" s="71" t="str">
        <f>IF(COUNTA(A214:G214)=0,"",IF(G214&lt;&gt;"",G214,IF(B214="","",IFERROR(IF(INDEX(pr_rate,MATCH(B214,pr_code,0))="","",INDEX(pr_rate,MATCH(B214,pr_code,0))),""))))</f>
        <v/>
      </c>
      <c r="L214" s="65" t="str">
        <f>IF(COUNTA(A214:G214)=0,"",IF(AND(ISNUMBER(D214),ISNUMBER(J214)),ROUND(D214*J214*(1-N(F214)),2),0))</f>
        <v/>
      </c>
      <c r="M214" s="62" t="str">
        <f>IF(A214="","",IFERROR(INDEX(fa_cname,MATCH(A214,fa_num,0))&amp;"",""))</f>
        <v/>
      </c>
      <c r="N214" s="59" t="str">
        <f>IF(COUNTA(A214:G214)=0,"",IF(A214="","N° facture manquant",IF(ISNA(MATCH(A214,fa_num,0)),"Facture inconnue",IF(AND(B214&lt;&gt;"",ISNA(MATCH(B214,pr_code,0))),"Article inconnu",IF(H214="","Désignation manquante",IF(OR(NOT(ISNUMBER(D214)),N(D214)&lt;=0),"Quantité invalide",IF(J214="","Prix manquant",IF(OR(NOT(ISNUMBER(J214)),N(J214)&lt;0),"Prix invalide",IF(OR(AND(F214&lt;&gt;"",NOT(ISNUMBER(F214))),N(F214)&lt;0,N(F214)&gt;1),"Remise invalide",IF(K214="","Taux de TVA manquant",IF(NOT(ISNUMBER(K214)),"Taux de TVA invalide",IF(COUNTIF(p_rates,K214)=0,"Taux de TVA hors liste (Paramètres)",IF(N(O214)&gt;25,"Au-delà de 25 lignes : non imprimée","OK")))))))))))))</f>
        <v/>
      </c>
      <c r="O214" s="59" t="str">
        <f>IF(A214="","",COUNTIF($A$6:A214,A214))</f>
        <v/>
      </c>
      <c r="P214" s="62" t="str">
        <f>IF(A214="","",A214&amp;"|"&amp;O214)</f>
        <v/>
      </c>
    </row>
    <row r="215">
      <c r="A215" s="60" t="n"/>
      <c r="B215" s="63" t="n"/>
      <c r="C215" s="63" t="n"/>
      <c r="D215" s="67" t="n"/>
      <c r="E215" s="68" t="n"/>
      <c r="F215" s="69" t="n"/>
      <c r="G215" s="70" t="n"/>
      <c r="H215" s="62" t="str">
        <f>IF(COUNTA(A215:G215)=0,"",IF(C215&lt;&gt;"",C215,IF(B215="","",IFERROR(INDEX(pr_des,MATCH(B215,pr_code,0))&amp;"",""))))</f>
        <v/>
      </c>
      <c r="I215" s="59" t="str">
        <f>IF(B215="","",IFERROR(INDEX(pr_unit,MATCH(B215,pr_code,0))&amp;"",""))</f>
        <v/>
      </c>
      <c r="J215" s="65" t="str">
        <f>IF(COUNTA(A215:G215)=0,"",IF(E215&lt;&gt;"",E215,IF(B215="","",IFERROR(IF(INDEX(pr_price,MATCH(B215,pr_code,0))="","",INDEX(pr_price,MATCH(B215,pr_code,0))),""))))</f>
        <v/>
      </c>
      <c r="K215" s="71" t="str">
        <f>IF(COUNTA(A215:G215)=0,"",IF(G215&lt;&gt;"",G215,IF(B215="","",IFERROR(IF(INDEX(pr_rate,MATCH(B215,pr_code,0))="","",INDEX(pr_rate,MATCH(B215,pr_code,0))),""))))</f>
        <v/>
      </c>
      <c r="L215" s="65" t="str">
        <f>IF(COUNTA(A215:G215)=0,"",IF(AND(ISNUMBER(D215),ISNUMBER(J215)),ROUND(D215*J215*(1-N(F215)),2),0))</f>
        <v/>
      </c>
      <c r="M215" s="62" t="str">
        <f>IF(A215="","",IFERROR(INDEX(fa_cname,MATCH(A215,fa_num,0))&amp;"",""))</f>
        <v/>
      </c>
      <c r="N215" s="59" t="str">
        <f>IF(COUNTA(A215:G215)=0,"",IF(A215="","N° facture manquant",IF(ISNA(MATCH(A215,fa_num,0)),"Facture inconnue",IF(AND(B215&lt;&gt;"",ISNA(MATCH(B215,pr_code,0))),"Article inconnu",IF(H215="","Désignation manquante",IF(OR(NOT(ISNUMBER(D215)),N(D215)&lt;=0),"Quantité invalide",IF(J215="","Prix manquant",IF(OR(NOT(ISNUMBER(J215)),N(J215)&lt;0),"Prix invalide",IF(OR(AND(F215&lt;&gt;"",NOT(ISNUMBER(F215))),N(F215)&lt;0,N(F215)&gt;1),"Remise invalide",IF(K215="","Taux de TVA manquant",IF(NOT(ISNUMBER(K215)),"Taux de TVA invalide",IF(COUNTIF(p_rates,K215)=0,"Taux de TVA hors liste (Paramètres)",IF(N(O215)&gt;25,"Au-delà de 25 lignes : non imprimée","OK")))))))))))))</f>
        <v/>
      </c>
      <c r="O215" s="59" t="str">
        <f>IF(A215="","",COUNTIF($A$6:A215,A215))</f>
        <v/>
      </c>
      <c r="P215" s="62" t="str">
        <f>IF(A215="","",A215&amp;"|"&amp;O215)</f>
        <v/>
      </c>
    </row>
    <row r="216">
      <c r="A216" s="60" t="n"/>
      <c r="B216" s="63" t="n"/>
      <c r="C216" s="63" t="n"/>
      <c r="D216" s="67" t="n"/>
      <c r="E216" s="68" t="n"/>
      <c r="F216" s="69" t="n"/>
      <c r="G216" s="70" t="n"/>
      <c r="H216" s="62" t="str">
        <f>IF(COUNTA(A216:G216)=0,"",IF(C216&lt;&gt;"",C216,IF(B216="","",IFERROR(INDEX(pr_des,MATCH(B216,pr_code,0))&amp;"",""))))</f>
        <v/>
      </c>
      <c r="I216" s="59" t="str">
        <f>IF(B216="","",IFERROR(INDEX(pr_unit,MATCH(B216,pr_code,0))&amp;"",""))</f>
        <v/>
      </c>
      <c r="J216" s="65" t="str">
        <f>IF(COUNTA(A216:G216)=0,"",IF(E216&lt;&gt;"",E216,IF(B216="","",IFERROR(IF(INDEX(pr_price,MATCH(B216,pr_code,0))="","",INDEX(pr_price,MATCH(B216,pr_code,0))),""))))</f>
        <v/>
      </c>
      <c r="K216" s="71" t="str">
        <f>IF(COUNTA(A216:G216)=0,"",IF(G216&lt;&gt;"",G216,IF(B216="","",IFERROR(IF(INDEX(pr_rate,MATCH(B216,pr_code,0))="","",INDEX(pr_rate,MATCH(B216,pr_code,0))),""))))</f>
        <v/>
      </c>
      <c r="L216" s="65" t="str">
        <f>IF(COUNTA(A216:G216)=0,"",IF(AND(ISNUMBER(D216),ISNUMBER(J216)),ROUND(D216*J216*(1-N(F216)),2),0))</f>
        <v/>
      </c>
      <c r="M216" s="62" t="str">
        <f>IF(A216="","",IFERROR(INDEX(fa_cname,MATCH(A216,fa_num,0))&amp;"",""))</f>
        <v/>
      </c>
      <c r="N216" s="59" t="str">
        <f>IF(COUNTA(A216:G216)=0,"",IF(A216="","N° facture manquant",IF(ISNA(MATCH(A216,fa_num,0)),"Facture inconnue",IF(AND(B216&lt;&gt;"",ISNA(MATCH(B216,pr_code,0))),"Article inconnu",IF(H216="","Désignation manquante",IF(OR(NOT(ISNUMBER(D216)),N(D216)&lt;=0),"Quantité invalide",IF(J216="","Prix manquant",IF(OR(NOT(ISNUMBER(J216)),N(J216)&lt;0),"Prix invalide",IF(OR(AND(F216&lt;&gt;"",NOT(ISNUMBER(F216))),N(F216)&lt;0,N(F216)&gt;1),"Remise invalide",IF(K216="","Taux de TVA manquant",IF(NOT(ISNUMBER(K216)),"Taux de TVA invalide",IF(COUNTIF(p_rates,K216)=0,"Taux de TVA hors liste (Paramètres)",IF(N(O216)&gt;25,"Au-delà de 25 lignes : non imprimée","OK")))))))))))))</f>
        <v/>
      </c>
      <c r="O216" s="59" t="str">
        <f>IF(A216="","",COUNTIF($A$6:A216,A216))</f>
        <v/>
      </c>
      <c r="P216" s="62" t="str">
        <f>IF(A216="","",A216&amp;"|"&amp;O216)</f>
        <v/>
      </c>
    </row>
    <row r="217">
      <c r="A217" s="60" t="n"/>
      <c r="B217" s="63" t="n"/>
      <c r="C217" s="63" t="n"/>
      <c r="D217" s="67" t="n"/>
      <c r="E217" s="68" t="n"/>
      <c r="F217" s="69" t="n"/>
      <c r="G217" s="70" t="n"/>
      <c r="H217" s="62" t="str">
        <f>IF(COUNTA(A217:G217)=0,"",IF(C217&lt;&gt;"",C217,IF(B217="","",IFERROR(INDEX(pr_des,MATCH(B217,pr_code,0))&amp;"",""))))</f>
        <v/>
      </c>
      <c r="I217" s="59" t="str">
        <f>IF(B217="","",IFERROR(INDEX(pr_unit,MATCH(B217,pr_code,0))&amp;"",""))</f>
        <v/>
      </c>
      <c r="J217" s="65" t="str">
        <f>IF(COUNTA(A217:G217)=0,"",IF(E217&lt;&gt;"",E217,IF(B217="","",IFERROR(IF(INDEX(pr_price,MATCH(B217,pr_code,0))="","",INDEX(pr_price,MATCH(B217,pr_code,0))),""))))</f>
        <v/>
      </c>
      <c r="K217" s="71" t="str">
        <f>IF(COUNTA(A217:G217)=0,"",IF(G217&lt;&gt;"",G217,IF(B217="","",IFERROR(IF(INDEX(pr_rate,MATCH(B217,pr_code,0))="","",INDEX(pr_rate,MATCH(B217,pr_code,0))),""))))</f>
        <v/>
      </c>
      <c r="L217" s="65" t="str">
        <f>IF(COUNTA(A217:G217)=0,"",IF(AND(ISNUMBER(D217),ISNUMBER(J217)),ROUND(D217*J217*(1-N(F217)),2),0))</f>
        <v/>
      </c>
      <c r="M217" s="62" t="str">
        <f>IF(A217="","",IFERROR(INDEX(fa_cname,MATCH(A217,fa_num,0))&amp;"",""))</f>
        <v/>
      </c>
      <c r="N217" s="59" t="str">
        <f>IF(COUNTA(A217:G217)=0,"",IF(A217="","N° facture manquant",IF(ISNA(MATCH(A217,fa_num,0)),"Facture inconnue",IF(AND(B217&lt;&gt;"",ISNA(MATCH(B217,pr_code,0))),"Article inconnu",IF(H217="","Désignation manquante",IF(OR(NOT(ISNUMBER(D217)),N(D217)&lt;=0),"Quantité invalide",IF(J217="","Prix manquant",IF(OR(NOT(ISNUMBER(J217)),N(J217)&lt;0),"Prix invalide",IF(OR(AND(F217&lt;&gt;"",NOT(ISNUMBER(F217))),N(F217)&lt;0,N(F217)&gt;1),"Remise invalide",IF(K217="","Taux de TVA manquant",IF(NOT(ISNUMBER(K217)),"Taux de TVA invalide",IF(COUNTIF(p_rates,K217)=0,"Taux de TVA hors liste (Paramètres)",IF(N(O217)&gt;25,"Au-delà de 25 lignes : non imprimée","OK")))))))))))))</f>
        <v/>
      </c>
      <c r="O217" s="59" t="str">
        <f>IF(A217="","",COUNTIF($A$6:A217,A217))</f>
        <v/>
      </c>
      <c r="P217" s="62" t="str">
        <f>IF(A217="","",A217&amp;"|"&amp;O217)</f>
        <v/>
      </c>
    </row>
    <row r="218">
      <c r="A218" s="60" t="n"/>
      <c r="B218" s="63" t="n"/>
      <c r="C218" s="63" t="n"/>
      <c r="D218" s="67" t="n"/>
      <c r="E218" s="68" t="n"/>
      <c r="F218" s="69" t="n"/>
      <c r="G218" s="70" t="n"/>
      <c r="H218" s="62" t="str">
        <f>IF(COUNTA(A218:G218)=0,"",IF(C218&lt;&gt;"",C218,IF(B218="","",IFERROR(INDEX(pr_des,MATCH(B218,pr_code,0))&amp;"",""))))</f>
        <v/>
      </c>
      <c r="I218" s="59" t="str">
        <f>IF(B218="","",IFERROR(INDEX(pr_unit,MATCH(B218,pr_code,0))&amp;"",""))</f>
        <v/>
      </c>
      <c r="J218" s="65" t="str">
        <f>IF(COUNTA(A218:G218)=0,"",IF(E218&lt;&gt;"",E218,IF(B218="","",IFERROR(IF(INDEX(pr_price,MATCH(B218,pr_code,0))="","",INDEX(pr_price,MATCH(B218,pr_code,0))),""))))</f>
        <v/>
      </c>
      <c r="K218" s="71" t="str">
        <f>IF(COUNTA(A218:G218)=0,"",IF(G218&lt;&gt;"",G218,IF(B218="","",IFERROR(IF(INDEX(pr_rate,MATCH(B218,pr_code,0))="","",INDEX(pr_rate,MATCH(B218,pr_code,0))),""))))</f>
        <v/>
      </c>
      <c r="L218" s="65" t="str">
        <f>IF(COUNTA(A218:G218)=0,"",IF(AND(ISNUMBER(D218),ISNUMBER(J218)),ROUND(D218*J218*(1-N(F218)),2),0))</f>
        <v/>
      </c>
      <c r="M218" s="62" t="str">
        <f>IF(A218="","",IFERROR(INDEX(fa_cname,MATCH(A218,fa_num,0))&amp;"",""))</f>
        <v/>
      </c>
      <c r="N218" s="59" t="str">
        <f>IF(COUNTA(A218:G218)=0,"",IF(A218="","N° facture manquant",IF(ISNA(MATCH(A218,fa_num,0)),"Facture inconnue",IF(AND(B218&lt;&gt;"",ISNA(MATCH(B218,pr_code,0))),"Article inconnu",IF(H218="","Désignation manquante",IF(OR(NOT(ISNUMBER(D218)),N(D218)&lt;=0),"Quantité invalide",IF(J218="","Prix manquant",IF(OR(NOT(ISNUMBER(J218)),N(J218)&lt;0),"Prix invalide",IF(OR(AND(F218&lt;&gt;"",NOT(ISNUMBER(F218))),N(F218)&lt;0,N(F218)&gt;1),"Remise invalide",IF(K218="","Taux de TVA manquant",IF(NOT(ISNUMBER(K218)),"Taux de TVA invalide",IF(COUNTIF(p_rates,K218)=0,"Taux de TVA hors liste (Paramètres)",IF(N(O218)&gt;25,"Au-delà de 25 lignes : non imprimée","OK")))))))))))))</f>
        <v/>
      </c>
      <c r="O218" s="59" t="str">
        <f>IF(A218="","",COUNTIF($A$6:A218,A218))</f>
        <v/>
      </c>
      <c r="P218" s="62" t="str">
        <f>IF(A218="","",A218&amp;"|"&amp;O218)</f>
        <v/>
      </c>
    </row>
    <row r="219">
      <c r="A219" s="60" t="n"/>
      <c r="B219" s="63" t="n"/>
      <c r="C219" s="63" t="n"/>
      <c r="D219" s="67" t="n"/>
      <c r="E219" s="68" t="n"/>
      <c r="F219" s="69" t="n"/>
      <c r="G219" s="70" t="n"/>
      <c r="H219" s="62" t="str">
        <f>IF(COUNTA(A219:G219)=0,"",IF(C219&lt;&gt;"",C219,IF(B219="","",IFERROR(INDEX(pr_des,MATCH(B219,pr_code,0))&amp;"",""))))</f>
        <v/>
      </c>
      <c r="I219" s="59" t="str">
        <f>IF(B219="","",IFERROR(INDEX(pr_unit,MATCH(B219,pr_code,0))&amp;"",""))</f>
        <v/>
      </c>
      <c r="J219" s="65" t="str">
        <f>IF(COUNTA(A219:G219)=0,"",IF(E219&lt;&gt;"",E219,IF(B219="","",IFERROR(IF(INDEX(pr_price,MATCH(B219,pr_code,0))="","",INDEX(pr_price,MATCH(B219,pr_code,0))),""))))</f>
        <v/>
      </c>
      <c r="K219" s="71" t="str">
        <f>IF(COUNTA(A219:G219)=0,"",IF(G219&lt;&gt;"",G219,IF(B219="","",IFERROR(IF(INDEX(pr_rate,MATCH(B219,pr_code,0))="","",INDEX(pr_rate,MATCH(B219,pr_code,0))),""))))</f>
        <v/>
      </c>
      <c r="L219" s="65" t="str">
        <f>IF(COUNTA(A219:G219)=0,"",IF(AND(ISNUMBER(D219),ISNUMBER(J219)),ROUND(D219*J219*(1-N(F219)),2),0))</f>
        <v/>
      </c>
      <c r="M219" s="62" t="str">
        <f>IF(A219="","",IFERROR(INDEX(fa_cname,MATCH(A219,fa_num,0))&amp;"",""))</f>
        <v/>
      </c>
      <c r="N219" s="59" t="str">
        <f>IF(COUNTA(A219:G219)=0,"",IF(A219="","N° facture manquant",IF(ISNA(MATCH(A219,fa_num,0)),"Facture inconnue",IF(AND(B219&lt;&gt;"",ISNA(MATCH(B219,pr_code,0))),"Article inconnu",IF(H219="","Désignation manquante",IF(OR(NOT(ISNUMBER(D219)),N(D219)&lt;=0),"Quantité invalide",IF(J219="","Prix manquant",IF(OR(NOT(ISNUMBER(J219)),N(J219)&lt;0),"Prix invalide",IF(OR(AND(F219&lt;&gt;"",NOT(ISNUMBER(F219))),N(F219)&lt;0,N(F219)&gt;1),"Remise invalide",IF(K219="","Taux de TVA manquant",IF(NOT(ISNUMBER(K219)),"Taux de TVA invalide",IF(COUNTIF(p_rates,K219)=0,"Taux de TVA hors liste (Paramètres)",IF(N(O219)&gt;25,"Au-delà de 25 lignes : non imprimée","OK")))))))))))))</f>
        <v/>
      </c>
      <c r="O219" s="59" t="str">
        <f>IF(A219="","",COUNTIF($A$6:A219,A219))</f>
        <v/>
      </c>
      <c r="P219" s="62" t="str">
        <f>IF(A219="","",A219&amp;"|"&amp;O219)</f>
        <v/>
      </c>
    </row>
    <row r="220">
      <c r="A220" s="60" t="n"/>
      <c r="B220" s="63" t="n"/>
      <c r="C220" s="63" t="n"/>
      <c r="D220" s="67" t="n"/>
      <c r="E220" s="68" t="n"/>
      <c r="F220" s="69" t="n"/>
      <c r="G220" s="70" t="n"/>
      <c r="H220" s="62" t="str">
        <f>IF(COUNTA(A220:G220)=0,"",IF(C220&lt;&gt;"",C220,IF(B220="","",IFERROR(INDEX(pr_des,MATCH(B220,pr_code,0))&amp;"",""))))</f>
        <v/>
      </c>
      <c r="I220" s="59" t="str">
        <f>IF(B220="","",IFERROR(INDEX(pr_unit,MATCH(B220,pr_code,0))&amp;"",""))</f>
        <v/>
      </c>
      <c r="J220" s="65" t="str">
        <f>IF(COUNTA(A220:G220)=0,"",IF(E220&lt;&gt;"",E220,IF(B220="","",IFERROR(IF(INDEX(pr_price,MATCH(B220,pr_code,0))="","",INDEX(pr_price,MATCH(B220,pr_code,0))),""))))</f>
        <v/>
      </c>
      <c r="K220" s="71" t="str">
        <f>IF(COUNTA(A220:G220)=0,"",IF(G220&lt;&gt;"",G220,IF(B220="","",IFERROR(IF(INDEX(pr_rate,MATCH(B220,pr_code,0))="","",INDEX(pr_rate,MATCH(B220,pr_code,0))),""))))</f>
        <v/>
      </c>
      <c r="L220" s="65" t="str">
        <f>IF(COUNTA(A220:G220)=0,"",IF(AND(ISNUMBER(D220),ISNUMBER(J220)),ROUND(D220*J220*(1-N(F220)),2),0))</f>
        <v/>
      </c>
      <c r="M220" s="62" t="str">
        <f>IF(A220="","",IFERROR(INDEX(fa_cname,MATCH(A220,fa_num,0))&amp;"",""))</f>
        <v/>
      </c>
      <c r="N220" s="59" t="str">
        <f>IF(COUNTA(A220:G220)=0,"",IF(A220="","N° facture manquant",IF(ISNA(MATCH(A220,fa_num,0)),"Facture inconnue",IF(AND(B220&lt;&gt;"",ISNA(MATCH(B220,pr_code,0))),"Article inconnu",IF(H220="","Désignation manquante",IF(OR(NOT(ISNUMBER(D220)),N(D220)&lt;=0),"Quantité invalide",IF(J220="","Prix manquant",IF(OR(NOT(ISNUMBER(J220)),N(J220)&lt;0),"Prix invalide",IF(OR(AND(F220&lt;&gt;"",NOT(ISNUMBER(F220))),N(F220)&lt;0,N(F220)&gt;1),"Remise invalide",IF(K220="","Taux de TVA manquant",IF(NOT(ISNUMBER(K220)),"Taux de TVA invalide",IF(COUNTIF(p_rates,K220)=0,"Taux de TVA hors liste (Paramètres)",IF(N(O220)&gt;25,"Au-delà de 25 lignes : non imprimée","OK")))))))))))))</f>
        <v/>
      </c>
      <c r="O220" s="59" t="str">
        <f>IF(A220="","",COUNTIF($A$6:A220,A220))</f>
        <v/>
      </c>
      <c r="P220" s="62" t="str">
        <f>IF(A220="","",A220&amp;"|"&amp;O220)</f>
        <v/>
      </c>
    </row>
    <row r="221">
      <c r="A221" s="60" t="n"/>
      <c r="B221" s="63" t="n"/>
      <c r="C221" s="63" t="n"/>
      <c r="D221" s="67" t="n"/>
      <c r="E221" s="68" t="n"/>
      <c r="F221" s="69" t="n"/>
      <c r="G221" s="70" t="n"/>
      <c r="H221" s="62" t="str">
        <f>IF(COUNTA(A221:G221)=0,"",IF(C221&lt;&gt;"",C221,IF(B221="","",IFERROR(INDEX(pr_des,MATCH(B221,pr_code,0))&amp;"",""))))</f>
        <v/>
      </c>
      <c r="I221" s="59" t="str">
        <f>IF(B221="","",IFERROR(INDEX(pr_unit,MATCH(B221,pr_code,0))&amp;"",""))</f>
        <v/>
      </c>
      <c r="J221" s="65" t="str">
        <f>IF(COUNTA(A221:G221)=0,"",IF(E221&lt;&gt;"",E221,IF(B221="","",IFERROR(IF(INDEX(pr_price,MATCH(B221,pr_code,0))="","",INDEX(pr_price,MATCH(B221,pr_code,0))),""))))</f>
        <v/>
      </c>
      <c r="K221" s="71" t="str">
        <f>IF(COUNTA(A221:G221)=0,"",IF(G221&lt;&gt;"",G221,IF(B221="","",IFERROR(IF(INDEX(pr_rate,MATCH(B221,pr_code,0))="","",INDEX(pr_rate,MATCH(B221,pr_code,0))),""))))</f>
        <v/>
      </c>
      <c r="L221" s="65" t="str">
        <f>IF(COUNTA(A221:G221)=0,"",IF(AND(ISNUMBER(D221),ISNUMBER(J221)),ROUND(D221*J221*(1-N(F221)),2),0))</f>
        <v/>
      </c>
      <c r="M221" s="62" t="str">
        <f>IF(A221="","",IFERROR(INDEX(fa_cname,MATCH(A221,fa_num,0))&amp;"",""))</f>
        <v/>
      </c>
      <c r="N221" s="59" t="str">
        <f>IF(COUNTA(A221:G221)=0,"",IF(A221="","N° facture manquant",IF(ISNA(MATCH(A221,fa_num,0)),"Facture inconnue",IF(AND(B221&lt;&gt;"",ISNA(MATCH(B221,pr_code,0))),"Article inconnu",IF(H221="","Désignation manquante",IF(OR(NOT(ISNUMBER(D221)),N(D221)&lt;=0),"Quantité invalide",IF(J221="","Prix manquant",IF(OR(NOT(ISNUMBER(J221)),N(J221)&lt;0),"Prix invalide",IF(OR(AND(F221&lt;&gt;"",NOT(ISNUMBER(F221))),N(F221)&lt;0,N(F221)&gt;1),"Remise invalide",IF(K221="","Taux de TVA manquant",IF(NOT(ISNUMBER(K221)),"Taux de TVA invalide",IF(COUNTIF(p_rates,K221)=0,"Taux de TVA hors liste (Paramètres)",IF(N(O221)&gt;25,"Au-delà de 25 lignes : non imprimée","OK")))))))))))))</f>
        <v/>
      </c>
      <c r="O221" s="59" t="str">
        <f>IF(A221="","",COUNTIF($A$6:A221,A221))</f>
        <v/>
      </c>
      <c r="P221" s="62" t="str">
        <f>IF(A221="","",A221&amp;"|"&amp;O221)</f>
        <v/>
      </c>
    </row>
    <row r="222">
      <c r="A222" s="60" t="n"/>
      <c r="B222" s="63" t="n"/>
      <c r="C222" s="63" t="n"/>
      <c r="D222" s="67" t="n"/>
      <c r="E222" s="68" t="n"/>
      <c r="F222" s="69" t="n"/>
      <c r="G222" s="70" t="n"/>
      <c r="H222" s="62" t="str">
        <f>IF(COUNTA(A222:G222)=0,"",IF(C222&lt;&gt;"",C222,IF(B222="","",IFERROR(INDEX(pr_des,MATCH(B222,pr_code,0))&amp;"",""))))</f>
        <v/>
      </c>
      <c r="I222" s="59" t="str">
        <f>IF(B222="","",IFERROR(INDEX(pr_unit,MATCH(B222,pr_code,0))&amp;"",""))</f>
        <v/>
      </c>
      <c r="J222" s="65" t="str">
        <f>IF(COUNTA(A222:G222)=0,"",IF(E222&lt;&gt;"",E222,IF(B222="","",IFERROR(IF(INDEX(pr_price,MATCH(B222,pr_code,0))="","",INDEX(pr_price,MATCH(B222,pr_code,0))),""))))</f>
        <v/>
      </c>
      <c r="K222" s="71" t="str">
        <f>IF(COUNTA(A222:G222)=0,"",IF(G222&lt;&gt;"",G222,IF(B222="","",IFERROR(IF(INDEX(pr_rate,MATCH(B222,pr_code,0))="","",INDEX(pr_rate,MATCH(B222,pr_code,0))),""))))</f>
        <v/>
      </c>
      <c r="L222" s="65" t="str">
        <f>IF(COUNTA(A222:G222)=0,"",IF(AND(ISNUMBER(D222),ISNUMBER(J222)),ROUND(D222*J222*(1-N(F222)),2),0))</f>
        <v/>
      </c>
      <c r="M222" s="62" t="str">
        <f>IF(A222="","",IFERROR(INDEX(fa_cname,MATCH(A222,fa_num,0))&amp;"",""))</f>
        <v/>
      </c>
      <c r="N222" s="59" t="str">
        <f>IF(COUNTA(A222:G222)=0,"",IF(A222="","N° facture manquant",IF(ISNA(MATCH(A222,fa_num,0)),"Facture inconnue",IF(AND(B222&lt;&gt;"",ISNA(MATCH(B222,pr_code,0))),"Article inconnu",IF(H222="","Désignation manquante",IF(OR(NOT(ISNUMBER(D222)),N(D222)&lt;=0),"Quantité invalide",IF(J222="","Prix manquant",IF(OR(NOT(ISNUMBER(J222)),N(J222)&lt;0),"Prix invalide",IF(OR(AND(F222&lt;&gt;"",NOT(ISNUMBER(F222))),N(F222)&lt;0,N(F222)&gt;1),"Remise invalide",IF(K222="","Taux de TVA manquant",IF(NOT(ISNUMBER(K222)),"Taux de TVA invalide",IF(COUNTIF(p_rates,K222)=0,"Taux de TVA hors liste (Paramètres)",IF(N(O222)&gt;25,"Au-delà de 25 lignes : non imprimée","OK")))))))))))))</f>
        <v/>
      </c>
      <c r="O222" s="59" t="str">
        <f>IF(A222="","",COUNTIF($A$6:A222,A222))</f>
        <v/>
      </c>
      <c r="P222" s="62" t="str">
        <f>IF(A222="","",A222&amp;"|"&amp;O222)</f>
        <v/>
      </c>
    </row>
    <row r="223">
      <c r="A223" s="60" t="n"/>
      <c r="B223" s="63" t="n"/>
      <c r="C223" s="63" t="n"/>
      <c r="D223" s="67" t="n"/>
      <c r="E223" s="68" t="n"/>
      <c r="F223" s="69" t="n"/>
      <c r="G223" s="70" t="n"/>
      <c r="H223" s="62" t="str">
        <f>IF(COUNTA(A223:G223)=0,"",IF(C223&lt;&gt;"",C223,IF(B223="","",IFERROR(INDEX(pr_des,MATCH(B223,pr_code,0))&amp;"",""))))</f>
        <v/>
      </c>
      <c r="I223" s="59" t="str">
        <f>IF(B223="","",IFERROR(INDEX(pr_unit,MATCH(B223,pr_code,0))&amp;"",""))</f>
        <v/>
      </c>
      <c r="J223" s="65" t="str">
        <f>IF(COUNTA(A223:G223)=0,"",IF(E223&lt;&gt;"",E223,IF(B223="","",IFERROR(IF(INDEX(pr_price,MATCH(B223,pr_code,0))="","",INDEX(pr_price,MATCH(B223,pr_code,0))),""))))</f>
        <v/>
      </c>
      <c r="K223" s="71" t="str">
        <f>IF(COUNTA(A223:G223)=0,"",IF(G223&lt;&gt;"",G223,IF(B223="","",IFERROR(IF(INDEX(pr_rate,MATCH(B223,pr_code,0))="","",INDEX(pr_rate,MATCH(B223,pr_code,0))),""))))</f>
        <v/>
      </c>
      <c r="L223" s="65" t="str">
        <f>IF(COUNTA(A223:G223)=0,"",IF(AND(ISNUMBER(D223),ISNUMBER(J223)),ROUND(D223*J223*(1-N(F223)),2),0))</f>
        <v/>
      </c>
      <c r="M223" s="62" t="str">
        <f>IF(A223="","",IFERROR(INDEX(fa_cname,MATCH(A223,fa_num,0))&amp;"",""))</f>
        <v/>
      </c>
      <c r="N223" s="59" t="str">
        <f>IF(COUNTA(A223:G223)=0,"",IF(A223="","N° facture manquant",IF(ISNA(MATCH(A223,fa_num,0)),"Facture inconnue",IF(AND(B223&lt;&gt;"",ISNA(MATCH(B223,pr_code,0))),"Article inconnu",IF(H223="","Désignation manquante",IF(OR(NOT(ISNUMBER(D223)),N(D223)&lt;=0),"Quantité invalide",IF(J223="","Prix manquant",IF(OR(NOT(ISNUMBER(J223)),N(J223)&lt;0),"Prix invalide",IF(OR(AND(F223&lt;&gt;"",NOT(ISNUMBER(F223))),N(F223)&lt;0,N(F223)&gt;1),"Remise invalide",IF(K223="","Taux de TVA manquant",IF(NOT(ISNUMBER(K223)),"Taux de TVA invalide",IF(COUNTIF(p_rates,K223)=0,"Taux de TVA hors liste (Paramètres)",IF(N(O223)&gt;25,"Au-delà de 25 lignes : non imprimée","OK")))))))))))))</f>
        <v/>
      </c>
      <c r="O223" s="59" t="str">
        <f>IF(A223="","",COUNTIF($A$6:A223,A223))</f>
        <v/>
      </c>
      <c r="P223" s="62" t="str">
        <f>IF(A223="","",A223&amp;"|"&amp;O223)</f>
        <v/>
      </c>
    </row>
    <row r="224">
      <c r="A224" s="60" t="n"/>
      <c r="B224" s="63" t="n"/>
      <c r="C224" s="63" t="n"/>
      <c r="D224" s="67" t="n"/>
      <c r="E224" s="68" t="n"/>
      <c r="F224" s="69" t="n"/>
      <c r="G224" s="70" t="n"/>
      <c r="H224" s="62" t="str">
        <f>IF(COUNTA(A224:G224)=0,"",IF(C224&lt;&gt;"",C224,IF(B224="","",IFERROR(INDEX(pr_des,MATCH(B224,pr_code,0))&amp;"",""))))</f>
        <v/>
      </c>
      <c r="I224" s="59" t="str">
        <f>IF(B224="","",IFERROR(INDEX(pr_unit,MATCH(B224,pr_code,0))&amp;"",""))</f>
        <v/>
      </c>
      <c r="J224" s="65" t="str">
        <f>IF(COUNTA(A224:G224)=0,"",IF(E224&lt;&gt;"",E224,IF(B224="","",IFERROR(IF(INDEX(pr_price,MATCH(B224,pr_code,0))="","",INDEX(pr_price,MATCH(B224,pr_code,0))),""))))</f>
        <v/>
      </c>
      <c r="K224" s="71" t="str">
        <f>IF(COUNTA(A224:G224)=0,"",IF(G224&lt;&gt;"",G224,IF(B224="","",IFERROR(IF(INDEX(pr_rate,MATCH(B224,pr_code,0))="","",INDEX(pr_rate,MATCH(B224,pr_code,0))),""))))</f>
        <v/>
      </c>
      <c r="L224" s="65" t="str">
        <f>IF(COUNTA(A224:G224)=0,"",IF(AND(ISNUMBER(D224),ISNUMBER(J224)),ROUND(D224*J224*(1-N(F224)),2),0))</f>
        <v/>
      </c>
      <c r="M224" s="62" t="str">
        <f>IF(A224="","",IFERROR(INDEX(fa_cname,MATCH(A224,fa_num,0))&amp;"",""))</f>
        <v/>
      </c>
      <c r="N224" s="59" t="str">
        <f>IF(COUNTA(A224:G224)=0,"",IF(A224="","N° facture manquant",IF(ISNA(MATCH(A224,fa_num,0)),"Facture inconnue",IF(AND(B224&lt;&gt;"",ISNA(MATCH(B224,pr_code,0))),"Article inconnu",IF(H224="","Désignation manquante",IF(OR(NOT(ISNUMBER(D224)),N(D224)&lt;=0),"Quantité invalide",IF(J224="","Prix manquant",IF(OR(NOT(ISNUMBER(J224)),N(J224)&lt;0),"Prix invalide",IF(OR(AND(F224&lt;&gt;"",NOT(ISNUMBER(F224))),N(F224)&lt;0,N(F224)&gt;1),"Remise invalide",IF(K224="","Taux de TVA manquant",IF(NOT(ISNUMBER(K224)),"Taux de TVA invalide",IF(COUNTIF(p_rates,K224)=0,"Taux de TVA hors liste (Paramètres)",IF(N(O224)&gt;25,"Au-delà de 25 lignes : non imprimée","OK")))))))))))))</f>
        <v/>
      </c>
      <c r="O224" s="59" t="str">
        <f>IF(A224="","",COUNTIF($A$6:A224,A224))</f>
        <v/>
      </c>
      <c r="P224" s="62" t="str">
        <f>IF(A224="","",A224&amp;"|"&amp;O224)</f>
        <v/>
      </c>
    </row>
    <row r="225">
      <c r="A225" s="60" t="n"/>
      <c r="B225" s="63" t="n"/>
      <c r="C225" s="63" t="n"/>
      <c r="D225" s="67" t="n"/>
      <c r="E225" s="68" t="n"/>
      <c r="F225" s="69" t="n"/>
      <c r="G225" s="70" t="n"/>
      <c r="H225" s="62" t="str">
        <f>IF(COUNTA(A225:G225)=0,"",IF(C225&lt;&gt;"",C225,IF(B225="","",IFERROR(INDEX(pr_des,MATCH(B225,pr_code,0))&amp;"",""))))</f>
        <v/>
      </c>
      <c r="I225" s="59" t="str">
        <f>IF(B225="","",IFERROR(INDEX(pr_unit,MATCH(B225,pr_code,0))&amp;"",""))</f>
        <v/>
      </c>
      <c r="J225" s="65" t="str">
        <f>IF(COUNTA(A225:G225)=0,"",IF(E225&lt;&gt;"",E225,IF(B225="","",IFERROR(IF(INDEX(pr_price,MATCH(B225,pr_code,0))="","",INDEX(pr_price,MATCH(B225,pr_code,0))),""))))</f>
        <v/>
      </c>
      <c r="K225" s="71" t="str">
        <f>IF(COUNTA(A225:G225)=0,"",IF(G225&lt;&gt;"",G225,IF(B225="","",IFERROR(IF(INDEX(pr_rate,MATCH(B225,pr_code,0))="","",INDEX(pr_rate,MATCH(B225,pr_code,0))),""))))</f>
        <v/>
      </c>
      <c r="L225" s="65" t="str">
        <f>IF(COUNTA(A225:G225)=0,"",IF(AND(ISNUMBER(D225),ISNUMBER(J225)),ROUND(D225*J225*(1-N(F225)),2),0))</f>
        <v/>
      </c>
      <c r="M225" s="62" t="str">
        <f>IF(A225="","",IFERROR(INDEX(fa_cname,MATCH(A225,fa_num,0))&amp;"",""))</f>
        <v/>
      </c>
      <c r="N225" s="59" t="str">
        <f>IF(COUNTA(A225:G225)=0,"",IF(A225="","N° facture manquant",IF(ISNA(MATCH(A225,fa_num,0)),"Facture inconnue",IF(AND(B225&lt;&gt;"",ISNA(MATCH(B225,pr_code,0))),"Article inconnu",IF(H225="","Désignation manquante",IF(OR(NOT(ISNUMBER(D225)),N(D225)&lt;=0),"Quantité invalide",IF(J225="","Prix manquant",IF(OR(NOT(ISNUMBER(J225)),N(J225)&lt;0),"Prix invalide",IF(OR(AND(F225&lt;&gt;"",NOT(ISNUMBER(F225))),N(F225)&lt;0,N(F225)&gt;1),"Remise invalide",IF(K225="","Taux de TVA manquant",IF(NOT(ISNUMBER(K225)),"Taux de TVA invalide",IF(COUNTIF(p_rates,K225)=0,"Taux de TVA hors liste (Paramètres)",IF(N(O225)&gt;25,"Au-delà de 25 lignes : non imprimée","OK")))))))))))))</f>
        <v/>
      </c>
      <c r="O225" s="59" t="str">
        <f>IF(A225="","",COUNTIF($A$6:A225,A225))</f>
        <v/>
      </c>
      <c r="P225" s="62" t="str">
        <f>IF(A225="","",A225&amp;"|"&amp;O225)</f>
        <v/>
      </c>
    </row>
    <row r="226">
      <c r="A226" s="60" t="n"/>
      <c r="B226" s="63" t="n"/>
      <c r="C226" s="63" t="n"/>
      <c r="D226" s="67" t="n"/>
      <c r="E226" s="68" t="n"/>
      <c r="F226" s="69" t="n"/>
      <c r="G226" s="70" t="n"/>
      <c r="H226" s="62" t="str">
        <f>IF(COUNTA(A226:G226)=0,"",IF(C226&lt;&gt;"",C226,IF(B226="","",IFERROR(INDEX(pr_des,MATCH(B226,pr_code,0))&amp;"",""))))</f>
        <v/>
      </c>
      <c r="I226" s="59" t="str">
        <f>IF(B226="","",IFERROR(INDEX(pr_unit,MATCH(B226,pr_code,0))&amp;"",""))</f>
        <v/>
      </c>
      <c r="J226" s="65" t="str">
        <f>IF(COUNTA(A226:G226)=0,"",IF(E226&lt;&gt;"",E226,IF(B226="","",IFERROR(IF(INDEX(pr_price,MATCH(B226,pr_code,0))="","",INDEX(pr_price,MATCH(B226,pr_code,0))),""))))</f>
        <v/>
      </c>
      <c r="K226" s="71" t="str">
        <f>IF(COUNTA(A226:G226)=0,"",IF(G226&lt;&gt;"",G226,IF(B226="","",IFERROR(IF(INDEX(pr_rate,MATCH(B226,pr_code,0))="","",INDEX(pr_rate,MATCH(B226,pr_code,0))),""))))</f>
        <v/>
      </c>
      <c r="L226" s="65" t="str">
        <f>IF(COUNTA(A226:G226)=0,"",IF(AND(ISNUMBER(D226),ISNUMBER(J226)),ROUND(D226*J226*(1-N(F226)),2),0))</f>
        <v/>
      </c>
      <c r="M226" s="62" t="str">
        <f>IF(A226="","",IFERROR(INDEX(fa_cname,MATCH(A226,fa_num,0))&amp;"",""))</f>
        <v/>
      </c>
      <c r="N226" s="59" t="str">
        <f>IF(COUNTA(A226:G226)=0,"",IF(A226="","N° facture manquant",IF(ISNA(MATCH(A226,fa_num,0)),"Facture inconnue",IF(AND(B226&lt;&gt;"",ISNA(MATCH(B226,pr_code,0))),"Article inconnu",IF(H226="","Désignation manquante",IF(OR(NOT(ISNUMBER(D226)),N(D226)&lt;=0),"Quantité invalide",IF(J226="","Prix manquant",IF(OR(NOT(ISNUMBER(J226)),N(J226)&lt;0),"Prix invalide",IF(OR(AND(F226&lt;&gt;"",NOT(ISNUMBER(F226))),N(F226)&lt;0,N(F226)&gt;1),"Remise invalide",IF(K226="","Taux de TVA manquant",IF(NOT(ISNUMBER(K226)),"Taux de TVA invalide",IF(COUNTIF(p_rates,K226)=0,"Taux de TVA hors liste (Paramètres)",IF(N(O226)&gt;25,"Au-delà de 25 lignes : non imprimée","OK")))))))))))))</f>
        <v/>
      </c>
      <c r="O226" s="59" t="str">
        <f>IF(A226="","",COUNTIF($A$6:A226,A226))</f>
        <v/>
      </c>
      <c r="P226" s="62" t="str">
        <f>IF(A226="","",A226&amp;"|"&amp;O226)</f>
        <v/>
      </c>
    </row>
    <row r="227">
      <c r="A227" s="60" t="n"/>
      <c r="B227" s="63" t="n"/>
      <c r="C227" s="63" t="n"/>
      <c r="D227" s="67" t="n"/>
      <c r="E227" s="68" t="n"/>
      <c r="F227" s="69" t="n"/>
      <c r="G227" s="70" t="n"/>
      <c r="H227" s="62" t="str">
        <f>IF(COUNTA(A227:G227)=0,"",IF(C227&lt;&gt;"",C227,IF(B227="","",IFERROR(INDEX(pr_des,MATCH(B227,pr_code,0))&amp;"",""))))</f>
        <v/>
      </c>
      <c r="I227" s="59" t="str">
        <f>IF(B227="","",IFERROR(INDEX(pr_unit,MATCH(B227,pr_code,0))&amp;"",""))</f>
        <v/>
      </c>
      <c r="J227" s="65" t="str">
        <f>IF(COUNTA(A227:G227)=0,"",IF(E227&lt;&gt;"",E227,IF(B227="","",IFERROR(IF(INDEX(pr_price,MATCH(B227,pr_code,0))="","",INDEX(pr_price,MATCH(B227,pr_code,0))),""))))</f>
        <v/>
      </c>
      <c r="K227" s="71" t="str">
        <f>IF(COUNTA(A227:G227)=0,"",IF(G227&lt;&gt;"",G227,IF(B227="","",IFERROR(IF(INDEX(pr_rate,MATCH(B227,pr_code,0))="","",INDEX(pr_rate,MATCH(B227,pr_code,0))),""))))</f>
        <v/>
      </c>
      <c r="L227" s="65" t="str">
        <f>IF(COUNTA(A227:G227)=0,"",IF(AND(ISNUMBER(D227),ISNUMBER(J227)),ROUND(D227*J227*(1-N(F227)),2),0))</f>
        <v/>
      </c>
      <c r="M227" s="62" t="str">
        <f>IF(A227="","",IFERROR(INDEX(fa_cname,MATCH(A227,fa_num,0))&amp;"",""))</f>
        <v/>
      </c>
      <c r="N227" s="59" t="str">
        <f>IF(COUNTA(A227:G227)=0,"",IF(A227="","N° facture manquant",IF(ISNA(MATCH(A227,fa_num,0)),"Facture inconnue",IF(AND(B227&lt;&gt;"",ISNA(MATCH(B227,pr_code,0))),"Article inconnu",IF(H227="","Désignation manquante",IF(OR(NOT(ISNUMBER(D227)),N(D227)&lt;=0),"Quantité invalide",IF(J227="","Prix manquant",IF(OR(NOT(ISNUMBER(J227)),N(J227)&lt;0),"Prix invalide",IF(OR(AND(F227&lt;&gt;"",NOT(ISNUMBER(F227))),N(F227)&lt;0,N(F227)&gt;1),"Remise invalide",IF(K227="","Taux de TVA manquant",IF(NOT(ISNUMBER(K227)),"Taux de TVA invalide",IF(COUNTIF(p_rates,K227)=0,"Taux de TVA hors liste (Paramètres)",IF(N(O227)&gt;25,"Au-delà de 25 lignes : non imprimée","OK")))))))))))))</f>
        <v/>
      </c>
      <c r="O227" s="59" t="str">
        <f>IF(A227="","",COUNTIF($A$6:A227,A227))</f>
        <v/>
      </c>
      <c r="P227" s="62" t="str">
        <f>IF(A227="","",A227&amp;"|"&amp;O227)</f>
        <v/>
      </c>
    </row>
    <row r="228">
      <c r="A228" s="60" t="n"/>
      <c r="B228" s="63" t="n"/>
      <c r="C228" s="63" t="n"/>
      <c r="D228" s="67" t="n"/>
      <c r="E228" s="68" t="n"/>
      <c r="F228" s="69" t="n"/>
      <c r="G228" s="70" t="n"/>
      <c r="H228" s="62" t="str">
        <f>IF(COUNTA(A228:G228)=0,"",IF(C228&lt;&gt;"",C228,IF(B228="","",IFERROR(INDEX(pr_des,MATCH(B228,pr_code,0))&amp;"",""))))</f>
        <v/>
      </c>
      <c r="I228" s="59" t="str">
        <f>IF(B228="","",IFERROR(INDEX(pr_unit,MATCH(B228,pr_code,0))&amp;"",""))</f>
        <v/>
      </c>
      <c r="J228" s="65" t="str">
        <f>IF(COUNTA(A228:G228)=0,"",IF(E228&lt;&gt;"",E228,IF(B228="","",IFERROR(IF(INDEX(pr_price,MATCH(B228,pr_code,0))="","",INDEX(pr_price,MATCH(B228,pr_code,0))),""))))</f>
        <v/>
      </c>
      <c r="K228" s="71" t="str">
        <f>IF(COUNTA(A228:G228)=0,"",IF(G228&lt;&gt;"",G228,IF(B228="","",IFERROR(IF(INDEX(pr_rate,MATCH(B228,pr_code,0))="","",INDEX(pr_rate,MATCH(B228,pr_code,0))),""))))</f>
        <v/>
      </c>
      <c r="L228" s="65" t="str">
        <f>IF(COUNTA(A228:G228)=0,"",IF(AND(ISNUMBER(D228),ISNUMBER(J228)),ROUND(D228*J228*(1-N(F228)),2),0))</f>
        <v/>
      </c>
      <c r="M228" s="62" t="str">
        <f>IF(A228="","",IFERROR(INDEX(fa_cname,MATCH(A228,fa_num,0))&amp;"",""))</f>
        <v/>
      </c>
      <c r="N228" s="59" t="str">
        <f>IF(COUNTA(A228:G228)=0,"",IF(A228="","N° facture manquant",IF(ISNA(MATCH(A228,fa_num,0)),"Facture inconnue",IF(AND(B228&lt;&gt;"",ISNA(MATCH(B228,pr_code,0))),"Article inconnu",IF(H228="","Désignation manquante",IF(OR(NOT(ISNUMBER(D228)),N(D228)&lt;=0),"Quantité invalide",IF(J228="","Prix manquant",IF(OR(NOT(ISNUMBER(J228)),N(J228)&lt;0),"Prix invalide",IF(OR(AND(F228&lt;&gt;"",NOT(ISNUMBER(F228))),N(F228)&lt;0,N(F228)&gt;1),"Remise invalide",IF(K228="","Taux de TVA manquant",IF(NOT(ISNUMBER(K228)),"Taux de TVA invalide",IF(COUNTIF(p_rates,K228)=0,"Taux de TVA hors liste (Paramètres)",IF(N(O228)&gt;25,"Au-delà de 25 lignes : non imprimée","OK")))))))))))))</f>
        <v/>
      </c>
      <c r="O228" s="59" t="str">
        <f>IF(A228="","",COUNTIF($A$6:A228,A228))</f>
        <v/>
      </c>
      <c r="P228" s="62" t="str">
        <f>IF(A228="","",A228&amp;"|"&amp;O228)</f>
        <v/>
      </c>
    </row>
    <row r="229">
      <c r="A229" s="60" t="n"/>
      <c r="B229" s="63" t="n"/>
      <c r="C229" s="63" t="n"/>
      <c r="D229" s="67" t="n"/>
      <c r="E229" s="68" t="n"/>
      <c r="F229" s="69" t="n"/>
      <c r="G229" s="70" t="n"/>
      <c r="H229" s="62" t="str">
        <f>IF(COUNTA(A229:G229)=0,"",IF(C229&lt;&gt;"",C229,IF(B229="","",IFERROR(INDEX(pr_des,MATCH(B229,pr_code,0))&amp;"",""))))</f>
        <v/>
      </c>
      <c r="I229" s="59" t="str">
        <f>IF(B229="","",IFERROR(INDEX(pr_unit,MATCH(B229,pr_code,0))&amp;"",""))</f>
        <v/>
      </c>
      <c r="J229" s="65" t="str">
        <f>IF(COUNTA(A229:G229)=0,"",IF(E229&lt;&gt;"",E229,IF(B229="","",IFERROR(IF(INDEX(pr_price,MATCH(B229,pr_code,0))="","",INDEX(pr_price,MATCH(B229,pr_code,0))),""))))</f>
        <v/>
      </c>
      <c r="K229" s="71" t="str">
        <f>IF(COUNTA(A229:G229)=0,"",IF(G229&lt;&gt;"",G229,IF(B229="","",IFERROR(IF(INDEX(pr_rate,MATCH(B229,pr_code,0))="","",INDEX(pr_rate,MATCH(B229,pr_code,0))),""))))</f>
        <v/>
      </c>
      <c r="L229" s="65" t="str">
        <f>IF(COUNTA(A229:G229)=0,"",IF(AND(ISNUMBER(D229),ISNUMBER(J229)),ROUND(D229*J229*(1-N(F229)),2),0))</f>
        <v/>
      </c>
      <c r="M229" s="62" t="str">
        <f>IF(A229="","",IFERROR(INDEX(fa_cname,MATCH(A229,fa_num,0))&amp;"",""))</f>
        <v/>
      </c>
      <c r="N229" s="59" t="str">
        <f>IF(COUNTA(A229:G229)=0,"",IF(A229="","N° facture manquant",IF(ISNA(MATCH(A229,fa_num,0)),"Facture inconnue",IF(AND(B229&lt;&gt;"",ISNA(MATCH(B229,pr_code,0))),"Article inconnu",IF(H229="","Désignation manquante",IF(OR(NOT(ISNUMBER(D229)),N(D229)&lt;=0),"Quantité invalide",IF(J229="","Prix manquant",IF(OR(NOT(ISNUMBER(J229)),N(J229)&lt;0),"Prix invalide",IF(OR(AND(F229&lt;&gt;"",NOT(ISNUMBER(F229))),N(F229)&lt;0,N(F229)&gt;1),"Remise invalide",IF(K229="","Taux de TVA manquant",IF(NOT(ISNUMBER(K229)),"Taux de TVA invalide",IF(COUNTIF(p_rates,K229)=0,"Taux de TVA hors liste (Paramètres)",IF(N(O229)&gt;25,"Au-delà de 25 lignes : non imprimée","OK")))))))))))))</f>
        <v/>
      </c>
      <c r="O229" s="59" t="str">
        <f>IF(A229="","",COUNTIF($A$6:A229,A229))</f>
        <v/>
      </c>
      <c r="P229" s="62" t="str">
        <f>IF(A229="","",A229&amp;"|"&amp;O229)</f>
        <v/>
      </c>
    </row>
    <row r="230">
      <c r="A230" s="60" t="n"/>
      <c r="B230" s="63" t="n"/>
      <c r="C230" s="63" t="n"/>
      <c r="D230" s="67" t="n"/>
      <c r="E230" s="68" t="n"/>
      <c r="F230" s="69" t="n"/>
      <c r="G230" s="70" t="n"/>
      <c r="H230" s="62" t="str">
        <f>IF(COUNTA(A230:G230)=0,"",IF(C230&lt;&gt;"",C230,IF(B230="","",IFERROR(INDEX(pr_des,MATCH(B230,pr_code,0))&amp;"",""))))</f>
        <v/>
      </c>
      <c r="I230" s="59" t="str">
        <f>IF(B230="","",IFERROR(INDEX(pr_unit,MATCH(B230,pr_code,0))&amp;"",""))</f>
        <v/>
      </c>
      <c r="J230" s="65" t="str">
        <f>IF(COUNTA(A230:G230)=0,"",IF(E230&lt;&gt;"",E230,IF(B230="","",IFERROR(IF(INDEX(pr_price,MATCH(B230,pr_code,0))="","",INDEX(pr_price,MATCH(B230,pr_code,0))),""))))</f>
        <v/>
      </c>
      <c r="K230" s="71" t="str">
        <f>IF(COUNTA(A230:G230)=0,"",IF(G230&lt;&gt;"",G230,IF(B230="","",IFERROR(IF(INDEX(pr_rate,MATCH(B230,pr_code,0))="","",INDEX(pr_rate,MATCH(B230,pr_code,0))),""))))</f>
        <v/>
      </c>
      <c r="L230" s="65" t="str">
        <f>IF(COUNTA(A230:G230)=0,"",IF(AND(ISNUMBER(D230),ISNUMBER(J230)),ROUND(D230*J230*(1-N(F230)),2),0))</f>
        <v/>
      </c>
      <c r="M230" s="62" t="str">
        <f>IF(A230="","",IFERROR(INDEX(fa_cname,MATCH(A230,fa_num,0))&amp;"",""))</f>
        <v/>
      </c>
      <c r="N230" s="59" t="str">
        <f>IF(COUNTA(A230:G230)=0,"",IF(A230="","N° facture manquant",IF(ISNA(MATCH(A230,fa_num,0)),"Facture inconnue",IF(AND(B230&lt;&gt;"",ISNA(MATCH(B230,pr_code,0))),"Article inconnu",IF(H230="","Désignation manquante",IF(OR(NOT(ISNUMBER(D230)),N(D230)&lt;=0),"Quantité invalide",IF(J230="","Prix manquant",IF(OR(NOT(ISNUMBER(J230)),N(J230)&lt;0),"Prix invalide",IF(OR(AND(F230&lt;&gt;"",NOT(ISNUMBER(F230))),N(F230)&lt;0,N(F230)&gt;1),"Remise invalide",IF(K230="","Taux de TVA manquant",IF(NOT(ISNUMBER(K230)),"Taux de TVA invalide",IF(COUNTIF(p_rates,K230)=0,"Taux de TVA hors liste (Paramètres)",IF(N(O230)&gt;25,"Au-delà de 25 lignes : non imprimée","OK")))))))))))))</f>
        <v/>
      </c>
      <c r="O230" s="59" t="str">
        <f>IF(A230="","",COUNTIF($A$6:A230,A230))</f>
        <v/>
      </c>
      <c r="P230" s="62" t="str">
        <f>IF(A230="","",A230&amp;"|"&amp;O230)</f>
        <v/>
      </c>
    </row>
    <row r="231">
      <c r="A231" s="60" t="n"/>
      <c r="B231" s="63" t="n"/>
      <c r="C231" s="63" t="n"/>
      <c r="D231" s="67" t="n"/>
      <c r="E231" s="68" t="n"/>
      <c r="F231" s="69" t="n"/>
      <c r="G231" s="70" t="n"/>
      <c r="H231" s="62" t="str">
        <f>IF(COUNTA(A231:G231)=0,"",IF(C231&lt;&gt;"",C231,IF(B231="","",IFERROR(INDEX(pr_des,MATCH(B231,pr_code,0))&amp;"",""))))</f>
        <v/>
      </c>
      <c r="I231" s="59" t="str">
        <f>IF(B231="","",IFERROR(INDEX(pr_unit,MATCH(B231,pr_code,0))&amp;"",""))</f>
        <v/>
      </c>
      <c r="J231" s="65" t="str">
        <f>IF(COUNTA(A231:G231)=0,"",IF(E231&lt;&gt;"",E231,IF(B231="","",IFERROR(IF(INDEX(pr_price,MATCH(B231,pr_code,0))="","",INDEX(pr_price,MATCH(B231,pr_code,0))),""))))</f>
        <v/>
      </c>
      <c r="K231" s="71" t="str">
        <f>IF(COUNTA(A231:G231)=0,"",IF(G231&lt;&gt;"",G231,IF(B231="","",IFERROR(IF(INDEX(pr_rate,MATCH(B231,pr_code,0))="","",INDEX(pr_rate,MATCH(B231,pr_code,0))),""))))</f>
        <v/>
      </c>
      <c r="L231" s="65" t="str">
        <f>IF(COUNTA(A231:G231)=0,"",IF(AND(ISNUMBER(D231),ISNUMBER(J231)),ROUND(D231*J231*(1-N(F231)),2),0))</f>
        <v/>
      </c>
      <c r="M231" s="62" t="str">
        <f>IF(A231="","",IFERROR(INDEX(fa_cname,MATCH(A231,fa_num,0))&amp;"",""))</f>
        <v/>
      </c>
      <c r="N231" s="59" t="str">
        <f>IF(COUNTA(A231:G231)=0,"",IF(A231="","N° facture manquant",IF(ISNA(MATCH(A231,fa_num,0)),"Facture inconnue",IF(AND(B231&lt;&gt;"",ISNA(MATCH(B231,pr_code,0))),"Article inconnu",IF(H231="","Désignation manquante",IF(OR(NOT(ISNUMBER(D231)),N(D231)&lt;=0),"Quantité invalide",IF(J231="","Prix manquant",IF(OR(NOT(ISNUMBER(J231)),N(J231)&lt;0),"Prix invalide",IF(OR(AND(F231&lt;&gt;"",NOT(ISNUMBER(F231))),N(F231)&lt;0,N(F231)&gt;1),"Remise invalide",IF(K231="","Taux de TVA manquant",IF(NOT(ISNUMBER(K231)),"Taux de TVA invalide",IF(COUNTIF(p_rates,K231)=0,"Taux de TVA hors liste (Paramètres)",IF(N(O231)&gt;25,"Au-delà de 25 lignes : non imprimée","OK")))))))))))))</f>
        <v/>
      </c>
      <c r="O231" s="59" t="str">
        <f>IF(A231="","",COUNTIF($A$6:A231,A231))</f>
        <v/>
      </c>
      <c r="P231" s="62" t="str">
        <f>IF(A231="","",A231&amp;"|"&amp;O231)</f>
        <v/>
      </c>
    </row>
    <row r="232">
      <c r="A232" s="60" t="n"/>
      <c r="B232" s="63" t="n"/>
      <c r="C232" s="63" t="n"/>
      <c r="D232" s="67" t="n"/>
      <c r="E232" s="68" t="n"/>
      <c r="F232" s="69" t="n"/>
      <c r="G232" s="70" t="n"/>
      <c r="H232" s="62" t="str">
        <f>IF(COUNTA(A232:G232)=0,"",IF(C232&lt;&gt;"",C232,IF(B232="","",IFERROR(INDEX(pr_des,MATCH(B232,pr_code,0))&amp;"",""))))</f>
        <v/>
      </c>
      <c r="I232" s="59" t="str">
        <f>IF(B232="","",IFERROR(INDEX(pr_unit,MATCH(B232,pr_code,0))&amp;"",""))</f>
        <v/>
      </c>
      <c r="J232" s="65" t="str">
        <f>IF(COUNTA(A232:G232)=0,"",IF(E232&lt;&gt;"",E232,IF(B232="","",IFERROR(IF(INDEX(pr_price,MATCH(B232,pr_code,0))="","",INDEX(pr_price,MATCH(B232,pr_code,0))),""))))</f>
        <v/>
      </c>
      <c r="K232" s="71" t="str">
        <f>IF(COUNTA(A232:G232)=0,"",IF(G232&lt;&gt;"",G232,IF(B232="","",IFERROR(IF(INDEX(pr_rate,MATCH(B232,pr_code,0))="","",INDEX(pr_rate,MATCH(B232,pr_code,0))),""))))</f>
        <v/>
      </c>
      <c r="L232" s="65" t="str">
        <f>IF(COUNTA(A232:G232)=0,"",IF(AND(ISNUMBER(D232),ISNUMBER(J232)),ROUND(D232*J232*(1-N(F232)),2),0))</f>
        <v/>
      </c>
      <c r="M232" s="62" t="str">
        <f>IF(A232="","",IFERROR(INDEX(fa_cname,MATCH(A232,fa_num,0))&amp;"",""))</f>
        <v/>
      </c>
      <c r="N232" s="59" t="str">
        <f>IF(COUNTA(A232:G232)=0,"",IF(A232="","N° facture manquant",IF(ISNA(MATCH(A232,fa_num,0)),"Facture inconnue",IF(AND(B232&lt;&gt;"",ISNA(MATCH(B232,pr_code,0))),"Article inconnu",IF(H232="","Désignation manquante",IF(OR(NOT(ISNUMBER(D232)),N(D232)&lt;=0),"Quantité invalide",IF(J232="","Prix manquant",IF(OR(NOT(ISNUMBER(J232)),N(J232)&lt;0),"Prix invalide",IF(OR(AND(F232&lt;&gt;"",NOT(ISNUMBER(F232))),N(F232)&lt;0,N(F232)&gt;1),"Remise invalide",IF(K232="","Taux de TVA manquant",IF(NOT(ISNUMBER(K232)),"Taux de TVA invalide",IF(COUNTIF(p_rates,K232)=0,"Taux de TVA hors liste (Paramètres)",IF(N(O232)&gt;25,"Au-delà de 25 lignes : non imprimée","OK")))))))))))))</f>
        <v/>
      </c>
      <c r="O232" s="59" t="str">
        <f>IF(A232="","",COUNTIF($A$6:A232,A232))</f>
        <v/>
      </c>
      <c r="P232" s="62" t="str">
        <f>IF(A232="","",A232&amp;"|"&amp;O232)</f>
        <v/>
      </c>
    </row>
    <row r="233">
      <c r="A233" s="60" t="n"/>
      <c r="B233" s="63" t="n"/>
      <c r="C233" s="63" t="n"/>
      <c r="D233" s="67" t="n"/>
      <c r="E233" s="68" t="n"/>
      <c r="F233" s="69" t="n"/>
      <c r="G233" s="70" t="n"/>
      <c r="H233" s="62" t="str">
        <f>IF(COUNTA(A233:G233)=0,"",IF(C233&lt;&gt;"",C233,IF(B233="","",IFERROR(INDEX(pr_des,MATCH(B233,pr_code,0))&amp;"",""))))</f>
        <v/>
      </c>
      <c r="I233" s="59" t="str">
        <f>IF(B233="","",IFERROR(INDEX(pr_unit,MATCH(B233,pr_code,0))&amp;"",""))</f>
        <v/>
      </c>
      <c r="J233" s="65" t="str">
        <f>IF(COUNTA(A233:G233)=0,"",IF(E233&lt;&gt;"",E233,IF(B233="","",IFERROR(IF(INDEX(pr_price,MATCH(B233,pr_code,0))="","",INDEX(pr_price,MATCH(B233,pr_code,0))),""))))</f>
        <v/>
      </c>
      <c r="K233" s="71" t="str">
        <f>IF(COUNTA(A233:G233)=0,"",IF(G233&lt;&gt;"",G233,IF(B233="","",IFERROR(IF(INDEX(pr_rate,MATCH(B233,pr_code,0))="","",INDEX(pr_rate,MATCH(B233,pr_code,0))),""))))</f>
        <v/>
      </c>
      <c r="L233" s="65" t="str">
        <f>IF(COUNTA(A233:G233)=0,"",IF(AND(ISNUMBER(D233),ISNUMBER(J233)),ROUND(D233*J233*(1-N(F233)),2),0))</f>
        <v/>
      </c>
      <c r="M233" s="62" t="str">
        <f>IF(A233="","",IFERROR(INDEX(fa_cname,MATCH(A233,fa_num,0))&amp;"",""))</f>
        <v/>
      </c>
      <c r="N233" s="59" t="str">
        <f>IF(COUNTA(A233:G233)=0,"",IF(A233="","N° facture manquant",IF(ISNA(MATCH(A233,fa_num,0)),"Facture inconnue",IF(AND(B233&lt;&gt;"",ISNA(MATCH(B233,pr_code,0))),"Article inconnu",IF(H233="","Désignation manquante",IF(OR(NOT(ISNUMBER(D233)),N(D233)&lt;=0),"Quantité invalide",IF(J233="","Prix manquant",IF(OR(NOT(ISNUMBER(J233)),N(J233)&lt;0),"Prix invalide",IF(OR(AND(F233&lt;&gt;"",NOT(ISNUMBER(F233))),N(F233)&lt;0,N(F233)&gt;1),"Remise invalide",IF(K233="","Taux de TVA manquant",IF(NOT(ISNUMBER(K233)),"Taux de TVA invalide",IF(COUNTIF(p_rates,K233)=0,"Taux de TVA hors liste (Paramètres)",IF(N(O233)&gt;25,"Au-delà de 25 lignes : non imprimée","OK")))))))))))))</f>
        <v/>
      </c>
      <c r="O233" s="59" t="str">
        <f>IF(A233="","",COUNTIF($A$6:A233,A233))</f>
        <v/>
      </c>
      <c r="P233" s="62" t="str">
        <f>IF(A233="","",A233&amp;"|"&amp;O233)</f>
        <v/>
      </c>
    </row>
    <row r="234">
      <c r="A234" s="60" t="n"/>
      <c r="B234" s="63" t="n"/>
      <c r="C234" s="63" t="n"/>
      <c r="D234" s="67" t="n"/>
      <c r="E234" s="68" t="n"/>
      <c r="F234" s="69" t="n"/>
      <c r="G234" s="70" t="n"/>
      <c r="H234" s="62" t="str">
        <f>IF(COUNTA(A234:G234)=0,"",IF(C234&lt;&gt;"",C234,IF(B234="","",IFERROR(INDEX(pr_des,MATCH(B234,pr_code,0))&amp;"",""))))</f>
        <v/>
      </c>
      <c r="I234" s="59" t="str">
        <f>IF(B234="","",IFERROR(INDEX(pr_unit,MATCH(B234,pr_code,0))&amp;"",""))</f>
        <v/>
      </c>
      <c r="J234" s="65" t="str">
        <f>IF(COUNTA(A234:G234)=0,"",IF(E234&lt;&gt;"",E234,IF(B234="","",IFERROR(IF(INDEX(pr_price,MATCH(B234,pr_code,0))="","",INDEX(pr_price,MATCH(B234,pr_code,0))),""))))</f>
        <v/>
      </c>
      <c r="K234" s="71" t="str">
        <f>IF(COUNTA(A234:G234)=0,"",IF(G234&lt;&gt;"",G234,IF(B234="","",IFERROR(IF(INDEX(pr_rate,MATCH(B234,pr_code,0))="","",INDEX(pr_rate,MATCH(B234,pr_code,0))),""))))</f>
        <v/>
      </c>
      <c r="L234" s="65" t="str">
        <f>IF(COUNTA(A234:G234)=0,"",IF(AND(ISNUMBER(D234),ISNUMBER(J234)),ROUND(D234*J234*(1-N(F234)),2),0))</f>
        <v/>
      </c>
      <c r="M234" s="62" t="str">
        <f>IF(A234="","",IFERROR(INDEX(fa_cname,MATCH(A234,fa_num,0))&amp;"",""))</f>
        <v/>
      </c>
      <c r="N234" s="59" t="str">
        <f>IF(COUNTA(A234:G234)=0,"",IF(A234="","N° facture manquant",IF(ISNA(MATCH(A234,fa_num,0)),"Facture inconnue",IF(AND(B234&lt;&gt;"",ISNA(MATCH(B234,pr_code,0))),"Article inconnu",IF(H234="","Désignation manquante",IF(OR(NOT(ISNUMBER(D234)),N(D234)&lt;=0),"Quantité invalide",IF(J234="","Prix manquant",IF(OR(NOT(ISNUMBER(J234)),N(J234)&lt;0),"Prix invalide",IF(OR(AND(F234&lt;&gt;"",NOT(ISNUMBER(F234))),N(F234)&lt;0,N(F234)&gt;1),"Remise invalide",IF(K234="","Taux de TVA manquant",IF(NOT(ISNUMBER(K234)),"Taux de TVA invalide",IF(COUNTIF(p_rates,K234)=0,"Taux de TVA hors liste (Paramètres)",IF(N(O234)&gt;25,"Au-delà de 25 lignes : non imprimée","OK")))))))))))))</f>
        <v/>
      </c>
      <c r="O234" s="59" t="str">
        <f>IF(A234="","",COUNTIF($A$6:A234,A234))</f>
        <v/>
      </c>
      <c r="P234" s="62" t="str">
        <f>IF(A234="","",A234&amp;"|"&amp;O234)</f>
        <v/>
      </c>
    </row>
    <row r="235">
      <c r="A235" s="60" t="n"/>
      <c r="B235" s="63" t="n"/>
      <c r="C235" s="63" t="n"/>
      <c r="D235" s="67" t="n"/>
      <c r="E235" s="68" t="n"/>
      <c r="F235" s="69" t="n"/>
      <c r="G235" s="70" t="n"/>
      <c r="H235" s="62" t="str">
        <f>IF(COUNTA(A235:G235)=0,"",IF(C235&lt;&gt;"",C235,IF(B235="","",IFERROR(INDEX(pr_des,MATCH(B235,pr_code,0))&amp;"",""))))</f>
        <v/>
      </c>
      <c r="I235" s="59" t="str">
        <f>IF(B235="","",IFERROR(INDEX(pr_unit,MATCH(B235,pr_code,0))&amp;"",""))</f>
        <v/>
      </c>
      <c r="J235" s="65" t="str">
        <f>IF(COUNTA(A235:G235)=0,"",IF(E235&lt;&gt;"",E235,IF(B235="","",IFERROR(IF(INDEX(pr_price,MATCH(B235,pr_code,0))="","",INDEX(pr_price,MATCH(B235,pr_code,0))),""))))</f>
        <v/>
      </c>
      <c r="K235" s="71" t="str">
        <f>IF(COUNTA(A235:G235)=0,"",IF(G235&lt;&gt;"",G235,IF(B235="","",IFERROR(IF(INDEX(pr_rate,MATCH(B235,pr_code,0))="","",INDEX(pr_rate,MATCH(B235,pr_code,0))),""))))</f>
        <v/>
      </c>
      <c r="L235" s="65" t="str">
        <f>IF(COUNTA(A235:G235)=0,"",IF(AND(ISNUMBER(D235),ISNUMBER(J235)),ROUND(D235*J235*(1-N(F235)),2),0))</f>
        <v/>
      </c>
      <c r="M235" s="62" t="str">
        <f>IF(A235="","",IFERROR(INDEX(fa_cname,MATCH(A235,fa_num,0))&amp;"",""))</f>
        <v/>
      </c>
      <c r="N235" s="59" t="str">
        <f>IF(COUNTA(A235:G235)=0,"",IF(A235="","N° facture manquant",IF(ISNA(MATCH(A235,fa_num,0)),"Facture inconnue",IF(AND(B235&lt;&gt;"",ISNA(MATCH(B235,pr_code,0))),"Article inconnu",IF(H235="","Désignation manquante",IF(OR(NOT(ISNUMBER(D235)),N(D235)&lt;=0),"Quantité invalide",IF(J235="","Prix manquant",IF(OR(NOT(ISNUMBER(J235)),N(J235)&lt;0),"Prix invalide",IF(OR(AND(F235&lt;&gt;"",NOT(ISNUMBER(F235))),N(F235)&lt;0,N(F235)&gt;1),"Remise invalide",IF(K235="","Taux de TVA manquant",IF(NOT(ISNUMBER(K235)),"Taux de TVA invalide",IF(COUNTIF(p_rates,K235)=0,"Taux de TVA hors liste (Paramètres)",IF(N(O235)&gt;25,"Au-delà de 25 lignes : non imprimée","OK")))))))))))))</f>
        <v/>
      </c>
      <c r="O235" s="59" t="str">
        <f>IF(A235="","",COUNTIF($A$6:A235,A235))</f>
        <v/>
      </c>
      <c r="P235" s="62" t="str">
        <f>IF(A235="","",A235&amp;"|"&amp;O235)</f>
        <v/>
      </c>
    </row>
    <row r="236">
      <c r="A236" s="60" t="n"/>
      <c r="B236" s="63" t="n"/>
      <c r="C236" s="63" t="n"/>
      <c r="D236" s="67" t="n"/>
      <c r="E236" s="68" t="n"/>
      <c r="F236" s="69" t="n"/>
      <c r="G236" s="70" t="n"/>
      <c r="H236" s="62" t="str">
        <f>IF(COUNTA(A236:G236)=0,"",IF(C236&lt;&gt;"",C236,IF(B236="","",IFERROR(INDEX(pr_des,MATCH(B236,pr_code,0))&amp;"",""))))</f>
        <v/>
      </c>
      <c r="I236" s="59" t="str">
        <f>IF(B236="","",IFERROR(INDEX(pr_unit,MATCH(B236,pr_code,0))&amp;"",""))</f>
        <v/>
      </c>
      <c r="J236" s="65" t="str">
        <f>IF(COUNTA(A236:G236)=0,"",IF(E236&lt;&gt;"",E236,IF(B236="","",IFERROR(IF(INDEX(pr_price,MATCH(B236,pr_code,0))="","",INDEX(pr_price,MATCH(B236,pr_code,0))),""))))</f>
        <v/>
      </c>
      <c r="K236" s="71" t="str">
        <f>IF(COUNTA(A236:G236)=0,"",IF(G236&lt;&gt;"",G236,IF(B236="","",IFERROR(IF(INDEX(pr_rate,MATCH(B236,pr_code,0))="","",INDEX(pr_rate,MATCH(B236,pr_code,0))),""))))</f>
        <v/>
      </c>
      <c r="L236" s="65" t="str">
        <f>IF(COUNTA(A236:G236)=0,"",IF(AND(ISNUMBER(D236),ISNUMBER(J236)),ROUND(D236*J236*(1-N(F236)),2),0))</f>
        <v/>
      </c>
      <c r="M236" s="62" t="str">
        <f>IF(A236="","",IFERROR(INDEX(fa_cname,MATCH(A236,fa_num,0))&amp;"",""))</f>
        <v/>
      </c>
      <c r="N236" s="59" t="str">
        <f>IF(COUNTA(A236:G236)=0,"",IF(A236="","N° facture manquant",IF(ISNA(MATCH(A236,fa_num,0)),"Facture inconnue",IF(AND(B236&lt;&gt;"",ISNA(MATCH(B236,pr_code,0))),"Article inconnu",IF(H236="","Désignation manquante",IF(OR(NOT(ISNUMBER(D236)),N(D236)&lt;=0),"Quantité invalide",IF(J236="","Prix manquant",IF(OR(NOT(ISNUMBER(J236)),N(J236)&lt;0),"Prix invalide",IF(OR(AND(F236&lt;&gt;"",NOT(ISNUMBER(F236))),N(F236)&lt;0,N(F236)&gt;1),"Remise invalide",IF(K236="","Taux de TVA manquant",IF(NOT(ISNUMBER(K236)),"Taux de TVA invalide",IF(COUNTIF(p_rates,K236)=0,"Taux de TVA hors liste (Paramètres)",IF(N(O236)&gt;25,"Au-delà de 25 lignes : non imprimée","OK")))))))))))))</f>
        <v/>
      </c>
      <c r="O236" s="59" t="str">
        <f>IF(A236="","",COUNTIF($A$6:A236,A236))</f>
        <v/>
      </c>
      <c r="P236" s="62" t="str">
        <f>IF(A236="","",A236&amp;"|"&amp;O236)</f>
        <v/>
      </c>
    </row>
    <row r="237">
      <c r="A237" s="60" t="n"/>
      <c r="B237" s="63" t="n"/>
      <c r="C237" s="63" t="n"/>
      <c r="D237" s="67" t="n"/>
      <c r="E237" s="68" t="n"/>
      <c r="F237" s="69" t="n"/>
      <c r="G237" s="70" t="n"/>
      <c r="H237" s="62" t="str">
        <f>IF(COUNTA(A237:G237)=0,"",IF(C237&lt;&gt;"",C237,IF(B237="","",IFERROR(INDEX(pr_des,MATCH(B237,pr_code,0))&amp;"",""))))</f>
        <v/>
      </c>
      <c r="I237" s="59" t="str">
        <f>IF(B237="","",IFERROR(INDEX(pr_unit,MATCH(B237,pr_code,0))&amp;"",""))</f>
        <v/>
      </c>
      <c r="J237" s="65" t="str">
        <f>IF(COUNTA(A237:G237)=0,"",IF(E237&lt;&gt;"",E237,IF(B237="","",IFERROR(IF(INDEX(pr_price,MATCH(B237,pr_code,0))="","",INDEX(pr_price,MATCH(B237,pr_code,0))),""))))</f>
        <v/>
      </c>
      <c r="K237" s="71" t="str">
        <f>IF(COUNTA(A237:G237)=0,"",IF(G237&lt;&gt;"",G237,IF(B237="","",IFERROR(IF(INDEX(pr_rate,MATCH(B237,pr_code,0))="","",INDEX(pr_rate,MATCH(B237,pr_code,0))),""))))</f>
        <v/>
      </c>
      <c r="L237" s="65" t="str">
        <f>IF(COUNTA(A237:G237)=0,"",IF(AND(ISNUMBER(D237),ISNUMBER(J237)),ROUND(D237*J237*(1-N(F237)),2),0))</f>
        <v/>
      </c>
      <c r="M237" s="62" t="str">
        <f>IF(A237="","",IFERROR(INDEX(fa_cname,MATCH(A237,fa_num,0))&amp;"",""))</f>
        <v/>
      </c>
      <c r="N237" s="59" t="str">
        <f>IF(COUNTA(A237:G237)=0,"",IF(A237="","N° facture manquant",IF(ISNA(MATCH(A237,fa_num,0)),"Facture inconnue",IF(AND(B237&lt;&gt;"",ISNA(MATCH(B237,pr_code,0))),"Article inconnu",IF(H237="","Désignation manquante",IF(OR(NOT(ISNUMBER(D237)),N(D237)&lt;=0),"Quantité invalide",IF(J237="","Prix manquant",IF(OR(NOT(ISNUMBER(J237)),N(J237)&lt;0),"Prix invalide",IF(OR(AND(F237&lt;&gt;"",NOT(ISNUMBER(F237))),N(F237)&lt;0,N(F237)&gt;1),"Remise invalide",IF(K237="","Taux de TVA manquant",IF(NOT(ISNUMBER(K237)),"Taux de TVA invalide",IF(COUNTIF(p_rates,K237)=0,"Taux de TVA hors liste (Paramètres)",IF(N(O237)&gt;25,"Au-delà de 25 lignes : non imprimée","OK")))))))))))))</f>
        <v/>
      </c>
      <c r="O237" s="59" t="str">
        <f>IF(A237="","",COUNTIF($A$6:A237,A237))</f>
        <v/>
      </c>
      <c r="P237" s="62" t="str">
        <f>IF(A237="","",A237&amp;"|"&amp;O237)</f>
        <v/>
      </c>
    </row>
    <row r="238">
      <c r="A238" s="60" t="n"/>
      <c r="B238" s="63" t="n"/>
      <c r="C238" s="63" t="n"/>
      <c r="D238" s="67" t="n"/>
      <c r="E238" s="68" t="n"/>
      <c r="F238" s="69" t="n"/>
      <c r="G238" s="70" t="n"/>
      <c r="H238" s="62" t="str">
        <f>IF(COUNTA(A238:G238)=0,"",IF(C238&lt;&gt;"",C238,IF(B238="","",IFERROR(INDEX(pr_des,MATCH(B238,pr_code,0))&amp;"",""))))</f>
        <v/>
      </c>
      <c r="I238" s="59" t="str">
        <f>IF(B238="","",IFERROR(INDEX(pr_unit,MATCH(B238,pr_code,0))&amp;"",""))</f>
        <v/>
      </c>
      <c r="J238" s="65" t="str">
        <f>IF(COUNTA(A238:G238)=0,"",IF(E238&lt;&gt;"",E238,IF(B238="","",IFERROR(IF(INDEX(pr_price,MATCH(B238,pr_code,0))="","",INDEX(pr_price,MATCH(B238,pr_code,0))),""))))</f>
        <v/>
      </c>
      <c r="K238" s="71" t="str">
        <f>IF(COUNTA(A238:G238)=0,"",IF(G238&lt;&gt;"",G238,IF(B238="","",IFERROR(IF(INDEX(pr_rate,MATCH(B238,pr_code,0))="","",INDEX(pr_rate,MATCH(B238,pr_code,0))),""))))</f>
        <v/>
      </c>
      <c r="L238" s="65" t="str">
        <f>IF(COUNTA(A238:G238)=0,"",IF(AND(ISNUMBER(D238),ISNUMBER(J238)),ROUND(D238*J238*(1-N(F238)),2),0))</f>
        <v/>
      </c>
      <c r="M238" s="62" t="str">
        <f>IF(A238="","",IFERROR(INDEX(fa_cname,MATCH(A238,fa_num,0))&amp;"",""))</f>
        <v/>
      </c>
      <c r="N238" s="59" t="str">
        <f>IF(COUNTA(A238:G238)=0,"",IF(A238="","N° facture manquant",IF(ISNA(MATCH(A238,fa_num,0)),"Facture inconnue",IF(AND(B238&lt;&gt;"",ISNA(MATCH(B238,pr_code,0))),"Article inconnu",IF(H238="","Désignation manquante",IF(OR(NOT(ISNUMBER(D238)),N(D238)&lt;=0),"Quantité invalide",IF(J238="","Prix manquant",IF(OR(NOT(ISNUMBER(J238)),N(J238)&lt;0),"Prix invalide",IF(OR(AND(F238&lt;&gt;"",NOT(ISNUMBER(F238))),N(F238)&lt;0,N(F238)&gt;1),"Remise invalide",IF(K238="","Taux de TVA manquant",IF(NOT(ISNUMBER(K238)),"Taux de TVA invalide",IF(COUNTIF(p_rates,K238)=0,"Taux de TVA hors liste (Paramètres)",IF(N(O238)&gt;25,"Au-delà de 25 lignes : non imprimée","OK")))))))))))))</f>
        <v/>
      </c>
      <c r="O238" s="59" t="str">
        <f>IF(A238="","",COUNTIF($A$6:A238,A238))</f>
        <v/>
      </c>
      <c r="P238" s="62" t="str">
        <f>IF(A238="","",A238&amp;"|"&amp;O238)</f>
        <v/>
      </c>
    </row>
    <row r="239">
      <c r="A239" s="60" t="n"/>
      <c r="B239" s="63" t="n"/>
      <c r="C239" s="63" t="n"/>
      <c r="D239" s="67" t="n"/>
      <c r="E239" s="68" t="n"/>
      <c r="F239" s="69" t="n"/>
      <c r="G239" s="70" t="n"/>
      <c r="H239" s="62" t="str">
        <f>IF(COUNTA(A239:G239)=0,"",IF(C239&lt;&gt;"",C239,IF(B239="","",IFERROR(INDEX(pr_des,MATCH(B239,pr_code,0))&amp;"",""))))</f>
        <v/>
      </c>
      <c r="I239" s="59" t="str">
        <f>IF(B239="","",IFERROR(INDEX(pr_unit,MATCH(B239,pr_code,0))&amp;"",""))</f>
        <v/>
      </c>
      <c r="J239" s="65" t="str">
        <f>IF(COUNTA(A239:G239)=0,"",IF(E239&lt;&gt;"",E239,IF(B239="","",IFERROR(IF(INDEX(pr_price,MATCH(B239,pr_code,0))="","",INDEX(pr_price,MATCH(B239,pr_code,0))),""))))</f>
        <v/>
      </c>
      <c r="K239" s="71" t="str">
        <f>IF(COUNTA(A239:G239)=0,"",IF(G239&lt;&gt;"",G239,IF(B239="","",IFERROR(IF(INDEX(pr_rate,MATCH(B239,pr_code,0))="","",INDEX(pr_rate,MATCH(B239,pr_code,0))),""))))</f>
        <v/>
      </c>
      <c r="L239" s="65" t="str">
        <f>IF(COUNTA(A239:G239)=0,"",IF(AND(ISNUMBER(D239),ISNUMBER(J239)),ROUND(D239*J239*(1-N(F239)),2),0))</f>
        <v/>
      </c>
      <c r="M239" s="62" t="str">
        <f>IF(A239="","",IFERROR(INDEX(fa_cname,MATCH(A239,fa_num,0))&amp;"",""))</f>
        <v/>
      </c>
      <c r="N239" s="59" t="str">
        <f>IF(COUNTA(A239:G239)=0,"",IF(A239="","N° facture manquant",IF(ISNA(MATCH(A239,fa_num,0)),"Facture inconnue",IF(AND(B239&lt;&gt;"",ISNA(MATCH(B239,pr_code,0))),"Article inconnu",IF(H239="","Désignation manquante",IF(OR(NOT(ISNUMBER(D239)),N(D239)&lt;=0),"Quantité invalide",IF(J239="","Prix manquant",IF(OR(NOT(ISNUMBER(J239)),N(J239)&lt;0),"Prix invalide",IF(OR(AND(F239&lt;&gt;"",NOT(ISNUMBER(F239))),N(F239)&lt;0,N(F239)&gt;1),"Remise invalide",IF(K239="","Taux de TVA manquant",IF(NOT(ISNUMBER(K239)),"Taux de TVA invalide",IF(COUNTIF(p_rates,K239)=0,"Taux de TVA hors liste (Paramètres)",IF(N(O239)&gt;25,"Au-delà de 25 lignes : non imprimée","OK")))))))))))))</f>
        <v/>
      </c>
      <c r="O239" s="59" t="str">
        <f>IF(A239="","",COUNTIF($A$6:A239,A239))</f>
        <v/>
      </c>
      <c r="P239" s="62" t="str">
        <f>IF(A239="","",A239&amp;"|"&amp;O239)</f>
        <v/>
      </c>
    </row>
    <row r="240">
      <c r="A240" s="60" t="n"/>
      <c r="B240" s="63" t="n"/>
      <c r="C240" s="63" t="n"/>
      <c r="D240" s="67" t="n"/>
      <c r="E240" s="68" t="n"/>
      <c r="F240" s="69" t="n"/>
      <c r="G240" s="70" t="n"/>
      <c r="H240" s="62" t="str">
        <f>IF(COUNTA(A240:G240)=0,"",IF(C240&lt;&gt;"",C240,IF(B240="","",IFERROR(INDEX(pr_des,MATCH(B240,pr_code,0))&amp;"",""))))</f>
        <v/>
      </c>
      <c r="I240" s="59" t="str">
        <f>IF(B240="","",IFERROR(INDEX(pr_unit,MATCH(B240,pr_code,0))&amp;"",""))</f>
        <v/>
      </c>
      <c r="J240" s="65" t="str">
        <f>IF(COUNTA(A240:G240)=0,"",IF(E240&lt;&gt;"",E240,IF(B240="","",IFERROR(IF(INDEX(pr_price,MATCH(B240,pr_code,0))="","",INDEX(pr_price,MATCH(B240,pr_code,0))),""))))</f>
        <v/>
      </c>
      <c r="K240" s="71" t="str">
        <f>IF(COUNTA(A240:G240)=0,"",IF(G240&lt;&gt;"",G240,IF(B240="","",IFERROR(IF(INDEX(pr_rate,MATCH(B240,pr_code,0))="","",INDEX(pr_rate,MATCH(B240,pr_code,0))),""))))</f>
        <v/>
      </c>
      <c r="L240" s="65" t="str">
        <f>IF(COUNTA(A240:G240)=0,"",IF(AND(ISNUMBER(D240),ISNUMBER(J240)),ROUND(D240*J240*(1-N(F240)),2),0))</f>
        <v/>
      </c>
      <c r="M240" s="62" t="str">
        <f>IF(A240="","",IFERROR(INDEX(fa_cname,MATCH(A240,fa_num,0))&amp;"",""))</f>
        <v/>
      </c>
      <c r="N240" s="59" t="str">
        <f>IF(COUNTA(A240:G240)=0,"",IF(A240="","N° facture manquant",IF(ISNA(MATCH(A240,fa_num,0)),"Facture inconnue",IF(AND(B240&lt;&gt;"",ISNA(MATCH(B240,pr_code,0))),"Article inconnu",IF(H240="","Désignation manquante",IF(OR(NOT(ISNUMBER(D240)),N(D240)&lt;=0),"Quantité invalide",IF(J240="","Prix manquant",IF(OR(NOT(ISNUMBER(J240)),N(J240)&lt;0),"Prix invalide",IF(OR(AND(F240&lt;&gt;"",NOT(ISNUMBER(F240))),N(F240)&lt;0,N(F240)&gt;1),"Remise invalide",IF(K240="","Taux de TVA manquant",IF(NOT(ISNUMBER(K240)),"Taux de TVA invalide",IF(COUNTIF(p_rates,K240)=0,"Taux de TVA hors liste (Paramètres)",IF(N(O240)&gt;25,"Au-delà de 25 lignes : non imprimée","OK")))))))))))))</f>
        <v/>
      </c>
      <c r="O240" s="59" t="str">
        <f>IF(A240="","",COUNTIF($A$6:A240,A240))</f>
        <v/>
      </c>
      <c r="P240" s="62" t="str">
        <f>IF(A240="","",A240&amp;"|"&amp;O240)</f>
        <v/>
      </c>
    </row>
    <row r="241">
      <c r="A241" s="60" t="n"/>
      <c r="B241" s="63" t="n"/>
      <c r="C241" s="63" t="n"/>
      <c r="D241" s="67" t="n"/>
      <c r="E241" s="68" t="n"/>
      <c r="F241" s="69" t="n"/>
      <c r="G241" s="70" t="n"/>
      <c r="H241" s="62" t="str">
        <f>IF(COUNTA(A241:G241)=0,"",IF(C241&lt;&gt;"",C241,IF(B241="","",IFERROR(INDEX(pr_des,MATCH(B241,pr_code,0))&amp;"",""))))</f>
        <v/>
      </c>
      <c r="I241" s="59" t="str">
        <f>IF(B241="","",IFERROR(INDEX(pr_unit,MATCH(B241,pr_code,0))&amp;"",""))</f>
        <v/>
      </c>
      <c r="J241" s="65" t="str">
        <f>IF(COUNTA(A241:G241)=0,"",IF(E241&lt;&gt;"",E241,IF(B241="","",IFERROR(IF(INDEX(pr_price,MATCH(B241,pr_code,0))="","",INDEX(pr_price,MATCH(B241,pr_code,0))),""))))</f>
        <v/>
      </c>
      <c r="K241" s="71" t="str">
        <f>IF(COUNTA(A241:G241)=0,"",IF(G241&lt;&gt;"",G241,IF(B241="","",IFERROR(IF(INDEX(pr_rate,MATCH(B241,pr_code,0))="","",INDEX(pr_rate,MATCH(B241,pr_code,0))),""))))</f>
        <v/>
      </c>
      <c r="L241" s="65" t="str">
        <f>IF(COUNTA(A241:G241)=0,"",IF(AND(ISNUMBER(D241),ISNUMBER(J241)),ROUND(D241*J241*(1-N(F241)),2),0))</f>
        <v/>
      </c>
      <c r="M241" s="62" t="str">
        <f>IF(A241="","",IFERROR(INDEX(fa_cname,MATCH(A241,fa_num,0))&amp;"",""))</f>
        <v/>
      </c>
      <c r="N241" s="59" t="str">
        <f>IF(COUNTA(A241:G241)=0,"",IF(A241="","N° facture manquant",IF(ISNA(MATCH(A241,fa_num,0)),"Facture inconnue",IF(AND(B241&lt;&gt;"",ISNA(MATCH(B241,pr_code,0))),"Article inconnu",IF(H241="","Désignation manquante",IF(OR(NOT(ISNUMBER(D241)),N(D241)&lt;=0),"Quantité invalide",IF(J241="","Prix manquant",IF(OR(NOT(ISNUMBER(J241)),N(J241)&lt;0),"Prix invalide",IF(OR(AND(F241&lt;&gt;"",NOT(ISNUMBER(F241))),N(F241)&lt;0,N(F241)&gt;1),"Remise invalide",IF(K241="","Taux de TVA manquant",IF(NOT(ISNUMBER(K241)),"Taux de TVA invalide",IF(COUNTIF(p_rates,K241)=0,"Taux de TVA hors liste (Paramètres)",IF(N(O241)&gt;25,"Au-delà de 25 lignes : non imprimée","OK")))))))))))))</f>
        <v/>
      </c>
      <c r="O241" s="59" t="str">
        <f>IF(A241="","",COUNTIF($A$6:A241,A241))</f>
        <v/>
      </c>
      <c r="P241" s="62" t="str">
        <f>IF(A241="","",A241&amp;"|"&amp;O241)</f>
        <v/>
      </c>
    </row>
    <row r="242">
      <c r="A242" s="60" t="n"/>
      <c r="B242" s="63" t="n"/>
      <c r="C242" s="63" t="n"/>
      <c r="D242" s="67" t="n"/>
      <c r="E242" s="68" t="n"/>
      <c r="F242" s="69" t="n"/>
      <c r="G242" s="70" t="n"/>
      <c r="H242" s="62" t="str">
        <f>IF(COUNTA(A242:G242)=0,"",IF(C242&lt;&gt;"",C242,IF(B242="","",IFERROR(INDEX(pr_des,MATCH(B242,pr_code,0))&amp;"",""))))</f>
        <v/>
      </c>
      <c r="I242" s="59" t="str">
        <f>IF(B242="","",IFERROR(INDEX(pr_unit,MATCH(B242,pr_code,0))&amp;"",""))</f>
        <v/>
      </c>
      <c r="J242" s="65" t="str">
        <f>IF(COUNTA(A242:G242)=0,"",IF(E242&lt;&gt;"",E242,IF(B242="","",IFERROR(IF(INDEX(pr_price,MATCH(B242,pr_code,0))="","",INDEX(pr_price,MATCH(B242,pr_code,0))),""))))</f>
        <v/>
      </c>
      <c r="K242" s="71" t="str">
        <f>IF(COUNTA(A242:G242)=0,"",IF(G242&lt;&gt;"",G242,IF(B242="","",IFERROR(IF(INDEX(pr_rate,MATCH(B242,pr_code,0))="","",INDEX(pr_rate,MATCH(B242,pr_code,0))),""))))</f>
        <v/>
      </c>
      <c r="L242" s="65" t="str">
        <f>IF(COUNTA(A242:G242)=0,"",IF(AND(ISNUMBER(D242),ISNUMBER(J242)),ROUND(D242*J242*(1-N(F242)),2),0))</f>
        <v/>
      </c>
      <c r="M242" s="62" t="str">
        <f>IF(A242="","",IFERROR(INDEX(fa_cname,MATCH(A242,fa_num,0))&amp;"",""))</f>
        <v/>
      </c>
      <c r="N242" s="59" t="str">
        <f>IF(COUNTA(A242:G242)=0,"",IF(A242="","N° facture manquant",IF(ISNA(MATCH(A242,fa_num,0)),"Facture inconnue",IF(AND(B242&lt;&gt;"",ISNA(MATCH(B242,pr_code,0))),"Article inconnu",IF(H242="","Désignation manquante",IF(OR(NOT(ISNUMBER(D242)),N(D242)&lt;=0),"Quantité invalide",IF(J242="","Prix manquant",IF(OR(NOT(ISNUMBER(J242)),N(J242)&lt;0),"Prix invalide",IF(OR(AND(F242&lt;&gt;"",NOT(ISNUMBER(F242))),N(F242)&lt;0,N(F242)&gt;1),"Remise invalide",IF(K242="","Taux de TVA manquant",IF(NOT(ISNUMBER(K242)),"Taux de TVA invalide",IF(COUNTIF(p_rates,K242)=0,"Taux de TVA hors liste (Paramètres)",IF(N(O242)&gt;25,"Au-delà de 25 lignes : non imprimée","OK")))))))))))))</f>
        <v/>
      </c>
      <c r="O242" s="59" t="str">
        <f>IF(A242="","",COUNTIF($A$6:A242,A242))</f>
        <v/>
      </c>
      <c r="P242" s="62" t="str">
        <f>IF(A242="","",A242&amp;"|"&amp;O242)</f>
        <v/>
      </c>
    </row>
    <row r="243">
      <c r="A243" s="60" t="n"/>
      <c r="B243" s="63" t="n"/>
      <c r="C243" s="63" t="n"/>
      <c r="D243" s="67" t="n"/>
      <c r="E243" s="68" t="n"/>
      <c r="F243" s="69" t="n"/>
      <c r="G243" s="70" t="n"/>
      <c r="H243" s="62" t="str">
        <f>IF(COUNTA(A243:G243)=0,"",IF(C243&lt;&gt;"",C243,IF(B243="","",IFERROR(INDEX(pr_des,MATCH(B243,pr_code,0))&amp;"",""))))</f>
        <v/>
      </c>
      <c r="I243" s="59" t="str">
        <f>IF(B243="","",IFERROR(INDEX(pr_unit,MATCH(B243,pr_code,0))&amp;"",""))</f>
        <v/>
      </c>
      <c r="J243" s="65" t="str">
        <f>IF(COUNTA(A243:G243)=0,"",IF(E243&lt;&gt;"",E243,IF(B243="","",IFERROR(IF(INDEX(pr_price,MATCH(B243,pr_code,0))="","",INDEX(pr_price,MATCH(B243,pr_code,0))),""))))</f>
        <v/>
      </c>
      <c r="K243" s="71" t="str">
        <f>IF(COUNTA(A243:G243)=0,"",IF(G243&lt;&gt;"",G243,IF(B243="","",IFERROR(IF(INDEX(pr_rate,MATCH(B243,pr_code,0))="","",INDEX(pr_rate,MATCH(B243,pr_code,0))),""))))</f>
        <v/>
      </c>
      <c r="L243" s="65" t="str">
        <f>IF(COUNTA(A243:G243)=0,"",IF(AND(ISNUMBER(D243),ISNUMBER(J243)),ROUND(D243*J243*(1-N(F243)),2),0))</f>
        <v/>
      </c>
      <c r="M243" s="62" t="str">
        <f>IF(A243="","",IFERROR(INDEX(fa_cname,MATCH(A243,fa_num,0))&amp;"",""))</f>
        <v/>
      </c>
      <c r="N243" s="59" t="str">
        <f>IF(COUNTA(A243:G243)=0,"",IF(A243="","N° facture manquant",IF(ISNA(MATCH(A243,fa_num,0)),"Facture inconnue",IF(AND(B243&lt;&gt;"",ISNA(MATCH(B243,pr_code,0))),"Article inconnu",IF(H243="","Désignation manquante",IF(OR(NOT(ISNUMBER(D243)),N(D243)&lt;=0),"Quantité invalide",IF(J243="","Prix manquant",IF(OR(NOT(ISNUMBER(J243)),N(J243)&lt;0),"Prix invalide",IF(OR(AND(F243&lt;&gt;"",NOT(ISNUMBER(F243))),N(F243)&lt;0,N(F243)&gt;1),"Remise invalide",IF(K243="","Taux de TVA manquant",IF(NOT(ISNUMBER(K243)),"Taux de TVA invalide",IF(COUNTIF(p_rates,K243)=0,"Taux de TVA hors liste (Paramètres)",IF(N(O243)&gt;25,"Au-delà de 25 lignes : non imprimée","OK")))))))))))))</f>
        <v/>
      </c>
      <c r="O243" s="59" t="str">
        <f>IF(A243="","",COUNTIF($A$6:A243,A243))</f>
        <v/>
      </c>
      <c r="P243" s="62" t="str">
        <f>IF(A243="","",A243&amp;"|"&amp;O243)</f>
        <v/>
      </c>
    </row>
    <row r="244">
      <c r="A244" s="60" t="n"/>
      <c r="B244" s="63" t="n"/>
      <c r="C244" s="63" t="n"/>
      <c r="D244" s="67" t="n"/>
      <c r="E244" s="68" t="n"/>
      <c r="F244" s="69" t="n"/>
      <c r="G244" s="70" t="n"/>
      <c r="H244" s="62" t="str">
        <f>IF(COUNTA(A244:G244)=0,"",IF(C244&lt;&gt;"",C244,IF(B244="","",IFERROR(INDEX(pr_des,MATCH(B244,pr_code,0))&amp;"",""))))</f>
        <v/>
      </c>
      <c r="I244" s="59" t="str">
        <f>IF(B244="","",IFERROR(INDEX(pr_unit,MATCH(B244,pr_code,0))&amp;"",""))</f>
        <v/>
      </c>
      <c r="J244" s="65" t="str">
        <f>IF(COUNTA(A244:G244)=0,"",IF(E244&lt;&gt;"",E244,IF(B244="","",IFERROR(IF(INDEX(pr_price,MATCH(B244,pr_code,0))="","",INDEX(pr_price,MATCH(B244,pr_code,0))),""))))</f>
        <v/>
      </c>
      <c r="K244" s="71" t="str">
        <f>IF(COUNTA(A244:G244)=0,"",IF(G244&lt;&gt;"",G244,IF(B244="","",IFERROR(IF(INDEX(pr_rate,MATCH(B244,pr_code,0))="","",INDEX(pr_rate,MATCH(B244,pr_code,0))),""))))</f>
        <v/>
      </c>
      <c r="L244" s="65" t="str">
        <f>IF(COUNTA(A244:G244)=0,"",IF(AND(ISNUMBER(D244),ISNUMBER(J244)),ROUND(D244*J244*(1-N(F244)),2),0))</f>
        <v/>
      </c>
      <c r="M244" s="62" t="str">
        <f>IF(A244="","",IFERROR(INDEX(fa_cname,MATCH(A244,fa_num,0))&amp;"",""))</f>
        <v/>
      </c>
      <c r="N244" s="59" t="str">
        <f>IF(COUNTA(A244:G244)=0,"",IF(A244="","N° facture manquant",IF(ISNA(MATCH(A244,fa_num,0)),"Facture inconnue",IF(AND(B244&lt;&gt;"",ISNA(MATCH(B244,pr_code,0))),"Article inconnu",IF(H244="","Désignation manquante",IF(OR(NOT(ISNUMBER(D244)),N(D244)&lt;=0),"Quantité invalide",IF(J244="","Prix manquant",IF(OR(NOT(ISNUMBER(J244)),N(J244)&lt;0),"Prix invalide",IF(OR(AND(F244&lt;&gt;"",NOT(ISNUMBER(F244))),N(F244)&lt;0,N(F244)&gt;1),"Remise invalide",IF(K244="","Taux de TVA manquant",IF(NOT(ISNUMBER(K244)),"Taux de TVA invalide",IF(COUNTIF(p_rates,K244)=0,"Taux de TVA hors liste (Paramètres)",IF(N(O244)&gt;25,"Au-delà de 25 lignes : non imprimée","OK")))))))))))))</f>
        <v/>
      </c>
      <c r="O244" s="59" t="str">
        <f>IF(A244="","",COUNTIF($A$6:A244,A244))</f>
        <v/>
      </c>
      <c r="P244" s="62" t="str">
        <f>IF(A244="","",A244&amp;"|"&amp;O244)</f>
        <v/>
      </c>
    </row>
    <row r="245">
      <c r="A245" s="60" t="n"/>
      <c r="B245" s="63" t="n"/>
      <c r="C245" s="63" t="n"/>
      <c r="D245" s="67" t="n"/>
      <c r="E245" s="68" t="n"/>
      <c r="F245" s="69" t="n"/>
      <c r="G245" s="70" t="n"/>
      <c r="H245" s="62" t="str">
        <f>IF(COUNTA(A245:G245)=0,"",IF(C245&lt;&gt;"",C245,IF(B245="","",IFERROR(INDEX(pr_des,MATCH(B245,pr_code,0))&amp;"",""))))</f>
        <v/>
      </c>
      <c r="I245" s="59" t="str">
        <f>IF(B245="","",IFERROR(INDEX(pr_unit,MATCH(B245,pr_code,0))&amp;"",""))</f>
        <v/>
      </c>
      <c r="J245" s="65" t="str">
        <f>IF(COUNTA(A245:G245)=0,"",IF(E245&lt;&gt;"",E245,IF(B245="","",IFERROR(IF(INDEX(pr_price,MATCH(B245,pr_code,0))="","",INDEX(pr_price,MATCH(B245,pr_code,0))),""))))</f>
        <v/>
      </c>
      <c r="K245" s="71" t="str">
        <f>IF(COUNTA(A245:G245)=0,"",IF(G245&lt;&gt;"",G245,IF(B245="","",IFERROR(IF(INDEX(pr_rate,MATCH(B245,pr_code,0))="","",INDEX(pr_rate,MATCH(B245,pr_code,0))),""))))</f>
        <v/>
      </c>
      <c r="L245" s="65" t="str">
        <f>IF(COUNTA(A245:G245)=0,"",IF(AND(ISNUMBER(D245),ISNUMBER(J245)),ROUND(D245*J245*(1-N(F245)),2),0))</f>
        <v/>
      </c>
      <c r="M245" s="62" t="str">
        <f>IF(A245="","",IFERROR(INDEX(fa_cname,MATCH(A245,fa_num,0))&amp;"",""))</f>
        <v/>
      </c>
      <c r="N245" s="59" t="str">
        <f>IF(COUNTA(A245:G245)=0,"",IF(A245="","N° facture manquant",IF(ISNA(MATCH(A245,fa_num,0)),"Facture inconnue",IF(AND(B245&lt;&gt;"",ISNA(MATCH(B245,pr_code,0))),"Article inconnu",IF(H245="","Désignation manquante",IF(OR(NOT(ISNUMBER(D245)),N(D245)&lt;=0),"Quantité invalide",IF(J245="","Prix manquant",IF(OR(NOT(ISNUMBER(J245)),N(J245)&lt;0),"Prix invalide",IF(OR(AND(F245&lt;&gt;"",NOT(ISNUMBER(F245))),N(F245)&lt;0,N(F245)&gt;1),"Remise invalide",IF(K245="","Taux de TVA manquant",IF(NOT(ISNUMBER(K245)),"Taux de TVA invalide",IF(COUNTIF(p_rates,K245)=0,"Taux de TVA hors liste (Paramètres)",IF(N(O245)&gt;25,"Au-delà de 25 lignes : non imprimée","OK")))))))))))))</f>
        <v/>
      </c>
      <c r="O245" s="59" t="str">
        <f>IF(A245="","",COUNTIF($A$6:A245,A245))</f>
        <v/>
      </c>
      <c r="P245" s="62" t="str">
        <f>IF(A245="","",A245&amp;"|"&amp;O245)</f>
        <v/>
      </c>
    </row>
    <row r="246">
      <c r="A246" s="60" t="n"/>
      <c r="B246" s="63" t="n"/>
      <c r="C246" s="63" t="n"/>
      <c r="D246" s="67" t="n"/>
      <c r="E246" s="68" t="n"/>
      <c r="F246" s="69" t="n"/>
      <c r="G246" s="70" t="n"/>
      <c r="H246" s="62" t="str">
        <f>IF(COUNTA(A246:G246)=0,"",IF(C246&lt;&gt;"",C246,IF(B246="","",IFERROR(INDEX(pr_des,MATCH(B246,pr_code,0))&amp;"",""))))</f>
        <v/>
      </c>
      <c r="I246" s="59" t="str">
        <f>IF(B246="","",IFERROR(INDEX(pr_unit,MATCH(B246,pr_code,0))&amp;"",""))</f>
        <v/>
      </c>
      <c r="J246" s="65" t="str">
        <f>IF(COUNTA(A246:G246)=0,"",IF(E246&lt;&gt;"",E246,IF(B246="","",IFERROR(IF(INDEX(pr_price,MATCH(B246,pr_code,0))="","",INDEX(pr_price,MATCH(B246,pr_code,0))),""))))</f>
        <v/>
      </c>
      <c r="K246" s="71" t="str">
        <f>IF(COUNTA(A246:G246)=0,"",IF(G246&lt;&gt;"",G246,IF(B246="","",IFERROR(IF(INDEX(pr_rate,MATCH(B246,pr_code,0))="","",INDEX(pr_rate,MATCH(B246,pr_code,0))),""))))</f>
        <v/>
      </c>
      <c r="L246" s="65" t="str">
        <f>IF(COUNTA(A246:G246)=0,"",IF(AND(ISNUMBER(D246),ISNUMBER(J246)),ROUND(D246*J246*(1-N(F246)),2),0))</f>
        <v/>
      </c>
      <c r="M246" s="62" t="str">
        <f>IF(A246="","",IFERROR(INDEX(fa_cname,MATCH(A246,fa_num,0))&amp;"",""))</f>
        <v/>
      </c>
      <c r="N246" s="59" t="str">
        <f>IF(COUNTA(A246:G246)=0,"",IF(A246="","N° facture manquant",IF(ISNA(MATCH(A246,fa_num,0)),"Facture inconnue",IF(AND(B246&lt;&gt;"",ISNA(MATCH(B246,pr_code,0))),"Article inconnu",IF(H246="","Désignation manquante",IF(OR(NOT(ISNUMBER(D246)),N(D246)&lt;=0),"Quantité invalide",IF(J246="","Prix manquant",IF(OR(NOT(ISNUMBER(J246)),N(J246)&lt;0),"Prix invalide",IF(OR(AND(F246&lt;&gt;"",NOT(ISNUMBER(F246))),N(F246)&lt;0,N(F246)&gt;1),"Remise invalide",IF(K246="","Taux de TVA manquant",IF(NOT(ISNUMBER(K246)),"Taux de TVA invalide",IF(COUNTIF(p_rates,K246)=0,"Taux de TVA hors liste (Paramètres)",IF(N(O246)&gt;25,"Au-delà de 25 lignes : non imprimée","OK")))))))))))))</f>
        <v/>
      </c>
      <c r="O246" s="59" t="str">
        <f>IF(A246="","",COUNTIF($A$6:A246,A246))</f>
        <v/>
      </c>
      <c r="P246" s="62" t="str">
        <f>IF(A246="","",A246&amp;"|"&amp;O246)</f>
        <v/>
      </c>
    </row>
    <row r="247">
      <c r="A247" s="60" t="n"/>
      <c r="B247" s="63" t="n"/>
      <c r="C247" s="63" t="n"/>
      <c r="D247" s="67" t="n"/>
      <c r="E247" s="68" t="n"/>
      <c r="F247" s="69" t="n"/>
      <c r="G247" s="70" t="n"/>
      <c r="H247" s="62" t="str">
        <f>IF(COUNTA(A247:G247)=0,"",IF(C247&lt;&gt;"",C247,IF(B247="","",IFERROR(INDEX(pr_des,MATCH(B247,pr_code,0))&amp;"",""))))</f>
        <v/>
      </c>
      <c r="I247" s="59" t="str">
        <f>IF(B247="","",IFERROR(INDEX(pr_unit,MATCH(B247,pr_code,0))&amp;"",""))</f>
        <v/>
      </c>
      <c r="J247" s="65" t="str">
        <f>IF(COUNTA(A247:G247)=0,"",IF(E247&lt;&gt;"",E247,IF(B247="","",IFERROR(IF(INDEX(pr_price,MATCH(B247,pr_code,0))="","",INDEX(pr_price,MATCH(B247,pr_code,0))),""))))</f>
        <v/>
      </c>
      <c r="K247" s="71" t="str">
        <f>IF(COUNTA(A247:G247)=0,"",IF(G247&lt;&gt;"",G247,IF(B247="","",IFERROR(IF(INDEX(pr_rate,MATCH(B247,pr_code,0))="","",INDEX(pr_rate,MATCH(B247,pr_code,0))),""))))</f>
        <v/>
      </c>
      <c r="L247" s="65" t="str">
        <f>IF(COUNTA(A247:G247)=0,"",IF(AND(ISNUMBER(D247),ISNUMBER(J247)),ROUND(D247*J247*(1-N(F247)),2),0))</f>
        <v/>
      </c>
      <c r="M247" s="62" t="str">
        <f>IF(A247="","",IFERROR(INDEX(fa_cname,MATCH(A247,fa_num,0))&amp;"",""))</f>
        <v/>
      </c>
      <c r="N247" s="59" t="str">
        <f>IF(COUNTA(A247:G247)=0,"",IF(A247="","N° facture manquant",IF(ISNA(MATCH(A247,fa_num,0)),"Facture inconnue",IF(AND(B247&lt;&gt;"",ISNA(MATCH(B247,pr_code,0))),"Article inconnu",IF(H247="","Désignation manquante",IF(OR(NOT(ISNUMBER(D247)),N(D247)&lt;=0),"Quantité invalide",IF(J247="","Prix manquant",IF(OR(NOT(ISNUMBER(J247)),N(J247)&lt;0),"Prix invalide",IF(OR(AND(F247&lt;&gt;"",NOT(ISNUMBER(F247))),N(F247)&lt;0,N(F247)&gt;1),"Remise invalide",IF(K247="","Taux de TVA manquant",IF(NOT(ISNUMBER(K247)),"Taux de TVA invalide",IF(COUNTIF(p_rates,K247)=0,"Taux de TVA hors liste (Paramètres)",IF(N(O247)&gt;25,"Au-delà de 25 lignes : non imprimée","OK")))))))))))))</f>
        <v/>
      </c>
      <c r="O247" s="59" t="str">
        <f>IF(A247="","",COUNTIF($A$6:A247,A247))</f>
        <v/>
      </c>
      <c r="P247" s="62" t="str">
        <f>IF(A247="","",A247&amp;"|"&amp;O247)</f>
        <v/>
      </c>
    </row>
    <row r="248">
      <c r="A248" s="60" t="n"/>
      <c r="B248" s="63" t="n"/>
      <c r="C248" s="63" t="n"/>
      <c r="D248" s="67" t="n"/>
      <c r="E248" s="68" t="n"/>
      <c r="F248" s="69" t="n"/>
      <c r="G248" s="70" t="n"/>
      <c r="H248" s="62" t="str">
        <f>IF(COUNTA(A248:G248)=0,"",IF(C248&lt;&gt;"",C248,IF(B248="","",IFERROR(INDEX(pr_des,MATCH(B248,pr_code,0))&amp;"",""))))</f>
        <v/>
      </c>
      <c r="I248" s="59" t="str">
        <f>IF(B248="","",IFERROR(INDEX(pr_unit,MATCH(B248,pr_code,0))&amp;"",""))</f>
        <v/>
      </c>
      <c r="J248" s="65" t="str">
        <f>IF(COUNTA(A248:G248)=0,"",IF(E248&lt;&gt;"",E248,IF(B248="","",IFERROR(IF(INDEX(pr_price,MATCH(B248,pr_code,0))="","",INDEX(pr_price,MATCH(B248,pr_code,0))),""))))</f>
        <v/>
      </c>
      <c r="K248" s="71" t="str">
        <f>IF(COUNTA(A248:G248)=0,"",IF(G248&lt;&gt;"",G248,IF(B248="","",IFERROR(IF(INDEX(pr_rate,MATCH(B248,pr_code,0))="","",INDEX(pr_rate,MATCH(B248,pr_code,0))),""))))</f>
        <v/>
      </c>
      <c r="L248" s="65" t="str">
        <f>IF(COUNTA(A248:G248)=0,"",IF(AND(ISNUMBER(D248),ISNUMBER(J248)),ROUND(D248*J248*(1-N(F248)),2),0))</f>
        <v/>
      </c>
      <c r="M248" s="62" t="str">
        <f>IF(A248="","",IFERROR(INDEX(fa_cname,MATCH(A248,fa_num,0))&amp;"",""))</f>
        <v/>
      </c>
      <c r="N248" s="59" t="str">
        <f>IF(COUNTA(A248:G248)=0,"",IF(A248="","N° facture manquant",IF(ISNA(MATCH(A248,fa_num,0)),"Facture inconnue",IF(AND(B248&lt;&gt;"",ISNA(MATCH(B248,pr_code,0))),"Article inconnu",IF(H248="","Désignation manquante",IF(OR(NOT(ISNUMBER(D248)),N(D248)&lt;=0),"Quantité invalide",IF(J248="","Prix manquant",IF(OR(NOT(ISNUMBER(J248)),N(J248)&lt;0),"Prix invalide",IF(OR(AND(F248&lt;&gt;"",NOT(ISNUMBER(F248))),N(F248)&lt;0,N(F248)&gt;1),"Remise invalide",IF(K248="","Taux de TVA manquant",IF(NOT(ISNUMBER(K248)),"Taux de TVA invalide",IF(COUNTIF(p_rates,K248)=0,"Taux de TVA hors liste (Paramètres)",IF(N(O248)&gt;25,"Au-delà de 25 lignes : non imprimée","OK")))))))))))))</f>
        <v/>
      </c>
      <c r="O248" s="59" t="str">
        <f>IF(A248="","",COUNTIF($A$6:A248,A248))</f>
        <v/>
      </c>
      <c r="P248" s="62" t="str">
        <f>IF(A248="","",A248&amp;"|"&amp;O248)</f>
        <v/>
      </c>
    </row>
    <row r="249">
      <c r="A249" s="60" t="n"/>
      <c r="B249" s="63" t="n"/>
      <c r="C249" s="63" t="n"/>
      <c r="D249" s="67" t="n"/>
      <c r="E249" s="68" t="n"/>
      <c r="F249" s="69" t="n"/>
      <c r="G249" s="70" t="n"/>
      <c r="H249" s="62" t="str">
        <f>IF(COUNTA(A249:G249)=0,"",IF(C249&lt;&gt;"",C249,IF(B249="","",IFERROR(INDEX(pr_des,MATCH(B249,pr_code,0))&amp;"",""))))</f>
        <v/>
      </c>
      <c r="I249" s="59" t="str">
        <f>IF(B249="","",IFERROR(INDEX(pr_unit,MATCH(B249,pr_code,0))&amp;"",""))</f>
        <v/>
      </c>
      <c r="J249" s="65" t="str">
        <f>IF(COUNTA(A249:G249)=0,"",IF(E249&lt;&gt;"",E249,IF(B249="","",IFERROR(IF(INDEX(pr_price,MATCH(B249,pr_code,0))="","",INDEX(pr_price,MATCH(B249,pr_code,0))),""))))</f>
        <v/>
      </c>
      <c r="K249" s="71" t="str">
        <f>IF(COUNTA(A249:G249)=0,"",IF(G249&lt;&gt;"",G249,IF(B249="","",IFERROR(IF(INDEX(pr_rate,MATCH(B249,pr_code,0))="","",INDEX(pr_rate,MATCH(B249,pr_code,0))),""))))</f>
        <v/>
      </c>
      <c r="L249" s="65" t="str">
        <f>IF(COUNTA(A249:G249)=0,"",IF(AND(ISNUMBER(D249),ISNUMBER(J249)),ROUND(D249*J249*(1-N(F249)),2),0))</f>
        <v/>
      </c>
      <c r="M249" s="62" t="str">
        <f>IF(A249="","",IFERROR(INDEX(fa_cname,MATCH(A249,fa_num,0))&amp;"",""))</f>
        <v/>
      </c>
      <c r="N249" s="59" t="str">
        <f>IF(COUNTA(A249:G249)=0,"",IF(A249="","N° facture manquant",IF(ISNA(MATCH(A249,fa_num,0)),"Facture inconnue",IF(AND(B249&lt;&gt;"",ISNA(MATCH(B249,pr_code,0))),"Article inconnu",IF(H249="","Désignation manquante",IF(OR(NOT(ISNUMBER(D249)),N(D249)&lt;=0),"Quantité invalide",IF(J249="","Prix manquant",IF(OR(NOT(ISNUMBER(J249)),N(J249)&lt;0),"Prix invalide",IF(OR(AND(F249&lt;&gt;"",NOT(ISNUMBER(F249))),N(F249)&lt;0,N(F249)&gt;1),"Remise invalide",IF(K249="","Taux de TVA manquant",IF(NOT(ISNUMBER(K249)),"Taux de TVA invalide",IF(COUNTIF(p_rates,K249)=0,"Taux de TVA hors liste (Paramètres)",IF(N(O249)&gt;25,"Au-delà de 25 lignes : non imprimée","OK")))))))))))))</f>
        <v/>
      </c>
      <c r="O249" s="59" t="str">
        <f>IF(A249="","",COUNTIF($A$6:A249,A249))</f>
        <v/>
      </c>
      <c r="P249" s="62" t="str">
        <f>IF(A249="","",A249&amp;"|"&amp;O249)</f>
        <v/>
      </c>
    </row>
    <row r="250">
      <c r="A250" s="60" t="n"/>
      <c r="B250" s="63" t="n"/>
      <c r="C250" s="63" t="n"/>
      <c r="D250" s="67" t="n"/>
      <c r="E250" s="68" t="n"/>
      <c r="F250" s="69" t="n"/>
      <c r="G250" s="70" t="n"/>
      <c r="H250" s="62" t="str">
        <f>IF(COUNTA(A250:G250)=0,"",IF(C250&lt;&gt;"",C250,IF(B250="","",IFERROR(INDEX(pr_des,MATCH(B250,pr_code,0))&amp;"",""))))</f>
        <v/>
      </c>
      <c r="I250" s="59" t="str">
        <f>IF(B250="","",IFERROR(INDEX(pr_unit,MATCH(B250,pr_code,0))&amp;"",""))</f>
        <v/>
      </c>
      <c r="J250" s="65" t="str">
        <f>IF(COUNTA(A250:G250)=0,"",IF(E250&lt;&gt;"",E250,IF(B250="","",IFERROR(IF(INDEX(pr_price,MATCH(B250,pr_code,0))="","",INDEX(pr_price,MATCH(B250,pr_code,0))),""))))</f>
        <v/>
      </c>
      <c r="K250" s="71" t="str">
        <f>IF(COUNTA(A250:G250)=0,"",IF(G250&lt;&gt;"",G250,IF(B250="","",IFERROR(IF(INDEX(pr_rate,MATCH(B250,pr_code,0))="","",INDEX(pr_rate,MATCH(B250,pr_code,0))),""))))</f>
        <v/>
      </c>
      <c r="L250" s="65" t="str">
        <f>IF(COUNTA(A250:G250)=0,"",IF(AND(ISNUMBER(D250),ISNUMBER(J250)),ROUND(D250*J250*(1-N(F250)),2),0))</f>
        <v/>
      </c>
      <c r="M250" s="62" t="str">
        <f>IF(A250="","",IFERROR(INDEX(fa_cname,MATCH(A250,fa_num,0))&amp;"",""))</f>
        <v/>
      </c>
      <c r="N250" s="59" t="str">
        <f>IF(COUNTA(A250:G250)=0,"",IF(A250="","N° facture manquant",IF(ISNA(MATCH(A250,fa_num,0)),"Facture inconnue",IF(AND(B250&lt;&gt;"",ISNA(MATCH(B250,pr_code,0))),"Article inconnu",IF(H250="","Désignation manquante",IF(OR(NOT(ISNUMBER(D250)),N(D250)&lt;=0),"Quantité invalide",IF(J250="","Prix manquant",IF(OR(NOT(ISNUMBER(J250)),N(J250)&lt;0),"Prix invalide",IF(OR(AND(F250&lt;&gt;"",NOT(ISNUMBER(F250))),N(F250)&lt;0,N(F250)&gt;1),"Remise invalide",IF(K250="","Taux de TVA manquant",IF(NOT(ISNUMBER(K250)),"Taux de TVA invalide",IF(COUNTIF(p_rates,K250)=0,"Taux de TVA hors liste (Paramètres)",IF(N(O250)&gt;25,"Au-delà de 25 lignes : non imprimée","OK")))))))))))))</f>
        <v/>
      </c>
      <c r="O250" s="59" t="str">
        <f>IF(A250="","",COUNTIF($A$6:A250,A250))</f>
        <v/>
      </c>
      <c r="P250" s="62" t="str">
        <f>IF(A250="","",A250&amp;"|"&amp;O250)</f>
        <v/>
      </c>
    </row>
    <row r="251">
      <c r="A251" s="60" t="n"/>
      <c r="B251" s="63" t="n"/>
      <c r="C251" s="63" t="n"/>
      <c r="D251" s="67" t="n"/>
      <c r="E251" s="68" t="n"/>
      <c r="F251" s="69" t="n"/>
      <c r="G251" s="70" t="n"/>
      <c r="H251" s="62" t="str">
        <f>IF(COUNTA(A251:G251)=0,"",IF(C251&lt;&gt;"",C251,IF(B251="","",IFERROR(INDEX(pr_des,MATCH(B251,pr_code,0))&amp;"",""))))</f>
        <v/>
      </c>
      <c r="I251" s="59" t="str">
        <f>IF(B251="","",IFERROR(INDEX(pr_unit,MATCH(B251,pr_code,0))&amp;"",""))</f>
        <v/>
      </c>
      <c r="J251" s="65" t="str">
        <f>IF(COUNTA(A251:G251)=0,"",IF(E251&lt;&gt;"",E251,IF(B251="","",IFERROR(IF(INDEX(pr_price,MATCH(B251,pr_code,0))="","",INDEX(pr_price,MATCH(B251,pr_code,0))),""))))</f>
        <v/>
      </c>
      <c r="K251" s="71" t="str">
        <f>IF(COUNTA(A251:G251)=0,"",IF(G251&lt;&gt;"",G251,IF(B251="","",IFERROR(IF(INDEX(pr_rate,MATCH(B251,pr_code,0))="","",INDEX(pr_rate,MATCH(B251,pr_code,0))),""))))</f>
        <v/>
      </c>
      <c r="L251" s="65" t="str">
        <f>IF(COUNTA(A251:G251)=0,"",IF(AND(ISNUMBER(D251),ISNUMBER(J251)),ROUND(D251*J251*(1-N(F251)),2),0))</f>
        <v/>
      </c>
      <c r="M251" s="62" t="str">
        <f>IF(A251="","",IFERROR(INDEX(fa_cname,MATCH(A251,fa_num,0))&amp;"",""))</f>
        <v/>
      </c>
      <c r="N251" s="59" t="str">
        <f>IF(COUNTA(A251:G251)=0,"",IF(A251="","N° facture manquant",IF(ISNA(MATCH(A251,fa_num,0)),"Facture inconnue",IF(AND(B251&lt;&gt;"",ISNA(MATCH(B251,pr_code,0))),"Article inconnu",IF(H251="","Désignation manquante",IF(OR(NOT(ISNUMBER(D251)),N(D251)&lt;=0),"Quantité invalide",IF(J251="","Prix manquant",IF(OR(NOT(ISNUMBER(J251)),N(J251)&lt;0),"Prix invalide",IF(OR(AND(F251&lt;&gt;"",NOT(ISNUMBER(F251))),N(F251)&lt;0,N(F251)&gt;1),"Remise invalide",IF(K251="","Taux de TVA manquant",IF(NOT(ISNUMBER(K251)),"Taux de TVA invalide",IF(COUNTIF(p_rates,K251)=0,"Taux de TVA hors liste (Paramètres)",IF(N(O251)&gt;25,"Au-delà de 25 lignes : non imprimée","OK")))))))))))))</f>
        <v/>
      </c>
      <c r="O251" s="59" t="str">
        <f>IF(A251="","",COUNTIF($A$6:A251,A251))</f>
        <v/>
      </c>
      <c r="P251" s="62" t="str">
        <f>IF(A251="","",A251&amp;"|"&amp;O251)</f>
        <v/>
      </c>
    </row>
    <row r="252">
      <c r="A252" s="60" t="n"/>
      <c r="B252" s="63" t="n"/>
      <c r="C252" s="63" t="n"/>
      <c r="D252" s="67" t="n"/>
      <c r="E252" s="68" t="n"/>
      <c r="F252" s="69" t="n"/>
      <c r="G252" s="70" t="n"/>
      <c r="H252" s="62" t="str">
        <f>IF(COUNTA(A252:G252)=0,"",IF(C252&lt;&gt;"",C252,IF(B252="","",IFERROR(INDEX(pr_des,MATCH(B252,pr_code,0))&amp;"",""))))</f>
        <v/>
      </c>
      <c r="I252" s="59" t="str">
        <f>IF(B252="","",IFERROR(INDEX(pr_unit,MATCH(B252,pr_code,0))&amp;"",""))</f>
        <v/>
      </c>
      <c r="J252" s="65" t="str">
        <f>IF(COUNTA(A252:G252)=0,"",IF(E252&lt;&gt;"",E252,IF(B252="","",IFERROR(IF(INDEX(pr_price,MATCH(B252,pr_code,0))="","",INDEX(pr_price,MATCH(B252,pr_code,0))),""))))</f>
        <v/>
      </c>
      <c r="K252" s="71" t="str">
        <f>IF(COUNTA(A252:G252)=0,"",IF(G252&lt;&gt;"",G252,IF(B252="","",IFERROR(IF(INDEX(pr_rate,MATCH(B252,pr_code,0))="","",INDEX(pr_rate,MATCH(B252,pr_code,0))),""))))</f>
        <v/>
      </c>
      <c r="L252" s="65" t="str">
        <f>IF(COUNTA(A252:G252)=0,"",IF(AND(ISNUMBER(D252),ISNUMBER(J252)),ROUND(D252*J252*(1-N(F252)),2),0))</f>
        <v/>
      </c>
      <c r="M252" s="62" t="str">
        <f>IF(A252="","",IFERROR(INDEX(fa_cname,MATCH(A252,fa_num,0))&amp;"",""))</f>
        <v/>
      </c>
      <c r="N252" s="59" t="str">
        <f>IF(COUNTA(A252:G252)=0,"",IF(A252="","N° facture manquant",IF(ISNA(MATCH(A252,fa_num,0)),"Facture inconnue",IF(AND(B252&lt;&gt;"",ISNA(MATCH(B252,pr_code,0))),"Article inconnu",IF(H252="","Désignation manquante",IF(OR(NOT(ISNUMBER(D252)),N(D252)&lt;=0),"Quantité invalide",IF(J252="","Prix manquant",IF(OR(NOT(ISNUMBER(J252)),N(J252)&lt;0),"Prix invalide",IF(OR(AND(F252&lt;&gt;"",NOT(ISNUMBER(F252))),N(F252)&lt;0,N(F252)&gt;1),"Remise invalide",IF(K252="","Taux de TVA manquant",IF(NOT(ISNUMBER(K252)),"Taux de TVA invalide",IF(COUNTIF(p_rates,K252)=0,"Taux de TVA hors liste (Paramètres)",IF(N(O252)&gt;25,"Au-delà de 25 lignes : non imprimée","OK")))))))))))))</f>
        <v/>
      </c>
      <c r="O252" s="59" t="str">
        <f>IF(A252="","",COUNTIF($A$6:A252,A252))</f>
        <v/>
      </c>
      <c r="P252" s="62" t="str">
        <f>IF(A252="","",A252&amp;"|"&amp;O252)</f>
        <v/>
      </c>
    </row>
    <row r="253">
      <c r="A253" s="60" t="n"/>
      <c r="B253" s="63" t="n"/>
      <c r="C253" s="63" t="n"/>
      <c r="D253" s="67" t="n"/>
      <c r="E253" s="68" t="n"/>
      <c r="F253" s="69" t="n"/>
      <c r="G253" s="70" t="n"/>
      <c r="H253" s="62" t="str">
        <f>IF(COUNTA(A253:G253)=0,"",IF(C253&lt;&gt;"",C253,IF(B253="","",IFERROR(INDEX(pr_des,MATCH(B253,pr_code,0))&amp;"",""))))</f>
        <v/>
      </c>
      <c r="I253" s="59" t="str">
        <f>IF(B253="","",IFERROR(INDEX(pr_unit,MATCH(B253,pr_code,0))&amp;"",""))</f>
        <v/>
      </c>
      <c r="J253" s="65" t="str">
        <f>IF(COUNTA(A253:G253)=0,"",IF(E253&lt;&gt;"",E253,IF(B253="","",IFERROR(IF(INDEX(pr_price,MATCH(B253,pr_code,0))="","",INDEX(pr_price,MATCH(B253,pr_code,0))),""))))</f>
        <v/>
      </c>
      <c r="K253" s="71" t="str">
        <f>IF(COUNTA(A253:G253)=0,"",IF(G253&lt;&gt;"",G253,IF(B253="","",IFERROR(IF(INDEX(pr_rate,MATCH(B253,pr_code,0))="","",INDEX(pr_rate,MATCH(B253,pr_code,0))),""))))</f>
        <v/>
      </c>
      <c r="L253" s="65" t="str">
        <f>IF(COUNTA(A253:G253)=0,"",IF(AND(ISNUMBER(D253),ISNUMBER(J253)),ROUND(D253*J253*(1-N(F253)),2),0))</f>
        <v/>
      </c>
      <c r="M253" s="62" t="str">
        <f>IF(A253="","",IFERROR(INDEX(fa_cname,MATCH(A253,fa_num,0))&amp;"",""))</f>
        <v/>
      </c>
      <c r="N253" s="59" t="str">
        <f>IF(COUNTA(A253:G253)=0,"",IF(A253="","N° facture manquant",IF(ISNA(MATCH(A253,fa_num,0)),"Facture inconnue",IF(AND(B253&lt;&gt;"",ISNA(MATCH(B253,pr_code,0))),"Article inconnu",IF(H253="","Désignation manquante",IF(OR(NOT(ISNUMBER(D253)),N(D253)&lt;=0),"Quantité invalide",IF(J253="","Prix manquant",IF(OR(NOT(ISNUMBER(J253)),N(J253)&lt;0),"Prix invalide",IF(OR(AND(F253&lt;&gt;"",NOT(ISNUMBER(F253))),N(F253)&lt;0,N(F253)&gt;1),"Remise invalide",IF(K253="","Taux de TVA manquant",IF(NOT(ISNUMBER(K253)),"Taux de TVA invalide",IF(COUNTIF(p_rates,K253)=0,"Taux de TVA hors liste (Paramètres)",IF(N(O253)&gt;25,"Au-delà de 25 lignes : non imprimée","OK")))))))))))))</f>
        <v/>
      </c>
      <c r="O253" s="59" t="str">
        <f>IF(A253="","",COUNTIF($A$6:A253,A253))</f>
        <v/>
      </c>
      <c r="P253" s="62" t="str">
        <f>IF(A253="","",A253&amp;"|"&amp;O253)</f>
        <v/>
      </c>
    </row>
    <row r="254">
      <c r="A254" s="60" t="n"/>
      <c r="B254" s="63" t="n"/>
      <c r="C254" s="63" t="n"/>
      <c r="D254" s="67" t="n"/>
      <c r="E254" s="68" t="n"/>
      <c r="F254" s="69" t="n"/>
      <c r="G254" s="70" t="n"/>
      <c r="H254" s="62" t="str">
        <f>IF(COUNTA(A254:G254)=0,"",IF(C254&lt;&gt;"",C254,IF(B254="","",IFERROR(INDEX(pr_des,MATCH(B254,pr_code,0))&amp;"",""))))</f>
        <v/>
      </c>
      <c r="I254" s="59" t="str">
        <f>IF(B254="","",IFERROR(INDEX(pr_unit,MATCH(B254,pr_code,0))&amp;"",""))</f>
        <v/>
      </c>
      <c r="J254" s="65" t="str">
        <f>IF(COUNTA(A254:G254)=0,"",IF(E254&lt;&gt;"",E254,IF(B254="","",IFERROR(IF(INDEX(pr_price,MATCH(B254,pr_code,0))="","",INDEX(pr_price,MATCH(B254,pr_code,0))),""))))</f>
        <v/>
      </c>
      <c r="K254" s="71" t="str">
        <f>IF(COUNTA(A254:G254)=0,"",IF(G254&lt;&gt;"",G254,IF(B254="","",IFERROR(IF(INDEX(pr_rate,MATCH(B254,pr_code,0))="","",INDEX(pr_rate,MATCH(B254,pr_code,0))),""))))</f>
        <v/>
      </c>
      <c r="L254" s="65" t="str">
        <f>IF(COUNTA(A254:G254)=0,"",IF(AND(ISNUMBER(D254),ISNUMBER(J254)),ROUND(D254*J254*(1-N(F254)),2),0))</f>
        <v/>
      </c>
      <c r="M254" s="62" t="str">
        <f>IF(A254="","",IFERROR(INDEX(fa_cname,MATCH(A254,fa_num,0))&amp;"",""))</f>
        <v/>
      </c>
      <c r="N254" s="59" t="str">
        <f>IF(COUNTA(A254:G254)=0,"",IF(A254="","N° facture manquant",IF(ISNA(MATCH(A254,fa_num,0)),"Facture inconnue",IF(AND(B254&lt;&gt;"",ISNA(MATCH(B254,pr_code,0))),"Article inconnu",IF(H254="","Désignation manquante",IF(OR(NOT(ISNUMBER(D254)),N(D254)&lt;=0),"Quantité invalide",IF(J254="","Prix manquant",IF(OR(NOT(ISNUMBER(J254)),N(J254)&lt;0),"Prix invalide",IF(OR(AND(F254&lt;&gt;"",NOT(ISNUMBER(F254))),N(F254)&lt;0,N(F254)&gt;1),"Remise invalide",IF(K254="","Taux de TVA manquant",IF(NOT(ISNUMBER(K254)),"Taux de TVA invalide",IF(COUNTIF(p_rates,K254)=0,"Taux de TVA hors liste (Paramètres)",IF(N(O254)&gt;25,"Au-delà de 25 lignes : non imprimée","OK")))))))))))))</f>
        <v/>
      </c>
      <c r="O254" s="59" t="str">
        <f>IF(A254="","",COUNTIF($A$6:A254,A254))</f>
        <v/>
      </c>
      <c r="P254" s="62" t="str">
        <f>IF(A254="","",A254&amp;"|"&amp;O254)</f>
        <v/>
      </c>
    </row>
    <row r="255">
      <c r="A255" s="60" t="n"/>
      <c r="B255" s="63" t="n"/>
      <c r="C255" s="63" t="n"/>
      <c r="D255" s="67" t="n"/>
      <c r="E255" s="68" t="n"/>
      <c r="F255" s="69" t="n"/>
      <c r="G255" s="70" t="n"/>
      <c r="H255" s="62" t="str">
        <f>IF(COUNTA(A255:G255)=0,"",IF(C255&lt;&gt;"",C255,IF(B255="","",IFERROR(INDEX(pr_des,MATCH(B255,pr_code,0))&amp;"",""))))</f>
        <v/>
      </c>
      <c r="I255" s="59" t="str">
        <f>IF(B255="","",IFERROR(INDEX(pr_unit,MATCH(B255,pr_code,0))&amp;"",""))</f>
        <v/>
      </c>
      <c r="J255" s="65" t="str">
        <f>IF(COUNTA(A255:G255)=0,"",IF(E255&lt;&gt;"",E255,IF(B255="","",IFERROR(IF(INDEX(pr_price,MATCH(B255,pr_code,0))="","",INDEX(pr_price,MATCH(B255,pr_code,0))),""))))</f>
        <v/>
      </c>
      <c r="K255" s="71" t="str">
        <f>IF(COUNTA(A255:G255)=0,"",IF(G255&lt;&gt;"",G255,IF(B255="","",IFERROR(IF(INDEX(pr_rate,MATCH(B255,pr_code,0))="","",INDEX(pr_rate,MATCH(B255,pr_code,0))),""))))</f>
        <v/>
      </c>
      <c r="L255" s="65" t="str">
        <f>IF(COUNTA(A255:G255)=0,"",IF(AND(ISNUMBER(D255),ISNUMBER(J255)),ROUND(D255*J255*(1-N(F255)),2),0))</f>
        <v/>
      </c>
      <c r="M255" s="62" t="str">
        <f>IF(A255="","",IFERROR(INDEX(fa_cname,MATCH(A255,fa_num,0))&amp;"",""))</f>
        <v/>
      </c>
      <c r="N255" s="59" t="str">
        <f>IF(COUNTA(A255:G255)=0,"",IF(A255="","N° facture manquant",IF(ISNA(MATCH(A255,fa_num,0)),"Facture inconnue",IF(AND(B255&lt;&gt;"",ISNA(MATCH(B255,pr_code,0))),"Article inconnu",IF(H255="","Désignation manquante",IF(OR(NOT(ISNUMBER(D255)),N(D255)&lt;=0),"Quantité invalide",IF(J255="","Prix manquant",IF(OR(NOT(ISNUMBER(J255)),N(J255)&lt;0),"Prix invalide",IF(OR(AND(F255&lt;&gt;"",NOT(ISNUMBER(F255))),N(F255)&lt;0,N(F255)&gt;1),"Remise invalide",IF(K255="","Taux de TVA manquant",IF(NOT(ISNUMBER(K255)),"Taux de TVA invalide",IF(COUNTIF(p_rates,K255)=0,"Taux de TVA hors liste (Paramètres)",IF(N(O255)&gt;25,"Au-delà de 25 lignes : non imprimée","OK")))))))))))))</f>
        <v/>
      </c>
      <c r="O255" s="59" t="str">
        <f>IF(A255="","",COUNTIF($A$6:A255,A255))</f>
        <v/>
      </c>
      <c r="P255" s="62" t="str">
        <f>IF(A255="","",A255&amp;"|"&amp;O255)</f>
        <v/>
      </c>
    </row>
    <row r="256">
      <c r="A256" s="60" t="n"/>
      <c r="B256" s="63" t="n"/>
      <c r="C256" s="63" t="n"/>
      <c r="D256" s="67" t="n"/>
      <c r="E256" s="68" t="n"/>
      <c r="F256" s="69" t="n"/>
      <c r="G256" s="70" t="n"/>
      <c r="H256" s="62" t="str">
        <f>IF(COUNTA(A256:G256)=0,"",IF(C256&lt;&gt;"",C256,IF(B256="","",IFERROR(INDEX(pr_des,MATCH(B256,pr_code,0))&amp;"",""))))</f>
        <v/>
      </c>
      <c r="I256" s="59" t="str">
        <f>IF(B256="","",IFERROR(INDEX(pr_unit,MATCH(B256,pr_code,0))&amp;"",""))</f>
        <v/>
      </c>
      <c r="J256" s="65" t="str">
        <f>IF(COUNTA(A256:G256)=0,"",IF(E256&lt;&gt;"",E256,IF(B256="","",IFERROR(IF(INDEX(pr_price,MATCH(B256,pr_code,0))="","",INDEX(pr_price,MATCH(B256,pr_code,0))),""))))</f>
        <v/>
      </c>
      <c r="K256" s="71" t="str">
        <f>IF(COUNTA(A256:G256)=0,"",IF(G256&lt;&gt;"",G256,IF(B256="","",IFERROR(IF(INDEX(pr_rate,MATCH(B256,pr_code,0))="","",INDEX(pr_rate,MATCH(B256,pr_code,0))),""))))</f>
        <v/>
      </c>
      <c r="L256" s="65" t="str">
        <f>IF(COUNTA(A256:G256)=0,"",IF(AND(ISNUMBER(D256),ISNUMBER(J256)),ROUND(D256*J256*(1-N(F256)),2),0))</f>
        <v/>
      </c>
      <c r="M256" s="62" t="str">
        <f>IF(A256="","",IFERROR(INDEX(fa_cname,MATCH(A256,fa_num,0))&amp;"",""))</f>
        <v/>
      </c>
      <c r="N256" s="59" t="str">
        <f>IF(COUNTA(A256:G256)=0,"",IF(A256="","N° facture manquant",IF(ISNA(MATCH(A256,fa_num,0)),"Facture inconnue",IF(AND(B256&lt;&gt;"",ISNA(MATCH(B256,pr_code,0))),"Article inconnu",IF(H256="","Désignation manquante",IF(OR(NOT(ISNUMBER(D256)),N(D256)&lt;=0),"Quantité invalide",IF(J256="","Prix manquant",IF(OR(NOT(ISNUMBER(J256)),N(J256)&lt;0),"Prix invalide",IF(OR(AND(F256&lt;&gt;"",NOT(ISNUMBER(F256))),N(F256)&lt;0,N(F256)&gt;1),"Remise invalide",IF(K256="","Taux de TVA manquant",IF(NOT(ISNUMBER(K256)),"Taux de TVA invalide",IF(COUNTIF(p_rates,K256)=0,"Taux de TVA hors liste (Paramètres)",IF(N(O256)&gt;25,"Au-delà de 25 lignes : non imprimée","OK")))))))))))))</f>
        <v/>
      </c>
      <c r="O256" s="59" t="str">
        <f>IF(A256="","",COUNTIF($A$6:A256,A256))</f>
        <v/>
      </c>
      <c r="P256" s="62" t="str">
        <f>IF(A256="","",A256&amp;"|"&amp;O256)</f>
        <v/>
      </c>
    </row>
    <row r="257">
      <c r="A257" s="60" t="n"/>
      <c r="B257" s="63" t="n"/>
      <c r="C257" s="63" t="n"/>
      <c r="D257" s="67" t="n"/>
      <c r="E257" s="68" t="n"/>
      <c r="F257" s="69" t="n"/>
      <c r="G257" s="70" t="n"/>
      <c r="H257" s="62" t="str">
        <f>IF(COUNTA(A257:G257)=0,"",IF(C257&lt;&gt;"",C257,IF(B257="","",IFERROR(INDEX(pr_des,MATCH(B257,pr_code,0))&amp;"",""))))</f>
        <v/>
      </c>
      <c r="I257" s="59" t="str">
        <f>IF(B257="","",IFERROR(INDEX(pr_unit,MATCH(B257,pr_code,0))&amp;"",""))</f>
        <v/>
      </c>
      <c r="J257" s="65" t="str">
        <f>IF(COUNTA(A257:G257)=0,"",IF(E257&lt;&gt;"",E257,IF(B257="","",IFERROR(IF(INDEX(pr_price,MATCH(B257,pr_code,0))="","",INDEX(pr_price,MATCH(B257,pr_code,0))),""))))</f>
        <v/>
      </c>
      <c r="K257" s="71" t="str">
        <f>IF(COUNTA(A257:G257)=0,"",IF(G257&lt;&gt;"",G257,IF(B257="","",IFERROR(IF(INDEX(pr_rate,MATCH(B257,pr_code,0))="","",INDEX(pr_rate,MATCH(B257,pr_code,0))),""))))</f>
        <v/>
      </c>
      <c r="L257" s="65" t="str">
        <f>IF(COUNTA(A257:G257)=0,"",IF(AND(ISNUMBER(D257),ISNUMBER(J257)),ROUND(D257*J257*(1-N(F257)),2),0))</f>
        <v/>
      </c>
      <c r="M257" s="62" t="str">
        <f>IF(A257="","",IFERROR(INDEX(fa_cname,MATCH(A257,fa_num,0))&amp;"",""))</f>
        <v/>
      </c>
      <c r="N257" s="59" t="str">
        <f>IF(COUNTA(A257:G257)=0,"",IF(A257="","N° facture manquant",IF(ISNA(MATCH(A257,fa_num,0)),"Facture inconnue",IF(AND(B257&lt;&gt;"",ISNA(MATCH(B257,pr_code,0))),"Article inconnu",IF(H257="","Désignation manquante",IF(OR(NOT(ISNUMBER(D257)),N(D257)&lt;=0),"Quantité invalide",IF(J257="","Prix manquant",IF(OR(NOT(ISNUMBER(J257)),N(J257)&lt;0),"Prix invalide",IF(OR(AND(F257&lt;&gt;"",NOT(ISNUMBER(F257))),N(F257)&lt;0,N(F257)&gt;1),"Remise invalide",IF(K257="","Taux de TVA manquant",IF(NOT(ISNUMBER(K257)),"Taux de TVA invalide",IF(COUNTIF(p_rates,K257)=0,"Taux de TVA hors liste (Paramètres)",IF(N(O257)&gt;25,"Au-delà de 25 lignes : non imprimée","OK")))))))))))))</f>
        <v/>
      </c>
      <c r="O257" s="59" t="str">
        <f>IF(A257="","",COUNTIF($A$6:A257,A257))</f>
        <v/>
      </c>
      <c r="P257" s="62" t="str">
        <f>IF(A257="","",A257&amp;"|"&amp;O257)</f>
        <v/>
      </c>
    </row>
    <row r="258">
      <c r="A258" s="60" t="n"/>
      <c r="B258" s="63" t="n"/>
      <c r="C258" s="63" t="n"/>
      <c r="D258" s="67" t="n"/>
      <c r="E258" s="68" t="n"/>
      <c r="F258" s="69" t="n"/>
      <c r="G258" s="70" t="n"/>
      <c r="H258" s="62" t="str">
        <f>IF(COUNTA(A258:G258)=0,"",IF(C258&lt;&gt;"",C258,IF(B258="","",IFERROR(INDEX(pr_des,MATCH(B258,pr_code,0))&amp;"",""))))</f>
        <v/>
      </c>
      <c r="I258" s="59" t="str">
        <f>IF(B258="","",IFERROR(INDEX(pr_unit,MATCH(B258,pr_code,0))&amp;"",""))</f>
        <v/>
      </c>
      <c r="J258" s="65" t="str">
        <f>IF(COUNTA(A258:G258)=0,"",IF(E258&lt;&gt;"",E258,IF(B258="","",IFERROR(IF(INDEX(pr_price,MATCH(B258,pr_code,0))="","",INDEX(pr_price,MATCH(B258,pr_code,0))),""))))</f>
        <v/>
      </c>
      <c r="K258" s="71" t="str">
        <f>IF(COUNTA(A258:G258)=0,"",IF(G258&lt;&gt;"",G258,IF(B258="","",IFERROR(IF(INDEX(pr_rate,MATCH(B258,pr_code,0))="","",INDEX(pr_rate,MATCH(B258,pr_code,0))),""))))</f>
        <v/>
      </c>
      <c r="L258" s="65" t="str">
        <f>IF(COUNTA(A258:G258)=0,"",IF(AND(ISNUMBER(D258),ISNUMBER(J258)),ROUND(D258*J258*(1-N(F258)),2),0))</f>
        <v/>
      </c>
      <c r="M258" s="62" t="str">
        <f>IF(A258="","",IFERROR(INDEX(fa_cname,MATCH(A258,fa_num,0))&amp;"",""))</f>
        <v/>
      </c>
      <c r="N258" s="59" t="str">
        <f>IF(COUNTA(A258:G258)=0,"",IF(A258="","N° facture manquant",IF(ISNA(MATCH(A258,fa_num,0)),"Facture inconnue",IF(AND(B258&lt;&gt;"",ISNA(MATCH(B258,pr_code,0))),"Article inconnu",IF(H258="","Désignation manquante",IF(OR(NOT(ISNUMBER(D258)),N(D258)&lt;=0),"Quantité invalide",IF(J258="","Prix manquant",IF(OR(NOT(ISNUMBER(J258)),N(J258)&lt;0),"Prix invalide",IF(OR(AND(F258&lt;&gt;"",NOT(ISNUMBER(F258))),N(F258)&lt;0,N(F258)&gt;1),"Remise invalide",IF(K258="","Taux de TVA manquant",IF(NOT(ISNUMBER(K258)),"Taux de TVA invalide",IF(COUNTIF(p_rates,K258)=0,"Taux de TVA hors liste (Paramètres)",IF(N(O258)&gt;25,"Au-delà de 25 lignes : non imprimée","OK")))))))))))))</f>
        <v/>
      </c>
      <c r="O258" s="59" t="str">
        <f>IF(A258="","",COUNTIF($A$6:A258,A258))</f>
        <v/>
      </c>
      <c r="P258" s="62" t="str">
        <f>IF(A258="","",A258&amp;"|"&amp;O258)</f>
        <v/>
      </c>
    </row>
    <row r="259">
      <c r="A259" s="60" t="n"/>
      <c r="B259" s="63" t="n"/>
      <c r="C259" s="63" t="n"/>
      <c r="D259" s="67" t="n"/>
      <c r="E259" s="68" t="n"/>
      <c r="F259" s="69" t="n"/>
      <c r="G259" s="70" t="n"/>
      <c r="H259" s="62" t="str">
        <f>IF(COUNTA(A259:G259)=0,"",IF(C259&lt;&gt;"",C259,IF(B259="","",IFERROR(INDEX(pr_des,MATCH(B259,pr_code,0))&amp;"",""))))</f>
        <v/>
      </c>
      <c r="I259" s="59" t="str">
        <f>IF(B259="","",IFERROR(INDEX(pr_unit,MATCH(B259,pr_code,0))&amp;"",""))</f>
        <v/>
      </c>
      <c r="J259" s="65" t="str">
        <f>IF(COUNTA(A259:G259)=0,"",IF(E259&lt;&gt;"",E259,IF(B259="","",IFERROR(IF(INDEX(pr_price,MATCH(B259,pr_code,0))="","",INDEX(pr_price,MATCH(B259,pr_code,0))),""))))</f>
        <v/>
      </c>
      <c r="K259" s="71" t="str">
        <f>IF(COUNTA(A259:G259)=0,"",IF(G259&lt;&gt;"",G259,IF(B259="","",IFERROR(IF(INDEX(pr_rate,MATCH(B259,pr_code,0))="","",INDEX(pr_rate,MATCH(B259,pr_code,0))),""))))</f>
        <v/>
      </c>
      <c r="L259" s="65" t="str">
        <f>IF(COUNTA(A259:G259)=0,"",IF(AND(ISNUMBER(D259),ISNUMBER(J259)),ROUND(D259*J259*(1-N(F259)),2),0))</f>
        <v/>
      </c>
      <c r="M259" s="62" t="str">
        <f>IF(A259="","",IFERROR(INDEX(fa_cname,MATCH(A259,fa_num,0))&amp;"",""))</f>
        <v/>
      </c>
      <c r="N259" s="59" t="str">
        <f>IF(COUNTA(A259:G259)=0,"",IF(A259="","N° facture manquant",IF(ISNA(MATCH(A259,fa_num,0)),"Facture inconnue",IF(AND(B259&lt;&gt;"",ISNA(MATCH(B259,pr_code,0))),"Article inconnu",IF(H259="","Désignation manquante",IF(OR(NOT(ISNUMBER(D259)),N(D259)&lt;=0),"Quantité invalide",IF(J259="","Prix manquant",IF(OR(NOT(ISNUMBER(J259)),N(J259)&lt;0),"Prix invalide",IF(OR(AND(F259&lt;&gt;"",NOT(ISNUMBER(F259))),N(F259)&lt;0,N(F259)&gt;1),"Remise invalide",IF(K259="","Taux de TVA manquant",IF(NOT(ISNUMBER(K259)),"Taux de TVA invalide",IF(COUNTIF(p_rates,K259)=0,"Taux de TVA hors liste (Paramètres)",IF(N(O259)&gt;25,"Au-delà de 25 lignes : non imprimée","OK")))))))))))))</f>
        <v/>
      </c>
      <c r="O259" s="59" t="str">
        <f>IF(A259="","",COUNTIF($A$6:A259,A259))</f>
        <v/>
      </c>
      <c r="P259" s="62" t="str">
        <f>IF(A259="","",A259&amp;"|"&amp;O259)</f>
        <v/>
      </c>
    </row>
    <row r="260">
      <c r="A260" s="60" t="n"/>
      <c r="B260" s="63" t="n"/>
      <c r="C260" s="63" t="n"/>
      <c r="D260" s="67" t="n"/>
      <c r="E260" s="68" t="n"/>
      <c r="F260" s="69" t="n"/>
      <c r="G260" s="70" t="n"/>
      <c r="H260" s="62" t="str">
        <f>IF(COUNTA(A260:G260)=0,"",IF(C260&lt;&gt;"",C260,IF(B260="","",IFERROR(INDEX(pr_des,MATCH(B260,pr_code,0))&amp;"",""))))</f>
        <v/>
      </c>
      <c r="I260" s="59" t="str">
        <f>IF(B260="","",IFERROR(INDEX(pr_unit,MATCH(B260,pr_code,0))&amp;"",""))</f>
        <v/>
      </c>
      <c r="J260" s="65" t="str">
        <f>IF(COUNTA(A260:G260)=0,"",IF(E260&lt;&gt;"",E260,IF(B260="","",IFERROR(IF(INDEX(pr_price,MATCH(B260,pr_code,0))="","",INDEX(pr_price,MATCH(B260,pr_code,0))),""))))</f>
        <v/>
      </c>
      <c r="K260" s="71" t="str">
        <f>IF(COUNTA(A260:G260)=0,"",IF(G260&lt;&gt;"",G260,IF(B260="","",IFERROR(IF(INDEX(pr_rate,MATCH(B260,pr_code,0))="","",INDEX(pr_rate,MATCH(B260,pr_code,0))),""))))</f>
        <v/>
      </c>
      <c r="L260" s="65" t="str">
        <f>IF(COUNTA(A260:G260)=0,"",IF(AND(ISNUMBER(D260),ISNUMBER(J260)),ROUND(D260*J260*(1-N(F260)),2),0))</f>
        <v/>
      </c>
      <c r="M260" s="62" t="str">
        <f>IF(A260="","",IFERROR(INDEX(fa_cname,MATCH(A260,fa_num,0))&amp;"",""))</f>
        <v/>
      </c>
      <c r="N260" s="59" t="str">
        <f>IF(COUNTA(A260:G260)=0,"",IF(A260="","N° facture manquant",IF(ISNA(MATCH(A260,fa_num,0)),"Facture inconnue",IF(AND(B260&lt;&gt;"",ISNA(MATCH(B260,pr_code,0))),"Article inconnu",IF(H260="","Désignation manquante",IF(OR(NOT(ISNUMBER(D260)),N(D260)&lt;=0),"Quantité invalide",IF(J260="","Prix manquant",IF(OR(NOT(ISNUMBER(J260)),N(J260)&lt;0),"Prix invalide",IF(OR(AND(F260&lt;&gt;"",NOT(ISNUMBER(F260))),N(F260)&lt;0,N(F260)&gt;1),"Remise invalide",IF(K260="","Taux de TVA manquant",IF(NOT(ISNUMBER(K260)),"Taux de TVA invalide",IF(COUNTIF(p_rates,K260)=0,"Taux de TVA hors liste (Paramètres)",IF(N(O260)&gt;25,"Au-delà de 25 lignes : non imprimée","OK")))))))))))))</f>
        <v/>
      </c>
      <c r="O260" s="59" t="str">
        <f>IF(A260="","",COUNTIF($A$6:A260,A260))</f>
        <v/>
      </c>
      <c r="P260" s="62" t="str">
        <f>IF(A260="","",A260&amp;"|"&amp;O260)</f>
        <v/>
      </c>
    </row>
    <row r="261">
      <c r="A261" s="60" t="n"/>
      <c r="B261" s="63" t="n"/>
      <c r="C261" s="63" t="n"/>
      <c r="D261" s="67" t="n"/>
      <c r="E261" s="68" t="n"/>
      <c r="F261" s="69" t="n"/>
      <c r="G261" s="70" t="n"/>
      <c r="H261" s="62" t="str">
        <f>IF(COUNTA(A261:G261)=0,"",IF(C261&lt;&gt;"",C261,IF(B261="","",IFERROR(INDEX(pr_des,MATCH(B261,pr_code,0))&amp;"",""))))</f>
        <v/>
      </c>
      <c r="I261" s="59" t="str">
        <f>IF(B261="","",IFERROR(INDEX(pr_unit,MATCH(B261,pr_code,0))&amp;"",""))</f>
        <v/>
      </c>
      <c r="J261" s="65" t="str">
        <f>IF(COUNTA(A261:G261)=0,"",IF(E261&lt;&gt;"",E261,IF(B261="","",IFERROR(IF(INDEX(pr_price,MATCH(B261,pr_code,0))="","",INDEX(pr_price,MATCH(B261,pr_code,0))),""))))</f>
        <v/>
      </c>
      <c r="K261" s="71" t="str">
        <f>IF(COUNTA(A261:G261)=0,"",IF(G261&lt;&gt;"",G261,IF(B261="","",IFERROR(IF(INDEX(pr_rate,MATCH(B261,pr_code,0))="","",INDEX(pr_rate,MATCH(B261,pr_code,0))),""))))</f>
        <v/>
      </c>
      <c r="L261" s="65" t="str">
        <f>IF(COUNTA(A261:G261)=0,"",IF(AND(ISNUMBER(D261),ISNUMBER(J261)),ROUND(D261*J261*(1-N(F261)),2),0))</f>
        <v/>
      </c>
      <c r="M261" s="62" t="str">
        <f>IF(A261="","",IFERROR(INDEX(fa_cname,MATCH(A261,fa_num,0))&amp;"",""))</f>
        <v/>
      </c>
      <c r="N261" s="59" t="str">
        <f>IF(COUNTA(A261:G261)=0,"",IF(A261="","N° facture manquant",IF(ISNA(MATCH(A261,fa_num,0)),"Facture inconnue",IF(AND(B261&lt;&gt;"",ISNA(MATCH(B261,pr_code,0))),"Article inconnu",IF(H261="","Désignation manquante",IF(OR(NOT(ISNUMBER(D261)),N(D261)&lt;=0),"Quantité invalide",IF(J261="","Prix manquant",IF(OR(NOT(ISNUMBER(J261)),N(J261)&lt;0),"Prix invalide",IF(OR(AND(F261&lt;&gt;"",NOT(ISNUMBER(F261))),N(F261)&lt;0,N(F261)&gt;1),"Remise invalide",IF(K261="","Taux de TVA manquant",IF(NOT(ISNUMBER(K261)),"Taux de TVA invalide",IF(COUNTIF(p_rates,K261)=0,"Taux de TVA hors liste (Paramètres)",IF(N(O261)&gt;25,"Au-delà de 25 lignes : non imprimée","OK")))))))))))))</f>
        <v/>
      </c>
      <c r="O261" s="59" t="str">
        <f>IF(A261="","",COUNTIF($A$6:A261,A261))</f>
        <v/>
      </c>
      <c r="P261" s="62" t="str">
        <f>IF(A261="","",A261&amp;"|"&amp;O261)</f>
        <v/>
      </c>
    </row>
    <row r="262">
      <c r="A262" s="60" t="n"/>
      <c r="B262" s="63" t="n"/>
      <c r="C262" s="63" t="n"/>
      <c r="D262" s="67" t="n"/>
      <c r="E262" s="68" t="n"/>
      <c r="F262" s="69" t="n"/>
      <c r="G262" s="70" t="n"/>
      <c r="H262" s="62" t="str">
        <f>IF(COUNTA(A262:G262)=0,"",IF(C262&lt;&gt;"",C262,IF(B262="","",IFERROR(INDEX(pr_des,MATCH(B262,pr_code,0))&amp;"",""))))</f>
        <v/>
      </c>
      <c r="I262" s="59" t="str">
        <f>IF(B262="","",IFERROR(INDEX(pr_unit,MATCH(B262,pr_code,0))&amp;"",""))</f>
        <v/>
      </c>
      <c r="J262" s="65" t="str">
        <f>IF(COUNTA(A262:G262)=0,"",IF(E262&lt;&gt;"",E262,IF(B262="","",IFERROR(IF(INDEX(pr_price,MATCH(B262,pr_code,0))="","",INDEX(pr_price,MATCH(B262,pr_code,0))),""))))</f>
        <v/>
      </c>
      <c r="K262" s="71" t="str">
        <f>IF(COUNTA(A262:G262)=0,"",IF(G262&lt;&gt;"",G262,IF(B262="","",IFERROR(IF(INDEX(pr_rate,MATCH(B262,pr_code,0))="","",INDEX(pr_rate,MATCH(B262,pr_code,0))),""))))</f>
        <v/>
      </c>
      <c r="L262" s="65" t="str">
        <f>IF(COUNTA(A262:G262)=0,"",IF(AND(ISNUMBER(D262),ISNUMBER(J262)),ROUND(D262*J262*(1-N(F262)),2),0))</f>
        <v/>
      </c>
      <c r="M262" s="62" t="str">
        <f>IF(A262="","",IFERROR(INDEX(fa_cname,MATCH(A262,fa_num,0))&amp;"",""))</f>
        <v/>
      </c>
      <c r="N262" s="59" t="str">
        <f>IF(COUNTA(A262:G262)=0,"",IF(A262="","N° facture manquant",IF(ISNA(MATCH(A262,fa_num,0)),"Facture inconnue",IF(AND(B262&lt;&gt;"",ISNA(MATCH(B262,pr_code,0))),"Article inconnu",IF(H262="","Désignation manquante",IF(OR(NOT(ISNUMBER(D262)),N(D262)&lt;=0),"Quantité invalide",IF(J262="","Prix manquant",IF(OR(NOT(ISNUMBER(J262)),N(J262)&lt;0),"Prix invalide",IF(OR(AND(F262&lt;&gt;"",NOT(ISNUMBER(F262))),N(F262)&lt;0,N(F262)&gt;1),"Remise invalide",IF(K262="","Taux de TVA manquant",IF(NOT(ISNUMBER(K262)),"Taux de TVA invalide",IF(COUNTIF(p_rates,K262)=0,"Taux de TVA hors liste (Paramètres)",IF(N(O262)&gt;25,"Au-delà de 25 lignes : non imprimée","OK")))))))))))))</f>
        <v/>
      </c>
      <c r="O262" s="59" t="str">
        <f>IF(A262="","",COUNTIF($A$6:A262,A262))</f>
        <v/>
      </c>
      <c r="P262" s="62" t="str">
        <f>IF(A262="","",A262&amp;"|"&amp;O262)</f>
        <v/>
      </c>
    </row>
    <row r="263">
      <c r="A263" s="60" t="n"/>
      <c r="B263" s="63" t="n"/>
      <c r="C263" s="63" t="n"/>
      <c r="D263" s="67" t="n"/>
      <c r="E263" s="68" t="n"/>
      <c r="F263" s="69" t="n"/>
      <c r="G263" s="70" t="n"/>
      <c r="H263" s="62" t="str">
        <f>IF(COUNTA(A263:G263)=0,"",IF(C263&lt;&gt;"",C263,IF(B263="","",IFERROR(INDEX(pr_des,MATCH(B263,pr_code,0))&amp;"",""))))</f>
        <v/>
      </c>
      <c r="I263" s="59" t="str">
        <f>IF(B263="","",IFERROR(INDEX(pr_unit,MATCH(B263,pr_code,0))&amp;"",""))</f>
        <v/>
      </c>
      <c r="J263" s="65" t="str">
        <f>IF(COUNTA(A263:G263)=0,"",IF(E263&lt;&gt;"",E263,IF(B263="","",IFERROR(IF(INDEX(pr_price,MATCH(B263,pr_code,0))="","",INDEX(pr_price,MATCH(B263,pr_code,0))),""))))</f>
        <v/>
      </c>
      <c r="K263" s="71" t="str">
        <f>IF(COUNTA(A263:G263)=0,"",IF(G263&lt;&gt;"",G263,IF(B263="","",IFERROR(IF(INDEX(pr_rate,MATCH(B263,pr_code,0))="","",INDEX(pr_rate,MATCH(B263,pr_code,0))),""))))</f>
        <v/>
      </c>
      <c r="L263" s="65" t="str">
        <f>IF(COUNTA(A263:G263)=0,"",IF(AND(ISNUMBER(D263),ISNUMBER(J263)),ROUND(D263*J263*(1-N(F263)),2),0))</f>
        <v/>
      </c>
      <c r="M263" s="62" t="str">
        <f>IF(A263="","",IFERROR(INDEX(fa_cname,MATCH(A263,fa_num,0))&amp;"",""))</f>
        <v/>
      </c>
      <c r="N263" s="59" t="str">
        <f>IF(COUNTA(A263:G263)=0,"",IF(A263="","N° facture manquant",IF(ISNA(MATCH(A263,fa_num,0)),"Facture inconnue",IF(AND(B263&lt;&gt;"",ISNA(MATCH(B263,pr_code,0))),"Article inconnu",IF(H263="","Désignation manquante",IF(OR(NOT(ISNUMBER(D263)),N(D263)&lt;=0),"Quantité invalide",IF(J263="","Prix manquant",IF(OR(NOT(ISNUMBER(J263)),N(J263)&lt;0),"Prix invalide",IF(OR(AND(F263&lt;&gt;"",NOT(ISNUMBER(F263))),N(F263)&lt;0,N(F263)&gt;1),"Remise invalide",IF(K263="","Taux de TVA manquant",IF(NOT(ISNUMBER(K263)),"Taux de TVA invalide",IF(COUNTIF(p_rates,K263)=0,"Taux de TVA hors liste (Paramètres)",IF(N(O263)&gt;25,"Au-delà de 25 lignes : non imprimée","OK")))))))))))))</f>
        <v/>
      </c>
      <c r="O263" s="59" t="str">
        <f>IF(A263="","",COUNTIF($A$6:A263,A263))</f>
        <v/>
      </c>
      <c r="P263" s="62" t="str">
        <f>IF(A263="","",A263&amp;"|"&amp;O263)</f>
        <v/>
      </c>
    </row>
    <row r="264">
      <c r="A264" s="60" t="n"/>
      <c r="B264" s="63" t="n"/>
      <c r="C264" s="63" t="n"/>
      <c r="D264" s="67" t="n"/>
      <c r="E264" s="68" t="n"/>
      <c r="F264" s="69" t="n"/>
      <c r="G264" s="70" t="n"/>
      <c r="H264" s="62" t="str">
        <f>IF(COUNTA(A264:G264)=0,"",IF(C264&lt;&gt;"",C264,IF(B264="","",IFERROR(INDEX(pr_des,MATCH(B264,pr_code,0))&amp;"",""))))</f>
        <v/>
      </c>
      <c r="I264" s="59" t="str">
        <f>IF(B264="","",IFERROR(INDEX(pr_unit,MATCH(B264,pr_code,0))&amp;"",""))</f>
        <v/>
      </c>
      <c r="J264" s="65" t="str">
        <f>IF(COUNTA(A264:G264)=0,"",IF(E264&lt;&gt;"",E264,IF(B264="","",IFERROR(IF(INDEX(pr_price,MATCH(B264,pr_code,0))="","",INDEX(pr_price,MATCH(B264,pr_code,0))),""))))</f>
        <v/>
      </c>
      <c r="K264" s="71" t="str">
        <f>IF(COUNTA(A264:G264)=0,"",IF(G264&lt;&gt;"",G264,IF(B264="","",IFERROR(IF(INDEX(pr_rate,MATCH(B264,pr_code,0))="","",INDEX(pr_rate,MATCH(B264,pr_code,0))),""))))</f>
        <v/>
      </c>
      <c r="L264" s="65" t="str">
        <f>IF(COUNTA(A264:G264)=0,"",IF(AND(ISNUMBER(D264),ISNUMBER(J264)),ROUND(D264*J264*(1-N(F264)),2),0))</f>
        <v/>
      </c>
      <c r="M264" s="62" t="str">
        <f>IF(A264="","",IFERROR(INDEX(fa_cname,MATCH(A264,fa_num,0))&amp;"",""))</f>
        <v/>
      </c>
      <c r="N264" s="59" t="str">
        <f>IF(COUNTA(A264:G264)=0,"",IF(A264="","N° facture manquant",IF(ISNA(MATCH(A264,fa_num,0)),"Facture inconnue",IF(AND(B264&lt;&gt;"",ISNA(MATCH(B264,pr_code,0))),"Article inconnu",IF(H264="","Désignation manquante",IF(OR(NOT(ISNUMBER(D264)),N(D264)&lt;=0),"Quantité invalide",IF(J264="","Prix manquant",IF(OR(NOT(ISNUMBER(J264)),N(J264)&lt;0),"Prix invalide",IF(OR(AND(F264&lt;&gt;"",NOT(ISNUMBER(F264))),N(F264)&lt;0,N(F264)&gt;1),"Remise invalide",IF(K264="","Taux de TVA manquant",IF(NOT(ISNUMBER(K264)),"Taux de TVA invalide",IF(COUNTIF(p_rates,K264)=0,"Taux de TVA hors liste (Paramètres)",IF(N(O264)&gt;25,"Au-delà de 25 lignes : non imprimée","OK")))))))))))))</f>
        <v/>
      </c>
      <c r="O264" s="59" t="str">
        <f>IF(A264="","",COUNTIF($A$6:A264,A264))</f>
        <v/>
      </c>
      <c r="P264" s="62" t="str">
        <f>IF(A264="","",A264&amp;"|"&amp;O264)</f>
        <v/>
      </c>
    </row>
    <row r="265">
      <c r="A265" s="60" t="n"/>
      <c r="B265" s="63" t="n"/>
      <c r="C265" s="63" t="n"/>
      <c r="D265" s="67" t="n"/>
      <c r="E265" s="68" t="n"/>
      <c r="F265" s="69" t="n"/>
      <c r="G265" s="70" t="n"/>
      <c r="H265" s="62" t="str">
        <f>IF(COUNTA(A265:G265)=0,"",IF(C265&lt;&gt;"",C265,IF(B265="","",IFERROR(INDEX(pr_des,MATCH(B265,pr_code,0))&amp;"",""))))</f>
        <v/>
      </c>
      <c r="I265" s="59" t="str">
        <f>IF(B265="","",IFERROR(INDEX(pr_unit,MATCH(B265,pr_code,0))&amp;"",""))</f>
        <v/>
      </c>
      <c r="J265" s="65" t="str">
        <f>IF(COUNTA(A265:G265)=0,"",IF(E265&lt;&gt;"",E265,IF(B265="","",IFERROR(IF(INDEX(pr_price,MATCH(B265,pr_code,0))="","",INDEX(pr_price,MATCH(B265,pr_code,0))),""))))</f>
        <v/>
      </c>
      <c r="K265" s="71" t="str">
        <f>IF(COUNTA(A265:G265)=0,"",IF(G265&lt;&gt;"",G265,IF(B265="","",IFERROR(IF(INDEX(pr_rate,MATCH(B265,pr_code,0))="","",INDEX(pr_rate,MATCH(B265,pr_code,0))),""))))</f>
        <v/>
      </c>
      <c r="L265" s="65" t="str">
        <f>IF(COUNTA(A265:G265)=0,"",IF(AND(ISNUMBER(D265),ISNUMBER(J265)),ROUND(D265*J265*(1-N(F265)),2),0))</f>
        <v/>
      </c>
      <c r="M265" s="62" t="str">
        <f>IF(A265="","",IFERROR(INDEX(fa_cname,MATCH(A265,fa_num,0))&amp;"",""))</f>
        <v/>
      </c>
      <c r="N265" s="59" t="str">
        <f>IF(COUNTA(A265:G265)=0,"",IF(A265="","N° facture manquant",IF(ISNA(MATCH(A265,fa_num,0)),"Facture inconnue",IF(AND(B265&lt;&gt;"",ISNA(MATCH(B265,pr_code,0))),"Article inconnu",IF(H265="","Désignation manquante",IF(OR(NOT(ISNUMBER(D265)),N(D265)&lt;=0),"Quantité invalide",IF(J265="","Prix manquant",IF(OR(NOT(ISNUMBER(J265)),N(J265)&lt;0),"Prix invalide",IF(OR(AND(F265&lt;&gt;"",NOT(ISNUMBER(F265))),N(F265)&lt;0,N(F265)&gt;1),"Remise invalide",IF(K265="","Taux de TVA manquant",IF(NOT(ISNUMBER(K265)),"Taux de TVA invalide",IF(COUNTIF(p_rates,K265)=0,"Taux de TVA hors liste (Paramètres)",IF(N(O265)&gt;25,"Au-delà de 25 lignes : non imprimée","OK")))))))))))))</f>
        <v/>
      </c>
      <c r="O265" s="59" t="str">
        <f>IF(A265="","",COUNTIF($A$6:A265,A265))</f>
        <v/>
      </c>
      <c r="P265" s="62" t="str">
        <f>IF(A265="","",A265&amp;"|"&amp;O265)</f>
        <v/>
      </c>
    </row>
    <row r="266">
      <c r="A266" s="60" t="n"/>
      <c r="B266" s="63" t="n"/>
      <c r="C266" s="63" t="n"/>
      <c r="D266" s="67" t="n"/>
      <c r="E266" s="68" t="n"/>
      <c r="F266" s="69" t="n"/>
      <c r="G266" s="70" t="n"/>
      <c r="H266" s="62" t="str">
        <f>IF(COUNTA(A266:G266)=0,"",IF(C266&lt;&gt;"",C266,IF(B266="","",IFERROR(INDEX(pr_des,MATCH(B266,pr_code,0))&amp;"",""))))</f>
        <v/>
      </c>
      <c r="I266" s="59" t="str">
        <f>IF(B266="","",IFERROR(INDEX(pr_unit,MATCH(B266,pr_code,0))&amp;"",""))</f>
        <v/>
      </c>
      <c r="J266" s="65" t="str">
        <f>IF(COUNTA(A266:G266)=0,"",IF(E266&lt;&gt;"",E266,IF(B266="","",IFERROR(IF(INDEX(pr_price,MATCH(B266,pr_code,0))="","",INDEX(pr_price,MATCH(B266,pr_code,0))),""))))</f>
        <v/>
      </c>
      <c r="K266" s="71" t="str">
        <f>IF(COUNTA(A266:G266)=0,"",IF(G266&lt;&gt;"",G266,IF(B266="","",IFERROR(IF(INDEX(pr_rate,MATCH(B266,pr_code,0))="","",INDEX(pr_rate,MATCH(B266,pr_code,0))),""))))</f>
        <v/>
      </c>
      <c r="L266" s="65" t="str">
        <f>IF(COUNTA(A266:G266)=0,"",IF(AND(ISNUMBER(D266),ISNUMBER(J266)),ROUND(D266*J266*(1-N(F266)),2),0))</f>
        <v/>
      </c>
      <c r="M266" s="62" t="str">
        <f>IF(A266="","",IFERROR(INDEX(fa_cname,MATCH(A266,fa_num,0))&amp;"",""))</f>
        <v/>
      </c>
      <c r="N266" s="59" t="str">
        <f>IF(COUNTA(A266:G266)=0,"",IF(A266="","N° facture manquant",IF(ISNA(MATCH(A266,fa_num,0)),"Facture inconnue",IF(AND(B266&lt;&gt;"",ISNA(MATCH(B266,pr_code,0))),"Article inconnu",IF(H266="","Désignation manquante",IF(OR(NOT(ISNUMBER(D266)),N(D266)&lt;=0),"Quantité invalide",IF(J266="","Prix manquant",IF(OR(NOT(ISNUMBER(J266)),N(J266)&lt;0),"Prix invalide",IF(OR(AND(F266&lt;&gt;"",NOT(ISNUMBER(F266))),N(F266)&lt;0,N(F266)&gt;1),"Remise invalide",IF(K266="","Taux de TVA manquant",IF(NOT(ISNUMBER(K266)),"Taux de TVA invalide",IF(COUNTIF(p_rates,K266)=0,"Taux de TVA hors liste (Paramètres)",IF(N(O266)&gt;25,"Au-delà de 25 lignes : non imprimée","OK")))))))))))))</f>
        <v/>
      </c>
      <c r="O266" s="59" t="str">
        <f>IF(A266="","",COUNTIF($A$6:A266,A266))</f>
        <v/>
      </c>
      <c r="P266" s="62" t="str">
        <f>IF(A266="","",A266&amp;"|"&amp;O266)</f>
        <v/>
      </c>
    </row>
    <row r="267">
      <c r="A267" s="60" t="n"/>
      <c r="B267" s="63" t="n"/>
      <c r="C267" s="63" t="n"/>
      <c r="D267" s="67" t="n"/>
      <c r="E267" s="68" t="n"/>
      <c r="F267" s="69" t="n"/>
      <c r="G267" s="70" t="n"/>
      <c r="H267" s="62" t="str">
        <f>IF(COUNTA(A267:G267)=0,"",IF(C267&lt;&gt;"",C267,IF(B267="","",IFERROR(INDEX(pr_des,MATCH(B267,pr_code,0))&amp;"",""))))</f>
        <v/>
      </c>
      <c r="I267" s="59" t="str">
        <f>IF(B267="","",IFERROR(INDEX(pr_unit,MATCH(B267,pr_code,0))&amp;"",""))</f>
        <v/>
      </c>
      <c r="J267" s="65" t="str">
        <f>IF(COUNTA(A267:G267)=0,"",IF(E267&lt;&gt;"",E267,IF(B267="","",IFERROR(IF(INDEX(pr_price,MATCH(B267,pr_code,0))="","",INDEX(pr_price,MATCH(B267,pr_code,0))),""))))</f>
        <v/>
      </c>
      <c r="K267" s="71" t="str">
        <f>IF(COUNTA(A267:G267)=0,"",IF(G267&lt;&gt;"",G267,IF(B267="","",IFERROR(IF(INDEX(pr_rate,MATCH(B267,pr_code,0))="","",INDEX(pr_rate,MATCH(B267,pr_code,0))),""))))</f>
        <v/>
      </c>
      <c r="L267" s="65" t="str">
        <f>IF(COUNTA(A267:G267)=0,"",IF(AND(ISNUMBER(D267),ISNUMBER(J267)),ROUND(D267*J267*(1-N(F267)),2),0))</f>
        <v/>
      </c>
      <c r="M267" s="62" t="str">
        <f>IF(A267="","",IFERROR(INDEX(fa_cname,MATCH(A267,fa_num,0))&amp;"",""))</f>
        <v/>
      </c>
      <c r="N267" s="59" t="str">
        <f>IF(COUNTA(A267:G267)=0,"",IF(A267="","N° facture manquant",IF(ISNA(MATCH(A267,fa_num,0)),"Facture inconnue",IF(AND(B267&lt;&gt;"",ISNA(MATCH(B267,pr_code,0))),"Article inconnu",IF(H267="","Désignation manquante",IF(OR(NOT(ISNUMBER(D267)),N(D267)&lt;=0),"Quantité invalide",IF(J267="","Prix manquant",IF(OR(NOT(ISNUMBER(J267)),N(J267)&lt;0),"Prix invalide",IF(OR(AND(F267&lt;&gt;"",NOT(ISNUMBER(F267))),N(F267)&lt;0,N(F267)&gt;1),"Remise invalide",IF(K267="","Taux de TVA manquant",IF(NOT(ISNUMBER(K267)),"Taux de TVA invalide",IF(COUNTIF(p_rates,K267)=0,"Taux de TVA hors liste (Paramètres)",IF(N(O267)&gt;25,"Au-delà de 25 lignes : non imprimée","OK")))))))))))))</f>
        <v/>
      </c>
      <c r="O267" s="59" t="str">
        <f>IF(A267="","",COUNTIF($A$6:A267,A267))</f>
        <v/>
      </c>
      <c r="P267" s="62" t="str">
        <f>IF(A267="","",A267&amp;"|"&amp;O267)</f>
        <v/>
      </c>
    </row>
    <row r="268">
      <c r="A268" s="60" t="n"/>
      <c r="B268" s="63" t="n"/>
      <c r="C268" s="63" t="n"/>
      <c r="D268" s="67" t="n"/>
      <c r="E268" s="68" t="n"/>
      <c r="F268" s="69" t="n"/>
      <c r="G268" s="70" t="n"/>
      <c r="H268" s="62" t="str">
        <f>IF(COUNTA(A268:G268)=0,"",IF(C268&lt;&gt;"",C268,IF(B268="","",IFERROR(INDEX(pr_des,MATCH(B268,pr_code,0))&amp;"",""))))</f>
        <v/>
      </c>
      <c r="I268" s="59" t="str">
        <f>IF(B268="","",IFERROR(INDEX(pr_unit,MATCH(B268,pr_code,0))&amp;"",""))</f>
        <v/>
      </c>
      <c r="J268" s="65" t="str">
        <f>IF(COUNTA(A268:G268)=0,"",IF(E268&lt;&gt;"",E268,IF(B268="","",IFERROR(IF(INDEX(pr_price,MATCH(B268,pr_code,0))="","",INDEX(pr_price,MATCH(B268,pr_code,0))),""))))</f>
        <v/>
      </c>
      <c r="K268" s="71" t="str">
        <f>IF(COUNTA(A268:G268)=0,"",IF(G268&lt;&gt;"",G268,IF(B268="","",IFERROR(IF(INDEX(pr_rate,MATCH(B268,pr_code,0))="","",INDEX(pr_rate,MATCH(B268,pr_code,0))),""))))</f>
        <v/>
      </c>
      <c r="L268" s="65" t="str">
        <f>IF(COUNTA(A268:G268)=0,"",IF(AND(ISNUMBER(D268),ISNUMBER(J268)),ROUND(D268*J268*(1-N(F268)),2),0))</f>
        <v/>
      </c>
      <c r="M268" s="62" t="str">
        <f>IF(A268="","",IFERROR(INDEX(fa_cname,MATCH(A268,fa_num,0))&amp;"",""))</f>
        <v/>
      </c>
      <c r="N268" s="59" t="str">
        <f>IF(COUNTA(A268:G268)=0,"",IF(A268="","N° facture manquant",IF(ISNA(MATCH(A268,fa_num,0)),"Facture inconnue",IF(AND(B268&lt;&gt;"",ISNA(MATCH(B268,pr_code,0))),"Article inconnu",IF(H268="","Désignation manquante",IF(OR(NOT(ISNUMBER(D268)),N(D268)&lt;=0),"Quantité invalide",IF(J268="","Prix manquant",IF(OR(NOT(ISNUMBER(J268)),N(J268)&lt;0),"Prix invalide",IF(OR(AND(F268&lt;&gt;"",NOT(ISNUMBER(F268))),N(F268)&lt;0,N(F268)&gt;1),"Remise invalide",IF(K268="","Taux de TVA manquant",IF(NOT(ISNUMBER(K268)),"Taux de TVA invalide",IF(COUNTIF(p_rates,K268)=0,"Taux de TVA hors liste (Paramètres)",IF(N(O268)&gt;25,"Au-delà de 25 lignes : non imprimée","OK")))))))))))))</f>
        <v/>
      </c>
      <c r="O268" s="59" t="str">
        <f>IF(A268="","",COUNTIF($A$6:A268,A268))</f>
        <v/>
      </c>
      <c r="P268" s="62" t="str">
        <f>IF(A268="","",A268&amp;"|"&amp;O268)</f>
        <v/>
      </c>
    </row>
    <row r="269">
      <c r="A269" s="60" t="n"/>
      <c r="B269" s="63" t="n"/>
      <c r="C269" s="63" t="n"/>
      <c r="D269" s="67" t="n"/>
      <c r="E269" s="68" t="n"/>
      <c r="F269" s="69" t="n"/>
      <c r="G269" s="70" t="n"/>
      <c r="H269" s="62" t="str">
        <f>IF(COUNTA(A269:G269)=0,"",IF(C269&lt;&gt;"",C269,IF(B269="","",IFERROR(INDEX(pr_des,MATCH(B269,pr_code,0))&amp;"",""))))</f>
        <v/>
      </c>
      <c r="I269" s="59" t="str">
        <f>IF(B269="","",IFERROR(INDEX(pr_unit,MATCH(B269,pr_code,0))&amp;"",""))</f>
        <v/>
      </c>
      <c r="J269" s="65" t="str">
        <f>IF(COUNTA(A269:G269)=0,"",IF(E269&lt;&gt;"",E269,IF(B269="","",IFERROR(IF(INDEX(pr_price,MATCH(B269,pr_code,0))="","",INDEX(pr_price,MATCH(B269,pr_code,0))),""))))</f>
        <v/>
      </c>
      <c r="K269" s="71" t="str">
        <f>IF(COUNTA(A269:G269)=0,"",IF(G269&lt;&gt;"",G269,IF(B269="","",IFERROR(IF(INDEX(pr_rate,MATCH(B269,pr_code,0))="","",INDEX(pr_rate,MATCH(B269,pr_code,0))),""))))</f>
        <v/>
      </c>
      <c r="L269" s="65" t="str">
        <f>IF(COUNTA(A269:G269)=0,"",IF(AND(ISNUMBER(D269),ISNUMBER(J269)),ROUND(D269*J269*(1-N(F269)),2),0))</f>
        <v/>
      </c>
      <c r="M269" s="62" t="str">
        <f>IF(A269="","",IFERROR(INDEX(fa_cname,MATCH(A269,fa_num,0))&amp;"",""))</f>
        <v/>
      </c>
      <c r="N269" s="59" t="str">
        <f>IF(COUNTA(A269:G269)=0,"",IF(A269="","N° facture manquant",IF(ISNA(MATCH(A269,fa_num,0)),"Facture inconnue",IF(AND(B269&lt;&gt;"",ISNA(MATCH(B269,pr_code,0))),"Article inconnu",IF(H269="","Désignation manquante",IF(OR(NOT(ISNUMBER(D269)),N(D269)&lt;=0),"Quantité invalide",IF(J269="","Prix manquant",IF(OR(NOT(ISNUMBER(J269)),N(J269)&lt;0),"Prix invalide",IF(OR(AND(F269&lt;&gt;"",NOT(ISNUMBER(F269))),N(F269)&lt;0,N(F269)&gt;1),"Remise invalide",IF(K269="","Taux de TVA manquant",IF(NOT(ISNUMBER(K269)),"Taux de TVA invalide",IF(COUNTIF(p_rates,K269)=0,"Taux de TVA hors liste (Paramètres)",IF(N(O269)&gt;25,"Au-delà de 25 lignes : non imprimée","OK")))))))))))))</f>
        <v/>
      </c>
      <c r="O269" s="59" t="str">
        <f>IF(A269="","",COUNTIF($A$6:A269,A269))</f>
        <v/>
      </c>
      <c r="P269" s="62" t="str">
        <f>IF(A269="","",A269&amp;"|"&amp;O269)</f>
        <v/>
      </c>
    </row>
    <row r="270">
      <c r="A270" s="60" t="n"/>
      <c r="B270" s="63" t="n"/>
      <c r="C270" s="63" t="n"/>
      <c r="D270" s="67" t="n"/>
      <c r="E270" s="68" t="n"/>
      <c r="F270" s="69" t="n"/>
      <c r="G270" s="70" t="n"/>
      <c r="H270" s="62" t="str">
        <f>IF(COUNTA(A270:G270)=0,"",IF(C270&lt;&gt;"",C270,IF(B270="","",IFERROR(INDEX(pr_des,MATCH(B270,pr_code,0))&amp;"",""))))</f>
        <v/>
      </c>
      <c r="I270" s="59" t="str">
        <f>IF(B270="","",IFERROR(INDEX(pr_unit,MATCH(B270,pr_code,0))&amp;"",""))</f>
        <v/>
      </c>
      <c r="J270" s="65" t="str">
        <f>IF(COUNTA(A270:G270)=0,"",IF(E270&lt;&gt;"",E270,IF(B270="","",IFERROR(IF(INDEX(pr_price,MATCH(B270,pr_code,0))="","",INDEX(pr_price,MATCH(B270,pr_code,0))),""))))</f>
        <v/>
      </c>
      <c r="K270" s="71" t="str">
        <f>IF(COUNTA(A270:G270)=0,"",IF(G270&lt;&gt;"",G270,IF(B270="","",IFERROR(IF(INDEX(pr_rate,MATCH(B270,pr_code,0))="","",INDEX(pr_rate,MATCH(B270,pr_code,0))),""))))</f>
        <v/>
      </c>
      <c r="L270" s="65" t="str">
        <f>IF(COUNTA(A270:G270)=0,"",IF(AND(ISNUMBER(D270),ISNUMBER(J270)),ROUND(D270*J270*(1-N(F270)),2),0))</f>
        <v/>
      </c>
      <c r="M270" s="62" t="str">
        <f>IF(A270="","",IFERROR(INDEX(fa_cname,MATCH(A270,fa_num,0))&amp;"",""))</f>
        <v/>
      </c>
      <c r="N270" s="59" t="str">
        <f>IF(COUNTA(A270:G270)=0,"",IF(A270="","N° facture manquant",IF(ISNA(MATCH(A270,fa_num,0)),"Facture inconnue",IF(AND(B270&lt;&gt;"",ISNA(MATCH(B270,pr_code,0))),"Article inconnu",IF(H270="","Désignation manquante",IF(OR(NOT(ISNUMBER(D270)),N(D270)&lt;=0),"Quantité invalide",IF(J270="","Prix manquant",IF(OR(NOT(ISNUMBER(J270)),N(J270)&lt;0),"Prix invalide",IF(OR(AND(F270&lt;&gt;"",NOT(ISNUMBER(F270))),N(F270)&lt;0,N(F270)&gt;1),"Remise invalide",IF(K270="","Taux de TVA manquant",IF(NOT(ISNUMBER(K270)),"Taux de TVA invalide",IF(COUNTIF(p_rates,K270)=0,"Taux de TVA hors liste (Paramètres)",IF(N(O270)&gt;25,"Au-delà de 25 lignes : non imprimée","OK")))))))))))))</f>
        <v/>
      </c>
      <c r="O270" s="59" t="str">
        <f>IF(A270="","",COUNTIF($A$6:A270,A270))</f>
        <v/>
      </c>
      <c r="P270" s="62" t="str">
        <f>IF(A270="","",A270&amp;"|"&amp;O270)</f>
        <v/>
      </c>
    </row>
    <row r="271">
      <c r="A271" s="60" t="n"/>
      <c r="B271" s="63" t="n"/>
      <c r="C271" s="63" t="n"/>
      <c r="D271" s="67" t="n"/>
      <c r="E271" s="68" t="n"/>
      <c r="F271" s="69" t="n"/>
      <c r="G271" s="70" t="n"/>
      <c r="H271" s="62" t="str">
        <f>IF(COUNTA(A271:G271)=0,"",IF(C271&lt;&gt;"",C271,IF(B271="","",IFERROR(INDEX(pr_des,MATCH(B271,pr_code,0))&amp;"",""))))</f>
        <v/>
      </c>
      <c r="I271" s="59" t="str">
        <f>IF(B271="","",IFERROR(INDEX(pr_unit,MATCH(B271,pr_code,0))&amp;"",""))</f>
        <v/>
      </c>
      <c r="J271" s="65" t="str">
        <f>IF(COUNTA(A271:G271)=0,"",IF(E271&lt;&gt;"",E271,IF(B271="","",IFERROR(IF(INDEX(pr_price,MATCH(B271,pr_code,0))="","",INDEX(pr_price,MATCH(B271,pr_code,0))),""))))</f>
        <v/>
      </c>
      <c r="K271" s="71" t="str">
        <f>IF(COUNTA(A271:G271)=0,"",IF(G271&lt;&gt;"",G271,IF(B271="","",IFERROR(IF(INDEX(pr_rate,MATCH(B271,pr_code,0))="","",INDEX(pr_rate,MATCH(B271,pr_code,0))),""))))</f>
        <v/>
      </c>
      <c r="L271" s="65" t="str">
        <f>IF(COUNTA(A271:G271)=0,"",IF(AND(ISNUMBER(D271),ISNUMBER(J271)),ROUND(D271*J271*(1-N(F271)),2),0))</f>
        <v/>
      </c>
      <c r="M271" s="62" t="str">
        <f>IF(A271="","",IFERROR(INDEX(fa_cname,MATCH(A271,fa_num,0))&amp;"",""))</f>
        <v/>
      </c>
      <c r="N271" s="59" t="str">
        <f>IF(COUNTA(A271:G271)=0,"",IF(A271="","N° facture manquant",IF(ISNA(MATCH(A271,fa_num,0)),"Facture inconnue",IF(AND(B271&lt;&gt;"",ISNA(MATCH(B271,pr_code,0))),"Article inconnu",IF(H271="","Désignation manquante",IF(OR(NOT(ISNUMBER(D271)),N(D271)&lt;=0),"Quantité invalide",IF(J271="","Prix manquant",IF(OR(NOT(ISNUMBER(J271)),N(J271)&lt;0),"Prix invalide",IF(OR(AND(F271&lt;&gt;"",NOT(ISNUMBER(F271))),N(F271)&lt;0,N(F271)&gt;1),"Remise invalide",IF(K271="","Taux de TVA manquant",IF(NOT(ISNUMBER(K271)),"Taux de TVA invalide",IF(COUNTIF(p_rates,K271)=0,"Taux de TVA hors liste (Paramètres)",IF(N(O271)&gt;25,"Au-delà de 25 lignes : non imprimée","OK")))))))))))))</f>
        <v/>
      </c>
      <c r="O271" s="59" t="str">
        <f>IF(A271="","",COUNTIF($A$6:A271,A271))</f>
        <v/>
      </c>
      <c r="P271" s="62" t="str">
        <f>IF(A271="","",A271&amp;"|"&amp;O271)</f>
        <v/>
      </c>
    </row>
    <row r="272">
      <c r="A272" s="60" t="n"/>
      <c r="B272" s="63" t="n"/>
      <c r="C272" s="63" t="n"/>
      <c r="D272" s="67" t="n"/>
      <c r="E272" s="68" t="n"/>
      <c r="F272" s="69" t="n"/>
      <c r="G272" s="70" t="n"/>
      <c r="H272" s="62" t="str">
        <f>IF(COUNTA(A272:G272)=0,"",IF(C272&lt;&gt;"",C272,IF(B272="","",IFERROR(INDEX(pr_des,MATCH(B272,pr_code,0))&amp;"",""))))</f>
        <v/>
      </c>
      <c r="I272" s="59" t="str">
        <f>IF(B272="","",IFERROR(INDEX(pr_unit,MATCH(B272,pr_code,0))&amp;"",""))</f>
        <v/>
      </c>
      <c r="J272" s="65" t="str">
        <f>IF(COUNTA(A272:G272)=0,"",IF(E272&lt;&gt;"",E272,IF(B272="","",IFERROR(IF(INDEX(pr_price,MATCH(B272,pr_code,0))="","",INDEX(pr_price,MATCH(B272,pr_code,0))),""))))</f>
        <v/>
      </c>
      <c r="K272" s="71" t="str">
        <f>IF(COUNTA(A272:G272)=0,"",IF(G272&lt;&gt;"",G272,IF(B272="","",IFERROR(IF(INDEX(pr_rate,MATCH(B272,pr_code,0))="","",INDEX(pr_rate,MATCH(B272,pr_code,0))),""))))</f>
        <v/>
      </c>
      <c r="L272" s="65" t="str">
        <f>IF(COUNTA(A272:G272)=0,"",IF(AND(ISNUMBER(D272),ISNUMBER(J272)),ROUND(D272*J272*(1-N(F272)),2),0))</f>
        <v/>
      </c>
      <c r="M272" s="62" t="str">
        <f>IF(A272="","",IFERROR(INDEX(fa_cname,MATCH(A272,fa_num,0))&amp;"",""))</f>
        <v/>
      </c>
      <c r="N272" s="59" t="str">
        <f>IF(COUNTA(A272:G272)=0,"",IF(A272="","N° facture manquant",IF(ISNA(MATCH(A272,fa_num,0)),"Facture inconnue",IF(AND(B272&lt;&gt;"",ISNA(MATCH(B272,pr_code,0))),"Article inconnu",IF(H272="","Désignation manquante",IF(OR(NOT(ISNUMBER(D272)),N(D272)&lt;=0),"Quantité invalide",IF(J272="","Prix manquant",IF(OR(NOT(ISNUMBER(J272)),N(J272)&lt;0),"Prix invalide",IF(OR(AND(F272&lt;&gt;"",NOT(ISNUMBER(F272))),N(F272)&lt;0,N(F272)&gt;1),"Remise invalide",IF(K272="","Taux de TVA manquant",IF(NOT(ISNUMBER(K272)),"Taux de TVA invalide",IF(COUNTIF(p_rates,K272)=0,"Taux de TVA hors liste (Paramètres)",IF(N(O272)&gt;25,"Au-delà de 25 lignes : non imprimée","OK")))))))))))))</f>
        <v/>
      </c>
      <c r="O272" s="59" t="str">
        <f>IF(A272="","",COUNTIF($A$6:A272,A272))</f>
        <v/>
      </c>
      <c r="P272" s="62" t="str">
        <f>IF(A272="","",A272&amp;"|"&amp;O272)</f>
        <v/>
      </c>
    </row>
    <row r="273">
      <c r="A273" s="60" t="n"/>
      <c r="B273" s="63" t="n"/>
      <c r="C273" s="63" t="n"/>
      <c r="D273" s="67" t="n"/>
      <c r="E273" s="68" t="n"/>
      <c r="F273" s="69" t="n"/>
      <c r="G273" s="70" t="n"/>
      <c r="H273" s="62" t="str">
        <f>IF(COUNTA(A273:G273)=0,"",IF(C273&lt;&gt;"",C273,IF(B273="","",IFERROR(INDEX(pr_des,MATCH(B273,pr_code,0))&amp;"",""))))</f>
        <v/>
      </c>
      <c r="I273" s="59" t="str">
        <f>IF(B273="","",IFERROR(INDEX(pr_unit,MATCH(B273,pr_code,0))&amp;"",""))</f>
        <v/>
      </c>
      <c r="J273" s="65" t="str">
        <f>IF(COUNTA(A273:G273)=0,"",IF(E273&lt;&gt;"",E273,IF(B273="","",IFERROR(IF(INDEX(pr_price,MATCH(B273,pr_code,0))="","",INDEX(pr_price,MATCH(B273,pr_code,0))),""))))</f>
        <v/>
      </c>
      <c r="K273" s="71" t="str">
        <f>IF(COUNTA(A273:G273)=0,"",IF(G273&lt;&gt;"",G273,IF(B273="","",IFERROR(IF(INDEX(pr_rate,MATCH(B273,pr_code,0))="","",INDEX(pr_rate,MATCH(B273,pr_code,0))),""))))</f>
        <v/>
      </c>
      <c r="L273" s="65" t="str">
        <f>IF(COUNTA(A273:G273)=0,"",IF(AND(ISNUMBER(D273),ISNUMBER(J273)),ROUND(D273*J273*(1-N(F273)),2),0))</f>
        <v/>
      </c>
      <c r="M273" s="62" t="str">
        <f>IF(A273="","",IFERROR(INDEX(fa_cname,MATCH(A273,fa_num,0))&amp;"",""))</f>
        <v/>
      </c>
      <c r="N273" s="59" t="str">
        <f>IF(COUNTA(A273:G273)=0,"",IF(A273="","N° facture manquant",IF(ISNA(MATCH(A273,fa_num,0)),"Facture inconnue",IF(AND(B273&lt;&gt;"",ISNA(MATCH(B273,pr_code,0))),"Article inconnu",IF(H273="","Désignation manquante",IF(OR(NOT(ISNUMBER(D273)),N(D273)&lt;=0),"Quantité invalide",IF(J273="","Prix manquant",IF(OR(NOT(ISNUMBER(J273)),N(J273)&lt;0),"Prix invalide",IF(OR(AND(F273&lt;&gt;"",NOT(ISNUMBER(F273))),N(F273)&lt;0,N(F273)&gt;1),"Remise invalide",IF(K273="","Taux de TVA manquant",IF(NOT(ISNUMBER(K273)),"Taux de TVA invalide",IF(COUNTIF(p_rates,K273)=0,"Taux de TVA hors liste (Paramètres)",IF(N(O273)&gt;25,"Au-delà de 25 lignes : non imprimée","OK")))))))))))))</f>
        <v/>
      </c>
      <c r="O273" s="59" t="str">
        <f>IF(A273="","",COUNTIF($A$6:A273,A273))</f>
        <v/>
      </c>
      <c r="P273" s="62" t="str">
        <f>IF(A273="","",A273&amp;"|"&amp;O273)</f>
        <v/>
      </c>
    </row>
    <row r="274">
      <c r="A274" s="60" t="n"/>
      <c r="B274" s="63" t="n"/>
      <c r="C274" s="63" t="n"/>
      <c r="D274" s="67" t="n"/>
      <c r="E274" s="68" t="n"/>
      <c r="F274" s="69" t="n"/>
      <c r="G274" s="70" t="n"/>
      <c r="H274" s="62" t="str">
        <f>IF(COUNTA(A274:G274)=0,"",IF(C274&lt;&gt;"",C274,IF(B274="","",IFERROR(INDEX(pr_des,MATCH(B274,pr_code,0))&amp;"",""))))</f>
        <v/>
      </c>
      <c r="I274" s="59" t="str">
        <f>IF(B274="","",IFERROR(INDEX(pr_unit,MATCH(B274,pr_code,0))&amp;"",""))</f>
        <v/>
      </c>
      <c r="J274" s="65" t="str">
        <f>IF(COUNTA(A274:G274)=0,"",IF(E274&lt;&gt;"",E274,IF(B274="","",IFERROR(IF(INDEX(pr_price,MATCH(B274,pr_code,0))="","",INDEX(pr_price,MATCH(B274,pr_code,0))),""))))</f>
        <v/>
      </c>
      <c r="K274" s="71" t="str">
        <f>IF(COUNTA(A274:G274)=0,"",IF(G274&lt;&gt;"",G274,IF(B274="","",IFERROR(IF(INDEX(pr_rate,MATCH(B274,pr_code,0))="","",INDEX(pr_rate,MATCH(B274,pr_code,0))),""))))</f>
        <v/>
      </c>
      <c r="L274" s="65" t="str">
        <f>IF(COUNTA(A274:G274)=0,"",IF(AND(ISNUMBER(D274),ISNUMBER(J274)),ROUND(D274*J274*(1-N(F274)),2),0))</f>
        <v/>
      </c>
      <c r="M274" s="62" t="str">
        <f>IF(A274="","",IFERROR(INDEX(fa_cname,MATCH(A274,fa_num,0))&amp;"",""))</f>
        <v/>
      </c>
      <c r="N274" s="59" t="str">
        <f>IF(COUNTA(A274:G274)=0,"",IF(A274="","N° facture manquant",IF(ISNA(MATCH(A274,fa_num,0)),"Facture inconnue",IF(AND(B274&lt;&gt;"",ISNA(MATCH(B274,pr_code,0))),"Article inconnu",IF(H274="","Désignation manquante",IF(OR(NOT(ISNUMBER(D274)),N(D274)&lt;=0),"Quantité invalide",IF(J274="","Prix manquant",IF(OR(NOT(ISNUMBER(J274)),N(J274)&lt;0),"Prix invalide",IF(OR(AND(F274&lt;&gt;"",NOT(ISNUMBER(F274))),N(F274)&lt;0,N(F274)&gt;1),"Remise invalide",IF(K274="","Taux de TVA manquant",IF(NOT(ISNUMBER(K274)),"Taux de TVA invalide",IF(COUNTIF(p_rates,K274)=0,"Taux de TVA hors liste (Paramètres)",IF(N(O274)&gt;25,"Au-delà de 25 lignes : non imprimée","OK")))))))))))))</f>
        <v/>
      </c>
      <c r="O274" s="59" t="str">
        <f>IF(A274="","",COUNTIF($A$6:A274,A274))</f>
        <v/>
      </c>
      <c r="P274" s="62" t="str">
        <f>IF(A274="","",A274&amp;"|"&amp;O274)</f>
        <v/>
      </c>
    </row>
    <row r="275">
      <c r="A275" s="60" t="n"/>
      <c r="B275" s="63" t="n"/>
      <c r="C275" s="63" t="n"/>
      <c r="D275" s="67" t="n"/>
      <c r="E275" s="68" t="n"/>
      <c r="F275" s="69" t="n"/>
      <c r="G275" s="70" t="n"/>
      <c r="H275" s="62" t="str">
        <f>IF(COUNTA(A275:G275)=0,"",IF(C275&lt;&gt;"",C275,IF(B275="","",IFERROR(INDEX(pr_des,MATCH(B275,pr_code,0))&amp;"",""))))</f>
        <v/>
      </c>
      <c r="I275" s="59" t="str">
        <f>IF(B275="","",IFERROR(INDEX(pr_unit,MATCH(B275,pr_code,0))&amp;"",""))</f>
        <v/>
      </c>
      <c r="J275" s="65" t="str">
        <f>IF(COUNTA(A275:G275)=0,"",IF(E275&lt;&gt;"",E275,IF(B275="","",IFERROR(IF(INDEX(pr_price,MATCH(B275,pr_code,0))="","",INDEX(pr_price,MATCH(B275,pr_code,0))),""))))</f>
        <v/>
      </c>
      <c r="K275" s="71" t="str">
        <f>IF(COUNTA(A275:G275)=0,"",IF(G275&lt;&gt;"",G275,IF(B275="","",IFERROR(IF(INDEX(pr_rate,MATCH(B275,pr_code,0))="","",INDEX(pr_rate,MATCH(B275,pr_code,0))),""))))</f>
        <v/>
      </c>
      <c r="L275" s="65" t="str">
        <f>IF(COUNTA(A275:G275)=0,"",IF(AND(ISNUMBER(D275),ISNUMBER(J275)),ROUND(D275*J275*(1-N(F275)),2),0))</f>
        <v/>
      </c>
      <c r="M275" s="62" t="str">
        <f>IF(A275="","",IFERROR(INDEX(fa_cname,MATCH(A275,fa_num,0))&amp;"",""))</f>
        <v/>
      </c>
      <c r="N275" s="59" t="str">
        <f>IF(COUNTA(A275:G275)=0,"",IF(A275="","N° facture manquant",IF(ISNA(MATCH(A275,fa_num,0)),"Facture inconnue",IF(AND(B275&lt;&gt;"",ISNA(MATCH(B275,pr_code,0))),"Article inconnu",IF(H275="","Désignation manquante",IF(OR(NOT(ISNUMBER(D275)),N(D275)&lt;=0),"Quantité invalide",IF(J275="","Prix manquant",IF(OR(NOT(ISNUMBER(J275)),N(J275)&lt;0),"Prix invalide",IF(OR(AND(F275&lt;&gt;"",NOT(ISNUMBER(F275))),N(F275)&lt;0,N(F275)&gt;1),"Remise invalide",IF(K275="","Taux de TVA manquant",IF(NOT(ISNUMBER(K275)),"Taux de TVA invalide",IF(COUNTIF(p_rates,K275)=0,"Taux de TVA hors liste (Paramètres)",IF(N(O275)&gt;25,"Au-delà de 25 lignes : non imprimée","OK")))))))))))))</f>
        <v/>
      </c>
      <c r="O275" s="59" t="str">
        <f>IF(A275="","",COUNTIF($A$6:A275,A275))</f>
        <v/>
      </c>
      <c r="P275" s="62" t="str">
        <f>IF(A275="","",A275&amp;"|"&amp;O275)</f>
        <v/>
      </c>
    </row>
    <row r="276">
      <c r="A276" s="60" t="n"/>
      <c r="B276" s="63" t="n"/>
      <c r="C276" s="63" t="n"/>
      <c r="D276" s="67" t="n"/>
      <c r="E276" s="68" t="n"/>
      <c r="F276" s="69" t="n"/>
      <c r="G276" s="70" t="n"/>
      <c r="H276" s="62" t="str">
        <f>IF(COUNTA(A276:G276)=0,"",IF(C276&lt;&gt;"",C276,IF(B276="","",IFERROR(INDEX(pr_des,MATCH(B276,pr_code,0))&amp;"",""))))</f>
        <v/>
      </c>
      <c r="I276" s="59" t="str">
        <f>IF(B276="","",IFERROR(INDEX(pr_unit,MATCH(B276,pr_code,0))&amp;"",""))</f>
        <v/>
      </c>
      <c r="J276" s="65" t="str">
        <f>IF(COUNTA(A276:G276)=0,"",IF(E276&lt;&gt;"",E276,IF(B276="","",IFERROR(IF(INDEX(pr_price,MATCH(B276,pr_code,0))="","",INDEX(pr_price,MATCH(B276,pr_code,0))),""))))</f>
        <v/>
      </c>
      <c r="K276" s="71" t="str">
        <f>IF(COUNTA(A276:G276)=0,"",IF(G276&lt;&gt;"",G276,IF(B276="","",IFERROR(IF(INDEX(pr_rate,MATCH(B276,pr_code,0))="","",INDEX(pr_rate,MATCH(B276,pr_code,0))),""))))</f>
        <v/>
      </c>
      <c r="L276" s="65" t="str">
        <f>IF(COUNTA(A276:G276)=0,"",IF(AND(ISNUMBER(D276),ISNUMBER(J276)),ROUND(D276*J276*(1-N(F276)),2),0))</f>
        <v/>
      </c>
      <c r="M276" s="62" t="str">
        <f>IF(A276="","",IFERROR(INDEX(fa_cname,MATCH(A276,fa_num,0))&amp;"",""))</f>
        <v/>
      </c>
      <c r="N276" s="59" t="str">
        <f>IF(COUNTA(A276:G276)=0,"",IF(A276="","N° facture manquant",IF(ISNA(MATCH(A276,fa_num,0)),"Facture inconnue",IF(AND(B276&lt;&gt;"",ISNA(MATCH(B276,pr_code,0))),"Article inconnu",IF(H276="","Désignation manquante",IF(OR(NOT(ISNUMBER(D276)),N(D276)&lt;=0),"Quantité invalide",IF(J276="","Prix manquant",IF(OR(NOT(ISNUMBER(J276)),N(J276)&lt;0),"Prix invalide",IF(OR(AND(F276&lt;&gt;"",NOT(ISNUMBER(F276))),N(F276)&lt;0,N(F276)&gt;1),"Remise invalide",IF(K276="","Taux de TVA manquant",IF(NOT(ISNUMBER(K276)),"Taux de TVA invalide",IF(COUNTIF(p_rates,K276)=0,"Taux de TVA hors liste (Paramètres)",IF(N(O276)&gt;25,"Au-delà de 25 lignes : non imprimée","OK")))))))))))))</f>
        <v/>
      </c>
      <c r="O276" s="59" t="str">
        <f>IF(A276="","",COUNTIF($A$6:A276,A276))</f>
        <v/>
      </c>
      <c r="P276" s="62" t="str">
        <f>IF(A276="","",A276&amp;"|"&amp;O276)</f>
        <v/>
      </c>
    </row>
    <row r="277">
      <c r="A277" s="60" t="n"/>
      <c r="B277" s="63" t="n"/>
      <c r="C277" s="63" t="n"/>
      <c r="D277" s="67" t="n"/>
      <c r="E277" s="68" t="n"/>
      <c r="F277" s="69" t="n"/>
      <c r="G277" s="70" t="n"/>
      <c r="H277" s="62" t="str">
        <f>IF(COUNTA(A277:G277)=0,"",IF(C277&lt;&gt;"",C277,IF(B277="","",IFERROR(INDEX(pr_des,MATCH(B277,pr_code,0))&amp;"",""))))</f>
        <v/>
      </c>
      <c r="I277" s="59" t="str">
        <f>IF(B277="","",IFERROR(INDEX(pr_unit,MATCH(B277,pr_code,0))&amp;"",""))</f>
        <v/>
      </c>
      <c r="J277" s="65" t="str">
        <f>IF(COUNTA(A277:G277)=0,"",IF(E277&lt;&gt;"",E277,IF(B277="","",IFERROR(IF(INDEX(pr_price,MATCH(B277,pr_code,0))="","",INDEX(pr_price,MATCH(B277,pr_code,0))),""))))</f>
        <v/>
      </c>
      <c r="K277" s="71" t="str">
        <f>IF(COUNTA(A277:G277)=0,"",IF(G277&lt;&gt;"",G277,IF(B277="","",IFERROR(IF(INDEX(pr_rate,MATCH(B277,pr_code,0))="","",INDEX(pr_rate,MATCH(B277,pr_code,0))),""))))</f>
        <v/>
      </c>
      <c r="L277" s="65" t="str">
        <f>IF(COUNTA(A277:G277)=0,"",IF(AND(ISNUMBER(D277),ISNUMBER(J277)),ROUND(D277*J277*(1-N(F277)),2),0))</f>
        <v/>
      </c>
      <c r="M277" s="62" t="str">
        <f>IF(A277="","",IFERROR(INDEX(fa_cname,MATCH(A277,fa_num,0))&amp;"",""))</f>
        <v/>
      </c>
      <c r="N277" s="59" t="str">
        <f>IF(COUNTA(A277:G277)=0,"",IF(A277="","N° facture manquant",IF(ISNA(MATCH(A277,fa_num,0)),"Facture inconnue",IF(AND(B277&lt;&gt;"",ISNA(MATCH(B277,pr_code,0))),"Article inconnu",IF(H277="","Désignation manquante",IF(OR(NOT(ISNUMBER(D277)),N(D277)&lt;=0),"Quantité invalide",IF(J277="","Prix manquant",IF(OR(NOT(ISNUMBER(J277)),N(J277)&lt;0),"Prix invalide",IF(OR(AND(F277&lt;&gt;"",NOT(ISNUMBER(F277))),N(F277)&lt;0,N(F277)&gt;1),"Remise invalide",IF(K277="","Taux de TVA manquant",IF(NOT(ISNUMBER(K277)),"Taux de TVA invalide",IF(COUNTIF(p_rates,K277)=0,"Taux de TVA hors liste (Paramètres)",IF(N(O277)&gt;25,"Au-delà de 25 lignes : non imprimée","OK")))))))))))))</f>
        <v/>
      </c>
      <c r="O277" s="59" t="str">
        <f>IF(A277="","",COUNTIF($A$6:A277,A277))</f>
        <v/>
      </c>
      <c r="P277" s="62" t="str">
        <f>IF(A277="","",A277&amp;"|"&amp;O277)</f>
        <v/>
      </c>
    </row>
    <row r="278">
      <c r="A278" s="60" t="n"/>
      <c r="B278" s="63" t="n"/>
      <c r="C278" s="63" t="n"/>
      <c r="D278" s="67" t="n"/>
      <c r="E278" s="68" t="n"/>
      <c r="F278" s="69" t="n"/>
      <c r="G278" s="70" t="n"/>
      <c r="H278" s="62" t="str">
        <f>IF(COUNTA(A278:G278)=0,"",IF(C278&lt;&gt;"",C278,IF(B278="","",IFERROR(INDEX(pr_des,MATCH(B278,pr_code,0))&amp;"",""))))</f>
        <v/>
      </c>
      <c r="I278" s="59" t="str">
        <f>IF(B278="","",IFERROR(INDEX(pr_unit,MATCH(B278,pr_code,0))&amp;"",""))</f>
        <v/>
      </c>
      <c r="J278" s="65" t="str">
        <f>IF(COUNTA(A278:G278)=0,"",IF(E278&lt;&gt;"",E278,IF(B278="","",IFERROR(IF(INDEX(pr_price,MATCH(B278,pr_code,0))="","",INDEX(pr_price,MATCH(B278,pr_code,0))),""))))</f>
        <v/>
      </c>
      <c r="K278" s="71" t="str">
        <f>IF(COUNTA(A278:G278)=0,"",IF(G278&lt;&gt;"",G278,IF(B278="","",IFERROR(IF(INDEX(pr_rate,MATCH(B278,pr_code,0))="","",INDEX(pr_rate,MATCH(B278,pr_code,0))),""))))</f>
        <v/>
      </c>
      <c r="L278" s="65" t="str">
        <f>IF(COUNTA(A278:G278)=0,"",IF(AND(ISNUMBER(D278),ISNUMBER(J278)),ROUND(D278*J278*(1-N(F278)),2),0))</f>
        <v/>
      </c>
      <c r="M278" s="62" t="str">
        <f>IF(A278="","",IFERROR(INDEX(fa_cname,MATCH(A278,fa_num,0))&amp;"",""))</f>
        <v/>
      </c>
      <c r="N278" s="59" t="str">
        <f>IF(COUNTA(A278:G278)=0,"",IF(A278="","N° facture manquant",IF(ISNA(MATCH(A278,fa_num,0)),"Facture inconnue",IF(AND(B278&lt;&gt;"",ISNA(MATCH(B278,pr_code,0))),"Article inconnu",IF(H278="","Désignation manquante",IF(OR(NOT(ISNUMBER(D278)),N(D278)&lt;=0),"Quantité invalide",IF(J278="","Prix manquant",IF(OR(NOT(ISNUMBER(J278)),N(J278)&lt;0),"Prix invalide",IF(OR(AND(F278&lt;&gt;"",NOT(ISNUMBER(F278))),N(F278)&lt;0,N(F278)&gt;1),"Remise invalide",IF(K278="","Taux de TVA manquant",IF(NOT(ISNUMBER(K278)),"Taux de TVA invalide",IF(COUNTIF(p_rates,K278)=0,"Taux de TVA hors liste (Paramètres)",IF(N(O278)&gt;25,"Au-delà de 25 lignes : non imprimée","OK")))))))))))))</f>
        <v/>
      </c>
      <c r="O278" s="59" t="str">
        <f>IF(A278="","",COUNTIF($A$6:A278,A278))</f>
        <v/>
      </c>
      <c r="P278" s="62" t="str">
        <f>IF(A278="","",A278&amp;"|"&amp;O278)</f>
        <v/>
      </c>
    </row>
    <row r="279">
      <c r="A279" s="60" t="n"/>
      <c r="B279" s="63" t="n"/>
      <c r="C279" s="63" t="n"/>
      <c r="D279" s="67" t="n"/>
      <c r="E279" s="68" t="n"/>
      <c r="F279" s="69" t="n"/>
      <c r="G279" s="70" t="n"/>
      <c r="H279" s="62" t="str">
        <f>IF(COUNTA(A279:G279)=0,"",IF(C279&lt;&gt;"",C279,IF(B279="","",IFERROR(INDEX(pr_des,MATCH(B279,pr_code,0))&amp;"",""))))</f>
        <v/>
      </c>
      <c r="I279" s="59" t="str">
        <f>IF(B279="","",IFERROR(INDEX(pr_unit,MATCH(B279,pr_code,0))&amp;"",""))</f>
        <v/>
      </c>
      <c r="J279" s="65" t="str">
        <f>IF(COUNTA(A279:G279)=0,"",IF(E279&lt;&gt;"",E279,IF(B279="","",IFERROR(IF(INDEX(pr_price,MATCH(B279,pr_code,0))="","",INDEX(pr_price,MATCH(B279,pr_code,0))),""))))</f>
        <v/>
      </c>
      <c r="K279" s="71" t="str">
        <f>IF(COUNTA(A279:G279)=0,"",IF(G279&lt;&gt;"",G279,IF(B279="","",IFERROR(IF(INDEX(pr_rate,MATCH(B279,pr_code,0))="","",INDEX(pr_rate,MATCH(B279,pr_code,0))),""))))</f>
        <v/>
      </c>
      <c r="L279" s="65" t="str">
        <f>IF(COUNTA(A279:G279)=0,"",IF(AND(ISNUMBER(D279),ISNUMBER(J279)),ROUND(D279*J279*(1-N(F279)),2),0))</f>
        <v/>
      </c>
      <c r="M279" s="62" t="str">
        <f>IF(A279="","",IFERROR(INDEX(fa_cname,MATCH(A279,fa_num,0))&amp;"",""))</f>
        <v/>
      </c>
      <c r="N279" s="59" t="str">
        <f>IF(COUNTA(A279:G279)=0,"",IF(A279="","N° facture manquant",IF(ISNA(MATCH(A279,fa_num,0)),"Facture inconnue",IF(AND(B279&lt;&gt;"",ISNA(MATCH(B279,pr_code,0))),"Article inconnu",IF(H279="","Désignation manquante",IF(OR(NOT(ISNUMBER(D279)),N(D279)&lt;=0),"Quantité invalide",IF(J279="","Prix manquant",IF(OR(NOT(ISNUMBER(J279)),N(J279)&lt;0),"Prix invalide",IF(OR(AND(F279&lt;&gt;"",NOT(ISNUMBER(F279))),N(F279)&lt;0,N(F279)&gt;1),"Remise invalide",IF(K279="","Taux de TVA manquant",IF(NOT(ISNUMBER(K279)),"Taux de TVA invalide",IF(COUNTIF(p_rates,K279)=0,"Taux de TVA hors liste (Paramètres)",IF(N(O279)&gt;25,"Au-delà de 25 lignes : non imprimée","OK")))))))))))))</f>
        <v/>
      </c>
      <c r="O279" s="59" t="str">
        <f>IF(A279="","",COUNTIF($A$6:A279,A279))</f>
        <v/>
      </c>
      <c r="P279" s="62" t="str">
        <f>IF(A279="","",A279&amp;"|"&amp;O279)</f>
        <v/>
      </c>
    </row>
    <row r="280">
      <c r="A280" s="60" t="n"/>
      <c r="B280" s="63" t="n"/>
      <c r="C280" s="63" t="n"/>
      <c r="D280" s="67" t="n"/>
      <c r="E280" s="68" t="n"/>
      <c r="F280" s="69" t="n"/>
      <c r="G280" s="70" t="n"/>
      <c r="H280" s="62" t="str">
        <f>IF(COUNTA(A280:G280)=0,"",IF(C280&lt;&gt;"",C280,IF(B280="","",IFERROR(INDEX(pr_des,MATCH(B280,pr_code,0))&amp;"",""))))</f>
        <v/>
      </c>
      <c r="I280" s="59" t="str">
        <f>IF(B280="","",IFERROR(INDEX(pr_unit,MATCH(B280,pr_code,0))&amp;"",""))</f>
        <v/>
      </c>
      <c r="J280" s="65" t="str">
        <f>IF(COUNTA(A280:G280)=0,"",IF(E280&lt;&gt;"",E280,IF(B280="","",IFERROR(IF(INDEX(pr_price,MATCH(B280,pr_code,0))="","",INDEX(pr_price,MATCH(B280,pr_code,0))),""))))</f>
        <v/>
      </c>
      <c r="K280" s="71" t="str">
        <f>IF(COUNTA(A280:G280)=0,"",IF(G280&lt;&gt;"",G280,IF(B280="","",IFERROR(IF(INDEX(pr_rate,MATCH(B280,pr_code,0))="","",INDEX(pr_rate,MATCH(B280,pr_code,0))),""))))</f>
        <v/>
      </c>
      <c r="L280" s="65" t="str">
        <f>IF(COUNTA(A280:G280)=0,"",IF(AND(ISNUMBER(D280),ISNUMBER(J280)),ROUND(D280*J280*(1-N(F280)),2),0))</f>
        <v/>
      </c>
      <c r="M280" s="62" t="str">
        <f>IF(A280="","",IFERROR(INDEX(fa_cname,MATCH(A280,fa_num,0))&amp;"",""))</f>
        <v/>
      </c>
      <c r="N280" s="59" t="str">
        <f>IF(COUNTA(A280:G280)=0,"",IF(A280="","N° facture manquant",IF(ISNA(MATCH(A280,fa_num,0)),"Facture inconnue",IF(AND(B280&lt;&gt;"",ISNA(MATCH(B280,pr_code,0))),"Article inconnu",IF(H280="","Désignation manquante",IF(OR(NOT(ISNUMBER(D280)),N(D280)&lt;=0),"Quantité invalide",IF(J280="","Prix manquant",IF(OR(NOT(ISNUMBER(J280)),N(J280)&lt;0),"Prix invalide",IF(OR(AND(F280&lt;&gt;"",NOT(ISNUMBER(F280))),N(F280)&lt;0,N(F280)&gt;1),"Remise invalide",IF(K280="","Taux de TVA manquant",IF(NOT(ISNUMBER(K280)),"Taux de TVA invalide",IF(COUNTIF(p_rates,K280)=0,"Taux de TVA hors liste (Paramètres)",IF(N(O280)&gt;25,"Au-delà de 25 lignes : non imprimée","OK")))))))))))))</f>
        <v/>
      </c>
      <c r="O280" s="59" t="str">
        <f>IF(A280="","",COUNTIF($A$6:A280,A280))</f>
        <v/>
      </c>
      <c r="P280" s="62" t="str">
        <f>IF(A280="","",A280&amp;"|"&amp;O280)</f>
        <v/>
      </c>
    </row>
    <row r="281">
      <c r="A281" s="60" t="n"/>
      <c r="B281" s="63" t="n"/>
      <c r="C281" s="63" t="n"/>
      <c r="D281" s="67" t="n"/>
      <c r="E281" s="68" t="n"/>
      <c r="F281" s="69" t="n"/>
      <c r="G281" s="70" t="n"/>
      <c r="H281" s="62" t="str">
        <f>IF(COUNTA(A281:G281)=0,"",IF(C281&lt;&gt;"",C281,IF(B281="","",IFERROR(INDEX(pr_des,MATCH(B281,pr_code,0))&amp;"",""))))</f>
        <v/>
      </c>
      <c r="I281" s="59" t="str">
        <f>IF(B281="","",IFERROR(INDEX(pr_unit,MATCH(B281,pr_code,0))&amp;"",""))</f>
        <v/>
      </c>
      <c r="J281" s="65" t="str">
        <f>IF(COUNTA(A281:G281)=0,"",IF(E281&lt;&gt;"",E281,IF(B281="","",IFERROR(IF(INDEX(pr_price,MATCH(B281,pr_code,0))="","",INDEX(pr_price,MATCH(B281,pr_code,0))),""))))</f>
        <v/>
      </c>
      <c r="K281" s="71" t="str">
        <f>IF(COUNTA(A281:G281)=0,"",IF(G281&lt;&gt;"",G281,IF(B281="","",IFERROR(IF(INDEX(pr_rate,MATCH(B281,pr_code,0))="","",INDEX(pr_rate,MATCH(B281,pr_code,0))),""))))</f>
        <v/>
      </c>
      <c r="L281" s="65" t="str">
        <f>IF(COUNTA(A281:G281)=0,"",IF(AND(ISNUMBER(D281),ISNUMBER(J281)),ROUND(D281*J281*(1-N(F281)),2),0))</f>
        <v/>
      </c>
      <c r="M281" s="62" t="str">
        <f>IF(A281="","",IFERROR(INDEX(fa_cname,MATCH(A281,fa_num,0))&amp;"",""))</f>
        <v/>
      </c>
      <c r="N281" s="59" t="str">
        <f>IF(COUNTA(A281:G281)=0,"",IF(A281="","N° facture manquant",IF(ISNA(MATCH(A281,fa_num,0)),"Facture inconnue",IF(AND(B281&lt;&gt;"",ISNA(MATCH(B281,pr_code,0))),"Article inconnu",IF(H281="","Désignation manquante",IF(OR(NOT(ISNUMBER(D281)),N(D281)&lt;=0),"Quantité invalide",IF(J281="","Prix manquant",IF(OR(NOT(ISNUMBER(J281)),N(J281)&lt;0),"Prix invalide",IF(OR(AND(F281&lt;&gt;"",NOT(ISNUMBER(F281))),N(F281)&lt;0,N(F281)&gt;1),"Remise invalide",IF(K281="","Taux de TVA manquant",IF(NOT(ISNUMBER(K281)),"Taux de TVA invalide",IF(COUNTIF(p_rates,K281)=0,"Taux de TVA hors liste (Paramètres)",IF(N(O281)&gt;25,"Au-delà de 25 lignes : non imprimée","OK")))))))))))))</f>
        <v/>
      </c>
      <c r="O281" s="59" t="str">
        <f>IF(A281="","",COUNTIF($A$6:A281,A281))</f>
        <v/>
      </c>
      <c r="P281" s="62" t="str">
        <f>IF(A281="","",A281&amp;"|"&amp;O281)</f>
        <v/>
      </c>
    </row>
    <row r="282">
      <c r="A282" s="60" t="n"/>
      <c r="B282" s="63" t="n"/>
      <c r="C282" s="63" t="n"/>
      <c r="D282" s="67" t="n"/>
      <c r="E282" s="68" t="n"/>
      <c r="F282" s="69" t="n"/>
      <c r="G282" s="70" t="n"/>
      <c r="H282" s="62" t="str">
        <f>IF(COUNTA(A282:G282)=0,"",IF(C282&lt;&gt;"",C282,IF(B282="","",IFERROR(INDEX(pr_des,MATCH(B282,pr_code,0))&amp;"",""))))</f>
        <v/>
      </c>
      <c r="I282" s="59" t="str">
        <f>IF(B282="","",IFERROR(INDEX(pr_unit,MATCH(B282,pr_code,0))&amp;"",""))</f>
        <v/>
      </c>
      <c r="J282" s="65" t="str">
        <f>IF(COUNTA(A282:G282)=0,"",IF(E282&lt;&gt;"",E282,IF(B282="","",IFERROR(IF(INDEX(pr_price,MATCH(B282,pr_code,0))="","",INDEX(pr_price,MATCH(B282,pr_code,0))),""))))</f>
        <v/>
      </c>
      <c r="K282" s="71" t="str">
        <f>IF(COUNTA(A282:G282)=0,"",IF(G282&lt;&gt;"",G282,IF(B282="","",IFERROR(IF(INDEX(pr_rate,MATCH(B282,pr_code,0))="","",INDEX(pr_rate,MATCH(B282,pr_code,0))),""))))</f>
        <v/>
      </c>
      <c r="L282" s="65" t="str">
        <f>IF(COUNTA(A282:G282)=0,"",IF(AND(ISNUMBER(D282),ISNUMBER(J282)),ROUND(D282*J282*(1-N(F282)),2),0))</f>
        <v/>
      </c>
      <c r="M282" s="62" t="str">
        <f>IF(A282="","",IFERROR(INDEX(fa_cname,MATCH(A282,fa_num,0))&amp;"",""))</f>
        <v/>
      </c>
      <c r="N282" s="59" t="str">
        <f>IF(COUNTA(A282:G282)=0,"",IF(A282="","N° facture manquant",IF(ISNA(MATCH(A282,fa_num,0)),"Facture inconnue",IF(AND(B282&lt;&gt;"",ISNA(MATCH(B282,pr_code,0))),"Article inconnu",IF(H282="","Désignation manquante",IF(OR(NOT(ISNUMBER(D282)),N(D282)&lt;=0),"Quantité invalide",IF(J282="","Prix manquant",IF(OR(NOT(ISNUMBER(J282)),N(J282)&lt;0),"Prix invalide",IF(OR(AND(F282&lt;&gt;"",NOT(ISNUMBER(F282))),N(F282)&lt;0,N(F282)&gt;1),"Remise invalide",IF(K282="","Taux de TVA manquant",IF(NOT(ISNUMBER(K282)),"Taux de TVA invalide",IF(COUNTIF(p_rates,K282)=0,"Taux de TVA hors liste (Paramètres)",IF(N(O282)&gt;25,"Au-delà de 25 lignes : non imprimée","OK")))))))))))))</f>
        <v/>
      </c>
      <c r="O282" s="59" t="str">
        <f>IF(A282="","",COUNTIF($A$6:A282,A282))</f>
        <v/>
      </c>
      <c r="P282" s="62" t="str">
        <f>IF(A282="","",A282&amp;"|"&amp;O282)</f>
        <v/>
      </c>
    </row>
    <row r="283">
      <c r="A283" s="60" t="n"/>
      <c r="B283" s="63" t="n"/>
      <c r="C283" s="63" t="n"/>
      <c r="D283" s="67" t="n"/>
      <c r="E283" s="68" t="n"/>
      <c r="F283" s="69" t="n"/>
      <c r="G283" s="70" t="n"/>
      <c r="H283" s="62" t="str">
        <f>IF(COUNTA(A283:G283)=0,"",IF(C283&lt;&gt;"",C283,IF(B283="","",IFERROR(INDEX(pr_des,MATCH(B283,pr_code,0))&amp;"",""))))</f>
        <v/>
      </c>
      <c r="I283" s="59" t="str">
        <f>IF(B283="","",IFERROR(INDEX(pr_unit,MATCH(B283,pr_code,0))&amp;"",""))</f>
        <v/>
      </c>
      <c r="J283" s="65" t="str">
        <f>IF(COUNTA(A283:G283)=0,"",IF(E283&lt;&gt;"",E283,IF(B283="","",IFERROR(IF(INDEX(pr_price,MATCH(B283,pr_code,0))="","",INDEX(pr_price,MATCH(B283,pr_code,0))),""))))</f>
        <v/>
      </c>
      <c r="K283" s="71" t="str">
        <f>IF(COUNTA(A283:G283)=0,"",IF(G283&lt;&gt;"",G283,IF(B283="","",IFERROR(IF(INDEX(pr_rate,MATCH(B283,pr_code,0))="","",INDEX(pr_rate,MATCH(B283,pr_code,0))),""))))</f>
        <v/>
      </c>
      <c r="L283" s="65" t="str">
        <f>IF(COUNTA(A283:G283)=0,"",IF(AND(ISNUMBER(D283),ISNUMBER(J283)),ROUND(D283*J283*(1-N(F283)),2),0))</f>
        <v/>
      </c>
      <c r="M283" s="62" t="str">
        <f>IF(A283="","",IFERROR(INDEX(fa_cname,MATCH(A283,fa_num,0))&amp;"",""))</f>
        <v/>
      </c>
      <c r="N283" s="59" t="str">
        <f>IF(COUNTA(A283:G283)=0,"",IF(A283="","N° facture manquant",IF(ISNA(MATCH(A283,fa_num,0)),"Facture inconnue",IF(AND(B283&lt;&gt;"",ISNA(MATCH(B283,pr_code,0))),"Article inconnu",IF(H283="","Désignation manquante",IF(OR(NOT(ISNUMBER(D283)),N(D283)&lt;=0),"Quantité invalide",IF(J283="","Prix manquant",IF(OR(NOT(ISNUMBER(J283)),N(J283)&lt;0),"Prix invalide",IF(OR(AND(F283&lt;&gt;"",NOT(ISNUMBER(F283))),N(F283)&lt;0,N(F283)&gt;1),"Remise invalide",IF(K283="","Taux de TVA manquant",IF(NOT(ISNUMBER(K283)),"Taux de TVA invalide",IF(COUNTIF(p_rates,K283)=0,"Taux de TVA hors liste (Paramètres)",IF(N(O283)&gt;25,"Au-delà de 25 lignes : non imprimée","OK")))))))))))))</f>
        <v/>
      </c>
      <c r="O283" s="59" t="str">
        <f>IF(A283="","",COUNTIF($A$6:A283,A283))</f>
        <v/>
      </c>
      <c r="P283" s="62" t="str">
        <f>IF(A283="","",A283&amp;"|"&amp;O283)</f>
        <v/>
      </c>
    </row>
    <row r="284">
      <c r="A284" s="60" t="n"/>
      <c r="B284" s="63" t="n"/>
      <c r="C284" s="63" t="n"/>
      <c r="D284" s="67" t="n"/>
      <c r="E284" s="68" t="n"/>
      <c r="F284" s="69" t="n"/>
      <c r="G284" s="70" t="n"/>
      <c r="H284" s="62" t="str">
        <f>IF(COUNTA(A284:G284)=0,"",IF(C284&lt;&gt;"",C284,IF(B284="","",IFERROR(INDEX(pr_des,MATCH(B284,pr_code,0))&amp;"",""))))</f>
        <v/>
      </c>
      <c r="I284" s="59" t="str">
        <f>IF(B284="","",IFERROR(INDEX(pr_unit,MATCH(B284,pr_code,0))&amp;"",""))</f>
        <v/>
      </c>
      <c r="J284" s="65" t="str">
        <f>IF(COUNTA(A284:G284)=0,"",IF(E284&lt;&gt;"",E284,IF(B284="","",IFERROR(IF(INDEX(pr_price,MATCH(B284,pr_code,0))="","",INDEX(pr_price,MATCH(B284,pr_code,0))),""))))</f>
        <v/>
      </c>
      <c r="K284" s="71" t="str">
        <f>IF(COUNTA(A284:G284)=0,"",IF(G284&lt;&gt;"",G284,IF(B284="","",IFERROR(IF(INDEX(pr_rate,MATCH(B284,pr_code,0))="","",INDEX(pr_rate,MATCH(B284,pr_code,0))),""))))</f>
        <v/>
      </c>
      <c r="L284" s="65" t="str">
        <f>IF(COUNTA(A284:G284)=0,"",IF(AND(ISNUMBER(D284),ISNUMBER(J284)),ROUND(D284*J284*(1-N(F284)),2),0))</f>
        <v/>
      </c>
      <c r="M284" s="62" t="str">
        <f>IF(A284="","",IFERROR(INDEX(fa_cname,MATCH(A284,fa_num,0))&amp;"",""))</f>
        <v/>
      </c>
      <c r="N284" s="59" t="str">
        <f>IF(COUNTA(A284:G284)=0,"",IF(A284="","N° facture manquant",IF(ISNA(MATCH(A284,fa_num,0)),"Facture inconnue",IF(AND(B284&lt;&gt;"",ISNA(MATCH(B284,pr_code,0))),"Article inconnu",IF(H284="","Désignation manquante",IF(OR(NOT(ISNUMBER(D284)),N(D284)&lt;=0),"Quantité invalide",IF(J284="","Prix manquant",IF(OR(NOT(ISNUMBER(J284)),N(J284)&lt;0),"Prix invalide",IF(OR(AND(F284&lt;&gt;"",NOT(ISNUMBER(F284))),N(F284)&lt;0,N(F284)&gt;1),"Remise invalide",IF(K284="","Taux de TVA manquant",IF(NOT(ISNUMBER(K284)),"Taux de TVA invalide",IF(COUNTIF(p_rates,K284)=0,"Taux de TVA hors liste (Paramètres)",IF(N(O284)&gt;25,"Au-delà de 25 lignes : non imprimée","OK")))))))))))))</f>
        <v/>
      </c>
      <c r="O284" s="59" t="str">
        <f>IF(A284="","",COUNTIF($A$6:A284,A284))</f>
        <v/>
      </c>
      <c r="P284" s="62" t="str">
        <f>IF(A284="","",A284&amp;"|"&amp;O284)</f>
        <v/>
      </c>
    </row>
    <row r="285">
      <c r="A285" s="60" t="n"/>
      <c r="B285" s="63" t="n"/>
      <c r="C285" s="63" t="n"/>
      <c r="D285" s="67" t="n"/>
      <c r="E285" s="68" t="n"/>
      <c r="F285" s="69" t="n"/>
      <c r="G285" s="70" t="n"/>
      <c r="H285" s="62" t="str">
        <f>IF(COUNTA(A285:G285)=0,"",IF(C285&lt;&gt;"",C285,IF(B285="","",IFERROR(INDEX(pr_des,MATCH(B285,pr_code,0))&amp;"",""))))</f>
        <v/>
      </c>
      <c r="I285" s="59" t="str">
        <f>IF(B285="","",IFERROR(INDEX(pr_unit,MATCH(B285,pr_code,0))&amp;"",""))</f>
        <v/>
      </c>
      <c r="J285" s="65" t="str">
        <f>IF(COUNTA(A285:G285)=0,"",IF(E285&lt;&gt;"",E285,IF(B285="","",IFERROR(IF(INDEX(pr_price,MATCH(B285,pr_code,0))="","",INDEX(pr_price,MATCH(B285,pr_code,0))),""))))</f>
        <v/>
      </c>
      <c r="K285" s="71" t="str">
        <f>IF(COUNTA(A285:G285)=0,"",IF(G285&lt;&gt;"",G285,IF(B285="","",IFERROR(IF(INDEX(pr_rate,MATCH(B285,pr_code,0))="","",INDEX(pr_rate,MATCH(B285,pr_code,0))),""))))</f>
        <v/>
      </c>
      <c r="L285" s="65" t="str">
        <f>IF(COUNTA(A285:G285)=0,"",IF(AND(ISNUMBER(D285),ISNUMBER(J285)),ROUND(D285*J285*(1-N(F285)),2),0))</f>
        <v/>
      </c>
      <c r="M285" s="62" t="str">
        <f>IF(A285="","",IFERROR(INDEX(fa_cname,MATCH(A285,fa_num,0))&amp;"",""))</f>
        <v/>
      </c>
      <c r="N285" s="59" t="str">
        <f>IF(COUNTA(A285:G285)=0,"",IF(A285="","N° facture manquant",IF(ISNA(MATCH(A285,fa_num,0)),"Facture inconnue",IF(AND(B285&lt;&gt;"",ISNA(MATCH(B285,pr_code,0))),"Article inconnu",IF(H285="","Désignation manquante",IF(OR(NOT(ISNUMBER(D285)),N(D285)&lt;=0),"Quantité invalide",IF(J285="","Prix manquant",IF(OR(NOT(ISNUMBER(J285)),N(J285)&lt;0),"Prix invalide",IF(OR(AND(F285&lt;&gt;"",NOT(ISNUMBER(F285))),N(F285)&lt;0,N(F285)&gt;1),"Remise invalide",IF(K285="","Taux de TVA manquant",IF(NOT(ISNUMBER(K285)),"Taux de TVA invalide",IF(COUNTIF(p_rates,K285)=0,"Taux de TVA hors liste (Paramètres)",IF(N(O285)&gt;25,"Au-delà de 25 lignes : non imprimée","OK")))))))))))))</f>
        <v/>
      </c>
      <c r="O285" s="59" t="str">
        <f>IF(A285="","",COUNTIF($A$6:A285,A285))</f>
        <v/>
      </c>
      <c r="P285" s="62" t="str">
        <f>IF(A285="","",A285&amp;"|"&amp;O285)</f>
        <v/>
      </c>
    </row>
    <row r="286">
      <c r="A286" s="60" t="n"/>
      <c r="B286" s="63" t="n"/>
      <c r="C286" s="63" t="n"/>
      <c r="D286" s="67" t="n"/>
      <c r="E286" s="68" t="n"/>
      <c r="F286" s="69" t="n"/>
      <c r="G286" s="70" t="n"/>
      <c r="H286" s="62" t="str">
        <f>IF(COUNTA(A286:G286)=0,"",IF(C286&lt;&gt;"",C286,IF(B286="","",IFERROR(INDEX(pr_des,MATCH(B286,pr_code,0))&amp;"",""))))</f>
        <v/>
      </c>
      <c r="I286" s="59" t="str">
        <f>IF(B286="","",IFERROR(INDEX(pr_unit,MATCH(B286,pr_code,0))&amp;"",""))</f>
        <v/>
      </c>
      <c r="J286" s="65" t="str">
        <f>IF(COUNTA(A286:G286)=0,"",IF(E286&lt;&gt;"",E286,IF(B286="","",IFERROR(IF(INDEX(pr_price,MATCH(B286,pr_code,0))="","",INDEX(pr_price,MATCH(B286,pr_code,0))),""))))</f>
        <v/>
      </c>
      <c r="K286" s="71" t="str">
        <f>IF(COUNTA(A286:G286)=0,"",IF(G286&lt;&gt;"",G286,IF(B286="","",IFERROR(IF(INDEX(pr_rate,MATCH(B286,pr_code,0))="","",INDEX(pr_rate,MATCH(B286,pr_code,0))),""))))</f>
        <v/>
      </c>
      <c r="L286" s="65" t="str">
        <f>IF(COUNTA(A286:G286)=0,"",IF(AND(ISNUMBER(D286),ISNUMBER(J286)),ROUND(D286*J286*(1-N(F286)),2),0))</f>
        <v/>
      </c>
      <c r="M286" s="62" t="str">
        <f>IF(A286="","",IFERROR(INDEX(fa_cname,MATCH(A286,fa_num,0))&amp;"",""))</f>
        <v/>
      </c>
      <c r="N286" s="59" t="str">
        <f>IF(COUNTA(A286:G286)=0,"",IF(A286="","N° facture manquant",IF(ISNA(MATCH(A286,fa_num,0)),"Facture inconnue",IF(AND(B286&lt;&gt;"",ISNA(MATCH(B286,pr_code,0))),"Article inconnu",IF(H286="","Désignation manquante",IF(OR(NOT(ISNUMBER(D286)),N(D286)&lt;=0),"Quantité invalide",IF(J286="","Prix manquant",IF(OR(NOT(ISNUMBER(J286)),N(J286)&lt;0),"Prix invalide",IF(OR(AND(F286&lt;&gt;"",NOT(ISNUMBER(F286))),N(F286)&lt;0,N(F286)&gt;1),"Remise invalide",IF(K286="","Taux de TVA manquant",IF(NOT(ISNUMBER(K286)),"Taux de TVA invalide",IF(COUNTIF(p_rates,K286)=0,"Taux de TVA hors liste (Paramètres)",IF(N(O286)&gt;25,"Au-delà de 25 lignes : non imprimée","OK")))))))))))))</f>
        <v/>
      </c>
      <c r="O286" s="59" t="str">
        <f>IF(A286="","",COUNTIF($A$6:A286,A286))</f>
        <v/>
      </c>
      <c r="P286" s="62" t="str">
        <f>IF(A286="","",A286&amp;"|"&amp;O286)</f>
        <v/>
      </c>
    </row>
    <row r="287">
      <c r="A287" s="60" t="n"/>
      <c r="B287" s="63" t="n"/>
      <c r="C287" s="63" t="n"/>
      <c r="D287" s="67" t="n"/>
      <c r="E287" s="68" t="n"/>
      <c r="F287" s="69" t="n"/>
      <c r="G287" s="70" t="n"/>
      <c r="H287" s="62" t="str">
        <f>IF(COUNTA(A287:G287)=0,"",IF(C287&lt;&gt;"",C287,IF(B287="","",IFERROR(INDEX(pr_des,MATCH(B287,pr_code,0))&amp;"",""))))</f>
        <v/>
      </c>
      <c r="I287" s="59" t="str">
        <f>IF(B287="","",IFERROR(INDEX(pr_unit,MATCH(B287,pr_code,0))&amp;"",""))</f>
        <v/>
      </c>
      <c r="J287" s="65" t="str">
        <f>IF(COUNTA(A287:G287)=0,"",IF(E287&lt;&gt;"",E287,IF(B287="","",IFERROR(IF(INDEX(pr_price,MATCH(B287,pr_code,0))="","",INDEX(pr_price,MATCH(B287,pr_code,0))),""))))</f>
        <v/>
      </c>
      <c r="K287" s="71" t="str">
        <f>IF(COUNTA(A287:G287)=0,"",IF(G287&lt;&gt;"",G287,IF(B287="","",IFERROR(IF(INDEX(pr_rate,MATCH(B287,pr_code,0))="","",INDEX(pr_rate,MATCH(B287,pr_code,0))),""))))</f>
        <v/>
      </c>
      <c r="L287" s="65" t="str">
        <f>IF(COUNTA(A287:G287)=0,"",IF(AND(ISNUMBER(D287),ISNUMBER(J287)),ROUND(D287*J287*(1-N(F287)),2),0))</f>
        <v/>
      </c>
      <c r="M287" s="62" t="str">
        <f>IF(A287="","",IFERROR(INDEX(fa_cname,MATCH(A287,fa_num,0))&amp;"",""))</f>
        <v/>
      </c>
      <c r="N287" s="59" t="str">
        <f>IF(COUNTA(A287:G287)=0,"",IF(A287="","N° facture manquant",IF(ISNA(MATCH(A287,fa_num,0)),"Facture inconnue",IF(AND(B287&lt;&gt;"",ISNA(MATCH(B287,pr_code,0))),"Article inconnu",IF(H287="","Désignation manquante",IF(OR(NOT(ISNUMBER(D287)),N(D287)&lt;=0),"Quantité invalide",IF(J287="","Prix manquant",IF(OR(NOT(ISNUMBER(J287)),N(J287)&lt;0),"Prix invalide",IF(OR(AND(F287&lt;&gt;"",NOT(ISNUMBER(F287))),N(F287)&lt;0,N(F287)&gt;1),"Remise invalide",IF(K287="","Taux de TVA manquant",IF(NOT(ISNUMBER(K287)),"Taux de TVA invalide",IF(COUNTIF(p_rates,K287)=0,"Taux de TVA hors liste (Paramètres)",IF(N(O287)&gt;25,"Au-delà de 25 lignes : non imprimée","OK")))))))))))))</f>
        <v/>
      </c>
      <c r="O287" s="59" t="str">
        <f>IF(A287="","",COUNTIF($A$6:A287,A287))</f>
        <v/>
      </c>
      <c r="P287" s="62" t="str">
        <f>IF(A287="","",A287&amp;"|"&amp;O287)</f>
        <v/>
      </c>
    </row>
    <row r="288">
      <c r="A288" s="60" t="n"/>
      <c r="B288" s="63" t="n"/>
      <c r="C288" s="63" t="n"/>
      <c r="D288" s="67" t="n"/>
      <c r="E288" s="68" t="n"/>
      <c r="F288" s="69" t="n"/>
      <c r="G288" s="70" t="n"/>
      <c r="H288" s="62" t="str">
        <f>IF(COUNTA(A288:G288)=0,"",IF(C288&lt;&gt;"",C288,IF(B288="","",IFERROR(INDEX(pr_des,MATCH(B288,pr_code,0))&amp;"",""))))</f>
        <v/>
      </c>
      <c r="I288" s="59" t="str">
        <f>IF(B288="","",IFERROR(INDEX(pr_unit,MATCH(B288,pr_code,0))&amp;"",""))</f>
        <v/>
      </c>
      <c r="J288" s="65" t="str">
        <f>IF(COUNTA(A288:G288)=0,"",IF(E288&lt;&gt;"",E288,IF(B288="","",IFERROR(IF(INDEX(pr_price,MATCH(B288,pr_code,0))="","",INDEX(pr_price,MATCH(B288,pr_code,0))),""))))</f>
        <v/>
      </c>
      <c r="K288" s="71" t="str">
        <f>IF(COUNTA(A288:G288)=0,"",IF(G288&lt;&gt;"",G288,IF(B288="","",IFERROR(IF(INDEX(pr_rate,MATCH(B288,pr_code,0))="","",INDEX(pr_rate,MATCH(B288,pr_code,0))),""))))</f>
        <v/>
      </c>
      <c r="L288" s="65" t="str">
        <f>IF(COUNTA(A288:G288)=0,"",IF(AND(ISNUMBER(D288),ISNUMBER(J288)),ROUND(D288*J288*(1-N(F288)),2),0))</f>
        <v/>
      </c>
      <c r="M288" s="62" t="str">
        <f>IF(A288="","",IFERROR(INDEX(fa_cname,MATCH(A288,fa_num,0))&amp;"",""))</f>
        <v/>
      </c>
      <c r="N288" s="59" t="str">
        <f>IF(COUNTA(A288:G288)=0,"",IF(A288="","N° facture manquant",IF(ISNA(MATCH(A288,fa_num,0)),"Facture inconnue",IF(AND(B288&lt;&gt;"",ISNA(MATCH(B288,pr_code,0))),"Article inconnu",IF(H288="","Désignation manquante",IF(OR(NOT(ISNUMBER(D288)),N(D288)&lt;=0),"Quantité invalide",IF(J288="","Prix manquant",IF(OR(NOT(ISNUMBER(J288)),N(J288)&lt;0),"Prix invalide",IF(OR(AND(F288&lt;&gt;"",NOT(ISNUMBER(F288))),N(F288)&lt;0,N(F288)&gt;1),"Remise invalide",IF(K288="","Taux de TVA manquant",IF(NOT(ISNUMBER(K288)),"Taux de TVA invalide",IF(COUNTIF(p_rates,K288)=0,"Taux de TVA hors liste (Paramètres)",IF(N(O288)&gt;25,"Au-delà de 25 lignes : non imprimée","OK")))))))))))))</f>
        <v/>
      </c>
      <c r="O288" s="59" t="str">
        <f>IF(A288="","",COUNTIF($A$6:A288,A288))</f>
        <v/>
      </c>
      <c r="P288" s="62" t="str">
        <f>IF(A288="","",A288&amp;"|"&amp;O288)</f>
        <v/>
      </c>
    </row>
    <row r="289">
      <c r="A289" s="60" t="n"/>
      <c r="B289" s="63" t="n"/>
      <c r="C289" s="63" t="n"/>
      <c r="D289" s="67" t="n"/>
      <c r="E289" s="68" t="n"/>
      <c r="F289" s="69" t="n"/>
      <c r="G289" s="70" t="n"/>
      <c r="H289" s="62" t="str">
        <f>IF(COUNTA(A289:G289)=0,"",IF(C289&lt;&gt;"",C289,IF(B289="","",IFERROR(INDEX(pr_des,MATCH(B289,pr_code,0))&amp;"",""))))</f>
        <v/>
      </c>
      <c r="I289" s="59" t="str">
        <f>IF(B289="","",IFERROR(INDEX(pr_unit,MATCH(B289,pr_code,0))&amp;"",""))</f>
        <v/>
      </c>
      <c r="J289" s="65" t="str">
        <f>IF(COUNTA(A289:G289)=0,"",IF(E289&lt;&gt;"",E289,IF(B289="","",IFERROR(IF(INDEX(pr_price,MATCH(B289,pr_code,0))="","",INDEX(pr_price,MATCH(B289,pr_code,0))),""))))</f>
        <v/>
      </c>
      <c r="K289" s="71" t="str">
        <f>IF(COUNTA(A289:G289)=0,"",IF(G289&lt;&gt;"",G289,IF(B289="","",IFERROR(IF(INDEX(pr_rate,MATCH(B289,pr_code,0))="","",INDEX(pr_rate,MATCH(B289,pr_code,0))),""))))</f>
        <v/>
      </c>
      <c r="L289" s="65" t="str">
        <f>IF(COUNTA(A289:G289)=0,"",IF(AND(ISNUMBER(D289),ISNUMBER(J289)),ROUND(D289*J289*(1-N(F289)),2),0))</f>
        <v/>
      </c>
      <c r="M289" s="62" t="str">
        <f>IF(A289="","",IFERROR(INDEX(fa_cname,MATCH(A289,fa_num,0))&amp;"",""))</f>
        <v/>
      </c>
      <c r="N289" s="59" t="str">
        <f>IF(COUNTA(A289:G289)=0,"",IF(A289="","N° facture manquant",IF(ISNA(MATCH(A289,fa_num,0)),"Facture inconnue",IF(AND(B289&lt;&gt;"",ISNA(MATCH(B289,pr_code,0))),"Article inconnu",IF(H289="","Désignation manquante",IF(OR(NOT(ISNUMBER(D289)),N(D289)&lt;=0),"Quantité invalide",IF(J289="","Prix manquant",IF(OR(NOT(ISNUMBER(J289)),N(J289)&lt;0),"Prix invalide",IF(OR(AND(F289&lt;&gt;"",NOT(ISNUMBER(F289))),N(F289)&lt;0,N(F289)&gt;1),"Remise invalide",IF(K289="","Taux de TVA manquant",IF(NOT(ISNUMBER(K289)),"Taux de TVA invalide",IF(COUNTIF(p_rates,K289)=0,"Taux de TVA hors liste (Paramètres)",IF(N(O289)&gt;25,"Au-delà de 25 lignes : non imprimée","OK")))))))))))))</f>
        <v/>
      </c>
      <c r="O289" s="59" t="str">
        <f>IF(A289="","",COUNTIF($A$6:A289,A289))</f>
        <v/>
      </c>
      <c r="P289" s="62" t="str">
        <f>IF(A289="","",A289&amp;"|"&amp;O289)</f>
        <v/>
      </c>
    </row>
    <row r="290">
      <c r="A290" s="60" t="n"/>
      <c r="B290" s="63" t="n"/>
      <c r="C290" s="63" t="n"/>
      <c r="D290" s="67" t="n"/>
      <c r="E290" s="68" t="n"/>
      <c r="F290" s="69" t="n"/>
      <c r="G290" s="70" t="n"/>
      <c r="H290" s="62" t="str">
        <f>IF(COUNTA(A290:G290)=0,"",IF(C290&lt;&gt;"",C290,IF(B290="","",IFERROR(INDEX(pr_des,MATCH(B290,pr_code,0))&amp;"",""))))</f>
        <v/>
      </c>
      <c r="I290" s="59" t="str">
        <f>IF(B290="","",IFERROR(INDEX(pr_unit,MATCH(B290,pr_code,0))&amp;"",""))</f>
        <v/>
      </c>
      <c r="J290" s="65" t="str">
        <f>IF(COUNTA(A290:G290)=0,"",IF(E290&lt;&gt;"",E290,IF(B290="","",IFERROR(IF(INDEX(pr_price,MATCH(B290,pr_code,0))="","",INDEX(pr_price,MATCH(B290,pr_code,0))),""))))</f>
        <v/>
      </c>
      <c r="K290" s="71" t="str">
        <f>IF(COUNTA(A290:G290)=0,"",IF(G290&lt;&gt;"",G290,IF(B290="","",IFERROR(IF(INDEX(pr_rate,MATCH(B290,pr_code,0))="","",INDEX(pr_rate,MATCH(B290,pr_code,0))),""))))</f>
        <v/>
      </c>
      <c r="L290" s="65" t="str">
        <f>IF(COUNTA(A290:G290)=0,"",IF(AND(ISNUMBER(D290),ISNUMBER(J290)),ROUND(D290*J290*(1-N(F290)),2),0))</f>
        <v/>
      </c>
      <c r="M290" s="62" t="str">
        <f>IF(A290="","",IFERROR(INDEX(fa_cname,MATCH(A290,fa_num,0))&amp;"",""))</f>
        <v/>
      </c>
      <c r="N290" s="59" t="str">
        <f>IF(COUNTA(A290:G290)=0,"",IF(A290="","N° facture manquant",IF(ISNA(MATCH(A290,fa_num,0)),"Facture inconnue",IF(AND(B290&lt;&gt;"",ISNA(MATCH(B290,pr_code,0))),"Article inconnu",IF(H290="","Désignation manquante",IF(OR(NOT(ISNUMBER(D290)),N(D290)&lt;=0),"Quantité invalide",IF(J290="","Prix manquant",IF(OR(NOT(ISNUMBER(J290)),N(J290)&lt;0),"Prix invalide",IF(OR(AND(F290&lt;&gt;"",NOT(ISNUMBER(F290))),N(F290)&lt;0,N(F290)&gt;1),"Remise invalide",IF(K290="","Taux de TVA manquant",IF(NOT(ISNUMBER(K290)),"Taux de TVA invalide",IF(COUNTIF(p_rates,K290)=0,"Taux de TVA hors liste (Paramètres)",IF(N(O290)&gt;25,"Au-delà de 25 lignes : non imprimée","OK")))))))))))))</f>
        <v/>
      </c>
      <c r="O290" s="59" t="str">
        <f>IF(A290="","",COUNTIF($A$6:A290,A290))</f>
        <v/>
      </c>
      <c r="P290" s="62" t="str">
        <f>IF(A290="","",A290&amp;"|"&amp;O290)</f>
        <v/>
      </c>
    </row>
    <row r="291">
      <c r="A291" s="60" t="n"/>
      <c r="B291" s="63" t="n"/>
      <c r="C291" s="63" t="n"/>
      <c r="D291" s="67" t="n"/>
      <c r="E291" s="68" t="n"/>
      <c r="F291" s="69" t="n"/>
      <c r="G291" s="70" t="n"/>
      <c r="H291" s="62" t="str">
        <f>IF(COUNTA(A291:G291)=0,"",IF(C291&lt;&gt;"",C291,IF(B291="","",IFERROR(INDEX(pr_des,MATCH(B291,pr_code,0))&amp;"",""))))</f>
        <v/>
      </c>
      <c r="I291" s="59" t="str">
        <f>IF(B291="","",IFERROR(INDEX(pr_unit,MATCH(B291,pr_code,0))&amp;"",""))</f>
        <v/>
      </c>
      <c r="J291" s="65" t="str">
        <f>IF(COUNTA(A291:G291)=0,"",IF(E291&lt;&gt;"",E291,IF(B291="","",IFERROR(IF(INDEX(pr_price,MATCH(B291,pr_code,0))="","",INDEX(pr_price,MATCH(B291,pr_code,0))),""))))</f>
        <v/>
      </c>
      <c r="K291" s="71" t="str">
        <f>IF(COUNTA(A291:G291)=0,"",IF(G291&lt;&gt;"",G291,IF(B291="","",IFERROR(IF(INDEX(pr_rate,MATCH(B291,pr_code,0))="","",INDEX(pr_rate,MATCH(B291,pr_code,0))),""))))</f>
        <v/>
      </c>
      <c r="L291" s="65" t="str">
        <f>IF(COUNTA(A291:G291)=0,"",IF(AND(ISNUMBER(D291),ISNUMBER(J291)),ROUND(D291*J291*(1-N(F291)),2),0))</f>
        <v/>
      </c>
      <c r="M291" s="62" t="str">
        <f>IF(A291="","",IFERROR(INDEX(fa_cname,MATCH(A291,fa_num,0))&amp;"",""))</f>
        <v/>
      </c>
      <c r="N291" s="59" t="str">
        <f>IF(COUNTA(A291:G291)=0,"",IF(A291="","N° facture manquant",IF(ISNA(MATCH(A291,fa_num,0)),"Facture inconnue",IF(AND(B291&lt;&gt;"",ISNA(MATCH(B291,pr_code,0))),"Article inconnu",IF(H291="","Désignation manquante",IF(OR(NOT(ISNUMBER(D291)),N(D291)&lt;=0),"Quantité invalide",IF(J291="","Prix manquant",IF(OR(NOT(ISNUMBER(J291)),N(J291)&lt;0),"Prix invalide",IF(OR(AND(F291&lt;&gt;"",NOT(ISNUMBER(F291))),N(F291)&lt;0,N(F291)&gt;1),"Remise invalide",IF(K291="","Taux de TVA manquant",IF(NOT(ISNUMBER(K291)),"Taux de TVA invalide",IF(COUNTIF(p_rates,K291)=0,"Taux de TVA hors liste (Paramètres)",IF(N(O291)&gt;25,"Au-delà de 25 lignes : non imprimée","OK")))))))))))))</f>
        <v/>
      </c>
      <c r="O291" s="59" t="str">
        <f>IF(A291="","",COUNTIF($A$6:A291,A291))</f>
        <v/>
      </c>
      <c r="P291" s="62" t="str">
        <f>IF(A291="","",A291&amp;"|"&amp;O291)</f>
        <v/>
      </c>
    </row>
    <row r="292">
      <c r="A292" s="60" t="n"/>
      <c r="B292" s="63" t="n"/>
      <c r="C292" s="63" t="n"/>
      <c r="D292" s="67" t="n"/>
      <c r="E292" s="68" t="n"/>
      <c r="F292" s="69" t="n"/>
      <c r="G292" s="70" t="n"/>
      <c r="H292" s="62" t="str">
        <f>IF(COUNTA(A292:G292)=0,"",IF(C292&lt;&gt;"",C292,IF(B292="","",IFERROR(INDEX(pr_des,MATCH(B292,pr_code,0))&amp;"",""))))</f>
        <v/>
      </c>
      <c r="I292" s="59" t="str">
        <f>IF(B292="","",IFERROR(INDEX(pr_unit,MATCH(B292,pr_code,0))&amp;"",""))</f>
        <v/>
      </c>
      <c r="J292" s="65" t="str">
        <f>IF(COUNTA(A292:G292)=0,"",IF(E292&lt;&gt;"",E292,IF(B292="","",IFERROR(IF(INDEX(pr_price,MATCH(B292,pr_code,0))="","",INDEX(pr_price,MATCH(B292,pr_code,0))),""))))</f>
        <v/>
      </c>
      <c r="K292" s="71" t="str">
        <f>IF(COUNTA(A292:G292)=0,"",IF(G292&lt;&gt;"",G292,IF(B292="","",IFERROR(IF(INDEX(pr_rate,MATCH(B292,pr_code,0))="","",INDEX(pr_rate,MATCH(B292,pr_code,0))),""))))</f>
        <v/>
      </c>
      <c r="L292" s="65" t="str">
        <f>IF(COUNTA(A292:G292)=0,"",IF(AND(ISNUMBER(D292),ISNUMBER(J292)),ROUND(D292*J292*(1-N(F292)),2),0))</f>
        <v/>
      </c>
      <c r="M292" s="62" t="str">
        <f>IF(A292="","",IFERROR(INDEX(fa_cname,MATCH(A292,fa_num,0))&amp;"",""))</f>
        <v/>
      </c>
      <c r="N292" s="59" t="str">
        <f>IF(COUNTA(A292:G292)=0,"",IF(A292="","N° facture manquant",IF(ISNA(MATCH(A292,fa_num,0)),"Facture inconnue",IF(AND(B292&lt;&gt;"",ISNA(MATCH(B292,pr_code,0))),"Article inconnu",IF(H292="","Désignation manquante",IF(OR(NOT(ISNUMBER(D292)),N(D292)&lt;=0),"Quantité invalide",IF(J292="","Prix manquant",IF(OR(NOT(ISNUMBER(J292)),N(J292)&lt;0),"Prix invalide",IF(OR(AND(F292&lt;&gt;"",NOT(ISNUMBER(F292))),N(F292)&lt;0,N(F292)&gt;1),"Remise invalide",IF(K292="","Taux de TVA manquant",IF(NOT(ISNUMBER(K292)),"Taux de TVA invalide",IF(COUNTIF(p_rates,K292)=0,"Taux de TVA hors liste (Paramètres)",IF(N(O292)&gt;25,"Au-delà de 25 lignes : non imprimée","OK")))))))))))))</f>
        <v/>
      </c>
      <c r="O292" s="59" t="str">
        <f>IF(A292="","",COUNTIF($A$6:A292,A292))</f>
        <v/>
      </c>
      <c r="P292" s="62" t="str">
        <f>IF(A292="","",A292&amp;"|"&amp;O292)</f>
        <v/>
      </c>
    </row>
    <row r="293">
      <c r="A293" s="60" t="n"/>
      <c r="B293" s="63" t="n"/>
      <c r="C293" s="63" t="n"/>
      <c r="D293" s="67" t="n"/>
      <c r="E293" s="68" t="n"/>
      <c r="F293" s="69" t="n"/>
      <c r="G293" s="70" t="n"/>
      <c r="H293" s="62" t="str">
        <f>IF(COUNTA(A293:G293)=0,"",IF(C293&lt;&gt;"",C293,IF(B293="","",IFERROR(INDEX(pr_des,MATCH(B293,pr_code,0))&amp;"",""))))</f>
        <v/>
      </c>
      <c r="I293" s="59" t="str">
        <f>IF(B293="","",IFERROR(INDEX(pr_unit,MATCH(B293,pr_code,0))&amp;"",""))</f>
        <v/>
      </c>
      <c r="J293" s="65" t="str">
        <f>IF(COUNTA(A293:G293)=0,"",IF(E293&lt;&gt;"",E293,IF(B293="","",IFERROR(IF(INDEX(pr_price,MATCH(B293,pr_code,0))="","",INDEX(pr_price,MATCH(B293,pr_code,0))),""))))</f>
        <v/>
      </c>
      <c r="K293" s="71" t="str">
        <f>IF(COUNTA(A293:G293)=0,"",IF(G293&lt;&gt;"",G293,IF(B293="","",IFERROR(IF(INDEX(pr_rate,MATCH(B293,pr_code,0))="","",INDEX(pr_rate,MATCH(B293,pr_code,0))),""))))</f>
        <v/>
      </c>
      <c r="L293" s="65" t="str">
        <f>IF(COUNTA(A293:G293)=0,"",IF(AND(ISNUMBER(D293),ISNUMBER(J293)),ROUND(D293*J293*(1-N(F293)),2),0))</f>
        <v/>
      </c>
      <c r="M293" s="62" t="str">
        <f>IF(A293="","",IFERROR(INDEX(fa_cname,MATCH(A293,fa_num,0))&amp;"",""))</f>
        <v/>
      </c>
      <c r="N293" s="59" t="str">
        <f>IF(COUNTA(A293:G293)=0,"",IF(A293="","N° facture manquant",IF(ISNA(MATCH(A293,fa_num,0)),"Facture inconnue",IF(AND(B293&lt;&gt;"",ISNA(MATCH(B293,pr_code,0))),"Article inconnu",IF(H293="","Désignation manquante",IF(OR(NOT(ISNUMBER(D293)),N(D293)&lt;=0),"Quantité invalide",IF(J293="","Prix manquant",IF(OR(NOT(ISNUMBER(J293)),N(J293)&lt;0),"Prix invalide",IF(OR(AND(F293&lt;&gt;"",NOT(ISNUMBER(F293))),N(F293)&lt;0,N(F293)&gt;1),"Remise invalide",IF(K293="","Taux de TVA manquant",IF(NOT(ISNUMBER(K293)),"Taux de TVA invalide",IF(COUNTIF(p_rates,K293)=0,"Taux de TVA hors liste (Paramètres)",IF(N(O293)&gt;25,"Au-delà de 25 lignes : non imprimée","OK")))))))))))))</f>
        <v/>
      </c>
      <c r="O293" s="59" t="str">
        <f>IF(A293="","",COUNTIF($A$6:A293,A293))</f>
        <v/>
      </c>
      <c r="P293" s="62" t="str">
        <f>IF(A293="","",A293&amp;"|"&amp;O293)</f>
        <v/>
      </c>
    </row>
    <row r="294">
      <c r="A294" s="60" t="n"/>
      <c r="B294" s="63" t="n"/>
      <c r="C294" s="63" t="n"/>
      <c r="D294" s="67" t="n"/>
      <c r="E294" s="68" t="n"/>
      <c r="F294" s="69" t="n"/>
      <c r="G294" s="70" t="n"/>
      <c r="H294" s="62" t="str">
        <f>IF(COUNTA(A294:G294)=0,"",IF(C294&lt;&gt;"",C294,IF(B294="","",IFERROR(INDEX(pr_des,MATCH(B294,pr_code,0))&amp;"",""))))</f>
        <v/>
      </c>
      <c r="I294" s="59" t="str">
        <f>IF(B294="","",IFERROR(INDEX(pr_unit,MATCH(B294,pr_code,0))&amp;"",""))</f>
        <v/>
      </c>
      <c r="J294" s="65" t="str">
        <f>IF(COUNTA(A294:G294)=0,"",IF(E294&lt;&gt;"",E294,IF(B294="","",IFERROR(IF(INDEX(pr_price,MATCH(B294,pr_code,0))="","",INDEX(pr_price,MATCH(B294,pr_code,0))),""))))</f>
        <v/>
      </c>
      <c r="K294" s="71" t="str">
        <f>IF(COUNTA(A294:G294)=0,"",IF(G294&lt;&gt;"",G294,IF(B294="","",IFERROR(IF(INDEX(pr_rate,MATCH(B294,pr_code,0))="","",INDEX(pr_rate,MATCH(B294,pr_code,0))),""))))</f>
        <v/>
      </c>
      <c r="L294" s="65" t="str">
        <f>IF(COUNTA(A294:G294)=0,"",IF(AND(ISNUMBER(D294),ISNUMBER(J294)),ROUND(D294*J294*(1-N(F294)),2),0))</f>
        <v/>
      </c>
      <c r="M294" s="62" t="str">
        <f>IF(A294="","",IFERROR(INDEX(fa_cname,MATCH(A294,fa_num,0))&amp;"",""))</f>
        <v/>
      </c>
      <c r="N294" s="59" t="str">
        <f>IF(COUNTA(A294:G294)=0,"",IF(A294="","N° facture manquant",IF(ISNA(MATCH(A294,fa_num,0)),"Facture inconnue",IF(AND(B294&lt;&gt;"",ISNA(MATCH(B294,pr_code,0))),"Article inconnu",IF(H294="","Désignation manquante",IF(OR(NOT(ISNUMBER(D294)),N(D294)&lt;=0),"Quantité invalide",IF(J294="","Prix manquant",IF(OR(NOT(ISNUMBER(J294)),N(J294)&lt;0),"Prix invalide",IF(OR(AND(F294&lt;&gt;"",NOT(ISNUMBER(F294))),N(F294)&lt;0,N(F294)&gt;1),"Remise invalide",IF(K294="","Taux de TVA manquant",IF(NOT(ISNUMBER(K294)),"Taux de TVA invalide",IF(COUNTIF(p_rates,K294)=0,"Taux de TVA hors liste (Paramètres)",IF(N(O294)&gt;25,"Au-delà de 25 lignes : non imprimée","OK")))))))))))))</f>
        <v/>
      </c>
      <c r="O294" s="59" t="str">
        <f>IF(A294="","",COUNTIF($A$6:A294,A294))</f>
        <v/>
      </c>
      <c r="P294" s="62" t="str">
        <f>IF(A294="","",A294&amp;"|"&amp;O294)</f>
        <v/>
      </c>
    </row>
    <row r="295">
      <c r="A295" s="60" t="n"/>
      <c r="B295" s="63" t="n"/>
      <c r="C295" s="63" t="n"/>
      <c r="D295" s="67" t="n"/>
      <c r="E295" s="68" t="n"/>
      <c r="F295" s="69" t="n"/>
      <c r="G295" s="70" t="n"/>
      <c r="H295" s="62" t="str">
        <f>IF(COUNTA(A295:G295)=0,"",IF(C295&lt;&gt;"",C295,IF(B295="","",IFERROR(INDEX(pr_des,MATCH(B295,pr_code,0))&amp;"",""))))</f>
        <v/>
      </c>
      <c r="I295" s="59" t="str">
        <f>IF(B295="","",IFERROR(INDEX(pr_unit,MATCH(B295,pr_code,0))&amp;"",""))</f>
        <v/>
      </c>
      <c r="J295" s="65" t="str">
        <f>IF(COUNTA(A295:G295)=0,"",IF(E295&lt;&gt;"",E295,IF(B295="","",IFERROR(IF(INDEX(pr_price,MATCH(B295,pr_code,0))="","",INDEX(pr_price,MATCH(B295,pr_code,0))),""))))</f>
        <v/>
      </c>
      <c r="K295" s="71" t="str">
        <f>IF(COUNTA(A295:G295)=0,"",IF(G295&lt;&gt;"",G295,IF(B295="","",IFERROR(IF(INDEX(pr_rate,MATCH(B295,pr_code,0))="","",INDEX(pr_rate,MATCH(B295,pr_code,0))),""))))</f>
        <v/>
      </c>
      <c r="L295" s="65" t="str">
        <f>IF(COUNTA(A295:G295)=0,"",IF(AND(ISNUMBER(D295),ISNUMBER(J295)),ROUND(D295*J295*(1-N(F295)),2),0))</f>
        <v/>
      </c>
      <c r="M295" s="62" t="str">
        <f>IF(A295="","",IFERROR(INDEX(fa_cname,MATCH(A295,fa_num,0))&amp;"",""))</f>
        <v/>
      </c>
      <c r="N295" s="59" t="str">
        <f>IF(COUNTA(A295:G295)=0,"",IF(A295="","N° facture manquant",IF(ISNA(MATCH(A295,fa_num,0)),"Facture inconnue",IF(AND(B295&lt;&gt;"",ISNA(MATCH(B295,pr_code,0))),"Article inconnu",IF(H295="","Désignation manquante",IF(OR(NOT(ISNUMBER(D295)),N(D295)&lt;=0),"Quantité invalide",IF(J295="","Prix manquant",IF(OR(NOT(ISNUMBER(J295)),N(J295)&lt;0),"Prix invalide",IF(OR(AND(F295&lt;&gt;"",NOT(ISNUMBER(F295))),N(F295)&lt;0,N(F295)&gt;1),"Remise invalide",IF(K295="","Taux de TVA manquant",IF(NOT(ISNUMBER(K295)),"Taux de TVA invalide",IF(COUNTIF(p_rates,K295)=0,"Taux de TVA hors liste (Paramètres)",IF(N(O295)&gt;25,"Au-delà de 25 lignes : non imprimée","OK")))))))))))))</f>
        <v/>
      </c>
      <c r="O295" s="59" t="str">
        <f>IF(A295="","",COUNTIF($A$6:A295,A295))</f>
        <v/>
      </c>
      <c r="P295" s="62" t="str">
        <f>IF(A295="","",A295&amp;"|"&amp;O295)</f>
        <v/>
      </c>
    </row>
    <row r="296">
      <c r="A296" s="60" t="n"/>
      <c r="B296" s="63" t="n"/>
      <c r="C296" s="63" t="n"/>
      <c r="D296" s="67" t="n"/>
      <c r="E296" s="68" t="n"/>
      <c r="F296" s="69" t="n"/>
      <c r="G296" s="70" t="n"/>
      <c r="H296" s="62" t="str">
        <f>IF(COUNTA(A296:G296)=0,"",IF(C296&lt;&gt;"",C296,IF(B296="","",IFERROR(INDEX(pr_des,MATCH(B296,pr_code,0))&amp;"",""))))</f>
        <v/>
      </c>
      <c r="I296" s="59" t="str">
        <f>IF(B296="","",IFERROR(INDEX(pr_unit,MATCH(B296,pr_code,0))&amp;"",""))</f>
        <v/>
      </c>
      <c r="J296" s="65" t="str">
        <f>IF(COUNTA(A296:G296)=0,"",IF(E296&lt;&gt;"",E296,IF(B296="","",IFERROR(IF(INDEX(pr_price,MATCH(B296,pr_code,0))="","",INDEX(pr_price,MATCH(B296,pr_code,0))),""))))</f>
        <v/>
      </c>
      <c r="K296" s="71" t="str">
        <f>IF(COUNTA(A296:G296)=0,"",IF(G296&lt;&gt;"",G296,IF(B296="","",IFERROR(IF(INDEX(pr_rate,MATCH(B296,pr_code,0))="","",INDEX(pr_rate,MATCH(B296,pr_code,0))),""))))</f>
        <v/>
      </c>
      <c r="L296" s="65" t="str">
        <f>IF(COUNTA(A296:G296)=0,"",IF(AND(ISNUMBER(D296),ISNUMBER(J296)),ROUND(D296*J296*(1-N(F296)),2),0))</f>
        <v/>
      </c>
      <c r="M296" s="62" t="str">
        <f>IF(A296="","",IFERROR(INDEX(fa_cname,MATCH(A296,fa_num,0))&amp;"",""))</f>
        <v/>
      </c>
      <c r="N296" s="59" t="str">
        <f>IF(COUNTA(A296:G296)=0,"",IF(A296="","N° facture manquant",IF(ISNA(MATCH(A296,fa_num,0)),"Facture inconnue",IF(AND(B296&lt;&gt;"",ISNA(MATCH(B296,pr_code,0))),"Article inconnu",IF(H296="","Désignation manquante",IF(OR(NOT(ISNUMBER(D296)),N(D296)&lt;=0),"Quantité invalide",IF(J296="","Prix manquant",IF(OR(NOT(ISNUMBER(J296)),N(J296)&lt;0),"Prix invalide",IF(OR(AND(F296&lt;&gt;"",NOT(ISNUMBER(F296))),N(F296)&lt;0,N(F296)&gt;1),"Remise invalide",IF(K296="","Taux de TVA manquant",IF(NOT(ISNUMBER(K296)),"Taux de TVA invalide",IF(COUNTIF(p_rates,K296)=0,"Taux de TVA hors liste (Paramètres)",IF(N(O296)&gt;25,"Au-delà de 25 lignes : non imprimée","OK")))))))))))))</f>
        <v/>
      </c>
      <c r="O296" s="59" t="str">
        <f>IF(A296="","",COUNTIF($A$6:A296,A296))</f>
        <v/>
      </c>
      <c r="P296" s="62" t="str">
        <f>IF(A296="","",A296&amp;"|"&amp;O296)</f>
        <v/>
      </c>
    </row>
    <row r="297">
      <c r="A297" s="60" t="n"/>
      <c r="B297" s="63" t="n"/>
      <c r="C297" s="63" t="n"/>
      <c r="D297" s="67" t="n"/>
      <c r="E297" s="68" t="n"/>
      <c r="F297" s="69" t="n"/>
      <c r="G297" s="70" t="n"/>
      <c r="H297" s="62" t="str">
        <f>IF(COUNTA(A297:G297)=0,"",IF(C297&lt;&gt;"",C297,IF(B297="","",IFERROR(INDEX(pr_des,MATCH(B297,pr_code,0))&amp;"",""))))</f>
        <v/>
      </c>
      <c r="I297" s="59" t="str">
        <f>IF(B297="","",IFERROR(INDEX(pr_unit,MATCH(B297,pr_code,0))&amp;"",""))</f>
        <v/>
      </c>
      <c r="J297" s="65" t="str">
        <f>IF(COUNTA(A297:G297)=0,"",IF(E297&lt;&gt;"",E297,IF(B297="","",IFERROR(IF(INDEX(pr_price,MATCH(B297,pr_code,0))="","",INDEX(pr_price,MATCH(B297,pr_code,0))),""))))</f>
        <v/>
      </c>
      <c r="K297" s="71" t="str">
        <f>IF(COUNTA(A297:G297)=0,"",IF(G297&lt;&gt;"",G297,IF(B297="","",IFERROR(IF(INDEX(pr_rate,MATCH(B297,pr_code,0))="","",INDEX(pr_rate,MATCH(B297,pr_code,0))),""))))</f>
        <v/>
      </c>
      <c r="L297" s="65" t="str">
        <f>IF(COUNTA(A297:G297)=0,"",IF(AND(ISNUMBER(D297),ISNUMBER(J297)),ROUND(D297*J297*(1-N(F297)),2),0))</f>
        <v/>
      </c>
      <c r="M297" s="62" t="str">
        <f>IF(A297="","",IFERROR(INDEX(fa_cname,MATCH(A297,fa_num,0))&amp;"",""))</f>
        <v/>
      </c>
      <c r="N297" s="59" t="str">
        <f>IF(COUNTA(A297:G297)=0,"",IF(A297="","N° facture manquant",IF(ISNA(MATCH(A297,fa_num,0)),"Facture inconnue",IF(AND(B297&lt;&gt;"",ISNA(MATCH(B297,pr_code,0))),"Article inconnu",IF(H297="","Désignation manquante",IF(OR(NOT(ISNUMBER(D297)),N(D297)&lt;=0),"Quantité invalide",IF(J297="","Prix manquant",IF(OR(NOT(ISNUMBER(J297)),N(J297)&lt;0),"Prix invalide",IF(OR(AND(F297&lt;&gt;"",NOT(ISNUMBER(F297))),N(F297)&lt;0,N(F297)&gt;1),"Remise invalide",IF(K297="","Taux de TVA manquant",IF(NOT(ISNUMBER(K297)),"Taux de TVA invalide",IF(COUNTIF(p_rates,K297)=0,"Taux de TVA hors liste (Paramètres)",IF(N(O297)&gt;25,"Au-delà de 25 lignes : non imprimée","OK")))))))))))))</f>
        <v/>
      </c>
      <c r="O297" s="59" t="str">
        <f>IF(A297="","",COUNTIF($A$6:A297,A297))</f>
        <v/>
      </c>
      <c r="P297" s="62" t="str">
        <f>IF(A297="","",A297&amp;"|"&amp;O297)</f>
        <v/>
      </c>
    </row>
    <row r="298">
      <c r="A298" s="60" t="n"/>
      <c r="B298" s="63" t="n"/>
      <c r="C298" s="63" t="n"/>
      <c r="D298" s="67" t="n"/>
      <c r="E298" s="68" t="n"/>
      <c r="F298" s="69" t="n"/>
      <c r="G298" s="70" t="n"/>
      <c r="H298" s="62" t="str">
        <f>IF(COUNTA(A298:G298)=0,"",IF(C298&lt;&gt;"",C298,IF(B298="","",IFERROR(INDEX(pr_des,MATCH(B298,pr_code,0))&amp;"",""))))</f>
        <v/>
      </c>
      <c r="I298" s="59" t="str">
        <f>IF(B298="","",IFERROR(INDEX(pr_unit,MATCH(B298,pr_code,0))&amp;"",""))</f>
        <v/>
      </c>
      <c r="J298" s="65" t="str">
        <f>IF(COUNTA(A298:G298)=0,"",IF(E298&lt;&gt;"",E298,IF(B298="","",IFERROR(IF(INDEX(pr_price,MATCH(B298,pr_code,0))="","",INDEX(pr_price,MATCH(B298,pr_code,0))),""))))</f>
        <v/>
      </c>
      <c r="K298" s="71" t="str">
        <f>IF(COUNTA(A298:G298)=0,"",IF(G298&lt;&gt;"",G298,IF(B298="","",IFERROR(IF(INDEX(pr_rate,MATCH(B298,pr_code,0))="","",INDEX(pr_rate,MATCH(B298,pr_code,0))),""))))</f>
        <v/>
      </c>
      <c r="L298" s="65" t="str">
        <f>IF(COUNTA(A298:G298)=0,"",IF(AND(ISNUMBER(D298),ISNUMBER(J298)),ROUND(D298*J298*(1-N(F298)),2),0))</f>
        <v/>
      </c>
      <c r="M298" s="62" t="str">
        <f>IF(A298="","",IFERROR(INDEX(fa_cname,MATCH(A298,fa_num,0))&amp;"",""))</f>
        <v/>
      </c>
      <c r="N298" s="59" t="str">
        <f>IF(COUNTA(A298:G298)=0,"",IF(A298="","N° facture manquant",IF(ISNA(MATCH(A298,fa_num,0)),"Facture inconnue",IF(AND(B298&lt;&gt;"",ISNA(MATCH(B298,pr_code,0))),"Article inconnu",IF(H298="","Désignation manquante",IF(OR(NOT(ISNUMBER(D298)),N(D298)&lt;=0),"Quantité invalide",IF(J298="","Prix manquant",IF(OR(NOT(ISNUMBER(J298)),N(J298)&lt;0),"Prix invalide",IF(OR(AND(F298&lt;&gt;"",NOT(ISNUMBER(F298))),N(F298)&lt;0,N(F298)&gt;1),"Remise invalide",IF(K298="","Taux de TVA manquant",IF(NOT(ISNUMBER(K298)),"Taux de TVA invalide",IF(COUNTIF(p_rates,K298)=0,"Taux de TVA hors liste (Paramètres)",IF(N(O298)&gt;25,"Au-delà de 25 lignes : non imprimée","OK")))))))))))))</f>
        <v/>
      </c>
      <c r="O298" s="59" t="str">
        <f>IF(A298="","",COUNTIF($A$6:A298,A298))</f>
        <v/>
      </c>
      <c r="P298" s="62" t="str">
        <f>IF(A298="","",A298&amp;"|"&amp;O298)</f>
        <v/>
      </c>
    </row>
    <row r="299">
      <c r="A299" s="60" t="n"/>
      <c r="B299" s="63" t="n"/>
      <c r="C299" s="63" t="n"/>
      <c r="D299" s="67" t="n"/>
      <c r="E299" s="68" t="n"/>
      <c r="F299" s="69" t="n"/>
      <c r="G299" s="70" t="n"/>
      <c r="H299" s="62" t="str">
        <f>IF(COUNTA(A299:G299)=0,"",IF(C299&lt;&gt;"",C299,IF(B299="","",IFERROR(INDEX(pr_des,MATCH(B299,pr_code,0))&amp;"",""))))</f>
        <v/>
      </c>
      <c r="I299" s="59" t="str">
        <f>IF(B299="","",IFERROR(INDEX(pr_unit,MATCH(B299,pr_code,0))&amp;"",""))</f>
        <v/>
      </c>
      <c r="J299" s="65" t="str">
        <f>IF(COUNTA(A299:G299)=0,"",IF(E299&lt;&gt;"",E299,IF(B299="","",IFERROR(IF(INDEX(pr_price,MATCH(B299,pr_code,0))="","",INDEX(pr_price,MATCH(B299,pr_code,0))),""))))</f>
        <v/>
      </c>
      <c r="K299" s="71" t="str">
        <f>IF(COUNTA(A299:G299)=0,"",IF(G299&lt;&gt;"",G299,IF(B299="","",IFERROR(IF(INDEX(pr_rate,MATCH(B299,pr_code,0))="","",INDEX(pr_rate,MATCH(B299,pr_code,0))),""))))</f>
        <v/>
      </c>
      <c r="L299" s="65" t="str">
        <f>IF(COUNTA(A299:G299)=0,"",IF(AND(ISNUMBER(D299),ISNUMBER(J299)),ROUND(D299*J299*(1-N(F299)),2),0))</f>
        <v/>
      </c>
      <c r="M299" s="62" t="str">
        <f>IF(A299="","",IFERROR(INDEX(fa_cname,MATCH(A299,fa_num,0))&amp;"",""))</f>
        <v/>
      </c>
      <c r="N299" s="59" t="str">
        <f>IF(COUNTA(A299:G299)=0,"",IF(A299="","N° facture manquant",IF(ISNA(MATCH(A299,fa_num,0)),"Facture inconnue",IF(AND(B299&lt;&gt;"",ISNA(MATCH(B299,pr_code,0))),"Article inconnu",IF(H299="","Désignation manquante",IF(OR(NOT(ISNUMBER(D299)),N(D299)&lt;=0),"Quantité invalide",IF(J299="","Prix manquant",IF(OR(NOT(ISNUMBER(J299)),N(J299)&lt;0),"Prix invalide",IF(OR(AND(F299&lt;&gt;"",NOT(ISNUMBER(F299))),N(F299)&lt;0,N(F299)&gt;1),"Remise invalide",IF(K299="","Taux de TVA manquant",IF(NOT(ISNUMBER(K299)),"Taux de TVA invalide",IF(COUNTIF(p_rates,K299)=0,"Taux de TVA hors liste (Paramètres)",IF(N(O299)&gt;25,"Au-delà de 25 lignes : non imprimée","OK")))))))))))))</f>
        <v/>
      </c>
      <c r="O299" s="59" t="str">
        <f>IF(A299="","",COUNTIF($A$6:A299,A299))</f>
        <v/>
      </c>
      <c r="P299" s="62" t="str">
        <f>IF(A299="","",A299&amp;"|"&amp;O299)</f>
        <v/>
      </c>
    </row>
    <row r="300">
      <c r="A300" s="60" t="n"/>
      <c r="B300" s="63" t="n"/>
      <c r="C300" s="63" t="n"/>
      <c r="D300" s="67" t="n"/>
      <c r="E300" s="68" t="n"/>
      <c r="F300" s="69" t="n"/>
      <c r="G300" s="70" t="n"/>
      <c r="H300" s="62" t="str">
        <f>IF(COUNTA(A300:G300)=0,"",IF(C300&lt;&gt;"",C300,IF(B300="","",IFERROR(INDEX(pr_des,MATCH(B300,pr_code,0))&amp;"",""))))</f>
        <v/>
      </c>
      <c r="I300" s="59" t="str">
        <f>IF(B300="","",IFERROR(INDEX(pr_unit,MATCH(B300,pr_code,0))&amp;"",""))</f>
        <v/>
      </c>
      <c r="J300" s="65" t="str">
        <f>IF(COUNTA(A300:G300)=0,"",IF(E300&lt;&gt;"",E300,IF(B300="","",IFERROR(IF(INDEX(pr_price,MATCH(B300,pr_code,0))="","",INDEX(pr_price,MATCH(B300,pr_code,0))),""))))</f>
        <v/>
      </c>
      <c r="K300" s="71" t="str">
        <f>IF(COUNTA(A300:G300)=0,"",IF(G300&lt;&gt;"",G300,IF(B300="","",IFERROR(IF(INDEX(pr_rate,MATCH(B300,pr_code,0))="","",INDEX(pr_rate,MATCH(B300,pr_code,0))),""))))</f>
        <v/>
      </c>
      <c r="L300" s="65" t="str">
        <f>IF(COUNTA(A300:G300)=0,"",IF(AND(ISNUMBER(D300),ISNUMBER(J300)),ROUND(D300*J300*(1-N(F300)),2),0))</f>
        <v/>
      </c>
      <c r="M300" s="62" t="str">
        <f>IF(A300="","",IFERROR(INDEX(fa_cname,MATCH(A300,fa_num,0))&amp;"",""))</f>
        <v/>
      </c>
      <c r="N300" s="59" t="str">
        <f>IF(COUNTA(A300:G300)=0,"",IF(A300="","N° facture manquant",IF(ISNA(MATCH(A300,fa_num,0)),"Facture inconnue",IF(AND(B300&lt;&gt;"",ISNA(MATCH(B300,pr_code,0))),"Article inconnu",IF(H300="","Désignation manquante",IF(OR(NOT(ISNUMBER(D300)),N(D300)&lt;=0),"Quantité invalide",IF(J300="","Prix manquant",IF(OR(NOT(ISNUMBER(J300)),N(J300)&lt;0),"Prix invalide",IF(OR(AND(F300&lt;&gt;"",NOT(ISNUMBER(F300))),N(F300)&lt;0,N(F300)&gt;1),"Remise invalide",IF(K300="","Taux de TVA manquant",IF(NOT(ISNUMBER(K300)),"Taux de TVA invalide",IF(COUNTIF(p_rates,K300)=0,"Taux de TVA hors liste (Paramètres)",IF(N(O300)&gt;25,"Au-delà de 25 lignes : non imprimée","OK")))))))))))))</f>
        <v/>
      </c>
      <c r="O300" s="59" t="str">
        <f>IF(A300="","",COUNTIF($A$6:A300,A300))</f>
        <v/>
      </c>
      <c r="P300" s="62" t="str">
        <f>IF(A300="","",A300&amp;"|"&amp;O300)</f>
        <v/>
      </c>
    </row>
    <row r="301">
      <c r="A301" s="60" t="n"/>
      <c r="B301" s="63" t="n"/>
      <c r="C301" s="63" t="n"/>
      <c r="D301" s="67" t="n"/>
      <c r="E301" s="68" t="n"/>
      <c r="F301" s="69" t="n"/>
      <c r="G301" s="70" t="n"/>
      <c r="H301" s="62" t="str">
        <f>IF(COUNTA(A301:G301)=0,"",IF(C301&lt;&gt;"",C301,IF(B301="","",IFERROR(INDEX(pr_des,MATCH(B301,pr_code,0))&amp;"",""))))</f>
        <v/>
      </c>
      <c r="I301" s="59" t="str">
        <f>IF(B301="","",IFERROR(INDEX(pr_unit,MATCH(B301,pr_code,0))&amp;"",""))</f>
        <v/>
      </c>
      <c r="J301" s="65" t="str">
        <f>IF(COUNTA(A301:G301)=0,"",IF(E301&lt;&gt;"",E301,IF(B301="","",IFERROR(IF(INDEX(pr_price,MATCH(B301,pr_code,0))="","",INDEX(pr_price,MATCH(B301,pr_code,0))),""))))</f>
        <v/>
      </c>
      <c r="K301" s="71" t="str">
        <f>IF(COUNTA(A301:G301)=0,"",IF(G301&lt;&gt;"",G301,IF(B301="","",IFERROR(IF(INDEX(pr_rate,MATCH(B301,pr_code,0))="","",INDEX(pr_rate,MATCH(B301,pr_code,0))),""))))</f>
        <v/>
      </c>
      <c r="L301" s="65" t="str">
        <f>IF(COUNTA(A301:G301)=0,"",IF(AND(ISNUMBER(D301),ISNUMBER(J301)),ROUND(D301*J301*(1-N(F301)),2),0))</f>
        <v/>
      </c>
      <c r="M301" s="62" t="str">
        <f>IF(A301="","",IFERROR(INDEX(fa_cname,MATCH(A301,fa_num,0))&amp;"",""))</f>
        <v/>
      </c>
      <c r="N301" s="59" t="str">
        <f>IF(COUNTA(A301:G301)=0,"",IF(A301="","N° facture manquant",IF(ISNA(MATCH(A301,fa_num,0)),"Facture inconnue",IF(AND(B301&lt;&gt;"",ISNA(MATCH(B301,pr_code,0))),"Article inconnu",IF(H301="","Désignation manquante",IF(OR(NOT(ISNUMBER(D301)),N(D301)&lt;=0),"Quantité invalide",IF(J301="","Prix manquant",IF(OR(NOT(ISNUMBER(J301)),N(J301)&lt;0),"Prix invalide",IF(OR(AND(F301&lt;&gt;"",NOT(ISNUMBER(F301))),N(F301)&lt;0,N(F301)&gt;1),"Remise invalide",IF(K301="","Taux de TVA manquant",IF(NOT(ISNUMBER(K301)),"Taux de TVA invalide",IF(COUNTIF(p_rates,K301)=0,"Taux de TVA hors liste (Paramètres)",IF(N(O301)&gt;25,"Au-delà de 25 lignes : non imprimée","OK")))))))))))))</f>
        <v/>
      </c>
      <c r="O301" s="59" t="str">
        <f>IF(A301="","",COUNTIF($A$6:A301,A301))</f>
        <v/>
      </c>
      <c r="P301" s="62" t="str">
        <f>IF(A301="","",A301&amp;"|"&amp;O301)</f>
        <v/>
      </c>
    </row>
    <row r="302">
      <c r="A302" s="60" t="n"/>
      <c r="B302" s="63" t="n"/>
      <c r="C302" s="63" t="n"/>
      <c r="D302" s="67" t="n"/>
      <c r="E302" s="68" t="n"/>
      <c r="F302" s="69" t="n"/>
      <c r="G302" s="70" t="n"/>
      <c r="H302" s="62" t="str">
        <f>IF(COUNTA(A302:G302)=0,"",IF(C302&lt;&gt;"",C302,IF(B302="","",IFERROR(INDEX(pr_des,MATCH(B302,pr_code,0))&amp;"",""))))</f>
        <v/>
      </c>
      <c r="I302" s="59" t="str">
        <f>IF(B302="","",IFERROR(INDEX(pr_unit,MATCH(B302,pr_code,0))&amp;"",""))</f>
        <v/>
      </c>
      <c r="J302" s="65" t="str">
        <f>IF(COUNTA(A302:G302)=0,"",IF(E302&lt;&gt;"",E302,IF(B302="","",IFERROR(IF(INDEX(pr_price,MATCH(B302,pr_code,0))="","",INDEX(pr_price,MATCH(B302,pr_code,0))),""))))</f>
        <v/>
      </c>
      <c r="K302" s="71" t="str">
        <f>IF(COUNTA(A302:G302)=0,"",IF(G302&lt;&gt;"",G302,IF(B302="","",IFERROR(IF(INDEX(pr_rate,MATCH(B302,pr_code,0))="","",INDEX(pr_rate,MATCH(B302,pr_code,0))),""))))</f>
        <v/>
      </c>
      <c r="L302" s="65" t="str">
        <f>IF(COUNTA(A302:G302)=0,"",IF(AND(ISNUMBER(D302),ISNUMBER(J302)),ROUND(D302*J302*(1-N(F302)),2),0))</f>
        <v/>
      </c>
      <c r="M302" s="62" t="str">
        <f>IF(A302="","",IFERROR(INDEX(fa_cname,MATCH(A302,fa_num,0))&amp;"",""))</f>
        <v/>
      </c>
      <c r="N302" s="59" t="str">
        <f>IF(COUNTA(A302:G302)=0,"",IF(A302="","N° facture manquant",IF(ISNA(MATCH(A302,fa_num,0)),"Facture inconnue",IF(AND(B302&lt;&gt;"",ISNA(MATCH(B302,pr_code,0))),"Article inconnu",IF(H302="","Désignation manquante",IF(OR(NOT(ISNUMBER(D302)),N(D302)&lt;=0),"Quantité invalide",IF(J302="","Prix manquant",IF(OR(NOT(ISNUMBER(J302)),N(J302)&lt;0),"Prix invalide",IF(OR(AND(F302&lt;&gt;"",NOT(ISNUMBER(F302))),N(F302)&lt;0,N(F302)&gt;1),"Remise invalide",IF(K302="","Taux de TVA manquant",IF(NOT(ISNUMBER(K302)),"Taux de TVA invalide",IF(COUNTIF(p_rates,K302)=0,"Taux de TVA hors liste (Paramètres)",IF(N(O302)&gt;25,"Au-delà de 25 lignes : non imprimée","OK")))))))))))))</f>
        <v/>
      </c>
      <c r="O302" s="59" t="str">
        <f>IF(A302="","",COUNTIF($A$6:A302,A302))</f>
        <v/>
      </c>
      <c r="P302" s="62" t="str">
        <f>IF(A302="","",A302&amp;"|"&amp;O302)</f>
        <v/>
      </c>
    </row>
    <row r="303">
      <c r="A303" s="60" t="n"/>
      <c r="B303" s="63" t="n"/>
      <c r="C303" s="63" t="n"/>
      <c r="D303" s="67" t="n"/>
      <c r="E303" s="68" t="n"/>
      <c r="F303" s="69" t="n"/>
      <c r="G303" s="70" t="n"/>
      <c r="H303" s="62" t="str">
        <f>IF(COUNTA(A303:G303)=0,"",IF(C303&lt;&gt;"",C303,IF(B303="","",IFERROR(INDEX(pr_des,MATCH(B303,pr_code,0))&amp;"",""))))</f>
        <v/>
      </c>
      <c r="I303" s="59" t="str">
        <f>IF(B303="","",IFERROR(INDEX(pr_unit,MATCH(B303,pr_code,0))&amp;"",""))</f>
        <v/>
      </c>
      <c r="J303" s="65" t="str">
        <f>IF(COUNTA(A303:G303)=0,"",IF(E303&lt;&gt;"",E303,IF(B303="","",IFERROR(IF(INDEX(pr_price,MATCH(B303,pr_code,0))="","",INDEX(pr_price,MATCH(B303,pr_code,0))),""))))</f>
        <v/>
      </c>
      <c r="K303" s="71" t="str">
        <f>IF(COUNTA(A303:G303)=0,"",IF(G303&lt;&gt;"",G303,IF(B303="","",IFERROR(IF(INDEX(pr_rate,MATCH(B303,pr_code,0))="","",INDEX(pr_rate,MATCH(B303,pr_code,0))),""))))</f>
        <v/>
      </c>
      <c r="L303" s="65" t="str">
        <f>IF(COUNTA(A303:G303)=0,"",IF(AND(ISNUMBER(D303),ISNUMBER(J303)),ROUND(D303*J303*(1-N(F303)),2),0))</f>
        <v/>
      </c>
      <c r="M303" s="62" t="str">
        <f>IF(A303="","",IFERROR(INDEX(fa_cname,MATCH(A303,fa_num,0))&amp;"",""))</f>
        <v/>
      </c>
      <c r="N303" s="59" t="str">
        <f>IF(COUNTA(A303:G303)=0,"",IF(A303="","N° facture manquant",IF(ISNA(MATCH(A303,fa_num,0)),"Facture inconnue",IF(AND(B303&lt;&gt;"",ISNA(MATCH(B303,pr_code,0))),"Article inconnu",IF(H303="","Désignation manquante",IF(OR(NOT(ISNUMBER(D303)),N(D303)&lt;=0),"Quantité invalide",IF(J303="","Prix manquant",IF(OR(NOT(ISNUMBER(J303)),N(J303)&lt;0),"Prix invalide",IF(OR(AND(F303&lt;&gt;"",NOT(ISNUMBER(F303))),N(F303)&lt;0,N(F303)&gt;1),"Remise invalide",IF(K303="","Taux de TVA manquant",IF(NOT(ISNUMBER(K303)),"Taux de TVA invalide",IF(COUNTIF(p_rates,K303)=0,"Taux de TVA hors liste (Paramètres)",IF(N(O303)&gt;25,"Au-delà de 25 lignes : non imprimée","OK")))))))))))))</f>
        <v/>
      </c>
      <c r="O303" s="59" t="str">
        <f>IF(A303="","",COUNTIF($A$6:A303,A303))</f>
        <v/>
      </c>
      <c r="P303" s="62" t="str">
        <f>IF(A303="","",A303&amp;"|"&amp;O303)</f>
        <v/>
      </c>
    </row>
    <row r="304">
      <c r="A304" s="60" t="n"/>
      <c r="B304" s="63" t="n"/>
      <c r="C304" s="63" t="n"/>
      <c r="D304" s="67" t="n"/>
      <c r="E304" s="68" t="n"/>
      <c r="F304" s="69" t="n"/>
      <c r="G304" s="70" t="n"/>
      <c r="H304" s="62" t="str">
        <f>IF(COUNTA(A304:G304)=0,"",IF(C304&lt;&gt;"",C304,IF(B304="","",IFERROR(INDEX(pr_des,MATCH(B304,pr_code,0))&amp;"",""))))</f>
        <v/>
      </c>
      <c r="I304" s="59" t="str">
        <f>IF(B304="","",IFERROR(INDEX(pr_unit,MATCH(B304,pr_code,0))&amp;"",""))</f>
        <v/>
      </c>
      <c r="J304" s="65" t="str">
        <f>IF(COUNTA(A304:G304)=0,"",IF(E304&lt;&gt;"",E304,IF(B304="","",IFERROR(IF(INDEX(pr_price,MATCH(B304,pr_code,0))="","",INDEX(pr_price,MATCH(B304,pr_code,0))),""))))</f>
        <v/>
      </c>
      <c r="K304" s="71" t="str">
        <f>IF(COUNTA(A304:G304)=0,"",IF(G304&lt;&gt;"",G304,IF(B304="","",IFERROR(IF(INDEX(pr_rate,MATCH(B304,pr_code,0))="","",INDEX(pr_rate,MATCH(B304,pr_code,0))),""))))</f>
        <v/>
      </c>
      <c r="L304" s="65" t="str">
        <f>IF(COUNTA(A304:G304)=0,"",IF(AND(ISNUMBER(D304),ISNUMBER(J304)),ROUND(D304*J304*(1-N(F304)),2),0))</f>
        <v/>
      </c>
      <c r="M304" s="62" t="str">
        <f>IF(A304="","",IFERROR(INDEX(fa_cname,MATCH(A304,fa_num,0))&amp;"",""))</f>
        <v/>
      </c>
      <c r="N304" s="59" t="str">
        <f>IF(COUNTA(A304:G304)=0,"",IF(A304="","N° facture manquant",IF(ISNA(MATCH(A304,fa_num,0)),"Facture inconnue",IF(AND(B304&lt;&gt;"",ISNA(MATCH(B304,pr_code,0))),"Article inconnu",IF(H304="","Désignation manquante",IF(OR(NOT(ISNUMBER(D304)),N(D304)&lt;=0),"Quantité invalide",IF(J304="","Prix manquant",IF(OR(NOT(ISNUMBER(J304)),N(J304)&lt;0),"Prix invalide",IF(OR(AND(F304&lt;&gt;"",NOT(ISNUMBER(F304))),N(F304)&lt;0,N(F304)&gt;1),"Remise invalide",IF(K304="","Taux de TVA manquant",IF(NOT(ISNUMBER(K304)),"Taux de TVA invalide",IF(COUNTIF(p_rates,K304)=0,"Taux de TVA hors liste (Paramètres)",IF(N(O304)&gt;25,"Au-delà de 25 lignes : non imprimée","OK")))))))))))))</f>
        <v/>
      </c>
      <c r="O304" s="59" t="str">
        <f>IF(A304="","",COUNTIF($A$6:A304,A304))</f>
        <v/>
      </c>
      <c r="P304" s="62" t="str">
        <f>IF(A304="","",A304&amp;"|"&amp;O304)</f>
        <v/>
      </c>
    </row>
    <row r="305">
      <c r="A305" s="60" t="n"/>
      <c r="B305" s="63" t="n"/>
      <c r="C305" s="63" t="n"/>
      <c r="D305" s="67" t="n"/>
      <c r="E305" s="68" t="n"/>
      <c r="F305" s="69" t="n"/>
      <c r="G305" s="70" t="n"/>
      <c r="H305" s="62" t="str">
        <f>IF(COUNTA(A305:G305)=0,"",IF(C305&lt;&gt;"",C305,IF(B305="","",IFERROR(INDEX(pr_des,MATCH(B305,pr_code,0))&amp;"",""))))</f>
        <v/>
      </c>
      <c r="I305" s="59" t="str">
        <f>IF(B305="","",IFERROR(INDEX(pr_unit,MATCH(B305,pr_code,0))&amp;"",""))</f>
        <v/>
      </c>
      <c r="J305" s="65" t="str">
        <f>IF(COUNTA(A305:G305)=0,"",IF(E305&lt;&gt;"",E305,IF(B305="","",IFERROR(IF(INDEX(pr_price,MATCH(B305,pr_code,0))="","",INDEX(pr_price,MATCH(B305,pr_code,0))),""))))</f>
        <v/>
      </c>
      <c r="K305" s="71" t="str">
        <f>IF(COUNTA(A305:G305)=0,"",IF(G305&lt;&gt;"",G305,IF(B305="","",IFERROR(IF(INDEX(pr_rate,MATCH(B305,pr_code,0))="","",INDEX(pr_rate,MATCH(B305,pr_code,0))),""))))</f>
        <v/>
      </c>
      <c r="L305" s="65" t="str">
        <f>IF(COUNTA(A305:G305)=0,"",IF(AND(ISNUMBER(D305),ISNUMBER(J305)),ROUND(D305*J305*(1-N(F305)),2),0))</f>
        <v/>
      </c>
      <c r="M305" s="62" t="str">
        <f>IF(A305="","",IFERROR(INDEX(fa_cname,MATCH(A305,fa_num,0))&amp;"",""))</f>
        <v/>
      </c>
      <c r="N305" s="59" t="str">
        <f>IF(COUNTA(A305:G305)=0,"",IF(A305="","N° facture manquant",IF(ISNA(MATCH(A305,fa_num,0)),"Facture inconnue",IF(AND(B305&lt;&gt;"",ISNA(MATCH(B305,pr_code,0))),"Article inconnu",IF(H305="","Désignation manquante",IF(OR(NOT(ISNUMBER(D305)),N(D305)&lt;=0),"Quantité invalide",IF(J305="","Prix manquant",IF(OR(NOT(ISNUMBER(J305)),N(J305)&lt;0),"Prix invalide",IF(OR(AND(F305&lt;&gt;"",NOT(ISNUMBER(F305))),N(F305)&lt;0,N(F305)&gt;1),"Remise invalide",IF(K305="","Taux de TVA manquant",IF(NOT(ISNUMBER(K305)),"Taux de TVA invalide",IF(COUNTIF(p_rates,K305)=0,"Taux de TVA hors liste (Paramètres)",IF(N(O305)&gt;25,"Au-delà de 25 lignes : non imprimée","OK")))))))))))))</f>
        <v/>
      </c>
      <c r="O305" s="59" t="str">
        <f>IF(A305="","",COUNTIF($A$6:A305,A305))</f>
        <v/>
      </c>
      <c r="P305" s="62" t="str">
        <f>IF(A305="","",A305&amp;"|"&amp;O305)</f>
        <v/>
      </c>
    </row>
    <row r="306">
      <c r="A306" s="60" t="n"/>
      <c r="B306" s="63" t="n"/>
      <c r="C306" s="63" t="n"/>
      <c r="D306" s="67" t="n"/>
      <c r="E306" s="68" t="n"/>
      <c r="F306" s="69" t="n"/>
      <c r="G306" s="70" t="n"/>
      <c r="H306" s="62" t="str">
        <f>IF(COUNTA(A306:G306)=0,"",IF(C306&lt;&gt;"",C306,IF(B306="","",IFERROR(INDEX(pr_des,MATCH(B306,pr_code,0))&amp;"",""))))</f>
        <v/>
      </c>
      <c r="I306" s="59" t="str">
        <f>IF(B306="","",IFERROR(INDEX(pr_unit,MATCH(B306,pr_code,0))&amp;"",""))</f>
        <v/>
      </c>
      <c r="J306" s="65" t="str">
        <f>IF(COUNTA(A306:G306)=0,"",IF(E306&lt;&gt;"",E306,IF(B306="","",IFERROR(IF(INDEX(pr_price,MATCH(B306,pr_code,0))="","",INDEX(pr_price,MATCH(B306,pr_code,0))),""))))</f>
        <v/>
      </c>
      <c r="K306" s="71" t="str">
        <f>IF(COUNTA(A306:G306)=0,"",IF(G306&lt;&gt;"",G306,IF(B306="","",IFERROR(IF(INDEX(pr_rate,MATCH(B306,pr_code,0))="","",INDEX(pr_rate,MATCH(B306,pr_code,0))),""))))</f>
        <v/>
      </c>
      <c r="L306" s="65" t="str">
        <f>IF(COUNTA(A306:G306)=0,"",IF(AND(ISNUMBER(D306),ISNUMBER(J306)),ROUND(D306*J306*(1-N(F306)),2),0))</f>
        <v/>
      </c>
      <c r="M306" s="62" t="str">
        <f>IF(A306="","",IFERROR(INDEX(fa_cname,MATCH(A306,fa_num,0))&amp;"",""))</f>
        <v/>
      </c>
      <c r="N306" s="59" t="str">
        <f>IF(COUNTA(A306:G306)=0,"",IF(A306="","N° facture manquant",IF(ISNA(MATCH(A306,fa_num,0)),"Facture inconnue",IF(AND(B306&lt;&gt;"",ISNA(MATCH(B306,pr_code,0))),"Article inconnu",IF(H306="","Désignation manquante",IF(OR(NOT(ISNUMBER(D306)),N(D306)&lt;=0),"Quantité invalide",IF(J306="","Prix manquant",IF(OR(NOT(ISNUMBER(J306)),N(J306)&lt;0),"Prix invalide",IF(OR(AND(F306&lt;&gt;"",NOT(ISNUMBER(F306))),N(F306)&lt;0,N(F306)&gt;1),"Remise invalide",IF(K306="","Taux de TVA manquant",IF(NOT(ISNUMBER(K306)),"Taux de TVA invalide",IF(COUNTIF(p_rates,K306)=0,"Taux de TVA hors liste (Paramètres)",IF(N(O306)&gt;25,"Au-delà de 25 lignes : non imprimée","OK")))))))))))))</f>
        <v/>
      </c>
      <c r="O306" s="59" t="str">
        <f>IF(A306="","",COUNTIF($A$6:A306,A306))</f>
        <v/>
      </c>
      <c r="P306" s="62" t="str">
        <f>IF(A306="","",A306&amp;"|"&amp;O306)</f>
        <v/>
      </c>
    </row>
    <row r="307">
      <c r="A307" s="60" t="n"/>
      <c r="B307" s="63" t="n"/>
      <c r="C307" s="63" t="n"/>
      <c r="D307" s="67" t="n"/>
      <c r="E307" s="68" t="n"/>
      <c r="F307" s="69" t="n"/>
      <c r="G307" s="70" t="n"/>
      <c r="H307" s="62" t="str">
        <f>IF(COUNTA(A307:G307)=0,"",IF(C307&lt;&gt;"",C307,IF(B307="","",IFERROR(INDEX(pr_des,MATCH(B307,pr_code,0))&amp;"",""))))</f>
        <v/>
      </c>
      <c r="I307" s="59" t="str">
        <f>IF(B307="","",IFERROR(INDEX(pr_unit,MATCH(B307,pr_code,0))&amp;"",""))</f>
        <v/>
      </c>
      <c r="J307" s="65" t="str">
        <f>IF(COUNTA(A307:G307)=0,"",IF(E307&lt;&gt;"",E307,IF(B307="","",IFERROR(IF(INDEX(pr_price,MATCH(B307,pr_code,0))="","",INDEX(pr_price,MATCH(B307,pr_code,0))),""))))</f>
        <v/>
      </c>
      <c r="K307" s="71" t="str">
        <f>IF(COUNTA(A307:G307)=0,"",IF(G307&lt;&gt;"",G307,IF(B307="","",IFERROR(IF(INDEX(pr_rate,MATCH(B307,pr_code,0))="","",INDEX(pr_rate,MATCH(B307,pr_code,0))),""))))</f>
        <v/>
      </c>
      <c r="L307" s="65" t="str">
        <f>IF(COUNTA(A307:G307)=0,"",IF(AND(ISNUMBER(D307),ISNUMBER(J307)),ROUND(D307*J307*(1-N(F307)),2),0))</f>
        <v/>
      </c>
      <c r="M307" s="62" t="str">
        <f>IF(A307="","",IFERROR(INDEX(fa_cname,MATCH(A307,fa_num,0))&amp;"",""))</f>
        <v/>
      </c>
      <c r="N307" s="59" t="str">
        <f>IF(COUNTA(A307:G307)=0,"",IF(A307="","N° facture manquant",IF(ISNA(MATCH(A307,fa_num,0)),"Facture inconnue",IF(AND(B307&lt;&gt;"",ISNA(MATCH(B307,pr_code,0))),"Article inconnu",IF(H307="","Désignation manquante",IF(OR(NOT(ISNUMBER(D307)),N(D307)&lt;=0),"Quantité invalide",IF(J307="","Prix manquant",IF(OR(NOT(ISNUMBER(J307)),N(J307)&lt;0),"Prix invalide",IF(OR(AND(F307&lt;&gt;"",NOT(ISNUMBER(F307))),N(F307)&lt;0,N(F307)&gt;1),"Remise invalide",IF(K307="","Taux de TVA manquant",IF(NOT(ISNUMBER(K307)),"Taux de TVA invalide",IF(COUNTIF(p_rates,K307)=0,"Taux de TVA hors liste (Paramètres)",IF(N(O307)&gt;25,"Au-delà de 25 lignes : non imprimée","OK")))))))))))))</f>
        <v/>
      </c>
      <c r="O307" s="59" t="str">
        <f>IF(A307="","",COUNTIF($A$6:A307,A307))</f>
        <v/>
      </c>
      <c r="P307" s="62" t="str">
        <f>IF(A307="","",A307&amp;"|"&amp;O307)</f>
        <v/>
      </c>
    </row>
    <row r="308">
      <c r="A308" s="60" t="n"/>
      <c r="B308" s="63" t="n"/>
      <c r="C308" s="63" t="n"/>
      <c r="D308" s="67" t="n"/>
      <c r="E308" s="68" t="n"/>
      <c r="F308" s="69" t="n"/>
      <c r="G308" s="70" t="n"/>
      <c r="H308" s="62" t="str">
        <f>IF(COUNTA(A308:G308)=0,"",IF(C308&lt;&gt;"",C308,IF(B308="","",IFERROR(INDEX(pr_des,MATCH(B308,pr_code,0))&amp;"",""))))</f>
        <v/>
      </c>
      <c r="I308" s="59" t="str">
        <f>IF(B308="","",IFERROR(INDEX(pr_unit,MATCH(B308,pr_code,0))&amp;"",""))</f>
        <v/>
      </c>
      <c r="J308" s="65" t="str">
        <f>IF(COUNTA(A308:G308)=0,"",IF(E308&lt;&gt;"",E308,IF(B308="","",IFERROR(IF(INDEX(pr_price,MATCH(B308,pr_code,0))="","",INDEX(pr_price,MATCH(B308,pr_code,0))),""))))</f>
        <v/>
      </c>
      <c r="K308" s="71" t="str">
        <f>IF(COUNTA(A308:G308)=0,"",IF(G308&lt;&gt;"",G308,IF(B308="","",IFERROR(IF(INDEX(pr_rate,MATCH(B308,pr_code,0))="","",INDEX(pr_rate,MATCH(B308,pr_code,0))),""))))</f>
        <v/>
      </c>
      <c r="L308" s="65" t="str">
        <f>IF(COUNTA(A308:G308)=0,"",IF(AND(ISNUMBER(D308),ISNUMBER(J308)),ROUND(D308*J308*(1-N(F308)),2),0))</f>
        <v/>
      </c>
      <c r="M308" s="62" t="str">
        <f>IF(A308="","",IFERROR(INDEX(fa_cname,MATCH(A308,fa_num,0))&amp;"",""))</f>
        <v/>
      </c>
      <c r="N308" s="59" t="str">
        <f>IF(COUNTA(A308:G308)=0,"",IF(A308="","N° facture manquant",IF(ISNA(MATCH(A308,fa_num,0)),"Facture inconnue",IF(AND(B308&lt;&gt;"",ISNA(MATCH(B308,pr_code,0))),"Article inconnu",IF(H308="","Désignation manquante",IF(OR(NOT(ISNUMBER(D308)),N(D308)&lt;=0),"Quantité invalide",IF(J308="","Prix manquant",IF(OR(NOT(ISNUMBER(J308)),N(J308)&lt;0),"Prix invalide",IF(OR(AND(F308&lt;&gt;"",NOT(ISNUMBER(F308))),N(F308)&lt;0,N(F308)&gt;1),"Remise invalide",IF(K308="","Taux de TVA manquant",IF(NOT(ISNUMBER(K308)),"Taux de TVA invalide",IF(COUNTIF(p_rates,K308)=0,"Taux de TVA hors liste (Paramètres)",IF(N(O308)&gt;25,"Au-delà de 25 lignes : non imprimée","OK")))))))))))))</f>
        <v/>
      </c>
      <c r="O308" s="59" t="str">
        <f>IF(A308="","",COUNTIF($A$6:A308,A308))</f>
        <v/>
      </c>
      <c r="P308" s="62" t="str">
        <f>IF(A308="","",A308&amp;"|"&amp;O308)</f>
        <v/>
      </c>
    </row>
    <row r="309">
      <c r="A309" s="60" t="n"/>
      <c r="B309" s="63" t="n"/>
      <c r="C309" s="63" t="n"/>
      <c r="D309" s="67" t="n"/>
      <c r="E309" s="68" t="n"/>
      <c r="F309" s="69" t="n"/>
      <c r="G309" s="70" t="n"/>
      <c r="H309" s="62" t="str">
        <f>IF(COUNTA(A309:G309)=0,"",IF(C309&lt;&gt;"",C309,IF(B309="","",IFERROR(INDEX(pr_des,MATCH(B309,pr_code,0))&amp;"",""))))</f>
        <v/>
      </c>
      <c r="I309" s="59" t="str">
        <f>IF(B309="","",IFERROR(INDEX(pr_unit,MATCH(B309,pr_code,0))&amp;"",""))</f>
        <v/>
      </c>
      <c r="J309" s="65" t="str">
        <f>IF(COUNTA(A309:G309)=0,"",IF(E309&lt;&gt;"",E309,IF(B309="","",IFERROR(IF(INDEX(pr_price,MATCH(B309,pr_code,0))="","",INDEX(pr_price,MATCH(B309,pr_code,0))),""))))</f>
        <v/>
      </c>
      <c r="K309" s="71" t="str">
        <f>IF(COUNTA(A309:G309)=0,"",IF(G309&lt;&gt;"",G309,IF(B309="","",IFERROR(IF(INDEX(pr_rate,MATCH(B309,pr_code,0))="","",INDEX(pr_rate,MATCH(B309,pr_code,0))),""))))</f>
        <v/>
      </c>
      <c r="L309" s="65" t="str">
        <f>IF(COUNTA(A309:G309)=0,"",IF(AND(ISNUMBER(D309),ISNUMBER(J309)),ROUND(D309*J309*(1-N(F309)),2),0))</f>
        <v/>
      </c>
      <c r="M309" s="62" t="str">
        <f>IF(A309="","",IFERROR(INDEX(fa_cname,MATCH(A309,fa_num,0))&amp;"",""))</f>
        <v/>
      </c>
      <c r="N309" s="59" t="str">
        <f>IF(COUNTA(A309:G309)=0,"",IF(A309="","N° facture manquant",IF(ISNA(MATCH(A309,fa_num,0)),"Facture inconnue",IF(AND(B309&lt;&gt;"",ISNA(MATCH(B309,pr_code,0))),"Article inconnu",IF(H309="","Désignation manquante",IF(OR(NOT(ISNUMBER(D309)),N(D309)&lt;=0),"Quantité invalide",IF(J309="","Prix manquant",IF(OR(NOT(ISNUMBER(J309)),N(J309)&lt;0),"Prix invalide",IF(OR(AND(F309&lt;&gt;"",NOT(ISNUMBER(F309))),N(F309)&lt;0,N(F309)&gt;1),"Remise invalide",IF(K309="","Taux de TVA manquant",IF(NOT(ISNUMBER(K309)),"Taux de TVA invalide",IF(COUNTIF(p_rates,K309)=0,"Taux de TVA hors liste (Paramètres)",IF(N(O309)&gt;25,"Au-delà de 25 lignes : non imprimée","OK")))))))))))))</f>
        <v/>
      </c>
      <c r="O309" s="59" t="str">
        <f>IF(A309="","",COUNTIF($A$6:A309,A309))</f>
        <v/>
      </c>
      <c r="P309" s="62" t="str">
        <f>IF(A309="","",A309&amp;"|"&amp;O309)</f>
        <v/>
      </c>
    </row>
    <row r="310">
      <c r="A310" s="60" t="n"/>
      <c r="B310" s="63" t="n"/>
      <c r="C310" s="63" t="n"/>
      <c r="D310" s="67" t="n"/>
      <c r="E310" s="68" t="n"/>
      <c r="F310" s="69" t="n"/>
      <c r="G310" s="70" t="n"/>
      <c r="H310" s="62" t="str">
        <f>IF(COUNTA(A310:G310)=0,"",IF(C310&lt;&gt;"",C310,IF(B310="","",IFERROR(INDEX(pr_des,MATCH(B310,pr_code,0))&amp;"",""))))</f>
        <v/>
      </c>
      <c r="I310" s="59" t="str">
        <f>IF(B310="","",IFERROR(INDEX(pr_unit,MATCH(B310,pr_code,0))&amp;"",""))</f>
        <v/>
      </c>
      <c r="J310" s="65" t="str">
        <f>IF(COUNTA(A310:G310)=0,"",IF(E310&lt;&gt;"",E310,IF(B310="","",IFERROR(IF(INDEX(pr_price,MATCH(B310,pr_code,0))="","",INDEX(pr_price,MATCH(B310,pr_code,0))),""))))</f>
        <v/>
      </c>
      <c r="K310" s="71" t="str">
        <f>IF(COUNTA(A310:G310)=0,"",IF(G310&lt;&gt;"",G310,IF(B310="","",IFERROR(IF(INDEX(pr_rate,MATCH(B310,pr_code,0))="","",INDEX(pr_rate,MATCH(B310,pr_code,0))),""))))</f>
        <v/>
      </c>
      <c r="L310" s="65" t="str">
        <f>IF(COUNTA(A310:G310)=0,"",IF(AND(ISNUMBER(D310),ISNUMBER(J310)),ROUND(D310*J310*(1-N(F310)),2),0))</f>
        <v/>
      </c>
      <c r="M310" s="62" t="str">
        <f>IF(A310="","",IFERROR(INDEX(fa_cname,MATCH(A310,fa_num,0))&amp;"",""))</f>
        <v/>
      </c>
      <c r="N310" s="59" t="str">
        <f>IF(COUNTA(A310:G310)=0,"",IF(A310="","N° facture manquant",IF(ISNA(MATCH(A310,fa_num,0)),"Facture inconnue",IF(AND(B310&lt;&gt;"",ISNA(MATCH(B310,pr_code,0))),"Article inconnu",IF(H310="","Désignation manquante",IF(OR(NOT(ISNUMBER(D310)),N(D310)&lt;=0),"Quantité invalide",IF(J310="","Prix manquant",IF(OR(NOT(ISNUMBER(J310)),N(J310)&lt;0),"Prix invalide",IF(OR(AND(F310&lt;&gt;"",NOT(ISNUMBER(F310))),N(F310)&lt;0,N(F310)&gt;1),"Remise invalide",IF(K310="","Taux de TVA manquant",IF(NOT(ISNUMBER(K310)),"Taux de TVA invalide",IF(COUNTIF(p_rates,K310)=0,"Taux de TVA hors liste (Paramètres)",IF(N(O310)&gt;25,"Au-delà de 25 lignes : non imprimée","OK")))))))))))))</f>
        <v/>
      </c>
      <c r="O310" s="59" t="str">
        <f>IF(A310="","",COUNTIF($A$6:A310,A310))</f>
        <v/>
      </c>
      <c r="P310" s="62" t="str">
        <f>IF(A310="","",A310&amp;"|"&amp;O310)</f>
        <v/>
      </c>
    </row>
    <row r="311">
      <c r="A311" s="60" t="n"/>
      <c r="B311" s="63" t="n"/>
      <c r="C311" s="63" t="n"/>
      <c r="D311" s="67" t="n"/>
      <c r="E311" s="68" t="n"/>
      <c r="F311" s="69" t="n"/>
      <c r="G311" s="70" t="n"/>
      <c r="H311" s="62" t="str">
        <f>IF(COUNTA(A311:G311)=0,"",IF(C311&lt;&gt;"",C311,IF(B311="","",IFERROR(INDEX(pr_des,MATCH(B311,pr_code,0))&amp;"",""))))</f>
        <v/>
      </c>
      <c r="I311" s="59" t="str">
        <f>IF(B311="","",IFERROR(INDEX(pr_unit,MATCH(B311,pr_code,0))&amp;"",""))</f>
        <v/>
      </c>
      <c r="J311" s="65" t="str">
        <f>IF(COUNTA(A311:G311)=0,"",IF(E311&lt;&gt;"",E311,IF(B311="","",IFERROR(IF(INDEX(pr_price,MATCH(B311,pr_code,0))="","",INDEX(pr_price,MATCH(B311,pr_code,0))),""))))</f>
        <v/>
      </c>
      <c r="K311" s="71" t="str">
        <f>IF(COUNTA(A311:G311)=0,"",IF(G311&lt;&gt;"",G311,IF(B311="","",IFERROR(IF(INDEX(pr_rate,MATCH(B311,pr_code,0))="","",INDEX(pr_rate,MATCH(B311,pr_code,0))),""))))</f>
        <v/>
      </c>
      <c r="L311" s="65" t="str">
        <f>IF(COUNTA(A311:G311)=0,"",IF(AND(ISNUMBER(D311),ISNUMBER(J311)),ROUND(D311*J311*(1-N(F311)),2),0))</f>
        <v/>
      </c>
      <c r="M311" s="62" t="str">
        <f>IF(A311="","",IFERROR(INDEX(fa_cname,MATCH(A311,fa_num,0))&amp;"",""))</f>
        <v/>
      </c>
      <c r="N311" s="59" t="str">
        <f>IF(COUNTA(A311:G311)=0,"",IF(A311="","N° facture manquant",IF(ISNA(MATCH(A311,fa_num,0)),"Facture inconnue",IF(AND(B311&lt;&gt;"",ISNA(MATCH(B311,pr_code,0))),"Article inconnu",IF(H311="","Désignation manquante",IF(OR(NOT(ISNUMBER(D311)),N(D311)&lt;=0),"Quantité invalide",IF(J311="","Prix manquant",IF(OR(NOT(ISNUMBER(J311)),N(J311)&lt;0),"Prix invalide",IF(OR(AND(F311&lt;&gt;"",NOT(ISNUMBER(F311))),N(F311)&lt;0,N(F311)&gt;1),"Remise invalide",IF(K311="","Taux de TVA manquant",IF(NOT(ISNUMBER(K311)),"Taux de TVA invalide",IF(COUNTIF(p_rates,K311)=0,"Taux de TVA hors liste (Paramètres)",IF(N(O311)&gt;25,"Au-delà de 25 lignes : non imprimée","OK")))))))))))))</f>
        <v/>
      </c>
      <c r="O311" s="59" t="str">
        <f>IF(A311="","",COUNTIF($A$6:A311,A311))</f>
        <v/>
      </c>
      <c r="P311" s="62" t="str">
        <f>IF(A311="","",A311&amp;"|"&amp;O311)</f>
        <v/>
      </c>
    </row>
    <row r="312">
      <c r="A312" s="60" t="n"/>
      <c r="B312" s="63" t="n"/>
      <c r="C312" s="63" t="n"/>
      <c r="D312" s="67" t="n"/>
      <c r="E312" s="68" t="n"/>
      <c r="F312" s="69" t="n"/>
      <c r="G312" s="70" t="n"/>
      <c r="H312" s="62" t="str">
        <f>IF(COUNTA(A312:G312)=0,"",IF(C312&lt;&gt;"",C312,IF(B312="","",IFERROR(INDEX(pr_des,MATCH(B312,pr_code,0))&amp;"",""))))</f>
        <v/>
      </c>
      <c r="I312" s="59" t="str">
        <f>IF(B312="","",IFERROR(INDEX(pr_unit,MATCH(B312,pr_code,0))&amp;"",""))</f>
        <v/>
      </c>
      <c r="J312" s="65" t="str">
        <f>IF(COUNTA(A312:G312)=0,"",IF(E312&lt;&gt;"",E312,IF(B312="","",IFERROR(IF(INDEX(pr_price,MATCH(B312,pr_code,0))="","",INDEX(pr_price,MATCH(B312,pr_code,0))),""))))</f>
        <v/>
      </c>
      <c r="K312" s="71" t="str">
        <f>IF(COUNTA(A312:G312)=0,"",IF(G312&lt;&gt;"",G312,IF(B312="","",IFERROR(IF(INDEX(pr_rate,MATCH(B312,pr_code,0))="","",INDEX(pr_rate,MATCH(B312,pr_code,0))),""))))</f>
        <v/>
      </c>
      <c r="L312" s="65" t="str">
        <f>IF(COUNTA(A312:G312)=0,"",IF(AND(ISNUMBER(D312),ISNUMBER(J312)),ROUND(D312*J312*(1-N(F312)),2),0))</f>
        <v/>
      </c>
      <c r="M312" s="62" t="str">
        <f>IF(A312="","",IFERROR(INDEX(fa_cname,MATCH(A312,fa_num,0))&amp;"",""))</f>
        <v/>
      </c>
      <c r="N312" s="59" t="str">
        <f>IF(COUNTA(A312:G312)=0,"",IF(A312="","N° facture manquant",IF(ISNA(MATCH(A312,fa_num,0)),"Facture inconnue",IF(AND(B312&lt;&gt;"",ISNA(MATCH(B312,pr_code,0))),"Article inconnu",IF(H312="","Désignation manquante",IF(OR(NOT(ISNUMBER(D312)),N(D312)&lt;=0),"Quantité invalide",IF(J312="","Prix manquant",IF(OR(NOT(ISNUMBER(J312)),N(J312)&lt;0),"Prix invalide",IF(OR(AND(F312&lt;&gt;"",NOT(ISNUMBER(F312))),N(F312)&lt;0,N(F312)&gt;1),"Remise invalide",IF(K312="","Taux de TVA manquant",IF(NOT(ISNUMBER(K312)),"Taux de TVA invalide",IF(COUNTIF(p_rates,K312)=0,"Taux de TVA hors liste (Paramètres)",IF(N(O312)&gt;25,"Au-delà de 25 lignes : non imprimée","OK")))))))))))))</f>
        <v/>
      </c>
      <c r="O312" s="59" t="str">
        <f>IF(A312="","",COUNTIF($A$6:A312,A312))</f>
        <v/>
      </c>
      <c r="P312" s="62" t="str">
        <f>IF(A312="","",A312&amp;"|"&amp;O312)</f>
        <v/>
      </c>
    </row>
    <row r="313">
      <c r="A313" s="60" t="n"/>
      <c r="B313" s="63" t="n"/>
      <c r="C313" s="63" t="n"/>
      <c r="D313" s="67" t="n"/>
      <c r="E313" s="68" t="n"/>
      <c r="F313" s="69" t="n"/>
      <c r="G313" s="70" t="n"/>
      <c r="H313" s="62" t="str">
        <f>IF(COUNTA(A313:G313)=0,"",IF(C313&lt;&gt;"",C313,IF(B313="","",IFERROR(INDEX(pr_des,MATCH(B313,pr_code,0))&amp;"",""))))</f>
        <v/>
      </c>
      <c r="I313" s="59" t="str">
        <f>IF(B313="","",IFERROR(INDEX(pr_unit,MATCH(B313,pr_code,0))&amp;"",""))</f>
        <v/>
      </c>
      <c r="J313" s="65" t="str">
        <f>IF(COUNTA(A313:G313)=0,"",IF(E313&lt;&gt;"",E313,IF(B313="","",IFERROR(IF(INDEX(pr_price,MATCH(B313,pr_code,0))="","",INDEX(pr_price,MATCH(B313,pr_code,0))),""))))</f>
        <v/>
      </c>
      <c r="K313" s="71" t="str">
        <f>IF(COUNTA(A313:G313)=0,"",IF(G313&lt;&gt;"",G313,IF(B313="","",IFERROR(IF(INDEX(pr_rate,MATCH(B313,pr_code,0))="","",INDEX(pr_rate,MATCH(B313,pr_code,0))),""))))</f>
        <v/>
      </c>
      <c r="L313" s="65" t="str">
        <f>IF(COUNTA(A313:G313)=0,"",IF(AND(ISNUMBER(D313),ISNUMBER(J313)),ROUND(D313*J313*(1-N(F313)),2),0))</f>
        <v/>
      </c>
      <c r="M313" s="62" t="str">
        <f>IF(A313="","",IFERROR(INDEX(fa_cname,MATCH(A313,fa_num,0))&amp;"",""))</f>
        <v/>
      </c>
      <c r="N313" s="59" t="str">
        <f>IF(COUNTA(A313:G313)=0,"",IF(A313="","N° facture manquant",IF(ISNA(MATCH(A313,fa_num,0)),"Facture inconnue",IF(AND(B313&lt;&gt;"",ISNA(MATCH(B313,pr_code,0))),"Article inconnu",IF(H313="","Désignation manquante",IF(OR(NOT(ISNUMBER(D313)),N(D313)&lt;=0),"Quantité invalide",IF(J313="","Prix manquant",IF(OR(NOT(ISNUMBER(J313)),N(J313)&lt;0),"Prix invalide",IF(OR(AND(F313&lt;&gt;"",NOT(ISNUMBER(F313))),N(F313)&lt;0,N(F313)&gt;1),"Remise invalide",IF(K313="","Taux de TVA manquant",IF(NOT(ISNUMBER(K313)),"Taux de TVA invalide",IF(COUNTIF(p_rates,K313)=0,"Taux de TVA hors liste (Paramètres)",IF(N(O313)&gt;25,"Au-delà de 25 lignes : non imprimée","OK")))))))))))))</f>
        <v/>
      </c>
      <c r="O313" s="59" t="str">
        <f>IF(A313="","",COUNTIF($A$6:A313,A313))</f>
        <v/>
      </c>
      <c r="P313" s="62" t="str">
        <f>IF(A313="","",A313&amp;"|"&amp;O313)</f>
        <v/>
      </c>
    </row>
    <row r="314">
      <c r="A314" s="60" t="n"/>
      <c r="B314" s="63" t="n"/>
      <c r="C314" s="63" t="n"/>
      <c r="D314" s="67" t="n"/>
      <c r="E314" s="68" t="n"/>
      <c r="F314" s="69" t="n"/>
      <c r="G314" s="70" t="n"/>
      <c r="H314" s="62" t="str">
        <f>IF(COUNTA(A314:G314)=0,"",IF(C314&lt;&gt;"",C314,IF(B314="","",IFERROR(INDEX(pr_des,MATCH(B314,pr_code,0))&amp;"",""))))</f>
        <v/>
      </c>
      <c r="I314" s="59" t="str">
        <f>IF(B314="","",IFERROR(INDEX(pr_unit,MATCH(B314,pr_code,0))&amp;"",""))</f>
        <v/>
      </c>
      <c r="J314" s="65" t="str">
        <f>IF(COUNTA(A314:G314)=0,"",IF(E314&lt;&gt;"",E314,IF(B314="","",IFERROR(IF(INDEX(pr_price,MATCH(B314,pr_code,0))="","",INDEX(pr_price,MATCH(B314,pr_code,0))),""))))</f>
        <v/>
      </c>
      <c r="K314" s="71" t="str">
        <f>IF(COUNTA(A314:G314)=0,"",IF(G314&lt;&gt;"",G314,IF(B314="","",IFERROR(IF(INDEX(pr_rate,MATCH(B314,pr_code,0))="","",INDEX(pr_rate,MATCH(B314,pr_code,0))),""))))</f>
        <v/>
      </c>
      <c r="L314" s="65" t="str">
        <f>IF(COUNTA(A314:G314)=0,"",IF(AND(ISNUMBER(D314),ISNUMBER(J314)),ROUND(D314*J314*(1-N(F314)),2),0))</f>
        <v/>
      </c>
      <c r="M314" s="62" t="str">
        <f>IF(A314="","",IFERROR(INDEX(fa_cname,MATCH(A314,fa_num,0))&amp;"",""))</f>
        <v/>
      </c>
      <c r="N314" s="59" t="str">
        <f>IF(COUNTA(A314:G314)=0,"",IF(A314="","N° facture manquant",IF(ISNA(MATCH(A314,fa_num,0)),"Facture inconnue",IF(AND(B314&lt;&gt;"",ISNA(MATCH(B314,pr_code,0))),"Article inconnu",IF(H314="","Désignation manquante",IF(OR(NOT(ISNUMBER(D314)),N(D314)&lt;=0),"Quantité invalide",IF(J314="","Prix manquant",IF(OR(NOT(ISNUMBER(J314)),N(J314)&lt;0),"Prix invalide",IF(OR(AND(F314&lt;&gt;"",NOT(ISNUMBER(F314))),N(F314)&lt;0,N(F314)&gt;1),"Remise invalide",IF(K314="","Taux de TVA manquant",IF(NOT(ISNUMBER(K314)),"Taux de TVA invalide",IF(COUNTIF(p_rates,K314)=0,"Taux de TVA hors liste (Paramètres)",IF(N(O314)&gt;25,"Au-delà de 25 lignes : non imprimée","OK")))))))))))))</f>
        <v/>
      </c>
      <c r="O314" s="59" t="str">
        <f>IF(A314="","",COUNTIF($A$6:A314,A314))</f>
        <v/>
      </c>
      <c r="P314" s="62" t="str">
        <f>IF(A314="","",A314&amp;"|"&amp;O314)</f>
        <v/>
      </c>
    </row>
    <row r="315">
      <c r="A315" s="60" t="n"/>
      <c r="B315" s="63" t="n"/>
      <c r="C315" s="63" t="n"/>
      <c r="D315" s="67" t="n"/>
      <c r="E315" s="68" t="n"/>
      <c r="F315" s="69" t="n"/>
      <c r="G315" s="70" t="n"/>
      <c r="H315" s="62" t="str">
        <f>IF(COUNTA(A315:G315)=0,"",IF(C315&lt;&gt;"",C315,IF(B315="","",IFERROR(INDEX(pr_des,MATCH(B315,pr_code,0))&amp;"",""))))</f>
        <v/>
      </c>
      <c r="I315" s="59" t="str">
        <f>IF(B315="","",IFERROR(INDEX(pr_unit,MATCH(B315,pr_code,0))&amp;"",""))</f>
        <v/>
      </c>
      <c r="J315" s="65" t="str">
        <f>IF(COUNTA(A315:G315)=0,"",IF(E315&lt;&gt;"",E315,IF(B315="","",IFERROR(IF(INDEX(pr_price,MATCH(B315,pr_code,0))="","",INDEX(pr_price,MATCH(B315,pr_code,0))),""))))</f>
        <v/>
      </c>
      <c r="K315" s="71" t="str">
        <f>IF(COUNTA(A315:G315)=0,"",IF(G315&lt;&gt;"",G315,IF(B315="","",IFERROR(IF(INDEX(pr_rate,MATCH(B315,pr_code,0))="","",INDEX(pr_rate,MATCH(B315,pr_code,0))),""))))</f>
        <v/>
      </c>
      <c r="L315" s="65" t="str">
        <f>IF(COUNTA(A315:G315)=0,"",IF(AND(ISNUMBER(D315),ISNUMBER(J315)),ROUND(D315*J315*(1-N(F315)),2),0))</f>
        <v/>
      </c>
      <c r="M315" s="62" t="str">
        <f>IF(A315="","",IFERROR(INDEX(fa_cname,MATCH(A315,fa_num,0))&amp;"",""))</f>
        <v/>
      </c>
      <c r="N315" s="59" t="str">
        <f>IF(COUNTA(A315:G315)=0,"",IF(A315="","N° facture manquant",IF(ISNA(MATCH(A315,fa_num,0)),"Facture inconnue",IF(AND(B315&lt;&gt;"",ISNA(MATCH(B315,pr_code,0))),"Article inconnu",IF(H315="","Désignation manquante",IF(OR(NOT(ISNUMBER(D315)),N(D315)&lt;=0),"Quantité invalide",IF(J315="","Prix manquant",IF(OR(NOT(ISNUMBER(J315)),N(J315)&lt;0),"Prix invalide",IF(OR(AND(F315&lt;&gt;"",NOT(ISNUMBER(F315))),N(F315)&lt;0,N(F315)&gt;1),"Remise invalide",IF(K315="","Taux de TVA manquant",IF(NOT(ISNUMBER(K315)),"Taux de TVA invalide",IF(COUNTIF(p_rates,K315)=0,"Taux de TVA hors liste (Paramètres)",IF(N(O315)&gt;25,"Au-delà de 25 lignes : non imprimée","OK")))))))))))))</f>
        <v/>
      </c>
      <c r="O315" s="59" t="str">
        <f>IF(A315="","",COUNTIF($A$6:A315,A315))</f>
        <v/>
      </c>
      <c r="P315" s="62" t="str">
        <f>IF(A315="","",A315&amp;"|"&amp;O315)</f>
        <v/>
      </c>
    </row>
    <row r="316">
      <c r="A316" s="60" t="n"/>
      <c r="B316" s="63" t="n"/>
      <c r="C316" s="63" t="n"/>
      <c r="D316" s="67" t="n"/>
      <c r="E316" s="68" t="n"/>
      <c r="F316" s="69" t="n"/>
      <c r="G316" s="70" t="n"/>
      <c r="H316" s="62" t="str">
        <f>IF(COUNTA(A316:G316)=0,"",IF(C316&lt;&gt;"",C316,IF(B316="","",IFERROR(INDEX(pr_des,MATCH(B316,pr_code,0))&amp;"",""))))</f>
        <v/>
      </c>
      <c r="I316" s="59" t="str">
        <f>IF(B316="","",IFERROR(INDEX(pr_unit,MATCH(B316,pr_code,0))&amp;"",""))</f>
        <v/>
      </c>
      <c r="J316" s="65" t="str">
        <f>IF(COUNTA(A316:G316)=0,"",IF(E316&lt;&gt;"",E316,IF(B316="","",IFERROR(IF(INDEX(pr_price,MATCH(B316,pr_code,0))="","",INDEX(pr_price,MATCH(B316,pr_code,0))),""))))</f>
        <v/>
      </c>
      <c r="K316" s="71" t="str">
        <f>IF(COUNTA(A316:G316)=0,"",IF(G316&lt;&gt;"",G316,IF(B316="","",IFERROR(IF(INDEX(pr_rate,MATCH(B316,pr_code,0))="","",INDEX(pr_rate,MATCH(B316,pr_code,0))),""))))</f>
        <v/>
      </c>
      <c r="L316" s="65" t="str">
        <f>IF(COUNTA(A316:G316)=0,"",IF(AND(ISNUMBER(D316),ISNUMBER(J316)),ROUND(D316*J316*(1-N(F316)),2),0))</f>
        <v/>
      </c>
      <c r="M316" s="62" t="str">
        <f>IF(A316="","",IFERROR(INDEX(fa_cname,MATCH(A316,fa_num,0))&amp;"",""))</f>
        <v/>
      </c>
      <c r="N316" s="59" t="str">
        <f>IF(COUNTA(A316:G316)=0,"",IF(A316="","N° facture manquant",IF(ISNA(MATCH(A316,fa_num,0)),"Facture inconnue",IF(AND(B316&lt;&gt;"",ISNA(MATCH(B316,pr_code,0))),"Article inconnu",IF(H316="","Désignation manquante",IF(OR(NOT(ISNUMBER(D316)),N(D316)&lt;=0),"Quantité invalide",IF(J316="","Prix manquant",IF(OR(NOT(ISNUMBER(J316)),N(J316)&lt;0),"Prix invalide",IF(OR(AND(F316&lt;&gt;"",NOT(ISNUMBER(F316))),N(F316)&lt;0,N(F316)&gt;1),"Remise invalide",IF(K316="","Taux de TVA manquant",IF(NOT(ISNUMBER(K316)),"Taux de TVA invalide",IF(COUNTIF(p_rates,K316)=0,"Taux de TVA hors liste (Paramètres)",IF(N(O316)&gt;25,"Au-delà de 25 lignes : non imprimée","OK")))))))))))))</f>
        <v/>
      </c>
      <c r="O316" s="59" t="str">
        <f>IF(A316="","",COUNTIF($A$6:A316,A316))</f>
        <v/>
      </c>
      <c r="P316" s="62" t="str">
        <f>IF(A316="","",A316&amp;"|"&amp;O316)</f>
        <v/>
      </c>
    </row>
    <row r="317">
      <c r="A317" s="60" t="n"/>
      <c r="B317" s="63" t="n"/>
      <c r="C317" s="63" t="n"/>
      <c r="D317" s="67" t="n"/>
      <c r="E317" s="68" t="n"/>
      <c r="F317" s="69" t="n"/>
      <c r="G317" s="70" t="n"/>
      <c r="H317" s="62" t="str">
        <f>IF(COUNTA(A317:G317)=0,"",IF(C317&lt;&gt;"",C317,IF(B317="","",IFERROR(INDEX(pr_des,MATCH(B317,pr_code,0))&amp;"",""))))</f>
        <v/>
      </c>
      <c r="I317" s="59" t="str">
        <f>IF(B317="","",IFERROR(INDEX(pr_unit,MATCH(B317,pr_code,0))&amp;"",""))</f>
        <v/>
      </c>
      <c r="J317" s="65" t="str">
        <f>IF(COUNTA(A317:G317)=0,"",IF(E317&lt;&gt;"",E317,IF(B317="","",IFERROR(IF(INDEX(pr_price,MATCH(B317,pr_code,0))="","",INDEX(pr_price,MATCH(B317,pr_code,0))),""))))</f>
        <v/>
      </c>
      <c r="K317" s="71" t="str">
        <f>IF(COUNTA(A317:G317)=0,"",IF(G317&lt;&gt;"",G317,IF(B317="","",IFERROR(IF(INDEX(pr_rate,MATCH(B317,pr_code,0))="","",INDEX(pr_rate,MATCH(B317,pr_code,0))),""))))</f>
        <v/>
      </c>
      <c r="L317" s="65" t="str">
        <f>IF(COUNTA(A317:G317)=0,"",IF(AND(ISNUMBER(D317),ISNUMBER(J317)),ROUND(D317*J317*(1-N(F317)),2),0))</f>
        <v/>
      </c>
      <c r="M317" s="62" t="str">
        <f>IF(A317="","",IFERROR(INDEX(fa_cname,MATCH(A317,fa_num,0))&amp;"",""))</f>
        <v/>
      </c>
      <c r="N317" s="59" t="str">
        <f>IF(COUNTA(A317:G317)=0,"",IF(A317="","N° facture manquant",IF(ISNA(MATCH(A317,fa_num,0)),"Facture inconnue",IF(AND(B317&lt;&gt;"",ISNA(MATCH(B317,pr_code,0))),"Article inconnu",IF(H317="","Désignation manquante",IF(OR(NOT(ISNUMBER(D317)),N(D317)&lt;=0),"Quantité invalide",IF(J317="","Prix manquant",IF(OR(NOT(ISNUMBER(J317)),N(J317)&lt;0),"Prix invalide",IF(OR(AND(F317&lt;&gt;"",NOT(ISNUMBER(F317))),N(F317)&lt;0,N(F317)&gt;1),"Remise invalide",IF(K317="","Taux de TVA manquant",IF(NOT(ISNUMBER(K317)),"Taux de TVA invalide",IF(COUNTIF(p_rates,K317)=0,"Taux de TVA hors liste (Paramètres)",IF(N(O317)&gt;25,"Au-delà de 25 lignes : non imprimée","OK")))))))))))))</f>
        <v/>
      </c>
      <c r="O317" s="59" t="str">
        <f>IF(A317="","",COUNTIF($A$6:A317,A317))</f>
        <v/>
      </c>
      <c r="P317" s="62" t="str">
        <f>IF(A317="","",A317&amp;"|"&amp;O317)</f>
        <v/>
      </c>
    </row>
    <row r="318">
      <c r="A318" s="60" t="n"/>
      <c r="B318" s="63" t="n"/>
      <c r="C318" s="63" t="n"/>
      <c r="D318" s="67" t="n"/>
      <c r="E318" s="68" t="n"/>
      <c r="F318" s="69" t="n"/>
      <c r="G318" s="70" t="n"/>
      <c r="H318" s="62" t="str">
        <f>IF(COUNTA(A318:G318)=0,"",IF(C318&lt;&gt;"",C318,IF(B318="","",IFERROR(INDEX(pr_des,MATCH(B318,pr_code,0))&amp;"",""))))</f>
        <v/>
      </c>
      <c r="I318" s="59" t="str">
        <f>IF(B318="","",IFERROR(INDEX(pr_unit,MATCH(B318,pr_code,0))&amp;"",""))</f>
        <v/>
      </c>
      <c r="J318" s="65" t="str">
        <f>IF(COUNTA(A318:G318)=0,"",IF(E318&lt;&gt;"",E318,IF(B318="","",IFERROR(IF(INDEX(pr_price,MATCH(B318,pr_code,0))="","",INDEX(pr_price,MATCH(B318,pr_code,0))),""))))</f>
        <v/>
      </c>
      <c r="K318" s="71" t="str">
        <f>IF(COUNTA(A318:G318)=0,"",IF(G318&lt;&gt;"",G318,IF(B318="","",IFERROR(IF(INDEX(pr_rate,MATCH(B318,pr_code,0))="","",INDEX(pr_rate,MATCH(B318,pr_code,0))),""))))</f>
        <v/>
      </c>
      <c r="L318" s="65" t="str">
        <f>IF(COUNTA(A318:G318)=0,"",IF(AND(ISNUMBER(D318),ISNUMBER(J318)),ROUND(D318*J318*(1-N(F318)),2),0))</f>
        <v/>
      </c>
      <c r="M318" s="62" t="str">
        <f>IF(A318="","",IFERROR(INDEX(fa_cname,MATCH(A318,fa_num,0))&amp;"",""))</f>
        <v/>
      </c>
      <c r="N318" s="59" t="str">
        <f>IF(COUNTA(A318:G318)=0,"",IF(A318="","N° facture manquant",IF(ISNA(MATCH(A318,fa_num,0)),"Facture inconnue",IF(AND(B318&lt;&gt;"",ISNA(MATCH(B318,pr_code,0))),"Article inconnu",IF(H318="","Désignation manquante",IF(OR(NOT(ISNUMBER(D318)),N(D318)&lt;=0),"Quantité invalide",IF(J318="","Prix manquant",IF(OR(NOT(ISNUMBER(J318)),N(J318)&lt;0),"Prix invalide",IF(OR(AND(F318&lt;&gt;"",NOT(ISNUMBER(F318))),N(F318)&lt;0,N(F318)&gt;1),"Remise invalide",IF(K318="","Taux de TVA manquant",IF(NOT(ISNUMBER(K318)),"Taux de TVA invalide",IF(COUNTIF(p_rates,K318)=0,"Taux de TVA hors liste (Paramètres)",IF(N(O318)&gt;25,"Au-delà de 25 lignes : non imprimée","OK")))))))))))))</f>
        <v/>
      </c>
      <c r="O318" s="59" t="str">
        <f>IF(A318="","",COUNTIF($A$6:A318,A318))</f>
        <v/>
      </c>
      <c r="P318" s="62" t="str">
        <f>IF(A318="","",A318&amp;"|"&amp;O318)</f>
        <v/>
      </c>
    </row>
    <row r="319">
      <c r="A319" s="60" t="n"/>
      <c r="B319" s="63" t="n"/>
      <c r="C319" s="63" t="n"/>
      <c r="D319" s="67" t="n"/>
      <c r="E319" s="68" t="n"/>
      <c r="F319" s="69" t="n"/>
      <c r="G319" s="70" t="n"/>
      <c r="H319" s="62" t="str">
        <f>IF(COUNTA(A319:G319)=0,"",IF(C319&lt;&gt;"",C319,IF(B319="","",IFERROR(INDEX(pr_des,MATCH(B319,pr_code,0))&amp;"",""))))</f>
        <v/>
      </c>
      <c r="I319" s="59" t="str">
        <f>IF(B319="","",IFERROR(INDEX(pr_unit,MATCH(B319,pr_code,0))&amp;"",""))</f>
        <v/>
      </c>
      <c r="J319" s="65" t="str">
        <f>IF(COUNTA(A319:G319)=0,"",IF(E319&lt;&gt;"",E319,IF(B319="","",IFERROR(IF(INDEX(pr_price,MATCH(B319,pr_code,0))="","",INDEX(pr_price,MATCH(B319,pr_code,0))),""))))</f>
        <v/>
      </c>
      <c r="K319" s="71" t="str">
        <f>IF(COUNTA(A319:G319)=0,"",IF(G319&lt;&gt;"",G319,IF(B319="","",IFERROR(IF(INDEX(pr_rate,MATCH(B319,pr_code,0))="","",INDEX(pr_rate,MATCH(B319,pr_code,0))),""))))</f>
        <v/>
      </c>
      <c r="L319" s="65" t="str">
        <f>IF(COUNTA(A319:G319)=0,"",IF(AND(ISNUMBER(D319),ISNUMBER(J319)),ROUND(D319*J319*(1-N(F319)),2),0))</f>
        <v/>
      </c>
      <c r="M319" s="62" t="str">
        <f>IF(A319="","",IFERROR(INDEX(fa_cname,MATCH(A319,fa_num,0))&amp;"",""))</f>
        <v/>
      </c>
      <c r="N319" s="59" t="str">
        <f>IF(COUNTA(A319:G319)=0,"",IF(A319="","N° facture manquant",IF(ISNA(MATCH(A319,fa_num,0)),"Facture inconnue",IF(AND(B319&lt;&gt;"",ISNA(MATCH(B319,pr_code,0))),"Article inconnu",IF(H319="","Désignation manquante",IF(OR(NOT(ISNUMBER(D319)),N(D319)&lt;=0),"Quantité invalide",IF(J319="","Prix manquant",IF(OR(NOT(ISNUMBER(J319)),N(J319)&lt;0),"Prix invalide",IF(OR(AND(F319&lt;&gt;"",NOT(ISNUMBER(F319))),N(F319)&lt;0,N(F319)&gt;1),"Remise invalide",IF(K319="","Taux de TVA manquant",IF(NOT(ISNUMBER(K319)),"Taux de TVA invalide",IF(COUNTIF(p_rates,K319)=0,"Taux de TVA hors liste (Paramètres)",IF(N(O319)&gt;25,"Au-delà de 25 lignes : non imprimée","OK")))))))))))))</f>
        <v/>
      </c>
      <c r="O319" s="59" t="str">
        <f>IF(A319="","",COUNTIF($A$6:A319,A319))</f>
        <v/>
      </c>
      <c r="P319" s="62" t="str">
        <f>IF(A319="","",A319&amp;"|"&amp;O319)</f>
        <v/>
      </c>
    </row>
    <row r="320">
      <c r="A320" s="60" t="n"/>
      <c r="B320" s="63" t="n"/>
      <c r="C320" s="63" t="n"/>
      <c r="D320" s="67" t="n"/>
      <c r="E320" s="68" t="n"/>
      <c r="F320" s="69" t="n"/>
      <c r="G320" s="70" t="n"/>
      <c r="H320" s="62" t="str">
        <f>IF(COUNTA(A320:G320)=0,"",IF(C320&lt;&gt;"",C320,IF(B320="","",IFERROR(INDEX(pr_des,MATCH(B320,pr_code,0))&amp;"",""))))</f>
        <v/>
      </c>
      <c r="I320" s="59" t="str">
        <f>IF(B320="","",IFERROR(INDEX(pr_unit,MATCH(B320,pr_code,0))&amp;"",""))</f>
        <v/>
      </c>
      <c r="J320" s="65" t="str">
        <f>IF(COUNTA(A320:G320)=0,"",IF(E320&lt;&gt;"",E320,IF(B320="","",IFERROR(IF(INDEX(pr_price,MATCH(B320,pr_code,0))="","",INDEX(pr_price,MATCH(B320,pr_code,0))),""))))</f>
        <v/>
      </c>
      <c r="K320" s="71" t="str">
        <f>IF(COUNTA(A320:G320)=0,"",IF(G320&lt;&gt;"",G320,IF(B320="","",IFERROR(IF(INDEX(pr_rate,MATCH(B320,pr_code,0))="","",INDEX(pr_rate,MATCH(B320,pr_code,0))),""))))</f>
        <v/>
      </c>
      <c r="L320" s="65" t="str">
        <f>IF(COUNTA(A320:G320)=0,"",IF(AND(ISNUMBER(D320),ISNUMBER(J320)),ROUND(D320*J320*(1-N(F320)),2),0))</f>
        <v/>
      </c>
      <c r="M320" s="62" t="str">
        <f>IF(A320="","",IFERROR(INDEX(fa_cname,MATCH(A320,fa_num,0))&amp;"",""))</f>
        <v/>
      </c>
      <c r="N320" s="59" t="str">
        <f>IF(COUNTA(A320:G320)=0,"",IF(A320="","N° facture manquant",IF(ISNA(MATCH(A320,fa_num,0)),"Facture inconnue",IF(AND(B320&lt;&gt;"",ISNA(MATCH(B320,pr_code,0))),"Article inconnu",IF(H320="","Désignation manquante",IF(OR(NOT(ISNUMBER(D320)),N(D320)&lt;=0),"Quantité invalide",IF(J320="","Prix manquant",IF(OR(NOT(ISNUMBER(J320)),N(J320)&lt;0),"Prix invalide",IF(OR(AND(F320&lt;&gt;"",NOT(ISNUMBER(F320))),N(F320)&lt;0,N(F320)&gt;1),"Remise invalide",IF(K320="","Taux de TVA manquant",IF(NOT(ISNUMBER(K320)),"Taux de TVA invalide",IF(COUNTIF(p_rates,K320)=0,"Taux de TVA hors liste (Paramètres)",IF(N(O320)&gt;25,"Au-delà de 25 lignes : non imprimée","OK")))))))))))))</f>
        <v/>
      </c>
      <c r="O320" s="59" t="str">
        <f>IF(A320="","",COUNTIF($A$6:A320,A320))</f>
        <v/>
      </c>
      <c r="P320" s="62" t="str">
        <f>IF(A320="","",A320&amp;"|"&amp;O320)</f>
        <v/>
      </c>
    </row>
    <row r="321">
      <c r="A321" s="60" t="n"/>
      <c r="B321" s="63" t="n"/>
      <c r="C321" s="63" t="n"/>
      <c r="D321" s="67" t="n"/>
      <c r="E321" s="68" t="n"/>
      <c r="F321" s="69" t="n"/>
      <c r="G321" s="70" t="n"/>
      <c r="H321" s="62" t="str">
        <f>IF(COUNTA(A321:G321)=0,"",IF(C321&lt;&gt;"",C321,IF(B321="","",IFERROR(INDEX(pr_des,MATCH(B321,pr_code,0))&amp;"",""))))</f>
        <v/>
      </c>
      <c r="I321" s="59" t="str">
        <f>IF(B321="","",IFERROR(INDEX(pr_unit,MATCH(B321,pr_code,0))&amp;"",""))</f>
        <v/>
      </c>
      <c r="J321" s="65" t="str">
        <f>IF(COUNTA(A321:G321)=0,"",IF(E321&lt;&gt;"",E321,IF(B321="","",IFERROR(IF(INDEX(pr_price,MATCH(B321,pr_code,0))="","",INDEX(pr_price,MATCH(B321,pr_code,0))),""))))</f>
        <v/>
      </c>
      <c r="K321" s="71" t="str">
        <f>IF(COUNTA(A321:G321)=0,"",IF(G321&lt;&gt;"",G321,IF(B321="","",IFERROR(IF(INDEX(pr_rate,MATCH(B321,pr_code,0))="","",INDEX(pr_rate,MATCH(B321,pr_code,0))),""))))</f>
        <v/>
      </c>
      <c r="L321" s="65" t="str">
        <f>IF(COUNTA(A321:G321)=0,"",IF(AND(ISNUMBER(D321),ISNUMBER(J321)),ROUND(D321*J321*(1-N(F321)),2),0))</f>
        <v/>
      </c>
      <c r="M321" s="62" t="str">
        <f>IF(A321="","",IFERROR(INDEX(fa_cname,MATCH(A321,fa_num,0))&amp;"",""))</f>
        <v/>
      </c>
      <c r="N321" s="59" t="str">
        <f>IF(COUNTA(A321:G321)=0,"",IF(A321="","N° facture manquant",IF(ISNA(MATCH(A321,fa_num,0)),"Facture inconnue",IF(AND(B321&lt;&gt;"",ISNA(MATCH(B321,pr_code,0))),"Article inconnu",IF(H321="","Désignation manquante",IF(OR(NOT(ISNUMBER(D321)),N(D321)&lt;=0),"Quantité invalide",IF(J321="","Prix manquant",IF(OR(NOT(ISNUMBER(J321)),N(J321)&lt;0),"Prix invalide",IF(OR(AND(F321&lt;&gt;"",NOT(ISNUMBER(F321))),N(F321)&lt;0,N(F321)&gt;1),"Remise invalide",IF(K321="","Taux de TVA manquant",IF(NOT(ISNUMBER(K321)),"Taux de TVA invalide",IF(COUNTIF(p_rates,K321)=0,"Taux de TVA hors liste (Paramètres)",IF(N(O321)&gt;25,"Au-delà de 25 lignes : non imprimée","OK")))))))))))))</f>
        <v/>
      </c>
      <c r="O321" s="59" t="str">
        <f>IF(A321="","",COUNTIF($A$6:A321,A321))</f>
        <v/>
      </c>
      <c r="P321" s="62" t="str">
        <f>IF(A321="","",A321&amp;"|"&amp;O321)</f>
        <v/>
      </c>
    </row>
    <row r="322">
      <c r="A322" s="60" t="n"/>
      <c r="B322" s="63" t="n"/>
      <c r="C322" s="63" t="n"/>
      <c r="D322" s="67" t="n"/>
      <c r="E322" s="68" t="n"/>
      <c r="F322" s="69" t="n"/>
      <c r="G322" s="70" t="n"/>
      <c r="H322" s="62" t="str">
        <f>IF(COUNTA(A322:G322)=0,"",IF(C322&lt;&gt;"",C322,IF(B322="","",IFERROR(INDEX(pr_des,MATCH(B322,pr_code,0))&amp;"",""))))</f>
        <v/>
      </c>
      <c r="I322" s="59" t="str">
        <f>IF(B322="","",IFERROR(INDEX(pr_unit,MATCH(B322,pr_code,0))&amp;"",""))</f>
        <v/>
      </c>
      <c r="J322" s="65" t="str">
        <f>IF(COUNTA(A322:G322)=0,"",IF(E322&lt;&gt;"",E322,IF(B322="","",IFERROR(IF(INDEX(pr_price,MATCH(B322,pr_code,0))="","",INDEX(pr_price,MATCH(B322,pr_code,0))),""))))</f>
        <v/>
      </c>
      <c r="K322" s="71" t="str">
        <f>IF(COUNTA(A322:G322)=0,"",IF(G322&lt;&gt;"",G322,IF(B322="","",IFERROR(IF(INDEX(pr_rate,MATCH(B322,pr_code,0))="","",INDEX(pr_rate,MATCH(B322,pr_code,0))),""))))</f>
        <v/>
      </c>
      <c r="L322" s="65" t="str">
        <f>IF(COUNTA(A322:G322)=0,"",IF(AND(ISNUMBER(D322),ISNUMBER(J322)),ROUND(D322*J322*(1-N(F322)),2),0))</f>
        <v/>
      </c>
      <c r="M322" s="62" t="str">
        <f>IF(A322="","",IFERROR(INDEX(fa_cname,MATCH(A322,fa_num,0))&amp;"",""))</f>
        <v/>
      </c>
      <c r="N322" s="59" t="str">
        <f>IF(COUNTA(A322:G322)=0,"",IF(A322="","N° facture manquant",IF(ISNA(MATCH(A322,fa_num,0)),"Facture inconnue",IF(AND(B322&lt;&gt;"",ISNA(MATCH(B322,pr_code,0))),"Article inconnu",IF(H322="","Désignation manquante",IF(OR(NOT(ISNUMBER(D322)),N(D322)&lt;=0),"Quantité invalide",IF(J322="","Prix manquant",IF(OR(NOT(ISNUMBER(J322)),N(J322)&lt;0),"Prix invalide",IF(OR(AND(F322&lt;&gt;"",NOT(ISNUMBER(F322))),N(F322)&lt;0,N(F322)&gt;1),"Remise invalide",IF(K322="","Taux de TVA manquant",IF(NOT(ISNUMBER(K322)),"Taux de TVA invalide",IF(COUNTIF(p_rates,K322)=0,"Taux de TVA hors liste (Paramètres)",IF(N(O322)&gt;25,"Au-delà de 25 lignes : non imprimée","OK")))))))))))))</f>
        <v/>
      </c>
      <c r="O322" s="59" t="str">
        <f>IF(A322="","",COUNTIF($A$6:A322,A322))</f>
        <v/>
      </c>
      <c r="P322" s="62" t="str">
        <f>IF(A322="","",A322&amp;"|"&amp;O322)</f>
        <v/>
      </c>
    </row>
    <row r="323">
      <c r="A323" s="60" t="n"/>
      <c r="B323" s="63" t="n"/>
      <c r="C323" s="63" t="n"/>
      <c r="D323" s="67" t="n"/>
      <c r="E323" s="68" t="n"/>
      <c r="F323" s="69" t="n"/>
      <c r="G323" s="70" t="n"/>
      <c r="H323" s="62" t="str">
        <f>IF(COUNTA(A323:G323)=0,"",IF(C323&lt;&gt;"",C323,IF(B323="","",IFERROR(INDEX(pr_des,MATCH(B323,pr_code,0))&amp;"",""))))</f>
        <v/>
      </c>
      <c r="I323" s="59" t="str">
        <f>IF(B323="","",IFERROR(INDEX(pr_unit,MATCH(B323,pr_code,0))&amp;"",""))</f>
        <v/>
      </c>
      <c r="J323" s="65" t="str">
        <f>IF(COUNTA(A323:G323)=0,"",IF(E323&lt;&gt;"",E323,IF(B323="","",IFERROR(IF(INDEX(pr_price,MATCH(B323,pr_code,0))="","",INDEX(pr_price,MATCH(B323,pr_code,0))),""))))</f>
        <v/>
      </c>
      <c r="K323" s="71" t="str">
        <f>IF(COUNTA(A323:G323)=0,"",IF(G323&lt;&gt;"",G323,IF(B323="","",IFERROR(IF(INDEX(pr_rate,MATCH(B323,pr_code,0))="","",INDEX(pr_rate,MATCH(B323,pr_code,0))),""))))</f>
        <v/>
      </c>
      <c r="L323" s="65" t="str">
        <f>IF(COUNTA(A323:G323)=0,"",IF(AND(ISNUMBER(D323),ISNUMBER(J323)),ROUND(D323*J323*(1-N(F323)),2),0))</f>
        <v/>
      </c>
      <c r="M323" s="62" t="str">
        <f>IF(A323="","",IFERROR(INDEX(fa_cname,MATCH(A323,fa_num,0))&amp;"",""))</f>
        <v/>
      </c>
      <c r="N323" s="59" t="str">
        <f>IF(COUNTA(A323:G323)=0,"",IF(A323="","N° facture manquant",IF(ISNA(MATCH(A323,fa_num,0)),"Facture inconnue",IF(AND(B323&lt;&gt;"",ISNA(MATCH(B323,pr_code,0))),"Article inconnu",IF(H323="","Désignation manquante",IF(OR(NOT(ISNUMBER(D323)),N(D323)&lt;=0),"Quantité invalide",IF(J323="","Prix manquant",IF(OR(NOT(ISNUMBER(J323)),N(J323)&lt;0),"Prix invalide",IF(OR(AND(F323&lt;&gt;"",NOT(ISNUMBER(F323))),N(F323)&lt;0,N(F323)&gt;1),"Remise invalide",IF(K323="","Taux de TVA manquant",IF(NOT(ISNUMBER(K323)),"Taux de TVA invalide",IF(COUNTIF(p_rates,K323)=0,"Taux de TVA hors liste (Paramètres)",IF(N(O323)&gt;25,"Au-delà de 25 lignes : non imprimée","OK")))))))))))))</f>
        <v/>
      </c>
      <c r="O323" s="59" t="str">
        <f>IF(A323="","",COUNTIF($A$6:A323,A323))</f>
        <v/>
      </c>
      <c r="P323" s="62" t="str">
        <f>IF(A323="","",A323&amp;"|"&amp;O323)</f>
        <v/>
      </c>
    </row>
    <row r="324">
      <c r="A324" s="60" t="n"/>
      <c r="B324" s="63" t="n"/>
      <c r="C324" s="63" t="n"/>
      <c r="D324" s="67" t="n"/>
      <c r="E324" s="68" t="n"/>
      <c r="F324" s="69" t="n"/>
      <c r="G324" s="70" t="n"/>
      <c r="H324" s="62" t="str">
        <f>IF(COUNTA(A324:G324)=0,"",IF(C324&lt;&gt;"",C324,IF(B324="","",IFERROR(INDEX(pr_des,MATCH(B324,pr_code,0))&amp;"",""))))</f>
        <v/>
      </c>
      <c r="I324" s="59" t="str">
        <f>IF(B324="","",IFERROR(INDEX(pr_unit,MATCH(B324,pr_code,0))&amp;"",""))</f>
        <v/>
      </c>
      <c r="J324" s="65" t="str">
        <f>IF(COUNTA(A324:G324)=0,"",IF(E324&lt;&gt;"",E324,IF(B324="","",IFERROR(IF(INDEX(pr_price,MATCH(B324,pr_code,0))="","",INDEX(pr_price,MATCH(B324,pr_code,0))),""))))</f>
        <v/>
      </c>
      <c r="K324" s="71" t="str">
        <f>IF(COUNTA(A324:G324)=0,"",IF(G324&lt;&gt;"",G324,IF(B324="","",IFERROR(IF(INDEX(pr_rate,MATCH(B324,pr_code,0))="","",INDEX(pr_rate,MATCH(B324,pr_code,0))),""))))</f>
        <v/>
      </c>
      <c r="L324" s="65" t="str">
        <f>IF(COUNTA(A324:G324)=0,"",IF(AND(ISNUMBER(D324),ISNUMBER(J324)),ROUND(D324*J324*(1-N(F324)),2),0))</f>
        <v/>
      </c>
      <c r="M324" s="62" t="str">
        <f>IF(A324="","",IFERROR(INDEX(fa_cname,MATCH(A324,fa_num,0))&amp;"",""))</f>
        <v/>
      </c>
      <c r="N324" s="59" t="str">
        <f>IF(COUNTA(A324:G324)=0,"",IF(A324="","N° facture manquant",IF(ISNA(MATCH(A324,fa_num,0)),"Facture inconnue",IF(AND(B324&lt;&gt;"",ISNA(MATCH(B324,pr_code,0))),"Article inconnu",IF(H324="","Désignation manquante",IF(OR(NOT(ISNUMBER(D324)),N(D324)&lt;=0),"Quantité invalide",IF(J324="","Prix manquant",IF(OR(NOT(ISNUMBER(J324)),N(J324)&lt;0),"Prix invalide",IF(OR(AND(F324&lt;&gt;"",NOT(ISNUMBER(F324))),N(F324)&lt;0,N(F324)&gt;1),"Remise invalide",IF(K324="","Taux de TVA manquant",IF(NOT(ISNUMBER(K324)),"Taux de TVA invalide",IF(COUNTIF(p_rates,K324)=0,"Taux de TVA hors liste (Paramètres)",IF(N(O324)&gt;25,"Au-delà de 25 lignes : non imprimée","OK")))))))))))))</f>
        <v/>
      </c>
      <c r="O324" s="59" t="str">
        <f>IF(A324="","",COUNTIF($A$6:A324,A324))</f>
        <v/>
      </c>
      <c r="P324" s="62" t="str">
        <f>IF(A324="","",A324&amp;"|"&amp;O324)</f>
        <v/>
      </c>
    </row>
    <row r="325">
      <c r="A325" s="60" t="n"/>
      <c r="B325" s="63" t="n"/>
      <c r="C325" s="63" t="n"/>
      <c r="D325" s="67" t="n"/>
      <c r="E325" s="68" t="n"/>
      <c r="F325" s="69" t="n"/>
      <c r="G325" s="70" t="n"/>
      <c r="H325" s="62" t="str">
        <f>IF(COUNTA(A325:G325)=0,"",IF(C325&lt;&gt;"",C325,IF(B325="","",IFERROR(INDEX(pr_des,MATCH(B325,pr_code,0))&amp;"",""))))</f>
        <v/>
      </c>
      <c r="I325" s="59" t="str">
        <f>IF(B325="","",IFERROR(INDEX(pr_unit,MATCH(B325,pr_code,0))&amp;"",""))</f>
        <v/>
      </c>
      <c r="J325" s="65" t="str">
        <f>IF(COUNTA(A325:G325)=0,"",IF(E325&lt;&gt;"",E325,IF(B325="","",IFERROR(IF(INDEX(pr_price,MATCH(B325,pr_code,0))="","",INDEX(pr_price,MATCH(B325,pr_code,0))),""))))</f>
        <v/>
      </c>
      <c r="K325" s="71" t="str">
        <f>IF(COUNTA(A325:G325)=0,"",IF(G325&lt;&gt;"",G325,IF(B325="","",IFERROR(IF(INDEX(pr_rate,MATCH(B325,pr_code,0))="","",INDEX(pr_rate,MATCH(B325,pr_code,0))),""))))</f>
        <v/>
      </c>
      <c r="L325" s="65" t="str">
        <f>IF(COUNTA(A325:G325)=0,"",IF(AND(ISNUMBER(D325),ISNUMBER(J325)),ROUND(D325*J325*(1-N(F325)),2),0))</f>
        <v/>
      </c>
      <c r="M325" s="62" t="str">
        <f>IF(A325="","",IFERROR(INDEX(fa_cname,MATCH(A325,fa_num,0))&amp;"",""))</f>
        <v/>
      </c>
      <c r="N325" s="59" t="str">
        <f>IF(COUNTA(A325:G325)=0,"",IF(A325="","N° facture manquant",IF(ISNA(MATCH(A325,fa_num,0)),"Facture inconnue",IF(AND(B325&lt;&gt;"",ISNA(MATCH(B325,pr_code,0))),"Article inconnu",IF(H325="","Désignation manquante",IF(OR(NOT(ISNUMBER(D325)),N(D325)&lt;=0),"Quantité invalide",IF(J325="","Prix manquant",IF(OR(NOT(ISNUMBER(J325)),N(J325)&lt;0),"Prix invalide",IF(OR(AND(F325&lt;&gt;"",NOT(ISNUMBER(F325))),N(F325)&lt;0,N(F325)&gt;1),"Remise invalide",IF(K325="","Taux de TVA manquant",IF(NOT(ISNUMBER(K325)),"Taux de TVA invalide",IF(COUNTIF(p_rates,K325)=0,"Taux de TVA hors liste (Paramètres)",IF(N(O325)&gt;25,"Au-delà de 25 lignes : non imprimée","OK")))))))))))))</f>
        <v/>
      </c>
      <c r="O325" s="59" t="str">
        <f>IF(A325="","",COUNTIF($A$6:A325,A325))</f>
        <v/>
      </c>
      <c r="P325" s="62" t="str">
        <f>IF(A325="","",A325&amp;"|"&amp;O325)</f>
        <v/>
      </c>
    </row>
    <row r="326">
      <c r="A326" s="60" t="n"/>
      <c r="B326" s="63" t="n"/>
      <c r="C326" s="63" t="n"/>
      <c r="D326" s="67" t="n"/>
      <c r="E326" s="68" t="n"/>
      <c r="F326" s="69" t="n"/>
      <c r="G326" s="70" t="n"/>
      <c r="H326" s="62" t="str">
        <f>IF(COUNTA(A326:G326)=0,"",IF(C326&lt;&gt;"",C326,IF(B326="","",IFERROR(INDEX(pr_des,MATCH(B326,pr_code,0))&amp;"",""))))</f>
        <v/>
      </c>
      <c r="I326" s="59" t="str">
        <f>IF(B326="","",IFERROR(INDEX(pr_unit,MATCH(B326,pr_code,0))&amp;"",""))</f>
        <v/>
      </c>
      <c r="J326" s="65" t="str">
        <f>IF(COUNTA(A326:G326)=0,"",IF(E326&lt;&gt;"",E326,IF(B326="","",IFERROR(IF(INDEX(pr_price,MATCH(B326,pr_code,0))="","",INDEX(pr_price,MATCH(B326,pr_code,0))),""))))</f>
        <v/>
      </c>
      <c r="K326" s="71" t="str">
        <f>IF(COUNTA(A326:G326)=0,"",IF(G326&lt;&gt;"",G326,IF(B326="","",IFERROR(IF(INDEX(pr_rate,MATCH(B326,pr_code,0))="","",INDEX(pr_rate,MATCH(B326,pr_code,0))),""))))</f>
        <v/>
      </c>
      <c r="L326" s="65" t="str">
        <f>IF(COUNTA(A326:G326)=0,"",IF(AND(ISNUMBER(D326),ISNUMBER(J326)),ROUND(D326*J326*(1-N(F326)),2),0))</f>
        <v/>
      </c>
      <c r="M326" s="62" t="str">
        <f>IF(A326="","",IFERROR(INDEX(fa_cname,MATCH(A326,fa_num,0))&amp;"",""))</f>
        <v/>
      </c>
      <c r="N326" s="59" t="str">
        <f>IF(COUNTA(A326:G326)=0,"",IF(A326="","N° facture manquant",IF(ISNA(MATCH(A326,fa_num,0)),"Facture inconnue",IF(AND(B326&lt;&gt;"",ISNA(MATCH(B326,pr_code,0))),"Article inconnu",IF(H326="","Désignation manquante",IF(OR(NOT(ISNUMBER(D326)),N(D326)&lt;=0),"Quantité invalide",IF(J326="","Prix manquant",IF(OR(NOT(ISNUMBER(J326)),N(J326)&lt;0),"Prix invalide",IF(OR(AND(F326&lt;&gt;"",NOT(ISNUMBER(F326))),N(F326)&lt;0,N(F326)&gt;1),"Remise invalide",IF(K326="","Taux de TVA manquant",IF(NOT(ISNUMBER(K326)),"Taux de TVA invalide",IF(COUNTIF(p_rates,K326)=0,"Taux de TVA hors liste (Paramètres)",IF(N(O326)&gt;25,"Au-delà de 25 lignes : non imprimée","OK")))))))))))))</f>
        <v/>
      </c>
      <c r="O326" s="59" t="str">
        <f>IF(A326="","",COUNTIF($A$6:A326,A326))</f>
        <v/>
      </c>
      <c r="P326" s="62" t="str">
        <f>IF(A326="","",A326&amp;"|"&amp;O326)</f>
        <v/>
      </c>
    </row>
    <row r="327">
      <c r="A327" s="60" t="n"/>
      <c r="B327" s="63" t="n"/>
      <c r="C327" s="63" t="n"/>
      <c r="D327" s="67" t="n"/>
      <c r="E327" s="68" t="n"/>
      <c r="F327" s="69" t="n"/>
      <c r="G327" s="70" t="n"/>
      <c r="H327" s="62" t="str">
        <f>IF(COUNTA(A327:G327)=0,"",IF(C327&lt;&gt;"",C327,IF(B327="","",IFERROR(INDEX(pr_des,MATCH(B327,pr_code,0))&amp;"",""))))</f>
        <v/>
      </c>
      <c r="I327" s="59" t="str">
        <f>IF(B327="","",IFERROR(INDEX(pr_unit,MATCH(B327,pr_code,0))&amp;"",""))</f>
        <v/>
      </c>
      <c r="J327" s="65" t="str">
        <f>IF(COUNTA(A327:G327)=0,"",IF(E327&lt;&gt;"",E327,IF(B327="","",IFERROR(IF(INDEX(pr_price,MATCH(B327,pr_code,0))="","",INDEX(pr_price,MATCH(B327,pr_code,0))),""))))</f>
        <v/>
      </c>
      <c r="K327" s="71" t="str">
        <f>IF(COUNTA(A327:G327)=0,"",IF(G327&lt;&gt;"",G327,IF(B327="","",IFERROR(IF(INDEX(pr_rate,MATCH(B327,pr_code,0))="","",INDEX(pr_rate,MATCH(B327,pr_code,0))),""))))</f>
        <v/>
      </c>
      <c r="L327" s="65" t="str">
        <f>IF(COUNTA(A327:G327)=0,"",IF(AND(ISNUMBER(D327),ISNUMBER(J327)),ROUND(D327*J327*(1-N(F327)),2),0))</f>
        <v/>
      </c>
      <c r="M327" s="62" t="str">
        <f>IF(A327="","",IFERROR(INDEX(fa_cname,MATCH(A327,fa_num,0))&amp;"",""))</f>
        <v/>
      </c>
      <c r="N327" s="59" t="str">
        <f>IF(COUNTA(A327:G327)=0,"",IF(A327="","N° facture manquant",IF(ISNA(MATCH(A327,fa_num,0)),"Facture inconnue",IF(AND(B327&lt;&gt;"",ISNA(MATCH(B327,pr_code,0))),"Article inconnu",IF(H327="","Désignation manquante",IF(OR(NOT(ISNUMBER(D327)),N(D327)&lt;=0),"Quantité invalide",IF(J327="","Prix manquant",IF(OR(NOT(ISNUMBER(J327)),N(J327)&lt;0),"Prix invalide",IF(OR(AND(F327&lt;&gt;"",NOT(ISNUMBER(F327))),N(F327)&lt;0,N(F327)&gt;1),"Remise invalide",IF(K327="","Taux de TVA manquant",IF(NOT(ISNUMBER(K327)),"Taux de TVA invalide",IF(COUNTIF(p_rates,K327)=0,"Taux de TVA hors liste (Paramètres)",IF(N(O327)&gt;25,"Au-delà de 25 lignes : non imprimée","OK")))))))))))))</f>
        <v/>
      </c>
      <c r="O327" s="59" t="str">
        <f>IF(A327="","",COUNTIF($A$6:A327,A327))</f>
        <v/>
      </c>
      <c r="P327" s="62" t="str">
        <f>IF(A327="","",A327&amp;"|"&amp;O327)</f>
        <v/>
      </c>
    </row>
    <row r="328">
      <c r="A328" s="60" t="n"/>
      <c r="B328" s="63" t="n"/>
      <c r="C328" s="63" t="n"/>
      <c r="D328" s="67" t="n"/>
      <c r="E328" s="68" t="n"/>
      <c r="F328" s="69" t="n"/>
      <c r="G328" s="70" t="n"/>
      <c r="H328" s="62" t="str">
        <f>IF(COUNTA(A328:G328)=0,"",IF(C328&lt;&gt;"",C328,IF(B328="","",IFERROR(INDEX(pr_des,MATCH(B328,pr_code,0))&amp;"",""))))</f>
        <v/>
      </c>
      <c r="I328" s="59" t="str">
        <f>IF(B328="","",IFERROR(INDEX(pr_unit,MATCH(B328,pr_code,0))&amp;"",""))</f>
        <v/>
      </c>
      <c r="J328" s="65" t="str">
        <f>IF(COUNTA(A328:G328)=0,"",IF(E328&lt;&gt;"",E328,IF(B328="","",IFERROR(IF(INDEX(pr_price,MATCH(B328,pr_code,0))="","",INDEX(pr_price,MATCH(B328,pr_code,0))),""))))</f>
        <v/>
      </c>
      <c r="K328" s="71" t="str">
        <f>IF(COUNTA(A328:G328)=0,"",IF(G328&lt;&gt;"",G328,IF(B328="","",IFERROR(IF(INDEX(pr_rate,MATCH(B328,pr_code,0))="","",INDEX(pr_rate,MATCH(B328,pr_code,0))),""))))</f>
        <v/>
      </c>
      <c r="L328" s="65" t="str">
        <f>IF(COUNTA(A328:G328)=0,"",IF(AND(ISNUMBER(D328),ISNUMBER(J328)),ROUND(D328*J328*(1-N(F328)),2),0))</f>
        <v/>
      </c>
      <c r="M328" s="62" t="str">
        <f>IF(A328="","",IFERROR(INDEX(fa_cname,MATCH(A328,fa_num,0))&amp;"",""))</f>
        <v/>
      </c>
      <c r="N328" s="59" t="str">
        <f>IF(COUNTA(A328:G328)=0,"",IF(A328="","N° facture manquant",IF(ISNA(MATCH(A328,fa_num,0)),"Facture inconnue",IF(AND(B328&lt;&gt;"",ISNA(MATCH(B328,pr_code,0))),"Article inconnu",IF(H328="","Désignation manquante",IF(OR(NOT(ISNUMBER(D328)),N(D328)&lt;=0),"Quantité invalide",IF(J328="","Prix manquant",IF(OR(NOT(ISNUMBER(J328)),N(J328)&lt;0),"Prix invalide",IF(OR(AND(F328&lt;&gt;"",NOT(ISNUMBER(F328))),N(F328)&lt;0,N(F328)&gt;1),"Remise invalide",IF(K328="","Taux de TVA manquant",IF(NOT(ISNUMBER(K328)),"Taux de TVA invalide",IF(COUNTIF(p_rates,K328)=0,"Taux de TVA hors liste (Paramètres)",IF(N(O328)&gt;25,"Au-delà de 25 lignes : non imprimée","OK")))))))))))))</f>
        <v/>
      </c>
      <c r="O328" s="59" t="str">
        <f>IF(A328="","",COUNTIF($A$6:A328,A328))</f>
        <v/>
      </c>
      <c r="P328" s="62" t="str">
        <f>IF(A328="","",A328&amp;"|"&amp;O328)</f>
        <v/>
      </c>
    </row>
    <row r="329">
      <c r="A329" s="60" t="n"/>
      <c r="B329" s="63" t="n"/>
      <c r="C329" s="63" t="n"/>
      <c r="D329" s="67" t="n"/>
      <c r="E329" s="68" t="n"/>
      <c r="F329" s="69" t="n"/>
      <c r="G329" s="70" t="n"/>
      <c r="H329" s="62" t="str">
        <f>IF(COUNTA(A329:G329)=0,"",IF(C329&lt;&gt;"",C329,IF(B329="","",IFERROR(INDEX(pr_des,MATCH(B329,pr_code,0))&amp;"",""))))</f>
        <v/>
      </c>
      <c r="I329" s="59" t="str">
        <f>IF(B329="","",IFERROR(INDEX(pr_unit,MATCH(B329,pr_code,0))&amp;"",""))</f>
        <v/>
      </c>
      <c r="J329" s="65" t="str">
        <f>IF(COUNTA(A329:G329)=0,"",IF(E329&lt;&gt;"",E329,IF(B329="","",IFERROR(IF(INDEX(pr_price,MATCH(B329,pr_code,0))="","",INDEX(pr_price,MATCH(B329,pr_code,0))),""))))</f>
        <v/>
      </c>
      <c r="K329" s="71" t="str">
        <f>IF(COUNTA(A329:G329)=0,"",IF(G329&lt;&gt;"",G329,IF(B329="","",IFERROR(IF(INDEX(pr_rate,MATCH(B329,pr_code,0))="","",INDEX(pr_rate,MATCH(B329,pr_code,0))),""))))</f>
        <v/>
      </c>
      <c r="L329" s="65" t="str">
        <f>IF(COUNTA(A329:G329)=0,"",IF(AND(ISNUMBER(D329),ISNUMBER(J329)),ROUND(D329*J329*(1-N(F329)),2),0))</f>
        <v/>
      </c>
      <c r="M329" s="62" t="str">
        <f>IF(A329="","",IFERROR(INDEX(fa_cname,MATCH(A329,fa_num,0))&amp;"",""))</f>
        <v/>
      </c>
      <c r="N329" s="59" t="str">
        <f>IF(COUNTA(A329:G329)=0,"",IF(A329="","N° facture manquant",IF(ISNA(MATCH(A329,fa_num,0)),"Facture inconnue",IF(AND(B329&lt;&gt;"",ISNA(MATCH(B329,pr_code,0))),"Article inconnu",IF(H329="","Désignation manquante",IF(OR(NOT(ISNUMBER(D329)),N(D329)&lt;=0),"Quantité invalide",IF(J329="","Prix manquant",IF(OR(NOT(ISNUMBER(J329)),N(J329)&lt;0),"Prix invalide",IF(OR(AND(F329&lt;&gt;"",NOT(ISNUMBER(F329))),N(F329)&lt;0,N(F329)&gt;1),"Remise invalide",IF(K329="","Taux de TVA manquant",IF(NOT(ISNUMBER(K329)),"Taux de TVA invalide",IF(COUNTIF(p_rates,K329)=0,"Taux de TVA hors liste (Paramètres)",IF(N(O329)&gt;25,"Au-delà de 25 lignes : non imprimée","OK")))))))))))))</f>
        <v/>
      </c>
      <c r="O329" s="59" t="str">
        <f>IF(A329="","",COUNTIF($A$6:A329,A329))</f>
        <v/>
      </c>
      <c r="P329" s="62" t="str">
        <f>IF(A329="","",A329&amp;"|"&amp;O329)</f>
        <v/>
      </c>
    </row>
    <row r="330">
      <c r="A330" s="60" t="n"/>
      <c r="B330" s="63" t="n"/>
      <c r="C330" s="63" t="n"/>
      <c r="D330" s="67" t="n"/>
      <c r="E330" s="68" t="n"/>
      <c r="F330" s="69" t="n"/>
      <c r="G330" s="70" t="n"/>
      <c r="H330" s="62" t="str">
        <f>IF(COUNTA(A330:G330)=0,"",IF(C330&lt;&gt;"",C330,IF(B330="","",IFERROR(INDEX(pr_des,MATCH(B330,pr_code,0))&amp;"",""))))</f>
        <v/>
      </c>
      <c r="I330" s="59" t="str">
        <f>IF(B330="","",IFERROR(INDEX(pr_unit,MATCH(B330,pr_code,0))&amp;"",""))</f>
        <v/>
      </c>
      <c r="J330" s="65" t="str">
        <f>IF(COUNTA(A330:G330)=0,"",IF(E330&lt;&gt;"",E330,IF(B330="","",IFERROR(IF(INDEX(pr_price,MATCH(B330,pr_code,0))="","",INDEX(pr_price,MATCH(B330,pr_code,0))),""))))</f>
        <v/>
      </c>
      <c r="K330" s="71" t="str">
        <f>IF(COUNTA(A330:G330)=0,"",IF(G330&lt;&gt;"",G330,IF(B330="","",IFERROR(IF(INDEX(pr_rate,MATCH(B330,pr_code,0))="","",INDEX(pr_rate,MATCH(B330,pr_code,0))),""))))</f>
        <v/>
      </c>
      <c r="L330" s="65" t="str">
        <f>IF(COUNTA(A330:G330)=0,"",IF(AND(ISNUMBER(D330),ISNUMBER(J330)),ROUND(D330*J330*(1-N(F330)),2),0))</f>
        <v/>
      </c>
      <c r="M330" s="62" t="str">
        <f>IF(A330="","",IFERROR(INDEX(fa_cname,MATCH(A330,fa_num,0))&amp;"",""))</f>
        <v/>
      </c>
      <c r="N330" s="59" t="str">
        <f>IF(COUNTA(A330:G330)=0,"",IF(A330="","N° facture manquant",IF(ISNA(MATCH(A330,fa_num,0)),"Facture inconnue",IF(AND(B330&lt;&gt;"",ISNA(MATCH(B330,pr_code,0))),"Article inconnu",IF(H330="","Désignation manquante",IF(OR(NOT(ISNUMBER(D330)),N(D330)&lt;=0),"Quantité invalide",IF(J330="","Prix manquant",IF(OR(NOT(ISNUMBER(J330)),N(J330)&lt;0),"Prix invalide",IF(OR(AND(F330&lt;&gt;"",NOT(ISNUMBER(F330))),N(F330)&lt;0,N(F330)&gt;1),"Remise invalide",IF(K330="","Taux de TVA manquant",IF(NOT(ISNUMBER(K330)),"Taux de TVA invalide",IF(COUNTIF(p_rates,K330)=0,"Taux de TVA hors liste (Paramètres)",IF(N(O330)&gt;25,"Au-delà de 25 lignes : non imprimée","OK")))))))))))))</f>
        <v/>
      </c>
      <c r="O330" s="59" t="str">
        <f>IF(A330="","",COUNTIF($A$6:A330,A330))</f>
        <v/>
      </c>
      <c r="P330" s="62" t="str">
        <f>IF(A330="","",A330&amp;"|"&amp;O330)</f>
        <v/>
      </c>
    </row>
    <row r="331">
      <c r="A331" s="60" t="n"/>
      <c r="B331" s="63" t="n"/>
      <c r="C331" s="63" t="n"/>
      <c r="D331" s="67" t="n"/>
      <c r="E331" s="68" t="n"/>
      <c r="F331" s="69" t="n"/>
      <c r="G331" s="70" t="n"/>
      <c r="H331" s="62" t="str">
        <f>IF(COUNTA(A331:G331)=0,"",IF(C331&lt;&gt;"",C331,IF(B331="","",IFERROR(INDEX(pr_des,MATCH(B331,pr_code,0))&amp;"",""))))</f>
        <v/>
      </c>
      <c r="I331" s="59" t="str">
        <f>IF(B331="","",IFERROR(INDEX(pr_unit,MATCH(B331,pr_code,0))&amp;"",""))</f>
        <v/>
      </c>
      <c r="J331" s="65" t="str">
        <f>IF(COUNTA(A331:G331)=0,"",IF(E331&lt;&gt;"",E331,IF(B331="","",IFERROR(IF(INDEX(pr_price,MATCH(B331,pr_code,0))="","",INDEX(pr_price,MATCH(B331,pr_code,0))),""))))</f>
        <v/>
      </c>
      <c r="K331" s="71" t="str">
        <f>IF(COUNTA(A331:G331)=0,"",IF(G331&lt;&gt;"",G331,IF(B331="","",IFERROR(IF(INDEX(pr_rate,MATCH(B331,pr_code,0))="","",INDEX(pr_rate,MATCH(B331,pr_code,0))),""))))</f>
        <v/>
      </c>
      <c r="L331" s="65" t="str">
        <f>IF(COUNTA(A331:G331)=0,"",IF(AND(ISNUMBER(D331),ISNUMBER(J331)),ROUND(D331*J331*(1-N(F331)),2),0))</f>
        <v/>
      </c>
      <c r="M331" s="62" t="str">
        <f>IF(A331="","",IFERROR(INDEX(fa_cname,MATCH(A331,fa_num,0))&amp;"",""))</f>
        <v/>
      </c>
      <c r="N331" s="59" t="str">
        <f>IF(COUNTA(A331:G331)=0,"",IF(A331="","N° facture manquant",IF(ISNA(MATCH(A331,fa_num,0)),"Facture inconnue",IF(AND(B331&lt;&gt;"",ISNA(MATCH(B331,pr_code,0))),"Article inconnu",IF(H331="","Désignation manquante",IF(OR(NOT(ISNUMBER(D331)),N(D331)&lt;=0),"Quantité invalide",IF(J331="","Prix manquant",IF(OR(NOT(ISNUMBER(J331)),N(J331)&lt;0),"Prix invalide",IF(OR(AND(F331&lt;&gt;"",NOT(ISNUMBER(F331))),N(F331)&lt;0,N(F331)&gt;1),"Remise invalide",IF(K331="","Taux de TVA manquant",IF(NOT(ISNUMBER(K331)),"Taux de TVA invalide",IF(COUNTIF(p_rates,K331)=0,"Taux de TVA hors liste (Paramètres)",IF(N(O331)&gt;25,"Au-delà de 25 lignes : non imprimée","OK")))))))))))))</f>
        <v/>
      </c>
      <c r="O331" s="59" t="str">
        <f>IF(A331="","",COUNTIF($A$6:A331,A331))</f>
        <v/>
      </c>
      <c r="P331" s="62" t="str">
        <f>IF(A331="","",A331&amp;"|"&amp;O331)</f>
        <v/>
      </c>
    </row>
    <row r="332">
      <c r="A332" s="60" t="n"/>
      <c r="B332" s="63" t="n"/>
      <c r="C332" s="63" t="n"/>
      <c r="D332" s="67" t="n"/>
      <c r="E332" s="68" t="n"/>
      <c r="F332" s="69" t="n"/>
      <c r="G332" s="70" t="n"/>
      <c r="H332" s="62" t="str">
        <f>IF(COUNTA(A332:G332)=0,"",IF(C332&lt;&gt;"",C332,IF(B332="","",IFERROR(INDEX(pr_des,MATCH(B332,pr_code,0))&amp;"",""))))</f>
        <v/>
      </c>
      <c r="I332" s="59" t="str">
        <f>IF(B332="","",IFERROR(INDEX(pr_unit,MATCH(B332,pr_code,0))&amp;"",""))</f>
        <v/>
      </c>
      <c r="J332" s="65" t="str">
        <f>IF(COUNTA(A332:G332)=0,"",IF(E332&lt;&gt;"",E332,IF(B332="","",IFERROR(IF(INDEX(pr_price,MATCH(B332,pr_code,0))="","",INDEX(pr_price,MATCH(B332,pr_code,0))),""))))</f>
        <v/>
      </c>
      <c r="K332" s="71" t="str">
        <f>IF(COUNTA(A332:G332)=0,"",IF(G332&lt;&gt;"",G332,IF(B332="","",IFERROR(IF(INDEX(pr_rate,MATCH(B332,pr_code,0))="","",INDEX(pr_rate,MATCH(B332,pr_code,0))),""))))</f>
        <v/>
      </c>
      <c r="L332" s="65" t="str">
        <f>IF(COUNTA(A332:G332)=0,"",IF(AND(ISNUMBER(D332),ISNUMBER(J332)),ROUND(D332*J332*(1-N(F332)),2),0))</f>
        <v/>
      </c>
      <c r="M332" s="62" t="str">
        <f>IF(A332="","",IFERROR(INDEX(fa_cname,MATCH(A332,fa_num,0))&amp;"",""))</f>
        <v/>
      </c>
      <c r="N332" s="59" t="str">
        <f>IF(COUNTA(A332:G332)=0,"",IF(A332="","N° facture manquant",IF(ISNA(MATCH(A332,fa_num,0)),"Facture inconnue",IF(AND(B332&lt;&gt;"",ISNA(MATCH(B332,pr_code,0))),"Article inconnu",IF(H332="","Désignation manquante",IF(OR(NOT(ISNUMBER(D332)),N(D332)&lt;=0),"Quantité invalide",IF(J332="","Prix manquant",IF(OR(NOT(ISNUMBER(J332)),N(J332)&lt;0),"Prix invalide",IF(OR(AND(F332&lt;&gt;"",NOT(ISNUMBER(F332))),N(F332)&lt;0,N(F332)&gt;1),"Remise invalide",IF(K332="","Taux de TVA manquant",IF(NOT(ISNUMBER(K332)),"Taux de TVA invalide",IF(COUNTIF(p_rates,K332)=0,"Taux de TVA hors liste (Paramètres)",IF(N(O332)&gt;25,"Au-delà de 25 lignes : non imprimée","OK")))))))))))))</f>
        <v/>
      </c>
      <c r="O332" s="59" t="str">
        <f>IF(A332="","",COUNTIF($A$6:A332,A332))</f>
        <v/>
      </c>
      <c r="P332" s="62" t="str">
        <f>IF(A332="","",A332&amp;"|"&amp;O332)</f>
        <v/>
      </c>
    </row>
    <row r="333">
      <c r="A333" s="60" t="n"/>
      <c r="B333" s="63" t="n"/>
      <c r="C333" s="63" t="n"/>
      <c r="D333" s="67" t="n"/>
      <c r="E333" s="68" t="n"/>
      <c r="F333" s="69" t="n"/>
      <c r="G333" s="70" t="n"/>
      <c r="H333" s="62" t="str">
        <f>IF(COUNTA(A333:G333)=0,"",IF(C333&lt;&gt;"",C333,IF(B333="","",IFERROR(INDEX(pr_des,MATCH(B333,pr_code,0))&amp;"",""))))</f>
        <v/>
      </c>
      <c r="I333" s="59" t="str">
        <f>IF(B333="","",IFERROR(INDEX(pr_unit,MATCH(B333,pr_code,0))&amp;"",""))</f>
        <v/>
      </c>
      <c r="J333" s="65" t="str">
        <f>IF(COUNTA(A333:G333)=0,"",IF(E333&lt;&gt;"",E333,IF(B333="","",IFERROR(IF(INDEX(pr_price,MATCH(B333,pr_code,0))="","",INDEX(pr_price,MATCH(B333,pr_code,0))),""))))</f>
        <v/>
      </c>
      <c r="K333" s="71" t="str">
        <f>IF(COUNTA(A333:G333)=0,"",IF(G333&lt;&gt;"",G333,IF(B333="","",IFERROR(IF(INDEX(pr_rate,MATCH(B333,pr_code,0))="","",INDEX(pr_rate,MATCH(B333,pr_code,0))),""))))</f>
        <v/>
      </c>
      <c r="L333" s="65" t="str">
        <f>IF(COUNTA(A333:G333)=0,"",IF(AND(ISNUMBER(D333),ISNUMBER(J333)),ROUND(D333*J333*(1-N(F333)),2),0))</f>
        <v/>
      </c>
      <c r="M333" s="62" t="str">
        <f>IF(A333="","",IFERROR(INDEX(fa_cname,MATCH(A333,fa_num,0))&amp;"",""))</f>
        <v/>
      </c>
      <c r="N333" s="59" t="str">
        <f>IF(COUNTA(A333:G333)=0,"",IF(A333="","N° facture manquant",IF(ISNA(MATCH(A333,fa_num,0)),"Facture inconnue",IF(AND(B333&lt;&gt;"",ISNA(MATCH(B333,pr_code,0))),"Article inconnu",IF(H333="","Désignation manquante",IF(OR(NOT(ISNUMBER(D333)),N(D333)&lt;=0),"Quantité invalide",IF(J333="","Prix manquant",IF(OR(NOT(ISNUMBER(J333)),N(J333)&lt;0),"Prix invalide",IF(OR(AND(F333&lt;&gt;"",NOT(ISNUMBER(F333))),N(F333)&lt;0,N(F333)&gt;1),"Remise invalide",IF(K333="","Taux de TVA manquant",IF(NOT(ISNUMBER(K333)),"Taux de TVA invalide",IF(COUNTIF(p_rates,K333)=0,"Taux de TVA hors liste (Paramètres)",IF(N(O333)&gt;25,"Au-delà de 25 lignes : non imprimée","OK")))))))))))))</f>
        <v/>
      </c>
      <c r="O333" s="59" t="str">
        <f>IF(A333="","",COUNTIF($A$6:A333,A333))</f>
        <v/>
      </c>
      <c r="P333" s="62" t="str">
        <f>IF(A333="","",A333&amp;"|"&amp;O333)</f>
        <v/>
      </c>
    </row>
    <row r="334">
      <c r="A334" s="60" t="n"/>
      <c r="B334" s="63" t="n"/>
      <c r="C334" s="63" t="n"/>
      <c r="D334" s="67" t="n"/>
      <c r="E334" s="68" t="n"/>
      <c r="F334" s="69" t="n"/>
      <c r="G334" s="70" t="n"/>
      <c r="H334" s="62" t="str">
        <f>IF(COUNTA(A334:G334)=0,"",IF(C334&lt;&gt;"",C334,IF(B334="","",IFERROR(INDEX(pr_des,MATCH(B334,pr_code,0))&amp;"",""))))</f>
        <v/>
      </c>
      <c r="I334" s="59" t="str">
        <f>IF(B334="","",IFERROR(INDEX(pr_unit,MATCH(B334,pr_code,0))&amp;"",""))</f>
        <v/>
      </c>
      <c r="J334" s="65" t="str">
        <f>IF(COUNTA(A334:G334)=0,"",IF(E334&lt;&gt;"",E334,IF(B334="","",IFERROR(IF(INDEX(pr_price,MATCH(B334,pr_code,0))="","",INDEX(pr_price,MATCH(B334,pr_code,0))),""))))</f>
        <v/>
      </c>
      <c r="K334" s="71" t="str">
        <f>IF(COUNTA(A334:G334)=0,"",IF(G334&lt;&gt;"",G334,IF(B334="","",IFERROR(IF(INDEX(pr_rate,MATCH(B334,pr_code,0))="","",INDEX(pr_rate,MATCH(B334,pr_code,0))),""))))</f>
        <v/>
      </c>
      <c r="L334" s="65" t="str">
        <f>IF(COUNTA(A334:G334)=0,"",IF(AND(ISNUMBER(D334),ISNUMBER(J334)),ROUND(D334*J334*(1-N(F334)),2),0))</f>
        <v/>
      </c>
      <c r="M334" s="62" t="str">
        <f>IF(A334="","",IFERROR(INDEX(fa_cname,MATCH(A334,fa_num,0))&amp;"",""))</f>
        <v/>
      </c>
      <c r="N334" s="59" t="str">
        <f>IF(COUNTA(A334:G334)=0,"",IF(A334="","N° facture manquant",IF(ISNA(MATCH(A334,fa_num,0)),"Facture inconnue",IF(AND(B334&lt;&gt;"",ISNA(MATCH(B334,pr_code,0))),"Article inconnu",IF(H334="","Désignation manquante",IF(OR(NOT(ISNUMBER(D334)),N(D334)&lt;=0),"Quantité invalide",IF(J334="","Prix manquant",IF(OR(NOT(ISNUMBER(J334)),N(J334)&lt;0),"Prix invalide",IF(OR(AND(F334&lt;&gt;"",NOT(ISNUMBER(F334))),N(F334)&lt;0,N(F334)&gt;1),"Remise invalide",IF(K334="","Taux de TVA manquant",IF(NOT(ISNUMBER(K334)),"Taux de TVA invalide",IF(COUNTIF(p_rates,K334)=0,"Taux de TVA hors liste (Paramètres)",IF(N(O334)&gt;25,"Au-delà de 25 lignes : non imprimée","OK")))))))))))))</f>
        <v/>
      </c>
      <c r="O334" s="59" t="str">
        <f>IF(A334="","",COUNTIF($A$6:A334,A334))</f>
        <v/>
      </c>
      <c r="P334" s="62" t="str">
        <f>IF(A334="","",A334&amp;"|"&amp;O334)</f>
        <v/>
      </c>
    </row>
    <row r="335">
      <c r="A335" s="60" t="n"/>
      <c r="B335" s="63" t="n"/>
      <c r="C335" s="63" t="n"/>
      <c r="D335" s="67" t="n"/>
      <c r="E335" s="68" t="n"/>
      <c r="F335" s="69" t="n"/>
      <c r="G335" s="70" t="n"/>
      <c r="H335" s="62" t="str">
        <f>IF(COUNTA(A335:G335)=0,"",IF(C335&lt;&gt;"",C335,IF(B335="","",IFERROR(INDEX(pr_des,MATCH(B335,pr_code,0))&amp;"",""))))</f>
        <v/>
      </c>
      <c r="I335" s="59" t="str">
        <f>IF(B335="","",IFERROR(INDEX(pr_unit,MATCH(B335,pr_code,0))&amp;"",""))</f>
        <v/>
      </c>
      <c r="J335" s="65" t="str">
        <f>IF(COUNTA(A335:G335)=0,"",IF(E335&lt;&gt;"",E335,IF(B335="","",IFERROR(IF(INDEX(pr_price,MATCH(B335,pr_code,0))="","",INDEX(pr_price,MATCH(B335,pr_code,0))),""))))</f>
        <v/>
      </c>
      <c r="K335" s="71" t="str">
        <f>IF(COUNTA(A335:G335)=0,"",IF(G335&lt;&gt;"",G335,IF(B335="","",IFERROR(IF(INDEX(pr_rate,MATCH(B335,pr_code,0))="","",INDEX(pr_rate,MATCH(B335,pr_code,0))),""))))</f>
        <v/>
      </c>
      <c r="L335" s="65" t="str">
        <f>IF(COUNTA(A335:G335)=0,"",IF(AND(ISNUMBER(D335),ISNUMBER(J335)),ROUND(D335*J335*(1-N(F335)),2),0))</f>
        <v/>
      </c>
      <c r="M335" s="62" t="str">
        <f>IF(A335="","",IFERROR(INDEX(fa_cname,MATCH(A335,fa_num,0))&amp;"",""))</f>
        <v/>
      </c>
      <c r="N335" s="59" t="str">
        <f>IF(COUNTA(A335:G335)=0,"",IF(A335="","N° facture manquant",IF(ISNA(MATCH(A335,fa_num,0)),"Facture inconnue",IF(AND(B335&lt;&gt;"",ISNA(MATCH(B335,pr_code,0))),"Article inconnu",IF(H335="","Désignation manquante",IF(OR(NOT(ISNUMBER(D335)),N(D335)&lt;=0),"Quantité invalide",IF(J335="","Prix manquant",IF(OR(NOT(ISNUMBER(J335)),N(J335)&lt;0),"Prix invalide",IF(OR(AND(F335&lt;&gt;"",NOT(ISNUMBER(F335))),N(F335)&lt;0,N(F335)&gt;1),"Remise invalide",IF(K335="","Taux de TVA manquant",IF(NOT(ISNUMBER(K335)),"Taux de TVA invalide",IF(COUNTIF(p_rates,K335)=0,"Taux de TVA hors liste (Paramètres)",IF(N(O335)&gt;25,"Au-delà de 25 lignes : non imprimée","OK")))))))))))))</f>
        <v/>
      </c>
      <c r="O335" s="59" t="str">
        <f>IF(A335="","",COUNTIF($A$6:A335,A335))</f>
        <v/>
      </c>
      <c r="P335" s="62" t="str">
        <f>IF(A335="","",A335&amp;"|"&amp;O335)</f>
        <v/>
      </c>
    </row>
    <row r="336">
      <c r="A336" s="60" t="n"/>
      <c r="B336" s="63" t="n"/>
      <c r="C336" s="63" t="n"/>
      <c r="D336" s="67" t="n"/>
      <c r="E336" s="68" t="n"/>
      <c r="F336" s="69" t="n"/>
      <c r="G336" s="70" t="n"/>
      <c r="H336" s="62" t="str">
        <f>IF(COUNTA(A336:G336)=0,"",IF(C336&lt;&gt;"",C336,IF(B336="","",IFERROR(INDEX(pr_des,MATCH(B336,pr_code,0))&amp;"",""))))</f>
        <v/>
      </c>
      <c r="I336" s="59" t="str">
        <f>IF(B336="","",IFERROR(INDEX(pr_unit,MATCH(B336,pr_code,0))&amp;"",""))</f>
        <v/>
      </c>
      <c r="J336" s="65" t="str">
        <f>IF(COUNTA(A336:G336)=0,"",IF(E336&lt;&gt;"",E336,IF(B336="","",IFERROR(IF(INDEX(pr_price,MATCH(B336,pr_code,0))="","",INDEX(pr_price,MATCH(B336,pr_code,0))),""))))</f>
        <v/>
      </c>
      <c r="K336" s="71" t="str">
        <f>IF(COUNTA(A336:G336)=0,"",IF(G336&lt;&gt;"",G336,IF(B336="","",IFERROR(IF(INDEX(pr_rate,MATCH(B336,pr_code,0))="","",INDEX(pr_rate,MATCH(B336,pr_code,0))),""))))</f>
        <v/>
      </c>
      <c r="L336" s="65" t="str">
        <f>IF(COUNTA(A336:G336)=0,"",IF(AND(ISNUMBER(D336),ISNUMBER(J336)),ROUND(D336*J336*(1-N(F336)),2),0))</f>
        <v/>
      </c>
      <c r="M336" s="62" t="str">
        <f>IF(A336="","",IFERROR(INDEX(fa_cname,MATCH(A336,fa_num,0))&amp;"",""))</f>
        <v/>
      </c>
      <c r="N336" s="59" t="str">
        <f>IF(COUNTA(A336:G336)=0,"",IF(A336="","N° facture manquant",IF(ISNA(MATCH(A336,fa_num,0)),"Facture inconnue",IF(AND(B336&lt;&gt;"",ISNA(MATCH(B336,pr_code,0))),"Article inconnu",IF(H336="","Désignation manquante",IF(OR(NOT(ISNUMBER(D336)),N(D336)&lt;=0),"Quantité invalide",IF(J336="","Prix manquant",IF(OR(NOT(ISNUMBER(J336)),N(J336)&lt;0),"Prix invalide",IF(OR(AND(F336&lt;&gt;"",NOT(ISNUMBER(F336))),N(F336)&lt;0,N(F336)&gt;1),"Remise invalide",IF(K336="","Taux de TVA manquant",IF(NOT(ISNUMBER(K336)),"Taux de TVA invalide",IF(COUNTIF(p_rates,K336)=0,"Taux de TVA hors liste (Paramètres)",IF(N(O336)&gt;25,"Au-delà de 25 lignes : non imprimée","OK")))))))))))))</f>
        <v/>
      </c>
      <c r="O336" s="59" t="str">
        <f>IF(A336="","",COUNTIF($A$6:A336,A336))</f>
        <v/>
      </c>
      <c r="P336" s="62" t="str">
        <f>IF(A336="","",A336&amp;"|"&amp;O336)</f>
        <v/>
      </c>
    </row>
    <row r="337">
      <c r="A337" s="60" t="n"/>
      <c r="B337" s="63" t="n"/>
      <c r="C337" s="63" t="n"/>
      <c r="D337" s="67" t="n"/>
      <c r="E337" s="68" t="n"/>
      <c r="F337" s="69" t="n"/>
      <c r="G337" s="70" t="n"/>
      <c r="H337" s="62" t="str">
        <f>IF(COUNTA(A337:G337)=0,"",IF(C337&lt;&gt;"",C337,IF(B337="","",IFERROR(INDEX(pr_des,MATCH(B337,pr_code,0))&amp;"",""))))</f>
        <v/>
      </c>
      <c r="I337" s="59" t="str">
        <f>IF(B337="","",IFERROR(INDEX(pr_unit,MATCH(B337,pr_code,0))&amp;"",""))</f>
        <v/>
      </c>
      <c r="J337" s="65" t="str">
        <f>IF(COUNTA(A337:G337)=0,"",IF(E337&lt;&gt;"",E337,IF(B337="","",IFERROR(IF(INDEX(pr_price,MATCH(B337,pr_code,0))="","",INDEX(pr_price,MATCH(B337,pr_code,0))),""))))</f>
        <v/>
      </c>
      <c r="K337" s="71" t="str">
        <f>IF(COUNTA(A337:G337)=0,"",IF(G337&lt;&gt;"",G337,IF(B337="","",IFERROR(IF(INDEX(pr_rate,MATCH(B337,pr_code,0))="","",INDEX(pr_rate,MATCH(B337,pr_code,0))),""))))</f>
        <v/>
      </c>
      <c r="L337" s="65" t="str">
        <f>IF(COUNTA(A337:G337)=0,"",IF(AND(ISNUMBER(D337),ISNUMBER(J337)),ROUND(D337*J337*(1-N(F337)),2),0))</f>
        <v/>
      </c>
      <c r="M337" s="62" t="str">
        <f>IF(A337="","",IFERROR(INDEX(fa_cname,MATCH(A337,fa_num,0))&amp;"",""))</f>
        <v/>
      </c>
      <c r="N337" s="59" t="str">
        <f>IF(COUNTA(A337:G337)=0,"",IF(A337="","N° facture manquant",IF(ISNA(MATCH(A337,fa_num,0)),"Facture inconnue",IF(AND(B337&lt;&gt;"",ISNA(MATCH(B337,pr_code,0))),"Article inconnu",IF(H337="","Désignation manquante",IF(OR(NOT(ISNUMBER(D337)),N(D337)&lt;=0),"Quantité invalide",IF(J337="","Prix manquant",IF(OR(NOT(ISNUMBER(J337)),N(J337)&lt;0),"Prix invalide",IF(OR(AND(F337&lt;&gt;"",NOT(ISNUMBER(F337))),N(F337)&lt;0,N(F337)&gt;1),"Remise invalide",IF(K337="","Taux de TVA manquant",IF(NOT(ISNUMBER(K337)),"Taux de TVA invalide",IF(COUNTIF(p_rates,K337)=0,"Taux de TVA hors liste (Paramètres)",IF(N(O337)&gt;25,"Au-delà de 25 lignes : non imprimée","OK")))))))))))))</f>
        <v/>
      </c>
      <c r="O337" s="59" t="str">
        <f>IF(A337="","",COUNTIF($A$6:A337,A337))</f>
        <v/>
      </c>
      <c r="P337" s="62" t="str">
        <f>IF(A337="","",A337&amp;"|"&amp;O337)</f>
        <v/>
      </c>
    </row>
    <row r="338">
      <c r="A338" s="60" t="n"/>
      <c r="B338" s="63" t="n"/>
      <c r="C338" s="63" t="n"/>
      <c r="D338" s="67" t="n"/>
      <c r="E338" s="68" t="n"/>
      <c r="F338" s="69" t="n"/>
      <c r="G338" s="70" t="n"/>
      <c r="H338" s="62" t="str">
        <f>IF(COUNTA(A338:G338)=0,"",IF(C338&lt;&gt;"",C338,IF(B338="","",IFERROR(INDEX(pr_des,MATCH(B338,pr_code,0))&amp;"",""))))</f>
        <v/>
      </c>
      <c r="I338" s="59" t="str">
        <f>IF(B338="","",IFERROR(INDEX(pr_unit,MATCH(B338,pr_code,0))&amp;"",""))</f>
        <v/>
      </c>
      <c r="J338" s="65" t="str">
        <f>IF(COUNTA(A338:G338)=0,"",IF(E338&lt;&gt;"",E338,IF(B338="","",IFERROR(IF(INDEX(pr_price,MATCH(B338,pr_code,0))="","",INDEX(pr_price,MATCH(B338,pr_code,0))),""))))</f>
        <v/>
      </c>
      <c r="K338" s="71" t="str">
        <f>IF(COUNTA(A338:G338)=0,"",IF(G338&lt;&gt;"",G338,IF(B338="","",IFERROR(IF(INDEX(pr_rate,MATCH(B338,pr_code,0))="","",INDEX(pr_rate,MATCH(B338,pr_code,0))),""))))</f>
        <v/>
      </c>
      <c r="L338" s="65" t="str">
        <f>IF(COUNTA(A338:G338)=0,"",IF(AND(ISNUMBER(D338),ISNUMBER(J338)),ROUND(D338*J338*(1-N(F338)),2),0))</f>
        <v/>
      </c>
      <c r="M338" s="62" t="str">
        <f>IF(A338="","",IFERROR(INDEX(fa_cname,MATCH(A338,fa_num,0))&amp;"",""))</f>
        <v/>
      </c>
      <c r="N338" s="59" t="str">
        <f>IF(COUNTA(A338:G338)=0,"",IF(A338="","N° facture manquant",IF(ISNA(MATCH(A338,fa_num,0)),"Facture inconnue",IF(AND(B338&lt;&gt;"",ISNA(MATCH(B338,pr_code,0))),"Article inconnu",IF(H338="","Désignation manquante",IF(OR(NOT(ISNUMBER(D338)),N(D338)&lt;=0),"Quantité invalide",IF(J338="","Prix manquant",IF(OR(NOT(ISNUMBER(J338)),N(J338)&lt;0),"Prix invalide",IF(OR(AND(F338&lt;&gt;"",NOT(ISNUMBER(F338))),N(F338)&lt;0,N(F338)&gt;1),"Remise invalide",IF(K338="","Taux de TVA manquant",IF(NOT(ISNUMBER(K338)),"Taux de TVA invalide",IF(COUNTIF(p_rates,K338)=0,"Taux de TVA hors liste (Paramètres)",IF(N(O338)&gt;25,"Au-delà de 25 lignes : non imprimée","OK")))))))))))))</f>
        <v/>
      </c>
      <c r="O338" s="59" t="str">
        <f>IF(A338="","",COUNTIF($A$6:A338,A338))</f>
        <v/>
      </c>
      <c r="P338" s="62" t="str">
        <f>IF(A338="","",A338&amp;"|"&amp;O338)</f>
        <v/>
      </c>
    </row>
    <row r="339">
      <c r="A339" s="60" t="n"/>
      <c r="B339" s="63" t="n"/>
      <c r="C339" s="63" t="n"/>
      <c r="D339" s="67" t="n"/>
      <c r="E339" s="68" t="n"/>
      <c r="F339" s="69" t="n"/>
      <c r="G339" s="70" t="n"/>
      <c r="H339" s="62" t="str">
        <f>IF(COUNTA(A339:G339)=0,"",IF(C339&lt;&gt;"",C339,IF(B339="","",IFERROR(INDEX(pr_des,MATCH(B339,pr_code,0))&amp;"",""))))</f>
        <v/>
      </c>
      <c r="I339" s="59" t="str">
        <f>IF(B339="","",IFERROR(INDEX(pr_unit,MATCH(B339,pr_code,0))&amp;"",""))</f>
        <v/>
      </c>
      <c r="J339" s="65" t="str">
        <f>IF(COUNTA(A339:G339)=0,"",IF(E339&lt;&gt;"",E339,IF(B339="","",IFERROR(IF(INDEX(pr_price,MATCH(B339,pr_code,0))="","",INDEX(pr_price,MATCH(B339,pr_code,0))),""))))</f>
        <v/>
      </c>
      <c r="K339" s="71" t="str">
        <f>IF(COUNTA(A339:G339)=0,"",IF(G339&lt;&gt;"",G339,IF(B339="","",IFERROR(IF(INDEX(pr_rate,MATCH(B339,pr_code,0))="","",INDEX(pr_rate,MATCH(B339,pr_code,0))),""))))</f>
        <v/>
      </c>
      <c r="L339" s="65" t="str">
        <f>IF(COUNTA(A339:G339)=0,"",IF(AND(ISNUMBER(D339),ISNUMBER(J339)),ROUND(D339*J339*(1-N(F339)),2),0))</f>
        <v/>
      </c>
      <c r="M339" s="62" t="str">
        <f>IF(A339="","",IFERROR(INDEX(fa_cname,MATCH(A339,fa_num,0))&amp;"",""))</f>
        <v/>
      </c>
      <c r="N339" s="59" t="str">
        <f>IF(COUNTA(A339:G339)=0,"",IF(A339="","N° facture manquant",IF(ISNA(MATCH(A339,fa_num,0)),"Facture inconnue",IF(AND(B339&lt;&gt;"",ISNA(MATCH(B339,pr_code,0))),"Article inconnu",IF(H339="","Désignation manquante",IF(OR(NOT(ISNUMBER(D339)),N(D339)&lt;=0),"Quantité invalide",IF(J339="","Prix manquant",IF(OR(NOT(ISNUMBER(J339)),N(J339)&lt;0),"Prix invalide",IF(OR(AND(F339&lt;&gt;"",NOT(ISNUMBER(F339))),N(F339)&lt;0,N(F339)&gt;1),"Remise invalide",IF(K339="","Taux de TVA manquant",IF(NOT(ISNUMBER(K339)),"Taux de TVA invalide",IF(COUNTIF(p_rates,K339)=0,"Taux de TVA hors liste (Paramètres)",IF(N(O339)&gt;25,"Au-delà de 25 lignes : non imprimée","OK")))))))))))))</f>
        <v/>
      </c>
      <c r="O339" s="59" t="str">
        <f>IF(A339="","",COUNTIF($A$6:A339,A339))</f>
        <v/>
      </c>
      <c r="P339" s="62" t="str">
        <f>IF(A339="","",A339&amp;"|"&amp;O339)</f>
        <v/>
      </c>
    </row>
    <row r="340">
      <c r="A340" s="60" t="n"/>
      <c r="B340" s="63" t="n"/>
      <c r="C340" s="63" t="n"/>
      <c r="D340" s="67" t="n"/>
      <c r="E340" s="68" t="n"/>
      <c r="F340" s="69" t="n"/>
      <c r="G340" s="70" t="n"/>
      <c r="H340" s="62" t="str">
        <f>IF(COUNTA(A340:G340)=0,"",IF(C340&lt;&gt;"",C340,IF(B340="","",IFERROR(INDEX(pr_des,MATCH(B340,pr_code,0))&amp;"",""))))</f>
        <v/>
      </c>
      <c r="I340" s="59" t="str">
        <f>IF(B340="","",IFERROR(INDEX(pr_unit,MATCH(B340,pr_code,0))&amp;"",""))</f>
        <v/>
      </c>
      <c r="J340" s="65" t="str">
        <f>IF(COUNTA(A340:G340)=0,"",IF(E340&lt;&gt;"",E340,IF(B340="","",IFERROR(IF(INDEX(pr_price,MATCH(B340,pr_code,0))="","",INDEX(pr_price,MATCH(B340,pr_code,0))),""))))</f>
        <v/>
      </c>
      <c r="K340" s="71" t="str">
        <f>IF(COUNTA(A340:G340)=0,"",IF(G340&lt;&gt;"",G340,IF(B340="","",IFERROR(IF(INDEX(pr_rate,MATCH(B340,pr_code,0))="","",INDEX(pr_rate,MATCH(B340,pr_code,0))),""))))</f>
        <v/>
      </c>
      <c r="L340" s="65" t="str">
        <f>IF(COUNTA(A340:G340)=0,"",IF(AND(ISNUMBER(D340),ISNUMBER(J340)),ROUND(D340*J340*(1-N(F340)),2),0))</f>
        <v/>
      </c>
      <c r="M340" s="62" t="str">
        <f>IF(A340="","",IFERROR(INDEX(fa_cname,MATCH(A340,fa_num,0))&amp;"",""))</f>
        <v/>
      </c>
      <c r="N340" s="59" t="str">
        <f>IF(COUNTA(A340:G340)=0,"",IF(A340="","N° facture manquant",IF(ISNA(MATCH(A340,fa_num,0)),"Facture inconnue",IF(AND(B340&lt;&gt;"",ISNA(MATCH(B340,pr_code,0))),"Article inconnu",IF(H340="","Désignation manquante",IF(OR(NOT(ISNUMBER(D340)),N(D340)&lt;=0),"Quantité invalide",IF(J340="","Prix manquant",IF(OR(NOT(ISNUMBER(J340)),N(J340)&lt;0),"Prix invalide",IF(OR(AND(F340&lt;&gt;"",NOT(ISNUMBER(F340))),N(F340)&lt;0,N(F340)&gt;1),"Remise invalide",IF(K340="","Taux de TVA manquant",IF(NOT(ISNUMBER(K340)),"Taux de TVA invalide",IF(COUNTIF(p_rates,K340)=0,"Taux de TVA hors liste (Paramètres)",IF(N(O340)&gt;25,"Au-delà de 25 lignes : non imprimée","OK")))))))))))))</f>
        <v/>
      </c>
      <c r="O340" s="59" t="str">
        <f>IF(A340="","",COUNTIF($A$6:A340,A340))</f>
        <v/>
      </c>
      <c r="P340" s="62" t="str">
        <f>IF(A340="","",A340&amp;"|"&amp;O340)</f>
        <v/>
      </c>
    </row>
    <row r="341">
      <c r="A341" s="60" t="n"/>
      <c r="B341" s="63" t="n"/>
      <c r="C341" s="63" t="n"/>
      <c r="D341" s="67" t="n"/>
      <c r="E341" s="68" t="n"/>
      <c r="F341" s="69" t="n"/>
      <c r="G341" s="70" t="n"/>
      <c r="H341" s="62" t="str">
        <f>IF(COUNTA(A341:G341)=0,"",IF(C341&lt;&gt;"",C341,IF(B341="","",IFERROR(INDEX(pr_des,MATCH(B341,pr_code,0))&amp;"",""))))</f>
        <v/>
      </c>
      <c r="I341" s="59" t="str">
        <f>IF(B341="","",IFERROR(INDEX(pr_unit,MATCH(B341,pr_code,0))&amp;"",""))</f>
        <v/>
      </c>
      <c r="J341" s="65" t="str">
        <f>IF(COUNTA(A341:G341)=0,"",IF(E341&lt;&gt;"",E341,IF(B341="","",IFERROR(IF(INDEX(pr_price,MATCH(B341,pr_code,0))="","",INDEX(pr_price,MATCH(B341,pr_code,0))),""))))</f>
        <v/>
      </c>
      <c r="K341" s="71" t="str">
        <f>IF(COUNTA(A341:G341)=0,"",IF(G341&lt;&gt;"",G341,IF(B341="","",IFERROR(IF(INDEX(pr_rate,MATCH(B341,pr_code,0))="","",INDEX(pr_rate,MATCH(B341,pr_code,0))),""))))</f>
        <v/>
      </c>
      <c r="L341" s="65" t="str">
        <f>IF(COUNTA(A341:G341)=0,"",IF(AND(ISNUMBER(D341),ISNUMBER(J341)),ROUND(D341*J341*(1-N(F341)),2),0))</f>
        <v/>
      </c>
      <c r="M341" s="62" t="str">
        <f>IF(A341="","",IFERROR(INDEX(fa_cname,MATCH(A341,fa_num,0))&amp;"",""))</f>
        <v/>
      </c>
      <c r="N341" s="59" t="str">
        <f>IF(COUNTA(A341:G341)=0,"",IF(A341="","N° facture manquant",IF(ISNA(MATCH(A341,fa_num,0)),"Facture inconnue",IF(AND(B341&lt;&gt;"",ISNA(MATCH(B341,pr_code,0))),"Article inconnu",IF(H341="","Désignation manquante",IF(OR(NOT(ISNUMBER(D341)),N(D341)&lt;=0),"Quantité invalide",IF(J341="","Prix manquant",IF(OR(NOT(ISNUMBER(J341)),N(J341)&lt;0),"Prix invalide",IF(OR(AND(F341&lt;&gt;"",NOT(ISNUMBER(F341))),N(F341)&lt;0,N(F341)&gt;1),"Remise invalide",IF(K341="","Taux de TVA manquant",IF(NOT(ISNUMBER(K341)),"Taux de TVA invalide",IF(COUNTIF(p_rates,K341)=0,"Taux de TVA hors liste (Paramètres)",IF(N(O341)&gt;25,"Au-delà de 25 lignes : non imprimée","OK")))))))))))))</f>
        <v/>
      </c>
      <c r="O341" s="59" t="str">
        <f>IF(A341="","",COUNTIF($A$6:A341,A341))</f>
        <v/>
      </c>
      <c r="P341" s="62" t="str">
        <f>IF(A341="","",A341&amp;"|"&amp;O341)</f>
        <v/>
      </c>
    </row>
    <row r="342">
      <c r="A342" s="60" t="n"/>
      <c r="B342" s="63" t="n"/>
      <c r="C342" s="63" t="n"/>
      <c r="D342" s="67" t="n"/>
      <c r="E342" s="68" t="n"/>
      <c r="F342" s="69" t="n"/>
      <c r="G342" s="70" t="n"/>
      <c r="H342" s="62" t="str">
        <f>IF(COUNTA(A342:G342)=0,"",IF(C342&lt;&gt;"",C342,IF(B342="","",IFERROR(INDEX(pr_des,MATCH(B342,pr_code,0))&amp;"",""))))</f>
        <v/>
      </c>
      <c r="I342" s="59" t="str">
        <f>IF(B342="","",IFERROR(INDEX(pr_unit,MATCH(B342,pr_code,0))&amp;"",""))</f>
        <v/>
      </c>
      <c r="J342" s="65" t="str">
        <f>IF(COUNTA(A342:G342)=0,"",IF(E342&lt;&gt;"",E342,IF(B342="","",IFERROR(IF(INDEX(pr_price,MATCH(B342,pr_code,0))="","",INDEX(pr_price,MATCH(B342,pr_code,0))),""))))</f>
        <v/>
      </c>
      <c r="K342" s="71" t="str">
        <f>IF(COUNTA(A342:G342)=0,"",IF(G342&lt;&gt;"",G342,IF(B342="","",IFERROR(IF(INDEX(pr_rate,MATCH(B342,pr_code,0))="","",INDEX(pr_rate,MATCH(B342,pr_code,0))),""))))</f>
        <v/>
      </c>
      <c r="L342" s="65" t="str">
        <f>IF(COUNTA(A342:G342)=0,"",IF(AND(ISNUMBER(D342),ISNUMBER(J342)),ROUND(D342*J342*(1-N(F342)),2),0))</f>
        <v/>
      </c>
      <c r="M342" s="62" t="str">
        <f>IF(A342="","",IFERROR(INDEX(fa_cname,MATCH(A342,fa_num,0))&amp;"",""))</f>
        <v/>
      </c>
      <c r="N342" s="59" t="str">
        <f>IF(COUNTA(A342:G342)=0,"",IF(A342="","N° facture manquant",IF(ISNA(MATCH(A342,fa_num,0)),"Facture inconnue",IF(AND(B342&lt;&gt;"",ISNA(MATCH(B342,pr_code,0))),"Article inconnu",IF(H342="","Désignation manquante",IF(OR(NOT(ISNUMBER(D342)),N(D342)&lt;=0),"Quantité invalide",IF(J342="","Prix manquant",IF(OR(NOT(ISNUMBER(J342)),N(J342)&lt;0),"Prix invalide",IF(OR(AND(F342&lt;&gt;"",NOT(ISNUMBER(F342))),N(F342)&lt;0,N(F342)&gt;1),"Remise invalide",IF(K342="","Taux de TVA manquant",IF(NOT(ISNUMBER(K342)),"Taux de TVA invalide",IF(COUNTIF(p_rates,K342)=0,"Taux de TVA hors liste (Paramètres)",IF(N(O342)&gt;25,"Au-delà de 25 lignes : non imprimée","OK")))))))))))))</f>
        <v/>
      </c>
      <c r="O342" s="59" t="str">
        <f>IF(A342="","",COUNTIF($A$6:A342,A342))</f>
        <v/>
      </c>
      <c r="P342" s="62" t="str">
        <f>IF(A342="","",A342&amp;"|"&amp;O342)</f>
        <v/>
      </c>
    </row>
    <row r="343">
      <c r="A343" s="60" t="n"/>
      <c r="B343" s="63" t="n"/>
      <c r="C343" s="63" t="n"/>
      <c r="D343" s="67" t="n"/>
      <c r="E343" s="68" t="n"/>
      <c r="F343" s="69" t="n"/>
      <c r="G343" s="70" t="n"/>
      <c r="H343" s="62" t="str">
        <f>IF(COUNTA(A343:G343)=0,"",IF(C343&lt;&gt;"",C343,IF(B343="","",IFERROR(INDEX(pr_des,MATCH(B343,pr_code,0))&amp;"",""))))</f>
        <v/>
      </c>
      <c r="I343" s="59" t="str">
        <f>IF(B343="","",IFERROR(INDEX(pr_unit,MATCH(B343,pr_code,0))&amp;"",""))</f>
        <v/>
      </c>
      <c r="J343" s="65" t="str">
        <f>IF(COUNTA(A343:G343)=0,"",IF(E343&lt;&gt;"",E343,IF(B343="","",IFERROR(IF(INDEX(pr_price,MATCH(B343,pr_code,0))="","",INDEX(pr_price,MATCH(B343,pr_code,0))),""))))</f>
        <v/>
      </c>
      <c r="K343" s="71" t="str">
        <f>IF(COUNTA(A343:G343)=0,"",IF(G343&lt;&gt;"",G343,IF(B343="","",IFERROR(IF(INDEX(pr_rate,MATCH(B343,pr_code,0))="","",INDEX(pr_rate,MATCH(B343,pr_code,0))),""))))</f>
        <v/>
      </c>
      <c r="L343" s="65" t="str">
        <f>IF(COUNTA(A343:G343)=0,"",IF(AND(ISNUMBER(D343),ISNUMBER(J343)),ROUND(D343*J343*(1-N(F343)),2),0))</f>
        <v/>
      </c>
      <c r="M343" s="62" t="str">
        <f>IF(A343="","",IFERROR(INDEX(fa_cname,MATCH(A343,fa_num,0))&amp;"",""))</f>
        <v/>
      </c>
      <c r="N343" s="59" t="str">
        <f>IF(COUNTA(A343:G343)=0,"",IF(A343="","N° facture manquant",IF(ISNA(MATCH(A343,fa_num,0)),"Facture inconnue",IF(AND(B343&lt;&gt;"",ISNA(MATCH(B343,pr_code,0))),"Article inconnu",IF(H343="","Désignation manquante",IF(OR(NOT(ISNUMBER(D343)),N(D343)&lt;=0),"Quantité invalide",IF(J343="","Prix manquant",IF(OR(NOT(ISNUMBER(J343)),N(J343)&lt;0),"Prix invalide",IF(OR(AND(F343&lt;&gt;"",NOT(ISNUMBER(F343))),N(F343)&lt;0,N(F343)&gt;1),"Remise invalide",IF(K343="","Taux de TVA manquant",IF(NOT(ISNUMBER(K343)),"Taux de TVA invalide",IF(COUNTIF(p_rates,K343)=0,"Taux de TVA hors liste (Paramètres)",IF(N(O343)&gt;25,"Au-delà de 25 lignes : non imprimée","OK")))))))))))))</f>
        <v/>
      </c>
      <c r="O343" s="59" t="str">
        <f>IF(A343="","",COUNTIF($A$6:A343,A343))</f>
        <v/>
      </c>
      <c r="P343" s="62" t="str">
        <f>IF(A343="","",A343&amp;"|"&amp;O343)</f>
        <v/>
      </c>
    </row>
    <row r="344">
      <c r="A344" s="60" t="n"/>
      <c r="B344" s="63" t="n"/>
      <c r="C344" s="63" t="n"/>
      <c r="D344" s="67" t="n"/>
      <c r="E344" s="68" t="n"/>
      <c r="F344" s="69" t="n"/>
      <c r="G344" s="70" t="n"/>
      <c r="H344" s="62" t="str">
        <f>IF(COUNTA(A344:G344)=0,"",IF(C344&lt;&gt;"",C344,IF(B344="","",IFERROR(INDEX(pr_des,MATCH(B344,pr_code,0))&amp;"",""))))</f>
        <v/>
      </c>
      <c r="I344" s="59" t="str">
        <f>IF(B344="","",IFERROR(INDEX(pr_unit,MATCH(B344,pr_code,0))&amp;"",""))</f>
        <v/>
      </c>
      <c r="J344" s="65" t="str">
        <f>IF(COUNTA(A344:G344)=0,"",IF(E344&lt;&gt;"",E344,IF(B344="","",IFERROR(IF(INDEX(pr_price,MATCH(B344,pr_code,0))="","",INDEX(pr_price,MATCH(B344,pr_code,0))),""))))</f>
        <v/>
      </c>
      <c r="K344" s="71" t="str">
        <f>IF(COUNTA(A344:G344)=0,"",IF(G344&lt;&gt;"",G344,IF(B344="","",IFERROR(IF(INDEX(pr_rate,MATCH(B344,pr_code,0))="","",INDEX(pr_rate,MATCH(B344,pr_code,0))),""))))</f>
        <v/>
      </c>
      <c r="L344" s="65" t="str">
        <f>IF(COUNTA(A344:G344)=0,"",IF(AND(ISNUMBER(D344),ISNUMBER(J344)),ROUND(D344*J344*(1-N(F344)),2),0))</f>
        <v/>
      </c>
      <c r="M344" s="62" t="str">
        <f>IF(A344="","",IFERROR(INDEX(fa_cname,MATCH(A344,fa_num,0))&amp;"",""))</f>
        <v/>
      </c>
      <c r="N344" s="59" t="str">
        <f>IF(COUNTA(A344:G344)=0,"",IF(A344="","N° facture manquant",IF(ISNA(MATCH(A344,fa_num,0)),"Facture inconnue",IF(AND(B344&lt;&gt;"",ISNA(MATCH(B344,pr_code,0))),"Article inconnu",IF(H344="","Désignation manquante",IF(OR(NOT(ISNUMBER(D344)),N(D344)&lt;=0),"Quantité invalide",IF(J344="","Prix manquant",IF(OR(NOT(ISNUMBER(J344)),N(J344)&lt;0),"Prix invalide",IF(OR(AND(F344&lt;&gt;"",NOT(ISNUMBER(F344))),N(F344)&lt;0,N(F344)&gt;1),"Remise invalide",IF(K344="","Taux de TVA manquant",IF(NOT(ISNUMBER(K344)),"Taux de TVA invalide",IF(COUNTIF(p_rates,K344)=0,"Taux de TVA hors liste (Paramètres)",IF(N(O344)&gt;25,"Au-delà de 25 lignes : non imprimée","OK")))))))))))))</f>
        <v/>
      </c>
      <c r="O344" s="59" t="str">
        <f>IF(A344="","",COUNTIF($A$6:A344,A344))</f>
        <v/>
      </c>
      <c r="P344" s="62" t="str">
        <f>IF(A344="","",A344&amp;"|"&amp;O344)</f>
        <v/>
      </c>
    </row>
    <row r="345">
      <c r="A345" s="60" t="n"/>
      <c r="B345" s="63" t="n"/>
      <c r="C345" s="63" t="n"/>
      <c r="D345" s="67" t="n"/>
      <c r="E345" s="68" t="n"/>
      <c r="F345" s="69" t="n"/>
      <c r="G345" s="70" t="n"/>
      <c r="H345" s="62" t="str">
        <f>IF(COUNTA(A345:G345)=0,"",IF(C345&lt;&gt;"",C345,IF(B345="","",IFERROR(INDEX(pr_des,MATCH(B345,pr_code,0))&amp;"",""))))</f>
        <v/>
      </c>
      <c r="I345" s="59" t="str">
        <f>IF(B345="","",IFERROR(INDEX(pr_unit,MATCH(B345,pr_code,0))&amp;"",""))</f>
        <v/>
      </c>
      <c r="J345" s="65" t="str">
        <f>IF(COUNTA(A345:G345)=0,"",IF(E345&lt;&gt;"",E345,IF(B345="","",IFERROR(IF(INDEX(pr_price,MATCH(B345,pr_code,0))="","",INDEX(pr_price,MATCH(B345,pr_code,0))),""))))</f>
        <v/>
      </c>
      <c r="K345" s="71" t="str">
        <f>IF(COUNTA(A345:G345)=0,"",IF(G345&lt;&gt;"",G345,IF(B345="","",IFERROR(IF(INDEX(pr_rate,MATCH(B345,pr_code,0))="","",INDEX(pr_rate,MATCH(B345,pr_code,0))),""))))</f>
        <v/>
      </c>
      <c r="L345" s="65" t="str">
        <f>IF(COUNTA(A345:G345)=0,"",IF(AND(ISNUMBER(D345),ISNUMBER(J345)),ROUND(D345*J345*(1-N(F345)),2),0))</f>
        <v/>
      </c>
      <c r="M345" s="62" t="str">
        <f>IF(A345="","",IFERROR(INDEX(fa_cname,MATCH(A345,fa_num,0))&amp;"",""))</f>
        <v/>
      </c>
      <c r="N345" s="59" t="str">
        <f>IF(COUNTA(A345:G345)=0,"",IF(A345="","N° facture manquant",IF(ISNA(MATCH(A345,fa_num,0)),"Facture inconnue",IF(AND(B345&lt;&gt;"",ISNA(MATCH(B345,pr_code,0))),"Article inconnu",IF(H345="","Désignation manquante",IF(OR(NOT(ISNUMBER(D345)),N(D345)&lt;=0),"Quantité invalide",IF(J345="","Prix manquant",IF(OR(NOT(ISNUMBER(J345)),N(J345)&lt;0),"Prix invalide",IF(OR(AND(F345&lt;&gt;"",NOT(ISNUMBER(F345))),N(F345)&lt;0,N(F345)&gt;1),"Remise invalide",IF(K345="","Taux de TVA manquant",IF(NOT(ISNUMBER(K345)),"Taux de TVA invalide",IF(COUNTIF(p_rates,K345)=0,"Taux de TVA hors liste (Paramètres)",IF(N(O345)&gt;25,"Au-delà de 25 lignes : non imprimée","OK")))))))))))))</f>
        <v/>
      </c>
      <c r="O345" s="59" t="str">
        <f>IF(A345="","",COUNTIF($A$6:A345,A345))</f>
        <v/>
      </c>
      <c r="P345" s="62" t="str">
        <f>IF(A345="","",A345&amp;"|"&amp;O345)</f>
        <v/>
      </c>
    </row>
    <row r="346">
      <c r="A346" s="60" t="n"/>
      <c r="B346" s="63" t="n"/>
      <c r="C346" s="63" t="n"/>
      <c r="D346" s="67" t="n"/>
      <c r="E346" s="68" t="n"/>
      <c r="F346" s="69" t="n"/>
      <c r="G346" s="70" t="n"/>
      <c r="H346" s="62" t="str">
        <f>IF(COUNTA(A346:G346)=0,"",IF(C346&lt;&gt;"",C346,IF(B346="","",IFERROR(INDEX(pr_des,MATCH(B346,pr_code,0))&amp;"",""))))</f>
        <v/>
      </c>
      <c r="I346" s="59" t="str">
        <f>IF(B346="","",IFERROR(INDEX(pr_unit,MATCH(B346,pr_code,0))&amp;"",""))</f>
        <v/>
      </c>
      <c r="J346" s="65" t="str">
        <f>IF(COUNTA(A346:G346)=0,"",IF(E346&lt;&gt;"",E346,IF(B346="","",IFERROR(IF(INDEX(pr_price,MATCH(B346,pr_code,0))="","",INDEX(pr_price,MATCH(B346,pr_code,0))),""))))</f>
        <v/>
      </c>
      <c r="K346" s="71" t="str">
        <f>IF(COUNTA(A346:G346)=0,"",IF(G346&lt;&gt;"",G346,IF(B346="","",IFERROR(IF(INDEX(pr_rate,MATCH(B346,pr_code,0))="","",INDEX(pr_rate,MATCH(B346,pr_code,0))),""))))</f>
        <v/>
      </c>
      <c r="L346" s="65" t="str">
        <f>IF(COUNTA(A346:G346)=0,"",IF(AND(ISNUMBER(D346),ISNUMBER(J346)),ROUND(D346*J346*(1-N(F346)),2),0))</f>
        <v/>
      </c>
      <c r="M346" s="62" t="str">
        <f>IF(A346="","",IFERROR(INDEX(fa_cname,MATCH(A346,fa_num,0))&amp;"",""))</f>
        <v/>
      </c>
      <c r="N346" s="59" t="str">
        <f>IF(COUNTA(A346:G346)=0,"",IF(A346="","N° facture manquant",IF(ISNA(MATCH(A346,fa_num,0)),"Facture inconnue",IF(AND(B346&lt;&gt;"",ISNA(MATCH(B346,pr_code,0))),"Article inconnu",IF(H346="","Désignation manquante",IF(OR(NOT(ISNUMBER(D346)),N(D346)&lt;=0),"Quantité invalide",IF(J346="","Prix manquant",IF(OR(NOT(ISNUMBER(J346)),N(J346)&lt;0),"Prix invalide",IF(OR(AND(F346&lt;&gt;"",NOT(ISNUMBER(F346))),N(F346)&lt;0,N(F346)&gt;1),"Remise invalide",IF(K346="","Taux de TVA manquant",IF(NOT(ISNUMBER(K346)),"Taux de TVA invalide",IF(COUNTIF(p_rates,K346)=0,"Taux de TVA hors liste (Paramètres)",IF(N(O346)&gt;25,"Au-delà de 25 lignes : non imprimée","OK")))))))))))))</f>
        <v/>
      </c>
      <c r="O346" s="59" t="str">
        <f>IF(A346="","",COUNTIF($A$6:A346,A346))</f>
        <v/>
      </c>
      <c r="P346" s="62" t="str">
        <f>IF(A346="","",A346&amp;"|"&amp;O346)</f>
        <v/>
      </c>
    </row>
    <row r="347">
      <c r="A347" s="60" t="n"/>
      <c r="B347" s="63" t="n"/>
      <c r="C347" s="63" t="n"/>
      <c r="D347" s="67" t="n"/>
      <c r="E347" s="68" t="n"/>
      <c r="F347" s="69" t="n"/>
      <c r="G347" s="70" t="n"/>
      <c r="H347" s="62" t="str">
        <f>IF(COUNTA(A347:G347)=0,"",IF(C347&lt;&gt;"",C347,IF(B347="","",IFERROR(INDEX(pr_des,MATCH(B347,pr_code,0))&amp;"",""))))</f>
        <v/>
      </c>
      <c r="I347" s="59" t="str">
        <f>IF(B347="","",IFERROR(INDEX(pr_unit,MATCH(B347,pr_code,0))&amp;"",""))</f>
        <v/>
      </c>
      <c r="J347" s="65" t="str">
        <f>IF(COUNTA(A347:G347)=0,"",IF(E347&lt;&gt;"",E347,IF(B347="","",IFERROR(IF(INDEX(pr_price,MATCH(B347,pr_code,0))="","",INDEX(pr_price,MATCH(B347,pr_code,0))),""))))</f>
        <v/>
      </c>
      <c r="K347" s="71" t="str">
        <f>IF(COUNTA(A347:G347)=0,"",IF(G347&lt;&gt;"",G347,IF(B347="","",IFERROR(IF(INDEX(pr_rate,MATCH(B347,pr_code,0))="","",INDEX(pr_rate,MATCH(B347,pr_code,0))),""))))</f>
        <v/>
      </c>
      <c r="L347" s="65" t="str">
        <f>IF(COUNTA(A347:G347)=0,"",IF(AND(ISNUMBER(D347),ISNUMBER(J347)),ROUND(D347*J347*(1-N(F347)),2),0))</f>
        <v/>
      </c>
      <c r="M347" s="62" t="str">
        <f>IF(A347="","",IFERROR(INDEX(fa_cname,MATCH(A347,fa_num,0))&amp;"",""))</f>
        <v/>
      </c>
      <c r="N347" s="59" t="str">
        <f>IF(COUNTA(A347:G347)=0,"",IF(A347="","N° facture manquant",IF(ISNA(MATCH(A347,fa_num,0)),"Facture inconnue",IF(AND(B347&lt;&gt;"",ISNA(MATCH(B347,pr_code,0))),"Article inconnu",IF(H347="","Désignation manquante",IF(OR(NOT(ISNUMBER(D347)),N(D347)&lt;=0),"Quantité invalide",IF(J347="","Prix manquant",IF(OR(NOT(ISNUMBER(J347)),N(J347)&lt;0),"Prix invalide",IF(OR(AND(F347&lt;&gt;"",NOT(ISNUMBER(F347))),N(F347)&lt;0,N(F347)&gt;1),"Remise invalide",IF(K347="","Taux de TVA manquant",IF(NOT(ISNUMBER(K347)),"Taux de TVA invalide",IF(COUNTIF(p_rates,K347)=0,"Taux de TVA hors liste (Paramètres)",IF(N(O347)&gt;25,"Au-delà de 25 lignes : non imprimée","OK")))))))))))))</f>
        <v/>
      </c>
      <c r="O347" s="59" t="str">
        <f>IF(A347="","",COUNTIF($A$6:A347,A347))</f>
        <v/>
      </c>
      <c r="P347" s="62" t="str">
        <f>IF(A347="","",A347&amp;"|"&amp;O347)</f>
        <v/>
      </c>
    </row>
    <row r="348">
      <c r="A348" s="60" t="n"/>
      <c r="B348" s="63" t="n"/>
      <c r="C348" s="63" t="n"/>
      <c r="D348" s="67" t="n"/>
      <c r="E348" s="68" t="n"/>
      <c r="F348" s="69" t="n"/>
      <c r="G348" s="70" t="n"/>
      <c r="H348" s="62" t="str">
        <f>IF(COUNTA(A348:G348)=0,"",IF(C348&lt;&gt;"",C348,IF(B348="","",IFERROR(INDEX(pr_des,MATCH(B348,pr_code,0))&amp;"",""))))</f>
        <v/>
      </c>
      <c r="I348" s="59" t="str">
        <f>IF(B348="","",IFERROR(INDEX(pr_unit,MATCH(B348,pr_code,0))&amp;"",""))</f>
        <v/>
      </c>
      <c r="J348" s="65" t="str">
        <f>IF(COUNTA(A348:G348)=0,"",IF(E348&lt;&gt;"",E348,IF(B348="","",IFERROR(IF(INDEX(pr_price,MATCH(B348,pr_code,0))="","",INDEX(pr_price,MATCH(B348,pr_code,0))),""))))</f>
        <v/>
      </c>
      <c r="K348" s="71" t="str">
        <f>IF(COUNTA(A348:G348)=0,"",IF(G348&lt;&gt;"",G348,IF(B348="","",IFERROR(IF(INDEX(pr_rate,MATCH(B348,pr_code,0))="","",INDEX(pr_rate,MATCH(B348,pr_code,0))),""))))</f>
        <v/>
      </c>
      <c r="L348" s="65" t="str">
        <f>IF(COUNTA(A348:G348)=0,"",IF(AND(ISNUMBER(D348),ISNUMBER(J348)),ROUND(D348*J348*(1-N(F348)),2),0))</f>
        <v/>
      </c>
      <c r="M348" s="62" t="str">
        <f>IF(A348="","",IFERROR(INDEX(fa_cname,MATCH(A348,fa_num,0))&amp;"",""))</f>
        <v/>
      </c>
      <c r="N348" s="59" t="str">
        <f>IF(COUNTA(A348:G348)=0,"",IF(A348="","N° facture manquant",IF(ISNA(MATCH(A348,fa_num,0)),"Facture inconnue",IF(AND(B348&lt;&gt;"",ISNA(MATCH(B348,pr_code,0))),"Article inconnu",IF(H348="","Désignation manquante",IF(OR(NOT(ISNUMBER(D348)),N(D348)&lt;=0),"Quantité invalide",IF(J348="","Prix manquant",IF(OR(NOT(ISNUMBER(J348)),N(J348)&lt;0),"Prix invalide",IF(OR(AND(F348&lt;&gt;"",NOT(ISNUMBER(F348))),N(F348)&lt;0,N(F348)&gt;1),"Remise invalide",IF(K348="","Taux de TVA manquant",IF(NOT(ISNUMBER(K348)),"Taux de TVA invalide",IF(COUNTIF(p_rates,K348)=0,"Taux de TVA hors liste (Paramètres)",IF(N(O348)&gt;25,"Au-delà de 25 lignes : non imprimée","OK")))))))))))))</f>
        <v/>
      </c>
      <c r="O348" s="59" t="str">
        <f>IF(A348="","",COUNTIF($A$6:A348,A348))</f>
        <v/>
      </c>
      <c r="P348" s="62" t="str">
        <f>IF(A348="","",A348&amp;"|"&amp;O348)</f>
        <v/>
      </c>
    </row>
    <row r="349">
      <c r="A349" s="60" t="n"/>
      <c r="B349" s="63" t="n"/>
      <c r="C349" s="63" t="n"/>
      <c r="D349" s="67" t="n"/>
      <c r="E349" s="68" t="n"/>
      <c r="F349" s="69" t="n"/>
      <c r="G349" s="70" t="n"/>
      <c r="H349" s="62" t="str">
        <f>IF(COUNTA(A349:G349)=0,"",IF(C349&lt;&gt;"",C349,IF(B349="","",IFERROR(INDEX(pr_des,MATCH(B349,pr_code,0))&amp;"",""))))</f>
        <v/>
      </c>
      <c r="I349" s="59" t="str">
        <f>IF(B349="","",IFERROR(INDEX(pr_unit,MATCH(B349,pr_code,0))&amp;"",""))</f>
        <v/>
      </c>
      <c r="J349" s="65" t="str">
        <f>IF(COUNTA(A349:G349)=0,"",IF(E349&lt;&gt;"",E349,IF(B349="","",IFERROR(IF(INDEX(pr_price,MATCH(B349,pr_code,0))="","",INDEX(pr_price,MATCH(B349,pr_code,0))),""))))</f>
        <v/>
      </c>
      <c r="K349" s="71" t="str">
        <f>IF(COUNTA(A349:G349)=0,"",IF(G349&lt;&gt;"",G349,IF(B349="","",IFERROR(IF(INDEX(pr_rate,MATCH(B349,pr_code,0))="","",INDEX(pr_rate,MATCH(B349,pr_code,0))),""))))</f>
        <v/>
      </c>
      <c r="L349" s="65" t="str">
        <f>IF(COUNTA(A349:G349)=0,"",IF(AND(ISNUMBER(D349),ISNUMBER(J349)),ROUND(D349*J349*(1-N(F349)),2),0))</f>
        <v/>
      </c>
      <c r="M349" s="62" t="str">
        <f>IF(A349="","",IFERROR(INDEX(fa_cname,MATCH(A349,fa_num,0))&amp;"",""))</f>
        <v/>
      </c>
      <c r="N349" s="59" t="str">
        <f>IF(COUNTA(A349:G349)=0,"",IF(A349="","N° facture manquant",IF(ISNA(MATCH(A349,fa_num,0)),"Facture inconnue",IF(AND(B349&lt;&gt;"",ISNA(MATCH(B349,pr_code,0))),"Article inconnu",IF(H349="","Désignation manquante",IF(OR(NOT(ISNUMBER(D349)),N(D349)&lt;=0),"Quantité invalide",IF(J349="","Prix manquant",IF(OR(NOT(ISNUMBER(J349)),N(J349)&lt;0),"Prix invalide",IF(OR(AND(F349&lt;&gt;"",NOT(ISNUMBER(F349))),N(F349)&lt;0,N(F349)&gt;1),"Remise invalide",IF(K349="","Taux de TVA manquant",IF(NOT(ISNUMBER(K349)),"Taux de TVA invalide",IF(COUNTIF(p_rates,K349)=0,"Taux de TVA hors liste (Paramètres)",IF(N(O349)&gt;25,"Au-delà de 25 lignes : non imprimée","OK")))))))))))))</f>
        <v/>
      </c>
      <c r="O349" s="59" t="str">
        <f>IF(A349="","",COUNTIF($A$6:A349,A349))</f>
        <v/>
      </c>
      <c r="P349" s="62" t="str">
        <f>IF(A349="","",A349&amp;"|"&amp;O349)</f>
        <v/>
      </c>
    </row>
    <row r="350">
      <c r="A350" s="60" t="n"/>
      <c r="B350" s="63" t="n"/>
      <c r="C350" s="63" t="n"/>
      <c r="D350" s="67" t="n"/>
      <c r="E350" s="68" t="n"/>
      <c r="F350" s="69" t="n"/>
      <c r="G350" s="70" t="n"/>
      <c r="H350" s="62" t="str">
        <f>IF(COUNTA(A350:G350)=0,"",IF(C350&lt;&gt;"",C350,IF(B350="","",IFERROR(INDEX(pr_des,MATCH(B350,pr_code,0))&amp;"",""))))</f>
        <v/>
      </c>
      <c r="I350" s="59" t="str">
        <f>IF(B350="","",IFERROR(INDEX(pr_unit,MATCH(B350,pr_code,0))&amp;"",""))</f>
        <v/>
      </c>
      <c r="J350" s="65" t="str">
        <f>IF(COUNTA(A350:G350)=0,"",IF(E350&lt;&gt;"",E350,IF(B350="","",IFERROR(IF(INDEX(pr_price,MATCH(B350,pr_code,0))="","",INDEX(pr_price,MATCH(B350,pr_code,0))),""))))</f>
        <v/>
      </c>
      <c r="K350" s="71" t="str">
        <f>IF(COUNTA(A350:G350)=0,"",IF(G350&lt;&gt;"",G350,IF(B350="","",IFERROR(IF(INDEX(pr_rate,MATCH(B350,pr_code,0))="","",INDEX(pr_rate,MATCH(B350,pr_code,0))),""))))</f>
        <v/>
      </c>
      <c r="L350" s="65" t="str">
        <f>IF(COUNTA(A350:G350)=0,"",IF(AND(ISNUMBER(D350),ISNUMBER(J350)),ROUND(D350*J350*(1-N(F350)),2),0))</f>
        <v/>
      </c>
      <c r="M350" s="62" t="str">
        <f>IF(A350="","",IFERROR(INDEX(fa_cname,MATCH(A350,fa_num,0))&amp;"",""))</f>
        <v/>
      </c>
      <c r="N350" s="59" t="str">
        <f>IF(COUNTA(A350:G350)=0,"",IF(A350="","N° facture manquant",IF(ISNA(MATCH(A350,fa_num,0)),"Facture inconnue",IF(AND(B350&lt;&gt;"",ISNA(MATCH(B350,pr_code,0))),"Article inconnu",IF(H350="","Désignation manquante",IF(OR(NOT(ISNUMBER(D350)),N(D350)&lt;=0),"Quantité invalide",IF(J350="","Prix manquant",IF(OR(NOT(ISNUMBER(J350)),N(J350)&lt;0),"Prix invalide",IF(OR(AND(F350&lt;&gt;"",NOT(ISNUMBER(F350))),N(F350)&lt;0,N(F350)&gt;1),"Remise invalide",IF(K350="","Taux de TVA manquant",IF(NOT(ISNUMBER(K350)),"Taux de TVA invalide",IF(COUNTIF(p_rates,K350)=0,"Taux de TVA hors liste (Paramètres)",IF(N(O350)&gt;25,"Au-delà de 25 lignes : non imprimée","OK")))))))))))))</f>
        <v/>
      </c>
      <c r="O350" s="59" t="str">
        <f>IF(A350="","",COUNTIF($A$6:A350,A350))</f>
        <v/>
      </c>
      <c r="P350" s="62" t="str">
        <f>IF(A350="","",A350&amp;"|"&amp;O350)</f>
        <v/>
      </c>
    </row>
    <row r="351">
      <c r="A351" s="60" t="n"/>
      <c r="B351" s="63" t="n"/>
      <c r="C351" s="63" t="n"/>
      <c r="D351" s="67" t="n"/>
      <c r="E351" s="68" t="n"/>
      <c r="F351" s="69" t="n"/>
      <c r="G351" s="70" t="n"/>
      <c r="H351" s="62" t="str">
        <f>IF(COUNTA(A351:G351)=0,"",IF(C351&lt;&gt;"",C351,IF(B351="","",IFERROR(INDEX(pr_des,MATCH(B351,pr_code,0))&amp;"",""))))</f>
        <v/>
      </c>
      <c r="I351" s="59" t="str">
        <f>IF(B351="","",IFERROR(INDEX(pr_unit,MATCH(B351,pr_code,0))&amp;"",""))</f>
        <v/>
      </c>
      <c r="J351" s="65" t="str">
        <f>IF(COUNTA(A351:G351)=0,"",IF(E351&lt;&gt;"",E351,IF(B351="","",IFERROR(IF(INDEX(pr_price,MATCH(B351,pr_code,0))="","",INDEX(pr_price,MATCH(B351,pr_code,0))),""))))</f>
        <v/>
      </c>
      <c r="K351" s="71" t="str">
        <f>IF(COUNTA(A351:G351)=0,"",IF(G351&lt;&gt;"",G351,IF(B351="","",IFERROR(IF(INDEX(pr_rate,MATCH(B351,pr_code,0))="","",INDEX(pr_rate,MATCH(B351,pr_code,0))),""))))</f>
        <v/>
      </c>
      <c r="L351" s="65" t="str">
        <f>IF(COUNTA(A351:G351)=0,"",IF(AND(ISNUMBER(D351),ISNUMBER(J351)),ROUND(D351*J351*(1-N(F351)),2),0))</f>
        <v/>
      </c>
      <c r="M351" s="62" t="str">
        <f>IF(A351="","",IFERROR(INDEX(fa_cname,MATCH(A351,fa_num,0))&amp;"",""))</f>
        <v/>
      </c>
      <c r="N351" s="59" t="str">
        <f>IF(COUNTA(A351:G351)=0,"",IF(A351="","N° facture manquant",IF(ISNA(MATCH(A351,fa_num,0)),"Facture inconnue",IF(AND(B351&lt;&gt;"",ISNA(MATCH(B351,pr_code,0))),"Article inconnu",IF(H351="","Désignation manquante",IF(OR(NOT(ISNUMBER(D351)),N(D351)&lt;=0),"Quantité invalide",IF(J351="","Prix manquant",IF(OR(NOT(ISNUMBER(J351)),N(J351)&lt;0),"Prix invalide",IF(OR(AND(F351&lt;&gt;"",NOT(ISNUMBER(F351))),N(F351)&lt;0,N(F351)&gt;1),"Remise invalide",IF(K351="","Taux de TVA manquant",IF(NOT(ISNUMBER(K351)),"Taux de TVA invalide",IF(COUNTIF(p_rates,K351)=0,"Taux de TVA hors liste (Paramètres)",IF(N(O351)&gt;25,"Au-delà de 25 lignes : non imprimée","OK")))))))))))))</f>
        <v/>
      </c>
      <c r="O351" s="59" t="str">
        <f>IF(A351="","",COUNTIF($A$6:A351,A351))</f>
        <v/>
      </c>
      <c r="P351" s="62" t="str">
        <f>IF(A351="","",A351&amp;"|"&amp;O351)</f>
        <v/>
      </c>
    </row>
    <row r="352">
      <c r="A352" s="60" t="n"/>
      <c r="B352" s="63" t="n"/>
      <c r="C352" s="63" t="n"/>
      <c r="D352" s="67" t="n"/>
      <c r="E352" s="68" t="n"/>
      <c r="F352" s="69" t="n"/>
      <c r="G352" s="70" t="n"/>
      <c r="H352" s="62" t="str">
        <f>IF(COUNTA(A352:G352)=0,"",IF(C352&lt;&gt;"",C352,IF(B352="","",IFERROR(INDEX(pr_des,MATCH(B352,pr_code,0))&amp;"",""))))</f>
        <v/>
      </c>
      <c r="I352" s="59" t="str">
        <f>IF(B352="","",IFERROR(INDEX(pr_unit,MATCH(B352,pr_code,0))&amp;"",""))</f>
        <v/>
      </c>
      <c r="J352" s="65" t="str">
        <f>IF(COUNTA(A352:G352)=0,"",IF(E352&lt;&gt;"",E352,IF(B352="","",IFERROR(IF(INDEX(pr_price,MATCH(B352,pr_code,0))="","",INDEX(pr_price,MATCH(B352,pr_code,0))),""))))</f>
        <v/>
      </c>
      <c r="K352" s="71" t="str">
        <f>IF(COUNTA(A352:G352)=0,"",IF(G352&lt;&gt;"",G352,IF(B352="","",IFERROR(IF(INDEX(pr_rate,MATCH(B352,pr_code,0))="","",INDEX(pr_rate,MATCH(B352,pr_code,0))),""))))</f>
        <v/>
      </c>
      <c r="L352" s="65" t="str">
        <f>IF(COUNTA(A352:G352)=0,"",IF(AND(ISNUMBER(D352),ISNUMBER(J352)),ROUND(D352*J352*(1-N(F352)),2),0))</f>
        <v/>
      </c>
      <c r="M352" s="62" t="str">
        <f>IF(A352="","",IFERROR(INDEX(fa_cname,MATCH(A352,fa_num,0))&amp;"",""))</f>
        <v/>
      </c>
      <c r="N352" s="59" t="str">
        <f>IF(COUNTA(A352:G352)=0,"",IF(A352="","N° facture manquant",IF(ISNA(MATCH(A352,fa_num,0)),"Facture inconnue",IF(AND(B352&lt;&gt;"",ISNA(MATCH(B352,pr_code,0))),"Article inconnu",IF(H352="","Désignation manquante",IF(OR(NOT(ISNUMBER(D352)),N(D352)&lt;=0),"Quantité invalide",IF(J352="","Prix manquant",IF(OR(NOT(ISNUMBER(J352)),N(J352)&lt;0),"Prix invalide",IF(OR(AND(F352&lt;&gt;"",NOT(ISNUMBER(F352))),N(F352)&lt;0,N(F352)&gt;1),"Remise invalide",IF(K352="","Taux de TVA manquant",IF(NOT(ISNUMBER(K352)),"Taux de TVA invalide",IF(COUNTIF(p_rates,K352)=0,"Taux de TVA hors liste (Paramètres)",IF(N(O352)&gt;25,"Au-delà de 25 lignes : non imprimée","OK")))))))))))))</f>
        <v/>
      </c>
      <c r="O352" s="59" t="str">
        <f>IF(A352="","",COUNTIF($A$6:A352,A352))</f>
        <v/>
      </c>
      <c r="P352" s="62" t="str">
        <f>IF(A352="","",A352&amp;"|"&amp;O352)</f>
        <v/>
      </c>
    </row>
    <row r="353">
      <c r="A353" s="60" t="n"/>
      <c r="B353" s="63" t="n"/>
      <c r="C353" s="63" t="n"/>
      <c r="D353" s="67" t="n"/>
      <c r="E353" s="68" t="n"/>
      <c r="F353" s="69" t="n"/>
      <c r="G353" s="70" t="n"/>
      <c r="H353" s="62" t="str">
        <f>IF(COUNTA(A353:G353)=0,"",IF(C353&lt;&gt;"",C353,IF(B353="","",IFERROR(INDEX(pr_des,MATCH(B353,pr_code,0))&amp;"",""))))</f>
        <v/>
      </c>
      <c r="I353" s="59" t="str">
        <f>IF(B353="","",IFERROR(INDEX(pr_unit,MATCH(B353,pr_code,0))&amp;"",""))</f>
        <v/>
      </c>
      <c r="J353" s="65" t="str">
        <f>IF(COUNTA(A353:G353)=0,"",IF(E353&lt;&gt;"",E353,IF(B353="","",IFERROR(IF(INDEX(pr_price,MATCH(B353,pr_code,0))="","",INDEX(pr_price,MATCH(B353,pr_code,0))),""))))</f>
        <v/>
      </c>
      <c r="K353" s="71" t="str">
        <f>IF(COUNTA(A353:G353)=0,"",IF(G353&lt;&gt;"",G353,IF(B353="","",IFERROR(IF(INDEX(pr_rate,MATCH(B353,pr_code,0))="","",INDEX(pr_rate,MATCH(B353,pr_code,0))),""))))</f>
        <v/>
      </c>
      <c r="L353" s="65" t="str">
        <f>IF(COUNTA(A353:G353)=0,"",IF(AND(ISNUMBER(D353),ISNUMBER(J353)),ROUND(D353*J353*(1-N(F353)),2),0))</f>
        <v/>
      </c>
      <c r="M353" s="62" t="str">
        <f>IF(A353="","",IFERROR(INDEX(fa_cname,MATCH(A353,fa_num,0))&amp;"",""))</f>
        <v/>
      </c>
      <c r="N353" s="59" t="str">
        <f>IF(COUNTA(A353:G353)=0,"",IF(A353="","N° facture manquant",IF(ISNA(MATCH(A353,fa_num,0)),"Facture inconnue",IF(AND(B353&lt;&gt;"",ISNA(MATCH(B353,pr_code,0))),"Article inconnu",IF(H353="","Désignation manquante",IF(OR(NOT(ISNUMBER(D353)),N(D353)&lt;=0),"Quantité invalide",IF(J353="","Prix manquant",IF(OR(NOT(ISNUMBER(J353)),N(J353)&lt;0),"Prix invalide",IF(OR(AND(F353&lt;&gt;"",NOT(ISNUMBER(F353))),N(F353)&lt;0,N(F353)&gt;1),"Remise invalide",IF(K353="","Taux de TVA manquant",IF(NOT(ISNUMBER(K353)),"Taux de TVA invalide",IF(COUNTIF(p_rates,K353)=0,"Taux de TVA hors liste (Paramètres)",IF(N(O353)&gt;25,"Au-delà de 25 lignes : non imprimée","OK")))))))))))))</f>
        <v/>
      </c>
      <c r="O353" s="59" t="str">
        <f>IF(A353="","",COUNTIF($A$6:A353,A353))</f>
        <v/>
      </c>
      <c r="P353" s="62" t="str">
        <f>IF(A353="","",A353&amp;"|"&amp;O353)</f>
        <v/>
      </c>
    </row>
    <row r="354">
      <c r="A354" s="60" t="n"/>
      <c r="B354" s="63" t="n"/>
      <c r="C354" s="63" t="n"/>
      <c r="D354" s="67" t="n"/>
      <c r="E354" s="68" t="n"/>
      <c r="F354" s="69" t="n"/>
      <c r="G354" s="70" t="n"/>
      <c r="H354" s="62" t="str">
        <f>IF(COUNTA(A354:G354)=0,"",IF(C354&lt;&gt;"",C354,IF(B354="","",IFERROR(INDEX(pr_des,MATCH(B354,pr_code,0))&amp;"",""))))</f>
        <v/>
      </c>
      <c r="I354" s="59" t="str">
        <f>IF(B354="","",IFERROR(INDEX(pr_unit,MATCH(B354,pr_code,0))&amp;"",""))</f>
        <v/>
      </c>
      <c r="J354" s="65" t="str">
        <f>IF(COUNTA(A354:G354)=0,"",IF(E354&lt;&gt;"",E354,IF(B354="","",IFERROR(IF(INDEX(pr_price,MATCH(B354,pr_code,0))="","",INDEX(pr_price,MATCH(B354,pr_code,0))),""))))</f>
        <v/>
      </c>
      <c r="K354" s="71" t="str">
        <f>IF(COUNTA(A354:G354)=0,"",IF(G354&lt;&gt;"",G354,IF(B354="","",IFERROR(IF(INDEX(pr_rate,MATCH(B354,pr_code,0))="","",INDEX(pr_rate,MATCH(B354,pr_code,0))),""))))</f>
        <v/>
      </c>
      <c r="L354" s="65" t="str">
        <f>IF(COUNTA(A354:G354)=0,"",IF(AND(ISNUMBER(D354),ISNUMBER(J354)),ROUND(D354*J354*(1-N(F354)),2),0))</f>
        <v/>
      </c>
      <c r="M354" s="62" t="str">
        <f>IF(A354="","",IFERROR(INDEX(fa_cname,MATCH(A354,fa_num,0))&amp;"",""))</f>
        <v/>
      </c>
      <c r="N354" s="59" t="str">
        <f>IF(COUNTA(A354:G354)=0,"",IF(A354="","N° facture manquant",IF(ISNA(MATCH(A354,fa_num,0)),"Facture inconnue",IF(AND(B354&lt;&gt;"",ISNA(MATCH(B354,pr_code,0))),"Article inconnu",IF(H354="","Désignation manquante",IF(OR(NOT(ISNUMBER(D354)),N(D354)&lt;=0),"Quantité invalide",IF(J354="","Prix manquant",IF(OR(NOT(ISNUMBER(J354)),N(J354)&lt;0),"Prix invalide",IF(OR(AND(F354&lt;&gt;"",NOT(ISNUMBER(F354))),N(F354)&lt;0,N(F354)&gt;1),"Remise invalide",IF(K354="","Taux de TVA manquant",IF(NOT(ISNUMBER(K354)),"Taux de TVA invalide",IF(COUNTIF(p_rates,K354)=0,"Taux de TVA hors liste (Paramètres)",IF(N(O354)&gt;25,"Au-delà de 25 lignes : non imprimée","OK")))))))))))))</f>
        <v/>
      </c>
      <c r="O354" s="59" t="str">
        <f>IF(A354="","",COUNTIF($A$6:A354,A354))</f>
        <v/>
      </c>
      <c r="P354" s="62" t="str">
        <f>IF(A354="","",A354&amp;"|"&amp;O354)</f>
        <v/>
      </c>
    </row>
    <row r="355">
      <c r="A355" s="60" t="n"/>
      <c r="B355" s="63" t="n"/>
      <c r="C355" s="63" t="n"/>
      <c r="D355" s="67" t="n"/>
      <c r="E355" s="68" t="n"/>
      <c r="F355" s="69" t="n"/>
      <c r="G355" s="70" t="n"/>
      <c r="H355" s="62" t="str">
        <f>IF(COUNTA(A355:G355)=0,"",IF(C355&lt;&gt;"",C355,IF(B355="","",IFERROR(INDEX(pr_des,MATCH(B355,pr_code,0))&amp;"",""))))</f>
        <v/>
      </c>
      <c r="I355" s="59" t="str">
        <f>IF(B355="","",IFERROR(INDEX(pr_unit,MATCH(B355,pr_code,0))&amp;"",""))</f>
        <v/>
      </c>
      <c r="J355" s="65" t="str">
        <f>IF(COUNTA(A355:G355)=0,"",IF(E355&lt;&gt;"",E355,IF(B355="","",IFERROR(IF(INDEX(pr_price,MATCH(B355,pr_code,0))="","",INDEX(pr_price,MATCH(B355,pr_code,0))),""))))</f>
        <v/>
      </c>
      <c r="K355" s="71" t="str">
        <f>IF(COUNTA(A355:G355)=0,"",IF(G355&lt;&gt;"",G355,IF(B355="","",IFERROR(IF(INDEX(pr_rate,MATCH(B355,pr_code,0))="","",INDEX(pr_rate,MATCH(B355,pr_code,0))),""))))</f>
        <v/>
      </c>
      <c r="L355" s="65" t="str">
        <f>IF(COUNTA(A355:G355)=0,"",IF(AND(ISNUMBER(D355),ISNUMBER(J355)),ROUND(D355*J355*(1-N(F355)),2),0))</f>
        <v/>
      </c>
      <c r="M355" s="62" t="str">
        <f>IF(A355="","",IFERROR(INDEX(fa_cname,MATCH(A355,fa_num,0))&amp;"",""))</f>
        <v/>
      </c>
      <c r="N355" s="59" t="str">
        <f>IF(COUNTA(A355:G355)=0,"",IF(A355="","N° facture manquant",IF(ISNA(MATCH(A355,fa_num,0)),"Facture inconnue",IF(AND(B355&lt;&gt;"",ISNA(MATCH(B355,pr_code,0))),"Article inconnu",IF(H355="","Désignation manquante",IF(OR(NOT(ISNUMBER(D355)),N(D355)&lt;=0),"Quantité invalide",IF(J355="","Prix manquant",IF(OR(NOT(ISNUMBER(J355)),N(J355)&lt;0),"Prix invalide",IF(OR(AND(F355&lt;&gt;"",NOT(ISNUMBER(F355))),N(F355)&lt;0,N(F355)&gt;1),"Remise invalide",IF(K355="","Taux de TVA manquant",IF(NOT(ISNUMBER(K355)),"Taux de TVA invalide",IF(COUNTIF(p_rates,K355)=0,"Taux de TVA hors liste (Paramètres)",IF(N(O355)&gt;25,"Au-delà de 25 lignes : non imprimée","OK")))))))))))))</f>
        <v/>
      </c>
      <c r="O355" s="59" t="str">
        <f>IF(A355="","",COUNTIF($A$6:A355,A355))</f>
        <v/>
      </c>
      <c r="P355" s="62" t="str">
        <f>IF(A355="","",A355&amp;"|"&amp;O355)</f>
        <v/>
      </c>
    </row>
    <row r="356">
      <c r="A356" s="60" t="n"/>
      <c r="B356" s="63" t="n"/>
      <c r="C356" s="63" t="n"/>
      <c r="D356" s="67" t="n"/>
      <c r="E356" s="68" t="n"/>
      <c r="F356" s="69" t="n"/>
      <c r="G356" s="70" t="n"/>
      <c r="H356" s="62" t="str">
        <f>IF(COUNTA(A356:G356)=0,"",IF(C356&lt;&gt;"",C356,IF(B356="","",IFERROR(INDEX(pr_des,MATCH(B356,pr_code,0))&amp;"",""))))</f>
        <v/>
      </c>
      <c r="I356" s="59" t="str">
        <f>IF(B356="","",IFERROR(INDEX(pr_unit,MATCH(B356,pr_code,0))&amp;"",""))</f>
        <v/>
      </c>
      <c r="J356" s="65" t="str">
        <f>IF(COUNTA(A356:G356)=0,"",IF(E356&lt;&gt;"",E356,IF(B356="","",IFERROR(IF(INDEX(pr_price,MATCH(B356,pr_code,0))="","",INDEX(pr_price,MATCH(B356,pr_code,0))),""))))</f>
        <v/>
      </c>
      <c r="K356" s="71" t="str">
        <f>IF(COUNTA(A356:G356)=0,"",IF(G356&lt;&gt;"",G356,IF(B356="","",IFERROR(IF(INDEX(pr_rate,MATCH(B356,pr_code,0))="","",INDEX(pr_rate,MATCH(B356,pr_code,0))),""))))</f>
        <v/>
      </c>
      <c r="L356" s="65" t="str">
        <f>IF(COUNTA(A356:G356)=0,"",IF(AND(ISNUMBER(D356),ISNUMBER(J356)),ROUND(D356*J356*(1-N(F356)),2),0))</f>
        <v/>
      </c>
      <c r="M356" s="62" t="str">
        <f>IF(A356="","",IFERROR(INDEX(fa_cname,MATCH(A356,fa_num,0))&amp;"",""))</f>
        <v/>
      </c>
      <c r="N356" s="59" t="str">
        <f>IF(COUNTA(A356:G356)=0,"",IF(A356="","N° facture manquant",IF(ISNA(MATCH(A356,fa_num,0)),"Facture inconnue",IF(AND(B356&lt;&gt;"",ISNA(MATCH(B356,pr_code,0))),"Article inconnu",IF(H356="","Désignation manquante",IF(OR(NOT(ISNUMBER(D356)),N(D356)&lt;=0),"Quantité invalide",IF(J356="","Prix manquant",IF(OR(NOT(ISNUMBER(J356)),N(J356)&lt;0),"Prix invalide",IF(OR(AND(F356&lt;&gt;"",NOT(ISNUMBER(F356))),N(F356)&lt;0,N(F356)&gt;1),"Remise invalide",IF(K356="","Taux de TVA manquant",IF(NOT(ISNUMBER(K356)),"Taux de TVA invalide",IF(COUNTIF(p_rates,K356)=0,"Taux de TVA hors liste (Paramètres)",IF(N(O356)&gt;25,"Au-delà de 25 lignes : non imprimée","OK")))))))))))))</f>
        <v/>
      </c>
      <c r="O356" s="59" t="str">
        <f>IF(A356="","",COUNTIF($A$6:A356,A356))</f>
        <v/>
      </c>
      <c r="P356" s="62" t="str">
        <f>IF(A356="","",A356&amp;"|"&amp;O356)</f>
        <v/>
      </c>
    </row>
    <row r="357">
      <c r="A357" s="60" t="n"/>
      <c r="B357" s="63" t="n"/>
      <c r="C357" s="63" t="n"/>
      <c r="D357" s="67" t="n"/>
      <c r="E357" s="68" t="n"/>
      <c r="F357" s="69" t="n"/>
      <c r="G357" s="70" t="n"/>
      <c r="H357" s="62" t="str">
        <f>IF(COUNTA(A357:G357)=0,"",IF(C357&lt;&gt;"",C357,IF(B357="","",IFERROR(INDEX(pr_des,MATCH(B357,pr_code,0))&amp;"",""))))</f>
        <v/>
      </c>
      <c r="I357" s="59" t="str">
        <f>IF(B357="","",IFERROR(INDEX(pr_unit,MATCH(B357,pr_code,0))&amp;"",""))</f>
        <v/>
      </c>
      <c r="J357" s="65" t="str">
        <f>IF(COUNTA(A357:G357)=0,"",IF(E357&lt;&gt;"",E357,IF(B357="","",IFERROR(IF(INDEX(pr_price,MATCH(B357,pr_code,0))="","",INDEX(pr_price,MATCH(B357,pr_code,0))),""))))</f>
        <v/>
      </c>
      <c r="K357" s="71" t="str">
        <f>IF(COUNTA(A357:G357)=0,"",IF(G357&lt;&gt;"",G357,IF(B357="","",IFERROR(IF(INDEX(pr_rate,MATCH(B357,pr_code,0))="","",INDEX(pr_rate,MATCH(B357,pr_code,0))),""))))</f>
        <v/>
      </c>
      <c r="L357" s="65" t="str">
        <f>IF(COUNTA(A357:G357)=0,"",IF(AND(ISNUMBER(D357),ISNUMBER(J357)),ROUND(D357*J357*(1-N(F357)),2),0))</f>
        <v/>
      </c>
      <c r="M357" s="62" t="str">
        <f>IF(A357="","",IFERROR(INDEX(fa_cname,MATCH(A357,fa_num,0))&amp;"",""))</f>
        <v/>
      </c>
      <c r="N357" s="59" t="str">
        <f>IF(COUNTA(A357:G357)=0,"",IF(A357="","N° facture manquant",IF(ISNA(MATCH(A357,fa_num,0)),"Facture inconnue",IF(AND(B357&lt;&gt;"",ISNA(MATCH(B357,pr_code,0))),"Article inconnu",IF(H357="","Désignation manquante",IF(OR(NOT(ISNUMBER(D357)),N(D357)&lt;=0),"Quantité invalide",IF(J357="","Prix manquant",IF(OR(NOT(ISNUMBER(J357)),N(J357)&lt;0),"Prix invalide",IF(OR(AND(F357&lt;&gt;"",NOT(ISNUMBER(F357))),N(F357)&lt;0,N(F357)&gt;1),"Remise invalide",IF(K357="","Taux de TVA manquant",IF(NOT(ISNUMBER(K357)),"Taux de TVA invalide",IF(COUNTIF(p_rates,K357)=0,"Taux de TVA hors liste (Paramètres)",IF(N(O357)&gt;25,"Au-delà de 25 lignes : non imprimée","OK")))))))))))))</f>
        <v/>
      </c>
      <c r="O357" s="59" t="str">
        <f>IF(A357="","",COUNTIF($A$6:A357,A357))</f>
        <v/>
      </c>
      <c r="P357" s="62" t="str">
        <f>IF(A357="","",A357&amp;"|"&amp;O357)</f>
        <v/>
      </c>
    </row>
    <row r="358">
      <c r="A358" s="60" t="n"/>
      <c r="B358" s="63" t="n"/>
      <c r="C358" s="63" t="n"/>
      <c r="D358" s="67" t="n"/>
      <c r="E358" s="68" t="n"/>
      <c r="F358" s="69" t="n"/>
      <c r="G358" s="70" t="n"/>
      <c r="H358" s="62" t="str">
        <f>IF(COUNTA(A358:G358)=0,"",IF(C358&lt;&gt;"",C358,IF(B358="","",IFERROR(INDEX(pr_des,MATCH(B358,pr_code,0))&amp;"",""))))</f>
        <v/>
      </c>
      <c r="I358" s="59" t="str">
        <f>IF(B358="","",IFERROR(INDEX(pr_unit,MATCH(B358,pr_code,0))&amp;"",""))</f>
        <v/>
      </c>
      <c r="J358" s="65" t="str">
        <f>IF(COUNTA(A358:G358)=0,"",IF(E358&lt;&gt;"",E358,IF(B358="","",IFERROR(IF(INDEX(pr_price,MATCH(B358,pr_code,0))="","",INDEX(pr_price,MATCH(B358,pr_code,0))),""))))</f>
        <v/>
      </c>
      <c r="K358" s="71" t="str">
        <f>IF(COUNTA(A358:G358)=0,"",IF(G358&lt;&gt;"",G358,IF(B358="","",IFERROR(IF(INDEX(pr_rate,MATCH(B358,pr_code,0))="","",INDEX(pr_rate,MATCH(B358,pr_code,0))),""))))</f>
        <v/>
      </c>
      <c r="L358" s="65" t="str">
        <f>IF(COUNTA(A358:G358)=0,"",IF(AND(ISNUMBER(D358),ISNUMBER(J358)),ROUND(D358*J358*(1-N(F358)),2),0))</f>
        <v/>
      </c>
      <c r="M358" s="62" t="str">
        <f>IF(A358="","",IFERROR(INDEX(fa_cname,MATCH(A358,fa_num,0))&amp;"",""))</f>
        <v/>
      </c>
      <c r="N358" s="59" t="str">
        <f>IF(COUNTA(A358:G358)=0,"",IF(A358="","N° facture manquant",IF(ISNA(MATCH(A358,fa_num,0)),"Facture inconnue",IF(AND(B358&lt;&gt;"",ISNA(MATCH(B358,pr_code,0))),"Article inconnu",IF(H358="","Désignation manquante",IF(OR(NOT(ISNUMBER(D358)),N(D358)&lt;=0),"Quantité invalide",IF(J358="","Prix manquant",IF(OR(NOT(ISNUMBER(J358)),N(J358)&lt;0),"Prix invalide",IF(OR(AND(F358&lt;&gt;"",NOT(ISNUMBER(F358))),N(F358)&lt;0,N(F358)&gt;1),"Remise invalide",IF(K358="","Taux de TVA manquant",IF(NOT(ISNUMBER(K358)),"Taux de TVA invalide",IF(COUNTIF(p_rates,K358)=0,"Taux de TVA hors liste (Paramètres)",IF(N(O358)&gt;25,"Au-delà de 25 lignes : non imprimée","OK")))))))))))))</f>
        <v/>
      </c>
      <c r="O358" s="59" t="str">
        <f>IF(A358="","",COUNTIF($A$6:A358,A358))</f>
        <v/>
      </c>
      <c r="P358" s="62" t="str">
        <f>IF(A358="","",A358&amp;"|"&amp;O358)</f>
        <v/>
      </c>
    </row>
    <row r="359">
      <c r="A359" s="60" t="n"/>
      <c r="B359" s="63" t="n"/>
      <c r="C359" s="63" t="n"/>
      <c r="D359" s="67" t="n"/>
      <c r="E359" s="68" t="n"/>
      <c r="F359" s="69" t="n"/>
      <c r="G359" s="70" t="n"/>
      <c r="H359" s="62" t="str">
        <f>IF(COUNTA(A359:G359)=0,"",IF(C359&lt;&gt;"",C359,IF(B359="","",IFERROR(INDEX(pr_des,MATCH(B359,pr_code,0))&amp;"",""))))</f>
        <v/>
      </c>
      <c r="I359" s="59" t="str">
        <f>IF(B359="","",IFERROR(INDEX(pr_unit,MATCH(B359,pr_code,0))&amp;"",""))</f>
        <v/>
      </c>
      <c r="J359" s="65" t="str">
        <f>IF(COUNTA(A359:G359)=0,"",IF(E359&lt;&gt;"",E359,IF(B359="","",IFERROR(IF(INDEX(pr_price,MATCH(B359,pr_code,0))="","",INDEX(pr_price,MATCH(B359,pr_code,0))),""))))</f>
        <v/>
      </c>
      <c r="K359" s="71" t="str">
        <f>IF(COUNTA(A359:G359)=0,"",IF(G359&lt;&gt;"",G359,IF(B359="","",IFERROR(IF(INDEX(pr_rate,MATCH(B359,pr_code,0))="","",INDEX(pr_rate,MATCH(B359,pr_code,0))),""))))</f>
        <v/>
      </c>
      <c r="L359" s="65" t="str">
        <f>IF(COUNTA(A359:G359)=0,"",IF(AND(ISNUMBER(D359),ISNUMBER(J359)),ROUND(D359*J359*(1-N(F359)),2),0))</f>
        <v/>
      </c>
      <c r="M359" s="62" t="str">
        <f>IF(A359="","",IFERROR(INDEX(fa_cname,MATCH(A359,fa_num,0))&amp;"",""))</f>
        <v/>
      </c>
      <c r="N359" s="59" t="str">
        <f>IF(COUNTA(A359:G359)=0,"",IF(A359="","N° facture manquant",IF(ISNA(MATCH(A359,fa_num,0)),"Facture inconnue",IF(AND(B359&lt;&gt;"",ISNA(MATCH(B359,pr_code,0))),"Article inconnu",IF(H359="","Désignation manquante",IF(OR(NOT(ISNUMBER(D359)),N(D359)&lt;=0),"Quantité invalide",IF(J359="","Prix manquant",IF(OR(NOT(ISNUMBER(J359)),N(J359)&lt;0),"Prix invalide",IF(OR(AND(F359&lt;&gt;"",NOT(ISNUMBER(F359))),N(F359)&lt;0,N(F359)&gt;1),"Remise invalide",IF(K359="","Taux de TVA manquant",IF(NOT(ISNUMBER(K359)),"Taux de TVA invalide",IF(COUNTIF(p_rates,K359)=0,"Taux de TVA hors liste (Paramètres)",IF(N(O359)&gt;25,"Au-delà de 25 lignes : non imprimée","OK")))))))))))))</f>
        <v/>
      </c>
      <c r="O359" s="59" t="str">
        <f>IF(A359="","",COUNTIF($A$6:A359,A359))</f>
        <v/>
      </c>
      <c r="P359" s="62" t="str">
        <f>IF(A359="","",A359&amp;"|"&amp;O359)</f>
        <v/>
      </c>
    </row>
    <row r="360">
      <c r="A360" s="60" t="n"/>
      <c r="B360" s="63" t="n"/>
      <c r="C360" s="63" t="n"/>
      <c r="D360" s="67" t="n"/>
      <c r="E360" s="68" t="n"/>
      <c r="F360" s="69" t="n"/>
      <c r="G360" s="70" t="n"/>
      <c r="H360" s="62" t="str">
        <f>IF(COUNTA(A360:G360)=0,"",IF(C360&lt;&gt;"",C360,IF(B360="","",IFERROR(INDEX(pr_des,MATCH(B360,pr_code,0))&amp;"",""))))</f>
        <v/>
      </c>
      <c r="I360" s="59" t="str">
        <f>IF(B360="","",IFERROR(INDEX(pr_unit,MATCH(B360,pr_code,0))&amp;"",""))</f>
        <v/>
      </c>
      <c r="J360" s="65" t="str">
        <f>IF(COUNTA(A360:G360)=0,"",IF(E360&lt;&gt;"",E360,IF(B360="","",IFERROR(IF(INDEX(pr_price,MATCH(B360,pr_code,0))="","",INDEX(pr_price,MATCH(B360,pr_code,0))),""))))</f>
        <v/>
      </c>
      <c r="K360" s="71" t="str">
        <f>IF(COUNTA(A360:G360)=0,"",IF(G360&lt;&gt;"",G360,IF(B360="","",IFERROR(IF(INDEX(pr_rate,MATCH(B360,pr_code,0))="","",INDEX(pr_rate,MATCH(B360,pr_code,0))),""))))</f>
        <v/>
      </c>
      <c r="L360" s="65" t="str">
        <f>IF(COUNTA(A360:G360)=0,"",IF(AND(ISNUMBER(D360),ISNUMBER(J360)),ROUND(D360*J360*(1-N(F360)),2),0))</f>
        <v/>
      </c>
      <c r="M360" s="62" t="str">
        <f>IF(A360="","",IFERROR(INDEX(fa_cname,MATCH(A360,fa_num,0))&amp;"",""))</f>
        <v/>
      </c>
      <c r="N360" s="59" t="str">
        <f>IF(COUNTA(A360:G360)=0,"",IF(A360="","N° facture manquant",IF(ISNA(MATCH(A360,fa_num,0)),"Facture inconnue",IF(AND(B360&lt;&gt;"",ISNA(MATCH(B360,pr_code,0))),"Article inconnu",IF(H360="","Désignation manquante",IF(OR(NOT(ISNUMBER(D360)),N(D360)&lt;=0),"Quantité invalide",IF(J360="","Prix manquant",IF(OR(NOT(ISNUMBER(J360)),N(J360)&lt;0),"Prix invalide",IF(OR(AND(F360&lt;&gt;"",NOT(ISNUMBER(F360))),N(F360)&lt;0,N(F360)&gt;1),"Remise invalide",IF(K360="","Taux de TVA manquant",IF(NOT(ISNUMBER(K360)),"Taux de TVA invalide",IF(COUNTIF(p_rates,K360)=0,"Taux de TVA hors liste (Paramètres)",IF(N(O360)&gt;25,"Au-delà de 25 lignes : non imprimée","OK")))))))))))))</f>
        <v/>
      </c>
      <c r="O360" s="59" t="str">
        <f>IF(A360="","",COUNTIF($A$6:A360,A360))</f>
        <v/>
      </c>
      <c r="P360" s="62" t="str">
        <f>IF(A360="","",A360&amp;"|"&amp;O360)</f>
        <v/>
      </c>
    </row>
    <row r="361">
      <c r="A361" s="60" t="n"/>
      <c r="B361" s="63" t="n"/>
      <c r="C361" s="63" t="n"/>
      <c r="D361" s="67" t="n"/>
      <c r="E361" s="68" t="n"/>
      <c r="F361" s="69" t="n"/>
      <c r="G361" s="70" t="n"/>
      <c r="H361" s="62" t="str">
        <f>IF(COUNTA(A361:G361)=0,"",IF(C361&lt;&gt;"",C361,IF(B361="","",IFERROR(INDEX(pr_des,MATCH(B361,pr_code,0))&amp;"",""))))</f>
        <v/>
      </c>
      <c r="I361" s="59" t="str">
        <f>IF(B361="","",IFERROR(INDEX(pr_unit,MATCH(B361,pr_code,0))&amp;"",""))</f>
        <v/>
      </c>
      <c r="J361" s="65" t="str">
        <f>IF(COUNTA(A361:G361)=0,"",IF(E361&lt;&gt;"",E361,IF(B361="","",IFERROR(IF(INDEX(pr_price,MATCH(B361,pr_code,0))="","",INDEX(pr_price,MATCH(B361,pr_code,0))),""))))</f>
        <v/>
      </c>
      <c r="K361" s="71" t="str">
        <f>IF(COUNTA(A361:G361)=0,"",IF(G361&lt;&gt;"",G361,IF(B361="","",IFERROR(IF(INDEX(pr_rate,MATCH(B361,pr_code,0))="","",INDEX(pr_rate,MATCH(B361,pr_code,0))),""))))</f>
        <v/>
      </c>
      <c r="L361" s="65" t="str">
        <f>IF(COUNTA(A361:G361)=0,"",IF(AND(ISNUMBER(D361),ISNUMBER(J361)),ROUND(D361*J361*(1-N(F361)),2),0))</f>
        <v/>
      </c>
      <c r="M361" s="62" t="str">
        <f>IF(A361="","",IFERROR(INDEX(fa_cname,MATCH(A361,fa_num,0))&amp;"",""))</f>
        <v/>
      </c>
      <c r="N361" s="59" t="str">
        <f>IF(COUNTA(A361:G361)=0,"",IF(A361="","N° facture manquant",IF(ISNA(MATCH(A361,fa_num,0)),"Facture inconnue",IF(AND(B361&lt;&gt;"",ISNA(MATCH(B361,pr_code,0))),"Article inconnu",IF(H361="","Désignation manquante",IF(OR(NOT(ISNUMBER(D361)),N(D361)&lt;=0),"Quantité invalide",IF(J361="","Prix manquant",IF(OR(NOT(ISNUMBER(J361)),N(J361)&lt;0),"Prix invalide",IF(OR(AND(F361&lt;&gt;"",NOT(ISNUMBER(F361))),N(F361)&lt;0,N(F361)&gt;1),"Remise invalide",IF(K361="","Taux de TVA manquant",IF(NOT(ISNUMBER(K361)),"Taux de TVA invalide",IF(COUNTIF(p_rates,K361)=0,"Taux de TVA hors liste (Paramètres)",IF(N(O361)&gt;25,"Au-delà de 25 lignes : non imprimée","OK")))))))))))))</f>
        <v/>
      </c>
      <c r="O361" s="59" t="str">
        <f>IF(A361="","",COUNTIF($A$6:A361,A361))</f>
        <v/>
      </c>
      <c r="P361" s="62" t="str">
        <f>IF(A361="","",A361&amp;"|"&amp;O361)</f>
        <v/>
      </c>
    </row>
    <row r="362">
      <c r="A362" s="60" t="n"/>
      <c r="B362" s="63" t="n"/>
      <c r="C362" s="63" t="n"/>
      <c r="D362" s="67" t="n"/>
      <c r="E362" s="68" t="n"/>
      <c r="F362" s="69" t="n"/>
      <c r="G362" s="70" t="n"/>
      <c r="H362" s="62" t="str">
        <f>IF(COUNTA(A362:G362)=0,"",IF(C362&lt;&gt;"",C362,IF(B362="","",IFERROR(INDEX(pr_des,MATCH(B362,pr_code,0))&amp;"",""))))</f>
        <v/>
      </c>
      <c r="I362" s="59" t="str">
        <f>IF(B362="","",IFERROR(INDEX(pr_unit,MATCH(B362,pr_code,0))&amp;"",""))</f>
        <v/>
      </c>
      <c r="J362" s="65" t="str">
        <f>IF(COUNTA(A362:G362)=0,"",IF(E362&lt;&gt;"",E362,IF(B362="","",IFERROR(IF(INDEX(pr_price,MATCH(B362,pr_code,0))="","",INDEX(pr_price,MATCH(B362,pr_code,0))),""))))</f>
        <v/>
      </c>
      <c r="K362" s="71" t="str">
        <f>IF(COUNTA(A362:G362)=0,"",IF(G362&lt;&gt;"",G362,IF(B362="","",IFERROR(IF(INDEX(pr_rate,MATCH(B362,pr_code,0))="","",INDEX(pr_rate,MATCH(B362,pr_code,0))),""))))</f>
        <v/>
      </c>
      <c r="L362" s="65" t="str">
        <f>IF(COUNTA(A362:G362)=0,"",IF(AND(ISNUMBER(D362),ISNUMBER(J362)),ROUND(D362*J362*(1-N(F362)),2),0))</f>
        <v/>
      </c>
      <c r="M362" s="62" t="str">
        <f>IF(A362="","",IFERROR(INDEX(fa_cname,MATCH(A362,fa_num,0))&amp;"",""))</f>
        <v/>
      </c>
      <c r="N362" s="59" t="str">
        <f>IF(COUNTA(A362:G362)=0,"",IF(A362="","N° facture manquant",IF(ISNA(MATCH(A362,fa_num,0)),"Facture inconnue",IF(AND(B362&lt;&gt;"",ISNA(MATCH(B362,pr_code,0))),"Article inconnu",IF(H362="","Désignation manquante",IF(OR(NOT(ISNUMBER(D362)),N(D362)&lt;=0),"Quantité invalide",IF(J362="","Prix manquant",IF(OR(NOT(ISNUMBER(J362)),N(J362)&lt;0),"Prix invalide",IF(OR(AND(F362&lt;&gt;"",NOT(ISNUMBER(F362))),N(F362)&lt;0,N(F362)&gt;1),"Remise invalide",IF(K362="","Taux de TVA manquant",IF(NOT(ISNUMBER(K362)),"Taux de TVA invalide",IF(COUNTIF(p_rates,K362)=0,"Taux de TVA hors liste (Paramètres)",IF(N(O362)&gt;25,"Au-delà de 25 lignes : non imprimée","OK")))))))))))))</f>
        <v/>
      </c>
      <c r="O362" s="59" t="str">
        <f>IF(A362="","",COUNTIF($A$6:A362,A362))</f>
        <v/>
      </c>
      <c r="P362" s="62" t="str">
        <f>IF(A362="","",A362&amp;"|"&amp;O362)</f>
        <v/>
      </c>
    </row>
    <row r="363">
      <c r="A363" s="60" t="n"/>
      <c r="B363" s="63" t="n"/>
      <c r="C363" s="63" t="n"/>
      <c r="D363" s="67" t="n"/>
      <c r="E363" s="68" t="n"/>
      <c r="F363" s="69" t="n"/>
      <c r="G363" s="70" t="n"/>
      <c r="H363" s="62" t="str">
        <f>IF(COUNTA(A363:G363)=0,"",IF(C363&lt;&gt;"",C363,IF(B363="","",IFERROR(INDEX(pr_des,MATCH(B363,pr_code,0))&amp;"",""))))</f>
        <v/>
      </c>
      <c r="I363" s="59" t="str">
        <f>IF(B363="","",IFERROR(INDEX(pr_unit,MATCH(B363,pr_code,0))&amp;"",""))</f>
        <v/>
      </c>
      <c r="J363" s="65" t="str">
        <f>IF(COUNTA(A363:G363)=0,"",IF(E363&lt;&gt;"",E363,IF(B363="","",IFERROR(IF(INDEX(pr_price,MATCH(B363,pr_code,0))="","",INDEX(pr_price,MATCH(B363,pr_code,0))),""))))</f>
        <v/>
      </c>
      <c r="K363" s="71" t="str">
        <f>IF(COUNTA(A363:G363)=0,"",IF(G363&lt;&gt;"",G363,IF(B363="","",IFERROR(IF(INDEX(pr_rate,MATCH(B363,pr_code,0))="","",INDEX(pr_rate,MATCH(B363,pr_code,0))),""))))</f>
        <v/>
      </c>
      <c r="L363" s="65" t="str">
        <f>IF(COUNTA(A363:G363)=0,"",IF(AND(ISNUMBER(D363),ISNUMBER(J363)),ROUND(D363*J363*(1-N(F363)),2),0))</f>
        <v/>
      </c>
      <c r="M363" s="62" t="str">
        <f>IF(A363="","",IFERROR(INDEX(fa_cname,MATCH(A363,fa_num,0))&amp;"",""))</f>
        <v/>
      </c>
      <c r="N363" s="59" t="str">
        <f>IF(COUNTA(A363:G363)=0,"",IF(A363="","N° facture manquant",IF(ISNA(MATCH(A363,fa_num,0)),"Facture inconnue",IF(AND(B363&lt;&gt;"",ISNA(MATCH(B363,pr_code,0))),"Article inconnu",IF(H363="","Désignation manquante",IF(OR(NOT(ISNUMBER(D363)),N(D363)&lt;=0),"Quantité invalide",IF(J363="","Prix manquant",IF(OR(NOT(ISNUMBER(J363)),N(J363)&lt;0),"Prix invalide",IF(OR(AND(F363&lt;&gt;"",NOT(ISNUMBER(F363))),N(F363)&lt;0,N(F363)&gt;1),"Remise invalide",IF(K363="","Taux de TVA manquant",IF(NOT(ISNUMBER(K363)),"Taux de TVA invalide",IF(COUNTIF(p_rates,K363)=0,"Taux de TVA hors liste (Paramètres)",IF(N(O363)&gt;25,"Au-delà de 25 lignes : non imprimée","OK")))))))))))))</f>
        <v/>
      </c>
      <c r="O363" s="59" t="str">
        <f>IF(A363="","",COUNTIF($A$6:A363,A363))</f>
        <v/>
      </c>
      <c r="P363" s="62" t="str">
        <f>IF(A363="","",A363&amp;"|"&amp;O363)</f>
        <v/>
      </c>
    </row>
    <row r="364">
      <c r="A364" s="60" t="n"/>
      <c r="B364" s="63" t="n"/>
      <c r="C364" s="63" t="n"/>
      <c r="D364" s="67" t="n"/>
      <c r="E364" s="68" t="n"/>
      <c r="F364" s="69" t="n"/>
      <c r="G364" s="70" t="n"/>
      <c r="H364" s="62" t="str">
        <f>IF(COUNTA(A364:G364)=0,"",IF(C364&lt;&gt;"",C364,IF(B364="","",IFERROR(INDEX(pr_des,MATCH(B364,pr_code,0))&amp;"",""))))</f>
        <v/>
      </c>
      <c r="I364" s="59" t="str">
        <f>IF(B364="","",IFERROR(INDEX(pr_unit,MATCH(B364,pr_code,0))&amp;"",""))</f>
        <v/>
      </c>
      <c r="J364" s="65" t="str">
        <f>IF(COUNTA(A364:G364)=0,"",IF(E364&lt;&gt;"",E364,IF(B364="","",IFERROR(IF(INDEX(pr_price,MATCH(B364,pr_code,0))="","",INDEX(pr_price,MATCH(B364,pr_code,0))),""))))</f>
        <v/>
      </c>
      <c r="K364" s="71" t="str">
        <f>IF(COUNTA(A364:G364)=0,"",IF(G364&lt;&gt;"",G364,IF(B364="","",IFERROR(IF(INDEX(pr_rate,MATCH(B364,pr_code,0))="","",INDEX(pr_rate,MATCH(B364,pr_code,0))),""))))</f>
        <v/>
      </c>
      <c r="L364" s="65" t="str">
        <f>IF(COUNTA(A364:G364)=0,"",IF(AND(ISNUMBER(D364),ISNUMBER(J364)),ROUND(D364*J364*(1-N(F364)),2),0))</f>
        <v/>
      </c>
      <c r="M364" s="62" t="str">
        <f>IF(A364="","",IFERROR(INDEX(fa_cname,MATCH(A364,fa_num,0))&amp;"",""))</f>
        <v/>
      </c>
      <c r="N364" s="59" t="str">
        <f>IF(COUNTA(A364:G364)=0,"",IF(A364="","N° facture manquant",IF(ISNA(MATCH(A364,fa_num,0)),"Facture inconnue",IF(AND(B364&lt;&gt;"",ISNA(MATCH(B364,pr_code,0))),"Article inconnu",IF(H364="","Désignation manquante",IF(OR(NOT(ISNUMBER(D364)),N(D364)&lt;=0),"Quantité invalide",IF(J364="","Prix manquant",IF(OR(NOT(ISNUMBER(J364)),N(J364)&lt;0),"Prix invalide",IF(OR(AND(F364&lt;&gt;"",NOT(ISNUMBER(F364))),N(F364)&lt;0,N(F364)&gt;1),"Remise invalide",IF(K364="","Taux de TVA manquant",IF(NOT(ISNUMBER(K364)),"Taux de TVA invalide",IF(COUNTIF(p_rates,K364)=0,"Taux de TVA hors liste (Paramètres)",IF(N(O364)&gt;25,"Au-delà de 25 lignes : non imprimée","OK")))))))))))))</f>
        <v/>
      </c>
      <c r="O364" s="59" t="str">
        <f>IF(A364="","",COUNTIF($A$6:A364,A364))</f>
        <v/>
      </c>
      <c r="P364" s="62" t="str">
        <f>IF(A364="","",A364&amp;"|"&amp;O364)</f>
        <v/>
      </c>
    </row>
    <row r="365">
      <c r="A365" s="60" t="n"/>
      <c r="B365" s="63" t="n"/>
      <c r="C365" s="63" t="n"/>
      <c r="D365" s="67" t="n"/>
      <c r="E365" s="68" t="n"/>
      <c r="F365" s="69" t="n"/>
      <c r="G365" s="70" t="n"/>
      <c r="H365" s="62" t="str">
        <f>IF(COUNTA(A365:G365)=0,"",IF(C365&lt;&gt;"",C365,IF(B365="","",IFERROR(INDEX(pr_des,MATCH(B365,pr_code,0))&amp;"",""))))</f>
        <v/>
      </c>
      <c r="I365" s="59" t="str">
        <f>IF(B365="","",IFERROR(INDEX(pr_unit,MATCH(B365,pr_code,0))&amp;"",""))</f>
        <v/>
      </c>
      <c r="J365" s="65" t="str">
        <f>IF(COUNTA(A365:G365)=0,"",IF(E365&lt;&gt;"",E365,IF(B365="","",IFERROR(IF(INDEX(pr_price,MATCH(B365,pr_code,0))="","",INDEX(pr_price,MATCH(B365,pr_code,0))),""))))</f>
        <v/>
      </c>
      <c r="K365" s="71" t="str">
        <f>IF(COUNTA(A365:G365)=0,"",IF(G365&lt;&gt;"",G365,IF(B365="","",IFERROR(IF(INDEX(pr_rate,MATCH(B365,pr_code,0))="","",INDEX(pr_rate,MATCH(B365,pr_code,0))),""))))</f>
        <v/>
      </c>
      <c r="L365" s="65" t="str">
        <f>IF(COUNTA(A365:G365)=0,"",IF(AND(ISNUMBER(D365),ISNUMBER(J365)),ROUND(D365*J365*(1-N(F365)),2),0))</f>
        <v/>
      </c>
      <c r="M365" s="62" t="str">
        <f>IF(A365="","",IFERROR(INDEX(fa_cname,MATCH(A365,fa_num,0))&amp;"",""))</f>
        <v/>
      </c>
      <c r="N365" s="59" t="str">
        <f>IF(COUNTA(A365:G365)=0,"",IF(A365="","N° facture manquant",IF(ISNA(MATCH(A365,fa_num,0)),"Facture inconnue",IF(AND(B365&lt;&gt;"",ISNA(MATCH(B365,pr_code,0))),"Article inconnu",IF(H365="","Désignation manquante",IF(OR(NOT(ISNUMBER(D365)),N(D365)&lt;=0),"Quantité invalide",IF(J365="","Prix manquant",IF(OR(NOT(ISNUMBER(J365)),N(J365)&lt;0),"Prix invalide",IF(OR(AND(F365&lt;&gt;"",NOT(ISNUMBER(F365))),N(F365)&lt;0,N(F365)&gt;1),"Remise invalide",IF(K365="","Taux de TVA manquant",IF(NOT(ISNUMBER(K365)),"Taux de TVA invalide",IF(COUNTIF(p_rates,K365)=0,"Taux de TVA hors liste (Paramètres)",IF(N(O365)&gt;25,"Au-delà de 25 lignes : non imprimée","OK")))))))))))))</f>
        <v/>
      </c>
      <c r="O365" s="59" t="str">
        <f>IF(A365="","",COUNTIF($A$6:A365,A365))</f>
        <v/>
      </c>
      <c r="P365" s="62" t="str">
        <f>IF(A365="","",A365&amp;"|"&amp;O365)</f>
        <v/>
      </c>
    </row>
    <row r="366">
      <c r="A366" s="60" t="n"/>
      <c r="B366" s="63" t="n"/>
      <c r="C366" s="63" t="n"/>
      <c r="D366" s="67" t="n"/>
      <c r="E366" s="68" t="n"/>
      <c r="F366" s="69" t="n"/>
      <c r="G366" s="70" t="n"/>
      <c r="H366" s="62" t="str">
        <f>IF(COUNTA(A366:G366)=0,"",IF(C366&lt;&gt;"",C366,IF(B366="","",IFERROR(INDEX(pr_des,MATCH(B366,pr_code,0))&amp;"",""))))</f>
        <v/>
      </c>
      <c r="I366" s="59" t="str">
        <f>IF(B366="","",IFERROR(INDEX(pr_unit,MATCH(B366,pr_code,0))&amp;"",""))</f>
        <v/>
      </c>
      <c r="J366" s="65" t="str">
        <f>IF(COUNTA(A366:G366)=0,"",IF(E366&lt;&gt;"",E366,IF(B366="","",IFERROR(IF(INDEX(pr_price,MATCH(B366,pr_code,0))="","",INDEX(pr_price,MATCH(B366,pr_code,0))),""))))</f>
        <v/>
      </c>
      <c r="K366" s="71" t="str">
        <f>IF(COUNTA(A366:G366)=0,"",IF(G366&lt;&gt;"",G366,IF(B366="","",IFERROR(IF(INDEX(pr_rate,MATCH(B366,pr_code,0))="","",INDEX(pr_rate,MATCH(B366,pr_code,0))),""))))</f>
        <v/>
      </c>
      <c r="L366" s="65" t="str">
        <f>IF(COUNTA(A366:G366)=0,"",IF(AND(ISNUMBER(D366),ISNUMBER(J366)),ROUND(D366*J366*(1-N(F366)),2),0))</f>
        <v/>
      </c>
      <c r="M366" s="62" t="str">
        <f>IF(A366="","",IFERROR(INDEX(fa_cname,MATCH(A366,fa_num,0))&amp;"",""))</f>
        <v/>
      </c>
      <c r="N366" s="59" t="str">
        <f>IF(COUNTA(A366:G366)=0,"",IF(A366="","N° facture manquant",IF(ISNA(MATCH(A366,fa_num,0)),"Facture inconnue",IF(AND(B366&lt;&gt;"",ISNA(MATCH(B366,pr_code,0))),"Article inconnu",IF(H366="","Désignation manquante",IF(OR(NOT(ISNUMBER(D366)),N(D366)&lt;=0),"Quantité invalide",IF(J366="","Prix manquant",IF(OR(NOT(ISNUMBER(J366)),N(J366)&lt;0),"Prix invalide",IF(OR(AND(F366&lt;&gt;"",NOT(ISNUMBER(F366))),N(F366)&lt;0,N(F366)&gt;1),"Remise invalide",IF(K366="","Taux de TVA manquant",IF(NOT(ISNUMBER(K366)),"Taux de TVA invalide",IF(COUNTIF(p_rates,K366)=0,"Taux de TVA hors liste (Paramètres)",IF(N(O366)&gt;25,"Au-delà de 25 lignes : non imprimée","OK")))))))))))))</f>
        <v/>
      </c>
      <c r="O366" s="59" t="str">
        <f>IF(A366="","",COUNTIF($A$6:A366,A366))</f>
        <v/>
      </c>
      <c r="P366" s="62" t="str">
        <f>IF(A366="","",A366&amp;"|"&amp;O366)</f>
        <v/>
      </c>
    </row>
    <row r="367">
      <c r="A367" s="60" t="n"/>
      <c r="B367" s="63" t="n"/>
      <c r="C367" s="63" t="n"/>
      <c r="D367" s="67" t="n"/>
      <c r="E367" s="68" t="n"/>
      <c r="F367" s="69" t="n"/>
      <c r="G367" s="70" t="n"/>
      <c r="H367" s="62" t="str">
        <f>IF(COUNTA(A367:G367)=0,"",IF(C367&lt;&gt;"",C367,IF(B367="","",IFERROR(INDEX(pr_des,MATCH(B367,pr_code,0))&amp;"",""))))</f>
        <v/>
      </c>
      <c r="I367" s="59" t="str">
        <f>IF(B367="","",IFERROR(INDEX(pr_unit,MATCH(B367,pr_code,0))&amp;"",""))</f>
        <v/>
      </c>
      <c r="J367" s="65" t="str">
        <f>IF(COUNTA(A367:G367)=0,"",IF(E367&lt;&gt;"",E367,IF(B367="","",IFERROR(IF(INDEX(pr_price,MATCH(B367,pr_code,0))="","",INDEX(pr_price,MATCH(B367,pr_code,0))),""))))</f>
        <v/>
      </c>
      <c r="K367" s="71" t="str">
        <f>IF(COUNTA(A367:G367)=0,"",IF(G367&lt;&gt;"",G367,IF(B367="","",IFERROR(IF(INDEX(pr_rate,MATCH(B367,pr_code,0))="","",INDEX(pr_rate,MATCH(B367,pr_code,0))),""))))</f>
        <v/>
      </c>
      <c r="L367" s="65" t="str">
        <f>IF(COUNTA(A367:G367)=0,"",IF(AND(ISNUMBER(D367),ISNUMBER(J367)),ROUND(D367*J367*(1-N(F367)),2),0))</f>
        <v/>
      </c>
      <c r="M367" s="62" t="str">
        <f>IF(A367="","",IFERROR(INDEX(fa_cname,MATCH(A367,fa_num,0))&amp;"",""))</f>
        <v/>
      </c>
      <c r="N367" s="59" t="str">
        <f>IF(COUNTA(A367:G367)=0,"",IF(A367="","N° facture manquant",IF(ISNA(MATCH(A367,fa_num,0)),"Facture inconnue",IF(AND(B367&lt;&gt;"",ISNA(MATCH(B367,pr_code,0))),"Article inconnu",IF(H367="","Désignation manquante",IF(OR(NOT(ISNUMBER(D367)),N(D367)&lt;=0),"Quantité invalide",IF(J367="","Prix manquant",IF(OR(NOT(ISNUMBER(J367)),N(J367)&lt;0),"Prix invalide",IF(OR(AND(F367&lt;&gt;"",NOT(ISNUMBER(F367))),N(F367)&lt;0,N(F367)&gt;1),"Remise invalide",IF(K367="","Taux de TVA manquant",IF(NOT(ISNUMBER(K367)),"Taux de TVA invalide",IF(COUNTIF(p_rates,K367)=0,"Taux de TVA hors liste (Paramètres)",IF(N(O367)&gt;25,"Au-delà de 25 lignes : non imprimée","OK")))))))))))))</f>
        <v/>
      </c>
      <c r="O367" s="59" t="str">
        <f>IF(A367="","",COUNTIF($A$6:A367,A367))</f>
        <v/>
      </c>
      <c r="P367" s="62" t="str">
        <f>IF(A367="","",A367&amp;"|"&amp;O367)</f>
        <v/>
      </c>
    </row>
    <row r="368">
      <c r="A368" s="60" t="n"/>
      <c r="B368" s="63" t="n"/>
      <c r="C368" s="63" t="n"/>
      <c r="D368" s="67" t="n"/>
      <c r="E368" s="68" t="n"/>
      <c r="F368" s="69" t="n"/>
      <c r="G368" s="70" t="n"/>
      <c r="H368" s="62" t="str">
        <f>IF(COUNTA(A368:G368)=0,"",IF(C368&lt;&gt;"",C368,IF(B368="","",IFERROR(INDEX(pr_des,MATCH(B368,pr_code,0))&amp;"",""))))</f>
        <v/>
      </c>
      <c r="I368" s="59" t="str">
        <f>IF(B368="","",IFERROR(INDEX(pr_unit,MATCH(B368,pr_code,0))&amp;"",""))</f>
        <v/>
      </c>
      <c r="J368" s="65" t="str">
        <f>IF(COUNTA(A368:G368)=0,"",IF(E368&lt;&gt;"",E368,IF(B368="","",IFERROR(IF(INDEX(pr_price,MATCH(B368,pr_code,0))="","",INDEX(pr_price,MATCH(B368,pr_code,0))),""))))</f>
        <v/>
      </c>
      <c r="K368" s="71" t="str">
        <f>IF(COUNTA(A368:G368)=0,"",IF(G368&lt;&gt;"",G368,IF(B368="","",IFERROR(IF(INDEX(pr_rate,MATCH(B368,pr_code,0))="","",INDEX(pr_rate,MATCH(B368,pr_code,0))),""))))</f>
        <v/>
      </c>
      <c r="L368" s="65" t="str">
        <f>IF(COUNTA(A368:G368)=0,"",IF(AND(ISNUMBER(D368),ISNUMBER(J368)),ROUND(D368*J368*(1-N(F368)),2),0))</f>
        <v/>
      </c>
      <c r="M368" s="62" t="str">
        <f>IF(A368="","",IFERROR(INDEX(fa_cname,MATCH(A368,fa_num,0))&amp;"",""))</f>
        <v/>
      </c>
      <c r="N368" s="59" t="str">
        <f>IF(COUNTA(A368:G368)=0,"",IF(A368="","N° facture manquant",IF(ISNA(MATCH(A368,fa_num,0)),"Facture inconnue",IF(AND(B368&lt;&gt;"",ISNA(MATCH(B368,pr_code,0))),"Article inconnu",IF(H368="","Désignation manquante",IF(OR(NOT(ISNUMBER(D368)),N(D368)&lt;=0),"Quantité invalide",IF(J368="","Prix manquant",IF(OR(NOT(ISNUMBER(J368)),N(J368)&lt;0),"Prix invalide",IF(OR(AND(F368&lt;&gt;"",NOT(ISNUMBER(F368))),N(F368)&lt;0,N(F368)&gt;1),"Remise invalide",IF(K368="","Taux de TVA manquant",IF(NOT(ISNUMBER(K368)),"Taux de TVA invalide",IF(COUNTIF(p_rates,K368)=0,"Taux de TVA hors liste (Paramètres)",IF(N(O368)&gt;25,"Au-delà de 25 lignes : non imprimée","OK")))))))))))))</f>
        <v/>
      </c>
      <c r="O368" s="59" t="str">
        <f>IF(A368="","",COUNTIF($A$6:A368,A368))</f>
        <v/>
      </c>
      <c r="P368" s="62" t="str">
        <f>IF(A368="","",A368&amp;"|"&amp;O368)</f>
        <v/>
      </c>
    </row>
    <row r="369">
      <c r="A369" s="60" t="n"/>
      <c r="B369" s="63" t="n"/>
      <c r="C369" s="63" t="n"/>
      <c r="D369" s="67" t="n"/>
      <c r="E369" s="68" t="n"/>
      <c r="F369" s="69" t="n"/>
      <c r="G369" s="70" t="n"/>
      <c r="H369" s="62" t="str">
        <f>IF(COUNTA(A369:G369)=0,"",IF(C369&lt;&gt;"",C369,IF(B369="","",IFERROR(INDEX(pr_des,MATCH(B369,pr_code,0))&amp;"",""))))</f>
        <v/>
      </c>
      <c r="I369" s="59" t="str">
        <f>IF(B369="","",IFERROR(INDEX(pr_unit,MATCH(B369,pr_code,0))&amp;"",""))</f>
        <v/>
      </c>
      <c r="J369" s="65" t="str">
        <f>IF(COUNTA(A369:G369)=0,"",IF(E369&lt;&gt;"",E369,IF(B369="","",IFERROR(IF(INDEX(pr_price,MATCH(B369,pr_code,0))="","",INDEX(pr_price,MATCH(B369,pr_code,0))),""))))</f>
        <v/>
      </c>
      <c r="K369" s="71" t="str">
        <f>IF(COUNTA(A369:G369)=0,"",IF(G369&lt;&gt;"",G369,IF(B369="","",IFERROR(IF(INDEX(pr_rate,MATCH(B369,pr_code,0))="","",INDEX(pr_rate,MATCH(B369,pr_code,0))),""))))</f>
        <v/>
      </c>
      <c r="L369" s="65" t="str">
        <f>IF(COUNTA(A369:G369)=0,"",IF(AND(ISNUMBER(D369),ISNUMBER(J369)),ROUND(D369*J369*(1-N(F369)),2),0))</f>
        <v/>
      </c>
      <c r="M369" s="62" t="str">
        <f>IF(A369="","",IFERROR(INDEX(fa_cname,MATCH(A369,fa_num,0))&amp;"",""))</f>
        <v/>
      </c>
      <c r="N369" s="59" t="str">
        <f>IF(COUNTA(A369:G369)=0,"",IF(A369="","N° facture manquant",IF(ISNA(MATCH(A369,fa_num,0)),"Facture inconnue",IF(AND(B369&lt;&gt;"",ISNA(MATCH(B369,pr_code,0))),"Article inconnu",IF(H369="","Désignation manquante",IF(OR(NOT(ISNUMBER(D369)),N(D369)&lt;=0),"Quantité invalide",IF(J369="","Prix manquant",IF(OR(NOT(ISNUMBER(J369)),N(J369)&lt;0),"Prix invalide",IF(OR(AND(F369&lt;&gt;"",NOT(ISNUMBER(F369))),N(F369)&lt;0,N(F369)&gt;1),"Remise invalide",IF(K369="","Taux de TVA manquant",IF(NOT(ISNUMBER(K369)),"Taux de TVA invalide",IF(COUNTIF(p_rates,K369)=0,"Taux de TVA hors liste (Paramètres)",IF(N(O369)&gt;25,"Au-delà de 25 lignes : non imprimée","OK")))))))))))))</f>
        <v/>
      </c>
      <c r="O369" s="59" t="str">
        <f>IF(A369="","",COUNTIF($A$6:A369,A369))</f>
        <v/>
      </c>
      <c r="P369" s="62" t="str">
        <f>IF(A369="","",A369&amp;"|"&amp;O369)</f>
        <v/>
      </c>
    </row>
    <row r="370">
      <c r="A370" s="60" t="n"/>
      <c r="B370" s="63" t="n"/>
      <c r="C370" s="63" t="n"/>
      <c r="D370" s="67" t="n"/>
      <c r="E370" s="68" t="n"/>
      <c r="F370" s="69" t="n"/>
      <c r="G370" s="70" t="n"/>
      <c r="H370" s="62" t="str">
        <f>IF(COUNTA(A370:G370)=0,"",IF(C370&lt;&gt;"",C370,IF(B370="","",IFERROR(INDEX(pr_des,MATCH(B370,pr_code,0))&amp;"",""))))</f>
        <v/>
      </c>
      <c r="I370" s="59" t="str">
        <f>IF(B370="","",IFERROR(INDEX(pr_unit,MATCH(B370,pr_code,0))&amp;"",""))</f>
        <v/>
      </c>
      <c r="J370" s="65" t="str">
        <f>IF(COUNTA(A370:G370)=0,"",IF(E370&lt;&gt;"",E370,IF(B370="","",IFERROR(IF(INDEX(pr_price,MATCH(B370,pr_code,0))="","",INDEX(pr_price,MATCH(B370,pr_code,0))),""))))</f>
        <v/>
      </c>
      <c r="K370" s="71" t="str">
        <f>IF(COUNTA(A370:G370)=0,"",IF(G370&lt;&gt;"",G370,IF(B370="","",IFERROR(IF(INDEX(pr_rate,MATCH(B370,pr_code,0))="","",INDEX(pr_rate,MATCH(B370,pr_code,0))),""))))</f>
        <v/>
      </c>
      <c r="L370" s="65" t="str">
        <f>IF(COUNTA(A370:G370)=0,"",IF(AND(ISNUMBER(D370),ISNUMBER(J370)),ROUND(D370*J370*(1-N(F370)),2),0))</f>
        <v/>
      </c>
      <c r="M370" s="62" t="str">
        <f>IF(A370="","",IFERROR(INDEX(fa_cname,MATCH(A370,fa_num,0))&amp;"",""))</f>
        <v/>
      </c>
      <c r="N370" s="59" t="str">
        <f>IF(COUNTA(A370:G370)=0,"",IF(A370="","N° facture manquant",IF(ISNA(MATCH(A370,fa_num,0)),"Facture inconnue",IF(AND(B370&lt;&gt;"",ISNA(MATCH(B370,pr_code,0))),"Article inconnu",IF(H370="","Désignation manquante",IF(OR(NOT(ISNUMBER(D370)),N(D370)&lt;=0),"Quantité invalide",IF(J370="","Prix manquant",IF(OR(NOT(ISNUMBER(J370)),N(J370)&lt;0),"Prix invalide",IF(OR(AND(F370&lt;&gt;"",NOT(ISNUMBER(F370))),N(F370)&lt;0,N(F370)&gt;1),"Remise invalide",IF(K370="","Taux de TVA manquant",IF(NOT(ISNUMBER(K370)),"Taux de TVA invalide",IF(COUNTIF(p_rates,K370)=0,"Taux de TVA hors liste (Paramètres)",IF(N(O370)&gt;25,"Au-delà de 25 lignes : non imprimée","OK")))))))))))))</f>
        <v/>
      </c>
      <c r="O370" s="59" t="str">
        <f>IF(A370="","",COUNTIF($A$6:A370,A370))</f>
        <v/>
      </c>
      <c r="P370" s="62" t="str">
        <f>IF(A370="","",A370&amp;"|"&amp;O370)</f>
        <v/>
      </c>
    </row>
    <row r="371">
      <c r="A371" s="60" t="n"/>
      <c r="B371" s="63" t="n"/>
      <c r="C371" s="63" t="n"/>
      <c r="D371" s="67" t="n"/>
      <c r="E371" s="68" t="n"/>
      <c r="F371" s="69" t="n"/>
      <c r="G371" s="70" t="n"/>
      <c r="H371" s="62" t="str">
        <f>IF(COUNTA(A371:G371)=0,"",IF(C371&lt;&gt;"",C371,IF(B371="","",IFERROR(INDEX(pr_des,MATCH(B371,pr_code,0))&amp;"",""))))</f>
        <v/>
      </c>
      <c r="I371" s="59" t="str">
        <f>IF(B371="","",IFERROR(INDEX(pr_unit,MATCH(B371,pr_code,0))&amp;"",""))</f>
        <v/>
      </c>
      <c r="J371" s="65" t="str">
        <f>IF(COUNTA(A371:G371)=0,"",IF(E371&lt;&gt;"",E371,IF(B371="","",IFERROR(IF(INDEX(pr_price,MATCH(B371,pr_code,0))="","",INDEX(pr_price,MATCH(B371,pr_code,0))),""))))</f>
        <v/>
      </c>
      <c r="K371" s="71" t="str">
        <f>IF(COUNTA(A371:G371)=0,"",IF(G371&lt;&gt;"",G371,IF(B371="","",IFERROR(IF(INDEX(pr_rate,MATCH(B371,pr_code,0))="","",INDEX(pr_rate,MATCH(B371,pr_code,0))),""))))</f>
        <v/>
      </c>
      <c r="L371" s="65" t="str">
        <f>IF(COUNTA(A371:G371)=0,"",IF(AND(ISNUMBER(D371),ISNUMBER(J371)),ROUND(D371*J371*(1-N(F371)),2),0))</f>
        <v/>
      </c>
      <c r="M371" s="62" t="str">
        <f>IF(A371="","",IFERROR(INDEX(fa_cname,MATCH(A371,fa_num,0))&amp;"",""))</f>
        <v/>
      </c>
      <c r="N371" s="59" t="str">
        <f>IF(COUNTA(A371:G371)=0,"",IF(A371="","N° facture manquant",IF(ISNA(MATCH(A371,fa_num,0)),"Facture inconnue",IF(AND(B371&lt;&gt;"",ISNA(MATCH(B371,pr_code,0))),"Article inconnu",IF(H371="","Désignation manquante",IF(OR(NOT(ISNUMBER(D371)),N(D371)&lt;=0),"Quantité invalide",IF(J371="","Prix manquant",IF(OR(NOT(ISNUMBER(J371)),N(J371)&lt;0),"Prix invalide",IF(OR(AND(F371&lt;&gt;"",NOT(ISNUMBER(F371))),N(F371)&lt;0,N(F371)&gt;1),"Remise invalide",IF(K371="","Taux de TVA manquant",IF(NOT(ISNUMBER(K371)),"Taux de TVA invalide",IF(COUNTIF(p_rates,K371)=0,"Taux de TVA hors liste (Paramètres)",IF(N(O371)&gt;25,"Au-delà de 25 lignes : non imprimée","OK")))))))))))))</f>
        <v/>
      </c>
      <c r="O371" s="59" t="str">
        <f>IF(A371="","",COUNTIF($A$6:A371,A371))</f>
        <v/>
      </c>
      <c r="P371" s="62" t="str">
        <f>IF(A371="","",A371&amp;"|"&amp;O371)</f>
        <v/>
      </c>
    </row>
    <row r="372">
      <c r="A372" s="60" t="n"/>
      <c r="B372" s="63" t="n"/>
      <c r="C372" s="63" t="n"/>
      <c r="D372" s="67" t="n"/>
      <c r="E372" s="68" t="n"/>
      <c r="F372" s="69" t="n"/>
      <c r="G372" s="70" t="n"/>
      <c r="H372" s="62" t="str">
        <f>IF(COUNTA(A372:G372)=0,"",IF(C372&lt;&gt;"",C372,IF(B372="","",IFERROR(INDEX(pr_des,MATCH(B372,pr_code,0))&amp;"",""))))</f>
        <v/>
      </c>
      <c r="I372" s="59" t="str">
        <f>IF(B372="","",IFERROR(INDEX(pr_unit,MATCH(B372,pr_code,0))&amp;"",""))</f>
        <v/>
      </c>
      <c r="J372" s="65" t="str">
        <f>IF(COUNTA(A372:G372)=0,"",IF(E372&lt;&gt;"",E372,IF(B372="","",IFERROR(IF(INDEX(pr_price,MATCH(B372,pr_code,0))="","",INDEX(pr_price,MATCH(B372,pr_code,0))),""))))</f>
        <v/>
      </c>
      <c r="K372" s="71" t="str">
        <f>IF(COUNTA(A372:G372)=0,"",IF(G372&lt;&gt;"",G372,IF(B372="","",IFERROR(IF(INDEX(pr_rate,MATCH(B372,pr_code,0))="","",INDEX(pr_rate,MATCH(B372,pr_code,0))),""))))</f>
        <v/>
      </c>
      <c r="L372" s="65" t="str">
        <f>IF(COUNTA(A372:G372)=0,"",IF(AND(ISNUMBER(D372),ISNUMBER(J372)),ROUND(D372*J372*(1-N(F372)),2),0))</f>
        <v/>
      </c>
      <c r="M372" s="62" t="str">
        <f>IF(A372="","",IFERROR(INDEX(fa_cname,MATCH(A372,fa_num,0))&amp;"",""))</f>
        <v/>
      </c>
      <c r="N372" s="59" t="str">
        <f>IF(COUNTA(A372:G372)=0,"",IF(A372="","N° facture manquant",IF(ISNA(MATCH(A372,fa_num,0)),"Facture inconnue",IF(AND(B372&lt;&gt;"",ISNA(MATCH(B372,pr_code,0))),"Article inconnu",IF(H372="","Désignation manquante",IF(OR(NOT(ISNUMBER(D372)),N(D372)&lt;=0),"Quantité invalide",IF(J372="","Prix manquant",IF(OR(NOT(ISNUMBER(J372)),N(J372)&lt;0),"Prix invalide",IF(OR(AND(F372&lt;&gt;"",NOT(ISNUMBER(F372))),N(F372)&lt;0,N(F372)&gt;1),"Remise invalide",IF(K372="","Taux de TVA manquant",IF(NOT(ISNUMBER(K372)),"Taux de TVA invalide",IF(COUNTIF(p_rates,K372)=0,"Taux de TVA hors liste (Paramètres)",IF(N(O372)&gt;25,"Au-delà de 25 lignes : non imprimée","OK")))))))))))))</f>
        <v/>
      </c>
      <c r="O372" s="59" t="str">
        <f>IF(A372="","",COUNTIF($A$6:A372,A372))</f>
        <v/>
      </c>
      <c r="P372" s="62" t="str">
        <f>IF(A372="","",A372&amp;"|"&amp;O372)</f>
        <v/>
      </c>
    </row>
    <row r="373">
      <c r="A373" s="60" t="n"/>
      <c r="B373" s="63" t="n"/>
      <c r="C373" s="63" t="n"/>
      <c r="D373" s="67" t="n"/>
      <c r="E373" s="68" t="n"/>
      <c r="F373" s="69" t="n"/>
      <c r="G373" s="70" t="n"/>
      <c r="H373" s="62" t="str">
        <f>IF(COUNTA(A373:G373)=0,"",IF(C373&lt;&gt;"",C373,IF(B373="","",IFERROR(INDEX(pr_des,MATCH(B373,pr_code,0))&amp;"",""))))</f>
        <v/>
      </c>
      <c r="I373" s="59" t="str">
        <f>IF(B373="","",IFERROR(INDEX(pr_unit,MATCH(B373,pr_code,0))&amp;"",""))</f>
        <v/>
      </c>
      <c r="J373" s="65" t="str">
        <f>IF(COUNTA(A373:G373)=0,"",IF(E373&lt;&gt;"",E373,IF(B373="","",IFERROR(IF(INDEX(pr_price,MATCH(B373,pr_code,0))="","",INDEX(pr_price,MATCH(B373,pr_code,0))),""))))</f>
        <v/>
      </c>
      <c r="K373" s="71" t="str">
        <f>IF(COUNTA(A373:G373)=0,"",IF(G373&lt;&gt;"",G373,IF(B373="","",IFERROR(IF(INDEX(pr_rate,MATCH(B373,pr_code,0))="","",INDEX(pr_rate,MATCH(B373,pr_code,0))),""))))</f>
        <v/>
      </c>
      <c r="L373" s="65" t="str">
        <f>IF(COUNTA(A373:G373)=0,"",IF(AND(ISNUMBER(D373),ISNUMBER(J373)),ROUND(D373*J373*(1-N(F373)),2),0))</f>
        <v/>
      </c>
      <c r="M373" s="62" t="str">
        <f>IF(A373="","",IFERROR(INDEX(fa_cname,MATCH(A373,fa_num,0))&amp;"",""))</f>
        <v/>
      </c>
      <c r="N373" s="59" t="str">
        <f>IF(COUNTA(A373:G373)=0,"",IF(A373="","N° facture manquant",IF(ISNA(MATCH(A373,fa_num,0)),"Facture inconnue",IF(AND(B373&lt;&gt;"",ISNA(MATCH(B373,pr_code,0))),"Article inconnu",IF(H373="","Désignation manquante",IF(OR(NOT(ISNUMBER(D373)),N(D373)&lt;=0),"Quantité invalide",IF(J373="","Prix manquant",IF(OR(NOT(ISNUMBER(J373)),N(J373)&lt;0),"Prix invalide",IF(OR(AND(F373&lt;&gt;"",NOT(ISNUMBER(F373))),N(F373)&lt;0,N(F373)&gt;1),"Remise invalide",IF(K373="","Taux de TVA manquant",IF(NOT(ISNUMBER(K373)),"Taux de TVA invalide",IF(COUNTIF(p_rates,K373)=0,"Taux de TVA hors liste (Paramètres)",IF(N(O373)&gt;25,"Au-delà de 25 lignes : non imprimée","OK")))))))))))))</f>
        <v/>
      </c>
      <c r="O373" s="59" t="str">
        <f>IF(A373="","",COUNTIF($A$6:A373,A373))</f>
        <v/>
      </c>
      <c r="P373" s="62" t="str">
        <f>IF(A373="","",A373&amp;"|"&amp;O373)</f>
        <v/>
      </c>
    </row>
    <row r="374">
      <c r="A374" s="60" t="n"/>
      <c r="B374" s="63" t="n"/>
      <c r="C374" s="63" t="n"/>
      <c r="D374" s="67" t="n"/>
      <c r="E374" s="68" t="n"/>
      <c r="F374" s="69" t="n"/>
      <c r="G374" s="70" t="n"/>
      <c r="H374" s="62" t="str">
        <f>IF(COUNTA(A374:G374)=0,"",IF(C374&lt;&gt;"",C374,IF(B374="","",IFERROR(INDEX(pr_des,MATCH(B374,pr_code,0))&amp;"",""))))</f>
        <v/>
      </c>
      <c r="I374" s="59" t="str">
        <f>IF(B374="","",IFERROR(INDEX(pr_unit,MATCH(B374,pr_code,0))&amp;"",""))</f>
        <v/>
      </c>
      <c r="J374" s="65" t="str">
        <f>IF(COUNTA(A374:G374)=0,"",IF(E374&lt;&gt;"",E374,IF(B374="","",IFERROR(IF(INDEX(pr_price,MATCH(B374,pr_code,0))="","",INDEX(pr_price,MATCH(B374,pr_code,0))),""))))</f>
        <v/>
      </c>
      <c r="K374" s="71" t="str">
        <f>IF(COUNTA(A374:G374)=0,"",IF(G374&lt;&gt;"",G374,IF(B374="","",IFERROR(IF(INDEX(pr_rate,MATCH(B374,pr_code,0))="","",INDEX(pr_rate,MATCH(B374,pr_code,0))),""))))</f>
        <v/>
      </c>
      <c r="L374" s="65" t="str">
        <f>IF(COUNTA(A374:G374)=0,"",IF(AND(ISNUMBER(D374),ISNUMBER(J374)),ROUND(D374*J374*(1-N(F374)),2),0))</f>
        <v/>
      </c>
      <c r="M374" s="62" t="str">
        <f>IF(A374="","",IFERROR(INDEX(fa_cname,MATCH(A374,fa_num,0))&amp;"",""))</f>
        <v/>
      </c>
      <c r="N374" s="59" t="str">
        <f>IF(COUNTA(A374:G374)=0,"",IF(A374="","N° facture manquant",IF(ISNA(MATCH(A374,fa_num,0)),"Facture inconnue",IF(AND(B374&lt;&gt;"",ISNA(MATCH(B374,pr_code,0))),"Article inconnu",IF(H374="","Désignation manquante",IF(OR(NOT(ISNUMBER(D374)),N(D374)&lt;=0),"Quantité invalide",IF(J374="","Prix manquant",IF(OR(NOT(ISNUMBER(J374)),N(J374)&lt;0),"Prix invalide",IF(OR(AND(F374&lt;&gt;"",NOT(ISNUMBER(F374))),N(F374)&lt;0,N(F374)&gt;1),"Remise invalide",IF(K374="","Taux de TVA manquant",IF(NOT(ISNUMBER(K374)),"Taux de TVA invalide",IF(COUNTIF(p_rates,K374)=0,"Taux de TVA hors liste (Paramètres)",IF(N(O374)&gt;25,"Au-delà de 25 lignes : non imprimée","OK")))))))))))))</f>
        <v/>
      </c>
      <c r="O374" s="59" t="str">
        <f>IF(A374="","",COUNTIF($A$6:A374,A374))</f>
        <v/>
      </c>
      <c r="P374" s="62" t="str">
        <f>IF(A374="","",A374&amp;"|"&amp;O374)</f>
        <v/>
      </c>
    </row>
    <row r="375">
      <c r="A375" s="60" t="n"/>
      <c r="B375" s="63" t="n"/>
      <c r="C375" s="63" t="n"/>
      <c r="D375" s="67" t="n"/>
      <c r="E375" s="68" t="n"/>
      <c r="F375" s="69" t="n"/>
      <c r="G375" s="70" t="n"/>
      <c r="H375" s="62" t="str">
        <f>IF(COUNTA(A375:G375)=0,"",IF(C375&lt;&gt;"",C375,IF(B375="","",IFERROR(INDEX(pr_des,MATCH(B375,pr_code,0))&amp;"",""))))</f>
        <v/>
      </c>
      <c r="I375" s="59" t="str">
        <f>IF(B375="","",IFERROR(INDEX(pr_unit,MATCH(B375,pr_code,0))&amp;"",""))</f>
        <v/>
      </c>
      <c r="J375" s="65" t="str">
        <f>IF(COUNTA(A375:G375)=0,"",IF(E375&lt;&gt;"",E375,IF(B375="","",IFERROR(IF(INDEX(pr_price,MATCH(B375,pr_code,0))="","",INDEX(pr_price,MATCH(B375,pr_code,0))),""))))</f>
        <v/>
      </c>
      <c r="K375" s="71" t="str">
        <f>IF(COUNTA(A375:G375)=0,"",IF(G375&lt;&gt;"",G375,IF(B375="","",IFERROR(IF(INDEX(pr_rate,MATCH(B375,pr_code,0))="","",INDEX(pr_rate,MATCH(B375,pr_code,0))),""))))</f>
        <v/>
      </c>
      <c r="L375" s="65" t="str">
        <f>IF(COUNTA(A375:G375)=0,"",IF(AND(ISNUMBER(D375),ISNUMBER(J375)),ROUND(D375*J375*(1-N(F375)),2),0))</f>
        <v/>
      </c>
      <c r="M375" s="62" t="str">
        <f>IF(A375="","",IFERROR(INDEX(fa_cname,MATCH(A375,fa_num,0))&amp;"",""))</f>
        <v/>
      </c>
      <c r="N375" s="59" t="str">
        <f>IF(COUNTA(A375:G375)=0,"",IF(A375="","N° facture manquant",IF(ISNA(MATCH(A375,fa_num,0)),"Facture inconnue",IF(AND(B375&lt;&gt;"",ISNA(MATCH(B375,pr_code,0))),"Article inconnu",IF(H375="","Désignation manquante",IF(OR(NOT(ISNUMBER(D375)),N(D375)&lt;=0),"Quantité invalide",IF(J375="","Prix manquant",IF(OR(NOT(ISNUMBER(J375)),N(J375)&lt;0),"Prix invalide",IF(OR(AND(F375&lt;&gt;"",NOT(ISNUMBER(F375))),N(F375)&lt;0,N(F375)&gt;1),"Remise invalide",IF(K375="","Taux de TVA manquant",IF(NOT(ISNUMBER(K375)),"Taux de TVA invalide",IF(COUNTIF(p_rates,K375)=0,"Taux de TVA hors liste (Paramètres)",IF(N(O375)&gt;25,"Au-delà de 25 lignes : non imprimée","OK")))))))))))))</f>
        <v/>
      </c>
      <c r="O375" s="59" t="str">
        <f>IF(A375="","",COUNTIF($A$6:A375,A375))</f>
        <v/>
      </c>
      <c r="P375" s="62" t="str">
        <f>IF(A375="","",A375&amp;"|"&amp;O375)</f>
        <v/>
      </c>
    </row>
    <row r="376">
      <c r="A376" s="60" t="n"/>
      <c r="B376" s="63" t="n"/>
      <c r="C376" s="63" t="n"/>
      <c r="D376" s="67" t="n"/>
      <c r="E376" s="68" t="n"/>
      <c r="F376" s="69" t="n"/>
      <c r="G376" s="70" t="n"/>
      <c r="H376" s="62" t="str">
        <f>IF(COUNTA(A376:G376)=0,"",IF(C376&lt;&gt;"",C376,IF(B376="","",IFERROR(INDEX(pr_des,MATCH(B376,pr_code,0))&amp;"",""))))</f>
        <v/>
      </c>
      <c r="I376" s="59" t="str">
        <f>IF(B376="","",IFERROR(INDEX(pr_unit,MATCH(B376,pr_code,0))&amp;"",""))</f>
        <v/>
      </c>
      <c r="J376" s="65" t="str">
        <f>IF(COUNTA(A376:G376)=0,"",IF(E376&lt;&gt;"",E376,IF(B376="","",IFERROR(IF(INDEX(pr_price,MATCH(B376,pr_code,0))="","",INDEX(pr_price,MATCH(B376,pr_code,0))),""))))</f>
        <v/>
      </c>
      <c r="K376" s="71" t="str">
        <f>IF(COUNTA(A376:G376)=0,"",IF(G376&lt;&gt;"",G376,IF(B376="","",IFERROR(IF(INDEX(pr_rate,MATCH(B376,pr_code,0))="","",INDEX(pr_rate,MATCH(B376,pr_code,0))),""))))</f>
        <v/>
      </c>
      <c r="L376" s="65" t="str">
        <f>IF(COUNTA(A376:G376)=0,"",IF(AND(ISNUMBER(D376),ISNUMBER(J376)),ROUND(D376*J376*(1-N(F376)),2),0))</f>
        <v/>
      </c>
      <c r="M376" s="62" t="str">
        <f>IF(A376="","",IFERROR(INDEX(fa_cname,MATCH(A376,fa_num,0))&amp;"",""))</f>
        <v/>
      </c>
      <c r="N376" s="59" t="str">
        <f>IF(COUNTA(A376:G376)=0,"",IF(A376="","N° facture manquant",IF(ISNA(MATCH(A376,fa_num,0)),"Facture inconnue",IF(AND(B376&lt;&gt;"",ISNA(MATCH(B376,pr_code,0))),"Article inconnu",IF(H376="","Désignation manquante",IF(OR(NOT(ISNUMBER(D376)),N(D376)&lt;=0),"Quantité invalide",IF(J376="","Prix manquant",IF(OR(NOT(ISNUMBER(J376)),N(J376)&lt;0),"Prix invalide",IF(OR(AND(F376&lt;&gt;"",NOT(ISNUMBER(F376))),N(F376)&lt;0,N(F376)&gt;1),"Remise invalide",IF(K376="","Taux de TVA manquant",IF(NOT(ISNUMBER(K376)),"Taux de TVA invalide",IF(COUNTIF(p_rates,K376)=0,"Taux de TVA hors liste (Paramètres)",IF(N(O376)&gt;25,"Au-delà de 25 lignes : non imprimée","OK")))))))))))))</f>
        <v/>
      </c>
      <c r="O376" s="59" t="str">
        <f>IF(A376="","",COUNTIF($A$6:A376,A376))</f>
        <v/>
      </c>
      <c r="P376" s="62" t="str">
        <f>IF(A376="","",A376&amp;"|"&amp;O376)</f>
        <v/>
      </c>
    </row>
    <row r="377">
      <c r="A377" s="60" t="n"/>
      <c r="B377" s="63" t="n"/>
      <c r="C377" s="63" t="n"/>
      <c r="D377" s="67" t="n"/>
      <c r="E377" s="68" t="n"/>
      <c r="F377" s="69" t="n"/>
      <c r="G377" s="70" t="n"/>
      <c r="H377" s="62" t="str">
        <f>IF(COUNTA(A377:G377)=0,"",IF(C377&lt;&gt;"",C377,IF(B377="","",IFERROR(INDEX(pr_des,MATCH(B377,pr_code,0))&amp;"",""))))</f>
        <v/>
      </c>
      <c r="I377" s="59" t="str">
        <f>IF(B377="","",IFERROR(INDEX(pr_unit,MATCH(B377,pr_code,0))&amp;"",""))</f>
        <v/>
      </c>
      <c r="J377" s="65" t="str">
        <f>IF(COUNTA(A377:G377)=0,"",IF(E377&lt;&gt;"",E377,IF(B377="","",IFERROR(IF(INDEX(pr_price,MATCH(B377,pr_code,0))="","",INDEX(pr_price,MATCH(B377,pr_code,0))),""))))</f>
        <v/>
      </c>
      <c r="K377" s="71" t="str">
        <f>IF(COUNTA(A377:G377)=0,"",IF(G377&lt;&gt;"",G377,IF(B377="","",IFERROR(IF(INDEX(pr_rate,MATCH(B377,pr_code,0))="","",INDEX(pr_rate,MATCH(B377,pr_code,0))),""))))</f>
        <v/>
      </c>
      <c r="L377" s="65" t="str">
        <f>IF(COUNTA(A377:G377)=0,"",IF(AND(ISNUMBER(D377),ISNUMBER(J377)),ROUND(D377*J377*(1-N(F377)),2),0))</f>
        <v/>
      </c>
      <c r="M377" s="62" t="str">
        <f>IF(A377="","",IFERROR(INDEX(fa_cname,MATCH(A377,fa_num,0))&amp;"",""))</f>
        <v/>
      </c>
      <c r="N377" s="59" t="str">
        <f>IF(COUNTA(A377:G377)=0,"",IF(A377="","N° facture manquant",IF(ISNA(MATCH(A377,fa_num,0)),"Facture inconnue",IF(AND(B377&lt;&gt;"",ISNA(MATCH(B377,pr_code,0))),"Article inconnu",IF(H377="","Désignation manquante",IF(OR(NOT(ISNUMBER(D377)),N(D377)&lt;=0),"Quantité invalide",IF(J377="","Prix manquant",IF(OR(NOT(ISNUMBER(J377)),N(J377)&lt;0),"Prix invalide",IF(OR(AND(F377&lt;&gt;"",NOT(ISNUMBER(F377))),N(F377)&lt;0,N(F377)&gt;1),"Remise invalide",IF(K377="","Taux de TVA manquant",IF(NOT(ISNUMBER(K377)),"Taux de TVA invalide",IF(COUNTIF(p_rates,K377)=0,"Taux de TVA hors liste (Paramètres)",IF(N(O377)&gt;25,"Au-delà de 25 lignes : non imprimée","OK")))))))))))))</f>
        <v/>
      </c>
      <c r="O377" s="59" t="str">
        <f>IF(A377="","",COUNTIF($A$6:A377,A377))</f>
        <v/>
      </c>
      <c r="P377" s="62" t="str">
        <f>IF(A377="","",A377&amp;"|"&amp;O377)</f>
        <v/>
      </c>
    </row>
    <row r="378">
      <c r="A378" s="60" t="n"/>
      <c r="B378" s="63" t="n"/>
      <c r="C378" s="63" t="n"/>
      <c r="D378" s="67" t="n"/>
      <c r="E378" s="68" t="n"/>
      <c r="F378" s="69" t="n"/>
      <c r="G378" s="70" t="n"/>
      <c r="H378" s="62" t="str">
        <f>IF(COUNTA(A378:G378)=0,"",IF(C378&lt;&gt;"",C378,IF(B378="","",IFERROR(INDEX(pr_des,MATCH(B378,pr_code,0))&amp;"",""))))</f>
        <v/>
      </c>
      <c r="I378" s="59" t="str">
        <f>IF(B378="","",IFERROR(INDEX(pr_unit,MATCH(B378,pr_code,0))&amp;"",""))</f>
        <v/>
      </c>
      <c r="J378" s="65" t="str">
        <f>IF(COUNTA(A378:G378)=0,"",IF(E378&lt;&gt;"",E378,IF(B378="","",IFERROR(IF(INDEX(pr_price,MATCH(B378,pr_code,0))="","",INDEX(pr_price,MATCH(B378,pr_code,0))),""))))</f>
        <v/>
      </c>
      <c r="K378" s="71" t="str">
        <f>IF(COUNTA(A378:G378)=0,"",IF(G378&lt;&gt;"",G378,IF(B378="","",IFERROR(IF(INDEX(pr_rate,MATCH(B378,pr_code,0))="","",INDEX(pr_rate,MATCH(B378,pr_code,0))),""))))</f>
        <v/>
      </c>
      <c r="L378" s="65" t="str">
        <f>IF(COUNTA(A378:G378)=0,"",IF(AND(ISNUMBER(D378),ISNUMBER(J378)),ROUND(D378*J378*(1-N(F378)),2),0))</f>
        <v/>
      </c>
      <c r="M378" s="62" t="str">
        <f>IF(A378="","",IFERROR(INDEX(fa_cname,MATCH(A378,fa_num,0))&amp;"",""))</f>
        <v/>
      </c>
      <c r="N378" s="59" t="str">
        <f>IF(COUNTA(A378:G378)=0,"",IF(A378="","N° facture manquant",IF(ISNA(MATCH(A378,fa_num,0)),"Facture inconnue",IF(AND(B378&lt;&gt;"",ISNA(MATCH(B378,pr_code,0))),"Article inconnu",IF(H378="","Désignation manquante",IF(OR(NOT(ISNUMBER(D378)),N(D378)&lt;=0),"Quantité invalide",IF(J378="","Prix manquant",IF(OR(NOT(ISNUMBER(J378)),N(J378)&lt;0),"Prix invalide",IF(OR(AND(F378&lt;&gt;"",NOT(ISNUMBER(F378))),N(F378)&lt;0,N(F378)&gt;1),"Remise invalide",IF(K378="","Taux de TVA manquant",IF(NOT(ISNUMBER(K378)),"Taux de TVA invalide",IF(COUNTIF(p_rates,K378)=0,"Taux de TVA hors liste (Paramètres)",IF(N(O378)&gt;25,"Au-delà de 25 lignes : non imprimée","OK")))))))))))))</f>
        <v/>
      </c>
      <c r="O378" s="59" t="str">
        <f>IF(A378="","",COUNTIF($A$6:A378,A378))</f>
        <v/>
      </c>
      <c r="P378" s="62" t="str">
        <f>IF(A378="","",A378&amp;"|"&amp;O378)</f>
        <v/>
      </c>
    </row>
    <row r="379">
      <c r="A379" s="60" t="n"/>
      <c r="B379" s="63" t="n"/>
      <c r="C379" s="63" t="n"/>
      <c r="D379" s="67" t="n"/>
      <c r="E379" s="68" t="n"/>
      <c r="F379" s="69" t="n"/>
      <c r="G379" s="70" t="n"/>
      <c r="H379" s="62" t="str">
        <f>IF(COUNTA(A379:G379)=0,"",IF(C379&lt;&gt;"",C379,IF(B379="","",IFERROR(INDEX(pr_des,MATCH(B379,pr_code,0))&amp;"",""))))</f>
        <v/>
      </c>
      <c r="I379" s="59" t="str">
        <f>IF(B379="","",IFERROR(INDEX(pr_unit,MATCH(B379,pr_code,0))&amp;"",""))</f>
        <v/>
      </c>
      <c r="J379" s="65" t="str">
        <f>IF(COUNTA(A379:G379)=0,"",IF(E379&lt;&gt;"",E379,IF(B379="","",IFERROR(IF(INDEX(pr_price,MATCH(B379,pr_code,0))="","",INDEX(pr_price,MATCH(B379,pr_code,0))),""))))</f>
        <v/>
      </c>
      <c r="K379" s="71" t="str">
        <f>IF(COUNTA(A379:G379)=0,"",IF(G379&lt;&gt;"",G379,IF(B379="","",IFERROR(IF(INDEX(pr_rate,MATCH(B379,pr_code,0))="","",INDEX(pr_rate,MATCH(B379,pr_code,0))),""))))</f>
        <v/>
      </c>
      <c r="L379" s="65" t="str">
        <f>IF(COUNTA(A379:G379)=0,"",IF(AND(ISNUMBER(D379),ISNUMBER(J379)),ROUND(D379*J379*(1-N(F379)),2),0))</f>
        <v/>
      </c>
      <c r="M379" s="62" t="str">
        <f>IF(A379="","",IFERROR(INDEX(fa_cname,MATCH(A379,fa_num,0))&amp;"",""))</f>
        <v/>
      </c>
      <c r="N379" s="59" t="str">
        <f>IF(COUNTA(A379:G379)=0,"",IF(A379="","N° facture manquant",IF(ISNA(MATCH(A379,fa_num,0)),"Facture inconnue",IF(AND(B379&lt;&gt;"",ISNA(MATCH(B379,pr_code,0))),"Article inconnu",IF(H379="","Désignation manquante",IF(OR(NOT(ISNUMBER(D379)),N(D379)&lt;=0),"Quantité invalide",IF(J379="","Prix manquant",IF(OR(NOT(ISNUMBER(J379)),N(J379)&lt;0),"Prix invalide",IF(OR(AND(F379&lt;&gt;"",NOT(ISNUMBER(F379))),N(F379)&lt;0,N(F379)&gt;1),"Remise invalide",IF(K379="","Taux de TVA manquant",IF(NOT(ISNUMBER(K379)),"Taux de TVA invalide",IF(COUNTIF(p_rates,K379)=0,"Taux de TVA hors liste (Paramètres)",IF(N(O379)&gt;25,"Au-delà de 25 lignes : non imprimée","OK")))))))))))))</f>
        <v/>
      </c>
      <c r="O379" s="59" t="str">
        <f>IF(A379="","",COUNTIF($A$6:A379,A379))</f>
        <v/>
      </c>
      <c r="P379" s="62" t="str">
        <f>IF(A379="","",A379&amp;"|"&amp;O379)</f>
        <v/>
      </c>
    </row>
    <row r="380">
      <c r="A380" s="60" t="n"/>
      <c r="B380" s="63" t="n"/>
      <c r="C380" s="63" t="n"/>
      <c r="D380" s="67" t="n"/>
      <c r="E380" s="68" t="n"/>
      <c r="F380" s="69" t="n"/>
      <c r="G380" s="70" t="n"/>
      <c r="H380" s="62" t="str">
        <f>IF(COUNTA(A380:G380)=0,"",IF(C380&lt;&gt;"",C380,IF(B380="","",IFERROR(INDEX(pr_des,MATCH(B380,pr_code,0))&amp;"",""))))</f>
        <v/>
      </c>
      <c r="I380" s="59" t="str">
        <f>IF(B380="","",IFERROR(INDEX(pr_unit,MATCH(B380,pr_code,0))&amp;"",""))</f>
        <v/>
      </c>
      <c r="J380" s="65" t="str">
        <f>IF(COUNTA(A380:G380)=0,"",IF(E380&lt;&gt;"",E380,IF(B380="","",IFERROR(IF(INDEX(pr_price,MATCH(B380,pr_code,0))="","",INDEX(pr_price,MATCH(B380,pr_code,0))),""))))</f>
        <v/>
      </c>
      <c r="K380" s="71" t="str">
        <f>IF(COUNTA(A380:G380)=0,"",IF(G380&lt;&gt;"",G380,IF(B380="","",IFERROR(IF(INDEX(pr_rate,MATCH(B380,pr_code,0))="","",INDEX(pr_rate,MATCH(B380,pr_code,0))),""))))</f>
        <v/>
      </c>
      <c r="L380" s="65" t="str">
        <f>IF(COUNTA(A380:G380)=0,"",IF(AND(ISNUMBER(D380),ISNUMBER(J380)),ROUND(D380*J380*(1-N(F380)),2),0))</f>
        <v/>
      </c>
      <c r="M380" s="62" t="str">
        <f>IF(A380="","",IFERROR(INDEX(fa_cname,MATCH(A380,fa_num,0))&amp;"",""))</f>
        <v/>
      </c>
      <c r="N380" s="59" t="str">
        <f>IF(COUNTA(A380:G380)=0,"",IF(A380="","N° facture manquant",IF(ISNA(MATCH(A380,fa_num,0)),"Facture inconnue",IF(AND(B380&lt;&gt;"",ISNA(MATCH(B380,pr_code,0))),"Article inconnu",IF(H380="","Désignation manquante",IF(OR(NOT(ISNUMBER(D380)),N(D380)&lt;=0),"Quantité invalide",IF(J380="","Prix manquant",IF(OR(NOT(ISNUMBER(J380)),N(J380)&lt;0),"Prix invalide",IF(OR(AND(F380&lt;&gt;"",NOT(ISNUMBER(F380))),N(F380)&lt;0,N(F380)&gt;1),"Remise invalide",IF(K380="","Taux de TVA manquant",IF(NOT(ISNUMBER(K380)),"Taux de TVA invalide",IF(COUNTIF(p_rates,K380)=0,"Taux de TVA hors liste (Paramètres)",IF(N(O380)&gt;25,"Au-delà de 25 lignes : non imprimée","OK")))))))))))))</f>
        <v/>
      </c>
      <c r="O380" s="59" t="str">
        <f>IF(A380="","",COUNTIF($A$6:A380,A380))</f>
        <v/>
      </c>
      <c r="P380" s="62" t="str">
        <f>IF(A380="","",A380&amp;"|"&amp;O380)</f>
        <v/>
      </c>
    </row>
    <row r="381">
      <c r="A381" s="60" t="n"/>
      <c r="B381" s="63" t="n"/>
      <c r="C381" s="63" t="n"/>
      <c r="D381" s="67" t="n"/>
      <c r="E381" s="68" t="n"/>
      <c r="F381" s="69" t="n"/>
      <c r="G381" s="70" t="n"/>
      <c r="H381" s="62" t="str">
        <f>IF(COUNTA(A381:G381)=0,"",IF(C381&lt;&gt;"",C381,IF(B381="","",IFERROR(INDEX(pr_des,MATCH(B381,pr_code,0))&amp;"",""))))</f>
        <v/>
      </c>
      <c r="I381" s="59" t="str">
        <f>IF(B381="","",IFERROR(INDEX(pr_unit,MATCH(B381,pr_code,0))&amp;"",""))</f>
        <v/>
      </c>
      <c r="J381" s="65" t="str">
        <f>IF(COUNTA(A381:G381)=0,"",IF(E381&lt;&gt;"",E381,IF(B381="","",IFERROR(IF(INDEX(pr_price,MATCH(B381,pr_code,0))="","",INDEX(pr_price,MATCH(B381,pr_code,0))),""))))</f>
        <v/>
      </c>
      <c r="K381" s="71" t="str">
        <f>IF(COUNTA(A381:G381)=0,"",IF(G381&lt;&gt;"",G381,IF(B381="","",IFERROR(IF(INDEX(pr_rate,MATCH(B381,pr_code,0))="","",INDEX(pr_rate,MATCH(B381,pr_code,0))),""))))</f>
        <v/>
      </c>
      <c r="L381" s="65" t="str">
        <f>IF(COUNTA(A381:G381)=0,"",IF(AND(ISNUMBER(D381),ISNUMBER(J381)),ROUND(D381*J381*(1-N(F381)),2),0))</f>
        <v/>
      </c>
      <c r="M381" s="62" t="str">
        <f>IF(A381="","",IFERROR(INDEX(fa_cname,MATCH(A381,fa_num,0))&amp;"",""))</f>
        <v/>
      </c>
      <c r="N381" s="59" t="str">
        <f>IF(COUNTA(A381:G381)=0,"",IF(A381="","N° facture manquant",IF(ISNA(MATCH(A381,fa_num,0)),"Facture inconnue",IF(AND(B381&lt;&gt;"",ISNA(MATCH(B381,pr_code,0))),"Article inconnu",IF(H381="","Désignation manquante",IF(OR(NOT(ISNUMBER(D381)),N(D381)&lt;=0),"Quantité invalide",IF(J381="","Prix manquant",IF(OR(NOT(ISNUMBER(J381)),N(J381)&lt;0),"Prix invalide",IF(OR(AND(F381&lt;&gt;"",NOT(ISNUMBER(F381))),N(F381)&lt;0,N(F381)&gt;1),"Remise invalide",IF(K381="","Taux de TVA manquant",IF(NOT(ISNUMBER(K381)),"Taux de TVA invalide",IF(COUNTIF(p_rates,K381)=0,"Taux de TVA hors liste (Paramètres)",IF(N(O381)&gt;25,"Au-delà de 25 lignes : non imprimée","OK")))))))))))))</f>
        <v/>
      </c>
      <c r="O381" s="59" t="str">
        <f>IF(A381="","",COUNTIF($A$6:A381,A381))</f>
        <v/>
      </c>
      <c r="P381" s="62" t="str">
        <f>IF(A381="","",A381&amp;"|"&amp;O381)</f>
        <v/>
      </c>
    </row>
    <row r="382">
      <c r="A382" s="60" t="n"/>
      <c r="B382" s="63" t="n"/>
      <c r="C382" s="63" t="n"/>
      <c r="D382" s="67" t="n"/>
      <c r="E382" s="68" t="n"/>
      <c r="F382" s="69" t="n"/>
      <c r="G382" s="70" t="n"/>
      <c r="H382" s="62" t="str">
        <f>IF(COUNTA(A382:G382)=0,"",IF(C382&lt;&gt;"",C382,IF(B382="","",IFERROR(INDEX(pr_des,MATCH(B382,pr_code,0))&amp;"",""))))</f>
        <v/>
      </c>
      <c r="I382" s="59" t="str">
        <f>IF(B382="","",IFERROR(INDEX(pr_unit,MATCH(B382,pr_code,0))&amp;"",""))</f>
        <v/>
      </c>
      <c r="J382" s="65" t="str">
        <f>IF(COUNTA(A382:G382)=0,"",IF(E382&lt;&gt;"",E382,IF(B382="","",IFERROR(IF(INDEX(pr_price,MATCH(B382,pr_code,0))="","",INDEX(pr_price,MATCH(B382,pr_code,0))),""))))</f>
        <v/>
      </c>
      <c r="K382" s="71" t="str">
        <f>IF(COUNTA(A382:G382)=0,"",IF(G382&lt;&gt;"",G382,IF(B382="","",IFERROR(IF(INDEX(pr_rate,MATCH(B382,pr_code,0))="","",INDEX(pr_rate,MATCH(B382,pr_code,0))),""))))</f>
        <v/>
      </c>
      <c r="L382" s="65" t="str">
        <f>IF(COUNTA(A382:G382)=0,"",IF(AND(ISNUMBER(D382),ISNUMBER(J382)),ROUND(D382*J382*(1-N(F382)),2),0))</f>
        <v/>
      </c>
      <c r="M382" s="62" t="str">
        <f>IF(A382="","",IFERROR(INDEX(fa_cname,MATCH(A382,fa_num,0))&amp;"",""))</f>
        <v/>
      </c>
      <c r="N382" s="59" t="str">
        <f>IF(COUNTA(A382:G382)=0,"",IF(A382="","N° facture manquant",IF(ISNA(MATCH(A382,fa_num,0)),"Facture inconnue",IF(AND(B382&lt;&gt;"",ISNA(MATCH(B382,pr_code,0))),"Article inconnu",IF(H382="","Désignation manquante",IF(OR(NOT(ISNUMBER(D382)),N(D382)&lt;=0),"Quantité invalide",IF(J382="","Prix manquant",IF(OR(NOT(ISNUMBER(J382)),N(J382)&lt;0),"Prix invalide",IF(OR(AND(F382&lt;&gt;"",NOT(ISNUMBER(F382))),N(F382)&lt;0,N(F382)&gt;1),"Remise invalide",IF(K382="","Taux de TVA manquant",IF(NOT(ISNUMBER(K382)),"Taux de TVA invalide",IF(COUNTIF(p_rates,K382)=0,"Taux de TVA hors liste (Paramètres)",IF(N(O382)&gt;25,"Au-delà de 25 lignes : non imprimée","OK")))))))))))))</f>
        <v/>
      </c>
      <c r="O382" s="59" t="str">
        <f>IF(A382="","",COUNTIF($A$6:A382,A382))</f>
        <v/>
      </c>
      <c r="P382" s="62" t="str">
        <f>IF(A382="","",A382&amp;"|"&amp;O382)</f>
        <v/>
      </c>
    </row>
    <row r="383">
      <c r="A383" s="60" t="n"/>
      <c r="B383" s="63" t="n"/>
      <c r="C383" s="63" t="n"/>
      <c r="D383" s="67" t="n"/>
      <c r="E383" s="68" t="n"/>
      <c r="F383" s="69" t="n"/>
      <c r="G383" s="70" t="n"/>
      <c r="H383" s="62" t="str">
        <f>IF(COUNTA(A383:G383)=0,"",IF(C383&lt;&gt;"",C383,IF(B383="","",IFERROR(INDEX(pr_des,MATCH(B383,pr_code,0))&amp;"",""))))</f>
        <v/>
      </c>
      <c r="I383" s="59" t="str">
        <f>IF(B383="","",IFERROR(INDEX(pr_unit,MATCH(B383,pr_code,0))&amp;"",""))</f>
        <v/>
      </c>
      <c r="J383" s="65" t="str">
        <f>IF(COUNTA(A383:G383)=0,"",IF(E383&lt;&gt;"",E383,IF(B383="","",IFERROR(IF(INDEX(pr_price,MATCH(B383,pr_code,0))="","",INDEX(pr_price,MATCH(B383,pr_code,0))),""))))</f>
        <v/>
      </c>
      <c r="K383" s="71" t="str">
        <f>IF(COUNTA(A383:G383)=0,"",IF(G383&lt;&gt;"",G383,IF(B383="","",IFERROR(IF(INDEX(pr_rate,MATCH(B383,pr_code,0))="","",INDEX(pr_rate,MATCH(B383,pr_code,0))),""))))</f>
        <v/>
      </c>
      <c r="L383" s="65" t="str">
        <f>IF(COUNTA(A383:G383)=0,"",IF(AND(ISNUMBER(D383),ISNUMBER(J383)),ROUND(D383*J383*(1-N(F383)),2),0))</f>
        <v/>
      </c>
      <c r="M383" s="62" t="str">
        <f>IF(A383="","",IFERROR(INDEX(fa_cname,MATCH(A383,fa_num,0))&amp;"",""))</f>
        <v/>
      </c>
      <c r="N383" s="59" t="str">
        <f>IF(COUNTA(A383:G383)=0,"",IF(A383="","N° facture manquant",IF(ISNA(MATCH(A383,fa_num,0)),"Facture inconnue",IF(AND(B383&lt;&gt;"",ISNA(MATCH(B383,pr_code,0))),"Article inconnu",IF(H383="","Désignation manquante",IF(OR(NOT(ISNUMBER(D383)),N(D383)&lt;=0),"Quantité invalide",IF(J383="","Prix manquant",IF(OR(NOT(ISNUMBER(J383)),N(J383)&lt;0),"Prix invalide",IF(OR(AND(F383&lt;&gt;"",NOT(ISNUMBER(F383))),N(F383)&lt;0,N(F383)&gt;1),"Remise invalide",IF(K383="","Taux de TVA manquant",IF(NOT(ISNUMBER(K383)),"Taux de TVA invalide",IF(COUNTIF(p_rates,K383)=0,"Taux de TVA hors liste (Paramètres)",IF(N(O383)&gt;25,"Au-delà de 25 lignes : non imprimée","OK")))))))))))))</f>
        <v/>
      </c>
      <c r="O383" s="59" t="str">
        <f>IF(A383="","",COUNTIF($A$6:A383,A383))</f>
        <v/>
      </c>
      <c r="P383" s="62" t="str">
        <f>IF(A383="","",A383&amp;"|"&amp;O383)</f>
        <v/>
      </c>
    </row>
    <row r="384">
      <c r="A384" s="60" t="n"/>
      <c r="B384" s="63" t="n"/>
      <c r="C384" s="63" t="n"/>
      <c r="D384" s="67" t="n"/>
      <c r="E384" s="68" t="n"/>
      <c r="F384" s="69" t="n"/>
      <c r="G384" s="70" t="n"/>
      <c r="H384" s="62" t="str">
        <f>IF(COUNTA(A384:G384)=0,"",IF(C384&lt;&gt;"",C384,IF(B384="","",IFERROR(INDEX(pr_des,MATCH(B384,pr_code,0))&amp;"",""))))</f>
        <v/>
      </c>
      <c r="I384" s="59" t="str">
        <f>IF(B384="","",IFERROR(INDEX(pr_unit,MATCH(B384,pr_code,0))&amp;"",""))</f>
        <v/>
      </c>
      <c r="J384" s="65" t="str">
        <f>IF(COUNTA(A384:G384)=0,"",IF(E384&lt;&gt;"",E384,IF(B384="","",IFERROR(IF(INDEX(pr_price,MATCH(B384,pr_code,0))="","",INDEX(pr_price,MATCH(B384,pr_code,0))),""))))</f>
        <v/>
      </c>
      <c r="K384" s="71" t="str">
        <f>IF(COUNTA(A384:G384)=0,"",IF(G384&lt;&gt;"",G384,IF(B384="","",IFERROR(IF(INDEX(pr_rate,MATCH(B384,pr_code,0))="","",INDEX(pr_rate,MATCH(B384,pr_code,0))),""))))</f>
        <v/>
      </c>
      <c r="L384" s="65" t="str">
        <f>IF(COUNTA(A384:G384)=0,"",IF(AND(ISNUMBER(D384),ISNUMBER(J384)),ROUND(D384*J384*(1-N(F384)),2),0))</f>
        <v/>
      </c>
      <c r="M384" s="62" t="str">
        <f>IF(A384="","",IFERROR(INDEX(fa_cname,MATCH(A384,fa_num,0))&amp;"",""))</f>
        <v/>
      </c>
      <c r="N384" s="59" t="str">
        <f>IF(COUNTA(A384:G384)=0,"",IF(A384="","N° facture manquant",IF(ISNA(MATCH(A384,fa_num,0)),"Facture inconnue",IF(AND(B384&lt;&gt;"",ISNA(MATCH(B384,pr_code,0))),"Article inconnu",IF(H384="","Désignation manquante",IF(OR(NOT(ISNUMBER(D384)),N(D384)&lt;=0),"Quantité invalide",IF(J384="","Prix manquant",IF(OR(NOT(ISNUMBER(J384)),N(J384)&lt;0),"Prix invalide",IF(OR(AND(F384&lt;&gt;"",NOT(ISNUMBER(F384))),N(F384)&lt;0,N(F384)&gt;1),"Remise invalide",IF(K384="","Taux de TVA manquant",IF(NOT(ISNUMBER(K384)),"Taux de TVA invalide",IF(COUNTIF(p_rates,K384)=0,"Taux de TVA hors liste (Paramètres)",IF(N(O384)&gt;25,"Au-delà de 25 lignes : non imprimée","OK")))))))))))))</f>
        <v/>
      </c>
      <c r="O384" s="59" t="str">
        <f>IF(A384="","",COUNTIF($A$6:A384,A384))</f>
        <v/>
      </c>
      <c r="P384" s="62" t="str">
        <f>IF(A384="","",A384&amp;"|"&amp;O384)</f>
        <v/>
      </c>
    </row>
    <row r="385">
      <c r="A385" s="60" t="n"/>
      <c r="B385" s="63" t="n"/>
      <c r="C385" s="63" t="n"/>
      <c r="D385" s="67" t="n"/>
      <c r="E385" s="68" t="n"/>
      <c r="F385" s="69" t="n"/>
      <c r="G385" s="70" t="n"/>
      <c r="H385" s="62" t="str">
        <f>IF(COUNTA(A385:G385)=0,"",IF(C385&lt;&gt;"",C385,IF(B385="","",IFERROR(INDEX(pr_des,MATCH(B385,pr_code,0))&amp;"",""))))</f>
        <v/>
      </c>
      <c r="I385" s="59" t="str">
        <f>IF(B385="","",IFERROR(INDEX(pr_unit,MATCH(B385,pr_code,0))&amp;"",""))</f>
        <v/>
      </c>
      <c r="J385" s="65" t="str">
        <f>IF(COUNTA(A385:G385)=0,"",IF(E385&lt;&gt;"",E385,IF(B385="","",IFERROR(IF(INDEX(pr_price,MATCH(B385,pr_code,0))="","",INDEX(pr_price,MATCH(B385,pr_code,0))),""))))</f>
        <v/>
      </c>
      <c r="K385" s="71" t="str">
        <f>IF(COUNTA(A385:G385)=0,"",IF(G385&lt;&gt;"",G385,IF(B385="","",IFERROR(IF(INDEX(pr_rate,MATCH(B385,pr_code,0))="","",INDEX(pr_rate,MATCH(B385,pr_code,0))),""))))</f>
        <v/>
      </c>
      <c r="L385" s="65" t="str">
        <f>IF(COUNTA(A385:G385)=0,"",IF(AND(ISNUMBER(D385),ISNUMBER(J385)),ROUND(D385*J385*(1-N(F385)),2),0))</f>
        <v/>
      </c>
      <c r="M385" s="62" t="str">
        <f>IF(A385="","",IFERROR(INDEX(fa_cname,MATCH(A385,fa_num,0))&amp;"",""))</f>
        <v/>
      </c>
      <c r="N385" s="59" t="str">
        <f>IF(COUNTA(A385:G385)=0,"",IF(A385="","N° facture manquant",IF(ISNA(MATCH(A385,fa_num,0)),"Facture inconnue",IF(AND(B385&lt;&gt;"",ISNA(MATCH(B385,pr_code,0))),"Article inconnu",IF(H385="","Désignation manquante",IF(OR(NOT(ISNUMBER(D385)),N(D385)&lt;=0),"Quantité invalide",IF(J385="","Prix manquant",IF(OR(NOT(ISNUMBER(J385)),N(J385)&lt;0),"Prix invalide",IF(OR(AND(F385&lt;&gt;"",NOT(ISNUMBER(F385))),N(F385)&lt;0,N(F385)&gt;1),"Remise invalide",IF(K385="","Taux de TVA manquant",IF(NOT(ISNUMBER(K385)),"Taux de TVA invalide",IF(COUNTIF(p_rates,K385)=0,"Taux de TVA hors liste (Paramètres)",IF(N(O385)&gt;25,"Au-delà de 25 lignes : non imprimée","OK")))))))))))))</f>
        <v/>
      </c>
      <c r="O385" s="59" t="str">
        <f>IF(A385="","",COUNTIF($A$6:A385,A385))</f>
        <v/>
      </c>
      <c r="P385" s="62" t="str">
        <f>IF(A385="","",A385&amp;"|"&amp;O385)</f>
        <v/>
      </c>
    </row>
    <row r="386">
      <c r="A386" s="60" t="n"/>
      <c r="B386" s="63" t="n"/>
      <c r="C386" s="63" t="n"/>
      <c r="D386" s="67" t="n"/>
      <c r="E386" s="68" t="n"/>
      <c r="F386" s="69" t="n"/>
      <c r="G386" s="70" t="n"/>
      <c r="H386" s="62" t="str">
        <f>IF(COUNTA(A386:G386)=0,"",IF(C386&lt;&gt;"",C386,IF(B386="","",IFERROR(INDEX(pr_des,MATCH(B386,pr_code,0))&amp;"",""))))</f>
        <v/>
      </c>
      <c r="I386" s="59" t="str">
        <f>IF(B386="","",IFERROR(INDEX(pr_unit,MATCH(B386,pr_code,0))&amp;"",""))</f>
        <v/>
      </c>
      <c r="J386" s="65" t="str">
        <f>IF(COUNTA(A386:G386)=0,"",IF(E386&lt;&gt;"",E386,IF(B386="","",IFERROR(IF(INDEX(pr_price,MATCH(B386,pr_code,0))="","",INDEX(pr_price,MATCH(B386,pr_code,0))),""))))</f>
        <v/>
      </c>
      <c r="K386" s="71" t="str">
        <f>IF(COUNTA(A386:G386)=0,"",IF(G386&lt;&gt;"",G386,IF(B386="","",IFERROR(IF(INDEX(pr_rate,MATCH(B386,pr_code,0))="","",INDEX(pr_rate,MATCH(B386,pr_code,0))),""))))</f>
        <v/>
      </c>
      <c r="L386" s="65" t="str">
        <f>IF(COUNTA(A386:G386)=0,"",IF(AND(ISNUMBER(D386),ISNUMBER(J386)),ROUND(D386*J386*(1-N(F386)),2),0))</f>
        <v/>
      </c>
      <c r="M386" s="62" t="str">
        <f>IF(A386="","",IFERROR(INDEX(fa_cname,MATCH(A386,fa_num,0))&amp;"",""))</f>
        <v/>
      </c>
      <c r="N386" s="59" t="str">
        <f>IF(COUNTA(A386:G386)=0,"",IF(A386="","N° facture manquant",IF(ISNA(MATCH(A386,fa_num,0)),"Facture inconnue",IF(AND(B386&lt;&gt;"",ISNA(MATCH(B386,pr_code,0))),"Article inconnu",IF(H386="","Désignation manquante",IF(OR(NOT(ISNUMBER(D386)),N(D386)&lt;=0),"Quantité invalide",IF(J386="","Prix manquant",IF(OR(NOT(ISNUMBER(J386)),N(J386)&lt;0),"Prix invalide",IF(OR(AND(F386&lt;&gt;"",NOT(ISNUMBER(F386))),N(F386)&lt;0,N(F386)&gt;1),"Remise invalide",IF(K386="","Taux de TVA manquant",IF(NOT(ISNUMBER(K386)),"Taux de TVA invalide",IF(COUNTIF(p_rates,K386)=0,"Taux de TVA hors liste (Paramètres)",IF(N(O386)&gt;25,"Au-delà de 25 lignes : non imprimée","OK")))))))))))))</f>
        <v/>
      </c>
      <c r="O386" s="59" t="str">
        <f>IF(A386="","",COUNTIF($A$6:A386,A386))</f>
        <v/>
      </c>
      <c r="P386" s="62" t="str">
        <f>IF(A386="","",A386&amp;"|"&amp;O386)</f>
        <v/>
      </c>
    </row>
    <row r="387">
      <c r="A387" s="60" t="n"/>
      <c r="B387" s="63" t="n"/>
      <c r="C387" s="63" t="n"/>
      <c r="D387" s="67" t="n"/>
      <c r="E387" s="68" t="n"/>
      <c r="F387" s="69" t="n"/>
      <c r="G387" s="70" t="n"/>
      <c r="H387" s="62" t="str">
        <f>IF(COUNTA(A387:G387)=0,"",IF(C387&lt;&gt;"",C387,IF(B387="","",IFERROR(INDEX(pr_des,MATCH(B387,pr_code,0))&amp;"",""))))</f>
        <v/>
      </c>
      <c r="I387" s="59" t="str">
        <f>IF(B387="","",IFERROR(INDEX(pr_unit,MATCH(B387,pr_code,0))&amp;"",""))</f>
        <v/>
      </c>
      <c r="J387" s="65" t="str">
        <f>IF(COUNTA(A387:G387)=0,"",IF(E387&lt;&gt;"",E387,IF(B387="","",IFERROR(IF(INDEX(pr_price,MATCH(B387,pr_code,0))="","",INDEX(pr_price,MATCH(B387,pr_code,0))),""))))</f>
        <v/>
      </c>
      <c r="K387" s="71" t="str">
        <f>IF(COUNTA(A387:G387)=0,"",IF(G387&lt;&gt;"",G387,IF(B387="","",IFERROR(IF(INDEX(pr_rate,MATCH(B387,pr_code,0))="","",INDEX(pr_rate,MATCH(B387,pr_code,0))),""))))</f>
        <v/>
      </c>
      <c r="L387" s="65" t="str">
        <f>IF(COUNTA(A387:G387)=0,"",IF(AND(ISNUMBER(D387),ISNUMBER(J387)),ROUND(D387*J387*(1-N(F387)),2),0))</f>
        <v/>
      </c>
      <c r="M387" s="62" t="str">
        <f>IF(A387="","",IFERROR(INDEX(fa_cname,MATCH(A387,fa_num,0))&amp;"",""))</f>
        <v/>
      </c>
      <c r="N387" s="59" t="str">
        <f>IF(COUNTA(A387:G387)=0,"",IF(A387="","N° facture manquant",IF(ISNA(MATCH(A387,fa_num,0)),"Facture inconnue",IF(AND(B387&lt;&gt;"",ISNA(MATCH(B387,pr_code,0))),"Article inconnu",IF(H387="","Désignation manquante",IF(OR(NOT(ISNUMBER(D387)),N(D387)&lt;=0),"Quantité invalide",IF(J387="","Prix manquant",IF(OR(NOT(ISNUMBER(J387)),N(J387)&lt;0),"Prix invalide",IF(OR(AND(F387&lt;&gt;"",NOT(ISNUMBER(F387))),N(F387)&lt;0,N(F387)&gt;1),"Remise invalide",IF(K387="","Taux de TVA manquant",IF(NOT(ISNUMBER(K387)),"Taux de TVA invalide",IF(COUNTIF(p_rates,K387)=0,"Taux de TVA hors liste (Paramètres)",IF(N(O387)&gt;25,"Au-delà de 25 lignes : non imprimée","OK")))))))))))))</f>
        <v/>
      </c>
      <c r="O387" s="59" t="str">
        <f>IF(A387="","",COUNTIF($A$6:A387,A387))</f>
        <v/>
      </c>
      <c r="P387" s="62" t="str">
        <f>IF(A387="","",A387&amp;"|"&amp;O387)</f>
        <v/>
      </c>
    </row>
    <row r="388">
      <c r="A388" s="60" t="n"/>
      <c r="B388" s="63" t="n"/>
      <c r="C388" s="63" t="n"/>
      <c r="D388" s="67" t="n"/>
      <c r="E388" s="68" t="n"/>
      <c r="F388" s="69" t="n"/>
      <c r="G388" s="70" t="n"/>
      <c r="H388" s="62" t="str">
        <f>IF(COUNTA(A388:G388)=0,"",IF(C388&lt;&gt;"",C388,IF(B388="","",IFERROR(INDEX(pr_des,MATCH(B388,pr_code,0))&amp;"",""))))</f>
        <v/>
      </c>
      <c r="I388" s="59" t="str">
        <f>IF(B388="","",IFERROR(INDEX(pr_unit,MATCH(B388,pr_code,0))&amp;"",""))</f>
        <v/>
      </c>
      <c r="J388" s="65" t="str">
        <f>IF(COUNTA(A388:G388)=0,"",IF(E388&lt;&gt;"",E388,IF(B388="","",IFERROR(IF(INDEX(pr_price,MATCH(B388,pr_code,0))="","",INDEX(pr_price,MATCH(B388,pr_code,0))),""))))</f>
        <v/>
      </c>
      <c r="K388" s="71" t="str">
        <f>IF(COUNTA(A388:G388)=0,"",IF(G388&lt;&gt;"",G388,IF(B388="","",IFERROR(IF(INDEX(pr_rate,MATCH(B388,pr_code,0))="","",INDEX(pr_rate,MATCH(B388,pr_code,0))),""))))</f>
        <v/>
      </c>
      <c r="L388" s="65" t="str">
        <f>IF(COUNTA(A388:G388)=0,"",IF(AND(ISNUMBER(D388),ISNUMBER(J388)),ROUND(D388*J388*(1-N(F388)),2),0))</f>
        <v/>
      </c>
      <c r="M388" s="62" t="str">
        <f>IF(A388="","",IFERROR(INDEX(fa_cname,MATCH(A388,fa_num,0))&amp;"",""))</f>
        <v/>
      </c>
      <c r="N388" s="59" t="str">
        <f>IF(COUNTA(A388:G388)=0,"",IF(A388="","N° facture manquant",IF(ISNA(MATCH(A388,fa_num,0)),"Facture inconnue",IF(AND(B388&lt;&gt;"",ISNA(MATCH(B388,pr_code,0))),"Article inconnu",IF(H388="","Désignation manquante",IF(OR(NOT(ISNUMBER(D388)),N(D388)&lt;=0),"Quantité invalide",IF(J388="","Prix manquant",IF(OR(NOT(ISNUMBER(J388)),N(J388)&lt;0),"Prix invalide",IF(OR(AND(F388&lt;&gt;"",NOT(ISNUMBER(F388))),N(F388)&lt;0,N(F388)&gt;1),"Remise invalide",IF(K388="","Taux de TVA manquant",IF(NOT(ISNUMBER(K388)),"Taux de TVA invalide",IF(COUNTIF(p_rates,K388)=0,"Taux de TVA hors liste (Paramètres)",IF(N(O388)&gt;25,"Au-delà de 25 lignes : non imprimée","OK")))))))))))))</f>
        <v/>
      </c>
      <c r="O388" s="59" t="str">
        <f>IF(A388="","",COUNTIF($A$6:A388,A388))</f>
        <v/>
      </c>
      <c r="P388" s="62" t="str">
        <f>IF(A388="","",A388&amp;"|"&amp;O388)</f>
        <v/>
      </c>
    </row>
    <row r="389">
      <c r="A389" s="60" t="n"/>
      <c r="B389" s="63" t="n"/>
      <c r="C389" s="63" t="n"/>
      <c r="D389" s="67" t="n"/>
      <c r="E389" s="68" t="n"/>
      <c r="F389" s="69" t="n"/>
      <c r="G389" s="70" t="n"/>
      <c r="H389" s="62" t="str">
        <f>IF(COUNTA(A389:G389)=0,"",IF(C389&lt;&gt;"",C389,IF(B389="","",IFERROR(INDEX(pr_des,MATCH(B389,pr_code,0))&amp;"",""))))</f>
        <v/>
      </c>
      <c r="I389" s="59" t="str">
        <f>IF(B389="","",IFERROR(INDEX(pr_unit,MATCH(B389,pr_code,0))&amp;"",""))</f>
        <v/>
      </c>
      <c r="J389" s="65" t="str">
        <f>IF(COUNTA(A389:G389)=0,"",IF(E389&lt;&gt;"",E389,IF(B389="","",IFERROR(IF(INDEX(pr_price,MATCH(B389,pr_code,0))="","",INDEX(pr_price,MATCH(B389,pr_code,0))),""))))</f>
        <v/>
      </c>
      <c r="K389" s="71" t="str">
        <f>IF(COUNTA(A389:G389)=0,"",IF(G389&lt;&gt;"",G389,IF(B389="","",IFERROR(IF(INDEX(pr_rate,MATCH(B389,pr_code,0))="","",INDEX(pr_rate,MATCH(B389,pr_code,0))),""))))</f>
        <v/>
      </c>
      <c r="L389" s="65" t="str">
        <f>IF(COUNTA(A389:G389)=0,"",IF(AND(ISNUMBER(D389),ISNUMBER(J389)),ROUND(D389*J389*(1-N(F389)),2),0))</f>
        <v/>
      </c>
      <c r="M389" s="62" t="str">
        <f>IF(A389="","",IFERROR(INDEX(fa_cname,MATCH(A389,fa_num,0))&amp;"",""))</f>
        <v/>
      </c>
      <c r="N389" s="59" t="str">
        <f>IF(COUNTA(A389:G389)=0,"",IF(A389="","N° facture manquant",IF(ISNA(MATCH(A389,fa_num,0)),"Facture inconnue",IF(AND(B389&lt;&gt;"",ISNA(MATCH(B389,pr_code,0))),"Article inconnu",IF(H389="","Désignation manquante",IF(OR(NOT(ISNUMBER(D389)),N(D389)&lt;=0),"Quantité invalide",IF(J389="","Prix manquant",IF(OR(NOT(ISNUMBER(J389)),N(J389)&lt;0),"Prix invalide",IF(OR(AND(F389&lt;&gt;"",NOT(ISNUMBER(F389))),N(F389)&lt;0,N(F389)&gt;1),"Remise invalide",IF(K389="","Taux de TVA manquant",IF(NOT(ISNUMBER(K389)),"Taux de TVA invalide",IF(COUNTIF(p_rates,K389)=0,"Taux de TVA hors liste (Paramètres)",IF(N(O389)&gt;25,"Au-delà de 25 lignes : non imprimée","OK")))))))))))))</f>
        <v/>
      </c>
      <c r="O389" s="59" t="str">
        <f>IF(A389="","",COUNTIF($A$6:A389,A389))</f>
        <v/>
      </c>
      <c r="P389" s="62" t="str">
        <f>IF(A389="","",A389&amp;"|"&amp;O389)</f>
        <v/>
      </c>
    </row>
    <row r="390">
      <c r="A390" s="60" t="n"/>
      <c r="B390" s="63" t="n"/>
      <c r="C390" s="63" t="n"/>
      <c r="D390" s="67" t="n"/>
      <c r="E390" s="68" t="n"/>
      <c r="F390" s="69" t="n"/>
      <c r="G390" s="70" t="n"/>
      <c r="H390" s="62" t="str">
        <f>IF(COUNTA(A390:G390)=0,"",IF(C390&lt;&gt;"",C390,IF(B390="","",IFERROR(INDEX(pr_des,MATCH(B390,pr_code,0))&amp;"",""))))</f>
        <v/>
      </c>
      <c r="I390" s="59" t="str">
        <f>IF(B390="","",IFERROR(INDEX(pr_unit,MATCH(B390,pr_code,0))&amp;"",""))</f>
        <v/>
      </c>
      <c r="J390" s="65" t="str">
        <f>IF(COUNTA(A390:G390)=0,"",IF(E390&lt;&gt;"",E390,IF(B390="","",IFERROR(IF(INDEX(pr_price,MATCH(B390,pr_code,0))="","",INDEX(pr_price,MATCH(B390,pr_code,0))),""))))</f>
        <v/>
      </c>
      <c r="K390" s="71" t="str">
        <f>IF(COUNTA(A390:G390)=0,"",IF(G390&lt;&gt;"",G390,IF(B390="","",IFERROR(IF(INDEX(pr_rate,MATCH(B390,pr_code,0))="","",INDEX(pr_rate,MATCH(B390,pr_code,0))),""))))</f>
        <v/>
      </c>
      <c r="L390" s="65" t="str">
        <f>IF(COUNTA(A390:G390)=0,"",IF(AND(ISNUMBER(D390),ISNUMBER(J390)),ROUND(D390*J390*(1-N(F390)),2),0))</f>
        <v/>
      </c>
      <c r="M390" s="62" t="str">
        <f>IF(A390="","",IFERROR(INDEX(fa_cname,MATCH(A390,fa_num,0))&amp;"",""))</f>
        <v/>
      </c>
      <c r="N390" s="59" t="str">
        <f>IF(COUNTA(A390:G390)=0,"",IF(A390="","N° facture manquant",IF(ISNA(MATCH(A390,fa_num,0)),"Facture inconnue",IF(AND(B390&lt;&gt;"",ISNA(MATCH(B390,pr_code,0))),"Article inconnu",IF(H390="","Désignation manquante",IF(OR(NOT(ISNUMBER(D390)),N(D390)&lt;=0),"Quantité invalide",IF(J390="","Prix manquant",IF(OR(NOT(ISNUMBER(J390)),N(J390)&lt;0),"Prix invalide",IF(OR(AND(F390&lt;&gt;"",NOT(ISNUMBER(F390))),N(F390)&lt;0,N(F390)&gt;1),"Remise invalide",IF(K390="","Taux de TVA manquant",IF(NOT(ISNUMBER(K390)),"Taux de TVA invalide",IF(COUNTIF(p_rates,K390)=0,"Taux de TVA hors liste (Paramètres)",IF(N(O390)&gt;25,"Au-delà de 25 lignes : non imprimée","OK")))))))))))))</f>
        <v/>
      </c>
      <c r="O390" s="59" t="str">
        <f>IF(A390="","",COUNTIF($A$6:A390,A390))</f>
        <v/>
      </c>
      <c r="P390" s="62" t="str">
        <f>IF(A390="","",A390&amp;"|"&amp;O390)</f>
        <v/>
      </c>
    </row>
    <row r="391">
      <c r="A391" s="60" t="n"/>
      <c r="B391" s="63" t="n"/>
      <c r="C391" s="63" t="n"/>
      <c r="D391" s="67" t="n"/>
      <c r="E391" s="68" t="n"/>
      <c r="F391" s="69" t="n"/>
      <c r="G391" s="70" t="n"/>
      <c r="H391" s="62" t="str">
        <f>IF(COUNTA(A391:G391)=0,"",IF(C391&lt;&gt;"",C391,IF(B391="","",IFERROR(INDEX(pr_des,MATCH(B391,pr_code,0))&amp;"",""))))</f>
        <v/>
      </c>
      <c r="I391" s="59" t="str">
        <f>IF(B391="","",IFERROR(INDEX(pr_unit,MATCH(B391,pr_code,0))&amp;"",""))</f>
        <v/>
      </c>
      <c r="J391" s="65" t="str">
        <f>IF(COUNTA(A391:G391)=0,"",IF(E391&lt;&gt;"",E391,IF(B391="","",IFERROR(IF(INDEX(pr_price,MATCH(B391,pr_code,0))="","",INDEX(pr_price,MATCH(B391,pr_code,0))),""))))</f>
        <v/>
      </c>
      <c r="K391" s="71" t="str">
        <f>IF(COUNTA(A391:G391)=0,"",IF(G391&lt;&gt;"",G391,IF(B391="","",IFERROR(IF(INDEX(pr_rate,MATCH(B391,pr_code,0))="","",INDEX(pr_rate,MATCH(B391,pr_code,0))),""))))</f>
        <v/>
      </c>
      <c r="L391" s="65" t="str">
        <f>IF(COUNTA(A391:G391)=0,"",IF(AND(ISNUMBER(D391),ISNUMBER(J391)),ROUND(D391*J391*(1-N(F391)),2),0))</f>
        <v/>
      </c>
      <c r="M391" s="62" t="str">
        <f>IF(A391="","",IFERROR(INDEX(fa_cname,MATCH(A391,fa_num,0))&amp;"",""))</f>
        <v/>
      </c>
      <c r="N391" s="59" t="str">
        <f>IF(COUNTA(A391:G391)=0,"",IF(A391="","N° facture manquant",IF(ISNA(MATCH(A391,fa_num,0)),"Facture inconnue",IF(AND(B391&lt;&gt;"",ISNA(MATCH(B391,pr_code,0))),"Article inconnu",IF(H391="","Désignation manquante",IF(OR(NOT(ISNUMBER(D391)),N(D391)&lt;=0),"Quantité invalide",IF(J391="","Prix manquant",IF(OR(NOT(ISNUMBER(J391)),N(J391)&lt;0),"Prix invalide",IF(OR(AND(F391&lt;&gt;"",NOT(ISNUMBER(F391))),N(F391)&lt;0,N(F391)&gt;1),"Remise invalide",IF(K391="","Taux de TVA manquant",IF(NOT(ISNUMBER(K391)),"Taux de TVA invalide",IF(COUNTIF(p_rates,K391)=0,"Taux de TVA hors liste (Paramètres)",IF(N(O391)&gt;25,"Au-delà de 25 lignes : non imprimée","OK")))))))))))))</f>
        <v/>
      </c>
      <c r="O391" s="59" t="str">
        <f>IF(A391="","",COUNTIF($A$6:A391,A391))</f>
        <v/>
      </c>
      <c r="P391" s="62" t="str">
        <f>IF(A391="","",A391&amp;"|"&amp;O391)</f>
        <v/>
      </c>
    </row>
    <row r="392">
      <c r="A392" s="60" t="n"/>
      <c r="B392" s="63" t="n"/>
      <c r="C392" s="63" t="n"/>
      <c r="D392" s="67" t="n"/>
      <c r="E392" s="68" t="n"/>
      <c r="F392" s="69" t="n"/>
      <c r="G392" s="70" t="n"/>
      <c r="H392" s="62" t="str">
        <f>IF(COUNTA(A392:G392)=0,"",IF(C392&lt;&gt;"",C392,IF(B392="","",IFERROR(INDEX(pr_des,MATCH(B392,pr_code,0))&amp;"",""))))</f>
        <v/>
      </c>
      <c r="I392" s="59" t="str">
        <f>IF(B392="","",IFERROR(INDEX(pr_unit,MATCH(B392,pr_code,0))&amp;"",""))</f>
        <v/>
      </c>
      <c r="J392" s="65" t="str">
        <f>IF(COUNTA(A392:G392)=0,"",IF(E392&lt;&gt;"",E392,IF(B392="","",IFERROR(IF(INDEX(pr_price,MATCH(B392,pr_code,0))="","",INDEX(pr_price,MATCH(B392,pr_code,0))),""))))</f>
        <v/>
      </c>
      <c r="K392" s="71" t="str">
        <f>IF(COUNTA(A392:G392)=0,"",IF(G392&lt;&gt;"",G392,IF(B392="","",IFERROR(IF(INDEX(pr_rate,MATCH(B392,pr_code,0))="","",INDEX(pr_rate,MATCH(B392,pr_code,0))),""))))</f>
        <v/>
      </c>
      <c r="L392" s="65" t="str">
        <f>IF(COUNTA(A392:G392)=0,"",IF(AND(ISNUMBER(D392),ISNUMBER(J392)),ROUND(D392*J392*(1-N(F392)),2),0))</f>
        <v/>
      </c>
      <c r="M392" s="62" t="str">
        <f>IF(A392="","",IFERROR(INDEX(fa_cname,MATCH(A392,fa_num,0))&amp;"",""))</f>
        <v/>
      </c>
      <c r="N392" s="59" t="str">
        <f>IF(COUNTA(A392:G392)=0,"",IF(A392="","N° facture manquant",IF(ISNA(MATCH(A392,fa_num,0)),"Facture inconnue",IF(AND(B392&lt;&gt;"",ISNA(MATCH(B392,pr_code,0))),"Article inconnu",IF(H392="","Désignation manquante",IF(OR(NOT(ISNUMBER(D392)),N(D392)&lt;=0),"Quantité invalide",IF(J392="","Prix manquant",IF(OR(NOT(ISNUMBER(J392)),N(J392)&lt;0),"Prix invalide",IF(OR(AND(F392&lt;&gt;"",NOT(ISNUMBER(F392))),N(F392)&lt;0,N(F392)&gt;1),"Remise invalide",IF(K392="","Taux de TVA manquant",IF(NOT(ISNUMBER(K392)),"Taux de TVA invalide",IF(COUNTIF(p_rates,K392)=0,"Taux de TVA hors liste (Paramètres)",IF(N(O392)&gt;25,"Au-delà de 25 lignes : non imprimée","OK")))))))))))))</f>
        <v/>
      </c>
      <c r="O392" s="59" t="str">
        <f>IF(A392="","",COUNTIF($A$6:A392,A392))</f>
        <v/>
      </c>
      <c r="P392" s="62" t="str">
        <f>IF(A392="","",A392&amp;"|"&amp;O392)</f>
        <v/>
      </c>
    </row>
    <row r="393">
      <c r="A393" s="60" t="n"/>
      <c r="B393" s="63" t="n"/>
      <c r="C393" s="63" t="n"/>
      <c r="D393" s="67" t="n"/>
      <c r="E393" s="68" t="n"/>
      <c r="F393" s="69" t="n"/>
      <c r="G393" s="70" t="n"/>
      <c r="H393" s="62" t="str">
        <f>IF(COUNTA(A393:G393)=0,"",IF(C393&lt;&gt;"",C393,IF(B393="","",IFERROR(INDEX(pr_des,MATCH(B393,pr_code,0))&amp;"",""))))</f>
        <v/>
      </c>
      <c r="I393" s="59" t="str">
        <f>IF(B393="","",IFERROR(INDEX(pr_unit,MATCH(B393,pr_code,0))&amp;"",""))</f>
        <v/>
      </c>
      <c r="J393" s="65" t="str">
        <f>IF(COUNTA(A393:G393)=0,"",IF(E393&lt;&gt;"",E393,IF(B393="","",IFERROR(IF(INDEX(pr_price,MATCH(B393,pr_code,0))="","",INDEX(pr_price,MATCH(B393,pr_code,0))),""))))</f>
        <v/>
      </c>
      <c r="K393" s="71" t="str">
        <f>IF(COUNTA(A393:G393)=0,"",IF(G393&lt;&gt;"",G393,IF(B393="","",IFERROR(IF(INDEX(pr_rate,MATCH(B393,pr_code,0))="","",INDEX(pr_rate,MATCH(B393,pr_code,0))),""))))</f>
        <v/>
      </c>
      <c r="L393" s="65" t="str">
        <f>IF(COUNTA(A393:G393)=0,"",IF(AND(ISNUMBER(D393),ISNUMBER(J393)),ROUND(D393*J393*(1-N(F393)),2),0))</f>
        <v/>
      </c>
      <c r="M393" s="62" t="str">
        <f>IF(A393="","",IFERROR(INDEX(fa_cname,MATCH(A393,fa_num,0))&amp;"",""))</f>
        <v/>
      </c>
      <c r="N393" s="59" t="str">
        <f>IF(COUNTA(A393:G393)=0,"",IF(A393="","N° facture manquant",IF(ISNA(MATCH(A393,fa_num,0)),"Facture inconnue",IF(AND(B393&lt;&gt;"",ISNA(MATCH(B393,pr_code,0))),"Article inconnu",IF(H393="","Désignation manquante",IF(OR(NOT(ISNUMBER(D393)),N(D393)&lt;=0),"Quantité invalide",IF(J393="","Prix manquant",IF(OR(NOT(ISNUMBER(J393)),N(J393)&lt;0),"Prix invalide",IF(OR(AND(F393&lt;&gt;"",NOT(ISNUMBER(F393))),N(F393)&lt;0,N(F393)&gt;1),"Remise invalide",IF(K393="","Taux de TVA manquant",IF(NOT(ISNUMBER(K393)),"Taux de TVA invalide",IF(COUNTIF(p_rates,K393)=0,"Taux de TVA hors liste (Paramètres)",IF(N(O393)&gt;25,"Au-delà de 25 lignes : non imprimée","OK")))))))))))))</f>
        <v/>
      </c>
      <c r="O393" s="59" t="str">
        <f>IF(A393="","",COUNTIF($A$6:A393,A393))</f>
        <v/>
      </c>
      <c r="P393" s="62" t="str">
        <f>IF(A393="","",A393&amp;"|"&amp;O393)</f>
        <v/>
      </c>
    </row>
    <row r="394">
      <c r="A394" s="60" t="n"/>
      <c r="B394" s="63" t="n"/>
      <c r="C394" s="63" t="n"/>
      <c r="D394" s="67" t="n"/>
      <c r="E394" s="68" t="n"/>
      <c r="F394" s="69" t="n"/>
      <c r="G394" s="70" t="n"/>
      <c r="H394" s="62" t="str">
        <f>IF(COUNTA(A394:G394)=0,"",IF(C394&lt;&gt;"",C394,IF(B394="","",IFERROR(INDEX(pr_des,MATCH(B394,pr_code,0))&amp;"",""))))</f>
        <v/>
      </c>
      <c r="I394" s="59" t="str">
        <f>IF(B394="","",IFERROR(INDEX(pr_unit,MATCH(B394,pr_code,0))&amp;"",""))</f>
        <v/>
      </c>
      <c r="J394" s="65" t="str">
        <f>IF(COUNTA(A394:G394)=0,"",IF(E394&lt;&gt;"",E394,IF(B394="","",IFERROR(IF(INDEX(pr_price,MATCH(B394,pr_code,0))="","",INDEX(pr_price,MATCH(B394,pr_code,0))),""))))</f>
        <v/>
      </c>
      <c r="K394" s="71" t="str">
        <f>IF(COUNTA(A394:G394)=0,"",IF(G394&lt;&gt;"",G394,IF(B394="","",IFERROR(IF(INDEX(pr_rate,MATCH(B394,pr_code,0))="","",INDEX(pr_rate,MATCH(B394,pr_code,0))),""))))</f>
        <v/>
      </c>
      <c r="L394" s="65" t="str">
        <f>IF(COUNTA(A394:G394)=0,"",IF(AND(ISNUMBER(D394),ISNUMBER(J394)),ROUND(D394*J394*(1-N(F394)),2),0))</f>
        <v/>
      </c>
      <c r="M394" s="62" t="str">
        <f>IF(A394="","",IFERROR(INDEX(fa_cname,MATCH(A394,fa_num,0))&amp;"",""))</f>
        <v/>
      </c>
      <c r="N394" s="59" t="str">
        <f>IF(COUNTA(A394:G394)=0,"",IF(A394="","N° facture manquant",IF(ISNA(MATCH(A394,fa_num,0)),"Facture inconnue",IF(AND(B394&lt;&gt;"",ISNA(MATCH(B394,pr_code,0))),"Article inconnu",IF(H394="","Désignation manquante",IF(OR(NOT(ISNUMBER(D394)),N(D394)&lt;=0),"Quantité invalide",IF(J394="","Prix manquant",IF(OR(NOT(ISNUMBER(J394)),N(J394)&lt;0),"Prix invalide",IF(OR(AND(F394&lt;&gt;"",NOT(ISNUMBER(F394))),N(F394)&lt;0,N(F394)&gt;1),"Remise invalide",IF(K394="","Taux de TVA manquant",IF(NOT(ISNUMBER(K394)),"Taux de TVA invalide",IF(COUNTIF(p_rates,K394)=0,"Taux de TVA hors liste (Paramètres)",IF(N(O394)&gt;25,"Au-delà de 25 lignes : non imprimée","OK")))))))))))))</f>
        <v/>
      </c>
      <c r="O394" s="59" t="str">
        <f>IF(A394="","",COUNTIF($A$6:A394,A394))</f>
        <v/>
      </c>
      <c r="P394" s="62" t="str">
        <f>IF(A394="","",A394&amp;"|"&amp;O394)</f>
        <v/>
      </c>
    </row>
    <row r="395">
      <c r="A395" s="60" t="n"/>
      <c r="B395" s="63" t="n"/>
      <c r="C395" s="63" t="n"/>
      <c r="D395" s="67" t="n"/>
      <c r="E395" s="68" t="n"/>
      <c r="F395" s="69" t="n"/>
      <c r="G395" s="70" t="n"/>
      <c r="H395" s="62" t="str">
        <f>IF(COUNTA(A395:G395)=0,"",IF(C395&lt;&gt;"",C395,IF(B395="","",IFERROR(INDEX(pr_des,MATCH(B395,pr_code,0))&amp;"",""))))</f>
        <v/>
      </c>
      <c r="I395" s="59" t="str">
        <f>IF(B395="","",IFERROR(INDEX(pr_unit,MATCH(B395,pr_code,0))&amp;"",""))</f>
        <v/>
      </c>
      <c r="J395" s="65" t="str">
        <f>IF(COUNTA(A395:G395)=0,"",IF(E395&lt;&gt;"",E395,IF(B395="","",IFERROR(IF(INDEX(pr_price,MATCH(B395,pr_code,0))="","",INDEX(pr_price,MATCH(B395,pr_code,0))),""))))</f>
        <v/>
      </c>
      <c r="K395" s="71" t="str">
        <f>IF(COUNTA(A395:G395)=0,"",IF(G395&lt;&gt;"",G395,IF(B395="","",IFERROR(IF(INDEX(pr_rate,MATCH(B395,pr_code,0))="","",INDEX(pr_rate,MATCH(B395,pr_code,0))),""))))</f>
        <v/>
      </c>
      <c r="L395" s="65" t="str">
        <f>IF(COUNTA(A395:G395)=0,"",IF(AND(ISNUMBER(D395),ISNUMBER(J395)),ROUND(D395*J395*(1-N(F395)),2),0))</f>
        <v/>
      </c>
      <c r="M395" s="62" t="str">
        <f>IF(A395="","",IFERROR(INDEX(fa_cname,MATCH(A395,fa_num,0))&amp;"",""))</f>
        <v/>
      </c>
      <c r="N395" s="59" t="str">
        <f>IF(COUNTA(A395:G395)=0,"",IF(A395="","N° facture manquant",IF(ISNA(MATCH(A395,fa_num,0)),"Facture inconnue",IF(AND(B395&lt;&gt;"",ISNA(MATCH(B395,pr_code,0))),"Article inconnu",IF(H395="","Désignation manquante",IF(OR(NOT(ISNUMBER(D395)),N(D395)&lt;=0),"Quantité invalide",IF(J395="","Prix manquant",IF(OR(NOT(ISNUMBER(J395)),N(J395)&lt;0),"Prix invalide",IF(OR(AND(F395&lt;&gt;"",NOT(ISNUMBER(F395))),N(F395)&lt;0,N(F395)&gt;1),"Remise invalide",IF(K395="","Taux de TVA manquant",IF(NOT(ISNUMBER(K395)),"Taux de TVA invalide",IF(COUNTIF(p_rates,K395)=0,"Taux de TVA hors liste (Paramètres)",IF(N(O395)&gt;25,"Au-delà de 25 lignes : non imprimée","OK")))))))))))))</f>
        <v/>
      </c>
      <c r="O395" s="59" t="str">
        <f>IF(A395="","",COUNTIF($A$6:A395,A395))</f>
        <v/>
      </c>
      <c r="P395" s="62" t="str">
        <f>IF(A395="","",A395&amp;"|"&amp;O395)</f>
        <v/>
      </c>
    </row>
    <row r="396">
      <c r="A396" s="60" t="n"/>
      <c r="B396" s="63" t="n"/>
      <c r="C396" s="63" t="n"/>
      <c r="D396" s="67" t="n"/>
      <c r="E396" s="68" t="n"/>
      <c r="F396" s="69" t="n"/>
      <c r="G396" s="70" t="n"/>
      <c r="H396" s="62" t="str">
        <f>IF(COUNTA(A396:G396)=0,"",IF(C396&lt;&gt;"",C396,IF(B396="","",IFERROR(INDEX(pr_des,MATCH(B396,pr_code,0))&amp;"",""))))</f>
        <v/>
      </c>
      <c r="I396" s="59" t="str">
        <f>IF(B396="","",IFERROR(INDEX(pr_unit,MATCH(B396,pr_code,0))&amp;"",""))</f>
        <v/>
      </c>
      <c r="J396" s="65" t="str">
        <f>IF(COUNTA(A396:G396)=0,"",IF(E396&lt;&gt;"",E396,IF(B396="","",IFERROR(IF(INDEX(pr_price,MATCH(B396,pr_code,0))="","",INDEX(pr_price,MATCH(B396,pr_code,0))),""))))</f>
        <v/>
      </c>
      <c r="K396" s="71" t="str">
        <f>IF(COUNTA(A396:G396)=0,"",IF(G396&lt;&gt;"",G396,IF(B396="","",IFERROR(IF(INDEX(pr_rate,MATCH(B396,pr_code,0))="","",INDEX(pr_rate,MATCH(B396,pr_code,0))),""))))</f>
        <v/>
      </c>
      <c r="L396" s="65" t="str">
        <f>IF(COUNTA(A396:G396)=0,"",IF(AND(ISNUMBER(D396),ISNUMBER(J396)),ROUND(D396*J396*(1-N(F396)),2),0))</f>
        <v/>
      </c>
      <c r="M396" s="62" t="str">
        <f>IF(A396="","",IFERROR(INDEX(fa_cname,MATCH(A396,fa_num,0))&amp;"",""))</f>
        <v/>
      </c>
      <c r="N396" s="59" t="str">
        <f>IF(COUNTA(A396:G396)=0,"",IF(A396="","N° facture manquant",IF(ISNA(MATCH(A396,fa_num,0)),"Facture inconnue",IF(AND(B396&lt;&gt;"",ISNA(MATCH(B396,pr_code,0))),"Article inconnu",IF(H396="","Désignation manquante",IF(OR(NOT(ISNUMBER(D396)),N(D396)&lt;=0),"Quantité invalide",IF(J396="","Prix manquant",IF(OR(NOT(ISNUMBER(J396)),N(J396)&lt;0),"Prix invalide",IF(OR(AND(F396&lt;&gt;"",NOT(ISNUMBER(F396))),N(F396)&lt;0,N(F396)&gt;1),"Remise invalide",IF(K396="","Taux de TVA manquant",IF(NOT(ISNUMBER(K396)),"Taux de TVA invalide",IF(COUNTIF(p_rates,K396)=0,"Taux de TVA hors liste (Paramètres)",IF(N(O396)&gt;25,"Au-delà de 25 lignes : non imprimée","OK")))))))))))))</f>
        <v/>
      </c>
      <c r="O396" s="59" t="str">
        <f>IF(A396="","",COUNTIF($A$6:A396,A396))</f>
        <v/>
      </c>
      <c r="P396" s="62" t="str">
        <f>IF(A396="","",A396&amp;"|"&amp;O396)</f>
        <v/>
      </c>
    </row>
    <row r="397">
      <c r="A397" s="60" t="n"/>
      <c r="B397" s="63" t="n"/>
      <c r="C397" s="63" t="n"/>
      <c r="D397" s="67" t="n"/>
      <c r="E397" s="68" t="n"/>
      <c r="F397" s="69" t="n"/>
      <c r="G397" s="70" t="n"/>
      <c r="H397" s="62" t="str">
        <f>IF(COUNTA(A397:G397)=0,"",IF(C397&lt;&gt;"",C397,IF(B397="","",IFERROR(INDEX(pr_des,MATCH(B397,pr_code,0))&amp;"",""))))</f>
        <v/>
      </c>
      <c r="I397" s="59" t="str">
        <f>IF(B397="","",IFERROR(INDEX(pr_unit,MATCH(B397,pr_code,0))&amp;"",""))</f>
        <v/>
      </c>
      <c r="J397" s="65" t="str">
        <f>IF(COUNTA(A397:G397)=0,"",IF(E397&lt;&gt;"",E397,IF(B397="","",IFERROR(IF(INDEX(pr_price,MATCH(B397,pr_code,0))="","",INDEX(pr_price,MATCH(B397,pr_code,0))),""))))</f>
        <v/>
      </c>
      <c r="K397" s="71" t="str">
        <f>IF(COUNTA(A397:G397)=0,"",IF(G397&lt;&gt;"",G397,IF(B397="","",IFERROR(IF(INDEX(pr_rate,MATCH(B397,pr_code,0))="","",INDEX(pr_rate,MATCH(B397,pr_code,0))),""))))</f>
        <v/>
      </c>
      <c r="L397" s="65" t="str">
        <f>IF(COUNTA(A397:G397)=0,"",IF(AND(ISNUMBER(D397),ISNUMBER(J397)),ROUND(D397*J397*(1-N(F397)),2),0))</f>
        <v/>
      </c>
      <c r="M397" s="62" t="str">
        <f>IF(A397="","",IFERROR(INDEX(fa_cname,MATCH(A397,fa_num,0))&amp;"",""))</f>
        <v/>
      </c>
      <c r="N397" s="59" t="str">
        <f>IF(COUNTA(A397:G397)=0,"",IF(A397="","N° facture manquant",IF(ISNA(MATCH(A397,fa_num,0)),"Facture inconnue",IF(AND(B397&lt;&gt;"",ISNA(MATCH(B397,pr_code,0))),"Article inconnu",IF(H397="","Désignation manquante",IF(OR(NOT(ISNUMBER(D397)),N(D397)&lt;=0),"Quantité invalide",IF(J397="","Prix manquant",IF(OR(NOT(ISNUMBER(J397)),N(J397)&lt;0),"Prix invalide",IF(OR(AND(F397&lt;&gt;"",NOT(ISNUMBER(F397))),N(F397)&lt;0,N(F397)&gt;1),"Remise invalide",IF(K397="","Taux de TVA manquant",IF(NOT(ISNUMBER(K397)),"Taux de TVA invalide",IF(COUNTIF(p_rates,K397)=0,"Taux de TVA hors liste (Paramètres)",IF(N(O397)&gt;25,"Au-delà de 25 lignes : non imprimée","OK")))))))))))))</f>
        <v/>
      </c>
      <c r="O397" s="59" t="str">
        <f>IF(A397="","",COUNTIF($A$6:A397,A397))</f>
        <v/>
      </c>
      <c r="P397" s="62" t="str">
        <f>IF(A397="","",A397&amp;"|"&amp;O397)</f>
        <v/>
      </c>
    </row>
    <row r="398">
      <c r="A398" s="60" t="n"/>
      <c r="B398" s="63" t="n"/>
      <c r="C398" s="63" t="n"/>
      <c r="D398" s="67" t="n"/>
      <c r="E398" s="68" t="n"/>
      <c r="F398" s="69" t="n"/>
      <c r="G398" s="70" t="n"/>
      <c r="H398" s="62" t="str">
        <f>IF(COUNTA(A398:G398)=0,"",IF(C398&lt;&gt;"",C398,IF(B398="","",IFERROR(INDEX(pr_des,MATCH(B398,pr_code,0))&amp;"",""))))</f>
        <v/>
      </c>
      <c r="I398" s="59" t="str">
        <f>IF(B398="","",IFERROR(INDEX(pr_unit,MATCH(B398,pr_code,0))&amp;"",""))</f>
        <v/>
      </c>
      <c r="J398" s="65" t="str">
        <f>IF(COUNTA(A398:G398)=0,"",IF(E398&lt;&gt;"",E398,IF(B398="","",IFERROR(IF(INDEX(pr_price,MATCH(B398,pr_code,0))="","",INDEX(pr_price,MATCH(B398,pr_code,0))),""))))</f>
        <v/>
      </c>
      <c r="K398" s="71" t="str">
        <f>IF(COUNTA(A398:G398)=0,"",IF(G398&lt;&gt;"",G398,IF(B398="","",IFERROR(IF(INDEX(pr_rate,MATCH(B398,pr_code,0))="","",INDEX(pr_rate,MATCH(B398,pr_code,0))),""))))</f>
        <v/>
      </c>
      <c r="L398" s="65" t="str">
        <f>IF(COUNTA(A398:G398)=0,"",IF(AND(ISNUMBER(D398),ISNUMBER(J398)),ROUND(D398*J398*(1-N(F398)),2),0))</f>
        <v/>
      </c>
      <c r="M398" s="62" t="str">
        <f>IF(A398="","",IFERROR(INDEX(fa_cname,MATCH(A398,fa_num,0))&amp;"",""))</f>
        <v/>
      </c>
      <c r="N398" s="59" t="str">
        <f>IF(COUNTA(A398:G398)=0,"",IF(A398="","N° facture manquant",IF(ISNA(MATCH(A398,fa_num,0)),"Facture inconnue",IF(AND(B398&lt;&gt;"",ISNA(MATCH(B398,pr_code,0))),"Article inconnu",IF(H398="","Désignation manquante",IF(OR(NOT(ISNUMBER(D398)),N(D398)&lt;=0),"Quantité invalide",IF(J398="","Prix manquant",IF(OR(NOT(ISNUMBER(J398)),N(J398)&lt;0),"Prix invalide",IF(OR(AND(F398&lt;&gt;"",NOT(ISNUMBER(F398))),N(F398)&lt;0,N(F398)&gt;1),"Remise invalide",IF(K398="","Taux de TVA manquant",IF(NOT(ISNUMBER(K398)),"Taux de TVA invalide",IF(COUNTIF(p_rates,K398)=0,"Taux de TVA hors liste (Paramètres)",IF(N(O398)&gt;25,"Au-delà de 25 lignes : non imprimée","OK")))))))))))))</f>
        <v/>
      </c>
      <c r="O398" s="59" t="str">
        <f>IF(A398="","",COUNTIF($A$6:A398,A398))</f>
        <v/>
      </c>
      <c r="P398" s="62" t="str">
        <f>IF(A398="","",A398&amp;"|"&amp;O398)</f>
        <v/>
      </c>
    </row>
    <row r="399">
      <c r="A399" s="60" t="n"/>
      <c r="B399" s="63" t="n"/>
      <c r="C399" s="63" t="n"/>
      <c r="D399" s="67" t="n"/>
      <c r="E399" s="68" t="n"/>
      <c r="F399" s="69" t="n"/>
      <c r="G399" s="70" t="n"/>
      <c r="H399" s="62" t="str">
        <f>IF(COUNTA(A399:G399)=0,"",IF(C399&lt;&gt;"",C399,IF(B399="","",IFERROR(INDEX(pr_des,MATCH(B399,pr_code,0))&amp;"",""))))</f>
        <v/>
      </c>
      <c r="I399" s="59" t="str">
        <f>IF(B399="","",IFERROR(INDEX(pr_unit,MATCH(B399,pr_code,0))&amp;"",""))</f>
        <v/>
      </c>
      <c r="J399" s="65" t="str">
        <f>IF(COUNTA(A399:G399)=0,"",IF(E399&lt;&gt;"",E399,IF(B399="","",IFERROR(IF(INDEX(pr_price,MATCH(B399,pr_code,0))="","",INDEX(pr_price,MATCH(B399,pr_code,0))),""))))</f>
        <v/>
      </c>
      <c r="K399" s="71" t="str">
        <f>IF(COUNTA(A399:G399)=0,"",IF(G399&lt;&gt;"",G399,IF(B399="","",IFERROR(IF(INDEX(pr_rate,MATCH(B399,pr_code,0))="","",INDEX(pr_rate,MATCH(B399,pr_code,0))),""))))</f>
        <v/>
      </c>
      <c r="L399" s="65" t="str">
        <f>IF(COUNTA(A399:G399)=0,"",IF(AND(ISNUMBER(D399),ISNUMBER(J399)),ROUND(D399*J399*(1-N(F399)),2),0))</f>
        <v/>
      </c>
      <c r="M399" s="62" t="str">
        <f>IF(A399="","",IFERROR(INDEX(fa_cname,MATCH(A399,fa_num,0))&amp;"",""))</f>
        <v/>
      </c>
      <c r="N399" s="59" t="str">
        <f>IF(COUNTA(A399:G399)=0,"",IF(A399="","N° facture manquant",IF(ISNA(MATCH(A399,fa_num,0)),"Facture inconnue",IF(AND(B399&lt;&gt;"",ISNA(MATCH(B399,pr_code,0))),"Article inconnu",IF(H399="","Désignation manquante",IF(OR(NOT(ISNUMBER(D399)),N(D399)&lt;=0),"Quantité invalide",IF(J399="","Prix manquant",IF(OR(NOT(ISNUMBER(J399)),N(J399)&lt;0),"Prix invalide",IF(OR(AND(F399&lt;&gt;"",NOT(ISNUMBER(F399))),N(F399)&lt;0,N(F399)&gt;1),"Remise invalide",IF(K399="","Taux de TVA manquant",IF(NOT(ISNUMBER(K399)),"Taux de TVA invalide",IF(COUNTIF(p_rates,K399)=0,"Taux de TVA hors liste (Paramètres)",IF(N(O399)&gt;25,"Au-delà de 25 lignes : non imprimée","OK")))))))))))))</f>
        <v/>
      </c>
      <c r="O399" s="59" t="str">
        <f>IF(A399="","",COUNTIF($A$6:A399,A399))</f>
        <v/>
      </c>
      <c r="P399" s="62" t="str">
        <f>IF(A399="","",A399&amp;"|"&amp;O399)</f>
        <v/>
      </c>
    </row>
    <row r="400">
      <c r="A400" s="60" t="n"/>
      <c r="B400" s="63" t="n"/>
      <c r="C400" s="63" t="n"/>
      <c r="D400" s="67" t="n"/>
      <c r="E400" s="68" t="n"/>
      <c r="F400" s="69" t="n"/>
      <c r="G400" s="70" t="n"/>
      <c r="H400" s="62" t="str">
        <f>IF(COUNTA(A400:G400)=0,"",IF(C400&lt;&gt;"",C400,IF(B400="","",IFERROR(INDEX(pr_des,MATCH(B400,pr_code,0))&amp;"",""))))</f>
        <v/>
      </c>
      <c r="I400" s="59" t="str">
        <f>IF(B400="","",IFERROR(INDEX(pr_unit,MATCH(B400,pr_code,0))&amp;"",""))</f>
        <v/>
      </c>
      <c r="J400" s="65" t="str">
        <f>IF(COUNTA(A400:G400)=0,"",IF(E400&lt;&gt;"",E400,IF(B400="","",IFERROR(IF(INDEX(pr_price,MATCH(B400,pr_code,0))="","",INDEX(pr_price,MATCH(B400,pr_code,0))),""))))</f>
        <v/>
      </c>
      <c r="K400" s="71" t="str">
        <f>IF(COUNTA(A400:G400)=0,"",IF(G400&lt;&gt;"",G400,IF(B400="","",IFERROR(IF(INDEX(pr_rate,MATCH(B400,pr_code,0))="","",INDEX(pr_rate,MATCH(B400,pr_code,0))),""))))</f>
        <v/>
      </c>
      <c r="L400" s="65" t="str">
        <f>IF(COUNTA(A400:G400)=0,"",IF(AND(ISNUMBER(D400),ISNUMBER(J400)),ROUND(D400*J400*(1-N(F400)),2),0))</f>
        <v/>
      </c>
      <c r="M400" s="62" t="str">
        <f>IF(A400="","",IFERROR(INDEX(fa_cname,MATCH(A400,fa_num,0))&amp;"",""))</f>
        <v/>
      </c>
      <c r="N400" s="59" t="str">
        <f>IF(COUNTA(A400:G400)=0,"",IF(A400="","N° facture manquant",IF(ISNA(MATCH(A400,fa_num,0)),"Facture inconnue",IF(AND(B400&lt;&gt;"",ISNA(MATCH(B400,pr_code,0))),"Article inconnu",IF(H400="","Désignation manquante",IF(OR(NOT(ISNUMBER(D400)),N(D400)&lt;=0),"Quantité invalide",IF(J400="","Prix manquant",IF(OR(NOT(ISNUMBER(J400)),N(J400)&lt;0),"Prix invalide",IF(OR(AND(F400&lt;&gt;"",NOT(ISNUMBER(F400))),N(F400)&lt;0,N(F400)&gt;1),"Remise invalide",IF(K400="","Taux de TVA manquant",IF(NOT(ISNUMBER(K400)),"Taux de TVA invalide",IF(COUNTIF(p_rates,K400)=0,"Taux de TVA hors liste (Paramètres)",IF(N(O400)&gt;25,"Au-delà de 25 lignes : non imprimée","OK")))))))))))))</f>
        <v/>
      </c>
      <c r="O400" s="59" t="str">
        <f>IF(A400="","",COUNTIF($A$6:A400,A400))</f>
        <v/>
      </c>
      <c r="P400" s="62" t="str">
        <f>IF(A400="","",A400&amp;"|"&amp;O400)</f>
        <v/>
      </c>
    </row>
    <row r="401">
      <c r="A401" s="60" t="n"/>
      <c r="B401" s="63" t="n"/>
      <c r="C401" s="63" t="n"/>
      <c r="D401" s="67" t="n"/>
      <c r="E401" s="68" t="n"/>
      <c r="F401" s="69" t="n"/>
      <c r="G401" s="70" t="n"/>
      <c r="H401" s="62" t="str">
        <f>IF(COUNTA(A401:G401)=0,"",IF(C401&lt;&gt;"",C401,IF(B401="","",IFERROR(INDEX(pr_des,MATCH(B401,pr_code,0))&amp;"",""))))</f>
        <v/>
      </c>
      <c r="I401" s="59" t="str">
        <f>IF(B401="","",IFERROR(INDEX(pr_unit,MATCH(B401,pr_code,0))&amp;"",""))</f>
        <v/>
      </c>
      <c r="J401" s="65" t="str">
        <f>IF(COUNTA(A401:G401)=0,"",IF(E401&lt;&gt;"",E401,IF(B401="","",IFERROR(IF(INDEX(pr_price,MATCH(B401,pr_code,0))="","",INDEX(pr_price,MATCH(B401,pr_code,0))),""))))</f>
        <v/>
      </c>
      <c r="K401" s="71" t="str">
        <f>IF(COUNTA(A401:G401)=0,"",IF(G401&lt;&gt;"",G401,IF(B401="","",IFERROR(IF(INDEX(pr_rate,MATCH(B401,pr_code,0))="","",INDEX(pr_rate,MATCH(B401,pr_code,0))),""))))</f>
        <v/>
      </c>
      <c r="L401" s="65" t="str">
        <f>IF(COUNTA(A401:G401)=0,"",IF(AND(ISNUMBER(D401),ISNUMBER(J401)),ROUND(D401*J401*(1-N(F401)),2),0))</f>
        <v/>
      </c>
      <c r="M401" s="62" t="str">
        <f>IF(A401="","",IFERROR(INDEX(fa_cname,MATCH(A401,fa_num,0))&amp;"",""))</f>
        <v/>
      </c>
      <c r="N401" s="59" t="str">
        <f>IF(COUNTA(A401:G401)=0,"",IF(A401="","N° facture manquant",IF(ISNA(MATCH(A401,fa_num,0)),"Facture inconnue",IF(AND(B401&lt;&gt;"",ISNA(MATCH(B401,pr_code,0))),"Article inconnu",IF(H401="","Désignation manquante",IF(OR(NOT(ISNUMBER(D401)),N(D401)&lt;=0),"Quantité invalide",IF(J401="","Prix manquant",IF(OR(NOT(ISNUMBER(J401)),N(J401)&lt;0),"Prix invalide",IF(OR(AND(F401&lt;&gt;"",NOT(ISNUMBER(F401))),N(F401)&lt;0,N(F401)&gt;1),"Remise invalide",IF(K401="","Taux de TVA manquant",IF(NOT(ISNUMBER(K401)),"Taux de TVA invalide",IF(COUNTIF(p_rates,K401)=0,"Taux de TVA hors liste (Paramètres)",IF(N(O401)&gt;25,"Au-delà de 25 lignes : non imprimée","OK")))))))))))))</f>
        <v/>
      </c>
      <c r="O401" s="59" t="str">
        <f>IF(A401="","",COUNTIF($A$6:A401,A401))</f>
        <v/>
      </c>
      <c r="P401" s="62" t="str">
        <f>IF(A401="","",A401&amp;"|"&amp;O401)</f>
        <v/>
      </c>
    </row>
    <row r="402">
      <c r="A402" s="60" t="n"/>
      <c r="B402" s="63" t="n"/>
      <c r="C402" s="63" t="n"/>
      <c r="D402" s="67" t="n"/>
      <c r="E402" s="68" t="n"/>
      <c r="F402" s="69" t="n"/>
      <c r="G402" s="70" t="n"/>
      <c r="H402" s="62" t="str">
        <f>IF(COUNTA(A402:G402)=0,"",IF(C402&lt;&gt;"",C402,IF(B402="","",IFERROR(INDEX(pr_des,MATCH(B402,pr_code,0))&amp;"",""))))</f>
        <v/>
      </c>
      <c r="I402" s="59" t="str">
        <f>IF(B402="","",IFERROR(INDEX(pr_unit,MATCH(B402,pr_code,0))&amp;"",""))</f>
        <v/>
      </c>
      <c r="J402" s="65" t="str">
        <f>IF(COUNTA(A402:G402)=0,"",IF(E402&lt;&gt;"",E402,IF(B402="","",IFERROR(IF(INDEX(pr_price,MATCH(B402,pr_code,0))="","",INDEX(pr_price,MATCH(B402,pr_code,0))),""))))</f>
        <v/>
      </c>
      <c r="K402" s="71" t="str">
        <f>IF(COUNTA(A402:G402)=0,"",IF(G402&lt;&gt;"",G402,IF(B402="","",IFERROR(IF(INDEX(pr_rate,MATCH(B402,pr_code,0))="","",INDEX(pr_rate,MATCH(B402,pr_code,0))),""))))</f>
        <v/>
      </c>
      <c r="L402" s="65" t="str">
        <f>IF(COUNTA(A402:G402)=0,"",IF(AND(ISNUMBER(D402),ISNUMBER(J402)),ROUND(D402*J402*(1-N(F402)),2),0))</f>
        <v/>
      </c>
      <c r="M402" s="62" t="str">
        <f>IF(A402="","",IFERROR(INDEX(fa_cname,MATCH(A402,fa_num,0))&amp;"",""))</f>
        <v/>
      </c>
      <c r="N402" s="59" t="str">
        <f>IF(COUNTA(A402:G402)=0,"",IF(A402="","N° facture manquant",IF(ISNA(MATCH(A402,fa_num,0)),"Facture inconnue",IF(AND(B402&lt;&gt;"",ISNA(MATCH(B402,pr_code,0))),"Article inconnu",IF(H402="","Désignation manquante",IF(OR(NOT(ISNUMBER(D402)),N(D402)&lt;=0),"Quantité invalide",IF(J402="","Prix manquant",IF(OR(NOT(ISNUMBER(J402)),N(J402)&lt;0),"Prix invalide",IF(OR(AND(F402&lt;&gt;"",NOT(ISNUMBER(F402))),N(F402)&lt;0,N(F402)&gt;1),"Remise invalide",IF(K402="","Taux de TVA manquant",IF(NOT(ISNUMBER(K402)),"Taux de TVA invalide",IF(COUNTIF(p_rates,K402)=0,"Taux de TVA hors liste (Paramètres)",IF(N(O402)&gt;25,"Au-delà de 25 lignes : non imprimée","OK")))))))))))))</f>
        <v/>
      </c>
      <c r="O402" s="59" t="str">
        <f>IF(A402="","",COUNTIF($A$6:A402,A402))</f>
        <v/>
      </c>
      <c r="P402" s="62" t="str">
        <f>IF(A402="","",A402&amp;"|"&amp;O402)</f>
        <v/>
      </c>
    </row>
    <row r="403">
      <c r="A403" s="60" t="n"/>
      <c r="B403" s="63" t="n"/>
      <c r="C403" s="63" t="n"/>
      <c r="D403" s="67" t="n"/>
      <c r="E403" s="68" t="n"/>
      <c r="F403" s="69" t="n"/>
      <c r="G403" s="70" t="n"/>
      <c r="H403" s="62" t="str">
        <f>IF(COUNTA(A403:G403)=0,"",IF(C403&lt;&gt;"",C403,IF(B403="","",IFERROR(INDEX(pr_des,MATCH(B403,pr_code,0))&amp;"",""))))</f>
        <v/>
      </c>
      <c r="I403" s="59" t="str">
        <f>IF(B403="","",IFERROR(INDEX(pr_unit,MATCH(B403,pr_code,0))&amp;"",""))</f>
        <v/>
      </c>
      <c r="J403" s="65" t="str">
        <f>IF(COUNTA(A403:G403)=0,"",IF(E403&lt;&gt;"",E403,IF(B403="","",IFERROR(IF(INDEX(pr_price,MATCH(B403,pr_code,0))="","",INDEX(pr_price,MATCH(B403,pr_code,0))),""))))</f>
        <v/>
      </c>
      <c r="K403" s="71" t="str">
        <f>IF(COUNTA(A403:G403)=0,"",IF(G403&lt;&gt;"",G403,IF(B403="","",IFERROR(IF(INDEX(pr_rate,MATCH(B403,pr_code,0))="","",INDEX(pr_rate,MATCH(B403,pr_code,0))),""))))</f>
        <v/>
      </c>
      <c r="L403" s="65" t="str">
        <f>IF(COUNTA(A403:G403)=0,"",IF(AND(ISNUMBER(D403),ISNUMBER(J403)),ROUND(D403*J403*(1-N(F403)),2),0))</f>
        <v/>
      </c>
      <c r="M403" s="62" t="str">
        <f>IF(A403="","",IFERROR(INDEX(fa_cname,MATCH(A403,fa_num,0))&amp;"",""))</f>
        <v/>
      </c>
      <c r="N403" s="59" t="str">
        <f>IF(COUNTA(A403:G403)=0,"",IF(A403="","N° facture manquant",IF(ISNA(MATCH(A403,fa_num,0)),"Facture inconnue",IF(AND(B403&lt;&gt;"",ISNA(MATCH(B403,pr_code,0))),"Article inconnu",IF(H403="","Désignation manquante",IF(OR(NOT(ISNUMBER(D403)),N(D403)&lt;=0),"Quantité invalide",IF(J403="","Prix manquant",IF(OR(NOT(ISNUMBER(J403)),N(J403)&lt;0),"Prix invalide",IF(OR(AND(F403&lt;&gt;"",NOT(ISNUMBER(F403))),N(F403)&lt;0,N(F403)&gt;1),"Remise invalide",IF(K403="","Taux de TVA manquant",IF(NOT(ISNUMBER(K403)),"Taux de TVA invalide",IF(COUNTIF(p_rates,K403)=0,"Taux de TVA hors liste (Paramètres)",IF(N(O403)&gt;25,"Au-delà de 25 lignes : non imprimée","OK")))))))))))))</f>
        <v/>
      </c>
      <c r="O403" s="59" t="str">
        <f>IF(A403="","",COUNTIF($A$6:A403,A403))</f>
        <v/>
      </c>
      <c r="P403" s="62" t="str">
        <f>IF(A403="","",A403&amp;"|"&amp;O403)</f>
        <v/>
      </c>
    </row>
    <row r="404">
      <c r="A404" s="60" t="n"/>
      <c r="B404" s="63" t="n"/>
      <c r="C404" s="63" t="n"/>
      <c r="D404" s="67" t="n"/>
      <c r="E404" s="68" t="n"/>
      <c r="F404" s="69" t="n"/>
      <c r="G404" s="70" t="n"/>
      <c r="H404" s="62" t="str">
        <f>IF(COUNTA(A404:G404)=0,"",IF(C404&lt;&gt;"",C404,IF(B404="","",IFERROR(INDEX(pr_des,MATCH(B404,pr_code,0))&amp;"",""))))</f>
        <v/>
      </c>
      <c r="I404" s="59" t="str">
        <f>IF(B404="","",IFERROR(INDEX(pr_unit,MATCH(B404,pr_code,0))&amp;"",""))</f>
        <v/>
      </c>
      <c r="J404" s="65" t="str">
        <f>IF(COUNTA(A404:G404)=0,"",IF(E404&lt;&gt;"",E404,IF(B404="","",IFERROR(IF(INDEX(pr_price,MATCH(B404,pr_code,0))="","",INDEX(pr_price,MATCH(B404,pr_code,0))),""))))</f>
        <v/>
      </c>
      <c r="K404" s="71" t="str">
        <f>IF(COUNTA(A404:G404)=0,"",IF(G404&lt;&gt;"",G404,IF(B404="","",IFERROR(IF(INDEX(pr_rate,MATCH(B404,pr_code,0))="","",INDEX(pr_rate,MATCH(B404,pr_code,0))),""))))</f>
        <v/>
      </c>
      <c r="L404" s="65" t="str">
        <f>IF(COUNTA(A404:G404)=0,"",IF(AND(ISNUMBER(D404),ISNUMBER(J404)),ROUND(D404*J404*(1-N(F404)),2),0))</f>
        <v/>
      </c>
      <c r="M404" s="62" t="str">
        <f>IF(A404="","",IFERROR(INDEX(fa_cname,MATCH(A404,fa_num,0))&amp;"",""))</f>
        <v/>
      </c>
      <c r="N404" s="59" t="str">
        <f>IF(COUNTA(A404:G404)=0,"",IF(A404="","N° facture manquant",IF(ISNA(MATCH(A404,fa_num,0)),"Facture inconnue",IF(AND(B404&lt;&gt;"",ISNA(MATCH(B404,pr_code,0))),"Article inconnu",IF(H404="","Désignation manquante",IF(OR(NOT(ISNUMBER(D404)),N(D404)&lt;=0),"Quantité invalide",IF(J404="","Prix manquant",IF(OR(NOT(ISNUMBER(J404)),N(J404)&lt;0),"Prix invalide",IF(OR(AND(F404&lt;&gt;"",NOT(ISNUMBER(F404))),N(F404)&lt;0,N(F404)&gt;1),"Remise invalide",IF(K404="","Taux de TVA manquant",IF(NOT(ISNUMBER(K404)),"Taux de TVA invalide",IF(COUNTIF(p_rates,K404)=0,"Taux de TVA hors liste (Paramètres)",IF(N(O404)&gt;25,"Au-delà de 25 lignes : non imprimée","OK")))))))))))))</f>
        <v/>
      </c>
      <c r="O404" s="59" t="str">
        <f>IF(A404="","",COUNTIF($A$6:A404,A404))</f>
        <v/>
      </c>
      <c r="P404" s="62" t="str">
        <f>IF(A404="","",A404&amp;"|"&amp;O404)</f>
        <v/>
      </c>
    </row>
    <row r="405">
      <c r="A405" s="60" t="n"/>
      <c r="B405" s="63" t="n"/>
      <c r="C405" s="63" t="n"/>
      <c r="D405" s="67" t="n"/>
      <c r="E405" s="68" t="n"/>
      <c r="F405" s="69" t="n"/>
      <c r="G405" s="70" t="n"/>
      <c r="H405" s="62" t="str">
        <f>IF(COUNTA(A405:G405)=0,"",IF(C405&lt;&gt;"",C405,IF(B405="","",IFERROR(INDEX(pr_des,MATCH(B405,pr_code,0))&amp;"",""))))</f>
        <v/>
      </c>
      <c r="I405" s="59" t="str">
        <f>IF(B405="","",IFERROR(INDEX(pr_unit,MATCH(B405,pr_code,0))&amp;"",""))</f>
        <v/>
      </c>
      <c r="J405" s="65" t="str">
        <f>IF(COUNTA(A405:G405)=0,"",IF(E405&lt;&gt;"",E405,IF(B405="","",IFERROR(IF(INDEX(pr_price,MATCH(B405,pr_code,0))="","",INDEX(pr_price,MATCH(B405,pr_code,0))),""))))</f>
        <v/>
      </c>
      <c r="K405" s="71" t="str">
        <f>IF(COUNTA(A405:G405)=0,"",IF(G405&lt;&gt;"",G405,IF(B405="","",IFERROR(IF(INDEX(pr_rate,MATCH(B405,pr_code,0))="","",INDEX(pr_rate,MATCH(B405,pr_code,0))),""))))</f>
        <v/>
      </c>
      <c r="L405" s="65" t="str">
        <f>IF(COUNTA(A405:G405)=0,"",IF(AND(ISNUMBER(D405),ISNUMBER(J405)),ROUND(D405*J405*(1-N(F405)),2),0))</f>
        <v/>
      </c>
      <c r="M405" s="62" t="str">
        <f>IF(A405="","",IFERROR(INDEX(fa_cname,MATCH(A405,fa_num,0))&amp;"",""))</f>
        <v/>
      </c>
      <c r="N405" s="59" t="str">
        <f>IF(COUNTA(A405:G405)=0,"",IF(A405="","N° facture manquant",IF(ISNA(MATCH(A405,fa_num,0)),"Facture inconnue",IF(AND(B405&lt;&gt;"",ISNA(MATCH(B405,pr_code,0))),"Article inconnu",IF(H405="","Désignation manquante",IF(OR(NOT(ISNUMBER(D405)),N(D405)&lt;=0),"Quantité invalide",IF(J405="","Prix manquant",IF(OR(NOT(ISNUMBER(J405)),N(J405)&lt;0),"Prix invalide",IF(OR(AND(F405&lt;&gt;"",NOT(ISNUMBER(F405))),N(F405)&lt;0,N(F405)&gt;1),"Remise invalide",IF(K405="","Taux de TVA manquant",IF(NOT(ISNUMBER(K405)),"Taux de TVA invalide",IF(COUNTIF(p_rates,K405)=0,"Taux de TVA hors liste (Paramètres)",IF(N(O405)&gt;25,"Au-delà de 25 lignes : non imprimée","OK")))))))))))))</f>
        <v/>
      </c>
      <c r="O405" s="59" t="str">
        <f>IF(A405="","",COUNTIF($A$6:A405,A405))</f>
        <v/>
      </c>
      <c r="P405" s="62" t="str">
        <f>IF(A405="","",A405&amp;"|"&amp;O405)</f>
        <v/>
      </c>
    </row>
    <row r="406">
      <c r="A406" s="60" t="n"/>
      <c r="B406" s="63" t="n"/>
      <c r="C406" s="63" t="n"/>
      <c r="D406" s="67" t="n"/>
      <c r="E406" s="68" t="n"/>
      <c r="F406" s="69" t="n"/>
      <c r="G406" s="70" t="n"/>
      <c r="H406" s="62" t="str">
        <f>IF(COUNTA(A406:G406)=0,"",IF(C406&lt;&gt;"",C406,IF(B406="","",IFERROR(INDEX(pr_des,MATCH(B406,pr_code,0))&amp;"",""))))</f>
        <v/>
      </c>
      <c r="I406" s="59" t="str">
        <f>IF(B406="","",IFERROR(INDEX(pr_unit,MATCH(B406,pr_code,0))&amp;"",""))</f>
        <v/>
      </c>
      <c r="J406" s="65" t="str">
        <f>IF(COUNTA(A406:G406)=0,"",IF(E406&lt;&gt;"",E406,IF(B406="","",IFERROR(IF(INDEX(pr_price,MATCH(B406,pr_code,0))="","",INDEX(pr_price,MATCH(B406,pr_code,0))),""))))</f>
        <v/>
      </c>
      <c r="K406" s="71" t="str">
        <f>IF(COUNTA(A406:G406)=0,"",IF(G406&lt;&gt;"",G406,IF(B406="","",IFERROR(IF(INDEX(pr_rate,MATCH(B406,pr_code,0))="","",INDEX(pr_rate,MATCH(B406,pr_code,0))),""))))</f>
        <v/>
      </c>
      <c r="L406" s="65" t="str">
        <f>IF(COUNTA(A406:G406)=0,"",IF(AND(ISNUMBER(D406),ISNUMBER(J406)),ROUND(D406*J406*(1-N(F406)),2),0))</f>
        <v/>
      </c>
      <c r="M406" s="62" t="str">
        <f>IF(A406="","",IFERROR(INDEX(fa_cname,MATCH(A406,fa_num,0))&amp;"",""))</f>
        <v/>
      </c>
      <c r="N406" s="59" t="str">
        <f>IF(COUNTA(A406:G406)=0,"",IF(A406="","N° facture manquant",IF(ISNA(MATCH(A406,fa_num,0)),"Facture inconnue",IF(AND(B406&lt;&gt;"",ISNA(MATCH(B406,pr_code,0))),"Article inconnu",IF(H406="","Désignation manquante",IF(OR(NOT(ISNUMBER(D406)),N(D406)&lt;=0),"Quantité invalide",IF(J406="","Prix manquant",IF(OR(NOT(ISNUMBER(J406)),N(J406)&lt;0),"Prix invalide",IF(OR(AND(F406&lt;&gt;"",NOT(ISNUMBER(F406))),N(F406)&lt;0,N(F406)&gt;1),"Remise invalide",IF(K406="","Taux de TVA manquant",IF(NOT(ISNUMBER(K406)),"Taux de TVA invalide",IF(COUNTIF(p_rates,K406)=0,"Taux de TVA hors liste (Paramètres)",IF(N(O406)&gt;25,"Au-delà de 25 lignes : non imprimée","OK")))))))))))))</f>
        <v/>
      </c>
      <c r="O406" s="59" t="str">
        <f>IF(A406="","",COUNTIF($A$6:A406,A406))</f>
        <v/>
      </c>
      <c r="P406" s="62" t="str">
        <f>IF(A406="","",A406&amp;"|"&amp;O406)</f>
        <v/>
      </c>
    </row>
    <row r="407">
      <c r="A407" s="60" t="n"/>
      <c r="B407" s="63" t="n"/>
      <c r="C407" s="63" t="n"/>
      <c r="D407" s="67" t="n"/>
      <c r="E407" s="68" t="n"/>
      <c r="F407" s="69" t="n"/>
      <c r="G407" s="70" t="n"/>
      <c r="H407" s="62" t="str">
        <f>IF(COUNTA(A407:G407)=0,"",IF(C407&lt;&gt;"",C407,IF(B407="","",IFERROR(INDEX(pr_des,MATCH(B407,pr_code,0))&amp;"",""))))</f>
        <v/>
      </c>
      <c r="I407" s="59" t="str">
        <f>IF(B407="","",IFERROR(INDEX(pr_unit,MATCH(B407,pr_code,0))&amp;"",""))</f>
        <v/>
      </c>
      <c r="J407" s="65" t="str">
        <f>IF(COUNTA(A407:G407)=0,"",IF(E407&lt;&gt;"",E407,IF(B407="","",IFERROR(IF(INDEX(pr_price,MATCH(B407,pr_code,0))="","",INDEX(pr_price,MATCH(B407,pr_code,0))),""))))</f>
        <v/>
      </c>
      <c r="K407" s="71" t="str">
        <f>IF(COUNTA(A407:G407)=0,"",IF(G407&lt;&gt;"",G407,IF(B407="","",IFERROR(IF(INDEX(pr_rate,MATCH(B407,pr_code,0))="","",INDEX(pr_rate,MATCH(B407,pr_code,0))),""))))</f>
        <v/>
      </c>
      <c r="L407" s="65" t="str">
        <f>IF(COUNTA(A407:G407)=0,"",IF(AND(ISNUMBER(D407),ISNUMBER(J407)),ROUND(D407*J407*(1-N(F407)),2),0))</f>
        <v/>
      </c>
      <c r="M407" s="62" t="str">
        <f>IF(A407="","",IFERROR(INDEX(fa_cname,MATCH(A407,fa_num,0))&amp;"",""))</f>
        <v/>
      </c>
      <c r="N407" s="59" t="str">
        <f>IF(COUNTA(A407:G407)=0,"",IF(A407="","N° facture manquant",IF(ISNA(MATCH(A407,fa_num,0)),"Facture inconnue",IF(AND(B407&lt;&gt;"",ISNA(MATCH(B407,pr_code,0))),"Article inconnu",IF(H407="","Désignation manquante",IF(OR(NOT(ISNUMBER(D407)),N(D407)&lt;=0),"Quantité invalide",IF(J407="","Prix manquant",IF(OR(NOT(ISNUMBER(J407)),N(J407)&lt;0),"Prix invalide",IF(OR(AND(F407&lt;&gt;"",NOT(ISNUMBER(F407))),N(F407)&lt;0,N(F407)&gt;1),"Remise invalide",IF(K407="","Taux de TVA manquant",IF(NOT(ISNUMBER(K407)),"Taux de TVA invalide",IF(COUNTIF(p_rates,K407)=0,"Taux de TVA hors liste (Paramètres)",IF(N(O407)&gt;25,"Au-delà de 25 lignes : non imprimée","OK")))))))))))))</f>
        <v/>
      </c>
      <c r="O407" s="59" t="str">
        <f>IF(A407="","",COUNTIF($A$6:A407,A407))</f>
        <v/>
      </c>
      <c r="P407" s="62" t="str">
        <f>IF(A407="","",A407&amp;"|"&amp;O407)</f>
        <v/>
      </c>
    </row>
    <row r="408">
      <c r="A408" s="60" t="n"/>
      <c r="B408" s="63" t="n"/>
      <c r="C408" s="63" t="n"/>
      <c r="D408" s="67" t="n"/>
      <c r="E408" s="68" t="n"/>
      <c r="F408" s="69" t="n"/>
      <c r="G408" s="70" t="n"/>
      <c r="H408" s="62" t="str">
        <f>IF(COUNTA(A408:G408)=0,"",IF(C408&lt;&gt;"",C408,IF(B408="","",IFERROR(INDEX(pr_des,MATCH(B408,pr_code,0))&amp;"",""))))</f>
        <v/>
      </c>
      <c r="I408" s="59" t="str">
        <f>IF(B408="","",IFERROR(INDEX(pr_unit,MATCH(B408,pr_code,0))&amp;"",""))</f>
        <v/>
      </c>
      <c r="J408" s="65" t="str">
        <f>IF(COUNTA(A408:G408)=0,"",IF(E408&lt;&gt;"",E408,IF(B408="","",IFERROR(IF(INDEX(pr_price,MATCH(B408,pr_code,0))="","",INDEX(pr_price,MATCH(B408,pr_code,0))),""))))</f>
        <v/>
      </c>
      <c r="K408" s="71" t="str">
        <f>IF(COUNTA(A408:G408)=0,"",IF(G408&lt;&gt;"",G408,IF(B408="","",IFERROR(IF(INDEX(pr_rate,MATCH(B408,pr_code,0))="","",INDEX(pr_rate,MATCH(B408,pr_code,0))),""))))</f>
        <v/>
      </c>
      <c r="L408" s="65" t="str">
        <f>IF(COUNTA(A408:G408)=0,"",IF(AND(ISNUMBER(D408),ISNUMBER(J408)),ROUND(D408*J408*(1-N(F408)),2),0))</f>
        <v/>
      </c>
      <c r="M408" s="62" t="str">
        <f>IF(A408="","",IFERROR(INDEX(fa_cname,MATCH(A408,fa_num,0))&amp;"",""))</f>
        <v/>
      </c>
      <c r="N408" s="59" t="str">
        <f>IF(COUNTA(A408:G408)=0,"",IF(A408="","N° facture manquant",IF(ISNA(MATCH(A408,fa_num,0)),"Facture inconnue",IF(AND(B408&lt;&gt;"",ISNA(MATCH(B408,pr_code,0))),"Article inconnu",IF(H408="","Désignation manquante",IF(OR(NOT(ISNUMBER(D408)),N(D408)&lt;=0),"Quantité invalide",IF(J408="","Prix manquant",IF(OR(NOT(ISNUMBER(J408)),N(J408)&lt;0),"Prix invalide",IF(OR(AND(F408&lt;&gt;"",NOT(ISNUMBER(F408))),N(F408)&lt;0,N(F408)&gt;1),"Remise invalide",IF(K408="","Taux de TVA manquant",IF(NOT(ISNUMBER(K408)),"Taux de TVA invalide",IF(COUNTIF(p_rates,K408)=0,"Taux de TVA hors liste (Paramètres)",IF(N(O408)&gt;25,"Au-delà de 25 lignes : non imprimée","OK")))))))))))))</f>
        <v/>
      </c>
      <c r="O408" s="59" t="str">
        <f>IF(A408="","",COUNTIF($A$6:A408,A408))</f>
        <v/>
      </c>
      <c r="P408" s="62" t="str">
        <f>IF(A408="","",A408&amp;"|"&amp;O408)</f>
        <v/>
      </c>
    </row>
    <row r="409">
      <c r="A409" s="60" t="n"/>
      <c r="B409" s="63" t="n"/>
      <c r="C409" s="63" t="n"/>
      <c r="D409" s="67" t="n"/>
      <c r="E409" s="68" t="n"/>
      <c r="F409" s="69" t="n"/>
      <c r="G409" s="70" t="n"/>
      <c r="H409" s="62" t="str">
        <f>IF(COUNTA(A409:G409)=0,"",IF(C409&lt;&gt;"",C409,IF(B409="","",IFERROR(INDEX(pr_des,MATCH(B409,pr_code,0))&amp;"",""))))</f>
        <v/>
      </c>
      <c r="I409" s="59" t="str">
        <f>IF(B409="","",IFERROR(INDEX(pr_unit,MATCH(B409,pr_code,0))&amp;"",""))</f>
        <v/>
      </c>
      <c r="J409" s="65" t="str">
        <f>IF(COUNTA(A409:G409)=0,"",IF(E409&lt;&gt;"",E409,IF(B409="","",IFERROR(IF(INDEX(pr_price,MATCH(B409,pr_code,0))="","",INDEX(pr_price,MATCH(B409,pr_code,0))),""))))</f>
        <v/>
      </c>
      <c r="K409" s="71" t="str">
        <f>IF(COUNTA(A409:G409)=0,"",IF(G409&lt;&gt;"",G409,IF(B409="","",IFERROR(IF(INDEX(pr_rate,MATCH(B409,pr_code,0))="","",INDEX(pr_rate,MATCH(B409,pr_code,0))),""))))</f>
        <v/>
      </c>
      <c r="L409" s="65" t="str">
        <f>IF(COUNTA(A409:G409)=0,"",IF(AND(ISNUMBER(D409),ISNUMBER(J409)),ROUND(D409*J409*(1-N(F409)),2),0))</f>
        <v/>
      </c>
      <c r="M409" s="62" t="str">
        <f>IF(A409="","",IFERROR(INDEX(fa_cname,MATCH(A409,fa_num,0))&amp;"",""))</f>
        <v/>
      </c>
      <c r="N409" s="59" t="str">
        <f>IF(COUNTA(A409:G409)=0,"",IF(A409="","N° facture manquant",IF(ISNA(MATCH(A409,fa_num,0)),"Facture inconnue",IF(AND(B409&lt;&gt;"",ISNA(MATCH(B409,pr_code,0))),"Article inconnu",IF(H409="","Désignation manquante",IF(OR(NOT(ISNUMBER(D409)),N(D409)&lt;=0),"Quantité invalide",IF(J409="","Prix manquant",IF(OR(NOT(ISNUMBER(J409)),N(J409)&lt;0),"Prix invalide",IF(OR(AND(F409&lt;&gt;"",NOT(ISNUMBER(F409))),N(F409)&lt;0,N(F409)&gt;1),"Remise invalide",IF(K409="","Taux de TVA manquant",IF(NOT(ISNUMBER(K409)),"Taux de TVA invalide",IF(COUNTIF(p_rates,K409)=0,"Taux de TVA hors liste (Paramètres)",IF(N(O409)&gt;25,"Au-delà de 25 lignes : non imprimée","OK")))))))))))))</f>
        <v/>
      </c>
      <c r="O409" s="59" t="str">
        <f>IF(A409="","",COUNTIF($A$6:A409,A409))</f>
        <v/>
      </c>
      <c r="P409" s="62" t="str">
        <f>IF(A409="","",A409&amp;"|"&amp;O409)</f>
        <v/>
      </c>
    </row>
    <row r="410">
      <c r="A410" s="60" t="n"/>
      <c r="B410" s="63" t="n"/>
      <c r="C410" s="63" t="n"/>
      <c r="D410" s="67" t="n"/>
      <c r="E410" s="68" t="n"/>
      <c r="F410" s="69" t="n"/>
      <c r="G410" s="70" t="n"/>
      <c r="H410" s="62" t="str">
        <f>IF(COUNTA(A410:G410)=0,"",IF(C410&lt;&gt;"",C410,IF(B410="","",IFERROR(INDEX(pr_des,MATCH(B410,pr_code,0))&amp;"",""))))</f>
        <v/>
      </c>
      <c r="I410" s="59" t="str">
        <f>IF(B410="","",IFERROR(INDEX(pr_unit,MATCH(B410,pr_code,0))&amp;"",""))</f>
        <v/>
      </c>
      <c r="J410" s="65" t="str">
        <f>IF(COUNTA(A410:G410)=0,"",IF(E410&lt;&gt;"",E410,IF(B410="","",IFERROR(IF(INDEX(pr_price,MATCH(B410,pr_code,0))="","",INDEX(pr_price,MATCH(B410,pr_code,0))),""))))</f>
        <v/>
      </c>
      <c r="K410" s="71" t="str">
        <f>IF(COUNTA(A410:G410)=0,"",IF(G410&lt;&gt;"",G410,IF(B410="","",IFERROR(IF(INDEX(pr_rate,MATCH(B410,pr_code,0))="","",INDEX(pr_rate,MATCH(B410,pr_code,0))),""))))</f>
        <v/>
      </c>
      <c r="L410" s="65" t="str">
        <f>IF(COUNTA(A410:G410)=0,"",IF(AND(ISNUMBER(D410),ISNUMBER(J410)),ROUND(D410*J410*(1-N(F410)),2),0))</f>
        <v/>
      </c>
      <c r="M410" s="62" t="str">
        <f>IF(A410="","",IFERROR(INDEX(fa_cname,MATCH(A410,fa_num,0))&amp;"",""))</f>
        <v/>
      </c>
      <c r="N410" s="59" t="str">
        <f>IF(COUNTA(A410:G410)=0,"",IF(A410="","N° facture manquant",IF(ISNA(MATCH(A410,fa_num,0)),"Facture inconnue",IF(AND(B410&lt;&gt;"",ISNA(MATCH(B410,pr_code,0))),"Article inconnu",IF(H410="","Désignation manquante",IF(OR(NOT(ISNUMBER(D410)),N(D410)&lt;=0),"Quantité invalide",IF(J410="","Prix manquant",IF(OR(NOT(ISNUMBER(J410)),N(J410)&lt;0),"Prix invalide",IF(OR(AND(F410&lt;&gt;"",NOT(ISNUMBER(F410))),N(F410)&lt;0,N(F410)&gt;1),"Remise invalide",IF(K410="","Taux de TVA manquant",IF(NOT(ISNUMBER(K410)),"Taux de TVA invalide",IF(COUNTIF(p_rates,K410)=0,"Taux de TVA hors liste (Paramètres)",IF(N(O410)&gt;25,"Au-delà de 25 lignes : non imprimée","OK")))))))))))))</f>
        <v/>
      </c>
      <c r="O410" s="59" t="str">
        <f>IF(A410="","",COUNTIF($A$6:A410,A410))</f>
        <v/>
      </c>
      <c r="P410" s="62" t="str">
        <f>IF(A410="","",A410&amp;"|"&amp;O410)</f>
        <v/>
      </c>
    </row>
    <row r="411">
      <c r="A411" s="60" t="n"/>
      <c r="B411" s="63" t="n"/>
      <c r="C411" s="63" t="n"/>
      <c r="D411" s="67" t="n"/>
      <c r="E411" s="68" t="n"/>
      <c r="F411" s="69" t="n"/>
      <c r="G411" s="70" t="n"/>
      <c r="H411" s="62" t="str">
        <f>IF(COUNTA(A411:G411)=0,"",IF(C411&lt;&gt;"",C411,IF(B411="","",IFERROR(INDEX(pr_des,MATCH(B411,pr_code,0))&amp;"",""))))</f>
        <v/>
      </c>
      <c r="I411" s="59" t="str">
        <f>IF(B411="","",IFERROR(INDEX(pr_unit,MATCH(B411,pr_code,0))&amp;"",""))</f>
        <v/>
      </c>
      <c r="J411" s="65" t="str">
        <f>IF(COUNTA(A411:G411)=0,"",IF(E411&lt;&gt;"",E411,IF(B411="","",IFERROR(IF(INDEX(pr_price,MATCH(B411,pr_code,0))="","",INDEX(pr_price,MATCH(B411,pr_code,0))),""))))</f>
        <v/>
      </c>
      <c r="K411" s="71" t="str">
        <f>IF(COUNTA(A411:G411)=0,"",IF(G411&lt;&gt;"",G411,IF(B411="","",IFERROR(IF(INDEX(pr_rate,MATCH(B411,pr_code,0))="","",INDEX(pr_rate,MATCH(B411,pr_code,0))),""))))</f>
        <v/>
      </c>
      <c r="L411" s="65" t="str">
        <f>IF(COUNTA(A411:G411)=0,"",IF(AND(ISNUMBER(D411),ISNUMBER(J411)),ROUND(D411*J411*(1-N(F411)),2),0))</f>
        <v/>
      </c>
      <c r="M411" s="62" t="str">
        <f>IF(A411="","",IFERROR(INDEX(fa_cname,MATCH(A411,fa_num,0))&amp;"",""))</f>
        <v/>
      </c>
      <c r="N411" s="59" t="str">
        <f>IF(COUNTA(A411:G411)=0,"",IF(A411="","N° facture manquant",IF(ISNA(MATCH(A411,fa_num,0)),"Facture inconnue",IF(AND(B411&lt;&gt;"",ISNA(MATCH(B411,pr_code,0))),"Article inconnu",IF(H411="","Désignation manquante",IF(OR(NOT(ISNUMBER(D411)),N(D411)&lt;=0),"Quantité invalide",IF(J411="","Prix manquant",IF(OR(NOT(ISNUMBER(J411)),N(J411)&lt;0),"Prix invalide",IF(OR(AND(F411&lt;&gt;"",NOT(ISNUMBER(F411))),N(F411)&lt;0,N(F411)&gt;1),"Remise invalide",IF(K411="","Taux de TVA manquant",IF(NOT(ISNUMBER(K411)),"Taux de TVA invalide",IF(COUNTIF(p_rates,K411)=0,"Taux de TVA hors liste (Paramètres)",IF(N(O411)&gt;25,"Au-delà de 25 lignes : non imprimée","OK")))))))))))))</f>
        <v/>
      </c>
      <c r="O411" s="59" t="str">
        <f>IF(A411="","",COUNTIF($A$6:A411,A411))</f>
        <v/>
      </c>
      <c r="P411" s="62" t="str">
        <f>IF(A411="","",A411&amp;"|"&amp;O411)</f>
        <v/>
      </c>
    </row>
    <row r="412">
      <c r="A412" s="60" t="n"/>
      <c r="B412" s="63" t="n"/>
      <c r="C412" s="63" t="n"/>
      <c r="D412" s="67" t="n"/>
      <c r="E412" s="68" t="n"/>
      <c r="F412" s="69" t="n"/>
      <c r="G412" s="70" t="n"/>
      <c r="H412" s="62" t="str">
        <f>IF(COUNTA(A412:G412)=0,"",IF(C412&lt;&gt;"",C412,IF(B412="","",IFERROR(INDEX(pr_des,MATCH(B412,pr_code,0))&amp;"",""))))</f>
        <v/>
      </c>
      <c r="I412" s="59" t="str">
        <f>IF(B412="","",IFERROR(INDEX(pr_unit,MATCH(B412,pr_code,0))&amp;"",""))</f>
        <v/>
      </c>
      <c r="J412" s="65" t="str">
        <f>IF(COUNTA(A412:G412)=0,"",IF(E412&lt;&gt;"",E412,IF(B412="","",IFERROR(IF(INDEX(pr_price,MATCH(B412,pr_code,0))="","",INDEX(pr_price,MATCH(B412,pr_code,0))),""))))</f>
        <v/>
      </c>
      <c r="K412" s="71" t="str">
        <f>IF(COUNTA(A412:G412)=0,"",IF(G412&lt;&gt;"",G412,IF(B412="","",IFERROR(IF(INDEX(pr_rate,MATCH(B412,pr_code,0))="","",INDEX(pr_rate,MATCH(B412,pr_code,0))),""))))</f>
        <v/>
      </c>
      <c r="L412" s="65" t="str">
        <f>IF(COUNTA(A412:G412)=0,"",IF(AND(ISNUMBER(D412),ISNUMBER(J412)),ROUND(D412*J412*(1-N(F412)),2),0))</f>
        <v/>
      </c>
      <c r="M412" s="62" t="str">
        <f>IF(A412="","",IFERROR(INDEX(fa_cname,MATCH(A412,fa_num,0))&amp;"",""))</f>
        <v/>
      </c>
      <c r="N412" s="59" t="str">
        <f>IF(COUNTA(A412:G412)=0,"",IF(A412="","N° facture manquant",IF(ISNA(MATCH(A412,fa_num,0)),"Facture inconnue",IF(AND(B412&lt;&gt;"",ISNA(MATCH(B412,pr_code,0))),"Article inconnu",IF(H412="","Désignation manquante",IF(OR(NOT(ISNUMBER(D412)),N(D412)&lt;=0),"Quantité invalide",IF(J412="","Prix manquant",IF(OR(NOT(ISNUMBER(J412)),N(J412)&lt;0),"Prix invalide",IF(OR(AND(F412&lt;&gt;"",NOT(ISNUMBER(F412))),N(F412)&lt;0,N(F412)&gt;1),"Remise invalide",IF(K412="","Taux de TVA manquant",IF(NOT(ISNUMBER(K412)),"Taux de TVA invalide",IF(COUNTIF(p_rates,K412)=0,"Taux de TVA hors liste (Paramètres)",IF(N(O412)&gt;25,"Au-delà de 25 lignes : non imprimée","OK")))))))))))))</f>
        <v/>
      </c>
      <c r="O412" s="59" t="str">
        <f>IF(A412="","",COUNTIF($A$6:A412,A412))</f>
        <v/>
      </c>
      <c r="P412" s="62" t="str">
        <f>IF(A412="","",A412&amp;"|"&amp;O412)</f>
        <v/>
      </c>
    </row>
    <row r="413">
      <c r="A413" s="60" t="n"/>
      <c r="B413" s="63" t="n"/>
      <c r="C413" s="63" t="n"/>
      <c r="D413" s="67" t="n"/>
      <c r="E413" s="68" t="n"/>
      <c r="F413" s="69" t="n"/>
      <c r="G413" s="70" t="n"/>
      <c r="H413" s="62" t="str">
        <f>IF(COUNTA(A413:G413)=0,"",IF(C413&lt;&gt;"",C413,IF(B413="","",IFERROR(INDEX(pr_des,MATCH(B413,pr_code,0))&amp;"",""))))</f>
        <v/>
      </c>
      <c r="I413" s="59" t="str">
        <f>IF(B413="","",IFERROR(INDEX(pr_unit,MATCH(B413,pr_code,0))&amp;"",""))</f>
        <v/>
      </c>
      <c r="J413" s="65" t="str">
        <f>IF(COUNTA(A413:G413)=0,"",IF(E413&lt;&gt;"",E413,IF(B413="","",IFERROR(IF(INDEX(pr_price,MATCH(B413,pr_code,0))="","",INDEX(pr_price,MATCH(B413,pr_code,0))),""))))</f>
        <v/>
      </c>
      <c r="K413" s="71" t="str">
        <f>IF(COUNTA(A413:G413)=0,"",IF(G413&lt;&gt;"",G413,IF(B413="","",IFERROR(IF(INDEX(pr_rate,MATCH(B413,pr_code,0))="","",INDEX(pr_rate,MATCH(B413,pr_code,0))),""))))</f>
        <v/>
      </c>
      <c r="L413" s="65" t="str">
        <f>IF(COUNTA(A413:G413)=0,"",IF(AND(ISNUMBER(D413),ISNUMBER(J413)),ROUND(D413*J413*(1-N(F413)),2),0))</f>
        <v/>
      </c>
      <c r="M413" s="62" t="str">
        <f>IF(A413="","",IFERROR(INDEX(fa_cname,MATCH(A413,fa_num,0))&amp;"",""))</f>
        <v/>
      </c>
      <c r="N413" s="59" t="str">
        <f>IF(COUNTA(A413:G413)=0,"",IF(A413="","N° facture manquant",IF(ISNA(MATCH(A413,fa_num,0)),"Facture inconnue",IF(AND(B413&lt;&gt;"",ISNA(MATCH(B413,pr_code,0))),"Article inconnu",IF(H413="","Désignation manquante",IF(OR(NOT(ISNUMBER(D413)),N(D413)&lt;=0),"Quantité invalide",IF(J413="","Prix manquant",IF(OR(NOT(ISNUMBER(J413)),N(J413)&lt;0),"Prix invalide",IF(OR(AND(F413&lt;&gt;"",NOT(ISNUMBER(F413))),N(F413)&lt;0,N(F413)&gt;1),"Remise invalide",IF(K413="","Taux de TVA manquant",IF(NOT(ISNUMBER(K413)),"Taux de TVA invalide",IF(COUNTIF(p_rates,K413)=0,"Taux de TVA hors liste (Paramètres)",IF(N(O413)&gt;25,"Au-delà de 25 lignes : non imprimée","OK")))))))))))))</f>
        <v/>
      </c>
      <c r="O413" s="59" t="str">
        <f>IF(A413="","",COUNTIF($A$6:A413,A413))</f>
        <v/>
      </c>
      <c r="P413" s="62" t="str">
        <f>IF(A413="","",A413&amp;"|"&amp;O413)</f>
        <v/>
      </c>
    </row>
    <row r="414">
      <c r="A414" s="60" t="n"/>
      <c r="B414" s="63" t="n"/>
      <c r="C414" s="63" t="n"/>
      <c r="D414" s="67" t="n"/>
      <c r="E414" s="68" t="n"/>
      <c r="F414" s="69" t="n"/>
      <c r="G414" s="70" t="n"/>
      <c r="H414" s="62" t="str">
        <f>IF(COUNTA(A414:G414)=0,"",IF(C414&lt;&gt;"",C414,IF(B414="","",IFERROR(INDEX(pr_des,MATCH(B414,pr_code,0))&amp;"",""))))</f>
        <v/>
      </c>
      <c r="I414" s="59" t="str">
        <f>IF(B414="","",IFERROR(INDEX(pr_unit,MATCH(B414,pr_code,0))&amp;"",""))</f>
        <v/>
      </c>
      <c r="J414" s="65" t="str">
        <f>IF(COUNTA(A414:G414)=0,"",IF(E414&lt;&gt;"",E414,IF(B414="","",IFERROR(IF(INDEX(pr_price,MATCH(B414,pr_code,0))="","",INDEX(pr_price,MATCH(B414,pr_code,0))),""))))</f>
        <v/>
      </c>
      <c r="K414" s="71" t="str">
        <f>IF(COUNTA(A414:G414)=0,"",IF(G414&lt;&gt;"",G414,IF(B414="","",IFERROR(IF(INDEX(pr_rate,MATCH(B414,pr_code,0))="","",INDEX(pr_rate,MATCH(B414,pr_code,0))),""))))</f>
        <v/>
      </c>
      <c r="L414" s="65" t="str">
        <f>IF(COUNTA(A414:G414)=0,"",IF(AND(ISNUMBER(D414),ISNUMBER(J414)),ROUND(D414*J414*(1-N(F414)),2),0))</f>
        <v/>
      </c>
      <c r="M414" s="62" t="str">
        <f>IF(A414="","",IFERROR(INDEX(fa_cname,MATCH(A414,fa_num,0))&amp;"",""))</f>
        <v/>
      </c>
      <c r="N414" s="59" t="str">
        <f>IF(COUNTA(A414:G414)=0,"",IF(A414="","N° facture manquant",IF(ISNA(MATCH(A414,fa_num,0)),"Facture inconnue",IF(AND(B414&lt;&gt;"",ISNA(MATCH(B414,pr_code,0))),"Article inconnu",IF(H414="","Désignation manquante",IF(OR(NOT(ISNUMBER(D414)),N(D414)&lt;=0),"Quantité invalide",IF(J414="","Prix manquant",IF(OR(NOT(ISNUMBER(J414)),N(J414)&lt;0),"Prix invalide",IF(OR(AND(F414&lt;&gt;"",NOT(ISNUMBER(F414))),N(F414)&lt;0,N(F414)&gt;1),"Remise invalide",IF(K414="","Taux de TVA manquant",IF(NOT(ISNUMBER(K414)),"Taux de TVA invalide",IF(COUNTIF(p_rates,K414)=0,"Taux de TVA hors liste (Paramètres)",IF(N(O414)&gt;25,"Au-delà de 25 lignes : non imprimée","OK")))))))))))))</f>
        <v/>
      </c>
      <c r="O414" s="59" t="str">
        <f>IF(A414="","",COUNTIF($A$6:A414,A414))</f>
        <v/>
      </c>
      <c r="P414" s="62" t="str">
        <f>IF(A414="","",A414&amp;"|"&amp;O414)</f>
        <v/>
      </c>
    </row>
    <row r="415">
      <c r="A415" s="60" t="n"/>
      <c r="B415" s="63" t="n"/>
      <c r="C415" s="63" t="n"/>
      <c r="D415" s="67" t="n"/>
      <c r="E415" s="68" t="n"/>
      <c r="F415" s="69" t="n"/>
      <c r="G415" s="70" t="n"/>
      <c r="H415" s="62" t="str">
        <f>IF(COUNTA(A415:G415)=0,"",IF(C415&lt;&gt;"",C415,IF(B415="","",IFERROR(INDEX(pr_des,MATCH(B415,pr_code,0))&amp;"",""))))</f>
        <v/>
      </c>
      <c r="I415" s="59" t="str">
        <f>IF(B415="","",IFERROR(INDEX(pr_unit,MATCH(B415,pr_code,0))&amp;"",""))</f>
        <v/>
      </c>
      <c r="J415" s="65" t="str">
        <f>IF(COUNTA(A415:G415)=0,"",IF(E415&lt;&gt;"",E415,IF(B415="","",IFERROR(IF(INDEX(pr_price,MATCH(B415,pr_code,0))="","",INDEX(pr_price,MATCH(B415,pr_code,0))),""))))</f>
        <v/>
      </c>
      <c r="K415" s="71" t="str">
        <f>IF(COUNTA(A415:G415)=0,"",IF(G415&lt;&gt;"",G415,IF(B415="","",IFERROR(IF(INDEX(pr_rate,MATCH(B415,pr_code,0))="","",INDEX(pr_rate,MATCH(B415,pr_code,0))),""))))</f>
        <v/>
      </c>
      <c r="L415" s="65" t="str">
        <f>IF(COUNTA(A415:G415)=0,"",IF(AND(ISNUMBER(D415),ISNUMBER(J415)),ROUND(D415*J415*(1-N(F415)),2),0))</f>
        <v/>
      </c>
      <c r="M415" s="62" t="str">
        <f>IF(A415="","",IFERROR(INDEX(fa_cname,MATCH(A415,fa_num,0))&amp;"",""))</f>
        <v/>
      </c>
      <c r="N415" s="59" t="str">
        <f>IF(COUNTA(A415:G415)=0,"",IF(A415="","N° facture manquant",IF(ISNA(MATCH(A415,fa_num,0)),"Facture inconnue",IF(AND(B415&lt;&gt;"",ISNA(MATCH(B415,pr_code,0))),"Article inconnu",IF(H415="","Désignation manquante",IF(OR(NOT(ISNUMBER(D415)),N(D415)&lt;=0),"Quantité invalide",IF(J415="","Prix manquant",IF(OR(NOT(ISNUMBER(J415)),N(J415)&lt;0),"Prix invalide",IF(OR(AND(F415&lt;&gt;"",NOT(ISNUMBER(F415))),N(F415)&lt;0,N(F415)&gt;1),"Remise invalide",IF(K415="","Taux de TVA manquant",IF(NOT(ISNUMBER(K415)),"Taux de TVA invalide",IF(COUNTIF(p_rates,K415)=0,"Taux de TVA hors liste (Paramètres)",IF(N(O415)&gt;25,"Au-delà de 25 lignes : non imprimée","OK")))))))))))))</f>
        <v/>
      </c>
      <c r="O415" s="59" t="str">
        <f>IF(A415="","",COUNTIF($A$6:A415,A415))</f>
        <v/>
      </c>
      <c r="P415" s="62" t="str">
        <f>IF(A415="","",A415&amp;"|"&amp;O415)</f>
        <v/>
      </c>
    </row>
    <row r="416">
      <c r="A416" s="60" t="n"/>
      <c r="B416" s="63" t="n"/>
      <c r="C416" s="63" t="n"/>
      <c r="D416" s="67" t="n"/>
      <c r="E416" s="68" t="n"/>
      <c r="F416" s="69" t="n"/>
      <c r="G416" s="70" t="n"/>
      <c r="H416" s="62" t="str">
        <f>IF(COUNTA(A416:G416)=0,"",IF(C416&lt;&gt;"",C416,IF(B416="","",IFERROR(INDEX(pr_des,MATCH(B416,pr_code,0))&amp;"",""))))</f>
        <v/>
      </c>
      <c r="I416" s="59" t="str">
        <f>IF(B416="","",IFERROR(INDEX(pr_unit,MATCH(B416,pr_code,0))&amp;"",""))</f>
        <v/>
      </c>
      <c r="J416" s="65" t="str">
        <f>IF(COUNTA(A416:G416)=0,"",IF(E416&lt;&gt;"",E416,IF(B416="","",IFERROR(IF(INDEX(pr_price,MATCH(B416,pr_code,0))="","",INDEX(pr_price,MATCH(B416,pr_code,0))),""))))</f>
        <v/>
      </c>
      <c r="K416" s="71" t="str">
        <f>IF(COUNTA(A416:G416)=0,"",IF(G416&lt;&gt;"",G416,IF(B416="","",IFERROR(IF(INDEX(pr_rate,MATCH(B416,pr_code,0))="","",INDEX(pr_rate,MATCH(B416,pr_code,0))),""))))</f>
        <v/>
      </c>
      <c r="L416" s="65" t="str">
        <f>IF(COUNTA(A416:G416)=0,"",IF(AND(ISNUMBER(D416),ISNUMBER(J416)),ROUND(D416*J416*(1-N(F416)),2),0))</f>
        <v/>
      </c>
      <c r="M416" s="62" t="str">
        <f>IF(A416="","",IFERROR(INDEX(fa_cname,MATCH(A416,fa_num,0))&amp;"",""))</f>
        <v/>
      </c>
      <c r="N416" s="59" t="str">
        <f>IF(COUNTA(A416:G416)=0,"",IF(A416="","N° facture manquant",IF(ISNA(MATCH(A416,fa_num,0)),"Facture inconnue",IF(AND(B416&lt;&gt;"",ISNA(MATCH(B416,pr_code,0))),"Article inconnu",IF(H416="","Désignation manquante",IF(OR(NOT(ISNUMBER(D416)),N(D416)&lt;=0),"Quantité invalide",IF(J416="","Prix manquant",IF(OR(NOT(ISNUMBER(J416)),N(J416)&lt;0),"Prix invalide",IF(OR(AND(F416&lt;&gt;"",NOT(ISNUMBER(F416))),N(F416)&lt;0,N(F416)&gt;1),"Remise invalide",IF(K416="","Taux de TVA manquant",IF(NOT(ISNUMBER(K416)),"Taux de TVA invalide",IF(COUNTIF(p_rates,K416)=0,"Taux de TVA hors liste (Paramètres)",IF(N(O416)&gt;25,"Au-delà de 25 lignes : non imprimée","OK")))))))))))))</f>
        <v/>
      </c>
      <c r="O416" s="59" t="str">
        <f>IF(A416="","",COUNTIF($A$6:A416,A416))</f>
        <v/>
      </c>
      <c r="P416" s="62" t="str">
        <f>IF(A416="","",A416&amp;"|"&amp;O416)</f>
        <v/>
      </c>
    </row>
    <row r="417">
      <c r="A417" s="60" t="n"/>
      <c r="B417" s="63" t="n"/>
      <c r="C417" s="63" t="n"/>
      <c r="D417" s="67" t="n"/>
      <c r="E417" s="68" t="n"/>
      <c r="F417" s="69" t="n"/>
      <c r="G417" s="70" t="n"/>
      <c r="H417" s="62" t="str">
        <f>IF(COUNTA(A417:G417)=0,"",IF(C417&lt;&gt;"",C417,IF(B417="","",IFERROR(INDEX(pr_des,MATCH(B417,pr_code,0))&amp;"",""))))</f>
        <v/>
      </c>
      <c r="I417" s="59" t="str">
        <f>IF(B417="","",IFERROR(INDEX(pr_unit,MATCH(B417,pr_code,0))&amp;"",""))</f>
        <v/>
      </c>
      <c r="J417" s="65" t="str">
        <f>IF(COUNTA(A417:G417)=0,"",IF(E417&lt;&gt;"",E417,IF(B417="","",IFERROR(IF(INDEX(pr_price,MATCH(B417,pr_code,0))="","",INDEX(pr_price,MATCH(B417,pr_code,0))),""))))</f>
        <v/>
      </c>
      <c r="K417" s="71" t="str">
        <f>IF(COUNTA(A417:G417)=0,"",IF(G417&lt;&gt;"",G417,IF(B417="","",IFERROR(IF(INDEX(pr_rate,MATCH(B417,pr_code,0))="","",INDEX(pr_rate,MATCH(B417,pr_code,0))),""))))</f>
        <v/>
      </c>
      <c r="L417" s="65" t="str">
        <f>IF(COUNTA(A417:G417)=0,"",IF(AND(ISNUMBER(D417),ISNUMBER(J417)),ROUND(D417*J417*(1-N(F417)),2),0))</f>
        <v/>
      </c>
      <c r="M417" s="62" t="str">
        <f>IF(A417="","",IFERROR(INDEX(fa_cname,MATCH(A417,fa_num,0))&amp;"",""))</f>
        <v/>
      </c>
      <c r="N417" s="59" t="str">
        <f>IF(COUNTA(A417:G417)=0,"",IF(A417="","N° facture manquant",IF(ISNA(MATCH(A417,fa_num,0)),"Facture inconnue",IF(AND(B417&lt;&gt;"",ISNA(MATCH(B417,pr_code,0))),"Article inconnu",IF(H417="","Désignation manquante",IF(OR(NOT(ISNUMBER(D417)),N(D417)&lt;=0),"Quantité invalide",IF(J417="","Prix manquant",IF(OR(NOT(ISNUMBER(J417)),N(J417)&lt;0),"Prix invalide",IF(OR(AND(F417&lt;&gt;"",NOT(ISNUMBER(F417))),N(F417)&lt;0,N(F417)&gt;1),"Remise invalide",IF(K417="","Taux de TVA manquant",IF(NOT(ISNUMBER(K417)),"Taux de TVA invalide",IF(COUNTIF(p_rates,K417)=0,"Taux de TVA hors liste (Paramètres)",IF(N(O417)&gt;25,"Au-delà de 25 lignes : non imprimée","OK")))))))))))))</f>
        <v/>
      </c>
      <c r="O417" s="59" t="str">
        <f>IF(A417="","",COUNTIF($A$6:A417,A417))</f>
        <v/>
      </c>
      <c r="P417" s="62" t="str">
        <f>IF(A417="","",A417&amp;"|"&amp;O417)</f>
        <v/>
      </c>
    </row>
    <row r="418">
      <c r="A418" s="60" t="n"/>
      <c r="B418" s="63" t="n"/>
      <c r="C418" s="63" t="n"/>
      <c r="D418" s="67" t="n"/>
      <c r="E418" s="68" t="n"/>
      <c r="F418" s="69" t="n"/>
      <c r="G418" s="70" t="n"/>
      <c r="H418" s="62" t="str">
        <f>IF(COUNTA(A418:G418)=0,"",IF(C418&lt;&gt;"",C418,IF(B418="","",IFERROR(INDEX(pr_des,MATCH(B418,pr_code,0))&amp;"",""))))</f>
        <v/>
      </c>
      <c r="I418" s="59" t="str">
        <f>IF(B418="","",IFERROR(INDEX(pr_unit,MATCH(B418,pr_code,0))&amp;"",""))</f>
        <v/>
      </c>
      <c r="J418" s="65" t="str">
        <f>IF(COUNTA(A418:G418)=0,"",IF(E418&lt;&gt;"",E418,IF(B418="","",IFERROR(IF(INDEX(pr_price,MATCH(B418,pr_code,0))="","",INDEX(pr_price,MATCH(B418,pr_code,0))),""))))</f>
        <v/>
      </c>
      <c r="K418" s="71" t="str">
        <f>IF(COUNTA(A418:G418)=0,"",IF(G418&lt;&gt;"",G418,IF(B418="","",IFERROR(IF(INDEX(pr_rate,MATCH(B418,pr_code,0))="","",INDEX(pr_rate,MATCH(B418,pr_code,0))),""))))</f>
        <v/>
      </c>
      <c r="L418" s="65" t="str">
        <f>IF(COUNTA(A418:G418)=0,"",IF(AND(ISNUMBER(D418),ISNUMBER(J418)),ROUND(D418*J418*(1-N(F418)),2),0))</f>
        <v/>
      </c>
      <c r="M418" s="62" t="str">
        <f>IF(A418="","",IFERROR(INDEX(fa_cname,MATCH(A418,fa_num,0))&amp;"",""))</f>
        <v/>
      </c>
      <c r="N418" s="59" t="str">
        <f>IF(COUNTA(A418:G418)=0,"",IF(A418="","N° facture manquant",IF(ISNA(MATCH(A418,fa_num,0)),"Facture inconnue",IF(AND(B418&lt;&gt;"",ISNA(MATCH(B418,pr_code,0))),"Article inconnu",IF(H418="","Désignation manquante",IF(OR(NOT(ISNUMBER(D418)),N(D418)&lt;=0),"Quantité invalide",IF(J418="","Prix manquant",IF(OR(NOT(ISNUMBER(J418)),N(J418)&lt;0),"Prix invalide",IF(OR(AND(F418&lt;&gt;"",NOT(ISNUMBER(F418))),N(F418)&lt;0,N(F418)&gt;1),"Remise invalide",IF(K418="","Taux de TVA manquant",IF(NOT(ISNUMBER(K418)),"Taux de TVA invalide",IF(COUNTIF(p_rates,K418)=0,"Taux de TVA hors liste (Paramètres)",IF(N(O418)&gt;25,"Au-delà de 25 lignes : non imprimée","OK")))))))))))))</f>
        <v/>
      </c>
      <c r="O418" s="59" t="str">
        <f>IF(A418="","",COUNTIF($A$6:A418,A418))</f>
        <v/>
      </c>
      <c r="P418" s="62" t="str">
        <f>IF(A418="","",A418&amp;"|"&amp;O418)</f>
        <v/>
      </c>
    </row>
    <row r="419">
      <c r="A419" s="60" t="n"/>
      <c r="B419" s="63" t="n"/>
      <c r="C419" s="63" t="n"/>
      <c r="D419" s="67" t="n"/>
      <c r="E419" s="68" t="n"/>
      <c r="F419" s="69" t="n"/>
      <c r="G419" s="70" t="n"/>
      <c r="H419" s="62" t="str">
        <f>IF(COUNTA(A419:G419)=0,"",IF(C419&lt;&gt;"",C419,IF(B419="","",IFERROR(INDEX(pr_des,MATCH(B419,pr_code,0))&amp;"",""))))</f>
        <v/>
      </c>
      <c r="I419" s="59" t="str">
        <f>IF(B419="","",IFERROR(INDEX(pr_unit,MATCH(B419,pr_code,0))&amp;"",""))</f>
        <v/>
      </c>
      <c r="J419" s="65" t="str">
        <f>IF(COUNTA(A419:G419)=0,"",IF(E419&lt;&gt;"",E419,IF(B419="","",IFERROR(IF(INDEX(pr_price,MATCH(B419,pr_code,0))="","",INDEX(pr_price,MATCH(B419,pr_code,0))),""))))</f>
        <v/>
      </c>
      <c r="K419" s="71" t="str">
        <f>IF(COUNTA(A419:G419)=0,"",IF(G419&lt;&gt;"",G419,IF(B419="","",IFERROR(IF(INDEX(pr_rate,MATCH(B419,pr_code,0))="","",INDEX(pr_rate,MATCH(B419,pr_code,0))),""))))</f>
        <v/>
      </c>
      <c r="L419" s="65" t="str">
        <f>IF(COUNTA(A419:G419)=0,"",IF(AND(ISNUMBER(D419),ISNUMBER(J419)),ROUND(D419*J419*(1-N(F419)),2),0))</f>
        <v/>
      </c>
      <c r="M419" s="62" t="str">
        <f>IF(A419="","",IFERROR(INDEX(fa_cname,MATCH(A419,fa_num,0))&amp;"",""))</f>
        <v/>
      </c>
      <c r="N419" s="59" t="str">
        <f>IF(COUNTA(A419:G419)=0,"",IF(A419="","N° facture manquant",IF(ISNA(MATCH(A419,fa_num,0)),"Facture inconnue",IF(AND(B419&lt;&gt;"",ISNA(MATCH(B419,pr_code,0))),"Article inconnu",IF(H419="","Désignation manquante",IF(OR(NOT(ISNUMBER(D419)),N(D419)&lt;=0),"Quantité invalide",IF(J419="","Prix manquant",IF(OR(NOT(ISNUMBER(J419)),N(J419)&lt;0),"Prix invalide",IF(OR(AND(F419&lt;&gt;"",NOT(ISNUMBER(F419))),N(F419)&lt;0,N(F419)&gt;1),"Remise invalide",IF(K419="","Taux de TVA manquant",IF(NOT(ISNUMBER(K419)),"Taux de TVA invalide",IF(COUNTIF(p_rates,K419)=0,"Taux de TVA hors liste (Paramètres)",IF(N(O419)&gt;25,"Au-delà de 25 lignes : non imprimée","OK")))))))))))))</f>
        <v/>
      </c>
      <c r="O419" s="59" t="str">
        <f>IF(A419="","",COUNTIF($A$6:A419,A419))</f>
        <v/>
      </c>
      <c r="P419" s="62" t="str">
        <f>IF(A419="","",A419&amp;"|"&amp;O419)</f>
        <v/>
      </c>
    </row>
    <row r="420">
      <c r="A420" s="60" t="n"/>
      <c r="B420" s="63" t="n"/>
      <c r="C420" s="63" t="n"/>
      <c r="D420" s="67" t="n"/>
      <c r="E420" s="68" t="n"/>
      <c r="F420" s="69" t="n"/>
      <c r="G420" s="70" t="n"/>
      <c r="H420" s="62" t="str">
        <f>IF(COUNTA(A420:G420)=0,"",IF(C420&lt;&gt;"",C420,IF(B420="","",IFERROR(INDEX(pr_des,MATCH(B420,pr_code,0))&amp;"",""))))</f>
        <v/>
      </c>
      <c r="I420" s="59" t="str">
        <f>IF(B420="","",IFERROR(INDEX(pr_unit,MATCH(B420,pr_code,0))&amp;"",""))</f>
        <v/>
      </c>
      <c r="J420" s="65" t="str">
        <f>IF(COUNTA(A420:G420)=0,"",IF(E420&lt;&gt;"",E420,IF(B420="","",IFERROR(IF(INDEX(pr_price,MATCH(B420,pr_code,0))="","",INDEX(pr_price,MATCH(B420,pr_code,0))),""))))</f>
        <v/>
      </c>
      <c r="K420" s="71" t="str">
        <f>IF(COUNTA(A420:G420)=0,"",IF(G420&lt;&gt;"",G420,IF(B420="","",IFERROR(IF(INDEX(pr_rate,MATCH(B420,pr_code,0))="","",INDEX(pr_rate,MATCH(B420,pr_code,0))),""))))</f>
        <v/>
      </c>
      <c r="L420" s="65" t="str">
        <f>IF(COUNTA(A420:G420)=0,"",IF(AND(ISNUMBER(D420),ISNUMBER(J420)),ROUND(D420*J420*(1-N(F420)),2),0))</f>
        <v/>
      </c>
      <c r="M420" s="62" t="str">
        <f>IF(A420="","",IFERROR(INDEX(fa_cname,MATCH(A420,fa_num,0))&amp;"",""))</f>
        <v/>
      </c>
      <c r="N420" s="59" t="str">
        <f>IF(COUNTA(A420:G420)=0,"",IF(A420="","N° facture manquant",IF(ISNA(MATCH(A420,fa_num,0)),"Facture inconnue",IF(AND(B420&lt;&gt;"",ISNA(MATCH(B420,pr_code,0))),"Article inconnu",IF(H420="","Désignation manquante",IF(OR(NOT(ISNUMBER(D420)),N(D420)&lt;=0),"Quantité invalide",IF(J420="","Prix manquant",IF(OR(NOT(ISNUMBER(J420)),N(J420)&lt;0),"Prix invalide",IF(OR(AND(F420&lt;&gt;"",NOT(ISNUMBER(F420))),N(F420)&lt;0,N(F420)&gt;1),"Remise invalide",IF(K420="","Taux de TVA manquant",IF(NOT(ISNUMBER(K420)),"Taux de TVA invalide",IF(COUNTIF(p_rates,K420)=0,"Taux de TVA hors liste (Paramètres)",IF(N(O420)&gt;25,"Au-delà de 25 lignes : non imprimée","OK")))))))))))))</f>
        <v/>
      </c>
      <c r="O420" s="59" t="str">
        <f>IF(A420="","",COUNTIF($A$6:A420,A420))</f>
        <v/>
      </c>
      <c r="P420" s="62" t="str">
        <f>IF(A420="","",A420&amp;"|"&amp;O420)</f>
        <v/>
      </c>
    </row>
    <row r="421">
      <c r="A421" s="60" t="n"/>
      <c r="B421" s="63" t="n"/>
      <c r="C421" s="63" t="n"/>
      <c r="D421" s="67" t="n"/>
      <c r="E421" s="68" t="n"/>
      <c r="F421" s="69" t="n"/>
      <c r="G421" s="70" t="n"/>
      <c r="H421" s="62" t="str">
        <f>IF(COUNTA(A421:G421)=0,"",IF(C421&lt;&gt;"",C421,IF(B421="","",IFERROR(INDEX(pr_des,MATCH(B421,pr_code,0))&amp;"",""))))</f>
        <v/>
      </c>
      <c r="I421" s="59" t="str">
        <f>IF(B421="","",IFERROR(INDEX(pr_unit,MATCH(B421,pr_code,0))&amp;"",""))</f>
        <v/>
      </c>
      <c r="J421" s="65" t="str">
        <f>IF(COUNTA(A421:G421)=0,"",IF(E421&lt;&gt;"",E421,IF(B421="","",IFERROR(IF(INDEX(pr_price,MATCH(B421,pr_code,0))="","",INDEX(pr_price,MATCH(B421,pr_code,0))),""))))</f>
        <v/>
      </c>
      <c r="K421" s="71" t="str">
        <f>IF(COUNTA(A421:G421)=0,"",IF(G421&lt;&gt;"",G421,IF(B421="","",IFERROR(IF(INDEX(pr_rate,MATCH(B421,pr_code,0))="","",INDEX(pr_rate,MATCH(B421,pr_code,0))),""))))</f>
        <v/>
      </c>
      <c r="L421" s="65" t="str">
        <f>IF(COUNTA(A421:G421)=0,"",IF(AND(ISNUMBER(D421),ISNUMBER(J421)),ROUND(D421*J421*(1-N(F421)),2),0))</f>
        <v/>
      </c>
      <c r="M421" s="62" t="str">
        <f>IF(A421="","",IFERROR(INDEX(fa_cname,MATCH(A421,fa_num,0))&amp;"",""))</f>
        <v/>
      </c>
      <c r="N421" s="59" t="str">
        <f>IF(COUNTA(A421:G421)=0,"",IF(A421="","N° facture manquant",IF(ISNA(MATCH(A421,fa_num,0)),"Facture inconnue",IF(AND(B421&lt;&gt;"",ISNA(MATCH(B421,pr_code,0))),"Article inconnu",IF(H421="","Désignation manquante",IF(OR(NOT(ISNUMBER(D421)),N(D421)&lt;=0),"Quantité invalide",IF(J421="","Prix manquant",IF(OR(NOT(ISNUMBER(J421)),N(J421)&lt;0),"Prix invalide",IF(OR(AND(F421&lt;&gt;"",NOT(ISNUMBER(F421))),N(F421)&lt;0,N(F421)&gt;1),"Remise invalide",IF(K421="","Taux de TVA manquant",IF(NOT(ISNUMBER(K421)),"Taux de TVA invalide",IF(COUNTIF(p_rates,K421)=0,"Taux de TVA hors liste (Paramètres)",IF(N(O421)&gt;25,"Au-delà de 25 lignes : non imprimée","OK")))))))))))))</f>
        <v/>
      </c>
      <c r="O421" s="59" t="str">
        <f>IF(A421="","",COUNTIF($A$6:A421,A421))</f>
        <v/>
      </c>
      <c r="P421" s="62" t="str">
        <f>IF(A421="","",A421&amp;"|"&amp;O421)</f>
        <v/>
      </c>
    </row>
    <row r="422">
      <c r="A422" s="60" t="n"/>
      <c r="B422" s="63" t="n"/>
      <c r="C422" s="63" t="n"/>
      <c r="D422" s="67" t="n"/>
      <c r="E422" s="68" t="n"/>
      <c r="F422" s="69" t="n"/>
      <c r="G422" s="70" t="n"/>
      <c r="H422" s="62" t="str">
        <f>IF(COUNTA(A422:G422)=0,"",IF(C422&lt;&gt;"",C422,IF(B422="","",IFERROR(INDEX(pr_des,MATCH(B422,pr_code,0))&amp;"",""))))</f>
        <v/>
      </c>
      <c r="I422" s="59" t="str">
        <f>IF(B422="","",IFERROR(INDEX(pr_unit,MATCH(B422,pr_code,0))&amp;"",""))</f>
        <v/>
      </c>
      <c r="J422" s="65" t="str">
        <f>IF(COUNTA(A422:G422)=0,"",IF(E422&lt;&gt;"",E422,IF(B422="","",IFERROR(IF(INDEX(pr_price,MATCH(B422,pr_code,0))="","",INDEX(pr_price,MATCH(B422,pr_code,0))),""))))</f>
        <v/>
      </c>
      <c r="K422" s="71" t="str">
        <f>IF(COUNTA(A422:G422)=0,"",IF(G422&lt;&gt;"",G422,IF(B422="","",IFERROR(IF(INDEX(pr_rate,MATCH(B422,pr_code,0))="","",INDEX(pr_rate,MATCH(B422,pr_code,0))),""))))</f>
        <v/>
      </c>
      <c r="L422" s="65" t="str">
        <f>IF(COUNTA(A422:G422)=0,"",IF(AND(ISNUMBER(D422),ISNUMBER(J422)),ROUND(D422*J422*(1-N(F422)),2),0))</f>
        <v/>
      </c>
      <c r="M422" s="62" t="str">
        <f>IF(A422="","",IFERROR(INDEX(fa_cname,MATCH(A422,fa_num,0))&amp;"",""))</f>
        <v/>
      </c>
      <c r="N422" s="59" t="str">
        <f>IF(COUNTA(A422:G422)=0,"",IF(A422="","N° facture manquant",IF(ISNA(MATCH(A422,fa_num,0)),"Facture inconnue",IF(AND(B422&lt;&gt;"",ISNA(MATCH(B422,pr_code,0))),"Article inconnu",IF(H422="","Désignation manquante",IF(OR(NOT(ISNUMBER(D422)),N(D422)&lt;=0),"Quantité invalide",IF(J422="","Prix manquant",IF(OR(NOT(ISNUMBER(J422)),N(J422)&lt;0),"Prix invalide",IF(OR(AND(F422&lt;&gt;"",NOT(ISNUMBER(F422))),N(F422)&lt;0,N(F422)&gt;1),"Remise invalide",IF(K422="","Taux de TVA manquant",IF(NOT(ISNUMBER(K422)),"Taux de TVA invalide",IF(COUNTIF(p_rates,K422)=0,"Taux de TVA hors liste (Paramètres)",IF(N(O422)&gt;25,"Au-delà de 25 lignes : non imprimée","OK")))))))))))))</f>
        <v/>
      </c>
      <c r="O422" s="59" t="str">
        <f>IF(A422="","",COUNTIF($A$6:A422,A422))</f>
        <v/>
      </c>
      <c r="P422" s="62" t="str">
        <f>IF(A422="","",A422&amp;"|"&amp;O422)</f>
        <v/>
      </c>
    </row>
    <row r="423">
      <c r="A423" s="60" t="n"/>
      <c r="B423" s="63" t="n"/>
      <c r="C423" s="63" t="n"/>
      <c r="D423" s="67" t="n"/>
      <c r="E423" s="68" t="n"/>
      <c r="F423" s="69" t="n"/>
      <c r="G423" s="70" t="n"/>
      <c r="H423" s="62" t="str">
        <f>IF(COUNTA(A423:G423)=0,"",IF(C423&lt;&gt;"",C423,IF(B423="","",IFERROR(INDEX(pr_des,MATCH(B423,pr_code,0))&amp;"",""))))</f>
        <v/>
      </c>
      <c r="I423" s="59" t="str">
        <f>IF(B423="","",IFERROR(INDEX(pr_unit,MATCH(B423,pr_code,0))&amp;"",""))</f>
        <v/>
      </c>
      <c r="J423" s="65" t="str">
        <f>IF(COUNTA(A423:G423)=0,"",IF(E423&lt;&gt;"",E423,IF(B423="","",IFERROR(IF(INDEX(pr_price,MATCH(B423,pr_code,0))="","",INDEX(pr_price,MATCH(B423,pr_code,0))),""))))</f>
        <v/>
      </c>
      <c r="K423" s="71" t="str">
        <f>IF(COUNTA(A423:G423)=0,"",IF(G423&lt;&gt;"",G423,IF(B423="","",IFERROR(IF(INDEX(pr_rate,MATCH(B423,pr_code,0))="","",INDEX(pr_rate,MATCH(B423,pr_code,0))),""))))</f>
        <v/>
      </c>
      <c r="L423" s="65" t="str">
        <f>IF(COUNTA(A423:G423)=0,"",IF(AND(ISNUMBER(D423),ISNUMBER(J423)),ROUND(D423*J423*(1-N(F423)),2),0))</f>
        <v/>
      </c>
      <c r="M423" s="62" t="str">
        <f>IF(A423="","",IFERROR(INDEX(fa_cname,MATCH(A423,fa_num,0))&amp;"",""))</f>
        <v/>
      </c>
      <c r="N423" s="59" t="str">
        <f>IF(COUNTA(A423:G423)=0,"",IF(A423="","N° facture manquant",IF(ISNA(MATCH(A423,fa_num,0)),"Facture inconnue",IF(AND(B423&lt;&gt;"",ISNA(MATCH(B423,pr_code,0))),"Article inconnu",IF(H423="","Désignation manquante",IF(OR(NOT(ISNUMBER(D423)),N(D423)&lt;=0),"Quantité invalide",IF(J423="","Prix manquant",IF(OR(NOT(ISNUMBER(J423)),N(J423)&lt;0),"Prix invalide",IF(OR(AND(F423&lt;&gt;"",NOT(ISNUMBER(F423))),N(F423)&lt;0,N(F423)&gt;1),"Remise invalide",IF(K423="","Taux de TVA manquant",IF(NOT(ISNUMBER(K423)),"Taux de TVA invalide",IF(COUNTIF(p_rates,K423)=0,"Taux de TVA hors liste (Paramètres)",IF(N(O423)&gt;25,"Au-delà de 25 lignes : non imprimée","OK")))))))))))))</f>
        <v/>
      </c>
      <c r="O423" s="59" t="str">
        <f>IF(A423="","",COUNTIF($A$6:A423,A423))</f>
        <v/>
      </c>
      <c r="P423" s="62" t="str">
        <f>IF(A423="","",A423&amp;"|"&amp;O423)</f>
        <v/>
      </c>
    </row>
    <row r="424">
      <c r="A424" s="60" t="n"/>
      <c r="B424" s="63" t="n"/>
      <c r="C424" s="63" t="n"/>
      <c r="D424" s="67" t="n"/>
      <c r="E424" s="68" t="n"/>
      <c r="F424" s="69" t="n"/>
      <c r="G424" s="70" t="n"/>
      <c r="H424" s="62" t="str">
        <f>IF(COUNTA(A424:G424)=0,"",IF(C424&lt;&gt;"",C424,IF(B424="","",IFERROR(INDEX(pr_des,MATCH(B424,pr_code,0))&amp;"",""))))</f>
        <v/>
      </c>
      <c r="I424" s="59" t="str">
        <f>IF(B424="","",IFERROR(INDEX(pr_unit,MATCH(B424,pr_code,0))&amp;"",""))</f>
        <v/>
      </c>
      <c r="J424" s="65" t="str">
        <f>IF(COUNTA(A424:G424)=0,"",IF(E424&lt;&gt;"",E424,IF(B424="","",IFERROR(IF(INDEX(pr_price,MATCH(B424,pr_code,0))="","",INDEX(pr_price,MATCH(B424,pr_code,0))),""))))</f>
        <v/>
      </c>
      <c r="K424" s="71" t="str">
        <f>IF(COUNTA(A424:G424)=0,"",IF(G424&lt;&gt;"",G424,IF(B424="","",IFERROR(IF(INDEX(pr_rate,MATCH(B424,pr_code,0))="","",INDEX(pr_rate,MATCH(B424,pr_code,0))),""))))</f>
        <v/>
      </c>
      <c r="L424" s="65" t="str">
        <f>IF(COUNTA(A424:G424)=0,"",IF(AND(ISNUMBER(D424),ISNUMBER(J424)),ROUND(D424*J424*(1-N(F424)),2),0))</f>
        <v/>
      </c>
      <c r="M424" s="62" t="str">
        <f>IF(A424="","",IFERROR(INDEX(fa_cname,MATCH(A424,fa_num,0))&amp;"",""))</f>
        <v/>
      </c>
      <c r="N424" s="59" t="str">
        <f>IF(COUNTA(A424:G424)=0,"",IF(A424="","N° facture manquant",IF(ISNA(MATCH(A424,fa_num,0)),"Facture inconnue",IF(AND(B424&lt;&gt;"",ISNA(MATCH(B424,pr_code,0))),"Article inconnu",IF(H424="","Désignation manquante",IF(OR(NOT(ISNUMBER(D424)),N(D424)&lt;=0),"Quantité invalide",IF(J424="","Prix manquant",IF(OR(NOT(ISNUMBER(J424)),N(J424)&lt;0),"Prix invalide",IF(OR(AND(F424&lt;&gt;"",NOT(ISNUMBER(F424))),N(F424)&lt;0,N(F424)&gt;1),"Remise invalide",IF(K424="","Taux de TVA manquant",IF(NOT(ISNUMBER(K424)),"Taux de TVA invalide",IF(COUNTIF(p_rates,K424)=0,"Taux de TVA hors liste (Paramètres)",IF(N(O424)&gt;25,"Au-delà de 25 lignes : non imprimée","OK")))))))))))))</f>
        <v/>
      </c>
      <c r="O424" s="59" t="str">
        <f>IF(A424="","",COUNTIF($A$6:A424,A424))</f>
        <v/>
      </c>
      <c r="P424" s="62" t="str">
        <f>IF(A424="","",A424&amp;"|"&amp;O424)</f>
        <v/>
      </c>
    </row>
    <row r="425">
      <c r="A425" s="60" t="n"/>
      <c r="B425" s="63" t="n"/>
      <c r="C425" s="63" t="n"/>
      <c r="D425" s="67" t="n"/>
      <c r="E425" s="68" t="n"/>
      <c r="F425" s="69" t="n"/>
      <c r="G425" s="70" t="n"/>
      <c r="H425" s="62" t="str">
        <f>IF(COUNTA(A425:G425)=0,"",IF(C425&lt;&gt;"",C425,IF(B425="","",IFERROR(INDEX(pr_des,MATCH(B425,pr_code,0))&amp;"",""))))</f>
        <v/>
      </c>
      <c r="I425" s="59" t="str">
        <f>IF(B425="","",IFERROR(INDEX(pr_unit,MATCH(B425,pr_code,0))&amp;"",""))</f>
        <v/>
      </c>
      <c r="J425" s="65" t="str">
        <f>IF(COUNTA(A425:G425)=0,"",IF(E425&lt;&gt;"",E425,IF(B425="","",IFERROR(IF(INDEX(pr_price,MATCH(B425,pr_code,0))="","",INDEX(pr_price,MATCH(B425,pr_code,0))),""))))</f>
        <v/>
      </c>
      <c r="K425" s="71" t="str">
        <f>IF(COUNTA(A425:G425)=0,"",IF(G425&lt;&gt;"",G425,IF(B425="","",IFERROR(IF(INDEX(pr_rate,MATCH(B425,pr_code,0))="","",INDEX(pr_rate,MATCH(B425,pr_code,0))),""))))</f>
        <v/>
      </c>
      <c r="L425" s="65" t="str">
        <f>IF(COUNTA(A425:G425)=0,"",IF(AND(ISNUMBER(D425),ISNUMBER(J425)),ROUND(D425*J425*(1-N(F425)),2),0))</f>
        <v/>
      </c>
      <c r="M425" s="62" t="str">
        <f>IF(A425="","",IFERROR(INDEX(fa_cname,MATCH(A425,fa_num,0))&amp;"",""))</f>
        <v/>
      </c>
      <c r="N425" s="59" t="str">
        <f>IF(COUNTA(A425:G425)=0,"",IF(A425="","N° facture manquant",IF(ISNA(MATCH(A425,fa_num,0)),"Facture inconnue",IF(AND(B425&lt;&gt;"",ISNA(MATCH(B425,pr_code,0))),"Article inconnu",IF(H425="","Désignation manquante",IF(OR(NOT(ISNUMBER(D425)),N(D425)&lt;=0),"Quantité invalide",IF(J425="","Prix manquant",IF(OR(NOT(ISNUMBER(J425)),N(J425)&lt;0),"Prix invalide",IF(OR(AND(F425&lt;&gt;"",NOT(ISNUMBER(F425))),N(F425)&lt;0,N(F425)&gt;1),"Remise invalide",IF(K425="","Taux de TVA manquant",IF(NOT(ISNUMBER(K425)),"Taux de TVA invalide",IF(COUNTIF(p_rates,K425)=0,"Taux de TVA hors liste (Paramètres)",IF(N(O425)&gt;25,"Au-delà de 25 lignes : non imprimée","OK")))))))))))))</f>
        <v/>
      </c>
      <c r="O425" s="59" t="str">
        <f>IF(A425="","",COUNTIF($A$6:A425,A425))</f>
        <v/>
      </c>
      <c r="P425" s="62" t="str">
        <f>IF(A425="","",A425&amp;"|"&amp;O425)</f>
        <v/>
      </c>
    </row>
    <row r="426">
      <c r="A426" s="60" t="n"/>
      <c r="B426" s="63" t="n"/>
      <c r="C426" s="63" t="n"/>
      <c r="D426" s="67" t="n"/>
      <c r="E426" s="68" t="n"/>
      <c r="F426" s="69" t="n"/>
      <c r="G426" s="70" t="n"/>
      <c r="H426" s="62" t="str">
        <f>IF(COUNTA(A426:G426)=0,"",IF(C426&lt;&gt;"",C426,IF(B426="","",IFERROR(INDEX(pr_des,MATCH(B426,pr_code,0))&amp;"",""))))</f>
        <v/>
      </c>
      <c r="I426" s="59" t="str">
        <f>IF(B426="","",IFERROR(INDEX(pr_unit,MATCH(B426,pr_code,0))&amp;"",""))</f>
        <v/>
      </c>
      <c r="J426" s="65" t="str">
        <f>IF(COUNTA(A426:G426)=0,"",IF(E426&lt;&gt;"",E426,IF(B426="","",IFERROR(IF(INDEX(pr_price,MATCH(B426,pr_code,0))="","",INDEX(pr_price,MATCH(B426,pr_code,0))),""))))</f>
        <v/>
      </c>
      <c r="K426" s="71" t="str">
        <f>IF(COUNTA(A426:G426)=0,"",IF(G426&lt;&gt;"",G426,IF(B426="","",IFERROR(IF(INDEX(pr_rate,MATCH(B426,pr_code,0))="","",INDEX(pr_rate,MATCH(B426,pr_code,0))),""))))</f>
        <v/>
      </c>
      <c r="L426" s="65" t="str">
        <f>IF(COUNTA(A426:G426)=0,"",IF(AND(ISNUMBER(D426),ISNUMBER(J426)),ROUND(D426*J426*(1-N(F426)),2),0))</f>
        <v/>
      </c>
      <c r="M426" s="62" t="str">
        <f>IF(A426="","",IFERROR(INDEX(fa_cname,MATCH(A426,fa_num,0))&amp;"",""))</f>
        <v/>
      </c>
      <c r="N426" s="59" t="str">
        <f>IF(COUNTA(A426:G426)=0,"",IF(A426="","N° facture manquant",IF(ISNA(MATCH(A426,fa_num,0)),"Facture inconnue",IF(AND(B426&lt;&gt;"",ISNA(MATCH(B426,pr_code,0))),"Article inconnu",IF(H426="","Désignation manquante",IF(OR(NOT(ISNUMBER(D426)),N(D426)&lt;=0),"Quantité invalide",IF(J426="","Prix manquant",IF(OR(NOT(ISNUMBER(J426)),N(J426)&lt;0),"Prix invalide",IF(OR(AND(F426&lt;&gt;"",NOT(ISNUMBER(F426))),N(F426)&lt;0,N(F426)&gt;1),"Remise invalide",IF(K426="","Taux de TVA manquant",IF(NOT(ISNUMBER(K426)),"Taux de TVA invalide",IF(COUNTIF(p_rates,K426)=0,"Taux de TVA hors liste (Paramètres)",IF(N(O426)&gt;25,"Au-delà de 25 lignes : non imprimée","OK")))))))))))))</f>
        <v/>
      </c>
      <c r="O426" s="59" t="str">
        <f>IF(A426="","",COUNTIF($A$6:A426,A426))</f>
        <v/>
      </c>
      <c r="P426" s="62" t="str">
        <f>IF(A426="","",A426&amp;"|"&amp;O426)</f>
        <v/>
      </c>
    </row>
    <row r="427">
      <c r="A427" s="60" t="n"/>
      <c r="B427" s="63" t="n"/>
      <c r="C427" s="63" t="n"/>
      <c r="D427" s="67" t="n"/>
      <c r="E427" s="68" t="n"/>
      <c r="F427" s="69" t="n"/>
      <c r="G427" s="70" t="n"/>
      <c r="H427" s="62" t="str">
        <f>IF(COUNTA(A427:G427)=0,"",IF(C427&lt;&gt;"",C427,IF(B427="","",IFERROR(INDEX(pr_des,MATCH(B427,pr_code,0))&amp;"",""))))</f>
        <v/>
      </c>
      <c r="I427" s="59" t="str">
        <f>IF(B427="","",IFERROR(INDEX(pr_unit,MATCH(B427,pr_code,0))&amp;"",""))</f>
        <v/>
      </c>
      <c r="J427" s="65" t="str">
        <f>IF(COUNTA(A427:G427)=0,"",IF(E427&lt;&gt;"",E427,IF(B427="","",IFERROR(IF(INDEX(pr_price,MATCH(B427,pr_code,0))="","",INDEX(pr_price,MATCH(B427,pr_code,0))),""))))</f>
        <v/>
      </c>
      <c r="K427" s="71" t="str">
        <f>IF(COUNTA(A427:G427)=0,"",IF(G427&lt;&gt;"",G427,IF(B427="","",IFERROR(IF(INDEX(pr_rate,MATCH(B427,pr_code,0))="","",INDEX(pr_rate,MATCH(B427,pr_code,0))),""))))</f>
        <v/>
      </c>
      <c r="L427" s="65" t="str">
        <f>IF(COUNTA(A427:G427)=0,"",IF(AND(ISNUMBER(D427),ISNUMBER(J427)),ROUND(D427*J427*(1-N(F427)),2),0))</f>
        <v/>
      </c>
      <c r="M427" s="62" t="str">
        <f>IF(A427="","",IFERROR(INDEX(fa_cname,MATCH(A427,fa_num,0))&amp;"",""))</f>
        <v/>
      </c>
      <c r="N427" s="59" t="str">
        <f>IF(COUNTA(A427:G427)=0,"",IF(A427="","N° facture manquant",IF(ISNA(MATCH(A427,fa_num,0)),"Facture inconnue",IF(AND(B427&lt;&gt;"",ISNA(MATCH(B427,pr_code,0))),"Article inconnu",IF(H427="","Désignation manquante",IF(OR(NOT(ISNUMBER(D427)),N(D427)&lt;=0),"Quantité invalide",IF(J427="","Prix manquant",IF(OR(NOT(ISNUMBER(J427)),N(J427)&lt;0),"Prix invalide",IF(OR(AND(F427&lt;&gt;"",NOT(ISNUMBER(F427))),N(F427)&lt;0,N(F427)&gt;1),"Remise invalide",IF(K427="","Taux de TVA manquant",IF(NOT(ISNUMBER(K427)),"Taux de TVA invalide",IF(COUNTIF(p_rates,K427)=0,"Taux de TVA hors liste (Paramètres)",IF(N(O427)&gt;25,"Au-delà de 25 lignes : non imprimée","OK")))))))))))))</f>
        <v/>
      </c>
      <c r="O427" s="59" t="str">
        <f>IF(A427="","",COUNTIF($A$6:A427,A427))</f>
        <v/>
      </c>
      <c r="P427" s="62" t="str">
        <f>IF(A427="","",A427&amp;"|"&amp;O427)</f>
        <v/>
      </c>
    </row>
    <row r="428">
      <c r="A428" s="60" t="n"/>
      <c r="B428" s="63" t="n"/>
      <c r="C428" s="63" t="n"/>
      <c r="D428" s="67" t="n"/>
      <c r="E428" s="68" t="n"/>
      <c r="F428" s="69" t="n"/>
      <c r="G428" s="70" t="n"/>
      <c r="H428" s="62" t="str">
        <f>IF(COUNTA(A428:G428)=0,"",IF(C428&lt;&gt;"",C428,IF(B428="","",IFERROR(INDEX(pr_des,MATCH(B428,pr_code,0))&amp;"",""))))</f>
        <v/>
      </c>
      <c r="I428" s="59" t="str">
        <f>IF(B428="","",IFERROR(INDEX(pr_unit,MATCH(B428,pr_code,0))&amp;"",""))</f>
        <v/>
      </c>
      <c r="J428" s="65" t="str">
        <f>IF(COUNTA(A428:G428)=0,"",IF(E428&lt;&gt;"",E428,IF(B428="","",IFERROR(IF(INDEX(pr_price,MATCH(B428,pr_code,0))="","",INDEX(pr_price,MATCH(B428,pr_code,0))),""))))</f>
        <v/>
      </c>
      <c r="K428" s="71" t="str">
        <f>IF(COUNTA(A428:G428)=0,"",IF(G428&lt;&gt;"",G428,IF(B428="","",IFERROR(IF(INDEX(pr_rate,MATCH(B428,pr_code,0))="","",INDEX(pr_rate,MATCH(B428,pr_code,0))),""))))</f>
        <v/>
      </c>
      <c r="L428" s="65" t="str">
        <f>IF(COUNTA(A428:G428)=0,"",IF(AND(ISNUMBER(D428),ISNUMBER(J428)),ROUND(D428*J428*(1-N(F428)),2),0))</f>
        <v/>
      </c>
      <c r="M428" s="62" t="str">
        <f>IF(A428="","",IFERROR(INDEX(fa_cname,MATCH(A428,fa_num,0))&amp;"",""))</f>
        <v/>
      </c>
      <c r="N428" s="59" t="str">
        <f>IF(COUNTA(A428:G428)=0,"",IF(A428="","N° facture manquant",IF(ISNA(MATCH(A428,fa_num,0)),"Facture inconnue",IF(AND(B428&lt;&gt;"",ISNA(MATCH(B428,pr_code,0))),"Article inconnu",IF(H428="","Désignation manquante",IF(OR(NOT(ISNUMBER(D428)),N(D428)&lt;=0),"Quantité invalide",IF(J428="","Prix manquant",IF(OR(NOT(ISNUMBER(J428)),N(J428)&lt;0),"Prix invalide",IF(OR(AND(F428&lt;&gt;"",NOT(ISNUMBER(F428))),N(F428)&lt;0,N(F428)&gt;1),"Remise invalide",IF(K428="","Taux de TVA manquant",IF(NOT(ISNUMBER(K428)),"Taux de TVA invalide",IF(COUNTIF(p_rates,K428)=0,"Taux de TVA hors liste (Paramètres)",IF(N(O428)&gt;25,"Au-delà de 25 lignes : non imprimée","OK")))))))))))))</f>
        <v/>
      </c>
      <c r="O428" s="59" t="str">
        <f>IF(A428="","",COUNTIF($A$6:A428,A428))</f>
        <v/>
      </c>
      <c r="P428" s="62" t="str">
        <f>IF(A428="","",A428&amp;"|"&amp;O428)</f>
        <v/>
      </c>
    </row>
    <row r="429">
      <c r="A429" s="60" t="n"/>
      <c r="B429" s="63" t="n"/>
      <c r="C429" s="63" t="n"/>
      <c r="D429" s="67" t="n"/>
      <c r="E429" s="68" t="n"/>
      <c r="F429" s="69" t="n"/>
      <c r="G429" s="70" t="n"/>
      <c r="H429" s="62" t="str">
        <f>IF(COUNTA(A429:G429)=0,"",IF(C429&lt;&gt;"",C429,IF(B429="","",IFERROR(INDEX(pr_des,MATCH(B429,pr_code,0))&amp;"",""))))</f>
        <v/>
      </c>
      <c r="I429" s="59" t="str">
        <f>IF(B429="","",IFERROR(INDEX(pr_unit,MATCH(B429,pr_code,0))&amp;"",""))</f>
        <v/>
      </c>
      <c r="J429" s="65" t="str">
        <f>IF(COUNTA(A429:G429)=0,"",IF(E429&lt;&gt;"",E429,IF(B429="","",IFERROR(IF(INDEX(pr_price,MATCH(B429,pr_code,0))="","",INDEX(pr_price,MATCH(B429,pr_code,0))),""))))</f>
        <v/>
      </c>
      <c r="K429" s="71" t="str">
        <f>IF(COUNTA(A429:G429)=0,"",IF(G429&lt;&gt;"",G429,IF(B429="","",IFERROR(IF(INDEX(pr_rate,MATCH(B429,pr_code,0))="","",INDEX(pr_rate,MATCH(B429,pr_code,0))),""))))</f>
        <v/>
      </c>
      <c r="L429" s="65" t="str">
        <f>IF(COUNTA(A429:G429)=0,"",IF(AND(ISNUMBER(D429),ISNUMBER(J429)),ROUND(D429*J429*(1-N(F429)),2),0))</f>
        <v/>
      </c>
      <c r="M429" s="62" t="str">
        <f>IF(A429="","",IFERROR(INDEX(fa_cname,MATCH(A429,fa_num,0))&amp;"",""))</f>
        <v/>
      </c>
      <c r="N429" s="59" t="str">
        <f>IF(COUNTA(A429:G429)=0,"",IF(A429="","N° facture manquant",IF(ISNA(MATCH(A429,fa_num,0)),"Facture inconnue",IF(AND(B429&lt;&gt;"",ISNA(MATCH(B429,pr_code,0))),"Article inconnu",IF(H429="","Désignation manquante",IF(OR(NOT(ISNUMBER(D429)),N(D429)&lt;=0),"Quantité invalide",IF(J429="","Prix manquant",IF(OR(NOT(ISNUMBER(J429)),N(J429)&lt;0),"Prix invalide",IF(OR(AND(F429&lt;&gt;"",NOT(ISNUMBER(F429))),N(F429)&lt;0,N(F429)&gt;1),"Remise invalide",IF(K429="","Taux de TVA manquant",IF(NOT(ISNUMBER(K429)),"Taux de TVA invalide",IF(COUNTIF(p_rates,K429)=0,"Taux de TVA hors liste (Paramètres)",IF(N(O429)&gt;25,"Au-delà de 25 lignes : non imprimée","OK")))))))))))))</f>
        <v/>
      </c>
      <c r="O429" s="59" t="str">
        <f>IF(A429="","",COUNTIF($A$6:A429,A429))</f>
        <v/>
      </c>
      <c r="P429" s="62" t="str">
        <f>IF(A429="","",A429&amp;"|"&amp;O429)</f>
        <v/>
      </c>
    </row>
    <row r="430">
      <c r="A430" s="60" t="n"/>
      <c r="B430" s="63" t="n"/>
      <c r="C430" s="63" t="n"/>
      <c r="D430" s="67" t="n"/>
      <c r="E430" s="68" t="n"/>
      <c r="F430" s="69" t="n"/>
      <c r="G430" s="70" t="n"/>
      <c r="H430" s="62" t="str">
        <f>IF(COUNTA(A430:G430)=0,"",IF(C430&lt;&gt;"",C430,IF(B430="","",IFERROR(INDEX(pr_des,MATCH(B430,pr_code,0))&amp;"",""))))</f>
        <v/>
      </c>
      <c r="I430" s="59" t="str">
        <f>IF(B430="","",IFERROR(INDEX(pr_unit,MATCH(B430,pr_code,0))&amp;"",""))</f>
        <v/>
      </c>
      <c r="J430" s="65" t="str">
        <f>IF(COUNTA(A430:G430)=0,"",IF(E430&lt;&gt;"",E430,IF(B430="","",IFERROR(IF(INDEX(pr_price,MATCH(B430,pr_code,0))="","",INDEX(pr_price,MATCH(B430,pr_code,0))),""))))</f>
        <v/>
      </c>
      <c r="K430" s="71" t="str">
        <f>IF(COUNTA(A430:G430)=0,"",IF(G430&lt;&gt;"",G430,IF(B430="","",IFERROR(IF(INDEX(pr_rate,MATCH(B430,pr_code,0))="","",INDEX(pr_rate,MATCH(B430,pr_code,0))),""))))</f>
        <v/>
      </c>
      <c r="L430" s="65" t="str">
        <f>IF(COUNTA(A430:G430)=0,"",IF(AND(ISNUMBER(D430),ISNUMBER(J430)),ROUND(D430*J430*(1-N(F430)),2),0))</f>
        <v/>
      </c>
      <c r="M430" s="62" t="str">
        <f>IF(A430="","",IFERROR(INDEX(fa_cname,MATCH(A430,fa_num,0))&amp;"",""))</f>
        <v/>
      </c>
      <c r="N430" s="59" t="str">
        <f>IF(COUNTA(A430:G430)=0,"",IF(A430="","N° facture manquant",IF(ISNA(MATCH(A430,fa_num,0)),"Facture inconnue",IF(AND(B430&lt;&gt;"",ISNA(MATCH(B430,pr_code,0))),"Article inconnu",IF(H430="","Désignation manquante",IF(OR(NOT(ISNUMBER(D430)),N(D430)&lt;=0),"Quantité invalide",IF(J430="","Prix manquant",IF(OR(NOT(ISNUMBER(J430)),N(J430)&lt;0),"Prix invalide",IF(OR(AND(F430&lt;&gt;"",NOT(ISNUMBER(F430))),N(F430)&lt;0,N(F430)&gt;1),"Remise invalide",IF(K430="","Taux de TVA manquant",IF(NOT(ISNUMBER(K430)),"Taux de TVA invalide",IF(COUNTIF(p_rates,K430)=0,"Taux de TVA hors liste (Paramètres)",IF(N(O430)&gt;25,"Au-delà de 25 lignes : non imprimée","OK")))))))))))))</f>
        <v/>
      </c>
      <c r="O430" s="59" t="str">
        <f>IF(A430="","",COUNTIF($A$6:A430,A430))</f>
        <v/>
      </c>
      <c r="P430" s="62" t="str">
        <f>IF(A430="","",A430&amp;"|"&amp;O430)</f>
        <v/>
      </c>
    </row>
    <row r="431">
      <c r="A431" s="60" t="n"/>
      <c r="B431" s="63" t="n"/>
      <c r="C431" s="63" t="n"/>
      <c r="D431" s="67" t="n"/>
      <c r="E431" s="68" t="n"/>
      <c r="F431" s="69" t="n"/>
      <c r="G431" s="70" t="n"/>
      <c r="H431" s="62" t="str">
        <f>IF(COUNTA(A431:G431)=0,"",IF(C431&lt;&gt;"",C431,IF(B431="","",IFERROR(INDEX(pr_des,MATCH(B431,pr_code,0))&amp;"",""))))</f>
        <v/>
      </c>
      <c r="I431" s="59" t="str">
        <f>IF(B431="","",IFERROR(INDEX(pr_unit,MATCH(B431,pr_code,0))&amp;"",""))</f>
        <v/>
      </c>
      <c r="J431" s="65" t="str">
        <f>IF(COUNTA(A431:G431)=0,"",IF(E431&lt;&gt;"",E431,IF(B431="","",IFERROR(IF(INDEX(pr_price,MATCH(B431,pr_code,0))="","",INDEX(pr_price,MATCH(B431,pr_code,0))),""))))</f>
        <v/>
      </c>
      <c r="K431" s="71" t="str">
        <f>IF(COUNTA(A431:G431)=0,"",IF(G431&lt;&gt;"",G431,IF(B431="","",IFERROR(IF(INDEX(pr_rate,MATCH(B431,pr_code,0))="","",INDEX(pr_rate,MATCH(B431,pr_code,0))),""))))</f>
        <v/>
      </c>
      <c r="L431" s="65" t="str">
        <f>IF(COUNTA(A431:G431)=0,"",IF(AND(ISNUMBER(D431),ISNUMBER(J431)),ROUND(D431*J431*(1-N(F431)),2),0))</f>
        <v/>
      </c>
      <c r="M431" s="62" t="str">
        <f>IF(A431="","",IFERROR(INDEX(fa_cname,MATCH(A431,fa_num,0))&amp;"",""))</f>
        <v/>
      </c>
      <c r="N431" s="59" t="str">
        <f>IF(COUNTA(A431:G431)=0,"",IF(A431="","N° facture manquant",IF(ISNA(MATCH(A431,fa_num,0)),"Facture inconnue",IF(AND(B431&lt;&gt;"",ISNA(MATCH(B431,pr_code,0))),"Article inconnu",IF(H431="","Désignation manquante",IF(OR(NOT(ISNUMBER(D431)),N(D431)&lt;=0),"Quantité invalide",IF(J431="","Prix manquant",IF(OR(NOT(ISNUMBER(J431)),N(J431)&lt;0),"Prix invalide",IF(OR(AND(F431&lt;&gt;"",NOT(ISNUMBER(F431))),N(F431)&lt;0,N(F431)&gt;1),"Remise invalide",IF(K431="","Taux de TVA manquant",IF(NOT(ISNUMBER(K431)),"Taux de TVA invalide",IF(COUNTIF(p_rates,K431)=0,"Taux de TVA hors liste (Paramètres)",IF(N(O431)&gt;25,"Au-delà de 25 lignes : non imprimée","OK")))))))))))))</f>
        <v/>
      </c>
      <c r="O431" s="59" t="str">
        <f>IF(A431="","",COUNTIF($A$6:A431,A431))</f>
        <v/>
      </c>
      <c r="P431" s="62" t="str">
        <f>IF(A431="","",A431&amp;"|"&amp;O431)</f>
        <v/>
      </c>
    </row>
    <row r="432">
      <c r="A432" s="60" t="n"/>
      <c r="B432" s="63" t="n"/>
      <c r="C432" s="63" t="n"/>
      <c r="D432" s="67" t="n"/>
      <c r="E432" s="68" t="n"/>
      <c r="F432" s="69" t="n"/>
      <c r="G432" s="70" t="n"/>
      <c r="H432" s="62" t="str">
        <f>IF(COUNTA(A432:G432)=0,"",IF(C432&lt;&gt;"",C432,IF(B432="","",IFERROR(INDEX(pr_des,MATCH(B432,pr_code,0))&amp;"",""))))</f>
        <v/>
      </c>
      <c r="I432" s="59" t="str">
        <f>IF(B432="","",IFERROR(INDEX(pr_unit,MATCH(B432,pr_code,0))&amp;"",""))</f>
        <v/>
      </c>
      <c r="J432" s="65" t="str">
        <f>IF(COUNTA(A432:G432)=0,"",IF(E432&lt;&gt;"",E432,IF(B432="","",IFERROR(IF(INDEX(pr_price,MATCH(B432,pr_code,0))="","",INDEX(pr_price,MATCH(B432,pr_code,0))),""))))</f>
        <v/>
      </c>
      <c r="K432" s="71" t="str">
        <f>IF(COUNTA(A432:G432)=0,"",IF(G432&lt;&gt;"",G432,IF(B432="","",IFERROR(IF(INDEX(pr_rate,MATCH(B432,pr_code,0))="","",INDEX(pr_rate,MATCH(B432,pr_code,0))),""))))</f>
        <v/>
      </c>
      <c r="L432" s="65" t="str">
        <f>IF(COUNTA(A432:G432)=0,"",IF(AND(ISNUMBER(D432),ISNUMBER(J432)),ROUND(D432*J432*(1-N(F432)),2),0))</f>
        <v/>
      </c>
      <c r="M432" s="62" t="str">
        <f>IF(A432="","",IFERROR(INDEX(fa_cname,MATCH(A432,fa_num,0))&amp;"",""))</f>
        <v/>
      </c>
      <c r="N432" s="59" t="str">
        <f>IF(COUNTA(A432:G432)=0,"",IF(A432="","N° facture manquant",IF(ISNA(MATCH(A432,fa_num,0)),"Facture inconnue",IF(AND(B432&lt;&gt;"",ISNA(MATCH(B432,pr_code,0))),"Article inconnu",IF(H432="","Désignation manquante",IF(OR(NOT(ISNUMBER(D432)),N(D432)&lt;=0),"Quantité invalide",IF(J432="","Prix manquant",IF(OR(NOT(ISNUMBER(J432)),N(J432)&lt;0),"Prix invalide",IF(OR(AND(F432&lt;&gt;"",NOT(ISNUMBER(F432))),N(F432)&lt;0,N(F432)&gt;1),"Remise invalide",IF(K432="","Taux de TVA manquant",IF(NOT(ISNUMBER(K432)),"Taux de TVA invalide",IF(COUNTIF(p_rates,K432)=0,"Taux de TVA hors liste (Paramètres)",IF(N(O432)&gt;25,"Au-delà de 25 lignes : non imprimée","OK")))))))))))))</f>
        <v/>
      </c>
      <c r="O432" s="59" t="str">
        <f>IF(A432="","",COUNTIF($A$6:A432,A432))</f>
        <v/>
      </c>
      <c r="P432" s="62" t="str">
        <f>IF(A432="","",A432&amp;"|"&amp;O432)</f>
        <v/>
      </c>
    </row>
    <row r="433">
      <c r="A433" s="60" t="n"/>
      <c r="B433" s="63" t="n"/>
      <c r="C433" s="63" t="n"/>
      <c r="D433" s="67" t="n"/>
      <c r="E433" s="68" t="n"/>
      <c r="F433" s="69" t="n"/>
      <c r="G433" s="70" t="n"/>
      <c r="H433" s="62" t="str">
        <f>IF(COUNTA(A433:G433)=0,"",IF(C433&lt;&gt;"",C433,IF(B433="","",IFERROR(INDEX(pr_des,MATCH(B433,pr_code,0))&amp;"",""))))</f>
        <v/>
      </c>
      <c r="I433" s="59" t="str">
        <f>IF(B433="","",IFERROR(INDEX(pr_unit,MATCH(B433,pr_code,0))&amp;"",""))</f>
        <v/>
      </c>
      <c r="J433" s="65" t="str">
        <f>IF(COUNTA(A433:G433)=0,"",IF(E433&lt;&gt;"",E433,IF(B433="","",IFERROR(IF(INDEX(pr_price,MATCH(B433,pr_code,0))="","",INDEX(pr_price,MATCH(B433,pr_code,0))),""))))</f>
        <v/>
      </c>
      <c r="K433" s="71" t="str">
        <f>IF(COUNTA(A433:G433)=0,"",IF(G433&lt;&gt;"",G433,IF(B433="","",IFERROR(IF(INDEX(pr_rate,MATCH(B433,pr_code,0))="","",INDEX(pr_rate,MATCH(B433,pr_code,0))),""))))</f>
        <v/>
      </c>
      <c r="L433" s="65" t="str">
        <f>IF(COUNTA(A433:G433)=0,"",IF(AND(ISNUMBER(D433),ISNUMBER(J433)),ROUND(D433*J433*(1-N(F433)),2),0))</f>
        <v/>
      </c>
      <c r="M433" s="62" t="str">
        <f>IF(A433="","",IFERROR(INDEX(fa_cname,MATCH(A433,fa_num,0))&amp;"",""))</f>
        <v/>
      </c>
      <c r="N433" s="59" t="str">
        <f>IF(COUNTA(A433:G433)=0,"",IF(A433="","N° facture manquant",IF(ISNA(MATCH(A433,fa_num,0)),"Facture inconnue",IF(AND(B433&lt;&gt;"",ISNA(MATCH(B433,pr_code,0))),"Article inconnu",IF(H433="","Désignation manquante",IF(OR(NOT(ISNUMBER(D433)),N(D433)&lt;=0),"Quantité invalide",IF(J433="","Prix manquant",IF(OR(NOT(ISNUMBER(J433)),N(J433)&lt;0),"Prix invalide",IF(OR(AND(F433&lt;&gt;"",NOT(ISNUMBER(F433))),N(F433)&lt;0,N(F433)&gt;1),"Remise invalide",IF(K433="","Taux de TVA manquant",IF(NOT(ISNUMBER(K433)),"Taux de TVA invalide",IF(COUNTIF(p_rates,K433)=0,"Taux de TVA hors liste (Paramètres)",IF(N(O433)&gt;25,"Au-delà de 25 lignes : non imprimée","OK")))))))))))))</f>
        <v/>
      </c>
      <c r="O433" s="59" t="str">
        <f>IF(A433="","",COUNTIF($A$6:A433,A433))</f>
        <v/>
      </c>
      <c r="P433" s="62" t="str">
        <f>IF(A433="","",A433&amp;"|"&amp;O433)</f>
        <v/>
      </c>
    </row>
    <row r="434">
      <c r="A434" s="60" t="n"/>
      <c r="B434" s="63" t="n"/>
      <c r="C434" s="63" t="n"/>
      <c r="D434" s="67" t="n"/>
      <c r="E434" s="68" t="n"/>
      <c r="F434" s="69" t="n"/>
      <c r="G434" s="70" t="n"/>
      <c r="H434" s="62" t="str">
        <f>IF(COUNTA(A434:G434)=0,"",IF(C434&lt;&gt;"",C434,IF(B434="","",IFERROR(INDEX(pr_des,MATCH(B434,pr_code,0))&amp;"",""))))</f>
        <v/>
      </c>
      <c r="I434" s="59" t="str">
        <f>IF(B434="","",IFERROR(INDEX(pr_unit,MATCH(B434,pr_code,0))&amp;"",""))</f>
        <v/>
      </c>
      <c r="J434" s="65" t="str">
        <f>IF(COUNTA(A434:G434)=0,"",IF(E434&lt;&gt;"",E434,IF(B434="","",IFERROR(IF(INDEX(pr_price,MATCH(B434,pr_code,0))="","",INDEX(pr_price,MATCH(B434,pr_code,0))),""))))</f>
        <v/>
      </c>
      <c r="K434" s="71" t="str">
        <f>IF(COUNTA(A434:G434)=0,"",IF(G434&lt;&gt;"",G434,IF(B434="","",IFERROR(IF(INDEX(pr_rate,MATCH(B434,pr_code,0))="","",INDEX(pr_rate,MATCH(B434,pr_code,0))),""))))</f>
        <v/>
      </c>
      <c r="L434" s="65" t="str">
        <f>IF(COUNTA(A434:G434)=0,"",IF(AND(ISNUMBER(D434),ISNUMBER(J434)),ROUND(D434*J434*(1-N(F434)),2),0))</f>
        <v/>
      </c>
      <c r="M434" s="62" t="str">
        <f>IF(A434="","",IFERROR(INDEX(fa_cname,MATCH(A434,fa_num,0))&amp;"",""))</f>
        <v/>
      </c>
      <c r="N434" s="59" t="str">
        <f>IF(COUNTA(A434:G434)=0,"",IF(A434="","N° facture manquant",IF(ISNA(MATCH(A434,fa_num,0)),"Facture inconnue",IF(AND(B434&lt;&gt;"",ISNA(MATCH(B434,pr_code,0))),"Article inconnu",IF(H434="","Désignation manquante",IF(OR(NOT(ISNUMBER(D434)),N(D434)&lt;=0),"Quantité invalide",IF(J434="","Prix manquant",IF(OR(NOT(ISNUMBER(J434)),N(J434)&lt;0),"Prix invalide",IF(OR(AND(F434&lt;&gt;"",NOT(ISNUMBER(F434))),N(F434)&lt;0,N(F434)&gt;1),"Remise invalide",IF(K434="","Taux de TVA manquant",IF(NOT(ISNUMBER(K434)),"Taux de TVA invalide",IF(COUNTIF(p_rates,K434)=0,"Taux de TVA hors liste (Paramètres)",IF(N(O434)&gt;25,"Au-delà de 25 lignes : non imprimée","OK")))))))))))))</f>
        <v/>
      </c>
      <c r="O434" s="59" t="str">
        <f>IF(A434="","",COUNTIF($A$6:A434,A434))</f>
        <v/>
      </c>
      <c r="P434" s="62" t="str">
        <f>IF(A434="","",A434&amp;"|"&amp;O434)</f>
        <v/>
      </c>
    </row>
    <row r="435">
      <c r="A435" s="60" t="n"/>
      <c r="B435" s="63" t="n"/>
      <c r="C435" s="63" t="n"/>
      <c r="D435" s="67" t="n"/>
      <c r="E435" s="68" t="n"/>
      <c r="F435" s="69" t="n"/>
      <c r="G435" s="70" t="n"/>
      <c r="H435" s="62" t="str">
        <f>IF(COUNTA(A435:G435)=0,"",IF(C435&lt;&gt;"",C435,IF(B435="","",IFERROR(INDEX(pr_des,MATCH(B435,pr_code,0))&amp;"",""))))</f>
        <v/>
      </c>
      <c r="I435" s="59" t="str">
        <f>IF(B435="","",IFERROR(INDEX(pr_unit,MATCH(B435,pr_code,0))&amp;"",""))</f>
        <v/>
      </c>
      <c r="J435" s="65" t="str">
        <f>IF(COUNTA(A435:G435)=0,"",IF(E435&lt;&gt;"",E435,IF(B435="","",IFERROR(IF(INDEX(pr_price,MATCH(B435,pr_code,0))="","",INDEX(pr_price,MATCH(B435,pr_code,0))),""))))</f>
        <v/>
      </c>
      <c r="K435" s="71" t="str">
        <f>IF(COUNTA(A435:G435)=0,"",IF(G435&lt;&gt;"",G435,IF(B435="","",IFERROR(IF(INDEX(pr_rate,MATCH(B435,pr_code,0))="","",INDEX(pr_rate,MATCH(B435,pr_code,0))),""))))</f>
        <v/>
      </c>
      <c r="L435" s="65" t="str">
        <f>IF(COUNTA(A435:G435)=0,"",IF(AND(ISNUMBER(D435),ISNUMBER(J435)),ROUND(D435*J435*(1-N(F435)),2),0))</f>
        <v/>
      </c>
      <c r="M435" s="62" t="str">
        <f>IF(A435="","",IFERROR(INDEX(fa_cname,MATCH(A435,fa_num,0))&amp;"",""))</f>
        <v/>
      </c>
      <c r="N435" s="59" t="str">
        <f>IF(COUNTA(A435:G435)=0,"",IF(A435="","N° facture manquant",IF(ISNA(MATCH(A435,fa_num,0)),"Facture inconnue",IF(AND(B435&lt;&gt;"",ISNA(MATCH(B435,pr_code,0))),"Article inconnu",IF(H435="","Désignation manquante",IF(OR(NOT(ISNUMBER(D435)),N(D435)&lt;=0),"Quantité invalide",IF(J435="","Prix manquant",IF(OR(NOT(ISNUMBER(J435)),N(J435)&lt;0),"Prix invalide",IF(OR(AND(F435&lt;&gt;"",NOT(ISNUMBER(F435))),N(F435)&lt;0,N(F435)&gt;1),"Remise invalide",IF(K435="","Taux de TVA manquant",IF(NOT(ISNUMBER(K435)),"Taux de TVA invalide",IF(COUNTIF(p_rates,K435)=0,"Taux de TVA hors liste (Paramètres)",IF(N(O435)&gt;25,"Au-delà de 25 lignes : non imprimée","OK")))))))))))))</f>
        <v/>
      </c>
      <c r="O435" s="59" t="str">
        <f>IF(A435="","",COUNTIF($A$6:A435,A435))</f>
        <v/>
      </c>
      <c r="P435" s="62" t="str">
        <f>IF(A435="","",A435&amp;"|"&amp;O435)</f>
        <v/>
      </c>
    </row>
    <row r="436">
      <c r="A436" s="60" t="n"/>
      <c r="B436" s="63" t="n"/>
      <c r="C436" s="63" t="n"/>
      <c r="D436" s="67" t="n"/>
      <c r="E436" s="68" t="n"/>
      <c r="F436" s="69" t="n"/>
      <c r="G436" s="70" t="n"/>
      <c r="H436" s="62" t="str">
        <f>IF(COUNTA(A436:G436)=0,"",IF(C436&lt;&gt;"",C436,IF(B436="","",IFERROR(INDEX(pr_des,MATCH(B436,pr_code,0))&amp;"",""))))</f>
        <v/>
      </c>
      <c r="I436" s="59" t="str">
        <f>IF(B436="","",IFERROR(INDEX(pr_unit,MATCH(B436,pr_code,0))&amp;"",""))</f>
        <v/>
      </c>
      <c r="J436" s="65" t="str">
        <f>IF(COUNTA(A436:G436)=0,"",IF(E436&lt;&gt;"",E436,IF(B436="","",IFERROR(IF(INDEX(pr_price,MATCH(B436,pr_code,0))="","",INDEX(pr_price,MATCH(B436,pr_code,0))),""))))</f>
        <v/>
      </c>
      <c r="K436" s="71" t="str">
        <f>IF(COUNTA(A436:G436)=0,"",IF(G436&lt;&gt;"",G436,IF(B436="","",IFERROR(IF(INDEX(pr_rate,MATCH(B436,pr_code,0))="","",INDEX(pr_rate,MATCH(B436,pr_code,0))),""))))</f>
        <v/>
      </c>
      <c r="L436" s="65" t="str">
        <f>IF(COUNTA(A436:G436)=0,"",IF(AND(ISNUMBER(D436),ISNUMBER(J436)),ROUND(D436*J436*(1-N(F436)),2),0))</f>
        <v/>
      </c>
      <c r="M436" s="62" t="str">
        <f>IF(A436="","",IFERROR(INDEX(fa_cname,MATCH(A436,fa_num,0))&amp;"",""))</f>
        <v/>
      </c>
      <c r="N436" s="59" t="str">
        <f>IF(COUNTA(A436:G436)=0,"",IF(A436="","N° facture manquant",IF(ISNA(MATCH(A436,fa_num,0)),"Facture inconnue",IF(AND(B436&lt;&gt;"",ISNA(MATCH(B436,pr_code,0))),"Article inconnu",IF(H436="","Désignation manquante",IF(OR(NOT(ISNUMBER(D436)),N(D436)&lt;=0),"Quantité invalide",IF(J436="","Prix manquant",IF(OR(NOT(ISNUMBER(J436)),N(J436)&lt;0),"Prix invalide",IF(OR(AND(F436&lt;&gt;"",NOT(ISNUMBER(F436))),N(F436)&lt;0,N(F436)&gt;1),"Remise invalide",IF(K436="","Taux de TVA manquant",IF(NOT(ISNUMBER(K436)),"Taux de TVA invalide",IF(COUNTIF(p_rates,K436)=0,"Taux de TVA hors liste (Paramètres)",IF(N(O436)&gt;25,"Au-delà de 25 lignes : non imprimée","OK")))))))))))))</f>
        <v/>
      </c>
      <c r="O436" s="59" t="str">
        <f>IF(A436="","",COUNTIF($A$6:A436,A436))</f>
        <v/>
      </c>
      <c r="P436" s="62" t="str">
        <f>IF(A436="","",A436&amp;"|"&amp;O436)</f>
        <v/>
      </c>
    </row>
    <row r="437">
      <c r="A437" s="60" t="n"/>
      <c r="B437" s="63" t="n"/>
      <c r="C437" s="63" t="n"/>
      <c r="D437" s="67" t="n"/>
      <c r="E437" s="68" t="n"/>
      <c r="F437" s="69" t="n"/>
      <c r="G437" s="70" t="n"/>
      <c r="H437" s="62" t="str">
        <f>IF(COUNTA(A437:G437)=0,"",IF(C437&lt;&gt;"",C437,IF(B437="","",IFERROR(INDEX(pr_des,MATCH(B437,pr_code,0))&amp;"",""))))</f>
        <v/>
      </c>
      <c r="I437" s="59" t="str">
        <f>IF(B437="","",IFERROR(INDEX(pr_unit,MATCH(B437,pr_code,0))&amp;"",""))</f>
        <v/>
      </c>
      <c r="J437" s="65" t="str">
        <f>IF(COUNTA(A437:G437)=0,"",IF(E437&lt;&gt;"",E437,IF(B437="","",IFERROR(IF(INDEX(pr_price,MATCH(B437,pr_code,0))="","",INDEX(pr_price,MATCH(B437,pr_code,0))),""))))</f>
        <v/>
      </c>
      <c r="K437" s="71" t="str">
        <f>IF(COUNTA(A437:G437)=0,"",IF(G437&lt;&gt;"",G437,IF(B437="","",IFERROR(IF(INDEX(pr_rate,MATCH(B437,pr_code,0))="","",INDEX(pr_rate,MATCH(B437,pr_code,0))),""))))</f>
        <v/>
      </c>
      <c r="L437" s="65" t="str">
        <f>IF(COUNTA(A437:G437)=0,"",IF(AND(ISNUMBER(D437),ISNUMBER(J437)),ROUND(D437*J437*(1-N(F437)),2),0))</f>
        <v/>
      </c>
      <c r="M437" s="62" t="str">
        <f>IF(A437="","",IFERROR(INDEX(fa_cname,MATCH(A437,fa_num,0))&amp;"",""))</f>
        <v/>
      </c>
      <c r="N437" s="59" t="str">
        <f>IF(COUNTA(A437:G437)=0,"",IF(A437="","N° facture manquant",IF(ISNA(MATCH(A437,fa_num,0)),"Facture inconnue",IF(AND(B437&lt;&gt;"",ISNA(MATCH(B437,pr_code,0))),"Article inconnu",IF(H437="","Désignation manquante",IF(OR(NOT(ISNUMBER(D437)),N(D437)&lt;=0),"Quantité invalide",IF(J437="","Prix manquant",IF(OR(NOT(ISNUMBER(J437)),N(J437)&lt;0),"Prix invalide",IF(OR(AND(F437&lt;&gt;"",NOT(ISNUMBER(F437))),N(F437)&lt;0,N(F437)&gt;1),"Remise invalide",IF(K437="","Taux de TVA manquant",IF(NOT(ISNUMBER(K437)),"Taux de TVA invalide",IF(COUNTIF(p_rates,K437)=0,"Taux de TVA hors liste (Paramètres)",IF(N(O437)&gt;25,"Au-delà de 25 lignes : non imprimée","OK")))))))))))))</f>
        <v/>
      </c>
      <c r="O437" s="59" t="str">
        <f>IF(A437="","",COUNTIF($A$6:A437,A437))</f>
        <v/>
      </c>
      <c r="P437" s="62" t="str">
        <f>IF(A437="","",A437&amp;"|"&amp;O437)</f>
        <v/>
      </c>
    </row>
    <row r="438">
      <c r="A438" s="60" t="n"/>
      <c r="B438" s="63" t="n"/>
      <c r="C438" s="63" t="n"/>
      <c r="D438" s="67" t="n"/>
      <c r="E438" s="68" t="n"/>
      <c r="F438" s="69" t="n"/>
      <c r="G438" s="70" t="n"/>
      <c r="H438" s="62" t="str">
        <f>IF(COUNTA(A438:G438)=0,"",IF(C438&lt;&gt;"",C438,IF(B438="","",IFERROR(INDEX(pr_des,MATCH(B438,pr_code,0))&amp;"",""))))</f>
        <v/>
      </c>
      <c r="I438" s="59" t="str">
        <f>IF(B438="","",IFERROR(INDEX(pr_unit,MATCH(B438,pr_code,0))&amp;"",""))</f>
        <v/>
      </c>
      <c r="J438" s="65" t="str">
        <f>IF(COUNTA(A438:G438)=0,"",IF(E438&lt;&gt;"",E438,IF(B438="","",IFERROR(IF(INDEX(pr_price,MATCH(B438,pr_code,0))="","",INDEX(pr_price,MATCH(B438,pr_code,0))),""))))</f>
        <v/>
      </c>
      <c r="K438" s="71" t="str">
        <f>IF(COUNTA(A438:G438)=0,"",IF(G438&lt;&gt;"",G438,IF(B438="","",IFERROR(IF(INDEX(pr_rate,MATCH(B438,pr_code,0))="","",INDEX(pr_rate,MATCH(B438,pr_code,0))),""))))</f>
        <v/>
      </c>
      <c r="L438" s="65" t="str">
        <f>IF(COUNTA(A438:G438)=0,"",IF(AND(ISNUMBER(D438),ISNUMBER(J438)),ROUND(D438*J438*(1-N(F438)),2),0))</f>
        <v/>
      </c>
      <c r="M438" s="62" t="str">
        <f>IF(A438="","",IFERROR(INDEX(fa_cname,MATCH(A438,fa_num,0))&amp;"",""))</f>
        <v/>
      </c>
      <c r="N438" s="59" t="str">
        <f>IF(COUNTA(A438:G438)=0,"",IF(A438="","N° facture manquant",IF(ISNA(MATCH(A438,fa_num,0)),"Facture inconnue",IF(AND(B438&lt;&gt;"",ISNA(MATCH(B438,pr_code,0))),"Article inconnu",IF(H438="","Désignation manquante",IF(OR(NOT(ISNUMBER(D438)),N(D438)&lt;=0),"Quantité invalide",IF(J438="","Prix manquant",IF(OR(NOT(ISNUMBER(J438)),N(J438)&lt;0),"Prix invalide",IF(OR(AND(F438&lt;&gt;"",NOT(ISNUMBER(F438))),N(F438)&lt;0,N(F438)&gt;1),"Remise invalide",IF(K438="","Taux de TVA manquant",IF(NOT(ISNUMBER(K438)),"Taux de TVA invalide",IF(COUNTIF(p_rates,K438)=0,"Taux de TVA hors liste (Paramètres)",IF(N(O438)&gt;25,"Au-delà de 25 lignes : non imprimée","OK")))))))))))))</f>
        <v/>
      </c>
      <c r="O438" s="59" t="str">
        <f>IF(A438="","",COUNTIF($A$6:A438,A438))</f>
        <v/>
      </c>
      <c r="P438" s="62" t="str">
        <f>IF(A438="","",A438&amp;"|"&amp;O438)</f>
        <v/>
      </c>
    </row>
    <row r="439">
      <c r="A439" s="60" t="n"/>
      <c r="B439" s="63" t="n"/>
      <c r="C439" s="63" t="n"/>
      <c r="D439" s="67" t="n"/>
      <c r="E439" s="68" t="n"/>
      <c r="F439" s="69" t="n"/>
      <c r="G439" s="70" t="n"/>
      <c r="H439" s="62" t="str">
        <f>IF(COUNTA(A439:G439)=0,"",IF(C439&lt;&gt;"",C439,IF(B439="","",IFERROR(INDEX(pr_des,MATCH(B439,pr_code,0))&amp;"",""))))</f>
        <v/>
      </c>
      <c r="I439" s="59" t="str">
        <f>IF(B439="","",IFERROR(INDEX(pr_unit,MATCH(B439,pr_code,0))&amp;"",""))</f>
        <v/>
      </c>
      <c r="J439" s="65" t="str">
        <f>IF(COUNTA(A439:G439)=0,"",IF(E439&lt;&gt;"",E439,IF(B439="","",IFERROR(IF(INDEX(pr_price,MATCH(B439,pr_code,0))="","",INDEX(pr_price,MATCH(B439,pr_code,0))),""))))</f>
        <v/>
      </c>
      <c r="K439" s="71" t="str">
        <f>IF(COUNTA(A439:G439)=0,"",IF(G439&lt;&gt;"",G439,IF(B439="","",IFERROR(IF(INDEX(pr_rate,MATCH(B439,pr_code,0))="","",INDEX(pr_rate,MATCH(B439,pr_code,0))),""))))</f>
        <v/>
      </c>
      <c r="L439" s="65" t="str">
        <f>IF(COUNTA(A439:G439)=0,"",IF(AND(ISNUMBER(D439),ISNUMBER(J439)),ROUND(D439*J439*(1-N(F439)),2),0))</f>
        <v/>
      </c>
      <c r="M439" s="62" t="str">
        <f>IF(A439="","",IFERROR(INDEX(fa_cname,MATCH(A439,fa_num,0))&amp;"",""))</f>
        <v/>
      </c>
      <c r="N439" s="59" t="str">
        <f>IF(COUNTA(A439:G439)=0,"",IF(A439="","N° facture manquant",IF(ISNA(MATCH(A439,fa_num,0)),"Facture inconnue",IF(AND(B439&lt;&gt;"",ISNA(MATCH(B439,pr_code,0))),"Article inconnu",IF(H439="","Désignation manquante",IF(OR(NOT(ISNUMBER(D439)),N(D439)&lt;=0),"Quantité invalide",IF(J439="","Prix manquant",IF(OR(NOT(ISNUMBER(J439)),N(J439)&lt;0),"Prix invalide",IF(OR(AND(F439&lt;&gt;"",NOT(ISNUMBER(F439))),N(F439)&lt;0,N(F439)&gt;1),"Remise invalide",IF(K439="","Taux de TVA manquant",IF(NOT(ISNUMBER(K439)),"Taux de TVA invalide",IF(COUNTIF(p_rates,K439)=0,"Taux de TVA hors liste (Paramètres)",IF(N(O439)&gt;25,"Au-delà de 25 lignes : non imprimée","OK")))))))))))))</f>
        <v/>
      </c>
      <c r="O439" s="59" t="str">
        <f>IF(A439="","",COUNTIF($A$6:A439,A439))</f>
        <v/>
      </c>
      <c r="P439" s="62" t="str">
        <f>IF(A439="","",A439&amp;"|"&amp;O439)</f>
        <v/>
      </c>
    </row>
    <row r="440">
      <c r="A440" s="60" t="n"/>
      <c r="B440" s="63" t="n"/>
      <c r="C440" s="63" t="n"/>
      <c r="D440" s="67" t="n"/>
      <c r="E440" s="68" t="n"/>
      <c r="F440" s="69" t="n"/>
      <c r="G440" s="70" t="n"/>
      <c r="H440" s="62" t="str">
        <f>IF(COUNTA(A440:G440)=0,"",IF(C440&lt;&gt;"",C440,IF(B440="","",IFERROR(INDEX(pr_des,MATCH(B440,pr_code,0))&amp;"",""))))</f>
        <v/>
      </c>
      <c r="I440" s="59" t="str">
        <f>IF(B440="","",IFERROR(INDEX(pr_unit,MATCH(B440,pr_code,0))&amp;"",""))</f>
        <v/>
      </c>
      <c r="J440" s="65" t="str">
        <f>IF(COUNTA(A440:G440)=0,"",IF(E440&lt;&gt;"",E440,IF(B440="","",IFERROR(IF(INDEX(pr_price,MATCH(B440,pr_code,0))="","",INDEX(pr_price,MATCH(B440,pr_code,0))),""))))</f>
        <v/>
      </c>
      <c r="K440" s="71" t="str">
        <f>IF(COUNTA(A440:G440)=0,"",IF(G440&lt;&gt;"",G440,IF(B440="","",IFERROR(IF(INDEX(pr_rate,MATCH(B440,pr_code,0))="","",INDEX(pr_rate,MATCH(B440,pr_code,0))),""))))</f>
        <v/>
      </c>
      <c r="L440" s="65" t="str">
        <f>IF(COUNTA(A440:G440)=0,"",IF(AND(ISNUMBER(D440),ISNUMBER(J440)),ROUND(D440*J440*(1-N(F440)),2),0))</f>
        <v/>
      </c>
      <c r="M440" s="62" t="str">
        <f>IF(A440="","",IFERROR(INDEX(fa_cname,MATCH(A440,fa_num,0))&amp;"",""))</f>
        <v/>
      </c>
      <c r="N440" s="59" t="str">
        <f>IF(COUNTA(A440:G440)=0,"",IF(A440="","N° facture manquant",IF(ISNA(MATCH(A440,fa_num,0)),"Facture inconnue",IF(AND(B440&lt;&gt;"",ISNA(MATCH(B440,pr_code,0))),"Article inconnu",IF(H440="","Désignation manquante",IF(OR(NOT(ISNUMBER(D440)),N(D440)&lt;=0),"Quantité invalide",IF(J440="","Prix manquant",IF(OR(NOT(ISNUMBER(J440)),N(J440)&lt;0),"Prix invalide",IF(OR(AND(F440&lt;&gt;"",NOT(ISNUMBER(F440))),N(F440)&lt;0,N(F440)&gt;1),"Remise invalide",IF(K440="","Taux de TVA manquant",IF(NOT(ISNUMBER(K440)),"Taux de TVA invalide",IF(COUNTIF(p_rates,K440)=0,"Taux de TVA hors liste (Paramètres)",IF(N(O440)&gt;25,"Au-delà de 25 lignes : non imprimée","OK")))))))))))))</f>
        <v/>
      </c>
      <c r="O440" s="59" t="str">
        <f>IF(A440="","",COUNTIF($A$6:A440,A440))</f>
        <v/>
      </c>
      <c r="P440" s="62" t="str">
        <f>IF(A440="","",A440&amp;"|"&amp;O440)</f>
        <v/>
      </c>
    </row>
    <row r="441">
      <c r="A441" s="60" t="n"/>
      <c r="B441" s="63" t="n"/>
      <c r="C441" s="63" t="n"/>
      <c r="D441" s="67" t="n"/>
      <c r="E441" s="68" t="n"/>
      <c r="F441" s="69" t="n"/>
      <c r="G441" s="70" t="n"/>
      <c r="H441" s="62" t="str">
        <f>IF(COUNTA(A441:G441)=0,"",IF(C441&lt;&gt;"",C441,IF(B441="","",IFERROR(INDEX(pr_des,MATCH(B441,pr_code,0))&amp;"",""))))</f>
        <v/>
      </c>
      <c r="I441" s="59" t="str">
        <f>IF(B441="","",IFERROR(INDEX(pr_unit,MATCH(B441,pr_code,0))&amp;"",""))</f>
        <v/>
      </c>
      <c r="J441" s="65" t="str">
        <f>IF(COUNTA(A441:G441)=0,"",IF(E441&lt;&gt;"",E441,IF(B441="","",IFERROR(IF(INDEX(pr_price,MATCH(B441,pr_code,0))="","",INDEX(pr_price,MATCH(B441,pr_code,0))),""))))</f>
        <v/>
      </c>
      <c r="K441" s="71" t="str">
        <f>IF(COUNTA(A441:G441)=0,"",IF(G441&lt;&gt;"",G441,IF(B441="","",IFERROR(IF(INDEX(pr_rate,MATCH(B441,pr_code,0))="","",INDEX(pr_rate,MATCH(B441,pr_code,0))),""))))</f>
        <v/>
      </c>
      <c r="L441" s="65" t="str">
        <f>IF(COUNTA(A441:G441)=0,"",IF(AND(ISNUMBER(D441),ISNUMBER(J441)),ROUND(D441*J441*(1-N(F441)),2),0))</f>
        <v/>
      </c>
      <c r="M441" s="62" t="str">
        <f>IF(A441="","",IFERROR(INDEX(fa_cname,MATCH(A441,fa_num,0))&amp;"",""))</f>
        <v/>
      </c>
      <c r="N441" s="59" t="str">
        <f>IF(COUNTA(A441:G441)=0,"",IF(A441="","N° facture manquant",IF(ISNA(MATCH(A441,fa_num,0)),"Facture inconnue",IF(AND(B441&lt;&gt;"",ISNA(MATCH(B441,pr_code,0))),"Article inconnu",IF(H441="","Désignation manquante",IF(OR(NOT(ISNUMBER(D441)),N(D441)&lt;=0),"Quantité invalide",IF(J441="","Prix manquant",IF(OR(NOT(ISNUMBER(J441)),N(J441)&lt;0),"Prix invalide",IF(OR(AND(F441&lt;&gt;"",NOT(ISNUMBER(F441))),N(F441)&lt;0,N(F441)&gt;1),"Remise invalide",IF(K441="","Taux de TVA manquant",IF(NOT(ISNUMBER(K441)),"Taux de TVA invalide",IF(COUNTIF(p_rates,K441)=0,"Taux de TVA hors liste (Paramètres)",IF(N(O441)&gt;25,"Au-delà de 25 lignes : non imprimée","OK")))))))))))))</f>
        <v/>
      </c>
      <c r="O441" s="59" t="str">
        <f>IF(A441="","",COUNTIF($A$6:A441,A441))</f>
        <v/>
      </c>
      <c r="P441" s="62" t="str">
        <f>IF(A441="","",A441&amp;"|"&amp;O441)</f>
        <v/>
      </c>
    </row>
    <row r="442">
      <c r="A442" s="60" t="n"/>
      <c r="B442" s="63" t="n"/>
      <c r="C442" s="63" t="n"/>
      <c r="D442" s="67" t="n"/>
      <c r="E442" s="68" t="n"/>
      <c r="F442" s="69" t="n"/>
      <c r="G442" s="70" t="n"/>
      <c r="H442" s="62" t="str">
        <f>IF(COUNTA(A442:G442)=0,"",IF(C442&lt;&gt;"",C442,IF(B442="","",IFERROR(INDEX(pr_des,MATCH(B442,pr_code,0))&amp;"",""))))</f>
        <v/>
      </c>
      <c r="I442" s="59" t="str">
        <f>IF(B442="","",IFERROR(INDEX(pr_unit,MATCH(B442,pr_code,0))&amp;"",""))</f>
        <v/>
      </c>
      <c r="J442" s="65" t="str">
        <f>IF(COUNTA(A442:G442)=0,"",IF(E442&lt;&gt;"",E442,IF(B442="","",IFERROR(IF(INDEX(pr_price,MATCH(B442,pr_code,0))="","",INDEX(pr_price,MATCH(B442,pr_code,0))),""))))</f>
        <v/>
      </c>
      <c r="K442" s="71" t="str">
        <f>IF(COUNTA(A442:G442)=0,"",IF(G442&lt;&gt;"",G442,IF(B442="","",IFERROR(IF(INDEX(pr_rate,MATCH(B442,pr_code,0))="","",INDEX(pr_rate,MATCH(B442,pr_code,0))),""))))</f>
        <v/>
      </c>
      <c r="L442" s="65" t="str">
        <f>IF(COUNTA(A442:G442)=0,"",IF(AND(ISNUMBER(D442),ISNUMBER(J442)),ROUND(D442*J442*(1-N(F442)),2),0))</f>
        <v/>
      </c>
      <c r="M442" s="62" t="str">
        <f>IF(A442="","",IFERROR(INDEX(fa_cname,MATCH(A442,fa_num,0))&amp;"",""))</f>
        <v/>
      </c>
      <c r="N442" s="59" t="str">
        <f>IF(COUNTA(A442:G442)=0,"",IF(A442="","N° facture manquant",IF(ISNA(MATCH(A442,fa_num,0)),"Facture inconnue",IF(AND(B442&lt;&gt;"",ISNA(MATCH(B442,pr_code,0))),"Article inconnu",IF(H442="","Désignation manquante",IF(OR(NOT(ISNUMBER(D442)),N(D442)&lt;=0),"Quantité invalide",IF(J442="","Prix manquant",IF(OR(NOT(ISNUMBER(J442)),N(J442)&lt;0),"Prix invalide",IF(OR(AND(F442&lt;&gt;"",NOT(ISNUMBER(F442))),N(F442)&lt;0,N(F442)&gt;1),"Remise invalide",IF(K442="","Taux de TVA manquant",IF(NOT(ISNUMBER(K442)),"Taux de TVA invalide",IF(COUNTIF(p_rates,K442)=0,"Taux de TVA hors liste (Paramètres)",IF(N(O442)&gt;25,"Au-delà de 25 lignes : non imprimée","OK")))))))))))))</f>
        <v/>
      </c>
      <c r="O442" s="59" t="str">
        <f>IF(A442="","",COUNTIF($A$6:A442,A442))</f>
        <v/>
      </c>
      <c r="P442" s="62" t="str">
        <f>IF(A442="","",A442&amp;"|"&amp;O442)</f>
        <v/>
      </c>
    </row>
    <row r="443">
      <c r="A443" s="60" t="n"/>
      <c r="B443" s="63" t="n"/>
      <c r="C443" s="63" t="n"/>
      <c r="D443" s="67" t="n"/>
      <c r="E443" s="68" t="n"/>
      <c r="F443" s="69" t="n"/>
      <c r="G443" s="70" t="n"/>
      <c r="H443" s="62" t="str">
        <f>IF(COUNTA(A443:G443)=0,"",IF(C443&lt;&gt;"",C443,IF(B443="","",IFERROR(INDEX(pr_des,MATCH(B443,pr_code,0))&amp;"",""))))</f>
        <v/>
      </c>
      <c r="I443" s="59" t="str">
        <f>IF(B443="","",IFERROR(INDEX(pr_unit,MATCH(B443,pr_code,0))&amp;"",""))</f>
        <v/>
      </c>
      <c r="J443" s="65" t="str">
        <f>IF(COUNTA(A443:G443)=0,"",IF(E443&lt;&gt;"",E443,IF(B443="","",IFERROR(IF(INDEX(pr_price,MATCH(B443,pr_code,0))="","",INDEX(pr_price,MATCH(B443,pr_code,0))),""))))</f>
        <v/>
      </c>
      <c r="K443" s="71" t="str">
        <f>IF(COUNTA(A443:G443)=0,"",IF(G443&lt;&gt;"",G443,IF(B443="","",IFERROR(IF(INDEX(pr_rate,MATCH(B443,pr_code,0))="","",INDEX(pr_rate,MATCH(B443,pr_code,0))),""))))</f>
        <v/>
      </c>
      <c r="L443" s="65" t="str">
        <f>IF(COUNTA(A443:G443)=0,"",IF(AND(ISNUMBER(D443),ISNUMBER(J443)),ROUND(D443*J443*(1-N(F443)),2),0))</f>
        <v/>
      </c>
      <c r="M443" s="62" t="str">
        <f>IF(A443="","",IFERROR(INDEX(fa_cname,MATCH(A443,fa_num,0))&amp;"",""))</f>
        <v/>
      </c>
      <c r="N443" s="59" t="str">
        <f>IF(COUNTA(A443:G443)=0,"",IF(A443="","N° facture manquant",IF(ISNA(MATCH(A443,fa_num,0)),"Facture inconnue",IF(AND(B443&lt;&gt;"",ISNA(MATCH(B443,pr_code,0))),"Article inconnu",IF(H443="","Désignation manquante",IF(OR(NOT(ISNUMBER(D443)),N(D443)&lt;=0),"Quantité invalide",IF(J443="","Prix manquant",IF(OR(NOT(ISNUMBER(J443)),N(J443)&lt;0),"Prix invalide",IF(OR(AND(F443&lt;&gt;"",NOT(ISNUMBER(F443))),N(F443)&lt;0,N(F443)&gt;1),"Remise invalide",IF(K443="","Taux de TVA manquant",IF(NOT(ISNUMBER(K443)),"Taux de TVA invalide",IF(COUNTIF(p_rates,K443)=0,"Taux de TVA hors liste (Paramètres)",IF(N(O443)&gt;25,"Au-delà de 25 lignes : non imprimée","OK")))))))))))))</f>
        <v/>
      </c>
      <c r="O443" s="59" t="str">
        <f>IF(A443="","",COUNTIF($A$6:A443,A443))</f>
        <v/>
      </c>
      <c r="P443" s="62" t="str">
        <f>IF(A443="","",A443&amp;"|"&amp;O443)</f>
        <v/>
      </c>
    </row>
    <row r="444">
      <c r="A444" s="60" t="n"/>
      <c r="B444" s="63" t="n"/>
      <c r="C444" s="63" t="n"/>
      <c r="D444" s="67" t="n"/>
      <c r="E444" s="68" t="n"/>
      <c r="F444" s="69" t="n"/>
      <c r="G444" s="70" t="n"/>
      <c r="H444" s="62" t="str">
        <f>IF(COUNTA(A444:G444)=0,"",IF(C444&lt;&gt;"",C444,IF(B444="","",IFERROR(INDEX(pr_des,MATCH(B444,pr_code,0))&amp;"",""))))</f>
        <v/>
      </c>
      <c r="I444" s="59" t="str">
        <f>IF(B444="","",IFERROR(INDEX(pr_unit,MATCH(B444,pr_code,0))&amp;"",""))</f>
        <v/>
      </c>
      <c r="J444" s="65" t="str">
        <f>IF(COUNTA(A444:G444)=0,"",IF(E444&lt;&gt;"",E444,IF(B444="","",IFERROR(IF(INDEX(pr_price,MATCH(B444,pr_code,0))="","",INDEX(pr_price,MATCH(B444,pr_code,0))),""))))</f>
        <v/>
      </c>
      <c r="K444" s="71" t="str">
        <f>IF(COUNTA(A444:G444)=0,"",IF(G444&lt;&gt;"",G444,IF(B444="","",IFERROR(IF(INDEX(pr_rate,MATCH(B444,pr_code,0))="","",INDEX(pr_rate,MATCH(B444,pr_code,0))),""))))</f>
        <v/>
      </c>
      <c r="L444" s="65" t="str">
        <f>IF(COUNTA(A444:G444)=0,"",IF(AND(ISNUMBER(D444),ISNUMBER(J444)),ROUND(D444*J444*(1-N(F444)),2),0))</f>
        <v/>
      </c>
      <c r="M444" s="62" t="str">
        <f>IF(A444="","",IFERROR(INDEX(fa_cname,MATCH(A444,fa_num,0))&amp;"",""))</f>
        <v/>
      </c>
      <c r="N444" s="59" t="str">
        <f>IF(COUNTA(A444:G444)=0,"",IF(A444="","N° facture manquant",IF(ISNA(MATCH(A444,fa_num,0)),"Facture inconnue",IF(AND(B444&lt;&gt;"",ISNA(MATCH(B444,pr_code,0))),"Article inconnu",IF(H444="","Désignation manquante",IF(OR(NOT(ISNUMBER(D444)),N(D444)&lt;=0),"Quantité invalide",IF(J444="","Prix manquant",IF(OR(NOT(ISNUMBER(J444)),N(J444)&lt;0),"Prix invalide",IF(OR(AND(F444&lt;&gt;"",NOT(ISNUMBER(F444))),N(F444)&lt;0,N(F444)&gt;1),"Remise invalide",IF(K444="","Taux de TVA manquant",IF(NOT(ISNUMBER(K444)),"Taux de TVA invalide",IF(COUNTIF(p_rates,K444)=0,"Taux de TVA hors liste (Paramètres)",IF(N(O444)&gt;25,"Au-delà de 25 lignes : non imprimée","OK")))))))))))))</f>
        <v/>
      </c>
      <c r="O444" s="59" t="str">
        <f>IF(A444="","",COUNTIF($A$6:A444,A444))</f>
        <v/>
      </c>
      <c r="P444" s="62" t="str">
        <f>IF(A444="","",A444&amp;"|"&amp;O444)</f>
        <v/>
      </c>
    </row>
    <row r="445">
      <c r="A445" s="60" t="n"/>
      <c r="B445" s="63" t="n"/>
      <c r="C445" s="63" t="n"/>
      <c r="D445" s="67" t="n"/>
      <c r="E445" s="68" t="n"/>
      <c r="F445" s="69" t="n"/>
      <c r="G445" s="70" t="n"/>
      <c r="H445" s="62" t="str">
        <f>IF(COUNTA(A445:G445)=0,"",IF(C445&lt;&gt;"",C445,IF(B445="","",IFERROR(INDEX(pr_des,MATCH(B445,pr_code,0))&amp;"",""))))</f>
        <v/>
      </c>
      <c r="I445" s="59" t="str">
        <f>IF(B445="","",IFERROR(INDEX(pr_unit,MATCH(B445,pr_code,0))&amp;"",""))</f>
        <v/>
      </c>
      <c r="J445" s="65" t="str">
        <f>IF(COUNTA(A445:G445)=0,"",IF(E445&lt;&gt;"",E445,IF(B445="","",IFERROR(IF(INDEX(pr_price,MATCH(B445,pr_code,0))="","",INDEX(pr_price,MATCH(B445,pr_code,0))),""))))</f>
        <v/>
      </c>
      <c r="K445" s="71" t="str">
        <f>IF(COUNTA(A445:G445)=0,"",IF(G445&lt;&gt;"",G445,IF(B445="","",IFERROR(IF(INDEX(pr_rate,MATCH(B445,pr_code,0))="","",INDEX(pr_rate,MATCH(B445,pr_code,0))),""))))</f>
        <v/>
      </c>
      <c r="L445" s="65" t="str">
        <f>IF(COUNTA(A445:G445)=0,"",IF(AND(ISNUMBER(D445),ISNUMBER(J445)),ROUND(D445*J445*(1-N(F445)),2),0))</f>
        <v/>
      </c>
      <c r="M445" s="62" t="str">
        <f>IF(A445="","",IFERROR(INDEX(fa_cname,MATCH(A445,fa_num,0))&amp;"",""))</f>
        <v/>
      </c>
      <c r="N445" s="59" t="str">
        <f>IF(COUNTA(A445:G445)=0,"",IF(A445="","N° facture manquant",IF(ISNA(MATCH(A445,fa_num,0)),"Facture inconnue",IF(AND(B445&lt;&gt;"",ISNA(MATCH(B445,pr_code,0))),"Article inconnu",IF(H445="","Désignation manquante",IF(OR(NOT(ISNUMBER(D445)),N(D445)&lt;=0),"Quantité invalide",IF(J445="","Prix manquant",IF(OR(NOT(ISNUMBER(J445)),N(J445)&lt;0),"Prix invalide",IF(OR(AND(F445&lt;&gt;"",NOT(ISNUMBER(F445))),N(F445)&lt;0,N(F445)&gt;1),"Remise invalide",IF(K445="","Taux de TVA manquant",IF(NOT(ISNUMBER(K445)),"Taux de TVA invalide",IF(COUNTIF(p_rates,K445)=0,"Taux de TVA hors liste (Paramètres)",IF(N(O445)&gt;25,"Au-delà de 25 lignes : non imprimée","OK")))))))))))))</f>
        <v/>
      </c>
      <c r="O445" s="59" t="str">
        <f>IF(A445="","",COUNTIF($A$6:A445,A445))</f>
        <v/>
      </c>
      <c r="P445" s="62" t="str">
        <f>IF(A445="","",A445&amp;"|"&amp;O445)</f>
        <v/>
      </c>
    </row>
    <row r="446">
      <c r="A446" s="60" t="n"/>
      <c r="B446" s="63" t="n"/>
      <c r="C446" s="63" t="n"/>
      <c r="D446" s="67" t="n"/>
      <c r="E446" s="68" t="n"/>
      <c r="F446" s="69" t="n"/>
      <c r="G446" s="70" t="n"/>
      <c r="H446" s="62" t="str">
        <f>IF(COUNTA(A446:G446)=0,"",IF(C446&lt;&gt;"",C446,IF(B446="","",IFERROR(INDEX(pr_des,MATCH(B446,pr_code,0))&amp;"",""))))</f>
        <v/>
      </c>
      <c r="I446" s="59" t="str">
        <f>IF(B446="","",IFERROR(INDEX(pr_unit,MATCH(B446,pr_code,0))&amp;"",""))</f>
        <v/>
      </c>
      <c r="J446" s="65" t="str">
        <f>IF(COUNTA(A446:G446)=0,"",IF(E446&lt;&gt;"",E446,IF(B446="","",IFERROR(IF(INDEX(pr_price,MATCH(B446,pr_code,0))="","",INDEX(pr_price,MATCH(B446,pr_code,0))),""))))</f>
        <v/>
      </c>
      <c r="K446" s="71" t="str">
        <f>IF(COUNTA(A446:G446)=0,"",IF(G446&lt;&gt;"",G446,IF(B446="","",IFERROR(IF(INDEX(pr_rate,MATCH(B446,pr_code,0))="","",INDEX(pr_rate,MATCH(B446,pr_code,0))),""))))</f>
        <v/>
      </c>
      <c r="L446" s="65" t="str">
        <f>IF(COUNTA(A446:G446)=0,"",IF(AND(ISNUMBER(D446),ISNUMBER(J446)),ROUND(D446*J446*(1-N(F446)),2),0))</f>
        <v/>
      </c>
      <c r="M446" s="62" t="str">
        <f>IF(A446="","",IFERROR(INDEX(fa_cname,MATCH(A446,fa_num,0))&amp;"",""))</f>
        <v/>
      </c>
      <c r="N446" s="59" t="str">
        <f>IF(COUNTA(A446:G446)=0,"",IF(A446="","N° facture manquant",IF(ISNA(MATCH(A446,fa_num,0)),"Facture inconnue",IF(AND(B446&lt;&gt;"",ISNA(MATCH(B446,pr_code,0))),"Article inconnu",IF(H446="","Désignation manquante",IF(OR(NOT(ISNUMBER(D446)),N(D446)&lt;=0),"Quantité invalide",IF(J446="","Prix manquant",IF(OR(NOT(ISNUMBER(J446)),N(J446)&lt;0),"Prix invalide",IF(OR(AND(F446&lt;&gt;"",NOT(ISNUMBER(F446))),N(F446)&lt;0,N(F446)&gt;1),"Remise invalide",IF(K446="","Taux de TVA manquant",IF(NOT(ISNUMBER(K446)),"Taux de TVA invalide",IF(COUNTIF(p_rates,K446)=0,"Taux de TVA hors liste (Paramètres)",IF(N(O446)&gt;25,"Au-delà de 25 lignes : non imprimée","OK")))))))))))))</f>
        <v/>
      </c>
      <c r="O446" s="59" t="str">
        <f>IF(A446="","",COUNTIF($A$6:A446,A446))</f>
        <v/>
      </c>
      <c r="P446" s="62" t="str">
        <f>IF(A446="","",A446&amp;"|"&amp;O446)</f>
        <v/>
      </c>
    </row>
    <row r="447">
      <c r="A447" s="60" t="n"/>
      <c r="B447" s="63" t="n"/>
      <c r="C447" s="63" t="n"/>
      <c r="D447" s="67" t="n"/>
      <c r="E447" s="68" t="n"/>
      <c r="F447" s="69" t="n"/>
      <c r="G447" s="70" t="n"/>
      <c r="H447" s="62" t="str">
        <f>IF(COUNTA(A447:G447)=0,"",IF(C447&lt;&gt;"",C447,IF(B447="","",IFERROR(INDEX(pr_des,MATCH(B447,pr_code,0))&amp;"",""))))</f>
        <v/>
      </c>
      <c r="I447" s="59" t="str">
        <f>IF(B447="","",IFERROR(INDEX(pr_unit,MATCH(B447,pr_code,0))&amp;"",""))</f>
        <v/>
      </c>
      <c r="J447" s="65" t="str">
        <f>IF(COUNTA(A447:G447)=0,"",IF(E447&lt;&gt;"",E447,IF(B447="","",IFERROR(IF(INDEX(pr_price,MATCH(B447,pr_code,0))="","",INDEX(pr_price,MATCH(B447,pr_code,0))),""))))</f>
        <v/>
      </c>
      <c r="K447" s="71" t="str">
        <f>IF(COUNTA(A447:G447)=0,"",IF(G447&lt;&gt;"",G447,IF(B447="","",IFERROR(IF(INDEX(pr_rate,MATCH(B447,pr_code,0))="","",INDEX(pr_rate,MATCH(B447,pr_code,0))),""))))</f>
        <v/>
      </c>
      <c r="L447" s="65" t="str">
        <f>IF(COUNTA(A447:G447)=0,"",IF(AND(ISNUMBER(D447),ISNUMBER(J447)),ROUND(D447*J447*(1-N(F447)),2),0))</f>
        <v/>
      </c>
      <c r="M447" s="62" t="str">
        <f>IF(A447="","",IFERROR(INDEX(fa_cname,MATCH(A447,fa_num,0))&amp;"",""))</f>
        <v/>
      </c>
      <c r="N447" s="59" t="str">
        <f>IF(COUNTA(A447:G447)=0,"",IF(A447="","N° facture manquant",IF(ISNA(MATCH(A447,fa_num,0)),"Facture inconnue",IF(AND(B447&lt;&gt;"",ISNA(MATCH(B447,pr_code,0))),"Article inconnu",IF(H447="","Désignation manquante",IF(OR(NOT(ISNUMBER(D447)),N(D447)&lt;=0),"Quantité invalide",IF(J447="","Prix manquant",IF(OR(NOT(ISNUMBER(J447)),N(J447)&lt;0),"Prix invalide",IF(OR(AND(F447&lt;&gt;"",NOT(ISNUMBER(F447))),N(F447)&lt;0,N(F447)&gt;1),"Remise invalide",IF(K447="","Taux de TVA manquant",IF(NOT(ISNUMBER(K447)),"Taux de TVA invalide",IF(COUNTIF(p_rates,K447)=0,"Taux de TVA hors liste (Paramètres)",IF(N(O447)&gt;25,"Au-delà de 25 lignes : non imprimée","OK")))))))))))))</f>
        <v/>
      </c>
      <c r="O447" s="59" t="str">
        <f>IF(A447="","",COUNTIF($A$6:A447,A447))</f>
        <v/>
      </c>
      <c r="P447" s="62" t="str">
        <f>IF(A447="","",A447&amp;"|"&amp;O447)</f>
        <v/>
      </c>
    </row>
    <row r="448">
      <c r="A448" s="60" t="n"/>
      <c r="B448" s="63" t="n"/>
      <c r="C448" s="63" t="n"/>
      <c r="D448" s="67" t="n"/>
      <c r="E448" s="68" t="n"/>
      <c r="F448" s="69" t="n"/>
      <c r="G448" s="70" t="n"/>
      <c r="H448" s="62" t="str">
        <f>IF(COUNTA(A448:G448)=0,"",IF(C448&lt;&gt;"",C448,IF(B448="","",IFERROR(INDEX(pr_des,MATCH(B448,pr_code,0))&amp;"",""))))</f>
        <v/>
      </c>
      <c r="I448" s="59" t="str">
        <f>IF(B448="","",IFERROR(INDEX(pr_unit,MATCH(B448,pr_code,0))&amp;"",""))</f>
        <v/>
      </c>
      <c r="J448" s="65" t="str">
        <f>IF(COUNTA(A448:G448)=0,"",IF(E448&lt;&gt;"",E448,IF(B448="","",IFERROR(IF(INDEX(pr_price,MATCH(B448,pr_code,0))="","",INDEX(pr_price,MATCH(B448,pr_code,0))),""))))</f>
        <v/>
      </c>
      <c r="K448" s="71" t="str">
        <f>IF(COUNTA(A448:G448)=0,"",IF(G448&lt;&gt;"",G448,IF(B448="","",IFERROR(IF(INDEX(pr_rate,MATCH(B448,pr_code,0))="","",INDEX(pr_rate,MATCH(B448,pr_code,0))),""))))</f>
        <v/>
      </c>
      <c r="L448" s="65" t="str">
        <f>IF(COUNTA(A448:G448)=0,"",IF(AND(ISNUMBER(D448),ISNUMBER(J448)),ROUND(D448*J448*(1-N(F448)),2),0))</f>
        <v/>
      </c>
      <c r="M448" s="62" t="str">
        <f>IF(A448="","",IFERROR(INDEX(fa_cname,MATCH(A448,fa_num,0))&amp;"",""))</f>
        <v/>
      </c>
      <c r="N448" s="59" t="str">
        <f>IF(COUNTA(A448:G448)=0,"",IF(A448="","N° facture manquant",IF(ISNA(MATCH(A448,fa_num,0)),"Facture inconnue",IF(AND(B448&lt;&gt;"",ISNA(MATCH(B448,pr_code,0))),"Article inconnu",IF(H448="","Désignation manquante",IF(OR(NOT(ISNUMBER(D448)),N(D448)&lt;=0),"Quantité invalide",IF(J448="","Prix manquant",IF(OR(NOT(ISNUMBER(J448)),N(J448)&lt;0),"Prix invalide",IF(OR(AND(F448&lt;&gt;"",NOT(ISNUMBER(F448))),N(F448)&lt;0,N(F448)&gt;1),"Remise invalide",IF(K448="","Taux de TVA manquant",IF(NOT(ISNUMBER(K448)),"Taux de TVA invalide",IF(COUNTIF(p_rates,K448)=0,"Taux de TVA hors liste (Paramètres)",IF(N(O448)&gt;25,"Au-delà de 25 lignes : non imprimée","OK")))))))))))))</f>
        <v/>
      </c>
      <c r="O448" s="59" t="str">
        <f>IF(A448="","",COUNTIF($A$6:A448,A448))</f>
        <v/>
      </c>
      <c r="P448" s="62" t="str">
        <f>IF(A448="","",A448&amp;"|"&amp;O448)</f>
        <v/>
      </c>
    </row>
    <row r="449">
      <c r="A449" s="60" t="n"/>
      <c r="B449" s="63" t="n"/>
      <c r="C449" s="63" t="n"/>
      <c r="D449" s="67" t="n"/>
      <c r="E449" s="68" t="n"/>
      <c r="F449" s="69" t="n"/>
      <c r="G449" s="70" t="n"/>
      <c r="H449" s="62" t="str">
        <f>IF(COUNTA(A449:G449)=0,"",IF(C449&lt;&gt;"",C449,IF(B449="","",IFERROR(INDEX(pr_des,MATCH(B449,pr_code,0))&amp;"",""))))</f>
        <v/>
      </c>
      <c r="I449" s="59" t="str">
        <f>IF(B449="","",IFERROR(INDEX(pr_unit,MATCH(B449,pr_code,0))&amp;"",""))</f>
        <v/>
      </c>
      <c r="J449" s="65" t="str">
        <f>IF(COUNTA(A449:G449)=0,"",IF(E449&lt;&gt;"",E449,IF(B449="","",IFERROR(IF(INDEX(pr_price,MATCH(B449,pr_code,0))="","",INDEX(pr_price,MATCH(B449,pr_code,0))),""))))</f>
        <v/>
      </c>
      <c r="K449" s="71" t="str">
        <f>IF(COUNTA(A449:G449)=0,"",IF(G449&lt;&gt;"",G449,IF(B449="","",IFERROR(IF(INDEX(pr_rate,MATCH(B449,pr_code,0))="","",INDEX(pr_rate,MATCH(B449,pr_code,0))),""))))</f>
        <v/>
      </c>
      <c r="L449" s="65" t="str">
        <f>IF(COUNTA(A449:G449)=0,"",IF(AND(ISNUMBER(D449),ISNUMBER(J449)),ROUND(D449*J449*(1-N(F449)),2),0))</f>
        <v/>
      </c>
      <c r="M449" s="62" t="str">
        <f>IF(A449="","",IFERROR(INDEX(fa_cname,MATCH(A449,fa_num,0))&amp;"",""))</f>
        <v/>
      </c>
      <c r="N449" s="59" t="str">
        <f>IF(COUNTA(A449:G449)=0,"",IF(A449="","N° facture manquant",IF(ISNA(MATCH(A449,fa_num,0)),"Facture inconnue",IF(AND(B449&lt;&gt;"",ISNA(MATCH(B449,pr_code,0))),"Article inconnu",IF(H449="","Désignation manquante",IF(OR(NOT(ISNUMBER(D449)),N(D449)&lt;=0),"Quantité invalide",IF(J449="","Prix manquant",IF(OR(NOT(ISNUMBER(J449)),N(J449)&lt;0),"Prix invalide",IF(OR(AND(F449&lt;&gt;"",NOT(ISNUMBER(F449))),N(F449)&lt;0,N(F449)&gt;1),"Remise invalide",IF(K449="","Taux de TVA manquant",IF(NOT(ISNUMBER(K449)),"Taux de TVA invalide",IF(COUNTIF(p_rates,K449)=0,"Taux de TVA hors liste (Paramètres)",IF(N(O449)&gt;25,"Au-delà de 25 lignes : non imprimée","OK")))))))))))))</f>
        <v/>
      </c>
      <c r="O449" s="59" t="str">
        <f>IF(A449="","",COUNTIF($A$6:A449,A449))</f>
        <v/>
      </c>
      <c r="P449" s="62" t="str">
        <f>IF(A449="","",A449&amp;"|"&amp;O449)</f>
        <v/>
      </c>
    </row>
    <row r="450">
      <c r="A450" s="60" t="n"/>
      <c r="B450" s="63" t="n"/>
      <c r="C450" s="63" t="n"/>
      <c r="D450" s="67" t="n"/>
      <c r="E450" s="68" t="n"/>
      <c r="F450" s="69" t="n"/>
      <c r="G450" s="70" t="n"/>
      <c r="H450" s="62" t="str">
        <f>IF(COUNTA(A450:G450)=0,"",IF(C450&lt;&gt;"",C450,IF(B450="","",IFERROR(INDEX(pr_des,MATCH(B450,pr_code,0))&amp;"",""))))</f>
        <v/>
      </c>
      <c r="I450" s="59" t="str">
        <f>IF(B450="","",IFERROR(INDEX(pr_unit,MATCH(B450,pr_code,0))&amp;"",""))</f>
        <v/>
      </c>
      <c r="J450" s="65" t="str">
        <f>IF(COUNTA(A450:G450)=0,"",IF(E450&lt;&gt;"",E450,IF(B450="","",IFERROR(IF(INDEX(pr_price,MATCH(B450,pr_code,0))="","",INDEX(pr_price,MATCH(B450,pr_code,0))),""))))</f>
        <v/>
      </c>
      <c r="K450" s="71" t="str">
        <f>IF(COUNTA(A450:G450)=0,"",IF(G450&lt;&gt;"",G450,IF(B450="","",IFERROR(IF(INDEX(pr_rate,MATCH(B450,pr_code,0))="","",INDEX(pr_rate,MATCH(B450,pr_code,0))),""))))</f>
        <v/>
      </c>
      <c r="L450" s="65" t="str">
        <f>IF(COUNTA(A450:G450)=0,"",IF(AND(ISNUMBER(D450),ISNUMBER(J450)),ROUND(D450*J450*(1-N(F450)),2),0))</f>
        <v/>
      </c>
      <c r="M450" s="62" t="str">
        <f>IF(A450="","",IFERROR(INDEX(fa_cname,MATCH(A450,fa_num,0))&amp;"",""))</f>
        <v/>
      </c>
      <c r="N450" s="59" t="str">
        <f>IF(COUNTA(A450:G450)=0,"",IF(A450="","N° facture manquant",IF(ISNA(MATCH(A450,fa_num,0)),"Facture inconnue",IF(AND(B450&lt;&gt;"",ISNA(MATCH(B450,pr_code,0))),"Article inconnu",IF(H450="","Désignation manquante",IF(OR(NOT(ISNUMBER(D450)),N(D450)&lt;=0),"Quantité invalide",IF(J450="","Prix manquant",IF(OR(NOT(ISNUMBER(J450)),N(J450)&lt;0),"Prix invalide",IF(OR(AND(F450&lt;&gt;"",NOT(ISNUMBER(F450))),N(F450)&lt;0,N(F450)&gt;1),"Remise invalide",IF(K450="","Taux de TVA manquant",IF(NOT(ISNUMBER(K450)),"Taux de TVA invalide",IF(COUNTIF(p_rates,K450)=0,"Taux de TVA hors liste (Paramètres)",IF(N(O450)&gt;25,"Au-delà de 25 lignes : non imprimée","OK")))))))))))))</f>
        <v/>
      </c>
      <c r="O450" s="59" t="str">
        <f>IF(A450="","",COUNTIF($A$6:A450,A450))</f>
        <v/>
      </c>
      <c r="P450" s="62" t="str">
        <f>IF(A450="","",A450&amp;"|"&amp;O450)</f>
        <v/>
      </c>
    </row>
    <row r="451">
      <c r="A451" s="60" t="n"/>
      <c r="B451" s="63" t="n"/>
      <c r="C451" s="63" t="n"/>
      <c r="D451" s="67" t="n"/>
      <c r="E451" s="68" t="n"/>
      <c r="F451" s="69" t="n"/>
      <c r="G451" s="70" t="n"/>
      <c r="H451" s="62" t="str">
        <f>IF(COUNTA(A451:G451)=0,"",IF(C451&lt;&gt;"",C451,IF(B451="","",IFERROR(INDEX(pr_des,MATCH(B451,pr_code,0))&amp;"",""))))</f>
        <v/>
      </c>
      <c r="I451" s="59" t="str">
        <f>IF(B451="","",IFERROR(INDEX(pr_unit,MATCH(B451,pr_code,0))&amp;"",""))</f>
        <v/>
      </c>
      <c r="J451" s="65" t="str">
        <f>IF(COUNTA(A451:G451)=0,"",IF(E451&lt;&gt;"",E451,IF(B451="","",IFERROR(IF(INDEX(pr_price,MATCH(B451,pr_code,0))="","",INDEX(pr_price,MATCH(B451,pr_code,0))),""))))</f>
        <v/>
      </c>
      <c r="K451" s="71" t="str">
        <f>IF(COUNTA(A451:G451)=0,"",IF(G451&lt;&gt;"",G451,IF(B451="","",IFERROR(IF(INDEX(pr_rate,MATCH(B451,pr_code,0))="","",INDEX(pr_rate,MATCH(B451,pr_code,0))),""))))</f>
        <v/>
      </c>
      <c r="L451" s="65" t="str">
        <f>IF(COUNTA(A451:G451)=0,"",IF(AND(ISNUMBER(D451),ISNUMBER(J451)),ROUND(D451*J451*(1-N(F451)),2),0))</f>
        <v/>
      </c>
      <c r="M451" s="62" t="str">
        <f>IF(A451="","",IFERROR(INDEX(fa_cname,MATCH(A451,fa_num,0))&amp;"",""))</f>
        <v/>
      </c>
      <c r="N451" s="59" t="str">
        <f>IF(COUNTA(A451:G451)=0,"",IF(A451="","N° facture manquant",IF(ISNA(MATCH(A451,fa_num,0)),"Facture inconnue",IF(AND(B451&lt;&gt;"",ISNA(MATCH(B451,pr_code,0))),"Article inconnu",IF(H451="","Désignation manquante",IF(OR(NOT(ISNUMBER(D451)),N(D451)&lt;=0),"Quantité invalide",IF(J451="","Prix manquant",IF(OR(NOT(ISNUMBER(J451)),N(J451)&lt;0),"Prix invalide",IF(OR(AND(F451&lt;&gt;"",NOT(ISNUMBER(F451))),N(F451)&lt;0,N(F451)&gt;1),"Remise invalide",IF(K451="","Taux de TVA manquant",IF(NOT(ISNUMBER(K451)),"Taux de TVA invalide",IF(COUNTIF(p_rates,K451)=0,"Taux de TVA hors liste (Paramètres)",IF(N(O451)&gt;25,"Au-delà de 25 lignes : non imprimée","OK")))))))))))))</f>
        <v/>
      </c>
      <c r="O451" s="59" t="str">
        <f>IF(A451="","",COUNTIF($A$6:A451,A451))</f>
        <v/>
      </c>
      <c r="P451" s="62" t="str">
        <f>IF(A451="","",A451&amp;"|"&amp;O451)</f>
        <v/>
      </c>
    </row>
    <row r="452">
      <c r="A452" s="60" t="n"/>
      <c r="B452" s="63" t="n"/>
      <c r="C452" s="63" t="n"/>
      <c r="D452" s="67" t="n"/>
      <c r="E452" s="68" t="n"/>
      <c r="F452" s="69" t="n"/>
      <c r="G452" s="70" t="n"/>
      <c r="H452" s="62" t="str">
        <f>IF(COUNTA(A452:G452)=0,"",IF(C452&lt;&gt;"",C452,IF(B452="","",IFERROR(INDEX(pr_des,MATCH(B452,pr_code,0))&amp;"",""))))</f>
        <v/>
      </c>
      <c r="I452" s="59" t="str">
        <f>IF(B452="","",IFERROR(INDEX(pr_unit,MATCH(B452,pr_code,0))&amp;"",""))</f>
        <v/>
      </c>
      <c r="J452" s="65" t="str">
        <f>IF(COUNTA(A452:G452)=0,"",IF(E452&lt;&gt;"",E452,IF(B452="","",IFERROR(IF(INDEX(pr_price,MATCH(B452,pr_code,0))="","",INDEX(pr_price,MATCH(B452,pr_code,0))),""))))</f>
        <v/>
      </c>
      <c r="K452" s="71" t="str">
        <f>IF(COUNTA(A452:G452)=0,"",IF(G452&lt;&gt;"",G452,IF(B452="","",IFERROR(IF(INDEX(pr_rate,MATCH(B452,pr_code,0))="","",INDEX(pr_rate,MATCH(B452,pr_code,0))),""))))</f>
        <v/>
      </c>
      <c r="L452" s="65" t="str">
        <f>IF(COUNTA(A452:G452)=0,"",IF(AND(ISNUMBER(D452),ISNUMBER(J452)),ROUND(D452*J452*(1-N(F452)),2),0))</f>
        <v/>
      </c>
      <c r="M452" s="62" t="str">
        <f>IF(A452="","",IFERROR(INDEX(fa_cname,MATCH(A452,fa_num,0))&amp;"",""))</f>
        <v/>
      </c>
      <c r="N452" s="59" t="str">
        <f>IF(COUNTA(A452:G452)=0,"",IF(A452="","N° facture manquant",IF(ISNA(MATCH(A452,fa_num,0)),"Facture inconnue",IF(AND(B452&lt;&gt;"",ISNA(MATCH(B452,pr_code,0))),"Article inconnu",IF(H452="","Désignation manquante",IF(OR(NOT(ISNUMBER(D452)),N(D452)&lt;=0),"Quantité invalide",IF(J452="","Prix manquant",IF(OR(NOT(ISNUMBER(J452)),N(J452)&lt;0),"Prix invalide",IF(OR(AND(F452&lt;&gt;"",NOT(ISNUMBER(F452))),N(F452)&lt;0,N(F452)&gt;1),"Remise invalide",IF(K452="","Taux de TVA manquant",IF(NOT(ISNUMBER(K452)),"Taux de TVA invalide",IF(COUNTIF(p_rates,K452)=0,"Taux de TVA hors liste (Paramètres)",IF(N(O452)&gt;25,"Au-delà de 25 lignes : non imprimée","OK")))))))))))))</f>
        <v/>
      </c>
      <c r="O452" s="59" t="str">
        <f>IF(A452="","",COUNTIF($A$6:A452,A452))</f>
        <v/>
      </c>
      <c r="P452" s="62" t="str">
        <f>IF(A452="","",A452&amp;"|"&amp;O452)</f>
        <v/>
      </c>
    </row>
    <row r="453">
      <c r="A453" s="60" t="n"/>
      <c r="B453" s="63" t="n"/>
      <c r="C453" s="63" t="n"/>
      <c r="D453" s="67" t="n"/>
      <c r="E453" s="68" t="n"/>
      <c r="F453" s="69" t="n"/>
      <c r="G453" s="70" t="n"/>
      <c r="H453" s="62" t="str">
        <f>IF(COUNTA(A453:G453)=0,"",IF(C453&lt;&gt;"",C453,IF(B453="","",IFERROR(INDEX(pr_des,MATCH(B453,pr_code,0))&amp;"",""))))</f>
        <v/>
      </c>
      <c r="I453" s="59" t="str">
        <f>IF(B453="","",IFERROR(INDEX(pr_unit,MATCH(B453,pr_code,0))&amp;"",""))</f>
        <v/>
      </c>
      <c r="J453" s="65" t="str">
        <f>IF(COUNTA(A453:G453)=0,"",IF(E453&lt;&gt;"",E453,IF(B453="","",IFERROR(IF(INDEX(pr_price,MATCH(B453,pr_code,0))="","",INDEX(pr_price,MATCH(B453,pr_code,0))),""))))</f>
        <v/>
      </c>
      <c r="K453" s="71" t="str">
        <f>IF(COUNTA(A453:G453)=0,"",IF(G453&lt;&gt;"",G453,IF(B453="","",IFERROR(IF(INDEX(pr_rate,MATCH(B453,pr_code,0))="","",INDEX(pr_rate,MATCH(B453,pr_code,0))),""))))</f>
        <v/>
      </c>
      <c r="L453" s="65" t="str">
        <f>IF(COUNTA(A453:G453)=0,"",IF(AND(ISNUMBER(D453),ISNUMBER(J453)),ROUND(D453*J453*(1-N(F453)),2),0))</f>
        <v/>
      </c>
      <c r="M453" s="62" t="str">
        <f>IF(A453="","",IFERROR(INDEX(fa_cname,MATCH(A453,fa_num,0))&amp;"",""))</f>
        <v/>
      </c>
      <c r="N453" s="59" t="str">
        <f>IF(COUNTA(A453:G453)=0,"",IF(A453="","N° facture manquant",IF(ISNA(MATCH(A453,fa_num,0)),"Facture inconnue",IF(AND(B453&lt;&gt;"",ISNA(MATCH(B453,pr_code,0))),"Article inconnu",IF(H453="","Désignation manquante",IF(OR(NOT(ISNUMBER(D453)),N(D453)&lt;=0),"Quantité invalide",IF(J453="","Prix manquant",IF(OR(NOT(ISNUMBER(J453)),N(J453)&lt;0),"Prix invalide",IF(OR(AND(F453&lt;&gt;"",NOT(ISNUMBER(F453))),N(F453)&lt;0,N(F453)&gt;1),"Remise invalide",IF(K453="","Taux de TVA manquant",IF(NOT(ISNUMBER(K453)),"Taux de TVA invalide",IF(COUNTIF(p_rates,K453)=0,"Taux de TVA hors liste (Paramètres)",IF(N(O453)&gt;25,"Au-delà de 25 lignes : non imprimée","OK")))))))))))))</f>
        <v/>
      </c>
      <c r="O453" s="59" t="str">
        <f>IF(A453="","",COUNTIF($A$6:A453,A453))</f>
        <v/>
      </c>
      <c r="P453" s="62" t="str">
        <f>IF(A453="","",A453&amp;"|"&amp;O453)</f>
        <v/>
      </c>
    </row>
    <row r="454">
      <c r="A454" s="60" t="n"/>
      <c r="B454" s="63" t="n"/>
      <c r="C454" s="63" t="n"/>
      <c r="D454" s="67" t="n"/>
      <c r="E454" s="68" t="n"/>
      <c r="F454" s="69" t="n"/>
      <c r="G454" s="70" t="n"/>
      <c r="H454" s="62" t="str">
        <f>IF(COUNTA(A454:G454)=0,"",IF(C454&lt;&gt;"",C454,IF(B454="","",IFERROR(INDEX(pr_des,MATCH(B454,pr_code,0))&amp;"",""))))</f>
        <v/>
      </c>
      <c r="I454" s="59" t="str">
        <f>IF(B454="","",IFERROR(INDEX(pr_unit,MATCH(B454,pr_code,0))&amp;"",""))</f>
        <v/>
      </c>
      <c r="J454" s="65" t="str">
        <f>IF(COUNTA(A454:G454)=0,"",IF(E454&lt;&gt;"",E454,IF(B454="","",IFERROR(IF(INDEX(pr_price,MATCH(B454,pr_code,0))="","",INDEX(pr_price,MATCH(B454,pr_code,0))),""))))</f>
        <v/>
      </c>
      <c r="K454" s="71" t="str">
        <f>IF(COUNTA(A454:G454)=0,"",IF(G454&lt;&gt;"",G454,IF(B454="","",IFERROR(IF(INDEX(pr_rate,MATCH(B454,pr_code,0))="","",INDEX(pr_rate,MATCH(B454,pr_code,0))),""))))</f>
        <v/>
      </c>
      <c r="L454" s="65" t="str">
        <f>IF(COUNTA(A454:G454)=0,"",IF(AND(ISNUMBER(D454),ISNUMBER(J454)),ROUND(D454*J454*(1-N(F454)),2),0))</f>
        <v/>
      </c>
      <c r="M454" s="62" t="str">
        <f>IF(A454="","",IFERROR(INDEX(fa_cname,MATCH(A454,fa_num,0))&amp;"",""))</f>
        <v/>
      </c>
      <c r="N454" s="59" t="str">
        <f>IF(COUNTA(A454:G454)=0,"",IF(A454="","N° facture manquant",IF(ISNA(MATCH(A454,fa_num,0)),"Facture inconnue",IF(AND(B454&lt;&gt;"",ISNA(MATCH(B454,pr_code,0))),"Article inconnu",IF(H454="","Désignation manquante",IF(OR(NOT(ISNUMBER(D454)),N(D454)&lt;=0),"Quantité invalide",IF(J454="","Prix manquant",IF(OR(NOT(ISNUMBER(J454)),N(J454)&lt;0),"Prix invalide",IF(OR(AND(F454&lt;&gt;"",NOT(ISNUMBER(F454))),N(F454)&lt;0,N(F454)&gt;1),"Remise invalide",IF(K454="","Taux de TVA manquant",IF(NOT(ISNUMBER(K454)),"Taux de TVA invalide",IF(COUNTIF(p_rates,K454)=0,"Taux de TVA hors liste (Paramètres)",IF(N(O454)&gt;25,"Au-delà de 25 lignes : non imprimée","OK")))))))))))))</f>
        <v/>
      </c>
      <c r="O454" s="59" t="str">
        <f>IF(A454="","",COUNTIF($A$6:A454,A454))</f>
        <v/>
      </c>
      <c r="P454" s="62" t="str">
        <f>IF(A454="","",A454&amp;"|"&amp;O454)</f>
        <v/>
      </c>
    </row>
    <row r="455">
      <c r="A455" s="60" t="n"/>
      <c r="B455" s="63" t="n"/>
      <c r="C455" s="63" t="n"/>
      <c r="D455" s="67" t="n"/>
      <c r="E455" s="68" t="n"/>
      <c r="F455" s="69" t="n"/>
      <c r="G455" s="70" t="n"/>
      <c r="H455" s="62" t="str">
        <f>IF(COUNTA(A455:G455)=0,"",IF(C455&lt;&gt;"",C455,IF(B455="","",IFERROR(INDEX(pr_des,MATCH(B455,pr_code,0))&amp;"",""))))</f>
        <v/>
      </c>
      <c r="I455" s="59" t="str">
        <f>IF(B455="","",IFERROR(INDEX(pr_unit,MATCH(B455,pr_code,0))&amp;"",""))</f>
        <v/>
      </c>
      <c r="J455" s="65" t="str">
        <f>IF(COUNTA(A455:G455)=0,"",IF(E455&lt;&gt;"",E455,IF(B455="","",IFERROR(IF(INDEX(pr_price,MATCH(B455,pr_code,0))="","",INDEX(pr_price,MATCH(B455,pr_code,0))),""))))</f>
        <v/>
      </c>
      <c r="K455" s="71" t="str">
        <f>IF(COUNTA(A455:G455)=0,"",IF(G455&lt;&gt;"",G455,IF(B455="","",IFERROR(IF(INDEX(pr_rate,MATCH(B455,pr_code,0))="","",INDEX(pr_rate,MATCH(B455,pr_code,0))),""))))</f>
        <v/>
      </c>
      <c r="L455" s="65" t="str">
        <f>IF(COUNTA(A455:G455)=0,"",IF(AND(ISNUMBER(D455),ISNUMBER(J455)),ROUND(D455*J455*(1-N(F455)),2),0))</f>
        <v/>
      </c>
      <c r="M455" s="62" t="str">
        <f>IF(A455="","",IFERROR(INDEX(fa_cname,MATCH(A455,fa_num,0))&amp;"",""))</f>
        <v/>
      </c>
      <c r="N455" s="59" t="str">
        <f>IF(COUNTA(A455:G455)=0,"",IF(A455="","N° facture manquant",IF(ISNA(MATCH(A455,fa_num,0)),"Facture inconnue",IF(AND(B455&lt;&gt;"",ISNA(MATCH(B455,pr_code,0))),"Article inconnu",IF(H455="","Désignation manquante",IF(OR(NOT(ISNUMBER(D455)),N(D455)&lt;=0),"Quantité invalide",IF(J455="","Prix manquant",IF(OR(NOT(ISNUMBER(J455)),N(J455)&lt;0),"Prix invalide",IF(OR(AND(F455&lt;&gt;"",NOT(ISNUMBER(F455))),N(F455)&lt;0,N(F455)&gt;1),"Remise invalide",IF(K455="","Taux de TVA manquant",IF(NOT(ISNUMBER(K455)),"Taux de TVA invalide",IF(COUNTIF(p_rates,K455)=0,"Taux de TVA hors liste (Paramètres)",IF(N(O455)&gt;25,"Au-delà de 25 lignes : non imprimée","OK")))))))))))))</f>
        <v/>
      </c>
      <c r="O455" s="59" t="str">
        <f>IF(A455="","",COUNTIF($A$6:A455,A455))</f>
        <v/>
      </c>
      <c r="P455" s="62" t="str">
        <f>IF(A455="","",A455&amp;"|"&amp;O455)</f>
        <v/>
      </c>
    </row>
    <row r="456">
      <c r="A456" s="60" t="n"/>
      <c r="B456" s="63" t="n"/>
      <c r="C456" s="63" t="n"/>
      <c r="D456" s="67" t="n"/>
      <c r="E456" s="68" t="n"/>
      <c r="F456" s="69" t="n"/>
      <c r="G456" s="70" t="n"/>
      <c r="H456" s="62" t="str">
        <f>IF(COUNTA(A456:G456)=0,"",IF(C456&lt;&gt;"",C456,IF(B456="","",IFERROR(INDEX(pr_des,MATCH(B456,pr_code,0))&amp;"",""))))</f>
        <v/>
      </c>
      <c r="I456" s="59" t="str">
        <f>IF(B456="","",IFERROR(INDEX(pr_unit,MATCH(B456,pr_code,0))&amp;"",""))</f>
        <v/>
      </c>
      <c r="J456" s="65" t="str">
        <f>IF(COUNTA(A456:G456)=0,"",IF(E456&lt;&gt;"",E456,IF(B456="","",IFERROR(IF(INDEX(pr_price,MATCH(B456,pr_code,0))="","",INDEX(pr_price,MATCH(B456,pr_code,0))),""))))</f>
        <v/>
      </c>
      <c r="K456" s="71" t="str">
        <f>IF(COUNTA(A456:G456)=0,"",IF(G456&lt;&gt;"",G456,IF(B456="","",IFERROR(IF(INDEX(pr_rate,MATCH(B456,pr_code,0))="","",INDEX(pr_rate,MATCH(B456,pr_code,0))),""))))</f>
        <v/>
      </c>
      <c r="L456" s="65" t="str">
        <f>IF(COUNTA(A456:G456)=0,"",IF(AND(ISNUMBER(D456),ISNUMBER(J456)),ROUND(D456*J456*(1-N(F456)),2),0))</f>
        <v/>
      </c>
      <c r="M456" s="62" t="str">
        <f>IF(A456="","",IFERROR(INDEX(fa_cname,MATCH(A456,fa_num,0))&amp;"",""))</f>
        <v/>
      </c>
      <c r="N456" s="59" t="str">
        <f>IF(COUNTA(A456:G456)=0,"",IF(A456="","N° facture manquant",IF(ISNA(MATCH(A456,fa_num,0)),"Facture inconnue",IF(AND(B456&lt;&gt;"",ISNA(MATCH(B456,pr_code,0))),"Article inconnu",IF(H456="","Désignation manquante",IF(OR(NOT(ISNUMBER(D456)),N(D456)&lt;=0),"Quantité invalide",IF(J456="","Prix manquant",IF(OR(NOT(ISNUMBER(J456)),N(J456)&lt;0),"Prix invalide",IF(OR(AND(F456&lt;&gt;"",NOT(ISNUMBER(F456))),N(F456)&lt;0,N(F456)&gt;1),"Remise invalide",IF(K456="","Taux de TVA manquant",IF(NOT(ISNUMBER(K456)),"Taux de TVA invalide",IF(COUNTIF(p_rates,K456)=0,"Taux de TVA hors liste (Paramètres)",IF(N(O456)&gt;25,"Au-delà de 25 lignes : non imprimée","OK")))))))))))))</f>
        <v/>
      </c>
      <c r="O456" s="59" t="str">
        <f>IF(A456="","",COUNTIF($A$6:A456,A456))</f>
        <v/>
      </c>
      <c r="P456" s="62" t="str">
        <f>IF(A456="","",A456&amp;"|"&amp;O456)</f>
        <v/>
      </c>
    </row>
    <row r="457">
      <c r="A457" s="60" t="n"/>
      <c r="B457" s="63" t="n"/>
      <c r="C457" s="63" t="n"/>
      <c r="D457" s="67" t="n"/>
      <c r="E457" s="68" t="n"/>
      <c r="F457" s="69" t="n"/>
      <c r="G457" s="70" t="n"/>
      <c r="H457" s="62" t="str">
        <f>IF(COUNTA(A457:G457)=0,"",IF(C457&lt;&gt;"",C457,IF(B457="","",IFERROR(INDEX(pr_des,MATCH(B457,pr_code,0))&amp;"",""))))</f>
        <v/>
      </c>
      <c r="I457" s="59" t="str">
        <f>IF(B457="","",IFERROR(INDEX(pr_unit,MATCH(B457,pr_code,0))&amp;"",""))</f>
        <v/>
      </c>
      <c r="J457" s="65" t="str">
        <f>IF(COUNTA(A457:G457)=0,"",IF(E457&lt;&gt;"",E457,IF(B457="","",IFERROR(IF(INDEX(pr_price,MATCH(B457,pr_code,0))="","",INDEX(pr_price,MATCH(B457,pr_code,0))),""))))</f>
        <v/>
      </c>
      <c r="K457" s="71" t="str">
        <f>IF(COUNTA(A457:G457)=0,"",IF(G457&lt;&gt;"",G457,IF(B457="","",IFERROR(IF(INDEX(pr_rate,MATCH(B457,pr_code,0))="","",INDEX(pr_rate,MATCH(B457,pr_code,0))),""))))</f>
        <v/>
      </c>
      <c r="L457" s="65" t="str">
        <f>IF(COUNTA(A457:G457)=0,"",IF(AND(ISNUMBER(D457),ISNUMBER(J457)),ROUND(D457*J457*(1-N(F457)),2),0))</f>
        <v/>
      </c>
      <c r="M457" s="62" t="str">
        <f>IF(A457="","",IFERROR(INDEX(fa_cname,MATCH(A457,fa_num,0))&amp;"",""))</f>
        <v/>
      </c>
      <c r="N457" s="59" t="str">
        <f>IF(COUNTA(A457:G457)=0,"",IF(A457="","N° facture manquant",IF(ISNA(MATCH(A457,fa_num,0)),"Facture inconnue",IF(AND(B457&lt;&gt;"",ISNA(MATCH(B457,pr_code,0))),"Article inconnu",IF(H457="","Désignation manquante",IF(OR(NOT(ISNUMBER(D457)),N(D457)&lt;=0),"Quantité invalide",IF(J457="","Prix manquant",IF(OR(NOT(ISNUMBER(J457)),N(J457)&lt;0),"Prix invalide",IF(OR(AND(F457&lt;&gt;"",NOT(ISNUMBER(F457))),N(F457)&lt;0,N(F457)&gt;1),"Remise invalide",IF(K457="","Taux de TVA manquant",IF(NOT(ISNUMBER(K457)),"Taux de TVA invalide",IF(COUNTIF(p_rates,K457)=0,"Taux de TVA hors liste (Paramètres)",IF(N(O457)&gt;25,"Au-delà de 25 lignes : non imprimée","OK")))))))))))))</f>
        <v/>
      </c>
      <c r="O457" s="59" t="str">
        <f>IF(A457="","",COUNTIF($A$6:A457,A457))</f>
        <v/>
      </c>
      <c r="P457" s="62" t="str">
        <f>IF(A457="","",A457&amp;"|"&amp;O457)</f>
        <v/>
      </c>
    </row>
    <row r="458">
      <c r="A458" s="60" t="n"/>
      <c r="B458" s="63" t="n"/>
      <c r="C458" s="63" t="n"/>
      <c r="D458" s="67" t="n"/>
      <c r="E458" s="68" t="n"/>
      <c r="F458" s="69" t="n"/>
      <c r="G458" s="70" t="n"/>
      <c r="H458" s="62" t="str">
        <f>IF(COUNTA(A458:G458)=0,"",IF(C458&lt;&gt;"",C458,IF(B458="","",IFERROR(INDEX(pr_des,MATCH(B458,pr_code,0))&amp;"",""))))</f>
        <v/>
      </c>
      <c r="I458" s="59" t="str">
        <f>IF(B458="","",IFERROR(INDEX(pr_unit,MATCH(B458,pr_code,0))&amp;"",""))</f>
        <v/>
      </c>
      <c r="J458" s="65" t="str">
        <f>IF(COUNTA(A458:G458)=0,"",IF(E458&lt;&gt;"",E458,IF(B458="","",IFERROR(IF(INDEX(pr_price,MATCH(B458,pr_code,0))="","",INDEX(pr_price,MATCH(B458,pr_code,0))),""))))</f>
        <v/>
      </c>
      <c r="K458" s="71" t="str">
        <f>IF(COUNTA(A458:G458)=0,"",IF(G458&lt;&gt;"",G458,IF(B458="","",IFERROR(IF(INDEX(pr_rate,MATCH(B458,pr_code,0))="","",INDEX(pr_rate,MATCH(B458,pr_code,0))),""))))</f>
        <v/>
      </c>
      <c r="L458" s="65" t="str">
        <f>IF(COUNTA(A458:G458)=0,"",IF(AND(ISNUMBER(D458),ISNUMBER(J458)),ROUND(D458*J458*(1-N(F458)),2),0))</f>
        <v/>
      </c>
      <c r="M458" s="62" t="str">
        <f>IF(A458="","",IFERROR(INDEX(fa_cname,MATCH(A458,fa_num,0))&amp;"",""))</f>
        <v/>
      </c>
      <c r="N458" s="59" t="str">
        <f>IF(COUNTA(A458:G458)=0,"",IF(A458="","N° facture manquant",IF(ISNA(MATCH(A458,fa_num,0)),"Facture inconnue",IF(AND(B458&lt;&gt;"",ISNA(MATCH(B458,pr_code,0))),"Article inconnu",IF(H458="","Désignation manquante",IF(OR(NOT(ISNUMBER(D458)),N(D458)&lt;=0),"Quantité invalide",IF(J458="","Prix manquant",IF(OR(NOT(ISNUMBER(J458)),N(J458)&lt;0),"Prix invalide",IF(OR(AND(F458&lt;&gt;"",NOT(ISNUMBER(F458))),N(F458)&lt;0,N(F458)&gt;1),"Remise invalide",IF(K458="","Taux de TVA manquant",IF(NOT(ISNUMBER(K458)),"Taux de TVA invalide",IF(COUNTIF(p_rates,K458)=0,"Taux de TVA hors liste (Paramètres)",IF(N(O458)&gt;25,"Au-delà de 25 lignes : non imprimée","OK")))))))))))))</f>
        <v/>
      </c>
      <c r="O458" s="59" t="str">
        <f>IF(A458="","",COUNTIF($A$6:A458,A458))</f>
        <v/>
      </c>
      <c r="P458" s="62" t="str">
        <f>IF(A458="","",A458&amp;"|"&amp;O458)</f>
        <v/>
      </c>
    </row>
    <row r="459">
      <c r="A459" s="60" t="n"/>
      <c r="B459" s="63" t="n"/>
      <c r="C459" s="63" t="n"/>
      <c r="D459" s="67" t="n"/>
      <c r="E459" s="68" t="n"/>
      <c r="F459" s="69" t="n"/>
      <c r="G459" s="70" t="n"/>
      <c r="H459" s="62" t="str">
        <f>IF(COUNTA(A459:G459)=0,"",IF(C459&lt;&gt;"",C459,IF(B459="","",IFERROR(INDEX(pr_des,MATCH(B459,pr_code,0))&amp;"",""))))</f>
        <v/>
      </c>
      <c r="I459" s="59" t="str">
        <f>IF(B459="","",IFERROR(INDEX(pr_unit,MATCH(B459,pr_code,0))&amp;"",""))</f>
        <v/>
      </c>
      <c r="J459" s="65" t="str">
        <f>IF(COUNTA(A459:G459)=0,"",IF(E459&lt;&gt;"",E459,IF(B459="","",IFERROR(IF(INDEX(pr_price,MATCH(B459,pr_code,0))="","",INDEX(pr_price,MATCH(B459,pr_code,0))),""))))</f>
        <v/>
      </c>
      <c r="K459" s="71" t="str">
        <f>IF(COUNTA(A459:G459)=0,"",IF(G459&lt;&gt;"",G459,IF(B459="","",IFERROR(IF(INDEX(pr_rate,MATCH(B459,pr_code,0))="","",INDEX(pr_rate,MATCH(B459,pr_code,0))),""))))</f>
        <v/>
      </c>
      <c r="L459" s="65" t="str">
        <f>IF(COUNTA(A459:G459)=0,"",IF(AND(ISNUMBER(D459),ISNUMBER(J459)),ROUND(D459*J459*(1-N(F459)),2),0))</f>
        <v/>
      </c>
      <c r="M459" s="62" t="str">
        <f>IF(A459="","",IFERROR(INDEX(fa_cname,MATCH(A459,fa_num,0))&amp;"",""))</f>
        <v/>
      </c>
      <c r="N459" s="59" t="str">
        <f>IF(COUNTA(A459:G459)=0,"",IF(A459="","N° facture manquant",IF(ISNA(MATCH(A459,fa_num,0)),"Facture inconnue",IF(AND(B459&lt;&gt;"",ISNA(MATCH(B459,pr_code,0))),"Article inconnu",IF(H459="","Désignation manquante",IF(OR(NOT(ISNUMBER(D459)),N(D459)&lt;=0),"Quantité invalide",IF(J459="","Prix manquant",IF(OR(NOT(ISNUMBER(J459)),N(J459)&lt;0),"Prix invalide",IF(OR(AND(F459&lt;&gt;"",NOT(ISNUMBER(F459))),N(F459)&lt;0,N(F459)&gt;1),"Remise invalide",IF(K459="","Taux de TVA manquant",IF(NOT(ISNUMBER(K459)),"Taux de TVA invalide",IF(COUNTIF(p_rates,K459)=0,"Taux de TVA hors liste (Paramètres)",IF(N(O459)&gt;25,"Au-delà de 25 lignes : non imprimée","OK")))))))))))))</f>
        <v/>
      </c>
      <c r="O459" s="59" t="str">
        <f>IF(A459="","",COUNTIF($A$6:A459,A459))</f>
        <v/>
      </c>
      <c r="P459" s="62" t="str">
        <f>IF(A459="","",A459&amp;"|"&amp;O459)</f>
        <v/>
      </c>
    </row>
    <row r="460">
      <c r="A460" s="60" t="n"/>
      <c r="B460" s="63" t="n"/>
      <c r="C460" s="63" t="n"/>
      <c r="D460" s="67" t="n"/>
      <c r="E460" s="68" t="n"/>
      <c r="F460" s="69" t="n"/>
      <c r="G460" s="70" t="n"/>
      <c r="H460" s="62" t="str">
        <f>IF(COUNTA(A460:G460)=0,"",IF(C460&lt;&gt;"",C460,IF(B460="","",IFERROR(INDEX(pr_des,MATCH(B460,pr_code,0))&amp;"",""))))</f>
        <v/>
      </c>
      <c r="I460" s="59" t="str">
        <f>IF(B460="","",IFERROR(INDEX(pr_unit,MATCH(B460,pr_code,0))&amp;"",""))</f>
        <v/>
      </c>
      <c r="J460" s="65" t="str">
        <f>IF(COUNTA(A460:G460)=0,"",IF(E460&lt;&gt;"",E460,IF(B460="","",IFERROR(IF(INDEX(pr_price,MATCH(B460,pr_code,0))="","",INDEX(pr_price,MATCH(B460,pr_code,0))),""))))</f>
        <v/>
      </c>
      <c r="K460" s="71" t="str">
        <f>IF(COUNTA(A460:G460)=0,"",IF(G460&lt;&gt;"",G460,IF(B460="","",IFERROR(IF(INDEX(pr_rate,MATCH(B460,pr_code,0))="","",INDEX(pr_rate,MATCH(B460,pr_code,0))),""))))</f>
        <v/>
      </c>
      <c r="L460" s="65" t="str">
        <f>IF(COUNTA(A460:G460)=0,"",IF(AND(ISNUMBER(D460),ISNUMBER(J460)),ROUND(D460*J460*(1-N(F460)),2),0))</f>
        <v/>
      </c>
      <c r="M460" s="62" t="str">
        <f>IF(A460="","",IFERROR(INDEX(fa_cname,MATCH(A460,fa_num,0))&amp;"",""))</f>
        <v/>
      </c>
      <c r="N460" s="59" t="str">
        <f>IF(COUNTA(A460:G460)=0,"",IF(A460="","N° facture manquant",IF(ISNA(MATCH(A460,fa_num,0)),"Facture inconnue",IF(AND(B460&lt;&gt;"",ISNA(MATCH(B460,pr_code,0))),"Article inconnu",IF(H460="","Désignation manquante",IF(OR(NOT(ISNUMBER(D460)),N(D460)&lt;=0),"Quantité invalide",IF(J460="","Prix manquant",IF(OR(NOT(ISNUMBER(J460)),N(J460)&lt;0),"Prix invalide",IF(OR(AND(F460&lt;&gt;"",NOT(ISNUMBER(F460))),N(F460)&lt;0,N(F460)&gt;1),"Remise invalide",IF(K460="","Taux de TVA manquant",IF(NOT(ISNUMBER(K460)),"Taux de TVA invalide",IF(COUNTIF(p_rates,K460)=0,"Taux de TVA hors liste (Paramètres)",IF(N(O460)&gt;25,"Au-delà de 25 lignes : non imprimée","OK")))))))))))))</f>
        <v/>
      </c>
      <c r="O460" s="59" t="str">
        <f>IF(A460="","",COUNTIF($A$6:A460,A460))</f>
        <v/>
      </c>
      <c r="P460" s="62" t="str">
        <f>IF(A460="","",A460&amp;"|"&amp;O460)</f>
        <v/>
      </c>
    </row>
    <row r="461">
      <c r="A461" s="60" t="n"/>
      <c r="B461" s="63" t="n"/>
      <c r="C461" s="63" t="n"/>
      <c r="D461" s="67" t="n"/>
      <c r="E461" s="68" t="n"/>
      <c r="F461" s="69" t="n"/>
      <c r="G461" s="70" t="n"/>
      <c r="H461" s="62" t="str">
        <f>IF(COUNTA(A461:G461)=0,"",IF(C461&lt;&gt;"",C461,IF(B461="","",IFERROR(INDEX(pr_des,MATCH(B461,pr_code,0))&amp;"",""))))</f>
        <v/>
      </c>
      <c r="I461" s="59" t="str">
        <f>IF(B461="","",IFERROR(INDEX(pr_unit,MATCH(B461,pr_code,0))&amp;"",""))</f>
        <v/>
      </c>
      <c r="J461" s="65" t="str">
        <f>IF(COUNTA(A461:G461)=0,"",IF(E461&lt;&gt;"",E461,IF(B461="","",IFERROR(IF(INDEX(pr_price,MATCH(B461,pr_code,0))="","",INDEX(pr_price,MATCH(B461,pr_code,0))),""))))</f>
        <v/>
      </c>
      <c r="K461" s="71" t="str">
        <f>IF(COUNTA(A461:G461)=0,"",IF(G461&lt;&gt;"",G461,IF(B461="","",IFERROR(IF(INDEX(pr_rate,MATCH(B461,pr_code,0))="","",INDEX(pr_rate,MATCH(B461,pr_code,0))),""))))</f>
        <v/>
      </c>
      <c r="L461" s="65" t="str">
        <f>IF(COUNTA(A461:G461)=0,"",IF(AND(ISNUMBER(D461),ISNUMBER(J461)),ROUND(D461*J461*(1-N(F461)),2),0))</f>
        <v/>
      </c>
      <c r="M461" s="62" t="str">
        <f>IF(A461="","",IFERROR(INDEX(fa_cname,MATCH(A461,fa_num,0))&amp;"",""))</f>
        <v/>
      </c>
      <c r="N461" s="59" t="str">
        <f>IF(COUNTA(A461:G461)=0,"",IF(A461="","N° facture manquant",IF(ISNA(MATCH(A461,fa_num,0)),"Facture inconnue",IF(AND(B461&lt;&gt;"",ISNA(MATCH(B461,pr_code,0))),"Article inconnu",IF(H461="","Désignation manquante",IF(OR(NOT(ISNUMBER(D461)),N(D461)&lt;=0),"Quantité invalide",IF(J461="","Prix manquant",IF(OR(NOT(ISNUMBER(J461)),N(J461)&lt;0),"Prix invalide",IF(OR(AND(F461&lt;&gt;"",NOT(ISNUMBER(F461))),N(F461)&lt;0,N(F461)&gt;1),"Remise invalide",IF(K461="","Taux de TVA manquant",IF(NOT(ISNUMBER(K461)),"Taux de TVA invalide",IF(COUNTIF(p_rates,K461)=0,"Taux de TVA hors liste (Paramètres)",IF(N(O461)&gt;25,"Au-delà de 25 lignes : non imprimée","OK")))))))))))))</f>
        <v/>
      </c>
      <c r="O461" s="59" t="str">
        <f>IF(A461="","",COUNTIF($A$6:A461,A461))</f>
        <v/>
      </c>
      <c r="P461" s="62" t="str">
        <f>IF(A461="","",A461&amp;"|"&amp;O461)</f>
        <v/>
      </c>
    </row>
    <row r="462">
      <c r="A462" s="60" t="n"/>
      <c r="B462" s="63" t="n"/>
      <c r="C462" s="63" t="n"/>
      <c r="D462" s="67" t="n"/>
      <c r="E462" s="68" t="n"/>
      <c r="F462" s="69" t="n"/>
      <c r="G462" s="70" t="n"/>
      <c r="H462" s="62" t="str">
        <f>IF(COUNTA(A462:G462)=0,"",IF(C462&lt;&gt;"",C462,IF(B462="","",IFERROR(INDEX(pr_des,MATCH(B462,pr_code,0))&amp;"",""))))</f>
        <v/>
      </c>
      <c r="I462" s="59" t="str">
        <f>IF(B462="","",IFERROR(INDEX(pr_unit,MATCH(B462,pr_code,0))&amp;"",""))</f>
        <v/>
      </c>
      <c r="J462" s="65" t="str">
        <f>IF(COUNTA(A462:G462)=0,"",IF(E462&lt;&gt;"",E462,IF(B462="","",IFERROR(IF(INDEX(pr_price,MATCH(B462,pr_code,0))="","",INDEX(pr_price,MATCH(B462,pr_code,0))),""))))</f>
        <v/>
      </c>
      <c r="K462" s="71" t="str">
        <f>IF(COUNTA(A462:G462)=0,"",IF(G462&lt;&gt;"",G462,IF(B462="","",IFERROR(IF(INDEX(pr_rate,MATCH(B462,pr_code,0))="","",INDEX(pr_rate,MATCH(B462,pr_code,0))),""))))</f>
        <v/>
      </c>
      <c r="L462" s="65" t="str">
        <f>IF(COUNTA(A462:G462)=0,"",IF(AND(ISNUMBER(D462),ISNUMBER(J462)),ROUND(D462*J462*(1-N(F462)),2),0))</f>
        <v/>
      </c>
      <c r="M462" s="62" t="str">
        <f>IF(A462="","",IFERROR(INDEX(fa_cname,MATCH(A462,fa_num,0))&amp;"",""))</f>
        <v/>
      </c>
      <c r="N462" s="59" t="str">
        <f>IF(COUNTA(A462:G462)=0,"",IF(A462="","N° facture manquant",IF(ISNA(MATCH(A462,fa_num,0)),"Facture inconnue",IF(AND(B462&lt;&gt;"",ISNA(MATCH(B462,pr_code,0))),"Article inconnu",IF(H462="","Désignation manquante",IF(OR(NOT(ISNUMBER(D462)),N(D462)&lt;=0),"Quantité invalide",IF(J462="","Prix manquant",IF(OR(NOT(ISNUMBER(J462)),N(J462)&lt;0),"Prix invalide",IF(OR(AND(F462&lt;&gt;"",NOT(ISNUMBER(F462))),N(F462)&lt;0,N(F462)&gt;1),"Remise invalide",IF(K462="","Taux de TVA manquant",IF(NOT(ISNUMBER(K462)),"Taux de TVA invalide",IF(COUNTIF(p_rates,K462)=0,"Taux de TVA hors liste (Paramètres)",IF(N(O462)&gt;25,"Au-delà de 25 lignes : non imprimée","OK")))))))))))))</f>
        <v/>
      </c>
      <c r="O462" s="59" t="str">
        <f>IF(A462="","",COUNTIF($A$6:A462,A462))</f>
        <v/>
      </c>
      <c r="P462" s="62" t="str">
        <f>IF(A462="","",A462&amp;"|"&amp;O462)</f>
        <v/>
      </c>
    </row>
    <row r="463">
      <c r="A463" s="60" t="n"/>
      <c r="B463" s="63" t="n"/>
      <c r="C463" s="63" t="n"/>
      <c r="D463" s="67" t="n"/>
      <c r="E463" s="68" t="n"/>
      <c r="F463" s="69" t="n"/>
      <c r="G463" s="70" t="n"/>
      <c r="H463" s="62" t="str">
        <f>IF(COUNTA(A463:G463)=0,"",IF(C463&lt;&gt;"",C463,IF(B463="","",IFERROR(INDEX(pr_des,MATCH(B463,pr_code,0))&amp;"",""))))</f>
        <v/>
      </c>
      <c r="I463" s="59" t="str">
        <f>IF(B463="","",IFERROR(INDEX(pr_unit,MATCH(B463,pr_code,0))&amp;"",""))</f>
        <v/>
      </c>
      <c r="J463" s="65" t="str">
        <f>IF(COUNTA(A463:G463)=0,"",IF(E463&lt;&gt;"",E463,IF(B463="","",IFERROR(IF(INDEX(pr_price,MATCH(B463,pr_code,0))="","",INDEX(pr_price,MATCH(B463,pr_code,0))),""))))</f>
        <v/>
      </c>
      <c r="K463" s="71" t="str">
        <f>IF(COUNTA(A463:G463)=0,"",IF(G463&lt;&gt;"",G463,IF(B463="","",IFERROR(IF(INDEX(pr_rate,MATCH(B463,pr_code,0))="","",INDEX(pr_rate,MATCH(B463,pr_code,0))),""))))</f>
        <v/>
      </c>
      <c r="L463" s="65" t="str">
        <f>IF(COUNTA(A463:G463)=0,"",IF(AND(ISNUMBER(D463),ISNUMBER(J463)),ROUND(D463*J463*(1-N(F463)),2),0))</f>
        <v/>
      </c>
      <c r="M463" s="62" t="str">
        <f>IF(A463="","",IFERROR(INDEX(fa_cname,MATCH(A463,fa_num,0))&amp;"",""))</f>
        <v/>
      </c>
      <c r="N463" s="59" t="str">
        <f>IF(COUNTA(A463:G463)=0,"",IF(A463="","N° facture manquant",IF(ISNA(MATCH(A463,fa_num,0)),"Facture inconnue",IF(AND(B463&lt;&gt;"",ISNA(MATCH(B463,pr_code,0))),"Article inconnu",IF(H463="","Désignation manquante",IF(OR(NOT(ISNUMBER(D463)),N(D463)&lt;=0),"Quantité invalide",IF(J463="","Prix manquant",IF(OR(NOT(ISNUMBER(J463)),N(J463)&lt;0),"Prix invalide",IF(OR(AND(F463&lt;&gt;"",NOT(ISNUMBER(F463))),N(F463)&lt;0,N(F463)&gt;1),"Remise invalide",IF(K463="","Taux de TVA manquant",IF(NOT(ISNUMBER(K463)),"Taux de TVA invalide",IF(COUNTIF(p_rates,K463)=0,"Taux de TVA hors liste (Paramètres)",IF(N(O463)&gt;25,"Au-delà de 25 lignes : non imprimée","OK")))))))))))))</f>
        <v/>
      </c>
      <c r="O463" s="59" t="str">
        <f>IF(A463="","",COUNTIF($A$6:A463,A463))</f>
        <v/>
      </c>
      <c r="P463" s="62" t="str">
        <f>IF(A463="","",A463&amp;"|"&amp;O463)</f>
        <v/>
      </c>
    </row>
    <row r="464">
      <c r="A464" s="60" t="n"/>
      <c r="B464" s="63" t="n"/>
      <c r="C464" s="63" t="n"/>
      <c r="D464" s="67" t="n"/>
      <c r="E464" s="68" t="n"/>
      <c r="F464" s="69" t="n"/>
      <c r="G464" s="70" t="n"/>
      <c r="H464" s="62" t="str">
        <f>IF(COUNTA(A464:G464)=0,"",IF(C464&lt;&gt;"",C464,IF(B464="","",IFERROR(INDEX(pr_des,MATCH(B464,pr_code,0))&amp;"",""))))</f>
        <v/>
      </c>
      <c r="I464" s="59" t="str">
        <f>IF(B464="","",IFERROR(INDEX(pr_unit,MATCH(B464,pr_code,0))&amp;"",""))</f>
        <v/>
      </c>
      <c r="J464" s="65" t="str">
        <f>IF(COUNTA(A464:G464)=0,"",IF(E464&lt;&gt;"",E464,IF(B464="","",IFERROR(IF(INDEX(pr_price,MATCH(B464,pr_code,0))="","",INDEX(pr_price,MATCH(B464,pr_code,0))),""))))</f>
        <v/>
      </c>
      <c r="K464" s="71" t="str">
        <f>IF(COUNTA(A464:G464)=0,"",IF(G464&lt;&gt;"",G464,IF(B464="","",IFERROR(IF(INDEX(pr_rate,MATCH(B464,pr_code,0))="","",INDEX(pr_rate,MATCH(B464,pr_code,0))),""))))</f>
        <v/>
      </c>
      <c r="L464" s="65" t="str">
        <f>IF(COUNTA(A464:G464)=0,"",IF(AND(ISNUMBER(D464),ISNUMBER(J464)),ROUND(D464*J464*(1-N(F464)),2),0))</f>
        <v/>
      </c>
      <c r="M464" s="62" t="str">
        <f>IF(A464="","",IFERROR(INDEX(fa_cname,MATCH(A464,fa_num,0))&amp;"",""))</f>
        <v/>
      </c>
      <c r="N464" s="59" t="str">
        <f>IF(COUNTA(A464:G464)=0,"",IF(A464="","N° facture manquant",IF(ISNA(MATCH(A464,fa_num,0)),"Facture inconnue",IF(AND(B464&lt;&gt;"",ISNA(MATCH(B464,pr_code,0))),"Article inconnu",IF(H464="","Désignation manquante",IF(OR(NOT(ISNUMBER(D464)),N(D464)&lt;=0),"Quantité invalide",IF(J464="","Prix manquant",IF(OR(NOT(ISNUMBER(J464)),N(J464)&lt;0),"Prix invalide",IF(OR(AND(F464&lt;&gt;"",NOT(ISNUMBER(F464))),N(F464)&lt;0,N(F464)&gt;1),"Remise invalide",IF(K464="","Taux de TVA manquant",IF(NOT(ISNUMBER(K464)),"Taux de TVA invalide",IF(COUNTIF(p_rates,K464)=0,"Taux de TVA hors liste (Paramètres)",IF(N(O464)&gt;25,"Au-delà de 25 lignes : non imprimée","OK")))))))))))))</f>
        <v/>
      </c>
      <c r="O464" s="59" t="str">
        <f>IF(A464="","",COUNTIF($A$6:A464,A464))</f>
        <v/>
      </c>
      <c r="P464" s="62" t="str">
        <f>IF(A464="","",A464&amp;"|"&amp;O464)</f>
        <v/>
      </c>
    </row>
    <row r="465">
      <c r="A465" s="60" t="n"/>
      <c r="B465" s="63" t="n"/>
      <c r="C465" s="63" t="n"/>
      <c r="D465" s="67" t="n"/>
      <c r="E465" s="68" t="n"/>
      <c r="F465" s="69" t="n"/>
      <c r="G465" s="70" t="n"/>
      <c r="H465" s="62" t="str">
        <f>IF(COUNTA(A465:G465)=0,"",IF(C465&lt;&gt;"",C465,IF(B465="","",IFERROR(INDEX(pr_des,MATCH(B465,pr_code,0))&amp;"",""))))</f>
        <v/>
      </c>
      <c r="I465" s="59" t="str">
        <f>IF(B465="","",IFERROR(INDEX(pr_unit,MATCH(B465,pr_code,0))&amp;"",""))</f>
        <v/>
      </c>
      <c r="J465" s="65" t="str">
        <f>IF(COUNTA(A465:G465)=0,"",IF(E465&lt;&gt;"",E465,IF(B465="","",IFERROR(IF(INDEX(pr_price,MATCH(B465,pr_code,0))="","",INDEX(pr_price,MATCH(B465,pr_code,0))),""))))</f>
        <v/>
      </c>
      <c r="K465" s="71" t="str">
        <f>IF(COUNTA(A465:G465)=0,"",IF(G465&lt;&gt;"",G465,IF(B465="","",IFERROR(IF(INDEX(pr_rate,MATCH(B465,pr_code,0))="","",INDEX(pr_rate,MATCH(B465,pr_code,0))),""))))</f>
        <v/>
      </c>
      <c r="L465" s="65" t="str">
        <f>IF(COUNTA(A465:G465)=0,"",IF(AND(ISNUMBER(D465),ISNUMBER(J465)),ROUND(D465*J465*(1-N(F465)),2),0))</f>
        <v/>
      </c>
      <c r="M465" s="62" t="str">
        <f>IF(A465="","",IFERROR(INDEX(fa_cname,MATCH(A465,fa_num,0))&amp;"",""))</f>
        <v/>
      </c>
      <c r="N465" s="59" t="str">
        <f>IF(COUNTA(A465:G465)=0,"",IF(A465="","N° facture manquant",IF(ISNA(MATCH(A465,fa_num,0)),"Facture inconnue",IF(AND(B465&lt;&gt;"",ISNA(MATCH(B465,pr_code,0))),"Article inconnu",IF(H465="","Désignation manquante",IF(OR(NOT(ISNUMBER(D465)),N(D465)&lt;=0),"Quantité invalide",IF(J465="","Prix manquant",IF(OR(NOT(ISNUMBER(J465)),N(J465)&lt;0),"Prix invalide",IF(OR(AND(F465&lt;&gt;"",NOT(ISNUMBER(F465))),N(F465)&lt;0,N(F465)&gt;1),"Remise invalide",IF(K465="","Taux de TVA manquant",IF(NOT(ISNUMBER(K465)),"Taux de TVA invalide",IF(COUNTIF(p_rates,K465)=0,"Taux de TVA hors liste (Paramètres)",IF(N(O465)&gt;25,"Au-delà de 25 lignes : non imprimée","OK")))))))))))))</f>
        <v/>
      </c>
      <c r="O465" s="59" t="str">
        <f>IF(A465="","",COUNTIF($A$6:A465,A465))</f>
        <v/>
      </c>
      <c r="P465" s="62" t="str">
        <f>IF(A465="","",A465&amp;"|"&amp;O465)</f>
        <v/>
      </c>
    </row>
    <row r="466">
      <c r="A466" s="60" t="n"/>
      <c r="B466" s="63" t="n"/>
      <c r="C466" s="63" t="n"/>
      <c r="D466" s="67" t="n"/>
      <c r="E466" s="68" t="n"/>
      <c r="F466" s="69" t="n"/>
      <c r="G466" s="70" t="n"/>
      <c r="H466" s="62" t="str">
        <f>IF(COUNTA(A466:G466)=0,"",IF(C466&lt;&gt;"",C466,IF(B466="","",IFERROR(INDEX(pr_des,MATCH(B466,pr_code,0))&amp;"",""))))</f>
        <v/>
      </c>
      <c r="I466" s="59" t="str">
        <f>IF(B466="","",IFERROR(INDEX(pr_unit,MATCH(B466,pr_code,0))&amp;"",""))</f>
        <v/>
      </c>
      <c r="J466" s="65" t="str">
        <f>IF(COUNTA(A466:G466)=0,"",IF(E466&lt;&gt;"",E466,IF(B466="","",IFERROR(IF(INDEX(pr_price,MATCH(B466,pr_code,0))="","",INDEX(pr_price,MATCH(B466,pr_code,0))),""))))</f>
        <v/>
      </c>
      <c r="K466" s="71" t="str">
        <f>IF(COUNTA(A466:G466)=0,"",IF(G466&lt;&gt;"",G466,IF(B466="","",IFERROR(IF(INDEX(pr_rate,MATCH(B466,pr_code,0))="","",INDEX(pr_rate,MATCH(B466,pr_code,0))),""))))</f>
        <v/>
      </c>
      <c r="L466" s="65" t="str">
        <f>IF(COUNTA(A466:G466)=0,"",IF(AND(ISNUMBER(D466),ISNUMBER(J466)),ROUND(D466*J466*(1-N(F466)),2),0))</f>
        <v/>
      </c>
      <c r="M466" s="62" t="str">
        <f>IF(A466="","",IFERROR(INDEX(fa_cname,MATCH(A466,fa_num,0))&amp;"",""))</f>
        <v/>
      </c>
      <c r="N466" s="59" t="str">
        <f>IF(COUNTA(A466:G466)=0,"",IF(A466="","N° facture manquant",IF(ISNA(MATCH(A466,fa_num,0)),"Facture inconnue",IF(AND(B466&lt;&gt;"",ISNA(MATCH(B466,pr_code,0))),"Article inconnu",IF(H466="","Désignation manquante",IF(OR(NOT(ISNUMBER(D466)),N(D466)&lt;=0),"Quantité invalide",IF(J466="","Prix manquant",IF(OR(NOT(ISNUMBER(J466)),N(J466)&lt;0),"Prix invalide",IF(OR(AND(F466&lt;&gt;"",NOT(ISNUMBER(F466))),N(F466)&lt;0,N(F466)&gt;1),"Remise invalide",IF(K466="","Taux de TVA manquant",IF(NOT(ISNUMBER(K466)),"Taux de TVA invalide",IF(COUNTIF(p_rates,K466)=0,"Taux de TVA hors liste (Paramètres)",IF(N(O466)&gt;25,"Au-delà de 25 lignes : non imprimée","OK")))))))))))))</f>
        <v/>
      </c>
      <c r="O466" s="59" t="str">
        <f>IF(A466="","",COUNTIF($A$6:A466,A466))</f>
        <v/>
      </c>
      <c r="P466" s="62" t="str">
        <f>IF(A466="","",A466&amp;"|"&amp;O466)</f>
        <v/>
      </c>
    </row>
    <row r="467">
      <c r="A467" s="60" t="n"/>
      <c r="B467" s="63" t="n"/>
      <c r="C467" s="63" t="n"/>
      <c r="D467" s="67" t="n"/>
      <c r="E467" s="68" t="n"/>
      <c r="F467" s="69" t="n"/>
      <c r="G467" s="70" t="n"/>
      <c r="H467" s="62" t="str">
        <f>IF(COUNTA(A467:G467)=0,"",IF(C467&lt;&gt;"",C467,IF(B467="","",IFERROR(INDEX(pr_des,MATCH(B467,pr_code,0))&amp;"",""))))</f>
        <v/>
      </c>
      <c r="I467" s="59" t="str">
        <f>IF(B467="","",IFERROR(INDEX(pr_unit,MATCH(B467,pr_code,0))&amp;"",""))</f>
        <v/>
      </c>
      <c r="J467" s="65" t="str">
        <f>IF(COUNTA(A467:G467)=0,"",IF(E467&lt;&gt;"",E467,IF(B467="","",IFERROR(IF(INDEX(pr_price,MATCH(B467,pr_code,0))="","",INDEX(pr_price,MATCH(B467,pr_code,0))),""))))</f>
        <v/>
      </c>
      <c r="K467" s="71" t="str">
        <f>IF(COUNTA(A467:G467)=0,"",IF(G467&lt;&gt;"",G467,IF(B467="","",IFERROR(IF(INDEX(pr_rate,MATCH(B467,pr_code,0))="","",INDEX(pr_rate,MATCH(B467,pr_code,0))),""))))</f>
        <v/>
      </c>
      <c r="L467" s="65" t="str">
        <f>IF(COUNTA(A467:G467)=0,"",IF(AND(ISNUMBER(D467),ISNUMBER(J467)),ROUND(D467*J467*(1-N(F467)),2),0))</f>
        <v/>
      </c>
      <c r="M467" s="62" t="str">
        <f>IF(A467="","",IFERROR(INDEX(fa_cname,MATCH(A467,fa_num,0))&amp;"",""))</f>
        <v/>
      </c>
      <c r="N467" s="59" t="str">
        <f>IF(COUNTA(A467:G467)=0,"",IF(A467="","N° facture manquant",IF(ISNA(MATCH(A467,fa_num,0)),"Facture inconnue",IF(AND(B467&lt;&gt;"",ISNA(MATCH(B467,pr_code,0))),"Article inconnu",IF(H467="","Désignation manquante",IF(OR(NOT(ISNUMBER(D467)),N(D467)&lt;=0),"Quantité invalide",IF(J467="","Prix manquant",IF(OR(NOT(ISNUMBER(J467)),N(J467)&lt;0),"Prix invalide",IF(OR(AND(F467&lt;&gt;"",NOT(ISNUMBER(F467))),N(F467)&lt;0,N(F467)&gt;1),"Remise invalide",IF(K467="","Taux de TVA manquant",IF(NOT(ISNUMBER(K467)),"Taux de TVA invalide",IF(COUNTIF(p_rates,K467)=0,"Taux de TVA hors liste (Paramètres)",IF(N(O467)&gt;25,"Au-delà de 25 lignes : non imprimée","OK")))))))))))))</f>
        <v/>
      </c>
      <c r="O467" s="59" t="str">
        <f>IF(A467="","",COUNTIF($A$6:A467,A467))</f>
        <v/>
      </c>
      <c r="P467" s="62" t="str">
        <f>IF(A467="","",A467&amp;"|"&amp;O467)</f>
        <v/>
      </c>
    </row>
    <row r="468">
      <c r="A468" s="60" t="n"/>
      <c r="B468" s="63" t="n"/>
      <c r="C468" s="63" t="n"/>
      <c r="D468" s="67" t="n"/>
      <c r="E468" s="68" t="n"/>
      <c r="F468" s="69" t="n"/>
      <c r="G468" s="70" t="n"/>
      <c r="H468" s="62" t="str">
        <f>IF(COUNTA(A468:G468)=0,"",IF(C468&lt;&gt;"",C468,IF(B468="","",IFERROR(INDEX(pr_des,MATCH(B468,pr_code,0))&amp;"",""))))</f>
        <v/>
      </c>
      <c r="I468" s="59" t="str">
        <f>IF(B468="","",IFERROR(INDEX(pr_unit,MATCH(B468,pr_code,0))&amp;"",""))</f>
        <v/>
      </c>
      <c r="J468" s="65" t="str">
        <f>IF(COUNTA(A468:G468)=0,"",IF(E468&lt;&gt;"",E468,IF(B468="","",IFERROR(IF(INDEX(pr_price,MATCH(B468,pr_code,0))="","",INDEX(pr_price,MATCH(B468,pr_code,0))),""))))</f>
        <v/>
      </c>
      <c r="K468" s="71" t="str">
        <f>IF(COUNTA(A468:G468)=0,"",IF(G468&lt;&gt;"",G468,IF(B468="","",IFERROR(IF(INDEX(pr_rate,MATCH(B468,pr_code,0))="","",INDEX(pr_rate,MATCH(B468,pr_code,0))),""))))</f>
        <v/>
      </c>
      <c r="L468" s="65" t="str">
        <f>IF(COUNTA(A468:G468)=0,"",IF(AND(ISNUMBER(D468),ISNUMBER(J468)),ROUND(D468*J468*(1-N(F468)),2),0))</f>
        <v/>
      </c>
      <c r="M468" s="62" t="str">
        <f>IF(A468="","",IFERROR(INDEX(fa_cname,MATCH(A468,fa_num,0))&amp;"",""))</f>
        <v/>
      </c>
      <c r="N468" s="59" t="str">
        <f>IF(COUNTA(A468:G468)=0,"",IF(A468="","N° facture manquant",IF(ISNA(MATCH(A468,fa_num,0)),"Facture inconnue",IF(AND(B468&lt;&gt;"",ISNA(MATCH(B468,pr_code,0))),"Article inconnu",IF(H468="","Désignation manquante",IF(OR(NOT(ISNUMBER(D468)),N(D468)&lt;=0),"Quantité invalide",IF(J468="","Prix manquant",IF(OR(NOT(ISNUMBER(J468)),N(J468)&lt;0),"Prix invalide",IF(OR(AND(F468&lt;&gt;"",NOT(ISNUMBER(F468))),N(F468)&lt;0,N(F468)&gt;1),"Remise invalide",IF(K468="","Taux de TVA manquant",IF(NOT(ISNUMBER(K468)),"Taux de TVA invalide",IF(COUNTIF(p_rates,K468)=0,"Taux de TVA hors liste (Paramètres)",IF(N(O468)&gt;25,"Au-delà de 25 lignes : non imprimée","OK")))))))))))))</f>
        <v/>
      </c>
      <c r="O468" s="59" t="str">
        <f>IF(A468="","",COUNTIF($A$6:A468,A468))</f>
        <v/>
      </c>
      <c r="P468" s="62" t="str">
        <f>IF(A468="","",A468&amp;"|"&amp;O468)</f>
        <v/>
      </c>
    </row>
    <row r="469">
      <c r="A469" s="60" t="n"/>
      <c r="B469" s="63" t="n"/>
      <c r="C469" s="63" t="n"/>
      <c r="D469" s="67" t="n"/>
      <c r="E469" s="68" t="n"/>
      <c r="F469" s="69" t="n"/>
      <c r="G469" s="70" t="n"/>
      <c r="H469" s="62" t="str">
        <f>IF(COUNTA(A469:G469)=0,"",IF(C469&lt;&gt;"",C469,IF(B469="","",IFERROR(INDEX(pr_des,MATCH(B469,pr_code,0))&amp;"",""))))</f>
        <v/>
      </c>
      <c r="I469" s="59" t="str">
        <f>IF(B469="","",IFERROR(INDEX(pr_unit,MATCH(B469,pr_code,0))&amp;"",""))</f>
        <v/>
      </c>
      <c r="J469" s="65" t="str">
        <f>IF(COUNTA(A469:G469)=0,"",IF(E469&lt;&gt;"",E469,IF(B469="","",IFERROR(IF(INDEX(pr_price,MATCH(B469,pr_code,0))="","",INDEX(pr_price,MATCH(B469,pr_code,0))),""))))</f>
        <v/>
      </c>
      <c r="K469" s="71" t="str">
        <f>IF(COUNTA(A469:G469)=0,"",IF(G469&lt;&gt;"",G469,IF(B469="","",IFERROR(IF(INDEX(pr_rate,MATCH(B469,pr_code,0))="","",INDEX(pr_rate,MATCH(B469,pr_code,0))),""))))</f>
        <v/>
      </c>
      <c r="L469" s="65" t="str">
        <f>IF(COUNTA(A469:G469)=0,"",IF(AND(ISNUMBER(D469),ISNUMBER(J469)),ROUND(D469*J469*(1-N(F469)),2),0))</f>
        <v/>
      </c>
      <c r="M469" s="62" t="str">
        <f>IF(A469="","",IFERROR(INDEX(fa_cname,MATCH(A469,fa_num,0))&amp;"",""))</f>
        <v/>
      </c>
      <c r="N469" s="59" t="str">
        <f>IF(COUNTA(A469:G469)=0,"",IF(A469="","N° facture manquant",IF(ISNA(MATCH(A469,fa_num,0)),"Facture inconnue",IF(AND(B469&lt;&gt;"",ISNA(MATCH(B469,pr_code,0))),"Article inconnu",IF(H469="","Désignation manquante",IF(OR(NOT(ISNUMBER(D469)),N(D469)&lt;=0),"Quantité invalide",IF(J469="","Prix manquant",IF(OR(NOT(ISNUMBER(J469)),N(J469)&lt;0),"Prix invalide",IF(OR(AND(F469&lt;&gt;"",NOT(ISNUMBER(F469))),N(F469)&lt;0,N(F469)&gt;1),"Remise invalide",IF(K469="","Taux de TVA manquant",IF(NOT(ISNUMBER(K469)),"Taux de TVA invalide",IF(COUNTIF(p_rates,K469)=0,"Taux de TVA hors liste (Paramètres)",IF(N(O469)&gt;25,"Au-delà de 25 lignes : non imprimée","OK")))))))))))))</f>
        <v/>
      </c>
      <c r="O469" s="59" t="str">
        <f>IF(A469="","",COUNTIF($A$6:A469,A469))</f>
        <v/>
      </c>
      <c r="P469" s="62" t="str">
        <f>IF(A469="","",A469&amp;"|"&amp;O469)</f>
        <v/>
      </c>
    </row>
    <row r="470">
      <c r="A470" s="60" t="n"/>
      <c r="B470" s="63" t="n"/>
      <c r="C470" s="63" t="n"/>
      <c r="D470" s="67" t="n"/>
      <c r="E470" s="68" t="n"/>
      <c r="F470" s="69" t="n"/>
      <c r="G470" s="70" t="n"/>
      <c r="H470" s="62" t="str">
        <f>IF(COUNTA(A470:G470)=0,"",IF(C470&lt;&gt;"",C470,IF(B470="","",IFERROR(INDEX(pr_des,MATCH(B470,pr_code,0))&amp;"",""))))</f>
        <v/>
      </c>
      <c r="I470" s="59" t="str">
        <f>IF(B470="","",IFERROR(INDEX(pr_unit,MATCH(B470,pr_code,0))&amp;"",""))</f>
        <v/>
      </c>
      <c r="J470" s="65" t="str">
        <f>IF(COUNTA(A470:G470)=0,"",IF(E470&lt;&gt;"",E470,IF(B470="","",IFERROR(IF(INDEX(pr_price,MATCH(B470,pr_code,0))="","",INDEX(pr_price,MATCH(B470,pr_code,0))),""))))</f>
        <v/>
      </c>
      <c r="K470" s="71" t="str">
        <f>IF(COUNTA(A470:G470)=0,"",IF(G470&lt;&gt;"",G470,IF(B470="","",IFERROR(IF(INDEX(pr_rate,MATCH(B470,pr_code,0))="","",INDEX(pr_rate,MATCH(B470,pr_code,0))),""))))</f>
        <v/>
      </c>
      <c r="L470" s="65" t="str">
        <f>IF(COUNTA(A470:G470)=0,"",IF(AND(ISNUMBER(D470),ISNUMBER(J470)),ROUND(D470*J470*(1-N(F470)),2),0))</f>
        <v/>
      </c>
      <c r="M470" s="62" t="str">
        <f>IF(A470="","",IFERROR(INDEX(fa_cname,MATCH(A470,fa_num,0))&amp;"",""))</f>
        <v/>
      </c>
      <c r="N470" s="59" t="str">
        <f>IF(COUNTA(A470:G470)=0,"",IF(A470="","N° facture manquant",IF(ISNA(MATCH(A470,fa_num,0)),"Facture inconnue",IF(AND(B470&lt;&gt;"",ISNA(MATCH(B470,pr_code,0))),"Article inconnu",IF(H470="","Désignation manquante",IF(OR(NOT(ISNUMBER(D470)),N(D470)&lt;=0),"Quantité invalide",IF(J470="","Prix manquant",IF(OR(NOT(ISNUMBER(J470)),N(J470)&lt;0),"Prix invalide",IF(OR(AND(F470&lt;&gt;"",NOT(ISNUMBER(F470))),N(F470)&lt;0,N(F470)&gt;1),"Remise invalide",IF(K470="","Taux de TVA manquant",IF(NOT(ISNUMBER(K470)),"Taux de TVA invalide",IF(COUNTIF(p_rates,K470)=0,"Taux de TVA hors liste (Paramètres)",IF(N(O470)&gt;25,"Au-delà de 25 lignes : non imprimée","OK")))))))))))))</f>
        <v/>
      </c>
      <c r="O470" s="59" t="str">
        <f>IF(A470="","",COUNTIF($A$6:A470,A470))</f>
        <v/>
      </c>
      <c r="P470" s="62" t="str">
        <f>IF(A470="","",A470&amp;"|"&amp;O470)</f>
        <v/>
      </c>
    </row>
    <row r="471">
      <c r="A471" s="60" t="n"/>
      <c r="B471" s="63" t="n"/>
      <c r="C471" s="63" t="n"/>
      <c r="D471" s="67" t="n"/>
      <c r="E471" s="68" t="n"/>
      <c r="F471" s="69" t="n"/>
      <c r="G471" s="70" t="n"/>
      <c r="H471" s="62" t="str">
        <f>IF(COUNTA(A471:G471)=0,"",IF(C471&lt;&gt;"",C471,IF(B471="","",IFERROR(INDEX(pr_des,MATCH(B471,pr_code,0))&amp;"",""))))</f>
        <v/>
      </c>
      <c r="I471" s="59" t="str">
        <f>IF(B471="","",IFERROR(INDEX(pr_unit,MATCH(B471,pr_code,0))&amp;"",""))</f>
        <v/>
      </c>
      <c r="J471" s="65" t="str">
        <f>IF(COUNTA(A471:G471)=0,"",IF(E471&lt;&gt;"",E471,IF(B471="","",IFERROR(IF(INDEX(pr_price,MATCH(B471,pr_code,0))="","",INDEX(pr_price,MATCH(B471,pr_code,0))),""))))</f>
        <v/>
      </c>
      <c r="K471" s="71" t="str">
        <f>IF(COUNTA(A471:G471)=0,"",IF(G471&lt;&gt;"",G471,IF(B471="","",IFERROR(IF(INDEX(pr_rate,MATCH(B471,pr_code,0))="","",INDEX(pr_rate,MATCH(B471,pr_code,0))),""))))</f>
        <v/>
      </c>
      <c r="L471" s="65" t="str">
        <f>IF(COUNTA(A471:G471)=0,"",IF(AND(ISNUMBER(D471),ISNUMBER(J471)),ROUND(D471*J471*(1-N(F471)),2),0))</f>
        <v/>
      </c>
      <c r="M471" s="62" t="str">
        <f>IF(A471="","",IFERROR(INDEX(fa_cname,MATCH(A471,fa_num,0))&amp;"",""))</f>
        <v/>
      </c>
      <c r="N471" s="59" t="str">
        <f>IF(COUNTA(A471:G471)=0,"",IF(A471="","N° facture manquant",IF(ISNA(MATCH(A471,fa_num,0)),"Facture inconnue",IF(AND(B471&lt;&gt;"",ISNA(MATCH(B471,pr_code,0))),"Article inconnu",IF(H471="","Désignation manquante",IF(OR(NOT(ISNUMBER(D471)),N(D471)&lt;=0),"Quantité invalide",IF(J471="","Prix manquant",IF(OR(NOT(ISNUMBER(J471)),N(J471)&lt;0),"Prix invalide",IF(OR(AND(F471&lt;&gt;"",NOT(ISNUMBER(F471))),N(F471)&lt;0,N(F471)&gt;1),"Remise invalide",IF(K471="","Taux de TVA manquant",IF(NOT(ISNUMBER(K471)),"Taux de TVA invalide",IF(COUNTIF(p_rates,K471)=0,"Taux de TVA hors liste (Paramètres)",IF(N(O471)&gt;25,"Au-delà de 25 lignes : non imprimée","OK")))))))))))))</f>
        <v/>
      </c>
      <c r="O471" s="59" t="str">
        <f>IF(A471="","",COUNTIF($A$6:A471,A471))</f>
        <v/>
      </c>
      <c r="P471" s="62" t="str">
        <f>IF(A471="","",A471&amp;"|"&amp;O471)</f>
        <v/>
      </c>
    </row>
    <row r="472">
      <c r="A472" s="60" t="n"/>
      <c r="B472" s="63" t="n"/>
      <c r="C472" s="63" t="n"/>
      <c r="D472" s="67" t="n"/>
      <c r="E472" s="68" t="n"/>
      <c r="F472" s="69" t="n"/>
      <c r="G472" s="70" t="n"/>
      <c r="H472" s="62" t="str">
        <f>IF(COUNTA(A472:G472)=0,"",IF(C472&lt;&gt;"",C472,IF(B472="","",IFERROR(INDEX(pr_des,MATCH(B472,pr_code,0))&amp;"",""))))</f>
        <v/>
      </c>
      <c r="I472" s="59" t="str">
        <f>IF(B472="","",IFERROR(INDEX(pr_unit,MATCH(B472,pr_code,0))&amp;"",""))</f>
        <v/>
      </c>
      <c r="J472" s="65" t="str">
        <f>IF(COUNTA(A472:G472)=0,"",IF(E472&lt;&gt;"",E472,IF(B472="","",IFERROR(IF(INDEX(pr_price,MATCH(B472,pr_code,0))="","",INDEX(pr_price,MATCH(B472,pr_code,0))),""))))</f>
        <v/>
      </c>
      <c r="K472" s="71" t="str">
        <f>IF(COUNTA(A472:G472)=0,"",IF(G472&lt;&gt;"",G472,IF(B472="","",IFERROR(IF(INDEX(pr_rate,MATCH(B472,pr_code,0))="","",INDEX(pr_rate,MATCH(B472,pr_code,0))),""))))</f>
        <v/>
      </c>
      <c r="L472" s="65" t="str">
        <f>IF(COUNTA(A472:G472)=0,"",IF(AND(ISNUMBER(D472),ISNUMBER(J472)),ROUND(D472*J472*(1-N(F472)),2),0))</f>
        <v/>
      </c>
      <c r="M472" s="62" t="str">
        <f>IF(A472="","",IFERROR(INDEX(fa_cname,MATCH(A472,fa_num,0))&amp;"",""))</f>
        <v/>
      </c>
      <c r="N472" s="59" t="str">
        <f>IF(COUNTA(A472:G472)=0,"",IF(A472="","N° facture manquant",IF(ISNA(MATCH(A472,fa_num,0)),"Facture inconnue",IF(AND(B472&lt;&gt;"",ISNA(MATCH(B472,pr_code,0))),"Article inconnu",IF(H472="","Désignation manquante",IF(OR(NOT(ISNUMBER(D472)),N(D472)&lt;=0),"Quantité invalide",IF(J472="","Prix manquant",IF(OR(NOT(ISNUMBER(J472)),N(J472)&lt;0),"Prix invalide",IF(OR(AND(F472&lt;&gt;"",NOT(ISNUMBER(F472))),N(F472)&lt;0,N(F472)&gt;1),"Remise invalide",IF(K472="","Taux de TVA manquant",IF(NOT(ISNUMBER(K472)),"Taux de TVA invalide",IF(COUNTIF(p_rates,K472)=0,"Taux de TVA hors liste (Paramètres)",IF(N(O472)&gt;25,"Au-delà de 25 lignes : non imprimée","OK")))))))))))))</f>
        <v/>
      </c>
      <c r="O472" s="59" t="str">
        <f>IF(A472="","",COUNTIF($A$6:A472,A472))</f>
        <v/>
      </c>
      <c r="P472" s="62" t="str">
        <f>IF(A472="","",A472&amp;"|"&amp;O472)</f>
        <v/>
      </c>
    </row>
    <row r="473">
      <c r="A473" s="60" t="n"/>
      <c r="B473" s="63" t="n"/>
      <c r="C473" s="63" t="n"/>
      <c r="D473" s="67" t="n"/>
      <c r="E473" s="68" t="n"/>
      <c r="F473" s="69" t="n"/>
      <c r="G473" s="70" t="n"/>
      <c r="H473" s="62" t="str">
        <f>IF(COUNTA(A473:G473)=0,"",IF(C473&lt;&gt;"",C473,IF(B473="","",IFERROR(INDEX(pr_des,MATCH(B473,pr_code,0))&amp;"",""))))</f>
        <v/>
      </c>
      <c r="I473" s="59" t="str">
        <f>IF(B473="","",IFERROR(INDEX(pr_unit,MATCH(B473,pr_code,0))&amp;"",""))</f>
        <v/>
      </c>
      <c r="J473" s="65" t="str">
        <f>IF(COUNTA(A473:G473)=0,"",IF(E473&lt;&gt;"",E473,IF(B473="","",IFERROR(IF(INDEX(pr_price,MATCH(B473,pr_code,0))="","",INDEX(pr_price,MATCH(B473,pr_code,0))),""))))</f>
        <v/>
      </c>
      <c r="K473" s="71" t="str">
        <f>IF(COUNTA(A473:G473)=0,"",IF(G473&lt;&gt;"",G473,IF(B473="","",IFERROR(IF(INDEX(pr_rate,MATCH(B473,pr_code,0))="","",INDEX(pr_rate,MATCH(B473,pr_code,0))),""))))</f>
        <v/>
      </c>
      <c r="L473" s="65" t="str">
        <f>IF(COUNTA(A473:G473)=0,"",IF(AND(ISNUMBER(D473),ISNUMBER(J473)),ROUND(D473*J473*(1-N(F473)),2),0))</f>
        <v/>
      </c>
      <c r="M473" s="62" t="str">
        <f>IF(A473="","",IFERROR(INDEX(fa_cname,MATCH(A473,fa_num,0))&amp;"",""))</f>
        <v/>
      </c>
      <c r="N473" s="59" t="str">
        <f>IF(COUNTA(A473:G473)=0,"",IF(A473="","N° facture manquant",IF(ISNA(MATCH(A473,fa_num,0)),"Facture inconnue",IF(AND(B473&lt;&gt;"",ISNA(MATCH(B473,pr_code,0))),"Article inconnu",IF(H473="","Désignation manquante",IF(OR(NOT(ISNUMBER(D473)),N(D473)&lt;=0),"Quantité invalide",IF(J473="","Prix manquant",IF(OR(NOT(ISNUMBER(J473)),N(J473)&lt;0),"Prix invalide",IF(OR(AND(F473&lt;&gt;"",NOT(ISNUMBER(F473))),N(F473)&lt;0,N(F473)&gt;1),"Remise invalide",IF(K473="","Taux de TVA manquant",IF(NOT(ISNUMBER(K473)),"Taux de TVA invalide",IF(COUNTIF(p_rates,K473)=0,"Taux de TVA hors liste (Paramètres)",IF(N(O473)&gt;25,"Au-delà de 25 lignes : non imprimée","OK")))))))))))))</f>
        <v/>
      </c>
      <c r="O473" s="59" t="str">
        <f>IF(A473="","",COUNTIF($A$6:A473,A473))</f>
        <v/>
      </c>
      <c r="P473" s="62" t="str">
        <f>IF(A473="","",A473&amp;"|"&amp;O473)</f>
        <v/>
      </c>
    </row>
    <row r="474">
      <c r="A474" s="60" t="n"/>
      <c r="B474" s="63" t="n"/>
      <c r="C474" s="63" t="n"/>
      <c r="D474" s="67" t="n"/>
      <c r="E474" s="68" t="n"/>
      <c r="F474" s="69" t="n"/>
      <c r="G474" s="70" t="n"/>
      <c r="H474" s="62" t="str">
        <f>IF(COUNTA(A474:G474)=0,"",IF(C474&lt;&gt;"",C474,IF(B474="","",IFERROR(INDEX(pr_des,MATCH(B474,pr_code,0))&amp;"",""))))</f>
        <v/>
      </c>
      <c r="I474" s="59" t="str">
        <f>IF(B474="","",IFERROR(INDEX(pr_unit,MATCH(B474,pr_code,0))&amp;"",""))</f>
        <v/>
      </c>
      <c r="J474" s="65" t="str">
        <f>IF(COUNTA(A474:G474)=0,"",IF(E474&lt;&gt;"",E474,IF(B474="","",IFERROR(IF(INDEX(pr_price,MATCH(B474,pr_code,0))="","",INDEX(pr_price,MATCH(B474,pr_code,0))),""))))</f>
        <v/>
      </c>
      <c r="K474" s="71" t="str">
        <f>IF(COUNTA(A474:G474)=0,"",IF(G474&lt;&gt;"",G474,IF(B474="","",IFERROR(IF(INDEX(pr_rate,MATCH(B474,pr_code,0))="","",INDEX(pr_rate,MATCH(B474,pr_code,0))),""))))</f>
        <v/>
      </c>
      <c r="L474" s="65" t="str">
        <f>IF(COUNTA(A474:G474)=0,"",IF(AND(ISNUMBER(D474),ISNUMBER(J474)),ROUND(D474*J474*(1-N(F474)),2),0))</f>
        <v/>
      </c>
      <c r="M474" s="62" t="str">
        <f>IF(A474="","",IFERROR(INDEX(fa_cname,MATCH(A474,fa_num,0))&amp;"",""))</f>
        <v/>
      </c>
      <c r="N474" s="59" t="str">
        <f>IF(COUNTA(A474:G474)=0,"",IF(A474="","N° facture manquant",IF(ISNA(MATCH(A474,fa_num,0)),"Facture inconnue",IF(AND(B474&lt;&gt;"",ISNA(MATCH(B474,pr_code,0))),"Article inconnu",IF(H474="","Désignation manquante",IF(OR(NOT(ISNUMBER(D474)),N(D474)&lt;=0),"Quantité invalide",IF(J474="","Prix manquant",IF(OR(NOT(ISNUMBER(J474)),N(J474)&lt;0),"Prix invalide",IF(OR(AND(F474&lt;&gt;"",NOT(ISNUMBER(F474))),N(F474)&lt;0,N(F474)&gt;1),"Remise invalide",IF(K474="","Taux de TVA manquant",IF(NOT(ISNUMBER(K474)),"Taux de TVA invalide",IF(COUNTIF(p_rates,K474)=0,"Taux de TVA hors liste (Paramètres)",IF(N(O474)&gt;25,"Au-delà de 25 lignes : non imprimée","OK")))))))))))))</f>
        <v/>
      </c>
      <c r="O474" s="59" t="str">
        <f>IF(A474="","",COUNTIF($A$6:A474,A474))</f>
        <v/>
      </c>
      <c r="P474" s="62" t="str">
        <f>IF(A474="","",A474&amp;"|"&amp;O474)</f>
        <v/>
      </c>
    </row>
    <row r="475">
      <c r="A475" s="60" t="n"/>
      <c r="B475" s="63" t="n"/>
      <c r="C475" s="63" t="n"/>
      <c r="D475" s="67" t="n"/>
      <c r="E475" s="68" t="n"/>
      <c r="F475" s="69" t="n"/>
      <c r="G475" s="70" t="n"/>
      <c r="H475" s="62" t="str">
        <f>IF(COUNTA(A475:G475)=0,"",IF(C475&lt;&gt;"",C475,IF(B475="","",IFERROR(INDEX(pr_des,MATCH(B475,pr_code,0))&amp;"",""))))</f>
        <v/>
      </c>
      <c r="I475" s="59" t="str">
        <f>IF(B475="","",IFERROR(INDEX(pr_unit,MATCH(B475,pr_code,0))&amp;"",""))</f>
        <v/>
      </c>
      <c r="J475" s="65" t="str">
        <f>IF(COUNTA(A475:G475)=0,"",IF(E475&lt;&gt;"",E475,IF(B475="","",IFERROR(IF(INDEX(pr_price,MATCH(B475,pr_code,0))="","",INDEX(pr_price,MATCH(B475,pr_code,0))),""))))</f>
        <v/>
      </c>
      <c r="K475" s="71" t="str">
        <f>IF(COUNTA(A475:G475)=0,"",IF(G475&lt;&gt;"",G475,IF(B475="","",IFERROR(IF(INDEX(pr_rate,MATCH(B475,pr_code,0))="","",INDEX(pr_rate,MATCH(B475,pr_code,0))),""))))</f>
        <v/>
      </c>
      <c r="L475" s="65" t="str">
        <f>IF(COUNTA(A475:G475)=0,"",IF(AND(ISNUMBER(D475),ISNUMBER(J475)),ROUND(D475*J475*(1-N(F475)),2),0))</f>
        <v/>
      </c>
      <c r="M475" s="62" t="str">
        <f>IF(A475="","",IFERROR(INDEX(fa_cname,MATCH(A475,fa_num,0))&amp;"",""))</f>
        <v/>
      </c>
      <c r="N475" s="59" t="str">
        <f>IF(COUNTA(A475:G475)=0,"",IF(A475="","N° facture manquant",IF(ISNA(MATCH(A475,fa_num,0)),"Facture inconnue",IF(AND(B475&lt;&gt;"",ISNA(MATCH(B475,pr_code,0))),"Article inconnu",IF(H475="","Désignation manquante",IF(OR(NOT(ISNUMBER(D475)),N(D475)&lt;=0),"Quantité invalide",IF(J475="","Prix manquant",IF(OR(NOT(ISNUMBER(J475)),N(J475)&lt;0),"Prix invalide",IF(OR(AND(F475&lt;&gt;"",NOT(ISNUMBER(F475))),N(F475)&lt;0,N(F475)&gt;1),"Remise invalide",IF(K475="","Taux de TVA manquant",IF(NOT(ISNUMBER(K475)),"Taux de TVA invalide",IF(COUNTIF(p_rates,K475)=0,"Taux de TVA hors liste (Paramètres)",IF(N(O475)&gt;25,"Au-delà de 25 lignes : non imprimée","OK")))))))))))))</f>
        <v/>
      </c>
      <c r="O475" s="59" t="str">
        <f>IF(A475="","",COUNTIF($A$6:A475,A475))</f>
        <v/>
      </c>
      <c r="P475" s="62" t="str">
        <f>IF(A475="","",A475&amp;"|"&amp;O475)</f>
        <v/>
      </c>
    </row>
    <row r="476">
      <c r="A476" s="60" t="n"/>
      <c r="B476" s="63" t="n"/>
      <c r="C476" s="63" t="n"/>
      <c r="D476" s="67" t="n"/>
      <c r="E476" s="68" t="n"/>
      <c r="F476" s="69" t="n"/>
      <c r="G476" s="70" t="n"/>
      <c r="H476" s="62" t="str">
        <f>IF(COUNTA(A476:G476)=0,"",IF(C476&lt;&gt;"",C476,IF(B476="","",IFERROR(INDEX(pr_des,MATCH(B476,pr_code,0))&amp;"",""))))</f>
        <v/>
      </c>
      <c r="I476" s="59" t="str">
        <f>IF(B476="","",IFERROR(INDEX(pr_unit,MATCH(B476,pr_code,0))&amp;"",""))</f>
        <v/>
      </c>
      <c r="J476" s="65" t="str">
        <f>IF(COUNTA(A476:G476)=0,"",IF(E476&lt;&gt;"",E476,IF(B476="","",IFERROR(IF(INDEX(pr_price,MATCH(B476,pr_code,0))="","",INDEX(pr_price,MATCH(B476,pr_code,0))),""))))</f>
        <v/>
      </c>
      <c r="K476" s="71" t="str">
        <f>IF(COUNTA(A476:G476)=0,"",IF(G476&lt;&gt;"",G476,IF(B476="","",IFERROR(IF(INDEX(pr_rate,MATCH(B476,pr_code,0))="","",INDEX(pr_rate,MATCH(B476,pr_code,0))),""))))</f>
        <v/>
      </c>
      <c r="L476" s="65" t="str">
        <f>IF(COUNTA(A476:G476)=0,"",IF(AND(ISNUMBER(D476),ISNUMBER(J476)),ROUND(D476*J476*(1-N(F476)),2),0))</f>
        <v/>
      </c>
      <c r="M476" s="62" t="str">
        <f>IF(A476="","",IFERROR(INDEX(fa_cname,MATCH(A476,fa_num,0))&amp;"",""))</f>
        <v/>
      </c>
      <c r="N476" s="59" t="str">
        <f>IF(COUNTA(A476:G476)=0,"",IF(A476="","N° facture manquant",IF(ISNA(MATCH(A476,fa_num,0)),"Facture inconnue",IF(AND(B476&lt;&gt;"",ISNA(MATCH(B476,pr_code,0))),"Article inconnu",IF(H476="","Désignation manquante",IF(OR(NOT(ISNUMBER(D476)),N(D476)&lt;=0),"Quantité invalide",IF(J476="","Prix manquant",IF(OR(NOT(ISNUMBER(J476)),N(J476)&lt;0),"Prix invalide",IF(OR(AND(F476&lt;&gt;"",NOT(ISNUMBER(F476))),N(F476)&lt;0,N(F476)&gt;1),"Remise invalide",IF(K476="","Taux de TVA manquant",IF(NOT(ISNUMBER(K476)),"Taux de TVA invalide",IF(COUNTIF(p_rates,K476)=0,"Taux de TVA hors liste (Paramètres)",IF(N(O476)&gt;25,"Au-delà de 25 lignes : non imprimée","OK")))))))))))))</f>
        <v/>
      </c>
      <c r="O476" s="59" t="str">
        <f>IF(A476="","",COUNTIF($A$6:A476,A476))</f>
        <v/>
      </c>
      <c r="P476" s="62" t="str">
        <f>IF(A476="","",A476&amp;"|"&amp;O476)</f>
        <v/>
      </c>
    </row>
    <row r="477">
      <c r="A477" s="60" t="n"/>
      <c r="B477" s="63" t="n"/>
      <c r="C477" s="63" t="n"/>
      <c r="D477" s="67" t="n"/>
      <c r="E477" s="68" t="n"/>
      <c r="F477" s="69" t="n"/>
      <c r="G477" s="70" t="n"/>
      <c r="H477" s="62" t="str">
        <f>IF(COUNTA(A477:G477)=0,"",IF(C477&lt;&gt;"",C477,IF(B477="","",IFERROR(INDEX(pr_des,MATCH(B477,pr_code,0))&amp;"",""))))</f>
        <v/>
      </c>
      <c r="I477" s="59" t="str">
        <f>IF(B477="","",IFERROR(INDEX(pr_unit,MATCH(B477,pr_code,0))&amp;"",""))</f>
        <v/>
      </c>
      <c r="J477" s="65" t="str">
        <f>IF(COUNTA(A477:G477)=0,"",IF(E477&lt;&gt;"",E477,IF(B477="","",IFERROR(IF(INDEX(pr_price,MATCH(B477,pr_code,0))="","",INDEX(pr_price,MATCH(B477,pr_code,0))),""))))</f>
        <v/>
      </c>
      <c r="K477" s="71" t="str">
        <f>IF(COUNTA(A477:G477)=0,"",IF(G477&lt;&gt;"",G477,IF(B477="","",IFERROR(IF(INDEX(pr_rate,MATCH(B477,pr_code,0))="","",INDEX(pr_rate,MATCH(B477,pr_code,0))),""))))</f>
        <v/>
      </c>
      <c r="L477" s="65" t="str">
        <f>IF(COUNTA(A477:G477)=0,"",IF(AND(ISNUMBER(D477),ISNUMBER(J477)),ROUND(D477*J477*(1-N(F477)),2),0))</f>
        <v/>
      </c>
      <c r="M477" s="62" t="str">
        <f>IF(A477="","",IFERROR(INDEX(fa_cname,MATCH(A477,fa_num,0))&amp;"",""))</f>
        <v/>
      </c>
      <c r="N477" s="59" t="str">
        <f>IF(COUNTA(A477:G477)=0,"",IF(A477="","N° facture manquant",IF(ISNA(MATCH(A477,fa_num,0)),"Facture inconnue",IF(AND(B477&lt;&gt;"",ISNA(MATCH(B477,pr_code,0))),"Article inconnu",IF(H477="","Désignation manquante",IF(OR(NOT(ISNUMBER(D477)),N(D477)&lt;=0),"Quantité invalide",IF(J477="","Prix manquant",IF(OR(NOT(ISNUMBER(J477)),N(J477)&lt;0),"Prix invalide",IF(OR(AND(F477&lt;&gt;"",NOT(ISNUMBER(F477))),N(F477)&lt;0,N(F477)&gt;1),"Remise invalide",IF(K477="","Taux de TVA manquant",IF(NOT(ISNUMBER(K477)),"Taux de TVA invalide",IF(COUNTIF(p_rates,K477)=0,"Taux de TVA hors liste (Paramètres)",IF(N(O477)&gt;25,"Au-delà de 25 lignes : non imprimée","OK")))))))))))))</f>
        <v/>
      </c>
      <c r="O477" s="59" t="str">
        <f>IF(A477="","",COUNTIF($A$6:A477,A477))</f>
        <v/>
      </c>
      <c r="P477" s="62" t="str">
        <f>IF(A477="","",A477&amp;"|"&amp;O477)</f>
        <v/>
      </c>
    </row>
    <row r="478">
      <c r="A478" s="60" t="n"/>
      <c r="B478" s="63" t="n"/>
      <c r="C478" s="63" t="n"/>
      <c r="D478" s="67" t="n"/>
      <c r="E478" s="68" t="n"/>
      <c r="F478" s="69" t="n"/>
      <c r="G478" s="70" t="n"/>
      <c r="H478" s="62" t="str">
        <f>IF(COUNTA(A478:G478)=0,"",IF(C478&lt;&gt;"",C478,IF(B478="","",IFERROR(INDEX(pr_des,MATCH(B478,pr_code,0))&amp;"",""))))</f>
        <v/>
      </c>
      <c r="I478" s="59" t="str">
        <f>IF(B478="","",IFERROR(INDEX(pr_unit,MATCH(B478,pr_code,0))&amp;"",""))</f>
        <v/>
      </c>
      <c r="J478" s="65" t="str">
        <f>IF(COUNTA(A478:G478)=0,"",IF(E478&lt;&gt;"",E478,IF(B478="","",IFERROR(IF(INDEX(pr_price,MATCH(B478,pr_code,0))="","",INDEX(pr_price,MATCH(B478,pr_code,0))),""))))</f>
        <v/>
      </c>
      <c r="K478" s="71" t="str">
        <f>IF(COUNTA(A478:G478)=0,"",IF(G478&lt;&gt;"",G478,IF(B478="","",IFERROR(IF(INDEX(pr_rate,MATCH(B478,pr_code,0))="","",INDEX(pr_rate,MATCH(B478,pr_code,0))),""))))</f>
        <v/>
      </c>
      <c r="L478" s="65" t="str">
        <f>IF(COUNTA(A478:G478)=0,"",IF(AND(ISNUMBER(D478),ISNUMBER(J478)),ROUND(D478*J478*(1-N(F478)),2),0))</f>
        <v/>
      </c>
      <c r="M478" s="62" t="str">
        <f>IF(A478="","",IFERROR(INDEX(fa_cname,MATCH(A478,fa_num,0))&amp;"",""))</f>
        <v/>
      </c>
      <c r="N478" s="59" t="str">
        <f>IF(COUNTA(A478:G478)=0,"",IF(A478="","N° facture manquant",IF(ISNA(MATCH(A478,fa_num,0)),"Facture inconnue",IF(AND(B478&lt;&gt;"",ISNA(MATCH(B478,pr_code,0))),"Article inconnu",IF(H478="","Désignation manquante",IF(OR(NOT(ISNUMBER(D478)),N(D478)&lt;=0),"Quantité invalide",IF(J478="","Prix manquant",IF(OR(NOT(ISNUMBER(J478)),N(J478)&lt;0),"Prix invalide",IF(OR(AND(F478&lt;&gt;"",NOT(ISNUMBER(F478))),N(F478)&lt;0,N(F478)&gt;1),"Remise invalide",IF(K478="","Taux de TVA manquant",IF(NOT(ISNUMBER(K478)),"Taux de TVA invalide",IF(COUNTIF(p_rates,K478)=0,"Taux de TVA hors liste (Paramètres)",IF(N(O478)&gt;25,"Au-delà de 25 lignes : non imprimée","OK")))))))))))))</f>
        <v/>
      </c>
      <c r="O478" s="59" t="str">
        <f>IF(A478="","",COUNTIF($A$6:A478,A478))</f>
        <v/>
      </c>
      <c r="P478" s="62" t="str">
        <f>IF(A478="","",A478&amp;"|"&amp;O478)</f>
        <v/>
      </c>
    </row>
    <row r="479">
      <c r="A479" s="60" t="n"/>
      <c r="B479" s="63" t="n"/>
      <c r="C479" s="63" t="n"/>
      <c r="D479" s="67" t="n"/>
      <c r="E479" s="68" t="n"/>
      <c r="F479" s="69" t="n"/>
      <c r="G479" s="70" t="n"/>
      <c r="H479" s="62" t="str">
        <f>IF(COUNTA(A479:G479)=0,"",IF(C479&lt;&gt;"",C479,IF(B479="","",IFERROR(INDEX(pr_des,MATCH(B479,pr_code,0))&amp;"",""))))</f>
        <v/>
      </c>
      <c r="I479" s="59" t="str">
        <f>IF(B479="","",IFERROR(INDEX(pr_unit,MATCH(B479,pr_code,0))&amp;"",""))</f>
        <v/>
      </c>
      <c r="J479" s="65" t="str">
        <f>IF(COUNTA(A479:G479)=0,"",IF(E479&lt;&gt;"",E479,IF(B479="","",IFERROR(IF(INDEX(pr_price,MATCH(B479,pr_code,0))="","",INDEX(pr_price,MATCH(B479,pr_code,0))),""))))</f>
        <v/>
      </c>
      <c r="K479" s="71" t="str">
        <f>IF(COUNTA(A479:G479)=0,"",IF(G479&lt;&gt;"",G479,IF(B479="","",IFERROR(IF(INDEX(pr_rate,MATCH(B479,pr_code,0))="","",INDEX(pr_rate,MATCH(B479,pr_code,0))),""))))</f>
        <v/>
      </c>
      <c r="L479" s="65" t="str">
        <f>IF(COUNTA(A479:G479)=0,"",IF(AND(ISNUMBER(D479),ISNUMBER(J479)),ROUND(D479*J479*(1-N(F479)),2),0))</f>
        <v/>
      </c>
      <c r="M479" s="62" t="str">
        <f>IF(A479="","",IFERROR(INDEX(fa_cname,MATCH(A479,fa_num,0))&amp;"",""))</f>
        <v/>
      </c>
      <c r="N479" s="59" t="str">
        <f>IF(COUNTA(A479:G479)=0,"",IF(A479="","N° facture manquant",IF(ISNA(MATCH(A479,fa_num,0)),"Facture inconnue",IF(AND(B479&lt;&gt;"",ISNA(MATCH(B479,pr_code,0))),"Article inconnu",IF(H479="","Désignation manquante",IF(OR(NOT(ISNUMBER(D479)),N(D479)&lt;=0),"Quantité invalide",IF(J479="","Prix manquant",IF(OR(NOT(ISNUMBER(J479)),N(J479)&lt;0),"Prix invalide",IF(OR(AND(F479&lt;&gt;"",NOT(ISNUMBER(F479))),N(F479)&lt;0,N(F479)&gt;1),"Remise invalide",IF(K479="","Taux de TVA manquant",IF(NOT(ISNUMBER(K479)),"Taux de TVA invalide",IF(COUNTIF(p_rates,K479)=0,"Taux de TVA hors liste (Paramètres)",IF(N(O479)&gt;25,"Au-delà de 25 lignes : non imprimée","OK")))))))))))))</f>
        <v/>
      </c>
      <c r="O479" s="59" t="str">
        <f>IF(A479="","",COUNTIF($A$6:A479,A479))</f>
        <v/>
      </c>
      <c r="P479" s="62" t="str">
        <f>IF(A479="","",A479&amp;"|"&amp;O479)</f>
        <v/>
      </c>
    </row>
    <row r="480">
      <c r="A480" s="60" t="n"/>
      <c r="B480" s="63" t="n"/>
      <c r="C480" s="63" t="n"/>
      <c r="D480" s="67" t="n"/>
      <c r="E480" s="68" t="n"/>
      <c r="F480" s="69" t="n"/>
      <c r="G480" s="70" t="n"/>
      <c r="H480" s="62" t="str">
        <f>IF(COUNTA(A480:G480)=0,"",IF(C480&lt;&gt;"",C480,IF(B480="","",IFERROR(INDEX(pr_des,MATCH(B480,pr_code,0))&amp;"",""))))</f>
        <v/>
      </c>
      <c r="I480" s="59" t="str">
        <f>IF(B480="","",IFERROR(INDEX(pr_unit,MATCH(B480,pr_code,0))&amp;"",""))</f>
        <v/>
      </c>
      <c r="J480" s="65" t="str">
        <f>IF(COUNTA(A480:G480)=0,"",IF(E480&lt;&gt;"",E480,IF(B480="","",IFERROR(IF(INDEX(pr_price,MATCH(B480,pr_code,0))="","",INDEX(pr_price,MATCH(B480,pr_code,0))),""))))</f>
        <v/>
      </c>
      <c r="K480" s="71" t="str">
        <f>IF(COUNTA(A480:G480)=0,"",IF(G480&lt;&gt;"",G480,IF(B480="","",IFERROR(IF(INDEX(pr_rate,MATCH(B480,pr_code,0))="","",INDEX(pr_rate,MATCH(B480,pr_code,0))),""))))</f>
        <v/>
      </c>
      <c r="L480" s="65" t="str">
        <f>IF(COUNTA(A480:G480)=0,"",IF(AND(ISNUMBER(D480),ISNUMBER(J480)),ROUND(D480*J480*(1-N(F480)),2),0))</f>
        <v/>
      </c>
      <c r="M480" s="62" t="str">
        <f>IF(A480="","",IFERROR(INDEX(fa_cname,MATCH(A480,fa_num,0))&amp;"",""))</f>
        <v/>
      </c>
      <c r="N480" s="59" t="str">
        <f>IF(COUNTA(A480:G480)=0,"",IF(A480="","N° facture manquant",IF(ISNA(MATCH(A480,fa_num,0)),"Facture inconnue",IF(AND(B480&lt;&gt;"",ISNA(MATCH(B480,pr_code,0))),"Article inconnu",IF(H480="","Désignation manquante",IF(OR(NOT(ISNUMBER(D480)),N(D480)&lt;=0),"Quantité invalide",IF(J480="","Prix manquant",IF(OR(NOT(ISNUMBER(J480)),N(J480)&lt;0),"Prix invalide",IF(OR(AND(F480&lt;&gt;"",NOT(ISNUMBER(F480))),N(F480)&lt;0,N(F480)&gt;1),"Remise invalide",IF(K480="","Taux de TVA manquant",IF(NOT(ISNUMBER(K480)),"Taux de TVA invalide",IF(COUNTIF(p_rates,K480)=0,"Taux de TVA hors liste (Paramètres)",IF(N(O480)&gt;25,"Au-delà de 25 lignes : non imprimée","OK")))))))))))))</f>
        <v/>
      </c>
      <c r="O480" s="59" t="str">
        <f>IF(A480="","",COUNTIF($A$6:A480,A480))</f>
        <v/>
      </c>
      <c r="P480" s="62" t="str">
        <f>IF(A480="","",A480&amp;"|"&amp;O480)</f>
        <v/>
      </c>
    </row>
    <row r="481">
      <c r="A481" s="60" t="n"/>
      <c r="B481" s="63" t="n"/>
      <c r="C481" s="63" t="n"/>
      <c r="D481" s="67" t="n"/>
      <c r="E481" s="68" t="n"/>
      <c r="F481" s="69" t="n"/>
      <c r="G481" s="70" t="n"/>
      <c r="H481" s="62" t="str">
        <f>IF(COUNTA(A481:G481)=0,"",IF(C481&lt;&gt;"",C481,IF(B481="","",IFERROR(INDEX(pr_des,MATCH(B481,pr_code,0))&amp;"",""))))</f>
        <v/>
      </c>
      <c r="I481" s="59" t="str">
        <f>IF(B481="","",IFERROR(INDEX(pr_unit,MATCH(B481,pr_code,0))&amp;"",""))</f>
        <v/>
      </c>
      <c r="J481" s="65" t="str">
        <f>IF(COUNTA(A481:G481)=0,"",IF(E481&lt;&gt;"",E481,IF(B481="","",IFERROR(IF(INDEX(pr_price,MATCH(B481,pr_code,0))="","",INDEX(pr_price,MATCH(B481,pr_code,0))),""))))</f>
        <v/>
      </c>
      <c r="K481" s="71" t="str">
        <f>IF(COUNTA(A481:G481)=0,"",IF(G481&lt;&gt;"",G481,IF(B481="","",IFERROR(IF(INDEX(pr_rate,MATCH(B481,pr_code,0))="","",INDEX(pr_rate,MATCH(B481,pr_code,0))),""))))</f>
        <v/>
      </c>
      <c r="L481" s="65" t="str">
        <f>IF(COUNTA(A481:G481)=0,"",IF(AND(ISNUMBER(D481),ISNUMBER(J481)),ROUND(D481*J481*(1-N(F481)),2),0))</f>
        <v/>
      </c>
      <c r="M481" s="62" t="str">
        <f>IF(A481="","",IFERROR(INDEX(fa_cname,MATCH(A481,fa_num,0))&amp;"",""))</f>
        <v/>
      </c>
      <c r="N481" s="59" t="str">
        <f>IF(COUNTA(A481:G481)=0,"",IF(A481="","N° facture manquant",IF(ISNA(MATCH(A481,fa_num,0)),"Facture inconnue",IF(AND(B481&lt;&gt;"",ISNA(MATCH(B481,pr_code,0))),"Article inconnu",IF(H481="","Désignation manquante",IF(OR(NOT(ISNUMBER(D481)),N(D481)&lt;=0),"Quantité invalide",IF(J481="","Prix manquant",IF(OR(NOT(ISNUMBER(J481)),N(J481)&lt;0),"Prix invalide",IF(OR(AND(F481&lt;&gt;"",NOT(ISNUMBER(F481))),N(F481)&lt;0,N(F481)&gt;1),"Remise invalide",IF(K481="","Taux de TVA manquant",IF(NOT(ISNUMBER(K481)),"Taux de TVA invalide",IF(COUNTIF(p_rates,K481)=0,"Taux de TVA hors liste (Paramètres)",IF(N(O481)&gt;25,"Au-delà de 25 lignes : non imprimée","OK")))))))))))))</f>
        <v/>
      </c>
      <c r="O481" s="59" t="str">
        <f>IF(A481="","",COUNTIF($A$6:A481,A481))</f>
        <v/>
      </c>
      <c r="P481" s="62" t="str">
        <f>IF(A481="","",A481&amp;"|"&amp;O481)</f>
        <v/>
      </c>
    </row>
    <row r="482">
      <c r="A482" s="60" t="n"/>
      <c r="B482" s="63" t="n"/>
      <c r="C482" s="63" t="n"/>
      <c r="D482" s="67" t="n"/>
      <c r="E482" s="68" t="n"/>
      <c r="F482" s="69" t="n"/>
      <c r="G482" s="70" t="n"/>
      <c r="H482" s="62" t="str">
        <f>IF(COUNTA(A482:G482)=0,"",IF(C482&lt;&gt;"",C482,IF(B482="","",IFERROR(INDEX(pr_des,MATCH(B482,pr_code,0))&amp;"",""))))</f>
        <v/>
      </c>
      <c r="I482" s="59" t="str">
        <f>IF(B482="","",IFERROR(INDEX(pr_unit,MATCH(B482,pr_code,0))&amp;"",""))</f>
        <v/>
      </c>
      <c r="J482" s="65" t="str">
        <f>IF(COUNTA(A482:G482)=0,"",IF(E482&lt;&gt;"",E482,IF(B482="","",IFERROR(IF(INDEX(pr_price,MATCH(B482,pr_code,0))="","",INDEX(pr_price,MATCH(B482,pr_code,0))),""))))</f>
        <v/>
      </c>
      <c r="K482" s="71" t="str">
        <f>IF(COUNTA(A482:G482)=0,"",IF(G482&lt;&gt;"",G482,IF(B482="","",IFERROR(IF(INDEX(pr_rate,MATCH(B482,pr_code,0))="","",INDEX(pr_rate,MATCH(B482,pr_code,0))),""))))</f>
        <v/>
      </c>
      <c r="L482" s="65" t="str">
        <f>IF(COUNTA(A482:G482)=0,"",IF(AND(ISNUMBER(D482),ISNUMBER(J482)),ROUND(D482*J482*(1-N(F482)),2),0))</f>
        <v/>
      </c>
      <c r="M482" s="62" t="str">
        <f>IF(A482="","",IFERROR(INDEX(fa_cname,MATCH(A482,fa_num,0))&amp;"",""))</f>
        <v/>
      </c>
      <c r="N482" s="59" t="str">
        <f>IF(COUNTA(A482:G482)=0,"",IF(A482="","N° facture manquant",IF(ISNA(MATCH(A482,fa_num,0)),"Facture inconnue",IF(AND(B482&lt;&gt;"",ISNA(MATCH(B482,pr_code,0))),"Article inconnu",IF(H482="","Désignation manquante",IF(OR(NOT(ISNUMBER(D482)),N(D482)&lt;=0),"Quantité invalide",IF(J482="","Prix manquant",IF(OR(NOT(ISNUMBER(J482)),N(J482)&lt;0),"Prix invalide",IF(OR(AND(F482&lt;&gt;"",NOT(ISNUMBER(F482))),N(F482)&lt;0,N(F482)&gt;1),"Remise invalide",IF(K482="","Taux de TVA manquant",IF(NOT(ISNUMBER(K482)),"Taux de TVA invalide",IF(COUNTIF(p_rates,K482)=0,"Taux de TVA hors liste (Paramètres)",IF(N(O482)&gt;25,"Au-delà de 25 lignes : non imprimée","OK")))))))))))))</f>
        <v/>
      </c>
      <c r="O482" s="59" t="str">
        <f>IF(A482="","",COUNTIF($A$6:A482,A482))</f>
        <v/>
      </c>
      <c r="P482" s="62" t="str">
        <f>IF(A482="","",A482&amp;"|"&amp;O482)</f>
        <v/>
      </c>
    </row>
    <row r="483">
      <c r="A483" s="60" t="n"/>
      <c r="B483" s="63" t="n"/>
      <c r="C483" s="63" t="n"/>
      <c r="D483" s="67" t="n"/>
      <c r="E483" s="68" t="n"/>
      <c r="F483" s="69" t="n"/>
      <c r="G483" s="70" t="n"/>
      <c r="H483" s="62" t="str">
        <f>IF(COUNTA(A483:G483)=0,"",IF(C483&lt;&gt;"",C483,IF(B483="","",IFERROR(INDEX(pr_des,MATCH(B483,pr_code,0))&amp;"",""))))</f>
        <v/>
      </c>
      <c r="I483" s="59" t="str">
        <f>IF(B483="","",IFERROR(INDEX(pr_unit,MATCH(B483,pr_code,0))&amp;"",""))</f>
        <v/>
      </c>
      <c r="J483" s="65" t="str">
        <f>IF(COUNTA(A483:G483)=0,"",IF(E483&lt;&gt;"",E483,IF(B483="","",IFERROR(IF(INDEX(pr_price,MATCH(B483,pr_code,0))="","",INDEX(pr_price,MATCH(B483,pr_code,0))),""))))</f>
        <v/>
      </c>
      <c r="K483" s="71" t="str">
        <f>IF(COUNTA(A483:G483)=0,"",IF(G483&lt;&gt;"",G483,IF(B483="","",IFERROR(IF(INDEX(pr_rate,MATCH(B483,pr_code,0))="","",INDEX(pr_rate,MATCH(B483,pr_code,0))),""))))</f>
        <v/>
      </c>
      <c r="L483" s="65" t="str">
        <f>IF(COUNTA(A483:G483)=0,"",IF(AND(ISNUMBER(D483),ISNUMBER(J483)),ROUND(D483*J483*(1-N(F483)),2),0))</f>
        <v/>
      </c>
      <c r="M483" s="62" t="str">
        <f>IF(A483="","",IFERROR(INDEX(fa_cname,MATCH(A483,fa_num,0))&amp;"",""))</f>
        <v/>
      </c>
      <c r="N483" s="59" t="str">
        <f>IF(COUNTA(A483:G483)=0,"",IF(A483="","N° facture manquant",IF(ISNA(MATCH(A483,fa_num,0)),"Facture inconnue",IF(AND(B483&lt;&gt;"",ISNA(MATCH(B483,pr_code,0))),"Article inconnu",IF(H483="","Désignation manquante",IF(OR(NOT(ISNUMBER(D483)),N(D483)&lt;=0),"Quantité invalide",IF(J483="","Prix manquant",IF(OR(NOT(ISNUMBER(J483)),N(J483)&lt;0),"Prix invalide",IF(OR(AND(F483&lt;&gt;"",NOT(ISNUMBER(F483))),N(F483)&lt;0,N(F483)&gt;1),"Remise invalide",IF(K483="","Taux de TVA manquant",IF(NOT(ISNUMBER(K483)),"Taux de TVA invalide",IF(COUNTIF(p_rates,K483)=0,"Taux de TVA hors liste (Paramètres)",IF(N(O483)&gt;25,"Au-delà de 25 lignes : non imprimée","OK")))))))))))))</f>
        <v/>
      </c>
      <c r="O483" s="59" t="str">
        <f>IF(A483="","",COUNTIF($A$6:A483,A483))</f>
        <v/>
      </c>
      <c r="P483" s="62" t="str">
        <f>IF(A483="","",A483&amp;"|"&amp;O483)</f>
        <v/>
      </c>
    </row>
    <row r="484">
      <c r="A484" s="60" t="n"/>
      <c r="B484" s="63" t="n"/>
      <c r="C484" s="63" t="n"/>
      <c r="D484" s="67" t="n"/>
      <c r="E484" s="68" t="n"/>
      <c r="F484" s="69" t="n"/>
      <c r="G484" s="70" t="n"/>
      <c r="H484" s="62" t="str">
        <f>IF(COUNTA(A484:G484)=0,"",IF(C484&lt;&gt;"",C484,IF(B484="","",IFERROR(INDEX(pr_des,MATCH(B484,pr_code,0))&amp;"",""))))</f>
        <v/>
      </c>
      <c r="I484" s="59" t="str">
        <f>IF(B484="","",IFERROR(INDEX(pr_unit,MATCH(B484,pr_code,0))&amp;"",""))</f>
        <v/>
      </c>
      <c r="J484" s="65" t="str">
        <f>IF(COUNTA(A484:G484)=0,"",IF(E484&lt;&gt;"",E484,IF(B484="","",IFERROR(IF(INDEX(pr_price,MATCH(B484,pr_code,0))="","",INDEX(pr_price,MATCH(B484,pr_code,0))),""))))</f>
        <v/>
      </c>
      <c r="K484" s="71" t="str">
        <f>IF(COUNTA(A484:G484)=0,"",IF(G484&lt;&gt;"",G484,IF(B484="","",IFERROR(IF(INDEX(pr_rate,MATCH(B484,pr_code,0))="","",INDEX(pr_rate,MATCH(B484,pr_code,0))),""))))</f>
        <v/>
      </c>
      <c r="L484" s="65" t="str">
        <f>IF(COUNTA(A484:G484)=0,"",IF(AND(ISNUMBER(D484),ISNUMBER(J484)),ROUND(D484*J484*(1-N(F484)),2),0))</f>
        <v/>
      </c>
      <c r="M484" s="62" t="str">
        <f>IF(A484="","",IFERROR(INDEX(fa_cname,MATCH(A484,fa_num,0))&amp;"",""))</f>
        <v/>
      </c>
      <c r="N484" s="59" t="str">
        <f>IF(COUNTA(A484:G484)=0,"",IF(A484="","N° facture manquant",IF(ISNA(MATCH(A484,fa_num,0)),"Facture inconnue",IF(AND(B484&lt;&gt;"",ISNA(MATCH(B484,pr_code,0))),"Article inconnu",IF(H484="","Désignation manquante",IF(OR(NOT(ISNUMBER(D484)),N(D484)&lt;=0),"Quantité invalide",IF(J484="","Prix manquant",IF(OR(NOT(ISNUMBER(J484)),N(J484)&lt;0),"Prix invalide",IF(OR(AND(F484&lt;&gt;"",NOT(ISNUMBER(F484))),N(F484)&lt;0,N(F484)&gt;1),"Remise invalide",IF(K484="","Taux de TVA manquant",IF(NOT(ISNUMBER(K484)),"Taux de TVA invalide",IF(COUNTIF(p_rates,K484)=0,"Taux de TVA hors liste (Paramètres)",IF(N(O484)&gt;25,"Au-delà de 25 lignes : non imprimée","OK")))))))))))))</f>
        <v/>
      </c>
      <c r="O484" s="59" t="str">
        <f>IF(A484="","",COUNTIF($A$6:A484,A484))</f>
        <v/>
      </c>
      <c r="P484" s="62" t="str">
        <f>IF(A484="","",A484&amp;"|"&amp;O484)</f>
        <v/>
      </c>
    </row>
    <row r="485">
      <c r="A485" s="60" t="n"/>
      <c r="B485" s="63" t="n"/>
      <c r="C485" s="63" t="n"/>
      <c r="D485" s="67" t="n"/>
      <c r="E485" s="68" t="n"/>
      <c r="F485" s="69" t="n"/>
      <c r="G485" s="70" t="n"/>
      <c r="H485" s="62" t="str">
        <f>IF(COUNTA(A485:G485)=0,"",IF(C485&lt;&gt;"",C485,IF(B485="","",IFERROR(INDEX(pr_des,MATCH(B485,pr_code,0))&amp;"",""))))</f>
        <v/>
      </c>
      <c r="I485" s="59" t="str">
        <f>IF(B485="","",IFERROR(INDEX(pr_unit,MATCH(B485,pr_code,0))&amp;"",""))</f>
        <v/>
      </c>
      <c r="J485" s="65" t="str">
        <f>IF(COUNTA(A485:G485)=0,"",IF(E485&lt;&gt;"",E485,IF(B485="","",IFERROR(IF(INDEX(pr_price,MATCH(B485,pr_code,0))="","",INDEX(pr_price,MATCH(B485,pr_code,0))),""))))</f>
        <v/>
      </c>
      <c r="K485" s="71" t="str">
        <f>IF(COUNTA(A485:G485)=0,"",IF(G485&lt;&gt;"",G485,IF(B485="","",IFERROR(IF(INDEX(pr_rate,MATCH(B485,pr_code,0))="","",INDEX(pr_rate,MATCH(B485,pr_code,0))),""))))</f>
        <v/>
      </c>
      <c r="L485" s="65" t="str">
        <f>IF(COUNTA(A485:G485)=0,"",IF(AND(ISNUMBER(D485),ISNUMBER(J485)),ROUND(D485*J485*(1-N(F485)),2),0))</f>
        <v/>
      </c>
      <c r="M485" s="62" t="str">
        <f>IF(A485="","",IFERROR(INDEX(fa_cname,MATCH(A485,fa_num,0))&amp;"",""))</f>
        <v/>
      </c>
      <c r="N485" s="59" t="str">
        <f>IF(COUNTA(A485:G485)=0,"",IF(A485="","N° facture manquant",IF(ISNA(MATCH(A485,fa_num,0)),"Facture inconnue",IF(AND(B485&lt;&gt;"",ISNA(MATCH(B485,pr_code,0))),"Article inconnu",IF(H485="","Désignation manquante",IF(OR(NOT(ISNUMBER(D485)),N(D485)&lt;=0),"Quantité invalide",IF(J485="","Prix manquant",IF(OR(NOT(ISNUMBER(J485)),N(J485)&lt;0),"Prix invalide",IF(OR(AND(F485&lt;&gt;"",NOT(ISNUMBER(F485))),N(F485)&lt;0,N(F485)&gt;1),"Remise invalide",IF(K485="","Taux de TVA manquant",IF(NOT(ISNUMBER(K485)),"Taux de TVA invalide",IF(COUNTIF(p_rates,K485)=0,"Taux de TVA hors liste (Paramètres)",IF(N(O485)&gt;25,"Au-delà de 25 lignes : non imprimée","OK")))))))))))))</f>
        <v/>
      </c>
      <c r="O485" s="59" t="str">
        <f>IF(A485="","",COUNTIF($A$6:A485,A485))</f>
        <v/>
      </c>
      <c r="P485" s="62" t="str">
        <f>IF(A485="","",A485&amp;"|"&amp;O485)</f>
        <v/>
      </c>
    </row>
    <row r="486">
      <c r="A486" s="60" t="n"/>
      <c r="B486" s="63" t="n"/>
      <c r="C486" s="63" t="n"/>
      <c r="D486" s="67" t="n"/>
      <c r="E486" s="68" t="n"/>
      <c r="F486" s="69" t="n"/>
      <c r="G486" s="70" t="n"/>
      <c r="H486" s="62" t="str">
        <f>IF(COUNTA(A486:G486)=0,"",IF(C486&lt;&gt;"",C486,IF(B486="","",IFERROR(INDEX(pr_des,MATCH(B486,pr_code,0))&amp;"",""))))</f>
        <v/>
      </c>
      <c r="I486" s="59" t="str">
        <f>IF(B486="","",IFERROR(INDEX(pr_unit,MATCH(B486,pr_code,0))&amp;"",""))</f>
        <v/>
      </c>
      <c r="J486" s="65" t="str">
        <f>IF(COUNTA(A486:G486)=0,"",IF(E486&lt;&gt;"",E486,IF(B486="","",IFERROR(IF(INDEX(pr_price,MATCH(B486,pr_code,0))="","",INDEX(pr_price,MATCH(B486,pr_code,0))),""))))</f>
        <v/>
      </c>
      <c r="K486" s="71" t="str">
        <f>IF(COUNTA(A486:G486)=0,"",IF(G486&lt;&gt;"",G486,IF(B486="","",IFERROR(IF(INDEX(pr_rate,MATCH(B486,pr_code,0))="","",INDEX(pr_rate,MATCH(B486,pr_code,0))),""))))</f>
        <v/>
      </c>
      <c r="L486" s="65" t="str">
        <f>IF(COUNTA(A486:G486)=0,"",IF(AND(ISNUMBER(D486),ISNUMBER(J486)),ROUND(D486*J486*(1-N(F486)),2),0))</f>
        <v/>
      </c>
      <c r="M486" s="62" t="str">
        <f>IF(A486="","",IFERROR(INDEX(fa_cname,MATCH(A486,fa_num,0))&amp;"",""))</f>
        <v/>
      </c>
      <c r="N486" s="59" t="str">
        <f>IF(COUNTA(A486:G486)=0,"",IF(A486="","N° facture manquant",IF(ISNA(MATCH(A486,fa_num,0)),"Facture inconnue",IF(AND(B486&lt;&gt;"",ISNA(MATCH(B486,pr_code,0))),"Article inconnu",IF(H486="","Désignation manquante",IF(OR(NOT(ISNUMBER(D486)),N(D486)&lt;=0),"Quantité invalide",IF(J486="","Prix manquant",IF(OR(NOT(ISNUMBER(J486)),N(J486)&lt;0),"Prix invalide",IF(OR(AND(F486&lt;&gt;"",NOT(ISNUMBER(F486))),N(F486)&lt;0,N(F486)&gt;1),"Remise invalide",IF(K486="","Taux de TVA manquant",IF(NOT(ISNUMBER(K486)),"Taux de TVA invalide",IF(COUNTIF(p_rates,K486)=0,"Taux de TVA hors liste (Paramètres)",IF(N(O486)&gt;25,"Au-delà de 25 lignes : non imprimée","OK")))))))))))))</f>
        <v/>
      </c>
      <c r="O486" s="59" t="str">
        <f>IF(A486="","",COUNTIF($A$6:A486,A486))</f>
        <v/>
      </c>
      <c r="P486" s="62" t="str">
        <f>IF(A486="","",A486&amp;"|"&amp;O486)</f>
        <v/>
      </c>
    </row>
    <row r="487">
      <c r="A487" s="60" t="n"/>
      <c r="B487" s="63" t="n"/>
      <c r="C487" s="63" t="n"/>
      <c r="D487" s="67" t="n"/>
      <c r="E487" s="68" t="n"/>
      <c r="F487" s="69" t="n"/>
      <c r="G487" s="70" t="n"/>
      <c r="H487" s="62" t="str">
        <f>IF(COUNTA(A487:G487)=0,"",IF(C487&lt;&gt;"",C487,IF(B487="","",IFERROR(INDEX(pr_des,MATCH(B487,pr_code,0))&amp;"",""))))</f>
        <v/>
      </c>
      <c r="I487" s="59" t="str">
        <f>IF(B487="","",IFERROR(INDEX(pr_unit,MATCH(B487,pr_code,0))&amp;"",""))</f>
        <v/>
      </c>
      <c r="J487" s="65" t="str">
        <f>IF(COUNTA(A487:G487)=0,"",IF(E487&lt;&gt;"",E487,IF(B487="","",IFERROR(IF(INDEX(pr_price,MATCH(B487,pr_code,0))="","",INDEX(pr_price,MATCH(B487,pr_code,0))),""))))</f>
        <v/>
      </c>
      <c r="K487" s="71" t="str">
        <f>IF(COUNTA(A487:G487)=0,"",IF(G487&lt;&gt;"",G487,IF(B487="","",IFERROR(IF(INDEX(pr_rate,MATCH(B487,pr_code,0))="","",INDEX(pr_rate,MATCH(B487,pr_code,0))),""))))</f>
        <v/>
      </c>
      <c r="L487" s="65" t="str">
        <f>IF(COUNTA(A487:G487)=0,"",IF(AND(ISNUMBER(D487),ISNUMBER(J487)),ROUND(D487*J487*(1-N(F487)),2),0))</f>
        <v/>
      </c>
      <c r="M487" s="62" t="str">
        <f>IF(A487="","",IFERROR(INDEX(fa_cname,MATCH(A487,fa_num,0))&amp;"",""))</f>
        <v/>
      </c>
      <c r="N487" s="59" t="str">
        <f>IF(COUNTA(A487:G487)=0,"",IF(A487="","N° facture manquant",IF(ISNA(MATCH(A487,fa_num,0)),"Facture inconnue",IF(AND(B487&lt;&gt;"",ISNA(MATCH(B487,pr_code,0))),"Article inconnu",IF(H487="","Désignation manquante",IF(OR(NOT(ISNUMBER(D487)),N(D487)&lt;=0),"Quantité invalide",IF(J487="","Prix manquant",IF(OR(NOT(ISNUMBER(J487)),N(J487)&lt;0),"Prix invalide",IF(OR(AND(F487&lt;&gt;"",NOT(ISNUMBER(F487))),N(F487)&lt;0,N(F487)&gt;1),"Remise invalide",IF(K487="","Taux de TVA manquant",IF(NOT(ISNUMBER(K487)),"Taux de TVA invalide",IF(COUNTIF(p_rates,K487)=0,"Taux de TVA hors liste (Paramètres)",IF(N(O487)&gt;25,"Au-delà de 25 lignes : non imprimée","OK")))))))))))))</f>
        <v/>
      </c>
      <c r="O487" s="59" t="str">
        <f>IF(A487="","",COUNTIF($A$6:A487,A487))</f>
        <v/>
      </c>
      <c r="P487" s="62" t="str">
        <f>IF(A487="","",A487&amp;"|"&amp;O487)</f>
        <v/>
      </c>
    </row>
    <row r="488">
      <c r="A488" s="60" t="n"/>
      <c r="B488" s="63" t="n"/>
      <c r="C488" s="63" t="n"/>
      <c r="D488" s="67" t="n"/>
      <c r="E488" s="68" t="n"/>
      <c r="F488" s="69" t="n"/>
      <c r="G488" s="70" t="n"/>
      <c r="H488" s="62" t="str">
        <f>IF(COUNTA(A488:G488)=0,"",IF(C488&lt;&gt;"",C488,IF(B488="","",IFERROR(INDEX(pr_des,MATCH(B488,pr_code,0))&amp;"",""))))</f>
        <v/>
      </c>
      <c r="I488" s="59" t="str">
        <f>IF(B488="","",IFERROR(INDEX(pr_unit,MATCH(B488,pr_code,0))&amp;"",""))</f>
        <v/>
      </c>
      <c r="J488" s="65" t="str">
        <f>IF(COUNTA(A488:G488)=0,"",IF(E488&lt;&gt;"",E488,IF(B488="","",IFERROR(IF(INDEX(pr_price,MATCH(B488,pr_code,0))="","",INDEX(pr_price,MATCH(B488,pr_code,0))),""))))</f>
        <v/>
      </c>
      <c r="K488" s="71" t="str">
        <f>IF(COUNTA(A488:G488)=0,"",IF(G488&lt;&gt;"",G488,IF(B488="","",IFERROR(IF(INDEX(pr_rate,MATCH(B488,pr_code,0))="","",INDEX(pr_rate,MATCH(B488,pr_code,0))),""))))</f>
        <v/>
      </c>
      <c r="L488" s="65" t="str">
        <f>IF(COUNTA(A488:G488)=0,"",IF(AND(ISNUMBER(D488),ISNUMBER(J488)),ROUND(D488*J488*(1-N(F488)),2),0))</f>
        <v/>
      </c>
      <c r="M488" s="62" t="str">
        <f>IF(A488="","",IFERROR(INDEX(fa_cname,MATCH(A488,fa_num,0))&amp;"",""))</f>
        <v/>
      </c>
      <c r="N488" s="59" t="str">
        <f>IF(COUNTA(A488:G488)=0,"",IF(A488="","N° facture manquant",IF(ISNA(MATCH(A488,fa_num,0)),"Facture inconnue",IF(AND(B488&lt;&gt;"",ISNA(MATCH(B488,pr_code,0))),"Article inconnu",IF(H488="","Désignation manquante",IF(OR(NOT(ISNUMBER(D488)),N(D488)&lt;=0),"Quantité invalide",IF(J488="","Prix manquant",IF(OR(NOT(ISNUMBER(J488)),N(J488)&lt;0),"Prix invalide",IF(OR(AND(F488&lt;&gt;"",NOT(ISNUMBER(F488))),N(F488)&lt;0,N(F488)&gt;1),"Remise invalide",IF(K488="","Taux de TVA manquant",IF(NOT(ISNUMBER(K488)),"Taux de TVA invalide",IF(COUNTIF(p_rates,K488)=0,"Taux de TVA hors liste (Paramètres)",IF(N(O488)&gt;25,"Au-delà de 25 lignes : non imprimée","OK")))))))))))))</f>
        <v/>
      </c>
      <c r="O488" s="59" t="str">
        <f>IF(A488="","",COUNTIF($A$6:A488,A488))</f>
        <v/>
      </c>
      <c r="P488" s="62" t="str">
        <f>IF(A488="","",A488&amp;"|"&amp;O488)</f>
        <v/>
      </c>
    </row>
    <row r="489">
      <c r="A489" s="60" t="n"/>
      <c r="B489" s="63" t="n"/>
      <c r="C489" s="63" t="n"/>
      <c r="D489" s="67" t="n"/>
      <c r="E489" s="68" t="n"/>
      <c r="F489" s="69" t="n"/>
      <c r="G489" s="70" t="n"/>
      <c r="H489" s="62" t="str">
        <f>IF(COUNTA(A489:G489)=0,"",IF(C489&lt;&gt;"",C489,IF(B489="","",IFERROR(INDEX(pr_des,MATCH(B489,pr_code,0))&amp;"",""))))</f>
        <v/>
      </c>
      <c r="I489" s="59" t="str">
        <f>IF(B489="","",IFERROR(INDEX(pr_unit,MATCH(B489,pr_code,0))&amp;"",""))</f>
        <v/>
      </c>
      <c r="J489" s="65" t="str">
        <f>IF(COUNTA(A489:G489)=0,"",IF(E489&lt;&gt;"",E489,IF(B489="","",IFERROR(IF(INDEX(pr_price,MATCH(B489,pr_code,0))="","",INDEX(pr_price,MATCH(B489,pr_code,0))),""))))</f>
        <v/>
      </c>
      <c r="K489" s="71" t="str">
        <f>IF(COUNTA(A489:G489)=0,"",IF(G489&lt;&gt;"",G489,IF(B489="","",IFERROR(IF(INDEX(pr_rate,MATCH(B489,pr_code,0))="","",INDEX(pr_rate,MATCH(B489,pr_code,0))),""))))</f>
        <v/>
      </c>
      <c r="L489" s="65" t="str">
        <f>IF(COUNTA(A489:G489)=0,"",IF(AND(ISNUMBER(D489),ISNUMBER(J489)),ROUND(D489*J489*(1-N(F489)),2),0))</f>
        <v/>
      </c>
      <c r="M489" s="62" t="str">
        <f>IF(A489="","",IFERROR(INDEX(fa_cname,MATCH(A489,fa_num,0))&amp;"",""))</f>
        <v/>
      </c>
      <c r="N489" s="59" t="str">
        <f>IF(COUNTA(A489:G489)=0,"",IF(A489="","N° facture manquant",IF(ISNA(MATCH(A489,fa_num,0)),"Facture inconnue",IF(AND(B489&lt;&gt;"",ISNA(MATCH(B489,pr_code,0))),"Article inconnu",IF(H489="","Désignation manquante",IF(OR(NOT(ISNUMBER(D489)),N(D489)&lt;=0),"Quantité invalide",IF(J489="","Prix manquant",IF(OR(NOT(ISNUMBER(J489)),N(J489)&lt;0),"Prix invalide",IF(OR(AND(F489&lt;&gt;"",NOT(ISNUMBER(F489))),N(F489)&lt;0,N(F489)&gt;1),"Remise invalide",IF(K489="","Taux de TVA manquant",IF(NOT(ISNUMBER(K489)),"Taux de TVA invalide",IF(COUNTIF(p_rates,K489)=0,"Taux de TVA hors liste (Paramètres)",IF(N(O489)&gt;25,"Au-delà de 25 lignes : non imprimée","OK")))))))))))))</f>
        <v/>
      </c>
      <c r="O489" s="59" t="str">
        <f>IF(A489="","",COUNTIF($A$6:A489,A489))</f>
        <v/>
      </c>
      <c r="P489" s="62" t="str">
        <f>IF(A489="","",A489&amp;"|"&amp;O489)</f>
        <v/>
      </c>
    </row>
    <row r="490">
      <c r="A490" s="60" t="n"/>
      <c r="B490" s="63" t="n"/>
      <c r="C490" s="63" t="n"/>
      <c r="D490" s="67" t="n"/>
      <c r="E490" s="68" t="n"/>
      <c r="F490" s="69" t="n"/>
      <c r="G490" s="70" t="n"/>
      <c r="H490" s="62" t="str">
        <f>IF(COUNTA(A490:G490)=0,"",IF(C490&lt;&gt;"",C490,IF(B490="","",IFERROR(INDEX(pr_des,MATCH(B490,pr_code,0))&amp;"",""))))</f>
        <v/>
      </c>
      <c r="I490" s="59" t="str">
        <f>IF(B490="","",IFERROR(INDEX(pr_unit,MATCH(B490,pr_code,0))&amp;"",""))</f>
        <v/>
      </c>
      <c r="J490" s="65" t="str">
        <f>IF(COUNTA(A490:G490)=0,"",IF(E490&lt;&gt;"",E490,IF(B490="","",IFERROR(IF(INDEX(pr_price,MATCH(B490,pr_code,0))="","",INDEX(pr_price,MATCH(B490,pr_code,0))),""))))</f>
        <v/>
      </c>
      <c r="K490" s="71" t="str">
        <f>IF(COUNTA(A490:G490)=0,"",IF(G490&lt;&gt;"",G490,IF(B490="","",IFERROR(IF(INDEX(pr_rate,MATCH(B490,pr_code,0))="","",INDEX(pr_rate,MATCH(B490,pr_code,0))),""))))</f>
        <v/>
      </c>
      <c r="L490" s="65" t="str">
        <f>IF(COUNTA(A490:G490)=0,"",IF(AND(ISNUMBER(D490),ISNUMBER(J490)),ROUND(D490*J490*(1-N(F490)),2),0))</f>
        <v/>
      </c>
      <c r="M490" s="62" t="str">
        <f>IF(A490="","",IFERROR(INDEX(fa_cname,MATCH(A490,fa_num,0))&amp;"",""))</f>
        <v/>
      </c>
      <c r="N490" s="59" t="str">
        <f>IF(COUNTA(A490:G490)=0,"",IF(A490="","N° facture manquant",IF(ISNA(MATCH(A490,fa_num,0)),"Facture inconnue",IF(AND(B490&lt;&gt;"",ISNA(MATCH(B490,pr_code,0))),"Article inconnu",IF(H490="","Désignation manquante",IF(OR(NOT(ISNUMBER(D490)),N(D490)&lt;=0),"Quantité invalide",IF(J490="","Prix manquant",IF(OR(NOT(ISNUMBER(J490)),N(J490)&lt;0),"Prix invalide",IF(OR(AND(F490&lt;&gt;"",NOT(ISNUMBER(F490))),N(F490)&lt;0,N(F490)&gt;1),"Remise invalide",IF(K490="","Taux de TVA manquant",IF(NOT(ISNUMBER(K490)),"Taux de TVA invalide",IF(COUNTIF(p_rates,K490)=0,"Taux de TVA hors liste (Paramètres)",IF(N(O490)&gt;25,"Au-delà de 25 lignes : non imprimée","OK")))))))))))))</f>
        <v/>
      </c>
      <c r="O490" s="59" t="str">
        <f>IF(A490="","",COUNTIF($A$6:A490,A490))</f>
        <v/>
      </c>
      <c r="P490" s="62" t="str">
        <f>IF(A490="","",A490&amp;"|"&amp;O490)</f>
        <v/>
      </c>
    </row>
    <row r="491">
      <c r="A491" s="60" t="n"/>
      <c r="B491" s="63" t="n"/>
      <c r="C491" s="63" t="n"/>
      <c r="D491" s="67" t="n"/>
      <c r="E491" s="68" t="n"/>
      <c r="F491" s="69" t="n"/>
      <c r="G491" s="70" t="n"/>
      <c r="H491" s="62" t="str">
        <f>IF(COUNTA(A491:G491)=0,"",IF(C491&lt;&gt;"",C491,IF(B491="","",IFERROR(INDEX(pr_des,MATCH(B491,pr_code,0))&amp;"",""))))</f>
        <v/>
      </c>
      <c r="I491" s="59" t="str">
        <f>IF(B491="","",IFERROR(INDEX(pr_unit,MATCH(B491,pr_code,0))&amp;"",""))</f>
        <v/>
      </c>
      <c r="J491" s="65" t="str">
        <f>IF(COUNTA(A491:G491)=0,"",IF(E491&lt;&gt;"",E491,IF(B491="","",IFERROR(IF(INDEX(pr_price,MATCH(B491,pr_code,0))="","",INDEX(pr_price,MATCH(B491,pr_code,0))),""))))</f>
        <v/>
      </c>
      <c r="K491" s="71" t="str">
        <f>IF(COUNTA(A491:G491)=0,"",IF(G491&lt;&gt;"",G491,IF(B491="","",IFERROR(IF(INDEX(pr_rate,MATCH(B491,pr_code,0))="","",INDEX(pr_rate,MATCH(B491,pr_code,0))),""))))</f>
        <v/>
      </c>
      <c r="L491" s="65" t="str">
        <f>IF(COUNTA(A491:G491)=0,"",IF(AND(ISNUMBER(D491),ISNUMBER(J491)),ROUND(D491*J491*(1-N(F491)),2),0))</f>
        <v/>
      </c>
      <c r="M491" s="62" t="str">
        <f>IF(A491="","",IFERROR(INDEX(fa_cname,MATCH(A491,fa_num,0))&amp;"",""))</f>
        <v/>
      </c>
      <c r="N491" s="59" t="str">
        <f>IF(COUNTA(A491:G491)=0,"",IF(A491="","N° facture manquant",IF(ISNA(MATCH(A491,fa_num,0)),"Facture inconnue",IF(AND(B491&lt;&gt;"",ISNA(MATCH(B491,pr_code,0))),"Article inconnu",IF(H491="","Désignation manquante",IF(OR(NOT(ISNUMBER(D491)),N(D491)&lt;=0),"Quantité invalide",IF(J491="","Prix manquant",IF(OR(NOT(ISNUMBER(J491)),N(J491)&lt;0),"Prix invalide",IF(OR(AND(F491&lt;&gt;"",NOT(ISNUMBER(F491))),N(F491)&lt;0,N(F491)&gt;1),"Remise invalide",IF(K491="","Taux de TVA manquant",IF(NOT(ISNUMBER(K491)),"Taux de TVA invalide",IF(COUNTIF(p_rates,K491)=0,"Taux de TVA hors liste (Paramètres)",IF(N(O491)&gt;25,"Au-delà de 25 lignes : non imprimée","OK")))))))))))))</f>
        <v/>
      </c>
      <c r="O491" s="59" t="str">
        <f>IF(A491="","",COUNTIF($A$6:A491,A491))</f>
        <v/>
      </c>
      <c r="P491" s="62" t="str">
        <f>IF(A491="","",A491&amp;"|"&amp;O491)</f>
        <v/>
      </c>
    </row>
    <row r="492">
      <c r="A492" s="60" t="n"/>
      <c r="B492" s="63" t="n"/>
      <c r="C492" s="63" t="n"/>
      <c r="D492" s="67" t="n"/>
      <c r="E492" s="68" t="n"/>
      <c r="F492" s="69" t="n"/>
      <c r="G492" s="70" t="n"/>
      <c r="H492" s="62" t="str">
        <f>IF(COUNTA(A492:G492)=0,"",IF(C492&lt;&gt;"",C492,IF(B492="","",IFERROR(INDEX(pr_des,MATCH(B492,pr_code,0))&amp;"",""))))</f>
        <v/>
      </c>
      <c r="I492" s="59" t="str">
        <f>IF(B492="","",IFERROR(INDEX(pr_unit,MATCH(B492,pr_code,0))&amp;"",""))</f>
        <v/>
      </c>
      <c r="J492" s="65" t="str">
        <f>IF(COUNTA(A492:G492)=0,"",IF(E492&lt;&gt;"",E492,IF(B492="","",IFERROR(IF(INDEX(pr_price,MATCH(B492,pr_code,0))="","",INDEX(pr_price,MATCH(B492,pr_code,0))),""))))</f>
        <v/>
      </c>
      <c r="K492" s="71" t="str">
        <f>IF(COUNTA(A492:G492)=0,"",IF(G492&lt;&gt;"",G492,IF(B492="","",IFERROR(IF(INDEX(pr_rate,MATCH(B492,pr_code,0))="","",INDEX(pr_rate,MATCH(B492,pr_code,0))),""))))</f>
        <v/>
      </c>
      <c r="L492" s="65" t="str">
        <f>IF(COUNTA(A492:G492)=0,"",IF(AND(ISNUMBER(D492),ISNUMBER(J492)),ROUND(D492*J492*(1-N(F492)),2),0))</f>
        <v/>
      </c>
      <c r="M492" s="62" t="str">
        <f>IF(A492="","",IFERROR(INDEX(fa_cname,MATCH(A492,fa_num,0))&amp;"",""))</f>
        <v/>
      </c>
      <c r="N492" s="59" t="str">
        <f>IF(COUNTA(A492:G492)=0,"",IF(A492="","N° facture manquant",IF(ISNA(MATCH(A492,fa_num,0)),"Facture inconnue",IF(AND(B492&lt;&gt;"",ISNA(MATCH(B492,pr_code,0))),"Article inconnu",IF(H492="","Désignation manquante",IF(OR(NOT(ISNUMBER(D492)),N(D492)&lt;=0),"Quantité invalide",IF(J492="","Prix manquant",IF(OR(NOT(ISNUMBER(J492)),N(J492)&lt;0),"Prix invalide",IF(OR(AND(F492&lt;&gt;"",NOT(ISNUMBER(F492))),N(F492)&lt;0,N(F492)&gt;1),"Remise invalide",IF(K492="","Taux de TVA manquant",IF(NOT(ISNUMBER(K492)),"Taux de TVA invalide",IF(COUNTIF(p_rates,K492)=0,"Taux de TVA hors liste (Paramètres)",IF(N(O492)&gt;25,"Au-delà de 25 lignes : non imprimée","OK")))))))))))))</f>
        <v/>
      </c>
      <c r="O492" s="59" t="str">
        <f>IF(A492="","",COUNTIF($A$6:A492,A492))</f>
        <v/>
      </c>
      <c r="P492" s="62" t="str">
        <f>IF(A492="","",A492&amp;"|"&amp;O492)</f>
        <v/>
      </c>
    </row>
    <row r="493">
      <c r="A493" s="60" t="n"/>
      <c r="B493" s="63" t="n"/>
      <c r="C493" s="63" t="n"/>
      <c r="D493" s="67" t="n"/>
      <c r="E493" s="68" t="n"/>
      <c r="F493" s="69" t="n"/>
      <c r="G493" s="70" t="n"/>
      <c r="H493" s="62" t="str">
        <f>IF(COUNTA(A493:G493)=0,"",IF(C493&lt;&gt;"",C493,IF(B493="","",IFERROR(INDEX(pr_des,MATCH(B493,pr_code,0))&amp;"",""))))</f>
        <v/>
      </c>
      <c r="I493" s="59" t="str">
        <f>IF(B493="","",IFERROR(INDEX(pr_unit,MATCH(B493,pr_code,0))&amp;"",""))</f>
        <v/>
      </c>
      <c r="J493" s="65" t="str">
        <f>IF(COUNTA(A493:G493)=0,"",IF(E493&lt;&gt;"",E493,IF(B493="","",IFERROR(IF(INDEX(pr_price,MATCH(B493,pr_code,0))="","",INDEX(pr_price,MATCH(B493,pr_code,0))),""))))</f>
        <v/>
      </c>
      <c r="K493" s="71" t="str">
        <f>IF(COUNTA(A493:G493)=0,"",IF(G493&lt;&gt;"",G493,IF(B493="","",IFERROR(IF(INDEX(pr_rate,MATCH(B493,pr_code,0))="","",INDEX(pr_rate,MATCH(B493,pr_code,0))),""))))</f>
        <v/>
      </c>
      <c r="L493" s="65" t="str">
        <f>IF(COUNTA(A493:G493)=0,"",IF(AND(ISNUMBER(D493),ISNUMBER(J493)),ROUND(D493*J493*(1-N(F493)),2),0))</f>
        <v/>
      </c>
      <c r="M493" s="62" t="str">
        <f>IF(A493="","",IFERROR(INDEX(fa_cname,MATCH(A493,fa_num,0))&amp;"",""))</f>
        <v/>
      </c>
      <c r="N493" s="59" t="str">
        <f>IF(COUNTA(A493:G493)=0,"",IF(A493="","N° facture manquant",IF(ISNA(MATCH(A493,fa_num,0)),"Facture inconnue",IF(AND(B493&lt;&gt;"",ISNA(MATCH(B493,pr_code,0))),"Article inconnu",IF(H493="","Désignation manquante",IF(OR(NOT(ISNUMBER(D493)),N(D493)&lt;=0),"Quantité invalide",IF(J493="","Prix manquant",IF(OR(NOT(ISNUMBER(J493)),N(J493)&lt;0),"Prix invalide",IF(OR(AND(F493&lt;&gt;"",NOT(ISNUMBER(F493))),N(F493)&lt;0,N(F493)&gt;1),"Remise invalide",IF(K493="","Taux de TVA manquant",IF(NOT(ISNUMBER(K493)),"Taux de TVA invalide",IF(COUNTIF(p_rates,K493)=0,"Taux de TVA hors liste (Paramètres)",IF(N(O493)&gt;25,"Au-delà de 25 lignes : non imprimée","OK")))))))))))))</f>
        <v/>
      </c>
      <c r="O493" s="59" t="str">
        <f>IF(A493="","",COUNTIF($A$6:A493,A493))</f>
        <v/>
      </c>
      <c r="P493" s="62" t="str">
        <f>IF(A493="","",A493&amp;"|"&amp;O493)</f>
        <v/>
      </c>
    </row>
    <row r="494">
      <c r="A494" s="60" t="n"/>
      <c r="B494" s="63" t="n"/>
      <c r="C494" s="63" t="n"/>
      <c r="D494" s="67" t="n"/>
      <c r="E494" s="68" t="n"/>
      <c r="F494" s="69" t="n"/>
      <c r="G494" s="70" t="n"/>
      <c r="H494" s="62" t="str">
        <f>IF(COUNTA(A494:G494)=0,"",IF(C494&lt;&gt;"",C494,IF(B494="","",IFERROR(INDEX(pr_des,MATCH(B494,pr_code,0))&amp;"",""))))</f>
        <v/>
      </c>
      <c r="I494" s="59" t="str">
        <f>IF(B494="","",IFERROR(INDEX(pr_unit,MATCH(B494,pr_code,0))&amp;"",""))</f>
        <v/>
      </c>
      <c r="J494" s="65" t="str">
        <f>IF(COUNTA(A494:G494)=0,"",IF(E494&lt;&gt;"",E494,IF(B494="","",IFERROR(IF(INDEX(pr_price,MATCH(B494,pr_code,0))="","",INDEX(pr_price,MATCH(B494,pr_code,0))),""))))</f>
        <v/>
      </c>
      <c r="K494" s="71" t="str">
        <f>IF(COUNTA(A494:G494)=0,"",IF(G494&lt;&gt;"",G494,IF(B494="","",IFERROR(IF(INDEX(pr_rate,MATCH(B494,pr_code,0))="","",INDEX(pr_rate,MATCH(B494,pr_code,0))),""))))</f>
        <v/>
      </c>
      <c r="L494" s="65" t="str">
        <f>IF(COUNTA(A494:G494)=0,"",IF(AND(ISNUMBER(D494),ISNUMBER(J494)),ROUND(D494*J494*(1-N(F494)),2),0))</f>
        <v/>
      </c>
      <c r="M494" s="62" t="str">
        <f>IF(A494="","",IFERROR(INDEX(fa_cname,MATCH(A494,fa_num,0))&amp;"",""))</f>
        <v/>
      </c>
      <c r="N494" s="59" t="str">
        <f>IF(COUNTA(A494:G494)=0,"",IF(A494="","N° facture manquant",IF(ISNA(MATCH(A494,fa_num,0)),"Facture inconnue",IF(AND(B494&lt;&gt;"",ISNA(MATCH(B494,pr_code,0))),"Article inconnu",IF(H494="","Désignation manquante",IF(OR(NOT(ISNUMBER(D494)),N(D494)&lt;=0),"Quantité invalide",IF(J494="","Prix manquant",IF(OR(NOT(ISNUMBER(J494)),N(J494)&lt;0),"Prix invalide",IF(OR(AND(F494&lt;&gt;"",NOT(ISNUMBER(F494))),N(F494)&lt;0,N(F494)&gt;1),"Remise invalide",IF(K494="","Taux de TVA manquant",IF(NOT(ISNUMBER(K494)),"Taux de TVA invalide",IF(COUNTIF(p_rates,K494)=0,"Taux de TVA hors liste (Paramètres)",IF(N(O494)&gt;25,"Au-delà de 25 lignes : non imprimée","OK")))))))))))))</f>
        <v/>
      </c>
      <c r="O494" s="59" t="str">
        <f>IF(A494="","",COUNTIF($A$6:A494,A494))</f>
        <v/>
      </c>
      <c r="P494" s="62" t="str">
        <f>IF(A494="","",A494&amp;"|"&amp;O494)</f>
        <v/>
      </c>
    </row>
    <row r="495">
      <c r="A495" s="60" t="n"/>
      <c r="B495" s="63" t="n"/>
      <c r="C495" s="63" t="n"/>
      <c r="D495" s="67" t="n"/>
      <c r="E495" s="68" t="n"/>
      <c r="F495" s="69" t="n"/>
      <c r="G495" s="70" t="n"/>
      <c r="H495" s="62" t="str">
        <f>IF(COUNTA(A495:G495)=0,"",IF(C495&lt;&gt;"",C495,IF(B495="","",IFERROR(INDEX(pr_des,MATCH(B495,pr_code,0))&amp;"",""))))</f>
        <v/>
      </c>
      <c r="I495" s="59" t="str">
        <f>IF(B495="","",IFERROR(INDEX(pr_unit,MATCH(B495,pr_code,0))&amp;"",""))</f>
        <v/>
      </c>
      <c r="J495" s="65" t="str">
        <f>IF(COUNTA(A495:G495)=0,"",IF(E495&lt;&gt;"",E495,IF(B495="","",IFERROR(IF(INDEX(pr_price,MATCH(B495,pr_code,0))="","",INDEX(pr_price,MATCH(B495,pr_code,0))),""))))</f>
        <v/>
      </c>
      <c r="K495" s="71" t="str">
        <f>IF(COUNTA(A495:G495)=0,"",IF(G495&lt;&gt;"",G495,IF(B495="","",IFERROR(IF(INDEX(pr_rate,MATCH(B495,pr_code,0))="","",INDEX(pr_rate,MATCH(B495,pr_code,0))),""))))</f>
        <v/>
      </c>
      <c r="L495" s="65" t="str">
        <f>IF(COUNTA(A495:G495)=0,"",IF(AND(ISNUMBER(D495),ISNUMBER(J495)),ROUND(D495*J495*(1-N(F495)),2),0))</f>
        <v/>
      </c>
      <c r="M495" s="62" t="str">
        <f>IF(A495="","",IFERROR(INDEX(fa_cname,MATCH(A495,fa_num,0))&amp;"",""))</f>
        <v/>
      </c>
      <c r="N495" s="59" t="str">
        <f>IF(COUNTA(A495:G495)=0,"",IF(A495="","N° facture manquant",IF(ISNA(MATCH(A495,fa_num,0)),"Facture inconnue",IF(AND(B495&lt;&gt;"",ISNA(MATCH(B495,pr_code,0))),"Article inconnu",IF(H495="","Désignation manquante",IF(OR(NOT(ISNUMBER(D495)),N(D495)&lt;=0),"Quantité invalide",IF(J495="","Prix manquant",IF(OR(NOT(ISNUMBER(J495)),N(J495)&lt;0),"Prix invalide",IF(OR(AND(F495&lt;&gt;"",NOT(ISNUMBER(F495))),N(F495)&lt;0,N(F495)&gt;1),"Remise invalide",IF(K495="","Taux de TVA manquant",IF(NOT(ISNUMBER(K495)),"Taux de TVA invalide",IF(COUNTIF(p_rates,K495)=0,"Taux de TVA hors liste (Paramètres)",IF(N(O495)&gt;25,"Au-delà de 25 lignes : non imprimée","OK")))))))))))))</f>
        <v/>
      </c>
      <c r="O495" s="59" t="str">
        <f>IF(A495="","",COUNTIF($A$6:A495,A495))</f>
        <v/>
      </c>
      <c r="P495" s="62" t="str">
        <f>IF(A495="","",A495&amp;"|"&amp;O495)</f>
        <v/>
      </c>
    </row>
    <row r="496">
      <c r="A496" s="60" t="n"/>
      <c r="B496" s="63" t="n"/>
      <c r="C496" s="63" t="n"/>
      <c r="D496" s="67" t="n"/>
      <c r="E496" s="68" t="n"/>
      <c r="F496" s="69" t="n"/>
      <c r="G496" s="70" t="n"/>
      <c r="H496" s="62" t="str">
        <f>IF(COUNTA(A496:G496)=0,"",IF(C496&lt;&gt;"",C496,IF(B496="","",IFERROR(INDEX(pr_des,MATCH(B496,pr_code,0))&amp;"",""))))</f>
        <v/>
      </c>
      <c r="I496" s="59" t="str">
        <f>IF(B496="","",IFERROR(INDEX(pr_unit,MATCH(B496,pr_code,0))&amp;"",""))</f>
        <v/>
      </c>
      <c r="J496" s="65" t="str">
        <f>IF(COUNTA(A496:G496)=0,"",IF(E496&lt;&gt;"",E496,IF(B496="","",IFERROR(IF(INDEX(pr_price,MATCH(B496,pr_code,0))="","",INDEX(pr_price,MATCH(B496,pr_code,0))),""))))</f>
        <v/>
      </c>
      <c r="K496" s="71" t="str">
        <f>IF(COUNTA(A496:G496)=0,"",IF(G496&lt;&gt;"",G496,IF(B496="","",IFERROR(IF(INDEX(pr_rate,MATCH(B496,pr_code,0))="","",INDEX(pr_rate,MATCH(B496,pr_code,0))),""))))</f>
        <v/>
      </c>
      <c r="L496" s="65" t="str">
        <f>IF(COUNTA(A496:G496)=0,"",IF(AND(ISNUMBER(D496),ISNUMBER(J496)),ROUND(D496*J496*(1-N(F496)),2),0))</f>
        <v/>
      </c>
      <c r="M496" s="62" t="str">
        <f>IF(A496="","",IFERROR(INDEX(fa_cname,MATCH(A496,fa_num,0))&amp;"",""))</f>
        <v/>
      </c>
      <c r="N496" s="59" t="str">
        <f>IF(COUNTA(A496:G496)=0,"",IF(A496="","N° facture manquant",IF(ISNA(MATCH(A496,fa_num,0)),"Facture inconnue",IF(AND(B496&lt;&gt;"",ISNA(MATCH(B496,pr_code,0))),"Article inconnu",IF(H496="","Désignation manquante",IF(OR(NOT(ISNUMBER(D496)),N(D496)&lt;=0),"Quantité invalide",IF(J496="","Prix manquant",IF(OR(NOT(ISNUMBER(J496)),N(J496)&lt;0),"Prix invalide",IF(OR(AND(F496&lt;&gt;"",NOT(ISNUMBER(F496))),N(F496)&lt;0,N(F496)&gt;1),"Remise invalide",IF(K496="","Taux de TVA manquant",IF(NOT(ISNUMBER(K496)),"Taux de TVA invalide",IF(COUNTIF(p_rates,K496)=0,"Taux de TVA hors liste (Paramètres)",IF(N(O496)&gt;25,"Au-delà de 25 lignes : non imprimée","OK")))))))))))))</f>
        <v/>
      </c>
      <c r="O496" s="59" t="str">
        <f>IF(A496="","",COUNTIF($A$6:A496,A496))</f>
        <v/>
      </c>
      <c r="P496" s="62" t="str">
        <f>IF(A496="","",A496&amp;"|"&amp;O496)</f>
        <v/>
      </c>
    </row>
    <row r="497">
      <c r="A497" s="60" t="n"/>
      <c r="B497" s="63" t="n"/>
      <c r="C497" s="63" t="n"/>
      <c r="D497" s="67" t="n"/>
      <c r="E497" s="68" t="n"/>
      <c r="F497" s="69" t="n"/>
      <c r="G497" s="70" t="n"/>
      <c r="H497" s="62" t="str">
        <f>IF(COUNTA(A497:G497)=0,"",IF(C497&lt;&gt;"",C497,IF(B497="","",IFERROR(INDEX(pr_des,MATCH(B497,pr_code,0))&amp;"",""))))</f>
        <v/>
      </c>
      <c r="I497" s="59" t="str">
        <f>IF(B497="","",IFERROR(INDEX(pr_unit,MATCH(B497,pr_code,0))&amp;"",""))</f>
        <v/>
      </c>
      <c r="J497" s="65" t="str">
        <f>IF(COUNTA(A497:G497)=0,"",IF(E497&lt;&gt;"",E497,IF(B497="","",IFERROR(IF(INDEX(pr_price,MATCH(B497,pr_code,0))="","",INDEX(pr_price,MATCH(B497,pr_code,0))),""))))</f>
        <v/>
      </c>
      <c r="K497" s="71" t="str">
        <f>IF(COUNTA(A497:G497)=0,"",IF(G497&lt;&gt;"",G497,IF(B497="","",IFERROR(IF(INDEX(pr_rate,MATCH(B497,pr_code,0))="","",INDEX(pr_rate,MATCH(B497,pr_code,0))),""))))</f>
        <v/>
      </c>
      <c r="L497" s="65" t="str">
        <f>IF(COUNTA(A497:G497)=0,"",IF(AND(ISNUMBER(D497),ISNUMBER(J497)),ROUND(D497*J497*(1-N(F497)),2),0))</f>
        <v/>
      </c>
      <c r="M497" s="62" t="str">
        <f>IF(A497="","",IFERROR(INDEX(fa_cname,MATCH(A497,fa_num,0))&amp;"",""))</f>
        <v/>
      </c>
      <c r="N497" s="59" t="str">
        <f>IF(COUNTA(A497:G497)=0,"",IF(A497="","N° facture manquant",IF(ISNA(MATCH(A497,fa_num,0)),"Facture inconnue",IF(AND(B497&lt;&gt;"",ISNA(MATCH(B497,pr_code,0))),"Article inconnu",IF(H497="","Désignation manquante",IF(OR(NOT(ISNUMBER(D497)),N(D497)&lt;=0),"Quantité invalide",IF(J497="","Prix manquant",IF(OR(NOT(ISNUMBER(J497)),N(J497)&lt;0),"Prix invalide",IF(OR(AND(F497&lt;&gt;"",NOT(ISNUMBER(F497))),N(F497)&lt;0,N(F497)&gt;1),"Remise invalide",IF(K497="","Taux de TVA manquant",IF(NOT(ISNUMBER(K497)),"Taux de TVA invalide",IF(COUNTIF(p_rates,K497)=0,"Taux de TVA hors liste (Paramètres)",IF(N(O497)&gt;25,"Au-delà de 25 lignes : non imprimée","OK")))))))))))))</f>
        <v/>
      </c>
      <c r="O497" s="59" t="str">
        <f>IF(A497="","",COUNTIF($A$6:A497,A497))</f>
        <v/>
      </c>
      <c r="P497" s="62" t="str">
        <f>IF(A497="","",A497&amp;"|"&amp;O497)</f>
        <v/>
      </c>
    </row>
    <row r="498">
      <c r="A498" s="60" t="n"/>
      <c r="B498" s="63" t="n"/>
      <c r="C498" s="63" t="n"/>
      <c r="D498" s="67" t="n"/>
      <c r="E498" s="68" t="n"/>
      <c r="F498" s="69" t="n"/>
      <c r="G498" s="70" t="n"/>
      <c r="H498" s="62" t="str">
        <f>IF(COUNTA(A498:G498)=0,"",IF(C498&lt;&gt;"",C498,IF(B498="","",IFERROR(INDEX(pr_des,MATCH(B498,pr_code,0))&amp;"",""))))</f>
        <v/>
      </c>
      <c r="I498" s="59" t="str">
        <f>IF(B498="","",IFERROR(INDEX(pr_unit,MATCH(B498,pr_code,0))&amp;"",""))</f>
        <v/>
      </c>
      <c r="J498" s="65" t="str">
        <f>IF(COUNTA(A498:G498)=0,"",IF(E498&lt;&gt;"",E498,IF(B498="","",IFERROR(IF(INDEX(pr_price,MATCH(B498,pr_code,0))="","",INDEX(pr_price,MATCH(B498,pr_code,0))),""))))</f>
        <v/>
      </c>
      <c r="K498" s="71" t="str">
        <f>IF(COUNTA(A498:G498)=0,"",IF(G498&lt;&gt;"",G498,IF(B498="","",IFERROR(IF(INDEX(pr_rate,MATCH(B498,pr_code,0))="","",INDEX(pr_rate,MATCH(B498,pr_code,0))),""))))</f>
        <v/>
      </c>
      <c r="L498" s="65" t="str">
        <f>IF(COUNTA(A498:G498)=0,"",IF(AND(ISNUMBER(D498),ISNUMBER(J498)),ROUND(D498*J498*(1-N(F498)),2),0))</f>
        <v/>
      </c>
      <c r="M498" s="62" t="str">
        <f>IF(A498="","",IFERROR(INDEX(fa_cname,MATCH(A498,fa_num,0))&amp;"",""))</f>
        <v/>
      </c>
      <c r="N498" s="59" t="str">
        <f>IF(COUNTA(A498:G498)=0,"",IF(A498="","N° facture manquant",IF(ISNA(MATCH(A498,fa_num,0)),"Facture inconnue",IF(AND(B498&lt;&gt;"",ISNA(MATCH(B498,pr_code,0))),"Article inconnu",IF(H498="","Désignation manquante",IF(OR(NOT(ISNUMBER(D498)),N(D498)&lt;=0),"Quantité invalide",IF(J498="","Prix manquant",IF(OR(NOT(ISNUMBER(J498)),N(J498)&lt;0),"Prix invalide",IF(OR(AND(F498&lt;&gt;"",NOT(ISNUMBER(F498))),N(F498)&lt;0,N(F498)&gt;1),"Remise invalide",IF(K498="","Taux de TVA manquant",IF(NOT(ISNUMBER(K498)),"Taux de TVA invalide",IF(COUNTIF(p_rates,K498)=0,"Taux de TVA hors liste (Paramètres)",IF(N(O498)&gt;25,"Au-delà de 25 lignes : non imprimée","OK")))))))))))))</f>
        <v/>
      </c>
      <c r="O498" s="59" t="str">
        <f>IF(A498="","",COUNTIF($A$6:A498,A498))</f>
        <v/>
      </c>
      <c r="P498" s="62" t="str">
        <f>IF(A498="","",A498&amp;"|"&amp;O498)</f>
        <v/>
      </c>
    </row>
    <row r="499">
      <c r="A499" s="60" t="n"/>
      <c r="B499" s="63" t="n"/>
      <c r="C499" s="63" t="n"/>
      <c r="D499" s="67" t="n"/>
      <c r="E499" s="68" t="n"/>
      <c r="F499" s="69" t="n"/>
      <c r="G499" s="70" t="n"/>
      <c r="H499" s="62" t="str">
        <f>IF(COUNTA(A499:G499)=0,"",IF(C499&lt;&gt;"",C499,IF(B499="","",IFERROR(INDEX(pr_des,MATCH(B499,pr_code,0))&amp;"",""))))</f>
        <v/>
      </c>
      <c r="I499" s="59" t="str">
        <f>IF(B499="","",IFERROR(INDEX(pr_unit,MATCH(B499,pr_code,0))&amp;"",""))</f>
        <v/>
      </c>
      <c r="J499" s="65" t="str">
        <f>IF(COUNTA(A499:G499)=0,"",IF(E499&lt;&gt;"",E499,IF(B499="","",IFERROR(IF(INDEX(pr_price,MATCH(B499,pr_code,0))="","",INDEX(pr_price,MATCH(B499,pr_code,0))),""))))</f>
        <v/>
      </c>
      <c r="K499" s="71" t="str">
        <f>IF(COUNTA(A499:G499)=0,"",IF(G499&lt;&gt;"",G499,IF(B499="","",IFERROR(IF(INDEX(pr_rate,MATCH(B499,pr_code,0))="","",INDEX(pr_rate,MATCH(B499,pr_code,0))),""))))</f>
        <v/>
      </c>
      <c r="L499" s="65" t="str">
        <f>IF(COUNTA(A499:G499)=0,"",IF(AND(ISNUMBER(D499),ISNUMBER(J499)),ROUND(D499*J499*(1-N(F499)),2),0))</f>
        <v/>
      </c>
      <c r="M499" s="62" t="str">
        <f>IF(A499="","",IFERROR(INDEX(fa_cname,MATCH(A499,fa_num,0))&amp;"",""))</f>
        <v/>
      </c>
      <c r="N499" s="59" t="str">
        <f>IF(COUNTA(A499:G499)=0,"",IF(A499="","N° facture manquant",IF(ISNA(MATCH(A499,fa_num,0)),"Facture inconnue",IF(AND(B499&lt;&gt;"",ISNA(MATCH(B499,pr_code,0))),"Article inconnu",IF(H499="","Désignation manquante",IF(OR(NOT(ISNUMBER(D499)),N(D499)&lt;=0),"Quantité invalide",IF(J499="","Prix manquant",IF(OR(NOT(ISNUMBER(J499)),N(J499)&lt;0),"Prix invalide",IF(OR(AND(F499&lt;&gt;"",NOT(ISNUMBER(F499))),N(F499)&lt;0,N(F499)&gt;1),"Remise invalide",IF(K499="","Taux de TVA manquant",IF(NOT(ISNUMBER(K499)),"Taux de TVA invalide",IF(COUNTIF(p_rates,K499)=0,"Taux de TVA hors liste (Paramètres)",IF(N(O499)&gt;25,"Au-delà de 25 lignes : non imprimée","OK")))))))))))))</f>
        <v/>
      </c>
      <c r="O499" s="59" t="str">
        <f>IF(A499="","",COUNTIF($A$6:A499,A499))</f>
        <v/>
      </c>
      <c r="P499" s="62" t="str">
        <f>IF(A499="","",A499&amp;"|"&amp;O499)</f>
        <v/>
      </c>
    </row>
    <row r="500">
      <c r="A500" s="60" t="n"/>
      <c r="B500" s="63" t="n"/>
      <c r="C500" s="63" t="n"/>
      <c r="D500" s="67" t="n"/>
      <c r="E500" s="68" t="n"/>
      <c r="F500" s="69" t="n"/>
      <c r="G500" s="70" t="n"/>
      <c r="H500" s="62" t="str">
        <f>IF(COUNTA(A500:G500)=0,"",IF(C500&lt;&gt;"",C500,IF(B500="","",IFERROR(INDEX(pr_des,MATCH(B500,pr_code,0))&amp;"",""))))</f>
        <v/>
      </c>
      <c r="I500" s="59" t="str">
        <f>IF(B500="","",IFERROR(INDEX(pr_unit,MATCH(B500,pr_code,0))&amp;"",""))</f>
        <v/>
      </c>
      <c r="J500" s="65" t="str">
        <f>IF(COUNTA(A500:G500)=0,"",IF(E500&lt;&gt;"",E500,IF(B500="","",IFERROR(IF(INDEX(pr_price,MATCH(B500,pr_code,0))="","",INDEX(pr_price,MATCH(B500,pr_code,0))),""))))</f>
        <v/>
      </c>
      <c r="K500" s="71" t="str">
        <f>IF(COUNTA(A500:G500)=0,"",IF(G500&lt;&gt;"",G500,IF(B500="","",IFERROR(IF(INDEX(pr_rate,MATCH(B500,pr_code,0))="","",INDEX(pr_rate,MATCH(B500,pr_code,0))),""))))</f>
        <v/>
      </c>
      <c r="L500" s="65" t="str">
        <f>IF(COUNTA(A500:G500)=0,"",IF(AND(ISNUMBER(D500),ISNUMBER(J500)),ROUND(D500*J500*(1-N(F500)),2),0))</f>
        <v/>
      </c>
      <c r="M500" s="62" t="str">
        <f>IF(A500="","",IFERROR(INDEX(fa_cname,MATCH(A500,fa_num,0))&amp;"",""))</f>
        <v/>
      </c>
      <c r="N500" s="59" t="str">
        <f>IF(COUNTA(A500:G500)=0,"",IF(A500="","N° facture manquant",IF(ISNA(MATCH(A500,fa_num,0)),"Facture inconnue",IF(AND(B500&lt;&gt;"",ISNA(MATCH(B500,pr_code,0))),"Article inconnu",IF(H500="","Désignation manquante",IF(OR(NOT(ISNUMBER(D500)),N(D500)&lt;=0),"Quantité invalide",IF(J500="","Prix manquant",IF(OR(NOT(ISNUMBER(J500)),N(J500)&lt;0),"Prix invalide",IF(OR(AND(F500&lt;&gt;"",NOT(ISNUMBER(F500))),N(F500)&lt;0,N(F500)&gt;1),"Remise invalide",IF(K500="","Taux de TVA manquant",IF(NOT(ISNUMBER(K500)),"Taux de TVA invalide",IF(COUNTIF(p_rates,K500)=0,"Taux de TVA hors liste (Paramètres)",IF(N(O500)&gt;25,"Au-delà de 25 lignes : non imprimée","OK")))))))))))))</f>
        <v/>
      </c>
      <c r="O500" s="59" t="str">
        <f>IF(A500="","",COUNTIF($A$6:A500,A500))</f>
        <v/>
      </c>
      <c r="P500" s="62" t="str">
        <f>IF(A500="","",A500&amp;"|"&amp;O500)</f>
        <v/>
      </c>
    </row>
    <row r="501">
      <c r="A501" s="60" t="n"/>
      <c r="B501" s="63" t="n"/>
      <c r="C501" s="63" t="n"/>
      <c r="D501" s="67" t="n"/>
      <c r="E501" s="68" t="n"/>
      <c r="F501" s="69" t="n"/>
      <c r="G501" s="70" t="n"/>
      <c r="H501" s="62" t="str">
        <f>IF(COUNTA(A501:G501)=0,"",IF(C501&lt;&gt;"",C501,IF(B501="","",IFERROR(INDEX(pr_des,MATCH(B501,pr_code,0))&amp;"",""))))</f>
        <v/>
      </c>
      <c r="I501" s="59" t="str">
        <f>IF(B501="","",IFERROR(INDEX(pr_unit,MATCH(B501,pr_code,0))&amp;"",""))</f>
        <v/>
      </c>
      <c r="J501" s="65" t="str">
        <f>IF(COUNTA(A501:G501)=0,"",IF(E501&lt;&gt;"",E501,IF(B501="","",IFERROR(IF(INDEX(pr_price,MATCH(B501,pr_code,0))="","",INDEX(pr_price,MATCH(B501,pr_code,0))),""))))</f>
        <v/>
      </c>
      <c r="K501" s="71" t="str">
        <f>IF(COUNTA(A501:G501)=0,"",IF(G501&lt;&gt;"",G501,IF(B501="","",IFERROR(IF(INDEX(pr_rate,MATCH(B501,pr_code,0))="","",INDEX(pr_rate,MATCH(B501,pr_code,0))),""))))</f>
        <v/>
      </c>
      <c r="L501" s="65" t="str">
        <f>IF(COUNTA(A501:G501)=0,"",IF(AND(ISNUMBER(D501),ISNUMBER(J501)),ROUND(D501*J501*(1-N(F501)),2),0))</f>
        <v/>
      </c>
      <c r="M501" s="62" t="str">
        <f>IF(A501="","",IFERROR(INDEX(fa_cname,MATCH(A501,fa_num,0))&amp;"",""))</f>
        <v/>
      </c>
      <c r="N501" s="59" t="str">
        <f>IF(COUNTA(A501:G501)=0,"",IF(A501="","N° facture manquant",IF(ISNA(MATCH(A501,fa_num,0)),"Facture inconnue",IF(AND(B501&lt;&gt;"",ISNA(MATCH(B501,pr_code,0))),"Article inconnu",IF(H501="","Désignation manquante",IF(OR(NOT(ISNUMBER(D501)),N(D501)&lt;=0),"Quantité invalide",IF(J501="","Prix manquant",IF(OR(NOT(ISNUMBER(J501)),N(J501)&lt;0),"Prix invalide",IF(OR(AND(F501&lt;&gt;"",NOT(ISNUMBER(F501))),N(F501)&lt;0,N(F501)&gt;1),"Remise invalide",IF(K501="","Taux de TVA manquant",IF(NOT(ISNUMBER(K501)),"Taux de TVA invalide",IF(COUNTIF(p_rates,K501)=0,"Taux de TVA hors liste (Paramètres)",IF(N(O501)&gt;25,"Au-delà de 25 lignes : non imprimée","OK")))))))))))))</f>
        <v/>
      </c>
      <c r="O501" s="59" t="str">
        <f>IF(A501="","",COUNTIF($A$6:A501,A501))</f>
        <v/>
      </c>
      <c r="P501" s="62" t="str">
        <f>IF(A501="","",A501&amp;"|"&amp;O501)</f>
        <v/>
      </c>
    </row>
    <row r="502">
      <c r="A502" s="60" t="n"/>
      <c r="B502" s="63" t="n"/>
      <c r="C502" s="63" t="n"/>
      <c r="D502" s="67" t="n"/>
      <c r="E502" s="68" t="n"/>
      <c r="F502" s="69" t="n"/>
      <c r="G502" s="70" t="n"/>
      <c r="H502" s="62" t="str">
        <f>IF(COUNTA(A502:G502)=0,"",IF(C502&lt;&gt;"",C502,IF(B502="","",IFERROR(INDEX(pr_des,MATCH(B502,pr_code,0))&amp;"",""))))</f>
        <v/>
      </c>
      <c r="I502" s="59" t="str">
        <f>IF(B502="","",IFERROR(INDEX(pr_unit,MATCH(B502,pr_code,0))&amp;"",""))</f>
        <v/>
      </c>
      <c r="J502" s="65" t="str">
        <f>IF(COUNTA(A502:G502)=0,"",IF(E502&lt;&gt;"",E502,IF(B502="","",IFERROR(IF(INDEX(pr_price,MATCH(B502,pr_code,0))="","",INDEX(pr_price,MATCH(B502,pr_code,0))),""))))</f>
        <v/>
      </c>
      <c r="K502" s="71" t="str">
        <f>IF(COUNTA(A502:G502)=0,"",IF(G502&lt;&gt;"",G502,IF(B502="","",IFERROR(IF(INDEX(pr_rate,MATCH(B502,pr_code,0))="","",INDEX(pr_rate,MATCH(B502,pr_code,0))),""))))</f>
        <v/>
      </c>
      <c r="L502" s="65" t="str">
        <f>IF(COUNTA(A502:G502)=0,"",IF(AND(ISNUMBER(D502),ISNUMBER(J502)),ROUND(D502*J502*(1-N(F502)),2),0))</f>
        <v/>
      </c>
      <c r="M502" s="62" t="str">
        <f>IF(A502="","",IFERROR(INDEX(fa_cname,MATCH(A502,fa_num,0))&amp;"",""))</f>
        <v/>
      </c>
      <c r="N502" s="59" t="str">
        <f>IF(COUNTA(A502:G502)=0,"",IF(A502="","N° facture manquant",IF(ISNA(MATCH(A502,fa_num,0)),"Facture inconnue",IF(AND(B502&lt;&gt;"",ISNA(MATCH(B502,pr_code,0))),"Article inconnu",IF(H502="","Désignation manquante",IF(OR(NOT(ISNUMBER(D502)),N(D502)&lt;=0),"Quantité invalide",IF(J502="","Prix manquant",IF(OR(NOT(ISNUMBER(J502)),N(J502)&lt;0),"Prix invalide",IF(OR(AND(F502&lt;&gt;"",NOT(ISNUMBER(F502))),N(F502)&lt;0,N(F502)&gt;1),"Remise invalide",IF(K502="","Taux de TVA manquant",IF(NOT(ISNUMBER(K502)),"Taux de TVA invalide",IF(COUNTIF(p_rates,K502)=0,"Taux de TVA hors liste (Paramètres)",IF(N(O502)&gt;25,"Au-delà de 25 lignes : non imprimée","OK")))))))))))))</f>
        <v/>
      </c>
      <c r="O502" s="59" t="str">
        <f>IF(A502="","",COUNTIF($A$6:A502,A502))</f>
        <v/>
      </c>
      <c r="P502" s="62" t="str">
        <f>IF(A502="","",A502&amp;"|"&amp;O502)</f>
        <v/>
      </c>
    </row>
    <row r="503">
      <c r="A503" s="60" t="n"/>
      <c r="B503" s="63" t="n"/>
      <c r="C503" s="63" t="n"/>
      <c r="D503" s="67" t="n"/>
      <c r="E503" s="68" t="n"/>
      <c r="F503" s="69" t="n"/>
      <c r="G503" s="70" t="n"/>
      <c r="H503" s="62" t="str">
        <f>IF(COUNTA(A503:G503)=0,"",IF(C503&lt;&gt;"",C503,IF(B503="","",IFERROR(INDEX(pr_des,MATCH(B503,pr_code,0))&amp;"",""))))</f>
        <v/>
      </c>
      <c r="I503" s="59" t="str">
        <f>IF(B503="","",IFERROR(INDEX(pr_unit,MATCH(B503,pr_code,0))&amp;"",""))</f>
        <v/>
      </c>
      <c r="J503" s="65" t="str">
        <f>IF(COUNTA(A503:G503)=0,"",IF(E503&lt;&gt;"",E503,IF(B503="","",IFERROR(IF(INDEX(pr_price,MATCH(B503,pr_code,0))="","",INDEX(pr_price,MATCH(B503,pr_code,0))),""))))</f>
        <v/>
      </c>
      <c r="K503" s="71" t="str">
        <f>IF(COUNTA(A503:G503)=0,"",IF(G503&lt;&gt;"",G503,IF(B503="","",IFERROR(IF(INDEX(pr_rate,MATCH(B503,pr_code,0))="","",INDEX(pr_rate,MATCH(B503,pr_code,0))),""))))</f>
        <v/>
      </c>
      <c r="L503" s="65" t="str">
        <f>IF(COUNTA(A503:G503)=0,"",IF(AND(ISNUMBER(D503),ISNUMBER(J503)),ROUND(D503*J503*(1-N(F503)),2),0))</f>
        <v/>
      </c>
      <c r="M503" s="62" t="str">
        <f>IF(A503="","",IFERROR(INDEX(fa_cname,MATCH(A503,fa_num,0))&amp;"",""))</f>
        <v/>
      </c>
      <c r="N503" s="59" t="str">
        <f>IF(COUNTA(A503:G503)=0,"",IF(A503="","N° facture manquant",IF(ISNA(MATCH(A503,fa_num,0)),"Facture inconnue",IF(AND(B503&lt;&gt;"",ISNA(MATCH(B503,pr_code,0))),"Article inconnu",IF(H503="","Désignation manquante",IF(OR(NOT(ISNUMBER(D503)),N(D503)&lt;=0),"Quantité invalide",IF(J503="","Prix manquant",IF(OR(NOT(ISNUMBER(J503)),N(J503)&lt;0),"Prix invalide",IF(OR(AND(F503&lt;&gt;"",NOT(ISNUMBER(F503))),N(F503)&lt;0,N(F503)&gt;1),"Remise invalide",IF(K503="","Taux de TVA manquant",IF(NOT(ISNUMBER(K503)),"Taux de TVA invalide",IF(COUNTIF(p_rates,K503)=0,"Taux de TVA hors liste (Paramètres)",IF(N(O503)&gt;25,"Au-delà de 25 lignes : non imprimée","OK")))))))))))))</f>
        <v/>
      </c>
      <c r="O503" s="59" t="str">
        <f>IF(A503="","",COUNTIF($A$6:A503,A503))</f>
        <v/>
      </c>
      <c r="P503" s="62" t="str">
        <f>IF(A503="","",A503&amp;"|"&amp;O503)</f>
        <v/>
      </c>
    </row>
    <row r="504">
      <c r="A504" s="60" t="n"/>
      <c r="B504" s="63" t="n"/>
      <c r="C504" s="63" t="n"/>
      <c r="D504" s="67" t="n"/>
      <c r="E504" s="68" t="n"/>
      <c r="F504" s="69" t="n"/>
      <c r="G504" s="70" t="n"/>
      <c r="H504" s="62" t="str">
        <f>IF(COUNTA(A504:G504)=0,"",IF(C504&lt;&gt;"",C504,IF(B504="","",IFERROR(INDEX(pr_des,MATCH(B504,pr_code,0))&amp;"",""))))</f>
        <v/>
      </c>
      <c r="I504" s="59" t="str">
        <f>IF(B504="","",IFERROR(INDEX(pr_unit,MATCH(B504,pr_code,0))&amp;"",""))</f>
        <v/>
      </c>
      <c r="J504" s="65" t="str">
        <f>IF(COUNTA(A504:G504)=0,"",IF(E504&lt;&gt;"",E504,IF(B504="","",IFERROR(IF(INDEX(pr_price,MATCH(B504,pr_code,0))="","",INDEX(pr_price,MATCH(B504,pr_code,0))),""))))</f>
        <v/>
      </c>
      <c r="K504" s="71" t="str">
        <f>IF(COUNTA(A504:G504)=0,"",IF(G504&lt;&gt;"",G504,IF(B504="","",IFERROR(IF(INDEX(pr_rate,MATCH(B504,pr_code,0))="","",INDEX(pr_rate,MATCH(B504,pr_code,0))),""))))</f>
        <v/>
      </c>
      <c r="L504" s="65" t="str">
        <f>IF(COUNTA(A504:G504)=0,"",IF(AND(ISNUMBER(D504),ISNUMBER(J504)),ROUND(D504*J504*(1-N(F504)),2),0))</f>
        <v/>
      </c>
      <c r="M504" s="62" t="str">
        <f>IF(A504="","",IFERROR(INDEX(fa_cname,MATCH(A504,fa_num,0))&amp;"",""))</f>
        <v/>
      </c>
      <c r="N504" s="59" t="str">
        <f>IF(COUNTA(A504:G504)=0,"",IF(A504="","N° facture manquant",IF(ISNA(MATCH(A504,fa_num,0)),"Facture inconnue",IF(AND(B504&lt;&gt;"",ISNA(MATCH(B504,pr_code,0))),"Article inconnu",IF(H504="","Désignation manquante",IF(OR(NOT(ISNUMBER(D504)),N(D504)&lt;=0),"Quantité invalide",IF(J504="","Prix manquant",IF(OR(NOT(ISNUMBER(J504)),N(J504)&lt;0),"Prix invalide",IF(OR(AND(F504&lt;&gt;"",NOT(ISNUMBER(F504))),N(F504)&lt;0,N(F504)&gt;1),"Remise invalide",IF(K504="","Taux de TVA manquant",IF(NOT(ISNUMBER(K504)),"Taux de TVA invalide",IF(COUNTIF(p_rates,K504)=0,"Taux de TVA hors liste (Paramètres)",IF(N(O504)&gt;25,"Au-delà de 25 lignes : non imprimée","OK")))))))))))))</f>
        <v/>
      </c>
      <c r="O504" s="59" t="str">
        <f>IF(A504="","",COUNTIF($A$6:A504,A504))</f>
        <v/>
      </c>
      <c r="P504" s="62" t="str">
        <f>IF(A504="","",A504&amp;"|"&amp;O504)</f>
        <v/>
      </c>
    </row>
    <row r="505">
      <c r="A505" s="60" t="n"/>
      <c r="B505" s="63" t="n"/>
      <c r="C505" s="63" t="n"/>
      <c r="D505" s="67" t="n"/>
      <c r="E505" s="68" t="n"/>
      <c r="F505" s="69" t="n"/>
      <c r="G505" s="70" t="n"/>
      <c r="H505" s="62" t="str">
        <f>IF(COUNTA(A505:G505)=0,"",IF(C505&lt;&gt;"",C505,IF(B505="","",IFERROR(INDEX(pr_des,MATCH(B505,pr_code,0))&amp;"",""))))</f>
        <v/>
      </c>
      <c r="I505" s="59" t="str">
        <f>IF(B505="","",IFERROR(INDEX(pr_unit,MATCH(B505,pr_code,0))&amp;"",""))</f>
        <v/>
      </c>
      <c r="J505" s="65" t="str">
        <f>IF(COUNTA(A505:G505)=0,"",IF(E505&lt;&gt;"",E505,IF(B505="","",IFERROR(IF(INDEX(pr_price,MATCH(B505,pr_code,0))="","",INDEX(pr_price,MATCH(B505,pr_code,0))),""))))</f>
        <v/>
      </c>
      <c r="K505" s="71" t="str">
        <f>IF(COUNTA(A505:G505)=0,"",IF(G505&lt;&gt;"",G505,IF(B505="","",IFERROR(IF(INDEX(pr_rate,MATCH(B505,pr_code,0))="","",INDEX(pr_rate,MATCH(B505,pr_code,0))),""))))</f>
        <v/>
      </c>
      <c r="L505" s="65" t="str">
        <f>IF(COUNTA(A505:G505)=0,"",IF(AND(ISNUMBER(D505),ISNUMBER(J505)),ROUND(D505*J505*(1-N(F505)),2),0))</f>
        <v/>
      </c>
      <c r="M505" s="62" t="str">
        <f>IF(A505="","",IFERROR(INDEX(fa_cname,MATCH(A505,fa_num,0))&amp;"",""))</f>
        <v/>
      </c>
      <c r="N505" s="59" t="str">
        <f>IF(COUNTA(A505:G505)=0,"",IF(A505="","N° facture manquant",IF(ISNA(MATCH(A505,fa_num,0)),"Facture inconnue",IF(AND(B505&lt;&gt;"",ISNA(MATCH(B505,pr_code,0))),"Article inconnu",IF(H505="","Désignation manquante",IF(OR(NOT(ISNUMBER(D505)),N(D505)&lt;=0),"Quantité invalide",IF(J505="","Prix manquant",IF(OR(NOT(ISNUMBER(J505)),N(J505)&lt;0),"Prix invalide",IF(OR(AND(F505&lt;&gt;"",NOT(ISNUMBER(F505))),N(F505)&lt;0,N(F505)&gt;1),"Remise invalide",IF(K505="","Taux de TVA manquant",IF(NOT(ISNUMBER(K505)),"Taux de TVA invalide",IF(COUNTIF(p_rates,K505)=0,"Taux de TVA hors liste (Paramètres)",IF(N(O505)&gt;25,"Au-delà de 25 lignes : non imprimée","OK")))))))))))))</f>
        <v/>
      </c>
      <c r="O505" s="59" t="str">
        <f>IF(A505="","",COUNTIF($A$6:A505,A505))</f>
        <v/>
      </c>
      <c r="P505" s="62" t="str">
        <f>IF(A505="","",A505&amp;"|"&amp;O505)</f>
        <v/>
      </c>
    </row>
    <row r="506">
      <c r="A506" s="60" t="n"/>
      <c r="B506" s="63" t="n"/>
      <c r="C506" s="63" t="n"/>
      <c r="D506" s="67" t="n"/>
      <c r="E506" s="68" t="n"/>
      <c r="F506" s="69" t="n"/>
      <c r="G506" s="70" t="n"/>
      <c r="H506" s="62" t="str">
        <f>IF(COUNTA(A506:G506)=0,"",IF(C506&lt;&gt;"",C506,IF(B506="","",IFERROR(INDEX(pr_des,MATCH(B506,pr_code,0))&amp;"",""))))</f>
        <v/>
      </c>
      <c r="I506" s="59" t="str">
        <f>IF(B506="","",IFERROR(INDEX(pr_unit,MATCH(B506,pr_code,0))&amp;"",""))</f>
        <v/>
      </c>
      <c r="J506" s="65" t="str">
        <f>IF(COUNTA(A506:G506)=0,"",IF(E506&lt;&gt;"",E506,IF(B506="","",IFERROR(IF(INDEX(pr_price,MATCH(B506,pr_code,0))="","",INDEX(pr_price,MATCH(B506,pr_code,0))),""))))</f>
        <v/>
      </c>
      <c r="K506" s="71" t="str">
        <f>IF(COUNTA(A506:G506)=0,"",IF(G506&lt;&gt;"",G506,IF(B506="","",IFERROR(IF(INDEX(pr_rate,MATCH(B506,pr_code,0))="","",INDEX(pr_rate,MATCH(B506,pr_code,0))),""))))</f>
        <v/>
      </c>
      <c r="L506" s="65" t="str">
        <f>IF(COUNTA(A506:G506)=0,"",IF(AND(ISNUMBER(D506),ISNUMBER(J506)),ROUND(D506*J506*(1-N(F506)),2),0))</f>
        <v/>
      </c>
      <c r="M506" s="62" t="str">
        <f>IF(A506="","",IFERROR(INDEX(fa_cname,MATCH(A506,fa_num,0))&amp;"",""))</f>
        <v/>
      </c>
      <c r="N506" s="59" t="str">
        <f>IF(COUNTA(A506:G506)=0,"",IF(A506="","N° facture manquant",IF(ISNA(MATCH(A506,fa_num,0)),"Facture inconnue",IF(AND(B506&lt;&gt;"",ISNA(MATCH(B506,pr_code,0))),"Article inconnu",IF(H506="","Désignation manquante",IF(OR(NOT(ISNUMBER(D506)),N(D506)&lt;=0),"Quantité invalide",IF(J506="","Prix manquant",IF(OR(NOT(ISNUMBER(J506)),N(J506)&lt;0),"Prix invalide",IF(OR(AND(F506&lt;&gt;"",NOT(ISNUMBER(F506))),N(F506)&lt;0,N(F506)&gt;1),"Remise invalide",IF(K506="","Taux de TVA manquant",IF(NOT(ISNUMBER(K506)),"Taux de TVA invalide",IF(COUNTIF(p_rates,K506)=0,"Taux de TVA hors liste (Paramètres)",IF(N(O506)&gt;25,"Au-delà de 25 lignes : non imprimée","OK")))))))))))))</f>
        <v/>
      </c>
      <c r="O506" s="59" t="str">
        <f>IF(A506="","",COUNTIF($A$6:A506,A506))</f>
        <v/>
      </c>
      <c r="P506" s="62" t="str">
        <f>IF(A506="","",A506&amp;"|"&amp;O506)</f>
        <v/>
      </c>
    </row>
    <row r="507">
      <c r="A507" s="60" t="n"/>
      <c r="B507" s="63" t="n"/>
      <c r="C507" s="63" t="n"/>
      <c r="D507" s="67" t="n"/>
      <c r="E507" s="68" t="n"/>
      <c r="F507" s="69" t="n"/>
      <c r="G507" s="70" t="n"/>
      <c r="H507" s="62" t="str">
        <f>IF(COUNTA(A507:G507)=0,"",IF(C507&lt;&gt;"",C507,IF(B507="","",IFERROR(INDEX(pr_des,MATCH(B507,pr_code,0))&amp;"",""))))</f>
        <v/>
      </c>
      <c r="I507" s="59" t="str">
        <f>IF(B507="","",IFERROR(INDEX(pr_unit,MATCH(B507,pr_code,0))&amp;"",""))</f>
        <v/>
      </c>
      <c r="J507" s="65" t="str">
        <f>IF(COUNTA(A507:G507)=0,"",IF(E507&lt;&gt;"",E507,IF(B507="","",IFERROR(IF(INDEX(pr_price,MATCH(B507,pr_code,0))="","",INDEX(pr_price,MATCH(B507,pr_code,0))),""))))</f>
        <v/>
      </c>
      <c r="K507" s="71" t="str">
        <f>IF(COUNTA(A507:G507)=0,"",IF(G507&lt;&gt;"",G507,IF(B507="","",IFERROR(IF(INDEX(pr_rate,MATCH(B507,pr_code,0))="","",INDEX(pr_rate,MATCH(B507,pr_code,0))),""))))</f>
        <v/>
      </c>
      <c r="L507" s="65" t="str">
        <f>IF(COUNTA(A507:G507)=0,"",IF(AND(ISNUMBER(D507),ISNUMBER(J507)),ROUND(D507*J507*(1-N(F507)),2),0))</f>
        <v/>
      </c>
      <c r="M507" s="62" t="str">
        <f>IF(A507="","",IFERROR(INDEX(fa_cname,MATCH(A507,fa_num,0))&amp;"",""))</f>
        <v/>
      </c>
      <c r="N507" s="59" t="str">
        <f>IF(COUNTA(A507:G507)=0,"",IF(A507="","N° facture manquant",IF(ISNA(MATCH(A507,fa_num,0)),"Facture inconnue",IF(AND(B507&lt;&gt;"",ISNA(MATCH(B507,pr_code,0))),"Article inconnu",IF(H507="","Désignation manquante",IF(OR(NOT(ISNUMBER(D507)),N(D507)&lt;=0),"Quantité invalide",IF(J507="","Prix manquant",IF(OR(NOT(ISNUMBER(J507)),N(J507)&lt;0),"Prix invalide",IF(OR(AND(F507&lt;&gt;"",NOT(ISNUMBER(F507))),N(F507)&lt;0,N(F507)&gt;1),"Remise invalide",IF(K507="","Taux de TVA manquant",IF(NOT(ISNUMBER(K507)),"Taux de TVA invalide",IF(COUNTIF(p_rates,K507)=0,"Taux de TVA hors liste (Paramètres)",IF(N(O507)&gt;25,"Au-delà de 25 lignes : non imprimée","OK")))))))))))))</f>
        <v/>
      </c>
      <c r="O507" s="59" t="str">
        <f>IF(A507="","",COUNTIF($A$6:A507,A507))</f>
        <v/>
      </c>
      <c r="P507" s="62" t="str">
        <f>IF(A507="","",A507&amp;"|"&amp;O507)</f>
        <v/>
      </c>
    </row>
    <row r="508">
      <c r="A508" s="60" t="n"/>
      <c r="B508" s="63" t="n"/>
      <c r="C508" s="63" t="n"/>
      <c r="D508" s="67" t="n"/>
      <c r="E508" s="68" t="n"/>
      <c r="F508" s="69" t="n"/>
      <c r="G508" s="70" t="n"/>
      <c r="H508" s="62" t="str">
        <f>IF(COUNTA(A508:G508)=0,"",IF(C508&lt;&gt;"",C508,IF(B508="","",IFERROR(INDEX(pr_des,MATCH(B508,pr_code,0))&amp;"",""))))</f>
        <v/>
      </c>
      <c r="I508" s="59" t="str">
        <f>IF(B508="","",IFERROR(INDEX(pr_unit,MATCH(B508,pr_code,0))&amp;"",""))</f>
        <v/>
      </c>
      <c r="J508" s="65" t="str">
        <f>IF(COUNTA(A508:G508)=0,"",IF(E508&lt;&gt;"",E508,IF(B508="","",IFERROR(IF(INDEX(pr_price,MATCH(B508,pr_code,0))="","",INDEX(pr_price,MATCH(B508,pr_code,0))),""))))</f>
        <v/>
      </c>
      <c r="K508" s="71" t="str">
        <f>IF(COUNTA(A508:G508)=0,"",IF(G508&lt;&gt;"",G508,IF(B508="","",IFERROR(IF(INDEX(pr_rate,MATCH(B508,pr_code,0))="","",INDEX(pr_rate,MATCH(B508,pr_code,0))),""))))</f>
        <v/>
      </c>
      <c r="L508" s="65" t="str">
        <f>IF(COUNTA(A508:G508)=0,"",IF(AND(ISNUMBER(D508),ISNUMBER(J508)),ROUND(D508*J508*(1-N(F508)),2),0))</f>
        <v/>
      </c>
      <c r="M508" s="62" t="str">
        <f>IF(A508="","",IFERROR(INDEX(fa_cname,MATCH(A508,fa_num,0))&amp;"",""))</f>
        <v/>
      </c>
      <c r="N508" s="59" t="str">
        <f>IF(COUNTA(A508:G508)=0,"",IF(A508="","N° facture manquant",IF(ISNA(MATCH(A508,fa_num,0)),"Facture inconnue",IF(AND(B508&lt;&gt;"",ISNA(MATCH(B508,pr_code,0))),"Article inconnu",IF(H508="","Désignation manquante",IF(OR(NOT(ISNUMBER(D508)),N(D508)&lt;=0),"Quantité invalide",IF(J508="","Prix manquant",IF(OR(NOT(ISNUMBER(J508)),N(J508)&lt;0),"Prix invalide",IF(OR(AND(F508&lt;&gt;"",NOT(ISNUMBER(F508))),N(F508)&lt;0,N(F508)&gt;1),"Remise invalide",IF(K508="","Taux de TVA manquant",IF(NOT(ISNUMBER(K508)),"Taux de TVA invalide",IF(COUNTIF(p_rates,K508)=0,"Taux de TVA hors liste (Paramètres)",IF(N(O508)&gt;25,"Au-delà de 25 lignes : non imprimée","OK")))))))))))))</f>
        <v/>
      </c>
      <c r="O508" s="59" t="str">
        <f>IF(A508="","",COUNTIF($A$6:A508,A508))</f>
        <v/>
      </c>
      <c r="P508" s="62" t="str">
        <f>IF(A508="","",A508&amp;"|"&amp;O508)</f>
        <v/>
      </c>
    </row>
    <row r="509">
      <c r="A509" s="60" t="n"/>
      <c r="B509" s="63" t="n"/>
      <c r="C509" s="63" t="n"/>
      <c r="D509" s="67" t="n"/>
      <c r="E509" s="68" t="n"/>
      <c r="F509" s="69" t="n"/>
      <c r="G509" s="70" t="n"/>
      <c r="H509" s="62" t="str">
        <f>IF(COUNTA(A509:G509)=0,"",IF(C509&lt;&gt;"",C509,IF(B509="","",IFERROR(INDEX(pr_des,MATCH(B509,pr_code,0))&amp;"",""))))</f>
        <v/>
      </c>
      <c r="I509" s="59" t="str">
        <f>IF(B509="","",IFERROR(INDEX(pr_unit,MATCH(B509,pr_code,0))&amp;"",""))</f>
        <v/>
      </c>
      <c r="J509" s="65" t="str">
        <f>IF(COUNTA(A509:G509)=0,"",IF(E509&lt;&gt;"",E509,IF(B509="","",IFERROR(IF(INDEX(pr_price,MATCH(B509,pr_code,0))="","",INDEX(pr_price,MATCH(B509,pr_code,0))),""))))</f>
        <v/>
      </c>
      <c r="K509" s="71" t="str">
        <f>IF(COUNTA(A509:G509)=0,"",IF(G509&lt;&gt;"",G509,IF(B509="","",IFERROR(IF(INDEX(pr_rate,MATCH(B509,pr_code,0))="","",INDEX(pr_rate,MATCH(B509,pr_code,0))),""))))</f>
        <v/>
      </c>
      <c r="L509" s="65" t="str">
        <f>IF(COUNTA(A509:G509)=0,"",IF(AND(ISNUMBER(D509),ISNUMBER(J509)),ROUND(D509*J509*(1-N(F509)),2),0))</f>
        <v/>
      </c>
      <c r="M509" s="62" t="str">
        <f>IF(A509="","",IFERROR(INDEX(fa_cname,MATCH(A509,fa_num,0))&amp;"",""))</f>
        <v/>
      </c>
      <c r="N509" s="59" t="str">
        <f>IF(COUNTA(A509:G509)=0,"",IF(A509="","N° facture manquant",IF(ISNA(MATCH(A509,fa_num,0)),"Facture inconnue",IF(AND(B509&lt;&gt;"",ISNA(MATCH(B509,pr_code,0))),"Article inconnu",IF(H509="","Désignation manquante",IF(OR(NOT(ISNUMBER(D509)),N(D509)&lt;=0),"Quantité invalide",IF(J509="","Prix manquant",IF(OR(NOT(ISNUMBER(J509)),N(J509)&lt;0),"Prix invalide",IF(OR(AND(F509&lt;&gt;"",NOT(ISNUMBER(F509))),N(F509)&lt;0,N(F509)&gt;1),"Remise invalide",IF(K509="","Taux de TVA manquant",IF(NOT(ISNUMBER(K509)),"Taux de TVA invalide",IF(COUNTIF(p_rates,K509)=0,"Taux de TVA hors liste (Paramètres)",IF(N(O509)&gt;25,"Au-delà de 25 lignes : non imprimée","OK")))))))))))))</f>
        <v/>
      </c>
      <c r="O509" s="59" t="str">
        <f>IF(A509="","",COUNTIF($A$6:A509,A509))</f>
        <v/>
      </c>
      <c r="P509" s="62" t="str">
        <f>IF(A509="","",A509&amp;"|"&amp;O509)</f>
        <v/>
      </c>
    </row>
    <row r="510">
      <c r="A510" s="60" t="n"/>
      <c r="B510" s="63" t="n"/>
      <c r="C510" s="63" t="n"/>
      <c r="D510" s="67" t="n"/>
      <c r="E510" s="68" t="n"/>
      <c r="F510" s="69" t="n"/>
      <c r="G510" s="70" t="n"/>
      <c r="H510" s="62" t="str">
        <f>IF(COUNTA(A510:G510)=0,"",IF(C510&lt;&gt;"",C510,IF(B510="","",IFERROR(INDEX(pr_des,MATCH(B510,pr_code,0))&amp;"",""))))</f>
        <v/>
      </c>
      <c r="I510" s="59" t="str">
        <f>IF(B510="","",IFERROR(INDEX(pr_unit,MATCH(B510,pr_code,0))&amp;"",""))</f>
        <v/>
      </c>
      <c r="J510" s="65" t="str">
        <f>IF(COUNTA(A510:G510)=0,"",IF(E510&lt;&gt;"",E510,IF(B510="","",IFERROR(IF(INDEX(pr_price,MATCH(B510,pr_code,0))="","",INDEX(pr_price,MATCH(B510,pr_code,0))),""))))</f>
        <v/>
      </c>
      <c r="K510" s="71" t="str">
        <f>IF(COUNTA(A510:G510)=0,"",IF(G510&lt;&gt;"",G510,IF(B510="","",IFERROR(IF(INDEX(pr_rate,MATCH(B510,pr_code,0))="","",INDEX(pr_rate,MATCH(B510,pr_code,0))),""))))</f>
        <v/>
      </c>
      <c r="L510" s="65" t="str">
        <f>IF(COUNTA(A510:G510)=0,"",IF(AND(ISNUMBER(D510),ISNUMBER(J510)),ROUND(D510*J510*(1-N(F510)),2),0))</f>
        <v/>
      </c>
      <c r="M510" s="62" t="str">
        <f>IF(A510="","",IFERROR(INDEX(fa_cname,MATCH(A510,fa_num,0))&amp;"",""))</f>
        <v/>
      </c>
      <c r="N510" s="59" t="str">
        <f>IF(COUNTA(A510:G510)=0,"",IF(A510="","N° facture manquant",IF(ISNA(MATCH(A510,fa_num,0)),"Facture inconnue",IF(AND(B510&lt;&gt;"",ISNA(MATCH(B510,pr_code,0))),"Article inconnu",IF(H510="","Désignation manquante",IF(OR(NOT(ISNUMBER(D510)),N(D510)&lt;=0),"Quantité invalide",IF(J510="","Prix manquant",IF(OR(NOT(ISNUMBER(J510)),N(J510)&lt;0),"Prix invalide",IF(OR(AND(F510&lt;&gt;"",NOT(ISNUMBER(F510))),N(F510)&lt;0,N(F510)&gt;1),"Remise invalide",IF(K510="","Taux de TVA manquant",IF(NOT(ISNUMBER(K510)),"Taux de TVA invalide",IF(COUNTIF(p_rates,K510)=0,"Taux de TVA hors liste (Paramètres)",IF(N(O510)&gt;25,"Au-delà de 25 lignes : non imprimée","OK")))))))))))))</f>
        <v/>
      </c>
      <c r="O510" s="59" t="str">
        <f>IF(A510="","",COUNTIF($A$6:A510,A510))</f>
        <v/>
      </c>
      <c r="P510" s="62" t="str">
        <f>IF(A510="","",A510&amp;"|"&amp;O510)</f>
        <v/>
      </c>
    </row>
    <row r="511">
      <c r="A511" s="60" t="n"/>
      <c r="B511" s="63" t="n"/>
      <c r="C511" s="63" t="n"/>
      <c r="D511" s="67" t="n"/>
      <c r="E511" s="68" t="n"/>
      <c r="F511" s="69" t="n"/>
      <c r="G511" s="70" t="n"/>
      <c r="H511" s="62" t="str">
        <f>IF(COUNTA(A511:G511)=0,"",IF(C511&lt;&gt;"",C511,IF(B511="","",IFERROR(INDEX(pr_des,MATCH(B511,pr_code,0))&amp;"",""))))</f>
        <v/>
      </c>
      <c r="I511" s="59" t="str">
        <f>IF(B511="","",IFERROR(INDEX(pr_unit,MATCH(B511,pr_code,0))&amp;"",""))</f>
        <v/>
      </c>
      <c r="J511" s="65" t="str">
        <f>IF(COUNTA(A511:G511)=0,"",IF(E511&lt;&gt;"",E511,IF(B511="","",IFERROR(IF(INDEX(pr_price,MATCH(B511,pr_code,0))="","",INDEX(pr_price,MATCH(B511,pr_code,0))),""))))</f>
        <v/>
      </c>
      <c r="K511" s="71" t="str">
        <f>IF(COUNTA(A511:G511)=0,"",IF(G511&lt;&gt;"",G511,IF(B511="","",IFERROR(IF(INDEX(pr_rate,MATCH(B511,pr_code,0))="","",INDEX(pr_rate,MATCH(B511,pr_code,0))),""))))</f>
        <v/>
      </c>
      <c r="L511" s="65" t="str">
        <f>IF(COUNTA(A511:G511)=0,"",IF(AND(ISNUMBER(D511),ISNUMBER(J511)),ROUND(D511*J511*(1-N(F511)),2),0))</f>
        <v/>
      </c>
      <c r="M511" s="62" t="str">
        <f>IF(A511="","",IFERROR(INDEX(fa_cname,MATCH(A511,fa_num,0))&amp;"",""))</f>
        <v/>
      </c>
      <c r="N511" s="59" t="str">
        <f>IF(COUNTA(A511:G511)=0,"",IF(A511="","N° facture manquant",IF(ISNA(MATCH(A511,fa_num,0)),"Facture inconnue",IF(AND(B511&lt;&gt;"",ISNA(MATCH(B511,pr_code,0))),"Article inconnu",IF(H511="","Désignation manquante",IF(OR(NOT(ISNUMBER(D511)),N(D511)&lt;=0),"Quantité invalide",IF(J511="","Prix manquant",IF(OR(NOT(ISNUMBER(J511)),N(J511)&lt;0),"Prix invalide",IF(OR(AND(F511&lt;&gt;"",NOT(ISNUMBER(F511))),N(F511)&lt;0,N(F511)&gt;1),"Remise invalide",IF(K511="","Taux de TVA manquant",IF(NOT(ISNUMBER(K511)),"Taux de TVA invalide",IF(COUNTIF(p_rates,K511)=0,"Taux de TVA hors liste (Paramètres)",IF(N(O511)&gt;25,"Au-delà de 25 lignes : non imprimée","OK")))))))))))))</f>
        <v/>
      </c>
      <c r="O511" s="59" t="str">
        <f>IF(A511="","",COUNTIF($A$6:A511,A511))</f>
        <v/>
      </c>
      <c r="P511" s="62" t="str">
        <f>IF(A511="","",A511&amp;"|"&amp;O511)</f>
        <v/>
      </c>
    </row>
    <row r="512">
      <c r="A512" s="60" t="n"/>
      <c r="B512" s="63" t="n"/>
      <c r="C512" s="63" t="n"/>
      <c r="D512" s="67" t="n"/>
      <c r="E512" s="68" t="n"/>
      <c r="F512" s="69" t="n"/>
      <c r="G512" s="70" t="n"/>
      <c r="H512" s="62" t="str">
        <f>IF(COUNTA(A512:G512)=0,"",IF(C512&lt;&gt;"",C512,IF(B512="","",IFERROR(INDEX(pr_des,MATCH(B512,pr_code,0))&amp;"",""))))</f>
        <v/>
      </c>
      <c r="I512" s="59" t="str">
        <f>IF(B512="","",IFERROR(INDEX(pr_unit,MATCH(B512,pr_code,0))&amp;"",""))</f>
        <v/>
      </c>
      <c r="J512" s="65" t="str">
        <f>IF(COUNTA(A512:G512)=0,"",IF(E512&lt;&gt;"",E512,IF(B512="","",IFERROR(IF(INDEX(pr_price,MATCH(B512,pr_code,0))="","",INDEX(pr_price,MATCH(B512,pr_code,0))),""))))</f>
        <v/>
      </c>
      <c r="K512" s="71" t="str">
        <f>IF(COUNTA(A512:G512)=0,"",IF(G512&lt;&gt;"",G512,IF(B512="","",IFERROR(IF(INDEX(pr_rate,MATCH(B512,pr_code,0))="","",INDEX(pr_rate,MATCH(B512,pr_code,0))),""))))</f>
        <v/>
      </c>
      <c r="L512" s="65" t="str">
        <f>IF(COUNTA(A512:G512)=0,"",IF(AND(ISNUMBER(D512),ISNUMBER(J512)),ROUND(D512*J512*(1-N(F512)),2),0))</f>
        <v/>
      </c>
      <c r="M512" s="62" t="str">
        <f>IF(A512="","",IFERROR(INDEX(fa_cname,MATCH(A512,fa_num,0))&amp;"",""))</f>
        <v/>
      </c>
      <c r="N512" s="59" t="str">
        <f>IF(COUNTA(A512:G512)=0,"",IF(A512="","N° facture manquant",IF(ISNA(MATCH(A512,fa_num,0)),"Facture inconnue",IF(AND(B512&lt;&gt;"",ISNA(MATCH(B512,pr_code,0))),"Article inconnu",IF(H512="","Désignation manquante",IF(OR(NOT(ISNUMBER(D512)),N(D512)&lt;=0),"Quantité invalide",IF(J512="","Prix manquant",IF(OR(NOT(ISNUMBER(J512)),N(J512)&lt;0),"Prix invalide",IF(OR(AND(F512&lt;&gt;"",NOT(ISNUMBER(F512))),N(F512)&lt;0,N(F512)&gt;1),"Remise invalide",IF(K512="","Taux de TVA manquant",IF(NOT(ISNUMBER(K512)),"Taux de TVA invalide",IF(COUNTIF(p_rates,K512)=0,"Taux de TVA hors liste (Paramètres)",IF(N(O512)&gt;25,"Au-delà de 25 lignes : non imprimée","OK")))))))))))))</f>
        <v/>
      </c>
      <c r="O512" s="59" t="str">
        <f>IF(A512="","",COUNTIF($A$6:A512,A512))</f>
        <v/>
      </c>
      <c r="P512" s="62" t="str">
        <f>IF(A512="","",A512&amp;"|"&amp;O512)</f>
        <v/>
      </c>
    </row>
    <row r="513">
      <c r="A513" s="60" t="n"/>
      <c r="B513" s="63" t="n"/>
      <c r="C513" s="63" t="n"/>
      <c r="D513" s="67" t="n"/>
      <c r="E513" s="68" t="n"/>
      <c r="F513" s="69" t="n"/>
      <c r="G513" s="70" t="n"/>
      <c r="H513" s="62" t="str">
        <f>IF(COUNTA(A513:G513)=0,"",IF(C513&lt;&gt;"",C513,IF(B513="","",IFERROR(INDEX(pr_des,MATCH(B513,pr_code,0))&amp;"",""))))</f>
        <v/>
      </c>
      <c r="I513" s="59" t="str">
        <f>IF(B513="","",IFERROR(INDEX(pr_unit,MATCH(B513,pr_code,0))&amp;"",""))</f>
        <v/>
      </c>
      <c r="J513" s="65" t="str">
        <f>IF(COUNTA(A513:G513)=0,"",IF(E513&lt;&gt;"",E513,IF(B513="","",IFERROR(IF(INDEX(pr_price,MATCH(B513,pr_code,0))="","",INDEX(pr_price,MATCH(B513,pr_code,0))),""))))</f>
        <v/>
      </c>
      <c r="K513" s="71" t="str">
        <f>IF(COUNTA(A513:G513)=0,"",IF(G513&lt;&gt;"",G513,IF(B513="","",IFERROR(IF(INDEX(pr_rate,MATCH(B513,pr_code,0))="","",INDEX(pr_rate,MATCH(B513,pr_code,0))),""))))</f>
        <v/>
      </c>
      <c r="L513" s="65" t="str">
        <f>IF(COUNTA(A513:G513)=0,"",IF(AND(ISNUMBER(D513),ISNUMBER(J513)),ROUND(D513*J513*(1-N(F513)),2),0))</f>
        <v/>
      </c>
      <c r="M513" s="62" t="str">
        <f>IF(A513="","",IFERROR(INDEX(fa_cname,MATCH(A513,fa_num,0))&amp;"",""))</f>
        <v/>
      </c>
      <c r="N513" s="59" t="str">
        <f>IF(COUNTA(A513:G513)=0,"",IF(A513="","N° facture manquant",IF(ISNA(MATCH(A513,fa_num,0)),"Facture inconnue",IF(AND(B513&lt;&gt;"",ISNA(MATCH(B513,pr_code,0))),"Article inconnu",IF(H513="","Désignation manquante",IF(OR(NOT(ISNUMBER(D513)),N(D513)&lt;=0),"Quantité invalide",IF(J513="","Prix manquant",IF(OR(NOT(ISNUMBER(J513)),N(J513)&lt;0),"Prix invalide",IF(OR(AND(F513&lt;&gt;"",NOT(ISNUMBER(F513))),N(F513)&lt;0,N(F513)&gt;1),"Remise invalide",IF(K513="","Taux de TVA manquant",IF(NOT(ISNUMBER(K513)),"Taux de TVA invalide",IF(COUNTIF(p_rates,K513)=0,"Taux de TVA hors liste (Paramètres)",IF(N(O513)&gt;25,"Au-delà de 25 lignes : non imprimée","OK")))))))))))))</f>
        <v/>
      </c>
      <c r="O513" s="59" t="str">
        <f>IF(A513="","",COUNTIF($A$6:A513,A513))</f>
        <v/>
      </c>
      <c r="P513" s="62" t="str">
        <f>IF(A513="","",A513&amp;"|"&amp;O513)</f>
        <v/>
      </c>
    </row>
    <row r="514">
      <c r="A514" s="60" t="n"/>
      <c r="B514" s="63" t="n"/>
      <c r="C514" s="63" t="n"/>
      <c r="D514" s="67" t="n"/>
      <c r="E514" s="68" t="n"/>
      <c r="F514" s="69" t="n"/>
      <c r="G514" s="70" t="n"/>
      <c r="H514" s="62" t="str">
        <f>IF(COUNTA(A514:G514)=0,"",IF(C514&lt;&gt;"",C514,IF(B514="","",IFERROR(INDEX(pr_des,MATCH(B514,pr_code,0))&amp;"",""))))</f>
        <v/>
      </c>
      <c r="I514" s="59" t="str">
        <f>IF(B514="","",IFERROR(INDEX(pr_unit,MATCH(B514,pr_code,0))&amp;"",""))</f>
        <v/>
      </c>
      <c r="J514" s="65" t="str">
        <f>IF(COUNTA(A514:G514)=0,"",IF(E514&lt;&gt;"",E514,IF(B514="","",IFERROR(IF(INDEX(pr_price,MATCH(B514,pr_code,0))="","",INDEX(pr_price,MATCH(B514,pr_code,0))),""))))</f>
        <v/>
      </c>
      <c r="K514" s="71" t="str">
        <f>IF(COUNTA(A514:G514)=0,"",IF(G514&lt;&gt;"",G514,IF(B514="","",IFERROR(IF(INDEX(pr_rate,MATCH(B514,pr_code,0))="","",INDEX(pr_rate,MATCH(B514,pr_code,0))),""))))</f>
        <v/>
      </c>
      <c r="L514" s="65" t="str">
        <f>IF(COUNTA(A514:G514)=0,"",IF(AND(ISNUMBER(D514),ISNUMBER(J514)),ROUND(D514*J514*(1-N(F514)),2),0))</f>
        <v/>
      </c>
      <c r="M514" s="62" t="str">
        <f>IF(A514="","",IFERROR(INDEX(fa_cname,MATCH(A514,fa_num,0))&amp;"",""))</f>
        <v/>
      </c>
      <c r="N514" s="59" t="str">
        <f>IF(COUNTA(A514:G514)=0,"",IF(A514="","N° facture manquant",IF(ISNA(MATCH(A514,fa_num,0)),"Facture inconnue",IF(AND(B514&lt;&gt;"",ISNA(MATCH(B514,pr_code,0))),"Article inconnu",IF(H514="","Désignation manquante",IF(OR(NOT(ISNUMBER(D514)),N(D514)&lt;=0),"Quantité invalide",IF(J514="","Prix manquant",IF(OR(NOT(ISNUMBER(J514)),N(J514)&lt;0),"Prix invalide",IF(OR(AND(F514&lt;&gt;"",NOT(ISNUMBER(F514))),N(F514)&lt;0,N(F514)&gt;1),"Remise invalide",IF(K514="","Taux de TVA manquant",IF(NOT(ISNUMBER(K514)),"Taux de TVA invalide",IF(COUNTIF(p_rates,K514)=0,"Taux de TVA hors liste (Paramètres)",IF(N(O514)&gt;25,"Au-delà de 25 lignes : non imprimée","OK")))))))))))))</f>
        <v/>
      </c>
      <c r="O514" s="59" t="str">
        <f>IF(A514="","",COUNTIF($A$6:A514,A514))</f>
        <v/>
      </c>
      <c r="P514" s="62" t="str">
        <f>IF(A514="","",A514&amp;"|"&amp;O514)</f>
        <v/>
      </c>
    </row>
    <row r="515">
      <c r="A515" s="60" t="n"/>
      <c r="B515" s="63" t="n"/>
      <c r="C515" s="63" t="n"/>
      <c r="D515" s="67" t="n"/>
      <c r="E515" s="68" t="n"/>
      <c r="F515" s="69" t="n"/>
      <c r="G515" s="70" t="n"/>
      <c r="H515" s="62" t="str">
        <f>IF(COUNTA(A515:G515)=0,"",IF(C515&lt;&gt;"",C515,IF(B515="","",IFERROR(INDEX(pr_des,MATCH(B515,pr_code,0))&amp;"",""))))</f>
        <v/>
      </c>
      <c r="I515" s="59" t="str">
        <f>IF(B515="","",IFERROR(INDEX(pr_unit,MATCH(B515,pr_code,0))&amp;"",""))</f>
        <v/>
      </c>
      <c r="J515" s="65" t="str">
        <f>IF(COUNTA(A515:G515)=0,"",IF(E515&lt;&gt;"",E515,IF(B515="","",IFERROR(IF(INDEX(pr_price,MATCH(B515,pr_code,0))="","",INDEX(pr_price,MATCH(B515,pr_code,0))),""))))</f>
        <v/>
      </c>
      <c r="K515" s="71" t="str">
        <f>IF(COUNTA(A515:G515)=0,"",IF(G515&lt;&gt;"",G515,IF(B515="","",IFERROR(IF(INDEX(pr_rate,MATCH(B515,pr_code,0))="","",INDEX(pr_rate,MATCH(B515,pr_code,0))),""))))</f>
        <v/>
      </c>
      <c r="L515" s="65" t="str">
        <f>IF(COUNTA(A515:G515)=0,"",IF(AND(ISNUMBER(D515),ISNUMBER(J515)),ROUND(D515*J515*(1-N(F515)),2),0))</f>
        <v/>
      </c>
      <c r="M515" s="62" t="str">
        <f>IF(A515="","",IFERROR(INDEX(fa_cname,MATCH(A515,fa_num,0))&amp;"",""))</f>
        <v/>
      </c>
      <c r="N515" s="59" t="str">
        <f>IF(COUNTA(A515:G515)=0,"",IF(A515="","N° facture manquant",IF(ISNA(MATCH(A515,fa_num,0)),"Facture inconnue",IF(AND(B515&lt;&gt;"",ISNA(MATCH(B515,pr_code,0))),"Article inconnu",IF(H515="","Désignation manquante",IF(OR(NOT(ISNUMBER(D515)),N(D515)&lt;=0),"Quantité invalide",IF(J515="","Prix manquant",IF(OR(NOT(ISNUMBER(J515)),N(J515)&lt;0),"Prix invalide",IF(OR(AND(F515&lt;&gt;"",NOT(ISNUMBER(F515))),N(F515)&lt;0,N(F515)&gt;1),"Remise invalide",IF(K515="","Taux de TVA manquant",IF(NOT(ISNUMBER(K515)),"Taux de TVA invalide",IF(COUNTIF(p_rates,K515)=0,"Taux de TVA hors liste (Paramètres)",IF(N(O515)&gt;25,"Au-delà de 25 lignes : non imprimée","OK")))))))))))))</f>
        <v/>
      </c>
      <c r="O515" s="59" t="str">
        <f>IF(A515="","",COUNTIF($A$6:A515,A515))</f>
        <v/>
      </c>
      <c r="P515" s="62" t="str">
        <f>IF(A515="","",A515&amp;"|"&amp;O515)</f>
        <v/>
      </c>
    </row>
    <row r="516">
      <c r="A516" s="60" t="n"/>
      <c r="B516" s="63" t="n"/>
      <c r="C516" s="63" t="n"/>
      <c r="D516" s="67" t="n"/>
      <c r="E516" s="68" t="n"/>
      <c r="F516" s="69" t="n"/>
      <c r="G516" s="70" t="n"/>
      <c r="H516" s="62" t="str">
        <f>IF(COUNTA(A516:G516)=0,"",IF(C516&lt;&gt;"",C516,IF(B516="","",IFERROR(INDEX(pr_des,MATCH(B516,pr_code,0))&amp;"",""))))</f>
        <v/>
      </c>
      <c r="I516" s="59" t="str">
        <f>IF(B516="","",IFERROR(INDEX(pr_unit,MATCH(B516,pr_code,0))&amp;"",""))</f>
        <v/>
      </c>
      <c r="J516" s="65" t="str">
        <f>IF(COUNTA(A516:G516)=0,"",IF(E516&lt;&gt;"",E516,IF(B516="","",IFERROR(IF(INDEX(pr_price,MATCH(B516,pr_code,0))="","",INDEX(pr_price,MATCH(B516,pr_code,0))),""))))</f>
        <v/>
      </c>
      <c r="K516" s="71" t="str">
        <f>IF(COUNTA(A516:G516)=0,"",IF(G516&lt;&gt;"",G516,IF(B516="","",IFERROR(IF(INDEX(pr_rate,MATCH(B516,pr_code,0))="","",INDEX(pr_rate,MATCH(B516,pr_code,0))),""))))</f>
        <v/>
      </c>
      <c r="L516" s="65" t="str">
        <f>IF(COUNTA(A516:G516)=0,"",IF(AND(ISNUMBER(D516),ISNUMBER(J516)),ROUND(D516*J516*(1-N(F516)),2),0))</f>
        <v/>
      </c>
      <c r="M516" s="62" t="str">
        <f>IF(A516="","",IFERROR(INDEX(fa_cname,MATCH(A516,fa_num,0))&amp;"",""))</f>
        <v/>
      </c>
      <c r="N516" s="59" t="str">
        <f>IF(COUNTA(A516:G516)=0,"",IF(A516="","N° facture manquant",IF(ISNA(MATCH(A516,fa_num,0)),"Facture inconnue",IF(AND(B516&lt;&gt;"",ISNA(MATCH(B516,pr_code,0))),"Article inconnu",IF(H516="","Désignation manquante",IF(OR(NOT(ISNUMBER(D516)),N(D516)&lt;=0),"Quantité invalide",IF(J516="","Prix manquant",IF(OR(NOT(ISNUMBER(J516)),N(J516)&lt;0),"Prix invalide",IF(OR(AND(F516&lt;&gt;"",NOT(ISNUMBER(F516))),N(F516)&lt;0,N(F516)&gt;1),"Remise invalide",IF(K516="","Taux de TVA manquant",IF(NOT(ISNUMBER(K516)),"Taux de TVA invalide",IF(COUNTIF(p_rates,K516)=0,"Taux de TVA hors liste (Paramètres)",IF(N(O516)&gt;25,"Au-delà de 25 lignes : non imprimée","OK")))))))))))))</f>
        <v/>
      </c>
      <c r="O516" s="59" t="str">
        <f>IF(A516="","",COUNTIF($A$6:A516,A516))</f>
        <v/>
      </c>
      <c r="P516" s="62" t="str">
        <f>IF(A516="","",A516&amp;"|"&amp;O516)</f>
        <v/>
      </c>
    </row>
    <row r="517">
      <c r="A517" s="60" t="n"/>
      <c r="B517" s="63" t="n"/>
      <c r="C517" s="63" t="n"/>
      <c r="D517" s="67" t="n"/>
      <c r="E517" s="68" t="n"/>
      <c r="F517" s="69" t="n"/>
      <c r="G517" s="70" t="n"/>
      <c r="H517" s="62" t="str">
        <f>IF(COUNTA(A517:G517)=0,"",IF(C517&lt;&gt;"",C517,IF(B517="","",IFERROR(INDEX(pr_des,MATCH(B517,pr_code,0))&amp;"",""))))</f>
        <v/>
      </c>
      <c r="I517" s="59" t="str">
        <f>IF(B517="","",IFERROR(INDEX(pr_unit,MATCH(B517,pr_code,0))&amp;"",""))</f>
        <v/>
      </c>
      <c r="J517" s="65" t="str">
        <f>IF(COUNTA(A517:G517)=0,"",IF(E517&lt;&gt;"",E517,IF(B517="","",IFERROR(IF(INDEX(pr_price,MATCH(B517,pr_code,0))="","",INDEX(pr_price,MATCH(B517,pr_code,0))),""))))</f>
        <v/>
      </c>
      <c r="K517" s="71" t="str">
        <f>IF(COUNTA(A517:G517)=0,"",IF(G517&lt;&gt;"",G517,IF(B517="","",IFERROR(IF(INDEX(pr_rate,MATCH(B517,pr_code,0))="","",INDEX(pr_rate,MATCH(B517,pr_code,0))),""))))</f>
        <v/>
      </c>
      <c r="L517" s="65" t="str">
        <f>IF(COUNTA(A517:G517)=0,"",IF(AND(ISNUMBER(D517),ISNUMBER(J517)),ROUND(D517*J517*(1-N(F517)),2),0))</f>
        <v/>
      </c>
      <c r="M517" s="62" t="str">
        <f>IF(A517="","",IFERROR(INDEX(fa_cname,MATCH(A517,fa_num,0))&amp;"",""))</f>
        <v/>
      </c>
      <c r="N517" s="59" t="str">
        <f>IF(COUNTA(A517:G517)=0,"",IF(A517="","N° facture manquant",IF(ISNA(MATCH(A517,fa_num,0)),"Facture inconnue",IF(AND(B517&lt;&gt;"",ISNA(MATCH(B517,pr_code,0))),"Article inconnu",IF(H517="","Désignation manquante",IF(OR(NOT(ISNUMBER(D517)),N(D517)&lt;=0),"Quantité invalide",IF(J517="","Prix manquant",IF(OR(NOT(ISNUMBER(J517)),N(J517)&lt;0),"Prix invalide",IF(OR(AND(F517&lt;&gt;"",NOT(ISNUMBER(F517))),N(F517)&lt;0,N(F517)&gt;1),"Remise invalide",IF(K517="","Taux de TVA manquant",IF(NOT(ISNUMBER(K517)),"Taux de TVA invalide",IF(COUNTIF(p_rates,K517)=0,"Taux de TVA hors liste (Paramètres)",IF(N(O517)&gt;25,"Au-delà de 25 lignes : non imprimée","OK")))))))))))))</f>
        <v/>
      </c>
      <c r="O517" s="59" t="str">
        <f>IF(A517="","",COUNTIF($A$6:A517,A517))</f>
        <v/>
      </c>
      <c r="P517" s="62" t="str">
        <f>IF(A517="","",A517&amp;"|"&amp;O517)</f>
        <v/>
      </c>
    </row>
    <row r="518">
      <c r="A518" s="60" t="n"/>
      <c r="B518" s="63" t="n"/>
      <c r="C518" s="63" t="n"/>
      <c r="D518" s="67" t="n"/>
      <c r="E518" s="68" t="n"/>
      <c r="F518" s="69" t="n"/>
      <c r="G518" s="70" t="n"/>
      <c r="H518" s="62" t="str">
        <f>IF(COUNTA(A518:G518)=0,"",IF(C518&lt;&gt;"",C518,IF(B518="","",IFERROR(INDEX(pr_des,MATCH(B518,pr_code,0))&amp;"",""))))</f>
        <v/>
      </c>
      <c r="I518" s="59" t="str">
        <f>IF(B518="","",IFERROR(INDEX(pr_unit,MATCH(B518,pr_code,0))&amp;"",""))</f>
        <v/>
      </c>
      <c r="J518" s="65" t="str">
        <f>IF(COUNTA(A518:G518)=0,"",IF(E518&lt;&gt;"",E518,IF(B518="","",IFERROR(IF(INDEX(pr_price,MATCH(B518,pr_code,0))="","",INDEX(pr_price,MATCH(B518,pr_code,0))),""))))</f>
        <v/>
      </c>
      <c r="K518" s="71" t="str">
        <f>IF(COUNTA(A518:G518)=0,"",IF(G518&lt;&gt;"",G518,IF(B518="","",IFERROR(IF(INDEX(pr_rate,MATCH(B518,pr_code,0))="","",INDEX(pr_rate,MATCH(B518,pr_code,0))),""))))</f>
        <v/>
      </c>
      <c r="L518" s="65" t="str">
        <f>IF(COUNTA(A518:G518)=0,"",IF(AND(ISNUMBER(D518),ISNUMBER(J518)),ROUND(D518*J518*(1-N(F518)),2),0))</f>
        <v/>
      </c>
      <c r="M518" s="62" t="str">
        <f>IF(A518="","",IFERROR(INDEX(fa_cname,MATCH(A518,fa_num,0))&amp;"",""))</f>
        <v/>
      </c>
      <c r="N518" s="59" t="str">
        <f>IF(COUNTA(A518:G518)=0,"",IF(A518="","N° facture manquant",IF(ISNA(MATCH(A518,fa_num,0)),"Facture inconnue",IF(AND(B518&lt;&gt;"",ISNA(MATCH(B518,pr_code,0))),"Article inconnu",IF(H518="","Désignation manquante",IF(OR(NOT(ISNUMBER(D518)),N(D518)&lt;=0),"Quantité invalide",IF(J518="","Prix manquant",IF(OR(NOT(ISNUMBER(J518)),N(J518)&lt;0),"Prix invalide",IF(OR(AND(F518&lt;&gt;"",NOT(ISNUMBER(F518))),N(F518)&lt;0,N(F518)&gt;1),"Remise invalide",IF(K518="","Taux de TVA manquant",IF(NOT(ISNUMBER(K518)),"Taux de TVA invalide",IF(COUNTIF(p_rates,K518)=0,"Taux de TVA hors liste (Paramètres)",IF(N(O518)&gt;25,"Au-delà de 25 lignes : non imprimée","OK")))))))))))))</f>
        <v/>
      </c>
      <c r="O518" s="59" t="str">
        <f>IF(A518="","",COUNTIF($A$6:A518,A518))</f>
        <v/>
      </c>
      <c r="P518" s="62" t="str">
        <f>IF(A518="","",A518&amp;"|"&amp;O518)</f>
        <v/>
      </c>
    </row>
    <row r="519">
      <c r="A519" s="60" t="n"/>
      <c r="B519" s="63" t="n"/>
      <c r="C519" s="63" t="n"/>
      <c r="D519" s="67" t="n"/>
      <c r="E519" s="68" t="n"/>
      <c r="F519" s="69" t="n"/>
      <c r="G519" s="70" t="n"/>
      <c r="H519" s="62" t="str">
        <f>IF(COUNTA(A519:G519)=0,"",IF(C519&lt;&gt;"",C519,IF(B519="","",IFERROR(INDEX(pr_des,MATCH(B519,pr_code,0))&amp;"",""))))</f>
        <v/>
      </c>
      <c r="I519" s="59" t="str">
        <f>IF(B519="","",IFERROR(INDEX(pr_unit,MATCH(B519,pr_code,0))&amp;"",""))</f>
        <v/>
      </c>
      <c r="J519" s="65" t="str">
        <f>IF(COUNTA(A519:G519)=0,"",IF(E519&lt;&gt;"",E519,IF(B519="","",IFERROR(IF(INDEX(pr_price,MATCH(B519,pr_code,0))="","",INDEX(pr_price,MATCH(B519,pr_code,0))),""))))</f>
        <v/>
      </c>
      <c r="K519" s="71" t="str">
        <f>IF(COUNTA(A519:G519)=0,"",IF(G519&lt;&gt;"",G519,IF(B519="","",IFERROR(IF(INDEX(pr_rate,MATCH(B519,pr_code,0))="","",INDEX(pr_rate,MATCH(B519,pr_code,0))),""))))</f>
        <v/>
      </c>
      <c r="L519" s="65" t="str">
        <f>IF(COUNTA(A519:G519)=0,"",IF(AND(ISNUMBER(D519),ISNUMBER(J519)),ROUND(D519*J519*(1-N(F519)),2),0))</f>
        <v/>
      </c>
      <c r="M519" s="62" t="str">
        <f>IF(A519="","",IFERROR(INDEX(fa_cname,MATCH(A519,fa_num,0))&amp;"",""))</f>
        <v/>
      </c>
      <c r="N519" s="59" t="str">
        <f>IF(COUNTA(A519:G519)=0,"",IF(A519="","N° facture manquant",IF(ISNA(MATCH(A519,fa_num,0)),"Facture inconnue",IF(AND(B519&lt;&gt;"",ISNA(MATCH(B519,pr_code,0))),"Article inconnu",IF(H519="","Désignation manquante",IF(OR(NOT(ISNUMBER(D519)),N(D519)&lt;=0),"Quantité invalide",IF(J519="","Prix manquant",IF(OR(NOT(ISNUMBER(J519)),N(J519)&lt;0),"Prix invalide",IF(OR(AND(F519&lt;&gt;"",NOT(ISNUMBER(F519))),N(F519)&lt;0,N(F519)&gt;1),"Remise invalide",IF(K519="","Taux de TVA manquant",IF(NOT(ISNUMBER(K519)),"Taux de TVA invalide",IF(COUNTIF(p_rates,K519)=0,"Taux de TVA hors liste (Paramètres)",IF(N(O519)&gt;25,"Au-delà de 25 lignes : non imprimée","OK")))))))))))))</f>
        <v/>
      </c>
      <c r="O519" s="59" t="str">
        <f>IF(A519="","",COUNTIF($A$6:A519,A519))</f>
        <v/>
      </c>
      <c r="P519" s="62" t="str">
        <f>IF(A519="","",A519&amp;"|"&amp;O519)</f>
        <v/>
      </c>
    </row>
    <row r="520">
      <c r="A520" s="60" t="n"/>
      <c r="B520" s="63" t="n"/>
      <c r="C520" s="63" t="n"/>
      <c r="D520" s="67" t="n"/>
      <c r="E520" s="68" t="n"/>
      <c r="F520" s="69" t="n"/>
      <c r="G520" s="70" t="n"/>
      <c r="H520" s="62" t="str">
        <f>IF(COUNTA(A520:G520)=0,"",IF(C520&lt;&gt;"",C520,IF(B520="","",IFERROR(INDEX(pr_des,MATCH(B520,pr_code,0))&amp;"",""))))</f>
        <v/>
      </c>
      <c r="I520" s="59" t="str">
        <f>IF(B520="","",IFERROR(INDEX(pr_unit,MATCH(B520,pr_code,0))&amp;"",""))</f>
        <v/>
      </c>
      <c r="J520" s="65" t="str">
        <f>IF(COUNTA(A520:G520)=0,"",IF(E520&lt;&gt;"",E520,IF(B520="","",IFERROR(IF(INDEX(pr_price,MATCH(B520,pr_code,0))="","",INDEX(pr_price,MATCH(B520,pr_code,0))),""))))</f>
        <v/>
      </c>
      <c r="K520" s="71" t="str">
        <f>IF(COUNTA(A520:G520)=0,"",IF(G520&lt;&gt;"",G520,IF(B520="","",IFERROR(IF(INDEX(pr_rate,MATCH(B520,pr_code,0))="","",INDEX(pr_rate,MATCH(B520,pr_code,0))),""))))</f>
        <v/>
      </c>
      <c r="L520" s="65" t="str">
        <f>IF(COUNTA(A520:G520)=0,"",IF(AND(ISNUMBER(D520),ISNUMBER(J520)),ROUND(D520*J520*(1-N(F520)),2),0))</f>
        <v/>
      </c>
      <c r="M520" s="62" t="str">
        <f>IF(A520="","",IFERROR(INDEX(fa_cname,MATCH(A520,fa_num,0))&amp;"",""))</f>
        <v/>
      </c>
      <c r="N520" s="59" t="str">
        <f>IF(COUNTA(A520:G520)=0,"",IF(A520="","N° facture manquant",IF(ISNA(MATCH(A520,fa_num,0)),"Facture inconnue",IF(AND(B520&lt;&gt;"",ISNA(MATCH(B520,pr_code,0))),"Article inconnu",IF(H520="","Désignation manquante",IF(OR(NOT(ISNUMBER(D520)),N(D520)&lt;=0),"Quantité invalide",IF(J520="","Prix manquant",IF(OR(NOT(ISNUMBER(J520)),N(J520)&lt;0),"Prix invalide",IF(OR(AND(F520&lt;&gt;"",NOT(ISNUMBER(F520))),N(F520)&lt;0,N(F520)&gt;1),"Remise invalide",IF(K520="","Taux de TVA manquant",IF(NOT(ISNUMBER(K520)),"Taux de TVA invalide",IF(COUNTIF(p_rates,K520)=0,"Taux de TVA hors liste (Paramètres)",IF(N(O520)&gt;25,"Au-delà de 25 lignes : non imprimée","OK")))))))))))))</f>
        <v/>
      </c>
      <c r="O520" s="59" t="str">
        <f>IF(A520="","",COUNTIF($A$6:A520,A520))</f>
        <v/>
      </c>
      <c r="P520" s="62" t="str">
        <f>IF(A520="","",A520&amp;"|"&amp;O520)</f>
        <v/>
      </c>
    </row>
    <row r="521">
      <c r="A521" s="60" t="n"/>
      <c r="B521" s="63" t="n"/>
      <c r="C521" s="63" t="n"/>
      <c r="D521" s="67" t="n"/>
      <c r="E521" s="68" t="n"/>
      <c r="F521" s="69" t="n"/>
      <c r="G521" s="70" t="n"/>
      <c r="H521" s="62" t="str">
        <f>IF(COUNTA(A521:G521)=0,"",IF(C521&lt;&gt;"",C521,IF(B521="","",IFERROR(INDEX(pr_des,MATCH(B521,pr_code,0))&amp;"",""))))</f>
        <v/>
      </c>
      <c r="I521" s="59" t="str">
        <f>IF(B521="","",IFERROR(INDEX(pr_unit,MATCH(B521,pr_code,0))&amp;"",""))</f>
        <v/>
      </c>
      <c r="J521" s="65" t="str">
        <f>IF(COUNTA(A521:G521)=0,"",IF(E521&lt;&gt;"",E521,IF(B521="","",IFERROR(IF(INDEX(pr_price,MATCH(B521,pr_code,0))="","",INDEX(pr_price,MATCH(B521,pr_code,0))),""))))</f>
        <v/>
      </c>
      <c r="K521" s="71" t="str">
        <f>IF(COUNTA(A521:G521)=0,"",IF(G521&lt;&gt;"",G521,IF(B521="","",IFERROR(IF(INDEX(pr_rate,MATCH(B521,pr_code,0))="","",INDEX(pr_rate,MATCH(B521,pr_code,0))),""))))</f>
        <v/>
      </c>
      <c r="L521" s="65" t="str">
        <f>IF(COUNTA(A521:G521)=0,"",IF(AND(ISNUMBER(D521),ISNUMBER(J521)),ROUND(D521*J521*(1-N(F521)),2),0))</f>
        <v/>
      </c>
      <c r="M521" s="62" t="str">
        <f>IF(A521="","",IFERROR(INDEX(fa_cname,MATCH(A521,fa_num,0))&amp;"",""))</f>
        <v/>
      </c>
      <c r="N521" s="59" t="str">
        <f>IF(COUNTA(A521:G521)=0,"",IF(A521="","N° facture manquant",IF(ISNA(MATCH(A521,fa_num,0)),"Facture inconnue",IF(AND(B521&lt;&gt;"",ISNA(MATCH(B521,pr_code,0))),"Article inconnu",IF(H521="","Désignation manquante",IF(OR(NOT(ISNUMBER(D521)),N(D521)&lt;=0),"Quantité invalide",IF(J521="","Prix manquant",IF(OR(NOT(ISNUMBER(J521)),N(J521)&lt;0),"Prix invalide",IF(OR(AND(F521&lt;&gt;"",NOT(ISNUMBER(F521))),N(F521)&lt;0,N(F521)&gt;1),"Remise invalide",IF(K521="","Taux de TVA manquant",IF(NOT(ISNUMBER(K521)),"Taux de TVA invalide",IF(COUNTIF(p_rates,K521)=0,"Taux de TVA hors liste (Paramètres)",IF(N(O521)&gt;25,"Au-delà de 25 lignes : non imprimée","OK")))))))))))))</f>
        <v/>
      </c>
      <c r="O521" s="59" t="str">
        <f>IF(A521="","",COUNTIF($A$6:A521,A521))</f>
        <v/>
      </c>
      <c r="P521" s="62" t="str">
        <f>IF(A521="","",A521&amp;"|"&amp;O521)</f>
        <v/>
      </c>
    </row>
    <row r="522">
      <c r="A522" s="60" t="n"/>
      <c r="B522" s="63" t="n"/>
      <c r="C522" s="63" t="n"/>
      <c r="D522" s="67" t="n"/>
      <c r="E522" s="68" t="n"/>
      <c r="F522" s="69" t="n"/>
      <c r="G522" s="70" t="n"/>
      <c r="H522" s="62" t="str">
        <f>IF(COUNTA(A522:G522)=0,"",IF(C522&lt;&gt;"",C522,IF(B522="","",IFERROR(INDEX(pr_des,MATCH(B522,pr_code,0))&amp;"",""))))</f>
        <v/>
      </c>
      <c r="I522" s="59" t="str">
        <f>IF(B522="","",IFERROR(INDEX(pr_unit,MATCH(B522,pr_code,0))&amp;"",""))</f>
        <v/>
      </c>
      <c r="J522" s="65" t="str">
        <f>IF(COUNTA(A522:G522)=0,"",IF(E522&lt;&gt;"",E522,IF(B522="","",IFERROR(IF(INDEX(pr_price,MATCH(B522,pr_code,0))="","",INDEX(pr_price,MATCH(B522,pr_code,0))),""))))</f>
        <v/>
      </c>
      <c r="K522" s="71" t="str">
        <f>IF(COUNTA(A522:G522)=0,"",IF(G522&lt;&gt;"",G522,IF(B522="","",IFERROR(IF(INDEX(pr_rate,MATCH(B522,pr_code,0))="","",INDEX(pr_rate,MATCH(B522,pr_code,0))),""))))</f>
        <v/>
      </c>
      <c r="L522" s="65" t="str">
        <f>IF(COUNTA(A522:G522)=0,"",IF(AND(ISNUMBER(D522),ISNUMBER(J522)),ROUND(D522*J522*(1-N(F522)),2),0))</f>
        <v/>
      </c>
      <c r="M522" s="62" t="str">
        <f>IF(A522="","",IFERROR(INDEX(fa_cname,MATCH(A522,fa_num,0))&amp;"",""))</f>
        <v/>
      </c>
      <c r="N522" s="59" t="str">
        <f>IF(COUNTA(A522:G522)=0,"",IF(A522="","N° facture manquant",IF(ISNA(MATCH(A522,fa_num,0)),"Facture inconnue",IF(AND(B522&lt;&gt;"",ISNA(MATCH(B522,pr_code,0))),"Article inconnu",IF(H522="","Désignation manquante",IF(OR(NOT(ISNUMBER(D522)),N(D522)&lt;=0),"Quantité invalide",IF(J522="","Prix manquant",IF(OR(NOT(ISNUMBER(J522)),N(J522)&lt;0),"Prix invalide",IF(OR(AND(F522&lt;&gt;"",NOT(ISNUMBER(F522))),N(F522)&lt;0,N(F522)&gt;1),"Remise invalide",IF(K522="","Taux de TVA manquant",IF(NOT(ISNUMBER(K522)),"Taux de TVA invalide",IF(COUNTIF(p_rates,K522)=0,"Taux de TVA hors liste (Paramètres)",IF(N(O522)&gt;25,"Au-delà de 25 lignes : non imprimée","OK")))))))))))))</f>
        <v/>
      </c>
      <c r="O522" s="59" t="str">
        <f>IF(A522="","",COUNTIF($A$6:A522,A522))</f>
        <v/>
      </c>
      <c r="P522" s="62" t="str">
        <f>IF(A522="","",A522&amp;"|"&amp;O522)</f>
        <v/>
      </c>
    </row>
    <row r="523">
      <c r="A523" s="60" t="n"/>
      <c r="B523" s="63" t="n"/>
      <c r="C523" s="63" t="n"/>
      <c r="D523" s="67" t="n"/>
      <c r="E523" s="68" t="n"/>
      <c r="F523" s="69" t="n"/>
      <c r="G523" s="70" t="n"/>
      <c r="H523" s="62" t="str">
        <f>IF(COUNTA(A523:G523)=0,"",IF(C523&lt;&gt;"",C523,IF(B523="","",IFERROR(INDEX(pr_des,MATCH(B523,pr_code,0))&amp;"",""))))</f>
        <v/>
      </c>
      <c r="I523" s="59" t="str">
        <f>IF(B523="","",IFERROR(INDEX(pr_unit,MATCH(B523,pr_code,0))&amp;"",""))</f>
        <v/>
      </c>
      <c r="J523" s="65" t="str">
        <f>IF(COUNTA(A523:G523)=0,"",IF(E523&lt;&gt;"",E523,IF(B523="","",IFERROR(IF(INDEX(pr_price,MATCH(B523,pr_code,0))="","",INDEX(pr_price,MATCH(B523,pr_code,0))),""))))</f>
        <v/>
      </c>
      <c r="K523" s="71" t="str">
        <f>IF(COUNTA(A523:G523)=0,"",IF(G523&lt;&gt;"",G523,IF(B523="","",IFERROR(IF(INDEX(pr_rate,MATCH(B523,pr_code,0))="","",INDEX(pr_rate,MATCH(B523,pr_code,0))),""))))</f>
        <v/>
      </c>
      <c r="L523" s="65" t="str">
        <f>IF(COUNTA(A523:G523)=0,"",IF(AND(ISNUMBER(D523),ISNUMBER(J523)),ROUND(D523*J523*(1-N(F523)),2),0))</f>
        <v/>
      </c>
      <c r="M523" s="62" t="str">
        <f>IF(A523="","",IFERROR(INDEX(fa_cname,MATCH(A523,fa_num,0))&amp;"",""))</f>
        <v/>
      </c>
      <c r="N523" s="59" t="str">
        <f>IF(COUNTA(A523:G523)=0,"",IF(A523="","N° facture manquant",IF(ISNA(MATCH(A523,fa_num,0)),"Facture inconnue",IF(AND(B523&lt;&gt;"",ISNA(MATCH(B523,pr_code,0))),"Article inconnu",IF(H523="","Désignation manquante",IF(OR(NOT(ISNUMBER(D523)),N(D523)&lt;=0),"Quantité invalide",IF(J523="","Prix manquant",IF(OR(NOT(ISNUMBER(J523)),N(J523)&lt;0),"Prix invalide",IF(OR(AND(F523&lt;&gt;"",NOT(ISNUMBER(F523))),N(F523)&lt;0,N(F523)&gt;1),"Remise invalide",IF(K523="","Taux de TVA manquant",IF(NOT(ISNUMBER(K523)),"Taux de TVA invalide",IF(COUNTIF(p_rates,K523)=0,"Taux de TVA hors liste (Paramètres)",IF(N(O523)&gt;25,"Au-delà de 25 lignes : non imprimée","OK")))))))))))))</f>
        <v/>
      </c>
      <c r="O523" s="59" t="str">
        <f>IF(A523="","",COUNTIF($A$6:A523,A523))</f>
        <v/>
      </c>
      <c r="P523" s="62" t="str">
        <f>IF(A523="","",A523&amp;"|"&amp;O523)</f>
        <v/>
      </c>
    </row>
    <row r="524">
      <c r="A524" s="60" t="n"/>
      <c r="B524" s="63" t="n"/>
      <c r="C524" s="63" t="n"/>
      <c r="D524" s="67" t="n"/>
      <c r="E524" s="68" t="n"/>
      <c r="F524" s="69" t="n"/>
      <c r="G524" s="70" t="n"/>
      <c r="H524" s="62" t="str">
        <f>IF(COUNTA(A524:G524)=0,"",IF(C524&lt;&gt;"",C524,IF(B524="","",IFERROR(INDEX(pr_des,MATCH(B524,pr_code,0))&amp;"",""))))</f>
        <v/>
      </c>
      <c r="I524" s="59" t="str">
        <f>IF(B524="","",IFERROR(INDEX(pr_unit,MATCH(B524,pr_code,0))&amp;"",""))</f>
        <v/>
      </c>
      <c r="J524" s="65" t="str">
        <f>IF(COUNTA(A524:G524)=0,"",IF(E524&lt;&gt;"",E524,IF(B524="","",IFERROR(IF(INDEX(pr_price,MATCH(B524,pr_code,0))="","",INDEX(pr_price,MATCH(B524,pr_code,0))),""))))</f>
        <v/>
      </c>
      <c r="K524" s="71" t="str">
        <f>IF(COUNTA(A524:G524)=0,"",IF(G524&lt;&gt;"",G524,IF(B524="","",IFERROR(IF(INDEX(pr_rate,MATCH(B524,pr_code,0))="","",INDEX(pr_rate,MATCH(B524,pr_code,0))),""))))</f>
        <v/>
      </c>
      <c r="L524" s="65" t="str">
        <f>IF(COUNTA(A524:G524)=0,"",IF(AND(ISNUMBER(D524),ISNUMBER(J524)),ROUND(D524*J524*(1-N(F524)),2),0))</f>
        <v/>
      </c>
      <c r="M524" s="62" t="str">
        <f>IF(A524="","",IFERROR(INDEX(fa_cname,MATCH(A524,fa_num,0))&amp;"",""))</f>
        <v/>
      </c>
      <c r="N524" s="59" t="str">
        <f>IF(COUNTA(A524:G524)=0,"",IF(A524="","N° facture manquant",IF(ISNA(MATCH(A524,fa_num,0)),"Facture inconnue",IF(AND(B524&lt;&gt;"",ISNA(MATCH(B524,pr_code,0))),"Article inconnu",IF(H524="","Désignation manquante",IF(OR(NOT(ISNUMBER(D524)),N(D524)&lt;=0),"Quantité invalide",IF(J524="","Prix manquant",IF(OR(NOT(ISNUMBER(J524)),N(J524)&lt;0),"Prix invalide",IF(OR(AND(F524&lt;&gt;"",NOT(ISNUMBER(F524))),N(F524)&lt;0,N(F524)&gt;1),"Remise invalide",IF(K524="","Taux de TVA manquant",IF(NOT(ISNUMBER(K524)),"Taux de TVA invalide",IF(COUNTIF(p_rates,K524)=0,"Taux de TVA hors liste (Paramètres)",IF(N(O524)&gt;25,"Au-delà de 25 lignes : non imprimée","OK")))))))))))))</f>
        <v/>
      </c>
      <c r="O524" s="59" t="str">
        <f>IF(A524="","",COUNTIF($A$6:A524,A524))</f>
        <v/>
      </c>
      <c r="P524" s="62" t="str">
        <f>IF(A524="","",A524&amp;"|"&amp;O524)</f>
        <v/>
      </c>
    </row>
    <row r="525">
      <c r="A525" s="60" t="n"/>
      <c r="B525" s="63" t="n"/>
      <c r="C525" s="63" t="n"/>
      <c r="D525" s="67" t="n"/>
      <c r="E525" s="68" t="n"/>
      <c r="F525" s="69" t="n"/>
      <c r="G525" s="70" t="n"/>
      <c r="H525" s="62" t="str">
        <f>IF(COUNTA(A525:G525)=0,"",IF(C525&lt;&gt;"",C525,IF(B525="","",IFERROR(INDEX(pr_des,MATCH(B525,pr_code,0))&amp;"",""))))</f>
        <v/>
      </c>
      <c r="I525" s="59" t="str">
        <f>IF(B525="","",IFERROR(INDEX(pr_unit,MATCH(B525,pr_code,0))&amp;"",""))</f>
        <v/>
      </c>
      <c r="J525" s="65" t="str">
        <f>IF(COUNTA(A525:G525)=0,"",IF(E525&lt;&gt;"",E525,IF(B525="","",IFERROR(IF(INDEX(pr_price,MATCH(B525,pr_code,0))="","",INDEX(pr_price,MATCH(B525,pr_code,0))),""))))</f>
        <v/>
      </c>
      <c r="K525" s="71" t="str">
        <f>IF(COUNTA(A525:G525)=0,"",IF(G525&lt;&gt;"",G525,IF(B525="","",IFERROR(IF(INDEX(pr_rate,MATCH(B525,pr_code,0))="","",INDEX(pr_rate,MATCH(B525,pr_code,0))),""))))</f>
        <v/>
      </c>
      <c r="L525" s="65" t="str">
        <f>IF(COUNTA(A525:G525)=0,"",IF(AND(ISNUMBER(D525),ISNUMBER(J525)),ROUND(D525*J525*(1-N(F525)),2),0))</f>
        <v/>
      </c>
      <c r="M525" s="62" t="str">
        <f>IF(A525="","",IFERROR(INDEX(fa_cname,MATCH(A525,fa_num,0))&amp;"",""))</f>
        <v/>
      </c>
      <c r="N525" s="59" t="str">
        <f>IF(COUNTA(A525:G525)=0,"",IF(A525="","N° facture manquant",IF(ISNA(MATCH(A525,fa_num,0)),"Facture inconnue",IF(AND(B525&lt;&gt;"",ISNA(MATCH(B525,pr_code,0))),"Article inconnu",IF(H525="","Désignation manquante",IF(OR(NOT(ISNUMBER(D525)),N(D525)&lt;=0),"Quantité invalide",IF(J525="","Prix manquant",IF(OR(NOT(ISNUMBER(J525)),N(J525)&lt;0),"Prix invalide",IF(OR(AND(F525&lt;&gt;"",NOT(ISNUMBER(F525))),N(F525)&lt;0,N(F525)&gt;1),"Remise invalide",IF(K525="","Taux de TVA manquant",IF(NOT(ISNUMBER(K525)),"Taux de TVA invalide",IF(COUNTIF(p_rates,K525)=0,"Taux de TVA hors liste (Paramètres)",IF(N(O525)&gt;25,"Au-delà de 25 lignes : non imprimée","OK")))))))))))))</f>
        <v/>
      </c>
      <c r="O525" s="59" t="str">
        <f>IF(A525="","",COUNTIF($A$6:A525,A525))</f>
        <v/>
      </c>
      <c r="P525" s="62" t="str">
        <f>IF(A525="","",A525&amp;"|"&amp;O525)</f>
        <v/>
      </c>
    </row>
    <row r="526">
      <c r="A526" s="60" t="n"/>
      <c r="B526" s="63" t="n"/>
      <c r="C526" s="63" t="n"/>
      <c r="D526" s="67" t="n"/>
      <c r="E526" s="68" t="n"/>
      <c r="F526" s="69" t="n"/>
      <c r="G526" s="70" t="n"/>
      <c r="H526" s="62" t="str">
        <f>IF(COUNTA(A526:G526)=0,"",IF(C526&lt;&gt;"",C526,IF(B526="","",IFERROR(INDEX(pr_des,MATCH(B526,pr_code,0))&amp;"",""))))</f>
        <v/>
      </c>
      <c r="I526" s="59" t="str">
        <f>IF(B526="","",IFERROR(INDEX(pr_unit,MATCH(B526,pr_code,0))&amp;"",""))</f>
        <v/>
      </c>
      <c r="J526" s="65" t="str">
        <f>IF(COUNTA(A526:G526)=0,"",IF(E526&lt;&gt;"",E526,IF(B526="","",IFERROR(IF(INDEX(pr_price,MATCH(B526,pr_code,0))="","",INDEX(pr_price,MATCH(B526,pr_code,0))),""))))</f>
        <v/>
      </c>
      <c r="K526" s="71" t="str">
        <f>IF(COUNTA(A526:G526)=0,"",IF(G526&lt;&gt;"",G526,IF(B526="","",IFERROR(IF(INDEX(pr_rate,MATCH(B526,pr_code,0))="","",INDEX(pr_rate,MATCH(B526,pr_code,0))),""))))</f>
        <v/>
      </c>
      <c r="L526" s="65" t="str">
        <f>IF(COUNTA(A526:G526)=0,"",IF(AND(ISNUMBER(D526),ISNUMBER(J526)),ROUND(D526*J526*(1-N(F526)),2),0))</f>
        <v/>
      </c>
      <c r="M526" s="62" t="str">
        <f>IF(A526="","",IFERROR(INDEX(fa_cname,MATCH(A526,fa_num,0))&amp;"",""))</f>
        <v/>
      </c>
      <c r="N526" s="59" t="str">
        <f>IF(COUNTA(A526:G526)=0,"",IF(A526="","N° facture manquant",IF(ISNA(MATCH(A526,fa_num,0)),"Facture inconnue",IF(AND(B526&lt;&gt;"",ISNA(MATCH(B526,pr_code,0))),"Article inconnu",IF(H526="","Désignation manquante",IF(OR(NOT(ISNUMBER(D526)),N(D526)&lt;=0),"Quantité invalide",IF(J526="","Prix manquant",IF(OR(NOT(ISNUMBER(J526)),N(J526)&lt;0),"Prix invalide",IF(OR(AND(F526&lt;&gt;"",NOT(ISNUMBER(F526))),N(F526)&lt;0,N(F526)&gt;1),"Remise invalide",IF(K526="","Taux de TVA manquant",IF(NOT(ISNUMBER(K526)),"Taux de TVA invalide",IF(COUNTIF(p_rates,K526)=0,"Taux de TVA hors liste (Paramètres)",IF(N(O526)&gt;25,"Au-delà de 25 lignes : non imprimée","OK")))))))))))))</f>
        <v/>
      </c>
      <c r="O526" s="59" t="str">
        <f>IF(A526="","",COUNTIF($A$6:A526,A526))</f>
        <v/>
      </c>
      <c r="P526" s="62" t="str">
        <f>IF(A526="","",A526&amp;"|"&amp;O526)</f>
        <v/>
      </c>
    </row>
    <row r="527">
      <c r="A527" s="60" t="n"/>
      <c r="B527" s="63" t="n"/>
      <c r="C527" s="63" t="n"/>
      <c r="D527" s="67" t="n"/>
      <c r="E527" s="68" t="n"/>
      <c r="F527" s="69" t="n"/>
      <c r="G527" s="70" t="n"/>
      <c r="H527" s="62" t="str">
        <f>IF(COUNTA(A527:G527)=0,"",IF(C527&lt;&gt;"",C527,IF(B527="","",IFERROR(INDEX(pr_des,MATCH(B527,pr_code,0))&amp;"",""))))</f>
        <v/>
      </c>
      <c r="I527" s="59" t="str">
        <f>IF(B527="","",IFERROR(INDEX(pr_unit,MATCH(B527,pr_code,0))&amp;"",""))</f>
        <v/>
      </c>
      <c r="J527" s="65" t="str">
        <f>IF(COUNTA(A527:G527)=0,"",IF(E527&lt;&gt;"",E527,IF(B527="","",IFERROR(IF(INDEX(pr_price,MATCH(B527,pr_code,0))="","",INDEX(pr_price,MATCH(B527,pr_code,0))),""))))</f>
        <v/>
      </c>
      <c r="K527" s="71" t="str">
        <f>IF(COUNTA(A527:G527)=0,"",IF(G527&lt;&gt;"",G527,IF(B527="","",IFERROR(IF(INDEX(pr_rate,MATCH(B527,pr_code,0))="","",INDEX(pr_rate,MATCH(B527,pr_code,0))),""))))</f>
        <v/>
      </c>
      <c r="L527" s="65" t="str">
        <f>IF(COUNTA(A527:G527)=0,"",IF(AND(ISNUMBER(D527),ISNUMBER(J527)),ROUND(D527*J527*(1-N(F527)),2),0))</f>
        <v/>
      </c>
      <c r="M527" s="62" t="str">
        <f>IF(A527="","",IFERROR(INDEX(fa_cname,MATCH(A527,fa_num,0))&amp;"",""))</f>
        <v/>
      </c>
      <c r="N527" s="59" t="str">
        <f>IF(COUNTA(A527:G527)=0,"",IF(A527="","N° facture manquant",IF(ISNA(MATCH(A527,fa_num,0)),"Facture inconnue",IF(AND(B527&lt;&gt;"",ISNA(MATCH(B527,pr_code,0))),"Article inconnu",IF(H527="","Désignation manquante",IF(OR(NOT(ISNUMBER(D527)),N(D527)&lt;=0),"Quantité invalide",IF(J527="","Prix manquant",IF(OR(NOT(ISNUMBER(J527)),N(J527)&lt;0),"Prix invalide",IF(OR(AND(F527&lt;&gt;"",NOT(ISNUMBER(F527))),N(F527)&lt;0,N(F527)&gt;1),"Remise invalide",IF(K527="","Taux de TVA manquant",IF(NOT(ISNUMBER(K527)),"Taux de TVA invalide",IF(COUNTIF(p_rates,K527)=0,"Taux de TVA hors liste (Paramètres)",IF(N(O527)&gt;25,"Au-delà de 25 lignes : non imprimée","OK")))))))))))))</f>
        <v/>
      </c>
      <c r="O527" s="59" t="str">
        <f>IF(A527="","",COUNTIF($A$6:A527,A527))</f>
        <v/>
      </c>
      <c r="P527" s="62" t="str">
        <f>IF(A527="","",A527&amp;"|"&amp;O527)</f>
        <v/>
      </c>
    </row>
    <row r="528">
      <c r="A528" s="60" t="n"/>
      <c r="B528" s="63" t="n"/>
      <c r="C528" s="63" t="n"/>
      <c r="D528" s="67" t="n"/>
      <c r="E528" s="68" t="n"/>
      <c r="F528" s="69" t="n"/>
      <c r="G528" s="70" t="n"/>
      <c r="H528" s="62" t="str">
        <f>IF(COUNTA(A528:G528)=0,"",IF(C528&lt;&gt;"",C528,IF(B528="","",IFERROR(INDEX(pr_des,MATCH(B528,pr_code,0))&amp;"",""))))</f>
        <v/>
      </c>
      <c r="I528" s="59" t="str">
        <f>IF(B528="","",IFERROR(INDEX(pr_unit,MATCH(B528,pr_code,0))&amp;"",""))</f>
        <v/>
      </c>
      <c r="J528" s="65" t="str">
        <f>IF(COUNTA(A528:G528)=0,"",IF(E528&lt;&gt;"",E528,IF(B528="","",IFERROR(IF(INDEX(pr_price,MATCH(B528,pr_code,0))="","",INDEX(pr_price,MATCH(B528,pr_code,0))),""))))</f>
        <v/>
      </c>
      <c r="K528" s="71" t="str">
        <f>IF(COUNTA(A528:G528)=0,"",IF(G528&lt;&gt;"",G528,IF(B528="","",IFERROR(IF(INDEX(pr_rate,MATCH(B528,pr_code,0))="","",INDEX(pr_rate,MATCH(B528,pr_code,0))),""))))</f>
        <v/>
      </c>
      <c r="L528" s="65" t="str">
        <f>IF(COUNTA(A528:G528)=0,"",IF(AND(ISNUMBER(D528),ISNUMBER(J528)),ROUND(D528*J528*(1-N(F528)),2),0))</f>
        <v/>
      </c>
      <c r="M528" s="62" t="str">
        <f>IF(A528="","",IFERROR(INDEX(fa_cname,MATCH(A528,fa_num,0))&amp;"",""))</f>
        <v/>
      </c>
      <c r="N528" s="59" t="str">
        <f>IF(COUNTA(A528:G528)=0,"",IF(A528="","N° facture manquant",IF(ISNA(MATCH(A528,fa_num,0)),"Facture inconnue",IF(AND(B528&lt;&gt;"",ISNA(MATCH(B528,pr_code,0))),"Article inconnu",IF(H528="","Désignation manquante",IF(OR(NOT(ISNUMBER(D528)),N(D528)&lt;=0),"Quantité invalide",IF(J528="","Prix manquant",IF(OR(NOT(ISNUMBER(J528)),N(J528)&lt;0),"Prix invalide",IF(OR(AND(F528&lt;&gt;"",NOT(ISNUMBER(F528))),N(F528)&lt;0,N(F528)&gt;1),"Remise invalide",IF(K528="","Taux de TVA manquant",IF(NOT(ISNUMBER(K528)),"Taux de TVA invalide",IF(COUNTIF(p_rates,K528)=0,"Taux de TVA hors liste (Paramètres)",IF(N(O528)&gt;25,"Au-delà de 25 lignes : non imprimée","OK")))))))))))))</f>
        <v/>
      </c>
      <c r="O528" s="59" t="str">
        <f>IF(A528="","",COUNTIF($A$6:A528,A528))</f>
        <v/>
      </c>
      <c r="P528" s="62" t="str">
        <f>IF(A528="","",A528&amp;"|"&amp;O528)</f>
        <v/>
      </c>
    </row>
    <row r="529">
      <c r="A529" s="60" t="n"/>
      <c r="B529" s="63" t="n"/>
      <c r="C529" s="63" t="n"/>
      <c r="D529" s="67" t="n"/>
      <c r="E529" s="68" t="n"/>
      <c r="F529" s="69" t="n"/>
      <c r="G529" s="70" t="n"/>
      <c r="H529" s="62" t="str">
        <f>IF(COUNTA(A529:G529)=0,"",IF(C529&lt;&gt;"",C529,IF(B529="","",IFERROR(INDEX(pr_des,MATCH(B529,pr_code,0))&amp;"",""))))</f>
        <v/>
      </c>
      <c r="I529" s="59" t="str">
        <f>IF(B529="","",IFERROR(INDEX(pr_unit,MATCH(B529,pr_code,0))&amp;"",""))</f>
        <v/>
      </c>
      <c r="J529" s="65" t="str">
        <f>IF(COUNTA(A529:G529)=0,"",IF(E529&lt;&gt;"",E529,IF(B529="","",IFERROR(IF(INDEX(pr_price,MATCH(B529,pr_code,0))="","",INDEX(pr_price,MATCH(B529,pr_code,0))),""))))</f>
        <v/>
      </c>
      <c r="K529" s="71" t="str">
        <f>IF(COUNTA(A529:G529)=0,"",IF(G529&lt;&gt;"",G529,IF(B529="","",IFERROR(IF(INDEX(pr_rate,MATCH(B529,pr_code,0))="","",INDEX(pr_rate,MATCH(B529,pr_code,0))),""))))</f>
        <v/>
      </c>
      <c r="L529" s="65" t="str">
        <f>IF(COUNTA(A529:G529)=0,"",IF(AND(ISNUMBER(D529),ISNUMBER(J529)),ROUND(D529*J529*(1-N(F529)),2),0))</f>
        <v/>
      </c>
      <c r="M529" s="62" t="str">
        <f>IF(A529="","",IFERROR(INDEX(fa_cname,MATCH(A529,fa_num,0))&amp;"",""))</f>
        <v/>
      </c>
      <c r="N529" s="59" t="str">
        <f>IF(COUNTA(A529:G529)=0,"",IF(A529="","N° facture manquant",IF(ISNA(MATCH(A529,fa_num,0)),"Facture inconnue",IF(AND(B529&lt;&gt;"",ISNA(MATCH(B529,pr_code,0))),"Article inconnu",IF(H529="","Désignation manquante",IF(OR(NOT(ISNUMBER(D529)),N(D529)&lt;=0),"Quantité invalide",IF(J529="","Prix manquant",IF(OR(NOT(ISNUMBER(J529)),N(J529)&lt;0),"Prix invalide",IF(OR(AND(F529&lt;&gt;"",NOT(ISNUMBER(F529))),N(F529)&lt;0,N(F529)&gt;1),"Remise invalide",IF(K529="","Taux de TVA manquant",IF(NOT(ISNUMBER(K529)),"Taux de TVA invalide",IF(COUNTIF(p_rates,K529)=0,"Taux de TVA hors liste (Paramètres)",IF(N(O529)&gt;25,"Au-delà de 25 lignes : non imprimée","OK")))))))))))))</f>
        <v/>
      </c>
      <c r="O529" s="59" t="str">
        <f>IF(A529="","",COUNTIF($A$6:A529,A529))</f>
        <v/>
      </c>
      <c r="P529" s="62" t="str">
        <f>IF(A529="","",A529&amp;"|"&amp;O529)</f>
        <v/>
      </c>
    </row>
    <row r="530">
      <c r="A530" s="60" t="n"/>
      <c r="B530" s="63" t="n"/>
      <c r="C530" s="63" t="n"/>
      <c r="D530" s="67" t="n"/>
      <c r="E530" s="68" t="n"/>
      <c r="F530" s="69" t="n"/>
      <c r="G530" s="70" t="n"/>
      <c r="H530" s="62" t="str">
        <f>IF(COUNTA(A530:G530)=0,"",IF(C530&lt;&gt;"",C530,IF(B530="","",IFERROR(INDEX(pr_des,MATCH(B530,pr_code,0))&amp;"",""))))</f>
        <v/>
      </c>
      <c r="I530" s="59" t="str">
        <f>IF(B530="","",IFERROR(INDEX(pr_unit,MATCH(B530,pr_code,0))&amp;"",""))</f>
        <v/>
      </c>
      <c r="J530" s="65" t="str">
        <f>IF(COUNTA(A530:G530)=0,"",IF(E530&lt;&gt;"",E530,IF(B530="","",IFERROR(IF(INDEX(pr_price,MATCH(B530,pr_code,0))="","",INDEX(pr_price,MATCH(B530,pr_code,0))),""))))</f>
        <v/>
      </c>
      <c r="K530" s="71" t="str">
        <f>IF(COUNTA(A530:G530)=0,"",IF(G530&lt;&gt;"",G530,IF(B530="","",IFERROR(IF(INDEX(pr_rate,MATCH(B530,pr_code,0))="","",INDEX(pr_rate,MATCH(B530,pr_code,0))),""))))</f>
        <v/>
      </c>
      <c r="L530" s="65" t="str">
        <f>IF(COUNTA(A530:G530)=0,"",IF(AND(ISNUMBER(D530),ISNUMBER(J530)),ROUND(D530*J530*(1-N(F530)),2),0))</f>
        <v/>
      </c>
      <c r="M530" s="62" t="str">
        <f>IF(A530="","",IFERROR(INDEX(fa_cname,MATCH(A530,fa_num,0))&amp;"",""))</f>
        <v/>
      </c>
      <c r="N530" s="59" t="str">
        <f>IF(COUNTA(A530:G530)=0,"",IF(A530="","N° facture manquant",IF(ISNA(MATCH(A530,fa_num,0)),"Facture inconnue",IF(AND(B530&lt;&gt;"",ISNA(MATCH(B530,pr_code,0))),"Article inconnu",IF(H530="","Désignation manquante",IF(OR(NOT(ISNUMBER(D530)),N(D530)&lt;=0),"Quantité invalide",IF(J530="","Prix manquant",IF(OR(NOT(ISNUMBER(J530)),N(J530)&lt;0),"Prix invalide",IF(OR(AND(F530&lt;&gt;"",NOT(ISNUMBER(F530))),N(F530)&lt;0,N(F530)&gt;1),"Remise invalide",IF(K530="","Taux de TVA manquant",IF(NOT(ISNUMBER(K530)),"Taux de TVA invalide",IF(COUNTIF(p_rates,K530)=0,"Taux de TVA hors liste (Paramètres)",IF(N(O530)&gt;25,"Au-delà de 25 lignes : non imprimée","OK")))))))))))))</f>
        <v/>
      </c>
      <c r="O530" s="59" t="str">
        <f>IF(A530="","",COUNTIF($A$6:A530,A530))</f>
        <v/>
      </c>
      <c r="P530" s="62" t="str">
        <f>IF(A530="","",A530&amp;"|"&amp;O530)</f>
        <v/>
      </c>
    </row>
    <row r="531">
      <c r="A531" s="60" t="n"/>
      <c r="B531" s="63" t="n"/>
      <c r="C531" s="63" t="n"/>
      <c r="D531" s="67" t="n"/>
      <c r="E531" s="68" t="n"/>
      <c r="F531" s="69" t="n"/>
      <c r="G531" s="70" t="n"/>
      <c r="H531" s="62" t="str">
        <f>IF(COUNTA(A531:G531)=0,"",IF(C531&lt;&gt;"",C531,IF(B531="","",IFERROR(INDEX(pr_des,MATCH(B531,pr_code,0))&amp;"",""))))</f>
        <v/>
      </c>
      <c r="I531" s="59" t="str">
        <f>IF(B531="","",IFERROR(INDEX(pr_unit,MATCH(B531,pr_code,0))&amp;"",""))</f>
        <v/>
      </c>
      <c r="J531" s="65" t="str">
        <f>IF(COUNTA(A531:G531)=0,"",IF(E531&lt;&gt;"",E531,IF(B531="","",IFERROR(IF(INDEX(pr_price,MATCH(B531,pr_code,0))="","",INDEX(pr_price,MATCH(B531,pr_code,0))),""))))</f>
        <v/>
      </c>
      <c r="K531" s="71" t="str">
        <f>IF(COUNTA(A531:G531)=0,"",IF(G531&lt;&gt;"",G531,IF(B531="","",IFERROR(IF(INDEX(pr_rate,MATCH(B531,pr_code,0))="","",INDEX(pr_rate,MATCH(B531,pr_code,0))),""))))</f>
        <v/>
      </c>
      <c r="L531" s="65" t="str">
        <f>IF(COUNTA(A531:G531)=0,"",IF(AND(ISNUMBER(D531),ISNUMBER(J531)),ROUND(D531*J531*(1-N(F531)),2),0))</f>
        <v/>
      </c>
      <c r="M531" s="62" t="str">
        <f>IF(A531="","",IFERROR(INDEX(fa_cname,MATCH(A531,fa_num,0))&amp;"",""))</f>
        <v/>
      </c>
      <c r="N531" s="59" t="str">
        <f>IF(COUNTA(A531:G531)=0,"",IF(A531="","N° facture manquant",IF(ISNA(MATCH(A531,fa_num,0)),"Facture inconnue",IF(AND(B531&lt;&gt;"",ISNA(MATCH(B531,pr_code,0))),"Article inconnu",IF(H531="","Désignation manquante",IF(OR(NOT(ISNUMBER(D531)),N(D531)&lt;=0),"Quantité invalide",IF(J531="","Prix manquant",IF(OR(NOT(ISNUMBER(J531)),N(J531)&lt;0),"Prix invalide",IF(OR(AND(F531&lt;&gt;"",NOT(ISNUMBER(F531))),N(F531)&lt;0,N(F531)&gt;1),"Remise invalide",IF(K531="","Taux de TVA manquant",IF(NOT(ISNUMBER(K531)),"Taux de TVA invalide",IF(COUNTIF(p_rates,K531)=0,"Taux de TVA hors liste (Paramètres)",IF(N(O531)&gt;25,"Au-delà de 25 lignes : non imprimée","OK")))))))))))))</f>
        <v/>
      </c>
      <c r="O531" s="59" t="str">
        <f>IF(A531="","",COUNTIF($A$6:A531,A531))</f>
        <v/>
      </c>
      <c r="P531" s="62" t="str">
        <f>IF(A531="","",A531&amp;"|"&amp;O531)</f>
        <v/>
      </c>
    </row>
    <row r="532">
      <c r="A532" s="60" t="n"/>
      <c r="B532" s="63" t="n"/>
      <c r="C532" s="63" t="n"/>
      <c r="D532" s="67" t="n"/>
      <c r="E532" s="68" t="n"/>
      <c r="F532" s="69" t="n"/>
      <c r="G532" s="70" t="n"/>
      <c r="H532" s="62" t="str">
        <f>IF(COUNTA(A532:G532)=0,"",IF(C532&lt;&gt;"",C532,IF(B532="","",IFERROR(INDEX(pr_des,MATCH(B532,pr_code,0))&amp;"",""))))</f>
        <v/>
      </c>
      <c r="I532" s="59" t="str">
        <f>IF(B532="","",IFERROR(INDEX(pr_unit,MATCH(B532,pr_code,0))&amp;"",""))</f>
        <v/>
      </c>
      <c r="J532" s="65" t="str">
        <f>IF(COUNTA(A532:G532)=0,"",IF(E532&lt;&gt;"",E532,IF(B532="","",IFERROR(IF(INDEX(pr_price,MATCH(B532,pr_code,0))="","",INDEX(pr_price,MATCH(B532,pr_code,0))),""))))</f>
        <v/>
      </c>
      <c r="K532" s="71" t="str">
        <f>IF(COUNTA(A532:G532)=0,"",IF(G532&lt;&gt;"",G532,IF(B532="","",IFERROR(IF(INDEX(pr_rate,MATCH(B532,pr_code,0))="","",INDEX(pr_rate,MATCH(B532,pr_code,0))),""))))</f>
        <v/>
      </c>
      <c r="L532" s="65" t="str">
        <f>IF(COUNTA(A532:G532)=0,"",IF(AND(ISNUMBER(D532),ISNUMBER(J532)),ROUND(D532*J532*(1-N(F532)),2),0))</f>
        <v/>
      </c>
      <c r="M532" s="62" t="str">
        <f>IF(A532="","",IFERROR(INDEX(fa_cname,MATCH(A532,fa_num,0))&amp;"",""))</f>
        <v/>
      </c>
      <c r="N532" s="59" t="str">
        <f>IF(COUNTA(A532:G532)=0,"",IF(A532="","N° facture manquant",IF(ISNA(MATCH(A532,fa_num,0)),"Facture inconnue",IF(AND(B532&lt;&gt;"",ISNA(MATCH(B532,pr_code,0))),"Article inconnu",IF(H532="","Désignation manquante",IF(OR(NOT(ISNUMBER(D532)),N(D532)&lt;=0),"Quantité invalide",IF(J532="","Prix manquant",IF(OR(NOT(ISNUMBER(J532)),N(J532)&lt;0),"Prix invalide",IF(OR(AND(F532&lt;&gt;"",NOT(ISNUMBER(F532))),N(F532)&lt;0,N(F532)&gt;1),"Remise invalide",IF(K532="","Taux de TVA manquant",IF(NOT(ISNUMBER(K532)),"Taux de TVA invalide",IF(COUNTIF(p_rates,K532)=0,"Taux de TVA hors liste (Paramètres)",IF(N(O532)&gt;25,"Au-delà de 25 lignes : non imprimée","OK")))))))))))))</f>
        <v/>
      </c>
      <c r="O532" s="59" t="str">
        <f>IF(A532="","",COUNTIF($A$6:A532,A532))</f>
        <v/>
      </c>
      <c r="P532" s="62" t="str">
        <f>IF(A532="","",A532&amp;"|"&amp;O532)</f>
        <v/>
      </c>
    </row>
    <row r="533">
      <c r="A533" s="60" t="n"/>
      <c r="B533" s="63" t="n"/>
      <c r="C533" s="63" t="n"/>
      <c r="D533" s="67" t="n"/>
      <c r="E533" s="68" t="n"/>
      <c r="F533" s="69" t="n"/>
      <c r="G533" s="70" t="n"/>
      <c r="H533" s="62" t="str">
        <f>IF(COUNTA(A533:G533)=0,"",IF(C533&lt;&gt;"",C533,IF(B533="","",IFERROR(INDEX(pr_des,MATCH(B533,pr_code,0))&amp;"",""))))</f>
        <v/>
      </c>
      <c r="I533" s="59" t="str">
        <f>IF(B533="","",IFERROR(INDEX(pr_unit,MATCH(B533,pr_code,0))&amp;"",""))</f>
        <v/>
      </c>
      <c r="J533" s="65" t="str">
        <f>IF(COUNTA(A533:G533)=0,"",IF(E533&lt;&gt;"",E533,IF(B533="","",IFERROR(IF(INDEX(pr_price,MATCH(B533,pr_code,0))="","",INDEX(pr_price,MATCH(B533,pr_code,0))),""))))</f>
        <v/>
      </c>
      <c r="K533" s="71" t="str">
        <f>IF(COUNTA(A533:G533)=0,"",IF(G533&lt;&gt;"",G533,IF(B533="","",IFERROR(IF(INDEX(pr_rate,MATCH(B533,pr_code,0))="","",INDEX(pr_rate,MATCH(B533,pr_code,0))),""))))</f>
        <v/>
      </c>
      <c r="L533" s="65" t="str">
        <f>IF(COUNTA(A533:G533)=0,"",IF(AND(ISNUMBER(D533),ISNUMBER(J533)),ROUND(D533*J533*(1-N(F533)),2),0))</f>
        <v/>
      </c>
      <c r="M533" s="62" t="str">
        <f>IF(A533="","",IFERROR(INDEX(fa_cname,MATCH(A533,fa_num,0))&amp;"",""))</f>
        <v/>
      </c>
      <c r="N533" s="59" t="str">
        <f>IF(COUNTA(A533:G533)=0,"",IF(A533="","N° facture manquant",IF(ISNA(MATCH(A533,fa_num,0)),"Facture inconnue",IF(AND(B533&lt;&gt;"",ISNA(MATCH(B533,pr_code,0))),"Article inconnu",IF(H533="","Désignation manquante",IF(OR(NOT(ISNUMBER(D533)),N(D533)&lt;=0),"Quantité invalide",IF(J533="","Prix manquant",IF(OR(NOT(ISNUMBER(J533)),N(J533)&lt;0),"Prix invalide",IF(OR(AND(F533&lt;&gt;"",NOT(ISNUMBER(F533))),N(F533)&lt;0,N(F533)&gt;1),"Remise invalide",IF(K533="","Taux de TVA manquant",IF(NOT(ISNUMBER(K533)),"Taux de TVA invalide",IF(COUNTIF(p_rates,K533)=0,"Taux de TVA hors liste (Paramètres)",IF(N(O533)&gt;25,"Au-delà de 25 lignes : non imprimée","OK")))))))))))))</f>
        <v/>
      </c>
      <c r="O533" s="59" t="str">
        <f>IF(A533="","",COUNTIF($A$6:A533,A533))</f>
        <v/>
      </c>
      <c r="P533" s="62" t="str">
        <f>IF(A533="","",A533&amp;"|"&amp;O533)</f>
        <v/>
      </c>
    </row>
    <row r="534">
      <c r="A534" s="60" t="n"/>
      <c r="B534" s="63" t="n"/>
      <c r="C534" s="63" t="n"/>
      <c r="D534" s="67" t="n"/>
      <c r="E534" s="68" t="n"/>
      <c r="F534" s="69" t="n"/>
      <c r="G534" s="70" t="n"/>
      <c r="H534" s="62" t="str">
        <f>IF(COUNTA(A534:G534)=0,"",IF(C534&lt;&gt;"",C534,IF(B534="","",IFERROR(INDEX(pr_des,MATCH(B534,pr_code,0))&amp;"",""))))</f>
        <v/>
      </c>
      <c r="I534" s="59" t="str">
        <f>IF(B534="","",IFERROR(INDEX(pr_unit,MATCH(B534,pr_code,0))&amp;"",""))</f>
        <v/>
      </c>
      <c r="J534" s="65" t="str">
        <f>IF(COUNTA(A534:G534)=0,"",IF(E534&lt;&gt;"",E534,IF(B534="","",IFERROR(IF(INDEX(pr_price,MATCH(B534,pr_code,0))="","",INDEX(pr_price,MATCH(B534,pr_code,0))),""))))</f>
        <v/>
      </c>
      <c r="K534" s="71" t="str">
        <f>IF(COUNTA(A534:G534)=0,"",IF(G534&lt;&gt;"",G534,IF(B534="","",IFERROR(IF(INDEX(pr_rate,MATCH(B534,pr_code,0))="","",INDEX(pr_rate,MATCH(B534,pr_code,0))),""))))</f>
        <v/>
      </c>
      <c r="L534" s="65" t="str">
        <f>IF(COUNTA(A534:G534)=0,"",IF(AND(ISNUMBER(D534),ISNUMBER(J534)),ROUND(D534*J534*(1-N(F534)),2),0))</f>
        <v/>
      </c>
      <c r="M534" s="62" t="str">
        <f>IF(A534="","",IFERROR(INDEX(fa_cname,MATCH(A534,fa_num,0))&amp;"",""))</f>
        <v/>
      </c>
      <c r="N534" s="59" t="str">
        <f>IF(COUNTA(A534:G534)=0,"",IF(A534="","N° facture manquant",IF(ISNA(MATCH(A534,fa_num,0)),"Facture inconnue",IF(AND(B534&lt;&gt;"",ISNA(MATCH(B534,pr_code,0))),"Article inconnu",IF(H534="","Désignation manquante",IF(OR(NOT(ISNUMBER(D534)),N(D534)&lt;=0),"Quantité invalide",IF(J534="","Prix manquant",IF(OR(NOT(ISNUMBER(J534)),N(J534)&lt;0),"Prix invalide",IF(OR(AND(F534&lt;&gt;"",NOT(ISNUMBER(F534))),N(F534)&lt;0,N(F534)&gt;1),"Remise invalide",IF(K534="","Taux de TVA manquant",IF(NOT(ISNUMBER(K534)),"Taux de TVA invalide",IF(COUNTIF(p_rates,K534)=0,"Taux de TVA hors liste (Paramètres)",IF(N(O534)&gt;25,"Au-delà de 25 lignes : non imprimée","OK")))))))))))))</f>
        <v/>
      </c>
      <c r="O534" s="59" t="str">
        <f>IF(A534="","",COUNTIF($A$6:A534,A534))</f>
        <v/>
      </c>
      <c r="P534" s="62" t="str">
        <f>IF(A534="","",A534&amp;"|"&amp;O534)</f>
        <v/>
      </c>
    </row>
    <row r="535">
      <c r="A535" s="60" t="n"/>
      <c r="B535" s="63" t="n"/>
      <c r="C535" s="63" t="n"/>
      <c r="D535" s="67" t="n"/>
      <c r="E535" s="68" t="n"/>
      <c r="F535" s="69" t="n"/>
      <c r="G535" s="70" t="n"/>
      <c r="H535" s="62" t="str">
        <f>IF(COUNTA(A535:G535)=0,"",IF(C535&lt;&gt;"",C535,IF(B535="","",IFERROR(INDEX(pr_des,MATCH(B535,pr_code,0))&amp;"",""))))</f>
        <v/>
      </c>
      <c r="I535" s="59" t="str">
        <f>IF(B535="","",IFERROR(INDEX(pr_unit,MATCH(B535,pr_code,0))&amp;"",""))</f>
        <v/>
      </c>
      <c r="J535" s="65" t="str">
        <f>IF(COUNTA(A535:G535)=0,"",IF(E535&lt;&gt;"",E535,IF(B535="","",IFERROR(IF(INDEX(pr_price,MATCH(B535,pr_code,0))="","",INDEX(pr_price,MATCH(B535,pr_code,0))),""))))</f>
        <v/>
      </c>
      <c r="K535" s="71" t="str">
        <f>IF(COUNTA(A535:G535)=0,"",IF(G535&lt;&gt;"",G535,IF(B535="","",IFERROR(IF(INDEX(pr_rate,MATCH(B535,pr_code,0))="","",INDEX(pr_rate,MATCH(B535,pr_code,0))),""))))</f>
        <v/>
      </c>
      <c r="L535" s="65" t="str">
        <f>IF(COUNTA(A535:G535)=0,"",IF(AND(ISNUMBER(D535),ISNUMBER(J535)),ROUND(D535*J535*(1-N(F535)),2),0))</f>
        <v/>
      </c>
      <c r="M535" s="62" t="str">
        <f>IF(A535="","",IFERROR(INDEX(fa_cname,MATCH(A535,fa_num,0))&amp;"",""))</f>
        <v/>
      </c>
      <c r="N535" s="59" t="str">
        <f>IF(COUNTA(A535:G535)=0,"",IF(A535="","N° facture manquant",IF(ISNA(MATCH(A535,fa_num,0)),"Facture inconnue",IF(AND(B535&lt;&gt;"",ISNA(MATCH(B535,pr_code,0))),"Article inconnu",IF(H535="","Désignation manquante",IF(OR(NOT(ISNUMBER(D535)),N(D535)&lt;=0),"Quantité invalide",IF(J535="","Prix manquant",IF(OR(NOT(ISNUMBER(J535)),N(J535)&lt;0),"Prix invalide",IF(OR(AND(F535&lt;&gt;"",NOT(ISNUMBER(F535))),N(F535)&lt;0,N(F535)&gt;1),"Remise invalide",IF(K535="","Taux de TVA manquant",IF(NOT(ISNUMBER(K535)),"Taux de TVA invalide",IF(COUNTIF(p_rates,K535)=0,"Taux de TVA hors liste (Paramètres)",IF(N(O535)&gt;25,"Au-delà de 25 lignes : non imprimée","OK")))))))))))))</f>
        <v/>
      </c>
      <c r="O535" s="59" t="str">
        <f>IF(A535="","",COUNTIF($A$6:A535,A535))</f>
        <v/>
      </c>
      <c r="P535" s="62" t="str">
        <f>IF(A535="","",A535&amp;"|"&amp;O535)</f>
        <v/>
      </c>
    </row>
    <row r="536">
      <c r="A536" s="60" t="n"/>
      <c r="B536" s="63" t="n"/>
      <c r="C536" s="63" t="n"/>
      <c r="D536" s="67" t="n"/>
      <c r="E536" s="68" t="n"/>
      <c r="F536" s="69" t="n"/>
      <c r="G536" s="70" t="n"/>
      <c r="H536" s="62" t="str">
        <f>IF(COUNTA(A536:G536)=0,"",IF(C536&lt;&gt;"",C536,IF(B536="","",IFERROR(INDEX(pr_des,MATCH(B536,pr_code,0))&amp;"",""))))</f>
        <v/>
      </c>
      <c r="I536" s="59" t="str">
        <f>IF(B536="","",IFERROR(INDEX(pr_unit,MATCH(B536,pr_code,0))&amp;"",""))</f>
        <v/>
      </c>
      <c r="J536" s="65" t="str">
        <f>IF(COUNTA(A536:G536)=0,"",IF(E536&lt;&gt;"",E536,IF(B536="","",IFERROR(IF(INDEX(pr_price,MATCH(B536,pr_code,0))="","",INDEX(pr_price,MATCH(B536,pr_code,0))),""))))</f>
        <v/>
      </c>
      <c r="K536" s="71" t="str">
        <f>IF(COUNTA(A536:G536)=0,"",IF(G536&lt;&gt;"",G536,IF(B536="","",IFERROR(IF(INDEX(pr_rate,MATCH(B536,pr_code,0))="","",INDEX(pr_rate,MATCH(B536,pr_code,0))),""))))</f>
        <v/>
      </c>
      <c r="L536" s="65" t="str">
        <f>IF(COUNTA(A536:G536)=0,"",IF(AND(ISNUMBER(D536),ISNUMBER(J536)),ROUND(D536*J536*(1-N(F536)),2),0))</f>
        <v/>
      </c>
      <c r="M536" s="62" t="str">
        <f>IF(A536="","",IFERROR(INDEX(fa_cname,MATCH(A536,fa_num,0))&amp;"",""))</f>
        <v/>
      </c>
      <c r="N536" s="59" t="str">
        <f>IF(COUNTA(A536:G536)=0,"",IF(A536="","N° facture manquant",IF(ISNA(MATCH(A536,fa_num,0)),"Facture inconnue",IF(AND(B536&lt;&gt;"",ISNA(MATCH(B536,pr_code,0))),"Article inconnu",IF(H536="","Désignation manquante",IF(OR(NOT(ISNUMBER(D536)),N(D536)&lt;=0),"Quantité invalide",IF(J536="","Prix manquant",IF(OR(NOT(ISNUMBER(J536)),N(J536)&lt;0),"Prix invalide",IF(OR(AND(F536&lt;&gt;"",NOT(ISNUMBER(F536))),N(F536)&lt;0,N(F536)&gt;1),"Remise invalide",IF(K536="","Taux de TVA manquant",IF(NOT(ISNUMBER(K536)),"Taux de TVA invalide",IF(COUNTIF(p_rates,K536)=0,"Taux de TVA hors liste (Paramètres)",IF(N(O536)&gt;25,"Au-delà de 25 lignes : non imprimée","OK")))))))))))))</f>
        <v/>
      </c>
      <c r="O536" s="59" t="str">
        <f>IF(A536="","",COUNTIF($A$6:A536,A536))</f>
        <v/>
      </c>
      <c r="P536" s="62" t="str">
        <f>IF(A536="","",A536&amp;"|"&amp;O536)</f>
        <v/>
      </c>
    </row>
    <row r="537">
      <c r="A537" s="60" t="n"/>
      <c r="B537" s="63" t="n"/>
      <c r="C537" s="63" t="n"/>
      <c r="D537" s="67" t="n"/>
      <c r="E537" s="68" t="n"/>
      <c r="F537" s="69" t="n"/>
      <c r="G537" s="70" t="n"/>
      <c r="H537" s="62" t="str">
        <f>IF(COUNTA(A537:G537)=0,"",IF(C537&lt;&gt;"",C537,IF(B537="","",IFERROR(INDEX(pr_des,MATCH(B537,pr_code,0))&amp;"",""))))</f>
        <v/>
      </c>
      <c r="I537" s="59" t="str">
        <f>IF(B537="","",IFERROR(INDEX(pr_unit,MATCH(B537,pr_code,0))&amp;"",""))</f>
        <v/>
      </c>
      <c r="J537" s="65" t="str">
        <f>IF(COUNTA(A537:G537)=0,"",IF(E537&lt;&gt;"",E537,IF(B537="","",IFERROR(IF(INDEX(pr_price,MATCH(B537,pr_code,0))="","",INDEX(pr_price,MATCH(B537,pr_code,0))),""))))</f>
        <v/>
      </c>
      <c r="K537" s="71" t="str">
        <f>IF(COUNTA(A537:G537)=0,"",IF(G537&lt;&gt;"",G537,IF(B537="","",IFERROR(IF(INDEX(pr_rate,MATCH(B537,pr_code,0))="","",INDEX(pr_rate,MATCH(B537,pr_code,0))),""))))</f>
        <v/>
      </c>
      <c r="L537" s="65" t="str">
        <f>IF(COUNTA(A537:G537)=0,"",IF(AND(ISNUMBER(D537),ISNUMBER(J537)),ROUND(D537*J537*(1-N(F537)),2),0))</f>
        <v/>
      </c>
      <c r="M537" s="62" t="str">
        <f>IF(A537="","",IFERROR(INDEX(fa_cname,MATCH(A537,fa_num,0))&amp;"",""))</f>
        <v/>
      </c>
      <c r="N537" s="59" t="str">
        <f>IF(COUNTA(A537:G537)=0,"",IF(A537="","N° facture manquant",IF(ISNA(MATCH(A537,fa_num,0)),"Facture inconnue",IF(AND(B537&lt;&gt;"",ISNA(MATCH(B537,pr_code,0))),"Article inconnu",IF(H537="","Désignation manquante",IF(OR(NOT(ISNUMBER(D537)),N(D537)&lt;=0),"Quantité invalide",IF(J537="","Prix manquant",IF(OR(NOT(ISNUMBER(J537)),N(J537)&lt;0),"Prix invalide",IF(OR(AND(F537&lt;&gt;"",NOT(ISNUMBER(F537))),N(F537)&lt;0,N(F537)&gt;1),"Remise invalide",IF(K537="","Taux de TVA manquant",IF(NOT(ISNUMBER(K537)),"Taux de TVA invalide",IF(COUNTIF(p_rates,K537)=0,"Taux de TVA hors liste (Paramètres)",IF(N(O537)&gt;25,"Au-delà de 25 lignes : non imprimée","OK")))))))))))))</f>
        <v/>
      </c>
      <c r="O537" s="59" t="str">
        <f>IF(A537="","",COUNTIF($A$6:A537,A537))</f>
        <v/>
      </c>
      <c r="P537" s="62" t="str">
        <f>IF(A537="","",A537&amp;"|"&amp;O537)</f>
        <v/>
      </c>
    </row>
    <row r="538">
      <c r="A538" s="60" t="n"/>
      <c r="B538" s="63" t="n"/>
      <c r="C538" s="63" t="n"/>
      <c r="D538" s="67" t="n"/>
      <c r="E538" s="68" t="n"/>
      <c r="F538" s="69" t="n"/>
      <c r="G538" s="70" t="n"/>
      <c r="H538" s="62" t="str">
        <f>IF(COUNTA(A538:G538)=0,"",IF(C538&lt;&gt;"",C538,IF(B538="","",IFERROR(INDEX(pr_des,MATCH(B538,pr_code,0))&amp;"",""))))</f>
        <v/>
      </c>
      <c r="I538" s="59" t="str">
        <f>IF(B538="","",IFERROR(INDEX(pr_unit,MATCH(B538,pr_code,0))&amp;"",""))</f>
        <v/>
      </c>
      <c r="J538" s="65" t="str">
        <f>IF(COUNTA(A538:G538)=0,"",IF(E538&lt;&gt;"",E538,IF(B538="","",IFERROR(IF(INDEX(pr_price,MATCH(B538,pr_code,0))="","",INDEX(pr_price,MATCH(B538,pr_code,0))),""))))</f>
        <v/>
      </c>
      <c r="K538" s="71" t="str">
        <f>IF(COUNTA(A538:G538)=0,"",IF(G538&lt;&gt;"",G538,IF(B538="","",IFERROR(IF(INDEX(pr_rate,MATCH(B538,pr_code,0))="","",INDEX(pr_rate,MATCH(B538,pr_code,0))),""))))</f>
        <v/>
      </c>
      <c r="L538" s="65" t="str">
        <f>IF(COUNTA(A538:G538)=0,"",IF(AND(ISNUMBER(D538),ISNUMBER(J538)),ROUND(D538*J538*(1-N(F538)),2),0))</f>
        <v/>
      </c>
      <c r="M538" s="62" t="str">
        <f>IF(A538="","",IFERROR(INDEX(fa_cname,MATCH(A538,fa_num,0))&amp;"",""))</f>
        <v/>
      </c>
      <c r="N538" s="59" t="str">
        <f>IF(COUNTA(A538:G538)=0,"",IF(A538="","N° facture manquant",IF(ISNA(MATCH(A538,fa_num,0)),"Facture inconnue",IF(AND(B538&lt;&gt;"",ISNA(MATCH(B538,pr_code,0))),"Article inconnu",IF(H538="","Désignation manquante",IF(OR(NOT(ISNUMBER(D538)),N(D538)&lt;=0),"Quantité invalide",IF(J538="","Prix manquant",IF(OR(NOT(ISNUMBER(J538)),N(J538)&lt;0),"Prix invalide",IF(OR(AND(F538&lt;&gt;"",NOT(ISNUMBER(F538))),N(F538)&lt;0,N(F538)&gt;1),"Remise invalide",IF(K538="","Taux de TVA manquant",IF(NOT(ISNUMBER(K538)),"Taux de TVA invalide",IF(COUNTIF(p_rates,K538)=0,"Taux de TVA hors liste (Paramètres)",IF(N(O538)&gt;25,"Au-delà de 25 lignes : non imprimée","OK")))))))))))))</f>
        <v/>
      </c>
      <c r="O538" s="59" t="str">
        <f>IF(A538="","",COUNTIF($A$6:A538,A538))</f>
        <v/>
      </c>
      <c r="P538" s="62" t="str">
        <f>IF(A538="","",A538&amp;"|"&amp;O538)</f>
        <v/>
      </c>
    </row>
    <row r="539">
      <c r="A539" s="60" t="n"/>
      <c r="B539" s="63" t="n"/>
      <c r="C539" s="63" t="n"/>
      <c r="D539" s="67" t="n"/>
      <c r="E539" s="68" t="n"/>
      <c r="F539" s="69" t="n"/>
      <c r="G539" s="70" t="n"/>
      <c r="H539" s="62" t="str">
        <f>IF(COUNTA(A539:G539)=0,"",IF(C539&lt;&gt;"",C539,IF(B539="","",IFERROR(INDEX(pr_des,MATCH(B539,pr_code,0))&amp;"",""))))</f>
        <v/>
      </c>
      <c r="I539" s="59" t="str">
        <f>IF(B539="","",IFERROR(INDEX(pr_unit,MATCH(B539,pr_code,0))&amp;"",""))</f>
        <v/>
      </c>
      <c r="J539" s="65" t="str">
        <f>IF(COUNTA(A539:G539)=0,"",IF(E539&lt;&gt;"",E539,IF(B539="","",IFERROR(IF(INDEX(pr_price,MATCH(B539,pr_code,0))="","",INDEX(pr_price,MATCH(B539,pr_code,0))),""))))</f>
        <v/>
      </c>
      <c r="K539" s="71" t="str">
        <f>IF(COUNTA(A539:G539)=0,"",IF(G539&lt;&gt;"",G539,IF(B539="","",IFERROR(IF(INDEX(pr_rate,MATCH(B539,pr_code,0))="","",INDEX(pr_rate,MATCH(B539,pr_code,0))),""))))</f>
        <v/>
      </c>
      <c r="L539" s="65" t="str">
        <f>IF(COUNTA(A539:G539)=0,"",IF(AND(ISNUMBER(D539),ISNUMBER(J539)),ROUND(D539*J539*(1-N(F539)),2),0))</f>
        <v/>
      </c>
      <c r="M539" s="62" t="str">
        <f>IF(A539="","",IFERROR(INDEX(fa_cname,MATCH(A539,fa_num,0))&amp;"",""))</f>
        <v/>
      </c>
      <c r="N539" s="59" t="str">
        <f>IF(COUNTA(A539:G539)=0,"",IF(A539="","N° facture manquant",IF(ISNA(MATCH(A539,fa_num,0)),"Facture inconnue",IF(AND(B539&lt;&gt;"",ISNA(MATCH(B539,pr_code,0))),"Article inconnu",IF(H539="","Désignation manquante",IF(OR(NOT(ISNUMBER(D539)),N(D539)&lt;=0),"Quantité invalide",IF(J539="","Prix manquant",IF(OR(NOT(ISNUMBER(J539)),N(J539)&lt;0),"Prix invalide",IF(OR(AND(F539&lt;&gt;"",NOT(ISNUMBER(F539))),N(F539)&lt;0,N(F539)&gt;1),"Remise invalide",IF(K539="","Taux de TVA manquant",IF(NOT(ISNUMBER(K539)),"Taux de TVA invalide",IF(COUNTIF(p_rates,K539)=0,"Taux de TVA hors liste (Paramètres)",IF(N(O539)&gt;25,"Au-delà de 25 lignes : non imprimée","OK")))))))))))))</f>
        <v/>
      </c>
      <c r="O539" s="59" t="str">
        <f>IF(A539="","",COUNTIF($A$6:A539,A539))</f>
        <v/>
      </c>
      <c r="P539" s="62" t="str">
        <f>IF(A539="","",A539&amp;"|"&amp;O539)</f>
        <v/>
      </c>
    </row>
    <row r="540">
      <c r="A540" s="60" t="n"/>
      <c r="B540" s="63" t="n"/>
      <c r="C540" s="63" t="n"/>
      <c r="D540" s="67" t="n"/>
      <c r="E540" s="68" t="n"/>
      <c r="F540" s="69" t="n"/>
      <c r="G540" s="70" t="n"/>
      <c r="H540" s="62" t="str">
        <f>IF(COUNTA(A540:G540)=0,"",IF(C540&lt;&gt;"",C540,IF(B540="","",IFERROR(INDEX(pr_des,MATCH(B540,pr_code,0))&amp;"",""))))</f>
        <v/>
      </c>
      <c r="I540" s="59" t="str">
        <f>IF(B540="","",IFERROR(INDEX(pr_unit,MATCH(B540,pr_code,0))&amp;"",""))</f>
        <v/>
      </c>
      <c r="J540" s="65" t="str">
        <f>IF(COUNTA(A540:G540)=0,"",IF(E540&lt;&gt;"",E540,IF(B540="","",IFERROR(IF(INDEX(pr_price,MATCH(B540,pr_code,0))="","",INDEX(pr_price,MATCH(B540,pr_code,0))),""))))</f>
        <v/>
      </c>
      <c r="K540" s="71" t="str">
        <f>IF(COUNTA(A540:G540)=0,"",IF(G540&lt;&gt;"",G540,IF(B540="","",IFERROR(IF(INDEX(pr_rate,MATCH(B540,pr_code,0))="","",INDEX(pr_rate,MATCH(B540,pr_code,0))),""))))</f>
        <v/>
      </c>
      <c r="L540" s="65" t="str">
        <f>IF(COUNTA(A540:G540)=0,"",IF(AND(ISNUMBER(D540),ISNUMBER(J540)),ROUND(D540*J540*(1-N(F540)),2),0))</f>
        <v/>
      </c>
      <c r="M540" s="62" t="str">
        <f>IF(A540="","",IFERROR(INDEX(fa_cname,MATCH(A540,fa_num,0))&amp;"",""))</f>
        <v/>
      </c>
      <c r="N540" s="59" t="str">
        <f>IF(COUNTA(A540:G540)=0,"",IF(A540="","N° facture manquant",IF(ISNA(MATCH(A540,fa_num,0)),"Facture inconnue",IF(AND(B540&lt;&gt;"",ISNA(MATCH(B540,pr_code,0))),"Article inconnu",IF(H540="","Désignation manquante",IF(OR(NOT(ISNUMBER(D540)),N(D540)&lt;=0),"Quantité invalide",IF(J540="","Prix manquant",IF(OR(NOT(ISNUMBER(J540)),N(J540)&lt;0),"Prix invalide",IF(OR(AND(F540&lt;&gt;"",NOT(ISNUMBER(F540))),N(F540)&lt;0,N(F540)&gt;1),"Remise invalide",IF(K540="","Taux de TVA manquant",IF(NOT(ISNUMBER(K540)),"Taux de TVA invalide",IF(COUNTIF(p_rates,K540)=0,"Taux de TVA hors liste (Paramètres)",IF(N(O540)&gt;25,"Au-delà de 25 lignes : non imprimée","OK")))))))))))))</f>
        <v/>
      </c>
      <c r="O540" s="59" t="str">
        <f>IF(A540="","",COUNTIF($A$6:A540,A540))</f>
        <v/>
      </c>
      <c r="P540" s="62" t="str">
        <f>IF(A540="","",A540&amp;"|"&amp;O540)</f>
        <v/>
      </c>
    </row>
    <row r="541">
      <c r="A541" s="60" t="n"/>
      <c r="B541" s="63" t="n"/>
      <c r="C541" s="63" t="n"/>
      <c r="D541" s="67" t="n"/>
      <c r="E541" s="68" t="n"/>
      <c r="F541" s="69" t="n"/>
      <c r="G541" s="70" t="n"/>
      <c r="H541" s="62" t="str">
        <f>IF(COUNTA(A541:G541)=0,"",IF(C541&lt;&gt;"",C541,IF(B541="","",IFERROR(INDEX(pr_des,MATCH(B541,pr_code,0))&amp;"",""))))</f>
        <v/>
      </c>
      <c r="I541" s="59" t="str">
        <f>IF(B541="","",IFERROR(INDEX(pr_unit,MATCH(B541,pr_code,0))&amp;"",""))</f>
        <v/>
      </c>
      <c r="J541" s="65" t="str">
        <f>IF(COUNTA(A541:G541)=0,"",IF(E541&lt;&gt;"",E541,IF(B541="","",IFERROR(IF(INDEX(pr_price,MATCH(B541,pr_code,0))="","",INDEX(pr_price,MATCH(B541,pr_code,0))),""))))</f>
        <v/>
      </c>
      <c r="K541" s="71" t="str">
        <f>IF(COUNTA(A541:G541)=0,"",IF(G541&lt;&gt;"",G541,IF(B541="","",IFERROR(IF(INDEX(pr_rate,MATCH(B541,pr_code,0))="","",INDEX(pr_rate,MATCH(B541,pr_code,0))),""))))</f>
        <v/>
      </c>
      <c r="L541" s="65" t="str">
        <f>IF(COUNTA(A541:G541)=0,"",IF(AND(ISNUMBER(D541),ISNUMBER(J541)),ROUND(D541*J541*(1-N(F541)),2),0))</f>
        <v/>
      </c>
      <c r="M541" s="62" t="str">
        <f>IF(A541="","",IFERROR(INDEX(fa_cname,MATCH(A541,fa_num,0))&amp;"",""))</f>
        <v/>
      </c>
      <c r="N541" s="59" t="str">
        <f>IF(COUNTA(A541:G541)=0,"",IF(A541="","N° facture manquant",IF(ISNA(MATCH(A541,fa_num,0)),"Facture inconnue",IF(AND(B541&lt;&gt;"",ISNA(MATCH(B541,pr_code,0))),"Article inconnu",IF(H541="","Désignation manquante",IF(OR(NOT(ISNUMBER(D541)),N(D541)&lt;=0),"Quantité invalide",IF(J541="","Prix manquant",IF(OR(NOT(ISNUMBER(J541)),N(J541)&lt;0),"Prix invalide",IF(OR(AND(F541&lt;&gt;"",NOT(ISNUMBER(F541))),N(F541)&lt;0,N(F541)&gt;1),"Remise invalide",IF(K541="","Taux de TVA manquant",IF(NOT(ISNUMBER(K541)),"Taux de TVA invalide",IF(COUNTIF(p_rates,K541)=0,"Taux de TVA hors liste (Paramètres)",IF(N(O541)&gt;25,"Au-delà de 25 lignes : non imprimée","OK")))))))))))))</f>
        <v/>
      </c>
      <c r="O541" s="59" t="str">
        <f>IF(A541="","",COUNTIF($A$6:A541,A541))</f>
        <v/>
      </c>
      <c r="P541" s="62" t="str">
        <f>IF(A541="","",A541&amp;"|"&amp;O541)</f>
        <v/>
      </c>
    </row>
    <row r="542">
      <c r="A542" s="60" t="n"/>
      <c r="B542" s="63" t="n"/>
      <c r="C542" s="63" t="n"/>
      <c r="D542" s="67" t="n"/>
      <c r="E542" s="68" t="n"/>
      <c r="F542" s="69" t="n"/>
      <c r="G542" s="70" t="n"/>
      <c r="H542" s="62" t="str">
        <f>IF(COUNTA(A542:G542)=0,"",IF(C542&lt;&gt;"",C542,IF(B542="","",IFERROR(INDEX(pr_des,MATCH(B542,pr_code,0))&amp;"",""))))</f>
        <v/>
      </c>
      <c r="I542" s="59" t="str">
        <f>IF(B542="","",IFERROR(INDEX(pr_unit,MATCH(B542,pr_code,0))&amp;"",""))</f>
        <v/>
      </c>
      <c r="J542" s="65" t="str">
        <f>IF(COUNTA(A542:G542)=0,"",IF(E542&lt;&gt;"",E542,IF(B542="","",IFERROR(IF(INDEX(pr_price,MATCH(B542,pr_code,0))="","",INDEX(pr_price,MATCH(B542,pr_code,0))),""))))</f>
        <v/>
      </c>
      <c r="K542" s="71" t="str">
        <f>IF(COUNTA(A542:G542)=0,"",IF(G542&lt;&gt;"",G542,IF(B542="","",IFERROR(IF(INDEX(pr_rate,MATCH(B542,pr_code,0))="","",INDEX(pr_rate,MATCH(B542,pr_code,0))),""))))</f>
        <v/>
      </c>
      <c r="L542" s="65" t="str">
        <f>IF(COUNTA(A542:G542)=0,"",IF(AND(ISNUMBER(D542),ISNUMBER(J542)),ROUND(D542*J542*(1-N(F542)),2),0))</f>
        <v/>
      </c>
      <c r="M542" s="62" t="str">
        <f>IF(A542="","",IFERROR(INDEX(fa_cname,MATCH(A542,fa_num,0))&amp;"",""))</f>
        <v/>
      </c>
      <c r="N542" s="59" t="str">
        <f>IF(COUNTA(A542:G542)=0,"",IF(A542="","N° facture manquant",IF(ISNA(MATCH(A542,fa_num,0)),"Facture inconnue",IF(AND(B542&lt;&gt;"",ISNA(MATCH(B542,pr_code,0))),"Article inconnu",IF(H542="","Désignation manquante",IF(OR(NOT(ISNUMBER(D542)),N(D542)&lt;=0),"Quantité invalide",IF(J542="","Prix manquant",IF(OR(NOT(ISNUMBER(J542)),N(J542)&lt;0),"Prix invalide",IF(OR(AND(F542&lt;&gt;"",NOT(ISNUMBER(F542))),N(F542)&lt;0,N(F542)&gt;1),"Remise invalide",IF(K542="","Taux de TVA manquant",IF(NOT(ISNUMBER(K542)),"Taux de TVA invalide",IF(COUNTIF(p_rates,K542)=0,"Taux de TVA hors liste (Paramètres)",IF(N(O542)&gt;25,"Au-delà de 25 lignes : non imprimée","OK")))))))))))))</f>
        <v/>
      </c>
      <c r="O542" s="59" t="str">
        <f>IF(A542="","",COUNTIF($A$6:A542,A542))</f>
        <v/>
      </c>
      <c r="P542" s="62" t="str">
        <f>IF(A542="","",A542&amp;"|"&amp;O542)</f>
        <v/>
      </c>
    </row>
    <row r="543">
      <c r="A543" s="60" t="n"/>
      <c r="B543" s="63" t="n"/>
      <c r="C543" s="63" t="n"/>
      <c r="D543" s="67" t="n"/>
      <c r="E543" s="68" t="n"/>
      <c r="F543" s="69" t="n"/>
      <c r="G543" s="70" t="n"/>
      <c r="H543" s="62" t="str">
        <f>IF(COUNTA(A543:G543)=0,"",IF(C543&lt;&gt;"",C543,IF(B543="","",IFERROR(INDEX(pr_des,MATCH(B543,pr_code,0))&amp;"",""))))</f>
        <v/>
      </c>
      <c r="I543" s="59" t="str">
        <f>IF(B543="","",IFERROR(INDEX(pr_unit,MATCH(B543,pr_code,0))&amp;"",""))</f>
        <v/>
      </c>
      <c r="J543" s="65" t="str">
        <f>IF(COUNTA(A543:G543)=0,"",IF(E543&lt;&gt;"",E543,IF(B543="","",IFERROR(IF(INDEX(pr_price,MATCH(B543,pr_code,0))="","",INDEX(pr_price,MATCH(B543,pr_code,0))),""))))</f>
        <v/>
      </c>
      <c r="K543" s="71" t="str">
        <f>IF(COUNTA(A543:G543)=0,"",IF(G543&lt;&gt;"",G543,IF(B543="","",IFERROR(IF(INDEX(pr_rate,MATCH(B543,pr_code,0))="","",INDEX(pr_rate,MATCH(B543,pr_code,0))),""))))</f>
        <v/>
      </c>
      <c r="L543" s="65" t="str">
        <f>IF(COUNTA(A543:G543)=0,"",IF(AND(ISNUMBER(D543),ISNUMBER(J543)),ROUND(D543*J543*(1-N(F543)),2),0))</f>
        <v/>
      </c>
      <c r="M543" s="62" t="str">
        <f>IF(A543="","",IFERROR(INDEX(fa_cname,MATCH(A543,fa_num,0))&amp;"",""))</f>
        <v/>
      </c>
      <c r="N543" s="59" t="str">
        <f>IF(COUNTA(A543:G543)=0,"",IF(A543="","N° facture manquant",IF(ISNA(MATCH(A543,fa_num,0)),"Facture inconnue",IF(AND(B543&lt;&gt;"",ISNA(MATCH(B543,pr_code,0))),"Article inconnu",IF(H543="","Désignation manquante",IF(OR(NOT(ISNUMBER(D543)),N(D543)&lt;=0),"Quantité invalide",IF(J543="","Prix manquant",IF(OR(NOT(ISNUMBER(J543)),N(J543)&lt;0),"Prix invalide",IF(OR(AND(F543&lt;&gt;"",NOT(ISNUMBER(F543))),N(F543)&lt;0,N(F543)&gt;1),"Remise invalide",IF(K543="","Taux de TVA manquant",IF(NOT(ISNUMBER(K543)),"Taux de TVA invalide",IF(COUNTIF(p_rates,K543)=0,"Taux de TVA hors liste (Paramètres)",IF(N(O543)&gt;25,"Au-delà de 25 lignes : non imprimée","OK")))))))))))))</f>
        <v/>
      </c>
      <c r="O543" s="59" t="str">
        <f>IF(A543="","",COUNTIF($A$6:A543,A543))</f>
        <v/>
      </c>
      <c r="P543" s="62" t="str">
        <f>IF(A543="","",A543&amp;"|"&amp;O543)</f>
        <v/>
      </c>
    </row>
    <row r="544">
      <c r="A544" s="60" t="n"/>
      <c r="B544" s="63" t="n"/>
      <c r="C544" s="63" t="n"/>
      <c r="D544" s="67" t="n"/>
      <c r="E544" s="68" t="n"/>
      <c r="F544" s="69" t="n"/>
      <c r="G544" s="70" t="n"/>
      <c r="H544" s="62" t="str">
        <f>IF(COUNTA(A544:G544)=0,"",IF(C544&lt;&gt;"",C544,IF(B544="","",IFERROR(INDEX(pr_des,MATCH(B544,pr_code,0))&amp;"",""))))</f>
        <v/>
      </c>
      <c r="I544" s="59" t="str">
        <f>IF(B544="","",IFERROR(INDEX(pr_unit,MATCH(B544,pr_code,0))&amp;"",""))</f>
        <v/>
      </c>
      <c r="J544" s="65" t="str">
        <f>IF(COUNTA(A544:G544)=0,"",IF(E544&lt;&gt;"",E544,IF(B544="","",IFERROR(IF(INDEX(pr_price,MATCH(B544,pr_code,0))="","",INDEX(pr_price,MATCH(B544,pr_code,0))),""))))</f>
        <v/>
      </c>
      <c r="K544" s="71" t="str">
        <f>IF(COUNTA(A544:G544)=0,"",IF(G544&lt;&gt;"",G544,IF(B544="","",IFERROR(IF(INDEX(pr_rate,MATCH(B544,pr_code,0))="","",INDEX(pr_rate,MATCH(B544,pr_code,0))),""))))</f>
        <v/>
      </c>
      <c r="L544" s="65" t="str">
        <f>IF(COUNTA(A544:G544)=0,"",IF(AND(ISNUMBER(D544),ISNUMBER(J544)),ROUND(D544*J544*(1-N(F544)),2),0))</f>
        <v/>
      </c>
      <c r="M544" s="62" t="str">
        <f>IF(A544="","",IFERROR(INDEX(fa_cname,MATCH(A544,fa_num,0))&amp;"",""))</f>
        <v/>
      </c>
      <c r="N544" s="59" t="str">
        <f>IF(COUNTA(A544:G544)=0,"",IF(A544="","N° facture manquant",IF(ISNA(MATCH(A544,fa_num,0)),"Facture inconnue",IF(AND(B544&lt;&gt;"",ISNA(MATCH(B544,pr_code,0))),"Article inconnu",IF(H544="","Désignation manquante",IF(OR(NOT(ISNUMBER(D544)),N(D544)&lt;=0),"Quantité invalide",IF(J544="","Prix manquant",IF(OR(NOT(ISNUMBER(J544)),N(J544)&lt;0),"Prix invalide",IF(OR(AND(F544&lt;&gt;"",NOT(ISNUMBER(F544))),N(F544)&lt;0,N(F544)&gt;1),"Remise invalide",IF(K544="","Taux de TVA manquant",IF(NOT(ISNUMBER(K544)),"Taux de TVA invalide",IF(COUNTIF(p_rates,K544)=0,"Taux de TVA hors liste (Paramètres)",IF(N(O544)&gt;25,"Au-delà de 25 lignes : non imprimée","OK")))))))))))))</f>
        <v/>
      </c>
      <c r="O544" s="59" t="str">
        <f>IF(A544="","",COUNTIF($A$6:A544,A544))</f>
        <v/>
      </c>
      <c r="P544" s="62" t="str">
        <f>IF(A544="","",A544&amp;"|"&amp;O544)</f>
        <v/>
      </c>
    </row>
    <row r="545">
      <c r="A545" s="60" t="n"/>
      <c r="B545" s="63" t="n"/>
      <c r="C545" s="63" t="n"/>
      <c r="D545" s="67" t="n"/>
      <c r="E545" s="68" t="n"/>
      <c r="F545" s="69" t="n"/>
      <c r="G545" s="70" t="n"/>
      <c r="H545" s="62" t="str">
        <f>IF(COUNTA(A545:G545)=0,"",IF(C545&lt;&gt;"",C545,IF(B545="","",IFERROR(INDEX(pr_des,MATCH(B545,pr_code,0))&amp;"",""))))</f>
        <v/>
      </c>
      <c r="I545" s="59" t="str">
        <f>IF(B545="","",IFERROR(INDEX(pr_unit,MATCH(B545,pr_code,0))&amp;"",""))</f>
        <v/>
      </c>
      <c r="J545" s="65" t="str">
        <f>IF(COUNTA(A545:G545)=0,"",IF(E545&lt;&gt;"",E545,IF(B545="","",IFERROR(IF(INDEX(pr_price,MATCH(B545,pr_code,0))="","",INDEX(pr_price,MATCH(B545,pr_code,0))),""))))</f>
        <v/>
      </c>
      <c r="K545" s="71" t="str">
        <f>IF(COUNTA(A545:G545)=0,"",IF(G545&lt;&gt;"",G545,IF(B545="","",IFERROR(IF(INDEX(pr_rate,MATCH(B545,pr_code,0))="","",INDEX(pr_rate,MATCH(B545,pr_code,0))),""))))</f>
        <v/>
      </c>
      <c r="L545" s="65" t="str">
        <f>IF(COUNTA(A545:G545)=0,"",IF(AND(ISNUMBER(D545),ISNUMBER(J545)),ROUND(D545*J545*(1-N(F545)),2),0))</f>
        <v/>
      </c>
      <c r="M545" s="62" t="str">
        <f>IF(A545="","",IFERROR(INDEX(fa_cname,MATCH(A545,fa_num,0))&amp;"",""))</f>
        <v/>
      </c>
      <c r="N545" s="59" t="str">
        <f>IF(COUNTA(A545:G545)=0,"",IF(A545="","N° facture manquant",IF(ISNA(MATCH(A545,fa_num,0)),"Facture inconnue",IF(AND(B545&lt;&gt;"",ISNA(MATCH(B545,pr_code,0))),"Article inconnu",IF(H545="","Désignation manquante",IF(OR(NOT(ISNUMBER(D545)),N(D545)&lt;=0),"Quantité invalide",IF(J545="","Prix manquant",IF(OR(NOT(ISNUMBER(J545)),N(J545)&lt;0),"Prix invalide",IF(OR(AND(F545&lt;&gt;"",NOT(ISNUMBER(F545))),N(F545)&lt;0,N(F545)&gt;1),"Remise invalide",IF(K545="","Taux de TVA manquant",IF(NOT(ISNUMBER(K545)),"Taux de TVA invalide",IF(COUNTIF(p_rates,K545)=0,"Taux de TVA hors liste (Paramètres)",IF(N(O545)&gt;25,"Au-delà de 25 lignes : non imprimée","OK")))))))))))))</f>
        <v/>
      </c>
      <c r="O545" s="59" t="str">
        <f>IF(A545="","",COUNTIF($A$6:A545,A545))</f>
        <v/>
      </c>
      <c r="P545" s="62" t="str">
        <f>IF(A545="","",A545&amp;"|"&amp;O545)</f>
        <v/>
      </c>
    </row>
    <row r="546">
      <c r="A546" s="60" t="n"/>
      <c r="B546" s="63" t="n"/>
      <c r="C546" s="63" t="n"/>
      <c r="D546" s="67" t="n"/>
      <c r="E546" s="68" t="n"/>
      <c r="F546" s="69" t="n"/>
      <c r="G546" s="70" t="n"/>
      <c r="H546" s="62" t="str">
        <f>IF(COUNTA(A546:G546)=0,"",IF(C546&lt;&gt;"",C546,IF(B546="","",IFERROR(INDEX(pr_des,MATCH(B546,pr_code,0))&amp;"",""))))</f>
        <v/>
      </c>
      <c r="I546" s="59" t="str">
        <f>IF(B546="","",IFERROR(INDEX(pr_unit,MATCH(B546,pr_code,0))&amp;"",""))</f>
        <v/>
      </c>
      <c r="J546" s="65" t="str">
        <f>IF(COUNTA(A546:G546)=0,"",IF(E546&lt;&gt;"",E546,IF(B546="","",IFERROR(IF(INDEX(pr_price,MATCH(B546,pr_code,0))="","",INDEX(pr_price,MATCH(B546,pr_code,0))),""))))</f>
        <v/>
      </c>
      <c r="K546" s="71" t="str">
        <f>IF(COUNTA(A546:G546)=0,"",IF(G546&lt;&gt;"",G546,IF(B546="","",IFERROR(IF(INDEX(pr_rate,MATCH(B546,pr_code,0))="","",INDEX(pr_rate,MATCH(B546,pr_code,0))),""))))</f>
        <v/>
      </c>
      <c r="L546" s="65" t="str">
        <f>IF(COUNTA(A546:G546)=0,"",IF(AND(ISNUMBER(D546),ISNUMBER(J546)),ROUND(D546*J546*(1-N(F546)),2),0))</f>
        <v/>
      </c>
      <c r="M546" s="62" t="str">
        <f>IF(A546="","",IFERROR(INDEX(fa_cname,MATCH(A546,fa_num,0))&amp;"",""))</f>
        <v/>
      </c>
      <c r="N546" s="59" t="str">
        <f>IF(COUNTA(A546:G546)=0,"",IF(A546="","N° facture manquant",IF(ISNA(MATCH(A546,fa_num,0)),"Facture inconnue",IF(AND(B546&lt;&gt;"",ISNA(MATCH(B546,pr_code,0))),"Article inconnu",IF(H546="","Désignation manquante",IF(OR(NOT(ISNUMBER(D546)),N(D546)&lt;=0),"Quantité invalide",IF(J546="","Prix manquant",IF(OR(NOT(ISNUMBER(J546)),N(J546)&lt;0),"Prix invalide",IF(OR(AND(F546&lt;&gt;"",NOT(ISNUMBER(F546))),N(F546)&lt;0,N(F546)&gt;1),"Remise invalide",IF(K546="","Taux de TVA manquant",IF(NOT(ISNUMBER(K546)),"Taux de TVA invalide",IF(COUNTIF(p_rates,K546)=0,"Taux de TVA hors liste (Paramètres)",IF(N(O546)&gt;25,"Au-delà de 25 lignes : non imprimée","OK")))))))))))))</f>
        <v/>
      </c>
      <c r="O546" s="59" t="str">
        <f>IF(A546="","",COUNTIF($A$6:A546,A546))</f>
        <v/>
      </c>
      <c r="P546" s="62" t="str">
        <f>IF(A546="","",A546&amp;"|"&amp;O546)</f>
        <v/>
      </c>
    </row>
    <row r="547">
      <c r="A547" s="60" t="n"/>
      <c r="B547" s="63" t="n"/>
      <c r="C547" s="63" t="n"/>
      <c r="D547" s="67" t="n"/>
      <c r="E547" s="68" t="n"/>
      <c r="F547" s="69" t="n"/>
      <c r="G547" s="70" t="n"/>
      <c r="H547" s="62" t="str">
        <f>IF(COUNTA(A547:G547)=0,"",IF(C547&lt;&gt;"",C547,IF(B547="","",IFERROR(INDEX(pr_des,MATCH(B547,pr_code,0))&amp;"",""))))</f>
        <v/>
      </c>
      <c r="I547" s="59" t="str">
        <f>IF(B547="","",IFERROR(INDEX(pr_unit,MATCH(B547,pr_code,0))&amp;"",""))</f>
        <v/>
      </c>
      <c r="J547" s="65" t="str">
        <f>IF(COUNTA(A547:G547)=0,"",IF(E547&lt;&gt;"",E547,IF(B547="","",IFERROR(IF(INDEX(pr_price,MATCH(B547,pr_code,0))="","",INDEX(pr_price,MATCH(B547,pr_code,0))),""))))</f>
        <v/>
      </c>
      <c r="K547" s="71" t="str">
        <f>IF(COUNTA(A547:G547)=0,"",IF(G547&lt;&gt;"",G547,IF(B547="","",IFERROR(IF(INDEX(pr_rate,MATCH(B547,pr_code,0))="","",INDEX(pr_rate,MATCH(B547,pr_code,0))),""))))</f>
        <v/>
      </c>
      <c r="L547" s="65" t="str">
        <f>IF(COUNTA(A547:G547)=0,"",IF(AND(ISNUMBER(D547),ISNUMBER(J547)),ROUND(D547*J547*(1-N(F547)),2),0))</f>
        <v/>
      </c>
      <c r="M547" s="62" t="str">
        <f>IF(A547="","",IFERROR(INDEX(fa_cname,MATCH(A547,fa_num,0))&amp;"",""))</f>
        <v/>
      </c>
      <c r="N547" s="59" t="str">
        <f>IF(COUNTA(A547:G547)=0,"",IF(A547="","N° facture manquant",IF(ISNA(MATCH(A547,fa_num,0)),"Facture inconnue",IF(AND(B547&lt;&gt;"",ISNA(MATCH(B547,pr_code,0))),"Article inconnu",IF(H547="","Désignation manquante",IF(OR(NOT(ISNUMBER(D547)),N(D547)&lt;=0),"Quantité invalide",IF(J547="","Prix manquant",IF(OR(NOT(ISNUMBER(J547)),N(J547)&lt;0),"Prix invalide",IF(OR(AND(F547&lt;&gt;"",NOT(ISNUMBER(F547))),N(F547)&lt;0,N(F547)&gt;1),"Remise invalide",IF(K547="","Taux de TVA manquant",IF(NOT(ISNUMBER(K547)),"Taux de TVA invalide",IF(COUNTIF(p_rates,K547)=0,"Taux de TVA hors liste (Paramètres)",IF(N(O547)&gt;25,"Au-delà de 25 lignes : non imprimée","OK")))))))))))))</f>
        <v/>
      </c>
      <c r="O547" s="59" t="str">
        <f>IF(A547="","",COUNTIF($A$6:A547,A547))</f>
        <v/>
      </c>
      <c r="P547" s="62" t="str">
        <f>IF(A547="","",A547&amp;"|"&amp;O547)</f>
        <v/>
      </c>
    </row>
    <row r="548">
      <c r="A548" s="60" t="n"/>
      <c r="B548" s="63" t="n"/>
      <c r="C548" s="63" t="n"/>
      <c r="D548" s="67" t="n"/>
      <c r="E548" s="68" t="n"/>
      <c r="F548" s="69" t="n"/>
      <c r="G548" s="70" t="n"/>
      <c r="H548" s="62" t="str">
        <f>IF(COUNTA(A548:G548)=0,"",IF(C548&lt;&gt;"",C548,IF(B548="","",IFERROR(INDEX(pr_des,MATCH(B548,pr_code,0))&amp;"",""))))</f>
        <v/>
      </c>
      <c r="I548" s="59" t="str">
        <f>IF(B548="","",IFERROR(INDEX(pr_unit,MATCH(B548,pr_code,0))&amp;"",""))</f>
        <v/>
      </c>
      <c r="J548" s="65" t="str">
        <f>IF(COUNTA(A548:G548)=0,"",IF(E548&lt;&gt;"",E548,IF(B548="","",IFERROR(IF(INDEX(pr_price,MATCH(B548,pr_code,0))="","",INDEX(pr_price,MATCH(B548,pr_code,0))),""))))</f>
        <v/>
      </c>
      <c r="K548" s="71" t="str">
        <f>IF(COUNTA(A548:G548)=0,"",IF(G548&lt;&gt;"",G548,IF(B548="","",IFERROR(IF(INDEX(pr_rate,MATCH(B548,pr_code,0))="","",INDEX(pr_rate,MATCH(B548,pr_code,0))),""))))</f>
        <v/>
      </c>
      <c r="L548" s="65" t="str">
        <f>IF(COUNTA(A548:G548)=0,"",IF(AND(ISNUMBER(D548),ISNUMBER(J548)),ROUND(D548*J548*(1-N(F548)),2),0))</f>
        <v/>
      </c>
      <c r="M548" s="62" t="str">
        <f>IF(A548="","",IFERROR(INDEX(fa_cname,MATCH(A548,fa_num,0))&amp;"",""))</f>
        <v/>
      </c>
      <c r="N548" s="59" t="str">
        <f>IF(COUNTA(A548:G548)=0,"",IF(A548="","N° facture manquant",IF(ISNA(MATCH(A548,fa_num,0)),"Facture inconnue",IF(AND(B548&lt;&gt;"",ISNA(MATCH(B548,pr_code,0))),"Article inconnu",IF(H548="","Désignation manquante",IF(OR(NOT(ISNUMBER(D548)),N(D548)&lt;=0),"Quantité invalide",IF(J548="","Prix manquant",IF(OR(NOT(ISNUMBER(J548)),N(J548)&lt;0),"Prix invalide",IF(OR(AND(F548&lt;&gt;"",NOT(ISNUMBER(F548))),N(F548)&lt;0,N(F548)&gt;1),"Remise invalide",IF(K548="","Taux de TVA manquant",IF(NOT(ISNUMBER(K548)),"Taux de TVA invalide",IF(COUNTIF(p_rates,K548)=0,"Taux de TVA hors liste (Paramètres)",IF(N(O548)&gt;25,"Au-delà de 25 lignes : non imprimée","OK")))))))))))))</f>
        <v/>
      </c>
      <c r="O548" s="59" t="str">
        <f>IF(A548="","",COUNTIF($A$6:A548,A548))</f>
        <v/>
      </c>
      <c r="P548" s="62" t="str">
        <f>IF(A548="","",A548&amp;"|"&amp;O548)</f>
        <v/>
      </c>
    </row>
    <row r="549">
      <c r="A549" s="60" t="n"/>
      <c r="B549" s="63" t="n"/>
      <c r="C549" s="63" t="n"/>
      <c r="D549" s="67" t="n"/>
      <c r="E549" s="68" t="n"/>
      <c r="F549" s="69" t="n"/>
      <c r="G549" s="70" t="n"/>
      <c r="H549" s="62" t="str">
        <f>IF(COUNTA(A549:G549)=0,"",IF(C549&lt;&gt;"",C549,IF(B549="","",IFERROR(INDEX(pr_des,MATCH(B549,pr_code,0))&amp;"",""))))</f>
        <v/>
      </c>
      <c r="I549" s="59" t="str">
        <f>IF(B549="","",IFERROR(INDEX(pr_unit,MATCH(B549,pr_code,0))&amp;"",""))</f>
        <v/>
      </c>
      <c r="J549" s="65" t="str">
        <f>IF(COUNTA(A549:G549)=0,"",IF(E549&lt;&gt;"",E549,IF(B549="","",IFERROR(IF(INDEX(pr_price,MATCH(B549,pr_code,0))="","",INDEX(pr_price,MATCH(B549,pr_code,0))),""))))</f>
        <v/>
      </c>
      <c r="K549" s="71" t="str">
        <f>IF(COUNTA(A549:G549)=0,"",IF(G549&lt;&gt;"",G549,IF(B549="","",IFERROR(IF(INDEX(pr_rate,MATCH(B549,pr_code,0))="","",INDEX(pr_rate,MATCH(B549,pr_code,0))),""))))</f>
        <v/>
      </c>
      <c r="L549" s="65" t="str">
        <f>IF(COUNTA(A549:G549)=0,"",IF(AND(ISNUMBER(D549),ISNUMBER(J549)),ROUND(D549*J549*(1-N(F549)),2),0))</f>
        <v/>
      </c>
      <c r="M549" s="62" t="str">
        <f>IF(A549="","",IFERROR(INDEX(fa_cname,MATCH(A549,fa_num,0))&amp;"",""))</f>
        <v/>
      </c>
      <c r="N549" s="59" t="str">
        <f>IF(COUNTA(A549:G549)=0,"",IF(A549="","N° facture manquant",IF(ISNA(MATCH(A549,fa_num,0)),"Facture inconnue",IF(AND(B549&lt;&gt;"",ISNA(MATCH(B549,pr_code,0))),"Article inconnu",IF(H549="","Désignation manquante",IF(OR(NOT(ISNUMBER(D549)),N(D549)&lt;=0),"Quantité invalide",IF(J549="","Prix manquant",IF(OR(NOT(ISNUMBER(J549)),N(J549)&lt;0),"Prix invalide",IF(OR(AND(F549&lt;&gt;"",NOT(ISNUMBER(F549))),N(F549)&lt;0,N(F549)&gt;1),"Remise invalide",IF(K549="","Taux de TVA manquant",IF(NOT(ISNUMBER(K549)),"Taux de TVA invalide",IF(COUNTIF(p_rates,K549)=0,"Taux de TVA hors liste (Paramètres)",IF(N(O549)&gt;25,"Au-delà de 25 lignes : non imprimée","OK")))))))))))))</f>
        <v/>
      </c>
      <c r="O549" s="59" t="str">
        <f>IF(A549="","",COUNTIF($A$6:A549,A549))</f>
        <v/>
      </c>
      <c r="P549" s="62" t="str">
        <f>IF(A549="","",A549&amp;"|"&amp;O549)</f>
        <v/>
      </c>
    </row>
    <row r="550">
      <c r="A550" s="60" t="n"/>
      <c r="B550" s="63" t="n"/>
      <c r="C550" s="63" t="n"/>
      <c r="D550" s="67" t="n"/>
      <c r="E550" s="68" t="n"/>
      <c r="F550" s="69" t="n"/>
      <c r="G550" s="70" t="n"/>
      <c r="H550" s="62" t="str">
        <f>IF(COUNTA(A550:G550)=0,"",IF(C550&lt;&gt;"",C550,IF(B550="","",IFERROR(INDEX(pr_des,MATCH(B550,pr_code,0))&amp;"",""))))</f>
        <v/>
      </c>
      <c r="I550" s="59" t="str">
        <f>IF(B550="","",IFERROR(INDEX(pr_unit,MATCH(B550,pr_code,0))&amp;"",""))</f>
        <v/>
      </c>
      <c r="J550" s="65" t="str">
        <f>IF(COUNTA(A550:G550)=0,"",IF(E550&lt;&gt;"",E550,IF(B550="","",IFERROR(IF(INDEX(pr_price,MATCH(B550,pr_code,0))="","",INDEX(pr_price,MATCH(B550,pr_code,0))),""))))</f>
        <v/>
      </c>
      <c r="K550" s="71" t="str">
        <f>IF(COUNTA(A550:G550)=0,"",IF(G550&lt;&gt;"",G550,IF(B550="","",IFERROR(IF(INDEX(pr_rate,MATCH(B550,pr_code,0))="","",INDEX(pr_rate,MATCH(B550,pr_code,0))),""))))</f>
        <v/>
      </c>
      <c r="L550" s="65" t="str">
        <f>IF(COUNTA(A550:G550)=0,"",IF(AND(ISNUMBER(D550),ISNUMBER(J550)),ROUND(D550*J550*(1-N(F550)),2),0))</f>
        <v/>
      </c>
      <c r="M550" s="62" t="str">
        <f>IF(A550="","",IFERROR(INDEX(fa_cname,MATCH(A550,fa_num,0))&amp;"",""))</f>
        <v/>
      </c>
      <c r="N550" s="59" t="str">
        <f>IF(COUNTA(A550:G550)=0,"",IF(A550="","N° facture manquant",IF(ISNA(MATCH(A550,fa_num,0)),"Facture inconnue",IF(AND(B550&lt;&gt;"",ISNA(MATCH(B550,pr_code,0))),"Article inconnu",IF(H550="","Désignation manquante",IF(OR(NOT(ISNUMBER(D550)),N(D550)&lt;=0),"Quantité invalide",IF(J550="","Prix manquant",IF(OR(NOT(ISNUMBER(J550)),N(J550)&lt;0),"Prix invalide",IF(OR(AND(F550&lt;&gt;"",NOT(ISNUMBER(F550))),N(F550)&lt;0,N(F550)&gt;1),"Remise invalide",IF(K550="","Taux de TVA manquant",IF(NOT(ISNUMBER(K550)),"Taux de TVA invalide",IF(COUNTIF(p_rates,K550)=0,"Taux de TVA hors liste (Paramètres)",IF(N(O550)&gt;25,"Au-delà de 25 lignes : non imprimée","OK")))))))))))))</f>
        <v/>
      </c>
      <c r="O550" s="59" t="str">
        <f>IF(A550="","",COUNTIF($A$6:A550,A550))</f>
        <v/>
      </c>
      <c r="P550" s="62" t="str">
        <f>IF(A550="","",A550&amp;"|"&amp;O550)</f>
        <v/>
      </c>
    </row>
    <row r="551">
      <c r="A551" s="60" t="n"/>
      <c r="B551" s="63" t="n"/>
      <c r="C551" s="63" t="n"/>
      <c r="D551" s="67" t="n"/>
      <c r="E551" s="68" t="n"/>
      <c r="F551" s="69" t="n"/>
      <c r="G551" s="70" t="n"/>
      <c r="H551" s="62" t="str">
        <f>IF(COUNTA(A551:G551)=0,"",IF(C551&lt;&gt;"",C551,IF(B551="","",IFERROR(INDEX(pr_des,MATCH(B551,pr_code,0))&amp;"",""))))</f>
        <v/>
      </c>
      <c r="I551" s="59" t="str">
        <f>IF(B551="","",IFERROR(INDEX(pr_unit,MATCH(B551,pr_code,0))&amp;"",""))</f>
        <v/>
      </c>
      <c r="J551" s="65" t="str">
        <f>IF(COUNTA(A551:G551)=0,"",IF(E551&lt;&gt;"",E551,IF(B551="","",IFERROR(IF(INDEX(pr_price,MATCH(B551,pr_code,0))="","",INDEX(pr_price,MATCH(B551,pr_code,0))),""))))</f>
        <v/>
      </c>
      <c r="K551" s="71" t="str">
        <f>IF(COUNTA(A551:G551)=0,"",IF(G551&lt;&gt;"",G551,IF(B551="","",IFERROR(IF(INDEX(pr_rate,MATCH(B551,pr_code,0))="","",INDEX(pr_rate,MATCH(B551,pr_code,0))),""))))</f>
        <v/>
      </c>
      <c r="L551" s="65" t="str">
        <f>IF(COUNTA(A551:G551)=0,"",IF(AND(ISNUMBER(D551),ISNUMBER(J551)),ROUND(D551*J551*(1-N(F551)),2),0))</f>
        <v/>
      </c>
      <c r="M551" s="62" t="str">
        <f>IF(A551="","",IFERROR(INDEX(fa_cname,MATCH(A551,fa_num,0))&amp;"",""))</f>
        <v/>
      </c>
      <c r="N551" s="59" t="str">
        <f>IF(COUNTA(A551:G551)=0,"",IF(A551="","N° facture manquant",IF(ISNA(MATCH(A551,fa_num,0)),"Facture inconnue",IF(AND(B551&lt;&gt;"",ISNA(MATCH(B551,pr_code,0))),"Article inconnu",IF(H551="","Désignation manquante",IF(OR(NOT(ISNUMBER(D551)),N(D551)&lt;=0),"Quantité invalide",IF(J551="","Prix manquant",IF(OR(NOT(ISNUMBER(J551)),N(J551)&lt;0),"Prix invalide",IF(OR(AND(F551&lt;&gt;"",NOT(ISNUMBER(F551))),N(F551)&lt;0,N(F551)&gt;1),"Remise invalide",IF(K551="","Taux de TVA manquant",IF(NOT(ISNUMBER(K551)),"Taux de TVA invalide",IF(COUNTIF(p_rates,K551)=0,"Taux de TVA hors liste (Paramètres)",IF(N(O551)&gt;25,"Au-delà de 25 lignes : non imprimée","OK")))))))))))))</f>
        <v/>
      </c>
      <c r="O551" s="59" t="str">
        <f>IF(A551="","",COUNTIF($A$6:A551,A551))</f>
        <v/>
      </c>
      <c r="P551" s="62" t="str">
        <f>IF(A551="","",A551&amp;"|"&amp;O551)</f>
        <v/>
      </c>
    </row>
    <row r="552">
      <c r="A552" s="60" t="n"/>
      <c r="B552" s="63" t="n"/>
      <c r="C552" s="63" t="n"/>
      <c r="D552" s="67" t="n"/>
      <c r="E552" s="68" t="n"/>
      <c r="F552" s="69" t="n"/>
      <c r="G552" s="70" t="n"/>
      <c r="H552" s="62" t="str">
        <f>IF(COUNTA(A552:G552)=0,"",IF(C552&lt;&gt;"",C552,IF(B552="","",IFERROR(INDEX(pr_des,MATCH(B552,pr_code,0))&amp;"",""))))</f>
        <v/>
      </c>
      <c r="I552" s="59" t="str">
        <f>IF(B552="","",IFERROR(INDEX(pr_unit,MATCH(B552,pr_code,0))&amp;"",""))</f>
        <v/>
      </c>
      <c r="J552" s="65" t="str">
        <f>IF(COUNTA(A552:G552)=0,"",IF(E552&lt;&gt;"",E552,IF(B552="","",IFERROR(IF(INDEX(pr_price,MATCH(B552,pr_code,0))="","",INDEX(pr_price,MATCH(B552,pr_code,0))),""))))</f>
        <v/>
      </c>
      <c r="K552" s="71" t="str">
        <f>IF(COUNTA(A552:G552)=0,"",IF(G552&lt;&gt;"",G552,IF(B552="","",IFERROR(IF(INDEX(pr_rate,MATCH(B552,pr_code,0))="","",INDEX(pr_rate,MATCH(B552,pr_code,0))),""))))</f>
        <v/>
      </c>
      <c r="L552" s="65" t="str">
        <f>IF(COUNTA(A552:G552)=0,"",IF(AND(ISNUMBER(D552),ISNUMBER(J552)),ROUND(D552*J552*(1-N(F552)),2),0))</f>
        <v/>
      </c>
      <c r="M552" s="62" t="str">
        <f>IF(A552="","",IFERROR(INDEX(fa_cname,MATCH(A552,fa_num,0))&amp;"",""))</f>
        <v/>
      </c>
      <c r="N552" s="59" t="str">
        <f>IF(COUNTA(A552:G552)=0,"",IF(A552="","N° facture manquant",IF(ISNA(MATCH(A552,fa_num,0)),"Facture inconnue",IF(AND(B552&lt;&gt;"",ISNA(MATCH(B552,pr_code,0))),"Article inconnu",IF(H552="","Désignation manquante",IF(OR(NOT(ISNUMBER(D552)),N(D552)&lt;=0),"Quantité invalide",IF(J552="","Prix manquant",IF(OR(NOT(ISNUMBER(J552)),N(J552)&lt;0),"Prix invalide",IF(OR(AND(F552&lt;&gt;"",NOT(ISNUMBER(F552))),N(F552)&lt;0,N(F552)&gt;1),"Remise invalide",IF(K552="","Taux de TVA manquant",IF(NOT(ISNUMBER(K552)),"Taux de TVA invalide",IF(COUNTIF(p_rates,K552)=0,"Taux de TVA hors liste (Paramètres)",IF(N(O552)&gt;25,"Au-delà de 25 lignes : non imprimée","OK")))))))))))))</f>
        <v/>
      </c>
      <c r="O552" s="59" t="str">
        <f>IF(A552="","",COUNTIF($A$6:A552,A552))</f>
        <v/>
      </c>
      <c r="P552" s="62" t="str">
        <f>IF(A552="","",A552&amp;"|"&amp;O552)</f>
        <v/>
      </c>
    </row>
    <row r="553">
      <c r="A553" s="60" t="n"/>
      <c r="B553" s="63" t="n"/>
      <c r="C553" s="63" t="n"/>
      <c r="D553" s="67" t="n"/>
      <c r="E553" s="68" t="n"/>
      <c r="F553" s="69" t="n"/>
      <c r="G553" s="70" t="n"/>
      <c r="H553" s="62" t="str">
        <f>IF(COUNTA(A553:G553)=0,"",IF(C553&lt;&gt;"",C553,IF(B553="","",IFERROR(INDEX(pr_des,MATCH(B553,pr_code,0))&amp;"",""))))</f>
        <v/>
      </c>
      <c r="I553" s="59" t="str">
        <f>IF(B553="","",IFERROR(INDEX(pr_unit,MATCH(B553,pr_code,0))&amp;"",""))</f>
        <v/>
      </c>
      <c r="J553" s="65" t="str">
        <f>IF(COUNTA(A553:G553)=0,"",IF(E553&lt;&gt;"",E553,IF(B553="","",IFERROR(IF(INDEX(pr_price,MATCH(B553,pr_code,0))="","",INDEX(pr_price,MATCH(B553,pr_code,0))),""))))</f>
        <v/>
      </c>
      <c r="K553" s="71" t="str">
        <f>IF(COUNTA(A553:G553)=0,"",IF(G553&lt;&gt;"",G553,IF(B553="","",IFERROR(IF(INDEX(pr_rate,MATCH(B553,pr_code,0))="","",INDEX(pr_rate,MATCH(B553,pr_code,0))),""))))</f>
        <v/>
      </c>
      <c r="L553" s="65" t="str">
        <f>IF(COUNTA(A553:G553)=0,"",IF(AND(ISNUMBER(D553),ISNUMBER(J553)),ROUND(D553*J553*(1-N(F553)),2),0))</f>
        <v/>
      </c>
      <c r="M553" s="62" t="str">
        <f>IF(A553="","",IFERROR(INDEX(fa_cname,MATCH(A553,fa_num,0))&amp;"",""))</f>
        <v/>
      </c>
      <c r="N553" s="59" t="str">
        <f>IF(COUNTA(A553:G553)=0,"",IF(A553="","N° facture manquant",IF(ISNA(MATCH(A553,fa_num,0)),"Facture inconnue",IF(AND(B553&lt;&gt;"",ISNA(MATCH(B553,pr_code,0))),"Article inconnu",IF(H553="","Désignation manquante",IF(OR(NOT(ISNUMBER(D553)),N(D553)&lt;=0),"Quantité invalide",IF(J553="","Prix manquant",IF(OR(NOT(ISNUMBER(J553)),N(J553)&lt;0),"Prix invalide",IF(OR(AND(F553&lt;&gt;"",NOT(ISNUMBER(F553))),N(F553)&lt;0,N(F553)&gt;1),"Remise invalide",IF(K553="","Taux de TVA manquant",IF(NOT(ISNUMBER(K553)),"Taux de TVA invalide",IF(COUNTIF(p_rates,K553)=0,"Taux de TVA hors liste (Paramètres)",IF(N(O553)&gt;25,"Au-delà de 25 lignes : non imprimée","OK")))))))))))))</f>
        <v/>
      </c>
      <c r="O553" s="59" t="str">
        <f>IF(A553="","",COUNTIF($A$6:A553,A553))</f>
        <v/>
      </c>
      <c r="P553" s="62" t="str">
        <f>IF(A553="","",A553&amp;"|"&amp;O553)</f>
        <v/>
      </c>
    </row>
    <row r="554">
      <c r="A554" s="60" t="n"/>
      <c r="B554" s="63" t="n"/>
      <c r="C554" s="63" t="n"/>
      <c r="D554" s="67" t="n"/>
      <c r="E554" s="68" t="n"/>
      <c r="F554" s="69" t="n"/>
      <c r="G554" s="70" t="n"/>
      <c r="H554" s="62" t="str">
        <f>IF(COUNTA(A554:G554)=0,"",IF(C554&lt;&gt;"",C554,IF(B554="","",IFERROR(INDEX(pr_des,MATCH(B554,pr_code,0))&amp;"",""))))</f>
        <v/>
      </c>
      <c r="I554" s="59" t="str">
        <f>IF(B554="","",IFERROR(INDEX(pr_unit,MATCH(B554,pr_code,0))&amp;"",""))</f>
        <v/>
      </c>
      <c r="J554" s="65" t="str">
        <f>IF(COUNTA(A554:G554)=0,"",IF(E554&lt;&gt;"",E554,IF(B554="","",IFERROR(IF(INDEX(pr_price,MATCH(B554,pr_code,0))="","",INDEX(pr_price,MATCH(B554,pr_code,0))),""))))</f>
        <v/>
      </c>
      <c r="K554" s="71" t="str">
        <f>IF(COUNTA(A554:G554)=0,"",IF(G554&lt;&gt;"",G554,IF(B554="","",IFERROR(IF(INDEX(pr_rate,MATCH(B554,pr_code,0))="","",INDEX(pr_rate,MATCH(B554,pr_code,0))),""))))</f>
        <v/>
      </c>
      <c r="L554" s="65" t="str">
        <f>IF(COUNTA(A554:G554)=0,"",IF(AND(ISNUMBER(D554),ISNUMBER(J554)),ROUND(D554*J554*(1-N(F554)),2),0))</f>
        <v/>
      </c>
      <c r="M554" s="62" t="str">
        <f>IF(A554="","",IFERROR(INDEX(fa_cname,MATCH(A554,fa_num,0))&amp;"",""))</f>
        <v/>
      </c>
      <c r="N554" s="59" t="str">
        <f>IF(COUNTA(A554:G554)=0,"",IF(A554="","N° facture manquant",IF(ISNA(MATCH(A554,fa_num,0)),"Facture inconnue",IF(AND(B554&lt;&gt;"",ISNA(MATCH(B554,pr_code,0))),"Article inconnu",IF(H554="","Désignation manquante",IF(OR(NOT(ISNUMBER(D554)),N(D554)&lt;=0),"Quantité invalide",IF(J554="","Prix manquant",IF(OR(NOT(ISNUMBER(J554)),N(J554)&lt;0),"Prix invalide",IF(OR(AND(F554&lt;&gt;"",NOT(ISNUMBER(F554))),N(F554)&lt;0,N(F554)&gt;1),"Remise invalide",IF(K554="","Taux de TVA manquant",IF(NOT(ISNUMBER(K554)),"Taux de TVA invalide",IF(COUNTIF(p_rates,K554)=0,"Taux de TVA hors liste (Paramètres)",IF(N(O554)&gt;25,"Au-delà de 25 lignes : non imprimée","OK")))))))))))))</f>
        <v/>
      </c>
      <c r="O554" s="59" t="str">
        <f>IF(A554="","",COUNTIF($A$6:A554,A554))</f>
        <v/>
      </c>
      <c r="P554" s="62" t="str">
        <f>IF(A554="","",A554&amp;"|"&amp;O554)</f>
        <v/>
      </c>
    </row>
    <row r="555">
      <c r="A555" s="60" t="n"/>
      <c r="B555" s="63" t="n"/>
      <c r="C555" s="63" t="n"/>
      <c r="D555" s="67" t="n"/>
      <c r="E555" s="68" t="n"/>
      <c r="F555" s="69" t="n"/>
      <c r="G555" s="70" t="n"/>
      <c r="H555" s="62" t="str">
        <f>IF(COUNTA(A555:G555)=0,"",IF(C555&lt;&gt;"",C555,IF(B555="","",IFERROR(INDEX(pr_des,MATCH(B555,pr_code,0))&amp;"",""))))</f>
        <v/>
      </c>
      <c r="I555" s="59" t="str">
        <f>IF(B555="","",IFERROR(INDEX(pr_unit,MATCH(B555,pr_code,0))&amp;"",""))</f>
        <v/>
      </c>
      <c r="J555" s="65" t="str">
        <f>IF(COUNTA(A555:G555)=0,"",IF(E555&lt;&gt;"",E555,IF(B555="","",IFERROR(IF(INDEX(pr_price,MATCH(B555,pr_code,0))="","",INDEX(pr_price,MATCH(B555,pr_code,0))),""))))</f>
        <v/>
      </c>
      <c r="K555" s="71" t="str">
        <f>IF(COUNTA(A555:G555)=0,"",IF(G555&lt;&gt;"",G555,IF(B555="","",IFERROR(IF(INDEX(pr_rate,MATCH(B555,pr_code,0))="","",INDEX(pr_rate,MATCH(B555,pr_code,0))),""))))</f>
        <v/>
      </c>
      <c r="L555" s="65" t="str">
        <f>IF(COUNTA(A555:G555)=0,"",IF(AND(ISNUMBER(D555),ISNUMBER(J555)),ROUND(D555*J555*(1-N(F555)),2),0))</f>
        <v/>
      </c>
      <c r="M555" s="62" t="str">
        <f>IF(A555="","",IFERROR(INDEX(fa_cname,MATCH(A555,fa_num,0))&amp;"",""))</f>
        <v/>
      </c>
      <c r="N555" s="59" t="str">
        <f>IF(COUNTA(A555:G555)=0,"",IF(A555="","N° facture manquant",IF(ISNA(MATCH(A555,fa_num,0)),"Facture inconnue",IF(AND(B555&lt;&gt;"",ISNA(MATCH(B555,pr_code,0))),"Article inconnu",IF(H555="","Désignation manquante",IF(OR(NOT(ISNUMBER(D555)),N(D555)&lt;=0),"Quantité invalide",IF(J555="","Prix manquant",IF(OR(NOT(ISNUMBER(J555)),N(J555)&lt;0),"Prix invalide",IF(OR(AND(F555&lt;&gt;"",NOT(ISNUMBER(F555))),N(F555)&lt;0,N(F555)&gt;1),"Remise invalide",IF(K555="","Taux de TVA manquant",IF(NOT(ISNUMBER(K555)),"Taux de TVA invalide",IF(COUNTIF(p_rates,K555)=0,"Taux de TVA hors liste (Paramètres)",IF(N(O555)&gt;25,"Au-delà de 25 lignes : non imprimée","OK")))))))))))))</f>
        <v/>
      </c>
      <c r="O555" s="59" t="str">
        <f>IF(A555="","",COUNTIF($A$6:A555,A555))</f>
        <v/>
      </c>
      <c r="P555" s="62" t="str">
        <f>IF(A555="","",A555&amp;"|"&amp;O555)</f>
        <v/>
      </c>
    </row>
    <row r="556">
      <c r="A556" s="60" t="n"/>
      <c r="B556" s="63" t="n"/>
      <c r="C556" s="63" t="n"/>
      <c r="D556" s="67" t="n"/>
      <c r="E556" s="68" t="n"/>
      <c r="F556" s="69" t="n"/>
      <c r="G556" s="70" t="n"/>
      <c r="H556" s="62" t="str">
        <f>IF(COUNTA(A556:G556)=0,"",IF(C556&lt;&gt;"",C556,IF(B556="","",IFERROR(INDEX(pr_des,MATCH(B556,pr_code,0))&amp;"",""))))</f>
        <v/>
      </c>
      <c r="I556" s="59" t="str">
        <f>IF(B556="","",IFERROR(INDEX(pr_unit,MATCH(B556,pr_code,0))&amp;"",""))</f>
        <v/>
      </c>
      <c r="J556" s="65" t="str">
        <f>IF(COUNTA(A556:G556)=0,"",IF(E556&lt;&gt;"",E556,IF(B556="","",IFERROR(IF(INDEX(pr_price,MATCH(B556,pr_code,0))="","",INDEX(pr_price,MATCH(B556,pr_code,0))),""))))</f>
        <v/>
      </c>
      <c r="K556" s="71" t="str">
        <f>IF(COUNTA(A556:G556)=0,"",IF(G556&lt;&gt;"",G556,IF(B556="","",IFERROR(IF(INDEX(pr_rate,MATCH(B556,pr_code,0))="","",INDEX(pr_rate,MATCH(B556,pr_code,0))),""))))</f>
        <v/>
      </c>
      <c r="L556" s="65" t="str">
        <f>IF(COUNTA(A556:G556)=0,"",IF(AND(ISNUMBER(D556),ISNUMBER(J556)),ROUND(D556*J556*(1-N(F556)),2),0))</f>
        <v/>
      </c>
      <c r="M556" s="62" t="str">
        <f>IF(A556="","",IFERROR(INDEX(fa_cname,MATCH(A556,fa_num,0))&amp;"",""))</f>
        <v/>
      </c>
      <c r="N556" s="59" t="str">
        <f>IF(COUNTA(A556:G556)=0,"",IF(A556="","N° facture manquant",IF(ISNA(MATCH(A556,fa_num,0)),"Facture inconnue",IF(AND(B556&lt;&gt;"",ISNA(MATCH(B556,pr_code,0))),"Article inconnu",IF(H556="","Désignation manquante",IF(OR(NOT(ISNUMBER(D556)),N(D556)&lt;=0),"Quantité invalide",IF(J556="","Prix manquant",IF(OR(NOT(ISNUMBER(J556)),N(J556)&lt;0),"Prix invalide",IF(OR(AND(F556&lt;&gt;"",NOT(ISNUMBER(F556))),N(F556)&lt;0,N(F556)&gt;1),"Remise invalide",IF(K556="","Taux de TVA manquant",IF(NOT(ISNUMBER(K556)),"Taux de TVA invalide",IF(COUNTIF(p_rates,K556)=0,"Taux de TVA hors liste (Paramètres)",IF(N(O556)&gt;25,"Au-delà de 25 lignes : non imprimée","OK")))))))))))))</f>
        <v/>
      </c>
      <c r="O556" s="59" t="str">
        <f>IF(A556="","",COUNTIF($A$6:A556,A556))</f>
        <v/>
      </c>
      <c r="P556" s="62" t="str">
        <f>IF(A556="","",A556&amp;"|"&amp;O556)</f>
        <v/>
      </c>
    </row>
    <row r="557">
      <c r="A557" s="60" t="n"/>
      <c r="B557" s="63" t="n"/>
      <c r="C557" s="63" t="n"/>
      <c r="D557" s="67" t="n"/>
      <c r="E557" s="68" t="n"/>
      <c r="F557" s="69" t="n"/>
      <c r="G557" s="70" t="n"/>
      <c r="H557" s="62" t="str">
        <f>IF(COUNTA(A557:G557)=0,"",IF(C557&lt;&gt;"",C557,IF(B557="","",IFERROR(INDEX(pr_des,MATCH(B557,pr_code,0))&amp;"",""))))</f>
        <v/>
      </c>
      <c r="I557" s="59" t="str">
        <f>IF(B557="","",IFERROR(INDEX(pr_unit,MATCH(B557,pr_code,0))&amp;"",""))</f>
        <v/>
      </c>
      <c r="J557" s="65" t="str">
        <f>IF(COUNTA(A557:G557)=0,"",IF(E557&lt;&gt;"",E557,IF(B557="","",IFERROR(IF(INDEX(pr_price,MATCH(B557,pr_code,0))="","",INDEX(pr_price,MATCH(B557,pr_code,0))),""))))</f>
        <v/>
      </c>
      <c r="K557" s="71" t="str">
        <f>IF(COUNTA(A557:G557)=0,"",IF(G557&lt;&gt;"",G557,IF(B557="","",IFERROR(IF(INDEX(pr_rate,MATCH(B557,pr_code,0))="","",INDEX(pr_rate,MATCH(B557,pr_code,0))),""))))</f>
        <v/>
      </c>
      <c r="L557" s="65" t="str">
        <f>IF(COUNTA(A557:G557)=0,"",IF(AND(ISNUMBER(D557),ISNUMBER(J557)),ROUND(D557*J557*(1-N(F557)),2),0))</f>
        <v/>
      </c>
      <c r="M557" s="62" t="str">
        <f>IF(A557="","",IFERROR(INDEX(fa_cname,MATCH(A557,fa_num,0))&amp;"",""))</f>
        <v/>
      </c>
      <c r="N557" s="59" t="str">
        <f>IF(COUNTA(A557:G557)=0,"",IF(A557="","N° facture manquant",IF(ISNA(MATCH(A557,fa_num,0)),"Facture inconnue",IF(AND(B557&lt;&gt;"",ISNA(MATCH(B557,pr_code,0))),"Article inconnu",IF(H557="","Désignation manquante",IF(OR(NOT(ISNUMBER(D557)),N(D557)&lt;=0),"Quantité invalide",IF(J557="","Prix manquant",IF(OR(NOT(ISNUMBER(J557)),N(J557)&lt;0),"Prix invalide",IF(OR(AND(F557&lt;&gt;"",NOT(ISNUMBER(F557))),N(F557)&lt;0,N(F557)&gt;1),"Remise invalide",IF(K557="","Taux de TVA manquant",IF(NOT(ISNUMBER(K557)),"Taux de TVA invalide",IF(COUNTIF(p_rates,K557)=0,"Taux de TVA hors liste (Paramètres)",IF(N(O557)&gt;25,"Au-delà de 25 lignes : non imprimée","OK")))))))))))))</f>
        <v/>
      </c>
      <c r="O557" s="59" t="str">
        <f>IF(A557="","",COUNTIF($A$6:A557,A557))</f>
        <v/>
      </c>
      <c r="P557" s="62" t="str">
        <f>IF(A557="","",A557&amp;"|"&amp;O557)</f>
        <v/>
      </c>
    </row>
    <row r="558">
      <c r="A558" s="60" t="n"/>
      <c r="B558" s="63" t="n"/>
      <c r="C558" s="63" t="n"/>
      <c r="D558" s="67" t="n"/>
      <c r="E558" s="68" t="n"/>
      <c r="F558" s="69" t="n"/>
      <c r="G558" s="70" t="n"/>
      <c r="H558" s="62" t="str">
        <f>IF(COUNTA(A558:G558)=0,"",IF(C558&lt;&gt;"",C558,IF(B558="","",IFERROR(INDEX(pr_des,MATCH(B558,pr_code,0))&amp;"",""))))</f>
        <v/>
      </c>
      <c r="I558" s="59" t="str">
        <f>IF(B558="","",IFERROR(INDEX(pr_unit,MATCH(B558,pr_code,0))&amp;"",""))</f>
        <v/>
      </c>
      <c r="J558" s="65" t="str">
        <f>IF(COUNTA(A558:G558)=0,"",IF(E558&lt;&gt;"",E558,IF(B558="","",IFERROR(IF(INDEX(pr_price,MATCH(B558,pr_code,0))="","",INDEX(pr_price,MATCH(B558,pr_code,0))),""))))</f>
        <v/>
      </c>
      <c r="K558" s="71" t="str">
        <f>IF(COUNTA(A558:G558)=0,"",IF(G558&lt;&gt;"",G558,IF(B558="","",IFERROR(IF(INDEX(pr_rate,MATCH(B558,pr_code,0))="","",INDEX(pr_rate,MATCH(B558,pr_code,0))),""))))</f>
        <v/>
      </c>
      <c r="L558" s="65" t="str">
        <f>IF(COUNTA(A558:G558)=0,"",IF(AND(ISNUMBER(D558),ISNUMBER(J558)),ROUND(D558*J558*(1-N(F558)),2),0))</f>
        <v/>
      </c>
      <c r="M558" s="62" t="str">
        <f>IF(A558="","",IFERROR(INDEX(fa_cname,MATCH(A558,fa_num,0))&amp;"",""))</f>
        <v/>
      </c>
      <c r="N558" s="59" t="str">
        <f>IF(COUNTA(A558:G558)=0,"",IF(A558="","N° facture manquant",IF(ISNA(MATCH(A558,fa_num,0)),"Facture inconnue",IF(AND(B558&lt;&gt;"",ISNA(MATCH(B558,pr_code,0))),"Article inconnu",IF(H558="","Désignation manquante",IF(OR(NOT(ISNUMBER(D558)),N(D558)&lt;=0),"Quantité invalide",IF(J558="","Prix manquant",IF(OR(NOT(ISNUMBER(J558)),N(J558)&lt;0),"Prix invalide",IF(OR(AND(F558&lt;&gt;"",NOT(ISNUMBER(F558))),N(F558)&lt;0,N(F558)&gt;1),"Remise invalide",IF(K558="","Taux de TVA manquant",IF(NOT(ISNUMBER(K558)),"Taux de TVA invalide",IF(COUNTIF(p_rates,K558)=0,"Taux de TVA hors liste (Paramètres)",IF(N(O558)&gt;25,"Au-delà de 25 lignes : non imprimée","OK")))))))))))))</f>
        <v/>
      </c>
      <c r="O558" s="59" t="str">
        <f>IF(A558="","",COUNTIF($A$6:A558,A558))</f>
        <v/>
      </c>
      <c r="P558" s="62" t="str">
        <f>IF(A558="","",A558&amp;"|"&amp;O558)</f>
        <v/>
      </c>
    </row>
    <row r="559">
      <c r="A559" s="60" t="n"/>
      <c r="B559" s="63" t="n"/>
      <c r="C559" s="63" t="n"/>
      <c r="D559" s="67" t="n"/>
      <c r="E559" s="68" t="n"/>
      <c r="F559" s="69" t="n"/>
      <c r="G559" s="70" t="n"/>
      <c r="H559" s="62" t="str">
        <f>IF(COUNTA(A559:G559)=0,"",IF(C559&lt;&gt;"",C559,IF(B559="","",IFERROR(INDEX(pr_des,MATCH(B559,pr_code,0))&amp;"",""))))</f>
        <v/>
      </c>
      <c r="I559" s="59" t="str">
        <f>IF(B559="","",IFERROR(INDEX(pr_unit,MATCH(B559,pr_code,0))&amp;"",""))</f>
        <v/>
      </c>
      <c r="J559" s="65" t="str">
        <f>IF(COUNTA(A559:G559)=0,"",IF(E559&lt;&gt;"",E559,IF(B559="","",IFERROR(IF(INDEX(pr_price,MATCH(B559,pr_code,0))="","",INDEX(pr_price,MATCH(B559,pr_code,0))),""))))</f>
        <v/>
      </c>
      <c r="K559" s="71" t="str">
        <f>IF(COUNTA(A559:G559)=0,"",IF(G559&lt;&gt;"",G559,IF(B559="","",IFERROR(IF(INDEX(pr_rate,MATCH(B559,pr_code,0))="","",INDEX(pr_rate,MATCH(B559,pr_code,0))),""))))</f>
        <v/>
      </c>
      <c r="L559" s="65" t="str">
        <f>IF(COUNTA(A559:G559)=0,"",IF(AND(ISNUMBER(D559),ISNUMBER(J559)),ROUND(D559*J559*(1-N(F559)),2),0))</f>
        <v/>
      </c>
      <c r="M559" s="62" t="str">
        <f>IF(A559="","",IFERROR(INDEX(fa_cname,MATCH(A559,fa_num,0))&amp;"",""))</f>
        <v/>
      </c>
      <c r="N559" s="59" t="str">
        <f>IF(COUNTA(A559:G559)=0,"",IF(A559="","N° facture manquant",IF(ISNA(MATCH(A559,fa_num,0)),"Facture inconnue",IF(AND(B559&lt;&gt;"",ISNA(MATCH(B559,pr_code,0))),"Article inconnu",IF(H559="","Désignation manquante",IF(OR(NOT(ISNUMBER(D559)),N(D559)&lt;=0),"Quantité invalide",IF(J559="","Prix manquant",IF(OR(NOT(ISNUMBER(J559)),N(J559)&lt;0),"Prix invalide",IF(OR(AND(F559&lt;&gt;"",NOT(ISNUMBER(F559))),N(F559)&lt;0,N(F559)&gt;1),"Remise invalide",IF(K559="","Taux de TVA manquant",IF(NOT(ISNUMBER(K559)),"Taux de TVA invalide",IF(COUNTIF(p_rates,K559)=0,"Taux de TVA hors liste (Paramètres)",IF(N(O559)&gt;25,"Au-delà de 25 lignes : non imprimée","OK")))))))))))))</f>
        <v/>
      </c>
      <c r="O559" s="59" t="str">
        <f>IF(A559="","",COUNTIF($A$6:A559,A559))</f>
        <v/>
      </c>
      <c r="P559" s="62" t="str">
        <f>IF(A559="","",A559&amp;"|"&amp;O559)</f>
        <v/>
      </c>
    </row>
    <row r="560">
      <c r="A560" s="60" t="n"/>
      <c r="B560" s="63" t="n"/>
      <c r="C560" s="63" t="n"/>
      <c r="D560" s="67" t="n"/>
      <c r="E560" s="68" t="n"/>
      <c r="F560" s="69" t="n"/>
      <c r="G560" s="70" t="n"/>
      <c r="H560" s="62" t="str">
        <f>IF(COUNTA(A560:G560)=0,"",IF(C560&lt;&gt;"",C560,IF(B560="","",IFERROR(INDEX(pr_des,MATCH(B560,pr_code,0))&amp;"",""))))</f>
        <v/>
      </c>
      <c r="I560" s="59" t="str">
        <f>IF(B560="","",IFERROR(INDEX(pr_unit,MATCH(B560,pr_code,0))&amp;"",""))</f>
        <v/>
      </c>
      <c r="J560" s="65" t="str">
        <f>IF(COUNTA(A560:G560)=0,"",IF(E560&lt;&gt;"",E560,IF(B560="","",IFERROR(IF(INDEX(pr_price,MATCH(B560,pr_code,0))="","",INDEX(pr_price,MATCH(B560,pr_code,0))),""))))</f>
        <v/>
      </c>
      <c r="K560" s="71" t="str">
        <f>IF(COUNTA(A560:G560)=0,"",IF(G560&lt;&gt;"",G560,IF(B560="","",IFERROR(IF(INDEX(pr_rate,MATCH(B560,pr_code,0))="","",INDEX(pr_rate,MATCH(B560,pr_code,0))),""))))</f>
        <v/>
      </c>
      <c r="L560" s="65" t="str">
        <f>IF(COUNTA(A560:G560)=0,"",IF(AND(ISNUMBER(D560),ISNUMBER(J560)),ROUND(D560*J560*(1-N(F560)),2),0))</f>
        <v/>
      </c>
      <c r="M560" s="62" t="str">
        <f>IF(A560="","",IFERROR(INDEX(fa_cname,MATCH(A560,fa_num,0))&amp;"",""))</f>
        <v/>
      </c>
      <c r="N560" s="59" t="str">
        <f>IF(COUNTA(A560:G560)=0,"",IF(A560="","N° facture manquant",IF(ISNA(MATCH(A560,fa_num,0)),"Facture inconnue",IF(AND(B560&lt;&gt;"",ISNA(MATCH(B560,pr_code,0))),"Article inconnu",IF(H560="","Désignation manquante",IF(OR(NOT(ISNUMBER(D560)),N(D560)&lt;=0),"Quantité invalide",IF(J560="","Prix manquant",IF(OR(NOT(ISNUMBER(J560)),N(J560)&lt;0),"Prix invalide",IF(OR(AND(F560&lt;&gt;"",NOT(ISNUMBER(F560))),N(F560)&lt;0,N(F560)&gt;1),"Remise invalide",IF(K560="","Taux de TVA manquant",IF(NOT(ISNUMBER(K560)),"Taux de TVA invalide",IF(COUNTIF(p_rates,K560)=0,"Taux de TVA hors liste (Paramètres)",IF(N(O560)&gt;25,"Au-delà de 25 lignes : non imprimée","OK")))))))))))))</f>
        <v/>
      </c>
      <c r="O560" s="59" t="str">
        <f>IF(A560="","",COUNTIF($A$6:A560,A560))</f>
        <v/>
      </c>
      <c r="P560" s="62" t="str">
        <f>IF(A560="","",A560&amp;"|"&amp;O560)</f>
        <v/>
      </c>
    </row>
    <row r="561">
      <c r="A561" s="60" t="n"/>
      <c r="B561" s="63" t="n"/>
      <c r="C561" s="63" t="n"/>
      <c r="D561" s="67" t="n"/>
      <c r="E561" s="68" t="n"/>
      <c r="F561" s="69" t="n"/>
      <c r="G561" s="70" t="n"/>
      <c r="H561" s="62" t="str">
        <f>IF(COUNTA(A561:G561)=0,"",IF(C561&lt;&gt;"",C561,IF(B561="","",IFERROR(INDEX(pr_des,MATCH(B561,pr_code,0))&amp;"",""))))</f>
        <v/>
      </c>
      <c r="I561" s="59" t="str">
        <f>IF(B561="","",IFERROR(INDEX(pr_unit,MATCH(B561,pr_code,0))&amp;"",""))</f>
        <v/>
      </c>
      <c r="J561" s="65" t="str">
        <f>IF(COUNTA(A561:G561)=0,"",IF(E561&lt;&gt;"",E561,IF(B561="","",IFERROR(IF(INDEX(pr_price,MATCH(B561,pr_code,0))="","",INDEX(pr_price,MATCH(B561,pr_code,0))),""))))</f>
        <v/>
      </c>
      <c r="K561" s="71" t="str">
        <f>IF(COUNTA(A561:G561)=0,"",IF(G561&lt;&gt;"",G561,IF(B561="","",IFERROR(IF(INDEX(pr_rate,MATCH(B561,pr_code,0))="","",INDEX(pr_rate,MATCH(B561,pr_code,0))),""))))</f>
        <v/>
      </c>
      <c r="L561" s="65" t="str">
        <f>IF(COUNTA(A561:G561)=0,"",IF(AND(ISNUMBER(D561),ISNUMBER(J561)),ROUND(D561*J561*(1-N(F561)),2),0))</f>
        <v/>
      </c>
      <c r="M561" s="62" t="str">
        <f>IF(A561="","",IFERROR(INDEX(fa_cname,MATCH(A561,fa_num,0))&amp;"",""))</f>
        <v/>
      </c>
      <c r="N561" s="59" t="str">
        <f>IF(COUNTA(A561:G561)=0,"",IF(A561="","N° facture manquant",IF(ISNA(MATCH(A561,fa_num,0)),"Facture inconnue",IF(AND(B561&lt;&gt;"",ISNA(MATCH(B561,pr_code,0))),"Article inconnu",IF(H561="","Désignation manquante",IF(OR(NOT(ISNUMBER(D561)),N(D561)&lt;=0),"Quantité invalide",IF(J561="","Prix manquant",IF(OR(NOT(ISNUMBER(J561)),N(J561)&lt;0),"Prix invalide",IF(OR(AND(F561&lt;&gt;"",NOT(ISNUMBER(F561))),N(F561)&lt;0,N(F561)&gt;1),"Remise invalide",IF(K561="","Taux de TVA manquant",IF(NOT(ISNUMBER(K561)),"Taux de TVA invalide",IF(COUNTIF(p_rates,K561)=0,"Taux de TVA hors liste (Paramètres)",IF(N(O561)&gt;25,"Au-delà de 25 lignes : non imprimée","OK")))))))))))))</f>
        <v/>
      </c>
      <c r="O561" s="59" t="str">
        <f>IF(A561="","",COUNTIF($A$6:A561,A561))</f>
        <v/>
      </c>
      <c r="P561" s="62" t="str">
        <f>IF(A561="","",A561&amp;"|"&amp;O561)</f>
        <v/>
      </c>
    </row>
    <row r="562">
      <c r="A562" s="60" t="n"/>
      <c r="B562" s="63" t="n"/>
      <c r="C562" s="63" t="n"/>
      <c r="D562" s="67" t="n"/>
      <c r="E562" s="68" t="n"/>
      <c r="F562" s="69" t="n"/>
      <c r="G562" s="70" t="n"/>
      <c r="H562" s="62" t="str">
        <f>IF(COUNTA(A562:G562)=0,"",IF(C562&lt;&gt;"",C562,IF(B562="","",IFERROR(INDEX(pr_des,MATCH(B562,pr_code,0))&amp;"",""))))</f>
        <v/>
      </c>
      <c r="I562" s="59" t="str">
        <f>IF(B562="","",IFERROR(INDEX(pr_unit,MATCH(B562,pr_code,0))&amp;"",""))</f>
        <v/>
      </c>
      <c r="J562" s="65" t="str">
        <f>IF(COUNTA(A562:G562)=0,"",IF(E562&lt;&gt;"",E562,IF(B562="","",IFERROR(IF(INDEX(pr_price,MATCH(B562,pr_code,0))="","",INDEX(pr_price,MATCH(B562,pr_code,0))),""))))</f>
        <v/>
      </c>
      <c r="K562" s="71" t="str">
        <f>IF(COUNTA(A562:G562)=0,"",IF(G562&lt;&gt;"",G562,IF(B562="","",IFERROR(IF(INDEX(pr_rate,MATCH(B562,pr_code,0))="","",INDEX(pr_rate,MATCH(B562,pr_code,0))),""))))</f>
        <v/>
      </c>
      <c r="L562" s="65" t="str">
        <f>IF(COUNTA(A562:G562)=0,"",IF(AND(ISNUMBER(D562),ISNUMBER(J562)),ROUND(D562*J562*(1-N(F562)),2),0))</f>
        <v/>
      </c>
      <c r="M562" s="62" t="str">
        <f>IF(A562="","",IFERROR(INDEX(fa_cname,MATCH(A562,fa_num,0))&amp;"",""))</f>
        <v/>
      </c>
      <c r="N562" s="59" t="str">
        <f>IF(COUNTA(A562:G562)=0,"",IF(A562="","N° facture manquant",IF(ISNA(MATCH(A562,fa_num,0)),"Facture inconnue",IF(AND(B562&lt;&gt;"",ISNA(MATCH(B562,pr_code,0))),"Article inconnu",IF(H562="","Désignation manquante",IF(OR(NOT(ISNUMBER(D562)),N(D562)&lt;=0),"Quantité invalide",IF(J562="","Prix manquant",IF(OR(NOT(ISNUMBER(J562)),N(J562)&lt;0),"Prix invalide",IF(OR(AND(F562&lt;&gt;"",NOT(ISNUMBER(F562))),N(F562)&lt;0,N(F562)&gt;1),"Remise invalide",IF(K562="","Taux de TVA manquant",IF(NOT(ISNUMBER(K562)),"Taux de TVA invalide",IF(COUNTIF(p_rates,K562)=0,"Taux de TVA hors liste (Paramètres)",IF(N(O562)&gt;25,"Au-delà de 25 lignes : non imprimée","OK")))))))))))))</f>
        <v/>
      </c>
      <c r="O562" s="59" t="str">
        <f>IF(A562="","",COUNTIF($A$6:A562,A562))</f>
        <v/>
      </c>
      <c r="P562" s="62" t="str">
        <f>IF(A562="","",A562&amp;"|"&amp;O562)</f>
        <v/>
      </c>
    </row>
    <row r="563">
      <c r="A563" s="60" t="n"/>
      <c r="B563" s="63" t="n"/>
      <c r="C563" s="63" t="n"/>
      <c r="D563" s="67" t="n"/>
      <c r="E563" s="68" t="n"/>
      <c r="F563" s="69" t="n"/>
      <c r="G563" s="70" t="n"/>
      <c r="H563" s="62" t="str">
        <f>IF(COUNTA(A563:G563)=0,"",IF(C563&lt;&gt;"",C563,IF(B563="","",IFERROR(INDEX(pr_des,MATCH(B563,pr_code,0))&amp;"",""))))</f>
        <v/>
      </c>
      <c r="I563" s="59" t="str">
        <f>IF(B563="","",IFERROR(INDEX(pr_unit,MATCH(B563,pr_code,0))&amp;"",""))</f>
        <v/>
      </c>
      <c r="J563" s="65" t="str">
        <f>IF(COUNTA(A563:G563)=0,"",IF(E563&lt;&gt;"",E563,IF(B563="","",IFERROR(IF(INDEX(pr_price,MATCH(B563,pr_code,0))="","",INDEX(pr_price,MATCH(B563,pr_code,0))),""))))</f>
        <v/>
      </c>
      <c r="K563" s="71" t="str">
        <f>IF(COUNTA(A563:G563)=0,"",IF(G563&lt;&gt;"",G563,IF(B563="","",IFERROR(IF(INDEX(pr_rate,MATCH(B563,pr_code,0))="","",INDEX(pr_rate,MATCH(B563,pr_code,0))),""))))</f>
        <v/>
      </c>
      <c r="L563" s="65" t="str">
        <f>IF(COUNTA(A563:G563)=0,"",IF(AND(ISNUMBER(D563),ISNUMBER(J563)),ROUND(D563*J563*(1-N(F563)),2),0))</f>
        <v/>
      </c>
      <c r="M563" s="62" t="str">
        <f>IF(A563="","",IFERROR(INDEX(fa_cname,MATCH(A563,fa_num,0))&amp;"",""))</f>
        <v/>
      </c>
      <c r="N563" s="59" t="str">
        <f>IF(COUNTA(A563:G563)=0,"",IF(A563="","N° facture manquant",IF(ISNA(MATCH(A563,fa_num,0)),"Facture inconnue",IF(AND(B563&lt;&gt;"",ISNA(MATCH(B563,pr_code,0))),"Article inconnu",IF(H563="","Désignation manquante",IF(OR(NOT(ISNUMBER(D563)),N(D563)&lt;=0),"Quantité invalide",IF(J563="","Prix manquant",IF(OR(NOT(ISNUMBER(J563)),N(J563)&lt;0),"Prix invalide",IF(OR(AND(F563&lt;&gt;"",NOT(ISNUMBER(F563))),N(F563)&lt;0,N(F563)&gt;1),"Remise invalide",IF(K563="","Taux de TVA manquant",IF(NOT(ISNUMBER(K563)),"Taux de TVA invalide",IF(COUNTIF(p_rates,K563)=0,"Taux de TVA hors liste (Paramètres)",IF(N(O563)&gt;25,"Au-delà de 25 lignes : non imprimée","OK")))))))))))))</f>
        <v/>
      </c>
      <c r="O563" s="59" t="str">
        <f>IF(A563="","",COUNTIF($A$6:A563,A563))</f>
        <v/>
      </c>
      <c r="P563" s="62" t="str">
        <f>IF(A563="","",A563&amp;"|"&amp;O563)</f>
        <v/>
      </c>
    </row>
    <row r="564">
      <c r="A564" s="60" t="n"/>
      <c r="B564" s="63" t="n"/>
      <c r="C564" s="63" t="n"/>
      <c r="D564" s="67" t="n"/>
      <c r="E564" s="68" t="n"/>
      <c r="F564" s="69" t="n"/>
      <c r="G564" s="70" t="n"/>
      <c r="H564" s="62" t="str">
        <f>IF(COUNTA(A564:G564)=0,"",IF(C564&lt;&gt;"",C564,IF(B564="","",IFERROR(INDEX(pr_des,MATCH(B564,pr_code,0))&amp;"",""))))</f>
        <v/>
      </c>
      <c r="I564" s="59" t="str">
        <f>IF(B564="","",IFERROR(INDEX(pr_unit,MATCH(B564,pr_code,0))&amp;"",""))</f>
        <v/>
      </c>
      <c r="J564" s="65" t="str">
        <f>IF(COUNTA(A564:G564)=0,"",IF(E564&lt;&gt;"",E564,IF(B564="","",IFERROR(IF(INDEX(pr_price,MATCH(B564,pr_code,0))="","",INDEX(pr_price,MATCH(B564,pr_code,0))),""))))</f>
        <v/>
      </c>
      <c r="K564" s="71" t="str">
        <f>IF(COUNTA(A564:G564)=0,"",IF(G564&lt;&gt;"",G564,IF(B564="","",IFERROR(IF(INDEX(pr_rate,MATCH(B564,pr_code,0))="","",INDEX(pr_rate,MATCH(B564,pr_code,0))),""))))</f>
        <v/>
      </c>
      <c r="L564" s="65" t="str">
        <f>IF(COUNTA(A564:G564)=0,"",IF(AND(ISNUMBER(D564),ISNUMBER(J564)),ROUND(D564*J564*(1-N(F564)),2),0))</f>
        <v/>
      </c>
      <c r="M564" s="62" t="str">
        <f>IF(A564="","",IFERROR(INDEX(fa_cname,MATCH(A564,fa_num,0))&amp;"",""))</f>
        <v/>
      </c>
      <c r="N564" s="59" t="str">
        <f>IF(COUNTA(A564:G564)=0,"",IF(A564="","N° facture manquant",IF(ISNA(MATCH(A564,fa_num,0)),"Facture inconnue",IF(AND(B564&lt;&gt;"",ISNA(MATCH(B564,pr_code,0))),"Article inconnu",IF(H564="","Désignation manquante",IF(OR(NOT(ISNUMBER(D564)),N(D564)&lt;=0),"Quantité invalide",IF(J564="","Prix manquant",IF(OR(NOT(ISNUMBER(J564)),N(J564)&lt;0),"Prix invalide",IF(OR(AND(F564&lt;&gt;"",NOT(ISNUMBER(F564))),N(F564)&lt;0,N(F564)&gt;1),"Remise invalide",IF(K564="","Taux de TVA manquant",IF(NOT(ISNUMBER(K564)),"Taux de TVA invalide",IF(COUNTIF(p_rates,K564)=0,"Taux de TVA hors liste (Paramètres)",IF(N(O564)&gt;25,"Au-delà de 25 lignes : non imprimée","OK")))))))))))))</f>
        <v/>
      </c>
      <c r="O564" s="59" t="str">
        <f>IF(A564="","",COUNTIF($A$6:A564,A564))</f>
        <v/>
      </c>
      <c r="P564" s="62" t="str">
        <f>IF(A564="","",A564&amp;"|"&amp;O564)</f>
        <v/>
      </c>
    </row>
    <row r="565">
      <c r="A565" s="60" t="n"/>
      <c r="B565" s="63" t="n"/>
      <c r="C565" s="63" t="n"/>
      <c r="D565" s="67" t="n"/>
      <c r="E565" s="68" t="n"/>
      <c r="F565" s="69" t="n"/>
      <c r="G565" s="70" t="n"/>
      <c r="H565" s="62" t="str">
        <f>IF(COUNTA(A565:G565)=0,"",IF(C565&lt;&gt;"",C565,IF(B565="","",IFERROR(INDEX(pr_des,MATCH(B565,pr_code,0))&amp;"",""))))</f>
        <v/>
      </c>
      <c r="I565" s="59" t="str">
        <f>IF(B565="","",IFERROR(INDEX(pr_unit,MATCH(B565,pr_code,0))&amp;"",""))</f>
        <v/>
      </c>
      <c r="J565" s="65" t="str">
        <f>IF(COUNTA(A565:G565)=0,"",IF(E565&lt;&gt;"",E565,IF(B565="","",IFERROR(IF(INDEX(pr_price,MATCH(B565,pr_code,0))="","",INDEX(pr_price,MATCH(B565,pr_code,0))),""))))</f>
        <v/>
      </c>
      <c r="K565" s="71" t="str">
        <f>IF(COUNTA(A565:G565)=0,"",IF(G565&lt;&gt;"",G565,IF(B565="","",IFERROR(IF(INDEX(pr_rate,MATCH(B565,pr_code,0))="","",INDEX(pr_rate,MATCH(B565,pr_code,0))),""))))</f>
        <v/>
      </c>
      <c r="L565" s="65" t="str">
        <f>IF(COUNTA(A565:G565)=0,"",IF(AND(ISNUMBER(D565),ISNUMBER(J565)),ROUND(D565*J565*(1-N(F565)),2),0))</f>
        <v/>
      </c>
      <c r="M565" s="62" t="str">
        <f>IF(A565="","",IFERROR(INDEX(fa_cname,MATCH(A565,fa_num,0))&amp;"",""))</f>
        <v/>
      </c>
      <c r="N565" s="59" t="str">
        <f>IF(COUNTA(A565:G565)=0,"",IF(A565="","N° facture manquant",IF(ISNA(MATCH(A565,fa_num,0)),"Facture inconnue",IF(AND(B565&lt;&gt;"",ISNA(MATCH(B565,pr_code,0))),"Article inconnu",IF(H565="","Désignation manquante",IF(OR(NOT(ISNUMBER(D565)),N(D565)&lt;=0),"Quantité invalide",IF(J565="","Prix manquant",IF(OR(NOT(ISNUMBER(J565)),N(J565)&lt;0),"Prix invalide",IF(OR(AND(F565&lt;&gt;"",NOT(ISNUMBER(F565))),N(F565)&lt;0,N(F565)&gt;1),"Remise invalide",IF(K565="","Taux de TVA manquant",IF(NOT(ISNUMBER(K565)),"Taux de TVA invalide",IF(COUNTIF(p_rates,K565)=0,"Taux de TVA hors liste (Paramètres)",IF(N(O565)&gt;25,"Au-delà de 25 lignes : non imprimée","OK")))))))))))))</f>
        <v/>
      </c>
      <c r="O565" s="59" t="str">
        <f>IF(A565="","",COUNTIF($A$6:A565,A565))</f>
        <v/>
      </c>
      <c r="P565" s="62" t="str">
        <f>IF(A565="","",A565&amp;"|"&amp;O565)</f>
        <v/>
      </c>
    </row>
    <row r="566">
      <c r="A566" s="60" t="n"/>
      <c r="B566" s="63" t="n"/>
      <c r="C566" s="63" t="n"/>
      <c r="D566" s="67" t="n"/>
      <c r="E566" s="68" t="n"/>
      <c r="F566" s="69" t="n"/>
      <c r="G566" s="70" t="n"/>
      <c r="H566" s="62" t="str">
        <f>IF(COUNTA(A566:G566)=0,"",IF(C566&lt;&gt;"",C566,IF(B566="","",IFERROR(INDEX(pr_des,MATCH(B566,pr_code,0))&amp;"",""))))</f>
        <v/>
      </c>
      <c r="I566" s="59" t="str">
        <f>IF(B566="","",IFERROR(INDEX(pr_unit,MATCH(B566,pr_code,0))&amp;"",""))</f>
        <v/>
      </c>
      <c r="J566" s="65" t="str">
        <f>IF(COUNTA(A566:G566)=0,"",IF(E566&lt;&gt;"",E566,IF(B566="","",IFERROR(IF(INDEX(pr_price,MATCH(B566,pr_code,0))="","",INDEX(pr_price,MATCH(B566,pr_code,0))),""))))</f>
        <v/>
      </c>
      <c r="K566" s="71" t="str">
        <f>IF(COUNTA(A566:G566)=0,"",IF(G566&lt;&gt;"",G566,IF(B566="","",IFERROR(IF(INDEX(pr_rate,MATCH(B566,pr_code,0))="","",INDEX(pr_rate,MATCH(B566,pr_code,0))),""))))</f>
        <v/>
      </c>
      <c r="L566" s="65" t="str">
        <f>IF(COUNTA(A566:G566)=0,"",IF(AND(ISNUMBER(D566),ISNUMBER(J566)),ROUND(D566*J566*(1-N(F566)),2),0))</f>
        <v/>
      </c>
      <c r="M566" s="62" t="str">
        <f>IF(A566="","",IFERROR(INDEX(fa_cname,MATCH(A566,fa_num,0))&amp;"",""))</f>
        <v/>
      </c>
      <c r="N566" s="59" t="str">
        <f>IF(COUNTA(A566:G566)=0,"",IF(A566="","N° facture manquant",IF(ISNA(MATCH(A566,fa_num,0)),"Facture inconnue",IF(AND(B566&lt;&gt;"",ISNA(MATCH(B566,pr_code,0))),"Article inconnu",IF(H566="","Désignation manquante",IF(OR(NOT(ISNUMBER(D566)),N(D566)&lt;=0),"Quantité invalide",IF(J566="","Prix manquant",IF(OR(NOT(ISNUMBER(J566)),N(J566)&lt;0),"Prix invalide",IF(OR(AND(F566&lt;&gt;"",NOT(ISNUMBER(F566))),N(F566)&lt;0,N(F566)&gt;1),"Remise invalide",IF(K566="","Taux de TVA manquant",IF(NOT(ISNUMBER(K566)),"Taux de TVA invalide",IF(COUNTIF(p_rates,K566)=0,"Taux de TVA hors liste (Paramètres)",IF(N(O566)&gt;25,"Au-delà de 25 lignes : non imprimée","OK")))))))))))))</f>
        <v/>
      </c>
      <c r="O566" s="59" t="str">
        <f>IF(A566="","",COUNTIF($A$6:A566,A566))</f>
        <v/>
      </c>
      <c r="P566" s="62" t="str">
        <f>IF(A566="","",A566&amp;"|"&amp;O566)</f>
        <v/>
      </c>
    </row>
    <row r="567">
      <c r="A567" s="60" t="n"/>
      <c r="B567" s="63" t="n"/>
      <c r="C567" s="63" t="n"/>
      <c r="D567" s="67" t="n"/>
      <c r="E567" s="68" t="n"/>
      <c r="F567" s="69" t="n"/>
      <c r="G567" s="70" t="n"/>
      <c r="H567" s="62" t="str">
        <f>IF(COUNTA(A567:G567)=0,"",IF(C567&lt;&gt;"",C567,IF(B567="","",IFERROR(INDEX(pr_des,MATCH(B567,pr_code,0))&amp;"",""))))</f>
        <v/>
      </c>
      <c r="I567" s="59" t="str">
        <f>IF(B567="","",IFERROR(INDEX(pr_unit,MATCH(B567,pr_code,0))&amp;"",""))</f>
        <v/>
      </c>
      <c r="J567" s="65" t="str">
        <f>IF(COUNTA(A567:G567)=0,"",IF(E567&lt;&gt;"",E567,IF(B567="","",IFERROR(IF(INDEX(pr_price,MATCH(B567,pr_code,0))="","",INDEX(pr_price,MATCH(B567,pr_code,0))),""))))</f>
        <v/>
      </c>
      <c r="K567" s="71" t="str">
        <f>IF(COUNTA(A567:G567)=0,"",IF(G567&lt;&gt;"",G567,IF(B567="","",IFERROR(IF(INDEX(pr_rate,MATCH(B567,pr_code,0))="","",INDEX(pr_rate,MATCH(B567,pr_code,0))),""))))</f>
        <v/>
      </c>
      <c r="L567" s="65" t="str">
        <f>IF(COUNTA(A567:G567)=0,"",IF(AND(ISNUMBER(D567),ISNUMBER(J567)),ROUND(D567*J567*(1-N(F567)),2),0))</f>
        <v/>
      </c>
      <c r="M567" s="62" t="str">
        <f>IF(A567="","",IFERROR(INDEX(fa_cname,MATCH(A567,fa_num,0))&amp;"",""))</f>
        <v/>
      </c>
      <c r="N567" s="59" t="str">
        <f>IF(COUNTA(A567:G567)=0,"",IF(A567="","N° facture manquant",IF(ISNA(MATCH(A567,fa_num,0)),"Facture inconnue",IF(AND(B567&lt;&gt;"",ISNA(MATCH(B567,pr_code,0))),"Article inconnu",IF(H567="","Désignation manquante",IF(OR(NOT(ISNUMBER(D567)),N(D567)&lt;=0),"Quantité invalide",IF(J567="","Prix manquant",IF(OR(NOT(ISNUMBER(J567)),N(J567)&lt;0),"Prix invalide",IF(OR(AND(F567&lt;&gt;"",NOT(ISNUMBER(F567))),N(F567)&lt;0,N(F567)&gt;1),"Remise invalide",IF(K567="","Taux de TVA manquant",IF(NOT(ISNUMBER(K567)),"Taux de TVA invalide",IF(COUNTIF(p_rates,K567)=0,"Taux de TVA hors liste (Paramètres)",IF(N(O567)&gt;25,"Au-delà de 25 lignes : non imprimée","OK")))))))))))))</f>
        <v/>
      </c>
      <c r="O567" s="59" t="str">
        <f>IF(A567="","",COUNTIF($A$6:A567,A567))</f>
        <v/>
      </c>
      <c r="P567" s="62" t="str">
        <f>IF(A567="","",A567&amp;"|"&amp;O567)</f>
        <v/>
      </c>
    </row>
    <row r="568">
      <c r="A568" s="60" t="n"/>
      <c r="B568" s="63" t="n"/>
      <c r="C568" s="63" t="n"/>
      <c r="D568" s="67" t="n"/>
      <c r="E568" s="68" t="n"/>
      <c r="F568" s="69" t="n"/>
      <c r="G568" s="70" t="n"/>
      <c r="H568" s="62" t="str">
        <f>IF(COUNTA(A568:G568)=0,"",IF(C568&lt;&gt;"",C568,IF(B568="","",IFERROR(INDEX(pr_des,MATCH(B568,pr_code,0))&amp;"",""))))</f>
        <v/>
      </c>
      <c r="I568" s="59" t="str">
        <f>IF(B568="","",IFERROR(INDEX(pr_unit,MATCH(B568,pr_code,0))&amp;"",""))</f>
        <v/>
      </c>
      <c r="J568" s="65" t="str">
        <f>IF(COUNTA(A568:G568)=0,"",IF(E568&lt;&gt;"",E568,IF(B568="","",IFERROR(IF(INDEX(pr_price,MATCH(B568,pr_code,0))="","",INDEX(pr_price,MATCH(B568,pr_code,0))),""))))</f>
        <v/>
      </c>
      <c r="K568" s="71" t="str">
        <f>IF(COUNTA(A568:G568)=0,"",IF(G568&lt;&gt;"",G568,IF(B568="","",IFERROR(IF(INDEX(pr_rate,MATCH(B568,pr_code,0))="","",INDEX(pr_rate,MATCH(B568,pr_code,0))),""))))</f>
        <v/>
      </c>
      <c r="L568" s="65" t="str">
        <f>IF(COUNTA(A568:G568)=0,"",IF(AND(ISNUMBER(D568),ISNUMBER(J568)),ROUND(D568*J568*(1-N(F568)),2),0))</f>
        <v/>
      </c>
      <c r="M568" s="62" t="str">
        <f>IF(A568="","",IFERROR(INDEX(fa_cname,MATCH(A568,fa_num,0))&amp;"",""))</f>
        <v/>
      </c>
      <c r="N568" s="59" t="str">
        <f>IF(COUNTA(A568:G568)=0,"",IF(A568="","N° facture manquant",IF(ISNA(MATCH(A568,fa_num,0)),"Facture inconnue",IF(AND(B568&lt;&gt;"",ISNA(MATCH(B568,pr_code,0))),"Article inconnu",IF(H568="","Désignation manquante",IF(OR(NOT(ISNUMBER(D568)),N(D568)&lt;=0),"Quantité invalide",IF(J568="","Prix manquant",IF(OR(NOT(ISNUMBER(J568)),N(J568)&lt;0),"Prix invalide",IF(OR(AND(F568&lt;&gt;"",NOT(ISNUMBER(F568))),N(F568)&lt;0,N(F568)&gt;1),"Remise invalide",IF(K568="","Taux de TVA manquant",IF(NOT(ISNUMBER(K568)),"Taux de TVA invalide",IF(COUNTIF(p_rates,K568)=0,"Taux de TVA hors liste (Paramètres)",IF(N(O568)&gt;25,"Au-delà de 25 lignes : non imprimée","OK")))))))))))))</f>
        <v/>
      </c>
      <c r="O568" s="59" t="str">
        <f>IF(A568="","",COUNTIF($A$6:A568,A568))</f>
        <v/>
      </c>
      <c r="P568" s="62" t="str">
        <f>IF(A568="","",A568&amp;"|"&amp;O568)</f>
        <v/>
      </c>
    </row>
    <row r="569">
      <c r="A569" s="60" t="n"/>
      <c r="B569" s="63" t="n"/>
      <c r="C569" s="63" t="n"/>
      <c r="D569" s="67" t="n"/>
      <c r="E569" s="68" t="n"/>
      <c r="F569" s="69" t="n"/>
      <c r="G569" s="70" t="n"/>
      <c r="H569" s="62" t="str">
        <f>IF(COUNTA(A569:G569)=0,"",IF(C569&lt;&gt;"",C569,IF(B569="","",IFERROR(INDEX(pr_des,MATCH(B569,pr_code,0))&amp;"",""))))</f>
        <v/>
      </c>
      <c r="I569" s="59" t="str">
        <f>IF(B569="","",IFERROR(INDEX(pr_unit,MATCH(B569,pr_code,0))&amp;"",""))</f>
        <v/>
      </c>
      <c r="J569" s="65" t="str">
        <f>IF(COUNTA(A569:G569)=0,"",IF(E569&lt;&gt;"",E569,IF(B569="","",IFERROR(IF(INDEX(pr_price,MATCH(B569,pr_code,0))="","",INDEX(pr_price,MATCH(B569,pr_code,0))),""))))</f>
        <v/>
      </c>
      <c r="K569" s="71" t="str">
        <f>IF(COUNTA(A569:G569)=0,"",IF(G569&lt;&gt;"",G569,IF(B569="","",IFERROR(IF(INDEX(pr_rate,MATCH(B569,pr_code,0))="","",INDEX(pr_rate,MATCH(B569,pr_code,0))),""))))</f>
        <v/>
      </c>
      <c r="L569" s="65" t="str">
        <f>IF(COUNTA(A569:G569)=0,"",IF(AND(ISNUMBER(D569),ISNUMBER(J569)),ROUND(D569*J569*(1-N(F569)),2),0))</f>
        <v/>
      </c>
      <c r="M569" s="62" t="str">
        <f>IF(A569="","",IFERROR(INDEX(fa_cname,MATCH(A569,fa_num,0))&amp;"",""))</f>
        <v/>
      </c>
      <c r="N569" s="59" t="str">
        <f>IF(COUNTA(A569:G569)=0,"",IF(A569="","N° facture manquant",IF(ISNA(MATCH(A569,fa_num,0)),"Facture inconnue",IF(AND(B569&lt;&gt;"",ISNA(MATCH(B569,pr_code,0))),"Article inconnu",IF(H569="","Désignation manquante",IF(OR(NOT(ISNUMBER(D569)),N(D569)&lt;=0),"Quantité invalide",IF(J569="","Prix manquant",IF(OR(NOT(ISNUMBER(J569)),N(J569)&lt;0),"Prix invalide",IF(OR(AND(F569&lt;&gt;"",NOT(ISNUMBER(F569))),N(F569)&lt;0,N(F569)&gt;1),"Remise invalide",IF(K569="","Taux de TVA manquant",IF(NOT(ISNUMBER(K569)),"Taux de TVA invalide",IF(COUNTIF(p_rates,K569)=0,"Taux de TVA hors liste (Paramètres)",IF(N(O569)&gt;25,"Au-delà de 25 lignes : non imprimée","OK")))))))))))))</f>
        <v/>
      </c>
      <c r="O569" s="59" t="str">
        <f>IF(A569="","",COUNTIF($A$6:A569,A569))</f>
        <v/>
      </c>
      <c r="P569" s="62" t="str">
        <f>IF(A569="","",A569&amp;"|"&amp;O569)</f>
        <v/>
      </c>
    </row>
    <row r="570">
      <c r="A570" s="60" t="n"/>
      <c r="B570" s="63" t="n"/>
      <c r="C570" s="63" t="n"/>
      <c r="D570" s="67" t="n"/>
      <c r="E570" s="68" t="n"/>
      <c r="F570" s="69" t="n"/>
      <c r="G570" s="70" t="n"/>
      <c r="H570" s="62" t="str">
        <f>IF(COUNTA(A570:G570)=0,"",IF(C570&lt;&gt;"",C570,IF(B570="","",IFERROR(INDEX(pr_des,MATCH(B570,pr_code,0))&amp;"",""))))</f>
        <v/>
      </c>
      <c r="I570" s="59" t="str">
        <f>IF(B570="","",IFERROR(INDEX(pr_unit,MATCH(B570,pr_code,0))&amp;"",""))</f>
        <v/>
      </c>
      <c r="J570" s="65" t="str">
        <f>IF(COUNTA(A570:G570)=0,"",IF(E570&lt;&gt;"",E570,IF(B570="","",IFERROR(IF(INDEX(pr_price,MATCH(B570,pr_code,0))="","",INDEX(pr_price,MATCH(B570,pr_code,0))),""))))</f>
        <v/>
      </c>
      <c r="K570" s="71" t="str">
        <f>IF(COUNTA(A570:G570)=0,"",IF(G570&lt;&gt;"",G570,IF(B570="","",IFERROR(IF(INDEX(pr_rate,MATCH(B570,pr_code,0))="","",INDEX(pr_rate,MATCH(B570,pr_code,0))),""))))</f>
        <v/>
      </c>
      <c r="L570" s="65" t="str">
        <f>IF(COUNTA(A570:G570)=0,"",IF(AND(ISNUMBER(D570),ISNUMBER(J570)),ROUND(D570*J570*(1-N(F570)),2),0))</f>
        <v/>
      </c>
      <c r="M570" s="62" t="str">
        <f>IF(A570="","",IFERROR(INDEX(fa_cname,MATCH(A570,fa_num,0))&amp;"",""))</f>
        <v/>
      </c>
      <c r="N570" s="59" t="str">
        <f>IF(COUNTA(A570:G570)=0,"",IF(A570="","N° facture manquant",IF(ISNA(MATCH(A570,fa_num,0)),"Facture inconnue",IF(AND(B570&lt;&gt;"",ISNA(MATCH(B570,pr_code,0))),"Article inconnu",IF(H570="","Désignation manquante",IF(OR(NOT(ISNUMBER(D570)),N(D570)&lt;=0),"Quantité invalide",IF(J570="","Prix manquant",IF(OR(NOT(ISNUMBER(J570)),N(J570)&lt;0),"Prix invalide",IF(OR(AND(F570&lt;&gt;"",NOT(ISNUMBER(F570))),N(F570)&lt;0,N(F570)&gt;1),"Remise invalide",IF(K570="","Taux de TVA manquant",IF(NOT(ISNUMBER(K570)),"Taux de TVA invalide",IF(COUNTIF(p_rates,K570)=0,"Taux de TVA hors liste (Paramètres)",IF(N(O570)&gt;25,"Au-delà de 25 lignes : non imprimée","OK")))))))))))))</f>
        <v/>
      </c>
      <c r="O570" s="59" t="str">
        <f>IF(A570="","",COUNTIF($A$6:A570,A570))</f>
        <v/>
      </c>
      <c r="P570" s="62" t="str">
        <f>IF(A570="","",A570&amp;"|"&amp;O570)</f>
        <v/>
      </c>
    </row>
    <row r="571">
      <c r="A571" s="60" t="n"/>
      <c r="B571" s="63" t="n"/>
      <c r="C571" s="63" t="n"/>
      <c r="D571" s="67" t="n"/>
      <c r="E571" s="68" t="n"/>
      <c r="F571" s="69" t="n"/>
      <c r="G571" s="70" t="n"/>
      <c r="H571" s="62" t="str">
        <f>IF(COUNTA(A571:G571)=0,"",IF(C571&lt;&gt;"",C571,IF(B571="","",IFERROR(INDEX(pr_des,MATCH(B571,pr_code,0))&amp;"",""))))</f>
        <v/>
      </c>
      <c r="I571" s="59" t="str">
        <f>IF(B571="","",IFERROR(INDEX(pr_unit,MATCH(B571,pr_code,0))&amp;"",""))</f>
        <v/>
      </c>
      <c r="J571" s="65" t="str">
        <f>IF(COUNTA(A571:G571)=0,"",IF(E571&lt;&gt;"",E571,IF(B571="","",IFERROR(IF(INDEX(pr_price,MATCH(B571,pr_code,0))="","",INDEX(pr_price,MATCH(B571,pr_code,0))),""))))</f>
        <v/>
      </c>
      <c r="K571" s="71" t="str">
        <f>IF(COUNTA(A571:G571)=0,"",IF(G571&lt;&gt;"",G571,IF(B571="","",IFERROR(IF(INDEX(pr_rate,MATCH(B571,pr_code,0))="","",INDEX(pr_rate,MATCH(B571,pr_code,0))),""))))</f>
        <v/>
      </c>
      <c r="L571" s="65" t="str">
        <f>IF(COUNTA(A571:G571)=0,"",IF(AND(ISNUMBER(D571),ISNUMBER(J571)),ROUND(D571*J571*(1-N(F571)),2),0))</f>
        <v/>
      </c>
      <c r="M571" s="62" t="str">
        <f>IF(A571="","",IFERROR(INDEX(fa_cname,MATCH(A571,fa_num,0))&amp;"",""))</f>
        <v/>
      </c>
      <c r="N571" s="59" t="str">
        <f>IF(COUNTA(A571:G571)=0,"",IF(A571="","N° facture manquant",IF(ISNA(MATCH(A571,fa_num,0)),"Facture inconnue",IF(AND(B571&lt;&gt;"",ISNA(MATCH(B571,pr_code,0))),"Article inconnu",IF(H571="","Désignation manquante",IF(OR(NOT(ISNUMBER(D571)),N(D571)&lt;=0),"Quantité invalide",IF(J571="","Prix manquant",IF(OR(NOT(ISNUMBER(J571)),N(J571)&lt;0),"Prix invalide",IF(OR(AND(F571&lt;&gt;"",NOT(ISNUMBER(F571))),N(F571)&lt;0,N(F571)&gt;1),"Remise invalide",IF(K571="","Taux de TVA manquant",IF(NOT(ISNUMBER(K571)),"Taux de TVA invalide",IF(COUNTIF(p_rates,K571)=0,"Taux de TVA hors liste (Paramètres)",IF(N(O571)&gt;25,"Au-delà de 25 lignes : non imprimée","OK")))))))))))))</f>
        <v/>
      </c>
      <c r="O571" s="59" t="str">
        <f>IF(A571="","",COUNTIF($A$6:A571,A571))</f>
        <v/>
      </c>
      <c r="P571" s="62" t="str">
        <f>IF(A571="","",A571&amp;"|"&amp;O571)</f>
        <v/>
      </c>
    </row>
    <row r="572">
      <c r="A572" s="60" t="n"/>
      <c r="B572" s="63" t="n"/>
      <c r="C572" s="63" t="n"/>
      <c r="D572" s="67" t="n"/>
      <c r="E572" s="68" t="n"/>
      <c r="F572" s="69" t="n"/>
      <c r="G572" s="70" t="n"/>
      <c r="H572" s="62" t="str">
        <f>IF(COUNTA(A572:G572)=0,"",IF(C572&lt;&gt;"",C572,IF(B572="","",IFERROR(INDEX(pr_des,MATCH(B572,pr_code,0))&amp;"",""))))</f>
        <v/>
      </c>
      <c r="I572" s="59" t="str">
        <f>IF(B572="","",IFERROR(INDEX(pr_unit,MATCH(B572,pr_code,0))&amp;"",""))</f>
        <v/>
      </c>
      <c r="J572" s="65" t="str">
        <f>IF(COUNTA(A572:G572)=0,"",IF(E572&lt;&gt;"",E572,IF(B572="","",IFERROR(IF(INDEX(pr_price,MATCH(B572,pr_code,0))="","",INDEX(pr_price,MATCH(B572,pr_code,0))),""))))</f>
        <v/>
      </c>
      <c r="K572" s="71" t="str">
        <f>IF(COUNTA(A572:G572)=0,"",IF(G572&lt;&gt;"",G572,IF(B572="","",IFERROR(IF(INDEX(pr_rate,MATCH(B572,pr_code,0))="","",INDEX(pr_rate,MATCH(B572,pr_code,0))),""))))</f>
        <v/>
      </c>
      <c r="L572" s="65" t="str">
        <f>IF(COUNTA(A572:G572)=0,"",IF(AND(ISNUMBER(D572),ISNUMBER(J572)),ROUND(D572*J572*(1-N(F572)),2),0))</f>
        <v/>
      </c>
      <c r="M572" s="62" t="str">
        <f>IF(A572="","",IFERROR(INDEX(fa_cname,MATCH(A572,fa_num,0))&amp;"",""))</f>
        <v/>
      </c>
      <c r="N572" s="59" t="str">
        <f>IF(COUNTA(A572:G572)=0,"",IF(A572="","N° facture manquant",IF(ISNA(MATCH(A572,fa_num,0)),"Facture inconnue",IF(AND(B572&lt;&gt;"",ISNA(MATCH(B572,pr_code,0))),"Article inconnu",IF(H572="","Désignation manquante",IF(OR(NOT(ISNUMBER(D572)),N(D572)&lt;=0),"Quantité invalide",IF(J572="","Prix manquant",IF(OR(NOT(ISNUMBER(J572)),N(J572)&lt;0),"Prix invalide",IF(OR(AND(F572&lt;&gt;"",NOT(ISNUMBER(F572))),N(F572)&lt;0,N(F572)&gt;1),"Remise invalide",IF(K572="","Taux de TVA manquant",IF(NOT(ISNUMBER(K572)),"Taux de TVA invalide",IF(COUNTIF(p_rates,K572)=0,"Taux de TVA hors liste (Paramètres)",IF(N(O572)&gt;25,"Au-delà de 25 lignes : non imprimée","OK")))))))))))))</f>
        <v/>
      </c>
      <c r="O572" s="59" t="str">
        <f>IF(A572="","",COUNTIF($A$6:A572,A572))</f>
        <v/>
      </c>
      <c r="P572" s="62" t="str">
        <f>IF(A572="","",A572&amp;"|"&amp;O572)</f>
        <v/>
      </c>
    </row>
    <row r="573">
      <c r="A573" s="60" t="n"/>
      <c r="B573" s="63" t="n"/>
      <c r="C573" s="63" t="n"/>
      <c r="D573" s="67" t="n"/>
      <c r="E573" s="68" t="n"/>
      <c r="F573" s="69" t="n"/>
      <c r="G573" s="70" t="n"/>
      <c r="H573" s="62" t="str">
        <f>IF(COUNTA(A573:G573)=0,"",IF(C573&lt;&gt;"",C573,IF(B573="","",IFERROR(INDEX(pr_des,MATCH(B573,pr_code,0))&amp;"",""))))</f>
        <v/>
      </c>
      <c r="I573" s="59" t="str">
        <f>IF(B573="","",IFERROR(INDEX(pr_unit,MATCH(B573,pr_code,0))&amp;"",""))</f>
        <v/>
      </c>
      <c r="J573" s="65" t="str">
        <f>IF(COUNTA(A573:G573)=0,"",IF(E573&lt;&gt;"",E573,IF(B573="","",IFERROR(IF(INDEX(pr_price,MATCH(B573,pr_code,0))="","",INDEX(pr_price,MATCH(B573,pr_code,0))),""))))</f>
        <v/>
      </c>
      <c r="K573" s="71" t="str">
        <f>IF(COUNTA(A573:G573)=0,"",IF(G573&lt;&gt;"",G573,IF(B573="","",IFERROR(IF(INDEX(pr_rate,MATCH(B573,pr_code,0))="","",INDEX(pr_rate,MATCH(B573,pr_code,0))),""))))</f>
        <v/>
      </c>
      <c r="L573" s="65" t="str">
        <f>IF(COUNTA(A573:G573)=0,"",IF(AND(ISNUMBER(D573),ISNUMBER(J573)),ROUND(D573*J573*(1-N(F573)),2),0))</f>
        <v/>
      </c>
      <c r="M573" s="62" t="str">
        <f>IF(A573="","",IFERROR(INDEX(fa_cname,MATCH(A573,fa_num,0))&amp;"",""))</f>
        <v/>
      </c>
      <c r="N573" s="59" t="str">
        <f>IF(COUNTA(A573:G573)=0,"",IF(A573="","N° facture manquant",IF(ISNA(MATCH(A573,fa_num,0)),"Facture inconnue",IF(AND(B573&lt;&gt;"",ISNA(MATCH(B573,pr_code,0))),"Article inconnu",IF(H573="","Désignation manquante",IF(OR(NOT(ISNUMBER(D573)),N(D573)&lt;=0),"Quantité invalide",IF(J573="","Prix manquant",IF(OR(NOT(ISNUMBER(J573)),N(J573)&lt;0),"Prix invalide",IF(OR(AND(F573&lt;&gt;"",NOT(ISNUMBER(F573))),N(F573)&lt;0,N(F573)&gt;1),"Remise invalide",IF(K573="","Taux de TVA manquant",IF(NOT(ISNUMBER(K573)),"Taux de TVA invalide",IF(COUNTIF(p_rates,K573)=0,"Taux de TVA hors liste (Paramètres)",IF(N(O573)&gt;25,"Au-delà de 25 lignes : non imprimée","OK")))))))))))))</f>
        <v/>
      </c>
      <c r="O573" s="59" t="str">
        <f>IF(A573="","",COUNTIF($A$6:A573,A573))</f>
        <v/>
      </c>
      <c r="P573" s="62" t="str">
        <f>IF(A573="","",A573&amp;"|"&amp;O573)</f>
        <v/>
      </c>
    </row>
    <row r="574">
      <c r="A574" s="60" t="n"/>
      <c r="B574" s="63" t="n"/>
      <c r="C574" s="63" t="n"/>
      <c r="D574" s="67" t="n"/>
      <c r="E574" s="68" t="n"/>
      <c r="F574" s="69" t="n"/>
      <c r="G574" s="70" t="n"/>
      <c r="H574" s="62" t="str">
        <f>IF(COUNTA(A574:G574)=0,"",IF(C574&lt;&gt;"",C574,IF(B574="","",IFERROR(INDEX(pr_des,MATCH(B574,pr_code,0))&amp;"",""))))</f>
        <v/>
      </c>
      <c r="I574" s="59" t="str">
        <f>IF(B574="","",IFERROR(INDEX(pr_unit,MATCH(B574,pr_code,0))&amp;"",""))</f>
        <v/>
      </c>
      <c r="J574" s="65" t="str">
        <f>IF(COUNTA(A574:G574)=0,"",IF(E574&lt;&gt;"",E574,IF(B574="","",IFERROR(IF(INDEX(pr_price,MATCH(B574,pr_code,0))="","",INDEX(pr_price,MATCH(B574,pr_code,0))),""))))</f>
        <v/>
      </c>
      <c r="K574" s="71" t="str">
        <f>IF(COUNTA(A574:G574)=0,"",IF(G574&lt;&gt;"",G574,IF(B574="","",IFERROR(IF(INDEX(pr_rate,MATCH(B574,pr_code,0))="","",INDEX(pr_rate,MATCH(B574,pr_code,0))),""))))</f>
        <v/>
      </c>
      <c r="L574" s="65" t="str">
        <f>IF(COUNTA(A574:G574)=0,"",IF(AND(ISNUMBER(D574),ISNUMBER(J574)),ROUND(D574*J574*(1-N(F574)),2),0))</f>
        <v/>
      </c>
      <c r="M574" s="62" t="str">
        <f>IF(A574="","",IFERROR(INDEX(fa_cname,MATCH(A574,fa_num,0))&amp;"",""))</f>
        <v/>
      </c>
      <c r="N574" s="59" t="str">
        <f>IF(COUNTA(A574:G574)=0,"",IF(A574="","N° facture manquant",IF(ISNA(MATCH(A574,fa_num,0)),"Facture inconnue",IF(AND(B574&lt;&gt;"",ISNA(MATCH(B574,pr_code,0))),"Article inconnu",IF(H574="","Désignation manquante",IF(OR(NOT(ISNUMBER(D574)),N(D574)&lt;=0),"Quantité invalide",IF(J574="","Prix manquant",IF(OR(NOT(ISNUMBER(J574)),N(J574)&lt;0),"Prix invalide",IF(OR(AND(F574&lt;&gt;"",NOT(ISNUMBER(F574))),N(F574)&lt;0,N(F574)&gt;1),"Remise invalide",IF(K574="","Taux de TVA manquant",IF(NOT(ISNUMBER(K574)),"Taux de TVA invalide",IF(COUNTIF(p_rates,K574)=0,"Taux de TVA hors liste (Paramètres)",IF(N(O574)&gt;25,"Au-delà de 25 lignes : non imprimée","OK")))))))))))))</f>
        <v/>
      </c>
      <c r="O574" s="59" t="str">
        <f>IF(A574="","",COUNTIF($A$6:A574,A574))</f>
        <v/>
      </c>
      <c r="P574" s="62" t="str">
        <f>IF(A574="","",A574&amp;"|"&amp;O574)</f>
        <v/>
      </c>
    </row>
    <row r="575">
      <c r="A575" s="60" t="n"/>
      <c r="B575" s="63" t="n"/>
      <c r="C575" s="63" t="n"/>
      <c r="D575" s="67" t="n"/>
      <c r="E575" s="68" t="n"/>
      <c r="F575" s="69" t="n"/>
      <c r="G575" s="70" t="n"/>
      <c r="H575" s="62" t="str">
        <f>IF(COUNTA(A575:G575)=0,"",IF(C575&lt;&gt;"",C575,IF(B575="","",IFERROR(INDEX(pr_des,MATCH(B575,pr_code,0))&amp;"",""))))</f>
        <v/>
      </c>
      <c r="I575" s="59" t="str">
        <f>IF(B575="","",IFERROR(INDEX(pr_unit,MATCH(B575,pr_code,0))&amp;"",""))</f>
        <v/>
      </c>
      <c r="J575" s="65" t="str">
        <f>IF(COUNTA(A575:G575)=0,"",IF(E575&lt;&gt;"",E575,IF(B575="","",IFERROR(IF(INDEX(pr_price,MATCH(B575,pr_code,0))="","",INDEX(pr_price,MATCH(B575,pr_code,0))),""))))</f>
        <v/>
      </c>
      <c r="K575" s="71" t="str">
        <f>IF(COUNTA(A575:G575)=0,"",IF(G575&lt;&gt;"",G575,IF(B575="","",IFERROR(IF(INDEX(pr_rate,MATCH(B575,pr_code,0))="","",INDEX(pr_rate,MATCH(B575,pr_code,0))),""))))</f>
        <v/>
      </c>
      <c r="L575" s="65" t="str">
        <f>IF(COUNTA(A575:G575)=0,"",IF(AND(ISNUMBER(D575),ISNUMBER(J575)),ROUND(D575*J575*(1-N(F575)),2),0))</f>
        <v/>
      </c>
      <c r="M575" s="62" t="str">
        <f>IF(A575="","",IFERROR(INDEX(fa_cname,MATCH(A575,fa_num,0))&amp;"",""))</f>
        <v/>
      </c>
      <c r="N575" s="59" t="str">
        <f>IF(COUNTA(A575:G575)=0,"",IF(A575="","N° facture manquant",IF(ISNA(MATCH(A575,fa_num,0)),"Facture inconnue",IF(AND(B575&lt;&gt;"",ISNA(MATCH(B575,pr_code,0))),"Article inconnu",IF(H575="","Désignation manquante",IF(OR(NOT(ISNUMBER(D575)),N(D575)&lt;=0),"Quantité invalide",IF(J575="","Prix manquant",IF(OR(NOT(ISNUMBER(J575)),N(J575)&lt;0),"Prix invalide",IF(OR(AND(F575&lt;&gt;"",NOT(ISNUMBER(F575))),N(F575)&lt;0,N(F575)&gt;1),"Remise invalide",IF(K575="","Taux de TVA manquant",IF(NOT(ISNUMBER(K575)),"Taux de TVA invalide",IF(COUNTIF(p_rates,K575)=0,"Taux de TVA hors liste (Paramètres)",IF(N(O575)&gt;25,"Au-delà de 25 lignes : non imprimée","OK")))))))))))))</f>
        <v/>
      </c>
      <c r="O575" s="59" t="str">
        <f>IF(A575="","",COUNTIF($A$6:A575,A575))</f>
        <v/>
      </c>
      <c r="P575" s="62" t="str">
        <f>IF(A575="","",A575&amp;"|"&amp;O575)</f>
        <v/>
      </c>
    </row>
    <row r="576">
      <c r="A576" s="60" t="n"/>
      <c r="B576" s="63" t="n"/>
      <c r="C576" s="63" t="n"/>
      <c r="D576" s="67" t="n"/>
      <c r="E576" s="68" t="n"/>
      <c r="F576" s="69" t="n"/>
      <c r="G576" s="70" t="n"/>
      <c r="H576" s="62" t="str">
        <f>IF(COUNTA(A576:G576)=0,"",IF(C576&lt;&gt;"",C576,IF(B576="","",IFERROR(INDEX(pr_des,MATCH(B576,pr_code,0))&amp;"",""))))</f>
        <v/>
      </c>
      <c r="I576" s="59" t="str">
        <f>IF(B576="","",IFERROR(INDEX(pr_unit,MATCH(B576,pr_code,0))&amp;"",""))</f>
        <v/>
      </c>
      <c r="J576" s="65" t="str">
        <f>IF(COUNTA(A576:G576)=0,"",IF(E576&lt;&gt;"",E576,IF(B576="","",IFERROR(IF(INDEX(pr_price,MATCH(B576,pr_code,0))="","",INDEX(pr_price,MATCH(B576,pr_code,0))),""))))</f>
        <v/>
      </c>
      <c r="K576" s="71" t="str">
        <f>IF(COUNTA(A576:G576)=0,"",IF(G576&lt;&gt;"",G576,IF(B576="","",IFERROR(IF(INDEX(pr_rate,MATCH(B576,pr_code,0))="","",INDEX(pr_rate,MATCH(B576,pr_code,0))),""))))</f>
        <v/>
      </c>
      <c r="L576" s="65" t="str">
        <f>IF(COUNTA(A576:G576)=0,"",IF(AND(ISNUMBER(D576),ISNUMBER(J576)),ROUND(D576*J576*(1-N(F576)),2),0))</f>
        <v/>
      </c>
      <c r="M576" s="62" t="str">
        <f>IF(A576="","",IFERROR(INDEX(fa_cname,MATCH(A576,fa_num,0))&amp;"",""))</f>
        <v/>
      </c>
      <c r="N576" s="59" t="str">
        <f>IF(COUNTA(A576:G576)=0,"",IF(A576="","N° facture manquant",IF(ISNA(MATCH(A576,fa_num,0)),"Facture inconnue",IF(AND(B576&lt;&gt;"",ISNA(MATCH(B576,pr_code,0))),"Article inconnu",IF(H576="","Désignation manquante",IF(OR(NOT(ISNUMBER(D576)),N(D576)&lt;=0),"Quantité invalide",IF(J576="","Prix manquant",IF(OR(NOT(ISNUMBER(J576)),N(J576)&lt;0),"Prix invalide",IF(OR(AND(F576&lt;&gt;"",NOT(ISNUMBER(F576))),N(F576)&lt;0,N(F576)&gt;1),"Remise invalide",IF(K576="","Taux de TVA manquant",IF(NOT(ISNUMBER(K576)),"Taux de TVA invalide",IF(COUNTIF(p_rates,K576)=0,"Taux de TVA hors liste (Paramètres)",IF(N(O576)&gt;25,"Au-delà de 25 lignes : non imprimée","OK")))))))))))))</f>
        <v/>
      </c>
      <c r="O576" s="59" t="str">
        <f>IF(A576="","",COUNTIF($A$6:A576,A576))</f>
        <v/>
      </c>
      <c r="P576" s="62" t="str">
        <f>IF(A576="","",A576&amp;"|"&amp;O576)</f>
        <v/>
      </c>
    </row>
    <row r="577">
      <c r="A577" s="60" t="n"/>
      <c r="B577" s="63" t="n"/>
      <c r="C577" s="63" t="n"/>
      <c r="D577" s="67" t="n"/>
      <c r="E577" s="68" t="n"/>
      <c r="F577" s="69" t="n"/>
      <c r="G577" s="70" t="n"/>
      <c r="H577" s="62" t="str">
        <f>IF(COUNTA(A577:G577)=0,"",IF(C577&lt;&gt;"",C577,IF(B577="","",IFERROR(INDEX(pr_des,MATCH(B577,pr_code,0))&amp;"",""))))</f>
        <v/>
      </c>
      <c r="I577" s="59" t="str">
        <f>IF(B577="","",IFERROR(INDEX(pr_unit,MATCH(B577,pr_code,0))&amp;"",""))</f>
        <v/>
      </c>
      <c r="J577" s="65" t="str">
        <f>IF(COUNTA(A577:G577)=0,"",IF(E577&lt;&gt;"",E577,IF(B577="","",IFERROR(IF(INDEX(pr_price,MATCH(B577,pr_code,0))="","",INDEX(pr_price,MATCH(B577,pr_code,0))),""))))</f>
        <v/>
      </c>
      <c r="K577" s="71" t="str">
        <f>IF(COUNTA(A577:G577)=0,"",IF(G577&lt;&gt;"",G577,IF(B577="","",IFERROR(IF(INDEX(pr_rate,MATCH(B577,pr_code,0))="","",INDEX(pr_rate,MATCH(B577,pr_code,0))),""))))</f>
        <v/>
      </c>
      <c r="L577" s="65" t="str">
        <f>IF(COUNTA(A577:G577)=0,"",IF(AND(ISNUMBER(D577),ISNUMBER(J577)),ROUND(D577*J577*(1-N(F577)),2),0))</f>
        <v/>
      </c>
      <c r="M577" s="62" t="str">
        <f>IF(A577="","",IFERROR(INDEX(fa_cname,MATCH(A577,fa_num,0))&amp;"",""))</f>
        <v/>
      </c>
      <c r="N577" s="59" t="str">
        <f>IF(COUNTA(A577:G577)=0,"",IF(A577="","N° facture manquant",IF(ISNA(MATCH(A577,fa_num,0)),"Facture inconnue",IF(AND(B577&lt;&gt;"",ISNA(MATCH(B577,pr_code,0))),"Article inconnu",IF(H577="","Désignation manquante",IF(OR(NOT(ISNUMBER(D577)),N(D577)&lt;=0),"Quantité invalide",IF(J577="","Prix manquant",IF(OR(NOT(ISNUMBER(J577)),N(J577)&lt;0),"Prix invalide",IF(OR(AND(F577&lt;&gt;"",NOT(ISNUMBER(F577))),N(F577)&lt;0,N(F577)&gt;1),"Remise invalide",IF(K577="","Taux de TVA manquant",IF(NOT(ISNUMBER(K577)),"Taux de TVA invalide",IF(COUNTIF(p_rates,K577)=0,"Taux de TVA hors liste (Paramètres)",IF(N(O577)&gt;25,"Au-delà de 25 lignes : non imprimée","OK")))))))))))))</f>
        <v/>
      </c>
      <c r="O577" s="59" t="str">
        <f>IF(A577="","",COUNTIF($A$6:A577,A577))</f>
        <v/>
      </c>
      <c r="P577" s="62" t="str">
        <f>IF(A577="","",A577&amp;"|"&amp;O577)</f>
        <v/>
      </c>
    </row>
    <row r="578">
      <c r="A578" s="60" t="n"/>
      <c r="B578" s="63" t="n"/>
      <c r="C578" s="63" t="n"/>
      <c r="D578" s="67" t="n"/>
      <c r="E578" s="68" t="n"/>
      <c r="F578" s="69" t="n"/>
      <c r="G578" s="70" t="n"/>
      <c r="H578" s="62" t="str">
        <f>IF(COUNTA(A578:G578)=0,"",IF(C578&lt;&gt;"",C578,IF(B578="","",IFERROR(INDEX(pr_des,MATCH(B578,pr_code,0))&amp;"",""))))</f>
        <v/>
      </c>
      <c r="I578" s="59" t="str">
        <f>IF(B578="","",IFERROR(INDEX(pr_unit,MATCH(B578,pr_code,0))&amp;"",""))</f>
        <v/>
      </c>
      <c r="J578" s="65" t="str">
        <f>IF(COUNTA(A578:G578)=0,"",IF(E578&lt;&gt;"",E578,IF(B578="","",IFERROR(IF(INDEX(pr_price,MATCH(B578,pr_code,0))="","",INDEX(pr_price,MATCH(B578,pr_code,0))),""))))</f>
        <v/>
      </c>
      <c r="K578" s="71" t="str">
        <f>IF(COUNTA(A578:G578)=0,"",IF(G578&lt;&gt;"",G578,IF(B578="","",IFERROR(IF(INDEX(pr_rate,MATCH(B578,pr_code,0))="","",INDEX(pr_rate,MATCH(B578,pr_code,0))),""))))</f>
        <v/>
      </c>
      <c r="L578" s="65" t="str">
        <f>IF(COUNTA(A578:G578)=0,"",IF(AND(ISNUMBER(D578),ISNUMBER(J578)),ROUND(D578*J578*(1-N(F578)),2),0))</f>
        <v/>
      </c>
      <c r="M578" s="62" t="str">
        <f>IF(A578="","",IFERROR(INDEX(fa_cname,MATCH(A578,fa_num,0))&amp;"",""))</f>
        <v/>
      </c>
      <c r="N578" s="59" t="str">
        <f>IF(COUNTA(A578:G578)=0,"",IF(A578="","N° facture manquant",IF(ISNA(MATCH(A578,fa_num,0)),"Facture inconnue",IF(AND(B578&lt;&gt;"",ISNA(MATCH(B578,pr_code,0))),"Article inconnu",IF(H578="","Désignation manquante",IF(OR(NOT(ISNUMBER(D578)),N(D578)&lt;=0),"Quantité invalide",IF(J578="","Prix manquant",IF(OR(NOT(ISNUMBER(J578)),N(J578)&lt;0),"Prix invalide",IF(OR(AND(F578&lt;&gt;"",NOT(ISNUMBER(F578))),N(F578)&lt;0,N(F578)&gt;1),"Remise invalide",IF(K578="","Taux de TVA manquant",IF(NOT(ISNUMBER(K578)),"Taux de TVA invalide",IF(COUNTIF(p_rates,K578)=0,"Taux de TVA hors liste (Paramètres)",IF(N(O578)&gt;25,"Au-delà de 25 lignes : non imprimée","OK")))))))))))))</f>
        <v/>
      </c>
      <c r="O578" s="59" t="str">
        <f>IF(A578="","",COUNTIF($A$6:A578,A578))</f>
        <v/>
      </c>
      <c r="P578" s="62" t="str">
        <f>IF(A578="","",A578&amp;"|"&amp;O578)</f>
        <v/>
      </c>
    </row>
    <row r="579">
      <c r="A579" s="60" t="n"/>
      <c r="B579" s="63" t="n"/>
      <c r="C579" s="63" t="n"/>
      <c r="D579" s="67" t="n"/>
      <c r="E579" s="68" t="n"/>
      <c r="F579" s="69" t="n"/>
      <c r="G579" s="70" t="n"/>
      <c r="H579" s="62" t="str">
        <f>IF(COUNTA(A579:G579)=0,"",IF(C579&lt;&gt;"",C579,IF(B579="","",IFERROR(INDEX(pr_des,MATCH(B579,pr_code,0))&amp;"",""))))</f>
        <v/>
      </c>
      <c r="I579" s="59" t="str">
        <f>IF(B579="","",IFERROR(INDEX(pr_unit,MATCH(B579,pr_code,0))&amp;"",""))</f>
        <v/>
      </c>
      <c r="J579" s="65" t="str">
        <f>IF(COUNTA(A579:G579)=0,"",IF(E579&lt;&gt;"",E579,IF(B579="","",IFERROR(IF(INDEX(pr_price,MATCH(B579,pr_code,0))="","",INDEX(pr_price,MATCH(B579,pr_code,0))),""))))</f>
        <v/>
      </c>
      <c r="K579" s="71" t="str">
        <f>IF(COUNTA(A579:G579)=0,"",IF(G579&lt;&gt;"",G579,IF(B579="","",IFERROR(IF(INDEX(pr_rate,MATCH(B579,pr_code,0))="","",INDEX(pr_rate,MATCH(B579,pr_code,0))),""))))</f>
        <v/>
      </c>
      <c r="L579" s="65" t="str">
        <f>IF(COUNTA(A579:G579)=0,"",IF(AND(ISNUMBER(D579),ISNUMBER(J579)),ROUND(D579*J579*(1-N(F579)),2),0))</f>
        <v/>
      </c>
      <c r="M579" s="62" t="str">
        <f>IF(A579="","",IFERROR(INDEX(fa_cname,MATCH(A579,fa_num,0))&amp;"",""))</f>
        <v/>
      </c>
      <c r="N579" s="59" t="str">
        <f>IF(COUNTA(A579:G579)=0,"",IF(A579="","N° facture manquant",IF(ISNA(MATCH(A579,fa_num,0)),"Facture inconnue",IF(AND(B579&lt;&gt;"",ISNA(MATCH(B579,pr_code,0))),"Article inconnu",IF(H579="","Désignation manquante",IF(OR(NOT(ISNUMBER(D579)),N(D579)&lt;=0),"Quantité invalide",IF(J579="","Prix manquant",IF(OR(NOT(ISNUMBER(J579)),N(J579)&lt;0),"Prix invalide",IF(OR(AND(F579&lt;&gt;"",NOT(ISNUMBER(F579))),N(F579)&lt;0,N(F579)&gt;1),"Remise invalide",IF(K579="","Taux de TVA manquant",IF(NOT(ISNUMBER(K579)),"Taux de TVA invalide",IF(COUNTIF(p_rates,K579)=0,"Taux de TVA hors liste (Paramètres)",IF(N(O579)&gt;25,"Au-delà de 25 lignes : non imprimée","OK")))))))))))))</f>
        <v/>
      </c>
      <c r="O579" s="59" t="str">
        <f>IF(A579="","",COUNTIF($A$6:A579,A579))</f>
        <v/>
      </c>
      <c r="P579" s="62" t="str">
        <f>IF(A579="","",A579&amp;"|"&amp;O579)</f>
        <v/>
      </c>
    </row>
    <row r="580">
      <c r="A580" s="60" t="n"/>
      <c r="B580" s="63" t="n"/>
      <c r="C580" s="63" t="n"/>
      <c r="D580" s="67" t="n"/>
      <c r="E580" s="68" t="n"/>
      <c r="F580" s="69" t="n"/>
      <c r="G580" s="70" t="n"/>
      <c r="H580" s="62" t="str">
        <f>IF(COUNTA(A580:G580)=0,"",IF(C580&lt;&gt;"",C580,IF(B580="","",IFERROR(INDEX(pr_des,MATCH(B580,pr_code,0))&amp;"",""))))</f>
        <v/>
      </c>
      <c r="I580" s="59" t="str">
        <f>IF(B580="","",IFERROR(INDEX(pr_unit,MATCH(B580,pr_code,0))&amp;"",""))</f>
        <v/>
      </c>
      <c r="J580" s="65" t="str">
        <f>IF(COUNTA(A580:G580)=0,"",IF(E580&lt;&gt;"",E580,IF(B580="","",IFERROR(IF(INDEX(pr_price,MATCH(B580,pr_code,0))="","",INDEX(pr_price,MATCH(B580,pr_code,0))),""))))</f>
        <v/>
      </c>
      <c r="K580" s="71" t="str">
        <f>IF(COUNTA(A580:G580)=0,"",IF(G580&lt;&gt;"",G580,IF(B580="","",IFERROR(IF(INDEX(pr_rate,MATCH(B580,pr_code,0))="","",INDEX(pr_rate,MATCH(B580,pr_code,0))),""))))</f>
        <v/>
      </c>
      <c r="L580" s="65" t="str">
        <f>IF(COUNTA(A580:G580)=0,"",IF(AND(ISNUMBER(D580),ISNUMBER(J580)),ROUND(D580*J580*(1-N(F580)),2),0))</f>
        <v/>
      </c>
      <c r="M580" s="62" t="str">
        <f>IF(A580="","",IFERROR(INDEX(fa_cname,MATCH(A580,fa_num,0))&amp;"",""))</f>
        <v/>
      </c>
      <c r="N580" s="59" t="str">
        <f>IF(COUNTA(A580:G580)=0,"",IF(A580="","N° facture manquant",IF(ISNA(MATCH(A580,fa_num,0)),"Facture inconnue",IF(AND(B580&lt;&gt;"",ISNA(MATCH(B580,pr_code,0))),"Article inconnu",IF(H580="","Désignation manquante",IF(OR(NOT(ISNUMBER(D580)),N(D580)&lt;=0),"Quantité invalide",IF(J580="","Prix manquant",IF(OR(NOT(ISNUMBER(J580)),N(J580)&lt;0),"Prix invalide",IF(OR(AND(F580&lt;&gt;"",NOT(ISNUMBER(F580))),N(F580)&lt;0,N(F580)&gt;1),"Remise invalide",IF(K580="","Taux de TVA manquant",IF(NOT(ISNUMBER(K580)),"Taux de TVA invalide",IF(COUNTIF(p_rates,K580)=0,"Taux de TVA hors liste (Paramètres)",IF(N(O580)&gt;25,"Au-delà de 25 lignes : non imprimée","OK")))))))))))))</f>
        <v/>
      </c>
      <c r="O580" s="59" t="str">
        <f>IF(A580="","",COUNTIF($A$6:A580,A580))</f>
        <v/>
      </c>
      <c r="P580" s="62" t="str">
        <f>IF(A580="","",A580&amp;"|"&amp;O580)</f>
        <v/>
      </c>
    </row>
    <row r="581">
      <c r="A581" s="60" t="n"/>
      <c r="B581" s="63" t="n"/>
      <c r="C581" s="63" t="n"/>
      <c r="D581" s="67" t="n"/>
      <c r="E581" s="68" t="n"/>
      <c r="F581" s="69" t="n"/>
      <c r="G581" s="70" t="n"/>
      <c r="H581" s="62" t="str">
        <f>IF(COUNTA(A581:G581)=0,"",IF(C581&lt;&gt;"",C581,IF(B581="","",IFERROR(INDEX(pr_des,MATCH(B581,pr_code,0))&amp;"",""))))</f>
        <v/>
      </c>
      <c r="I581" s="59" t="str">
        <f>IF(B581="","",IFERROR(INDEX(pr_unit,MATCH(B581,pr_code,0))&amp;"",""))</f>
        <v/>
      </c>
      <c r="J581" s="65" t="str">
        <f>IF(COUNTA(A581:G581)=0,"",IF(E581&lt;&gt;"",E581,IF(B581="","",IFERROR(IF(INDEX(pr_price,MATCH(B581,pr_code,0))="","",INDEX(pr_price,MATCH(B581,pr_code,0))),""))))</f>
        <v/>
      </c>
      <c r="K581" s="71" t="str">
        <f>IF(COUNTA(A581:G581)=0,"",IF(G581&lt;&gt;"",G581,IF(B581="","",IFERROR(IF(INDEX(pr_rate,MATCH(B581,pr_code,0))="","",INDEX(pr_rate,MATCH(B581,pr_code,0))),""))))</f>
        <v/>
      </c>
      <c r="L581" s="65" t="str">
        <f>IF(COUNTA(A581:G581)=0,"",IF(AND(ISNUMBER(D581),ISNUMBER(J581)),ROUND(D581*J581*(1-N(F581)),2),0))</f>
        <v/>
      </c>
      <c r="M581" s="62" t="str">
        <f>IF(A581="","",IFERROR(INDEX(fa_cname,MATCH(A581,fa_num,0))&amp;"",""))</f>
        <v/>
      </c>
      <c r="N581" s="59" t="str">
        <f>IF(COUNTA(A581:G581)=0,"",IF(A581="","N° facture manquant",IF(ISNA(MATCH(A581,fa_num,0)),"Facture inconnue",IF(AND(B581&lt;&gt;"",ISNA(MATCH(B581,pr_code,0))),"Article inconnu",IF(H581="","Désignation manquante",IF(OR(NOT(ISNUMBER(D581)),N(D581)&lt;=0),"Quantité invalide",IF(J581="","Prix manquant",IF(OR(NOT(ISNUMBER(J581)),N(J581)&lt;0),"Prix invalide",IF(OR(AND(F581&lt;&gt;"",NOT(ISNUMBER(F581))),N(F581)&lt;0,N(F581)&gt;1),"Remise invalide",IF(K581="","Taux de TVA manquant",IF(NOT(ISNUMBER(K581)),"Taux de TVA invalide",IF(COUNTIF(p_rates,K581)=0,"Taux de TVA hors liste (Paramètres)",IF(N(O581)&gt;25,"Au-delà de 25 lignes : non imprimée","OK")))))))))))))</f>
        <v/>
      </c>
      <c r="O581" s="59" t="str">
        <f>IF(A581="","",COUNTIF($A$6:A581,A581))</f>
        <v/>
      </c>
      <c r="P581" s="62" t="str">
        <f>IF(A581="","",A581&amp;"|"&amp;O581)</f>
        <v/>
      </c>
    </row>
    <row r="582">
      <c r="A582" s="60" t="n"/>
      <c r="B582" s="63" t="n"/>
      <c r="C582" s="63" t="n"/>
      <c r="D582" s="67" t="n"/>
      <c r="E582" s="68" t="n"/>
      <c r="F582" s="69" t="n"/>
      <c r="G582" s="70" t="n"/>
      <c r="H582" s="62" t="str">
        <f>IF(COUNTA(A582:G582)=0,"",IF(C582&lt;&gt;"",C582,IF(B582="","",IFERROR(INDEX(pr_des,MATCH(B582,pr_code,0))&amp;"",""))))</f>
        <v/>
      </c>
      <c r="I582" s="59" t="str">
        <f>IF(B582="","",IFERROR(INDEX(pr_unit,MATCH(B582,pr_code,0))&amp;"",""))</f>
        <v/>
      </c>
      <c r="J582" s="65" t="str">
        <f>IF(COUNTA(A582:G582)=0,"",IF(E582&lt;&gt;"",E582,IF(B582="","",IFERROR(IF(INDEX(pr_price,MATCH(B582,pr_code,0))="","",INDEX(pr_price,MATCH(B582,pr_code,0))),""))))</f>
        <v/>
      </c>
      <c r="K582" s="71" t="str">
        <f>IF(COUNTA(A582:G582)=0,"",IF(G582&lt;&gt;"",G582,IF(B582="","",IFERROR(IF(INDEX(pr_rate,MATCH(B582,pr_code,0))="","",INDEX(pr_rate,MATCH(B582,pr_code,0))),""))))</f>
        <v/>
      </c>
      <c r="L582" s="65" t="str">
        <f>IF(COUNTA(A582:G582)=0,"",IF(AND(ISNUMBER(D582),ISNUMBER(J582)),ROUND(D582*J582*(1-N(F582)),2),0))</f>
        <v/>
      </c>
      <c r="M582" s="62" t="str">
        <f>IF(A582="","",IFERROR(INDEX(fa_cname,MATCH(A582,fa_num,0))&amp;"",""))</f>
        <v/>
      </c>
      <c r="N582" s="59" t="str">
        <f>IF(COUNTA(A582:G582)=0,"",IF(A582="","N° facture manquant",IF(ISNA(MATCH(A582,fa_num,0)),"Facture inconnue",IF(AND(B582&lt;&gt;"",ISNA(MATCH(B582,pr_code,0))),"Article inconnu",IF(H582="","Désignation manquante",IF(OR(NOT(ISNUMBER(D582)),N(D582)&lt;=0),"Quantité invalide",IF(J582="","Prix manquant",IF(OR(NOT(ISNUMBER(J582)),N(J582)&lt;0),"Prix invalide",IF(OR(AND(F582&lt;&gt;"",NOT(ISNUMBER(F582))),N(F582)&lt;0,N(F582)&gt;1),"Remise invalide",IF(K582="","Taux de TVA manquant",IF(NOT(ISNUMBER(K582)),"Taux de TVA invalide",IF(COUNTIF(p_rates,K582)=0,"Taux de TVA hors liste (Paramètres)",IF(N(O582)&gt;25,"Au-delà de 25 lignes : non imprimée","OK")))))))))))))</f>
        <v/>
      </c>
      <c r="O582" s="59" t="str">
        <f>IF(A582="","",COUNTIF($A$6:A582,A582))</f>
        <v/>
      </c>
      <c r="P582" s="62" t="str">
        <f>IF(A582="","",A582&amp;"|"&amp;O582)</f>
        <v/>
      </c>
    </row>
    <row r="583">
      <c r="A583" s="60" t="n"/>
      <c r="B583" s="63" t="n"/>
      <c r="C583" s="63" t="n"/>
      <c r="D583" s="67" t="n"/>
      <c r="E583" s="68" t="n"/>
      <c r="F583" s="69" t="n"/>
      <c r="G583" s="70" t="n"/>
      <c r="H583" s="62" t="str">
        <f>IF(COUNTA(A583:G583)=0,"",IF(C583&lt;&gt;"",C583,IF(B583="","",IFERROR(INDEX(pr_des,MATCH(B583,pr_code,0))&amp;"",""))))</f>
        <v/>
      </c>
      <c r="I583" s="59" t="str">
        <f>IF(B583="","",IFERROR(INDEX(pr_unit,MATCH(B583,pr_code,0))&amp;"",""))</f>
        <v/>
      </c>
      <c r="J583" s="65" t="str">
        <f>IF(COUNTA(A583:G583)=0,"",IF(E583&lt;&gt;"",E583,IF(B583="","",IFERROR(IF(INDEX(pr_price,MATCH(B583,pr_code,0))="","",INDEX(pr_price,MATCH(B583,pr_code,0))),""))))</f>
        <v/>
      </c>
      <c r="K583" s="71" t="str">
        <f>IF(COUNTA(A583:G583)=0,"",IF(G583&lt;&gt;"",G583,IF(B583="","",IFERROR(IF(INDEX(pr_rate,MATCH(B583,pr_code,0))="","",INDEX(pr_rate,MATCH(B583,pr_code,0))),""))))</f>
        <v/>
      </c>
      <c r="L583" s="65" t="str">
        <f>IF(COUNTA(A583:G583)=0,"",IF(AND(ISNUMBER(D583),ISNUMBER(J583)),ROUND(D583*J583*(1-N(F583)),2),0))</f>
        <v/>
      </c>
      <c r="M583" s="62" t="str">
        <f>IF(A583="","",IFERROR(INDEX(fa_cname,MATCH(A583,fa_num,0))&amp;"",""))</f>
        <v/>
      </c>
      <c r="N583" s="59" t="str">
        <f>IF(COUNTA(A583:G583)=0,"",IF(A583="","N° facture manquant",IF(ISNA(MATCH(A583,fa_num,0)),"Facture inconnue",IF(AND(B583&lt;&gt;"",ISNA(MATCH(B583,pr_code,0))),"Article inconnu",IF(H583="","Désignation manquante",IF(OR(NOT(ISNUMBER(D583)),N(D583)&lt;=0),"Quantité invalide",IF(J583="","Prix manquant",IF(OR(NOT(ISNUMBER(J583)),N(J583)&lt;0),"Prix invalide",IF(OR(AND(F583&lt;&gt;"",NOT(ISNUMBER(F583))),N(F583)&lt;0,N(F583)&gt;1),"Remise invalide",IF(K583="","Taux de TVA manquant",IF(NOT(ISNUMBER(K583)),"Taux de TVA invalide",IF(COUNTIF(p_rates,K583)=0,"Taux de TVA hors liste (Paramètres)",IF(N(O583)&gt;25,"Au-delà de 25 lignes : non imprimée","OK")))))))))))))</f>
        <v/>
      </c>
      <c r="O583" s="59" t="str">
        <f>IF(A583="","",COUNTIF($A$6:A583,A583))</f>
        <v/>
      </c>
      <c r="P583" s="62" t="str">
        <f>IF(A583="","",A583&amp;"|"&amp;O583)</f>
        <v/>
      </c>
    </row>
    <row r="584">
      <c r="A584" s="60" t="n"/>
      <c r="B584" s="63" t="n"/>
      <c r="C584" s="63" t="n"/>
      <c r="D584" s="67" t="n"/>
      <c r="E584" s="68" t="n"/>
      <c r="F584" s="69" t="n"/>
      <c r="G584" s="70" t="n"/>
      <c r="H584" s="62" t="str">
        <f>IF(COUNTA(A584:G584)=0,"",IF(C584&lt;&gt;"",C584,IF(B584="","",IFERROR(INDEX(pr_des,MATCH(B584,pr_code,0))&amp;"",""))))</f>
        <v/>
      </c>
      <c r="I584" s="59" t="str">
        <f>IF(B584="","",IFERROR(INDEX(pr_unit,MATCH(B584,pr_code,0))&amp;"",""))</f>
        <v/>
      </c>
      <c r="J584" s="65" t="str">
        <f>IF(COUNTA(A584:G584)=0,"",IF(E584&lt;&gt;"",E584,IF(B584="","",IFERROR(IF(INDEX(pr_price,MATCH(B584,pr_code,0))="","",INDEX(pr_price,MATCH(B584,pr_code,0))),""))))</f>
        <v/>
      </c>
      <c r="K584" s="71" t="str">
        <f>IF(COUNTA(A584:G584)=0,"",IF(G584&lt;&gt;"",G584,IF(B584="","",IFERROR(IF(INDEX(pr_rate,MATCH(B584,pr_code,0))="","",INDEX(pr_rate,MATCH(B584,pr_code,0))),""))))</f>
        <v/>
      </c>
      <c r="L584" s="65" t="str">
        <f>IF(COUNTA(A584:G584)=0,"",IF(AND(ISNUMBER(D584),ISNUMBER(J584)),ROUND(D584*J584*(1-N(F584)),2),0))</f>
        <v/>
      </c>
      <c r="M584" s="62" t="str">
        <f>IF(A584="","",IFERROR(INDEX(fa_cname,MATCH(A584,fa_num,0))&amp;"",""))</f>
        <v/>
      </c>
      <c r="N584" s="59" t="str">
        <f>IF(COUNTA(A584:G584)=0,"",IF(A584="","N° facture manquant",IF(ISNA(MATCH(A584,fa_num,0)),"Facture inconnue",IF(AND(B584&lt;&gt;"",ISNA(MATCH(B584,pr_code,0))),"Article inconnu",IF(H584="","Désignation manquante",IF(OR(NOT(ISNUMBER(D584)),N(D584)&lt;=0),"Quantité invalide",IF(J584="","Prix manquant",IF(OR(NOT(ISNUMBER(J584)),N(J584)&lt;0),"Prix invalide",IF(OR(AND(F584&lt;&gt;"",NOT(ISNUMBER(F584))),N(F584)&lt;0,N(F584)&gt;1),"Remise invalide",IF(K584="","Taux de TVA manquant",IF(NOT(ISNUMBER(K584)),"Taux de TVA invalide",IF(COUNTIF(p_rates,K584)=0,"Taux de TVA hors liste (Paramètres)",IF(N(O584)&gt;25,"Au-delà de 25 lignes : non imprimée","OK")))))))))))))</f>
        <v/>
      </c>
      <c r="O584" s="59" t="str">
        <f>IF(A584="","",COUNTIF($A$6:A584,A584))</f>
        <v/>
      </c>
      <c r="P584" s="62" t="str">
        <f>IF(A584="","",A584&amp;"|"&amp;O584)</f>
        <v/>
      </c>
    </row>
    <row r="585">
      <c r="A585" s="60" t="n"/>
      <c r="B585" s="63" t="n"/>
      <c r="C585" s="63" t="n"/>
      <c r="D585" s="67" t="n"/>
      <c r="E585" s="68" t="n"/>
      <c r="F585" s="69" t="n"/>
      <c r="G585" s="70" t="n"/>
      <c r="H585" s="62" t="str">
        <f>IF(COUNTA(A585:G585)=0,"",IF(C585&lt;&gt;"",C585,IF(B585="","",IFERROR(INDEX(pr_des,MATCH(B585,pr_code,0))&amp;"",""))))</f>
        <v/>
      </c>
      <c r="I585" s="59" t="str">
        <f>IF(B585="","",IFERROR(INDEX(pr_unit,MATCH(B585,pr_code,0))&amp;"",""))</f>
        <v/>
      </c>
      <c r="J585" s="65" t="str">
        <f>IF(COUNTA(A585:G585)=0,"",IF(E585&lt;&gt;"",E585,IF(B585="","",IFERROR(IF(INDEX(pr_price,MATCH(B585,pr_code,0))="","",INDEX(pr_price,MATCH(B585,pr_code,0))),""))))</f>
        <v/>
      </c>
      <c r="K585" s="71" t="str">
        <f>IF(COUNTA(A585:G585)=0,"",IF(G585&lt;&gt;"",G585,IF(B585="","",IFERROR(IF(INDEX(pr_rate,MATCH(B585,pr_code,0))="","",INDEX(pr_rate,MATCH(B585,pr_code,0))),""))))</f>
        <v/>
      </c>
      <c r="L585" s="65" t="str">
        <f>IF(COUNTA(A585:G585)=0,"",IF(AND(ISNUMBER(D585),ISNUMBER(J585)),ROUND(D585*J585*(1-N(F585)),2),0))</f>
        <v/>
      </c>
      <c r="M585" s="62" t="str">
        <f>IF(A585="","",IFERROR(INDEX(fa_cname,MATCH(A585,fa_num,0))&amp;"",""))</f>
        <v/>
      </c>
      <c r="N585" s="59" t="str">
        <f>IF(COUNTA(A585:G585)=0,"",IF(A585="","N° facture manquant",IF(ISNA(MATCH(A585,fa_num,0)),"Facture inconnue",IF(AND(B585&lt;&gt;"",ISNA(MATCH(B585,pr_code,0))),"Article inconnu",IF(H585="","Désignation manquante",IF(OR(NOT(ISNUMBER(D585)),N(D585)&lt;=0),"Quantité invalide",IF(J585="","Prix manquant",IF(OR(NOT(ISNUMBER(J585)),N(J585)&lt;0),"Prix invalide",IF(OR(AND(F585&lt;&gt;"",NOT(ISNUMBER(F585))),N(F585)&lt;0,N(F585)&gt;1),"Remise invalide",IF(K585="","Taux de TVA manquant",IF(NOT(ISNUMBER(K585)),"Taux de TVA invalide",IF(COUNTIF(p_rates,K585)=0,"Taux de TVA hors liste (Paramètres)",IF(N(O585)&gt;25,"Au-delà de 25 lignes : non imprimée","OK")))))))))))))</f>
        <v/>
      </c>
      <c r="O585" s="59" t="str">
        <f>IF(A585="","",COUNTIF($A$6:A585,A585))</f>
        <v/>
      </c>
      <c r="P585" s="62" t="str">
        <f>IF(A585="","",A585&amp;"|"&amp;O585)</f>
        <v/>
      </c>
    </row>
    <row r="586">
      <c r="A586" s="60" t="n"/>
      <c r="B586" s="63" t="n"/>
      <c r="C586" s="63" t="n"/>
      <c r="D586" s="67" t="n"/>
      <c r="E586" s="68" t="n"/>
      <c r="F586" s="69" t="n"/>
      <c r="G586" s="70" t="n"/>
      <c r="H586" s="62" t="str">
        <f>IF(COUNTA(A586:G586)=0,"",IF(C586&lt;&gt;"",C586,IF(B586="","",IFERROR(INDEX(pr_des,MATCH(B586,pr_code,0))&amp;"",""))))</f>
        <v/>
      </c>
      <c r="I586" s="59" t="str">
        <f>IF(B586="","",IFERROR(INDEX(pr_unit,MATCH(B586,pr_code,0))&amp;"",""))</f>
        <v/>
      </c>
      <c r="J586" s="65" t="str">
        <f>IF(COUNTA(A586:G586)=0,"",IF(E586&lt;&gt;"",E586,IF(B586="","",IFERROR(IF(INDEX(pr_price,MATCH(B586,pr_code,0))="","",INDEX(pr_price,MATCH(B586,pr_code,0))),""))))</f>
        <v/>
      </c>
      <c r="K586" s="71" t="str">
        <f>IF(COUNTA(A586:G586)=0,"",IF(G586&lt;&gt;"",G586,IF(B586="","",IFERROR(IF(INDEX(pr_rate,MATCH(B586,pr_code,0))="","",INDEX(pr_rate,MATCH(B586,pr_code,0))),""))))</f>
        <v/>
      </c>
      <c r="L586" s="65" t="str">
        <f>IF(COUNTA(A586:G586)=0,"",IF(AND(ISNUMBER(D586),ISNUMBER(J586)),ROUND(D586*J586*(1-N(F586)),2),0))</f>
        <v/>
      </c>
      <c r="M586" s="62" t="str">
        <f>IF(A586="","",IFERROR(INDEX(fa_cname,MATCH(A586,fa_num,0))&amp;"",""))</f>
        <v/>
      </c>
      <c r="N586" s="59" t="str">
        <f>IF(COUNTA(A586:G586)=0,"",IF(A586="","N° facture manquant",IF(ISNA(MATCH(A586,fa_num,0)),"Facture inconnue",IF(AND(B586&lt;&gt;"",ISNA(MATCH(B586,pr_code,0))),"Article inconnu",IF(H586="","Désignation manquante",IF(OR(NOT(ISNUMBER(D586)),N(D586)&lt;=0),"Quantité invalide",IF(J586="","Prix manquant",IF(OR(NOT(ISNUMBER(J586)),N(J586)&lt;0),"Prix invalide",IF(OR(AND(F586&lt;&gt;"",NOT(ISNUMBER(F586))),N(F586)&lt;0,N(F586)&gt;1),"Remise invalide",IF(K586="","Taux de TVA manquant",IF(NOT(ISNUMBER(K586)),"Taux de TVA invalide",IF(COUNTIF(p_rates,K586)=0,"Taux de TVA hors liste (Paramètres)",IF(N(O586)&gt;25,"Au-delà de 25 lignes : non imprimée","OK")))))))))))))</f>
        <v/>
      </c>
      <c r="O586" s="59" t="str">
        <f>IF(A586="","",COUNTIF($A$6:A586,A586))</f>
        <v/>
      </c>
      <c r="P586" s="62" t="str">
        <f>IF(A586="","",A586&amp;"|"&amp;O586)</f>
        <v/>
      </c>
    </row>
    <row r="587">
      <c r="A587" s="60" t="n"/>
      <c r="B587" s="63" t="n"/>
      <c r="C587" s="63" t="n"/>
      <c r="D587" s="67" t="n"/>
      <c r="E587" s="68" t="n"/>
      <c r="F587" s="69" t="n"/>
      <c r="G587" s="70" t="n"/>
      <c r="H587" s="62" t="str">
        <f>IF(COUNTA(A587:G587)=0,"",IF(C587&lt;&gt;"",C587,IF(B587="","",IFERROR(INDEX(pr_des,MATCH(B587,pr_code,0))&amp;"",""))))</f>
        <v/>
      </c>
      <c r="I587" s="59" t="str">
        <f>IF(B587="","",IFERROR(INDEX(pr_unit,MATCH(B587,pr_code,0))&amp;"",""))</f>
        <v/>
      </c>
      <c r="J587" s="65" t="str">
        <f>IF(COUNTA(A587:G587)=0,"",IF(E587&lt;&gt;"",E587,IF(B587="","",IFERROR(IF(INDEX(pr_price,MATCH(B587,pr_code,0))="","",INDEX(pr_price,MATCH(B587,pr_code,0))),""))))</f>
        <v/>
      </c>
      <c r="K587" s="71" t="str">
        <f>IF(COUNTA(A587:G587)=0,"",IF(G587&lt;&gt;"",G587,IF(B587="","",IFERROR(IF(INDEX(pr_rate,MATCH(B587,pr_code,0))="","",INDEX(pr_rate,MATCH(B587,pr_code,0))),""))))</f>
        <v/>
      </c>
      <c r="L587" s="65" t="str">
        <f>IF(COUNTA(A587:G587)=0,"",IF(AND(ISNUMBER(D587),ISNUMBER(J587)),ROUND(D587*J587*(1-N(F587)),2),0))</f>
        <v/>
      </c>
      <c r="M587" s="62" t="str">
        <f>IF(A587="","",IFERROR(INDEX(fa_cname,MATCH(A587,fa_num,0))&amp;"",""))</f>
        <v/>
      </c>
      <c r="N587" s="59" t="str">
        <f>IF(COUNTA(A587:G587)=0,"",IF(A587="","N° facture manquant",IF(ISNA(MATCH(A587,fa_num,0)),"Facture inconnue",IF(AND(B587&lt;&gt;"",ISNA(MATCH(B587,pr_code,0))),"Article inconnu",IF(H587="","Désignation manquante",IF(OR(NOT(ISNUMBER(D587)),N(D587)&lt;=0),"Quantité invalide",IF(J587="","Prix manquant",IF(OR(NOT(ISNUMBER(J587)),N(J587)&lt;0),"Prix invalide",IF(OR(AND(F587&lt;&gt;"",NOT(ISNUMBER(F587))),N(F587)&lt;0,N(F587)&gt;1),"Remise invalide",IF(K587="","Taux de TVA manquant",IF(NOT(ISNUMBER(K587)),"Taux de TVA invalide",IF(COUNTIF(p_rates,K587)=0,"Taux de TVA hors liste (Paramètres)",IF(N(O587)&gt;25,"Au-delà de 25 lignes : non imprimée","OK")))))))))))))</f>
        <v/>
      </c>
      <c r="O587" s="59" t="str">
        <f>IF(A587="","",COUNTIF($A$6:A587,A587))</f>
        <v/>
      </c>
      <c r="P587" s="62" t="str">
        <f>IF(A587="","",A587&amp;"|"&amp;O587)</f>
        <v/>
      </c>
    </row>
    <row r="588">
      <c r="A588" s="60" t="n"/>
      <c r="B588" s="63" t="n"/>
      <c r="C588" s="63" t="n"/>
      <c r="D588" s="67" t="n"/>
      <c r="E588" s="68" t="n"/>
      <c r="F588" s="69" t="n"/>
      <c r="G588" s="70" t="n"/>
      <c r="H588" s="62" t="str">
        <f>IF(COUNTA(A588:G588)=0,"",IF(C588&lt;&gt;"",C588,IF(B588="","",IFERROR(INDEX(pr_des,MATCH(B588,pr_code,0))&amp;"",""))))</f>
        <v/>
      </c>
      <c r="I588" s="59" t="str">
        <f>IF(B588="","",IFERROR(INDEX(pr_unit,MATCH(B588,pr_code,0))&amp;"",""))</f>
        <v/>
      </c>
      <c r="J588" s="65" t="str">
        <f>IF(COUNTA(A588:G588)=0,"",IF(E588&lt;&gt;"",E588,IF(B588="","",IFERROR(IF(INDEX(pr_price,MATCH(B588,pr_code,0))="","",INDEX(pr_price,MATCH(B588,pr_code,0))),""))))</f>
        <v/>
      </c>
      <c r="K588" s="71" t="str">
        <f>IF(COUNTA(A588:G588)=0,"",IF(G588&lt;&gt;"",G588,IF(B588="","",IFERROR(IF(INDEX(pr_rate,MATCH(B588,pr_code,0))="","",INDEX(pr_rate,MATCH(B588,pr_code,0))),""))))</f>
        <v/>
      </c>
      <c r="L588" s="65" t="str">
        <f>IF(COUNTA(A588:G588)=0,"",IF(AND(ISNUMBER(D588),ISNUMBER(J588)),ROUND(D588*J588*(1-N(F588)),2),0))</f>
        <v/>
      </c>
      <c r="M588" s="62" t="str">
        <f>IF(A588="","",IFERROR(INDEX(fa_cname,MATCH(A588,fa_num,0))&amp;"",""))</f>
        <v/>
      </c>
      <c r="N588" s="59" t="str">
        <f>IF(COUNTA(A588:G588)=0,"",IF(A588="","N° facture manquant",IF(ISNA(MATCH(A588,fa_num,0)),"Facture inconnue",IF(AND(B588&lt;&gt;"",ISNA(MATCH(B588,pr_code,0))),"Article inconnu",IF(H588="","Désignation manquante",IF(OR(NOT(ISNUMBER(D588)),N(D588)&lt;=0),"Quantité invalide",IF(J588="","Prix manquant",IF(OR(NOT(ISNUMBER(J588)),N(J588)&lt;0),"Prix invalide",IF(OR(AND(F588&lt;&gt;"",NOT(ISNUMBER(F588))),N(F588)&lt;0,N(F588)&gt;1),"Remise invalide",IF(K588="","Taux de TVA manquant",IF(NOT(ISNUMBER(K588)),"Taux de TVA invalide",IF(COUNTIF(p_rates,K588)=0,"Taux de TVA hors liste (Paramètres)",IF(N(O588)&gt;25,"Au-delà de 25 lignes : non imprimée","OK")))))))))))))</f>
        <v/>
      </c>
      <c r="O588" s="59" t="str">
        <f>IF(A588="","",COUNTIF($A$6:A588,A588))</f>
        <v/>
      </c>
      <c r="P588" s="62" t="str">
        <f>IF(A588="","",A588&amp;"|"&amp;O588)</f>
        <v/>
      </c>
    </row>
    <row r="589">
      <c r="A589" s="60" t="n"/>
      <c r="B589" s="63" t="n"/>
      <c r="C589" s="63" t="n"/>
      <c r="D589" s="67" t="n"/>
      <c r="E589" s="68" t="n"/>
      <c r="F589" s="69" t="n"/>
      <c r="G589" s="70" t="n"/>
      <c r="H589" s="62" t="str">
        <f>IF(COUNTA(A589:G589)=0,"",IF(C589&lt;&gt;"",C589,IF(B589="","",IFERROR(INDEX(pr_des,MATCH(B589,pr_code,0))&amp;"",""))))</f>
        <v/>
      </c>
      <c r="I589" s="59" t="str">
        <f>IF(B589="","",IFERROR(INDEX(pr_unit,MATCH(B589,pr_code,0))&amp;"",""))</f>
        <v/>
      </c>
      <c r="J589" s="65" t="str">
        <f>IF(COUNTA(A589:G589)=0,"",IF(E589&lt;&gt;"",E589,IF(B589="","",IFERROR(IF(INDEX(pr_price,MATCH(B589,pr_code,0))="","",INDEX(pr_price,MATCH(B589,pr_code,0))),""))))</f>
        <v/>
      </c>
      <c r="K589" s="71" t="str">
        <f>IF(COUNTA(A589:G589)=0,"",IF(G589&lt;&gt;"",G589,IF(B589="","",IFERROR(IF(INDEX(pr_rate,MATCH(B589,pr_code,0))="","",INDEX(pr_rate,MATCH(B589,pr_code,0))),""))))</f>
        <v/>
      </c>
      <c r="L589" s="65" t="str">
        <f>IF(COUNTA(A589:G589)=0,"",IF(AND(ISNUMBER(D589),ISNUMBER(J589)),ROUND(D589*J589*(1-N(F589)),2),0))</f>
        <v/>
      </c>
      <c r="M589" s="62" t="str">
        <f>IF(A589="","",IFERROR(INDEX(fa_cname,MATCH(A589,fa_num,0))&amp;"",""))</f>
        <v/>
      </c>
      <c r="N589" s="59" t="str">
        <f>IF(COUNTA(A589:G589)=0,"",IF(A589="","N° facture manquant",IF(ISNA(MATCH(A589,fa_num,0)),"Facture inconnue",IF(AND(B589&lt;&gt;"",ISNA(MATCH(B589,pr_code,0))),"Article inconnu",IF(H589="","Désignation manquante",IF(OR(NOT(ISNUMBER(D589)),N(D589)&lt;=0),"Quantité invalide",IF(J589="","Prix manquant",IF(OR(NOT(ISNUMBER(J589)),N(J589)&lt;0),"Prix invalide",IF(OR(AND(F589&lt;&gt;"",NOT(ISNUMBER(F589))),N(F589)&lt;0,N(F589)&gt;1),"Remise invalide",IF(K589="","Taux de TVA manquant",IF(NOT(ISNUMBER(K589)),"Taux de TVA invalide",IF(COUNTIF(p_rates,K589)=0,"Taux de TVA hors liste (Paramètres)",IF(N(O589)&gt;25,"Au-delà de 25 lignes : non imprimée","OK")))))))))))))</f>
        <v/>
      </c>
      <c r="O589" s="59" t="str">
        <f>IF(A589="","",COUNTIF($A$6:A589,A589))</f>
        <v/>
      </c>
      <c r="P589" s="62" t="str">
        <f>IF(A589="","",A589&amp;"|"&amp;O589)</f>
        <v/>
      </c>
    </row>
    <row r="590">
      <c r="A590" s="60" t="n"/>
      <c r="B590" s="63" t="n"/>
      <c r="C590" s="63" t="n"/>
      <c r="D590" s="67" t="n"/>
      <c r="E590" s="68" t="n"/>
      <c r="F590" s="69" t="n"/>
      <c r="G590" s="70" t="n"/>
      <c r="H590" s="62" t="str">
        <f>IF(COUNTA(A590:G590)=0,"",IF(C590&lt;&gt;"",C590,IF(B590="","",IFERROR(INDEX(pr_des,MATCH(B590,pr_code,0))&amp;"",""))))</f>
        <v/>
      </c>
      <c r="I590" s="59" t="str">
        <f>IF(B590="","",IFERROR(INDEX(pr_unit,MATCH(B590,pr_code,0))&amp;"",""))</f>
        <v/>
      </c>
      <c r="J590" s="65" t="str">
        <f>IF(COUNTA(A590:G590)=0,"",IF(E590&lt;&gt;"",E590,IF(B590="","",IFERROR(IF(INDEX(pr_price,MATCH(B590,pr_code,0))="","",INDEX(pr_price,MATCH(B590,pr_code,0))),""))))</f>
        <v/>
      </c>
      <c r="K590" s="71" t="str">
        <f>IF(COUNTA(A590:G590)=0,"",IF(G590&lt;&gt;"",G590,IF(B590="","",IFERROR(IF(INDEX(pr_rate,MATCH(B590,pr_code,0))="","",INDEX(pr_rate,MATCH(B590,pr_code,0))),""))))</f>
        <v/>
      </c>
      <c r="L590" s="65" t="str">
        <f>IF(COUNTA(A590:G590)=0,"",IF(AND(ISNUMBER(D590),ISNUMBER(J590)),ROUND(D590*J590*(1-N(F590)),2),0))</f>
        <v/>
      </c>
      <c r="M590" s="62" t="str">
        <f>IF(A590="","",IFERROR(INDEX(fa_cname,MATCH(A590,fa_num,0))&amp;"",""))</f>
        <v/>
      </c>
      <c r="N590" s="59" t="str">
        <f>IF(COUNTA(A590:G590)=0,"",IF(A590="","N° facture manquant",IF(ISNA(MATCH(A590,fa_num,0)),"Facture inconnue",IF(AND(B590&lt;&gt;"",ISNA(MATCH(B590,pr_code,0))),"Article inconnu",IF(H590="","Désignation manquante",IF(OR(NOT(ISNUMBER(D590)),N(D590)&lt;=0),"Quantité invalide",IF(J590="","Prix manquant",IF(OR(NOT(ISNUMBER(J590)),N(J590)&lt;0),"Prix invalide",IF(OR(AND(F590&lt;&gt;"",NOT(ISNUMBER(F590))),N(F590)&lt;0,N(F590)&gt;1),"Remise invalide",IF(K590="","Taux de TVA manquant",IF(NOT(ISNUMBER(K590)),"Taux de TVA invalide",IF(COUNTIF(p_rates,K590)=0,"Taux de TVA hors liste (Paramètres)",IF(N(O590)&gt;25,"Au-delà de 25 lignes : non imprimée","OK")))))))))))))</f>
        <v/>
      </c>
      <c r="O590" s="59" t="str">
        <f>IF(A590="","",COUNTIF($A$6:A590,A590))</f>
        <v/>
      </c>
      <c r="P590" s="62" t="str">
        <f>IF(A590="","",A590&amp;"|"&amp;O590)</f>
        <v/>
      </c>
    </row>
    <row r="591">
      <c r="A591" s="60" t="n"/>
      <c r="B591" s="63" t="n"/>
      <c r="C591" s="63" t="n"/>
      <c r="D591" s="67" t="n"/>
      <c r="E591" s="68" t="n"/>
      <c r="F591" s="69" t="n"/>
      <c r="G591" s="70" t="n"/>
      <c r="H591" s="62" t="str">
        <f>IF(COUNTA(A591:G591)=0,"",IF(C591&lt;&gt;"",C591,IF(B591="","",IFERROR(INDEX(pr_des,MATCH(B591,pr_code,0))&amp;"",""))))</f>
        <v/>
      </c>
      <c r="I591" s="59" t="str">
        <f>IF(B591="","",IFERROR(INDEX(pr_unit,MATCH(B591,pr_code,0))&amp;"",""))</f>
        <v/>
      </c>
      <c r="J591" s="65" t="str">
        <f>IF(COUNTA(A591:G591)=0,"",IF(E591&lt;&gt;"",E591,IF(B591="","",IFERROR(IF(INDEX(pr_price,MATCH(B591,pr_code,0))="","",INDEX(pr_price,MATCH(B591,pr_code,0))),""))))</f>
        <v/>
      </c>
      <c r="K591" s="71" t="str">
        <f>IF(COUNTA(A591:G591)=0,"",IF(G591&lt;&gt;"",G591,IF(B591="","",IFERROR(IF(INDEX(pr_rate,MATCH(B591,pr_code,0))="","",INDEX(pr_rate,MATCH(B591,pr_code,0))),""))))</f>
        <v/>
      </c>
      <c r="L591" s="65" t="str">
        <f>IF(COUNTA(A591:G591)=0,"",IF(AND(ISNUMBER(D591),ISNUMBER(J591)),ROUND(D591*J591*(1-N(F591)),2),0))</f>
        <v/>
      </c>
      <c r="M591" s="62" t="str">
        <f>IF(A591="","",IFERROR(INDEX(fa_cname,MATCH(A591,fa_num,0))&amp;"",""))</f>
        <v/>
      </c>
      <c r="N591" s="59" t="str">
        <f>IF(COUNTA(A591:G591)=0,"",IF(A591="","N° facture manquant",IF(ISNA(MATCH(A591,fa_num,0)),"Facture inconnue",IF(AND(B591&lt;&gt;"",ISNA(MATCH(B591,pr_code,0))),"Article inconnu",IF(H591="","Désignation manquante",IF(OR(NOT(ISNUMBER(D591)),N(D591)&lt;=0),"Quantité invalide",IF(J591="","Prix manquant",IF(OR(NOT(ISNUMBER(J591)),N(J591)&lt;0),"Prix invalide",IF(OR(AND(F591&lt;&gt;"",NOT(ISNUMBER(F591))),N(F591)&lt;0,N(F591)&gt;1),"Remise invalide",IF(K591="","Taux de TVA manquant",IF(NOT(ISNUMBER(K591)),"Taux de TVA invalide",IF(COUNTIF(p_rates,K591)=0,"Taux de TVA hors liste (Paramètres)",IF(N(O591)&gt;25,"Au-delà de 25 lignes : non imprimée","OK")))))))))))))</f>
        <v/>
      </c>
      <c r="O591" s="59" t="str">
        <f>IF(A591="","",COUNTIF($A$6:A591,A591))</f>
        <v/>
      </c>
      <c r="P591" s="62" t="str">
        <f>IF(A591="","",A591&amp;"|"&amp;O591)</f>
        <v/>
      </c>
    </row>
    <row r="592">
      <c r="A592" s="60" t="n"/>
      <c r="B592" s="63" t="n"/>
      <c r="C592" s="63" t="n"/>
      <c r="D592" s="67" t="n"/>
      <c r="E592" s="68" t="n"/>
      <c r="F592" s="69" t="n"/>
      <c r="G592" s="70" t="n"/>
      <c r="H592" s="62" t="str">
        <f>IF(COUNTA(A592:G592)=0,"",IF(C592&lt;&gt;"",C592,IF(B592="","",IFERROR(INDEX(pr_des,MATCH(B592,pr_code,0))&amp;"",""))))</f>
        <v/>
      </c>
      <c r="I592" s="59" t="str">
        <f>IF(B592="","",IFERROR(INDEX(pr_unit,MATCH(B592,pr_code,0))&amp;"",""))</f>
        <v/>
      </c>
      <c r="J592" s="65" t="str">
        <f>IF(COUNTA(A592:G592)=0,"",IF(E592&lt;&gt;"",E592,IF(B592="","",IFERROR(IF(INDEX(pr_price,MATCH(B592,pr_code,0))="","",INDEX(pr_price,MATCH(B592,pr_code,0))),""))))</f>
        <v/>
      </c>
      <c r="K592" s="71" t="str">
        <f>IF(COUNTA(A592:G592)=0,"",IF(G592&lt;&gt;"",G592,IF(B592="","",IFERROR(IF(INDEX(pr_rate,MATCH(B592,pr_code,0))="","",INDEX(pr_rate,MATCH(B592,pr_code,0))),""))))</f>
        <v/>
      </c>
      <c r="L592" s="65" t="str">
        <f>IF(COUNTA(A592:G592)=0,"",IF(AND(ISNUMBER(D592),ISNUMBER(J592)),ROUND(D592*J592*(1-N(F592)),2),0))</f>
        <v/>
      </c>
      <c r="M592" s="62" t="str">
        <f>IF(A592="","",IFERROR(INDEX(fa_cname,MATCH(A592,fa_num,0))&amp;"",""))</f>
        <v/>
      </c>
      <c r="N592" s="59" t="str">
        <f>IF(COUNTA(A592:G592)=0,"",IF(A592="","N° facture manquant",IF(ISNA(MATCH(A592,fa_num,0)),"Facture inconnue",IF(AND(B592&lt;&gt;"",ISNA(MATCH(B592,pr_code,0))),"Article inconnu",IF(H592="","Désignation manquante",IF(OR(NOT(ISNUMBER(D592)),N(D592)&lt;=0),"Quantité invalide",IF(J592="","Prix manquant",IF(OR(NOT(ISNUMBER(J592)),N(J592)&lt;0),"Prix invalide",IF(OR(AND(F592&lt;&gt;"",NOT(ISNUMBER(F592))),N(F592)&lt;0,N(F592)&gt;1),"Remise invalide",IF(K592="","Taux de TVA manquant",IF(NOT(ISNUMBER(K592)),"Taux de TVA invalide",IF(COUNTIF(p_rates,K592)=0,"Taux de TVA hors liste (Paramètres)",IF(N(O592)&gt;25,"Au-delà de 25 lignes : non imprimée","OK")))))))))))))</f>
        <v/>
      </c>
      <c r="O592" s="59" t="str">
        <f>IF(A592="","",COUNTIF($A$6:A592,A592))</f>
        <v/>
      </c>
      <c r="P592" s="62" t="str">
        <f>IF(A592="","",A592&amp;"|"&amp;O592)</f>
        <v/>
      </c>
    </row>
    <row r="593">
      <c r="A593" s="60" t="n"/>
      <c r="B593" s="63" t="n"/>
      <c r="C593" s="63" t="n"/>
      <c r="D593" s="67" t="n"/>
      <c r="E593" s="68" t="n"/>
      <c r="F593" s="69" t="n"/>
      <c r="G593" s="70" t="n"/>
      <c r="H593" s="62" t="str">
        <f>IF(COUNTA(A593:G593)=0,"",IF(C593&lt;&gt;"",C593,IF(B593="","",IFERROR(INDEX(pr_des,MATCH(B593,pr_code,0))&amp;"",""))))</f>
        <v/>
      </c>
      <c r="I593" s="59" t="str">
        <f>IF(B593="","",IFERROR(INDEX(pr_unit,MATCH(B593,pr_code,0))&amp;"",""))</f>
        <v/>
      </c>
      <c r="J593" s="65" t="str">
        <f>IF(COUNTA(A593:G593)=0,"",IF(E593&lt;&gt;"",E593,IF(B593="","",IFERROR(IF(INDEX(pr_price,MATCH(B593,pr_code,0))="","",INDEX(pr_price,MATCH(B593,pr_code,0))),""))))</f>
        <v/>
      </c>
      <c r="K593" s="71" t="str">
        <f>IF(COUNTA(A593:G593)=0,"",IF(G593&lt;&gt;"",G593,IF(B593="","",IFERROR(IF(INDEX(pr_rate,MATCH(B593,pr_code,0))="","",INDEX(pr_rate,MATCH(B593,pr_code,0))),""))))</f>
        <v/>
      </c>
      <c r="L593" s="65" t="str">
        <f>IF(COUNTA(A593:G593)=0,"",IF(AND(ISNUMBER(D593),ISNUMBER(J593)),ROUND(D593*J593*(1-N(F593)),2),0))</f>
        <v/>
      </c>
      <c r="M593" s="62" t="str">
        <f>IF(A593="","",IFERROR(INDEX(fa_cname,MATCH(A593,fa_num,0))&amp;"",""))</f>
        <v/>
      </c>
      <c r="N593" s="59" t="str">
        <f>IF(COUNTA(A593:G593)=0,"",IF(A593="","N° facture manquant",IF(ISNA(MATCH(A593,fa_num,0)),"Facture inconnue",IF(AND(B593&lt;&gt;"",ISNA(MATCH(B593,pr_code,0))),"Article inconnu",IF(H593="","Désignation manquante",IF(OR(NOT(ISNUMBER(D593)),N(D593)&lt;=0),"Quantité invalide",IF(J593="","Prix manquant",IF(OR(NOT(ISNUMBER(J593)),N(J593)&lt;0),"Prix invalide",IF(OR(AND(F593&lt;&gt;"",NOT(ISNUMBER(F593))),N(F593)&lt;0,N(F593)&gt;1),"Remise invalide",IF(K593="","Taux de TVA manquant",IF(NOT(ISNUMBER(K593)),"Taux de TVA invalide",IF(COUNTIF(p_rates,K593)=0,"Taux de TVA hors liste (Paramètres)",IF(N(O593)&gt;25,"Au-delà de 25 lignes : non imprimée","OK")))))))))))))</f>
        <v/>
      </c>
      <c r="O593" s="59" t="str">
        <f>IF(A593="","",COUNTIF($A$6:A593,A593))</f>
        <v/>
      </c>
      <c r="P593" s="62" t="str">
        <f>IF(A593="","",A593&amp;"|"&amp;O593)</f>
        <v/>
      </c>
    </row>
    <row r="594">
      <c r="A594" s="60" t="n"/>
      <c r="B594" s="63" t="n"/>
      <c r="C594" s="63" t="n"/>
      <c r="D594" s="67" t="n"/>
      <c r="E594" s="68" t="n"/>
      <c r="F594" s="69" t="n"/>
      <c r="G594" s="70" t="n"/>
      <c r="H594" s="62" t="str">
        <f>IF(COUNTA(A594:G594)=0,"",IF(C594&lt;&gt;"",C594,IF(B594="","",IFERROR(INDEX(pr_des,MATCH(B594,pr_code,0))&amp;"",""))))</f>
        <v/>
      </c>
      <c r="I594" s="59" t="str">
        <f>IF(B594="","",IFERROR(INDEX(pr_unit,MATCH(B594,pr_code,0))&amp;"",""))</f>
        <v/>
      </c>
      <c r="J594" s="65" t="str">
        <f>IF(COUNTA(A594:G594)=0,"",IF(E594&lt;&gt;"",E594,IF(B594="","",IFERROR(IF(INDEX(pr_price,MATCH(B594,pr_code,0))="","",INDEX(pr_price,MATCH(B594,pr_code,0))),""))))</f>
        <v/>
      </c>
      <c r="K594" s="71" t="str">
        <f>IF(COUNTA(A594:G594)=0,"",IF(G594&lt;&gt;"",G594,IF(B594="","",IFERROR(IF(INDEX(pr_rate,MATCH(B594,pr_code,0))="","",INDEX(pr_rate,MATCH(B594,pr_code,0))),""))))</f>
        <v/>
      </c>
      <c r="L594" s="65" t="str">
        <f>IF(COUNTA(A594:G594)=0,"",IF(AND(ISNUMBER(D594),ISNUMBER(J594)),ROUND(D594*J594*(1-N(F594)),2),0))</f>
        <v/>
      </c>
      <c r="M594" s="62" t="str">
        <f>IF(A594="","",IFERROR(INDEX(fa_cname,MATCH(A594,fa_num,0))&amp;"",""))</f>
        <v/>
      </c>
      <c r="N594" s="59" t="str">
        <f>IF(COUNTA(A594:G594)=0,"",IF(A594="","N° facture manquant",IF(ISNA(MATCH(A594,fa_num,0)),"Facture inconnue",IF(AND(B594&lt;&gt;"",ISNA(MATCH(B594,pr_code,0))),"Article inconnu",IF(H594="","Désignation manquante",IF(OR(NOT(ISNUMBER(D594)),N(D594)&lt;=0),"Quantité invalide",IF(J594="","Prix manquant",IF(OR(NOT(ISNUMBER(J594)),N(J594)&lt;0),"Prix invalide",IF(OR(AND(F594&lt;&gt;"",NOT(ISNUMBER(F594))),N(F594)&lt;0,N(F594)&gt;1),"Remise invalide",IF(K594="","Taux de TVA manquant",IF(NOT(ISNUMBER(K594)),"Taux de TVA invalide",IF(COUNTIF(p_rates,K594)=0,"Taux de TVA hors liste (Paramètres)",IF(N(O594)&gt;25,"Au-delà de 25 lignes : non imprimée","OK")))))))))))))</f>
        <v/>
      </c>
      <c r="O594" s="59" t="str">
        <f>IF(A594="","",COUNTIF($A$6:A594,A594))</f>
        <v/>
      </c>
      <c r="P594" s="62" t="str">
        <f>IF(A594="","",A594&amp;"|"&amp;O594)</f>
        <v/>
      </c>
    </row>
    <row r="595">
      <c r="A595" s="60" t="n"/>
      <c r="B595" s="63" t="n"/>
      <c r="C595" s="63" t="n"/>
      <c r="D595" s="67" t="n"/>
      <c r="E595" s="68" t="n"/>
      <c r="F595" s="69" t="n"/>
      <c r="G595" s="70" t="n"/>
      <c r="H595" s="62" t="str">
        <f>IF(COUNTA(A595:G595)=0,"",IF(C595&lt;&gt;"",C595,IF(B595="","",IFERROR(INDEX(pr_des,MATCH(B595,pr_code,0))&amp;"",""))))</f>
        <v/>
      </c>
      <c r="I595" s="59" t="str">
        <f>IF(B595="","",IFERROR(INDEX(pr_unit,MATCH(B595,pr_code,0))&amp;"",""))</f>
        <v/>
      </c>
      <c r="J595" s="65" t="str">
        <f>IF(COUNTA(A595:G595)=0,"",IF(E595&lt;&gt;"",E595,IF(B595="","",IFERROR(IF(INDEX(pr_price,MATCH(B595,pr_code,0))="","",INDEX(pr_price,MATCH(B595,pr_code,0))),""))))</f>
        <v/>
      </c>
      <c r="K595" s="71" t="str">
        <f>IF(COUNTA(A595:G595)=0,"",IF(G595&lt;&gt;"",G595,IF(B595="","",IFERROR(IF(INDEX(pr_rate,MATCH(B595,pr_code,0))="","",INDEX(pr_rate,MATCH(B595,pr_code,0))),""))))</f>
        <v/>
      </c>
      <c r="L595" s="65" t="str">
        <f>IF(COUNTA(A595:G595)=0,"",IF(AND(ISNUMBER(D595),ISNUMBER(J595)),ROUND(D595*J595*(1-N(F595)),2),0))</f>
        <v/>
      </c>
      <c r="M595" s="62" t="str">
        <f>IF(A595="","",IFERROR(INDEX(fa_cname,MATCH(A595,fa_num,0))&amp;"",""))</f>
        <v/>
      </c>
      <c r="N595" s="59" t="str">
        <f>IF(COUNTA(A595:G595)=0,"",IF(A595="","N° facture manquant",IF(ISNA(MATCH(A595,fa_num,0)),"Facture inconnue",IF(AND(B595&lt;&gt;"",ISNA(MATCH(B595,pr_code,0))),"Article inconnu",IF(H595="","Désignation manquante",IF(OR(NOT(ISNUMBER(D595)),N(D595)&lt;=0),"Quantité invalide",IF(J595="","Prix manquant",IF(OR(NOT(ISNUMBER(J595)),N(J595)&lt;0),"Prix invalide",IF(OR(AND(F595&lt;&gt;"",NOT(ISNUMBER(F595))),N(F595)&lt;0,N(F595)&gt;1),"Remise invalide",IF(K595="","Taux de TVA manquant",IF(NOT(ISNUMBER(K595)),"Taux de TVA invalide",IF(COUNTIF(p_rates,K595)=0,"Taux de TVA hors liste (Paramètres)",IF(N(O595)&gt;25,"Au-delà de 25 lignes : non imprimée","OK")))))))))))))</f>
        <v/>
      </c>
      <c r="O595" s="59" t="str">
        <f>IF(A595="","",COUNTIF($A$6:A595,A595))</f>
        <v/>
      </c>
      <c r="P595" s="62" t="str">
        <f>IF(A595="","",A595&amp;"|"&amp;O595)</f>
        <v/>
      </c>
    </row>
    <row r="596">
      <c r="A596" s="60" t="n"/>
      <c r="B596" s="63" t="n"/>
      <c r="C596" s="63" t="n"/>
      <c r="D596" s="67" t="n"/>
      <c r="E596" s="68" t="n"/>
      <c r="F596" s="69" t="n"/>
      <c r="G596" s="70" t="n"/>
      <c r="H596" s="62" t="str">
        <f>IF(COUNTA(A596:G596)=0,"",IF(C596&lt;&gt;"",C596,IF(B596="","",IFERROR(INDEX(pr_des,MATCH(B596,pr_code,0))&amp;"",""))))</f>
        <v/>
      </c>
      <c r="I596" s="59" t="str">
        <f>IF(B596="","",IFERROR(INDEX(pr_unit,MATCH(B596,pr_code,0))&amp;"",""))</f>
        <v/>
      </c>
      <c r="J596" s="65" t="str">
        <f>IF(COUNTA(A596:G596)=0,"",IF(E596&lt;&gt;"",E596,IF(B596="","",IFERROR(IF(INDEX(pr_price,MATCH(B596,pr_code,0))="","",INDEX(pr_price,MATCH(B596,pr_code,0))),""))))</f>
        <v/>
      </c>
      <c r="K596" s="71" t="str">
        <f>IF(COUNTA(A596:G596)=0,"",IF(G596&lt;&gt;"",G596,IF(B596="","",IFERROR(IF(INDEX(pr_rate,MATCH(B596,pr_code,0))="","",INDEX(pr_rate,MATCH(B596,pr_code,0))),""))))</f>
        <v/>
      </c>
      <c r="L596" s="65" t="str">
        <f>IF(COUNTA(A596:G596)=0,"",IF(AND(ISNUMBER(D596),ISNUMBER(J596)),ROUND(D596*J596*(1-N(F596)),2),0))</f>
        <v/>
      </c>
      <c r="M596" s="62" t="str">
        <f>IF(A596="","",IFERROR(INDEX(fa_cname,MATCH(A596,fa_num,0))&amp;"",""))</f>
        <v/>
      </c>
      <c r="N596" s="59" t="str">
        <f>IF(COUNTA(A596:G596)=0,"",IF(A596="","N° facture manquant",IF(ISNA(MATCH(A596,fa_num,0)),"Facture inconnue",IF(AND(B596&lt;&gt;"",ISNA(MATCH(B596,pr_code,0))),"Article inconnu",IF(H596="","Désignation manquante",IF(OR(NOT(ISNUMBER(D596)),N(D596)&lt;=0),"Quantité invalide",IF(J596="","Prix manquant",IF(OR(NOT(ISNUMBER(J596)),N(J596)&lt;0),"Prix invalide",IF(OR(AND(F596&lt;&gt;"",NOT(ISNUMBER(F596))),N(F596)&lt;0,N(F596)&gt;1),"Remise invalide",IF(K596="","Taux de TVA manquant",IF(NOT(ISNUMBER(K596)),"Taux de TVA invalide",IF(COUNTIF(p_rates,K596)=0,"Taux de TVA hors liste (Paramètres)",IF(N(O596)&gt;25,"Au-delà de 25 lignes : non imprimée","OK")))))))))))))</f>
        <v/>
      </c>
      <c r="O596" s="59" t="str">
        <f>IF(A596="","",COUNTIF($A$6:A596,A596))</f>
        <v/>
      </c>
      <c r="P596" s="62" t="str">
        <f>IF(A596="","",A596&amp;"|"&amp;O596)</f>
        <v/>
      </c>
    </row>
    <row r="597">
      <c r="A597" s="60" t="n"/>
      <c r="B597" s="63" t="n"/>
      <c r="C597" s="63" t="n"/>
      <c r="D597" s="67" t="n"/>
      <c r="E597" s="68" t="n"/>
      <c r="F597" s="69" t="n"/>
      <c r="G597" s="70" t="n"/>
      <c r="H597" s="62" t="str">
        <f>IF(COUNTA(A597:G597)=0,"",IF(C597&lt;&gt;"",C597,IF(B597="","",IFERROR(INDEX(pr_des,MATCH(B597,pr_code,0))&amp;"",""))))</f>
        <v/>
      </c>
      <c r="I597" s="59" t="str">
        <f>IF(B597="","",IFERROR(INDEX(pr_unit,MATCH(B597,pr_code,0))&amp;"",""))</f>
        <v/>
      </c>
      <c r="J597" s="65" t="str">
        <f>IF(COUNTA(A597:G597)=0,"",IF(E597&lt;&gt;"",E597,IF(B597="","",IFERROR(IF(INDEX(pr_price,MATCH(B597,pr_code,0))="","",INDEX(pr_price,MATCH(B597,pr_code,0))),""))))</f>
        <v/>
      </c>
      <c r="K597" s="71" t="str">
        <f>IF(COUNTA(A597:G597)=0,"",IF(G597&lt;&gt;"",G597,IF(B597="","",IFERROR(IF(INDEX(pr_rate,MATCH(B597,pr_code,0))="","",INDEX(pr_rate,MATCH(B597,pr_code,0))),""))))</f>
        <v/>
      </c>
      <c r="L597" s="65" t="str">
        <f>IF(COUNTA(A597:G597)=0,"",IF(AND(ISNUMBER(D597),ISNUMBER(J597)),ROUND(D597*J597*(1-N(F597)),2),0))</f>
        <v/>
      </c>
      <c r="M597" s="62" t="str">
        <f>IF(A597="","",IFERROR(INDEX(fa_cname,MATCH(A597,fa_num,0))&amp;"",""))</f>
        <v/>
      </c>
      <c r="N597" s="59" t="str">
        <f>IF(COUNTA(A597:G597)=0,"",IF(A597="","N° facture manquant",IF(ISNA(MATCH(A597,fa_num,0)),"Facture inconnue",IF(AND(B597&lt;&gt;"",ISNA(MATCH(B597,pr_code,0))),"Article inconnu",IF(H597="","Désignation manquante",IF(OR(NOT(ISNUMBER(D597)),N(D597)&lt;=0),"Quantité invalide",IF(J597="","Prix manquant",IF(OR(NOT(ISNUMBER(J597)),N(J597)&lt;0),"Prix invalide",IF(OR(AND(F597&lt;&gt;"",NOT(ISNUMBER(F597))),N(F597)&lt;0,N(F597)&gt;1),"Remise invalide",IF(K597="","Taux de TVA manquant",IF(NOT(ISNUMBER(K597)),"Taux de TVA invalide",IF(COUNTIF(p_rates,K597)=0,"Taux de TVA hors liste (Paramètres)",IF(N(O597)&gt;25,"Au-delà de 25 lignes : non imprimée","OK")))))))))))))</f>
        <v/>
      </c>
      <c r="O597" s="59" t="str">
        <f>IF(A597="","",COUNTIF($A$6:A597,A597))</f>
        <v/>
      </c>
      <c r="P597" s="62" t="str">
        <f>IF(A597="","",A597&amp;"|"&amp;O597)</f>
        <v/>
      </c>
    </row>
    <row r="598">
      <c r="A598" s="60" t="n"/>
      <c r="B598" s="63" t="n"/>
      <c r="C598" s="63" t="n"/>
      <c r="D598" s="67" t="n"/>
      <c r="E598" s="68" t="n"/>
      <c r="F598" s="69" t="n"/>
      <c r="G598" s="70" t="n"/>
      <c r="H598" s="62" t="str">
        <f>IF(COUNTA(A598:G598)=0,"",IF(C598&lt;&gt;"",C598,IF(B598="","",IFERROR(INDEX(pr_des,MATCH(B598,pr_code,0))&amp;"",""))))</f>
        <v/>
      </c>
      <c r="I598" s="59" t="str">
        <f>IF(B598="","",IFERROR(INDEX(pr_unit,MATCH(B598,pr_code,0))&amp;"",""))</f>
        <v/>
      </c>
      <c r="J598" s="65" t="str">
        <f>IF(COUNTA(A598:G598)=0,"",IF(E598&lt;&gt;"",E598,IF(B598="","",IFERROR(IF(INDEX(pr_price,MATCH(B598,pr_code,0))="","",INDEX(pr_price,MATCH(B598,pr_code,0))),""))))</f>
        <v/>
      </c>
      <c r="K598" s="71" t="str">
        <f>IF(COUNTA(A598:G598)=0,"",IF(G598&lt;&gt;"",G598,IF(B598="","",IFERROR(IF(INDEX(pr_rate,MATCH(B598,pr_code,0))="","",INDEX(pr_rate,MATCH(B598,pr_code,0))),""))))</f>
        <v/>
      </c>
      <c r="L598" s="65" t="str">
        <f>IF(COUNTA(A598:G598)=0,"",IF(AND(ISNUMBER(D598),ISNUMBER(J598)),ROUND(D598*J598*(1-N(F598)),2),0))</f>
        <v/>
      </c>
      <c r="M598" s="62" t="str">
        <f>IF(A598="","",IFERROR(INDEX(fa_cname,MATCH(A598,fa_num,0))&amp;"",""))</f>
        <v/>
      </c>
      <c r="N598" s="59" t="str">
        <f>IF(COUNTA(A598:G598)=0,"",IF(A598="","N° facture manquant",IF(ISNA(MATCH(A598,fa_num,0)),"Facture inconnue",IF(AND(B598&lt;&gt;"",ISNA(MATCH(B598,pr_code,0))),"Article inconnu",IF(H598="","Désignation manquante",IF(OR(NOT(ISNUMBER(D598)),N(D598)&lt;=0),"Quantité invalide",IF(J598="","Prix manquant",IF(OR(NOT(ISNUMBER(J598)),N(J598)&lt;0),"Prix invalide",IF(OR(AND(F598&lt;&gt;"",NOT(ISNUMBER(F598))),N(F598)&lt;0,N(F598)&gt;1),"Remise invalide",IF(K598="","Taux de TVA manquant",IF(NOT(ISNUMBER(K598)),"Taux de TVA invalide",IF(COUNTIF(p_rates,K598)=0,"Taux de TVA hors liste (Paramètres)",IF(N(O598)&gt;25,"Au-delà de 25 lignes : non imprimée","OK")))))))))))))</f>
        <v/>
      </c>
      <c r="O598" s="59" t="str">
        <f>IF(A598="","",COUNTIF($A$6:A598,A598))</f>
        <v/>
      </c>
      <c r="P598" s="62" t="str">
        <f>IF(A598="","",A598&amp;"|"&amp;O598)</f>
        <v/>
      </c>
    </row>
    <row r="599">
      <c r="A599" s="60" t="n"/>
      <c r="B599" s="63" t="n"/>
      <c r="C599" s="63" t="n"/>
      <c r="D599" s="67" t="n"/>
      <c r="E599" s="68" t="n"/>
      <c r="F599" s="69" t="n"/>
      <c r="G599" s="70" t="n"/>
      <c r="H599" s="62" t="str">
        <f>IF(COUNTA(A599:G599)=0,"",IF(C599&lt;&gt;"",C599,IF(B599="","",IFERROR(INDEX(pr_des,MATCH(B599,pr_code,0))&amp;"",""))))</f>
        <v/>
      </c>
      <c r="I599" s="59" t="str">
        <f>IF(B599="","",IFERROR(INDEX(pr_unit,MATCH(B599,pr_code,0))&amp;"",""))</f>
        <v/>
      </c>
      <c r="J599" s="65" t="str">
        <f>IF(COUNTA(A599:G599)=0,"",IF(E599&lt;&gt;"",E599,IF(B599="","",IFERROR(IF(INDEX(pr_price,MATCH(B599,pr_code,0))="","",INDEX(pr_price,MATCH(B599,pr_code,0))),""))))</f>
        <v/>
      </c>
      <c r="K599" s="71" t="str">
        <f>IF(COUNTA(A599:G599)=0,"",IF(G599&lt;&gt;"",G599,IF(B599="","",IFERROR(IF(INDEX(pr_rate,MATCH(B599,pr_code,0))="","",INDEX(pr_rate,MATCH(B599,pr_code,0))),""))))</f>
        <v/>
      </c>
      <c r="L599" s="65" t="str">
        <f>IF(COUNTA(A599:G599)=0,"",IF(AND(ISNUMBER(D599),ISNUMBER(J599)),ROUND(D599*J599*(1-N(F599)),2),0))</f>
        <v/>
      </c>
      <c r="M599" s="62" t="str">
        <f>IF(A599="","",IFERROR(INDEX(fa_cname,MATCH(A599,fa_num,0))&amp;"",""))</f>
        <v/>
      </c>
      <c r="N599" s="59" t="str">
        <f>IF(COUNTA(A599:G599)=0,"",IF(A599="","N° facture manquant",IF(ISNA(MATCH(A599,fa_num,0)),"Facture inconnue",IF(AND(B599&lt;&gt;"",ISNA(MATCH(B599,pr_code,0))),"Article inconnu",IF(H599="","Désignation manquante",IF(OR(NOT(ISNUMBER(D599)),N(D599)&lt;=0),"Quantité invalide",IF(J599="","Prix manquant",IF(OR(NOT(ISNUMBER(J599)),N(J599)&lt;0),"Prix invalide",IF(OR(AND(F599&lt;&gt;"",NOT(ISNUMBER(F599))),N(F599)&lt;0,N(F599)&gt;1),"Remise invalide",IF(K599="","Taux de TVA manquant",IF(NOT(ISNUMBER(K599)),"Taux de TVA invalide",IF(COUNTIF(p_rates,K599)=0,"Taux de TVA hors liste (Paramètres)",IF(N(O599)&gt;25,"Au-delà de 25 lignes : non imprimée","OK")))))))))))))</f>
        <v/>
      </c>
      <c r="O599" s="59" t="str">
        <f>IF(A599="","",COUNTIF($A$6:A599,A599))</f>
        <v/>
      </c>
      <c r="P599" s="62" t="str">
        <f>IF(A599="","",A599&amp;"|"&amp;O599)</f>
        <v/>
      </c>
    </row>
    <row r="600">
      <c r="A600" s="60" t="n"/>
      <c r="B600" s="63" t="n"/>
      <c r="C600" s="63" t="n"/>
      <c r="D600" s="67" t="n"/>
      <c r="E600" s="68" t="n"/>
      <c r="F600" s="69" t="n"/>
      <c r="G600" s="70" t="n"/>
      <c r="H600" s="62" t="str">
        <f>IF(COUNTA(A600:G600)=0,"",IF(C600&lt;&gt;"",C600,IF(B600="","",IFERROR(INDEX(pr_des,MATCH(B600,pr_code,0))&amp;"",""))))</f>
        <v/>
      </c>
      <c r="I600" s="59" t="str">
        <f>IF(B600="","",IFERROR(INDEX(pr_unit,MATCH(B600,pr_code,0))&amp;"",""))</f>
        <v/>
      </c>
      <c r="J600" s="65" t="str">
        <f>IF(COUNTA(A600:G600)=0,"",IF(E600&lt;&gt;"",E600,IF(B600="","",IFERROR(IF(INDEX(pr_price,MATCH(B600,pr_code,0))="","",INDEX(pr_price,MATCH(B600,pr_code,0))),""))))</f>
        <v/>
      </c>
      <c r="K600" s="71" t="str">
        <f>IF(COUNTA(A600:G600)=0,"",IF(G600&lt;&gt;"",G600,IF(B600="","",IFERROR(IF(INDEX(pr_rate,MATCH(B600,pr_code,0))="","",INDEX(pr_rate,MATCH(B600,pr_code,0))),""))))</f>
        <v/>
      </c>
      <c r="L600" s="65" t="str">
        <f>IF(COUNTA(A600:G600)=0,"",IF(AND(ISNUMBER(D600),ISNUMBER(J600)),ROUND(D600*J600*(1-N(F600)),2),0))</f>
        <v/>
      </c>
      <c r="M600" s="62" t="str">
        <f>IF(A600="","",IFERROR(INDEX(fa_cname,MATCH(A600,fa_num,0))&amp;"",""))</f>
        <v/>
      </c>
      <c r="N600" s="59" t="str">
        <f>IF(COUNTA(A600:G600)=0,"",IF(A600="","N° facture manquant",IF(ISNA(MATCH(A600,fa_num,0)),"Facture inconnue",IF(AND(B600&lt;&gt;"",ISNA(MATCH(B600,pr_code,0))),"Article inconnu",IF(H600="","Désignation manquante",IF(OR(NOT(ISNUMBER(D600)),N(D600)&lt;=0),"Quantité invalide",IF(J600="","Prix manquant",IF(OR(NOT(ISNUMBER(J600)),N(J600)&lt;0),"Prix invalide",IF(OR(AND(F600&lt;&gt;"",NOT(ISNUMBER(F600))),N(F600)&lt;0,N(F600)&gt;1),"Remise invalide",IF(K600="","Taux de TVA manquant",IF(NOT(ISNUMBER(K600)),"Taux de TVA invalide",IF(COUNTIF(p_rates,K600)=0,"Taux de TVA hors liste (Paramètres)",IF(N(O600)&gt;25,"Au-delà de 25 lignes : non imprimée","OK")))))))))))))</f>
        <v/>
      </c>
      <c r="O600" s="59" t="str">
        <f>IF(A600="","",COUNTIF($A$6:A600,A600))</f>
        <v/>
      </c>
      <c r="P600" s="62" t="str">
        <f>IF(A600="","",A600&amp;"|"&amp;O600)</f>
        <v/>
      </c>
    </row>
    <row r="601">
      <c r="A601" s="60" t="n"/>
      <c r="B601" s="63" t="n"/>
      <c r="C601" s="63" t="n"/>
      <c r="D601" s="67" t="n"/>
      <c r="E601" s="68" t="n"/>
      <c r="F601" s="69" t="n"/>
      <c r="G601" s="70" t="n"/>
      <c r="H601" s="62" t="str">
        <f>IF(COUNTA(A601:G601)=0,"",IF(C601&lt;&gt;"",C601,IF(B601="","",IFERROR(INDEX(pr_des,MATCH(B601,pr_code,0))&amp;"",""))))</f>
        <v/>
      </c>
      <c r="I601" s="59" t="str">
        <f>IF(B601="","",IFERROR(INDEX(pr_unit,MATCH(B601,pr_code,0))&amp;"",""))</f>
        <v/>
      </c>
      <c r="J601" s="65" t="str">
        <f>IF(COUNTA(A601:G601)=0,"",IF(E601&lt;&gt;"",E601,IF(B601="","",IFERROR(IF(INDEX(pr_price,MATCH(B601,pr_code,0))="","",INDEX(pr_price,MATCH(B601,pr_code,0))),""))))</f>
        <v/>
      </c>
      <c r="K601" s="71" t="str">
        <f>IF(COUNTA(A601:G601)=0,"",IF(G601&lt;&gt;"",G601,IF(B601="","",IFERROR(IF(INDEX(pr_rate,MATCH(B601,pr_code,0))="","",INDEX(pr_rate,MATCH(B601,pr_code,0))),""))))</f>
        <v/>
      </c>
      <c r="L601" s="65" t="str">
        <f>IF(COUNTA(A601:G601)=0,"",IF(AND(ISNUMBER(D601),ISNUMBER(J601)),ROUND(D601*J601*(1-N(F601)),2),0))</f>
        <v/>
      </c>
      <c r="M601" s="62" t="str">
        <f>IF(A601="","",IFERROR(INDEX(fa_cname,MATCH(A601,fa_num,0))&amp;"",""))</f>
        <v/>
      </c>
      <c r="N601" s="59" t="str">
        <f>IF(COUNTA(A601:G601)=0,"",IF(A601="","N° facture manquant",IF(ISNA(MATCH(A601,fa_num,0)),"Facture inconnue",IF(AND(B601&lt;&gt;"",ISNA(MATCH(B601,pr_code,0))),"Article inconnu",IF(H601="","Désignation manquante",IF(OR(NOT(ISNUMBER(D601)),N(D601)&lt;=0),"Quantité invalide",IF(J601="","Prix manquant",IF(OR(NOT(ISNUMBER(J601)),N(J601)&lt;0),"Prix invalide",IF(OR(AND(F601&lt;&gt;"",NOT(ISNUMBER(F601))),N(F601)&lt;0,N(F601)&gt;1),"Remise invalide",IF(K601="","Taux de TVA manquant",IF(NOT(ISNUMBER(K601)),"Taux de TVA invalide",IF(COUNTIF(p_rates,K601)=0,"Taux de TVA hors liste (Paramètres)",IF(N(O601)&gt;25,"Au-delà de 25 lignes : non imprimée","OK")))))))))))))</f>
        <v/>
      </c>
      <c r="O601" s="59" t="str">
        <f>IF(A601="","",COUNTIF($A$6:A601,A601))</f>
        <v/>
      </c>
      <c r="P601" s="62" t="str">
        <f>IF(A601="","",A601&amp;"|"&amp;O601)</f>
        <v/>
      </c>
    </row>
    <row r="602">
      <c r="A602" s="60" t="n"/>
      <c r="B602" s="63" t="n"/>
      <c r="C602" s="63" t="n"/>
      <c r="D602" s="67" t="n"/>
      <c r="E602" s="68" t="n"/>
      <c r="F602" s="69" t="n"/>
      <c r="G602" s="70" t="n"/>
      <c r="H602" s="62" t="str">
        <f>IF(COUNTA(A602:G602)=0,"",IF(C602&lt;&gt;"",C602,IF(B602="","",IFERROR(INDEX(pr_des,MATCH(B602,pr_code,0))&amp;"",""))))</f>
        <v/>
      </c>
      <c r="I602" s="59" t="str">
        <f>IF(B602="","",IFERROR(INDEX(pr_unit,MATCH(B602,pr_code,0))&amp;"",""))</f>
        <v/>
      </c>
      <c r="J602" s="65" t="str">
        <f>IF(COUNTA(A602:G602)=0,"",IF(E602&lt;&gt;"",E602,IF(B602="","",IFERROR(IF(INDEX(pr_price,MATCH(B602,pr_code,0))="","",INDEX(pr_price,MATCH(B602,pr_code,0))),""))))</f>
        <v/>
      </c>
      <c r="K602" s="71" t="str">
        <f>IF(COUNTA(A602:G602)=0,"",IF(G602&lt;&gt;"",G602,IF(B602="","",IFERROR(IF(INDEX(pr_rate,MATCH(B602,pr_code,0))="","",INDEX(pr_rate,MATCH(B602,pr_code,0))),""))))</f>
        <v/>
      </c>
      <c r="L602" s="65" t="str">
        <f>IF(COUNTA(A602:G602)=0,"",IF(AND(ISNUMBER(D602),ISNUMBER(J602)),ROUND(D602*J602*(1-N(F602)),2),0))</f>
        <v/>
      </c>
      <c r="M602" s="62" t="str">
        <f>IF(A602="","",IFERROR(INDEX(fa_cname,MATCH(A602,fa_num,0))&amp;"",""))</f>
        <v/>
      </c>
      <c r="N602" s="59" t="str">
        <f>IF(COUNTA(A602:G602)=0,"",IF(A602="","N° facture manquant",IF(ISNA(MATCH(A602,fa_num,0)),"Facture inconnue",IF(AND(B602&lt;&gt;"",ISNA(MATCH(B602,pr_code,0))),"Article inconnu",IF(H602="","Désignation manquante",IF(OR(NOT(ISNUMBER(D602)),N(D602)&lt;=0),"Quantité invalide",IF(J602="","Prix manquant",IF(OR(NOT(ISNUMBER(J602)),N(J602)&lt;0),"Prix invalide",IF(OR(AND(F602&lt;&gt;"",NOT(ISNUMBER(F602))),N(F602)&lt;0,N(F602)&gt;1),"Remise invalide",IF(K602="","Taux de TVA manquant",IF(NOT(ISNUMBER(K602)),"Taux de TVA invalide",IF(COUNTIF(p_rates,K602)=0,"Taux de TVA hors liste (Paramètres)",IF(N(O602)&gt;25,"Au-delà de 25 lignes : non imprimée","OK")))))))))))))</f>
        <v/>
      </c>
      <c r="O602" s="59" t="str">
        <f>IF(A602="","",COUNTIF($A$6:A602,A602))</f>
        <v/>
      </c>
      <c r="P602" s="62" t="str">
        <f>IF(A602="","",A602&amp;"|"&amp;O602)</f>
        <v/>
      </c>
    </row>
    <row r="603">
      <c r="A603" s="60" t="n"/>
      <c r="B603" s="63" t="n"/>
      <c r="C603" s="63" t="n"/>
      <c r="D603" s="67" t="n"/>
      <c r="E603" s="68" t="n"/>
      <c r="F603" s="69" t="n"/>
      <c r="G603" s="70" t="n"/>
      <c r="H603" s="62" t="str">
        <f>IF(COUNTA(A603:G603)=0,"",IF(C603&lt;&gt;"",C603,IF(B603="","",IFERROR(INDEX(pr_des,MATCH(B603,pr_code,0))&amp;"",""))))</f>
        <v/>
      </c>
      <c r="I603" s="59" t="str">
        <f>IF(B603="","",IFERROR(INDEX(pr_unit,MATCH(B603,pr_code,0))&amp;"",""))</f>
        <v/>
      </c>
      <c r="J603" s="65" t="str">
        <f>IF(COUNTA(A603:G603)=0,"",IF(E603&lt;&gt;"",E603,IF(B603="","",IFERROR(IF(INDEX(pr_price,MATCH(B603,pr_code,0))="","",INDEX(pr_price,MATCH(B603,pr_code,0))),""))))</f>
        <v/>
      </c>
      <c r="K603" s="71" t="str">
        <f>IF(COUNTA(A603:G603)=0,"",IF(G603&lt;&gt;"",G603,IF(B603="","",IFERROR(IF(INDEX(pr_rate,MATCH(B603,pr_code,0))="","",INDEX(pr_rate,MATCH(B603,pr_code,0))),""))))</f>
        <v/>
      </c>
      <c r="L603" s="65" t="str">
        <f>IF(COUNTA(A603:G603)=0,"",IF(AND(ISNUMBER(D603),ISNUMBER(J603)),ROUND(D603*J603*(1-N(F603)),2),0))</f>
        <v/>
      </c>
      <c r="M603" s="62" t="str">
        <f>IF(A603="","",IFERROR(INDEX(fa_cname,MATCH(A603,fa_num,0))&amp;"",""))</f>
        <v/>
      </c>
      <c r="N603" s="59" t="str">
        <f>IF(COUNTA(A603:G603)=0,"",IF(A603="","N° facture manquant",IF(ISNA(MATCH(A603,fa_num,0)),"Facture inconnue",IF(AND(B603&lt;&gt;"",ISNA(MATCH(B603,pr_code,0))),"Article inconnu",IF(H603="","Désignation manquante",IF(OR(NOT(ISNUMBER(D603)),N(D603)&lt;=0),"Quantité invalide",IF(J603="","Prix manquant",IF(OR(NOT(ISNUMBER(J603)),N(J603)&lt;0),"Prix invalide",IF(OR(AND(F603&lt;&gt;"",NOT(ISNUMBER(F603))),N(F603)&lt;0,N(F603)&gt;1),"Remise invalide",IF(K603="","Taux de TVA manquant",IF(NOT(ISNUMBER(K603)),"Taux de TVA invalide",IF(COUNTIF(p_rates,K603)=0,"Taux de TVA hors liste (Paramètres)",IF(N(O603)&gt;25,"Au-delà de 25 lignes : non imprimée","OK")))))))))))))</f>
        <v/>
      </c>
      <c r="O603" s="59" t="str">
        <f>IF(A603="","",COUNTIF($A$6:A603,A603))</f>
        <v/>
      </c>
      <c r="P603" s="62" t="str">
        <f>IF(A603="","",A603&amp;"|"&amp;O603)</f>
        <v/>
      </c>
    </row>
    <row r="604">
      <c r="A604" s="60" t="n"/>
      <c r="B604" s="63" t="n"/>
      <c r="C604" s="63" t="n"/>
      <c r="D604" s="67" t="n"/>
      <c r="E604" s="68" t="n"/>
      <c r="F604" s="69" t="n"/>
      <c r="G604" s="70" t="n"/>
      <c r="H604" s="62" t="str">
        <f>IF(COUNTA(A604:G604)=0,"",IF(C604&lt;&gt;"",C604,IF(B604="","",IFERROR(INDEX(pr_des,MATCH(B604,pr_code,0))&amp;"",""))))</f>
        <v/>
      </c>
      <c r="I604" s="59" t="str">
        <f>IF(B604="","",IFERROR(INDEX(pr_unit,MATCH(B604,pr_code,0))&amp;"",""))</f>
        <v/>
      </c>
      <c r="J604" s="65" t="str">
        <f>IF(COUNTA(A604:G604)=0,"",IF(E604&lt;&gt;"",E604,IF(B604="","",IFERROR(IF(INDEX(pr_price,MATCH(B604,pr_code,0))="","",INDEX(pr_price,MATCH(B604,pr_code,0))),""))))</f>
        <v/>
      </c>
      <c r="K604" s="71" t="str">
        <f>IF(COUNTA(A604:G604)=0,"",IF(G604&lt;&gt;"",G604,IF(B604="","",IFERROR(IF(INDEX(pr_rate,MATCH(B604,pr_code,0))="","",INDEX(pr_rate,MATCH(B604,pr_code,0))),""))))</f>
        <v/>
      </c>
      <c r="L604" s="65" t="str">
        <f>IF(COUNTA(A604:G604)=0,"",IF(AND(ISNUMBER(D604),ISNUMBER(J604)),ROUND(D604*J604*(1-N(F604)),2),0))</f>
        <v/>
      </c>
      <c r="M604" s="62" t="str">
        <f>IF(A604="","",IFERROR(INDEX(fa_cname,MATCH(A604,fa_num,0))&amp;"",""))</f>
        <v/>
      </c>
      <c r="N604" s="59" t="str">
        <f>IF(COUNTA(A604:G604)=0,"",IF(A604="","N° facture manquant",IF(ISNA(MATCH(A604,fa_num,0)),"Facture inconnue",IF(AND(B604&lt;&gt;"",ISNA(MATCH(B604,pr_code,0))),"Article inconnu",IF(H604="","Désignation manquante",IF(OR(NOT(ISNUMBER(D604)),N(D604)&lt;=0),"Quantité invalide",IF(J604="","Prix manquant",IF(OR(NOT(ISNUMBER(J604)),N(J604)&lt;0),"Prix invalide",IF(OR(AND(F604&lt;&gt;"",NOT(ISNUMBER(F604))),N(F604)&lt;0,N(F604)&gt;1),"Remise invalide",IF(K604="","Taux de TVA manquant",IF(NOT(ISNUMBER(K604)),"Taux de TVA invalide",IF(COUNTIF(p_rates,K604)=0,"Taux de TVA hors liste (Paramètres)",IF(N(O604)&gt;25,"Au-delà de 25 lignes : non imprimée","OK")))))))))))))</f>
        <v/>
      </c>
      <c r="O604" s="59" t="str">
        <f>IF(A604="","",COUNTIF($A$6:A604,A604))</f>
        <v/>
      </c>
      <c r="P604" s="62" t="str">
        <f>IF(A604="","",A604&amp;"|"&amp;O604)</f>
        <v/>
      </c>
    </row>
    <row r="605">
      <c r="A605" s="60" t="n"/>
      <c r="B605" s="63" t="n"/>
      <c r="C605" s="63" t="n"/>
      <c r="D605" s="67" t="n"/>
      <c r="E605" s="68" t="n"/>
      <c r="F605" s="69" t="n"/>
      <c r="G605" s="70" t="n"/>
      <c r="H605" s="62" t="str">
        <f>IF(COUNTA(A605:G605)=0,"",IF(C605&lt;&gt;"",C605,IF(B605="","",IFERROR(INDEX(pr_des,MATCH(B605,pr_code,0))&amp;"",""))))</f>
        <v/>
      </c>
      <c r="I605" s="59" t="str">
        <f>IF(B605="","",IFERROR(INDEX(pr_unit,MATCH(B605,pr_code,0))&amp;"",""))</f>
        <v/>
      </c>
      <c r="J605" s="65" t="str">
        <f>IF(COUNTA(A605:G605)=0,"",IF(E605&lt;&gt;"",E605,IF(B605="","",IFERROR(IF(INDEX(pr_price,MATCH(B605,pr_code,0))="","",INDEX(pr_price,MATCH(B605,pr_code,0))),""))))</f>
        <v/>
      </c>
      <c r="K605" s="71" t="str">
        <f>IF(COUNTA(A605:G605)=0,"",IF(G605&lt;&gt;"",G605,IF(B605="","",IFERROR(IF(INDEX(pr_rate,MATCH(B605,pr_code,0))="","",INDEX(pr_rate,MATCH(B605,pr_code,0))),""))))</f>
        <v/>
      </c>
      <c r="L605" s="65" t="str">
        <f>IF(COUNTA(A605:G605)=0,"",IF(AND(ISNUMBER(D605),ISNUMBER(J605)),ROUND(D605*J605*(1-N(F605)),2),0))</f>
        <v/>
      </c>
      <c r="M605" s="62" t="str">
        <f>IF(A605="","",IFERROR(INDEX(fa_cname,MATCH(A605,fa_num,0))&amp;"",""))</f>
        <v/>
      </c>
      <c r="N605" s="59" t="str">
        <f>IF(COUNTA(A605:G605)=0,"",IF(A605="","N° facture manquant",IF(ISNA(MATCH(A605,fa_num,0)),"Facture inconnue",IF(AND(B605&lt;&gt;"",ISNA(MATCH(B605,pr_code,0))),"Article inconnu",IF(H605="","Désignation manquante",IF(OR(NOT(ISNUMBER(D605)),N(D605)&lt;=0),"Quantité invalide",IF(J605="","Prix manquant",IF(OR(NOT(ISNUMBER(J605)),N(J605)&lt;0),"Prix invalide",IF(OR(AND(F605&lt;&gt;"",NOT(ISNUMBER(F605))),N(F605)&lt;0,N(F605)&gt;1),"Remise invalide",IF(K605="","Taux de TVA manquant",IF(NOT(ISNUMBER(K605)),"Taux de TVA invalide",IF(COUNTIF(p_rates,K605)=0,"Taux de TVA hors liste (Paramètres)",IF(N(O605)&gt;25,"Au-delà de 25 lignes : non imprimée","OK")))))))))))))</f>
        <v/>
      </c>
      <c r="O605" s="59" t="str">
        <f>IF(A605="","",COUNTIF($A$6:A605,A605))</f>
        <v/>
      </c>
      <c r="P605" s="62" t="str">
        <f>IF(A605="","",A605&amp;"|"&amp;O605)</f>
        <v/>
      </c>
    </row>
    <row r="606">
      <c r="A606" s="60" t="n"/>
      <c r="B606" s="63" t="n"/>
      <c r="C606" s="63" t="n"/>
      <c r="D606" s="67" t="n"/>
      <c r="E606" s="68" t="n"/>
      <c r="F606" s="69" t="n"/>
      <c r="G606" s="70" t="n"/>
      <c r="H606" s="62" t="str">
        <f>IF(COUNTA(A606:G606)=0,"",IF(C606&lt;&gt;"",C606,IF(B606="","",IFERROR(INDEX(pr_des,MATCH(B606,pr_code,0))&amp;"",""))))</f>
        <v/>
      </c>
      <c r="I606" s="59" t="str">
        <f>IF(B606="","",IFERROR(INDEX(pr_unit,MATCH(B606,pr_code,0))&amp;"",""))</f>
        <v/>
      </c>
      <c r="J606" s="65" t="str">
        <f>IF(COUNTA(A606:G606)=0,"",IF(E606&lt;&gt;"",E606,IF(B606="","",IFERROR(IF(INDEX(pr_price,MATCH(B606,pr_code,0))="","",INDEX(pr_price,MATCH(B606,pr_code,0))),""))))</f>
        <v/>
      </c>
      <c r="K606" s="71" t="str">
        <f>IF(COUNTA(A606:G606)=0,"",IF(G606&lt;&gt;"",G606,IF(B606="","",IFERROR(IF(INDEX(pr_rate,MATCH(B606,pr_code,0))="","",INDEX(pr_rate,MATCH(B606,pr_code,0))),""))))</f>
        <v/>
      </c>
      <c r="L606" s="65" t="str">
        <f>IF(COUNTA(A606:G606)=0,"",IF(AND(ISNUMBER(D606),ISNUMBER(J606)),ROUND(D606*J606*(1-N(F606)),2),0))</f>
        <v/>
      </c>
      <c r="M606" s="62" t="str">
        <f>IF(A606="","",IFERROR(INDEX(fa_cname,MATCH(A606,fa_num,0))&amp;"",""))</f>
        <v/>
      </c>
      <c r="N606" s="59" t="str">
        <f>IF(COUNTA(A606:G606)=0,"",IF(A606="","N° facture manquant",IF(ISNA(MATCH(A606,fa_num,0)),"Facture inconnue",IF(AND(B606&lt;&gt;"",ISNA(MATCH(B606,pr_code,0))),"Article inconnu",IF(H606="","Désignation manquante",IF(OR(NOT(ISNUMBER(D606)),N(D606)&lt;=0),"Quantité invalide",IF(J606="","Prix manquant",IF(OR(NOT(ISNUMBER(J606)),N(J606)&lt;0),"Prix invalide",IF(OR(AND(F606&lt;&gt;"",NOT(ISNUMBER(F606))),N(F606)&lt;0,N(F606)&gt;1),"Remise invalide",IF(K606="","Taux de TVA manquant",IF(NOT(ISNUMBER(K606)),"Taux de TVA invalide",IF(COUNTIF(p_rates,K606)=0,"Taux de TVA hors liste (Paramètres)",IF(N(O606)&gt;25,"Au-delà de 25 lignes : non imprimée","OK")))))))))))))</f>
        <v/>
      </c>
      <c r="O606" s="59" t="str">
        <f>IF(A606="","",COUNTIF($A$6:A606,A606))</f>
        <v/>
      </c>
      <c r="P606" s="62" t="str">
        <f>IF(A606="","",A606&amp;"|"&amp;O606)</f>
        <v/>
      </c>
    </row>
    <row r="607">
      <c r="A607" s="60" t="n"/>
      <c r="B607" s="63" t="n"/>
      <c r="C607" s="63" t="n"/>
      <c r="D607" s="67" t="n"/>
      <c r="E607" s="68" t="n"/>
      <c r="F607" s="69" t="n"/>
      <c r="G607" s="70" t="n"/>
      <c r="H607" s="62" t="str">
        <f>IF(COUNTA(A607:G607)=0,"",IF(C607&lt;&gt;"",C607,IF(B607="","",IFERROR(INDEX(pr_des,MATCH(B607,pr_code,0))&amp;"",""))))</f>
        <v/>
      </c>
      <c r="I607" s="59" t="str">
        <f>IF(B607="","",IFERROR(INDEX(pr_unit,MATCH(B607,pr_code,0))&amp;"",""))</f>
        <v/>
      </c>
      <c r="J607" s="65" t="str">
        <f>IF(COUNTA(A607:G607)=0,"",IF(E607&lt;&gt;"",E607,IF(B607="","",IFERROR(IF(INDEX(pr_price,MATCH(B607,pr_code,0))="","",INDEX(pr_price,MATCH(B607,pr_code,0))),""))))</f>
        <v/>
      </c>
      <c r="K607" s="71" t="str">
        <f>IF(COUNTA(A607:G607)=0,"",IF(G607&lt;&gt;"",G607,IF(B607="","",IFERROR(IF(INDEX(pr_rate,MATCH(B607,pr_code,0))="","",INDEX(pr_rate,MATCH(B607,pr_code,0))),""))))</f>
        <v/>
      </c>
      <c r="L607" s="65" t="str">
        <f>IF(COUNTA(A607:G607)=0,"",IF(AND(ISNUMBER(D607),ISNUMBER(J607)),ROUND(D607*J607*(1-N(F607)),2),0))</f>
        <v/>
      </c>
      <c r="M607" s="62" t="str">
        <f>IF(A607="","",IFERROR(INDEX(fa_cname,MATCH(A607,fa_num,0))&amp;"",""))</f>
        <v/>
      </c>
      <c r="N607" s="59" t="str">
        <f>IF(COUNTA(A607:G607)=0,"",IF(A607="","N° facture manquant",IF(ISNA(MATCH(A607,fa_num,0)),"Facture inconnue",IF(AND(B607&lt;&gt;"",ISNA(MATCH(B607,pr_code,0))),"Article inconnu",IF(H607="","Désignation manquante",IF(OR(NOT(ISNUMBER(D607)),N(D607)&lt;=0),"Quantité invalide",IF(J607="","Prix manquant",IF(OR(NOT(ISNUMBER(J607)),N(J607)&lt;0),"Prix invalide",IF(OR(AND(F607&lt;&gt;"",NOT(ISNUMBER(F607))),N(F607)&lt;0,N(F607)&gt;1),"Remise invalide",IF(K607="","Taux de TVA manquant",IF(NOT(ISNUMBER(K607)),"Taux de TVA invalide",IF(COUNTIF(p_rates,K607)=0,"Taux de TVA hors liste (Paramètres)",IF(N(O607)&gt;25,"Au-delà de 25 lignes : non imprimée","OK")))))))))))))</f>
        <v/>
      </c>
      <c r="O607" s="59" t="str">
        <f>IF(A607="","",COUNTIF($A$6:A607,A607))</f>
        <v/>
      </c>
      <c r="P607" s="62" t="str">
        <f>IF(A607="","",A607&amp;"|"&amp;O607)</f>
        <v/>
      </c>
    </row>
    <row r="608">
      <c r="A608" s="60" t="n"/>
      <c r="B608" s="63" t="n"/>
      <c r="C608" s="63" t="n"/>
      <c r="D608" s="67" t="n"/>
      <c r="E608" s="68" t="n"/>
      <c r="F608" s="69" t="n"/>
      <c r="G608" s="70" t="n"/>
      <c r="H608" s="62" t="str">
        <f>IF(COUNTA(A608:G608)=0,"",IF(C608&lt;&gt;"",C608,IF(B608="","",IFERROR(INDEX(pr_des,MATCH(B608,pr_code,0))&amp;"",""))))</f>
        <v/>
      </c>
      <c r="I608" s="59" t="str">
        <f>IF(B608="","",IFERROR(INDEX(pr_unit,MATCH(B608,pr_code,0))&amp;"",""))</f>
        <v/>
      </c>
      <c r="J608" s="65" t="str">
        <f>IF(COUNTA(A608:G608)=0,"",IF(E608&lt;&gt;"",E608,IF(B608="","",IFERROR(IF(INDEX(pr_price,MATCH(B608,pr_code,0))="","",INDEX(pr_price,MATCH(B608,pr_code,0))),""))))</f>
        <v/>
      </c>
      <c r="K608" s="71" t="str">
        <f>IF(COUNTA(A608:G608)=0,"",IF(G608&lt;&gt;"",G608,IF(B608="","",IFERROR(IF(INDEX(pr_rate,MATCH(B608,pr_code,0))="","",INDEX(pr_rate,MATCH(B608,pr_code,0))),""))))</f>
        <v/>
      </c>
      <c r="L608" s="65" t="str">
        <f>IF(COUNTA(A608:G608)=0,"",IF(AND(ISNUMBER(D608),ISNUMBER(J608)),ROUND(D608*J608*(1-N(F608)),2),0))</f>
        <v/>
      </c>
      <c r="M608" s="62" t="str">
        <f>IF(A608="","",IFERROR(INDEX(fa_cname,MATCH(A608,fa_num,0))&amp;"",""))</f>
        <v/>
      </c>
      <c r="N608" s="59" t="str">
        <f>IF(COUNTA(A608:G608)=0,"",IF(A608="","N° facture manquant",IF(ISNA(MATCH(A608,fa_num,0)),"Facture inconnue",IF(AND(B608&lt;&gt;"",ISNA(MATCH(B608,pr_code,0))),"Article inconnu",IF(H608="","Désignation manquante",IF(OR(NOT(ISNUMBER(D608)),N(D608)&lt;=0),"Quantité invalide",IF(J608="","Prix manquant",IF(OR(NOT(ISNUMBER(J608)),N(J608)&lt;0),"Prix invalide",IF(OR(AND(F608&lt;&gt;"",NOT(ISNUMBER(F608))),N(F608)&lt;0,N(F608)&gt;1),"Remise invalide",IF(K608="","Taux de TVA manquant",IF(NOT(ISNUMBER(K608)),"Taux de TVA invalide",IF(COUNTIF(p_rates,K608)=0,"Taux de TVA hors liste (Paramètres)",IF(N(O608)&gt;25,"Au-delà de 25 lignes : non imprimée","OK")))))))))))))</f>
        <v/>
      </c>
      <c r="O608" s="59" t="str">
        <f>IF(A608="","",COUNTIF($A$6:A608,A608))</f>
        <v/>
      </c>
      <c r="P608" s="62" t="str">
        <f>IF(A608="","",A608&amp;"|"&amp;O608)</f>
        <v/>
      </c>
    </row>
    <row r="609">
      <c r="A609" s="60" t="n"/>
      <c r="B609" s="63" t="n"/>
      <c r="C609" s="63" t="n"/>
      <c r="D609" s="67" t="n"/>
      <c r="E609" s="68" t="n"/>
      <c r="F609" s="69" t="n"/>
      <c r="G609" s="70" t="n"/>
      <c r="H609" s="62" t="str">
        <f>IF(COUNTA(A609:G609)=0,"",IF(C609&lt;&gt;"",C609,IF(B609="","",IFERROR(INDEX(pr_des,MATCH(B609,pr_code,0))&amp;"",""))))</f>
        <v/>
      </c>
      <c r="I609" s="59" t="str">
        <f>IF(B609="","",IFERROR(INDEX(pr_unit,MATCH(B609,pr_code,0))&amp;"",""))</f>
        <v/>
      </c>
      <c r="J609" s="65" t="str">
        <f>IF(COUNTA(A609:G609)=0,"",IF(E609&lt;&gt;"",E609,IF(B609="","",IFERROR(IF(INDEX(pr_price,MATCH(B609,pr_code,0))="","",INDEX(pr_price,MATCH(B609,pr_code,0))),""))))</f>
        <v/>
      </c>
      <c r="K609" s="71" t="str">
        <f>IF(COUNTA(A609:G609)=0,"",IF(G609&lt;&gt;"",G609,IF(B609="","",IFERROR(IF(INDEX(pr_rate,MATCH(B609,pr_code,0))="","",INDEX(pr_rate,MATCH(B609,pr_code,0))),""))))</f>
        <v/>
      </c>
      <c r="L609" s="65" t="str">
        <f>IF(COUNTA(A609:G609)=0,"",IF(AND(ISNUMBER(D609),ISNUMBER(J609)),ROUND(D609*J609*(1-N(F609)),2),0))</f>
        <v/>
      </c>
      <c r="M609" s="62" t="str">
        <f>IF(A609="","",IFERROR(INDEX(fa_cname,MATCH(A609,fa_num,0))&amp;"",""))</f>
        <v/>
      </c>
      <c r="N609" s="59" t="str">
        <f>IF(COUNTA(A609:G609)=0,"",IF(A609="","N° facture manquant",IF(ISNA(MATCH(A609,fa_num,0)),"Facture inconnue",IF(AND(B609&lt;&gt;"",ISNA(MATCH(B609,pr_code,0))),"Article inconnu",IF(H609="","Désignation manquante",IF(OR(NOT(ISNUMBER(D609)),N(D609)&lt;=0),"Quantité invalide",IF(J609="","Prix manquant",IF(OR(NOT(ISNUMBER(J609)),N(J609)&lt;0),"Prix invalide",IF(OR(AND(F609&lt;&gt;"",NOT(ISNUMBER(F609))),N(F609)&lt;0,N(F609)&gt;1),"Remise invalide",IF(K609="","Taux de TVA manquant",IF(NOT(ISNUMBER(K609)),"Taux de TVA invalide",IF(COUNTIF(p_rates,K609)=0,"Taux de TVA hors liste (Paramètres)",IF(N(O609)&gt;25,"Au-delà de 25 lignes : non imprimée","OK")))))))))))))</f>
        <v/>
      </c>
      <c r="O609" s="59" t="str">
        <f>IF(A609="","",COUNTIF($A$6:A609,A609))</f>
        <v/>
      </c>
      <c r="P609" s="62" t="str">
        <f>IF(A609="","",A609&amp;"|"&amp;O609)</f>
        <v/>
      </c>
    </row>
    <row r="610">
      <c r="A610" s="60" t="n"/>
      <c r="B610" s="63" t="n"/>
      <c r="C610" s="63" t="n"/>
      <c r="D610" s="67" t="n"/>
      <c r="E610" s="68" t="n"/>
      <c r="F610" s="69" t="n"/>
      <c r="G610" s="70" t="n"/>
      <c r="H610" s="62" t="str">
        <f>IF(COUNTA(A610:G610)=0,"",IF(C610&lt;&gt;"",C610,IF(B610="","",IFERROR(INDEX(pr_des,MATCH(B610,pr_code,0))&amp;"",""))))</f>
        <v/>
      </c>
      <c r="I610" s="59" t="str">
        <f>IF(B610="","",IFERROR(INDEX(pr_unit,MATCH(B610,pr_code,0))&amp;"",""))</f>
        <v/>
      </c>
      <c r="J610" s="65" t="str">
        <f>IF(COUNTA(A610:G610)=0,"",IF(E610&lt;&gt;"",E610,IF(B610="","",IFERROR(IF(INDEX(pr_price,MATCH(B610,pr_code,0))="","",INDEX(pr_price,MATCH(B610,pr_code,0))),""))))</f>
        <v/>
      </c>
      <c r="K610" s="71" t="str">
        <f>IF(COUNTA(A610:G610)=0,"",IF(G610&lt;&gt;"",G610,IF(B610="","",IFERROR(IF(INDEX(pr_rate,MATCH(B610,pr_code,0))="","",INDEX(pr_rate,MATCH(B610,pr_code,0))),""))))</f>
        <v/>
      </c>
      <c r="L610" s="65" t="str">
        <f>IF(COUNTA(A610:G610)=0,"",IF(AND(ISNUMBER(D610),ISNUMBER(J610)),ROUND(D610*J610*(1-N(F610)),2),0))</f>
        <v/>
      </c>
      <c r="M610" s="62" t="str">
        <f>IF(A610="","",IFERROR(INDEX(fa_cname,MATCH(A610,fa_num,0))&amp;"",""))</f>
        <v/>
      </c>
      <c r="N610" s="59" t="str">
        <f>IF(COUNTA(A610:G610)=0,"",IF(A610="","N° facture manquant",IF(ISNA(MATCH(A610,fa_num,0)),"Facture inconnue",IF(AND(B610&lt;&gt;"",ISNA(MATCH(B610,pr_code,0))),"Article inconnu",IF(H610="","Désignation manquante",IF(OR(NOT(ISNUMBER(D610)),N(D610)&lt;=0),"Quantité invalide",IF(J610="","Prix manquant",IF(OR(NOT(ISNUMBER(J610)),N(J610)&lt;0),"Prix invalide",IF(OR(AND(F610&lt;&gt;"",NOT(ISNUMBER(F610))),N(F610)&lt;0,N(F610)&gt;1),"Remise invalide",IF(K610="","Taux de TVA manquant",IF(NOT(ISNUMBER(K610)),"Taux de TVA invalide",IF(COUNTIF(p_rates,K610)=0,"Taux de TVA hors liste (Paramètres)",IF(N(O610)&gt;25,"Au-delà de 25 lignes : non imprimée","OK")))))))))))))</f>
        <v/>
      </c>
      <c r="O610" s="59" t="str">
        <f>IF(A610="","",COUNTIF($A$6:A610,A610))</f>
        <v/>
      </c>
      <c r="P610" s="62" t="str">
        <f>IF(A610="","",A610&amp;"|"&amp;O610)</f>
        <v/>
      </c>
    </row>
    <row r="611">
      <c r="A611" s="60" t="n"/>
      <c r="B611" s="63" t="n"/>
      <c r="C611" s="63" t="n"/>
      <c r="D611" s="67" t="n"/>
      <c r="E611" s="68" t="n"/>
      <c r="F611" s="69" t="n"/>
      <c r="G611" s="70" t="n"/>
      <c r="H611" s="62" t="str">
        <f>IF(COUNTA(A611:G611)=0,"",IF(C611&lt;&gt;"",C611,IF(B611="","",IFERROR(INDEX(pr_des,MATCH(B611,pr_code,0))&amp;"",""))))</f>
        <v/>
      </c>
      <c r="I611" s="59" t="str">
        <f>IF(B611="","",IFERROR(INDEX(pr_unit,MATCH(B611,pr_code,0))&amp;"",""))</f>
        <v/>
      </c>
      <c r="J611" s="65" t="str">
        <f>IF(COUNTA(A611:G611)=0,"",IF(E611&lt;&gt;"",E611,IF(B611="","",IFERROR(IF(INDEX(pr_price,MATCH(B611,pr_code,0))="","",INDEX(pr_price,MATCH(B611,pr_code,0))),""))))</f>
        <v/>
      </c>
      <c r="K611" s="71" t="str">
        <f>IF(COUNTA(A611:G611)=0,"",IF(G611&lt;&gt;"",G611,IF(B611="","",IFERROR(IF(INDEX(pr_rate,MATCH(B611,pr_code,0))="","",INDEX(pr_rate,MATCH(B611,pr_code,0))),""))))</f>
        <v/>
      </c>
      <c r="L611" s="65" t="str">
        <f>IF(COUNTA(A611:G611)=0,"",IF(AND(ISNUMBER(D611),ISNUMBER(J611)),ROUND(D611*J611*(1-N(F611)),2),0))</f>
        <v/>
      </c>
      <c r="M611" s="62" t="str">
        <f>IF(A611="","",IFERROR(INDEX(fa_cname,MATCH(A611,fa_num,0))&amp;"",""))</f>
        <v/>
      </c>
      <c r="N611" s="59" t="str">
        <f>IF(COUNTA(A611:G611)=0,"",IF(A611="","N° facture manquant",IF(ISNA(MATCH(A611,fa_num,0)),"Facture inconnue",IF(AND(B611&lt;&gt;"",ISNA(MATCH(B611,pr_code,0))),"Article inconnu",IF(H611="","Désignation manquante",IF(OR(NOT(ISNUMBER(D611)),N(D611)&lt;=0),"Quantité invalide",IF(J611="","Prix manquant",IF(OR(NOT(ISNUMBER(J611)),N(J611)&lt;0),"Prix invalide",IF(OR(AND(F611&lt;&gt;"",NOT(ISNUMBER(F611))),N(F611)&lt;0,N(F611)&gt;1),"Remise invalide",IF(K611="","Taux de TVA manquant",IF(NOT(ISNUMBER(K611)),"Taux de TVA invalide",IF(COUNTIF(p_rates,K611)=0,"Taux de TVA hors liste (Paramètres)",IF(N(O611)&gt;25,"Au-delà de 25 lignes : non imprimée","OK")))))))))))))</f>
        <v/>
      </c>
      <c r="O611" s="59" t="str">
        <f>IF(A611="","",COUNTIF($A$6:A611,A611))</f>
        <v/>
      </c>
      <c r="P611" s="62" t="str">
        <f>IF(A611="","",A611&amp;"|"&amp;O611)</f>
        <v/>
      </c>
    </row>
    <row r="612">
      <c r="A612" s="60" t="n"/>
      <c r="B612" s="63" t="n"/>
      <c r="C612" s="63" t="n"/>
      <c r="D612" s="67" t="n"/>
      <c r="E612" s="68" t="n"/>
      <c r="F612" s="69" t="n"/>
      <c r="G612" s="70" t="n"/>
      <c r="H612" s="62" t="str">
        <f>IF(COUNTA(A612:G612)=0,"",IF(C612&lt;&gt;"",C612,IF(B612="","",IFERROR(INDEX(pr_des,MATCH(B612,pr_code,0))&amp;"",""))))</f>
        <v/>
      </c>
      <c r="I612" s="59" t="str">
        <f>IF(B612="","",IFERROR(INDEX(pr_unit,MATCH(B612,pr_code,0))&amp;"",""))</f>
        <v/>
      </c>
      <c r="J612" s="65" t="str">
        <f>IF(COUNTA(A612:G612)=0,"",IF(E612&lt;&gt;"",E612,IF(B612="","",IFERROR(IF(INDEX(pr_price,MATCH(B612,pr_code,0))="","",INDEX(pr_price,MATCH(B612,pr_code,0))),""))))</f>
        <v/>
      </c>
      <c r="K612" s="71" t="str">
        <f>IF(COUNTA(A612:G612)=0,"",IF(G612&lt;&gt;"",G612,IF(B612="","",IFERROR(IF(INDEX(pr_rate,MATCH(B612,pr_code,0))="","",INDEX(pr_rate,MATCH(B612,pr_code,0))),""))))</f>
        <v/>
      </c>
      <c r="L612" s="65" t="str">
        <f>IF(COUNTA(A612:G612)=0,"",IF(AND(ISNUMBER(D612),ISNUMBER(J612)),ROUND(D612*J612*(1-N(F612)),2),0))</f>
        <v/>
      </c>
      <c r="M612" s="62" t="str">
        <f>IF(A612="","",IFERROR(INDEX(fa_cname,MATCH(A612,fa_num,0))&amp;"",""))</f>
        <v/>
      </c>
      <c r="N612" s="59" t="str">
        <f>IF(COUNTA(A612:G612)=0,"",IF(A612="","N° facture manquant",IF(ISNA(MATCH(A612,fa_num,0)),"Facture inconnue",IF(AND(B612&lt;&gt;"",ISNA(MATCH(B612,pr_code,0))),"Article inconnu",IF(H612="","Désignation manquante",IF(OR(NOT(ISNUMBER(D612)),N(D612)&lt;=0),"Quantité invalide",IF(J612="","Prix manquant",IF(OR(NOT(ISNUMBER(J612)),N(J612)&lt;0),"Prix invalide",IF(OR(AND(F612&lt;&gt;"",NOT(ISNUMBER(F612))),N(F612)&lt;0,N(F612)&gt;1),"Remise invalide",IF(K612="","Taux de TVA manquant",IF(NOT(ISNUMBER(K612)),"Taux de TVA invalide",IF(COUNTIF(p_rates,K612)=0,"Taux de TVA hors liste (Paramètres)",IF(N(O612)&gt;25,"Au-delà de 25 lignes : non imprimée","OK")))))))))))))</f>
        <v/>
      </c>
      <c r="O612" s="59" t="str">
        <f>IF(A612="","",COUNTIF($A$6:A612,A612))</f>
        <v/>
      </c>
      <c r="P612" s="62" t="str">
        <f>IF(A612="","",A612&amp;"|"&amp;O612)</f>
        <v/>
      </c>
    </row>
    <row r="613">
      <c r="A613" s="60" t="n"/>
      <c r="B613" s="63" t="n"/>
      <c r="C613" s="63" t="n"/>
      <c r="D613" s="67" t="n"/>
      <c r="E613" s="68" t="n"/>
      <c r="F613" s="69" t="n"/>
      <c r="G613" s="70" t="n"/>
      <c r="H613" s="62" t="str">
        <f>IF(COUNTA(A613:G613)=0,"",IF(C613&lt;&gt;"",C613,IF(B613="","",IFERROR(INDEX(pr_des,MATCH(B613,pr_code,0))&amp;"",""))))</f>
        <v/>
      </c>
      <c r="I613" s="59" t="str">
        <f>IF(B613="","",IFERROR(INDEX(pr_unit,MATCH(B613,pr_code,0))&amp;"",""))</f>
        <v/>
      </c>
      <c r="J613" s="65" t="str">
        <f>IF(COUNTA(A613:G613)=0,"",IF(E613&lt;&gt;"",E613,IF(B613="","",IFERROR(IF(INDEX(pr_price,MATCH(B613,pr_code,0))="","",INDEX(pr_price,MATCH(B613,pr_code,0))),""))))</f>
        <v/>
      </c>
      <c r="K613" s="71" t="str">
        <f>IF(COUNTA(A613:G613)=0,"",IF(G613&lt;&gt;"",G613,IF(B613="","",IFERROR(IF(INDEX(pr_rate,MATCH(B613,pr_code,0))="","",INDEX(pr_rate,MATCH(B613,pr_code,0))),""))))</f>
        <v/>
      </c>
      <c r="L613" s="65" t="str">
        <f>IF(COUNTA(A613:G613)=0,"",IF(AND(ISNUMBER(D613),ISNUMBER(J613)),ROUND(D613*J613*(1-N(F613)),2),0))</f>
        <v/>
      </c>
      <c r="M613" s="62" t="str">
        <f>IF(A613="","",IFERROR(INDEX(fa_cname,MATCH(A613,fa_num,0))&amp;"",""))</f>
        <v/>
      </c>
      <c r="N613" s="59" t="str">
        <f>IF(COUNTA(A613:G613)=0,"",IF(A613="","N° facture manquant",IF(ISNA(MATCH(A613,fa_num,0)),"Facture inconnue",IF(AND(B613&lt;&gt;"",ISNA(MATCH(B613,pr_code,0))),"Article inconnu",IF(H613="","Désignation manquante",IF(OR(NOT(ISNUMBER(D613)),N(D613)&lt;=0),"Quantité invalide",IF(J613="","Prix manquant",IF(OR(NOT(ISNUMBER(J613)),N(J613)&lt;0),"Prix invalide",IF(OR(AND(F613&lt;&gt;"",NOT(ISNUMBER(F613))),N(F613)&lt;0,N(F613)&gt;1),"Remise invalide",IF(K613="","Taux de TVA manquant",IF(NOT(ISNUMBER(K613)),"Taux de TVA invalide",IF(COUNTIF(p_rates,K613)=0,"Taux de TVA hors liste (Paramètres)",IF(N(O613)&gt;25,"Au-delà de 25 lignes : non imprimée","OK")))))))))))))</f>
        <v/>
      </c>
      <c r="O613" s="59" t="str">
        <f>IF(A613="","",COUNTIF($A$6:A613,A613))</f>
        <v/>
      </c>
      <c r="P613" s="62" t="str">
        <f>IF(A613="","",A613&amp;"|"&amp;O613)</f>
        <v/>
      </c>
    </row>
    <row r="614">
      <c r="A614" s="60" t="n"/>
      <c r="B614" s="63" t="n"/>
      <c r="C614" s="63" t="n"/>
      <c r="D614" s="67" t="n"/>
      <c r="E614" s="68" t="n"/>
      <c r="F614" s="69" t="n"/>
      <c r="G614" s="70" t="n"/>
      <c r="H614" s="62" t="str">
        <f>IF(COUNTA(A614:G614)=0,"",IF(C614&lt;&gt;"",C614,IF(B614="","",IFERROR(INDEX(pr_des,MATCH(B614,pr_code,0))&amp;"",""))))</f>
        <v/>
      </c>
      <c r="I614" s="59" t="str">
        <f>IF(B614="","",IFERROR(INDEX(pr_unit,MATCH(B614,pr_code,0))&amp;"",""))</f>
        <v/>
      </c>
      <c r="J614" s="65" t="str">
        <f>IF(COUNTA(A614:G614)=0,"",IF(E614&lt;&gt;"",E614,IF(B614="","",IFERROR(IF(INDEX(pr_price,MATCH(B614,pr_code,0))="","",INDEX(pr_price,MATCH(B614,pr_code,0))),""))))</f>
        <v/>
      </c>
      <c r="K614" s="71" t="str">
        <f>IF(COUNTA(A614:G614)=0,"",IF(G614&lt;&gt;"",G614,IF(B614="","",IFERROR(IF(INDEX(pr_rate,MATCH(B614,pr_code,0))="","",INDEX(pr_rate,MATCH(B614,pr_code,0))),""))))</f>
        <v/>
      </c>
      <c r="L614" s="65" t="str">
        <f>IF(COUNTA(A614:G614)=0,"",IF(AND(ISNUMBER(D614),ISNUMBER(J614)),ROUND(D614*J614*(1-N(F614)),2),0))</f>
        <v/>
      </c>
      <c r="M614" s="62" t="str">
        <f>IF(A614="","",IFERROR(INDEX(fa_cname,MATCH(A614,fa_num,0))&amp;"",""))</f>
        <v/>
      </c>
      <c r="N614" s="59" t="str">
        <f>IF(COUNTA(A614:G614)=0,"",IF(A614="","N° facture manquant",IF(ISNA(MATCH(A614,fa_num,0)),"Facture inconnue",IF(AND(B614&lt;&gt;"",ISNA(MATCH(B614,pr_code,0))),"Article inconnu",IF(H614="","Désignation manquante",IF(OR(NOT(ISNUMBER(D614)),N(D614)&lt;=0),"Quantité invalide",IF(J614="","Prix manquant",IF(OR(NOT(ISNUMBER(J614)),N(J614)&lt;0),"Prix invalide",IF(OR(AND(F614&lt;&gt;"",NOT(ISNUMBER(F614))),N(F614)&lt;0,N(F614)&gt;1),"Remise invalide",IF(K614="","Taux de TVA manquant",IF(NOT(ISNUMBER(K614)),"Taux de TVA invalide",IF(COUNTIF(p_rates,K614)=0,"Taux de TVA hors liste (Paramètres)",IF(N(O614)&gt;25,"Au-delà de 25 lignes : non imprimée","OK")))))))))))))</f>
        <v/>
      </c>
      <c r="O614" s="59" t="str">
        <f>IF(A614="","",COUNTIF($A$6:A614,A614))</f>
        <v/>
      </c>
      <c r="P614" s="62" t="str">
        <f>IF(A614="","",A614&amp;"|"&amp;O614)</f>
        <v/>
      </c>
    </row>
    <row r="615">
      <c r="A615" s="60" t="n"/>
      <c r="B615" s="63" t="n"/>
      <c r="C615" s="63" t="n"/>
      <c r="D615" s="67" t="n"/>
      <c r="E615" s="68" t="n"/>
      <c r="F615" s="69" t="n"/>
      <c r="G615" s="70" t="n"/>
      <c r="H615" s="62" t="str">
        <f>IF(COUNTA(A615:G615)=0,"",IF(C615&lt;&gt;"",C615,IF(B615="","",IFERROR(INDEX(pr_des,MATCH(B615,pr_code,0))&amp;"",""))))</f>
        <v/>
      </c>
      <c r="I615" s="59" t="str">
        <f>IF(B615="","",IFERROR(INDEX(pr_unit,MATCH(B615,pr_code,0))&amp;"",""))</f>
        <v/>
      </c>
      <c r="J615" s="65" t="str">
        <f>IF(COUNTA(A615:G615)=0,"",IF(E615&lt;&gt;"",E615,IF(B615="","",IFERROR(IF(INDEX(pr_price,MATCH(B615,pr_code,0))="","",INDEX(pr_price,MATCH(B615,pr_code,0))),""))))</f>
        <v/>
      </c>
      <c r="K615" s="71" t="str">
        <f>IF(COUNTA(A615:G615)=0,"",IF(G615&lt;&gt;"",G615,IF(B615="","",IFERROR(IF(INDEX(pr_rate,MATCH(B615,pr_code,0))="","",INDEX(pr_rate,MATCH(B615,pr_code,0))),""))))</f>
        <v/>
      </c>
      <c r="L615" s="65" t="str">
        <f>IF(COUNTA(A615:G615)=0,"",IF(AND(ISNUMBER(D615),ISNUMBER(J615)),ROUND(D615*J615*(1-N(F615)),2),0))</f>
        <v/>
      </c>
      <c r="M615" s="62" t="str">
        <f>IF(A615="","",IFERROR(INDEX(fa_cname,MATCH(A615,fa_num,0))&amp;"",""))</f>
        <v/>
      </c>
      <c r="N615" s="59" t="str">
        <f>IF(COUNTA(A615:G615)=0,"",IF(A615="","N° facture manquant",IF(ISNA(MATCH(A615,fa_num,0)),"Facture inconnue",IF(AND(B615&lt;&gt;"",ISNA(MATCH(B615,pr_code,0))),"Article inconnu",IF(H615="","Désignation manquante",IF(OR(NOT(ISNUMBER(D615)),N(D615)&lt;=0),"Quantité invalide",IF(J615="","Prix manquant",IF(OR(NOT(ISNUMBER(J615)),N(J615)&lt;0),"Prix invalide",IF(OR(AND(F615&lt;&gt;"",NOT(ISNUMBER(F615))),N(F615)&lt;0,N(F615)&gt;1),"Remise invalide",IF(K615="","Taux de TVA manquant",IF(NOT(ISNUMBER(K615)),"Taux de TVA invalide",IF(COUNTIF(p_rates,K615)=0,"Taux de TVA hors liste (Paramètres)",IF(N(O615)&gt;25,"Au-delà de 25 lignes : non imprimée","OK")))))))))))))</f>
        <v/>
      </c>
      <c r="O615" s="59" t="str">
        <f>IF(A615="","",COUNTIF($A$6:A615,A615))</f>
        <v/>
      </c>
      <c r="P615" s="62" t="str">
        <f>IF(A615="","",A615&amp;"|"&amp;O615)</f>
        <v/>
      </c>
    </row>
    <row r="616">
      <c r="A616" s="60" t="n"/>
      <c r="B616" s="63" t="n"/>
      <c r="C616" s="63" t="n"/>
      <c r="D616" s="67" t="n"/>
      <c r="E616" s="68" t="n"/>
      <c r="F616" s="69" t="n"/>
      <c r="G616" s="70" t="n"/>
      <c r="H616" s="62" t="str">
        <f>IF(COUNTA(A616:G616)=0,"",IF(C616&lt;&gt;"",C616,IF(B616="","",IFERROR(INDEX(pr_des,MATCH(B616,pr_code,0))&amp;"",""))))</f>
        <v/>
      </c>
      <c r="I616" s="59" t="str">
        <f>IF(B616="","",IFERROR(INDEX(pr_unit,MATCH(B616,pr_code,0))&amp;"",""))</f>
        <v/>
      </c>
      <c r="J616" s="65" t="str">
        <f>IF(COUNTA(A616:G616)=0,"",IF(E616&lt;&gt;"",E616,IF(B616="","",IFERROR(IF(INDEX(pr_price,MATCH(B616,pr_code,0))="","",INDEX(pr_price,MATCH(B616,pr_code,0))),""))))</f>
        <v/>
      </c>
      <c r="K616" s="71" t="str">
        <f>IF(COUNTA(A616:G616)=0,"",IF(G616&lt;&gt;"",G616,IF(B616="","",IFERROR(IF(INDEX(pr_rate,MATCH(B616,pr_code,0))="","",INDEX(pr_rate,MATCH(B616,pr_code,0))),""))))</f>
        <v/>
      </c>
      <c r="L616" s="65" t="str">
        <f>IF(COUNTA(A616:G616)=0,"",IF(AND(ISNUMBER(D616),ISNUMBER(J616)),ROUND(D616*J616*(1-N(F616)),2),0))</f>
        <v/>
      </c>
      <c r="M616" s="62" t="str">
        <f>IF(A616="","",IFERROR(INDEX(fa_cname,MATCH(A616,fa_num,0))&amp;"",""))</f>
        <v/>
      </c>
      <c r="N616" s="59" t="str">
        <f>IF(COUNTA(A616:G616)=0,"",IF(A616="","N° facture manquant",IF(ISNA(MATCH(A616,fa_num,0)),"Facture inconnue",IF(AND(B616&lt;&gt;"",ISNA(MATCH(B616,pr_code,0))),"Article inconnu",IF(H616="","Désignation manquante",IF(OR(NOT(ISNUMBER(D616)),N(D616)&lt;=0),"Quantité invalide",IF(J616="","Prix manquant",IF(OR(NOT(ISNUMBER(J616)),N(J616)&lt;0),"Prix invalide",IF(OR(AND(F616&lt;&gt;"",NOT(ISNUMBER(F616))),N(F616)&lt;0,N(F616)&gt;1),"Remise invalide",IF(K616="","Taux de TVA manquant",IF(NOT(ISNUMBER(K616)),"Taux de TVA invalide",IF(COUNTIF(p_rates,K616)=0,"Taux de TVA hors liste (Paramètres)",IF(N(O616)&gt;25,"Au-delà de 25 lignes : non imprimée","OK")))))))))))))</f>
        <v/>
      </c>
      <c r="O616" s="59" t="str">
        <f>IF(A616="","",COUNTIF($A$6:A616,A616))</f>
        <v/>
      </c>
      <c r="P616" s="62" t="str">
        <f>IF(A616="","",A616&amp;"|"&amp;O616)</f>
        <v/>
      </c>
    </row>
    <row r="617">
      <c r="A617" s="60" t="n"/>
      <c r="B617" s="63" t="n"/>
      <c r="C617" s="63" t="n"/>
      <c r="D617" s="67" t="n"/>
      <c r="E617" s="68" t="n"/>
      <c r="F617" s="69" t="n"/>
      <c r="G617" s="70" t="n"/>
      <c r="H617" s="62" t="str">
        <f>IF(COUNTA(A617:G617)=0,"",IF(C617&lt;&gt;"",C617,IF(B617="","",IFERROR(INDEX(pr_des,MATCH(B617,pr_code,0))&amp;"",""))))</f>
        <v/>
      </c>
      <c r="I617" s="59" t="str">
        <f>IF(B617="","",IFERROR(INDEX(pr_unit,MATCH(B617,pr_code,0))&amp;"",""))</f>
        <v/>
      </c>
      <c r="J617" s="65" t="str">
        <f>IF(COUNTA(A617:G617)=0,"",IF(E617&lt;&gt;"",E617,IF(B617="","",IFERROR(IF(INDEX(pr_price,MATCH(B617,pr_code,0))="","",INDEX(pr_price,MATCH(B617,pr_code,0))),""))))</f>
        <v/>
      </c>
      <c r="K617" s="71" t="str">
        <f>IF(COUNTA(A617:G617)=0,"",IF(G617&lt;&gt;"",G617,IF(B617="","",IFERROR(IF(INDEX(pr_rate,MATCH(B617,pr_code,0))="","",INDEX(pr_rate,MATCH(B617,pr_code,0))),""))))</f>
        <v/>
      </c>
      <c r="L617" s="65" t="str">
        <f>IF(COUNTA(A617:G617)=0,"",IF(AND(ISNUMBER(D617),ISNUMBER(J617)),ROUND(D617*J617*(1-N(F617)),2),0))</f>
        <v/>
      </c>
      <c r="M617" s="62" t="str">
        <f>IF(A617="","",IFERROR(INDEX(fa_cname,MATCH(A617,fa_num,0))&amp;"",""))</f>
        <v/>
      </c>
      <c r="N617" s="59" t="str">
        <f>IF(COUNTA(A617:G617)=0,"",IF(A617="","N° facture manquant",IF(ISNA(MATCH(A617,fa_num,0)),"Facture inconnue",IF(AND(B617&lt;&gt;"",ISNA(MATCH(B617,pr_code,0))),"Article inconnu",IF(H617="","Désignation manquante",IF(OR(NOT(ISNUMBER(D617)),N(D617)&lt;=0),"Quantité invalide",IF(J617="","Prix manquant",IF(OR(NOT(ISNUMBER(J617)),N(J617)&lt;0),"Prix invalide",IF(OR(AND(F617&lt;&gt;"",NOT(ISNUMBER(F617))),N(F617)&lt;0,N(F617)&gt;1),"Remise invalide",IF(K617="","Taux de TVA manquant",IF(NOT(ISNUMBER(K617)),"Taux de TVA invalide",IF(COUNTIF(p_rates,K617)=0,"Taux de TVA hors liste (Paramètres)",IF(N(O617)&gt;25,"Au-delà de 25 lignes : non imprimée","OK")))))))))))))</f>
        <v/>
      </c>
      <c r="O617" s="59" t="str">
        <f>IF(A617="","",COUNTIF($A$6:A617,A617))</f>
        <v/>
      </c>
      <c r="P617" s="62" t="str">
        <f>IF(A617="","",A617&amp;"|"&amp;O617)</f>
        <v/>
      </c>
    </row>
    <row r="618">
      <c r="A618" s="60" t="n"/>
      <c r="B618" s="63" t="n"/>
      <c r="C618" s="63" t="n"/>
      <c r="D618" s="67" t="n"/>
      <c r="E618" s="68" t="n"/>
      <c r="F618" s="69" t="n"/>
      <c r="G618" s="70" t="n"/>
      <c r="H618" s="62" t="str">
        <f>IF(COUNTA(A618:G618)=0,"",IF(C618&lt;&gt;"",C618,IF(B618="","",IFERROR(INDEX(pr_des,MATCH(B618,pr_code,0))&amp;"",""))))</f>
        <v/>
      </c>
      <c r="I618" s="59" t="str">
        <f>IF(B618="","",IFERROR(INDEX(pr_unit,MATCH(B618,pr_code,0))&amp;"",""))</f>
        <v/>
      </c>
      <c r="J618" s="65" t="str">
        <f>IF(COUNTA(A618:G618)=0,"",IF(E618&lt;&gt;"",E618,IF(B618="","",IFERROR(IF(INDEX(pr_price,MATCH(B618,pr_code,0))="","",INDEX(pr_price,MATCH(B618,pr_code,0))),""))))</f>
        <v/>
      </c>
      <c r="K618" s="71" t="str">
        <f>IF(COUNTA(A618:G618)=0,"",IF(G618&lt;&gt;"",G618,IF(B618="","",IFERROR(IF(INDEX(pr_rate,MATCH(B618,pr_code,0))="","",INDEX(pr_rate,MATCH(B618,pr_code,0))),""))))</f>
        <v/>
      </c>
      <c r="L618" s="65" t="str">
        <f>IF(COUNTA(A618:G618)=0,"",IF(AND(ISNUMBER(D618),ISNUMBER(J618)),ROUND(D618*J618*(1-N(F618)),2),0))</f>
        <v/>
      </c>
      <c r="M618" s="62" t="str">
        <f>IF(A618="","",IFERROR(INDEX(fa_cname,MATCH(A618,fa_num,0))&amp;"",""))</f>
        <v/>
      </c>
      <c r="N618" s="59" t="str">
        <f>IF(COUNTA(A618:G618)=0,"",IF(A618="","N° facture manquant",IF(ISNA(MATCH(A618,fa_num,0)),"Facture inconnue",IF(AND(B618&lt;&gt;"",ISNA(MATCH(B618,pr_code,0))),"Article inconnu",IF(H618="","Désignation manquante",IF(OR(NOT(ISNUMBER(D618)),N(D618)&lt;=0),"Quantité invalide",IF(J618="","Prix manquant",IF(OR(NOT(ISNUMBER(J618)),N(J618)&lt;0),"Prix invalide",IF(OR(AND(F618&lt;&gt;"",NOT(ISNUMBER(F618))),N(F618)&lt;0,N(F618)&gt;1),"Remise invalide",IF(K618="","Taux de TVA manquant",IF(NOT(ISNUMBER(K618)),"Taux de TVA invalide",IF(COUNTIF(p_rates,K618)=0,"Taux de TVA hors liste (Paramètres)",IF(N(O618)&gt;25,"Au-delà de 25 lignes : non imprimée","OK")))))))))))))</f>
        <v/>
      </c>
      <c r="O618" s="59" t="str">
        <f>IF(A618="","",COUNTIF($A$6:A618,A618))</f>
        <v/>
      </c>
      <c r="P618" s="62" t="str">
        <f>IF(A618="","",A618&amp;"|"&amp;O618)</f>
        <v/>
      </c>
    </row>
    <row r="619">
      <c r="A619" s="60" t="n"/>
      <c r="B619" s="63" t="n"/>
      <c r="C619" s="63" t="n"/>
      <c r="D619" s="67" t="n"/>
      <c r="E619" s="68" t="n"/>
      <c r="F619" s="69" t="n"/>
      <c r="G619" s="70" t="n"/>
      <c r="H619" s="62" t="str">
        <f>IF(COUNTA(A619:G619)=0,"",IF(C619&lt;&gt;"",C619,IF(B619="","",IFERROR(INDEX(pr_des,MATCH(B619,pr_code,0))&amp;"",""))))</f>
        <v/>
      </c>
      <c r="I619" s="59" t="str">
        <f>IF(B619="","",IFERROR(INDEX(pr_unit,MATCH(B619,pr_code,0))&amp;"",""))</f>
        <v/>
      </c>
      <c r="J619" s="65" t="str">
        <f>IF(COUNTA(A619:G619)=0,"",IF(E619&lt;&gt;"",E619,IF(B619="","",IFERROR(IF(INDEX(pr_price,MATCH(B619,pr_code,0))="","",INDEX(pr_price,MATCH(B619,pr_code,0))),""))))</f>
        <v/>
      </c>
      <c r="K619" s="71" t="str">
        <f>IF(COUNTA(A619:G619)=0,"",IF(G619&lt;&gt;"",G619,IF(B619="","",IFERROR(IF(INDEX(pr_rate,MATCH(B619,pr_code,0))="","",INDEX(pr_rate,MATCH(B619,pr_code,0))),""))))</f>
        <v/>
      </c>
      <c r="L619" s="65" t="str">
        <f>IF(COUNTA(A619:G619)=0,"",IF(AND(ISNUMBER(D619),ISNUMBER(J619)),ROUND(D619*J619*(1-N(F619)),2),0))</f>
        <v/>
      </c>
      <c r="M619" s="62" t="str">
        <f>IF(A619="","",IFERROR(INDEX(fa_cname,MATCH(A619,fa_num,0))&amp;"",""))</f>
        <v/>
      </c>
      <c r="N619" s="59" t="str">
        <f>IF(COUNTA(A619:G619)=0,"",IF(A619="","N° facture manquant",IF(ISNA(MATCH(A619,fa_num,0)),"Facture inconnue",IF(AND(B619&lt;&gt;"",ISNA(MATCH(B619,pr_code,0))),"Article inconnu",IF(H619="","Désignation manquante",IF(OR(NOT(ISNUMBER(D619)),N(D619)&lt;=0),"Quantité invalide",IF(J619="","Prix manquant",IF(OR(NOT(ISNUMBER(J619)),N(J619)&lt;0),"Prix invalide",IF(OR(AND(F619&lt;&gt;"",NOT(ISNUMBER(F619))),N(F619)&lt;0,N(F619)&gt;1),"Remise invalide",IF(K619="","Taux de TVA manquant",IF(NOT(ISNUMBER(K619)),"Taux de TVA invalide",IF(COUNTIF(p_rates,K619)=0,"Taux de TVA hors liste (Paramètres)",IF(N(O619)&gt;25,"Au-delà de 25 lignes : non imprimée","OK")))))))))))))</f>
        <v/>
      </c>
      <c r="O619" s="59" t="str">
        <f>IF(A619="","",COUNTIF($A$6:A619,A619))</f>
        <v/>
      </c>
      <c r="P619" s="62" t="str">
        <f>IF(A619="","",A619&amp;"|"&amp;O619)</f>
        <v/>
      </c>
    </row>
    <row r="620">
      <c r="A620" s="60" t="n"/>
      <c r="B620" s="63" t="n"/>
      <c r="C620" s="63" t="n"/>
      <c r="D620" s="67" t="n"/>
      <c r="E620" s="68" t="n"/>
      <c r="F620" s="69" t="n"/>
      <c r="G620" s="70" t="n"/>
      <c r="H620" s="62" t="str">
        <f>IF(COUNTA(A620:G620)=0,"",IF(C620&lt;&gt;"",C620,IF(B620="","",IFERROR(INDEX(pr_des,MATCH(B620,pr_code,0))&amp;"",""))))</f>
        <v/>
      </c>
      <c r="I620" s="59" t="str">
        <f>IF(B620="","",IFERROR(INDEX(pr_unit,MATCH(B620,pr_code,0))&amp;"",""))</f>
        <v/>
      </c>
      <c r="J620" s="65" t="str">
        <f>IF(COUNTA(A620:G620)=0,"",IF(E620&lt;&gt;"",E620,IF(B620="","",IFERROR(IF(INDEX(pr_price,MATCH(B620,pr_code,0))="","",INDEX(pr_price,MATCH(B620,pr_code,0))),""))))</f>
        <v/>
      </c>
      <c r="K620" s="71" t="str">
        <f>IF(COUNTA(A620:G620)=0,"",IF(G620&lt;&gt;"",G620,IF(B620="","",IFERROR(IF(INDEX(pr_rate,MATCH(B620,pr_code,0))="","",INDEX(pr_rate,MATCH(B620,pr_code,0))),""))))</f>
        <v/>
      </c>
      <c r="L620" s="65" t="str">
        <f>IF(COUNTA(A620:G620)=0,"",IF(AND(ISNUMBER(D620),ISNUMBER(J620)),ROUND(D620*J620*(1-N(F620)),2),0))</f>
        <v/>
      </c>
      <c r="M620" s="62" t="str">
        <f>IF(A620="","",IFERROR(INDEX(fa_cname,MATCH(A620,fa_num,0))&amp;"",""))</f>
        <v/>
      </c>
      <c r="N620" s="59" t="str">
        <f>IF(COUNTA(A620:G620)=0,"",IF(A620="","N° facture manquant",IF(ISNA(MATCH(A620,fa_num,0)),"Facture inconnue",IF(AND(B620&lt;&gt;"",ISNA(MATCH(B620,pr_code,0))),"Article inconnu",IF(H620="","Désignation manquante",IF(OR(NOT(ISNUMBER(D620)),N(D620)&lt;=0),"Quantité invalide",IF(J620="","Prix manquant",IF(OR(NOT(ISNUMBER(J620)),N(J620)&lt;0),"Prix invalide",IF(OR(AND(F620&lt;&gt;"",NOT(ISNUMBER(F620))),N(F620)&lt;0,N(F620)&gt;1),"Remise invalide",IF(K620="","Taux de TVA manquant",IF(NOT(ISNUMBER(K620)),"Taux de TVA invalide",IF(COUNTIF(p_rates,K620)=0,"Taux de TVA hors liste (Paramètres)",IF(N(O620)&gt;25,"Au-delà de 25 lignes : non imprimée","OK")))))))))))))</f>
        <v/>
      </c>
      <c r="O620" s="59" t="str">
        <f>IF(A620="","",COUNTIF($A$6:A620,A620))</f>
        <v/>
      </c>
      <c r="P620" s="62" t="str">
        <f>IF(A620="","",A620&amp;"|"&amp;O620)</f>
        <v/>
      </c>
    </row>
    <row r="621">
      <c r="A621" s="60" t="n"/>
      <c r="B621" s="63" t="n"/>
      <c r="C621" s="63" t="n"/>
      <c r="D621" s="67" t="n"/>
      <c r="E621" s="68" t="n"/>
      <c r="F621" s="69" t="n"/>
      <c r="G621" s="70" t="n"/>
      <c r="H621" s="62" t="str">
        <f>IF(COUNTA(A621:G621)=0,"",IF(C621&lt;&gt;"",C621,IF(B621="","",IFERROR(INDEX(pr_des,MATCH(B621,pr_code,0))&amp;"",""))))</f>
        <v/>
      </c>
      <c r="I621" s="59" t="str">
        <f>IF(B621="","",IFERROR(INDEX(pr_unit,MATCH(B621,pr_code,0))&amp;"",""))</f>
        <v/>
      </c>
      <c r="J621" s="65" t="str">
        <f>IF(COUNTA(A621:G621)=0,"",IF(E621&lt;&gt;"",E621,IF(B621="","",IFERROR(IF(INDEX(pr_price,MATCH(B621,pr_code,0))="","",INDEX(pr_price,MATCH(B621,pr_code,0))),""))))</f>
        <v/>
      </c>
      <c r="K621" s="71" t="str">
        <f>IF(COUNTA(A621:G621)=0,"",IF(G621&lt;&gt;"",G621,IF(B621="","",IFERROR(IF(INDEX(pr_rate,MATCH(B621,pr_code,0))="","",INDEX(pr_rate,MATCH(B621,pr_code,0))),""))))</f>
        <v/>
      </c>
      <c r="L621" s="65" t="str">
        <f>IF(COUNTA(A621:G621)=0,"",IF(AND(ISNUMBER(D621),ISNUMBER(J621)),ROUND(D621*J621*(1-N(F621)),2),0))</f>
        <v/>
      </c>
      <c r="M621" s="62" t="str">
        <f>IF(A621="","",IFERROR(INDEX(fa_cname,MATCH(A621,fa_num,0))&amp;"",""))</f>
        <v/>
      </c>
      <c r="N621" s="59" t="str">
        <f>IF(COUNTA(A621:G621)=0,"",IF(A621="","N° facture manquant",IF(ISNA(MATCH(A621,fa_num,0)),"Facture inconnue",IF(AND(B621&lt;&gt;"",ISNA(MATCH(B621,pr_code,0))),"Article inconnu",IF(H621="","Désignation manquante",IF(OR(NOT(ISNUMBER(D621)),N(D621)&lt;=0),"Quantité invalide",IF(J621="","Prix manquant",IF(OR(NOT(ISNUMBER(J621)),N(J621)&lt;0),"Prix invalide",IF(OR(AND(F621&lt;&gt;"",NOT(ISNUMBER(F621))),N(F621)&lt;0,N(F621)&gt;1),"Remise invalide",IF(K621="","Taux de TVA manquant",IF(NOT(ISNUMBER(K621)),"Taux de TVA invalide",IF(COUNTIF(p_rates,K621)=0,"Taux de TVA hors liste (Paramètres)",IF(N(O621)&gt;25,"Au-delà de 25 lignes : non imprimée","OK")))))))))))))</f>
        <v/>
      </c>
      <c r="O621" s="59" t="str">
        <f>IF(A621="","",COUNTIF($A$6:A621,A621))</f>
        <v/>
      </c>
      <c r="P621" s="62" t="str">
        <f>IF(A621="","",A621&amp;"|"&amp;O621)</f>
        <v/>
      </c>
    </row>
    <row r="622">
      <c r="A622" s="60" t="n"/>
      <c r="B622" s="63" t="n"/>
      <c r="C622" s="63" t="n"/>
      <c r="D622" s="67" t="n"/>
      <c r="E622" s="68" t="n"/>
      <c r="F622" s="69" t="n"/>
      <c r="G622" s="70" t="n"/>
      <c r="H622" s="62" t="str">
        <f>IF(COUNTA(A622:G622)=0,"",IF(C622&lt;&gt;"",C622,IF(B622="","",IFERROR(INDEX(pr_des,MATCH(B622,pr_code,0))&amp;"",""))))</f>
        <v/>
      </c>
      <c r="I622" s="59" t="str">
        <f>IF(B622="","",IFERROR(INDEX(pr_unit,MATCH(B622,pr_code,0))&amp;"",""))</f>
        <v/>
      </c>
      <c r="J622" s="65" t="str">
        <f>IF(COUNTA(A622:G622)=0,"",IF(E622&lt;&gt;"",E622,IF(B622="","",IFERROR(IF(INDEX(pr_price,MATCH(B622,pr_code,0))="","",INDEX(pr_price,MATCH(B622,pr_code,0))),""))))</f>
        <v/>
      </c>
      <c r="K622" s="71" t="str">
        <f>IF(COUNTA(A622:G622)=0,"",IF(G622&lt;&gt;"",G622,IF(B622="","",IFERROR(IF(INDEX(pr_rate,MATCH(B622,pr_code,0))="","",INDEX(pr_rate,MATCH(B622,pr_code,0))),""))))</f>
        <v/>
      </c>
      <c r="L622" s="65" t="str">
        <f>IF(COUNTA(A622:G622)=0,"",IF(AND(ISNUMBER(D622),ISNUMBER(J622)),ROUND(D622*J622*(1-N(F622)),2),0))</f>
        <v/>
      </c>
      <c r="M622" s="62" t="str">
        <f>IF(A622="","",IFERROR(INDEX(fa_cname,MATCH(A622,fa_num,0))&amp;"",""))</f>
        <v/>
      </c>
      <c r="N622" s="59" t="str">
        <f>IF(COUNTA(A622:G622)=0,"",IF(A622="","N° facture manquant",IF(ISNA(MATCH(A622,fa_num,0)),"Facture inconnue",IF(AND(B622&lt;&gt;"",ISNA(MATCH(B622,pr_code,0))),"Article inconnu",IF(H622="","Désignation manquante",IF(OR(NOT(ISNUMBER(D622)),N(D622)&lt;=0),"Quantité invalide",IF(J622="","Prix manquant",IF(OR(NOT(ISNUMBER(J622)),N(J622)&lt;0),"Prix invalide",IF(OR(AND(F622&lt;&gt;"",NOT(ISNUMBER(F622))),N(F622)&lt;0,N(F622)&gt;1),"Remise invalide",IF(K622="","Taux de TVA manquant",IF(NOT(ISNUMBER(K622)),"Taux de TVA invalide",IF(COUNTIF(p_rates,K622)=0,"Taux de TVA hors liste (Paramètres)",IF(N(O622)&gt;25,"Au-delà de 25 lignes : non imprimée","OK")))))))))))))</f>
        <v/>
      </c>
      <c r="O622" s="59" t="str">
        <f>IF(A622="","",COUNTIF($A$6:A622,A622))</f>
        <v/>
      </c>
      <c r="P622" s="62" t="str">
        <f>IF(A622="","",A622&amp;"|"&amp;O622)</f>
        <v/>
      </c>
    </row>
    <row r="623">
      <c r="A623" s="60" t="n"/>
      <c r="B623" s="63" t="n"/>
      <c r="C623" s="63" t="n"/>
      <c r="D623" s="67" t="n"/>
      <c r="E623" s="68" t="n"/>
      <c r="F623" s="69" t="n"/>
      <c r="G623" s="70" t="n"/>
      <c r="H623" s="62" t="str">
        <f>IF(COUNTA(A623:G623)=0,"",IF(C623&lt;&gt;"",C623,IF(B623="","",IFERROR(INDEX(pr_des,MATCH(B623,pr_code,0))&amp;"",""))))</f>
        <v/>
      </c>
      <c r="I623" s="59" t="str">
        <f>IF(B623="","",IFERROR(INDEX(pr_unit,MATCH(B623,pr_code,0))&amp;"",""))</f>
        <v/>
      </c>
      <c r="J623" s="65" t="str">
        <f>IF(COUNTA(A623:G623)=0,"",IF(E623&lt;&gt;"",E623,IF(B623="","",IFERROR(IF(INDEX(pr_price,MATCH(B623,pr_code,0))="","",INDEX(pr_price,MATCH(B623,pr_code,0))),""))))</f>
        <v/>
      </c>
      <c r="K623" s="71" t="str">
        <f>IF(COUNTA(A623:G623)=0,"",IF(G623&lt;&gt;"",G623,IF(B623="","",IFERROR(IF(INDEX(pr_rate,MATCH(B623,pr_code,0))="","",INDEX(pr_rate,MATCH(B623,pr_code,0))),""))))</f>
        <v/>
      </c>
      <c r="L623" s="65" t="str">
        <f>IF(COUNTA(A623:G623)=0,"",IF(AND(ISNUMBER(D623),ISNUMBER(J623)),ROUND(D623*J623*(1-N(F623)),2),0))</f>
        <v/>
      </c>
      <c r="M623" s="62" t="str">
        <f>IF(A623="","",IFERROR(INDEX(fa_cname,MATCH(A623,fa_num,0))&amp;"",""))</f>
        <v/>
      </c>
      <c r="N623" s="59" t="str">
        <f>IF(COUNTA(A623:G623)=0,"",IF(A623="","N° facture manquant",IF(ISNA(MATCH(A623,fa_num,0)),"Facture inconnue",IF(AND(B623&lt;&gt;"",ISNA(MATCH(B623,pr_code,0))),"Article inconnu",IF(H623="","Désignation manquante",IF(OR(NOT(ISNUMBER(D623)),N(D623)&lt;=0),"Quantité invalide",IF(J623="","Prix manquant",IF(OR(NOT(ISNUMBER(J623)),N(J623)&lt;0),"Prix invalide",IF(OR(AND(F623&lt;&gt;"",NOT(ISNUMBER(F623))),N(F623)&lt;0,N(F623)&gt;1),"Remise invalide",IF(K623="","Taux de TVA manquant",IF(NOT(ISNUMBER(K623)),"Taux de TVA invalide",IF(COUNTIF(p_rates,K623)=0,"Taux de TVA hors liste (Paramètres)",IF(N(O623)&gt;25,"Au-delà de 25 lignes : non imprimée","OK")))))))))))))</f>
        <v/>
      </c>
      <c r="O623" s="59" t="str">
        <f>IF(A623="","",COUNTIF($A$6:A623,A623))</f>
        <v/>
      </c>
      <c r="P623" s="62" t="str">
        <f>IF(A623="","",A623&amp;"|"&amp;O623)</f>
        <v/>
      </c>
    </row>
    <row r="624">
      <c r="A624" s="60" t="n"/>
      <c r="B624" s="63" t="n"/>
      <c r="C624" s="63" t="n"/>
      <c r="D624" s="67" t="n"/>
      <c r="E624" s="68" t="n"/>
      <c r="F624" s="69" t="n"/>
      <c r="G624" s="70" t="n"/>
      <c r="H624" s="62" t="str">
        <f>IF(COUNTA(A624:G624)=0,"",IF(C624&lt;&gt;"",C624,IF(B624="","",IFERROR(INDEX(pr_des,MATCH(B624,pr_code,0))&amp;"",""))))</f>
        <v/>
      </c>
      <c r="I624" s="59" t="str">
        <f>IF(B624="","",IFERROR(INDEX(pr_unit,MATCH(B624,pr_code,0))&amp;"",""))</f>
        <v/>
      </c>
      <c r="J624" s="65" t="str">
        <f>IF(COUNTA(A624:G624)=0,"",IF(E624&lt;&gt;"",E624,IF(B624="","",IFERROR(IF(INDEX(pr_price,MATCH(B624,pr_code,0))="","",INDEX(pr_price,MATCH(B624,pr_code,0))),""))))</f>
        <v/>
      </c>
      <c r="K624" s="71" t="str">
        <f>IF(COUNTA(A624:G624)=0,"",IF(G624&lt;&gt;"",G624,IF(B624="","",IFERROR(IF(INDEX(pr_rate,MATCH(B624,pr_code,0))="","",INDEX(pr_rate,MATCH(B624,pr_code,0))),""))))</f>
        <v/>
      </c>
      <c r="L624" s="65" t="str">
        <f>IF(COUNTA(A624:G624)=0,"",IF(AND(ISNUMBER(D624),ISNUMBER(J624)),ROUND(D624*J624*(1-N(F624)),2),0))</f>
        <v/>
      </c>
      <c r="M624" s="62" t="str">
        <f>IF(A624="","",IFERROR(INDEX(fa_cname,MATCH(A624,fa_num,0))&amp;"",""))</f>
        <v/>
      </c>
      <c r="N624" s="59" t="str">
        <f>IF(COUNTA(A624:G624)=0,"",IF(A624="","N° facture manquant",IF(ISNA(MATCH(A624,fa_num,0)),"Facture inconnue",IF(AND(B624&lt;&gt;"",ISNA(MATCH(B624,pr_code,0))),"Article inconnu",IF(H624="","Désignation manquante",IF(OR(NOT(ISNUMBER(D624)),N(D624)&lt;=0),"Quantité invalide",IF(J624="","Prix manquant",IF(OR(NOT(ISNUMBER(J624)),N(J624)&lt;0),"Prix invalide",IF(OR(AND(F624&lt;&gt;"",NOT(ISNUMBER(F624))),N(F624)&lt;0,N(F624)&gt;1),"Remise invalide",IF(K624="","Taux de TVA manquant",IF(NOT(ISNUMBER(K624)),"Taux de TVA invalide",IF(COUNTIF(p_rates,K624)=0,"Taux de TVA hors liste (Paramètres)",IF(N(O624)&gt;25,"Au-delà de 25 lignes : non imprimée","OK")))))))))))))</f>
        <v/>
      </c>
      <c r="O624" s="59" t="str">
        <f>IF(A624="","",COUNTIF($A$6:A624,A624))</f>
        <v/>
      </c>
      <c r="P624" s="62" t="str">
        <f>IF(A624="","",A624&amp;"|"&amp;O624)</f>
        <v/>
      </c>
    </row>
    <row r="625">
      <c r="A625" s="60" t="n"/>
      <c r="B625" s="63" t="n"/>
      <c r="C625" s="63" t="n"/>
      <c r="D625" s="67" t="n"/>
      <c r="E625" s="68" t="n"/>
      <c r="F625" s="69" t="n"/>
      <c r="G625" s="70" t="n"/>
      <c r="H625" s="62" t="str">
        <f>IF(COUNTA(A625:G625)=0,"",IF(C625&lt;&gt;"",C625,IF(B625="","",IFERROR(INDEX(pr_des,MATCH(B625,pr_code,0))&amp;"",""))))</f>
        <v/>
      </c>
      <c r="I625" s="59" t="str">
        <f>IF(B625="","",IFERROR(INDEX(pr_unit,MATCH(B625,pr_code,0))&amp;"",""))</f>
        <v/>
      </c>
      <c r="J625" s="65" t="str">
        <f>IF(COUNTA(A625:G625)=0,"",IF(E625&lt;&gt;"",E625,IF(B625="","",IFERROR(IF(INDEX(pr_price,MATCH(B625,pr_code,0))="","",INDEX(pr_price,MATCH(B625,pr_code,0))),""))))</f>
        <v/>
      </c>
      <c r="K625" s="71" t="str">
        <f>IF(COUNTA(A625:G625)=0,"",IF(G625&lt;&gt;"",G625,IF(B625="","",IFERROR(IF(INDEX(pr_rate,MATCH(B625,pr_code,0))="","",INDEX(pr_rate,MATCH(B625,pr_code,0))),""))))</f>
        <v/>
      </c>
      <c r="L625" s="65" t="str">
        <f>IF(COUNTA(A625:G625)=0,"",IF(AND(ISNUMBER(D625),ISNUMBER(J625)),ROUND(D625*J625*(1-N(F625)),2),0))</f>
        <v/>
      </c>
      <c r="M625" s="62" t="str">
        <f>IF(A625="","",IFERROR(INDEX(fa_cname,MATCH(A625,fa_num,0))&amp;"",""))</f>
        <v/>
      </c>
      <c r="N625" s="59" t="str">
        <f>IF(COUNTA(A625:G625)=0,"",IF(A625="","N° facture manquant",IF(ISNA(MATCH(A625,fa_num,0)),"Facture inconnue",IF(AND(B625&lt;&gt;"",ISNA(MATCH(B625,pr_code,0))),"Article inconnu",IF(H625="","Désignation manquante",IF(OR(NOT(ISNUMBER(D625)),N(D625)&lt;=0),"Quantité invalide",IF(J625="","Prix manquant",IF(OR(NOT(ISNUMBER(J625)),N(J625)&lt;0),"Prix invalide",IF(OR(AND(F625&lt;&gt;"",NOT(ISNUMBER(F625))),N(F625)&lt;0,N(F625)&gt;1),"Remise invalide",IF(K625="","Taux de TVA manquant",IF(NOT(ISNUMBER(K625)),"Taux de TVA invalide",IF(COUNTIF(p_rates,K625)=0,"Taux de TVA hors liste (Paramètres)",IF(N(O625)&gt;25,"Au-delà de 25 lignes : non imprimée","OK")))))))))))))</f>
        <v/>
      </c>
      <c r="O625" s="59" t="str">
        <f>IF(A625="","",COUNTIF($A$6:A625,A625))</f>
        <v/>
      </c>
      <c r="P625" s="62" t="str">
        <f>IF(A625="","",A625&amp;"|"&amp;O625)</f>
        <v/>
      </c>
    </row>
    <row r="626">
      <c r="A626" s="60" t="n"/>
      <c r="B626" s="63" t="n"/>
      <c r="C626" s="63" t="n"/>
      <c r="D626" s="67" t="n"/>
      <c r="E626" s="68" t="n"/>
      <c r="F626" s="69" t="n"/>
      <c r="G626" s="70" t="n"/>
      <c r="H626" s="62" t="str">
        <f>IF(COUNTA(A626:G626)=0,"",IF(C626&lt;&gt;"",C626,IF(B626="","",IFERROR(INDEX(pr_des,MATCH(B626,pr_code,0))&amp;"",""))))</f>
        <v/>
      </c>
      <c r="I626" s="59" t="str">
        <f>IF(B626="","",IFERROR(INDEX(pr_unit,MATCH(B626,pr_code,0))&amp;"",""))</f>
        <v/>
      </c>
      <c r="J626" s="65" t="str">
        <f>IF(COUNTA(A626:G626)=0,"",IF(E626&lt;&gt;"",E626,IF(B626="","",IFERROR(IF(INDEX(pr_price,MATCH(B626,pr_code,0))="","",INDEX(pr_price,MATCH(B626,pr_code,0))),""))))</f>
        <v/>
      </c>
      <c r="K626" s="71" t="str">
        <f>IF(COUNTA(A626:G626)=0,"",IF(G626&lt;&gt;"",G626,IF(B626="","",IFERROR(IF(INDEX(pr_rate,MATCH(B626,pr_code,0))="","",INDEX(pr_rate,MATCH(B626,pr_code,0))),""))))</f>
        <v/>
      </c>
      <c r="L626" s="65" t="str">
        <f>IF(COUNTA(A626:G626)=0,"",IF(AND(ISNUMBER(D626),ISNUMBER(J626)),ROUND(D626*J626*(1-N(F626)),2),0))</f>
        <v/>
      </c>
      <c r="M626" s="62" t="str">
        <f>IF(A626="","",IFERROR(INDEX(fa_cname,MATCH(A626,fa_num,0))&amp;"",""))</f>
        <v/>
      </c>
      <c r="N626" s="59" t="str">
        <f>IF(COUNTA(A626:G626)=0,"",IF(A626="","N° facture manquant",IF(ISNA(MATCH(A626,fa_num,0)),"Facture inconnue",IF(AND(B626&lt;&gt;"",ISNA(MATCH(B626,pr_code,0))),"Article inconnu",IF(H626="","Désignation manquante",IF(OR(NOT(ISNUMBER(D626)),N(D626)&lt;=0),"Quantité invalide",IF(J626="","Prix manquant",IF(OR(NOT(ISNUMBER(J626)),N(J626)&lt;0),"Prix invalide",IF(OR(AND(F626&lt;&gt;"",NOT(ISNUMBER(F626))),N(F626)&lt;0,N(F626)&gt;1),"Remise invalide",IF(K626="","Taux de TVA manquant",IF(NOT(ISNUMBER(K626)),"Taux de TVA invalide",IF(COUNTIF(p_rates,K626)=0,"Taux de TVA hors liste (Paramètres)",IF(N(O626)&gt;25,"Au-delà de 25 lignes : non imprimée","OK")))))))))))))</f>
        <v/>
      </c>
      <c r="O626" s="59" t="str">
        <f>IF(A626="","",COUNTIF($A$6:A626,A626))</f>
        <v/>
      </c>
      <c r="P626" s="62" t="str">
        <f>IF(A626="","",A626&amp;"|"&amp;O626)</f>
        <v/>
      </c>
    </row>
    <row r="627">
      <c r="A627" s="60" t="n"/>
      <c r="B627" s="63" t="n"/>
      <c r="C627" s="63" t="n"/>
      <c r="D627" s="67" t="n"/>
      <c r="E627" s="68" t="n"/>
      <c r="F627" s="69" t="n"/>
      <c r="G627" s="70" t="n"/>
      <c r="H627" s="62" t="str">
        <f>IF(COUNTA(A627:G627)=0,"",IF(C627&lt;&gt;"",C627,IF(B627="","",IFERROR(INDEX(pr_des,MATCH(B627,pr_code,0))&amp;"",""))))</f>
        <v/>
      </c>
      <c r="I627" s="59" t="str">
        <f>IF(B627="","",IFERROR(INDEX(pr_unit,MATCH(B627,pr_code,0))&amp;"",""))</f>
        <v/>
      </c>
      <c r="J627" s="65" t="str">
        <f>IF(COUNTA(A627:G627)=0,"",IF(E627&lt;&gt;"",E627,IF(B627="","",IFERROR(IF(INDEX(pr_price,MATCH(B627,pr_code,0))="","",INDEX(pr_price,MATCH(B627,pr_code,0))),""))))</f>
        <v/>
      </c>
      <c r="K627" s="71" t="str">
        <f>IF(COUNTA(A627:G627)=0,"",IF(G627&lt;&gt;"",G627,IF(B627="","",IFERROR(IF(INDEX(pr_rate,MATCH(B627,pr_code,0))="","",INDEX(pr_rate,MATCH(B627,pr_code,0))),""))))</f>
        <v/>
      </c>
      <c r="L627" s="65" t="str">
        <f>IF(COUNTA(A627:G627)=0,"",IF(AND(ISNUMBER(D627),ISNUMBER(J627)),ROUND(D627*J627*(1-N(F627)),2),0))</f>
        <v/>
      </c>
      <c r="M627" s="62" t="str">
        <f>IF(A627="","",IFERROR(INDEX(fa_cname,MATCH(A627,fa_num,0))&amp;"",""))</f>
        <v/>
      </c>
      <c r="N627" s="59" t="str">
        <f>IF(COUNTA(A627:G627)=0,"",IF(A627="","N° facture manquant",IF(ISNA(MATCH(A627,fa_num,0)),"Facture inconnue",IF(AND(B627&lt;&gt;"",ISNA(MATCH(B627,pr_code,0))),"Article inconnu",IF(H627="","Désignation manquante",IF(OR(NOT(ISNUMBER(D627)),N(D627)&lt;=0),"Quantité invalide",IF(J627="","Prix manquant",IF(OR(NOT(ISNUMBER(J627)),N(J627)&lt;0),"Prix invalide",IF(OR(AND(F627&lt;&gt;"",NOT(ISNUMBER(F627))),N(F627)&lt;0,N(F627)&gt;1),"Remise invalide",IF(K627="","Taux de TVA manquant",IF(NOT(ISNUMBER(K627)),"Taux de TVA invalide",IF(COUNTIF(p_rates,K627)=0,"Taux de TVA hors liste (Paramètres)",IF(N(O627)&gt;25,"Au-delà de 25 lignes : non imprimée","OK")))))))))))))</f>
        <v/>
      </c>
      <c r="O627" s="59" t="str">
        <f>IF(A627="","",COUNTIF($A$6:A627,A627))</f>
        <v/>
      </c>
      <c r="P627" s="62" t="str">
        <f>IF(A627="","",A627&amp;"|"&amp;O627)</f>
        <v/>
      </c>
    </row>
    <row r="628">
      <c r="A628" s="60" t="n"/>
      <c r="B628" s="63" t="n"/>
      <c r="C628" s="63" t="n"/>
      <c r="D628" s="67" t="n"/>
      <c r="E628" s="68" t="n"/>
      <c r="F628" s="69" t="n"/>
      <c r="G628" s="70" t="n"/>
      <c r="H628" s="62" t="str">
        <f>IF(COUNTA(A628:G628)=0,"",IF(C628&lt;&gt;"",C628,IF(B628="","",IFERROR(INDEX(pr_des,MATCH(B628,pr_code,0))&amp;"",""))))</f>
        <v/>
      </c>
      <c r="I628" s="59" t="str">
        <f>IF(B628="","",IFERROR(INDEX(pr_unit,MATCH(B628,pr_code,0))&amp;"",""))</f>
        <v/>
      </c>
      <c r="J628" s="65" t="str">
        <f>IF(COUNTA(A628:G628)=0,"",IF(E628&lt;&gt;"",E628,IF(B628="","",IFERROR(IF(INDEX(pr_price,MATCH(B628,pr_code,0))="","",INDEX(pr_price,MATCH(B628,pr_code,0))),""))))</f>
        <v/>
      </c>
      <c r="K628" s="71" t="str">
        <f>IF(COUNTA(A628:G628)=0,"",IF(G628&lt;&gt;"",G628,IF(B628="","",IFERROR(IF(INDEX(pr_rate,MATCH(B628,pr_code,0))="","",INDEX(pr_rate,MATCH(B628,pr_code,0))),""))))</f>
        <v/>
      </c>
      <c r="L628" s="65" t="str">
        <f>IF(COUNTA(A628:G628)=0,"",IF(AND(ISNUMBER(D628),ISNUMBER(J628)),ROUND(D628*J628*(1-N(F628)),2),0))</f>
        <v/>
      </c>
      <c r="M628" s="62" t="str">
        <f>IF(A628="","",IFERROR(INDEX(fa_cname,MATCH(A628,fa_num,0))&amp;"",""))</f>
        <v/>
      </c>
      <c r="N628" s="59" t="str">
        <f>IF(COUNTA(A628:G628)=0,"",IF(A628="","N° facture manquant",IF(ISNA(MATCH(A628,fa_num,0)),"Facture inconnue",IF(AND(B628&lt;&gt;"",ISNA(MATCH(B628,pr_code,0))),"Article inconnu",IF(H628="","Désignation manquante",IF(OR(NOT(ISNUMBER(D628)),N(D628)&lt;=0),"Quantité invalide",IF(J628="","Prix manquant",IF(OR(NOT(ISNUMBER(J628)),N(J628)&lt;0),"Prix invalide",IF(OR(AND(F628&lt;&gt;"",NOT(ISNUMBER(F628))),N(F628)&lt;0,N(F628)&gt;1),"Remise invalide",IF(K628="","Taux de TVA manquant",IF(NOT(ISNUMBER(K628)),"Taux de TVA invalide",IF(COUNTIF(p_rates,K628)=0,"Taux de TVA hors liste (Paramètres)",IF(N(O628)&gt;25,"Au-delà de 25 lignes : non imprimée","OK")))))))))))))</f>
        <v/>
      </c>
      <c r="O628" s="59" t="str">
        <f>IF(A628="","",COUNTIF($A$6:A628,A628))</f>
        <v/>
      </c>
      <c r="P628" s="62" t="str">
        <f>IF(A628="","",A628&amp;"|"&amp;O628)</f>
        <v/>
      </c>
    </row>
    <row r="629">
      <c r="A629" s="60" t="n"/>
      <c r="B629" s="63" t="n"/>
      <c r="C629" s="63" t="n"/>
      <c r="D629" s="67" t="n"/>
      <c r="E629" s="68" t="n"/>
      <c r="F629" s="69" t="n"/>
      <c r="G629" s="70" t="n"/>
      <c r="H629" s="62" t="str">
        <f>IF(COUNTA(A629:G629)=0,"",IF(C629&lt;&gt;"",C629,IF(B629="","",IFERROR(INDEX(pr_des,MATCH(B629,pr_code,0))&amp;"",""))))</f>
        <v/>
      </c>
      <c r="I629" s="59" t="str">
        <f>IF(B629="","",IFERROR(INDEX(pr_unit,MATCH(B629,pr_code,0))&amp;"",""))</f>
        <v/>
      </c>
      <c r="J629" s="65" t="str">
        <f>IF(COUNTA(A629:G629)=0,"",IF(E629&lt;&gt;"",E629,IF(B629="","",IFERROR(IF(INDEX(pr_price,MATCH(B629,pr_code,0))="","",INDEX(pr_price,MATCH(B629,pr_code,0))),""))))</f>
        <v/>
      </c>
      <c r="K629" s="71" t="str">
        <f>IF(COUNTA(A629:G629)=0,"",IF(G629&lt;&gt;"",G629,IF(B629="","",IFERROR(IF(INDEX(pr_rate,MATCH(B629,pr_code,0))="","",INDEX(pr_rate,MATCH(B629,pr_code,0))),""))))</f>
        <v/>
      </c>
      <c r="L629" s="65" t="str">
        <f>IF(COUNTA(A629:G629)=0,"",IF(AND(ISNUMBER(D629),ISNUMBER(J629)),ROUND(D629*J629*(1-N(F629)),2),0))</f>
        <v/>
      </c>
      <c r="M629" s="62" t="str">
        <f>IF(A629="","",IFERROR(INDEX(fa_cname,MATCH(A629,fa_num,0))&amp;"",""))</f>
        <v/>
      </c>
      <c r="N629" s="59" t="str">
        <f>IF(COUNTA(A629:G629)=0,"",IF(A629="","N° facture manquant",IF(ISNA(MATCH(A629,fa_num,0)),"Facture inconnue",IF(AND(B629&lt;&gt;"",ISNA(MATCH(B629,pr_code,0))),"Article inconnu",IF(H629="","Désignation manquante",IF(OR(NOT(ISNUMBER(D629)),N(D629)&lt;=0),"Quantité invalide",IF(J629="","Prix manquant",IF(OR(NOT(ISNUMBER(J629)),N(J629)&lt;0),"Prix invalide",IF(OR(AND(F629&lt;&gt;"",NOT(ISNUMBER(F629))),N(F629)&lt;0,N(F629)&gt;1),"Remise invalide",IF(K629="","Taux de TVA manquant",IF(NOT(ISNUMBER(K629)),"Taux de TVA invalide",IF(COUNTIF(p_rates,K629)=0,"Taux de TVA hors liste (Paramètres)",IF(N(O629)&gt;25,"Au-delà de 25 lignes : non imprimée","OK")))))))))))))</f>
        <v/>
      </c>
      <c r="O629" s="59" t="str">
        <f>IF(A629="","",COUNTIF($A$6:A629,A629))</f>
        <v/>
      </c>
      <c r="P629" s="62" t="str">
        <f>IF(A629="","",A629&amp;"|"&amp;O629)</f>
        <v/>
      </c>
    </row>
    <row r="630">
      <c r="A630" s="60" t="n"/>
      <c r="B630" s="63" t="n"/>
      <c r="C630" s="63" t="n"/>
      <c r="D630" s="67" t="n"/>
      <c r="E630" s="68" t="n"/>
      <c r="F630" s="69" t="n"/>
      <c r="G630" s="70" t="n"/>
      <c r="H630" s="62" t="str">
        <f>IF(COUNTA(A630:G630)=0,"",IF(C630&lt;&gt;"",C630,IF(B630="","",IFERROR(INDEX(pr_des,MATCH(B630,pr_code,0))&amp;"",""))))</f>
        <v/>
      </c>
      <c r="I630" s="59" t="str">
        <f>IF(B630="","",IFERROR(INDEX(pr_unit,MATCH(B630,pr_code,0))&amp;"",""))</f>
        <v/>
      </c>
      <c r="J630" s="65" t="str">
        <f>IF(COUNTA(A630:G630)=0,"",IF(E630&lt;&gt;"",E630,IF(B630="","",IFERROR(IF(INDEX(pr_price,MATCH(B630,pr_code,0))="","",INDEX(pr_price,MATCH(B630,pr_code,0))),""))))</f>
        <v/>
      </c>
      <c r="K630" s="71" t="str">
        <f>IF(COUNTA(A630:G630)=0,"",IF(G630&lt;&gt;"",G630,IF(B630="","",IFERROR(IF(INDEX(pr_rate,MATCH(B630,pr_code,0))="","",INDEX(pr_rate,MATCH(B630,pr_code,0))),""))))</f>
        <v/>
      </c>
      <c r="L630" s="65" t="str">
        <f>IF(COUNTA(A630:G630)=0,"",IF(AND(ISNUMBER(D630),ISNUMBER(J630)),ROUND(D630*J630*(1-N(F630)),2),0))</f>
        <v/>
      </c>
      <c r="M630" s="62" t="str">
        <f>IF(A630="","",IFERROR(INDEX(fa_cname,MATCH(A630,fa_num,0))&amp;"",""))</f>
        <v/>
      </c>
      <c r="N630" s="59" t="str">
        <f>IF(COUNTA(A630:G630)=0,"",IF(A630="","N° facture manquant",IF(ISNA(MATCH(A630,fa_num,0)),"Facture inconnue",IF(AND(B630&lt;&gt;"",ISNA(MATCH(B630,pr_code,0))),"Article inconnu",IF(H630="","Désignation manquante",IF(OR(NOT(ISNUMBER(D630)),N(D630)&lt;=0),"Quantité invalide",IF(J630="","Prix manquant",IF(OR(NOT(ISNUMBER(J630)),N(J630)&lt;0),"Prix invalide",IF(OR(AND(F630&lt;&gt;"",NOT(ISNUMBER(F630))),N(F630)&lt;0,N(F630)&gt;1),"Remise invalide",IF(K630="","Taux de TVA manquant",IF(NOT(ISNUMBER(K630)),"Taux de TVA invalide",IF(COUNTIF(p_rates,K630)=0,"Taux de TVA hors liste (Paramètres)",IF(N(O630)&gt;25,"Au-delà de 25 lignes : non imprimée","OK")))))))))))))</f>
        <v/>
      </c>
      <c r="O630" s="59" t="str">
        <f>IF(A630="","",COUNTIF($A$6:A630,A630))</f>
        <v/>
      </c>
      <c r="P630" s="62" t="str">
        <f>IF(A630="","",A630&amp;"|"&amp;O630)</f>
        <v/>
      </c>
    </row>
    <row r="631">
      <c r="A631" s="60" t="n"/>
      <c r="B631" s="63" t="n"/>
      <c r="C631" s="63" t="n"/>
      <c r="D631" s="67" t="n"/>
      <c r="E631" s="68" t="n"/>
      <c r="F631" s="69" t="n"/>
      <c r="G631" s="70" t="n"/>
      <c r="H631" s="62" t="str">
        <f>IF(COUNTA(A631:G631)=0,"",IF(C631&lt;&gt;"",C631,IF(B631="","",IFERROR(INDEX(pr_des,MATCH(B631,pr_code,0))&amp;"",""))))</f>
        <v/>
      </c>
      <c r="I631" s="59" t="str">
        <f>IF(B631="","",IFERROR(INDEX(pr_unit,MATCH(B631,pr_code,0))&amp;"",""))</f>
        <v/>
      </c>
      <c r="J631" s="65" t="str">
        <f>IF(COUNTA(A631:G631)=0,"",IF(E631&lt;&gt;"",E631,IF(B631="","",IFERROR(IF(INDEX(pr_price,MATCH(B631,pr_code,0))="","",INDEX(pr_price,MATCH(B631,pr_code,0))),""))))</f>
        <v/>
      </c>
      <c r="K631" s="71" t="str">
        <f>IF(COUNTA(A631:G631)=0,"",IF(G631&lt;&gt;"",G631,IF(B631="","",IFERROR(IF(INDEX(pr_rate,MATCH(B631,pr_code,0))="","",INDEX(pr_rate,MATCH(B631,pr_code,0))),""))))</f>
        <v/>
      </c>
      <c r="L631" s="65" t="str">
        <f>IF(COUNTA(A631:G631)=0,"",IF(AND(ISNUMBER(D631),ISNUMBER(J631)),ROUND(D631*J631*(1-N(F631)),2),0))</f>
        <v/>
      </c>
      <c r="M631" s="62" t="str">
        <f>IF(A631="","",IFERROR(INDEX(fa_cname,MATCH(A631,fa_num,0))&amp;"",""))</f>
        <v/>
      </c>
      <c r="N631" s="59" t="str">
        <f>IF(COUNTA(A631:G631)=0,"",IF(A631="","N° facture manquant",IF(ISNA(MATCH(A631,fa_num,0)),"Facture inconnue",IF(AND(B631&lt;&gt;"",ISNA(MATCH(B631,pr_code,0))),"Article inconnu",IF(H631="","Désignation manquante",IF(OR(NOT(ISNUMBER(D631)),N(D631)&lt;=0),"Quantité invalide",IF(J631="","Prix manquant",IF(OR(NOT(ISNUMBER(J631)),N(J631)&lt;0),"Prix invalide",IF(OR(AND(F631&lt;&gt;"",NOT(ISNUMBER(F631))),N(F631)&lt;0,N(F631)&gt;1),"Remise invalide",IF(K631="","Taux de TVA manquant",IF(NOT(ISNUMBER(K631)),"Taux de TVA invalide",IF(COUNTIF(p_rates,K631)=0,"Taux de TVA hors liste (Paramètres)",IF(N(O631)&gt;25,"Au-delà de 25 lignes : non imprimée","OK")))))))))))))</f>
        <v/>
      </c>
      <c r="O631" s="59" t="str">
        <f>IF(A631="","",COUNTIF($A$6:A631,A631))</f>
        <v/>
      </c>
      <c r="P631" s="62" t="str">
        <f>IF(A631="","",A631&amp;"|"&amp;O631)</f>
        <v/>
      </c>
    </row>
    <row r="632">
      <c r="A632" s="60" t="n"/>
      <c r="B632" s="63" t="n"/>
      <c r="C632" s="63" t="n"/>
      <c r="D632" s="67" t="n"/>
      <c r="E632" s="68" t="n"/>
      <c r="F632" s="69" t="n"/>
      <c r="G632" s="70" t="n"/>
      <c r="H632" s="62" t="str">
        <f>IF(COUNTA(A632:G632)=0,"",IF(C632&lt;&gt;"",C632,IF(B632="","",IFERROR(INDEX(pr_des,MATCH(B632,pr_code,0))&amp;"",""))))</f>
        <v/>
      </c>
      <c r="I632" s="59" t="str">
        <f>IF(B632="","",IFERROR(INDEX(pr_unit,MATCH(B632,pr_code,0))&amp;"",""))</f>
        <v/>
      </c>
      <c r="J632" s="65" t="str">
        <f>IF(COUNTA(A632:G632)=0,"",IF(E632&lt;&gt;"",E632,IF(B632="","",IFERROR(IF(INDEX(pr_price,MATCH(B632,pr_code,0))="","",INDEX(pr_price,MATCH(B632,pr_code,0))),""))))</f>
        <v/>
      </c>
      <c r="K632" s="71" t="str">
        <f>IF(COUNTA(A632:G632)=0,"",IF(G632&lt;&gt;"",G632,IF(B632="","",IFERROR(IF(INDEX(pr_rate,MATCH(B632,pr_code,0))="","",INDEX(pr_rate,MATCH(B632,pr_code,0))),""))))</f>
        <v/>
      </c>
      <c r="L632" s="65" t="str">
        <f>IF(COUNTA(A632:G632)=0,"",IF(AND(ISNUMBER(D632),ISNUMBER(J632)),ROUND(D632*J632*(1-N(F632)),2),0))</f>
        <v/>
      </c>
      <c r="M632" s="62" t="str">
        <f>IF(A632="","",IFERROR(INDEX(fa_cname,MATCH(A632,fa_num,0))&amp;"",""))</f>
        <v/>
      </c>
      <c r="N632" s="59" t="str">
        <f>IF(COUNTA(A632:G632)=0,"",IF(A632="","N° facture manquant",IF(ISNA(MATCH(A632,fa_num,0)),"Facture inconnue",IF(AND(B632&lt;&gt;"",ISNA(MATCH(B632,pr_code,0))),"Article inconnu",IF(H632="","Désignation manquante",IF(OR(NOT(ISNUMBER(D632)),N(D632)&lt;=0),"Quantité invalide",IF(J632="","Prix manquant",IF(OR(NOT(ISNUMBER(J632)),N(J632)&lt;0),"Prix invalide",IF(OR(AND(F632&lt;&gt;"",NOT(ISNUMBER(F632))),N(F632)&lt;0,N(F632)&gt;1),"Remise invalide",IF(K632="","Taux de TVA manquant",IF(NOT(ISNUMBER(K632)),"Taux de TVA invalide",IF(COUNTIF(p_rates,K632)=0,"Taux de TVA hors liste (Paramètres)",IF(N(O632)&gt;25,"Au-delà de 25 lignes : non imprimée","OK")))))))))))))</f>
        <v/>
      </c>
      <c r="O632" s="59" t="str">
        <f>IF(A632="","",COUNTIF($A$6:A632,A632))</f>
        <v/>
      </c>
      <c r="P632" s="62" t="str">
        <f>IF(A632="","",A632&amp;"|"&amp;O632)</f>
        <v/>
      </c>
    </row>
    <row r="633">
      <c r="A633" s="60" t="n"/>
      <c r="B633" s="63" t="n"/>
      <c r="C633" s="63" t="n"/>
      <c r="D633" s="67" t="n"/>
      <c r="E633" s="68" t="n"/>
      <c r="F633" s="69" t="n"/>
      <c r="G633" s="70" t="n"/>
      <c r="H633" s="62" t="str">
        <f>IF(COUNTA(A633:G633)=0,"",IF(C633&lt;&gt;"",C633,IF(B633="","",IFERROR(INDEX(pr_des,MATCH(B633,pr_code,0))&amp;"",""))))</f>
        <v/>
      </c>
      <c r="I633" s="59" t="str">
        <f>IF(B633="","",IFERROR(INDEX(pr_unit,MATCH(B633,pr_code,0))&amp;"",""))</f>
        <v/>
      </c>
      <c r="J633" s="65" t="str">
        <f>IF(COUNTA(A633:G633)=0,"",IF(E633&lt;&gt;"",E633,IF(B633="","",IFERROR(IF(INDEX(pr_price,MATCH(B633,pr_code,0))="","",INDEX(pr_price,MATCH(B633,pr_code,0))),""))))</f>
        <v/>
      </c>
      <c r="K633" s="71" t="str">
        <f>IF(COUNTA(A633:G633)=0,"",IF(G633&lt;&gt;"",G633,IF(B633="","",IFERROR(IF(INDEX(pr_rate,MATCH(B633,pr_code,0))="","",INDEX(pr_rate,MATCH(B633,pr_code,0))),""))))</f>
        <v/>
      </c>
      <c r="L633" s="65" t="str">
        <f>IF(COUNTA(A633:G633)=0,"",IF(AND(ISNUMBER(D633),ISNUMBER(J633)),ROUND(D633*J633*(1-N(F633)),2),0))</f>
        <v/>
      </c>
      <c r="M633" s="62" t="str">
        <f>IF(A633="","",IFERROR(INDEX(fa_cname,MATCH(A633,fa_num,0))&amp;"",""))</f>
        <v/>
      </c>
      <c r="N633" s="59" t="str">
        <f>IF(COUNTA(A633:G633)=0,"",IF(A633="","N° facture manquant",IF(ISNA(MATCH(A633,fa_num,0)),"Facture inconnue",IF(AND(B633&lt;&gt;"",ISNA(MATCH(B633,pr_code,0))),"Article inconnu",IF(H633="","Désignation manquante",IF(OR(NOT(ISNUMBER(D633)),N(D633)&lt;=0),"Quantité invalide",IF(J633="","Prix manquant",IF(OR(NOT(ISNUMBER(J633)),N(J633)&lt;0),"Prix invalide",IF(OR(AND(F633&lt;&gt;"",NOT(ISNUMBER(F633))),N(F633)&lt;0,N(F633)&gt;1),"Remise invalide",IF(K633="","Taux de TVA manquant",IF(NOT(ISNUMBER(K633)),"Taux de TVA invalide",IF(COUNTIF(p_rates,K633)=0,"Taux de TVA hors liste (Paramètres)",IF(N(O633)&gt;25,"Au-delà de 25 lignes : non imprimée","OK")))))))))))))</f>
        <v/>
      </c>
      <c r="O633" s="59" t="str">
        <f>IF(A633="","",COUNTIF($A$6:A633,A633))</f>
        <v/>
      </c>
      <c r="P633" s="62" t="str">
        <f>IF(A633="","",A633&amp;"|"&amp;O633)</f>
        <v/>
      </c>
    </row>
    <row r="634">
      <c r="A634" s="60" t="n"/>
      <c r="B634" s="63" t="n"/>
      <c r="C634" s="63" t="n"/>
      <c r="D634" s="67" t="n"/>
      <c r="E634" s="68" t="n"/>
      <c r="F634" s="69" t="n"/>
      <c r="G634" s="70" t="n"/>
      <c r="H634" s="62" t="str">
        <f>IF(COUNTA(A634:G634)=0,"",IF(C634&lt;&gt;"",C634,IF(B634="","",IFERROR(INDEX(pr_des,MATCH(B634,pr_code,0))&amp;"",""))))</f>
        <v/>
      </c>
      <c r="I634" s="59" t="str">
        <f>IF(B634="","",IFERROR(INDEX(pr_unit,MATCH(B634,pr_code,0))&amp;"",""))</f>
        <v/>
      </c>
      <c r="J634" s="65" t="str">
        <f>IF(COUNTA(A634:G634)=0,"",IF(E634&lt;&gt;"",E634,IF(B634="","",IFERROR(IF(INDEX(pr_price,MATCH(B634,pr_code,0))="","",INDEX(pr_price,MATCH(B634,pr_code,0))),""))))</f>
        <v/>
      </c>
      <c r="K634" s="71" t="str">
        <f>IF(COUNTA(A634:G634)=0,"",IF(G634&lt;&gt;"",G634,IF(B634="","",IFERROR(IF(INDEX(pr_rate,MATCH(B634,pr_code,0))="","",INDEX(pr_rate,MATCH(B634,pr_code,0))),""))))</f>
        <v/>
      </c>
      <c r="L634" s="65" t="str">
        <f>IF(COUNTA(A634:G634)=0,"",IF(AND(ISNUMBER(D634),ISNUMBER(J634)),ROUND(D634*J634*(1-N(F634)),2),0))</f>
        <v/>
      </c>
      <c r="M634" s="62" t="str">
        <f>IF(A634="","",IFERROR(INDEX(fa_cname,MATCH(A634,fa_num,0))&amp;"",""))</f>
        <v/>
      </c>
      <c r="N634" s="59" t="str">
        <f>IF(COUNTA(A634:G634)=0,"",IF(A634="","N° facture manquant",IF(ISNA(MATCH(A634,fa_num,0)),"Facture inconnue",IF(AND(B634&lt;&gt;"",ISNA(MATCH(B634,pr_code,0))),"Article inconnu",IF(H634="","Désignation manquante",IF(OR(NOT(ISNUMBER(D634)),N(D634)&lt;=0),"Quantité invalide",IF(J634="","Prix manquant",IF(OR(NOT(ISNUMBER(J634)),N(J634)&lt;0),"Prix invalide",IF(OR(AND(F634&lt;&gt;"",NOT(ISNUMBER(F634))),N(F634)&lt;0,N(F634)&gt;1),"Remise invalide",IF(K634="","Taux de TVA manquant",IF(NOT(ISNUMBER(K634)),"Taux de TVA invalide",IF(COUNTIF(p_rates,K634)=0,"Taux de TVA hors liste (Paramètres)",IF(N(O634)&gt;25,"Au-delà de 25 lignes : non imprimée","OK")))))))))))))</f>
        <v/>
      </c>
      <c r="O634" s="59" t="str">
        <f>IF(A634="","",COUNTIF($A$6:A634,A634))</f>
        <v/>
      </c>
      <c r="P634" s="62" t="str">
        <f>IF(A634="","",A634&amp;"|"&amp;O634)</f>
        <v/>
      </c>
    </row>
    <row r="635">
      <c r="A635" s="60" t="n"/>
      <c r="B635" s="63" t="n"/>
      <c r="C635" s="63" t="n"/>
      <c r="D635" s="67" t="n"/>
      <c r="E635" s="68" t="n"/>
      <c r="F635" s="69" t="n"/>
      <c r="G635" s="70" t="n"/>
      <c r="H635" s="62" t="str">
        <f>IF(COUNTA(A635:G635)=0,"",IF(C635&lt;&gt;"",C635,IF(B635="","",IFERROR(INDEX(pr_des,MATCH(B635,pr_code,0))&amp;"",""))))</f>
        <v/>
      </c>
      <c r="I635" s="59" t="str">
        <f>IF(B635="","",IFERROR(INDEX(pr_unit,MATCH(B635,pr_code,0))&amp;"",""))</f>
        <v/>
      </c>
      <c r="J635" s="65" t="str">
        <f>IF(COUNTA(A635:G635)=0,"",IF(E635&lt;&gt;"",E635,IF(B635="","",IFERROR(IF(INDEX(pr_price,MATCH(B635,pr_code,0))="","",INDEX(pr_price,MATCH(B635,pr_code,0))),""))))</f>
        <v/>
      </c>
      <c r="K635" s="71" t="str">
        <f>IF(COUNTA(A635:G635)=0,"",IF(G635&lt;&gt;"",G635,IF(B635="","",IFERROR(IF(INDEX(pr_rate,MATCH(B635,pr_code,0))="","",INDEX(pr_rate,MATCH(B635,pr_code,0))),""))))</f>
        <v/>
      </c>
      <c r="L635" s="65" t="str">
        <f>IF(COUNTA(A635:G635)=0,"",IF(AND(ISNUMBER(D635),ISNUMBER(J635)),ROUND(D635*J635*(1-N(F635)),2),0))</f>
        <v/>
      </c>
      <c r="M635" s="62" t="str">
        <f>IF(A635="","",IFERROR(INDEX(fa_cname,MATCH(A635,fa_num,0))&amp;"",""))</f>
        <v/>
      </c>
      <c r="N635" s="59" t="str">
        <f>IF(COUNTA(A635:G635)=0,"",IF(A635="","N° facture manquant",IF(ISNA(MATCH(A635,fa_num,0)),"Facture inconnue",IF(AND(B635&lt;&gt;"",ISNA(MATCH(B635,pr_code,0))),"Article inconnu",IF(H635="","Désignation manquante",IF(OR(NOT(ISNUMBER(D635)),N(D635)&lt;=0),"Quantité invalide",IF(J635="","Prix manquant",IF(OR(NOT(ISNUMBER(J635)),N(J635)&lt;0),"Prix invalide",IF(OR(AND(F635&lt;&gt;"",NOT(ISNUMBER(F635))),N(F635)&lt;0,N(F635)&gt;1),"Remise invalide",IF(K635="","Taux de TVA manquant",IF(NOT(ISNUMBER(K635)),"Taux de TVA invalide",IF(COUNTIF(p_rates,K635)=0,"Taux de TVA hors liste (Paramètres)",IF(N(O635)&gt;25,"Au-delà de 25 lignes : non imprimée","OK")))))))))))))</f>
        <v/>
      </c>
      <c r="O635" s="59" t="str">
        <f>IF(A635="","",COUNTIF($A$6:A635,A635))</f>
        <v/>
      </c>
      <c r="P635" s="62" t="str">
        <f>IF(A635="","",A635&amp;"|"&amp;O635)</f>
        <v/>
      </c>
    </row>
    <row r="636">
      <c r="A636" s="60" t="n"/>
      <c r="B636" s="63" t="n"/>
      <c r="C636" s="63" t="n"/>
      <c r="D636" s="67" t="n"/>
      <c r="E636" s="68" t="n"/>
      <c r="F636" s="69" t="n"/>
      <c r="G636" s="70" t="n"/>
      <c r="H636" s="62" t="str">
        <f>IF(COUNTA(A636:G636)=0,"",IF(C636&lt;&gt;"",C636,IF(B636="","",IFERROR(INDEX(pr_des,MATCH(B636,pr_code,0))&amp;"",""))))</f>
        <v/>
      </c>
      <c r="I636" s="59" t="str">
        <f>IF(B636="","",IFERROR(INDEX(pr_unit,MATCH(B636,pr_code,0))&amp;"",""))</f>
        <v/>
      </c>
      <c r="J636" s="65" t="str">
        <f>IF(COUNTA(A636:G636)=0,"",IF(E636&lt;&gt;"",E636,IF(B636="","",IFERROR(IF(INDEX(pr_price,MATCH(B636,pr_code,0))="","",INDEX(pr_price,MATCH(B636,pr_code,0))),""))))</f>
        <v/>
      </c>
      <c r="K636" s="71" t="str">
        <f>IF(COUNTA(A636:G636)=0,"",IF(G636&lt;&gt;"",G636,IF(B636="","",IFERROR(IF(INDEX(pr_rate,MATCH(B636,pr_code,0))="","",INDEX(pr_rate,MATCH(B636,pr_code,0))),""))))</f>
        <v/>
      </c>
      <c r="L636" s="65" t="str">
        <f>IF(COUNTA(A636:G636)=0,"",IF(AND(ISNUMBER(D636),ISNUMBER(J636)),ROUND(D636*J636*(1-N(F636)),2),0))</f>
        <v/>
      </c>
      <c r="M636" s="62" t="str">
        <f>IF(A636="","",IFERROR(INDEX(fa_cname,MATCH(A636,fa_num,0))&amp;"",""))</f>
        <v/>
      </c>
      <c r="N636" s="59" t="str">
        <f>IF(COUNTA(A636:G636)=0,"",IF(A636="","N° facture manquant",IF(ISNA(MATCH(A636,fa_num,0)),"Facture inconnue",IF(AND(B636&lt;&gt;"",ISNA(MATCH(B636,pr_code,0))),"Article inconnu",IF(H636="","Désignation manquante",IF(OR(NOT(ISNUMBER(D636)),N(D636)&lt;=0),"Quantité invalide",IF(J636="","Prix manquant",IF(OR(NOT(ISNUMBER(J636)),N(J636)&lt;0),"Prix invalide",IF(OR(AND(F636&lt;&gt;"",NOT(ISNUMBER(F636))),N(F636)&lt;0,N(F636)&gt;1),"Remise invalide",IF(K636="","Taux de TVA manquant",IF(NOT(ISNUMBER(K636)),"Taux de TVA invalide",IF(COUNTIF(p_rates,K636)=0,"Taux de TVA hors liste (Paramètres)",IF(N(O636)&gt;25,"Au-delà de 25 lignes : non imprimée","OK")))))))))))))</f>
        <v/>
      </c>
      <c r="O636" s="59" t="str">
        <f>IF(A636="","",COUNTIF($A$6:A636,A636))</f>
        <v/>
      </c>
      <c r="P636" s="62" t="str">
        <f>IF(A636="","",A636&amp;"|"&amp;O636)</f>
        <v/>
      </c>
    </row>
    <row r="637">
      <c r="A637" s="60" t="n"/>
      <c r="B637" s="63" t="n"/>
      <c r="C637" s="63" t="n"/>
      <c r="D637" s="67" t="n"/>
      <c r="E637" s="68" t="n"/>
      <c r="F637" s="69" t="n"/>
      <c r="G637" s="70" t="n"/>
      <c r="H637" s="62" t="str">
        <f>IF(COUNTA(A637:G637)=0,"",IF(C637&lt;&gt;"",C637,IF(B637="","",IFERROR(INDEX(pr_des,MATCH(B637,pr_code,0))&amp;"",""))))</f>
        <v/>
      </c>
      <c r="I637" s="59" t="str">
        <f>IF(B637="","",IFERROR(INDEX(pr_unit,MATCH(B637,pr_code,0))&amp;"",""))</f>
        <v/>
      </c>
      <c r="J637" s="65" t="str">
        <f>IF(COUNTA(A637:G637)=0,"",IF(E637&lt;&gt;"",E637,IF(B637="","",IFERROR(IF(INDEX(pr_price,MATCH(B637,pr_code,0))="","",INDEX(pr_price,MATCH(B637,pr_code,0))),""))))</f>
        <v/>
      </c>
      <c r="K637" s="71" t="str">
        <f>IF(COUNTA(A637:G637)=0,"",IF(G637&lt;&gt;"",G637,IF(B637="","",IFERROR(IF(INDEX(pr_rate,MATCH(B637,pr_code,0))="","",INDEX(pr_rate,MATCH(B637,pr_code,0))),""))))</f>
        <v/>
      </c>
      <c r="L637" s="65" t="str">
        <f>IF(COUNTA(A637:G637)=0,"",IF(AND(ISNUMBER(D637),ISNUMBER(J637)),ROUND(D637*J637*(1-N(F637)),2),0))</f>
        <v/>
      </c>
      <c r="M637" s="62" t="str">
        <f>IF(A637="","",IFERROR(INDEX(fa_cname,MATCH(A637,fa_num,0))&amp;"",""))</f>
        <v/>
      </c>
      <c r="N637" s="59" t="str">
        <f>IF(COUNTA(A637:G637)=0,"",IF(A637="","N° facture manquant",IF(ISNA(MATCH(A637,fa_num,0)),"Facture inconnue",IF(AND(B637&lt;&gt;"",ISNA(MATCH(B637,pr_code,0))),"Article inconnu",IF(H637="","Désignation manquante",IF(OR(NOT(ISNUMBER(D637)),N(D637)&lt;=0),"Quantité invalide",IF(J637="","Prix manquant",IF(OR(NOT(ISNUMBER(J637)),N(J637)&lt;0),"Prix invalide",IF(OR(AND(F637&lt;&gt;"",NOT(ISNUMBER(F637))),N(F637)&lt;0,N(F637)&gt;1),"Remise invalide",IF(K637="","Taux de TVA manquant",IF(NOT(ISNUMBER(K637)),"Taux de TVA invalide",IF(COUNTIF(p_rates,K637)=0,"Taux de TVA hors liste (Paramètres)",IF(N(O637)&gt;25,"Au-delà de 25 lignes : non imprimée","OK")))))))))))))</f>
        <v/>
      </c>
      <c r="O637" s="59" t="str">
        <f>IF(A637="","",COUNTIF($A$6:A637,A637))</f>
        <v/>
      </c>
      <c r="P637" s="62" t="str">
        <f>IF(A637="","",A637&amp;"|"&amp;O637)</f>
        <v/>
      </c>
    </row>
    <row r="638">
      <c r="A638" s="60" t="n"/>
      <c r="B638" s="63" t="n"/>
      <c r="C638" s="63" t="n"/>
      <c r="D638" s="67" t="n"/>
      <c r="E638" s="68" t="n"/>
      <c r="F638" s="69" t="n"/>
      <c r="G638" s="70" t="n"/>
      <c r="H638" s="62" t="str">
        <f>IF(COUNTA(A638:G638)=0,"",IF(C638&lt;&gt;"",C638,IF(B638="","",IFERROR(INDEX(pr_des,MATCH(B638,pr_code,0))&amp;"",""))))</f>
        <v/>
      </c>
      <c r="I638" s="59" t="str">
        <f>IF(B638="","",IFERROR(INDEX(pr_unit,MATCH(B638,pr_code,0))&amp;"",""))</f>
        <v/>
      </c>
      <c r="J638" s="65" t="str">
        <f>IF(COUNTA(A638:G638)=0,"",IF(E638&lt;&gt;"",E638,IF(B638="","",IFERROR(IF(INDEX(pr_price,MATCH(B638,pr_code,0))="","",INDEX(pr_price,MATCH(B638,pr_code,0))),""))))</f>
        <v/>
      </c>
      <c r="K638" s="71" t="str">
        <f>IF(COUNTA(A638:G638)=0,"",IF(G638&lt;&gt;"",G638,IF(B638="","",IFERROR(IF(INDEX(pr_rate,MATCH(B638,pr_code,0))="","",INDEX(pr_rate,MATCH(B638,pr_code,0))),""))))</f>
        <v/>
      </c>
      <c r="L638" s="65" t="str">
        <f>IF(COUNTA(A638:G638)=0,"",IF(AND(ISNUMBER(D638),ISNUMBER(J638)),ROUND(D638*J638*(1-N(F638)),2),0))</f>
        <v/>
      </c>
      <c r="M638" s="62" t="str">
        <f>IF(A638="","",IFERROR(INDEX(fa_cname,MATCH(A638,fa_num,0))&amp;"",""))</f>
        <v/>
      </c>
      <c r="N638" s="59" t="str">
        <f>IF(COUNTA(A638:G638)=0,"",IF(A638="","N° facture manquant",IF(ISNA(MATCH(A638,fa_num,0)),"Facture inconnue",IF(AND(B638&lt;&gt;"",ISNA(MATCH(B638,pr_code,0))),"Article inconnu",IF(H638="","Désignation manquante",IF(OR(NOT(ISNUMBER(D638)),N(D638)&lt;=0),"Quantité invalide",IF(J638="","Prix manquant",IF(OR(NOT(ISNUMBER(J638)),N(J638)&lt;0),"Prix invalide",IF(OR(AND(F638&lt;&gt;"",NOT(ISNUMBER(F638))),N(F638)&lt;0,N(F638)&gt;1),"Remise invalide",IF(K638="","Taux de TVA manquant",IF(NOT(ISNUMBER(K638)),"Taux de TVA invalide",IF(COUNTIF(p_rates,K638)=0,"Taux de TVA hors liste (Paramètres)",IF(N(O638)&gt;25,"Au-delà de 25 lignes : non imprimée","OK")))))))))))))</f>
        <v/>
      </c>
      <c r="O638" s="59" t="str">
        <f>IF(A638="","",COUNTIF($A$6:A638,A638))</f>
        <v/>
      </c>
      <c r="P638" s="62" t="str">
        <f>IF(A638="","",A638&amp;"|"&amp;O638)</f>
        <v/>
      </c>
    </row>
    <row r="639">
      <c r="A639" s="60" t="n"/>
      <c r="B639" s="63" t="n"/>
      <c r="C639" s="63" t="n"/>
      <c r="D639" s="67" t="n"/>
      <c r="E639" s="68" t="n"/>
      <c r="F639" s="69" t="n"/>
      <c r="G639" s="70" t="n"/>
      <c r="H639" s="62" t="str">
        <f>IF(COUNTA(A639:G639)=0,"",IF(C639&lt;&gt;"",C639,IF(B639="","",IFERROR(INDEX(pr_des,MATCH(B639,pr_code,0))&amp;"",""))))</f>
        <v/>
      </c>
      <c r="I639" s="59" t="str">
        <f>IF(B639="","",IFERROR(INDEX(pr_unit,MATCH(B639,pr_code,0))&amp;"",""))</f>
        <v/>
      </c>
      <c r="J639" s="65" t="str">
        <f>IF(COUNTA(A639:G639)=0,"",IF(E639&lt;&gt;"",E639,IF(B639="","",IFERROR(IF(INDEX(pr_price,MATCH(B639,pr_code,0))="","",INDEX(pr_price,MATCH(B639,pr_code,0))),""))))</f>
        <v/>
      </c>
      <c r="K639" s="71" t="str">
        <f>IF(COUNTA(A639:G639)=0,"",IF(G639&lt;&gt;"",G639,IF(B639="","",IFERROR(IF(INDEX(pr_rate,MATCH(B639,pr_code,0))="","",INDEX(pr_rate,MATCH(B639,pr_code,0))),""))))</f>
        <v/>
      </c>
      <c r="L639" s="65" t="str">
        <f>IF(COUNTA(A639:G639)=0,"",IF(AND(ISNUMBER(D639),ISNUMBER(J639)),ROUND(D639*J639*(1-N(F639)),2),0))</f>
        <v/>
      </c>
      <c r="M639" s="62" t="str">
        <f>IF(A639="","",IFERROR(INDEX(fa_cname,MATCH(A639,fa_num,0))&amp;"",""))</f>
        <v/>
      </c>
      <c r="N639" s="59" t="str">
        <f>IF(COUNTA(A639:G639)=0,"",IF(A639="","N° facture manquant",IF(ISNA(MATCH(A639,fa_num,0)),"Facture inconnue",IF(AND(B639&lt;&gt;"",ISNA(MATCH(B639,pr_code,0))),"Article inconnu",IF(H639="","Désignation manquante",IF(OR(NOT(ISNUMBER(D639)),N(D639)&lt;=0),"Quantité invalide",IF(J639="","Prix manquant",IF(OR(NOT(ISNUMBER(J639)),N(J639)&lt;0),"Prix invalide",IF(OR(AND(F639&lt;&gt;"",NOT(ISNUMBER(F639))),N(F639)&lt;0,N(F639)&gt;1),"Remise invalide",IF(K639="","Taux de TVA manquant",IF(NOT(ISNUMBER(K639)),"Taux de TVA invalide",IF(COUNTIF(p_rates,K639)=0,"Taux de TVA hors liste (Paramètres)",IF(N(O639)&gt;25,"Au-delà de 25 lignes : non imprimée","OK")))))))))))))</f>
        <v/>
      </c>
      <c r="O639" s="59" t="str">
        <f>IF(A639="","",COUNTIF($A$6:A639,A639))</f>
        <v/>
      </c>
      <c r="P639" s="62" t="str">
        <f>IF(A639="","",A639&amp;"|"&amp;O639)</f>
        <v/>
      </c>
    </row>
    <row r="640">
      <c r="A640" s="60" t="n"/>
      <c r="B640" s="63" t="n"/>
      <c r="C640" s="63" t="n"/>
      <c r="D640" s="67" t="n"/>
      <c r="E640" s="68" t="n"/>
      <c r="F640" s="69" t="n"/>
      <c r="G640" s="70" t="n"/>
      <c r="H640" s="62" t="str">
        <f>IF(COUNTA(A640:G640)=0,"",IF(C640&lt;&gt;"",C640,IF(B640="","",IFERROR(INDEX(pr_des,MATCH(B640,pr_code,0))&amp;"",""))))</f>
        <v/>
      </c>
      <c r="I640" s="59" t="str">
        <f>IF(B640="","",IFERROR(INDEX(pr_unit,MATCH(B640,pr_code,0))&amp;"",""))</f>
        <v/>
      </c>
      <c r="J640" s="65" t="str">
        <f>IF(COUNTA(A640:G640)=0,"",IF(E640&lt;&gt;"",E640,IF(B640="","",IFERROR(IF(INDEX(pr_price,MATCH(B640,pr_code,0))="","",INDEX(pr_price,MATCH(B640,pr_code,0))),""))))</f>
        <v/>
      </c>
      <c r="K640" s="71" t="str">
        <f>IF(COUNTA(A640:G640)=0,"",IF(G640&lt;&gt;"",G640,IF(B640="","",IFERROR(IF(INDEX(pr_rate,MATCH(B640,pr_code,0))="","",INDEX(pr_rate,MATCH(B640,pr_code,0))),""))))</f>
        <v/>
      </c>
      <c r="L640" s="65" t="str">
        <f>IF(COUNTA(A640:G640)=0,"",IF(AND(ISNUMBER(D640),ISNUMBER(J640)),ROUND(D640*J640*(1-N(F640)),2),0))</f>
        <v/>
      </c>
      <c r="M640" s="62" t="str">
        <f>IF(A640="","",IFERROR(INDEX(fa_cname,MATCH(A640,fa_num,0))&amp;"",""))</f>
        <v/>
      </c>
      <c r="N640" s="59" t="str">
        <f>IF(COUNTA(A640:G640)=0,"",IF(A640="","N° facture manquant",IF(ISNA(MATCH(A640,fa_num,0)),"Facture inconnue",IF(AND(B640&lt;&gt;"",ISNA(MATCH(B640,pr_code,0))),"Article inconnu",IF(H640="","Désignation manquante",IF(OR(NOT(ISNUMBER(D640)),N(D640)&lt;=0),"Quantité invalide",IF(J640="","Prix manquant",IF(OR(NOT(ISNUMBER(J640)),N(J640)&lt;0),"Prix invalide",IF(OR(AND(F640&lt;&gt;"",NOT(ISNUMBER(F640))),N(F640)&lt;0,N(F640)&gt;1),"Remise invalide",IF(K640="","Taux de TVA manquant",IF(NOT(ISNUMBER(K640)),"Taux de TVA invalide",IF(COUNTIF(p_rates,K640)=0,"Taux de TVA hors liste (Paramètres)",IF(N(O640)&gt;25,"Au-delà de 25 lignes : non imprimée","OK")))))))))))))</f>
        <v/>
      </c>
      <c r="O640" s="59" t="str">
        <f>IF(A640="","",COUNTIF($A$6:A640,A640))</f>
        <v/>
      </c>
      <c r="P640" s="62" t="str">
        <f>IF(A640="","",A640&amp;"|"&amp;O640)</f>
        <v/>
      </c>
    </row>
    <row r="641">
      <c r="A641" s="60" t="n"/>
      <c r="B641" s="63" t="n"/>
      <c r="C641" s="63" t="n"/>
      <c r="D641" s="67" t="n"/>
      <c r="E641" s="68" t="n"/>
      <c r="F641" s="69" t="n"/>
      <c r="G641" s="70" t="n"/>
      <c r="H641" s="62" t="str">
        <f>IF(COUNTA(A641:G641)=0,"",IF(C641&lt;&gt;"",C641,IF(B641="","",IFERROR(INDEX(pr_des,MATCH(B641,pr_code,0))&amp;"",""))))</f>
        <v/>
      </c>
      <c r="I641" s="59" t="str">
        <f>IF(B641="","",IFERROR(INDEX(pr_unit,MATCH(B641,pr_code,0))&amp;"",""))</f>
        <v/>
      </c>
      <c r="J641" s="65" t="str">
        <f>IF(COUNTA(A641:G641)=0,"",IF(E641&lt;&gt;"",E641,IF(B641="","",IFERROR(IF(INDEX(pr_price,MATCH(B641,pr_code,0))="","",INDEX(pr_price,MATCH(B641,pr_code,0))),""))))</f>
        <v/>
      </c>
      <c r="K641" s="71" t="str">
        <f>IF(COUNTA(A641:G641)=0,"",IF(G641&lt;&gt;"",G641,IF(B641="","",IFERROR(IF(INDEX(pr_rate,MATCH(B641,pr_code,0))="","",INDEX(pr_rate,MATCH(B641,pr_code,0))),""))))</f>
        <v/>
      </c>
      <c r="L641" s="65" t="str">
        <f>IF(COUNTA(A641:G641)=0,"",IF(AND(ISNUMBER(D641),ISNUMBER(J641)),ROUND(D641*J641*(1-N(F641)),2),0))</f>
        <v/>
      </c>
      <c r="M641" s="62" t="str">
        <f>IF(A641="","",IFERROR(INDEX(fa_cname,MATCH(A641,fa_num,0))&amp;"",""))</f>
        <v/>
      </c>
      <c r="N641" s="59" t="str">
        <f>IF(COUNTA(A641:G641)=0,"",IF(A641="","N° facture manquant",IF(ISNA(MATCH(A641,fa_num,0)),"Facture inconnue",IF(AND(B641&lt;&gt;"",ISNA(MATCH(B641,pr_code,0))),"Article inconnu",IF(H641="","Désignation manquante",IF(OR(NOT(ISNUMBER(D641)),N(D641)&lt;=0),"Quantité invalide",IF(J641="","Prix manquant",IF(OR(NOT(ISNUMBER(J641)),N(J641)&lt;0),"Prix invalide",IF(OR(AND(F641&lt;&gt;"",NOT(ISNUMBER(F641))),N(F641)&lt;0,N(F641)&gt;1),"Remise invalide",IF(K641="","Taux de TVA manquant",IF(NOT(ISNUMBER(K641)),"Taux de TVA invalide",IF(COUNTIF(p_rates,K641)=0,"Taux de TVA hors liste (Paramètres)",IF(N(O641)&gt;25,"Au-delà de 25 lignes : non imprimée","OK")))))))))))))</f>
        <v/>
      </c>
      <c r="O641" s="59" t="str">
        <f>IF(A641="","",COUNTIF($A$6:A641,A641))</f>
        <v/>
      </c>
      <c r="P641" s="62" t="str">
        <f>IF(A641="","",A641&amp;"|"&amp;O641)</f>
        <v/>
      </c>
    </row>
    <row r="642">
      <c r="A642" s="60" t="n"/>
      <c r="B642" s="63" t="n"/>
      <c r="C642" s="63" t="n"/>
      <c r="D642" s="67" t="n"/>
      <c r="E642" s="68" t="n"/>
      <c r="F642" s="69" t="n"/>
      <c r="G642" s="70" t="n"/>
      <c r="H642" s="62" t="str">
        <f>IF(COUNTA(A642:G642)=0,"",IF(C642&lt;&gt;"",C642,IF(B642="","",IFERROR(INDEX(pr_des,MATCH(B642,pr_code,0))&amp;"",""))))</f>
        <v/>
      </c>
      <c r="I642" s="59" t="str">
        <f>IF(B642="","",IFERROR(INDEX(pr_unit,MATCH(B642,pr_code,0))&amp;"",""))</f>
        <v/>
      </c>
      <c r="J642" s="65" t="str">
        <f>IF(COUNTA(A642:G642)=0,"",IF(E642&lt;&gt;"",E642,IF(B642="","",IFERROR(IF(INDEX(pr_price,MATCH(B642,pr_code,0))="","",INDEX(pr_price,MATCH(B642,pr_code,0))),""))))</f>
        <v/>
      </c>
      <c r="K642" s="71" t="str">
        <f>IF(COUNTA(A642:G642)=0,"",IF(G642&lt;&gt;"",G642,IF(B642="","",IFERROR(IF(INDEX(pr_rate,MATCH(B642,pr_code,0))="","",INDEX(pr_rate,MATCH(B642,pr_code,0))),""))))</f>
        <v/>
      </c>
      <c r="L642" s="65" t="str">
        <f>IF(COUNTA(A642:G642)=0,"",IF(AND(ISNUMBER(D642),ISNUMBER(J642)),ROUND(D642*J642*(1-N(F642)),2),0))</f>
        <v/>
      </c>
      <c r="M642" s="62" t="str">
        <f>IF(A642="","",IFERROR(INDEX(fa_cname,MATCH(A642,fa_num,0))&amp;"",""))</f>
        <v/>
      </c>
      <c r="N642" s="59" t="str">
        <f>IF(COUNTA(A642:G642)=0,"",IF(A642="","N° facture manquant",IF(ISNA(MATCH(A642,fa_num,0)),"Facture inconnue",IF(AND(B642&lt;&gt;"",ISNA(MATCH(B642,pr_code,0))),"Article inconnu",IF(H642="","Désignation manquante",IF(OR(NOT(ISNUMBER(D642)),N(D642)&lt;=0),"Quantité invalide",IF(J642="","Prix manquant",IF(OR(NOT(ISNUMBER(J642)),N(J642)&lt;0),"Prix invalide",IF(OR(AND(F642&lt;&gt;"",NOT(ISNUMBER(F642))),N(F642)&lt;0,N(F642)&gt;1),"Remise invalide",IF(K642="","Taux de TVA manquant",IF(NOT(ISNUMBER(K642)),"Taux de TVA invalide",IF(COUNTIF(p_rates,K642)=0,"Taux de TVA hors liste (Paramètres)",IF(N(O642)&gt;25,"Au-delà de 25 lignes : non imprimée","OK")))))))))))))</f>
        <v/>
      </c>
      <c r="O642" s="59" t="str">
        <f>IF(A642="","",COUNTIF($A$6:A642,A642))</f>
        <v/>
      </c>
      <c r="P642" s="62" t="str">
        <f>IF(A642="","",A642&amp;"|"&amp;O642)</f>
        <v/>
      </c>
    </row>
    <row r="643">
      <c r="A643" s="60" t="n"/>
      <c r="B643" s="63" t="n"/>
      <c r="C643" s="63" t="n"/>
      <c r="D643" s="67" t="n"/>
      <c r="E643" s="68" t="n"/>
      <c r="F643" s="69" t="n"/>
      <c r="G643" s="70" t="n"/>
      <c r="H643" s="62" t="str">
        <f>IF(COUNTA(A643:G643)=0,"",IF(C643&lt;&gt;"",C643,IF(B643="","",IFERROR(INDEX(pr_des,MATCH(B643,pr_code,0))&amp;"",""))))</f>
        <v/>
      </c>
      <c r="I643" s="59" t="str">
        <f>IF(B643="","",IFERROR(INDEX(pr_unit,MATCH(B643,pr_code,0))&amp;"",""))</f>
        <v/>
      </c>
      <c r="J643" s="65" t="str">
        <f>IF(COUNTA(A643:G643)=0,"",IF(E643&lt;&gt;"",E643,IF(B643="","",IFERROR(IF(INDEX(pr_price,MATCH(B643,pr_code,0))="","",INDEX(pr_price,MATCH(B643,pr_code,0))),""))))</f>
        <v/>
      </c>
      <c r="K643" s="71" t="str">
        <f>IF(COUNTA(A643:G643)=0,"",IF(G643&lt;&gt;"",G643,IF(B643="","",IFERROR(IF(INDEX(pr_rate,MATCH(B643,pr_code,0))="","",INDEX(pr_rate,MATCH(B643,pr_code,0))),""))))</f>
        <v/>
      </c>
      <c r="L643" s="65" t="str">
        <f>IF(COUNTA(A643:G643)=0,"",IF(AND(ISNUMBER(D643),ISNUMBER(J643)),ROUND(D643*J643*(1-N(F643)),2),0))</f>
        <v/>
      </c>
      <c r="M643" s="62" t="str">
        <f>IF(A643="","",IFERROR(INDEX(fa_cname,MATCH(A643,fa_num,0))&amp;"",""))</f>
        <v/>
      </c>
      <c r="N643" s="59" t="str">
        <f>IF(COUNTA(A643:G643)=0,"",IF(A643="","N° facture manquant",IF(ISNA(MATCH(A643,fa_num,0)),"Facture inconnue",IF(AND(B643&lt;&gt;"",ISNA(MATCH(B643,pr_code,0))),"Article inconnu",IF(H643="","Désignation manquante",IF(OR(NOT(ISNUMBER(D643)),N(D643)&lt;=0),"Quantité invalide",IF(J643="","Prix manquant",IF(OR(NOT(ISNUMBER(J643)),N(J643)&lt;0),"Prix invalide",IF(OR(AND(F643&lt;&gt;"",NOT(ISNUMBER(F643))),N(F643)&lt;0,N(F643)&gt;1),"Remise invalide",IF(K643="","Taux de TVA manquant",IF(NOT(ISNUMBER(K643)),"Taux de TVA invalide",IF(COUNTIF(p_rates,K643)=0,"Taux de TVA hors liste (Paramètres)",IF(N(O643)&gt;25,"Au-delà de 25 lignes : non imprimée","OK")))))))))))))</f>
        <v/>
      </c>
      <c r="O643" s="59" t="str">
        <f>IF(A643="","",COUNTIF($A$6:A643,A643))</f>
        <v/>
      </c>
      <c r="P643" s="62" t="str">
        <f>IF(A643="","",A643&amp;"|"&amp;O643)</f>
        <v/>
      </c>
    </row>
    <row r="644">
      <c r="A644" s="60" t="n"/>
      <c r="B644" s="63" t="n"/>
      <c r="C644" s="63" t="n"/>
      <c r="D644" s="67" t="n"/>
      <c r="E644" s="68" t="n"/>
      <c r="F644" s="69" t="n"/>
      <c r="G644" s="70" t="n"/>
      <c r="H644" s="62" t="str">
        <f>IF(COUNTA(A644:G644)=0,"",IF(C644&lt;&gt;"",C644,IF(B644="","",IFERROR(INDEX(pr_des,MATCH(B644,pr_code,0))&amp;"",""))))</f>
        <v/>
      </c>
      <c r="I644" s="59" t="str">
        <f>IF(B644="","",IFERROR(INDEX(pr_unit,MATCH(B644,pr_code,0))&amp;"",""))</f>
        <v/>
      </c>
      <c r="J644" s="65" t="str">
        <f>IF(COUNTA(A644:G644)=0,"",IF(E644&lt;&gt;"",E644,IF(B644="","",IFERROR(IF(INDEX(pr_price,MATCH(B644,pr_code,0))="","",INDEX(pr_price,MATCH(B644,pr_code,0))),""))))</f>
        <v/>
      </c>
      <c r="K644" s="71" t="str">
        <f>IF(COUNTA(A644:G644)=0,"",IF(G644&lt;&gt;"",G644,IF(B644="","",IFERROR(IF(INDEX(pr_rate,MATCH(B644,pr_code,0))="","",INDEX(pr_rate,MATCH(B644,pr_code,0))),""))))</f>
        <v/>
      </c>
      <c r="L644" s="65" t="str">
        <f>IF(COUNTA(A644:G644)=0,"",IF(AND(ISNUMBER(D644),ISNUMBER(J644)),ROUND(D644*J644*(1-N(F644)),2),0))</f>
        <v/>
      </c>
      <c r="M644" s="62" t="str">
        <f>IF(A644="","",IFERROR(INDEX(fa_cname,MATCH(A644,fa_num,0))&amp;"",""))</f>
        <v/>
      </c>
      <c r="N644" s="59" t="str">
        <f>IF(COUNTA(A644:G644)=0,"",IF(A644="","N° facture manquant",IF(ISNA(MATCH(A644,fa_num,0)),"Facture inconnue",IF(AND(B644&lt;&gt;"",ISNA(MATCH(B644,pr_code,0))),"Article inconnu",IF(H644="","Désignation manquante",IF(OR(NOT(ISNUMBER(D644)),N(D644)&lt;=0),"Quantité invalide",IF(J644="","Prix manquant",IF(OR(NOT(ISNUMBER(J644)),N(J644)&lt;0),"Prix invalide",IF(OR(AND(F644&lt;&gt;"",NOT(ISNUMBER(F644))),N(F644)&lt;0,N(F644)&gt;1),"Remise invalide",IF(K644="","Taux de TVA manquant",IF(NOT(ISNUMBER(K644)),"Taux de TVA invalide",IF(COUNTIF(p_rates,K644)=0,"Taux de TVA hors liste (Paramètres)",IF(N(O644)&gt;25,"Au-delà de 25 lignes : non imprimée","OK")))))))))))))</f>
        <v/>
      </c>
      <c r="O644" s="59" t="str">
        <f>IF(A644="","",COUNTIF($A$6:A644,A644))</f>
        <v/>
      </c>
      <c r="P644" s="62" t="str">
        <f>IF(A644="","",A644&amp;"|"&amp;O644)</f>
        <v/>
      </c>
    </row>
    <row r="645">
      <c r="A645" s="60" t="n"/>
      <c r="B645" s="63" t="n"/>
      <c r="C645" s="63" t="n"/>
      <c r="D645" s="67" t="n"/>
      <c r="E645" s="68" t="n"/>
      <c r="F645" s="69" t="n"/>
      <c r="G645" s="70" t="n"/>
      <c r="H645" s="62" t="str">
        <f>IF(COUNTA(A645:G645)=0,"",IF(C645&lt;&gt;"",C645,IF(B645="","",IFERROR(INDEX(pr_des,MATCH(B645,pr_code,0))&amp;"",""))))</f>
        <v/>
      </c>
      <c r="I645" s="59" t="str">
        <f>IF(B645="","",IFERROR(INDEX(pr_unit,MATCH(B645,pr_code,0))&amp;"",""))</f>
        <v/>
      </c>
      <c r="J645" s="65" t="str">
        <f>IF(COUNTA(A645:G645)=0,"",IF(E645&lt;&gt;"",E645,IF(B645="","",IFERROR(IF(INDEX(pr_price,MATCH(B645,pr_code,0))="","",INDEX(pr_price,MATCH(B645,pr_code,0))),""))))</f>
        <v/>
      </c>
      <c r="K645" s="71" t="str">
        <f>IF(COUNTA(A645:G645)=0,"",IF(G645&lt;&gt;"",G645,IF(B645="","",IFERROR(IF(INDEX(pr_rate,MATCH(B645,pr_code,0))="","",INDEX(pr_rate,MATCH(B645,pr_code,0))),""))))</f>
        <v/>
      </c>
      <c r="L645" s="65" t="str">
        <f>IF(COUNTA(A645:G645)=0,"",IF(AND(ISNUMBER(D645),ISNUMBER(J645)),ROUND(D645*J645*(1-N(F645)),2),0))</f>
        <v/>
      </c>
      <c r="M645" s="62" t="str">
        <f>IF(A645="","",IFERROR(INDEX(fa_cname,MATCH(A645,fa_num,0))&amp;"",""))</f>
        <v/>
      </c>
      <c r="N645" s="59" t="str">
        <f>IF(COUNTA(A645:G645)=0,"",IF(A645="","N° facture manquant",IF(ISNA(MATCH(A645,fa_num,0)),"Facture inconnue",IF(AND(B645&lt;&gt;"",ISNA(MATCH(B645,pr_code,0))),"Article inconnu",IF(H645="","Désignation manquante",IF(OR(NOT(ISNUMBER(D645)),N(D645)&lt;=0),"Quantité invalide",IF(J645="","Prix manquant",IF(OR(NOT(ISNUMBER(J645)),N(J645)&lt;0),"Prix invalide",IF(OR(AND(F645&lt;&gt;"",NOT(ISNUMBER(F645))),N(F645)&lt;0,N(F645)&gt;1),"Remise invalide",IF(K645="","Taux de TVA manquant",IF(NOT(ISNUMBER(K645)),"Taux de TVA invalide",IF(COUNTIF(p_rates,K645)=0,"Taux de TVA hors liste (Paramètres)",IF(N(O645)&gt;25,"Au-delà de 25 lignes : non imprimée","OK")))))))))))))</f>
        <v/>
      </c>
      <c r="O645" s="59" t="str">
        <f>IF(A645="","",COUNTIF($A$6:A645,A645))</f>
        <v/>
      </c>
      <c r="P645" s="62" t="str">
        <f>IF(A645="","",A645&amp;"|"&amp;O645)</f>
        <v/>
      </c>
    </row>
    <row r="646">
      <c r="A646" s="60" t="n"/>
      <c r="B646" s="63" t="n"/>
      <c r="C646" s="63" t="n"/>
      <c r="D646" s="67" t="n"/>
      <c r="E646" s="68" t="n"/>
      <c r="F646" s="69" t="n"/>
      <c r="G646" s="70" t="n"/>
      <c r="H646" s="62" t="str">
        <f>IF(COUNTA(A646:G646)=0,"",IF(C646&lt;&gt;"",C646,IF(B646="","",IFERROR(INDEX(pr_des,MATCH(B646,pr_code,0))&amp;"",""))))</f>
        <v/>
      </c>
      <c r="I646" s="59" t="str">
        <f>IF(B646="","",IFERROR(INDEX(pr_unit,MATCH(B646,pr_code,0))&amp;"",""))</f>
        <v/>
      </c>
      <c r="J646" s="65" t="str">
        <f>IF(COUNTA(A646:G646)=0,"",IF(E646&lt;&gt;"",E646,IF(B646="","",IFERROR(IF(INDEX(pr_price,MATCH(B646,pr_code,0))="","",INDEX(pr_price,MATCH(B646,pr_code,0))),""))))</f>
        <v/>
      </c>
      <c r="K646" s="71" t="str">
        <f>IF(COUNTA(A646:G646)=0,"",IF(G646&lt;&gt;"",G646,IF(B646="","",IFERROR(IF(INDEX(pr_rate,MATCH(B646,pr_code,0))="","",INDEX(pr_rate,MATCH(B646,pr_code,0))),""))))</f>
        <v/>
      </c>
      <c r="L646" s="65" t="str">
        <f>IF(COUNTA(A646:G646)=0,"",IF(AND(ISNUMBER(D646),ISNUMBER(J646)),ROUND(D646*J646*(1-N(F646)),2),0))</f>
        <v/>
      </c>
      <c r="M646" s="62" t="str">
        <f>IF(A646="","",IFERROR(INDEX(fa_cname,MATCH(A646,fa_num,0))&amp;"",""))</f>
        <v/>
      </c>
      <c r="N646" s="59" t="str">
        <f>IF(COUNTA(A646:G646)=0,"",IF(A646="","N° facture manquant",IF(ISNA(MATCH(A646,fa_num,0)),"Facture inconnue",IF(AND(B646&lt;&gt;"",ISNA(MATCH(B646,pr_code,0))),"Article inconnu",IF(H646="","Désignation manquante",IF(OR(NOT(ISNUMBER(D646)),N(D646)&lt;=0),"Quantité invalide",IF(J646="","Prix manquant",IF(OR(NOT(ISNUMBER(J646)),N(J646)&lt;0),"Prix invalide",IF(OR(AND(F646&lt;&gt;"",NOT(ISNUMBER(F646))),N(F646)&lt;0,N(F646)&gt;1),"Remise invalide",IF(K646="","Taux de TVA manquant",IF(NOT(ISNUMBER(K646)),"Taux de TVA invalide",IF(COUNTIF(p_rates,K646)=0,"Taux de TVA hors liste (Paramètres)",IF(N(O646)&gt;25,"Au-delà de 25 lignes : non imprimée","OK")))))))))))))</f>
        <v/>
      </c>
      <c r="O646" s="59" t="str">
        <f>IF(A646="","",COUNTIF($A$6:A646,A646))</f>
        <v/>
      </c>
      <c r="P646" s="62" t="str">
        <f>IF(A646="","",A646&amp;"|"&amp;O646)</f>
        <v/>
      </c>
    </row>
    <row r="647">
      <c r="A647" s="60" t="n"/>
      <c r="B647" s="63" t="n"/>
      <c r="C647" s="63" t="n"/>
      <c r="D647" s="67" t="n"/>
      <c r="E647" s="68" t="n"/>
      <c r="F647" s="69" t="n"/>
      <c r="G647" s="70" t="n"/>
      <c r="H647" s="62" t="str">
        <f>IF(COUNTA(A647:G647)=0,"",IF(C647&lt;&gt;"",C647,IF(B647="","",IFERROR(INDEX(pr_des,MATCH(B647,pr_code,0))&amp;"",""))))</f>
        <v/>
      </c>
      <c r="I647" s="59" t="str">
        <f>IF(B647="","",IFERROR(INDEX(pr_unit,MATCH(B647,pr_code,0))&amp;"",""))</f>
        <v/>
      </c>
      <c r="J647" s="65" t="str">
        <f>IF(COUNTA(A647:G647)=0,"",IF(E647&lt;&gt;"",E647,IF(B647="","",IFERROR(IF(INDEX(pr_price,MATCH(B647,pr_code,0))="","",INDEX(pr_price,MATCH(B647,pr_code,0))),""))))</f>
        <v/>
      </c>
      <c r="K647" s="71" t="str">
        <f>IF(COUNTA(A647:G647)=0,"",IF(G647&lt;&gt;"",G647,IF(B647="","",IFERROR(IF(INDEX(pr_rate,MATCH(B647,pr_code,0))="","",INDEX(pr_rate,MATCH(B647,pr_code,0))),""))))</f>
        <v/>
      </c>
      <c r="L647" s="65" t="str">
        <f>IF(COUNTA(A647:G647)=0,"",IF(AND(ISNUMBER(D647),ISNUMBER(J647)),ROUND(D647*J647*(1-N(F647)),2),0))</f>
        <v/>
      </c>
      <c r="M647" s="62" t="str">
        <f>IF(A647="","",IFERROR(INDEX(fa_cname,MATCH(A647,fa_num,0))&amp;"",""))</f>
        <v/>
      </c>
      <c r="N647" s="59" t="str">
        <f>IF(COUNTA(A647:G647)=0,"",IF(A647="","N° facture manquant",IF(ISNA(MATCH(A647,fa_num,0)),"Facture inconnue",IF(AND(B647&lt;&gt;"",ISNA(MATCH(B647,pr_code,0))),"Article inconnu",IF(H647="","Désignation manquante",IF(OR(NOT(ISNUMBER(D647)),N(D647)&lt;=0),"Quantité invalide",IF(J647="","Prix manquant",IF(OR(NOT(ISNUMBER(J647)),N(J647)&lt;0),"Prix invalide",IF(OR(AND(F647&lt;&gt;"",NOT(ISNUMBER(F647))),N(F647)&lt;0,N(F647)&gt;1),"Remise invalide",IF(K647="","Taux de TVA manquant",IF(NOT(ISNUMBER(K647)),"Taux de TVA invalide",IF(COUNTIF(p_rates,K647)=0,"Taux de TVA hors liste (Paramètres)",IF(N(O647)&gt;25,"Au-delà de 25 lignes : non imprimée","OK")))))))))))))</f>
        <v/>
      </c>
      <c r="O647" s="59" t="str">
        <f>IF(A647="","",COUNTIF($A$6:A647,A647))</f>
        <v/>
      </c>
      <c r="P647" s="62" t="str">
        <f>IF(A647="","",A647&amp;"|"&amp;O647)</f>
        <v/>
      </c>
    </row>
    <row r="648">
      <c r="A648" s="60" t="n"/>
      <c r="B648" s="63" t="n"/>
      <c r="C648" s="63" t="n"/>
      <c r="D648" s="67" t="n"/>
      <c r="E648" s="68" t="n"/>
      <c r="F648" s="69" t="n"/>
      <c r="G648" s="70" t="n"/>
      <c r="H648" s="62" t="str">
        <f>IF(COUNTA(A648:G648)=0,"",IF(C648&lt;&gt;"",C648,IF(B648="","",IFERROR(INDEX(pr_des,MATCH(B648,pr_code,0))&amp;"",""))))</f>
        <v/>
      </c>
      <c r="I648" s="59" t="str">
        <f>IF(B648="","",IFERROR(INDEX(pr_unit,MATCH(B648,pr_code,0))&amp;"",""))</f>
        <v/>
      </c>
      <c r="J648" s="65" t="str">
        <f>IF(COUNTA(A648:G648)=0,"",IF(E648&lt;&gt;"",E648,IF(B648="","",IFERROR(IF(INDEX(pr_price,MATCH(B648,pr_code,0))="","",INDEX(pr_price,MATCH(B648,pr_code,0))),""))))</f>
        <v/>
      </c>
      <c r="K648" s="71" t="str">
        <f>IF(COUNTA(A648:G648)=0,"",IF(G648&lt;&gt;"",G648,IF(B648="","",IFERROR(IF(INDEX(pr_rate,MATCH(B648,pr_code,0))="","",INDEX(pr_rate,MATCH(B648,pr_code,0))),""))))</f>
        <v/>
      </c>
      <c r="L648" s="65" t="str">
        <f>IF(COUNTA(A648:G648)=0,"",IF(AND(ISNUMBER(D648),ISNUMBER(J648)),ROUND(D648*J648*(1-N(F648)),2),0))</f>
        <v/>
      </c>
      <c r="M648" s="62" t="str">
        <f>IF(A648="","",IFERROR(INDEX(fa_cname,MATCH(A648,fa_num,0))&amp;"",""))</f>
        <v/>
      </c>
      <c r="N648" s="59" t="str">
        <f>IF(COUNTA(A648:G648)=0,"",IF(A648="","N° facture manquant",IF(ISNA(MATCH(A648,fa_num,0)),"Facture inconnue",IF(AND(B648&lt;&gt;"",ISNA(MATCH(B648,pr_code,0))),"Article inconnu",IF(H648="","Désignation manquante",IF(OR(NOT(ISNUMBER(D648)),N(D648)&lt;=0),"Quantité invalide",IF(J648="","Prix manquant",IF(OR(NOT(ISNUMBER(J648)),N(J648)&lt;0),"Prix invalide",IF(OR(AND(F648&lt;&gt;"",NOT(ISNUMBER(F648))),N(F648)&lt;0,N(F648)&gt;1),"Remise invalide",IF(K648="","Taux de TVA manquant",IF(NOT(ISNUMBER(K648)),"Taux de TVA invalide",IF(COUNTIF(p_rates,K648)=0,"Taux de TVA hors liste (Paramètres)",IF(N(O648)&gt;25,"Au-delà de 25 lignes : non imprimée","OK")))))))))))))</f>
        <v/>
      </c>
      <c r="O648" s="59" t="str">
        <f>IF(A648="","",COUNTIF($A$6:A648,A648))</f>
        <v/>
      </c>
      <c r="P648" s="62" t="str">
        <f>IF(A648="","",A648&amp;"|"&amp;O648)</f>
        <v/>
      </c>
    </row>
    <row r="649">
      <c r="A649" s="60" t="n"/>
      <c r="B649" s="63" t="n"/>
      <c r="C649" s="63" t="n"/>
      <c r="D649" s="67" t="n"/>
      <c r="E649" s="68" t="n"/>
      <c r="F649" s="69" t="n"/>
      <c r="G649" s="70" t="n"/>
      <c r="H649" s="62" t="str">
        <f>IF(COUNTA(A649:G649)=0,"",IF(C649&lt;&gt;"",C649,IF(B649="","",IFERROR(INDEX(pr_des,MATCH(B649,pr_code,0))&amp;"",""))))</f>
        <v/>
      </c>
      <c r="I649" s="59" t="str">
        <f>IF(B649="","",IFERROR(INDEX(pr_unit,MATCH(B649,pr_code,0))&amp;"",""))</f>
        <v/>
      </c>
      <c r="J649" s="65" t="str">
        <f>IF(COUNTA(A649:G649)=0,"",IF(E649&lt;&gt;"",E649,IF(B649="","",IFERROR(IF(INDEX(pr_price,MATCH(B649,pr_code,0))="","",INDEX(pr_price,MATCH(B649,pr_code,0))),""))))</f>
        <v/>
      </c>
      <c r="K649" s="71" t="str">
        <f>IF(COUNTA(A649:G649)=0,"",IF(G649&lt;&gt;"",G649,IF(B649="","",IFERROR(IF(INDEX(pr_rate,MATCH(B649,pr_code,0))="","",INDEX(pr_rate,MATCH(B649,pr_code,0))),""))))</f>
        <v/>
      </c>
      <c r="L649" s="65" t="str">
        <f>IF(COUNTA(A649:G649)=0,"",IF(AND(ISNUMBER(D649),ISNUMBER(J649)),ROUND(D649*J649*(1-N(F649)),2),0))</f>
        <v/>
      </c>
      <c r="M649" s="62" t="str">
        <f>IF(A649="","",IFERROR(INDEX(fa_cname,MATCH(A649,fa_num,0))&amp;"",""))</f>
        <v/>
      </c>
      <c r="N649" s="59" t="str">
        <f>IF(COUNTA(A649:G649)=0,"",IF(A649="","N° facture manquant",IF(ISNA(MATCH(A649,fa_num,0)),"Facture inconnue",IF(AND(B649&lt;&gt;"",ISNA(MATCH(B649,pr_code,0))),"Article inconnu",IF(H649="","Désignation manquante",IF(OR(NOT(ISNUMBER(D649)),N(D649)&lt;=0),"Quantité invalide",IF(J649="","Prix manquant",IF(OR(NOT(ISNUMBER(J649)),N(J649)&lt;0),"Prix invalide",IF(OR(AND(F649&lt;&gt;"",NOT(ISNUMBER(F649))),N(F649)&lt;0,N(F649)&gt;1),"Remise invalide",IF(K649="","Taux de TVA manquant",IF(NOT(ISNUMBER(K649)),"Taux de TVA invalide",IF(COUNTIF(p_rates,K649)=0,"Taux de TVA hors liste (Paramètres)",IF(N(O649)&gt;25,"Au-delà de 25 lignes : non imprimée","OK")))))))))))))</f>
        <v/>
      </c>
      <c r="O649" s="59" t="str">
        <f>IF(A649="","",COUNTIF($A$6:A649,A649))</f>
        <v/>
      </c>
      <c r="P649" s="62" t="str">
        <f>IF(A649="","",A649&amp;"|"&amp;O649)</f>
        <v/>
      </c>
    </row>
    <row r="650">
      <c r="A650" s="60" t="n"/>
      <c r="B650" s="63" t="n"/>
      <c r="C650" s="63" t="n"/>
      <c r="D650" s="67" t="n"/>
      <c r="E650" s="68" t="n"/>
      <c r="F650" s="69" t="n"/>
      <c r="G650" s="70" t="n"/>
      <c r="H650" s="62" t="str">
        <f>IF(COUNTA(A650:G650)=0,"",IF(C650&lt;&gt;"",C650,IF(B650="","",IFERROR(INDEX(pr_des,MATCH(B650,pr_code,0))&amp;"",""))))</f>
        <v/>
      </c>
      <c r="I650" s="59" t="str">
        <f>IF(B650="","",IFERROR(INDEX(pr_unit,MATCH(B650,pr_code,0))&amp;"",""))</f>
        <v/>
      </c>
      <c r="J650" s="65" t="str">
        <f>IF(COUNTA(A650:G650)=0,"",IF(E650&lt;&gt;"",E650,IF(B650="","",IFERROR(IF(INDEX(pr_price,MATCH(B650,pr_code,0))="","",INDEX(pr_price,MATCH(B650,pr_code,0))),""))))</f>
        <v/>
      </c>
      <c r="K650" s="71" t="str">
        <f>IF(COUNTA(A650:G650)=0,"",IF(G650&lt;&gt;"",G650,IF(B650="","",IFERROR(IF(INDEX(pr_rate,MATCH(B650,pr_code,0))="","",INDEX(pr_rate,MATCH(B650,pr_code,0))),""))))</f>
        <v/>
      </c>
      <c r="L650" s="65" t="str">
        <f>IF(COUNTA(A650:G650)=0,"",IF(AND(ISNUMBER(D650),ISNUMBER(J650)),ROUND(D650*J650*(1-N(F650)),2),0))</f>
        <v/>
      </c>
      <c r="M650" s="62" t="str">
        <f>IF(A650="","",IFERROR(INDEX(fa_cname,MATCH(A650,fa_num,0))&amp;"",""))</f>
        <v/>
      </c>
      <c r="N650" s="59" t="str">
        <f>IF(COUNTA(A650:G650)=0,"",IF(A650="","N° facture manquant",IF(ISNA(MATCH(A650,fa_num,0)),"Facture inconnue",IF(AND(B650&lt;&gt;"",ISNA(MATCH(B650,pr_code,0))),"Article inconnu",IF(H650="","Désignation manquante",IF(OR(NOT(ISNUMBER(D650)),N(D650)&lt;=0),"Quantité invalide",IF(J650="","Prix manquant",IF(OR(NOT(ISNUMBER(J650)),N(J650)&lt;0),"Prix invalide",IF(OR(AND(F650&lt;&gt;"",NOT(ISNUMBER(F650))),N(F650)&lt;0,N(F650)&gt;1),"Remise invalide",IF(K650="","Taux de TVA manquant",IF(NOT(ISNUMBER(K650)),"Taux de TVA invalide",IF(COUNTIF(p_rates,K650)=0,"Taux de TVA hors liste (Paramètres)",IF(N(O650)&gt;25,"Au-delà de 25 lignes : non imprimée","OK")))))))))))))</f>
        <v/>
      </c>
      <c r="O650" s="59" t="str">
        <f>IF(A650="","",COUNTIF($A$6:A650,A650))</f>
        <v/>
      </c>
      <c r="P650" s="62" t="str">
        <f>IF(A650="","",A650&amp;"|"&amp;O650)</f>
        <v/>
      </c>
    </row>
    <row r="651">
      <c r="A651" s="60" t="n"/>
      <c r="B651" s="63" t="n"/>
      <c r="C651" s="63" t="n"/>
      <c r="D651" s="67" t="n"/>
      <c r="E651" s="68" t="n"/>
      <c r="F651" s="69" t="n"/>
      <c r="G651" s="70" t="n"/>
      <c r="H651" s="62" t="str">
        <f>IF(COUNTA(A651:G651)=0,"",IF(C651&lt;&gt;"",C651,IF(B651="","",IFERROR(INDEX(pr_des,MATCH(B651,pr_code,0))&amp;"",""))))</f>
        <v/>
      </c>
      <c r="I651" s="59" t="str">
        <f>IF(B651="","",IFERROR(INDEX(pr_unit,MATCH(B651,pr_code,0))&amp;"",""))</f>
        <v/>
      </c>
      <c r="J651" s="65" t="str">
        <f>IF(COUNTA(A651:G651)=0,"",IF(E651&lt;&gt;"",E651,IF(B651="","",IFERROR(IF(INDEX(pr_price,MATCH(B651,pr_code,0))="","",INDEX(pr_price,MATCH(B651,pr_code,0))),""))))</f>
        <v/>
      </c>
      <c r="K651" s="71" t="str">
        <f>IF(COUNTA(A651:G651)=0,"",IF(G651&lt;&gt;"",G651,IF(B651="","",IFERROR(IF(INDEX(pr_rate,MATCH(B651,pr_code,0))="","",INDEX(pr_rate,MATCH(B651,pr_code,0))),""))))</f>
        <v/>
      </c>
      <c r="L651" s="65" t="str">
        <f>IF(COUNTA(A651:G651)=0,"",IF(AND(ISNUMBER(D651),ISNUMBER(J651)),ROUND(D651*J651*(1-N(F651)),2),0))</f>
        <v/>
      </c>
      <c r="M651" s="62" t="str">
        <f>IF(A651="","",IFERROR(INDEX(fa_cname,MATCH(A651,fa_num,0))&amp;"",""))</f>
        <v/>
      </c>
      <c r="N651" s="59" t="str">
        <f>IF(COUNTA(A651:G651)=0,"",IF(A651="","N° facture manquant",IF(ISNA(MATCH(A651,fa_num,0)),"Facture inconnue",IF(AND(B651&lt;&gt;"",ISNA(MATCH(B651,pr_code,0))),"Article inconnu",IF(H651="","Désignation manquante",IF(OR(NOT(ISNUMBER(D651)),N(D651)&lt;=0),"Quantité invalide",IF(J651="","Prix manquant",IF(OR(NOT(ISNUMBER(J651)),N(J651)&lt;0),"Prix invalide",IF(OR(AND(F651&lt;&gt;"",NOT(ISNUMBER(F651))),N(F651)&lt;0,N(F651)&gt;1),"Remise invalide",IF(K651="","Taux de TVA manquant",IF(NOT(ISNUMBER(K651)),"Taux de TVA invalide",IF(COUNTIF(p_rates,K651)=0,"Taux de TVA hors liste (Paramètres)",IF(N(O651)&gt;25,"Au-delà de 25 lignes : non imprimée","OK")))))))))))))</f>
        <v/>
      </c>
      <c r="O651" s="59" t="str">
        <f>IF(A651="","",COUNTIF($A$6:A651,A651))</f>
        <v/>
      </c>
      <c r="P651" s="62" t="str">
        <f>IF(A651="","",A651&amp;"|"&amp;O651)</f>
        <v/>
      </c>
    </row>
    <row r="652">
      <c r="A652" s="60" t="n"/>
      <c r="B652" s="63" t="n"/>
      <c r="C652" s="63" t="n"/>
      <c r="D652" s="67" t="n"/>
      <c r="E652" s="68" t="n"/>
      <c r="F652" s="69" t="n"/>
      <c r="G652" s="70" t="n"/>
      <c r="H652" s="62" t="str">
        <f>IF(COUNTA(A652:G652)=0,"",IF(C652&lt;&gt;"",C652,IF(B652="","",IFERROR(INDEX(pr_des,MATCH(B652,pr_code,0))&amp;"",""))))</f>
        <v/>
      </c>
      <c r="I652" s="59" t="str">
        <f>IF(B652="","",IFERROR(INDEX(pr_unit,MATCH(B652,pr_code,0))&amp;"",""))</f>
        <v/>
      </c>
      <c r="J652" s="65" t="str">
        <f>IF(COUNTA(A652:G652)=0,"",IF(E652&lt;&gt;"",E652,IF(B652="","",IFERROR(IF(INDEX(pr_price,MATCH(B652,pr_code,0))="","",INDEX(pr_price,MATCH(B652,pr_code,0))),""))))</f>
        <v/>
      </c>
      <c r="K652" s="71" t="str">
        <f>IF(COUNTA(A652:G652)=0,"",IF(G652&lt;&gt;"",G652,IF(B652="","",IFERROR(IF(INDEX(pr_rate,MATCH(B652,pr_code,0))="","",INDEX(pr_rate,MATCH(B652,pr_code,0))),""))))</f>
        <v/>
      </c>
      <c r="L652" s="65" t="str">
        <f>IF(COUNTA(A652:G652)=0,"",IF(AND(ISNUMBER(D652),ISNUMBER(J652)),ROUND(D652*J652*(1-N(F652)),2),0))</f>
        <v/>
      </c>
      <c r="M652" s="62" t="str">
        <f>IF(A652="","",IFERROR(INDEX(fa_cname,MATCH(A652,fa_num,0))&amp;"",""))</f>
        <v/>
      </c>
      <c r="N652" s="59" t="str">
        <f>IF(COUNTA(A652:G652)=0,"",IF(A652="","N° facture manquant",IF(ISNA(MATCH(A652,fa_num,0)),"Facture inconnue",IF(AND(B652&lt;&gt;"",ISNA(MATCH(B652,pr_code,0))),"Article inconnu",IF(H652="","Désignation manquante",IF(OR(NOT(ISNUMBER(D652)),N(D652)&lt;=0),"Quantité invalide",IF(J652="","Prix manquant",IF(OR(NOT(ISNUMBER(J652)),N(J652)&lt;0),"Prix invalide",IF(OR(AND(F652&lt;&gt;"",NOT(ISNUMBER(F652))),N(F652)&lt;0,N(F652)&gt;1),"Remise invalide",IF(K652="","Taux de TVA manquant",IF(NOT(ISNUMBER(K652)),"Taux de TVA invalide",IF(COUNTIF(p_rates,K652)=0,"Taux de TVA hors liste (Paramètres)",IF(N(O652)&gt;25,"Au-delà de 25 lignes : non imprimée","OK")))))))))))))</f>
        <v/>
      </c>
      <c r="O652" s="59" t="str">
        <f>IF(A652="","",COUNTIF($A$6:A652,A652))</f>
        <v/>
      </c>
      <c r="P652" s="62" t="str">
        <f>IF(A652="","",A652&amp;"|"&amp;O652)</f>
        <v/>
      </c>
    </row>
    <row r="653">
      <c r="A653" s="60" t="n"/>
      <c r="B653" s="63" t="n"/>
      <c r="C653" s="63" t="n"/>
      <c r="D653" s="67" t="n"/>
      <c r="E653" s="68" t="n"/>
      <c r="F653" s="69" t="n"/>
      <c r="G653" s="70" t="n"/>
      <c r="H653" s="62" t="str">
        <f>IF(COUNTA(A653:G653)=0,"",IF(C653&lt;&gt;"",C653,IF(B653="","",IFERROR(INDEX(pr_des,MATCH(B653,pr_code,0))&amp;"",""))))</f>
        <v/>
      </c>
      <c r="I653" s="59" t="str">
        <f>IF(B653="","",IFERROR(INDEX(pr_unit,MATCH(B653,pr_code,0))&amp;"",""))</f>
        <v/>
      </c>
      <c r="J653" s="65" t="str">
        <f>IF(COUNTA(A653:G653)=0,"",IF(E653&lt;&gt;"",E653,IF(B653="","",IFERROR(IF(INDEX(pr_price,MATCH(B653,pr_code,0))="","",INDEX(pr_price,MATCH(B653,pr_code,0))),""))))</f>
        <v/>
      </c>
      <c r="K653" s="71" t="str">
        <f>IF(COUNTA(A653:G653)=0,"",IF(G653&lt;&gt;"",G653,IF(B653="","",IFERROR(IF(INDEX(pr_rate,MATCH(B653,pr_code,0))="","",INDEX(pr_rate,MATCH(B653,pr_code,0))),""))))</f>
        <v/>
      </c>
      <c r="L653" s="65" t="str">
        <f>IF(COUNTA(A653:G653)=0,"",IF(AND(ISNUMBER(D653),ISNUMBER(J653)),ROUND(D653*J653*(1-N(F653)),2),0))</f>
        <v/>
      </c>
      <c r="M653" s="62" t="str">
        <f>IF(A653="","",IFERROR(INDEX(fa_cname,MATCH(A653,fa_num,0))&amp;"",""))</f>
        <v/>
      </c>
      <c r="N653" s="59" t="str">
        <f>IF(COUNTA(A653:G653)=0,"",IF(A653="","N° facture manquant",IF(ISNA(MATCH(A653,fa_num,0)),"Facture inconnue",IF(AND(B653&lt;&gt;"",ISNA(MATCH(B653,pr_code,0))),"Article inconnu",IF(H653="","Désignation manquante",IF(OR(NOT(ISNUMBER(D653)),N(D653)&lt;=0),"Quantité invalide",IF(J653="","Prix manquant",IF(OR(NOT(ISNUMBER(J653)),N(J653)&lt;0),"Prix invalide",IF(OR(AND(F653&lt;&gt;"",NOT(ISNUMBER(F653))),N(F653)&lt;0,N(F653)&gt;1),"Remise invalide",IF(K653="","Taux de TVA manquant",IF(NOT(ISNUMBER(K653)),"Taux de TVA invalide",IF(COUNTIF(p_rates,K653)=0,"Taux de TVA hors liste (Paramètres)",IF(N(O653)&gt;25,"Au-delà de 25 lignes : non imprimée","OK")))))))))))))</f>
        <v/>
      </c>
      <c r="O653" s="59" t="str">
        <f>IF(A653="","",COUNTIF($A$6:A653,A653))</f>
        <v/>
      </c>
      <c r="P653" s="62" t="str">
        <f>IF(A653="","",A653&amp;"|"&amp;O653)</f>
        <v/>
      </c>
    </row>
    <row r="654">
      <c r="A654" s="60" t="n"/>
      <c r="B654" s="63" t="n"/>
      <c r="C654" s="63" t="n"/>
      <c r="D654" s="67" t="n"/>
      <c r="E654" s="68" t="n"/>
      <c r="F654" s="69" t="n"/>
      <c r="G654" s="70" t="n"/>
      <c r="H654" s="62" t="str">
        <f>IF(COUNTA(A654:G654)=0,"",IF(C654&lt;&gt;"",C654,IF(B654="","",IFERROR(INDEX(pr_des,MATCH(B654,pr_code,0))&amp;"",""))))</f>
        <v/>
      </c>
      <c r="I654" s="59" t="str">
        <f>IF(B654="","",IFERROR(INDEX(pr_unit,MATCH(B654,pr_code,0))&amp;"",""))</f>
        <v/>
      </c>
      <c r="J654" s="65" t="str">
        <f>IF(COUNTA(A654:G654)=0,"",IF(E654&lt;&gt;"",E654,IF(B654="","",IFERROR(IF(INDEX(pr_price,MATCH(B654,pr_code,0))="","",INDEX(pr_price,MATCH(B654,pr_code,0))),""))))</f>
        <v/>
      </c>
      <c r="K654" s="71" t="str">
        <f>IF(COUNTA(A654:G654)=0,"",IF(G654&lt;&gt;"",G654,IF(B654="","",IFERROR(IF(INDEX(pr_rate,MATCH(B654,pr_code,0))="","",INDEX(pr_rate,MATCH(B654,pr_code,0))),""))))</f>
        <v/>
      </c>
      <c r="L654" s="65" t="str">
        <f>IF(COUNTA(A654:G654)=0,"",IF(AND(ISNUMBER(D654),ISNUMBER(J654)),ROUND(D654*J654*(1-N(F654)),2),0))</f>
        <v/>
      </c>
      <c r="M654" s="62" t="str">
        <f>IF(A654="","",IFERROR(INDEX(fa_cname,MATCH(A654,fa_num,0))&amp;"",""))</f>
        <v/>
      </c>
      <c r="N654" s="59" t="str">
        <f>IF(COUNTA(A654:G654)=0,"",IF(A654="","N° facture manquant",IF(ISNA(MATCH(A654,fa_num,0)),"Facture inconnue",IF(AND(B654&lt;&gt;"",ISNA(MATCH(B654,pr_code,0))),"Article inconnu",IF(H654="","Désignation manquante",IF(OR(NOT(ISNUMBER(D654)),N(D654)&lt;=0),"Quantité invalide",IF(J654="","Prix manquant",IF(OR(NOT(ISNUMBER(J654)),N(J654)&lt;0),"Prix invalide",IF(OR(AND(F654&lt;&gt;"",NOT(ISNUMBER(F654))),N(F654)&lt;0,N(F654)&gt;1),"Remise invalide",IF(K654="","Taux de TVA manquant",IF(NOT(ISNUMBER(K654)),"Taux de TVA invalide",IF(COUNTIF(p_rates,K654)=0,"Taux de TVA hors liste (Paramètres)",IF(N(O654)&gt;25,"Au-delà de 25 lignes : non imprimée","OK")))))))))))))</f>
        <v/>
      </c>
      <c r="O654" s="59" t="str">
        <f>IF(A654="","",COUNTIF($A$6:A654,A654))</f>
        <v/>
      </c>
      <c r="P654" s="62" t="str">
        <f>IF(A654="","",A654&amp;"|"&amp;O654)</f>
        <v/>
      </c>
    </row>
    <row r="655">
      <c r="A655" s="60" t="n"/>
      <c r="B655" s="63" t="n"/>
      <c r="C655" s="63" t="n"/>
      <c r="D655" s="67" t="n"/>
      <c r="E655" s="68" t="n"/>
      <c r="F655" s="69" t="n"/>
      <c r="G655" s="70" t="n"/>
      <c r="H655" s="62" t="str">
        <f>IF(COUNTA(A655:G655)=0,"",IF(C655&lt;&gt;"",C655,IF(B655="","",IFERROR(INDEX(pr_des,MATCH(B655,pr_code,0))&amp;"",""))))</f>
        <v/>
      </c>
      <c r="I655" s="59" t="str">
        <f>IF(B655="","",IFERROR(INDEX(pr_unit,MATCH(B655,pr_code,0))&amp;"",""))</f>
        <v/>
      </c>
      <c r="J655" s="65" t="str">
        <f>IF(COUNTA(A655:G655)=0,"",IF(E655&lt;&gt;"",E655,IF(B655="","",IFERROR(IF(INDEX(pr_price,MATCH(B655,pr_code,0))="","",INDEX(pr_price,MATCH(B655,pr_code,0))),""))))</f>
        <v/>
      </c>
      <c r="K655" s="71" t="str">
        <f>IF(COUNTA(A655:G655)=0,"",IF(G655&lt;&gt;"",G655,IF(B655="","",IFERROR(IF(INDEX(pr_rate,MATCH(B655,pr_code,0))="","",INDEX(pr_rate,MATCH(B655,pr_code,0))),""))))</f>
        <v/>
      </c>
      <c r="L655" s="65" t="str">
        <f>IF(COUNTA(A655:G655)=0,"",IF(AND(ISNUMBER(D655),ISNUMBER(J655)),ROUND(D655*J655*(1-N(F655)),2),0))</f>
        <v/>
      </c>
      <c r="M655" s="62" t="str">
        <f>IF(A655="","",IFERROR(INDEX(fa_cname,MATCH(A655,fa_num,0))&amp;"",""))</f>
        <v/>
      </c>
      <c r="N655" s="59" t="str">
        <f>IF(COUNTA(A655:G655)=0,"",IF(A655="","N° facture manquant",IF(ISNA(MATCH(A655,fa_num,0)),"Facture inconnue",IF(AND(B655&lt;&gt;"",ISNA(MATCH(B655,pr_code,0))),"Article inconnu",IF(H655="","Désignation manquante",IF(OR(NOT(ISNUMBER(D655)),N(D655)&lt;=0),"Quantité invalide",IF(J655="","Prix manquant",IF(OR(NOT(ISNUMBER(J655)),N(J655)&lt;0),"Prix invalide",IF(OR(AND(F655&lt;&gt;"",NOT(ISNUMBER(F655))),N(F655)&lt;0,N(F655)&gt;1),"Remise invalide",IF(K655="","Taux de TVA manquant",IF(NOT(ISNUMBER(K655)),"Taux de TVA invalide",IF(COUNTIF(p_rates,K655)=0,"Taux de TVA hors liste (Paramètres)",IF(N(O655)&gt;25,"Au-delà de 25 lignes : non imprimée","OK")))))))))))))</f>
        <v/>
      </c>
      <c r="O655" s="59" t="str">
        <f>IF(A655="","",COUNTIF($A$6:A655,A655))</f>
        <v/>
      </c>
      <c r="P655" s="62" t="str">
        <f>IF(A655="","",A655&amp;"|"&amp;O655)</f>
        <v/>
      </c>
    </row>
    <row r="656">
      <c r="A656" s="60" t="n"/>
      <c r="B656" s="63" t="n"/>
      <c r="C656" s="63" t="n"/>
      <c r="D656" s="67" t="n"/>
      <c r="E656" s="68" t="n"/>
      <c r="F656" s="69" t="n"/>
      <c r="G656" s="70" t="n"/>
      <c r="H656" s="62" t="str">
        <f>IF(COUNTA(A656:G656)=0,"",IF(C656&lt;&gt;"",C656,IF(B656="","",IFERROR(INDEX(pr_des,MATCH(B656,pr_code,0))&amp;"",""))))</f>
        <v/>
      </c>
      <c r="I656" s="59" t="str">
        <f>IF(B656="","",IFERROR(INDEX(pr_unit,MATCH(B656,pr_code,0))&amp;"",""))</f>
        <v/>
      </c>
      <c r="J656" s="65" t="str">
        <f>IF(COUNTA(A656:G656)=0,"",IF(E656&lt;&gt;"",E656,IF(B656="","",IFERROR(IF(INDEX(pr_price,MATCH(B656,pr_code,0))="","",INDEX(pr_price,MATCH(B656,pr_code,0))),""))))</f>
        <v/>
      </c>
      <c r="K656" s="71" t="str">
        <f>IF(COUNTA(A656:G656)=0,"",IF(G656&lt;&gt;"",G656,IF(B656="","",IFERROR(IF(INDEX(pr_rate,MATCH(B656,pr_code,0))="","",INDEX(pr_rate,MATCH(B656,pr_code,0))),""))))</f>
        <v/>
      </c>
      <c r="L656" s="65" t="str">
        <f>IF(COUNTA(A656:G656)=0,"",IF(AND(ISNUMBER(D656),ISNUMBER(J656)),ROUND(D656*J656*(1-N(F656)),2),0))</f>
        <v/>
      </c>
      <c r="M656" s="62" t="str">
        <f>IF(A656="","",IFERROR(INDEX(fa_cname,MATCH(A656,fa_num,0))&amp;"",""))</f>
        <v/>
      </c>
      <c r="N656" s="59" t="str">
        <f>IF(COUNTA(A656:G656)=0,"",IF(A656="","N° facture manquant",IF(ISNA(MATCH(A656,fa_num,0)),"Facture inconnue",IF(AND(B656&lt;&gt;"",ISNA(MATCH(B656,pr_code,0))),"Article inconnu",IF(H656="","Désignation manquante",IF(OR(NOT(ISNUMBER(D656)),N(D656)&lt;=0),"Quantité invalide",IF(J656="","Prix manquant",IF(OR(NOT(ISNUMBER(J656)),N(J656)&lt;0),"Prix invalide",IF(OR(AND(F656&lt;&gt;"",NOT(ISNUMBER(F656))),N(F656)&lt;0,N(F656)&gt;1),"Remise invalide",IF(K656="","Taux de TVA manquant",IF(NOT(ISNUMBER(K656)),"Taux de TVA invalide",IF(COUNTIF(p_rates,K656)=0,"Taux de TVA hors liste (Paramètres)",IF(N(O656)&gt;25,"Au-delà de 25 lignes : non imprimée","OK")))))))))))))</f>
        <v/>
      </c>
      <c r="O656" s="59" t="str">
        <f>IF(A656="","",COUNTIF($A$6:A656,A656))</f>
        <v/>
      </c>
      <c r="P656" s="62" t="str">
        <f>IF(A656="","",A656&amp;"|"&amp;O656)</f>
        <v/>
      </c>
    </row>
    <row r="657">
      <c r="A657" s="60" t="n"/>
      <c r="B657" s="63" t="n"/>
      <c r="C657" s="63" t="n"/>
      <c r="D657" s="67" t="n"/>
      <c r="E657" s="68" t="n"/>
      <c r="F657" s="69" t="n"/>
      <c r="G657" s="70" t="n"/>
      <c r="H657" s="62" t="str">
        <f>IF(COUNTA(A657:G657)=0,"",IF(C657&lt;&gt;"",C657,IF(B657="","",IFERROR(INDEX(pr_des,MATCH(B657,pr_code,0))&amp;"",""))))</f>
        <v/>
      </c>
      <c r="I657" s="59" t="str">
        <f>IF(B657="","",IFERROR(INDEX(pr_unit,MATCH(B657,pr_code,0))&amp;"",""))</f>
        <v/>
      </c>
      <c r="J657" s="65" t="str">
        <f>IF(COUNTA(A657:G657)=0,"",IF(E657&lt;&gt;"",E657,IF(B657="","",IFERROR(IF(INDEX(pr_price,MATCH(B657,pr_code,0))="","",INDEX(pr_price,MATCH(B657,pr_code,0))),""))))</f>
        <v/>
      </c>
      <c r="K657" s="71" t="str">
        <f>IF(COUNTA(A657:G657)=0,"",IF(G657&lt;&gt;"",G657,IF(B657="","",IFERROR(IF(INDEX(pr_rate,MATCH(B657,pr_code,0))="","",INDEX(pr_rate,MATCH(B657,pr_code,0))),""))))</f>
        <v/>
      </c>
      <c r="L657" s="65" t="str">
        <f>IF(COUNTA(A657:G657)=0,"",IF(AND(ISNUMBER(D657),ISNUMBER(J657)),ROUND(D657*J657*(1-N(F657)),2),0))</f>
        <v/>
      </c>
      <c r="M657" s="62" t="str">
        <f>IF(A657="","",IFERROR(INDEX(fa_cname,MATCH(A657,fa_num,0))&amp;"",""))</f>
        <v/>
      </c>
      <c r="N657" s="59" t="str">
        <f>IF(COUNTA(A657:G657)=0,"",IF(A657="","N° facture manquant",IF(ISNA(MATCH(A657,fa_num,0)),"Facture inconnue",IF(AND(B657&lt;&gt;"",ISNA(MATCH(B657,pr_code,0))),"Article inconnu",IF(H657="","Désignation manquante",IF(OR(NOT(ISNUMBER(D657)),N(D657)&lt;=0),"Quantité invalide",IF(J657="","Prix manquant",IF(OR(NOT(ISNUMBER(J657)),N(J657)&lt;0),"Prix invalide",IF(OR(AND(F657&lt;&gt;"",NOT(ISNUMBER(F657))),N(F657)&lt;0,N(F657)&gt;1),"Remise invalide",IF(K657="","Taux de TVA manquant",IF(NOT(ISNUMBER(K657)),"Taux de TVA invalide",IF(COUNTIF(p_rates,K657)=0,"Taux de TVA hors liste (Paramètres)",IF(N(O657)&gt;25,"Au-delà de 25 lignes : non imprimée","OK")))))))))))))</f>
        <v/>
      </c>
      <c r="O657" s="59" t="str">
        <f>IF(A657="","",COUNTIF($A$6:A657,A657))</f>
        <v/>
      </c>
      <c r="P657" s="62" t="str">
        <f>IF(A657="","",A657&amp;"|"&amp;O657)</f>
        <v/>
      </c>
    </row>
    <row r="658">
      <c r="A658" s="60" t="n"/>
      <c r="B658" s="63" t="n"/>
      <c r="C658" s="63" t="n"/>
      <c r="D658" s="67" t="n"/>
      <c r="E658" s="68" t="n"/>
      <c r="F658" s="69" t="n"/>
      <c r="G658" s="70" t="n"/>
      <c r="H658" s="62" t="str">
        <f>IF(COUNTA(A658:G658)=0,"",IF(C658&lt;&gt;"",C658,IF(B658="","",IFERROR(INDEX(pr_des,MATCH(B658,pr_code,0))&amp;"",""))))</f>
        <v/>
      </c>
      <c r="I658" s="59" t="str">
        <f>IF(B658="","",IFERROR(INDEX(pr_unit,MATCH(B658,pr_code,0))&amp;"",""))</f>
        <v/>
      </c>
      <c r="J658" s="65" t="str">
        <f>IF(COUNTA(A658:G658)=0,"",IF(E658&lt;&gt;"",E658,IF(B658="","",IFERROR(IF(INDEX(pr_price,MATCH(B658,pr_code,0))="","",INDEX(pr_price,MATCH(B658,pr_code,0))),""))))</f>
        <v/>
      </c>
      <c r="K658" s="71" t="str">
        <f>IF(COUNTA(A658:G658)=0,"",IF(G658&lt;&gt;"",G658,IF(B658="","",IFERROR(IF(INDEX(pr_rate,MATCH(B658,pr_code,0))="","",INDEX(pr_rate,MATCH(B658,pr_code,0))),""))))</f>
        <v/>
      </c>
      <c r="L658" s="65" t="str">
        <f>IF(COUNTA(A658:G658)=0,"",IF(AND(ISNUMBER(D658),ISNUMBER(J658)),ROUND(D658*J658*(1-N(F658)),2),0))</f>
        <v/>
      </c>
      <c r="M658" s="62" t="str">
        <f>IF(A658="","",IFERROR(INDEX(fa_cname,MATCH(A658,fa_num,0))&amp;"",""))</f>
        <v/>
      </c>
      <c r="N658" s="59" t="str">
        <f>IF(COUNTA(A658:G658)=0,"",IF(A658="","N° facture manquant",IF(ISNA(MATCH(A658,fa_num,0)),"Facture inconnue",IF(AND(B658&lt;&gt;"",ISNA(MATCH(B658,pr_code,0))),"Article inconnu",IF(H658="","Désignation manquante",IF(OR(NOT(ISNUMBER(D658)),N(D658)&lt;=0),"Quantité invalide",IF(J658="","Prix manquant",IF(OR(NOT(ISNUMBER(J658)),N(J658)&lt;0),"Prix invalide",IF(OR(AND(F658&lt;&gt;"",NOT(ISNUMBER(F658))),N(F658)&lt;0,N(F658)&gt;1),"Remise invalide",IF(K658="","Taux de TVA manquant",IF(NOT(ISNUMBER(K658)),"Taux de TVA invalide",IF(COUNTIF(p_rates,K658)=0,"Taux de TVA hors liste (Paramètres)",IF(N(O658)&gt;25,"Au-delà de 25 lignes : non imprimée","OK")))))))))))))</f>
        <v/>
      </c>
      <c r="O658" s="59" t="str">
        <f>IF(A658="","",COUNTIF($A$6:A658,A658))</f>
        <v/>
      </c>
      <c r="P658" s="62" t="str">
        <f>IF(A658="","",A658&amp;"|"&amp;O658)</f>
        <v/>
      </c>
    </row>
    <row r="659">
      <c r="A659" s="60" t="n"/>
      <c r="B659" s="63" t="n"/>
      <c r="C659" s="63" t="n"/>
      <c r="D659" s="67" t="n"/>
      <c r="E659" s="68" t="n"/>
      <c r="F659" s="69" t="n"/>
      <c r="G659" s="70" t="n"/>
      <c r="H659" s="62" t="str">
        <f>IF(COUNTA(A659:G659)=0,"",IF(C659&lt;&gt;"",C659,IF(B659="","",IFERROR(INDEX(pr_des,MATCH(B659,pr_code,0))&amp;"",""))))</f>
        <v/>
      </c>
      <c r="I659" s="59" t="str">
        <f>IF(B659="","",IFERROR(INDEX(pr_unit,MATCH(B659,pr_code,0))&amp;"",""))</f>
        <v/>
      </c>
      <c r="J659" s="65" t="str">
        <f>IF(COUNTA(A659:G659)=0,"",IF(E659&lt;&gt;"",E659,IF(B659="","",IFERROR(IF(INDEX(pr_price,MATCH(B659,pr_code,0))="","",INDEX(pr_price,MATCH(B659,pr_code,0))),""))))</f>
        <v/>
      </c>
      <c r="K659" s="71" t="str">
        <f>IF(COUNTA(A659:G659)=0,"",IF(G659&lt;&gt;"",G659,IF(B659="","",IFERROR(IF(INDEX(pr_rate,MATCH(B659,pr_code,0))="","",INDEX(pr_rate,MATCH(B659,pr_code,0))),""))))</f>
        <v/>
      </c>
      <c r="L659" s="65" t="str">
        <f>IF(COUNTA(A659:G659)=0,"",IF(AND(ISNUMBER(D659),ISNUMBER(J659)),ROUND(D659*J659*(1-N(F659)),2),0))</f>
        <v/>
      </c>
      <c r="M659" s="62" t="str">
        <f>IF(A659="","",IFERROR(INDEX(fa_cname,MATCH(A659,fa_num,0))&amp;"",""))</f>
        <v/>
      </c>
      <c r="N659" s="59" t="str">
        <f>IF(COUNTA(A659:G659)=0,"",IF(A659="","N° facture manquant",IF(ISNA(MATCH(A659,fa_num,0)),"Facture inconnue",IF(AND(B659&lt;&gt;"",ISNA(MATCH(B659,pr_code,0))),"Article inconnu",IF(H659="","Désignation manquante",IF(OR(NOT(ISNUMBER(D659)),N(D659)&lt;=0),"Quantité invalide",IF(J659="","Prix manquant",IF(OR(NOT(ISNUMBER(J659)),N(J659)&lt;0),"Prix invalide",IF(OR(AND(F659&lt;&gt;"",NOT(ISNUMBER(F659))),N(F659)&lt;0,N(F659)&gt;1),"Remise invalide",IF(K659="","Taux de TVA manquant",IF(NOT(ISNUMBER(K659)),"Taux de TVA invalide",IF(COUNTIF(p_rates,K659)=0,"Taux de TVA hors liste (Paramètres)",IF(N(O659)&gt;25,"Au-delà de 25 lignes : non imprimée","OK")))))))))))))</f>
        <v/>
      </c>
      <c r="O659" s="59" t="str">
        <f>IF(A659="","",COUNTIF($A$6:A659,A659))</f>
        <v/>
      </c>
      <c r="P659" s="62" t="str">
        <f>IF(A659="","",A659&amp;"|"&amp;O659)</f>
        <v/>
      </c>
    </row>
    <row r="660">
      <c r="A660" s="60" t="n"/>
      <c r="B660" s="63" t="n"/>
      <c r="C660" s="63" t="n"/>
      <c r="D660" s="67" t="n"/>
      <c r="E660" s="68" t="n"/>
      <c r="F660" s="69" t="n"/>
      <c r="G660" s="70" t="n"/>
      <c r="H660" s="62" t="str">
        <f>IF(COUNTA(A660:G660)=0,"",IF(C660&lt;&gt;"",C660,IF(B660="","",IFERROR(INDEX(pr_des,MATCH(B660,pr_code,0))&amp;"",""))))</f>
        <v/>
      </c>
      <c r="I660" s="59" t="str">
        <f>IF(B660="","",IFERROR(INDEX(pr_unit,MATCH(B660,pr_code,0))&amp;"",""))</f>
        <v/>
      </c>
      <c r="J660" s="65" t="str">
        <f>IF(COUNTA(A660:G660)=0,"",IF(E660&lt;&gt;"",E660,IF(B660="","",IFERROR(IF(INDEX(pr_price,MATCH(B660,pr_code,0))="","",INDEX(pr_price,MATCH(B660,pr_code,0))),""))))</f>
        <v/>
      </c>
      <c r="K660" s="71" t="str">
        <f>IF(COUNTA(A660:G660)=0,"",IF(G660&lt;&gt;"",G660,IF(B660="","",IFERROR(IF(INDEX(pr_rate,MATCH(B660,pr_code,0))="","",INDEX(pr_rate,MATCH(B660,pr_code,0))),""))))</f>
        <v/>
      </c>
      <c r="L660" s="65" t="str">
        <f>IF(COUNTA(A660:G660)=0,"",IF(AND(ISNUMBER(D660),ISNUMBER(J660)),ROUND(D660*J660*(1-N(F660)),2),0))</f>
        <v/>
      </c>
      <c r="M660" s="62" t="str">
        <f>IF(A660="","",IFERROR(INDEX(fa_cname,MATCH(A660,fa_num,0))&amp;"",""))</f>
        <v/>
      </c>
      <c r="N660" s="59" t="str">
        <f>IF(COUNTA(A660:G660)=0,"",IF(A660="","N° facture manquant",IF(ISNA(MATCH(A660,fa_num,0)),"Facture inconnue",IF(AND(B660&lt;&gt;"",ISNA(MATCH(B660,pr_code,0))),"Article inconnu",IF(H660="","Désignation manquante",IF(OR(NOT(ISNUMBER(D660)),N(D660)&lt;=0),"Quantité invalide",IF(J660="","Prix manquant",IF(OR(NOT(ISNUMBER(J660)),N(J660)&lt;0),"Prix invalide",IF(OR(AND(F660&lt;&gt;"",NOT(ISNUMBER(F660))),N(F660)&lt;0,N(F660)&gt;1),"Remise invalide",IF(K660="","Taux de TVA manquant",IF(NOT(ISNUMBER(K660)),"Taux de TVA invalide",IF(COUNTIF(p_rates,K660)=0,"Taux de TVA hors liste (Paramètres)",IF(N(O660)&gt;25,"Au-delà de 25 lignes : non imprimée","OK")))))))))))))</f>
        <v/>
      </c>
      <c r="O660" s="59" t="str">
        <f>IF(A660="","",COUNTIF($A$6:A660,A660))</f>
        <v/>
      </c>
      <c r="P660" s="62" t="str">
        <f>IF(A660="","",A660&amp;"|"&amp;O660)</f>
        <v/>
      </c>
    </row>
    <row r="661">
      <c r="A661" s="60" t="n"/>
      <c r="B661" s="63" t="n"/>
      <c r="C661" s="63" t="n"/>
      <c r="D661" s="67" t="n"/>
      <c r="E661" s="68" t="n"/>
      <c r="F661" s="69" t="n"/>
      <c r="G661" s="70" t="n"/>
      <c r="H661" s="62" t="str">
        <f>IF(COUNTA(A661:G661)=0,"",IF(C661&lt;&gt;"",C661,IF(B661="","",IFERROR(INDEX(pr_des,MATCH(B661,pr_code,0))&amp;"",""))))</f>
        <v/>
      </c>
      <c r="I661" s="59" t="str">
        <f>IF(B661="","",IFERROR(INDEX(pr_unit,MATCH(B661,pr_code,0))&amp;"",""))</f>
        <v/>
      </c>
      <c r="J661" s="65" t="str">
        <f>IF(COUNTA(A661:G661)=0,"",IF(E661&lt;&gt;"",E661,IF(B661="","",IFERROR(IF(INDEX(pr_price,MATCH(B661,pr_code,0))="","",INDEX(pr_price,MATCH(B661,pr_code,0))),""))))</f>
        <v/>
      </c>
      <c r="K661" s="71" t="str">
        <f>IF(COUNTA(A661:G661)=0,"",IF(G661&lt;&gt;"",G661,IF(B661="","",IFERROR(IF(INDEX(pr_rate,MATCH(B661,pr_code,0))="","",INDEX(pr_rate,MATCH(B661,pr_code,0))),""))))</f>
        <v/>
      </c>
      <c r="L661" s="65" t="str">
        <f>IF(COUNTA(A661:G661)=0,"",IF(AND(ISNUMBER(D661),ISNUMBER(J661)),ROUND(D661*J661*(1-N(F661)),2),0))</f>
        <v/>
      </c>
      <c r="M661" s="62" t="str">
        <f>IF(A661="","",IFERROR(INDEX(fa_cname,MATCH(A661,fa_num,0))&amp;"",""))</f>
        <v/>
      </c>
      <c r="N661" s="59" t="str">
        <f>IF(COUNTA(A661:G661)=0,"",IF(A661="","N° facture manquant",IF(ISNA(MATCH(A661,fa_num,0)),"Facture inconnue",IF(AND(B661&lt;&gt;"",ISNA(MATCH(B661,pr_code,0))),"Article inconnu",IF(H661="","Désignation manquante",IF(OR(NOT(ISNUMBER(D661)),N(D661)&lt;=0),"Quantité invalide",IF(J661="","Prix manquant",IF(OR(NOT(ISNUMBER(J661)),N(J661)&lt;0),"Prix invalide",IF(OR(AND(F661&lt;&gt;"",NOT(ISNUMBER(F661))),N(F661)&lt;0,N(F661)&gt;1),"Remise invalide",IF(K661="","Taux de TVA manquant",IF(NOT(ISNUMBER(K661)),"Taux de TVA invalide",IF(COUNTIF(p_rates,K661)=0,"Taux de TVA hors liste (Paramètres)",IF(N(O661)&gt;25,"Au-delà de 25 lignes : non imprimée","OK")))))))))))))</f>
        <v/>
      </c>
      <c r="O661" s="59" t="str">
        <f>IF(A661="","",COUNTIF($A$6:A661,A661))</f>
        <v/>
      </c>
      <c r="P661" s="62" t="str">
        <f>IF(A661="","",A661&amp;"|"&amp;O661)</f>
        <v/>
      </c>
    </row>
    <row r="662">
      <c r="A662" s="60" t="n"/>
      <c r="B662" s="63" t="n"/>
      <c r="C662" s="63" t="n"/>
      <c r="D662" s="67" t="n"/>
      <c r="E662" s="68" t="n"/>
      <c r="F662" s="69" t="n"/>
      <c r="G662" s="70" t="n"/>
      <c r="H662" s="62" t="str">
        <f>IF(COUNTA(A662:G662)=0,"",IF(C662&lt;&gt;"",C662,IF(B662="","",IFERROR(INDEX(pr_des,MATCH(B662,pr_code,0))&amp;"",""))))</f>
        <v/>
      </c>
      <c r="I662" s="59" t="str">
        <f>IF(B662="","",IFERROR(INDEX(pr_unit,MATCH(B662,pr_code,0))&amp;"",""))</f>
        <v/>
      </c>
      <c r="J662" s="65" t="str">
        <f>IF(COUNTA(A662:G662)=0,"",IF(E662&lt;&gt;"",E662,IF(B662="","",IFERROR(IF(INDEX(pr_price,MATCH(B662,pr_code,0))="","",INDEX(pr_price,MATCH(B662,pr_code,0))),""))))</f>
        <v/>
      </c>
      <c r="K662" s="71" t="str">
        <f>IF(COUNTA(A662:G662)=0,"",IF(G662&lt;&gt;"",G662,IF(B662="","",IFERROR(IF(INDEX(pr_rate,MATCH(B662,pr_code,0))="","",INDEX(pr_rate,MATCH(B662,pr_code,0))),""))))</f>
        <v/>
      </c>
      <c r="L662" s="65" t="str">
        <f>IF(COUNTA(A662:G662)=0,"",IF(AND(ISNUMBER(D662),ISNUMBER(J662)),ROUND(D662*J662*(1-N(F662)),2),0))</f>
        <v/>
      </c>
      <c r="M662" s="62" t="str">
        <f>IF(A662="","",IFERROR(INDEX(fa_cname,MATCH(A662,fa_num,0))&amp;"",""))</f>
        <v/>
      </c>
      <c r="N662" s="59" t="str">
        <f>IF(COUNTA(A662:G662)=0,"",IF(A662="","N° facture manquant",IF(ISNA(MATCH(A662,fa_num,0)),"Facture inconnue",IF(AND(B662&lt;&gt;"",ISNA(MATCH(B662,pr_code,0))),"Article inconnu",IF(H662="","Désignation manquante",IF(OR(NOT(ISNUMBER(D662)),N(D662)&lt;=0),"Quantité invalide",IF(J662="","Prix manquant",IF(OR(NOT(ISNUMBER(J662)),N(J662)&lt;0),"Prix invalide",IF(OR(AND(F662&lt;&gt;"",NOT(ISNUMBER(F662))),N(F662)&lt;0,N(F662)&gt;1),"Remise invalide",IF(K662="","Taux de TVA manquant",IF(NOT(ISNUMBER(K662)),"Taux de TVA invalide",IF(COUNTIF(p_rates,K662)=0,"Taux de TVA hors liste (Paramètres)",IF(N(O662)&gt;25,"Au-delà de 25 lignes : non imprimée","OK")))))))))))))</f>
        <v/>
      </c>
      <c r="O662" s="59" t="str">
        <f>IF(A662="","",COUNTIF($A$6:A662,A662))</f>
        <v/>
      </c>
      <c r="P662" s="62" t="str">
        <f>IF(A662="","",A662&amp;"|"&amp;O662)</f>
        <v/>
      </c>
    </row>
    <row r="663">
      <c r="A663" s="60" t="n"/>
      <c r="B663" s="63" t="n"/>
      <c r="C663" s="63" t="n"/>
      <c r="D663" s="67" t="n"/>
      <c r="E663" s="68" t="n"/>
      <c r="F663" s="69" t="n"/>
      <c r="G663" s="70" t="n"/>
      <c r="H663" s="62" t="str">
        <f>IF(COUNTA(A663:G663)=0,"",IF(C663&lt;&gt;"",C663,IF(B663="","",IFERROR(INDEX(pr_des,MATCH(B663,pr_code,0))&amp;"",""))))</f>
        <v/>
      </c>
      <c r="I663" s="59" t="str">
        <f>IF(B663="","",IFERROR(INDEX(pr_unit,MATCH(B663,pr_code,0))&amp;"",""))</f>
        <v/>
      </c>
      <c r="J663" s="65" t="str">
        <f>IF(COUNTA(A663:G663)=0,"",IF(E663&lt;&gt;"",E663,IF(B663="","",IFERROR(IF(INDEX(pr_price,MATCH(B663,pr_code,0))="","",INDEX(pr_price,MATCH(B663,pr_code,0))),""))))</f>
        <v/>
      </c>
      <c r="K663" s="71" t="str">
        <f>IF(COUNTA(A663:G663)=0,"",IF(G663&lt;&gt;"",G663,IF(B663="","",IFERROR(IF(INDEX(pr_rate,MATCH(B663,pr_code,0))="","",INDEX(pr_rate,MATCH(B663,pr_code,0))),""))))</f>
        <v/>
      </c>
      <c r="L663" s="65" t="str">
        <f>IF(COUNTA(A663:G663)=0,"",IF(AND(ISNUMBER(D663),ISNUMBER(J663)),ROUND(D663*J663*(1-N(F663)),2),0))</f>
        <v/>
      </c>
      <c r="M663" s="62" t="str">
        <f>IF(A663="","",IFERROR(INDEX(fa_cname,MATCH(A663,fa_num,0))&amp;"",""))</f>
        <v/>
      </c>
      <c r="N663" s="59" t="str">
        <f>IF(COUNTA(A663:G663)=0,"",IF(A663="","N° facture manquant",IF(ISNA(MATCH(A663,fa_num,0)),"Facture inconnue",IF(AND(B663&lt;&gt;"",ISNA(MATCH(B663,pr_code,0))),"Article inconnu",IF(H663="","Désignation manquante",IF(OR(NOT(ISNUMBER(D663)),N(D663)&lt;=0),"Quantité invalide",IF(J663="","Prix manquant",IF(OR(NOT(ISNUMBER(J663)),N(J663)&lt;0),"Prix invalide",IF(OR(AND(F663&lt;&gt;"",NOT(ISNUMBER(F663))),N(F663)&lt;0,N(F663)&gt;1),"Remise invalide",IF(K663="","Taux de TVA manquant",IF(NOT(ISNUMBER(K663)),"Taux de TVA invalide",IF(COUNTIF(p_rates,K663)=0,"Taux de TVA hors liste (Paramètres)",IF(N(O663)&gt;25,"Au-delà de 25 lignes : non imprimée","OK")))))))))))))</f>
        <v/>
      </c>
      <c r="O663" s="59" t="str">
        <f>IF(A663="","",COUNTIF($A$6:A663,A663))</f>
        <v/>
      </c>
      <c r="P663" s="62" t="str">
        <f>IF(A663="","",A663&amp;"|"&amp;O663)</f>
        <v/>
      </c>
    </row>
    <row r="664">
      <c r="A664" s="60" t="n"/>
      <c r="B664" s="63" t="n"/>
      <c r="C664" s="63" t="n"/>
      <c r="D664" s="67" t="n"/>
      <c r="E664" s="68" t="n"/>
      <c r="F664" s="69" t="n"/>
      <c r="G664" s="70" t="n"/>
      <c r="H664" s="62" t="str">
        <f>IF(COUNTA(A664:G664)=0,"",IF(C664&lt;&gt;"",C664,IF(B664="","",IFERROR(INDEX(pr_des,MATCH(B664,pr_code,0))&amp;"",""))))</f>
        <v/>
      </c>
      <c r="I664" s="59" t="str">
        <f>IF(B664="","",IFERROR(INDEX(pr_unit,MATCH(B664,pr_code,0))&amp;"",""))</f>
        <v/>
      </c>
      <c r="J664" s="65" t="str">
        <f>IF(COUNTA(A664:G664)=0,"",IF(E664&lt;&gt;"",E664,IF(B664="","",IFERROR(IF(INDEX(pr_price,MATCH(B664,pr_code,0))="","",INDEX(pr_price,MATCH(B664,pr_code,0))),""))))</f>
        <v/>
      </c>
      <c r="K664" s="71" t="str">
        <f>IF(COUNTA(A664:G664)=0,"",IF(G664&lt;&gt;"",G664,IF(B664="","",IFERROR(IF(INDEX(pr_rate,MATCH(B664,pr_code,0))="","",INDEX(pr_rate,MATCH(B664,pr_code,0))),""))))</f>
        <v/>
      </c>
      <c r="L664" s="65" t="str">
        <f>IF(COUNTA(A664:G664)=0,"",IF(AND(ISNUMBER(D664),ISNUMBER(J664)),ROUND(D664*J664*(1-N(F664)),2),0))</f>
        <v/>
      </c>
      <c r="M664" s="62" t="str">
        <f>IF(A664="","",IFERROR(INDEX(fa_cname,MATCH(A664,fa_num,0))&amp;"",""))</f>
        <v/>
      </c>
      <c r="N664" s="59" t="str">
        <f>IF(COUNTA(A664:G664)=0,"",IF(A664="","N° facture manquant",IF(ISNA(MATCH(A664,fa_num,0)),"Facture inconnue",IF(AND(B664&lt;&gt;"",ISNA(MATCH(B664,pr_code,0))),"Article inconnu",IF(H664="","Désignation manquante",IF(OR(NOT(ISNUMBER(D664)),N(D664)&lt;=0),"Quantité invalide",IF(J664="","Prix manquant",IF(OR(NOT(ISNUMBER(J664)),N(J664)&lt;0),"Prix invalide",IF(OR(AND(F664&lt;&gt;"",NOT(ISNUMBER(F664))),N(F664)&lt;0,N(F664)&gt;1),"Remise invalide",IF(K664="","Taux de TVA manquant",IF(NOT(ISNUMBER(K664)),"Taux de TVA invalide",IF(COUNTIF(p_rates,K664)=0,"Taux de TVA hors liste (Paramètres)",IF(N(O664)&gt;25,"Au-delà de 25 lignes : non imprimée","OK")))))))))))))</f>
        <v/>
      </c>
      <c r="O664" s="59" t="str">
        <f>IF(A664="","",COUNTIF($A$6:A664,A664))</f>
        <v/>
      </c>
      <c r="P664" s="62" t="str">
        <f>IF(A664="","",A664&amp;"|"&amp;O664)</f>
        <v/>
      </c>
    </row>
    <row r="665">
      <c r="A665" s="60" t="n"/>
      <c r="B665" s="63" t="n"/>
      <c r="C665" s="63" t="n"/>
      <c r="D665" s="67" t="n"/>
      <c r="E665" s="68" t="n"/>
      <c r="F665" s="69" t="n"/>
      <c r="G665" s="70" t="n"/>
      <c r="H665" s="62" t="str">
        <f>IF(COUNTA(A665:G665)=0,"",IF(C665&lt;&gt;"",C665,IF(B665="","",IFERROR(INDEX(pr_des,MATCH(B665,pr_code,0))&amp;"",""))))</f>
        <v/>
      </c>
      <c r="I665" s="59" t="str">
        <f>IF(B665="","",IFERROR(INDEX(pr_unit,MATCH(B665,pr_code,0))&amp;"",""))</f>
        <v/>
      </c>
      <c r="J665" s="65" t="str">
        <f>IF(COUNTA(A665:G665)=0,"",IF(E665&lt;&gt;"",E665,IF(B665="","",IFERROR(IF(INDEX(pr_price,MATCH(B665,pr_code,0))="","",INDEX(pr_price,MATCH(B665,pr_code,0))),""))))</f>
        <v/>
      </c>
      <c r="K665" s="71" t="str">
        <f>IF(COUNTA(A665:G665)=0,"",IF(G665&lt;&gt;"",G665,IF(B665="","",IFERROR(IF(INDEX(pr_rate,MATCH(B665,pr_code,0))="","",INDEX(pr_rate,MATCH(B665,pr_code,0))),""))))</f>
        <v/>
      </c>
      <c r="L665" s="65" t="str">
        <f>IF(COUNTA(A665:G665)=0,"",IF(AND(ISNUMBER(D665),ISNUMBER(J665)),ROUND(D665*J665*(1-N(F665)),2),0))</f>
        <v/>
      </c>
      <c r="M665" s="62" t="str">
        <f>IF(A665="","",IFERROR(INDEX(fa_cname,MATCH(A665,fa_num,0))&amp;"",""))</f>
        <v/>
      </c>
      <c r="N665" s="59" t="str">
        <f>IF(COUNTA(A665:G665)=0,"",IF(A665="","N° facture manquant",IF(ISNA(MATCH(A665,fa_num,0)),"Facture inconnue",IF(AND(B665&lt;&gt;"",ISNA(MATCH(B665,pr_code,0))),"Article inconnu",IF(H665="","Désignation manquante",IF(OR(NOT(ISNUMBER(D665)),N(D665)&lt;=0),"Quantité invalide",IF(J665="","Prix manquant",IF(OR(NOT(ISNUMBER(J665)),N(J665)&lt;0),"Prix invalide",IF(OR(AND(F665&lt;&gt;"",NOT(ISNUMBER(F665))),N(F665)&lt;0,N(F665)&gt;1),"Remise invalide",IF(K665="","Taux de TVA manquant",IF(NOT(ISNUMBER(K665)),"Taux de TVA invalide",IF(COUNTIF(p_rates,K665)=0,"Taux de TVA hors liste (Paramètres)",IF(N(O665)&gt;25,"Au-delà de 25 lignes : non imprimée","OK")))))))))))))</f>
        <v/>
      </c>
      <c r="O665" s="59" t="str">
        <f>IF(A665="","",COUNTIF($A$6:A665,A665))</f>
        <v/>
      </c>
      <c r="P665" s="62" t="str">
        <f>IF(A665="","",A665&amp;"|"&amp;O665)</f>
        <v/>
      </c>
    </row>
    <row r="666">
      <c r="A666" s="60" t="n"/>
      <c r="B666" s="63" t="n"/>
      <c r="C666" s="63" t="n"/>
      <c r="D666" s="67" t="n"/>
      <c r="E666" s="68" t="n"/>
      <c r="F666" s="69" t="n"/>
      <c r="G666" s="70" t="n"/>
      <c r="H666" s="62" t="str">
        <f>IF(COUNTA(A666:G666)=0,"",IF(C666&lt;&gt;"",C666,IF(B666="","",IFERROR(INDEX(pr_des,MATCH(B666,pr_code,0))&amp;"",""))))</f>
        <v/>
      </c>
      <c r="I666" s="59" t="str">
        <f>IF(B666="","",IFERROR(INDEX(pr_unit,MATCH(B666,pr_code,0))&amp;"",""))</f>
        <v/>
      </c>
      <c r="J666" s="65" t="str">
        <f>IF(COUNTA(A666:G666)=0,"",IF(E666&lt;&gt;"",E666,IF(B666="","",IFERROR(IF(INDEX(pr_price,MATCH(B666,pr_code,0))="","",INDEX(pr_price,MATCH(B666,pr_code,0))),""))))</f>
        <v/>
      </c>
      <c r="K666" s="71" t="str">
        <f>IF(COUNTA(A666:G666)=0,"",IF(G666&lt;&gt;"",G666,IF(B666="","",IFERROR(IF(INDEX(pr_rate,MATCH(B666,pr_code,0))="","",INDEX(pr_rate,MATCH(B666,pr_code,0))),""))))</f>
        <v/>
      </c>
      <c r="L666" s="65" t="str">
        <f>IF(COUNTA(A666:G666)=0,"",IF(AND(ISNUMBER(D666),ISNUMBER(J666)),ROUND(D666*J666*(1-N(F666)),2),0))</f>
        <v/>
      </c>
      <c r="M666" s="62" t="str">
        <f>IF(A666="","",IFERROR(INDEX(fa_cname,MATCH(A666,fa_num,0))&amp;"",""))</f>
        <v/>
      </c>
      <c r="N666" s="59" t="str">
        <f>IF(COUNTA(A666:G666)=0,"",IF(A666="","N° facture manquant",IF(ISNA(MATCH(A666,fa_num,0)),"Facture inconnue",IF(AND(B666&lt;&gt;"",ISNA(MATCH(B666,pr_code,0))),"Article inconnu",IF(H666="","Désignation manquante",IF(OR(NOT(ISNUMBER(D666)),N(D666)&lt;=0),"Quantité invalide",IF(J666="","Prix manquant",IF(OR(NOT(ISNUMBER(J666)),N(J666)&lt;0),"Prix invalide",IF(OR(AND(F666&lt;&gt;"",NOT(ISNUMBER(F666))),N(F666)&lt;0,N(F666)&gt;1),"Remise invalide",IF(K666="","Taux de TVA manquant",IF(NOT(ISNUMBER(K666)),"Taux de TVA invalide",IF(COUNTIF(p_rates,K666)=0,"Taux de TVA hors liste (Paramètres)",IF(N(O666)&gt;25,"Au-delà de 25 lignes : non imprimée","OK")))))))))))))</f>
        <v/>
      </c>
      <c r="O666" s="59" t="str">
        <f>IF(A666="","",COUNTIF($A$6:A666,A666))</f>
        <v/>
      </c>
      <c r="P666" s="62" t="str">
        <f>IF(A666="","",A666&amp;"|"&amp;O666)</f>
        <v/>
      </c>
    </row>
    <row r="667">
      <c r="A667" s="60" t="n"/>
      <c r="B667" s="63" t="n"/>
      <c r="C667" s="63" t="n"/>
      <c r="D667" s="67" t="n"/>
      <c r="E667" s="68" t="n"/>
      <c r="F667" s="69" t="n"/>
      <c r="G667" s="70" t="n"/>
      <c r="H667" s="62" t="str">
        <f>IF(COUNTA(A667:G667)=0,"",IF(C667&lt;&gt;"",C667,IF(B667="","",IFERROR(INDEX(pr_des,MATCH(B667,pr_code,0))&amp;"",""))))</f>
        <v/>
      </c>
      <c r="I667" s="59" t="str">
        <f>IF(B667="","",IFERROR(INDEX(pr_unit,MATCH(B667,pr_code,0))&amp;"",""))</f>
        <v/>
      </c>
      <c r="J667" s="65" t="str">
        <f>IF(COUNTA(A667:G667)=0,"",IF(E667&lt;&gt;"",E667,IF(B667="","",IFERROR(IF(INDEX(pr_price,MATCH(B667,pr_code,0))="","",INDEX(pr_price,MATCH(B667,pr_code,0))),""))))</f>
        <v/>
      </c>
      <c r="K667" s="71" t="str">
        <f>IF(COUNTA(A667:G667)=0,"",IF(G667&lt;&gt;"",G667,IF(B667="","",IFERROR(IF(INDEX(pr_rate,MATCH(B667,pr_code,0))="","",INDEX(pr_rate,MATCH(B667,pr_code,0))),""))))</f>
        <v/>
      </c>
      <c r="L667" s="65" t="str">
        <f>IF(COUNTA(A667:G667)=0,"",IF(AND(ISNUMBER(D667),ISNUMBER(J667)),ROUND(D667*J667*(1-N(F667)),2),0))</f>
        <v/>
      </c>
      <c r="M667" s="62" t="str">
        <f>IF(A667="","",IFERROR(INDEX(fa_cname,MATCH(A667,fa_num,0))&amp;"",""))</f>
        <v/>
      </c>
      <c r="N667" s="59" t="str">
        <f>IF(COUNTA(A667:G667)=0,"",IF(A667="","N° facture manquant",IF(ISNA(MATCH(A667,fa_num,0)),"Facture inconnue",IF(AND(B667&lt;&gt;"",ISNA(MATCH(B667,pr_code,0))),"Article inconnu",IF(H667="","Désignation manquante",IF(OR(NOT(ISNUMBER(D667)),N(D667)&lt;=0),"Quantité invalide",IF(J667="","Prix manquant",IF(OR(NOT(ISNUMBER(J667)),N(J667)&lt;0),"Prix invalide",IF(OR(AND(F667&lt;&gt;"",NOT(ISNUMBER(F667))),N(F667)&lt;0,N(F667)&gt;1),"Remise invalide",IF(K667="","Taux de TVA manquant",IF(NOT(ISNUMBER(K667)),"Taux de TVA invalide",IF(COUNTIF(p_rates,K667)=0,"Taux de TVA hors liste (Paramètres)",IF(N(O667)&gt;25,"Au-delà de 25 lignes : non imprimée","OK")))))))))))))</f>
        <v/>
      </c>
      <c r="O667" s="59" t="str">
        <f>IF(A667="","",COUNTIF($A$6:A667,A667))</f>
        <v/>
      </c>
      <c r="P667" s="62" t="str">
        <f>IF(A667="","",A667&amp;"|"&amp;O667)</f>
        <v/>
      </c>
    </row>
    <row r="668">
      <c r="A668" s="60" t="n"/>
      <c r="B668" s="63" t="n"/>
      <c r="C668" s="63" t="n"/>
      <c r="D668" s="67" t="n"/>
      <c r="E668" s="68" t="n"/>
      <c r="F668" s="69" t="n"/>
      <c r="G668" s="70" t="n"/>
      <c r="H668" s="62" t="str">
        <f>IF(COUNTA(A668:G668)=0,"",IF(C668&lt;&gt;"",C668,IF(B668="","",IFERROR(INDEX(pr_des,MATCH(B668,pr_code,0))&amp;"",""))))</f>
        <v/>
      </c>
      <c r="I668" s="59" t="str">
        <f>IF(B668="","",IFERROR(INDEX(pr_unit,MATCH(B668,pr_code,0))&amp;"",""))</f>
        <v/>
      </c>
      <c r="J668" s="65" t="str">
        <f>IF(COUNTA(A668:G668)=0,"",IF(E668&lt;&gt;"",E668,IF(B668="","",IFERROR(IF(INDEX(pr_price,MATCH(B668,pr_code,0))="","",INDEX(pr_price,MATCH(B668,pr_code,0))),""))))</f>
        <v/>
      </c>
      <c r="K668" s="71" t="str">
        <f>IF(COUNTA(A668:G668)=0,"",IF(G668&lt;&gt;"",G668,IF(B668="","",IFERROR(IF(INDEX(pr_rate,MATCH(B668,pr_code,0))="","",INDEX(pr_rate,MATCH(B668,pr_code,0))),""))))</f>
        <v/>
      </c>
      <c r="L668" s="65" t="str">
        <f>IF(COUNTA(A668:G668)=0,"",IF(AND(ISNUMBER(D668),ISNUMBER(J668)),ROUND(D668*J668*(1-N(F668)),2),0))</f>
        <v/>
      </c>
      <c r="M668" s="62" t="str">
        <f>IF(A668="","",IFERROR(INDEX(fa_cname,MATCH(A668,fa_num,0))&amp;"",""))</f>
        <v/>
      </c>
      <c r="N668" s="59" t="str">
        <f>IF(COUNTA(A668:G668)=0,"",IF(A668="","N° facture manquant",IF(ISNA(MATCH(A668,fa_num,0)),"Facture inconnue",IF(AND(B668&lt;&gt;"",ISNA(MATCH(B668,pr_code,0))),"Article inconnu",IF(H668="","Désignation manquante",IF(OR(NOT(ISNUMBER(D668)),N(D668)&lt;=0),"Quantité invalide",IF(J668="","Prix manquant",IF(OR(NOT(ISNUMBER(J668)),N(J668)&lt;0),"Prix invalide",IF(OR(AND(F668&lt;&gt;"",NOT(ISNUMBER(F668))),N(F668)&lt;0,N(F668)&gt;1),"Remise invalide",IF(K668="","Taux de TVA manquant",IF(NOT(ISNUMBER(K668)),"Taux de TVA invalide",IF(COUNTIF(p_rates,K668)=0,"Taux de TVA hors liste (Paramètres)",IF(N(O668)&gt;25,"Au-delà de 25 lignes : non imprimée","OK")))))))))))))</f>
        <v/>
      </c>
      <c r="O668" s="59" t="str">
        <f>IF(A668="","",COUNTIF($A$6:A668,A668))</f>
        <v/>
      </c>
      <c r="P668" s="62" t="str">
        <f>IF(A668="","",A668&amp;"|"&amp;O668)</f>
        <v/>
      </c>
    </row>
    <row r="669">
      <c r="A669" s="60" t="n"/>
      <c r="B669" s="63" t="n"/>
      <c r="C669" s="63" t="n"/>
      <c r="D669" s="67" t="n"/>
      <c r="E669" s="68" t="n"/>
      <c r="F669" s="69" t="n"/>
      <c r="G669" s="70" t="n"/>
      <c r="H669" s="62" t="str">
        <f>IF(COUNTA(A669:G669)=0,"",IF(C669&lt;&gt;"",C669,IF(B669="","",IFERROR(INDEX(pr_des,MATCH(B669,pr_code,0))&amp;"",""))))</f>
        <v/>
      </c>
      <c r="I669" s="59" t="str">
        <f>IF(B669="","",IFERROR(INDEX(pr_unit,MATCH(B669,pr_code,0))&amp;"",""))</f>
        <v/>
      </c>
      <c r="J669" s="65" t="str">
        <f>IF(COUNTA(A669:G669)=0,"",IF(E669&lt;&gt;"",E669,IF(B669="","",IFERROR(IF(INDEX(pr_price,MATCH(B669,pr_code,0))="","",INDEX(pr_price,MATCH(B669,pr_code,0))),""))))</f>
        <v/>
      </c>
      <c r="K669" s="71" t="str">
        <f>IF(COUNTA(A669:G669)=0,"",IF(G669&lt;&gt;"",G669,IF(B669="","",IFERROR(IF(INDEX(pr_rate,MATCH(B669,pr_code,0))="","",INDEX(pr_rate,MATCH(B669,pr_code,0))),""))))</f>
        <v/>
      </c>
      <c r="L669" s="65" t="str">
        <f>IF(COUNTA(A669:G669)=0,"",IF(AND(ISNUMBER(D669),ISNUMBER(J669)),ROUND(D669*J669*(1-N(F669)),2),0))</f>
        <v/>
      </c>
      <c r="M669" s="62" t="str">
        <f>IF(A669="","",IFERROR(INDEX(fa_cname,MATCH(A669,fa_num,0))&amp;"",""))</f>
        <v/>
      </c>
      <c r="N669" s="59" t="str">
        <f>IF(COUNTA(A669:G669)=0,"",IF(A669="","N° facture manquant",IF(ISNA(MATCH(A669,fa_num,0)),"Facture inconnue",IF(AND(B669&lt;&gt;"",ISNA(MATCH(B669,pr_code,0))),"Article inconnu",IF(H669="","Désignation manquante",IF(OR(NOT(ISNUMBER(D669)),N(D669)&lt;=0),"Quantité invalide",IF(J669="","Prix manquant",IF(OR(NOT(ISNUMBER(J669)),N(J669)&lt;0),"Prix invalide",IF(OR(AND(F669&lt;&gt;"",NOT(ISNUMBER(F669))),N(F669)&lt;0,N(F669)&gt;1),"Remise invalide",IF(K669="","Taux de TVA manquant",IF(NOT(ISNUMBER(K669)),"Taux de TVA invalide",IF(COUNTIF(p_rates,K669)=0,"Taux de TVA hors liste (Paramètres)",IF(N(O669)&gt;25,"Au-delà de 25 lignes : non imprimée","OK")))))))))))))</f>
        <v/>
      </c>
      <c r="O669" s="59" t="str">
        <f>IF(A669="","",COUNTIF($A$6:A669,A669))</f>
        <v/>
      </c>
      <c r="P669" s="62" t="str">
        <f>IF(A669="","",A669&amp;"|"&amp;O669)</f>
        <v/>
      </c>
    </row>
    <row r="670">
      <c r="A670" s="60" t="n"/>
      <c r="B670" s="63" t="n"/>
      <c r="C670" s="63" t="n"/>
      <c r="D670" s="67" t="n"/>
      <c r="E670" s="68" t="n"/>
      <c r="F670" s="69" t="n"/>
      <c r="G670" s="70" t="n"/>
      <c r="H670" s="62" t="str">
        <f>IF(COUNTA(A670:G670)=0,"",IF(C670&lt;&gt;"",C670,IF(B670="","",IFERROR(INDEX(pr_des,MATCH(B670,pr_code,0))&amp;"",""))))</f>
        <v/>
      </c>
      <c r="I670" s="59" t="str">
        <f>IF(B670="","",IFERROR(INDEX(pr_unit,MATCH(B670,pr_code,0))&amp;"",""))</f>
        <v/>
      </c>
      <c r="J670" s="65" t="str">
        <f>IF(COUNTA(A670:G670)=0,"",IF(E670&lt;&gt;"",E670,IF(B670="","",IFERROR(IF(INDEX(pr_price,MATCH(B670,pr_code,0))="","",INDEX(pr_price,MATCH(B670,pr_code,0))),""))))</f>
        <v/>
      </c>
      <c r="K670" s="71" t="str">
        <f>IF(COUNTA(A670:G670)=0,"",IF(G670&lt;&gt;"",G670,IF(B670="","",IFERROR(IF(INDEX(pr_rate,MATCH(B670,pr_code,0))="","",INDEX(pr_rate,MATCH(B670,pr_code,0))),""))))</f>
        <v/>
      </c>
      <c r="L670" s="65" t="str">
        <f>IF(COUNTA(A670:G670)=0,"",IF(AND(ISNUMBER(D670),ISNUMBER(J670)),ROUND(D670*J670*(1-N(F670)),2),0))</f>
        <v/>
      </c>
      <c r="M670" s="62" t="str">
        <f>IF(A670="","",IFERROR(INDEX(fa_cname,MATCH(A670,fa_num,0))&amp;"",""))</f>
        <v/>
      </c>
      <c r="N670" s="59" t="str">
        <f>IF(COUNTA(A670:G670)=0,"",IF(A670="","N° facture manquant",IF(ISNA(MATCH(A670,fa_num,0)),"Facture inconnue",IF(AND(B670&lt;&gt;"",ISNA(MATCH(B670,pr_code,0))),"Article inconnu",IF(H670="","Désignation manquante",IF(OR(NOT(ISNUMBER(D670)),N(D670)&lt;=0),"Quantité invalide",IF(J670="","Prix manquant",IF(OR(NOT(ISNUMBER(J670)),N(J670)&lt;0),"Prix invalide",IF(OR(AND(F670&lt;&gt;"",NOT(ISNUMBER(F670))),N(F670)&lt;0,N(F670)&gt;1),"Remise invalide",IF(K670="","Taux de TVA manquant",IF(NOT(ISNUMBER(K670)),"Taux de TVA invalide",IF(COUNTIF(p_rates,K670)=0,"Taux de TVA hors liste (Paramètres)",IF(N(O670)&gt;25,"Au-delà de 25 lignes : non imprimée","OK")))))))))))))</f>
        <v/>
      </c>
      <c r="O670" s="59" t="str">
        <f>IF(A670="","",COUNTIF($A$6:A670,A670))</f>
        <v/>
      </c>
      <c r="P670" s="62" t="str">
        <f>IF(A670="","",A670&amp;"|"&amp;O670)</f>
        <v/>
      </c>
    </row>
    <row r="671">
      <c r="A671" s="60" t="n"/>
      <c r="B671" s="63" t="n"/>
      <c r="C671" s="63" t="n"/>
      <c r="D671" s="67" t="n"/>
      <c r="E671" s="68" t="n"/>
      <c r="F671" s="69" t="n"/>
      <c r="G671" s="70" t="n"/>
      <c r="H671" s="62" t="str">
        <f>IF(COUNTA(A671:G671)=0,"",IF(C671&lt;&gt;"",C671,IF(B671="","",IFERROR(INDEX(pr_des,MATCH(B671,pr_code,0))&amp;"",""))))</f>
        <v/>
      </c>
      <c r="I671" s="59" t="str">
        <f>IF(B671="","",IFERROR(INDEX(pr_unit,MATCH(B671,pr_code,0))&amp;"",""))</f>
        <v/>
      </c>
      <c r="J671" s="65" t="str">
        <f>IF(COUNTA(A671:G671)=0,"",IF(E671&lt;&gt;"",E671,IF(B671="","",IFERROR(IF(INDEX(pr_price,MATCH(B671,pr_code,0))="","",INDEX(pr_price,MATCH(B671,pr_code,0))),""))))</f>
        <v/>
      </c>
      <c r="K671" s="71" t="str">
        <f>IF(COUNTA(A671:G671)=0,"",IF(G671&lt;&gt;"",G671,IF(B671="","",IFERROR(IF(INDEX(pr_rate,MATCH(B671,pr_code,0))="","",INDEX(pr_rate,MATCH(B671,pr_code,0))),""))))</f>
        <v/>
      </c>
      <c r="L671" s="65" t="str">
        <f>IF(COUNTA(A671:G671)=0,"",IF(AND(ISNUMBER(D671),ISNUMBER(J671)),ROUND(D671*J671*(1-N(F671)),2),0))</f>
        <v/>
      </c>
      <c r="M671" s="62" t="str">
        <f>IF(A671="","",IFERROR(INDEX(fa_cname,MATCH(A671,fa_num,0))&amp;"",""))</f>
        <v/>
      </c>
      <c r="N671" s="59" t="str">
        <f>IF(COUNTA(A671:G671)=0,"",IF(A671="","N° facture manquant",IF(ISNA(MATCH(A671,fa_num,0)),"Facture inconnue",IF(AND(B671&lt;&gt;"",ISNA(MATCH(B671,pr_code,0))),"Article inconnu",IF(H671="","Désignation manquante",IF(OR(NOT(ISNUMBER(D671)),N(D671)&lt;=0),"Quantité invalide",IF(J671="","Prix manquant",IF(OR(NOT(ISNUMBER(J671)),N(J671)&lt;0),"Prix invalide",IF(OR(AND(F671&lt;&gt;"",NOT(ISNUMBER(F671))),N(F671)&lt;0,N(F671)&gt;1),"Remise invalide",IF(K671="","Taux de TVA manquant",IF(NOT(ISNUMBER(K671)),"Taux de TVA invalide",IF(COUNTIF(p_rates,K671)=0,"Taux de TVA hors liste (Paramètres)",IF(N(O671)&gt;25,"Au-delà de 25 lignes : non imprimée","OK")))))))))))))</f>
        <v/>
      </c>
      <c r="O671" s="59" t="str">
        <f>IF(A671="","",COUNTIF($A$6:A671,A671))</f>
        <v/>
      </c>
      <c r="P671" s="62" t="str">
        <f>IF(A671="","",A671&amp;"|"&amp;O671)</f>
        <v/>
      </c>
    </row>
    <row r="672">
      <c r="A672" s="60" t="n"/>
      <c r="B672" s="63" t="n"/>
      <c r="C672" s="63" t="n"/>
      <c r="D672" s="67" t="n"/>
      <c r="E672" s="68" t="n"/>
      <c r="F672" s="69" t="n"/>
      <c r="G672" s="70" t="n"/>
      <c r="H672" s="62" t="str">
        <f>IF(COUNTA(A672:G672)=0,"",IF(C672&lt;&gt;"",C672,IF(B672="","",IFERROR(INDEX(pr_des,MATCH(B672,pr_code,0))&amp;"",""))))</f>
        <v/>
      </c>
      <c r="I672" s="59" t="str">
        <f>IF(B672="","",IFERROR(INDEX(pr_unit,MATCH(B672,pr_code,0))&amp;"",""))</f>
        <v/>
      </c>
      <c r="J672" s="65" t="str">
        <f>IF(COUNTA(A672:G672)=0,"",IF(E672&lt;&gt;"",E672,IF(B672="","",IFERROR(IF(INDEX(pr_price,MATCH(B672,pr_code,0))="","",INDEX(pr_price,MATCH(B672,pr_code,0))),""))))</f>
        <v/>
      </c>
      <c r="K672" s="71" t="str">
        <f>IF(COUNTA(A672:G672)=0,"",IF(G672&lt;&gt;"",G672,IF(B672="","",IFERROR(IF(INDEX(pr_rate,MATCH(B672,pr_code,0))="","",INDEX(pr_rate,MATCH(B672,pr_code,0))),""))))</f>
        <v/>
      </c>
      <c r="L672" s="65" t="str">
        <f>IF(COUNTA(A672:G672)=0,"",IF(AND(ISNUMBER(D672),ISNUMBER(J672)),ROUND(D672*J672*(1-N(F672)),2),0))</f>
        <v/>
      </c>
      <c r="M672" s="62" t="str">
        <f>IF(A672="","",IFERROR(INDEX(fa_cname,MATCH(A672,fa_num,0))&amp;"",""))</f>
        <v/>
      </c>
      <c r="N672" s="59" t="str">
        <f>IF(COUNTA(A672:G672)=0,"",IF(A672="","N° facture manquant",IF(ISNA(MATCH(A672,fa_num,0)),"Facture inconnue",IF(AND(B672&lt;&gt;"",ISNA(MATCH(B672,pr_code,0))),"Article inconnu",IF(H672="","Désignation manquante",IF(OR(NOT(ISNUMBER(D672)),N(D672)&lt;=0),"Quantité invalide",IF(J672="","Prix manquant",IF(OR(NOT(ISNUMBER(J672)),N(J672)&lt;0),"Prix invalide",IF(OR(AND(F672&lt;&gt;"",NOT(ISNUMBER(F672))),N(F672)&lt;0,N(F672)&gt;1),"Remise invalide",IF(K672="","Taux de TVA manquant",IF(NOT(ISNUMBER(K672)),"Taux de TVA invalide",IF(COUNTIF(p_rates,K672)=0,"Taux de TVA hors liste (Paramètres)",IF(N(O672)&gt;25,"Au-delà de 25 lignes : non imprimée","OK")))))))))))))</f>
        <v/>
      </c>
      <c r="O672" s="59" t="str">
        <f>IF(A672="","",COUNTIF($A$6:A672,A672))</f>
        <v/>
      </c>
      <c r="P672" s="62" t="str">
        <f>IF(A672="","",A672&amp;"|"&amp;O672)</f>
        <v/>
      </c>
    </row>
    <row r="673">
      <c r="A673" s="60" t="n"/>
      <c r="B673" s="63" t="n"/>
      <c r="C673" s="63" t="n"/>
      <c r="D673" s="67" t="n"/>
      <c r="E673" s="68" t="n"/>
      <c r="F673" s="69" t="n"/>
      <c r="G673" s="70" t="n"/>
      <c r="H673" s="62" t="str">
        <f>IF(COUNTA(A673:G673)=0,"",IF(C673&lt;&gt;"",C673,IF(B673="","",IFERROR(INDEX(pr_des,MATCH(B673,pr_code,0))&amp;"",""))))</f>
        <v/>
      </c>
      <c r="I673" s="59" t="str">
        <f>IF(B673="","",IFERROR(INDEX(pr_unit,MATCH(B673,pr_code,0))&amp;"",""))</f>
        <v/>
      </c>
      <c r="J673" s="65" t="str">
        <f>IF(COUNTA(A673:G673)=0,"",IF(E673&lt;&gt;"",E673,IF(B673="","",IFERROR(IF(INDEX(pr_price,MATCH(B673,pr_code,0))="","",INDEX(pr_price,MATCH(B673,pr_code,0))),""))))</f>
        <v/>
      </c>
      <c r="K673" s="71" t="str">
        <f>IF(COUNTA(A673:G673)=0,"",IF(G673&lt;&gt;"",G673,IF(B673="","",IFERROR(IF(INDEX(pr_rate,MATCH(B673,pr_code,0))="","",INDEX(pr_rate,MATCH(B673,pr_code,0))),""))))</f>
        <v/>
      </c>
      <c r="L673" s="65" t="str">
        <f>IF(COUNTA(A673:G673)=0,"",IF(AND(ISNUMBER(D673),ISNUMBER(J673)),ROUND(D673*J673*(1-N(F673)),2),0))</f>
        <v/>
      </c>
      <c r="M673" s="62" t="str">
        <f>IF(A673="","",IFERROR(INDEX(fa_cname,MATCH(A673,fa_num,0))&amp;"",""))</f>
        <v/>
      </c>
      <c r="N673" s="59" t="str">
        <f>IF(COUNTA(A673:G673)=0,"",IF(A673="","N° facture manquant",IF(ISNA(MATCH(A673,fa_num,0)),"Facture inconnue",IF(AND(B673&lt;&gt;"",ISNA(MATCH(B673,pr_code,0))),"Article inconnu",IF(H673="","Désignation manquante",IF(OR(NOT(ISNUMBER(D673)),N(D673)&lt;=0),"Quantité invalide",IF(J673="","Prix manquant",IF(OR(NOT(ISNUMBER(J673)),N(J673)&lt;0),"Prix invalide",IF(OR(AND(F673&lt;&gt;"",NOT(ISNUMBER(F673))),N(F673)&lt;0,N(F673)&gt;1),"Remise invalide",IF(K673="","Taux de TVA manquant",IF(NOT(ISNUMBER(K673)),"Taux de TVA invalide",IF(COUNTIF(p_rates,K673)=0,"Taux de TVA hors liste (Paramètres)",IF(N(O673)&gt;25,"Au-delà de 25 lignes : non imprimée","OK")))))))))))))</f>
        <v/>
      </c>
      <c r="O673" s="59" t="str">
        <f>IF(A673="","",COUNTIF($A$6:A673,A673))</f>
        <v/>
      </c>
      <c r="P673" s="62" t="str">
        <f>IF(A673="","",A673&amp;"|"&amp;O673)</f>
        <v/>
      </c>
    </row>
    <row r="674">
      <c r="A674" s="60" t="n"/>
      <c r="B674" s="63" t="n"/>
      <c r="C674" s="63" t="n"/>
      <c r="D674" s="67" t="n"/>
      <c r="E674" s="68" t="n"/>
      <c r="F674" s="69" t="n"/>
      <c r="G674" s="70" t="n"/>
      <c r="H674" s="62" t="str">
        <f>IF(COUNTA(A674:G674)=0,"",IF(C674&lt;&gt;"",C674,IF(B674="","",IFERROR(INDEX(pr_des,MATCH(B674,pr_code,0))&amp;"",""))))</f>
        <v/>
      </c>
      <c r="I674" s="59" t="str">
        <f>IF(B674="","",IFERROR(INDEX(pr_unit,MATCH(B674,pr_code,0))&amp;"",""))</f>
        <v/>
      </c>
      <c r="J674" s="65" t="str">
        <f>IF(COUNTA(A674:G674)=0,"",IF(E674&lt;&gt;"",E674,IF(B674="","",IFERROR(IF(INDEX(pr_price,MATCH(B674,pr_code,0))="","",INDEX(pr_price,MATCH(B674,pr_code,0))),""))))</f>
        <v/>
      </c>
      <c r="K674" s="71" t="str">
        <f>IF(COUNTA(A674:G674)=0,"",IF(G674&lt;&gt;"",G674,IF(B674="","",IFERROR(IF(INDEX(pr_rate,MATCH(B674,pr_code,0))="","",INDEX(pr_rate,MATCH(B674,pr_code,0))),""))))</f>
        <v/>
      </c>
      <c r="L674" s="65" t="str">
        <f>IF(COUNTA(A674:G674)=0,"",IF(AND(ISNUMBER(D674),ISNUMBER(J674)),ROUND(D674*J674*(1-N(F674)),2),0))</f>
        <v/>
      </c>
      <c r="M674" s="62" t="str">
        <f>IF(A674="","",IFERROR(INDEX(fa_cname,MATCH(A674,fa_num,0))&amp;"",""))</f>
        <v/>
      </c>
      <c r="N674" s="59" t="str">
        <f>IF(COUNTA(A674:G674)=0,"",IF(A674="","N° facture manquant",IF(ISNA(MATCH(A674,fa_num,0)),"Facture inconnue",IF(AND(B674&lt;&gt;"",ISNA(MATCH(B674,pr_code,0))),"Article inconnu",IF(H674="","Désignation manquante",IF(OR(NOT(ISNUMBER(D674)),N(D674)&lt;=0),"Quantité invalide",IF(J674="","Prix manquant",IF(OR(NOT(ISNUMBER(J674)),N(J674)&lt;0),"Prix invalide",IF(OR(AND(F674&lt;&gt;"",NOT(ISNUMBER(F674))),N(F674)&lt;0,N(F674)&gt;1),"Remise invalide",IF(K674="","Taux de TVA manquant",IF(NOT(ISNUMBER(K674)),"Taux de TVA invalide",IF(COUNTIF(p_rates,K674)=0,"Taux de TVA hors liste (Paramètres)",IF(N(O674)&gt;25,"Au-delà de 25 lignes : non imprimée","OK")))))))))))))</f>
        <v/>
      </c>
      <c r="O674" s="59" t="str">
        <f>IF(A674="","",COUNTIF($A$6:A674,A674))</f>
        <v/>
      </c>
      <c r="P674" s="62" t="str">
        <f>IF(A674="","",A674&amp;"|"&amp;O674)</f>
        <v/>
      </c>
    </row>
    <row r="675">
      <c r="A675" s="60" t="n"/>
      <c r="B675" s="63" t="n"/>
      <c r="C675" s="63" t="n"/>
      <c r="D675" s="67" t="n"/>
      <c r="E675" s="68" t="n"/>
      <c r="F675" s="69" t="n"/>
      <c r="G675" s="70" t="n"/>
      <c r="H675" s="62" t="str">
        <f>IF(COUNTA(A675:G675)=0,"",IF(C675&lt;&gt;"",C675,IF(B675="","",IFERROR(INDEX(pr_des,MATCH(B675,pr_code,0))&amp;"",""))))</f>
        <v/>
      </c>
      <c r="I675" s="59" t="str">
        <f>IF(B675="","",IFERROR(INDEX(pr_unit,MATCH(B675,pr_code,0))&amp;"",""))</f>
        <v/>
      </c>
      <c r="J675" s="65" t="str">
        <f>IF(COUNTA(A675:G675)=0,"",IF(E675&lt;&gt;"",E675,IF(B675="","",IFERROR(IF(INDEX(pr_price,MATCH(B675,pr_code,0))="","",INDEX(pr_price,MATCH(B675,pr_code,0))),""))))</f>
        <v/>
      </c>
      <c r="K675" s="71" t="str">
        <f>IF(COUNTA(A675:G675)=0,"",IF(G675&lt;&gt;"",G675,IF(B675="","",IFERROR(IF(INDEX(pr_rate,MATCH(B675,pr_code,0))="","",INDEX(pr_rate,MATCH(B675,pr_code,0))),""))))</f>
        <v/>
      </c>
      <c r="L675" s="65" t="str">
        <f>IF(COUNTA(A675:G675)=0,"",IF(AND(ISNUMBER(D675),ISNUMBER(J675)),ROUND(D675*J675*(1-N(F675)),2),0))</f>
        <v/>
      </c>
      <c r="M675" s="62" t="str">
        <f>IF(A675="","",IFERROR(INDEX(fa_cname,MATCH(A675,fa_num,0))&amp;"",""))</f>
        <v/>
      </c>
      <c r="N675" s="59" t="str">
        <f>IF(COUNTA(A675:G675)=0,"",IF(A675="","N° facture manquant",IF(ISNA(MATCH(A675,fa_num,0)),"Facture inconnue",IF(AND(B675&lt;&gt;"",ISNA(MATCH(B675,pr_code,0))),"Article inconnu",IF(H675="","Désignation manquante",IF(OR(NOT(ISNUMBER(D675)),N(D675)&lt;=0),"Quantité invalide",IF(J675="","Prix manquant",IF(OR(NOT(ISNUMBER(J675)),N(J675)&lt;0),"Prix invalide",IF(OR(AND(F675&lt;&gt;"",NOT(ISNUMBER(F675))),N(F675)&lt;0,N(F675)&gt;1),"Remise invalide",IF(K675="","Taux de TVA manquant",IF(NOT(ISNUMBER(K675)),"Taux de TVA invalide",IF(COUNTIF(p_rates,K675)=0,"Taux de TVA hors liste (Paramètres)",IF(N(O675)&gt;25,"Au-delà de 25 lignes : non imprimée","OK")))))))))))))</f>
        <v/>
      </c>
      <c r="O675" s="59" t="str">
        <f>IF(A675="","",COUNTIF($A$6:A675,A675))</f>
        <v/>
      </c>
      <c r="P675" s="62" t="str">
        <f>IF(A675="","",A675&amp;"|"&amp;O675)</f>
        <v/>
      </c>
    </row>
    <row r="676">
      <c r="A676" s="60" t="n"/>
      <c r="B676" s="63" t="n"/>
      <c r="C676" s="63" t="n"/>
      <c r="D676" s="67" t="n"/>
      <c r="E676" s="68" t="n"/>
      <c r="F676" s="69" t="n"/>
      <c r="G676" s="70" t="n"/>
      <c r="H676" s="62" t="str">
        <f>IF(COUNTA(A676:G676)=0,"",IF(C676&lt;&gt;"",C676,IF(B676="","",IFERROR(INDEX(pr_des,MATCH(B676,pr_code,0))&amp;"",""))))</f>
        <v/>
      </c>
      <c r="I676" s="59" t="str">
        <f>IF(B676="","",IFERROR(INDEX(pr_unit,MATCH(B676,pr_code,0))&amp;"",""))</f>
        <v/>
      </c>
      <c r="J676" s="65" t="str">
        <f>IF(COUNTA(A676:G676)=0,"",IF(E676&lt;&gt;"",E676,IF(B676="","",IFERROR(IF(INDEX(pr_price,MATCH(B676,pr_code,0))="","",INDEX(pr_price,MATCH(B676,pr_code,0))),""))))</f>
        <v/>
      </c>
      <c r="K676" s="71" t="str">
        <f>IF(COUNTA(A676:G676)=0,"",IF(G676&lt;&gt;"",G676,IF(B676="","",IFERROR(IF(INDEX(pr_rate,MATCH(B676,pr_code,0))="","",INDEX(pr_rate,MATCH(B676,pr_code,0))),""))))</f>
        <v/>
      </c>
      <c r="L676" s="65" t="str">
        <f>IF(COUNTA(A676:G676)=0,"",IF(AND(ISNUMBER(D676),ISNUMBER(J676)),ROUND(D676*J676*(1-N(F676)),2),0))</f>
        <v/>
      </c>
      <c r="M676" s="62" t="str">
        <f>IF(A676="","",IFERROR(INDEX(fa_cname,MATCH(A676,fa_num,0))&amp;"",""))</f>
        <v/>
      </c>
      <c r="N676" s="59" t="str">
        <f>IF(COUNTA(A676:G676)=0,"",IF(A676="","N° facture manquant",IF(ISNA(MATCH(A676,fa_num,0)),"Facture inconnue",IF(AND(B676&lt;&gt;"",ISNA(MATCH(B676,pr_code,0))),"Article inconnu",IF(H676="","Désignation manquante",IF(OR(NOT(ISNUMBER(D676)),N(D676)&lt;=0),"Quantité invalide",IF(J676="","Prix manquant",IF(OR(NOT(ISNUMBER(J676)),N(J676)&lt;0),"Prix invalide",IF(OR(AND(F676&lt;&gt;"",NOT(ISNUMBER(F676))),N(F676)&lt;0,N(F676)&gt;1),"Remise invalide",IF(K676="","Taux de TVA manquant",IF(NOT(ISNUMBER(K676)),"Taux de TVA invalide",IF(COUNTIF(p_rates,K676)=0,"Taux de TVA hors liste (Paramètres)",IF(N(O676)&gt;25,"Au-delà de 25 lignes : non imprimée","OK")))))))))))))</f>
        <v/>
      </c>
      <c r="O676" s="59" t="str">
        <f>IF(A676="","",COUNTIF($A$6:A676,A676))</f>
        <v/>
      </c>
      <c r="P676" s="62" t="str">
        <f>IF(A676="","",A676&amp;"|"&amp;O676)</f>
        <v/>
      </c>
    </row>
    <row r="677">
      <c r="A677" s="60" t="n"/>
      <c r="B677" s="63" t="n"/>
      <c r="C677" s="63" t="n"/>
      <c r="D677" s="67" t="n"/>
      <c r="E677" s="68" t="n"/>
      <c r="F677" s="69" t="n"/>
      <c r="G677" s="70" t="n"/>
      <c r="H677" s="62" t="str">
        <f>IF(COUNTA(A677:G677)=0,"",IF(C677&lt;&gt;"",C677,IF(B677="","",IFERROR(INDEX(pr_des,MATCH(B677,pr_code,0))&amp;"",""))))</f>
        <v/>
      </c>
      <c r="I677" s="59" t="str">
        <f>IF(B677="","",IFERROR(INDEX(pr_unit,MATCH(B677,pr_code,0))&amp;"",""))</f>
        <v/>
      </c>
      <c r="J677" s="65" t="str">
        <f>IF(COUNTA(A677:G677)=0,"",IF(E677&lt;&gt;"",E677,IF(B677="","",IFERROR(IF(INDEX(pr_price,MATCH(B677,pr_code,0))="","",INDEX(pr_price,MATCH(B677,pr_code,0))),""))))</f>
        <v/>
      </c>
      <c r="K677" s="71" t="str">
        <f>IF(COUNTA(A677:G677)=0,"",IF(G677&lt;&gt;"",G677,IF(B677="","",IFERROR(IF(INDEX(pr_rate,MATCH(B677,pr_code,0))="","",INDEX(pr_rate,MATCH(B677,pr_code,0))),""))))</f>
        <v/>
      </c>
      <c r="L677" s="65" t="str">
        <f>IF(COUNTA(A677:G677)=0,"",IF(AND(ISNUMBER(D677),ISNUMBER(J677)),ROUND(D677*J677*(1-N(F677)),2),0))</f>
        <v/>
      </c>
      <c r="M677" s="62" t="str">
        <f>IF(A677="","",IFERROR(INDEX(fa_cname,MATCH(A677,fa_num,0))&amp;"",""))</f>
        <v/>
      </c>
      <c r="N677" s="59" t="str">
        <f>IF(COUNTA(A677:G677)=0,"",IF(A677="","N° facture manquant",IF(ISNA(MATCH(A677,fa_num,0)),"Facture inconnue",IF(AND(B677&lt;&gt;"",ISNA(MATCH(B677,pr_code,0))),"Article inconnu",IF(H677="","Désignation manquante",IF(OR(NOT(ISNUMBER(D677)),N(D677)&lt;=0),"Quantité invalide",IF(J677="","Prix manquant",IF(OR(NOT(ISNUMBER(J677)),N(J677)&lt;0),"Prix invalide",IF(OR(AND(F677&lt;&gt;"",NOT(ISNUMBER(F677))),N(F677)&lt;0,N(F677)&gt;1),"Remise invalide",IF(K677="","Taux de TVA manquant",IF(NOT(ISNUMBER(K677)),"Taux de TVA invalide",IF(COUNTIF(p_rates,K677)=0,"Taux de TVA hors liste (Paramètres)",IF(N(O677)&gt;25,"Au-delà de 25 lignes : non imprimée","OK")))))))))))))</f>
        <v/>
      </c>
      <c r="O677" s="59" t="str">
        <f>IF(A677="","",COUNTIF($A$6:A677,A677))</f>
        <v/>
      </c>
      <c r="P677" s="62" t="str">
        <f>IF(A677="","",A677&amp;"|"&amp;O677)</f>
        <v/>
      </c>
    </row>
    <row r="678">
      <c r="A678" s="60" t="n"/>
      <c r="B678" s="63" t="n"/>
      <c r="C678" s="63" t="n"/>
      <c r="D678" s="67" t="n"/>
      <c r="E678" s="68" t="n"/>
      <c r="F678" s="69" t="n"/>
      <c r="G678" s="70" t="n"/>
      <c r="H678" s="62" t="str">
        <f>IF(COUNTA(A678:G678)=0,"",IF(C678&lt;&gt;"",C678,IF(B678="","",IFERROR(INDEX(pr_des,MATCH(B678,pr_code,0))&amp;"",""))))</f>
        <v/>
      </c>
      <c r="I678" s="59" t="str">
        <f>IF(B678="","",IFERROR(INDEX(pr_unit,MATCH(B678,pr_code,0))&amp;"",""))</f>
        <v/>
      </c>
      <c r="J678" s="65" t="str">
        <f>IF(COUNTA(A678:G678)=0,"",IF(E678&lt;&gt;"",E678,IF(B678="","",IFERROR(IF(INDEX(pr_price,MATCH(B678,pr_code,0))="","",INDEX(pr_price,MATCH(B678,pr_code,0))),""))))</f>
        <v/>
      </c>
      <c r="K678" s="71" t="str">
        <f>IF(COUNTA(A678:G678)=0,"",IF(G678&lt;&gt;"",G678,IF(B678="","",IFERROR(IF(INDEX(pr_rate,MATCH(B678,pr_code,0))="","",INDEX(pr_rate,MATCH(B678,pr_code,0))),""))))</f>
        <v/>
      </c>
      <c r="L678" s="65" t="str">
        <f>IF(COUNTA(A678:G678)=0,"",IF(AND(ISNUMBER(D678),ISNUMBER(J678)),ROUND(D678*J678*(1-N(F678)),2),0))</f>
        <v/>
      </c>
      <c r="M678" s="62" t="str">
        <f>IF(A678="","",IFERROR(INDEX(fa_cname,MATCH(A678,fa_num,0))&amp;"",""))</f>
        <v/>
      </c>
      <c r="N678" s="59" t="str">
        <f>IF(COUNTA(A678:G678)=0,"",IF(A678="","N° facture manquant",IF(ISNA(MATCH(A678,fa_num,0)),"Facture inconnue",IF(AND(B678&lt;&gt;"",ISNA(MATCH(B678,pr_code,0))),"Article inconnu",IF(H678="","Désignation manquante",IF(OR(NOT(ISNUMBER(D678)),N(D678)&lt;=0),"Quantité invalide",IF(J678="","Prix manquant",IF(OR(NOT(ISNUMBER(J678)),N(J678)&lt;0),"Prix invalide",IF(OR(AND(F678&lt;&gt;"",NOT(ISNUMBER(F678))),N(F678)&lt;0,N(F678)&gt;1),"Remise invalide",IF(K678="","Taux de TVA manquant",IF(NOT(ISNUMBER(K678)),"Taux de TVA invalide",IF(COUNTIF(p_rates,K678)=0,"Taux de TVA hors liste (Paramètres)",IF(N(O678)&gt;25,"Au-delà de 25 lignes : non imprimée","OK")))))))))))))</f>
        <v/>
      </c>
      <c r="O678" s="59" t="str">
        <f>IF(A678="","",COUNTIF($A$6:A678,A678))</f>
        <v/>
      </c>
      <c r="P678" s="62" t="str">
        <f>IF(A678="","",A678&amp;"|"&amp;O678)</f>
        <v/>
      </c>
    </row>
    <row r="679">
      <c r="A679" s="60" t="n"/>
      <c r="B679" s="63" t="n"/>
      <c r="C679" s="63" t="n"/>
      <c r="D679" s="67" t="n"/>
      <c r="E679" s="68" t="n"/>
      <c r="F679" s="69" t="n"/>
      <c r="G679" s="70" t="n"/>
      <c r="H679" s="62" t="str">
        <f>IF(COUNTA(A679:G679)=0,"",IF(C679&lt;&gt;"",C679,IF(B679="","",IFERROR(INDEX(pr_des,MATCH(B679,pr_code,0))&amp;"",""))))</f>
        <v/>
      </c>
      <c r="I679" s="59" t="str">
        <f>IF(B679="","",IFERROR(INDEX(pr_unit,MATCH(B679,pr_code,0))&amp;"",""))</f>
        <v/>
      </c>
      <c r="J679" s="65" t="str">
        <f>IF(COUNTA(A679:G679)=0,"",IF(E679&lt;&gt;"",E679,IF(B679="","",IFERROR(IF(INDEX(pr_price,MATCH(B679,pr_code,0))="","",INDEX(pr_price,MATCH(B679,pr_code,0))),""))))</f>
        <v/>
      </c>
      <c r="K679" s="71" t="str">
        <f>IF(COUNTA(A679:G679)=0,"",IF(G679&lt;&gt;"",G679,IF(B679="","",IFERROR(IF(INDEX(pr_rate,MATCH(B679,pr_code,0))="","",INDEX(pr_rate,MATCH(B679,pr_code,0))),""))))</f>
        <v/>
      </c>
      <c r="L679" s="65" t="str">
        <f>IF(COUNTA(A679:G679)=0,"",IF(AND(ISNUMBER(D679),ISNUMBER(J679)),ROUND(D679*J679*(1-N(F679)),2),0))</f>
        <v/>
      </c>
      <c r="M679" s="62" t="str">
        <f>IF(A679="","",IFERROR(INDEX(fa_cname,MATCH(A679,fa_num,0))&amp;"",""))</f>
        <v/>
      </c>
      <c r="N679" s="59" t="str">
        <f>IF(COUNTA(A679:G679)=0,"",IF(A679="","N° facture manquant",IF(ISNA(MATCH(A679,fa_num,0)),"Facture inconnue",IF(AND(B679&lt;&gt;"",ISNA(MATCH(B679,pr_code,0))),"Article inconnu",IF(H679="","Désignation manquante",IF(OR(NOT(ISNUMBER(D679)),N(D679)&lt;=0),"Quantité invalide",IF(J679="","Prix manquant",IF(OR(NOT(ISNUMBER(J679)),N(J679)&lt;0),"Prix invalide",IF(OR(AND(F679&lt;&gt;"",NOT(ISNUMBER(F679))),N(F679)&lt;0,N(F679)&gt;1),"Remise invalide",IF(K679="","Taux de TVA manquant",IF(NOT(ISNUMBER(K679)),"Taux de TVA invalide",IF(COUNTIF(p_rates,K679)=0,"Taux de TVA hors liste (Paramètres)",IF(N(O679)&gt;25,"Au-delà de 25 lignes : non imprimée","OK")))))))))))))</f>
        <v/>
      </c>
      <c r="O679" s="59" t="str">
        <f>IF(A679="","",COUNTIF($A$6:A679,A679))</f>
        <v/>
      </c>
      <c r="P679" s="62" t="str">
        <f>IF(A679="","",A679&amp;"|"&amp;O679)</f>
        <v/>
      </c>
    </row>
    <row r="680">
      <c r="A680" s="60" t="n"/>
      <c r="B680" s="63" t="n"/>
      <c r="C680" s="63" t="n"/>
      <c r="D680" s="67" t="n"/>
      <c r="E680" s="68" t="n"/>
      <c r="F680" s="69" t="n"/>
      <c r="G680" s="70" t="n"/>
      <c r="H680" s="62" t="str">
        <f>IF(COUNTA(A680:G680)=0,"",IF(C680&lt;&gt;"",C680,IF(B680="","",IFERROR(INDEX(pr_des,MATCH(B680,pr_code,0))&amp;"",""))))</f>
        <v/>
      </c>
      <c r="I680" s="59" t="str">
        <f>IF(B680="","",IFERROR(INDEX(pr_unit,MATCH(B680,pr_code,0))&amp;"",""))</f>
        <v/>
      </c>
      <c r="J680" s="65" t="str">
        <f>IF(COUNTA(A680:G680)=0,"",IF(E680&lt;&gt;"",E680,IF(B680="","",IFERROR(IF(INDEX(pr_price,MATCH(B680,pr_code,0))="","",INDEX(pr_price,MATCH(B680,pr_code,0))),""))))</f>
        <v/>
      </c>
      <c r="K680" s="71" t="str">
        <f>IF(COUNTA(A680:G680)=0,"",IF(G680&lt;&gt;"",G680,IF(B680="","",IFERROR(IF(INDEX(pr_rate,MATCH(B680,pr_code,0))="","",INDEX(pr_rate,MATCH(B680,pr_code,0))),""))))</f>
        <v/>
      </c>
      <c r="L680" s="65" t="str">
        <f>IF(COUNTA(A680:G680)=0,"",IF(AND(ISNUMBER(D680),ISNUMBER(J680)),ROUND(D680*J680*(1-N(F680)),2),0))</f>
        <v/>
      </c>
      <c r="M680" s="62" t="str">
        <f>IF(A680="","",IFERROR(INDEX(fa_cname,MATCH(A680,fa_num,0))&amp;"",""))</f>
        <v/>
      </c>
      <c r="N680" s="59" t="str">
        <f>IF(COUNTA(A680:G680)=0,"",IF(A680="","N° facture manquant",IF(ISNA(MATCH(A680,fa_num,0)),"Facture inconnue",IF(AND(B680&lt;&gt;"",ISNA(MATCH(B680,pr_code,0))),"Article inconnu",IF(H680="","Désignation manquante",IF(OR(NOT(ISNUMBER(D680)),N(D680)&lt;=0),"Quantité invalide",IF(J680="","Prix manquant",IF(OR(NOT(ISNUMBER(J680)),N(J680)&lt;0),"Prix invalide",IF(OR(AND(F680&lt;&gt;"",NOT(ISNUMBER(F680))),N(F680)&lt;0,N(F680)&gt;1),"Remise invalide",IF(K680="","Taux de TVA manquant",IF(NOT(ISNUMBER(K680)),"Taux de TVA invalide",IF(COUNTIF(p_rates,K680)=0,"Taux de TVA hors liste (Paramètres)",IF(N(O680)&gt;25,"Au-delà de 25 lignes : non imprimée","OK")))))))))))))</f>
        <v/>
      </c>
      <c r="O680" s="59" t="str">
        <f>IF(A680="","",COUNTIF($A$6:A680,A680))</f>
        <v/>
      </c>
      <c r="P680" s="62" t="str">
        <f>IF(A680="","",A680&amp;"|"&amp;O680)</f>
        <v/>
      </c>
    </row>
    <row r="681">
      <c r="A681" s="60" t="n"/>
      <c r="B681" s="63" t="n"/>
      <c r="C681" s="63" t="n"/>
      <c r="D681" s="67" t="n"/>
      <c r="E681" s="68" t="n"/>
      <c r="F681" s="69" t="n"/>
      <c r="G681" s="70" t="n"/>
      <c r="H681" s="62" t="str">
        <f>IF(COUNTA(A681:G681)=0,"",IF(C681&lt;&gt;"",C681,IF(B681="","",IFERROR(INDEX(pr_des,MATCH(B681,pr_code,0))&amp;"",""))))</f>
        <v/>
      </c>
      <c r="I681" s="59" t="str">
        <f>IF(B681="","",IFERROR(INDEX(pr_unit,MATCH(B681,pr_code,0))&amp;"",""))</f>
        <v/>
      </c>
      <c r="J681" s="65" t="str">
        <f>IF(COUNTA(A681:G681)=0,"",IF(E681&lt;&gt;"",E681,IF(B681="","",IFERROR(IF(INDEX(pr_price,MATCH(B681,pr_code,0))="","",INDEX(pr_price,MATCH(B681,pr_code,0))),""))))</f>
        <v/>
      </c>
      <c r="K681" s="71" t="str">
        <f>IF(COUNTA(A681:G681)=0,"",IF(G681&lt;&gt;"",G681,IF(B681="","",IFERROR(IF(INDEX(pr_rate,MATCH(B681,pr_code,0))="","",INDEX(pr_rate,MATCH(B681,pr_code,0))),""))))</f>
        <v/>
      </c>
      <c r="L681" s="65" t="str">
        <f>IF(COUNTA(A681:G681)=0,"",IF(AND(ISNUMBER(D681),ISNUMBER(J681)),ROUND(D681*J681*(1-N(F681)),2),0))</f>
        <v/>
      </c>
      <c r="M681" s="62" t="str">
        <f>IF(A681="","",IFERROR(INDEX(fa_cname,MATCH(A681,fa_num,0))&amp;"",""))</f>
        <v/>
      </c>
      <c r="N681" s="59" t="str">
        <f>IF(COUNTA(A681:G681)=0,"",IF(A681="","N° facture manquant",IF(ISNA(MATCH(A681,fa_num,0)),"Facture inconnue",IF(AND(B681&lt;&gt;"",ISNA(MATCH(B681,pr_code,0))),"Article inconnu",IF(H681="","Désignation manquante",IF(OR(NOT(ISNUMBER(D681)),N(D681)&lt;=0),"Quantité invalide",IF(J681="","Prix manquant",IF(OR(NOT(ISNUMBER(J681)),N(J681)&lt;0),"Prix invalide",IF(OR(AND(F681&lt;&gt;"",NOT(ISNUMBER(F681))),N(F681)&lt;0,N(F681)&gt;1),"Remise invalide",IF(K681="","Taux de TVA manquant",IF(NOT(ISNUMBER(K681)),"Taux de TVA invalide",IF(COUNTIF(p_rates,K681)=0,"Taux de TVA hors liste (Paramètres)",IF(N(O681)&gt;25,"Au-delà de 25 lignes : non imprimée","OK")))))))))))))</f>
        <v/>
      </c>
      <c r="O681" s="59" t="str">
        <f>IF(A681="","",COUNTIF($A$6:A681,A681))</f>
        <v/>
      </c>
      <c r="P681" s="62" t="str">
        <f>IF(A681="","",A681&amp;"|"&amp;O681)</f>
        <v/>
      </c>
    </row>
    <row r="682">
      <c r="A682" s="60" t="n"/>
      <c r="B682" s="63" t="n"/>
      <c r="C682" s="63" t="n"/>
      <c r="D682" s="67" t="n"/>
      <c r="E682" s="68" t="n"/>
      <c r="F682" s="69" t="n"/>
      <c r="G682" s="70" t="n"/>
      <c r="H682" s="62" t="str">
        <f>IF(COUNTA(A682:G682)=0,"",IF(C682&lt;&gt;"",C682,IF(B682="","",IFERROR(INDEX(pr_des,MATCH(B682,pr_code,0))&amp;"",""))))</f>
        <v/>
      </c>
      <c r="I682" s="59" t="str">
        <f>IF(B682="","",IFERROR(INDEX(pr_unit,MATCH(B682,pr_code,0))&amp;"",""))</f>
        <v/>
      </c>
      <c r="J682" s="65" t="str">
        <f>IF(COUNTA(A682:G682)=0,"",IF(E682&lt;&gt;"",E682,IF(B682="","",IFERROR(IF(INDEX(pr_price,MATCH(B682,pr_code,0))="","",INDEX(pr_price,MATCH(B682,pr_code,0))),""))))</f>
        <v/>
      </c>
      <c r="K682" s="71" t="str">
        <f>IF(COUNTA(A682:G682)=0,"",IF(G682&lt;&gt;"",G682,IF(B682="","",IFERROR(IF(INDEX(pr_rate,MATCH(B682,pr_code,0))="","",INDEX(pr_rate,MATCH(B682,pr_code,0))),""))))</f>
        <v/>
      </c>
      <c r="L682" s="65" t="str">
        <f>IF(COUNTA(A682:G682)=0,"",IF(AND(ISNUMBER(D682),ISNUMBER(J682)),ROUND(D682*J682*(1-N(F682)),2),0))</f>
        <v/>
      </c>
      <c r="M682" s="62" t="str">
        <f>IF(A682="","",IFERROR(INDEX(fa_cname,MATCH(A682,fa_num,0))&amp;"",""))</f>
        <v/>
      </c>
      <c r="N682" s="59" t="str">
        <f>IF(COUNTA(A682:G682)=0,"",IF(A682="","N° facture manquant",IF(ISNA(MATCH(A682,fa_num,0)),"Facture inconnue",IF(AND(B682&lt;&gt;"",ISNA(MATCH(B682,pr_code,0))),"Article inconnu",IF(H682="","Désignation manquante",IF(OR(NOT(ISNUMBER(D682)),N(D682)&lt;=0),"Quantité invalide",IF(J682="","Prix manquant",IF(OR(NOT(ISNUMBER(J682)),N(J682)&lt;0),"Prix invalide",IF(OR(AND(F682&lt;&gt;"",NOT(ISNUMBER(F682))),N(F682)&lt;0,N(F682)&gt;1),"Remise invalide",IF(K682="","Taux de TVA manquant",IF(NOT(ISNUMBER(K682)),"Taux de TVA invalide",IF(COUNTIF(p_rates,K682)=0,"Taux de TVA hors liste (Paramètres)",IF(N(O682)&gt;25,"Au-delà de 25 lignes : non imprimée","OK")))))))))))))</f>
        <v/>
      </c>
      <c r="O682" s="59" t="str">
        <f>IF(A682="","",COUNTIF($A$6:A682,A682))</f>
        <v/>
      </c>
      <c r="P682" s="62" t="str">
        <f>IF(A682="","",A682&amp;"|"&amp;O682)</f>
        <v/>
      </c>
    </row>
    <row r="683">
      <c r="A683" s="60" t="n"/>
      <c r="B683" s="63" t="n"/>
      <c r="C683" s="63" t="n"/>
      <c r="D683" s="67" t="n"/>
      <c r="E683" s="68" t="n"/>
      <c r="F683" s="69" t="n"/>
      <c r="G683" s="70" t="n"/>
      <c r="H683" s="62" t="str">
        <f>IF(COUNTA(A683:G683)=0,"",IF(C683&lt;&gt;"",C683,IF(B683="","",IFERROR(INDEX(pr_des,MATCH(B683,pr_code,0))&amp;"",""))))</f>
        <v/>
      </c>
      <c r="I683" s="59" t="str">
        <f>IF(B683="","",IFERROR(INDEX(pr_unit,MATCH(B683,pr_code,0))&amp;"",""))</f>
        <v/>
      </c>
      <c r="J683" s="65" t="str">
        <f>IF(COUNTA(A683:G683)=0,"",IF(E683&lt;&gt;"",E683,IF(B683="","",IFERROR(IF(INDEX(pr_price,MATCH(B683,pr_code,0))="","",INDEX(pr_price,MATCH(B683,pr_code,0))),""))))</f>
        <v/>
      </c>
      <c r="K683" s="71" t="str">
        <f>IF(COUNTA(A683:G683)=0,"",IF(G683&lt;&gt;"",G683,IF(B683="","",IFERROR(IF(INDEX(pr_rate,MATCH(B683,pr_code,0))="","",INDEX(pr_rate,MATCH(B683,pr_code,0))),""))))</f>
        <v/>
      </c>
      <c r="L683" s="65" t="str">
        <f>IF(COUNTA(A683:G683)=0,"",IF(AND(ISNUMBER(D683),ISNUMBER(J683)),ROUND(D683*J683*(1-N(F683)),2),0))</f>
        <v/>
      </c>
      <c r="M683" s="62" t="str">
        <f>IF(A683="","",IFERROR(INDEX(fa_cname,MATCH(A683,fa_num,0))&amp;"",""))</f>
        <v/>
      </c>
      <c r="N683" s="59" t="str">
        <f>IF(COUNTA(A683:G683)=0,"",IF(A683="","N° facture manquant",IF(ISNA(MATCH(A683,fa_num,0)),"Facture inconnue",IF(AND(B683&lt;&gt;"",ISNA(MATCH(B683,pr_code,0))),"Article inconnu",IF(H683="","Désignation manquante",IF(OR(NOT(ISNUMBER(D683)),N(D683)&lt;=0),"Quantité invalide",IF(J683="","Prix manquant",IF(OR(NOT(ISNUMBER(J683)),N(J683)&lt;0),"Prix invalide",IF(OR(AND(F683&lt;&gt;"",NOT(ISNUMBER(F683))),N(F683)&lt;0,N(F683)&gt;1),"Remise invalide",IF(K683="","Taux de TVA manquant",IF(NOT(ISNUMBER(K683)),"Taux de TVA invalide",IF(COUNTIF(p_rates,K683)=0,"Taux de TVA hors liste (Paramètres)",IF(N(O683)&gt;25,"Au-delà de 25 lignes : non imprimée","OK")))))))))))))</f>
        <v/>
      </c>
      <c r="O683" s="59" t="str">
        <f>IF(A683="","",COUNTIF($A$6:A683,A683))</f>
        <v/>
      </c>
      <c r="P683" s="62" t="str">
        <f>IF(A683="","",A683&amp;"|"&amp;O683)</f>
        <v/>
      </c>
    </row>
    <row r="684">
      <c r="A684" s="60" t="n"/>
      <c r="B684" s="63" t="n"/>
      <c r="C684" s="63" t="n"/>
      <c r="D684" s="67" t="n"/>
      <c r="E684" s="68" t="n"/>
      <c r="F684" s="69" t="n"/>
      <c r="G684" s="70" t="n"/>
      <c r="H684" s="62" t="str">
        <f>IF(COUNTA(A684:G684)=0,"",IF(C684&lt;&gt;"",C684,IF(B684="","",IFERROR(INDEX(pr_des,MATCH(B684,pr_code,0))&amp;"",""))))</f>
        <v/>
      </c>
      <c r="I684" s="59" t="str">
        <f>IF(B684="","",IFERROR(INDEX(pr_unit,MATCH(B684,pr_code,0))&amp;"",""))</f>
        <v/>
      </c>
      <c r="J684" s="65" t="str">
        <f>IF(COUNTA(A684:G684)=0,"",IF(E684&lt;&gt;"",E684,IF(B684="","",IFERROR(IF(INDEX(pr_price,MATCH(B684,pr_code,0))="","",INDEX(pr_price,MATCH(B684,pr_code,0))),""))))</f>
        <v/>
      </c>
      <c r="K684" s="71" t="str">
        <f>IF(COUNTA(A684:G684)=0,"",IF(G684&lt;&gt;"",G684,IF(B684="","",IFERROR(IF(INDEX(pr_rate,MATCH(B684,pr_code,0))="","",INDEX(pr_rate,MATCH(B684,pr_code,0))),""))))</f>
        <v/>
      </c>
      <c r="L684" s="65" t="str">
        <f>IF(COUNTA(A684:G684)=0,"",IF(AND(ISNUMBER(D684),ISNUMBER(J684)),ROUND(D684*J684*(1-N(F684)),2),0))</f>
        <v/>
      </c>
      <c r="M684" s="62" t="str">
        <f>IF(A684="","",IFERROR(INDEX(fa_cname,MATCH(A684,fa_num,0))&amp;"",""))</f>
        <v/>
      </c>
      <c r="N684" s="59" t="str">
        <f>IF(COUNTA(A684:G684)=0,"",IF(A684="","N° facture manquant",IF(ISNA(MATCH(A684,fa_num,0)),"Facture inconnue",IF(AND(B684&lt;&gt;"",ISNA(MATCH(B684,pr_code,0))),"Article inconnu",IF(H684="","Désignation manquante",IF(OR(NOT(ISNUMBER(D684)),N(D684)&lt;=0),"Quantité invalide",IF(J684="","Prix manquant",IF(OR(NOT(ISNUMBER(J684)),N(J684)&lt;0),"Prix invalide",IF(OR(AND(F684&lt;&gt;"",NOT(ISNUMBER(F684))),N(F684)&lt;0,N(F684)&gt;1),"Remise invalide",IF(K684="","Taux de TVA manquant",IF(NOT(ISNUMBER(K684)),"Taux de TVA invalide",IF(COUNTIF(p_rates,K684)=0,"Taux de TVA hors liste (Paramètres)",IF(N(O684)&gt;25,"Au-delà de 25 lignes : non imprimée","OK")))))))))))))</f>
        <v/>
      </c>
      <c r="O684" s="59" t="str">
        <f>IF(A684="","",COUNTIF($A$6:A684,A684))</f>
        <v/>
      </c>
      <c r="P684" s="62" t="str">
        <f>IF(A684="","",A684&amp;"|"&amp;O684)</f>
        <v/>
      </c>
    </row>
    <row r="685">
      <c r="A685" s="60" t="n"/>
      <c r="B685" s="63" t="n"/>
      <c r="C685" s="63" t="n"/>
      <c r="D685" s="67" t="n"/>
      <c r="E685" s="68" t="n"/>
      <c r="F685" s="69" t="n"/>
      <c r="G685" s="70" t="n"/>
      <c r="H685" s="62" t="str">
        <f>IF(COUNTA(A685:G685)=0,"",IF(C685&lt;&gt;"",C685,IF(B685="","",IFERROR(INDEX(pr_des,MATCH(B685,pr_code,0))&amp;"",""))))</f>
        <v/>
      </c>
      <c r="I685" s="59" t="str">
        <f>IF(B685="","",IFERROR(INDEX(pr_unit,MATCH(B685,pr_code,0))&amp;"",""))</f>
        <v/>
      </c>
      <c r="J685" s="65" t="str">
        <f>IF(COUNTA(A685:G685)=0,"",IF(E685&lt;&gt;"",E685,IF(B685="","",IFERROR(IF(INDEX(pr_price,MATCH(B685,pr_code,0))="","",INDEX(pr_price,MATCH(B685,pr_code,0))),""))))</f>
        <v/>
      </c>
      <c r="K685" s="71" t="str">
        <f>IF(COUNTA(A685:G685)=0,"",IF(G685&lt;&gt;"",G685,IF(B685="","",IFERROR(IF(INDEX(pr_rate,MATCH(B685,pr_code,0))="","",INDEX(pr_rate,MATCH(B685,pr_code,0))),""))))</f>
        <v/>
      </c>
      <c r="L685" s="65" t="str">
        <f>IF(COUNTA(A685:G685)=0,"",IF(AND(ISNUMBER(D685),ISNUMBER(J685)),ROUND(D685*J685*(1-N(F685)),2),0))</f>
        <v/>
      </c>
      <c r="M685" s="62" t="str">
        <f>IF(A685="","",IFERROR(INDEX(fa_cname,MATCH(A685,fa_num,0))&amp;"",""))</f>
        <v/>
      </c>
      <c r="N685" s="59" t="str">
        <f>IF(COUNTA(A685:G685)=0,"",IF(A685="","N° facture manquant",IF(ISNA(MATCH(A685,fa_num,0)),"Facture inconnue",IF(AND(B685&lt;&gt;"",ISNA(MATCH(B685,pr_code,0))),"Article inconnu",IF(H685="","Désignation manquante",IF(OR(NOT(ISNUMBER(D685)),N(D685)&lt;=0),"Quantité invalide",IF(J685="","Prix manquant",IF(OR(NOT(ISNUMBER(J685)),N(J685)&lt;0),"Prix invalide",IF(OR(AND(F685&lt;&gt;"",NOT(ISNUMBER(F685))),N(F685)&lt;0,N(F685)&gt;1),"Remise invalide",IF(K685="","Taux de TVA manquant",IF(NOT(ISNUMBER(K685)),"Taux de TVA invalide",IF(COUNTIF(p_rates,K685)=0,"Taux de TVA hors liste (Paramètres)",IF(N(O685)&gt;25,"Au-delà de 25 lignes : non imprimée","OK")))))))))))))</f>
        <v/>
      </c>
      <c r="O685" s="59" t="str">
        <f>IF(A685="","",COUNTIF($A$6:A685,A685))</f>
        <v/>
      </c>
      <c r="P685" s="62" t="str">
        <f>IF(A685="","",A685&amp;"|"&amp;O685)</f>
        <v/>
      </c>
    </row>
    <row r="686">
      <c r="A686" s="60" t="n"/>
      <c r="B686" s="63" t="n"/>
      <c r="C686" s="63" t="n"/>
      <c r="D686" s="67" t="n"/>
      <c r="E686" s="68" t="n"/>
      <c r="F686" s="69" t="n"/>
      <c r="G686" s="70" t="n"/>
      <c r="H686" s="62" t="str">
        <f>IF(COUNTA(A686:G686)=0,"",IF(C686&lt;&gt;"",C686,IF(B686="","",IFERROR(INDEX(pr_des,MATCH(B686,pr_code,0))&amp;"",""))))</f>
        <v/>
      </c>
      <c r="I686" s="59" t="str">
        <f>IF(B686="","",IFERROR(INDEX(pr_unit,MATCH(B686,pr_code,0))&amp;"",""))</f>
        <v/>
      </c>
      <c r="J686" s="65" t="str">
        <f>IF(COUNTA(A686:G686)=0,"",IF(E686&lt;&gt;"",E686,IF(B686="","",IFERROR(IF(INDEX(pr_price,MATCH(B686,pr_code,0))="","",INDEX(pr_price,MATCH(B686,pr_code,0))),""))))</f>
        <v/>
      </c>
      <c r="K686" s="71" t="str">
        <f>IF(COUNTA(A686:G686)=0,"",IF(G686&lt;&gt;"",G686,IF(B686="","",IFERROR(IF(INDEX(pr_rate,MATCH(B686,pr_code,0))="","",INDEX(pr_rate,MATCH(B686,pr_code,0))),""))))</f>
        <v/>
      </c>
      <c r="L686" s="65" t="str">
        <f>IF(COUNTA(A686:G686)=0,"",IF(AND(ISNUMBER(D686),ISNUMBER(J686)),ROUND(D686*J686*(1-N(F686)),2),0))</f>
        <v/>
      </c>
      <c r="M686" s="62" t="str">
        <f>IF(A686="","",IFERROR(INDEX(fa_cname,MATCH(A686,fa_num,0))&amp;"",""))</f>
        <v/>
      </c>
      <c r="N686" s="59" t="str">
        <f>IF(COUNTA(A686:G686)=0,"",IF(A686="","N° facture manquant",IF(ISNA(MATCH(A686,fa_num,0)),"Facture inconnue",IF(AND(B686&lt;&gt;"",ISNA(MATCH(B686,pr_code,0))),"Article inconnu",IF(H686="","Désignation manquante",IF(OR(NOT(ISNUMBER(D686)),N(D686)&lt;=0),"Quantité invalide",IF(J686="","Prix manquant",IF(OR(NOT(ISNUMBER(J686)),N(J686)&lt;0),"Prix invalide",IF(OR(AND(F686&lt;&gt;"",NOT(ISNUMBER(F686))),N(F686)&lt;0,N(F686)&gt;1),"Remise invalide",IF(K686="","Taux de TVA manquant",IF(NOT(ISNUMBER(K686)),"Taux de TVA invalide",IF(COUNTIF(p_rates,K686)=0,"Taux de TVA hors liste (Paramètres)",IF(N(O686)&gt;25,"Au-delà de 25 lignes : non imprimée","OK")))))))))))))</f>
        <v/>
      </c>
      <c r="O686" s="59" t="str">
        <f>IF(A686="","",COUNTIF($A$6:A686,A686))</f>
        <v/>
      </c>
      <c r="P686" s="62" t="str">
        <f>IF(A686="","",A686&amp;"|"&amp;O686)</f>
        <v/>
      </c>
    </row>
    <row r="687">
      <c r="A687" s="60" t="n"/>
      <c r="B687" s="63" t="n"/>
      <c r="C687" s="63" t="n"/>
      <c r="D687" s="67" t="n"/>
      <c r="E687" s="68" t="n"/>
      <c r="F687" s="69" t="n"/>
      <c r="G687" s="70" t="n"/>
      <c r="H687" s="62" t="str">
        <f>IF(COUNTA(A687:G687)=0,"",IF(C687&lt;&gt;"",C687,IF(B687="","",IFERROR(INDEX(pr_des,MATCH(B687,pr_code,0))&amp;"",""))))</f>
        <v/>
      </c>
      <c r="I687" s="59" t="str">
        <f>IF(B687="","",IFERROR(INDEX(pr_unit,MATCH(B687,pr_code,0))&amp;"",""))</f>
        <v/>
      </c>
      <c r="J687" s="65" t="str">
        <f>IF(COUNTA(A687:G687)=0,"",IF(E687&lt;&gt;"",E687,IF(B687="","",IFERROR(IF(INDEX(pr_price,MATCH(B687,pr_code,0))="","",INDEX(pr_price,MATCH(B687,pr_code,0))),""))))</f>
        <v/>
      </c>
      <c r="K687" s="71" t="str">
        <f>IF(COUNTA(A687:G687)=0,"",IF(G687&lt;&gt;"",G687,IF(B687="","",IFERROR(IF(INDEX(pr_rate,MATCH(B687,pr_code,0))="","",INDEX(pr_rate,MATCH(B687,pr_code,0))),""))))</f>
        <v/>
      </c>
      <c r="L687" s="65" t="str">
        <f>IF(COUNTA(A687:G687)=0,"",IF(AND(ISNUMBER(D687),ISNUMBER(J687)),ROUND(D687*J687*(1-N(F687)),2),0))</f>
        <v/>
      </c>
      <c r="M687" s="62" t="str">
        <f>IF(A687="","",IFERROR(INDEX(fa_cname,MATCH(A687,fa_num,0))&amp;"",""))</f>
        <v/>
      </c>
      <c r="N687" s="59" t="str">
        <f>IF(COUNTA(A687:G687)=0,"",IF(A687="","N° facture manquant",IF(ISNA(MATCH(A687,fa_num,0)),"Facture inconnue",IF(AND(B687&lt;&gt;"",ISNA(MATCH(B687,pr_code,0))),"Article inconnu",IF(H687="","Désignation manquante",IF(OR(NOT(ISNUMBER(D687)),N(D687)&lt;=0),"Quantité invalide",IF(J687="","Prix manquant",IF(OR(NOT(ISNUMBER(J687)),N(J687)&lt;0),"Prix invalide",IF(OR(AND(F687&lt;&gt;"",NOT(ISNUMBER(F687))),N(F687)&lt;0,N(F687)&gt;1),"Remise invalide",IF(K687="","Taux de TVA manquant",IF(NOT(ISNUMBER(K687)),"Taux de TVA invalide",IF(COUNTIF(p_rates,K687)=0,"Taux de TVA hors liste (Paramètres)",IF(N(O687)&gt;25,"Au-delà de 25 lignes : non imprimée","OK")))))))))))))</f>
        <v/>
      </c>
      <c r="O687" s="59" t="str">
        <f>IF(A687="","",COUNTIF($A$6:A687,A687))</f>
        <v/>
      </c>
      <c r="P687" s="62" t="str">
        <f>IF(A687="","",A687&amp;"|"&amp;O687)</f>
        <v/>
      </c>
    </row>
    <row r="688">
      <c r="A688" s="60" t="n"/>
      <c r="B688" s="63" t="n"/>
      <c r="C688" s="63" t="n"/>
      <c r="D688" s="67" t="n"/>
      <c r="E688" s="68" t="n"/>
      <c r="F688" s="69" t="n"/>
      <c r="G688" s="70" t="n"/>
      <c r="H688" s="62" t="str">
        <f>IF(COUNTA(A688:G688)=0,"",IF(C688&lt;&gt;"",C688,IF(B688="","",IFERROR(INDEX(pr_des,MATCH(B688,pr_code,0))&amp;"",""))))</f>
        <v/>
      </c>
      <c r="I688" s="59" t="str">
        <f>IF(B688="","",IFERROR(INDEX(pr_unit,MATCH(B688,pr_code,0))&amp;"",""))</f>
        <v/>
      </c>
      <c r="J688" s="65" t="str">
        <f>IF(COUNTA(A688:G688)=0,"",IF(E688&lt;&gt;"",E688,IF(B688="","",IFERROR(IF(INDEX(pr_price,MATCH(B688,pr_code,0))="","",INDEX(pr_price,MATCH(B688,pr_code,0))),""))))</f>
        <v/>
      </c>
      <c r="K688" s="71" t="str">
        <f>IF(COUNTA(A688:G688)=0,"",IF(G688&lt;&gt;"",G688,IF(B688="","",IFERROR(IF(INDEX(pr_rate,MATCH(B688,pr_code,0))="","",INDEX(pr_rate,MATCH(B688,pr_code,0))),""))))</f>
        <v/>
      </c>
      <c r="L688" s="65" t="str">
        <f>IF(COUNTA(A688:G688)=0,"",IF(AND(ISNUMBER(D688),ISNUMBER(J688)),ROUND(D688*J688*(1-N(F688)),2),0))</f>
        <v/>
      </c>
      <c r="M688" s="62" t="str">
        <f>IF(A688="","",IFERROR(INDEX(fa_cname,MATCH(A688,fa_num,0))&amp;"",""))</f>
        <v/>
      </c>
      <c r="N688" s="59" t="str">
        <f>IF(COUNTA(A688:G688)=0,"",IF(A688="","N° facture manquant",IF(ISNA(MATCH(A688,fa_num,0)),"Facture inconnue",IF(AND(B688&lt;&gt;"",ISNA(MATCH(B688,pr_code,0))),"Article inconnu",IF(H688="","Désignation manquante",IF(OR(NOT(ISNUMBER(D688)),N(D688)&lt;=0),"Quantité invalide",IF(J688="","Prix manquant",IF(OR(NOT(ISNUMBER(J688)),N(J688)&lt;0),"Prix invalide",IF(OR(AND(F688&lt;&gt;"",NOT(ISNUMBER(F688))),N(F688)&lt;0,N(F688)&gt;1),"Remise invalide",IF(K688="","Taux de TVA manquant",IF(NOT(ISNUMBER(K688)),"Taux de TVA invalide",IF(COUNTIF(p_rates,K688)=0,"Taux de TVA hors liste (Paramètres)",IF(N(O688)&gt;25,"Au-delà de 25 lignes : non imprimée","OK")))))))))))))</f>
        <v/>
      </c>
      <c r="O688" s="59" t="str">
        <f>IF(A688="","",COUNTIF($A$6:A688,A688))</f>
        <v/>
      </c>
      <c r="P688" s="62" t="str">
        <f>IF(A688="","",A688&amp;"|"&amp;O688)</f>
        <v/>
      </c>
    </row>
    <row r="689">
      <c r="A689" s="60" t="n"/>
      <c r="B689" s="63" t="n"/>
      <c r="C689" s="63" t="n"/>
      <c r="D689" s="67" t="n"/>
      <c r="E689" s="68" t="n"/>
      <c r="F689" s="69" t="n"/>
      <c r="G689" s="70" t="n"/>
      <c r="H689" s="62" t="str">
        <f>IF(COUNTA(A689:G689)=0,"",IF(C689&lt;&gt;"",C689,IF(B689="","",IFERROR(INDEX(pr_des,MATCH(B689,pr_code,0))&amp;"",""))))</f>
        <v/>
      </c>
      <c r="I689" s="59" t="str">
        <f>IF(B689="","",IFERROR(INDEX(pr_unit,MATCH(B689,pr_code,0))&amp;"",""))</f>
        <v/>
      </c>
      <c r="J689" s="65" t="str">
        <f>IF(COUNTA(A689:G689)=0,"",IF(E689&lt;&gt;"",E689,IF(B689="","",IFERROR(IF(INDEX(pr_price,MATCH(B689,pr_code,0))="","",INDEX(pr_price,MATCH(B689,pr_code,0))),""))))</f>
        <v/>
      </c>
      <c r="K689" s="71" t="str">
        <f>IF(COUNTA(A689:G689)=0,"",IF(G689&lt;&gt;"",G689,IF(B689="","",IFERROR(IF(INDEX(pr_rate,MATCH(B689,pr_code,0))="","",INDEX(pr_rate,MATCH(B689,pr_code,0))),""))))</f>
        <v/>
      </c>
      <c r="L689" s="65" t="str">
        <f>IF(COUNTA(A689:G689)=0,"",IF(AND(ISNUMBER(D689),ISNUMBER(J689)),ROUND(D689*J689*(1-N(F689)),2),0))</f>
        <v/>
      </c>
      <c r="M689" s="62" t="str">
        <f>IF(A689="","",IFERROR(INDEX(fa_cname,MATCH(A689,fa_num,0))&amp;"",""))</f>
        <v/>
      </c>
      <c r="N689" s="59" t="str">
        <f>IF(COUNTA(A689:G689)=0,"",IF(A689="","N° facture manquant",IF(ISNA(MATCH(A689,fa_num,0)),"Facture inconnue",IF(AND(B689&lt;&gt;"",ISNA(MATCH(B689,pr_code,0))),"Article inconnu",IF(H689="","Désignation manquante",IF(OR(NOT(ISNUMBER(D689)),N(D689)&lt;=0),"Quantité invalide",IF(J689="","Prix manquant",IF(OR(NOT(ISNUMBER(J689)),N(J689)&lt;0),"Prix invalide",IF(OR(AND(F689&lt;&gt;"",NOT(ISNUMBER(F689))),N(F689)&lt;0,N(F689)&gt;1),"Remise invalide",IF(K689="","Taux de TVA manquant",IF(NOT(ISNUMBER(K689)),"Taux de TVA invalide",IF(COUNTIF(p_rates,K689)=0,"Taux de TVA hors liste (Paramètres)",IF(N(O689)&gt;25,"Au-delà de 25 lignes : non imprimée","OK")))))))))))))</f>
        <v/>
      </c>
      <c r="O689" s="59" t="str">
        <f>IF(A689="","",COUNTIF($A$6:A689,A689))</f>
        <v/>
      </c>
      <c r="P689" s="62" t="str">
        <f>IF(A689="","",A689&amp;"|"&amp;O689)</f>
        <v/>
      </c>
    </row>
    <row r="690">
      <c r="A690" s="60" t="n"/>
      <c r="B690" s="63" t="n"/>
      <c r="C690" s="63" t="n"/>
      <c r="D690" s="67" t="n"/>
      <c r="E690" s="68" t="n"/>
      <c r="F690" s="69" t="n"/>
      <c r="G690" s="70" t="n"/>
      <c r="H690" s="62" t="str">
        <f>IF(COUNTA(A690:G690)=0,"",IF(C690&lt;&gt;"",C690,IF(B690="","",IFERROR(INDEX(pr_des,MATCH(B690,pr_code,0))&amp;"",""))))</f>
        <v/>
      </c>
      <c r="I690" s="59" t="str">
        <f>IF(B690="","",IFERROR(INDEX(pr_unit,MATCH(B690,pr_code,0))&amp;"",""))</f>
        <v/>
      </c>
      <c r="J690" s="65" t="str">
        <f>IF(COUNTA(A690:G690)=0,"",IF(E690&lt;&gt;"",E690,IF(B690="","",IFERROR(IF(INDEX(pr_price,MATCH(B690,pr_code,0))="","",INDEX(pr_price,MATCH(B690,pr_code,0))),""))))</f>
        <v/>
      </c>
      <c r="K690" s="71" t="str">
        <f>IF(COUNTA(A690:G690)=0,"",IF(G690&lt;&gt;"",G690,IF(B690="","",IFERROR(IF(INDEX(pr_rate,MATCH(B690,pr_code,0))="","",INDEX(pr_rate,MATCH(B690,pr_code,0))),""))))</f>
        <v/>
      </c>
      <c r="L690" s="65" t="str">
        <f>IF(COUNTA(A690:G690)=0,"",IF(AND(ISNUMBER(D690),ISNUMBER(J690)),ROUND(D690*J690*(1-N(F690)),2),0))</f>
        <v/>
      </c>
      <c r="M690" s="62" t="str">
        <f>IF(A690="","",IFERROR(INDEX(fa_cname,MATCH(A690,fa_num,0))&amp;"",""))</f>
        <v/>
      </c>
      <c r="N690" s="59" t="str">
        <f>IF(COUNTA(A690:G690)=0,"",IF(A690="","N° facture manquant",IF(ISNA(MATCH(A690,fa_num,0)),"Facture inconnue",IF(AND(B690&lt;&gt;"",ISNA(MATCH(B690,pr_code,0))),"Article inconnu",IF(H690="","Désignation manquante",IF(OR(NOT(ISNUMBER(D690)),N(D690)&lt;=0),"Quantité invalide",IF(J690="","Prix manquant",IF(OR(NOT(ISNUMBER(J690)),N(J690)&lt;0),"Prix invalide",IF(OR(AND(F690&lt;&gt;"",NOT(ISNUMBER(F690))),N(F690)&lt;0,N(F690)&gt;1),"Remise invalide",IF(K690="","Taux de TVA manquant",IF(NOT(ISNUMBER(K690)),"Taux de TVA invalide",IF(COUNTIF(p_rates,K690)=0,"Taux de TVA hors liste (Paramètres)",IF(N(O690)&gt;25,"Au-delà de 25 lignes : non imprimée","OK")))))))))))))</f>
        <v/>
      </c>
      <c r="O690" s="59" t="str">
        <f>IF(A690="","",COUNTIF($A$6:A690,A690))</f>
        <v/>
      </c>
      <c r="P690" s="62" t="str">
        <f>IF(A690="","",A690&amp;"|"&amp;O690)</f>
        <v/>
      </c>
    </row>
    <row r="691">
      <c r="A691" s="60" t="n"/>
      <c r="B691" s="63" t="n"/>
      <c r="C691" s="63" t="n"/>
      <c r="D691" s="67" t="n"/>
      <c r="E691" s="68" t="n"/>
      <c r="F691" s="69" t="n"/>
      <c r="G691" s="70" t="n"/>
      <c r="H691" s="62" t="str">
        <f>IF(COUNTA(A691:G691)=0,"",IF(C691&lt;&gt;"",C691,IF(B691="","",IFERROR(INDEX(pr_des,MATCH(B691,pr_code,0))&amp;"",""))))</f>
        <v/>
      </c>
      <c r="I691" s="59" t="str">
        <f>IF(B691="","",IFERROR(INDEX(pr_unit,MATCH(B691,pr_code,0))&amp;"",""))</f>
        <v/>
      </c>
      <c r="J691" s="65" t="str">
        <f>IF(COUNTA(A691:G691)=0,"",IF(E691&lt;&gt;"",E691,IF(B691="","",IFERROR(IF(INDEX(pr_price,MATCH(B691,pr_code,0))="","",INDEX(pr_price,MATCH(B691,pr_code,0))),""))))</f>
        <v/>
      </c>
      <c r="K691" s="71" t="str">
        <f>IF(COUNTA(A691:G691)=0,"",IF(G691&lt;&gt;"",G691,IF(B691="","",IFERROR(IF(INDEX(pr_rate,MATCH(B691,pr_code,0))="","",INDEX(pr_rate,MATCH(B691,pr_code,0))),""))))</f>
        <v/>
      </c>
      <c r="L691" s="65" t="str">
        <f>IF(COUNTA(A691:G691)=0,"",IF(AND(ISNUMBER(D691),ISNUMBER(J691)),ROUND(D691*J691*(1-N(F691)),2),0))</f>
        <v/>
      </c>
      <c r="M691" s="62" t="str">
        <f>IF(A691="","",IFERROR(INDEX(fa_cname,MATCH(A691,fa_num,0))&amp;"",""))</f>
        <v/>
      </c>
      <c r="N691" s="59" t="str">
        <f>IF(COUNTA(A691:G691)=0,"",IF(A691="","N° facture manquant",IF(ISNA(MATCH(A691,fa_num,0)),"Facture inconnue",IF(AND(B691&lt;&gt;"",ISNA(MATCH(B691,pr_code,0))),"Article inconnu",IF(H691="","Désignation manquante",IF(OR(NOT(ISNUMBER(D691)),N(D691)&lt;=0),"Quantité invalide",IF(J691="","Prix manquant",IF(OR(NOT(ISNUMBER(J691)),N(J691)&lt;0),"Prix invalide",IF(OR(AND(F691&lt;&gt;"",NOT(ISNUMBER(F691))),N(F691)&lt;0,N(F691)&gt;1),"Remise invalide",IF(K691="","Taux de TVA manquant",IF(NOT(ISNUMBER(K691)),"Taux de TVA invalide",IF(COUNTIF(p_rates,K691)=0,"Taux de TVA hors liste (Paramètres)",IF(N(O691)&gt;25,"Au-delà de 25 lignes : non imprimée","OK")))))))))))))</f>
        <v/>
      </c>
      <c r="O691" s="59" t="str">
        <f>IF(A691="","",COUNTIF($A$6:A691,A691))</f>
        <v/>
      </c>
      <c r="P691" s="62" t="str">
        <f>IF(A691="","",A691&amp;"|"&amp;O691)</f>
        <v/>
      </c>
    </row>
    <row r="692">
      <c r="A692" s="60" t="n"/>
      <c r="B692" s="63" t="n"/>
      <c r="C692" s="63" t="n"/>
      <c r="D692" s="67" t="n"/>
      <c r="E692" s="68" t="n"/>
      <c r="F692" s="69" t="n"/>
      <c r="G692" s="70" t="n"/>
      <c r="H692" s="62" t="str">
        <f>IF(COUNTA(A692:G692)=0,"",IF(C692&lt;&gt;"",C692,IF(B692="","",IFERROR(INDEX(pr_des,MATCH(B692,pr_code,0))&amp;"",""))))</f>
        <v/>
      </c>
      <c r="I692" s="59" t="str">
        <f>IF(B692="","",IFERROR(INDEX(pr_unit,MATCH(B692,pr_code,0))&amp;"",""))</f>
        <v/>
      </c>
      <c r="J692" s="65" t="str">
        <f>IF(COUNTA(A692:G692)=0,"",IF(E692&lt;&gt;"",E692,IF(B692="","",IFERROR(IF(INDEX(pr_price,MATCH(B692,pr_code,0))="","",INDEX(pr_price,MATCH(B692,pr_code,0))),""))))</f>
        <v/>
      </c>
      <c r="K692" s="71" t="str">
        <f>IF(COUNTA(A692:G692)=0,"",IF(G692&lt;&gt;"",G692,IF(B692="","",IFERROR(IF(INDEX(pr_rate,MATCH(B692,pr_code,0))="","",INDEX(pr_rate,MATCH(B692,pr_code,0))),""))))</f>
        <v/>
      </c>
      <c r="L692" s="65" t="str">
        <f>IF(COUNTA(A692:G692)=0,"",IF(AND(ISNUMBER(D692),ISNUMBER(J692)),ROUND(D692*J692*(1-N(F692)),2),0))</f>
        <v/>
      </c>
      <c r="M692" s="62" t="str">
        <f>IF(A692="","",IFERROR(INDEX(fa_cname,MATCH(A692,fa_num,0))&amp;"",""))</f>
        <v/>
      </c>
      <c r="N692" s="59" t="str">
        <f>IF(COUNTA(A692:G692)=0,"",IF(A692="","N° facture manquant",IF(ISNA(MATCH(A692,fa_num,0)),"Facture inconnue",IF(AND(B692&lt;&gt;"",ISNA(MATCH(B692,pr_code,0))),"Article inconnu",IF(H692="","Désignation manquante",IF(OR(NOT(ISNUMBER(D692)),N(D692)&lt;=0),"Quantité invalide",IF(J692="","Prix manquant",IF(OR(NOT(ISNUMBER(J692)),N(J692)&lt;0),"Prix invalide",IF(OR(AND(F692&lt;&gt;"",NOT(ISNUMBER(F692))),N(F692)&lt;0,N(F692)&gt;1),"Remise invalide",IF(K692="","Taux de TVA manquant",IF(NOT(ISNUMBER(K692)),"Taux de TVA invalide",IF(COUNTIF(p_rates,K692)=0,"Taux de TVA hors liste (Paramètres)",IF(N(O692)&gt;25,"Au-delà de 25 lignes : non imprimée","OK")))))))))))))</f>
        <v/>
      </c>
      <c r="O692" s="59" t="str">
        <f>IF(A692="","",COUNTIF($A$6:A692,A692))</f>
        <v/>
      </c>
      <c r="P692" s="62" t="str">
        <f>IF(A692="","",A692&amp;"|"&amp;O692)</f>
        <v/>
      </c>
    </row>
    <row r="693">
      <c r="A693" s="60" t="n"/>
      <c r="B693" s="63" t="n"/>
      <c r="C693" s="63" t="n"/>
      <c r="D693" s="67" t="n"/>
      <c r="E693" s="68" t="n"/>
      <c r="F693" s="69" t="n"/>
      <c r="G693" s="70" t="n"/>
      <c r="H693" s="62" t="str">
        <f>IF(COUNTA(A693:G693)=0,"",IF(C693&lt;&gt;"",C693,IF(B693="","",IFERROR(INDEX(pr_des,MATCH(B693,pr_code,0))&amp;"",""))))</f>
        <v/>
      </c>
      <c r="I693" s="59" t="str">
        <f>IF(B693="","",IFERROR(INDEX(pr_unit,MATCH(B693,pr_code,0))&amp;"",""))</f>
        <v/>
      </c>
      <c r="J693" s="65" t="str">
        <f>IF(COUNTA(A693:G693)=0,"",IF(E693&lt;&gt;"",E693,IF(B693="","",IFERROR(IF(INDEX(pr_price,MATCH(B693,pr_code,0))="","",INDEX(pr_price,MATCH(B693,pr_code,0))),""))))</f>
        <v/>
      </c>
      <c r="K693" s="71" t="str">
        <f>IF(COUNTA(A693:G693)=0,"",IF(G693&lt;&gt;"",G693,IF(B693="","",IFERROR(IF(INDEX(pr_rate,MATCH(B693,pr_code,0))="","",INDEX(pr_rate,MATCH(B693,pr_code,0))),""))))</f>
        <v/>
      </c>
      <c r="L693" s="65" t="str">
        <f>IF(COUNTA(A693:G693)=0,"",IF(AND(ISNUMBER(D693),ISNUMBER(J693)),ROUND(D693*J693*(1-N(F693)),2),0))</f>
        <v/>
      </c>
      <c r="M693" s="62" t="str">
        <f>IF(A693="","",IFERROR(INDEX(fa_cname,MATCH(A693,fa_num,0))&amp;"",""))</f>
        <v/>
      </c>
      <c r="N693" s="59" t="str">
        <f>IF(COUNTA(A693:G693)=0,"",IF(A693="","N° facture manquant",IF(ISNA(MATCH(A693,fa_num,0)),"Facture inconnue",IF(AND(B693&lt;&gt;"",ISNA(MATCH(B693,pr_code,0))),"Article inconnu",IF(H693="","Désignation manquante",IF(OR(NOT(ISNUMBER(D693)),N(D693)&lt;=0),"Quantité invalide",IF(J693="","Prix manquant",IF(OR(NOT(ISNUMBER(J693)),N(J693)&lt;0),"Prix invalide",IF(OR(AND(F693&lt;&gt;"",NOT(ISNUMBER(F693))),N(F693)&lt;0,N(F693)&gt;1),"Remise invalide",IF(K693="","Taux de TVA manquant",IF(NOT(ISNUMBER(K693)),"Taux de TVA invalide",IF(COUNTIF(p_rates,K693)=0,"Taux de TVA hors liste (Paramètres)",IF(N(O693)&gt;25,"Au-delà de 25 lignes : non imprimée","OK")))))))))))))</f>
        <v/>
      </c>
      <c r="O693" s="59" t="str">
        <f>IF(A693="","",COUNTIF($A$6:A693,A693))</f>
        <v/>
      </c>
      <c r="P693" s="62" t="str">
        <f>IF(A693="","",A693&amp;"|"&amp;O693)</f>
        <v/>
      </c>
    </row>
    <row r="694">
      <c r="A694" s="60" t="n"/>
      <c r="B694" s="63" t="n"/>
      <c r="C694" s="63" t="n"/>
      <c r="D694" s="67" t="n"/>
      <c r="E694" s="68" t="n"/>
      <c r="F694" s="69" t="n"/>
      <c r="G694" s="70" t="n"/>
      <c r="H694" s="62" t="str">
        <f>IF(COUNTA(A694:G694)=0,"",IF(C694&lt;&gt;"",C694,IF(B694="","",IFERROR(INDEX(pr_des,MATCH(B694,pr_code,0))&amp;"",""))))</f>
        <v/>
      </c>
      <c r="I694" s="59" t="str">
        <f>IF(B694="","",IFERROR(INDEX(pr_unit,MATCH(B694,pr_code,0))&amp;"",""))</f>
        <v/>
      </c>
      <c r="J694" s="65" t="str">
        <f>IF(COUNTA(A694:G694)=0,"",IF(E694&lt;&gt;"",E694,IF(B694="","",IFERROR(IF(INDEX(pr_price,MATCH(B694,pr_code,0))="","",INDEX(pr_price,MATCH(B694,pr_code,0))),""))))</f>
        <v/>
      </c>
      <c r="K694" s="71" t="str">
        <f>IF(COUNTA(A694:G694)=0,"",IF(G694&lt;&gt;"",G694,IF(B694="","",IFERROR(IF(INDEX(pr_rate,MATCH(B694,pr_code,0))="","",INDEX(pr_rate,MATCH(B694,pr_code,0))),""))))</f>
        <v/>
      </c>
      <c r="L694" s="65" t="str">
        <f>IF(COUNTA(A694:G694)=0,"",IF(AND(ISNUMBER(D694),ISNUMBER(J694)),ROUND(D694*J694*(1-N(F694)),2),0))</f>
        <v/>
      </c>
      <c r="M694" s="62" t="str">
        <f>IF(A694="","",IFERROR(INDEX(fa_cname,MATCH(A694,fa_num,0))&amp;"",""))</f>
        <v/>
      </c>
      <c r="N694" s="59" t="str">
        <f>IF(COUNTA(A694:G694)=0,"",IF(A694="","N° facture manquant",IF(ISNA(MATCH(A694,fa_num,0)),"Facture inconnue",IF(AND(B694&lt;&gt;"",ISNA(MATCH(B694,pr_code,0))),"Article inconnu",IF(H694="","Désignation manquante",IF(OR(NOT(ISNUMBER(D694)),N(D694)&lt;=0),"Quantité invalide",IF(J694="","Prix manquant",IF(OR(NOT(ISNUMBER(J694)),N(J694)&lt;0),"Prix invalide",IF(OR(AND(F694&lt;&gt;"",NOT(ISNUMBER(F694))),N(F694)&lt;0,N(F694)&gt;1),"Remise invalide",IF(K694="","Taux de TVA manquant",IF(NOT(ISNUMBER(K694)),"Taux de TVA invalide",IF(COUNTIF(p_rates,K694)=0,"Taux de TVA hors liste (Paramètres)",IF(N(O694)&gt;25,"Au-delà de 25 lignes : non imprimée","OK")))))))))))))</f>
        <v/>
      </c>
      <c r="O694" s="59" t="str">
        <f>IF(A694="","",COUNTIF($A$6:A694,A694))</f>
        <v/>
      </c>
      <c r="P694" s="62" t="str">
        <f>IF(A694="","",A694&amp;"|"&amp;O694)</f>
        <v/>
      </c>
    </row>
    <row r="695">
      <c r="A695" s="60" t="n"/>
      <c r="B695" s="63" t="n"/>
      <c r="C695" s="63" t="n"/>
      <c r="D695" s="67" t="n"/>
      <c r="E695" s="68" t="n"/>
      <c r="F695" s="69" t="n"/>
      <c r="G695" s="70" t="n"/>
      <c r="H695" s="62" t="str">
        <f>IF(COUNTA(A695:G695)=0,"",IF(C695&lt;&gt;"",C695,IF(B695="","",IFERROR(INDEX(pr_des,MATCH(B695,pr_code,0))&amp;"",""))))</f>
        <v/>
      </c>
      <c r="I695" s="59" t="str">
        <f>IF(B695="","",IFERROR(INDEX(pr_unit,MATCH(B695,pr_code,0))&amp;"",""))</f>
        <v/>
      </c>
      <c r="J695" s="65" t="str">
        <f>IF(COUNTA(A695:G695)=0,"",IF(E695&lt;&gt;"",E695,IF(B695="","",IFERROR(IF(INDEX(pr_price,MATCH(B695,pr_code,0))="","",INDEX(pr_price,MATCH(B695,pr_code,0))),""))))</f>
        <v/>
      </c>
      <c r="K695" s="71" t="str">
        <f>IF(COUNTA(A695:G695)=0,"",IF(G695&lt;&gt;"",G695,IF(B695="","",IFERROR(IF(INDEX(pr_rate,MATCH(B695,pr_code,0))="","",INDEX(pr_rate,MATCH(B695,pr_code,0))),""))))</f>
        <v/>
      </c>
      <c r="L695" s="65" t="str">
        <f>IF(COUNTA(A695:G695)=0,"",IF(AND(ISNUMBER(D695),ISNUMBER(J695)),ROUND(D695*J695*(1-N(F695)),2),0))</f>
        <v/>
      </c>
      <c r="M695" s="62" t="str">
        <f>IF(A695="","",IFERROR(INDEX(fa_cname,MATCH(A695,fa_num,0))&amp;"",""))</f>
        <v/>
      </c>
      <c r="N695" s="59" t="str">
        <f>IF(COUNTA(A695:G695)=0,"",IF(A695="","N° facture manquant",IF(ISNA(MATCH(A695,fa_num,0)),"Facture inconnue",IF(AND(B695&lt;&gt;"",ISNA(MATCH(B695,pr_code,0))),"Article inconnu",IF(H695="","Désignation manquante",IF(OR(NOT(ISNUMBER(D695)),N(D695)&lt;=0),"Quantité invalide",IF(J695="","Prix manquant",IF(OR(NOT(ISNUMBER(J695)),N(J695)&lt;0),"Prix invalide",IF(OR(AND(F695&lt;&gt;"",NOT(ISNUMBER(F695))),N(F695)&lt;0,N(F695)&gt;1),"Remise invalide",IF(K695="","Taux de TVA manquant",IF(NOT(ISNUMBER(K695)),"Taux de TVA invalide",IF(COUNTIF(p_rates,K695)=0,"Taux de TVA hors liste (Paramètres)",IF(N(O695)&gt;25,"Au-delà de 25 lignes : non imprimée","OK")))))))))))))</f>
        <v/>
      </c>
      <c r="O695" s="59" t="str">
        <f>IF(A695="","",COUNTIF($A$6:A695,A695))</f>
        <v/>
      </c>
      <c r="P695" s="62" t="str">
        <f>IF(A695="","",A695&amp;"|"&amp;O695)</f>
        <v/>
      </c>
    </row>
    <row r="696">
      <c r="A696" s="60" t="n"/>
      <c r="B696" s="63" t="n"/>
      <c r="C696" s="63" t="n"/>
      <c r="D696" s="67" t="n"/>
      <c r="E696" s="68" t="n"/>
      <c r="F696" s="69" t="n"/>
      <c r="G696" s="70" t="n"/>
      <c r="H696" s="62" t="str">
        <f>IF(COUNTA(A696:G696)=0,"",IF(C696&lt;&gt;"",C696,IF(B696="","",IFERROR(INDEX(pr_des,MATCH(B696,pr_code,0))&amp;"",""))))</f>
        <v/>
      </c>
      <c r="I696" s="59" t="str">
        <f>IF(B696="","",IFERROR(INDEX(pr_unit,MATCH(B696,pr_code,0))&amp;"",""))</f>
        <v/>
      </c>
      <c r="J696" s="65" t="str">
        <f>IF(COUNTA(A696:G696)=0,"",IF(E696&lt;&gt;"",E696,IF(B696="","",IFERROR(IF(INDEX(pr_price,MATCH(B696,pr_code,0))="","",INDEX(pr_price,MATCH(B696,pr_code,0))),""))))</f>
        <v/>
      </c>
      <c r="K696" s="71" t="str">
        <f>IF(COUNTA(A696:G696)=0,"",IF(G696&lt;&gt;"",G696,IF(B696="","",IFERROR(IF(INDEX(pr_rate,MATCH(B696,pr_code,0))="","",INDEX(pr_rate,MATCH(B696,pr_code,0))),""))))</f>
        <v/>
      </c>
      <c r="L696" s="65" t="str">
        <f>IF(COUNTA(A696:G696)=0,"",IF(AND(ISNUMBER(D696),ISNUMBER(J696)),ROUND(D696*J696*(1-N(F696)),2),0))</f>
        <v/>
      </c>
      <c r="M696" s="62" t="str">
        <f>IF(A696="","",IFERROR(INDEX(fa_cname,MATCH(A696,fa_num,0))&amp;"",""))</f>
        <v/>
      </c>
      <c r="N696" s="59" t="str">
        <f>IF(COUNTA(A696:G696)=0,"",IF(A696="","N° facture manquant",IF(ISNA(MATCH(A696,fa_num,0)),"Facture inconnue",IF(AND(B696&lt;&gt;"",ISNA(MATCH(B696,pr_code,0))),"Article inconnu",IF(H696="","Désignation manquante",IF(OR(NOT(ISNUMBER(D696)),N(D696)&lt;=0),"Quantité invalide",IF(J696="","Prix manquant",IF(OR(NOT(ISNUMBER(J696)),N(J696)&lt;0),"Prix invalide",IF(OR(AND(F696&lt;&gt;"",NOT(ISNUMBER(F696))),N(F696)&lt;0,N(F696)&gt;1),"Remise invalide",IF(K696="","Taux de TVA manquant",IF(NOT(ISNUMBER(K696)),"Taux de TVA invalide",IF(COUNTIF(p_rates,K696)=0,"Taux de TVA hors liste (Paramètres)",IF(N(O696)&gt;25,"Au-delà de 25 lignes : non imprimée","OK")))))))))))))</f>
        <v/>
      </c>
      <c r="O696" s="59" t="str">
        <f>IF(A696="","",COUNTIF($A$6:A696,A696))</f>
        <v/>
      </c>
      <c r="P696" s="62" t="str">
        <f>IF(A696="","",A696&amp;"|"&amp;O696)</f>
        <v/>
      </c>
    </row>
    <row r="697">
      <c r="A697" s="60" t="n"/>
      <c r="B697" s="63" t="n"/>
      <c r="C697" s="63" t="n"/>
      <c r="D697" s="67" t="n"/>
      <c r="E697" s="68" t="n"/>
      <c r="F697" s="69" t="n"/>
      <c r="G697" s="70" t="n"/>
      <c r="H697" s="62" t="str">
        <f>IF(COUNTA(A697:G697)=0,"",IF(C697&lt;&gt;"",C697,IF(B697="","",IFERROR(INDEX(pr_des,MATCH(B697,pr_code,0))&amp;"",""))))</f>
        <v/>
      </c>
      <c r="I697" s="59" t="str">
        <f>IF(B697="","",IFERROR(INDEX(pr_unit,MATCH(B697,pr_code,0))&amp;"",""))</f>
        <v/>
      </c>
      <c r="J697" s="65" t="str">
        <f>IF(COUNTA(A697:G697)=0,"",IF(E697&lt;&gt;"",E697,IF(B697="","",IFERROR(IF(INDEX(pr_price,MATCH(B697,pr_code,0))="","",INDEX(pr_price,MATCH(B697,pr_code,0))),""))))</f>
        <v/>
      </c>
      <c r="K697" s="71" t="str">
        <f>IF(COUNTA(A697:G697)=0,"",IF(G697&lt;&gt;"",G697,IF(B697="","",IFERROR(IF(INDEX(pr_rate,MATCH(B697,pr_code,0))="","",INDEX(pr_rate,MATCH(B697,pr_code,0))),""))))</f>
        <v/>
      </c>
      <c r="L697" s="65" t="str">
        <f>IF(COUNTA(A697:G697)=0,"",IF(AND(ISNUMBER(D697),ISNUMBER(J697)),ROUND(D697*J697*(1-N(F697)),2),0))</f>
        <v/>
      </c>
      <c r="M697" s="62" t="str">
        <f>IF(A697="","",IFERROR(INDEX(fa_cname,MATCH(A697,fa_num,0))&amp;"",""))</f>
        <v/>
      </c>
      <c r="N697" s="59" t="str">
        <f>IF(COUNTA(A697:G697)=0,"",IF(A697="","N° facture manquant",IF(ISNA(MATCH(A697,fa_num,0)),"Facture inconnue",IF(AND(B697&lt;&gt;"",ISNA(MATCH(B697,pr_code,0))),"Article inconnu",IF(H697="","Désignation manquante",IF(OR(NOT(ISNUMBER(D697)),N(D697)&lt;=0),"Quantité invalide",IF(J697="","Prix manquant",IF(OR(NOT(ISNUMBER(J697)),N(J697)&lt;0),"Prix invalide",IF(OR(AND(F697&lt;&gt;"",NOT(ISNUMBER(F697))),N(F697)&lt;0,N(F697)&gt;1),"Remise invalide",IF(K697="","Taux de TVA manquant",IF(NOT(ISNUMBER(K697)),"Taux de TVA invalide",IF(COUNTIF(p_rates,K697)=0,"Taux de TVA hors liste (Paramètres)",IF(N(O697)&gt;25,"Au-delà de 25 lignes : non imprimée","OK")))))))))))))</f>
        <v/>
      </c>
      <c r="O697" s="59" t="str">
        <f>IF(A697="","",COUNTIF($A$6:A697,A697))</f>
        <v/>
      </c>
      <c r="P697" s="62" t="str">
        <f>IF(A697="","",A697&amp;"|"&amp;O697)</f>
        <v/>
      </c>
    </row>
    <row r="698">
      <c r="A698" s="60" t="n"/>
      <c r="B698" s="63" t="n"/>
      <c r="C698" s="63" t="n"/>
      <c r="D698" s="67" t="n"/>
      <c r="E698" s="68" t="n"/>
      <c r="F698" s="69" t="n"/>
      <c r="G698" s="70" t="n"/>
      <c r="H698" s="62" t="str">
        <f>IF(COUNTA(A698:G698)=0,"",IF(C698&lt;&gt;"",C698,IF(B698="","",IFERROR(INDEX(pr_des,MATCH(B698,pr_code,0))&amp;"",""))))</f>
        <v/>
      </c>
      <c r="I698" s="59" t="str">
        <f>IF(B698="","",IFERROR(INDEX(pr_unit,MATCH(B698,pr_code,0))&amp;"",""))</f>
        <v/>
      </c>
      <c r="J698" s="65" t="str">
        <f>IF(COUNTA(A698:G698)=0,"",IF(E698&lt;&gt;"",E698,IF(B698="","",IFERROR(IF(INDEX(pr_price,MATCH(B698,pr_code,0))="","",INDEX(pr_price,MATCH(B698,pr_code,0))),""))))</f>
        <v/>
      </c>
      <c r="K698" s="71" t="str">
        <f>IF(COUNTA(A698:G698)=0,"",IF(G698&lt;&gt;"",G698,IF(B698="","",IFERROR(IF(INDEX(pr_rate,MATCH(B698,pr_code,0))="","",INDEX(pr_rate,MATCH(B698,pr_code,0))),""))))</f>
        <v/>
      </c>
      <c r="L698" s="65" t="str">
        <f>IF(COUNTA(A698:G698)=0,"",IF(AND(ISNUMBER(D698),ISNUMBER(J698)),ROUND(D698*J698*(1-N(F698)),2),0))</f>
        <v/>
      </c>
      <c r="M698" s="62" t="str">
        <f>IF(A698="","",IFERROR(INDEX(fa_cname,MATCH(A698,fa_num,0))&amp;"",""))</f>
        <v/>
      </c>
      <c r="N698" s="59" t="str">
        <f>IF(COUNTA(A698:G698)=0,"",IF(A698="","N° facture manquant",IF(ISNA(MATCH(A698,fa_num,0)),"Facture inconnue",IF(AND(B698&lt;&gt;"",ISNA(MATCH(B698,pr_code,0))),"Article inconnu",IF(H698="","Désignation manquante",IF(OR(NOT(ISNUMBER(D698)),N(D698)&lt;=0),"Quantité invalide",IF(J698="","Prix manquant",IF(OR(NOT(ISNUMBER(J698)),N(J698)&lt;0),"Prix invalide",IF(OR(AND(F698&lt;&gt;"",NOT(ISNUMBER(F698))),N(F698)&lt;0,N(F698)&gt;1),"Remise invalide",IF(K698="","Taux de TVA manquant",IF(NOT(ISNUMBER(K698)),"Taux de TVA invalide",IF(COUNTIF(p_rates,K698)=0,"Taux de TVA hors liste (Paramètres)",IF(N(O698)&gt;25,"Au-delà de 25 lignes : non imprimée","OK")))))))))))))</f>
        <v/>
      </c>
      <c r="O698" s="59" t="str">
        <f>IF(A698="","",COUNTIF($A$6:A698,A698))</f>
        <v/>
      </c>
      <c r="P698" s="62" t="str">
        <f>IF(A698="","",A698&amp;"|"&amp;O698)</f>
        <v/>
      </c>
    </row>
    <row r="699">
      <c r="A699" s="60" t="n"/>
      <c r="B699" s="63" t="n"/>
      <c r="C699" s="63" t="n"/>
      <c r="D699" s="67" t="n"/>
      <c r="E699" s="68" t="n"/>
      <c r="F699" s="69" t="n"/>
      <c r="G699" s="70" t="n"/>
      <c r="H699" s="62" t="str">
        <f>IF(COUNTA(A699:G699)=0,"",IF(C699&lt;&gt;"",C699,IF(B699="","",IFERROR(INDEX(pr_des,MATCH(B699,pr_code,0))&amp;"",""))))</f>
        <v/>
      </c>
      <c r="I699" s="59" t="str">
        <f>IF(B699="","",IFERROR(INDEX(pr_unit,MATCH(B699,pr_code,0))&amp;"",""))</f>
        <v/>
      </c>
      <c r="J699" s="65" t="str">
        <f>IF(COUNTA(A699:G699)=0,"",IF(E699&lt;&gt;"",E699,IF(B699="","",IFERROR(IF(INDEX(pr_price,MATCH(B699,pr_code,0))="","",INDEX(pr_price,MATCH(B699,pr_code,0))),""))))</f>
        <v/>
      </c>
      <c r="K699" s="71" t="str">
        <f>IF(COUNTA(A699:G699)=0,"",IF(G699&lt;&gt;"",G699,IF(B699="","",IFERROR(IF(INDEX(pr_rate,MATCH(B699,pr_code,0))="","",INDEX(pr_rate,MATCH(B699,pr_code,0))),""))))</f>
        <v/>
      </c>
      <c r="L699" s="65" t="str">
        <f>IF(COUNTA(A699:G699)=0,"",IF(AND(ISNUMBER(D699),ISNUMBER(J699)),ROUND(D699*J699*(1-N(F699)),2),0))</f>
        <v/>
      </c>
      <c r="M699" s="62" t="str">
        <f>IF(A699="","",IFERROR(INDEX(fa_cname,MATCH(A699,fa_num,0))&amp;"",""))</f>
        <v/>
      </c>
      <c r="N699" s="59" t="str">
        <f>IF(COUNTA(A699:G699)=0,"",IF(A699="","N° facture manquant",IF(ISNA(MATCH(A699,fa_num,0)),"Facture inconnue",IF(AND(B699&lt;&gt;"",ISNA(MATCH(B699,pr_code,0))),"Article inconnu",IF(H699="","Désignation manquante",IF(OR(NOT(ISNUMBER(D699)),N(D699)&lt;=0),"Quantité invalide",IF(J699="","Prix manquant",IF(OR(NOT(ISNUMBER(J699)),N(J699)&lt;0),"Prix invalide",IF(OR(AND(F699&lt;&gt;"",NOT(ISNUMBER(F699))),N(F699)&lt;0,N(F699)&gt;1),"Remise invalide",IF(K699="","Taux de TVA manquant",IF(NOT(ISNUMBER(K699)),"Taux de TVA invalide",IF(COUNTIF(p_rates,K699)=0,"Taux de TVA hors liste (Paramètres)",IF(N(O699)&gt;25,"Au-delà de 25 lignes : non imprimée","OK")))))))))))))</f>
        <v/>
      </c>
      <c r="O699" s="59" t="str">
        <f>IF(A699="","",COUNTIF($A$6:A699,A699))</f>
        <v/>
      </c>
      <c r="P699" s="62" t="str">
        <f>IF(A699="","",A699&amp;"|"&amp;O699)</f>
        <v/>
      </c>
    </row>
    <row r="700">
      <c r="A700" s="60" t="n"/>
      <c r="B700" s="63" t="n"/>
      <c r="C700" s="63" t="n"/>
      <c r="D700" s="67" t="n"/>
      <c r="E700" s="68" t="n"/>
      <c r="F700" s="69" t="n"/>
      <c r="G700" s="70" t="n"/>
      <c r="H700" s="62" t="str">
        <f>IF(COUNTA(A700:G700)=0,"",IF(C700&lt;&gt;"",C700,IF(B700="","",IFERROR(INDEX(pr_des,MATCH(B700,pr_code,0))&amp;"",""))))</f>
        <v/>
      </c>
      <c r="I700" s="59" t="str">
        <f>IF(B700="","",IFERROR(INDEX(pr_unit,MATCH(B700,pr_code,0))&amp;"",""))</f>
        <v/>
      </c>
      <c r="J700" s="65" t="str">
        <f>IF(COUNTA(A700:G700)=0,"",IF(E700&lt;&gt;"",E700,IF(B700="","",IFERROR(IF(INDEX(pr_price,MATCH(B700,pr_code,0))="","",INDEX(pr_price,MATCH(B700,pr_code,0))),""))))</f>
        <v/>
      </c>
      <c r="K700" s="71" t="str">
        <f>IF(COUNTA(A700:G700)=0,"",IF(G700&lt;&gt;"",G700,IF(B700="","",IFERROR(IF(INDEX(pr_rate,MATCH(B700,pr_code,0))="","",INDEX(pr_rate,MATCH(B700,pr_code,0))),""))))</f>
        <v/>
      </c>
      <c r="L700" s="65" t="str">
        <f>IF(COUNTA(A700:G700)=0,"",IF(AND(ISNUMBER(D700),ISNUMBER(J700)),ROUND(D700*J700*(1-N(F700)),2),0))</f>
        <v/>
      </c>
      <c r="M700" s="62" t="str">
        <f>IF(A700="","",IFERROR(INDEX(fa_cname,MATCH(A700,fa_num,0))&amp;"",""))</f>
        <v/>
      </c>
      <c r="N700" s="59" t="str">
        <f>IF(COUNTA(A700:G700)=0,"",IF(A700="","N° facture manquant",IF(ISNA(MATCH(A700,fa_num,0)),"Facture inconnue",IF(AND(B700&lt;&gt;"",ISNA(MATCH(B700,pr_code,0))),"Article inconnu",IF(H700="","Désignation manquante",IF(OR(NOT(ISNUMBER(D700)),N(D700)&lt;=0),"Quantité invalide",IF(J700="","Prix manquant",IF(OR(NOT(ISNUMBER(J700)),N(J700)&lt;0),"Prix invalide",IF(OR(AND(F700&lt;&gt;"",NOT(ISNUMBER(F700))),N(F700)&lt;0,N(F700)&gt;1),"Remise invalide",IF(K700="","Taux de TVA manquant",IF(NOT(ISNUMBER(K700)),"Taux de TVA invalide",IF(COUNTIF(p_rates,K700)=0,"Taux de TVA hors liste (Paramètres)",IF(N(O700)&gt;25,"Au-delà de 25 lignes : non imprimée","OK")))))))))))))</f>
        <v/>
      </c>
      <c r="O700" s="59" t="str">
        <f>IF(A700="","",COUNTIF($A$6:A700,A700))</f>
        <v/>
      </c>
      <c r="P700" s="62" t="str">
        <f>IF(A700="","",A700&amp;"|"&amp;O700)</f>
        <v/>
      </c>
    </row>
    <row r="701">
      <c r="A701" s="60" t="n"/>
      <c r="B701" s="63" t="n"/>
      <c r="C701" s="63" t="n"/>
      <c r="D701" s="67" t="n"/>
      <c r="E701" s="68" t="n"/>
      <c r="F701" s="69" t="n"/>
      <c r="G701" s="70" t="n"/>
      <c r="H701" s="62" t="str">
        <f>IF(COUNTA(A701:G701)=0,"",IF(C701&lt;&gt;"",C701,IF(B701="","",IFERROR(INDEX(pr_des,MATCH(B701,pr_code,0))&amp;"",""))))</f>
        <v/>
      </c>
      <c r="I701" s="59" t="str">
        <f>IF(B701="","",IFERROR(INDEX(pr_unit,MATCH(B701,pr_code,0))&amp;"",""))</f>
        <v/>
      </c>
      <c r="J701" s="65" t="str">
        <f>IF(COUNTA(A701:G701)=0,"",IF(E701&lt;&gt;"",E701,IF(B701="","",IFERROR(IF(INDEX(pr_price,MATCH(B701,pr_code,0))="","",INDEX(pr_price,MATCH(B701,pr_code,0))),""))))</f>
        <v/>
      </c>
      <c r="K701" s="71" t="str">
        <f>IF(COUNTA(A701:G701)=0,"",IF(G701&lt;&gt;"",G701,IF(B701="","",IFERROR(IF(INDEX(pr_rate,MATCH(B701,pr_code,0))="","",INDEX(pr_rate,MATCH(B701,pr_code,0))),""))))</f>
        <v/>
      </c>
      <c r="L701" s="65" t="str">
        <f>IF(COUNTA(A701:G701)=0,"",IF(AND(ISNUMBER(D701),ISNUMBER(J701)),ROUND(D701*J701*(1-N(F701)),2),0))</f>
        <v/>
      </c>
      <c r="M701" s="62" t="str">
        <f>IF(A701="","",IFERROR(INDEX(fa_cname,MATCH(A701,fa_num,0))&amp;"",""))</f>
        <v/>
      </c>
      <c r="N701" s="59" t="str">
        <f>IF(COUNTA(A701:G701)=0,"",IF(A701="","N° facture manquant",IF(ISNA(MATCH(A701,fa_num,0)),"Facture inconnue",IF(AND(B701&lt;&gt;"",ISNA(MATCH(B701,pr_code,0))),"Article inconnu",IF(H701="","Désignation manquante",IF(OR(NOT(ISNUMBER(D701)),N(D701)&lt;=0),"Quantité invalide",IF(J701="","Prix manquant",IF(OR(NOT(ISNUMBER(J701)),N(J701)&lt;0),"Prix invalide",IF(OR(AND(F701&lt;&gt;"",NOT(ISNUMBER(F701))),N(F701)&lt;0,N(F701)&gt;1),"Remise invalide",IF(K701="","Taux de TVA manquant",IF(NOT(ISNUMBER(K701)),"Taux de TVA invalide",IF(COUNTIF(p_rates,K701)=0,"Taux de TVA hors liste (Paramètres)",IF(N(O701)&gt;25,"Au-delà de 25 lignes : non imprimée","OK")))))))))))))</f>
        <v/>
      </c>
      <c r="O701" s="59" t="str">
        <f>IF(A701="","",COUNTIF($A$6:A701,A701))</f>
        <v/>
      </c>
      <c r="P701" s="62" t="str">
        <f>IF(A701="","",A701&amp;"|"&amp;O701)</f>
        <v/>
      </c>
    </row>
    <row r="702">
      <c r="A702" s="60" t="n"/>
      <c r="B702" s="63" t="n"/>
      <c r="C702" s="63" t="n"/>
      <c r="D702" s="67" t="n"/>
      <c r="E702" s="68" t="n"/>
      <c r="F702" s="69" t="n"/>
      <c r="G702" s="70" t="n"/>
      <c r="H702" s="62" t="str">
        <f>IF(COUNTA(A702:G702)=0,"",IF(C702&lt;&gt;"",C702,IF(B702="","",IFERROR(INDEX(pr_des,MATCH(B702,pr_code,0))&amp;"",""))))</f>
        <v/>
      </c>
      <c r="I702" s="59" t="str">
        <f>IF(B702="","",IFERROR(INDEX(pr_unit,MATCH(B702,pr_code,0))&amp;"",""))</f>
        <v/>
      </c>
      <c r="J702" s="65" t="str">
        <f>IF(COUNTA(A702:G702)=0,"",IF(E702&lt;&gt;"",E702,IF(B702="","",IFERROR(IF(INDEX(pr_price,MATCH(B702,pr_code,0))="","",INDEX(pr_price,MATCH(B702,pr_code,0))),""))))</f>
        <v/>
      </c>
      <c r="K702" s="71" t="str">
        <f>IF(COUNTA(A702:G702)=0,"",IF(G702&lt;&gt;"",G702,IF(B702="","",IFERROR(IF(INDEX(pr_rate,MATCH(B702,pr_code,0))="","",INDEX(pr_rate,MATCH(B702,pr_code,0))),""))))</f>
        <v/>
      </c>
      <c r="L702" s="65" t="str">
        <f>IF(COUNTA(A702:G702)=0,"",IF(AND(ISNUMBER(D702),ISNUMBER(J702)),ROUND(D702*J702*(1-N(F702)),2),0))</f>
        <v/>
      </c>
      <c r="M702" s="62" t="str">
        <f>IF(A702="","",IFERROR(INDEX(fa_cname,MATCH(A702,fa_num,0))&amp;"",""))</f>
        <v/>
      </c>
      <c r="N702" s="59" t="str">
        <f>IF(COUNTA(A702:G702)=0,"",IF(A702="","N° facture manquant",IF(ISNA(MATCH(A702,fa_num,0)),"Facture inconnue",IF(AND(B702&lt;&gt;"",ISNA(MATCH(B702,pr_code,0))),"Article inconnu",IF(H702="","Désignation manquante",IF(OR(NOT(ISNUMBER(D702)),N(D702)&lt;=0),"Quantité invalide",IF(J702="","Prix manquant",IF(OR(NOT(ISNUMBER(J702)),N(J702)&lt;0),"Prix invalide",IF(OR(AND(F702&lt;&gt;"",NOT(ISNUMBER(F702))),N(F702)&lt;0,N(F702)&gt;1),"Remise invalide",IF(K702="","Taux de TVA manquant",IF(NOT(ISNUMBER(K702)),"Taux de TVA invalide",IF(COUNTIF(p_rates,K702)=0,"Taux de TVA hors liste (Paramètres)",IF(N(O702)&gt;25,"Au-delà de 25 lignes : non imprimée","OK")))))))))))))</f>
        <v/>
      </c>
      <c r="O702" s="59" t="str">
        <f>IF(A702="","",COUNTIF($A$6:A702,A702))</f>
        <v/>
      </c>
      <c r="P702" s="62" t="str">
        <f>IF(A702="","",A702&amp;"|"&amp;O702)</f>
        <v/>
      </c>
    </row>
    <row r="703">
      <c r="A703" s="60" t="n"/>
      <c r="B703" s="63" t="n"/>
      <c r="C703" s="63" t="n"/>
      <c r="D703" s="67" t="n"/>
      <c r="E703" s="68" t="n"/>
      <c r="F703" s="69" t="n"/>
      <c r="G703" s="70" t="n"/>
      <c r="H703" s="62" t="str">
        <f>IF(COUNTA(A703:G703)=0,"",IF(C703&lt;&gt;"",C703,IF(B703="","",IFERROR(INDEX(pr_des,MATCH(B703,pr_code,0))&amp;"",""))))</f>
        <v/>
      </c>
      <c r="I703" s="59" t="str">
        <f>IF(B703="","",IFERROR(INDEX(pr_unit,MATCH(B703,pr_code,0))&amp;"",""))</f>
        <v/>
      </c>
      <c r="J703" s="65" t="str">
        <f>IF(COUNTA(A703:G703)=0,"",IF(E703&lt;&gt;"",E703,IF(B703="","",IFERROR(IF(INDEX(pr_price,MATCH(B703,pr_code,0))="","",INDEX(pr_price,MATCH(B703,pr_code,0))),""))))</f>
        <v/>
      </c>
      <c r="K703" s="71" t="str">
        <f>IF(COUNTA(A703:G703)=0,"",IF(G703&lt;&gt;"",G703,IF(B703="","",IFERROR(IF(INDEX(pr_rate,MATCH(B703,pr_code,0))="","",INDEX(pr_rate,MATCH(B703,pr_code,0))),""))))</f>
        <v/>
      </c>
      <c r="L703" s="65" t="str">
        <f>IF(COUNTA(A703:G703)=0,"",IF(AND(ISNUMBER(D703),ISNUMBER(J703)),ROUND(D703*J703*(1-N(F703)),2),0))</f>
        <v/>
      </c>
      <c r="M703" s="62" t="str">
        <f>IF(A703="","",IFERROR(INDEX(fa_cname,MATCH(A703,fa_num,0))&amp;"",""))</f>
        <v/>
      </c>
      <c r="N703" s="59" t="str">
        <f>IF(COUNTA(A703:G703)=0,"",IF(A703="","N° facture manquant",IF(ISNA(MATCH(A703,fa_num,0)),"Facture inconnue",IF(AND(B703&lt;&gt;"",ISNA(MATCH(B703,pr_code,0))),"Article inconnu",IF(H703="","Désignation manquante",IF(OR(NOT(ISNUMBER(D703)),N(D703)&lt;=0),"Quantité invalide",IF(J703="","Prix manquant",IF(OR(NOT(ISNUMBER(J703)),N(J703)&lt;0),"Prix invalide",IF(OR(AND(F703&lt;&gt;"",NOT(ISNUMBER(F703))),N(F703)&lt;0,N(F703)&gt;1),"Remise invalide",IF(K703="","Taux de TVA manquant",IF(NOT(ISNUMBER(K703)),"Taux de TVA invalide",IF(COUNTIF(p_rates,K703)=0,"Taux de TVA hors liste (Paramètres)",IF(N(O703)&gt;25,"Au-delà de 25 lignes : non imprimée","OK")))))))))))))</f>
        <v/>
      </c>
      <c r="O703" s="59" t="str">
        <f>IF(A703="","",COUNTIF($A$6:A703,A703))</f>
        <v/>
      </c>
      <c r="P703" s="62" t="str">
        <f>IF(A703="","",A703&amp;"|"&amp;O703)</f>
        <v/>
      </c>
    </row>
    <row r="704">
      <c r="A704" s="60" t="n"/>
      <c r="B704" s="63" t="n"/>
      <c r="C704" s="63" t="n"/>
      <c r="D704" s="67" t="n"/>
      <c r="E704" s="68" t="n"/>
      <c r="F704" s="69" t="n"/>
      <c r="G704" s="70" t="n"/>
      <c r="H704" s="62" t="str">
        <f>IF(COUNTA(A704:G704)=0,"",IF(C704&lt;&gt;"",C704,IF(B704="","",IFERROR(INDEX(pr_des,MATCH(B704,pr_code,0))&amp;"",""))))</f>
        <v/>
      </c>
      <c r="I704" s="59" t="str">
        <f>IF(B704="","",IFERROR(INDEX(pr_unit,MATCH(B704,pr_code,0))&amp;"",""))</f>
        <v/>
      </c>
      <c r="J704" s="65" t="str">
        <f>IF(COUNTA(A704:G704)=0,"",IF(E704&lt;&gt;"",E704,IF(B704="","",IFERROR(IF(INDEX(pr_price,MATCH(B704,pr_code,0))="","",INDEX(pr_price,MATCH(B704,pr_code,0))),""))))</f>
        <v/>
      </c>
      <c r="K704" s="71" t="str">
        <f>IF(COUNTA(A704:G704)=0,"",IF(G704&lt;&gt;"",G704,IF(B704="","",IFERROR(IF(INDEX(pr_rate,MATCH(B704,pr_code,0))="","",INDEX(pr_rate,MATCH(B704,pr_code,0))),""))))</f>
        <v/>
      </c>
      <c r="L704" s="65" t="str">
        <f>IF(COUNTA(A704:G704)=0,"",IF(AND(ISNUMBER(D704),ISNUMBER(J704)),ROUND(D704*J704*(1-N(F704)),2),0))</f>
        <v/>
      </c>
      <c r="M704" s="62" t="str">
        <f>IF(A704="","",IFERROR(INDEX(fa_cname,MATCH(A704,fa_num,0))&amp;"",""))</f>
        <v/>
      </c>
      <c r="N704" s="59" t="str">
        <f>IF(COUNTA(A704:G704)=0,"",IF(A704="","N° facture manquant",IF(ISNA(MATCH(A704,fa_num,0)),"Facture inconnue",IF(AND(B704&lt;&gt;"",ISNA(MATCH(B704,pr_code,0))),"Article inconnu",IF(H704="","Désignation manquante",IF(OR(NOT(ISNUMBER(D704)),N(D704)&lt;=0),"Quantité invalide",IF(J704="","Prix manquant",IF(OR(NOT(ISNUMBER(J704)),N(J704)&lt;0),"Prix invalide",IF(OR(AND(F704&lt;&gt;"",NOT(ISNUMBER(F704))),N(F704)&lt;0,N(F704)&gt;1),"Remise invalide",IF(K704="","Taux de TVA manquant",IF(NOT(ISNUMBER(K704)),"Taux de TVA invalide",IF(COUNTIF(p_rates,K704)=0,"Taux de TVA hors liste (Paramètres)",IF(N(O704)&gt;25,"Au-delà de 25 lignes : non imprimée","OK")))))))))))))</f>
        <v/>
      </c>
      <c r="O704" s="59" t="str">
        <f>IF(A704="","",COUNTIF($A$6:A704,A704))</f>
        <v/>
      </c>
      <c r="P704" s="62" t="str">
        <f>IF(A704="","",A704&amp;"|"&amp;O704)</f>
        <v/>
      </c>
    </row>
    <row r="705">
      <c r="A705" s="60" t="n"/>
      <c r="B705" s="63" t="n"/>
      <c r="C705" s="63" t="n"/>
      <c r="D705" s="67" t="n"/>
      <c r="E705" s="68" t="n"/>
      <c r="F705" s="69" t="n"/>
      <c r="G705" s="70" t="n"/>
      <c r="H705" s="62" t="str">
        <f>IF(COUNTA(A705:G705)=0,"",IF(C705&lt;&gt;"",C705,IF(B705="","",IFERROR(INDEX(pr_des,MATCH(B705,pr_code,0))&amp;"",""))))</f>
        <v/>
      </c>
      <c r="I705" s="59" t="str">
        <f>IF(B705="","",IFERROR(INDEX(pr_unit,MATCH(B705,pr_code,0))&amp;"",""))</f>
        <v/>
      </c>
      <c r="J705" s="65" t="str">
        <f>IF(COUNTA(A705:G705)=0,"",IF(E705&lt;&gt;"",E705,IF(B705="","",IFERROR(IF(INDEX(pr_price,MATCH(B705,pr_code,0))="","",INDEX(pr_price,MATCH(B705,pr_code,0))),""))))</f>
        <v/>
      </c>
      <c r="K705" s="71" t="str">
        <f>IF(COUNTA(A705:G705)=0,"",IF(G705&lt;&gt;"",G705,IF(B705="","",IFERROR(IF(INDEX(pr_rate,MATCH(B705,pr_code,0))="","",INDEX(pr_rate,MATCH(B705,pr_code,0))),""))))</f>
        <v/>
      </c>
      <c r="L705" s="65" t="str">
        <f>IF(COUNTA(A705:G705)=0,"",IF(AND(ISNUMBER(D705),ISNUMBER(J705)),ROUND(D705*J705*(1-N(F705)),2),0))</f>
        <v/>
      </c>
      <c r="M705" s="62" t="str">
        <f>IF(A705="","",IFERROR(INDEX(fa_cname,MATCH(A705,fa_num,0))&amp;"",""))</f>
        <v/>
      </c>
      <c r="N705" s="59" t="str">
        <f>IF(COUNTA(A705:G705)=0,"",IF(A705="","N° facture manquant",IF(ISNA(MATCH(A705,fa_num,0)),"Facture inconnue",IF(AND(B705&lt;&gt;"",ISNA(MATCH(B705,pr_code,0))),"Article inconnu",IF(H705="","Désignation manquante",IF(OR(NOT(ISNUMBER(D705)),N(D705)&lt;=0),"Quantité invalide",IF(J705="","Prix manquant",IF(OR(NOT(ISNUMBER(J705)),N(J705)&lt;0),"Prix invalide",IF(OR(AND(F705&lt;&gt;"",NOT(ISNUMBER(F705))),N(F705)&lt;0,N(F705)&gt;1),"Remise invalide",IF(K705="","Taux de TVA manquant",IF(NOT(ISNUMBER(K705)),"Taux de TVA invalide",IF(COUNTIF(p_rates,K705)=0,"Taux de TVA hors liste (Paramètres)",IF(N(O705)&gt;25,"Au-delà de 25 lignes : non imprimée","OK")))))))))))))</f>
        <v/>
      </c>
      <c r="O705" s="59" t="str">
        <f>IF(A705="","",COUNTIF($A$6:A705,A705))</f>
        <v/>
      </c>
      <c r="P705" s="62" t="str">
        <f>IF(A705="","",A705&amp;"|"&amp;O705)</f>
        <v/>
      </c>
    </row>
    <row r="706">
      <c r="A706" s="60" t="n"/>
      <c r="B706" s="63" t="n"/>
      <c r="C706" s="63" t="n"/>
      <c r="D706" s="67" t="n"/>
      <c r="E706" s="68" t="n"/>
      <c r="F706" s="69" t="n"/>
      <c r="G706" s="70" t="n"/>
      <c r="H706" s="62" t="str">
        <f>IF(COUNTA(A706:G706)=0,"",IF(C706&lt;&gt;"",C706,IF(B706="","",IFERROR(INDEX(pr_des,MATCH(B706,pr_code,0))&amp;"",""))))</f>
        <v/>
      </c>
      <c r="I706" s="59" t="str">
        <f>IF(B706="","",IFERROR(INDEX(pr_unit,MATCH(B706,pr_code,0))&amp;"",""))</f>
        <v/>
      </c>
      <c r="J706" s="65" t="str">
        <f>IF(COUNTA(A706:G706)=0,"",IF(E706&lt;&gt;"",E706,IF(B706="","",IFERROR(IF(INDEX(pr_price,MATCH(B706,pr_code,0))="","",INDEX(pr_price,MATCH(B706,pr_code,0))),""))))</f>
        <v/>
      </c>
      <c r="K706" s="71" t="str">
        <f>IF(COUNTA(A706:G706)=0,"",IF(G706&lt;&gt;"",G706,IF(B706="","",IFERROR(IF(INDEX(pr_rate,MATCH(B706,pr_code,0))="","",INDEX(pr_rate,MATCH(B706,pr_code,0))),""))))</f>
        <v/>
      </c>
      <c r="L706" s="65" t="str">
        <f>IF(COUNTA(A706:G706)=0,"",IF(AND(ISNUMBER(D706),ISNUMBER(J706)),ROUND(D706*J706*(1-N(F706)),2),0))</f>
        <v/>
      </c>
      <c r="M706" s="62" t="str">
        <f>IF(A706="","",IFERROR(INDEX(fa_cname,MATCH(A706,fa_num,0))&amp;"",""))</f>
        <v/>
      </c>
      <c r="N706" s="59" t="str">
        <f>IF(COUNTA(A706:G706)=0,"",IF(A706="","N° facture manquant",IF(ISNA(MATCH(A706,fa_num,0)),"Facture inconnue",IF(AND(B706&lt;&gt;"",ISNA(MATCH(B706,pr_code,0))),"Article inconnu",IF(H706="","Désignation manquante",IF(OR(NOT(ISNUMBER(D706)),N(D706)&lt;=0),"Quantité invalide",IF(J706="","Prix manquant",IF(OR(NOT(ISNUMBER(J706)),N(J706)&lt;0),"Prix invalide",IF(OR(AND(F706&lt;&gt;"",NOT(ISNUMBER(F706))),N(F706)&lt;0,N(F706)&gt;1),"Remise invalide",IF(K706="","Taux de TVA manquant",IF(NOT(ISNUMBER(K706)),"Taux de TVA invalide",IF(COUNTIF(p_rates,K706)=0,"Taux de TVA hors liste (Paramètres)",IF(N(O706)&gt;25,"Au-delà de 25 lignes : non imprimée","OK")))))))))))))</f>
        <v/>
      </c>
      <c r="O706" s="59" t="str">
        <f>IF(A706="","",COUNTIF($A$6:A706,A706))</f>
        <v/>
      </c>
      <c r="P706" s="62" t="str">
        <f>IF(A706="","",A706&amp;"|"&amp;O706)</f>
        <v/>
      </c>
    </row>
    <row r="707">
      <c r="A707" s="60" t="n"/>
      <c r="B707" s="63" t="n"/>
      <c r="C707" s="63" t="n"/>
      <c r="D707" s="67" t="n"/>
      <c r="E707" s="68" t="n"/>
      <c r="F707" s="69" t="n"/>
      <c r="G707" s="70" t="n"/>
      <c r="H707" s="62" t="str">
        <f>IF(COUNTA(A707:G707)=0,"",IF(C707&lt;&gt;"",C707,IF(B707="","",IFERROR(INDEX(pr_des,MATCH(B707,pr_code,0))&amp;"",""))))</f>
        <v/>
      </c>
      <c r="I707" s="59" t="str">
        <f>IF(B707="","",IFERROR(INDEX(pr_unit,MATCH(B707,pr_code,0))&amp;"",""))</f>
        <v/>
      </c>
      <c r="J707" s="65" t="str">
        <f>IF(COUNTA(A707:G707)=0,"",IF(E707&lt;&gt;"",E707,IF(B707="","",IFERROR(IF(INDEX(pr_price,MATCH(B707,pr_code,0))="","",INDEX(pr_price,MATCH(B707,pr_code,0))),""))))</f>
        <v/>
      </c>
      <c r="K707" s="71" t="str">
        <f>IF(COUNTA(A707:G707)=0,"",IF(G707&lt;&gt;"",G707,IF(B707="","",IFERROR(IF(INDEX(pr_rate,MATCH(B707,pr_code,0))="","",INDEX(pr_rate,MATCH(B707,pr_code,0))),""))))</f>
        <v/>
      </c>
      <c r="L707" s="65" t="str">
        <f>IF(COUNTA(A707:G707)=0,"",IF(AND(ISNUMBER(D707),ISNUMBER(J707)),ROUND(D707*J707*(1-N(F707)),2),0))</f>
        <v/>
      </c>
      <c r="M707" s="62" t="str">
        <f>IF(A707="","",IFERROR(INDEX(fa_cname,MATCH(A707,fa_num,0))&amp;"",""))</f>
        <v/>
      </c>
      <c r="N707" s="59" t="str">
        <f>IF(COUNTA(A707:G707)=0,"",IF(A707="","N° facture manquant",IF(ISNA(MATCH(A707,fa_num,0)),"Facture inconnue",IF(AND(B707&lt;&gt;"",ISNA(MATCH(B707,pr_code,0))),"Article inconnu",IF(H707="","Désignation manquante",IF(OR(NOT(ISNUMBER(D707)),N(D707)&lt;=0),"Quantité invalide",IF(J707="","Prix manquant",IF(OR(NOT(ISNUMBER(J707)),N(J707)&lt;0),"Prix invalide",IF(OR(AND(F707&lt;&gt;"",NOT(ISNUMBER(F707))),N(F707)&lt;0,N(F707)&gt;1),"Remise invalide",IF(K707="","Taux de TVA manquant",IF(NOT(ISNUMBER(K707)),"Taux de TVA invalide",IF(COUNTIF(p_rates,K707)=0,"Taux de TVA hors liste (Paramètres)",IF(N(O707)&gt;25,"Au-delà de 25 lignes : non imprimée","OK")))))))))))))</f>
        <v/>
      </c>
      <c r="O707" s="59" t="str">
        <f>IF(A707="","",COUNTIF($A$6:A707,A707))</f>
        <v/>
      </c>
      <c r="P707" s="62" t="str">
        <f>IF(A707="","",A707&amp;"|"&amp;O707)</f>
        <v/>
      </c>
    </row>
    <row r="708">
      <c r="A708" s="60" t="n"/>
      <c r="B708" s="63" t="n"/>
      <c r="C708" s="63" t="n"/>
      <c r="D708" s="67" t="n"/>
      <c r="E708" s="68" t="n"/>
      <c r="F708" s="69" t="n"/>
      <c r="G708" s="70" t="n"/>
      <c r="H708" s="62" t="str">
        <f>IF(COUNTA(A708:G708)=0,"",IF(C708&lt;&gt;"",C708,IF(B708="","",IFERROR(INDEX(pr_des,MATCH(B708,pr_code,0))&amp;"",""))))</f>
        <v/>
      </c>
      <c r="I708" s="59" t="str">
        <f>IF(B708="","",IFERROR(INDEX(pr_unit,MATCH(B708,pr_code,0))&amp;"",""))</f>
        <v/>
      </c>
      <c r="J708" s="65" t="str">
        <f>IF(COUNTA(A708:G708)=0,"",IF(E708&lt;&gt;"",E708,IF(B708="","",IFERROR(IF(INDEX(pr_price,MATCH(B708,pr_code,0))="","",INDEX(pr_price,MATCH(B708,pr_code,0))),""))))</f>
        <v/>
      </c>
      <c r="K708" s="71" t="str">
        <f>IF(COUNTA(A708:G708)=0,"",IF(G708&lt;&gt;"",G708,IF(B708="","",IFERROR(IF(INDEX(pr_rate,MATCH(B708,pr_code,0))="","",INDEX(pr_rate,MATCH(B708,pr_code,0))),""))))</f>
        <v/>
      </c>
      <c r="L708" s="65" t="str">
        <f>IF(COUNTA(A708:G708)=0,"",IF(AND(ISNUMBER(D708),ISNUMBER(J708)),ROUND(D708*J708*(1-N(F708)),2),0))</f>
        <v/>
      </c>
      <c r="M708" s="62" t="str">
        <f>IF(A708="","",IFERROR(INDEX(fa_cname,MATCH(A708,fa_num,0))&amp;"",""))</f>
        <v/>
      </c>
      <c r="N708" s="59" t="str">
        <f>IF(COUNTA(A708:G708)=0,"",IF(A708="","N° facture manquant",IF(ISNA(MATCH(A708,fa_num,0)),"Facture inconnue",IF(AND(B708&lt;&gt;"",ISNA(MATCH(B708,pr_code,0))),"Article inconnu",IF(H708="","Désignation manquante",IF(OR(NOT(ISNUMBER(D708)),N(D708)&lt;=0),"Quantité invalide",IF(J708="","Prix manquant",IF(OR(NOT(ISNUMBER(J708)),N(J708)&lt;0),"Prix invalide",IF(OR(AND(F708&lt;&gt;"",NOT(ISNUMBER(F708))),N(F708)&lt;0,N(F708)&gt;1),"Remise invalide",IF(K708="","Taux de TVA manquant",IF(NOT(ISNUMBER(K708)),"Taux de TVA invalide",IF(COUNTIF(p_rates,K708)=0,"Taux de TVA hors liste (Paramètres)",IF(N(O708)&gt;25,"Au-delà de 25 lignes : non imprimée","OK")))))))))))))</f>
        <v/>
      </c>
      <c r="O708" s="59" t="str">
        <f>IF(A708="","",COUNTIF($A$6:A708,A708))</f>
        <v/>
      </c>
      <c r="P708" s="62" t="str">
        <f>IF(A708="","",A708&amp;"|"&amp;O708)</f>
        <v/>
      </c>
    </row>
    <row r="709">
      <c r="A709" s="60" t="n"/>
      <c r="B709" s="63" t="n"/>
      <c r="C709" s="63" t="n"/>
      <c r="D709" s="67" t="n"/>
      <c r="E709" s="68" t="n"/>
      <c r="F709" s="69" t="n"/>
      <c r="G709" s="70" t="n"/>
      <c r="H709" s="62" t="str">
        <f>IF(COUNTA(A709:G709)=0,"",IF(C709&lt;&gt;"",C709,IF(B709="","",IFERROR(INDEX(pr_des,MATCH(B709,pr_code,0))&amp;"",""))))</f>
        <v/>
      </c>
      <c r="I709" s="59" t="str">
        <f>IF(B709="","",IFERROR(INDEX(pr_unit,MATCH(B709,pr_code,0))&amp;"",""))</f>
        <v/>
      </c>
      <c r="J709" s="65" t="str">
        <f>IF(COUNTA(A709:G709)=0,"",IF(E709&lt;&gt;"",E709,IF(B709="","",IFERROR(IF(INDEX(pr_price,MATCH(B709,pr_code,0))="","",INDEX(pr_price,MATCH(B709,pr_code,0))),""))))</f>
        <v/>
      </c>
      <c r="K709" s="71" t="str">
        <f>IF(COUNTA(A709:G709)=0,"",IF(G709&lt;&gt;"",G709,IF(B709="","",IFERROR(IF(INDEX(pr_rate,MATCH(B709,pr_code,0))="","",INDEX(pr_rate,MATCH(B709,pr_code,0))),""))))</f>
        <v/>
      </c>
      <c r="L709" s="65" t="str">
        <f>IF(COUNTA(A709:G709)=0,"",IF(AND(ISNUMBER(D709),ISNUMBER(J709)),ROUND(D709*J709*(1-N(F709)),2),0))</f>
        <v/>
      </c>
      <c r="M709" s="62" t="str">
        <f>IF(A709="","",IFERROR(INDEX(fa_cname,MATCH(A709,fa_num,0))&amp;"",""))</f>
        <v/>
      </c>
      <c r="N709" s="59" t="str">
        <f>IF(COUNTA(A709:G709)=0,"",IF(A709="","N° facture manquant",IF(ISNA(MATCH(A709,fa_num,0)),"Facture inconnue",IF(AND(B709&lt;&gt;"",ISNA(MATCH(B709,pr_code,0))),"Article inconnu",IF(H709="","Désignation manquante",IF(OR(NOT(ISNUMBER(D709)),N(D709)&lt;=0),"Quantité invalide",IF(J709="","Prix manquant",IF(OR(NOT(ISNUMBER(J709)),N(J709)&lt;0),"Prix invalide",IF(OR(AND(F709&lt;&gt;"",NOT(ISNUMBER(F709))),N(F709)&lt;0,N(F709)&gt;1),"Remise invalide",IF(K709="","Taux de TVA manquant",IF(NOT(ISNUMBER(K709)),"Taux de TVA invalide",IF(COUNTIF(p_rates,K709)=0,"Taux de TVA hors liste (Paramètres)",IF(N(O709)&gt;25,"Au-delà de 25 lignes : non imprimée","OK")))))))))))))</f>
        <v/>
      </c>
      <c r="O709" s="59" t="str">
        <f>IF(A709="","",COUNTIF($A$6:A709,A709))</f>
        <v/>
      </c>
      <c r="P709" s="62" t="str">
        <f>IF(A709="","",A709&amp;"|"&amp;O709)</f>
        <v/>
      </c>
    </row>
    <row r="710">
      <c r="A710" s="60" t="n"/>
      <c r="B710" s="63" t="n"/>
      <c r="C710" s="63" t="n"/>
      <c r="D710" s="67" t="n"/>
      <c r="E710" s="68" t="n"/>
      <c r="F710" s="69" t="n"/>
      <c r="G710" s="70" t="n"/>
      <c r="H710" s="62" t="str">
        <f>IF(COUNTA(A710:G710)=0,"",IF(C710&lt;&gt;"",C710,IF(B710="","",IFERROR(INDEX(pr_des,MATCH(B710,pr_code,0))&amp;"",""))))</f>
        <v/>
      </c>
      <c r="I710" s="59" t="str">
        <f>IF(B710="","",IFERROR(INDEX(pr_unit,MATCH(B710,pr_code,0))&amp;"",""))</f>
        <v/>
      </c>
      <c r="J710" s="65" t="str">
        <f>IF(COUNTA(A710:G710)=0,"",IF(E710&lt;&gt;"",E710,IF(B710="","",IFERROR(IF(INDEX(pr_price,MATCH(B710,pr_code,0))="","",INDEX(pr_price,MATCH(B710,pr_code,0))),""))))</f>
        <v/>
      </c>
      <c r="K710" s="71" t="str">
        <f>IF(COUNTA(A710:G710)=0,"",IF(G710&lt;&gt;"",G710,IF(B710="","",IFERROR(IF(INDEX(pr_rate,MATCH(B710,pr_code,0))="","",INDEX(pr_rate,MATCH(B710,pr_code,0))),""))))</f>
        <v/>
      </c>
      <c r="L710" s="65" t="str">
        <f>IF(COUNTA(A710:G710)=0,"",IF(AND(ISNUMBER(D710),ISNUMBER(J710)),ROUND(D710*J710*(1-N(F710)),2),0))</f>
        <v/>
      </c>
      <c r="M710" s="62" t="str">
        <f>IF(A710="","",IFERROR(INDEX(fa_cname,MATCH(A710,fa_num,0))&amp;"",""))</f>
        <v/>
      </c>
      <c r="N710" s="59" t="str">
        <f>IF(COUNTA(A710:G710)=0,"",IF(A710="","N° facture manquant",IF(ISNA(MATCH(A710,fa_num,0)),"Facture inconnue",IF(AND(B710&lt;&gt;"",ISNA(MATCH(B710,pr_code,0))),"Article inconnu",IF(H710="","Désignation manquante",IF(OR(NOT(ISNUMBER(D710)),N(D710)&lt;=0),"Quantité invalide",IF(J710="","Prix manquant",IF(OR(NOT(ISNUMBER(J710)),N(J710)&lt;0),"Prix invalide",IF(OR(AND(F710&lt;&gt;"",NOT(ISNUMBER(F710))),N(F710)&lt;0,N(F710)&gt;1),"Remise invalide",IF(K710="","Taux de TVA manquant",IF(NOT(ISNUMBER(K710)),"Taux de TVA invalide",IF(COUNTIF(p_rates,K710)=0,"Taux de TVA hors liste (Paramètres)",IF(N(O710)&gt;25,"Au-delà de 25 lignes : non imprimée","OK")))))))))))))</f>
        <v/>
      </c>
      <c r="O710" s="59" t="str">
        <f>IF(A710="","",COUNTIF($A$6:A710,A710))</f>
        <v/>
      </c>
      <c r="P710" s="62" t="str">
        <f>IF(A710="","",A710&amp;"|"&amp;O710)</f>
        <v/>
      </c>
    </row>
    <row r="711">
      <c r="A711" s="60" t="n"/>
      <c r="B711" s="63" t="n"/>
      <c r="C711" s="63" t="n"/>
      <c r="D711" s="67" t="n"/>
      <c r="E711" s="68" t="n"/>
      <c r="F711" s="69" t="n"/>
      <c r="G711" s="70" t="n"/>
      <c r="H711" s="62" t="str">
        <f>IF(COUNTA(A711:G711)=0,"",IF(C711&lt;&gt;"",C711,IF(B711="","",IFERROR(INDEX(pr_des,MATCH(B711,pr_code,0))&amp;"",""))))</f>
        <v/>
      </c>
      <c r="I711" s="59" t="str">
        <f>IF(B711="","",IFERROR(INDEX(pr_unit,MATCH(B711,pr_code,0))&amp;"",""))</f>
        <v/>
      </c>
      <c r="J711" s="65" t="str">
        <f>IF(COUNTA(A711:G711)=0,"",IF(E711&lt;&gt;"",E711,IF(B711="","",IFERROR(IF(INDEX(pr_price,MATCH(B711,pr_code,0))="","",INDEX(pr_price,MATCH(B711,pr_code,0))),""))))</f>
        <v/>
      </c>
      <c r="K711" s="71" t="str">
        <f>IF(COUNTA(A711:G711)=0,"",IF(G711&lt;&gt;"",G711,IF(B711="","",IFERROR(IF(INDEX(pr_rate,MATCH(B711,pr_code,0))="","",INDEX(pr_rate,MATCH(B711,pr_code,0))),""))))</f>
        <v/>
      </c>
      <c r="L711" s="65" t="str">
        <f>IF(COUNTA(A711:G711)=0,"",IF(AND(ISNUMBER(D711),ISNUMBER(J711)),ROUND(D711*J711*(1-N(F711)),2),0))</f>
        <v/>
      </c>
      <c r="M711" s="62" t="str">
        <f>IF(A711="","",IFERROR(INDEX(fa_cname,MATCH(A711,fa_num,0))&amp;"",""))</f>
        <v/>
      </c>
      <c r="N711" s="59" t="str">
        <f>IF(COUNTA(A711:G711)=0,"",IF(A711="","N° facture manquant",IF(ISNA(MATCH(A711,fa_num,0)),"Facture inconnue",IF(AND(B711&lt;&gt;"",ISNA(MATCH(B711,pr_code,0))),"Article inconnu",IF(H711="","Désignation manquante",IF(OR(NOT(ISNUMBER(D711)),N(D711)&lt;=0),"Quantité invalide",IF(J711="","Prix manquant",IF(OR(NOT(ISNUMBER(J711)),N(J711)&lt;0),"Prix invalide",IF(OR(AND(F711&lt;&gt;"",NOT(ISNUMBER(F711))),N(F711)&lt;0,N(F711)&gt;1),"Remise invalide",IF(K711="","Taux de TVA manquant",IF(NOT(ISNUMBER(K711)),"Taux de TVA invalide",IF(COUNTIF(p_rates,K711)=0,"Taux de TVA hors liste (Paramètres)",IF(N(O711)&gt;25,"Au-delà de 25 lignes : non imprimée","OK")))))))))))))</f>
        <v/>
      </c>
      <c r="O711" s="59" t="str">
        <f>IF(A711="","",COUNTIF($A$6:A711,A711))</f>
        <v/>
      </c>
      <c r="P711" s="62" t="str">
        <f>IF(A711="","",A711&amp;"|"&amp;O711)</f>
        <v/>
      </c>
    </row>
    <row r="712">
      <c r="A712" s="60" t="n"/>
      <c r="B712" s="63" t="n"/>
      <c r="C712" s="63" t="n"/>
      <c r="D712" s="67" t="n"/>
      <c r="E712" s="68" t="n"/>
      <c r="F712" s="69" t="n"/>
      <c r="G712" s="70" t="n"/>
      <c r="H712" s="62" t="str">
        <f>IF(COUNTA(A712:G712)=0,"",IF(C712&lt;&gt;"",C712,IF(B712="","",IFERROR(INDEX(pr_des,MATCH(B712,pr_code,0))&amp;"",""))))</f>
        <v/>
      </c>
      <c r="I712" s="59" t="str">
        <f>IF(B712="","",IFERROR(INDEX(pr_unit,MATCH(B712,pr_code,0))&amp;"",""))</f>
        <v/>
      </c>
      <c r="J712" s="65" t="str">
        <f>IF(COUNTA(A712:G712)=0,"",IF(E712&lt;&gt;"",E712,IF(B712="","",IFERROR(IF(INDEX(pr_price,MATCH(B712,pr_code,0))="","",INDEX(pr_price,MATCH(B712,pr_code,0))),""))))</f>
        <v/>
      </c>
      <c r="K712" s="71" t="str">
        <f>IF(COUNTA(A712:G712)=0,"",IF(G712&lt;&gt;"",G712,IF(B712="","",IFERROR(IF(INDEX(pr_rate,MATCH(B712,pr_code,0))="","",INDEX(pr_rate,MATCH(B712,pr_code,0))),""))))</f>
        <v/>
      </c>
      <c r="L712" s="65" t="str">
        <f>IF(COUNTA(A712:G712)=0,"",IF(AND(ISNUMBER(D712),ISNUMBER(J712)),ROUND(D712*J712*(1-N(F712)),2),0))</f>
        <v/>
      </c>
      <c r="M712" s="62" t="str">
        <f>IF(A712="","",IFERROR(INDEX(fa_cname,MATCH(A712,fa_num,0))&amp;"",""))</f>
        <v/>
      </c>
      <c r="N712" s="59" t="str">
        <f>IF(COUNTA(A712:G712)=0,"",IF(A712="","N° facture manquant",IF(ISNA(MATCH(A712,fa_num,0)),"Facture inconnue",IF(AND(B712&lt;&gt;"",ISNA(MATCH(B712,pr_code,0))),"Article inconnu",IF(H712="","Désignation manquante",IF(OR(NOT(ISNUMBER(D712)),N(D712)&lt;=0),"Quantité invalide",IF(J712="","Prix manquant",IF(OR(NOT(ISNUMBER(J712)),N(J712)&lt;0),"Prix invalide",IF(OR(AND(F712&lt;&gt;"",NOT(ISNUMBER(F712))),N(F712)&lt;0,N(F712)&gt;1),"Remise invalide",IF(K712="","Taux de TVA manquant",IF(NOT(ISNUMBER(K712)),"Taux de TVA invalide",IF(COUNTIF(p_rates,K712)=0,"Taux de TVA hors liste (Paramètres)",IF(N(O712)&gt;25,"Au-delà de 25 lignes : non imprimée","OK")))))))))))))</f>
        <v/>
      </c>
      <c r="O712" s="59" t="str">
        <f>IF(A712="","",COUNTIF($A$6:A712,A712))</f>
        <v/>
      </c>
      <c r="P712" s="62" t="str">
        <f>IF(A712="","",A712&amp;"|"&amp;O712)</f>
        <v/>
      </c>
    </row>
    <row r="713">
      <c r="A713" s="60" t="n"/>
      <c r="B713" s="63" t="n"/>
      <c r="C713" s="63" t="n"/>
      <c r="D713" s="67" t="n"/>
      <c r="E713" s="68" t="n"/>
      <c r="F713" s="69" t="n"/>
      <c r="G713" s="70" t="n"/>
      <c r="H713" s="62" t="str">
        <f>IF(COUNTA(A713:G713)=0,"",IF(C713&lt;&gt;"",C713,IF(B713="","",IFERROR(INDEX(pr_des,MATCH(B713,pr_code,0))&amp;"",""))))</f>
        <v/>
      </c>
      <c r="I713" s="59" t="str">
        <f>IF(B713="","",IFERROR(INDEX(pr_unit,MATCH(B713,pr_code,0))&amp;"",""))</f>
        <v/>
      </c>
      <c r="J713" s="65" t="str">
        <f>IF(COUNTA(A713:G713)=0,"",IF(E713&lt;&gt;"",E713,IF(B713="","",IFERROR(IF(INDEX(pr_price,MATCH(B713,pr_code,0))="","",INDEX(pr_price,MATCH(B713,pr_code,0))),""))))</f>
        <v/>
      </c>
      <c r="K713" s="71" t="str">
        <f>IF(COUNTA(A713:G713)=0,"",IF(G713&lt;&gt;"",G713,IF(B713="","",IFERROR(IF(INDEX(pr_rate,MATCH(B713,pr_code,0))="","",INDEX(pr_rate,MATCH(B713,pr_code,0))),""))))</f>
        <v/>
      </c>
      <c r="L713" s="65" t="str">
        <f>IF(COUNTA(A713:G713)=0,"",IF(AND(ISNUMBER(D713),ISNUMBER(J713)),ROUND(D713*J713*(1-N(F713)),2),0))</f>
        <v/>
      </c>
      <c r="M713" s="62" t="str">
        <f>IF(A713="","",IFERROR(INDEX(fa_cname,MATCH(A713,fa_num,0))&amp;"",""))</f>
        <v/>
      </c>
      <c r="N713" s="59" t="str">
        <f>IF(COUNTA(A713:G713)=0,"",IF(A713="","N° facture manquant",IF(ISNA(MATCH(A713,fa_num,0)),"Facture inconnue",IF(AND(B713&lt;&gt;"",ISNA(MATCH(B713,pr_code,0))),"Article inconnu",IF(H713="","Désignation manquante",IF(OR(NOT(ISNUMBER(D713)),N(D713)&lt;=0),"Quantité invalide",IF(J713="","Prix manquant",IF(OR(NOT(ISNUMBER(J713)),N(J713)&lt;0),"Prix invalide",IF(OR(AND(F713&lt;&gt;"",NOT(ISNUMBER(F713))),N(F713)&lt;0,N(F713)&gt;1),"Remise invalide",IF(K713="","Taux de TVA manquant",IF(NOT(ISNUMBER(K713)),"Taux de TVA invalide",IF(COUNTIF(p_rates,K713)=0,"Taux de TVA hors liste (Paramètres)",IF(N(O713)&gt;25,"Au-delà de 25 lignes : non imprimée","OK")))))))))))))</f>
        <v/>
      </c>
      <c r="O713" s="59" t="str">
        <f>IF(A713="","",COUNTIF($A$6:A713,A713))</f>
        <v/>
      </c>
      <c r="P713" s="62" t="str">
        <f>IF(A713="","",A713&amp;"|"&amp;O713)</f>
        <v/>
      </c>
    </row>
    <row r="714">
      <c r="A714" s="60" t="n"/>
      <c r="B714" s="63" t="n"/>
      <c r="C714" s="63" t="n"/>
      <c r="D714" s="67" t="n"/>
      <c r="E714" s="68" t="n"/>
      <c r="F714" s="69" t="n"/>
      <c r="G714" s="70" t="n"/>
      <c r="H714" s="62" t="str">
        <f>IF(COUNTA(A714:G714)=0,"",IF(C714&lt;&gt;"",C714,IF(B714="","",IFERROR(INDEX(pr_des,MATCH(B714,pr_code,0))&amp;"",""))))</f>
        <v/>
      </c>
      <c r="I714" s="59" t="str">
        <f>IF(B714="","",IFERROR(INDEX(pr_unit,MATCH(B714,pr_code,0))&amp;"",""))</f>
        <v/>
      </c>
      <c r="J714" s="65" t="str">
        <f>IF(COUNTA(A714:G714)=0,"",IF(E714&lt;&gt;"",E714,IF(B714="","",IFERROR(IF(INDEX(pr_price,MATCH(B714,pr_code,0))="","",INDEX(pr_price,MATCH(B714,pr_code,0))),""))))</f>
        <v/>
      </c>
      <c r="K714" s="71" t="str">
        <f>IF(COUNTA(A714:G714)=0,"",IF(G714&lt;&gt;"",G714,IF(B714="","",IFERROR(IF(INDEX(pr_rate,MATCH(B714,pr_code,0))="","",INDEX(pr_rate,MATCH(B714,pr_code,0))),""))))</f>
        <v/>
      </c>
      <c r="L714" s="65" t="str">
        <f>IF(COUNTA(A714:G714)=0,"",IF(AND(ISNUMBER(D714),ISNUMBER(J714)),ROUND(D714*J714*(1-N(F714)),2),0))</f>
        <v/>
      </c>
      <c r="M714" s="62" t="str">
        <f>IF(A714="","",IFERROR(INDEX(fa_cname,MATCH(A714,fa_num,0))&amp;"",""))</f>
        <v/>
      </c>
      <c r="N714" s="59" t="str">
        <f>IF(COUNTA(A714:G714)=0,"",IF(A714="","N° facture manquant",IF(ISNA(MATCH(A714,fa_num,0)),"Facture inconnue",IF(AND(B714&lt;&gt;"",ISNA(MATCH(B714,pr_code,0))),"Article inconnu",IF(H714="","Désignation manquante",IF(OR(NOT(ISNUMBER(D714)),N(D714)&lt;=0),"Quantité invalide",IF(J714="","Prix manquant",IF(OR(NOT(ISNUMBER(J714)),N(J714)&lt;0),"Prix invalide",IF(OR(AND(F714&lt;&gt;"",NOT(ISNUMBER(F714))),N(F714)&lt;0,N(F714)&gt;1),"Remise invalide",IF(K714="","Taux de TVA manquant",IF(NOT(ISNUMBER(K714)),"Taux de TVA invalide",IF(COUNTIF(p_rates,K714)=0,"Taux de TVA hors liste (Paramètres)",IF(N(O714)&gt;25,"Au-delà de 25 lignes : non imprimée","OK")))))))))))))</f>
        <v/>
      </c>
      <c r="O714" s="59" t="str">
        <f>IF(A714="","",COUNTIF($A$6:A714,A714))</f>
        <v/>
      </c>
      <c r="P714" s="62" t="str">
        <f>IF(A714="","",A714&amp;"|"&amp;O714)</f>
        <v/>
      </c>
    </row>
    <row r="715">
      <c r="A715" s="60" t="n"/>
      <c r="B715" s="63" t="n"/>
      <c r="C715" s="63" t="n"/>
      <c r="D715" s="67" t="n"/>
      <c r="E715" s="68" t="n"/>
      <c r="F715" s="69" t="n"/>
      <c r="G715" s="70" t="n"/>
      <c r="H715" s="62" t="str">
        <f>IF(COUNTA(A715:G715)=0,"",IF(C715&lt;&gt;"",C715,IF(B715="","",IFERROR(INDEX(pr_des,MATCH(B715,pr_code,0))&amp;"",""))))</f>
        <v/>
      </c>
      <c r="I715" s="59" t="str">
        <f>IF(B715="","",IFERROR(INDEX(pr_unit,MATCH(B715,pr_code,0))&amp;"",""))</f>
        <v/>
      </c>
      <c r="J715" s="65" t="str">
        <f>IF(COUNTA(A715:G715)=0,"",IF(E715&lt;&gt;"",E715,IF(B715="","",IFERROR(IF(INDEX(pr_price,MATCH(B715,pr_code,0))="","",INDEX(pr_price,MATCH(B715,pr_code,0))),""))))</f>
        <v/>
      </c>
      <c r="K715" s="71" t="str">
        <f>IF(COUNTA(A715:G715)=0,"",IF(G715&lt;&gt;"",G715,IF(B715="","",IFERROR(IF(INDEX(pr_rate,MATCH(B715,pr_code,0))="","",INDEX(pr_rate,MATCH(B715,pr_code,0))),""))))</f>
        <v/>
      </c>
      <c r="L715" s="65" t="str">
        <f>IF(COUNTA(A715:G715)=0,"",IF(AND(ISNUMBER(D715),ISNUMBER(J715)),ROUND(D715*J715*(1-N(F715)),2),0))</f>
        <v/>
      </c>
      <c r="M715" s="62" t="str">
        <f>IF(A715="","",IFERROR(INDEX(fa_cname,MATCH(A715,fa_num,0))&amp;"",""))</f>
        <v/>
      </c>
      <c r="N715" s="59" t="str">
        <f>IF(COUNTA(A715:G715)=0,"",IF(A715="","N° facture manquant",IF(ISNA(MATCH(A715,fa_num,0)),"Facture inconnue",IF(AND(B715&lt;&gt;"",ISNA(MATCH(B715,pr_code,0))),"Article inconnu",IF(H715="","Désignation manquante",IF(OR(NOT(ISNUMBER(D715)),N(D715)&lt;=0),"Quantité invalide",IF(J715="","Prix manquant",IF(OR(NOT(ISNUMBER(J715)),N(J715)&lt;0),"Prix invalide",IF(OR(AND(F715&lt;&gt;"",NOT(ISNUMBER(F715))),N(F715)&lt;0,N(F715)&gt;1),"Remise invalide",IF(K715="","Taux de TVA manquant",IF(NOT(ISNUMBER(K715)),"Taux de TVA invalide",IF(COUNTIF(p_rates,K715)=0,"Taux de TVA hors liste (Paramètres)",IF(N(O715)&gt;25,"Au-delà de 25 lignes : non imprimée","OK")))))))))))))</f>
        <v/>
      </c>
      <c r="O715" s="59" t="str">
        <f>IF(A715="","",COUNTIF($A$6:A715,A715))</f>
        <v/>
      </c>
      <c r="P715" s="62" t="str">
        <f>IF(A715="","",A715&amp;"|"&amp;O715)</f>
        <v/>
      </c>
    </row>
    <row r="716">
      <c r="A716" s="60" t="n"/>
      <c r="B716" s="63" t="n"/>
      <c r="C716" s="63" t="n"/>
      <c r="D716" s="67" t="n"/>
      <c r="E716" s="68" t="n"/>
      <c r="F716" s="69" t="n"/>
      <c r="G716" s="70" t="n"/>
      <c r="H716" s="62" t="str">
        <f>IF(COUNTA(A716:G716)=0,"",IF(C716&lt;&gt;"",C716,IF(B716="","",IFERROR(INDEX(pr_des,MATCH(B716,pr_code,0))&amp;"",""))))</f>
        <v/>
      </c>
      <c r="I716" s="59" t="str">
        <f>IF(B716="","",IFERROR(INDEX(pr_unit,MATCH(B716,pr_code,0))&amp;"",""))</f>
        <v/>
      </c>
      <c r="J716" s="65" t="str">
        <f>IF(COUNTA(A716:G716)=0,"",IF(E716&lt;&gt;"",E716,IF(B716="","",IFERROR(IF(INDEX(pr_price,MATCH(B716,pr_code,0))="","",INDEX(pr_price,MATCH(B716,pr_code,0))),""))))</f>
        <v/>
      </c>
      <c r="K716" s="71" t="str">
        <f>IF(COUNTA(A716:G716)=0,"",IF(G716&lt;&gt;"",G716,IF(B716="","",IFERROR(IF(INDEX(pr_rate,MATCH(B716,pr_code,0))="","",INDEX(pr_rate,MATCH(B716,pr_code,0))),""))))</f>
        <v/>
      </c>
      <c r="L716" s="65" t="str">
        <f>IF(COUNTA(A716:G716)=0,"",IF(AND(ISNUMBER(D716),ISNUMBER(J716)),ROUND(D716*J716*(1-N(F716)),2),0))</f>
        <v/>
      </c>
      <c r="M716" s="62" t="str">
        <f>IF(A716="","",IFERROR(INDEX(fa_cname,MATCH(A716,fa_num,0))&amp;"",""))</f>
        <v/>
      </c>
      <c r="N716" s="59" t="str">
        <f>IF(COUNTA(A716:G716)=0,"",IF(A716="","N° facture manquant",IF(ISNA(MATCH(A716,fa_num,0)),"Facture inconnue",IF(AND(B716&lt;&gt;"",ISNA(MATCH(B716,pr_code,0))),"Article inconnu",IF(H716="","Désignation manquante",IF(OR(NOT(ISNUMBER(D716)),N(D716)&lt;=0),"Quantité invalide",IF(J716="","Prix manquant",IF(OR(NOT(ISNUMBER(J716)),N(J716)&lt;0),"Prix invalide",IF(OR(AND(F716&lt;&gt;"",NOT(ISNUMBER(F716))),N(F716)&lt;0,N(F716)&gt;1),"Remise invalide",IF(K716="","Taux de TVA manquant",IF(NOT(ISNUMBER(K716)),"Taux de TVA invalide",IF(COUNTIF(p_rates,K716)=0,"Taux de TVA hors liste (Paramètres)",IF(N(O716)&gt;25,"Au-delà de 25 lignes : non imprimée","OK")))))))))))))</f>
        <v/>
      </c>
      <c r="O716" s="59" t="str">
        <f>IF(A716="","",COUNTIF($A$6:A716,A716))</f>
        <v/>
      </c>
      <c r="P716" s="62" t="str">
        <f>IF(A716="","",A716&amp;"|"&amp;O716)</f>
        <v/>
      </c>
    </row>
    <row r="717">
      <c r="A717" s="60" t="n"/>
      <c r="B717" s="63" t="n"/>
      <c r="C717" s="63" t="n"/>
      <c r="D717" s="67" t="n"/>
      <c r="E717" s="68" t="n"/>
      <c r="F717" s="69" t="n"/>
      <c r="G717" s="70" t="n"/>
      <c r="H717" s="62" t="str">
        <f>IF(COUNTA(A717:G717)=0,"",IF(C717&lt;&gt;"",C717,IF(B717="","",IFERROR(INDEX(pr_des,MATCH(B717,pr_code,0))&amp;"",""))))</f>
        <v/>
      </c>
      <c r="I717" s="59" t="str">
        <f>IF(B717="","",IFERROR(INDEX(pr_unit,MATCH(B717,pr_code,0))&amp;"",""))</f>
        <v/>
      </c>
      <c r="J717" s="65" t="str">
        <f>IF(COUNTA(A717:G717)=0,"",IF(E717&lt;&gt;"",E717,IF(B717="","",IFERROR(IF(INDEX(pr_price,MATCH(B717,pr_code,0))="","",INDEX(pr_price,MATCH(B717,pr_code,0))),""))))</f>
        <v/>
      </c>
      <c r="K717" s="71" t="str">
        <f>IF(COUNTA(A717:G717)=0,"",IF(G717&lt;&gt;"",G717,IF(B717="","",IFERROR(IF(INDEX(pr_rate,MATCH(B717,pr_code,0))="","",INDEX(pr_rate,MATCH(B717,pr_code,0))),""))))</f>
        <v/>
      </c>
      <c r="L717" s="65" t="str">
        <f>IF(COUNTA(A717:G717)=0,"",IF(AND(ISNUMBER(D717),ISNUMBER(J717)),ROUND(D717*J717*(1-N(F717)),2),0))</f>
        <v/>
      </c>
      <c r="M717" s="62" t="str">
        <f>IF(A717="","",IFERROR(INDEX(fa_cname,MATCH(A717,fa_num,0))&amp;"",""))</f>
        <v/>
      </c>
      <c r="N717" s="59" t="str">
        <f>IF(COUNTA(A717:G717)=0,"",IF(A717="","N° facture manquant",IF(ISNA(MATCH(A717,fa_num,0)),"Facture inconnue",IF(AND(B717&lt;&gt;"",ISNA(MATCH(B717,pr_code,0))),"Article inconnu",IF(H717="","Désignation manquante",IF(OR(NOT(ISNUMBER(D717)),N(D717)&lt;=0),"Quantité invalide",IF(J717="","Prix manquant",IF(OR(NOT(ISNUMBER(J717)),N(J717)&lt;0),"Prix invalide",IF(OR(AND(F717&lt;&gt;"",NOT(ISNUMBER(F717))),N(F717)&lt;0,N(F717)&gt;1),"Remise invalide",IF(K717="","Taux de TVA manquant",IF(NOT(ISNUMBER(K717)),"Taux de TVA invalide",IF(COUNTIF(p_rates,K717)=0,"Taux de TVA hors liste (Paramètres)",IF(N(O717)&gt;25,"Au-delà de 25 lignes : non imprimée","OK")))))))))))))</f>
        <v/>
      </c>
      <c r="O717" s="59" t="str">
        <f>IF(A717="","",COUNTIF($A$6:A717,A717))</f>
        <v/>
      </c>
      <c r="P717" s="62" t="str">
        <f>IF(A717="","",A717&amp;"|"&amp;O717)</f>
        <v/>
      </c>
    </row>
    <row r="718">
      <c r="A718" s="60" t="n"/>
      <c r="B718" s="63" t="n"/>
      <c r="C718" s="63" t="n"/>
      <c r="D718" s="67" t="n"/>
      <c r="E718" s="68" t="n"/>
      <c r="F718" s="69" t="n"/>
      <c r="G718" s="70" t="n"/>
      <c r="H718" s="62" t="str">
        <f>IF(COUNTA(A718:G718)=0,"",IF(C718&lt;&gt;"",C718,IF(B718="","",IFERROR(INDEX(pr_des,MATCH(B718,pr_code,0))&amp;"",""))))</f>
        <v/>
      </c>
      <c r="I718" s="59" t="str">
        <f>IF(B718="","",IFERROR(INDEX(pr_unit,MATCH(B718,pr_code,0))&amp;"",""))</f>
        <v/>
      </c>
      <c r="J718" s="65" t="str">
        <f>IF(COUNTA(A718:G718)=0,"",IF(E718&lt;&gt;"",E718,IF(B718="","",IFERROR(IF(INDEX(pr_price,MATCH(B718,pr_code,0))="","",INDEX(pr_price,MATCH(B718,pr_code,0))),""))))</f>
        <v/>
      </c>
      <c r="K718" s="71" t="str">
        <f>IF(COUNTA(A718:G718)=0,"",IF(G718&lt;&gt;"",G718,IF(B718="","",IFERROR(IF(INDEX(pr_rate,MATCH(B718,pr_code,0))="","",INDEX(pr_rate,MATCH(B718,pr_code,0))),""))))</f>
        <v/>
      </c>
      <c r="L718" s="65" t="str">
        <f>IF(COUNTA(A718:G718)=0,"",IF(AND(ISNUMBER(D718),ISNUMBER(J718)),ROUND(D718*J718*(1-N(F718)),2),0))</f>
        <v/>
      </c>
      <c r="M718" s="62" t="str">
        <f>IF(A718="","",IFERROR(INDEX(fa_cname,MATCH(A718,fa_num,0))&amp;"",""))</f>
        <v/>
      </c>
      <c r="N718" s="59" t="str">
        <f>IF(COUNTA(A718:G718)=0,"",IF(A718="","N° facture manquant",IF(ISNA(MATCH(A718,fa_num,0)),"Facture inconnue",IF(AND(B718&lt;&gt;"",ISNA(MATCH(B718,pr_code,0))),"Article inconnu",IF(H718="","Désignation manquante",IF(OR(NOT(ISNUMBER(D718)),N(D718)&lt;=0),"Quantité invalide",IF(J718="","Prix manquant",IF(OR(NOT(ISNUMBER(J718)),N(J718)&lt;0),"Prix invalide",IF(OR(AND(F718&lt;&gt;"",NOT(ISNUMBER(F718))),N(F718)&lt;0,N(F718)&gt;1),"Remise invalide",IF(K718="","Taux de TVA manquant",IF(NOT(ISNUMBER(K718)),"Taux de TVA invalide",IF(COUNTIF(p_rates,K718)=0,"Taux de TVA hors liste (Paramètres)",IF(N(O718)&gt;25,"Au-delà de 25 lignes : non imprimée","OK")))))))))))))</f>
        <v/>
      </c>
      <c r="O718" s="59" t="str">
        <f>IF(A718="","",COUNTIF($A$6:A718,A718))</f>
        <v/>
      </c>
      <c r="P718" s="62" t="str">
        <f>IF(A718="","",A718&amp;"|"&amp;O718)</f>
        <v/>
      </c>
    </row>
    <row r="719">
      <c r="A719" s="60" t="n"/>
      <c r="B719" s="63" t="n"/>
      <c r="C719" s="63" t="n"/>
      <c r="D719" s="67" t="n"/>
      <c r="E719" s="68" t="n"/>
      <c r="F719" s="69" t="n"/>
      <c r="G719" s="70" t="n"/>
      <c r="H719" s="62" t="str">
        <f>IF(COUNTA(A719:G719)=0,"",IF(C719&lt;&gt;"",C719,IF(B719="","",IFERROR(INDEX(pr_des,MATCH(B719,pr_code,0))&amp;"",""))))</f>
        <v/>
      </c>
      <c r="I719" s="59" t="str">
        <f>IF(B719="","",IFERROR(INDEX(pr_unit,MATCH(B719,pr_code,0))&amp;"",""))</f>
        <v/>
      </c>
      <c r="J719" s="65" t="str">
        <f>IF(COUNTA(A719:G719)=0,"",IF(E719&lt;&gt;"",E719,IF(B719="","",IFERROR(IF(INDEX(pr_price,MATCH(B719,pr_code,0))="","",INDEX(pr_price,MATCH(B719,pr_code,0))),""))))</f>
        <v/>
      </c>
      <c r="K719" s="71" t="str">
        <f>IF(COUNTA(A719:G719)=0,"",IF(G719&lt;&gt;"",G719,IF(B719="","",IFERROR(IF(INDEX(pr_rate,MATCH(B719,pr_code,0))="","",INDEX(pr_rate,MATCH(B719,pr_code,0))),""))))</f>
        <v/>
      </c>
      <c r="L719" s="65" t="str">
        <f>IF(COUNTA(A719:G719)=0,"",IF(AND(ISNUMBER(D719),ISNUMBER(J719)),ROUND(D719*J719*(1-N(F719)),2),0))</f>
        <v/>
      </c>
      <c r="M719" s="62" t="str">
        <f>IF(A719="","",IFERROR(INDEX(fa_cname,MATCH(A719,fa_num,0))&amp;"",""))</f>
        <v/>
      </c>
      <c r="N719" s="59" t="str">
        <f>IF(COUNTA(A719:G719)=0,"",IF(A719="","N° facture manquant",IF(ISNA(MATCH(A719,fa_num,0)),"Facture inconnue",IF(AND(B719&lt;&gt;"",ISNA(MATCH(B719,pr_code,0))),"Article inconnu",IF(H719="","Désignation manquante",IF(OR(NOT(ISNUMBER(D719)),N(D719)&lt;=0),"Quantité invalide",IF(J719="","Prix manquant",IF(OR(NOT(ISNUMBER(J719)),N(J719)&lt;0),"Prix invalide",IF(OR(AND(F719&lt;&gt;"",NOT(ISNUMBER(F719))),N(F719)&lt;0,N(F719)&gt;1),"Remise invalide",IF(K719="","Taux de TVA manquant",IF(NOT(ISNUMBER(K719)),"Taux de TVA invalide",IF(COUNTIF(p_rates,K719)=0,"Taux de TVA hors liste (Paramètres)",IF(N(O719)&gt;25,"Au-delà de 25 lignes : non imprimée","OK")))))))))))))</f>
        <v/>
      </c>
      <c r="O719" s="59" t="str">
        <f>IF(A719="","",COUNTIF($A$6:A719,A719))</f>
        <v/>
      </c>
      <c r="P719" s="62" t="str">
        <f>IF(A719="","",A719&amp;"|"&amp;O719)</f>
        <v/>
      </c>
    </row>
    <row r="720">
      <c r="A720" s="60" t="n"/>
      <c r="B720" s="63" t="n"/>
      <c r="C720" s="63" t="n"/>
      <c r="D720" s="67" t="n"/>
      <c r="E720" s="68" t="n"/>
      <c r="F720" s="69" t="n"/>
      <c r="G720" s="70" t="n"/>
      <c r="H720" s="62" t="str">
        <f>IF(COUNTA(A720:G720)=0,"",IF(C720&lt;&gt;"",C720,IF(B720="","",IFERROR(INDEX(pr_des,MATCH(B720,pr_code,0))&amp;"",""))))</f>
        <v/>
      </c>
      <c r="I720" s="59" t="str">
        <f>IF(B720="","",IFERROR(INDEX(pr_unit,MATCH(B720,pr_code,0))&amp;"",""))</f>
        <v/>
      </c>
      <c r="J720" s="65" t="str">
        <f>IF(COUNTA(A720:G720)=0,"",IF(E720&lt;&gt;"",E720,IF(B720="","",IFERROR(IF(INDEX(pr_price,MATCH(B720,pr_code,0))="","",INDEX(pr_price,MATCH(B720,pr_code,0))),""))))</f>
        <v/>
      </c>
      <c r="K720" s="71" t="str">
        <f>IF(COUNTA(A720:G720)=0,"",IF(G720&lt;&gt;"",G720,IF(B720="","",IFERROR(IF(INDEX(pr_rate,MATCH(B720,pr_code,0))="","",INDEX(pr_rate,MATCH(B720,pr_code,0))),""))))</f>
        <v/>
      </c>
      <c r="L720" s="65" t="str">
        <f>IF(COUNTA(A720:G720)=0,"",IF(AND(ISNUMBER(D720),ISNUMBER(J720)),ROUND(D720*J720*(1-N(F720)),2),0))</f>
        <v/>
      </c>
      <c r="M720" s="62" t="str">
        <f>IF(A720="","",IFERROR(INDEX(fa_cname,MATCH(A720,fa_num,0))&amp;"",""))</f>
        <v/>
      </c>
      <c r="N720" s="59" t="str">
        <f>IF(COUNTA(A720:G720)=0,"",IF(A720="","N° facture manquant",IF(ISNA(MATCH(A720,fa_num,0)),"Facture inconnue",IF(AND(B720&lt;&gt;"",ISNA(MATCH(B720,pr_code,0))),"Article inconnu",IF(H720="","Désignation manquante",IF(OR(NOT(ISNUMBER(D720)),N(D720)&lt;=0),"Quantité invalide",IF(J720="","Prix manquant",IF(OR(NOT(ISNUMBER(J720)),N(J720)&lt;0),"Prix invalide",IF(OR(AND(F720&lt;&gt;"",NOT(ISNUMBER(F720))),N(F720)&lt;0,N(F720)&gt;1),"Remise invalide",IF(K720="","Taux de TVA manquant",IF(NOT(ISNUMBER(K720)),"Taux de TVA invalide",IF(COUNTIF(p_rates,K720)=0,"Taux de TVA hors liste (Paramètres)",IF(N(O720)&gt;25,"Au-delà de 25 lignes : non imprimée","OK")))))))))))))</f>
        <v/>
      </c>
      <c r="O720" s="59" t="str">
        <f>IF(A720="","",COUNTIF($A$6:A720,A720))</f>
        <v/>
      </c>
      <c r="P720" s="62" t="str">
        <f>IF(A720="","",A720&amp;"|"&amp;O720)</f>
        <v/>
      </c>
    </row>
    <row r="721">
      <c r="A721" s="60" t="n"/>
      <c r="B721" s="63" t="n"/>
      <c r="C721" s="63" t="n"/>
      <c r="D721" s="67" t="n"/>
      <c r="E721" s="68" t="n"/>
      <c r="F721" s="69" t="n"/>
      <c r="G721" s="70" t="n"/>
      <c r="H721" s="62" t="str">
        <f>IF(COUNTA(A721:G721)=0,"",IF(C721&lt;&gt;"",C721,IF(B721="","",IFERROR(INDEX(pr_des,MATCH(B721,pr_code,0))&amp;"",""))))</f>
        <v/>
      </c>
      <c r="I721" s="59" t="str">
        <f>IF(B721="","",IFERROR(INDEX(pr_unit,MATCH(B721,pr_code,0))&amp;"",""))</f>
        <v/>
      </c>
      <c r="J721" s="65" t="str">
        <f>IF(COUNTA(A721:G721)=0,"",IF(E721&lt;&gt;"",E721,IF(B721="","",IFERROR(IF(INDEX(pr_price,MATCH(B721,pr_code,0))="","",INDEX(pr_price,MATCH(B721,pr_code,0))),""))))</f>
        <v/>
      </c>
      <c r="K721" s="71" t="str">
        <f>IF(COUNTA(A721:G721)=0,"",IF(G721&lt;&gt;"",G721,IF(B721="","",IFERROR(IF(INDEX(pr_rate,MATCH(B721,pr_code,0))="","",INDEX(pr_rate,MATCH(B721,pr_code,0))),""))))</f>
        <v/>
      </c>
      <c r="L721" s="65" t="str">
        <f>IF(COUNTA(A721:G721)=0,"",IF(AND(ISNUMBER(D721),ISNUMBER(J721)),ROUND(D721*J721*(1-N(F721)),2),0))</f>
        <v/>
      </c>
      <c r="M721" s="62" t="str">
        <f>IF(A721="","",IFERROR(INDEX(fa_cname,MATCH(A721,fa_num,0))&amp;"",""))</f>
        <v/>
      </c>
      <c r="N721" s="59" t="str">
        <f>IF(COUNTA(A721:G721)=0,"",IF(A721="","N° facture manquant",IF(ISNA(MATCH(A721,fa_num,0)),"Facture inconnue",IF(AND(B721&lt;&gt;"",ISNA(MATCH(B721,pr_code,0))),"Article inconnu",IF(H721="","Désignation manquante",IF(OR(NOT(ISNUMBER(D721)),N(D721)&lt;=0),"Quantité invalide",IF(J721="","Prix manquant",IF(OR(NOT(ISNUMBER(J721)),N(J721)&lt;0),"Prix invalide",IF(OR(AND(F721&lt;&gt;"",NOT(ISNUMBER(F721))),N(F721)&lt;0,N(F721)&gt;1),"Remise invalide",IF(K721="","Taux de TVA manquant",IF(NOT(ISNUMBER(K721)),"Taux de TVA invalide",IF(COUNTIF(p_rates,K721)=0,"Taux de TVA hors liste (Paramètres)",IF(N(O721)&gt;25,"Au-delà de 25 lignes : non imprimée","OK")))))))))))))</f>
        <v/>
      </c>
      <c r="O721" s="59" t="str">
        <f>IF(A721="","",COUNTIF($A$6:A721,A721))</f>
        <v/>
      </c>
      <c r="P721" s="62" t="str">
        <f>IF(A721="","",A721&amp;"|"&amp;O721)</f>
        <v/>
      </c>
    </row>
    <row r="722">
      <c r="A722" s="60" t="n"/>
      <c r="B722" s="63" t="n"/>
      <c r="C722" s="63" t="n"/>
      <c r="D722" s="67" t="n"/>
      <c r="E722" s="68" t="n"/>
      <c r="F722" s="69" t="n"/>
      <c r="G722" s="70" t="n"/>
      <c r="H722" s="62" t="str">
        <f>IF(COUNTA(A722:G722)=0,"",IF(C722&lt;&gt;"",C722,IF(B722="","",IFERROR(INDEX(pr_des,MATCH(B722,pr_code,0))&amp;"",""))))</f>
        <v/>
      </c>
      <c r="I722" s="59" t="str">
        <f>IF(B722="","",IFERROR(INDEX(pr_unit,MATCH(B722,pr_code,0))&amp;"",""))</f>
        <v/>
      </c>
      <c r="J722" s="65" t="str">
        <f>IF(COUNTA(A722:G722)=0,"",IF(E722&lt;&gt;"",E722,IF(B722="","",IFERROR(IF(INDEX(pr_price,MATCH(B722,pr_code,0))="","",INDEX(pr_price,MATCH(B722,pr_code,0))),""))))</f>
        <v/>
      </c>
      <c r="K722" s="71" t="str">
        <f>IF(COUNTA(A722:G722)=0,"",IF(G722&lt;&gt;"",G722,IF(B722="","",IFERROR(IF(INDEX(pr_rate,MATCH(B722,pr_code,0))="","",INDEX(pr_rate,MATCH(B722,pr_code,0))),""))))</f>
        <v/>
      </c>
      <c r="L722" s="65" t="str">
        <f>IF(COUNTA(A722:G722)=0,"",IF(AND(ISNUMBER(D722),ISNUMBER(J722)),ROUND(D722*J722*(1-N(F722)),2),0))</f>
        <v/>
      </c>
      <c r="M722" s="62" t="str">
        <f>IF(A722="","",IFERROR(INDEX(fa_cname,MATCH(A722,fa_num,0))&amp;"",""))</f>
        <v/>
      </c>
      <c r="N722" s="59" t="str">
        <f>IF(COUNTA(A722:G722)=0,"",IF(A722="","N° facture manquant",IF(ISNA(MATCH(A722,fa_num,0)),"Facture inconnue",IF(AND(B722&lt;&gt;"",ISNA(MATCH(B722,pr_code,0))),"Article inconnu",IF(H722="","Désignation manquante",IF(OR(NOT(ISNUMBER(D722)),N(D722)&lt;=0),"Quantité invalide",IF(J722="","Prix manquant",IF(OR(NOT(ISNUMBER(J722)),N(J722)&lt;0),"Prix invalide",IF(OR(AND(F722&lt;&gt;"",NOT(ISNUMBER(F722))),N(F722)&lt;0,N(F722)&gt;1),"Remise invalide",IF(K722="","Taux de TVA manquant",IF(NOT(ISNUMBER(K722)),"Taux de TVA invalide",IF(COUNTIF(p_rates,K722)=0,"Taux de TVA hors liste (Paramètres)",IF(N(O722)&gt;25,"Au-delà de 25 lignes : non imprimée","OK")))))))))))))</f>
        <v/>
      </c>
      <c r="O722" s="59" t="str">
        <f>IF(A722="","",COUNTIF($A$6:A722,A722))</f>
        <v/>
      </c>
      <c r="P722" s="62" t="str">
        <f>IF(A722="","",A722&amp;"|"&amp;O722)</f>
        <v/>
      </c>
    </row>
    <row r="723">
      <c r="A723" s="60" t="n"/>
      <c r="B723" s="63" t="n"/>
      <c r="C723" s="63" t="n"/>
      <c r="D723" s="67" t="n"/>
      <c r="E723" s="68" t="n"/>
      <c r="F723" s="69" t="n"/>
      <c r="G723" s="70" t="n"/>
      <c r="H723" s="62" t="str">
        <f>IF(COUNTA(A723:G723)=0,"",IF(C723&lt;&gt;"",C723,IF(B723="","",IFERROR(INDEX(pr_des,MATCH(B723,pr_code,0))&amp;"",""))))</f>
        <v/>
      </c>
      <c r="I723" s="59" t="str">
        <f>IF(B723="","",IFERROR(INDEX(pr_unit,MATCH(B723,pr_code,0))&amp;"",""))</f>
        <v/>
      </c>
      <c r="J723" s="65" t="str">
        <f>IF(COUNTA(A723:G723)=0,"",IF(E723&lt;&gt;"",E723,IF(B723="","",IFERROR(IF(INDEX(pr_price,MATCH(B723,pr_code,0))="","",INDEX(pr_price,MATCH(B723,pr_code,0))),""))))</f>
        <v/>
      </c>
      <c r="K723" s="71" t="str">
        <f>IF(COUNTA(A723:G723)=0,"",IF(G723&lt;&gt;"",G723,IF(B723="","",IFERROR(IF(INDEX(pr_rate,MATCH(B723,pr_code,0))="","",INDEX(pr_rate,MATCH(B723,pr_code,0))),""))))</f>
        <v/>
      </c>
      <c r="L723" s="65" t="str">
        <f>IF(COUNTA(A723:G723)=0,"",IF(AND(ISNUMBER(D723),ISNUMBER(J723)),ROUND(D723*J723*(1-N(F723)),2),0))</f>
        <v/>
      </c>
      <c r="M723" s="62" t="str">
        <f>IF(A723="","",IFERROR(INDEX(fa_cname,MATCH(A723,fa_num,0))&amp;"",""))</f>
        <v/>
      </c>
      <c r="N723" s="59" t="str">
        <f>IF(COUNTA(A723:G723)=0,"",IF(A723="","N° facture manquant",IF(ISNA(MATCH(A723,fa_num,0)),"Facture inconnue",IF(AND(B723&lt;&gt;"",ISNA(MATCH(B723,pr_code,0))),"Article inconnu",IF(H723="","Désignation manquante",IF(OR(NOT(ISNUMBER(D723)),N(D723)&lt;=0),"Quantité invalide",IF(J723="","Prix manquant",IF(OR(NOT(ISNUMBER(J723)),N(J723)&lt;0),"Prix invalide",IF(OR(AND(F723&lt;&gt;"",NOT(ISNUMBER(F723))),N(F723)&lt;0,N(F723)&gt;1),"Remise invalide",IF(K723="","Taux de TVA manquant",IF(NOT(ISNUMBER(K723)),"Taux de TVA invalide",IF(COUNTIF(p_rates,K723)=0,"Taux de TVA hors liste (Paramètres)",IF(N(O723)&gt;25,"Au-delà de 25 lignes : non imprimée","OK")))))))))))))</f>
        <v/>
      </c>
      <c r="O723" s="59" t="str">
        <f>IF(A723="","",COUNTIF($A$6:A723,A723))</f>
        <v/>
      </c>
      <c r="P723" s="62" t="str">
        <f>IF(A723="","",A723&amp;"|"&amp;O723)</f>
        <v/>
      </c>
    </row>
    <row r="724">
      <c r="A724" s="60" t="n"/>
      <c r="B724" s="63" t="n"/>
      <c r="C724" s="63" t="n"/>
      <c r="D724" s="67" t="n"/>
      <c r="E724" s="68" t="n"/>
      <c r="F724" s="69" t="n"/>
      <c r="G724" s="70" t="n"/>
      <c r="H724" s="62" t="str">
        <f>IF(COUNTA(A724:G724)=0,"",IF(C724&lt;&gt;"",C724,IF(B724="","",IFERROR(INDEX(pr_des,MATCH(B724,pr_code,0))&amp;"",""))))</f>
        <v/>
      </c>
      <c r="I724" s="59" t="str">
        <f>IF(B724="","",IFERROR(INDEX(pr_unit,MATCH(B724,pr_code,0))&amp;"",""))</f>
        <v/>
      </c>
      <c r="J724" s="65" t="str">
        <f>IF(COUNTA(A724:G724)=0,"",IF(E724&lt;&gt;"",E724,IF(B724="","",IFERROR(IF(INDEX(pr_price,MATCH(B724,pr_code,0))="","",INDEX(pr_price,MATCH(B724,pr_code,0))),""))))</f>
        <v/>
      </c>
      <c r="K724" s="71" t="str">
        <f>IF(COUNTA(A724:G724)=0,"",IF(G724&lt;&gt;"",G724,IF(B724="","",IFERROR(IF(INDEX(pr_rate,MATCH(B724,pr_code,0))="","",INDEX(pr_rate,MATCH(B724,pr_code,0))),""))))</f>
        <v/>
      </c>
      <c r="L724" s="65" t="str">
        <f>IF(COUNTA(A724:G724)=0,"",IF(AND(ISNUMBER(D724),ISNUMBER(J724)),ROUND(D724*J724*(1-N(F724)),2),0))</f>
        <v/>
      </c>
      <c r="M724" s="62" t="str">
        <f>IF(A724="","",IFERROR(INDEX(fa_cname,MATCH(A724,fa_num,0))&amp;"",""))</f>
        <v/>
      </c>
      <c r="N724" s="59" t="str">
        <f>IF(COUNTA(A724:G724)=0,"",IF(A724="","N° facture manquant",IF(ISNA(MATCH(A724,fa_num,0)),"Facture inconnue",IF(AND(B724&lt;&gt;"",ISNA(MATCH(B724,pr_code,0))),"Article inconnu",IF(H724="","Désignation manquante",IF(OR(NOT(ISNUMBER(D724)),N(D724)&lt;=0),"Quantité invalide",IF(J724="","Prix manquant",IF(OR(NOT(ISNUMBER(J724)),N(J724)&lt;0),"Prix invalide",IF(OR(AND(F724&lt;&gt;"",NOT(ISNUMBER(F724))),N(F724)&lt;0,N(F724)&gt;1),"Remise invalide",IF(K724="","Taux de TVA manquant",IF(NOT(ISNUMBER(K724)),"Taux de TVA invalide",IF(COUNTIF(p_rates,K724)=0,"Taux de TVA hors liste (Paramètres)",IF(N(O724)&gt;25,"Au-delà de 25 lignes : non imprimée","OK")))))))))))))</f>
        <v/>
      </c>
      <c r="O724" s="59" t="str">
        <f>IF(A724="","",COUNTIF($A$6:A724,A724))</f>
        <v/>
      </c>
      <c r="P724" s="62" t="str">
        <f>IF(A724="","",A724&amp;"|"&amp;O724)</f>
        <v/>
      </c>
    </row>
    <row r="725">
      <c r="A725" s="60" t="n"/>
      <c r="B725" s="63" t="n"/>
      <c r="C725" s="63" t="n"/>
      <c r="D725" s="67" t="n"/>
      <c r="E725" s="68" t="n"/>
      <c r="F725" s="69" t="n"/>
      <c r="G725" s="70" t="n"/>
      <c r="H725" s="62" t="str">
        <f>IF(COUNTA(A725:G725)=0,"",IF(C725&lt;&gt;"",C725,IF(B725="","",IFERROR(INDEX(pr_des,MATCH(B725,pr_code,0))&amp;"",""))))</f>
        <v/>
      </c>
      <c r="I725" s="59" t="str">
        <f>IF(B725="","",IFERROR(INDEX(pr_unit,MATCH(B725,pr_code,0))&amp;"",""))</f>
        <v/>
      </c>
      <c r="J725" s="65" t="str">
        <f>IF(COUNTA(A725:G725)=0,"",IF(E725&lt;&gt;"",E725,IF(B725="","",IFERROR(IF(INDEX(pr_price,MATCH(B725,pr_code,0))="","",INDEX(pr_price,MATCH(B725,pr_code,0))),""))))</f>
        <v/>
      </c>
      <c r="K725" s="71" t="str">
        <f>IF(COUNTA(A725:G725)=0,"",IF(G725&lt;&gt;"",G725,IF(B725="","",IFERROR(IF(INDEX(pr_rate,MATCH(B725,pr_code,0))="","",INDEX(pr_rate,MATCH(B725,pr_code,0))),""))))</f>
        <v/>
      </c>
      <c r="L725" s="65" t="str">
        <f>IF(COUNTA(A725:G725)=0,"",IF(AND(ISNUMBER(D725),ISNUMBER(J725)),ROUND(D725*J725*(1-N(F725)),2),0))</f>
        <v/>
      </c>
      <c r="M725" s="62" t="str">
        <f>IF(A725="","",IFERROR(INDEX(fa_cname,MATCH(A725,fa_num,0))&amp;"",""))</f>
        <v/>
      </c>
      <c r="N725" s="59" t="str">
        <f>IF(COUNTA(A725:G725)=0,"",IF(A725="","N° facture manquant",IF(ISNA(MATCH(A725,fa_num,0)),"Facture inconnue",IF(AND(B725&lt;&gt;"",ISNA(MATCH(B725,pr_code,0))),"Article inconnu",IF(H725="","Désignation manquante",IF(OR(NOT(ISNUMBER(D725)),N(D725)&lt;=0),"Quantité invalide",IF(J725="","Prix manquant",IF(OR(NOT(ISNUMBER(J725)),N(J725)&lt;0),"Prix invalide",IF(OR(AND(F725&lt;&gt;"",NOT(ISNUMBER(F725))),N(F725)&lt;0,N(F725)&gt;1),"Remise invalide",IF(K725="","Taux de TVA manquant",IF(NOT(ISNUMBER(K725)),"Taux de TVA invalide",IF(COUNTIF(p_rates,K725)=0,"Taux de TVA hors liste (Paramètres)",IF(N(O725)&gt;25,"Au-delà de 25 lignes : non imprimée","OK")))))))))))))</f>
        <v/>
      </c>
      <c r="O725" s="59" t="str">
        <f>IF(A725="","",COUNTIF($A$6:A725,A725))</f>
        <v/>
      </c>
      <c r="P725" s="62" t="str">
        <f>IF(A725="","",A725&amp;"|"&amp;O725)</f>
        <v/>
      </c>
    </row>
    <row r="726">
      <c r="A726" s="60" t="n"/>
      <c r="B726" s="63" t="n"/>
      <c r="C726" s="63" t="n"/>
      <c r="D726" s="67" t="n"/>
      <c r="E726" s="68" t="n"/>
      <c r="F726" s="69" t="n"/>
      <c r="G726" s="70" t="n"/>
      <c r="H726" s="62" t="str">
        <f>IF(COUNTA(A726:G726)=0,"",IF(C726&lt;&gt;"",C726,IF(B726="","",IFERROR(INDEX(pr_des,MATCH(B726,pr_code,0))&amp;"",""))))</f>
        <v/>
      </c>
      <c r="I726" s="59" t="str">
        <f>IF(B726="","",IFERROR(INDEX(pr_unit,MATCH(B726,pr_code,0))&amp;"",""))</f>
        <v/>
      </c>
      <c r="J726" s="65" t="str">
        <f>IF(COUNTA(A726:G726)=0,"",IF(E726&lt;&gt;"",E726,IF(B726="","",IFERROR(IF(INDEX(pr_price,MATCH(B726,pr_code,0))="","",INDEX(pr_price,MATCH(B726,pr_code,0))),""))))</f>
        <v/>
      </c>
      <c r="K726" s="71" t="str">
        <f>IF(COUNTA(A726:G726)=0,"",IF(G726&lt;&gt;"",G726,IF(B726="","",IFERROR(IF(INDEX(pr_rate,MATCH(B726,pr_code,0))="","",INDEX(pr_rate,MATCH(B726,pr_code,0))),""))))</f>
        <v/>
      </c>
      <c r="L726" s="65" t="str">
        <f>IF(COUNTA(A726:G726)=0,"",IF(AND(ISNUMBER(D726),ISNUMBER(J726)),ROUND(D726*J726*(1-N(F726)),2),0))</f>
        <v/>
      </c>
      <c r="M726" s="62" t="str">
        <f>IF(A726="","",IFERROR(INDEX(fa_cname,MATCH(A726,fa_num,0))&amp;"",""))</f>
        <v/>
      </c>
      <c r="N726" s="59" t="str">
        <f>IF(COUNTA(A726:G726)=0,"",IF(A726="","N° facture manquant",IF(ISNA(MATCH(A726,fa_num,0)),"Facture inconnue",IF(AND(B726&lt;&gt;"",ISNA(MATCH(B726,pr_code,0))),"Article inconnu",IF(H726="","Désignation manquante",IF(OR(NOT(ISNUMBER(D726)),N(D726)&lt;=0),"Quantité invalide",IF(J726="","Prix manquant",IF(OR(NOT(ISNUMBER(J726)),N(J726)&lt;0),"Prix invalide",IF(OR(AND(F726&lt;&gt;"",NOT(ISNUMBER(F726))),N(F726)&lt;0,N(F726)&gt;1),"Remise invalide",IF(K726="","Taux de TVA manquant",IF(NOT(ISNUMBER(K726)),"Taux de TVA invalide",IF(COUNTIF(p_rates,K726)=0,"Taux de TVA hors liste (Paramètres)",IF(N(O726)&gt;25,"Au-delà de 25 lignes : non imprimée","OK")))))))))))))</f>
        <v/>
      </c>
      <c r="O726" s="59" t="str">
        <f>IF(A726="","",COUNTIF($A$6:A726,A726))</f>
        <v/>
      </c>
      <c r="P726" s="62" t="str">
        <f>IF(A726="","",A726&amp;"|"&amp;O726)</f>
        <v/>
      </c>
    </row>
    <row r="727">
      <c r="A727" s="60" t="n"/>
      <c r="B727" s="63" t="n"/>
      <c r="C727" s="63" t="n"/>
      <c r="D727" s="67" t="n"/>
      <c r="E727" s="68" t="n"/>
      <c r="F727" s="69" t="n"/>
      <c r="G727" s="70" t="n"/>
      <c r="H727" s="62" t="str">
        <f>IF(COUNTA(A727:G727)=0,"",IF(C727&lt;&gt;"",C727,IF(B727="","",IFERROR(INDEX(pr_des,MATCH(B727,pr_code,0))&amp;"",""))))</f>
        <v/>
      </c>
      <c r="I727" s="59" t="str">
        <f>IF(B727="","",IFERROR(INDEX(pr_unit,MATCH(B727,pr_code,0))&amp;"",""))</f>
        <v/>
      </c>
      <c r="J727" s="65" t="str">
        <f>IF(COUNTA(A727:G727)=0,"",IF(E727&lt;&gt;"",E727,IF(B727="","",IFERROR(IF(INDEX(pr_price,MATCH(B727,pr_code,0))="","",INDEX(pr_price,MATCH(B727,pr_code,0))),""))))</f>
        <v/>
      </c>
      <c r="K727" s="71" t="str">
        <f>IF(COUNTA(A727:G727)=0,"",IF(G727&lt;&gt;"",G727,IF(B727="","",IFERROR(IF(INDEX(pr_rate,MATCH(B727,pr_code,0))="","",INDEX(pr_rate,MATCH(B727,pr_code,0))),""))))</f>
        <v/>
      </c>
      <c r="L727" s="65" t="str">
        <f>IF(COUNTA(A727:G727)=0,"",IF(AND(ISNUMBER(D727),ISNUMBER(J727)),ROUND(D727*J727*(1-N(F727)),2),0))</f>
        <v/>
      </c>
      <c r="M727" s="62" t="str">
        <f>IF(A727="","",IFERROR(INDEX(fa_cname,MATCH(A727,fa_num,0))&amp;"",""))</f>
        <v/>
      </c>
      <c r="N727" s="59" t="str">
        <f>IF(COUNTA(A727:G727)=0,"",IF(A727="","N° facture manquant",IF(ISNA(MATCH(A727,fa_num,0)),"Facture inconnue",IF(AND(B727&lt;&gt;"",ISNA(MATCH(B727,pr_code,0))),"Article inconnu",IF(H727="","Désignation manquante",IF(OR(NOT(ISNUMBER(D727)),N(D727)&lt;=0),"Quantité invalide",IF(J727="","Prix manquant",IF(OR(NOT(ISNUMBER(J727)),N(J727)&lt;0),"Prix invalide",IF(OR(AND(F727&lt;&gt;"",NOT(ISNUMBER(F727))),N(F727)&lt;0,N(F727)&gt;1),"Remise invalide",IF(K727="","Taux de TVA manquant",IF(NOT(ISNUMBER(K727)),"Taux de TVA invalide",IF(COUNTIF(p_rates,K727)=0,"Taux de TVA hors liste (Paramètres)",IF(N(O727)&gt;25,"Au-delà de 25 lignes : non imprimée","OK")))))))))))))</f>
        <v/>
      </c>
      <c r="O727" s="59" t="str">
        <f>IF(A727="","",COUNTIF($A$6:A727,A727))</f>
        <v/>
      </c>
      <c r="P727" s="62" t="str">
        <f>IF(A727="","",A727&amp;"|"&amp;O727)</f>
        <v/>
      </c>
    </row>
    <row r="728">
      <c r="A728" s="60" t="n"/>
      <c r="B728" s="63" t="n"/>
      <c r="C728" s="63" t="n"/>
      <c r="D728" s="67" t="n"/>
      <c r="E728" s="68" t="n"/>
      <c r="F728" s="69" t="n"/>
      <c r="G728" s="70" t="n"/>
      <c r="H728" s="62" t="str">
        <f>IF(COUNTA(A728:G728)=0,"",IF(C728&lt;&gt;"",C728,IF(B728="","",IFERROR(INDEX(pr_des,MATCH(B728,pr_code,0))&amp;"",""))))</f>
        <v/>
      </c>
      <c r="I728" s="59" t="str">
        <f>IF(B728="","",IFERROR(INDEX(pr_unit,MATCH(B728,pr_code,0))&amp;"",""))</f>
        <v/>
      </c>
      <c r="J728" s="65" t="str">
        <f>IF(COUNTA(A728:G728)=0,"",IF(E728&lt;&gt;"",E728,IF(B728="","",IFERROR(IF(INDEX(pr_price,MATCH(B728,pr_code,0))="","",INDEX(pr_price,MATCH(B728,pr_code,0))),""))))</f>
        <v/>
      </c>
      <c r="K728" s="71" t="str">
        <f>IF(COUNTA(A728:G728)=0,"",IF(G728&lt;&gt;"",G728,IF(B728="","",IFERROR(IF(INDEX(pr_rate,MATCH(B728,pr_code,0))="","",INDEX(pr_rate,MATCH(B728,pr_code,0))),""))))</f>
        <v/>
      </c>
      <c r="L728" s="65" t="str">
        <f>IF(COUNTA(A728:G728)=0,"",IF(AND(ISNUMBER(D728),ISNUMBER(J728)),ROUND(D728*J728*(1-N(F728)),2),0))</f>
        <v/>
      </c>
      <c r="M728" s="62" t="str">
        <f>IF(A728="","",IFERROR(INDEX(fa_cname,MATCH(A728,fa_num,0))&amp;"",""))</f>
        <v/>
      </c>
      <c r="N728" s="59" t="str">
        <f>IF(COUNTA(A728:G728)=0,"",IF(A728="","N° facture manquant",IF(ISNA(MATCH(A728,fa_num,0)),"Facture inconnue",IF(AND(B728&lt;&gt;"",ISNA(MATCH(B728,pr_code,0))),"Article inconnu",IF(H728="","Désignation manquante",IF(OR(NOT(ISNUMBER(D728)),N(D728)&lt;=0),"Quantité invalide",IF(J728="","Prix manquant",IF(OR(NOT(ISNUMBER(J728)),N(J728)&lt;0),"Prix invalide",IF(OR(AND(F728&lt;&gt;"",NOT(ISNUMBER(F728))),N(F728)&lt;0,N(F728)&gt;1),"Remise invalide",IF(K728="","Taux de TVA manquant",IF(NOT(ISNUMBER(K728)),"Taux de TVA invalide",IF(COUNTIF(p_rates,K728)=0,"Taux de TVA hors liste (Paramètres)",IF(N(O728)&gt;25,"Au-delà de 25 lignes : non imprimée","OK")))))))))))))</f>
        <v/>
      </c>
      <c r="O728" s="59" t="str">
        <f>IF(A728="","",COUNTIF($A$6:A728,A728))</f>
        <v/>
      </c>
      <c r="P728" s="62" t="str">
        <f>IF(A728="","",A728&amp;"|"&amp;O728)</f>
        <v/>
      </c>
    </row>
    <row r="729">
      <c r="A729" s="60" t="n"/>
      <c r="B729" s="63" t="n"/>
      <c r="C729" s="63" t="n"/>
      <c r="D729" s="67" t="n"/>
      <c r="E729" s="68" t="n"/>
      <c r="F729" s="69" t="n"/>
      <c r="G729" s="70" t="n"/>
      <c r="H729" s="62" t="str">
        <f>IF(COUNTA(A729:G729)=0,"",IF(C729&lt;&gt;"",C729,IF(B729="","",IFERROR(INDEX(pr_des,MATCH(B729,pr_code,0))&amp;"",""))))</f>
        <v/>
      </c>
      <c r="I729" s="59" t="str">
        <f>IF(B729="","",IFERROR(INDEX(pr_unit,MATCH(B729,pr_code,0))&amp;"",""))</f>
        <v/>
      </c>
      <c r="J729" s="65" t="str">
        <f>IF(COUNTA(A729:G729)=0,"",IF(E729&lt;&gt;"",E729,IF(B729="","",IFERROR(IF(INDEX(pr_price,MATCH(B729,pr_code,0))="","",INDEX(pr_price,MATCH(B729,pr_code,0))),""))))</f>
        <v/>
      </c>
      <c r="K729" s="71" t="str">
        <f>IF(COUNTA(A729:G729)=0,"",IF(G729&lt;&gt;"",G729,IF(B729="","",IFERROR(IF(INDEX(pr_rate,MATCH(B729,pr_code,0))="","",INDEX(pr_rate,MATCH(B729,pr_code,0))),""))))</f>
        <v/>
      </c>
      <c r="L729" s="65" t="str">
        <f>IF(COUNTA(A729:G729)=0,"",IF(AND(ISNUMBER(D729),ISNUMBER(J729)),ROUND(D729*J729*(1-N(F729)),2),0))</f>
        <v/>
      </c>
      <c r="M729" s="62" t="str">
        <f>IF(A729="","",IFERROR(INDEX(fa_cname,MATCH(A729,fa_num,0))&amp;"",""))</f>
        <v/>
      </c>
      <c r="N729" s="59" t="str">
        <f>IF(COUNTA(A729:G729)=0,"",IF(A729="","N° facture manquant",IF(ISNA(MATCH(A729,fa_num,0)),"Facture inconnue",IF(AND(B729&lt;&gt;"",ISNA(MATCH(B729,pr_code,0))),"Article inconnu",IF(H729="","Désignation manquante",IF(OR(NOT(ISNUMBER(D729)),N(D729)&lt;=0),"Quantité invalide",IF(J729="","Prix manquant",IF(OR(NOT(ISNUMBER(J729)),N(J729)&lt;0),"Prix invalide",IF(OR(AND(F729&lt;&gt;"",NOT(ISNUMBER(F729))),N(F729)&lt;0,N(F729)&gt;1),"Remise invalide",IF(K729="","Taux de TVA manquant",IF(NOT(ISNUMBER(K729)),"Taux de TVA invalide",IF(COUNTIF(p_rates,K729)=0,"Taux de TVA hors liste (Paramètres)",IF(N(O729)&gt;25,"Au-delà de 25 lignes : non imprimée","OK")))))))))))))</f>
        <v/>
      </c>
      <c r="O729" s="59" t="str">
        <f>IF(A729="","",COUNTIF($A$6:A729,A729))</f>
        <v/>
      </c>
      <c r="P729" s="62" t="str">
        <f>IF(A729="","",A729&amp;"|"&amp;O729)</f>
        <v/>
      </c>
    </row>
    <row r="730">
      <c r="A730" s="60" t="n"/>
      <c r="B730" s="63" t="n"/>
      <c r="C730" s="63" t="n"/>
      <c r="D730" s="67" t="n"/>
      <c r="E730" s="68" t="n"/>
      <c r="F730" s="69" t="n"/>
      <c r="G730" s="70" t="n"/>
      <c r="H730" s="62" t="str">
        <f>IF(COUNTA(A730:G730)=0,"",IF(C730&lt;&gt;"",C730,IF(B730="","",IFERROR(INDEX(pr_des,MATCH(B730,pr_code,0))&amp;"",""))))</f>
        <v/>
      </c>
      <c r="I730" s="59" t="str">
        <f>IF(B730="","",IFERROR(INDEX(pr_unit,MATCH(B730,pr_code,0))&amp;"",""))</f>
        <v/>
      </c>
      <c r="J730" s="65" t="str">
        <f>IF(COUNTA(A730:G730)=0,"",IF(E730&lt;&gt;"",E730,IF(B730="","",IFERROR(IF(INDEX(pr_price,MATCH(B730,pr_code,0))="","",INDEX(pr_price,MATCH(B730,pr_code,0))),""))))</f>
        <v/>
      </c>
      <c r="K730" s="71" t="str">
        <f>IF(COUNTA(A730:G730)=0,"",IF(G730&lt;&gt;"",G730,IF(B730="","",IFERROR(IF(INDEX(pr_rate,MATCH(B730,pr_code,0))="","",INDEX(pr_rate,MATCH(B730,pr_code,0))),""))))</f>
        <v/>
      </c>
      <c r="L730" s="65" t="str">
        <f>IF(COUNTA(A730:G730)=0,"",IF(AND(ISNUMBER(D730),ISNUMBER(J730)),ROUND(D730*J730*(1-N(F730)),2),0))</f>
        <v/>
      </c>
      <c r="M730" s="62" t="str">
        <f>IF(A730="","",IFERROR(INDEX(fa_cname,MATCH(A730,fa_num,0))&amp;"",""))</f>
        <v/>
      </c>
      <c r="N730" s="59" t="str">
        <f>IF(COUNTA(A730:G730)=0,"",IF(A730="","N° facture manquant",IF(ISNA(MATCH(A730,fa_num,0)),"Facture inconnue",IF(AND(B730&lt;&gt;"",ISNA(MATCH(B730,pr_code,0))),"Article inconnu",IF(H730="","Désignation manquante",IF(OR(NOT(ISNUMBER(D730)),N(D730)&lt;=0),"Quantité invalide",IF(J730="","Prix manquant",IF(OR(NOT(ISNUMBER(J730)),N(J730)&lt;0),"Prix invalide",IF(OR(AND(F730&lt;&gt;"",NOT(ISNUMBER(F730))),N(F730)&lt;0,N(F730)&gt;1),"Remise invalide",IF(K730="","Taux de TVA manquant",IF(NOT(ISNUMBER(K730)),"Taux de TVA invalide",IF(COUNTIF(p_rates,K730)=0,"Taux de TVA hors liste (Paramètres)",IF(N(O730)&gt;25,"Au-delà de 25 lignes : non imprimée","OK")))))))))))))</f>
        <v/>
      </c>
      <c r="O730" s="59" t="str">
        <f>IF(A730="","",COUNTIF($A$6:A730,A730))</f>
        <v/>
      </c>
      <c r="P730" s="62" t="str">
        <f>IF(A730="","",A730&amp;"|"&amp;O730)</f>
        <v/>
      </c>
    </row>
    <row r="731">
      <c r="A731" s="60" t="n"/>
      <c r="B731" s="63" t="n"/>
      <c r="C731" s="63" t="n"/>
      <c r="D731" s="67" t="n"/>
      <c r="E731" s="68" t="n"/>
      <c r="F731" s="69" t="n"/>
      <c r="G731" s="70" t="n"/>
      <c r="H731" s="62" t="str">
        <f>IF(COUNTA(A731:G731)=0,"",IF(C731&lt;&gt;"",C731,IF(B731="","",IFERROR(INDEX(pr_des,MATCH(B731,pr_code,0))&amp;"",""))))</f>
        <v/>
      </c>
      <c r="I731" s="59" t="str">
        <f>IF(B731="","",IFERROR(INDEX(pr_unit,MATCH(B731,pr_code,0))&amp;"",""))</f>
        <v/>
      </c>
      <c r="J731" s="65" t="str">
        <f>IF(COUNTA(A731:G731)=0,"",IF(E731&lt;&gt;"",E731,IF(B731="","",IFERROR(IF(INDEX(pr_price,MATCH(B731,pr_code,0))="","",INDEX(pr_price,MATCH(B731,pr_code,0))),""))))</f>
        <v/>
      </c>
      <c r="K731" s="71" t="str">
        <f>IF(COUNTA(A731:G731)=0,"",IF(G731&lt;&gt;"",G731,IF(B731="","",IFERROR(IF(INDEX(pr_rate,MATCH(B731,pr_code,0))="","",INDEX(pr_rate,MATCH(B731,pr_code,0))),""))))</f>
        <v/>
      </c>
      <c r="L731" s="65" t="str">
        <f>IF(COUNTA(A731:G731)=0,"",IF(AND(ISNUMBER(D731),ISNUMBER(J731)),ROUND(D731*J731*(1-N(F731)),2),0))</f>
        <v/>
      </c>
      <c r="M731" s="62" t="str">
        <f>IF(A731="","",IFERROR(INDEX(fa_cname,MATCH(A731,fa_num,0))&amp;"",""))</f>
        <v/>
      </c>
      <c r="N731" s="59" t="str">
        <f>IF(COUNTA(A731:G731)=0,"",IF(A731="","N° facture manquant",IF(ISNA(MATCH(A731,fa_num,0)),"Facture inconnue",IF(AND(B731&lt;&gt;"",ISNA(MATCH(B731,pr_code,0))),"Article inconnu",IF(H731="","Désignation manquante",IF(OR(NOT(ISNUMBER(D731)),N(D731)&lt;=0),"Quantité invalide",IF(J731="","Prix manquant",IF(OR(NOT(ISNUMBER(J731)),N(J731)&lt;0),"Prix invalide",IF(OR(AND(F731&lt;&gt;"",NOT(ISNUMBER(F731))),N(F731)&lt;0,N(F731)&gt;1),"Remise invalide",IF(K731="","Taux de TVA manquant",IF(NOT(ISNUMBER(K731)),"Taux de TVA invalide",IF(COUNTIF(p_rates,K731)=0,"Taux de TVA hors liste (Paramètres)",IF(N(O731)&gt;25,"Au-delà de 25 lignes : non imprimée","OK")))))))))))))</f>
        <v/>
      </c>
      <c r="O731" s="59" t="str">
        <f>IF(A731="","",COUNTIF($A$6:A731,A731))</f>
        <v/>
      </c>
      <c r="P731" s="62" t="str">
        <f>IF(A731="","",A731&amp;"|"&amp;O731)</f>
        <v/>
      </c>
    </row>
    <row r="732">
      <c r="A732" s="60" t="n"/>
      <c r="B732" s="63" t="n"/>
      <c r="C732" s="63" t="n"/>
      <c r="D732" s="67" t="n"/>
      <c r="E732" s="68" t="n"/>
      <c r="F732" s="69" t="n"/>
      <c r="G732" s="70" t="n"/>
      <c r="H732" s="62" t="str">
        <f>IF(COUNTA(A732:G732)=0,"",IF(C732&lt;&gt;"",C732,IF(B732="","",IFERROR(INDEX(pr_des,MATCH(B732,pr_code,0))&amp;"",""))))</f>
        <v/>
      </c>
      <c r="I732" s="59" t="str">
        <f>IF(B732="","",IFERROR(INDEX(pr_unit,MATCH(B732,pr_code,0))&amp;"",""))</f>
        <v/>
      </c>
      <c r="J732" s="65" t="str">
        <f>IF(COUNTA(A732:G732)=0,"",IF(E732&lt;&gt;"",E732,IF(B732="","",IFERROR(IF(INDEX(pr_price,MATCH(B732,pr_code,0))="","",INDEX(pr_price,MATCH(B732,pr_code,0))),""))))</f>
        <v/>
      </c>
      <c r="K732" s="71" t="str">
        <f>IF(COUNTA(A732:G732)=0,"",IF(G732&lt;&gt;"",G732,IF(B732="","",IFERROR(IF(INDEX(pr_rate,MATCH(B732,pr_code,0))="","",INDEX(pr_rate,MATCH(B732,pr_code,0))),""))))</f>
        <v/>
      </c>
      <c r="L732" s="65" t="str">
        <f>IF(COUNTA(A732:G732)=0,"",IF(AND(ISNUMBER(D732),ISNUMBER(J732)),ROUND(D732*J732*(1-N(F732)),2),0))</f>
        <v/>
      </c>
      <c r="M732" s="62" t="str">
        <f>IF(A732="","",IFERROR(INDEX(fa_cname,MATCH(A732,fa_num,0))&amp;"",""))</f>
        <v/>
      </c>
      <c r="N732" s="59" t="str">
        <f>IF(COUNTA(A732:G732)=0,"",IF(A732="","N° facture manquant",IF(ISNA(MATCH(A732,fa_num,0)),"Facture inconnue",IF(AND(B732&lt;&gt;"",ISNA(MATCH(B732,pr_code,0))),"Article inconnu",IF(H732="","Désignation manquante",IF(OR(NOT(ISNUMBER(D732)),N(D732)&lt;=0),"Quantité invalide",IF(J732="","Prix manquant",IF(OR(NOT(ISNUMBER(J732)),N(J732)&lt;0),"Prix invalide",IF(OR(AND(F732&lt;&gt;"",NOT(ISNUMBER(F732))),N(F732)&lt;0,N(F732)&gt;1),"Remise invalide",IF(K732="","Taux de TVA manquant",IF(NOT(ISNUMBER(K732)),"Taux de TVA invalide",IF(COUNTIF(p_rates,K732)=0,"Taux de TVA hors liste (Paramètres)",IF(N(O732)&gt;25,"Au-delà de 25 lignes : non imprimée","OK")))))))))))))</f>
        <v/>
      </c>
      <c r="O732" s="59" t="str">
        <f>IF(A732="","",COUNTIF($A$6:A732,A732))</f>
        <v/>
      </c>
      <c r="P732" s="62" t="str">
        <f>IF(A732="","",A732&amp;"|"&amp;O732)</f>
        <v/>
      </c>
    </row>
    <row r="733">
      <c r="A733" s="60" t="n"/>
      <c r="B733" s="63" t="n"/>
      <c r="C733" s="63" t="n"/>
      <c r="D733" s="67" t="n"/>
      <c r="E733" s="68" t="n"/>
      <c r="F733" s="69" t="n"/>
      <c r="G733" s="70" t="n"/>
      <c r="H733" s="62" t="str">
        <f>IF(COUNTA(A733:G733)=0,"",IF(C733&lt;&gt;"",C733,IF(B733="","",IFERROR(INDEX(pr_des,MATCH(B733,pr_code,0))&amp;"",""))))</f>
        <v/>
      </c>
      <c r="I733" s="59" t="str">
        <f>IF(B733="","",IFERROR(INDEX(pr_unit,MATCH(B733,pr_code,0))&amp;"",""))</f>
        <v/>
      </c>
      <c r="J733" s="65" t="str">
        <f>IF(COUNTA(A733:G733)=0,"",IF(E733&lt;&gt;"",E733,IF(B733="","",IFERROR(IF(INDEX(pr_price,MATCH(B733,pr_code,0))="","",INDEX(pr_price,MATCH(B733,pr_code,0))),""))))</f>
        <v/>
      </c>
      <c r="K733" s="71" t="str">
        <f>IF(COUNTA(A733:G733)=0,"",IF(G733&lt;&gt;"",G733,IF(B733="","",IFERROR(IF(INDEX(pr_rate,MATCH(B733,pr_code,0))="","",INDEX(pr_rate,MATCH(B733,pr_code,0))),""))))</f>
        <v/>
      </c>
      <c r="L733" s="65" t="str">
        <f>IF(COUNTA(A733:G733)=0,"",IF(AND(ISNUMBER(D733),ISNUMBER(J733)),ROUND(D733*J733*(1-N(F733)),2),0))</f>
        <v/>
      </c>
      <c r="M733" s="62" t="str">
        <f>IF(A733="","",IFERROR(INDEX(fa_cname,MATCH(A733,fa_num,0))&amp;"",""))</f>
        <v/>
      </c>
      <c r="N733" s="59" t="str">
        <f>IF(COUNTA(A733:G733)=0,"",IF(A733="","N° facture manquant",IF(ISNA(MATCH(A733,fa_num,0)),"Facture inconnue",IF(AND(B733&lt;&gt;"",ISNA(MATCH(B733,pr_code,0))),"Article inconnu",IF(H733="","Désignation manquante",IF(OR(NOT(ISNUMBER(D733)),N(D733)&lt;=0),"Quantité invalide",IF(J733="","Prix manquant",IF(OR(NOT(ISNUMBER(J733)),N(J733)&lt;0),"Prix invalide",IF(OR(AND(F733&lt;&gt;"",NOT(ISNUMBER(F733))),N(F733)&lt;0,N(F733)&gt;1),"Remise invalide",IF(K733="","Taux de TVA manquant",IF(NOT(ISNUMBER(K733)),"Taux de TVA invalide",IF(COUNTIF(p_rates,K733)=0,"Taux de TVA hors liste (Paramètres)",IF(N(O733)&gt;25,"Au-delà de 25 lignes : non imprimée","OK")))))))))))))</f>
        <v/>
      </c>
      <c r="O733" s="59" t="str">
        <f>IF(A733="","",COUNTIF($A$6:A733,A733))</f>
        <v/>
      </c>
      <c r="P733" s="62" t="str">
        <f>IF(A733="","",A733&amp;"|"&amp;O733)</f>
        <v/>
      </c>
    </row>
    <row r="734">
      <c r="A734" s="60" t="n"/>
      <c r="B734" s="63" t="n"/>
      <c r="C734" s="63" t="n"/>
      <c r="D734" s="67" t="n"/>
      <c r="E734" s="68" t="n"/>
      <c r="F734" s="69" t="n"/>
      <c r="G734" s="70" t="n"/>
      <c r="H734" s="62" t="str">
        <f>IF(COUNTA(A734:G734)=0,"",IF(C734&lt;&gt;"",C734,IF(B734="","",IFERROR(INDEX(pr_des,MATCH(B734,pr_code,0))&amp;"",""))))</f>
        <v/>
      </c>
      <c r="I734" s="59" t="str">
        <f>IF(B734="","",IFERROR(INDEX(pr_unit,MATCH(B734,pr_code,0))&amp;"",""))</f>
        <v/>
      </c>
      <c r="J734" s="65" t="str">
        <f>IF(COUNTA(A734:G734)=0,"",IF(E734&lt;&gt;"",E734,IF(B734="","",IFERROR(IF(INDEX(pr_price,MATCH(B734,pr_code,0))="","",INDEX(pr_price,MATCH(B734,pr_code,0))),""))))</f>
        <v/>
      </c>
      <c r="K734" s="71" t="str">
        <f>IF(COUNTA(A734:G734)=0,"",IF(G734&lt;&gt;"",G734,IF(B734="","",IFERROR(IF(INDEX(pr_rate,MATCH(B734,pr_code,0))="","",INDEX(pr_rate,MATCH(B734,pr_code,0))),""))))</f>
        <v/>
      </c>
      <c r="L734" s="65" t="str">
        <f>IF(COUNTA(A734:G734)=0,"",IF(AND(ISNUMBER(D734),ISNUMBER(J734)),ROUND(D734*J734*(1-N(F734)),2),0))</f>
        <v/>
      </c>
      <c r="M734" s="62" t="str">
        <f>IF(A734="","",IFERROR(INDEX(fa_cname,MATCH(A734,fa_num,0))&amp;"",""))</f>
        <v/>
      </c>
      <c r="N734" s="59" t="str">
        <f>IF(COUNTA(A734:G734)=0,"",IF(A734="","N° facture manquant",IF(ISNA(MATCH(A734,fa_num,0)),"Facture inconnue",IF(AND(B734&lt;&gt;"",ISNA(MATCH(B734,pr_code,0))),"Article inconnu",IF(H734="","Désignation manquante",IF(OR(NOT(ISNUMBER(D734)),N(D734)&lt;=0),"Quantité invalide",IF(J734="","Prix manquant",IF(OR(NOT(ISNUMBER(J734)),N(J734)&lt;0),"Prix invalide",IF(OR(AND(F734&lt;&gt;"",NOT(ISNUMBER(F734))),N(F734)&lt;0,N(F734)&gt;1),"Remise invalide",IF(K734="","Taux de TVA manquant",IF(NOT(ISNUMBER(K734)),"Taux de TVA invalide",IF(COUNTIF(p_rates,K734)=0,"Taux de TVA hors liste (Paramètres)",IF(N(O734)&gt;25,"Au-delà de 25 lignes : non imprimée","OK")))))))))))))</f>
        <v/>
      </c>
      <c r="O734" s="59" t="str">
        <f>IF(A734="","",COUNTIF($A$6:A734,A734))</f>
        <v/>
      </c>
      <c r="P734" s="62" t="str">
        <f>IF(A734="","",A734&amp;"|"&amp;O734)</f>
        <v/>
      </c>
    </row>
    <row r="735">
      <c r="A735" s="60" t="n"/>
      <c r="B735" s="63" t="n"/>
      <c r="C735" s="63" t="n"/>
      <c r="D735" s="67" t="n"/>
      <c r="E735" s="68" t="n"/>
      <c r="F735" s="69" t="n"/>
      <c r="G735" s="70" t="n"/>
      <c r="H735" s="62" t="str">
        <f>IF(COUNTA(A735:G735)=0,"",IF(C735&lt;&gt;"",C735,IF(B735="","",IFERROR(INDEX(pr_des,MATCH(B735,pr_code,0))&amp;"",""))))</f>
        <v/>
      </c>
      <c r="I735" s="59" t="str">
        <f>IF(B735="","",IFERROR(INDEX(pr_unit,MATCH(B735,pr_code,0))&amp;"",""))</f>
        <v/>
      </c>
      <c r="J735" s="65" t="str">
        <f>IF(COUNTA(A735:G735)=0,"",IF(E735&lt;&gt;"",E735,IF(B735="","",IFERROR(IF(INDEX(pr_price,MATCH(B735,pr_code,0))="","",INDEX(pr_price,MATCH(B735,pr_code,0))),""))))</f>
        <v/>
      </c>
      <c r="K735" s="71" t="str">
        <f>IF(COUNTA(A735:G735)=0,"",IF(G735&lt;&gt;"",G735,IF(B735="","",IFERROR(IF(INDEX(pr_rate,MATCH(B735,pr_code,0))="","",INDEX(pr_rate,MATCH(B735,pr_code,0))),""))))</f>
        <v/>
      </c>
      <c r="L735" s="65" t="str">
        <f>IF(COUNTA(A735:G735)=0,"",IF(AND(ISNUMBER(D735),ISNUMBER(J735)),ROUND(D735*J735*(1-N(F735)),2),0))</f>
        <v/>
      </c>
      <c r="M735" s="62" t="str">
        <f>IF(A735="","",IFERROR(INDEX(fa_cname,MATCH(A735,fa_num,0))&amp;"",""))</f>
        <v/>
      </c>
      <c r="N735" s="59" t="str">
        <f>IF(COUNTA(A735:G735)=0,"",IF(A735="","N° facture manquant",IF(ISNA(MATCH(A735,fa_num,0)),"Facture inconnue",IF(AND(B735&lt;&gt;"",ISNA(MATCH(B735,pr_code,0))),"Article inconnu",IF(H735="","Désignation manquante",IF(OR(NOT(ISNUMBER(D735)),N(D735)&lt;=0),"Quantité invalide",IF(J735="","Prix manquant",IF(OR(NOT(ISNUMBER(J735)),N(J735)&lt;0),"Prix invalide",IF(OR(AND(F735&lt;&gt;"",NOT(ISNUMBER(F735))),N(F735)&lt;0,N(F735)&gt;1),"Remise invalide",IF(K735="","Taux de TVA manquant",IF(NOT(ISNUMBER(K735)),"Taux de TVA invalide",IF(COUNTIF(p_rates,K735)=0,"Taux de TVA hors liste (Paramètres)",IF(N(O735)&gt;25,"Au-delà de 25 lignes : non imprimée","OK")))))))))))))</f>
        <v/>
      </c>
      <c r="O735" s="59" t="str">
        <f>IF(A735="","",COUNTIF($A$6:A735,A735))</f>
        <v/>
      </c>
      <c r="P735" s="62" t="str">
        <f>IF(A735="","",A735&amp;"|"&amp;O735)</f>
        <v/>
      </c>
    </row>
    <row r="736">
      <c r="A736" s="60" t="n"/>
      <c r="B736" s="63" t="n"/>
      <c r="C736" s="63" t="n"/>
      <c r="D736" s="67" t="n"/>
      <c r="E736" s="68" t="n"/>
      <c r="F736" s="69" t="n"/>
      <c r="G736" s="70" t="n"/>
      <c r="H736" s="62" t="str">
        <f>IF(COUNTA(A736:G736)=0,"",IF(C736&lt;&gt;"",C736,IF(B736="","",IFERROR(INDEX(pr_des,MATCH(B736,pr_code,0))&amp;"",""))))</f>
        <v/>
      </c>
      <c r="I736" s="59" t="str">
        <f>IF(B736="","",IFERROR(INDEX(pr_unit,MATCH(B736,pr_code,0))&amp;"",""))</f>
        <v/>
      </c>
      <c r="J736" s="65" t="str">
        <f>IF(COUNTA(A736:G736)=0,"",IF(E736&lt;&gt;"",E736,IF(B736="","",IFERROR(IF(INDEX(pr_price,MATCH(B736,pr_code,0))="","",INDEX(pr_price,MATCH(B736,pr_code,0))),""))))</f>
        <v/>
      </c>
      <c r="K736" s="71" t="str">
        <f>IF(COUNTA(A736:G736)=0,"",IF(G736&lt;&gt;"",G736,IF(B736="","",IFERROR(IF(INDEX(pr_rate,MATCH(B736,pr_code,0))="","",INDEX(pr_rate,MATCH(B736,pr_code,0))),""))))</f>
        <v/>
      </c>
      <c r="L736" s="65" t="str">
        <f>IF(COUNTA(A736:G736)=0,"",IF(AND(ISNUMBER(D736),ISNUMBER(J736)),ROUND(D736*J736*(1-N(F736)),2),0))</f>
        <v/>
      </c>
      <c r="M736" s="62" t="str">
        <f>IF(A736="","",IFERROR(INDEX(fa_cname,MATCH(A736,fa_num,0))&amp;"",""))</f>
        <v/>
      </c>
      <c r="N736" s="59" t="str">
        <f>IF(COUNTA(A736:G736)=0,"",IF(A736="","N° facture manquant",IF(ISNA(MATCH(A736,fa_num,0)),"Facture inconnue",IF(AND(B736&lt;&gt;"",ISNA(MATCH(B736,pr_code,0))),"Article inconnu",IF(H736="","Désignation manquante",IF(OR(NOT(ISNUMBER(D736)),N(D736)&lt;=0),"Quantité invalide",IF(J736="","Prix manquant",IF(OR(NOT(ISNUMBER(J736)),N(J736)&lt;0),"Prix invalide",IF(OR(AND(F736&lt;&gt;"",NOT(ISNUMBER(F736))),N(F736)&lt;0,N(F736)&gt;1),"Remise invalide",IF(K736="","Taux de TVA manquant",IF(NOT(ISNUMBER(K736)),"Taux de TVA invalide",IF(COUNTIF(p_rates,K736)=0,"Taux de TVA hors liste (Paramètres)",IF(N(O736)&gt;25,"Au-delà de 25 lignes : non imprimée","OK")))))))))))))</f>
        <v/>
      </c>
      <c r="O736" s="59" t="str">
        <f>IF(A736="","",COUNTIF($A$6:A736,A736))</f>
        <v/>
      </c>
      <c r="P736" s="62" t="str">
        <f>IF(A736="","",A736&amp;"|"&amp;O736)</f>
        <v/>
      </c>
    </row>
    <row r="737">
      <c r="A737" s="60" t="n"/>
      <c r="B737" s="63" t="n"/>
      <c r="C737" s="63" t="n"/>
      <c r="D737" s="67" t="n"/>
      <c r="E737" s="68" t="n"/>
      <c r="F737" s="69" t="n"/>
      <c r="G737" s="70" t="n"/>
      <c r="H737" s="62" t="str">
        <f>IF(COUNTA(A737:G737)=0,"",IF(C737&lt;&gt;"",C737,IF(B737="","",IFERROR(INDEX(pr_des,MATCH(B737,pr_code,0))&amp;"",""))))</f>
        <v/>
      </c>
      <c r="I737" s="59" t="str">
        <f>IF(B737="","",IFERROR(INDEX(pr_unit,MATCH(B737,pr_code,0))&amp;"",""))</f>
        <v/>
      </c>
      <c r="J737" s="65" t="str">
        <f>IF(COUNTA(A737:G737)=0,"",IF(E737&lt;&gt;"",E737,IF(B737="","",IFERROR(IF(INDEX(pr_price,MATCH(B737,pr_code,0))="","",INDEX(pr_price,MATCH(B737,pr_code,0))),""))))</f>
        <v/>
      </c>
      <c r="K737" s="71" t="str">
        <f>IF(COUNTA(A737:G737)=0,"",IF(G737&lt;&gt;"",G737,IF(B737="","",IFERROR(IF(INDEX(pr_rate,MATCH(B737,pr_code,0))="","",INDEX(pr_rate,MATCH(B737,pr_code,0))),""))))</f>
        <v/>
      </c>
      <c r="L737" s="65" t="str">
        <f>IF(COUNTA(A737:G737)=0,"",IF(AND(ISNUMBER(D737),ISNUMBER(J737)),ROUND(D737*J737*(1-N(F737)),2),0))</f>
        <v/>
      </c>
      <c r="M737" s="62" t="str">
        <f>IF(A737="","",IFERROR(INDEX(fa_cname,MATCH(A737,fa_num,0))&amp;"",""))</f>
        <v/>
      </c>
      <c r="N737" s="59" t="str">
        <f>IF(COUNTA(A737:G737)=0,"",IF(A737="","N° facture manquant",IF(ISNA(MATCH(A737,fa_num,0)),"Facture inconnue",IF(AND(B737&lt;&gt;"",ISNA(MATCH(B737,pr_code,0))),"Article inconnu",IF(H737="","Désignation manquante",IF(OR(NOT(ISNUMBER(D737)),N(D737)&lt;=0),"Quantité invalide",IF(J737="","Prix manquant",IF(OR(NOT(ISNUMBER(J737)),N(J737)&lt;0),"Prix invalide",IF(OR(AND(F737&lt;&gt;"",NOT(ISNUMBER(F737))),N(F737)&lt;0,N(F737)&gt;1),"Remise invalide",IF(K737="","Taux de TVA manquant",IF(NOT(ISNUMBER(K737)),"Taux de TVA invalide",IF(COUNTIF(p_rates,K737)=0,"Taux de TVA hors liste (Paramètres)",IF(N(O737)&gt;25,"Au-delà de 25 lignes : non imprimée","OK")))))))))))))</f>
        <v/>
      </c>
      <c r="O737" s="59" t="str">
        <f>IF(A737="","",COUNTIF($A$6:A737,A737))</f>
        <v/>
      </c>
      <c r="P737" s="62" t="str">
        <f>IF(A737="","",A737&amp;"|"&amp;O737)</f>
        <v/>
      </c>
    </row>
    <row r="738">
      <c r="A738" s="60" t="n"/>
      <c r="B738" s="63" t="n"/>
      <c r="C738" s="63" t="n"/>
      <c r="D738" s="67" t="n"/>
      <c r="E738" s="68" t="n"/>
      <c r="F738" s="69" t="n"/>
      <c r="G738" s="70" t="n"/>
      <c r="H738" s="62" t="str">
        <f>IF(COUNTA(A738:G738)=0,"",IF(C738&lt;&gt;"",C738,IF(B738="","",IFERROR(INDEX(pr_des,MATCH(B738,pr_code,0))&amp;"",""))))</f>
        <v/>
      </c>
      <c r="I738" s="59" t="str">
        <f>IF(B738="","",IFERROR(INDEX(pr_unit,MATCH(B738,pr_code,0))&amp;"",""))</f>
        <v/>
      </c>
      <c r="J738" s="65" t="str">
        <f>IF(COUNTA(A738:G738)=0,"",IF(E738&lt;&gt;"",E738,IF(B738="","",IFERROR(IF(INDEX(pr_price,MATCH(B738,pr_code,0))="","",INDEX(pr_price,MATCH(B738,pr_code,0))),""))))</f>
        <v/>
      </c>
      <c r="K738" s="71" t="str">
        <f>IF(COUNTA(A738:G738)=0,"",IF(G738&lt;&gt;"",G738,IF(B738="","",IFERROR(IF(INDEX(pr_rate,MATCH(B738,pr_code,0))="","",INDEX(pr_rate,MATCH(B738,pr_code,0))),""))))</f>
        <v/>
      </c>
      <c r="L738" s="65" t="str">
        <f>IF(COUNTA(A738:G738)=0,"",IF(AND(ISNUMBER(D738),ISNUMBER(J738)),ROUND(D738*J738*(1-N(F738)),2),0))</f>
        <v/>
      </c>
      <c r="M738" s="62" t="str">
        <f>IF(A738="","",IFERROR(INDEX(fa_cname,MATCH(A738,fa_num,0))&amp;"",""))</f>
        <v/>
      </c>
      <c r="N738" s="59" t="str">
        <f>IF(COUNTA(A738:G738)=0,"",IF(A738="","N° facture manquant",IF(ISNA(MATCH(A738,fa_num,0)),"Facture inconnue",IF(AND(B738&lt;&gt;"",ISNA(MATCH(B738,pr_code,0))),"Article inconnu",IF(H738="","Désignation manquante",IF(OR(NOT(ISNUMBER(D738)),N(D738)&lt;=0),"Quantité invalide",IF(J738="","Prix manquant",IF(OR(NOT(ISNUMBER(J738)),N(J738)&lt;0),"Prix invalide",IF(OR(AND(F738&lt;&gt;"",NOT(ISNUMBER(F738))),N(F738)&lt;0,N(F738)&gt;1),"Remise invalide",IF(K738="","Taux de TVA manquant",IF(NOT(ISNUMBER(K738)),"Taux de TVA invalide",IF(COUNTIF(p_rates,K738)=0,"Taux de TVA hors liste (Paramètres)",IF(N(O738)&gt;25,"Au-delà de 25 lignes : non imprimée","OK")))))))))))))</f>
        <v/>
      </c>
      <c r="O738" s="59" t="str">
        <f>IF(A738="","",COUNTIF($A$6:A738,A738))</f>
        <v/>
      </c>
      <c r="P738" s="62" t="str">
        <f>IF(A738="","",A738&amp;"|"&amp;O738)</f>
        <v/>
      </c>
    </row>
    <row r="739">
      <c r="A739" s="60" t="n"/>
      <c r="B739" s="63" t="n"/>
      <c r="C739" s="63" t="n"/>
      <c r="D739" s="67" t="n"/>
      <c r="E739" s="68" t="n"/>
      <c r="F739" s="69" t="n"/>
      <c r="G739" s="70" t="n"/>
      <c r="H739" s="62" t="str">
        <f>IF(COUNTA(A739:G739)=0,"",IF(C739&lt;&gt;"",C739,IF(B739="","",IFERROR(INDEX(pr_des,MATCH(B739,pr_code,0))&amp;"",""))))</f>
        <v/>
      </c>
      <c r="I739" s="59" t="str">
        <f>IF(B739="","",IFERROR(INDEX(pr_unit,MATCH(B739,pr_code,0))&amp;"",""))</f>
        <v/>
      </c>
      <c r="J739" s="65" t="str">
        <f>IF(COUNTA(A739:G739)=0,"",IF(E739&lt;&gt;"",E739,IF(B739="","",IFERROR(IF(INDEX(pr_price,MATCH(B739,pr_code,0))="","",INDEX(pr_price,MATCH(B739,pr_code,0))),""))))</f>
        <v/>
      </c>
      <c r="K739" s="71" t="str">
        <f>IF(COUNTA(A739:G739)=0,"",IF(G739&lt;&gt;"",G739,IF(B739="","",IFERROR(IF(INDEX(pr_rate,MATCH(B739,pr_code,0))="","",INDEX(pr_rate,MATCH(B739,pr_code,0))),""))))</f>
        <v/>
      </c>
      <c r="L739" s="65" t="str">
        <f>IF(COUNTA(A739:G739)=0,"",IF(AND(ISNUMBER(D739),ISNUMBER(J739)),ROUND(D739*J739*(1-N(F739)),2),0))</f>
        <v/>
      </c>
      <c r="M739" s="62" t="str">
        <f>IF(A739="","",IFERROR(INDEX(fa_cname,MATCH(A739,fa_num,0))&amp;"",""))</f>
        <v/>
      </c>
      <c r="N739" s="59" t="str">
        <f>IF(COUNTA(A739:G739)=0,"",IF(A739="","N° facture manquant",IF(ISNA(MATCH(A739,fa_num,0)),"Facture inconnue",IF(AND(B739&lt;&gt;"",ISNA(MATCH(B739,pr_code,0))),"Article inconnu",IF(H739="","Désignation manquante",IF(OR(NOT(ISNUMBER(D739)),N(D739)&lt;=0),"Quantité invalide",IF(J739="","Prix manquant",IF(OR(NOT(ISNUMBER(J739)),N(J739)&lt;0),"Prix invalide",IF(OR(AND(F739&lt;&gt;"",NOT(ISNUMBER(F739))),N(F739)&lt;0,N(F739)&gt;1),"Remise invalide",IF(K739="","Taux de TVA manquant",IF(NOT(ISNUMBER(K739)),"Taux de TVA invalide",IF(COUNTIF(p_rates,K739)=0,"Taux de TVA hors liste (Paramètres)",IF(N(O739)&gt;25,"Au-delà de 25 lignes : non imprimée","OK")))))))))))))</f>
        <v/>
      </c>
      <c r="O739" s="59" t="str">
        <f>IF(A739="","",COUNTIF($A$6:A739,A739))</f>
        <v/>
      </c>
      <c r="P739" s="62" t="str">
        <f>IF(A739="","",A739&amp;"|"&amp;O739)</f>
        <v/>
      </c>
    </row>
    <row r="740">
      <c r="A740" s="60" t="n"/>
      <c r="B740" s="63" t="n"/>
      <c r="C740" s="63" t="n"/>
      <c r="D740" s="67" t="n"/>
      <c r="E740" s="68" t="n"/>
      <c r="F740" s="69" t="n"/>
      <c r="G740" s="70" t="n"/>
      <c r="H740" s="62" t="str">
        <f>IF(COUNTA(A740:G740)=0,"",IF(C740&lt;&gt;"",C740,IF(B740="","",IFERROR(INDEX(pr_des,MATCH(B740,pr_code,0))&amp;"",""))))</f>
        <v/>
      </c>
      <c r="I740" s="59" t="str">
        <f>IF(B740="","",IFERROR(INDEX(pr_unit,MATCH(B740,pr_code,0))&amp;"",""))</f>
        <v/>
      </c>
      <c r="J740" s="65" t="str">
        <f>IF(COUNTA(A740:G740)=0,"",IF(E740&lt;&gt;"",E740,IF(B740="","",IFERROR(IF(INDEX(pr_price,MATCH(B740,pr_code,0))="","",INDEX(pr_price,MATCH(B740,pr_code,0))),""))))</f>
        <v/>
      </c>
      <c r="K740" s="71" t="str">
        <f>IF(COUNTA(A740:G740)=0,"",IF(G740&lt;&gt;"",G740,IF(B740="","",IFERROR(IF(INDEX(pr_rate,MATCH(B740,pr_code,0))="","",INDEX(pr_rate,MATCH(B740,pr_code,0))),""))))</f>
        <v/>
      </c>
      <c r="L740" s="65" t="str">
        <f>IF(COUNTA(A740:G740)=0,"",IF(AND(ISNUMBER(D740),ISNUMBER(J740)),ROUND(D740*J740*(1-N(F740)),2),0))</f>
        <v/>
      </c>
      <c r="M740" s="62" t="str">
        <f>IF(A740="","",IFERROR(INDEX(fa_cname,MATCH(A740,fa_num,0))&amp;"",""))</f>
        <v/>
      </c>
      <c r="N740" s="59" t="str">
        <f>IF(COUNTA(A740:G740)=0,"",IF(A740="","N° facture manquant",IF(ISNA(MATCH(A740,fa_num,0)),"Facture inconnue",IF(AND(B740&lt;&gt;"",ISNA(MATCH(B740,pr_code,0))),"Article inconnu",IF(H740="","Désignation manquante",IF(OR(NOT(ISNUMBER(D740)),N(D740)&lt;=0),"Quantité invalide",IF(J740="","Prix manquant",IF(OR(NOT(ISNUMBER(J740)),N(J740)&lt;0),"Prix invalide",IF(OR(AND(F740&lt;&gt;"",NOT(ISNUMBER(F740))),N(F740)&lt;0,N(F740)&gt;1),"Remise invalide",IF(K740="","Taux de TVA manquant",IF(NOT(ISNUMBER(K740)),"Taux de TVA invalide",IF(COUNTIF(p_rates,K740)=0,"Taux de TVA hors liste (Paramètres)",IF(N(O740)&gt;25,"Au-delà de 25 lignes : non imprimée","OK")))))))))))))</f>
        <v/>
      </c>
      <c r="O740" s="59" t="str">
        <f>IF(A740="","",COUNTIF($A$6:A740,A740))</f>
        <v/>
      </c>
      <c r="P740" s="62" t="str">
        <f>IF(A740="","",A740&amp;"|"&amp;O740)</f>
        <v/>
      </c>
    </row>
    <row r="741">
      <c r="A741" s="60" t="n"/>
      <c r="B741" s="63" t="n"/>
      <c r="C741" s="63" t="n"/>
      <c r="D741" s="67" t="n"/>
      <c r="E741" s="68" t="n"/>
      <c r="F741" s="69" t="n"/>
      <c r="G741" s="70" t="n"/>
      <c r="H741" s="62" t="str">
        <f>IF(COUNTA(A741:G741)=0,"",IF(C741&lt;&gt;"",C741,IF(B741="","",IFERROR(INDEX(pr_des,MATCH(B741,pr_code,0))&amp;"",""))))</f>
        <v/>
      </c>
      <c r="I741" s="59" t="str">
        <f>IF(B741="","",IFERROR(INDEX(pr_unit,MATCH(B741,pr_code,0))&amp;"",""))</f>
        <v/>
      </c>
      <c r="J741" s="65" t="str">
        <f>IF(COUNTA(A741:G741)=0,"",IF(E741&lt;&gt;"",E741,IF(B741="","",IFERROR(IF(INDEX(pr_price,MATCH(B741,pr_code,0))="","",INDEX(pr_price,MATCH(B741,pr_code,0))),""))))</f>
        <v/>
      </c>
      <c r="K741" s="71" t="str">
        <f>IF(COUNTA(A741:G741)=0,"",IF(G741&lt;&gt;"",G741,IF(B741="","",IFERROR(IF(INDEX(pr_rate,MATCH(B741,pr_code,0))="","",INDEX(pr_rate,MATCH(B741,pr_code,0))),""))))</f>
        <v/>
      </c>
      <c r="L741" s="65" t="str">
        <f>IF(COUNTA(A741:G741)=0,"",IF(AND(ISNUMBER(D741),ISNUMBER(J741)),ROUND(D741*J741*(1-N(F741)),2),0))</f>
        <v/>
      </c>
      <c r="M741" s="62" t="str">
        <f>IF(A741="","",IFERROR(INDEX(fa_cname,MATCH(A741,fa_num,0))&amp;"",""))</f>
        <v/>
      </c>
      <c r="N741" s="59" t="str">
        <f>IF(COUNTA(A741:G741)=0,"",IF(A741="","N° facture manquant",IF(ISNA(MATCH(A741,fa_num,0)),"Facture inconnue",IF(AND(B741&lt;&gt;"",ISNA(MATCH(B741,pr_code,0))),"Article inconnu",IF(H741="","Désignation manquante",IF(OR(NOT(ISNUMBER(D741)),N(D741)&lt;=0),"Quantité invalide",IF(J741="","Prix manquant",IF(OR(NOT(ISNUMBER(J741)),N(J741)&lt;0),"Prix invalide",IF(OR(AND(F741&lt;&gt;"",NOT(ISNUMBER(F741))),N(F741)&lt;0,N(F741)&gt;1),"Remise invalide",IF(K741="","Taux de TVA manquant",IF(NOT(ISNUMBER(K741)),"Taux de TVA invalide",IF(COUNTIF(p_rates,K741)=0,"Taux de TVA hors liste (Paramètres)",IF(N(O741)&gt;25,"Au-delà de 25 lignes : non imprimée","OK")))))))))))))</f>
        <v/>
      </c>
      <c r="O741" s="59" t="str">
        <f>IF(A741="","",COUNTIF($A$6:A741,A741))</f>
        <v/>
      </c>
      <c r="P741" s="62" t="str">
        <f>IF(A741="","",A741&amp;"|"&amp;O741)</f>
        <v/>
      </c>
    </row>
    <row r="742">
      <c r="A742" s="60" t="n"/>
      <c r="B742" s="63" t="n"/>
      <c r="C742" s="63" t="n"/>
      <c r="D742" s="67" t="n"/>
      <c r="E742" s="68" t="n"/>
      <c r="F742" s="69" t="n"/>
      <c r="G742" s="70" t="n"/>
      <c r="H742" s="62" t="str">
        <f>IF(COUNTA(A742:G742)=0,"",IF(C742&lt;&gt;"",C742,IF(B742="","",IFERROR(INDEX(pr_des,MATCH(B742,pr_code,0))&amp;"",""))))</f>
        <v/>
      </c>
      <c r="I742" s="59" t="str">
        <f>IF(B742="","",IFERROR(INDEX(pr_unit,MATCH(B742,pr_code,0))&amp;"",""))</f>
        <v/>
      </c>
      <c r="J742" s="65" t="str">
        <f>IF(COUNTA(A742:G742)=0,"",IF(E742&lt;&gt;"",E742,IF(B742="","",IFERROR(IF(INDEX(pr_price,MATCH(B742,pr_code,0))="","",INDEX(pr_price,MATCH(B742,pr_code,0))),""))))</f>
        <v/>
      </c>
      <c r="K742" s="71" t="str">
        <f>IF(COUNTA(A742:G742)=0,"",IF(G742&lt;&gt;"",G742,IF(B742="","",IFERROR(IF(INDEX(pr_rate,MATCH(B742,pr_code,0))="","",INDEX(pr_rate,MATCH(B742,pr_code,0))),""))))</f>
        <v/>
      </c>
      <c r="L742" s="65" t="str">
        <f>IF(COUNTA(A742:G742)=0,"",IF(AND(ISNUMBER(D742),ISNUMBER(J742)),ROUND(D742*J742*(1-N(F742)),2),0))</f>
        <v/>
      </c>
      <c r="M742" s="62" t="str">
        <f>IF(A742="","",IFERROR(INDEX(fa_cname,MATCH(A742,fa_num,0))&amp;"",""))</f>
        <v/>
      </c>
      <c r="N742" s="59" t="str">
        <f>IF(COUNTA(A742:G742)=0,"",IF(A742="","N° facture manquant",IF(ISNA(MATCH(A742,fa_num,0)),"Facture inconnue",IF(AND(B742&lt;&gt;"",ISNA(MATCH(B742,pr_code,0))),"Article inconnu",IF(H742="","Désignation manquante",IF(OR(NOT(ISNUMBER(D742)),N(D742)&lt;=0),"Quantité invalide",IF(J742="","Prix manquant",IF(OR(NOT(ISNUMBER(J742)),N(J742)&lt;0),"Prix invalide",IF(OR(AND(F742&lt;&gt;"",NOT(ISNUMBER(F742))),N(F742)&lt;0,N(F742)&gt;1),"Remise invalide",IF(K742="","Taux de TVA manquant",IF(NOT(ISNUMBER(K742)),"Taux de TVA invalide",IF(COUNTIF(p_rates,K742)=0,"Taux de TVA hors liste (Paramètres)",IF(N(O742)&gt;25,"Au-delà de 25 lignes : non imprimée","OK")))))))))))))</f>
        <v/>
      </c>
      <c r="O742" s="59" t="str">
        <f>IF(A742="","",COUNTIF($A$6:A742,A742))</f>
        <v/>
      </c>
      <c r="P742" s="62" t="str">
        <f>IF(A742="","",A742&amp;"|"&amp;O742)</f>
        <v/>
      </c>
    </row>
    <row r="743">
      <c r="A743" s="60" t="n"/>
      <c r="B743" s="63" t="n"/>
      <c r="C743" s="63" t="n"/>
      <c r="D743" s="67" t="n"/>
      <c r="E743" s="68" t="n"/>
      <c r="F743" s="69" t="n"/>
      <c r="G743" s="70" t="n"/>
      <c r="H743" s="62" t="str">
        <f>IF(COUNTA(A743:G743)=0,"",IF(C743&lt;&gt;"",C743,IF(B743="","",IFERROR(INDEX(pr_des,MATCH(B743,pr_code,0))&amp;"",""))))</f>
        <v/>
      </c>
      <c r="I743" s="59" t="str">
        <f>IF(B743="","",IFERROR(INDEX(pr_unit,MATCH(B743,pr_code,0))&amp;"",""))</f>
        <v/>
      </c>
      <c r="J743" s="65" t="str">
        <f>IF(COUNTA(A743:G743)=0,"",IF(E743&lt;&gt;"",E743,IF(B743="","",IFERROR(IF(INDEX(pr_price,MATCH(B743,pr_code,0))="","",INDEX(pr_price,MATCH(B743,pr_code,0))),""))))</f>
        <v/>
      </c>
      <c r="K743" s="71" t="str">
        <f>IF(COUNTA(A743:G743)=0,"",IF(G743&lt;&gt;"",G743,IF(B743="","",IFERROR(IF(INDEX(pr_rate,MATCH(B743,pr_code,0))="","",INDEX(pr_rate,MATCH(B743,pr_code,0))),""))))</f>
        <v/>
      </c>
      <c r="L743" s="65" t="str">
        <f>IF(COUNTA(A743:G743)=0,"",IF(AND(ISNUMBER(D743),ISNUMBER(J743)),ROUND(D743*J743*(1-N(F743)),2),0))</f>
        <v/>
      </c>
      <c r="M743" s="62" t="str">
        <f>IF(A743="","",IFERROR(INDEX(fa_cname,MATCH(A743,fa_num,0))&amp;"",""))</f>
        <v/>
      </c>
      <c r="N743" s="59" t="str">
        <f>IF(COUNTA(A743:G743)=0,"",IF(A743="","N° facture manquant",IF(ISNA(MATCH(A743,fa_num,0)),"Facture inconnue",IF(AND(B743&lt;&gt;"",ISNA(MATCH(B743,pr_code,0))),"Article inconnu",IF(H743="","Désignation manquante",IF(OR(NOT(ISNUMBER(D743)),N(D743)&lt;=0),"Quantité invalide",IF(J743="","Prix manquant",IF(OR(NOT(ISNUMBER(J743)),N(J743)&lt;0),"Prix invalide",IF(OR(AND(F743&lt;&gt;"",NOT(ISNUMBER(F743))),N(F743)&lt;0,N(F743)&gt;1),"Remise invalide",IF(K743="","Taux de TVA manquant",IF(NOT(ISNUMBER(K743)),"Taux de TVA invalide",IF(COUNTIF(p_rates,K743)=0,"Taux de TVA hors liste (Paramètres)",IF(N(O743)&gt;25,"Au-delà de 25 lignes : non imprimée","OK")))))))))))))</f>
        <v/>
      </c>
      <c r="O743" s="59" t="str">
        <f>IF(A743="","",COUNTIF($A$6:A743,A743))</f>
        <v/>
      </c>
      <c r="P743" s="62" t="str">
        <f>IF(A743="","",A743&amp;"|"&amp;O743)</f>
        <v/>
      </c>
    </row>
    <row r="744">
      <c r="A744" s="60" t="n"/>
      <c r="B744" s="63" t="n"/>
      <c r="C744" s="63" t="n"/>
      <c r="D744" s="67" t="n"/>
      <c r="E744" s="68" t="n"/>
      <c r="F744" s="69" t="n"/>
      <c r="G744" s="70" t="n"/>
      <c r="H744" s="62" t="str">
        <f>IF(COUNTA(A744:G744)=0,"",IF(C744&lt;&gt;"",C744,IF(B744="","",IFERROR(INDEX(pr_des,MATCH(B744,pr_code,0))&amp;"",""))))</f>
        <v/>
      </c>
      <c r="I744" s="59" t="str">
        <f>IF(B744="","",IFERROR(INDEX(pr_unit,MATCH(B744,pr_code,0))&amp;"",""))</f>
        <v/>
      </c>
      <c r="J744" s="65" t="str">
        <f>IF(COUNTA(A744:G744)=0,"",IF(E744&lt;&gt;"",E744,IF(B744="","",IFERROR(IF(INDEX(pr_price,MATCH(B744,pr_code,0))="","",INDEX(pr_price,MATCH(B744,pr_code,0))),""))))</f>
        <v/>
      </c>
      <c r="K744" s="71" t="str">
        <f>IF(COUNTA(A744:G744)=0,"",IF(G744&lt;&gt;"",G744,IF(B744="","",IFERROR(IF(INDEX(pr_rate,MATCH(B744,pr_code,0))="","",INDEX(pr_rate,MATCH(B744,pr_code,0))),""))))</f>
        <v/>
      </c>
      <c r="L744" s="65" t="str">
        <f>IF(COUNTA(A744:G744)=0,"",IF(AND(ISNUMBER(D744),ISNUMBER(J744)),ROUND(D744*J744*(1-N(F744)),2),0))</f>
        <v/>
      </c>
      <c r="M744" s="62" t="str">
        <f>IF(A744="","",IFERROR(INDEX(fa_cname,MATCH(A744,fa_num,0))&amp;"",""))</f>
        <v/>
      </c>
      <c r="N744" s="59" t="str">
        <f>IF(COUNTA(A744:G744)=0,"",IF(A744="","N° facture manquant",IF(ISNA(MATCH(A744,fa_num,0)),"Facture inconnue",IF(AND(B744&lt;&gt;"",ISNA(MATCH(B744,pr_code,0))),"Article inconnu",IF(H744="","Désignation manquante",IF(OR(NOT(ISNUMBER(D744)),N(D744)&lt;=0),"Quantité invalide",IF(J744="","Prix manquant",IF(OR(NOT(ISNUMBER(J744)),N(J744)&lt;0),"Prix invalide",IF(OR(AND(F744&lt;&gt;"",NOT(ISNUMBER(F744))),N(F744)&lt;0,N(F744)&gt;1),"Remise invalide",IF(K744="","Taux de TVA manquant",IF(NOT(ISNUMBER(K744)),"Taux de TVA invalide",IF(COUNTIF(p_rates,K744)=0,"Taux de TVA hors liste (Paramètres)",IF(N(O744)&gt;25,"Au-delà de 25 lignes : non imprimée","OK")))))))))))))</f>
        <v/>
      </c>
      <c r="O744" s="59" t="str">
        <f>IF(A744="","",COUNTIF($A$6:A744,A744))</f>
        <v/>
      </c>
      <c r="P744" s="62" t="str">
        <f>IF(A744="","",A744&amp;"|"&amp;O744)</f>
        <v/>
      </c>
    </row>
    <row r="745">
      <c r="A745" s="60" t="n"/>
      <c r="B745" s="63" t="n"/>
      <c r="C745" s="63" t="n"/>
      <c r="D745" s="67" t="n"/>
      <c r="E745" s="68" t="n"/>
      <c r="F745" s="69" t="n"/>
      <c r="G745" s="70" t="n"/>
      <c r="H745" s="62" t="str">
        <f>IF(COUNTA(A745:G745)=0,"",IF(C745&lt;&gt;"",C745,IF(B745="","",IFERROR(INDEX(pr_des,MATCH(B745,pr_code,0))&amp;"",""))))</f>
        <v/>
      </c>
      <c r="I745" s="59" t="str">
        <f>IF(B745="","",IFERROR(INDEX(pr_unit,MATCH(B745,pr_code,0))&amp;"",""))</f>
        <v/>
      </c>
      <c r="J745" s="65" t="str">
        <f>IF(COUNTA(A745:G745)=0,"",IF(E745&lt;&gt;"",E745,IF(B745="","",IFERROR(IF(INDEX(pr_price,MATCH(B745,pr_code,0))="","",INDEX(pr_price,MATCH(B745,pr_code,0))),""))))</f>
        <v/>
      </c>
      <c r="K745" s="71" t="str">
        <f>IF(COUNTA(A745:G745)=0,"",IF(G745&lt;&gt;"",G745,IF(B745="","",IFERROR(IF(INDEX(pr_rate,MATCH(B745,pr_code,0))="","",INDEX(pr_rate,MATCH(B745,pr_code,0))),""))))</f>
        <v/>
      </c>
      <c r="L745" s="65" t="str">
        <f>IF(COUNTA(A745:G745)=0,"",IF(AND(ISNUMBER(D745),ISNUMBER(J745)),ROUND(D745*J745*(1-N(F745)),2),0))</f>
        <v/>
      </c>
      <c r="M745" s="62" t="str">
        <f>IF(A745="","",IFERROR(INDEX(fa_cname,MATCH(A745,fa_num,0))&amp;"",""))</f>
        <v/>
      </c>
      <c r="N745" s="59" t="str">
        <f>IF(COUNTA(A745:G745)=0,"",IF(A745="","N° facture manquant",IF(ISNA(MATCH(A745,fa_num,0)),"Facture inconnue",IF(AND(B745&lt;&gt;"",ISNA(MATCH(B745,pr_code,0))),"Article inconnu",IF(H745="","Désignation manquante",IF(OR(NOT(ISNUMBER(D745)),N(D745)&lt;=0),"Quantité invalide",IF(J745="","Prix manquant",IF(OR(NOT(ISNUMBER(J745)),N(J745)&lt;0),"Prix invalide",IF(OR(AND(F745&lt;&gt;"",NOT(ISNUMBER(F745))),N(F745)&lt;0,N(F745)&gt;1),"Remise invalide",IF(K745="","Taux de TVA manquant",IF(NOT(ISNUMBER(K745)),"Taux de TVA invalide",IF(COUNTIF(p_rates,K745)=0,"Taux de TVA hors liste (Paramètres)",IF(N(O745)&gt;25,"Au-delà de 25 lignes : non imprimée","OK")))))))))))))</f>
        <v/>
      </c>
      <c r="O745" s="59" t="str">
        <f>IF(A745="","",COUNTIF($A$6:A745,A745))</f>
        <v/>
      </c>
      <c r="P745" s="62" t="str">
        <f>IF(A745="","",A745&amp;"|"&amp;O745)</f>
        <v/>
      </c>
    </row>
    <row r="746">
      <c r="A746" s="60" t="n"/>
      <c r="B746" s="63" t="n"/>
      <c r="C746" s="63" t="n"/>
      <c r="D746" s="67" t="n"/>
      <c r="E746" s="68" t="n"/>
      <c r="F746" s="69" t="n"/>
      <c r="G746" s="70" t="n"/>
      <c r="H746" s="62" t="str">
        <f>IF(COUNTA(A746:G746)=0,"",IF(C746&lt;&gt;"",C746,IF(B746="","",IFERROR(INDEX(pr_des,MATCH(B746,pr_code,0))&amp;"",""))))</f>
        <v/>
      </c>
      <c r="I746" s="59" t="str">
        <f>IF(B746="","",IFERROR(INDEX(pr_unit,MATCH(B746,pr_code,0))&amp;"",""))</f>
        <v/>
      </c>
      <c r="J746" s="65" t="str">
        <f>IF(COUNTA(A746:G746)=0,"",IF(E746&lt;&gt;"",E746,IF(B746="","",IFERROR(IF(INDEX(pr_price,MATCH(B746,pr_code,0))="","",INDEX(pr_price,MATCH(B746,pr_code,0))),""))))</f>
        <v/>
      </c>
      <c r="K746" s="71" t="str">
        <f>IF(COUNTA(A746:G746)=0,"",IF(G746&lt;&gt;"",G746,IF(B746="","",IFERROR(IF(INDEX(pr_rate,MATCH(B746,pr_code,0))="","",INDEX(pr_rate,MATCH(B746,pr_code,0))),""))))</f>
        <v/>
      </c>
      <c r="L746" s="65" t="str">
        <f>IF(COUNTA(A746:G746)=0,"",IF(AND(ISNUMBER(D746),ISNUMBER(J746)),ROUND(D746*J746*(1-N(F746)),2),0))</f>
        <v/>
      </c>
      <c r="M746" s="62" t="str">
        <f>IF(A746="","",IFERROR(INDEX(fa_cname,MATCH(A746,fa_num,0))&amp;"",""))</f>
        <v/>
      </c>
      <c r="N746" s="59" t="str">
        <f>IF(COUNTA(A746:G746)=0,"",IF(A746="","N° facture manquant",IF(ISNA(MATCH(A746,fa_num,0)),"Facture inconnue",IF(AND(B746&lt;&gt;"",ISNA(MATCH(B746,pr_code,0))),"Article inconnu",IF(H746="","Désignation manquante",IF(OR(NOT(ISNUMBER(D746)),N(D746)&lt;=0),"Quantité invalide",IF(J746="","Prix manquant",IF(OR(NOT(ISNUMBER(J746)),N(J746)&lt;0),"Prix invalide",IF(OR(AND(F746&lt;&gt;"",NOT(ISNUMBER(F746))),N(F746)&lt;0,N(F746)&gt;1),"Remise invalide",IF(K746="","Taux de TVA manquant",IF(NOT(ISNUMBER(K746)),"Taux de TVA invalide",IF(COUNTIF(p_rates,K746)=0,"Taux de TVA hors liste (Paramètres)",IF(N(O746)&gt;25,"Au-delà de 25 lignes : non imprimée","OK")))))))))))))</f>
        <v/>
      </c>
      <c r="O746" s="59" t="str">
        <f>IF(A746="","",COUNTIF($A$6:A746,A746))</f>
        <v/>
      </c>
      <c r="P746" s="62" t="str">
        <f>IF(A746="","",A746&amp;"|"&amp;O746)</f>
        <v/>
      </c>
    </row>
    <row r="747">
      <c r="A747" s="60" t="n"/>
      <c r="B747" s="63" t="n"/>
      <c r="C747" s="63" t="n"/>
      <c r="D747" s="67" t="n"/>
      <c r="E747" s="68" t="n"/>
      <c r="F747" s="69" t="n"/>
      <c r="G747" s="70" t="n"/>
      <c r="H747" s="62" t="str">
        <f>IF(COUNTA(A747:G747)=0,"",IF(C747&lt;&gt;"",C747,IF(B747="","",IFERROR(INDEX(pr_des,MATCH(B747,pr_code,0))&amp;"",""))))</f>
        <v/>
      </c>
      <c r="I747" s="59" t="str">
        <f>IF(B747="","",IFERROR(INDEX(pr_unit,MATCH(B747,pr_code,0))&amp;"",""))</f>
        <v/>
      </c>
      <c r="J747" s="65" t="str">
        <f>IF(COUNTA(A747:G747)=0,"",IF(E747&lt;&gt;"",E747,IF(B747="","",IFERROR(IF(INDEX(pr_price,MATCH(B747,pr_code,0))="","",INDEX(pr_price,MATCH(B747,pr_code,0))),""))))</f>
        <v/>
      </c>
      <c r="K747" s="71" t="str">
        <f>IF(COUNTA(A747:G747)=0,"",IF(G747&lt;&gt;"",G747,IF(B747="","",IFERROR(IF(INDEX(pr_rate,MATCH(B747,pr_code,0))="","",INDEX(pr_rate,MATCH(B747,pr_code,0))),""))))</f>
        <v/>
      </c>
      <c r="L747" s="65" t="str">
        <f>IF(COUNTA(A747:G747)=0,"",IF(AND(ISNUMBER(D747),ISNUMBER(J747)),ROUND(D747*J747*(1-N(F747)),2),0))</f>
        <v/>
      </c>
      <c r="M747" s="62" t="str">
        <f>IF(A747="","",IFERROR(INDEX(fa_cname,MATCH(A747,fa_num,0))&amp;"",""))</f>
        <v/>
      </c>
      <c r="N747" s="59" t="str">
        <f>IF(COUNTA(A747:G747)=0,"",IF(A747="","N° facture manquant",IF(ISNA(MATCH(A747,fa_num,0)),"Facture inconnue",IF(AND(B747&lt;&gt;"",ISNA(MATCH(B747,pr_code,0))),"Article inconnu",IF(H747="","Désignation manquante",IF(OR(NOT(ISNUMBER(D747)),N(D747)&lt;=0),"Quantité invalide",IF(J747="","Prix manquant",IF(OR(NOT(ISNUMBER(J747)),N(J747)&lt;0),"Prix invalide",IF(OR(AND(F747&lt;&gt;"",NOT(ISNUMBER(F747))),N(F747)&lt;0,N(F747)&gt;1),"Remise invalide",IF(K747="","Taux de TVA manquant",IF(NOT(ISNUMBER(K747)),"Taux de TVA invalide",IF(COUNTIF(p_rates,K747)=0,"Taux de TVA hors liste (Paramètres)",IF(N(O747)&gt;25,"Au-delà de 25 lignes : non imprimée","OK")))))))))))))</f>
        <v/>
      </c>
      <c r="O747" s="59" t="str">
        <f>IF(A747="","",COUNTIF($A$6:A747,A747))</f>
        <v/>
      </c>
      <c r="P747" s="62" t="str">
        <f>IF(A747="","",A747&amp;"|"&amp;O747)</f>
        <v/>
      </c>
    </row>
    <row r="748">
      <c r="A748" s="60" t="n"/>
      <c r="B748" s="63" t="n"/>
      <c r="C748" s="63" t="n"/>
      <c r="D748" s="67" t="n"/>
      <c r="E748" s="68" t="n"/>
      <c r="F748" s="69" t="n"/>
      <c r="G748" s="70" t="n"/>
      <c r="H748" s="62" t="str">
        <f>IF(COUNTA(A748:G748)=0,"",IF(C748&lt;&gt;"",C748,IF(B748="","",IFERROR(INDEX(pr_des,MATCH(B748,pr_code,0))&amp;"",""))))</f>
        <v/>
      </c>
      <c r="I748" s="59" t="str">
        <f>IF(B748="","",IFERROR(INDEX(pr_unit,MATCH(B748,pr_code,0))&amp;"",""))</f>
        <v/>
      </c>
      <c r="J748" s="65" t="str">
        <f>IF(COUNTA(A748:G748)=0,"",IF(E748&lt;&gt;"",E748,IF(B748="","",IFERROR(IF(INDEX(pr_price,MATCH(B748,pr_code,0))="","",INDEX(pr_price,MATCH(B748,pr_code,0))),""))))</f>
        <v/>
      </c>
      <c r="K748" s="71" t="str">
        <f>IF(COUNTA(A748:G748)=0,"",IF(G748&lt;&gt;"",G748,IF(B748="","",IFERROR(IF(INDEX(pr_rate,MATCH(B748,pr_code,0))="","",INDEX(pr_rate,MATCH(B748,pr_code,0))),""))))</f>
        <v/>
      </c>
      <c r="L748" s="65" t="str">
        <f>IF(COUNTA(A748:G748)=0,"",IF(AND(ISNUMBER(D748),ISNUMBER(J748)),ROUND(D748*J748*(1-N(F748)),2),0))</f>
        <v/>
      </c>
      <c r="M748" s="62" t="str">
        <f>IF(A748="","",IFERROR(INDEX(fa_cname,MATCH(A748,fa_num,0))&amp;"",""))</f>
        <v/>
      </c>
      <c r="N748" s="59" t="str">
        <f>IF(COUNTA(A748:G748)=0,"",IF(A748="","N° facture manquant",IF(ISNA(MATCH(A748,fa_num,0)),"Facture inconnue",IF(AND(B748&lt;&gt;"",ISNA(MATCH(B748,pr_code,0))),"Article inconnu",IF(H748="","Désignation manquante",IF(OR(NOT(ISNUMBER(D748)),N(D748)&lt;=0),"Quantité invalide",IF(J748="","Prix manquant",IF(OR(NOT(ISNUMBER(J748)),N(J748)&lt;0),"Prix invalide",IF(OR(AND(F748&lt;&gt;"",NOT(ISNUMBER(F748))),N(F748)&lt;0,N(F748)&gt;1),"Remise invalide",IF(K748="","Taux de TVA manquant",IF(NOT(ISNUMBER(K748)),"Taux de TVA invalide",IF(COUNTIF(p_rates,K748)=0,"Taux de TVA hors liste (Paramètres)",IF(N(O748)&gt;25,"Au-delà de 25 lignes : non imprimée","OK")))))))))))))</f>
        <v/>
      </c>
      <c r="O748" s="59" t="str">
        <f>IF(A748="","",COUNTIF($A$6:A748,A748))</f>
        <v/>
      </c>
      <c r="P748" s="62" t="str">
        <f>IF(A748="","",A748&amp;"|"&amp;O748)</f>
        <v/>
      </c>
    </row>
    <row r="749">
      <c r="A749" s="60" t="n"/>
      <c r="B749" s="63" t="n"/>
      <c r="C749" s="63" t="n"/>
      <c r="D749" s="67" t="n"/>
      <c r="E749" s="68" t="n"/>
      <c r="F749" s="69" t="n"/>
      <c r="G749" s="70" t="n"/>
      <c r="H749" s="62" t="str">
        <f>IF(COUNTA(A749:G749)=0,"",IF(C749&lt;&gt;"",C749,IF(B749="","",IFERROR(INDEX(pr_des,MATCH(B749,pr_code,0))&amp;"",""))))</f>
        <v/>
      </c>
      <c r="I749" s="59" t="str">
        <f>IF(B749="","",IFERROR(INDEX(pr_unit,MATCH(B749,pr_code,0))&amp;"",""))</f>
        <v/>
      </c>
      <c r="J749" s="65" t="str">
        <f>IF(COUNTA(A749:G749)=0,"",IF(E749&lt;&gt;"",E749,IF(B749="","",IFERROR(IF(INDEX(pr_price,MATCH(B749,pr_code,0))="","",INDEX(pr_price,MATCH(B749,pr_code,0))),""))))</f>
        <v/>
      </c>
      <c r="K749" s="71" t="str">
        <f>IF(COUNTA(A749:G749)=0,"",IF(G749&lt;&gt;"",G749,IF(B749="","",IFERROR(IF(INDEX(pr_rate,MATCH(B749,pr_code,0))="","",INDEX(pr_rate,MATCH(B749,pr_code,0))),""))))</f>
        <v/>
      </c>
      <c r="L749" s="65" t="str">
        <f>IF(COUNTA(A749:G749)=0,"",IF(AND(ISNUMBER(D749),ISNUMBER(J749)),ROUND(D749*J749*(1-N(F749)),2),0))</f>
        <v/>
      </c>
      <c r="M749" s="62" t="str">
        <f>IF(A749="","",IFERROR(INDEX(fa_cname,MATCH(A749,fa_num,0))&amp;"",""))</f>
        <v/>
      </c>
      <c r="N749" s="59" t="str">
        <f>IF(COUNTA(A749:G749)=0,"",IF(A749="","N° facture manquant",IF(ISNA(MATCH(A749,fa_num,0)),"Facture inconnue",IF(AND(B749&lt;&gt;"",ISNA(MATCH(B749,pr_code,0))),"Article inconnu",IF(H749="","Désignation manquante",IF(OR(NOT(ISNUMBER(D749)),N(D749)&lt;=0),"Quantité invalide",IF(J749="","Prix manquant",IF(OR(NOT(ISNUMBER(J749)),N(J749)&lt;0),"Prix invalide",IF(OR(AND(F749&lt;&gt;"",NOT(ISNUMBER(F749))),N(F749)&lt;0,N(F749)&gt;1),"Remise invalide",IF(K749="","Taux de TVA manquant",IF(NOT(ISNUMBER(K749)),"Taux de TVA invalide",IF(COUNTIF(p_rates,K749)=0,"Taux de TVA hors liste (Paramètres)",IF(N(O749)&gt;25,"Au-delà de 25 lignes : non imprimée","OK")))))))))))))</f>
        <v/>
      </c>
      <c r="O749" s="59" t="str">
        <f>IF(A749="","",COUNTIF($A$6:A749,A749))</f>
        <v/>
      </c>
      <c r="P749" s="62" t="str">
        <f>IF(A749="","",A749&amp;"|"&amp;O749)</f>
        <v/>
      </c>
    </row>
    <row r="750">
      <c r="A750" s="60" t="n"/>
      <c r="B750" s="63" t="n"/>
      <c r="C750" s="63" t="n"/>
      <c r="D750" s="67" t="n"/>
      <c r="E750" s="68" t="n"/>
      <c r="F750" s="69" t="n"/>
      <c r="G750" s="70" t="n"/>
      <c r="H750" s="62" t="str">
        <f>IF(COUNTA(A750:G750)=0,"",IF(C750&lt;&gt;"",C750,IF(B750="","",IFERROR(INDEX(pr_des,MATCH(B750,pr_code,0))&amp;"",""))))</f>
        <v/>
      </c>
      <c r="I750" s="59" t="str">
        <f>IF(B750="","",IFERROR(INDEX(pr_unit,MATCH(B750,pr_code,0))&amp;"",""))</f>
        <v/>
      </c>
      <c r="J750" s="65" t="str">
        <f>IF(COUNTA(A750:G750)=0,"",IF(E750&lt;&gt;"",E750,IF(B750="","",IFERROR(IF(INDEX(pr_price,MATCH(B750,pr_code,0))="","",INDEX(pr_price,MATCH(B750,pr_code,0))),""))))</f>
        <v/>
      </c>
      <c r="K750" s="71" t="str">
        <f>IF(COUNTA(A750:G750)=0,"",IF(G750&lt;&gt;"",G750,IF(B750="","",IFERROR(IF(INDEX(pr_rate,MATCH(B750,pr_code,0))="","",INDEX(pr_rate,MATCH(B750,pr_code,0))),""))))</f>
        <v/>
      </c>
      <c r="L750" s="65" t="str">
        <f>IF(COUNTA(A750:G750)=0,"",IF(AND(ISNUMBER(D750),ISNUMBER(J750)),ROUND(D750*J750*(1-N(F750)),2),0))</f>
        <v/>
      </c>
      <c r="M750" s="62" t="str">
        <f>IF(A750="","",IFERROR(INDEX(fa_cname,MATCH(A750,fa_num,0))&amp;"",""))</f>
        <v/>
      </c>
      <c r="N750" s="59" t="str">
        <f>IF(COUNTA(A750:G750)=0,"",IF(A750="","N° facture manquant",IF(ISNA(MATCH(A750,fa_num,0)),"Facture inconnue",IF(AND(B750&lt;&gt;"",ISNA(MATCH(B750,pr_code,0))),"Article inconnu",IF(H750="","Désignation manquante",IF(OR(NOT(ISNUMBER(D750)),N(D750)&lt;=0),"Quantité invalide",IF(J750="","Prix manquant",IF(OR(NOT(ISNUMBER(J750)),N(J750)&lt;0),"Prix invalide",IF(OR(AND(F750&lt;&gt;"",NOT(ISNUMBER(F750))),N(F750)&lt;0,N(F750)&gt;1),"Remise invalide",IF(K750="","Taux de TVA manquant",IF(NOT(ISNUMBER(K750)),"Taux de TVA invalide",IF(COUNTIF(p_rates,K750)=0,"Taux de TVA hors liste (Paramètres)",IF(N(O750)&gt;25,"Au-delà de 25 lignes : non imprimée","OK")))))))))))))</f>
        <v/>
      </c>
      <c r="O750" s="59" t="str">
        <f>IF(A750="","",COUNTIF($A$6:A750,A750))</f>
        <v/>
      </c>
      <c r="P750" s="62" t="str">
        <f>IF(A750="","",A750&amp;"|"&amp;O750)</f>
        <v/>
      </c>
    </row>
    <row r="751">
      <c r="A751" s="60" t="n"/>
      <c r="B751" s="63" t="n"/>
      <c r="C751" s="63" t="n"/>
      <c r="D751" s="67" t="n"/>
      <c r="E751" s="68" t="n"/>
      <c r="F751" s="69" t="n"/>
      <c r="G751" s="70" t="n"/>
      <c r="H751" s="62" t="str">
        <f>IF(COUNTA(A751:G751)=0,"",IF(C751&lt;&gt;"",C751,IF(B751="","",IFERROR(INDEX(pr_des,MATCH(B751,pr_code,0))&amp;"",""))))</f>
        <v/>
      </c>
      <c r="I751" s="59" t="str">
        <f>IF(B751="","",IFERROR(INDEX(pr_unit,MATCH(B751,pr_code,0))&amp;"",""))</f>
        <v/>
      </c>
      <c r="J751" s="65" t="str">
        <f>IF(COUNTA(A751:G751)=0,"",IF(E751&lt;&gt;"",E751,IF(B751="","",IFERROR(IF(INDEX(pr_price,MATCH(B751,pr_code,0))="","",INDEX(pr_price,MATCH(B751,pr_code,0))),""))))</f>
        <v/>
      </c>
      <c r="K751" s="71" t="str">
        <f>IF(COUNTA(A751:G751)=0,"",IF(G751&lt;&gt;"",G751,IF(B751="","",IFERROR(IF(INDEX(pr_rate,MATCH(B751,pr_code,0))="","",INDEX(pr_rate,MATCH(B751,pr_code,0))),""))))</f>
        <v/>
      </c>
      <c r="L751" s="65" t="str">
        <f>IF(COUNTA(A751:G751)=0,"",IF(AND(ISNUMBER(D751),ISNUMBER(J751)),ROUND(D751*J751*(1-N(F751)),2),0))</f>
        <v/>
      </c>
      <c r="M751" s="62" t="str">
        <f>IF(A751="","",IFERROR(INDEX(fa_cname,MATCH(A751,fa_num,0))&amp;"",""))</f>
        <v/>
      </c>
      <c r="N751" s="59" t="str">
        <f>IF(COUNTA(A751:G751)=0,"",IF(A751="","N° facture manquant",IF(ISNA(MATCH(A751,fa_num,0)),"Facture inconnue",IF(AND(B751&lt;&gt;"",ISNA(MATCH(B751,pr_code,0))),"Article inconnu",IF(H751="","Désignation manquante",IF(OR(NOT(ISNUMBER(D751)),N(D751)&lt;=0),"Quantité invalide",IF(J751="","Prix manquant",IF(OR(NOT(ISNUMBER(J751)),N(J751)&lt;0),"Prix invalide",IF(OR(AND(F751&lt;&gt;"",NOT(ISNUMBER(F751))),N(F751)&lt;0,N(F751)&gt;1),"Remise invalide",IF(K751="","Taux de TVA manquant",IF(NOT(ISNUMBER(K751)),"Taux de TVA invalide",IF(COUNTIF(p_rates,K751)=0,"Taux de TVA hors liste (Paramètres)",IF(N(O751)&gt;25,"Au-delà de 25 lignes : non imprimée","OK")))))))))))))</f>
        <v/>
      </c>
      <c r="O751" s="59" t="str">
        <f>IF(A751="","",COUNTIF($A$6:A751,A751))</f>
        <v/>
      </c>
      <c r="P751" s="62" t="str">
        <f>IF(A751="","",A751&amp;"|"&amp;O751)</f>
        <v/>
      </c>
    </row>
    <row r="752">
      <c r="A752" s="60" t="n"/>
      <c r="B752" s="63" t="n"/>
      <c r="C752" s="63" t="n"/>
      <c r="D752" s="67" t="n"/>
      <c r="E752" s="68" t="n"/>
      <c r="F752" s="69" t="n"/>
      <c r="G752" s="70" t="n"/>
      <c r="H752" s="62" t="str">
        <f>IF(COUNTA(A752:G752)=0,"",IF(C752&lt;&gt;"",C752,IF(B752="","",IFERROR(INDEX(pr_des,MATCH(B752,pr_code,0))&amp;"",""))))</f>
        <v/>
      </c>
      <c r="I752" s="59" t="str">
        <f>IF(B752="","",IFERROR(INDEX(pr_unit,MATCH(B752,pr_code,0))&amp;"",""))</f>
        <v/>
      </c>
      <c r="J752" s="65" t="str">
        <f>IF(COUNTA(A752:G752)=0,"",IF(E752&lt;&gt;"",E752,IF(B752="","",IFERROR(IF(INDEX(pr_price,MATCH(B752,pr_code,0))="","",INDEX(pr_price,MATCH(B752,pr_code,0))),""))))</f>
        <v/>
      </c>
      <c r="K752" s="71" t="str">
        <f>IF(COUNTA(A752:G752)=0,"",IF(G752&lt;&gt;"",G752,IF(B752="","",IFERROR(IF(INDEX(pr_rate,MATCH(B752,pr_code,0))="","",INDEX(pr_rate,MATCH(B752,pr_code,0))),""))))</f>
        <v/>
      </c>
      <c r="L752" s="65" t="str">
        <f>IF(COUNTA(A752:G752)=0,"",IF(AND(ISNUMBER(D752),ISNUMBER(J752)),ROUND(D752*J752*(1-N(F752)),2),0))</f>
        <v/>
      </c>
      <c r="M752" s="62" t="str">
        <f>IF(A752="","",IFERROR(INDEX(fa_cname,MATCH(A752,fa_num,0))&amp;"",""))</f>
        <v/>
      </c>
      <c r="N752" s="59" t="str">
        <f>IF(COUNTA(A752:G752)=0,"",IF(A752="","N° facture manquant",IF(ISNA(MATCH(A752,fa_num,0)),"Facture inconnue",IF(AND(B752&lt;&gt;"",ISNA(MATCH(B752,pr_code,0))),"Article inconnu",IF(H752="","Désignation manquante",IF(OR(NOT(ISNUMBER(D752)),N(D752)&lt;=0),"Quantité invalide",IF(J752="","Prix manquant",IF(OR(NOT(ISNUMBER(J752)),N(J752)&lt;0),"Prix invalide",IF(OR(AND(F752&lt;&gt;"",NOT(ISNUMBER(F752))),N(F752)&lt;0,N(F752)&gt;1),"Remise invalide",IF(K752="","Taux de TVA manquant",IF(NOT(ISNUMBER(K752)),"Taux de TVA invalide",IF(COUNTIF(p_rates,K752)=0,"Taux de TVA hors liste (Paramètres)",IF(N(O752)&gt;25,"Au-delà de 25 lignes : non imprimée","OK")))))))))))))</f>
        <v/>
      </c>
      <c r="O752" s="59" t="str">
        <f>IF(A752="","",COUNTIF($A$6:A752,A752))</f>
        <v/>
      </c>
      <c r="P752" s="62" t="str">
        <f>IF(A752="","",A752&amp;"|"&amp;O752)</f>
        <v/>
      </c>
    </row>
    <row r="753">
      <c r="A753" s="60" t="n"/>
      <c r="B753" s="63" t="n"/>
      <c r="C753" s="63" t="n"/>
      <c r="D753" s="67" t="n"/>
      <c r="E753" s="68" t="n"/>
      <c r="F753" s="69" t="n"/>
      <c r="G753" s="70" t="n"/>
      <c r="H753" s="62" t="str">
        <f>IF(COUNTA(A753:G753)=0,"",IF(C753&lt;&gt;"",C753,IF(B753="","",IFERROR(INDEX(pr_des,MATCH(B753,pr_code,0))&amp;"",""))))</f>
        <v/>
      </c>
      <c r="I753" s="59" t="str">
        <f>IF(B753="","",IFERROR(INDEX(pr_unit,MATCH(B753,pr_code,0))&amp;"",""))</f>
        <v/>
      </c>
      <c r="J753" s="65" t="str">
        <f>IF(COUNTA(A753:G753)=0,"",IF(E753&lt;&gt;"",E753,IF(B753="","",IFERROR(IF(INDEX(pr_price,MATCH(B753,pr_code,0))="","",INDEX(pr_price,MATCH(B753,pr_code,0))),""))))</f>
        <v/>
      </c>
      <c r="K753" s="71" t="str">
        <f>IF(COUNTA(A753:G753)=0,"",IF(G753&lt;&gt;"",G753,IF(B753="","",IFERROR(IF(INDEX(pr_rate,MATCH(B753,pr_code,0))="","",INDEX(pr_rate,MATCH(B753,pr_code,0))),""))))</f>
        <v/>
      </c>
      <c r="L753" s="65" t="str">
        <f>IF(COUNTA(A753:G753)=0,"",IF(AND(ISNUMBER(D753),ISNUMBER(J753)),ROUND(D753*J753*(1-N(F753)),2),0))</f>
        <v/>
      </c>
      <c r="M753" s="62" t="str">
        <f>IF(A753="","",IFERROR(INDEX(fa_cname,MATCH(A753,fa_num,0))&amp;"",""))</f>
        <v/>
      </c>
      <c r="N753" s="59" t="str">
        <f>IF(COUNTA(A753:G753)=0,"",IF(A753="","N° facture manquant",IF(ISNA(MATCH(A753,fa_num,0)),"Facture inconnue",IF(AND(B753&lt;&gt;"",ISNA(MATCH(B753,pr_code,0))),"Article inconnu",IF(H753="","Désignation manquante",IF(OR(NOT(ISNUMBER(D753)),N(D753)&lt;=0),"Quantité invalide",IF(J753="","Prix manquant",IF(OR(NOT(ISNUMBER(J753)),N(J753)&lt;0),"Prix invalide",IF(OR(AND(F753&lt;&gt;"",NOT(ISNUMBER(F753))),N(F753)&lt;0,N(F753)&gt;1),"Remise invalide",IF(K753="","Taux de TVA manquant",IF(NOT(ISNUMBER(K753)),"Taux de TVA invalide",IF(COUNTIF(p_rates,K753)=0,"Taux de TVA hors liste (Paramètres)",IF(N(O753)&gt;25,"Au-delà de 25 lignes : non imprimée","OK")))))))))))))</f>
        <v/>
      </c>
      <c r="O753" s="59" t="str">
        <f>IF(A753="","",COUNTIF($A$6:A753,A753))</f>
        <v/>
      </c>
      <c r="P753" s="62" t="str">
        <f>IF(A753="","",A753&amp;"|"&amp;O753)</f>
        <v/>
      </c>
    </row>
    <row r="754">
      <c r="A754" s="60" t="n"/>
      <c r="B754" s="63" t="n"/>
      <c r="C754" s="63" t="n"/>
      <c r="D754" s="67" t="n"/>
      <c r="E754" s="68" t="n"/>
      <c r="F754" s="69" t="n"/>
      <c r="G754" s="70" t="n"/>
      <c r="H754" s="62" t="str">
        <f>IF(COUNTA(A754:G754)=0,"",IF(C754&lt;&gt;"",C754,IF(B754="","",IFERROR(INDEX(pr_des,MATCH(B754,pr_code,0))&amp;"",""))))</f>
        <v/>
      </c>
      <c r="I754" s="59" t="str">
        <f>IF(B754="","",IFERROR(INDEX(pr_unit,MATCH(B754,pr_code,0))&amp;"",""))</f>
        <v/>
      </c>
      <c r="J754" s="65" t="str">
        <f>IF(COUNTA(A754:G754)=0,"",IF(E754&lt;&gt;"",E754,IF(B754="","",IFERROR(IF(INDEX(pr_price,MATCH(B754,pr_code,0))="","",INDEX(pr_price,MATCH(B754,pr_code,0))),""))))</f>
        <v/>
      </c>
      <c r="K754" s="71" t="str">
        <f>IF(COUNTA(A754:G754)=0,"",IF(G754&lt;&gt;"",G754,IF(B754="","",IFERROR(IF(INDEX(pr_rate,MATCH(B754,pr_code,0))="","",INDEX(pr_rate,MATCH(B754,pr_code,0))),""))))</f>
        <v/>
      </c>
      <c r="L754" s="65" t="str">
        <f>IF(COUNTA(A754:G754)=0,"",IF(AND(ISNUMBER(D754),ISNUMBER(J754)),ROUND(D754*J754*(1-N(F754)),2),0))</f>
        <v/>
      </c>
      <c r="M754" s="62" t="str">
        <f>IF(A754="","",IFERROR(INDEX(fa_cname,MATCH(A754,fa_num,0))&amp;"",""))</f>
        <v/>
      </c>
      <c r="N754" s="59" t="str">
        <f>IF(COUNTA(A754:G754)=0,"",IF(A754="","N° facture manquant",IF(ISNA(MATCH(A754,fa_num,0)),"Facture inconnue",IF(AND(B754&lt;&gt;"",ISNA(MATCH(B754,pr_code,0))),"Article inconnu",IF(H754="","Désignation manquante",IF(OR(NOT(ISNUMBER(D754)),N(D754)&lt;=0),"Quantité invalide",IF(J754="","Prix manquant",IF(OR(NOT(ISNUMBER(J754)),N(J754)&lt;0),"Prix invalide",IF(OR(AND(F754&lt;&gt;"",NOT(ISNUMBER(F754))),N(F754)&lt;0,N(F754)&gt;1),"Remise invalide",IF(K754="","Taux de TVA manquant",IF(NOT(ISNUMBER(K754)),"Taux de TVA invalide",IF(COUNTIF(p_rates,K754)=0,"Taux de TVA hors liste (Paramètres)",IF(N(O754)&gt;25,"Au-delà de 25 lignes : non imprimée","OK")))))))))))))</f>
        <v/>
      </c>
      <c r="O754" s="59" t="str">
        <f>IF(A754="","",COUNTIF($A$6:A754,A754))</f>
        <v/>
      </c>
      <c r="P754" s="62" t="str">
        <f>IF(A754="","",A754&amp;"|"&amp;O754)</f>
        <v/>
      </c>
    </row>
    <row r="755">
      <c r="A755" s="60" t="n"/>
      <c r="B755" s="63" t="n"/>
      <c r="C755" s="63" t="n"/>
      <c r="D755" s="67" t="n"/>
      <c r="E755" s="68" t="n"/>
      <c r="F755" s="69" t="n"/>
      <c r="G755" s="70" t="n"/>
      <c r="H755" s="62" t="str">
        <f>IF(COUNTA(A755:G755)=0,"",IF(C755&lt;&gt;"",C755,IF(B755="","",IFERROR(INDEX(pr_des,MATCH(B755,pr_code,0))&amp;"",""))))</f>
        <v/>
      </c>
      <c r="I755" s="59" t="str">
        <f>IF(B755="","",IFERROR(INDEX(pr_unit,MATCH(B755,pr_code,0))&amp;"",""))</f>
        <v/>
      </c>
      <c r="J755" s="65" t="str">
        <f>IF(COUNTA(A755:G755)=0,"",IF(E755&lt;&gt;"",E755,IF(B755="","",IFERROR(IF(INDEX(pr_price,MATCH(B755,pr_code,0))="","",INDEX(pr_price,MATCH(B755,pr_code,0))),""))))</f>
        <v/>
      </c>
      <c r="K755" s="71" t="str">
        <f>IF(COUNTA(A755:G755)=0,"",IF(G755&lt;&gt;"",G755,IF(B755="","",IFERROR(IF(INDEX(pr_rate,MATCH(B755,pr_code,0))="","",INDEX(pr_rate,MATCH(B755,pr_code,0))),""))))</f>
        <v/>
      </c>
      <c r="L755" s="65" t="str">
        <f>IF(COUNTA(A755:G755)=0,"",IF(AND(ISNUMBER(D755),ISNUMBER(J755)),ROUND(D755*J755*(1-N(F755)),2),0))</f>
        <v/>
      </c>
      <c r="M755" s="62" t="str">
        <f>IF(A755="","",IFERROR(INDEX(fa_cname,MATCH(A755,fa_num,0))&amp;"",""))</f>
        <v/>
      </c>
      <c r="N755" s="59" t="str">
        <f>IF(COUNTA(A755:G755)=0,"",IF(A755="","N° facture manquant",IF(ISNA(MATCH(A755,fa_num,0)),"Facture inconnue",IF(AND(B755&lt;&gt;"",ISNA(MATCH(B755,pr_code,0))),"Article inconnu",IF(H755="","Désignation manquante",IF(OR(NOT(ISNUMBER(D755)),N(D755)&lt;=0),"Quantité invalide",IF(J755="","Prix manquant",IF(OR(NOT(ISNUMBER(J755)),N(J755)&lt;0),"Prix invalide",IF(OR(AND(F755&lt;&gt;"",NOT(ISNUMBER(F755))),N(F755)&lt;0,N(F755)&gt;1),"Remise invalide",IF(K755="","Taux de TVA manquant",IF(NOT(ISNUMBER(K755)),"Taux de TVA invalide",IF(COUNTIF(p_rates,K755)=0,"Taux de TVA hors liste (Paramètres)",IF(N(O755)&gt;25,"Au-delà de 25 lignes : non imprimée","OK")))))))))))))</f>
        <v/>
      </c>
      <c r="O755" s="59" t="str">
        <f>IF(A755="","",COUNTIF($A$6:A755,A755))</f>
        <v/>
      </c>
      <c r="P755" s="62" t="str">
        <f>IF(A755="","",A755&amp;"|"&amp;O755)</f>
        <v/>
      </c>
    </row>
    <row r="756">
      <c r="A756" s="60" t="n"/>
      <c r="B756" s="63" t="n"/>
      <c r="C756" s="63" t="n"/>
      <c r="D756" s="67" t="n"/>
      <c r="E756" s="68" t="n"/>
      <c r="F756" s="69" t="n"/>
      <c r="G756" s="70" t="n"/>
      <c r="H756" s="62" t="str">
        <f>IF(COUNTA(A756:G756)=0,"",IF(C756&lt;&gt;"",C756,IF(B756="","",IFERROR(INDEX(pr_des,MATCH(B756,pr_code,0))&amp;"",""))))</f>
        <v/>
      </c>
      <c r="I756" s="59" t="str">
        <f>IF(B756="","",IFERROR(INDEX(pr_unit,MATCH(B756,pr_code,0))&amp;"",""))</f>
        <v/>
      </c>
      <c r="J756" s="65" t="str">
        <f>IF(COUNTA(A756:G756)=0,"",IF(E756&lt;&gt;"",E756,IF(B756="","",IFERROR(IF(INDEX(pr_price,MATCH(B756,pr_code,0))="","",INDEX(pr_price,MATCH(B756,pr_code,0))),""))))</f>
        <v/>
      </c>
      <c r="K756" s="71" t="str">
        <f>IF(COUNTA(A756:G756)=0,"",IF(G756&lt;&gt;"",G756,IF(B756="","",IFERROR(IF(INDEX(pr_rate,MATCH(B756,pr_code,0))="","",INDEX(pr_rate,MATCH(B756,pr_code,0))),""))))</f>
        <v/>
      </c>
      <c r="L756" s="65" t="str">
        <f>IF(COUNTA(A756:G756)=0,"",IF(AND(ISNUMBER(D756),ISNUMBER(J756)),ROUND(D756*J756*(1-N(F756)),2),0))</f>
        <v/>
      </c>
      <c r="M756" s="62" t="str">
        <f>IF(A756="","",IFERROR(INDEX(fa_cname,MATCH(A756,fa_num,0))&amp;"",""))</f>
        <v/>
      </c>
      <c r="N756" s="59" t="str">
        <f>IF(COUNTA(A756:G756)=0,"",IF(A756="","N° facture manquant",IF(ISNA(MATCH(A756,fa_num,0)),"Facture inconnue",IF(AND(B756&lt;&gt;"",ISNA(MATCH(B756,pr_code,0))),"Article inconnu",IF(H756="","Désignation manquante",IF(OR(NOT(ISNUMBER(D756)),N(D756)&lt;=0),"Quantité invalide",IF(J756="","Prix manquant",IF(OR(NOT(ISNUMBER(J756)),N(J756)&lt;0),"Prix invalide",IF(OR(AND(F756&lt;&gt;"",NOT(ISNUMBER(F756))),N(F756)&lt;0,N(F756)&gt;1),"Remise invalide",IF(K756="","Taux de TVA manquant",IF(NOT(ISNUMBER(K756)),"Taux de TVA invalide",IF(COUNTIF(p_rates,K756)=0,"Taux de TVA hors liste (Paramètres)",IF(N(O756)&gt;25,"Au-delà de 25 lignes : non imprimée","OK")))))))))))))</f>
        <v/>
      </c>
      <c r="O756" s="59" t="str">
        <f>IF(A756="","",COUNTIF($A$6:A756,A756))</f>
        <v/>
      </c>
      <c r="P756" s="62" t="str">
        <f>IF(A756="","",A756&amp;"|"&amp;O756)</f>
        <v/>
      </c>
    </row>
    <row r="757">
      <c r="A757" s="60" t="n"/>
      <c r="B757" s="63" t="n"/>
      <c r="C757" s="63" t="n"/>
      <c r="D757" s="67" t="n"/>
      <c r="E757" s="68" t="n"/>
      <c r="F757" s="69" t="n"/>
      <c r="G757" s="70" t="n"/>
      <c r="H757" s="62" t="str">
        <f>IF(COUNTA(A757:G757)=0,"",IF(C757&lt;&gt;"",C757,IF(B757="","",IFERROR(INDEX(pr_des,MATCH(B757,pr_code,0))&amp;"",""))))</f>
        <v/>
      </c>
      <c r="I757" s="59" t="str">
        <f>IF(B757="","",IFERROR(INDEX(pr_unit,MATCH(B757,pr_code,0))&amp;"",""))</f>
        <v/>
      </c>
      <c r="J757" s="65" t="str">
        <f>IF(COUNTA(A757:G757)=0,"",IF(E757&lt;&gt;"",E757,IF(B757="","",IFERROR(IF(INDEX(pr_price,MATCH(B757,pr_code,0))="","",INDEX(pr_price,MATCH(B757,pr_code,0))),""))))</f>
        <v/>
      </c>
      <c r="K757" s="71" t="str">
        <f>IF(COUNTA(A757:G757)=0,"",IF(G757&lt;&gt;"",G757,IF(B757="","",IFERROR(IF(INDEX(pr_rate,MATCH(B757,pr_code,0))="","",INDEX(pr_rate,MATCH(B757,pr_code,0))),""))))</f>
        <v/>
      </c>
      <c r="L757" s="65" t="str">
        <f>IF(COUNTA(A757:G757)=0,"",IF(AND(ISNUMBER(D757),ISNUMBER(J757)),ROUND(D757*J757*(1-N(F757)),2),0))</f>
        <v/>
      </c>
      <c r="M757" s="62" t="str">
        <f>IF(A757="","",IFERROR(INDEX(fa_cname,MATCH(A757,fa_num,0))&amp;"",""))</f>
        <v/>
      </c>
      <c r="N757" s="59" t="str">
        <f>IF(COUNTA(A757:G757)=0,"",IF(A757="","N° facture manquant",IF(ISNA(MATCH(A757,fa_num,0)),"Facture inconnue",IF(AND(B757&lt;&gt;"",ISNA(MATCH(B757,pr_code,0))),"Article inconnu",IF(H757="","Désignation manquante",IF(OR(NOT(ISNUMBER(D757)),N(D757)&lt;=0),"Quantité invalide",IF(J757="","Prix manquant",IF(OR(NOT(ISNUMBER(J757)),N(J757)&lt;0),"Prix invalide",IF(OR(AND(F757&lt;&gt;"",NOT(ISNUMBER(F757))),N(F757)&lt;0,N(F757)&gt;1),"Remise invalide",IF(K757="","Taux de TVA manquant",IF(NOT(ISNUMBER(K757)),"Taux de TVA invalide",IF(COUNTIF(p_rates,K757)=0,"Taux de TVA hors liste (Paramètres)",IF(N(O757)&gt;25,"Au-delà de 25 lignes : non imprimée","OK")))))))))))))</f>
        <v/>
      </c>
      <c r="O757" s="59" t="str">
        <f>IF(A757="","",COUNTIF($A$6:A757,A757))</f>
        <v/>
      </c>
      <c r="P757" s="62" t="str">
        <f>IF(A757="","",A757&amp;"|"&amp;O757)</f>
        <v/>
      </c>
    </row>
    <row r="758">
      <c r="A758" s="60" t="n"/>
      <c r="B758" s="63" t="n"/>
      <c r="C758" s="63" t="n"/>
      <c r="D758" s="67" t="n"/>
      <c r="E758" s="68" t="n"/>
      <c r="F758" s="69" t="n"/>
      <c r="G758" s="70" t="n"/>
      <c r="H758" s="62" t="str">
        <f>IF(COUNTA(A758:G758)=0,"",IF(C758&lt;&gt;"",C758,IF(B758="","",IFERROR(INDEX(pr_des,MATCH(B758,pr_code,0))&amp;"",""))))</f>
        <v/>
      </c>
      <c r="I758" s="59" t="str">
        <f>IF(B758="","",IFERROR(INDEX(pr_unit,MATCH(B758,pr_code,0))&amp;"",""))</f>
        <v/>
      </c>
      <c r="J758" s="65" t="str">
        <f>IF(COUNTA(A758:G758)=0,"",IF(E758&lt;&gt;"",E758,IF(B758="","",IFERROR(IF(INDEX(pr_price,MATCH(B758,pr_code,0))="","",INDEX(pr_price,MATCH(B758,pr_code,0))),""))))</f>
        <v/>
      </c>
      <c r="K758" s="71" t="str">
        <f>IF(COUNTA(A758:G758)=0,"",IF(G758&lt;&gt;"",G758,IF(B758="","",IFERROR(IF(INDEX(pr_rate,MATCH(B758,pr_code,0))="","",INDEX(pr_rate,MATCH(B758,pr_code,0))),""))))</f>
        <v/>
      </c>
      <c r="L758" s="65" t="str">
        <f>IF(COUNTA(A758:G758)=0,"",IF(AND(ISNUMBER(D758),ISNUMBER(J758)),ROUND(D758*J758*(1-N(F758)),2),0))</f>
        <v/>
      </c>
      <c r="M758" s="62" t="str">
        <f>IF(A758="","",IFERROR(INDEX(fa_cname,MATCH(A758,fa_num,0))&amp;"",""))</f>
        <v/>
      </c>
      <c r="N758" s="59" t="str">
        <f>IF(COUNTA(A758:G758)=0,"",IF(A758="","N° facture manquant",IF(ISNA(MATCH(A758,fa_num,0)),"Facture inconnue",IF(AND(B758&lt;&gt;"",ISNA(MATCH(B758,pr_code,0))),"Article inconnu",IF(H758="","Désignation manquante",IF(OR(NOT(ISNUMBER(D758)),N(D758)&lt;=0),"Quantité invalide",IF(J758="","Prix manquant",IF(OR(NOT(ISNUMBER(J758)),N(J758)&lt;0),"Prix invalide",IF(OR(AND(F758&lt;&gt;"",NOT(ISNUMBER(F758))),N(F758)&lt;0,N(F758)&gt;1),"Remise invalide",IF(K758="","Taux de TVA manquant",IF(NOT(ISNUMBER(K758)),"Taux de TVA invalide",IF(COUNTIF(p_rates,K758)=0,"Taux de TVA hors liste (Paramètres)",IF(N(O758)&gt;25,"Au-delà de 25 lignes : non imprimée","OK")))))))))))))</f>
        <v/>
      </c>
      <c r="O758" s="59" t="str">
        <f>IF(A758="","",COUNTIF($A$6:A758,A758))</f>
        <v/>
      </c>
      <c r="P758" s="62" t="str">
        <f>IF(A758="","",A758&amp;"|"&amp;O758)</f>
        <v/>
      </c>
    </row>
    <row r="759">
      <c r="A759" s="60" t="n"/>
      <c r="B759" s="63" t="n"/>
      <c r="C759" s="63" t="n"/>
      <c r="D759" s="67" t="n"/>
      <c r="E759" s="68" t="n"/>
      <c r="F759" s="69" t="n"/>
      <c r="G759" s="70" t="n"/>
      <c r="H759" s="62" t="str">
        <f>IF(COUNTA(A759:G759)=0,"",IF(C759&lt;&gt;"",C759,IF(B759="","",IFERROR(INDEX(pr_des,MATCH(B759,pr_code,0))&amp;"",""))))</f>
        <v/>
      </c>
      <c r="I759" s="59" t="str">
        <f>IF(B759="","",IFERROR(INDEX(pr_unit,MATCH(B759,pr_code,0))&amp;"",""))</f>
        <v/>
      </c>
      <c r="J759" s="65" t="str">
        <f>IF(COUNTA(A759:G759)=0,"",IF(E759&lt;&gt;"",E759,IF(B759="","",IFERROR(IF(INDEX(pr_price,MATCH(B759,pr_code,0))="","",INDEX(pr_price,MATCH(B759,pr_code,0))),""))))</f>
        <v/>
      </c>
      <c r="K759" s="71" t="str">
        <f>IF(COUNTA(A759:G759)=0,"",IF(G759&lt;&gt;"",G759,IF(B759="","",IFERROR(IF(INDEX(pr_rate,MATCH(B759,pr_code,0))="","",INDEX(pr_rate,MATCH(B759,pr_code,0))),""))))</f>
        <v/>
      </c>
      <c r="L759" s="65" t="str">
        <f>IF(COUNTA(A759:G759)=0,"",IF(AND(ISNUMBER(D759),ISNUMBER(J759)),ROUND(D759*J759*(1-N(F759)),2),0))</f>
        <v/>
      </c>
      <c r="M759" s="62" t="str">
        <f>IF(A759="","",IFERROR(INDEX(fa_cname,MATCH(A759,fa_num,0))&amp;"",""))</f>
        <v/>
      </c>
      <c r="N759" s="59" t="str">
        <f>IF(COUNTA(A759:G759)=0,"",IF(A759="","N° facture manquant",IF(ISNA(MATCH(A759,fa_num,0)),"Facture inconnue",IF(AND(B759&lt;&gt;"",ISNA(MATCH(B759,pr_code,0))),"Article inconnu",IF(H759="","Désignation manquante",IF(OR(NOT(ISNUMBER(D759)),N(D759)&lt;=0),"Quantité invalide",IF(J759="","Prix manquant",IF(OR(NOT(ISNUMBER(J759)),N(J759)&lt;0),"Prix invalide",IF(OR(AND(F759&lt;&gt;"",NOT(ISNUMBER(F759))),N(F759)&lt;0,N(F759)&gt;1),"Remise invalide",IF(K759="","Taux de TVA manquant",IF(NOT(ISNUMBER(K759)),"Taux de TVA invalide",IF(COUNTIF(p_rates,K759)=0,"Taux de TVA hors liste (Paramètres)",IF(N(O759)&gt;25,"Au-delà de 25 lignes : non imprimée","OK")))))))))))))</f>
        <v/>
      </c>
      <c r="O759" s="59" t="str">
        <f>IF(A759="","",COUNTIF($A$6:A759,A759))</f>
        <v/>
      </c>
      <c r="P759" s="62" t="str">
        <f>IF(A759="","",A759&amp;"|"&amp;O759)</f>
        <v/>
      </c>
    </row>
    <row r="760">
      <c r="A760" s="60" t="n"/>
      <c r="B760" s="63" t="n"/>
      <c r="C760" s="63" t="n"/>
      <c r="D760" s="67" t="n"/>
      <c r="E760" s="68" t="n"/>
      <c r="F760" s="69" t="n"/>
      <c r="G760" s="70" t="n"/>
      <c r="H760" s="62" t="str">
        <f>IF(COUNTA(A760:G760)=0,"",IF(C760&lt;&gt;"",C760,IF(B760="","",IFERROR(INDEX(pr_des,MATCH(B760,pr_code,0))&amp;"",""))))</f>
        <v/>
      </c>
      <c r="I760" s="59" t="str">
        <f>IF(B760="","",IFERROR(INDEX(pr_unit,MATCH(B760,pr_code,0))&amp;"",""))</f>
        <v/>
      </c>
      <c r="J760" s="65" t="str">
        <f>IF(COUNTA(A760:G760)=0,"",IF(E760&lt;&gt;"",E760,IF(B760="","",IFERROR(IF(INDEX(pr_price,MATCH(B760,pr_code,0))="","",INDEX(pr_price,MATCH(B760,pr_code,0))),""))))</f>
        <v/>
      </c>
      <c r="K760" s="71" t="str">
        <f>IF(COUNTA(A760:G760)=0,"",IF(G760&lt;&gt;"",G760,IF(B760="","",IFERROR(IF(INDEX(pr_rate,MATCH(B760,pr_code,0))="","",INDEX(pr_rate,MATCH(B760,pr_code,0))),""))))</f>
        <v/>
      </c>
      <c r="L760" s="65" t="str">
        <f>IF(COUNTA(A760:G760)=0,"",IF(AND(ISNUMBER(D760),ISNUMBER(J760)),ROUND(D760*J760*(1-N(F760)),2),0))</f>
        <v/>
      </c>
      <c r="M760" s="62" t="str">
        <f>IF(A760="","",IFERROR(INDEX(fa_cname,MATCH(A760,fa_num,0))&amp;"",""))</f>
        <v/>
      </c>
      <c r="N760" s="59" t="str">
        <f>IF(COUNTA(A760:G760)=0,"",IF(A760="","N° facture manquant",IF(ISNA(MATCH(A760,fa_num,0)),"Facture inconnue",IF(AND(B760&lt;&gt;"",ISNA(MATCH(B760,pr_code,0))),"Article inconnu",IF(H760="","Désignation manquante",IF(OR(NOT(ISNUMBER(D760)),N(D760)&lt;=0),"Quantité invalide",IF(J760="","Prix manquant",IF(OR(NOT(ISNUMBER(J760)),N(J760)&lt;0),"Prix invalide",IF(OR(AND(F760&lt;&gt;"",NOT(ISNUMBER(F760))),N(F760)&lt;0,N(F760)&gt;1),"Remise invalide",IF(K760="","Taux de TVA manquant",IF(NOT(ISNUMBER(K760)),"Taux de TVA invalide",IF(COUNTIF(p_rates,K760)=0,"Taux de TVA hors liste (Paramètres)",IF(N(O760)&gt;25,"Au-delà de 25 lignes : non imprimée","OK")))))))))))))</f>
        <v/>
      </c>
      <c r="O760" s="59" t="str">
        <f>IF(A760="","",COUNTIF($A$6:A760,A760))</f>
        <v/>
      </c>
      <c r="P760" s="62" t="str">
        <f>IF(A760="","",A760&amp;"|"&amp;O760)</f>
        <v/>
      </c>
    </row>
    <row r="761">
      <c r="A761" s="60" t="n"/>
      <c r="B761" s="63" t="n"/>
      <c r="C761" s="63" t="n"/>
      <c r="D761" s="67" t="n"/>
      <c r="E761" s="68" t="n"/>
      <c r="F761" s="69" t="n"/>
      <c r="G761" s="70" t="n"/>
      <c r="H761" s="62" t="str">
        <f>IF(COUNTA(A761:G761)=0,"",IF(C761&lt;&gt;"",C761,IF(B761="","",IFERROR(INDEX(pr_des,MATCH(B761,pr_code,0))&amp;"",""))))</f>
        <v/>
      </c>
      <c r="I761" s="59" t="str">
        <f>IF(B761="","",IFERROR(INDEX(pr_unit,MATCH(B761,pr_code,0))&amp;"",""))</f>
        <v/>
      </c>
      <c r="J761" s="65" t="str">
        <f>IF(COUNTA(A761:G761)=0,"",IF(E761&lt;&gt;"",E761,IF(B761="","",IFERROR(IF(INDEX(pr_price,MATCH(B761,pr_code,0))="","",INDEX(pr_price,MATCH(B761,pr_code,0))),""))))</f>
        <v/>
      </c>
      <c r="K761" s="71" t="str">
        <f>IF(COUNTA(A761:G761)=0,"",IF(G761&lt;&gt;"",G761,IF(B761="","",IFERROR(IF(INDEX(pr_rate,MATCH(B761,pr_code,0))="","",INDEX(pr_rate,MATCH(B761,pr_code,0))),""))))</f>
        <v/>
      </c>
      <c r="L761" s="65" t="str">
        <f>IF(COUNTA(A761:G761)=0,"",IF(AND(ISNUMBER(D761),ISNUMBER(J761)),ROUND(D761*J761*(1-N(F761)),2),0))</f>
        <v/>
      </c>
      <c r="M761" s="62" t="str">
        <f>IF(A761="","",IFERROR(INDEX(fa_cname,MATCH(A761,fa_num,0))&amp;"",""))</f>
        <v/>
      </c>
      <c r="N761" s="59" t="str">
        <f>IF(COUNTA(A761:G761)=0,"",IF(A761="","N° facture manquant",IF(ISNA(MATCH(A761,fa_num,0)),"Facture inconnue",IF(AND(B761&lt;&gt;"",ISNA(MATCH(B761,pr_code,0))),"Article inconnu",IF(H761="","Désignation manquante",IF(OR(NOT(ISNUMBER(D761)),N(D761)&lt;=0),"Quantité invalide",IF(J761="","Prix manquant",IF(OR(NOT(ISNUMBER(J761)),N(J761)&lt;0),"Prix invalide",IF(OR(AND(F761&lt;&gt;"",NOT(ISNUMBER(F761))),N(F761)&lt;0,N(F761)&gt;1),"Remise invalide",IF(K761="","Taux de TVA manquant",IF(NOT(ISNUMBER(K761)),"Taux de TVA invalide",IF(COUNTIF(p_rates,K761)=0,"Taux de TVA hors liste (Paramètres)",IF(N(O761)&gt;25,"Au-delà de 25 lignes : non imprimée","OK")))))))))))))</f>
        <v/>
      </c>
      <c r="O761" s="59" t="str">
        <f>IF(A761="","",COUNTIF($A$6:A761,A761))</f>
        <v/>
      </c>
      <c r="P761" s="62" t="str">
        <f>IF(A761="","",A761&amp;"|"&amp;O761)</f>
        <v/>
      </c>
    </row>
    <row r="762">
      <c r="A762" s="60" t="n"/>
      <c r="B762" s="63" t="n"/>
      <c r="C762" s="63" t="n"/>
      <c r="D762" s="67" t="n"/>
      <c r="E762" s="68" t="n"/>
      <c r="F762" s="69" t="n"/>
      <c r="G762" s="70" t="n"/>
      <c r="H762" s="62" t="str">
        <f>IF(COUNTA(A762:G762)=0,"",IF(C762&lt;&gt;"",C762,IF(B762="","",IFERROR(INDEX(pr_des,MATCH(B762,pr_code,0))&amp;"",""))))</f>
        <v/>
      </c>
      <c r="I762" s="59" t="str">
        <f>IF(B762="","",IFERROR(INDEX(pr_unit,MATCH(B762,pr_code,0))&amp;"",""))</f>
        <v/>
      </c>
      <c r="J762" s="65" t="str">
        <f>IF(COUNTA(A762:G762)=0,"",IF(E762&lt;&gt;"",E762,IF(B762="","",IFERROR(IF(INDEX(pr_price,MATCH(B762,pr_code,0))="","",INDEX(pr_price,MATCH(B762,pr_code,0))),""))))</f>
        <v/>
      </c>
      <c r="K762" s="71" t="str">
        <f>IF(COUNTA(A762:G762)=0,"",IF(G762&lt;&gt;"",G762,IF(B762="","",IFERROR(IF(INDEX(pr_rate,MATCH(B762,pr_code,0))="","",INDEX(pr_rate,MATCH(B762,pr_code,0))),""))))</f>
        <v/>
      </c>
      <c r="L762" s="65" t="str">
        <f>IF(COUNTA(A762:G762)=0,"",IF(AND(ISNUMBER(D762),ISNUMBER(J762)),ROUND(D762*J762*(1-N(F762)),2),0))</f>
        <v/>
      </c>
      <c r="M762" s="62" t="str">
        <f>IF(A762="","",IFERROR(INDEX(fa_cname,MATCH(A762,fa_num,0))&amp;"",""))</f>
        <v/>
      </c>
      <c r="N762" s="59" t="str">
        <f>IF(COUNTA(A762:G762)=0,"",IF(A762="","N° facture manquant",IF(ISNA(MATCH(A762,fa_num,0)),"Facture inconnue",IF(AND(B762&lt;&gt;"",ISNA(MATCH(B762,pr_code,0))),"Article inconnu",IF(H762="","Désignation manquante",IF(OR(NOT(ISNUMBER(D762)),N(D762)&lt;=0),"Quantité invalide",IF(J762="","Prix manquant",IF(OR(NOT(ISNUMBER(J762)),N(J762)&lt;0),"Prix invalide",IF(OR(AND(F762&lt;&gt;"",NOT(ISNUMBER(F762))),N(F762)&lt;0,N(F762)&gt;1),"Remise invalide",IF(K762="","Taux de TVA manquant",IF(NOT(ISNUMBER(K762)),"Taux de TVA invalide",IF(COUNTIF(p_rates,K762)=0,"Taux de TVA hors liste (Paramètres)",IF(N(O762)&gt;25,"Au-delà de 25 lignes : non imprimée","OK")))))))))))))</f>
        <v/>
      </c>
      <c r="O762" s="59" t="str">
        <f>IF(A762="","",COUNTIF($A$6:A762,A762))</f>
        <v/>
      </c>
      <c r="P762" s="62" t="str">
        <f>IF(A762="","",A762&amp;"|"&amp;O762)</f>
        <v/>
      </c>
    </row>
    <row r="763">
      <c r="A763" s="60" t="n"/>
      <c r="B763" s="63" t="n"/>
      <c r="C763" s="63" t="n"/>
      <c r="D763" s="67" t="n"/>
      <c r="E763" s="68" t="n"/>
      <c r="F763" s="69" t="n"/>
      <c r="G763" s="70" t="n"/>
      <c r="H763" s="62" t="str">
        <f>IF(COUNTA(A763:G763)=0,"",IF(C763&lt;&gt;"",C763,IF(B763="","",IFERROR(INDEX(pr_des,MATCH(B763,pr_code,0))&amp;"",""))))</f>
        <v/>
      </c>
      <c r="I763" s="59" t="str">
        <f>IF(B763="","",IFERROR(INDEX(pr_unit,MATCH(B763,pr_code,0))&amp;"",""))</f>
        <v/>
      </c>
      <c r="J763" s="65" t="str">
        <f>IF(COUNTA(A763:G763)=0,"",IF(E763&lt;&gt;"",E763,IF(B763="","",IFERROR(IF(INDEX(pr_price,MATCH(B763,pr_code,0))="","",INDEX(pr_price,MATCH(B763,pr_code,0))),""))))</f>
        <v/>
      </c>
      <c r="K763" s="71" t="str">
        <f>IF(COUNTA(A763:G763)=0,"",IF(G763&lt;&gt;"",G763,IF(B763="","",IFERROR(IF(INDEX(pr_rate,MATCH(B763,pr_code,0))="","",INDEX(pr_rate,MATCH(B763,pr_code,0))),""))))</f>
        <v/>
      </c>
      <c r="L763" s="65" t="str">
        <f>IF(COUNTA(A763:G763)=0,"",IF(AND(ISNUMBER(D763),ISNUMBER(J763)),ROUND(D763*J763*(1-N(F763)),2),0))</f>
        <v/>
      </c>
      <c r="M763" s="62" t="str">
        <f>IF(A763="","",IFERROR(INDEX(fa_cname,MATCH(A763,fa_num,0))&amp;"",""))</f>
        <v/>
      </c>
      <c r="N763" s="59" t="str">
        <f>IF(COUNTA(A763:G763)=0,"",IF(A763="","N° facture manquant",IF(ISNA(MATCH(A763,fa_num,0)),"Facture inconnue",IF(AND(B763&lt;&gt;"",ISNA(MATCH(B763,pr_code,0))),"Article inconnu",IF(H763="","Désignation manquante",IF(OR(NOT(ISNUMBER(D763)),N(D763)&lt;=0),"Quantité invalide",IF(J763="","Prix manquant",IF(OR(NOT(ISNUMBER(J763)),N(J763)&lt;0),"Prix invalide",IF(OR(AND(F763&lt;&gt;"",NOT(ISNUMBER(F763))),N(F763)&lt;0,N(F763)&gt;1),"Remise invalide",IF(K763="","Taux de TVA manquant",IF(NOT(ISNUMBER(K763)),"Taux de TVA invalide",IF(COUNTIF(p_rates,K763)=0,"Taux de TVA hors liste (Paramètres)",IF(N(O763)&gt;25,"Au-delà de 25 lignes : non imprimée","OK")))))))))))))</f>
        <v/>
      </c>
      <c r="O763" s="59" t="str">
        <f>IF(A763="","",COUNTIF($A$6:A763,A763))</f>
        <v/>
      </c>
      <c r="P763" s="62" t="str">
        <f>IF(A763="","",A763&amp;"|"&amp;O763)</f>
        <v/>
      </c>
    </row>
    <row r="764">
      <c r="A764" s="60" t="n"/>
      <c r="B764" s="63" t="n"/>
      <c r="C764" s="63" t="n"/>
      <c r="D764" s="67" t="n"/>
      <c r="E764" s="68" t="n"/>
      <c r="F764" s="69" t="n"/>
      <c r="G764" s="70" t="n"/>
      <c r="H764" s="62" t="str">
        <f>IF(COUNTA(A764:G764)=0,"",IF(C764&lt;&gt;"",C764,IF(B764="","",IFERROR(INDEX(pr_des,MATCH(B764,pr_code,0))&amp;"",""))))</f>
        <v/>
      </c>
      <c r="I764" s="59" t="str">
        <f>IF(B764="","",IFERROR(INDEX(pr_unit,MATCH(B764,pr_code,0))&amp;"",""))</f>
        <v/>
      </c>
      <c r="J764" s="65" t="str">
        <f>IF(COUNTA(A764:G764)=0,"",IF(E764&lt;&gt;"",E764,IF(B764="","",IFERROR(IF(INDEX(pr_price,MATCH(B764,pr_code,0))="","",INDEX(pr_price,MATCH(B764,pr_code,0))),""))))</f>
        <v/>
      </c>
      <c r="K764" s="71" t="str">
        <f>IF(COUNTA(A764:G764)=0,"",IF(G764&lt;&gt;"",G764,IF(B764="","",IFERROR(IF(INDEX(pr_rate,MATCH(B764,pr_code,0))="","",INDEX(pr_rate,MATCH(B764,pr_code,0))),""))))</f>
        <v/>
      </c>
      <c r="L764" s="65" t="str">
        <f>IF(COUNTA(A764:G764)=0,"",IF(AND(ISNUMBER(D764),ISNUMBER(J764)),ROUND(D764*J764*(1-N(F764)),2),0))</f>
        <v/>
      </c>
      <c r="M764" s="62" t="str">
        <f>IF(A764="","",IFERROR(INDEX(fa_cname,MATCH(A764,fa_num,0))&amp;"",""))</f>
        <v/>
      </c>
      <c r="N764" s="59" t="str">
        <f>IF(COUNTA(A764:G764)=0,"",IF(A764="","N° facture manquant",IF(ISNA(MATCH(A764,fa_num,0)),"Facture inconnue",IF(AND(B764&lt;&gt;"",ISNA(MATCH(B764,pr_code,0))),"Article inconnu",IF(H764="","Désignation manquante",IF(OR(NOT(ISNUMBER(D764)),N(D764)&lt;=0),"Quantité invalide",IF(J764="","Prix manquant",IF(OR(NOT(ISNUMBER(J764)),N(J764)&lt;0),"Prix invalide",IF(OR(AND(F764&lt;&gt;"",NOT(ISNUMBER(F764))),N(F764)&lt;0,N(F764)&gt;1),"Remise invalide",IF(K764="","Taux de TVA manquant",IF(NOT(ISNUMBER(K764)),"Taux de TVA invalide",IF(COUNTIF(p_rates,K764)=0,"Taux de TVA hors liste (Paramètres)",IF(N(O764)&gt;25,"Au-delà de 25 lignes : non imprimée","OK")))))))))))))</f>
        <v/>
      </c>
      <c r="O764" s="59" t="str">
        <f>IF(A764="","",COUNTIF($A$6:A764,A764))</f>
        <v/>
      </c>
      <c r="P764" s="62" t="str">
        <f>IF(A764="","",A764&amp;"|"&amp;O764)</f>
        <v/>
      </c>
    </row>
    <row r="765">
      <c r="A765" s="60" t="n"/>
      <c r="B765" s="63" t="n"/>
      <c r="C765" s="63" t="n"/>
      <c r="D765" s="67" t="n"/>
      <c r="E765" s="68" t="n"/>
      <c r="F765" s="69" t="n"/>
      <c r="G765" s="70" t="n"/>
      <c r="H765" s="62" t="str">
        <f>IF(COUNTA(A765:G765)=0,"",IF(C765&lt;&gt;"",C765,IF(B765="","",IFERROR(INDEX(pr_des,MATCH(B765,pr_code,0))&amp;"",""))))</f>
        <v/>
      </c>
      <c r="I765" s="59" t="str">
        <f>IF(B765="","",IFERROR(INDEX(pr_unit,MATCH(B765,pr_code,0))&amp;"",""))</f>
        <v/>
      </c>
      <c r="J765" s="65" t="str">
        <f>IF(COUNTA(A765:G765)=0,"",IF(E765&lt;&gt;"",E765,IF(B765="","",IFERROR(IF(INDEX(pr_price,MATCH(B765,pr_code,0))="","",INDEX(pr_price,MATCH(B765,pr_code,0))),""))))</f>
        <v/>
      </c>
      <c r="K765" s="71" t="str">
        <f>IF(COUNTA(A765:G765)=0,"",IF(G765&lt;&gt;"",G765,IF(B765="","",IFERROR(IF(INDEX(pr_rate,MATCH(B765,pr_code,0))="","",INDEX(pr_rate,MATCH(B765,pr_code,0))),""))))</f>
        <v/>
      </c>
      <c r="L765" s="65" t="str">
        <f>IF(COUNTA(A765:G765)=0,"",IF(AND(ISNUMBER(D765),ISNUMBER(J765)),ROUND(D765*J765*(1-N(F765)),2),0))</f>
        <v/>
      </c>
      <c r="M765" s="62" t="str">
        <f>IF(A765="","",IFERROR(INDEX(fa_cname,MATCH(A765,fa_num,0))&amp;"",""))</f>
        <v/>
      </c>
      <c r="N765" s="59" t="str">
        <f>IF(COUNTA(A765:G765)=0,"",IF(A765="","N° facture manquant",IF(ISNA(MATCH(A765,fa_num,0)),"Facture inconnue",IF(AND(B765&lt;&gt;"",ISNA(MATCH(B765,pr_code,0))),"Article inconnu",IF(H765="","Désignation manquante",IF(OR(NOT(ISNUMBER(D765)),N(D765)&lt;=0),"Quantité invalide",IF(J765="","Prix manquant",IF(OR(NOT(ISNUMBER(J765)),N(J765)&lt;0),"Prix invalide",IF(OR(AND(F765&lt;&gt;"",NOT(ISNUMBER(F765))),N(F765)&lt;0,N(F765)&gt;1),"Remise invalide",IF(K765="","Taux de TVA manquant",IF(NOT(ISNUMBER(K765)),"Taux de TVA invalide",IF(COUNTIF(p_rates,K765)=0,"Taux de TVA hors liste (Paramètres)",IF(N(O765)&gt;25,"Au-delà de 25 lignes : non imprimée","OK")))))))))))))</f>
        <v/>
      </c>
      <c r="O765" s="59" t="str">
        <f>IF(A765="","",COUNTIF($A$6:A765,A765))</f>
        <v/>
      </c>
      <c r="P765" s="62" t="str">
        <f>IF(A765="","",A765&amp;"|"&amp;O765)</f>
        <v/>
      </c>
    </row>
    <row r="766">
      <c r="A766" s="60" t="n"/>
      <c r="B766" s="63" t="n"/>
      <c r="C766" s="63" t="n"/>
      <c r="D766" s="67" t="n"/>
      <c r="E766" s="68" t="n"/>
      <c r="F766" s="69" t="n"/>
      <c r="G766" s="70" t="n"/>
      <c r="H766" s="62" t="str">
        <f>IF(COUNTA(A766:G766)=0,"",IF(C766&lt;&gt;"",C766,IF(B766="","",IFERROR(INDEX(pr_des,MATCH(B766,pr_code,0))&amp;"",""))))</f>
        <v/>
      </c>
      <c r="I766" s="59" t="str">
        <f>IF(B766="","",IFERROR(INDEX(pr_unit,MATCH(B766,pr_code,0))&amp;"",""))</f>
        <v/>
      </c>
      <c r="J766" s="65" t="str">
        <f>IF(COUNTA(A766:G766)=0,"",IF(E766&lt;&gt;"",E766,IF(B766="","",IFERROR(IF(INDEX(pr_price,MATCH(B766,pr_code,0))="","",INDEX(pr_price,MATCH(B766,pr_code,0))),""))))</f>
        <v/>
      </c>
      <c r="K766" s="71" t="str">
        <f>IF(COUNTA(A766:G766)=0,"",IF(G766&lt;&gt;"",G766,IF(B766="","",IFERROR(IF(INDEX(pr_rate,MATCH(B766,pr_code,0))="","",INDEX(pr_rate,MATCH(B766,pr_code,0))),""))))</f>
        <v/>
      </c>
      <c r="L766" s="65" t="str">
        <f>IF(COUNTA(A766:G766)=0,"",IF(AND(ISNUMBER(D766),ISNUMBER(J766)),ROUND(D766*J766*(1-N(F766)),2),0))</f>
        <v/>
      </c>
      <c r="M766" s="62" t="str">
        <f>IF(A766="","",IFERROR(INDEX(fa_cname,MATCH(A766,fa_num,0))&amp;"",""))</f>
        <v/>
      </c>
      <c r="N766" s="59" t="str">
        <f>IF(COUNTA(A766:G766)=0,"",IF(A766="","N° facture manquant",IF(ISNA(MATCH(A766,fa_num,0)),"Facture inconnue",IF(AND(B766&lt;&gt;"",ISNA(MATCH(B766,pr_code,0))),"Article inconnu",IF(H766="","Désignation manquante",IF(OR(NOT(ISNUMBER(D766)),N(D766)&lt;=0),"Quantité invalide",IF(J766="","Prix manquant",IF(OR(NOT(ISNUMBER(J766)),N(J766)&lt;0),"Prix invalide",IF(OR(AND(F766&lt;&gt;"",NOT(ISNUMBER(F766))),N(F766)&lt;0,N(F766)&gt;1),"Remise invalide",IF(K766="","Taux de TVA manquant",IF(NOT(ISNUMBER(K766)),"Taux de TVA invalide",IF(COUNTIF(p_rates,K766)=0,"Taux de TVA hors liste (Paramètres)",IF(N(O766)&gt;25,"Au-delà de 25 lignes : non imprimée","OK")))))))))))))</f>
        <v/>
      </c>
      <c r="O766" s="59" t="str">
        <f>IF(A766="","",COUNTIF($A$6:A766,A766))</f>
        <v/>
      </c>
      <c r="P766" s="62" t="str">
        <f>IF(A766="","",A766&amp;"|"&amp;O766)</f>
        <v/>
      </c>
    </row>
    <row r="767">
      <c r="A767" s="60" t="n"/>
      <c r="B767" s="63" t="n"/>
      <c r="C767" s="63" t="n"/>
      <c r="D767" s="67" t="n"/>
      <c r="E767" s="68" t="n"/>
      <c r="F767" s="69" t="n"/>
      <c r="G767" s="70" t="n"/>
      <c r="H767" s="62" t="str">
        <f>IF(COUNTA(A767:G767)=0,"",IF(C767&lt;&gt;"",C767,IF(B767="","",IFERROR(INDEX(pr_des,MATCH(B767,pr_code,0))&amp;"",""))))</f>
        <v/>
      </c>
      <c r="I767" s="59" t="str">
        <f>IF(B767="","",IFERROR(INDEX(pr_unit,MATCH(B767,pr_code,0))&amp;"",""))</f>
        <v/>
      </c>
      <c r="J767" s="65" t="str">
        <f>IF(COUNTA(A767:G767)=0,"",IF(E767&lt;&gt;"",E767,IF(B767="","",IFERROR(IF(INDEX(pr_price,MATCH(B767,pr_code,0))="","",INDEX(pr_price,MATCH(B767,pr_code,0))),""))))</f>
        <v/>
      </c>
      <c r="K767" s="71" t="str">
        <f>IF(COUNTA(A767:G767)=0,"",IF(G767&lt;&gt;"",G767,IF(B767="","",IFERROR(IF(INDEX(pr_rate,MATCH(B767,pr_code,0))="","",INDEX(pr_rate,MATCH(B767,pr_code,0))),""))))</f>
        <v/>
      </c>
      <c r="L767" s="65" t="str">
        <f>IF(COUNTA(A767:G767)=0,"",IF(AND(ISNUMBER(D767),ISNUMBER(J767)),ROUND(D767*J767*(1-N(F767)),2),0))</f>
        <v/>
      </c>
      <c r="M767" s="62" t="str">
        <f>IF(A767="","",IFERROR(INDEX(fa_cname,MATCH(A767,fa_num,0))&amp;"",""))</f>
        <v/>
      </c>
      <c r="N767" s="59" t="str">
        <f>IF(COUNTA(A767:G767)=0,"",IF(A767="","N° facture manquant",IF(ISNA(MATCH(A767,fa_num,0)),"Facture inconnue",IF(AND(B767&lt;&gt;"",ISNA(MATCH(B767,pr_code,0))),"Article inconnu",IF(H767="","Désignation manquante",IF(OR(NOT(ISNUMBER(D767)),N(D767)&lt;=0),"Quantité invalide",IF(J767="","Prix manquant",IF(OR(NOT(ISNUMBER(J767)),N(J767)&lt;0),"Prix invalide",IF(OR(AND(F767&lt;&gt;"",NOT(ISNUMBER(F767))),N(F767)&lt;0,N(F767)&gt;1),"Remise invalide",IF(K767="","Taux de TVA manquant",IF(NOT(ISNUMBER(K767)),"Taux de TVA invalide",IF(COUNTIF(p_rates,K767)=0,"Taux de TVA hors liste (Paramètres)",IF(N(O767)&gt;25,"Au-delà de 25 lignes : non imprimée","OK")))))))))))))</f>
        <v/>
      </c>
      <c r="O767" s="59" t="str">
        <f>IF(A767="","",COUNTIF($A$6:A767,A767))</f>
        <v/>
      </c>
      <c r="P767" s="62" t="str">
        <f>IF(A767="","",A767&amp;"|"&amp;O767)</f>
        <v/>
      </c>
    </row>
    <row r="768">
      <c r="A768" s="60" t="n"/>
      <c r="B768" s="63" t="n"/>
      <c r="C768" s="63" t="n"/>
      <c r="D768" s="67" t="n"/>
      <c r="E768" s="68" t="n"/>
      <c r="F768" s="69" t="n"/>
      <c r="G768" s="70" t="n"/>
      <c r="H768" s="62" t="str">
        <f>IF(COUNTA(A768:G768)=0,"",IF(C768&lt;&gt;"",C768,IF(B768="","",IFERROR(INDEX(pr_des,MATCH(B768,pr_code,0))&amp;"",""))))</f>
        <v/>
      </c>
      <c r="I768" s="59" t="str">
        <f>IF(B768="","",IFERROR(INDEX(pr_unit,MATCH(B768,pr_code,0))&amp;"",""))</f>
        <v/>
      </c>
      <c r="J768" s="65" t="str">
        <f>IF(COUNTA(A768:G768)=0,"",IF(E768&lt;&gt;"",E768,IF(B768="","",IFERROR(IF(INDEX(pr_price,MATCH(B768,pr_code,0))="","",INDEX(pr_price,MATCH(B768,pr_code,0))),""))))</f>
        <v/>
      </c>
      <c r="K768" s="71" t="str">
        <f>IF(COUNTA(A768:G768)=0,"",IF(G768&lt;&gt;"",G768,IF(B768="","",IFERROR(IF(INDEX(pr_rate,MATCH(B768,pr_code,0))="","",INDEX(pr_rate,MATCH(B768,pr_code,0))),""))))</f>
        <v/>
      </c>
      <c r="L768" s="65" t="str">
        <f>IF(COUNTA(A768:G768)=0,"",IF(AND(ISNUMBER(D768),ISNUMBER(J768)),ROUND(D768*J768*(1-N(F768)),2),0))</f>
        <v/>
      </c>
      <c r="M768" s="62" t="str">
        <f>IF(A768="","",IFERROR(INDEX(fa_cname,MATCH(A768,fa_num,0))&amp;"",""))</f>
        <v/>
      </c>
      <c r="N768" s="59" t="str">
        <f>IF(COUNTA(A768:G768)=0,"",IF(A768="","N° facture manquant",IF(ISNA(MATCH(A768,fa_num,0)),"Facture inconnue",IF(AND(B768&lt;&gt;"",ISNA(MATCH(B768,pr_code,0))),"Article inconnu",IF(H768="","Désignation manquante",IF(OR(NOT(ISNUMBER(D768)),N(D768)&lt;=0),"Quantité invalide",IF(J768="","Prix manquant",IF(OR(NOT(ISNUMBER(J768)),N(J768)&lt;0),"Prix invalide",IF(OR(AND(F768&lt;&gt;"",NOT(ISNUMBER(F768))),N(F768)&lt;0,N(F768)&gt;1),"Remise invalide",IF(K768="","Taux de TVA manquant",IF(NOT(ISNUMBER(K768)),"Taux de TVA invalide",IF(COUNTIF(p_rates,K768)=0,"Taux de TVA hors liste (Paramètres)",IF(N(O768)&gt;25,"Au-delà de 25 lignes : non imprimée","OK")))))))))))))</f>
        <v/>
      </c>
      <c r="O768" s="59" t="str">
        <f>IF(A768="","",COUNTIF($A$6:A768,A768))</f>
        <v/>
      </c>
      <c r="P768" s="62" t="str">
        <f>IF(A768="","",A768&amp;"|"&amp;O768)</f>
        <v/>
      </c>
    </row>
    <row r="769">
      <c r="A769" s="60" t="n"/>
      <c r="B769" s="63" t="n"/>
      <c r="C769" s="63" t="n"/>
      <c r="D769" s="67" t="n"/>
      <c r="E769" s="68" t="n"/>
      <c r="F769" s="69" t="n"/>
      <c r="G769" s="70" t="n"/>
      <c r="H769" s="62" t="str">
        <f>IF(COUNTA(A769:G769)=0,"",IF(C769&lt;&gt;"",C769,IF(B769="","",IFERROR(INDEX(pr_des,MATCH(B769,pr_code,0))&amp;"",""))))</f>
        <v/>
      </c>
      <c r="I769" s="59" t="str">
        <f>IF(B769="","",IFERROR(INDEX(pr_unit,MATCH(B769,pr_code,0))&amp;"",""))</f>
        <v/>
      </c>
      <c r="J769" s="65" t="str">
        <f>IF(COUNTA(A769:G769)=0,"",IF(E769&lt;&gt;"",E769,IF(B769="","",IFERROR(IF(INDEX(pr_price,MATCH(B769,pr_code,0))="","",INDEX(pr_price,MATCH(B769,pr_code,0))),""))))</f>
        <v/>
      </c>
      <c r="K769" s="71" t="str">
        <f>IF(COUNTA(A769:G769)=0,"",IF(G769&lt;&gt;"",G769,IF(B769="","",IFERROR(IF(INDEX(pr_rate,MATCH(B769,pr_code,0))="","",INDEX(pr_rate,MATCH(B769,pr_code,0))),""))))</f>
        <v/>
      </c>
      <c r="L769" s="65" t="str">
        <f>IF(COUNTA(A769:G769)=0,"",IF(AND(ISNUMBER(D769),ISNUMBER(J769)),ROUND(D769*J769*(1-N(F769)),2),0))</f>
        <v/>
      </c>
      <c r="M769" s="62" t="str">
        <f>IF(A769="","",IFERROR(INDEX(fa_cname,MATCH(A769,fa_num,0))&amp;"",""))</f>
        <v/>
      </c>
      <c r="N769" s="59" t="str">
        <f>IF(COUNTA(A769:G769)=0,"",IF(A769="","N° facture manquant",IF(ISNA(MATCH(A769,fa_num,0)),"Facture inconnue",IF(AND(B769&lt;&gt;"",ISNA(MATCH(B769,pr_code,0))),"Article inconnu",IF(H769="","Désignation manquante",IF(OR(NOT(ISNUMBER(D769)),N(D769)&lt;=0),"Quantité invalide",IF(J769="","Prix manquant",IF(OR(NOT(ISNUMBER(J769)),N(J769)&lt;0),"Prix invalide",IF(OR(AND(F769&lt;&gt;"",NOT(ISNUMBER(F769))),N(F769)&lt;0,N(F769)&gt;1),"Remise invalide",IF(K769="","Taux de TVA manquant",IF(NOT(ISNUMBER(K769)),"Taux de TVA invalide",IF(COUNTIF(p_rates,K769)=0,"Taux de TVA hors liste (Paramètres)",IF(N(O769)&gt;25,"Au-delà de 25 lignes : non imprimée","OK")))))))))))))</f>
        <v/>
      </c>
      <c r="O769" s="59" t="str">
        <f>IF(A769="","",COUNTIF($A$6:A769,A769))</f>
        <v/>
      </c>
      <c r="P769" s="62" t="str">
        <f>IF(A769="","",A769&amp;"|"&amp;O769)</f>
        <v/>
      </c>
    </row>
    <row r="770">
      <c r="A770" s="60" t="n"/>
      <c r="B770" s="63" t="n"/>
      <c r="C770" s="63" t="n"/>
      <c r="D770" s="67" t="n"/>
      <c r="E770" s="68" t="n"/>
      <c r="F770" s="69" t="n"/>
      <c r="G770" s="70" t="n"/>
      <c r="H770" s="62" t="str">
        <f>IF(COUNTA(A770:G770)=0,"",IF(C770&lt;&gt;"",C770,IF(B770="","",IFERROR(INDEX(pr_des,MATCH(B770,pr_code,0))&amp;"",""))))</f>
        <v/>
      </c>
      <c r="I770" s="59" t="str">
        <f>IF(B770="","",IFERROR(INDEX(pr_unit,MATCH(B770,pr_code,0))&amp;"",""))</f>
        <v/>
      </c>
      <c r="J770" s="65" t="str">
        <f>IF(COUNTA(A770:G770)=0,"",IF(E770&lt;&gt;"",E770,IF(B770="","",IFERROR(IF(INDEX(pr_price,MATCH(B770,pr_code,0))="","",INDEX(pr_price,MATCH(B770,pr_code,0))),""))))</f>
        <v/>
      </c>
      <c r="K770" s="71" t="str">
        <f>IF(COUNTA(A770:G770)=0,"",IF(G770&lt;&gt;"",G770,IF(B770="","",IFERROR(IF(INDEX(pr_rate,MATCH(B770,pr_code,0))="","",INDEX(pr_rate,MATCH(B770,pr_code,0))),""))))</f>
        <v/>
      </c>
      <c r="L770" s="65" t="str">
        <f>IF(COUNTA(A770:G770)=0,"",IF(AND(ISNUMBER(D770),ISNUMBER(J770)),ROUND(D770*J770*(1-N(F770)),2),0))</f>
        <v/>
      </c>
      <c r="M770" s="62" t="str">
        <f>IF(A770="","",IFERROR(INDEX(fa_cname,MATCH(A770,fa_num,0))&amp;"",""))</f>
        <v/>
      </c>
      <c r="N770" s="59" t="str">
        <f>IF(COUNTA(A770:G770)=0,"",IF(A770="","N° facture manquant",IF(ISNA(MATCH(A770,fa_num,0)),"Facture inconnue",IF(AND(B770&lt;&gt;"",ISNA(MATCH(B770,pr_code,0))),"Article inconnu",IF(H770="","Désignation manquante",IF(OR(NOT(ISNUMBER(D770)),N(D770)&lt;=0),"Quantité invalide",IF(J770="","Prix manquant",IF(OR(NOT(ISNUMBER(J770)),N(J770)&lt;0),"Prix invalide",IF(OR(AND(F770&lt;&gt;"",NOT(ISNUMBER(F770))),N(F770)&lt;0,N(F770)&gt;1),"Remise invalide",IF(K770="","Taux de TVA manquant",IF(NOT(ISNUMBER(K770)),"Taux de TVA invalide",IF(COUNTIF(p_rates,K770)=0,"Taux de TVA hors liste (Paramètres)",IF(N(O770)&gt;25,"Au-delà de 25 lignes : non imprimée","OK")))))))))))))</f>
        <v/>
      </c>
      <c r="O770" s="59" t="str">
        <f>IF(A770="","",COUNTIF($A$6:A770,A770))</f>
        <v/>
      </c>
      <c r="P770" s="62" t="str">
        <f>IF(A770="","",A770&amp;"|"&amp;O770)</f>
        <v/>
      </c>
    </row>
    <row r="771">
      <c r="A771" s="60" t="n"/>
      <c r="B771" s="63" t="n"/>
      <c r="C771" s="63" t="n"/>
      <c r="D771" s="67" t="n"/>
      <c r="E771" s="68" t="n"/>
      <c r="F771" s="69" t="n"/>
      <c r="G771" s="70" t="n"/>
      <c r="H771" s="62" t="str">
        <f>IF(COUNTA(A771:G771)=0,"",IF(C771&lt;&gt;"",C771,IF(B771="","",IFERROR(INDEX(pr_des,MATCH(B771,pr_code,0))&amp;"",""))))</f>
        <v/>
      </c>
      <c r="I771" s="59" t="str">
        <f>IF(B771="","",IFERROR(INDEX(pr_unit,MATCH(B771,pr_code,0))&amp;"",""))</f>
        <v/>
      </c>
      <c r="J771" s="65" t="str">
        <f>IF(COUNTA(A771:G771)=0,"",IF(E771&lt;&gt;"",E771,IF(B771="","",IFERROR(IF(INDEX(pr_price,MATCH(B771,pr_code,0))="","",INDEX(pr_price,MATCH(B771,pr_code,0))),""))))</f>
        <v/>
      </c>
      <c r="K771" s="71" t="str">
        <f>IF(COUNTA(A771:G771)=0,"",IF(G771&lt;&gt;"",G771,IF(B771="","",IFERROR(IF(INDEX(pr_rate,MATCH(B771,pr_code,0))="","",INDEX(pr_rate,MATCH(B771,pr_code,0))),""))))</f>
        <v/>
      </c>
      <c r="L771" s="65" t="str">
        <f>IF(COUNTA(A771:G771)=0,"",IF(AND(ISNUMBER(D771),ISNUMBER(J771)),ROUND(D771*J771*(1-N(F771)),2),0))</f>
        <v/>
      </c>
      <c r="M771" s="62" t="str">
        <f>IF(A771="","",IFERROR(INDEX(fa_cname,MATCH(A771,fa_num,0))&amp;"",""))</f>
        <v/>
      </c>
      <c r="N771" s="59" t="str">
        <f>IF(COUNTA(A771:G771)=0,"",IF(A771="","N° facture manquant",IF(ISNA(MATCH(A771,fa_num,0)),"Facture inconnue",IF(AND(B771&lt;&gt;"",ISNA(MATCH(B771,pr_code,0))),"Article inconnu",IF(H771="","Désignation manquante",IF(OR(NOT(ISNUMBER(D771)),N(D771)&lt;=0),"Quantité invalide",IF(J771="","Prix manquant",IF(OR(NOT(ISNUMBER(J771)),N(J771)&lt;0),"Prix invalide",IF(OR(AND(F771&lt;&gt;"",NOT(ISNUMBER(F771))),N(F771)&lt;0,N(F771)&gt;1),"Remise invalide",IF(K771="","Taux de TVA manquant",IF(NOT(ISNUMBER(K771)),"Taux de TVA invalide",IF(COUNTIF(p_rates,K771)=0,"Taux de TVA hors liste (Paramètres)",IF(N(O771)&gt;25,"Au-delà de 25 lignes : non imprimée","OK")))))))))))))</f>
        <v/>
      </c>
      <c r="O771" s="59" t="str">
        <f>IF(A771="","",COUNTIF($A$6:A771,A771))</f>
        <v/>
      </c>
      <c r="P771" s="62" t="str">
        <f>IF(A771="","",A771&amp;"|"&amp;O771)</f>
        <v/>
      </c>
    </row>
    <row r="772">
      <c r="A772" s="60" t="n"/>
      <c r="B772" s="63" t="n"/>
      <c r="C772" s="63" t="n"/>
      <c r="D772" s="67" t="n"/>
      <c r="E772" s="68" t="n"/>
      <c r="F772" s="69" t="n"/>
      <c r="G772" s="70" t="n"/>
      <c r="H772" s="62" t="str">
        <f>IF(COUNTA(A772:G772)=0,"",IF(C772&lt;&gt;"",C772,IF(B772="","",IFERROR(INDEX(pr_des,MATCH(B772,pr_code,0))&amp;"",""))))</f>
        <v/>
      </c>
      <c r="I772" s="59" t="str">
        <f>IF(B772="","",IFERROR(INDEX(pr_unit,MATCH(B772,pr_code,0))&amp;"",""))</f>
        <v/>
      </c>
      <c r="J772" s="65" t="str">
        <f>IF(COUNTA(A772:G772)=0,"",IF(E772&lt;&gt;"",E772,IF(B772="","",IFERROR(IF(INDEX(pr_price,MATCH(B772,pr_code,0))="","",INDEX(pr_price,MATCH(B772,pr_code,0))),""))))</f>
        <v/>
      </c>
      <c r="K772" s="71" t="str">
        <f>IF(COUNTA(A772:G772)=0,"",IF(G772&lt;&gt;"",G772,IF(B772="","",IFERROR(IF(INDEX(pr_rate,MATCH(B772,pr_code,0))="","",INDEX(pr_rate,MATCH(B772,pr_code,0))),""))))</f>
        <v/>
      </c>
      <c r="L772" s="65" t="str">
        <f>IF(COUNTA(A772:G772)=0,"",IF(AND(ISNUMBER(D772),ISNUMBER(J772)),ROUND(D772*J772*(1-N(F772)),2),0))</f>
        <v/>
      </c>
      <c r="M772" s="62" t="str">
        <f>IF(A772="","",IFERROR(INDEX(fa_cname,MATCH(A772,fa_num,0))&amp;"",""))</f>
        <v/>
      </c>
      <c r="N772" s="59" t="str">
        <f>IF(COUNTA(A772:G772)=0,"",IF(A772="","N° facture manquant",IF(ISNA(MATCH(A772,fa_num,0)),"Facture inconnue",IF(AND(B772&lt;&gt;"",ISNA(MATCH(B772,pr_code,0))),"Article inconnu",IF(H772="","Désignation manquante",IF(OR(NOT(ISNUMBER(D772)),N(D772)&lt;=0),"Quantité invalide",IF(J772="","Prix manquant",IF(OR(NOT(ISNUMBER(J772)),N(J772)&lt;0),"Prix invalide",IF(OR(AND(F772&lt;&gt;"",NOT(ISNUMBER(F772))),N(F772)&lt;0,N(F772)&gt;1),"Remise invalide",IF(K772="","Taux de TVA manquant",IF(NOT(ISNUMBER(K772)),"Taux de TVA invalide",IF(COUNTIF(p_rates,K772)=0,"Taux de TVA hors liste (Paramètres)",IF(N(O772)&gt;25,"Au-delà de 25 lignes : non imprimée","OK")))))))))))))</f>
        <v/>
      </c>
      <c r="O772" s="59" t="str">
        <f>IF(A772="","",COUNTIF($A$6:A772,A772))</f>
        <v/>
      </c>
      <c r="P772" s="62" t="str">
        <f>IF(A772="","",A772&amp;"|"&amp;O772)</f>
        <v/>
      </c>
    </row>
    <row r="773">
      <c r="A773" s="60" t="n"/>
      <c r="B773" s="63" t="n"/>
      <c r="C773" s="63" t="n"/>
      <c r="D773" s="67" t="n"/>
      <c r="E773" s="68" t="n"/>
      <c r="F773" s="69" t="n"/>
      <c r="G773" s="70" t="n"/>
      <c r="H773" s="62" t="str">
        <f>IF(COUNTA(A773:G773)=0,"",IF(C773&lt;&gt;"",C773,IF(B773="","",IFERROR(INDEX(pr_des,MATCH(B773,pr_code,0))&amp;"",""))))</f>
        <v/>
      </c>
      <c r="I773" s="59" t="str">
        <f>IF(B773="","",IFERROR(INDEX(pr_unit,MATCH(B773,pr_code,0))&amp;"",""))</f>
        <v/>
      </c>
      <c r="J773" s="65" t="str">
        <f>IF(COUNTA(A773:G773)=0,"",IF(E773&lt;&gt;"",E773,IF(B773="","",IFERROR(IF(INDEX(pr_price,MATCH(B773,pr_code,0))="","",INDEX(pr_price,MATCH(B773,pr_code,0))),""))))</f>
        <v/>
      </c>
      <c r="K773" s="71" t="str">
        <f>IF(COUNTA(A773:G773)=0,"",IF(G773&lt;&gt;"",G773,IF(B773="","",IFERROR(IF(INDEX(pr_rate,MATCH(B773,pr_code,0))="","",INDEX(pr_rate,MATCH(B773,pr_code,0))),""))))</f>
        <v/>
      </c>
      <c r="L773" s="65" t="str">
        <f>IF(COUNTA(A773:G773)=0,"",IF(AND(ISNUMBER(D773),ISNUMBER(J773)),ROUND(D773*J773*(1-N(F773)),2),0))</f>
        <v/>
      </c>
      <c r="M773" s="62" t="str">
        <f>IF(A773="","",IFERROR(INDEX(fa_cname,MATCH(A773,fa_num,0))&amp;"",""))</f>
        <v/>
      </c>
      <c r="N773" s="59" t="str">
        <f>IF(COUNTA(A773:G773)=0,"",IF(A773="","N° facture manquant",IF(ISNA(MATCH(A773,fa_num,0)),"Facture inconnue",IF(AND(B773&lt;&gt;"",ISNA(MATCH(B773,pr_code,0))),"Article inconnu",IF(H773="","Désignation manquante",IF(OR(NOT(ISNUMBER(D773)),N(D773)&lt;=0),"Quantité invalide",IF(J773="","Prix manquant",IF(OR(NOT(ISNUMBER(J773)),N(J773)&lt;0),"Prix invalide",IF(OR(AND(F773&lt;&gt;"",NOT(ISNUMBER(F773))),N(F773)&lt;0,N(F773)&gt;1),"Remise invalide",IF(K773="","Taux de TVA manquant",IF(NOT(ISNUMBER(K773)),"Taux de TVA invalide",IF(COUNTIF(p_rates,K773)=0,"Taux de TVA hors liste (Paramètres)",IF(N(O773)&gt;25,"Au-delà de 25 lignes : non imprimée","OK")))))))))))))</f>
        <v/>
      </c>
      <c r="O773" s="59" t="str">
        <f>IF(A773="","",COUNTIF($A$6:A773,A773))</f>
        <v/>
      </c>
      <c r="P773" s="62" t="str">
        <f>IF(A773="","",A773&amp;"|"&amp;O773)</f>
        <v/>
      </c>
    </row>
    <row r="774">
      <c r="A774" s="60" t="n"/>
      <c r="B774" s="63" t="n"/>
      <c r="C774" s="63" t="n"/>
      <c r="D774" s="67" t="n"/>
      <c r="E774" s="68" t="n"/>
      <c r="F774" s="69" t="n"/>
      <c r="G774" s="70" t="n"/>
      <c r="H774" s="62" t="str">
        <f>IF(COUNTA(A774:G774)=0,"",IF(C774&lt;&gt;"",C774,IF(B774="","",IFERROR(INDEX(pr_des,MATCH(B774,pr_code,0))&amp;"",""))))</f>
        <v/>
      </c>
      <c r="I774" s="59" t="str">
        <f>IF(B774="","",IFERROR(INDEX(pr_unit,MATCH(B774,pr_code,0))&amp;"",""))</f>
        <v/>
      </c>
      <c r="J774" s="65" t="str">
        <f>IF(COUNTA(A774:G774)=0,"",IF(E774&lt;&gt;"",E774,IF(B774="","",IFERROR(IF(INDEX(pr_price,MATCH(B774,pr_code,0))="","",INDEX(pr_price,MATCH(B774,pr_code,0))),""))))</f>
        <v/>
      </c>
      <c r="K774" s="71" t="str">
        <f>IF(COUNTA(A774:G774)=0,"",IF(G774&lt;&gt;"",G774,IF(B774="","",IFERROR(IF(INDEX(pr_rate,MATCH(B774,pr_code,0))="","",INDEX(pr_rate,MATCH(B774,pr_code,0))),""))))</f>
        <v/>
      </c>
      <c r="L774" s="65" t="str">
        <f>IF(COUNTA(A774:G774)=0,"",IF(AND(ISNUMBER(D774),ISNUMBER(J774)),ROUND(D774*J774*(1-N(F774)),2),0))</f>
        <v/>
      </c>
      <c r="M774" s="62" t="str">
        <f>IF(A774="","",IFERROR(INDEX(fa_cname,MATCH(A774,fa_num,0))&amp;"",""))</f>
        <v/>
      </c>
      <c r="N774" s="59" t="str">
        <f>IF(COUNTA(A774:G774)=0,"",IF(A774="","N° facture manquant",IF(ISNA(MATCH(A774,fa_num,0)),"Facture inconnue",IF(AND(B774&lt;&gt;"",ISNA(MATCH(B774,pr_code,0))),"Article inconnu",IF(H774="","Désignation manquante",IF(OR(NOT(ISNUMBER(D774)),N(D774)&lt;=0),"Quantité invalide",IF(J774="","Prix manquant",IF(OR(NOT(ISNUMBER(J774)),N(J774)&lt;0),"Prix invalide",IF(OR(AND(F774&lt;&gt;"",NOT(ISNUMBER(F774))),N(F774)&lt;0,N(F774)&gt;1),"Remise invalide",IF(K774="","Taux de TVA manquant",IF(NOT(ISNUMBER(K774)),"Taux de TVA invalide",IF(COUNTIF(p_rates,K774)=0,"Taux de TVA hors liste (Paramètres)",IF(N(O774)&gt;25,"Au-delà de 25 lignes : non imprimée","OK")))))))))))))</f>
        <v/>
      </c>
      <c r="O774" s="59" t="str">
        <f>IF(A774="","",COUNTIF($A$6:A774,A774))</f>
        <v/>
      </c>
      <c r="P774" s="62" t="str">
        <f>IF(A774="","",A774&amp;"|"&amp;O774)</f>
        <v/>
      </c>
    </row>
    <row r="775">
      <c r="A775" s="60" t="n"/>
      <c r="B775" s="63" t="n"/>
      <c r="C775" s="63" t="n"/>
      <c r="D775" s="67" t="n"/>
      <c r="E775" s="68" t="n"/>
      <c r="F775" s="69" t="n"/>
      <c r="G775" s="70" t="n"/>
      <c r="H775" s="62" t="str">
        <f>IF(COUNTA(A775:G775)=0,"",IF(C775&lt;&gt;"",C775,IF(B775="","",IFERROR(INDEX(pr_des,MATCH(B775,pr_code,0))&amp;"",""))))</f>
        <v/>
      </c>
      <c r="I775" s="59" t="str">
        <f>IF(B775="","",IFERROR(INDEX(pr_unit,MATCH(B775,pr_code,0))&amp;"",""))</f>
        <v/>
      </c>
      <c r="J775" s="65" t="str">
        <f>IF(COUNTA(A775:G775)=0,"",IF(E775&lt;&gt;"",E775,IF(B775="","",IFERROR(IF(INDEX(pr_price,MATCH(B775,pr_code,0))="","",INDEX(pr_price,MATCH(B775,pr_code,0))),""))))</f>
        <v/>
      </c>
      <c r="K775" s="71" t="str">
        <f>IF(COUNTA(A775:G775)=0,"",IF(G775&lt;&gt;"",G775,IF(B775="","",IFERROR(IF(INDEX(pr_rate,MATCH(B775,pr_code,0))="","",INDEX(pr_rate,MATCH(B775,pr_code,0))),""))))</f>
        <v/>
      </c>
      <c r="L775" s="65" t="str">
        <f>IF(COUNTA(A775:G775)=0,"",IF(AND(ISNUMBER(D775),ISNUMBER(J775)),ROUND(D775*J775*(1-N(F775)),2),0))</f>
        <v/>
      </c>
      <c r="M775" s="62" t="str">
        <f>IF(A775="","",IFERROR(INDEX(fa_cname,MATCH(A775,fa_num,0))&amp;"",""))</f>
        <v/>
      </c>
      <c r="N775" s="59" t="str">
        <f>IF(COUNTA(A775:G775)=0,"",IF(A775="","N° facture manquant",IF(ISNA(MATCH(A775,fa_num,0)),"Facture inconnue",IF(AND(B775&lt;&gt;"",ISNA(MATCH(B775,pr_code,0))),"Article inconnu",IF(H775="","Désignation manquante",IF(OR(NOT(ISNUMBER(D775)),N(D775)&lt;=0),"Quantité invalide",IF(J775="","Prix manquant",IF(OR(NOT(ISNUMBER(J775)),N(J775)&lt;0),"Prix invalide",IF(OR(AND(F775&lt;&gt;"",NOT(ISNUMBER(F775))),N(F775)&lt;0,N(F775)&gt;1),"Remise invalide",IF(K775="","Taux de TVA manquant",IF(NOT(ISNUMBER(K775)),"Taux de TVA invalide",IF(COUNTIF(p_rates,K775)=0,"Taux de TVA hors liste (Paramètres)",IF(N(O775)&gt;25,"Au-delà de 25 lignes : non imprimée","OK")))))))))))))</f>
        <v/>
      </c>
      <c r="O775" s="59" t="str">
        <f>IF(A775="","",COUNTIF($A$6:A775,A775))</f>
        <v/>
      </c>
      <c r="P775" s="62" t="str">
        <f>IF(A775="","",A775&amp;"|"&amp;O775)</f>
        <v/>
      </c>
    </row>
    <row r="776">
      <c r="A776" s="60" t="n"/>
      <c r="B776" s="63" t="n"/>
      <c r="C776" s="63" t="n"/>
      <c r="D776" s="67" t="n"/>
      <c r="E776" s="68" t="n"/>
      <c r="F776" s="69" t="n"/>
      <c r="G776" s="70" t="n"/>
      <c r="H776" s="62" t="str">
        <f>IF(COUNTA(A776:G776)=0,"",IF(C776&lt;&gt;"",C776,IF(B776="","",IFERROR(INDEX(pr_des,MATCH(B776,pr_code,0))&amp;"",""))))</f>
        <v/>
      </c>
      <c r="I776" s="59" t="str">
        <f>IF(B776="","",IFERROR(INDEX(pr_unit,MATCH(B776,pr_code,0))&amp;"",""))</f>
        <v/>
      </c>
      <c r="J776" s="65" t="str">
        <f>IF(COUNTA(A776:G776)=0,"",IF(E776&lt;&gt;"",E776,IF(B776="","",IFERROR(IF(INDEX(pr_price,MATCH(B776,pr_code,0))="","",INDEX(pr_price,MATCH(B776,pr_code,0))),""))))</f>
        <v/>
      </c>
      <c r="K776" s="71" t="str">
        <f>IF(COUNTA(A776:G776)=0,"",IF(G776&lt;&gt;"",G776,IF(B776="","",IFERROR(IF(INDEX(pr_rate,MATCH(B776,pr_code,0))="","",INDEX(pr_rate,MATCH(B776,pr_code,0))),""))))</f>
        <v/>
      </c>
      <c r="L776" s="65" t="str">
        <f>IF(COUNTA(A776:G776)=0,"",IF(AND(ISNUMBER(D776),ISNUMBER(J776)),ROUND(D776*J776*(1-N(F776)),2),0))</f>
        <v/>
      </c>
      <c r="M776" s="62" t="str">
        <f>IF(A776="","",IFERROR(INDEX(fa_cname,MATCH(A776,fa_num,0))&amp;"",""))</f>
        <v/>
      </c>
      <c r="N776" s="59" t="str">
        <f>IF(COUNTA(A776:G776)=0,"",IF(A776="","N° facture manquant",IF(ISNA(MATCH(A776,fa_num,0)),"Facture inconnue",IF(AND(B776&lt;&gt;"",ISNA(MATCH(B776,pr_code,0))),"Article inconnu",IF(H776="","Désignation manquante",IF(OR(NOT(ISNUMBER(D776)),N(D776)&lt;=0),"Quantité invalide",IF(J776="","Prix manquant",IF(OR(NOT(ISNUMBER(J776)),N(J776)&lt;0),"Prix invalide",IF(OR(AND(F776&lt;&gt;"",NOT(ISNUMBER(F776))),N(F776)&lt;0,N(F776)&gt;1),"Remise invalide",IF(K776="","Taux de TVA manquant",IF(NOT(ISNUMBER(K776)),"Taux de TVA invalide",IF(COUNTIF(p_rates,K776)=0,"Taux de TVA hors liste (Paramètres)",IF(N(O776)&gt;25,"Au-delà de 25 lignes : non imprimée","OK")))))))))))))</f>
        <v/>
      </c>
      <c r="O776" s="59" t="str">
        <f>IF(A776="","",COUNTIF($A$6:A776,A776))</f>
        <v/>
      </c>
      <c r="P776" s="62" t="str">
        <f>IF(A776="","",A776&amp;"|"&amp;O776)</f>
        <v/>
      </c>
    </row>
    <row r="777">
      <c r="A777" s="60" t="n"/>
      <c r="B777" s="63" t="n"/>
      <c r="C777" s="63" t="n"/>
      <c r="D777" s="67" t="n"/>
      <c r="E777" s="68" t="n"/>
      <c r="F777" s="69" t="n"/>
      <c r="G777" s="70" t="n"/>
      <c r="H777" s="62" t="str">
        <f>IF(COUNTA(A777:G777)=0,"",IF(C777&lt;&gt;"",C777,IF(B777="","",IFERROR(INDEX(pr_des,MATCH(B777,pr_code,0))&amp;"",""))))</f>
        <v/>
      </c>
      <c r="I777" s="59" t="str">
        <f>IF(B777="","",IFERROR(INDEX(pr_unit,MATCH(B777,pr_code,0))&amp;"",""))</f>
        <v/>
      </c>
      <c r="J777" s="65" t="str">
        <f>IF(COUNTA(A777:G777)=0,"",IF(E777&lt;&gt;"",E777,IF(B777="","",IFERROR(IF(INDEX(pr_price,MATCH(B777,pr_code,0))="","",INDEX(pr_price,MATCH(B777,pr_code,0))),""))))</f>
        <v/>
      </c>
      <c r="K777" s="71" t="str">
        <f>IF(COUNTA(A777:G777)=0,"",IF(G777&lt;&gt;"",G777,IF(B777="","",IFERROR(IF(INDEX(pr_rate,MATCH(B777,pr_code,0))="","",INDEX(pr_rate,MATCH(B777,pr_code,0))),""))))</f>
        <v/>
      </c>
      <c r="L777" s="65" t="str">
        <f>IF(COUNTA(A777:G777)=0,"",IF(AND(ISNUMBER(D777),ISNUMBER(J777)),ROUND(D777*J777*(1-N(F777)),2),0))</f>
        <v/>
      </c>
      <c r="M777" s="62" t="str">
        <f>IF(A777="","",IFERROR(INDEX(fa_cname,MATCH(A777,fa_num,0))&amp;"",""))</f>
        <v/>
      </c>
      <c r="N777" s="59" t="str">
        <f>IF(COUNTA(A777:G777)=0,"",IF(A777="","N° facture manquant",IF(ISNA(MATCH(A777,fa_num,0)),"Facture inconnue",IF(AND(B777&lt;&gt;"",ISNA(MATCH(B777,pr_code,0))),"Article inconnu",IF(H777="","Désignation manquante",IF(OR(NOT(ISNUMBER(D777)),N(D777)&lt;=0),"Quantité invalide",IF(J777="","Prix manquant",IF(OR(NOT(ISNUMBER(J777)),N(J777)&lt;0),"Prix invalide",IF(OR(AND(F777&lt;&gt;"",NOT(ISNUMBER(F777))),N(F777)&lt;0,N(F777)&gt;1),"Remise invalide",IF(K777="","Taux de TVA manquant",IF(NOT(ISNUMBER(K777)),"Taux de TVA invalide",IF(COUNTIF(p_rates,K777)=0,"Taux de TVA hors liste (Paramètres)",IF(N(O777)&gt;25,"Au-delà de 25 lignes : non imprimée","OK")))))))))))))</f>
        <v/>
      </c>
      <c r="O777" s="59" t="str">
        <f>IF(A777="","",COUNTIF($A$6:A777,A777))</f>
        <v/>
      </c>
      <c r="P777" s="62" t="str">
        <f>IF(A777="","",A777&amp;"|"&amp;O777)</f>
        <v/>
      </c>
    </row>
    <row r="778">
      <c r="A778" s="60" t="n"/>
      <c r="B778" s="63" t="n"/>
      <c r="C778" s="63" t="n"/>
      <c r="D778" s="67" t="n"/>
      <c r="E778" s="68" t="n"/>
      <c r="F778" s="69" t="n"/>
      <c r="G778" s="70" t="n"/>
      <c r="H778" s="62" t="str">
        <f>IF(COUNTA(A778:G778)=0,"",IF(C778&lt;&gt;"",C778,IF(B778="","",IFERROR(INDEX(pr_des,MATCH(B778,pr_code,0))&amp;"",""))))</f>
        <v/>
      </c>
      <c r="I778" s="59" t="str">
        <f>IF(B778="","",IFERROR(INDEX(pr_unit,MATCH(B778,pr_code,0))&amp;"",""))</f>
        <v/>
      </c>
      <c r="J778" s="65" t="str">
        <f>IF(COUNTA(A778:G778)=0,"",IF(E778&lt;&gt;"",E778,IF(B778="","",IFERROR(IF(INDEX(pr_price,MATCH(B778,pr_code,0))="","",INDEX(pr_price,MATCH(B778,pr_code,0))),""))))</f>
        <v/>
      </c>
      <c r="K778" s="71" t="str">
        <f>IF(COUNTA(A778:G778)=0,"",IF(G778&lt;&gt;"",G778,IF(B778="","",IFERROR(IF(INDEX(pr_rate,MATCH(B778,pr_code,0))="","",INDEX(pr_rate,MATCH(B778,pr_code,0))),""))))</f>
        <v/>
      </c>
      <c r="L778" s="65" t="str">
        <f>IF(COUNTA(A778:G778)=0,"",IF(AND(ISNUMBER(D778),ISNUMBER(J778)),ROUND(D778*J778*(1-N(F778)),2),0))</f>
        <v/>
      </c>
      <c r="M778" s="62" t="str">
        <f>IF(A778="","",IFERROR(INDEX(fa_cname,MATCH(A778,fa_num,0))&amp;"",""))</f>
        <v/>
      </c>
      <c r="N778" s="59" t="str">
        <f>IF(COUNTA(A778:G778)=0,"",IF(A778="","N° facture manquant",IF(ISNA(MATCH(A778,fa_num,0)),"Facture inconnue",IF(AND(B778&lt;&gt;"",ISNA(MATCH(B778,pr_code,0))),"Article inconnu",IF(H778="","Désignation manquante",IF(OR(NOT(ISNUMBER(D778)),N(D778)&lt;=0),"Quantité invalide",IF(J778="","Prix manquant",IF(OR(NOT(ISNUMBER(J778)),N(J778)&lt;0),"Prix invalide",IF(OR(AND(F778&lt;&gt;"",NOT(ISNUMBER(F778))),N(F778)&lt;0,N(F778)&gt;1),"Remise invalide",IF(K778="","Taux de TVA manquant",IF(NOT(ISNUMBER(K778)),"Taux de TVA invalide",IF(COUNTIF(p_rates,K778)=0,"Taux de TVA hors liste (Paramètres)",IF(N(O778)&gt;25,"Au-delà de 25 lignes : non imprimée","OK")))))))))))))</f>
        <v/>
      </c>
      <c r="O778" s="59" t="str">
        <f>IF(A778="","",COUNTIF($A$6:A778,A778))</f>
        <v/>
      </c>
      <c r="P778" s="62" t="str">
        <f>IF(A778="","",A778&amp;"|"&amp;O778)</f>
        <v/>
      </c>
    </row>
    <row r="779">
      <c r="A779" s="60" t="n"/>
      <c r="B779" s="63" t="n"/>
      <c r="C779" s="63" t="n"/>
      <c r="D779" s="67" t="n"/>
      <c r="E779" s="68" t="n"/>
      <c r="F779" s="69" t="n"/>
      <c r="G779" s="70" t="n"/>
      <c r="H779" s="62" t="str">
        <f>IF(COUNTA(A779:G779)=0,"",IF(C779&lt;&gt;"",C779,IF(B779="","",IFERROR(INDEX(pr_des,MATCH(B779,pr_code,0))&amp;"",""))))</f>
        <v/>
      </c>
      <c r="I779" s="59" t="str">
        <f>IF(B779="","",IFERROR(INDEX(pr_unit,MATCH(B779,pr_code,0))&amp;"",""))</f>
        <v/>
      </c>
      <c r="J779" s="65" t="str">
        <f>IF(COUNTA(A779:G779)=0,"",IF(E779&lt;&gt;"",E779,IF(B779="","",IFERROR(IF(INDEX(pr_price,MATCH(B779,pr_code,0))="","",INDEX(pr_price,MATCH(B779,pr_code,0))),""))))</f>
        <v/>
      </c>
      <c r="K779" s="71" t="str">
        <f>IF(COUNTA(A779:G779)=0,"",IF(G779&lt;&gt;"",G779,IF(B779="","",IFERROR(IF(INDEX(pr_rate,MATCH(B779,pr_code,0))="","",INDEX(pr_rate,MATCH(B779,pr_code,0))),""))))</f>
        <v/>
      </c>
      <c r="L779" s="65" t="str">
        <f>IF(COUNTA(A779:G779)=0,"",IF(AND(ISNUMBER(D779),ISNUMBER(J779)),ROUND(D779*J779*(1-N(F779)),2),0))</f>
        <v/>
      </c>
      <c r="M779" s="62" t="str">
        <f>IF(A779="","",IFERROR(INDEX(fa_cname,MATCH(A779,fa_num,0))&amp;"",""))</f>
        <v/>
      </c>
      <c r="N779" s="59" t="str">
        <f>IF(COUNTA(A779:G779)=0,"",IF(A779="","N° facture manquant",IF(ISNA(MATCH(A779,fa_num,0)),"Facture inconnue",IF(AND(B779&lt;&gt;"",ISNA(MATCH(B779,pr_code,0))),"Article inconnu",IF(H779="","Désignation manquante",IF(OR(NOT(ISNUMBER(D779)),N(D779)&lt;=0),"Quantité invalide",IF(J779="","Prix manquant",IF(OR(NOT(ISNUMBER(J779)),N(J779)&lt;0),"Prix invalide",IF(OR(AND(F779&lt;&gt;"",NOT(ISNUMBER(F779))),N(F779)&lt;0,N(F779)&gt;1),"Remise invalide",IF(K779="","Taux de TVA manquant",IF(NOT(ISNUMBER(K779)),"Taux de TVA invalide",IF(COUNTIF(p_rates,K779)=0,"Taux de TVA hors liste (Paramètres)",IF(N(O779)&gt;25,"Au-delà de 25 lignes : non imprimée","OK")))))))))))))</f>
        <v/>
      </c>
      <c r="O779" s="59" t="str">
        <f>IF(A779="","",COUNTIF($A$6:A779,A779))</f>
        <v/>
      </c>
      <c r="P779" s="62" t="str">
        <f>IF(A779="","",A779&amp;"|"&amp;O779)</f>
        <v/>
      </c>
    </row>
    <row r="780">
      <c r="A780" s="60" t="n"/>
      <c r="B780" s="63" t="n"/>
      <c r="C780" s="63" t="n"/>
      <c r="D780" s="67" t="n"/>
      <c r="E780" s="68" t="n"/>
      <c r="F780" s="69" t="n"/>
      <c r="G780" s="70" t="n"/>
      <c r="H780" s="62" t="str">
        <f>IF(COUNTA(A780:G780)=0,"",IF(C780&lt;&gt;"",C780,IF(B780="","",IFERROR(INDEX(pr_des,MATCH(B780,pr_code,0))&amp;"",""))))</f>
        <v/>
      </c>
      <c r="I780" s="59" t="str">
        <f>IF(B780="","",IFERROR(INDEX(pr_unit,MATCH(B780,pr_code,0))&amp;"",""))</f>
        <v/>
      </c>
      <c r="J780" s="65" t="str">
        <f>IF(COUNTA(A780:G780)=0,"",IF(E780&lt;&gt;"",E780,IF(B780="","",IFERROR(IF(INDEX(pr_price,MATCH(B780,pr_code,0))="","",INDEX(pr_price,MATCH(B780,pr_code,0))),""))))</f>
        <v/>
      </c>
      <c r="K780" s="71" t="str">
        <f>IF(COUNTA(A780:G780)=0,"",IF(G780&lt;&gt;"",G780,IF(B780="","",IFERROR(IF(INDEX(pr_rate,MATCH(B780,pr_code,0))="","",INDEX(pr_rate,MATCH(B780,pr_code,0))),""))))</f>
        <v/>
      </c>
      <c r="L780" s="65" t="str">
        <f>IF(COUNTA(A780:G780)=0,"",IF(AND(ISNUMBER(D780),ISNUMBER(J780)),ROUND(D780*J780*(1-N(F780)),2),0))</f>
        <v/>
      </c>
      <c r="M780" s="62" t="str">
        <f>IF(A780="","",IFERROR(INDEX(fa_cname,MATCH(A780,fa_num,0))&amp;"",""))</f>
        <v/>
      </c>
      <c r="N780" s="59" t="str">
        <f>IF(COUNTA(A780:G780)=0,"",IF(A780="","N° facture manquant",IF(ISNA(MATCH(A780,fa_num,0)),"Facture inconnue",IF(AND(B780&lt;&gt;"",ISNA(MATCH(B780,pr_code,0))),"Article inconnu",IF(H780="","Désignation manquante",IF(OR(NOT(ISNUMBER(D780)),N(D780)&lt;=0),"Quantité invalide",IF(J780="","Prix manquant",IF(OR(NOT(ISNUMBER(J780)),N(J780)&lt;0),"Prix invalide",IF(OR(AND(F780&lt;&gt;"",NOT(ISNUMBER(F780))),N(F780)&lt;0,N(F780)&gt;1),"Remise invalide",IF(K780="","Taux de TVA manquant",IF(NOT(ISNUMBER(K780)),"Taux de TVA invalide",IF(COUNTIF(p_rates,K780)=0,"Taux de TVA hors liste (Paramètres)",IF(N(O780)&gt;25,"Au-delà de 25 lignes : non imprimée","OK")))))))))))))</f>
        <v/>
      </c>
      <c r="O780" s="59" t="str">
        <f>IF(A780="","",COUNTIF($A$6:A780,A780))</f>
        <v/>
      </c>
      <c r="P780" s="62" t="str">
        <f>IF(A780="","",A780&amp;"|"&amp;O780)</f>
        <v/>
      </c>
    </row>
    <row r="781">
      <c r="A781" s="60" t="n"/>
      <c r="B781" s="63" t="n"/>
      <c r="C781" s="63" t="n"/>
      <c r="D781" s="67" t="n"/>
      <c r="E781" s="68" t="n"/>
      <c r="F781" s="69" t="n"/>
      <c r="G781" s="70" t="n"/>
      <c r="H781" s="62" t="str">
        <f>IF(COUNTA(A781:G781)=0,"",IF(C781&lt;&gt;"",C781,IF(B781="","",IFERROR(INDEX(pr_des,MATCH(B781,pr_code,0))&amp;"",""))))</f>
        <v/>
      </c>
      <c r="I781" s="59" t="str">
        <f>IF(B781="","",IFERROR(INDEX(pr_unit,MATCH(B781,pr_code,0))&amp;"",""))</f>
        <v/>
      </c>
      <c r="J781" s="65" t="str">
        <f>IF(COUNTA(A781:G781)=0,"",IF(E781&lt;&gt;"",E781,IF(B781="","",IFERROR(IF(INDEX(pr_price,MATCH(B781,pr_code,0))="","",INDEX(pr_price,MATCH(B781,pr_code,0))),""))))</f>
        <v/>
      </c>
      <c r="K781" s="71" t="str">
        <f>IF(COUNTA(A781:G781)=0,"",IF(G781&lt;&gt;"",G781,IF(B781="","",IFERROR(IF(INDEX(pr_rate,MATCH(B781,pr_code,0))="","",INDEX(pr_rate,MATCH(B781,pr_code,0))),""))))</f>
        <v/>
      </c>
      <c r="L781" s="65" t="str">
        <f>IF(COUNTA(A781:G781)=0,"",IF(AND(ISNUMBER(D781),ISNUMBER(J781)),ROUND(D781*J781*(1-N(F781)),2),0))</f>
        <v/>
      </c>
      <c r="M781" s="62" t="str">
        <f>IF(A781="","",IFERROR(INDEX(fa_cname,MATCH(A781,fa_num,0))&amp;"",""))</f>
        <v/>
      </c>
      <c r="N781" s="59" t="str">
        <f>IF(COUNTA(A781:G781)=0,"",IF(A781="","N° facture manquant",IF(ISNA(MATCH(A781,fa_num,0)),"Facture inconnue",IF(AND(B781&lt;&gt;"",ISNA(MATCH(B781,pr_code,0))),"Article inconnu",IF(H781="","Désignation manquante",IF(OR(NOT(ISNUMBER(D781)),N(D781)&lt;=0),"Quantité invalide",IF(J781="","Prix manquant",IF(OR(NOT(ISNUMBER(J781)),N(J781)&lt;0),"Prix invalide",IF(OR(AND(F781&lt;&gt;"",NOT(ISNUMBER(F781))),N(F781)&lt;0,N(F781)&gt;1),"Remise invalide",IF(K781="","Taux de TVA manquant",IF(NOT(ISNUMBER(K781)),"Taux de TVA invalide",IF(COUNTIF(p_rates,K781)=0,"Taux de TVA hors liste (Paramètres)",IF(N(O781)&gt;25,"Au-delà de 25 lignes : non imprimée","OK")))))))))))))</f>
        <v/>
      </c>
      <c r="O781" s="59" t="str">
        <f>IF(A781="","",COUNTIF($A$6:A781,A781))</f>
        <v/>
      </c>
      <c r="P781" s="62" t="str">
        <f>IF(A781="","",A781&amp;"|"&amp;O781)</f>
        <v/>
      </c>
    </row>
    <row r="782">
      <c r="A782" s="60" t="n"/>
      <c r="B782" s="63" t="n"/>
      <c r="C782" s="63" t="n"/>
      <c r="D782" s="67" t="n"/>
      <c r="E782" s="68" t="n"/>
      <c r="F782" s="69" t="n"/>
      <c r="G782" s="70" t="n"/>
      <c r="H782" s="62" t="str">
        <f>IF(COUNTA(A782:G782)=0,"",IF(C782&lt;&gt;"",C782,IF(B782="","",IFERROR(INDEX(pr_des,MATCH(B782,pr_code,0))&amp;"",""))))</f>
        <v/>
      </c>
      <c r="I782" s="59" t="str">
        <f>IF(B782="","",IFERROR(INDEX(pr_unit,MATCH(B782,pr_code,0))&amp;"",""))</f>
        <v/>
      </c>
      <c r="J782" s="65" t="str">
        <f>IF(COUNTA(A782:G782)=0,"",IF(E782&lt;&gt;"",E782,IF(B782="","",IFERROR(IF(INDEX(pr_price,MATCH(B782,pr_code,0))="","",INDEX(pr_price,MATCH(B782,pr_code,0))),""))))</f>
        <v/>
      </c>
      <c r="K782" s="71" t="str">
        <f>IF(COUNTA(A782:G782)=0,"",IF(G782&lt;&gt;"",G782,IF(B782="","",IFERROR(IF(INDEX(pr_rate,MATCH(B782,pr_code,0))="","",INDEX(pr_rate,MATCH(B782,pr_code,0))),""))))</f>
        <v/>
      </c>
      <c r="L782" s="65" t="str">
        <f>IF(COUNTA(A782:G782)=0,"",IF(AND(ISNUMBER(D782),ISNUMBER(J782)),ROUND(D782*J782*(1-N(F782)),2),0))</f>
        <v/>
      </c>
      <c r="M782" s="62" t="str">
        <f>IF(A782="","",IFERROR(INDEX(fa_cname,MATCH(A782,fa_num,0))&amp;"",""))</f>
        <v/>
      </c>
      <c r="N782" s="59" t="str">
        <f>IF(COUNTA(A782:G782)=0,"",IF(A782="","N° facture manquant",IF(ISNA(MATCH(A782,fa_num,0)),"Facture inconnue",IF(AND(B782&lt;&gt;"",ISNA(MATCH(B782,pr_code,0))),"Article inconnu",IF(H782="","Désignation manquante",IF(OR(NOT(ISNUMBER(D782)),N(D782)&lt;=0),"Quantité invalide",IF(J782="","Prix manquant",IF(OR(NOT(ISNUMBER(J782)),N(J782)&lt;0),"Prix invalide",IF(OR(AND(F782&lt;&gt;"",NOT(ISNUMBER(F782))),N(F782)&lt;0,N(F782)&gt;1),"Remise invalide",IF(K782="","Taux de TVA manquant",IF(NOT(ISNUMBER(K782)),"Taux de TVA invalide",IF(COUNTIF(p_rates,K782)=0,"Taux de TVA hors liste (Paramètres)",IF(N(O782)&gt;25,"Au-delà de 25 lignes : non imprimée","OK")))))))))))))</f>
        <v/>
      </c>
      <c r="O782" s="59" t="str">
        <f>IF(A782="","",COUNTIF($A$6:A782,A782))</f>
        <v/>
      </c>
      <c r="P782" s="62" t="str">
        <f>IF(A782="","",A782&amp;"|"&amp;O782)</f>
        <v/>
      </c>
    </row>
    <row r="783">
      <c r="A783" s="60" t="n"/>
      <c r="B783" s="63" t="n"/>
      <c r="C783" s="63" t="n"/>
      <c r="D783" s="67" t="n"/>
      <c r="E783" s="68" t="n"/>
      <c r="F783" s="69" t="n"/>
      <c r="G783" s="70" t="n"/>
      <c r="H783" s="62" t="str">
        <f>IF(COUNTA(A783:G783)=0,"",IF(C783&lt;&gt;"",C783,IF(B783="","",IFERROR(INDEX(pr_des,MATCH(B783,pr_code,0))&amp;"",""))))</f>
        <v/>
      </c>
      <c r="I783" s="59" t="str">
        <f>IF(B783="","",IFERROR(INDEX(pr_unit,MATCH(B783,pr_code,0))&amp;"",""))</f>
        <v/>
      </c>
      <c r="J783" s="65" t="str">
        <f>IF(COUNTA(A783:G783)=0,"",IF(E783&lt;&gt;"",E783,IF(B783="","",IFERROR(IF(INDEX(pr_price,MATCH(B783,pr_code,0))="","",INDEX(pr_price,MATCH(B783,pr_code,0))),""))))</f>
        <v/>
      </c>
      <c r="K783" s="71" t="str">
        <f>IF(COUNTA(A783:G783)=0,"",IF(G783&lt;&gt;"",G783,IF(B783="","",IFERROR(IF(INDEX(pr_rate,MATCH(B783,pr_code,0))="","",INDEX(pr_rate,MATCH(B783,pr_code,0))),""))))</f>
        <v/>
      </c>
      <c r="L783" s="65" t="str">
        <f>IF(COUNTA(A783:G783)=0,"",IF(AND(ISNUMBER(D783),ISNUMBER(J783)),ROUND(D783*J783*(1-N(F783)),2),0))</f>
        <v/>
      </c>
      <c r="M783" s="62" t="str">
        <f>IF(A783="","",IFERROR(INDEX(fa_cname,MATCH(A783,fa_num,0))&amp;"",""))</f>
        <v/>
      </c>
      <c r="N783" s="59" t="str">
        <f>IF(COUNTA(A783:G783)=0,"",IF(A783="","N° facture manquant",IF(ISNA(MATCH(A783,fa_num,0)),"Facture inconnue",IF(AND(B783&lt;&gt;"",ISNA(MATCH(B783,pr_code,0))),"Article inconnu",IF(H783="","Désignation manquante",IF(OR(NOT(ISNUMBER(D783)),N(D783)&lt;=0),"Quantité invalide",IF(J783="","Prix manquant",IF(OR(NOT(ISNUMBER(J783)),N(J783)&lt;0),"Prix invalide",IF(OR(AND(F783&lt;&gt;"",NOT(ISNUMBER(F783))),N(F783)&lt;0,N(F783)&gt;1),"Remise invalide",IF(K783="","Taux de TVA manquant",IF(NOT(ISNUMBER(K783)),"Taux de TVA invalide",IF(COUNTIF(p_rates,K783)=0,"Taux de TVA hors liste (Paramètres)",IF(N(O783)&gt;25,"Au-delà de 25 lignes : non imprimée","OK")))))))))))))</f>
        <v/>
      </c>
      <c r="O783" s="59" t="str">
        <f>IF(A783="","",COUNTIF($A$6:A783,A783))</f>
        <v/>
      </c>
      <c r="P783" s="62" t="str">
        <f>IF(A783="","",A783&amp;"|"&amp;O783)</f>
        <v/>
      </c>
    </row>
    <row r="784">
      <c r="A784" s="60" t="n"/>
      <c r="B784" s="63" t="n"/>
      <c r="C784" s="63" t="n"/>
      <c r="D784" s="67" t="n"/>
      <c r="E784" s="68" t="n"/>
      <c r="F784" s="69" t="n"/>
      <c r="G784" s="70" t="n"/>
      <c r="H784" s="62" t="str">
        <f>IF(COUNTA(A784:G784)=0,"",IF(C784&lt;&gt;"",C784,IF(B784="","",IFERROR(INDEX(pr_des,MATCH(B784,pr_code,0))&amp;"",""))))</f>
        <v/>
      </c>
      <c r="I784" s="59" t="str">
        <f>IF(B784="","",IFERROR(INDEX(pr_unit,MATCH(B784,pr_code,0))&amp;"",""))</f>
        <v/>
      </c>
      <c r="J784" s="65" t="str">
        <f>IF(COUNTA(A784:G784)=0,"",IF(E784&lt;&gt;"",E784,IF(B784="","",IFERROR(IF(INDEX(pr_price,MATCH(B784,pr_code,0))="","",INDEX(pr_price,MATCH(B784,pr_code,0))),""))))</f>
        <v/>
      </c>
      <c r="K784" s="71" t="str">
        <f>IF(COUNTA(A784:G784)=0,"",IF(G784&lt;&gt;"",G784,IF(B784="","",IFERROR(IF(INDEX(pr_rate,MATCH(B784,pr_code,0))="","",INDEX(pr_rate,MATCH(B784,pr_code,0))),""))))</f>
        <v/>
      </c>
      <c r="L784" s="65" t="str">
        <f>IF(COUNTA(A784:G784)=0,"",IF(AND(ISNUMBER(D784),ISNUMBER(J784)),ROUND(D784*J784*(1-N(F784)),2),0))</f>
        <v/>
      </c>
      <c r="M784" s="62" t="str">
        <f>IF(A784="","",IFERROR(INDEX(fa_cname,MATCH(A784,fa_num,0))&amp;"",""))</f>
        <v/>
      </c>
      <c r="N784" s="59" t="str">
        <f>IF(COUNTA(A784:G784)=0,"",IF(A784="","N° facture manquant",IF(ISNA(MATCH(A784,fa_num,0)),"Facture inconnue",IF(AND(B784&lt;&gt;"",ISNA(MATCH(B784,pr_code,0))),"Article inconnu",IF(H784="","Désignation manquante",IF(OR(NOT(ISNUMBER(D784)),N(D784)&lt;=0),"Quantité invalide",IF(J784="","Prix manquant",IF(OR(NOT(ISNUMBER(J784)),N(J784)&lt;0),"Prix invalide",IF(OR(AND(F784&lt;&gt;"",NOT(ISNUMBER(F784))),N(F784)&lt;0,N(F784)&gt;1),"Remise invalide",IF(K784="","Taux de TVA manquant",IF(NOT(ISNUMBER(K784)),"Taux de TVA invalide",IF(COUNTIF(p_rates,K784)=0,"Taux de TVA hors liste (Paramètres)",IF(N(O784)&gt;25,"Au-delà de 25 lignes : non imprimée","OK")))))))))))))</f>
        <v/>
      </c>
      <c r="O784" s="59" t="str">
        <f>IF(A784="","",COUNTIF($A$6:A784,A784))</f>
        <v/>
      </c>
      <c r="P784" s="62" t="str">
        <f>IF(A784="","",A784&amp;"|"&amp;O784)</f>
        <v/>
      </c>
    </row>
    <row r="785">
      <c r="A785" s="60" t="n"/>
      <c r="B785" s="63" t="n"/>
      <c r="C785" s="63" t="n"/>
      <c r="D785" s="67" t="n"/>
      <c r="E785" s="68" t="n"/>
      <c r="F785" s="69" t="n"/>
      <c r="G785" s="70" t="n"/>
      <c r="H785" s="62" t="str">
        <f>IF(COUNTA(A785:G785)=0,"",IF(C785&lt;&gt;"",C785,IF(B785="","",IFERROR(INDEX(pr_des,MATCH(B785,pr_code,0))&amp;"",""))))</f>
        <v/>
      </c>
      <c r="I785" s="59" t="str">
        <f>IF(B785="","",IFERROR(INDEX(pr_unit,MATCH(B785,pr_code,0))&amp;"",""))</f>
        <v/>
      </c>
      <c r="J785" s="65" t="str">
        <f>IF(COUNTA(A785:G785)=0,"",IF(E785&lt;&gt;"",E785,IF(B785="","",IFERROR(IF(INDEX(pr_price,MATCH(B785,pr_code,0))="","",INDEX(pr_price,MATCH(B785,pr_code,0))),""))))</f>
        <v/>
      </c>
      <c r="K785" s="71" t="str">
        <f>IF(COUNTA(A785:G785)=0,"",IF(G785&lt;&gt;"",G785,IF(B785="","",IFERROR(IF(INDEX(pr_rate,MATCH(B785,pr_code,0))="","",INDEX(pr_rate,MATCH(B785,pr_code,0))),""))))</f>
        <v/>
      </c>
      <c r="L785" s="65" t="str">
        <f>IF(COUNTA(A785:G785)=0,"",IF(AND(ISNUMBER(D785),ISNUMBER(J785)),ROUND(D785*J785*(1-N(F785)),2),0))</f>
        <v/>
      </c>
      <c r="M785" s="62" t="str">
        <f>IF(A785="","",IFERROR(INDEX(fa_cname,MATCH(A785,fa_num,0))&amp;"",""))</f>
        <v/>
      </c>
      <c r="N785" s="59" t="str">
        <f>IF(COUNTA(A785:G785)=0,"",IF(A785="","N° facture manquant",IF(ISNA(MATCH(A785,fa_num,0)),"Facture inconnue",IF(AND(B785&lt;&gt;"",ISNA(MATCH(B785,pr_code,0))),"Article inconnu",IF(H785="","Désignation manquante",IF(OR(NOT(ISNUMBER(D785)),N(D785)&lt;=0),"Quantité invalide",IF(J785="","Prix manquant",IF(OR(NOT(ISNUMBER(J785)),N(J785)&lt;0),"Prix invalide",IF(OR(AND(F785&lt;&gt;"",NOT(ISNUMBER(F785))),N(F785)&lt;0,N(F785)&gt;1),"Remise invalide",IF(K785="","Taux de TVA manquant",IF(NOT(ISNUMBER(K785)),"Taux de TVA invalide",IF(COUNTIF(p_rates,K785)=0,"Taux de TVA hors liste (Paramètres)",IF(N(O785)&gt;25,"Au-delà de 25 lignes : non imprimée","OK")))))))))))))</f>
        <v/>
      </c>
      <c r="O785" s="59" t="str">
        <f>IF(A785="","",COUNTIF($A$6:A785,A785))</f>
        <v/>
      </c>
      <c r="P785" s="62" t="str">
        <f>IF(A785="","",A785&amp;"|"&amp;O785)</f>
        <v/>
      </c>
    </row>
    <row r="786">
      <c r="A786" s="60" t="n"/>
      <c r="B786" s="63" t="n"/>
      <c r="C786" s="63" t="n"/>
      <c r="D786" s="67" t="n"/>
      <c r="E786" s="68" t="n"/>
      <c r="F786" s="69" t="n"/>
      <c r="G786" s="70" t="n"/>
      <c r="H786" s="62" t="str">
        <f>IF(COUNTA(A786:G786)=0,"",IF(C786&lt;&gt;"",C786,IF(B786="","",IFERROR(INDEX(pr_des,MATCH(B786,pr_code,0))&amp;"",""))))</f>
        <v/>
      </c>
      <c r="I786" s="59" t="str">
        <f>IF(B786="","",IFERROR(INDEX(pr_unit,MATCH(B786,pr_code,0))&amp;"",""))</f>
        <v/>
      </c>
      <c r="J786" s="65" t="str">
        <f>IF(COUNTA(A786:G786)=0,"",IF(E786&lt;&gt;"",E786,IF(B786="","",IFERROR(IF(INDEX(pr_price,MATCH(B786,pr_code,0))="","",INDEX(pr_price,MATCH(B786,pr_code,0))),""))))</f>
        <v/>
      </c>
      <c r="K786" s="71" t="str">
        <f>IF(COUNTA(A786:G786)=0,"",IF(G786&lt;&gt;"",G786,IF(B786="","",IFERROR(IF(INDEX(pr_rate,MATCH(B786,pr_code,0))="","",INDEX(pr_rate,MATCH(B786,pr_code,0))),""))))</f>
        <v/>
      </c>
      <c r="L786" s="65" t="str">
        <f>IF(COUNTA(A786:G786)=0,"",IF(AND(ISNUMBER(D786),ISNUMBER(J786)),ROUND(D786*J786*(1-N(F786)),2),0))</f>
        <v/>
      </c>
      <c r="M786" s="62" t="str">
        <f>IF(A786="","",IFERROR(INDEX(fa_cname,MATCH(A786,fa_num,0))&amp;"",""))</f>
        <v/>
      </c>
      <c r="N786" s="59" t="str">
        <f>IF(COUNTA(A786:G786)=0,"",IF(A786="","N° facture manquant",IF(ISNA(MATCH(A786,fa_num,0)),"Facture inconnue",IF(AND(B786&lt;&gt;"",ISNA(MATCH(B786,pr_code,0))),"Article inconnu",IF(H786="","Désignation manquante",IF(OR(NOT(ISNUMBER(D786)),N(D786)&lt;=0),"Quantité invalide",IF(J786="","Prix manquant",IF(OR(NOT(ISNUMBER(J786)),N(J786)&lt;0),"Prix invalide",IF(OR(AND(F786&lt;&gt;"",NOT(ISNUMBER(F786))),N(F786)&lt;0,N(F786)&gt;1),"Remise invalide",IF(K786="","Taux de TVA manquant",IF(NOT(ISNUMBER(K786)),"Taux de TVA invalide",IF(COUNTIF(p_rates,K786)=0,"Taux de TVA hors liste (Paramètres)",IF(N(O786)&gt;25,"Au-delà de 25 lignes : non imprimée","OK")))))))))))))</f>
        <v/>
      </c>
      <c r="O786" s="59" t="str">
        <f>IF(A786="","",COUNTIF($A$6:A786,A786))</f>
        <v/>
      </c>
      <c r="P786" s="62" t="str">
        <f>IF(A786="","",A786&amp;"|"&amp;O786)</f>
        <v/>
      </c>
    </row>
    <row r="787">
      <c r="A787" s="60" t="n"/>
      <c r="B787" s="63" t="n"/>
      <c r="C787" s="63" t="n"/>
      <c r="D787" s="67" t="n"/>
      <c r="E787" s="68" t="n"/>
      <c r="F787" s="69" t="n"/>
      <c r="G787" s="70" t="n"/>
      <c r="H787" s="62" t="str">
        <f>IF(COUNTA(A787:G787)=0,"",IF(C787&lt;&gt;"",C787,IF(B787="","",IFERROR(INDEX(pr_des,MATCH(B787,pr_code,0))&amp;"",""))))</f>
        <v/>
      </c>
      <c r="I787" s="59" t="str">
        <f>IF(B787="","",IFERROR(INDEX(pr_unit,MATCH(B787,pr_code,0))&amp;"",""))</f>
        <v/>
      </c>
      <c r="J787" s="65" t="str">
        <f>IF(COUNTA(A787:G787)=0,"",IF(E787&lt;&gt;"",E787,IF(B787="","",IFERROR(IF(INDEX(pr_price,MATCH(B787,pr_code,0))="","",INDEX(pr_price,MATCH(B787,pr_code,0))),""))))</f>
        <v/>
      </c>
      <c r="K787" s="71" t="str">
        <f>IF(COUNTA(A787:G787)=0,"",IF(G787&lt;&gt;"",G787,IF(B787="","",IFERROR(IF(INDEX(pr_rate,MATCH(B787,pr_code,0))="","",INDEX(pr_rate,MATCH(B787,pr_code,0))),""))))</f>
        <v/>
      </c>
      <c r="L787" s="65" t="str">
        <f>IF(COUNTA(A787:G787)=0,"",IF(AND(ISNUMBER(D787),ISNUMBER(J787)),ROUND(D787*J787*(1-N(F787)),2),0))</f>
        <v/>
      </c>
      <c r="M787" s="62" t="str">
        <f>IF(A787="","",IFERROR(INDEX(fa_cname,MATCH(A787,fa_num,0))&amp;"",""))</f>
        <v/>
      </c>
      <c r="N787" s="59" t="str">
        <f>IF(COUNTA(A787:G787)=0,"",IF(A787="","N° facture manquant",IF(ISNA(MATCH(A787,fa_num,0)),"Facture inconnue",IF(AND(B787&lt;&gt;"",ISNA(MATCH(B787,pr_code,0))),"Article inconnu",IF(H787="","Désignation manquante",IF(OR(NOT(ISNUMBER(D787)),N(D787)&lt;=0),"Quantité invalide",IF(J787="","Prix manquant",IF(OR(NOT(ISNUMBER(J787)),N(J787)&lt;0),"Prix invalide",IF(OR(AND(F787&lt;&gt;"",NOT(ISNUMBER(F787))),N(F787)&lt;0,N(F787)&gt;1),"Remise invalide",IF(K787="","Taux de TVA manquant",IF(NOT(ISNUMBER(K787)),"Taux de TVA invalide",IF(COUNTIF(p_rates,K787)=0,"Taux de TVA hors liste (Paramètres)",IF(N(O787)&gt;25,"Au-delà de 25 lignes : non imprimée","OK")))))))))))))</f>
        <v/>
      </c>
      <c r="O787" s="59" t="str">
        <f>IF(A787="","",COUNTIF($A$6:A787,A787))</f>
        <v/>
      </c>
      <c r="P787" s="62" t="str">
        <f>IF(A787="","",A787&amp;"|"&amp;O787)</f>
        <v/>
      </c>
    </row>
    <row r="788">
      <c r="A788" s="60" t="n"/>
      <c r="B788" s="63" t="n"/>
      <c r="C788" s="63" t="n"/>
      <c r="D788" s="67" t="n"/>
      <c r="E788" s="68" t="n"/>
      <c r="F788" s="69" t="n"/>
      <c r="G788" s="70" t="n"/>
      <c r="H788" s="62" t="str">
        <f>IF(COUNTA(A788:G788)=0,"",IF(C788&lt;&gt;"",C788,IF(B788="","",IFERROR(INDEX(pr_des,MATCH(B788,pr_code,0))&amp;"",""))))</f>
        <v/>
      </c>
      <c r="I788" s="59" t="str">
        <f>IF(B788="","",IFERROR(INDEX(pr_unit,MATCH(B788,pr_code,0))&amp;"",""))</f>
        <v/>
      </c>
      <c r="J788" s="65" t="str">
        <f>IF(COUNTA(A788:G788)=0,"",IF(E788&lt;&gt;"",E788,IF(B788="","",IFERROR(IF(INDEX(pr_price,MATCH(B788,pr_code,0))="","",INDEX(pr_price,MATCH(B788,pr_code,0))),""))))</f>
        <v/>
      </c>
      <c r="K788" s="71" t="str">
        <f>IF(COUNTA(A788:G788)=0,"",IF(G788&lt;&gt;"",G788,IF(B788="","",IFERROR(IF(INDEX(pr_rate,MATCH(B788,pr_code,0))="","",INDEX(pr_rate,MATCH(B788,pr_code,0))),""))))</f>
        <v/>
      </c>
      <c r="L788" s="65" t="str">
        <f>IF(COUNTA(A788:G788)=0,"",IF(AND(ISNUMBER(D788),ISNUMBER(J788)),ROUND(D788*J788*(1-N(F788)),2),0))</f>
        <v/>
      </c>
      <c r="M788" s="62" t="str">
        <f>IF(A788="","",IFERROR(INDEX(fa_cname,MATCH(A788,fa_num,0))&amp;"",""))</f>
        <v/>
      </c>
      <c r="N788" s="59" t="str">
        <f>IF(COUNTA(A788:G788)=0,"",IF(A788="","N° facture manquant",IF(ISNA(MATCH(A788,fa_num,0)),"Facture inconnue",IF(AND(B788&lt;&gt;"",ISNA(MATCH(B788,pr_code,0))),"Article inconnu",IF(H788="","Désignation manquante",IF(OR(NOT(ISNUMBER(D788)),N(D788)&lt;=0),"Quantité invalide",IF(J788="","Prix manquant",IF(OR(NOT(ISNUMBER(J788)),N(J788)&lt;0),"Prix invalide",IF(OR(AND(F788&lt;&gt;"",NOT(ISNUMBER(F788))),N(F788)&lt;0,N(F788)&gt;1),"Remise invalide",IF(K788="","Taux de TVA manquant",IF(NOT(ISNUMBER(K788)),"Taux de TVA invalide",IF(COUNTIF(p_rates,K788)=0,"Taux de TVA hors liste (Paramètres)",IF(N(O788)&gt;25,"Au-delà de 25 lignes : non imprimée","OK")))))))))))))</f>
        <v/>
      </c>
      <c r="O788" s="59" t="str">
        <f>IF(A788="","",COUNTIF($A$6:A788,A788))</f>
        <v/>
      </c>
      <c r="P788" s="62" t="str">
        <f>IF(A788="","",A788&amp;"|"&amp;O788)</f>
        <v/>
      </c>
    </row>
    <row r="789">
      <c r="A789" s="60" t="n"/>
      <c r="B789" s="63" t="n"/>
      <c r="C789" s="63" t="n"/>
      <c r="D789" s="67" t="n"/>
      <c r="E789" s="68" t="n"/>
      <c r="F789" s="69" t="n"/>
      <c r="G789" s="70" t="n"/>
      <c r="H789" s="62" t="str">
        <f>IF(COUNTA(A789:G789)=0,"",IF(C789&lt;&gt;"",C789,IF(B789="","",IFERROR(INDEX(pr_des,MATCH(B789,pr_code,0))&amp;"",""))))</f>
        <v/>
      </c>
      <c r="I789" s="59" t="str">
        <f>IF(B789="","",IFERROR(INDEX(pr_unit,MATCH(B789,pr_code,0))&amp;"",""))</f>
        <v/>
      </c>
      <c r="J789" s="65" t="str">
        <f>IF(COUNTA(A789:G789)=0,"",IF(E789&lt;&gt;"",E789,IF(B789="","",IFERROR(IF(INDEX(pr_price,MATCH(B789,pr_code,0))="","",INDEX(pr_price,MATCH(B789,pr_code,0))),""))))</f>
        <v/>
      </c>
      <c r="K789" s="71" t="str">
        <f>IF(COUNTA(A789:G789)=0,"",IF(G789&lt;&gt;"",G789,IF(B789="","",IFERROR(IF(INDEX(pr_rate,MATCH(B789,pr_code,0))="","",INDEX(pr_rate,MATCH(B789,pr_code,0))),""))))</f>
        <v/>
      </c>
      <c r="L789" s="65" t="str">
        <f>IF(COUNTA(A789:G789)=0,"",IF(AND(ISNUMBER(D789),ISNUMBER(J789)),ROUND(D789*J789*(1-N(F789)),2),0))</f>
        <v/>
      </c>
      <c r="M789" s="62" t="str">
        <f>IF(A789="","",IFERROR(INDEX(fa_cname,MATCH(A789,fa_num,0))&amp;"",""))</f>
        <v/>
      </c>
      <c r="N789" s="59" t="str">
        <f>IF(COUNTA(A789:G789)=0,"",IF(A789="","N° facture manquant",IF(ISNA(MATCH(A789,fa_num,0)),"Facture inconnue",IF(AND(B789&lt;&gt;"",ISNA(MATCH(B789,pr_code,0))),"Article inconnu",IF(H789="","Désignation manquante",IF(OR(NOT(ISNUMBER(D789)),N(D789)&lt;=0),"Quantité invalide",IF(J789="","Prix manquant",IF(OR(NOT(ISNUMBER(J789)),N(J789)&lt;0),"Prix invalide",IF(OR(AND(F789&lt;&gt;"",NOT(ISNUMBER(F789))),N(F789)&lt;0,N(F789)&gt;1),"Remise invalide",IF(K789="","Taux de TVA manquant",IF(NOT(ISNUMBER(K789)),"Taux de TVA invalide",IF(COUNTIF(p_rates,K789)=0,"Taux de TVA hors liste (Paramètres)",IF(N(O789)&gt;25,"Au-delà de 25 lignes : non imprimée","OK")))))))))))))</f>
        <v/>
      </c>
      <c r="O789" s="59" t="str">
        <f>IF(A789="","",COUNTIF($A$6:A789,A789))</f>
        <v/>
      </c>
      <c r="P789" s="62" t="str">
        <f>IF(A789="","",A789&amp;"|"&amp;O789)</f>
        <v/>
      </c>
    </row>
    <row r="790">
      <c r="A790" s="60" t="n"/>
      <c r="B790" s="63" t="n"/>
      <c r="C790" s="63" t="n"/>
      <c r="D790" s="67" t="n"/>
      <c r="E790" s="68" t="n"/>
      <c r="F790" s="69" t="n"/>
      <c r="G790" s="70" t="n"/>
      <c r="H790" s="62" t="str">
        <f>IF(COUNTA(A790:G790)=0,"",IF(C790&lt;&gt;"",C790,IF(B790="","",IFERROR(INDEX(pr_des,MATCH(B790,pr_code,0))&amp;"",""))))</f>
        <v/>
      </c>
      <c r="I790" s="59" t="str">
        <f>IF(B790="","",IFERROR(INDEX(pr_unit,MATCH(B790,pr_code,0))&amp;"",""))</f>
        <v/>
      </c>
      <c r="J790" s="65" t="str">
        <f>IF(COUNTA(A790:G790)=0,"",IF(E790&lt;&gt;"",E790,IF(B790="","",IFERROR(IF(INDEX(pr_price,MATCH(B790,pr_code,0))="","",INDEX(pr_price,MATCH(B790,pr_code,0))),""))))</f>
        <v/>
      </c>
      <c r="K790" s="71" t="str">
        <f>IF(COUNTA(A790:G790)=0,"",IF(G790&lt;&gt;"",G790,IF(B790="","",IFERROR(IF(INDEX(pr_rate,MATCH(B790,pr_code,0))="","",INDEX(pr_rate,MATCH(B790,pr_code,0))),""))))</f>
        <v/>
      </c>
      <c r="L790" s="65" t="str">
        <f>IF(COUNTA(A790:G790)=0,"",IF(AND(ISNUMBER(D790),ISNUMBER(J790)),ROUND(D790*J790*(1-N(F790)),2),0))</f>
        <v/>
      </c>
      <c r="M790" s="62" t="str">
        <f>IF(A790="","",IFERROR(INDEX(fa_cname,MATCH(A790,fa_num,0))&amp;"",""))</f>
        <v/>
      </c>
      <c r="N790" s="59" t="str">
        <f>IF(COUNTA(A790:G790)=0,"",IF(A790="","N° facture manquant",IF(ISNA(MATCH(A790,fa_num,0)),"Facture inconnue",IF(AND(B790&lt;&gt;"",ISNA(MATCH(B790,pr_code,0))),"Article inconnu",IF(H790="","Désignation manquante",IF(OR(NOT(ISNUMBER(D790)),N(D790)&lt;=0),"Quantité invalide",IF(J790="","Prix manquant",IF(OR(NOT(ISNUMBER(J790)),N(J790)&lt;0),"Prix invalide",IF(OR(AND(F790&lt;&gt;"",NOT(ISNUMBER(F790))),N(F790)&lt;0,N(F790)&gt;1),"Remise invalide",IF(K790="","Taux de TVA manquant",IF(NOT(ISNUMBER(K790)),"Taux de TVA invalide",IF(COUNTIF(p_rates,K790)=0,"Taux de TVA hors liste (Paramètres)",IF(N(O790)&gt;25,"Au-delà de 25 lignes : non imprimée","OK")))))))))))))</f>
        <v/>
      </c>
      <c r="O790" s="59" t="str">
        <f>IF(A790="","",COUNTIF($A$6:A790,A790))</f>
        <v/>
      </c>
      <c r="P790" s="62" t="str">
        <f>IF(A790="","",A790&amp;"|"&amp;O790)</f>
        <v/>
      </c>
    </row>
    <row r="791">
      <c r="A791" s="60" t="n"/>
      <c r="B791" s="63" t="n"/>
      <c r="C791" s="63" t="n"/>
      <c r="D791" s="67" t="n"/>
      <c r="E791" s="68" t="n"/>
      <c r="F791" s="69" t="n"/>
      <c r="G791" s="70" t="n"/>
      <c r="H791" s="62" t="str">
        <f>IF(COUNTA(A791:G791)=0,"",IF(C791&lt;&gt;"",C791,IF(B791="","",IFERROR(INDEX(pr_des,MATCH(B791,pr_code,0))&amp;"",""))))</f>
        <v/>
      </c>
      <c r="I791" s="59" t="str">
        <f>IF(B791="","",IFERROR(INDEX(pr_unit,MATCH(B791,pr_code,0))&amp;"",""))</f>
        <v/>
      </c>
      <c r="J791" s="65" t="str">
        <f>IF(COUNTA(A791:G791)=0,"",IF(E791&lt;&gt;"",E791,IF(B791="","",IFERROR(IF(INDEX(pr_price,MATCH(B791,pr_code,0))="","",INDEX(pr_price,MATCH(B791,pr_code,0))),""))))</f>
        <v/>
      </c>
      <c r="K791" s="71" t="str">
        <f>IF(COUNTA(A791:G791)=0,"",IF(G791&lt;&gt;"",G791,IF(B791="","",IFERROR(IF(INDEX(pr_rate,MATCH(B791,pr_code,0))="","",INDEX(pr_rate,MATCH(B791,pr_code,0))),""))))</f>
        <v/>
      </c>
      <c r="L791" s="65" t="str">
        <f>IF(COUNTA(A791:G791)=0,"",IF(AND(ISNUMBER(D791),ISNUMBER(J791)),ROUND(D791*J791*(1-N(F791)),2),0))</f>
        <v/>
      </c>
      <c r="M791" s="62" t="str">
        <f>IF(A791="","",IFERROR(INDEX(fa_cname,MATCH(A791,fa_num,0))&amp;"",""))</f>
        <v/>
      </c>
      <c r="N791" s="59" t="str">
        <f>IF(COUNTA(A791:G791)=0,"",IF(A791="","N° facture manquant",IF(ISNA(MATCH(A791,fa_num,0)),"Facture inconnue",IF(AND(B791&lt;&gt;"",ISNA(MATCH(B791,pr_code,0))),"Article inconnu",IF(H791="","Désignation manquante",IF(OR(NOT(ISNUMBER(D791)),N(D791)&lt;=0),"Quantité invalide",IF(J791="","Prix manquant",IF(OR(NOT(ISNUMBER(J791)),N(J791)&lt;0),"Prix invalide",IF(OR(AND(F791&lt;&gt;"",NOT(ISNUMBER(F791))),N(F791)&lt;0,N(F791)&gt;1),"Remise invalide",IF(K791="","Taux de TVA manquant",IF(NOT(ISNUMBER(K791)),"Taux de TVA invalide",IF(COUNTIF(p_rates,K791)=0,"Taux de TVA hors liste (Paramètres)",IF(N(O791)&gt;25,"Au-delà de 25 lignes : non imprimée","OK")))))))))))))</f>
        <v/>
      </c>
      <c r="O791" s="59" t="str">
        <f>IF(A791="","",COUNTIF($A$6:A791,A791))</f>
        <v/>
      </c>
      <c r="P791" s="62" t="str">
        <f>IF(A791="","",A791&amp;"|"&amp;O791)</f>
        <v/>
      </c>
    </row>
    <row r="792">
      <c r="A792" s="60" t="n"/>
      <c r="B792" s="63" t="n"/>
      <c r="C792" s="63" t="n"/>
      <c r="D792" s="67" t="n"/>
      <c r="E792" s="68" t="n"/>
      <c r="F792" s="69" t="n"/>
      <c r="G792" s="70" t="n"/>
      <c r="H792" s="62" t="str">
        <f>IF(COUNTA(A792:G792)=0,"",IF(C792&lt;&gt;"",C792,IF(B792="","",IFERROR(INDEX(pr_des,MATCH(B792,pr_code,0))&amp;"",""))))</f>
        <v/>
      </c>
      <c r="I792" s="59" t="str">
        <f>IF(B792="","",IFERROR(INDEX(pr_unit,MATCH(B792,pr_code,0))&amp;"",""))</f>
        <v/>
      </c>
      <c r="J792" s="65" t="str">
        <f>IF(COUNTA(A792:G792)=0,"",IF(E792&lt;&gt;"",E792,IF(B792="","",IFERROR(IF(INDEX(pr_price,MATCH(B792,pr_code,0))="","",INDEX(pr_price,MATCH(B792,pr_code,0))),""))))</f>
        <v/>
      </c>
      <c r="K792" s="71" t="str">
        <f>IF(COUNTA(A792:G792)=0,"",IF(G792&lt;&gt;"",G792,IF(B792="","",IFERROR(IF(INDEX(pr_rate,MATCH(B792,pr_code,0))="","",INDEX(pr_rate,MATCH(B792,pr_code,0))),""))))</f>
        <v/>
      </c>
      <c r="L792" s="65" t="str">
        <f>IF(COUNTA(A792:G792)=0,"",IF(AND(ISNUMBER(D792),ISNUMBER(J792)),ROUND(D792*J792*(1-N(F792)),2),0))</f>
        <v/>
      </c>
      <c r="M792" s="62" t="str">
        <f>IF(A792="","",IFERROR(INDEX(fa_cname,MATCH(A792,fa_num,0))&amp;"",""))</f>
        <v/>
      </c>
      <c r="N792" s="59" t="str">
        <f>IF(COUNTA(A792:G792)=0,"",IF(A792="","N° facture manquant",IF(ISNA(MATCH(A792,fa_num,0)),"Facture inconnue",IF(AND(B792&lt;&gt;"",ISNA(MATCH(B792,pr_code,0))),"Article inconnu",IF(H792="","Désignation manquante",IF(OR(NOT(ISNUMBER(D792)),N(D792)&lt;=0),"Quantité invalide",IF(J792="","Prix manquant",IF(OR(NOT(ISNUMBER(J792)),N(J792)&lt;0),"Prix invalide",IF(OR(AND(F792&lt;&gt;"",NOT(ISNUMBER(F792))),N(F792)&lt;0,N(F792)&gt;1),"Remise invalide",IF(K792="","Taux de TVA manquant",IF(NOT(ISNUMBER(K792)),"Taux de TVA invalide",IF(COUNTIF(p_rates,K792)=0,"Taux de TVA hors liste (Paramètres)",IF(N(O792)&gt;25,"Au-delà de 25 lignes : non imprimée","OK")))))))))))))</f>
        <v/>
      </c>
      <c r="O792" s="59" t="str">
        <f>IF(A792="","",COUNTIF($A$6:A792,A792))</f>
        <v/>
      </c>
      <c r="P792" s="62" t="str">
        <f>IF(A792="","",A792&amp;"|"&amp;O792)</f>
        <v/>
      </c>
    </row>
    <row r="793">
      <c r="A793" s="60" t="n"/>
      <c r="B793" s="63" t="n"/>
      <c r="C793" s="63" t="n"/>
      <c r="D793" s="67" t="n"/>
      <c r="E793" s="68" t="n"/>
      <c r="F793" s="69" t="n"/>
      <c r="G793" s="70" t="n"/>
      <c r="H793" s="62" t="str">
        <f>IF(COUNTA(A793:G793)=0,"",IF(C793&lt;&gt;"",C793,IF(B793="","",IFERROR(INDEX(pr_des,MATCH(B793,pr_code,0))&amp;"",""))))</f>
        <v/>
      </c>
      <c r="I793" s="59" t="str">
        <f>IF(B793="","",IFERROR(INDEX(pr_unit,MATCH(B793,pr_code,0))&amp;"",""))</f>
        <v/>
      </c>
      <c r="J793" s="65" t="str">
        <f>IF(COUNTA(A793:G793)=0,"",IF(E793&lt;&gt;"",E793,IF(B793="","",IFERROR(IF(INDEX(pr_price,MATCH(B793,pr_code,0))="","",INDEX(pr_price,MATCH(B793,pr_code,0))),""))))</f>
        <v/>
      </c>
      <c r="K793" s="71" t="str">
        <f>IF(COUNTA(A793:G793)=0,"",IF(G793&lt;&gt;"",G793,IF(B793="","",IFERROR(IF(INDEX(pr_rate,MATCH(B793,pr_code,0))="","",INDEX(pr_rate,MATCH(B793,pr_code,0))),""))))</f>
        <v/>
      </c>
      <c r="L793" s="65" t="str">
        <f>IF(COUNTA(A793:G793)=0,"",IF(AND(ISNUMBER(D793),ISNUMBER(J793)),ROUND(D793*J793*(1-N(F793)),2),0))</f>
        <v/>
      </c>
      <c r="M793" s="62" t="str">
        <f>IF(A793="","",IFERROR(INDEX(fa_cname,MATCH(A793,fa_num,0))&amp;"",""))</f>
        <v/>
      </c>
      <c r="N793" s="59" t="str">
        <f>IF(COUNTA(A793:G793)=0,"",IF(A793="","N° facture manquant",IF(ISNA(MATCH(A793,fa_num,0)),"Facture inconnue",IF(AND(B793&lt;&gt;"",ISNA(MATCH(B793,pr_code,0))),"Article inconnu",IF(H793="","Désignation manquante",IF(OR(NOT(ISNUMBER(D793)),N(D793)&lt;=0),"Quantité invalide",IF(J793="","Prix manquant",IF(OR(NOT(ISNUMBER(J793)),N(J793)&lt;0),"Prix invalide",IF(OR(AND(F793&lt;&gt;"",NOT(ISNUMBER(F793))),N(F793)&lt;0,N(F793)&gt;1),"Remise invalide",IF(K793="","Taux de TVA manquant",IF(NOT(ISNUMBER(K793)),"Taux de TVA invalide",IF(COUNTIF(p_rates,K793)=0,"Taux de TVA hors liste (Paramètres)",IF(N(O793)&gt;25,"Au-delà de 25 lignes : non imprimée","OK")))))))))))))</f>
        <v/>
      </c>
      <c r="O793" s="59" t="str">
        <f>IF(A793="","",COUNTIF($A$6:A793,A793))</f>
        <v/>
      </c>
      <c r="P793" s="62" t="str">
        <f>IF(A793="","",A793&amp;"|"&amp;O793)</f>
        <v/>
      </c>
    </row>
    <row r="794">
      <c r="A794" s="60" t="n"/>
      <c r="B794" s="63" t="n"/>
      <c r="C794" s="63" t="n"/>
      <c r="D794" s="67" t="n"/>
      <c r="E794" s="68" t="n"/>
      <c r="F794" s="69" t="n"/>
      <c r="G794" s="70" t="n"/>
      <c r="H794" s="62" t="str">
        <f>IF(COUNTA(A794:G794)=0,"",IF(C794&lt;&gt;"",C794,IF(B794="","",IFERROR(INDEX(pr_des,MATCH(B794,pr_code,0))&amp;"",""))))</f>
        <v/>
      </c>
      <c r="I794" s="59" t="str">
        <f>IF(B794="","",IFERROR(INDEX(pr_unit,MATCH(B794,pr_code,0))&amp;"",""))</f>
        <v/>
      </c>
      <c r="J794" s="65" t="str">
        <f>IF(COUNTA(A794:G794)=0,"",IF(E794&lt;&gt;"",E794,IF(B794="","",IFERROR(IF(INDEX(pr_price,MATCH(B794,pr_code,0))="","",INDEX(pr_price,MATCH(B794,pr_code,0))),""))))</f>
        <v/>
      </c>
      <c r="K794" s="71" t="str">
        <f>IF(COUNTA(A794:G794)=0,"",IF(G794&lt;&gt;"",G794,IF(B794="","",IFERROR(IF(INDEX(pr_rate,MATCH(B794,pr_code,0))="","",INDEX(pr_rate,MATCH(B794,pr_code,0))),""))))</f>
        <v/>
      </c>
      <c r="L794" s="65" t="str">
        <f>IF(COUNTA(A794:G794)=0,"",IF(AND(ISNUMBER(D794),ISNUMBER(J794)),ROUND(D794*J794*(1-N(F794)),2),0))</f>
        <v/>
      </c>
      <c r="M794" s="62" t="str">
        <f>IF(A794="","",IFERROR(INDEX(fa_cname,MATCH(A794,fa_num,0))&amp;"",""))</f>
        <v/>
      </c>
      <c r="N794" s="59" t="str">
        <f>IF(COUNTA(A794:G794)=0,"",IF(A794="","N° facture manquant",IF(ISNA(MATCH(A794,fa_num,0)),"Facture inconnue",IF(AND(B794&lt;&gt;"",ISNA(MATCH(B794,pr_code,0))),"Article inconnu",IF(H794="","Désignation manquante",IF(OR(NOT(ISNUMBER(D794)),N(D794)&lt;=0),"Quantité invalide",IF(J794="","Prix manquant",IF(OR(NOT(ISNUMBER(J794)),N(J794)&lt;0),"Prix invalide",IF(OR(AND(F794&lt;&gt;"",NOT(ISNUMBER(F794))),N(F794)&lt;0,N(F794)&gt;1),"Remise invalide",IF(K794="","Taux de TVA manquant",IF(NOT(ISNUMBER(K794)),"Taux de TVA invalide",IF(COUNTIF(p_rates,K794)=0,"Taux de TVA hors liste (Paramètres)",IF(N(O794)&gt;25,"Au-delà de 25 lignes : non imprimée","OK")))))))))))))</f>
        <v/>
      </c>
      <c r="O794" s="59" t="str">
        <f>IF(A794="","",COUNTIF($A$6:A794,A794))</f>
        <v/>
      </c>
      <c r="P794" s="62" t="str">
        <f>IF(A794="","",A794&amp;"|"&amp;O794)</f>
        <v/>
      </c>
    </row>
    <row r="795">
      <c r="A795" s="60" t="n"/>
      <c r="B795" s="63" t="n"/>
      <c r="C795" s="63" t="n"/>
      <c r="D795" s="67" t="n"/>
      <c r="E795" s="68" t="n"/>
      <c r="F795" s="69" t="n"/>
      <c r="G795" s="70" t="n"/>
      <c r="H795" s="62" t="str">
        <f>IF(COUNTA(A795:G795)=0,"",IF(C795&lt;&gt;"",C795,IF(B795="","",IFERROR(INDEX(pr_des,MATCH(B795,pr_code,0))&amp;"",""))))</f>
        <v/>
      </c>
      <c r="I795" s="59" t="str">
        <f>IF(B795="","",IFERROR(INDEX(pr_unit,MATCH(B795,pr_code,0))&amp;"",""))</f>
        <v/>
      </c>
      <c r="J795" s="65" t="str">
        <f>IF(COUNTA(A795:G795)=0,"",IF(E795&lt;&gt;"",E795,IF(B795="","",IFERROR(IF(INDEX(pr_price,MATCH(B795,pr_code,0))="","",INDEX(pr_price,MATCH(B795,pr_code,0))),""))))</f>
        <v/>
      </c>
      <c r="K795" s="71" t="str">
        <f>IF(COUNTA(A795:G795)=0,"",IF(G795&lt;&gt;"",G795,IF(B795="","",IFERROR(IF(INDEX(pr_rate,MATCH(B795,pr_code,0))="","",INDEX(pr_rate,MATCH(B795,pr_code,0))),""))))</f>
        <v/>
      </c>
      <c r="L795" s="65" t="str">
        <f>IF(COUNTA(A795:G795)=0,"",IF(AND(ISNUMBER(D795),ISNUMBER(J795)),ROUND(D795*J795*(1-N(F795)),2),0))</f>
        <v/>
      </c>
      <c r="M795" s="62" t="str">
        <f>IF(A795="","",IFERROR(INDEX(fa_cname,MATCH(A795,fa_num,0))&amp;"",""))</f>
        <v/>
      </c>
      <c r="N795" s="59" t="str">
        <f>IF(COUNTA(A795:G795)=0,"",IF(A795="","N° facture manquant",IF(ISNA(MATCH(A795,fa_num,0)),"Facture inconnue",IF(AND(B795&lt;&gt;"",ISNA(MATCH(B795,pr_code,0))),"Article inconnu",IF(H795="","Désignation manquante",IF(OR(NOT(ISNUMBER(D795)),N(D795)&lt;=0),"Quantité invalide",IF(J795="","Prix manquant",IF(OR(NOT(ISNUMBER(J795)),N(J795)&lt;0),"Prix invalide",IF(OR(AND(F795&lt;&gt;"",NOT(ISNUMBER(F795))),N(F795)&lt;0,N(F795)&gt;1),"Remise invalide",IF(K795="","Taux de TVA manquant",IF(NOT(ISNUMBER(K795)),"Taux de TVA invalide",IF(COUNTIF(p_rates,K795)=0,"Taux de TVA hors liste (Paramètres)",IF(N(O795)&gt;25,"Au-delà de 25 lignes : non imprimée","OK")))))))))))))</f>
        <v/>
      </c>
      <c r="O795" s="59" t="str">
        <f>IF(A795="","",COUNTIF($A$6:A795,A795))</f>
        <v/>
      </c>
      <c r="P795" s="62" t="str">
        <f>IF(A795="","",A795&amp;"|"&amp;O795)</f>
        <v/>
      </c>
    </row>
    <row r="796">
      <c r="A796" s="60" t="n"/>
      <c r="B796" s="63" t="n"/>
      <c r="C796" s="63" t="n"/>
      <c r="D796" s="67" t="n"/>
      <c r="E796" s="68" t="n"/>
      <c r="F796" s="69" t="n"/>
      <c r="G796" s="70" t="n"/>
      <c r="H796" s="62" t="str">
        <f>IF(COUNTA(A796:G796)=0,"",IF(C796&lt;&gt;"",C796,IF(B796="","",IFERROR(INDEX(pr_des,MATCH(B796,pr_code,0))&amp;"",""))))</f>
        <v/>
      </c>
      <c r="I796" s="59" t="str">
        <f>IF(B796="","",IFERROR(INDEX(pr_unit,MATCH(B796,pr_code,0))&amp;"",""))</f>
        <v/>
      </c>
      <c r="J796" s="65" t="str">
        <f>IF(COUNTA(A796:G796)=0,"",IF(E796&lt;&gt;"",E796,IF(B796="","",IFERROR(IF(INDEX(pr_price,MATCH(B796,pr_code,0))="","",INDEX(pr_price,MATCH(B796,pr_code,0))),""))))</f>
        <v/>
      </c>
      <c r="K796" s="71" t="str">
        <f>IF(COUNTA(A796:G796)=0,"",IF(G796&lt;&gt;"",G796,IF(B796="","",IFERROR(IF(INDEX(pr_rate,MATCH(B796,pr_code,0))="","",INDEX(pr_rate,MATCH(B796,pr_code,0))),""))))</f>
        <v/>
      </c>
      <c r="L796" s="65" t="str">
        <f>IF(COUNTA(A796:G796)=0,"",IF(AND(ISNUMBER(D796),ISNUMBER(J796)),ROUND(D796*J796*(1-N(F796)),2),0))</f>
        <v/>
      </c>
      <c r="M796" s="62" t="str">
        <f>IF(A796="","",IFERROR(INDEX(fa_cname,MATCH(A796,fa_num,0))&amp;"",""))</f>
        <v/>
      </c>
      <c r="N796" s="59" t="str">
        <f>IF(COUNTA(A796:G796)=0,"",IF(A796="","N° facture manquant",IF(ISNA(MATCH(A796,fa_num,0)),"Facture inconnue",IF(AND(B796&lt;&gt;"",ISNA(MATCH(B796,pr_code,0))),"Article inconnu",IF(H796="","Désignation manquante",IF(OR(NOT(ISNUMBER(D796)),N(D796)&lt;=0),"Quantité invalide",IF(J796="","Prix manquant",IF(OR(NOT(ISNUMBER(J796)),N(J796)&lt;0),"Prix invalide",IF(OR(AND(F796&lt;&gt;"",NOT(ISNUMBER(F796))),N(F796)&lt;0,N(F796)&gt;1),"Remise invalide",IF(K796="","Taux de TVA manquant",IF(NOT(ISNUMBER(K796)),"Taux de TVA invalide",IF(COUNTIF(p_rates,K796)=0,"Taux de TVA hors liste (Paramètres)",IF(N(O796)&gt;25,"Au-delà de 25 lignes : non imprimée","OK")))))))))))))</f>
        <v/>
      </c>
      <c r="O796" s="59" t="str">
        <f>IF(A796="","",COUNTIF($A$6:A796,A796))</f>
        <v/>
      </c>
      <c r="P796" s="62" t="str">
        <f>IF(A796="","",A796&amp;"|"&amp;O796)</f>
        <v/>
      </c>
    </row>
    <row r="797">
      <c r="A797" s="60" t="n"/>
      <c r="B797" s="63" t="n"/>
      <c r="C797" s="63" t="n"/>
      <c r="D797" s="67" t="n"/>
      <c r="E797" s="68" t="n"/>
      <c r="F797" s="69" t="n"/>
      <c r="G797" s="70" t="n"/>
      <c r="H797" s="62" t="str">
        <f>IF(COUNTA(A797:G797)=0,"",IF(C797&lt;&gt;"",C797,IF(B797="","",IFERROR(INDEX(pr_des,MATCH(B797,pr_code,0))&amp;"",""))))</f>
        <v/>
      </c>
      <c r="I797" s="59" t="str">
        <f>IF(B797="","",IFERROR(INDEX(pr_unit,MATCH(B797,pr_code,0))&amp;"",""))</f>
        <v/>
      </c>
      <c r="J797" s="65" t="str">
        <f>IF(COUNTA(A797:G797)=0,"",IF(E797&lt;&gt;"",E797,IF(B797="","",IFERROR(IF(INDEX(pr_price,MATCH(B797,pr_code,0))="","",INDEX(pr_price,MATCH(B797,pr_code,0))),""))))</f>
        <v/>
      </c>
      <c r="K797" s="71" t="str">
        <f>IF(COUNTA(A797:G797)=0,"",IF(G797&lt;&gt;"",G797,IF(B797="","",IFERROR(IF(INDEX(pr_rate,MATCH(B797,pr_code,0))="","",INDEX(pr_rate,MATCH(B797,pr_code,0))),""))))</f>
        <v/>
      </c>
      <c r="L797" s="65" t="str">
        <f>IF(COUNTA(A797:G797)=0,"",IF(AND(ISNUMBER(D797),ISNUMBER(J797)),ROUND(D797*J797*(1-N(F797)),2),0))</f>
        <v/>
      </c>
      <c r="M797" s="62" t="str">
        <f>IF(A797="","",IFERROR(INDEX(fa_cname,MATCH(A797,fa_num,0))&amp;"",""))</f>
        <v/>
      </c>
      <c r="N797" s="59" t="str">
        <f>IF(COUNTA(A797:G797)=0,"",IF(A797="","N° facture manquant",IF(ISNA(MATCH(A797,fa_num,0)),"Facture inconnue",IF(AND(B797&lt;&gt;"",ISNA(MATCH(B797,pr_code,0))),"Article inconnu",IF(H797="","Désignation manquante",IF(OR(NOT(ISNUMBER(D797)),N(D797)&lt;=0),"Quantité invalide",IF(J797="","Prix manquant",IF(OR(NOT(ISNUMBER(J797)),N(J797)&lt;0),"Prix invalide",IF(OR(AND(F797&lt;&gt;"",NOT(ISNUMBER(F797))),N(F797)&lt;0,N(F797)&gt;1),"Remise invalide",IF(K797="","Taux de TVA manquant",IF(NOT(ISNUMBER(K797)),"Taux de TVA invalide",IF(COUNTIF(p_rates,K797)=0,"Taux de TVA hors liste (Paramètres)",IF(N(O797)&gt;25,"Au-delà de 25 lignes : non imprimée","OK")))))))))))))</f>
        <v/>
      </c>
      <c r="O797" s="59" t="str">
        <f>IF(A797="","",COUNTIF($A$6:A797,A797))</f>
        <v/>
      </c>
      <c r="P797" s="62" t="str">
        <f>IF(A797="","",A797&amp;"|"&amp;O797)</f>
        <v/>
      </c>
    </row>
    <row r="798">
      <c r="A798" s="60" t="n"/>
      <c r="B798" s="63" t="n"/>
      <c r="C798" s="63" t="n"/>
      <c r="D798" s="67" t="n"/>
      <c r="E798" s="68" t="n"/>
      <c r="F798" s="69" t="n"/>
      <c r="G798" s="70" t="n"/>
      <c r="H798" s="62" t="str">
        <f>IF(COUNTA(A798:G798)=0,"",IF(C798&lt;&gt;"",C798,IF(B798="","",IFERROR(INDEX(pr_des,MATCH(B798,pr_code,0))&amp;"",""))))</f>
        <v/>
      </c>
      <c r="I798" s="59" t="str">
        <f>IF(B798="","",IFERROR(INDEX(pr_unit,MATCH(B798,pr_code,0))&amp;"",""))</f>
        <v/>
      </c>
      <c r="J798" s="65" t="str">
        <f>IF(COUNTA(A798:G798)=0,"",IF(E798&lt;&gt;"",E798,IF(B798="","",IFERROR(IF(INDEX(pr_price,MATCH(B798,pr_code,0))="","",INDEX(pr_price,MATCH(B798,pr_code,0))),""))))</f>
        <v/>
      </c>
      <c r="K798" s="71" t="str">
        <f>IF(COUNTA(A798:G798)=0,"",IF(G798&lt;&gt;"",G798,IF(B798="","",IFERROR(IF(INDEX(pr_rate,MATCH(B798,pr_code,0))="","",INDEX(pr_rate,MATCH(B798,pr_code,0))),""))))</f>
        <v/>
      </c>
      <c r="L798" s="65" t="str">
        <f>IF(COUNTA(A798:G798)=0,"",IF(AND(ISNUMBER(D798),ISNUMBER(J798)),ROUND(D798*J798*(1-N(F798)),2),0))</f>
        <v/>
      </c>
      <c r="M798" s="62" t="str">
        <f>IF(A798="","",IFERROR(INDEX(fa_cname,MATCH(A798,fa_num,0))&amp;"",""))</f>
        <v/>
      </c>
      <c r="N798" s="59" t="str">
        <f>IF(COUNTA(A798:G798)=0,"",IF(A798="","N° facture manquant",IF(ISNA(MATCH(A798,fa_num,0)),"Facture inconnue",IF(AND(B798&lt;&gt;"",ISNA(MATCH(B798,pr_code,0))),"Article inconnu",IF(H798="","Désignation manquante",IF(OR(NOT(ISNUMBER(D798)),N(D798)&lt;=0),"Quantité invalide",IF(J798="","Prix manquant",IF(OR(NOT(ISNUMBER(J798)),N(J798)&lt;0),"Prix invalide",IF(OR(AND(F798&lt;&gt;"",NOT(ISNUMBER(F798))),N(F798)&lt;0,N(F798)&gt;1),"Remise invalide",IF(K798="","Taux de TVA manquant",IF(NOT(ISNUMBER(K798)),"Taux de TVA invalide",IF(COUNTIF(p_rates,K798)=0,"Taux de TVA hors liste (Paramètres)",IF(N(O798)&gt;25,"Au-delà de 25 lignes : non imprimée","OK")))))))))))))</f>
        <v/>
      </c>
      <c r="O798" s="59" t="str">
        <f>IF(A798="","",COUNTIF($A$6:A798,A798))</f>
        <v/>
      </c>
      <c r="P798" s="62" t="str">
        <f>IF(A798="","",A798&amp;"|"&amp;O798)</f>
        <v/>
      </c>
    </row>
    <row r="799">
      <c r="A799" s="60" t="n"/>
      <c r="B799" s="63" t="n"/>
      <c r="C799" s="63" t="n"/>
      <c r="D799" s="67" t="n"/>
      <c r="E799" s="68" t="n"/>
      <c r="F799" s="69" t="n"/>
      <c r="G799" s="70" t="n"/>
      <c r="H799" s="62" t="str">
        <f>IF(COUNTA(A799:G799)=0,"",IF(C799&lt;&gt;"",C799,IF(B799="","",IFERROR(INDEX(pr_des,MATCH(B799,pr_code,0))&amp;"",""))))</f>
        <v/>
      </c>
      <c r="I799" s="59" t="str">
        <f>IF(B799="","",IFERROR(INDEX(pr_unit,MATCH(B799,pr_code,0))&amp;"",""))</f>
        <v/>
      </c>
      <c r="J799" s="65" t="str">
        <f>IF(COUNTA(A799:G799)=0,"",IF(E799&lt;&gt;"",E799,IF(B799="","",IFERROR(IF(INDEX(pr_price,MATCH(B799,pr_code,0))="","",INDEX(pr_price,MATCH(B799,pr_code,0))),""))))</f>
        <v/>
      </c>
      <c r="K799" s="71" t="str">
        <f>IF(COUNTA(A799:G799)=0,"",IF(G799&lt;&gt;"",G799,IF(B799="","",IFERROR(IF(INDEX(pr_rate,MATCH(B799,pr_code,0))="","",INDEX(pr_rate,MATCH(B799,pr_code,0))),""))))</f>
        <v/>
      </c>
      <c r="L799" s="65" t="str">
        <f>IF(COUNTA(A799:G799)=0,"",IF(AND(ISNUMBER(D799),ISNUMBER(J799)),ROUND(D799*J799*(1-N(F799)),2),0))</f>
        <v/>
      </c>
      <c r="M799" s="62" t="str">
        <f>IF(A799="","",IFERROR(INDEX(fa_cname,MATCH(A799,fa_num,0))&amp;"",""))</f>
        <v/>
      </c>
      <c r="N799" s="59" t="str">
        <f>IF(COUNTA(A799:G799)=0,"",IF(A799="","N° facture manquant",IF(ISNA(MATCH(A799,fa_num,0)),"Facture inconnue",IF(AND(B799&lt;&gt;"",ISNA(MATCH(B799,pr_code,0))),"Article inconnu",IF(H799="","Désignation manquante",IF(OR(NOT(ISNUMBER(D799)),N(D799)&lt;=0),"Quantité invalide",IF(J799="","Prix manquant",IF(OR(NOT(ISNUMBER(J799)),N(J799)&lt;0),"Prix invalide",IF(OR(AND(F799&lt;&gt;"",NOT(ISNUMBER(F799))),N(F799)&lt;0,N(F799)&gt;1),"Remise invalide",IF(K799="","Taux de TVA manquant",IF(NOT(ISNUMBER(K799)),"Taux de TVA invalide",IF(COUNTIF(p_rates,K799)=0,"Taux de TVA hors liste (Paramètres)",IF(N(O799)&gt;25,"Au-delà de 25 lignes : non imprimée","OK")))))))))))))</f>
        <v/>
      </c>
      <c r="O799" s="59" t="str">
        <f>IF(A799="","",COUNTIF($A$6:A799,A799))</f>
        <v/>
      </c>
      <c r="P799" s="62" t="str">
        <f>IF(A799="","",A799&amp;"|"&amp;O799)</f>
        <v/>
      </c>
    </row>
    <row r="800">
      <c r="A800" s="60" t="n"/>
      <c r="B800" s="63" t="n"/>
      <c r="C800" s="63" t="n"/>
      <c r="D800" s="67" t="n"/>
      <c r="E800" s="68" t="n"/>
      <c r="F800" s="69" t="n"/>
      <c r="G800" s="70" t="n"/>
      <c r="H800" s="62" t="str">
        <f>IF(COUNTA(A800:G800)=0,"",IF(C800&lt;&gt;"",C800,IF(B800="","",IFERROR(INDEX(pr_des,MATCH(B800,pr_code,0))&amp;"",""))))</f>
        <v/>
      </c>
      <c r="I800" s="59" t="str">
        <f>IF(B800="","",IFERROR(INDEX(pr_unit,MATCH(B800,pr_code,0))&amp;"",""))</f>
        <v/>
      </c>
      <c r="J800" s="65" t="str">
        <f>IF(COUNTA(A800:G800)=0,"",IF(E800&lt;&gt;"",E800,IF(B800="","",IFERROR(IF(INDEX(pr_price,MATCH(B800,pr_code,0))="","",INDEX(pr_price,MATCH(B800,pr_code,0))),""))))</f>
        <v/>
      </c>
      <c r="K800" s="71" t="str">
        <f>IF(COUNTA(A800:G800)=0,"",IF(G800&lt;&gt;"",G800,IF(B800="","",IFERROR(IF(INDEX(pr_rate,MATCH(B800,pr_code,0))="","",INDEX(pr_rate,MATCH(B800,pr_code,0))),""))))</f>
        <v/>
      </c>
      <c r="L800" s="65" t="str">
        <f>IF(COUNTA(A800:G800)=0,"",IF(AND(ISNUMBER(D800),ISNUMBER(J800)),ROUND(D800*J800*(1-N(F800)),2),0))</f>
        <v/>
      </c>
      <c r="M800" s="62" t="str">
        <f>IF(A800="","",IFERROR(INDEX(fa_cname,MATCH(A800,fa_num,0))&amp;"",""))</f>
        <v/>
      </c>
      <c r="N800" s="59" t="str">
        <f>IF(COUNTA(A800:G800)=0,"",IF(A800="","N° facture manquant",IF(ISNA(MATCH(A800,fa_num,0)),"Facture inconnue",IF(AND(B800&lt;&gt;"",ISNA(MATCH(B800,pr_code,0))),"Article inconnu",IF(H800="","Désignation manquante",IF(OR(NOT(ISNUMBER(D800)),N(D800)&lt;=0),"Quantité invalide",IF(J800="","Prix manquant",IF(OR(NOT(ISNUMBER(J800)),N(J800)&lt;0),"Prix invalide",IF(OR(AND(F800&lt;&gt;"",NOT(ISNUMBER(F800))),N(F800)&lt;0,N(F800)&gt;1),"Remise invalide",IF(K800="","Taux de TVA manquant",IF(NOT(ISNUMBER(K800)),"Taux de TVA invalide",IF(COUNTIF(p_rates,K800)=0,"Taux de TVA hors liste (Paramètres)",IF(N(O800)&gt;25,"Au-delà de 25 lignes : non imprimée","OK")))))))))))))</f>
        <v/>
      </c>
      <c r="O800" s="59" t="str">
        <f>IF(A800="","",COUNTIF($A$6:A800,A800))</f>
        <v/>
      </c>
      <c r="P800" s="62" t="str">
        <f>IF(A800="","",A800&amp;"|"&amp;O800)</f>
        <v/>
      </c>
    </row>
    <row r="801">
      <c r="A801" s="60" t="n"/>
      <c r="B801" s="63" t="n"/>
      <c r="C801" s="63" t="n"/>
      <c r="D801" s="67" t="n"/>
      <c r="E801" s="68" t="n"/>
      <c r="F801" s="69" t="n"/>
      <c r="G801" s="70" t="n"/>
      <c r="H801" s="62" t="str">
        <f>IF(COUNTA(A801:G801)=0,"",IF(C801&lt;&gt;"",C801,IF(B801="","",IFERROR(INDEX(pr_des,MATCH(B801,pr_code,0))&amp;"",""))))</f>
        <v/>
      </c>
      <c r="I801" s="59" t="str">
        <f>IF(B801="","",IFERROR(INDEX(pr_unit,MATCH(B801,pr_code,0))&amp;"",""))</f>
        <v/>
      </c>
      <c r="J801" s="65" t="str">
        <f>IF(COUNTA(A801:G801)=0,"",IF(E801&lt;&gt;"",E801,IF(B801="","",IFERROR(IF(INDEX(pr_price,MATCH(B801,pr_code,0))="","",INDEX(pr_price,MATCH(B801,pr_code,0))),""))))</f>
        <v/>
      </c>
      <c r="K801" s="71" t="str">
        <f>IF(COUNTA(A801:G801)=0,"",IF(G801&lt;&gt;"",G801,IF(B801="","",IFERROR(IF(INDEX(pr_rate,MATCH(B801,pr_code,0))="","",INDEX(pr_rate,MATCH(B801,pr_code,0))),""))))</f>
        <v/>
      </c>
      <c r="L801" s="65" t="str">
        <f>IF(COUNTA(A801:G801)=0,"",IF(AND(ISNUMBER(D801),ISNUMBER(J801)),ROUND(D801*J801*(1-N(F801)),2),0))</f>
        <v/>
      </c>
      <c r="M801" s="62" t="str">
        <f>IF(A801="","",IFERROR(INDEX(fa_cname,MATCH(A801,fa_num,0))&amp;"",""))</f>
        <v/>
      </c>
      <c r="N801" s="59" t="str">
        <f>IF(COUNTA(A801:G801)=0,"",IF(A801="","N° facture manquant",IF(ISNA(MATCH(A801,fa_num,0)),"Facture inconnue",IF(AND(B801&lt;&gt;"",ISNA(MATCH(B801,pr_code,0))),"Article inconnu",IF(H801="","Désignation manquante",IF(OR(NOT(ISNUMBER(D801)),N(D801)&lt;=0),"Quantité invalide",IF(J801="","Prix manquant",IF(OR(NOT(ISNUMBER(J801)),N(J801)&lt;0),"Prix invalide",IF(OR(AND(F801&lt;&gt;"",NOT(ISNUMBER(F801))),N(F801)&lt;0,N(F801)&gt;1),"Remise invalide",IF(K801="","Taux de TVA manquant",IF(NOT(ISNUMBER(K801)),"Taux de TVA invalide",IF(COUNTIF(p_rates,K801)=0,"Taux de TVA hors liste (Paramètres)",IF(N(O801)&gt;25,"Au-delà de 25 lignes : non imprimée","OK")))))))))))))</f>
        <v/>
      </c>
      <c r="O801" s="59" t="str">
        <f>IF(A801="","",COUNTIF($A$6:A801,A801))</f>
        <v/>
      </c>
      <c r="P801" s="62" t="str">
        <f>IF(A801="","",A801&amp;"|"&amp;O801)</f>
        <v/>
      </c>
    </row>
    <row r="802">
      <c r="A802" s="60" t="n"/>
      <c r="B802" s="63" t="n"/>
      <c r="C802" s="63" t="n"/>
      <c r="D802" s="67" t="n"/>
      <c r="E802" s="68" t="n"/>
      <c r="F802" s="69" t="n"/>
      <c r="G802" s="70" t="n"/>
      <c r="H802" s="62" t="str">
        <f>IF(COUNTA(A802:G802)=0,"",IF(C802&lt;&gt;"",C802,IF(B802="","",IFERROR(INDEX(pr_des,MATCH(B802,pr_code,0))&amp;"",""))))</f>
        <v/>
      </c>
      <c r="I802" s="59" t="str">
        <f>IF(B802="","",IFERROR(INDEX(pr_unit,MATCH(B802,pr_code,0))&amp;"",""))</f>
        <v/>
      </c>
      <c r="J802" s="65" t="str">
        <f>IF(COUNTA(A802:G802)=0,"",IF(E802&lt;&gt;"",E802,IF(B802="","",IFERROR(IF(INDEX(pr_price,MATCH(B802,pr_code,0))="","",INDEX(pr_price,MATCH(B802,pr_code,0))),""))))</f>
        <v/>
      </c>
      <c r="K802" s="71" t="str">
        <f>IF(COUNTA(A802:G802)=0,"",IF(G802&lt;&gt;"",G802,IF(B802="","",IFERROR(IF(INDEX(pr_rate,MATCH(B802,pr_code,0))="","",INDEX(pr_rate,MATCH(B802,pr_code,0))),""))))</f>
        <v/>
      </c>
      <c r="L802" s="65" t="str">
        <f>IF(COUNTA(A802:G802)=0,"",IF(AND(ISNUMBER(D802),ISNUMBER(J802)),ROUND(D802*J802*(1-N(F802)),2),0))</f>
        <v/>
      </c>
      <c r="M802" s="62" t="str">
        <f>IF(A802="","",IFERROR(INDEX(fa_cname,MATCH(A802,fa_num,0))&amp;"",""))</f>
        <v/>
      </c>
      <c r="N802" s="59" t="str">
        <f>IF(COUNTA(A802:G802)=0,"",IF(A802="","N° facture manquant",IF(ISNA(MATCH(A802,fa_num,0)),"Facture inconnue",IF(AND(B802&lt;&gt;"",ISNA(MATCH(B802,pr_code,0))),"Article inconnu",IF(H802="","Désignation manquante",IF(OR(NOT(ISNUMBER(D802)),N(D802)&lt;=0),"Quantité invalide",IF(J802="","Prix manquant",IF(OR(NOT(ISNUMBER(J802)),N(J802)&lt;0),"Prix invalide",IF(OR(AND(F802&lt;&gt;"",NOT(ISNUMBER(F802))),N(F802)&lt;0,N(F802)&gt;1),"Remise invalide",IF(K802="","Taux de TVA manquant",IF(NOT(ISNUMBER(K802)),"Taux de TVA invalide",IF(COUNTIF(p_rates,K802)=0,"Taux de TVA hors liste (Paramètres)",IF(N(O802)&gt;25,"Au-delà de 25 lignes : non imprimée","OK")))))))))))))</f>
        <v/>
      </c>
      <c r="O802" s="59" t="str">
        <f>IF(A802="","",COUNTIF($A$6:A802,A802))</f>
        <v/>
      </c>
      <c r="P802" s="62" t="str">
        <f>IF(A802="","",A802&amp;"|"&amp;O802)</f>
        <v/>
      </c>
    </row>
    <row r="803">
      <c r="A803" s="60" t="n"/>
      <c r="B803" s="63" t="n"/>
      <c r="C803" s="63" t="n"/>
      <c r="D803" s="67" t="n"/>
      <c r="E803" s="68" t="n"/>
      <c r="F803" s="69" t="n"/>
      <c r="G803" s="70" t="n"/>
      <c r="H803" s="62" t="str">
        <f>IF(COUNTA(A803:G803)=0,"",IF(C803&lt;&gt;"",C803,IF(B803="","",IFERROR(INDEX(pr_des,MATCH(B803,pr_code,0))&amp;"",""))))</f>
        <v/>
      </c>
      <c r="I803" s="59" t="str">
        <f>IF(B803="","",IFERROR(INDEX(pr_unit,MATCH(B803,pr_code,0))&amp;"",""))</f>
        <v/>
      </c>
      <c r="J803" s="65" t="str">
        <f>IF(COUNTA(A803:G803)=0,"",IF(E803&lt;&gt;"",E803,IF(B803="","",IFERROR(IF(INDEX(pr_price,MATCH(B803,pr_code,0))="","",INDEX(pr_price,MATCH(B803,pr_code,0))),""))))</f>
        <v/>
      </c>
      <c r="K803" s="71" t="str">
        <f>IF(COUNTA(A803:G803)=0,"",IF(G803&lt;&gt;"",G803,IF(B803="","",IFERROR(IF(INDEX(pr_rate,MATCH(B803,pr_code,0))="","",INDEX(pr_rate,MATCH(B803,pr_code,0))),""))))</f>
        <v/>
      </c>
      <c r="L803" s="65" t="str">
        <f>IF(COUNTA(A803:G803)=0,"",IF(AND(ISNUMBER(D803),ISNUMBER(J803)),ROUND(D803*J803*(1-N(F803)),2),0))</f>
        <v/>
      </c>
      <c r="M803" s="62" t="str">
        <f>IF(A803="","",IFERROR(INDEX(fa_cname,MATCH(A803,fa_num,0))&amp;"",""))</f>
        <v/>
      </c>
      <c r="N803" s="59" t="str">
        <f>IF(COUNTA(A803:G803)=0,"",IF(A803="","N° facture manquant",IF(ISNA(MATCH(A803,fa_num,0)),"Facture inconnue",IF(AND(B803&lt;&gt;"",ISNA(MATCH(B803,pr_code,0))),"Article inconnu",IF(H803="","Désignation manquante",IF(OR(NOT(ISNUMBER(D803)),N(D803)&lt;=0),"Quantité invalide",IF(J803="","Prix manquant",IF(OR(NOT(ISNUMBER(J803)),N(J803)&lt;0),"Prix invalide",IF(OR(AND(F803&lt;&gt;"",NOT(ISNUMBER(F803))),N(F803)&lt;0,N(F803)&gt;1),"Remise invalide",IF(K803="","Taux de TVA manquant",IF(NOT(ISNUMBER(K803)),"Taux de TVA invalide",IF(COUNTIF(p_rates,K803)=0,"Taux de TVA hors liste (Paramètres)",IF(N(O803)&gt;25,"Au-delà de 25 lignes : non imprimée","OK")))))))))))))</f>
        <v/>
      </c>
      <c r="O803" s="59" t="str">
        <f>IF(A803="","",COUNTIF($A$6:A803,A803))</f>
        <v/>
      </c>
      <c r="P803" s="62" t="str">
        <f>IF(A803="","",A803&amp;"|"&amp;O803)</f>
        <v/>
      </c>
    </row>
    <row r="804">
      <c r="A804" s="60" t="n"/>
      <c r="B804" s="63" t="n"/>
      <c r="C804" s="63" t="n"/>
      <c r="D804" s="67" t="n"/>
      <c r="E804" s="68" t="n"/>
      <c r="F804" s="69" t="n"/>
      <c r="G804" s="70" t="n"/>
      <c r="H804" s="62" t="str">
        <f>IF(COUNTA(A804:G804)=0,"",IF(C804&lt;&gt;"",C804,IF(B804="","",IFERROR(INDEX(pr_des,MATCH(B804,pr_code,0))&amp;"",""))))</f>
        <v/>
      </c>
      <c r="I804" s="59" t="str">
        <f>IF(B804="","",IFERROR(INDEX(pr_unit,MATCH(B804,pr_code,0))&amp;"",""))</f>
        <v/>
      </c>
      <c r="J804" s="65" t="str">
        <f>IF(COUNTA(A804:G804)=0,"",IF(E804&lt;&gt;"",E804,IF(B804="","",IFERROR(IF(INDEX(pr_price,MATCH(B804,pr_code,0))="","",INDEX(pr_price,MATCH(B804,pr_code,0))),""))))</f>
        <v/>
      </c>
      <c r="K804" s="71" t="str">
        <f>IF(COUNTA(A804:G804)=0,"",IF(G804&lt;&gt;"",G804,IF(B804="","",IFERROR(IF(INDEX(pr_rate,MATCH(B804,pr_code,0))="","",INDEX(pr_rate,MATCH(B804,pr_code,0))),""))))</f>
        <v/>
      </c>
      <c r="L804" s="65" t="str">
        <f>IF(COUNTA(A804:G804)=0,"",IF(AND(ISNUMBER(D804),ISNUMBER(J804)),ROUND(D804*J804*(1-N(F804)),2),0))</f>
        <v/>
      </c>
      <c r="M804" s="62" t="str">
        <f>IF(A804="","",IFERROR(INDEX(fa_cname,MATCH(A804,fa_num,0))&amp;"",""))</f>
        <v/>
      </c>
      <c r="N804" s="59" t="str">
        <f>IF(COUNTA(A804:G804)=0,"",IF(A804="","N° facture manquant",IF(ISNA(MATCH(A804,fa_num,0)),"Facture inconnue",IF(AND(B804&lt;&gt;"",ISNA(MATCH(B804,pr_code,0))),"Article inconnu",IF(H804="","Désignation manquante",IF(OR(NOT(ISNUMBER(D804)),N(D804)&lt;=0),"Quantité invalide",IF(J804="","Prix manquant",IF(OR(NOT(ISNUMBER(J804)),N(J804)&lt;0),"Prix invalide",IF(OR(AND(F804&lt;&gt;"",NOT(ISNUMBER(F804))),N(F804)&lt;0,N(F804)&gt;1),"Remise invalide",IF(K804="","Taux de TVA manquant",IF(NOT(ISNUMBER(K804)),"Taux de TVA invalide",IF(COUNTIF(p_rates,K804)=0,"Taux de TVA hors liste (Paramètres)",IF(N(O804)&gt;25,"Au-delà de 25 lignes : non imprimée","OK")))))))))))))</f>
        <v/>
      </c>
      <c r="O804" s="59" t="str">
        <f>IF(A804="","",COUNTIF($A$6:A804,A804))</f>
        <v/>
      </c>
      <c r="P804" s="62" t="str">
        <f>IF(A804="","",A804&amp;"|"&amp;O804)</f>
        <v/>
      </c>
    </row>
    <row r="805">
      <c r="A805" s="60" t="n"/>
      <c r="B805" s="63" t="n"/>
      <c r="C805" s="63" t="n"/>
      <c r="D805" s="67" t="n"/>
      <c r="E805" s="68" t="n"/>
      <c r="F805" s="69" t="n"/>
      <c r="G805" s="70" t="n"/>
      <c r="H805" s="62" t="str">
        <f>IF(COUNTA(A805:G805)=0,"",IF(C805&lt;&gt;"",C805,IF(B805="","",IFERROR(INDEX(pr_des,MATCH(B805,pr_code,0))&amp;"",""))))</f>
        <v/>
      </c>
      <c r="I805" s="59" t="str">
        <f>IF(B805="","",IFERROR(INDEX(pr_unit,MATCH(B805,pr_code,0))&amp;"",""))</f>
        <v/>
      </c>
      <c r="J805" s="65" t="str">
        <f>IF(COUNTA(A805:G805)=0,"",IF(E805&lt;&gt;"",E805,IF(B805="","",IFERROR(IF(INDEX(pr_price,MATCH(B805,pr_code,0))="","",INDEX(pr_price,MATCH(B805,pr_code,0))),""))))</f>
        <v/>
      </c>
      <c r="K805" s="71" t="str">
        <f>IF(COUNTA(A805:G805)=0,"",IF(G805&lt;&gt;"",G805,IF(B805="","",IFERROR(IF(INDEX(pr_rate,MATCH(B805,pr_code,0))="","",INDEX(pr_rate,MATCH(B805,pr_code,0))),""))))</f>
        <v/>
      </c>
      <c r="L805" s="65" t="str">
        <f>IF(COUNTA(A805:G805)=0,"",IF(AND(ISNUMBER(D805),ISNUMBER(J805)),ROUND(D805*J805*(1-N(F805)),2),0))</f>
        <v/>
      </c>
      <c r="M805" s="62" t="str">
        <f>IF(A805="","",IFERROR(INDEX(fa_cname,MATCH(A805,fa_num,0))&amp;"",""))</f>
        <v/>
      </c>
      <c r="N805" s="59" t="str">
        <f>IF(COUNTA(A805:G805)=0,"",IF(A805="","N° facture manquant",IF(ISNA(MATCH(A805,fa_num,0)),"Facture inconnue",IF(AND(B805&lt;&gt;"",ISNA(MATCH(B805,pr_code,0))),"Article inconnu",IF(H805="","Désignation manquante",IF(OR(NOT(ISNUMBER(D805)),N(D805)&lt;=0),"Quantité invalide",IF(J805="","Prix manquant",IF(OR(NOT(ISNUMBER(J805)),N(J805)&lt;0),"Prix invalide",IF(OR(AND(F805&lt;&gt;"",NOT(ISNUMBER(F805))),N(F805)&lt;0,N(F805)&gt;1),"Remise invalide",IF(K805="","Taux de TVA manquant",IF(NOT(ISNUMBER(K805)),"Taux de TVA invalide",IF(COUNTIF(p_rates,K805)=0,"Taux de TVA hors liste (Paramètres)",IF(N(O805)&gt;25,"Au-delà de 25 lignes : non imprimée","OK")))))))))))))</f>
        <v/>
      </c>
      <c r="O805" s="59" t="str">
        <f>IF(A805="","",COUNTIF($A$6:A805,A805))</f>
        <v/>
      </c>
      <c r="P805" s="62" t="str">
        <f>IF(A805="","",A805&amp;"|"&amp;O805)</f>
        <v/>
      </c>
    </row>
    <row r="806">
      <c r="A806" s="60" t="n"/>
      <c r="B806" s="63" t="n"/>
      <c r="C806" s="63" t="n"/>
      <c r="D806" s="67" t="n"/>
      <c r="E806" s="68" t="n"/>
      <c r="F806" s="69" t="n"/>
      <c r="G806" s="70" t="n"/>
      <c r="H806" s="62" t="str">
        <f>IF(COUNTA(A806:G806)=0,"",IF(C806&lt;&gt;"",C806,IF(B806="","",IFERROR(INDEX(pr_des,MATCH(B806,pr_code,0))&amp;"",""))))</f>
        <v/>
      </c>
      <c r="I806" s="59" t="str">
        <f>IF(B806="","",IFERROR(INDEX(pr_unit,MATCH(B806,pr_code,0))&amp;"",""))</f>
        <v/>
      </c>
      <c r="J806" s="65" t="str">
        <f>IF(COUNTA(A806:G806)=0,"",IF(E806&lt;&gt;"",E806,IF(B806="","",IFERROR(IF(INDEX(pr_price,MATCH(B806,pr_code,0))="","",INDEX(pr_price,MATCH(B806,pr_code,0))),""))))</f>
        <v/>
      </c>
      <c r="K806" s="71" t="str">
        <f>IF(COUNTA(A806:G806)=0,"",IF(G806&lt;&gt;"",G806,IF(B806="","",IFERROR(IF(INDEX(pr_rate,MATCH(B806,pr_code,0))="","",INDEX(pr_rate,MATCH(B806,pr_code,0))),""))))</f>
        <v/>
      </c>
      <c r="L806" s="65" t="str">
        <f>IF(COUNTA(A806:G806)=0,"",IF(AND(ISNUMBER(D806),ISNUMBER(J806)),ROUND(D806*J806*(1-N(F806)),2),0))</f>
        <v/>
      </c>
      <c r="M806" s="62" t="str">
        <f>IF(A806="","",IFERROR(INDEX(fa_cname,MATCH(A806,fa_num,0))&amp;"",""))</f>
        <v/>
      </c>
      <c r="N806" s="59" t="str">
        <f>IF(COUNTA(A806:G806)=0,"",IF(A806="","N° facture manquant",IF(ISNA(MATCH(A806,fa_num,0)),"Facture inconnue",IF(AND(B806&lt;&gt;"",ISNA(MATCH(B806,pr_code,0))),"Article inconnu",IF(H806="","Désignation manquante",IF(OR(NOT(ISNUMBER(D806)),N(D806)&lt;=0),"Quantité invalide",IF(J806="","Prix manquant",IF(OR(NOT(ISNUMBER(J806)),N(J806)&lt;0),"Prix invalide",IF(OR(AND(F806&lt;&gt;"",NOT(ISNUMBER(F806))),N(F806)&lt;0,N(F806)&gt;1),"Remise invalide",IF(K806="","Taux de TVA manquant",IF(NOT(ISNUMBER(K806)),"Taux de TVA invalide",IF(COUNTIF(p_rates,K806)=0,"Taux de TVA hors liste (Paramètres)",IF(N(O806)&gt;25,"Au-delà de 25 lignes : non imprimée","OK")))))))))))))</f>
        <v/>
      </c>
      <c r="O806" s="59" t="str">
        <f>IF(A806="","",COUNTIF($A$6:A806,A806))</f>
        <v/>
      </c>
      <c r="P806" s="62" t="str">
        <f>IF(A806="","",A806&amp;"|"&amp;O806)</f>
        <v/>
      </c>
    </row>
    <row r="807">
      <c r="A807" s="60" t="n"/>
      <c r="B807" s="63" t="n"/>
      <c r="C807" s="63" t="n"/>
      <c r="D807" s="67" t="n"/>
      <c r="E807" s="68" t="n"/>
      <c r="F807" s="69" t="n"/>
      <c r="G807" s="70" t="n"/>
      <c r="H807" s="62" t="str">
        <f>IF(COUNTA(A807:G807)=0,"",IF(C807&lt;&gt;"",C807,IF(B807="","",IFERROR(INDEX(pr_des,MATCH(B807,pr_code,0))&amp;"",""))))</f>
        <v/>
      </c>
      <c r="I807" s="59" t="str">
        <f>IF(B807="","",IFERROR(INDEX(pr_unit,MATCH(B807,pr_code,0))&amp;"",""))</f>
        <v/>
      </c>
      <c r="J807" s="65" t="str">
        <f>IF(COUNTA(A807:G807)=0,"",IF(E807&lt;&gt;"",E807,IF(B807="","",IFERROR(IF(INDEX(pr_price,MATCH(B807,pr_code,0))="","",INDEX(pr_price,MATCH(B807,pr_code,0))),""))))</f>
        <v/>
      </c>
      <c r="K807" s="71" t="str">
        <f>IF(COUNTA(A807:G807)=0,"",IF(G807&lt;&gt;"",G807,IF(B807="","",IFERROR(IF(INDEX(pr_rate,MATCH(B807,pr_code,0))="","",INDEX(pr_rate,MATCH(B807,pr_code,0))),""))))</f>
        <v/>
      </c>
      <c r="L807" s="65" t="str">
        <f>IF(COUNTA(A807:G807)=0,"",IF(AND(ISNUMBER(D807),ISNUMBER(J807)),ROUND(D807*J807*(1-N(F807)),2),0))</f>
        <v/>
      </c>
      <c r="M807" s="62" t="str">
        <f>IF(A807="","",IFERROR(INDEX(fa_cname,MATCH(A807,fa_num,0))&amp;"",""))</f>
        <v/>
      </c>
      <c r="N807" s="59" t="str">
        <f>IF(COUNTA(A807:G807)=0,"",IF(A807="","N° facture manquant",IF(ISNA(MATCH(A807,fa_num,0)),"Facture inconnue",IF(AND(B807&lt;&gt;"",ISNA(MATCH(B807,pr_code,0))),"Article inconnu",IF(H807="","Désignation manquante",IF(OR(NOT(ISNUMBER(D807)),N(D807)&lt;=0),"Quantité invalide",IF(J807="","Prix manquant",IF(OR(NOT(ISNUMBER(J807)),N(J807)&lt;0),"Prix invalide",IF(OR(AND(F807&lt;&gt;"",NOT(ISNUMBER(F807))),N(F807)&lt;0,N(F807)&gt;1),"Remise invalide",IF(K807="","Taux de TVA manquant",IF(NOT(ISNUMBER(K807)),"Taux de TVA invalide",IF(COUNTIF(p_rates,K807)=0,"Taux de TVA hors liste (Paramètres)",IF(N(O807)&gt;25,"Au-delà de 25 lignes : non imprimée","OK")))))))))))))</f>
        <v/>
      </c>
      <c r="O807" s="59" t="str">
        <f>IF(A807="","",COUNTIF($A$6:A807,A807))</f>
        <v/>
      </c>
      <c r="P807" s="62" t="str">
        <f>IF(A807="","",A807&amp;"|"&amp;O807)</f>
        <v/>
      </c>
    </row>
    <row r="808">
      <c r="A808" s="60" t="n"/>
      <c r="B808" s="63" t="n"/>
      <c r="C808" s="63" t="n"/>
      <c r="D808" s="67" t="n"/>
      <c r="E808" s="68" t="n"/>
      <c r="F808" s="69" t="n"/>
      <c r="G808" s="70" t="n"/>
      <c r="H808" s="62" t="str">
        <f>IF(COUNTA(A808:G808)=0,"",IF(C808&lt;&gt;"",C808,IF(B808="","",IFERROR(INDEX(pr_des,MATCH(B808,pr_code,0))&amp;"",""))))</f>
        <v/>
      </c>
      <c r="I808" s="59" t="str">
        <f>IF(B808="","",IFERROR(INDEX(pr_unit,MATCH(B808,pr_code,0))&amp;"",""))</f>
        <v/>
      </c>
      <c r="J808" s="65" t="str">
        <f>IF(COUNTA(A808:G808)=0,"",IF(E808&lt;&gt;"",E808,IF(B808="","",IFERROR(IF(INDEX(pr_price,MATCH(B808,pr_code,0))="","",INDEX(pr_price,MATCH(B808,pr_code,0))),""))))</f>
        <v/>
      </c>
      <c r="K808" s="71" t="str">
        <f>IF(COUNTA(A808:G808)=0,"",IF(G808&lt;&gt;"",G808,IF(B808="","",IFERROR(IF(INDEX(pr_rate,MATCH(B808,pr_code,0))="","",INDEX(pr_rate,MATCH(B808,pr_code,0))),""))))</f>
        <v/>
      </c>
      <c r="L808" s="65" t="str">
        <f>IF(COUNTA(A808:G808)=0,"",IF(AND(ISNUMBER(D808),ISNUMBER(J808)),ROUND(D808*J808*(1-N(F808)),2),0))</f>
        <v/>
      </c>
      <c r="M808" s="62" t="str">
        <f>IF(A808="","",IFERROR(INDEX(fa_cname,MATCH(A808,fa_num,0))&amp;"",""))</f>
        <v/>
      </c>
      <c r="N808" s="59" t="str">
        <f>IF(COUNTA(A808:G808)=0,"",IF(A808="","N° facture manquant",IF(ISNA(MATCH(A808,fa_num,0)),"Facture inconnue",IF(AND(B808&lt;&gt;"",ISNA(MATCH(B808,pr_code,0))),"Article inconnu",IF(H808="","Désignation manquante",IF(OR(NOT(ISNUMBER(D808)),N(D808)&lt;=0),"Quantité invalide",IF(J808="","Prix manquant",IF(OR(NOT(ISNUMBER(J808)),N(J808)&lt;0),"Prix invalide",IF(OR(AND(F808&lt;&gt;"",NOT(ISNUMBER(F808))),N(F808)&lt;0,N(F808)&gt;1),"Remise invalide",IF(K808="","Taux de TVA manquant",IF(NOT(ISNUMBER(K808)),"Taux de TVA invalide",IF(COUNTIF(p_rates,K808)=0,"Taux de TVA hors liste (Paramètres)",IF(N(O808)&gt;25,"Au-delà de 25 lignes : non imprimée","OK")))))))))))))</f>
        <v/>
      </c>
      <c r="O808" s="59" t="str">
        <f>IF(A808="","",COUNTIF($A$6:A808,A808))</f>
        <v/>
      </c>
      <c r="P808" s="62" t="str">
        <f>IF(A808="","",A808&amp;"|"&amp;O808)</f>
        <v/>
      </c>
    </row>
    <row r="809">
      <c r="A809" s="60" t="n"/>
      <c r="B809" s="63" t="n"/>
      <c r="C809" s="63" t="n"/>
      <c r="D809" s="67" t="n"/>
      <c r="E809" s="68" t="n"/>
      <c r="F809" s="69" t="n"/>
      <c r="G809" s="70" t="n"/>
      <c r="H809" s="62" t="str">
        <f>IF(COUNTA(A809:G809)=0,"",IF(C809&lt;&gt;"",C809,IF(B809="","",IFERROR(INDEX(pr_des,MATCH(B809,pr_code,0))&amp;"",""))))</f>
        <v/>
      </c>
      <c r="I809" s="59" t="str">
        <f>IF(B809="","",IFERROR(INDEX(pr_unit,MATCH(B809,pr_code,0))&amp;"",""))</f>
        <v/>
      </c>
      <c r="J809" s="65" t="str">
        <f>IF(COUNTA(A809:G809)=0,"",IF(E809&lt;&gt;"",E809,IF(B809="","",IFERROR(IF(INDEX(pr_price,MATCH(B809,pr_code,0))="","",INDEX(pr_price,MATCH(B809,pr_code,0))),""))))</f>
        <v/>
      </c>
      <c r="K809" s="71" t="str">
        <f>IF(COUNTA(A809:G809)=0,"",IF(G809&lt;&gt;"",G809,IF(B809="","",IFERROR(IF(INDEX(pr_rate,MATCH(B809,pr_code,0))="","",INDEX(pr_rate,MATCH(B809,pr_code,0))),""))))</f>
        <v/>
      </c>
      <c r="L809" s="65" t="str">
        <f>IF(COUNTA(A809:G809)=0,"",IF(AND(ISNUMBER(D809),ISNUMBER(J809)),ROUND(D809*J809*(1-N(F809)),2),0))</f>
        <v/>
      </c>
      <c r="M809" s="62" t="str">
        <f>IF(A809="","",IFERROR(INDEX(fa_cname,MATCH(A809,fa_num,0))&amp;"",""))</f>
        <v/>
      </c>
      <c r="N809" s="59" t="str">
        <f>IF(COUNTA(A809:G809)=0,"",IF(A809="","N° facture manquant",IF(ISNA(MATCH(A809,fa_num,0)),"Facture inconnue",IF(AND(B809&lt;&gt;"",ISNA(MATCH(B809,pr_code,0))),"Article inconnu",IF(H809="","Désignation manquante",IF(OR(NOT(ISNUMBER(D809)),N(D809)&lt;=0),"Quantité invalide",IF(J809="","Prix manquant",IF(OR(NOT(ISNUMBER(J809)),N(J809)&lt;0),"Prix invalide",IF(OR(AND(F809&lt;&gt;"",NOT(ISNUMBER(F809))),N(F809)&lt;0,N(F809)&gt;1),"Remise invalide",IF(K809="","Taux de TVA manquant",IF(NOT(ISNUMBER(K809)),"Taux de TVA invalide",IF(COUNTIF(p_rates,K809)=0,"Taux de TVA hors liste (Paramètres)",IF(N(O809)&gt;25,"Au-delà de 25 lignes : non imprimée","OK")))))))))))))</f>
        <v/>
      </c>
      <c r="O809" s="59" t="str">
        <f>IF(A809="","",COUNTIF($A$6:A809,A809))</f>
        <v/>
      </c>
      <c r="P809" s="62" t="str">
        <f>IF(A809="","",A809&amp;"|"&amp;O809)</f>
        <v/>
      </c>
    </row>
    <row r="810">
      <c r="A810" s="60" t="n"/>
      <c r="B810" s="63" t="n"/>
      <c r="C810" s="63" t="n"/>
      <c r="D810" s="67" t="n"/>
      <c r="E810" s="68" t="n"/>
      <c r="F810" s="69" t="n"/>
      <c r="G810" s="70" t="n"/>
      <c r="H810" s="62" t="str">
        <f>IF(COUNTA(A810:G810)=0,"",IF(C810&lt;&gt;"",C810,IF(B810="","",IFERROR(INDEX(pr_des,MATCH(B810,pr_code,0))&amp;"",""))))</f>
        <v/>
      </c>
      <c r="I810" s="59" t="str">
        <f>IF(B810="","",IFERROR(INDEX(pr_unit,MATCH(B810,pr_code,0))&amp;"",""))</f>
        <v/>
      </c>
      <c r="J810" s="65" t="str">
        <f>IF(COUNTA(A810:G810)=0,"",IF(E810&lt;&gt;"",E810,IF(B810="","",IFERROR(IF(INDEX(pr_price,MATCH(B810,pr_code,0))="","",INDEX(pr_price,MATCH(B810,pr_code,0))),""))))</f>
        <v/>
      </c>
      <c r="K810" s="71" t="str">
        <f>IF(COUNTA(A810:G810)=0,"",IF(G810&lt;&gt;"",G810,IF(B810="","",IFERROR(IF(INDEX(pr_rate,MATCH(B810,pr_code,0))="","",INDEX(pr_rate,MATCH(B810,pr_code,0))),""))))</f>
        <v/>
      </c>
      <c r="L810" s="65" t="str">
        <f>IF(COUNTA(A810:G810)=0,"",IF(AND(ISNUMBER(D810),ISNUMBER(J810)),ROUND(D810*J810*(1-N(F810)),2),0))</f>
        <v/>
      </c>
      <c r="M810" s="62" t="str">
        <f>IF(A810="","",IFERROR(INDEX(fa_cname,MATCH(A810,fa_num,0))&amp;"",""))</f>
        <v/>
      </c>
      <c r="N810" s="59" t="str">
        <f>IF(COUNTA(A810:G810)=0,"",IF(A810="","N° facture manquant",IF(ISNA(MATCH(A810,fa_num,0)),"Facture inconnue",IF(AND(B810&lt;&gt;"",ISNA(MATCH(B810,pr_code,0))),"Article inconnu",IF(H810="","Désignation manquante",IF(OR(NOT(ISNUMBER(D810)),N(D810)&lt;=0),"Quantité invalide",IF(J810="","Prix manquant",IF(OR(NOT(ISNUMBER(J810)),N(J810)&lt;0),"Prix invalide",IF(OR(AND(F810&lt;&gt;"",NOT(ISNUMBER(F810))),N(F810)&lt;0,N(F810)&gt;1),"Remise invalide",IF(K810="","Taux de TVA manquant",IF(NOT(ISNUMBER(K810)),"Taux de TVA invalide",IF(COUNTIF(p_rates,K810)=0,"Taux de TVA hors liste (Paramètres)",IF(N(O810)&gt;25,"Au-delà de 25 lignes : non imprimée","OK")))))))))))))</f>
        <v/>
      </c>
      <c r="O810" s="59" t="str">
        <f>IF(A810="","",COUNTIF($A$6:A810,A810))</f>
        <v/>
      </c>
      <c r="P810" s="62" t="str">
        <f>IF(A810="","",A810&amp;"|"&amp;O810)</f>
        <v/>
      </c>
    </row>
    <row r="811">
      <c r="A811" s="60" t="n"/>
      <c r="B811" s="63" t="n"/>
      <c r="C811" s="63" t="n"/>
      <c r="D811" s="67" t="n"/>
      <c r="E811" s="68" t="n"/>
      <c r="F811" s="69" t="n"/>
      <c r="G811" s="70" t="n"/>
      <c r="H811" s="62" t="str">
        <f>IF(COUNTA(A811:G811)=0,"",IF(C811&lt;&gt;"",C811,IF(B811="","",IFERROR(INDEX(pr_des,MATCH(B811,pr_code,0))&amp;"",""))))</f>
        <v/>
      </c>
      <c r="I811" s="59" t="str">
        <f>IF(B811="","",IFERROR(INDEX(pr_unit,MATCH(B811,pr_code,0))&amp;"",""))</f>
        <v/>
      </c>
      <c r="J811" s="65" t="str">
        <f>IF(COUNTA(A811:G811)=0,"",IF(E811&lt;&gt;"",E811,IF(B811="","",IFERROR(IF(INDEX(pr_price,MATCH(B811,pr_code,0))="","",INDEX(pr_price,MATCH(B811,pr_code,0))),""))))</f>
        <v/>
      </c>
      <c r="K811" s="71" t="str">
        <f>IF(COUNTA(A811:G811)=0,"",IF(G811&lt;&gt;"",G811,IF(B811="","",IFERROR(IF(INDEX(pr_rate,MATCH(B811,pr_code,0))="","",INDEX(pr_rate,MATCH(B811,pr_code,0))),""))))</f>
        <v/>
      </c>
      <c r="L811" s="65" t="str">
        <f>IF(COUNTA(A811:G811)=0,"",IF(AND(ISNUMBER(D811),ISNUMBER(J811)),ROUND(D811*J811*(1-N(F811)),2),0))</f>
        <v/>
      </c>
      <c r="M811" s="62" t="str">
        <f>IF(A811="","",IFERROR(INDEX(fa_cname,MATCH(A811,fa_num,0))&amp;"",""))</f>
        <v/>
      </c>
      <c r="N811" s="59" t="str">
        <f>IF(COUNTA(A811:G811)=0,"",IF(A811="","N° facture manquant",IF(ISNA(MATCH(A811,fa_num,0)),"Facture inconnue",IF(AND(B811&lt;&gt;"",ISNA(MATCH(B811,pr_code,0))),"Article inconnu",IF(H811="","Désignation manquante",IF(OR(NOT(ISNUMBER(D811)),N(D811)&lt;=0),"Quantité invalide",IF(J811="","Prix manquant",IF(OR(NOT(ISNUMBER(J811)),N(J811)&lt;0),"Prix invalide",IF(OR(AND(F811&lt;&gt;"",NOT(ISNUMBER(F811))),N(F811)&lt;0,N(F811)&gt;1),"Remise invalide",IF(K811="","Taux de TVA manquant",IF(NOT(ISNUMBER(K811)),"Taux de TVA invalide",IF(COUNTIF(p_rates,K811)=0,"Taux de TVA hors liste (Paramètres)",IF(N(O811)&gt;25,"Au-delà de 25 lignes : non imprimée","OK")))))))))))))</f>
        <v/>
      </c>
      <c r="O811" s="59" t="str">
        <f>IF(A811="","",COUNTIF($A$6:A811,A811))</f>
        <v/>
      </c>
      <c r="P811" s="62" t="str">
        <f>IF(A811="","",A811&amp;"|"&amp;O811)</f>
        <v/>
      </c>
    </row>
    <row r="812">
      <c r="A812" s="60" t="n"/>
      <c r="B812" s="63" t="n"/>
      <c r="C812" s="63" t="n"/>
      <c r="D812" s="67" t="n"/>
      <c r="E812" s="68" t="n"/>
      <c r="F812" s="69" t="n"/>
      <c r="G812" s="70" t="n"/>
      <c r="H812" s="62" t="str">
        <f>IF(COUNTA(A812:G812)=0,"",IF(C812&lt;&gt;"",C812,IF(B812="","",IFERROR(INDEX(pr_des,MATCH(B812,pr_code,0))&amp;"",""))))</f>
        <v/>
      </c>
      <c r="I812" s="59" t="str">
        <f>IF(B812="","",IFERROR(INDEX(pr_unit,MATCH(B812,pr_code,0))&amp;"",""))</f>
        <v/>
      </c>
      <c r="J812" s="65" t="str">
        <f>IF(COUNTA(A812:G812)=0,"",IF(E812&lt;&gt;"",E812,IF(B812="","",IFERROR(IF(INDEX(pr_price,MATCH(B812,pr_code,0))="","",INDEX(pr_price,MATCH(B812,pr_code,0))),""))))</f>
        <v/>
      </c>
      <c r="K812" s="71" t="str">
        <f>IF(COUNTA(A812:G812)=0,"",IF(G812&lt;&gt;"",G812,IF(B812="","",IFERROR(IF(INDEX(pr_rate,MATCH(B812,pr_code,0))="","",INDEX(pr_rate,MATCH(B812,pr_code,0))),""))))</f>
        <v/>
      </c>
      <c r="L812" s="65" t="str">
        <f>IF(COUNTA(A812:G812)=0,"",IF(AND(ISNUMBER(D812),ISNUMBER(J812)),ROUND(D812*J812*(1-N(F812)),2),0))</f>
        <v/>
      </c>
      <c r="M812" s="62" t="str">
        <f>IF(A812="","",IFERROR(INDEX(fa_cname,MATCH(A812,fa_num,0))&amp;"",""))</f>
        <v/>
      </c>
      <c r="N812" s="59" t="str">
        <f>IF(COUNTA(A812:G812)=0,"",IF(A812="","N° facture manquant",IF(ISNA(MATCH(A812,fa_num,0)),"Facture inconnue",IF(AND(B812&lt;&gt;"",ISNA(MATCH(B812,pr_code,0))),"Article inconnu",IF(H812="","Désignation manquante",IF(OR(NOT(ISNUMBER(D812)),N(D812)&lt;=0),"Quantité invalide",IF(J812="","Prix manquant",IF(OR(NOT(ISNUMBER(J812)),N(J812)&lt;0),"Prix invalide",IF(OR(AND(F812&lt;&gt;"",NOT(ISNUMBER(F812))),N(F812)&lt;0,N(F812)&gt;1),"Remise invalide",IF(K812="","Taux de TVA manquant",IF(NOT(ISNUMBER(K812)),"Taux de TVA invalide",IF(COUNTIF(p_rates,K812)=0,"Taux de TVA hors liste (Paramètres)",IF(N(O812)&gt;25,"Au-delà de 25 lignes : non imprimée","OK")))))))))))))</f>
        <v/>
      </c>
      <c r="O812" s="59" t="str">
        <f>IF(A812="","",COUNTIF($A$6:A812,A812))</f>
        <v/>
      </c>
      <c r="P812" s="62" t="str">
        <f>IF(A812="","",A812&amp;"|"&amp;O812)</f>
        <v/>
      </c>
    </row>
    <row r="813">
      <c r="A813" s="60" t="n"/>
      <c r="B813" s="63" t="n"/>
      <c r="C813" s="63" t="n"/>
      <c r="D813" s="67" t="n"/>
      <c r="E813" s="68" t="n"/>
      <c r="F813" s="69" t="n"/>
      <c r="G813" s="70" t="n"/>
      <c r="H813" s="62" t="str">
        <f>IF(COUNTA(A813:G813)=0,"",IF(C813&lt;&gt;"",C813,IF(B813="","",IFERROR(INDEX(pr_des,MATCH(B813,pr_code,0))&amp;"",""))))</f>
        <v/>
      </c>
      <c r="I813" s="59" t="str">
        <f>IF(B813="","",IFERROR(INDEX(pr_unit,MATCH(B813,pr_code,0))&amp;"",""))</f>
        <v/>
      </c>
      <c r="J813" s="65" t="str">
        <f>IF(COUNTA(A813:G813)=0,"",IF(E813&lt;&gt;"",E813,IF(B813="","",IFERROR(IF(INDEX(pr_price,MATCH(B813,pr_code,0))="","",INDEX(pr_price,MATCH(B813,pr_code,0))),""))))</f>
        <v/>
      </c>
      <c r="K813" s="71" t="str">
        <f>IF(COUNTA(A813:G813)=0,"",IF(G813&lt;&gt;"",G813,IF(B813="","",IFERROR(IF(INDEX(pr_rate,MATCH(B813,pr_code,0))="","",INDEX(pr_rate,MATCH(B813,pr_code,0))),""))))</f>
        <v/>
      </c>
      <c r="L813" s="65" t="str">
        <f>IF(COUNTA(A813:G813)=0,"",IF(AND(ISNUMBER(D813),ISNUMBER(J813)),ROUND(D813*J813*(1-N(F813)),2),0))</f>
        <v/>
      </c>
      <c r="M813" s="62" t="str">
        <f>IF(A813="","",IFERROR(INDEX(fa_cname,MATCH(A813,fa_num,0))&amp;"",""))</f>
        <v/>
      </c>
      <c r="N813" s="59" t="str">
        <f>IF(COUNTA(A813:G813)=0,"",IF(A813="","N° facture manquant",IF(ISNA(MATCH(A813,fa_num,0)),"Facture inconnue",IF(AND(B813&lt;&gt;"",ISNA(MATCH(B813,pr_code,0))),"Article inconnu",IF(H813="","Désignation manquante",IF(OR(NOT(ISNUMBER(D813)),N(D813)&lt;=0),"Quantité invalide",IF(J813="","Prix manquant",IF(OR(NOT(ISNUMBER(J813)),N(J813)&lt;0),"Prix invalide",IF(OR(AND(F813&lt;&gt;"",NOT(ISNUMBER(F813))),N(F813)&lt;0,N(F813)&gt;1),"Remise invalide",IF(K813="","Taux de TVA manquant",IF(NOT(ISNUMBER(K813)),"Taux de TVA invalide",IF(COUNTIF(p_rates,K813)=0,"Taux de TVA hors liste (Paramètres)",IF(N(O813)&gt;25,"Au-delà de 25 lignes : non imprimée","OK")))))))))))))</f>
        <v/>
      </c>
      <c r="O813" s="59" t="str">
        <f>IF(A813="","",COUNTIF($A$6:A813,A813))</f>
        <v/>
      </c>
      <c r="P813" s="62" t="str">
        <f>IF(A813="","",A813&amp;"|"&amp;O813)</f>
        <v/>
      </c>
    </row>
    <row r="814">
      <c r="A814" s="60" t="n"/>
      <c r="B814" s="63" t="n"/>
      <c r="C814" s="63" t="n"/>
      <c r="D814" s="67" t="n"/>
      <c r="E814" s="68" t="n"/>
      <c r="F814" s="69" t="n"/>
      <c r="G814" s="70" t="n"/>
      <c r="H814" s="62" t="str">
        <f>IF(COUNTA(A814:G814)=0,"",IF(C814&lt;&gt;"",C814,IF(B814="","",IFERROR(INDEX(pr_des,MATCH(B814,pr_code,0))&amp;"",""))))</f>
        <v/>
      </c>
      <c r="I814" s="59" t="str">
        <f>IF(B814="","",IFERROR(INDEX(pr_unit,MATCH(B814,pr_code,0))&amp;"",""))</f>
        <v/>
      </c>
      <c r="J814" s="65" t="str">
        <f>IF(COUNTA(A814:G814)=0,"",IF(E814&lt;&gt;"",E814,IF(B814="","",IFERROR(IF(INDEX(pr_price,MATCH(B814,pr_code,0))="","",INDEX(pr_price,MATCH(B814,pr_code,0))),""))))</f>
        <v/>
      </c>
      <c r="K814" s="71" t="str">
        <f>IF(COUNTA(A814:G814)=0,"",IF(G814&lt;&gt;"",G814,IF(B814="","",IFERROR(IF(INDEX(pr_rate,MATCH(B814,pr_code,0))="","",INDEX(pr_rate,MATCH(B814,pr_code,0))),""))))</f>
        <v/>
      </c>
      <c r="L814" s="65" t="str">
        <f>IF(COUNTA(A814:G814)=0,"",IF(AND(ISNUMBER(D814),ISNUMBER(J814)),ROUND(D814*J814*(1-N(F814)),2),0))</f>
        <v/>
      </c>
      <c r="M814" s="62" t="str">
        <f>IF(A814="","",IFERROR(INDEX(fa_cname,MATCH(A814,fa_num,0))&amp;"",""))</f>
        <v/>
      </c>
      <c r="N814" s="59" t="str">
        <f>IF(COUNTA(A814:G814)=0,"",IF(A814="","N° facture manquant",IF(ISNA(MATCH(A814,fa_num,0)),"Facture inconnue",IF(AND(B814&lt;&gt;"",ISNA(MATCH(B814,pr_code,0))),"Article inconnu",IF(H814="","Désignation manquante",IF(OR(NOT(ISNUMBER(D814)),N(D814)&lt;=0),"Quantité invalide",IF(J814="","Prix manquant",IF(OR(NOT(ISNUMBER(J814)),N(J814)&lt;0),"Prix invalide",IF(OR(AND(F814&lt;&gt;"",NOT(ISNUMBER(F814))),N(F814)&lt;0,N(F814)&gt;1),"Remise invalide",IF(K814="","Taux de TVA manquant",IF(NOT(ISNUMBER(K814)),"Taux de TVA invalide",IF(COUNTIF(p_rates,K814)=0,"Taux de TVA hors liste (Paramètres)",IF(N(O814)&gt;25,"Au-delà de 25 lignes : non imprimée","OK")))))))))))))</f>
        <v/>
      </c>
      <c r="O814" s="59" t="str">
        <f>IF(A814="","",COUNTIF($A$6:A814,A814))</f>
        <v/>
      </c>
      <c r="P814" s="62" t="str">
        <f>IF(A814="","",A814&amp;"|"&amp;O814)</f>
        <v/>
      </c>
    </row>
    <row r="815">
      <c r="A815" s="60" t="n"/>
      <c r="B815" s="63" t="n"/>
      <c r="C815" s="63" t="n"/>
      <c r="D815" s="67" t="n"/>
      <c r="E815" s="68" t="n"/>
      <c r="F815" s="69" t="n"/>
      <c r="G815" s="70" t="n"/>
      <c r="H815" s="62" t="str">
        <f>IF(COUNTA(A815:G815)=0,"",IF(C815&lt;&gt;"",C815,IF(B815="","",IFERROR(INDEX(pr_des,MATCH(B815,pr_code,0))&amp;"",""))))</f>
        <v/>
      </c>
      <c r="I815" s="59" t="str">
        <f>IF(B815="","",IFERROR(INDEX(pr_unit,MATCH(B815,pr_code,0))&amp;"",""))</f>
        <v/>
      </c>
      <c r="J815" s="65" t="str">
        <f>IF(COUNTA(A815:G815)=0,"",IF(E815&lt;&gt;"",E815,IF(B815="","",IFERROR(IF(INDEX(pr_price,MATCH(B815,pr_code,0))="","",INDEX(pr_price,MATCH(B815,pr_code,0))),""))))</f>
        <v/>
      </c>
      <c r="K815" s="71" t="str">
        <f>IF(COUNTA(A815:G815)=0,"",IF(G815&lt;&gt;"",G815,IF(B815="","",IFERROR(IF(INDEX(pr_rate,MATCH(B815,pr_code,0))="","",INDEX(pr_rate,MATCH(B815,pr_code,0))),""))))</f>
        <v/>
      </c>
      <c r="L815" s="65" t="str">
        <f>IF(COUNTA(A815:G815)=0,"",IF(AND(ISNUMBER(D815),ISNUMBER(J815)),ROUND(D815*J815*(1-N(F815)),2),0))</f>
        <v/>
      </c>
      <c r="M815" s="62" t="str">
        <f>IF(A815="","",IFERROR(INDEX(fa_cname,MATCH(A815,fa_num,0))&amp;"",""))</f>
        <v/>
      </c>
      <c r="N815" s="59" t="str">
        <f>IF(COUNTA(A815:G815)=0,"",IF(A815="","N° facture manquant",IF(ISNA(MATCH(A815,fa_num,0)),"Facture inconnue",IF(AND(B815&lt;&gt;"",ISNA(MATCH(B815,pr_code,0))),"Article inconnu",IF(H815="","Désignation manquante",IF(OR(NOT(ISNUMBER(D815)),N(D815)&lt;=0),"Quantité invalide",IF(J815="","Prix manquant",IF(OR(NOT(ISNUMBER(J815)),N(J815)&lt;0),"Prix invalide",IF(OR(AND(F815&lt;&gt;"",NOT(ISNUMBER(F815))),N(F815)&lt;0,N(F815)&gt;1),"Remise invalide",IF(K815="","Taux de TVA manquant",IF(NOT(ISNUMBER(K815)),"Taux de TVA invalide",IF(COUNTIF(p_rates,K815)=0,"Taux de TVA hors liste (Paramètres)",IF(N(O815)&gt;25,"Au-delà de 25 lignes : non imprimée","OK")))))))))))))</f>
        <v/>
      </c>
      <c r="O815" s="59" t="str">
        <f>IF(A815="","",COUNTIF($A$6:A815,A815))</f>
        <v/>
      </c>
      <c r="P815" s="62" t="str">
        <f>IF(A815="","",A815&amp;"|"&amp;O815)</f>
        <v/>
      </c>
    </row>
    <row r="816">
      <c r="A816" s="60" t="n"/>
      <c r="B816" s="63" t="n"/>
      <c r="C816" s="63" t="n"/>
      <c r="D816" s="67" t="n"/>
      <c r="E816" s="68" t="n"/>
      <c r="F816" s="69" t="n"/>
      <c r="G816" s="70" t="n"/>
      <c r="H816" s="62" t="str">
        <f>IF(COUNTA(A816:G816)=0,"",IF(C816&lt;&gt;"",C816,IF(B816="","",IFERROR(INDEX(pr_des,MATCH(B816,pr_code,0))&amp;"",""))))</f>
        <v/>
      </c>
      <c r="I816" s="59" t="str">
        <f>IF(B816="","",IFERROR(INDEX(pr_unit,MATCH(B816,pr_code,0))&amp;"",""))</f>
        <v/>
      </c>
      <c r="J816" s="65" t="str">
        <f>IF(COUNTA(A816:G816)=0,"",IF(E816&lt;&gt;"",E816,IF(B816="","",IFERROR(IF(INDEX(pr_price,MATCH(B816,pr_code,0))="","",INDEX(pr_price,MATCH(B816,pr_code,0))),""))))</f>
        <v/>
      </c>
      <c r="K816" s="71" t="str">
        <f>IF(COUNTA(A816:G816)=0,"",IF(G816&lt;&gt;"",G816,IF(B816="","",IFERROR(IF(INDEX(pr_rate,MATCH(B816,pr_code,0))="","",INDEX(pr_rate,MATCH(B816,pr_code,0))),""))))</f>
        <v/>
      </c>
      <c r="L816" s="65" t="str">
        <f>IF(COUNTA(A816:G816)=0,"",IF(AND(ISNUMBER(D816),ISNUMBER(J816)),ROUND(D816*J816*(1-N(F816)),2),0))</f>
        <v/>
      </c>
      <c r="M816" s="62" t="str">
        <f>IF(A816="","",IFERROR(INDEX(fa_cname,MATCH(A816,fa_num,0))&amp;"",""))</f>
        <v/>
      </c>
      <c r="N816" s="59" t="str">
        <f>IF(COUNTA(A816:G816)=0,"",IF(A816="","N° facture manquant",IF(ISNA(MATCH(A816,fa_num,0)),"Facture inconnue",IF(AND(B816&lt;&gt;"",ISNA(MATCH(B816,pr_code,0))),"Article inconnu",IF(H816="","Désignation manquante",IF(OR(NOT(ISNUMBER(D816)),N(D816)&lt;=0),"Quantité invalide",IF(J816="","Prix manquant",IF(OR(NOT(ISNUMBER(J816)),N(J816)&lt;0),"Prix invalide",IF(OR(AND(F816&lt;&gt;"",NOT(ISNUMBER(F816))),N(F816)&lt;0,N(F816)&gt;1),"Remise invalide",IF(K816="","Taux de TVA manquant",IF(NOT(ISNUMBER(K816)),"Taux de TVA invalide",IF(COUNTIF(p_rates,K816)=0,"Taux de TVA hors liste (Paramètres)",IF(N(O816)&gt;25,"Au-delà de 25 lignes : non imprimée","OK")))))))))))))</f>
        <v/>
      </c>
      <c r="O816" s="59" t="str">
        <f>IF(A816="","",COUNTIF($A$6:A816,A816))</f>
        <v/>
      </c>
      <c r="P816" s="62" t="str">
        <f>IF(A816="","",A816&amp;"|"&amp;O816)</f>
        <v/>
      </c>
    </row>
    <row r="817">
      <c r="A817" s="60" t="n"/>
      <c r="B817" s="63" t="n"/>
      <c r="C817" s="63" t="n"/>
      <c r="D817" s="67" t="n"/>
      <c r="E817" s="68" t="n"/>
      <c r="F817" s="69" t="n"/>
      <c r="G817" s="70" t="n"/>
      <c r="H817" s="62" t="str">
        <f>IF(COUNTA(A817:G817)=0,"",IF(C817&lt;&gt;"",C817,IF(B817="","",IFERROR(INDEX(pr_des,MATCH(B817,pr_code,0))&amp;"",""))))</f>
        <v/>
      </c>
      <c r="I817" s="59" t="str">
        <f>IF(B817="","",IFERROR(INDEX(pr_unit,MATCH(B817,pr_code,0))&amp;"",""))</f>
        <v/>
      </c>
      <c r="J817" s="65" t="str">
        <f>IF(COUNTA(A817:G817)=0,"",IF(E817&lt;&gt;"",E817,IF(B817="","",IFERROR(IF(INDEX(pr_price,MATCH(B817,pr_code,0))="","",INDEX(pr_price,MATCH(B817,pr_code,0))),""))))</f>
        <v/>
      </c>
      <c r="K817" s="71" t="str">
        <f>IF(COUNTA(A817:G817)=0,"",IF(G817&lt;&gt;"",G817,IF(B817="","",IFERROR(IF(INDEX(pr_rate,MATCH(B817,pr_code,0))="","",INDEX(pr_rate,MATCH(B817,pr_code,0))),""))))</f>
        <v/>
      </c>
      <c r="L817" s="65" t="str">
        <f>IF(COUNTA(A817:G817)=0,"",IF(AND(ISNUMBER(D817),ISNUMBER(J817)),ROUND(D817*J817*(1-N(F817)),2),0))</f>
        <v/>
      </c>
      <c r="M817" s="62" t="str">
        <f>IF(A817="","",IFERROR(INDEX(fa_cname,MATCH(A817,fa_num,0))&amp;"",""))</f>
        <v/>
      </c>
      <c r="N817" s="59" t="str">
        <f>IF(COUNTA(A817:G817)=0,"",IF(A817="","N° facture manquant",IF(ISNA(MATCH(A817,fa_num,0)),"Facture inconnue",IF(AND(B817&lt;&gt;"",ISNA(MATCH(B817,pr_code,0))),"Article inconnu",IF(H817="","Désignation manquante",IF(OR(NOT(ISNUMBER(D817)),N(D817)&lt;=0),"Quantité invalide",IF(J817="","Prix manquant",IF(OR(NOT(ISNUMBER(J817)),N(J817)&lt;0),"Prix invalide",IF(OR(AND(F817&lt;&gt;"",NOT(ISNUMBER(F817))),N(F817)&lt;0,N(F817)&gt;1),"Remise invalide",IF(K817="","Taux de TVA manquant",IF(NOT(ISNUMBER(K817)),"Taux de TVA invalide",IF(COUNTIF(p_rates,K817)=0,"Taux de TVA hors liste (Paramètres)",IF(N(O817)&gt;25,"Au-delà de 25 lignes : non imprimée","OK")))))))))))))</f>
        <v/>
      </c>
      <c r="O817" s="59" t="str">
        <f>IF(A817="","",COUNTIF($A$6:A817,A817))</f>
        <v/>
      </c>
      <c r="P817" s="62" t="str">
        <f>IF(A817="","",A817&amp;"|"&amp;O817)</f>
        <v/>
      </c>
    </row>
    <row r="818">
      <c r="A818" s="60" t="n"/>
      <c r="B818" s="63" t="n"/>
      <c r="C818" s="63" t="n"/>
      <c r="D818" s="67" t="n"/>
      <c r="E818" s="68" t="n"/>
      <c r="F818" s="69" t="n"/>
      <c r="G818" s="70" t="n"/>
      <c r="H818" s="62" t="str">
        <f>IF(COUNTA(A818:G818)=0,"",IF(C818&lt;&gt;"",C818,IF(B818="","",IFERROR(INDEX(pr_des,MATCH(B818,pr_code,0))&amp;"",""))))</f>
        <v/>
      </c>
      <c r="I818" s="59" t="str">
        <f>IF(B818="","",IFERROR(INDEX(pr_unit,MATCH(B818,pr_code,0))&amp;"",""))</f>
        <v/>
      </c>
      <c r="J818" s="65" t="str">
        <f>IF(COUNTA(A818:G818)=0,"",IF(E818&lt;&gt;"",E818,IF(B818="","",IFERROR(IF(INDEX(pr_price,MATCH(B818,pr_code,0))="","",INDEX(pr_price,MATCH(B818,pr_code,0))),""))))</f>
        <v/>
      </c>
      <c r="K818" s="71" t="str">
        <f>IF(COUNTA(A818:G818)=0,"",IF(G818&lt;&gt;"",G818,IF(B818="","",IFERROR(IF(INDEX(pr_rate,MATCH(B818,pr_code,0))="","",INDEX(pr_rate,MATCH(B818,pr_code,0))),""))))</f>
        <v/>
      </c>
      <c r="L818" s="65" t="str">
        <f>IF(COUNTA(A818:G818)=0,"",IF(AND(ISNUMBER(D818),ISNUMBER(J818)),ROUND(D818*J818*(1-N(F818)),2),0))</f>
        <v/>
      </c>
      <c r="M818" s="62" t="str">
        <f>IF(A818="","",IFERROR(INDEX(fa_cname,MATCH(A818,fa_num,0))&amp;"",""))</f>
        <v/>
      </c>
      <c r="N818" s="59" t="str">
        <f>IF(COUNTA(A818:G818)=0,"",IF(A818="","N° facture manquant",IF(ISNA(MATCH(A818,fa_num,0)),"Facture inconnue",IF(AND(B818&lt;&gt;"",ISNA(MATCH(B818,pr_code,0))),"Article inconnu",IF(H818="","Désignation manquante",IF(OR(NOT(ISNUMBER(D818)),N(D818)&lt;=0),"Quantité invalide",IF(J818="","Prix manquant",IF(OR(NOT(ISNUMBER(J818)),N(J818)&lt;0),"Prix invalide",IF(OR(AND(F818&lt;&gt;"",NOT(ISNUMBER(F818))),N(F818)&lt;0,N(F818)&gt;1),"Remise invalide",IF(K818="","Taux de TVA manquant",IF(NOT(ISNUMBER(K818)),"Taux de TVA invalide",IF(COUNTIF(p_rates,K818)=0,"Taux de TVA hors liste (Paramètres)",IF(N(O818)&gt;25,"Au-delà de 25 lignes : non imprimée","OK")))))))))))))</f>
        <v/>
      </c>
      <c r="O818" s="59" t="str">
        <f>IF(A818="","",COUNTIF($A$6:A818,A818))</f>
        <v/>
      </c>
      <c r="P818" s="62" t="str">
        <f>IF(A818="","",A818&amp;"|"&amp;O818)</f>
        <v/>
      </c>
    </row>
    <row r="819">
      <c r="A819" s="60" t="n"/>
      <c r="B819" s="63" t="n"/>
      <c r="C819" s="63" t="n"/>
      <c r="D819" s="67" t="n"/>
      <c r="E819" s="68" t="n"/>
      <c r="F819" s="69" t="n"/>
      <c r="G819" s="70" t="n"/>
      <c r="H819" s="62" t="str">
        <f>IF(COUNTA(A819:G819)=0,"",IF(C819&lt;&gt;"",C819,IF(B819="","",IFERROR(INDEX(pr_des,MATCH(B819,pr_code,0))&amp;"",""))))</f>
        <v/>
      </c>
      <c r="I819" s="59" t="str">
        <f>IF(B819="","",IFERROR(INDEX(pr_unit,MATCH(B819,pr_code,0))&amp;"",""))</f>
        <v/>
      </c>
      <c r="J819" s="65" t="str">
        <f>IF(COUNTA(A819:G819)=0,"",IF(E819&lt;&gt;"",E819,IF(B819="","",IFERROR(IF(INDEX(pr_price,MATCH(B819,pr_code,0))="","",INDEX(pr_price,MATCH(B819,pr_code,0))),""))))</f>
        <v/>
      </c>
      <c r="K819" s="71" t="str">
        <f>IF(COUNTA(A819:G819)=0,"",IF(G819&lt;&gt;"",G819,IF(B819="","",IFERROR(IF(INDEX(pr_rate,MATCH(B819,pr_code,0))="","",INDEX(pr_rate,MATCH(B819,pr_code,0))),""))))</f>
        <v/>
      </c>
      <c r="L819" s="65" t="str">
        <f>IF(COUNTA(A819:G819)=0,"",IF(AND(ISNUMBER(D819),ISNUMBER(J819)),ROUND(D819*J819*(1-N(F819)),2),0))</f>
        <v/>
      </c>
      <c r="M819" s="62" t="str">
        <f>IF(A819="","",IFERROR(INDEX(fa_cname,MATCH(A819,fa_num,0))&amp;"",""))</f>
        <v/>
      </c>
      <c r="N819" s="59" t="str">
        <f>IF(COUNTA(A819:G819)=0,"",IF(A819="","N° facture manquant",IF(ISNA(MATCH(A819,fa_num,0)),"Facture inconnue",IF(AND(B819&lt;&gt;"",ISNA(MATCH(B819,pr_code,0))),"Article inconnu",IF(H819="","Désignation manquante",IF(OR(NOT(ISNUMBER(D819)),N(D819)&lt;=0),"Quantité invalide",IF(J819="","Prix manquant",IF(OR(NOT(ISNUMBER(J819)),N(J819)&lt;0),"Prix invalide",IF(OR(AND(F819&lt;&gt;"",NOT(ISNUMBER(F819))),N(F819)&lt;0,N(F819)&gt;1),"Remise invalide",IF(K819="","Taux de TVA manquant",IF(NOT(ISNUMBER(K819)),"Taux de TVA invalide",IF(COUNTIF(p_rates,K819)=0,"Taux de TVA hors liste (Paramètres)",IF(N(O819)&gt;25,"Au-delà de 25 lignes : non imprimée","OK")))))))))))))</f>
        <v/>
      </c>
      <c r="O819" s="59" t="str">
        <f>IF(A819="","",COUNTIF($A$6:A819,A819))</f>
        <v/>
      </c>
      <c r="P819" s="62" t="str">
        <f>IF(A819="","",A819&amp;"|"&amp;O819)</f>
        <v/>
      </c>
    </row>
    <row r="820">
      <c r="A820" s="60" t="n"/>
      <c r="B820" s="63" t="n"/>
      <c r="C820" s="63" t="n"/>
      <c r="D820" s="67" t="n"/>
      <c r="E820" s="68" t="n"/>
      <c r="F820" s="69" t="n"/>
      <c r="G820" s="70" t="n"/>
      <c r="H820" s="62" t="str">
        <f>IF(COUNTA(A820:G820)=0,"",IF(C820&lt;&gt;"",C820,IF(B820="","",IFERROR(INDEX(pr_des,MATCH(B820,pr_code,0))&amp;"",""))))</f>
        <v/>
      </c>
      <c r="I820" s="59" t="str">
        <f>IF(B820="","",IFERROR(INDEX(pr_unit,MATCH(B820,pr_code,0))&amp;"",""))</f>
        <v/>
      </c>
      <c r="J820" s="65" t="str">
        <f>IF(COUNTA(A820:G820)=0,"",IF(E820&lt;&gt;"",E820,IF(B820="","",IFERROR(IF(INDEX(pr_price,MATCH(B820,pr_code,0))="","",INDEX(pr_price,MATCH(B820,pr_code,0))),""))))</f>
        <v/>
      </c>
      <c r="K820" s="71" t="str">
        <f>IF(COUNTA(A820:G820)=0,"",IF(G820&lt;&gt;"",G820,IF(B820="","",IFERROR(IF(INDEX(pr_rate,MATCH(B820,pr_code,0))="","",INDEX(pr_rate,MATCH(B820,pr_code,0))),""))))</f>
        <v/>
      </c>
      <c r="L820" s="65" t="str">
        <f>IF(COUNTA(A820:G820)=0,"",IF(AND(ISNUMBER(D820),ISNUMBER(J820)),ROUND(D820*J820*(1-N(F820)),2),0))</f>
        <v/>
      </c>
      <c r="M820" s="62" t="str">
        <f>IF(A820="","",IFERROR(INDEX(fa_cname,MATCH(A820,fa_num,0))&amp;"",""))</f>
        <v/>
      </c>
      <c r="N820" s="59" t="str">
        <f>IF(COUNTA(A820:G820)=0,"",IF(A820="","N° facture manquant",IF(ISNA(MATCH(A820,fa_num,0)),"Facture inconnue",IF(AND(B820&lt;&gt;"",ISNA(MATCH(B820,pr_code,0))),"Article inconnu",IF(H820="","Désignation manquante",IF(OR(NOT(ISNUMBER(D820)),N(D820)&lt;=0),"Quantité invalide",IF(J820="","Prix manquant",IF(OR(NOT(ISNUMBER(J820)),N(J820)&lt;0),"Prix invalide",IF(OR(AND(F820&lt;&gt;"",NOT(ISNUMBER(F820))),N(F820)&lt;0,N(F820)&gt;1),"Remise invalide",IF(K820="","Taux de TVA manquant",IF(NOT(ISNUMBER(K820)),"Taux de TVA invalide",IF(COUNTIF(p_rates,K820)=0,"Taux de TVA hors liste (Paramètres)",IF(N(O820)&gt;25,"Au-delà de 25 lignes : non imprimée","OK")))))))))))))</f>
        <v/>
      </c>
      <c r="O820" s="59" t="str">
        <f>IF(A820="","",COUNTIF($A$6:A820,A820))</f>
        <v/>
      </c>
      <c r="P820" s="62" t="str">
        <f>IF(A820="","",A820&amp;"|"&amp;O820)</f>
        <v/>
      </c>
    </row>
    <row r="821">
      <c r="A821" s="60" t="n"/>
      <c r="B821" s="63" t="n"/>
      <c r="C821" s="63" t="n"/>
      <c r="D821" s="67" t="n"/>
      <c r="E821" s="68" t="n"/>
      <c r="F821" s="69" t="n"/>
      <c r="G821" s="70" t="n"/>
      <c r="H821" s="62" t="str">
        <f>IF(COUNTA(A821:G821)=0,"",IF(C821&lt;&gt;"",C821,IF(B821="","",IFERROR(INDEX(pr_des,MATCH(B821,pr_code,0))&amp;"",""))))</f>
        <v/>
      </c>
      <c r="I821" s="59" t="str">
        <f>IF(B821="","",IFERROR(INDEX(pr_unit,MATCH(B821,pr_code,0))&amp;"",""))</f>
        <v/>
      </c>
      <c r="J821" s="65" t="str">
        <f>IF(COUNTA(A821:G821)=0,"",IF(E821&lt;&gt;"",E821,IF(B821="","",IFERROR(IF(INDEX(pr_price,MATCH(B821,pr_code,0))="","",INDEX(pr_price,MATCH(B821,pr_code,0))),""))))</f>
        <v/>
      </c>
      <c r="K821" s="71" t="str">
        <f>IF(COUNTA(A821:G821)=0,"",IF(G821&lt;&gt;"",G821,IF(B821="","",IFERROR(IF(INDEX(pr_rate,MATCH(B821,pr_code,0))="","",INDEX(pr_rate,MATCH(B821,pr_code,0))),""))))</f>
        <v/>
      </c>
      <c r="L821" s="65" t="str">
        <f>IF(COUNTA(A821:G821)=0,"",IF(AND(ISNUMBER(D821),ISNUMBER(J821)),ROUND(D821*J821*(1-N(F821)),2),0))</f>
        <v/>
      </c>
      <c r="M821" s="62" t="str">
        <f>IF(A821="","",IFERROR(INDEX(fa_cname,MATCH(A821,fa_num,0))&amp;"",""))</f>
        <v/>
      </c>
      <c r="N821" s="59" t="str">
        <f>IF(COUNTA(A821:G821)=0,"",IF(A821="","N° facture manquant",IF(ISNA(MATCH(A821,fa_num,0)),"Facture inconnue",IF(AND(B821&lt;&gt;"",ISNA(MATCH(B821,pr_code,0))),"Article inconnu",IF(H821="","Désignation manquante",IF(OR(NOT(ISNUMBER(D821)),N(D821)&lt;=0),"Quantité invalide",IF(J821="","Prix manquant",IF(OR(NOT(ISNUMBER(J821)),N(J821)&lt;0),"Prix invalide",IF(OR(AND(F821&lt;&gt;"",NOT(ISNUMBER(F821))),N(F821)&lt;0,N(F821)&gt;1),"Remise invalide",IF(K821="","Taux de TVA manquant",IF(NOT(ISNUMBER(K821)),"Taux de TVA invalide",IF(COUNTIF(p_rates,K821)=0,"Taux de TVA hors liste (Paramètres)",IF(N(O821)&gt;25,"Au-delà de 25 lignes : non imprimée","OK")))))))))))))</f>
        <v/>
      </c>
      <c r="O821" s="59" t="str">
        <f>IF(A821="","",COUNTIF($A$6:A821,A821))</f>
        <v/>
      </c>
      <c r="P821" s="62" t="str">
        <f>IF(A821="","",A821&amp;"|"&amp;O821)</f>
        <v/>
      </c>
    </row>
    <row r="822">
      <c r="A822" s="60" t="n"/>
      <c r="B822" s="63" t="n"/>
      <c r="C822" s="63" t="n"/>
      <c r="D822" s="67" t="n"/>
      <c r="E822" s="68" t="n"/>
      <c r="F822" s="69" t="n"/>
      <c r="G822" s="70" t="n"/>
      <c r="H822" s="62" t="str">
        <f>IF(COUNTA(A822:G822)=0,"",IF(C822&lt;&gt;"",C822,IF(B822="","",IFERROR(INDEX(pr_des,MATCH(B822,pr_code,0))&amp;"",""))))</f>
        <v/>
      </c>
      <c r="I822" s="59" t="str">
        <f>IF(B822="","",IFERROR(INDEX(pr_unit,MATCH(B822,pr_code,0))&amp;"",""))</f>
        <v/>
      </c>
      <c r="J822" s="65" t="str">
        <f>IF(COUNTA(A822:G822)=0,"",IF(E822&lt;&gt;"",E822,IF(B822="","",IFERROR(IF(INDEX(pr_price,MATCH(B822,pr_code,0))="","",INDEX(pr_price,MATCH(B822,pr_code,0))),""))))</f>
        <v/>
      </c>
      <c r="K822" s="71" t="str">
        <f>IF(COUNTA(A822:G822)=0,"",IF(G822&lt;&gt;"",G822,IF(B822="","",IFERROR(IF(INDEX(pr_rate,MATCH(B822,pr_code,0))="","",INDEX(pr_rate,MATCH(B822,pr_code,0))),""))))</f>
        <v/>
      </c>
      <c r="L822" s="65" t="str">
        <f>IF(COUNTA(A822:G822)=0,"",IF(AND(ISNUMBER(D822),ISNUMBER(J822)),ROUND(D822*J822*(1-N(F822)),2),0))</f>
        <v/>
      </c>
      <c r="M822" s="62" t="str">
        <f>IF(A822="","",IFERROR(INDEX(fa_cname,MATCH(A822,fa_num,0))&amp;"",""))</f>
        <v/>
      </c>
      <c r="N822" s="59" t="str">
        <f>IF(COUNTA(A822:G822)=0,"",IF(A822="","N° facture manquant",IF(ISNA(MATCH(A822,fa_num,0)),"Facture inconnue",IF(AND(B822&lt;&gt;"",ISNA(MATCH(B822,pr_code,0))),"Article inconnu",IF(H822="","Désignation manquante",IF(OR(NOT(ISNUMBER(D822)),N(D822)&lt;=0),"Quantité invalide",IF(J822="","Prix manquant",IF(OR(NOT(ISNUMBER(J822)),N(J822)&lt;0),"Prix invalide",IF(OR(AND(F822&lt;&gt;"",NOT(ISNUMBER(F822))),N(F822)&lt;0,N(F822)&gt;1),"Remise invalide",IF(K822="","Taux de TVA manquant",IF(NOT(ISNUMBER(K822)),"Taux de TVA invalide",IF(COUNTIF(p_rates,K822)=0,"Taux de TVA hors liste (Paramètres)",IF(N(O822)&gt;25,"Au-delà de 25 lignes : non imprimée","OK")))))))))))))</f>
        <v/>
      </c>
      <c r="O822" s="59" t="str">
        <f>IF(A822="","",COUNTIF($A$6:A822,A822))</f>
        <v/>
      </c>
      <c r="P822" s="62" t="str">
        <f>IF(A822="","",A822&amp;"|"&amp;O822)</f>
        <v/>
      </c>
    </row>
    <row r="823">
      <c r="A823" s="60" t="n"/>
      <c r="B823" s="63" t="n"/>
      <c r="C823" s="63" t="n"/>
      <c r="D823" s="67" t="n"/>
      <c r="E823" s="68" t="n"/>
      <c r="F823" s="69" t="n"/>
      <c r="G823" s="70" t="n"/>
      <c r="H823" s="62" t="str">
        <f>IF(COUNTA(A823:G823)=0,"",IF(C823&lt;&gt;"",C823,IF(B823="","",IFERROR(INDEX(pr_des,MATCH(B823,pr_code,0))&amp;"",""))))</f>
        <v/>
      </c>
      <c r="I823" s="59" t="str">
        <f>IF(B823="","",IFERROR(INDEX(pr_unit,MATCH(B823,pr_code,0))&amp;"",""))</f>
        <v/>
      </c>
      <c r="J823" s="65" t="str">
        <f>IF(COUNTA(A823:G823)=0,"",IF(E823&lt;&gt;"",E823,IF(B823="","",IFERROR(IF(INDEX(pr_price,MATCH(B823,pr_code,0))="","",INDEX(pr_price,MATCH(B823,pr_code,0))),""))))</f>
        <v/>
      </c>
      <c r="K823" s="71" t="str">
        <f>IF(COUNTA(A823:G823)=0,"",IF(G823&lt;&gt;"",G823,IF(B823="","",IFERROR(IF(INDEX(pr_rate,MATCH(B823,pr_code,0))="","",INDEX(pr_rate,MATCH(B823,pr_code,0))),""))))</f>
        <v/>
      </c>
      <c r="L823" s="65" t="str">
        <f>IF(COUNTA(A823:G823)=0,"",IF(AND(ISNUMBER(D823),ISNUMBER(J823)),ROUND(D823*J823*(1-N(F823)),2),0))</f>
        <v/>
      </c>
      <c r="M823" s="62" t="str">
        <f>IF(A823="","",IFERROR(INDEX(fa_cname,MATCH(A823,fa_num,0))&amp;"",""))</f>
        <v/>
      </c>
      <c r="N823" s="59" t="str">
        <f>IF(COUNTA(A823:G823)=0,"",IF(A823="","N° facture manquant",IF(ISNA(MATCH(A823,fa_num,0)),"Facture inconnue",IF(AND(B823&lt;&gt;"",ISNA(MATCH(B823,pr_code,0))),"Article inconnu",IF(H823="","Désignation manquante",IF(OR(NOT(ISNUMBER(D823)),N(D823)&lt;=0),"Quantité invalide",IF(J823="","Prix manquant",IF(OR(NOT(ISNUMBER(J823)),N(J823)&lt;0),"Prix invalide",IF(OR(AND(F823&lt;&gt;"",NOT(ISNUMBER(F823))),N(F823)&lt;0,N(F823)&gt;1),"Remise invalide",IF(K823="","Taux de TVA manquant",IF(NOT(ISNUMBER(K823)),"Taux de TVA invalide",IF(COUNTIF(p_rates,K823)=0,"Taux de TVA hors liste (Paramètres)",IF(N(O823)&gt;25,"Au-delà de 25 lignes : non imprimée","OK")))))))))))))</f>
        <v/>
      </c>
      <c r="O823" s="59" t="str">
        <f>IF(A823="","",COUNTIF($A$6:A823,A823))</f>
        <v/>
      </c>
      <c r="P823" s="62" t="str">
        <f>IF(A823="","",A823&amp;"|"&amp;O823)</f>
        <v/>
      </c>
    </row>
    <row r="824">
      <c r="A824" s="60" t="n"/>
      <c r="B824" s="63" t="n"/>
      <c r="C824" s="63" t="n"/>
      <c r="D824" s="67" t="n"/>
      <c r="E824" s="68" t="n"/>
      <c r="F824" s="69" t="n"/>
      <c r="G824" s="70" t="n"/>
      <c r="H824" s="62" t="str">
        <f>IF(COUNTA(A824:G824)=0,"",IF(C824&lt;&gt;"",C824,IF(B824="","",IFERROR(INDEX(pr_des,MATCH(B824,pr_code,0))&amp;"",""))))</f>
        <v/>
      </c>
      <c r="I824" s="59" t="str">
        <f>IF(B824="","",IFERROR(INDEX(pr_unit,MATCH(B824,pr_code,0))&amp;"",""))</f>
        <v/>
      </c>
      <c r="J824" s="65" t="str">
        <f>IF(COUNTA(A824:G824)=0,"",IF(E824&lt;&gt;"",E824,IF(B824="","",IFERROR(IF(INDEX(pr_price,MATCH(B824,pr_code,0))="","",INDEX(pr_price,MATCH(B824,pr_code,0))),""))))</f>
        <v/>
      </c>
      <c r="K824" s="71" t="str">
        <f>IF(COUNTA(A824:G824)=0,"",IF(G824&lt;&gt;"",G824,IF(B824="","",IFERROR(IF(INDEX(pr_rate,MATCH(B824,pr_code,0))="","",INDEX(pr_rate,MATCH(B824,pr_code,0))),""))))</f>
        <v/>
      </c>
      <c r="L824" s="65" t="str">
        <f>IF(COUNTA(A824:G824)=0,"",IF(AND(ISNUMBER(D824),ISNUMBER(J824)),ROUND(D824*J824*(1-N(F824)),2),0))</f>
        <v/>
      </c>
      <c r="M824" s="62" t="str">
        <f>IF(A824="","",IFERROR(INDEX(fa_cname,MATCH(A824,fa_num,0))&amp;"",""))</f>
        <v/>
      </c>
      <c r="N824" s="59" t="str">
        <f>IF(COUNTA(A824:G824)=0,"",IF(A824="","N° facture manquant",IF(ISNA(MATCH(A824,fa_num,0)),"Facture inconnue",IF(AND(B824&lt;&gt;"",ISNA(MATCH(B824,pr_code,0))),"Article inconnu",IF(H824="","Désignation manquante",IF(OR(NOT(ISNUMBER(D824)),N(D824)&lt;=0),"Quantité invalide",IF(J824="","Prix manquant",IF(OR(NOT(ISNUMBER(J824)),N(J824)&lt;0),"Prix invalide",IF(OR(AND(F824&lt;&gt;"",NOT(ISNUMBER(F824))),N(F824)&lt;0,N(F824)&gt;1),"Remise invalide",IF(K824="","Taux de TVA manquant",IF(NOT(ISNUMBER(K824)),"Taux de TVA invalide",IF(COUNTIF(p_rates,K824)=0,"Taux de TVA hors liste (Paramètres)",IF(N(O824)&gt;25,"Au-delà de 25 lignes : non imprimée","OK")))))))))))))</f>
        <v/>
      </c>
      <c r="O824" s="59" t="str">
        <f>IF(A824="","",COUNTIF($A$6:A824,A824))</f>
        <v/>
      </c>
      <c r="P824" s="62" t="str">
        <f>IF(A824="","",A824&amp;"|"&amp;O824)</f>
        <v/>
      </c>
    </row>
    <row r="825">
      <c r="A825" s="60" t="n"/>
      <c r="B825" s="63" t="n"/>
      <c r="C825" s="63" t="n"/>
      <c r="D825" s="67" t="n"/>
      <c r="E825" s="68" t="n"/>
      <c r="F825" s="69" t="n"/>
      <c r="G825" s="70" t="n"/>
      <c r="H825" s="62" t="str">
        <f>IF(COUNTA(A825:G825)=0,"",IF(C825&lt;&gt;"",C825,IF(B825="","",IFERROR(INDEX(pr_des,MATCH(B825,pr_code,0))&amp;"",""))))</f>
        <v/>
      </c>
      <c r="I825" s="59" t="str">
        <f>IF(B825="","",IFERROR(INDEX(pr_unit,MATCH(B825,pr_code,0))&amp;"",""))</f>
        <v/>
      </c>
      <c r="J825" s="65" t="str">
        <f>IF(COUNTA(A825:G825)=0,"",IF(E825&lt;&gt;"",E825,IF(B825="","",IFERROR(IF(INDEX(pr_price,MATCH(B825,pr_code,0))="","",INDEX(pr_price,MATCH(B825,pr_code,0))),""))))</f>
        <v/>
      </c>
      <c r="K825" s="71" t="str">
        <f>IF(COUNTA(A825:G825)=0,"",IF(G825&lt;&gt;"",G825,IF(B825="","",IFERROR(IF(INDEX(pr_rate,MATCH(B825,pr_code,0))="","",INDEX(pr_rate,MATCH(B825,pr_code,0))),""))))</f>
        <v/>
      </c>
      <c r="L825" s="65" t="str">
        <f>IF(COUNTA(A825:G825)=0,"",IF(AND(ISNUMBER(D825),ISNUMBER(J825)),ROUND(D825*J825*(1-N(F825)),2),0))</f>
        <v/>
      </c>
      <c r="M825" s="62" t="str">
        <f>IF(A825="","",IFERROR(INDEX(fa_cname,MATCH(A825,fa_num,0))&amp;"",""))</f>
        <v/>
      </c>
      <c r="N825" s="59" t="str">
        <f>IF(COUNTA(A825:G825)=0,"",IF(A825="","N° facture manquant",IF(ISNA(MATCH(A825,fa_num,0)),"Facture inconnue",IF(AND(B825&lt;&gt;"",ISNA(MATCH(B825,pr_code,0))),"Article inconnu",IF(H825="","Désignation manquante",IF(OR(NOT(ISNUMBER(D825)),N(D825)&lt;=0),"Quantité invalide",IF(J825="","Prix manquant",IF(OR(NOT(ISNUMBER(J825)),N(J825)&lt;0),"Prix invalide",IF(OR(AND(F825&lt;&gt;"",NOT(ISNUMBER(F825))),N(F825)&lt;0,N(F825)&gt;1),"Remise invalide",IF(K825="","Taux de TVA manquant",IF(NOT(ISNUMBER(K825)),"Taux de TVA invalide",IF(COUNTIF(p_rates,K825)=0,"Taux de TVA hors liste (Paramètres)",IF(N(O825)&gt;25,"Au-delà de 25 lignes : non imprimée","OK")))))))))))))</f>
        <v/>
      </c>
      <c r="O825" s="59" t="str">
        <f>IF(A825="","",COUNTIF($A$6:A825,A825))</f>
        <v/>
      </c>
      <c r="P825" s="62" t="str">
        <f>IF(A825="","",A825&amp;"|"&amp;O825)</f>
        <v/>
      </c>
    </row>
    <row r="826">
      <c r="A826" s="60" t="n"/>
      <c r="B826" s="63" t="n"/>
      <c r="C826" s="63" t="n"/>
      <c r="D826" s="67" t="n"/>
      <c r="E826" s="68" t="n"/>
      <c r="F826" s="69" t="n"/>
      <c r="G826" s="70" t="n"/>
      <c r="H826" s="62" t="str">
        <f>IF(COUNTA(A826:G826)=0,"",IF(C826&lt;&gt;"",C826,IF(B826="","",IFERROR(INDEX(pr_des,MATCH(B826,pr_code,0))&amp;"",""))))</f>
        <v/>
      </c>
      <c r="I826" s="59" t="str">
        <f>IF(B826="","",IFERROR(INDEX(pr_unit,MATCH(B826,pr_code,0))&amp;"",""))</f>
        <v/>
      </c>
      <c r="J826" s="65" t="str">
        <f>IF(COUNTA(A826:G826)=0,"",IF(E826&lt;&gt;"",E826,IF(B826="","",IFERROR(IF(INDEX(pr_price,MATCH(B826,pr_code,0))="","",INDEX(pr_price,MATCH(B826,pr_code,0))),""))))</f>
        <v/>
      </c>
      <c r="K826" s="71" t="str">
        <f>IF(COUNTA(A826:G826)=0,"",IF(G826&lt;&gt;"",G826,IF(B826="","",IFERROR(IF(INDEX(pr_rate,MATCH(B826,pr_code,0))="","",INDEX(pr_rate,MATCH(B826,pr_code,0))),""))))</f>
        <v/>
      </c>
      <c r="L826" s="65" t="str">
        <f>IF(COUNTA(A826:G826)=0,"",IF(AND(ISNUMBER(D826),ISNUMBER(J826)),ROUND(D826*J826*(1-N(F826)),2),0))</f>
        <v/>
      </c>
      <c r="M826" s="62" t="str">
        <f>IF(A826="","",IFERROR(INDEX(fa_cname,MATCH(A826,fa_num,0))&amp;"",""))</f>
        <v/>
      </c>
      <c r="N826" s="59" t="str">
        <f>IF(COUNTA(A826:G826)=0,"",IF(A826="","N° facture manquant",IF(ISNA(MATCH(A826,fa_num,0)),"Facture inconnue",IF(AND(B826&lt;&gt;"",ISNA(MATCH(B826,pr_code,0))),"Article inconnu",IF(H826="","Désignation manquante",IF(OR(NOT(ISNUMBER(D826)),N(D826)&lt;=0),"Quantité invalide",IF(J826="","Prix manquant",IF(OR(NOT(ISNUMBER(J826)),N(J826)&lt;0),"Prix invalide",IF(OR(AND(F826&lt;&gt;"",NOT(ISNUMBER(F826))),N(F826)&lt;0,N(F826)&gt;1),"Remise invalide",IF(K826="","Taux de TVA manquant",IF(NOT(ISNUMBER(K826)),"Taux de TVA invalide",IF(COUNTIF(p_rates,K826)=0,"Taux de TVA hors liste (Paramètres)",IF(N(O826)&gt;25,"Au-delà de 25 lignes : non imprimée","OK")))))))))))))</f>
        <v/>
      </c>
      <c r="O826" s="59" t="str">
        <f>IF(A826="","",COUNTIF($A$6:A826,A826))</f>
        <v/>
      </c>
      <c r="P826" s="62" t="str">
        <f>IF(A826="","",A826&amp;"|"&amp;O826)</f>
        <v/>
      </c>
    </row>
    <row r="827">
      <c r="A827" s="60" t="n"/>
      <c r="B827" s="63" t="n"/>
      <c r="C827" s="63" t="n"/>
      <c r="D827" s="67" t="n"/>
      <c r="E827" s="68" t="n"/>
      <c r="F827" s="69" t="n"/>
      <c r="G827" s="70" t="n"/>
      <c r="H827" s="62" t="str">
        <f>IF(COUNTA(A827:G827)=0,"",IF(C827&lt;&gt;"",C827,IF(B827="","",IFERROR(INDEX(pr_des,MATCH(B827,pr_code,0))&amp;"",""))))</f>
        <v/>
      </c>
      <c r="I827" s="59" t="str">
        <f>IF(B827="","",IFERROR(INDEX(pr_unit,MATCH(B827,pr_code,0))&amp;"",""))</f>
        <v/>
      </c>
      <c r="J827" s="65" t="str">
        <f>IF(COUNTA(A827:G827)=0,"",IF(E827&lt;&gt;"",E827,IF(B827="","",IFERROR(IF(INDEX(pr_price,MATCH(B827,pr_code,0))="","",INDEX(pr_price,MATCH(B827,pr_code,0))),""))))</f>
        <v/>
      </c>
      <c r="K827" s="71" t="str">
        <f>IF(COUNTA(A827:G827)=0,"",IF(G827&lt;&gt;"",G827,IF(B827="","",IFERROR(IF(INDEX(pr_rate,MATCH(B827,pr_code,0))="","",INDEX(pr_rate,MATCH(B827,pr_code,0))),""))))</f>
        <v/>
      </c>
      <c r="L827" s="65" t="str">
        <f>IF(COUNTA(A827:G827)=0,"",IF(AND(ISNUMBER(D827),ISNUMBER(J827)),ROUND(D827*J827*(1-N(F827)),2),0))</f>
        <v/>
      </c>
      <c r="M827" s="62" t="str">
        <f>IF(A827="","",IFERROR(INDEX(fa_cname,MATCH(A827,fa_num,0))&amp;"",""))</f>
        <v/>
      </c>
      <c r="N827" s="59" t="str">
        <f>IF(COUNTA(A827:G827)=0,"",IF(A827="","N° facture manquant",IF(ISNA(MATCH(A827,fa_num,0)),"Facture inconnue",IF(AND(B827&lt;&gt;"",ISNA(MATCH(B827,pr_code,0))),"Article inconnu",IF(H827="","Désignation manquante",IF(OR(NOT(ISNUMBER(D827)),N(D827)&lt;=0),"Quantité invalide",IF(J827="","Prix manquant",IF(OR(NOT(ISNUMBER(J827)),N(J827)&lt;0),"Prix invalide",IF(OR(AND(F827&lt;&gt;"",NOT(ISNUMBER(F827))),N(F827)&lt;0,N(F827)&gt;1),"Remise invalide",IF(K827="","Taux de TVA manquant",IF(NOT(ISNUMBER(K827)),"Taux de TVA invalide",IF(COUNTIF(p_rates,K827)=0,"Taux de TVA hors liste (Paramètres)",IF(N(O827)&gt;25,"Au-delà de 25 lignes : non imprimée","OK")))))))))))))</f>
        <v/>
      </c>
      <c r="O827" s="59" t="str">
        <f>IF(A827="","",COUNTIF($A$6:A827,A827))</f>
        <v/>
      </c>
      <c r="P827" s="62" t="str">
        <f>IF(A827="","",A827&amp;"|"&amp;O827)</f>
        <v/>
      </c>
    </row>
    <row r="828">
      <c r="A828" s="60" t="n"/>
      <c r="B828" s="63" t="n"/>
      <c r="C828" s="63" t="n"/>
      <c r="D828" s="67" t="n"/>
      <c r="E828" s="68" t="n"/>
      <c r="F828" s="69" t="n"/>
      <c r="G828" s="70" t="n"/>
      <c r="H828" s="62" t="str">
        <f>IF(COUNTA(A828:G828)=0,"",IF(C828&lt;&gt;"",C828,IF(B828="","",IFERROR(INDEX(pr_des,MATCH(B828,pr_code,0))&amp;"",""))))</f>
        <v/>
      </c>
      <c r="I828" s="59" t="str">
        <f>IF(B828="","",IFERROR(INDEX(pr_unit,MATCH(B828,pr_code,0))&amp;"",""))</f>
        <v/>
      </c>
      <c r="J828" s="65" t="str">
        <f>IF(COUNTA(A828:G828)=0,"",IF(E828&lt;&gt;"",E828,IF(B828="","",IFERROR(IF(INDEX(pr_price,MATCH(B828,pr_code,0))="","",INDEX(pr_price,MATCH(B828,pr_code,0))),""))))</f>
        <v/>
      </c>
      <c r="K828" s="71" t="str">
        <f>IF(COUNTA(A828:G828)=0,"",IF(G828&lt;&gt;"",G828,IF(B828="","",IFERROR(IF(INDEX(pr_rate,MATCH(B828,pr_code,0))="","",INDEX(pr_rate,MATCH(B828,pr_code,0))),""))))</f>
        <v/>
      </c>
      <c r="L828" s="65" t="str">
        <f>IF(COUNTA(A828:G828)=0,"",IF(AND(ISNUMBER(D828),ISNUMBER(J828)),ROUND(D828*J828*(1-N(F828)),2),0))</f>
        <v/>
      </c>
      <c r="M828" s="62" t="str">
        <f>IF(A828="","",IFERROR(INDEX(fa_cname,MATCH(A828,fa_num,0))&amp;"",""))</f>
        <v/>
      </c>
      <c r="N828" s="59" t="str">
        <f>IF(COUNTA(A828:G828)=0,"",IF(A828="","N° facture manquant",IF(ISNA(MATCH(A828,fa_num,0)),"Facture inconnue",IF(AND(B828&lt;&gt;"",ISNA(MATCH(B828,pr_code,0))),"Article inconnu",IF(H828="","Désignation manquante",IF(OR(NOT(ISNUMBER(D828)),N(D828)&lt;=0),"Quantité invalide",IF(J828="","Prix manquant",IF(OR(NOT(ISNUMBER(J828)),N(J828)&lt;0),"Prix invalide",IF(OR(AND(F828&lt;&gt;"",NOT(ISNUMBER(F828))),N(F828)&lt;0,N(F828)&gt;1),"Remise invalide",IF(K828="","Taux de TVA manquant",IF(NOT(ISNUMBER(K828)),"Taux de TVA invalide",IF(COUNTIF(p_rates,K828)=0,"Taux de TVA hors liste (Paramètres)",IF(N(O828)&gt;25,"Au-delà de 25 lignes : non imprimée","OK")))))))))))))</f>
        <v/>
      </c>
      <c r="O828" s="59" t="str">
        <f>IF(A828="","",COUNTIF($A$6:A828,A828))</f>
        <v/>
      </c>
      <c r="P828" s="62" t="str">
        <f>IF(A828="","",A828&amp;"|"&amp;O828)</f>
        <v/>
      </c>
    </row>
    <row r="829">
      <c r="A829" s="60" t="n"/>
      <c r="B829" s="63" t="n"/>
      <c r="C829" s="63" t="n"/>
      <c r="D829" s="67" t="n"/>
      <c r="E829" s="68" t="n"/>
      <c r="F829" s="69" t="n"/>
      <c r="G829" s="70" t="n"/>
      <c r="H829" s="62" t="str">
        <f>IF(COUNTA(A829:G829)=0,"",IF(C829&lt;&gt;"",C829,IF(B829="","",IFERROR(INDEX(pr_des,MATCH(B829,pr_code,0))&amp;"",""))))</f>
        <v/>
      </c>
      <c r="I829" s="59" t="str">
        <f>IF(B829="","",IFERROR(INDEX(pr_unit,MATCH(B829,pr_code,0))&amp;"",""))</f>
        <v/>
      </c>
      <c r="J829" s="65" t="str">
        <f>IF(COUNTA(A829:G829)=0,"",IF(E829&lt;&gt;"",E829,IF(B829="","",IFERROR(IF(INDEX(pr_price,MATCH(B829,pr_code,0))="","",INDEX(pr_price,MATCH(B829,pr_code,0))),""))))</f>
        <v/>
      </c>
      <c r="K829" s="71" t="str">
        <f>IF(COUNTA(A829:G829)=0,"",IF(G829&lt;&gt;"",G829,IF(B829="","",IFERROR(IF(INDEX(pr_rate,MATCH(B829,pr_code,0))="","",INDEX(pr_rate,MATCH(B829,pr_code,0))),""))))</f>
        <v/>
      </c>
      <c r="L829" s="65" t="str">
        <f>IF(COUNTA(A829:G829)=0,"",IF(AND(ISNUMBER(D829),ISNUMBER(J829)),ROUND(D829*J829*(1-N(F829)),2),0))</f>
        <v/>
      </c>
      <c r="M829" s="62" t="str">
        <f>IF(A829="","",IFERROR(INDEX(fa_cname,MATCH(A829,fa_num,0))&amp;"",""))</f>
        <v/>
      </c>
      <c r="N829" s="59" t="str">
        <f>IF(COUNTA(A829:G829)=0,"",IF(A829="","N° facture manquant",IF(ISNA(MATCH(A829,fa_num,0)),"Facture inconnue",IF(AND(B829&lt;&gt;"",ISNA(MATCH(B829,pr_code,0))),"Article inconnu",IF(H829="","Désignation manquante",IF(OR(NOT(ISNUMBER(D829)),N(D829)&lt;=0),"Quantité invalide",IF(J829="","Prix manquant",IF(OR(NOT(ISNUMBER(J829)),N(J829)&lt;0),"Prix invalide",IF(OR(AND(F829&lt;&gt;"",NOT(ISNUMBER(F829))),N(F829)&lt;0,N(F829)&gt;1),"Remise invalide",IF(K829="","Taux de TVA manquant",IF(NOT(ISNUMBER(K829)),"Taux de TVA invalide",IF(COUNTIF(p_rates,K829)=0,"Taux de TVA hors liste (Paramètres)",IF(N(O829)&gt;25,"Au-delà de 25 lignes : non imprimée","OK")))))))))))))</f>
        <v/>
      </c>
      <c r="O829" s="59" t="str">
        <f>IF(A829="","",COUNTIF($A$6:A829,A829))</f>
        <v/>
      </c>
      <c r="P829" s="62" t="str">
        <f>IF(A829="","",A829&amp;"|"&amp;O829)</f>
        <v/>
      </c>
    </row>
    <row r="830">
      <c r="A830" s="60" t="n"/>
      <c r="B830" s="63" t="n"/>
      <c r="C830" s="63" t="n"/>
      <c r="D830" s="67" t="n"/>
      <c r="E830" s="68" t="n"/>
      <c r="F830" s="69" t="n"/>
      <c r="G830" s="70" t="n"/>
      <c r="H830" s="62" t="str">
        <f>IF(COUNTA(A830:G830)=0,"",IF(C830&lt;&gt;"",C830,IF(B830="","",IFERROR(INDEX(pr_des,MATCH(B830,pr_code,0))&amp;"",""))))</f>
        <v/>
      </c>
      <c r="I830" s="59" t="str">
        <f>IF(B830="","",IFERROR(INDEX(pr_unit,MATCH(B830,pr_code,0))&amp;"",""))</f>
        <v/>
      </c>
      <c r="J830" s="65" t="str">
        <f>IF(COUNTA(A830:G830)=0,"",IF(E830&lt;&gt;"",E830,IF(B830="","",IFERROR(IF(INDEX(pr_price,MATCH(B830,pr_code,0))="","",INDEX(pr_price,MATCH(B830,pr_code,0))),""))))</f>
        <v/>
      </c>
      <c r="K830" s="71" t="str">
        <f>IF(COUNTA(A830:G830)=0,"",IF(G830&lt;&gt;"",G830,IF(B830="","",IFERROR(IF(INDEX(pr_rate,MATCH(B830,pr_code,0))="","",INDEX(pr_rate,MATCH(B830,pr_code,0))),""))))</f>
        <v/>
      </c>
      <c r="L830" s="65" t="str">
        <f>IF(COUNTA(A830:G830)=0,"",IF(AND(ISNUMBER(D830),ISNUMBER(J830)),ROUND(D830*J830*(1-N(F830)),2),0))</f>
        <v/>
      </c>
      <c r="M830" s="62" t="str">
        <f>IF(A830="","",IFERROR(INDEX(fa_cname,MATCH(A830,fa_num,0))&amp;"",""))</f>
        <v/>
      </c>
      <c r="N830" s="59" t="str">
        <f>IF(COUNTA(A830:G830)=0,"",IF(A830="","N° facture manquant",IF(ISNA(MATCH(A830,fa_num,0)),"Facture inconnue",IF(AND(B830&lt;&gt;"",ISNA(MATCH(B830,pr_code,0))),"Article inconnu",IF(H830="","Désignation manquante",IF(OR(NOT(ISNUMBER(D830)),N(D830)&lt;=0),"Quantité invalide",IF(J830="","Prix manquant",IF(OR(NOT(ISNUMBER(J830)),N(J830)&lt;0),"Prix invalide",IF(OR(AND(F830&lt;&gt;"",NOT(ISNUMBER(F830))),N(F830)&lt;0,N(F830)&gt;1),"Remise invalide",IF(K830="","Taux de TVA manquant",IF(NOT(ISNUMBER(K830)),"Taux de TVA invalide",IF(COUNTIF(p_rates,K830)=0,"Taux de TVA hors liste (Paramètres)",IF(N(O830)&gt;25,"Au-delà de 25 lignes : non imprimée","OK")))))))))))))</f>
        <v/>
      </c>
      <c r="O830" s="59" t="str">
        <f>IF(A830="","",COUNTIF($A$6:A830,A830))</f>
        <v/>
      </c>
      <c r="P830" s="62" t="str">
        <f>IF(A830="","",A830&amp;"|"&amp;O830)</f>
        <v/>
      </c>
    </row>
    <row r="831">
      <c r="A831" s="60" t="n"/>
      <c r="B831" s="63" t="n"/>
      <c r="C831" s="63" t="n"/>
      <c r="D831" s="67" t="n"/>
      <c r="E831" s="68" t="n"/>
      <c r="F831" s="69" t="n"/>
      <c r="G831" s="70" t="n"/>
      <c r="H831" s="62" t="str">
        <f>IF(COUNTA(A831:G831)=0,"",IF(C831&lt;&gt;"",C831,IF(B831="","",IFERROR(INDEX(pr_des,MATCH(B831,pr_code,0))&amp;"",""))))</f>
        <v/>
      </c>
      <c r="I831" s="59" t="str">
        <f>IF(B831="","",IFERROR(INDEX(pr_unit,MATCH(B831,pr_code,0))&amp;"",""))</f>
        <v/>
      </c>
      <c r="J831" s="65" t="str">
        <f>IF(COUNTA(A831:G831)=0,"",IF(E831&lt;&gt;"",E831,IF(B831="","",IFERROR(IF(INDEX(pr_price,MATCH(B831,pr_code,0))="","",INDEX(pr_price,MATCH(B831,pr_code,0))),""))))</f>
        <v/>
      </c>
      <c r="K831" s="71" t="str">
        <f>IF(COUNTA(A831:G831)=0,"",IF(G831&lt;&gt;"",G831,IF(B831="","",IFERROR(IF(INDEX(pr_rate,MATCH(B831,pr_code,0))="","",INDEX(pr_rate,MATCH(B831,pr_code,0))),""))))</f>
        <v/>
      </c>
      <c r="L831" s="65" t="str">
        <f>IF(COUNTA(A831:G831)=0,"",IF(AND(ISNUMBER(D831),ISNUMBER(J831)),ROUND(D831*J831*(1-N(F831)),2),0))</f>
        <v/>
      </c>
      <c r="M831" s="62" t="str">
        <f>IF(A831="","",IFERROR(INDEX(fa_cname,MATCH(A831,fa_num,0))&amp;"",""))</f>
        <v/>
      </c>
      <c r="N831" s="59" t="str">
        <f>IF(COUNTA(A831:G831)=0,"",IF(A831="","N° facture manquant",IF(ISNA(MATCH(A831,fa_num,0)),"Facture inconnue",IF(AND(B831&lt;&gt;"",ISNA(MATCH(B831,pr_code,0))),"Article inconnu",IF(H831="","Désignation manquante",IF(OR(NOT(ISNUMBER(D831)),N(D831)&lt;=0),"Quantité invalide",IF(J831="","Prix manquant",IF(OR(NOT(ISNUMBER(J831)),N(J831)&lt;0),"Prix invalide",IF(OR(AND(F831&lt;&gt;"",NOT(ISNUMBER(F831))),N(F831)&lt;0,N(F831)&gt;1),"Remise invalide",IF(K831="","Taux de TVA manquant",IF(NOT(ISNUMBER(K831)),"Taux de TVA invalide",IF(COUNTIF(p_rates,K831)=0,"Taux de TVA hors liste (Paramètres)",IF(N(O831)&gt;25,"Au-delà de 25 lignes : non imprimée","OK")))))))))))))</f>
        <v/>
      </c>
      <c r="O831" s="59" t="str">
        <f>IF(A831="","",COUNTIF($A$6:A831,A831))</f>
        <v/>
      </c>
      <c r="P831" s="62" t="str">
        <f>IF(A831="","",A831&amp;"|"&amp;O831)</f>
        <v/>
      </c>
    </row>
    <row r="832">
      <c r="A832" s="60" t="n"/>
      <c r="B832" s="63" t="n"/>
      <c r="C832" s="63" t="n"/>
      <c r="D832" s="67" t="n"/>
      <c r="E832" s="68" t="n"/>
      <c r="F832" s="69" t="n"/>
      <c r="G832" s="70" t="n"/>
      <c r="H832" s="62" t="str">
        <f>IF(COUNTA(A832:G832)=0,"",IF(C832&lt;&gt;"",C832,IF(B832="","",IFERROR(INDEX(pr_des,MATCH(B832,pr_code,0))&amp;"",""))))</f>
        <v/>
      </c>
      <c r="I832" s="59" t="str">
        <f>IF(B832="","",IFERROR(INDEX(pr_unit,MATCH(B832,pr_code,0))&amp;"",""))</f>
        <v/>
      </c>
      <c r="J832" s="65" t="str">
        <f>IF(COUNTA(A832:G832)=0,"",IF(E832&lt;&gt;"",E832,IF(B832="","",IFERROR(IF(INDEX(pr_price,MATCH(B832,pr_code,0))="","",INDEX(pr_price,MATCH(B832,pr_code,0))),""))))</f>
        <v/>
      </c>
      <c r="K832" s="71" t="str">
        <f>IF(COUNTA(A832:G832)=0,"",IF(G832&lt;&gt;"",G832,IF(B832="","",IFERROR(IF(INDEX(pr_rate,MATCH(B832,pr_code,0))="","",INDEX(pr_rate,MATCH(B832,pr_code,0))),""))))</f>
        <v/>
      </c>
      <c r="L832" s="65" t="str">
        <f>IF(COUNTA(A832:G832)=0,"",IF(AND(ISNUMBER(D832),ISNUMBER(J832)),ROUND(D832*J832*(1-N(F832)),2),0))</f>
        <v/>
      </c>
      <c r="M832" s="62" t="str">
        <f>IF(A832="","",IFERROR(INDEX(fa_cname,MATCH(A832,fa_num,0))&amp;"",""))</f>
        <v/>
      </c>
      <c r="N832" s="59" t="str">
        <f>IF(COUNTA(A832:G832)=0,"",IF(A832="","N° facture manquant",IF(ISNA(MATCH(A832,fa_num,0)),"Facture inconnue",IF(AND(B832&lt;&gt;"",ISNA(MATCH(B832,pr_code,0))),"Article inconnu",IF(H832="","Désignation manquante",IF(OR(NOT(ISNUMBER(D832)),N(D832)&lt;=0),"Quantité invalide",IF(J832="","Prix manquant",IF(OR(NOT(ISNUMBER(J832)),N(J832)&lt;0),"Prix invalide",IF(OR(AND(F832&lt;&gt;"",NOT(ISNUMBER(F832))),N(F832)&lt;0,N(F832)&gt;1),"Remise invalide",IF(K832="","Taux de TVA manquant",IF(NOT(ISNUMBER(K832)),"Taux de TVA invalide",IF(COUNTIF(p_rates,K832)=0,"Taux de TVA hors liste (Paramètres)",IF(N(O832)&gt;25,"Au-delà de 25 lignes : non imprimée","OK")))))))))))))</f>
        <v/>
      </c>
      <c r="O832" s="59" t="str">
        <f>IF(A832="","",COUNTIF($A$6:A832,A832))</f>
        <v/>
      </c>
      <c r="P832" s="62" t="str">
        <f>IF(A832="","",A832&amp;"|"&amp;O832)</f>
        <v/>
      </c>
    </row>
    <row r="833">
      <c r="A833" s="60" t="n"/>
      <c r="B833" s="63" t="n"/>
      <c r="C833" s="63" t="n"/>
      <c r="D833" s="67" t="n"/>
      <c r="E833" s="68" t="n"/>
      <c r="F833" s="69" t="n"/>
      <c r="G833" s="70" t="n"/>
      <c r="H833" s="62" t="str">
        <f>IF(COUNTA(A833:G833)=0,"",IF(C833&lt;&gt;"",C833,IF(B833="","",IFERROR(INDEX(pr_des,MATCH(B833,pr_code,0))&amp;"",""))))</f>
        <v/>
      </c>
      <c r="I833" s="59" t="str">
        <f>IF(B833="","",IFERROR(INDEX(pr_unit,MATCH(B833,pr_code,0))&amp;"",""))</f>
        <v/>
      </c>
      <c r="J833" s="65" t="str">
        <f>IF(COUNTA(A833:G833)=0,"",IF(E833&lt;&gt;"",E833,IF(B833="","",IFERROR(IF(INDEX(pr_price,MATCH(B833,pr_code,0))="","",INDEX(pr_price,MATCH(B833,pr_code,0))),""))))</f>
        <v/>
      </c>
      <c r="K833" s="71" t="str">
        <f>IF(COUNTA(A833:G833)=0,"",IF(G833&lt;&gt;"",G833,IF(B833="","",IFERROR(IF(INDEX(pr_rate,MATCH(B833,pr_code,0))="","",INDEX(pr_rate,MATCH(B833,pr_code,0))),""))))</f>
        <v/>
      </c>
      <c r="L833" s="65" t="str">
        <f>IF(COUNTA(A833:G833)=0,"",IF(AND(ISNUMBER(D833),ISNUMBER(J833)),ROUND(D833*J833*(1-N(F833)),2),0))</f>
        <v/>
      </c>
      <c r="M833" s="62" t="str">
        <f>IF(A833="","",IFERROR(INDEX(fa_cname,MATCH(A833,fa_num,0))&amp;"",""))</f>
        <v/>
      </c>
      <c r="N833" s="59" t="str">
        <f>IF(COUNTA(A833:G833)=0,"",IF(A833="","N° facture manquant",IF(ISNA(MATCH(A833,fa_num,0)),"Facture inconnue",IF(AND(B833&lt;&gt;"",ISNA(MATCH(B833,pr_code,0))),"Article inconnu",IF(H833="","Désignation manquante",IF(OR(NOT(ISNUMBER(D833)),N(D833)&lt;=0),"Quantité invalide",IF(J833="","Prix manquant",IF(OR(NOT(ISNUMBER(J833)),N(J833)&lt;0),"Prix invalide",IF(OR(AND(F833&lt;&gt;"",NOT(ISNUMBER(F833))),N(F833)&lt;0,N(F833)&gt;1),"Remise invalide",IF(K833="","Taux de TVA manquant",IF(NOT(ISNUMBER(K833)),"Taux de TVA invalide",IF(COUNTIF(p_rates,K833)=0,"Taux de TVA hors liste (Paramètres)",IF(N(O833)&gt;25,"Au-delà de 25 lignes : non imprimée","OK")))))))))))))</f>
        <v/>
      </c>
      <c r="O833" s="59" t="str">
        <f>IF(A833="","",COUNTIF($A$6:A833,A833))</f>
        <v/>
      </c>
      <c r="P833" s="62" t="str">
        <f>IF(A833="","",A833&amp;"|"&amp;O833)</f>
        <v/>
      </c>
    </row>
    <row r="834">
      <c r="A834" s="60" t="n"/>
      <c r="B834" s="63" t="n"/>
      <c r="C834" s="63" t="n"/>
      <c r="D834" s="67" t="n"/>
      <c r="E834" s="68" t="n"/>
      <c r="F834" s="69" t="n"/>
      <c r="G834" s="70" t="n"/>
      <c r="H834" s="62" t="str">
        <f>IF(COUNTA(A834:G834)=0,"",IF(C834&lt;&gt;"",C834,IF(B834="","",IFERROR(INDEX(pr_des,MATCH(B834,pr_code,0))&amp;"",""))))</f>
        <v/>
      </c>
      <c r="I834" s="59" t="str">
        <f>IF(B834="","",IFERROR(INDEX(pr_unit,MATCH(B834,pr_code,0))&amp;"",""))</f>
        <v/>
      </c>
      <c r="J834" s="65" t="str">
        <f>IF(COUNTA(A834:G834)=0,"",IF(E834&lt;&gt;"",E834,IF(B834="","",IFERROR(IF(INDEX(pr_price,MATCH(B834,pr_code,0))="","",INDEX(pr_price,MATCH(B834,pr_code,0))),""))))</f>
        <v/>
      </c>
      <c r="K834" s="71" t="str">
        <f>IF(COUNTA(A834:G834)=0,"",IF(G834&lt;&gt;"",G834,IF(B834="","",IFERROR(IF(INDEX(pr_rate,MATCH(B834,pr_code,0))="","",INDEX(pr_rate,MATCH(B834,pr_code,0))),""))))</f>
        <v/>
      </c>
      <c r="L834" s="65" t="str">
        <f>IF(COUNTA(A834:G834)=0,"",IF(AND(ISNUMBER(D834),ISNUMBER(J834)),ROUND(D834*J834*(1-N(F834)),2),0))</f>
        <v/>
      </c>
      <c r="M834" s="62" t="str">
        <f>IF(A834="","",IFERROR(INDEX(fa_cname,MATCH(A834,fa_num,0))&amp;"",""))</f>
        <v/>
      </c>
      <c r="N834" s="59" t="str">
        <f>IF(COUNTA(A834:G834)=0,"",IF(A834="","N° facture manquant",IF(ISNA(MATCH(A834,fa_num,0)),"Facture inconnue",IF(AND(B834&lt;&gt;"",ISNA(MATCH(B834,pr_code,0))),"Article inconnu",IF(H834="","Désignation manquante",IF(OR(NOT(ISNUMBER(D834)),N(D834)&lt;=0),"Quantité invalide",IF(J834="","Prix manquant",IF(OR(NOT(ISNUMBER(J834)),N(J834)&lt;0),"Prix invalide",IF(OR(AND(F834&lt;&gt;"",NOT(ISNUMBER(F834))),N(F834)&lt;0,N(F834)&gt;1),"Remise invalide",IF(K834="","Taux de TVA manquant",IF(NOT(ISNUMBER(K834)),"Taux de TVA invalide",IF(COUNTIF(p_rates,K834)=0,"Taux de TVA hors liste (Paramètres)",IF(N(O834)&gt;25,"Au-delà de 25 lignes : non imprimée","OK")))))))))))))</f>
        <v/>
      </c>
      <c r="O834" s="59" t="str">
        <f>IF(A834="","",COUNTIF($A$6:A834,A834))</f>
        <v/>
      </c>
      <c r="P834" s="62" t="str">
        <f>IF(A834="","",A834&amp;"|"&amp;O834)</f>
        <v/>
      </c>
    </row>
    <row r="835">
      <c r="A835" s="60" t="n"/>
      <c r="B835" s="63" t="n"/>
      <c r="C835" s="63" t="n"/>
      <c r="D835" s="67" t="n"/>
      <c r="E835" s="68" t="n"/>
      <c r="F835" s="69" t="n"/>
      <c r="G835" s="70" t="n"/>
      <c r="H835" s="62" t="str">
        <f>IF(COUNTA(A835:G835)=0,"",IF(C835&lt;&gt;"",C835,IF(B835="","",IFERROR(INDEX(pr_des,MATCH(B835,pr_code,0))&amp;"",""))))</f>
        <v/>
      </c>
      <c r="I835" s="59" t="str">
        <f>IF(B835="","",IFERROR(INDEX(pr_unit,MATCH(B835,pr_code,0))&amp;"",""))</f>
        <v/>
      </c>
      <c r="J835" s="65" t="str">
        <f>IF(COUNTA(A835:G835)=0,"",IF(E835&lt;&gt;"",E835,IF(B835="","",IFERROR(IF(INDEX(pr_price,MATCH(B835,pr_code,0))="","",INDEX(pr_price,MATCH(B835,pr_code,0))),""))))</f>
        <v/>
      </c>
      <c r="K835" s="71" t="str">
        <f>IF(COUNTA(A835:G835)=0,"",IF(G835&lt;&gt;"",G835,IF(B835="","",IFERROR(IF(INDEX(pr_rate,MATCH(B835,pr_code,0))="","",INDEX(pr_rate,MATCH(B835,pr_code,0))),""))))</f>
        <v/>
      </c>
      <c r="L835" s="65" t="str">
        <f>IF(COUNTA(A835:G835)=0,"",IF(AND(ISNUMBER(D835),ISNUMBER(J835)),ROUND(D835*J835*(1-N(F835)),2),0))</f>
        <v/>
      </c>
      <c r="M835" s="62" t="str">
        <f>IF(A835="","",IFERROR(INDEX(fa_cname,MATCH(A835,fa_num,0))&amp;"",""))</f>
        <v/>
      </c>
      <c r="N835" s="59" t="str">
        <f>IF(COUNTA(A835:G835)=0,"",IF(A835="","N° facture manquant",IF(ISNA(MATCH(A835,fa_num,0)),"Facture inconnue",IF(AND(B835&lt;&gt;"",ISNA(MATCH(B835,pr_code,0))),"Article inconnu",IF(H835="","Désignation manquante",IF(OR(NOT(ISNUMBER(D835)),N(D835)&lt;=0),"Quantité invalide",IF(J835="","Prix manquant",IF(OR(NOT(ISNUMBER(J835)),N(J835)&lt;0),"Prix invalide",IF(OR(AND(F835&lt;&gt;"",NOT(ISNUMBER(F835))),N(F835)&lt;0,N(F835)&gt;1),"Remise invalide",IF(K835="","Taux de TVA manquant",IF(NOT(ISNUMBER(K835)),"Taux de TVA invalide",IF(COUNTIF(p_rates,K835)=0,"Taux de TVA hors liste (Paramètres)",IF(N(O835)&gt;25,"Au-delà de 25 lignes : non imprimée","OK")))))))))))))</f>
        <v/>
      </c>
      <c r="O835" s="59" t="str">
        <f>IF(A835="","",COUNTIF($A$6:A835,A835))</f>
        <v/>
      </c>
      <c r="P835" s="62" t="str">
        <f>IF(A835="","",A835&amp;"|"&amp;O835)</f>
        <v/>
      </c>
    </row>
    <row r="836">
      <c r="A836" s="60" t="n"/>
      <c r="B836" s="63" t="n"/>
      <c r="C836" s="63" t="n"/>
      <c r="D836" s="67" t="n"/>
      <c r="E836" s="68" t="n"/>
      <c r="F836" s="69" t="n"/>
      <c r="G836" s="70" t="n"/>
      <c r="H836" s="62" t="str">
        <f>IF(COUNTA(A836:G836)=0,"",IF(C836&lt;&gt;"",C836,IF(B836="","",IFERROR(INDEX(pr_des,MATCH(B836,pr_code,0))&amp;"",""))))</f>
        <v/>
      </c>
      <c r="I836" s="59" t="str">
        <f>IF(B836="","",IFERROR(INDEX(pr_unit,MATCH(B836,pr_code,0))&amp;"",""))</f>
        <v/>
      </c>
      <c r="J836" s="65" t="str">
        <f>IF(COUNTA(A836:G836)=0,"",IF(E836&lt;&gt;"",E836,IF(B836="","",IFERROR(IF(INDEX(pr_price,MATCH(B836,pr_code,0))="","",INDEX(pr_price,MATCH(B836,pr_code,0))),""))))</f>
        <v/>
      </c>
      <c r="K836" s="71" t="str">
        <f>IF(COUNTA(A836:G836)=0,"",IF(G836&lt;&gt;"",G836,IF(B836="","",IFERROR(IF(INDEX(pr_rate,MATCH(B836,pr_code,0))="","",INDEX(pr_rate,MATCH(B836,pr_code,0))),""))))</f>
        <v/>
      </c>
      <c r="L836" s="65" t="str">
        <f>IF(COUNTA(A836:G836)=0,"",IF(AND(ISNUMBER(D836),ISNUMBER(J836)),ROUND(D836*J836*(1-N(F836)),2),0))</f>
        <v/>
      </c>
      <c r="M836" s="62" t="str">
        <f>IF(A836="","",IFERROR(INDEX(fa_cname,MATCH(A836,fa_num,0))&amp;"",""))</f>
        <v/>
      </c>
      <c r="N836" s="59" t="str">
        <f>IF(COUNTA(A836:G836)=0,"",IF(A836="","N° facture manquant",IF(ISNA(MATCH(A836,fa_num,0)),"Facture inconnue",IF(AND(B836&lt;&gt;"",ISNA(MATCH(B836,pr_code,0))),"Article inconnu",IF(H836="","Désignation manquante",IF(OR(NOT(ISNUMBER(D836)),N(D836)&lt;=0),"Quantité invalide",IF(J836="","Prix manquant",IF(OR(NOT(ISNUMBER(J836)),N(J836)&lt;0),"Prix invalide",IF(OR(AND(F836&lt;&gt;"",NOT(ISNUMBER(F836))),N(F836)&lt;0,N(F836)&gt;1),"Remise invalide",IF(K836="","Taux de TVA manquant",IF(NOT(ISNUMBER(K836)),"Taux de TVA invalide",IF(COUNTIF(p_rates,K836)=0,"Taux de TVA hors liste (Paramètres)",IF(N(O836)&gt;25,"Au-delà de 25 lignes : non imprimée","OK")))))))))))))</f>
        <v/>
      </c>
      <c r="O836" s="59" t="str">
        <f>IF(A836="","",COUNTIF($A$6:A836,A836))</f>
        <v/>
      </c>
      <c r="P836" s="62" t="str">
        <f>IF(A836="","",A836&amp;"|"&amp;O836)</f>
        <v/>
      </c>
    </row>
    <row r="837">
      <c r="A837" s="60" t="n"/>
      <c r="B837" s="63" t="n"/>
      <c r="C837" s="63" t="n"/>
      <c r="D837" s="67" t="n"/>
      <c r="E837" s="68" t="n"/>
      <c r="F837" s="69" t="n"/>
      <c r="G837" s="70" t="n"/>
      <c r="H837" s="62" t="str">
        <f>IF(COUNTA(A837:G837)=0,"",IF(C837&lt;&gt;"",C837,IF(B837="","",IFERROR(INDEX(pr_des,MATCH(B837,pr_code,0))&amp;"",""))))</f>
        <v/>
      </c>
      <c r="I837" s="59" t="str">
        <f>IF(B837="","",IFERROR(INDEX(pr_unit,MATCH(B837,pr_code,0))&amp;"",""))</f>
        <v/>
      </c>
      <c r="J837" s="65" t="str">
        <f>IF(COUNTA(A837:G837)=0,"",IF(E837&lt;&gt;"",E837,IF(B837="","",IFERROR(IF(INDEX(pr_price,MATCH(B837,pr_code,0))="","",INDEX(pr_price,MATCH(B837,pr_code,0))),""))))</f>
        <v/>
      </c>
      <c r="K837" s="71" t="str">
        <f>IF(COUNTA(A837:G837)=0,"",IF(G837&lt;&gt;"",G837,IF(B837="","",IFERROR(IF(INDEX(pr_rate,MATCH(B837,pr_code,0))="","",INDEX(pr_rate,MATCH(B837,pr_code,0))),""))))</f>
        <v/>
      </c>
      <c r="L837" s="65" t="str">
        <f>IF(COUNTA(A837:G837)=0,"",IF(AND(ISNUMBER(D837),ISNUMBER(J837)),ROUND(D837*J837*(1-N(F837)),2),0))</f>
        <v/>
      </c>
      <c r="M837" s="62" t="str">
        <f>IF(A837="","",IFERROR(INDEX(fa_cname,MATCH(A837,fa_num,0))&amp;"",""))</f>
        <v/>
      </c>
      <c r="N837" s="59" t="str">
        <f>IF(COUNTA(A837:G837)=0,"",IF(A837="","N° facture manquant",IF(ISNA(MATCH(A837,fa_num,0)),"Facture inconnue",IF(AND(B837&lt;&gt;"",ISNA(MATCH(B837,pr_code,0))),"Article inconnu",IF(H837="","Désignation manquante",IF(OR(NOT(ISNUMBER(D837)),N(D837)&lt;=0),"Quantité invalide",IF(J837="","Prix manquant",IF(OR(NOT(ISNUMBER(J837)),N(J837)&lt;0),"Prix invalide",IF(OR(AND(F837&lt;&gt;"",NOT(ISNUMBER(F837))),N(F837)&lt;0,N(F837)&gt;1),"Remise invalide",IF(K837="","Taux de TVA manquant",IF(NOT(ISNUMBER(K837)),"Taux de TVA invalide",IF(COUNTIF(p_rates,K837)=0,"Taux de TVA hors liste (Paramètres)",IF(N(O837)&gt;25,"Au-delà de 25 lignes : non imprimée","OK")))))))))))))</f>
        <v/>
      </c>
      <c r="O837" s="59" t="str">
        <f>IF(A837="","",COUNTIF($A$6:A837,A837))</f>
        <v/>
      </c>
      <c r="P837" s="62" t="str">
        <f>IF(A837="","",A837&amp;"|"&amp;O837)</f>
        <v/>
      </c>
    </row>
    <row r="838">
      <c r="A838" s="60" t="n"/>
      <c r="B838" s="63" t="n"/>
      <c r="C838" s="63" t="n"/>
      <c r="D838" s="67" t="n"/>
      <c r="E838" s="68" t="n"/>
      <c r="F838" s="69" t="n"/>
      <c r="G838" s="70" t="n"/>
      <c r="H838" s="62" t="str">
        <f>IF(COUNTA(A838:G838)=0,"",IF(C838&lt;&gt;"",C838,IF(B838="","",IFERROR(INDEX(pr_des,MATCH(B838,pr_code,0))&amp;"",""))))</f>
        <v/>
      </c>
      <c r="I838" s="59" t="str">
        <f>IF(B838="","",IFERROR(INDEX(pr_unit,MATCH(B838,pr_code,0))&amp;"",""))</f>
        <v/>
      </c>
      <c r="J838" s="65" t="str">
        <f>IF(COUNTA(A838:G838)=0,"",IF(E838&lt;&gt;"",E838,IF(B838="","",IFERROR(IF(INDEX(pr_price,MATCH(B838,pr_code,0))="","",INDEX(pr_price,MATCH(B838,pr_code,0))),""))))</f>
        <v/>
      </c>
      <c r="K838" s="71" t="str">
        <f>IF(COUNTA(A838:G838)=0,"",IF(G838&lt;&gt;"",G838,IF(B838="","",IFERROR(IF(INDEX(pr_rate,MATCH(B838,pr_code,0))="","",INDEX(pr_rate,MATCH(B838,pr_code,0))),""))))</f>
        <v/>
      </c>
      <c r="L838" s="65" t="str">
        <f>IF(COUNTA(A838:G838)=0,"",IF(AND(ISNUMBER(D838),ISNUMBER(J838)),ROUND(D838*J838*(1-N(F838)),2),0))</f>
        <v/>
      </c>
      <c r="M838" s="62" t="str">
        <f>IF(A838="","",IFERROR(INDEX(fa_cname,MATCH(A838,fa_num,0))&amp;"",""))</f>
        <v/>
      </c>
      <c r="N838" s="59" t="str">
        <f>IF(COUNTA(A838:G838)=0,"",IF(A838="","N° facture manquant",IF(ISNA(MATCH(A838,fa_num,0)),"Facture inconnue",IF(AND(B838&lt;&gt;"",ISNA(MATCH(B838,pr_code,0))),"Article inconnu",IF(H838="","Désignation manquante",IF(OR(NOT(ISNUMBER(D838)),N(D838)&lt;=0),"Quantité invalide",IF(J838="","Prix manquant",IF(OR(NOT(ISNUMBER(J838)),N(J838)&lt;0),"Prix invalide",IF(OR(AND(F838&lt;&gt;"",NOT(ISNUMBER(F838))),N(F838)&lt;0,N(F838)&gt;1),"Remise invalide",IF(K838="","Taux de TVA manquant",IF(NOT(ISNUMBER(K838)),"Taux de TVA invalide",IF(COUNTIF(p_rates,K838)=0,"Taux de TVA hors liste (Paramètres)",IF(N(O838)&gt;25,"Au-delà de 25 lignes : non imprimée","OK")))))))))))))</f>
        <v/>
      </c>
      <c r="O838" s="59" t="str">
        <f>IF(A838="","",COUNTIF($A$6:A838,A838))</f>
        <v/>
      </c>
      <c r="P838" s="62" t="str">
        <f>IF(A838="","",A838&amp;"|"&amp;O838)</f>
        <v/>
      </c>
    </row>
    <row r="839">
      <c r="A839" s="60" t="n"/>
      <c r="B839" s="63" t="n"/>
      <c r="C839" s="63" t="n"/>
      <c r="D839" s="67" t="n"/>
      <c r="E839" s="68" t="n"/>
      <c r="F839" s="69" t="n"/>
      <c r="G839" s="70" t="n"/>
      <c r="H839" s="62" t="str">
        <f>IF(COUNTA(A839:G839)=0,"",IF(C839&lt;&gt;"",C839,IF(B839="","",IFERROR(INDEX(pr_des,MATCH(B839,pr_code,0))&amp;"",""))))</f>
        <v/>
      </c>
      <c r="I839" s="59" t="str">
        <f>IF(B839="","",IFERROR(INDEX(pr_unit,MATCH(B839,pr_code,0))&amp;"",""))</f>
        <v/>
      </c>
      <c r="J839" s="65" t="str">
        <f>IF(COUNTA(A839:G839)=0,"",IF(E839&lt;&gt;"",E839,IF(B839="","",IFERROR(IF(INDEX(pr_price,MATCH(B839,pr_code,0))="","",INDEX(pr_price,MATCH(B839,pr_code,0))),""))))</f>
        <v/>
      </c>
      <c r="K839" s="71" t="str">
        <f>IF(COUNTA(A839:G839)=0,"",IF(G839&lt;&gt;"",G839,IF(B839="","",IFERROR(IF(INDEX(pr_rate,MATCH(B839,pr_code,0))="","",INDEX(pr_rate,MATCH(B839,pr_code,0))),""))))</f>
        <v/>
      </c>
      <c r="L839" s="65" t="str">
        <f>IF(COUNTA(A839:G839)=0,"",IF(AND(ISNUMBER(D839),ISNUMBER(J839)),ROUND(D839*J839*(1-N(F839)),2),0))</f>
        <v/>
      </c>
      <c r="M839" s="62" t="str">
        <f>IF(A839="","",IFERROR(INDEX(fa_cname,MATCH(A839,fa_num,0))&amp;"",""))</f>
        <v/>
      </c>
      <c r="N839" s="59" t="str">
        <f>IF(COUNTA(A839:G839)=0,"",IF(A839="","N° facture manquant",IF(ISNA(MATCH(A839,fa_num,0)),"Facture inconnue",IF(AND(B839&lt;&gt;"",ISNA(MATCH(B839,pr_code,0))),"Article inconnu",IF(H839="","Désignation manquante",IF(OR(NOT(ISNUMBER(D839)),N(D839)&lt;=0),"Quantité invalide",IF(J839="","Prix manquant",IF(OR(NOT(ISNUMBER(J839)),N(J839)&lt;0),"Prix invalide",IF(OR(AND(F839&lt;&gt;"",NOT(ISNUMBER(F839))),N(F839)&lt;0,N(F839)&gt;1),"Remise invalide",IF(K839="","Taux de TVA manquant",IF(NOT(ISNUMBER(K839)),"Taux de TVA invalide",IF(COUNTIF(p_rates,K839)=0,"Taux de TVA hors liste (Paramètres)",IF(N(O839)&gt;25,"Au-delà de 25 lignes : non imprimée","OK")))))))))))))</f>
        <v/>
      </c>
      <c r="O839" s="59" t="str">
        <f>IF(A839="","",COUNTIF($A$6:A839,A839))</f>
        <v/>
      </c>
      <c r="P839" s="62" t="str">
        <f>IF(A839="","",A839&amp;"|"&amp;O839)</f>
        <v/>
      </c>
    </row>
    <row r="840">
      <c r="A840" s="60" t="n"/>
      <c r="B840" s="63" t="n"/>
      <c r="C840" s="63" t="n"/>
      <c r="D840" s="67" t="n"/>
      <c r="E840" s="68" t="n"/>
      <c r="F840" s="69" t="n"/>
      <c r="G840" s="70" t="n"/>
      <c r="H840" s="62" t="str">
        <f>IF(COUNTA(A840:G840)=0,"",IF(C840&lt;&gt;"",C840,IF(B840="","",IFERROR(INDEX(pr_des,MATCH(B840,pr_code,0))&amp;"",""))))</f>
        <v/>
      </c>
      <c r="I840" s="59" t="str">
        <f>IF(B840="","",IFERROR(INDEX(pr_unit,MATCH(B840,pr_code,0))&amp;"",""))</f>
        <v/>
      </c>
      <c r="J840" s="65" t="str">
        <f>IF(COUNTA(A840:G840)=0,"",IF(E840&lt;&gt;"",E840,IF(B840="","",IFERROR(IF(INDEX(pr_price,MATCH(B840,pr_code,0))="","",INDEX(pr_price,MATCH(B840,pr_code,0))),""))))</f>
        <v/>
      </c>
      <c r="K840" s="71" t="str">
        <f>IF(COUNTA(A840:G840)=0,"",IF(G840&lt;&gt;"",G840,IF(B840="","",IFERROR(IF(INDEX(pr_rate,MATCH(B840,pr_code,0))="","",INDEX(pr_rate,MATCH(B840,pr_code,0))),""))))</f>
        <v/>
      </c>
      <c r="L840" s="65" t="str">
        <f>IF(COUNTA(A840:G840)=0,"",IF(AND(ISNUMBER(D840),ISNUMBER(J840)),ROUND(D840*J840*(1-N(F840)),2),0))</f>
        <v/>
      </c>
      <c r="M840" s="62" t="str">
        <f>IF(A840="","",IFERROR(INDEX(fa_cname,MATCH(A840,fa_num,0))&amp;"",""))</f>
        <v/>
      </c>
      <c r="N840" s="59" t="str">
        <f>IF(COUNTA(A840:G840)=0,"",IF(A840="","N° facture manquant",IF(ISNA(MATCH(A840,fa_num,0)),"Facture inconnue",IF(AND(B840&lt;&gt;"",ISNA(MATCH(B840,pr_code,0))),"Article inconnu",IF(H840="","Désignation manquante",IF(OR(NOT(ISNUMBER(D840)),N(D840)&lt;=0),"Quantité invalide",IF(J840="","Prix manquant",IF(OR(NOT(ISNUMBER(J840)),N(J840)&lt;0),"Prix invalide",IF(OR(AND(F840&lt;&gt;"",NOT(ISNUMBER(F840))),N(F840)&lt;0,N(F840)&gt;1),"Remise invalide",IF(K840="","Taux de TVA manquant",IF(NOT(ISNUMBER(K840)),"Taux de TVA invalide",IF(COUNTIF(p_rates,K840)=0,"Taux de TVA hors liste (Paramètres)",IF(N(O840)&gt;25,"Au-delà de 25 lignes : non imprimée","OK")))))))))))))</f>
        <v/>
      </c>
      <c r="O840" s="59" t="str">
        <f>IF(A840="","",COUNTIF($A$6:A840,A840))</f>
        <v/>
      </c>
      <c r="P840" s="62" t="str">
        <f>IF(A840="","",A840&amp;"|"&amp;O840)</f>
        <v/>
      </c>
    </row>
    <row r="841">
      <c r="A841" s="60" t="n"/>
      <c r="B841" s="63" t="n"/>
      <c r="C841" s="63" t="n"/>
      <c r="D841" s="67" t="n"/>
      <c r="E841" s="68" t="n"/>
      <c r="F841" s="69" t="n"/>
      <c r="G841" s="70" t="n"/>
      <c r="H841" s="62" t="str">
        <f>IF(COUNTA(A841:G841)=0,"",IF(C841&lt;&gt;"",C841,IF(B841="","",IFERROR(INDEX(pr_des,MATCH(B841,pr_code,0))&amp;"",""))))</f>
        <v/>
      </c>
      <c r="I841" s="59" t="str">
        <f>IF(B841="","",IFERROR(INDEX(pr_unit,MATCH(B841,pr_code,0))&amp;"",""))</f>
        <v/>
      </c>
      <c r="J841" s="65" t="str">
        <f>IF(COUNTA(A841:G841)=0,"",IF(E841&lt;&gt;"",E841,IF(B841="","",IFERROR(IF(INDEX(pr_price,MATCH(B841,pr_code,0))="","",INDEX(pr_price,MATCH(B841,pr_code,0))),""))))</f>
        <v/>
      </c>
      <c r="K841" s="71" t="str">
        <f>IF(COUNTA(A841:G841)=0,"",IF(G841&lt;&gt;"",G841,IF(B841="","",IFERROR(IF(INDEX(pr_rate,MATCH(B841,pr_code,0))="","",INDEX(pr_rate,MATCH(B841,pr_code,0))),""))))</f>
        <v/>
      </c>
      <c r="L841" s="65" t="str">
        <f>IF(COUNTA(A841:G841)=0,"",IF(AND(ISNUMBER(D841),ISNUMBER(J841)),ROUND(D841*J841*(1-N(F841)),2),0))</f>
        <v/>
      </c>
      <c r="M841" s="62" t="str">
        <f>IF(A841="","",IFERROR(INDEX(fa_cname,MATCH(A841,fa_num,0))&amp;"",""))</f>
        <v/>
      </c>
      <c r="N841" s="59" t="str">
        <f>IF(COUNTA(A841:G841)=0,"",IF(A841="","N° facture manquant",IF(ISNA(MATCH(A841,fa_num,0)),"Facture inconnue",IF(AND(B841&lt;&gt;"",ISNA(MATCH(B841,pr_code,0))),"Article inconnu",IF(H841="","Désignation manquante",IF(OR(NOT(ISNUMBER(D841)),N(D841)&lt;=0),"Quantité invalide",IF(J841="","Prix manquant",IF(OR(NOT(ISNUMBER(J841)),N(J841)&lt;0),"Prix invalide",IF(OR(AND(F841&lt;&gt;"",NOT(ISNUMBER(F841))),N(F841)&lt;0,N(F841)&gt;1),"Remise invalide",IF(K841="","Taux de TVA manquant",IF(NOT(ISNUMBER(K841)),"Taux de TVA invalide",IF(COUNTIF(p_rates,K841)=0,"Taux de TVA hors liste (Paramètres)",IF(N(O841)&gt;25,"Au-delà de 25 lignes : non imprimée","OK")))))))))))))</f>
        <v/>
      </c>
      <c r="O841" s="59" t="str">
        <f>IF(A841="","",COUNTIF($A$6:A841,A841))</f>
        <v/>
      </c>
      <c r="P841" s="62" t="str">
        <f>IF(A841="","",A841&amp;"|"&amp;O841)</f>
        <v/>
      </c>
    </row>
    <row r="842">
      <c r="A842" s="60" t="n"/>
      <c r="B842" s="63" t="n"/>
      <c r="C842" s="63" t="n"/>
      <c r="D842" s="67" t="n"/>
      <c r="E842" s="68" t="n"/>
      <c r="F842" s="69" t="n"/>
      <c r="G842" s="70" t="n"/>
      <c r="H842" s="62" t="str">
        <f>IF(COUNTA(A842:G842)=0,"",IF(C842&lt;&gt;"",C842,IF(B842="","",IFERROR(INDEX(pr_des,MATCH(B842,pr_code,0))&amp;"",""))))</f>
        <v/>
      </c>
      <c r="I842" s="59" t="str">
        <f>IF(B842="","",IFERROR(INDEX(pr_unit,MATCH(B842,pr_code,0))&amp;"",""))</f>
        <v/>
      </c>
      <c r="J842" s="65" t="str">
        <f>IF(COUNTA(A842:G842)=0,"",IF(E842&lt;&gt;"",E842,IF(B842="","",IFERROR(IF(INDEX(pr_price,MATCH(B842,pr_code,0))="","",INDEX(pr_price,MATCH(B842,pr_code,0))),""))))</f>
        <v/>
      </c>
      <c r="K842" s="71" t="str">
        <f>IF(COUNTA(A842:G842)=0,"",IF(G842&lt;&gt;"",G842,IF(B842="","",IFERROR(IF(INDEX(pr_rate,MATCH(B842,pr_code,0))="","",INDEX(pr_rate,MATCH(B842,pr_code,0))),""))))</f>
        <v/>
      </c>
      <c r="L842" s="65" t="str">
        <f>IF(COUNTA(A842:G842)=0,"",IF(AND(ISNUMBER(D842),ISNUMBER(J842)),ROUND(D842*J842*(1-N(F842)),2),0))</f>
        <v/>
      </c>
      <c r="M842" s="62" t="str">
        <f>IF(A842="","",IFERROR(INDEX(fa_cname,MATCH(A842,fa_num,0))&amp;"",""))</f>
        <v/>
      </c>
      <c r="N842" s="59" t="str">
        <f>IF(COUNTA(A842:G842)=0,"",IF(A842="","N° facture manquant",IF(ISNA(MATCH(A842,fa_num,0)),"Facture inconnue",IF(AND(B842&lt;&gt;"",ISNA(MATCH(B842,pr_code,0))),"Article inconnu",IF(H842="","Désignation manquante",IF(OR(NOT(ISNUMBER(D842)),N(D842)&lt;=0),"Quantité invalide",IF(J842="","Prix manquant",IF(OR(NOT(ISNUMBER(J842)),N(J842)&lt;0),"Prix invalide",IF(OR(AND(F842&lt;&gt;"",NOT(ISNUMBER(F842))),N(F842)&lt;0,N(F842)&gt;1),"Remise invalide",IF(K842="","Taux de TVA manquant",IF(NOT(ISNUMBER(K842)),"Taux de TVA invalide",IF(COUNTIF(p_rates,K842)=0,"Taux de TVA hors liste (Paramètres)",IF(N(O842)&gt;25,"Au-delà de 25 lignes : non imprimée","OK")))))))))))))</f>
        <v/>
      </c>
      <c r="O842" s="59" t="str">
        <f>IF(A842="","",COUNTIF($A$6:A842,A842))</f>
        <v/>
      </c>
      <c r="P842" s="62" t="str">
        <f>IF(A842="","",A842&amp;"|"&amp;O842)</f>
        <v/>
      </c>
    </row>
    <row r="843">
      <c r="A843" s="60" t="n"/>
      <c r="B843" s="63" t="n"/>
      <c r="C843" s="63" t="n"/>
      <c r="D843" s="67" t="n"/>
      <c r="E843" s="68" t="n"/>
      <c r="F843" s="69" t="n"/>
      <c r="G843" s="70" t="n"/>
      <c r="H843" s="62" t="str">
        <f>IF(COUNTA(A843:G843)=0,"",IF(C843&lt;&gt;"",C843,IF(B843="","",IFERROR(INDEX(pr_des,MATCH(B843,pr_code,0))&amp;"",""))))</f>
        <v/>
      </c>
      <c r="I843" s="59" t="str">
        <f>IF(B843="","",IFERROR(INDEX(pr_unit,MATCH(B843,pr_code,0))&amp;"",""))</f>
        <v/>
      </c>
      <c r="J843" s="65" t="str">
        <f>IF(COUNTA(A843:G843)=0,"",IF(E843&lt;&gt;"",E843,IF(B843="","",IFERROR(IF(INDEX(pr_price,MATCH(B843,pr_code,0))="","",INDEX(pr_price,MATCH(B843,pr_code,0))),""))))</f>
        <v/>
      </c>
      <c r="K843" s="71" t="str">
        <f>IF(COUNTA(A843:G843)=0,"",IF(G843&lt;&gt;"",G843,IF(B843="","",IFERROR(IF(INDEX(pr_rate,MATCH(B843,pr_code,0))="","",INDEX(pr_rate,MATCH(B843,pr_code,0))),""))))</f>
        <v/>
      </c>
      <c r="L843" s="65" t="str">
        <f>IF(COUNTA(A843:G843)=0,"",IF(AND(ISNUMBER(D843),ISNUMBER(J843)),ROUND(D843*J843*(1-N(F843)),2),0))</f>
        <v/>
      </c>
      <c r="M843" s="62" t="str">
        <f>IF(A843="","",IFERROR(INDEX(fa_cname,MATCH(A843,fa_num,0))&amp;"",""))</f>
        <v/>
      </c>
      <c r="N843" s="59" t="str">
        <f>IF(COUNTA(A843:G843)=0,"",IF(A843="","N° facture manquant",IF(ISNA(MATCH(A843,fa_num,0)),"Facture inconnue",IF(AND(B843&lt;&gt;"",ISNA(MATCH(B843,pr_code,0))),"Article inconnu",IF(H843="","Désignation manquante",IF(OR(NOT(ISNUMBER(D843)),N(D843)&lt;=0),"Quantité invalide",IF(J843="","Prix manquant",IF(OR(NOT(ISNUMBER(J843)),N(J843)&lt;0),"Prix invalide",IF(OR(AND(F843&lt;&gt;"",NOT(ISNUMBER(F843))),N(F843)&lt;0,N(F843)&gt;1),"Remise invalide",IF(K843="","Taux de TVA manquant",IF(NOT(ISNUMBER(K843)),"Taux de TVA invalide",IF(COUNTIF(p_rates,K843)=0,"Taux de TVA hors liste (Paramètres)",IF(N(O843)&gt;25,"Au-delà de 25 lignes : non imprimée","OK")))))))))))))</f>
        <v/>
      </c>
      <c r="O843" s="59" t="str">
        <f>IF(A843="","",COUNTIF($A$6:A843,A843))</f>
        <v/>
      </c>
      <c r="P843" s="62" t="str">
        <f>IF(A843="","",A843&amp;"|"&amp;O843)</f>
        <v/>
      </c>
    </row>
    <row r="844">
      <c r="A844" s="60" t="n"/>
      <c r="B844" s="63" t="n"/>
      <c r="C844" s="63" t="n"/>
      <c r="D844" s="67" t="n"/>
      <c r="E844" s="68" t="n"/>
      <c r="F844" s="69" t="n"/>
      <c r="G844" s="70" t="n"/>
      <c r="H844" s="62" t="str">
        <f>IF(COUNTA(A844:G844)=0,"",IF(C844&lt;&gt;"",C844,IF(B844="","",IFERROR(INDEX(pr_des,MATCH(B844,pr_code,0))&amp;"",""))))</f>
        <v/>
      </c>
      <c r="I844" s="59" t="str">
        <f>IF(B844="","",IFERROR(INDEX(pr_unit,MATCH(B844,pr_code,0))&amp;"",""))</f>
        <v/>
      </c>
      <c r="J844" s="65" t="str">
        <f>IF(COUNTA(A844:G844)=0,"",IF(E844&lt;&gt;"",E844,IF(B844="","",IFERROR(IF(INDEX(pr_price,MATCH(B844,pr_code,0))="","",INDEX(pr_price,MATCH(B844,pr_code,0))),""))))</f>
        <v/>
      </c>
      <c r="K844" s="71" t="str">
        <f>IF(COUNTA(A844:G844)=0,"",IF(G844&lt;&gt;"",G844,IF(B844="","",IFERROR(IF(INDEX(pr_rate,MATCH(B844,pr_code,0))="","",INDEX(pr_rate,MATCH(B844,pr_code,0))),""))))</f>
        <v/>
      </c>
      <c r="L844" s="65" t="str">
        <f>IF(COUNTA(A844:G844)=0,"",IF(AND(ISNUMBER(D844),ISNUMBER(J844)),ROUND(D844*J844*(1-N(F844)),2),0))</f>
        <v/>
      </c>
      <c r="M844" s="62" t="str">
        <f>IF(A844="","",IFERROR(INDEX(fa_cname,MATCH(A844,fa_num,0))&amp;"",""))</f>
        <v/>
      </c>
      <c r="N844" s="59" t="str">
        <f>IF(COUNTA(A844:G844)=0,"",IF(A844="","N° facture manquant",IF(ISNA(MATCH(A844,fa_num,0)),"Facture inconnue",IF(AND(B844&lt;&gt;"",ISNA(MATCH(B844,pr_code,0))),"Article inconnu",IF(H844="","Désignation manquante",IF(OR(NOT(ISNUMBER(D844)),N(D844)&lt;=0),"Quantité invalide",IF(J844="","Prix manquant",IF(OR(NOT(ISNUMBER(J844)),N(J844)&lt;0),"Prix invalide",IF(OR(AND(F844&lt;&gt;"",NOT(ISNUMBER(F844))),N(F844)&lt;0,N(F844)&gt;1),"Remise invalide",IF(K844="","Taux de TVA manquant",IF(NOT(ISNUMBER(K844)),"Taux de TVA invalide",IF(COUNTIF(p_rates,K844)=0,"Taux de TVA hors liste (Paramètres)",IF(N(O844)&gt;25,"Au-delà de 25 lignes : non imprimée","OK")))))))))))))</f>
        <v/>
      </c>
      <c r="O844" s="59" t="str">
        <f>IF(A844="","",COUNTIF($A$6:A844,A844))</f>
        <v/>
      </c>
      <c r="P844" s="62" t="str">
        <f>IF(A844="","",A844&amp;"|"&amp;O844)</f>
        <v/>
      </c>
    </row>
    <row r="845">
      <c r="A845" s="60" t="n"/>
      <c r="B845" s="63" t="n"/>
      <c r="C845" s="63" t="n"/>
      <c r="D845" s="67" t="n"/>
      <c r="E845" s="68" t="n"/>
      <c r="F845" s="69" t="n"/>
      <c r="G845" s="70" t="n"/>
      <c r="H845" s="62" t="str">
        <f>IF(COUNTA(A845:G845)=0,"",IF(C845&lt;&gt;"",C845,IF(B845="","",IFERROR(INDEX(pr_des,MATCH(B845,pr_code,0))&amp;"",""))))</f>
        <v/>
      </c>
      <c r="I845" s="59" t="str">
        <f>IF(B845="","",IFERROR(INDEX(pr_unit,MATCH(B845,pr_code,0))&amp;"",""))</f>
        <v/>
      </c>
      <c r="J845" s="65" t="str">
        <f>IF(COUNTA(A845:G845)=0,"",IF(E845&lt;&gt;"",E845,IF(B845="","",IFERROR(IF(INDEX(pr_price,MATCH(B845,pr_code,0))="","",INDEX(pr_price,MATCH(B845,pr_code,0))),""))))</f>
        <v/>
      </c>
      <c r="K845" s="71" t="str">
        <f>IF(COUNTA(A845:G845)=0,"",IF(G845&lt;&gt;"",G845,IF(B845="","",IFERROR(IF(INDEX(pr_rate,MATCH(B845,pr_code,0))="","",INDEX(pr_rate,MATCH(B845,pr_code,0))),""))))</f>
        <v/>
      </c>
      <c r="L845" s="65" t="str">
        <f>IF(COUNTA(A845:G845)=0,"",IF(AND(ISNUMBER(D845),ISNUMBER(J845)),ROUND(D845*J845*(1-N(F845)),2),0))</f>
        <v/>
      </c>
      <c r="M845" s="62" t="str">
        <f>IF(A845="","",IFERROR(INDEX(fa_cname,MATCH(A845,fa_num,0))&amp;"",""))</f>
        <v/>
      </c>
      <c r="N845" s="59" t="str">
        <f>IF(COUNTA(A845:G845)=0,"",IF(A845="","N° facture manquant",IF(ISNA(MATCH(A845,fa_num,0)),"Facture inconnue",IF(AND(B845&lt;&gt;"",ISNA(MATCH(B845,pr_code,0))),"Article inconnu",IF(H845="","Désignation manquante",IF(OR(NOT(ISNUMBER(D845)),N(D845)&lt;=0),"Quantité invalide",IF(J845="","Prix manquant",IF(OR(NOT(ISNUMBER(J845)),N(J845)&lt;0),"Prix invalide",IF(OR(AND(F845&lt;&gt;"",NOT(ISNUMBER(F845))),N(F845)&lt;0,N(F845)&gt;1),"Remise invalide",IF(K845="","Taux de TVA manquant",IF(NOT(ISNUMBER(K845)),"Taux de TVA invalide",IF(COUNTIF(p_rates,K845)=0,"Taux de TVA hors liste (Paramètres)",IF(N(O845)&gt;25,"Au-delà de 25 lignes : non imprimée","OK")))))))))))))</f>
        <v/>
      </c>
      <c r="O845" s="59" t="str">
        <f>IF(A845="","",COUNTIF($A$6:A845,A845))</f>
        <v/>
      </c>
      <c r="P845" s="62" t="str">
        <f>IF(A845="","",A845&amp;"|"&amp;O845)</f>
        <v/>
      </c>
    </row>
    <row r="846">
      <c r="A846" s="60" t="n"/>
      <c r="B846" s="63" t="n"/>
      <c r="C846" s="63" t="n"/>
      <c r="D846" s="67" t="n"/>
      <c r="E846" s="68" t="n"/>
      <c r="F846" s="69" t="n"/>
      <c r="G846" s="70" t="n"/>
      <c r="H846" s="62" t="str">
        <f>IF(COUNTA(A846:G846)=0,"",IF(C846&lt;&gt;"",C846,IF(B846="","",IFERROR(INDEX(pr_des,MATCH(B846,pr_code,0))&amp;"",""))))</f>
        <v/>
      </c>
      <c r="I846" s="59" t="str">
        <f>IF(B846="","",IFERROR(INDEX(pr_unit,MATCH(B846,pr_code,0))&amp;"",""))</f>
        <v/>
      </c>
      <c r="J846" s="65" t="str">
        <f>IF(COUNTA(A846:G846)=0,"",IF(E846&lt;&gt;"",E846,IF(B846="","",IFERROR(IF(INDEX(pr_price,MATCH(B846,pr_code,0))="","",INDEX(pr_price,MATCH(B846,pr_code,0))),""))))</f>
        <v/>
      </c>
      <c r="K846" s="71" t="str">
        <f>IF(COUNTA(A846:G846)=0,"",IF(G846&lt;&gt;"",G846,IF(B846="","",IFERROR(IF(INDEX(pr_rate,MATCH(B846,pr_code,0))="","",INDEX(pr_rate,MATCH(B846,pr_code,0))),""))))</f>
        <v/>
      </c>
      <c r="L846" s="65" t="str">
        <f>IF(COUNTA(A846:G846)=0,"",IF(AND(ISNUMBER(D846),ISNUMBER(J846)),ROUND(D846*J846*(1-N(F846)),2),0))</f>
        <v/>
      </c>
      <c r="M846" s="62" t="str">
        <f>IF(A846="","",IFERROR(INDEX(fa_cname,MATCH(A846,fa_num,0))&amp;"",""))</f>
        <v/>
      </c>
      <c r="N846" s="59" t="str">
        <f>IF(COUNTA(A846:G846)=0,"",IF(A846="","N° facture manquant",IF(ISNA(MATCH(A846,fa_num,0)),"Facture inconnue",IF(AND(B846&lt;&gt;"",ISNA(MATCH(B846,pr_code,0))),"Article inconnu",IF(H846="","Désignation manquante",IF(OR(NOT(ISNUMBER(D846)),N(D846)&lt;=0),"Quantité invalide",IF(J846="","Prix manquant",IF(OR(NOT(ISNUMBER(J846)),N(J846)&lt;0),"Prix invalide",IF(OR(AND(F846&lt;&gt;"",NOT(ISNUMBER(F846))),N(F846)&lt;0,N(F846)&gt;1),"Remise invalide",IF(K846="","Taux de TVA manquant",IF(NOT(ISNUMBER(K846)),"Taux de TVA invalide",IF(COUNTIF(p_rates,K846)=0,"Taux de TVA hors liste (Paramètres)",IF(N(O846)&gt;25,"Au-delà de 25 lignes : non imprimée","OK")))))))))))))</f>
        <v/>
      </c>
      <c r="O846" s="59" t="str">
        <f>IF(A846="","",COUNTIF($A$6:A846,A846))</f>
        <v/>
      </c>
      <c r="P846" s="62" t="str">
        <f>IF(A846="","",A846&amp;"|"&amp;O846)</f>
        <v/>
      </c>
    </row>
    <row r="847">
      <c r="A847" s="60" t="n"/>
      <c r="B847" s="63" t="n"/>
      <c r="C847" s="63" t="n"/>
      <c r="D847" s="67" t="n"/>
      <c r="E847" s="68" t="n"/>
      <c r="F847" s="69" t="n"/>
      <c r="G847" s="70" t="n"/>
      <c r="H847" s="62" t="str">
        <f>IF(COUNTA(A847:G847)=0,"",IF(C847&lt;&gt;"",C847,IF(B847="","",IFERROR(INDEX(pr_des,MATCH(B847,pr_code,0))&amp;"",""))))</f>
        <v/>
      </c>
      <c r="I847" s="59" t="str">
        <f>IF(B847="","",IFERROR(INDEX(pr_unit,MATCH(B847,pr_code,0))&amp;"",""))</f>
        <v/>
      </c>
      <c r="J847" s="65" t="str">
        <f>IF(COUNTA(A847:G847)=0,"",IF(E847&lt;&gt;"",E847,IF(B847="","",IFERROR(IF(INDEX(pr_price,MATCH(B847,pr_code,0))="","",INDEX(pr_price,MATCH(B847,pr_code,0))),""))))</f>
        <v/>
      </c>
      <c r="K847" s="71" t="str">
        <f>IF(COUNTA(A847:G847)=0,"",IF(G847&lt;&gt;"",G847,IF(B847="","",IFERROR(IF(INDEX(pr_rate,MATCH(B847,pr_code,0))="","",INDEX(pr_rate,MATCH(B847,pr_code,0))),""))))</f>
        <v/>
      </c>
      <c r="L847" s="65" t="str">
        <f>IF(COUNTA(A847:G847)=0,"",IF(AND(ISNUMBER(D847),ISNUMBER(J847)),ROUND(D847*J847*(1-N(F847)),2),0))</f>
        <v/>
      </c>
      <c r="M847" s="62" t="str">
        <f>IF(A847="","",IFERROR(INDEX(fa_cname,MATCH(A847,fa_num,0))&amp;"",""))</f>
        <v/>
      </c>
      <c r="N847" s="59" t="str">
        <f>IF(COUNTA(A847:G847)=0,"",IF(A847="","N° facture manquant",IF(ISNA(MATCH(A847,fa_num,0)),"Facture inconnue",IF(AND(B847&lt;&gt;"",ISNA(MATCH(B847,pr_code,0))),"Article inconnu",IF(H847="","Désignation manquante",IF(OR(NOT(ISNUMBER(D847)),N(D847)&lt;=0),"Quantité invalide",IF(J847="","Prix manquant",IF(OR(NOT(ISNUMBER(J847)),N(J847)&lt;0),"Prix invalide",IF(OR(AND(F847&lt;&gt;"",NOT(ISNUMBER(F847))),N(F847)&lt;0,N(F847)&gt;1),"Remise invalide",IF(K847="","Taux de TVA manquant",IF(NOT(ISNUMBER(K847)),"Taux de TVA invalide",IF(COUNTIF(p_rates,K847)=0,"Taux de TVA hors liste (Paramètres)",IF(N(O847)&gt;25,"Au-delà de 25 lignes : non imprimée","OK")))))))))))))</f>
        <v/>
      </c>
      <c r="O847" s="59" t="str">
        <f>IF(A847="","",COUNTIF($A$6:A847,A847))</f>
        <v/>
      </c>
      <c r="P847" s="62" t="str">
        <f>IF(A847="","",A847&amp;"|"&amp;O847)</f>
        <v/>
      </c>
    </row>
    <row r="848">
      <c r="A848" s="60" t="n"/>
      <c r="B848" s="63" t="n"/>
      <c r="C848" s="63" t="n"/>
      <c r="D848" s="67" t="n"/>
      <c r="E848" s="68" t="n"/>
      <c r="F848" s="69" t="n"/>
      <c r="G848" s="70" t="n"/>
      <c r="H848" s="62" t="str">
        <f>IF(COUNTA(A848:G848)=0,"",IF(C848&lt;&gt;"",C848,IF(B848="","",IFERROR(INDEX(pr_des,MATCH(B848,pr_code,0))&amp;"",""))))</f>
        <v/>
      </c>
      <c r="I848" s="59" t="str">
        <f>IF(B848="","",IFERROR(INDEX(pr_unit,MATCH(B848,pr_code,0))&amp;"",""))</f>
        <v/>
      </c>
      <c r="J848" s="65" t="str">
        <f>IF(COUNTA(A848:G848)=0,"",IF(E848&lt;&gt;"",E848,IF(B848="","",IFERROR(IF(INDEX(pr_price,MATCH(B848,pr_code,0))="","",INDEX(pr_price,MATCH(B848,pr_code,0))),""))))</f>
        <v/>
      </c>
      <c r="K848" s="71" t="str">
        <f>IF(COUNTA(A848:G848)=0,"",IF(G848&lt;&gt;"",G848,IF(B848="","",IFERROR(IF(INDEX(pr_rate,MATCH(B848,pr_code,0))="","",INDEX(pr_rate,MATCH(B848,pr_code,0))),""))))</f>
        <v/>
      </c>
      <c r="L848" s="65" t="str">
        <f>IF(COUNTA(A848:G848)=0,"",IF(AND(ISNUMBER(D848),ISNUMBER(J848)),ROUND(D848*J848*(1-N(F848)),2),0))</f>
        <v/>
      </c>
      <c r="M848" s="62" t="str">
        <f>IF(A848="","",IFERROR(INDEX(fa_cname,MATCH(A848,fa_num,0))&amp;"",""))</f>
        <v/>
      </c>
      <c r="N848" s="59" t="str">
        <f>IF(COUNTA(A848:G848)=0,"",IF(A848="","N° facture manquant",IF(ISNA(MATCH(A848,fa_num,0)),"Facture inconnue",IF(AND(B848&lt;&gt;"",ISNA(MATCH(B848,pr_code,0))),"Article inconnu",IF(H848="","Désignation manquante",IF(OR(NOT(ISNUMBER(D848)),N(D848)&lt;=0),"Quantité invalide",IF(J848="","Prix manquant",IF(OR(NOT(ISNUMBER(J848)),N(J848)&lt;0),"Prix invalide",IF(OR(AND(F848&lt;&gt;"",NOT(ISNUMBER(F848))),N(F848)&lt;0,N(F848)&gt;1),"Remise invalide",IF(K848="","Taux de TVA manquant",IF(NOT(ISNUMBER(K848)),"Taux de TVA invalide",IF(COUNTIF(p_rates,K848)=0,"Taux de TVA hors liste (Paramètres)",IF(N(O848)&gt;25,"Au-delà de 25 lignes : non imprimée","OK")))))))))))))</f>
        <v/>
      </c>
      <c r="O848" s="59" t="str">
        <f>IF(A848="","",COUNTIF($A$6:A848,A848))</f>
        <v/>
      </c>
      <c r="P848" s="62" t="str">
        <f>IF(A848="","",A848&amp;"|"&amp;O848)</f>
        <v/>
      </c>
    </row>
    <row r="849">
      <c r="A849" s="60" t="n"/>
      <c r="B849" s="63" t="n"/>
      <c r="C849" s="63" t="n"/>
      <c r="D849" s="67" t="n"/>
      <c r="E849" s="68" t="n"/>
      <c r="F849" s="69" t="n"/>
      <c r="G849" s="70" t="n"/>
      <c r="H849" s="62" t="str">
        <f>IF(COUNTA(A849:G849)=0,"",IF(C849&lt;&gt;"",C849,IF(B849="","",IFERROR(INDEX(pr_des,MATCH(B849,pr_code,0))&amp;"",""))))</f>
        <v/>
      </c>
      <c r="I849" s="59" t="str">
        <f>IF(B849="","",IFERROR(INDEX(pr_unit,MATCH(B849,pr_code,0))&amp;"",""))</f>
        <v/>
      </c>
      <c r="J849" s="65" t="str">
        <f>IF(COUNTA(A849:G849)=0,"",IF(E849&lt;&gt;"",E849,IF(B849="","",IFERROR(IF(INDEX(pr_price,MATCH(B849,pr_code,0))="","",INDEX(pr_price,MATCH(B849,pr_code,0))),""))))</f>
        <v/>
      </c>
      <c r="K849" s="71" t="str">
        <f>IF(COUNTA(A849:G849)=0,"",IF(G849&lt;&gt;"",G849,IF(B849="","",IFERROR(IF(INDEX(pr_rate,MATCH(B849,pr_code,0))="","",INDEX(pr_rate,MATCH(B849,pr_code,0))),""))))</f>
        <v/>
      </c>
      <c r="L849" s="65" t="str">
        <f>IF(COUNTA(A849:G849)=0,"",IF(AND(ISNUMBER(D849),ISNUMBER(J849)),ROUND(D849*J849*(1-N(F849)),2),0))</f>
        <v/>
      </c>
      <c r="M849" s="62" t="str">
        <f>IF(A849="","",IFERROR(INDEX(fa_cname,MATCH(A849,fa_num,0))&amp;"",""))</f>
        <v/>
      </c>
      <c r="N849" s="59" t="str">
        <f>IF(COUNTA(A849:G849)=0,"",IF(A849="","N° facture manquant",IF(ISNA(MATCH(A849,fa_num,0)),"Facture inconnue",IF(AND(B849&lt;&gt;"",ISNA(MATCH(B849,pr_code,0))),"Article inconnu",IF(H849="","Désignation manquante",IF(OR(NOT(ISNUMBER(D849)),N(D849)&lt;=0),"Quantité invalide",IF(J849="","Prix manquant",IF(OR(NOT(ISNUMBER(J849)),N(J849)&lt;0),"Prix invalide",IF(OR(AND(F849&lt;&gt;"",NOT(ISNUMBER(F849))),N(F849)&lt;0,N(F849)&gt;1),"Remise invalide",IF(K849="","Taux de TVA manquant",IF(NOT(ISNUMBER(K849)),"Taux de TVA invalide",IF(COUNTIF(p_rates,K849)=0,"Taux de TVA hors liste (Paramètres)",IF(N(O849)&gt;25,"Au-delà de 25 lignes : non imprimée","OK")))))))))))))</f>
        <v/>
      </c>
      <c r="O849" s="59" t="str">
        <f>IF(A849="","",COUNTIF($A$6:A849,A849))</f>
        <v/>
      </c>
      <c r="P849" s="62" t="str">
        <f>IF(A849="","",A849&amp;"|"&amp;O849)</f>
        <v/>
      </c>
    </row>
    <row r="850">
      <c r="A850" s="60" t="n"/>
      <c r="B850" s="63" t="n"/>
      <c r="C850" s="63" t="n"/>
      <c r="D850" s="67" t="n"/>
      <c r="E850" s="68" t="n"/>
      <c r="F850" s="69" t="n"/>
      <c r="G850" s="70" t="n"/>
      <c r="H850" s="62" t="str">
        <f>IF(COUNTA(A850:G850)=0,"",IF(C850&lt;&gt;"",C850,IF(B850="","",IFERROR(INDEX(pr_des,MATCH(B850,pr_code,0))&amp;"",""))))</f>
        <v/>
      </c>
      <c r="I850" s="59" t="str">
        <f>IF(B850="","",IFERROR(INDEX(pr_unit,MATCH(B850,pr_code,0))&amp;"",""))</f>
        <v/>
      </c>
      <c r="J850" s="65" t="str">
        <f>IF(COUNTA(A850:G850)=0,"",IF(E850&lt;&gt;"",E850,IF(B850="","",IFERROR(IF(INDEX(pr_price,MATCH(B850,pr_code,0))="","",INDEX(pr_price,MATCH(B850,pr_code,0))),""))))</f>
        <v/>
      </c>
      <c r="K850" s="71" t="str">
        <f>IF(COUNTA(A850:G850)=0,"",IF(G850&lt;&gt;"",G850,IF(B850="","",IFERROR(IF(INDEX(pr_rate,MATCH(B850,pr_code,0))="","",INDEX(pr_rate,MATCH(B850,pr_code,0))),""))))</f>
        <v/>
      </c>
      <c r="L850" s="65" t="str">
        <f>IF(COUNTA(A850:G850)=0,"",IF(AND(ISNUMBER(D850),ISNUMBER(J850)),ROUND(D850*J850*(1-N(F850)),2),0))</f>
        <v/>
      </c>
      <c r="M850" s="62" t="str">
        <f>IF(A850="","",IFERROR(INDEX(fa_cname,MATCH(A850,fa_num,0))&amp;"",""))</f>
        <v/>
      </c>
      <c r="N850" s="59" t="str">
        <f>IF(COUNTA(A850:G850)=0,"",IF(A850="","N° facture manquant",IF(ISNA(MATCH(A850,fa_num,0)),"Facture inconnue",IF(AND(B850&lt;&gt;"",ISNA(MATCH(B850,pr_code,0))),"Article inconnu",IF(H850="","Désignation manquante",IF(OR(NOT(ISNUMBER(D850)),N(D850)&lt;=0),"Quantité invalide",IF(J850="","Prix manquant",IF(OR(NOT(ISNUMBER(J850)),N(J850)&lt;0),"Prix invalide",IF(OR(AND(F850&lt;&gt;"",NOT(ISNUMBER(F850))),N(F850)&lt;0,N(F850)&gt;1),"Remise invalide",IF(K850="","Taux de TVA manquant",IF(NOT(ISNUMBER(K850)),"Taux de TVA invalide",IF(COUNTIF(p_rates,K850)=0,"Taux de TVA hors liste (Paramètres)",IF(N(O850)&gt;25,"Au-delà de 25 lignes : non imprimée","OK")))))))))))))</f>
        <v/>
      </c>
      <c r="O850" s="59" t="str">
        <f>IF(A850="","",COUNTIF($A$6:A850,A850))</f>
        <v/>
      </c>
      <c r="P850" s="62" t="str">
        <f>IF(A850="","",A850&amp;"|"&amp;O850)</f>
        <v/>
      </c>
    </row>
    <row r="851">
      <c r="A851" s="60" t="n"/>
      <c r="B851" s="63" t="n"/>
      <c r="C851" s="63" t="n"/>
      <c r="D851" s="67" t="n"/>
      <c r="E851" s="68" t="n"/>
      <c r="F851" s="69" t="n"/>
      <c r="G851" s="70" t="n"/>
      <c r="H851" s="62" t="str">
        <f>IF(COUNTA(A851:G851)=0,"",IF(C851&lt;&gt;"",C851,IF(B851="","",IFERROR(INDEX(pr_des,MATCH(B851,pr_code,0))&amp;"",""))))</f>
        <v/>
      </c>
      <c r="I851" s="59" t="str">
        <f>IF(B851="","",IFERROR(INDEX(pr_unit,MATCH(B851,pr_code,0))&amp;"",""))</f>
        <v/>
      </c>
      <c r="J851" s="65" t="str">
        <f>IF(COUNTA(A851:G851)=0,"",IF(E851&lt;&gt;"",E851,IF(B851="","",IFERROR(IF(INDEX(pr_price,MATCH(B851,pr_code,0))="","",INDEX(pr_price,MATCH(B851,pr_code,0))),""))))</f>
        <v/>
      </c>
      <c r="K851" s="71" t="str">
        <f>IF(COUNTA(A851:G851)=0,"",IF(G851&lt;&gt;"",G851,IF(B851="","",IFERROR(IF(INDEX(pr_rate,MATCH(B851,pr_code,0))="","",INDEX(pr_rate,MATCH(B851,pr_code,0))),""))))</f>
        <v/>
      </c>
      <c r="L851" s="65" t="str">
        <f>IF(COUNTA(A851:G851)=0,"",IF(AND(ISNUMBER(D851),ISNUMBER(J851)),ROUND(D851*J851*(1-N(F851)),2),0))</f>
        <v/>
      </c>
      <c r="M851" s="62" t="str">
        <f>IF(A851="","",IFERROR(INDEX(fa_cname,MATCH(A851,fa_num,0))&amp;"",""))</f>
        <v/>
      </c>
      <c r="N851" s="59" t="str">
        <f>IF(COUNTA(A851:G851)=0,"",IF(A851="","N° facture manquant",IF(ISNA(MATCH(A851,fa_num,0)),"Facture inconnue",IF(AND(B851&lt;&gt;"",ISNA(MATCH(B851,pr_code,0))),"Article inconnu",IF(H851="","Désignation manquante",IF(OR(NOT(ISNUMBER(D851)),N(D851)&lt;=0),"Quantité invalide",IF(J851="","Prix manquant",IF(OR(NOT(ISNUMBER(J851)),N(J851)&lt;0),"Prix invalide",IF(OR(AND(F851&lt;&gt;"",NOT(ISNUMBER(F851))),N(F851)&lt;0,N(F851)&gt;1),"Remise invalide",IF(K851="","Taux de TVA manquant",IF(NOT(ISNUMBER(K851)),"Taux de TVA invalide",IF(COUNTIF(p_rates,K851)=0,"Taux de TVA hors liste (Paramètres)",IF(N(O851)&gt;25,"Au-delà de 25 lignes : non imprimée","OK")))))))))))))</f>
        <v/>
      </c>
      <c r="O851" s="59" t="str">
        <f>IF(A851="","",COUNTIF($A$6:A851,A851))</f>
        <v/>
      </c>
      <c r="P851" s="62" t="str">
        <f>IF(A851="","",A851&amp;"|"&amp;O851)</f>
        <v/>
      </c>
    </row>
    <row r="852">
      <c r="A852" s="60" t="n"/>
      <c r="B852" s="63" t="n"/>
      <c r="C852" s="63" t="n"/>
      <c r="D852" s="67" t="n"/>
      <c r="E852" s="68" t="n"/>
      <c r="F852" s="69" t="n"/>
      <c r="G852" s="70" t="n"/>
      <c r="H852" s="62" t="str">
        <f>IF(COUNTA(A852:G852)=0,"",IF(C852&lt;&gt;"",C852,IF(B852="","",IFERROR(INDEX(pr_des,MATCH(B852,pr_code,0))&amp;"",""))))</f>
        <v/>
      </c>
      <c r="I852" s="59" t="str">
        <f>IF(B852="","",IFERROR(INDEX(pr_unit,MATCH(B852,pr_code,0))&amp;"",""))</f>
        <v/>
      </c>
      <c r="J852" s="65" t="str">
        <f>IF(COUNTA(A852:G852)=0,"",IF(E852&lt;&gt;"",E852,IF(B852="","",IFERROR(IF(INDEX(pr_price,MATCH(B852,pr_code,0))="","",INDEX(pr_price,MATCH(B852,pr_code,0))),""))))</f>
        <v/>
      </c>
      <c r="K852" s="71" t="str">
        <f>IF(COUNTA(A852:G852)=0,"",IF(G852&lt;&gt;"",G852,IF(B852="","",IFERROR(IF(INDEX(pr_rate,MATCH(B852,pr_code,0))="","",INDEX(pr_rate,MATCH(B852,pr_code,0))),""))))</f>
        <v/>
      </c>
      <c r="L852" s="65" t="str">
        <f>IF(COUNTA(A852:G852)=0,"",IF(AND(ISNUMBER(D852),ISNUMBER(J852)),ROUND(D852*J852*(1-N(F852)),2),0))</f>
        <v/>
      </c>
      <c r="M852" s="62" t="str">
        <f>IF(A852="","",IFERROR(INDEX(fa_cname,MATCH(A852,fa_num,0))&amp;"",""))</f>
        <v/>
      </c>
      <c r="N852" s="59" t="str">
        <f>IF(COUNTA(A852:G852)=0,"",IF(A852="","N° facture manquant",IF(ISNA(MATCH(A852,fa_num,0)),"Facture inconnue",IF(AND(B852&lt;&gt;"",ISNA(MATCH(B852,pr_code,0))),"Article inconnu",IF(H852="","Désignation manquante",IF(OR(NOT(ISNUMBER(D852)),N(D852)&lt;=0),"Quantité invalide",IF(J852="","Prix manquant",IF(OR(NOT(ISNUMBER(J852)),N(J852)&lt;0),"Prix invalide",IF(OR(AND(F852&lt;&gt;"",NOT(ISNUMBER(F852))),N(F852)&lt;0,N(F852)&gt;1),"Remise invalide",IF(K852="","Taux de TVA manquant",IF(NOT(ISNUMBER(K852)),"Taux de TVA invalide",IF(COUNTIF(p_rates,K852)=0,"Taux de TVA hors liste (Paramètres)",IF(N(O852)&gt;25,"Au-delà de 25 lignes : non imprimée","OK")))))))))))))</f>
        <v/>
      </c>
      <c r="O852" s="59" t="str">
        <f>IF(A852="","",COUNTIF($A$6:A852,A852))</f>
        <v/>
      </c>
      <c r="P852" s="62" t="str">
        <f>IF(A852="","",A852&amp;"|"&amp;O852)</f>
        <v/>
      </c>
    </row>
    <row r="853">
      <c r="A853" s="60" t="n"/>
      <c r="B853" s="63" t="n"/>
      <c r="C853" s="63" t="n"/>
      <c r="D853" s="67" t="n"/>
      <c r="E853" s="68" t="n"/>
      <c r="F853" s="69" t="n"/>
      <c r="G853" s="70" t="n"/>
      <c r="H853" s="62" t="str">
        <f>IF(COUNTA(A853:G853)=0,"",IF(C853&lt;&gt;"",C853,IF(B853="","",IFERROR(INDEX(pr_des,MATCH(B853,pr_code,0))&amp;"",""))))</f>
        <v/>
      </c>
      <c r="I853" s="59" t="str">
        <f>IF(B853="","",IFERROR(INDEX(pr_unit,MATCH(B853,pr_code,0))&amp;"",""))</f>
        <v/>
      </c>
      <c r="J853" s="65" t="str">
        <f>IF(COUNTA(A853:G853)=0,"",IF(E853&lt;&gt;"",E853,IF(B853="","",IFERROR(IF(INDEX(pr_price,MATCH(B853,pr_code,0))="","",INDEX(pr_price,MATCH(B853,pr_code,0))),""))))</f>
        <v/>
      </c>
      <c r="K853" s="71" t="str">
        <f>IF(COUNTA(A853:G853)=0,"",IF(G853&lt;&gt;"",G853,IF(B853="","",IFERROR(IF(INDEX(pr_rate,MATCH(B853,pr_code,0))="","",INDEX(pr_rate,MATCH(B853,pr_code,0))),""))))</f>
        <v/>
      </c>
      <c r="L853" s="65" t="str">
        <f>IF(COUNTA(A853:G853)=0,"",IF(AND(ISNUMBER(D853),ISNUMBER(J853)),ROUND(D853*J853*(1-N(F853)),2),0))</f>
        <v/>
      </c>
      <c r="M853" s="62" t="str">
        <f>IF(A853="","",IFERROR(INDEX(fa_cname,MATCH(A853,fa_num,0))&amp;"",""))</f>
        <v/>
      </c>
      <c r="N853" s="59" t="str">
        <f>IF(COUNTA(A853:G853)=0,"",IF(A853="","N° facture manquant",IF(ISNA(MATCH(A853,fa_num,0)),"Facture inconnue",IF(AND(B853&lt;&gt;"",ISNA(MATCH(B853,pr_code,0))),"Article inconnu",IF(H853="","Désignation manquante",IF(OR(NOT(ISNUMBER(D853)),N(D853)&lt;=0),"Quantité invalide",IF(J853="","Prix manquant",IF(OR(NOT(ISNUMBER(J853)),N(J853)&lt;0),"Prix invalide",IF(OR(AND(F853&lt;&gt;"",NOT(ISNUMBER(F853))),N(F853)&lt;0,N(F853)&gt;1),"Remise invalide",IF(K853="","Taux de TVA manquant",IF(NOT(ISNUMBER(K853)),"Taux de TVA invalide",IF(COUNTIF(p_rates,K853)=0,"Taux de TVA hors liste (Paramètres)",IF(N(O853)&gt;25,"Au-delà de 25 lignes : non imprimée","OK")))))))))))))</f>
        <v/>
      </c>
      <c r="O853" s="59" t="str">
        <f>IF(A853="","",COUNTIF($A$6:A853,A853))</f>
        <v/>
      </c>
      <c r="P853" s="62" t="str">
        <f>IF(A853="","",A853&amp;"|"&amp;O853)</f>
        <v/>
      </c>
    </row>
    <row r="854">
      <c r="A854" s="60" t="n"/>
      <c r="B854" s="63" t="n"/>
      <c r="C854" s="63" t="n"/>
      <c r="D854" s="67" t="n"/>
      <c r="E854" s="68" t="n"/>
      <c r="F854" s="69" t="n"/>
      <c r="G854" s="70" t="n"/>
      <c r="H854" s="62" t="str">
        <f>IF(COUNTA(A854:G854)=0,"",IF(C854&lt;&gt;"",C854,IF(B854="","",IFERROR(INDEX(pr_des,MATCH(B854,pr_code,0))&amp;"",""))))</f>
        <v/>
      </c>
      <c r="I854" s="59" t="str">
        <f>IF(B854="","",IFERROR(INDEX(pr_unit,MATCH(B854,pr_code,0))&amp;"",""))</f>
        <v/>
      </c>
      <c r="J854" s="65" t="str">
        <f>IF(COUNTA(A854:G854)=0,"",IF(E854&lt;&gt;"",E854,IF(B854="","",IFERROR(IF(INDEX(pr_price,MATCH(B854,pr_code,0))="","",INDEX(pr_price,MATCH(B854,pr_code,0))),""))))</f>
        <v/>
      </c>
      <c r="K854" s="71" t="str">
        <f>IF(COUNTA(A854:G854)=0,"",IF(G854&lt;&gt;"",G854,IF(B854="","",IFERROR(IF(INDEX(pr_rate,MATCH(B854,pr_code,0))="","",INDEX(pr_rate,MATCH(B854,pr_code,0))),""))))</f>
        <v/>
      </c>
      <c r="L854" s="65" t="str">
        <f>IF(COUNTA(A854:G854)=0,"",IF(AND(ISNUMBER(D854),ISNUMBER(J854)),ROUND(D854*J854*(1-N(F854)),2),0))</f>
        <v/>
      </c>
      <c r="M854" s="62" t="str">
        <f>IF(A854="","",IFERROR(INDEX(fa_cname,MATCH(A854,fa_num,0))&amp;"",""))</f>
        <v/>
      </c>
      <c r="N854" s="59" t="str">
        <f>IF(COUNTA(A854:G854)=0,"",IF(A854="","N° facture manquant",IF(ISNA(MATCH(A854,fa_num,0)),"Facture inconnue",IF(AND(B854&lt;&gt;"",ISNA(MATCH(B854,pr_code,0))),"Article inconnu",IF(H854="","Désignation manquante",IF(OR(NOT(ISNUMBER(D854)),N(D854)&lt;=0),"Quantité invalide",IF(J854="","Prix manquant",IF(OR(NOT(ISNUMBER(J854)),N(J854)&lt;0),"Prix invalide",IF(OR(AND(F854&lt;&gt;"",NOT(ISNUMBER(F854))),N(F854)&lt;0,N(F854)&gt;1),"Remise invalide",IF(K854="","Taux de TVA manquant",IF(NOT(ISNUMBER(K854)),"Taux de TVA invalide",IF(COUNTIF(p_rates,K854)=0,"Taux de TVA hors liste (Paramètres)",IF(N(O854)&gt;25,"Au-delà de 25 lignes : non imprimée","OK")))))))))))))</f>
        <v/>
      </c>
      <c r="O854" s="59" t="str">
        <f>IF(A854="","",COUNTIF($A$6:A854,A854))</f>
        <v/>
      </c>
      <c r="P854" s="62" t="str">
        <f>IF(A854="","",A854&amp;"|"&amp;O854)</f>
        <v/>
      </c>
    </row>
    <row r="855">
      <c r="A855" s="60" t="n"/>
      <c r="B855" s="63" t="n"/>
      <c r="C855" s="63" t="n"/>
      <c r="D855" s="67" t="n"/>
      <c r="E855" s="68" t="n"/>
      <c r="F855" s="69" t="n"/>
      <c r="G855" s="70" t="n"/>
      <c r="H855" s="62" t="str">
        <f>IF(COUNTA(A855:G855)=0,"",IF(C855&lt;&gt;"",C855,IF(B855="","",IFERROR(INDEX(pr_des,MATCH(B855,pr_code,0))&amp;"",""))))</f>
        <v/>
      </c>
      <c r="I855" s="59" t="str">
        <f>IF(B855="","",IFERROR(INDEX(pr_unit,MATCH(B855,pr_code,0))&amp;"",""))</f>
        <v/>
      </c>
      <c r="J855" s="65" t="str">
        <f>IF(COUNTA(A855:G855)=0,"",IF(E855&lt;&gt;"",E855,IF(B855="","",IFERROR(IF(INDEX(pr_price,MATCH(B855,pr_code,0))="","",INDEX(pr_price,MATCH(B855,pr_code,0))),""))))</f>
        <v/>
      </c>
      <c r="K855" s="71" t="str">
        <f>IF(COUNTA(A855:G855)=0,"",IF(G855&lt;&gt;"",G855,IF(B855="","",IFERROR(IF(INDEX(pr_rate,MATCH(B855,pr_code,0))="","",INDEX(pr_rate,MATCH(B855,pr_code,0))),""))))</f>
        <v/>
      </c>
      <c r="L855" s="65" t="str">
        <f>IF(COUNTA(A855:G855)=0,"",IF(AND(ISNUMBER(D855),ISNUMBER(J855)),ROUND(D855*J855*(1-N(F855)),2),0))</f>
        <v/>
      </c>
      <c r="M855" s="62" t="str">
        <f>IF(A855="","",IFERROR(INDEX(fa_cname,MATCH(A855,fa_num,0))&amp;"",""))</f>
        <v/>
      </c>
      <c r="N855" s="59" t="str">
        <f>IF(COUNTA(A855:G855)=0,"",IF(A855="","N° facture manquant",IF(ISNA(MATCH(A855,fa_num,0)),"Facture inconnue",IF(AND(B855&lt;&gt;"",ISNA(MATCH(B855,pr_code,0))),"Article inconnu",IF(H855="","Désignation manquante",IF(OR(NOT(ISNUMBER(D855)),N(D855)&lt;=0),"Quantité invalide",IF(J855="","Prix manquant",IF(OR(NOT(ISNUMBER(J855)),N(J855)&lt;0),"Prix invalide",IF(OR(AND(F855&lt;&gt;"",NOT(ISNUMBER(F855))),N(F855)&lt;0,N(F855)&gt;1),"Remise invalide",IF(K855="","Taux de TVA manquant",IF(NOT(ISNUMBER(K855)),"Taux de TVA invalide",IF(COUNTIF(p_rates,K855)=0,"Taux de TVA hors liste (Paramètres)",IF(N(O855)&gt;25,"Au-delà de 25 lignes : non imprimée","OK")))))))))))))</f>
        <v/>
      </c>
      <c r="O855" s="59" t="str">
        <f>IF(A855="","",COUNTIF($A$6:A855,A855))</f>
        <v/>
      </c>
      <c r="P855" s="62" t="str">
        <f>IF(A855="","",A855&amp;"|"&amp;O855)</f>
        <v/>
      </c>
    </row>
    <row r="856">
      <c r="A856" s="60" t="n"/>
      <c r="B856" s="63" t="n"/>
      <c r="C856" s="63" t="n"/>
      <c r="D856" s="67" t="n"/>
      <c r="E856" s="68" t="n"/>
      <c r="F856" s="69" t="n"/>
      <c r="G856" s="70" t="n"/>
      <c r="H856" s="62" t="str">
        <f>IF(COUNTA(A856:G856)=0,"",IF(C856&lt;&gt;"",C856,IF(B856="","",IFERROR(INDEX(pr_des,MATCH(B856,pr_code,0))&amp;"",""))))</f>
        <v/>
      </c>
      <c r="I856" s="59" t="str">
        <f>IF(B856="","",IFERROR(INDEX(pr_unit,MATCH(B856,pr_code,0))&amp;"",""))</f>
        <v/>
      </c>
      <c r="J856" s="65" t="str">
        <f>IF(COUNTA(A856:G856)=0,"",IF(E856&lt;&gt;"",E856,IF(B856="","",IFERROR(IF(INDEX(pr_price,MATCH(B856,pr_code,0))="","",INDEX(pr_price,MATCH(B856,pr_code,0))),""))))</f>
        <v/>
      </c>
      <c r="K856" s="71" t="str">
        <f>IF(COUNTA(A856:G856)=0,"",IF(G856&lt;&gt;"",G856,IF(B856="","",IFERROR(IF(INDEX(pr_rate,MATCH(B856,pr_code,0))="","",INDEX(pr_rate,MATCH(B856,pr_code,0))),""))))</f>
        <v/>
      </c>
      <c r="L856" s="65" t="str">
        <f>IF(COUNTA(A856:G856)=0,"",IF(AND(ISNUMBER(D856),ISNUMBER(J856)),ROUND(D856*J856*(1-N(F856)),2),0))</f>
        <v/>
      </c>
      <c r="M856" s="62" t="str">
        <f>IF(A856="","",IFERROR(INDEX(fa_cname,MATCH(A856,fa_num,0))&amp;"",""))</f>
        <v/>
      </c>
      <c r="N856" s="59" t="str">
        <f>IF(COUNTA(A856:G856)=0,"",IF(A856="","N° facture manquant",IF(ISNA(MATCH(A856,fa_num,0)),"Facture inconnue",IF(AND(B856&lt;&gt;"",ISNA(MATCH(B856,pr_code,0))),"Article inconnu",IF(H856="","Désignation manquante",IF(OR(NOT(ISNUMBER(D856)),N(D856)&lt;=0),"Quantité invalide",IF(J856="","Prix manquant",IF(OR(NOT(ISNUMBER(J856)),N(J856)&lt;0),"Prix invalide",IF(OR(AND(F856&lt;&gt;"",NOT(ISNUMBER(F856))),N(F856)&lt;0,N(F856)&gt;1),"Remise invalide",IF(K856="","Taux de TVA manquant",IF(NOT(ISNUMBER(K856)),"Taux de TVA invalide",IF(COUNTIF(p_rates,K856)=0,"Taux de TVA hors liste (Paramètres)",IF(N(O856)&gt;25,"Au-delà de 25 lignes : non imprimée","OK")))))))))))))</f>
        <v/>
      </c>
      <c r="O856" s="59" t="str">
        <f>IF(A856="","",COUNTIF($A$6:A856,A856))</f>
        <v/>
      </c>
      <c r="P856" s="62" t="str">
        <f>IF(A856="","",A856&amp;"|"&amp;O856)</f>
        <v/>
      </c>
    </row>
    <row r="857">
      <c r="A857" s="60" t="n"/>
      <c r="B857" s="63" t="n"/>
      <c r="C857" s="63" t="n"/>
      <c r="D857" s="67" t="n"/>
      <c r="E857" s="68" t="n"/>
      <c r="F857" s="69" t="n"/>
      <c r="G857" s="70" t="n"/>
      <c r="H857" s="62" t="str">
        <f>IF(COUNTA(A857:G857)=0,"",IF(C857&lt;&gt;"",C857,IF(B857="","",IFERROR(INDEX(pr_des,MATCH(B857,pr_code,0))&amp;"",""))))</f>
        <v/>
      </c>
      <c r="I857" s="59" t="str">
        <f>IF(B857="","",IFERROR(INDEX(pr_unit,MATCH(B857,pr_code,0))&amp;"",""))</f>
        <v/>
      </c>
      <c r="J857" s="65" t="str">
        <f>IF(COUNTA(A857:G857)=0,"",IF(E857&lt;&gt;"",E857,IF(B857="","",IFERROR(IF(INDEX(pr_price,MATCH(B857,pr_code,0))="","",INDEX(pr_price,MATCH(B857,pr_code,0))),""))))</f>
        <v/>
      </c>
      <c r="K857" s="71" t="str">
        <f>IF(COUNTA(A857:G857)=0,"",IF(G857&lt;&gt;"",G857,IF(B857="","",IFERROR(IF(INDEX(pr_rate,MATCH(B857,pr_code,0))="","",INDEX(pr_rate,MATCH(B857,pr_code,0))),""))))</f>
        <v/>
      </c>
      <c r="L857" s="65" t="str">
        <f>IF(COUNTA(A857:G857)=0,"",IF(AND(ISNUMBER(D857),ISNUMBER(J857)),ROUND(D857*J857*(1-N(F857)),2),0))</f>
        <v/>
      </c>
      <c r="M857" s="62" t="str">
        <f>IF(A857="","",IFERROR(INDEX(fa_cname,MATCH(A857,fa_num,0))&amp;"",""))</f>
        <v/>
      </c>
      <c r="N857" s="59" t="str">
        <f>IF(COUNTA(A857:G857)=0,"",IF(A857="","N° facture manquant",IF(ISNA(MATCH(A857,fa_num,0)),"Facture inconnue",IF(AND(B857&lt;&gt;"",ISNA(MATCH(B857,pr_code,0))),"Article inconnu",IF(H857="","Désignation manquante",IF(OR(NOT(ISNUMBER(D857)),N(D857)&lt;=0),"Quantité invalide",IF(J857="","Prix manquant",IF(OR(NOT(ISNUMBER(J857)),N(J857)&lt;0),"Prix invalide",IF(OR(AND(F857&lt;&gt;"",NOT(ISNUMBER(F857))),N(F857)&lt;0,N(F857)&gt;1),"Remise invalide",IF(K857="","Taux de TVA manquant",IF(NOT(ISNUMBER(K857)),"Taux de TVA invalide",IF(COUNTIF(p_rates,K857)=0,"Taux de TVA hors liste (Paramètres)",IF(N(O857)&gt;25,"Au-delà de 25 lignes : non imprimée","OK")))))))))))))</f>
        <v/>
      </c>
      <c r="O857" s="59" t="str">
        <f>IF(A857="","",COUNTIF($A$6:A857,A857))</f>
        <v/>
      </c>
      <c r="P857" s="62" t="str">
        <f>IF(A857="","",A857&amp;"|"&amp;O857)</f>
        <v/>
      </c>
    </row>
    <row r="858">
      <c r="A858" s="60" t="n"/>
      <c r="B858" s="63" t="n"/>
      <c r="C858" s="63" t="n"/>
      <c r="D858" s="67" t="n"/>
      <c r="E858" s="68" t="n"/>
      <c r="F858" s="69" t="n"/>
      <c r="G858" s="70" t="n"/>
      <c r="H858" s="62" t="str">
        <f>IF(COUNTA(A858:G858)=0,"",IF(C858&lt;&gt;"",C858,IF(B858="","",IFERROR(INDEX(pr_des,MATCH(B858,pr_code,0))&amp;"",""))))</f>
        <v/>
      </c>
      <c r="I858" s="59" t="str">
        <f>IF(B858="","",IFERROR(INDEX(pr_unit,MATCH(B858,pr_code,0))&amp;"",""))</f>
        <v/>
      </c>
      <c r="J858" s="65" t="str">
        <f>IF(COUNTA(A858:G858)=0,"",IF(E858&lt;&gt;"",E858,IF(B858="","",IFERROR(IF(INDEX(pr_price,MATCH(B858,pr_code,0))="","",INDEX(pr_price,MATCH(B858,pr_code,0))),""))))</f>
        <v/>
      </c>
      <c r="K858" s="71" t="str">
        <f>IF(COUNTA(A858:G858)=0,"",IF(G858&lt;&gt;"",G858,IF(B858="","",IFERROR(IF(INDEX(pr_rate,MATCH(B858,pr_code,0))="","",INDEX(pr_rate,MATCH(B858,pr_code,0))),""))))</f>
        <v/>
      </c>
      <c r="L858" s="65" t="str">
        <f>IF(COUNTA(A858:G858)=0,"",IF(AND(ISNUMBER(D858),ISNUMBER(J858)),ROUND(D858*J858*(1-N(F858)),2),0))</f>
        <v/>
      </c>
      <c r="M858" s="62" t="str">
        <f>IF(A858="","",IFERROR(INDEX(fa_cname,MATCH(A858,fa_num,0))&amp;"",""))</f>
        <v/>
      </c>
      <c r="N858" s="59" t="str">
        <f>IF(COUNTA(A858:G858)=0,"",IF(A858="","N° facture manquant",IF(ISNA(MATCH(A858,fa_num,0)),"Facture inconnue",IF(AND(B858&lt;&gt;"",ISNA(MATCH(B858,pr_code,0))),"Article inconnu",IF(H858="","Désignation manquante",IF(OR(NOT(ISNUMBER(D858)),N(D858)&lt;=0),"Quantité invalide",IF(J858="","Prix manquant",IF(OR(NOT(ISNUMBER(J858)),N(J858)&lt;0),"Prix invalide",IF(OR(AND(F858&lt;&gt;"",NOT(ISNUMBER(F858))),N(F858)&lt;0,N(F858)&gt;1),"Remise invalide",IF(K858="","Taux de TVA manquant",IF(NOT(ISNUMBER(K858)),"Taux de TVA invalide",IF(COUNTIF(p_rates,K858)=0,"Taux de TVA hors liste (Paramètres)",IF(N(O858)&gt;25,"Au-delà de 25 lignes : non imprimée","OK")))))))))))))</f>
        <v/>
      </c>
      <c r="O858" s="59" t="str">
        <f>IF(A858="","",COUNTIF($A$6:A858,A858))</f>
        <v/>
      </c>
      <c r="P858" s="62" t="str">
        <f>IF(A858="","",A858&amp;"|"&amp;O858)</f>
        <v/>
      </c>
    </row>
    <row r="859">
      <c r="A859" s="60" t="n"/>
      <c r="B859" s="63" t="n"/>
      <c r="C859" s="63" t="n"/>
      <c r="D859" s="67" t="n"/>
      <c r="E859" s="68" t="n"/>
      <c r="F859" s="69" t="n"/>
      <c r="G859" s="70" t="n"/>
      <c r="H859" s="62" t="str">
        <f>IF(COUNTA(A859:G859)=0,"",IF(C859&lt;&gt;"",C859,IF(B859="","",IFERROR(INDEX(pr_des,MATCH(B859,pr_code,0))&amp;"",""))))</f>
        <v/>
      </c>
      <c r="I859" s="59" t="str">
        <f>IF(B859="","",IFERROR(INDEX(pr_unit,MATCH(B859,pr_code,0))&amp;"",""))</f>
        <v/>
      </c>
      <c r="J859" s="65" t="str">
        <f>IF(COUNTA(A859:G859)=0,"",IF(E859&lt;&gt;"",E859,IF(B859="","",IFERROR(IF(INDEX(pr_price,MATCH(B859,pr_code,0))="","",INDEX(pr_price,MATCH(B859,pr_code,0))),""))))</f>
        <v/>
      </c>
      <c r="K859" s="71" t="str">
        <f>IF(COUNTA(A859:G859)=0,"",IF(G859&lt;&gt;"",G859,IF(B859="","",IFERROR(IF(INDEX(pr_rate,MATCH(B859,pr_code,0))="","",INDEX(pr_rate,MATCH(B859,pr_code,0))),""))))</f>
        <v/>
      </c>
      <c r="L859" s="65" t="str">
        <f>IF(COUNTA(A859:G859)=0,"",IF(AND(ISNUMBER(D859),ISNUMBER(J859)),ROUND(D859*J859*(1-N(F859)),2),0))</f>
        <v/>
      </c>
      <c r="M859" s="62" t="str">
        <f>IF(A859="","",IFERROR(INDEX(fa_cname,MATCH(A859,fa_num,0))&amp;"",""))</f>
        <v/>
      </c>
      <c r="N859" s="59" t="str">
        <f>IF(COUNTA(A859:G859)=0,"",IF(A859="","N° facture manquant",IF(ISNA(MATCH(A859,fa_num,0)),"Facture inconnue",IF(AND(B859&lt;&gt;"",ISNA(MATCH(B859,pr_code,0))),"Article inconnu",IF(H859="","Désignation manquante",IF(OR(NOT(ISNUMBER(D859)),N(D859)&lt;=0),"Quantité invalide",IF(J859="","Prix manquant",IF(OR(NOT(ISNUMBER(J859)),N(J859)&lt;0),"Prix invalide",IF(OR(AND(F859&lt;&gt;"",NOT(ISNUMBER(F859))),N(F859)&lt;0,N(F859)&gt;1),"Remise invalide",IF(K859="","Taux de TVA manquant",IF(NOT(ISNUMBER(K859)),"Taux de TVA invalide",IF(COUNTIF(p_rates,K859)=0,"Taux de TVA hors liste (Paramètres)",IF(N(O859)&gt;25,"Au-delà de 25 lignes : non imprimée","OK")))))))))))))</f>
        <v/>
      </c>
      <c r="O859" s="59" t="str">
        <f>IF(A859="","",COUNTIF($A$6:A859,A859))</f>
        <v/>
      </c>
      <c r="P859" s="62" t="str">
        <f>IF(A859="","",A859&amp;"|"&amp;O859)</f>
        <v/>
      </c>
    </row>
    <row r="860">
      <c r="A860" s="60" t="n"/>
      <c r="B860" s="63" t="n"/>
      <c r="C860" s="63" t="n"/>
      <c r="D860" s="67" t="n"/>
      <c r="E860" s="68" t="n"/>
      <c r="F860" s="69" t="n"/>
      <c r="G860" s="70" t="n"/>
      <c r="H860" s="62" t="str">
        <f>IF(COUNTA(A860:G860)=0,"",IF(C860&lt;&gt;"",C860,IF(B860="","",IFERROR(INDEX(pr_des,MATCH(B860,pr_code,0))&amp;"",""))))</f>
        <v/>
      </c>
      <c r="I860" s="59" t="str">
        <f>IF(B860="","",IFERROR(INDEX(pr_unit,MATCH(B860,pr_code,0))&amp;"",""))</f>
        <v/>
      </c>
      <c r="J860" s="65" t="str">
        <f>IF(COUNTA(A860:G860)=0,"",IF(E860&lt;&gt;"",E860,IF(B860="","",IFERROR(IF(INDEX(pr_price,MATCH(B860,pr_code,0))="","",INDEX(pr_price,MATCH(B860,pr_code,0))),""))))</f>
        <v/>
      </c>
      <c r="K860" s="71" t="str">
        <f>IF(COUNTA(A860:G860)=0,"",IF(G860&lt;&gt;"",G860,IF(B860="","",IFERROR(IF(INDEX(pr_rate,MATCH(B860,pr_code,0))="","",INDEX(pr_rate,MATCH(B860,pr_code,0))),""))))</f>
        <v/>
      </c>
      <c r="L860" s="65" t="str">
        <f>IF(COUNTA(A860:G860)=0,"",IF(AND(ISNUMBER(D860),ISNUMBER(J860)),ROUND(D860*J860*(1-N(F860)),2),0))</f>
        <v/>
      </c>
      <c r="M860" s="62" t="str">
        <f>IF(A860="","",IFERROR(INDEX(fa_cname,MATCH(A860,fa_num,0))&amp;"",""))</f>
        <v/>
      </c>
      <c r="N860" s="59" t="str">
        <f>IF(COUNTA(A860:G860)=0,"",IF(A860="","N° facture manquant",IF(ISNA(MATCH(A860,fa_num,0)),"Facture inconnue",IF(AND(B860&lt;&gt;"",ISNA(MATCH(B860,pr_code,0))),"Article inconnu",IF(H860="","Désignation manquante",IF(OR(NOT(ISNUMBER(D860)),N(D860)&lt;=0),"Quantité invalide",IF(J860="","Prix manquant",IF(OR(NOT(ISNUMBER(J860)),N(J860)&lt;0),"Prix invalide",IF(OR(AND(F860&lt;&gt;"",NOT(ISNUMBER(F860))),N(F860)&lt;0,N(F860)&gt;1),"Remise invalide",IF(K860="","Taux de TVA manquant",IF(NOT(ISNUMBER(K860)),"Taux de TVA invalide",IF(COUNTIF(p_rates,K860)=0,"Taux de TVA hors liste (Paramètres)",IF(N(O860)&gt;25,"Au-delà de 25 lignes : non imprimée","OK")))))))))))))</f>
        <v/>
      </c>
      <c r="O860" s="59" t="str">
        <f>IF(A860="","",COUNTIF($A$6:A860,A860))</f>
        <v/>
      </c>
      <c r="P860" s="62" t="str">
        <f>IF(A860="","",A860&amp;"|"&amp;O860)</f>
        <v/>
      </c>
    </row>
    <row r="861">
      <c r="A861" s="60" t="n"/>
      <c r="B861" s="63" t="n"/>
      <c r="C861" s="63" t="n"/>
      <c r="D861" s="67" t="n"/>
      <c r="E861" s="68" t="n"/>
      <c r="F861" s="69" t="n"/>
      <c r="G861" s="70" t="n"/>
      <c r="H861" s="62" t="str">
        <f>IF(COUNTA(A861:G861)=0,"",IF(C861&lt;&gt;"",C861,IF(B861="","",IFERROR(INDEX(pr_des,MATCH(B861,pr_code,0))&amp;"",""))))</f>
        <v/>
      </c>
      <c r="I861" s="59" t="str">
        <f>IF(B861="","",IFERROR(INDEX(pr_unit,MATCH(B861,pr_code,0))&amp;"",""))</f>
        <v/>
      </c>
      <c r="J861" s="65" t="str">
        <f>IF(COUNTA(A861:G861)=0,"",IF(E861&lt;&gt;"",E861,IF(B861="","",IFERROR(IF(INDEX(pr_price,MATCH(B861,pr_code,0))="","",INDEX(pr_price,MATCH(B861,pr_code,0))),""))))</f>
        <v/>
      </c>
      <c r="K861" s="71" t="str">
        <f>IF(COUNTA(A861:G861)=0,"",IF(G861&lt;&gt;"",G861,IF(B861="","",IFERROR(IF(INDEX(pr_rate,MATCH(B861,pr_code,0))="","",INDEX(pr_rate,MATCH(B861,pr_code,0))),""))))</f>
        <v/>
      </c>
      <c r="L861" s="65" t="str">
        <f>IF(COUNTA(A861:G861)=0,"",IF(AND(ISNUMBER(D861),ISNUMBER(J861)),ROUND(D861*J861*(1-N(F861)),2),0))</f>
        <v/>
      </c>
      <c r="M861" s="62" t="str">
        <f>IF(A861="","",IFERROR(INDEX(fa_cname,MATCH(A861,fa_num,0))&amp;"",""))</f>
        <v/>
      </c>
      <c r="N861" s="59" t="str">
        <f>IF(COUNTA(A861:G861)=0,"",IF(A861="","N° facture manquant",IF(ISNA(MATCH(A861,fa_num,0)),"Facture inconnue",IF(AND(B861&lt;&gt;"",ISNA(MATCH(B861,pr_code,0))),"Article inconnu",IF(H861="","Désignation manquante",IF(OR(NOT(ISNUMBER(D861)),N(D861)&lt;=0),"Quantité invalide",IF(J861="","Prix manquant",IF(OR(NOT(ISNUMBER(J861)),N(J861)&lt;0),"Prix invalide",IF(OR(AND(F861&lt;&gt;"",NOT(ISNUMBER(F861))),N(F861)&lt;0,N(F861)&gt;1),"Remise invalide",IF(K861="","Taux de TVA manquant",IF(NOT(ISNUMBER(K861)),"Taux de TVA invalide",IF(COUNTIF(p_rates,K861)=0,"Taux de TVA hors liste (Paramètres)",IF(N(O861)&gt;25,"Au-delà de 25 lignes : non imprimée","OK")))))))))))))</f>
        <v/>
      </c>
      <c r="O861" s="59" t="str">
        <f>IF(A861="","",COUNTIF($A$6:A861,A861))</f>
        <v/>
      </c>
      <c r="P861" s="62" t="str">
        <f>IF(A861="","",A861&amp;"|"&amp;O861)</f>
        <v/>
      </c>
    </row>
    <row r="862">
      <c r="A862" s="60" t="n"/>
      <c r="B862" s="63" t="n"/>
      <c r="C862" s="63" t="n"/>
      <c r="D862" s="67" t="n"/>
      <c r="E862" s="68" t="n"/>
      <c r="F862" s="69" t="n"/>
      <c r="G862" s="70" t="n"/>
      <c r="H862" s="62" t="str">
        <f>IF(COUNTA(A862:G862)=0,"",IF(C862&lt;&gt;"",C862,IF(B862="","",IFERROR(INDEX(pr_des,MATCH(B862,pr_code,0))&amp;"",""))))</f>
        <v/>
      </c>
      <c r="I862" s="59" t="str">
        <f>IF(B862="","",IFERROR(INDEX(pr_unit,MATCH(B862,pr_code,0))&amp;"",""))</f>
        <v/>
      </c>
      <c r="J862" s="65" t="str">
        <f>IF(COUNTA(A862:G862)=0,"",IF(E862&lt;&gt;"",E862,IF(B862="","",IFERROR(IF(INDEX(pr_price,MATCH(B862,pr_code,0))="","",INDEX(pr_price,MATCH(B862,pr_code,0))),""))))</f>
        <v/>
      </c>
      <c r="K862" s="71" t="str">
        <f>IF(COUNTA(A862:G862)=0,"",IF(G862&lt;&gt;"",G862,IF(B862="","",IFERROR(IF(INDEX(pr_rate,MATCH(B862,pr_code,0))="","",INDEX(pr_rate,MATCH(B862,pr_code,0))),""))))</f>
        <v/>
      </c>
      <c r="L862" s="65" t="str">
        <f>IF(COUNTA(A862:G862)=0,"",IF(AND(ISNUMBER(D862),ISNUMBER(J862)),ROUND(D862*J862*(1-N(F862)),2),0))</f>
        <v/>
      </c>
      <c r="M862" s="62" t="str">
        <f>IF(A862="","",IFERROR(INDEX(fa_cname,MATCH(A862,fa_num,0))&amp;"",""))</f>
        <v/>
      </c>
      <c r="N862" s="59" t="str">
        <f>IF(COUNTA(A862:G862)=0,"",IF(A862="","N° facture manquant",IF(ISNA(MATCH(A862,fa_num,0)),"Facture inconnue",IF(AND(B862&lt;&gt;"",ISNA(MATCH(B862,pr_code,0))),"Article inconnu",IF(H862="","Désignation manquante",IF(OR(NOT(ISNUMBER(D862)),N(D862)&lt;=0),"Quantité invalide",IF(J862="","Prix manquant",IF(OR(NOT(ISNUMBER(J862)),N(J862)&lt;0),"Prix invalide",IF(OR(AND(F862&lt;&gt;"",NOT(ISNUMBER(F862))),N(F862)&lt;0,N(F862)&gt;1),"Remise invalide",IF(K862="","Taux de TVA manquant",IF(NOT(ISNUMBER(K862)),"Taux de TVA invalide",IF(COUNTIF(p_rates,K862)=0,"Taux de TVA hors liste (Paramètres)",IF(N(O862)&gt;25,"Au-delà de 25 lignes : non imprimée","OK")))))))))))))</f>
        <v/>
      </c>
      <c r="O862" s="59" t="str">
        <f>IF(A862="","",COUNTIF($A$6:A862,A862))</f>
        <v/>
      </c>
      <c r="P862" s="62" t="str">
        <f>IF(A862="","",A862&amp;"|"&amp;O862)</f>
        <v/>
      </c>
    </row>
    <row r="863">
      <c r="A863" s="60" t="n"/>
      <c r="B863" s="63" t="n"/>
      <c r="C863" s="63" t="n"/>
      <c r="D863" s="67" t="n"/>
      <c r="E863" s="68" t="n"/>
      <c r="F863" s="69" t="n"/>
      <c r="G863" s="70" t="n"/>
      <c r="H863" s="62" t="str">
        <f>IF(COUNTA(A863:G863)=0,"",IF(C863&lt;&gt;"",C863,IF(B863="","",IFERROR(INDEX(pr_des,MATCH(B863,pr_code,0))&amp;"",""))))</f>
        <v/>
      </c>
      <c r="I863" s="59" t="str">
        <f>IF(B863="","",IFERROR(INDEX(pr_unit,MATCH(B863,pr_code,0))&amp;"",""))</f>
        <v/>
      </c>
      <c r="J863" s="65" t="str">
        <f>IF(COUNTA(A863:G863)=0,"",IF(E863&lt;&gt;"",E863,IF(B863="","",IFERROR(IF(INDEX(pr_price,MATCH(B863,pr_code,0))="","",INDEX(pr_price,MATCH(B863,pr_code,0))),""))))</f>
        <v/>
      </c>
      <c r="K863" s="71" t="str">
        <f>IF(COUNTA(A863:G863)=0,"",IF(G863&lt;&gt;"",G863,IF(B863="","",IFERROR(IF(INDEX(pr_rate,MATCH(B863,pr_code,0))="","",INDEX(pr_rate,MATCH(B863,pr_code,0))),""))))</f>
        <v/>
      </c>
      <c r="L863" s="65" t="str">
        <f>IF(COUNTA(A863:G863)=0,"",IF(AND(ISNUMBER(D863),ISNUMBER(J863)),ROUND(D863*J863*(1-N(F863)),2),0))</f>
        <v/>
      </c>
      <c r="M863" s="62" t="str">
        <f>IF(A863="","",IFERROR(INDEX(fa_cname,MATCH(A863,fa_num,0))&amp;"",""))</f>
        <v/>
      </c>
      <c r="N863" s="59" t="str">
        <f>IF(COUNTA(A863:G863)=0,"",IF(A863="","N° facture manquant",IF(ISNA(MATCH(A863,fa_num,0)),"Facture inconnue",IF(AND(B863&lt;&gt;"",ISNA(MATCH(B863,pr_code,0))),"Article inconnu",IF(H863="","Désignation manquante",IF(OR(NOT(ISNUMBER(D863)),N(D863)&lt;=0),"Quantité invalide",IF(J863="","Prix manquant",IF(OR(NOT(ISNUMBER(J863)),N(J863)&lt;0),"Prix invalide",IF(OR(AND(F863&lt;&gt;"",NOT(ISNUMBER(F863))),N(F863)&lt;0,N(F863)&gt;1),"Remise invalide",IF(K863="","Taux de TVA manquant",IF(NOT(ISNUMBER(K863)),"Taux de TVA invalide",IF(COUNTIF(p_rates,K863)=0,"Taux de TVA hors liste (Paramètres)",IF(N(O863)&gt;25,"Au-delà de 25 lignes : non imprimée","OK")))))))))))))</f>
        <v/>
      </c>
      <c r="O863" s="59" t="str">
        <f>IF(A863="","",COUNTIF($A$6:A863,A863))</f>
        <v/>
      </c>
      <c r="P863" s="62" t="str">
        <f>IF(A863="","",A863&amp;"|"&amp;O863)</f>
        <v/>
      </c>
    </row>
    <row r="864">
      <c r="A864" s="60" t="n"/>
      <c r="B864" s="63" t="n"/>
      <c r="C864" s="63" t="n"/>
      <c r="D864" s="67" t="n"/>
      <c r="E864" s="68" t="n"/>
      <c r="F864" s="69" t="n"/>
      <c r="G864" s="70" t="n"/>
      <c r="H864" s="62" t="str">
        <f>IF(COUNTA(A864:G864)=0,"",IF(C864&lt;&gt;"",C864,IF(B864="","",IFERROR(INDEX(pr_des,MATCH(B864,pr_code,0))&amp;"",""))))</f>
        <v/>
      </c>
      <c r="I864" s="59" t="str">
        <f>IF(B864="","",IFERROR(INDEX(pr_unit,MATCH(B864,pr_code,0))&amp;"",""))</f>
        <v/>
      </c>
      <c r="J864" s="65" t="str">
        <f>IF(COUNTA(A864:G864)=0,"",IF(E864&lt;&gt;"",E864,IF(B864="","",IFERROR(IF(INDEX(pr_price,MATCH(B864,pr_code,0))="","",INDEX(pr_price,MATCH(B864,pr_code,0))),""))))</f>
        <v/>
      </c>
      <c r="K864" s="71" t="str">
        <f>IF(COUNTA(A864:G864)=0,"",IF(G864&lt;&gt;"",G864,IF(B864="","",IFERROR(IF(INDEX(pr_rate,MATCH(B864,pr_code,0))="","",INDEX(pr_rate,MATCH(B864,pr_code,0))),""))))</f>
        <v/>
      </c>
      <c r="L864" s="65" t="str">
        <f>IF(COUNTA(A864:G864)=0,"",IF(AND(ISNUMBER(D864),ISNUMBER(J864)),ROUND(D864*J864*(1-N(F864)),2),0))</f>
        <v/>
      </c>
      <c r="M864" s="62" t="str">
        <f>IF(A864="","",IFERROR(INDEX(fa_cname,MATCH(A864,fa_num,0))&amp;"",""))</f>
        <v/>
      </c>
      <c r="N864" s="59" t="str">
        <f>IF(COUNTA(A864:G864)=0,"",IF(A864="","N° facture manquant",IF(ISNA(MATCH(A864,fa_num,0)),"Facture inconnue",IF(AND(B864&lt;&gt;"",ISNA(MATCH(B864,pr_code,0))),"Article inconnu",IF(H864="","Désignation manquante",IF(OR(NOT(ISNUMBER(D864)),N(D864)&lt;=0),"Quantité invalide",IF(J864="","Prix manquant",IF(OR(NOT(ISNUMBER(J864)),N(J864)&lt;0),"Prix invalide",IF(OR(AND(F864&lt;&gt;"",NOT(ISNUMBER(F864))),N(F864)&lt;0,N(F864)&gt;1),"Remise invalide",IF(K864="","Taux de TVA manquant",IF(NOT(ISNUMBER(K864)),"Taux de TVA invalide",IF(COUNTIF(p_rates,K864)=0,"Taux de TVA hors liste (Paramètres)",IF(N(O864)&gt;25,"Au-delà de 25 lignes : non imprimée","OK")))))))))))))</f>
        <v/>
      </c>
      <c r="O864" s="59" t="str">
        <f>IF(A864="","",COUNTIF($A$6:A864,A864))</f>
        <v/>
      </c>
      <c r="P864" s="62" t="str">
        <f>IF(A864="","",A864&amp;"|"&amp;O864)</f>
        <v/>
      </c>
    </row>
    <row r="865">
      <c r="A865" s="60" t="n"/>
      <c r="B865" s="63" t="n"/>
      <c r="C865" s="63" t="n"/>
      <c r="D865" s="67" t="n"/>
      <c r="E865" s="68" t="n"/>
      <c r="F865" s="69" t="n"/>
      <c r="G865" s="70" t="n"/>
      <c r="H865" s="62" t="str">
        <f>IF(COUNTA(A865:G865)=0,"",IF(C865&lt;&gt;"",C865,IF(B865="","",IFERROR(INDEX(pr_des,MATCH(B865,pr_code,0))&amp;"",""))))</f>
        <v/>
      </c>
      <c r="I865" s="59" t="str">
        <f>IF(B865="","",IFERROR(INDEX(pr_unit,MATCH(B865,pr_code,0))&amp;"",""))</f>
        <v/>
      </c>
      <c r="J865" s="65" t="str">
        <f>IF(COUNTA(A865:G865)=0,"",IF(E865&lt;&gt;"",E865,IF(B865="","",IFERROR(IF(INDEX(pr_price,MATCH(B865,pr_code,0))="","",INDEX(pr_price,MATCH(B865,pr_code,0))),""))))</f>
        <v/>
      </c>
      <c r="K865" s="71" t="str">
        <f>IF(COUNTA(A865:G865)=0,"",IF(G865&lt;&gt;"",G865,IF(B865="","",IFERROR(IF(INDEX(pr_rate,MATCH(B865,pr_code,0))="","",INDEX(pr_rate,MATCH(B865,pr_code,0))),""))))</f>
        <v/>
      </c>
      <c r="L865" s="65" t="str">
        <f>IF(COUNTA(A865:G865)=0,"",IF(AND(ISNUMBER(D865),ISNUMBER(J865)),ROUND(D865*J865*(1-N(F865)),2),0))</f>
        <v/>
      </c>
      <c r="M865" s="62" t="str">
        <f>IF(A865="","",IFERROR(INDEX(fa_cname,MATCH(A865,fa_num,0))&amp;"",""))</f>
        <v/>
      </c>
      <c r="N865" s="59" t="str">
        <f>IF(COUNTA(A865:G865)=0,"",IF(A865="","N° facture manquant",IF(ISNA(MATCH(A865,fa_num,0)),"Facture inconnue",IF(AND(B865&lt;&gt;"",ISNA(MATCH(B865,pr_code,0))),"Article inconnu",IF(H865="","Désignation manquante",IF(OR(NOT(ISNUMBER(D865)),N(D865)&lt;=0),"Quantité invalide",IF(J865="","Prix manquant",IF(OR(NOT(ISNUMBER(J865)),N(J865)&lt;0),"Prix invalide",IF(OR(AND(F865&lt;&gt;"",NOT(ISNUMBER(F865))),N(F865)&lt;0,N(F865)&gt;1),"Remise invalide",IF(K865="","Taux de TVA manquant",IF(NOT(ISNUMBER(K865)),"Taux de TVA invalide",IF(COUNTIF(p_rates,K865)=0,"Taux de TVA hors liste (Paramètres)",IF(N(O865)&gt;25,"Au-delà de 25 lignes : non imprimée","OK")))))))))))))</f>
        <v/>
      </c>
      <c r="O865" s="59" t="str">
        <f>IF(A865="","",COUNTIF($A$6:A865,A865))</f>
        <v/>
      </c>
      <c r="P865" s="62" t="str">
        <f>IF(A865="","",A865&amp;"|"&amp;O865)</f>
        <v/>
      </c>
    </row>
    <row r="866">
      <c r="A866" s="60" t="n"/>
      <c r="B866" s="63" t="n"/>
      <c r="C866" s="63" t="n"/>
      <c r="D866" s="67" t="n"/>
      <c r="E866" s="68" t="n"/>
      <c r="F866" s="69" t="n"/>
      <c r="G866" s="70" t="n"/>
      <c r="H866" s="62" t="str">
        <f>IF(COUNTA(A866:G866)=0,"",IF(C866&lt;&gt;"",C866,IF(B866="","",IFERROR(INDEX(pr_des,MATCH(B866,pr_code,0))&amp;"",""))))</f>
        <v/>
      </c>
      <c r="I866" s="59" t="str">
        <f>IF(B866="","",IFERROR(INDEX(pr_unit,MATCH(B866,pr_code,0))&amp;"",""))</f>
        <v/>
      </c>
      <c r="J866" s="65" t="str">
        <f>IF(COUNTA(A866:G866)=0,"",IF(E866&lt;&gt;"",E866,IF(B866="","",IFERROR(IF(INDEX(pr_price,MATCH(B866,pr_code,0))="","",INDEX(pr_price,MATCH(B866,pr_code,0))),""))))</f>
        <v/>
      </c>
      <c r="K866" s="71" t="str">
        <f>IF(COUNTA(A866:G866)=0,"",IF(G866&lt;&gt;"",G866,IF(B866="","",IFERROR(IF(INDEX(pr_rate,MATCH(B866,pr_code,0))="","",INDEX(pr_rate,MATCH(B866,pr_code,0))),""))))</f>
        <v/>
      </c>
      <c r="L866" s="65" t="str">
        <f>IF(COUNTA(A866:G866)=0,"",IF(AND(ISNUMBER(D866),ISNUMBER(J866)),ROUND(D866*J866*(1-N(F866)),2),0))</f>
        <v/>
      </c>
      <c r="M866" s="62" t="str">
        <f>IF(A866="","",IFERROR(INDEX(fa_cname,MATCH(A866,fa_num,0))&amp;"",""))</f>
        <v/>
      </c>
      <c r="N866" s="59" t="str">
        <f>IF(COUNTA(A866:G866)=0,"",IF(A866="","N° facture manquant",IF(ISNA(MATCH(A866,fa_num,0)),"Facture inconnue",IF(AND(B866&lt;&gt;"",ISNA(MATCH(B866,pr_code,0))),"Article inconnu",IF(H866="","Désignation manquante",IF(OR(NOT(ISNUMBER(D866)),N(D866)&lt;=0),"Quantité invalide",IF(J866="","Prix manquant",IF(OR(NOT(ISNUMBER(J866)),N(J866)&lt;0),"Prix invalide",IF(OR(AND(F866&lt;&gt;"",NOT(ISNUMBER(F866))),N(F866)&lt;0,N(F866)&gt;1),"Remise invalide",IF(K866="","Taux de TVA manquant",IF(NOT(ISNUMBER(K866)),"Taux de TVA invalide",IF(COUNTIF(p_rates,K866)=0,"Taux de TVA hors liste (Paramètres)",IF(N(O866)&gt;25,"Au-delà de 25 lignes : non imprimée","OK")))))))))))))</f>
        <v/>
      </c>
      <c r="O866" s="59" t="str">
        <f>IF(A866="","",COUNTIF($A$6:A866,A866))</f>
        <v/>
      </c>
      <c r="P866" s="62" t="str">
        <f>IF(A866="","",A866&amp;"|"&amp;O866)</f>
        <v/>
      </c>
    </row>
    <row r="867">
      <c r="A867" s="60" t="n"/>
      <c r="B867" s="63" t="n"/>
      <c r="C867" s="63" t="n"/>
      <c r="D867" s="67" t="n"/>
      <c r="E867" s="68" t="n"/>
      <c r="F867" s="69" t="n"/>
      <c r="G867" s="70" t="n"/>
      <c r="H867" s="62" t="str">
        <f>IF(COUNTA(A867:G867)=0,"",IF(C867&lt;&gt;"",C867,IF(B867="","",IFERROR(INDEX(pr_des,MATCH(B867,pr_code,0))&amp;"",""))))</f>
        <v/>
      </c>
      <c r="I867" s="59" t="str">
        <f>IF(B867="","",IFERROR(INDEX(pr_unit,MATCH(B867,pr_code,0))&amp;"",""))</f>
        <v/>
      </c>
      <c r="J867" s="65" t="str">
        <f>IF(COUNTA(A867:G867)=0,"",IF(E867&lt;&gt;"",E867,IF(B867="","",IFERROR(IF(INDEX(pr_price,MATCH(B867,pr_code,0))="","",INDEX(pr_price,MATCH(B867,pr_code,0))),""))))</f>
        <v/>
      </c>
      <c r="K867" s="71" t="str">
        <f>IF(COUNTA(A867:G867)=0,"",IF(G867&lt;&gt;"",G867,IF(B867="","",IFERROR(IF(INDEX(pr_rate,MATCH(B867,pr_code,0))="","",INDEX(pr_rate,MATCH(B867,pr_code,0))),""))))</f>
        <v/>
      </c>
      <c r="L867" s="65" t="str">
        <f>IF(COUNTA(A867:G867)=0,"",IF(AND(ISNUMBER(D867),ISNUMBER(J867)),ROUND(D867*J867*(1-N(F867)),2),0))</f>
        <v/>
      </c>
      <c r="M867" s="62" t="str">
        <f>IF(A867="","",IFERROR(INDEX(fa_cname,MATCH(A867,fa_num,0))&amp;"",""))</f>
        <v/>
      </c>
      <c r="N867" s="59" t="str">
        <f>IF(COUNTA(A867:G867)=0,"",IF(A867="","N° facture manquant",IF(ISNA(MATCH(A867,fa_num,0)),"Facture inconnue",IF(AND(B867&lt;&gt;"",ISNA(MATCH(B867,pr_code,0))),"Article inconnu",IF(H867="","Désignation manquante",IF(OR(NOT(ISNUMBER(D867)),N(D867)&lt;=0),"Quantité invalide",IF(J867="","Prix manquant",IF(OR(NOT(ISNUMBER(J867)),N(J867)&lt;0),"Prix invalide",IF(OR(AND(F867&lt;&gt;"",NOT(ISNUMBER(F867))),N(F867)&lt;0,N(F867)&gt;1),"Remise invalide",IF(K867="","Taux de TVA manquant",IF(NOT(ISNUMBER(K867)),"Taux de TVA invalide",IF(COUNTIF(p_rates,K867)=0,"Taux de TVA hors liste (Paramètres)",IF(N(O867)&gt;25,"Au-delà de 25 lignes : non imprimée","OK")))))))))))))</f>
        <v/>
      </c>
      <c r="O867" s="59" t="str">
        <f>IF(A867="","",COUNTIF($A$6:A867,A867))</f>
        <v/>
      </c>
      <c r="P867" s="62" t="str">
        <f>IF(A867="","",A867&amp;"|"&amp;O867)</f>
        <v/>
      </c>
    </row>
    <row r="868">
      <c r="A868" s="60" t="n"/>
      <c r="B868" s="63" t="n"/>
      <c r="C868" s="63" t="n"/>
      <c r="D868" s="67" t="n"/>
      <c r="E868" s="68" t="n"/>
      <c r="F868" s="69" t="n"/>
      <c r="G868" s="70" t="n"/>
      <c r="H868" s="62" t="str">
        <f>IF(COUNTA(A868:G868)=0,"",IF(C868&lt;&gt;"",C868,IF(B868="","",IFERROR(INDEX(pr_des,MATCH(B868,pr_code,0))&amp;"",""))))</f>
        <v/>
      </c>
      <c r="I868" s="59" t="str">
        <f>IF(B868="","",IFERROR(INDEX(pr_unit,MATCH(B868,pr_code,0))&amp;"",""))</f>
        <v/>
      </c>
      <c r="J868" s="65" t="str">
        <f>IF(COUNTA(A868:G868)=0,"",IF(E868&lt;&gt;"",E868,IF(B868="","",IFERROR(IF(INDEX(pr_price,MATCH(B868,pr_code,0))="","",INDEX(pr_price,MATCH(B868,pr_code,0))),""))))</f>
        <v/>
      </c>
      <c r="K868" s="71" t="str">
        <f>IF(COUNTA(A868:G868)=0,"",IF(G868&lt;&gt;"",G868,IF(B868="","",IFERROR(IF(INDEX(pr_rate,MATCH(B868,pr_code,0))="","",INDEX(pr_rate,MATCH(B868,pr_code,0))),""))))</f>
        <v/>
      </c>
      <c r="L868" s="65" t="str">
        <f>IF(COUNTA(A868:G868)=0,"",IF(AND(ISNUMBER(D868),ISNUMBER(J868)),ROUND(D868*J868*(1-N(F868)),2),0))</f>
        <v/>
      </c>
      <c r="M868" s="62" t="str">
        <f>IF(A868="","",IFERROR(INDEX(fa_cname,MATCH(A868,fa_num,0))&amp;"",""))</f>
        <v/>
      </c>
      <c r="N868" s="59" t="str">
        <f>IF(COUNTA(A868:G868)=0,"",IF(A868="","N° facture manquant",IF(ISNA(MATCH(A868,fa_num,0)),"Facture inconnue",IF(AND(B868&lt;&gt;"",ISNA(MATCH(B868,pr_code,0))),"Article inconnu",IF(H868="","Désignation manquante",IF(OR(NOT(ISNUMBER(D868)),N(D868)&lt;=0),"Quantité invalide",IF(J868="","Prix manquant",IF(OR(NOT(ISNUMBER(J868)),N(J868)&lt;0),"Prix invalide",IF(OR(AND(F868&lt;&gt;"",NOT(ISNUMBER(F868))),N(F868)&lt;0,N(F868)&gt;1),"Remise invalide",IF(K868="","Taux de TVA manquant",IF(NOT(ISNUMBER(K868)),"Taux de TVA invalide",IF(COUNTIF(p_rates,K868)=0,"Taux de TVA hors liste (Paramètres)",IF(N(O868)&gt;25,"Au-delà de 25 lignes : non imprimée","OK")))))))))))))</f>
        <v/>
      </c>
      <c r="O868" s="59" t="str">
        <f>IF(A868="","",COUNTIF($A$6:A868,A868))</f>
        <v/>
      </c>
      <c r="P868" s="62" t="str">
        <f>IF(A868="","",A868&amp;"|"&amp;O868)</f>
        <v/>
      </c>
    </row>
    <row r="869">
      <c r="A869" s="60" t="n"/>
      <c r="B869" s="63" t="n"/>
      <c r="C869" s="63" t="n"/>
      <c r="D869" s="67" t="n"/>
      <c r="E869" s="68" t="n"/>
      <c r="F869" s="69" t="n"/>
      <c r="G869" s="70" t="n"/>
      <c r="H869" s="62" t="str">
        <f>IF(COUNTA(A869:G869)=0,"",IF(C869&lt;&gt;"",C869,IF(B869="","",IFERROR(INDEX(pr_des,MATCH(B869,pr_code,0))&amp;"",""))))</f>
        <v/>
      </c>
      <c r="I869" s="59" t="str">
        <f>IF(B869="","",IFERROR(INDEX(pr_unit,MATCH(B869,pr_code,0))&amp;"",""))</f>
        <v/>
      </c>
      <c r="J869" s="65" t="str">
        <f>IF(COUNTA(A869:G869)=0,"",IF(E869&lt;&gt;"",E869,IF(B869="","",IFERROR(IF(INDEX(pr_price,MATCH(B869,pr_code,0))="","",INDEX(pr_price,MATCH(B869,pr_code,0))),""))))</f>
        <v/>
      </c>
      <c r="K869" s="71" t="str">
        <f>IF(COUNTA(A869:G869)=0,"",IF(G869&lt;&gt;"",G869,IF(B869="","",IFERROR(IF(INDEX(pr_rate,MATCH(B869,pr_code,0))="","",INDEX(pr_rate,MATCH(B869,pr_code,0))),""))))</f>
        <v/>
      </c>
      <c r="L869" s="65" t="str">
        <f>IF(COUNTA(A869:G869)=0,"",IF(AND(ISNUMBER(D869),ISNUMBER(J869)),ROUND(D869*J869*(1-N(F869)),2),0))</f>
        <v/>
      </c>
      <c r="M869" s="62" t="str">
        <f>IF(A869="","",IFERROR(INDEX(fa_cname,MATCH(A869,fa_num,0))&amp;"",""))</f>
        <v/>
      </c>
      <c r="N869" s="59" t="str">
        <f>IF(COUNTA(A869:G869)=0,"",IF(A869="","N° facture manquant",IF(ISNA(MATCH(A869,fa_num,0)),"Facture inconnue",IF(AND(B869&lt;&gt;"",ISNA(MATCH(B869,pr_code,0))),"Article inconnu",IF(H869="","Désignation manquante",IF(OR(NOT(ISNUMBER(D869)),N(D869)&lt;=0),"Quantité invalide",IF(J869="","Prix manquant",IF(OR(NOT(ISNUMBER(J869)),N(J869)&lt;0),"Prix invalide",IF(OR(AND(F869&lt;&gt;"",NOT(ISNUMBER(F869))),N(F869)&lt;0,N(F869)&gt;1),"Remise invalide",IF(K869="","Taux de TVA manquant",IF(NOT(ISNUMBER(K869)),"Taux de TVA invalide",IF(COUNTIF(p_rates,K869)=0,"Taux de TVA hors liste (Paramètres)",IF(N(O869)&gt;25,"Au-delà de 25 lignes : non imprimée","OK")))))))))))))</f>
        <v/>
      </c>
      <c r="O869" s="59" t="str">
        <f>IF(A869="","",COUNTIF($A$6:A869,A869))</f>
        <v/>
      </c>
      <c r="P869" s="62" t="str">
        <f>IF(A869="","",A869&amp;"|"&amp;O869)</f>
        <v/>
      </c>
    </row>
    <row r="870">
      <c r="A870" s="60" t="n"/>
      <c r="B870" s="63" t="n"/>
      <c r="C870" s="63" t="n"/>
      <c r="D870" s="67" t="n"/>
      <c r="E870" s="68" t="n"/>
      <c r="F870" s="69" t="n"/>
      <c r="G870" s="70" t="n"/>
      <c r="H870" s="62" t="str">
        <f>IF(COUNTA(A870:G870)=0,"",IF(C870&lt;&gt;"",C870,IF(B870="","",IFERROR(INDEX(pr_des,MATCH(B870,pr_code,0))&amp;"",""))))</f>
        <v/>
      </c>
      <c r="I870" s="59" t="str">
        <f>IF(B870="","",IFERROR(INDEX(pr_unit,MATCH(B870,pr_code,0))&amp;"",""))</f>
        <v/>
      </c>
      <c r="J870" s="65" t="str">
        <f>IF(COUNTA(A870:G870)=0,"",IF(E870&lt;&gt;"",E870,IF(B870="","",IFERROR(IF(INDEX(pr_price,MATCH(B870,pr_code,0))="","",INDEX(pr_price,MATCH(B870,pr_code,0))),""))))</f>
        <v/>
      </c>
      <c r="K870" s="71" t="str">
        <f>IF(COUNTA(A870:G870)=0,"",IF(G870&lt;&gt;"",G870,IF(B870="","",IFERROR(IF(INDEX(pr_rate,MATCH(B870,pr_code,0))="","",INDEX(pr_rate,MATCH(B870,pr_code,0))),""))))</f>
        <v/>
      </c>
      <c r="L870" s="65" t="str">
        <f>IF(COUNTA(A870:G870)=0,"",IF(AND(ISNUMBER(D870),ISNUMBER(J870)),ROUND(D870*J870*(1-N(F870)),2),0))</f>
        <v/>
      </c>
      <c r="M870" s="62" t="str">
        <f>IF(A870="","",IFERROR(INDEX(fa_cname,MATCH(A870,fa_num,0))&amp;"",""))</f>
        <v/>
      </c>
      <c r="N870" s="59" t="str">
        <f>IF(COUNTA(A870:G870)=0,"",IF(A870="","N° facture manquant",IF(ISNA(MATCH(A870,fa_num,0)),"Facture inconnue",IF(AND(B870&lt;&gt;"",ISNA(MATCH(B870,pr_code,0))),"Article inconnu",IF(H870="","Désignation manquante",IF(OR(NOT(ISNUMBER(D870)),N(D870)&lt;=0),"Quantité invalide",IF(J870="","Prix manquant",IF(OR(NOT(ISNUMBER(J870)),N(J870)&lt;0),"Prix invalide",IF(OR(AND(F870&lt;&gt;"",NOT(ISNUMBER(F870))),N(F870)&lt;0,N(F870)&gt;1),"Remise invalide",IF(K870="","Taux de TVA manquant",IF(NOT(ISNUMBER(K870)),"Taux de TVA invalide",IF(COUNTIF(p_rates,K870)=0,"Taux de TVA hors liste (Paramètres)",IF(N(O870)&gt;25,"Au-delà de 25 lignes : non imprimée","OK")))))))))))))</f>
        <v/>
      </c>
      <c r="O870" s="59" t="str">
        <f>IF(A870="","",COUNTIF($A$6:A870,A870))</f>
        <v/>
      </c>
      <c r="P870" s="62" t="str">
        <f>IF(A870="","",A870&amp;"|"&amp;O870)</f>
        <v/>
      </c>
    </row>
    <row r="871">
      <c r="A871" s="60" t="n"/>
      <c r="B871" s="63" t="n"/>
      <c r="C871" s="63" t="n"/>
      <c r="D871" s="67" t="n"/>
      <c r="E871" s="68" t="n"/>
      <c r="F871" s="69" t="n"/>
      <c r="G871" s="70" t="n"/>
      <c r="H871" s="62" t="str">
        <f>IF(COUNTA(A871:G871)=0,"",IF(C871&lt;&gt;"",C871,IF(B871="","",IFERROR(INDEX(pr_des,MATCH(B871,pr_code,0))&amp;"",""))))</f>
        <v/>
      </c>
      <c r="I871" s="59" t="str">
        <f>IF(B871="","",IFERROR(INDEX(pr_unit,MATCH(B871,pr_code,0))&amp;"",""))</f>
        <v/>
      </c>
      <c r="J871" s="65" t="str">
        <f>IF(COUNTA(A871:G871)=0,"",IF(E871&lt;&gt;"",E871,IF(B871="","",IFERROR(IF(INDEX(pr_price,MATCH(B871,pr_code,0))="","",INDEX(pr_price,MATCH(B871,pr_code,0))),""))))</f>
        <v/>
      </c>
      <c r="K871" s="71" t="str">
        <f>IF(COUNTA(A871:G871)=0,"",IF(G871&lt;&gt;"",G871,IF(B871="","",IFERROR(IF(INDEX(pr_rate,MATCH(B871,pr_code,0))="","",INDEX(pr_rate,MATCH(B871,pr_code,0))),""))))</f>
        <v/>
      </c>
      <c r="L871" s="65" t="str">
        <f>IF(COUNTA(A871:G871)=0,"",IF(AND(ISNUMBER(D871),ISNUMBER(J871)),ROUND(D871*J871*(1-N(F871)),2),0))</f>
        <v/>
      </c>
      <c r="M871" s="62" t="str">
        <f>IF(A871="","",IFERROR(INDEX(fa_cname,MATCH(A871,fa_num,0))&amp;"",""))</f>
        <v/>
      </c>
      <c r="N871" s="59" t="str">
        <f>IF(COUNTA(A871:G871)=0,"",IF(A871="","N° facture manquant",IF(ISNA(MATCH(A871,fa_num,0)),"Facture inconnue",IF(AND(B871&lt;&gt;"",ISNA(MATCH(B871,pr_code,0))),"Article inconnu",IF(H871="","Désignation manquante",IF(OR(NOT(ISNUMBER(D871)),N(D871)&lt;=0),"Quantité invalide",IF(J871="","Prix manquant",IF(OR(NOT(ISNUMBER(J871)),N(J871)&lt;0),"Prix invalide",IF(OR(AND(F871&lt;&gt;"",NOT(ISNUMBER(F871))),N(F871)&lt;0,N(F871)&gt;1),"Remise invalide",IF(K871="","Taux de TVA manquant",IF(NOT(ISNUMBER(K871)),"Taux de TVA invalide",IF(COUNTIF(p_rates,K871)=0,"Taux de TVA hors liste (Paramètres)",IF(N(O871)&gt;25,"Au-delà de 25 lignes : non imprimée","OK")))))))))))))</f>
        <v/>
      </c>
      <c r="O871" s="59" t="str">
        <f>IF(A871="","",COUNTIF($A$6:A871,A871))</f>
        <v/>
      </c>
      <c r="P871" s="62" t="str">
        <f>IF(A871="","",A871&amp;"|"&amp;O871)</f>
        <v/>
      </c>
    </row>
    <row r="872">
      <c r="A872" s="60" t="n"/>
      <c r="B872" s="63" t="n"/>
      <c r="C872" s="63" t="n"/>
      <c r="D872" s="67" t="n"/>
      <c r="E872" s="68" t="n"/>
      <c r="F872" s="69" t="n"/>
      <c r="G872" s="70" t="n"/>
      <c r="H872" s="62" t="str">
        <f>IF(COUNTA(A872:G872)=0,"",IF(C872&lt;&gt;"",C872,IF(B872="","",IFERROR(INDEX(pr_des,MATCH(B872,pr_code,0))&amp;"",""))))</f>
        <v/>
      </c>
      <c r="I872" s="59" t="str">
        <f>IF(B872="","",IFERROR(INDEX(pr_unit,MATCH(B872,pr_code,0))&amp;"",""))</f>
        <v/>
      </c>
      <c r="J872" s="65" t="str">
        <f>IF(COUNTA(A872:G872)=0,"",IF(E872&lt;&gt;"",E872,IF(B872="","",IFERROR(IF(INDEX(pr_price,MATCH(B872,pr_code,0))="","",INDEX(pr_price,MATCH(B872,pr_code,0))),""))))</f>
        <v/>
      </c>
      <c r="K872" s="71" t="str">
        <f>IF(COUNTA(A872:G872)=0,"",IF(G872&lt;&gt;"",G872,IF(B872="","",IFERROR(IF(INDEX(pr_rate,MATCH(B872,pr_code,0))="","",INDEX(pr_rate,MATCH(B872,pr_code,0))),""))))</f>
        <v/>
      </c>
      <c r="L872" s="65" t="str">
        <f>IF(COUNTA(A872:G872)=0,"",IF(AND(ISNUMBER(D872),ISNUMBER(J872)),ROUND(D872*J872*(1-N(F872)),2),0))</f>
        <v/>
      </c>
      <c r="M872" s="62" t="str">
        <f>IF(A872="","",IFERROR(INDEX(fa_cname,MATCH(A872,fa_num,0))&amp;"",""))</f>
        <v/>
      </c>
      <c r="N872" s="59" t="str">
        <f>IF(COUNTA(A872:G872)=0,"",IF(A872="","N° facture manquant",IF(ISNA(MATCH(A872,fa_num,0)),"Facture inconnue",IF(AND(B872&lt;&gt;"",ISNA(MATCH(B872,pr_code,0))),"Article inconnu",IF(H872="","Désignation manquante",IF(OR(NOT(ISNUMBER(D872)),N(D872)&lt;=0),"Quantité invalide",IF(J872="","Prix manquant",IF(OR(NOT(ISNUMBER(J872)),N(J872)&lt;0),"Prix invalide",IF(OR(AND(F872&lt;&gt;"",NOT(ISNUMBER(F872))),N(F872)&lt;0,N(F872)&gt;1),"Remise invalide",IF(K872="","Taux de TVA manquant",IF(NOT(ISNUMBER(K872)),"Taux de TVA invalide",IF(COUNTIF(p_rates,K872)=0,"Taux de TVA hors liste (Paramètres)",IF(N(O872)&gt;25,"Au-delà de 25 lignes : non imprimée","OK")))))))))))))</f>
        <v/>
      </c>
      <c r="O872" s="59" t="str">
        <f>IF(A872="","",COUNTIF($A$6:A872,A872))</f>
        <v/>
      </c>
      <c r="P872" s="62" t="str">
        <f>IF(A872="","",A872&amp;"|"&amp;O872)</f>
        <v/>
      </c>
    </row>
    <row r="873">
      <c r="A873" s="60" t="n"/>
      <c r="B873" s="63" t="n"/>
      <c r="C873" s="63" t="n"/>
      <c r="D873" s="67" t="n"/>
      <c r="E873" s="68" t="n"/>
      <c r="F873" s="69" t="n"/>
      <c r="G873" s="70" t="n"/>
      <c r="H873" s="62" t="str">
        <f>IF(COUNTA(A873:G873)=0,"",IF(C873&lt;&gt;"",C873,IF(B873="","",IFERROR(INDEX(pr_des,MATCH(B873,pr_code,0))&amp;"",""))))</f>
        <v/>
      </c>
      <c r="I873" s="59" t="str">
        <f>IF(B873="","",IFERROR(INDEX(pr_unit,MATCH(B873,pr_code,0))&amp;"",""))</f>
        <v/>
      </c>
      <c r="J873" s="65" t="str">
        <f>IF(COUNTA(A873:G873)=0,"",IF(E873&lt;&gt;"",E873,IF(B873="","",IFERROR(IF(INDEX(pr_price,MATCH(B873,pr_code,0))="","",INDEX(pr_price,MATCH(B873,pr_code,0))),""))))</f>
        <v/>
      </c>
      <c r="K873" s="71" t="str">
        <f>IF(COUNTA(A873:G873)=0,"",IF(G873&lt;&gt;"",G873,IF(B873="","",IFERROR(IF(INDEX(pr_rate,MATCH(B873,pr_code,0))="","",INDEX(pr_rate,MATCH(B873,pr_code,0))),""))))</f>
        <v/>
      </c>
      <c r="L873" s="65" t="str">
        <f>IF(COUNTA(A873:G873)=0,"",IF(AND(ISNUMBER(D873),ISNUMBER(J873)),ROUND(D873*J873*(1-N(F873)),2),0))</f>
        <v/>
      </c>
      <c r="M873" s="62" t="str">
        <f>IF(A873="","",IFERROR(INDEX(fa_cname,MATCH(A873,fa_num,0))&amp;"",""))</f>
        <v/>
      </c>
      <c r="N873" s="59" t="str">
        <f>IF(COUNTA(A873:G873)=0,"",IF(A873="","N° facture manquant",IF(ISNA(MATCH(A873,fa_num,0)),"Facture inconnue",IF(AND(B873&lt;&gt;"",ISNA(MATCH(B873,pr_code,0))),"Article inconnu",IF(H873="","Désignation manquante",IF(OR(NOT(ISNUMBER(D873)),N(D873)&lt;=0),"Quantité invalide",IF(J873="","Prix manquant",IF(OR(NOT(ISNUMBER(J873)),N(J873)&lt;0),"Prix invalide",IF(OR(AND(F873&lt;&gt;"",NOT(ISNUMBER(F873))),N(F873)&lt;0,N(F873)&gt;1),"Remise invalide",IF(K873="","Taux de TVA manquant",IF(NOT(ISNUMBER(K873)),"Taux de TVA invalide",IF(COUNTIF(p_rates,K873)=0,"Taux de TVA hors liste (Paramètres)",IF(N(O873)&gt;25,"Au-delà de 25 lignes : non imprimée","OK")))))))))))))</f>
        <v/>
      </c>
      <c r="O873" s="59" t="str">
        <f>IF(A873="","",COUNTIF($A$6:A873,A873))</f>
        <v/>
      </c>
      <c r="P873" s="62" t="str">
        <f>IF(A873="","",A873&amp;"|"&amp;O873)</f>
        <v/>
      </c>
    </row>
    <row r="874">
      <c r="A874" s="60" t="n"/>
      <c r="B874" s="63" t="n"/>
      <c r="C874" s="63" t="n"/>
      <c r="D874" s="67" t="n"/>
      <c r="E874" s="68" t="n"/>
      <c r="F874" s="69" t="n"/>
      <c r="G874" s="70" t="n"/>
      <c r="H874" s="62" t="str">
        <f>IF(COUNTA(A874:G874)=0,"",IF(C874&lt;&gt;"",C874,IF(B874="","",IFERROR(INDEX(pr_des,MATCH(B874,pr_code,0))&amp;"",""))))</f>
        <v/>
      </c>
      <c r="I874" s="59" t="str">
        <f>IF(B874="","",IFERROR(INDEX(pr_unit,MATCH(B874,pr_code,0))&amp;"",""))</f>
        <v/>
      </c>
      <c r="J874" s="65" t="str">
        <f>IF(COUNTA(A874:G874)=0,"",IF(E874&lt;&gt;"",E874,IF(B874="","",IFERROR(IF(INDEX(pr_price,MATCH(B874,pr_code,0))="","",INDEX(pr_price,MATCH(B874,pr_code,0))),""))))</f>
        <v/>
      </c>
      <c r="K874" s="71" t="str">
        <f>IF(COUNTA(A874:G874)=0,"",IF(G874&lt;&gt;"",G874,IF(B874="","",IFERROR(IF(INDEX(pr_rate,MATCH(B874,pr_code,0))="","",INDEX(pr_rate,MATCH(B874,pr_code,0))),""))))</f>
        <v/>
      </c>
      <c r="L874" s="65" t="str">
        <f>IF(COUNTA(A874:G874)=0,"",IF(AND(ISNUMBER(D874),ISNUMBER(J874)),ROUND(D874*J874*(1-N(F874)),2),0))</f>
        <v/>
      </c>
      <c r="M874" s="62" t="str">
        <f>IF(A874="","",IFERROR(INDEX(fa_cname,MATCH(A874,fa_num,0))&amp;"",""))</f>
        <v/>
      </c>
      <c r="N874" s="59" t="str">
        <f>IF(COUNTA(A874:G874)=0,"",IF(A874="","N° facture manquant",IF(ISNA(MATCH(A874,fa_num,0)),"Facture inconnue",IF(AND(B874&lt;&gt;"",ISNA(MATCH(B874,pr_code,0))),"Article inconnu",IF(H874="","Désignation manquante",IF(OR(NOT(ISNUMBER(D874)),N(D874)&lt;=0),"Quantité invalide",IF(J874="","Prix manquant",IF(OR(NOT(ISNUMBER(J874)),N(J874)&lt;0),"Prix invalide",IF(OR(AND(F874&lt;&gt;"",NOT(ISNUMBER(F874))),N(F874)&lt;0,N(F874)&gt;1),"Remise invalide",IF(K874="","Taux de TVA manquant",IF(NOT(ISNUMBER(K874)),"Taux de TVA invalide",IF(COUNTIF(p_rates,K874)=0,"Taux de TVA hors liste (Paramètres)",IF(N(O874)&gt;25,"Au-delà de 25 lignes : non imprimée","OK")))))))))))))</f>
        <v/>
      </c>
      <c r="O874" s="59" t="str">
        <f>IF(A874="","",COUNTIF($A$6:A874,A874))</f>
        <v/>
      </c>
      <c r="P874" s="62" t="str">
        <f>IF(A874="","",A874&amp;"|"&amp;O874)</f>
        <v/>
      </c>
    </row>
    <row r="875">
      <c r="A875" s="60" t="n"/>
      <c r="B875" s="63" t="n"/>
      <c r="C875" s="63" t="n"/>
      <c r="D875" s="67" t="n"/>
      <c r="E875" s="68" t="n"/>
      <c r="F875" s="69" t="n"/>
      <c r="G875" s="70" t="n"/>
      <c r="H875" s="62" t="str">
        <f>IF(COUNTA(A875:G875)=0,"",IF(C875&lt;&gt;"",C875,IF(B875="","",IFERROR(INDEX(pr_des,MATCH(B875,pr_code,0))&amp;"",""))))</f>
        <v/>
      </c>
      <c r="I875" s="59" t="str">
        <f>IF(B875="","",IFERROR(INDEX(pr_unit,MATCH(B875,pr_code,0))&amp;"",""))</f>
        <v/>
      </c>
      <c r="J875" s="65" t="str">
        <f>IF(COUNTA(A875:G875)=0,"",IF(E875&lt;&gt;"",E875,IF(B875="","",IFERROR(IF(INDEX(pr_price,MATCH(B875,pr_code,0))="","",INDEX(pr_price,MATCH(B875,pr_code,0))),""))))</f>
        <v/>
      </c>
      <c r="K875" s="71" t="str">
        <f>IF(COUNTA(A875:G875)=0,"",IF(G875&lt;&gt;"",G875,IF(B875="","",IFERROR(IF(INDEX(pr_rate,MATCH(B875,pr_code,0))="","",INDEX(pr_rate,MATCH(B875,pr_code,0))),""))))</f>
        <v/>
      </c>
      <c r="L875" s="65" t="str">
        <f>IF(COUNTA(A875:G875)=0,"",IF(AND(ISNUMBER(D875),ISNUMBER(J875)),ROUND(D875*J875*(1-N(F875)),2),0))</f>
        <v/>
      </c>
      <c r="M875" s="62" t="str">
        <f>IF(A875="","",IFERROR(INDEX(fa_cname,MATCH(A875,fa_num,0))&amp;"",""))</f>
        <v/>
      </c>
      <c r="N875" s="59" t="str">
        <f>IF(COUNTA(A875:G875)=0,"",IF(A875="","N° facture manquant",IF(ISNA(MATCH(A875,fa_num,0)),"Facture inconnue",IF(AND(B875&lt;&gt;"",ISNA(MATCH(B875,pr_code,0))),"Article inconnu",IF(H875="","Désignation manquante",IF(OR(NOT(ISNUMBER(D875)),N(D875)&lt;=0),"Quantité invalide",IF(J875="","Prix manquant",IF(OR(NOT(ISNUMBER(J875)),N(J875)&lt;0),"Prix invalide",IF(OR(AND(F875&lt;&gt;"",NOT(ISNUMBER(F875))),N(F875)&lt;0,N(F875)&gt;1),"Remise invalide",IF(K875="","Taux de TVA manquant",IF(NOT(ISNUMBER(K875)),"Taux de TVA invalide",IF(COUNTIF(p_rates,K875)=0,"Taux de TVA hors liste (Paramètres)",IF(N(O875)&gt;25,"Au-delà de 25 lignes : non imprimée","OK")))))))))))))</f>
        <v/>
      </c>
      <c r="O875" s="59" t="str">
        <f>IF(A875="","",COUNTIF($A$6:A875,A875))</f>
        <v/>
      </c>
      <c r="P875" s="62" t="str">
        <f>IF(A875="","",A875&amp;"|"&amp;O875)</f>
        <v/>
      </c>
    </row>
    <row r="876">
      <c r="A876" s="60" t="n"/>
      <c r="B876" s="63" t="n"/>
      <c r="C876" s="63" t="n"/>
      <c r="D876" s="67" t="n"/>
      <c r="E876" s="68" t="n"/>
      <c r="F876" s="69" t="n"/>
      <c r="G876" s="70" t="n"/>
      <c r="H876" s="62" t="str">
        <f>IF(COUNTA(A876:G876)=0,"",IF(C876&lt;&gt;"",C876,IF(B876="","",IFERROR(INDEX(pr_des,MATCH(B876,pr_code,0))&amp;"",""))))</f>
        <v/>
      </c>
      <c r="I876" s="59" t="str">
        <f>IF(B876="","",IFERROR(INDEX(pr_unit,MATCH(B876,pr_code,0))&amp;"",""))</f>
        <v/>
      </c>
      <c r="J876" s="65" t="str">
        <f>IF(COUNTA(A876:G876)=0,"",IF(E876&lt;&gt;"",E876,IF(B876="","",IFERROR(IF(INDEX(pr_price,MATCH(B876,pr_code,0))="","",INDEX(pr_price,MATCH(B876,pr_code,0))),""))))</f>
        <v/>
      </c>
      <c r="K876" s="71" t="str">
        <f>IF(COUNTA(A876:G876)=0,"",IF(G876&lt;&gt;"",G876,IF(B876="","",IFERROR(IF(INDEX(pr_rate,MATCH(B876,pr_code,0))="","",INDEX(pr_rate,MATCH(B876,pr_code,0))),""))))</f>
        <v/>
      </c>
      <c r="L876" s="65" t="str">
        <f>IF(COUNTA(A876:G876)=0,"",IF(AND(ISNUMBER(D876),ISNUMBER(J876)),ROUND(D876*J876*(1-N(F876)),2),0))</f>
        <v/>
      </c>
      <c r="M876" s="62" t="str">
        <f>IF(A876="","",IFERROR(INDEX(fa_cname,MATCH(A876,fa_num,0))&amp;"",""))</f>
        <v/>
      </c>
      <c r="N876" s="59" t="str">
        <f>IF(COUNTA(A876:G876)=0,"",IF(A876="","N° facture manquant",IF(ISNA(MATCH(A876,fa_num,0)),"Facture inconnue",IF(AND(B876&lt;&gt;"",ISNA(MATCH(B876,pr_code,0))),"Article inconnu",IF(H876="","Désignation manquante",IF(OR(NOT(ISNUMBER(D876)),N(D876)&lt;=0),"Quantité invalide",IF(J876="","Prix manquant",IF(OR(NOT(ISNUMBER(J876)),N(J876)&lt;0),"Prix invalide",IF(OR(AND(F876&lt;&gt;"",NOT(ISNUMBER(F876))),N(F876)&lt;0,N(F876)&gt;1),"Remise invalide",IF(K876="","Taux de TVA manquant",IF(NOT(ISNUMBER(K876)),"Taux de TVA invalide",IF(COUNTIF(p_rates,K876)=0,"Taux de TVA hors liste (Paramètres)",IF(N(O876)&gt;25,"Au-delà de 25 lignes : non imprimée","OK")))))))))))))</f>
        <v/>
      </c>
      <c r="O876" s="59" t="str">
        <f>IF(A876="","",COUNTIF($A$6:A876,A876))</f>
        <v/>
      </c>
      <c r="P876" s="62" t="str">
        <f>IF(A876="","",A876&amp;"|"&amp;O876)</f>
        <v/>
      </c>
    </row>
    <row r="877">
      <c r="A877" s="60" t="n"/>
      <c r="B877" s="63" t="n"/>
      <c r="C877" s="63" t="n"/>
      <c r="D877" s="67" t="n"/>
      <c r="E877" s="68" t="n"/>
      <c r="F877" s="69" t="n"/>
      <c r="G877" s="70" t="n"/>
      <c r="H877" s="62" t="str">
        <f>IF(COUNTA(A877:G877)=0,"",IF(C877&lt;&gt;"",C877,IF(B877="","",IFERROR(INDEX(pr_des,MATCH(B877,pr_code,0))&amp;"",""))))</f>
        <v/>
      </c>
      <c r="I877" s="59" t="str">
        <f>IF(B877="","",IFERROR(INDEX(pr_unit,MATCH(B877,pr_code,0))&amp;"",""))</f>
        <v/>
      </c>
      <c r="J877" s="65" t="str">
        <f>IF(COUNTA(A877:G877)=0,"",IF(E877&lt;&gt;"",E877,IF(B877="","",IFERROR(IF(INDEX(pr_price,MATCH(B877,pr_code,0))="","",INDEX(pr_price,MATCH(B877,pr_code,0))),""))))</f>
        <v/>
      </c>
      <c r="K877" s="71" t="str">
        <f>IF(COUNTA(A877:G877)=0,"",IF(G877&lt;&gt;"",G877,IF(B877="","",IFERROR(IF(INDEX(pr_rate,MATCH(B877,pr_code,0))="","",INDEX(pr_rate,MATCH(B877,pr_code,0))),""))))</f>
        <v/>
      </c>
      <c r="L877" s="65" t="str">
        <f>IF(COUNTA(A877:G877)=0,"",IF(AND(ISNUMBER(D877),ISNUMBER(J877)),ROUND(D877*J877*(1-N(F877)),2),0))</f>
        <v/>
      </c>
      <c r="M877" s="62" t="str">
        <f>IF(A877="","",IFERROR(INDEX(fa_cname,MATCH(A877,fa_num,0))&amp;"",""))</f>
        <v/>
      </c>
      <c r="N877" s="59" t="str">
        <f>IF(COUNTA(A877:G877)=0,"",IF(A877="","N° facture manquant",IF(ISNA(MATCH(A877,fa_num,0)),"Facture inconnue",IF(AND(B877&lt;&gt;"",ISNA(MATCH(B877,pr_code,0))),"Article inconnu",IF(H877="","Désignation manquante",IF(OR(NOT(ISNUMBER(D877)),N(D877)&lt;=0),"Quantité invalide",IF(J877="","Prix manquant",IF(OR(NOT(ISNUMBER(J877)),N(J877)&lt;0),"Prix invalide",IF(OR(AND(F877&lt;&gt;"",NOT(ISNUMBER(F877))),N(F877)&lt;0,N(F877)&gt;1),"Remise invalide",IF(K877="","Taux de TVA manquant",IF(NOT(ISNUMBER(K877)),"Taux de TVA invalide",IF(COUNTIF(p_rates,K877)=0,"Taux de TVA hors liste (Paramètres)",IF(N(O877)&gt;25,"Au-delà de 25 lignes : non imprimée","OK")))))))))))))</f>
        <v/>
      </c>
      <c r="O877" s="59" t="str">
        <f>IF(A877="","",COUNTIF($A$6:A877,A877))</f>
        <v/>
      </c>
      <c r="P877" s="62" t="str">
        <f>IF(A877="","",A877&amp;"|"&amp;O877)</f>
        <v/>
      </c>
    </row>
    <row r="878">
      <c r="A878" s="60" t="n"/>
      <c r="B878" s="63" t="n"/>
      <c r="C878" s="63" t="n"/>
      <c r="D878" s="67" t="n"/>
      <c r="E878" s="68" t="n"/>
      <c r="F878" s="69" t="n"/>
      <c r="G878" s="70" t="n"/>
      <c r="H878" s="62" t="str">
        <f>IF(COUNTA(A878:G878)=0,"",IF(C878&lt;&gt;"",C878,IF(B878="","",IFERROR(INDEX(pr_des,MATCH(B878,pr_code,0))&amp;"",""))))</f>
        <v/>
      </c>
      <c r="I878" s="59" t="str">
        <f>IF(B878="","",IFERROR(INDEX(pr_unit,MATCH(B878,pr_code,0))&amp;"",""))</f>
        <v/>
      </c>
      <c r="J878" s="65" t="str">
        <f>IF(COUNTA(A878:G878)=0,"",IF(E878&lt;&gt;"",E878,IF(B878="","",IFERROR(IF(INDEX(pr_price,MATCH(B878,pr_code,0))="","",INDEX(pr_price,MATCH(B878,pr_code,0))),""))))</f>
        <v/>
      </c>
      <c r="K878" s="71" t="str">
        <f>IF(COUNTA(A878:G878)=0,"",IF(G878&lt;&gt;"",G878,IF(B878="","",IFERROR(IF(INDEX(pr_rate,MATCH(B878,pr_code,0))="","",INDEX(pr_rate,MATCH(B878,pr_code,0))),""))))</f>
        <v/>
      </c>
      <c r="L878" s="65" t="str">
        <f>IF(COUNTA(A878:G878)=0,"",IF(AND(ISNUMBER(D878),ISNUMBER(J878)),ROUND(D878*J878*(1-N(F878)),2),0))</f>
        <v/>
      </c>
      <c r="M878" s="62" t="str">
        <f>IF(A878="","",IFERROR(INDEX(fa_cname,MATCH(A878,fa_num,0))&amp;"",""))</f>
        <v/>
      </c>
      <c r="N878" s="59" t="str">
        <f>IF(COUNTA(A878:G878)=0,"",IF(A878="","N° facture manquant",IF(ISNA(MATCH(A878,fa_num,0)),"Facture inconnue",IF(AND(B878&lt;&gt;"",ISNA(MATCH(B878,pr_code,0))),"Article inconnu",IF(H878="","Désignation manquante",IF(OR(NOT(ISNUMBER(D878)),N(D878)&lt;=0),"Quantité invalide",IF(J878="","Prix manquant",IF(OR(NOT(ISNUMBER(J878)),N(J878)&lt;0),"Prix invalide",IF(OR(AND(F878&lt;&gt;"",NOT(ISNUMBER(F878))),N(F878)&lt;0,N(F878)&gt;1),"Remise invalide",IF(K878="","Taux de TVA manquant",IF(NOT(ISNUMBER(K878)),"Taux de TVA invalide",IF(COUNTIF(p_rates,K878)=0,"Taux de TVA hors liste (Paramètres)",IF(N(O878)&gt;25,"Au-delà de 25 lignes : non imprimée","OK")))))))))))))</f>
        <v/>
      </c>
      <c r="O878" s="59" t="str">
        <f>IF(A878="","",COUNTIF($A$6:A878,A878))</f>
        <v/>
      </c>
      <c r="P878" s="62" t="str">
        <f>IF(A878="","",A878&amp;"|"&amp;O878)</f>
        <v/>
      </c>
    </row>
    <row r="879">
      <c r="A879" s="60" t="n"/>
      <c r="B879" s="63" t="n"/>
      <c r="C879" s="63" t="n"/>
      <c r="D879" s="67" t="n"/>
      <c r="E879" s="68" t="n"/>
      <c r="F879" s="69" t="n"/>
      <c r="G879" s="70" t="n"/>
      <c r="H879" s="62" t="str">
        <f>IF(COUNTA(A879:G879)=0,"",IF(C879&lt;&gt;"",C879,IF(B879="","",IFERROR(INDEX(pr_des,MATCH(B879,pr_code,0))&amp;"",""))))</f>
        <v/>
      </c>
      <c r="I879" s="59" t="str">
        <f>IF(B879="","",IFERROR(INDEX(pr_unit,MATCH(B879,pr_code,0))&amp;"",""))</f>
        <v/>
      </c>
      <c r="J879" s="65" t="str">
        <f>IF(COUNTA(A879:G879)=0,"",IF(E879&lt;&gt;"",E879,IF(B879="","",IFERROR(IF(INDEX(pr_price,MATCH(B879,pr_code,0))="","",INDEX(pr_price,MATCH(B879,pr_code,0))),""))))</f>
        <v/>
      </c>
      <c r="K879" s="71" t="str">
        <f>IF(COUNTA(A879:G879)=0,"",IF(G879&lt;&gt;"",G879,IF(B879="","",IFERROR(IF(INDEX(pr_rate,MATCH(B879,pr_code,0))="","",INDEX(pr_rate,MATCH(B879,pr_code,0))),""))))</f>
        <v/>
      </c>
      <c r="L879" s="65" t="str">
        <f>IF(COUNTA(A879:G879)=0,"",IF(AND(ISNUMBER(D879),ISNUMBER(J879)),ROUND(D879*J879*(1-N(F879)),2),0))</f>
        <v/>
      </c>
      <c r="M879" s="62" t="str">
        <f>IF(A879="","",IFERROR(INDEX(fa_cname,MATCH(A879,fa_num,0))&amp;"",""))</f>
        <v/>
      </c>
      <c r="N879" s="59" t="str">
        <f>IF(COUNTA(A879:G879)=0,"",IF(A879="","N° facture manquant",IF(ISNA(MATCH(A879,fa_num,0)),"Facture inconnue",IF(AND(B879&lt;&gt;"",ISNA(MATCH(B879,pr_code,0))),"Article inconnu",IF(H879="","Désignation manquante",IF(OR(NOT(ISNUMBER(D879)),N(D879)&lt;=0),"Quantité invalide",IF(J879="","Prix manquant",IF(OR(NOT(ISNUMBER(J879)),N(J879)&lt;0),"Prix invalide",IF(OR(AND(F879&lt;&gt;"",NOT(ISNUMBER(F879))),N(F879)&lt;0,N(F879)&gt;1),"Remise invalide",IF(K879="","Taux de TVA manquant",IF(NOT(ISNUMBER(K879)),"Taux de TVA invalide",IF(COUNTIF(p_rates,K879)=0,"Taux de TVA hors liste (Paramètres)",IF(N(O879)&gt;25,"Au-delà de 25 lignes : non imprimée","OK")))))))))))))</f>
        <v/>
      </c>
      <c r="O879" s="59" t="str">
        <f>IF(A879="","",COUNTIF($A$6:A879,A879))</f>
        <v/>
      </c>
      <c r="P879" s="62" t="str">
        <f>IF(A879="","",A879&amp;"|"&amp;O879)</f>
        <v/>
      </c>
    </row>
    <row r="880">
      <c r="A880" s="60" t="n"/>
      <c r="B880" s="63" t="n"/>
      <c r="C880" s="63" t="n"/>
      <c r="D880" s="67" t="n"/>
      <c r="E880" s="68" t="n"/>
      <c r="F880" s="69" t="n"/>
      <c r="G880" s="70" t="n"/>
      <c r="H880" s="62" t="str">
        <f>IF(COUNTA(A880:G880)=0,"",IF(C880&lt;&gt;"",C880,IF(B880="","",IFERROR(INDEX(pr_des,MATCH(B880,pr_code,0))&amp;"",""))))</f>
        <v/>
      </c>
      <c r="I880" s="59" t="str">
        <f>IF(B880="","",IFERROR(INDEX(pr_unit,MATCH(B880,pr_code,0))&amp;"",""))</f>
        <v/>
      </c>
      <c r="J880" s="65" t="str">
        <f>IF(COUNTA(A880:G880)=0,"",IF(E880&lt;&gt;"",E880,IF(B880="","",IFERROR(IF(INDEX(pr_price,MATCH(B880,pr_code,0))="","",INDEX(pr_price,MATCH(B880,pr_code,0))),""))))</f>
        <v/>
      </c>
      <c r="K880" s="71" t="str">
        <f>IF(COUNTA(A880:G880)=0,"",IF(G880&lt;&gt;"",G880,IF(B880="","",IFERROR(IF(INDEX(pr_rate,MATCH(B880,pr_code,0))="","",INDEX(pr_rate,MATCH(B880,pr_code,0))),""))))</f>
        <v/>
      </c>
      <c r="L880" s="65" t="str">
        <f>IF(COUNTA(A880:G880)=0,"",IF(AND(ISNUMBER(D880),ISNUMBER(J880)),ROUND(D880*J880*(1-N(F880)),2),0))</f>
        <v/>
      </c>
      <c r="M880" s="62" t="str">
        <f>IF(A880="","",IFERROR(INDEX(fa_cname,MATCH(A880,fa_num,0))&amp;"",""))</f>
        <v/>
      </c>
      <c r="N880" s="59" t="str">
        <f>IF(COUNTA(A880:G880)=0,"",IF(A880="","N° facture manquant",IF(ISNA(MATCH(A880,fa_num,0)),"Facture inconnue",IF(AND(B880&lt;&gt;"",ISNA(MATCH(B880,pr_code,0))),"Article inconnu",IF(H880="","Désignation manquante",IF(OR(NOT(ISNUMBER(D880)),N(D880)&lt;=0),"Quantité invalide",IF(J880="","Prix manquant",IF(OR(NOT(ISNUMBER(J880)),N(J880)&lt;0),"Prix invalide",IF(OR(AND(F880&lt;&gt;"",NOT(ISNUMBER(F880))),N(F880)&lt;0,N(F880)&gt;1),"Remise invalide",IF(K880="","Taux de TVA manquant",IF(NOT(ISNUMBER(K880)),"Taux de TVA invalide",IF(COUNTIF(p_rates,K880)=0,"Taux de TVA hors liste (Paramètres)",IF(N(O880)&gt;25,"Au-delà de 25 lignes : non imprimée","OK")))))))))))))</f>
        <v/>
      </c>
      <c r="O880" s="59" t="str">
        <f>IF(A880="","",COUNTIF($A$6:A880,A880))</f>
        <v/>
      </c>
      <c r="P880" s="62" t="str">
        <f>IF(A880="","",A880&amp;"|"&amp;O880)</f>
        <v/>
      </c>
    </row>
    <row r="881">
      <c r="A881" s="60" t="n"/>
      <c r="B881" s="63" t="n"/>
      <c r="C881" s="63" t="n"/>
      <c r="D881" s="67" t="n"/>
      <c r="E881" s="68" t="n"/>
      <c r="F881" s="69" t="n"/>
      <c r="G881" s="70" t="n"/>
      <c r="H881" s="62" t="str">
        <f>IF(COUNTA(A881:G881)=0,"",IF(C881&lt;&gt;"",C881,IF(B881="","",IFERROR(INDEX(pr_des,MATCH(B881,pr_code,0))&amp;"",""))))</f>
        <v/>
      </c>
      <c r="I881" s="59" t="str">
        <f>IF(B881="","",IFERROR(INDEX(pr_unit,MATCH(B881,pr_code,0))&amp;"",""))</f>
        <v/>
      </c>
      <c r="J881" s="65" t="str">
        <f>IF(COUNTA(A881:G881)=0,"",IF(E881&lt;&gt;"",E881,IF(B881="","",IFERROR(IF(INDEX(pr_price,MATCH(B881,pr_code,0))="","",INDEX(pr_price,MATCH(B881,pr_code,0))),""))))</f>
        <v/>
      </c>
      <c r="K881" s="71" t="str">
        <f>IF(COUNTA(A881:G881)=0,"",IF(G881&lt;&gt;"",G881,IF(B881="","",IFERROR(IF(INDEX(pr_rate,MATCH(B881,pr_code,0))="","",INDEX(pr_rate,MATCH(B881,pr_code,0))),""))))</f>
        <v/>
      </c>
      <c r="L881" s="65" t="str">
        <f>IF(COUNTA(A881:G881)=0,"",IF(AND(ISNUMBER(D881),ISNUMBER(J881)),ROUND(D881*J881*(1-N(F881)),2),0))</f>
        <v/>
      </c>
      <c r="M881" s="62" t="str">
        <f>IF(A881="","",IFERROR(INDEX(fa_cname,MATCH(A881,fa_num,0))&amp;"",""))</f>
        <v/>
      </c>
      <c r="N881" s="59" t="str">
        <f>IF(COUNTA(A881:G881)=0,"",IF(A881="","N° facture manquant",IF(ISNA(MATCH(A881,fa_num,0)),"Facture inconnue",IF(AND(B881&lt;&gt;"",ISNA(MATCH(B881,pr_code,0))),"Article inconnu",IF(H881="","Désignation manquante",IF(OR(NOT(ISNUMBER(D881)),N(D881)&lt;=0),"Quantité invalide",IF(J881="","Prix manquant",IF(OR(NOT(ISNUMBER(J881)),N(J881)&lt;0),"Prix invalide",IF(OR(AND(F881&lt;&gt;"",NOT(ISNUMBER(F881))),N(F881)&lt;0,N(F881)&gt;1),"Remise invalide",IF(K881="","Taux de TVA manquant",IF(NOT(ISNUMBER(K881)),"Taux de TVA invalide",IF(COUNTIF(p_rates,K881)=0,"Taux de TVA hors liste (Paramètres)",IF(N(O881)&gt;25,"Au-delà de 25 lignes : non imprimée","OK")))))))))))))</f>
        <v/>
      </c>
      <c r="O881" s="59" t="str">
        <f>IF(A881="","",COUNTIF($A$6:A881,A881))</f>
        <v/>
      </c>
      <c r="P881" s="62" t="str">
        <f>IF(A881="","",A881&amp;"|"&amp;O881)</f>
        <v/>
      </c>
    </row>
    <row r="882">
      <c r="A882" s="60" t="n"/>
      <c r="B882" s="63" t="n"/>
      <c r="C882" s="63" t="n"/>
      <c r="D882" s="67" t="n"/>
      <c r="E882" s="68" t="n"/>
      <c r="F882" s="69" t="n"/>
      <c r="G882" s="70" t="n"/>
      <c r="H882" s="62" t="str">
        <f>IF(COUNTA(A882:G882)=0,"",IF(C882&lt;&gt;"",C882,IF(B882="","",IFERROR(INDEX(pr_des,MATCH(B882,pr_code,0))&amp;"",""))))</f>
        <v/>
      </c>
      <c r="I882" s="59" t="str">
        <f>IF(B882="","",IFERROR(INDEX(pr_unit,MATCH(B882,pr_code,0))&amp;"",""))</f>
        <v/>
      </c>
      <c r="J882" s="65" t="str">
        <f>IF(COUNTA(A882:G882)=0,"",IF(E882&lt;&gt;"",E882,IF(B882="","",IFERROR(IF(INDEX(pr_price,MATCH(B882,pr_code,0))="","",INDEX(pr_price,MATCH(B882,pr_code,0))),""))))</f>
        <v/>
      </c>
      <c r="K882" s="71" t="str">
        <f>IF(COUNTA(A882:G882)=0,"",IF(G882&lt;&gt;"",G882,IF(B882="","",IFERROR(IF(INDEX(pr_rate,MATCH(B882,pr_code,0))="","",INDEX(pr_rate,MATCH(B882,pr_code,0))),""))))</f>
        <v/>
      </c>
      <c r="L882" s="65" t="str">
        <f>IF(COUNTA(A882:G882)=0,"",IF(AND(ISNUMBER(D882),ISNUMBER(J882)),ROUND(D882*J882*(1-N(F882)),2),0))</f>
        <v/>
      </c>
      <c r="M882" s="62" t="str">
        <f>IF(A882="","",IFERROR(INDEX(fa_cname,MATCH(A882,fa_num,0))&amp;"",""))</f>
        <v/>
      </c>
      <c r="N882" s="59" t="str">
        <f>IF(COUNTA(A882:G882)=0,"",IF(A882="","N° facture manquant",IF(ISNA(MATCH(A882,fa_num,0)),"Facture inconnue",IF(AND(B882&lt;&gt;"",ISNA(MATCH(B882,pr_code,0))),"Article inconnu",IF(H882="","Désignation manquante",IF(OR(NOT(ISNUMBER(D882)),N(D882)&lt;=0),"Quantité invalide",IF(J882="","Prix manquant",IF(OR(NOT(ISNUMBER(J882)),N(J882)&lt;0),"Prix invalide",IF(OR(AND(F882&lt;&gt;"",NOT(ISNUMBER(F882))),N(F882)&lt;0,N(F882)&gt;1),"Remise invalide",IF(K882="","Taux de TVA manquant",IF(NOT(ISNUMBER(K882)),"Taux de TVA invalide",IF(COUNTIF(p_rates,K882)=0,"Taux de TVA hors liste (Paramètres)",IF(N(O882)&gt;25,"Au-delà de 25 lignes : non imprimée","OK")))))))))))))</f>
        <v/>
      </c>
      <c r="O882" s="59" t="str">
        <f>IF(A882="","",COUNTIF($A$6:A882,A882))</f>
        <v/>
      </c>
      <c r="P882" s="62" t="str">
        <f>IF(A882="","",A882&amp;"|"&amp;O882)</f>
        <v/>
      </c>
    </row>
    <row r="883">
      <c r="A883" s="60" t="n"/>
      <c r="B883" s="63" t="n"/>
      <c r="C883" s="63" t="n"/>
      <c r="D883" s="67" t="n"/>
      <c r="E883" s="68" t="n"/>
      <c r="F883" s="69" t="n"/>
      <c r="G883" s="70" t="n"/>
      <c r="H883" s="62" t="str">
        <f>IF(COUNTA(A883:G883)=0,"",IF(C883&lt;&gt;"",C883,IF(B883="","",IFERROR(INDEX(pr_des,MATCH(B883,pr_code,0))&amp;"",""))))</f>
        <v/>
      </c>
      <c r="I883" s="59" t="str">
        <f>IF(B883="","",IFERROR(INDEX(pr_unit,MATCH(B883,pr_code,0))&amp;"",""))</f>
        <v/>
      </c>
      <c r="J883" s="65" t="str">
        <f>IF(COUNTA(A883:G883)=0,"",IF(E883&lt;&gt;"",E883,IF(B883="","",IFERROR(IF(INDEX(pr_price,MATCH(B883,pr_code,0))="","",INDEX(pr_price,MATCH(B883,pr_code,0))),""))))</f>
        <v/>
      </c>
      <c r="K883" s="71" t="str">
        <f>IF(COUNTA(A883:G883)=0,"",IF(G883&lt;&gt;"",G883,IF(B883="","",IFERROR(IF(INDEX(pr_rate,MATCH(B883,pr_code,0))="","",INDEX(pr_rate,MATCH(B883,pr_code,0))),""))))</f>
        <v/>
      </c>
      <c r="L883" s="65" t="str">
        <f>IF(COUNTA(A883:G883)=0,"",IF(AND(ISNUMBER(D883),ISNUMBER(J883)),ROUND(D883*J883*(1-N(F883)),2),0))</f>
        <v/>
      </c>
      <c r="M883" s="62" t="str">
        <f>IF(A883="","",IFERROR(INDEX(fa_cname,MATCH(A883,fa_num,0))&amp;"",""))</f>
        <v/>
      </c>
      <c r="N883" s="59" t="str">
        <f>IF(COUNTA(A883:G883)=0,"",IF(A883="","N° facture manquant",IF(ISNA(MATCH(A883,fa_num,0)),"Facture inconnue",IF(AND(B883&lt;&gt;"",ISNA(MATCH(B883,pr_code,0))),"Article inconnu",IF(H883="","Désignation manquante",IF(OR(NOT(ISNUMBER(D883)),N(D883)&lt;=0),"Quantité invalide",IF(J883="","Prix manquant",IF(OR(NOT(ISNUMBER(J883)),N(J883)&lt;0),"Prix invalide",IF(OR(AND(F883&lt;&gt;"",NOT(ISNUMBER(F883))),N(F883)&lt;0,N(F883)&gt;1),"Remise invalide",IF(K883="","Taux de TVA manquant",IF(NOT(ISNUMBER(K883)),"Taux de TVA invalide",IF(COUNTIF(p_rates,K883)=0,"Taux de TVA hors liste (Paramètres)",IF(N(O883)&gt;25,"Au-delà de 25 lignes : non imprimée","OK")))))))))))))</f>
        <v/>
      </c>
      <c r="O883" s="59" t="str">
        <f>IF(A883="","",COUNTIF($A$6:A883,A883))</f>
        <v/>
      </c>
      <c r="P883" s="62" t="str">
        <f>IF(A883="","",A883&amp;"|"&amp;O883)</f>
        <v/>
      </c>
    </row>
    <row r="884">
      <c r="A884" s="60" t="n"/>
      <c r="B884" s="63" t="n"/>
      <c r="C884" s="63" t="n"/>
      <c r="D884" s="67" t="n"/>
      <c r="E884" s="68" t="n"/>
      <c r="F884" s="69" t="n"/>
      <c r="G884" s="70" t="n"/>
      <c r="H884" s="62" t="str">
        <f>IF(COUNTA(A884:G884)=0,"",IF(C884&lt;&gt;"",C884,IF(B884="","",IFERROR(INDEX(pr_des,MATCH(B884,pr_code,0))&amp;"",""))))</f>
        <v/>
      </c>
      <c r="I884" s="59" t="str">
        <f>IF(B884="","",IFERROR(INDEX(pr_unit,MATCH(B884,pr_code,0))&amp;"",""))</f>
        <v/>
      </c>
      <c r="J884" s="65" t="str">
        <f>IF(COUNTA(A884:G884)=0,"",IF(E884&lt;&gt;"",E884,IF(B884="","",IFERROR(IF(INDEX(pr_price,MATCH(B884,pr_code,0))="","",INDEX(pr_price,MATCH(B884,pr_code,0))),""))))</f>
        <v/>
      </c>
      <c r="K884" s="71" t="str">
        <f>IF(COUNTA(A884:G884)=0,"",IF(G884&lt;&gt;"",G884,IF(B884="","",IFERROR(IF(INDEX(pr_rate,MATCH(B884,pr_code,0))="","",INDEX(pr_rate,MATCH(B884,pr_code,0))),""))))</f>
        <v/>
      </c>
      <c r="L884" s="65" t="str">
        <f>IF(COUNTA(A884:G884)=0,"",IF(AND(ISNUMBER(D884),ISNUMBER(J884)),ROUND(D884*J884*(1-N(F884)),2),0))</f>
        <v/>
      </c>
      <c r="M884" s="62" t="str">
        <f>IF(A884="","",IFERROR(INDEX(fa_cname,MATCH(A884,fa_num,0))&amp;"",""))</f>
        <v/>
      </c>
      <c r="N884" s="59" t="str">
        <f>IF(COUNTA(A884:G884)=0,"",IF(A884="","N° facture manquant",IF(ISNA(MATCH(A884,fa_num,0)),"Facture inconnue",IF(AND(B884&lt;&gt;"",ISNA(MATCH(B884,pr_code,0))),"Article inconnu",IF(H884="","Désignation manquante",IF(OR(NOT(ISNUMBER(D884)),N(D884)&lt;=0),"Quantité invalide",IF(J884="","Prix manquant",IF(OR(NOT(ISNUMBER(J884)),N(J884)&lt;0),"Prix invalide",IF(OR(AND(F884&lt;&gt;"",NOT(ISNUMBER(F884))),N(F884)&lt;0,N(F884)&gt;1),"Remise invalide",IF(K884="","Taux de TVA manquant",IF(NOT(ISNUMBER(K884)),"Taux de TVA invalide",IF(COUNTIF(p_rates,K884)=0,"Taux de TVA hors liste (Paramètres)",IF(N(O884)&gt;25,"Au-delà de 25 lignes : non imprimée","OK")))))))))))))</f>
        <v/>
      </c>
      <c r="O884" s="59" t="str">
        <f>IF(A884="","",COUNTIF($A$6:A884,A884))</f>
        <v/>
      </c>
      <c r="P884" s="62" t="str">
        <f>IF(A884="","",A884&amp;"|"&amp;O884)</f>
        <v/>
      </c>
    </row>
    <row r="885">
      <c r="A885" s="60" t="n"/>
      <c r="B885" s="63" t="n"/>
      <c r="C885" s="63" t="n"/>
      <c r="D885" s="67" t="n"/>
      <c r="E885" s="68" t="n"/>
      <c r="F885" s="69" t="n"/>
      <c r="G885" s="70" t="n"/>
      <c r="H885" s="62" t="str">
        <f>IF(COUNTA(A885:G885)=0,"",IF(C885&lt;&gt;"",C885,IF(B885="","",IFERROR(INDEX(pr_des,MATCH(B885,pr_code,0))&amp;"",""))))</f>
        <v/>
      </c>
      <c r="I885" s="59" t="str">
        <f>IF(B885="","",IFERROR(INDEX(pr_unit,MATCH(B885,pr_code,0))&amp;"",""))</f>
        <v/>
      </c>
      <c r="J885" s="65" t="str">
        <f>IF(COUNTA(A885:G885)=0,"",IF(E885&lt;&gt;"",E885,IF(B885="","",IFERROR(IF(INDEX(pr_price,MATCH(B885,pr_code,0))="","",INDEX(pr_price,MATCH(B885,pr_code,0))),""))))</f>
        <v/>
      </c>
      <c r="K885" s="71" t="str">
        <f>IF(COUNTA(A885:G885)=0,"",IF(G885&lt;&gt;"",G885,IF(B885="","",IFERROR(IF(INDEX(pr_rate,MATCH(B885,pr_code,0))="","",INDEX(pr_rate,MATCH(B885,pr_code,0))),""))))</f>
        <v/>
      </c>
      <c r="L885" s="65" t="str">
        <f>IF(COUNTA(A885:G885)=0,"",IF(AND(ISNUMBER(D885),ISNUMBER(J885)),ROUND(D885*J885*(1-N(F885)),2),0))</f>
        <v/>
      </c>
      <c r="M885" s="62" t="str">
        <f>IF(A885="","",IFERROR(INDEX(fa_cname,MATCH(A885,fa_num,0))&amp;"",""))</f>
        <v/>
      </c>
      <c r="N885" s="59" t="str">
        <f>IF(COUNTA(A885:G885)=0,"",IF(A885="","N° facture manquant",IF(ISNA(MATCH(A885,fa_num,0)),"Facture inconnue",IF(AND(B885&lt;&gt;"",ISNA(MATCH(B885,pr_code,0))),"Article inconnu",IF(H885="","Désignation manquante",IF(OR(NOT(ISNUMBER(D885)),N(D885)&lt;=0),"Quantité invalide",IF(J885="","Prix manquant",IF(OR(NOT(ISNUMBER(J885)),N(J885)&lt;0),"Prix invalide",IF(OR(AND(F885&lt;&gt;"",NOT(ISNUMBER(F885))),N(F885)&lt;0,N(F885)&gt;1),"Remise invalide",IF(K885="","Taux de TVA manquant",IF(NOT(ISNUMBER(K885)),"Taux de TVA invalide",IF(COUNTIF(p_rates,K885)=0,"Taux de TVA hors liste (Paramètres)",IF(N(O885)&gt;25,"Au-delà de 25 lignes : non imprimée","OK")))))))))))))</f>
        <v/>
      </c>
      <c r="O885" s="59" t="str">
        <f>IF(A885="","",COUNTIF($A$6:A885,A885))</f>
        <v/>
      </c>
      <c r="P885" s="62" t="str">
        <f>IF(A885="","",A885&amp;"|"&amp;O885)</f>
        <v/>
      </c>
    </row>
    <row r="886">
      <c r="A886" s="60" t="n"/>
      <c r="B886" s="63" t="n"/>
      <c r="C886" s="63" t="n"/>
      <c r="D886" s="67" t="n"/>
      <c r="E886" s="68" t="n"/>
      <c r="F886" s="69" t="n"/>
      <c r="G886" s="70" t="n"/>
      <c r="H886" s="62" t="str">
        <f>IF(COUNTA(A886:G886)=0,"",IF(C886&lt;&gt;"",C886,IF(B886="","",IFERROR(INDEX(pr_des,MATCH(B886,pr_code,0))&amp;"",""))))</f>
        <v/>
      </c>
      <c r="I886" s="59" t="str">
        <f>IF(B886="","",IFERROR(INDEX(pr_unit,MATCH(B886,pr_code,0))&amp;"",""))</f>
        <v/>
      </c>
      <c r="J886" s="65" t="str">
        <f>IF(COUNTA(A886:G886)=0,"",IF(E886&lt;&gt;"",E886,IF(B886="","",IFERROR(IF(INDEX(pr_price,MATCH(B886,pr_code,0))="","",INDEX(pr_price,MATCH(B886,pr_code,0))),""))))</f>
        <v/>
      </c>
      <c r="K886" s="71" t="str">
        <f>IF(COUNTA(A886:G886)=0,"",IF(G886&lt;&gt;"",G886,IF(B886="","",IFERROR(IF(INDEX(pr_rate,MATCH(B886,pr_code,0))="","",INDEX(pr_rate,MATCH(B886,pr_code,0))),""))))</f>
        <v/>
      </c>
      <c r="L886" s="65" t="str">
        <f>IF(COUNTA(A886:G886)=0,"",IF(AND(ISNUMBER(D886),ISNUMBER(J886)),ROUND(D886*J886*(1-N(F886)),2),0))</f>
        <v/>
      </c>
      <c r="M886" s="62" t="str">
        <f>IF(A886="","",IFERROR(INDEX(fa_cname,MATCH(A886,fa_num,0))&amp;"",""))</f>
        <v/>
      </c>
      <c r="N886" s="59" t="str">
        <f>IF(COUNTA(A886:G886)=0,"",IF(A886="","N° facture manquant",IF(ISNA(MATCH(A886,fa_num,0)),"Facture inconnue",IF(AND(B886&lt;&gt;"",ISNA(MATCH(B886,pr_code,0))),"Article inconnu",IF(H886="","Désignation manquante",IF(OR(NOT(ISNUMBER(D886)),N(D886)&lt;=0),"Quantité invalide",IF(J886="","Prix manquant",IF(OR(NOT(ISNUMBER(J886)),N(J886)&lt;0),"Prix invalide",IF(OR(AND(F886&lt;&gt;"",NOT(ISNUMBER(F886))),N(F886)&lt;0,N(F886)&gt;1),"Remise invalide",IF(K886="","Taux de TVA manquant",IF(NOT(ISNUMBER(K886)),"Taux de TVA invalide",IF(COUNTIF(p_rates,K886)=0,"Taux de TVA hors liste (Paramètres)",IF(N(O886)&gt;25,"Au-delà de 25 lignes : non imprimée","OK")))))))))))))</f>
        <v/>
      </c>
      <c r="O886" s="59" t="str">
        <f>IF(A886="","",COUNTIF($A$6:A886,A886))</f>
        <v/>
      </c>
      <c r="P886" s="62" t="str">
        <f>IF(A886="","",A886&amp;"|"&amp;O886)</f>
        <v/>
      </c>
    </row>
    <row r="887">
      <c r="A887" s="60" t="n"/>
      <c r="B887" s="63" t="n"/>
      <c r="C887" s="63" t="n"/>
      <c r="D887" s="67" t="n"/>
      <c r="E887" s="68" t="n"/>
      <c r="F887" s="69" t="n"/>
      <c r="G887" s="70" t="n"/>
      <c r="H887" s="62" t="str">
        <f>IF(COUNTA(A887:G887)=0,"",IF(C887&lt;&gt;"",C887,IF(B887="","",IFERROR(INDEX(pr_des,MATCH(B887,pr_code,0))&amp;"",""))))</f>
        <v/>
      </c>
      <c r="I887" s="59" t="str">
        <f>IF(B887="","",IFERROR(INDEX(pr_unit,MATCH(B887,pr_code,0))&amp;"",""))</f>
        <v/>
      </c>
      <c r="J887" s="65" t="str">
        <f>IF(COUNTA(A887:G887)=0,"",IF(E887&lt;&gt;"",E887,IF(B887="","",IFERROR(IF(INDEX(pr_price,MATCH(B887,pr_code,0))="","",INDEX(pr_price,MATCH(B887,pr_code,0))),""))))</f>
        <v/>
      </c>
      <c r="K887" s="71" t="str">
        <f>IF(COUNTA(A887:G887)=0,"",IF(G887&lt;&gt;"",G887,IF(B887="","",IFERROR(IF(INDEX(pr_rate,MATCH(B887,pr_code,0))="","",INDEX(pr_rate,MATCH(B887,pr_code,0))),""))))</f>
        <v/>
      </c>
      <c r="L887" s="65" t="str">
        <f>IF(COUNTA(A887:G887)=0,"",IF(AND(ISNUMBER(D887),ISNUMBER(J887)),ROUND(D887*J887*(1-N(F887)),2),0))</f>
        <v/>
      </c>
      <c r="M887" s="62" t="str">
        <f>IF(A887="","",IFERROR(INDEX(fa_cname,MATCH(A887,fa_num,0))&amp;"",""))</f>
        <v/>
      </c>
      <c r="N887" s="59" t="str">
        <f>IF(COUNTA(A887:G887)=0,"",IF(A887="","N° facture manquant",IF(ISNA(MATCH(A887,fa_num,0)),"Facture inconnue",IF(AND(B887&lt;&gt;"",ISNA(MATCH(B887,pr_code,0))),"Article inconnu",IF(H887="","Désignation manquante",IF(OR(NOT(ISNUMBER(D887)),N(D887)&lt;=0),"Quantité invalide",IF(J887="","Prix manquant",IF(OR(NOT(ISNUMBER(J887)),N(J887)&lt;0),"Prix invalide",IF(OR(AND(F887&lt;&gt;"",NOT(ISNUMBER(F887))),N(F887)&lt;0,N(F887)&gt;1),"Remise invalide",IF(K887="","Taux de TVA manquant",IF(NOT(ISNUMBER(K887)),"Taux de TVA invalide",IF(COUNTIF(p_rates,K887)=0,"Taux de TVA hors liste (Paramètres)",IF(N(O887)&gt;25,"Au-delà de 25 lignes : non imprimée","OK")))))))))))))</f>
        <v/>
      </c>
      <c r="O887" s="59" t="str">
        <f>IF(A887="","",COUNTIF($A$6:A887,A887))</f>
        <v/>
      </c>
      <c r="P887" s="62" t="str">
        <f>IF(A887="","",A887&amp;"|"&amp;O887)</f>
        <v/>
      </c>
    </row>
    <row r="888">
      <c r="A888" s="60" t="n"/>
      <c r="B888" s="63" t="n"/>
      <c r="C888" s="63" t="n"/>
      <c r="D888" s="67" t="n"/>
      <c r="E888" s="68" t="n"/>
      <c r="F888" s="69" t="n"/>
      <c r="G888" s="70" t="n"/>
      <c r="H888" s="62" t="str">
        <f>IF(COUNTA(A888:G888)=0,"",IF(C888&lt;&gt;"",C888,IF(B888="","",IFERROR(INDEX(pr_des,MATCH(B888,pr_code,0))&amp;"",""))))</f>
        <v/>
      </c>
      <c r="I888" s="59" t="str">
        <f>IF(B888="","",IFERROR(INDEX(pr_unit,MATCH(B888,pr_code,0))&amp;"",""))</f>
        <v/>
      </c>
      <c r="J888" s="65" t="str">
        <f>IF(COUNTA(A888:G888)=0,"",IF(E888&lt;&gt;"",E888,IF(B888="","",IFERROR(IF(INDEX(pr_price,MATCH(B888,pr_code,0))="","",INDEX(pr_price,MATCH(B888,pr_code,0))),""))))</f>
        <v/>
      </c>
      <c r="K888" s="71" t="str">
        <f>IF(COUNTA(A888:G888)=0,"",IF(G888&lt;&gt;"",G888,IF(B888="","",IFERROR(IF(INDEX(pr_rate,MATCH(B888,pr_code,0))="","",INDEX(pr_rate,MATCH(B888,pr_code,0))),""))))</f>
        <v/>
      </c>
      <c r="L888" s="65" t="str">
        <f>IF(COUNTA(A888:G888)=0,"",IF(AND(ISNUMBER(D888),ISNUMBER(J888)),ROUND(D888*J888*(1-N(F888)),2),0))</f>
        <v/>
      </c>
      <c r="M888" s="62" t="str">
        <f>IF(A888="","",IFERROR(INDEX(fa_cname,MATCH(A888,fa_num,0))&amp;"",""))</f>
        <v/>
      </c>
      <c r="N888" s="59" t="str">
        <f>IF(COUNTA(A888:G888)=0,"",IF(A888="","N° facture manquant",IF(ISNA(MATCH(A888,fa_num,0)),"Facture inconnue",IF(AND(B888&lt;&gt;"",ISNA(MATCH(B888,pr_code,0))),"Article inconnu",IF(H888="","Désignation manquante",IF(OR(NOT(ISNUMBER(D888)),N(D888)&lt;=0),"Quantité invalide",IF(J888="","Prix manquant",IF(OR(NOT(ISNUMBER(J888)),N(J888)&lt;0),"Prix invalide",IF(OR(AND(F888&lt;&gt;"",NOT(ISNUMBER(F888))),N(F888)&lt;0,N(F888)&gt;1),"Remise invalide",IF(K888="","Taux de TVA manquant",IF(NOT(ISNUMBER(K888)),"Taux de TVA invalide",IF(COUNTIF(p_rates,K888)=0,"Taux de TVA hors liste (Paramètres)",IF(N(O888)&gt;25,"Au-delà de 25 lignes : non imprimée","OK")))))))))))))</f>
        <v/>
      </c>
      <c r="O888" s="59" t="str">
        <f>IF(A888="","",COUNTIF($A$6:A888,A888))</f>
        <v/>
      </c>
      <c r="P888" s="62" t="str">
        <f>IF(A888="","",A888&amp;"|"&amp;O888)</f>
        <v/>
      </c>
    </row>
    <row r="889">
      <c r="A889" s="60" t="n"/>
      <c r="B889" s="63" t="n"/>
      <c r="C889" s="63" t="n"/>
      <c r="D889" s="67" t="n"/>
      <c r="E889" s="68" t="n"/>
      <c r="F889" s="69" t="n"/>
      <c r="G889" s="70" t="n"/>
      <c r="H889" s="62" t="str">
        <f>IF(COUNTA(A889:G889)=0,"",IF(C889&lt;&gt;"",C889,IF(B889="","",IFERROR(INDEX(pr_des,MATCH(B889,pr_code,0))&amp;"",""))))</f>
        <v/>
      </c>
      <c r="I889" s="59" t="str">
        <f>IF(B889="","",IFERROR(INDEX(pr_unit,MATCH(B889,pr_code,0))&amp;"",""))</f>
        <v/>
      </c>
      <c r="J889" s="65" t="str">
        <f>IF(COUNTA(A889:G889)=0,"",IF(E889&lt;&gt;"",E889,IF(B889="","",IFERROR(IF(INDEX(pr_price,MATCH(B889,pr_code,0))="","",INDEX(pr_price,MATCH(B889,pr_code,0))),""))))</f>
        <v/>
      </c>
      <c r="K889" s="71" t="str">
        <f>IF(COUNTA(A889:G889)=0,"",IF(G889&lt;&gt;"",G889,IF(B889="","",IFERROR(IF(INDEX(pr_rate,MATCH(B889,pr_code,0))="","",INDEX(pr_rate,MATCH(B889,pr_code,0))),""))))</f>
        <v/>
      </c>
      <c r="L889" s="65" t="str">
        <f>IF(COUNTA(A889:G889)=0,"",IF(AND(ISNUMBER(D889),ISNUMBER(J889)),ROUND(D889*J889*(1-N(F889)),2),0))</f>
        <v/>
      </c>
      <c r="M889" s="62" t="str">
        <f>IF(A889="","",IFERROR(INDEX(fa_cname,MATCH(A889,fa_num,0))&amp;"",""))</f>
        <v/>
      </c>
      <c r="N889" s="59" t="str">
        <f>IF(COUNTA(A889:G889)=0,"",IF(A889="","N° facture manquant",IF(ISNA(MATCH(A889,fa_num,0)),"Facture inconnue",IF(AND(B889&lt;&gt;"",ISNA(MATCH(B889,pr_code,0))),"Article inconnu",IF(H889="","Désignation manquante",IF(OR(NOT(ISNUMBER(D889)),N(D889)&lt;=0),"Quantité invalide",IF(J889="","Prix manquant",IF(OR(NOT(ISNUMBER(J889)),N(J889)&lt;0),"Prix invalide",IF(OR(AND(F889&lt;&gt;"",NOT(ISNUMBER(F889))),N(F889)&lt;0,N(F889)&gt;1),"Remise invalide",IF(K889="","Taux de TVA manquant",IF(NOT(ISNUMBER(K889)),"Taux de TVA invalide",IF(COUNTIF(p_rates,K889)=0,"Taux de TVA hors liste (Paramètres)",IF(N(O889)&gt;25,"Au-delà de 25 lignes : non imprimée","OK")))))))))))))</f>
        <v/>
      </c>
      <c r="O889" s="59" t="str">
        <f>IF(A889="","",COUNTIF($A$6:A889,A889))</f>
        <v/>
      </c>
      <c r="P889" s="62" t="str">
        <f>IF(A889="","",A889&amp;"|"&amp;O889)</f>
        <v/>
      </c>
    </row>
    <row r="890">
      <c r="A890" s="60" t="n"/>
      <c r="B890" s="63" t="n"/>
      <c r="C890" s="63" t="n"/>
      <c r="D890" s="67" t="n"/>
      <c r="E890" s="68" t="n"/>
      <c r="F890" s="69" t="n"/>
      <c r="G890" s="70" t="n"/>
      <c r="H890" s="62" t="str">
        <f>IF(COUNTA(A890:G890)=0,"",IF(C890&lt;&gt;"",C890,IF(B890="","",IFERROR(INDEX(pr_des,MATCH(B890,pr_code,0))&amp;"",""))))</f>
        <v/>
      </c>
      <c r="I890" s="59" t="str">
        <f>IF(B890="","",IFERROR(INDEX(pr_unit,MATCH(B890,pr_code,0))&amp;"",""))</f>
        <v/>
      </c>
      <c r="J890" s="65" t="str">
        <f>IF(COUNTA(A890:G890)=0,"",IF(E890&lt;&gt;"",E890,IF(B890="","",IFERROR(IF(INDEX(pr_price,MATCH(B890,pr_code,0))="","",INDEX(pr_price,MATCH(B890,pr_code,0))),""))))</f>
        <v/>
      </c>
      <c r="K890" s="71" t="str">
        <f>IF(COUNTA(A890:G890)=0,"",IF(G890&lt;&gt;"",G890,IF(B890="","",IFERROR(IF(INDEX(pr_rate,MATCH(B890,pr_code,0))="","",INDEX(pr_rate,MATCH(B890,pr_code,0))),""))))</f>
        <v/>
      </c>
      <c r="L890" s="65" t="str">
        <f>IF(COUNTA(A890:G890)=0,"",IF(AND(ISNUMBER(D890),ISNUMBER(J890)),ROUND(D890*J890*(1-N(F890)),2),0))</f>
        <v/>
      </c>
      <c r="M890" s="62" t="str">
        <f>IF(A890="","",IFERROR(INDEX(fa_cname,MATCH(A890,fa_num,0))&amp;"",""))</f>
        <v/>
      </c>
      <c r="N890" s="59" t="str">
        <f>IF(COUNTA(A890:G890)=0,"",IF(A890="","N° facture manquant",IF(ISNA(MATCH(A890,fa_num,0)),"Facture inconnue",IF(AND(B890&lt;&gt;"",ISNA(MATCH(B890,pr_code,0))),"Article inconnu",IF(H890="","Désignation manquante",IF(OR(NOT(ISNUMBER(D890)),N(D890)&lt;=0),"Quantité invalide",IF(J890="","Prix manquant",IF(OR(NOT(ISNUMBER(J890)),N(J890)&lt;0),"Prix invalide",IF(OR(AND(F890&lt;&gt;"",NOT(ISNUMBER(F890))),N(F890)&lt;0,N(F890)&gt;1),"Remise invalide",IF(K890="","Taux de TVA manquant",IF(NOT(ISNUMBER(K890)),"Taux de TVA invalide",IF(COUNTIF(p_rates,K890)=0,"Taux de TVA hors liste (Paramètres)",IF(N(O890)&gt;25,"Au-delà de 25 lignes : non imprimée","OK")))))))))))))</f>
        <v/>
      </c>
      <c r="O890" s="59" t="str">
        <f>IF(A890="","",COUNTIF($A$6:A890,A890))</f>
        <v/>
      </c>
      <c r="P890" s="62" t="str">
        <f>IF(A890="","",A890&amp;"|"&amp;O890)</f>
        <v/>
      </c>
    </row>
    <row r="891">
      <c r="A891" s="60" t="n"/>
      <c r="B891" s="63" t="n"/>
      <c r="C891" s="63" t="n"/>
      <c r="D891" s="67" t="n"/>
      <c r="E891" s="68" t="n"/>
      <c r="F891" s="69" t="n"/>
      <c r="G891" s="70" t="n"/>
      <c r="H891" s="62" t="str">
        <f>IF(COUNTA(A891:G891)=0,"",IF(C891&lt;&gt;"",C891,IF(B891="","",IFERROR(INDEX(pr_des,MATCH(B891,pr_code,0))&amp;"",""))))</f>
        <v/>
      </c>
      <c r="I891" s="59" t="str">
        <f>IF(B891="","",IFERROR(INDEX(pr_unit,MATCH(B891,pr_code,0))&amp;"",""))</f>
        <v/>
      </c>
      <c r="J891" s="65" t="str">
        <f>IF(COUNTA(A891:G891)=0,"",IF(E891&lt;&gt;"",E891,IF(B891="","",IFERROR(IF(INDEX(pr_price,MATCH(B891,pr_code,0))="","",INDEX(pr_price,MATCH(B891,pr_code,0))),""))))</f>
        <v/>
      </c>
      <c r="K891" s="71" t="str">
        <f>IF(COUNTA(A891:G891)=0,"",IF(G891&lt;&gt;"",G891,IF(B891="","",IFERROR(IF(INDEX(pr_rate,MATCH(B891,pr_code,0))="","",INDEX(pr_rate,MATCH(B891,pr_code,0))),""))))</f>
        <v/>
      </c>
      <c r="L891" s="65" t="str">
        <f>IF(COUNTA(A891:G891)=0,"",IF(AND(ISNUMBER(D891),ISNUMBER(J891)),ROUND(D891*J891*(1-N(F891)),2),0))</f>
        <v/>
      </c>
      <c r="M891" s="62" t="str">
        <f>IF(A891="","",IFERROR(INDEX(fa_cname,MATCH(A891,fa_num,0))&amp;"",""))</f>
        <v/>
      </c>
      <c r="N891" s="59" t="str">
        <f>IF(COUNTA(A891:G891)=0,"",IF(A891="","N° facture manquant",IF(ISNA(MATCH(A891,fa_num,0)),"Facture inconnue",IF(AND(B891&lt;&gt;"",ISNA(MATCH(B891,pr_code,0))),"Article inconnu",IF(H891="","Désignation manquante",IF(OR(NOT(ISNUMBER(D891)),N(D891)&lt;=0),"Quantité invalide",IF(J891="","Prix manquant",IF(OR(NOT(ISNUMBER(J891)),N(J891)&lt;0),"Prix invalide",IF(OR(AND(F891&lt;&gt;"",NOT(ISNUMBER(F891))),N(F891)&lt;0,N(F891)&gt;1),"Remise invalide",IF(K891="","Taux de TVA manquant",IF(NOT(ISNUMBER(K891)),"Taux de TVA invalide",IF(COUNTIF(p_rates,K891)=0,"Taux de TVA hors liste (Paramètres)",IF(N(O891)&gt;25,"Au-delà de 25 lignes : non imprimée","OK")))))))))))))</f>
        <v/>
      </c>
      <c r="O891" s="59" t="str">
        <f>IF(A891="","",COUNTIF($A$6:A891,A891))</f>
        <v/>
      </c>
      <c r="P891" s="62" t="str">
        <f>IF(A891="","",A891&amp;"|"&amp;O891)</f>
        <v/>
      </c>
    </row>
    <row r="892">
      <c r="A892" s="60" t="n"/>
      <c r="B892" s="63" t="n"/>
      <c r="C892" s="63" t="n"/>
      <c r="D892" s="67" t="n"/>
      <c r="E892" s="68" t="n"/>
      <c r="F892" s="69" t="n"/>
      <c r="G892" s="70" t="n"/>
      <c r="H892" s="62" t="str">
        <f>IF(COUNTA(A892:G892)=0,"",IF(C892&lt;&gt;"",C892,IF(B892="","",IFERROR(INDEX(pr_des,MATCH(B892,pr_code,0))&amp;"",""))))</f>
        <v/>
      </c>
      <c r="I892" s="59" t="str">
        <f>IF(B892="","",IFERROR(INDEX(pr_unit,MATCH(B892,pr_code,0))&amp;"",""))</f>
        <v/>
      </c>
      <c r="J892" s="65" t="str">
        <f>IF(COUNTA(A892:G892)=0,"",IF(E892&lt;&gt;"",E892,IF(B892="","",IFERROR(IF(INDEX(pr_price,MATCH(B892,pr_code,0))="","",INDEX(pr_price,MATCH(B892,pr_code,0))),""))))</f>
        <v/>
      </c>
      <c r="K892" s="71" t="str">
        <f>IF(COUNTA(A892:G892)=0,"",IF(G892&lt;&gt;"",G892,IF(B892="","",IFERROR(IF(INDEX(pr_rate,MATCH(B892,pr_code,0))="","",INDEX(pr_rate,MATCH(B892,pr_code,0))),""))))</f>
        <v/>
      </c>
      <c r="L892" s="65" t="str">
        <f>IF(COUNTA(A892:G892)=0,"",IF(AND(ISNUMBER(D892),ISNUMBER(J892)),ROUND(D892*J892*(1-N(F892)),2),0))</f>
        <v/>
      </c>
      <c r="M892" s="62" t="str">
        <f>IF(A892="","",IFERROR(INDEX(fa_cname,MATCH(A892,fa_num,0))&amp;"",""))</f>
        <v/>
      </c>
      <c r="N892" s="59" t="str">
        <f>IF(COUNTA(A892:G892)=0,"",IF(A892="","N° facture manquant",IF(ISNA(MATCH(A892,fa_num,0)),"Facture inconnue",IF(AND(B892&lt;&gt;"",ISNA(MATCH(B892,pr_code,0))),"Article inconnu",IF(H892="","Désignation manquante",IF(OR(NOT(ISNUMBER(D892)),N(D892)&lt;=0),"Quantité invalide",IF(J892="","Prix manquant",IF(OR(NOT(ISNUMBER(J892)),N(J892)&lt;0),"Prix invalide",IF(OR(AND(F892&lt;&gt;"",NOT(ISNUMBER(F892))),N(F892)&lt;0,N(F892)&gt;1),"Remise invalide",IF(K892="","Taux de TVA manquant",IF(NOT(ISNUMBER(K892)),"Taux de TVA invalide",IF(COUNTIF(p_rates,K892)=0,"Taux de TVA hors liste (Paramètres)",IF(N(O892)&gt;25,"Au-delà de 25 lignes : non imprimée","OK")))))))))))))</f>
        <v/>
      </c>
      <c r="O892" s="59" t="str">
        <f>IF(A892="","",COUNTIF($A$6:A892,A892))</f>
        <v/>
      </c>
      <c r="P892" s="62" t="str">
        <f>IF(A892="","",A892&amp;"|"&amp;O892)</f>
        <v/>
      </c>
    </row>
    <row r="893">
      <c r="A893" s="60" t="n"/>
      <c r="B893" s="63" t="n"/>
      <c r="C893" s="63" t="n"/>
      <c r="D893" s="67" t="n"/>
      <c r="E893" s="68" t="n"/>
      <c r="F893" s="69" t="n"/>
      <c r="G893" s="70" t="n"/>
      <c r="H893" s="62" t="str">
        <f>IF(COUNTA(A893:G893)=0,"",IF(C893&lt;&gt;"",C893,IF(B893="","",IFERROR(INDEX(pr_des,MATCH(B893,pr_code,0))&amp;"",""))))</f>
        <v/>
      </c>
      <c r="I893" s="59" t="str">
        <f>IF(B893="","",IFERROR(INDEX(pr_unit,MATCH(B893,pr_code,0))&amp;"",""))</f>
        <v/>
      </c>
      <c r="J893" s="65" t="str">
        <f>IF(COUNTA(A893:G893)=0,"",IF(E893&lt;&gt;"",E893,IF(B893="","",IFERROR(IF(INDEX(pr_price,MATCH(B893,pr_code,0))="","",INDEX(pr_price,MATCH(B893,pr_code,0))),""))))</f>
        <v/>
      </c>
      <c r="K893" s="71" t="str">
        <f>IF(COUNTA(A893:G893)=0,"",IF(G893&lt;&gt;"",G893,IF(B893="","",IFERROR(IF(INDEX(pr_rate,MATCH(B893,pr_code,0))="","",INDEX(pr_rate,MATCH(B893,pr_code,0))),""))))</f>
        <v/>
      </c>
      <c r="L893" s="65" t="str">
        <f>IF(COUNTA(A893:G893)=0,"",IF(AND(ISNUMBER(D893),ISNUMBER(J893)),ROUND(D893*J893*(1-N(F893)),2),0))</f>
        <v/>
      </c>
      <c r="M893" s="62" t="str">
        <f>IF(A893="","",IFERROR(INDEX(fa_cname,MATCH(A893,fa_num,0))&amp;"",""))</f>
        <v/>
      </c>
      <c r="N893" s="59" t="str">
        <f>IF(COUNTA(A893:G893)=0,"",IF(A893="","N° facture manquant",IF(ISNA(MATCH(A893,fa_num,0)),"Facture inconnue",IF(AND(B893&lt;&gt;"",ISNA(MATCH(B893,pr_code,0))),"Article inconnu",IF(H893="","Désignation manquante",IF(OR(NOT(ISNUMBER(D893)),N(D893)&lt;=0),"Quantité invalide",IF(J893="","Prix manquant",IF(OR(NOT(ISNUMBER(J893)),N(J893)&lt;0),"Prix invalide",IF(OR(AND(F893&lt;&gt;"",NOT(ISNUMBER(F893))),N(F893)&lt;0,N(F893)&gt;1),"Remise invalide",IF(K893="","Taux de TVA manquant",IF(NOT(ISNUMBER(K893)),"Taux de TVA invalide",IF(COUNTIF(p_rates,K893)=0,"Taux de TVA hors liste (Paramètres)",IF(N(O893)&gt;25,"Au-delà de 25 lignes : non imprimée","OK")))))))))))))</f>
        <v/>
      </c>
      <c r="O893" s="59" t="str">
        <f>IF(A893="","",COUNTIF($A$6:A893,A893))</f>
        <v/>
      </c>
      <c r="P893" s="62" t="str">
        <f>IF(A893="","",A893&amp;"|"&amp;O893)</f>
        <v/>
      </c>
    </row>
    <row r="894">
      <c r="A894" s="60" t="n"/>
      <c r="B894" s="63" t="n"/>
      <c r="C894" s="63" t="n"/>
      <c r="D894" s="67" t="n"/>
      <c r="E894" s="68" t="n"/>
      <c r="F894" s="69" t="n"/>
      <c r="G894" s="70" t="n"/>
      <c r="H894" s="62" t="str">
        <f>IF(COUNTA(A894:G894)=0,"",IF(C894&lt;&gt;"",C894,IF(B894="","",IFERROR(INDEX(pr_des,MATCH(B894,pr_code,0))&amp;"",""))))</f>
        <v/>
      </c>
      <c r="I894" s="59" t="str">
        <f>IF(B894="","",IFERROR(INDEX(pr_unit,MATCH(B894,pr_code,0))&amp;"",""))</f>
        <v/>
      </c>
      <c r="J894" s="65" t="str">
        <f>IF(COUNTA(A894:G894)=0,"",IF(E894&lt;&gt;"",E894,IF(B894="","",IFERROR(IF(INDEX(pr_price,MATCH(B894,pr_code,0))="","",INDEX(pr_price,MATCH(B894,pr_code,0))),""))))</f>
        <v/>
      </c>
      <c r="K894" s="71" t="str">
        <f>IF(COUNTA(A894:G894)=0,"",IF(G894&lt;&gt;"",G894,IF(B894="","",IFERROR(IF(INDEX(pr_rate,MATCH(B894,pr_code,0))="","",INDEX(pr_rate,MATCH(B894,pr_code,0))),""))))</f>
        <v/>
      </c>
      <c r="L894" s="65" t="str">
        <f>IF(COUNTA(A894:G894)=0,"",IF(AND(ISNUMBER(D894),ISNUMBER(J894)),ROUND(D894*J894*(1-N(F894)),2),0))</f>
        <v/>
      </c>
      <c r="M894" s="62" t="str">
        <f>IF(A894="","",IFERROR(INDEX(fa_cname,MATCH(A894,fa_num,0))&amp;"",""))</f>
        <v/>
      </c>
      <c r="N894" s="59" t="str">
        <f>IF(COUNTA(A894:G894)=0,"",IF(A894="","N° facture manquant",IF(ISNA(MATCH(A894,fa_num,0)),"Facture inconnue",IF(AND(B894&lt;&gt;"",ISNA(MATCH(B894,pr_code,0))),"Article inconnu",IF(H894="","Désignation manquante",IF(OR(NOT(ISNUMBER(D894)),N(D894)&lt;=0),"Quantité invalide",IF(J894="","Prix manquant",IF(OR(NOT(ISNUMBER(J894)),N(J894)&lt;0),"Prix invalide",IF(OR(AND(F894&lt;&gt;"",NOT(ISNUMBER(F894))),N(F894)&lt;0,N(F894)&gt;1),"Remise invalide",IF(K894="","Taux de TVA manquant",IF(NOT(ISNUMBER(K894)),"Taux de TVA invalide",IF(COUNTIF(p_rates,K894)=0,"Taux de TVA hors liste (Paramètres)",IF(N(O894)&gt;25,"Au-delà de 25 lignes : non imprimée","OK")))))))))))))</f>
        <v/>
      </c>
      <c r="O894" s="59" t="str">
        <f>IF(A894="","",COUNTIF($A$6:A894,A894))</f>
        <v/>
      </c>
      <c r="P894" s="62" t="str">
        <f>IF(A894="","",A894&amp;"|"&amp;O894)</f>
        <v/>
      </c>
    </row>
    <row r="895">
      <c r="A895" s="60" t="n"/>
      <c r="B895" s="63" t="n"/>
      <c r="C895" s="63" t="n"/>
      <c r="D895" s="67" t="n"/>
      <c r="E895" s="68" t="n"/>
      <c r="F895" s="69" t="n"/>
      <c r="G895" s="70" t="n"/>
      <c r="H895" s="62" t="str">
        <f>IF(COUNTA(A895:G895)=0,"",IF(C895&lt;&gt;"",C895,IF(B895="","",IFERROR(INDEX(pr_des,MATCH(B895,pr_code,0))&amp;"",""))))</f>
        <v/>
      </c>
      <c r="I895" s="59" t="str">
        <f>IF(B895="","",IFERROR(INDEX(pr_unit,MATCH(B895,pr_code,0))&amp;"",""))</f>
        <v/>
      </c>
      <c r="J895" s="65" t="str">
        <f>IF(COUNTA(A895:G895)=0,"",IF(E895&lt;&gt;"",E895,IF(B895="","",IFERROR(IF(INDEX(pr_price,MATCH(B895,pr_code,0))="","",INDEX(pr_price,MATCH(B895,pr_code,0))),""))))</f>
        <v/>
      </c>
      <c r="K895" s="71" t="str">
        <f>IF(COUNTA(A895:G895)=0,"",IF(G895&lt;&gt;"",G895,IF(B895="","",IFERROR(IF(INDEX(pr_rate,MATCH(B895,pr_code,0))="","",INDEX(pr_rate,MATCH(B895,pr_code,0))),""))))</f>
        <v/>
      </c>
      <c r="L895" s="65" t="str">
        <f>IF(COUNTA(A895:G895)=0,"",IF(AND(ISNUMBER(D895),ISNUMBER(J895)),ROUND(D895*J895*(1-N(F895)),2),0))</f>
        <v/>
      </c>
      <c r="M895" s="62" t="str">
        <f>IF(A895="","",IFERROR(INDEX(fa_cname,MATCH(A895,fa_num,0))&amp;"",""))</f>
        <v/>
      </c>
      <c r="N895" s="59" t="str">
        <f>IF(COUNTA(A895:G895)=0,"",IF(A895="","N° facture manquant",IF(ISNA(MATCH(A895,fa_num,0)),"Facture inconnue",IF(AND(B895&lt;&gt;"",ISNA(MATCH(B895,pr_code,0))),"Article inconnu",IF(H895="","Désignation manquante",IF(OR(NOT(ISNUMBER(D895)),N(D895)&lt;=0),"Quantité invalide",IF(J895="","Prix manquant",IF(OR(NOT(ISNUMBER(J895)),N(J895)&lt;0),"Prix invalide",IF(OR(AND(F895&lt;&gt;"",NOT(ISNUMBER(F895))),N(F895)&lt;0,N(F895)&gt;1),"Remise invalide",IF(K895="","Taux de TVA manquant",IF(NOT(ISNUMBER(K895)),"Taux de TVA invalide",IF(COUNTIF(p_rates,K895)=0,"Taux de TVA hors liste (Paramètres)",IF(N(O895)&gt;25,"Au-delà de 25 lignes : non imprimée","OK")))))))))))))</f>
        <v/>
      </c>
      <c r="O895" s="59" t="str">
        <f>IF(A895="","",COUNTIF($A$6:A895,A895))</f>
        <v/>
      </c>
      <c r="P895" s="62" t="str">
        <f>IF(A895="","",A895&amp;"|"&amp;O895)</f>
        <v/>
      </c>
    </row>
    <row r="896">
      <c r="A896" s="60" t="n"/>
      <c r="B896" s="63" t="n"/>
      <c r="C896" s="63" t="n"/>
      <c r="D896" s="67" t="n"/>
      <c r="E896" s="68" t="n"/>
      <c r="F896" s="69" t="n"/>
      <c r="G896" s="70" t="n"/>
      <c r="H896" s="62" t="str">
        <f>IF(COUNTA(A896:G896)=0,"",IF(C896&lt;&gt;"",C896,IF(B896="","",IFERROR(INDEX(pr_des,MATCH(B896,pr_code,0))&amp;"",""))))</f>
        <v/>
      </c>
      <c r="I896" s="59" t="str">
        <f>IF(B896="","",IFERROR(INDEX(pr_unit,MATCH(B896,pr_code,0))&amp;"",""))</f>
        <v/>
      </c>
      <c r="J896" s="65" t="str">
        <f>IF(COUNTA(A896:G896)=0,"",IF(E896&lt;&gt;"",E896,IF(B896="","",IFERROR(IF(INDEX(pr_price,MATCH(B896,pr_code,0))="","",INDEX(pr_price,MATCH(B896,pr_code,0))),""))))</f>
        <v/>
      </c>
      <c r="K896" s="71" t="str">
        <f>IF(COUNTA(A896:G896)=0,"",IF(G896&lt;&gt;"",G896,IF(B896="","",IFERROR(IF(INDEX(pr_rate,MATCH(B896,pr_code,0))="","",INDEX(pr_rate,MATCH(B896,pr_code,0))),""))))</f>
        <v/>
      </c>
      <c r="L896" s="65" t="str">
        <f>IF(COUNTA(A896:G896)=0,"",IF(AND(ISNUMBER(D896),ISNUMBER(J896)),ROUND(D896*J896*(1-N(F896)),2),0))</f>
        <v/>
      </c>
      <c r="M896" s="62" t="str">
        <f>IF(A896="","",IFERROR(INDEX(fa_cname,MATCH(A896,fa_num,0))&amp;"",""))</f>
        <v/>
      </c>
      <c r="N896" s="59" t="str">
        <f>IF(COUNTA(A896:G896)=0,"",IF(A896="","N° facture manquant",IF(ISNA(MATCH(A896,fa_num,0)),"Facture inconnue",IF(AND(B896&lt;&gt;"",ISNA(MATCH(B896,pr_code,0))),"Article inconnu",IF(H896="","Désignation manquante",IF(OR(NOT(ISNUMBER(D896)),N(D896)&lt;=0),"Quantité invalide",IF(J896="","Prix manquant",IF(OR(NOT(ISNUMBER(J896)),N(J896)&lt;0),"Prix invalide",IF(OR(AND(F896&lt;&gt;"",NOT(ISNUMBER(F896))),N(F896)&lt;0,N(F896)&gt;1),"Remise invalide",IF(K896="","Taux de TVA manquant",IF(NOT(ISNUMBER(K896)),"Taux de TVA invalide",IF(COUNTIF(p_rates,K896)=0,"Taux de TVA hors liste (Paramètres)",IF(N(O896)&gt;25,"Au-delà de 25 lignes : non imprimée","OK")))))))))))))</f>
        <v/>
      </c>
      <c r="O896" s="59" t="str">
        <f>IF(A896="","",COUNTIF($A$6:A896,A896))</f>
        <v/>
      </c>
      <c r="P896" s="62" t="str">
        <f>IF(A896="","",A896&amp;"|"&amp;O896)</f>
        <v/>
      </c>
    </row>
    <row r="897">
      <c r="A897" s="60" t="n"/>
      <c r="B897" s="63" t="n"/>
      <c r="C897" s="63" t="n"/>
      <c r="D897" s="67" t="n"/>
      <c r="E897" s="68" t="n"/>
      <c r="F897" s="69" t="n"/>
      <c r="G897" s="70" t="n"/>
      <c r="H897" s="62" t="str">
        <f>IF(COUNTA(A897:G897)=0,"",IF(C897&lt;&gt;"",C897,IF(B897="","",IFERROR(INDEX(pr_des,MATCH(B897,pr_code,0))&amp;"",""))))</f>
        <v/>
      </c>
      <c r="I897" s="59" t="str">
        <f>IF(B897="","",IFERROR(INDEX(pr_unit,MATCH(B897,pr_code,0))&amp;"",""))</f>
        <v/>
      </c>
      <c r="J897" s="65" t="str">
        <f>IF(COUNTA(A897:G897)=0,"",IF(E897&lt;&gt;"",E897,IF(B897="","",IFERROR(IF(INDEX(pr_price,MATCH(B897,pr_code,0))="","",INDEX(pr_price,MATCH(B897,pr_code,0))),""))))</f>
        <v/>
      </c>
      <c r="K897" s="71" t="str">
        <f>IF(COUNTA(A897:G897)=0,"",IF(G897&lt;&gt;"",G897,IF(B897="","",IFERROR(IF(INDEX(pr_rate,MATCH(B897,pr_code,0))="","",INDEX(pr_rate,MATCH(B897,pr_code,0))),""))))</f>
        <v/>
      </c>
      <c r="L897" s="65" t="str">
        <f>IF(COUNTA(A897:G897)=0,"",IF(AND(ISNUMBER(D897),ISNUMBER(J897)),ROUND(D897*J897*(1-N(F897)),2),0))</f>
        <v/>
      </c>
      <c r="M897" s="62" t="str">
        <f>IF(A897="","",IFERROR(INDEX(fa_cname,MATCH(A897,fa_num,0))&amp;"",""))</f>
        <v/>
      </c>
      <c r="N897" s="59" t="str">
        <f>IF(COUNTA(A897:G897)=0,"",IF(A897="","N° facture manquant",IF(ISNA(MATCH(A897,fa_num,0)),"Facture inconnue",IF(AND(B897&lt;&gt;"",ISNA(MATCH(B897,pr_code,0))),"Article inconnu",IF(H897="","Désignation manquante",IF(OR(NOT(ISNUMBER(D897)),N(D897)&lt;=0),"Quantité invalide",IF(J897="","Prix manquant",IF(OR(NOT(ISNUMBER(J897)),N(J897)&lt;0),"Prix invalide",IF(OR(AND(F897&lt;&gt;"",NOT(ISNUMBER(F897))),N(F897)&lt;0,N(F897)&gt;1),"Remise invalide",IF(K897="","Taux de TVA manquant",IF(NOT(ISNUMBER(K897)),"Taux de TVA invalide",IF(COUNTIF(p_rates,K897)=0,"Taux de TVA hors liste (Paramètres)",IF(N(O897)&gt;25,"Au-delà de 25 lignes : non imprimée","OK")))))))))))))</f>
        <v/>
      </c>
      <c r="O897" s="59" t="str">
        <f>IF(A897="","",COUNTIF($A$6:A897,A897))</f>
        <v/>
      </c>
      <c r="P897" s="62" t="str">
        <f>IF(A897="","",A897&amp;"|"&amp;O897)</f>
        <v/>
      </c>
    </row>
    <row r="898">
      <c r="A898" s="60" t="n"/>
      <c r="B898" s="63" t="n"/>
      <c r="C898" s="63" t="n"/>
      <c r="D898" s="67" t="n"/>
      <c r="E898" s="68" t="n"/>
      <c r="F898" s="69" t="n"/>
      <c r="G898" s="70" t="n"/>
      <c r="H898" s="62" t="str">
        <f>IF(COUNTA(A898:G898)=0,"",IF(C898&lt;&gt;"",C898,IF(B898="","",IFERROR(INDEX(pr_des,MATCH(B898,pr_code,0))&amp;"",""))))</f>
        <v/>
      </c>
      <c r="I898" s="59" t="str">
        <f>IF(B898="","",IFERROR(INDEX(pr_unit,MATCH(B898,pr_code,0))&amp;"",""))</f>
        <v/>
      </c>
      <c r="J898" s="65" t="str">
        <f>IF(COUNTA(A898:G898)=0,"",IF(E898&lt;&gt;"",E898,IF(B898="","",IFERROR(IF(INDEX(pr_price,MATCH(B898,pr_code,0))="","",INDEX(pr_price,MATCH(B898,pr_code,0))),""))))</f>
        <v/>
      </c>
      <c r="K898" s="71" t="str">
        <f>IF(COUNTA(A898:G898)=0,"",IF(G898&lt;&gt;"",G898,IF(B898="","",IFERROR(IF(INDEX(pr_rate,MATCH(B898,pr_code,0))="","",INDEX(pr_rate,MATCH(B898,pr_code,0))),""))))</f>
        <v/>
      </c>
      <c r="L898" s="65" t="str">
        <f>IF(COUNTA(A898:G898)=0,"",IF(AND(ISNUMBER(D898),ISNUMBER(J898)),ROUND(D898*J898*(1-N(F898)),2),0))</f>
        <v/>
      </c>
      <c r="M898" s="62" t="str">
        <f>IF(A898="","",IFERROR(INDEX(fa_cname,MATCH(A898,fa_num,0))&amp;"",""))</f>
        <v/>
      </c>
      <c r="N898" s="59" t="str">
        <f>IF(COUNTA(A898:G898)=0,"",IF(A898="","N° facture manquant",IF(ISNA(MATCH(A898,fa_num,0)),"Facture inconnue",IF(AND(B898&lt;&gt;"",ISNA(MATCH(B898,pr_code,0))),"Article inconnu",IF(H898="","Désignation manquante",IF(OR(NOT(ISNUMBER(D898)),N(D898)&lt;=0),"Quantité invalide",IF(J898="","Prix manquant",IF(OR(NOT(ISNUMBER(J898)),N(J898)&lt;0),"Prix invalide",IF(OR(AND(F898&lt;&gt;"",NOT(ISNUMBER(F898))),N(F898)&lt;0,N(F898)&gt;1),"Remise invalide",IF(K898="","Taux de TVA manquant",IF(NOT(ISNUMBER(K898)),"Taux de TVA invalide",IF(COUNTIF(p_rates,K898)=0,"Taux de TVA hors liste (Paramètres)",IF(N(O898)&gt;25,"Au-delà de 25 lignes : non imprimée","OK")))))))))))))</f>
        <v/>
      </c>
      <c r="O898" s="59" t="str">
        <f>IF(A898="","",COUNTIF($A$6:A898,A898))</f>
        <v/>
      </c>
      <c r="P898" s="62" t="str">
        <f>IF(A898="","",A898&amp;"|"&amp;O898)</f>
        <v/>
      </c>
    </row>
    <row r="899">
      <c r="A899" s="60" t="n"/>
      <c r="B899" s="63" t="n"/>
      <c r="C899" s="63" t="n"/>
      <c r="D899" s="67" t="n"/>
      <c r="E899" s="68" t="n"/>
      <c r="F899" s="69" t="n"/>
      <c r="G899" s="70" t="n"/>
      <c r="H899" s="62" t="str">
        <f>IF(COUNTA(A899:G899)=0,"",IF(C899&lt;&gt;"",C899,IF(B899="","",IFERROR(INDEX(pr_des,MATCH(B899,pr_code,0))&amp;"",""))))</f>
        <v/>
      </c>
      <c r="I899" s="59" t="str">
        <f>IF(B899="","",IFERROR(INDEX(pr_unit,MATCH(B899,pr_code,0))&amp;"",""))</f>
        <v/>
      </c>
      <c r="J899" s="65" t="str">
        <f>IF(COUNTA(A899:G899)=0,"",IF(E899&lt;&gt;"",E899,IF(B899="","",IFERROR(IF(INDEX(pr_price,MATCH(B899,pr_code,0))="","",INDEX(pr_price,MATCH(B899,pr_code,0))),""))))</f>
        <v/>
      </c>
      <c r="K899" s="71" t="str">
        <f>IF(COUNTA(A899:G899)=0,"",IF(G899&lt;&gt;"",G899,IF(B899="","",IFERROR(IF(INDEX(pr_rate,MATCH(B899,pr_code,0))="","",INDEX(pr_rate,MATCH(B899,pr_code,0))),""))))</f>
        <v/>
      </c>
      <c r="L899" s="65" t="str">
        <f>IF(COUNTA(A899:G899)=0,"",IF(AND(ISNUMBER(D899),ISNUMBER(J899)),ROUND(D899*J899*(1-N(F899)),2),0))</f>
        <v/>
      </c>
      <c r="M899" s="62" t="str">
        <f>IF(A899="","",IFERROR(INDEX(fa_cname,MATCH(A899,fa_num,0))&amp;"",""))</f>
        <v/>
      </c>
      <c r="N899" s="59" t="str">
        <f>IF(COUNTA(A899:G899)=0,"",IF(A899="","N° facture manquant",IF(ISNA(MATCH(A899,fa_num,0)),"Facture inconnue",IF(AND(B899&lt;&gt;"",ISNA(MATCH(B899,pr_code,0))),"Article inconnu",IF(H899="","Désignation manquante",IF(OR(NOT(ISNUMBER(D899)),N(D899)&lt;=0),"Quantité invalide",IF(J899="","Prix manquant",IF(OR(NOT(ISNUMBER(J899)),N(J899)&lt;0),"Prix invalide",IF(OR(AND(F899&lt;&gt;"",NOT(ISNUMBER(F899))),N(F899)&lt;0,N(F899)&gt;1),"Remise invalide",IF(K899="","Taux de TVA manquant",IF(NOT(ISNUMBER(K899)),"Taux de TVA invalide",IF(COUNTIF(p_rates,K899)=0,"Taux de TVA hors liste (Paramètres)",IF(N(O899)&gt;25,"Au-delà de 25 lignes : non imprimée","OK")))))))))))))</f>
        <v/>
      </c>
      <c r="O899" s="59" t="str">
        <f>IF(A899="","",COUNTIF($A$6:A899,A899))</f>
        <v/>
      </c>
      <c r="P899" s="62" t="str">
        <f>IF(A899="","",A899&amp;"|"&amp;O899)</f>
        <v/>
      </c>
    </row>
    <row r="900">
      <c r="A900" s="60" t="n"/>
      <c r="B900" s="63" t="n"/>
      <c r="C900" s="63" t="n"/>
      <c r="D900" s="67" t="n"/>
      <c r="E900" s="68" t="n"/>
      <c r="F900" s="69" t="n"/>
      <c r="G900" s="70" t="n"/>
      <c r="H900" s="62" t="str">
        <f>IF(COUNTA(A900:G900)=0,"",IF(C900&lt;&gt;"",C900,IF(B900="","",IFERROR(INDEX(pr_des,MATCH(B900,pr_code,0))&amp;"",""))))</f>
        <v/>
      </c>
      <c r="I900" s="59" t="str">
        <f>IF(B900="","",IFERROR(INDEX(pr_unit,MATCH(B900,pr_code,0))&amp;"",""))</f>
        <v/>
      </c>
      <c r="J900" s="65" t="str">
        <f>IF(COUNTA(A900:G900)=0,"",IF(E900&lt;&gt;"",E900,IF(B900="","",IFERROR(IF(INDEX(pr_price,MATCH(B900,pr_code,0))="","",INDEX(pr_price,MATCH(B900,pr_code,0))),""))))</f>
        <v/>
      </c>
      <c r="K900" s="71" t="str">
        <f>IF(COUNTA(A900:G900)=0,"",IF(G900&lt;&gt;"",G900,IF(B900="","",IFERROR(IF(INDEX(pr_rate,MATCH(B900,pr_code,0))="","",INDEX(pr_rate,MATCH(B900,pr_code,0))),""))))</f>
        <v/>
      </c>
      <c r="L900" s="65" t="str">
        <f>IF(COUNTA(A900:G900)=0,"",IF(AND(ISNUMBER(D900),ISNUMBER(J900)),ROUND(D900*J900*(1-N(F900)),2),0))</f>
        <v/>
      </c>
      <c r="M900" s="62" t="str">
        <f>IF(A900="","",IFERROR(INDEX(fa_cname,MATCH(A900,fa_num,0))&amp;"",""))</f>
        <v/>
      </c>
      <c r="N900" s="59" t="str">
        <f>IF(COUNTA(A900:G900)=0,"",IF(A900="","N° facture manquant",IF(ISNA(MATCH(A900,fa_num,0)),"Facture inconnue",IF(AND(B900&lt;&gt;"",ISNA(MATCH(B900,pr_code,0))),"Article inconnu",IF(H900="","Désignation manquante",IF(OR(NOT(ISNUMBER(D900)),N(D900)&lt;=0),"Quantité invalide",IF(J900="","Prix manquant",IF(OR(NOT(ISNUMBER(J900)),N(J900)&lt;0),"Prix invalide",IF(OR(AND(F900&lt;&gt;"",NOT(ISNUMBER(F900))),N(F900)&lt;0,N(F900)&gt;1),"Remise invalide",IF(K900="","Taux de TVA manquant",IF(NOT(ISNUMBER(K900)),"Taux de TVA invalide",IF(COUNTIF(p_rates,K900)=0,"Taux de TVA hors liste (Paramètres)",IF(N(O900)&gt;25,"Au-delà de 25 lignes : non imprimée","OK")))))))))))))</f>
        <v/>
      </c>
      <c r="O900" s="59" t="str">
        <f>IF(A900="","",COUNTIF($A$6:A900,A900))</f>
        <v/>
      </c>
      <c r="P900" s="62" t="str">
        <f>IF(A900="","",A900&amp;"|"&amp;O900)</f>
        <v/>
      </c>
    </row>
    <row r="901">
      <c r="A901" s="60" t="n"/>
      <c r="B901" s="63" t="n"/>
      <c r="C901" s="63" t="n"/>
      <c r="D901" s="67" t="n"/>
      <c r="E901" s="68" t="n"/>
      <c r="F901" s="69" t="n"/>
      <c r="G901" s="70" t="n"/>
      <c r="H901" s="62" t="str">
        <f>IF(COUNTA(A901:G901)=0,"",IF(C901&lt;&gt;"",C901,IF(B901="","",IFERROR(INDEX(pr_des,MATCH(B901,pr_code,0))&amp;"",""))))</f>
        <v/>
      </c>
      <c r="I901" s="59" t="str">
        <f>IF(B901="","",IFERROR(INDEX(pr_unit,MATCH(B901,pr_code,0))&amp;"",""))</f>
        <v/>
      </c>
      <c r="J901" s="65" t="str">
        <f>IF(COUNTA(A901:G901)=0,"",IF(E901&lt;&gt;"",E901,IF(B901="","",IFERROR(IF(INDEX(pr_price,MATCH(B901,pr_code,0))="","",INDEX(pr_price,MATCH(B901,pr_code,0))),""))))</f>
        <v/>
      </c>
      <c r="K901" s="71" t="str">
        <f>IF(COUNTA(A901:G901)=0,"",IF(G901&lt;&gt;"",G901,IF(B901="","",IFERROR(IF(INDEX(pr_rate,MATCH(B901,pr_code,0))="","",INDEX(pr_rate,MATCH(B901,pr_code,0))),""))))</f>
        <v/>
      </c>
      <c r="L901" s="65" t="str">
        <f>IF(COUNTA(A901:G901)=0,"",IF(AND(ISNUMBER(D901),ISNUMBER(J901)),ROUND(D901*J901*(1-N(F901)),2),0))</f>
        <v/>
      </c>
      <c r="M901" s="62" t="str">
        <f>IF(A901="","",IFERROR(INDEX(fa_cname,MATCH(A901,fa_num,0))&amp;"",""))</f>
        <v/>
      </c>
      <c r="N901" s="59" t="str">
        <f>IF(COUNTA(A901:G901)=0,"",IF(A901="","N° facture manquant",IF(ISNA(MATCH(A901,fa_num,0)),"Facture inconnue",IF(AND(B901&lt;&gt;"",ISNA(MATCH(B901,pr_code,0))),"Article inconnu",IF(H901="","Désignation manquante",IF(OR(NOT(ISNUMBER(D901)),N(D901)&lt;=0),"Quantité invalide",IF(J901="","Prix manquant",IF(OR(NOT(ISNUMBER(J901)),N(J901)&lt;0),"Prix invalide",IF(OR(AND(F901&lt;&gt;"",NOT(ISNUMBER(F901))),N(F901)&lt;0,N(F901)&gt;1),"Remise invalide",IF(K901="","Taux de TVA manquant",IF(NOT(ISNUMBER(K901)),"Taux de TVA invalide",IF(COUNTIF(p_rates,K901)=0,"Taux de TVA hors liste (Paramètres)",IF(N(O901)&gt;25,"Au-delà de 25 lignes : non imprimée","OK")))))))))))))</f>
        <v/>
      </c>
      <c r="O901" s="59" t="str">
        <f>IF(A901="","",COUNTIF($A$6:A901,A901))</f>
        <v/>
      </c>
      <c r="P901" s="62" t="str">
        <f>IF(A901="","",A901&amp;"|"&amp;O901)</f>
        <v/>
      </c>
    </row>
    <row r="902">
      <c r="A902" s="60" t="n"/>
      <c r="B902" s="63" t="n"/>
      <c r="C902" s="63" t="n"/>
      <c r="D902" s="67" t="n"/>
      <c r="E902" s="68" t="n"/>
      <c r="F902" s="69" t="n"/>
      <c r="G902" s="70" t="n"/>
      <c r="H902" s="62" t="str">
        <f>IF(COUNTA(A902:G902)=0,"",IF(C902&lt;&gt;"",C902,IF(B902="","",IFERROR(INDEX(pr_des,MATCH(B902,pr_code,0))&amp;"",""))))</f>
        <v/>
      </c>
      <c r="I902" s="59" t="str">
        <f>IF(B902="","",IFERROR(INDEX(pr_unit,MATCH(B902,pr_code,0))&amp;"",""))</f>
        <v/>
      </c>
      <c r="J902" s="65" t="str">
        <f>IF(COUNTA(A902:G902)=0,"",IF(E902&lt;&gt;"",E902,IF(B902="","",IFERROR(IF(INDEX(pr_price,MATCH(B902,pr_code,0))="","",INDEX(pr_price,MATCH(B902,pr_code,0))),""))))</f>
        <v/>
      </c>
      <c r="K902" s="71" t="str">
        <f>IF(COUNTA(A902:G902)=0,"",IF(G902&lt;&gt;"",G902,IF(B902="","",IFERROR(IF(INDEX(pr_rate,MATCH(B902,pr_code,0))="","",INDEX(pr_rate,MATCH(B902,pr_code,0))),""))))</f>
        <v/>
      </c>
      <c r="L902" s="65" t="str">
        <f>IF(COUNTA(A902:G902)=0,"",IF(AND(ISNUMBER(D902),ISNUMBER(J902)),ROUND(D902*J902*(1-N(F902)),2),0))</f>
        <v/>
      </c>
      <c r="M902" s="62" t="str">
        <f>IF(A902="","",IFERROR(INDEX(fa_cname,MATCH(A902,fa_num,0))&amp;"",""))</f>
        <v/>
      </c>
      <c r="N902" s="59" t="str">
        <f>IF(COUNTA(A902:G902)=0,"",IF(A902="","N° facture manquant",IF(ISNA(MATCH(A902,fa_num,0)),"Facture inconnue",IF(AND(B902&lt;&gt;"",ISNA(MATCH(B902,pr_code,0))),"Article inconnu",IF(H902="","Désignation manquante",IF(OR(NOT(ISNUMBER(D902)),N(D902)&lt;=0),"Quantité invalide",IF(J902="","Prix manquant",IF(OR(NOT(ISNUMBER(J902)),N(J902)&lt;0),"Prix invalide",IF(OR(AND(F902&lt;&gt;"",NOT(ISNUMBER(F902))),N(F902)&lt;0,N(F902)&gt;1),"Remise invalide",IF(K902="","Taux de TVA manquant",IF(NOT(ISNUMBER(K902)),"Taux de TVA invalide",IF(COUNTIF(p_rates,K902)=0,"Taux de TVA hors liste (Paramètres)",IF(N(O902)&gt;25,"Au-delà de 25 lignes : non imprimée","OK")))))))))))))</f>
        <v/>
      </c>
      <c r="O902" s="59" t="str">
        <f>IF(A902="","",COUNTIF($A$6:A902,A902))</f>
        <v/>
      </c>
      <c r="P902" s="62" t="str">
        <f>IF(A902="","",A902&amp;"|"&amp;O902)</f>
        <v/>
      </c>
    </row>
    <row r="903">
      <c r="A903" s="60" t="n"/>
      <c r="B903" s="63" t="n"/>
      <c r="C903" s="63" t="n"/>
      <c r="D903" s="67" t="n"/>
      <c r="E903" s="68" t="n"/>
      <c r="F903" s="69" t="n"/>
      <c r="G903" s="70" t="n"/>
      <c r="H903" s="62" t="str">
        <f>IF(COUNTA(A903:G903)=0,"",IF(C903&lt;&gt;"",C903,IF(B903="","",IFERROR(INDEX(pr_des,MATCH(B903,pr_code,0))&amp;"",""))))</f>
        <v/>
      </c>
      <c r="I903" s="59" t="str">
        <f>IF(B903="","",IFERROR(INDEX(pr_unit,MATCH(B903,pr_code,0))&amp;"",""))</f>
        <v/>
      </c>
      <c r="J903" s="65" t="str">
        <f>IF(COUNTA(A903:G903)=0,"",IF(E903&lt;&gt;"",E903,IF(B903="","",IFERROR(IF(INDEX(pr_price,MATCH(B903,pr_code,0))="","",INDEX(pr_price,MATCH(B903,pr_code,0))),""))))</f>
        <v/>
      </c>
      <c r="K903" s="71" t="str">
        <f>IF(COUNTA(A903:G903)=0,"",IF(G903&lt;&gt;"",G903,IF(B903="","",IFERROR(IF(INDEX(pr_rate,MATCH(B903,pr_code,0))="","",INDEX(pr_rate,MATCH(B903,pr_code,0))),""))))</f>
        <v/>
      </c>
      <c r="L903" s="65" t="str">
        <f>IF(COUNTA(A903:G903)=0,"",IF(AND(ISNUMBER(D903),ISNUMBER(J903)),ROUND(D903*J903*(1-N(F903)),2),0))</f>
        <v/>
      </c>
      <c r="M903" s="62" t="str">
        <f>IF(A903="","",IFERROR(INDEX(fa_cname,MATCH(A903,fa_num,0))&amp;"",""))</f>
        <v/>
      </c>
      <c r="N903" s="59" t="str">
        <f>IF(COUNTA(A903:G903)=0,"",IF(A903="","N° facture manquant",IF(ISNA(MATCH(A903,fa_num,0)),"Facture inconnue",IF(AND(B903&lt;&gt;"",ISNA(MATCH(B903,pr_code,0))),"Article inconnu",IF(H903="","Désignation manquante",IF(OR(NOT(ISNUMBER(D903)),N(D903)&lt;=0),"Quantité invalide",IF(J903="","Prix manquant",IF(OR(NOT(ISNUMBER(J903)),N(J903)&lt;0),"Prix invalide",IF(OR(AND(F903&lt;&gt;"",NOT(ISNUMBER(F903))),N(F903)&lt;0,N(F903)&gt;1),"Remise invalide",IF(K903="","Taux de TVA manquant",IF(NOT(ISNUMBER(K903)),"Taux de TVA invalide",IF(COUNTIF(p_rates,K903)=0,"Taux de TVA hors liste (Paramètres)",IF(N(O903)&gt;25,"Au-delà de 25 lignes : non imprimée","OK")))))))))))))</f>
        <v/>
      </c>
      <c r="O903" s="59" t="str">
        <f>IF(A903="","",COUNTIF($A$6:A903,A903))</f>
        <v/>
      </c>
      <c r="P903" s="62" t="str">
        <f>IF(A903="","",A903&amp;"|"&amp;O903)</f>
        <v/>
      </c>
    </row>
    <row r="904">
      <c r="A904" s="60" t="n"/>
      <c r="B904" s="63" t="n"/>
      <c r="C904" s="63" t="n"/>
      <c r="D904" s="67" t="n"/>
      <c r="E904" s="68" t="n"/>
      <c r="F904" s="69" t="n"/>
      <c r="G904" s="70" t="n"/>
      <c r="H904" s="62" t="str">
        <f>IF(COUNTA(A904:G904)=0,"",IF(C904&lt;&gt;"",C904,IF(B904="","",IFERROR(INDEX(pr_des,MATCH(B904,pr_code,0))&amp;"",""))))</f>
        <v/>
      </c>
      <c r="I904" s="59" t="str">
        <f>IF(B904="","",IFERROR(INDEX(pr_unit,MATCH(B904,pr_code,0))&amp;"",""))</f>
        <v/>
      </c>
      <c r="J904" s="65" t="str">
        <f>IF(COUNTA(A904:G904)=0,"",IF(E904&lt;&gt;"",E904,IF(B904="","",IFERROR(IF(INDEX(pr_price,MATCH(B904,pr_code,0))="","",INDEX(pr_price,MATCH(B904,pr_code,0))),""))))</f>
        <v/>
      </c>
      <c r="K904" s="71" t="str">
        <f>IF(COUNTA(A904:G904)=0,"",IF(G904&lt;&gt;"",G904,IF(B904="","",IFERROR(IF(INDEX(pr_rate,MATCH(B904,pr_code,0))="","",INDEX(pr_rate,MATCH(B904,pr_code,0))),""))))</f>
        <v/>
      </c>
      <c r="L904" s="65" t="str">
        <f>IF(COUNTA(A904:G904)=0,"",IF(AND(ISNUMBER(D904),ISNUMBER(J904)),ROUND(D904*J904*(1-N(F904)),2),0))</f>
        <v/>
      </c>
      <c r="M904" s="62" t="str">
        <f>IF(A904="","",IFERROR(INDEX(fa_cname,MATCH(A904,fa_num,0))&amp;"",""))</f>
        <v/>
      </c>
      <c r="N904" s="59" t="str">
        <f>IF(COUNTA(A904:G904)=0,"",IF(A904="","N° facture manquant",IF(ISNA(MATCH(A904,fa_num,0)),"Facture inconnue",IF(AND(B904&lt;&gt;"",ISNA(MATCH(B904,pr_code,0))),"Article inconnu",IF(H904="","Désignation manquante",IF(OR(NOT(ISNUMBER(D904)),N(D904)&lt;=0),"Quantité invalide",IF(J904="","Prix manquant",IF(OR(NOT(ISNUMBER(J904)),N(J904)&lt;0),"Prix invalide",IF(OR(AND(F904&lt;&gt;"",NOT(ISNUMBER(F904))),N(F904)&lt;0,N(F904)&gt;1),"Remise invalide",IF(K904="","Taux de TVA manquant",IF(NOT(ISNUMBER(K904)),"Taux de TVA invalide",IF(COUNTIF(p_rates,K904)=0,"Taux de TVA hors liste (Paramètres)",IF(N(O904)&gt;25,"Au-delà de 25 lignes : non imprimée","OK")))))))))))))</f>
        <v/>
      </c>
      <c r="O904" s="59" t="str">
        <f>IF(A904="","",COUNTIF($A$6:A904,A904))</f>
        <v/>
      </c>
      <c r="P904" s="62" t="str">
        <f>IF(A904="","",A904&amp;"|"&amp;O904)</f>
        <v/>
      </c>
    </row>
    <row r="905">
      <c r="A905" s="60" t="n"/>
      <c r="B905" s="63" t="n"/>
      <c r="C905" s="63" t="n"/>
      <c r="D905" s="67" t="n"/>
      <c r="E905" s="68" t="n"/>
      <c r="F905" s="69" t="n"/>
      <c r="G905" s="70" t="n"/>
      <c r="H905" s="62" t="str">
        <f>IF(COUNTA(A905:G905)=0,"",IF(C905&lt;&gt;"",C905,IF(B905="","",IFERROR(INDEX(pr_des,MATCH(B905,pr_code,0))&amp;"",""))))</f>
        <v/>
      </c>
      <c r="I905" s="59" t="str">
        <f>IF(B905="","",IFERROR(INDEX(pr_unit,MATCH(B905,pr_code,0))&amp;"",""))</f>
        <v/>
      </c>
      <c r="J905" s="65" t="str">
        <f>IF(COUNTA(A905:G905)=0,"",IF(E905&lt;&gt;"",E905,IF(B905="","",IFERROR(IF(INDEX(pr_price,MATCH(B905,pr_code,0))="","",INDEX(pr_price,MATCH(B905,pr_code,0))),""))))</f>
        <v/>
      </c>
      <c r="K905" s="71" t="str">
        <f>IF(COUNTA(A905:G905)=0,"",IF(G905&lt;&gt;"",G905,IF(B905="","",IFERROR(IF(INDEX(pr_rate,MATCH(B905,pr_code,0))="","",INDEX(pr_rate,MATCH(B905,pr_code,0))),""))))</f>
        <v/>
      </c>
      <c r="L905" s="65" t="str">
        <f>IF(COUNTA(A905:G905)=0,"",IF(AND(ISNUMBER(D905),ISNUMBER(J905)),ROUND(D905*J905*(1-N(F905)),2),0))</f>
        <v/>
      </c>
      <c r="M905" s="62" t="str">
        <f>IF(A905="","",IFERROR(INDEX(fa_cname,MATCH(A905,fa_num,0))&amp;"",""))</f>
        <v/>
      </c>
      <c r="N905" s="59" t="str">
        <f>IF(COUNTA(A905:G905)=0,"",IF(A905="","N° facture manquant",IF(ISNA(MATCH(A905,fa_num,0)),"Facture inconnue",IF(AND(B905&lt;&gt;"",ISNA(MATCH(B905,pr_code,0))),"Article inconnu",IF(H905="","Désignation manquante",IF(OR(NOT(ISNUMBER(D905)),N(D905)&lt;=0),"Quantité invalide",IF(J905="","Prix manquant",IF(OR(NOT(ISNUMBER(J905)),N(J905)&lt;0),"Prix invalide",IF(OR(AND(F905&lt;&gt;"",NOT(ISNUMBER(F905))),N(F905)&lt;0,N(F905)&gt;1),"Remise invalide",IF(K905="","Taux de TVA manquant",IF(NOT(ISNUMBER(K905)),"Taux de TVA invalide",IF(COUNTIF(p_rates,K905)=0,"Taux de TVA hors liste (Paramètres)",IF(N(O905)&gt;25,"Au-delà de 25 lignes : non imprimée","OK")))))))))))))</f>
        <v/>
      </c>
      <c r="O905" s="59" t="str">
        <f>IF(A905="","",COUNTIF($A$6:A905,A905))</f>
        <v/>
      </c>
      <c r="P905" s="62" t="str">
        <f>IF(A905="","",A905&amp;"|"&amp;O905)</f>
        <v/>
      </c>
    </row>
    <row r="906">
      <c r="A906" s="60" t="n"/>
      <c r="B906" s="63" t="n"/>
      <c r="C906" s="63" t="n"/>
      <c r="D906" s="67" t="n"/>
      <c r="E906" s="68" t="n"/>
      <c r="F906" s="69" t="n"/>
      <c r="G906" s="70" t="n"/>
      <c r="H906" s="62" t="str">
        <f>IF(COUNTA(A906:G906)=0,"",IF(C906&lt;&gt;"",C906,IF(B906="","",IFERROR(INDEX(pr_des,MATCH(B906,pr_code,0))&amp;"",""))))</f>
        <v/>
      </c>
      <c r="I906" s="59" t="str">
        <f>IF(B906="","",IFERROR(INDEX(pr_unit,MATCH(B906,pr_code,0))&amp;"",""))</f>
        <v/>
      </c>
      <c r="J906" s="65" t="str">
        <f>IF(COUNTA(A906:G906)=0,"",IF(E906&lt;&gt;"",E906,IF(B906="","",IFERROR(IF(INDEX(pr_price,MATCH(B906,pr_code,0))="","",INDEX(pr_price,MATCH(B906,pr_code,0))),""))))</f>
        <v/>
      </c>
      <c r="K906" s="71" t="str">
        <f>IF(COUNTA(A906:G906)=0,"",IF(G906&lt;&gt;"",G906,IF(B906="","",IFERROR(IF(INDEX(pr_rate,MATCH(B906,pr_code,0))="","",INDEX(pr_rate,MATCH(B906,pr_code,0))),""))))</f>
        <v/>
      </c>
      <c r="L906" s="65" t="str">
        <f>IF(COUNTA(A906:G906)=0,"",IF(AND(ISNUMBER(D906),ISNUMBER(J906)),ROUND(D906*J906*(1-N(F906)),2),0))</f>
        <v/>
      </c>
      <c r="M906" s="62" t="str">
        <f>IF(A906="","",IFERROR(INDEX(fa_cname,MATCH(A906,fa_num,0))&amp;"",""))</f>
        <v/>
      </c>
      <c r="N906" s="59" t="str">
        <f>IF(COUNTA(A906:G906)=0,"",IF(A906="","N° facture manquant",IF(ISNA(MATCH(A906,fa_num,0)),"Facture inconnue",IF(AND(B906&lt;&gt;"",ISNA(MATCH(B906,pr_code,0))),"Article inconnu",IF(H906="","Désignation manquante",IF(OR(NOT(ISNUMBER(D906)),N(D906)&lt;=0),"Quantité invalide",IF(J906="","Prix manquant",IF(OR(NOT(ISNUMBER(J906)),N(J906)&lt;0),"Prix invalide",IF(OR(AND(F906&lt;&gt;"",NOT(ISNUMBER(F906))),N(F906)&lt;0,N(F906)&gt;1),"Remise invalide",IF(K906="","Taux de TVA manquant",IF(NOT(ISNUMBER(K906)),"Taux de TVA invalide",IF(COUNTIF(p_rates,K906)=0,"Taux de TVA hors liste (Paramètres)",IF(N(O906)&gt;25,"Au-delà de 25 lignes : non imprimée","OK")))))))))))))</f>
        <v/>
      </c>
      <c r="O906" s="59" t="str">
        <f>IF(A906="","",COUNTIF($A$6:A906,A906))</f>
        <v/>
      </c>
      <c r="P906" s="62" t="str">
        <f>IF(A906="","",A906&amp;"|"&amp;O906)</f>
        <v/>
      </c>
    </row>
    <row r="907">
      <c r="A907" s="60" t="n"/>
      <c r="B907" s="63" t="n"/>
      <c r="C907" s="63" t="n"/>
      <c r="D907" s="67" t="n"/>
      <c r="E907" s="68" t="n"/>
      <c r="F907" s="69" t="n"/>
      <c r="G907" s="70" t="n"/>
      <c r="H907" s="62" t="str">
        <f>IF(COUNTA(A907:G907)=0,"",IF(C907&lt;&gt;"",C907,IF(B907="","",IFERROR(INDEX(pr_des,MATCH(B907,pr_code,0))&amp;"",""))))</f>
        <v/>
      </c>
      <c r="I907" s="59" t="str">
        <f>IF(B907="","",IFERROR(INDEX(pr_unit,MATCH(B907,pr_code,0))&amp;"",""))</f>
        <v/>
      </c>
      <c r="J907" s="65" t="str">
        <f>IF(COUNTA(A907:G907)=0,"",IF(E907&lt;&gt;"",E907,IF(B907="","",IFERROR(IF(INDEX(pr_price,MATCH(B907,pr_code,0))="","",INDEX(pr_price,MATCH(B907,pr_code,0))),""))))</f>
        <v/>
      </c>
      <c r="K907" s="71" t="str">
        <f>IF(COUNTA(A907:G907)=0,"",IF(G907&lt;&gt;"",G907,IF(B907="","",IFERROR(IF(INDEX(pr_rate,MATCH(B907,pr_code,0))="","",INDEX(pr_rate,MATCH(B907,pr_code,0))),""))))</f>
        <v/>
      </c>
      <c r="L907" s="65" t="str">
        <f>IF(COUNTA(A907:G907)=0,"",IF(AND(ISNUMBER(D907),ISNUMBER(J907)),ROUND(D907*J907*(1-N(F907)),2),0))</f>
        <v/>
      </c>
      <c r="M907" s="62" t="str">
        <f>IF(A907="","",IFERROR(INDEX(fa_cname,MATCH(A907,fa_num,0))&amp;"",""))</f>
        <v/>
      </c>
      <c r="N907" s="59" t="str">
        <f>IF(COUNTA(A907:G907)=0,"",IF(A907="","N° facture manquant",IF(ISNA(MATCH(A907,fa_num,0)),"Facture inconnue",IF(AND(B907&lt;&gt;"",ISNA(MATCH(B907,pr_code,0))),"Article inconnu",IF(H907="","Désignation manquante",IF(OR(NOT(ISNUMBER(D907)),N(D907)&lt;=0),"Quantité invalide",IF(J907="","Prix manquant",IF(OR(NOT(ISNUMBER(J907)),N(J907)&lt;0),"Prix invalide",IF(OR(AND(F907&lt;&gt;"",NOT(ISNUMBER(F907))),N(F907)&lt;0,N(F907)&gt;1),"Remise invalide",IF(K907="","Taux de TVA manquant",IF(NOT(ISNUMBER(K907)),"Taux de TVA invalide",IF(COUNTIF(p_rates,K907)=0,"Taux de TVA hors liste (Paramètres)",IF(N(O907)&gt;25,"Au-delà de 25 lignes : non imprimée","OK")))))))))))))</f>
        <v/>
      </c>
      <c r="O907" s="59" t="str">
        <f>IF(A907="","",COUNTIF($A$6:A907,A907))</f>
        <v/>
      </c>
      <c r="P907" s="62" t="str">
        <f>IF(A907="","",A907&amp;"|"&amp;O907)</f>
        <v/>
      </c>
    </row>
    <row r="908">
      <c r="A908" s="60" t="n"/>
      <c r="B908" s="63" t="n"/>
      <c r="C908" s="63" t="n"/>
      <c r="D908" s="67" t="n"/>
      <c r="E908" s="68" t="n"/>
      <c r="F908" s="69" t="n"/>
      <c r="G908" s="70" t="n"/>
      <c r="H908" s="62" t="str">
        <f>IF(COUNTA(A908:G908)=0,"",IF(C908&lt;&gt;"",C908,IF(B908="","",IFERROR(INDEX(pr_des,MATCH(B908,pr_code,0))&amp;"",""))))</f>
        <v/>
      </c>
      <c r="I908" s="59" t="str">
        <f>IF(B908="","",IFERROR(INDEX(pr_unit,MATCH(B908,pr_code,0))&amp;"",""))</f>
        <v/>
      </c>
      <c r="J908" s="65" t="str">
        <f>IF(COUNTA(A908:G908)=0,"",IF(E908&lt;&gt;"",E908,IF(B908="","",IFERROR(IF(INDEX(pr_price,MATCH(B908,pr_code,0))="","",INDEX(pr_price,MATCH(B908,pr_code,0))),""))))</f>
        <v/>
      </c>
      <c r="K908" s="71" t="str">
        <f>IF(COUNTA(A908:G908)=0,"",IF(G908&lt;&gt;"",G908,IF(B908="","",IFERROR(IF(INDEX(pr_rate,MATCH(B908,pr_code,0))="","",INDEX(pr_rate,MATCH(B908,pr_code,0))),""))))</f>
        <v/>
      </c>
      <c r="L908" s="65" t="str">
        <f>IF(COUNTA(A908:G908)=0,"",IF(AND(ISNUMBER(D908),ISNUMBER(J908)),ROUND(D908*J908*(1-N(F908)),2),0))</f>
        <v/>
      </c>
      <c r="M908" s="62" t="str">
        <f>IF(A908="","",IFERROR(INDEX(fa_cname,MATCH(A908,fa_num,0))&amp;"",""))</f>
        <v/>
      </c>
      <c r="N908" s="59" t="str">
        <f>IF(COUNTA(A908:G908)=0,"",IF(A908="","N° facture manquant",IF(ISNA(MATCH(A908,fa_num,0)),"Facture inconnue",IF(AND(B908&lt;&gt;"",ISNA(MATCH(B908,pr_code,0))),"Article inconnu",IF(H908="","Désignation manquante",IF(OR(NOT(ISNUMBER(D908)),N(D908)&lt;=0),"Quantité invalide",IF(J908="","Prix manquant",IF(OR(NOT(ISNUMBER(J908)),N(J908)&lt;0),"Prix invalide",IF(OR(AND(F908&lt;&gt;"",NOT(ISNUMBER(F908))),N(F908)&lt;0,N(F908)&gt;1),"Remise invalide",IF(K908="","Taux de TVA manquant",IF(NOT(ISNUMBER(K908)),"Taux de TVA invalide",IF(COUNTIF(p_rates,K908)=0,"Taux de TVA hors liste (Paramètres)",IF(N(O908)&gt;25,"Au-delà de 25 lignes : non imprimée","OK")))))))))))))</f>
        <v/>
      </c>
      <c r="O908" s="59" t="str">
        <f>IF(A908="","",COUNTIF($A$6:A908,A908))</f>
        <v/>
      </c>
      <c r="P908" s="62" t="str">
        <f>IF(A908="","",A908&amp;"|"&amp;O908)</f>
        <v/>
      </c>
    </row>
    <row r="909">
      <c r="A909" s="60" t="n"/>
      <c r="B909" s="63" t="n"/>
      <c r="C909" s="63" t="n"/>
      <c r="D909" s="67" t="n"/>
      <c r="E909" s="68" t="n"/>
      <c r="F909" s="69" t="n"/>
      <c r="G909" s="70" t="n"/>
      <c r="H909" s="62" t="str">
        <f>IF(COUNTA(A909:G909)=0,"",IF(C909&lt;&gt;"",C909,IF(B909="","",IFERROR(INDEX(pr_des,MATCH(B909,pr_code,0))&amp;"",""))))</f>
        <v/>
      </c>
      <c r="I909" s="59" t="str">
        <f>IF(B909="","",IFERROR(INDEX(pr_unit,MATCH(B909,pr_code,0))&amp;"",""))</f>
        <v/>
      </c>
      <c r="J909" s="65" t="str">
        <f>IF(COUNTA(A909:G909)=0,"",IF(E909&lt;&gt;"",E909,IF(B909="","",IFERROR(IF(INDEX(pr_price,MATCH(B909,pr_code,0))="","",INDEX(pr_price,MATCH(B909,pr_code,0))),""))))</f>
        <v/>
      </c>
      <c r="K909" s="71" t="str">
        <f>IF(COUNTA(A909:G909)=0,"",IF(G909&lt;&gt;"",G909,IF(B909="","",IFERROR(IF(INDEX(pr_rate,MATCH(B909,pr_code,0))="","",INDEX(pr_rate,MATCH(B909,pr_code,0))),""))))</f>
        <v/>
      </c>
      <c r="L909" s="65" t="str">
        <f>IF(COUNTA(A909:G909)=0,"",IF(AND(ISNUMBER(D909),ISNUMBER(J909)),ROUND(D909*J909*(1-N(F909)),2),0))</f>
        <v/>
      </c>
      <c r="M909" s="62" t="str">
        <f>IF(A909="","",IFERROR(INDEX(fa_cname,MATCH(A909,fa_num,0))&amp;"",""))</f>
        <v/>
      </c>
      <c r="N909" s="59" t="str">
        <f>IF(COUNTA(A909:G909)=0,"",IF(A909="","N° facture manquant",IF(ISNA(MATCH(A909,fa_num,0)),"Facture inconnue",IF(AND(B909&lt;&gt;"",ISNA(MATCH(B909,pr_code,0))),"Article inconnu",IF(H909="","Désignation manquante",IF(OR(NOT(ISNUMBER(D909)),N(D909)&lt;=0),"Quantité invalide",IF(J909="","Prix manquant",IF(OR(NOT(ISNUMBER(J909)),N(J909)&lt;0),"Prix invalide",IF(OR(AND(F909&lt;&gt;"",NOT(ISNUMBER(F909))),N(F909)&lt;0,N(F909)&gt;1),"Remise invalide",IF(K909="","Taux de TVA manquant",IF(NOT(ISNUMBER(K909)),"Taux de TVA invalide",IF(COUNTIF(p_rates,K909)=0,"Taux de TVA hors liste (Paramètres)",IF(N(O909)&gt;25,"Au-delà de 25 lignes : non imprimée","OK")))))))))))))</f>
        <v/>
      </c>
      <c r="O909" s="59" t="str">
        <f>IF(A909="","",COUNTIF($A$6:A909,A909))</f>
        <v/>
      </c>
      <c r="P909" s="62" t="str">
        <f>IF(A909="","",A909&amp;"|"&amp;O909)</f>
        <v/>
      </c>
    </row>
    <row r="910">
      <c r="A910" s="60" t="n"/>
      <c r="B910" s="63" t="n"/>
      <c r="C910" s="63" t="n"/>
      <c r="D910" s="67" t="n"/>
      <c r="E910" s="68" t="n"/>
      <c r="F910" s="69" t="n"/>
      <c r="G910" s="70" t="n"/>
      <c r="H910" s="62" t="str">
        <f>IF(COUNTA(A910:G910)=0,"",IF(C910&lt;&gt;"",C910,IF(B910="","",IFERROR(INDEX(pr_des,MATCH(B910,pr_code,0))&amp;"",""))))</f>
        <v/>
      </c>
      <c r="I910" s="59" t="str">
        <f>IF(B910="","",IFERROR(INDEX(pr_unit,MATCH(B910,pr_code,0))&amp;"",""))</f>
        <v/>
      </c>
      <c r="J910" s="65" t="str">
        <f>IF(COUNTA(A910:G910)=0,"",IF(E910&lt;&gt;"",E910,IF(B910="","",IFERROR(IF(INDEX(pr_price,MATCH(B910,pr_code,0))="","",INDEX(pr_price,MATCH(B910,pr_code,0))),""))))</f>
        <v/>
      </c>
      <c r="K910" s="71" t="str">
        <f>IF(COUNTA(A910:G910)=0,"",IF(G910&lt;&gt;"",G910,IF(B910="","",IFERROR(IF(INDEX(pr_rate,MATCH(B910,pr_code,0))="","",INDEX(pr_rate,MATCH(B910,pr_code,0))),""))))</f>
        <v/>
      </c>
      <c r="L910" s="65" t="str">
        <f>IF(COUNTA(A910:G910)=0,"",IF(AND(ISNUMBER(D910),ISNUMBER(J910)),ROUND(D910*J910*(1-N(F910)),2),0))</f>
        <v/>
      </c>
      <c r="M910" s="62" t="str">
        <f>IF(A910="","",IFERROR(INDEX(fa_cname,MATCH(A910,fa_num,0))&amp;"",""))</f>
        <v/>
      </c>
      <c r="N910" s="59" t="str">
        <f>IF(COUNTA(A910:G910)=0,"",IF(A910="","N° facture manquant",IF(ISNA(MATCH(A910,fa_num,0)),"Facture inconnue",IF(AND(B910&lt;&gt;"",ISNA(MATCH(B910,pr_code,0))),"Article inconnu",IF(H910="","Désignation manquante",IF(OR(NOT(ISNUMBER(D910)),N(D910)&lt;=0),"Quantité invalide",IF(J910="","Prix manquant",IF(OR(NOT(ISNUMBER(J910)),N(J910)&lt;0),"Prix invalide",IF(OR(AND(F910&lt;&gt;"",NOT(ISNUMBER(F910))),N(F910)&lt;0,N(F910)&gt;1),"Remise invalide",IF(K910="","Taux de TVA manquant",IF(NOT(ISNUMBER(K910)),"Taux de TVA invalide",IF(COUNTIF(p_rates,K910)=0,"Taux de TVA hors liste (Paramètres)",IF(N(O910)&gt;25,"Au-delà de 25 lignes : non imprimée","OK")))))))))))))</f>
        <v/>
      </c>
      <c r="O910" s="59" t="str">
        <f>IF(A910="","",COUNTIF($A$6:A910,A910))</f>
        <v/>
      </c>
      <c r="P910" s="62" t="str">
        <f>IF(A910="","",A910&amp;"|"&amp;O910)</f>
        <v/>
      </c>
    </row>
    <row r="911">
      <c r="A911" s="60" t="n"/>
      <c r="B911" s="63" t="n"/>
      <c r="C911" s="63" t="n"/>
      <c r="D911" s="67" t="n"/>
      <c r="E911" s="68" t="n"/>
      <c r="F911" s="69" t="n"/>
      <c r="G911" s="70" t="n"/>
      <c r="H911" s="62" t="str">
        <f>IF(COUNTA(A911:G911)=0,"",IF(C911&lt;&gt;"",C911,IF(B911="","",IFERROR(INDEX(pr_des,MATCH(B911,pr_code,0))&amp;"",""))))</f>
        <v/>
      </c>
      <c r="I911" s="59" t="str">
        <f>IF(B911="","",IFERROR(INDEX(pr_unit,MATCH(B911,pr_code,0))&amp;"",""))</f>
        <v/>
      </c>
      <c r="J911" s="65" t="str">
        <f>IF(COUNTA(A911:G911)=0,"",IF(E911&lt;&gt;"",E911,IF(B911="","",IFERROR(IF(INDEX(pr_price,MATCH(B911,pr_code,0))="","",INDEX(pr_price,MATCH(B911,pr_code,0))),""))))</f>
        <v/>
      </c>
      <c r="K911" s="71" t="str">
        <f>IF(COUNTA(A911:G911)=0,"",IF(G911&lt;&gt;"",G911,IF(B911="","",IFERROR(IF(INDEX(pr_rate,MATCH(B911,pr_code,0))="","",INDEX(pr_rate,MATCH(B911,pr_code,0))),""))))</f>
        <v/>
      </c>
      <c r="L911" s="65" t="str">
        <f>IF(COUNTA(A911:G911)=0,"",IF(AND(ISNUMBER(D911),ISNUMBER(J911)),ROUND(D911*J911*(1-N(F911)),2),0))</f>
        <v/>
      </c>
      <c r="M911" s="62" t="str">
        <f>IF(A911="","",IFERROR(INDEX(fa_cname,MATCH(A911,fa_num,0))&amp;"",""))</f>
        <v/>
      </c>
      <c r="N911" s="59" t="str">
        <f>IF(COUNTA(A911:G911)=0,"",IF(A911="","N° facture manquant",IF(ISNA(MATCH(A911,fa_num,0)),"Facture inconnue",IF(AND(B911&lt;&gt;"",ISNA(MATCH(B911,pr_code,0))),"Article inconnu",IF(H911="","Désignation manquante",IF(OR(NOT(ISNUMBER(D911)),N(D911)&lt;=0),"Quantité invalide",IF(J911="","Prix manquant",IF(OR(NOT(ISNUMBER(J911)),N(J911)&lt;0),"Prix invalide",IF(OR(AND(F911&lt;&gt;"",NOT(ISNUMBER(F911))),N(F911)&lt;0,N(F911)&gt;1),"Remise invalide",IF(K911="","Taux de TVA manquant",IF(NOT(ISNUMBER(K911)),"Taux de TVA invalide",IF(COUNTIF(p_rates,K911)=0,"Taux de TVA hors liste (Paramètres)",IF(N(O911)&gt;25,"Au-delà de 25 lignes : non imprimée","OK")))))))))))))</f>
        <v/>
      </c>
      <c r="O911" s="59" t="str">
        <f>IF(A911="","",COUNTIF($A$6:A911,A911))</f>
        <v/>
      </c>
      <c r="P911" s="62" t="str">
        <f>IF(A911="","",A911&amp;"|"&amp;O911)</f>
        <v/>
      </c>
    </row>
    <row r="912">
      <c r="A912" s="60" t="n"/>
      <c r="B912" s="63" t="n"/>
      <c r="C912" s="63" t="n"/>
      <c r="D912" s="67" t="n"/>
      <c r="E912" s="68" t="n"/>
      <c r="F912" s="69" t="n"/>
      <c r="G912" s="70" t="n"/>
      <c r="H912" s="62" t="str">
        <f>IF(COUNTA(A912:G912)=0,"",IF(C912&lt;&gt;"",C912,IF(B912="","",IFERROR(INDEX(pr_des,MATCH(B912,pr_code,0))&amp;"",""))))</f>
        <v/>
      </c>
      <c r="I912" s="59" t="str">
        <f>IF(B912="","",IFERROR(INDEX(pr_unit,MATCH(B912,pr_code,0))&amp;"",""))</f>
        <v/>
      </c>
      <c r="J912" s="65" t="str">
        <f>IF(COUNTA(A912:G912)=0,"",IF(E912&lt;&gt;"",E912,IF(B912="","",IFERROR(IF(INDEX(pr_price,MATCH(B912,pr_code,0))="","",INDEX(pr_price,MATCH(B912,pr_code,0))),""))))</f>
        <v/>
      </c>
      <c r="K912" s="71" t="str">
        <f>IF(COUNTA(A912:G912)=0,"",IF(G912&lt;&gt;"",G912,IF(B912="","",IFERROR(IF(INDEX(pr_rate,MATCH(B912,pr_code,0))="","",INDEX(pr_rate,MATCH(B912,pr_code,0))),""))))</f>
        <v/>
      </c>
      <c r="L912" s="65" t="str">
        <f>IF(COUNTA(A912:G912)=0,"",IF(AND(ISNUMBER(D912),ISNUMBER(J912)),ROUND(D912*J912*(1-N(F912)),2),0))</f>
        <v/>
      </c>
      <c r="M912" s="62" t="str">
        <f>IF(A912="","",IFERROR(INDEX(fa_cname,MATCH(A912,fa_num,0))&amp;"",""))</f>
        <v/>
      </c>
      <c r="N912" s="59" t="str">
        <f>IF(COUNTA(A912:G912)=0,"",IF(A912="","N° facture manquant",IF(ISNA(MATCH(A912,fa_num,0)),"Facture inconnue",IF(AND(B912&lt;&gt;"",ISNA(MATCH(B912,pr_code,0))),"Article inconnu",IF(H912="","Désignation manquante",IF(OR(NOT(ISNUMBER(D912)),N(D912)&lt;=0),"Quantité invalide",IF(J912="","Prix manquant",IF(OR(NOT(ISNUMBER(J912)),N(J912)&lt;0),"Prix invalide",IF(OR(AND(F912&lt;&gt;"",NOT(ISNUMBER(F912))),N(F912)&lt;0,N(F912)&gt;1),"Remise invalide",IF(K912="","Taux de TVA manquant",IF(NOT(ISNUMBER(K912)),"Taux de TVA invalide",IF(COUNTIF(p_rates,K912)=0,"Taux de TVA hors liste (Paramètres)",IF(N(O912)&gt;25,"Au-delà de 25 lignes : non imprimée","OK")))))))))))))</f>
        <v/>
      </c>
      <c r="O912" s="59" t="str">
        <f>IF(A912="","",COUNTIF($A$6:A912,A912))</f>
        <v/>
      </c>
      <c r="P912" s="62" t="str">
        <f>IF(A912="","",A912&amp;"|"&amp;O912)</f>
        <v/>
      </c>
    </row>
    <row r="913">
      <c r="A913" s="60" t="n"/>
      <c r="B913" s="63" t="n"/>
      <c r="C913" s="63" t="n"/>
      <c r="D913" s="67" t="n"/>
      <c r="E913" s="68" t="n"/>
      <c r="F913" s="69" t="n"/>
      <c r="G913" s="70" t="n"/>
      <c r="H913" s="62" t="str">
        <f>IF(COUNTA(A913:G913)=0,"",IF(C913&lt;&gt;"",C913,IF(B913="","",IFERROR(INDEX(pr_des,MATCH(B913,pr_code,0))&amp;"",""))))</f>
        <v/>
      </c>
      <c r="I913" s="59" t="str">
        <f>IF(B913="","",IFERROR(INDEX(pr_unit,MATCH(B913,pr_code,0))&amp;"",""))</f>
        <v/>
      </c>
      <c r="J913" s="65" t="str">
        <f>IF(COUNTA(A913:G913)=0,"",IF(E913&lt;&gt;"",E913,IF(B913="","",IFERROR(IF(INDEX(pr_price,MATCH(B913,pr_code,0))="","",INDEX(pr_price,MATCH(B913,pr_code,0))),""))))</f>
        <v/>
      </c>
      <c r="K913" s="71" t="str">
        <f>IF(COUNTA(A913:G913)=0,"",IF(G913&lt;&gt;"",G913,IF(B913="","",IFERROR(IF(INDEX(pr_rate,MATCH(B913,pr_code,0))="","",INDEX(pr_rate,MATCH(B913,pr_code,0))),""))))</f>
        <v/>
      </c>
      <c r="L913" s="65" t="str">
        <f>IF(COUNTA(A913:G913)=0,"",IF(AND(ISNUMBER(D913),ISNUMBER(J913)),ROUND(D913*J913*(1-N(F913)),2),0))</f>
        <v/>
      </c>
      <c r="M913" s="62" t="str">
        <f>IF(A913="","",IFERROR(INDEX(fa_cname,MATCH(A913,fa_num,0))&amp;"",""))</f>
        <v/>
      </c>
      <c r="N913" s="59" t="str">
        <f>IF(COUNTA(A913:G913)=0,"",IF(A913="","N° facture manquant",IF(ISNA(MATCH(A913,fa_num,0)),"Facture inconnue",IF(AND(B913&lt;&gt;"",ISNA(MATCH(B913,pr_code,0))),"Article inconnu",IF(H913="","Désignation manquante",IF(OR(NOT(ISNUMBER(D913)),N(D913)&lt;=0),"Quantité invalide",IF(J913="","Prix manquant",IF(OR(NOT(ISNUMBER(J913)),N(J913)&lt;0),"Prix invalide",IF(OR(AND(F913&lt;&gt;"",NOT(ISNUMBER(F913))),N(F913)&lt;0,N(F913)&gt;1),"Remise invalide",IF(K913="","Taux de TVA manquant",IF(NOT(ISNUMBER(K913)),"Taux de TVA invalide",IF(COUNTIF(p_rates,K913)=0,"Taux de TVA hors liste (Paramètres)",IF(N(O913)&gt;25,"Au-delà de 25 lignes : non imprimée","OK")))))))))))))</f>
        <v/>
      </c>
      <c r="O913" s="59" t="str">
        <f>IF(A913="","",COUNTIF($A$6:A913,A913))</f>
        <v/>
      </c>
      <c r="P913" s="62" t="str">
        <f>IF(A913="","",A913&amp;"|"&amp;O913)</f>
        <v/>
      </c>
    </row>
    <row r="914">
      <c r="A914" s="60" t="n"/>
      <c r="B914" s="63" t="n"/>
      <c r="C914" s="63" t="n"/>
      <c r="D914" s="67" t="n"/>
      <c r="E914" s="68" t="n"/>
      <c r="F914" s="69" t="n"/>
      <c r="G914" s="70" t="n"/>
      <c r="H914" s="62" t="str">
        <f>IF(COUNTA(A914:G914)=0,"",IF(C914&lt;&gt;"",C914,IF(B914="","",IFERROR(INDEX(pr_des,MATCH(B914,pr_code,0))&amp;"",""))))</f>
        <v/>
      </c>
      <c r="I914" s="59" t="str">
        <f>IF(B914="","",IFERROR(INDEX(pr_unit,MATCH(B914,pr_code,0))&amp;"",""))</f>
        <v/>
      </c>
      <c r="J914" s="65" t="str">
        <f>IF(COUNTA(A914:G914)=0,"",IF(E914&lt;&gt;"",E914,IF(B914="","",IFERROR(IF(INDEX(pr_price,MATCH(B914,pr_code,0))="","",INDEX(pr_price,MATCH(B914,pr_code,0))),""))))</f>
        <v/>
      </c>
      <c r="K914" s="71" t="str">
        <f>IF(COUNTA(A914:G914)=0,"",IF(G914&lt;&gt;"",G914,IF(B914="","",IFERROR(IF(INDEX(pr_rate,MATCH(B914,pr_code,0))="","",INDEX(pr_rate,MATCH(B914,pr_code,0))),""))))</f>
        <v/>
      </c>
      <c r="L914" s="65" t="str">
        <f>IF(COUNTA(A914:G914)=0,"",IF(AND(ISNUMBER(D914),ISNUMBER(J914)),ROUND(D914*J914*(1-N(F914)),2),0))</f>
        <v/>
      </c>
      <c r="M914" s="62" t="str">
        <f>IF(A914="","",IFERROR(INDEX(fa_cname,MATCH(A914,fa_num,0))&amp;"",""))</f>
        <v/>
      </c>
      <c r="N914" s="59" t="str">
        <f>IF(COUNTA(A914:G914)=0,"",IF(A914="","N° facture manquant",IF(ISNA(MATCH(A914,fa_num,0)),"Facture inconnue",IF(AND(B914&lt;&gt;"",ISNA(MATCH(B914,pr_code,0))),"Article inconnu",IF(H914="","Désignation manquante",IF(OR(NOT(ISNUMBER(D914)),N(D914)&lt;=0),"Quantité invalide",IF(J914="","Prix manquant",IF(OR(NOT(ISNUMBER(J914)),N(J914)&lt;0),"Prix invalide",IF(OR(AND(F914&lt;&gt;"",NOT(ISNUMBER(F914))),N(F914)&lt;0,N(F914)&gt;1),"Remise invalide",IF(K914="","Taux de TVA manquant",IF(NOT(ISNUMBER(K914)),"Taux de TVA invalide",IF(COUNTIF(p_rates,K914)=0,"Taux de TVA hors liste (Paramètres)",IF(N(O914)&gt;25,"Au-delà de 25 lignes : non imprimée","OK")))))))))))))</f>
        <v/>
      </c>
      <c r="O914" s="59" t="str">
        <f>IF(A914="","",COUNTIF($A$6:A914,A914))</f>
        <v/>
      </c>
      <c r="P914" s="62" t="str">
        <f>IF(A914="","",A914&amp;"|"&amp;O914)</f>
        <v/>
      </c>
    </row>
    <row r="915">
      <c r="A915" s="60" t="n"/>
      <c r="B915" s="63" t="n"/>
      <c r="C915" s="63" t="n"/>
      <c r="D915" s="67" t="n"/>
      <c r="E915" s="68" t="n"/>
      <c r="F915" s="69" t="n"/>
      <c r="G915" s="70" t="n"/>
      <c r="H915" s="62" t="str">
        <f>IF(COUNTA(A915:G915)=0,"",IF(C915&lt;&gt;"",C915,IF(B915="","",IFERROR(INDEX(pr_des,MATCH(B915,pr_code,0))&amp;"",""))))</f>
        <v/>
      </c>
      <c r="I915" s="59" t="str">
        <f>IF(B915="","",IFERROR(INDEX(pr_unit,MATCH(B915,pr_code,0))&amp;"",""))</f>
        <v/>
      </c>
      <c r="J915" s="65" t="str">
        <f>IF(COUNTA(A915:G915)=0,"",IF(E915&lt;&gt;"",E915,IF(B915="","",IFERROR(IF(INDEX(pr_price,MATCH(B915,pr_code,0))="","",INDEX(pr_price,MATCH(B915,pr_code,0))),""))))</f>
        <v/>
      </c>
      <c r="K915" s="71" t="str">
        <f>IF(COUNTA(A915:G915)=0,"",IF(G915&lt;&gt;"",G915,IF(B915="","",IFERROR(IF(INDEX(pr_rate,MATCH(B915,pr_code,0))="","",INDEX(pr_rate,MATCH(B915,pr_code,0))),""))))</f>
        <v/>
      </c>
      <c r="L915" s="65" t="str">
        <f>IF(COUNTA(A915:G915)=0,"",IF(AND(ISNUMBER(D915),ISNUMBER(J915)),ROUND(D915*J915*(1-N(F915)),2),0))</f>
        <v/>
      </c>
      <c r="M915" s="62" t="str">
        <f>IF(A915="","",IFERROR(INDEX(fa_cname,MATCH(A915,fa_num,0))&amp;"",""))</f>
        <v/>
      </c>
      <c r="N915" s="59" t="str">
        <f>IF(COUNTA(A915:G915)=0,"",IF(A915="","N° facture manquant",IF(ISNA(MATCH(A915,fa_num,0)),"Facture inconnue",IF(AND(B915&lt;&gt;"",ISNA(MATCH(B915,pr_code,0))),"Article inconnu",IF(H915="","Désignation manquante",IF(OR(NOT(ISNUMBER(D915)),N(D915)&lt;=0),"Quantité invalide",IF(J915="","Prix manquant",IF(OR(NOT(ISNUMBER(J915)),N(J915)&lt;0),"Prix invalide",IF(OR(AND(F915&lt;&gt;"",NOT(ISNUMBER(F915))),N(F915)&lt;0,N(F915)&gt;1),"Remise invalide",IF(K915="","Taux de TVA manquant",IF(NOT(ISNUMBER(K915)),"Taux de TVA invalide",IF(COUNTIF(p_rates,K915)=0,"Taux de TVA hors liste (Paramètres)",IF(N(O915)&gt;25,"Au-delà de 25 lignes : non imprimée","OK")))))))))))))</f>
        <v/>
      </c>
      <c r="O915" s="59" t="str">
        <f>IF(A915="","",COUNTIF($A$6:A915,A915))</f>
        <v/>
      </c>
      <c r="P915" s="62" t="str">
        <f>IF(A915="","",A915&amp;"|"&amp;O915)</f>
        <v/>
      </c>
    </row>
    <row r="916">
      <c r="A916" s="60" t="n"/>
      <c r="B916" s="63" t="n"/>
      <c r="C916" s="63" t="n"/>
      <c r="D916" s="67" t="n"/>
      <c r="E916" s="68" t="n"/>
      <c r="F916" s="69" t="n"/>
      <c r="G916" s="70" t="n"/>
      <c r="H916" s="62" t="str">
        <f>IF(COUNTA(A916:G916)=0,"",IF(C916&lt;&gt;"",C916,IF(B916="","",IFERROR(INDEX(pr_des,MATCH(B916,pr_code,0))&amp;"",""))))</f>
        <v/>
      </c>
      <c r="I916" s="59" t="str">
        <f>IF(B916="","",IFERROR(INDEX(pr_unit,MATCH(B916,pr_code,0))&amp;"",""))</f>
        <v/>
      </c>
      <c r="J916" s="65" t="str">
        <f>IF(COUNTA(A916:G916)=0,"",IF(E916&lt;&gt;"",E916,IF(B916="","",IFERROR(IF(INDEX(pr_price,MATCH(B916,pr_code,0))="","",INDEX(pr_price,MATCH(B916,pr_code,0))),""))))</f>
        <v/>
      </c>
      <c r="K916" s="71" t="str">
        <f>IF(COUNTA(A916:G916)=0,"",IF(G916&lt;&gt;"",G916,IF(B916="","",IFERROR(IF(INDEX(pr_rate,MATCH(B916,pr_code,0))="","",INDEX(pr_rate,MATCH(B916,pr_code,0))),""))))</f>
        <v/>
      </c>
      <c r="L916" s="65" t="str">
        <f>IF(COUNTA(A916:G916)=0,"",IF(AND(ISNUMBER(D916),ISNUMBER(J916)),ROUND(D916*J916*(1-N(F916)),2),0))</f>
        <v/>
      </c>
      <c r="M916" s="62" t="str">
        <f>IF(A916="","",IFERROR(INDEX(fa_cname,MATCH(A916,fa_num,0))&amp;"",""))</f>
        <v/>
      </c>
      <c r="N916" s="59" t="str">
        <f>IF(COUNTA(A916:G916)=0,"",IF(A916="","N° facture manquant",IF(ISNA(MATCH(A916,fa_num,0)),"Facture inconnue",IF(AND(B916&lt;&gt;"",ISNA(MATCH(B916,pr_code,0))),"Article inconnu",IF(H916="","Désignation manquante",IF(OR(NOT(ISNUMBER(D916)),N(D916)&lt;=0),"Quantité invalide",IF(J916="","Prix manquant",IF(OR(NOT(ISNUMBER(J916)),N(J916)&lt;0),"Prix invalide",IF(OR(AND(F916&lt;&gt;"",NOT(ISNUMBER(F916))),N(F916)&lt;0,N(F916)&gt;1),"Remise invalide",IF(K916="","Taux de TVA manquant",IF(NOT(ISNUMBER(K916)),"Taux de TVA invalide",IF(COUNTIF(p_rates,K916)=0,"Taux de TVA hors liste (Paramètres)",IF(N(O916)&gt;25,"Au-delà de 25 lignes : non imprimée","OK")))))))))))))</f>
        <v/>
      </c>
      <c r="O916" s="59" t="str">
        <f>IF(A916="","",COUNTIF($A$6:A916,A916))</f>
        <v/>
      </c>
      <c r="P916" s="62" t="str">
        <f>IF(A916="","",A916&amp;"|"&amp;O916)</f>
        <v/>
      </c>
    </row>
    <row r="917">
      <c r="A917" s="60" t="n"/>
      <c r="B917" s="63" t="n"/>
      <c r="C917" s="63" t="n"/>
      <c r="D917" s="67" t="n"/>
      <c r="E917" s="68" t="n"/>
      <c r="F917" s="69" t="n"/>
      <c r="G917" s="70" t="n"/>
      <c r="H917" s="62" t="str">
        <f>IF(COUNTA(A917:G917)=0,"",IF(C917&lt;&gt;"",C917,IF(B917="","",IFERROR(INDEX(pr_des,MATCH(B917,pr_code,0))&amp;"",""))))</f>
        <v/>
      </c>
      <c r="I917" s="59" t="str">
        <f>IF(B917="","",IFERROR(INDEX(pr_unit,MATCH(B917,pr_code,0))&amp;"",""))</f>
        <v/>
      </c>
      <c r="J917" s="65" t="str">
        <f>IF(COUNTA(A917:G917)=0,"",IF(E917&lt;&gt;"",E917,IF(B917="","",IFERROR(IF(INDEX(pr_price,MATCH(B917,pr_code,0))="","",INDEX(pr_price,MATCH(B917,pr_code,0))),""))))</f>
        <v/>
      </c>
      <c r="K917" s="71" t="str">
        <f>IF(COUNTA(A917:G917)=0,"",IF(G917&lt;&gt;"",G917,IF(B917="","",IFERROR(IF(INDEX(pr_rate,MATCH(B917,pr_code,0))="","",INDEX(pr_rate,MATCH(B917,pr_code,0))),""))))</f>
        <v/>
      </c>
      <c r="L917" s="65" t="str">
        <f>IF(COUNTA(A917:G917)=0,"",IF(AND(ISNUMBER(D917),ISNUMBER(J917)),ROUND(D917*J917*(1-N(F917)),2),0))</f>
        <v/>
      </c>
      <c r="M917" s="62" t="str">
        <f>IF(A917="","",IFERROR(INDEX(fa_cname,MATCH(A917,fa_num,0))&amp;"",""))</f>
        <v/>
      </c>
      <c r="N917" s="59" t="str">
        <f>IF(COUNTA(A917:G917)=0,"",IF(A917="","N° facture manquant",IF(ISNA(MATCH(A917,fa_num,0)),"Facture inconnue",IF(AND(B917&lt;&gt;"",ISNA(MATCH(B917,pr_code,0))),"Article inconnu",IF(H917="","Désignation manquante",IF(OR(NOT(ISNUMBER(D917)),N(D917)&lt;=0),"Quantité invalide",IF(J917="","Prix manquant",IF(OR(NOT(ISNUMBER(J917)),N(J917)&lt;0),"Prix invalide",IF(OR(AND(F917&lt;&gt;"",NOT(ISNUMBER(F917))),N(F917)&lt;0,N(F917)&gt;1),"Remise invalide",IF(K917="","Taux de TVA manquant",IF(NOT(ISNUMBER(K917)),"Taux de TVA invalide",IF(COUNTIF(p_rates,K917)=0,"Taux de TVA hors liste (Paramètres)",IF(N(O917)&gt;25,"Au-delà de 25 lignes : non imprimée","OK")))))))))))))</f>
        <v/>
      </c>
      <c r="O917" s="59" t="str">
        <f>IF(A917="","",COUNTIF($A$6:A917,A917))</f>
        <v/>
      </c>
      <c r="P917" s="62" t="str">
        <f>IF(A917="","",A917&amp;"|"&amp;O917)</f>
        <v/>
      </c>
    </row>
    <row r="918">
      <c r="A918" s="60" t="n"/>
      <c r="B918" s="63" t="n"/>
      <c r="C918" s="63" t="n"/>
      <c r="D918" s="67" t="n"/>
      <c r="E918" s="68" t="n"/>
      <c r="F918" s="69" t="n"/>
      <c r="G918" s="70" t="n"/>
      <c r="H918" s="62" t="str">
        <f>IF(COUNTA(A918:G918)=0,"",IF(C918&lt;&gt;"",C918,IF(B918="","",IFERROR(INDEX(pr_des,MATCH(B918,pr_code,0))&amp;"",""))))</f>
        <v/>
      </c>
      <c r="I918" s="59" t="str">
        <f>IF(B918="","",IFERROR(INDEX(pr_unit,MATCH(B918,pr_code,0))&amp;"",""))</f>
        <v/>
      </c>
      <c r="J918" s="65" t="str">
        <f>IF(COUNTA(A918:G918)=0,"",IF(E918&lt;&gt;"",E918,IF(B918="","",IFERROR(IF(INDEX(pr_price,MATCH(B918,pr_code,0))="","",INDEX(pr_price,MATCH(B918,pr_code,0))),""))))</f>
        <v/>
      </c>
      <c r="K918" s="71" t="str">
        <f>IF(COUNTA(A918:G918)=0,"",IF(G918&lt;&gt;"",G918,IF(B918="","",IFERROR(IF(INDEX(pr_rate,MATCH(B918,pr_code,0))="","",INDEX(pr_rate,MATCH(B918,pr_code,0))),""))))</f>
        <v/>
      </c>
      <c r="L918" s="65" t="str">
        <f>IF(COUNTA(A918:G918)=0,"",IF(AND(ISNUMBER(D918),ISNUMBER(J918)),ROUND(D918*J918*(1-N(F918)),2),0))</f>
        <v/>
      </c>
      <c r="M918" s="62" t="str">
        <f>IF(A918="","",IFERROR(INDEX(fa_cname,MATCH(A918,fa_num,0))&amp;"",""))</f>
        <v/>
      </c>
      <c r="N918" s="59" t="str">
        <f>IF(COUNTA(A918:G918)=0,"",IF(A918="","N° facture manquant",IF(ISNA(MATCH(A918,fa_num,0)),"Facture inconnue",IF(AND(B918&lt;&gt;"",ISNA(MATCH(B918,pr_code,0))),"Article inconnu",IF(H918="","Désignation manquante",IF(OR(NOT(ISNUMBER(D918)),N(D918)&lt;=0),"Quantité invalide",IF(J918="","Prix manquant",IF(OR(NOT(ISNUMBER(J918)),N(J918)&lt;0),"Prix invalide",IF(OR(AND(F918&lt;&gt;"",NOT(ISNUMBER(F918))),N(F918)&lt;0,N(F918)&gt;1),"Remise invalide",IF(K918="","Taux de TVA manquant",IF(NOT(ISNUMBER(K918)),"Taux de TVA invalide",IF(COUNTIF(p_rates,K918)=0,"Taux de TVA hors liste (Paramètres)",IF(N(O918)&gt;25,"Au-delà de 25 lignes : non imprimée","OK")))))))))))))</f>
        <v/>
      </c>
      <c r="O918" s="59" t="str">
        <f>IF(A918="","",COUNTIF($A$6:A918,A918))</f>
        <v/>
      </c>
      <c r="P918" s="62" t="str">
        <f>IF(A918="","",A918&amp;"|"&amp;O918)</f>
        <v/>
      </c>
    </row>
    <row r="919">
      <c r="A919" s="60" t="n"/>
      <c r="B919" s="63" t="n"/>
      <c r="C919" s="63" t="n"/>
      <c r="D919" s="67" t="n"/>
      <c r="E919" s="68" t="n"/>
      <c r="F919" s="69" t="n"/>
      <c r="G919" s="70" t="n"/>
      <c r="H919" s="62" t="str">
        <f>IF(COUNTA(A919:G919)=0,"",IF(C919&lt;&gt;"",C919,IF(B919="","",IFERROR(INDEX(pr_des,MATCH(B919,pr_code,0))&amp;"",""))))</f>
        <v/>
      </c>
      <c r="I919" s="59" t="str">
        <f>IF(B919="","",IFERROR(INDEX(pr_unit,MATCH(B919,pr_code,0))&amp;"",""))</f>
        <v/>
      </c>
      <c r="J919" s="65" t="str">
        <f>IF(COUNTA(A919:G919)=0,"",IF(E919&lt;&gt;"",E919,IF(B919="","",IFERROR(IF(INDEX(pr_price,MATCH(B919,pr_code,0))="","",INDEX(pr_price,MATCH(B919,pr_code,0))),""))))</f>
        <v/>
      </c>
      <c r="K919" s="71" t="str">
        <f>IF(COUNTA(A919:G919)=0,"",IF(G919&lt;&gt;"",G919,IF(B919="","",IFERROR(IF(INDEX(pr_rate,MATCH(B919,pr_code,0))="","",INDEX(pr_rate,MATCH(B919,pr_code,0))),""))))</f>
        <v/>
      </c>
      <c r="L919" s="65" t="str">
        <f>IF(COUNTA(A919:G919)=0,"",IF(AND(ISNUMBER(D919),ISNUMBER(J919)),ROUND(D919*J919*(1-N(F919)),2),0))</f>
        <v/>
      </c>
      <c r="M919" s="62" t="str">
        <f>IF(A919="","",IFERROR(INDEX(fa_cname,MATCH(A919,fa_num,0))&amp;"",""))</f>
        <v/>
      </c>
      <c r="N919" s="59" t="str">
        <f>IF(COUNTA(A919:G919)=0,"",IF(A919="","N° facture manquant",IF(ISNA(MATCH(A919,fa_num,0)),"Facture inconnue",IF(AND(B919&lt;&gt;"",ISNA(MATCH(B919,pr_code,0))),"Article inconnu",IF(H919="","Désignation manquante",IF(OR(NOT(ISNUMBER(D919)),N(D919)&lt;=0),"Quantité invalide",IF(J919="","Prix manquant",IF(OR(NOT(ISNUMBER(J919)),N(J919)&lt;0),"Prix invalide",IF(OR(AND(F919&lt;&gt;"",NOT(ISNUMBER(F919))),N(F919)&lt;0,N(F919)&gt;1),"Remise invalide",IF(K919="","Taux de TVA manquant",IF(NOT(ISNUMBER(K919)),"Taux de TVA invalide",IF(COUNTIF(p_rates,K919)=0,"Taux de TVA hors liste (Paramètres)",IF(N(O919)&gt;25,"Au-delà de 25 lignes : non imprimée","OK")))))))))))))</f>
        <v/>
      </c>
      <c r="O919" s="59" t="str">
        <f>IF(A919="","",COUNTIF($A$6:A919,A919))</f>
        <v/>
      </c>
      <c r="P919" s="62" t="str">
        <f>IF(A919="","",A919&amp;"|"&amp;O919)</f>
        <v/>
      </c>
    </row>
    <row r="920">
      <c r="A920" s="60" t="n"/>
      <c r="B920" s="63" t="n"/>
      <c r="C920" s="63" t="n"/>
      <c r="D920" s="67" t="n"/>
      <c r="E920" s="68" t="n"/>
      <c r="F920" s="69" t="n"/>
      <c r="G920" s="70" t="n"/>
      <c r="H920" s="62" t="str">
        <f>IF(COUNTA(A920:G920)=0,"",IF(C920&lt;&gt;"",C920,IF(B920="","",IFERROR(INDEX(pr_des,MATCH(B920,pr_code,0))&amp;"",""))))</f>
        <v/>
      </c>
      <c r="I920" s="59" t="str">
        <f>IF(B920="","",IFERROR(INDEX(pr_unit,MATCH(B920,pr_code,0))&amp;"",""))</f>
        <v/>
      </c>
      <c r="J920" s="65" t="str">
        <f>IF(COUNTA(A920:G920)=0,"",IF(E920&lt;&gt;"",E920,IF(B920="","",IFERROR(IF(INDEX(pr_price,MATCH(B920,pr_code,0))="","",INDEX(pr_price,MATCH(B920,pr_code,0))),""))))</f>
        <v/>
      </c>
      <c r="K920" s="71" t="str">
        <f>IF(COUNTA(A920:G920)=0,"",IF(G920&lt;&gt;"",G920,IF(B920="","",IFERROR(IF(INDEX(pr_rate,MATCH(B920,pr_code,0))="","",INDEX(pr_rate,MATCH(B920,pr_code,0))),""))))</f>
        <v/>
      </c>
      <c r="L920" s="65" t="str">
        <f>IF(COUNTA(A920:G920)=0,"",IF(AND(ISNUMBER(D920),ISNUMBER(J920)),ROUND(D920*J920*(1-N(F920)),2),0))</f>
        <v/>
      </c>
      <c r="M920" s="62" t="str">
        <f>IF(A920="","",IFERROR(INDEX(fa_cname,MATCH(A920,fa_num,0))&amp;"",""))</f>
        <v/>
      </c>
      <c r="N920" s="59" t="str">
        <f>IF(COUNTA(A920:G920)=0,"",IF(A920="","N° facture manquant",IF(ISNA(MATCH(A920,fa_num,0)),"Facture inconnue",IF(AND(B920&lt;&gt;"",ISNA(MATCH(B920,pr_code,0))),"Article inconnu",IF(H920="","Désignation manquante",IF(OR(NOT(ISNUMBER(D920)),N(D920)&lt;=0),"Quantité invalide",IF(J920="","Prix manquant",IF(OR(NOT(ISNUMBER(J920)),N(J920)&lt;0),"Prix invalide",IF(OR(AND(F920&lt;&gt;"",NOT(ISNUMBER(F920))),N(F920)&lt;0,N(F920)&gt;1),"Remise invalide",IF(K920="","Taux de TVA manquant",IF(NOT(ISNUMBER(K920)),"Taux de TVA invalide",IF(COUNTIF(p_rates,K920)=0,"Taux de TVA hors liste (Paramètres)",IF(N(O920)&gt;25,"Au-delà de 25 lignes : non imprimée","OK")))))))))))))</f>
        <v/>
      </c>
      <c r="O920" s="59" t="str">
        <f>IF(A920="","",COUNTIF($A$6:A920,A920))</f>
        <v/>
      </c>
      <c r="P920" s="62" t="str">
        <f>IF(A920="","",A920&amp;"|"&amp;O920)</f>
        <v/>
      </c>
    </row>
    <row r="921">
      <c r="A921" s="60" t="n"/>
      <c r="B921" s="63" t="n"/>
      <c r="C921" s="63" t="n"/>
      <c r="D921" s="67" t="n"/>
      <c r="E921" s="68" t="n"/>
      <c r="F921" s="69" t="n"/>
      <c r="G921" s="70" t="n"/>
      <c r="H921" s="62" t="str">
        <f>IF(COUNTA(A921:G921)=0,"",IF(C921&lt;&gt;"",C921,IF(B921="","",IFERROR(INDEX(pr_des,MATCH(B921,pr_code,0))&amp;"",""))))</f>
        <v/>
      </c>
      <c r="I921" s="59" t="str">
        <f>IF(B921="","",IFERROR(INDEX(pr_unit,MATCH(B921,pr_code,0))&amp;"",""))</f>
        <v/>
      </c>
      <c r="J921" s="65" t="str">
        <f>IF(COUNTA(A921:G921)=0,"",IF(E921&lt;&gt;"",E921,IF(B921="","",IFERROR(IF(INDEX(pr_price,MATCH(B921,pr_code,0))="","",INDEX(pr_price,MATCH(B921,pr_code,0))),""))))</f>
        <v/>
      </c>
      <c r="K921" s="71" t="str">
        <f>IF(COUNTA(A921:G921)=0,"",IF(G921&lt;&gt;"",G921,IF(B921="","",IFERROR(IF(INDEX(pr_rate,MATCH(B921,pr_code,0))="","",INDEX(pr_rate,MATCH(B921,pr_code,0))),""))))</f>
        <v/>
      </c>
      <c r="L921" s="65" t="str">
        <f>IF(COUNTA(A921:G921)=0,"",IF(AND(ISNUMBER(D921),ISNUMBER(J921)),ROUND(D921*J921*(1-N(F921)),2),0))</f>
        <v/>
      </c>
      <c r="M921" s="62" t="str">
        <f>IF(A921="","",IFERROR(INDEX(fa_cname,MATCH(A921,fa_num,0))&amp;"",""))</f>
        <v/>
      </c>
      <c r="N921" s="59" t="str">
        <f>IF(COUNTA(A921:G921)=0,"",IF(A921="","N° facture manquant",IF(ISNA(MATCH(A921,fa_num,0)),"Facture inconnue",IF(AND(B921&lt;&gt;"",ISNA(MATCH(B921,pr_code,0))),"Article inconnu",IF(H921="","Désignation manquante",IF(OR(NOT(ISNUMBER(D921)),N(D921)&lt;=0),"Quantité invalide",IF(J921="","Prix manquant",IF(OR(NOT(ISNUMBER(J921)),N(J921)&lt;0),"Prix invalide",IF(OR(AND(F921&lt;&gt;"",NOT(ISNUMBER(F921))),N(F921)&lt;0,N(F921)&gt;1),"Remise invalide",IF(K921="","Taux de TVA manquant",IF(NOT(ISNUMBER(K921)),"Taux de TVA invalide",IF(COUNTIF(p_rates,K921)=0,"Taux de TVA hors liste (Paramètres)",IF(N(O921)&gt;25,"Au-delà de 25 lignes : non imprimée","OK")))))))))))))</f>
        <v/>
      </c>
      <c r="O921" s="59" t="str">
        <f>IF(A921="","",COUNTIF($A$6:A921,A921))</f>
        <v/>
      </c>
      <c r="P921" s="62" t="str">
        <f>IF(A921="","",A921&amp;"|"&amp;O921)</f>
        <v/>
      </c>
    </row>
    <row r="922">
      <c r="A922" s="60" t="n"/>
      <c r="B922" s="63" t="n"/>
      <c r="C922" s="63" t="n"/>
      <c r="D922" s="67" t="n"/>
      <c r="E922" s="68" t="n"/>
      <c r="F922" s="69" t="n"/>
      <c r="G922" s="70" t="n"/>
      <c r="H922" s="62" t="str">
        <f>IF(COUNTA(A922:G922)=0,"",IF(C922&lt;&gt;"",C922,IF(B922="","",IFERROR(INDEX(pr_des,MATCH(B922,pr_code,0))&amp;"",""))))</f>
        <v/>
      </c>
      <c r="I922" s="59" t="str">
        <f>IF(B922="","",IFERROR(INDEX(pr_unit,MATCH(B922,pr_code,0))&amp;"",""))</f>
        <v/>
      </c>
      <c r="J922" s="65" t="str">
        <f>IF(COUNTA(A922:G922)=0,"",IF(E922&lt;&gt;"",E922,IF(B922="","",IFERROR(IF(INDEX(pr_price,MATCH(B922,pr_code,0))="","",INDEX(pr_price,MATCH(B922,pr_code,0))),""))))</f>
        <v/>
      </c>
      <c r="K922" s="71" t="str">
        <f>IF(COUNTA(A922:G922)=0,"",IF(G922&lt;&gt;"",G922,IF(B922="","",IFERROR(IF(INDEX(pr_rate,MATCH(B922,pr_code,0))="","",INDEX(pr_rate,MATCH(B922,pr_code,0))),""))))</f>
        <v/>
      </c>
      <c r="L922" s="65" t="str">
        <f>IF(COUNTA(A922:G922)=0,"",IF(AND(ISNUMBER(D922),ISNUMBER(J922)),ROUND(D922*J922*(1-N(F922)),2),0))</f>
        <v/>
      </c>
      <c r="M922" s="62" t="str">
        <f>IF(A922="","",IFERROR(INDEX(fa_cname,MATCH(A922,fa_num,0))&amp;"",""))</f>
        <v/>
      </c>
      <c r="N922" s="59" t="str">
        <f>IF(COUNTA(A922:G922)=0,"",IF(A922="","N° facture manquant",IF(ISNA(MATCH(A922,fa_num,0)),"Facture inconnue",IF(AND(B922&lt;&gt;"",ISNA(MATCH(B922,pr_code,0))),"Article inconnu",IF(H922="","Désignation manquante",IF(OR(NOT(ISNUMBER(D922)),N(D922)&lt;=0),"Quantité invalide",IF(J922="","Prix manquant",IF(OR(NOT(ISNUMBER(J922)),N(J922)&lt;0),"Prix invalide",IF(OR(AND(F922&lt;&gt;"",NOT(ISNUMBER(F922))),N(F922)&lt;0,N(F922)&gt;1),"Remise invalide",IF(K922="","Taux de TVA manquant",IF(NOT(ISNUMBER(K922)),"Taux de TVA invalide",IF(COUNTIF(p_rates,K922)=0,"Taux de TVA hors liste (Paramètres)",IF(N(O922)&gt;25,"Au-delà de 25 lignes : non imprimée","OK")))))))))))))</f>
        <v/>
      </c>
      <c r="O922" s="59" t="str">
        <f>IF(A922="","",COUNTIF($A$6:A922,A922))</f>
        <v/>
      </c>
      <c r="P922" s="62" t="str">
        <f>IF(A922="","",A922&amp;"|"&amp;O922)</f>
        <v/>
      </c>
    </row>
    <row r="923">
      <c r="A923" s="60" t="n"/>
      <c r="B923" s="63" t="n"/>
      <c r="C923" s="63" t="n"/>
      <c r="D923" s="67" t="n"/>
      <c r="E923" s="68" t="n"/>
      <c r="F923" s="69" t="n"/>
      <c r="G923" s="70" t="n"/>
      <c r="H923" s="62" t="str">
        <f>IF(COUNTA(A923:G923)=0,"",IF(C923&lt;&gt;"",C923,IF(B923="","",IFERROR(INDEX(pr_des,MATCH(B923,pr_code,0))&amp;"",""))))</f>
        <v/>
      </c>
      <c r="I923" s="59" t="str">
        <f>IF(B923="","",IFERROR(INDEX(pr_unit,MATCH(B923,pr_code,0))&amp;"",""))</f>
        <v/>
      </c>
      <c r="J923" s="65" t="str">
        <f>IF(COUNTA(A923:G923)=0,"",IF(E923&lt;&gt;"",E923,IF(B923="","",IFERROR(IF(INDEX(pr_price,MATCH(B923,pr_code,0))="","",INDEX(pr_price,MATCH(B923,pr_code,0))),""))))</f>
        <v/>
      </c>
      <c r="K923" s="71" t="str">
        <f>IF(COUNTA(A923:G923)=0,"",IF(G923&lt;&gt;"",G923,IF(B923="","",IFERROR(IF(INDEX(pr_rate,MATCH(B923,pr_code,0))="","",INDEX(pr_rate,MATCH(B923,pr_code,0))),""))))</f>
        <v/>
      </c>
      <c r="L923" s="65" t="str">
        <f>IF(COUNTA(A923:G923)=0,"",IF(AND(ISNUMBER(D923),ISNUMBER(J923)),ROUND(D923*J923*(1-N(F923)),2),0))</f>
        <v/>
      </c>
      <c r="M923" s="62" t="str">
        <f>IF(A923="","",IFERROR(INDEX(fa_cname,MATCH(A923,fa_num,0))&amp;"",""))</f>
        <v/>
      </c>
      <c r="N923" s="59" t="str">
        <f>IF(COUNTA(A923:G923)=0,"",IF(A923="","N° facture manquant",IF(ISNA(MATCH(A923,fa_num,0)),"Facture inconnue",IF(AND(B923&lt;&gt;"",ISNA(MATCH(B923,pr_code,0))),"Article inconnu",IF(H923="","Désignation manquante",IF(OR(NOT(ISNUMBER(D923)),N(D923)&lt;=0),"Quantité invalide",IF(J923="","Prix manquant",IF(OR(NOT(ISNUMBER(J923)),N(J923)&lt;0),"Prix invalide",IF(OR(AND(F923&lt;&gt;"",NOT(ISNUMBER(F923))),N(F923)&lt;0,N(F923)&gt;1),"Remise invalide",IF(K923="","Taux de TVA manquant",IF(NOT(ISNUMBER(K923)),"Taux de TVA invalide",IF(COUNTIF(p_rates,K923)=0,"Taux de TVA hors liste (Paramètres)",IF(N(O923)&gt;25,"Au-delà de 25 lignes : non imprimée","OK")))))))))))))</f>
        <v/>
      </c>
      <c r="O923" s="59" t="str">
        <f>IF(A923="","",COUNTIF($A$6:A923,A923))</f>
        <v/>
      </c>
      <c r="P923" s="62" t="str">
        <f>IF(A923="","",A923&amp;"|"&amp;O923)</f>
        <v/>
      </c>
    </row>
    <row r="924">
      <c r="A924" s="60" t="n"/>
      <c r="B924" s="63" t="n"/>
      <c r="C924" s="63" t="n"/>
      <c r="D924" s="67" t="n"/>
      <c r="E924" s="68" t="n"/>
      <c r="F924" s="69" t="n"/>
      <c r="G924" s="70" t="n"/>
      <c r="H924" s="62" t="str">
        <f>IF(COUNTA(A924:G924)=0,"",IF(C924&lt;&gt;"",C924,IF(B924="","",IFERROR(INDEX(pr_des,MATCH(B924,pr_code,0))&amp;"",""))))</f>
        <v/>
      </c>
      <c r="I924" s="59" t="str">
        <f>IF(B924="","",IFERROR(INDEX(pr_unit,MATCH(B924,pr_code,0))&amp;"",""))</f>
        <v/>
      </c>
      <c r="J924" s="65" t="str">
        <f>IF(COUNTA(A924:G924)=0,"",IF(E924&lt;&gt;"",E924,IF(B924="","",IFERROR(IF(INDEX(pr_price,MATCH(B924,pr_code,0))="","",INDEX(pr_price,MATCH(B924,pr_code,0))),""))))</f>
        <v/>
      </c>
      <c r="K924" s="71" t="str">
        <f>IF(COUNTA(A924:G924)=0,"",IF(G924&lt;&gt;"",G924,IF(B924="","",IFERROR(IF(INDEX(pr_rate,MATCH(B924,pr_code,0))="","",INDEX(pr_rate,MATCH(B924,pr_code,0))),""))))</f>
        <v/>
      </c>
      <c r="L924" s="65" t="str">
        <f>IF(COUNTA(A924:G924)=0,"",IF(AND(ISNUMBER(D924),ISNUMBER(J924)),ROUND(D924*J924*(1-N(F924)),2),0))</f>
        <v/>
      </c>
      <c r="M924" s="62" t="str">
        <f>IF(A924="","",IFERROR(INDEX(fa_cname,MATCH(A924,fa_num,0))&amp;"",""))</f>
        <v/>
      </c>
      <c r="N924" s="59" t="str">
        <f>IF(COUNTA(A924:G924)=0,"",IF(A924="","N° facture manquant",IF(ISNA(MATCH(A924,fa_num,0)),"Facture inconnue",IF(AND(B924&lt;&gt;"",ISNA(MATCH(B924,pr_code,0))),"Article inconnu",IF(H924="","Désignation manquante",IF(OR(NOT(ISNUMBER(D924)),N(D924)&lt;=0),"Quantité invalide",IF(J924="","Prix manquant",IF(OR(NOT(ISNUMBER(J924)),N(J924)&lt;0),"Prix invalide",IF(OR(AND(F924&lt;&gt;"",NOT(ISNUMBER(F924))),N(F924)&lt;0,N(F924)&gt;1),"Remise invalide",IF(K924="","Taux de TVA manquant",IF(NOT(ISNUMBER(K924)),"Taux de TVA invalide",IF(COUNTIF(p_rates,K924)=0,"Taux de TVA hors liste (Paramètres)",IF(N(O924)&gt;25,"Au-delà de 25 lignes : non imprimée","OK")))))))))))))</f>
        <v/>
      </c>
      <c r="O924" s="59" t="str">
        <f>IF(A924="","",COUNTIF($A$6:A924,A924))</f>
        <v/>
      </c>
      <c r="P924" s="62" t="str">
        <f>IF(A924="","",A924&amp;"|"&amp;O924)</f>
        <v/>
      </c>
    </row>
    <row r="925">
      <c r="A925" s="60" t="n"/>
      <c r="B925" s="63" t="n"/>
      <c r="C925" s="63" t="n"/>
      <c r="D925" s="67" t="n"/>
      <c r="E925" s="68" t="n"/>
      <c r="F925" s="69" t="n"/>
      <c r="G925" s="70" t="n"/>
      <c r="H925" s="62" t="str">
        <f>IF(COUNTA(A925:G925)=0,"",IF(C925&lt;&gt;"",C925,IF(B925="","",IFERROR(INDEX(pr_des,MATCH(B925,pr_code,0))&amp;"",""))))</f>
        <v/>
      </c>
      <c r="I925" s="59" t="str">
        <f>IF(B925="","",IFERROR(INDEX(pr_unit,MATCH(B925,pr_code,0))&amp;"",""))</f>
        <v/>
      </c>
      <c r="J925" s="65" t="str">
        <f>IF(COUNTA(A925:G925)=0,"",IF(E925&lt;&gt;"",E925,IF(B925="","",IFERROR(IF(INDEX(pr_price,MATCH(B925,pr_code,0))="","",INDEX(pr_price,MATCH(B925,pr_code,0))),""))))</f>
        <v/>
      </c>
      <c r="K925" s="71" t="str">
        <f>IF(COUNTA(A925:G925)=0,"",IF(G925&lt;&gt;"",G925,IF(B925="","",IFERROR(IF(INDEX(pr_rate,MATCH(B925,pr_code,0))="","",INDEX(pr_rate,MATCH(B925,pr_code,0))),""))))</f>
        <v/>
      </c>
      <c r="L925" s="65" t="str">
        <f>IF(COUNTA(A925:G925)=0,"",IF(AND(ISNUMBER(D925),ISNUMBER(J925)),ROUND(D925*J925*(1-N(F925)),2),0))</f>
        <v/>
      </c>
      <c r="M925" s="62" t="str">
        <f>IF(A925="","",IFERROR(INDEX(fa_cname,MATCH(A925,fa_num,0))&amp;"",""))</f>
        <v/>
      </c>
      <c r="N925" s="59" t="str">
        <f>IF(COUNTA(A925:G925)=0,"",IF(A925="","N° facture manquant",IF(ISNA(MATCH(A925,fa_num,0)),"Facture inconnue",IF(AND(B925&lt;&gt;"",ISNA(MATCH(B925,pr_code,0))),"Article inconnu",IF(H925="","Désignation manquante",IF(OR(NOT(ISNUMBER(D925)),N(D925)&lt;=0),"Quantité invalide",IF(J925="","Prix manquant",IF(OR(NOT(ISNUMBER(J925)),N(J925)&lt;0),"Prix invalide",IF(OR(AND(F925&lt;&gt;"",NOT(ISNUMBER(F925))),N(F925)&lt;0,N(F925)&gt;1),"Remise invalide",IF(K925="","Taux de TVA manquant",IF(NOT(ISNUMBER(K925)),"Taux de TVA invalide",IF(COUNTIF(p_rates,K925)=0,"Taux de TVA hors liste (Paramètres)",IF(N(O925)&gt;25,"Au-delà de 25 lignes : non imprimée","OK")))))))))))))</f>
        <v/>
      </c>
      <c r="O925" s="59" t="str">
        <f>IF(A925="","",COUNTIF($A$6:A925,A925))</f>
        <v/>
      </c>
      <c r="P925" s="62" t="str">
        <f>IF(A925="","",A925&amp;"|"&amp;O925)</f>
        <v/>
      </c>
    </row>
    <row r="926">
      <c r="A926" s="60" t="n"/>
      <c r="B926" s="63" t="n"/>
      <c r="C926" s="63" t="n"/>
      <c r="D926" s="67" t="n"/>
      <c r="E926" s="68" t="n"/>
      <c r="F926" s="69" t="n"/>
      <c r="G926" s="70" t="n"/>
      <c r="H926" s="62" t="str">
        <f>IF(COUNTA(A926:G926)=0,"",IF(C926&lt;&gt;"",C926,IF(B926="","",IFERROR(INDEX(pr_des,MATCH(B926,pr_code,0))&amp;"",""))))</f>
        <v/>
      </c>
      <c r="I926" s="59" t="str">
        <f>IF(B926="","",IFERROR(INDEX(pr_unit,MATCH(B926,pr_code,0))&amp;"",""))</f>
        <v/>
      </c>
      <c r="J926" s="65" t="str">
        <f>IF(COUNTA(A926:G926)=0,"",IF(E926&lt;&gt;"",E926,IF(B926="","",IFERROR(IF(INDEX(pr_price,MATCH(B926,pr_code,0))="","",INDEX(pr_price,MATCH(B926,pr_code,0))),""))))</f>
        <v/>
      </c>
      <c r="K926" s="71" t="str">
        <f>IF(COUNTA(A926:G926)=0,"",IF(G926&lt;&gt;"",G926,IF(B926="","",IFERROR(IF(INDEX(pr_rate,MATCH(B926,pr_code,0))="","",INDEX(pr_rate,MATCH(B926,pr_code,0))),""))))</f>
        <v/>
      </c>
      <c r="L926" s="65" t="str">
        <f>IF(COUNTA(A926:G926)=0,"",IF(AND(ISNUMBER(D926),ISNUMBER(J926)),ROUND(D926*J926*(1-N(F926)),2),0))</f>
        <v/>
      </c>
      <c r="M926" s="62" t="str">
        <f>IF(A926="","",IFERROR(INDEX(fa_cname,MATCH(A926,fa_num,0))&amp;"",""))</f>
        <v/>
      </c>
      <c r="N926" s="59" t="str">
        <f>IF(COUNTA(A926:G926)=0,"",IF(A926="","N° facture manquant",IF(ISNA(MATCH(A926,fa_num,0)),"Facture inconnue",IF(AND(B926&lt;&gt;"",ISNA(MATCH(B926,pr_code,0))),"Article inconnu",IF(H926="","Désignation manquante",IF(OR(NOT(ISNUMBER(D926)),N(D926)&lt;=0),"Quantité invalide",IF(J926="","Prix manquant",IF(OR(NOT(ISNUMBER(J926)),N(J926)&lt;0),"Prix invalide",IF(OR(AND(F926&lt;&gt;"",NOT(ISNUMBER(F926))),N(F926)&lt;0,N(F926)&gt;1),"Remise invalide",IF(K926="","Taux de TVA manquant",IF(NOT(ISNUMBER(K926)),"Taux de TVA invalide",IF(COUNTIF(p_rates,K926)=0,"Taux de TVA hors liste (Paramètres)",IF(N(O926)&gt;25,"Au-delà de 25 lignes : non imprimée","OK")))))))))))))</f>
        <v/>
      </c>
      <c r="O926" s="59" t="str">
        <f>IF(A926="","",COUNTIF($A$6:A926,A926))</f>
        <v/>
      </c>
      <c r="P926" s="62" t="str">
        <f>IF(A926="","",A926&amp;"|"&amp;O926)</f>
        <v/>
      </c>
    </row>
    <row r="927">
      <c r="A927" s="60" t="n"/>
      <c r="B927" s="63" t="n"/>
      <c r="C927" s="63" t="n"/>
      <c r="D927" s="67" t="n"/>
      <c r="E927" s="68" t="n"/>
      <c r="F927" s="69" t="n"/>
      <c r="G927" s="70" t="n"/>
      <c r="H927" s="62" t="str">
        <f>IF(COUNTA(A927:G927)=0,"",IF(C927&lt;&gt;"",C927,IF(B927="","",IFERROR(INDEX(pr_des,MATCH(B927,pr_code,0))&amp;"",""))))</f>
        <v/>
      </c>
      <c r="I927" s="59" t="str">
        <f>IF(B927="","",IFERROR(INDEX(pr_unit,MATCH(B927,pr_code,0))&amp;"",""))</f>
        <v/>
      </c>
      <c r="J927" s="65" t="str">
        <f>IF(COUNTA(A927:G927)=0,"",IF(E927&lt;&gt;"",E927,IF(B927="","",IFERROR(IF(INDEX(pr_price,MATCH(B927,pr_code,0))="","",INDEX(pr_price,MATCH(B927,pr_code,0))),""))))</f>
        <v/>
      </c>
      <c r="K927" s="71" t="str">
        <f>IF(COUNTA(A927:G927)=0,"",IF(G927&lt;&gt;"",G927,IF(B927="","",IFERROR(IF(INDEX(pr_rate,MATCH(B927,pr_code,0))="","",INDEX(pr_rate,MATCH(B927,pr_code,0))),""))))</f>
        <v/>
      </c>
      <c r="L927" s="65" t="str">
        <f>IF(COUNTA(A927:G927)=0,"",IF(AND(ISNUMBER(D927),ISNUMBER(J927)),ROUND(D927*J927*(1-N(F927)),2),0))</f>
        <v/>
      </c>
      <c r="M927" s="62" t="str">
        <f>IF(A927="","",IFERROR(INDEX(fa_cname,MATCH(A927,fa_num,0))&amp;"",""))</f>
        <v/>
      </c>
      <c r="N927" s="59" t="str">
        <f>IF(COUNTA(A927:G927)=0,"",IF(A927="","N° facture manquant",IF(ISNA(MATCH(A927,fa_num,0)),"Facture inconnue",IF(AND(B927&lt;&gt;"",ISNA(MATCH(B927,pr_code,0))),"Article inconnu",IF(H927="","Désignation manquante",IF(OR(NOT(ISNUMBER(D927)),N(D927)&lt;=0),"Quantité invalide",IF(J927="","Prix manquant",IF(OR(NOT(ISNUMBER(J927)),N(J927)&lt;0),"Prix invalide",IF(OR(AND(F927&lt;&gt;"",NOT(ISNUMBER(F927))),N(F927)&lt;0,N(F927)&gt;1),"Remise invalide",IF(K927="","Taux de TVA manquant",IF(NOT(ISNUMBER(K927)),"Taux de TVA invalide",IF(COUNTIF(p_rates,K927)=0,"Taux de TVA hors liste (Paramètres)",IF(N(O927)&gt;25,"Au-delà de 25 lignes : non imprimée","OK")))))))))))))</f>
        <v/>
      </c>
      <c r="O927" s="59" t="str">
        <f>IF(A927="","",COUNTIF($A$6:A927,A927))</f>
        <v/>
      </c>
      <c r="P927" s="62" t="str">
        <f>IF(A927="","",A927&amp;"|"&amp;O927)</f>
        <v/>
      </c>
    </row>
    <row r="928">
      <c r="A928" s="60" t="n"/>
      <c r="B928" s="63" t="n"/>
      <c r="C928" s="63" t="n"/>
      <c r="D928" s="67" t="n"/>
      <c r="E928" s="68" t="n"/>
      <c r="F928" s="69" t="n"/>
      <c r="G928" s="70" t="n"/>
      <c r="H928" s="62" t="str">
        <f>IF(COUNTA(A928:G928)=0,"",IF(C928&lt;&gt;"",C928,IF(B928="","",IFERROR(INDEX(pr_des,MATCH(B928,pr_code,0))&amp;"",""))))</f>
        <v/>
      </c>
      <c r="I928" s="59" t="str">
        <f>IF(B928="","",IFERROR(INDEX(pr_unit,MATCH(B928,pr_code,0))&amp;"",""))</f>
        <v/>
      </c>
      <c r="J928" s="65" t="str">
        <f>IF(COUNTA(A928:G928)=0,"",IF(E928&lt;&gt;"",E928,IF(B928="","",IFERROR(IF(INDEX(pr_price,MATCH(B928,pr_code,0))="","",INDEX(pr_price,MATCH(B928,pr_code,0))),""))))</f>
        <v/>
      </c>
      <c r="K928" s="71" t="str">
        <f>IF(COUNTA(A928:G928)=0,"",IF(G928&lt;&gt;"",G928,IF(B928="","",IFERROR(IF(INDEX(pr_rate,MATCH(B928,pr_code,0))="","",INDEX(pr_rate,MATCH(B928,pr_code,0))),""))))</f>
        <v/>
      </c>
      <c r="L928" s="65" t="str">
        <f>IF(COUNTA(A928:G928)=0,"",IF(AND(ISNUMBER(D928),ISNUMBER(J928)),ROUND(D928*J928*(1-N(F928)),2),0))</f>
        <v/>
      </c>
      <c r="M928" s="62" t="str">
        <f>IF(A928="","",IFERROR(INDEX(fa_cname,MATCH(A928,fa_num,0))&amp;"",""))</f>
        <v/>
      </c>
      <c r="N928" s="59" t="str">
        <f>IF(COUNTA(A928:G928)=0,"",IF(A928="","N° facture manquant",IF(ISNA(MATCH(A928,fa_num,0)),"Facture inconnue",IF(AND(B928&lt;&gt;"",ISNA(MATCH(B928,pr_code,0))),"Article inconnu",IF(H928="","Désignation manquante",IF(OR(NOT(ISNUMBER(D928)),N(D928)&lt;=0),"Quantité invalide",IF(J928="","Prix manquant",IF(OR(NOT(ISNUMBER(J928)),N(J928)&lt;0),"Prix invalide",IF(OR(AND(F928&lt;&gt;"",NOT(ISNUMBER(F928))),N(F928)&lt;0,N(F928)&gt;1),"Remise invalide",IF(K928="","Taux de TVA manquant",IF(NOT(ISNUMBER(K928)),"Taux de TVA invalide",IF(COUNTIF(p_rates,K928)=0,"Taux de TVA hors liste (Paramètres)",IF(N(O928)&gt;25,"Au-delà de 25 lignes : non imprimée","OK")))))))))))))</f>
        <v/>
      </c>
      <c r="O928" s="59" t="str">
        <f>IF(A928="","",COUNTIF($A$6:A928,A928))</f>
        <v/>
      </c>
      <c r="P928" s="62" t="str">
        <f>IF(A928="","",A928&amp;"|"&amp;O928)</f>
        <v/>
      </c>
    </row>
    <row r="929">
      <c r="A929" s="60" t="n"/>
      <c r="B929" s="63" t="n"/>
      <c r="C929" s="63" t="n"/>
      <c r="D929" s="67" t="n"/>
      <c r="E929" s="68" t="n"/>
      <c r="F929" s="69" t="n"/>
      <c r="G929" s="70" t="n"/>
      <c r="H929" s="62" t="str">
        <f>IF(COUNTA(A929:G929)=0,"",IF(C929&lt;&gt;"",C929,IF(B929="","",IFERROR(INDEX(pr_des,MATCH(B929,pr_code,0))&amp;"",""))))</f>
        <v/>
      </c>
      <c r="I929" s="59" t="str">
        <f>IF(B929="","",IFERROR(INDEX(pr_unit,MATCH(B929,pr_code,0))&amp;"",""))</f>
        <v/>
      </c>
      <c r="J929" s="65" t="str">
        <f>IF(COUNTA(A929:G929)=0,"",IF(E929&lt;&gt;"",E929,IF(B929="","",IFERROR(IF(INDEX(pr_price,MATCH(B929,pr_code,0))="","",INDEX(pr_price,MATCH(B929,pr_code,0))),""))))</f>
        <v/>
      </c>
      <c r="K929" s="71" t="str">
        <f>IF(COUNTA(A929:G929)=0,"",IF(G929&lt;&gt;"",G929,IF(B929="","",IFERROR(IF(INDEX(pr_rate,MATCH(B929,pr_code,0))="","",INDEX(pr_rate,MATCH(B929,pr_code,0))),""))))</f>
        <v/>
      </c>
      <c r="L929" s="65" t="str">
        <f>IF(COUNTA(A929:G929)=0,"",IF(AND(ISNUMBER(D929),ISNUMBER(J929)),ROUND(D929*J929*(1-N(F929)),2),0))</f>
        <v/>
      </c>
      <c r="M929" s="62" t="str">
        <f>IF(A929="","",IFERROR(INDEX(fa_cname,MATCH(A929,fa_num,0))&amp;"",""))</f>
        <v/>
      </c>
      <c r="N929" s="59" t="str">
        <f>IF(COUNTA(A929:G929)=0,"",IF(A929="","N° facture manquant",IF(ISNA(MATCH(A929,fa_num,0)),"Facture inconnue",IF(AND(B929&lt;&gt;"",ISNA(MATCH(B929,pr_code,0))),"Article inconnu",IF(H929="","Désignation manquante",IF(OR(NOT(ISNUMBER(D929)),N(D929)&lt;=0),"Quantité invalide",IF(J929="","Prix manquant",IF(OR(NOT(ISNUMBER(J929)),N(J929)&lt;0),"Prix invalide",IF(OR(AND(F929&lt;&gt;"",NOT(ISNUMBER(F929))),N(F929)&lt;0,N(F929)&gt;1),"Remise invalide",IF(K929="","Taux de TVA manquant",IF(NOT(ISNUMBER(K929)),"Taux de TVA invalide",IF(COUNTIF(p_rates,K929)=0,"Taux de TVA hors liste (Paramètres)",IF(N(O929)&gt;25,"Au-delà de 25 lignes : non imprimée","OK")))))))))))))</f>
        <v/>
      </c>
      <c r="O929" s="59" t="str">
        <f>IF(A929="","",COUNTIF($A$6:A929,A929))</f>
        <v/>
      </c>
      <c r="P929" s="62" t="str">
        <f>IF(A929="","",A929&amp;"|"&amp;O929)</f>
        <v/>
      </c>
    </row>
    <row r="930">
      <c r="A930" s="60" t="n"/>
      <c r="B930" s="63" t="n"/>
      <c r="C930" s="63" t="n"/>
      <c r="D930" s="67" t="n"/>
      <c r="E930" s="68" t="n"/>
      <c r="F930" s="69" t="n"/>
      <c r="G930" s="70" t="n"/>
      <c r="H930" s="62" t="str">
        <f>IF(COUNTA(A930:G930)=0,"",IF(C930&lt;&gt;"",C930,IF(B930="","",IFERROR(INDEX(pr_des,MATCH(B930,pr_code,0))&amp;"",""))))</f>
        <v/>
      </c>
      <c r="I930" s="59" t="str">
        <f>IF(B930="","",IFERROR(INDEX(pr_unit,MATCH(B930,pr_code,0))&amp;"",""))</f>
        <v/>
      </c>
      <c r="J930" s="65" t="str">
        <f>IF(COUNTA(A930:G930)=0,"",IF(E930&lt;&gt;"",E930,IF(B930="","",IFERROR(IF(INDEX(pr_price,MATCH(B930,pr_code,0))="","",INDEX(pr_price,MATCH(B930,pr_code,0))),""))))</f>
        <v/>
      </c>
      <c r="K930" s="71" t="str">
        <f>IF(COUNTA(A930:G930)=0,"",IF(G930&lt;&gt;"",G930,IF(B930="","",IFERROR(IF(INDEX(pr_rate,MATCH(B930,pr_code,0))="","",INDEX(pr_rate,MATCH(B930,pr_code,0))),""))))</f>
        <v/>
      </c>
      <c r="L930" s="65" t="str">
        <f>IF(COUNTA(A930:G930)=0,"",IF(AND(ISNUMBER(D930),ISNUMBER(J930)),ROUND(D930*J930*(1-N(F930)),2),0))</f>
        <v/>
      </c>
      <c r="M930" s="62" t="str">
        <f>IF(A930="","",IFERROR(INDEX(fa_cname,MATCH(A930,fa_num,0))&amp;"",""))</f>
        <v/>
      </c>
      <c r="N930" s="59" t="str">
        <f>IF(COUNTA(A930:G930)=0,"",IF(A930="","N° facture manquant",IF(ISNA(MATCH(A930,fa_num,0)),"Facture inconnue",IF(AND(B930&lt;&gt;"",ISNA(MATCH(B930,pr_code,0))),"Article inconnu",IF(H930="","Désignation manquante",IF(OR(NOT(ISNUMBER(D930)),N(D930)&lt;=0),"Quantité invalide",IF(J930="","Prix manquant",IF(OR(NOT(ISNUMBER(J930)),N(J930)&lt;0),"Prix invalide",IF(OR(AND(F930&lt;&gt;"",NOT(ISNUMBER(F930))),N(F930)&lt;0,N(F930)&gt;1),"Remise invalide",IF(K930="","Taux de TVA manquant",IF(NOT(ISNUMBER(K930)),"Taux de TVA invalide",IF(COUNTIF(p_rates,K930)=0,"Taux de TVA hors liste (Paramètres)",IF(N(O930)&gt;25,"Au-delà de 25 lignes : non imprimée","OK")))))))))))))</f>
        <v/>
      </c>
      <c r="O930" s="59" t="str">
        <f>IF(A930="","",COUNTIF($A$6:A930,A930))</f>
        <v/>
      </c>
      <c r="P930" s="62" t="str">
        <f>IF(A930="","",A930&amp;"|"&amp;O930)</f>
        <v/>
      </c>
    </row>
    <row r="931">
      <c r="A931" s="60" t="n"/>
      <c r="B931" s="63" t="n"/>
      <c r="C931" s="63" t="n"/>
      <c r="D931" s="67" t="n"/>
      <c r="E931" s="68" t="n"/>
      <c r="F931" s="69" t="n"/>
      <c r="G931" s="70" t="n"/>
      <c r="H931" s="62" t="str">
        <f>IF(COUNTA(A931:G931)=0,"",IF(C931&lt;&gt;"",C931,IF(B931="","",IFERROR(INDEX(pr_des,MATCH(B931,pr_code,0))&amp;"",""))))</f>
        <v/>
      </c>
      <c r="I931" s="59" t="str">
        <f>IF(B931="","",IFERROR(INDEX(pr_unit,MATCH(B931,pr_code,0))&amp;"",""))</f>
        <v/>
      </c>
      <c r="J931" s="65" t="str">
        <f>IF(COUNTA(A931:G931)=0,"",IF(E931&lt;&gt;"",E931,IF(B931="","",IFERROR(IF(INDEX(pr_price,MATCH(B931,pr_code,0))="","",INDEX(pr_price,MATCH(B931,pr_code,0))),""))))</f>
        <v/>
      </c>
      <c r="K931" s="71" t="str">
        <f>IF(COUNTA(A931:G931)=0,"",IF(G931&lt;&gt;"",G931,IF(B931="","",IFERROR(IF(INDEX(pr_rate,MATCH(B931,pr_code,0))="","",INDEX(pr_rate,MATCH(B931,pr_code,0))),""))))</f>
        <v/>
      </c>
      <c r="L931" s="65" t="str">
        <f>IF(COUNTA(A931:G931)=0,"",IF(AND(ISNUMBER(D931),ISNUMBER(J931)),ROUND(D931*J931*(1-N(F931)),2),0))</f>
        <v/>
      </c>
      <c r="M931" s="62" t="str">
        <f>IF(A931="","",IFERROR(INDEX(fa_cname,MATCH(A931,fa_num,0))&amp;"",""))</f>
        <v/>
      </c>
      <c r="N931" s="59" t="str">
        <f>IF(COUNTA(A931:G931)=0,"",IF(A931="","N° facture manquant",IF(ISNA(MATCH(A931,fa_num,0)),"Facture inconnue",IF(AND(B931&lt;&gt;"",ISNA(MATCH(B931,pr_code,0))),"Article inconnu",IF(H931="","Désignation manquante",IF(OR(NOT(ISNUMBER(D931)),N(D931)&lt;=0),"Quantité invalide",IF(J931="","Prix manquant",IF(OR(NOT(ISNUMBER(J931)),N(J931)&lt;0),"Prix invalide",IF(OR(AND(F931&lt;&gt;"",NOT(ISNUMBER(F931))),N(F931)&lt;0,N(F931)&gt;1),"Remise invalide",IF(K931="","Taux de TVA manquant",IF(NOT(ISNUMBER(K931)),"Taux de TVA invalide",IF(COUNTIF(p_rates,K931)=0,"Taux de TVA hors liste (Paramètres)",IF(N(O931)&gt;25,"Au-delà de 25 lignes : non imprimée","OK")))))))))))))</f>
        <v/>
      </c>
      <c r="O931" s="59" t="str">
        <f>IF(A931="","",COUNTIF($A$6:A931,A931))</f>
        <v/>
      </c>
      <c r="P931" s="62" t="str">
        <f>IF(A931="","",A931&amp;"|"&amp;O931)</f>
        <v/>
      </c>
    </row>
    <row r="932">
      <c r="A932" s="60" t="n"/>
      <c r="B932" s="63" t="n"/>
      <c r="C932" s="63" t="n"/>
      <c r="D932" s="67" t="n"/>
      <c r="E932" s="68" t="n"/>
      <c r="F932" s="69" t="n"/>
      <c r="G932" s="70" t="n"/>
      <c r="H932" s="62" t="str">
        <f>IF(COUNTA(A932:G932)=0,"",IF(C932&lt;&gt;"",C932,IF(B932="","",IFERROR(INDEX(pr_des,MATCH(B932,pr_code,0))&amp;"",""))))</f>
        <v/>
      </c>
      <c r="I932" s="59" t="str">
        <f>IF(B932="","",IFERROR(INDEX(pr_unit,MATCH(B932,pr_code,0))&amp;"",""))</f>
        <v/>
      </c>
      <c r="J932" s="65" t="str">
        <f>IF(COUNTA(A932:G932)=0,"",IF(E932&lt;&gt;"",E932,IF(B932="","",IFERROR(IF(INDEX(pr_price,MATCH(B932,pr_code,0))="","",INDEX(pr_price,MATCH(B932,pr_code,0))),""))))</f>
        <v/>
      </c>
      <c r="K932" s="71" t="str">
        <f>IF(COUNTA(A932:G932)=0,"",IF(G932&lt;&gt;"",G932,IF(B932="","",IFERROR(IF(INDEX(pr_rate,MATCH(B932,pr_code,0))="","",INDEX(pr_rate,MATCH(B932,pr_code,0))),""))))</f>
        <v/>
      </c>
      <c r="L932" s="65" t="str">
        <f>IF(COUNTA(A932:G932)=0,"",IF(AND(ISNUMBER(D932),ISNUMBER(J932)),ROUND(D932*J932*(1-N(F932)),2),0))</f>
        <v/>
      </c>
      <c r="M932" s="62" t="str">
        <f>IF(A932="","",IFERROR(INDEX(fa_cname,MATCH(A932,fa_num,0))&amp;"",""))</f>
        <v/>
      </c>
      <c r="N932" s="59" t="str">
        <f>IF(COUNTA(A932:G932)=0,"",IF(A932="","N° facture manquant",IF(ISNA(MATCH(A932,fa_num,0)),"Facture inconnue",IF(AND(B932&lt;&gt;"",ISNA(MATCH(B932,pr_code,0))),"Article inconnu",IF(H932="","Désignation manquante",IF(OR(NOT(ISNUMBER(D932)),N(D932)&lt;=0),"Quantité invalide",IF(J932="","Prix manquant",IF(OR(NOT(ISNUMBER(J932)),N(J932)&lt;0),"Prix invalide",IF(OR(AND(F932&lt;&gt;"",NOT(ISNUMBER(F932))),N(F932)&lt;0,N(F932)&gt;1),"Remise invalide",IF(K932="","Taux de TVA manquant",IF(NOT(ISNUMBER(K932)),"Taux de TVA invalide",IF(COUNTIF(p_rates,K932)=0,"Taux de TVA hors liste (Paramètres)",IF(N(O932)&gt;25,"Au-delà de 25 lignes : non imprimée","OK")))))))))))))</f>
        <v/>
      </c>
      <c r="O932" s="59" t="str">
        <f>IF(A932="","",COUNTIF($A$6:A932,A932))</f>
        <v/>
      </c>
      <c r="P932" s="62" t="str">
        <f>IF(A932="","",A932&amp;"|"&amp;O932)</f>
        <v/>
      </c>
    </row>
    <row r="933">
      <c r="A933" s="60" t="n"/>
      <c r="B933" s="63" t="n"/>
      <c r="C933" s="63" t="n"/>
      <c r="D933" s="67" t="n"/>
      <c r="E933" s="68" t="n"/>
      <c r="F933" s="69" t="n"/>
      <c r="G933" s="70" t="n"/>
      <c r="H933" s="62" t="str">
        <f>IF(COUNTA(A933:G933)=0,"",IF(C933&lt;&gt;"",C933,IF(B933="","",IFERROR(INDEX(pr_des,MATCH(B933,pr_code,0))&amp;"",""))))</f>
        <v/>
      </c>
      <c r="I933" s="59" t="str">
        <f>IF(B933="","",IFERROR(INDEX(pr_unit,MATCH(B933,pr_code,0))&amp;"",""))</f>
        <v/>
      </c>
      <c r="J933" s="65" t="str">
        <f>IF(COUNTA(A933:G933)=0,"",IF(E933&lt;&gt;"",E933,IF(B933="","",IFERROR(IF(INDEX(pr_price,MATCH(B933,pr_code,0))="","",INDEX(pr_price,MATCH(B933,pr_code,0))),""))))</f>
        <v/>
      </c>
      <c r="K933" s="71" t="str">
        <f>IF(COUNTA(A933:G933)=0,"",IF(G933&lt;&gt;"",G933,IF(B933="","",IFERROR(IF(INDEX(pr_rate,MATCH(B933,pr_code,0))="","",INDEX(pr_rate,MATCH(B933,pr_code,0))),""))))</f>
        <v/>
      </c>
      <c r="L933" s="65" t="str">
        <f>IF(COUNTA(A933:G933)=0,"",IF(AND(ISNUMBER(D933),ISNUMBER(J933)),ROUND(D933*J933*(1-N(F933)),2),0))</f>
        <v/>
      </c>
      <c r="M933" s="62" t="str">
        <f>IF(A933="","",IFERROR(INDEX(fa_cname,MATCH(A933,fa_num,0))&amp;"",""))</f>
        <v/>
      </c>
      <c r="N933" s="59" t="str">
        <f>IF(COUNTA(A933:G933)=0,"",IF(A933="","N° facture manquant",IF(ISNA(MATCH(A933,fa_num,0)),"Facture inconnue",IF(AND(B933&lt;&gt;"",ISNA(MATCH(B933,pr_code,0))),"Article inconnu",IF(H933="","Désignation manquante",IF(OR(NOT(ISNUMBER(D933)),N(D933)&lt;=0),"Quantité invalide",IF(J933="","Prix manquant",IF(OR(NOT(ISNUMBER(J933)),N(J933)&lt;0),"Prix invalide",IF(OR(AND(F933&lt;&gt;"",NOT(ISNUMBER(F933))),N(F933)&lt;0,N(F933)&gt;1),"Remise invalide",IF(K933="","Taux de TVA manquant",IF(NOT(ISNUMBER(K933)),"Taux de TVA invalide",IF(COUNTIF(p_rates,K933)=0,"Taux de TVA hors liste (Paramètres)",IF(N(O933)&gt;25,"Au-delà de 25 lignes : non imprimée","OK")))))))))))))</f>
        <v/>
      </c>
      <c r="O933" s="59" t="str">
        <f>IF(A933="","",COUNTIF($A$6:A933,A933))</f>
        <v/>
      </c>
      <c r="P933" s="62" t="str">
        <f>IF(A933="","",A933&amp;"|"&amp;O933)</f>
        <v/>
      </c>
    </row>
    <row r="934">
      <c r="A934" s="60" t="n"/>
      <c r="B934" s="63" t="n"/>
      <c r="C934" s="63" t="n"/>
      <c r="D934" s="67" t="n"/>
      <c r="E934" s="68" t="n"/>
      <c r="F934" s="69" t="n"/>
      <c r="G934" s="70" t="n"/>
      <c r="H934" s="62" t="str">
        <f>IF(COUNTA(A934:G934)=0,"",IF(C934&lt;&gt;"",C934,IF(B934="","",IFERROR(INDEX(pr_des,MATCH(B934,pr_code,0))&amp;"",""))))</f>
        <v/>
      </c>
      <c r="I934" s="59" t="str">
        <f>IF(B934="","",IFERROR(INDEX(pr_unit,MATCH(B934,pr_code,0))&amp;"",""))</f>
        <v/>
      </c>
      <c r="J934" s="65" t="str">
        <f>IF(COUNTA(A934:G934)=0,"",IF(E934&lt;&gt;"",E934,IF(B934="","",IFERROR(IF(INDEX(pr_price,MATCH(B934,pr_code,0))="","",INDEX(pr_price,MATCH(B934,pr_code,0))),""))))</f>
        <v/>
      </c>
      <c r="K934" s="71" t="str">
        <f>IF(COUNTA(A934:G934)=0,"",IF(G934&lt;&gt;"",G934,IF(B934="","",IFERROR(IF(INDEX(pr_rate,MATCH(B934,pr_code,0))="","",INDEX(pr_rate,MATCH(B934,pr_code,0))),""))))</f>
        <v/>
      </c>
      <c r="L934" s="65" t="str">
        <f>IF(COUNTA(A934:G934)=0,"",IF(AND(ISNUMBER(D934),ISNUMBER(J934)),ROUND(D934*J934*(1-N(F934)),2),0))</f>
        <v/>
      </c>
      <c r="M934" s="62" t="str">
        <f>IF(A934="","",IFERROR(INDEX(fa_cname,MATCH(A934,fa_num,0))&amp;"",""))</f>
        <v/>
      </c>
      <c r="N934" s="59" t="str">
        <f>IF(COUNTA(A934:G934)=0,"",IF(A934="","N° facture manquant",IF(ISNA(MATCH(A934,fa_num,0)),"Facture inconnue",IF(AND(B934&lt;&gt;"",ISNA(MATCH(B934,pr_code,0))),"Article inconnu",IF(H934="","Désignation manquante",IF(OR(NOT(ISNUMBER(D934)),N(D934)&lt;=0),"Quantité invalide",IF(J934="","Prix manquant",IF(OR(NOT(ISNUMBER(J934)),N(J934)&lt;0),"Prix invalide",IF(OR(AND(F934&lt;&gt;"",NOT(ISNUMBER(F934))),N(F934)&lt;0,N(F934)&gt;1),"Remise invalide",IF(K934="","Taux de TVA manquant",IF(NOT(ISNUMBER(K934)),"Taux de TVA invalide",IF(COUNTIF(p_rates,K934)=0,"Taux de TVA hors liste (Paramètres)",IF(N(O934)&gt;25,"Au-delà de 25 lignes : non imprimée","OK")))))))))))))</f>
        <v/>
      </c>
      <c r="O934" s="59" t="str">
        <f>IF(A934="","",COUNTIF($A$6:A934,A934))</f>
        <v/>
      </c>
      <c r="P934" s="62" t="str">
        <f>IF(A934="","",A934&amp;"|"&amp;O934)</f>
        <v/>
      </c>
    </row>
    <row r="935">
      <c r="A935" s="60" t="n"/>
      <c r="B935" s="63" t="n"/>
      <c r="C935" s="63" t="n"/>
      <c r="D935" s="67" t="n"/>
      <c r="E935" s="68" t="n"/>
      <c r="F935" s="69" t="n"/>
      <c r="G935" s="70" t="n"/>
      <c r="H935" s="62" t="str">
        <f>IF(COUNTA(A935:G935)=0,"",IF(C935&lt;&gt;"",C935,IF(B935="","",IFERROR(INDEX(pr_des,MATCH(B935,pr_code,0))&amp;"",""))))</f>
        <v/>
      </c>
      <c r="I935" s="59" t="str">
        <f>IF(B935="","",IFERROR(INDEX(pr_unit,MATCH(B935,pr_code,0))&amp;"",""))</f>
        <v/>
      </c>
      <c r="J935" s="65" t="str">
        <f>IF(COUNTA(A935:G935)=0,"",IF(E935&lt;&gt;"",E935,IF(B935="","",IFERROR(IF(INDEX(pr_price,MATCH(B935,pr_code,0))="","",INDEX(pr_price,MATCH(B935,pr_code,0))),""))))</f>
        <v/>
      </c>
      <c r="K935" s="71" t="str">
        <f>IF(COUNTA(A935:G935)=0,"",IF(G935&lt;&gt;"",G935,IF(B935="","",IFERROR(IF(INDEX(pr_rate,MATCH(B935,pr_code,0))="","",INDEX(pr_rate,MATCH(B935,pr_code,0))),""))))</f>
        <v/>
      </c>
      <c r="L935" s="65" t="str">
        <f>IF(COUNTA(A935:G935)=0,"",IF(AND(ISNUMBER(D935),ISNUMBER(J935)),ROUND(D935*J935*(1-N(F935)),2),0))</f>
        <v/>
      </c>
      <c r="M935" s="62" t="str">
        <f>IF(A935="","",IFERROR(INDEX(fa_cname,MATCH(A935,fa_num,0))&amp;"",""))</f>
        <v/>
      </c>
      <c r="N935" s="59" t="str">
        <f>IF(COUNTA(A935:G935)=0,"",IF(A935="","N° facture manquant",IF(ISNA(MATCH(A935,fa_num,0)),"Facture inconnue",IF(AND(B935&lt;&gt;"",ISNA(MATCH(B935,pr_code,0))),"Article inconnu",IF(H935="","Désignation manquante",IF(OR(NOT(ISNUMBER(D935)),N(D935)&lt;=0),"Quantité invalide",IF(J935="","Prix manquant",IF(OR(NOT(ISNUMBER(J935)),N(J935)&lt;0),"Prix invalide",IF(OR(AND(F935&lt;&gt;"",NOT(ISNUMBER(F935))),N(F935)&lt;0,N(F935)&gt;1),"Remise invalide",IF(K935="","Taux de TVA manquant",IF(NOT(ISNUMBER(K935)),"Taux de TVA invalide",IF(COUNTIF(p_rates,K935)=0,"Taux de TVA hors liste (Paramètres)",IF(N(O935)&gt;25,"Au-delà de 25 lignes : non imprimée","OK")))))))))))))</f>
        <v/>
      </c>
      <c r="O935" s="59" t="str">
        <f>IF(A935="","",COUNTIF($A$6:A935,A935))</f>
        <v/>
      </c>
      <c r="P935" s="62" t="str">
        <f>IF(A935="","",A935&amp;"|"&amp;O935)</f>
        <v/>
      </c>
    </row>
    <row r="936">
      <c r="A936" s="60" t="n"/>
      <c r="B936" s="63" t="n"/>
      <c r="C936" s="63" t="n"/>
      <c r="D936" s="67" t="n"/>
      <c r="E936" s="68" t="n"/>
      <c r="F936" s="69" t="n"/>
      <c r="G936" s="70" t="n"/>
      <c r="H936" s="62" t="str">
        <f>IF(COUNTA(A936:G936)=0,"",IF(C936&lt;&gt;"",C936,IF(B936="","",IFERROR(INDEX(pr_des,MATCH(B936,pr_code,0))&amp;"",""))))</f>
        <v/>
      </c>
      <c r="I936" s="59" t="str">
        <f>IF(B936="","",IFERROR(INDEX(pr_unit,MATCH(B936,pr_code,0))&amp;"",""))</f>
        <v/>
      </c>
      <c r="J936" s="65" t="str">
        <f>IF(COUNTA(A936:G936)=0,"",IF(E936&lt;&gt;"",E936,IF(B936="","",IFERROR(IF(INDEX(pr_price,MATCH(B936,pr_code,0))="","",INDEX(pr_price,MATCH(B936,pr_code,0))),""))))</f>
        <v/>
      </c>
      <c r="K936" s="71" t="str">
        <f>IF(COUNTA(A936:G936)=0,"",IF(G936&lt;&gt;"",G936,IF(B936="","",IFERROR(IF(INDEX(pr_rate,MATCH(B936,pr_code,0))="","",INDEX(pr_rate,MATCH(B936,pr_code,0))),""))))</f>
        <v/>
      </c>
      <c r="L936" s="65" t="str">
        <f>IF(COUNTA(A936:G936)=0,"",IF(AND(ISNUMBER(D936),ISNUMBER(J936)),ROUND(D936*J936*(1-N(F936)),2),0))</f>
        <v/>
      </c>
      <c r="M936" s="62" t="str">
        <f>IF(A936="","",IFERROR(INDEX(fa_cname,MATCH(A936,fa_num,0))&amp;"",""))</f>
        <v/>
      </c>
      <c r="N936" s="59" t="str">
        <f>IF(COUNTA(A936:G936)=0,"",IF(A936="","N° facture manquant",IF(ISNA(MATCH(A936,fa_num,0)),"Facture inconnue",IF(AND(B936&lt;&gt;"",ISNA(MATCH(B936,pr_code,0))),"Article inconnu",IF(H936="","Désignation manquante",IF(OR(NOT(ISNUMBER(D936)),N(D936)&lt;=0),"Quantité invalide",IF(J936="","Prix manquant",IF(OR(NOT(ISNUMBER(J936)),N(J936)&lt;0),"Prix invalide",IF(OR(AND(F936&lt;&gt;"",NOT(ISNUMBER(F936))),N(F936)&lt;0,N(F936)&gt;1),"Remise invalide",IF(K936="","Taux de TVA manquant",IF(NOT(ISNUMBER(K936)),"Taux de TVA invalide",IF(COUNTIF(p_rates,K936)=0,"Taux de TVA hors liste (Paramètres)",IF(N(O936)&gt;25,"Au-delà de 25 lignes : non imprimée","OK")))))))))))))</f>
        <v/>
      </c>
      <c r="O936" s="59" t="str">
        <f>IF(A936="","",COUNTIF($A$6:A936,A936))</f>
        <v/>
      </c>
      <c r="P936" s="62" t="str">
        <f>IF(A936="","",A936&amp;"|"&amp;O936)</f>
        <v/>
      </c>
    </row>
    <row r="937">
      <c r="A937" s="60" t="n"/>
      <c r="B937" s="63" t="n"/>
      <c r="C937" s="63" t="n"/>
      <c r="D937" s="67" t="n"/>
      <c r="E937" s="68" t="n"/>
      <c r="F937" s="69" t="n"/>
      <c r="G937" s="70" t="n"/>
      <c r="H937" s="62" t="str">
        <f>IF(COUNTA(A937:G937)=0,"",IF(C937&lt;&gt;"",C937,IF(B937="","",IFERROR(INDEX(pr_des,MATCH(B937,pr_code,0))&amp;"",""))))</f>
        <v/>
      </c>
      <c r="I937" s="59" t="str">
        <f>IF(B937="","",IFERROR(INDEX(pr_unit,MATCH(B937,pr_code,0))&amp;"",""))</f>
        <v/>
      </c>
      <c r="J937" s="65" t="str">
        <f>IF(COUNTA(A937:G937)=0,"",IF(E937&lt;&gt;"",E937,IF(B937="","",IFERROR(IF(INDEX(pr_price,MATCH(B937,pr_code,0))="","",INDEX(pr_price,MATCH(B937,pr_code,0))),""))))</f>
        <v/>
      </c>
      <c r="K937" s="71" t="str">
        <f>IF(COUNTA(A937:G937)=0,"",IF(G937&lt;&gt;"",G937,IF(B937="","",IFERROR(IF(INDEX(pr_rate,MATCH(B937,pr_code,0))="","",INDEX(pr_rate,MATCH(B937,pr_code,0))),""))))</f>
        <v/>
      </c>
      <c r="L937" s="65" t="str">
        <f>IF(COUNTA(A937:G937)=0,"",IF(AND(ISNUMBER(D937),ISNUMBER(J937)),ROUND(D937*J937*(1-N(F937)),2),0))</f>
        <v/>
      </c>
      <c r="M937" s="62" t="str">
        <f>IF(A937="","",IFERROR(INDEX(fa_cname,MATCH(A937,fa_num,0))&amp;"",""))</f>
        <v/>
      </c>
      <c r="N937" s="59" t="str">
        <f>IF(COUNTA(A937:G937)=0,"",IF(A937="","N° facture manquant",IF(ISNA(MATCH(A937,fa_num,0)),"Facture inconnue",IF(AND(B937&lt;&gt;"",ISNA(MATCH(B937,pr_code,0))),"Article inconnu",IF(H937="","Désignation manquante",IF(OR(NOT(ISNUMBER(D937)),N(D937)&lt;=0),"Quantité invalide",IF(J937="","Prix manquant",IF(OR(NOT(ISNUMBER(J937)),N(J937)&lt;0),"Prix invalide",IF(OR(AND(F937&lt;&gt;"",NOT(ISNUMBER(F937))),N(F937)&lt;0,N(F937)&gt;1),"Remise invalide",IF(K937="","Taux de TVA manquant",IF(NOT(ISNUMBER(K937)),"Taux de TVA invalide",IF(COUNTIF(p_rates,K937)=0,"Taux de TVA hors liste (Paramètres)",IF(N(O937)&gt;25,"Au-delà de 25 lignes : non imprimée","OK")))))))))))))</f>
        <v/>
      </c>
      <c r="O937" s="59" t="str">
        <f>IF(A937="","",COUNTIF($A$6:A937,A937))</f>
        <v/>
      </c>
      <c r="P937" s="62" t="str">
        <f>IF(A937="","",A937&amp;"|"&amp;O937)</f>
        <v/>
      </c>
    </row>
    <row r="938">
      <c r="A938" s="60" t="n"/>
      <c r="B938" s="63" t="n"/>
      <c r="C938" s="63" t="n"/>
      <c r="D938" s="67" t="n"/>
      <c r="E938" s="68" t="n"/>
      <c r="F938" s="69" t="n"/>
      <c r="G938" s="70" t="n"/>
      <c r="H938" s="62" t="str">
        <f>IF(COUNTA(A938:G938)=0,"",IF(C938&lt;&gt;"",C938,IF(B938="","",IFERROR(INDEX(pr_des,MATCH(B938,pr_code,0))&amp;"",""))))</f>
        <v/>
      </c>
      <c r="I938" s="59" t="str">
        <f>IF(B938="","",IFERROR(INDEX(pr_unit,MATCH(B938,pr_code,0))&amp;"",""))</f>
        <v/>
      </c>
      <c r="J938" s="65" t="str">
        <f>IF(COUNTA(A938:G938)=0,"",IF(E938&lt;&gt;"",E938,IF(B938="","",IFERROR(IF(INDEX(pr_price,MATCH(B938,pr_code,0))="","",INDEX(pr_price,MATCH(B938,pr_code,0))),""))))</f>
        <v/>
      </c>
      <c r="K938" s="71" t="str">
        <f>IF(COUNTA(A938:G938)=0,"",IF(G938&lt;&gt;"",G938,IF(B938="","",IFERROR(IF(INDEX(pr_rate,MATCH(B938,pr_code,0))="","",INDEX(pr_rate,MATCH(B938,pr_code,0))),""))))</f>
        <v/>
      </c>
      <c r="L938" s="65" t="str">
        <f>IF(COUNTA(A938:G938)=0,"",IF(AND(ISNUMBER(D938),ISNUMBER(J938)),ROUND(D938*J938*(1-N(F938)),2),0))</f>
        <v/>
      </c>
      <c r="M938" s="62" t="str">
        <f>IF(A938="","",IFERROR(INDEX(fa_cname,MATCH(A938,fa_num,0))&amp;"",""))</f>
        <v/>
      </c>
      <c r="N938" s="59" t="str">
        <f>IF(COUNTA(A938:G938)=0,"",IF(A938="","N° facture manquant",IF(ISNA(MATCH(A938,fa_num,0)),"Facture inconnue",IF(AND(B938&lt;&gt;"",ISNA(MATCH(B938,pr_code,0))),"Article inconnu",IF(H938="","Désignation manquante",IF(OR(NOT(ISNUMBER(D938)),N(D938)&lt;=0),"Quantité invalide",IF(J938="","Prix manquant",IF(OR(NOT(ISNUMBER(J938)),N(J938)&lt;0),"Prix invalide",IF(OR(AND(F938&lt;&gt;"",NOT(ISNUMBER(F938))),N(F938)&lt;0,N(F938)&gt;1),"Remise invalide",IF(K938="","Taux de TVA manquant",IF(NOT(ISNUMBER(K938)),"Taux de TVA invalide",IF(COUNTIF(p_rates,K938)=0,"Taux de TVA hors liste (Paramètres)",IF(N(O938)&gt;25,"Au-delà de 25 lignes : non imprimée","OK")))))))))))))</f>
        <v/>
      </c>
      <c r="O938" s="59" t="str">
        <f>IF(A938="","",COUNTIF($A$6:A938,A938))</f>
        <v/>
      </c>
      <c r="P938" s="62" t="str">
        <f>IF(A938="","",A938&amp;"|"&amp;O938)</f>
        <v/>
      </c>
    </row>
    <row r="939">
      <c r="A939" s="60" t="n"/>
      <c r="B939" s="63" t="n"/>
      <c r="C939" s="63" t="n"/>
      <c r="D939" s="67" t="n"/>
      <c r="E939" s="68" t="n"/>
      <c r="F939" s="69" t="n"/>
      <c r="G939" s="70" t="n"/>
      <c r="H939" s="62" t="str">
        <f>IF(COUNTA(A939:G939)=0,"",IF(C939&lt;&gt;"",C939,IF(B939="","",IFERROR(INDEX(pr_des,MATCH(B939,pr_code,0))&amp;"",""))))</f>
        <v/>
      </c>
      <c r="I939" s="59" t="str">
        <f>IF(B939="","",IFERROR(INDEX(pr_unit,MATCH(B939,pr_code,0))&amp;"",""))</f>
        <v/>
      </c>
      <c r="J939" s="65" t="str">
        <f>IF(COUNTA(A939:G939)=0,"",IF(E939&lt;&gt;"",E939,IF(B939="","",IFERROR(IF(INDEX(pr_price,MATCH(B939,pr_code,0))="","",INDEX(pr_price,MATCH(B939,pr_code,0))),""))))</f>
        <v/>
      </c>
      <c r="K939" s="71" t="str">
        <f>IF(COUNTA(A939:G939)=0,"",IF(G939&lt;&gt;"",G939,IF(B939="","",IFERROR(IF(INDEX(pr_rate,MATCH(B939,pr_code,0))="","",INDEX(pr_rate,MATCH(B939,pr_code,0))),""))))</f>
        <v/>
      </c>
      <c r="L939" s="65" t="str">
        <f>IF(COUNTA(A939:G939)=0,"",IF(AND(ISNUMBER(D939),ISNUMBER(J939)),ROUND(D939*J939*(1-N(F939)),2),0))</f>
        <v/>
      </c>
      <c r="M939" s="62" t="str">
        <f>IF(A939="","",IFERROR(INDEX(fa_cname,MATCH(A939,fa_num,0))&amp;"",""))</f>
        <v/>
      </c>
      <c r="N939" s="59" t="str">
        <f>IF(COUNTA(A939:G939)=0,"",IF(A939="","N° facture manquant",IF(ISNA(MATCH(A939,fa_num,0)),"Facture inconnue",IF(AND(B939&lt;&gt;"",ISNA(MATCH(B939,pr_code,0))),"Article inconnu",IF(H939="","Désignation manquante",IF(OR(NOT(ISNUMBER(D939)),N(D939)&lt;=0),"Quantité invalide",IF(J939="","Prix manquant",IF(OR(NOT(ISNUMBER(J939)),N(J939)&lt;0),"Prix invalide",IF(OR(AND(F939&lt;&gt;"",NOT(ISNUMBER(F939))),N(F939)&lt;0,N(F939)&gt;1),"Remise invalide",IF(K939="","Taux de TVA manquant",IF(NOT(ISNUMBER(K939)),"Taux de TVA invalide",IF(COUNTIF(p_rates,K939)=0,"Taux de TVA hors liste (Paramètres)",IF(N(O939)&gt;25,"Au-delà de 25 lignes : non imprimée","OK")))))))))))))</f>
        <v/>
      </c>
      <c r="O939" s="59" t="str">
        <f>IF(A939="","",COUNTIF($A$6:A939,A939))</f>
        <v/>
      </c>
      <c r="P939" s="62" t="str">
        <f>IF(A939="","",A939&amp;"|"&amp;O939)</f>
        <v/>
      </c>
    </row>
    <row r="940">
      <c r="A940" s="60" t="n"/>
      <c r="B940" s="63" t="n"/>
      <c r="C940" s="63" t="n"/>
      <c r="D940" s="67" t="n"/>
      <c r="E940" s="68" t="n"/>
      <c r="F940" s="69" t="n"/>
      <c r="G940" s="70" t="n"/>
      <c r="H940" s="62" t="str">
        <f>IF(COUNTA(A940:G940)=0,"",IF(C940&lt;&gt;"",C940,IF(B940="","",IFERROR(INDEX(pr_des,MATCH(B940,pr_code,0))&amp;"",""))))</f>
        <v/>
      </c>
      <c r="I940" s="59" t="str">
        <f>IF(B940="","",IFERROR(INDEX(pr_unit,MATCH(B940,pr_code,0))&amp;"",""))</f>
        <v/>
      </c>
      <c r="J940" s="65" t="str">
        <f>IF(COUNTA(A940:G940)=0,"",IF(E940&lt;&gt;"",E940,IF(B940="","",IFERROR(IF(INDEX(pr_price,MATCH(B940,pr_code,0))="","",INDEX(pr_price,MATCH(B940,pr_code,0))),""))))</f>
        <v/>
      </c>
      <c r="K940" s="71" t="str">
        <f>IF(COUNTA(A940:G940)=0,"",IF(G940&lt;&gt;"",G940,IF(B940="","",IFERROR(IF(INDEX(pr_rate,MATCH(B940,pr_code,0))="","",INDEX(pr_rate,MATCH(B940,pr_code,0))),""))))</f>
        <v/>
      </c>
      <c r="L940" s="65" t="str">
        <f>IF(COUNTA(A940:G940)=0,"",IF(AND(ISNUMBER(D940),ISNUMBER(J940)),ROUND(D940*J940*(1-N(F940)),2),0))</f>
        <v/>
      </c>
      <c r="M940" s="62" t="str">
        <f>IF(A940="","",IFERROR(INDEX(fa_cname,MATCH(A940,fa_num,0))&amp;"",""))</f>
        <v/>
      </c>
      <c r="N940" s="59" t="str">
        <f>IF(COUNTA(A940:G940)=0,"",IF(A940="","N° facture manquant",IF(ISNA(MATCH(A940,fa_num,0)),"Facture inconnue",IF(AND(B940&lt;&gt;"",ISNA(MATCH(B940,pr_code,0))),"Article inconnu",IF(H940="","Désignation manquante",IF(OR(NOT(ISNUMBER(D940)),N(D940)&lt;=0),"Quantité invalide",IF(J940="","Prix manquant",IF(OR(NOT(ISNUMBER(J940)),N(J940)&lt;0),"Prix invalide",IF(OR(AND(F940&lt;&gt;"",NOT(ISNUMBER(F940))),N(F940)&lt;0,N(F940)&gt;1),"Remise invalide",IF(K940="","Taux de TVA manquant",IF(NOT(ISNUMBER(K940)),"Taux de TVA invalide",IF(COUNTIF(p_rates,K940)=0,"Taux de TVA hors liste (Paramètres)",IF(N(O940)&gt;25,"Au-delà de 25 lignes : non imprimée","OK")))))))))))))</f>
        <v/>
      </c>
      <c r="O940" s="59" t="str">
        <f>IF(A940="","",COUNTIF($A$6:A940,A940))</f>
        <v/>
      </c>
      <c r="P940" s="62" t="str">
        <f>IF(A940="","",A940&amp;"|"&amp;O940)</f>
        <v/>
      </c>
    </row>
    <row r="941">
      <c r="A941" s="60" t="n"/>
      <c r="B941" s="63" t="n"/>
      <c r="C941" s="63" t="n"/>
      <c r="D941" s="67" t="n"/>
      <c r="E941" s="68" t="n"/>
      <c r="F941" s="69" t="n"/>
      <c r="G941" s="70" t="n"/>
      <c r="H941" s="62" t="str">
        <f>IF(COUNTA(A941:G941)=0,"",IF(C941&lt;&gt;"",C941,IF(B941="","",IFERROR(INDEX(pr_des,MATCH(B941,pr_code,0))&amp;"",""))))</f>
        <v/>
      </c>
      <c r="I941" s="59" t="str">
        <f>IF(B941="","",IFERROR(INDEX(pr_unit,MATCH(B941,pr_code,0))&amp;"",""))</f>
        <v/>
      </c>
      <c r="J941" s="65" t="str">
        <f>IF(COUNTA(A941:G941)=0,"",IF(E941&lt;&gt;"",E941,IF(B941="","",IFERROR(IF(INDEX(pr_price,MATCH(B941,pr_code,0))="","",INDEX(pr_price,MATCH(B941,pr_code,0))),""))))</f>
        <v/>
      </c>
      <c r="K941" s="71" t="str">
        <f>IF(COUNTA(A941:G941)=0,"",IF(G941&lt;&gt;"",G941,IF(B941="","",IFERROR(IF(INDEX(pr_rate,MATCH(B941,pr_code,0))="","",INDEX(pr_rate,MATCH(B941,pr_code,0))),""))))</f>
        <v/>
      </c>
      <c r="L941" s="65" t="str">
        <f>IF(COUNTA(A941:G941)=0,"",IF(AND(ISNUMBER(D941),ISNUMBER(J941)),ROUND(D941*J941*(1-N(F941)),2),0))</f>
        <v/>
      </c>
      <c r="M941" s="62" t="str">
        <f>IF(A941="","",IFERROR(INDEX(fa_cname,MATCH(A941,fa_num,0))&amp;"",""))</f>
        <v/>
      </c>
      <c r="N941" s="59" t="str">
        <f>IF(COUNTA(A941:G941)=0,"",IF(A941="","N° facture manquant",IF(ISNA(MATCH(A941,fa_num,0)),"Facture inconnue",IF(AND(B941&lt;&gt;"",ISNA(MATCH(B941,pr_code,0))),"Article inconnu",IF(H941="","Désignation manquante",IF(OR(NOT(ISNUMBER(D941)),N(D941)&lt;=0),"Quantité invalide",IF(J941="","Prix manquant",IF(OR(NOT(ISNUMBER(J941)),N(J941)&lt;0),"Prix invalide",IF(OR(AND(F941&lt;&gt;"",NOT(ISNUMBER(F941))),N(F941)&lt;0,N(F941)&gt;1),"Remise invalide",IF(K941="","Taux de TVA manquant",IF(NOT(ISNUMBER(K941)),"Taux de TVA invalide",IF(COUNTIF(p_rates,K941)=0,"Taux de TVA hors liste (Paramètres)",IF(N(O941)&gt;25,"Au-delà de 25 lignes : non imprimée","OK")))))))))))))</f>
        <v/>
      </c>
      <c r="O941" s="59" t="str">
        <f>IF(A941="","",COUNTIF($A$6:A941,A941))</f>
        <v/>
      </c>
      <c r="P941" s="62" t="str">
        <f>IF(A941="","",A941&amp;"|"&amp;O941)</f>
        <v/>
      </c>
    </row>
    <row r="942">
      <c r="A942" s="60" t="n"/>
      <c r="B942" s="63" t="n"/>
      <c r="C942" s="63" t="n"/>
      <c r="D942" s="67" t="n"/>
      <c r="E942" s="68" t="n"/>
      <c r="F942" s="69" t="n"/>
      <c r="G942" s="70" t="n"/>
      <c r="H942" s="62" t="str">
        <f>IF(COUNTA(A942:G942)=0,"",IF(C942&lt;&gt;"",C942,IF(B942="","",IFERROR(INDEX(pr_des,MATCH(B942,pr_code,0))&amp;"",""))))</f>
        <v/>
      </c>
      <c r="I942" s="59" t="str">
        <f>IF(B942="","",IFERROR(INDEX(pr_unit,MATCH(B942,pr_code,0))&amp;"",""))</f>
        <v/>
      </c>
      <c r="J942" s="65" t="str">
        <f>IF(COUNTA(A942:G942)=0,"",IF(E942&lt;&gt;"",E942,IF(B942="","",IFERROR(IF(INDEX(pr_price,MATCH(B942,pr_code,0))="","",INDEX(pr_price,MATCH(B942,pr_code,0))),""))))</f>
        <v/>
      </c>
      <c r="K942" s="71" t="str">
        <f>IF(COUNTA(A942:G942)=0,"",IF(G942&lt;&gt;"",G942,IF(B942="","",IFERROR(IF(INDEX(pr_rate,MATCH(B942,pr_code,0))="","",INDEX(pr_rate,MATCH(B942,pr_code,0))),""))))</f>
        <v/>
      </c>
      <c r="L942" s="65" t="str">
        <f>IF(COUNTA(A942:G942)=0,"",IF(AND(ISNUMBER(D942),ISNUMBER(J942)),ROUND(D942*J942*(1-N(F942)),2),0))</f>
        <v/>
      </c>
      <c r="M942" s="62" t="str">
        <f>IF(A942="","",IFERROR(INDEX(fa_cname,MATCH(A942,fa_num,0))&amp;"",""))</f>
        <v/>
      </c>
      <c r="N942" s="59" t="str">
        <f>IF(COUNTA(A942:G942)=0,"",IF(A942="","N° facture manquant",IF(ISNA(MATCH(A942,fa_num,0)),"Facture inconnue",IF(AND(B942&lt;&gt;"",ISNA(MATCH(B942,pr_code,0))),"Article inconnu",IF(H942="","Désignation manquante",IF(OR(NOT(ISNUMBER(D942)),N(D942)&lt;=0),"Quantité invalide",IF(J942="","Prix manquant",IF(OR(NOT(ISNUMBER(J942)),N(J942)&lt;0),"Prix invalide",IF(OR(AND(F942&lt;&gt;"",NOT(ISNUMBER(F942))),N(F942)&lt;0,N(F942)&gt;1),"Remise invalide",IF(K942="","Taux de TVA manquant",IF(NOT(ISNUMBER(K942)),"Taux de TVA invalide",IF(COUNTIF(p_rates,K942)=0,"Taux de TVA hors liste (Paramètres)",IF(N(O942)&gt;25,"Au-delà de 25 lignes : non imprimée","OK")))))))))))))</f>
        <v/>
      </c>
      <c r="O942" s="59" t="str">
        <f>IF(A942="","",COUNTIF($A$6:A942,A942))</f>
        <v/>
      </c>
      <c r="P942" s="62" t="str">
        <f>IF(A942="","",A942&amp;"|"&amp;O942)</f>
        <v/>
      </c>
    </row>
    <row r="943">
      <c r="A943" s="60" t="n"/>
      <c r="B943" s="63" t="n"/>
      <c r="C943" s="63" t="n"/>
      <c r="D943" s="67" t="n"/>
      <c r="E943" s="68" t="n"/>
      <c r="F943" s="69" t="n"/>
      <c r="G943" s="70" t="n"/>
      <c r="H943" s="62" t="str">
        <f>IF(COUNTA(A943:G943)=0,"",IF(C943&lt;&gt;"",C943,IF(B943="","",IFERROR(INDEX(pr_des,MATCH(B943,pr_code,0))&amp;"",""))))</f>
        <v/>
      </c>
      <c r="I943" s="59" t="str">
        <f>IF(B943="","",IFERROR(INDEX(pr_unit,MATCH(B943,pr_code,0))&amp;"",""))</f>
        <v/>
      </c>
      <c r="J943" s="65" t="str">
        <f>IF(COUNTA(A943:G943)=0,"",IF(E943&lt;&gt;"",E943,IF(B943="","",IFERROR(IF(INDEX(pr_price,MATCH(B943,pr_code,0))="","",INDEX(pr_price,MATCH(B943,pr_code,0))),""))))</f>
        <v/>
      </c>
      <c r="K943" s="71" t="str">
        <f>IF(COUNTA(A943:G943)=0,"",IF(G943&lt;&gt;"",G943,IF(B943="","",IFERROR(IF(INDEX(pr_rate,MATCH(B943,pr_code,0))="","",INDEX(pr_rate,MATCH(B943,pr_code,0))),""))))</f>
        <v/>
      </c>
      <c r="L943" s="65" t="str">
        <f>IF(COUNTA(A943:G943)=0,"",IF(AND(ISNUMBER(D943),ISNUMBER(J943)),ROUND(D943*J943*(1-N(F943)),2),0))</f>
        <v/>
      </c>
      <c r="M943" s="62" t="str">
        <f>IF(A943="","",IFERROR(INDEX(fa_cname,MATCH(A943,fa_num,0))&amp;"",""))</f>
        <v/>
      </c>
      <c r="N943" s="59" t="str">
        <f>IF(COUNTA(A943:G943)=0,"",IF(A943="","N° facture manquant",IF(ISNA(MATCH(A943,fa_num,0)),"Facture inconnue",IF(AND(B943&lt;&gt;"",ISNA(MATCH(B943,pr_code,0))),"Article inconnu",IF(H943="","Désignation manquante",IF(OR(NOT(ISNUMBER(D943)),N(D943)&lt;=0),"Quantité invalide",IF(J943="","Prix manquant",IF(OR(NOT(ISNUMBER(J943)),N(J943)&lt;0),"Prix invalide",IF(OR(AND(F943&lt;&gt;"",NOT(ISNUMBER(F943))),N(F943)&lt;0,N(F943)&gt;1),"Remise invalide",IF(K943="","Taux de TVA manquant",IF(NOT(ISNUMBER(K943)),"Taux de TVA invalide",IF(COUNTIF(p_rates,K943)=0,"Taux de TVA hors liste (Paramètres)",IF(N(O943)&gt;25,"Au-delà de 25 lignes : non imprimée","OK")))))))))))))</f>
        <v/>
      </c>
      <c r="O943" s="59" t="str">
        <f>IF(A943="","",COUNTIF($A$6:A943,A943))</f>
        <v/>
      </c>
      <c r="P943" s="62" t="str">
        <f>IF(A943="","",A943&amp;"|"&amp;O943)</f>
        <v/>
      </c>
    </row>
    <row r="944">
      <c r="A944" s="60" t="n"/>
      <c r="B944" s="63" t="n"/>
      <c r="C944" s="63" t="n"/>
      <c r="D944" s="67" t="n"/>
      <c r="E944" s="68" t="n"/>
      <c r="F944" s="69" t="n"/>
      <c r="G944" s="70" t="n"/>
      <c r="H944" s="62" t="str">
        <f>IF(COUNTA(A944:G944)=0,"",IF(C944&lt;&gt;"",C944,IF(B944="","",IFERROR(INDEX(pr_des,MATCH(B944,pr_code,0))&amp;"",""))))</f>
        <v/>
      </c>
      <c r="I944" s="59" t="str">
        <f>IF(B944="","",IFERROR(INDEX(pr_unit,MATCH(B944,pr_code,0))&amp;"",""))</f>
        <v/>
      </c>
      <c r="J944" s="65" t="str">
        <f>IF(COUNTA(A944:G944)=0,"",IF(E944&lt;&gt;"",E944,IF(B944="","",IFERROR(IF(INDEX(pr_price,MATCH(B944,pr_code,0))="","",INDEX(pr_price,MATCH(B944,pr_code,0))),""))))</f>
        <v/>
      </c>
      <c r="K944" s="71" t="str">
        <f>IF(COUNTA(A944:G944)=0,"",IF(G944&lt;&gt;"",G944,IF(B944="","",IFERROR(IF(INDEX(pr_rate,MATCH(B944,pr_code,0))="","",INDEX(pr_rate,MATCH(B944,pr_code,0))),""))))</f>
        <v/>
      </c>
      <c r="L944" s="65" t="str">
        <f>IF(COUNTA(A944:G944)=0,"",IF(AND(ISNUMBER(D944),ISNUMBER(J944)),ROUND(D944*J944*(1-N(F944)),2),0))</f>
        <v/>
      </c>
      <c r="M944" s="62" t="str">
        <f>IF(A944="","",IFERROR(INDEX(fa_cname,MATCH(A944,fa_num,0))&amp;"",""))</f>
        <v/>
      </c>
      <c r="N944" s="59" t="str">
        <f>IF(COUNTA(A944:G944)=0,"",IF(A944="","N° facture manquant",IF(ISNA(MATCH(A944,fa_num,0)),"Facture inconnue",IF(AND(B944&lt;&gt;"",ISNA(MATCH(B944,pr_code,0))),"Article inconnu",IF(H944="","Désignation manquante",IF(OR(NOT(ISNUMBER(D944)),N(D944)&lt;=0),"Quantité invalide",IF(J944="","Prix manquant",IF(OR(NOT(ISNUMBER(J944)),N(J944)&lt;0),"Prix invalide",IF(OR(AND(F944&lt;&gt;"",NOT(ISNUMBER(F944))),N(F944)&lt;0,N(F944)&gt;1),"Remise invalide",IF(K944="","Taux de TVA manquant",IF(NOT(ISNUMBER(K944)),"Taux de TVA invalide",IF(COUNTIF(p_rates,K944)=0,"Taux de TVA hors liste (Paramètres)",IF(N(O944)&gt;25,"Au-delà de 25 lignes : non imprimée","OK")))))))))))))</f>
        <v/>
      </c>
      <c r="O944" s="59" t="str">
        <f>IF(A944="","",COUNTIF($A$6:A944,A944))</f>
        <v/>
      </c>
      <c r="P944" s="62" t="str">
        <f>IF(A944="","",A944&amp;"|"&amp;O944)</f>
        <v/>
      </c>
    </row>
    <row r="945">
      <c r="A945" s="60" t="n"/>
      <c r="B945" s="63" t="n"/>
      <c r="C945" s="63" t="n"/>
      <c r="D945" s="67" t="n"/>
      <c r="E945" s="68" t="n"/>
      <c r="F945" s="69" t="n"/>
      <c r="G945" s="70" t="n"/>
      <c r="H945" s="62" t="str">
        <f>IF(COUNTA(A945:G945)=0,"",IF(C945&lt;&gt;"",C945,IF(B945="","",IFERROR(INDEX(pr_des,MATCH(B945,pr_code,0))&amp;"",""))))</f>
        <v/>
      </c>
      <c r="I945" s="59" t="str">
        <f>IF(B945="","",IFERROR(INDEX(pr_unit,MATCH(B945,pr_code,0))&amp;"",""))</f>
        <v/>
      </c>
      <c r="J945" s="65" t="str">
        <f>IF(COUNTA(A945:G945)=0,"",IF(E945&lt;&gt;"",E945,IF(B945="","",IFERROR(IF(INDEX(pr_price,MATCH(B945,pr_code,0))="","",INDEX(pr_price,MATCH(B945,pr_code,0))),""))))</f>
        <v/>
      </c>
      <c r="K945" s="71" t="str">
        <f>IF(COUNTA(A945:G945)=0,"",IF(G945&lt;&gt;"",G945,IF(B945="","",IFERROR(IF(INDEX(pr_rate,MATCH(B945,pr_code,0))="","",INDEX(pr_rate,MATCH(B945,pr_code,0))),""))))</f>
        <v/>
      </c>
      <c r="L945" s="65" t="str">
        <f>IF(COUNTA(A945:G945)=0,"",IF(AND(ISNUMBER(D945),ISNUMBER(J945)),ROUND(D945*J945*(1-N(F945)),2),0))</f>
        <v/>
      </c>
      <c r="M945" s="62" t="str">
        <f>IF(A945="","",IFERROR(INDEX(fa_cname,MATCH(A945,fa_num,0))&amp;"",""))</f>
        <v/>
      </c>
      <c r="N945" s="59" t="str">
        <f>IF(COUNTA(A945:G945)=0,"",IF(A945="","N° facture manquant",IF(ISNA(MATCH(A945,fa_num,0)),"Facture inconnue",IF(AND(B945&lt;&gt;"",ISNA(MATCH(B945,pr_code,0))),"Article inconnu",IF(H945="","Désignation manquante",IF(OR(NOT(ISNUMBER(D945)),N(D945)&lt;=0),"Quantité invalide",IF(J945="","Prix manquant",IF(OR(NOT(ISNUMBER(J945)),N(J945)&lt;0),"Prix invalide",IF(OR(AND(F945&lt;&gt;"",NOT(ISNUMBER(F945))),N(F945)&lt;0,N(F945)&gt;1),"Remise invalide",IF(K945="","Taux de TVA manquant",IF(NOT(ISNUMBER(K945)),"Taux de TVA invalide",IF(COUNTIF(p_rates,K945)=0,"Taux de TVA hors liste (Paramètres)",IF(N(O945)&gt;25,"Au-delà de 25 lignes : non imprimée","OK")))))))))))))</f>
        <v/>
      </c>
      <c r="O945" s="59" t="str">
        <f>IF(A945="","",COUNTIF($A$6:A945,A945))</f>
        <v/>
      </c>
      <c r="P945" s="62" t="str">
        <f>IF(A945="","",A945&amp;"|"&amp;O945)</f>
        <v/>
      </c>
    </row>
    <row r="946">
      <c r="A946" s="60" t="n"/>
      <c r="B946" s="63" t="n"/>
      <c r="C946" s="63" t="n"/>
      <c r="D946" s="67" t="n"/>
      <c r="E946" s="68" t="n"/>
      <c r="F946" s="69" t="n"/>
      <c r="G946" s="70" t="n"/>
      <c r="H946" s="62" t="str">
        <f>IF(COUNTA(A946:G946)=0,"",IF(C946&lt;&gt;"",C946,IF(B946="","",IFERROR(INDEX(pr_des,MATCH(B946,pr_code,0))&amp;"",""))))</f>
        <v/>
      </c>
      <c r="I946" s="59" t="str">
        <f>IF(B946="","",IFERROR(INDEX(pr_unit,MATCH(B946,pr_code,0))&amp;"",""))</f>
        <v/>
      </c>
      <c r="J946" s="65" t="str">
        <f>IF(COUNTA(A946:G946)=0,"",IF(E946&lt;&gt;"",E946,IF(B946="","",IFERROR(IF(INDEX(pr_price,MATCH(B946,pr_code,0))="","",INDEX(pr_price,MATCH(B946,pr_code,0))),""))))</f>
        <v/>
      </c>
      <c r="K946" s="71" t="str">
        <f>IF(COUNTA(A946:G946)=0,"",IF(G946&lt;&gt;"",G946,IF(B946="","",IFERROR(IF(INDEX(pr_rate,MATCH(B946,pr_code,0))="","",INDEX(pr_rate,MATCH(B946,pr_code,0))),""))))</f>
        <v/>
      </c>
      <c r="L946" s="65" t="str">
        <f>IF(COUNTA(A946:G946)=0,"",IF(AND(ISNUMBER(D946),ISNUMBER(J946)),ROUND(D946*J946*(1-N(F946)),2),0))</f>
        <v/>
      </c>
      <c r="M946" s="62" t="str">
        <f>IF(A946="","",IFERROR(INDEX(fa_cname,MATCH(A946,fa_num,0))&amp;"",""))</f>
        <v/>
      </c>
      <c r="N946" s="59" t="str">
        <f>IF(COUNTA(A946:G946)=0,"",IF(A946="","N° facture manquant",IF(ISNA(MATCH(A946,fa_num,0)),"Facture inconnue",IF(AND(B946&lt;&gt;"",ISNA(MATCH(B946,pr_code,0))),"Article inconnu",IF(H946="","Désignation manquante",IF(OR(NOT(ISNUMBER(D946)),N(D946)&lt;=0),"Quantité invalide",IF(J946="","Prix manquant",IF(OR(NOT(ISNUMBER(J946)),N(J946)&lt;0),"Prix invalide",IF(OR(AND(F946&lt;&gt;"",NOT(ISNUMBER(F946))),N(F946)&lt;0,N(F946)&gt;1),"Remise invalide",IF(K946="","Taux de TVA manquant",IF(NOT(ISNUMBER(K946)),"Taux de TVA invalide",IF(COUNTIF(p_rates,K946)=0,"Taux de TVA hors liste (Paramètres)",IF(N(O946)&gt;25,"Au-delà de 25 lignes : non imprimée","OK")))))))))))))</f>
        <v/>
      </c>
      <c r="O946" s="59" t="str">
        <f>IF(A946="","",COUNTIF($A$6:A946,A946))</f>
        <v/>
      </c>
      <c r="P946" s="62" t="str">
        <f>IF(A946="","",A946&amp;"|"&amp;O946)</f>
        <v/>
      </c>
    </row>
    <row r="947">
      <c r="A947" s="60" t="n"/>
      <c r="B947" s="63" t="n"/>
      <c r="C947" s="63" t="n"/>
      <c r="D947" s="67" t="n"/>
      <c r="E947" s="68" t="n"/>
      <c r="F947" s="69" t="n"/>
      <c r="G947" s="70" t="n"/>
      <c r="H947" s="62" t="str">
        <f>IF(COUNTA(A947:G947)=0,"",IF(C947&lt;&gt;"",C947,IF(B947="","",IFERROR(INDEX(pr_des,MATCH(B947,pr_code,0))&amp;"",""))))</f>
        <v/>
      </c>
      <c r="I947" s="59" t="str">
        <f>IF(B947="","",IFERROR(INDEX(pr_unit,MATCH(B947,pr_code,0))&amp;"",""))</f>
        <v/>
      </c>
      <c r="J947" s="65" t="str">
        <f>IF(COUNTA(A947:G947)=0,"",IF(E947&lt;&gt;"",E947,IF(B947="","",IFERROR(IF(INDEX(pr_price,MATCH(B947,pr_code,0))="","",INDEX(pr_price,MATCH(B947,pr_code,0))),""))))</f>
        <v/>
      </c>
      <c r="K947" s="71" t="str">
        <f>IF(COUNTA(A947:G947)=0,"",IF(G947&lt;&gt;"",G947,IF(B947="","",IFERROR(IF(INDEX(pr_rate,MATCH(B947,pr_code,0))="","",INDEX(pr_rate,MATCH(B947,pr_code,0))),""))))</f>
        <v/>
      </c>
      <c r="L947" s="65" t="str">
        <f>IF(COUNTA(A947:G947)=0,"",IF(AND(ISNUMBER(D947),ISNUMBER(J947)),ROUND(D947*J947*(1-N(F947)),2),0))</f>
        <v/>
      </c>
      <c r="M947" s="62" t="str">
        <f>IF(A947="","",IFERROR(INDEX(fa_cname,MATCH(A947,fa_num,0))&amp;"",""))</f>
        <v/>
      </c>
      <c r="N947" s="59" t="str">
        <f>IF(COUNTA(A947:G947)=0,"",IF(A947="","N° facture manquant",IF(ISNA(MATCH(A947,fa_num,0)),"Facture inconnue",IF(AND(B947&lt;&gt;"",ISNA(MATCH(B947,pr_code,0))),"Article inconnu",IF(H947="","Désignation manquante",IF(OR(NOT(ISNUMBER(D947)),N(D947)&lt;=0),"Quantité invalide",IF(J947="","Prix manquant",IF(OR(NOT(ISNUMBER(J947)),N(J947)&lt;0),"Prix invalide",IF(OR(AND(F947&lt;&gt;"",NOT(ISNUMBER(F947))),N(F947)&lt;0,N(F947)&gt;1),"Remise invalide",IF(K947="","Taux de TVA manquant",IF(NOT(ISNUMBER(K947)),"Taux de TVA invalide",IF(COUNTIF(p_rates,K947)=0,"Taux de TVA hors liste (Paramètres)",IF(N(O947)&gt;25,"Au-delà de 25 lignes : non imprimée","OK")))))))))))))</f>
        <v/>
      </c>
      <c r="O947" s="59" t="str">
        <f>IF(A947="","",COUNTIF($A$6:A947,A947))</f>
        <v/>
      </c>
      <c r="P947" s="62" t="str">
        <f>IF(A947="","",A947&amp;"|"&amp;O947)</f>
        <v/>
      </c>
    </row>
    <row r="948">
      <c r="A948" s="60" t="n"/>
      <c r="B948" s="63" t="n"/>
      <c r="C948" s="63" t="n"/>
      <c r="D948" s="67" t="n"/>
      <c r="E948" s="68" t="n"/>
      <c r="F948" s="69" t="n"/>
      <c r="G948" s="70" t="n"/>
      <c r="H948" s="62" t="str">
        <f>IF(COUNTA(A948:G948)=0,"",IF(C948&lt;&gt;"",C948,IF(B948="","",IFERROR(INDEX(pr_des,MATCH(B948,pr_code,0))&amp;"",""))))</f>
        <v/>
      </c>
      <c r="I948" s="59" t="str">
        <f>IF(B948="","",IFERROR(INDEX(pr_unit,MATCH(B948,pr_code,0))&amp;"",""))</f>
        <v/>
      </c>
      <c r="J948" s="65" t="str">
        <f>IF(COUNTA(A948:G948)=0,"",IF(E948&lt;&gt;"",E948,IF(B948="","",IFERROR(IF(INDEX(pr_price,MATCH(B948,pr_code,0))="","",INDEX(pr_price,MATCH(B948,pr_code,0))),""))))</f>
        <v/>
      </c>
      <c r="K948" s="71" t="str">
        <f>IF(COUNTA(A948:G948)=0,"",IF(G948&lt;&gt;"",G948,IF(B948="","",IFERROR(IF(INDEX(pr_rate,MATCH(B948,pr_code,0))="","",INDEX(pr_rate,MATCH(B948,pr_code,0))),""))))</f>
        <v/>
      </c>
      <c r="L948" s="65" t="str">
        <f>IF(COUNTA(A948:G948)=0,"",IF(AND(ISNUMBER(D948),ISNUMBER(J948)),ROUND(D948*J948*(1-N(F948)),2),0))</f>
        <v/>
      </c>
      <c r="M948" s="62" t="str">
        <f>IF(A948="","",IFERROR(INDEX(fa_cname,MATCH(A948,fa_num,0))&amp;"",""))</f>
        <v/>
      </c>
      <c r="N948" s="59" t="str">
        <f>IF(COUNTA(A948:G948)=0,"",IF(A948="","N° facture manquant",IF(ISNA(MATCH(A948,fa_num,0)),"Facture inconnue",IF(AND(B948&lt;&gt;"",ISNA(MATCH(B948,pr_code,0))),"Article inconnu",IF(H948="","Désignation manquante",IF(OR(NOT(ISNUMBER(D948)),N(D948)&lt;=0),"Quantité invalide",IF(J948="","Prix manquant",IF(OR(NOT(ISNUMBER(J948)),N(J948)&lt;0),"Prix invalide",IF(OR(AND(F948&lt;&gt;"",NOT(ISNUMBER(F948))),N(F948)&lt;0,N(F948)&gt;1),"Remise invalide",IF(K948="","Taux de TVA manquant",IF(NOT(ISNUMBER(K948)),"Taux de TVA invalide",IF(COUNTIF(p_rates,K948)=0,"Taux de TVA hors liste (Paramètres)",IF(N(O948)&gt;25,"Au-delà de 25 lignes : non imprimée","OK")))))))))))))</f>
        <v/>
      </c>
      <c r="O948" s="59" t="str">
        <f>IF(A948="","",COUNTIF($A$6:A948,A948))</f>
        <v/>
      </c>
      <c r="P948" s="62" t="str">
        <f>IF(A948="","",A948&amp;"|"&amp;O948)</f>
        <v/>
      </c>
    </row>
    <row r="949">
      <c r="A949" s="60" t="n"/>
      <c r="B949" s="63" t="n"/>
      <c r="C949" s="63" t="n"/>
      <c r="D949" s="67" t="n"/>
      <c r="E949" s="68" t="n"/>
      <c r="F949" s="69" t="n"/>
      <c r="G949" s="70" t="n"/>
      <c r="H949" s="62" t="str">
        <f>IF(COUNTA(A949:G949)=0,"",IF(C949&lt;&gt;"",C949,IF(B949="","",IFERROR(INDEX(pr_des,MATCH(B949,pr_code,0))&amp;"",""))))</f>
        <v/>
      </c>
      <c r="I949" s="59" t="str">
        <f>IF(B949="","",IFERROR(INDEX(pr_unit,MATCH(B949,pr_code,0))&amp;"",""))</f>
        <v/>
      </c>
      <c r="J949" s="65" t="str">
        <f>IF(COUNTA(A949:G949)=0,"",IF(E949&lt;&gt;"",E949,IF(B949="","",IFERROR(IF(INDEX(pr_price,MATCH(B949,pr_code,0))="","",INDEX(pr_price,MATCH(B949,pr_code,0))),""))))</f>
        <v/>
      </c>
      <c r="K949" s="71" t="str">
        <f>IF(COUNTA(A949:G949)=0,"",IF(G949&lt;&gt;"",G949,IF(B949="","",IFERROR(IF(INDEX(pr_rate,MATCH(B949,pr_code,0))="","",INDEX(pr_rate,MATCH(B949,pr_code,0))),""))))</f>
        <v/>
      </c>
      <c r="L949" s="65" t="str">
        <f>IF(COUNTA(A949:G949)=0,"",IF(AND(ISNUMBER(D949),ISNUMBER(J949)),ROUND(D949*J949*(1-N(F949)),2),0))</f>
        <v/>
      </c>
      <c r="M949" s="62" t="str">
        <f>IF(A949="","",IFERROR(INDEX(fa_cname,MATCH(A949,fa_num,0))&amp;"",""))</f>
        <v/>
      </c>
      <c r="N949" s="59" t="str">
        <f>IF(COUNTA(A949:G949)=0,"",IF(A949="","N° facture manquant",IF(ISNA(MATCH(A949,fa_num,0)),"Facture inconnue",IF(AND(B949&lt;&gt;"",ISNA(MATCH(B949,pr_code,0))),"Article inconnu",IF(H949="","Désignation manquante",IF(OR(NOT(ISNUMBER(D949)),N(D949)&lt;=0),"Quantité invalide",IF(J949="","Prix manquant",IF(OR(NOT(ISNUMBER(J949)),N(J949)&lt;0),"Prix invalide",IF(OR(AND(F949&lt;&gt;"",NOT(ISNUMBER(F949))),N(F949)&lt;0,N(F949)&gt;1),"Remise invalide",IF(K949="","Taux de TVA manquant",IF(NOT(ISNUMBER(K949)),"Taux de TVA invalide",IF(COUNTIF(p_rates,K949)=0,"Taux de TVA hors liste (Paramètres)",IF(N(O949)&gt;25,"Au-delà de 25 lignes : non imprimée","OK")))))))))))))</f>
        <v/>
      </c>
      <c r="O949" s="59" t="str">
        <f>IF(A949="","",COUNTIF($A$6:A949,A949))</f>
        <v/>
      </c>
      <c r="P949" s="62" t="str">
        <f>IF(A949="","",A949&amp;"|"&amp;O949)</f>
        <v/>
      </c>
    </row>
    <row r="950">
      <c r="A950" s="60" t="n"/>
      <c r="B950" s="63" t="n"/>
      <c r="C950" s="63" t="n"/>
      <c r="D950" s="67" t="n"/>
      <c r="E950" s="68" t="n"/>
      <c r="F950" s="69" t="n"/>
      <c r="G950" s="70" t="n"/>
      <c r="H950" s="62" t="str">
        <f>IF(COUNTA(A950:G950)=0,"",IF(C950&lt;&gt;"",C950,IF(B950="","",IFERROR(INDEX(pr_des,MATCH(B950,pr_code,0))&amp;"",""))))</f>
        <v/>
      </c>
      <c r="I950" s="59" t="str">
        <f>IF(B950="","",IFERROR(INDEX(pr_unit,MATCH(B950,pr_code,0))&amp;"",""))</f>
        <v/>
      </c>
      <c r="J950" s="65" t="str">
        <f>IF(COUNTA(A950:G950)=0,"",IF(E950&lt;&gt;"",E950,IF(B950="","",IFERROR(IF(INDEX(pr_price,MATCH(B950,pr_code,0))="","",INDEX(pr_price,MATCH(B950,pr_code,0))),""))))</f>
        <v/>
      </c>
      <c r="K950" s="71" t="str">
        <f>IF(COUNTA(A950:G950)=0,"",IF(G950&lt;&gt;"",G950,IF(B950="","",IFERROR(IF(INDEX(pr_rate,MATCH(B950,pr_code,0))="","",INDEX(pr_rate,MATCH(B950,pr_code,0))),""))))</f>
        <v/>
      </c>
      <c r="L950" s="65" t="str">
        <f>IF(COUNTA(A950:G950)=0,"",IF(AND(ISNUMBER(D950),ISNUMBER(J950)),ROUND(D950*J950*(1-N(F950)),2),0))</f>
        <v/>
      </c>
      <c r="M950" s="62" t="str">
        <f>IF(A950="","",IFERROR(INDEX(fa_cname,MATCH(A950,fa_num,0))&amp;"",""))</f>
        <v/>
      </c>
      <c r="N950" s="59" t="str">
        <f>IF(COUNTA(A950:G950)=0,"",IF(A950="","N° facture manquant",IF(ISNA(MATCH(A950,fa_num,0)),"Facture inconnue",IF(AND(B950&lt;&gt;"",ISNA(MATCH(B950,pr_code,0))),"Article inconnu",IF(H950="","Désignation manquante",IF(OR(NOT(ISNUMBER(D950)),N(D950)&lt;=0),"Quantité invalide",IF(J950="","Prix manquant",IF(OR(NOT(ISNUMBER(J950)),N(J950)&lt;0),"Prix invalide",IF(OR(AND(F950&lt;&gt;"",NOT(ISNUMBER(F950))),N(F950)&lt;0,N(F950)&gt;1),"Remise invalide",IF(K950="","Taux de TVA manquant",IF(NOT(ISNUMBER(K950)),"Taux de TVA invalide",IF(COUNTIF(p_rates,K950)=0,"Taux de TVA hors liste (Paramètres)",IF(N(O950)&gt;25,"Au-delà de 25 lignes : non imprimée","OK")))))))))))))</f>
        <v/>
      </c>
      <c r="O950" s="59" t="str">
        <f>IF(A950="","",COUNTIF($A$6:A950,A950))</f>
        <v/>
      </c>
      <c r="P950" s="62" t="str">
        <f>IF(A950="","",A950&amp;"|"&amp;O950)</f>
        <v/>
      </c>
    </row>
    <row r="951">
      <c r="A951" s="60" t="n"/>
      <c r="B951" s="63" t="n"/>
      <c r="C951" s="63" t="n"/>
      <c r="D951" s="67" t="n"/>
      <c r="E951" s="68" t="n"/>
      <c r="F951" s="69" t="n"/>
      <c r="G951" s="70" t="n"/>
      <c r="H951" s="62" t="str">
        <f>IF(COUNTA(A951:G951)=0,"",IF(C951&lt;&gt;"",C951,IF(B951="","",IFERROR(INDEX(pr_des,MATCH(B951,pr_code,0))&amp;"",""))))</f>
        <v/>
      </c>
      <c r="I951" s="59" t="str">
        <f>IF(B951="","",IFERROR(INDEX(pr_unit,MATCH(B951,pr_code,0))&amp;"",""))</f>
        <v/>
      </c>
      <c r="J951" s="65" t="str">
        <f>IF(COUNTA(A951:G951)=0,"",IF(E951&lt;&gt;"",E951,IF(B951="","",IFERROR(IF(INDEX(pr_price,MATCH(B951,pr_code,0))="","",INDEX(pr_price,MATCH(B951,pr_code,0))),""))))</f>
        <v/>
      </c>
      <c r="K951" s="71" t="str">
        <f>IF(COUNTA(A951:G951)=0,"",IF(G951&lt;&gt;"",G951,IF(B951="","",IFERROR(IF(INDEX(pr_rate,MATCH(B951,pr_code,0))="","",INDEX(pr_rate,MATCH(B951,pr_code,0))),""))))</f>
        <v/>
      </c>
      <c r="L951" s="65" t="str">
        <f>IF(COUNTA(A951:G951)=0,"",IF(AND(ISNUMBER(D951),ISNUMBER(J951)),ROUND(D951*J951*(1-N(F951)),2),0))</f>
        <v/>
      </c>
      <c r="M951" s="62" t="str">
        <f>IF(A951="","",IFERROR(INDEX(fa_cname,MATCH(A951,fa_num,0))&amp;"",""))</f>
        <v/>
      </c>
      <c r="N951" s="59" t="str">
        <f>IF(COUNTA(A951:G951)=0,"",IF(A951="","N° facture manquant",IF(ISNA(MATCH(A951,fa_num,0)),"Facture inconnue",IF(AND(B951&lt;&gt;"",ISNA(MATCH(B951,pr_code,0))),"Article inconnu",IF(H951="","Désignation manquante",IF(OR(NOT(ISNUMBER(D951)),N(D951)&lt;=0),"Quantité invalide",IF(J951="","Prix manquant",IF(OR(NOT(ISNUMBER(J951)),N(J951)&lt;0),"Prix invalide",IF(OR(AND(F951&lt;&gt;"",NOT(ISNUMBER(F951))),N(F951)&lt;0,N(F951)&gt;1),"Remise invalide",IF(K951="","Taux de TVA manquant",IF(NOT(ISNUMBER(K951)),"Taux de TVA invalide",IF(COUNTIF(p_rates,K951)=0,"Taux de TVA hors liste (Paramètres)",IF(N(O951)&gt;25,"Au-delà de 25 lignes : non imprimée","OK")))))))))))))</f>
        <v/>
      </c>
      <c r="O951" s="59" t="str">
        <f>IF(A951="","",COUNTIF($A$6:A951,A951))</f>
        <v/>
      </c>
      <c r="P951" s="62" t="str">
        <f>IF(A951="","",A951&amp;"|"&amp;O951)</f>
        <v/>
      </c>
    </row>
    <row r="952">
      <c r="A952" s="60" t="n"/>
      <c r="B952" s="63" t="n"/>
      <c r="C952" s="63" t="n"/>
      <c r="D952" s="67" t="n"/>
      <c r="E952" s="68" t="n"/>
      <c r="F952" s="69" t="n"/>
      <c r="G952" s="70" t="n"/>
      <c r="H952" s="62" t="str">
        <f>IF(COUNTA(A952:G952)=0,"",IF(C952&lt;&gt;"",C952,IF(B952="","",IFERROR(INDEX(pr_des,MATCH(B952,pr_code,0))&amp;"",""))))</f>
        <v/>
      </c>
      <c r="I952" s="59" t="str">
        <f>IF(B952="","",IFERROR(INDEX(pr_unit,MATCH(B952,pr_code,0))&amp;"",""))</f>
        <v/>
      </c>
      <c r="J952" s="65" t="str">
        <f>IF(COUNTA(A952:G952)=0,"",IF(E952&lt;&gt;"",E952,IF(B952="","",IFERROR(IF(INDEX(pr_price,MATCH(B952,pr_code,0))="","",INDEX(pr_price,MATCH(B952,pr_code,0))),""))))</f>
        <v/>
      </c>
      <c r="K952" s="71" t="str">
        <f>IF(COUNTA(A952:G952)=0,"",IF(G952&lt;&gt;"",G952,IF(B952="","",IFERROR(IF(INDEX(pr_rate,MATCH(B952,pr_code,0))="","",INDEX(pr_rate,MATCH(B952,pr_code,0))),""))))</f>
        <v/>
      </c>
      <c r="L952" s="65" t="str">
        <f>IF(COUNTA(A952:G952)=0,"",IF(AND(ISNUMBER(D952),ISNUMBER(J952)),ROUND(D952*J952*(1-N(F952)),2),0))</f>
        <v/>
      </c>
      <c r="M952" s="62" t="str">
        <f>IF(A952="","",IFERROR(INDEX(fa_cname,MATCH(A952,fa_num,0))&amp;"",""))</f>
        <v/>
      </c>
      <c r="N952" s="59" t="str">
        <f>IF(COUNTA(A952:G952)=0,"",IF(A952="","N° facture manquant",IF(ISNA(MATCH(A952,fa_num,0)),"Facture inconnue",IF(AND(B952&lt;&gt;"",ISNA(MATCH(B952,pr_code,0))),"Article inconnu",IF(H952="","Désignation manquante",IF(OR(NOT(ISNUMBER(D952)),N(D952)&lt;=0),"Quantité invalide",IF(J952="","Prix manquant",IF(OR(NOT(ISNUMBER(J952)),N(J952)&lt;0),"Prix invalide",IF(OR(AND(F952&lt;&gt;"",NOT(ISNUMBER(F952))),N(F952)&lt;0,N(F952)&gt;1),"Remise invalide",IF(K952="","Taux de TVA manquant",IF(NOT(ISNUMBER(K952)),"Taux de TVA invalide",IF(COUNTIF(p_rates,K952)=0,"Taux de TVA hors liste (Paramètres)",IF(N(O952)&gt;25,"Au-delà de 25 lignes : non imprimée","OK")))))))))))))</f>
        <v/>
      </c>
      <c r="O952" s="59" t="str">
        <f>IF(A952="","",COUNTIF($A$6:A952,A952))</f>
        <v/>
      </c>
      <c r="P952" s="62" t="str">
        <f>IF(A952="","",A952&amp;"|"&amp;O952)</f>
        <v/>
      </c>
    </row>
    <row r="953">
      <c r="A953" s="60" t="n"/>
      <c r="B953" s="63" t="n"/>
      <c r="C953" s="63" t="n"/>
      <c r="D953" s="67" t="n"/>
      <c r="E953" s="68" t="n"/>
      <c r="F953" s="69" t="n"/>
      <c r="G953" s="70" t="n"/>
      <c r="H953" s="62" t="str">
        <f>IF(COUNTA(A953:G953)=0,"",IF(C953&lt;&gt;"",C953,IF(B953="","",IFERROR(INDEX(pr_des,MATCH(B953,pr_code,0))&amp;"",""))))</f>
        <v/>
      </c>
      <c r="I953" s="59" t="str">
        <f>IF(B953="","",IFERROR(INDEX(pr_unit,MATCH(B953,pr_code,0))&amp;"",""))</f>
        <v/>
      </c>
      <c r="J953" s="65" t="str">
        <f>IF(COUNTA(A953:G953)=0,"",IF(E953&lt;&gt;"",E953,IF(B953="","",IFERROR(IF(INDEX(pr_price,MATCH(B953,pr_code,0))="","",INDEX(pr_price,MATCH(B953,pr_code,0))),""))))</f>
        <v/>
      </c>
      <c r="K953" s="71" t="str">
        <f>IF(COUNTA(A953:G953)=0,"",IF(G953&lt;&gt;"",G953,IF(B953="","",IFERROR(IF(INDEX(pr_rate,MATCH(B953,pr_code,0))="","",INDEX(pr_rate,MATCH(B953,pr_code,0))),""))))</f>
        <v/>
      </c>
      <c r="L953" s="65" t="str">
        <f>IF(COUNTA(A953:G953)=0,"",IF(AND(ISNUMBER(D953),ISNUMBER(J953)),ROUND(D953*J953*(1-N(F953)),2),0))</f>
        <v/>
      </c>
      <c r="M953" s="62" t="str">
        <f>IF(A953="","",IFERROR(INDEX(fa_cname,MATCH(A953,fa_num,0))&amp;"",""))</f>
        <v/>
      </c>
      <c r="N953" s="59" t="str">
        <f>IF(COUNTA(A953:G953)=0,"",IF(A953="","N° facture manquant",IF(ISNA(MATCH(A953,fa_num,0)),"Facture inconnue",IF(AND(B953&lt;&gt;"",ISNA(MATCH(B953,pr_code,0))),"Article inconnu",IF(H953="","Désignation manquante",IF(OR(NOT(ISNUMBER(D953)),N(D953)&lt;=0),"Quantité invalide",IF(J953="","Prix manquant",IF(OR(NOT(ISNUMBER(J953)),N(J953)&lt;0),"Prix invalide",IF(OR(AND(F953&lt;&gt;"",NOT(ISNUMBER(F953))),N(F953)&lt;0,N(F953)&gt;1),"Remise invalide",IF(K953="","Taux de TVA manquant",IF(NOT(ISNUMBER(K953)),"Taux de TVA invalide",IF(COUNTIF(p_rates,K953)=0,"Taux de TVA hors liste (Paramètres)",IF(N(O953)&gt;25,"Au-delà de 25 lignes : non imprimée","OK")))))))))))))</f>
        <v/>
      </c>
      <c r="O953" s="59" t="str">
        <f>IF(A953="","",COUNTIF($A$6:A953,A953))</f>
        <v/>
      </c>
      <c r="P953" s="62" t="str">
        <f>IF(A953="","",A953&amp;"|"&amp;O953)</f>
        <v/>
      </c>
    </row>
    <row r="954">
      <c r="A954" s="60" t="n"/>
      <c r="B954" s="63" t="n"/>
      <c r="C954" s="63" t="n"/>
      <c r="D954" s="67" t="n"/>
      <c r="E954" s="68" t="n"/>
      <c r="F954" s="69" t="n"/>
      <c r="G954" s="70" t="n"/>
      <c r="H954" s="62" t="str">
        <f>IF(COUNTA(A954:G954)=0,"",IF(C954&lt;&gt;"",C954,IF(B954="","",IFERROR(INDEX(pr_des,MATCH(B954,pr_code,0))&amp;"",""))))</f>
        <v/>
      </c>
      <c r="I954" s="59" t="str">
        <f>IF(B954="","",IFERROR(INDEX(pr_unit,MATCH(B954,pr_code,0))&amp;"",""))</f>
        <v/>
      </c>
      <c r="J954" s="65" t="str">
        <f>IF(COUNTA(A954:G954)=0,"",IF(E954&lt;&gt;"",E954,IF(B954="","",IFERROR(IF(INDEX(pr_price,MATCH(B954,pr_code,0))="","",INDEX(pr_price,MATCH(B954,pr_code,0))),""))))</f>
        <v/>
      </c>
      <c r="K954" s="71" t="str">
        <f>IF(COUNTA(A954:G954)=0,"",IF(G954&lt;&gt;"",G954,IF(B954="","",IFERROR(IF(INDEX(pr_rate,MATCH(B954,pr_code,0))="","",INDEX(pr_rate,MATCH(B954,pr_code,0))),""))))</f>
        <v/>
      </c>
      <c r="L954" s="65" t="str">
        <f>IF(COUNTA(A954:G954)=0,"",IF(AND(ISNUMBER(D954),ISNUMBER(J954)),ROUND(D954*J954*(1-N(F954)),2),0))</f>
        <v/>
      </c>
      <c r="M954" s="62" t="str">
        <f>IF(A954="","",IFERROR(INDEX(fa_cname,MATCH(A954,fa_num,0))&amp;"",""))</f>
        <v/>
      </c>
      <c r="N954" s="59" t="str">
        <f>IF(COUNTA(A954:G954)=0,"",IF(A954="","N° facture manquant",IF(ISNA(MATCH(A954,fa_num,0)),"Facture inconnue",IF(AND(B954&lt;&gt;"",ISNA(MATCH(B954,pr_code,0))),"Article inconnu",IF(H954="","Désignation manquante",IF(OR(NOT(ISNUMBER(D954)),N(D954)&lt;=0),"Quantité invalide",IF(J954="","Prix manquant",IF(OR(NOT(ISNUMBER(J954)),N(J954)&lt;0),"Prix invalide",IF(OR(AND(F954&lt;&gt;"",NOT(ISNUMBER(F954))),N(F954)&lt;0,N(F954)&gt;1),"Remise invalide",IF(K954="","Taux de TVA manquant",IF(NOT(ISNUMBER(K954)),"Taux de TVA invalide",IF(COUNTIF(p_rates,K954)=0,"Taux de TVA hors liste (Paramètres)",IF(N(O954)&gt;25,"Au-delà de 25 lignes : non imprimée","OK")))))))))))))</f>
        <v/>
      </c>
      <c r="O954" s="59" t="str">
        <f>IF(A954="","",COUNTIF($A$6:A954,A954))</f>
        <v/>
      </c>
      <c r="P954" s="62" t="str">
        <f>IF(A954="","",A954&amp;"|"&amp;O954)</f>
        <v/>
      </c>
    </row>
    <row r="955">
      <c r="A955" s="60" t="n"/>
      <c r="B955" s="63" t="n"/>
      <c r="C955" s="63" t="n"/>
      <c r="D955" s="67" t="n"/>
      <c r="E955" s="68" t="n"/>
      <c r="F955" s="69" t="n"/>
      <c r="G955" s="70" t="n"/>
      <c r="H955" s="62" t="str">
        <f>IF(COUNTA(A955:G955)=0,"",IF(C955&lt;&gt;"",C955,IF(B955="","",IFERROR(INDEX(pr_des,MATCH(B955,pr_code,0))&amp;"",""))))</f>
        <v/>
      </c>
      <c r="I955" s="59" t="str">
        <f>IF(B955="","",IFERROR(INDEX(pr_unit,MATCH(B955,pr_code,0))&amp;"",""))</f>
        <v/>
      </c>
      <c r="J955" s="65" t="str">
        <f>IF(COUNTA(A955:G955)=0,"",IF(E955&lt;&gt;"",E955,IF(B955="","",IFERROR(IF(INDEX(pr_price,MATCH(B955,pr_code,0))="","",INDEX(pr_price,MATCH(B955,pr_code,0))),""))))</f>
        <v/>
      </c>
      <c r="K955" s="71" t="str">
        <f>IF(COUNTA(A955:G955)=0,"",IF(G955&lt;&gt;"",G955,IF(B955="","",IFERROR(IF(INDEX(pr_rate,MATCH(B955,pr_code,0))="","",INDEX(pr_rate,MATCH(B955,pr_code,0))),""))))</f>
        <v/>
      </c>
      <c r="L955" s="65" t="str">
        <f>IF(COUNTA(A955:G955)=0,"",IF(AND(ISNUMBER(D955),ISNUMBER(J955)),ROUND(D955*J955*(1-N(F955)),2),0))</f>
        <v/>
      </c>
      <c r="M955" s="62" t="str">
        <f>IF(A955="","",IFERROR(INDEX(fa_cname,MATCH(A955,fa_num,0))&amp;"",""))</f>
        <v/>
      </c>
      <c r="N955" s="59" t="str">
        <f>IF(COUNTA(A955:G955)=0,"",IF(A955="","N° facture manquant",IF(ISNA(MATCH(A955,fa_num,0)),"Facture inconnue",IF(AND(B955&lt;&gt;"",ISNA(MATCH(B955,pr_code,0))),"Article inconnu",IF(H955="","Désignation manquante",IF(OR(NOT(ISNUMBER(D955)),N(D955)&lt;=0),"Quantité invalide",IF(J955="","Prix manquant",IF(OR(NOT(ISNUMBER(J955)),N(J955)&lt;0),"Prix invalide",IF(OR(AND(F955&lt;&gt;"",NOT(ISNUMBER(F955))),N(F955)&lt;0,N(F955)&gt;1),"Remise invalide",IF(K955="","Taux de TVA manquant",IF(NOT(ISNUMBER(K955)),"Taux de TVA invalide",IF(COUNTIF(p_rates,K955)=0,"Taux de TVA hors liste (Paramètres)",IF(N(O955)&gt;25,"Au-delà de 25 lignes : non imprimée","OK")))))))))))))</f>
        <v/>
      </c>
      <c r="O955" s="59" t="str">
        <f>IF(A955="","",COUNTIF($A$6:A955,A955))</f>
        <v/>
      </c>
      <c r="P955" s="62" t="str">
        <f>IF(A955="","",A955&amp;"|"&amp;O955)</f>
        <v/>
      </c>
    </row>
    <row r="956">
      <c r="A956" s="60" t="n"/>
      <c r="B956" s="63" t="n"/>
      <c r="C956" s="63" t="n"/>
      <c r="D956" s="67" t="n"/>
      <c r="E956" s="68" t="n"/>
      <c r="F956" s="69" t="n"/>
      <c r="G956" s="70" t="n"/>
      <c r="H956" s="62" t="str">
        <f>IF(COUNTA(A956:G956)=0,"",IF(C956&lt;&gt;"",C956,IF(B956="","",IFERROR(INDEX(pr_des,MATCH(B956,pr_code,0))&amp;"",""))))</f>
        <v/>
      </c>
      <c r="I956" s="59" t="str">
        <f>IF(B956="","",IFERROR(INDEX(pr_unit,MATCH(B956,pr_code,0))&amp;"",""))</f>
        <v/>
      </c>
      <c r="J956" s="65" t="str">
        <f>IF(COUNTA(A956:G956)=0,"",IF(E956&lt;&gt;"",E956,IF(B956="","",IFERROR(IF(INDEX(pr_price,MATCH(B956,pr_code,0))="","",INDEX(pr_price,MATCH(B956,pr_code,0))),""))))</f>
        <v/>
      </c>
      <c r="K956" s="71" t="str">
        <f>IF(COUNTA(A956:G956)=0,"",IF(G956&lt;&gt;"",G956,IF(B956="","",IFERROR(IF(INDEX(pr_rate,MATCH(B956,pr_code,0))="","",INDEX(pr_rate,MATCH(B956,pr_code,0))),""))))</f>
        <v/>
      </c>
      <c r="L956" s="65" t="str">
        <f>IF(COUNTA(A956:G956)=0,"",IF(AND(ISNUMBER(D956),ISNUMBER(J956)),ROUND(D956*J956*(1-N(F956)),2),0))</f>
        <v/>
      </c>
      <c r="M956" s="62" t="str">
        <f>IF(A956="","",IFERROR(INDEX(fa_cname,MATCH(A956,fa_num,0))&amp;"",""))</f>
        <v/>
      </c>
      <c r="N956" s="59" t="str">
        <f>IF(COUNTA(A956:G956)=0,"",IF(A956="","N° facture manquant",IF(ISNA(MATCH(A956,fa_num,0)),"Facture inconnue",IF(AND(B956&lt;&gt;"",ISNA(MATCH(B956,pr_code,0))),"Article inconnu",IF(H956="","Désignation manquante",IF(OR(NOT(ISNUMBER(D956)),N(D956)&lt;=0),"Quantité invalide",IF(J956="","Prix manquant",IF(OR(NOT(ISNUMBER(J956)),N(J956)&lt;0),"Prix invalide",IF(OR(AND(F956&lt;&gt;"",NOT(ISNUMBER(F956))),N(F956)&lt;0,N(F956)&gt;1),"Remise invalide",IF(K956="","Taux de TVA manquant",IF(NOT(ISNUMBER(K956)),"Taux de TVA invalide",IF(COUNTIF(p_rates,K956)=0,"Taux de TVA hors liste (Paramètres)",IF(N(O956)&gt;25,"Au-delà de 25 lignes : non imprimée","OK")))))))))))))</f>
        <v/>
      </c>
      <c r="O956" s="59" t="str">
        <f>IF(A956="","",COUNTIF($A$6:A956,A956))</f>
        <v/>
      </c>
      <c r="P956" s="62" t="str">
        <f>IF(A956="","",A956&amp;"|"&amp;O956)</f>
        <v/>
      </c>
    </row>
    <row r="957">
      <c r="A957" s="60" t="n"/>
      <c r="B957" s="63" t="n"/>
      <c r="C957" s="63" t="n"/>
      <c r="D957" s="67" t="n"/>
      <c r="E957" s="68" t="n"/>
      <c r="F957" s="69" t="n"/>
      <c r="G957" s="70" t="n"/>
      <c r="H957" s="62" t="str">
        <f>IF(COUNTA(A957:G957)=0,"",IF(C957&lt;&gt;"",C957,IF(B957="","",IFERROR(INDEX(pr_des,MATCH(B957,pr_code,0))&amp;"",""))))</f>
        <v/>
      </c>
      <c r="I957" s="59" t="str">
        <f>IF(B957="","",IFERROR(INDEX(pr_unit,MATCH(B957,pr_code,0))&amp;"",""))</f>
        <v/>
      </c>
      <c r="J957" s="65" t="str">
        <f>IF(COUNTA(A957:G957)=0,"",IF(E957&lt;&gt;"",E957,IF(B957="","",IFERROR(IF(INDEX(pr_price,MATCH(B957,pr_code,0))="","",INDEX(pr_price,MATCH(B957,pr_code,0))),""))))</f>
        <v/>
      </c>
      <c r="K957" s="71" t="str">
        <f>IF(COUNTA(A957:G957)=0,"",IF(G957&lt;&gt;"",G957,IF(B957="","",IFERROR(IF(INDEX(pr_rate,MATCH(B957,pr_code,0))="","",INDEX(pr_rate,MATCH(B957,pr_code,0))),""))))</f>
        <v/>
      </c>
      <c r="L957" s="65" t="str">
        <f>IF(COUNTA(A957:G957)=0,"",IF(AND(ISNUMBER(D957),ISNUMBER(J957)),ROUND(D957*J957*(1-N(F957)),2),0))</f>
        <v/>
      </c>
      <c r="M957" s="62" t="str">
        <f>IF(A957="","",IFERROR(INDEX(fa_cname,MATCH(A957,fa_num,0))&amp;"",""))</f>
        <v/>
      </c>
      <c r="N957" s="59" t="str">
        <f>IF(COUNTA(A957:G957)=0,"",IF(A957="","N° facture manquant",IF(ISNA(MATCH(A957,fa_num,0)),"Facture inconnue",IF(AND(B957&lt;&gt;"",ISNA(MATCH(B957,pr_code,0))),"Article inconnu",IF(H957="","Désignation manquante",IF(OR(NOT(ISNUMBER(D957)),N(D957)&lt;=0),"Quantité invalide",IF(J957="","Prix manquant",IF(OR(NOT(ISNUMBER(J957)),N(J957)&lt;0),"Prix invalide",IF(OR(AND(F957&lt;&gt;"",NOT(ISNUMBER(F957))),N(F957)&lt;0,N(F957)&gt;1),"Remise invalide",IF(K957="","Taux de TVA manquant",IF(NOT(ISNUMBER(K957)),"Taux de TVA invalide",IF(COUNTIF(p_rates,K957)=0,"Taux de TVA hors liste (Paramètres)",IF(N(O957)&gt;25,"Au-delà de 25 lignes : non imprimée","OK")))))))))))))</f>
        <v/>
      </c>
      <c r="O957" s="59" t="str">
        <f>IF(A957="","",COUNTIF($A$6:A957,A957))</f>
        <v/>
      </c>
      <c r="P957" s="62" t="str">
        <f>IF(A957="","",A957&amp;"|"&amp;O957)</f>
        <v/>
      </c>
    </row>
    <row r="958">
      <c r="A958" s="60" t="n"/>
      <c r="B958" s="63" t="n"/>
      <c r="C958" s="63" t="n"/>
      <c r="D958" s="67" t="n"/>
      <c r="E958" s="68" t="n"/>
      <c r="F958" s="69" t="n"/>
      <c r="G958" s="70" t="n"/>
      <c r="H958" s="62" t="str">
        <f>IF(COUNTA(A958:G958)=0,"",IF(C958&lt;&gt;"",C958,IF(B958="","",IFERROR(INDEX(pr_des,MATCH(B958,pr_code,0))&amp;"",""))))</f>
        <v/>
      </c>
      <c r="I958" s="59" t="str">
        <f>IF(B958="","",IFERROR(INDEX(pr_unit,MATCH(B958,pr_code,0))&amp;"",""))</f>
        <v/>
      </c>
      <c r="J958" s="65" t="str">
        <f>IF(COUNTA(A958:G958)=0,"",IF(E958&lt;&gt;"",E958,IF(B958="","",IFERROR(IF(INDEX(pr_price,MATCH(B958,pr_code,0))="","",INDEX(pr_price,MATCH(B958,pr_code,0))),""))))</f>
        <v/>
      </c>
      <c r="K958" s="71" t="str">
        <f>IF(COUNTA(A958:G958)=0,"",IF(G958&lt;&gt;"",G958,IF(B958="","",IFERROR(IF(INDEX(pr_rate,MATCH(B958,pr_code,0))="","",INDEX(pr_rate,MATCH(B958,pr_code,0))),""))))</f>
        <v/>
      </c>
      <c r="L958" s="65" t="str">
        <f>IF(COUNTA(A958:G958)=0,"",IF(AND(ISNUMBER(D958),ISNUMBER(J958)),ROUND(D958*J958*(1-N(F958)),2),0))</f>
        <v/>
      </c>
      <c r="M958" s="62" t="str">
        <f>IF(A958="","",IFERROR(INDEX(fa_cname,MATCH(A958,fa_num,0))&amp;"",""))</f>
        <v/>
      </c>
      <c r="N958" s="59" t="str">
        <f>IF(COUNTA(A958:G958)=0,"",IF(A958="","N° facture manquant",IF(ISNA(MATCH(A958,fa_num,0)),"Facture inconnue",IF(AND(B958&lt;&gt;"",ISNA(MATCH(B958,pr_code,0))),"Article inconnu",IF(H958="","Désignation manquante",IF(OR(NOT(ISNUMBER(D958)),N(D958)&lt;=0),"Quantité invalide",IF(J958="","Prix manquant",IF(OR(NOT(ISNUMBER(J958)),N(J958)&lt;0),"Prix invalide",IF(OR(AND(F958&lt;&gt;"",NOT(ISNUMBER(F958))),N(F958)&lt;0,N(F958)&gt;1),"Remise invalide",IF(K958="","Taux de TVA manquant",IF(NOT(ISNUMBER(K958)),"Taux de TVA invalide",IF(COUNTIF(p_rates,K958)=0,"Taux de TVA hors liste (Paramètres)",IF(N(O958)&gt;25,"Au-delà de 25 lignes : non imprimée","OK")))))))))))))</f>
        <v/>
      </c>
      <c r="O958" s="59" t="str">
        <f>IF(A958="","",COUNTIF($A$6:A958,A958))</f>
        <v/>
      </c>
      <c r="P958" s="62" t="str">
        <f>IF(A958="","",A958&amp;"|"&amp;O958)</f>
        <v/>
      </c>
    </row>
    <row r="959">
      <c r="A959" s="60" t="n"/>
      <c r="B959" s="63" t="n"/>
      <c r="C959" s="63" t="n"/>
      <c r="D959" s="67" t="n"/>
      <c r="E959" s="68" t="n"/>
      <c r="F959" s="69" t="n"/>
      <c r="G959" s="70" t="n"/>
      <c r="H959" s="62" t="str">
        <f>IF(COUNTA(A959:G959)=0,"",IF(C959&lt;&gt;"",C959,IF(B959="","",IFERROR(INDEX(pr_des,MATCH(B959,pr_code,0))&amp;"",""))))</f>
        <v/>
      </c>
      <c r="I959" s="59" t="str">
        <f>IF(B959="","",IFERROR(INDEX(pr_unit,MATCH(B959,pr_code,0))&amp;"",""))</f>
        <v/>
      </c>
      <c r="J959" s="65" t="str">
        <f>IF(COUNTA(A959:G959)=0,"",IF(E959&lt;&gt;"",E959,IF(B959="","",IFERROR(IF(INDEX(pr_price,MATCH(B959,pr_code,0))="","",INDEX(pr_price,MATCH(B959,pr_code,0))),""))))</f>
        <v/>
      </c>
      <c r="K959" s="71" t="str">
        <f>IF(COUNTA(A959:G959)=0,"",IF(G959&lt;&gt;"",G959,IF(B959="","",IFERROR(IF(INDEX(pr_rate,MATCH(B959,pr_code,0))="","",INDEX(pr_rate,MATCH(B959,pr_code,0))),""))))</f>
        <v/>
      </c>
      <c r="L959" s="65" t="str">
        <f>IF(COUNTA(A959:G959)=0,"",IF(AND(ISNUMBER(D959),ISNUMBER(J959)),ROUND(D959*J959*(1-N(F959)),2),0))</f>
        <v/>
      </c>
      <c r="M959" s="62" t="str">
        <f>IF(A959="","",IFERROR(INDEX(fa_cname,MATCH(A959,fa_num,0))&amp;"",""))</f>
        <v/>
      </c>
      <c r="N959" s="59" t="str">
        <f>IF(COUNTA(A959:G959)=0,"",IF(A959="","N° facture manquant",IF(ISNA(MATCH(A959,fa_num,0)),"Facture inconnue",IF(AND(B959&lt;&gt;"",ISNA(MATCH(B959,pr_code,0))),"Article inconnu",IF(H959="","Désignation manquante",IF(OR(NOT(ISNUMBER(D959)),N(D959)&lt;=0),"Quantité invalide",IF(J959="","Prix manquant",IF(OR(NOT(ISNUMBER(J959)),N(J959)&lt;0),"Prix invalide",IF(OR(AND(F959&lt;&gt;"",NOT(ISNUMBER(F959))),N(F959)&lt;0,N(F959)&gt;1),"Remise invalide",IF(K959="","Taux de TVA manquant",IF(NOT(ISNUMBER(K959)),"Taux de TVA invalide",IF(COUNTIF(p_rates,K959)=0,"Taux de TVA hors liste (Paramètres)",IF(N(O959)&gt;25,"Au-delà de 25 lignes : non imprimée","OK")))))))))))))</f>
        <v/>
      </c>
      <c r="O959" s="59" t="str">
        <f>IF(A959="","",COUNTIF($A$6:A959,A959))</f>
        <v/>
      </c>
      <c r="P959" s="62" t="str">
        <f>IF(A959="","",A959&amp;"|"&amp;O959)</f>
        <v/>
      </c>
    </row>
    <row r="960">
      <c r="A960" s="60" t="n"/>
      <c r="B960" s="63" t="n"/>
      <c r="C960" s="63" t="n"/>
      <c r="D960" s="67" t="n"/>
      <c r="E960" s="68" t="n"/>
      <c r="F960" s="69" t="n"/>
      <c r="G960" s="70" t="n"/>
      <c r="H960" s="62" t="str">
        <f>IF(COUNTA(A960:G960)=0,"",IF(C960&lt;&gt;"",C960,IF(B960="","",IFERROR(INDEX(pr_des,MATCH(B960,pr_code,0))&amp;"",""))))</f>
        <v/>
      </c>
      <c r="I960" s="59" t="str">
        <f>IF(B960="","",IFERROR(INDEX(pr_unit,MATCH(B960,pr_code,0))&amp;"",""))</f>
        <v/>
      </c>
      <c r="J960" s="65" t="str">
        <f>IF(COUNTA(A960:G960)=0,"",IF(E960&lt;&gt;"",E960,IF(B960="","",IFERROR(IF(INDEX(pr_price,MATCH(B960,pr_code,0))="","",INDEX(pr_price,MATCH(B960,pr_code,0))),""))))</f>
        <v/>
      </c>
      <c r="K960" s="71" t="str">
        <f>IF(COUNTA(A960:G960)=0,"",IF(G960&lt;&gt;"",G960,IF(B960="","",IFERROR(IF(INDEX(pr_rate,MATCH(B960,pr_code,0))="","",INDEX(pr_rate,MATCH(B960,pr_code,0))),""))))</f>
        <v/>
      </c>
      <c r="L960" s="65" t="str">
        <f>IF(COUNTA(A960:G960)=0,"",IF(AND(ISNUMBER(D960),ISNUMBER(J960)),ROUND(D960*J960*(1-N(F960)),2),0))</f>
        <v/>
      </c>
      <c r="M960" s="62" t="str">
        <f>IF(A960="","",IFERROR(INDEX(fa_cname,MATCH(A960,fa_num,0))&amp;"",""))</f>
        <v/>
      </c>
      <c r="N960" s="59" t="str">
        <f>IF(COUNTA(A960:G960)=0,"",IF(A960="","N° facture manquant",IF(ISNA(MATCH(A960,fa_num,0)),"Facture inconnue",IF(AND(B960&lt;&gt;"",ISNA(MATCH(B960,pr_code,0))),"Article inconnu",IF(H960="","Désignation manquante",IF(OR(NOT(ISNUMBER(D960)),N(D960)&lt;=0),"Quantité invalide",IF(J960="","Prix manquant",IF(OR(NOT(ISNUMBER(J960)),N(J960)&lt;0),"Prix invalide",IF(OR(AND(F960&lt;&gt;"",NOT(ISNUMBER(F960))),N(F960)&lt;0,N(F960)&gt;1),"Remise invalide",IF(K960="","Taux de TVA manquant",IF(NOT(ISNUMBER(K960)),"Taux de TVA invalide",IF(COUNTIF(p_rates,K960)=0,"Taux de TVA hors liste (Paramètres)",IF(N(O960)&gt;25,"Au-delà de 25 lignes : non imprimée","OK")))))))))))))</f>
        <v/>
      </c>
      <c r="O960" s="59" t="str">
        <f>IF(A960="","",COUNTIF($A$6:A960,A960))</f>
        <v/>
      </c>
      <c r="P960" s="62" t="str">
        <f>IF(A960="","",A960&amp;"|"&amp;O960)</f>
        <v/>
      </c>
    </row>
    <row r="961">
      <c r="A961" s="60" t="n"/>
      <c r="B961" s="63" t="n"/>
      <c r="C961" s="63" t="n"/>
      <c r="D961" s="67" t="n"/>
      <c r="E961" s="68" t="n"/>
      <c r="F961" s="69" t="n"/>
      <c r="G961" s="70" t="n"/>
      <c r="H961" s="62" t="str">
        <f>IF(COUNTA(A961:G961)=0,"",IF(C961&lt;&gt;"",C961,IF(B961="","",IFERROR(INDEX(pr_des,MATCH(B961,pr_code,0))&amp;"",""))))</f>
        <v/>
      </c>
      <c r="I961" s="59" t="str">
        <f>IF(B961="","",IFERROR(INDEX(pr_unit,MATCH(B961,pr_code,0))&amp;"",""))</f>
        <v/>
      </c>
      <c r="J961" s="65" t="str">
        <f>IF(COUNTA(A961:G961)=0,"",IF(E961&lt;&gt;"",E961,IF(B961="","",IFERROR(IF(INDEX(pr_price,MATCH(B961,pr_code,0))="","",INDEX(pr_price,MATCH(B961,pr_code,0))),""))))</f>
        <v/>
      </c>
      <c r="K961" s="71" t="str">
        <f>IF(COUNTA(A961:G961)=0,"",IF(G961&lt;&gt;"",G961,IF(B961="","",IFERROR(IF(INDEX(pr_rate,MATCH(B961,pr_code,0))="","",INDEX(pr_rate,MATCH(B961,pr_code,0))),""))))</f>
        <v/>
      </c>
      <c r="L961" s="65" t="str">
        <f>IF(COUNTA(A961:G961)=0,"",IF(AND(ISNUMBER(D961),ISNUMBER(J961)),ROUND(D961*J961*(1-N(F961)),2),0))</f>
        <v/>
      </c>
      <c r="M961" s="62" t="str">
        <f>IF(A961="","",IFERROR(INDEX(fa_cname,MATCH(A961,fa_num,0))&amp;"",""))</f>
        <v/>
      </c>
      <c r="N961" s="59" t="str">
        <f>IF(COUNTA(A961:G961)=0,"",IF(A961="","N° facture manquant",IF(ISNA(MATCH(A961,fa_num,0)),"Facture inconnue",IF(AND(B961&lt;&gt;"",ISNA(MATCH(B961,pr_code,0))),"Article inconnu",IF(H961="","Désignation manquante",IF(OR(NOT(ISNUMBER(D961)),N(D961)&lt;=0),"Quantité invalide",IF(J961="","Prix manquant",IF(OR(NOT(ISNUMBER(J961)),N(J961)&lt;0),"Prix invalide",IF(OR(AND(F961&lt;&gt;"",NOT(ISNUMBER(F961))),N(F961)&lt;0,N(F961)&gt;1),"Remise invalide",IF(K961="","Taux de TVA manquant",IF(NOT(ISNUMBER(K961)),"Taux de TVA invalide",IF(COUNTIF(p_rates,K961)=0,"Taux de TVA hors liste (Paramètres)",IF(N(O961)&gt;25,"Au-delà de 25 lignes : non imprimée","OK")))))))))))))</f>
        <v/>
      </c>
      <c r="O961" s="59" t="str">
        <f>IF(A961="","",COUNTIF($A$6:A961,A961))</f>
        <v/>
      </c>
      <c r="P961" s="62" t="str">
        <f>IF(A961="","",A961&amp;"|"&amp;O961)</f>
        <v/>
      </c>
    </row>
    <row r="962">
      <c r="A962" s="60" t="n"/>
      <c r="B962" s="63" t="n"/>
      <c r="C962" s="63" t="n"/>
      <c r="D962" s="67" t="n"/>
      <c r="E962" s="68" t="n"/>
      <c r="F962" s="69" t="n"/>
      <c r="G962" s="70" t="n"/>
      <c r="H962" s="62" t="str">
        <f>IF(COUNTA(A962:G962)=0,"",IF(C962&lt;&gt;"",C962,IF(B962="","",IFERROR(INDEX(pr_des,MATCH(B962,pr_code,0))&amp;"",""))))</f>
        <v/>
      </c>
      <c r="I962" s="59" t="str">
        <f>IF(B962="","",IFERROR(INDEX(pr_unit,MATCH(B962,pr_code,0))&amp;"",""))</f>
        <v/>
      </c>
      <c r="J962" s="65" t="str">
        <f>IF(COUNTA(A962:G962)=0,"",IF(E962&lt;&gt;"",E962,IF(B962="","",IFERROR(IF(INDEX(pr_price,MATCH(B962,pr_code,0))="","",INDEX(pr_price,MATCH(B962,pr_code,0))),""))))</f>
        <v/>
      </c>
      <c r="K962" s="71" t="str">
        <f>IF(COUNTA(A962:G962)=0,"",IF(G962&lt;&gt;"",G962,IF(B962="","",IFERROR(IF(INDEX(pr_rate,MATCH(B962,pr_code,0))="","",INDEX(pr_rate,MATCH(B962,pr_code,0))),""))))</f>
        <v/>
      </c>
      <c r="L962" s="65" t="str">
        <f>IF(COUNTA(A962:G962)=0,"",IF(AND(ISNUMBER(D962),ISNUMBER(J962)),ROUND(D962*J962*(1-N(F962)),2),0))</f>
        <v/>
      </c>
      <c r="M962" s="62" t="str">
        <f>IF(A962="","",IFERROR(INDEX(fa_cname,MATCH(A962,fa_num,0))&amp;"",""))</f>
        <v/>
      </c>
      <c r="N962" s="59" t="str">
        <f>IF(COUNTA(A962:G962)=0,"",IF(A962="","N° facture manquant",IF(ISNA(MATCH(A962,fa_num,0)),"Facture inconnue",IF(AND(B962&lt;&gt;"",ISNA(MATCH(B962,pr_code,0))),"Article inconnu",IF(H962="","Désignation manquante",IF(OR(NOT(ISNUMBER(D962)),N(D962)&lt;=0),"Quantité invalide",IF(J962="","Prix manquant",IF(OR(NOT(ISNUMBER(J962)),N(J962)&lt;0),"Prix invalide",IF(OR(AND(F962&lt;&gt;"",NOT(ISNUMBER(F962))),N(F962)&lt;0,N(F962)&gt;1),"Remise invalide",IF(K962="","Taux de TVA manquant",IF(NOT(ISNUMBER(K962)),"Taux de TVA invalide",IF(COUNTIF(p_rates,K962)=0,"Taux de TVA hors liste (Paramètres)",IF(N(O962)&gt;25,"Au-delà de 25 lignes : non imprimée","OK")))))))))))))</f>
        <v/>
      </c>
      <c r="O962" s="59" t="str">
        <f>IF(A962="","",COUNTIF($A$6:A962,A962))</f>
        <v/>
      </c>
      <c r="P962" s="62" t="str">
        <f>IF(A962="","",A962&amp;"|"&amp;O962)</f>
        <v/>
      </c>
    </row>
    <row r="963">
      <c r="A963" s="60" t="n"/>
      <c r="B963" s="63" t="n"/>
      <c r="C963" s="63" t="n"/>
      <c r="D963" s="67" t="n"/>
      <c r="E963" s="68" t="n"/>
      <c r="F963" s="69" t="n"/>
      <c r="G963" s="70" t="n"/>
      <c r="H963" s="62" t="str">
        <f>IF(COUNTA(A963:G963)=0,"",IF(C963&lt;&gt;"",C963,IF(B963="","",IFERROR(INDEX(pr_des,MATCH(B963,pr_code,0))&amp;"",""))))</f>
        <v/>
      </c>
      <c r="I963" s="59" t="str">
        <f>IF(B963="","",IFERROR(INDEX(pr_unit,MATCH(B963,pr_code,0))&amp;"",""))</f>
        <v/>
      </c>
      <c r="J963" s="65" t="str">
        <f>IF(COUNTA(A963:G963)=0,"",IF(E963&lt;&gt;"",E963,IF(B963="","",IFERROR(IF(INDEX(pr_price,MATCH(B963,pr_code,0))="","",INDEX(pr_price,MATCH(B963,pr_code,0))),""))))</f>
        <v/>
      </c>
      <c r="K963" s="71" t="str">
        <f>IF(COUNTA(A963:G963)=0,"",IF(G963&lt;&gt;"",G963,IF(B963="","",IFERROR(IF(INDEX(pr_rate,MATCH(B963,pr_code,0))="","",INDEX(pr_rate,MATCH(B963,pr_code,0))),""))))</f>
        <v/>
      </c>
      <c r="L963" s="65" t="str">
        <f>IF(COUNTA(A963:G963)=0,"",IF(AND(ISNUMBER(D963),ISNUMBER(J963)),ROUND(D963*J963*(1-N(F963)),2),0))</f>
        <v/>
      </c>
      <c r="M963" s="62" t="str">
        <f>IF(A963="","",IFERROR(INDEX(fa_cname,MATCH(A963,fa_num,0))&amp;"",""))</f>
        <v/>
      </c>
      <c r="N963" s="59" t="str">
        <f>IF(COUNTA(A963:G963)=0,"",IF(A963="","N° facture manquant",IF(ISNA(MATCH(A963,fa_num,0)),"Facture inconnue",IF(AND(B963&lt;&gt;"",ISNA(MATCH(B963,pr_code,0))),"Article inconnu",IF(H963="","Désignation manquante",IF(OR(NOT(ISNUMBER(D963)),N(D963)&lt;=0),"Quantité invalide",IF(J963="","Prix manquant",IF(OR(NOT(ISNUMBER(J963)),N(J963)&lt;0),"Prix invalide",IF(OR(AND(F963&lt;&gt;"",NOT(ISNUMBER(F963))),N(F963)&lt;0,N(F963)&gt;1),"Remise invalide",IF(K963="","Taux de TVA manquant",IF(NOT(ISNUMBER(K963)),"Taux de TVA invalide",IF(COUNTIF(p_rates,K963)=0,"Taux de TVA hors liste (Paramètres)",IF(N(O963)&gt;25,"Au-delà de 25 lignes : non imprimée","OK")))))))))))))</f>
        <v/>
      </c>
      <c r="O963" s="59" t="str">
        <f>IF(A963="","",COUNTIF($A$6:A963,A963))</f>
        <v/>
      </c>
      <c r="P963" s="62" t="str">
        <f>IF(A963="","",A963&amp;"|"&amp;O963)</f>
        <v/>
      </c>
    </row>
    <row r="964">
      <c r="A964" s="60" t="n"/>
      <c r="B964" s="63" t="n"/>
      <c r="C964" s="63" t="n"/>
      <c r="D964" s="67" t="n"/>
      <c r="E964" s="68" t="n"/>
      <c r="F964" s="69" t="n"/>
      <c r="G964" s="70" t="n"/>
      <c r="H964" s="62" t="str">
        <f>IF(COUNTA(A964:G964)=0,"",IF(C964&lt;&gt;"",C964,IF(B964="","",IFERROR(INDEX(pr_des,MATCH(B964,pr_code,0))&amp;"",""))))</f>
        <v/>
      </c>
      <c r="I964" s="59" t="str">
        <f>IF(B964="","",IFERROR(INDEX(pr_unit,MATCH(B964,pr_code,0))&amp;"",""))</f>
        <v/>
      </c>
      <c r="J964" s="65" t="str">
        <f>IF(COUNTA(A964:G964)=0,"",IF(E964&lt;&gt;"",E964,IF(B964="","",IFERROR(IF(INDEX(pr_price,MATCH(B964,pr_code,0))="","",INDEX(pr_price,MATCH(B964,pr_code,0))),""))))</f>
        <v/>
      </c>
      <c r="K964" s="71" t="str">
        <f>IF(COUNTA(A964:G964)=0,"",IF(G964&lt;&gt;"",G964,IF(B964="","",IFERROR(IF(INDEX(pr_rate,MATCH(B964,pr_code,0))="","",INDEX(pr_rate,MATCH(B964,pr_code,0))),""))))</f>
        <v/>
      </c>
      <c r="L964" s="65" t="str">
        <f>IF(COUNTA(A964:G964)=0,"",IF(AND(ISNUMBER(D964),ISNUMBER(J964)),ROUND(D964*J964*(1-N(F964)),2),0))</f>
        <v/>
      </c>
      <c r="M964" s="62" t="str">
        <f>IF(A964="","",IFERROR(INDEX(fa_cname,MATCH(A964,fa_num,0))&amp;"",""))</f>
        <v/>
      </c>
      <c r="N964" s="59" t="str">
        <f>IF(COUNTA(A964:G964)=0,"",IF(A964="","N° facture manquant",IF(ISNA(MATCH(A964,fa_num,0)),"Facture inconnue",IF(AND(B964&lt;&gt;"",ISNA(MATCH(B964,pr_code,0))),"Article inconnu",IF(H964="","Désignation manquante",IF(OR(NOT(ISNUMBER(D964)),N(D964)&lt;=0),"Quantité invalide",IF(J964="","Prix manquant",IF(OR(NOT(ISNUMBER(J964)),N(J964)&lt;0),"Prix invalide",IF(OR(AND(F964&lt;&gt;"",NOT(ISNUMBER(F964))),N(F964)&lt;0,N(F964)&gt;1),"Remise invalide",IF(K964="","Taux de TVA manquant",IF(NOT(ISNUMBER(K964)),"Taux de TVA invalide",IF(COUNTIF(p_rates,K964)=0,"Taux de TVA hors liste (Paramètres)",IF(N(O964)&gt;25,"Au-delà de 25 lignes : non imprimée","OK")))))))))))))</f>
        <v/>
      </c>
      <c r="O964" s="59" t="str">
        <f>IF(A964="","",COUNTIF($A$6:A964,A964))</f>
        <v/>
      </c>
      <c r="P964" s="62" t="str">
        <f>IF(A964="","",A964&amp;"|"&amp;O964)</f>
        <v/>
      </c>
    </row>
    <row r="965">
      <c r="A965" s="60" t="n"/>
      <c r="B965" s="63" t="n"/>
      <c r="C965" s="63" t="n"/>
      <c r="D965" s="67" t="n"/>
      <c r="E965" s="68" t="n"/>
      <c r="F965" s="69" t="n"/>
      <c r="G965" s="70" t="n"/>
      <c r="H965" s="62" t="str">
        <f>IF(COUNTA(A965:G965)=0,"",IF(C965&lt;&gt;"",C965,IF(B965="","",IFERROR(INDEX(pr_des,MATCH(B965,pr_code,0))&amp;"",""))))</f>
        <v/>
      </c>
      <c r="I965" s="59" t="str">
        <f>IF(B965="","",IFERROR(INDEX(pr_unit,MATCH(B965,pr_code,0))&amp;"",""))</f>
        <v/>
      </c>
      <c r="J965" s="65" t="str">
        <f>IF(COUNTA(A965:G965)=0,"",IF(E965&lt;&gt;"",E965,IF(B965="","",IFERROR(IF(INDEX(pr_price,MATCH(B965,pr_code,0))="","",INDEX(pr_price,MATCH(B965,pr_code,0))),""))))</f>
        <v/>
      </c>
      <c r="K965" s="71" t="str">
        <f>IF(COUNTA(A965:G965)=0,"",IF(G965&lt;&gt;"",G965,IF(B965="","",IFERROR(IF(INDEX(pr_rate,MATCH(B965,pr_code,0))="","",INDEX(pr_rate,MATCH(B965,pr_code,0))),""))))</f>
        <v/>
      </c>
      <c r="L965" s="65" t="str">
        <f>IF(COUNTA(A965:G965)=0,"",IF(AND(ISNUMBER(D965),ISNUMBER(J965)),ROUND(D965*J965*(1-N(F965)),2),0))</f>
        <v/>
      </c>
      <c r="M965" s="62" t="str">
        <f>IF(A965="","",IFERROR(INDEX(fa_cname,MATCH(A965,fa_num,0))&amp;"",""))</f>
        <v/>
      </c>
      <c r="N965" s="59" t="str">
        <f>IF(COUNTA(A965:G965)=0,"",IF(A965="","N° facture manquant",IF(ISNA(MATCH(A965,fa_num,0)),"Facture inconnue",IF(AND(B965&lt;&gt;"",ISNA(MATCH(B965,pr_code,0))),"Article inconnu",IF(H965="","Désignation manquante",IF(OR(NOT(ISNUMBER(D965)),N(D965)&lt;=0),"Quantité invalide",IF(J965="","Prix manquant",IF(OR(NOT(ISNUMBER(J965)),N(J965)&lt;0),"Prix invalide",IF(OR(AND(F965&lt;&gt;"",NOT(ISNUMBER(F965))),N(F965)&lt;0,N(F965)&gt;1),"Remise invalide",IF(K965="","Taux de TVA manquant",IF(NOT(ISNUMBER(K965)),"Taux de TVA invalide",IF(COUNTIF(p_rates,K965)=0,"Taux de TVA hors liste (Paramètres)",IF(N(O965)&gt;25,"Au-delà de 25 lignes : non imprimée","OK")))))))))))))</f>
        <v/>
      </c>
      <c r="O965" s="59" t="str">
        <f>IF(A965="","",COUNTIF($A$6:A965,A965))</f>
        <v/>
      </c>
      <c r="P965" s="62" t="str">
        <f>IF(A965="","",A965&amp;"|"&amp;O965)</f>
        <v/>
      </c>
    </row>
    <row r="966">
      <c r="A966" s="60" t="n"/>
      <c r="B966" s="63" t="n"/>
      <c r="C966" s="63" t="n"/>
      <c r="D966" s="67" t="n"/>
      <c r="E966" s="68" t="n"/>
      <c r="F966" s="69" t="n"/>
      <c r="G966" s="70" t="n"/>
      <c r="H966" s="62" t="str">
        <f>IF(COUNTA(A966:G966)=0,"",IF(C966&lt;&gt;"",C966,IF(B966="","",IFERROR(INDEX(pr_des,MATCH(B966,pr_code,0))&amp;"",""))))</f>
        <v/>
      </c>
      <c r="I966" s="59" t="str">
        <f>IF(B966="","",IFERROR(INDEX(pr_unit,MATCH(B966,pr_code,0))&amp;"",""))</f>
        <v/>
      </c>
      <c r="J966" s="65" t="str">
        <f>IF(COUNTA(A966:G966)=0,"",IF(E966&lt;&gt;"",E966,IF(B966="","",IFERROR(IF(INDEX(pr_price,MATCH(B966,pr_code,0))="","",INDEX(pr_price,MATCH(B966,pr_code,0))),""))))</f>
        <v/>
      </c>
      <c r="K966" s="71" t="str">
        <f>IF(COUNTA(A966:G966)=0,"",IF(G966&lt;&gt;"",G966,IF(B966="","",IFERROR(IF(INDEX(pr_rate,MATCH(B966,pr_code,0))="","",INDEX(pr_rate,MATCH(B966,pr_code,0))),""))))</f>
        <v/>
      </c>
      <c r="L966" s="65" t="str">
        <f>IF(COUNTA(A966:G966)=0,"",IF(AND(ISNUMBER(D966),ISNUMBER(J966)),ROUND(D966*J966*(1-N(F966)),2),0))</f>
        <v/>
      </c>
      <c r="M966" s="62" t="str">
        <f>IF(A966="","",IFERROR(INDEX(fa_cname,MATCH(A966,fa_num,0))&amp;"",""))</f>
        <v/>
      </c>
      <c r="N966" s="59" t="str">
        <f>IF(COUNTA(A966:G966)=0,"",IF(A966="","N° facture manquant",IF(ISNA(MATCH(A966,fa_num,0)),"Facture inconnue",IF(AND(B966&lt;&gt;"",ISNA(MATCH(B966,pr_code,0))),"Article inconnu",IF(H966="","Désignation manquante",IF(OR(NOT(ISNUMBER(D966)),N(D966)&lt;=0),"Quantité invalide",IF(J966="","Prix manquant",IF(OR(NOT(ISNUMBER(J966)),N(J966)&lt;0),"Prix invalide",IF(OR(AND(F966&lt;&gt;"",NOT(ISNUMBER(F966))),N(F966)&lt;0,N(F966)&gt;1),"Remise invalide",IF(K966="","Taux de TVA manquant",IF(NOT(ISNUMBER(K966)),"Taux de TVA invalide",IF(COUNTIF(p_rates,K966)=0,"Taux de TVA hors liste (Paramètres)",IF(N(O966)&gt;25,"Au-delà de 25 lignes : non imprimée","OK")))))))))))))</f>
        <v/>
      </c>
      <c r="O966" s="59" t="str">
        <f>IF(A966="","",COUNTIF($A$6:A966,A966))</f>
        <v/>
      </c>
      <c r="P966" s="62" t="str">
        <f>IF(A966="","",A966&amp;"|"&amp;O966)</f>
        <v/>
      </c>
    </row>
    <row r="967">
      <c r="A967" s="60" t="n"/>
      <c r="B967" s="63" t="n"/>
      <c r="C967" s="63" t="n"/>
      <c r="D967" s="67" t="n"/>
      <c r="E967" s="68" t="n"/>
      <c r="F967" s="69" t="n"/>
      <c r="G967" s="70" t="n"/>
      <c r="H967" s="62" t="str">
        <f>IF(COUNTA(A967:G967)=0,"",IF(C967&lt;&gt;"",C967,IF(B967="","",IFERROR(INDEX(pr_des,MATCH(B967,pr_code,0))&amp;"",""))))</f>
        <v/>
      </c>
      <c r="I967" s="59" t="str">
        <f>IF(B967="","",IFERROR(INDEX(pr_unit,MATCH(B967,pr_code,0))&amp;"",""))</f>
        <v/>
      </c>
      <c r="J967" s="65" t="str">
        <f>IF(COUNTA(A967:G967)=0,"",IF(E967&lt;&gt;"",E967,IF(B967="","",IFERROR(IF(INDEX(pr_price,MATCH(B967,pr_code,0))="","",INDEX(pr_price,MATCH(B967,pr_code,0))),""))))</f>
        <v/>
      </c>
      <c r="K967" s="71" t="str">
        <f>IF(COUNTA(A967:G967)=0,"",IF(G967&lt;&gt;"",G967,IF(B967="","",IFERROR(IF(INDEX(pr_rate,MATCH(B967,pr_code,0))="","",INDEX(pr_rate,MATCH(B967,pr_code,0))),""))))</f>
        <v/>
      </c>
      <c r="L967" s="65" t="str">
        <f>IF(COUNTA(A967:G967)=0,"",IF(AND(ISNUMBER(D967),ISNUMBER(J967)),ROUND(D967*J967*(1-N(F967)),2),0))</f>
        <v/>
      </c>
      <c r="M967" s="62" t="str">
        <f>IF(A967="","",IFERROR(INDEX(fa_cname,MATCH(A967,fa_num,0))&amp;"",""))</f>
        <v/>
      </c>
      <c r="N967" s="59" t="str">
        <f>IF(COUNTA(A967:G967)=0,"",IF(A967="","N° facture manquant",IF(ISNA(MATCH(A967,fa_num,0)),"Facture inconnue",IF(AND(B967&lt;&gt;"",ISNA(MATCH(B967,pr_code,0))),"Article inconnu",IF(H967="","Désignation manquante",IF(OR(NOT(ISNUMBER(D967)),N(D967)&lt;=0),"Quantité invalide",IF(J967="","Prix manquant",IF(OR(NOT(ISNUMBER(J967)),N(J967)&lt;0),"Prix invalide",IF(OR(AND(F967&lt;&gt;"",NOT(ISNUMBER(F967))),N(F967)&lt;0,N(F967)&gt;1),"Remise invalide",IF(K967="","Taux de TVA manquant",IF(NOT(ISNUMBER(K967)),"Taux de TVA invalide",IF(COUNTIF(p_rates,K967)=0,"Taux de TVA hors liste (Paramètres)",IF(N(O967)&gt;25,"Au-delà de 25 lignes : non imprimée","OK")))))))))))))</f>
        <v/>
      </c>
      <c r="O967" s="59" t="str">
        <f>IF(A967="","",COUNTIF($A$6:A967,A967))</f>
        <v/>
      </c>
      <c r="P967" s="62" t="str">
        <f>IF(A967="","",A967&amp;"|"&amp;O967)</f>
        <v/>
      </c>
    </row>
    <row r="968">
      <c r="A968" s="60" t="n"/>
      <c r="B968" s="63" t="n"/>
      <c r="C968" s="63" t="n"/>
      <c r="D968" s="67" t="n"/>
      <c r="E968" s="68" t="n"/>
      <c r="F968" s="69" t="n"/>
      <c r="G968" s="70" t="n"/>
      <c r="H968" s="62" t="str">
        <f>IF(COUNTA(A968:G968)=0,"",IF(C968&lt;&gt;"",C968,IF(B968="","",IFERROR(INDEX(pr_des,MATCH(B968,pr_code,0))&amp;"",""))))</f>
        <v/>
      </c>
      <c r="I968" s="59" t="str">
        <f>IF(B968="","",IFERROR(INDEX(pr_unit,MATCH(B968,pr_code,0))&amp;"",""))</f>
        <v/>
      </c>
      <c r="J968" s="65" t="str">
        <f>IF(COUNTA(A968:G968)=0,"",IF(E968&lt;&gt;"",E968,IF(B968="","",IFERROR(IF(INDEX(pr_price,MATCH(B968,pr_code,0))="","",INDEX(pr_price,MATCH(B968,pr_code,0))),""))))</f>
        <v/>
      </c>
      <c r="K968" s="71" t="str">
        <f>IF(COUNTA(A968:G968)=0,"",IF(G968&lt;&gt;"",G968,IF(B968="","",IFERROR(IF(INDEX(pr_rate,MATCH(B968,pr_code,0))="","",INDEX(pr_rate,MATCH(B968,pr_code,0))),""))))</f>
        <v/>
      </c>
      <c r="L968" s="65" t="str">
        <f>IF(COUNTA(A968:G968)=0,"",IF(AND(ISNUMBER(D968),ISNUMBER(J968)),ROUND(D968*J968*(1-N(F968)),2),0))</f>
        <v/>
      </c>
      <c r="M968" s="62" t="str">
        <f>IF(A968="","",IFERROR(INDEX(fa_cname,MATCH(A968,fa_num,0))&amp;"",""))</f>
        <v/>
      </c>
      <c r="N968" s="59" t="str">
        <f>IF(COUNTA(A968:G968)=0,"",IF(A968="","N° facture manquant",IF(ISNA(MATCH(A968,fa_num,0)),"Facture inconnue",IF(AND(B968&lt;&gt;"",ISNA(MATCH(B968,pr_code,0))),"Article inconnu",IF(H968="","Désignation manquante",IF(OR(NOT(ISNUMBER(D968)),N(D968)&lt;=0),"Quantité invalide",IF(J968="","Prix manquant",IF(OR(NOT(ISNUMBER(J968)),N(J968)&lt;0),"Prix invalide",IF(OR(AND(F968&lt;&gt;"",NOT(ISNUMBER(F968))),N(F968)&lt;0,N(F968)&gt;1),"Remise invalide",IF(K968="","Taux de TVA manquant",IF(NOT(ISNUMBER(K968)),"Taux de TVA invalide",IF(COUNTIF(p_rates,K968)=0,"Taux de TVA hors liste (Paramètres)",IF(N(O968)&gt;25,"Au-delà de 25 lignes : non imprimée","OK")))))))))))))</f>
        <v/>
      </c>
      <c r="O968" s="59" t="str">
        <f>IF(A968="","",COUNTIF($A$6:A968,A968))</f>
        <v/>
      </c>
      <c r="P968" s="62" t="str">
        <f>IF(A968="","",A968&amp;"|"&amp;O968)</f>
        <v/>
      </c>
    </row>
    <row r="969">
      <c r="A969" s="60" t="n"/>
      <c r="B969" s="63" t="n"/>
      <c r="C969" s="63" t="n"/>
      <c r="D969" s="67" t="n"/>
      <c r="E969" s="68" t="n"/>
      <c r="F969" s="69" t="n"/>
      <c r="G969" s="70" t="n"/>
      <c r="H969" s="62" t="str">
        <f>IF(COUNTA(A969:G969)=0,"",IF(C969&lt;&gt;"",C969,IF(B969="","",IFERROR(INDEX(pr_des,MATCH(B969,pr_code,0))&amp;"",""))))</f>
        <v/>
      </c>
      <c r="I969" s="59" t="str">
        <f>IF(B969="","",IFERROR(INDEX(pr_unit,MATCH(B969,pr_code,0))&amp;"",""))</f>
        <v/>
      </c>
      <c r="J969" s="65" t="str">
        <f>IF(COUNTA(A969:G969)=0,"",IF(E969&lt;&gt;"",E969,IF(B969="","",IFERROR(IF(INDEX(pr_price,MATCH(B969,pr_code,0))="","",INDEX(pr_price,MATCH(B969,pr_code,0))),""))))</f>
        <v/>
      </c>
      <c r="K969" s="71" t="str">
        <f>IF(COUNTA(A969:G969)=0,"",IF(G969&lt;&gt;"",G969,IF(B969="","",IFERROR(IF(INDEX(pr_rate,MATCH(B969,pr_code,0))="","",INDEX(pr_rate,MATCH(B969,pr_code,0))),""))))</f>
        <v/>
      </c>
      <c r="L969" s="65" t="str">
        <f>IF(COUNTA(A969:G969)=0,"",IF(AND(ISNUMBER(D969),ISNUMBER(J969)),ROUND(D969*J969*(1-N(F969)),2),0))</f>
        <v/>
      </c>
      <c r="M969" s="62" t="str">
        <f>IF(A969="","",IFERROR(INDEX(fa_cname,MATCH(A969,fa_num,0))&amp;"",""))</f>
        <v/>
      </c>
      <c r="N969" s="59" t="str">
        <f>IF(COUNTA(A969:G969)=0,"",IF(A969="","N° facture manquant",IF(ISNA(MATCH(A969,fa_num,0)),"Facture inconnue",IF(AND(B969&lt;&gt;"",ISNA(MATCH(B969,pr_code,0))),"Article inconnu",IF(H969="","Désignation manquante",IF(OR(NOT(ISNUMBER(D969)),N(D969)&lt;=0),"Quantité invalide",IF(J969="","Prix manquant",IF(OR(NOT(ISNUMBER(J969)),N(J969)&lt;0),"Prix invalide",IF(OR(AND(F969&lt;&gt;"",NOT(ISNUMBER(F969))),N(F969)&lt;0,N(F969)&gt;1),"Remise invalide",IF(K969="","Taux de TVA manquant",IF(NOT(ISNUMBER(K969)),"Taux de TVA invalide",IF(COUNTIF(p_rates,K969)=0,"Taux de TVA hors liste (Paramètres)",IF(N(O969)&gt;25,"Au-delà de 25 lignes : non imprimée","OK")))))))))))))</f>
        <v/>
      </c>
      <c r="O969" s="59" t="str">
        <f>IF(A969="","",COUNTIF($A$6:A969,A969))</f>
        <v/>
      </c>
      <c r="P969" s="62" t="str">
        <f>IF(A969="","",A969&amp;"|"&amp;O969)</f>
        <v/>
      </c>
    </row>
    <row r="970">
      <c r="A970" s="60" t="n"/>
      <c r="B970" s="63" t="n"/>
      <c r="C970" s="63" t="n"/>
      <c r="D970" s="67" t="n"/>
      <c r="E970" s="68" t="n"/>
      <c r="F970" s="69" t="n"/>
      <c r="G970" s="70" t="n"/>
      <c r="H970" s="62" t="str">
        <f>IF(COUNTA(A970:G970)=0,"",IF(C970&lt;&gt;"",C970,IF(B970="","",IFERROR(INDEX(pr_des,MATCH(B970,pr_code,0))&amp;"",""))))</f>
        <v/>
      </c>
      <c r="I970" s="59" t="str">
        <f>IF(B970="","",IFERROR(INDEX(pr_unit,MATCH(B970,pr_code,0))&amp;"",""))</f>
        <v/>
      </c>
      <c r="J970" s="65" t="str">
        <f>IF(COUNTA(A970:G970)=0,"",IF(E970&lt;&gt;"",E970,IF(B970="","",IFERROR(IF(INDEX(pr_price,MATCH(B970,pr_code,0))="","",INDEX(pr_price,MATCH(B970,pr_code,0))),""))))</f>
        <v/>
      </c>
      <c r="K970" s="71" t="str">
        <f>IF(COUNTA(A970:G970)=0,"",IF(G970&lt;&gt;"",G970,IF(B970="","",IFERROR(IF(INDEX(pr_rate,MATCH(B970,pr_code,0))="","",INDEX(pr_rate,MATCH(B970,pr_code,0))),""))))</f>
        <v/>
      </c>
      <c r="L970" s="65" t="str">
        <f>IF(COUNTA(A970:G970)=0,"",IF(AND(ISNUMBER(D970),ISNUMBER(J970)),ROUND(D970*J970*(1-N(F970)),2),0))</f>
        <v/>
      </c>
      <c r="M970" s="62" t="str">
        <f>IF(A970="","",IFERROR(INDEX(fa_cname,MATCH(A970,fa_num,0))&amp;"",""))</f>
        <v/>
      </c>
      <c r="N970" s="59" t="str">
        <f>IF(COUNTA(A970:G970)=0,"",IF(A970="","N° facture manquant",IF(ISNA(MATCH(A970,fa_num,0)),"Facture inconnue",IF(AND(B970&lt;&gt;"",ISNA(MATCH(B970,pr_code,0))),"Article inconnu",IF(H970="","Désignation manquante",IF(OR(NOT(ISNUMBER(D970)),N(D970)&lt;=0),"Quantité invalide",IF(J970="","Prix manquant",IF(OR(NOT(ISNUMBER(J970)),N(J970)&lt;0),"Prix invalide",IF(OR(AND(F970&lt;&gt;"",NOT(ISNUMBER(F970))),N(F970)&lt;0,N(F970)&gt;1),"Remise invalide",IF(K970="","Taux de TVA manquant",IF(NOT(ISNUMBER(K970)),"Taux de TVA invalide",IF(COUNTIF(p_rates,K970)=0,"Taux de TVA hors liste (Paramètres)",IF(N(O970)&gt;25,"Au-delà de 25 lignes : non imprimée","OK")))))))))))))</f>
        <v/>
      </c>
      <c r="O970" s="59" t="str">
        <f>IF(A970="","",COUNTIF($A$6:A970,A970))</f>
        <v/>
      </c>
      <c r="P970" s="62" t="str">
        <f>IF(A970="","",A970&amp;"|"&amp;O970)</f>
        <v/>
      </c>
    </row>
    <row r="971">
      <c r="A971" s="60" t="n"/>
      <c r="B971" s="63" t="n"/>
      <c r="C971" s="63" t="n"/>
      <c r="D971" s="67" t="n"/>
      <c r="E971" s="68" t="n"/>
      <c r="F971" s="69" t="n"/>
      <c r="G971" s="70" t="n"/>
      <c r="H971" s="62" t="str">
        <f>IF(COUNTA(A971:G971)=0,"",IF(C971&lt;&gt;"",C971,IF(B971="","",IFERROR(INDEX(pr_des,MATCH(B971,pr_code,0))&amp;"",""))))</f>
        <v/>
      </c>
      <c r="I971" s="59" t="str">
        <f>IF(B971="","",IFERROR(INDEX(pr_unit,MATCH(B971,pr_code,0))&amp;"",""))</f>
        <v/>
      </c>
      <c r="J971" s="65" t="str">
        <f>IF(COUNTA(A971:G971)=0,"",IF(E971&lt;&gt;"",E971,IF(B971="","",IFERROR(IF(INDEX(pr_price,MATCH(B971,pr_code,0))="","",INDEX(pr_price,MATCH(B971,pr_code,0))),""))))</f>
        <v/>
      </c>
      <c r="K971" s="71" t="str">
        <f>IF(COUNTA(A971:G971)=0,"",IF(G971&lt;&gt;"",G971,IF(B971="","",IFERROR(IF(INDEX(pr_rate,MATCH(B971,pr_code,0))="","",INDEX(pr_rate,MATCH(B971,pr_code,0))),""))))</f>
        <v/>
      </c>
      <c r="L971" s="65" t="str">
        <f>IF(COUNTA(A971:G971)=0,"",IF(AND(ISNUMBER(D971),ISNUMBER(J971)),ROUND(D971*J971*(1-N(F971)),2),0))</f>
        <v/>
      </c>
      <c r="M971" s="62" t="str">
        <f>IF(A971="","",IFERROR(INDEX(fa_cname,MATCH(A971,fa_num,0))&amp;"",""))</f>
        <v/>
      </c>
      <c r="N971" s="59" t="str">
        <f>IF(COUNTA(A971:G971)=0,"",IF(A971="","N° facture manquant",IF(ISNA(MATCH(A971,fa_num,0)),"Facture inconnue",IF(AND(B971&lt;&gt;"",ISNA(MATCH(B971,pr_code,0))),"Article inconnu",IF(H971="","Désignation manquante",IF(OR(NOT(ISNUMBER(D971)),N(D971)&lt;=0),"Quantité invalide",IF(J971="","Prix manquant",IF(OR(NOT(ISNUMBER(J971)),N(J971)&lt;0),"Prix invalide",IF(OR(AND(F971&lt;&gt;"",NOT(ISNUMBER(F971))),N(F971)&lt;0,N(F971)&gt;1),"Remise invalide",IF(K971="","Taux de TVA manquant",IF(NOT(ISNUMBER(K971)),"Taux de TVA invalide",IF(COUNTIF(p_rates,K971)=0,"Taux de TVA hors liste (Paramètres)",IF(N(O971)&gt;25,"Au-delà de 25 lignes : non imprimée","OK")))))))))))))</f>
        <v/>
      </c>
      <c r="O971" s="59" t="str">
        <f>IF(A971="","",COUNTIF($A$6:A971,A971))</f>
        <v/>
      </c>
      <c r="P971" s="62" t="str">
        <f>IF(A971="","",A971&amp;"|"&amp;O971)</f>
        <v/>
      </c>
    </row>
    <row r="972">
      <c r="A972" s="60" t="n"/>
      <c r="B972" s="63" t="n"/>
      <c r="C972" s="63" t="n"/>
      <c r="D972" s="67" t="n"/>
      <c r="E972" s="68" t="n"/>
      <c r="F972" s="69" t="n"/>
      <c r="G972" s="70" t="n"/>
      <c r="H972" s="62" t="str">
        <f>IF(COUNTA(A972:G972)=0,"",IF(C972&lt;&gt;"",C972,IF(B972="","",IFERROR(INDEX(pr_des,MATCH(B972,pr_code,0))&amp;"",""))))</f>
        <v/>
      </c>
      <c r="I972" s="59" t="str">
        <f>IF(B972="","",IFERROR(INDEX(pr_unit,MATCH(B972,pr_code,0))&amp;"",""))</f>
        <v/>
      </c>
      <c r="J972" s="65" t="str">
        <f>IF(COUNTA(A972:G972)=0,"",IF(E972&lt;&gt;"",E972,IF(B972="","",IFERROR(IF(INDEX(pr_price,MATCH(B972,pr_code,0))="","",INDEX(pr_price,MATCH(B972,pr_code,0))),""))))</f>
        <v/>
      </c>
      <c r="K972" s="71" t="str">
        <f>IF(COUNTA(A972:G972)=0,"",IF(G972&lt;&gt;"",G972,IF(B972="","",IFERROR(IF(INDEX(pr_rate,MATCH(B972,pr_code,0))="","",INDEX(pr_rate,MATCH(B972,pr_code,0))),""))))</f>
        <v/>
      </c>
      <c r="L972" s="65" t="str">
        <f>IF(COUNTA(A972:G972)=0,"",IF(AND(ISNUMBER(D972),ISNUMBER(J972)),ROUND(D972*J972*(1-N(F972)),2),0))</f>
        <v/>
      </c>
      <c r="M972" s="62" t="str">
        <f>IF(A972="","",IFERROR(INDEX(fa_cname,MATCH(A972,fa_num,0))&amp;"",""))</f>
        <v/>
      </c>
      <c r="N972" s="59" t="str">
        <f>IF(COUNTA(A972:G972)=0,"",IF(A972="","N° facture manquant",IF(ISNA(MATCH(A972,fa_num,0)),"Facture inconnue",IF(AND(B972&lt;&gt;"",ISNA(MATCH(B972,pr_code,0))),"Article inconnu",IF(H972="","Désignation manquante",IF(OR(NOT(ISNUMBER(D972)),N(D972)&lt;=0),"Quantité invalide",IF(J972="","Prix manquant",IF(OR(NOT(ISNUMBER(J972)),N(J972)&lt;0),"Prix invalide",IF(OR(AND(F972&lt;&gt;"",NOT(ISNUMBER(F972))),N(F972)&lt;0,N(F972)&gt;1),"Remise invalide",IF(K972="","Taux de TVA manquant",IF(NOT(ISNUMBER(K972)),"Taux de TVA invalide",IF(COUNTIF(p_rates,K972)=0,"Taux de TVA hors liste (Paramètres)",IF(N(O972)&gt;25,"Au-delà de 25 lignes : non imprimée","OK")))))))))))))</f>
        <v/>
      </c>
      <c r="O972" s="59" t="str">
        <f>IF(A972="","",COUNTIF($A$6:A972,A972))</f>
        <v/>
      </c>
      <c r="P972" s="62" t="str">
        <f>IF(A972="","",A972&amp;"|"&amp;O972)</f>
        <v/>
      </c>
    </row>
    <row r="973">
      <c r="A973" s="60" t="n"/>
      <c r="B973" s="63" t="n"/>
      <c r="C973" s="63" t="n"/>
      <c r="D973" s="67" t="n"/>
      <c r="E973" s="68" t="n"/>
      <c r="F973" s="69" t="n"/>
      <c r="G973" s="70" t="n"/>
      <c r="H973" s="62" t="str">
        <f>IF(COUNTA(A973:G973)=0,"",IF(C973&lt;&gt;"",C973,IF(B973="","",IFERROR(INDEX(pr_des,MATCH(B973,pr_code,0))&amp;"",""))))</f>
        <v/>
      </c>
      <c r="I973" s="59" t="str">
        <f>IF(B973="","",IFERROR(INDEX(pr_unit,MATCH(B973,pr_code,0))&amp;"",""))</f>
        <v/>
      </c>
      <c r="J973" s="65" t="str">
        <f>IF(COUNTA(A973:G973)=0,"",IF(E973&lt;&gt;"",E973,IF(B973="","",IFERROR(IF(INDEX(pr_price,MATCH(B973,pr_code,0))="","",INDEX(pr_price,MATCH(B973,pr_code,0))),""))))</f>
        <v/>
      </c>
      <c r="K973" s="71" t="str">
        <f>IF(COUNTA(A973:G973)=0,"",IF(G973&lt;&gt;"",G973,IF(B973="","",IFERROR(IF(INDEX(pr_rate,MATCH(B973,pr_code,0))="","",INDEX(pr_rate,MATCH(B973,pr_code,0))),""))))</f>
        <v/>
      </c>
      <c r="L973" s="65" t="str">
        <f>IF(COUNTA(A973:G973)=0,"",IF(AND(ISNUMBER(D973),ISNUMBER(J973)),ROUND(D973*J973*(1-N(F973)),2),0))</f>
        <v/>
      </c>
      <c r="M973" s="62" t="str">
        <f>IF(A973="","",IFERROR(INDEX(fa_cname,MATCH(A973,fa_num,0))&amp;"",""))</f>
        <v/>
      </c>
      <c r="N973" s="59" t="str">
        <f>IF(COUNTA(A973:G973)=0,"",IF(A973="","N° facture manquant",IF(ISNA(MATCH(A973,fa_num,0)),"Facture inconnue",IF(AND(B973&lt;&gt;"",ISNA(MATCH(B973,pr_code,0))),"Article inconnu",IF(H973="","Désignation manquante",IF(OR(NOT(ISNUMBER(D973)),N(D973)&lt;=0),"Quantité invalide",IF(J973="","Prix manquant",IF(OR(NOT(ISNUMBER(J973)),N(J973)&lt;0),"Prix invalide",IF(OR(AND(F973&lt;&gt;"",NOT(ISNUMBER(F973))),N(F973)&lt;0,N(F973)&gt;1),"Remise invalide",IF(K973="","Taux de TVA manquant",IF(NOT(ISNUMBER(K973)),"Taux de TVA invalide",IF(COUNTIF(p_rates,K973)=0,"Taux de TVA hors liste (Paramètres)",IF(N(O973)&gt;25,"Au-delà de 25 lignes : non imprimée","OK")))))))))))))</f>
        <v/>
      </c>
      <c r="O973" s="59" t="str">
        <f>IF(A973="","",COUNTIF($A$6:A973,A973))</f>
        <v/>
      </c>
      <c r="P973" s="62" t="str">
        <f>IF(A973="","",A973&amp;"|"&amp;O973)</f>
        <v/>
      </c>
    </row>
    <row r="974">
      <c r="A974" s="60" t="n"/>
      <c r="B974" s="63" t="n"/>
      <c r="C974" s="63" t="n"/>
      <c r="D974" s="67" t="n"/>
      <c r="E974" s="68" t="n"/>
      <c r="F974" s="69" t="n"/>
      <c r="G974" s="70" t="n"/>
      <c r="H974" s="62" t="str">
        <f>IF(COUNTA(A974:G974)=0,"",IF(C974&lt;&gt;"",C974,IF(B974="","",IFERROR(INDEX(pr_des,MATCH(B974,pr_code,0))&amp;"",""))))</f>
        <v/>
      </c>
      <c r="I974" s="59" t="str">
        <f>IF(B974="","",IFERROR(INDEX(pr_unit,MATCH(B974,pr_code,0))&amp;"",""))</f>
        <v/>
      </c>
      <c r="J974" s="65" t="str">
        <f>IF(COUNTA(A974:G974)=0,"",IF(E974&lt;&gt;"",E974,IF(B974="","",IFERROR(IF(INDEX(pr_price,MATCH(B974,pr_code,0))="","",INDEX(pr_price,MATCH(B974,pr_code,0))),""))))</f>
        <v/>
      </c>
      <c r="K974" s="71" t="str">
        <f>IF(COUNTA(A974:G974)=0,"",IF(G974&lt;&gt;"",G974,IF(B974="","",IFERROR(IF(INDEX(pr_rate,MATCH(B974,pr_code,0))="","",INDEX(pr_rate,MATCH(B974,pr_code,0))),""))))</f>
        <v/>
      </c>
      <c r="L974" s="65" t="str">
        <f>IF(COUNTA(A974:G974)=0,"",IF(AND(ISNUMBER(D974),ISNUMBER(J974)),ROUND(D974*J974*(1-N(F974)),2),0))</f>
        <v/>
      </c>
      <c r="M974" s="62" t="str">
        <f>IF(A974="","",IFERROR(INDEX(fa_cname,MATCH(A974,fa_num,0))&amp;"",""))</f>
        <v/>
      </c>
      <c r="N974" s="59" t="str">
        <f>IF(COUNTA(A974:G974)=0,"",IF(A974="","N° facture manquant",IF(ISNA(MATCH(A974,fa_num,0)),"Facture inconnue",IF(AND(B974&lt;&gt;"",ISNA(MATCH(B974,pr_code,0))),"Article inconnu",IF(H974="","Désignation manquante",IF(OR(NOT(ISNUMBER(D974)),N(D974)&lt;=0),"Quantité invalide",IF(J974="","Prix manquant",IF(OR(NOT(ISNUMBER(J974)),N(J974)&lt;0),"Prix invalide",IF(OR(AND(F974&lt;&gt;"",NOT(ISNUMBER(F974))),N(F974)&lt;0,N(F974)&gt;1),"Remise invalide",IF(K974="","Taux de TVA manquant",IF(NOT(ISNUMBER(K974)),"Taux de TVA invalide",IF(COUNTIF(p_rates,K974)=0,"Taux de TVA hors liste (Paramètres)",IF(N(O974)&gt;25,"Au-delà de 25 lignes : non imprimée","OK")))))))))))))</f>
        <v/>
      </c>
      <c r="O974" s="59" t="str">
        <f>IF(A974="","",COUNTIF($A$6:A974,A974))</f>
        <v/>
      </c>
      <c r="P974" s="62" t="str">
        <f>IF(A974="","",A974&amp;"|"&amp;O974)</f>
        <v/>
      </c>
    </row>
    <row r="975">
      <c r="A975" s="60" t="n"/>
      <c r="B975" s="63" t="n"/>
      <c r="C975" s="63" t="n"/>
      <c r="D975" s="67" t="n"/>
      <c r="E975" s="68" t="n"/>
      <c r="F975" s="69" t="n"/>
      <c r="G975" s="70" t="n"/>
      <c r="H975" s="62" t="str">
        <f>IF(COUNTA(A975:G975)=0,"",IF(C975&lt;&gt;"",C975,IF(B975="","",IFERROR(INDEX(pr_des,MATCH(B975,pr_code,0))&amp;"",""))))</f>
        <v/>
      </c>
      <c r="I975" s="59" t="str">
        <f>IF(B975="","",IFERROR(INDEX(pr_unit,MATCH(B975,pr_code,0))&amp;"",""))</f>
        <v/>
      </c>
      <c r="J975" s="65" t="str">
        <f>IF(COUNTA(A975:G975)=0,"",IF(E975&lt;&gt;"",E975,IF(B975="","",IFERROR(IF(INDEX(pr_price,MATCH(B975,pr_code,0))="","",INDEX(pr_price,MATCH(B975,pr_code,0))),""))))</f>
        <v/>
      </c>
      <c r="K975" s="71" t="str">
        <f>IF(COUNTA(A975:G975)=0,"",IF(G975&lt;&gt;"",G975,IF(B975="","",IFERROR(IF(INDEX(pr_rate,MATCH(B975,pr_code,0))="","",INDEX(pr_rate,MATCH(B975,pr_code,0))),""))))</f>
        <v/>
      </c>
      <c r="L975" s="65" t="str">
        <f>IF(COUNTA(A975:G975)=0,"",IF(AND(ISNUMBER(D975),ISNUMBER(J975)),ROUND(D975*J975*(1-N(F975)),2),0))</f>
        <v/>
      </c>
      <c r="M975" s="62" t="str">
        <f>IF(A975="","",IFERROR(INDEX(fa_cname,MATCH(A975,fa_num,0))&amp;"",""))</f>
        <v/>
      </c>
      <c r="N975" s="59" t="str">
        <f>IF(COUNTA(A975:G975)=0,"",IF(A975="","N° facture manquant",IF(ISNA(MATCH(A975,fa_num,0)),"Facture inconnue",IF(AND(B975&lt;&gt;"",ISNA(MATCH(B975,pr_code,0))),"Article inconnu",IF(H975="","Désignation manquante",IF(OR(NOT(ISNUMBER(D975)),N(D975)&lt;=0),"Quantité invalide",IF(J975="","Prix manquant",IF(OR(NOT(ISNUMBER(J975)),N(J975)&lt;0),"Prix invalide",IF(OR(AND(F975&lt;&gt;"",NOT(ISNUMBER(F975))),N(F975)&lt;0,N(F975)&gt;1),"Remise invalide",IF(K975="","Taux de TVA manquant",IF(NOT(ISNUMBER(K975)),"Taux de TVA invalide",IF(COUNTIF(p_rates,K975)=0,"Taux de TVA hors liste (Paramètres)",IF(N(O975)&gt;25,"Au-delà de 25 lignes : non imprimée","OK")))))))))))))</f>
        <v/>
      </c>
      <c r="O975" s="59" t="str">
        <f>IF(A975="","",COUNTIF($A$6:A975,A975))</f>
        <v/>
      </c>
      <c r="P975" s="62" t="str">
        <f>IF(A975="","",A975&amp;"|"&amp;O975)</f>
        <v/>
      </c>
    </row>
    <row r="976">
      <c r="A976" s="60" t="n"/>
      <c r="B976" s="63" t="n"/>
      <c r="C976" s="63" t="n"/>
      <c r="D976" s="67" t="n"/>
      <c r="E976" s="68" t="n"/>
      <c r="F976" s="69" t="n"/>
      <c r="G976" s="70" t="n"/>
      <c r="H976" s="62" t="str">
        <f>IF(COUNTA(A976:G976)=0,"",IF(C976&lt;&gt;"",C976,IF(B976="","",IFERROR(INDEX(pr_des,MATCH(B976,pr_code,0))&amp;"",""))))</f>
        <v/>
      </c>
      <c r="I976" s="59" t="str">
        <f>IF(B976="","",IFERROR(INDEX(pr_unit,MATCH(B976,pr_code,0))&amp;"",""))</f>
        <v/>
      </c>
      <c r="J976" s="65" t="str">
        <f>IF(COUNTA(A976:G976)=0,"",IF(E976&lt;&gt;"",E976,IF(B976="","",IFERROR(IF(INDEX(pr_price,MATCH(B976,pr_code,0))="","",INDEX(pr_price,MATCH(B976,pr_code,0))),""))))</f>
        <v/>
      </c>
      <c r="K976" s="71" t="str">
        <f>IF(COUNTA(A976:G976)=0,"",IF(G976&lt;&gt;"",G976,IF(B976="","",IFERROR(IF(INDEX(pr_rate,MATCH(B976,pr_code,0))="","",INDEX(pr_rate,MATCH(B976,pr_code,0))),""))))</f>
        <v/>
      </c>
      <c r="L976" s="65" t="str">
        <f>IF(COUNTA(A976:G976)=0,"",IF(AND(ISNUMBER(D976),ISNUMBER(J976)),ROUND(D976*J976*(1-N(F976)),2),0))</f>
        <v/>
      </c>
      <c r="M976" s="62" t="str">
        <f>IF(A976="","",IFERROR(INDEX(fa_cname,MATCH(A976,fa_num,0))&amp;"",""))</f>
        <v/>
      </c>
      <c r="N976" s="59" t="str">
        <f>IF(COUNTA(A976:G976)=0,"",IF(A976="","N° facture manquant",IF(ISNA(MATCH(A976,fa_num,0)),"Facture inconnue",IF(AND(B976&lt;&gt;"",ISNA(MATCH(B976,pr_code,0))),"Article inconnu",IF(H976="","Désignation manquante",IF(OR(NOT(ISNUMBER(D976)),N(D976)&lt;=0),"Quantité invalide",IF(J976="","Prix manquant",IF(OR(NOT(ISNUMBER(J976)),N(J976)&lt;0),"Prix invalide",IF(OR(AND(F976&lt;&gt;"",NOT(ISNUMBER(F976))),N(F976)&lt;0,N(F976)&gt;1),"Remise invalide",IF(K976="","Taux de TVA manquant",IF(NOT(ISNUMBER(K976)),"Taux de TVA invalide",IF(COUNTIF(p_rates,K976)=0,"Taux de TVA hors liste (Paramètres)",IF(N(O976)&gt;25,"Au-delà de 25 lignes : non imprimée","OK")))))))))))))</f>
        <v/>
      </c>
      <c r="O976" s="59" t="str">
        <f>IF(A976="","",COUNTIF($A$6:A976,A976))</f>
        <v/>
      </c>
      <c r="P976" s="62" t="str">
        <f>IF(A976="","",A976&amp;"|"&amp;O976)</f>
        <v/>
      </c>
    </row>
    <row r="977">
      <c r="A977" s="60" t="n"/>
      <c r="B977" s="63" t="n"/>
      <c r="C977" s="63" t="n"/>
      <c r="D977" s="67" t="n"/>
      <c r="E977" s="68" t="n"/>
      <c r="F977" s="69" t="n"/>
      <c r="G977" s="70" t="n"/>
      <c r="H977" s="62" t="str">
        <f>IF(COUNTA(A977:G977)=0,"",IF(C977&lt;&gt;"",C977,IF(B977="","",IFERROR(INDEX(pr_des,MATCH(B977,pr_code,0))&amp;"",""))))</f>
        <v/>
      </c>
      <c r="I977" s="59" t="str">
        <f>IF(B977="","",IFERROR(INDEX(pr_unit,MATCH(B977,pr_code,0))&amp;"",""))</f>
        <v/>
      </c>
      <c r="J977" s="65" t="str">
        <f>IF(COUNTA(A977:G977)=0,"",IF(E977&lt;&gt;"",E977,IF(B977="","",IFERROR(IF(INDEX(pr_price,MATCH(B977,pr_code,0))="","",INDEX(pr_price,MATCH(B977,pr_code,0))),""))))</f>
        <v/>
      </c>
      <c r="K977" s="71" t="str">
        <f>IF(COUNTA(A977:G977)=0,"",IF(G977&lt;&gt;"",G977,IF(B977="","",IFERROR(IF(INDEX(pr_rate,MATCH(B977,pr_code,0))="","",INDEX(pr_rate,MATCH(B977,pr_code,0))),""))))</f>
        <v/>
      </c>
      <c r="L977" s="65" t="str">
        <f>IF(COUNTA(A977:G977)=0,"",IF(AND(ISNUMBER(D977),ISNUMBER(J977)),ROUND(D977*J977*(1-N(F977)),2),0))</f>
        <v/>
      </c>
      <c r="M977" s="62" t="str">
        <f>IF(A977="","",IFERROR(INDEX(fa_cname,MATCH(A977,fa_num,0))&amp;"",""))</f>
        <v/>
      </c>
      <c r="N977" s="59" t="str">
        <f>IF(COUNTA(A977:G977)=0,"",IF(A977="","N° facture manquant",IF(ISNA(MATCH(A977,fa_num,0)),"Facture inconnue",IF(AND(B977&lt;&gt;"",ISNA(MATCH(B977,pr_code,0))),"Article inconnu",IF(H977="","Désignation manquante",IF(OR(NOT(ISNUMBER(D977)),N(D977)&lt;=0),"Quantité invalide",IF(J977="","Prix manquant",IF(OR(NOT(ISNUMBER(J977)),N(J977)&lt;0),"Prix invalide",IF(OR(AND(F977&lt;&gt;"",NOT(ISNUMBER(F977))),N(F977)&lt;0,N(F977)&gt;1),"Remise invalide",IF(K977="","Taux de TVA manquant",IF(NOT(ISNUMBER(K977)),"Taux de TVA invalide",IF(COUNTIF(p_rates,K977)=0,"Taux de TVA hors liste (Paramètres)",IF(N(O977)&gt;25,"Au-delà de 25 lignes : non imprimée","OK")))))))))))))</f>
        <v/>
      </c>
      <c r="O977" s="59" t="str">
        <f>IF(A977="","",COUNTIF($A$6:A977,A977))</f>
        <v/>
      </c>
      <c r="P977" s="62" t="str">
        <f>IF(A977="","",A977&amp;"|"&amp;O977)</f>
        <v/>
      </c>
    </row>
    <row r="978">
      <c r="A978" s="60" t="n"/>
      <c r="B978" s="63" t="n"/>
      <c r="C978" s="63" t="n"/>
      <c r="D978" s="67" t="n"/>
      <c r="E978" s="68" t="n"/>
      <c r="F978" s="69" t="n"/>
      <c r="G978" s="70" t="n"/>
      <c r="H978" s="62" t="str">
        <f>IF(COUNTA(A978:G978)=0,"",IF(C978&lt;&gt;"",C978,IF(B978="","",IFERROR(INDEX(pr_des,MATCH(B978,pr_code,0))&amp;"",""))))</f>
        <v/>
      </c>
      <c r="I978" s="59" t="str">
        <f>IF(B978="","",IFERROR(INDEX(pr_unit,MATCH(B978,pr_code,0))&amp;"",""))</f>
        <v/>
      </c>
      <c r="J978" s="65" t="str">
        <f>IF(COUNTA(A978:G978)=0,"",IF(E978&lt;&gt;"",E978,IF(B978="","",IFERROR(IF(INDEX(pr_price,MATCH(B978,pr_code,0))="","",INDEX(pr_price,MATCH(B978,pr_code,0))),""))))</f>
        <v/>
      </c>
      <c r="K978" s="71" t="str">
        <f>IF(COUNTA(A978:G978)=0,"",IF(G978&lt;&gt;"",G978,IF(B978="","",IFERROR(IF(INDEX(pr_rate,MATCH(B978,pr_code,0))="","",INDEX(pr_rate,MATCH(B978,pr_code,0))),""))))</f>
        <v/>
      </c>
      <c r="L978" s="65" t="str">
        <f>IF(COUNTA(A978:G978)=0,"",IF(AND(ISNUMBER(D978),ISNUMBER(J978)),ROUND(D978*J978*(1-N(F978)),2),0))</f>
        <v/>
      </c>
      <c r="M978" s="62" t="str">
        <f>IF(A978="","",IFERROR(INDEX(fa_cname,MATCH(A978,fa_num,0))&amp;"",""))</f>
        <v/>
      </c>
      <c r="N978" s="59" t="str">
        <f>IF(COUNTA(A978:G978)=0,"",IF(A978="","N° facture manquant",IF(ISNA(MATCH(A978,fa_num,0)),"Facture inconnue",IF(AND(B978&lt;&gt;"",ISNA(MATCH(B978,pr_code,0))),"Article inconnu",IF(H978="","Désignation manquante",IF(OR(NOT(ISNUMBER(D978)),N(D978)&lt;=0),"Quantité invalide",IF(J978="","Prix manquant",IF(OR(NOT(ISNUMBER(J978)),N(J978)&lt;0),"Prix invalide",IF(OR(AND(F978&lt;&gt;"",NOT(ISNUMBER(F978))),N(F978)&lt;0,N(F978)&gt;1),"Remise invalide",IF(K978="","Taux de TVA manquant",IF(NOT(ISNUMBER(K978)),"Taux de TVA invalide",IF(COUNTIF(p_rates,K978)=0,"Taux de TVA hors liste (Paramètres)",IF(N(O978)&gt;25,"Au-delà de 25 lignes : non imprimée","OK")))))))))))))</f>
        <v/>
      </c>
      <c r="O978" s="59" t="str">
        <f>IF(A978="","",COUNTIF($A$6:A978,A978))</f>
        <v/>
      </c>
      <c r="P978" s="62" t="str">
        <f>IF(A978="","",A978&amp;"|"&amp;O978)</f>
        <v/>
      </c>
    </row>
    <row r="979">
      <c r="A979" s="60" t="n"/>
      <c r="B979" s="63" t="n"/>
      <c r="C979" s="63" t="n"/>
      <c r="D979" s="67" t="n"/>
      <c r="E979" s="68" t="n"/>
      <c r="F979" s="69" t="n"/>
      <c r="G979" s="70" t="n"/>
      <c r="H979" s="62" t="str">
        <f>IF(COUNTA(A979:G979)=0,"",IF(C979&lt;&gt;"",C979,IF(B979="","",IFERROR(INDEX(pr_des,MATCH(B979,pr_code,0))&amp;"",""))))</f>
        <v/>
      </c>
      <c r="I979" s="59" t="str">
        <f>IF(B979="","",IFERROR(INDEX(pr_unit,MATCH(B979,pr_code,0))&amp;"",""))</f>
        <v/>
      </c>
      <c r="J979" s="65" t="str">
        <f>IF(COUNTA(A979:G979)=0,"",IF(E979&lt;&gt;"",E979,IF(B979="","",IFERROR(IF(INDEX(pr_price,MATCH(B979,pr_code,0))="","",INDEX(pr_price,MATCH(B979,pr_code,0))),""))))</f>
        <v/>
      </c>
      <c r="K979" s="71" t="str">
        <f>IF(COUNTA(A979:G979)=0,"",IF(G979&lt;&gt;"",G979,IF(B979="","",IFERROR(IF(INDEX(pr_rate,MATCH(B979,pr_code,0))="","",INDEX(pr_rate,MATCH(B979,pr_code,0))),""))))</f>
        <v/>
      </c>
      <c r="L979" s="65" t="str">
        <f>IF(COUNTA(A979:G979)=0,"",IF(AND(ISNUMBER(D979),ISNUMBER(J979)),ROUND(D979*J979*(1-N(F979)),2),0))</f>
        <v/>
      </c>
      <c r="M979" s="62" t="str">
        <f>IF(A979="","",IFERROR(INDEX(fa_cname,MATCH(A979,fa_num,0))&amp;"",""))</f>
        <v/>
      </c>
      <c r="N979" s="59" t="str">
        <f>IF(COUNTA(A979:G979)=0,"",IF(A979="","N° facture manquant",IF(ISNA(MATCH(A979,fa_num,0)),"Facture inconnue",IF(AND(B979&lt;&gt;"",ISNA(MATCH(B979,pr_code,0))),"Article inconnu",IF(H979="","Désignation manquante",IF(OR(NOT(ISNUMBER(D979)),N(D979)&lt;=0),"Quantité invalide",IF(J979="","Prix manquant",IF(OR(NOT(ISNUMBER(J979)),N(J979)&lt;0),"Prix invalide",IF(OR(AND(F979&lt;&gt;"",NOT(ISNUMBER(F979))),N(F979)&lt;0,N(F979)&gt;1),"Remise invalide",IF(K979="","Taux de TVA manquant",IF(NOT(ISNUMBER(K979)),"Taux de TVA invalide",IF(COUNTIF(p_rates,K979)=0,"Taux de TVA hors liste (Paramètres)",IF(N(O979)&gt;25,"Au-delà de 25 lignes : non imprimée","OK")))))))))))))</f>
        <v/>
      </c>
      <c r="O979" s="59" t="str">
        <f>IF(A979="","",COUNTIF($A$6:A979,A979))</f>
        <v/>
      </c>
      <c r="P979" s="62" t="str">
        <f>IF(A979="","",A979&amp;"|"&amp;O979)</f>
        <v/>
      </c>
    </row>
    <row r="980">
      <c r="A980" s="60" t="n"/>
      <c r="B980" s="63" t="n"/>
      <c r="C980" s="63" t="n"/>
      <c r="D980" s="67" t="n"/>
      <c r="E980" s="68" t="n"/>
      <c r="F980" s="69" t="n"/>
      <c r="G980" s="70" t="n"/>
      <c r="H980" s="62" t="str">
        <f>IF(COUNTA(A980:G980)=0,"",IF(C980&lt;&gt;"",C980,IF(B980="","",IFERROR(INDEX(pr_des,MATCH(B980,pr_code,0))&amp;"",""))))</f>
        <v/>
      </c>
      <c r="I980" s="59" t="str">
        <f>IF(B980="","",IFERROR(INDEX(pr_unit,MATCH(B980,pr_code,0))&amp;"",""))</f>
        <v/>
      </c>
      <c r="J980" s="65" t="str">
        <f>IF(COUNTA(A980:G980)=0,"",IF(E980&lt;&gt;"",E980,IF(B980="","",IFERROR(IF(INDEX(pr_price,MATCH(B980,pr_code,0))="","",INDEX(pr_price,MATCH(B980,pr_code,0))),""))))</f>
        <v/>
      </c>
      <c r="K980" s="71" t="str">
        <f>IF(COUNTA(A980:G980)=0,"",IF(G980&lt;&gt;"",G980,IF(B980="","",IFERROR(IF(INDEX(pr_rate,MATCH(B980,pr_code,0))="","",INDEX(pr_rate,MATCH(B980,pr_code,0))),""))))</f>
        <v/>
      </c>
      <c r="L980" s="65" t="str">
        <f>IF(COUNTA(A980:G980)=0,"",IF(AND(ISNUMBER(D980),ISNUMBER(J980)),ROUND(D980*J980*(1-N(F980)),2),0))</f>
        <v/>
      </c>
      <c r="M980" s="62" t="str">
        <f>IF(A980="","",IFERROR(INDEX(fa_cname,MATCH(A980,fa_num,0))&amp;"",""))</f>
        <v/>
      </c>
      <c r="N980" s="59" t="str">
        <f>IF(COUNTA(A980:G980)=0,"",IF(A980="","N° facture manquant",IF(ISNA(MATCH(A980,fa_num,0)),"Facture inconnue",IF(AND(B980&lt;&gt;"",ISNA(MATCH(B980,pr_code,0))),"Article inconnu",IF(H980="","Désignation manquante",IF(OR(NOT(ISNUMBER(D980)),N(D980)&lt;=0),"Quantité invalide",IF(J980="","Prix manquant",IF(OR(NOT(ISNUMBER(J980)),N(J980)&lt;0),"Prix invalide",IF(OR(AND(F980&lt;&gt;"",NOT(ISNUMBER(F980))),N(F980)&lt;0,N(F980)&gt;1),"Remise invalide",IF(K980="","Taux de TVA manquant",IF(NOT(ISNUMBER(K980)),"Taux de TVA invalide",IF(COUNTIF(p_rates,K980)=0,"Taux de TVA hors liste (Paramètres)",IF(N(O980)&gt;25,"Au-delà de 25 lignes : non imprimée","OK")))))))))))))</f>
        <v/>
      </c>
      <c r="O980" s="59" t="str">
        <f>IF(A980="","",COUNTIF($A$6:A980,A980))</f>
        <v/>
      </c>
      <c r="P980" s="62" t="str">
        <f>IF(A980="","",A980&amp;"|"&amp;O980)</f>
        <v/>
      </c>
    </row>
    <row r="981">
      <c r="A981" s="60" t="n"/>
      <c r="B981" s="63" t="n"/>
      <c r="C981" s="63" t="n"/>
      <c r="D981" s="67" t="n"/>
      <c r="E981" s="68" t="n"/>
      <c r="F981" s="69" t="n"/>
      <c r="G981" s="70" t="n"/>
      <c r="H981" s="62" t="str">
        <f>IF(COUNTA(A981:G981)=0,"",IF(C981&lt;&gt;"",C981,IF(B981="","",IFERROR(INDEX(pr_des,MATCH(B981,pr_code,0))&amp;"",""))))</f>
        <v/>
      </c>
      <c r="I981" s="59" t="str">
        <f>IF(B981="","",IFERROR(INDEX(pr_unit,MATCH(B981,pr_code,0))&amp;"",""))</f>
        <v/>
      </c>
      <c r="J981" s="65" t="str">
        <f>IF(COUNTA(A981:G981)=0,"",IF(E981&lt;&gt;"",E981,IF(B981="","",IFERROR(IF(INDEX(pr_price,MATCH(B981,pr_code,0))="","",INDEX(pr_price,MATCH(B981,pr_code,0))),""))))</f>
        <v/>
      </c>
      <c r="K981" s="71" t="str">
        <f>IF(COUNTA(A981:G981)=0,"",IF(G981&lt;&gt;"",G981,IF(B981="","",IFERROR(IF(INDEX(pr_rate,MATCH(B981,pr_code,0))="","",INDEX(pr_rate,MATCH(B981,pr_code,0))),""))))</f>
        <v/>
      </c>
      <c r="L981" s="65" t="str">
        <f>IF(COUNTA(A981:G981)=0,"",IF(AND(ISNUMBER(D981),ISNUMBER(J981)),ROUND(D981*J981*(1-N(F981)),2),0))</f>
        <v/>
      </c>
      <c r="M981" s="62" t="str">
        <f>IF(A981="","",IFERROR(INDEX(fa_cname,MATCH(A981,fa_num,0))&amp;"",""))</f>
        <v/>
      </c>
      <c r="N981" s="59" t="str">
        <f>IF(COUNTA(A981:G981)=0,"",IF(A981="","N° facture manquant",IF(ISNA(MATCH(A981,fa_num,0)),"Facture inconnue",IF(AND(B981&lt;&gt;"",ISNA(MATCH(B981,pr_code,0))),"Article inconnu",IF(H981="","Désignation manquante",IF(OR(NOT(ISNUMBER(D981)),N(D981)&lt;=0),"Quantité invalide",IF(J981="","Prix manquant",IF(OR(NOT(ISNUMBER(J981)),N(J981)&lt;0),"Prix invalide",IF(OR(AND(F981&lt;&gt;"",NOT(ISNUMBER(F981))),N(F981)&lt;0,N(F981)&gt;1),"Remise invalide",IF(K981="","Taux de TVA manquant",IF(NOT(ISNUMBER(K981)),"Taux de TVA invalide",IF(COUNTIF(p_rates,K981)=0,"Taux de TVA hors liste (Paramètres)",IF(N(O981)&gt;25,"Au-delà de 25 lignes : non imprimée","OK")))))))))))))</f>
        <v/>
      </c>
      <c r="O981" s="59" t="str">
        <f>IF(A981="","",COUNTIF($A$6:A981,A981))</f>
        <v/>
      </c>
      <c r="P981" s="62" t="str">
        <f>IF(A981="","",A981&amp;"|"&amp;O981)</f>
        <v/>
      </c>
    </row>
    <row r="982">
      <c r="A982" s="60" t="n"/>
      <c r="B982" s="63" t="n"/>
      <c r="C982" s="63" t="n"/>
      <c r="D982" s="67" t="n"/>
      <c r="E982" s="68" t="n"/>
      <c r="F982" s="69" t="n"/>
      <c r="G982" s="70" t="n"/>
      <c r="H982" s="62" t="str">
        <f>IF(COUNTA(A982:G982)=0,"",IF(C982&lt;&gt;"",C982,IF(B982="","",IFERROR(INDEX(pr_des,MATCH(B982,pr_code,0))&amp;"",""))))</f>
        <v/>
      </c>
      <c r="I982" s="59" t="str">
        <f>IF(B982="","",IFERROR(INDEX(pr_unit,MATCH(B982,pr_code,0))&amp;"",""))</f>
        <v/>
      </c>
      <c r="J982" s="65" t="str">
        <f>IF(COUNTA(A982:G982)=0,"",IF(E982&lt;&gt;"",E982,IF(B982="","",IFERROR(IF(INDEX(pr_price,MATCH(B982,pr_code,0))="","",INDEX(pr_price,MATCH(B982,pr_code,0))),""))))</f>
        <v/>
      </c>
      <c r="K982" s="71" t="str">
        <f>IF(COUNTA(A982:G982)=0,"",IF(G982&lt;&gt;"",G982,IF(B982="","",IFERROR(IF(INDEX(pr_rate,MATCH(B982,pr_code,0))="","",INDEX(pr_rate,MATCH(B982,pr_code,0))),""))))</f>
        <v/>
      </c>
      <c r="L982" s="65" t="str">
        <f>IF(COUNTA(A982:G982)=0,"",IF(AND(ISNUMBER(D982),ISNUMBER(J982)),ROUND(D982*J982*(1-N(F982)),2),0))</f>
        <v/>
      </c>
      <c r="M982" s="62" t="str">
        <f>IF(A982="","",IFERROR(INDEX(fa_cname,MATCH(A982,fa_num,0))&amp;"",""))</f>
        <v/>
      </c>
      <c r="N982" s="59" t="str">
        <f>IF(COUNTA(A982:G982)=0,"",IF(A982="","N° facture manquant",IF(ISNA(MATCH(A982,fa_num,0)),"Facture inconnue",IF(AND(B982&lt;&gt;"",ISNA(MATCH(B982,pr_code,0))),"Article inconnu",IF(H982="","Désignation manquante",IF(OR(NOT(ISNUMBER(D982)),N(D982)&lt;=0),"Quantité invalide",IF(J982="","Prix manquant",IF(OR(NOT(ISNUMBER(J982)),N(J982)&lt;0),"Prix invalide",IF(OR(AND(F982&lt;&gt;"",NOT(ISNUMBER(F982))),N(F982)&lt;0,N(F982)&gt;1),"Remise invalide",IF(K982="","Taux de TVA manquant",IF(NOT(ISNUMBER(K982)),"Taux de TVA invalide",IF(COUNTIF(p_rates,K982)=0,"Taux de TVA hors liste (Paramètres)",IF(N(O982)&gt;25,"Au-delà de 25 lignes : non imprimée","OK")))))))))))))</f>
        <v/>
      </c>
      <c r="O982" s="59" t="str">
        <f>IF(A982="","",COUNTIF($A$6:A982,A982))</f>
        <v/>
      </c>
      <c r="P982" s="62" t="str">
        <f>IF(A982="","",A982&amp;"|"&amp;O982)</f>
        <v/>
      </c>
    </row>
    <row r="983">
      <c r="A983" s="60" t="n"/>
      <c r="B983" s="63" t="n"/>
      <c r="C983" s="63" t="n"/>
      <c r="D983" s="67" t="n"/>
      <c r="E983" s="68" t="n"/>
      <c r="F983" s="69" t="n"/>
      <c r="G983" s="70" t="n"/>
      <c r="H983" s="62" t="str">
        <f>IF(COUNTA(A983:G983)=0,"",IF(C983&lt;&gt;"",C983,IF(B983="","",IFERROR(INDEX(pr_des,MATCH(B983,pr_code,0))&amp;"",""))))</f>
        <v/>
      </c>
      <c r="I983" s="59" t="str">
        <f>IF(B983="","",IFERROR(INDEX(pr_unit,MATCH(B983,pr_code,0))&amp;"",""))</f>
        <v/>
      </c>
      <c r="J983" s="65" t="str">
        <f>IF(COUNTA(A983:G983)=0,"",IF(E983&lt;&gt;"",E983,IF(B983="","",IFERROR(IF(INDEX(pr_price,MATCH(B983,pr_code,0))="","",INDEX(pr_price,MATCH(B983,pr_code,0))),""))))</f>
        <v/>
      </c>
      <c r="K983" s="71" t="str">
        <f>IF(COUNTA(A983:G983)=0,"",IF(G983&lt;&gt;"",G983,IF(B983="","",IFERROR(IF(INDEX(pr_rate,MATCH(B983,pr_code,0))="","",INDEX(pr_rate,MATCH(B983,pr_code,0))),""))))</f>
        <v/>
      </c>
      <c r="L983" s="65" t="str">
        <f>IF(COUNTA(A983:G983)=0,"",IF(AND(ISNUMBER(D983),ISNUMBER(J983)),ROUND(D983*J983*(1-N(F983)),2),0))</f>
        <v/>
      </c>
      <c r="M983" s="62" t="str">
        <f>IF(A983="","",IFERROR(INDEX(fa_cname,MATCH(A983,fa_num,0))&amp;"",""))</f>
        <v/>
      </c>
      <c r="N983" s="59" t="str">
        <f>IF(COUNTA(A983:G983)=0,"",IF(A983="","N° facture manquant",IF(ISNA(MATCH(A983,fa_num,0)),"Facture inconnue",IF(AND(B983&lt;&gt;"",ISNA(MATCH(B983,pr_code,0))),"Article inconnu",IF(H983="","Désignation manquante",IF(OR(NOT(ISNUMBER(D983)),N(D983)&lt;=0),"Quantité invalide",IF(J983="","Prix manquant",IF(OR(NOT(ISNUMBER(J983)),N(J983)&lt;0),"Prix invalide",IF(OR(AND(F983&lt;&gt;"",NOT(ISNUMBER(F983))),N(F983)&lt;0,N(F983)&gt;1),"Remise invalide",IF(K983="","Taux de TVA manquant",IF(NOT(ISNUMBER(K983)),"Taux de TVA invalide",IF(COUNTIF(p_rates,K983)=0,"Taux de TVA hors liste (Paramètres)",IF(N(O983)&gt;25,"Au-delà de 25 lignes : non imprimée","OK")))))))))))))</f>
        <v/>
      </c>
      <c r="O983" s="59" t="str">
        <f>IF(A983="","",COUNTIF($A$6:A983,A983))</f>
        <v/>
      </c>
      <c r="P983" s="62" t="str">
        <f>IF(A983="","",A983&amp;"|"&amp;O983)</f>
        <v/>
      </c>
    </row>
    <row r="984">
      <c r="A984" s="60" t="n"/>
      <c r="B984" s="63" t="n"/>
      <c r="C984" s="63" t="n"/>
      <c r="D984" s="67" t="n"/>
      <c r="E984" s="68" t="n"/>
      <c r="F984" s="69" t="n"/>
      <c r="G984" s="70" t="n"/>
      <c r="H984" s="62" t="str">
        <f>IF(COUNTA(A984:G984)=0,"",IF(C984&lt;&gt;"",C984,IF(B984="","",IFERROR(INDEX(pr_des,MATCH(B984,pr_code,0))&amp;"",""))))</f>
        <v/>
      </c>
      <c r="I984" s="59" t="str">
        <f>IF(B984="","",IFERROR(INDEX(pr_unit,MATCH(B984,pr_code,0))&amp;"",""))</f>
        <v/>
      </c>
      <c r="J984" s="65" t="str">
        <f>IF(COUNTA(A984:G984)=0,"",IF(E984&lt;&gt;"",E984,IF(B984="","",IFERROR(IF(INDEX(pr_price,MATCH(B984,pr_code,0))="","",INDEX(pr_price,MATCH(B984,pr_code,0))),""))))</f>
        <v/>
      </c>
      <c r="K984" s="71" t="str">
        <f>IF(COUNTA(A984:G984)=0,"",IF(G984&lt;&gt;"",G984,IF(B984="","",IFERROR(IF(INDEX(pr_rate,MATCH(B984,pr_code,0))="","",INDEX(pr_rate,MATCH(B984,pr_code,0))),""))))</f>
        <v/>
      </c>
      <c r="L984" s="65" t="str">
        <f>IF(COUNTA(A984:G984)=0,"",IF(AND(ISNUMBER(D984),ISNUMBER(J984)),ROUND(D984*J984*(1-N(F984)),2),0))</f>
        <v/>
      </c>
      <c r="M984" s="62" t="str">
        <f>IF(A984="","",IFERROR(INDEX(fa_cname,MATCH(A984,fa_num,0))&amp;"",""))</f>
        <v/>
      </c>
      <c r="N984" s="59" t="str">
        <f>IF(COUNTA(A984:G984)=0,"",IF(A984="","N° facture manquant",IF(ISNA(MATCH(A984,fa_num,0)),"Facture inconnue",IF(AND(B984&lt;&gt;"",ISNA(MATCH(B984,pr_code,0))),"Article inconnu",IF(H984="","Désignation manquante",IF(OR(NOT(ISNUMBER(D984)),N(D984)&lt;=0),"Quantité invalide",IF(J984="","Prix manquant",IF(OR(NOT(ISNUMBER(J984)),N(J984)&lt;0),"Prix invalide",IF(OR(AND(F984&lt;&gt;"",NOT(ISNUMBER(F984))),N(F984)&lt;0,N(F984)&gt;1),"Remise invalide",IF(K984="","Taux de TVA manquant",IF(NOT(ISNUMBER(K984)),"Taux de TVA invalide",IF(COUNTIF(p_rates,K984)=0,"Taux de TVA hors liste (Paramètres)",IF(N(O984)&gt;25,"Au-delà de 25 lignes : non imprimée","OK")))))))))))))</f>
        <v/>
      </c>
      <c r="O984" s="59" t="str">
        <f>IF(A984="","",COUNTIF($A$6:A984,A984))</f>
        <v/>
      </c>
      <c r="P984" s="62" t="str">
        <f>IF(A984="","",A984&amp;"|"&amp;O984)</f>
        <v/>
      </c>
    </row>
    <row r="985">
      <c r="A985" s="60" t="n"/>
      <c r="B985" s="63" t="n"/>
      <c r="C985" s="63" t="n"/>
      <c r="D985" s="67" t="n"/>
      <c r="E985" s="68" t="n"/>
      <c r="F985" s="69" t="n"/>
      <c r="G985" s="70" t="n"/>
      <c r="H985" s="62" t="str">
        <f>IF(COUNTA(A985:G985)=0,"",IF(C985&lt;&gt;"",C985,IF(B985="","",IFERROR(INDEX(pr_des,MATCH(B985,pr_code,0))&amp;"",""))))</f>
        <v/>
      </c>
      <c r="I985" s="59" t="str">
        <f>IF(B985="","",IFERROR(INDEX(pr_unit,MATCH(B985,pr_code,0))&amp;"",""))</f>
        <v/>
      </c>
      <c r="J985" s="65" t="str">
        <f>IF(COUNTA(A985:G985)=0,"",IF(E985&lt;&gt;"",E985,IF(B985="","",IFERROR(IF(INDEX(pr_price,MATCH(B985,pr_code,0))="","",INDEX(pr_price,MATCH(B985,pr_code,0))),""))))</f>
        <v/>
      </c>
      <c r="K985" s="71" t="str">
        <f>IF(COUNTA(A985:G985)=0,"",IF(G985&lt;&gt;"",G985,IF(B985="","",IFERROR(IF(INDEX(pr_rate,MATCH(B985,pr_code,0))="","",INDEX(pr_rate,MATCH(B985,pr_code,0))),""))))</f>
        <v/>
      </c>
      <c r="L985" s="65" t="str">
        <f>IF(COUNTA(A985:G985)=0,"",IF(AND(ISNUMBER(D985),ISNUMBER(J985)),ROUND(D985*J985*(1-N(F985)),2),0))</f>
        <v/>
      </c>
      <c r="M985" s="62" t="str">
        <f>IF(A985="","",IFERROR(INDEX(fa_cname,MATCH(A985,fa_num,0))&amp;"",""))</f>
        <v/>
      </c>
      <c r="N985" s="59" t="str">
        <f>IF(COUNTA(A985:G985)=0,"",IF(A985="","N° facture manquant",IF(ISNA(MATCH(A985,fa_num,0)),"Facture inconnue",IF(AND(B985&lt;&gt;"",ISNA(MATCH(B985,pr_code,0))),"Article inconnu",IF(H985="","Désignation manquante",IF(OR(NOT(ISNUMBER(D985)),N(D985)&lt;=0),"Quantité invalide",IF(J985="","Prix manquant",IF(OR(NOT(ISNUMBER(J985)),N(J985)&lt;0),"Prix invalide",IF(OR(AND(F985&lt;&gt;"",NOT(ISNUMBER(F985))),N(F985)&lt;0,N(F985)&gt;1),"Remise invalide",IF(K985="","Taux de TVA manquant",IF(NOT(ISNUMBER(K985)),"Taux de TVA invalide",IF(COUNTIF(p_rates,K985)=0,"Taux de TVA hors liste (Paramètres)",IF(N(O985)&gt;25,"Au-delà de 25 lignes : non imprimée","OK")))))))))))))</f>
        <v/>
      </c>
      <c r="O985" s="59" t="str">
        <f>IF(A985="","",COUNTIF($A$6:A985,A985))</f>
        <v/>
      </c>
      <c r="P985" s="62" t="str">
        <f>IF(A985="","",A985&amp;"|"&amp;O985)</f>
        <v/>
      </c>
    </row>
    <row r="986">
      <c r="A986" s="60" t="n"/>
      <c r="B986" s="63" t="n"/>
      <c r="C986" s="63" t="n"/>
      <c r="D986" s="67" t="n"/>
      <c r="E986" s="68" t="n"/>
      <c r="F986" s="69" t="n"/>
      <c r="G986" s="70" t="n"/>
      <c r="H986" s="62" t="str">
        <f>IF(COUNTA(A986:G986)=0,"",IF(C986&lt;&gt;"",C986,IF(B986="","",IFERROR(INDEX(pr_des,MATCH(B986,pr_code,0))&amp;"",""))))</f>
        <v/>
      </c>
      <c r="I986" s="59" t="str">
        <f>IF(B986="","",IFERROR(INDEX(pr_unit,MATCH(B986,pr_code,0))&amp;"",""))</f>
        <v/>
      </c>
      <c r="J986" s="65" t="str">
        <f>IF(COUNTA(A986:G986)=0,"",IF(E986&lt;&gt;"",E986,IF(B986="","",IFERROR(IF(INDEX(pr_price,MATCH(B986,pr_code,0))="","",INDEX(pr_price,MATCH(B986,pr_code,0))),""))))</f>
        <v/>
      </c>
      <c r="K986" s="71" t="str">
        <f>IF(COUNTA(A986:G986)=0,"",IF(G986&lt;&gt;"",G986,IF(B986="","",IFERROR(IF(INDEX(pr_rate,MATCH(B986,pr_code,0))="","",INDEX(pr_rate,MATCH(B986,pr_code,0))),""))))</f>
        <v/>
      </c>
      <c r="L986" s="65" t="str">
        <f>IF(COUNTA(A986:G986)=0,"",IF(AND(ISNUMBER(D986),ISNUMBER(J986)),ROUND(D986*J986*(1-N(F986)),2),0))</f>
        <v/>
      </c>
      <c r="M986" s="62" t="str">
        <f>IF(A986="","",IFERROR(INDEX(fa_cname,MATCH(A986,fa_num,0))&amp;"",""))</f>
        <v/>
      </c>
      <c r="N986" s="59" t="str">
        <f>IF(COUNTA(A986:G986)=0,"",IF(A986="","N° facture manquant",IF(ISNA(MATCH(A986,fa_num,0)),"Facture inconnue",IF(AND(B986&lt;&gt;"",ISNA(MATCH(B986,pr_code,0))),"Article inconnu",IF(H986="","Désignation manquante",IF(OR(NOT(ISNUMBER(D986)),N(D986)&lt;=0),"Quantité invalide",IF(J986="","Prix manquant",IF(OR(NOT(ISNUMBER(J986)),N(J986)&lt;0),"Prix invalide",IF(OR(AND(F986&lt;&gt;"",NOT(ISNUMBER(F986))),N(F986)&lt;0,N(F986)&gt;1),"Remise invalide",IF(K986="","Taux de TVA manquant",IF(NOT(ISNUMBER(K986)),"Taux de TVA invalide",IF(COUNTIF(p_rates,K986)=0,"Taux de TVA hors liste (Paramètres)",IF(N(O986)&gt;25,"Au-delà de 25 lignes : non imprimée","OK")))))))))))))</f>
        <v/>
      </c>
      <c r="O986" s="59" t="str">
        <f>IF(A986="","",COUNTIF($A$6:A986,A986))</f>
        <v/>
      </c>
      <c r="P986" s="62" t="str">
        <f>IF(A986="","",A986&amp;"|"&amp;O986)</f>
        <v/>
      </c>
    </row>
    <row r="987">
      <c r="A987" s="60" t="n"/>
      <c r="B987" s="63" t="n"/>
      <c r="C987" s="63" t="n"/>
      <c r="D987" s="67" t="n"/>
      <c r="E987" s="68" t="n"/>
      <c r="F987" s="69" t="n"/>
      <c r="G987" s="70" t="n"/>
      <c r="H987" s="62" t="str">
        <f>IF(COUNTA(A987:G987)=0,"",IF(C987&lt;&gt;"",C987,IF(B987="","",IFERROR(INDEX(pr_des,MATCH(B987,pr_code,0))&amp;"",""))))</f>
        <v/>
      </c>
      <c r="I987" s="59" t="str">
        <f>IF(B987="","",IFERROR(INDEX(pr_unit,MATCH(B987,pr_code,0))&amp;"",""))</f>
        <v/>
      </c>
      <c r="J987" s="65" t="str">
        <f>IF(COUNTA(A987:G987)=0,"",IF(E987&lt;&gt;"",E987,IF(B987="","",IFERROR(IF(INDEX(pr_price,MATCH(B987,pr_code,0))="","",INDEX(pr_price,MATCH(B987,pr_code,0))),""))))</f>
        <v/>
      </c>
      <c r="K987" s="71" t="str">
        <f>IF(COUNTA(A987:G987)=0,"",IF(G987&lt;&gt;"",G987,IF(B987="","",IFERROR(IF(INDEX(pr_rate,MATCH(B987,pr_code,0))="","",INDEX(pr_rate,MATCH(B987,pr_code,0))),""))))</f>
        <v/>
      </c>
      <c r="L987" s="65" t="str">
        <f>IF(COUNTA(A987:G987)=0,"",IF(AND(ISNUMBER(D987),ISNUMBER(J987)),ROUND(D987*J987*(1-N(F987)),2),0))</f>
        <v/>
      </c>
      <c r="M987" s="62" t="str">
        <f>IF(A987="","",IFERROR(INDEX(fa_cname,MATCH(A987,fa_num,0))&amp;"",""))</f>
        <v/>
      </c>
      <c r="N987" s="59" t="str">
        <f>IF(COUNTA(A987:G987)=0,"",IF(A987="","N° facture manquant",IF(ISNA(MATCH(A987,fa_num,0)),"Facture inconnue",IF(AND(B987&lt;&gt;"",ISNA(MATCH(B987,pr_code,0))),"Article inconnu",IF(H987="","Désignation manquante",IF(OR(NOT(ISNUMBER(D987)),N(D987)&lt;=0),"Quantité invalide",IF(J987="","Prix manquant",IF(OR(NOT(ISNUMBER(J987)),N(J987)&lt;0),"Prix invalide",IF(OR(AND(F987&lt;&gt;"",NOT(ISNUMBER(F987))),N(F987)&lt;0,N(F987)&gt;1),"Remise invalide",IF(K987="","Taux de TVA manquant",IF(NOT(ISNUMBER(K987)),"Taux de TVA invalide",IF(COUNTIF(p_rates,K987)=0,"Taux de TVA hors liste (Paramètres)",IF(N(O987)&gt;25,"Au-delà de 25 lignes : non imprimée","OK")))))))))))))</f>
        <v/>
      </c>
      <c r="O987" s="59" t="str">
        <f>IF(A987="","",COUNTIF($A$6:A987,A987))</f>
        <v/>
      </c>
      <c r="P987" s="62" t="str">
        <f>IF(A987="","",A987&amp;"|"&amp;O987)</f>
        <v/>
      </c>
    </row>
    <row r="988">
      <c r="A988" s="60" t="n"/>
      <c r="B988" s="63" t="n"/>
      <c r="C988" s="63" t="n"/>
      <c r="D988" s="67" t="n"/>
      <c r="E988" s="68" t="n"/>
      <c r="F988" s="69" t="n"/>
      <c r="G988" s="70" t="n"/>
      <c r="H988" s="62" t="str">
        <f>IF(COUNTA(A988:G988)=0,"",IF(C988&lt;&gt;"",C988,IF(B988="","",IFERROR(INDEX(pr_des,MATCH(B988,pr_code,0))&amp;"",""))))</f>
        <v/>
      </c>
      <c r="I988" s="59" t="str">
        <f>IF(B988="","",IFERROR(INDEX(pr_unit,MATCH(B988,pr_code,0))&amp;"",""))</f>
        <v/>
      </c>
      <c r="J988" s="65" t="str">
        <f>IF(COUNTA(A988:G988)=0,"",IF(E988&lt;&gt;"",E988,IF(B988="","",IFERROR(IF(INDEX(pr_price,MATCH(B988,pr_code,0))="","",INDEX(pr_price,MATCH(B988,pr_code,0))),""))))</f>
        <v/>
      </c>
      <c r="K988" s="71" t="str">
        <f>IF(COUNTA(A988:G988)=0,"",IF(G988&lt;&gt;"",G988,IF(B988="","",IFERROR(IF(INDEX(pr_rate,MATCH(B988,pr_code,0))="","",INDEX(pr_rate,MATCH(B988,pr_code,0))),""))))</f>
        <v/>
      </c>
      <c r="L988" s="65" t="str">
        <f>IF(COUNTA(A988:G988)=0,"",IF(AND(ISNUMBER(D988),ISNUMBER(J988)),ROUND(D988*J988*(1-N(F988)),2),0))</f>
        <v/>
      </c>
      <c r="M988" s="62" t="str">
        <f>IF(A988="","",IFERROR(INDEX(fa_cname,MATCH(A988,fa_num,0))&amp;"",""))</f>
        <v/>
      </c>
      <c r="N988" s="59" t="str">
        <f>IF(COUNTA(A988:G988)=0,"",IF(A988="","N° facture manquant",IF(ISNA(MATCH(A988,fa_num,0)),"Facture inconnue",IF(AND(B988&lt;&gt;"",ISNA(MATCH(B988,pr_code,0))),"Article inconnu",IF(H988="","Désignation manquante",IF(OR(NOT(ISNUMBER(D988)),N(D988)&lt;=0),"Quantité invalide",IF(J988="","Prix manquant",IF(OR(NOT(ISNUMBER(J988)),N(J988)&lt;0),"Prix invalide",IF(OR(AND(F988&lt;&gt;"",NOT(ISNUMBER(F988))),N(F988)&lt;0,N(F988)&gt;1),"Remise invalide",IF(K988="","Taux de TVA manquant",IF(NOT(ISNUMBER(K988)),"Taux de TVA invalide",IF(COUNTIF(p_rates,K988)=0,"Taux de TVA hors liste (Paramètres)",IF(N(O988)&gt;25,"Au-delà de 25 lignes : non imprimée","OK")))))))))))))</f>
        <v/>
      </c>
      <c r="O988" s="59" t="str">
        <f>IF(A988="","",COUNTIF($A$6:A988,A988))</f>
        <v/>
      </c>
      <c r="P988" s="62" t="str">
        <f>IF(A988="","",A988&amp;"|"&amp;O988)</f>
        <v/>
      </c>
    </row>
    <row r="989">
      <c r="A989" s="60" t="n"/>
      <c r="B989" s="63" t="n"/>
      <c r="C989" s="63" t="n"/>
      <c r="D989" s="67" t="n"/>
      <c r="E989" s="68" t="n"/>
      <c r="F989" s="69" t="n"/>
      <c r="G989" s="70" t="n"/>
      <c r="H989" s="62" t="str">
        <f>IF(COUNTA(A989:G989)=0,"",IF(C989&lt;&gt;"",C989,IF(B989="","",IFERROR(INDEX(pr_des,MATCH(B989,pr_code,0))&amp;"",""))))</f>
        <v/>
      </c>
      <c r="I989" s="59" t="str">
        <f>IF(B989="","",IFERROR(INDEX(pr_unit,MATCH(B989,pr_code,0))&amp;"",""))</f>
        <v/>
      </c>
      <c r="J989" s="65" t="str">
        <f>IF(COUNTA(A989:G989)=0,"",IF(E989&lt;&gt;"",E989,IF(B989="","",IFERROR(IF(INDEX(pr_price,MATCH(B989,pr_code,0))="","",INDEX(pr_price,MATCH(B989,pr_code,0))),""))))</f>
        <v/>
      </c>
      <c r="K989" s="71" t="str">
        <f>IF(COUNTA(A989:G989)=0,"",IF(G989&lt;&gt;"",G989,IF(B989="","",IFERROR(IF(INDEX(pr_rate,MATCH(B989,pr_code,0))="","",INDEX(pr_rate,MATCH(B989,pr_code,0))),""))))</f>
        <v/>
      </c>
      <c r="L989" s="65" t="str">
        <f>IF(COUNTA(A989:G989)=0,"",IF(AND(ISNUMBER(D989),ISNUMBER(J989)),ROUND(D989*J989*(1-N(F989)),2),0))</f>
        <v/>
      </c>
      <c r="M989" s="62" t="str">
        <f>IF(A989="","",IFERROR(INDEX(fa_cname,MATCH(A989,fa_num,0))&amp;"",""))</f>
        <v/>
      </c>
      <c r="N989" s="59" t="str">
        <f>IF(COUNTA(A989:G989)=0,"",IF(A989="","N° facture manquant",IF(ISNA(MATCH(A989,fa_num,0)),"Facture inconnue",IF(AND(B989&lt;&gt;"",ISNA(MATCH(B989,pr_code,0))),"Article inconnu",IF(H989="","Désignation manquante",IF(OR(NOT(ISNUMBER(D989)),N(D989)&lt;=0),"Quantité invalide",IF(J989="","Prix manquant",IF(OR(NOT(ISNUMBER(J989)),N(J989)&lt;0),"Prix invalide",IF(OR(AND(F989&lt;&gt;"",NOT(ISNUMBER(F989))),N(F989)&lt;0,N(F989)&gt;1),"Remise invalide",IF(K989="","Taux de TVA manquant",IF(NOT(ISNUMBER(K989)),"Taux de TVA invalide",IF(COUNTIF(p_rates,K989)=0,"Taux de TVA hors liste (Paramètres)",IF(N(O989)&gt;25,"Au-delà de 25 lignes : non imprimée","OK")))))))))))))</f>
        <v/>
      </c>
      <c r="O989" s="59" t="str">
        <f>IF(A989="","",COUNTIF($A$6:A989,A989))</f>
        <v/>
      </c>
      <c r="P989" s="62" t="str">
        <f>IF(A989="","",A989&amp;"|"&amp;O989)</f>
        <v/>
      </c>
    </row>
    <row r="990">
      <c r="A990" s="60" t="n"/>
      <c r="B990" s="63" t="n"/>
      <c r="C990" s="63" t="n"/>
      <c r="D990" s="67" t="n"/>
      <c r="E990" s="68" t="n"/>
      <c r="F990" s="69" t="n"/>
      <c r="G990" s="70" t="n"/>
      <c r="H990" s="62" t="str">
        <f>IF(COUNTA(A990:G990)=0,"",IF(C990&lt;&gt;"",C990,IF(B990="","",IFERROR(INDEX(pr_des,MATCH(B990,pr_code,0))&amp;"",""))))</f>
        <v/>
      </c>
      <c r="I990" s="59" t="str">
        <f>IF(B990="","",IFERROR(INDEX(pr_unit,MATCH(B990,pr_code,0))&amp;"",""))</f>
        <v/>
      </c>
      <c r="J990" s="65" t="str">
        <f>IF(COUNTA(A990:G990)=0,"",IF(E990&lt;&gt;"",E990,IF(B990="","",IFERROR(IF(INDEX(pr_price,MATCH(B990,pr_code,0))="","",INDEX(pr_price,MATCH(B990,pr_code,0))),""))))</f>
        <v/>
      </c>
      <c r="K990" s="71" t="str">
        <f>IF(COUNTA(A990:G990)=0,"",IF(G990&lt;&gt;"",G990,IF(B990="","",IFERROR(IF(INDEX(pr_rate,MATCH(B990,pr_code,0))="","",INDEX(pr_rate,MATCH(B990,pr_code,0))),""))))</f>
        <v/>
      </c>
      <c r="L990" s="65" t="str">
        <f>IF(COUNTA(A990:G990)=0,"",IF(AND(ISNUMBER(D990),ISNUMBER(J990)),ROUND(D990*J990*(1-N(F990)),2),0))</f>
        <v/>
      </c>
      <c r="M990" s="62" t="str">
        <f>IF(A990="","",IFERROR(INDEX(fa_cname,MATCH(A990,fa_num,0))&amp;"",""))</f>
        <v/>
      </c>
      <c r="N990" s="59" t="str">
        <f>IF(COUNTA(A990:G990)=0,"",IF(A990="","N° facture manquant",IF(ISNA(MATCH(A990,fa_num,0)),"Facture inconnue",IF(AND(B990&lt;&gt;"",ISNA(MATCH(B990,pr_code,0))),"Article inconnu",IF(H990="","Désignation manquante",IF(OR(NOT(ISNUMBER(D990)),N(D990)&lt;=0),"Quantité invalide",IF(J990="","Prix manquant",IF(OR(NOT(ISNUMBER(J990)),N(J990)&lt;0),"Prix invalide",IF(OR(AND(F990&lt;&gt;"",NOT(ISNUMBER(F990))),N(F990)&lt;0,N(F990)&gt;1),"Remise invalide",IF(K990="","Taux de TVA manquant",IF(NOT(ISNUMBER(K990)),"Taux de TVA invalide",IF(COUNTIF(p_rates,K990)=0,"Taux de TVA hors liste (Paramètres)",IF(N(O990)&gt;25,"Au-delà de 25 lignes : non imprimée","OK")))))))))))))</f>
        <v/>
      </c>
      <c r="O990" s="59" t="str">
        <f>IF(A990="","",COUNTIF($A$6:A990,A990))</f>
        <v/>
      </c>
      <c r="P990" s="62" t="str">
        <f>IF(A990="","",A990&amp;"|"&amp;O990)</f>
        <v/>
      </c>
    </row>
    <row r="991">
      <c r="A991" s="60" t="n"/>
      <c r="B991" s="63" t="n"/>
      <c r="C991" s="63" t="n"/>
      <c r="D991" s="67" t="n"/>
      <c r="E991" s="68" t="n"/>
      <c r="F991" s="69" t="n"/>
      <c r="G991" s="70" t="n"/>
      <c r="H991" s="62" t="str">
        <f>IF(COUNTA(A991:G991)=0,"",IF(C991&lt;&gt;"",C991,IF(B991="","",IFERROR(INDEX(pr_des,MATCH(B991,pr_code,0))&amp;"",""))))</f>
        <v/>
      </c>
      <c r="I991" s="59" t="str">
        <f>IF(B991="","",IFERROR(INDEX(pr_unit,MATCH(B991,pr_code,0))&amp;"",""))</f>
        <v/>
      </c>
      <c r="J991" s="65" t="str">
        <f>IF(COUNTA(A991:G991)=0,"",IF(E991&lt;&gt;"",E991,IF(B991="","",IFERROR(IF(INDEX(pr_price,MATCH(B991,pr_code,0))="","",INDEX(pr_price,MATCH(B991,pr_code,0))),""))))</f>
        <v/>
      </c>
      <c r="K991" s="71" t="str">
        <f>IF(COUNTA(A991:G991)=0,"",IF(G991&lt;&gt;"",G991,IF(B991="","",IFERROR(IF(INDEX(pr_rate,MATCH(B991,pr_code,0))="","",INDEX(pr_rate,MATCH(B991,pr_code,0))),""))))</f>
        <v/>
      </c>
      <c r="L991" s="65" t="str">
        <f>IF(COUNTA(A991:G991)=0,"",IF(AND(ISNUMBER(D991),ISNUMBER(J991)),ROUND(D991*J991*(1-N(F991)),2),0))</f>
        <v/>
      </c>
      <c r="M991" s="62" t="str">
        <f>IF(A991="","",IFERROR(INDEX(fa_cname,MATCH(A991,fa_num,0))&amp;"",""))</f>
        <v/>
      </c>
      <c r="N991" s="59" t="str">
        <f>IF(COUNTA(A991:G991)=0,"",IF(A991="","N° facture manquant",IF(ISNA(MATCH(A991,fa_num,0)),"Facture inconnue",IF(AND(B991&lt;&gt;"",ISNA(MATCH(B991,pr_code,0))),"Article inconnu",IF(H991="","Désignation manquante",IF(OR(NOT(ISNUMBER(D991)),N(D991)&lt;=0),"Quantité invalide",IF(J991="","Prix manquant",IF(OR(NOT(ISNUMBER(J991)),N(J991)&lt;0),"Prix invalide",IF(OR(AND(F991&lt;&gt;"",NOT(ISNUMBER(F991))),N(F991)&lt;0,N(F991)&gt;1),"Remise invalide",IF(K991="","Taux de TVA manquant",IF(NOT(ISNUMBER(K991)),"Taux de TVA invalide",IF(COUNTIF(p_rates,K991)=0,"Taux de TVA hors liste (Paramètres)",IF(N(O991)&gt;25,"Au-delà de 25 lignes : non imprimée","OK")))))))))))))</f>
        <v/>
      </c>
      <c r="O991" s="59" t="str">
        <f>IF(A991="","",COUNTIF($A$6:A991,A991))</f>
        <v/>
      </c>
      <c r="P991" s="62" t="str">
        <f>IF(A991="","",A991&amp;"|"&amp;O991)</f>
        <v/>
      </c>
    </row>
    <row r="992">
      <c r="A992" s="60" t="n"/>
      <c r="B992" s="63" t="n"/>
      <c r="C992" s="63" t="n"/>
      <c r="D992" s="67" t="n"/>
      <c r="E992" s="68" t="n"/>
      <c r="F992" s="69" t="n"/>
      <c r="G992" s="70" t="n"/>
      <c r="H992" s="62" t="str">
        <f>IF(COUNTA(A992:G992)=0,"",IF(C992&lt;&gt;"",C992,IF(B992="","",IFERROR(INDEX(pr_des,MATCH(B992,pr_code,0))&amp;"",""))))</f>
        <v/>
      </c>
      <c r="I992" s="59" t="str">
        <f>IF(B992="","",IFERROR(INDEX(pr_unit,MATCH(B992,pr_code,0))&amp;"",""))</f>
        <v/>
      </c>
      <c r="J992" s="65" t="str">
        <f>IF(COUNTA(A992:G992)=0,"",IF(E992&lt;&gt;"",E992,IF(B992="","",IFERROR(IF(INDEX(pr_price,MATCH(B992,pr_code,0))="","",INDEX(pr_price,MATCH(B992,pr_code,0))),""))))</f>
        <v/>
      </c>
      <c r="K992" s="71" t="str">
        <f>IF(COUNTA(A992:G992)=0,"",IF(G992&lt;&gt;"",G992,IF(B992="","",IFERROR(IF(INDEX(pr_rate,MATCH(B992,pr_code,0))="","",INDEX(pr_rate,MATCH(B992,pr_code,0))),""))))</f>
        <v/>
      </c>
      <c r="L992" s="65" t="str">
        <f>IF(COUNTA(A992:G992)=0,"",IF(AND(ISNUMBER(D992),ISNUMBER(J992)),ROUND(D992*J992*(1-N(F992)),2),0))</f>
        <v/>
      </c>
      <c r="M992" s="62" t="str">
        <f>IF(A992="","",IFERROR(INDEX(fa_cname,MATCH(A992,fa_num,0))&amp;"",""))</f>
        <v/>
      </c>
      <c r="N992" s="59" t="str">
        <f>IF(COUNTA(A992:G992)=0,"",IF(A992="","N° facture manquant",IF(ISNA(MATCH(A992,fa_num,0)),"Facture inconnue",IF(AND(B992&lt;&gt;"",ISNA(MATCH(B992,pr_code,0))),"Article inconnu",IF(H992="","Désignation manquante",IF(OR(NOT(ISNUMBER(D992)),N(D992)&lt;=0),"Quantité invalide",IF(J992="","Prix manquant",IF(OR(NOT(ISNUMBER(J992)),N(J992)&lt;0),"Prix invalide",IF(OR(AND(F992&lt;&gt;"",NOT(ISNUMBER(F992))),N(F992)&lt;0,N(F992)&gt;1),"Remise invalide",IF(K992="","Taux de TVA manquant",IF(NOT(ISNUMBER(K992)),"Taux de TVA invalide",IF(COUNTIF(p_rates,K992)=0,"Taux de TVA hors liste (Paramètres)",IF(N(O992)&gt;25,"Au-delà de 25 lignes : non imprimée","OK")))))))))))))</f>
        <v/>
      </c>
      <c r="O992" s="59" t="str">
        <f>IF(A992="","",COUNTIF($A$6:A992,A992))</f>
        <v/>
      </c>
      <c r="P992" s="62" t="str">
        <f>IF(A992="","",A992&amp;"|"&amp;O992)</f>
        <v/>
      </c>
    </row>
    <row r="993">
      <c r="A993" s="60" t="n"/>
      <c r="B993" s="63" t="n"/>
      <c r="C993" s="63" t="n"/>
      <c r="D993" s="67" t="n"/>
      <c r="E993" s="68" t="n"/>
      <c r="F993" s="69" t="n"/>
      <c r="G993" s="70" t="n"/>
      <c r="H993" s="62" t="str">
        <f>IF(COUNTA(A993:G993)=0,"",IF(C993&lt;&gt;"",C993,IF(B993="","",IFERROR(INDEX(pr_des,MATCH(B993,pr_code,0))&amp;"",""))))</f>
        <v/>
      </c>
      <c r="I993" s="59" t="str">
        <f>IF(B993="","",IFERROR(INDEX(pr_unit,MATCH(B993,pr_code,0))&amp;"",""))</f>
        <v/>
      </c>
      <c r="J993" s="65" t="str">
        <f>IF(COUNTA(A993:G993)=0,"",IF(E993&lt;&gt;"",E993,IF(B993="","",IFERROR(IF(INDEX(pr_price,MATCH(B993,pr_code,0))="","",INDEX(pr_price,MATCH(B993,pr_code,0))),""))))</f>
        <v/>
      </c>
      <c r="K993" s="71" t="str">
        <f>IF(COUNTA(A993:G993)=0,"",IF(G993&lt;&gt;"",G993,IF(B993="","",IFERROR(IF(INDEX(pr_rate,MATCH(B993,pr_code,0))="","",INDEX(pr_rate,MATCH(B993,pr_code,0))),""))))</f>
        <v/>
      </c>
      <c r="L993" s="65" t="str">
        <f>IF(COUNTA(A993:G993)=0,"",IF(AND(ISNUMBER(D993),ISNUMBER(J993)),ROUND(D993*J993*(1-N(F993)),2),0))</f>
        <v/>
      </c>
      <c r="M993" s="62" t="str">
        <f>IF(A993="","",IFERROR(INDEX(fa_cname,MATCH(A993,fa_num,0))&amp;"",""))</f>
        <v/>
      </c>
      <c r="N993" s="59" t="str">
        <f>IF(COUNTA(A993:G993)=0,"",IF(A993="","N° facture manquant",IF(ISNA(MATCH(A993,fa_num,0)),"Facture inconnue",IF(AND(B993&lt;&gt;"",ISNA(MATCH(B993,pr_code,0))),"Article inconnu",IF(H993="","Désignation manquante",IF(OR(NOT(ISNUMBER(D993)),N(D993)&lt;=0),"Quantité invalide",IF(J993="","Prix manquant",IF(OR(NOT(ISNUMBER(J993)),N(J993)&lt;0),"Prix invalide",IF(OR(AND(F993&lt;&gt;"",NOT(ISNUMBER(F993))),N(F993)&lt;0,N(F993)&gt;1),"Remise invalide",IF(K993="","Taux de TVA manquant",IF(NOT(ISNUMBER(K993)),"Taux de TVA invalide",IF(COUNTIF(p_rates,K993)=0,"Taux de TVA hors liste (Paramètres)",IF(N(O993)&gt;25,"Au-delà de 25 lignes : non imprimée","OK")))))))))))))</f>
        <v/>
      </c>
      <c r="O993" s="59" t="str">
        <f>IF(A993="","",COUNTIF($A$6:A993,A993))</f>
        <v/>
      </c>
      <c r="P993" s="62" t="str">
        <f>IF(A993="","",A993&amp;"|"&amp;O993)</f>
        <v/>
      </c>
    </row>
    <row r="994">
      <c r="A994" s="60" t="n"/>
      <c r="B994" s="63" t="n"/>
      <c r="C994" s="63" t="n"/>
      <c r="D994" s="67" t="n"/>
      <c r="E994" s="68" t="n"/>
      <c r="F994" s="69" t="n"/>
      <c r="G994" s="70" t="n"/>
      <c r="H994" s="62" t="str">
        <f>IF(COUNTA(A994:G994)=0,"",IF(C994&lt;&gt;"",C994,IF(B994="","",IFERROR(INDEX(pr_des,MATCH(B994,pr_code,0))&amp;"",""))))</f>
        <v/>
      </c>
      <c r="I994" s="59" t="str">
        <f>IF(B994="","",IFERROR(INDEX(pr_unit,MATCH(B994,pr_code,0))&amp;"",""))</f>
        <v/>
      </c>
      <c r="J994" s="65" t="str">
        <f>IF(COUNTA(A994:G994)=0,"",IF(E994&lt;&gt;"",E994,IF(B994="","",IFERROR(IF(INDEX(pr_price,MATCH(B994,pr_code,0))="","",INDEX(pr_price,MATCH(B994,pr_code,0))),""))))</f>
        <v/>
      </c>
      <c r="K994" s="71" t="str">
        <f>IF(COUNTA(A994:G994)=0,"",IF(G994&lt;&gt;"",G994,IF(B994="","",IFERROR(IF(INDEX(pr_rate,MATCH(B994,pr_code,0))="","",INDEX(pr_rate,MATCH(B994,pr_code,0))),""))))</f>
        <v/>
      </c>
      <c r="L994" s="65" t="str">
        <f>IF(COUNTA(A994:G994)=0,"",IF(AND(ISNUMBER(D994),ISNUMBER(J994)),ROUND(D994*J994*(1-N(F994)),2),0))</f>
        <v/>
      </c>
      <c r="M994" s="62" t="str">
        <f>IF(A994="","",IFERROR(INDEX(fa_cname,MATCH(A994,fa_num,0))&amp;"",""))</f>
        <v/>
      </c>
      <c r="N994" s="59" t="str">
        <f>IF(COUNTA(A994:G994)=0,"",IF(A994="","N° facture manquant",IF(ISNA(MATCH(A994,fa_num,0)),"Facture inconnue",IF(AND(B994&lt;&gt;"",ISNA(MATCH(B994,pr_code,0))),"Article inconnu",IF(H994="","Désignation manquante",IF(OR(NOT(ISNUMBER(D994)),N(D994)&lt;=0),"Quantité invalide",IF(J994="","Prix manquant",IF(OR(NOT(ISNUMBER(J994)),N(J994)&lt;0),"Prix invalide",IF(OR(AND(F994&lt;&gt;"",NOT(ISNUMBER(F994))),N(F994)&lt;0,N(F994)&gt;1),"Remise invalide",IF(K994="","Taux de TVA manquant",IF(NOT(ISNUMBER(K994)),"Taux de TVA invalide",IF(COUNTIF(p_rates,K994)=0,"Taux de TVA hors liste (Paramètres)",IF(N(O994)&gt;25,"Au-delà de 25 lignes : non imprimée","OK")))))))))))))</f>
        <v/>
      </c>
      <c r="O994" s="59" t="str">
        <f>IF(A994="","",COUNTIF($A$6:A994,A994))</f>
        <v/>
      </c>
      <c r="P994" s="62" t="str">
        <f>IF(A994="","",A994&amp;"|"&amp;O994)</f>
        <v/>
      </c>
    </row>
    <row r="995">
      <c r="A995" s="60" t="n"/>
      <c r="B995" s="63" t="n"/>
      <c r="C995" s="63" t="n"/>
      <c r="D995" s="67" t="n"/>
      <c r="E995" s="68" t="n"/>
      <c r="F995" s="69" t="n"/>
      <c r="G995" s="70" t="n"/>
      <c r="H995" s="62" t="str">
        <f>IF(COUNTA(A995:G995)=0,"",IF(C995&lt;&gt;"",C995,IF(B995="","",IFERROR(INDEX(pr_des,MATCH(B995,pr_code,0))&amp;"",""))))</f>
        <v/>
      </c>
      <c r="I995" s="59" t="str">
        <f>IF(B995="","",IFERROR(INDEX(pr_unit,MATCH(B995,pr_code,0))&amp;"",""))</f>
        <v/>
      </c>
      <c r="J995" s="65" t="str">
        <f>IF(COUNTA(A995:G995)=0,"",IF(E995&lt;&gt;"",E995,IF(B995="","",IFERROR(IF(INDEX(pr_price,MATCH(B995,pr_code,0))="","",INDEX(pr_price,MATCH(B995,pr_code,0))),""))))</f>
        <v/>
      </c>
      <c r="K995" s="71" t="str">
        <f>IF(COUNTA(A995:G995)=0,"",IF(G995&lt;&gt;"",G995,IF(B995="","",IFERROR(IF(INDEX(pr_rate,MATCH(B995,pr_code,0))="","",INDEX(pr_rate,MATCH(B995,pr_code,0))),""))))</f>
        <v/>
      </c>
      <c r="L995" s="65" t="str">
        <f>IF(COUNTA(A995:G995)=0,"",IF(AND(ISNUMBER(D995),ISNUMBER(J995)),ROUND(D995*J995*(1-N(F995)),2),0))</f>
        <v/>
      </c>
      <c r="M995" s="62" t="str">
        <f>IF(A995="","",IFERROR(INDEX(fa_cname,MATCH(A995,fa_num,0))&amp;"",""))</f>
        <v/>
      </c>
      <c r="N995" s="59" t="str">
        <f>IF(COUNTA(A995:G995)=0,"",IF(A995="","N° facture manquant",IF(ISNA(MATCH(A995,fa_num,0)),"Facture inconnue",IF(AND(B995&lt;&gt;"",ISNA(MATCH(B995,pr_code,0))),"Article inconnu",IF(H995="","Désignation manquante",IF(OR(NOT(ISNUMBER(D995)),N(D995)&lt;=0),"Quantité invalide",IF(J995="","Prix manquant",IF(OR(NOT(ISNUMBER(J995)),N(J995)&lt;0),"Prix invalide",IF(OR(AND(F995&lt;&gt;"",NOT(ISNUMBER(F995))),N(F995)&lt;0,N(F995)&gt;1),"Remise invalide",IF(K995="","Taux de TVA manquant",IF(NOT(ISNUMBER(K995)),"Taux de TVA invalide",IF(COUNTIF(p_rates,K995)=0,"Taux de TVA hors liste (Paramètres)",IF(N(O995)&gt;25,"Au-delà de 25 lignes : non imprimée","OK")))))))))))))</f>
        <v/>
      </c>
      <c r="O995" s="59" t="str">
        <f>IF(A995="","",COUNTIF($A$6:A995,A995))</f>
        <v/>
      </c>
      <c r="P995" s="62" t="str">
        <f>IF(A995="","",A995&amp;"|"&amp;O995)</f>
        <v/>
      </c>
    </row>
    <row r="996">
      <c r="A996" s="60" t="n"/>
      <c r="B996" s="63" t="n"/>
      <c r="C996" s="63" t="n"/>
      <c r="D996" s="67" t="n"/>
      <c r="E996" s="68" t="n"/>
      <c r="F996" s="69" t="n"/>
      <c r="G996" s="70" t="n"/>
      <c r="H996" s="62" t="str">
        <f>IF(COUNTA(A996:G996)=0,"",IF(C996&lt;&gt;"",C996,IF(B996="","",IFERROR(INDEX(pr_des,MATCH(B996,pr_code,0))&amp;"",""))))</f>
        <v/>
      </c>
      <c r="I996" s="59" t="str">
        <f>IF(B996="","",IFERROR(INDEX(pr_unit,MATCH(B996,pr_code,0))&amp;"",""))</f>
        <v/>
      </c>
      <c r="J996" s="65" t="str">
        <f>IF(COUNTA(A996:G996)=0,"",IF(E996&lt;&gt;"",E996,IF(B996="","",IFERROR(IF(INDEX(pr_price,MATCH(B996,pr_code,0))="","",INDEX(pr_price,MATCH(B996,pr_code,0))),""))))</f>
        <v/>
      </c>
      <c r="K996" s="71" t="str">
        <f>IF(COUNTA(A996:G996)=0,"",IF(G996&lt;&gt;"",G996,IF(B996="","",IFERROR(IF(INDEX(pr_rate,MATCH(B996,pr_code,0))="","",INDEX(pr_rate,MATCH(B996,pr_code,0))),""))))</f>
        <v/>
      </c>
      <c r="L996" s="65" t="str">
        <f>IF(COUNTA(A996:G996)=0,"",IF(AND(ISNUMBER(D996),ISNUMBER(J996)),ROUND(D996*J996*(1-N(F996)),2),0))</f>
        <v/>
      </c>
      <c r="M996" s="62" t="str">
        <f>IF(A996="","",IFERROR(INDEX(fa_cname,MATCH(A996,fa_num,0))&amp;"",""))</f>
        <v/>
      </c>
      <c r="N996" s="59" t="str">
        <f>IF(COUNTA(A996:G996)=0,"",IF(A996="","N° facture manquant",IF(ISNA(MATCH(A996,fa_num,0)),"Facture inconnue",IF(AND(B996&lt;&gt;"",ISNA(MATCH(B996,pr_code,0))),"Article inconnu",IF(H996="","Désignation manquante",IF(OR(NOT(ISNUMBER(D996)),N(D996)&lt;=0),"Quantité invalide",IF(J996="","Prix manquant",IF(OR(NOT(ISNUMBER(J996)),N(J996)&lt;0),"Prix invalide",IF(OR(AND(F996&lt;&gt;"",NOT(ISNUMBER(F996))),N(F996)&lt;0,N(F996)&gt;1),"Remise invalide",IF(K996="","Taux de TVA manquant",IF(NOT(ISNUMBER(K996)),"Taux de TVA invalide",IF(COUNTIF(p_rates,K996)=0,"Taux de TVA hors liste (Paramètres)",IF(N(O996)&gt;25,"Au-delà de 25 lignes : non imprimée","OK")))))))))))))</f>
        <v/>
      </c>
      <c r="O996" s="59" t="str">
        <f>IF(A996="","",COUNTIF($A$6:A996,A996))</f>
        <v/>
      </c>
      <c r="P996" s="62" t="str">
        <f>IF(A996="","",A996&amp;"|"&amp;O996)</f>
        <v/>
      </c>
    </row>
    <row r="997">
      <c r="A997" s="60" t="n"/>
      <c r="B997" s="63" t="n"/>
      <c r="C997" s="63" t="n"/>
      <c r="D997" s="67" t="n"/>
      <c r="E997" s="68" t="n"/>
      <c r="F997" s="69" t="n"/>
      <c r="G997" s="70" t="n"/>
      <c r="H997" s="62" t="str">
        <f>IF(COUNTA(A997:G997)=0,"",IF(C997&lt;&gt;"",C997,IF(B997="","",IFERROR(INDEX(pr_des,MATCH(B997,pr_code,0))&amp;"",""))))</f>
        <v/>
      </c>
      <c r="I997" s="59" t="str">
        <f>IF(B997="","",IFERROR(INDEX(pr_unit,MATCH(B997,pr_code,0))&amp;"",""))</f>
        <v/>
      </c>
      <c r="J997" s="65" t="str">
        <f>IF(COUNTA(A997:G997)=0,"",IF(E997&lt;&gt;"",E997,IF(B997="","",IFERROR(IF(INDEX(pr_price,MATCH(B997,pr_code,0))="","",INDEX(pr_price,MATCH(B997,pr_code,0))),""))))</f>
        <v/>
      </c>
      <c r="K997" s="71" t="str">
        <f>IF(COUNTA(A997:G997)=0,"",IF(G997&lt;&gt;"",G997,IF(B997="","",IFERROR(IF(INDEX(pr_rate,MATCH(B997,pr_code,0))="","",INDEX(pr_rate,MATCH(B997,pr_code,0))),""))))</f>
        <v/>
      </c>
      <c r="L997" s="65" t="str">
        <f>IF(COUNTA(A997:G997)=0,"",IF(AND(ISNUMBER(D997),ISNUMBER(J997)),ROUND(D997*J997*(1-N(F997)),2),0))</f>
        <v/>
      </c>
      <c r="M997" s="62" t="str">
        <f>IF(A997="","",IFERROR(INDEX(fa_cname,MATCH(A997,fa_num,0))&amp;"",""))</f>
        <v/>
      </c>
      <c r="N997" s="59" t="str">
        <f>IF(COUNTA(A997:G997)=0,"",IF(A997="","N° facture manquant",IF(ISNA(MATCH(A997,fa_num,0)),"Facture inconnue",IF(AND(B997&lt;&gt;"",ISNA(MATCH(B997,pr_code,0))),"Article inconnu",IF(H997="","Désignation manquante",IF(OR(NOT(ISNUMBER(D997)),N(D997)&lt;=0),"Quantité invalide",IF(J997="","Prix manquant",IF(OR(NOT(ISNUMBER(J997)),N(J997)&lt;0),"Prix invalide",IF(OR(AND(F997&lt;&gt;"",NOT(ISNUMBER(F997))),N(F997)&lt;0,N(F997)&gt;1),"Remise invalide",IF(K997="","Taux de TVA manquant",IF(NOT(ISNUMBER(K997)),"Taux de TVA invalide",IF(COUNTIF(p_rates,K997)=0,"Taux de TVA hors liste (Paramètres)",IF(N(O997)&gt;25,"Au-delà de 25 lignes : non imprimée","OK")))))))))))))</f>
        <v/>
      </c>
      <c r="O997" s="59" t="str">
        <f>IF(A997="","",COUNTIF($A$6:A997,A997))</f>
        <v/>
      </c>
      <c r="P997" s="62" t="str">
        <f>IF(A997="","",A997&amp;"|"&amp;O997)</f>
        <v/>
      </c>
    </row>
    <row r="998">
      <c r="A998" s="60" t="n"/>
      <c r="B998" s="63" t="n"/>
      <c r="C998" s="63" t="n"/>
      <c r="D998" s="67" t="n"/>
      <c r="E998" s="68" t="n"/>
      <c r="F998" s="69" t="n"/>
      <c r="G998" s="70" t="n"/>
      <c r="H998" s="62" t="str">
        <f>IF(COUNTA(A998:G998)=0,"",IF(C998&lt;&gt;"",C998,IF(B998="","",IFERROR(INDEX(pr_des,MATCH(B998,pr_code,0))&amp;"",""))))</f>
        <v/>
      </c>
      <c r="I998" s="59" t="str">
        <f>IF(B998="","",IFERROR(INDEX(pr_unit,MATCH(B998,pr_code,0))&amp;"",""))</f>
        <v/>
      </c>
      <c r="J998" s="65" t="str">
        <f>IF(COUNTA(A998:G998)=0,"",IF(E998&lt;&gt;"",E998,IF(B998="","",IFERROR(IF(INDEX(pr_price,MATCH(B998,pr_code,0))="","",INDEX(pr_price,MATCH(B998,pr_code,0))),""))))</f>
        <v/>
      </c>
      <c r="K998" s="71" t="str">
        <f>IF(COUNTA(A998:G998)=0,"",IF(G998&lt;&gt;"",G998,IF(B998="","",IFERROR(IF(INDEX(pr_rate,MATCH(B998,pr_code,0))="","",INDEX(pr_rate,MATCH(B998,pr_code,0))),""))))</f>
        <v/>
      </c>
      <c r="L998" s="65" t="str">
        <f>IF(COUNTA(A998:G998)=0,"",IF(AND(ISNUMBER(D998),ISNUMBER(J998)),ROUND(D998*J998*(1-N(F998)),2),0))</f>
        <v/>
      </c>
      <c r="M998" s="62" t="str">
        <f>IF(A998="","",IFERROR(INDEX(fa_cname,MATCH(A998,fa_num,0))&amp;"",""))</f>
        <v/>
      </c>
      <c r="N998" s="59" t="str">
        <f>IF(COUNTA(A998:G998)=0,"",IF(A998="","N° facture manquant",IF(ISNA(MATCH(A998,fa_num,0)),"Facture inconnue",IF(AND(B998&lt;&gt;"",ISNA(MATCH(B998,pr_code,0))),"Article inconnu",IF(H998="","Désignation manquante",IF(OR(NOT(ISNUMBER(D998)),N(D998)&lt;=0),"Quantité invalide",IF(J998="","Prix manquant",IF(OR(NOT(ISNUMBER(J998)),N(J998)&lt;0),"Prix invalide",IF(OR(AND(F998&lt;&gt;"",NOT(ISNUMBER(F998))),N(F998)&lt;0,N(F998)&gt;1),"Remise invalide",IF(K998="","Taux de TVA manquant",IF(NOT(ISNUMBER(K998)),"Taux de TVA invalide",IF(COUNTIF(p_rates,K998)=0,"Taux de TVA hors liste (Paramètres)",IF(N(O998)&gt;25,"Au-delà de 25 lignes : non imprimée","OK")))))))))))))</f>
        <v/>
      </c>
      <c r="O998" s="59" t="str">
        <f>IF(A998="","",COUNTIF($A$6:A998,A998))</f>
        <v/>
      </c>
      <c r="P998" s="62" t="str">
        <f>IF(A998="","",A998&amp;"|"&amp;O998)</f>
        <v/>
      </c>
    </row>
    <row r="999">
      <c r="A999" s="60" t="n"/>
      <c r="B999" s="63" t="n"/>
      <c r="C999" s="63" t="n"/>
      <c r="D999" s="67" t="n"/>
      <c r="E999" s="68" t="n"/>
      <c r="F999" s="69" t="n"/>
      <c r="G999" s="70" t="n"/>
      <c r="H999" s="62" t="str">
        <f>IF(COUNTA(A999:G999)=0,"",IF(C999&lt;&gt;"",C999,IF(B999="","",IFERROR(INDEX(pr_des,MATCH(B999,pr_code,0))&amp;"",""))))</f>
        <v/>
      </c>
      <c r="I999" s="59" t="str">
        <f>IF(B999="","",IFERROR(INDEX(pr_unit,MATCH(B999,pr_code,0))&amp;"",""))</f>
        <v/>
      </c>
      <c r="J999" s="65" t="str">
        <f>IF(COUNTA(A999:G999)=0,"",IF(E999&lt;&gt;"",E999,IF(B999="","",IFERROR(IF(INDEX(pr_price,MATCH(B999,pr_code,0))="","",INDEX(pr_price,MATCH(B999,pr_code,0))),""))))</f>
        <v/>
      </c>
      <c r="K999" s="71" t="str">
        <f>IF(COUNTA(A999:G999)=0,"",IF(G999&lt;&gt;"",G999,IF(B999="","",IFERROR(IF(INDEX(pr_rate,MATCH(B999,pr_code,0))="","",INDEX(pr_rate,MATCH(B999,pr_code,0))),""))))</f>
        <v/>
      </c>
      <c r="L999" s="65" t="str">
        <f>IF(COUNTA(A999:G999)=0,"",IF(AND(ISNUMBER(D999),ISNUMBER(J999)),ROUND(D999*J999*(1-N(F999)),2),0))</f>
        <v/>
      </c>
      <c r="M999" s="62" t="str">
        <f>IF(A999="","",IFERROR(INDEX(fa_cname,MATCH(A999,fa_num,0))&amp;"",""))</f>
        <v/>
      </c>
      <c r="N999" s="59" t="str">
        <f>IF(COUNTA(A999:G999)=0,"",IF(A999="","N° facture manquant",IF(ISNA(MATCH(A999,fa_num,0)),"Facture inconnue",IF(AND(B999&lt;&gt;"",ISNA(MATCH(B999,pr_code,0))),"Article inconnu",IF(H999="","Désignation manquante",IF(OR(NOT(ISNUMBER(D999)),N(D999)&lt;=0),"Quantité invalide",IF(J999="","Prix manquant",IF(OR(NOT(ISNUMBER(J999)),N(J999)&lt;0),"Prix invalide",IF(OR(AND(F999&lt;&gt;"",NOT(ISNUMBER(F999))),N(F999)&lt;0,N(F999)&gt;1),"Remise invalide",IF(K999="","Taux de TVA manquant",IF(NOT(ISNUMBER(K999)),"Taux de TVA invalide",IF(COUNTIF(p_rates,K999)=0,"Taux de TVA hors liste (Paramètres)",IF(N(O999)&gt;25,"Au-delà de 25 lignes : non imprimée","OK")))))))))))))</f>
        <v/>
      </c>
      <c r="O999" s="59" t="str">
        <f>IF(A999="","",COUNTIF($A$6:A999,A999))</f>
        <v/>
      </c>
      <c r="P999" s="62" t="str">
        <f>IF(A999="","",A999&amp;"|"&amp;O999)</f>
        <v/>
      </c>
    </row>
    <row r="1000">
      <c r="A1000" s="60" t="n"/>
      <c r="B1000" s="63" t="n"/>
      <c r="C1000" s="63" t="n"/>
      <c r="D1000" s="67" t="n"/>
      <c r="E1000" s="68" t="n"/>
      <c r="F1000" s="69" t="n"/>
      <c r="G1000" s="70" t="n"/>
      <c r="H1000" s="62" t="str">
        <f>IF(COUNTA(A1000:G1000)=0,"",IF(C1000&lt;&gt;"",C1000,IF(B1000="","",IFERROR(INDEX(pr_des,MATCH(B1000,pr_code,0))&amp;"",""))))</f>
        <v/>
      </c>
      <c r="I1000" s="59" t="str">
        <f>IF(B1000="","",IFERROR(INDEX(pr_unit,MATCH(B1000,pr_code,0))&amp;"",""))</f>
        <v/>
      </c>
      <c r="J1000" s="65" t="str">
        <f>IF(COUNTA(A1000:G1000)=0,"",IF(E1000&lt;&gt;"",E1000,IF(B1000="","",IFERROR(IF(INDEX(pr_price,MATCH(B1000,pr_code,0))="","",INDEX(pr_price,MATCH(B1000,pr_code,0))),""))))</f>
        <v/>
      </c>
      <c r="K1000" s="71" t="str">
        <f>IF(COUNTA(A1000:G1000)=0,"",IF(G1000&lt;&gt;"",G1000,IF(B1000="","",IFERROR(IF(INDEX(pr_rate,MATCH(B1000,pr_code,0))="","",INDEX(pr_rate,MATCH(B1000,pr_code,0))),""))))</f>
        <v/>
      </c>
      <c r="L1000" s="65" t="str">
        <f>IF(COUNTA(A1000:G1000)=0,"",IF(AND(ISNUMBER(D1000),ISNUMBER(J1000)),ROUND(D1000*J1000*(1-N(F1000)),2),0))</f>
        <v/>
      </c>
      <c r="M1000" s="62" t="str">
        <f>IF(A1000="","",IFERROR(INDEX(fa_cname,MATCH(A1000,fa_num,0))&amp;"",""))</f>
        <v/>
      </c>
      <c r="N1000" s="59" t="str">
        <f>IF(COUNTA(A1000:G1000)=0,"",IF(A1000="","N° facture manquant",IF(ISNA(MATCH(A1000,fa_num,0)),"Facture inconnue",IF(AND(B1000&lt;&gt;"",ISNA(MATCH(B1000,pr_code,0))),"Article inconnu",IF(H1000="","Désignation manquante",IF(OR(NOT(ISNUMBER(D1000)),N(D1000)&lt;=0),"Quantité invalide",IF(J1000="","Prix manquant",IF(OR(NOT(ISNUMBER(J1000)),N(J1000)&lt;0),"Prix invalide",IF(OR(AND(F1000&lt;&gt;"",NOT(ISNUMBER(F1000))),N(F1000)&lt;0,N(F1000)&gt;1),"Remise invalide",IF(K1000="","Taux de TVA manquant",IF(NOT(ISNUMBER(K1000)),"Taux de TVA invalide",IF(COUNTIF(p_rates,K1000)=0,"Taux de TVA hors liste (Paramètres)",IF(N(O1000)&gt;25,"Au-delà de 25 lignes : non imprimée","OK")))))))))))))</f>
        <v/>
      </c>
      <c r="O1000" s="59" t="str">
        <f>IF(A1000="","",COUNTIF($A$6:A1000,A1000))</f>
        <v/>
      </c>
      <c r="P1000" s="62" t="str">
        <f>IF(A1000="","",A1000&amp;"|"&amp;O1000)</f>
        <v/>
      </c>
    </row>
    <row r="1001">
      <c r="A1001" s="60" t="n"/>
      <c r="B1001" s="63" t="n"/>
      <c r="C1001" s="63" t="n"/>
      <c r="D1001" s="67" t="n"/>
      <c r="E1001" s="68" t="n"/>
      <c r="F1001" s="69" t="n"/>
      <c r="G1001" s="70" t="n"/>
      <c r="H1001" s="62" t="str">
        <f>IF(COUNTA(A1001:G1001)=0,"",IF(C1001&lt;&gt;"",C1001,IF(B1001="","",IFERROR(INDEX(pr_des,MATCH(B1001,pr_code,0))&amp;"",""))))</f>
        <v/>
      </c>
      <c r="I1001" s="59" t="str">
        <f>IF(B1001="","",IFERROR(INDEX(pr_unit,MATCH(B1001,pr_code,0))&amp;"",""))</f>
        <v/>
      </c>
      <c r="J1001" s="65" t="str">
        <f>IF(COUNTA(A1001:G1001)=0,"",IF(E1001&lt;&gt;"",E1001,IF(B1001="","",IFERROR(IF(INDEX(pr_price,MATCH(B1001,pr_code,0))="","",INDEX(pr_price,MATCH(B1001,pr_code,0))),""))))</f>
        <v/>
      </c>
      <c r="K1001" s="71" t="str">
        <f>IF(COUNTA(A1001:G1001)=0,"",IF(G1001&lt;&gt;"",G1001,IF(B1001="","",IFERROR(IF(INDEX(pr_rate,MATCH(B1001,pr_code,0))="","",INDEX(pr_rate,MATCH(B1001,pr_code,0))),""))))</f>
        <v/>
      </c>
      <c r="L1001" s="65" t="str">
        <f>IF(COUNTA(A1001:G1001)=0,"",IF(AND(ISNUMBER(D1001),ISNUMBER(J1001)),ROUND(D1001*J1001*(1-N(F1001)),2),0))</f>
        <v/>
      </c>
      <c r="M1001" s="62" t="str">
        <f>IF(A1001="","",IFERROR(INDEX(fa_cname,MATCH(A1001,fa_num,0))&amp;"",""))</f>
        <v/>
      </c>
      <c r="N1001" s="59" t="str">
        <f>IF(COUNTA(A1001:G1001)=0,"",IF(A1001="","N° facture manquant",IF(ISNA(MATCH(A1001,fa_num,0)),"Facture inconnue",IF(AND(B1001&lt;&gt;"",ISNA(MATCH(B1001,pr_code,0))),"Article inconnu",IF(H1001="","Désignation manquante",IF(OR(NOT(ISNUMBER(D1001)),N(D1001)&lt;=0),"Quantité invalide",IF(J1001="","Prix manquant",IF(OR(NOT(ISNUMBER(J1001)),N(J1001)&lt;0),"Prix invalide",IF(OR(AND(F1001&lt;&gt;"",NOT(ISNUMBER(F1001))),N(F1001)&lt;0,N(F1001)&gt;1),"Remise invalide",IF(K1001="","Taux de TVA manquant",IF(NOT(ISNUMBER(K1001)),"Taux de TVA invalide",IF(COUNTIF(p_rates,K1001)=0,"Taux de TVA hors liste (Paramètres)",IF(N(O1001)&gt;25,"Au-delà de 25 lignes : non imprimée","OK")))))))))))))</f>
        <v/>
      </c>
      <c r="O1001" s="59" t="str">
        <f>IF(A1001="","",COUNTIF($A$6:A1001,A1001))</f>
        <v/>
      </c>
      <c r="P1001" s="62" t="str">
        <f>IF(A1001="","",A1001&amp;"|"&amp;O1001)</f>
        <v/>
      </c>
    </row>
    <row r="1002">
      <c r="A1002" s="60" t="n"/>
      <c r="B1002" s="63" t="n"/>
      <c r="C1002" s="63" t="n"/>
      <c r="D1002" s="67" t="n"/>
      <c r="E1002" s="68" t="n"/>
      <c r="F1002" s="69" t="n"/>
      <c r="G1002" s="70" t="n"/>
      <c r="H1002" s="62" t="str">
        <f>IF(COUNTA(A1002:G1002)=0,"",IF(C1002&lt;&gt;"",C1002,IF(B1002="","",IFERROR(INDEX(pr_des,MATCH(B1002,pr_code,0))&amp;"",""))))</f>
        <v/>
      </c>
      <c r="I1002" s="59" t="str">
        <f>IF(B1002="","",IFERROR(INDEX(pr_unit,MATCH(B1002,pr_code,0))&amp;"",""))</f>
        <v/>
      </c>
      <c r="J1002" s="65" t="str">
        <f>IF(COUNTA(A1002:G1002)=0,"",IF(E1002&lt;&gt;"",E1002,IF(B1002="","",IFERROR(IF(INDEX(pr_price,MATCH(B1002,pr_code,0))="","",INDEX(pr_price,MATCH(B1002,pr_code,0))),""))))</f>
        <v/>
      </c>
      <c r="K1002" s="71" t="str">
        <f>IF(COUNTA(A1002:G1002)=0,"",IF(G1002&lt;&gt;"",G1002,IF(B1002="","",IFERROR(IF(INDEX(pr_rate,MATCH(B1002,pr_code,0))="","",INDEX(pr_rate,MATCH(B1002,pr_code,0))),""))))</f>
        <v/>
      </c>
      <c r="L1002" s="65" t="str">
        <f>IF(COUNTA(A1002:G1002)=0,"",IF(AND(ISNUMBER(D1002),ISNUMBER(J1002)),ROUND(D1002*J1002*(1-N(F1002)),2),0))</f>
        <v/>
      </c>
      <c r="M1002" s="62" t="str">
        <f>IF(A1002="","",IFERROR(INDEX(fa_cname,MATCH(A1002,fa_num,0))&amp;"",""))</f>
        <v/>
      </c>
      <c r="N1002" s="59" t="str">
        <f>IF(COUNTA(A1002:G1002)=0,"",IF(A1002="","N° facture manquant",IF(ISNA(MATCH(A1002,fa_num,0)),"Facture inconnue",IF(AND(B1002&lt;&gt;"",ISNA(MATCH(B1002,pr_code,0))),"Article inconnu",IF(H1002="","Désignation manquante",IF(OR(NOT(ISNUMBER(D1002)),N(D1002)&lt;=0),"Quantité invalide",IF(J1002="","Prix manquant",IF(OR(NOT(ISNUMBER(J1002)),N(J1002)&lt;0),"Prix invalide",IF(OR(AND(F1002&lt;&gt;"",NOT(ISNUMBER(F1002))),N(F1002)&lt;0,N(F1002)&gt;1),"Remise invalide",IF(K1002="","Taux de TVA manquant",IF(NOT(ISNUMBER(K1002)),"Taux de TVA invalide",IF(COUNTIF(p_rates,K1002)=0,"Taux de TVA hors liste (Paramètres)",IF(N(O1002)&gt;25,"Au-delà de 25 lignes : non imprimée","OK")))))))))))))</f>
        <v/>
      </c>
      <c r="O1002" s="59" t="str">
        <f>IF(A1002="","",COUNTIF($A$6:A1002,A1002))</f>
        <v/>
      </c>
      <c r="P1002" s="62" t="str">
        <f>IF(A1002="","",A1002&amp;"|"&amp;O1002)</f>
        <v/>
      </c>
    </row>
    <row r="1003">
      <c r="A1003" s="60" t="n"/>
      <c r="B1003" s="63" t="n"/>
      <c r="C1003" s="63" t="n"/>
      <c r="D1003" s="67" t="n"/>
      <c r="E1003" s="68" t="n"/>
      <c r="F1003" s="69" t="n"/>
      <c r="G1003" s="70" t="n"/>
      <c r="H1003" s="62" t="str">
        <f>IF(COUNTA(A1003:G1003)=0,"",IF(C1003&lt;&gt;"",C1003,IF(B1003="","",IFERROR(INDEX(pr_des,MATCH(B1003,pr_code,0))&amp;"",""))))</f>
        <v/>
      </c>
      <c r="I1003" s="59" t="str">
        <f>IF(B1003="","",IFERROR(INDEX(pr_unit,MATCH(B1003,pr_code,0))&amp;"",""))</f>
        <v/>
      </c>
      <c r="J1003" s="65" t="str">
        <f>IF(COUNTA(A1003:G1003)=0,"",IF(E1003&lt;&gt;"",E1003,IF(B1003="","",IFERROR(IF(INDEX(pr_price,MATCH(B1003,pr_code,0))="","",INDEX(pr_price,MATCH(B1003,pr_code,0))),""))))</f>
        <v/>
      </c>
      <c r="K1003" s="71" t="str">
        <f>IF(COUNTA(A1003:G1003)=0,"",IF(G1003&lt;&gt;"",G1003,IF(B1003="","",IFERROR(IF(INDEX(pr_rate,MATCH(B1003,pr_code,0))="","",INDEX(pr_rate,MATCH(B1003,pr_code,0))),""))))</f>
        <v/>
      </c>
      <c r="L1003" s="65" t="str">
        <f>IF(COUNTA(A1003:G1003)=0,"",IF(AND(ISNUMBER(D1003),ISNUMBER(J1003)),ROUND(D1003*J1003*(1-N(F1003)),2),0))</f>
        <v/>
      </c>
      <c r="M1003" s="62" t="str">
        <f>IF(A1003="","",IFERROR(INDEX(fa_cname,MATCH(A1003,fa_num,0))&amp;"",""))</f>
        <v/>
      </c>
      <c r="N1003" s="59" t="str">
        <f>IF(COUNTA(A1003:G1003)=0,"",IF(A1003="","N° facture manquant",IF(ISNA(MATCH(A1003,fa_num,0)),"Facture inconnue",IF(AND(B1003&lt;&gt;"",ISNA(MATCH(B1003,pr_code,0))),"Article inconnu",IF(H1003="","Désignation manquante",IF(OR(NOT(ISNUMBER(D1003)),N(D1003)&lt;=0),"Quantité invalide",IF(J1003="","Prix manquant",IF(OR(NOT(ISNUMBER(J1003)),N(J1003)&lt;0),"Prix invalide",IF(OR(AND(F1003&lt;&gt;"",NOT(ISNUMBER(F1003))),N(F1003)&lt;0,N(F1003)&gt;1),"Remise invalide",IF(K1003="","Taux de TVA manquant",IF(NOT(ISNUMBER(K1003)),"Taux de TVA invalide",IF(COUNTIF(p_rates,K1003)=0,"Taux de TVA hors liste (Paramètres)",IF(N(O1003)&gt;25,"Au-delà de 25 lignes : non imprimée","OK")))))))))))))</f>
        <v/>
      </c>
      <c r="O1003" s="59" t="str">
        <f>IF(A1003="","",COUNTIF($A$6:A1003,A1003))</f>
        <v/>
      </c>
      <c r="P1003" s="62" t="str">
        <f>IF(A1003="","",A1003&amp;"|"&amp;O1003)</f>
        <v/>
      </c>
    </row>
    <row r="1004">
      <c r="A1004" s="60" t="n"/>
      <c r="B1004" s="63" t="n"/>
      <c r="C1004" s="63" t="n"/>
      <c r="D1004" s="67" t="n"/>
      <c r="E1004" s="68" t="n"/>
      <c r="F1004" s="69" t="n"/>
      <c r="G1004" s="70" t="n"/>
      <c r="H1004" s="62" t="str">
        <f>IF(COUNTA(A1004:G1004)=0,"",IF(C1004&lt;&gt;"",C1004,IF(B1004="","",IFERROR(INDEX(pr_des,MATCH(B1004,pr_code,0))&amp;"",""))))</f>
        <v/>
      </c>
      <c r="I1004" s="59" t="str">
        <f>IF(B1004="","",IFERROR(INDEX(pr_unit,MATCH(B1004,pr_code,0))&amp;"",""))</f>
        <v/>
      </c>
      <c r="J1004" s="65" t="str">
        <f>IF(COUNTA(A1004:G1004)=0,"",IF(E1004&lt;&gt;"",E1004,IF(B1004="","",IFERROR(IF(INDEX(pr_price,MATCH(B1004,pr_code,0))="","",INDEX(pr_price,MATCH(B1004,pr_code,0))),""))))</f>
        <v/>
      </c>
      <c r="K1004" s="71" t="str">
        <f>IF(COUNTA(A1004:G1004)=0,"",IF(G1004&lt;&gt;"",G1004,IF(B1004="","",IFERROR(IF(INDEX(pr_rate,MATCH(B1004,pr_code,0))="","",INDEX(pr_rate,MATCH(B1004,pr_code,0))),""))))</f>
        <v/>
      </c>
      <c r="L1004" s="65" t="str">
        <f>IF(COUNTA(A1004:G1004)=0,"",IF(AND(ISNUMBER(D1004),ISNUMBER(J1004)),ROUND(D1004*J1004*(1-N(F1004)),2),0))</f>
        <v/>
      </c>
      <c r="M1004" s="62" t="str">
        <f>IF(A1004="","",IFERROR(INDEX(fa_cname,MATCH(A1004,fa_num,0))&amp;"",""))</f>
        <v/>
      </c>
      <c r="N1004" s="59" t="str">
        <f>IF(COUNTA(A1004:G1004)=0,"",IF(A1004="","N° facture manquant",IF(ISNA(MATCH(A1004,fa_num,0)),"Facture inconnue",IF(AND(B1004&lt;&gt;"",ISNA(MATCH(B1004,pr_code,0))),"Article inconnu",IF(H1004="","Désignation manquante",IF(OR(NOT(ISNUMBER(D1004)),N(D1004)&lt;=0),"Quantité invalide",IF(J1004="","Prix manquant",IF(OR(NOT(ISNUMBER(J1004)),N(J1004)&lt;0),"Prix invalide",IF(OR(AND(F1004&lt;&gt;"",NOT(ISNUMBER(F1004))),N(F1004)&lt;0,N(F1004)&gt;1),"Remise invalide",IF(K1004="","Taux de TVA manquant",IF(NOT(ISNUMBER(K1004)),"Taux de TVA invalide",IF(COUNTIF(p_rates,K1004)=0,"Taux de TVA hors liste (Paramètres)",IF(N(O1004)&gt;25,"Au-delà de 25 lignes : non imprimée","OK")))))))))))))</f>
        <v/>
      </c>
      <c r="O1004" s="59" t="str">
        <f>IF(A1004="","",COUNTIF($A$6:A1004,A1004))</f>
        <v/>
      </c>
      <c r="P1004" s="62" t="str">
        <f>IF(A1004="","",A1004&amp;"|"&amp;O1004)</f>
        <v/>
      </c>
    </row>
    <row r="1005">
      <c r="A1005" s="60" t="n"/>
      <c r="B1005" s="63" t="n"/>
      <c r="C1005" s="63" t="n"/>
      <c r="D1005" s="67" t="n"/>
      <c r="E1005" s="68" t="n"/>
      <c r="F1005" s="69" t="n"/>
      <c r="G1005" s="70" t="n"/>
      <c r="H1005" s="62" t="str">
        <f>IF(COUNTA(A1005:G1005)=0,"",IF(C1005&lt;&gt;"",C1005,IF(B1005="","",IFERROR(INDEX(pr_des,MATCH(B1005,pr_code,0))&amp;"",""))))</f>
        <v/>
      </c>
      <c r="I1005" s="59" t="str">
        <f>IF(B1005="","",IFERROR(INDEX(pr_unit,MATCH(B1005,pr_code,0))&amp;"",""))</f>
        <v/>
      </c>
      <c r="J1005" s="65" t="str">
        <f>IF(COUNTA(A1005:G1005)=0,"",IF(E1005&lt;&gt;"",E1005,IF(B1005="","",IFERROR(IF(INDEX(pr_price,MATCH(B1005,pr_code,0))="","",INDEX(pr_price,MATCH(B1005,pr_code,0))),""))))</f>
        <v/>
      </c>
      <c r="K1005" s="71" t="str">
        <f>IF(COUNTA(A1005:G1005)=0,"",IF(G1005&lt;&gt;"",G1005,IF(B1005="","",IFERROR(IF(INDEX(pr_rate,MATCH(B1005,pr_code,0))="","",INDEX(pr_rate,MATCH(B1005,pr_code,0))),""))))</f>
        <v/>
      </c>
      <c r="L1005" s="65" t="str">
        <f>IF(COUNTA(A1005:G1005)=0,"",IF(AND(ISNUMBER(D1005),ISNUMBER(J1005)),ROUND(D1005*J1005*(1-N(F1005)),2),0))</f>
        <v/>
      </c>
      <c r="M1005" s="62" t="str">
        <f>IF(A1005="","",IFERROR(INDEX(fa_cname,MATCH(A1005,fa_num,0))&amp;"",""))</f>
        <v/>
      </c>
      <c r="N1005" s="59" t="str">
        <f>IF(COUNTA(A1005:G1005)=0,"",IF(A1005="","N° facture manquant",IF(ISNA(MATCH(A1005,fa_num,0)),"Facture inconnue",IF(AND(B1005&lt;&gt;"",ISNA(MATCH(B1005,pr_code,0))),"Article inconnu",IF(H1005="","Désignation manquante",IF(OR(NOT(ISNUMBER(D1005)),N(D1005)&lt;=0),"Quantité invalide",IF(J1005="","Prix manquant",IF(OR(NOT(ISNUMBER(J1005)),N(J1005)&lt;0),"Prix invalide",IF(OR(AND(F1005&lt;&gt;"",NOT(ISNUMBER(F1005))),N(F1005)&lt;0,N(F1005)&gt;1),"Remise invalide",IF(K1005="","Taux de TVA manquant",IF(NOT(ISNUMBER(K1005)),"Taux de TVA invalide",IF(COUNTIF(p_rates,K1005)=0,"Taux de TVA hors liste (Paramètres)",IF(N(O1005)&gt;25,"Au-delà de 25 lignes : non imprimée","OK")))))))))))))</f>
        <v/>
      </c>
      <c r="O1005" s="59" t="str">
        <f>IF(A1005="","",COUNTIF($A$6:A1005,A1005))</f>
        <v/>
      </c>
      <c r="P1005" s="62" t="str">
        <f>IF(A1005="","",A1005&amp;"|"&amp;O1005)</f>
        <v/>
      </c>
    </row>
    <row r="1006">
      <c r="A1006" s="60" t="n"/>
      <c r="B1006" s="63" t="n"/>
      <c r="C1006" s="63" t="n"/>
      <c r="D1006" s="67" t="n"/>
      <c r="E1006" s="68" t="n"/>
      <c r="F1006" s="69" t="n"/>
      <c r="G1006" s="70" t="n"/>
      <c r="H1006" s="62" t="str">
        <f>IF(COUNTA(A1006:G1006)=0,"",IF(C1006&lt;&gt;"",C1006,IF(B1006="","",IFERROR(INDEX(pr_des,MATCH(B1006,pr_code,0))&amp;"",""))))</f>
        <v/>
      </c>
      <c r="I1006" s="59" t="str">
        <f>IF(B1006="","",IFERROR(INDEX(pr_unit,MATCH(B1006,pr_code,0))&amp;"",""))</f>
        <v/>
      </c>
      <c r="J1006" s="65" t="str">
        <f>IF(COUNTA(A1006:G1006)=0,"",IF(E1006&lt;&gt;"",E1006,IF(B1006="","",IFERROR(IF(INDEX(pr_price,MATCH(B1006,pr_code,0))="","",INDEX(pr_price,MATCH(B1006,pr_code,0))),""))))</f>
        <v/>
      </c>
      <c r="K1006" s="71" t="str">
        <f>IF(COUNTA(A1006:G1006)=0,"",IF(G1006&lt;&gt;"",G1006,IF(B1006="","",IFERROR(IF(INDEX(pr_rate,MATCH(B1006,pr_code,0))="","",INDEX(pr_rate,MATCH(B1006,pr_code,0))),""))))</f>
        <v/>
      </c>
      <c r="L1006" s="65" t="str">
        <f>IF(COUNTA(A1006:G1006)=0,"",IF(AND(ISNUMBER(D1006),ISNUMBER(J1006)),ROUND(D1006*J1006*(1-N(F1006)),2),0))</f>
        <v/>
      </c>
      <c r="M1006" s="62" t="str">
        <f>IF(A1006="","",IFERROR(INDEX(fa_cname,MATCH(A1006,fa_num,0))&amp;"",""))</f>
        <v/>
      </c>
      <c r="N1006" s="59" t="str">
        <f>IF(COUNTA(A1006:G1006)=0,"",IF(A1006="","N° facture manquant",IF(ISNA(MATCH(A1006,fa_num,0)),"Facture inconnue",IF(AND(B1006&lt;&gt;"",ISNA(MATCH(B1006,pr_code,0))),"Article inconnu",IF(H1006="","Désignation manquante",IF(OR(NOT(ISNUMBER(D1006)),N(D1006)&lt;=0),"Quantité invalide",IF(J1006="","Prix manquant",IF(OR(NOT(ISNUMBER(J1006)),N(J1006)&lt;0),"Prix invalide",IF(OR(AND(F1006&lt;&gt;"",NOT(ISNUMBER(F1006))),N(F1006)&lt;0,N(F1006)&gt;1),"Remise invalide",IF(K1006="","Taux de TVA manquant",IF(NOT(ISNUMBER(K1006)),"Taux de TVA invalide",IF(COUNTIF(p_rates,K1006)=0,"Taux de TVA hors liste (Paramètres)",IF(N(O1006)&gt;25,"Au-delà de 25 lignes : non imprimée","OK")))))))))))))</f>
        <v/>
      </c>
      <c r="O1006" s="59" t="str">
        <f>IF(A1006="","",COUNTIF($A$6:A1006,A1006))</f>
        <v/>
      </c>
      <c r="P1006" s="62" t="str">
        <f>IF(A1006="","",A1006&amp;"|"&amp;O1006)</f>
        <v/>
      </c>
    </row>
    <row r="1007">
      <c r="A1007" s="60" t="n"/>
      <c r="B1007" s="63" t="n"/>
      <c r="C1007" s="63" t="n"/>
      <c r="D1007" s="67" t="n"/>
      <c r="E1007" s="68" t="n"/>
      <c r="F1007" s="69" t="n"/>
      <c r="G1007" s="70" t="n"/>
      <c r="H1007" s="62" t="str">
        <f>IF(COUNTA(A1007:G1007)=0,"",IF(C1007&lt;&gt;"",C1007,IF(B1007="","",IFERROR(INDEX(pr_des,MATCH(B1007,pr_code,0))&amp;"",""))))</f>
        <v/>
      </c>
      <c r="I1007" s="59" t="str">
        <f>IF(B1007="","",IFERROR(INDEX(pr_unit,MATCH(B1007,pr_code,0))&amp;"",""))</f>
        <v/>
      </c>
      <c r="J1007" s="65" t="str">
        <f>IF(COUNTA(A1007:G1007)=0,"",IF(E1007&lt;&gt;"",E1007,IF(B1007="","",IFERROR(IF(INDEX(pr_price,MATCH(B1007,pr_code,0))="","",INDEX(pr_price,MATCH(B1007,pr_code,0))),""))))</f>
        <v/>
      </c>
      <c r="K1007" s="71" t="str">
        <f>IF(COUNTA(A1007:G1007)=0,"",IF(G1007&lt;&gt;"",G1007,IF(B1007="","",IFERROR(IF(INDEX(pr_rate,MATCH(B1007,pr_code,0))="","",INDEX(pr_rate,MATCH(B1007,pr_code,0))),""))))</f>
        <v/>
      </c>
      <c r="L1007" s="65" t="str">
        <f>IF(COUNTA(A1007:G1007)=0,"",IF(AND(ISNUMBER(D1007),ISNUMBER(J1007)),ROUND(D1007*J1007*(1-N(F1007)),2),0))</f>
        <v/>
      </c>
      <c r="M1007" s="62" t="str">
        <f>IF(A1007="","",IFERROR(INDEX(fa_cname,MATCH(A1007,fa_num,0))&amp;"",""))</f>
        <v/>
      </c>
      <c r="N1007" s="59" t="str">
        <f>IF(COUNTA(A1007:G1007)=0,"",IF(A1007="","N° facture manquant",IF(ISNA(MATCH(A1007,fa_num,0)),"Facture inconnue",IF(AND(B1007&lt;&gt;"",ISNA(MATCH(B1007,pr_code,0))),"Article inconnu",IF(H1007="","Désignation manquante",IF(OR(NOT(ISNUMBER(D1007)),N(D1007)&lt;=0),"Quantité invalide",IF(J1007="","Prix manquant",IF(OR(NOT(ISNUMBER(J1007)),N(J1007)&lt;0),"Prix invalide",IF(OR(AND(F1007&lt;&gt;"",NOT(ISNUMBER(F1007))),N(F1007)&lt;0,N(F1007)&gt;1),"Remise invalide",IF(K1007="","Taux de TVA manquant",IF(NOT(ISNUMBER(K1007)),"Taux de TVA invalide",IF(COUNTIF(p_rates,K1007)=0,"Taux de TVA hors liste (Paramètres)",IF(N(O1007)&gt;25,"Au-delà de 25 lignes : non imprimée","OK")))))))))))))</f>
        <v/>
      </c>
      <c r="O1007" s="59" t="str">
        <f>IF(A1007="","",COUNTIF($A$6:A1007,A1007))</f>
        <v/>
      </c>
      <c r="P1007" s="62" t="str">
        <f>IF(A1007="","",A1007&amp;"|"&amp;O1007)</f>
        <v/>
      </c>
    </row>
    <row r="1008">
      <c r="A1008" s="60" t="n"/>
      <c r="B1008" s="63" t="n"/>
      <c r="C1008" s="63" t="n"/>
      <c r="D1008" s="67" t="n"/>
      <c r="E1008" s="68" t="n"/>
      <c r="F1008" s="69" t="n"/>
      <c r="G1008" s="70" t="n"/>
      <c r="H1008" s="62" t="str">
        <f>IF(COUNTA(A1008:G1008)=0,"",IF(C1008&lt;&gt;"",C1008,IF(B1008="","",IFERROR(INDEX(pr_des,MATCH(B1008,pr_code,0))&amp;"",""))))</f>
        <v/>
      </c>
      <c r="I1008" s="59" t="str">
        <f>IF(B1008="","",IFERROR(INDEX(pr_unit,MATCH(B1008,pr_code,0))&amp;"",""))</f>
        <v/>
      </c>
      <c r="J1008" s="65" t="str">
        <f>IF(COUNTA(A1008:G1008)=0,"",IF(E1008&lt;&gt;"",E1008,IF(B1008="","",IFERROR(IF(INDEX(pr_price,MATCH(B1008,pr_code,0))="","",INDEX(pr_price,MATCH(B1008,pr_code,0))),""))))</f>
        <v/>
      </c>
      <c r="K1008" s="71" t="str">
        <f>IF(COUNTA(A1008:G1008)=0,"",IF(G1008&lt;&gt;"",G1008,IF(B1008="","",IFERROR(IF(INDEX(pr_rate,MATCH(B1008,pr_code,0))="","",INDEX(pr_rate,MATCH(B1008,pr_code,0))),""))))</f>
        <v/>
      </c>
      <c r="L1008" s="65" t="str">
        <f>IF(COUNTA(A1008:G1008)=0,"",IF(AND(ISNUMBER(D1008),ISNUMBER(J1008)),ROUND(D1008*J1008*(1-N(F1008)),2),0))</f>
        <v/>
      </c>
      <c r="M1008" s="62" t="str">
        <f>IF(A1008="","",IFERROR(INDEX(fa_cname,MATCH(A1008,fa_num,0))&amp;"",""))</f>
        <v/>
      </c>
      <c r="N1008" s="59" t="str">
        <f>IF(COUNTA(A1008:G1008)=0,"",IF(A1008="","N° facture manquant",IF(ISNA(MATCH(A1008,fa_num,0)),"Facture inconnue",IF(AND(B1008&lt;&gt;"",ISNA(MATCH(B1008,pr_code,0))),"Article inconnu",IF(H1008="","Désignation manquante",IF(OR(NOT(ISNUMBER(D1008)),N(D1008)&lt;=0),"Quantité invalide",IF(J1008="","Prix manquant",IF(OR(NOT(ISNUMBER(J1008)),N(J1008)&lt;0),"Prix invalide",IF(OR(AND(F1008&lt;&gt;"",NOT(ISNUMBER(F1008))),N(F1008)&lt;0,N(F1008)&gt;1),"Remise invalide",IF(K1008="","Taux de TVA manquant",IF(NOT(ISNUMBER(K1008)),"Taux de TVA invalide",IF(COUNTIF(p_rates,K1008)=0,"Taux de TVA hors liste (Paramètres)",IF(N(O1008)&gt;25,"Au-delà de 25 lignes : non imprimée","OK")))))))))))))</f>
        <v/>
      </c>
      <c r="O1008" s="59" t="str">
        <f>IF(A1008="","",COUNTIF($A$6:A1008,A1008))</f>
        <v/>
      </c>
      <c r="P1008" s="62" t="str">
        <f>IF(A1008="","",A1008&amp;"|"&amp;O1008)</f>
        <v/>
      </c>
    </row>
    <row r="1009">
      <c r="A1009" s="60" t="n"/>
      <c r="B1009" s="63" t="n"/>
      <c r="C1009" s="63" t="n"/>
      <c r="D1009" s="67" t="n"/>
      <c r="E1009" s="68" t="n"/>
      <c r="F1009" s="69" t="n"/>
      <c r="G1009" s="70" t="n"/>
      <c r="H1009" s="62" t="str">
        <f>IF(COUNTA(A1009:G1009)=0,"",IF(C1009&lt;&gt;"",C1009,IF(B1009="","",IFERROR(INDEX(pr_des,MATCH(B1009,pr_code,0))&amp;"",""))))</f>
        <v/>
      </c>
      <c r="I1009" s="59" t="str">
        <f>IF(B1009="","",IFERROR(INDEX(pr_unit,MATCH(B1009,pr_code,0))&amp;"",""))</f>
        <v/>
      </c>
      <c r="J1009" s="65" t="str">
        <f>IF(COUNTA(A1009:G1009)=0,"",IF(E1009&lt;&gt;"",E1009,IF(B1009="","",IFERROR(IF(INDEX(pr_price,MATCH(B1009,pr_code,0))="","",INDEX(pr_price,MATCH(B1009,pr_code,0))),""))))</f>
        <v/>
      </c>
      <c r="K1009" s="71" t="str">
        <f>IF(COUNTA(A1009:G1009)=0,"",IF(G1009&lt;&gt;"",G1009,IF(B1009="","",IFERROR(IF(INDEX(pr_rate,MATCH(B1009,pr_code,0))="","",INDEX(pr_rate,MATCH(B1009,pr_code,0))),""))))</f>
        <v/>
      </c>
      <c r="L1009" s="65" t="str">
        <f>IF(COUNTA(A1009:G1009)=0,"",IF(AND(ISNUMBER(D1009),ISNUMBER(J1009)),ROUND(D1009*J1009*(1-N(F1009)),2),0))</f>
        <v/>
      </c>
      <c r="M1009" s="62" t="str">
        <f>IF(A1009="","",IFERROR(INDEX(fa_cname,MATCH(A1009,fa_num,0))&amp;"",""))</f>
        <v/>
      </c>
      <c r="N1009" s="59" t="str">
        <f>IF(COUNTA(A1009:G1009)=0,"",IF(A1009="","N° facture manquant",IF(ISNA(MATCH(A1009,fa_num,0)),"Facture inconnue",IF(AND(B1009&lt;&gt;"",ISNA(MATCH(B1009,pr_code,0))),"Article inconnu",IF(H1009="","Désignation manquante",IF(OR(NOT(ISNUMBER(D1009)),N(D1009)&lt;=0),"Quantité invalide",IF(J1009="","Prix manquant",IF(OR(NOT(ISNUMBER(J1009)),N(J1009)&lt;0),"Prix invalide",IF(OR(AND(F1009&lt;&gt;"",NOT(ISNUMBER(F1009))),N(F1009)&lt;0,N(F1009)&gt;1),"Remise invalide",IF(K1009="","Taux de TVA manquant",IF(NOT(ISNUMBER(K1009)),"Taux de TVA invalide",IF(COUNTIF(p_rates,K1009)=0,"Taux de TVA hors liste (Paramètres)",IF(N(O1009)&gt;25,"Au-delà de 25 lignes : non imprimée","OK")))))))))))))</f>
        <v/>
      </c>
      <c r="O1009" s="59" t="str">
        <f>IF(A1009="","",COUNTIF($A$6:A1009,A1009))</f>
        <v/>
      </c>
      <c r="P1009" s="62" t="str">
        <f>IF(A1009="","",A1009&amp;"|"&amp;O1009)</f>
        <v/>
      </c>
    </row>
    <row r="1010">
      <c r="A1010" s="60" t="n"/>
      <c r="B1010" s="63" t="n"/>
      <c r="C1010" s="63" t="n"/>
      <c r="D1010" s="67" t="n"/>
      <c r="E1010" s="68" t="n"/>
      <c r="F1010" s="69" t="n"/>
      <c r="G1010" s="70" t="n"/>
      <c r="H1010" s="62" t="str">
        <f>IF(COUNTA(A1010:G1010)=0,"",IF(C1010&lt;&gt;"",C1010,IF(B1010="","",IFERROR(INDEX(pr_des,MATCH(B1010,pr_code,0))&amp;"",""))))</f>
        <v/>
      </c>
      <c r="I1010" s="59" t="str">
        <f>IF(B1010="","",IFERROR(INDEX(pr_unit,MATCH(B1010,pr_code,0))&amp;"",""))</f>
        <v/>
      </c>
      <c r="J1010" s="65" t="str">
        <f>IF(COUNTA(A1010:G1010)=0,"",IF(E1010&lt;&gt;"",E1010,IF(B1010="","",IFERROR(IF(INDEX(pr_price,MATCH(B1010,pr_code,0))="","",INDEX(pr_price,MATCH(B1010,pr_code,0))),""))))</f>
        <v/>
      </c>
      <c r="K1010" s="71" t="str">
        <f>IF(COUNTA(A1010:G1010)=0,"",IF(G1010&lt;&gt;"",G1010,IF(B1010="","",IFERROR(IF(INDEX(pr_rate,MATCH(B1010,pr_code,0))="","",INDEX(pr_rate,MATCH(B1010,pr_code,0))),""))))</f>
        <v/>
      </c>
      <c r="L1010" s="65" t="str">
        <f>IF(COUNTA(A1010:G1010)=0,"",IF(AND(ISNUMBER(D1010),ISNUMBER(J1010)),ROUND(D1010*J1010*(1-N(F1010)),2),0))</f>
        <v/>
      </c>
      <c r="M1010" s="62" t="str">
        <f>IF(A1010="","",IFERROR(INDEX(fa_cname,MATCH(A1010,fa_num,0))&amp;"",""))</f>
        <v/>
      </c>
      <c r="N1010" s="59" t="str">
        <f>IF(COUNTA(A1010:G1010)=0,"",IF(A1010="","N° facture manquant",IF(ISNA(MATCH(A1010,fa_num,0)),"Facture inconnue",IF(AND(B1010&lt;&gt;"",ISNA(MATCH(B1010,pr_code,0))),"Article inconnu",IF(H1010="","Désignation manquante",IF(OR(NOT(ISNUMBER(D1010)),N(D1010)&lt;=0),"Quantité invalide",IF(J1010="","Prix manquant",IF(OR(NOT(ISNUMBER(J1010)),N(J1010)&lt;0),"Prix invalide",IF(OR(AND(F1010&lt;&gt;"",NOT(ISNUMBER(F1010))),N(F1010)&lt;0,N(F1010)&gt;1),"Remise invalide",IF(K1010="","Taux de TVA manquant",IF(NOT(ISNUMBER(K1010)),"Taux de TVA invalide",IF(COUNTIF(p_rates,K1010)=0,"Taux de TVA hors liste (Paramètres)",IF(N(O1010)&gt;25,"Au-delà de 25 lignes : non imprimée","OK")))))))))))))</f>
        <v/>
      </c>
      <c r="O1010" s="59" t="str">
        <f>IF(A1010="","",COUNTIF($A$6:A1010,A1010))</f>
        <v/>
      </c>
      <c r="P1010" s="62" t="str">
        <f>IF(A1010="","",A1010&amp;"|"&amp;O1010)</f>
        <v/>
      </c>
    </row>
    <row r="1011">
      <c r="A1011" s="60" t="n"/>
      <c r="B1011" s="63" t="n"/>
      <c r="C1011" s="63" t="n"/>
      <c r="D1011" s="67" t="n"/>
      <c r="E1011" s="68" t="n"/>
      <c r="F1011" s="69" t="n"/>
      <c r="G1011" s="70" t="n"/>
      <c r="H1011" s="62" t="str">
        <f>IF(COUNTA(A1011:G1011)=0,"",IF(C1011&lt;&gt;"",C1011,IF(B1011="","",IFERROR(INDEX(pr_des,MATCH(B1011,pr_code,0))&amp;"",""))))</f>
        <v/>
      </c>
      <c r="I1011" s="59" t="str">
        <f>IF(B1011="","",IFERROR(INDEX(pr_unit,MATCH(B1011,pr_code,0))&amp;"",""))</f>
        <v/>
      </c>
      <c r="J1011" s="65" t="str">
        <f>IF(COUNTA(A1011:G1011)=0,"",IF(E1011&lt;&gt;"",E1011,IF(B1011="","",IFERROR(IF(INDEX(pr_price,MATCH(B1011,pr_code,0))="","",INDEX(pr_price,MATCH(B1011,pr_code,0))),""))))</f>
        <v/>
      </c>
      <c r="K1011" s="71" t="str">
        <f>IF(COUNTA(A1011:G1011)=0,"",IF(G1011&lt;&gt;"",G1011,IF(B1011="","",IFERROR(IF(INDEX(pr_rate,MATCH(B1011,pr_code,0))="","",INDEX(pr_rate,MATCH(B1011,pr_code,0))),""))))</f>
        <v/>
      </c>
      <c r="L1011" s="65" t="str">
        <f>IF(COUNTA(A1011:G1011)=0,"",IF(AND(ISNUMBER(D1011),ISNUMBER(J1011)),ROUND(D1011*J1011*(1-N(F1011)),2),0))</f>
        <v/>
      </c>
      <c r="M1011" s="62" t="str">
        <f>IF(A1011="","",IFERROR(INDEX(fa_cname,MATCH(A1011,fa_num,0))&amp;"",""))</f>
        <v/>
      </c>
      <c r="N1011" s="59" t="str">
        <f>IF(COUNTA(A1011:G1011)=0,"",IF(A1011="","N° facture manquant",IF(ISNA(MATCH(A1011,fa_num,0)),"Facture inconnue",IF(AND(B1011&lt;&gt;"",ISNA(MATCH(B1011,pr_code,0))),"Article inconnu",IF(H1011="","Désignation manquante",IF(OR(NOT(ISNUMBER(D1011)),N(D1011)&lt;=0),"Quantité invalide",IF(J1011="","Prix manquant",IF(OR(NOT(ISNUMBER(J1011)),N(J1011)&lt;0),"Prix invalide",IF(OR(AND(F1011&lt;&gt;"",NOT(ISNUMBER(F1011))),N(F1011)&lt;0,N(F1011)&gt;1),"Remise invalide",IF(K1011="","Taux de TVA manquant",IF(NOT(ISNUMBER(K1011)),"Taux de TVA invalide",IF(COUNTIF(p_rates,K1011)=0,"Taux de TVA hors liste (Paramètres)",IF(N(O1011)&gt;25,"Au-delà de 25 lignes : non imprimée","OK")))))))))))))</f>
        <v/>
      </c>
      <c r="O1011" s="59" t="str">
        <f>IF(A1011="","",COUNTIF($A$6:A1011,A1011))</f>
        <v/>
      </c>
      <c r="P1011" s="62" t="str">
        <f>IF(A1011="","",A1011&amp;"|"&amp;O1011)</f>
        <v/>
      </c>
    </row>
    <row r="1012">
      <c r="A1012" s="60" t="n"/>
      <c r="B1012" s="63" t="n"/>
      <c r="C1012" s="63" t="n"/>
      <c r="D1012" s="67" t="n"/>
      <c r="E1012" s="68" t="n"/>
      <c r="F1012" s="69" t="n"/>
      <c r="G1012" s="70" t="n"/>
      <c r="H1012" s="62" t="str">
        <f>IF(COUNTA(A1012:G1012)=0,"",IF(C1012&lt;&gt;"",C1012,IF(B1012="","",IFERROR(INDEX(pr_des,MATCH(B1012,pr_code,0))&amp;"",""))))</f>
        <v/>
      </c>
      <c r="I1012" s="59" t="str">
        <f>IF(B1012="","",IFERROR(INDEX(pr_unit,MATCH(B1012,pr_code,0))&amp;"",""))</f>
        <v/>
      </c>
      <c r="J1012" s="65" t="str">
        <f>IF(COUNTA(A1012:G1012)=0,"",IF(E1012&lt;&gt;"",E1012,IF(B1012="","",IFERROR(IF(INDEX(pr_price,MATCH(B1012,pr_code,0))="","",INDEX(pr_price,MATCH(B1012,pr_code,0))),""))))</f>
        <v/>
      </c>
      <c r="K1012" s="71" t="str">
        <f>IF(COUNTA(A1012:G1012)=0,"",IF(G1012&lt;&gt;"",G1012,IF(B1012="","",IFERROR(IF(INDEX(pr_rate,MATCH(B1012,pr_code,0))="","",INDEX(pr_rate,MATCH(B1012,pr_code,0))),""))))</f>
        <v/>
      </c>
      <c r="L1012" s="65" t="str">
        <f>IF(COUNTA(A1012:G1012)=0,"",IF(AND(ISNUMBER(D1012),ISNUMBER(J1012)),ROUND(D1012*J1012*(1-N(F1012)),2),0))</f>
        <v/>
      </c>
      <c r="M1012" s="62" t="str">
        <f>IF(A1012="","",IFERROR(INDEX(fa_cname,MATCH(A1012,fa_num,0))&amp;"",""))</f>
        <v/>
      </c>
      <c r="N1012" s="59" t="str">
        <f>IF(COUNTA(A1012:G1012)=0,"",IF(A1012="","N° facture manquant",IF(ISNA(MATCH(A1012,fa_num,0)),"Facture inconnue",IF(AND(B1012&lt;&gt;"",ISNA(MATCH(B1012,pr_code,0))),"Article inconnu",IF(H1012="","Désignation manquante",IF(OR(NOT(ISNUMBER(D1012)),N(D1012)&lt;=0),"Quantité invalide",IF(J1012="","Prix manquant",IF(OR(NOT(ISNUMBER(J1012)),N(J1012)&lt;0),"Prix invalide",IF(OR(AND(F1012&lt;&gt;"",NOT(ISNUMBER(F1012))),N(F1012)&lt;0,N(F1012)&gt;1),"Remise invalide",IF(K1012="","Taux de TVA manquant",IF(NOT(ISNUMBER(K1012)),"Taux de TVA invalide",IF(COUNTIF(p_rates,K1012)=0,"Taux de TVA hors liste (Paramètres)",IF(N(O1012)&gt;25,"Au-delà de 25 lignes : non imprimée","OK")))))))))))))</f>
        <v/>
      </c>
      <c r="O1012" s="59" t="str">
        <f>IF(A1012="","",COUNTIF($A$6:A1012,A1012))</f>
        <v/>
      </c>
      <c r="P1012" s="62" t="str">
        <f>IF(A1012="","",A1012&amp;"|"&amp;O1012)</f>
        <v/>
      </c>
    </row>
    <row r="1013">
      <c r="A1013" s="60" t="n"/>
      <c r="B1013" s="63" t="n"/>
      <c r="C1013" s="63" t="n"/>
      <c r="D1013" s="67" t="n"/>
      <c r="E1013" s="68" t="n"/>
      <c r="F1013" s="69" t="n"/>
      <c r="G1013" s="70" t="n"/>
      <c r="H1013" s="62" t="str">
        <f>IF(COUNTA(A1013:G1013)=0,"",IF(C1013&lt;&gt;"",C1013,IF(B1013="","",IFERROR(INDEX(pr_des,MATCH(B1013,pr_code,0))&amp;"",""))))</f>
        <v/>
      </c>
      <c r="I1013" s="59" t="str">
        <f>IF(B1013="","",IFERROR(INDEX(pr_unit,MATCH(B1013,pr_code,0))&amp;"",""))</f>
        <v/>
      </c>
      <c r="J1013" s="65" t="str">
        <f>IF(COUNTA(A1013:G1013)=0,"",IF(E1013&lt;&gt;"",E1013,IF(B1013="","",IFERROR(IF(INDEX(pr_price,MATCH(B1013,pr_code,0))="","",INDEX(pr_price,MATCH(B1013,pr_code,0))),""))))</f>
        <v/>
      </c>
      <c r="K1013" s="71" t="str">
        <f>IF(COUNTA(A1013:G1013)=0,"",IF(G1013&lt;&gt;"",G1013,IF(B1013="","",IFERROR(IF(INDEX(pr_rate,MATCH(B1013,pr_code,0))="","",INDEX(pr_rate,MATCH(B1013,pr_code,0))),""))))</f>
        <v/>
      </c>
      <c r="L1013" s="65" t="str">
        <f>IF(COUNTA(A1013:G1013)=0,"",IF(AND(ISNUMBER(D1013),ISNUMBER(J1013)),ROUND(D1013*J1013*(1-N(F1013)),2),0))</f>
        <v/>
      </c>
      <c r="M1013" s="62" t="str">
        <f>IF(A1013="","",IFERROR(INDEX(fa_cname,MATCH(A1013,fa_num,0))&amp;"",""))</f>
        <v/>
      </c>
      <c r="N1013" s="59" t="str">
        <f>IF(COUNTA(A1013:G1013)=0,"",IF(A1013="","N° facture manquant",IF(ISNA(MATCH(A1013,fa_num,0)),"Facture inconnue",IF(AND(B1013&lt;&gt;"",ISNA(MATCH(B1013,pr_code,0))),"Article inconnu",IF(H1013="","Désignation manquante",IF(OR(NOT(ISNUMBER(D1013)),N(D1013)&lt;=0),"Quantité invalide",IF(J1013="","Prix manquant",IF(OR(NOT(ISNUMBER(J1013)),N(J1013)&lt;0),"Prix invalide",IF(OR(AND(F1013&lt;&gt;"",NOT(ISNUMBER(F1013))),N(F1013)&lt;0,N(F1013)&gt;1),"Remise invalide",IF(K1013="","Taux de TVA manquant",IF(NOT(ISNUMBER(K1013)),"Taux de TVA invalide",IF(COUNTIF(p_rates,K1013)=0,"Taux de TVA hors liste (Paramètres)",IF(N(O1013)&gt;25,"Au-delà de 25 lignes : non imprimée","OK")))))))))))))</f>
        <v/>
      </c>
      <c r="O1013" s="59" t="str">
        <f>IF(A1013="","",COUNTIF($A$6:A1013,A1013))</f>
        <v/>
      </c>
      <c r="P1013" s="62" t="str">
        <f>IF(A1013="","",A1013&amp;"|"&amp;O1013)</f>
        <v/>
      </c>
    </row>
    <row r="1014">
      <c r="A1014" s="60" t="n"/>
      <c r="B1014" s="63" t="n"/>
      <c r="C1014" s="63" t="n"/>
      <c r="D1014" s="67" t="n"/>
      <c r="E1014" s="68" t="n"/>
      <c r="F1014" s="69" t="n"/>
      <c r="G1014" s="70" t="n"/>
      <c r="H1014" s="62" t="str">
        <f>IF(COUNTA(A1014:G1014)=0,"",IF(C1014&lt;&gt;"",C1014,IF(B1014="","",IFERROR(INDEX(pr_des,MATCH(B1014,pr_code,0))&amp;"",""))))</f>
        <v/>
      </c>
      <c r="I1014" s="59" t="str">
        <f>IF(B1014="","",IFERROR(INDEX(pr_unit,MATCH(B1014,pr_code,0))&amp;"",""))</f>
        <v/>
      </c>
      <c r="J1014" s="65" t="str">
        <f>IF(COUNTA(A1014:G1014)=0,"",IF(E1014&lt;&gt;"",E1014,IF(B1014="","",IFERROR(IF(INDEX(pr_price,MATCH(B1014,pr_code,0))="","",INDEX(pr_price,MATCH(B1014,pr_code,0))),""))))</f>
        <v/>
      </c>
      <c r="K1014" s="71" t="str">
        <f>IF(COUNTA(A1014:G1014)=0,"",IF(G1014&lt;&gt;"",G1014,IF(B1014="","",IFERROR(IF(INDEX(pr_rate,MATCH(B1014,pr_code,0))="","",INDEX(pr_rate,MATCH(B1014,pr_code,0))),""))))</f>
        <v/>
      </c>
      <c r="L1014" s="65" t="str">
        <f>IF(COUNTA(A1014:G1014)=0,"",IF(AND(ISNUMBER(D1014),ISNUMBER(J1014)),ROUND(D1014*J1014*(1-N(F1014)),2),0))</f>
        <v/>
      </c>
      <c r="M1014" s="62" t="str">
        <f>IF(A1014="","",IFERROR(INDEX(fa_cname,MATCH(A1014,fa_num,0))&amp;"",""))</f>
        <v/>
      </c>
      <c r="N1014" s="59" t="str">
        <f>IF(COUNTA(A1014:G1014)=0,"",IF(A1014="","N° facture manquant",IF(ISNA(MATCH(A1014,fa_num,0)),"Facture inconnue",IF(AND(B1014&lt;&gt;"",ISNA(MATCH(B1014,pr_code,0))),"Article inconnu",IF(H1014="","Désignation manquante",IF(OR(NOT(ISNUMBER(D1014)),N(D1014)&lt;=0),"Quantité invalide",IF(J1014="","Prix manquant",IF(OR(NOT(ISNUMBER(J1014)),N(J1014)&lt;0),"Prix invalide",IF(OR(AND(F1014&lt;&gt;"",NOT(ISNUMBER(F1014))),N(F1014)&lt;0,N(F1014)&gt;1),"Remise invalide",IF(K1014="","Taux de TVA manquant",IF(NOT(ISNUMBER(K1014)),"Taux de TVA invalide",IF(COUNTIF(p_rates,K1014)=0,"Taux de TVA hors liste (Paramètres)",IF(N(O1014)&gt;25,"Au-delà de 25 lignes : non imprimée","OK")))))))))))))</f>
        <v/>
      </c>
      <c r="O1014" s="59" t="str">
        <f>IF(A1014="","",COUNTIF($A$6:A1014,A1014))</f>
        <v/>
      </c>
      <c r="P1014" s="62" t="str">
        <f>IF(A1014="","",A1014&amp;"|"&amp;O1014)</f>
        <v/>
      </c>
    </row>
    <row r="1015">
      <c r="A1015" s="60" t="n"/>
      <c r="B1015" s="63" t="n"/>
      <c r="C1015" s="63" t="n"/>
      <c r="D1015" s="67" t="n"/>
      <c r="E1015" s="68" t="n"/>
      <c r="F1015" s="69" t="n"/>
      <c r="G1015" s="70" t="n"/>
      <c r="H1015" s="62" t="str">
        <f>IF(COUNTA(A1015:G1015)=0,"",IF(C1015&lt;&gt;"",C1015,IF(B1015="","",IFERROR(INDEX(pr_des,MATCH(B1015,pr_code,0))&amp;"",""))))</f>
        <v/>
      </c>
      <c r="I1015" s="59" t="str">
        <f>IF(B1015="","",IFERROR(INDEX(pr_unit,MATCH(B1015,pr_code,0))&amp;"",""))</f>
        <v/>
      </c>
      <c r="J1015" s="65" t="str">
        <f>IF(COUNTA(A1015:G1015)=0,"",IF(E1015&lt;&gt;"",E1015,IF(B1015="","",IFERROR(IF(INDEX(pr_price,MATCH(B1015,pr_code,0))="","",INDEX(pr_price,MATCH(B1015,pr_code,0))),""))))</f>
        <v/>
      </c>
      <c r="K1015" s="71" t="str">
        <f>IF(COUNTA(A1015:G1015)=0,"",IF(G1015&lt;&gt;"",G1015,IF(B1015="","",IFERROR(IF(INDEX(pr_rate,MATCH(B1015,pr_code,0))="","",INDEX(pr_rate,MATCH(B1015,pr_code,0))),""))))</f>
        <v/>
      </c>
      <c r="L1015" s="65" t="str">
        <f>IF(COUNTA(A1015:G1015)=0,"",IF(AND(ISNUMBER(D1015),ISNUMBER(J1015)),ROUND(D1015*J1015*(1-N(F1015)),2),0))</f>
        <v/>
      </c>
      <c r="M1015" s="62" t="str">
        <f>IF(A1015="","",IFERROR(INDEX(fa_cname,MATCH(A1015,fa_num,0))&amp;"",""))</f>
        <v/>
      </c>
      <c r="N1015" s="59" t="str">
        <f>IF(COUNTA(A1015:G1015)=0,"",IF(A1015="","N° facture manquant",IF(ISNA(MATCH(A1015,fa_num,0)),"Facture inconnue",IF(AND(B1015&lt;&gt;"",ISNA(MATCH(B1015,pr_code,0))),"Article inconnu",IF(H1015="","Désignation manquante",IF(OR(NOT(ISNUMBER(D1015)),N(D1015)&lt;=0),"Quantité invalide",IF(J1015="","Prix manquant",IF(OR(NOT(ISNUMBER(J1015)),N(J1015)&lt;0),"Prix invalide",IF(OR(AND(F1015&lt;&gt;"",NOT(ISNUMBER(F1015))),N(F1015)&lt;0,N(F1015)&gt;1),"Remise invalide",IF(K1015="","Taux de TVA manquant",IF(NOT(ISNUMBER(K1015)),"Taux de TVA invalide",IF(COUNTIF(p_rates,K1015)=0,"Taux de TVA hors liste (Paramètres)",IF(N(O1015)&gt;25,"Au-delà de 25 lignes : non imprimée","OK")))))))))))))</f>
        <v/>
      </c>
      <c r="O1015" s="59" t="str">
        <f>IF(A1015="","",COUNTIF($A$6:A1015,A1015))</f>
        <v/>
      </c>
      <c r="P1015" s="62" t="str">
        <f>IF(A1015="","",A1015&amp;"|"&amp;O1015)</f>
        <v/>
      </c>
    </row>
    <row r="1016">
      <c r="A1016" s="60" t="n"/>
      <c r="B1016" s="63" t="n"/>
      <c r="C1016" s="63" t="n"/>
      <c r="D1016" s="67" t="n"/>
      <c r="E1016" s="68" t="n"/>
      <c r="F1016" s="69" t="n"/>
      <c r="G1016" s="70" t="n"/>
      <c r="H1016" s="62" t="str">
        <f>IF(COUNTA(A1016:G1016)=0,"",IF(C1016&lt;&gt;"",C1016,IF(B1016="","",IFERROR(INDEX(pr_des,MATCH(B1016,pr_code,0))&amp;"",""))))</f>
        <v/>
      </c>
      <c r="I1016" s="59" t="str">
        <f>IF(B1016="","",IFERROR(INDEX(pr_unit,MATCH(B1016,pr_code,0))&amp;"",""))</f>
        <v/>
      </c>
      <c r="J1016" s="65" t="str">
        <f>IF(COUNTA(A1016:G1016)=0,"",IF(E1016&lt;&gt;"",E1016,IF(B1016="","",IFERROR(IF(INDEX(pr_price,MATCH(B1016,pr_code,0))="","",INDEX(pr_price,MATCH(B1016,pr_code,0))),""))))</f>
        <v/>
      </c>
      <c r="K1016" s="71" t="str">
        <f>IF(COUNTA(A1016:G1016)=0,"",IF(G1016&lt;&gt;"",G1016,IF(B1016="","",IFERROR(IF(INDEX(pr_rate,MATCH(B1016,pr_code,0))="","",INDEX(pr_rate,MATCH(B1016,pr_code,0))),""))))</f>
        <v/>
      </c>
      <c r="L1016" s="65" t="str">
        <f>IF(COUNTA(A1016:G1016)=0,"",IF(AND(ISNUMBER(D1016),ISNUMBER(J1016)),ROUND(D1016*J1016*(1-N(F1016)),2),0))</f>
        <v/>
      </c>
      <c r="M1016" s="62" t="str">
        <f>IF(A1016="","",IFERROR(INDEX(fa_cname,MATCH(A1016,fa_num,0))&amp;"",""))</f>
        <v/>
      </c>
      <c r="N1016" s="59" t="str">
        <f>IF(COUNTA(A1016:G1016)=0,"",IF(A1016="","N° facture manquant",IF(ISNA(MATCH(A1016,fa_num,0)),"Facture inconnue",IF(AND(B1016&lt;&gt;"",ISNA(MATCH(B1016,pr_code,0))),"Article inconnu",IF(H1016="","Désignation manquante",IF(OR(NOT(ISNUMBER(D1016)),N(D1016)&lt;=0),"Quantité invalide",IF(J1016="","Prix manquant",IF(OR(NOT(ISNUMBER(J1016)),N(J1016)&lt;0),"Prix invalide",IF(OR(AND(F1016&lt;&gt;"",NOT(ISNUMBER(F1016))),N(F1016)&lt;0,N(F1016)&gt;1),"Remise invalide",IF(K1016="","Taux de TVA manquant",IF(NOT(ISNUMBER(K1016)),"Taux de TVA invalide",IF(COUNTIF(p_rates,K1016)=0,"Taux de TVA hors liste (Paramètres)",IF(N(O1016)&gt;25,"Au-delà de 25 lignes : non imprimée","OK")))))))))))))</f>
        <v/>
      </c>
      <c r="O1016" s="59" t="str">
        <f>IF(A1016="","",COUNTIF($A$6:A1016,A1016))</f>
        <v/>
      </c>
      <c r="P1016" s="62" t="str">
        <f>IF(A1016="","",A1016&amp;"|"&amp;O1016)</f>
        <v/>
      </c>
    </row>
    <row r="1017">
      <c r="A1017" s="60" t="n"/>
      <c r="B1017" s="63" t="n"/>
      <c r="C1017" s="63" t="n"/>
      <c r="D1017" s="67" t="n"/>
      <c r="E1017" s="68" t="n"/>
      <c r="F1017" s="69" t="n"/>
      <c r="G1017" s="70" t="n"/>
      <c r="H1017" s="62" t="str">
        <f>IF(COUNTA(A1017:G1017)=0,"",IF(C1017&lt;&gt;"",C1017,IF(B1017="","",IFERROR(INDEX(pr_des,MATCH(B1017,pr_code,0))&amp;"",""))))</f>
        <v/>
      </c>
      <c r="I1017" s="59" t="str">
        <f>IF(B1017="","",IFERROR(INDEX(pr_unit,MATCH(B1017,pr_code,0))&amp;"",""))</f>
        <v/>
      </c>
      <c r="J1017" s="65" t="str">
        <f>IF(COUNTA(A1017:G1017)=0,"",IF(E1017&lt;&gt;"",E1017,IF(B1017="","",IFERROR(IF(INDEX(pr_price,MATCH(B1017,pr_code,0))="","",INDEX(pr_price,MATCH(B1017,pr_code,0))),""))))</f>
        <v/>
      </c>
      <c r="K1017" s="71" t="str">
        <f>IF(COUNTA(A1017:G1017)=0,"",IF(G1017&lt;&gt;"",G1017,IF(B1017="","",IFERROR(IF(INDEX(pr_rate,MATCH(B1017,pr_code,0))="","",INDEX(pr_rate,MATCH(B1017,pr_code,0))),""))))</f>
        <v/>
      </c>
      <c r="L1017" s="65" t="str">
        <f>IF(COUNTA(A1017:G1017)=0,"",IF(AND(ISNUMBER(D1017),ISNUMBER(J1017)),ROUND(D1017*J1017*(1-N(F1017)),2),0))</f>
        <v/>
      </c>
      <c r="M1017" s="62" t="str">
        <f>IF(A1017="","",IFERROR(INDEX(fa_cname,MATCH(A1017,fa_num,0))&amp;"",""))</f>
        <v/>
      </c>
      <c r="N1017" s="59" t="str">
        <f>IF(COUNTA(A1017:G1017)=0,"",IF(A1017="","N° facture manquant",IF(ISNA(MATCH(A1017,fa_num,0)),"Facture inconnue",IF(AND(B1017&lt;&gt;"",ISNA(MATCH(B1017,pr_code,0))),"Article inconnu",IF(H1017="","Désignation manquante",IF(OR(NOT(ISNUMBER(D1017)),N(D1017)&lt;=0),"Quantité invalide",IF(J1017="","Prix manquant",IF(OR(NOT(ISNUMBER(J1017)),N(J1017)&lt;0),"Prix invalide",IF(OR(AND(F1017&lt;&gt;"",NOT(ISNUMBER(F1017))),N(F1017)&lt;0,N(F1017)&gt;1),"Remise invalide",IF(K1017="","Taux de TVA manquant",IF(NOT(ISNUMBER(K1017)),"Taux de TVA invalide",IF(COUNTIF(p_rates,K1017)=0,"Taux de TVA hors liste (Paramètres)",IF(N(O1017)&gt;25,"Au-delà de 25 lignes : non imprimée","OK")))))))))))))</f>
        <v/>
      </c>
      <c r="O1017" s="59" t="str">
        <f>IF(A1017="","",COUNTIF($A$6:A1017,A1017))</f>
        <v/>
      </c>
      <c r="P1017" s="62" t="str">
        <f>IF(A1017="","",A1017&amp;"|"&amp;O1017)</f>
        <v/>
      </c>
    </row>
    <row r="1018">
      <c r="A1018" s="60" t="n"/>
      <c r="B1018" s="63" t="n"/>
      <c r="C1018" s="63" t="n"/>
      <c r="D1018" s="67" t="n"/>
      <c r="E1018" s="68" t="n"/>
      <c r="F1018" s="69" t="n"/>
      <c r="G1018" s="70" t="n"/>
      <c r="H1018" s="62" t="str">
        <f>IF(COUNTA(A1018:G1018)=0,"",IF(C1018&lt;&gt;"",C1018,IF(B1018="","",IFERROR(INDEX(pr_des,MATCH(B1018,pr_code,0))&amp;"",""))))</f>
        <v/>
      </c>
      <c r="I1018" s="59" t="str">
        <f>IF(B1018="","",IFERROR(INDEX(pr_unit,MATCH(B1018,pr_code,0))&amp;"",""))</f>
        <v/>
      </c>
      <c r="J1018" s="65" t="str">
        <f>IF(COUNTA(A1018:G1018)=0,"",IF(E1018&lt;&gt;"",E1018,IF(B1018="","",IFERROR(IF(INDEX(pr_price,MATCH(B1018,pr_code,0))="","",INDEX(pr_price,MATCH(B1018,pr_code,0))),""))))</f>
        <v/>
      </c>
      <c r="K1018" s="71" t="str">
        <f>IF(COUNTA(A1018:G1018)=0,"",IF(G1018&lt;&gt;"",G1018,IF(B1018="","",IFERROR(IF(INDEX(pr_rate,MATCH(B1018,pr_code,0))="","",INDEX(pr_rate,MATCH(B1018,pr_code,0))),""))))</f>
        <v/>
      </c>
      <c r="L1018" s="65" t="str">
        <f>IF(COUNTA(A1018:G1018)=0,"",IF(AND(ISNUMBER(D1018),ISNUMBER(J1018)),ROUND(D1018*J1018*(1-N(F1018)),2),0))</f>
        <v/>
      </c>
      <c r="M1018" s="62" t="str">
        <f>IF(A1018="","",IFERROR(INDEX(fa_cname,MATCH(A1018,fa_num,0))&amp;"",""))</f>
        <v/>
      </c>
      <c r="N1018" s="59" t="str">
        <f>IF(COUNTA(A1018:G1018)=0,"",IF(A1018="","N° facture manquant",IF(ISNA(MATCH(A1018,fa_num,0)),"Facture inconnue",IF(AND(B1018&lt;&gt;"",ISNA(MATCH(B1018,pr_code,0))),"Article inconnu",IF(H1018="","Désignation manquante",IF(OR(NOT(ISNUMBER(D1018)),N(D1018)&lt;=0),"Quantité invalide",IF(J1018="","Prix manquant",IF(OR(NOT(ISNUMBER(J1018)),N(J1018)&lt;0),"Prix invalide",IF(OR(AND(F1018&lt;&gt;"",NOT(ISNUMBER(F1018))),N(F1018)&lt;0,N(F1018)&gt;1),"Remise invalide",IF(K1018="","Taux de TVA manquant",IF(NOT(ISNUMBER(K1018)),"Taux de TVA invalide",IF(COUNTIF(p_rates,K1018)=0,"Taux de TVA hors liste (Paramètres)",IF(N(O1018)&gt;25,"Au-delà de 25 lignes : non imprimée","OK")))))))))))))</f>
        <v/>
      </c>
      <c r="O1018" s="59" t="str">
        <f>IF(A1018="","",COUNTIF($A$6:A1018,A1018))</f>
        <v/>
      </c>
      <c r="P1018" s="62" t="str">
        <f>IF(A1018="","",A1018&amp;"|"&amp;O1018)</f>
        <v/>
      </c>
    </row>
    <row r="1019">
      <c r="A1019" s="60" t="n"/>
      <c r="B1019" s="63" t="n"/>
      <c r="C1019" s="63" t="n"/>
      <c r="D1019" s="67" t="n"/>
      <c r="E1019" s="68" t="n"/>
      <c r="F1019" s="69" t="n"/>
      <c r="G1019" s="70" t="n"/>
      <c r="H1019" s="62" t="str">
        <f>IF(COUNTA(A1019:G1019)=0,"",IF(C1019&lt;&gt;"",C1019,IF(B1019="","",IFERROR(INDEX(pr_des,MATCH(B1019,pr_code,0))&amp;"",""))))</f>
        <v/>
      </c>
      <c r="I1019" s="59" t="str">
        <f>IF(B1019="","",IFERROR(INDEX(pr_unit,MATCH(B1019,pr_code,0))&amp;"",""))</f>
        <v/>
      </c>
      <c r="J1019" s="65" t="str">
        <f>IF(COUNTA(A1019:G1019)=0,"",IF(E1019&lt;&gt;"",E1019,IF(B1019="","",IFERROR(IF(INDEX(pr_price,MATCH(B1019,pr_code,0))="","",INDEX(pr_price,MATCH(B1019,pr_code,0))),""))))</f>
        <v/>
      </c>
      <c r="K1019" s="71" t="str">
        <f>IF(COUNTA(A1019:G1019)=0,"",IF(G1019&lt;&gt;"",G1019,IF(B1019="","",IFERROR(IF(INDEX(pr_rate,MATCH(B1019,pr_code,0))="","",INDEX(pr_rate,MATCH(B1019,pr_code,0))),""))))</f>
        <v/>
      </c>
      <c r="L1019" s="65" t="str">
        <f>IF(COUNTA(A1019:G1019)=0,"",IF(AND(ISNUMBER(D1019),ISNUMBER(J1019)),ROUND(D1019*J1019*(1-N(F1019)),2),0))</f>
        <v/>
      </c>
      <c r="M1019" s="62" t="str">
        <f>IF(A1019="","",IFERROR(INDEX(fa_cname,MATCH(A1019,fa_num,0))&amp;"",""))</f>
        <v/>
      </c>
      <c r="N1019" s="59" t="str">
        <f>IF(COUNTA(A1019:G1019)=0,"",IF(A1019="","N° facture manquant",IF(ISNA(MATCH(A1019,fa_num,0)),"Facture inconnue",IF(AND(B1019&lt;&gt;"",ISNA(MATCH(B1019,pr_code,0))),"Article inconnu",IF(H1019="","Désignation manquante",IF(OR(NOT(ISNUMBER(D1019)),N(D1019)&lt;=0),"Quantité invalide",IF(J1019="","Prix manquant",IF(OR(NOT(ISNUMBER(J1019)),N(J1019)&lt;0),"Prix invalide",IF(OR(AND(F1019&lt;&gt;"",NOT(ISNUMBER(F1019))),N(F1019)&lt;0,N(F1019)&gt;1),"Remise invalide",IF(K1019="","Taux de TVA manquant",IF(NOT(ISNUMBER(K1019)),"Taux de TVA invalide",IF(COUNTIF(p_rates,K1019)=0,"Taux de TVA hors liste (Paramètres)",IF(N(O1019)&gt;25,"Au-delà de 25 lignes : non imprimée","OK")))))))))))))</f>
        <v/>
      </c>
      <c r="O1019" s="59" t="str">
        <f>IF(A1019="","",COUNTIF($A$6:A1019,A1019))</f>
        <v/>
      </c>
      <c r="P1019" s="62" t="str">
        <f>IF(A1019="","",A1019&amp;"|"&amp;O1019)</f>
        <v/>
      </c>
    </row>
    <row r="1020">
      <c r="A1020" s="60" t="n"/>
      <c r="B1020" s="63" t="n"/>
      <c r="C1020" s="63" t="n"/>
      <c r="D1020" s="67" t="n"/>
      <c r="E1020" s="68" t="n"/>
      <c r="F1020" s="69" t="n"/>
      <c r="G1020" s="70" t="n"/>
      <c r="H1020" s="62" t="str">
        <f>IF(COUNTA(A1020:G1020)=0,"",IF(C1020&lt;&gt;"",C1020,IF(B1020="","",IFERROR(INDEX(pr_des,MATCH(B1020,pr_code,0))&amp;"",""))))</f>
        <v/>
      </c>
      <c r="I1020" s="59" t="str">
        <f>IF(B1020="","",IFERROR(INDEX(pr_unit,MATCH(B1020,pr_code,0))&amp;"",""))</f>
        <v/>
      </c>
      <c r="J1020" s="65" t="str">
        <f>IF(COUNTA(A1020:G1020)=0,"",IF(E1020&lt;&gt;"",E1020,IF(B1020="","",IFERROR(IF(INDEX(pr_price,MATCH(B1020,pr_code,0))="","",INDEX(pr_price,MATCH(B1020,pr_code,0))),""))))</f>
        <v/>
      </c>
      <c r="K1020" s="71" t="str">
        <f>IF(COUNTA(A1020:G1020)=0,"",IF(G1020&lt;&gt;"",G1020,IF(B1020="","",IFERROR(IF(INDEX(pr_rate,MATCH(B1020,pr_code,0))="","",INDEX(pr_rate,MATCH(B1020,pr_code,0))),""))))</f>
        <v/>
      </c>
      <c r="L1020" s="65" t="str">
        <f>IF(COUNTA(A1020:G1020)=0,"",IF(AND(ISNUMBER(D1020),ISNUMBER(J1020)),ROUND(D1020*J1020*(1-N(F1020)),2),0))</f>
        <v/>
      </c>
      <c r="M1020" s="62" t="str">
        <f>IF(A1020="","",IFERROR(INDEX(fa_cname,MATCH(A1020,fa_num,0))&amp;"",""))</f>
        <v/>
      </c>
      <c r="N1020" s="59" t="str">
        <f>IF(COUNTA(A1020:G1020)=0,"",IF(A1020="","N° facture manquant",IF(ISNA(MATCH(A1020,fa_num,0)),"Facture inconnue",IF(AND(B1020&lt;&gt;"",ISNA(MATCH(B1020,pr_code,0))),"Article inconnu",IF(H1020="","Désignation manquante",IF(OR(NOT(ISNUMBER(D1020)),N(D1020)&lt;=0),"Quantité invalide",IF(J1020="","Prix manquant",IF(OR(NOT(ISNUMBER(J1020)),N(J1020)&lt;0),"Prix invalide",IF(OR(AND(F1020&lt;&gt;"",NOT(ISNUMBER(F1020))),N(F1020)&lt;0,N(F1020)&gt;1),"Remise invalide",IF(K1020="","Taux de TVA manquant",IF(NOT(ISNUMBER(K1020)),"Taux de TVA invalide",IF(COUNTIF(p_rates,K1020)=0,"Taux de TVA hors liste (Paramètres)",IF(N(O1020)&gt;25,"Au-delà de 25 lignes : non imprimée","OK")))))))))))))</f>
        <v/>
      </c>
      <c r="O1020" s="59" t="str">
        <f>IF(A1020="","",COUNTIF($A$6:A1020,A1020))</f>
        <v/>
      </c>
      <c r="P1020" s="62" t="str">
        <f>IF(A1020="","",A1020&amp;"|"&amp;O1020)</f>
        <v/>
      </c>
    </row>
    <row r="1021">
      <c r="A1021" s="60" t="n"/>
      <c r="B1021" s="63" t="n"/>
      <c r="C1021" s="63" t="n"/>
      <c r="D1021" s="67" t="n"/>
      <c r="E1021" s="68" t="n"/>
      <c r="F1021" s="69" t="n"/>
      <c r="G1021" s="70" t="n"/>
      <c r="H1021" s="62" t="str">
        <f>IF(COUNTA(A1021:G1021)=0,"",IF(C1021&lt;&gt;"",C1021,IF(B1021="","",IFERROR(INDEX(pr_des,MATCH(B1021,pr_code,0))&amp;"",""))))</f>
        <v/>
      </c>
      <c r="I1021" s="59" t="str">
        <f>IF(B1021="","",IFERROR(INDEX(pr_unit,MATCH(B1021,pr_code,0))&amp;"",""))</f>
        <v/>
      </c>
      <c r="J1021" s="65" t="str">
        <f>IF(COUNTA(A1021:G1021)=0,"",IF(E1021&lt;&gt;"",E1021,IF(B1021="","",IFERROR(IF(INDEX(pr_price,MATCH(B1021,pr_code,0))="","",INDEX(pr_price,MATCH(B1021,pr_code,0))),""))))</f>
        <v/>
      </c>
      <c r="K1021" s="71" t="str">
        <f>IF(COUNTA(A1021:G1021)=0,"",IF(G1021&lt;&gt;"",G1021,IF(B1021="","",IFERROR(IF(INDEX(pr_rate,MATCH(B1021,pr_code,0))="","",INDEX(pr_rate,MATCH(B1021,pr_code,0))),""))))</f>
        <v/>
      </c>
      <c r="L1021" s="65" t="str">
        <f>IF(COUNTA(A1021:G1021)=0,"",IF(AND(ISNUMBER(D1021),ISNUMBER(J1021)),ROUND(D1021*J1021*(1-N(F1021)),2),0))</f>
        <v/>
      </c>
      <c r="M1021" s="62" t="str">
        <f>IF(A1021="","",IFERROR(INDEX(fa_cname,MATCH(A1021,fa_num,0))&amp;"",""))</f>
        <v/>
      </c>
      <c r="N1021" s="59" t="str">
        <f>IF(COUNTA(A1021:G1021)=0,"",IF(A1021="","N° facture manquant",IF(ISNA(MATCH(A1021,fa_num,0)),"Facture inconnue",IF(AND(B1021&lt;&gt;"",ISNA(MATCH(B1021,pr_code,0))),"Article inconnu",IF(H1021="","Désignation manquante",IF(OR(NOT(ISNUMBER(D1021)),N(D1021)&lt;=0),"Quantité invalide",IF(J1021="","Prix manquant",IF(OR(NOT(ISNUMBER(J1021)),N(J1021)&lt;0),"Prix invalide",IF(OR(AND(F1021&lt;&gt;"",NOT(ISNUMBER(F1021))),N(F1021)&lt;0,N(F1021)&gt;1),"Remise invalide",IF(K1021="","Taux de TVA manquant",IF(NOT(ISNUMBER(K1021)),"Taux de TVA invalide",IF(COUNTIF(p_rates,K1021)=0,"Taux de TVA hors liste (Paramètres)",IF(N(O1021)&gt;25,"Au-delà de 25 lignes : non imprimée","OK")))))))))))))</f>
        <v/>
      </c>
      <c r="O1021" s="59" t="str">
        <f>IF(A1021="","",COUNTIF($A$6:A1021,A1021))</f>
        <v/>
      </c>
      <c r="P1021" s="62" t="str">
        <f>IF(A1021="","",A1021&amp;"|"&amp;O1021)</f>
        <v/>
      </c>
    </row>
    <row r="1022">
      <c r="A1022" s="60" t="n"/>
      <c r="B1022" s="63" t="n"/>
      <c r="C1022" s="63" t="n"/>
      <c r="D1022" s="67" t="n"/>
      <c r="E1022" s="68" t="n"/>
      <c r="F1022" s="69" t="n"/>
      <c r="G1022" s="70" t="n"/>
      <c r="H1022" s="62" t="str">
        <f>IF(COUNTA(A1022:G1022)=0,"",IF(C1022&lt;&gt;"",C1022,IF(B1022="","",IFERROR(INDEX(pr_des,MATCH(B1022,pr_code,0))&amp;"",""))))</f>
        <v/>
      </c>
      <c r="I1022" s="59" t="str">
        <f>IF(B1022="","",IFERROR(INDEX(pr_unit,MATCH(B1022,pr_code,0))&amp;"",""))</f>
        <v/>
      </c>
      <c r="J1022" s="65" t="str">
        <f>IF(COUNTA(A1022:G1022)=0,"",IF(E1022&lt;&gt;"",E1022,IF(B1022="","",IFERROR(IF(INDEX(pr_price,MATCH(B1022,pr_code,0))="","",INDEX(pr_price,MATCH(B1022,pr_code,0))),""))))</f>
        <v/>
      </c>
      <c r="K1022" s="71" t="str">
        <f>IF(COUNTA(A1022:G1022)=0,"",IF(G1022&lt;&gt;"",G1022,IF(B1022="","",IFERROR(IF(INDEX(pr_rate,MATCH(B1022,pr_code,0))="","",INDEX(pr_rate,MATCH(B1022,pr_code,0))),""))))</f>
        <v/>
      </c>
      <c r="L1022" s="65" t="str">
        <f>IF(COUNTA(A1022:G1022)=0,"",IF(AND(ISNUMBER(D1022),ISNUMBER(J1022)),ROUND(D1022*J1022*(1-N(F1022)),2),0))</f>
        <v/>
      </c>
      <c r="M1022" s="62" t="str">
        <f>IF(A1022="","",IFERROR(INDEX(fa_cname,MATCH(A1022,fa_num,0))&amp;"",""))</f>
        <v/>
      </c>
      <c r="N1022" s="59" t="str">
        <f>IF(COUNTA(A1022:G1022)=0,"",IF(A1022="","N° facture manquant",IF(ISNA(MATCH(A1022,fa_num,0)),"Facture inconnue",IF(AND(B1022&lt;&gt;"",ISNA(MATCH(B1022,pr_code,0))),"Article inconnu",IF(H1022="","Désignation manquante",IF(OR(NOT(ISNUMBER(D1022)),N(D1022)&lt;=0),"Quantité invalide",IF(J1022="","Prix manquant",IF(OR(NOT(ISNUMBER(J1022)),N(J1022)&lt;0),"Prix invalide",IF(OR(AND(F1022&lt;&gt;"",NOT(ISNUMBER(F1022))),N(F1022)&lt;0,N(F1022)&gt;1),"Remise invalide",IF(K1022="","Taux de TVA manquant",IF(NOT(ISNUMBER(K1022)),"Taux de TVA invalide",IF(COUNTIF(p_rates,K1022)=0,"Taux de TVA hors liste (Paramètres)",IF(N(O1022)&gt;25,"Au-delà de 25 lignes : non imprimée","OK")))))))))))))</f>
        <v/>
      </c>
      <c r="O1022" s="59" t="str">
        <f>IF(A1022="","",COUNTIF($A$6:A1022,A1022))</f>
        <v/>
      </c>
      <c r="P1022" s="62" t="str">
        <f>IF(A1022="","",A1022&amp;"|"&amp;O1022)</f>
        <v/>
      </c>
    </row>
    <row r="1023">
      <c r="A1023" s="60" t="n"/>
      <c r="B1023" s="63" t="n"/>
      <c r="C1023" s="63" t="n"/>
      <c r="D1023" s="67" t="n"/>
      <c r="E1023" s="68" t="n"/>
      <c r="F1023" s="69" t="n"/>
      <c r="G1023" s="70" t="n"/>
      <c r="H1023" s="62" t="str">
        <f>IF(COUNTA(A1023:G1023)=0,"",IF(C1023&lt;&gt;"",C1023,IF(B1023="","",IFERROR(INDEX(pr_des,MATCH(B1023,pr_code,0))&amp;"",""))))</f>
        <v/>
      </c>
      <c r="I1023" s="59" t="str">
        <f>IF(B1023="","",IFERROR(INDEX(pr_unit,MATCH(B1023,pr_code,0))&amp;"",""))</f>
        <v/>
      </c>
      <c r="J1023" s="65" t="str">
        <f>IF(COUNTA(A1023:G1023)=0,"",IF(E1023&lt;&gt;"",E1023,IF(B1023="","",IFERROR(IF(INDEX(pr_price,MATCH(B1023,pr_code,0))="","",INDEX(pr_price,MATCH(B1023,pr_code,0))),""))))</f>
        <v/>
      </c>
      <c r="K1023" s="71" t="str">
        <f>IF(COUNTA(A1023:G1023)=0,"",IF(G1023&lt;&gt;"",G1023,IF(B1023="","",IFERROR(IF(INDEX(pr_rate,MATCH(B1023,pr_code,0))="","",INDEX(pr_rate,MATCH(B1023,pr_code,0))),""))))</f>
        <v/>
      </c>
      <c r="L1023" s="65" t="str">
        <f>IF(COUNTA(A1023:G1023)=0,"",IF(AND(ISNUMBER(D1023),ISNUMBER(J1023)),ROUND(D1023*J1023*(1-N(F1023)),2),0))</f>
        <v/>
      </c>
      <c r="M1023" s="62" t="str">
        <f>IF(A1023="","",IFERROR(INDEX(fa_cname,MATCH(A1023,fa_num,0))&amp;"",""))</f>
        <v/>
      </c>
      <c r="N1023" s="59" t="str">
        <f>IF(COUNTA(A1023:G1023)=0,"",IF(A1023="","N° facture manquant",IF(ISNA(MATCH(A1023,fa_num,0)),"Facture inconnue",IF(AND(B1023&lt;&gt;"",ISNA(MATCH(B1023,pr_code,0))),"Article inconnu",IF(H1023="","Désignation manquante",IF(OR(NOT(ISNUMBER(D1023)),N(D1023)&lt;=0),"Quantité invalide",IF(J1023="","Prix manquant",IF(OR(NOT(ISNUMBER(J1023)),N(J1023)&lt;0),"Prix invalide",IF(OR(AND(F1023&lt;&gt;"",NOT(ISNUMBER(F1023))),N(F1023)&lt;0,N(F1023)&gt;1),"Remise invalide",IF(K1023="","Taux de TVA manquant",IF(NOT(ISNUMBER(K1023)),"Taux de TVA invalide",IF(COUNTIF(p_rates,K1023)=0,"Taux de TVA hors liste (Paramètres)",IF(N(O1023)&gt;25,"Au-delà de 25 lignes : non imprimée","OK")))))))))))))</f>
        <v/>
      </c>
      <c r="O1023" s="59" t="str">
        <f>IF(A1023="","",COUNTIF($A$6:A1023,A1023))</f>
        <v/>
      </c>
      <c r="P1023" s="62" t="str">
        <f>IF(A1023="","",A1023&amp;"|"&amp;O1023)</f>
        <v/>
      </c>
    </row>
    <row r="1024">
      <c r="A1024" s="60" t="n"/>
      <c r="B1024" s="63" t="n"/>
      <c r="C1024" s="63" t="n"/>
      <c r="D1024" s="67" t="n"/>
      <c r="E1024" s="68" t="n"/>
      <c r="F1024" s="69" t="n"/>
      <c r="G1024" s="70" t="n"/>
      <c r="H1024" s="62" t="str">
        <f>IF(COUNTA(A1024:G1024)=0,"",IF(C1024&lt;&gt;"",C1024,IF(B1024="","",IFERROR(INDEX(pr_des,MATCH(B1024,pr_code,0))&amp;"",""))))</f>
        <v/>
      </c>
      <c r="I1024" s="59" t="str">
        <f>IF(B1024="","",IFERROR(INDEX(pr_unit,MATCH(B1024,pr_code,0))&amp;"",""))</f>
        <v/>
      </c>
      <c r="J1024" s="65" t="str">
        <f>IF(COUNTA(A1024:G1024)=0,"",IF(E1024&lt;&gt;"",E1024,IF(B1024="","",IFERROR(IF(INDEX(pr_price,MATCH(B1024,pr_code,0))="","",INDEX(pr_price,MATCH(B1024,pr_code,0))),""))))</f>
        <v/>
      </c>
      <c r="K1024" s="71" t="str">
        <f>IF(COUNTA(A1024:G1024)=0,"",IF(G1024&lt;&gt;"",G1024,IF(B1024="","",IFERROR(IF(INDEX(pr_rate,MATCH(B1024,pr_code,0))="","",INDEX(pr_rate,MATCH(B1024,pr_code,0))),""))))</f>
        <v/>
      </c>
      <c r="L1024" s="65" t="str">
        <f>IF(COUNTA(A1024:G1024)=0,"",IF(AND(ISNUMBER(D1024),ISNUMBER(J1024)),ROUND(D1024*J1024*(1-N(F1024)),2),0))</f>
        <v/>
      </c>
      <c r="M1024" s="62" t="str">
        <f>IF(A1024="","",IFERROR(INDEX(fa_cname,MATCH(A1024,fa_num,0))&amp;"",""))</f>
        <v/>
      </c>
      <c r="N1024" s="59" t="str">
        <f>IF(COUNTA(A1024:G1024)=0,"",IF(A1024="","N° facture manquant",IF(ISNA(MATCH(A1024,fa_num,0)),"Facture inconnue",IF(AND(B1024&lt;&gt;"",ISNA(MATCH(B1024,pr_code,0))),"Article inconnu",IF(H1024="","Désignation manquante",IF(OR(NOT(ISNUMBER(D1024)),N(D1024)&lt;=0),"Quantité invalide",IF(J1024="","Prix manquant",IF(OR(NOT(ISNUMBER(J1024)),N(J1024)&lt;0),"Prix invalide",IF(OR(AND(F1024&lt;&gt;"",NOT(ISNUMBER(F1024))),N(F1024)&lt;0,N(F1024)&gt;1),"Remise invalide",IF(K1024="","Taux de TVA manquant",IF(NOT(ISNUMBER(K1024)),"Taux de TVA invalide",IF(COUNTIF(p_rates,K1024)=0,"Taux de TVA hors liste (Paramètres)",IF(N(O1024)&gt;25,"Au-delà de 25 lignes : non imprimée","OK")))))))))))))</f>
        <v/>
      </c>
      <c r="O1024" s="59" t="str">
        <f>IF(A1024="","",COUNTIF($A$6:A1024,A1024))</f>
        <v/>
      </c>
      <c r="P1024" s="62" t="str">
        <f>IF(A1024="","",A1024&amp;"|"&amp;O1024)</f>
        <v/>
      </c>
    </row>
    <row r="1025">
      <c r="A1025" s="60" t="n"/>
      <c r="B1025" s="63" t="n"/>
      <c r="C1025" s="63" t="n"/>
      <c r="D1025" s="67" t="n"/>
      <c r="E1025" s="68" t="n"/>
      <c r="F1025" s="69" t="n"/>
      <c r="G1025" s="70" t="n"/>
      <c r="H1025" s="62" t="str">
        <f>IF(COUNTA(A1025:G1025)=0,"",IF(C1025&lt;&gt;"",C1025,IF(B1025="","",IFERROR(INDEX(pr_des,MATCH(B1025,pr_code,0))&amp;"",""))))</f>
        <v/>
      </c>
      <c r="I1025" s="59" t="str">
        <f>IF(B1025="","",IFERROR(INDEX(pr_unit,MATCH(B1025,pr_code,0))&amp;"",""))</f>
        <v/>
      </c>
      <c r="J1025" s="65" t="str">
        <f>IF(COUNTA(A1025:G1025)=0,"",IF(E1025&lt;&gt;"",E1025,IF(B1025="","",IFERROR(IF(INDEX(pr_price,MATCH(B1025,pr_code,0))="","",INDEX(pr_price,MATCH(B1025,pr_code,0))),""))))</f>
        <v/>
      </c>
      <c r="K1025" s="71" t="str">
        <f>IF(COUNTA(A1025:G1025)=0,"",IF(G1025&lt;&gt;"",G1025,IF(B1025="","",IFERROR(IF(INDEX(pr_rate,MATCH(B1025,pr_code,0))="","",INDEX(pr_rate,MATCH(B1025,pr_code,0))),""))))</f>
        <v/>
      </c>
      <c r="L1025" s="65" t="str">
        <f>IF(COUNTA(A1025:G1025)=0,"",IF(AND(ISNUMBER(D1025),ISNUMBER(J1025)),ROUND(D1025*J1025*(1-N(F1025)),2),0))</f>
        <v/>
      </c>
      <c r="M1025" s="62" t="str">
        <f>IF(A1025="","",IFERROR(INDEX(fa_cname,MATCH(A1025,fa_num,0))&amp;"",""))</f>
        <v/>
      </c>
      <c r="N1025" s="59" t="str">
        <f>IF(COUNTA(A1025:G1025)=0,"",IF(A1025="","N° facture manquant",IF(ISNA(MATCH(A1025,fa_num,0)),"Facture inconnue",IF(AND(B1025&lt;&gt;"",ISNA(MATCH(B1025,pr_code,0))),"Article inconnu",IF(H1025="","Désignation manquante",IF(OR(NOT(ISNUMBER(D1025)),N(D1025)&lt;=0),"Quantité invalide",IF(J1025="","Prix manquant",IF(OR(NOT(ISNUMBER(J1025)),N(J1025)&lt;0),"Prix invalide",IF(OR(AND(F1025&lt;&gt;"",NOT(ISNUMBER(F1025))),N(F1025)&lt;0,N(F1025)&gt;1),"Remise invalide",IF(K1025="","Taux de TVA manquant",IF(NOT(ISNUMBER(K1025)),"Taux de TVA invalide",IF(COUNTIF(p_rates,K1025)=0,"Taux de TVA hors liste (Paramètres)",IF(N(O1025)&gt;25,"Au-delà de 25 lignes : non imprimée","OK")))))))))))))</f>
        <v/>
      </c>
      <c r="O1025" s="59" t="str">
        <f>IF(A1025="","",COUNTIF($A$6:A1025,A1025))</f>
        <v/>
      </c>
      <c r="P1025" s="62" t="str">
        <f>IF(A1025="","",A1025&amp;"|"&amp;O1025)</f>
        <v/>
      </c>
    </row>
    <row r="1026">
      <c r="A1026" s="60" t="n"/>
      <c r="B1026" s="63" t="n"/>
      <c r="C1026" s="63" t="n"/>
      <c r="D1026" s="67" t="n"/>
      <c r="E1026" s="68" t="n"/>
      <c r="F1026" s="69" t="n"/>
      <c r="G1026" s="70" t="n"/>
      <c r="H1026" s="62" t="str">
        <f>IF(COUNTA(A1026:G1026)=0,"",IF(C1026&lt;&gt;"",C1026,IF(B1026="","",IFERROR(INDEX(pr_des,MATCH(B1026,pr_code,0))&amp;"",""))))</f>
        <v/>
      </c>
      <c r="I1026" s="59" t="str">
        <f>IF(B1026="","",IFERROR(INDEX(pr_unit,MATCH(B1026,pr_code,0))&amp;"",""))</f>
        <v/>
      </c>
      <c r="J1026" s="65" t="str">
        <f>IF(COUNTA(A1026:G1026)=0,"",IF(E1026&lt;&gt;"",E1026,IF(B1026="","",IFERROR(IF(INDEX(pr_price,MATCH(B1026,pr_code,0))="","",INDEX(pr_price,MATCH(B1026,pr_code,0))),""))))</f>
        <v/>
      </c>
      <c r="K1026" s="71" t="str">
        <f>IF(COUNTA(A1026:G1026)=0,"",IF(G1026&lt;&gt;"",G1026,IF(B1026="","",IFERROR(IF(INDEX(pr_rate,MATCH(B1026,pr_code,0))="","",INDEX(pr_rate,MATCH(B1026,pr_code,0))),""))))</f>
        <v/>
      </c>
      <c r="L1026" s="65" t="str">
        <f>IF(COUNTA(A1026:G1026)=0,"",IF(AND(ISNUMBER(D1026),ISNUMBER(J1026)),ROUND(D1026*J1026*(1-N(F1026)),2),0))</f>
        <v/>
      </c>
      <c r="M1026" s="62" t="str">
        <f>IF(A1026="","",IFERROR(INDEX(fa_cname,MATCH(A1026,fa_num,0))&amp;"",""))</f>
        <v/>
      </c>
      <c r="N1026" s="59" t="str">
        <f>IF(COUNTA(A1026:G1026)=0,"",IF(A1026="","N° facture manquant",IF(ISNA(MATCH(A1026,fa_num,0)),"Facture inconnue",IF(AND(B1026&lt;&gt;"",ISNA(MATCH(B1026,pr_code,0))),"Article inconnu",IF(H1026="","Désignation manquante",IF(OR(NOT(ISNUMBER(D1026)),N(D1026)&lt;=0),"Quantité invalide",IF(J1026="","Prix manquant",IF(OR(NOT(ISNUMBER(J1026)),N(J1026)&lt;0),"Prix invalide",IF(OR(AND(F1026&lt;&gt;"",NOT(ISNUMBER(F1026))),N(F1026)&lt;0,N(F1026)&gt;1),"Remise invalide",IF(K1026="","Taux de TVA manquant",IF(NOT(ISNUMBER(K1026)),"Taux de TVA invalide",IF(COUNTIF(p_rates,K1026)=0,"Taux de TVA hors liste (Paramètres)",IF(N(O1026)&gt;25,"Au-delà de 25 lignes : non imprimée","OK")))))))))))))</f>
        <v/>
      </c>
      <c r="O1026" s="59" t="str">
        <f>IF(A1026="","",COUNTIF($A$6:A1026,A1026))</f>
        <v/>
      </c>
      <c r="P1026" s="62" t="str">
        <f>IF(A1026="","",A1026&amp;"|"&amp;O1026)</f>
        <v/>
      </c>
    </row>
    <row r="1027">
      <c r="A1027" s="60" t="n"/>
      <c r="B1027" s="63" t="n"/>
      <c r="C1027" s="63" t="n"/>
      <c r="D1027" s="67" t="n"/>
      <c r="E1027" s="68" t="n"/>
      <c r="F1027" s="69" t="n"/>
      <c r="G1027" s="70" t="n"/>
      <c r="H1027" s="62" t="str">
        <f>IF(COUNTA(A1027:G1027)=0,"",IF(C1027&lt;&gt;"",C1027,IF(B1027="","",IFERROR(INDEX(pr_des,MATCH(B1027,pr_code,0))&amp;"",""))))</f>
        <v/>
      </c>
      <c r="I1027" s="59" t="str">
        <f>IF(B1027="","",IFERROR(INDEX(pr_unit,MATCH(B1027,pr_code,0))&amp;"",""))</f>
        <v/>
      </c>
      <c r="J1027" s="65" t="str">
        <f>IF(COUNTA(A1027:G1027)=0,"",IF(E1027&lt;&gt;"",E1027,IF(B1027="","",IFERROR(IF(INDEX(pr_price,MATCH(B1027,pr_code,0))="","",INDEX(pr_price,MATCH(B1027,pr_code,0))),""))))</f>
        <v/>
      </c>
      <c r="K1027" s="71" t="str">
        <f>IF(COUNTA(A1027:G1027)=0,"",IF(G1027&lt;&gt;"",G1027,IF(B1027="","",IFERROR(IF(INDEX(pr_rate,MATCH(B1027,pr_code,0))="","",INDEX(pr_rate,MATCH(B1027,pr_code,0))),""))))</f>
        <v/>
      </c>
      <c r="L1027" s="65" t="str">
        <f>IF(COUNTA(A1027:G1027)=0,"",IF(AND(ISNUMBER(D1027),ISNUMBER(J1027)),ROUND(D1027*J1027*(1-N(F1027)),2),0))</f>
        <v/>
      </c>
      <c r="M1027" s="62" t="str">
        <f>IF(A1027="","",IFERROR(INDEX(fa_cname,MATCH(A1027,fa_num,0))&amp;"",""))</f>
        <v/>
      </c>
      <c r="N1027" s="59" t="str">
        <f>IF(COUNTA(A1027:G1027)=0,"",IF(A1027="","N° facture manquant",IF(ISNA(MATCH(A1027,fa_num,0)),"Facture inconnue",IF(AND(B1027&lt;&gt;"",ISNA(MATCH(B1027,pr_code,0))),"Article inconnu",IF(H1027="","Désignation manquante",IF(OR(NOT(ISNUMBER(D1027)),N(D1027)&lt;=0),"Quantité invalide",IF(J1027="","Prix manquant",IF(OR(NOT(ISNUMBER(J1027)),N(J1027)&lt;0),"Prix invalide",IF(OR(AND(F1027&lt;&gt;"",NOT(ISNUMBER(F1027))),N(F1027)&lt;0,N(F1027)&gt;1),"Remise invalide",IF(K1027="","Taux de TVA manquant",IF(NOT(ISNUMBER(K1027)),"Taux de TVA invalide",IF(COUNTIF(p_rates,K1027)=0,"Taux de TVA hors liste (Paramètres)",IF(N(O1027)&gt;25,"Au-delà de 25 lignes : non imprimée","OK")))))))))))))</f>
        <v/>
      </c>
      <c r="O1027" s="59" t="str">
        <f>IF(A1027="","",COUNTIF($A$6:A1027,A1027))</f>
        <v/>
      </c>
      <c r="P1027" s="62" t="str">
        <f>IF(A1027="","",A1027&amp;"|"&amp;O1027)</f>
        <v/>
      </c>
    </row>
    <row r="1028">
      <c r="A1028" s="60" t="n"/>
      <c r="B1028" s="63" t="n"/>
      <c r="C1028" s="63" t="n"/>
      <c r="D1028" s="67" t="n"/>
      <c r="E1028" s="68" t="n"/>
      <c r="F1028" s="69" t="n"/>
      <c r="G1028" s="70" t="n"/>
      <c r="H1028" s="62" t="str">
        <f>IF(COUNTA(A1028:G1028)=0,"",IF(C1028&lt;&gt;"",C1028,IF(B1028="","",IFERROR(INDEX(pr_des,MATCH(B1028,pr_code,0))&amp;"",""))))</f>
        <v/>
      </c>
      <c r="I1028" s="59" t="str">
        <f>IF(B1028="","",IFERROR(INDEX(pr_unit,MATCH(B1028,pr_code,0))&amp;"",""))</f>
        <v/>
      </c>
      <c r="J1028" s="65" t="str">
        <f>IF(COUNTA(A1028:G1028)=0,"",IF(E1028&lt;&gt;"",E1028,IF(B1028="","",IFERROR(IF(INDEX(pr_price,MATCH(B1028,pr_code,0))="","",INDEX(pr_price,MATCH(B1028,pr_code,0))),""))))</f>
        <v/>
      </c>
      <c r="K1028" s="71" t="str">
        <f>IF(COUNTA(A1028:G1028)=0,"",IF(G1028&lt;&gt;"",G1028,IF(B1028="","",IFERROR(IF(INDEX(pr_rate,MATCH(B1028,pr_code,0))="","",INDEX(pr_rate,MATCH(B1028,pr_code,0))),""))))</f>
        <v/>
      </c>
      <c r="L1028" s="65" t="str">
        <f>IF(COUNTA(A1028:G1028)=0,"",IF(AND(ISNUMBER(D1028),ISNUMBER(J1028)),ROUND(D1028*J1028*(1-N(F1028)),2),0))</f>
        <v/>
      </c>
      <c r="M1028" s="62" t="str">
        <f>IF(A1028="","",IFERROR(INDEX(fa_cname,MATCH(A1028,fa_num,0))&amp;"",""))</f>
        <v/>
      </c>
      <c r="N1028" s="59" t="str">
        <f>IF(COUNTA(A1028:G1028)=0,"",IF(A1028="","N° facture manquant",IF(ISNA(MATCH(A1028,fa_num,0)),"Facture inconnue",IF(AND(B1028&lt;&gt;"",ISNA(MATCH(B1028,pr_code,0))),"Article inconnu",IF(H1028="","Désignation manquante",IF(OR(NOT(ISNUMBER(D1028)),N(D1028)&lt;=0),"Quantité invalide",IF(J1028="","Prix manquant",IF(OR(NOT(ISNUMBER(J1028)),N(J1028)&lt;0),"Prix invalide",IF(OR(AND(F1028&lt;&gt;"",NOT(ISNUMBER(F1028))),N(F1028)&lt;0,N(F1028)&gt;1),"Remise invalide",IF(K1028="","Taux de TVA manquant",IF(NOT(ISNUMBER(K1028)),"Taux de TVA invalide",IF(COUNTIF(p_rates,K1028)=0,"Taux de TVA hors liste (Paramètres)",IF(N(O1028)&gt;25,"Au-delà de 25 lignes : non imprimée","OK")))))))))))))</f>
        <v/>
      </c>
      <c r="O1028" s="59" t="str">
        <f>IF(A1028="","",COUNTIF($A$6:A1028,A1028))</f>
        <v/>
      </c>
      <c r="P1028" s="62" t="str">
        <f>IF(A1028="","",A1028&amp;"|"&amp;O1028)</f>
        <v/>
      </c>
    </row>
    <row r="1029">
      <c r="A1029" s="60" t="n"/>
      <c r="B1029" s="63" t="n"/>
      <c r="C1029" s="63" t="n"/>
      <c r="D1029" s="67" t="n"/>
      <c r="E1029" s="68" t="n"/>
      <c r="F1029" s="69" t="n"/>
      <c r="G1029" s="70" t="n"/>
      <c r="H1029" s="62" t="str">
        <f>IF(COUNTA(A1029:G1029)=0,"",IF(C1029&lt;&gt;"",C1029,IF(B1029="","",IFERROR(INDEX(pr_des,MATCH(B1029,pr_code,0))&amp;"",""))))</f>
        <v/>
      </c>
      <c r="I1029" s="59" t="str">
        <f>IF(B1029="","",IFERROR(INDEX(pr_unit,MATCH(B1029,pr_code,0))&amp;"",""))</f>
        <v/>
      </c>
      <c r="J1029" s="65" t="str">
        <f>IF(COUNTA(A1029:G1029)=0,"",IF(E1029&lt;&gt;"",E1029,IF(B1029="","",IFERROR(IF(INDEX(pr_price,MATCH(B1029,pr_code,0))="","",INDEX(pr_price,MATCH(B1029,pr_code,0))),""))))</f>
        <v/>
      </c>
      <c r="K1029" s="71" t="str">
        <f>IF(COUNTA(A1029:G1029)=0,"",IF(G1029&lt;&gt;"",G1029,IF(B1029="","",IFERROR(IF(INDEX(pr_rate,MATCH(B1029,pr_code,0))="","",INDEX(pr_rate,MATCH(B1029,pr_code,0))),""))))</f>
        <v/>
      </c>
      <c r="L1029" s="65" t="str">
        <f>IF(COUNTA(A1029:G1029)=0,"",IF(AND(ISNUMBER(D1029),ISNUMBER(J1029)),ROUND(D1029*J1029*(1-N(F1029)),2),0))</f>
        <v/>
      </c>
      <c r="M1029" s="62" t="str">
        <f>IF(A1029="","",IFERROR(INDEX(fa_cname,MATCH(A1029,fa_num,0))&amp;"",""))</f>
        <v/>
      </c>
      <c r="N1029" s="59" t="str">
        <f>IF(COUNTA(A1029:G1029)=0,"",IF(A1029="","N° facture manquant",IF(ISNA(MATCH(A1029,fa_num,0)),"Facture inconnue",IF(AND(B1029&lt;&gt;"",ISNA(MATCH(B1029,pr_code,0))),"Article inconnu",IF(H1029="","Désignation manquante",IF(OR(NOT(ISNUMBER(D1029)),N(D1029)&lt;=0),"Quantité invalide",IF(J1029="","Prix manquant",IF(OR(NOT(ISNUMBER(J1029)),N(J1029)&lt;0),"Prix invalide",IF(OR(AND(F1029&lt;&gt;"",NOT(ISNUMBER(F1029))),N(F1029)&lt;0,N(F1029)&gt;1),"Remise invalide",IF(K1029="","Taux de TVA manquant",IF(NOT(ISNUMBER(K1029)),"Taux de TVA invalide",IF(COUNTIF(p_rates,K1029)=0,"Taux de TVA hors liste (Paramètres)",IF(N(O1029)&gt;25,"Au-delà de 25 lignes : non imprimée","OK")))))))))))))</f>
        <v/>
      </c>
      <c r="O1029" s="59" t="str">
        <f>IF(A1029="","",COUNTIF($A$6:A1029,A1029))</f>
        <v/>
      </c>
      <c r="P1029" s="62" t="str">
        <f>IF(A1029="","",A1029&amp;"|"&amp;O1029)</f>
        <v/>
      </c>
    </row>
    <row r="1030">
      <c r="A1030" s="60" t="n"/>
      <c r="B1030" s="63" t="n"/>
      <c r="C1030" s="63" t="n"/>
      <c r="D1030" s="67" t="n"/>
      <c r="E1030" s="68" t="n"/>
      <c r="F1030" s="69" t="n"/>
      <c r="G1030" s="70" t="n"/>
      <c r="H1030" s="62" t="str">
        <f>IF(COUNTA(A1030:G1030)=0,"",IF(C1030&lt;&gt;"",C1030,IF(B1030="","",IFERROR(INDEX(pr_des,MATCH(B1030,pr_code,0))&amp;"",""))))</f>
        <v/>
      </c>
      <c r="I1030" s="59" t="str">
        <f>IF(B1030="","",IFERROR(INDEX(pr_unit,MATCH(B1030,pr_code,0))&amp;"",""))</f>
        <v/>
      </c>
      <c r="J1030" s="65" t="str">
        <f>IF(COUNTA(A1030:G1030)=0,"",IF(E1030&lt;&gt;"",E1030,IF(B1030="","",IFERROR(IF(INDEX(pr_price,MATCH(B1030,pr_code,0))="","",INDEX(pr_price,MATCH(B1030,pr_code,0))),""))))</f>
        <v/>
      </c>
      <c r="K1030" s="71" t="str">
        <f>IF(COUNTA(A1030:G1030)=0,"",IF(G1030&lt;&gt;"",G1030,IF(B1030="","",IFERROR(IF(INDEX(pr_rate,MATCH(B1030,pr_code,0))="","",INDEX(pr_rate,MATCH(B1030,pr_code,0))),""))))</f>
        <v/>
      </c>
      <c r="L1030" s="65" t="str">
        <f>IF(COUNTA(A1030:G1030)=0,"",IF(AND(ISNUMBER(D1030),ISNUMBER(J1030)),ROUND(D1030*J1030*(1-N(F1030)),2),0))</f>
        <v/>
      </c>
      <c r="M1030" s="62" t="str">
        <f>IF(A1030="","",IFERROR(INDEX(fa_cname,MATCH(A1030,fa_num,0))&amp;"",""))</f>
        <v/>
      </c>
      <c r="N1030" s="59" t="str">
        <f>IF(COUNTA(A1030:G1030)=0,"",IF(A1030="","N° facture manquant",IF(ISNA(MATCH(A1030,fa_num,0)),"Facture inconnue",IF(AND(B1030&lt;&gt;"",ISNA(MATCH(B1030,pr_code,0))),"Article inconnu",IF(H1030="","Désignation manquante",IF(OR(NOT(ISNUMBER(D1030)),N(D1030)&lt;=0),"Quantité invalide",IF(J1030="","Prix manquant",IF(OR(NOT(ISNUMBER(J1030)),N(J1030)&lt;0),"Prix invalide",IF(OR(AND(F1030&lt;&gt;"",NOT(ISNUMBER(F1030))),N(F1030)&lt;0,N(F1030)&gt;1),"Remise invalide",IF(K1030="","Taux de TVA manquant",IF(NOT(ISNUMBER(K1030)),"Taux de TVA invalide",IF(COUNTIF(p_rates,K1030)=0,"Taux de TVA hors liste (Paramètres)",IF(N(O1030)&gt;25,"Au-delà de 25 lignes : non imprimée","OK")))))))))))))</f>
        <v/>
      </c>
      <c r="O1030" s="59" t="str">
        <f>IF(A1030="","",COUNTIF($A$6:A1030,A1030))</f>
        <v/>
      </c>
      <c r="P1030" s="62" t="str">
        <f>IF(A1030="","",A1030&amp;"|"&amp;O1030)</f>
        <v/>
      </c>
    </row>
    <row r="1031">
      <c r="A1031" s="60" t="n"/>
      <c r="B1031" s="63" t="n"/>
      <c r="C1031" s="63" t="n"/>
      <c r="D1031" s="67" t="n"/>
      <c r="E1031" s="68" t="n"/>
      <c r="F1031" s="69" t="n"/>
      <c r="G1031" s="70" t="n"/>
      <c r="H1031" s="62" t="str">
        <f>IF(COUNTA(A1031:G1031)=0,"",IF(C1031&lt;&gt;"",C1031,IF(B1031="","",IFERROR(INDEX(pr_des,MATCH(B1031,pr_code,0))&amp;"",""))))</f>
        <v/>
      </c>
      <c r="I1031" s="59" t="str">
        <f>IF(B1031="","",IFERROR(INDEX(pr_unit,MATCH(B1031,pr_code,0))&amp;"",""))</f>
        <v/>
      </c>
      <c r="J1031" s="65" t="str">
        <f>IF(COUNTA(A1031:G1031)=0,"",IF(E1031&lt;&gt;"",E1031,IF(B1031="","",IFERROR(IF(INDEX(pr_price,MATCH(B1031,pr_code,0))="","",INDEX(pr_price,MATCH(B1031,pr_code,0))),""))))</f>
        <v/>
      </c>
      <c r="K1031" s="71" t="str">
        <f>IF(COUNTA(A1031:G1031)=0,"",IF(G1031&lt;&gt;"",G1031,IF(B1031="","",IFERROR(IF(INDEX(pr_rate,MATCH(B1031,pr_code,0))="","",INDEX(pr_rate,MATCH(B1031,pr_code,0))),""))))</f>
        <v/>
      </c>
      <c r="L1031" s="65" t="str">
        <f>IF(COUNTA(A1031:G1031)=0,"",IF(AND(ISNUMBER(D1031),ISNUMBER(J1031)),ROUND(D1031*J1031*(1-N(F1031)),2),0))</f>
        <v/>
      </c>
      <c r="M1031" s="62" t="str">
        <f>IF(A1031="","",IFERROR(INDEX(fa_cname,MATCH(A1031,fa_num,0))&amp;"",""))</f>
        <v/>
      </c>
      <c r="N1031" s="59" t="str">
        <f>IF(COUNTA(A1031:G1031)=0,"",IF(A1031="","N° facture manquant",IF(ISNA(MATCH(A1031,fa_num,0)),"Facture inconnue",IF(AND(B1031&lt;&gt;"",ISNA(MATCH(B1031,pr_code,0))),"Article inconnu",IF(H1031="","Désignation manquante",IF(OR(NOT(ISNUMBER(D1031)),N(D1031)&lt;=0),"Quantité invalide",IF(J1031="","Prix manquant",IF(OR(NOT(ISNUMBER(J1031)),N(J1031)&lt;0),"Prix invalide",IF(OR(AND(F1031&lt;&gt;"",NOT(ISNUMBER(F1031))),N(F1031)&lt;0,N(F1031)&gt;1),"Remise invalide",IF(K1031="","Taux de TVA manquant",IF(NOT(ISNUMBER(K1031)),"Taux de TVA invalide",IF(COUNTIF(p_rates,K1031)=0,"Taux de TVA hors liste (Paramètres)",IF(N(O1031)&gt;25,"Au-delà de 25 lignes : non imprimée","OK")))))))))))))</f>
        <v/>
      </c>
      <c r="O1031" s="59" t="str">
        <f>IF(A1031="","",COUNTIF($A$6:A1031,A1031))</f>
        <v/>
      </c>
      <c r="P1031" s="62" t="str">
        <f>IF(A1031="","",A1031&amp;"|"&amp;O1031)</f>
        <v/>
      </c>
    </row>
    <row r="1032">
      <c r="A1032" s="60" t="n"/>
      <c r="B1032" s="63" t="n"/>
      <c r="C1032" s="63" t="n"/>
      <c r="D1032" s="67" t="n"/>
      <c r="E1032" s="68" t="n"/>
      <c r="F1032" s="69" t="n"/>
      <c r="G1032" s="70" t="n"/>
      <c r="H1032" s="62" t="str">
        <f>IF(COUNTA(A1032:G1032)=0,"",IF(C1032&lt;&gt;"",C1032,IF(B1032="","",IFERROR(INDEX(pr_des,MATCH(B1032,pr_code,0))&amp;"",""))))</f>
        <v/>
      </c>
      <c r="I1032" s="59" t="str">
        <f>IF(B1032="","",IFERROR(INDEX(pr_unit,MATCH(B1032,pr_code,0))&amp;"",""))</f>
        <v/>
      </c>
      <c r="J1032" s="65" t="str">
        <f>IF(COUNTA(A1032:G1032)=0,"",IF(E1032&lt;&gt;"",E1032,IF(B1032="","",IFERROR(IF(INDEX(pr_price,MATCH(B1032,pr_code,0))="","",INDEX(pr_price,MATCH(B1032,pr_code,0))),""))))</f>
        <v/>
      </c>
      <c r="K1032" s="71" t="str">
        <f>IF(COUNTA(A1032:G1032)=0,"",IF(G1032&lt;&gt;"",G1032,IF(B1032="","",IFERROR(IF(INDEX(pr_rate,MATCH(B1032,pr_code,0))="","",INDEX(pr_rate,MATCH(B1032,pr_code,0))),""))))</f>
        <v/>
      </c>
      <c r="L1032" s="65" t="str">
        <f>IF(COUNTA(A1032:G1032)=0,"",IF(AND(ISNUMBER(D1032),ISNUMBER(J1032)),ROUND(D1032*J1032*(1-N(F1032)),2),0))</f>
        <v/>
      </c>
      <c r="M1032" s="62" t="str">
        <f>IF(A1032="","",IFERROR(INDEX(fa_cname,MATCH(A1032,fa_num,0))&amp;"",""))</f>
        <v/>
      </c>
      <c r="N1032" s="59" t="str">
        <f>IF(COUNTA(A1032:G1032)=0,"",IF(A1032="","N° facture manquant",IF(ISNA(MATCH(A1032,fa_num,0)),"Facture inconnue",IF(AND(B1032&lt;&gt;"",ISNA(MATCH(B1032,pr_code,0))),"Article inconnu",IF(H1032="","Désignation manquante",IF(OR(NOT(ISNUMBER(D1032)),N(D1032)&lt;=0),"Quantité invalide",IF(J1032="","Prix manquant",IF(OR(NOT(ISNUMBER(J1032)),N(J1032)&lt;0),"Prix invalide",IF(OR(AND(F1032&lt;&gt;"",NOT(ISNUMBER(F1032))),N(F1032)&lt;0,N(F1032)&gt;1),"Remise invalide",IF(K1032="","Taux de TVA manquant",IF(NOT(ISNUMBER(K1032)),"Taux de TVA invalide",IF(COUNTIF(p_rates,K1032)=0,"Taux de TVA hors liste (Paramètres)",IF(N(O1032)&gt;25,"Au-delà de 25 lignes : non imprimée","OK")))))))))))))</f>
        <v/>
      </c>
      <c r="O1032" s="59" t="str">
        <f>IF(A1032="","",COUNTIF($A$6:A1032,A1032))</f>
        <v/>
      </c>
      <c r="P1032" s="62" t="str">
        <f>IF(A1032="","",A1032&amp;"|"&amp;O1032)</f>
        <v/>
      </c>
    </row>
    <row r="1033">
      <c r="A1033" s="60" t="n"/>
      <c r="B1033" s="63" t="n"/>
      <c r="C1033" s="63" t="n"/>
      <c r="D1033" s="67" t="n"/>
      <c r="E1033" s="68" t="n"/>
      <c r="F1033" s="69" t="n"/>
      <c r="G1033" s="70" t="n"/>
      <c r="H1033" s="62" t="str">
        <f>IF(COUNTA(A1033:G1033)=0,"",IF(C1033&lt;&gt;"",C1033,IF(B1033="","",IFERROR(INDEX(pr_des,MATCH(B1033,pr_code,0))&amp;"",""))))</f>
        <v/>
      </c>
      <c r="I1033" s="59" t="str">
        <f>IF(B1033="","",IFERROR(INDEX(pr_unit,MATCH(B1033,pr_code,0))&amp;"",""))</f>
        <v/>
      </c>
      <c r="J1033" s="65" t="str">
        <f>IF(COUNTA(A1033:G1033)=0,"",IF(E1033&lt;&gt;"",E1033,IF(B1033="","",IFERROR(IF(INDEX(pr_price,MATCH(B1033,pr_code,0))="","",INDEX(pr_price,MATCH(B1033,pr_code,0))),""))))</f>
        <v/>
      </c>
      <c r="K1033" s="71" t="str">
        <f>IF(COUNTA(A1033:G1033)=0,"",IF(G1033&lt;&gt;"",G1033,IF(B1033="","",IFERROR(IF(INDEX(pr_rate,MATCH(B1033,pr_code,0))="","",INDEX(pr_rate,MATCH(B1033,pr_code,0))),""))))</f>
        <v/>
      </c>
      <c r="L1033" s="65" t="str">
        <f>IF(COUNTA(A1033:G1033)=0,"",IF(AND(ISNUMBER(D1033),ISNUMBER(J1033)),ROUND(D1033*J1033*(1-N(F1033)),2),0))</f>
        <v/>
      </c>
      <c r="M1033" s="62" t="str">
        <f>IF(A1033="","",IFERROR(INDEX(fa_cname,MATCH(A1033,fa_num,0))&amp;"",""))</f>
        <v/>
      </c>
      <c r="N1033" s="59" t="str">
        <f>IF(COUNTA(A1033:G1033)=0,"",IF(A1033="","N° facture manquant",IF(ISNA(MATCH(A1033,fa_num,0)),"Facture inconnue",IF(AND(B1033&lt;&gt;"",ISNA(MATCH(B1033,pr_code,0))),"Article inconnu",IF(H1033="","Désignation manquante",IF(OR(NOT(ISNUMBER(D1033)),N(D1033)&lt;=0),"Quantité invalide",IF(J1033="","Prix manquant",IF(OR(NOT(ISNUMBER(J1033)),N(J1033)&lt;0),"Prix invalide",IF(OR(AND(F1033&lt;&gt;"",NOT(ISNUMBER(F1033))),N(F1033)&lt;0,N(F1033)&gt;1),"Remise invalide",IF(K1033="","Taux de TVA manquant",IF(NOT(ISNUMBER(K1033)),"Taux de TVA invalide",IF(COUNTIF(p_rates,K1033)=0,"Taux de TVA hors liste (Paramètres)",IF(N(O1033)&gt;25,"Au-delà de 25 lignes : non imprimée","OK")))))))))))))</f>
        <v/>
      </c>
      <c r="O1033" s="59" t="str">
        <f>IF(A1033="","",COUNTIF($A$6:A1033,A1033))</f>
        <v/>
      </c>
      <c r="P1033" s="62" t="str">
        <f>IF(A1033="","",A1033&amp;"|"&amp;O1033)</f>
        <v/>
      </c>
    </row>
    <row r="1034">
      <c r="A1034" s="60" t="n"/>
      <c r="B1034" s="63" t="n"/>
      <c r="C1034" s="63" t="n"/>
      <c r="D1034" s="67" t="n"/>
      <c r="E1034" s="68" t="n"/>
      <c r="F1034" s="69" t="n"/>
      <c r="G1034" s="70" t="n"/>
      <c r="H1034" s="62" t="str">
        <f>IF(COUNTA(A1034:G1034)=0,"",IF(C1034&lt;&gt;"",C1034,IF(B1034="","",IFERROR(INDEX(pr_des,MATCH(B1034,pr_code,0))&amp;"",""))))</f>
        <v/>
      </c>
      <c r="I1034" s="59" t="str">
        <f>IF(B1034="","",IFERROR(INDEX(pr_unit,MATCH(B1034,pr_code,0))&amp;"",""))</f>
        <v/>
      </c>
      <c r="J1034" s="65" t="str">
        <f>IF(COUNTA(A1034:G1034)=0,"",IF(E1034&lt;&gt;"",E1034,IF(B1034="","",IFERROR(IF(INDEX(pr_price,MATCH(B1034,pr_code,0))="","",INDEX(pr_price,MATCH(B1034,pr_code,0))),""))))</f>
        <v/>
      </c>
      <c r="K1034" s="71" t="str">
        <f>IF(COUNTA(A1034:G1034)=0,"",IF(G1034&lt;&gt;"",G1034,IF(B1034="","",IFERROR(IF(INDEX(pr_rate,MATCH(B1034,pr_code,0))="","",INDEX(pr_rate,MATCH(B1034,pr_code,0))),""))))</f>
        <v/>
      </c>
      <c r="L1034" s="65" t="str">
        <f>IF(COUNTA(A1034:G1034)=0,"",IF(AND(ISNUMBER(D1034),ISNUMBER(J1034)),ROUND(D1034*J1034*(1-N(F1034)),2),0))</f>
        <v/>
      </c>
      <c r="M1034" s="62" t="str">
        <f>IF(A1034="","",IFERROR(INDEX(fa_cname,MATCH(A1034,fa_num,0))&amp;"",""))</f>
        <v/>
      </c>
      <c r="N1034" s="59" t="str">
        <f>IF(COUNTA(A1034:G1034)=0,"",IF(A1034="","N° facture manquant",IF(ISNA(MATCH(A1034,fa_num,0)),"Facture inconnue",IF(AND(B1034&lt;&gt;"",ISNA(MATCH(B1034,pr_code,0))),"Article inconnu",IF(H1034="","Désignation manquante",IF(OR(NOT(ISNUMBER(D1034)),N(D1034)&lt;=0),"Quantité invalide",IF(J1034="","Prix manquant",IF(OR(NOT(ISNUMBER(J1034)),N(J1034)&lt;0),"Prix invalide",IF(OR(AND(F1034&lt;&gt;"",NOT(ISNUMBER(F1034))),N(F1034)&lt;0,N(F1034)&gt;1),"Remise invalide",IF(K1034="","Taux de TVA manquant",IF(NOT(ISNUMBER(K1034)),"Taux de TVA invalide",IF(COUNTIF(p_rates,K1034)=0,"Taux de TVA hors liste (Paramètres)",IF(N(O1034)&gt;25,"Au-delà de 25 lignes : non imprimée","OK")))))))))))))</f>
        <v/>
      </c>
      <c r="O1034" s="59" t="str">
        <f>IF(A1034="","",COUNTIF($A$6:A1034,A1034))</f>
        <v/>
      </c>
      <c r="P1034" s="62" t="str">
        <f>IF(A1034="","",A1034&amp;"|"&amp;O1034)</f>
        <v/>
      </c>
    </row>
    <row r="1035">
      <c r="A1035" s="60" t="n"/>
      <c r="B1035" s="63" t="n"/>
      <c r="C1035" s="63" t="n"/>
      <c r="D1035" s="67" t="n"/>
      <c r="E1035" s="68" t="n"/>
      <c r="F1035" s="69" t="n"/>
      <c r="G1035" s="70" t="n"/>
      <c r="H1035" s="62" t="str">
        <f>IF(COUNTA(A1035:G1035)=0,"",IF(C1035&lt;&gt;"",C1035,IF(B1035="","",IFERROR(INDEX(pr_des,MATCH(B1035,pr_code,0))&amp;"",""))))</f>
        <v/>
      </c>
      <c r="I1035" s="59" t="str">
        <f>IF(B1035="","",IFERROR(INDEX(pr_unit,MATCH(B1035,pr_code,0))&amp;"",""))</f>
        <v/>
      </c>
      <c r="J1035" s="65" t="str">
        <f>IF(COUNTA(A1035:G1035)=0,"",IF(E1035&lt;&gt;"",E1035,IF(B1035="","",IFERROR(IF(INDEX(pr_price,MATCH(B1035,pr_code,0))="","",INDEX(pr_price,MATCH(B1035,pr_code,0))),""))))</f>
        <v/>
      </c>
      <c r="K1035" s="71" t="str">
        <f>IF(COUNTA(A1035:G1035)=0,"",IF(G1035&lt;&gt;"",G1035,IF(B1035="","",IFERROR(IF(INDEX(pr_rate,MATCH(B1035,pr_code,0))="","",INDEX(pr_rate,MATCH(B1035,pr_code,0))),""))))</f>
        <v/>
      </c>
      <c r="L1035" s="65" t="str">
        <f>IF(COUNTA(A1035:G1035)=0,"",IF(AND(ISNUMBER(D1035),ISNUMBER(J1035)),ROUND(D1035*J1035*(1-N(F1035)),2),0))</f>
        <v/>
      </c>
      <c r="M1035" s="62" t="str">
        <f>IF(A1035="","",IFERROR(INDEX(fa_cname,MATCH(A1035,fa_num,0))&amp;"",""))</f>
        <v/>
      </c>
      <c r="N1035" s="59" t="str">
        <f>IF(COUNTA(A1035:G1035)=0,"",IF(A1035="","N° facture manquant",IF(ISNA(MATCH(A1035,fa_num,0)),"Facture inconnue",IF(AND(B1035&lt;&gt;"",ISNA(MATCH(B1035,pr_code,0))),"Article inconnu",IF(H1035="","Désignation manquante",IF(OR(NOT(ISNUMBER(D1035)),N(D1035)&lt;=0),"Quantité invalide",IF(J1035="","Prix manquant",IF(OR(NOT(ISNUMBER(J1035)),N(J1035)&lt;0),"Prix invalide",IF(OR(AND(F1035&lt;&gt;"",NOT(ISNUMBER(F1035))),N(F1035)&lt;0,N(F1035)&gt;1),"Remise invalide",IF(K1035="","Taux de TVA manquant",IF(NOT(ISNUMBER(K1035)),"Taux de TVA invalide",IF(COUNTIF(p_rates,K1035)=0,"Taux de TVA hors liste (Paramètres)",IF(N(O1035)&gt;25,"Au-delà de 25 lignes : non imprimée","OK")))))))))))))</f>
        <v/>
      </c>
      <c r="O1035" s="59" t="str">
        <f>IF(A1035="","",COUNTIF($A$6:A1035,A1035))</f>
        <v/>
      </c>
      <c r="P1035" s="62" t="str">
        <f>IF(A1035="","",A1035&amp;"|"&amp;O1035)</f>
        <v/>
      </c>
    </row>
    <row r="1036">
      <c r="A1036" s="60" t="n"/>
      <c r="B1036" s="63" t="n"/>
      <c r="C1036" s="63" t="n"/>
      <c r="D1036" s="67" t="n"/>
      <c r="E1036" s="68" t="n"/>
      <c r="F1036" s="69" t="n"/>
      <c r="G1036" s="70" t="n"/>
      <c r="H1036" s="62" t="str">
        <f>IF(COUNTA(A1036:G1036)=0,"",IF(C1036&lt;&gt;"",C1036,IF(B1036="","",IFERROR(INDEX(pr_des,MATCH(B1036,pr_code,0))&amp;"",""))))</f>
        <v/>
      </c>
      <c r="I1036" s="59" t="str">
        <f>IF(B1036="","",IFERROR(INDEX(pr_unit,MATCH(B1036,pr_code,0))&amp;"",""))</f>
        <v/>
      </c>
      <c r="J1036" s="65" t="str">
        <f>IF(COUNTA(A1036:G1036)=0,"",IF(E1036&lt;&gt;"",E1036,IF(B1036="","",IFERROR(IF(INDEX(pr_price,MATCH(B1036,pr_code,0))="","",INDEX(pr_price,MATCH(B1036,pr_code,0))),""))))</f>
        <v/>
      </c>
      <c r="K1036" s="71" t="str">
        <f>IF(COUNTA(A1036:G1036)=0,"",IF(G1036&lt;&gt;"",G1036,IF(B1036="","",IFERROR(IF(INDEX(pr_rate,MATCH(B1036,pr_code,0))="","",INDEX(pr_rate,MATCH(B1036,pr_code,0))),""))))</f>
        <v/>
      </c>
      <c r="L1036" s="65" t="str">
        <f>IF(COUNTA(A1036:G1036)=0,"",IF(AND(ISNUMBER(D1036),ISNUMBER(J1036)),ROUND(D1036*J1036*(1-N(F1036)),2),0))</f>
        <v/>
      </c>
      <c r="M1036" s="62" t="str">
        <f>IF(A1036="","",IFERROR(INDEX(fa_cname,MATCH(A1036,fa_num,0))&amp;"",""))</f>
        <v/>
      </c>
      <c r="N1036" s="59" t="str">
        <f>IF(COUNTA(A1036:G1036)=0,"",IF(A1036="","N° facture manquant",IF(ISNA(MATCH(A1036,fa_num,0)),"Facture inconnue",IF(AND(B1036&lt;&gt;"",ISNA(MATCH(B1036,pr_code,0))),"Article inconnu",IF(H1036="","Désignation manquante",IF(OR(NOT(ISNUMBER(D1036)),N(D1036)&lt;=0),"Quantité invalide",IF(J1036="","Prix manquant",IF(OR(NOT(ISNUMBER(J1036)),N(J1036)&lt;0),"Prix invalide",IF(OR(AND(F1036&lt;&gt;"",NOT(ISNUMBER(F1036))),N(F1036)&lt;0,N(F1036)&gt;1),"Remise invalide",IF(K1036="","Taux de TVA manquant",IF(NOT(ISNUMBER(K1036)),"Taux de TVA invalide",IF(COUNTIF(p_rates,K1036)=0,"Taux de TVA hors liste (Paramètres)",IF(N(O1036)&gt;25,"Au-delà de 25 lignes : non imprimée","OK")))))))))))))</f>
        <v/>
      </c>
      <c r="O1036" s="59" t="str">
        <f>IF(A1036="","",COUNTIF($A$6:A1036,A1036))</f>
        <v/>
      </c>
      <c r="P1036" s="62" t="str">
        <f>IF(A1036="","",A1036&amp;"|"&amp;O1036)</f>
        <v/>
      </c>
    </row>
    <row r="1037">
      <c r="A1037" s="60" t="n"/>
      <c r="B1037" s="63" t="n"/>
      <c r="C1037" s="63" t="n"/>
      <c r="D1037" s="67" t="n"/>
      <c r="E1037" s="68" t="n"/>
      <c r="F1037" s="69" t="n"/>
      <c r="G1037" s="70" t="n"/>
      <c r="H1037" s="62" t="str">
        <f>IF(COUNTA(A1037:G1037)=0,"",IF(C1037&lt;&gt;"",C1037,IF(B1037="","",IFERROR(INDEX(pr_des,MATCH(B1037,pr_code,0))&amp;"",""))))</f>
        <v/>
      </c>
      <c r="I1037" s="59" t="str">
        <f>IF(B1037="","",IFERROR(INDEX(pr_unit,MATCH(B1037,pr_code,0))&amp;"",""))</f>
        <v/>
      </c>
      <c r="J1037" s="65" t="str">
        <f>IF(COUNTA(A1037:G1037)=0,"",IF(E1037&lt;&gt;"",E1037,IF(B1037="","",IFERROR(IF(INDEX(pr_price,MATCH(B1037,pr_code,0))="","",INDEX(pr_price,MATCH(B1037,pr_code,0))),""))))</f>
        <v/>
      </c>
      <c r="K1037" s="71" t="str">
        <f>IF(COUNTA(A1037:G1037)=0,"",IF(G1037&lt;&gt;"",G1037,IF(B1037="","",IFERROR(IF(INDEX(pr_rate,MATCH(B1037,pr_code,0))="","",INDEX(pr_rate,MATCH(B1037,pr_code,0))),""))))</f>
        <v/>
      </c>
      <c r="L1037" s="65" t="str">
        <f>IF(COUNTA(A1037:G1037)=0,"",IF(AND(ISNUMBER(D1037),ISNUMBER(J1037)),ROUND(D1037*J1037*(1-N(F1037)),2),0))</f>
        <v/>
      </c>
      <c r="M1037" s="62" t="str">
        <f>IF(A1037="","",IFERROR(INDEX(fa_cname,MATCH(A1037,fa_num,0))&amp;"",""))</f>
        <v/>
      </c>
      <c r="N1037" s="59" t="str">
        <f>IF(COUNTA(A1037:G1037)=0,"",IF(A1037="","N° facture manquant",IF(ISNA(MATCH(A1037,fa_num,0)),"Facture inconnue",IF(AND(B1037&lt;&gt;"",ISNA(MATCH(B1037,pr_code,0))),"Article inconnu",IF(H1037="","Désignation manquante",IF(OR(NOT(ISNUMBER(D1037)),N(D1037)&lt;=0),"Quantité invalide",IF(J1037="","Prix manquant",IF(OR(NOT(ISNUMBER(J1037)),N(J1037)&lt;0),"Prix invalide",IF(OR(AND(F1037&lt;&gt;"",NOT(ISNUMBER(F1037))),N(F1037)&lt;0,N(F1037)&gt;1),"Remise invalide",IF(K1037="","Taux de TVA manquant",IF(NOT(ISNUMBER(K1037)),"Taux de TVA invalide",IF(COUNTIF(p_rates,K1037)=0,"Taux de TVA hors liste (Paramètres)",IF(N(O1037)&gt;25,"Au-delà de 25 lignes : non imprimée","OK")))))))))))))</f>
        <v/>
      </c>
      <c r="O1037" s="59" t="str">
        <f>IF(A1037="","",COUNTIF($A$6:A1037,A1037))</f>
        <v/>
      </c>
      <c r="P1037" s="62" t="str">
        <f>IF(A1037="","",A1037&amp;"|"&amp;O1037)</f>
        <v/>
      </c>
    </row>
    <row r="1038">
      <c r="A1038" s="60" t="n"/>
      <c r="B1038" s="63" t="n"/>
      <c r="C1038" s="63" t="n"/>
      <c r="D1038" s="67" t="n"/>
      <c r="E1038" s="68" t="n"/>
      <c r="F1038" s="69" t="n"/>
      <c r="G1038" s="70" t="n"/>
      <c r="H1038" s="62" t="str">
        <f>IF(COUNTA(A1038:G1038)=0,"",IF(C1038&lt;&gt;"",C1038,IF(B1038="","",IFERROR(INDEX(pr_des,MATCH(B1038,pr_code,0))&amp;"",""))))</f>
        <v/>
      </c>
      <c r="I1038" s="59" t="str">
        <f>IF(B1038="","",IFERROR(INDEX(pr_unit,MATCH(B1038,pr_code,0))&amp;"",""))</f>
        <v/>
      </c>
      <c r="J1038" s="65" t="str">
        <f>IF(COUNTA(A1038:G1038)=0,"",IF(E1038&lt;&gt;"",E1038,IF(B1038="","",IFERROR(IF(INDEX(pr_price,MATCH(B1038,pr_code,0))="","",INDEX(pr_price,MATCH(B1038,pr_code,0))),""))))</f>
        <v/>
      </c>
      <c r="K1038" s="71" t="str">
        <f>IF(COUNTA(A1038:G1038)=0,"",IF(G1038&lt;&gt;"",G1038,IF(B1038="","",IFERROR(IF(INDEX(pr_rate,MATCH(B1038,pr_code,0))="","",INDEX(pr_rate,MATCH(B1038,pr_code,0))),""))))</f>
        <v/>
      </c>
      <c r="L1038" s="65" t="str">
        <f>IF(COUNTA(A1038:G1038)=0,"",IF(AND(ISNUMBER(D1038),ISNUMBER(J1038)),ROUND(D1038*J1038*(1-N(F1038)),2),0))</f>
        <v/>
      </c>
      <c r="M1038" s="62" t="str">
        <f>IF(A1038="","",IFERROR(INDEX(fa_cname,MATCH(A1038,fa_num,0))&amp;"",""))</f>
        <v/>
      </c>
      <c r="N1038" s="59" t="str">
        <f>IF(COUNTA(A1038:G1038)=0,"",IF(A1038="","N° facture manquant",IF(ISNA(MATCH(A1038,fa_num,0)),"Facture inconnue",IF(AND(B1038&lt;&gt;"",ISNA(MATCH(B1038,pr_code,0))),"Article inconnu",IF(H1038="","Désignation manquante",IF(OR(NOT(ISNUMBER(D1038)),N(D1038)&lt;=0),"Quantité invalide",IF(J1038="","Prix manquant",IF(OR(NOT(ISNUMBER(J1038)),N(J1038)&lt;0),"Prix invalide",IF(OR(AND(F1038&lt;&gt;"",NOT(ISNUMBER(F1038))),N(F1038)&lt;0,N(F1038)&gt;1),"Remise invalide",IF(K1038="","Taux de TVA manquant",IF(NOT(ISNUMBER(K1038)),"Taux de TVA invalide",IF(COUNTIF(p_rates,K1038)=0,"Taux de TVA hors liste (Paramètres)",IF(N(O1038)&gt;25,"Au-delà de 25 lignes : non imprimée","OK")))))))))))))</f>
        <v/>
      </c>
      <c r="O1038" s="59" t="str">
        <f>IF(A1038="","",COUNTIF($A$6:A1038,A1038))</f>
        <v/>
      </c>
      <c r="P1038" s="62" t="str">
        <f>IF(A1038="","",A1038&amp;"|"&amp;O1038)</f>
        <v/>
      </c>
    </row>
    <row r="1039">
      <c r="A1039" s="60" t="n"/>
      <c r="B1039" s="63" t="n"/>
      <c r="C1039" s="63" t="n"/>
      <c r="D1039" s="67" t="n"/>
      <c r="E1039" s="68" t="n"/>
      <c r="F1039" s="69" t="n"/>
      <c r="G1039" s="70" t="n"/>
      <c r="H1039" s="62" t="str">
        <f>IF(COUNTA(A1039:G1039)=0,"",IF(C1039&lt;&gt;"",C1039,IF(B1039="","",IFERROR(INDEX(pr_des,MATCH(B1039,pr_code,0))&amp;"",""))))</f>
        <v/>
      </c>
      <c r="I1039" s="59" t="str">
        <f>IF(B1039="","",IFERROR(INDEX(pr_unit,MATCH(B1039,pr_code,0))&amp;"",""))</f>
        <v/>
      </c>
      <c r="J1039" s="65" t="str">
        <f>IF(COUNTA(A1039:G1039)=0,"",IF(E1039&lt;&gt;"",E1039,IF(B1039="","",IFERROR(IF(INDEX(pr_price,MATCH(B1039,pr_code,0))="","",INDEX(pr_price,MATCH(B1039,pr_code,0))),""))))</f>
        <v/>
      </c>
      <c r="K1039" s="71" t="str">
        <f>IF(COUNTA(A1039:G1039)=0,"",IF(G1039&lt;&gt;"",G1039,IF(B1039="","",IFERROR(IF(INDEX(pr_rate,MATCH(B1039,pr_code,0))="","",INDEX(pr_rate,MATCH(B1039,pr_code,0))),""))))</f>
        <v/>
      </c>
      <c r="L1039" s="65" t="str">
        <f>IF(COUNTA(A1039:G1039)=0,"",IF(AND(ISNUMBER(D1039),ISNUMBER(J1039)),ROUND(D1039*J1039*(1-N(F1039)),2),0))</f>
        <v/>
      </c>
      <c r="M1039" s="62" t="str">
        <f>IF(A1039="","",IFERROR(INDEX(fa_cname,MATCH(A1039,fa_num,0))&amp;"",""))</f>
        <v/>
      </c>
      <c r="N1039" s="59" t="str">
        <f>IF(COUNTA(A1039:G1039)=0,"",IF(A1039="","N° facture manquant",IF(ISNA(MATCH(A1039,fa_num,0)),"Facture inconnue",IF(AND(B1039&lt;&gt;"",ISNA(MATCH(B1039,pr_code,0))),"Article inconnu",IF(H1039="","Désignation manquante",IF(OR(NOT(ISNUMBER(D1039)),N(D1039)&lt;=0),"Quantité invalide",IF(J1039="","Prix manquant",IF(OR(NOT(ISNUMBER(J1039)),N(J1039)&lt;0),"Prix invalide",IF(OR(AND(F1039&lt;&gt;"",NOT(ISNUMBER(F1039))),N(F1039)&lt;0,N(F1039)&gt;1),"Remise invalide",IF(K1039="","Taux de TVA manquant",IF(NOT(ISNUMBER(K1039)),"Taux de TVA invalide",IF(COUNTIF(p_rates,K1039)=0,"Taux de TVA hors liste (Paramètres)",IF(N(O1039)&gt;25,"Au-delà de 25 lignes : non imprimée","OK")))))))))))))</f>
        <v/>
      </c>
      <c r="O1039" s="59" t="str">
        <f>IF(A1039="","",COUNTIF($A$6:A1039,A1039))</f>
        <v/>
      </c>
      <c r="P1039" s="62" t="str">
        <f>IF(A1039="","",A1039&amp;"|"&amp;O1039)</f>
        <v/>
      </c>
    </row>
    <row r="1040">
      <c r="A1040" s="60" t="n"/>
      <c r="B1040" s="63" t="n"/>
      <c r="C1040" s="63" t="n"/>
      <c r="D1040" s="67" t="n"/>
      <c r="E1040" s="68" t="n"/>
      <c r="F1040" s="69" t="n"/>
      <c r="G1040" s="70" t="n"/>
      <c r="H1040" s="62" t="str">
        <f>IF(COUNTA(A1040:G1040)=0,"",IF(C1040&lt;&gt;"",C1040,IF(B1040="","",IFERROR(INDEX(pr_des,MATCH(B1040,pr_code,0))&amp;"",""))))</f>
        <v/>
      </c>
      <c r="I1040" s="59" t="str">
        <f>IF(B1040="","",IFERROR(INDEX(pr_unit,MATCH(B1040,pr_code,0))&amp;"",""))</f>
        <v/>
      </c>
      <c r="J1040" s="65" t="str">
        <f>IF(COUNTA(A1040:G1040)=0,"",IF(E1040&lt;&gt;"",E1040,IF(B1040="","",IFERROR(IF(INDEX(pr_price,MATCH(B1040,pr_code,0))="","",INDEX(pr_price,MATCH(B1040,pr_code,0))),""))))</f>
        <v/>
      </c>
      <c r="K1040" s="71" t="str">
        <f>IF(COUNTA(A1040:G1040)=0,"",IF(G1040&lt;&gt;"",G1040,IF(B1040="","",IFERROR(IF(INDEX(pr_rate,MATCH(B1040,pr_code,0))="","",INDEX(pr_rate,MATCH(B1040,pr_code,0))),""))))</f>
        <v/>
      </c>
      <c r="L1040" s="65" t="str">
        <f>IF(COUNTA(A1040:G1040)=0,"",IF(AND(ISNUMBER(D1040),ISNUMBER(J1040)),ROUND(D1040*J1040*(1-N(F1040)),2),0))</f>
        <v/>
      </c>
      <c r="M1040" s="62" t="str">
        <f>IF(A1040="","",IFERROR(INDEX(fa_cname,MATCH(A1040,fa_num,0))&amp;"",""))</f>
        <v/>
      </c>
      <c r="N1040" s="59" t="str">
        <f>IF(COUNTA(A1040:G1040)=0,"",IF(A1040="","N° facture manquant",IF(ISNA(MATCH(A1040,fa_num,0)),"Facture inconnue",IF(AND(B1040&lt;&gt;"",ISNA(MATCH(B1040,pr_code,0))),"Article inconnu",IF(H1040="","Désignation manquante",IF(OR(NOT(ISNUMBER(D1040)),N(D1040)&lt;=0),"Quantité invalide",IF(J1040="","Prix manquant",IF(OR(NOT(ISNUMBER(J1040)),N(J1040)&lt;0),"Prix invalide",IF(OR(AND(F1040&lt;&gt;"",NOT(ISNUMBER(F1040))),N(F1040)&lt;0,N(F1040)&gt;1),"Remise invalide",IF(K1040="","Taux de TVA manquant",IF(NOT(ISNUMBER(K1040)),"Taux de TVA invalide",IF(COUNTIF(p_rates,K1040)=0,"Taux de TVA hors liste (Paramètres)",IF(N(O1040)&gt;25,"Au-delà de 25 lignes : non imprimée","OK")))))))))))))</f>
        <v/>
      </c>
      <c r="O1040" s="59" t="str">
        <f>IF(A1040="","",COUNTIF($A$6:A1040,A1040))</f>
        <v/>
      </c>
      <c r="P1040" s="62" t="str">
        <f>IF(A1040="","",A1040&amp;"|"&amp;O1040)</f>
        <v/>
      </c>
    </row>
    <row r="1041">
      <c r="A1041" s="60" t="n"/>
      <c r="B1041" s="63" t="n"/>
      <c r="C1041" s="63" t="n"/>
      <c r="D1041" s="67" t="n"/>
      <c r="E1041" s="68" t="n"/>
      <c r="F1041" s="69" t="n"/>
      <c r="G1041" s="70" t="n"/>
      <c r="H1041" s="62" t="str">
        <f>IF(COUNTA(A1041:G1041)=0,"",IF(C1041&lt;&gt;"",C1041,IF(B1041="","",IFERROR(INDEX(pr_des,MATCH(B1041,pr_code,0))&amp;"",""))))</f>
        <v/>
      </c>
      <c r="I1041" s="59" t="str">
        <f>IF(B1041="","",IFERROR(INDEX(pr_unit,MATCH(B1041,pr_code,0))&amp;"",""))</f>
        <v/>
      </c>
      <c r="J1041" s="65" t="str">
        <f>IF(COUNTA(A1041:G1041)=0,"",IF(E1041&lt;&gt;"",E1041,IF(B1041="","",IFERROR(IF(INDEX(pr_price,MATCH(B1041,pr_code,0))="","",INDEX(pr_price,MATCH(B1041,pr_code,0))),""))))</f>
        <v/>
      </c>
      <c r="K1041" s="71" t="str">
        <f>IF(COUNTA(A1041:G1041)=0,"",IF(G1041&lt;&gt;"",G1041,IF(B1041="","",IFERROR(IF(INDEX(pr_rate,MATCH(B1041,pr_code,0))="","",INDEX(pr_rate,MATCH(B1041,pr_code,0))),""))))</f>
        <v/>
      </c>
      <c r="L1041" s="65" t="str">
        <f>IF(COUNTA(A1041:G1041)=0,"",IF(AND(ISNUMBER(D1041),ISNUMBER(J1041)),ROUND(D1041*J1041*(1-N(F1041)),2),0))</f>
        <v/>
      </c>
      <c r="M1041" s="62" t="str">
        <f>IF(A1041="","",IFERROR(INDEX(fa_cname,MATCH(A1041,fa_num,0))&amp;"",""))</f>
        <v/>
      </c>
      <c r="N1041" s="59" t="str">
        <f>IF(COUNTA(A1041:G1041)=0,"",IF(A1041="","N° facture manquant",IF(ISNA(MATCH(A1041,fa_num,0)),"Facture inconnue",IF(AND(B1041&lt;&gt;"",ISNA(MATCH(B1041,pr_code,0))),"Article inconnu",IF(H1041="","Désignation manquante",IF(OR(NOT(ISNUMBER(D1041)),N(D1041)&lt;=0),"Quantité invalide",IF(J1041="","Prix manquant",IF(OR(NOT(ISNUMBER(J1041)),N(J1041)&lt;0),"Prix invalide",IF(OR(AND(F1041&lt;&gt;"",NOT(ISNUMBER(F1041))),N(F1041)&lt;0,N(F1041)&gt;1),"Remise invalide",IF(K1041="","Taux de TVA manquant",IF(NOT(ISNUMBER(K1041)),"Taux de TVA invalide",IF(COUNTIF(p_rates,K1041)=0,"Taux de TVA hors liste (Paramètres)",IF(N(O1041)&gt;25,"Au-delà de 25 lignes : non imprimée","OK")))))))))))))</f>
        <v/>
      </c>
      <c r="O1041" s="59" t="str">
        <f>IF(A1041="","",COUNTIF($A$6:A1041,A1041))</f>
        <v/>
      </c>
      <c r="P1041" s="62" t="str">
        <f>IF(A1041="","",A1041&amp;"|"&amp;O1041)</f>
        <v/>
      </c>
    </row>
    <row r="1042">
      <c r="A1042" s="60" t="n"/>
      <c r="B1042" s="63" t="n"/>
      <c r="C1042" s="63" t="n"/>
      <c r="D1042" s="67" t="n"/>
      <c r="E1042" s="68" t="n"/>
      <c r="F1042" s="69" t="n"/>
      <c r="G1042" s="70" t="n"/>
      <c r="H1042" s="62" t="str">
        <f>IF(COUNTA(A1042:G1042)=0,"",IF(C1042&lt;&gt;"",C1042,IF(B1042="","",IFERROR(INDEX(pr_des,MATCH(B1042,pr_code,0))&amp;"",""))))</f>
        <v/>
      </c>
      <c r="I1042" s="59" t="str">
        <f>IF(B1042="","",IFERROR(INDEX(pr_unit,MATCH(B1042,pr_code,0))&amp;"",""))</f>
        <v/>
      </c>
      <c r="J1042" s="65" t="str">
        <f>IF(COUNTA(A1042:G1042)=0,"",IF(E1042&lt;&gt;"",E1042,IF(B1042="","",IFERROR(IF(INDEX(pr_price,MATCH(B1042,pr_code,0))="","",INDEX(pr_price,MATCH(B1042,pr_code,0))),""))))</f>
        <v/>
      </c>
      <c r="K1042" s="71" t="str">
        <f>IF(COUNTA(A1042:G1042)=0,"",IF(G1042&lt;&gt;"",G1042,IF(B1042="","",IFERROR(IF(INDEX(pr_rate,MATCH(B1042,pr_code,0))="","",INDEX(pr_rate,MATCH(B1042,pr_code,0))),""))))</f>
        <v/>
      </c>
      <c r="L1042" s="65" t="str">
        <f>IF(COUNTA(A1042:G1042)=0,"",IF(AND(ISNUMBER(D1042),ISNUMBER(J1042)),ROUND(D1042*J1042*(1-N(F1042)),2),0))</f>
        <v/>
      </c>
      <c r="M1042" s="62" t="str">
        <f>IF(A1042="","",IFERROR(INDEX(fa_cname,MATCH(A1042,fa_num,0))&amp;"",""))</f>
        <v/>
      </c>
      <c r="N1042" s="59" t="str">
        <f>IF(COUNTA(A1042:G1042)=0,"",IF(A1042="","N° facture manquant",IF(ISNA(MATCH(A1042,fa_num,0)),"Facture inconnue",IF(AND(B1042&lt;&gt;"",ISNA(MATCH(B1042,pr_code,0))),"Article inconnu",IF(H1042="","Désignation manquante",IF(OR(NOT(ISNUMBER(D1042)),N(D1042)&lt;=0),"Quantité invalide",IF(J1042="","Prix manquant",IF(OR(NOT(ISNUMBER(J1042)),N(J1042)&lt;0),"Prix invalide",IF(OR(AND(F1042&lt;&gt;"",NOT(ISNUMBER(F1042))),N(F1042)&lt;0,N(F1042)&gt;1),"Remise invalide",IF(K1042="","Taux de TVA manquant",IF(NOT(ISNUMBER(K1042)),"Taux de TVA invalide",IF(COUNTIF(p_rates,K1042)=0,"Taux de TVA hors liste (Paramètres)",IF(N(O1042)&gt;25,"Au-delà de 25 lignes : non imprimée","OK")))))))))))))</f>
        <v/>
      </c>
      <c r="O1042" s="59" t="str">
        <f>IF(A1042="","",COUNTIF($A$6:A1042,A1042))</f>
        <v/>
      </c>
      <c r="P1042" s="62" t="str">
        <f>IF(A1042="","",A1042&amp;"|"&amp;O1042)</f>
        <v/>
      </c>
    </row>
    <row r="1043">
      <c r="A1043" s="60" t="n"/>
      <c r="B1043" s="63" t="n"/>
      <c r="C1043" s="63" t="n"/>
      <c r="D1043" s="67" t="n"/>
      <c r="E1043" s="68" t="n"/>
      <c r="F1043" s="69" t="n"/>
      <c r="G1043" s="70" t="n"/>
      <c r="H1043" s="62" t="str">
        <f>IF(COUNTA(A1043:G1043)=0,"",IF(C1043&lt;&gt;"",C1043,IF(B1043="","",IFERROR(INDEX(pr_des,MATCH(B1043,pr_code,0))&amp;"",""))))</f>
        <v/>
      </c>
      <c r="I1043" s="59" t="str">
        <f>IF(B1043="","",IFERROR(INDEX(pr_unit,MATCH(B1043,pr_code,0))&amp;"",""))</f>
        <v/>
      </c>
      <c r="J1043" s="65" t="str">
        <f>IF(COUNTA(A1043:G1043)=0,"",IF(E1043&lt;&gt;"",E1043,IF(B1043="","",IFERROR(IF(INDEX(pr_price,MATCH(B1043,pr_code,0))="","",INDEX(pr_price,MATCH(B1043,pr_code,0))),""))))</f>
        <v/>
      </c>
      <c r="K1043" s="71" t="str">
        <f>IF(COUNTA(A1043:G1043)=0,"",IF(G1043&lt;&gt;"",G1043,IF(B1043="","",IFERROR(IF(INDEX(pr_rate,MATCH(B1043,pr_code,0))="","",INDEX(pr_rate,MATCH(B1043,pr_code,0))),""))))</f>
        <v/>
      </c>
      <c r="L1043" s="65" t="str">
        <f>IF(COUNTA(A1043:G1043)=0,"",IF(AND(ISNUMBER(D1043),ISNUMBER(J1043)),ROUND(D1043*J1043*(1-N(F1043)),2),0))</f>
        <v/>
      </c>
      <c r="M1043" s="62" t="str">
        <f>IF(A1043="","",IFERROR(INDEX(fa_cname,MATCH(A1043,fa_num,0))&amp;"",""))</f>
        <v/>
      </c>
      <c r="N1043" s="59" t="str">
        <f>IF(COUNTA(A1043:G1043)=0,"",IF(A1043="","N° facture manquant",IF(ISNA(MATCH(A1043,fa_num,0)),"Facture inconnue",IF(AND(B1043&lt;&gt;"",ISNA(MATCH(B1043,pr_code,0))),"Article inconnu",IF(H1043="","Désignation manquante",IF(OR(NOT(ISNUMBER(D1043)),N(D1043)&lt;=0),"Quantité invalide",IF(J1043="","Prix manquant",IF(OR(NOT(ISNUMBER(J1043)),N(J1043)&lt;0),"Prix invalide",IF(OR(AND(F1043&lt;&gt;"",NOT(ISNUMBER(F1043))),N(F1043)&lt;0,N(F1043)&gt;1),"Remise invalide",IF(K1043="","Taux de TVA manquant",IF(NOT(ISNUMBER(K1043)),"Taux de TVA invalide",IF(COUNTIF(p_rates,K1043)=0,"Taux de TVA hors liste (Paramètres)",IF(N(O1043)&gt;25,"Au-delà de 25 lignes : non imprimée","OK")))))))))))))</f>
        <v/>
      </c>
      <c r="O1043" s="59" t="str">
        <f>IF(A1043="","",COUNTIF($A$6:A1043,A1043))</f>
        <v/>
      </c>
      <c r="P1043" s="62" t="str">
        <f>IF(A1043="","",A1043&amp;"|"&amp;O1043)</f>
        <v/>
      </c>
    </row>
    <row r="1044">
      <c r="A1044" s="60" t="n"/>
      <c r="B1044" s="63" t="n"/>
      <c r="C1044" s="63" t="n"/>
      <c r="D1044" s="67" t="n"/>
      <c r="E1044" s="68" t="n"/>
      <c r="F1044" s="69" t="n"/>
      <c r="G1044" s="70" t="n"/>
      <c r="H1044" s="62" t="str">
        <f>IF(COUNTA(A1044:G1044)=0,"",IF(C1044&lt;&gt;"",C1044,IF(B1044="","",IFERROR(INDEX(pr_des,MATCH(B1044,pr_code,0))&amp;"",""))))</f>
        <v/>
      </c>
      <c r="I1044" s="59" t="str">
        <f>IF(B1044="","",IFERROR(INDEX(pr_unit,MATCH(B1044,pr_code,0))&amp;"",""))</f>
        <v/>
      </c>
      <c r="J1044" s="65" t="str">
        <f>IF(COUNTA(A1044:G1044)=0,"",IF(E1044&lt;&gt;"",E1044,IF(B1044="","",IFERROR(IF(INDEX(pr_price,MATCH(B1044,pr_code,0))="","",INDEX(pr_price,MATCH(B1044,pr_code,0))),""))))</f>
        <v/>
      </c>
      <c r="K1044" s="71" t="str">
        <f>IF(COUNTA(A1044:G1044)=0,"",IF(G1044&lt;&gt;"",G1044,IF(B1044="","",IFERROR(IF(INDEX(pr_rate,MATCH(B1044,pr_code,0))="","",INDEX(pr_rate,MATCH(B1044,pr_code,0))),""))))</f>
        <v/>
      </c>
      <c r="L1044" s="65" t="str">
        <f>IF(COUNTA(A1044:G1044)=0,"",IF(AND(ISNUMBER(D1044),ISNUMBER(J1044)),ROUND(D1044*J1044*(1-N(F1044)),2),0))</f>
        <v/>
      </c>
      <c r="M1044" s="62" t="str">
        <f>IF(A1044="","",IFERROR(INDEX(fa_cname,MATCH(A1044,fa_num,0))&amp;"",""))</f>
        <v/>
      </c>
      <c r="N1044" s="59" t="str">
        <f>IF(COUNTA(A1044:G1044)=0,"",IF(A1044="","N° facture manquant",IF(ISNA(MATCH(A1044,fa_num,0)),"Facture inconnue",IF(AND(B1044&lt;&gt;"",ISNA(MATCH(B1044,pr_code,0))),"Article inconnu",IF(H1044="","Désignation manquante",IF(OR(NOT(ISNUMBER(D1044)),N(D1044)&lt;=0),"Quantité invalide",IF(J1044="","Prix manquant",IF(OR(NOT(ISNUMBER(J1044)),N(J1044)&lt;0),"Prix invalide",IF(OR(AND(F1044&lt;&gt;"",NOT(ISNUMBER(F1044))),N(F1044)&lt;0,N(F1044)&gt;1),"Remise invalide",IF(K1044="","Taux de TVA manquant",IF(NOT(ISNUMBER(K1044)),"Taux de TVA invalide",IF(COUNTIF(p_rates,K1044)=0,"Taux de TVA hors liste (Paramètres)",IF(N(O1044)&gt;25,"Au-delà de 25 lignes : non imprimée","OK")))))))))))))</f>
        <v/>
      </c>
      <c r="O1044" s="59" t="str">
        <f>IF(A1044="","",COUNTIF($A$6:A1044,A1044))</f>
        <v/>
      </c>
      <c r="P1044" s="62" t="str">
        <f>IF(A1044="","",A1044&amp;"|"&amp;O1044)</f>
        <v/>
      </c>
    </row>
    <row r="1045">
      <c r="A1045" s="60" t="n"/>
      <c r="B1045" s="63" t="n"/>
      <c r="C1045" s="63" t="n"/>
      <c r="D1045" s="67" t="n"/>
      <c r="E1045" s="68" t="n"/>
      <c r="F1045" s="69" t="n"/>
      <c r="G1045" s="70" t="n"/>
      <c r="H1045" s="62" t="str">
        <f>IF(COUNTA(A1045:G1045)=0,"",IF(C1045&lt;&gt;"",C1045,IF(B1045="","",IFERROR(INDEX(pr_des,MATCH(B1045,pr_code,0))&amp;"",""))))</f>
        <v/>
      </c>
      <c r="I1045" s="59" t="str">
        <f>IF(B1045="","",IFERROR(INDEX(pr_unit,MATCH(B1045,pr_code,0))&amp;"",""))</f>
        <v/>
      </c>
      <c r="J1045" s="65" t="str">
        <f>IF(COUNTA(A1045:G1045)=0,"",IF(E1045&lt;&gt;"",E1045,IF(B1045="","",IFERROR(IF(INDEX(pr_price,MATCH(B1045,pr_code,0))="","",INDEX(pr_price,MATCH(B1045,pr_code,0))),""))))</f>
        <v/>
      </c>
      <c r="K1045" s="71" t="str">
        <f>IF(COUNTA(A1045:G1045)=0,"",IF(G1045&lt;&gt;"",G1045,IF(B1045="","",IFERROR(IF(INDEX(pr_rate,MATCH(B1045,pr_code,0))="","",INDEX(pr_rate,MATCH(B1045,pr_code,0))),""))))</f>
        <v/>
      </c>
      <c r="L1045" s="65" t="str">
        <f>IF(COUNTA(A1045:G1045)=0,"",IF(AND(ISNUMBER(D1045),ISNUMBER(J1045)),ROUND(D1045*J1045*(1-N(F1045)),2),0))</f>
        <v/>
      </c>
      <c r="M1045" s="62" t="str">
        <f>IF(A1045="","",IFERROR(INDEX(fa_cname,MATCH(A1045,fa_num,0))&amp;"",""))</f>
        <v/>
      </c>
      <c r="N1045" s="59" t="str">
        <f>IF(COUNTA(A1045:G1045)=0,"",IF(A1045="","N° facture manquant",IF(ISNA(MATCH(A1045,fa_num,0)),"Facture inconnue",IF(AND(B1045&lt;&gt;"",ISNA(MATCH(B1045,pr_code,0))),"Article inconnu",IF(H1045="","Désignation manquante",IF(OR(NOT(ISNUMBER(D1045)),N(D1045)&lt;=0),"Quantité invalide",IF(J1045="","Prix manquant",IF(OR(NOT(ISNUMBER(J1045)),N(J1045)&lt;0),"Prix invalide",IF(OR(AND(F1045&lt;&gt;"",NOT(ISNUMBER(F1045))),N(F1045)&lt;0,N(F1045)&gt;1),"Remise invalide",IF(K1045="","Taux de TVA manquant",IF(NOT(ISNUMBER(K1045)),"Taux de TVA invalide",IF(COUNTIF(p_rates,K1045)=0,"Taux de TVA hors liste (Paramètres)",IF(N(O1045)&gt;25,"Au-delà de 25 lignes : non imprimée","OK")))))))))))))</f>
        <v/>
      </c>
      <c r="O1045" s="59" t="str">
        <f>IF(A1045="","",COUNTIF($A$6:A1045,A1045))</f>
        <v/>
      </c>
      <c r="P1045" s="62" t="str">
        <f>IF(A1045="","",A1045&amp;"|"&amp;O1045)</f>
        <v/>
      </c>
    </row>
    <row r="1046">
      <c r="A1046" s="60" t="n"/>
      <c r="B1046" s="63" t="n"/>
      <c r="C1046" s="63" t="n"/>
      <c r="D1046" s="67" t="n"/>
      <c r="E1046" s="68" t="n"/>
      <c r="F1046" s="69" t="n"/>
      <c r="G1046" s="70" t="n"/>
      <c r="H1046" s="62" t="str">
        <f>IF(COUNTA(A1046:G1046)=0,"",IF(C1046&lt;&gt;"",C1046,IF(B1046="","",IFERROR(INDEX(pr_des,MATCH(B1046,pr_code,0))&amp;"",""))))</f>
        <v/>
      </c>
      <c r="I1046" s="59" t="str">
        <f>IF(B1046="","",IFERROR(INDEX(pr_unit,MATCH(B1046,pr_code,0))&amp;"",""))</f>
        <v/>
      </c>
      <c r="J1046" s="65" t="str">
        <f>IF(COUNTA(A1046:G1046)=0,"",IF(E1046&lt;&gt;"",E1046,IF(B1046="","",IFERROR(IF(INDEX(pr_price,MATCH(B1046,pr_code,0))="","",INDEX(pr_price,MATCH(B1046,pr_code,0))),""))))</f>
        <v/>
      </c>
      <c r="K1046" s="71" t="str">
        <f>IF(COUNTA(A1046:G1046)=0,"",IF(G1046&lt;&gt;"",G1046,IF(B1046="","",IFERROR(IF(INDEX(pr_rate,MATCH(B1046,pr_code,0))="","",INDEX(pr_rate,MATCH(B1046,pr_code,0))),""))))</f>
        <v/>
      </c>
      <c r="L1046" s="65" t="str">
        <f>IF(COUNTA(A1046:G1046)=0,"",IF(AND(ISNUMBER(D1046),ISNUMBER(J1046)),ROUND(D1046*J1046*(1-N(F1046)),2),0))</f>
        <v/>
      </c>
      <c r="M1046" s="62" t="str">
        <f>IF(A1046="","",IFERROR(INDEX(fa_cname,MATCH(A1046,fa_num,0))&amp;"",""))</f>
        <v/>
      </c>
      <c r="N1046" s="59" t="str">
        <f>IF(COUNTA(A1046:G1046)=0,"",IF(A1046="","N° facture manquant",IF(ISNA(MATCH(A1046,fa_num,0)),"Facture inconnue",IF(AND(B1046&lt;&gt;"",ISNA(MATCH(B1046,pr_code,0))),"Article inconnu",IF(H1046="","Désignation manquante",IF(OR(NOT(ISNUMBER(D1046)),N(D1046)&lt;=0),"Quantité invalide",IF(J1046="","Prix manquant",IF(OR(NOT(ISNUMBER(J1046)),N(J1046)&lt;0),"Prix invalide",IF(OR(AND(F1046&lt;&gt;"",NOT(ISNUMBER(F1046))),N(F1046)&lt;0,N(F1046)&gt;1),"Remise invalide",IF(K1046="","Taux de TVA manquant",IF(NOT(ISNUMBER(K1046)),"Taux de TVA invalide",IF(COUNTIF(p_rates,K1046)=0,"Taux de TVA hors liste (Paramètres)",IF(N(O1046)&gt;25,"Au-delà de 25 lignes : non imprimée","OK")))))))))))))</f>
        <v/>
      </c>
      <c r="O1046" s="59" t="str">
        <f>IF(A1046="","",COUNTIF($A$6:A1046,A1046))</f>
        <v/>
      </c>
      <c r="P1046" s="62" t="str">
        <f>IF(A1046="","",A1046&amp;"|"&amp;O1046)</f>
        <v/>
      </c>
    </row>
    <row r="1047">
      <c r="A1047" s="60" t="n"/>
      <c r="B1047" s="63" t="n"/>
      <c r="C1047" s="63" t="n"/>
      <c r="D1047" s="67" t="n"/>
      <c r="E1047" s="68" t="n"/>
      <c r="F1047" s="69" t="n"/>
      <c r="G1047" s="70" t="n"/>
      <c r="H1047" s="62" t="str">
        <f>IF(COUNTA(A1047:G1047)=0,"",IF(C1047&lt;&gt;"",C1047,IF(B1047="","",IFERROR(INDEX(pr_des,MATCH(B1047,pr_code,0))&amp;"",""))))</f>
        <v/>
      </c>
      <c r="I1047" s="59" t="str">
        <f>IF(B1047="","",IFERROR(INDEX(pr_unit,MATCH(B1047,pr_code,0))&amp;"",""))</f>
        <v/>
      </c>
      <c r="J1047" s="65" t="str">
        <f>IF(COUNTA(A1047:G1047)=0,"",IF(E1047&lt;&gt;"",E1047,IF(B1047="","",IFERROR(IF(INDEX(pr_price,MATCH(B1047,pr_code,0))="","",INDEX(pr_price,MATCH(B1047,pr_code,0))),""))))</f>
        <v/>
      </c>
      <c r="K1047" s="71" t="str">
        <f>IF(COUNTA(A1047:G1047)=0,"",IF(G1047&lt;&gt;"",G1047,IF(B1047="","",IFERROR(IF(INDEX(pr_rate,MATCH(B1047,pr_code,0))="","",INDEX(pr_rate,MATCH(B1047,pr_code,0))),""))))</f>
        <v/>
      </c>
      <c r="L1047" s="65" t="str">
        <f>IF(COUNTA(A1047:G1047)=0,"",IF(AND(ISNUMBER(D1047),ISNUMBER(J1047)),ROUND(D1047*J1047*(1-N(F1047)),2),0))</f>
        <v/>
      </c>
      <c r="M1047" s="62" t="str">
        <f>IF(A1047="","",IFERROR(INDEX(fa_cname,MATCH(A1047,fa_num,0))&amp;"",""))</f>
        <v/>
      </c>
      <c r="N1047" s="59" t="str">
        <f>IF(COUNTA(A1047:G1047)=0,"",IF(A1047="","N° facture manquant",IF(ISNA(MATCH(A1047,fa_num,0)),"Facture inconnue",IF(AND(B1047&lt;&gt;"",ISNA(MATCH(B1047,pr_code,0))),"Article inconnu",IF(H1047="","Désignation manquante",IF(OR(NOT(ISNUMBER(D1047)),N(D1047)&lt;=0),"Quantité invalide",IF(J1047="","Prix manquant",IF(OR(NOT(ISNUMBER(J1047)),N(J1047)&lt;0),"Prix invalide",IF(OR(AND(F1047&lt;&gt;"",NOT(ISNUMBER(F1047))),N(F1047)&lt;0,N(F1047)&gt;1),"Remise invalide",IF(K1047="","Taux de TVA manquant",IF(NOT(ISNUMBER(K1047)),"Taux de TVA invalide",IF(COUNTIF(p_rates,K1047)=0,"Taux de TVA hors liste (Paramètres)",IF(N(O1047)&gt;25,"Au-delà de 25 lignes : non imprimée","OK")))))))))))))</f>
        <v/>
      </c>
      <c r="O1047" s="59" t="str">
        <f>IF(A1047="","",COUNTIF($A$6:A1047,A1047))</f>
        <v/>
      </c>
      <c r="P1047" s="62" t="str">
        <f>IF(A1047="","",A1047&amp;"|"&amp;O1047)</f>
        <v/>
      </c>
    </row>
    <row r="1048">
      <c r="A1048" s="60" t="n"/>
      <c r="B1048" s="63" t="n"/>
      <c r="C1048" s="63" t="n"/>
      <c r="D1048" s="67" t="n"/>
      <c r="E1048" s="68" t="n"/>
      <c r="F1048" s="69" t="n"/>
      <c r="G1048" s="70" t="n"/>
      <c r="H1048" s="62" t="str">
        <f>IF(COUNTA(A1048:G1048)=0,"",IF(C1048&lt;&gt;"",C1048,IF(B1048="","",IFERROR(INDEX(pr_des,MATCH(B1048,pr_code,0))&amp;"",""))))</f>
        <v/>
      </c>
      <c r="I1048" s="59" t="str">
        <f>IF(B1048="","",IFERROR(INDEX(pr_unit,MATCH(B1048,pr_code,0))&amp;"",""))</f>
        <v/>
      </c>
      <c r="J1048" s="65" t="str">
        <f>IF(COUNTA(A1048:G1048)=0,"",IF(E1048&lt;&gt;"",E1048,IF(B1048="","",IFERROR(IF(INDEX(pr_price,MATCH(B1048,pr_code,0))="","",INDEX(pr_price,MATCH(B1048,pr_code,0))),""))))</f>
        <v/>
      </c>
      <c r="K1048" s="71" t="str">
        <f>IF(COUNTA(A1048:G1048)=0,"",IF(G1048&lt;&gt;"",G1048,IF(B1048="","",IFERROR(IF(INDEX(pr_rate,MATCH(B1048,pr_code,0))="","",INDEX(pr_rate,MATCH(B1048,pr_code,0))),""))))</f>
        <v/>
      </c>
      <c r="L1048" s="65" t="str">
        <f>IF(COUNTA(A1048:G1048)=0,"",IF(AND(ISNUMBER(D1048),ISNUMBER(J1048)),ROUND(D1048*J1048*(1-N(F1048)),2),0))</f>
        <v/>
      </c>
      <c r="M1048" s="62" t="str">
        <f>IF(A1048="","",IFERROR(INDEX(fa_cname,MATCH(A1048,fa_num,0))&amp;"",""))</f>
        <v/>
      </c>
      <c r="N1048" s="59" t="str">
        <f>IF(COUNTA(A1048:G1048)=0,"",IF(A1048="","N° facture manquant",IF(ISNA(MATCH(A1048,fa_num,0)),"Facture inconnue",IF(AND(B1048&lt;&gt;"",ISNA(MATCH(B1048,pr_code,0))),"Article inconnu",IF(H1048="","Désignation manquante",IF(OR(NOT(ISNUMBER(D1048)),N(D1048)&lt;=0),"Quantité invalide",IF(J1048="","Prix manquant",IF(OR(NOT(ISNUMBER(J1048)),N(J1048)&lt;0),"Prix invalide",IF(OR(AND(F1048&lt;&gt;"",NOT(ISNUMBER(F1048))),N(F1048)&lt;0,N(F1048)&gt;1),"Remise invalide",IF(K1048="","Taux de TVA manquant",IF(NOT(ISNUMBER(K1048)),"Taux de TVA invalide",IF(COUNTIF(p_rates,K1048)=0,"Taux de TVA hors liste (Paramètres)",IF(N(O1048)&gt;25,"Au-delà de 25 lignes : non imprimée","OK")))))))))))))</f>
        <v/>
      </c>
      <c r="O1048" s="59" t="str">
        <f>IF(A1048="","",COUNTIF($A$6:A1048,A1048))</f>
        <v/>
      </c>
      <c r="P1048" s="62" t="str">
        <f>IF(A1048="","",A1048&amp;"|"&amp;O1048)</f>
        <v/>
      </c>
    </row>
    <row r="1049">
      <c r="A1049" s="60" t="n"/>
      <c r="B1049" s="63" t="n"/>
      <c r="C1049" s="63" t="n"/>
      <c r="D1049" s="67" t="n"/>
      <c r="E1049" s="68" t="n"/>
      <c r="F1049" s="69" t="n"/>
      <c r="G1049" s="70" t="n"/>
      <c r="H1049" s="62" t="str">
        <f>IF(COUNTA(A1049:G1049)=0,"",IF(C1049&lt;&gt;"",C1049,IF(B1049="","",IFERROR(INDEX(pr_des,MATCH(B1049,pr_code,0))&amp;"",""))))</f>
        <v/>
      </c>
      <c r="I1049" s="59" t="str">
        <f>IF(B1049="","",IFERROR(INDEX(pr_unit,MATCH(B1049,pr_code,0))&amp;"",""))</f>
        <v/>
      </c>
      <c r="J1049" s="65" t="str">
        <f>IF(COUNTA(A1049:G1049)=0,"",IF(E1049&lt;&gt;"",E1049,IF(B1049="","",IFERROR(IF(INDEX(pr_price,MATCH(B1049,pr_code,0))="","",INDEX(pr_price,MATCH(B1049,pr_code,0))),""))))</f>
        <v/>
      </c>
      <c r="K1049" s="71" t="str">
        <f>IF(COUNTA(A1049:G1049)=0,"",IF(G1049&lt;&gt;"",G1049,IF(B1049="","",IFERROR(IF(INDEX(pr_rate,MATCH(B1049,pr_code,0))="","",INDEX(pr_rate,MATCH(B1049,pr_code,0))),""))))</f>
        <v/>
      </c>
      <c r="L1049" s="65" t="str">
        <f>IF(COUNTA(A1049:G1049)=0,"",IF(AND(ISNUMBER(D1049),ISNUMBER(J1049)),ROUND(D1049*J1049*(1-N(F1049)),2),0))</f>
        <v/>
      </c>
      <c r="M1049" s="62" t="str">
        <f>IF(A1049="","",IFERROR(INDEX(fa_cname,MATCH(A1049,fa_num,0))&amp;"",""))</f>
        <v/>
      </c>
      <c r="N1049" s="59" t="str">
        <f>IF(COUNTA(A1049:G1049)=0,"",IF(A1049="","N° facture manquant",IF(ISNA(MATCH(A1049,fa_num,0)),"Facture inconnue",IF(AND(B1049&lt;&gt;"",ISNA(MATCH(B1049,pr_code,0))),"Article inconnu",IF(H1049="","Désignation manquante",IF(OR(NOT(ISNUMBER(D1049)),N(D1049)&lt;=0),"Quantité invalide",IF(J1049="","Prix manquant",IF(OR(NOT(ISNUMBER(J1049)),N(J1049)&lt;0),"Prix invalide",IF(OR(AND(F1049&lt;&gt;"",NOT(ISNUMBER(F1049))),N(F1049)&lt;0,N(F1049)&gt;1),"Remise invalide",IF(K1049="","Taux de TVA manquant",IF(NOT(ISNUMBER(K1049)),"Taux de TVA invalide",IF(COUNTIF(p_rates,K1049)=0,"Taux de TVA hors liste (Paramètres)",IF(N(O1049)&gt;25,"Au-delà de 25 lignes : non imprimée","OK")))))))))))))</f>
        <v/>
      </c>
      <c r="O1049" s="59" t="str">
        <f>IF(A1049="","",COUNTIF($A$6:A1049,A1049))</f>
        <v/>
      </c>
      <c r="P1049" s="62" t="str">
        <f>IF(A1049="","",A1049&amp;"|"&amp;O1049)</f>
        <v/>
      </c>
    </row>
    <row r="1050">
      <c r="A1050" s="60" t="n"/>
      <c r="B1050" s="63" t="n"/>
      <c r="C1050" s="63" t="n"/>
      <c r="D1050" s="67" t="n"/>
      <c r="E1050" s="68" t="n"/>
      <c r="F1050" s="69" t="n"/>
      <c r="G1050" s="70" t="n"/>
      <c r="H1050" s="62" t="str">
        <f>IF(COUNTA(A1050:G1050)=0,"",IF(C1050&lt;&gt;"",C1050,IF(B1050="","",IFERROR(INDEX(pr_des,MATCH(B1050,pr_code,0))&amp;"",""))))</f>
        <v/>
      </c>
      <c r="I1050" s="59" t="str">
        <f>IF(B1050="","",IFERROR(INDEX(pr_unit,MATCH(B1050,pr_code,0))&amp;"",""))</f>
        <v/>
      </c>
      <c r="J1050" s="65" t="str">
        <f>IF(COUNTA(A1050:G1050)=0,"",IF(E1050&lt;&gt;"",E1050,IF(B1050="","",IFERROR(IF(INDEX(pr_price,MATCH(B1050,pr_code,0))="","",INDEX(pr_price,MATCH(B1050,pr_code,0))),""))))</f>
        <v/>
      </c>
      <c r="K1050" s="71" t="str">
        <f>IF(COUNTA(A1050:G1050)=0,"",IF(G1050&lt;&gt;"",G1050,IF(B1050="","",IFERROR(IF(INDEX(pr_rate,MATCH(B1050,pr_code,0))="","",INDEX(pr_rate,MATCH(B1050,pr_code,0))),""))))</f>
        <v/>
      </c>
      <c r="L1050" s="65" t="str">
        <f>IF(COUNTA(A1050:G1050)=0,"",IF(AND(ISNUMBER(D1050),ISNUMBER(J1050)),ROUND(D1050*J1050*(1-N(F1050)),2),0))</f>
        <v/>
      </c>
      <c r="M1050" s="62" t="str">
        <f>IF(A1050="","",IFERROR(INDEX(fa_cname,MATCH(A1050,fa_num,0))&amp;"",""))</f>
        <v/>
      </c>
      <c r="N1050" s="59" t="str">
        <f>IF(COUNTA(A1050:G1050)=0,"",IF(A1050="","N° facture manquant",IF(ISNA(MATCH(A1050,fa_num,0)),"Facture inconnue",IF(AND(B1050&lt;&gt;"",ISNA(MATCH(B1050,pr_code,0))),"Article inconnu",IF(H1050="","Désignation manquante",IF(OR(NOT(ISNUMBER(D1050)),N(D1050)&lt;=0),"Quantité invalide",IF(J1050="","Prix manquant",IF(OR(NOT(ISNUMBER(J1050)),N(J1050)&lt;0),"Prix invalide",IF(OR(AND(F1050&lt;&gt;"",NOT(ISNUMBER(F1050))),N(F1050)&lt;0,N(F1050)&gt;1),"Remise invalide",IF(K1050="","Taux de TVA manquant",IF(NOT(ISNUMBER(K1050)),"Taux de TVA invalide",IF(COUNTIF(p_rates,K1050)=0,"Taux de TVA hors liste (Paramètres)",IF(N(O1050)&gt;25,"Au-delà de 25 lignes : non imprimée","OK")))))))))))))</f>
        <v/>
      </c>
      <c r="O1050" s="59" t="str">
        <f>IF(A1050="","",COUNTIF($A$6:A1050,A1050))</f>
        <v/>
      </c>
      <c r="P1050" s="62" t="str">
        <f>IF(A1050="","",A1050&amp;"|"&amp;O1050)</f>
        <v/>
      </c>
    </row>
    <row r="1051">
      <c r="A1051" s="60" t="n"/>
      <c r="B1051" s="63" t="n"/>
      <c r="C1051" s="63" t="n"/>
      <c r="D1051" s="67" t="n"/>
      <c r="E1051" s="68" t="n"/>
      <c r="F1051" s="69" t="n"/>
      <c r="G1051" s="70" t="n"/>
      <c r="H1051" s="62" t="str">
        <f>IF(COUNTA(A1051:G1051)=0,"",IF(C1051&lt;&gt;"",C1051,IF(B1051="","",IFERROR(INDEX(pr_des,MATCH(B1051,pr_code,0))&amp;"",""))))</f>
        <v/>
      </c>
      <c r="I1051" s="59" t="str">
        <f>IF(B1051="","",IFERROR(INDEX(pr_unit,MATCH(B1051,pr_code,0))&amp;"",""))</f>
        <v/>
      </c>
      <c r="J1051" s="65" t="str">
        <f>IF(COUNTA(A1051:G1051)=0,"",IF(E1051&lt;&gt;"",E1051,IF(B1051="","",IFERROR(IF(INDEX(pr_price,MATCH(B1051,pr_code,0))="","",INDEX(pr_price,MATCH(B1051,pr_code,0))),""))))</f>
        <v/>
      </c>
      <c r="K1051" s="71" t="str">
        <f>IF(COUNTA(A1051:G1051)=0,"",IF(G1051&lt;&gt;"",G1051,IF(B1051="","",IFERROR(IF(INDEX(pr_rate,MATCH(B1051,pr_code,0))="","",INDEX(pr_rate,MATCH(B1051,pr_code,0))),""))))</f>
        <v/>
      </c>
      <c r="L1051" s="65" t="str">
        <f>IF(COUNTA(A1051:G1051)=0,"",IF(AND(ISNUMBER(D1051),ISNUMBER(J1051)),ROUND(D1051*J1051*(1-N(F1051)),2),0))</f>
        <v/>
      </c>
      <c r="M1051" s="62" t="str">
        <f>IF(A1051="","",IFERROR(INDEX(fa_cname,MATCH(A1051,fa_num,0))&amp;"",""))</f>
        <v/>
      </c>
      <c r="N1051" s="59" t="str">
        <f>IF(COUNTA(A1051:G1051)=0,"",IF(A1051="","N° facture manquant",IF(ISNA(MATCH(A1051,fa_num,0)),"Facture inconnue",IF(AND(B1051&lt;&gt;"",ISNA(MATCH(B1051,pr_code,0))),"Article inconnu",IF(H1051="","Désignation manquante",IF(OR(NOT(ISNUMBER(D1051)),N(D1051)&lt;=0),"Quantité invalide",IF(J1051="","Prix manquant",IF(OR(NOT(ISNUMBER(J1051)),N(J1051)&lt;0),"Prix invalide",IF(OR(AND(F1051&lt;&gt;"",NOT(ISNUMBER(F1051))),N(F1051)&lt;0,N(F1051)&gt;1),"Remise invalide",IF(K1051="","Taux de TVA manquant",IF(NOT(ISNUMBER(K1051)),"Taux de TVA invalide",IF(COUNTIF(p_rates,K1051)=0,"Taux de TVA hors liste (Paramètres)",IF(N(O1051)&gt;25,"Au-delà de 25 lignes : non imprimée","OK")))))))))))))</f>
        <v/>
      </c>
      <c r="O1051" s="59" t="str">
        <f>IF(A1051="","",COUNTIF($A$6:A1051,A1051))</f>
        <v/>
      </c>
      <c r="P1051" s="62" t="str">
        <f>IF(A1051="","",A1051&amp;"|"&amp;O1051)</f>
        <v/>
      </c>
    </row>
    <row r="1052">
      <c r="A1052" s="60" t="n"/>
      <c r="B1052" s="63" t="n"/>
      <c r="C1052" s="63" t="n"/>
      <c r="D1052" s="67" t="n"/>
      <c r="E1052" s="68" t="n"/>
      <c r="F1052" s="69" t="n"/>
      <c r="G1052" s="70" t="n"/>
      <c r="H1052" s="62" t="str">
        <f>IF(COUNTA(A1052:G1052)=0,"",IF(C1052&lt;&gt;"",C1052,IF(B1052="","",IFERROR(INDEX(pr_des,MATCH(B1052,pr_code,0))&amp;"",""))))</f>
        <v/>
      </c>
      <c r="I1052" s="59" t="str">
        <f>IF(B1052="","",IFERROR(INDEX(pr_unit,MATCH(B1052,pr_code,0))&amp;"",""))</f>
        <v/>
      </c>
      <c r="J1052" s="65" t="str">
        <f>IF(COUNTA(A1052:G1052)=0,"",IF(E1052&lt;&gt;"",E1052,IF(B1052="","",IFERROR(IF(INDEX(pr_price,MATCH(B1052,pr_code,0))="","",INDEX(pr_price,MATCH(B1052,pr_code,0))),""))))</f>
        <v/>
      </c>
      <c r="K1052" s="71" t="str">
        <f>IF(COUNTA(A1052:G1052)=0,"",IF(G1052&lt;&gt;"",G1052,IF(B1052="","",IFERROR(IF(INDEX(pr_rate,MATCH(B1052,pr_code,0))="","",INDEX(pr_rate,MATCH(B1052,pr_code,0))),""))))</f>
        <v/>
      </c>
      <c r="L1052" s="65" t="str">
        <f>IF(COUNTA(A1052:G1052)=0,"",IF(AND(ISNUMBER(D1052),ISNUMBER(J1052)),ROUND(D1052*J1052*(1-N(F1052)),2),0))</f>
        <v/>
      </c>
      <c r="M1052" s="62" t="str">
        <f>IF(A1052="","",IFERROR(INDEX(fa_cname,MATCH(A1052,fa_num,0))&amp;"",""))</f>
        <v/>
      </c>
      <c r="N1052" s="59" t="str">
        <f>IF(COUNTA(A1052:G1052)=0,"",IF(A1052="","N° facture manquant",IF(ISNA(MATCH(A1052,fa_num,0)),"Facture inconnue",IF(AND(B1052&lt;&gt;"",ISNA(MATCH(B1052,pr_code,0))),"Article inconnu",IF(H1052="","Désignation manquante",IF(OR(NOT(ISNUMBER(D1052)),N(D1052)&lt;=0),"Quantité invalide",IF(J1052="","Prix manquant",IF(OR(NOT(ISNUMBER(J1052)),N(J1052)&lt;0),"Prix invalide",IF(OR(AND(F1052&lt;&gt;"",NOT(ISNUMBER(F1052))),N(F1052)&lt;0,N(F1052)&gt;1),"Remise invalide",IF(K1052="","Taux de TVA manquant",IF(NOT(ISNUMBER(K1052)),"Taux de TVA invalide",IF(COUNTIF(p_rates,K1052)=0,"Taux de TVA hors liste (Paramètres)",IF(N(O1052)&gt;25,"Au-delà de 25 lignes : non imprimée","OK")))))))))))))</f>
        <v/>
      </c>
      <c r="O1052" s="59" t="str">
        <f>IF(A1052="","",COUNTIF($A$6:A1052,A1052))</f>
        <v/>
      </c>
      <c r="P1052" s="62" t="str">
        <f>IF(A1052="","",A1052&amp;"|"&amp;O1052)</f>
        <v/>
      </c>
    </row>
    <row r="1053">
      <c r="A1053" s="60" t="n"/>
      <c r="B1053" s="63" t="n"/>
      <c r="C1053" s="63" t="n"/>
      <c r="D1053" s="67" t="n"/>
      <c r="E1053" s="68" t="n"/>
      <c r="F1053" s="69" t="n"/>
      <c r="G1053" s="70" t="n"/>
      <c r="H1053" s="62" t="str">
        <f>IF(COUNTA(A1053:G1053)=0,"",IF(C1053&lt;&gt;"",C1053,IF(B1053="","",IFERROR(INDEX(pr_des,MATCH(B1053,pr_code,0))&amp;"",""))))</f>
        <v/>
      </c>
      <c r="I1053" s="59" t="str">
        <f>IF(B1053="","",IFERROR(INDEX(pr_unit,MATCH(B1053,pr_code,0))&amp;"",""))</f>
        <v/>
      </c>
      <c r="J1053" s="65" t="str">
        <f>IF(COUNTA(A1053:G1053)=0,"",IF(E1053&lt;&gt;"",E1053,IF(B1053="","",IFERROR(IF(INDEX(pr_price,MATCH(B1053,pr_code,0))="","",INDEX(pr_price,MATCH(B1053,pr_code,0))),""))))</f>
        <v/>
      </c>
      <c r="K1053" s="71" t="str">
        <f>IF(COUNTA(A1053:G1053)=0,"",IF(G1053&lt;&gt;"",G1053,IF(B1053="","",IFERROR(IF(INDEX(pr_rate,MATCH(B1053,pr_code,0))="","",INDEX(pr_rate,MATCH(B1053,pr_code,0))),""))))</f>
        <v/>
      </c>
      <c r="L1053" s="65" t="str">
        <f>IF(COUNTA(A1053:G1053)=0,"",IF(AND(ISNUMBER(D1053),ISNUMBER(J1053)),ROUND(D1053*J1053*(1-N(F1053)),2),0))</f>
        <v/>
      </c>
      <c r="M1053" s="62" t="str">
        <f>IF(A1053="","",IFERROR(INDEX(fa_cname,MATCH(A1053,fa_num,0))&amp;"",""))</f>
        <v/>
      </c>
      <c r="N1053" s="59" t="str">
        <f>IF(COUNTA(A1053:G1053)=0,"",IF(A1053="","N° facture manquant",IF(ISNA(MATCH(A1053,fa_num,0)),"Facture inconnue",IF(AND(B1053&lt;&gt;"",ISNA(MATCH(B1053,pr_code,0))),"Article inconnu",IF(H1053="","Désignation manquante",IF(OR(NOT(ISNUMBER(D1053)),N(D1053)&lt;=0),"Quantité invalide",IF(J1053="","Prix manquant",IF(OR(NOT(ISNUMBER(J1053)),N(J1053)&lt;0),"Prix invalide",IF(OR(AND(F1053&lt;&gt;"",NOT(ISNUMBER(F1053))),N(F1053)&lt;0,N(F1053)&gt;1),"Remise invalide",IF(K1053="","Taux de TVA manquant",IF(NOT(ISNUMBER(K1053)),"Taux de TVA invalide",IF(COUNTIF(p_rates,K1053)=0,"Taux de TVA hors liste (Paramètres)",IF(N(O1053)&gt;25,"Au-delà de 25 lignes : non imprimée","OK")))))))))))))</f>
        <v/>
      </c>
      <c r="O1053" s="59" t="str">
        <f>IF(A1053="","",COUNTIF($A$6:A1053,A1053))</f>
        <v/>
      </c>
      <c r="P1053" s="62" t="str">
        <f>IF(A1053="","",A1053&amp;"|"&amp;O1053)</f>
        <v/>
      </c>
    </row>
    <row r="1054">
      <c r="A1054" s="60" t="n"/>
      <c r="B1054" s="63" t="n"/>
      <c r="C1054" s="63" t="n"/>
      <c r="D1054" s="67" t="n"/>
      <c r="E1054" s="68" t="n"/>
      <c r="F1054" s="69" t="n"/>
      <c r="G1054" s="70" t="n"/>
      <c r="H1054" s="62" t="str">
        <f>IF(COUNTA(A1054:G1054)=0,"",IF(C1054&lt;&gt;"",C1054,IF(B1054="","",IFERROR(INDEX(pr_des,MATCH(B1054,pr_code,0))&amp;"",""))))</f>
        <v/>
      </c>
      <c r="I1054" s="59" t="str">
        <f>IF(B1054="","",IFERROR(INDEX(pr_unit,MATCH(B1054,pr_code,0))&amp;"",""))</f>
        <v/>
      </c>
      <c r="J1054" s="65" t="str">
        <f>IF(COUNTA(A1054:G1054)=0,"",IF(E1054&lt;&gt;"",E1054,IF(B1054="","",IFERROR(IF(INDEX(pr_price,MATCH(B1054,pr_code,0))="","",INDEX(pr_price,MATCH(B1054,pr_code,0))),""))))</f>
        <v/>
      </c>
      <c r="K1054" s="71" t="str">
        <f>IF(COUNTA(A1054:G1054)=0,"",IF(G1054&lt;&gt;"",G1054,IF(B1054="","",IFERROR(IF(INDEX(pr_rate,MATCH(B1054,pr_code,0))="","",INDEX(pr_rate,MATCH(B1054,pr_code,0))),""))))</f>
        <v/>
      </c>
      <c r="L1054" s="65" t="str">
        <f>IF(COUNTA(A1054:G1054)=0,"",IF(AND(ISNUMBER(D1054),ISNUMBER(J1054)),ROUND(D1054*J1054*(1-N(F1054)),2),0))</f>
        <v/>
      </c>
      <c r="M1054" s="62" t="str">
        <f>IF(A1054="","",IFERROR(INDEX(fa_cname,MATCH(A1054,fa_num,0))&amp;"",""))</f>
        <v/>
      </c>
      <c r="N1054" s="59" t="str">
        <f>IF(COUNTA(A1054:G1054)=0,"",IF(A1054="","N° facture manquant",IF(ISNA(MATCH(A1054,fa_num,0)),"Facture inconnue",IF(AND(B1054&lt;&gt;"",ISNA(MATCH(B1054,pr_code,0))),"Article inconnu",IF(H1054="","Désignation manquante",IF(OR(NOT(ISNUMBER(D1054)),N(D1054)&lt;=0),"Quantité invalide",IF(J1054="","Prix manquant",IF(OR(NOT(ISNUMBER(J1054)),N(J1054)&lt;0),"Prix invalide",IF(OR(AND(F1054&lt;&gt;"",NOT(ISNUMBER(F1054))),N(F1054)&lt;0,N(F1054)&gt;1),"Remise invalide",IF(K1054="","Taux de TVA manquant",IF(NOT(ISNUMBER(K1054)),"Taux de TVA invalide",IF(COUNTIF(p_rates,K1054)=0,"Taux de TVA hors liste (Paramètres)",IF(N(O1054)&gt;25,"Au-delà de 25 lignes : non imprimée","OK")))))))))))))</f>
        <v/>
      </c>
      <c r="O1054" s="59" t="str">
        <f>IF(A1054="","",COUNTIF($A$6:A1054,A1054))</f>
        <v/>
      </c>
      <c r="P1054" s="62" t="str">
        <f>IF(A1054="","",A1054&amp;"|"&amp;O1054)</f>
        <v/>
      </c>
    </row>
    <row r="1055">
      <c r="A1055" s="60" t="n"/>
      <c r="B1055" s="63" t="n"/>
      <c r="C1055" s="63" t="n"/>
      <c r="D1055" s="67" t="n"/>
      <c r="E1055" s="68" t="n"/>
      <c r="F1055" s="69" t="n"/>
      <c r="G1055" s="70" t="n"/>
      <c r="H1055" s="62" t="str">
        <f>IF(COUNTA(A1055:G1055)=0,"",IF(C1055&lt;&gt;"",C1055,IF(B1055="","",IFERROR(INDEX(pr_des,MATCH(B1055,pr_code,0))&amp;"",""))))</f>
        <v/>
      </c>
      <c r="I1055" s="59" t="str">
        <f>IF(B1055="","",IFERROR(INDEX(pr_unit,MATCH(B1055,pr_code,0))&amp;"",""))</f>
        <v/>
      </c>
      <c r="J1055" s="65" t="str">
        <f>IF(COUNTA(A1055:G1055)=0,"",IF(E1055&lt;&gt;"",E1055,IF(B1055="","",IFERROR(IF(INDEX(pr_price,MATCH(B1055,pr_code,0))="","",INDEX(pr_price,MATCH(B1055,pr_code,0))),""))))</f>
        <v/>
      </c>
      <c r="K1055" s="71" t="str">
        <f>IF(COUNTA(A1055:G1055)=0,"",IF(G1055&lt;&gt;"",G1055,IF(B1055="","",IFERROR(IF(INDEX(pr_rate,MATCH(B1055,pr_code,0))="","",INDEX(pr_rate,MATCH(B1055,pr_code,0))),""))))</f>
        <v/>
      </c>
      <c r="L1055" s="65" t="str">
        <f>IF(COUNTA(A1055:G1055)=0,"",IF(AND(ISNUMBER(D1055),ISNUMBER(J1055)),ROUND(D1055*J1055*(1-N(F1055)),2),0))</f>
        <v/>
      </c>
      <c r="M1055" s="62" t="str">
        <f>IF(A1055="","",IFERROR(INDEX(fa_cname,MATCH(A1055,fa_num,0))&amp;"",""))</f>
        <v/>
      </c>
      <c r="N1055" s="59" t="str">
        <f>IF(COUNTA(A1055:G1055)=0,"",IF(A1055="","N° facture manquant",IF(ISNA(MATCH(A1055,fa_num,0)),"Facture inconnue",IF(AND(B1055&lt;&gt;"",ISNA(MATCH(B1055,pr_code,0))),"Article inconnu",IF(H1055="","Désignation manquante",IF(OR(NOT(ISNUMBER(D1055)),N(D1055)&lt;=0),"Quantité invalide",IF(J1055="","Prix manquant",IF(OR(NOT(ISNUMBER(J1055)),N(J1055)&lt;0),"Prix invalide",IF(OR(AND(F1055&lt;&gt;"",NOT(ISNUMBER(F1055))),N(F1055)&lt;0,N(F1055)&gt;1),"Remise invalide",IF(K1055="","Taux de TVA manquant",IF(NOT(ISNUMBER(K1055)),"Taux de TVA invalide",IF(COUNTIF(p_rates,K1055)=0,"Taux de TVA hors liste (Paramètres)",IF(N(O1055)&gt;25,"Au-delà de 25 lignes : non imprimée","OK")))))))))))))</f>
        <v/>
      </c>
      <c r="O1055" s="59" t="str">
        <f>IF(A1055="","",COUNTIF($A$6:A1055,A1055))</f>
        <v/>
      </c>
      <c r="P1055" s="62" t="str">
        <f>IF(A1055="","",A1055&amp;"|"&amp;O1055)</f>
        <v/>
      </c>
    </row>
    <row r="1056">
      <c r="A1056" s="60" t="n"/>
      <c r="B1056" s="63" t="n"/>
      <c r="C1056" s="63" t="n"/>
      <c r="D1056" s="67" t="n"/>
      <c r="E1056" s="68" t="n"/>
      <c r="F1056" s="69" t="n"/>
      <c r="G1056" s="70" t="n"/>
      <c r="H1056" s="62" t="str">
        <f>IF(COUNTA(A1056:G1056)=0,"",IF(C1056&lt;&gt;"",C1056,IF(B1056="","",IFERROR(INDEX(pr_des,MATCH(B1056,pr_code,0))&amp;"",""))))</f>
        <v/>
      </c>
      <c r="I1056" s="59" t="str">
        <f>IF(B1056="","",IFERROR(INDEX(pr_unit,MATCH(B1056,pr_code,0))&amp;"",""))</f>
        <v/>
      </c>
      <c r="J1056" s="65" t="str">
        <f>IF(COUNTA(A1056:G1056)=0,"",IF(E1056&lt;&gt;"",E1056,IF(B1056="","",IFERROR(IF(INDEX(pr_price,MATCH(B1056,pr_code,0))="","",INDEX(pr_price,MATCH(B1056,pr_code,0))),""))))</f>
        <v/>
      </c>
      <c r="K1056" s="71" t="str">
        <f>IF(COUNTA(A1056:G1056)=0,"",IF(G1056&lt;&gt;"",G1056,IF(B1056="","",IFERROR(IF(INDEX(pr_rate,MATCH(B1056,pr_code,0))="","",INDEX(pr_rate,MATCH(B1056,pr_code,0))),""))))</f>
        <v/>
      </c>
      <c r="L1056" s="65" t="str">
        <f>IF(COUNTA(A1056:G1056)=0,"",IF(AND(ISNUMBER(D1056),ISNUMBER(J1056)),ROUND(D1056*J1056*(1-N(F1056)),2),0))</f>
        <v/>
      </c>
      <c r="M1056" s="62" t="str">
        <f>IF(A1056="","",IFERROR(INDEX(fa_cname,MATCH(A1056,fa_num,0))&amp;"",""))</f>
        <v/>
      </c>
      <c r="N1056" s="59" t="str">
        <f>IF(COUNTA(A1056:G1056)=0,"",IF(A1056="","N° facture manquant",IF(ISNA(MATCH(A1056,fa_num,0)),"Facture inconnue",IF(AND(B1056&lt;&gt;"",ISNA(MATCH(B1056,pr_code,0))),"Article inconnu",IF(H1056="","Désignation manquante",IF(OR(NOT(ISNUMBER(D1056)),N(D1056)&lt;=0),"Quantité invalide",IF(J1056="","Prix manquant",IF(OR(NOT(ISNUMBER(J1056)),N(J1056)&lt;0),"Prix invalide",IF(OR(AND(F1056&lt;&gt;"",NOT(ISNUMBER(F1056))),N(F1056)&lt;0,N(F1056)&gt;1),"Remise invalide",IF(K1056="","Taux de TVA manquant",IF(NOT(ISNUMBER(K1056)),"Taux de TVA invalide",IF(COUNTIF(p_rates,K1056)=0,"Taux de TVA hors liste (Paramètres)",IF(N(O1056)&gt;25,"Au-delà de 25 lignes : non imprimée","OK")))))))))))))</f>
        <v/>
      </c>
      <c r="O1056" s="59" t="str">
        <f>IF(A1056="","",COUNTIF($A$6:A1056,A1056))</f>
        <v/>
      </c>
      <c r="P1056" s="62" t="str">
        <f>IF(A1056="","",A1056&amp;"|"&amp;O1056)</f>
        <v/>
      </c>
    </row>
    <row r="1057">
      <c r="A1057" s="60" t="n"/>
      <c r="B1057" s="63" t="n"/>
      <c r="C1057" s="63" t="n"/>
      <c r="D1057" s="67" t="n"/>
      <c r="E1057" s="68" t="n"/>
      <c r="F1057" s="69" t="n"/>
      <c r="G1057" s="70" t="n"/>
      <c r="H1057" s="62" t="str">
        <f>IF(COUNTA(A1057:G1057)=0,"",IF(C1057&lt;&gt;"",C1057,IF(B1057="","",IFERROR(INDEX(pr_des,MATCH(B1057,pr_code,0))&amp;"",""))))</f>
        <v/>
      </c>
      <c r="I1057" s="59" t="str">
        <f>IF(B1057="","",IFERROR(INDEX(pr_unit,MATCH(B1057,pr_code,0))&amp;"",""))</f>
        <v/>
      </c>
      <c r="J1057" s="65" t="str">
        <f>IF(COUNTA(A1057:G1057)=0,"",IF(E1057&lt;&gt;"",E1057,IF(B1057="","",IFERROR(IF(INDEX(pr_price,MATCH(B1057,pr_code,0))="","",INDEX(pr_price,MATCH(B1057,pr_code,0))),""))))</f>
        <v/>
      </c>
      <c r="K1057" s="71" t="str">
        <f>IF(COUNTA(A1057:G1057)=0,"",IF(G1057&lt;&gt;"",G1057,IF(B1057="","",IFERROR(IF(INDEX(pr_rate,MATCH(B1057,pr_code,0))="","",INDEX(pr_rate,MATCH(B1057,pr_code,0))),""))))</f>
        <v/>
      </c>
      <c r="L1057" s="65" t="str">
        <f>IF(COUNTA(A1057:G1057)=0,"",IF(AND(ISNUMBER(D1057),ISNUMBER(J1057)),ROUND(D1057*J1057*(1-N(F1057)),2),0))</f>
        <v/>
      </c>
      <c r="M1057" s="62" t="str">
        <f>IF(A1057="","",IFERROR(INDEX(fa_cname,MATCH(A1057,fa_num,0))&amp;"",""))</f>
        <v/>
      </c>
      <c r="N1057" s="59" t="str">
        <f>IF(COUNTA(A1057:G1057)=0,"",IF(A1057="","N° facture manquant",IF(ISNA(MATCH(A1057,fa_num,0)),"Facture inconnue",IF(AND(B1057&lt;&gt;"",ISNA(MATCH(B1057,pr_code,0))),"Article inconnu",IF(H1057="","Désignation manquante",IF(OR(NOT(ISNUMBER(D1057)),N(D1057)&lt;=0),"Quantité invalide",IF(J1057="","Prix manquant",IF(OR(NOT(ISNUMBER(J1057)),N(J1057)&lt;0),"Prix invalide",IF(OR(AND(F1057&lt;&gt;"",NOT(ISNUMBER(F1057))),N(F1057)&lt;0,N(F1057)&gt;1),"Remise invalide",IF(K1057="","Taux de TVA manquant",IF(NOT(ISNUMBER(K1057)),"Taux de TVA invalide",IF(COUNTIF(p_rates,K1057)=0,"Taux de TVA hors liste (Paramètres)",IF(N(O1057)&gt;25,"Au-delà de 25 lignes : non imprimée","OK")))))))))))))</f>
        <v/>
      </c>
      <c r="O1057" s="59" t="str">
        <f>IF(A1057="","",COUNTIF($A$6:A1057,A1057))</f>
        <v/>
      </c>
      <c r="P1057" s="62" t="str">
        <f>IF(A1057="","",A1057&amp;"|"&amp;O1057)</f>
        <v/>
      </c>
    </row>
    <row r="1058">
      <c r="A1058" s="60" t="n"/>
      <c r="B1058" s="63" t="n"/>
      <c r="C1058" s="63" t="n"/>
      <c r="D1058" s="67" t="n"/>
      <c r="E1058" s="68" t="n"/>
      <c r="F1058" s="69" t="n"/>
      <c r="G1058" s="70" t="n"/>
      <c r="H1058" s="62" t="str">
        <f>IF(COUNTA(A1058:G1058)=0,"",IF(C1058&lt;&gt;"",C1058,IF(B1058="","",IFERROR(INDEX(pr_des,MATCH(B1058,pr_code,0))&amp;"",""))))</f>
        <v/>
      </c>
      <c r="I1058" s="59" t="str">
        <f>IF(B1058="","",IFERROR(INDEX(pr_unit,MATCH(B1058,pr_code,0))&amp;"",""))</f>
        <v/>
      </c>
      <c r="J1058" s="65" t="str">
        <f>IF(COUNTA(A1058:G1058)=0,"",IF(E1058&lt;&gt;"",E1058,IF(B1058="","",IFERROR(IF(INDEX(pr_price,MATCH(B1058,pr_code,0))="","",INDEX(pr_price,MATCH(B1058,pr_code,0))),""))))</f>
        <v/>
      </c>
      <c r="K1058" s="71" t="str">
        <f>IF(COUNTA(A1058:G1058)=0,"",IF(G1058&lt;&gt;"",G1058,IF(B1058="","",IFERROR(IF(INDEX(pr_rate,MATCH(B1058,pr_code,0))="","",INDEX(pr_rate,MATCH(B1058,pr_code,0))),""))))</f>
        <v/>
      </c>
      <c r="L1058" s="65" t="str">
        <f>IF(COUNTA(A1058:G1058)=0,"",IF(AND(ISNUMBER(D1058),ISNUMBER(J1058)),ROUND(D1058*J1058*(1-N(F1058)),2),0))</f>
        <v/>
      </c>
      <c r="M1058" s="62" t="str">
        <f>IF(A1058="","",IFERROR(INDEX(fa_cname,MATCH(A1058,fa_num,0))&amp;"",""))</f>
        <v/>
      </c>
      <c r="N1058" s="59" t="str">
        <f>IF(COUNTA(A1058:G1058)=0,"",IF(A1058="","N° facture manquant",IF(ISNA(MATCH(A1058,fa_num,0)),"Facture inconnue",IF(AND(B1058&lt;&gt;"",ISNA(MATCH(B1058,pr_code,0))),"Article inconnu",IF(H1058="","Désignation manquante",IF(OR(NOT(ISNUMBER(D1058)),N(D1058)&lt;=0),"Quantité invalide",IF(J1058="","Prix manquant",IF(OR(NOT(ISNUMBER(J1058)),N(J1058)&lt;0),"Prix invalide",IF(OR(AND(F1058&lt;&gt;"",NOT(ISNUMBER(F1058))),N(F1058)&lt;0,N(F1058)&gt;1),"Remise invalide",IF(K1058="","Taux de TVA manquant",IF(NOT(ISNUMBER(K1058)),"Taux de TVA invalide",IF(COUNTIF(p_rates,K1058)=0,"Taux de TVA hors liste (Paramètres)",IF(N(O1058)&gt;25,"Au-delà de 25 lignes : non imprimée","OK")))))))))))))</f>
        <v/>
      </c>
      <c r="O1058" s="59" t="str">
        <f>IF(A1058="","",COUNTIF($A$6:A1058,A1058))</f>
        <v/>
      </c>
      <c r="P1058" s="62" t="str">
        <f>IF(A1058="","",A1058&amp;"|"&amp;O1058)</f>
        <v/>
      </c>
    </row>
    <row r="1059">
      <c r="A1059" s="60" t="n"/>
      <c r="B1059" s="63" t="n"/>
      <c r="C1059" s="63" t="n"/>
      <c r="D1059" s="67" t="n"/>
      <c r="E1059" s="68" t="n"/>
      <c r="F1059" s="69" t="n"/>
      <c r="G1059" s="70" t="n"/>
      <c r="H1059" s="62" t="str">
        <f>IF(COUNTA(A1059:G1059)=0,"",IF(C1059&lt;&gt;"",C1059,IF(B1059="","",IFERROR(INDEX(pr_des,MATCH(B1059,pr_code,0))&amp;"",""))))</f>
        <v/>
      </c>
      <c r="I1059" s="59" t="str">
        <f>IF(B1059="","",IFERROR(INDEX(pr_unit,MATCH(B1059,pr_code,0))&amp;"",""))</f>
        <v/>
      </c>
      <c r="J1059" s="65" t="str">
        <f>IF(COUNTA(A1059:G1059)=0,"",IF(E1059&lt;&gt;"",E1059,IF(B1059="","",IFERROR(IF(INDEX(pr_price,MATCH(B1059,pr_code,0))="","",INDEX(pr_price,MATCH(B1059,pr_code,0))),""))))</f>
        <v/>
      </c>
      <c r="K1059" s="71" t="str">
        <f>IF(COUNTA(A1059:G1059)=0,"",IF(G1059&lt;&gt;"",G1059,IF(B1059="","",IFERROR(IF(INDEX(pr_rate,MATCH(B1059,pr_code,0))="","",INDEX(pr_rate,MATCH(B1059,pr_code,0))),""))))</f>
        <v/>
      </c>
      <c r="L1059" s="65" t="str">
        <f>IF(COUNTA(A1059:G1059)=0,"",IF(AND(ISNUMBER(D1059),ISNUMBER(J1059)),ROUND(D1059*J1059*(1-N(F1059)),2),0))</f>
        <v/>
      </c>
      <c r="M1059" s="62" t="str">
        <f>IF(A1059="","",IFERROR(INDEX(fa_cname,MATCH(A1059,fa_num,0))&amp;"",""))</f>
        <v/>
      </c>
      <c r="N1059" s="59" t="str">
        <f>IF(COUNTA(A1059:G1059)=0,"",IF(A1059="","N° facture manquant",IF(ISNA(MATCH(A1059,fa_num,0)),"Facture inconnue",IF(AND(B1059&lt;&gt;"",ISNA(MATCH(B1059,pr_code,0))),"Article inconnu",IF(H1059="","Désignation manquante",IF(OR(NOT(ISNUMBER(D1059)),N(D1059)&lt;=0),"Quantité invalide",IF(J1059="","Prix manquant",IF(OR(NOT(ISNUMBER(J1059)),N(J1059)&lt;0),"Prix invalide",IF(OR(AND(F1059&lt;&gt;"",NOT(ISNUMBER(F1059))),N(F1059)&lt;0,N(F1059)&gt;1),"Remise invalide",IF(K1059="","Taux de TVA manquant",IF(NOT(ISNUMBER(K1059)),"Taux de TVA invalide",IF(COUNTIF(p_rates,K1059)=0,"Taux de TVA hors liste (Paramètres)",IF(N(O1059)&gt;25,"Au-delà de 25 lignes : non imprimée","OK")))))))))))))</f>
        <v/>
      </c>
      <c r="O1059" s="59" t="str">
        <f>IF(A1059="","",COUNTIF($A$6:A1059,A1059))</f>
        <v/>
      </c>
      <c r="P1059" s="62" t="str">
        <f>IF(A1059="","",A1059&amp;"|"&amp;O1059)</f>
        <v/>
      </c>
    </row>
    <row r="1060">
      <c r="A1060" s="60" t="n"/>
      <c r="B1060" s="63" t="n"/>
      <c r="C1060" s="63" t="n"/>
      <c r="D1060" s="67" t="n"/>
      <c r="E1060" s="68" t="n"/>
      <c r="F1060" s="69" t="n"/>
      <c r="G1060" s="70" t="n"/>
      <c r="H1060" s="62" t="str">
        <f>IF(COUNTA(A1060:G1060)=0,"",IF(C1060&lt;&gt;"",C1060,IF(B1060="","",IFERROR(INDEX(pr_des,MATCH(B1060,pr_code,0))&amp;"",""))))</f>
        <v/>
      </c>
      <c r="I1060" s="59" t="str">
        <f>IF(B1060="","",IFERROR(INDEX(pr_unit,MATCH(B1060,pr_code,0))&amp;"",""))</f>
        <v/>
      </c>
      <c r="J1060" s="65" t="str">
        <f>IF(COUNTA(A1060:G1060)=0,"",IF(E1060&lt;&gt;"",E1060,IF(B1060="","",IFERROR(IF(INDEX(pr_price,MATCH(B1060,pr_code,0))="","",INDEX(pr_price,MATCH(B1060,pr_code,0))),""))))</f>
        <v/>
      </c>
      <c r="K1060" s="71" t="str">
        <f>IF(COUNTA(A1060:G1060)=0,"",IF(G1060&lt;&gt;"",G1060,IF(B1060="","",IFERROR(IF(INDEX(pr_rate,MATCH(B1060,pr_code,0))="","",INDEX(pr_rate,MATCH(B1060,pr_code,0))),""))))</f>
        <v/>
      </c>
      <c r="L1060" s="65" t="str">
        <f>IF(COUNTA(A1060:G1060)=0,"",IF(AND(ISNUMBER(D1060),ISNUMBER(J1060)),ROUND(D1060*J1060*(1-N(F1060)),2),0))</f>
        <v/>
      </c>
      <c r="M1060" s="62" t="str">
        <f>IF(A1060="","",IFERROR(INDEX(fa_cname,MATCH(A1060,fa_num,0))&amp;"",""))</f>
        <v/>
      </c>
      <c r="N1060" s="59" t="str">
        <f>IF(COUNTA(A1060:G1060)=0,"",IF(A1060="","N° facture manquant",IF(ISNA(MATCH(A1060,fa_num,0)),"Facture inconnue",IF(AND(B1060&lt;&gt;"",ISNA(MATCH(B1060,pr_code,0))),"Article inconnu",IF(H1060="","Désignation manquante",IF(OR(NOT(ISNUMBER(D1060)),N(D1060)&lt;=0),"Quantité invalide",IF(J1060="","Prix manquant",IF(OR(NOT(ISNUMBER(J1060)),N(J1060)&lt;0),"Prix invalide",IF(OR(AND(F1060&lt;&gt;"",NOT(ISNUMBER(F1060))),N(F1060)&lt;0,N(F1060)&gt;1),"Remise invalide",IF(K1060="","Taux de TVA manquant",IF(NOT(ISNUMBER(K1060)),"Taux de TVA invalide",IF(COUNTIF(p_rates,K1060)=0,"Taux de TVA hors liste (Paramètres)",IF(N(O1060)&gt;25,"Au-delà de 25 lignes : non imprimée","OK")))))))))))))</f>
        <v/>
      </c>
      <c r="O1060" s="59" t="str">
        <f>IF(A1060="","",COUNTIF($A$6:A1060,A1060))</f>
        <v/>
      </c>
      <c r="P1060" s="62" t="str">
        <f>IF(A1060="","",A1060&amp;"|"&amp;O1060)</f>
        <v/>
      </c>
    </row>
    <row r="1061">
      <c r="A1061" s="60" t="n"/>
      <c r="B1061" s="63" t="n"/>
      <c r="C1061" s="63" t="n"/>
      <c r="D1061" s="67" t="n"/>
      <c r="E1061" s="68" t="n"/>
      <c r="F1061" s="69" t="n"/>
      <c r="G1061" s="70" t="n"/>
      <c r="H1061" s="62" t="str">
        <f>IF(COUNTA(A1061:G1061)=0,"",IF(C1061&lt;&gt;"",C1061,IF(B1061="","",IFERROR(INDEX(pr_des,MATCH(B1061,pr_code,0))&amp;"",""))))</f>
        <v/>
      </c>
      <c r="I1061" s="59" t="str">
        <f>IF(B1061="","",IFERROR(INDEX(pr_unit,MATCH(B1061,pr_code,0))&amp;"",""))</f>
        <v/>
      </c>
      <c r="J1061" s="65" t="str">
        <f>IF(COUNTA(A1061:G1061)=0,"",IF(E1061&lt;&gt;"",E1061,IF(B1061="","",IFERROR(IF(INDEX(pr_price,MATCH(B1061,pr_code,0))="","",INDEX(pr_price,MATCH(B1061,pr_code,0))),""))))</f>
        <v/>
      </c>
      <c r="K1061" s="71" t="str">
        <f>IF(COUNTA(A1061:G1061)=0,"",IF(G1061&lt;&gt;"",G1061,IF(B1061="","",IFERROR(IF(INDEX(pr_rate,MATCH(B1061,pr_code,0))="","",INDEX(pr_rate,MATCH(B1061,pr_code,0))),""))))</f>
        <v/>
      </c>
      <c r="L1061" s="65" t="str">
        <f>IF(COUNTA(A1061:G1061)=0,"",IF(AND(ISNUMBER(D1061),ISNUMBER(J1061)),ROUND(D1061*J1061*(1-N(F1061)),2),0))</f>
        <v/>
      </c>
      <c r="M1061" s="62" t="str">
        <f>IF(A1061="","",IFERROR(INDEX(fa_cname,MATCH(A1061,fa_num,0))&amp;"",""))</f>
        <v/>
      </c>
      <c r="N1061" s="59" t="str">
        <f>IF(COUNTA(A1061:G1061)=0,"",IF(A1061="","N° facture manquant",IF(ISNA(MATCH(A1061,fa_num,0)),"Facture inconnue",IF(AND(B1061&lt;&gt;"",ISNA(MATCH(B1061,pr_code,0))),"Article inconnu",IF(H1061="","Désignation manquante",IF(OR(NOT(ISNUMBER(D1061)),N(D1061)&lt;=0),"Quantité invalide",IF(J1061="","Prix manquant",IF(OR(NOT(ISNUMBER(J1061)),N(J1061)&lt;0),"Prix invalide",IF(OR(AND(F1061&lt;&gt;"",NOT(ISNUMBER(F1061))),N(F1061)&lt;0,N(F1061)&gt;1),"Remise invalide",IF(K1061="","Taux de TVA manquant",IF(NOT(ISNUMBER(K1061)),"Taux de TVA invalide",IF(COUNTIF(p_rates,K1061)=0,"Taux de TVA hors liste (Paramètres)",IF(N(O1061)&gt;25,"Au-delà de 25 lignes : non imprimée","OK")))))))))))))</f>
        <v/>
      </c>
      <c r="O1061" s="59" t="str">
        <f>IF(A1061="","",COUNTIF($A$6:A1061,A1061))</f>
        <v/>
      </c>
      <c r="P1061" s="62" t="str">
        <f>IF(A1061="","",A1061&amp;"|"&amp;O1061)</f>
        <v/>
      </c>
    </row>
    <row r="1062">
      <c r="A1062" s="60" t="n"/>
      <c r="B1062" s="63" t="n"/>
      <c r="C1062" s="63" t="n"/>
      <c r="D1062" s="67" t="n"/>
      <c r="E1062" s="68" t="n"/>
      <c r="F1062" s="69" t="n"/>
      <c r="G1062" s="70" t="n"/>
      <c r="H1062" s="62" t="str">
        <f>IF(COUNTA(A1062:G1062)=0,"",IF(C1062&lt;&gt;"",C1062,IF(B1062="","",IFERROR(INDEX(pr_des,MATCH(B1062,pr_code,0))&amp;"",""))))</f>
        <v/>
      </c>
      <c r="I1062" s="59" t="str">
        <f>IF(B1062="","",IFERROR(INDEX(pr_unit,MATCH(B1062,pr_code,0))&amp;"",""))</f>
        <v/>
      </c>
      <c r="J1062" s="65" t="str">
        <f>IF(COUNTA(A1062:G1062)=0,"",IF(E1062&lt;&gt;"",E1062,IF(B1062="","",IFERROR(IF(INDEX(pr_price,MATCH(B1062,pr_code,0))="","",INDEX(pr_price,MATCH(B1062,pr_code,0))),""))))</f>
        <v/>
      </c>
      <c r="K1062" s="71" t="str">
        <f>IF(COUNTA(A1062:G1062)=0,"",IF(G1062&lt;&gt;"",G1062,IF(B1062="","",IFERROR(IF(INDEX(pr_rate,MATCH(B1062,pr_code,0))="","",INDEX(pr_rate,MATCH(B1062,pr_code,0))),""))))</f>
        <v/>
      </c>
      <c r="L1062" s="65" t="str">
        <f>IF(COUNTA(A1062:G1062)=0,"",IF(AND(ISNUMBER(D1062),ISNUMBER(J1062)),ROUND(D1062*J1062*(1-N(F1062)),2),0))</f>
        <v/>
      </c>
      <c r="M1062" s="62" t="str">
        <f>IF(A1062="","",IFERROR(INDEX(fa_cname,MATCH(A1062,fa_num,0))&amp;"",""))</f>
        <v/>
      </c>
      <c r="N1062" s="59" t="str">
        <f>IF(COUNTA(A1062:G1062)=0,"",IF(A1062="","N° facture manquant",IF(ISNA(MATCH(A1062,fa_num,0)),"Facture inconnue",IF(AND(B1062&lt;&gt;"",ISNA(MATCH(B1062,pr_code,0))),"Article inconnu",IF(H1062="","Désignation manquante",IF(OR(NOT(ISNUMBER(D1062)),N(D1062)&lt;=0),"Quantité invalide",IF(J1062="","Prix manquant",IF(OR(NOT(ISNUMBER(J1062)),N(J1062)&lt;0),"Prix invalide",IF(OR(AND(F1062&lt;&gt;"",NOT(ISNUMBER(F1062))),N(F1062)&lt;0,N(F1062)&gt;1),"Remise invalide",IF(K1062="","Taux de TVA manquant",IF(NOT(ISNUMBER(K1062)),"Taux de TVA invalide",IF(COUNTIF(p_rates,K1062)=0,"Taux de TVA hors liste (Paramètres)",IF(N(O1062)&gt;25,"Au-delà de 25 lignes : non imprimée","OK")))))))))))))</f>
        <v/>
      </c>
      <c r="O1062" s="59" t="str">
        <f>IF(A1062="","",COUNTIF($A$6:A1062,A1062))</f>
        <v/>
      </c>
      <c r="P1062" s="62" t="str">
        <f>IF(A1062="","",A1062&amp;"|"&amp;O1062)</f>
        <v/>
      </c>
    </row>
    <row r="1063">
      <c r="A1063" s="60" t="n"/>
      <c r="B1063" s="63" t="n"/>
      <c r="C1063" s="63" t="n"/>
      <c r="D1063" s="67" t="n"/>
      <c r="E1063" s="68" t="n"/>
      <c r="F1063" s="69" t="n"/>
      <c r="G1063" s="70" t="n"/>
      <c r="H1063" s="62" t="str">
        <f>IF(COUNTA(A1063:G1063)=0,"",IF(C1063&lt;&gt;"",C1063,IF(B1063="","",IFERROR(INDEX(pr_des,MATCH(B1063,pr_code,0))&amp;"",""))))</f>
        <v/>
      </c>
      <c r="I1063" s="59" t="str">
        <f>IF(B1063="","",IFERROR(INDEX(pr_unit,MATCH(B1063,pr_code,0))&amp;"",""))</f>
        <v/>
      </c>
      <c r="J1063" s="65" t="str">
        <f>IF(COUNTA(A1063:G1063)=0,"",IF(E1063&lt;&gt;"",E1063,IF(B1063="","",IFERROR(IF(INDEX(pr_price,MATCH(B1063,pr_code,0))="","",INDEX(pr_price,MATCH(B1063,pr_code,0))),""))))</f>
        <v/>
      </c>
      <c r="K1063" s="71" t="str">
        <f>IF(COUNTA(A1063:G1063)=0,"",IF(G1063&lt;&gt;"",G1063,IF(B1063="","",IFERROR(IF(INDEX(pr_rate,MATCH(B1063,pr_code,0))="","",INDEX(pr_rate,MATCH(B1063,pr_code,0))),""))))</f>
        <v/>
      </c>
      <c r="L1063" s="65" t="str">
        <f>IF(COUNTA(A1063:G1063)=0,"",IF(AND(ISNUMBER(D1063),ISNUMBER(J1063)),ROUND(D1063*J1063*(1-N(F1063)),2),0))</f>
        <v/>
      </c>
      <c r="M1063" s="62" t="str">
        <f>IF(A1063="","",IFERROR(INDEX(fa_cname,MATCH(A1063,fa_num,0))&amp;"",""))</f>
        <v/>
      </c>
      <c r="N1063" s="59" t="str">
        <f>IF(COUNTA(A1063:G1063)=0,"",IF(A1063="","N° facture manquant",IF(ISNA(MATCH(A1063,fa_num,0)),"Facture inconnue",IF(AND(B1063&lt;&gt;"",ISNA(MATCH(B1063,pr_code,0))),"Article inconnu",IF(H1063="","Désignation manquante",IF(OR(NOT(ISNUMBER(D1063)),N(D1063)&lt;=0),"Quantité invalide",IF(J1063="","Prix manquant",IF(OR(NOT(ISNUMBER(J1063)),N(J1063)&lt;0),"Prix invalide",IF(OR(AND(F1063&lt;&gt;"",NOT(ISNUMBER(F1063))),N(F1063)&lt;0,N(F1063)&gt;1),"Remise invalide",IF(K1063="","Taux de TVA manquant",IF(NOT(ISNUMBER(K1063)),"Taux de TVA invalide",IF(COUNTIF(p_rates,K1063)=0,"Taux de TVA hors liste (Paramètres)",IF(N(O1063)&gt;25,"Au-delà de 25 lignes : non imprimée","OK")))))))))))))</f>
        <v/>
      </c>
      <c r="O1063" s="59" t="str">
        <f>IF(A1063="","",COUNTIF($A$6:A1063,A1063))</f>
        <v/>
      </c>
      <c r="P1063" s="62" t="str">
        <f>IF(A1063="","",A1063&amp;"|"&amp;O1063)</f>
        <v/>
      </c>
    </row>
    <row r="1064">
      <c r="A1064" s="60" t="n"/>
      <c r="B1064" s="63" t="n"/>
      <c r="C1064" s="63" t="n"/>
      <c r="D1064" s="67" t="n"/>
      <c r="E1064" s="68" t="n"/>
      <c r="F1064" s="69" t="n"/>
      <c r="G1064" s="70" t="n"/>
      <c r="H1064" s="62" t="str">
        <f>IF(COUNTA(A1064:G1064)=0,"",IF(C1064&lt;&gt;"",C1064,IF(B1064="","",IFERROR(INDEX(pr_des,MATCH(B1064,pr_code,0))&amp;"",""))))</f>
        <v/>
      </c>
      <c r="I1064" s="59" t="str">
        <f>IF(B1064="","",IFERROR(INDEX(pr_unit,MATCH(B1064,pr_code,0))&amp;"",""))</f>
        <v/>
      </c>
      <c r="J1064" s="65" t="str">
        <f>IF(COUNTA(A1064:G1064)=0,"",IF(E1064&lt;&gt;"",E1064,IF(B1064="","",IFERROR(IF(INDEX(pr_price,MATCH(B1064,pr_code,0))="","",INDEX(pr_price,MATCH(B1064,pr_code,0))),""))))</f>
        <v/>
      </c>
      <c r="K1064" s="71" t="str">
        <f>IF(COUNTA(A1064:G1064)=0,"",IF(G1064&lt;&gt;"",G1064,IF(B1064="","",IFERROR(IF(INDEX(pr_rate,MATCH(B1064,pr_code,0))="","",INDEX(pr_rate,MATCH(B1064,pr_code,0))),""))))</f>
        <v/>
      </c>
      <c r="L1064" s="65" t="str">
        <f>IF(COUNTA(A1064:G1064)=0,"",IF(AND(ISNUMBER(D1064),ISNUMBER(J1064)),ROUND(D1064*J1064*(1-N(F1064)),2),0))</f>
        <v/>
      </c>
      <c r="M1064" s="62" t="str">
        <f>IF(A1064="","",IFERROR(INDEX(fa_cname,MATCH(A1064,fa_num,0))&amp;"",""))</f>
        <v/>
      </c>
      <c r="N1064" s="59" t="str">
        <f>IF(COUNTA(A1064:G1064)=0,"",IF(A1064="","N° facture manquant",IF(ISNA(MATCH(A1064,fa_num,0)),"Facture inconnue",IF(AND(B1064&lt;&gt;"",ISNA(MATCH(B1064,pr_code,0))),"Article inconnu",IF(H1064="","Désignation manquante",IF(OR(NOT(ISNUMBER(D1064)),N(D1064)&lt;=0),"Quantité invalide",IF(J1064="","Prix manquant",IF(OR(NOT(ISNUMBER(J1064)),N(J1064)&lt;0),"Prix invalide",IF(OR(AND(F1064&lt;&gt;"",NOT(ISNUMBER(F1064))),N(F1064)&lt;0,N(F1064)&gt;1),"Remise invalide",IF(K1064="","Taux de TVA manquant",IF(NOT(ISNUMBER(K1064)),"Taux de TVA invalide",IF(COUNTIF(p_rates,K1064)=0,"Taux de TVA hors liste (Paramètres)",IF(N(O1064)&gt;25,"Au-delà de 25 lignes : non imprimée","OK")))))))))))))</f>
        <v/>
      </c>
      <c r="O1064" s="59" t="str">
        <f>IF(A1064="","",COUNTIF($A$6:A1064,A1064))</f>
        <v/>
      </c>
      <c r="P1064" s="62" t="str">
        <f>IF(A1064="","",A1064&amp;"|"&amp;O1064)</f>
        <v/>
      </c>
    </row>
    <row r="1065">
      <c r="A1065" s="60" t="n"/>
      <c r="B1065" s="63" t="n"/>
      <c r="C1065" s="63" t="n"/>
      <c r="D1065" s="67" t="n"/>
      <c r="E1065" s="68" t="n"/>
      <c r="F1065" s="69" t="n"/>
      <c r="G1065" s="70" t="n"/>
      <c r="H1065" s="62" t="str">
        <f>IF(COUNTA(A1065:G1065)=0,"",IF(C1065&lt;&gt;"",C1065,IF(B1065="","",IFERROR(INDEX(pr_des,MATCH(B1065,pr_code,0))&amp;"",""))))</f>
        <v/>
      </c>
      <c r="I1065" s="59" t="str">
        <f>IF(B1065="","",IFERROR(INDEX(pr_unit,MATCH(B1065,pr_code,0))&amp;"",""))</f>
        <v/>
      </c>
      <c r="J1065" s="65" t="str">
        <f>IF(COUNTA(A1065:G1065)=0,"",IF(E1065&lt;&gt;"",E1065,IF(B1065="","",IFERROR(IF(INDEX(pr_price,MATCH(B1065,pr_code,0))="","",INDEX(pr_price,MATCH(B1065,pr_code,0))),""))))</f>
        <v/>
      </c>
      <c r="K1065" s="71" t="str">
        <f>IF(COUNTA(A1065:G1065)=0,"",IF(G1065&lt;&gt;"",G1065,IF(B1065="","",IFERROR(IF(INDEX(pr_rate,MATCH(B1065,pr_code,0))="","",INDEX(pr_rate,MATCH(B1065,pr_code,0))),""))))</f>
        <v/>
      </c>
      <c r="L1065" s="65" t="str">
        <f>IF(COUNTA(A1065:G1065)=0,"",IF(AND(ISNUMBER(D1065),ISNUMBER(J1065)),ROUND(D1065*J1065*(1-N(F1065)),2),0))</f>
        <v/>
      </c>
      <c r="M1065" s="62" t="str">
        <f>IF(A1065="","",IFERROR(INDEX(fa_cname,MATCH(A1065,fa_num,0))&amp;"",""))</f>
        <v/>
      </c>
      <c r="N1065" s="59" t="str">
        <f>IF(COUNTA(A1065:G1065)=0,"",IF(A1065="","N° facture manquant",IF(ISNA(MATCH(A1065,fa_num,0)),"Facture inconnue",IF(AND(B1065&lt;&gt;"",ISNA(MATCH(B1065,pr_code,0))),"Article inconnu",IF(H1065="","Désignation manquante",IF(OR(NOT(ISNUMBER(D1065)),N(D1065)&lt;=0),"Quantité invalide",IF(J1065="","Prix manquant",IF(OR(NOT(ISNUMBER(J1065)),N(J1065)&lt;0),"Prix invalide",IF(OR(AND(F1065&lt;&gt;"",NOT(ISNUMBER(F1065))),N(F1065)&lt;0,N(F1065)&gt;1),"Remise invalide",IF(K1065="","Taux de TVA manquant",IF(NOT(ISNUMBER(K1065)),"Taux de TVA invalide",IF(COUNTIF(p_rates,K1065)=0,"Taux de TVA hors liste (Paramètres)",IF(N(O1065)&gt;25,"Au-delà de 25 lignes : non imprimée","OK")))))))))))))</f>
        <v/>
      </c>
      <c r="O1065" s="59" t="str">
        <f>IF(A1065="","",COUNTIF($A$6:A1065,A1065))</f>
        <v/>
      </c>
      <c r="P1065" s="62" t="str">
        <f>IF(A1065="","",A1065&amp;"|"&amp;O1065)</f>
        <v/>
      </c>
    </row>
    <row r="1066">
      <c r="A1066" s="60" t="n"/>
      <c r="B1066" s="63" t="n"/>
      <c r="C1066" s="63" t="n"/>
      <c r="D1066" s="67" t="n"/>
      <c r="E1066" s="68" t="n"/>
      <c r="F1066" s="69" t="n"/>
      <c r="G1066" s="70" t="n"/>
      <c r="H1066" s="62" t="str">
        <f>IF(COUNTA(A1066:G1066)=0,"",IF(C1066&lt;&gt;"",C1066,IF(B1066="","",IFERROR(INDEX(pr_des,MATCH(B1066,pr_code,0))&amp;"",""))))</f>
        <v/>
      </c>
      <c r="I1066" s="59" t="str">
        <f>IF(B1066="","",IFERROR(INDEX(pr_unit,MATCH(B1066,pr_code,0))&amp;"",""))</f>
        <v/>
      </c>
      <c r="J1066" s="65" t="str">
        <f>IF(COUNTA(A1066:G1066)=0,"",IF(E1066&lt;&gt;"",E1066,IF(B1066="","",IFERROR(IF(INDEX(pr_price,MATCH(B1066,pr_code,0))="","",INDEX(pr_price,MATCH(B1066,pr_code,0))),""))))</f>
        <v/>
      </c>
      <c r="K1066" s="71" t="str">
        <f>IF(COUNTA(A1066:G1066)=0,"",IF(G1066&lt;&gt;"",G1066,IF(B1066="","",IFERROR(IF(INDEX(pr_rate,MATCH(B1066,pr_code,0))="","",INDEX(pr_rate,MATCH(B1066,pr_code,0))),""))))</f>
        <v/>
      </c>
      <c r="L1066" s="65" t="str">
        <f>IF(COUNTA(A1066:G1066)=0,"",IF(AND(ISNUMBER(D1066),ISNUMBER(J1066)),ROUND(D1066*J1066*(1-N(F1066)),2),0))</f>
        <v/>
      </c>
      <c r="M1066" s="62" t="str">
        <f>IF(A1066="","",IFERROR(INDEX(fa_cname,MATCH(A1066,fa_num,0))&amp;"",""))</f>
        <v/>
      </c>
      <c r="N1066" s="59" t="str">
        <f>IF(COUNTA(A1066:G1066)=0,"",IF(A1066="","N° facture manquant",IF(ISNA(MATCH(A1066,fa_num,0)),"Facture inconnue",IF(AND(B1066&lt;&gt;"",ISNA(MATCH(B1066,pr_code,0))),"Article inconnu",IF(H1066="","Désignation manquante",IF(OR(NOT(ISNUMBER(D1066)),N(D1066)&lt;=0),"Quantité invalide",IF(J1066="","Prix manquant",IF(OR(NOT(ISNUMBER(J1066)),N(J1066)&lt;0),"Prix invalide",IF(OR(AND(F1066&lt;&gt;"",NOT(ISNUMBER(F1066))),N(F1066)&lt;0,N(F1066)&gt;1),"Remise invalide",IF(K1066="","Taux de TVA manquant",IF(NOT(ISNUMBER(K1066)),"Taux de TVA invalide",IF(COUNTIF(p_rates,K1066)=0,"Taux de TVA hors liste (Paramètres)",IF(N(O1066)&gt;25,"Au-delà de 25 lignes : non imprimée","OK")))))))))))))</f>
        <v/>
      </c>
      <c r="O1066" s="59" t="str">
        <f>IF(A1066="","",COUNTIF($A$6:A1066,A1066))</f>
        <v/>
      </c>
      <c r="P1066" s="62" t="str">
        <f>IF(A1066="","",A1066&amp;"|"&amp;O1066)</f>
        <v/>
      </c>
    </row>
    <row r="1067">
      <c r="A1067" s="60" t="n"/>
      <c r="B1067" s="63" t="n"/>
      <c r="C1067" s="63" t="n"/>
      <c r="D1067" s="67" t="n"/>
      <c r="E1067" s="68" t="n"/>
      <c r="F1067" s="69" t="n"/>
      <c r="G1067" s="70" t="n"/>
      <c r="H1067" s="62" t="str">
        <f>IF(COUNTA(A1067:G1067)=0,"",IF(C1067&lt;&gt;"",C1067,IF(B1067="","",IFERROR(INDEX(pr_des,MATCH(B1067,pr_code,0))&amp;"",""))))</f>
        <v/>
      </c>
      <c r="I1067" s="59" t="str">
        <f>IF(B1067="","",IFERROR(INDEX(pr_unit,MATCH(B1067,pr_code,0))&amp;"",""))</f>
        <v/>
      </c>
      <c r="J1067" s="65" t="str">
        <f>IF(COUNTA(A1067:G1067)=0,"",IF(E1067&lt;&gt;"",E1067,IF(B1067="","",IFERROR(IF(INDEX(pr_price,MATCH(B1067,pr_code,0))="","",INDEX(pr_price,MATCH(B1067,pr_code,0))),""))))</f>
        <v/>
      </c>
      <c r="K1067" s="71" t="str">
        <f>IF(COUNTA(A1067:G1067)=0,"",IF(G1067&lt;&gt;"",G1067,IF(B1067="","",IFERROR(IF(INDEX(pr_rate,MATCH(B1067,pr_code,0))="","",INDEX(pr_rate,MATCH(B1067,pr_code,0))),""))))</f>
        <v/>
      </c>
      <c r="L1067" s="65" t="str">
        <f>IF(COUNTA(A1067:G1067)=0,"",IF(AND(ISNUMBER(D1067),ISNUMBER(J1067)),ROUND(D1067*J1067*(1-N(F1067)),2),0))</f>
        <v/>
      </c>
      <c r="M1067" s="62" t="str">
        <f>IF(A1067="","",IFERROR(INDEX(fa_cname,MATCH(A1067,fa_num,0))&amp;"",""))</f>
        <v/>
      </c>
      <c r="N1067" s="59" t="str">
        <f>IF(COUNTA(A1067:G1067)=0,"",IF(A1067="","N° facture manquant",IF(ISNA(MATCH(A1067,fa_num,0)),"Facture inconnue",IF(AND(B1067&lt;&gt;"",ISNA(MATCH(B1067,pr_code,0))),"Article inconnu",IF(H1067="","Désignation manquante",IF(OR(NOT(ISNUMBER(D1067)),N(D1067)&lt;=0),"Quantité invalide",IF(J1067="","Prix manquant",IF(OR(NOT(ISNUMBER(J1067)),N(J1067)&lt;0),"Prix invalide",IF(OR(AND(F1067&lt;&gt;"",NOT(ISNUMBER(F1067))),N(F1067)&lt;0,N(F1067)&gt;1),"Remise invalide",IF(K1067="","Taux de TVA manquant",IF(NOT(ISNUMBER(K1067)),"Taux de TVA invalide",IF(COUNTIF(p_rates,K1067)=0,"Taux de TVA hors liste (Paramètres)",IF(N(O1067)&gt;25,"Au-delà de 25 lignes : non imprimée","OK")))))))))))))</f>
        <v/>
      </c>
      <c r="O1067" s="59" t="str">
        <f>IF(A1067="","",COUNTIF($A$6:A1067,A1067))</f>
        <v/>
      </c>
      <c r="P1067" s="62" t="str">
        <f>IF(A1067="","",A1067&amp;"|"&amp;O1067)</f>
        <v/>
      </c>
    </row>
    <row r="1068">
      <c r="A1068" s="60" t="n"/>
      <c r="B1068" s="63" t="n"/>
      <c r="C1068" s="63" t="n"/>
      <c r="D1068" s="67" t="n"/>
      <c r="E1068" s="68" t="n"/>
      <c r="F1068" s="69" t="n"/>
      <c r="G1068" s="70" t="n"/>
      <c r="H1068" s="62" t="str">
        <f>IF(COUNTA(A1068:G1068)=0,"",IF(C1068&lt;&gt;"",C1068,IF(B1068="","",IFERROR(INDEX(pr_des,MATCH(B1068,pr_code,0))&amp;"",""))))</f>
        <v/>
      </c>
      <c r="I1068" s="59" t="str">
        <f>IF(B1068="","",IFERROR(INDEX(pr_unit,MATCH(B1068,pr_code,0))&amp;"",""))</f>
        <v/>
      </c>
      <c r="J1068" s="65" t="str">
        <f>IF(COUNTA(A1068:G1068)=0,"",IF(E1068&lt;&gt;"",E1068,IF(B1068="","",IFERROR(IF(INDEX(pr_price,MATCH(B1068,pr_code,0))="","",INDEX(pr_price,MATCH(B1068,pr_code,0))),""))))</f>
        <v/>
      </c>
      <c r="K1068" s="71" t="str">
        <f>IF(COUNTA(A1068:G1068)=0,"",IF(G1068&lt;&gt;"",G1068,IF(B1068="","",IFERROR(IF(INDEX(pr_rate,MATCH(B1068,pr_code,0))="","",INDEX(pr_rate,MATCH(B1068,pr_code,0))),""))))</f>
        <v/>
      </c>
      <c r="L1068" s="65" t="str">
        <f>IF(COUNTA(A1068:G1068)=0,"",IF(AND(ISNUMBER(D1068),ISNUMBER(J1068)),ROUND(D1068*J1068*(1-N(F1068)),2),0))</f>
        <v/>
      </c>
      <c r="M1068" s="62" t="str">
        <f>IF(A1068="","",IFERROR(INDEX(fa_cname,MATCH(A1068,fa_num,0))&amp;"",""))</f>
        <v/>
      </c>
      <c r="N1068" s="59" t="str">
        <f>IF(COUNTA(A1068:G1068)=0,"",IF(A1068="","N° facture manquant",IF(ISNA(MATCH(A1068,fa_num,0)),"Facture inconnue",IF(AND(B1068&lt;&gt;"",ISNA(MATCH(B1068,pr_code,0))),"Article inconnu",IF(H1068="","Désignation manquante",IF(OR(NOT(ISNUMBER(D1068)),N(D1068)&lt;=0),"Quantité invalide",IF(J1068="","Prix manquant",IF(OR(NOT(ISNUMBER(J1068)),N(J1068)&lt;0),"Prix invalide",IF(OR(AND(F1068&lt;&gt;"",NOT(ISNUMBER(F1068))),N(F1068)&lt;0,N(F1068)&gt;1),"Remise invalide",IF(K1068="","Taux de TVA manquant",IF(NOT(ISNUMBER(K1068)),"Taux de TVA invalide",IF(COUNTIF(p_rates,K1068)=0,"Taux de TVA hors liste (Paramètres)",IF(N(O1068)&gt;25,"Au-delà de 25 lignes : non imprimée","OK")))))))))))))</f>
        <v/>
      </c>
      <c r="O1068" s="59" t="str">
        <f>IF(A1068="","",COUNTIF($A$6:A1068,A1068))</f>
        <v/>
      </c>
      <c r="P1068" s="62" t="str">
        <f>IF(A1068="","",A1068&amp;"|"&amp;O1068)</f>
        <v/>
      </c>
    </row>
    <row r="1069">
      <c r="A1069" s="60" t="n"/>
      <c r="B1069" s="63" t="n"/>
      <c r="C1069" s="63" t="n"/>
      <c r="D1069" s="67" t="n"/>
      <c r="E1069" s="68" t="n"/>
      <c r="F1069" s="69" t="n"/>
      <c r="G1069" s="70" t="n"/>
      <c r="H1069" s="62" t="str">
        <f>IF(COUNTA(A1069:G1069)=0,"",IF(C1069&lt;&gt;"",C1069,IF(B1069="","",IFERROR(INDEX(pr_des,MATCH(B1069,pr_code,0))&amp;"",""))))</f>
        <v/>
      </c>
      <c r="I1069" s="59" t="str">
        <f>IF(B1069="","",IFERROR(INDEX(pr_unit,MATCH(B1069,pr_code,0))&amp;"",""))</f>
        <v/>
      </c>
      <c r="J1069" s="65" t="str">
        <f>IF(COUNTA(A1069:G1069)=0,"",IF(E1069&lt;&gt;"",E1069,IF(B1069="","",IFERROR(IF(INDEX(pr_price,MATCH(B1069,pr_code,0))="","",INDEX(pr_price,MATCH(B1069,pr_code,0))),""))))</f>
        <v/>
      </c>
      <c r="K1069" s="71" t="str">
        <f>IF(COUNTA(A1069:G1069)=0,"",IF(G1069&lt;&gt;"",G1069,IF(B1069="","",IFERROR(IF(INDEX(pr_rate,MATCH(B1069,pr_code,0))="","",INDEX(pr_rate,MATCH(B1069,pr_code,0))),""))))</f>
        <v/>
      </c>
      <c r="L1069" s="65" t="str">
        <f>IF(COUNTA(A1069:G1069)=0,"",IF(AND(ISNUMBER(D1069),ISNUMBER(J1069)),ROUND(D1069*J1069*(1-N(F1069)),2),0))</f>
        <v/>
      </c>
      <c r="M1069" s="62" t="str">
        <f>IF(A1069="","",IFERROR(INDEX(fa_cname,MATCH(A1069,fa_num,0))&amp;"",""))</f>
        <v/>
      </c>
      <c r="N1069" s="59" t="str">
        <f>IF(COUNTA(A1069:G1069)=0,"",IF(A1069="","N° facture manquant",IF(ISNA(MATCH(A1069,fa_num,0)),"Facture inconnue",IF(AND(B1069&lt;&gt;"",ISNA(MATCH(B1069,pr_code,0))),"Article inconnu",IF(H1069="","Désignation manquante",IF(OR(NOT(ISNUMBER(D1069)),N(D1069)&lt;=0),"Quantité invalide",IF(J1069="","Prix manquant",IF(OR(NOT(ISNUMBER(J1069)),N(J1069)&lt;0),"Prix invalide",IF(OR(AND(F1069&lt;&gt;"",NOT(ISNUMBER(F1069))),N(F1069)&lt;0,N(F1069)&gt;1),"Remise invalide",IF(K1069="","Taux de TVA manquant",IF(NOT(ISNUMBER(K1069)),"Taux de TVA invalide",IF(COUNTIF(p_rates,K1069)=0,"Taux de TVA hors liste (Paramètres)",IF(N(O1069)&gt;25,"Au-delà de 25 lignes : non imprimée","OK")))))))))))))</f>
        <v/>
      </c>
      <c r="O1069" s="59" t="str">
        <f>IF(A1069="","",COUNTIF($A$6:A1069,A1069))</f>
        <v/>
      </c>
      <c r="P1069" s="62" t="str">
        <f>IF(A1069="","",A1069&amp;"|"&amp;O1069)</f>
        <v/>
      </c>
    </row>
    <row r="1070">
      <c r="A1070" s="60" t="n"/>
      <c r="B1070" s="63" t="n"/>
      <c r="C1070" s="63" t="n"/>
      <c r="D1070" s="67" t="n"/>
      <c r="E1070" s="68" t="n"/>
      <c r="F1070" s="69" t="n"/>
      <c r="G1070" s="70" t="n"/>
      <c r="H1070" s="62" t="str">
        <f>IF(COUNTA(A1070:G1070)=0,"",IF(C1070&lt;&gt;"",C1070,IF(B1070="","",IFERROR(INDEX(pr_des,MATCH(B1070,pr_code,0))&amp;"",""))))</f>
        <v/>
      </c>
      <c r="I1070" s="59" t="str">
        <f>IF(B1070="","",IFERROR(INDEX(pr_unit,MATCH(B1070,pr_code,0))&amp;"",""))</f>
        <v/>
      </c>
      <c r="J1070" s="65" t="str">
        <f>IF(COUNTA(A1070:G1070)=0,"",IF(E1070&lt;&gt;"",E1070,IF(B1070="","",IFERROR(IF(INDEX(pr_price,MATCH(B1070,pr_code,0))="","",INDEX(pr_price,MATCH(B1070,pr_code,0))),""))))</f>
        <v/>
      </c>
      <c r="K1070" s="71" t="str">
        <f>IF(COUNTA(A1070:G1070)=0,"",IF(G1070&lt;&gt;"",G1070,IF(B1070="","",IFERROR(IF(INDEX(pr_rate,MATCH(B1070,pr_code,0))="","",INDEX(pr_rate,MATCH(B1070,pr_code,0))),""))))</f>
        <v/>
      </c>
      <c r="L1070" s="65" t="str">
        <f>IF(COUNTA(A1070:G1070)=0,"",IF(AND(ISNUMBER(D1070),ISNUMBER(J1070)),ROUND(D1070*J1070*(1-N(F1070)),2),0))</f>
        <v/>
      </c>
      <c r="M1070" s="62" t="str">
        <f>IF(A1070="","",IFERROR(INDEX(fa_cname,MATCH(A1070,fa_num,0))&amp;"",""))</f>
        <v/>
      </c>
      <c r="N1070" s="59" t="str">
        <f>IF(COUNTA(A1070:G1070)=0,"",IF(A1070="","N° facture manquant",IF(ISNA(MATCH(A1070,fa_num,0)),"Facture inconnue",IF(AND(B1070&lt;&gt;"",ISNA(MATCH(B1070,pr_code,0))),"Article inconnu",IF(H1070="","Désignation manquante",IF(OR(NOT(ISNUMBER(D1070)),N(D1070)&lt;=0),"Quantité invalide",IF(J1070="","Prix manquant",IF(OR(NOT(ISNUMBER(J1070)),N(J1070)&lt;0),"Prix invalide",IF(OR(AND(F1070&lt;&gt;"",NOT(ISNUMBER(F1070))),N(F1070)&lt;0,N(F1070)&gt;1),"Remise invalide",IF(K1070="","Taux de TVA manquant",IF(NOT(ISNUMBER(K1070)),"Taux de TVA invalide",IF(COUNTIF(p_rates,K1070)=0,"Taux de TVA hors liste (Paramètres)",IF(N(O1070)&gt;25,"Au-delà de 25 lignes : non imprimée","OK")))))))))))))</f>
        <v/>
      </c>
      <c r="O1070" s="59" t="str">
        <f>IF(A1070="","",COUNTIF($A$6:A1070,A1070))</f>
        <v/>
      </c>
      <c r="P1070" s="62" t="str">
        <f>IF(A1070="","",A1070&amp;"|"&amp;O1070)</f>
        <v/>
      </c>
    </row>
    <row r="1071">
      <c r="A1071" s="60" t="n"/>
      <c r="B1071" s="63" t="n"/>
      <c r="C1071" s="63" t="n"/>
      <c r="D1071" s="67" t="n"/>
      <c r="E1071" s="68" t="n"/>
      <c r="F1071" s="69" t="n"/>
      <c r="G1071" s="70" t="n"/>
      <c r="H1071" s="62" t="str">
        <f>IF(COUNTA(A1071:G1071)=0,"",IF(C1071&lt;&gt;"",C1071,IF(B1071="","",IFERROR(INDEX(pr_des,MATCH(B1071,pr_code,0))&amp;"",""))))</f>
        <v/>
      </c>
      <c r="I1071" s="59" t="str">
        <f>IF(B1071="","",IFERROR(INDEX(pr_unit,MATCH(B1071,pr_code,0))&amp;"",""))</f>
        <v/>
      </c>
      <c r="J1071" s="65" t="str">
        <f>IF(COUNTA(A1071:G1071)=0,"",IF(E1071&lt;&gt;"",E1071,IF(B1071="","",IFERROR(IF(INDEX(pr_price,MATCH(B1071,pr_code,0))="","",INDEX(pr_price,MATCH(B1071,pr_code,0))),""))))</f>
        <v/>
      </c>
      <c r="K1071" s="71" t="str">
        <f>IF(COUNTA(A1071:G1071)=0,"",IF(G1071&lt;&gt;"",G1071,IF(B1071="","",IFERROR(IF(INDEX(pr_rate,MATCH(B1071,pr_code,0))="","",INDEX(pr_rate,MATCH(B1071,pr_code,0))),""))))</f>
        <v/>
      </c>
      <c r="L1071" s="65" t="str">
        <f>IF(COUNTA(A1071:G1071)=0,"",IF(AND(ISNUMBER(D1071),ISNUMBER(J1071)),ROUND(D1071*J1071*(1-N(F1071)),2),0))</f>
        <v/>
      </c>
      <c r="M1071" s="62" t="str">
        <f>IF(A1071="","",IFERROR(INDEX(fa_cname,MATCH(A1071,fa_num,0))&amp;"",""))</f>
        <v/>
      </c>
      <c r="N1071" s="59" t="str">
        <f>IF(COUNTA(A1071:G1071)=0,"",IF(A1071="","N° facture manquant",IF(ISNA(MATCH(A1071,fa_num,0)),"Facture inconnue",IF(AND(B1071&lt;&gt;"",ISNA(MATCH(B1071,pr_code,0))),"Article inconnu",IF(H1071="","Désignation manquante",IF(OR(NOT(ISNUMBER(D1071)),N(D1071)&lt;=0),"Quantité invalide",IF(J1071="","Prix manquant",IF(OR(NOT(ISNUMBER(J1071)),N(J1071)&lt;0),"Prix invalide",IF(OR(AND(F1071&lt;&gt;"",NOT(ISNUMBER(F1071))),N(F1071)&lt;0,N(F1071)&gt;1),"Remise invalide",IF(K1071="","Taux de TVA manquant",IF(NOT(ISNUMBER(K1071)),"Taux de TVA invalide",IF(COUNTIF(p_rates,K1071)=0,"Taux de TVA hors liste (Paramètres)",IF(N(O1071)&gt;25,"Au-delà de 25 lignes : non imprimée","OK")))))))))))))</f>
        <v/>
      </c>
      <c r="O1071" s="59" t="str">
        <f>IF(A1071="","",COUNTIF($A$6:A1071,A1071))</f>
        <v/>
      </c>
      <c r="P1071" s="62" t="str">
        <f>IF(A1071="","",A1071&amp;"|"&amp;O1071)</f>
        <v/>
      </c>
    </row>
    <row r="1072">
      <c r="A1072" s="60" t="n"/>
      <c r="B1072" s="63" t="n"/>
      <c r="C1072" s="63" t="n"/>
      <c r="D1072" s="67" t="n"/>
      <c r="E1072" s="68" t="n"/>
      <c r="F1072" s="69" t="n"/>
      <c r="G1072" s="70" t="n"/>
      <c r="H1072" s="62" t="str">
        <f>IF(COUNTA(A1072:G1072)=0,"",IF(C1072&lt;&gt;"",C1072,IF(B1072="","",IFERROR(INDEX(pr_des,MATCH(B1072,pr_code,0))&amp;"",""))))</f>
        <v/>
      </c>
      <c r="I1072" s="59" t="str">
        <f>IF(B1072="","",IFERROR(INDEX(pr_unit,MATCH(B1072,pr_code,0))&amp;"",""))</f>
        <v/>
      </c>
      <c r="J1072" s="65" t="str">
        <f>IF(COUNTA(A1072:G1072)=0,"",IF(E1072&lt;&gt;"",E1072,IF(B1072="","",IFERROR(IF(INDEX(pr_price,MATCH(B1072,pr_code,0))="","",INDEX(pr_price,MATCH(B1072,pr_code,0))),""))))</f>
        <v/>
      </c>
      <c r="K1072" s="71" t="str">
        <f>IF(COUNTA(A1072:G1072)=0,"",IF(G1072&lt;&gt;"",G1072,IF(B1072="","",IFERROR(IF(INDEX(pr_rate,MATCH(B1072,pr_code,0))="","",INDEX(pr_rate,MATCH(B1072,pr_code,0))),""))))</f>
        <v/>
      </c>
      <c r="L1072" s="65" t="str">
        <f>IF(COUNTA(A1072:G1072)=0,"",IF(AND(ISNUMBER(D1072),ISNUMBER(J1072)),ROUND(D1072*J1072*(1-N(F1072)),2),0))</f>
        <v/>
      </c>
      <c r="M1072" s="62" t="str">
        <f>IF(A1072="","",IFERROR(INDEX(fa_cname,MATCH(A1072,fa_num,0))&amp;"",""))</f>
        <v/>
      </c>
      <c r="N1072" s="59" t="str">
        <f>IF(COUNTA(A1072:G1072)=0,"",IF(A1072="","N° facture manquant",IF(ISNA(MATCH(A1072,fa_num,0)),"Facture inconnue",IF(AND(B1072&lt;&gt;"",ISNA(MATCH(B1072,pr_code,0))),"Article inconnu",IF(H1072="","Désignation manquante",IF(OR(NOT(ISNUMBER(D1072)),N(D1072)&lt;=0),"Quantité invalide",IF(J1072="","Prix manquant",IF(OR(NOT(ISNUMBER(J1072)),N(J1072)&lt;0),"Prix invalide",IF(OR(AND(F1072&lt;&gt;"",NOT(ISNUMBER(F1072))),N(F1072)&lt;0,N(F1072)&gt;1),"Remise invalide",IF(K1072="","Taux de TVA manquant",IF(NOT(ISNUMBER(K1072)),"Taux de TVA invalide",IF(COUNTIF(p_rates,K1072)=0,"Taux de TVA hors liste (Paramètres)",IF(N(O1072)&gt;25,"Au-delà de 25 lignes : non imprimée","OK")))))))))))))</f>
        <v/>
      </c>
      <c r="O1072" s="59" t="str">
        <f>IF(A1072="","",COUNTIF($A$6:A1072,A1072))</f>
        <v/>
      </c>
      <c r="P1072" s="62" t="str">
        <f>IF(A1072="","",A1072&amp;"|"&amp;O1072)</f>
        <v/>
      </c>
    </row>
    <row r="1073">
      <c r="A1073" s="60" t="n"/>
      <c r="B1073" s="63" t="n"/>
      <c r="C1073" s="63" t="n"/>
      <c r="D1073" s="67" t="n"/>
      <c r="E1073" s="68" t="n"/>
      <c r="F1073" s="69" t="n"/>
      <c r="G1073" s="70" t="n"/>
      <c r="H1073" s="62" t="str">
        <f>IF(COUNTA(A1073:G1073)=0,"",IF(C1073&lt;&gt;"",C1073,IF(B1073="","",IFERROR(INDEX(pr_des,MATCH(B1073,pr_code,0))&amp;"",""))))</f>
        <v/>
      </c>
      <c r="I1073" s="59" t="str">
        <f>IF(B1073="","",IFERROR(INDEX(pr_unit,MATCH(B1073,pr_code,0))&amp;"",""))</f>
        <v/>
      </c>
      <c r="J1073" s="65" t="str">
        <f>IF(COUNTA(A1073:G1073)=0,"",IF(E1073&lt;&gt;"",E1073,IF(B1073="","",IFERROR(IF(INDEX(pr_price,MATCH(B1073,pr_code,0))="","",INDEX(pr_price,MATCH(B1073,pr_code,0))),""))))</f>
        <v/>
      </c>
      <c r="K1073" s="71" t="str">
        <f>IF(COUNTA(A1073:G1073)=0,"",IF(G1073&lt;&gt;"",G1073,IF(B1073="","",IFERROR(IF(INDEX(pr_rate,MATCH(B1073,pr_code,0))="","",INDEX(pr_rate,MATCH(B1073,pr_code,0))),""))))</f>
        <v/>
      </c>
      <c r="L1073" s="65" t="str">
        <f>IF(COUNTA(A1073:G1073)=0,"",IF(AND(ISNUMBER(D1073),ISNUMBER(J1073)),ROUND(D1073*J1073*(1-N(F1073)),2),0))</f>
        <v/>
      </c>
      <c r="M1073" s="62" t="str">
        <f>IF(A1073="","",IFERROR(INDEX(fa_cname,MATCH(A1073,fa_num,0))&amp;"",""))</f>
        <v/>
      </c>
      <c r="N1073" s="59" t="str">
        <f>IF(COUNTA(A1073:G1073)=0,"",IF(A1073="","N° facture manquant",IF(ISNA(MATCH(A1073,fa_num,0)),"Facture inconnue",IF(AND(B1073&lt;&gt;"",ISNA(MATCH(B1073,pr_code,0))),"Article inconnu",IF(H1073="","Désignation manquante",IF(OR(NOT(ISNUMBER(D1073)),N(D1073)&lt;=0),"Quantité invalide",IF(J1073="","Prix manquant",IF(OR(NOT(ISNUMBER(J1073)),N(J1073)&lt;0),"Prix invalide",IF(OR(AND(F1073&lt;&gt;"",NOT(ISNUMBER(F1073))),N(F1073)&lt;0,N(F1073)&gt;1),"Remise invalide",IF(K1073="","Taux de TVA manquant",IF(NOT(ISNUMBER(K1073)),"Taux de TVA invalide",IF(COUNTIF(p_rates,K1073)=0,"Taux de TVA hors liste (Paramètres)",IF(N(O1073)&gt;25,"Au-delà de 25 lignes : non imprimée","OK")))))))))))))</f>
        <v/>
      </c>
      <c r="O1073" s="59" t="str">
        <f>IF(A1073="","",COUNTIF($A$6:A1073,A1073))</f>
        <v/>
      </c>
      <c r="P1073" s="62" t="str">
        <f>IF(A1073="","",A1073&amp;"|"&amp;O1073)</f>
        <v/>
      </c>
    </row>
    <row r="1074">
      <c r="A1074" s="60" t="n"/>
      <c r="B1074" s="63" t="n"/>
      <c r="C1074" s="63" t="n"/>
      <c r="D1074" s="67" t="n"/>
      <c r="E1074" s="68" t="n"/>
      <c r="F1074" s="69" t="n"/>
      <c r="G1074" s="70" t="n"/>
      <c r="H1074" s="62" t="str">
        <f>IF(COUNTA(A1074:G1074)=0,"",IF(C1074&lt;&gt;"",C1074,IF(B1074="","",IFERROR(INDEX(pr_des,MATCH(B1074,pr_code,0))&amp;"",""))))</f>
        <v/>
      </c>
      <c r="I1074" s="59" t="str">
        <f>IF(B1074="","",IFERROR(INDEX(pr_unit,MATCH(B1074,pr_code,0))&amp;"",""))</f>
        <v/>
      </c>
      <c r="J1074" s="65" t="str">
        <f>IF(COUNTA(A1074:G1074)=0,"",IF(E1074&lt;&gt;"",E1074,IF(B1074="","",IFERROR(IF(INDEX(pr_price,MATCH(B1074,pr_code,0))="","",INDEX(pr_price,MATCH(B1074,pr_code,0))),""))))</f>
        <v/>
      </c>
      <c r="K1074" s="71" t="str">
        <f>IF(COUNTA(A1074:G1074)=0,"",IF(G1074&lt;&gt;"",G1074,IF(B1074="","",IFERROR(IF(INDEX(pr_rate,MATCH(B1074,pr_code,0))="","",INDEX(pr_rate,MATCH(B1074,pr_code,0))),""))))</f>
        <v/>
      </c>
      <c r="L1074" s="65" t="str">
        <f>IF(COUNTA(A1074:G1074)=0,"",IF(AND(ISNUMBER(D1074),ISNUMBER(J1074)),ROUND(D1074*J1074*(1-N(F1074)),2),0))</f>
        <v/>
      </c>
      <c r="M1074" s="62" t="str">
        <f>IF(A1074="","",IFERROR(INDEX(fa_cname,MATCH(A1074,fa_num,0))&amp;"",""))</f>
        <v/>
      </c>
      <c r="N1074" s="59" t="str">
        <f>IF(COUNTA(A1074:G1074)=0,"",IF(A1074="","N° facture manquant",IF(ISNA(MATCH(A1074,fa_num,0)),"Facture inconnue",IF(AND(B1074&lt;&gt;"",ISNA(MATCH(B1074,pr_code,0))),"Article inconnu",IF(H1074="","Désignation manquante",IF(OR(NOT(ISNUMBER(D1074)),N(D1074)&lt;=0),"Quantité invalide",IF(J1074="","Prix manquant",IF(OR(NOT(ISNUMBER(J1074)),N(J1074)&lt;0),"Prix invalide",IF(OR(AND(F1074&lt;&gt;"",NOT(ISNUMBER(F1074))),N(F1074)&lt;0,N(F1074)&gt;1),"Remise invalide",IF(K1074="","Taux de TVA manquant",IF(NOT(ISNUMBER(K1074)),"Taux de TVA invalide",IF(COUNTIF(p_rates,K1074)=0,"Taux de TVA hors liste (Paramètres)",IF(N(O1074)&gt;25,"Au-delà de 25 lignes : non imprimée","OK")))))))))))))</f>
        <v/>
      </c>
      <c r="O1074" s="59" t="str">
        <f>IF(A1074="","",COUNTIF($A$6:A1074,A1074))</f>
        <v/>
      </c>
      <c r="P1074" s="62" t="str">
        <f>IF(A1074="","",A1074&amp;"|"&amp;O1074)</f>
        <v/>
      </c>
    </row>
    <row r="1075">
      <c r="A1075" s="60" t="n"/>
      <c r="B1075" s="63" t="n"/>
      <c r="C1075" s="63" t="n"/>
      <c r="D1075" s="67" t="n"/>
      <c r="E1075" s="68" t="n"/>
      <c r="F1075" s="69" t="n"/>
      <c r="G1075" s="70" t="n"/>
      <c r="H1075" s="62" t="str">
        <f>IF(COUNTA(A1075:G1075)=0,"",IF(C1075&lt;&gt;"",C1075,IF(B1075="","",IFERROR(INDEX(pr_des,MATCH(B1075,pr_code,0))&amp;"",""))))</f>
        <v/>
      </c>
      <c r="I1075" s="59" t="str">
        <f>IF(B1075="","",IFERROR(INDEX(pr_unit,MATCH(B1075,pr_code,0))&amp;"",""))</f>
        <v/>
      </c>
      <c r="J1075" s="65" t="str">
        <f>IF(COUNTA(A1075:G1075)=0,"",IF(E1075&lt;&gt;"",E1075,IF(B1075="","",IFERROR(IF(INDEX(pr_price,MATCH(B1075,pr_code,0))="","",INDEX(pr_price,MATCH(B1075,pr_code,0))),""))))</f>
        <v/>
      </c>
      <c r="K1075" s="71" t="str">
        <f>IF(COUNTA(A1075:G1075)=0,"",IF(G1075&lt;&gt;"",G1075,IF(B1075="","",IFERROR(IF(INDEX(pr_rate,MATCH(B1075,pr_code,0))="","",INDEX(pr_rate,MATCH(B1075,pr_code,0))),""))))</f>
        <v/>
      </c>
      <c r="L1075" s="65" t="str">
        <f>IF(COUNTA(A1075:G1075)=0,"",IF(AND(ISNUMBER(D1075),ISNUMBER(J1075)),ROUND(D1075*J1075*(1-N(F1075)),2),0))</f>
        <v/>
      </c>
      <c r="M1075" s="62" t="str">
        <f>IF(A1075="","",IFERROR(INDEX(fa_cname,MATCH(A1075,fa_num,0))&amp;"",""))</f>
        <v/>
      </c>
      <c r="N1075" s="59" t="str">
        <f>IF(COUNTA(A1075:G1075)=0,"",IF(A1075="","N° facture manquant",IF(ISNA(MATCH(A1075,fa_num,0)),"Facture inconnue",IF(AND(B1075&lt;&gt;"",ISNA(MATCH(B1075,pr_code,0))),"Article inconnu",IF(H1075="","Désignation manquante",IF(OR(NOT(ISNUMBER(D1075)),N(D1075)&lt;=0),"Quantité invalide",IF(J1075="","Prix manquant",IF(OR(NOT(ISNUMBER(J1075)),N(J1075)&lt;0),"Prix invalide",IF(OR(AND(F1075&lt;&gt;"",NOT(ISNUMBER(F1075))),N(F1075)&lt;0,N(F1075)&gt;1),"Remise invalide",IF(K1075="","Taux de TVA manquant",IF(NOT(ISNUMBER(K1075)),"Taux de TVA invalide",IF(COUNTIF(p_rates,K1075)=0,"Taux de TVA hors liste (Paramètres)",IF(N(O1075)&gt;25,"Au-delà de 25 lignes : non imprimée","OK")))))))))))))</f>
        <v/>
      </c>
      <c r="O1075" s="59" t="str">
        <f>IF(A1075="","",COUNTIF($A$6:A1075,A1075))</f>
        <v/>
      </c>
      <c r="P1075" s="62" t="str">
        <f>IF(A1075="","",A1075&amp;"|"&amp;O1075)</f>
        <v/>
      </c>
    </row>
    <row r="1076">
      <c r="A1076" s="60" t="n"/>
      <c r="B1076" s="63" t="n"/>
      <c r="C1076" s="63" t="n"/>
      <c r="D1076" s="67" t="n"/>
      <c r="E1076" s="68" t="n"/>
      <c r="F1076" s="69" t="n"/>
      <c r="G1076" s="70" t="n"/>
      <c r="H1076" s="62" t="str">
        <f>IF(COUNTA(A1076:G1076)=0,"",IF(C1076&lt;&gt;"",C1076,IF(B1076="","",IFERROR(INDEX(pr_des,MATCH(B1076,pr_code,0))&amp;"",""))))</f>
        <v/>
      </c>
      <c r="I1076" s="59" t="str">
        <f>IF(B1076="","",IFERROR(INDEX(pr_unit,MATCH(B1076,pr_code,0))&amp;"",""))</f>
        <v/>
      </c>
      <c r="J1076" s="65" t="str">
        <f>IF(COUNTA(A1076:G1076)=0,"",IF(E1076&lt;&gt;"",E1076,IF(B1076="","",IFERROR(IF(INDEX(pr_price,MATCH(B1076,pr_code,0))="","",INDEX(pr_price,MATCH(B1076,pr_code,0))),""))))</f>
        <v/>
      </c>
      <c r="K1076" s="71" t="str">
        <f>IF(COUNTA(A1076:G1076)=0,"",IF(G1076&lt;&gt;"",G1076,IF(B1076="","",IFERROR(IF(INDEX(pr_rate,MATCH(B1076,pr_code,0))="","",INDEX(pr_rate,MATCH(B1076,pr_code,0))),""))))</f>
        <v/>
      </c>
      <c r="L1076" s="65" t="str">
        <f>IF(COUNTA(A1076:G1076)=0,"",IF(AND(ISNUMBER(D1076),ISNUMBER(J1076)),ROUND(D1076*J1076*(1-N(F1076)),2),0))</f>
        <v/>
      </c>
      <c r="M1076" s="62" t="str">
        <f>IF(A1076="","",IFERROR(INDEX(fa_cname,MATCH(A1076,fa_num,0))&amp;"",""))</f>
        <v/>
      </c>
      <c r="N1076" s="59" t="str">
        <f>IF(COUNTA(A1076:G1076)=0,"",IF(A1076="","N° facture manquant",IF(ISNA(MATCH(A1076,fa_num,0)),"Facture inconnue",IF(AND(B1076&lt;&gt;"",ISNA(MATCH(B1076,pr_code,0))),"Article inconnu",IF(H1076="","Désignation manquante",IF(OR(NOT(ISNUMBER(D1076)),N(D1076)&lt;=0),"Quantité invalide",IF(J1076="","Prix manquant",IF(OR(NOT(ISNUMBER(J1076)),N(J1076)&lt;0),"Prix invalide",IF(OR(AND(F1076&lt;&gt;"",NOT(ISNUMBER(F1076))),N(F1076)&lt;0,N(F1076)&gt;1),"Remise invalide",IF(K1076="","Taux de TVA manquant",IF(NOT(ISNUMBER(K1076)),"Taux de TVA invalide",IF(COUNTIF(p_rates,K1076)=0,"Taux de TVA hors liste (Paramètres)",IF(N(O1076)&gt;25,"Au-delà de 25 lignes : non imprimée","OK")))))))))))))</f>
        <v/>
      </c>
      <c r="O1076" s="59" t="str">
        <f>IF(A1076="","",COUNTIF($A$6:A1076,A1076))</f>
        <v/>
      </c>
      <c r="P1076" s="62" t="str">
        <f>IF(A1076="","",A1076&amp;"|"&amp;O1076)</f>
        <v/>
      </c>
    </row>
    <row r="1077">
      <c r="A1077" s="60" t="n"/>
      <c r="B1077" s="63" t="n"/>
      <c r="C1077" s="63" t="n"/>
      <c r="D1077" s="67" t="n"/>
      <c r="E1077" s="68" t="n"/>
      <c r="F1077" s="69" t="n"/>
      <c r="G1077" s="70" t="n"/>
      <c r="H1077" s="62" t="str">
        <f>IF(COUNTA(A1077:G1077)=0,"",IF(C1077&lt;&gt;"",C1077,IF(B1077="","",IFERROR(INDEX(pr_des,MATCH(B1077,pr_code,0))&amp;"",""))))</f>
        <v/>
      </c>
      <c r="I1077" s="59" t="str">
        <f>IF(B1077="","",IFERROR(INDEX(pr_unit,MATCH(B1077,pr_code,0))&amp;"",""))</f>
        <v/>
      </c>
      <c r="J1077" s="65" t="str">
        <f>IF(COUNTA(A1077:G1077)=0,"",IF(E1077&lt;&gt;"",E1077,IF(B1077="","",IFERROR(IF(INDEX(pr_price,MATCH(B1077,pr_code,0))="","",INDEX(pr_price,MATCH(B1077,pr_code,0))),""))))</f>
        <v/>
      </c>
      <c r="K1077" s="71" t="str">
        <f>IF(COUNTA(A1077:G1077)=0,"",IF(G1077&lt;&gt;"",G1077,IF(B1077="","",IFERROR(IF(INDEX(pr_rate,MATCH(B1077,pr_code,0))="","",INDEX(pr_rate,MATCH(B1077,pr_code,0))),""))))</f>
        <v/>
      </c>
      <c r="L1077" s="65" t="str">
        <f>IF(COUNTA(A1077:G1077)=0,"",IF(AND(ISNUMBER(D1077),ISNUMBER(J1077)),ROUND(D1077*J1077*(1-N(F1077)),2),0))</f>
        <v/>
      </c>
      <c r="M1077" s="62" t="str">
        <f>IF(A1077="","",IFERROR(INDEX(fa_cname,MATCH(A1077,fa_num,0))&amp;"",""))</f>
        <v/>
      </c>
      <c r="N1077" s="59" t="str">
        <f>IF(COUNTA(A1077:G1077)=0,"",IF(A1077="","N° facture manquant",IF(ISNA(MATCH(A1077,fa_num,0)),"Facture inconnue",IF(AND(B1077&lt;&gt;"",ISNA(MATCH(B1077,pr_code,0))),"Article inconnu",IF(H1077="","Désignation manquante",IF(OR(NOT(ISNUMBER(D1077)),N(D1077)&lt;=0),"Quantité invalide",IF(J1077="","Prix manquant",IF(OR(NOT(ISNUMBER(J1077)),N(J1077)&lt;0),"Prix invalide",IF(OR(AND(F1077&lt;&gt;"",NOT(ISNUMBER(F1077))),N(F1077)&lt;0,N(F1077)&gt;1),"Remise invalide",IF(K1077="","Taux de TVA manquant",IF(NOT(ISNUMBER(K1077)),"Taux de TVA invalide",IF(COUNTIF(p_rates,K1077)=0,"Taux de TVA hors liste (Paramètres)",IF(N(O1077)&gt;25,"Au-delà de 25 lignes : non imprimée","OK")))))))))))))</f>
        <v/>
      </c>
      <c r="O1077" s="59" t="str">
        <f>IF(A1077="","",COUNTIF($A$6:A1077,A1077))</f>
        <v/>
      </c>
      <c r="P1077" s="62" t="str">
        <f>IF(A1077="","",A1077&amp;"|"&amp;O1077)</f>
        <v/>
      </c>
    </row>
    <row r="1078">
      <c r="A1078" s="60" t="n"/>
      <c r="B1078" s="63" t="n"/>
      <c r="C1078" s="63" t="n"/>
      <c r="D1078" s="67" t="n"/>
      <c r="E1078" s="68" t="n"/>
      <c r="F1078" s="69" t="n"/>
      <c r="G1078" s="70" t="n"/>
      <c r="H1078" s="62" t="str">
        <f>IF(COUNTA(A1078:G1078)=0,"",IF(C1078&lt;&gt;"",C1078,IF(B1078="","",IFERROR(INDEX(pr_des,MATCH(B1078,pr_code,0))&amp;"",""))))</f>
        <v/>
      </c>
      <c r="I1078" s="59" t="str">
        <f>IF(B1078="","",IFERROR(INDEX(pr_unit,MATCH(B1078,pr_code,0))&amp;"",""))</f>
        <v/>
      </c>
      <c r="J1078" s="65" t="str">
        <f>IF(COUNTA(A1078:G1078)=0,"",IF(E1078&lt;&gt;"",E1078,IF(B1078="","",IFERROR(IF(INDEX(pr_price,MATCH(B1078,pr_code,0))="","",INDEX(pr_price,MATCH(B1078,pr_code,0))),""))))</f>
        <v/>
      </c>
      <c r="K1078" s="71" t="str">
        <f>IF(COUNTA(A1078:G1078)=0,"",IF(G1078&lt;&gt;"",G1078,IF(B1078="","",IFERROR(IF(INDEX(pr_rate,MATCH(B1078,pr_code,0))="","",INDEX(pr_rate,MATCH(B1078,pr_code,0))),""))))</f>
        <v/>
      </c>
      <c r="L1078" s="65" t="str">
        <f>IF(COUNTA(A1078:G1078)=0,"",IF(AND(ISNUMBER(D1078),ISNUMBER(J1078)),ROUND(D1078*J1078*(1-N(F1078)),2),0))</f>
        <v/>
      </c>
      <c r="M1078" s="62" t="str">
        <f>IF(A1078="","",IFERROR(INDEX(fa_cname,MATCH(A1078,fa_num,0))&amp;"",""))</f>
        <v/>
      </c>
      <c r="N1078" s="59" t="str">
        <f>IF(COUNTA(A1078:G1078)=0,"",IF(A1078="","N° facture manquant",IF(ISNA(MATCH(A1078,fa_num,0)),"Facture inconnue",IF(AND(B1078&lt;&gt;"",ISNA(MATCH(B1078,pr_code,0))),"Article inconnu",IF(H1078="","Désignation manquante",IF(OR(NOT(ISNUMBER(D1078)),N(D1078)&lt;=0),"Quantité invalide",IF(J1078="","Prix manquant",IF(OR(NOT(ISNUMBER(J1078)),N(J1078)&lt;0),"Prix invalide",IF(OR(AND(F1078&lt;&gt;"",NOT(ISNUMBER(F1078))),N(F1078)&lt;0,N(F1078)&gt;1),"Remise invalide",IF(K1078="","Taux de TVA manquant",IF(NOT(ISNUMBER(K1078)),"Taux de TVA invalide",IF(COUNTIF(p_rates,K1078)=0,"Taux de TVA hors liste (Paramètres)",IF(N(O1078)&gt;25,"Au-delà de 25 lignes : non imprimée","OK")))))))))))))</f>
        <v/>
      </c>
      <c r="O1078" s="59" t="str">
        <f>IF(A1078="","",COUNTIF($A$6:A1078,A1078))</f>
        <v/>
      </c>
      <c r="P1078" s="62" t="str">
        <f>IF(A1078="","",A1078&amp;"|"&amp;O1078)</f>
        <v/>
      </c>
    </row>
    <row r="1079">
      <c r="A1079" s="60" t="n"/>
      <c r="B1079" s="63" t="n"/>
      <c r="C1079" s="63" t="n"/>
      <c r="D1079" s="67" t="n"/>
      <c r="E1079" s="68" t="n"/>
      <c r="F1079" s="69" t="n"/>
      <c r="G1079" s="70" t="n"/>
      <c r="H1079" s="62" t="str">
        <f>IF(COUNTA(A1079:G1079)=0,"",IF(C1079&lt;&gt;"",C1079,IF(B1079="","",IFERROR(INDEX(pr_des,MATCH(B1079,pr_code,0))&amp;"",""))))</f>
        <v/>
      </c>
      <c r="I1079" s="59" t="str">
        <f>IF(B1079="","",IFERROR(INDEX(pr_unit,MATCH(B1079,pr_code,0))&amp;"",""))</f>
        <v/>
      </c>
      <c r="J1079" s="65" t="str">
        <f>IF(COUNTA(A1079:G1079)=0,"",IF(E1079&lt;&gt;"",E1079,IF(B1079="","",IFERROR(IF(INDEX(pr_price,MATCH(B1079,pr_code,0))="","",INDEX(pr_price,MATCH(B1079,pr_code,0))),""))))</f>
        <v/>
      </c>
      <c r="K1079" s="71" t="str">
        <f>IF(COUNTA(A1079:G1079)=0,"",IF(G1079&lt;&gt;"",G1079,IF(B1079="","",IFERROR(IF(INDEX(pr_rate,MATCH(B1079,pr_code,0))="","",INDEX(pr_rate,MATCH(B1079,pr_code,0))),""))))</f>
        <v/>
      </c>
      <c r="L1079" s="65" t="str">
        <f>IF(COUNTA(A1079:G1079)=0,"",IF(AND(ISNUMBER(D1079),ISNUMBER(J1079)),ROUND(D1079*J1079*(1-N(F1079)),2),0))</f>
        <v/>
      </c>
      <c r="M1079" s="62" t="str">
        <f>IF(A1079="","",IFERROR(INDEX(fa_cname,MATCH(A1079,fa_num,0))&amp;"",""))</f>
        <v/>
      </c>
      <c r="N1079" s="59" t="str">
        <f>IF(COUNTA(A1079:G1079)=0,"",IF(A1079="","N° facture manquant",IF(ISNA(MATCH(A1079,fa_num,0)),"Facture inconnue",IF(AND(B1079&lt;&gt;"",ISNA(MATCH(B1079,pr_code,0))),"Article inconnu",IF(H1079="","Désignation manquante",IF(OR(NOT(ISNUMBER(D1079)),N(D1079)&lt;=0),"Quantité invalide",IF(J1079="","Prix manquant",IF(OR(NOT(ISNUMBER(J1079)),N(J1079)&lt;0),"Prix invalide",IF(OR(AND(F1079&lt;&gt;"",NOT(ISNUMBER(F1079))),N(F1079)&lt;0,N(F1079)&gt;1),"Remise invalide",IF(K1079="","Taux de TVA manquant",IF(NOT(ISNUMBER(K1079)),"Taux de TVA invalide",IF(COUNTIF(p_rates,K1079)=0,"Taux de TVA hors liste (Paramètres)",IF(N(O1079)&gt;25,"Au-delà de 25 lignes : non imprimée","OK")))))))))))))</f>
        <v/>
      </c>
      <c r="O1079" s="59" t="str">
        <f>IF(A1079="","",COUNTIF($A$6:A1079,A1079))</f>
        <v/>
      </c>
      <c r="P1079" s="62" t="str">
        <f>IF(A1079="","",A1079&amp;"|"&amp;O1079)</f>
        <v/>
      </c>
    </row>
    <row r="1080">
      <c r="A1080" s="60" t="n"/>
      <c r="B1080" s="63" t="n"/>
      <c r="C1080" s="63" t="n"/>
      <c r="D1080" s="67" t="n"/>
      <c r="E1080" s="68" t="n"/>
      <c r="F1080" s="69" t="n"/>
      <c r="G1080" s="70" t="n"/>
      <c r="H1080" s="62" t="str">
        <f>IF(COUNTA(A1080:G1080)=0,"",IF(C1080&lt;&gt;"",C1080,IF(B1080="","",IFERROR(INDEX(pr_des,MATCH(B1080,pr_code,0))&amp;"",""))))</f>
        <v/>
      </c>
      <c r="I1080" s="59" t="str">
        <f>IF(B1080="","",IFERROR(INDEX(pr_unit,MATCH(B1080,pr_code,0))&amp;"",""))</f>
        <v/>
      </c>
      <c r="J1080" s="65" t="str">
        <f>IF(COUNTA(A1080:G1080)=0,"",IF(E1080&lt;&gt;"",E1080,IF(B1080="","",IFERROR(IF(INDEX(pr_price,MATCH(B1080,pr_code,0))="","",INDEX(pr_price,MATCH(B1080,pr_code,0))),""))))</f>
        <v/>
      </c>
      <c r="K1080" s="71" t="str">
        <f>IF(COUNTA(A1080:G1080)=0,"",IF(G1080&lt;&gt;"",G1080,IF(B1080="","",IFERROR(IF(INDEX(pr_rate,MATCH(B1080,pr_code,0))="","",INDEX(pr_rate,MATCH(B1080,pr_code,0))),""))))</f>
        <v/>
      </c>
      <c r="L1080" s="65" t="str">
        <f>IF(COUNTA(A1080:G1080)=0,"",IF(AND(ISNUMBER(D1080),ISNUMBER(J1080)),ROUND(D1080*J1080*(1-N(F1080)),2),0))</f>
        <v/>
      </c>
      <c r="M1080" s="62" t="str">
        <f>IF(A1080="","",IFERROR(INDEX(fa_cname,MATCH(A1080,fa_num,0))&amp;"",""))</f>
        <v/>
      </c>
      <c r="N1080" s="59" t="str">
        <f>IF(COUNTA(A1080:G1080)=0,"",IF(A1080="","N° facture manquant",IF(ISNA(MATCH(A1080,fa_num,0)),"Facture inconnue",IF(AND(B1080&lt;&gt;"",ISNA(MATCH(B1080,pr_code,0))),"Article inconnu",IF(H1080="","Désignation manquante",IF(OR(NOT(ISNUMBER(D1080)),N(D1080)&lt;=0),"Quantité invalide",IF(J1080="","Prix manquant",IF(OR(NOT(ISNUMBER(J1080)),N(J1080)&lt;0),"Prix invalide",IF(OR(AND(F1080&lt;&gt;"",NOT(ISNUMBER(F1080))),N(F1080)&lt;0,N(F1080)&gt;1),"Remise invalide",IF(K1080="","Taux de TVA manquant",IF(NOT(ISNUMBER(K1080)),"Taux de TVA invalide",IF(COUNTIF(p_rates,K1080)=0,"Taux de TVA hors liste (Paramètres)",IF(N(O1080)&gt;25,"Au-delà de 25 lignes : non imprimée","OK")))))))))))))</f>
        <v/>
      </c>
      <c r="O1080" s="59" t="str">
        <f>IF(A1080="","",COUNTIF($A$6:A1080,A1080))</f>
        <v/>
      </c>
      <c r="P1080" s="62" t="str">
        <f>IF(A1080="","",A1080&amp;"|"&amp;O1080)</f>
        <v/>
      </c>
    </row>
    <row r="1081">
      <c r="A1081" s="60" t="n"/>
      <c r="B1081" s="63" t="n"/>
      <c r="C1081" s="63" t="n"/>
      <c r="D1081" s="67" t="n"/>
      <c r="E1081" s="68" t="n"/>
      <c r="F1081" s="69" t="n"/>
      <c r="G1081" s="70" t="n"/>
      <c r="H1081" s="62" t="str">
        <f>IF(COUNTA(A1081:G1081)=0,"",IF(C1081&lt;&gt;"",C1081,IF(B1081="","",IFERROR(INDEX(pr_des,MATCH(B1081,pr_code,0))&amp;"",""))))</f>
        <v/>
      </c>
      <c r="I1081" s="59" t="str">
        <f>IF(B1081="","",IFERROR(INDEX(pr_unit,MATCH(B1081,pr_code,0))&amp;"",""))</f>
        <v/>
      </c>
      <c r="J1081" s="65" t="str">
        <f>IF(COUNTA(A1081:G1081)=0,"",IF(E1081&lt;&gt;"",E1081,IF(B1081="","",IFERROR(IF(INDEX(pr_price,MATCH(B1081,pr_code,0))="","",INDEX(pr_price,MATCH(B1081,pr_code,0))),""))))</f>
        <v/>
      </c>
      <c r="K1081" s="71" t="str">
        <f>IF(COUNTA(A1081:G1081)=0,"",IF(G1081&lt;&gt;"",G1081,IF(B1081="","",IFERROR(IF(INDEX(pr_rate,MATCH(B1081,pr_code,0))="","",INDEX(pr_rate,MATCH(B1081,pr_code,0))),""))))</f>
        <v/>
      </c>
      <c r="L1081" s="65" t="str">
        <f>IF(COUNTA(A1081:G1081)=0,"",IF(AND(ISNUMBER(D1081),ISNUMBER(J1081)),ROUND(D1081*J1081*(1-N(F1081)),2),0))</f>
        <v/>
      </c>
      <c r="M1081" s="62" t="str">
        <f>IF(A1081="","",IFERROR(INDEX(fa_cname,MATCH(A1081,fa_num,0))&amp;"",""))</f>
        <v/>
      </c>
      <c r="N1081" s="59" t="str">
        <f>IF(COUNTA(A1081:G1081)=0,"",IF(A1081="","N° facture manquant",IF(ISNA(MATCH(A1081,fa_num,0)),"Facture inconnue",IF(AND(B1081&lt;&gt;"",ISNA(MATCH(B1081,pr_code,0))),"Article inconnu",IF(H1081="","Désignation manquante",IF(OR(NOT(ISNUMBER(D1081)),N(D1081)&lt;=0),"Quantité invalide",IF(J1081="","Prix manquant",IF(OR(NOT(ISNUMBER(J1081)),N(J1081)&lt;0),"Prix invalide",IF(OR(AND(F1081&lt;&gt;"",NOT(ISNUMBER(F1081))),N(F1081)&lt;0,N(F1081)&gt;1),"Remise invalide",IF(K1081="","Taux de TVA manquant",IF(NOT(ISNUMBER(K1081)),"Taux de TVA invalide",IF(COUNTIF(p_rates,K1081)=0,"Taux de TVA hors liste (Paramètres)",IF(N(O1081)&gt;25,"Au-delà de 25 lignes : non imprimée","OK")))))))))))))</f>
        <v/>
      </c>
      <c r="O1081" s="59" t="str">
        <f>IF(A1081="","",COUNTIF($A$6:A1081,A1081))</f>
        <v/>
      </c>
      <c r="P1081" s="62" t="str">
        <f>IF(A1081="","",A1081&amp;"|"&amp;O1081)</f>
        <v/>
      </c>
    </row>
    <row r="1082">
      <c r="A1082" s="60" t="n"/>
      <c r="B1082" s="63" t="n"/>
      <c r="C1082" s="63" t="n"/>
      <c r="D1082" s="67" t="n"/>
      <c r="E1082" s="68" t="n"/>
      <c r="F1082" s="69" t="n"/>
      <c r="G1082" s="70" t="n"/>
      <c r="H1082" s="62" t="str">
        <f>IF(COUNTA(A1082:G1082)=0,"",IF(C1082&lt;&gt;"",C1082,IF(B1082="","",IFERROR(INDEX(pr_des,MATCH(B1082,pr_code,0))&amp;"",""))))</f>
        <v/>
      </c>
      <c r="I1082" s="59" t="str">
        <f>IF(B1082="","",IFERROR(INDEX(pr_unit,MATCH(B1082,pr_code,0))&amp;"",""))</f>
        <v/>
      </c>
      <c r="J1082" s="65" t="str">
        <f>IF(COUNTA(A1082:G1082)=0,"",IF(E1082&lt;&gt;"",E1082,IF(B1082="","",IFERROR(IF(INDEX(pr_price,MATCH(B1082,pr_code,0))="","",INDEX(pr_price,MATCH(B1082,pr_code,0))),""))))</f>
        <v/>
      </c>
      <c r="K1082" s="71" t="str">
        <f>IF(COUNTA(A1082:G1082)=0,"",IF(G1082&lt;&gt;"",G1082,IF(B1082="","",IFERROR(IF(INDEX(pr_rate,MATCH(B1082,pr_code,0))="","",INDEX(pr_rate,MATCH(B1082,pr_code,0))),""))))</f>
        <v/>
      </c>
      <c r="L1082" s="65" t="str">
        <f>IF(COUNTA(A1082:G1082)=0,"",IF(AND(ISNUMBER(D1082),ISNUMBER(J1082)),ROUND(D1082*J1082*(1-N(F1082)),2),0))</f>
        <v/>
      </c>
      <c r="M1082" s="62" t="str">
        <f>IF(A1082="","",IFERROR(INDEX(fa_cname,MATCH(A1082,fa_num,0))&amp;"",""))</f>
        <v/>
      </c>
      <c r="N1082" s="59" t="str">
        <f>IF(COUNTA(A1082:G1082)=0,"",IF(A1082="","N° facture manquant",IF(ISNA(MATCH(A1082,fa_num,0)),"Facture inconnue",IF(AND(B1082&lt;&gt;"",ISNA(MATCH(B1082,pr_code,0))),"Article inconnu",IF(H1082="","Désignation manquante",IF(OR(NOT(ISNUMBER(D1082)),N(D1082)&lt;=0),"Quantité invalide",IF(J1082="","Prix manquant",IF(OR(NOT(ISNUMBER(J1082)),N(J1082)&lt;0),"Prix invalide",IF(OR(AND(F1082&lt;&gt;"",NOT(ISNUMBER(F1082))),N(F1082)&lt;0,N(F1082)&gt;1),"Remise invalide",IF(K1082="","Taux de TVA manquant",IF(NOT(ISNUMBER(K1082)),"Taux de TVA invalide",IF(COUNTIF(p_rates,K1082)=0,"Taux de TVA hors liste (Paramètres)",IF(N(O1082)&gt;25,"Au-delà de 25 lignes : non imprimée","OK")))))))))))))</f>
        <v/>
      </c>
      <c r="O1082" s="59" t="str">
        <f>IF(A1082="","",COUNTIF($A$6:A1082,A1082))</f>
        <v/>
      </c>
      <c r="P1082" s="62" t="str">
        <f>IF(A1082="","",A1082&amp;"|"&amp;O1082)</f>
        <v/>
      </c>
    </row>
    <row r="1083">
      <c r="A1083" s="60" t="n"/>
      <c r="B1083" s="63" t="n"/>
      <c r="C1083" s="63" t="n"/>
      <c r="D1083" s="67" t="n"/>
      <c r="E1083" s="68" t="n"/>
      <c r="F1083" s="69" t="n"/>
      <c r="G1083" s="70" t="n"/>
      <c r="H1083" s="62" t="str">
        <f>IF(COUNTA(A1083:G1083)=0,"",IF(C1083&lt;&gt;"",C1083,IF(B1083="","",IFERROR(INDEX(pr_des,MATCH(B1083,pr_code,0))&amp;"",""))))</f>
        <v/>
      </c>
      <c r="I1083" s="59" t="str">
        <f>IF(B1083="","",IFERROR(INDEX(pr_unit,MATCH(B1083,pr_code,0))&amp;"",""))</f>
        <v/>
      </c>
      <c r="J1083" s="65" t="str">
        <f>IF(COUNTA(A1083:G1083)=0,"",IF(E1083&lt;&gt;"",E1083,IF(B1083="","",IFERROR(IF(INDEX(pr_price,MATCH(B1083,pr_code,0))="","",INDEX(pr_price,MATCH(B1083,pr_code,0))),""))))</f>
        <v/>
      </c>
      <c r="K1083" s="71" t="str">
        <f>IF(COUNTA(A1083:G1083)=0,"",IF(G1083&lt;&gt;"",G1083,IF(B1083="","",IFERROR(IF(INDEX(pr_rate,MATCH(B1083,pr_code,0))="","",INDEX(pr_rate,MATCH(B1083,pr_code,0))),""))))</f>
        <v/>
      </c>
      <c r="L1083" s="65" t="str">
        <f>IF(COUNTA(A1083:G1083)=0,"",IF(AND(ISNUMBER(D1083),ISNUMBER(J1083)),ROUND(D1083*J1083*(1-N(F1083)),2),0))</f>
        <v/>
      </c>
      <c r="M1083" s="62" t="str">
        <f>IF(A1083="","",IFERROR(INDEX(fa_cname,MATCH(A1083,fa_num,0))&amp;"",""))</f>
        <v/>
      </c>
      <c r="N1083" s="59" t="str">
        <f>IF(COUNTA(A1083:G1083)=0,"",IF(A1083="","N° facture manquant",IF(ISNA(MATCH(A1083,fa_num,0)),"Facture inconnue",IF(AND(B1083&lt;&gt;"",ISNA(MATCH(B1083,pr_code,0))),"Article inconnu",IF(H1083="","Désignation manquante",IF(OR(NOT(ISNUMBER(D1083)),N(D1083)&lt;=0),"Quantité invalide",IF(J1083="","Prix manquant",IF(OR(NOT(ISNUMBER(J1083)),N(J1083)&lt;0),"Prix invalide",IF(OR(AND(F1083&lt;&gt;"",NOT(ISNUMBER(F1083))),N(F1083)&lt;0,N(F1083)&gt;1),"Remise invalide",IF(K1083="","Taux de TVA manquant",IF(NOT(ISNUMBER(K1083)),"Taux de TVA invalide",IF(COUNTIF(p_rates,K1083)=0,"Taux de TVA hors liste (Paramètres)",IF(N(O1083)&gt;25,"Au-delà de 25 lignes : non imprimée","OK")))))))))))))</f>
        <v/>
      </c>
      <c r="O1083" s="59" t="str">
        <f>IF(A1083="","",COUNTIF($A$6:A1083,A1083))</f>
        <v/>
      </c>
      <c r="P1083" s="62" t="str">
        <f>IF(A1083="","",A1083&amp;"|"&amp;O1083)</f>
        <v/>
      </c>
    </row>
    <row r="1084">
      <c r="A1084" s="60" t="n"/>
      <c r="B1084" s="63" t="n"/>
      <c r="C1084" s="63" t="n"/>
      <c r="D1084" s="67" t="n"/>
      <c r="E1084" s="68" t="n"/>
      <c r="F1084" s="69" t="n"/>
      <c r="G1084" s="70" t="n"/>
      <c r="H1084" s="62" t="str">
        <f>IF(COUNTA(A1084:G1084)=0,"",IF(C1084&lt;&gt;"",C1084,IF(B1084="","",IFERROR(INDEX(pr_des,MATCH(B1084,pr_code,0))&amp;"",""))))</f>
        <v/>
      </c>
      <c r="I1084" s="59" t="str">
        <f>IF(B1084="","",IFERROR(INDEX(pr_unit,MATCH(B1084,pr_code,0))&amp;"",""))</f>
        <v/>
      </c>
      <c r="J1084" s="65" t="str">
        <f>IF(COUNTA(A1084:G1084)=0,"",IF(E1084&lt;&gt;"",E1084,IF(B1084="","",IFERROR(IF(INDEX(pr_price,MATCH(B1084,pr_code,0))="","",INDEX(pr_price,MATCH(B1084,pr_code,0))),""))))</f>
        <v/>
      </c>
      <c r="K1084" s="71" t="str">
        <f>IF(COUNTA(A1084:G1084)=0,"",IF(G1084&lt;&gt;"",G1084,IF(B1084="","",IFERROR(IF(INDEX(pr_rate,MATCH(B1084,pr_code,0))="","",INDEX(pr_rate,MATCH(B1084,pr_code,0))),""))))</f>
        <v/>
      </c>
      <c r="L1084" s="65" t="str">
        <f>IF(COUNTA(A1084:G1084)=0,"",IF(AND(ISNUMBER(D1084),ISNUMBER(J1084)),ROUND(D1084*J1084*(1-N(F1084)),2),0))</f>
        <v/>
      </c>
      <c r="M1084" s="62" t="str">
        <f>IF(A1084="","",IFERROR(INDEX(fa_cname,MATCH(A1084,fa_num,0))&amp;"",""))</f>
        <v/>
      </c>
      <c r="N1084" s="59" t="str">
        <f>IF(COUNTA(A1084:G1084)=0,"",IF(A1084="","N° facture manquant",IF(ISNA(MATCH(A1084,fa_num,0)),"Facture inconnue",IF(AND(B1084&lt;&gt;"",ISNA(MATCH(B1084,pr_code,0))),"Article inconnu",IF(H1084="","Désignation manquante",IF(OR(NOT(ISNUMBER(D1084)),N(D1084)&lt;=0),"Quantité invalide",IF(J1084="","Prix manquant",IF(OR(NOT(ISNUMBER(J1084)),N(J1084)&lt;0),"Prix invalide",IF(OR(AND(F1084&lt;&gt;"",NOT(ISNUMBER(F1084))),N(F1084)&lt;0,N(F1084)&gt;1),"Remise invalide",IF(K1084="","Taux de TVA manquant",IF(NOT(ISNUMBER(K1084)),"Taux de TVA invalide",IF(COUNTIF(p_rates,K1084)=0,"Taux de TVA hors liste (Paramètres)",IF(N(O1084)&gt;25,"Au-delà de 25 lignes : non imprimée","OK")))))))))))))</f>
        <v/>
      </c>
      <c r="O1084" s="59" t="str">
        <f>IF(A1084="","",COUNTIF($A$6:A1084,A1084))</f>
        <v/>
      </c>
      <c r="P1084" s="62" t="str">
        <f>IF(A1084="","",A1084&amp;"|"&amp;O1084)</f>
        <v/>
      </c>
    </row>
    <row r="1085">
      <c r="A1085" s="60" t="n"/>
      <c r="B1085" s="63" t="n"/>
      <c r="C1085" s="63" t="n"/>
      <c r="D1085" s="67" t="n"/>
      <c r="E1085" s="68" t="n"/>
      <c r="F1085" s="69" t="n"/>
      <c r="G1085" s="70" t="n"/>
      <c r="H1085" s="62" t="str">
        <f>IF(COUNTA(A1085:G1085)=0,"",IF(C1085&lt;&gt;"",C1085,IF(B1085="","",IFERROR(INDEX(pr_des,MATCH(B1085,pr_code,0))&amp;"",""))))</f>
        <v/>
      </c>
      <c r="I1085" s="59" t="str">
        <f>IF(B1085="","",IFERROR(INDEX(pr_unit,MATCH(B1085,pr_code,0))&amp;"",""))</f>
        <v/>
      </c>
      <c r="J1085" s="65" t="str">
        <f>IF(COUNTA(A1085:G1085)=0,"",IF(E1085&lt;&gt;"",E1085,IF(B1085="","",IFERROR(IF(INDEX(pr_price,MATCH(B1085,pr_code,0))="","",INDEX(pr_price,MATCH(B1085,pr_code,0))),""))))</f>
        <v/>
      </c>
      <c r="K1085" s="71" t="str">
        <f>IF(COUNTA(A1085:G1085)=0,"",IF(G1085&lt;&gt;"",G1085,IF(B1085="","",IFERROR(IF(INDEX(pr_rate,MATCH(B1085,pr_code,0))="","",INDEX(pr_rate,MATCH(B1085,pr_code,0))),""))))</f>
        <v/>
      </c>
      <c r="L1085" s="65" t="str">
        <f>IF(COUNTA(A1085:G1085)=0,"",IF(AND(ISNUMBER(D1085),ISNUMBER(J1085)),ROUND(D1085*J1085*(1-N(F1085)),2),0))</f>
        <v/>
      </c>
      <c r="M1085" s="62" t="str">
        <f>IF(A1085="","",IFERROR(INDEX(fa_cname,MATCH(A1085,fa_num,0))&amp;"",""))</f>
        <v/>
      </c>
      <c r="N1085" s="59" t="str">
        <f>IF(COUNTA(A1085:G1085)=0,"",IF(A1085="","N° facture manquant",IF(ISNA(MATCH(A1085,fa_num,0)),"Facture inconnue",IF(AND(B1085&lt;&gt;"",ISNA(MATCH(B1085,pr_code,0))),"Article inconnu",IF(H1085="","Désignation manquante",IF(OR(NOT(ISNUMBER(D1085)),N(D1085)&lt;=0),"Quantité invalide",IF(J1085="","Prix manquant",IF(OR(NOT(ISNUMBER(J1085)),N(J1085)&lt;0),"Prix invalide",IF(OR(AND(F1085&lt;&gt;"",NOT(ISNUMBER(F1085))),N(F1085)&lt;0,N(F1085)&gt;1),"Remise invalide",IF(K1085="","Taux de TVA manquant",IF(NOT(ISNUMBER(K1085)),"Taux de TVA invalide",IF(COUNTIF(p_rates,K1085)=0,"Taux de TVA hors liste (Paramètres)",IF(N(O1085)&gt;25,"Au-delà de 25 lignes : non imprimée","OK")))))))))))))</f>
        <v/>
      </c>
      <c r="O1085" s="59" t="str">
        <f>IF(A1085="","",COUNTIF($A$6:A1085,A1085))</f>
        <v/>
      </c>
      <c r="P1085" s="62" t="str">
        <f>IF(A1085="","",A1085&amp;"|"&amp;O1085)</f>
        <v/>
      </c>
    </row>
    <row r="1086">
      <c r="A1086" s="60" t="n"/>
      <c r="B1086" s="63" t="n"/>
      <c r="C1086" s="63" t="n"/>
      <c r="D1086" s="67" t="n"/>
      <c r="E1086" s="68" t="n"/>
      <c r="F1086" s="69" t="n"/>
      <c r="G1086" s="70" t="n"/>
      <c r="H1086" s="62" t="str">
        <f>IF(COUNTA(A1086:G1086)=0,"",IF(C1086&lt;&gt;"",C1086,IF(B1086="","",IFERROR(INDEX(pr_des,MATCH(B1086,pr_code,0))&amp;"",""))))</f>
        <v/>
      </c>
      <c r="I1086" s="59" t="str">
        <f>IF(B1086="","",IFERROR(INDEX(pr_unit,MATCH(B1086,pr_code,0))&amp;"",""))</f>
        <v/>
      </c>
      <c r="J1086" s="65" t="str">
        <f>IF(COUNTA(A1086:G1086)=0,"",IF(E1086&lt;&gt;"",E1086,IF(B1086="","",IFERROR(IF(INDEX(pr_price,MATCH(B1086,pr_code,0))="","",INDEX(pr_price,MATCH(B1086,pr_code,0))),""))))</f>
        <v/>
      </c>
      <c r="K1086" s="71" t="str">
        <f>IF(COUNTA(A1086:G1086)=0,"",IF(G1086&lt;&gt;"",G1086,IF(B1086="","",IFERROR(IF(INDEX(pr_rate,MATCH(B1086,pr_code,0))="","",INDEX(pr_rate,MATCH(B1086,pr_code,0))),""))))</f>
        <v/>
      </c>
      <c r="L1086" s="65" t="str">
        <f>IF(COUNTA(A1086:G1086)=0,"",IF(AND(ISNUMBER(D1086),ISNUMBER(J1086)),ROUND(D1086*J1086*(1-N(F1086)),2),0))</f>
        <v/>
      </c>
      <c r="M1086" s="62" t="str">
        <f>IF(A1086="","",IFERROR(INDEX(fa_cname,MATCH(A1086,fa_num,0))&amp;"",""))</f>
        <v/>
      </c>
      <c r="N1086" s="59" t="str">
        <f>IF(COUNTA(A1086:G1086)=0,"",IF(A1086="","N° facture manquant",IF(ISNA(MATCH(A1086,fa_num,0)),"Facture inconnue",IF(AND(B1086&lt;&gt;"",ISNA(MATCH(B1086,pr_code,0))),"Article inconnu",IF(H1086="","Désignation manquante",IF(OR(NOT(ISNUMBER(D1086)),N(D1086)&lt;=0),"Quantité invalide",IF(J1086="","Prix manquant",IF(OR(NOT(ISNUMBER(J1086)),N(J1086)&lt;0),"Prix invalide",IF(OR(AND(F1086&lt;&gt;"",NOT(ISNUMBER(F1086))),N(F1086)&lt;0,N(F1086)&gt;1),"Remise invalide",IF(K1086="","Taux de TVA manquant",IF(NOT(ISNUMBER(K1086)),"Taux de TVA invalide",IF(COUNTIF(p_rates,K1086)=0,"Taux de TVA hors liste (Paramètres)",IF(N(O1086)&gt;25,"Au-delà de 25 lignes : non imprimée","OK")))))))))))))</f>
        <v/>
      </c>
      <c r="O1086" s="59" t="str">
        <f>IF(A1086="","",COUNTIF($A$6:A1086,A1086))</f>
        <v/>
      </c>
      <c r="P1086" s="62" t="str">
        <f>IF(A1086="","",A1086&amp;"|"&amp;O1086)</f>
        <v/>
      </c>
    </row>
    <row r="1087">
      <c r="A1087" s="60" t="n"/>
      <c r="B1087" s="63" t="n"/>
      <c r="C1087" s="63" t="n"/>
      <c r="D1087" s="67" t="n"/>
      <c r="E1087" s="68" t="n"/>
      <c r="F1087" s="69" t="n"/>
      <c r="G1087" s="70" t="n"/>
      <c r="H1087" s="62" t="str">
        <f>IF(COUNTA(A1087:G1087)=0,"",IF(C1087&lt;&gt;"",C1087,IF(B1087="","",IFERROR(INDEX(pr_des,MATCH(B1087,pr_code,0))&amp;"",""))))</f>
        <v/>
      </c>
      <c r="I1087" s="59" t="str">
        <f>IF(B1087="","",IFERROR(INDEX(pr_unit,MATCH(B1087,pr_code,0))&amp;"",""))</f>
        <v/>
      </c>
      <c r="J1087" s="65" t="str">
        <f>IF(COUNTA(A1087:G1087)=0,"",IF(E1087&lt;&gt;"",E1087,IF(B1087="","",IFERROR(IF(INDEX(pr_price,MATCH(B1087,pr_code,0))="","",INDEX(pr_price,MATCH(B1087,pr_code,0))),""))))</f>
        <v/>
      </c>
      <c r="K1087" s="71" t="str">
        <f>IF(COUNTA(A1087:G1087)=0,"",IF(G1087&lt;&gt;"",G1087,IF(B1087="","",IFERROR(IF(INDEX(pr_rate,MATCH(B1087,pr_code,0))="","",INDEX(pr_rate,MATCH(B1087,pr_code,0))),""))))</f>
        <v/>
      </c>
      <c r="L1087" s="65" t="str">
        <f>IF(COUNTA(A1087:G1087)=0,"",IF(AND(ISNUMBER(D1087),ISNUMBER(J1087)),ROUND(D1087*J1087*(1-N(F1087)),2),0))</f>
        <v/>
      </c>
      <c r="M1087" s="62" t="str">
        <f>IF(A1087="","",IFERROR(INDEX(fa_cname,MATCH(A1087,fa_num,0))&amp;"",""))</f>
        <v/>
      </c>
      <c r="N1087" s="59" t="str">
        <f>IF(COUNTA(A1087:G1087)=0,"",IF(A1087="","N° facture manquant",IF(ISNA(MATCH(A1087,fa_num,0)),"Facture inconnue",IF(AND(B1087&lt;&gt;"",ISNA(MATCH(B1087,pr_code,0))),"Article inconnu",IF(H1087="","Désignation manquante",IF(OR(NOT(ISNUMBER(D1087)),N(D1087)&lt;=0),"Quantité invalide",IF(J1087="","Prix manquant",IF(OR(NOT(ISNUMBER(J1087)),N(J1087)&lt;0),"Prix invalide",IF(OR(AND(F1087&lt;&gt;"",NOT(ISNUMBER(F1087))),N(F1087)&lt;0,N(F1087)&gt;1),"Remise invalide",IF(K1087="","Taux de TVA manquant",IF(NOT(ISNUMBER(K1087)),"Taux de TVA invalide",IF(COUNTIF(p_rates,K1087)=0,"Taux de TVA hors liste (Paramètres)",IF(N(O1087)&gt;25,"Au-delà de 25 lignes : non imprimée","OK")))))))))))))</f>
        <v/>
      </c>
      <c r="O1087" s="59" t="str">
        <f>IF(A1087="","",COUNTIF($A$6:A1087,A1087))</f>
        <v/>
      </c>
      <c r="P1087" s="62" t="str">
        <f>IF(A1087="","",A1087&amp;"|"&amp;O1087)</f>
        <v/>
      </c>
    </row>
    <row r="1088">
      <c r="A1088" s="60" t="n"/>
      <c r="B1088" s="63" t="n"/>
      <c r="C1088" s="63" t="n"/>
      <c r="D1088" s="67" t="n"/>
      <c r="E1088" s="68" t="n"/>
      <c r="F1088" s="69" t="n"/>
      <c r="G1088" s="70" t="n"/>
      <c r="H1088" s="62" t="str">
        <f>IF(COUNTA(A1088:G1088)=0,"",IF(C1088&lt;&gt;"",C1088,IF(B1088="","",IFERROR(INDEX(pr_des,MATCH(B1088,pr_code,0))&amp;"",""))))</f>
        <v/>
      </c>
      <c r="I1088" s="59" t="str">
        <f>IF(B1088="","",IFERROR(INDEX(pr_unit,MATCH(B1088,pr_code,0))&amp;"",""))</f>
        <v/>
      </c>
      <c r="J1088" s="65" t="str">
        <f>IF(COUNTA(A1088:G1088)=0,"",IF(E1088&lt;&gt;"",E1088,IF(B1088="","",IFERROR(IF(INDEX(pr_price,MATCH(B1088,pr_code,0))="","",INDEX(pr_price,MATCH(B1088,pr_code,0))),""))))</f>
        <v/>
      </c>
      <c r="K1088" s="71" t="str">
        <f>IF(COUNTA(A1088:G1088)=0,"",IF(G1088&lt;&gt;"",G1088,IF(B1088="","",IFERROR(IF(INDEX(pr_rate,MATCH(B1088,pr_code,0))="","",INDEX(pr_rate,MATCH(B1088,pr_code,0))),""))))</f>
        <v/>
      </c>
      <c r="L1088" s="65" t="str">
        <f>IF(COUNTA(A1088:G1088)=0,"",IF(AND(ISNUMBER(D1088),ISNUMBER(J1088)),ROUND(D1088*J1088*(1-N(F1088)),2),0))</f>
        <v/>
      </c>
      <c r="M1088" s="62" t="str">
        <f>IF(A1088="","",IFERROR(INDEX(fa_cname,MATCH(A1088,fa_num,0))&amp;"",""))</f>
        <v/>
      </c>
      <c r="N1088" s="59" t="str">
        <f>IF(COUNTA(A1088:G1088)=0,"",IF(A1088="","N° facture manquant",IF(ISNA(MATCH(A1088,fa_num,0)),"Facture inconnue",IF(AND(B1088&lt;&gt;"",ISNA(MATCH(B1088,pr_code,0))),"Article inconnu",IF(H1088="","Désignation manquante",IF(OR(NOT(ISNUMBER(D1088)),N(D1088)&lt;=0),"Quantité invalide",IF(J1088="","Prix manquant",IF(OR(NOT(ISNUMBER(J1088)),N(J1088)&lt;0),"Prix invalide",IF(OR(AND(F1088&lt;&gt;"",NOT(ISNUMBER(F1088))),N(F1088)&lt;0,N(F1088)&gt;1),"Remise invalide",IF(K1088="","Taux de TVA manquant",IF(NOT(ISNUMBER(K1088)),"Taux de TVA invalide",IF(COUNTIF(p_rates,K1088)=0,"Taux de TVA hors liste (Paramètres)",IF(N(O1088)&gt;25,"Au-delà de 25 lignes : non imprimée","OK")))))))))))))</f>
        <v/>
      </c>
      <c r="O1088" s="59" t="str">
        <f>IF(A1088="","",COUNTIF($A$6:A1088,A1088))</f>
        <v/>
      </c>
      <c r="P1088" s="62" t="str">
        <f>IF(A1088="","",A1088&amp;"|"&amp;O1088)</f>
        <v/>
      </c>
    </row>
    <row r="1089">
      <c r="A1089" s="60" t="n"/>
      <c r="B1089" s="63" t="n"/>
      <c r="C1089" s="63" t="n"/>
      <c r="D1089" s="67" t="n"/>
      <c r="E1089" s="68" t="n"/>
      <c r="F1089" s="69" t="n"/>
      <c r="G1089" s="70" t="n"/>
      <c r="H1089" s="62" t="str">
        <f>IF(COUNTA(A1089:G1089)=0,"",IF(C1089&lt;&gt;"",C1089,IF(B1089="","",IFERROR(INDEX(pr_des,MATCH(B1089,pr_code,0))&amp;"",""))))</f>
        <v/>
      </c>
      <c r="I1089" s="59" t="str">
        <f>IF(B1089="","",IFERROR(INDEX(pr_unit,MATCH(B1089,pr_code,0))&amp;"",""))</f>
        <v/>
      </c>
      <c r="J1089" s="65" t="str">
        <f>IF(COUNTA(A1089:G1089)=0,"",IF(E1089&lt;&gt;"",E1089,IF(B1089="","",IFERROR(IF(INDEX(pr_price,MATCH(B1089,pr_code,0))="","",INDEX(pr_price,MATCH(B1089,pr_code,0))),""))))</f>
        <v/>
      </c>
      <c r="K1089" s="71" t="str">
        <f>IF(COUNTA(A1089:G1089)=0,"",IF(G1089&lt;&gt;"",G1089,IF(B1089="","",IFERROR(IF(INDEX(pr_rate,MATCH(B1089,pr_code,0))="","",INDEX(pr_rate,MATCH(B1089,pr_code,0))),""))))</f>
        <v/>
      </c>
      <c r="L1089" s="65" t="str">
        <f>IF(COUNTA(A1089:G1089)=0,"",IF(AND(ISNUMBER(D1089),ISNUMBER(J1089)),ROUND(D1089*J1089*(1-N(F1089)),2),0))</f>
        <v/>
      </c>
      <c r="M1089" s="62" t="str">
        <f>IF(A1089="","",IFERROR(INDEX(fa_cname,MATCH(A1089,fa_num,0))&amp;"",""))</f>
        <v/>
      </c>
      <c r="N1089" s="59" t="str">
        <f>IF(COUNTA(A1089:G1089)=0,"",IF(A1089="","N° facture manquant",IF(ISNA(MATCH(A1089,fa_num,0)),"Facture inconnue",IF(AND(B1089&lt;&gt;"",ISNA(MATCH(B1089,pr_code,0))),"Article inconnu",IF(H1089="","Désignation manquante",IF(OR(NOT(ISNUMBER(D1089)),N(D1089)&lt;=0),"Quantité invalide",IF(J1089="","Prix manquant",IF(OR(NOT(ISNUMBER(J1089)),N(J1089)&lt;0),"Prix invalide",IF(OR(AND(F1089&lt;&gt;"",NOT(ISNUMBER(F1089))),N(F1089)&lt;0,N(F1089)&gt;1),"Remise invalide",IF(K1089="","Taux de TVA manquant",IF(NOT(ISNUMBER(K1089)),"Taux de TVA invalide",IF(COUNTIF(p_rates,K1089)=0,"Taux de TVA hors liste (Paramètres)",IF(N(O1089)&gt;25,"Au-delà de 25 lignes : non imprimée","OK")))))))))))))</f>
        <v/>
      </c>
      <c r="O1089" s="59" t="str">
        <f>IF(A1089="","",COUNTIF($A$6:A1089,A1089))</f>
        <v/>
      </c>
      <c r="P1089" s="62" t="str">
        <f>IF(A1089="","",A1089&amp;"|"&amp;O1089)</f>
        <v/>
      </c>
    </row>
    <row r="1090">
      <c r="A1090" s="60" t="n"/>
      <c r="B1090" s="63" t="n"/>
      <c r="C1090" s="63" t="n"/>
      <c r="D1090" s="67" t="n"/>
      <c r="E1090" s="68" t="n"/>
      <c r="F1090" s="69" t="n"/>
      <c r="G1090" s="70" t="n"/>
      <c r="H1090" s="62" t="str">
        <f>IF(COUNTA(A1090:G1090)=0,"",IF(C1090&lt;&gt;"",C1090,IF(B1090="","",IFERROR(INDEX(pr_des,MATCH(B1090,pr_code,0))&amp;"",""))))</f>
        <v/>
      </c>
      <c r="I1090" s="59" t="str">
        <f>IF(B1090="","",IFERROR(INDEX(pr_unit,MATCH(B1090,pr_code,0))&amp;"",""))</f>
        <v/>
      </c>
      <c r="J1090" s="65" t="str">
        <f>IF(COUNTA(A1090:G1090)=0,"",IF(E1090&lt;&gt;"",E1090,IF(B1090="","",IFERROR(IF(INDEX(pr_price,MATCH(B1090,pr_code,0))="","",INDEX(pr_price,MATCH(B1090,pr_code,0))),""))))</f>
        <v/>
      </c>
      <c r="K1090" s="71" t="str">
        <f>IF(COUNTA(A1090:G1090)=0,"",IF(G1090&lt;&gt;"",G1090,IF(B1090="","",IFERROR(IF(INDEX(pr_rate,MATCH(B1090,pr_code,0))="","",INDEX(pr_rate,MATCH(B1090,pr_code,0))),""))))</f>
        <v/>
      </c>
      <c r="L1090" s="65" t="str">
        <f>IF(COUNTA(A1090:G1090)=0,"",IF(AND(ISNUMBER(D1090),ISNUMBER(J1090)),ROUND(D1090*J1090*(1-N(F1090)),2),0))</f>
        <v/>
      </c>
      <c r="M1090" s="62" t="str">
        <f>IF(A1090="","",IFERROR(INDEX(fa_cname,MATCH(A1090,fa_num,0))&amp;"",""))</f>
        <v/>
      </c>
      <c r="N1090" s="59" t="str">
        <f>IF(COUNTA(A1090:G1090)=0,"",IF(A1090="","N° facture manquant",IF(ISNA(MATCH(A1090,fa_num,0)),"Facture inconnue",IF(AND(B1090&lt;&gt;"",ISNA(MATCH(B1090,pr_code,0))),"Article inconnu",IF(H1090="","Désignation manquante",IF(OR(NOT(ISNUMBER(D1090)),N(D1090)&lt;=0),"Quantité invalide",IF(J1090="","Prix manquant",IF(OR(NOT(ISNUMBER(J1090)),N(J1090)&lt;0),"Prix invalide",IF(OR(AND(F1090&lt;&gt;"",NOT(ISNUMBER(F1090))),N(F1090)&lt;0,N(F1090)&gt;1),"Remise invalide",IF(K1090="","Taux de TVA manquant",IF(NOT(ISNUMBER(K1090)),"Taux de TVA invalide",IF(COUNTIF(p_rates,K1090)=0,"Taux de TVA hors liste (Paramètres)",IF(N(O1090)&gt;25,"Au-delà de 25 lignes : non imprimée","OK")))))))))))))</f>
        <v/>
      </c>
      <c r="O1090" s="59" t="str">
        <f>IF(A1090="","",COUNTIF($A$6:A1090,A1090))</f>
        <v/>
      </c>
      <c r="P1090" s="62" t="str">
        <f>IF(A1090="","",A1090&amp;"|"&amp;O1090)</f>
        <v/>
      </c>
    </row>
    <row r="1091">
      <c r="A1091" s="60" t="n"/>
      <c r="B1091" s="63" t="n"/>
      <c r="C1091" s="63" t="n"/>
      <c r="D1091" s="67" t="n"/>
      <c r="E1091" s="68" t="n"/>
      <c r="F1091" s="69" t="n"/>
      <c r="G1091" s="70" t="n"/>
      <c r="H1091" s="62" t="str">
        <f>IF(COUNTA(A1091:G1091)=0,"",IF(C1091&lt;&gt;"",C1091,IF(B1091="","",IFERROR(INDEX(pr_des,MATCH(B1091,pr_code,0))&amp;"",""))))</f>
        <v/>
      </c>
      <c r="I1091" s="59" t="str">
        <f>IF(B1091="","",IFERROR(INDEX(pr_unit,MATCH(B1091,pr_code,0))&amp;"",""))</f>
        <v/>
      </c>
      <c r="J1091" s="65" t="str">
        <f>IF(COUNTA(A1091:G1091)=0,"",IF(E1091&lt;&gt;"",E1091,IF(B1091="","",IFERROR(IF(INDEX(pr_price,MATCH(B1091,pr_code,0))="","",INDEX(pr_price,MATCH(B1091,pr_code,0))),""))))</f>
        <v/>
      </c>
      <c r="K1091" s="71" t="str">
        <f>IF(COUNTA(A1091:G1091)=0,"",IF(G1091&lt;&gt;"",G1091,IF(B1091="","",IFERROR(IF(INDEX(pr_rate,MATCH(B1091,pr_code,0))="","",INDEX(pr_rate,MATCH(B1091,pr_code,0))),""))))</f>
        <v/>
      </c>
      <c r="L1091" s="65" t="str">
        <f>IF(COUNTA(A1091:G1091)=0,"",IF(AND(ISNUMBER(D1091),ISNUMBER(J1091)),ROUND(D1091*J1091*(1-N(F1091)),2),0))</f>
        <v/>
      </c>
      <c r="M1091" s="62" t="str">
        <f>IF(A1091="","",IFERROR(INDEX(fa_cname,MATCH(A1091,fa_num,0))&amp;"",""))</f>
        <v/>
      </c>
      <c r="N1091" s="59" t="str">
        <f>IF(COUNTA(A1091:G1091)=0,"",IF(A1091="","N° facture manquant",IF(ISNA(MATCH(A1091,fa_num,0)),"Facture inconnue",IF(AND(B1091&lt;&gt;"",ISNA(MATCH(B1091,pr_code,0))),"Article inconnu",IF(H1091="","Désignation manquante",IF(OR(NOT(ISNUMBER(D1091)),N(D1091)&lt;=0),"Quantité invalide",IF(J1091="","Prix manquant",IF(OR(NOT(ISNUMBER(J1091)),N(J1091)&lt;0),"Prix invalide",IF(OR(AND(F1091&lt;&gt;"",NOT(ISNUMBER(F1091))),N(F1091)&lt;0,N(F1091)&gt;1),"Remise invalide",IF(K1091="","Taux de TVA manquant",IF(NOT(ISNUMBER(K1091)),"Taux de TVA invalide",IF(COUNTIF(p_rates,K1091)=0,"Taux de TVA hors liste (Paramètres)",IF(N(O1091)&gt;25,"Au-delà de 25 lignes : non imprimée","OK")))))))))))))</f>
        <v/>
      </c>
      <c r="O1091" s="59" t="str">
        <f>IF(A1091="","",COUNTIF($A$6:A1091,A1091))</f>
        <v/>
      </c>
      <c r="P1091" s="62" t="str">
        <f>IF(A1091="","",A1091&amp;"|"&amp;O1091)</f>
        <v/>
      </c>
    </row>
    <row r="1092">
      <c r="A1092" s="60" t="n"/>
      <c r="B1092" s="63" t="n"/>
      <c r="C1092" s="63" t="n"/>
      <c r="D1092" s="67" t="n"/>
      <c r="E1092" s="68" t="n"/>
      <c r="F1092" s="69" t="n"/>
      <c r="G1092" s="70" t="n"/>
      <c r="H1092" s="62" t="str">
        <f>IF(COUNTA(A1092:G1092)=0,"",IF(C1092&lt;&gt;"",C1092,IF(B1092="","",IFERROR(INDEX(pr_des,MATCH(B1092,pr_code,0))&amp;"",""))))</f>
        <v/>
      </c>
      <c r="I1092" s="59" t="str">
        <f>IF(B1092="","",IFERROR(INDEX(pr_unit,MATCH(B1092,pr_code,0))&amp;"",""))</f>
        <v/>
      </c>
      <c r="J1092" s="65" t="str">
        <f>IF(COUNTA(A1092:G1092)=0,"",IF(E1092&lt;&gt;"",E1092,IF(B1092="","",IFERROR(IF(INDEX(pr_price,MATCH(B1092,pr_code,0))="","",INDEX(pr_price,MATCH(B1092,pr_code,0))),""))))</f>
        <v/>
      </c>
      <c r="K1092" s="71" t="str">
        <f>IF(COUNTA(A1092:G1092)=0,"",IF(G1092&lt;&gt;"",G1092,IF(B1092="","",IFERROR(IF(INDEX(pr_rate,MATCH(B1092,pr_code,0))="","",INDEX(pr_rate,MATCH(B1092,pr_code,0))),""))))</f>
        <v/>
      </c>
      <c r="L1092" s="65" t="str">
        <f>IF(COUNTA(A1092:G1092)=0,"",IF(AND(ISNUMBER(D1092),ISNUMBER(J1092)),ROUND(D1092*J1092*(1-N(F1092)),2),0))</f>
        <v/>
      </c>
      <c r="M1092" s="62" t="str">
        <f>IF(A1092="","",IFERROR(INDEX(fa_cname,MATCH(A1092,fa_num,0))&amp;"",""))</f>
        <v/>
      </c>
      <c r="N1092" s="59" t="str">
        <f>IF(COUNTA(A1092:G1092)=0,"",IF(A1092="","N° facture manquant",IF(ISNA(MATCH(A1092,fa_num,0)),"Facture inconnue",IF(AND(B1092&lt;&gt;"",ISNA(MATCH(B1092,pr_code,0))),"Article inconnu",IF(H1092="","Désignation manquante",IF(OR(NOT(ISNUMBER(D1092)),N(D1092)&lt;=0),"Quantité invalide",IF(J1092="","Prix manquant",IF(OR(NOT(ISNUMBER(J1092)),N(J1092)&lt;0),"Prix invalide",IF(OR(AND(F1092&lt;&gt;"",NOT(ISNUMBER(F1092))),N(F1092)&lt;0,N(F1092)&gt;1),"Remise invalide",IF(K1092="","Taux de TVA manquant",IF(NOT(ISNUMBER(K1092)),"Taux de TVA invalide",IF(COUNTIF(p_rates,K1092)=0,"Taux de TVA hors liste (Paramètres)",IF(N(O1092)&gt;25,"Au-delà de 25 lignes : non imprimée","OK")))))))))))))</f>
        <v/>
      </c>
      <c r="O1092" s="59" t="str">
        <f>IF(A1092="","",COUNTIF($A$6:A1092,A1092))</f>
        <v/>
      </c>
      <c r="P1092" s="62" t="str">
        <f>IF(A1092="","",A1092&amp;"|"&amp;O1092)</f>
        <v/>
      </c>
    </row>
    <row r="1093">
      <c r="A1093" s="60" t="n"/>
      <c r="B1093" s="63" t="n"/>
      <c r="C1093" s="63" t="n"/>
      <c r="D1093" s="67" t="n"/>
      <c r="E1093" s="68" t="n"/>
      <c r="F1093" s="69" t="n"/>
      <c r="G1093" s="70" t="n"/>
      <c r="H1093" s="62" t="str">
        <f>IF(COUNTA(A1093:G1093)=0,"",IF(C1093&lt;&gt;"",C1093,IF(B1093="","",IFERROR(INDEX(pr_des,MATCH(B1093,pr_code,0))&amp;"",""))))</f>
        <v/>
      </c>
      <c r="I1093" s="59" t="str">
        <f>IF(B1093="","",IFERROR(INDEX(pr_unit,MATCH(B1093,pr_code,0))&amp;"",""))</f>
        <v/>
      </c>
      <c r="J1093" s="65" t="str">
        <f>IF(COUNTA(A1093:G1093)=0,"",IF(E1093&lt;&gt;"",E1093,IF(B1093="","",IFERROR(IF(INDEX(pr_price,MATCH(B1093,pr_code,0))="","",INDEX(pr_price,MATCH(B1093,pr_code,0))),""))))</f>
        <v/>
      </c>
      <c r="K1093" s="71" t="str">
        <f>IF(COUNTA(A1093:G1093)=0,"",IF(G1093&lt;&gt;"",G1093,IF(B1093="","",IFERROR(IF(INDEX(pr_rate,MATCH(B1093,pr_code,0))="","",INDEX(pr_rate,MATCH(B1093,pr_code,0))),""))))</f>
        <v/>
      </c>
      <c r="L1093" s="65" t="str">
        <f>IF(COUNTA(A1093:G1093)=0,"",IF(AND(ISNUMBER(D1093),ISNUMBER(J1093)),ROUND(D1093*J1093*(1-N(F1093)),2),0))</f>
        <v/>
      </c>
      <c r="M1093" s="62" t="str">
        <f>IF(A1093="","",IFERROR(INDEX(fa_cname,MATCH(A1093,fa_num,0))&amp;"",""))</f>
        <v/>
      </c>
      <c r="N1093" s="59" t="str">
        <f>IF(COUNTA(A1093:G1093)=0,"",IF(A1093="","N° facture manquant",IF(ISNA(MATCH(A1093,fa_num,0)),"Facture inconnue",IF(AND(B1093&lt;&gt;"",ISNA(MATCH(B1093,pr_code,0))),"Article inconnu",IF(H1093="","Désignation manquante",IF(OR(NOT(ISNUMBER(D1093)),N(D1093)&lt;=0),"Quantité invalide",IF(J1093="","Prix manquant",IF(OR(NOT(ISNUMBER(J1093)),N(J1093)&lt;0),"Prix invalide",IF(OR(AND(F1093&lt;&gt;"",NOT(ISNUMBER(F1093))),N(F1093)&lt;0,N(F1093)&gt;1),"Remise invalide",IF(K1093="","Taux de TVA manquant",IF(NOT(ISNUMBER(K1093)),"Taux de TVA invalide",IF(COUNTIF(p_rates,K1093)=0,"Taux de TVA hors liste (Paramètres)",IF(N(O1093)&gt;25,"Au-delà de 25 lignes : non imprimée","OK")))))))))))))</f>
        <v/>
      </c>
      <c r="O1093" s="59" t="str">
        <f>IF(A1093="","",COUNTIF($A$6:A1093,A1093))</f>
        <v/>
      </c>
      <c r="P1093" s="62" t="str">
        <f>IF(A1093="","",A1093&amp;"|"&amp;O1093)</f>
        <v/>
      </c>
    </row>
    <row r="1094">
      <c r="A1094" s="60" t="n"/>
      <c r="B1094" s="63" t="n"/>
      <c r="C1094" s="63" t="n"/>
      <c r="D1094" s="67" t="n"/>
      <c r="E1094" s="68" t="n"/>
      <c r="F1094" s="69" t="n"/>
      <c r="G1094" s="70" t="n"/>
      <c r="H1094" s="62" t="str">
        <f>IF(COUNTA(A1094:G1094)=0,"",IF(C1094&lt;&gt;"",C1094,IF(B1094="","",IFERROR(INDEX(pr_des,MATCH(B1094,pr_code,0))&amp;"",""))))</f>
        <v/>
      </c>
      <c r="I1094" s="59" t="str">
        <f>IF(B1094="","",IFERROR(INDEX(pr_unit,MATCH(B1094,pr_code,0))&amp;"",""))</f>
        <v/>
      </c>
      <c r="J1094" s="65" t="str">
        <f>IF(COUNTA(A1094:G1094)=0,"",IF(E1094&lt;&gt;"",E1094,IF(B1094="","",IFERROR(IF(INDEX(pr_price,MATCH(B1094,pr_code,0))="","",INDEX(pr_price,MATCH(B1094,pr_code,0))),""))))</f>
        <v/>
      </c>
      <c r="K1094" s="71" t="str">
        <f>IF(COUNTA(A1094:G1094)=0,"",IF(G1094&lt;&gt;"",G1094,IF(B1094="","",IFERROR(IF(INDEX(pr_rate,MATCH(B1094,pr_code,0))="","",INDEX(pr_rate,MATCH(B1094,pr_code,0))),""))))</f>
        <v/>
      </c>
      <c r="L1094" s="65" t="str">
        <f>IF(COUNTA(A1094:G1094)=0,"",IF(AND(ISNUMBER(D1094),ISNUMBER(J1094)),ROUND(D1094*J1094*(1-N(F1094)),2),0))</f>
        <v/>
      </c>
      <c r="M1094" s="62" t="str">
        <f>IF(A1094="","",IFERROR(INDEX(fa_cname,MATCH(A1094,fa_num,0))&amp;"",""))</f>
        <v/>
      </c>
      <c r="N1094" s="59" t="str">
        <f>IF(COUNTA(A1094:G1094)=0,"",IF(A1094="","N° facture manquant",IF(ISNA(MATCH(A1094,fa_num,0)),"Facture inconnue",IF(AND(B1094&lt;&gt;"",ISNA(MATCH(B1094,pr_code,0))),"Article inconnu",IF(H1094="","Désignation manquante",IF(OR(NOT(ISNUMBER(D1094)),N(D1094)&lt;=0),"Quantité invalide",IF(J1094="","Prix manquant",IF(OR(NOT(ISNUMBER(J1094)),N(J1094)&lt;0),"Prix invalide",IF(OR(AND(F1094&lt;&gt;"",NOT(ISNUMBER(F1094))),N(F1094)&lt;0,N(F1094)&gt;1),"Remise invalide",IF(K1094="","Taux de TVA manquant",IF(NOT(ISNUMBER(K1094)),"Taux de TVA invalide",IF(COUNTIF(p_rates,K1094)=0,"Taux de TVA hors liste (Paramètres)",IF(N(O1094)&gt;25,"Au-delà de 25 lignes : non imprimée","OK")))))))))))))</f>
        <v/>
      </c>
      <c r="O1094" s="59" t="str">
        <f>IF(A1094="","",COUNTIF($A$6:A1094,A1094))</f>
        <v/>
      </c>
      <c r="P1094" s="62" t="str">
        <f>IF(A1094="","",A1094&amp;"|"&amp;O1094)</f>
        <v/>
      </c>
    </row>
    <row r="1095">
      <c r="A1095" s="60" t="n"/>
      <c r="B1095" s="63" t="n"/>
      <c r="C1095" s="63" t="n"/>
      <c r="D1095" s="67" t="n"/>
      <c r="E1095" s="68" t="n"/>
      <c r="F1095" s="69" t="n"/>
      <c r="G1095" s="70" t="n"/>
      <c r="H1095" s="62" t="str">
        <f>IF(COUNTA(A1095:G1095)=0,"",IF(C1095&lt;&gt;"",C1095,IF(B1095="","",IFERROR(INDEX(pr_des,MATCH(B1095,pr_code,0))&amp;"",""))))</f>
        <v/>
      </c>
      <c r="I1095" s="59" t="str">
        <f>IF(B1095="","",IFERROR(INDEX(pr_unit,MATCH(B1095,pr_code,0))&amp;"",""))</f>
        <v/>
      </c>
      <c r="J1095" s="65" t="str">
        <f>IF(COUNTA(A1095:G1095)=0,"",IF(E1095&lt;&gt;"",E1095,IF(B1095="","",IFERROR(IF(INDEX(pr_price,MATCH(B1095,pr_code,0))="","",INDEX(pr_price,MATCH(B1095,pr_code,0))),""))))</f>
        <v/>
      </c>
      <c r="K1095" s="71" t="str">
        <f>IF(COUNTA(A1095:G1095)=0,"",IF(G1095&lt;&gt;"",G1095,IF(B1095="","",IFERROR(IF(INDEX(pr_rate,MATCH(B1095,pr_code,0))="","",INDEX(pr_rate,MATCH(B1095,pr_code,0))),""))))</f>
        <v/>
      </c>
      <c r="L1095" s="65" t="str">
        <f>IF(COUNTA(A1095:G1095)=0,"",IF(AND(ISNUMBER(D1095),ISNUMBER(J1095)),ROUND(D1095*J1095*(1-N(F1095)),2),0))</f>
        <v/>
      </c>
      <c r="M1095" s="62" t="str">
        <f>IF(A1095="","",IFERROR(INDEX(fa_cname,MATCH(A1095,fa_num,0))&amp;"",""))</f>
        <v/>
      </c>
      <c r="N1095" s="59" t="str">
        <f>IF(COUNTA(A1095:G1095)=0,"",IF(A1095="","N° facture manquant",IF(ISNA(MATCH(A1095,fa_num,0)),"Facture inconnue",IF(AND(B1095&lt;&gt;"",ISNA(MATCH(B1095,pr_code,0))),"Article inconnu",IF(H1095="","Désignation manquante",IF(OR(NOT(ISNUMBER(D1095)),N(D1095)&lt;=0),"Quantité invalide",IF(J1095="","Prix manquant",IF(OR(NOT(ISNUMBER(J1095)),N(J1095)&lt;0),"Prix invalide",IF(OR(AND(F1095&lt;&gt;"",NOT(ISNUMBER(F1095))),N(F1095)&lt;0,N(F1095)&gt;1),"Remise invalide",IF(K1095="","Taux de TVA manquant",IF(NOT(ISNUMBER(K1095)),"Taux de TVA invalide",IF(COUNTIF(p_rates,K1095)=0,"Taux de TVA hors liste (Paramètres)",IF(N(O1095)&gt;25,"Au-delà de 25 lignes : non imprimée","OK")))))))))))))</f>
        <v/>
      </c>
      <c r="O1095" s="59" t="str">
        <f>IF(A1095="","",COUNTIF($A$6:A1095,A1095))</f>
        <v/>
      </c>
      <c r="P1095" s="62" t="str">
        <f>IF(A1095="","",A1095&amp;"|"&amp;O1095)</f>
        <v/>
      </c>
    </row>
    <row r="1096">
      <c r="A1096" s="60" t="n"/>
      <c r="B1096" s="63" t="n"/>
      <c r="C1096" s="63" t="n"/>
      <c r="D1096" s="67" t="n"/>
      <c r="E1096" s="68" t="n"/>
      <c r="F1096" s="69" t="n"/>
      <c r="G1096" s="70" t="n"/>
      <c r="H1096" s="62" t="str">
        <f>IF(COUNTA(A1096:G1096)=0,"",IF(C1096&lt;&gt;"",C1096,IF(B1096="","",IFERROR(INDEX(pr_des,MATCH(B1096,pr_code,0))&amp;"",""))))</f>
        <v/>
      </c>
      <c r="I1096" s="59" t="str">
        <f>IF(B1096="","",IFERROR(INDEX(pr_unit,MATCH(B1096,pr_code,0))&amp;"",""))</f>
        <v/>
      </c>
      <c r="J1096" s="65" t="str">
        <f>IF(COUNTA(A1096:G1096)=0,"",IF(E1096&lt;&gt;"",E1096,IF(B1096="","",IFERROR(IF(INDEX(pr_price,MATCH(B1096,pr_code,0))="","",INDEX(pr_price,MATCH(B1096,pr_code,0))),""))))</f>
        <v/>
      </c>
      <c r="K1096" s="71" t="str">
        <f>IF(COUNTA(A1096:G1096)=0,"",IF(G1096&lt;&gt;"",G1096,IF(B1096="","",IFERROR(IF(INDEX(pr_rate,MATCH(B1096,pr_code,0))="","",INDEX(pr_rate,MATCH(B1096,pr_code,0))),""))))</f>
        <v/>
      </c>
      <c r="L1096" s="65" t="str">
        <f>IF(COUNTA(A1096:G1096)=0,"",IF(AND(ISNUMBER(D1096),ISNUMBER(J1096)),ROUND(D1096*J1096*(1-N(F1096)),2),0))</f>
        <v/>
      </c>
      <c r="M1096" s="62" t="str">
        <f>IF(A1096="","",IFERROR(INDEX(fa_cname,MATCH(A1096,fa_num,0))&amp;"",""))</f>
        <v/>
      </c>
      <c r="N1096" s="59" t="str">
        <f>IF(COUNTA(A1096:G1096)=0,"",IF(A1096="","N° facture manquant",IF(ISNA(MATCH(A1096,fa_num,0)),"Facture inconnue",IF(AND(B1096&lt;&gt;"",ISNA(MATCH(B1096,pr_code,0))),"Article inconnu",IF(H1096="","Désignation manquante",IF(OR(NOT(ISNUMBER(D1096)),N(D1096)&lt;=0),"Quantité invalide",IF(J1096="","Prix manquant",IF(OR(NOT(ISNUMBER(J1096)),N(J1096)&lt;0),"Prix invalide",IF(OR(AND(F1096&lt;&gt;"",NOT(ISNUMBER(F1096))),N(F1096)&lt;0,N(F1096)&gt;1),"Remise invalide",IF(K1096="","Taux de TVA manquant",IF(NOT(ISNUMBER(K1096)),"Taux de TVA invalide",IF(COUNTIF(p_rates,K1096)=0,"Taux de TVA hors liste (Paramètres)",IF(N(O1096)&gt;25,"Au-delà de 25 lignes : non imprimée","OK")))))))))))))</f>
        <v/>
      </c>
      <c r="O1096" s="59" t="str">
        <f>IF(A1096="","",COUNTIF($A$6:A1096,A1096))</f>
        <v/>
      </c>
      <c r="P1096" s="62" t="str">
        <f>IF(A1096="","",A1096&amp;"|"&amp;O1096)</f>
        <v/>
      </c>
    </row>
    <row r="1097">
      <c r="A1097" s="60" t="n"/>
      <c r="B1097" s="63" t="n"/>
      <c r="C1097" s="63" t="n"/>
      <c r="D1097" s="67" t="n"/>
      <c r="E1097" s="68" t="n"/>
      <c r="F1097" s="69" t="n"/>
      <c r="G1097" s="70" t="n"/>
      <c r="H1097" s="62" t="str">
        <f>IF(COUNTA(A1097:G1097)=0,"",IF(C1097&lt;&gt;"",C1097,IF(B1097="","",IFERROR(INDEX(pr_des,MATCH(B1097,pr_code,0))&amp;"",""))))</f>
        <v/>
      </c>
      <c r="I1097" s="59" t="str">
        <f>IF(B1097="","",IFERROR(INDEX(pr_unit,MATCH(B1097,pr_code,0))&amp;"",""))</f>
        <v/>
      </c>
      <c r="J1097" s="65" t="str">
        <f>IF(COUNTA(A1097:G1097)=0,"",IF(E1097&lt;&gt;"",E1097,IF(B1097="","",IFERROR(IF(INDEX(pr_price,MATCH(B1097,pr_code,0))="","",INDEX(pr_price,MATCH(B1097,pr_code,0))),""))))</f>
        <v/>
      </c>
      <c r="K1097" s="71" t="str">
        <f>IF(COUNTA(A1097:G1097)=0,"",IF(G1097&lt;&gt;"",G1097,IF(B1097="","",IFERROR(IF(INDEX(pr_rate,MATCH(B1097,pr_code,0))="","",INDEX(pr_rate,MATCH(B1097,pr_code,0))),""))))</f>
        <v/>
      </c>
      <c r="L1097" s="65" t="str">
        <f>IF(COUNTA(A1097:G1097)=0,"",IF(AND(ISNUMBER(D1097),ISNUMBER(J1097)),ROUND(D1097*J1097*(1-N(F1097)),2),0))</f>
        <v/>
      </c>
      <c r="M1097" s="62" t="str">
        <f>IF(A1097="","",IFERROR(INDEX(fa_cname,MATCH(A1097,fa_num,0))&amp;"",""))</f>
        <v/>
      </c>
      <c r="N1097" s="59" t="str">
        <f>IF(COUNTA(A1097:G1097)=0,"",IF(A1097="","N° facture manquant",IF(ISNA(MATCH(A1097,fa_num,0)),"Facture inconnue",IF(AND(B1097&lt;&gt;"",ISNA(MATCH(B1097,pr_code,0))),"Article inconnu",IF(H1097="","Désignation manquante",IF(OR(NOT(ISNUMBER(D1097)),N(D1097)&lt;=0),"Quantité invalide",IF(J1097="","Prix manquant",IF(OR(NOT(ISNUMBER(J1097)),N(J1097)&lt;0),"Prix invalide",IF(OR(AND(F1097&lt;&gt;"",NOT(ISNUMBER(F1097))),N(F1097)&lt;0,N(F1097)&gt;1),"Remise invalide",IF(K1097="","Taux de TVA manquant",IF(NOT(ISNUMBER(K1097)),"Taux de TVA invalide",IF(COUNTIF(p_rates,K1097)=0,"Taux de TVA hors liste (Paramètres)",IF(N(O1097)&gt;25,"Au-delà de 25 lignes : non imprimée","OK")))))))))))))</f>
        <v/>
      </c>
      <c r="O1097" s="59" t="str">
        <f>IF(A1097="","",COUNTIF($A$6:A1097,A1097))</f>
        <v/>
      </c>
      <c r="P1097" s="62" t="str">
        <f>IF(A1097="","",A1097&amp;"|"&amp;O1097)</f>
        <v/>
      </c>
    </row>
    <row r="1098">
      <c r="A1098" s="60" t="n"/>
      <c r="B1098" s="63" t="n"/>
      <c r="C1098" s="63" t="n"/>
      <c r="D1098" s="67" t="n"/>
      <c r="E1098" s="68" t="n"/>
      <c r="F1098" s="69" t="n"/>
      <c r="G1098" s="70" t="n"/>
      <c r="H1098" s="62" t="str">
        <f>IF(COUNTA(A1098:G1098)=0,"",IF(C1098&lt;&gt;"",C1098,IF(B1098="","",IFERROR(INDEX(pr_des,MATCH(B1098,pr_code,0))&amp;"",""))))</f>
        <v/>
      </c>
      <c r="I1098" s="59" t="str">
        <f>IF(B1098="","",IFERROR(INDEX(pr_unit,MATCH(B1098,pr_code,0))&amp;"",""))</f>
        <v/>
      </c>
      <c r="J1098" s="65" t="str">
        <f>IF(COUNTA(A1098:G1098)=0,"",IF(E1098&lt;&gt;"",E1098,IF(B1098="","",IFERROR(IF(INDEX(pr_price,MATCH(B1098,pr_code,0))="","",INDEX(pr_price,MATCH(B1098,pr_code,0))),""))))</f>
        <v/>
      </c>
      <c r="K1098" s="71" t="str">
        <f>IF(COUNTA(A1098:G1098)=0,"",IF(G1098&lt;&gt;"",G1098,IF(B1098="","",IFERROR(IF(INDEX(pr_rate,MATCH(B1098,pr_code,0))="","",INDEX(pr_rate,MATCH(B1098,pr_code,0))),""))))</f>
        <v/>
      </c>
      <c r="L1098" s="65" t="str">
        <f>IF(COUNTA(A1098:G1098)=0,"",IF(AND(ISNUMBER(D1098),ISNUMBER(J1098)),ROUND(D1098*J1098*(1-N(F1098)),2),0))</f>
        <v/>
      </c>
      <c r="M1098" s="62" t="str">
        <f>IF(A1098="","",IFERROR(INDEX(fa_cname,MATCH(A1098,fa_num,0))&amp;"",""))</f>
        <v/>
      </c>
      <c r="N1098" s="59" t="str">
        <f>IF(COUNTA(A1098:G1098)=0,"",IF(A1098="","N° facture manquant",IF(ISNA(MATCH(A1098,fa_num,0)),"Facture inconnue",IF(AND(B1098&lt;&gt;"",ISNA(MATCH(B1098,pr_code,0))),"Article inconnu",IF(H1098="","Désignation manquante",IF(OR(NOT(ISNUMBER(D1098)),N(D1098)&lt;=0),"Quantité invalide",IF(J1098="","Prix manquant",IF(OR(NOT(ISNUMBER(J1098)),N(J1098)&lt;0),"Prix invalide",IF(OR(AND(F1098&lt;&gt;"",NOT(ISNUMBER(F1098))),N(F1098)&lt;0,N(F1098)&gt;1),"Remise invalide",IF(K1098="","Taux de TVA manquant",IF(NOT(ISNUMBER(K1098)),"Taux de TVA invalide",IF(COUNTIF(p_rates,K1098)=0,"Taux de TVA hors liste (Paramètres)",IF(N(O1098)&gt;25,"Au-delà de 25 lignes : non imprimée","OK")))))))))))))</f>
        <v/>
      </c>
      <c r="O1098" s="59" t="str">
        <f>IF(A1098="","",COUNTIF($A$6:A1098,A1098))</f>
        <v/>
      </c>
      <c r="P1098" s="62" t="str">
        <f>IF(A1098="","",A1098&amp;"|"&amp;O1098)</f>
        <v/>
      </c>
    </row>
    <row r="1099">
      <c r="A1099" s="60" t="n"/>
      <c r="B1099" s="63" t="n"/>
      <c r="C1099" s="63" t="n"/>
      <c r="D1099" s="67" t="n"/>
      <c r="E1099" s="68" t="n"/>
      <c r="F1099" s="69" t="n"/>
      <c r="G1099" s="70" t="n"/>
      <c r="H1099" s="62" t="str">
        <f>IF(COUNTA(A1099:G1099)=0,"",IF(C1099&lt;&gt;"",C1099,IF(B1099="","",IFERROR(INDEX(pr_des,MATCH(B1099,pr_code,0))&amp;"",""))))</f>
        <v/>
      </c>
      <c r="I1099" s="59" t="str">
        <f>IF(B1099="","",IFERROR(INDEX(pr_unit,MATCH(B1099,pr_code,0))&amp;"",""))</f>
        <v/>
      </c>
      <c r="J1099" s="65" t="str">
        <f>IF(COUNTA(A1099:G1099)=0,"",IF(E1099&lt;&gt;"",E1099,IF(B1099="","",IFERROR(IF(INDEX(pr_price,MATCH(B1099,pr_code,0))="","",INDEX(pr_price,MATCH(B1099,pr_code,0))),""))))</f>
        <v/>
      </c>
      <c r="K1099" s="71" t="str">
        <f>IF(COUNTA(A1099:G1099)=0,"",IF(G1099&lt;&gt;"",G1099,IF(B1099="","",IFERROR(IF(INDEX(pr_rate,MATCH(B1099,pr_code,0))="","",INDEX(pr_rate,MATCH(B1099,pr_code,0))),""))))</f>
        <v/>
      </c>
      <c r="L1099" s="65" t="str">
        <f>IF(COUNTA(A1099:G1099)=0,"",IF(AND(ISNUMBER(D1099),ISNUMBER(J1099)),ROUND(D1099*J1099*(1-N(F1099)),2),0))</f>
        <v/>
      </c>
      <c r="M1099" s="62" t="str">
        <f>IF(A1099="","",IFERROR(INDEX(fa_cname,MATCH(A1099,fa_num,0))&amp;"",""))</f>
        <v/>
      </c>
      <c r="N1099" s="59" t="str">
        <f>IF(COUNTA(A1099:G1099)=0,"",IF(A1099="","N° facture manquant",IF(ISNA(MATCH(A1099,fa_num,0)),"Facture inconnue",IF(AND(B1099&lt;&gt;"",ISNA(MATCH(B1099,pr_code,0))),"Article inconnu",IF(H1099="","Désignation manquante",IF(OR(NOT(ISNUMBER(D1099)),N(D1099)&lt;=0),"Quantité invalide",IF(J1099="","Prix manquant",IF(OR(NOT(ISNUMBER(J1099)),N(J1099)&lt;0),"Prix invalide",IF(OR(AND(F1099&lt;&gt;"",NOT(ISNUMBER(F1099))),N(F1099)&lt;0,N(F1099)&gt;1),"Remise invalide",IF(K1099="","Taux de TVA manquant",IF(NOT(ISNUMBER(K1099)),"Taux de TVA invalide",IF(COUNTIF(p_rates,K1099)=0,"Taux de TVA hors liste (Paramètres)",IF(N(O1099)&gt;25,"Au-delà de 25 lignes : non imprimée","OK")))))))))))))</f>
        <v/>
      </c>
      <c r="O1099" s="59" t="str">
        <f>IF(A1099="","",COUNTIF($A$6:A1099,A1099))</f>
        <v/>
      </c>
      <c r="P1099" s="62" t="str">
        <f>IF(A1099="","",A1099&amp;"|"&amp;O1099)</f>
        <v/>
      </c>
    </row>
    <row r="1100">
      <c r="A1100" s="60" t="n"/>
      <c r="B1100" s="63" t="n"/>
      <c r="C1100" s="63" t="n"/>
      <c r="D1100" s="67" t="n"/>
      <c r="E1100" s="68" t="n"/>
      <c r="F1100" s="69" t="n"/>
      <c r="G1100" s="70" t="n"/>
      <c r="H1100" s="62" t="str">
        <f>IF(COUNTA(A1100:G1100)=0,"",IF(C1100&lt;&gt;"",C1100,IF(B1100="","",IFERROR(INDEX(pr_des,MATCH(B1100,pr_code,0))&amp;"",""))))</f>
        <v/>
      </c>
      <c r="I1100" s="59" t="str">
        <f>IF(B1100="","",IFERROR(INDEX(pr_unit,MATCH(B1100,pr_code,0))&amp;"",""))</f>
        <v/>
      </c>
      <c r="J1100" s="65" t="str">
        <f>IF(COUNTA(A1100:G1100)=0,"",IF(E1100&lt;&gt;"",E1100,IF(B1100="","",IFERROR(IF(INDEX(pr_price,MATCH(B1100,pr_code,0))="","",INDEX(pr_price,MATCH(B1100,pr_code,0))),""))))</f>
        <v/>
      </c>
      <c r="K1100" s="71" t="str">
        <f>IF(COUNTA(A1100:G1100)=0,"",IF(G1100&lt;&gt;"",G1100,IF(B1100="","",IFERROR(IF(INDEX(pr_rate,MATCH(B1100,pr_code,0))="","",INDEX(pr_rate,MATCH(B1100,pr_code,0))),""))))</f>
        <v/>
      </c>
      <c r="L1100" s="65" t="str">
        <f>IF(COUNTA(A1100:G1100)=0,"",IF(AND(ISNUMBER(D1100),ISNUMBER(J1100)),ROUND(D1100*J1100*(1-N(F1100)),2),0))</f>
        <v/>
      </c>
      <c r="M1100" s="62" t="str">
        <f>IF(A1100="","",IFERROR(INDEX(fa_cname,MATCH(A1100,fa_num,0))&amp;"",""))</f>
        <v/>
      </c>
      <c r="N1100" s="59" t="str">
        <f>IF(COUNTA(A1100:G1100)=0,"",IF(A1100="","N° facture manquant",IF(ISNA(MATCH(A1100,fa_num,0)),"Facture inconnue",IF(AND(B1100&lt;&gt;"",ISNA(MATCH(B1100,pr_code,0))),"Article inconnu",IF(H1100="","Désignation manquante",IF(OR(NOT(ISNUMBER(D1100)),N(D1100)&lt;=0),"Quantité invalide",IF(J1100="","Prix manquant",IF(OR(NOT(ISNUMBER(J1100)),N(J1100)&lt;0),"Prix invalide",IF(OR(AND(F1100&lt;&gt;"",NOT(ISNUMBER(F1100))),N(F1100)&lt;0,N(F1100)&gt;1),"Remise invalide",IF(K1100="","Taux de TVA manquant",IF(NOT(ISNUMBER(K1100)),"Taux de TVA invalide",IF(COUNTIF(p_rates,K1100)=0,"Taux de TVA hors liste (Paramètres)",IF(N(O1100)&gt;25,"Au-delà de 25 lignes : non imprimée","OK")))))))))))))</f>
        <v/>
      </c>
      <c r="O1100" s="59" t="str">
        <f>IF(A1100="","",COUNTIF($A$6:A1100,A1100))</f>
        <v/>
      </c>
      <c r="P1100" s="62" t="str">
        <f>IF(A1100="","",A1100&amp;"|"&amp;O1100)</f>
        <v/>
      </c>
    </row>
    <row r="1101">
      <c r="A1101" s="60" t="n"/>
      <c r="B1101" s="63" t="n"/>
      <c r="C1101" s="63" t="n"/>
      <c r="D1101" s="67" t="n"/>
      <c r="E1101" s="68" t="n"/>
      <c r="F1101" s="69" t="n"/>
      <c r="G1101" s="70" t="n"/>
      <c r="H1101" s="62" t="str">
        <f>IF(COUNTA(A1101:G1101)=0,"",IF(C1101&lt;&gt;"",C1101,IF(B1101="","",IFERROR(INDEX(pr_des,MATCH(B1101,pr_code,0))&amp;"",""))))</f>
        <v/>
      </c>
      <c r="I1101" s="59" t="str">
        <f>IF(B1101="","",IFERROR(INDEX(pr_unit,MATCH(B1101,pr_code,0))&amp;"",""))</f>
        <v/>
      </c>
      <c r="J1101" s="65" t="str">
        <f>IF(COUNTA(A1101:G1101)=0,"",IF(E1101&lt;&gt;"",E1101,IF(B1101="","",IFERROR(IF(INDEX(pr_price,MATCH(B1101,pr_code,0))="","",INDEX(pr_price,MATCH(B1101,pr_code,0))),""))))</f>
        <v/>
      </c>
      <c r="K1101" s="71" t="str">
        <f>IF(COUNTA(A1101:G1101)=0,"",IF(G1101&lt;&gt;"",G1101,IF(B1101="","",IFERROR(IF(INDEX(pr_rate,MATCH(B1101,pr_code,0))="","",INDEX(pr_rate,MATCH(B1101,pr_code,0))),""))))</f>
        <v/>
      </c>
      <c r="L1101" s="65" t="str">
        <f>IF(COUNTA(A1101:G1101)=0,"",IF(AND(ISNUMBER(D1101),ISNUMBER(J1101)),ROUND(D1101*J1101*(1-N(F1101)),2),0))</f>
        <v/>
      </c>
      <c r="M1101" s="62" t="str">
        <f>IF(A1101="","",IFERROR(INDEX(fa_cname,MATCH(A1101,fa_num,0))&amp;"",""))</f>
        <v/>
      </c>
      <c r="N1101" s="59" t="str">
        <f>IF(COUNTA(A1101:G1101)=0,"",IF(A1101="","N° facture manquant",IF(ISNA(MATCH(A1101,fa_num,0)),"Facture inconnue",IF(AND(B1101&lt;&gt;"",ISNA(MATCH(B1101,pr_code,0))),"Article inconnu",IF(H1101="","Désignation manquante",IF(OR(NOT(ISNUMBER(D1101)),N(D1101)&lt;=0),"Quantité invalide",IF(J1101="","Prix manquant",IF(OR(NOT(ISNUMBER(J1101)),N(J1101)&lt;0),"Prix invalide",IF(OR(AND(F1101&lt;&gt;"",NOT(ISNUMBER(F1101))),N(F1101)&lt;0,N(F1101)&gt;1),"Remise invalide",IF(K1101="","Taux de TVA manquant",IF(NOT(ISNUMBER(K1101)),"Taux de TVA invalide",IF(COUNTIF(p_rates,K1101)=0,"Taux de TVA hors liste (Paramètres)",IF(N(O1101)&gt;25,"Au-delà de 25 lignes : non imprimée","OK")))))))))))))</f>
        <v/>
      </c>
      <c r="O1101" s="59" t="str">
        <f>IF(A1101="","",COUNTIF($A$6:A1101,A1101))</f>
        <v/>
      </c>
      <c r="P1101" s="62" t="str">
        <f>IF(A1101="","",A1101&amp;"|"&amp;O1101)</f>
        <v/>
      </c>
    </row>
    <row r="1102">
      <c r="A1102" s="60" t="n"/>
      <c r="B1102" s="63" t="n"/>
      <c r="C1102" s="63" t="n"/>
      <c r="D1102" s="67" t="n"/>
      <c r="E1102" s="68" t="n"/>
      <c r="F1102" s="69" t="n"/>
      <c r="G1102" s="70" t="n"/>
      <c r="H1102" s="62" t="str">
        <f>IF(COUNTA(A1102:G1102)=0,"",IF(C1102&lt;&gt;"",C1102,IF(B1102="","",IFERROR(INDEX(pr_des,MATCH(B1102,pr_code,0))&amp;"",""))))</f>
        <v/>
      </c>
      <c r="I1102" s="59" t="str">
        <f>IF(B1102="","",IFERROR(INDEX(pr_unit,MATCH(B1102,pr_code,0))&amp;"",""))</f>
        <v/>
      </c>
      <c r="J1102" s="65" t="str">
        <f>IF(COUNTA(A1102:G1102)=0,"",IF(E1102&lt;&gt;"",E1102,IF(B1102="","",IFERROR(IF(INDEX(pr_price,MATCH(B1102,pr_code,0))="","",INDEX(pr_price,MATCH(B1102,pr_code,0))),""))))</f>
        <v/>
      </c>
      <c r="K1102" s="71" t="str">
        <f>IF(COUNTA(A1102:G1102)=0,"",IF(G1102&lt;&gt;"",G1102,IF(B1102="","",IFERROR(IF(INDEX(pr_rate,MATCH(B1102,pr_code,0))="","",INDEX(pr_rate,MATCH(B1102,pr_code,0))),""))))</f>
        <v/>
      </c>
      <c r="L1102" s="65" t="str">
        <f>IF(COUNTA(A1102:G1102)=0,"",IF(AND(ISNUMBER(D1102),ISNUMBER(J1102)),ROUND(D1102*J1102*(1-N(F1102)),2),0))</f>
        <v/>
      </c>
      <c r="M1102" s="62" t="str">
        <f>IF(A1102="","",IFERROR(INDEX(fa_cname,MATCH(A1102,fa_num,0))&amp;"",""))</f>
        <v/>
      </c>
      <c r="N1102" s="59" t="str">
        <f>IF(COUNTA(A1102:G1102)=0,"",IF(A1102="","N° facture manquant",IF(ISNA(MATCH(A1102,fa_num,0)),"Facture inconnue",IF(AND(B1102&lt;&gt;"",ISNA(MATCH(B1102,pr_code,0))),"Article inconnu",IF(H1102="","Désignation manquante",IF(OR(NOT(ISNUMBER(D1102)),N(D1102)&lt;=0),"Quantité invalide",IF(J1102="","Prix manquant",IF(OR(NOT(ISNUMBER(J1102)),N(J1102)&lt;0),"Prix invalide",IF(OR(AND(F1102&lt;&gt;"",NOT(ISNUMBER(F1102))),N(F1102)&lt;0,N(F1102)&gt;1),"Remise invalide",IF(K1102="","Taux de TVA manquant",IF(NOT(ISNUMBER(K1102)),"Taux de TVA invalide",IF(COUNTIF(p_rates,K1102)=0,"Taux de TVA hors liste (Paramètres)",IF(N(O1102)&gt;25,"Au-delà de 25 lignes : non imprimée","OK")))))))))))))</f>
        <v/>
      </c>
      <c r="O1102" s="59" t="str">
        <f>IF(A1102="","",COUNTIF($A$6:A1102,A1102))</f>
        <v/>
      </c>
      <c r="P1102" s="62" t="str">
        <f>IF(A1102="","",A1102&amp;"|"&amp;O1102)</f>
        <v/>
      </c>
    </row>
    <row r="1103">
      <c r="A1103" s="60" t="n"/>
      <c r="B1103" s="63" t="n"/>
      <c r="C1103" s="63" t="n"/>
      <c r="D1103" s="67" t="n"/>
      <c r="E1103" s="68" t="n"/>
      <c r="F1103" s="69" t="n"/>
      <c r="G1103" s="70" t="n"/>
      <c r="H1103" s="62" t="str">
        <f>IF(COUNTA(A1103:G1103)=0,"",IF(C1103&lt;&gt;"",C1103,IF(B1103="","",IFERROR(INDEX(pr_des,MATCH(B1103,pr_code,0))&amp;"",""))))</f>
        <v/>
      </c>
      <c r="I1103" s="59" t="str">
        <f>IF(B1103="","",IFERROR(INDEX(pr_unit,MATCH(B1103,pr_code,0))&amp;"",""))</f>
        <v/>
      </c>
      <c r="J1103" s="65" t="str">
        <f>IF(COUNTA(A1103:G1103)=0,"",IF(E1103&lt;&gt;"",E1103,IF(B1103="","",IFERROR(IF(INDEX(pr_price,MATCH(B1103,pr_code,0))="","",INDEX(pr_price,MATCH(B1103,pr_code,0))),""))))</f>
        <v/>
      </c>
      <c r="K1103" s="71" t="str">
        <f>IF(COUNTA(A1103:G1103)=0,"",IF(G1103&lt;&gt;"",G1103,IF(B1103="","",IFERROR(IF(INDEX(pr_rate,MATCH(B1103,pr_code,0))="","",INDEX(pr_rate,MATCH(B1103,pr_code,0))),""))))</f>
        <v/>
      </c>
      <c r="L1103" s="65" t="str">
        <f>IF(COUNTA(A1103:G1103)=0,"",IF(AND(ISNUMBER(D1103),ISNUMBER(J1103)),ROUND(D1103*J1103*(1-N(F1103)),2),0))</f>
        <v/>
      </c>
      <c r="M1103" s="62" t="str">
        <f>IF(A1103="","",IFERROR(INDEX(fa_cname,MATCH(A1103,fa_num,0))&amp;"",""))</f>
        <v/>
      </c>
      <c r="N1103" s="59" t="str">
        <f>IF(COUNTA(A1103:G1103)=0,"",IF(A1103="","N° facture manquant",IF(ISNA(MATCH(A1103,fa_num,0)),"Facture inconnue",IF(AND(B1103&lt;&gt;"",ISNA(MATCH(B1103,pr_code,0))),"Article inconnu",IF(H1103="","Désignation manquante",IF(OR(NOT(ISNUMBER(D1103)),N(D1103)&lt;=0),"Quantité invalide",IF(J1103="","Prix manquant",IF(OR(NOT(ISNUMBER(J1103)),N(J1103)&lt;0),"Prix invalide",IF(OR(AND(F1103&lt;&gt;"",NOT(ISNUMBER(F1103))),N(F1103)&lt;0,N(F1103)&gt;1),"Remise invalide",IF(K1103="","Taux de TVA manquant",IF(NOT(ISNUMBER(K1103)),"Taux de TVA invalide",IF(COUNTIF(p_rates,K1103)=0,"Taux de TVA hors liste (Paramètres)",IF(N(O1103)&gt;25,"Au-delà de 25 lignes : non imprimée","OK")))))))))))))</f>
        <v/>
      </c>
      <c r="O1103" s="59" t="str">
        <f>IF(A1103="","",COUNTIF($A$6:A1103,A1103))</f>
        <v/>
      </c>
      <c r="P1103" s="62" t="str">
        <f>IF(A1103="","",A1103&amp;"|"&amp;O1103)</f>
        <v/>
      </c>
    </row>
    <row r="1104">
      <c r="A1104" s="60" t="n"/>
      <c r="B1104" s="63" t="n"/>
      <c r="C1104" s="63" t="n"/>
      <c r="D1104" s="67" t="n"/>
      <c r="E1104" s="68" t="n"/>
      <c r="F1104" s="69" t="n"/>
      <c r="G1104" s="70" t="n"/>
      <c r="H1104" s="62" t="str">
        <f>IF(COUNTA(A1104:G1104)=0,"",IF(C1104&lt;&gt;"",C1104,IF(B1104="","",IFERROR(INDEX(pr_des,MATCH(B1104,pr_code,0))&amp;"",""))))</f>
        <v/>
      </c>
      <c r="I1104" s="59" t="str">
        <f>IF(B1104="","",IFERROR(INDEX(pr_unit,MATCH(B1104,pr_code,0))&amp;"",""))</f>
        <v/>
      </c>
      <c r="J1104" s="65" t="str">
        <f>IF(COUNTA(A1104:G1104)=0,"",IF(E1104&lt;&gt;"",E1104,IF(B1104="","",IFERROR(IF(INDEX(pr_price,MATCH(B1104,pr_code,0))="","",INDEX(pr_price,MATCH(B1104,pr_code,0))),""))))</f>
        <v/>
      </c>
      <c r="K1104" s="71" t="str">
        <f>IF(COUNTA(A1104:G1104)=0,"",IF(G1104&lt;&gt;"",G1104,IF(B1104="","",IFERROR(IF(INDEX(pr_rate,MATCH(B1104,pr_code,0))="","",INDEX(pr_rate,MATCH(B1104,pr_code,0))),""))))</f>
        <v/>
      </c>
      <c r="L1104" s="65" t="str">
        <f>IF(COUNTA(A1104:G1104)=0,"",IF(AND(ISNUMBER(D1104),ISNUMBER(J1104)),ROUND(D1104*J1104*(1-N(F1104)),2),0))</f>
        <v/>
      </c>
      <c r="M1104" s="62" t="str">
        <f>IF(A1104="","",IFERROR(INDEX(fa_cname,MATCH(A1104,fa_num,0))&amp;"",""))</f>
        <v/>
      </c>
      <c r="N1104" s="59" t="str">
        <f>IF(COUNTA(A1104:G1104)=0,"",IF(A1104="","N° facture manquant",IF(ISNA(MATCH(A1104,fa_num,0)),"Facture inconnue",IF(AND(B1104&lt;&gt;"",ISNA(MATCH(B1104,pr_code,0))),"Article inconnu",IF(H1104="","Désignation manquante",IF(OR(NOT(ISNUMBER(D1104)),N(D1104)&lt;=0),"Quantité invalide",IF(J1104="","Prix manquant",IF(OR(NOT(ISNUMBER(J1104)),N(J1104)&lt;0),"Prix invalide",IF(OR(AND(F1104&lt;&gt;"",NOT(ISNUMBER(F1104))),N(F1104)&lt;0,N(F1104)&gt;1),"Remise invalide",IF(K1104="","Taux de TVA manquant",IF(NOT(ISNUMBER(K1104)),"Taux de TVA invalide",IF(COUNTIF(p_rates,K1104)=0,"Taux de TVA hors liste (Paramètres)",IF(N(O1104)&gt;25,"Au-delà de 25 lignes : non imprimée","OK")))))))))))))</f>
        <v/>
      </c>
      <c r="O1104" s="59" t="str">
        <f>IF(A1104="","",COUNTIF($A$6:A1104,A1104))</f>
        <v/>
      </c>
      <c r="P1104" s="62" t="str">
        <f>IF(A1104="","",A1104&amp;"|"&amp;O1104)</f>
        <v/>
      </c>
    </row>
    <row r="1105">
      <c r="A1105" s="60" t="n"/>
      <c r="B1105" s="63" t="n"/>
      <c r="C1105" s="63" t="n"/>
      <c r="D1105" s="67" t="n"/>
      <c r="E1105" s="68" t="n"/>
      <c r="F1105" s="69" t="n"/>
      <c r="G1105" s="70" t="n"/>
      <c r="H1105" s="62" t="str">
        <f>IF(COUNTA(A1105:G1105)=0,"",IF(C1105&lt;&gt;"",C1105,IF(B1105="","",IFERROR(INDEX(pr_des,MATCH(B1105,pr_code,0))&amp;"",""))))</f>
        <v/>
      </c>
      <c r="I1105" s="59" t="str">
        <f>IF(B1105="","",IFERROR(INDEX(pr_unit,MATCH(B1105,pr_code,0))&amp;"",""))</f>
        <v/>
      </c>
      <c r="J1105" s="65" t="str">
        <f>IF(COUNTA(A1105:G1105)=0,"",IF(E1105&lt;&gt;"",E1105,IF(B1105="","",IFERROR(IF(INDEX(pr_price,MATCH(B1105,pr_code,0))="","",INDEX(pr_price,MATCH(B1105,pr_code,0))),""))))</f>
        <v/>
      </c>
      <c r="K1105" s="71" t="str">
        <f>IF(COUNTA(A1105:G1105)=0,"",IF(G1105&lt;&gt;"",G1105,IF(B1105="","",IFERROR(IF(INDEX(pr_rate,MATCH(B1105,pr_code,0))="","",INDEX(pr_rate,MATCH(B1105,pr_code,0))),""))))</f>
        <v/>
      </c>
      <c r="L1105" s="65" t="str">
        <f>IF(COUNTA(A1105:G1105)=0,"",IF(AND(ISNUMBER(D1105),ISNUMBER(J1105)),ROUND(D1105*J1105*(1-N(F1105)),2),0))</f>
        <v/>
      </c>
      <c r="M1105" s="62" t="str">
        <f>IF(A1105="","",IFERROR(INDEX(fa_cname,MATCH(A1105,fa_num,0))&amp;"",""))</f>
        <v/>
      </c>
      <c r="N1105" s="59" t="str">
        <f>IF(COUNTA(A1105:G1105)=0,"",IF(A1105="","N° facture manquant",IF(ISNA(MATCH(A1105,fa_num,0)),"Facture inconnue",IF(AND(B1105&lt;&gt;"",ISNA(MATCH(B1105,pr_code,0))),"Article inconnu",IF(H1105="","Désignation manquante",IF(OR(NOT(ISNUMBER(D1105)),N(D1105)&lt;=0),"Quantité invalide",IF(J1105="","Prix manquant",IF(OR(NOT(ISNUMBER(J1105)),N(J1105)&lt;0),"Prix invalide",IF(OR(AND(F1105&lt;&gt;"",NOT(ISNUMBER(F1105))),N(F1105)&lt;0,N(F1105)&gt;1),"Remise invalide",IF(K1105="","Taux de TVA manquant",IF(NOT(ISNUMBER(K1105)),"Taux de TVA invalide",IF(COUNTIF(p_rates,K1105)=0,"Taux de TVA hors liste (Paramètres)",IF(N(O1105)&gt;25,"Au-delà de 25 lignes : non imprimée","OK")))))))))))))</f>
        <v/>
      </c>
      <c r="O1105" s="59" t="str">
        <f>IF(A1105="","",COUNTIF($A$6:A1105,A1105))</f>
        <v/>
      </c>
      <c r="P1105" s="62" t="str">
        <f>IF(A1105="","",A1105&amp;"|"&amp;O1105)</f>
        <v/>
      </c>
    </row>
    <row r="1106">
      <c r="A1106" s="60" t="n"/>
      <c r="B1106" s="63" t="n"/>
      <c r="C1106" s="63" t="n"/>
      <c r="D1106" s="67" t="n"/>
      <c r="E1106" s="68" t="n"/>
      <c r="F1106" s="69" t="n"/>
      <c r="G1106" s="70" t="n"/>
      <c r="H1106" s="62" t="str">
        <f>IF(COUNTA(A1106:G1106)=0,"",IF(C1106&lt;&gt;"",C1106,IF(B1106="","",IFERROR(INDEX(pr_des,MATCH(B1106,pr_code,0))&amp;"",""))))</f>
        <v/>
      </c>
      <c r="I1106" s="59" t="str">
        <f>IF(B1106="","",IFERROR(INDEX(pr_unit,MATCH(B1106,pr_code,0))&amp;"",""))</f>
        <v/>
      </c>
      <c r="J1106" s="65" t="str">
        <f>IF(COUNTA(A1106:G1106)=0,"",IF(E1106&lt;&gt;"",E1106,IF(B1106="","",IFERROR(IF(INDEX(pr_price,MATCH(B1106,pr_code,0))="","",INDEX(pr_price,MATCH(B1106,pr_code,0))),""))))</f>
        <v/>
      </c>
      <c r="K1106" s="71" t="str">
        <f>IF(COUNTA(A1106:G1106)=0,"",IF(G1106&lt;&gt;"",G1106,IF(B1106="","",IFERROR(IF(INDEX(pr_rate,MATCH(B1106,pr_code,0))="","",INDEX(pr_rate,MATCH(B1106,pr_code,0))),""))))</f>
        <v/>
      </c>
      <c r="L1106" s="65" t="str">
        <f>IF(COUNTA(A1106:G1106)=0,"",IF(AND(ISNUMBER(D1106),ISNUMBER(J1106)),ROUND(D1106*J1106*(1-N(F1106)),2),0))</f>
        <v/>
      </c>
      <c r="M1106" s="62" t="str">
        <f>IF(A1106="","",IFERROR(INDEX(fa_cname,MATCH(A1106,fa_num,0))&amp;"",""))</f>
        <v/>
      </c>
      <c r="N1106" s="59" t="str">
        <f>IF(COUNTA(A1106:G1106)=0,"",IF(A1106="","N° facture manquant",IF(ISNA(MATCH(A1106,fa_num,0)),"Facture inconnue",IF(AND(B1106&lt;&gt;"",ISNA(MATCH(B1106,pr_code,0))),"Article inconnu",IF(H1106="","Désignation manquante",IF(OR(NOT(ISNUMBER(D1106)),N(D1106)&lt;=0),"Quantité invalide",IF(J1106="","Prix manquant",IF(OR(NOT(ISNUMBER(J1106)),N(J1106)&lt;0),"Prix invalide",IF(OR(AND(F1106&lt;&gt;"",NOT(ISNUMBER(F1106))),N(F1106)&lt;0,N(F1106)&gt;1),"Remise invalide",IF(K1106="","Taux de TVA manquant",IF(NOT(ISNUMBER(K1106)),"Taux de TVA invalide",IF(COUNTIF(p_rates,K1106)=0,"Taux de TVA hors liste (Paramètres)",IF(N(O1106)&gt;25,"Au-delà de 25 lignes : non imprimée","OK")))))))))))))</f>
        <v/>
      </c>
      <c r="O1106" s="59" t="str">
        <f>IF(A1106="","",COUNTIF($A$6:A1106,A1106))</f>
        <v/>
      </c>
      <c r="P1106" s="62" t="str">
        <f>IF(A1106="","",A1106&amp;"|"&amp;O1106)</f>
        <v/>
      </c>
    </row>
    <row r="1107">
      <c r="A1107" s="60" t="n"/>
      <c r="B1107" s="63" t="n"/>
      <c r="C1107" s="63" t="n"/>
      <c r="D1107" s="67" t="n"/>
      <c r="E1107" s="68" t="n"/>
      <c r="F1107" s="69" t="n"/>
      <c r="G1107" s="70" t="n"/>
      <c r="H1107" s="62" t="str">
        <f>IF(COUNTA(A1107:G1107)=0,"",IF(C1107&lt;&gt;"",C1107,IF(B1107="","",IFERROR(INDEX(pr_des,MATCH(B1107,pr_code,0))&amp;"",""))))</f>
        <v/>
      </c>
      <c r="I1107" s="59" t="str">
        <f>IF(B1107="","",IFERROR(INDEX(pr_unit,MATCH(B1107,pr_code,0))&amp;"",""))</f>
        <v/>
      </c>
      <c r="J1107" s="65" t="str">
        <f>IF(COUNTA(A1107:G1107)=0,"",IF(E1107&lt;&gt;"",E1107,IF(B1107="","",IFERROR(IF(INDEX(pr_price,MATCH(B1107,pr_code,0))="","",INDEX(pr_price,MATCH(B1107,pr_code,0))),""))))</f>
        <v/>
      </c>
      <c r="K1107" s="71" t="str">
        <f>IF(COUNTA(A1107:G1107)=0,"",IF(G1107&lt;&gt;"",G1107,IF(B1107="","",IFERROR(IF(INDEX(pr_rate,MATCH(B1107,pr_code,0))="","",INDEX(pr_rate,MATCH(B1107,pr_code,0))),""))))</f>
        <v/>
      </c>
      <c r="L1107" s="65" t="str">
        <f>IF(COUNTA(A1107:G1107)=0,"",IF(AND(ISNUMBER(D1107),ISNUMBER(J1107)),ROUND(D1107*J1107*(1-N(F1107)),2),0))</f>
        <v/>
      </c>
      <c r="M1107" s="62" t="str">
        <f>IF(A1107="","",IFERROR(INDEX(fa_cname,MATCH(A1107,fa_num,0))&amp;"",""))</f>
        <v/>
      </c>
      <c r="N1107" s="59" t="str">
        <f>IF(COUNTA(A1107:G1107)=0,"",IF(A1107="","N° facture manquant",IF(ISNA(MATCH(A1107,fa_num,0)),"Facture inconnue",IF(AND(B1107&lt;&gt;"",ISNA(MATCH(B1107,pr_code,0))),"Article inconnu",IF(H1107="","Désignation manquante",IF(OR(NOT(ISNUMBER(D1107)),N(D1107)&lt;=0),"Quantité invalide",IF(J1107="","Prix manquant",IF(OR(NOT(ISNUMBER(J1107)),N(J1107)&lt;0),"Prix invalide",IF(OR(AND(F1107&lt;&gt;"",NOT(ISNUMBER(F1107))),N(F1107)&lt;0,N(F1107)&gt;1),"Remise invalide",IF(K1107="","Taux de TVA manquant",IF(NOT(ISNUMBER(K1107)),"Taux de TVA invalide",IF(COUNTIF(p_rates,K1107)=0,"Taux de TVA hors liste (Paramètres)",IF(N(O1107)&gt;25,"Au-delà de 25 lignes : non imprimée","OK")))))))))))))</f>
        <v/>
      </c>
      <c r="O1107" s="59" t="str">
        <f>IF(A1107="","",COUNTIF($A$6:A1107,A1107))</f>
        <v/>
      </c>
      <c r="P1107" s="62" t="str">
        <f>IF(A1107="","",A1107&amp;"|"&amp;O1107)</f>
        <v/>
      </c>
    </row>
    <row r="1108">
      <c r="A1108" s="60" t="n"/>
      <c r="B1108" s="63" t="n"/>
      <c r="C1108" s="63" t="n"/>
      <c r="D1108" s="67" t="n"/>
      <c r="E1108" s="68" t="n"/>
      <c r="F1108" s="69" t="n"/>
      <c r="G1108" s="70" t="n"/>
      <c r="H1108" s="62" t="str">
        <f>IF(COUNTA(A1108:G1108)=0,"",IF(C1108&lt;&gt;"",C1108,IF(B1108="","",IFERROR(INDEX(pr_des,MATCH(B1108,pr_code,0))&amp;"",""))))</f>
        <v/>
      </c>
      <c r="I1108" s="59" t="str">
        <f>IF(B1108="","",IFERROR(INDEX(pr_unit,MATCH(B1108,pr_code,0))&amp;"",""))</f>
        <v/>
      </c>
      <c r="J1108" s="65" t="str">
        <f>IF(COUNTA(A1108:G1108)=0,"",IF(E1108&lt;&gt;"",E1108,IF(B1108="","",IFERROR(IF(INDEX(pr_price,MATCH(B1108,pr_code,0))="","",INDEX(pr_price,MATCH(B1108,pr_code,0))),""))))</f>
        <v/>
      </c>
      <c r="K1108" s="71" t="str">
        <f>IF(COUNTA(A1108:G1108)=0,"",IF(G1108&lt;&gt;"",G1108,IF(B1108="","",IFERROR(IF(INDEX(pr_rate,MATCH(B1108,pr_code,0))="","",INDEX(pr_rate,MATCH(B1108,pr_code,0))),""))))</f>
        <v/>
      </c>
      <c r="L1108" s="65" t="str">
        <f>IF(COUNTA(A1108:G1108)=0,"",IF(AND(ISNUMBER(D1108),ISNUMBER(J1108)),ROUND(D1108*J1108*(1-N(F1108)),2),0))</f>
        <v/>
      </c>
      <c r="M1108" s="62" t="str">
        <f>IF(A1108="","",IFERROR(INDEX(fa_cname,MATCH(A1108,fa_num,0))&amp;"",""))</f>
        <v/>
      </c>
      <c r="N1108" s="59" t="str">
        <f>IF(COUNTA(A1108:G1108)=0,"",IF(A1108="","N° facture manquant",IF(ISNA(MATCH(A1108,fa_num,0)),"Facture inconnue",IF(AND(B1108&lt;&gt;"",ISNA(MATCH(B1108,pr_code,0))),"Article inconnu",IF(H1108="","Désignation manquante",IF(OR(NOT(ISNUMBER(D1108)),N(D1108)&lt;=0),"Quantité invalide",IF(J1108="","Prix manquant",IF(OR(NOT(ISNUMBER(J1108)),N(J1108)&lt;0),"Prix invalide",IF(OR(AND(F1108&lt;&gt;"",NOT(ISNUMBER(F1108))),N(F1108)&lt;0,N(F1108)&gt;1),"Remise invalide",IF(K1108="","Taux de TVA manquant",IF(NOT(ISNUMBER(K1108)),"Taux de TVA invalide",IF(COUNTIF(p_rates,K1108)=0,"Taux de TVA hors liste (Paramètres)",IF(N(O1108)&gt;25,"Au-delà de 25 lignes : non imprimée","OK")))))))))))))</f>
        <v/>
      </c>
      <c r="O1108" s="59" t="str">
        <f>IF(A1108="","",COUNTIF($A$6:A1108,A1108))</f>
        <v/>
      </c>
      <c r="P1108" s="62" t="str">
        <f>IF(A1108="","",A1108&amp;"|"&amp;O1108)</f>
        <v/>
      </c>
    </row>
    <row r="1109">
      <c r="A1109" s="60" t="n"/>
      <c r="B1109" s="63" t="n"/>
      <c r="C1109" s="63" t="n"/>
      <c r="D1109" s="67" t="n"/>
      <c r="E1109" s="68" t="n"/>
      <c r="F1109" s="69" t="n"/>
      <c r="G1109" s="70" t="n"/>
      <c r="H1109" s="62" t="str">
        <f>IF(COUNTA(A1109:G1109)=0,"",IF(C1109&lt;&gt;"",C1109,IF(B1109="","",IFERROR(INDEX(pr_des,MATCH(B1109,pr_code,0))&amp;"",""))))</f>
        <v/>
      </c>
      <c r="I1109" s="59" t="str">
        <f>IF(B1109="","",IFERROR(INDEX(pr_unit,MATCH(B1109,pr_code,0))&amp;"",""))</f>
        <v/>
      </c>
      <c r="J1109" s="65" t="str">
        <f>IF(COUNTA(A1109:G1109)=0,"",IF(E1109&lt;&gt;"",E1109,IF(B1109="","",IFERROR(IF(INDEX(pr_price,MATCH(B1109,pr_code,0))="","",INDEX(pr_price,MATCH(B1109,pr_code,0))),""))))</f>
        <v/>
      </c>
      <c r="K1109" s="71" t="str">
        <f>IF(COUNTA(A1109:G1109)=0,"",IF(G1109&lt;&gt;"",G1109,IF(B1109="","",IFERROR(IF(INDEX(pr_rate,MATCH(B1109,pr_code,0))="","",INDEX(pr_rate,MATCH(B1109,pr_code,0))),""))))</f>
        <v/>
      </c>
      <c r="L1109" s="65" t="str">
        <f>IF(COUNTA(A1109:G1109)=0,"",IF(AND(ISNUMBER(D1109),ISNUMBER(J1109)),ROUND(D1109*J1109*(1-N(F1109)),2),0))</f>
        <v/>
      </c>
      <c r="M1109" s="62" t="str">
        <f>IF(A1109="","",IFERROR(INDEX(fa_cname,MATCH(A1109,fa_num,0))&amp;"",""))</f>
        <v/>
      </c>
      <c r="N1109" s="59" t="str">
        <f>IF(COUNTA(A1109:G1109)=0,"",IF(A1109="","N° facture manquant",IF(ISNA(MATCH(A1109,fa_num,0)),"Facture inconnue",IF(AND(B1109&lt;&gt;"",ISNA(MATCH(B1109,pr_code,0))),"Article inconnu",IF(H1109="","Désignation manquante",IF(OR(NOT(ISNUMBER(D1109)),N(D1109)&lt;=0),"Quantité invalide",IF(J1109="","Prix manquant",IF(OR(NOT(ISNUMBER(J1109)),N(J1109)&lt;0),"Prix invalide",IF(OR(AND(F1109&lt;&gt;"",NOT(ISNUMBER(F1109))),N(F1109)&lt;0,N(F1109)&gt;1),"Remise invalide",IF(K1109="","Taux de TVA manquant",IF(NOT(ISNUMBER(K1109)),"Taux de TVA invalide",IF(COUNTIF(p_rates,K1109)=0,"Taux de TVA hors liste (Paramètres)",IF(N(O1109)&gt;25,"Au-delà de 25 lignes : non imprimée","OK")))))))))))))</f>
        <v/>
      </c>
      <c r="O1109" s="59" t="str">
        <f>IF(A1109="","",COUNTIF($A$6:A1109,A1109))</f>
        <v/>
      </c>
      <c r="P1109" s="62" t="str">
        <f>IF(A1109="","",A1109&amp;"|"&amp;O1109)</f>
        <v/>
      </c>
    </row>
    <row r="1110">
      <c r="A1110" s="60" t="n"/>
      <c r="B1110" s="63" t="n"/>
      <c r="C1110" s="63" t="n"/>
      <c r="D1110" s="67" t="n"/>
      <c r="E1110" s="68" t="n"/>
      <c r="F1110" s="69" t="n"/>
      <c r="G1110" s="70" t="n"/>
      <c r="H1110" s="62" t="str">
        <f>IF(COUNTA(A1110:G1110)=0,"",IF(C1110&lt;&gt;"",C1110,IF(B1110="","",IFERROR(INDEX(pr_des,MATCH(B1110,pr_code,0))&amp;"",""))))</f>
        <v/>
      </c>
      <c r="I1110" s="59" t="str">
        <f>IF(B1110="","",IFERROR(INDEX(pr_unit,MATCH(B1110,pr_code,0))&amp;"",""))</f>
        <v/>
      </c>
      <c r="J1110" s="65" t="str">
        <f>IF(COUNTA(A1110:G1110)=0,"",IF(E1110&lt;&gt;"",E1110,IF(B1110="","",IFERROR(IF(INDEX(pr_price,MATCH(B1110,pr_code,0))="","",INDEX(pr_price,MATCH(B1110,pr_code,0))),""))))</f>
        <v/>
      </c>
      <c r="K1110" s="71" t="str">
        <f>IF(COUNTA(A1110:G1110)=0,"",IF(G1110&lt;&gt;"",G1110,IF(B1110="","",IFERROR(IF(INDEX(pr_rate,MATCH(B1110,pr_code,0))="","",INDEX(pr_rate,MATCH(B1110,pr_code,0))),""))))</f>
        <v/>
      </c>
      <c r="L1110" s="65" t="str">
        <f>IF(COUNTA(A1110:G1110)=0,"",IF(AND(ISNUMBER(D1110),ISNUMBER(J1110)),ROUND(D1110*J1110*(1-N(F1110)),2),0))</f>
        <v/>
      </c>
      <c r="M1110" s="62" t="str">
        <f>IF(A1110="","",IFERROR(INDEX(fa_cname,MATCH(A1110,fa_num,0))&amp;"",""))</f>
        <v/>
      </c>
      <c r="N1110" s="59" t="str">
        <f>IF(COUNTA(A1110:G1110)=0,"",IF(A1110="","N° facture manquant",IF(ISNA(MATCH(A1110,fa_num,0)),"Facture inconnue",IF(AND(B1110&lt;&gt;"",ISNA(MATCH(B1110,pr_code,0))),"Article inconnu",IF(H1110="","Désignation manquante",IF(OR(NOT(ISNUMBER(D1110)),N(D1110)&lt;=0),"Quantité invalide",IF(J1110="","Prix manquant",IF(OR(NOT(ISNUMBER(J1110)),N(J1110)&lt;0),"Prix invalide",IF(OR(AND(F1110&lt;&gt;"",NOT(ISNUMBER(F1110))),N(F1110)&lt;0,N(F1110)&gt;1),"Remise invalide",IF(K1110="","Taux de TVA manquant",IF(NOT(ISNUMBER(K1110)),"Taux de TVA invalide",IF(COUNTIF(p_rates,K1110)=0,"Taux de TVA hors liste (Paramètres)",IF(N(O1110)&gt;25,"Au-delà de 25 lignes : non imprimée","OK")))))))))))))</f>
        <v/>
      </c>
      <c r="O1110" s="59" t="str">
        <f>IF(A1110="","",COUNTIF($A$6:A1110,A1110))</f>
        <v/>
      </c>
      <c r="P1110" s="62" t="str">
        <f>IF(A1110="","",A1110&amp;"|"&amp;O1110)</f>
        <v/>
      </c>
    </row>
    <row r="1111">
      <c r="A1111" s="60" t="n"/>
      <c r="B1111" s="63" t="n"/>
      <c r="C1111" s="63" t="n"/>
      <c r="D1111" s="67" t="n"/>
      <c r="E1111" s="68" t="n"/>
      <c r="F1111" s="69" t="n"/>
      <c r="G1111" s="70" t="n"/>
      <c r="H1111" s="62" t="str">
        <f>IF(COUNTA(A1111:G1111)=0,"",IF(C1111&lt;&gt;"",C1111,IF(B1111="","",IFERROR(INDEX(pr_des,MATCH(B1111,pr_code,0))&amp;"",""))))</f>
        <v/>
      </c>
      <c r="I1111" s="59" t="str">
        <f>IF(B1111="","",IFERROR(INDEX(pr_unit,MATCH(B1111,pr_code,0))&amp;"",""))</f>
        <v/>
      </c>
      <c r="J1111" s="65" t="str">
        <f>IF(COUNTA(A1111:G1111)=0,"",IF(E1111&lt;&gt;"",E1111,IF(B1111="","",IFERROR(IF(INDEX(pr_price,MATCH(B1111,pr_code,0))="","",INDEX(pr_price,MATCH(B1111,pr_code,0))),""))))</f>
        <v/>
      </c>
      <c r="K1111" s="71" t="str">
        <f>IF(COUNTA(A1111:G1111)=0,"",IF(G1111&lt;&gt;"",G1111,IF(B1111="","",IFERROR(IF(INDEX(pr_rate,MATCH(B1111,pr_code,0))="","",INDEX(pr_rate,MATCH(B1111,pr_code,0))),""))))</f>
        <v/>
      </c>
      <c r="L1111" s="65" t="str">
        <f>IF(COUNTA(A1111:G1111)=0,"",IF(AND(ISNUMBER(D1111),ISNUMBER(J1111)),ROUND(D1111*J1111*(1-N(F1111)),2),0))</f>
        <v/>
      </c>
      <c r="M1111" s="62" t="str">
        <f>IF(A1111="","",IFERROR(INDEX(fa_cname,MATCH(A1111,fa_num,0))&amp;"",""))</f>
        <v/>
      </c>
      <c r="N1111" s="59" t="str">
        <f>IF(COUNTA(A1111:G1111)=0,"",IF(A1111="","N° facture manquant",IF(ISNA(MATCH(A1111,fa_num,0)),"Facture inconnue",IF(AND(B1111&lt;&gt;"",ISNA(MATCH(B1111,pr_code,0))),"Article inconnu",IF(H1111="","Désignation manquante",IF(OR(NOT(ISNUMBER(D1111)),N(D1111)&lt;=0),"Quantité invalide",IF(J1111="","Prix manquant",IF(OR(NOT(ISNUMBER(J1111)),N(J1111)&lt;0),"Prix invalide",IF(OR(AND(F1111&lt;&gt;"",NOT(ISNUMBER(F1111))),N(F1111)&lt;0,N(F1111)&gt;1),"Remise invalide",IF(K1111="","Taux de TVA manquant",IF(NOT(ISNUMBER(K1111)),"Taux de TVA invalide",IF(COUNTIF(p_rates,K1111)=0,"Taux de TVA hors liste (Paramètres)",IF(N(O1111)&gt;25,"Au-delà de 25 lignes : non imprimée","OK")))))))))))))</f>
        <v/>
      </c>
      <c r="O1111" s="59" t="str">
        <f>IF(A1111="","",COUNTIF($A$6:A1111,A1111))</f>
        <v/>
      </c>
      <c r="P1111" s="62" t="str">
        <f>IF(A1111="","",A1111&amp;"|"&amp;O1111)</f>
        <v/>
      </c>
    </row>
    <row r="1112">
      <c r="A1112" s="60" t="n"/>
      <c r="B1112" s="63" t="n"/>
      <c r="C1112" s="63" t="n"/>
      <c r="D1112" s="67" t="n"/>
      <c r="E1112" s="68" t="n"/>
      <c r="F1112" s="69" t="n"/>
      <c r="G1112" s="70" t="n"/>
      <c r="H1112" s="62" t="str">
        <f>IF(COUNTA(A1112:G1112)=0,"",IF(C1112&lt;&gt;"",C1112,IF(B1112="","",IFERROR(INDEX(pr_des,MATCH(B1112,pr_code,0))&amp;"",""))))</f>
        <v/>
      </c>
      <c r="I1112" s="59" t="str">
        <f>IF(B1112="","",IFERROR(INDEX(pr_unit,MATCH(B1112,pr_code,0))&amp;"",""))</f>
        <v/>
      </c>
      <c r="J1112" s="65" t="str">
        <f>IF(COUNTA(A1112:G1112)=0,"",IF(E1112&lt;&gt;"",E1112,IF(B1112="","",IFERROR(IF(INDEX(pr_price,MATCH(B1112,pr_code,0))="","",INDEX(pr_price,MATCH(B1112,pr_code,0))),""))))</f>
        <v/>
      </c>
      <c r="K1112" s="71" t="str">
        <f>IF(COUNTA(A1112:G1112)=0,"",IF(G1112&lt;&gt;"",G1112,IF(B1112="","",IFERROR(IF(INDEX(pr_rate,MATCH(B1112,pr_code,0))="","",INDEX(pr_rate,MATCH(B1112,pr_code,0))),""))))</f>
        <v/>
      </c>
      <c r="L1112" s="65" t="str">
        <f>IF(COUNTA(A1112:G1112)=0,"",IF(AND(ISNUMBER(D1112),ISNUMBER(J1112)),ROUND(D1112*J1112*(1-N(F1112)),2),0))</f>
        <v/>
      </c>
      <c r="M1112" s="62" t="str">
        <f>IF(A1112="","",IFERROR(INDEX(fa_cname,MATCH(A1112,fa_num,0))&amp;"",""))</f>
        <v/>
      </c>
      <c r="N1112" s="59" t="str">
        <f>IF(COUNTA(A1112:G1112)=0,"",IF(A1112="","N° facture manquant",IF(ISNA(MATCH(A1112,fa_num,0)),"Facture inconnue",IF(AND(B1112&lt;&gt;"",ISNA(MATCH(B1112,pr_code,0))),"Article inconnu",IF(H1112="","Désignation manquante",IF(OR(NOT(ISNUMBER(D1112)),N(D1112)&lt;=0),"Quantité invalide",IF(J1112="","Prix manquant",IF(OR(NOT(ISNUMBER(J1112)),N(J1112)&lt;0),"Prix invalide",IF(OR(AND(F1112&lt;&gt;"",NOT(ISNUMBER(F1112))),N(F1112)&lt;0,N(F1112)&gt;1),"Remise invalide",IF(K1112="","Taux de TVA manquant",IF(NOT(ISNUMBER(K1112)),"Taux de TVA invalide",IF(COUNTIF(p_rates,K1112)=0,"Taux de TVA hors liste (Paramètres)",IF(N(O1112)&gt;25,"Au-delà de 25 lignes : non imprimée","OK")))))))))))))</f>
        <v/>
      </c>
      <c r="O1112" s="59" t="str">
        <f>IF(A1112="","",COUNTIF($A$6:A1112,A1112))</f>
        <v/>
      </c>
      <c r="P1112" s="62" t="str">
        <f>IF(A1112="","",A1112&amp;"|"&amp;O1112)</f>
        <v/>
      </c>
    </row>
    <row r="1113">
      <c r="A1113" s="60" t="n"/>
      <c r="B1113" s="63" t="n"/>
      <c r="C1113" s="63" t="n"/>
      <c r="D1113" s="67" t="n"/>
      <c r="E1113" s="68" t="n"/>
      <c r="F1113" s="69" t="n"/>
      <c r="G1113" s="70" t="n"/>
      <c r="H1113" s="62" t="str">
        <f>IF(COUNTA(A1113:G1113)=0,"",IF(C1113&lt;&gt;"",C1113,IF(B1113="","",IFERROR(INDEX(pr_des,MATCH(B1113,pr_code,0))&amp;"",""))))</f>
        <v/>
      </c>
      <c r="I1113" s="59" t="str">
        <f>IF(B1113="","",IFERROR(INDEX(pr_unit,MATCH(B1113,pr_code,0))&amp;"",""))</f>
        <v/>
      </c>
      <c r="J1113" s="65" t="str">
        <f>IF(COUNTA(A1113:G1113)=0,"",IF(E1113&lt;&gt;"",E1113,IF(B1113="","",IFERROR(IF(INDEX(pr_price,MATCH(B1113,pr_code,0))="","",INDEX(pr_price,MATCH(B1113,pr_code,0))),""))))</f>
        <v/>
      </c>
      <c r="K1113" s="71" t="str">
        <f>IF(COUNTA(A1113:G1113)=0,"",IF(G1113&lt;&gt;"",G1113,IF(B1113="","",IFERROR(IF(INDEX(pr_rate,MATCH(B1113,pr_code,0))="","",INDEX(pr_rate,MATCH(B1113,pr_code,0))),""))))</f>
        <v/>
      </c>
      <c r="L1113" s="65" t="str">
        <f>IF(COUNTA(A1113:G1113)=0,"",IF(AND(ISNUMBER(D1113),ISNUMBER(J1113)),ROUND(D1113*J1113*(1-N(F1113)),2),0))</f>
        <v/>
      </c>
      <c r="M1113" s="62" t="str">
        <f>IF(A1113="","",IFERROR(INDEX(fa_cname,MATCH(A1113,fa_num,0))&amp;"",""))</f>
        <v/>
      </c>
      <c r="N1113" s="59" t="str">
        <f>IF(COUNTA(A1113:G1113)=0,"",IF(A1113="","N° facture manquant",IF(ISNA(MATCH(A1113,fa_num,0)),"Facture inconnue",IF(AND(B1113&lt;&gt;"",ISNA(MATCH(B1113,pr_code,0))),"Article inconnu",IF(H1113="","Désignation manquante",IF(OR(NOT(ISNUMBER(D1113)),N(D1113)&lt;=0),"Quantité invalide",IF(J1113="","Prix manquant",IF(OR(NOT(ISNUMBER(J1113)),N(J1113)&lt;0),"Prix invalide",IF(OR(AND(F1113&lt;&gt;"",NOT(ISNUMBER(F1113))),N(F1113)&lt;0,N(F1113)&gt;1),"Remise invalide",IF(K1113="","Taux de TVA manquant",IF(NOT(ISNUMBER(K1113)),"Taux de TVA invalide",IF(COUNTIF(p_rates,K1113)=0,"Taux de TVA hors liste (Paramètres)",IF(N(O1113)&gt;25,"Au-delà de 25 lignes : non imprimée","OK")))))))))))))</f>
        <v/>
      </c>
      <c r="O1113" s="59" t="str">
        <f>IF(A1113="","",COUNTIF($A$6:A1113,A1113))</f>
        <v/>
      </c>
      <c r="P1113" s="62" t="str">
        <f>IF(A1113="","",A1113&amp;"|"&amp;O1113)</f>
        <v/>
      </c>
    </row>
    <row r="1114">
      <c r="A1114" s="60" t="n"/>
      <c r="B1114" s="63" t="n"/>
      <c r="C1114" s="63" t="n"/>
      <c r="D1114" s="67" t="n"/>
      <c r="E1114" s="68" t="n"/>
      <c r="F1114" s="69" t="n"/>
      <c r="G1114" s="70" t="n"/>
      <c r="H1114" s="62" t="str">
        <f>IF(COUNTA(A1114:G1114)=0,"",IF(C1114&lt;&gt;"",C1114,IF(B1114="","",IFERROR(INDEX(pr_des,MATCH(B1114,pr_code,0))&amp;"",""))))</f>
        <v/>
      </c>
      <c r="I1114" s="59" t="str">
        <f>IF(B1114="","",IFERROR(INDEX(pr_unit,MATCH(B1114,pr_code,0))&amp;"",""))</f>
        <v/>
      </c>
      <c r="J1114" s="65" t="str">
        <f>IF(COUNTA(A1114:G1114)=0,"",IF(E1114&lt;&gt;"",E1114,IF(B1114="","",IFERROR(IF(INDEX(pr_price,MATCH(B1114,pr_code,0))="","",INDEX(pr_price,MATCH(B1114,pr_code,0))),""))))</f>
        <v/>
      </c>
      <c r="K1114" s="71" t="str">
        <f>IF(COUNTA(A1114:G1114)=0,"",IF(G1114&lt;&gt;"",G1114,IF(B1114="","",IFERROR(IF(INDEX(pr_rate,MATCH(B1114,pr_code,0))="","",INDEX(pr_rate,MATCH(B1114,pr_code,0))),""))))</f>
        <v/>
      </c>
      <c r="L1114" s="65" t="str">
        <f>IF(COUNTA(A1114:G1114)=0,"",IF(AND(ISNUMBER(D1114),ISNUMBER(J1114)),ROUND(D1114*J1114*(1-N(F1114)),2),0))</f>
        <v/>
      </c>
      <c r="M1114" s="62" t="str">
        <f>IF(A1114="","",IFERROR(INDEX(fa_cname,MATCH(A1114,fa_num,0))&amp;"",""))</f>
        <v/>
      </c>
      <c r="N1114" s="59" t="str">
        <f>IF(COUNTA(A1114:G1114)=0,"",IF(A1114="","N° facture manquant",IF(ISNA(MATCH(A1114,fa_num,0)),"Facture inconnue",IF(AND(B1114&lt;&gt;"",ISNA(MATCH(B1114,pr_code,0))),"Article inconnu",IF(H1114="","Désignation manquante",IF(OR(NOT(ISNUMBER(D1114)),N(D1114)&lt;=0),"Quantité invalide",IF(J1114="","Prix manquant",IF(OR(NOT(ISNUMBER(J1114)),N(J1114)&lt;0),"Prix invalide",IF(OR(AND(F1114&lt;&gt;"",NOT(ISNUMBER(F1114))),N(F1114)&lt;0,N(F1114)&gt;1),"Remise invalide",IF(K1114="","Taux de TVA manquant",IF(NOT(ISNUMBER(K1114)),"Taux de TVA invalide",IF(COUNTIF(p_rates,K1114)=0,"Taux de TVA hors liste (Paramètres)",IF(N(O1114)&gt;25,"Au-delà de 25 lignes : non imprimée","OK")))))))))))))</f>
        <v/>
      </c>
      <c r="O1114" s="59" t="str">
        <f>IF(A1114="","",COUNTIF($A$6:A1114,A1114))</f>
        <v/>
      </c>
      <c r="P1114" s="62" t="str">
        <f>IF(A1114="","",A1114&amp;"|"&amp;O1114)</f>
        <v/>
      </c>
    </row>
    <row r="1115">
      <c r="A1115" s="60" t="n"/>
      <c r="B1115" s="63" t="n"/>
      <c r="C1115" s="63" t="n"/>
      <c r="D1115" s="67" t="n"/>
      <c r="E1115" s="68" t="n"/>
      <c r="F1115" s="69" t="n"/>
      <c r="G1115" s="70" t="n"/>
      <c r="H1115" s="62" t="str">
        <f>IF(COUNTA(A1115:G1115)=0,"",IF(C1115&lt;&gt;"",C1115,IF(B1115="","",IFERROR(INDEX(pr_des,MATCH(B1115,pr_code,0))&amp;"",""))))</f>
        <v/>
      </c>
      <c r="I1115" s="59" t="str">
        <f>IF(B1115="","",IFERROR(INDEX(pr_unit,MATCH(B1115,pr_code,0))&amp;"",""))</f>
        <v/>
      </c>
      <c r="J1115" s="65" t="str">
        <f>IF(COUNTA(A1115:G1115)=0,"",IF(E1115&lt;&gt;"",E1115,IF(B1115="","",IFERROR(IF(INDEX(pr_price,MATCH(B1115,pr_code,0))="","",INDEX(pr_price,MATCH(B1115,pr_code,0))),""))))</f>
        <v/>
      </c>
      <c r="K1115" s="71" t="str">
        <f>IF(COUNTA(A1115:G1115)=0,"",IF(G1115&lt;&gt;"",G1115,IF(B1115="","",IFERROR(IF(INDEX(pr_rate,MATCH(B1115,pr_code,0))="","",INDEX(pr_rate,MATCH(B1115,pr_code,0))),""))))</f>
        <v/>
      </c>
      <c r="L1115" s="65" t="str">
        <f>IF(COUNTA(A1115:G1115)=0,"",IF(AND(ISNUMBER(D1115),ISNUMBER(J1115)),ROUND(D1115*J1115*(1-N(F1115)),2),0))</f>
        <v/>
      </c>
      <c r="M1115" s="62" t="str">
        <f>IF(A1115="","",IFERROR(INDEX(fa_cname,MATCH(A1115,fa_num,0))&amp;"",""))</f>
        <v/>
      </c>
      <c r="N1115" s="59" t="str">
        <f>IF(COUNTA(A1115:G1115)=0,"",IF(A1115="","N° facture manquant",IF(ISNA(MATCH(A1115,fa_num,0)),"Facture inconnue",IF(AND(B1115&lt;&gt;"",ISNA(MATCH(B1115,pr_code,0))),"Article inconnu",IF(H1115="","Désignation manquante",IF(OR(NOT(ISNUMBER(D1115)),N(D1115)&lt;=0),"Quantité invalide",IF(J1115="","Prix manquant",IF(OR(NOT(ISNUMBER(J1115)),N(J1115)&lt;0),"Prix invalide",IF(OR(AND(F1115&lt;&gt;"",NOT(ISNUMBER(F1115))),N(F1115)&lt;0,N(F1115)&gt;1),"Remise invalide",IF(K1115="","Taux de TVA manquant",IF(NOT(ISNUMBER(K1115)),"Taux de TVA invalide",IF(COUNTIF(p_rates,K1115)=0,"Taux de TVA hors liste (Paramètres)",IF(N(O1115)&gt;25,"Au-delà de 25 lignes : non imprimée","OK")))))))))))))</f>
        <v/>
      </c>
      <c r="O1115" s="59" t="str">
        <f>IF(A1115="","",COUNTIF($A$6:A1115,A1115))</f>
        <v/>
      </c>
      <c r="P1115" s="62" t="str">
        <f>IF(A1115="","",A1115&amp;"|"&amp;O1115)</f>
        <v/>
      </c>
    </row>
    <row r="1116">
      <c r="A1116" s="60" t="n"/>
      <c r="B1116" s="63" t="n"/>
      <c r="C1116" s="63" t="n"/>
      <c r="D1116" s="67" t="n"/>
      <c r="E1116" s="68" t="n"/>
      <c r="F1116" s="69" t="n"/>
      <c r="G1116" s="70" t="n"/>
      <c r="H1116" s="62" t="str">
        <f>IF(COUNTA(A1116:G1116)=0,"",IF(C1116&lt;&gt;"",C1116,IF(B1116="","",IFERROR(INDEX(pr_des,MATCH(B1116,pr_code,0))&amp;"",""))))</f>
        <v/>
      </c>
      <c r="I1116" s="59" t="str">
        <f>IF(B1116="","",IFERROR(INDEX(pr_unit,MATCH(B1116,pr_code,0))&amp;"",""))</f>
        <v/>
      </c>
      <c r="J1116" s="65" t="str">
        <f>IF(COUNTA(A1116:G1116)=0,"",IF(E1116&lt;&gt;"",E1116,IF(B1116="","",IFERROR(IF(INDEX(pr_price,MATCH(B1116,pr_code,0))="","",INDEX(pr_price,MATCH(B1116,pr_code,0))),""))))</f>
        <v/>
      </c>
      <c r="K1116" s="71" t="str">
        <f>IF(COUNTA(A1116:G1116)=0,"",IF(G1116&lt;&gt;"",G1116,IF(B1116="","",IFERROR(IF(INDEX(pr_rate,MATCH(B1116,pr_code,0))="","",INDEX(pr_rate,MATCH(B1116,pr_code,0))),""))))</f>
        <v/>
      </c>
      <c r="L1116" s="65" t="str">
        <f>IF(COUNTA(A1116:G1116)=0,"",IF(AND(ISNUMBER(D1116),ISNUMBER(J1116)),ROUND(D1116*J1116*(1-N(F1116)),2),0))</f>
        <v/>
      </c>
      <c r="M1116" s="62" t="str">
        <f>IF(A1116="","",IFERROR(INDEX(fa_cname,MATCH(A1116,fa_num,0))&amp;"",""))</f>
        <v/>
      </c>
      <c r="N1116" s="59" t="str">
        <f>IF(COUNTA(A1116:G1116)=0,"",IF(A1116="","N° facture manquant",IF(ISNA(MATCH(A1116,fa_num,0)),"Facture inconnue",IF(AND(B1116&lt;&gt;"",ISNA(MATCH(B1116,pr_code,0))),"Article inconnu",IF(H1116="","Désignation manquante",IF(OR(NOT(ISNUMBER(D1116)),N(D1116)&lt;=0),"Quantité invalide",IF(J1116="","Prix manquant",IF(OR(NOT(ISNUMBER(J1116)),N(J1116)&lt;0),"Prix invalide",IF(OR(AND(F1116&lt;&gt;"",NOT(ISNUMBER(F1116))),N(F1116)&lt;0,N(F1116)&gt;1),"Remise invalide",IF(K1116="","Taux de TVA manquant",IF(NOT(ISNUMBER(K1116)),"Taux de TVA invalide",IF(COUNTIF(p_rates,K1116)=0,"Taux de TVA hors liste (Paramètres)",IF(N(O1116)&gt;25,"Au-delà de 25 lignes : non imprimée","OK")))))))))))))</f>
        <v/>
      </c>
      <c r="O1116" s="59" t="str">
        <f>IF(A1116="","",COUNTIF($A$6:A1116,A1116))</f>
        <v/>
      </c>
      <c r="P1116" s="62" t="str">
        <f>IF(A1116="","",A1116&amp;"|"&amp;O1116)</f>
        <v/>
      </c>
    </row>
    <row r="1117">
      <c r="A1117" s="60" t="n"/>
      <c r="B1117" s="63" t="n"/>
      <c r="C1117" s="63" t="n"/>
      <c r="D1117" s="67" t="n"/>
      <c r="E1117" s="68" t="n"/>
      <c r="F1117" s="69" t="n"/>
      <c r="G1117" s="70" t="n"/>
      <c r="H1117" s="62" t="str">
        <f>IF(COUNTA(A1117:G1117)=0,"",IF(C1117&lt;&gt;"",C1117,IF(B1117="","",IFERROR(INDEX(pr_des,MATCH(B1117,pr_code,0))&amp;"",""))))</f>
        <v/>
      </c>
      <c r="I1117" s="59" t="str">
        <f>IF(B1117="","",IFERROR(INDEX(pr_unit,MATCH(B1117,pr_code,0))&amp;"",""))</f>
        <v/>
      </c>
      <c r="J1117" s="65" t="str">
        <f>IF(COUNTA(A1117:G1117)=0,"",IF(E1117&lt;&gt;"",E1117,IF(B1117="","",IFERROR(IF(INDEX(pr_price,MATCH(B1117,pr_code,0))="","",INDEX(pr_price,MATCH(B1117,pr_code,0))),""))))</f>
        <v/>
      </c>
      <c r="K1117" s="71" t="str">
        <f>IF(COUNTA(A1117:G1117)=0,"",IF(G1117&lt;&gt;"",G1117,IF(B1117="","",IFERROR(IF(INDEX(pr_rate,MATCH(B1117,pr_code,0))="","",INDEX(pr_rate,MATCH(B1117,pr_code,0))),""))))</f>
        <v/>
      </c>
      <c r="L1117" s="65" t="str">
        <f>IF(COUNTA(A1117:G1117)=0,"",IF(AND(ISNUMBER(D1117),ISNUMBER(J1117)),ROUND(D1117*J1117*(1-N(F1117)),2),0))</f>
        <v/>
      </c>
      <c r="M1117" s="62" t="str">
        <f>IF(A1117="","",IFERROR(INDEX(fa_cname,MATCH(A1117,fa_num,0))&amp;"",""))</f>
        <v/>
      </c>
      <c r="N1117" s="59" t="str">
        <f>IF(COUNTA(A1117:G1117)=0,"",IF(A1117="","N° facture manquant",IF(ISNA(MATCH(A1117,fa_num,0)),"Facture inconnue",IF(AND(B1117&lt;&gt;"",ISNA(MATCH(B1117,pr_code,0))),"Article inconnu",IF(H1117="","Désignation manquante",IF(OR(NOT(ISNUMBER(D1117)),N(D1117)&lt;=0),"Quantité invalide",IF(J1117="","Prix manquant",IF(OR(NOT(ISNUMBER(J1117)),N(J1117)&lt;0),"Prix invalide",IF(OR(AND(F1117&lt;&gt;"",NOT(ISNUMBER(F1117))),N(F1117)&lt;0,N(F1117)&gt;1),"Remise invalide",IF(K1117="","Taux de TVA manquant",IF(NOT(ISNUMBER(K1117)),"Taux de TVA invalide",IF(COUNTIF(p_rates,K1117)=0,"Taux de TVA hors liste (Paramètres)",IF(N(O1117)&gt;25,"Au-delà de 25 lignes : non imprimée","OK")))))))))))))</f>
        <v/>
      </c>
      <c r="O1117" s="59" t="str">
        <f>IF(A1117="","",COUNTIF($A$6:A1117,A1117))</f>
        <v/>
      </c>
      <c r="P1117" s="62" t="str">
        <f>IF(A1117="","",A1117&amp;"|"&amp;O1117)</f>
        <v/>
      </c>
    </row>
    <row r="1118">
      <c r="A1118" s="60" t="n"/>
      <c r="B1118" s="63" t="n"/>
      <c r="C1118" s="63" t="n"/>
      <c r="D1118" s="67" t="n"/>
      <c r="E1118" s="68" t="n"/>
      <c r="F1118" s="69" t="n"/>
      <c r="G1118" s="70" t="n"/>
      <c r="H1118" s="62" t="str">
        <f>IF(COUNTA(A1118:G1118)=0,"",IF(C1118&lt;&gt;"",C1118,IF(B1118="","",IFERROR(INDEX(pr_des,MATCH(B1118,pr_code,0))&amp;"",""))))</f>
        <v/>
      </c>
      <c r="I1118" s="59" t="str">
        <f>IF(B1118="","",IFERROR(INDEX(pr_unit,MATCH(B1118,pr_code,0))&amp;"",""))</f>
        <v/>
      </c>
      <c r="J1118" s="65" t="str">
        <f>IF(COUNTA(A1118:G1118)=0,"",IF(E1118&lt;&gt;"",E1118,IF(B1118="","",IFERROR(IF(INDEX(pr_price,MATCH(B1118,pr_code,0))="","",INDEX(pr_price,MATCH(B1118,pr_code,0))),""))))</f>
        <v/>
      </c>
      <c r="K1118" s="71" t="str">
        <f>IF(COUNTA(A1118:G1118)=0,"",IF(G1118&lt;&gt;"",G1118,IF(B1118="","",IFERROR(IF(INDEX(pr_rate,MATCH(B1118,pr_code,0))="","",INDEX(pr_rate,MATCH(B1118,pr_code,0))),""))))</f>
        <v/>
      </c>
      <c r="L1118" s="65" t="str">
        <f>IF(COUNTA(A1118:G1118)=0,"",IF(AND(ISNUMBER(D1118),ISNUMBER(J1118)),ROUND(D1118*J1118*(1-N(F1118)),2),0))</f>
        <v/>
      </c>
      <c r="M1118" s="62" t="str">
        <f>IF(A1118="","",IFERROR(INDEX(fa_cname,MATCH(A1118,fa_num,0))&amp;"",""))</f>
        <v/>
      </c>
      <c r="N1118" s="59" t="str">
        <f>IF(COUNTA(A1118:G1118)=0,"",IF(A1118="","N° facture manquant",IF(ISNA(MATCH(A1118,fa_num,0)),"Facture inconnue",IF(AND(B1118&lt;&gt;"",ISNA(MATCH(B1118,pr_code,0))),"Article inconnu",IF(H1118="","Désignation manquante",IF(OR(NOT(ISNUMBER(D1118)),N(D1118)&lt;=0),"Quantité invalide",IF(J1118="","Prix manquant",IF(OR(NOT(ISNUMBER(J1118)),N(J1118)&lt;0),"Prix invalide",IF(OR(AND(F1118&lt;&gt;"",NOT(ISNUMBER(F1118))),N(F1118)&lt;0,N(F1118)&gt;1),"Remise invalide",IF(K1118="","Taux de TVA manquant",IF(NOT(ISNUMBER(K1118)),"Taux de TVA invalide",IF(COUNTIF(p_rates,K1118)=0,"Taux de TVA hors liste (Paramètres)",IF(N(O1118)&gt;25,"Au-delà de 25 lignes : non imprimée","OK")))))))))))))</f>
        <v/>
      </c>
      <c r="O1118" s="59" t="str">
        <f>IF(A1118="","",COUNTIF($A$6:A1118,A1118))</f>
        <v/>
      </c>
      <c r="P1118" s="62" t="str">
        <f>IF(A1118="","",A1118&amp;"|"&amp;O1118)</f>
        <v/>
      </c>
    </row>
    <row r="1119">
      <c r="A1119" s="60" t="n"/>
      <c r="B1119" s="63" t="n"/>
      <c r="C1119" s="63" t="n"/>
      <c r="D1119" s="67" t="n"/>
      <c r="E1119" s="68" t="n"/>
      <c r="F1119" s="69" t="n"/>
      <c r="G1119" s="70" t="n"/>
      <c r="H1119" s="62" t="str">
        <f>IF(COUNTA(A1119:G1119)=0,"",IF(C1119&lt;&gt;"",C1119,IF(B1119="","",IFERROR(INDEX(pr_des,MATCH(B1119,pr_code,0))&amp;"",""))))</f>
        <v/>
      </c>
      <c r="I1119" s="59" t="str">
        <f>IF(B1119="","",IFERROR(INDEX(pr_unit,MATCH(B1119,pr_code,0))&amp;"",""))</f>
        <v/>
      </c>
      <c r="J1119" s="65" t="str">
        <f>IF(COUNTA(A1119:G1119)=0,"",IF(E1119&lt;&gt;"",E1119,IF(B1119="","",IFERROR(IF(INDEX(pr_price,MATCH(B1119,pr_code,0))="","",INDEX(pr_price,MATCH(B1119,pr_code,0))),""))))</f>
        <v/>
      </c>
      <c r="K1119" s="71" t="str">
        <f>IF(COUNTA(A1119:G1119)=0,"",IF(G1119&lt;&gt;"",G1119,IF(B1119="","",IFERROR(IF(INDEX(pr_rate,MATCH(B1119,pr_code,0))="","",INDEX(pr_rate,MATCH(B1119,pr_code,0))),""))))</f>
        <v/>
      </c>
      <c r="L1119" s="65" t="str">
        <f>IF(COUNTA(A1119:G1119)=0,"",IF(AND(ISNUMBER(D1119),ISNUMBER(J1119)),ROUND(D1119*J1119*(1-N(F1119)),2),0))</f>
        <v/>
      </c>
      <c r="M1119" s="62" t="str">
        <f>IF(A1119="","",IFERROR(INDEX(fa_cname,MATCH(A1119,fa_num,0))&amp;"",""))</f>
        <v/>
      </c>
      <c r="N1119" s="59" t="str">
        <f>IF(COUNTA(A1119:G1119)=0,"",IF(A1119="","N° facture manquant",IF(ISNA(MATCH(A1119,fa_num,0)),"Facture inconnue",IF(AND(B1119&lt;&gt;"",ISNA(MATCH(B1119,pr_code,0))),"Article inconnu",IF(H1119="","Désignation manquante",IF(OR(NOT(ISNUMBER(D1119)),N(D1119)&lt;=0),"Quantité invalide",IF(J1119="","Prix manquant",IF(OR(NOT(ISNUMBER(J1119)),N(J1119)&lt;0),"Prix invalide",IF(OR(AND(F1119&lt;&gt;"",NOT(ISNUMBER(F1119))),N(F1119)&lt;0,N(F1119)&gt;1),"Remise invalide",IF(K1119="","Taux de TVA manquant",IF(NOT(ISNUMBER(K1119)),"Taux de TVA invalide",IF(COUNTIF(p_rates,K1119)=0,"Taux de TVA hors liste (Paramètres)",IF(N(O1119)&gt;25,"Au-delà de 25 lignes : non imprimée","OK")))))))))))))</f>
        <v/>
      </c>
      <c r="O1119" s="59" t="str">
        <f>IF(A1119="","",COUNTIF($A$6:A1119,A1119))</f>
        <v/>
      </c>
      <c r="P1119" s="62" t="str">
        <f>IF(A1119="","",A1119&amp;"|"&amp;O1119)</f>
        <v/>
      </c>
    </row>
    <row r="1120">
      <c r="A1120" s="60" t="n"/>
      <c r="B1120" s="63" t="n"/>
      <c r="C1120" s="63" t="n"/>
      <c r="D1120" s="67" t="n"/>
      <c r="E1120" s="68" t="n"/>
      <c r="F1120" s="69" t="n"/>
      <c r="G1120" s="70" t="n"/>
      <c r="H1120" s="62" t="str">
        <f>IF(COUNTA(A1120:G1120)=0,"",IF(C1120&lt;&gt;"",C1120,IF(B1120="","",IFERROR(INDEX(pr_des,MATCH(B1120,pr_code,0))&amp;"",""))))</f>
        <v/>
      </c>
      <c r="I1120" s="59" t="str">
        <f>IF(B1120="","",IFERROR(INDEX(pr_unit,MATCH(B1120,pr_code,0))&amp;"",""))</f>
        <v/>
      </c>
      <c r="J1120" s="65" t="str">
        <f>IF(COUNTA(A1120:G1120)=0,"",IF(E1120&lt;&gt;"",E1120,IF(B1120="","",IFERROR(IF(INDEX(pr_price,MATCH(B1120,pr_code,0))="","",INDEX(pr_price,MATCH(B1120,pr_code,0))),""))))</f>
        <v/>
      </c>
      <c r="K1120" s="71" t="str">
        <f>IF(COUNTA(A1120:G1120)=0,"",IF(G1120&lt;&gt;"",G1120,IF(B1120="","",IFERROR(IF(INDEX(pr_rate,MATCH(B1120,pr_code,0))="","",INDEX(pr_rate,MATCH(B1120,pr_code,0))),""))))</f>
        <v/>
      </c>
      <c r="L1120" s="65" t="str">
        <f>IF(COUNTA(A1120:G1120)=0,"",IF(AND(ISNUMBER(D1120),ISNUMBER(J1120)),ROUND(D1120*J1120*(1-N(F1120)),2),0))</f>
        <v/>
      </c>
      <c r="M1120" s="62" t="str">
        <f>IF(A1120="","",IFERROR(INDEX(fa_cname,MATCH(A1120,fa_num,0))&amp;"",""))</f>
        <v/>
      </c>
      <c r="N1120" s="59" t="str">
        <f>IF(COUNTA(A1120:G1120)=0,"",IF(A1120="","N° facture manquant",IF(ISNA(MATCH(A1120,fa_num,0)),"Facture inconnue",IF(AND(B1120&lt;&gt;"",ISNA(MATCH(B1120,pr_code,0))),"Article inconnu",IF(H1120="","Désignation manquante",IF(OR(NOT(ISNUMBER(D1120)),N(D1120)&lt;=0),"Quantité invalide",IF(J1120="","Prix manquant",IF(OR(NOT(ISNUMBER(J1120)),N(J1120)&lt;0),"Prix invalide",IF(OR(AND(F1120&lt;&gt;"",NOT(ISNUMBER(F1120))),N(F1120)&lt;0,N(F1120)&gt;1),"Remise invalide",IF(K1120="","Taux de TVA manquant",IF(NOT(ISNUMBER(K1120)),"Taux de TVA invalide",IF(COUNTIF(p_rates,K1120)=0,"Taux de TVA hors liste (Paramètres)",IF(N(O1120)&gt;25,"Au-delà de 25 lignes : non imprimée","OK")))))))))))))</f>
        <v/>
      </c>
      <c r="O1120" s="59" t="str">
        <f>IF(A1120="","",COUNTIF($A$6:A1120,A1120))</f>
        <v/>
      </c>
      <c r="P1120" s="62" t="str">
        <f>IF(A1120="","",A1120&amp;"|"&amp;O1120)</f>
        <v/>
      </c>
    </row>
    <row r="1121">
      <c r="A1121" s="60" t="n"/>
      <c r="B1121" s="63" t="n"/>
      <c r="C1121" s="63" t="n"/>
      <c r="D1121" s="67" t="n"/>
      <c r="E1121" s="68" t="n"/>
      <c r="F1121" s="69" t="n"/>
      <c r="G1121" s="70" t="n"/>
      <c r="H1121" s="62" t="str">
        <f>IF(COUNTA(A1121:G1121)=0,"",IF(C1121&lt;&gt;"",C1121,IF(B1121="","",IFERROR(INDEX(pr_des,MATCH(B1121,pr_code,0))&amp;"",""))))</f>
        <v/>
      </c>
      <c r="I1121" s="59" t="str">
        <f>IF(B1121="","",IFERROR(INDEX(pr_unit,MATCH(B1121,pr_code,0))&amp;"",""))</f>
        <v/>
      </c>
      <c r="J1121" s="65" t="str">
        <f>IF(COUNTA(A1121:G1121)=0,"",IF(E1121&lt;&gt;"",E1121,IF(B1121="","",IFERROR(IF(INDEX(pr_price,MATCH(B1121,pr_code,0))="","",INDEX(pr_price,MATCH(B1121,pr_code,0))),""))))</f>
        <v/>
      </c>
      <c r="K1121" s="71" t="str">
        <f>IF(COUNTA(A1121:G1121)=0,"",IF(G1121&lt;&gt;"",G1121,IF(B1121="","",IFERROR(IF(INDEX(pr_rate,MATCH(B1121,pr_code,0))="","",INDEX(pr_rate,MATCH(B1121,pr_code,0))),""))))</f>
        <v/>
      </c>
      <c r="L1121" s="65" t="str">
        <f>IF(COUNTA(A1121:G1121)=0,"",IF(AND(ISNUMBER(D1121),ISNUMBER(J1121)),ROUND(D1121*J1121*(1-N(F1121)),2),0))</f>
        <v/>
      </c>
      <c r="M1121" s="62" t="str">
        <f>IF(A1121="","",IFERROR(INDEX(fa_cname,MATCH(A1121,fa_num,0))&amp;"",""))</f>
        <v/>
      </c>
      <c r="N1121" s="59" t="str">
        <f>IF(COUNTA(A1121:G1121)=0,"",IF(A1121="","N° facture manquant",IF(ISNA(MATCH(A1121,fa_num,0)),"Facture inconnue",IF(AND(B1121&lt;&gt;"",ISNA(MATCH(B1121,pr_code,0))),"Article inconnu",IF(H1121="","Désignation manquante",IF(OR(NOT(ISNUMBER(D1121)),N(D1121)&lt;=0),"Quantité invalide",IF(J1121="","Prix manquant",IF(OR(NOT(ISNUMBER(J1121)),N(J1121)&lt;0),"Prix invalide",IF(OR(AND(F1121&lt;&gt;"",NOT(ISNUMBER(F1121))),N(F1121)&lt;0,N(F1121)&gt;1),"Remise invalide",IF(K1121="","Taux de TVA manquant",IF(NOT(ISNUMBER(K1121)),"Taux de TVA invalide",IF(COUNTIF(p_rates,K1121)=0,"Taux de TVA hors liste (Paramètres)",IF(N(O1121)&gt;25,"Au-delà de 25 lignes : non imprimée","OK")))))))))))))</f>
        <v/>
      </c>
      <c r="O1121" s="59" t="str">
        <f>IF(A1121="","",COUNTIF($A$6:A1121,A1121))</f>
        <v/>
      </c>
      <c r="P1121" s="62" t="str">
        <f>IF(A1121="","",A1121&amp;"|"&amp;O1121)</f>
        <v/>
      </c>
    </row>
    <row r="1122">
      <c r="A1122" s="60" t="n"/>
      <c r="B1122" s="63" t="n"/>
      <c r="C1122" s="63" t="n"/>
      <c r="D1122" s="67" t="n"/>
      <c r="E1122" s="68" t="n"/>
      <c r="F1122" s="69" t="n"/>
      <c r="G1122" s="70" t="n"/>
      <c r="H1122" s="62" t="str">
        <f>IF(COUNTA(A1122:G1122)=0,"",IF(C1122&lt;&gt;"",C1122,IF(B1122="","",IFERROR(INDEX(pr_des,MATCH(B1122,pr_code,0))&amp;"",""))))</f>
        <v/>
      </c>
      <c r="I1122" s="59" t="str">
        <f>IF(B1122="","",IFERROR(INDEX(pr_unit,MATCH(B1122,pr_code,0))&amp;"",""))</f>
        <v/>
      </c>
      <c r="J1122" s="65" t="str">
        <f>IF(COUNTA(A1122:G1122)=0,"",IF(E1122&lt;&gt;"",E1122,IF(B1122="","",IFERROR(IF(INDEX(pr_price,MATCH(B1122,pr_code,0))="","",INDEX(pr_price,MATCH(B1122,pr_code,0))),""))))</f>
        <v/>
      </c>
      <c r="K1122" s="71" t="str">
        <f>IF(COUNTA(A1122:G1122)=0,"",IF(G1122&lt;&gt;"",G1122,IF(B1122="","",IFERROR(IF(INDEX(pr_rate,MATCH(B1122,pr_code,0))="","",INDEX(pr_rate,MATCH(B1122,pr_code,0))),""))))</f>
        <v/>
      </c>
      <c r="L1122" s="65" t="str">
        <f>IF(COUNTA(A1122:G1122)=0,"",IF(AND(ISNUMBER(D1122),ISNUMBER(J1122)),ROUND(D1122*J1122*(1-N(F1122)),2),0))</f>
        <v/>
      </c>
      <c r="M1122" s="62" t="str">
        <f>IF(A1122="","",IFERROR(INDEX(fa_cname,MATCH(A1122,fa_num,0))&amp;"",""))</f>
        <v/>
      </c>
      <c r="N1122" s="59" t="str">
        <f>IF(COUNTA(A1122:G1122)=0,"",IF(A1122="","N° facture manquant",IF(ISNA(MATCH(A1122,fa_num,0)),"Facture inconnue",IF(AND(B1122&lt;&gt;"",ISNA(MATCH(B1122,pr_code,0))),"Article inconnu",IF(H1122="","Désignation manquante",IF(OR(NOT(ISNUMBER(D1122)),N(D1122)&lt;=0),"Quantité invalide",IF(J1122="","Prix manquant",IF(OR(NOT(ISNUMBER(J1122)),N(J1122)&lt;0),"Prix invalide",IF(OR(AND(F1122&lt;&gt;"",NOT(ISNUMBER(F1122))),N(F1122)&lt;0,N(F1122)&gt;1),"Remise invalide",IF(K1122="","Taux de TVA manquant",IF(NOT(ISNUMBER(K1122)),"Taux de TVA invalide",IF(COUNTIF(p_rates,K1122)=0,"Taux de TVA hors liste (Paramètres)",IF(N(O1122)&gt;25,"Au-delà de 25 lignes : non imprimée","OK")))))))))))))</f>
        <v/>
      </c>
      <c r="O1122" s="59" t="str">
        <f>IF(A1122="","",COUNTIF($A$6:A1122,A1122))</f>
        <v/>
      </c>
      <c r="P1122" s="62" t="str">
        <f>IF(A1122="","",A1122&amp;"|"&amp;O1122)</f>
        <v/>
      </c>
    </row>
    <row r="1123">
      <c r="A1123" s="60" t="n"/>
      <c r="B1123" s="63" t="n"/>
      <c r="C1123" s="63" t="n"/>
      <c r="D1123" s="67" t="n"/>
      <c r="E1123" s="68" t="n"/>
      <c r="F1123" s="69" t="n"/>
      <c r="G1123" s="70" t="n"/>
      <c r="H1123" s="62" t="str">
        <f>IF(COUNTA(A1123:G1123)=0,"",IF(C1123&lt;&gt;"",C1123,IF(B1123="","",IFERROR(INDEX(pr_des,MATCH(B1123,pr_code,0))&amp;"",""))))</f>
        <v/>
      </c>
      <c r="I1123" s="59" t="str">
        <f>IF(B1123="","",IFERROR(INDEX(pr_unit,MATCH(B1123,pr_code,0))&amp;"",""))</f>
        <v/>
      </c>
      <c r="J1123" s="65" t="str">
        <f>IF(COUNTA(A1123:G1123)=0,"",IF(E1123&lt;&gt;"",E1123,IF(B1123="","",IFERROR(IF(INDEX(pr_price,MATCH(B1123,pr_code,0))="","",INDEX(pr_price,MATCH(B1123,pr_code,0))),""))))</f>
        <v/>
      </c>
      <c r="K1123" s="71" t="str">
        <f>IF(COUNTA(A1123:G1123)=0,"",IF(G1123&lt;&gt;"",G1123,IF(B1123="","",IFERROR(IF(INDEX(pr_rate,MATCH(B1123,pr_code,0))="","",INDEX(pr_rate,MATCH(B1123,pr_code,0))),""))))</f>
        <v/>
      </c>
      <c r="L1123" s="65" t="str">
        <f>IF(COUNTA(A1123:G1123)=0,"",IF(AND(ISNUMBER(D1123),ISNUMBER(J1123)),ROUND(D1123*J1123*(1-N(F1123)),2),0))</f>
        <v/>
      </c>
      <c r="M1123" s="62" t="str">
        <f>IF(A1123="","",IFERROR(INDEX(fa_cname,MATCH(A1123,fa_num,0))&amp;"",""))</f>
        <v/>
      </c>
      <c r="N1123" s="59" t="str">
        <f>IF(COUNTA(A1123:G1123)=0,"",IF(A1123="","N° facture manquant",IF(ISNA(MATCH(A1123,fa_num,0)),"Facture inconnue",IF(AND(B1123&lt;&gt;"",ISNA(MATCH(B1123,pr_code,0))),"Article inconnu",IF(H1123="","Désignation manquante",IF(OR(NOT(ISNUMBER(D1123)),N(D1123)&lt;=0),"Quantité invalide",IF(J1123="","Prix manquant",IF(OR(NOT(ISNUMBER(J1123)),N(J1123)&lt;0),"Prix invalide",IF(OR(AND(F1123&lt;&gt;"",NOT(ISNUMBER(F1123))),N(F1123)&lt;0,N(F1123)&gt;1),"Remise invalide",IF(K1123="","Taux de TVA manquant",IF(NOT(ISNUMBER(K1123)),"Taux de TVA invalide",IF(COUNTIF(p_rates,K1123)=0,"Taux de TVA hors liste (Paramètres)",IF(N(O1123)&gt;25,"Au-delà de 25 lignes : non imprimée","OK")))))))))))))</f>
        <v/>
      </c>
      <c r="O1123" s="59" t="str">
        <f>IF(A1123="","",COUNTIF($A$6:A1123,A1123))</f>
        <v/>
      </c>
      <c r="P1123" s="62" t="str">
        <f>IF(A1123="","",A1123&amp;"|"&amp;O1123)</f>
        <v/>
      </c>
    </row>
    <row r="1124">
      <c r="A1124" s="60" t="n"/>
      <c r="B1124" s="63" t="n"/>
      <c r="C1124" s="63" t="n"/>
      <c r="D1124" s="67" t="n"/>
      <c r="E1124" s="68" t="n"/>
      <c r="F1124" s="69" t="n"/>
      <c r="G1124" s="70" t="n"/>
      <c r="H1124" s="62" t="str">
        <f>IF(COUNTA(A1124:G1124)=0,"",IF(C1124&lt;&gt;"",C1124,IF(B1124="","",IFERROR(INDEX(pr_des,MATCH(B1124,pr_code,0))&amp;"",""))))</f>
        <v/>
      </c>
      <c r="I1124" s="59" t="str">
        <f>IF(B1124="","",IFERROR(INDEX(pr_unit,MATCH(B1124,pr_code,0))&amp;"",""))</f>
        <v/>
      </c>
      <c r="J1124" s="65" t="str">
        <f>IF(COUNTA(A1124:G1124)=0,"",IF(E1124&lt;&gt;"",E1124,IF(B1124="","",IFERROR(IF(INDEX(pr_price,MATCH(B1124,pr_code,0))="","",INDEX(pr_price,MATCH(B1124,pr_code,0))),""))))</f>
        <v/>
      </c>
      <c r="K1124" s="71" t="str">
        <f>IF(COUNTA(A1124:G1124)=0,"",IF(G1124&lt;&gt;"",G1124,IF(B1124="","",IFERROR(IF(INDEX(pr_rate,MATCH(B1124,pr_code,0))="","",INDEX(pr_rate,MATCH(B1124,pr_code,0))),""))))</f>
        <v/>
      </c>
      <c r="L1124" s="65" t="str">
        <f>IF(COUNTA(A1124:G1124)=0,"",IF(AND(ISNUMBER(D1124),ISNUMBER(J1124)),ROUND(D1124*J1124*(1-N(F1124)),2),0))</f>
        <v/>
      </c>
      <c r="M1124" s="62" t="str">
        <f>IF(A1124="","",IFERROR(INDEX(fa_cname,MATCH(A1124,fa_num,0))&amp;"",""))</f>
        <v/>
      </c>
      <c r="N1124" s="59" t="str">
        <f>IF(COUNTA(A1124:G1124)=0,"",IF(A1124="","N° facture manquant",IF(ISNA(MATCH(A1124,fa_num,0)),"Facture inconnue",IF(AND(B1124&lt;&gt;"",ISNA(MATCH(B1124,pr_code,0))),"Article inconnu",IF(H1124="","Désignation manquante",IF(OR(NOT(ISNUMBER(D1124)),N(D1124)&lt;=0),"Quantité invalide",IF(J1124="","Prix manquant",IF(OR(NOT(ISNUMBER(J1124)),N(J1124)&lt;0),"Prix invalide",IF(OR(AND(F1124&lt;&gt;"",NOT(ISNUMBER(F1124))),N(F1124)&lt;0,N(F1124)&gt;1),"Remise invalide",IF(K1124="","Taux de TVA manquant",IF(NOT(ISNUMBER(K1124)),"Taux de TVA invalide",IF(COUNTIF(p_rates,K1124)=0,"Taux de TVA hors liste (Paramètres)",IF(N(O1124)&gt;25,"Au-delà de 25 lignes : non imprimée","OK")))))))))))))</f>
        <v/>
      </c>
      <c r="O1124" s="59" t="str">
        <f>IF(A1124="","",COUNTIF($A$6:A1124,A1124))</f>
        <v/>
      </c>
      <c r="P1124" s="62" t="str">
        <f>IF(A1124="","",A1124&amp;"|"&amp;O1124)</f>
        <v/>
      </c>
    </row>
    <row r="1125">
      <c r="A1125" s="60" t="n"/>
      <c r="B1125" s="63" t="n"/>
      <c r="C1125" s="63" t="n"/>
      <c r="D1125" s="67" t="n"/>
      <c r="E1125" s="68" t="n"/>
      <c r="F1125" s="69" t="n"/>
      <c r="G1125" s="70" t="n"/>
      <c r="H1125" s="62" t="str">
        <f>IF(COUNTA(A1125:G1125)=0,"",IF(C1125&lt;&gt;"",C1125,IF(B1125="","",IFERROR(INDEX(pr_des,MATCH(B1125,pr_code,0))&amp;"",""))))</f>
        <v/>
      </c>
      <c r="I1125" s="59" t="str">
        <f>IF(B1125="","",IFERROR(INDEX(pr_unit,MATCH(B1125,pr_code,0))&amp;"",""))</f>
        <v/>
      </c>
      <c r="J1125" s="65" t="str">
        <f>IF(COUNTA(A1125:G1125)=0,"",IF(E1125&lt;&gt;"",E1125,IF(B1125="","",IFERROR(IF(INDEX(pr_price,MATCH(B1125,pr_code,0))="","",INDEX(pr_price,MATCH(B1125,pr_code,0))),""))))</f>
        <v/>
      </c>
      <c r="K1125" s="71" t="str">
        <f>IF(COUNTA(A1125:G1125)=0,"",IF(G1125&lt;&gt;"",G1125,IF(B1125="","",IFERROR(IF(INDEX(pr_rate,MATCH(B1125,pr_code,0))="","",INDEX(pr_rate,MATCH(B1125,pr_code,0))),""))))</f>
        <v/>
      </c>
      <c r="L1125" s="65" t="str">
        <f>IF(COUNTA(A1125:G1125)=0,"",IF(AND(ISNUMBER(D1125),ISNUMBER(J1125)),ROUND(D1125*J1125*(1-N(F1125)),2),0))</f>
        <v/>
      </c>
      <c r="M1125" s="62" t="str">
        <f>IF(A1125="","",IFERROR(INDEX(fa_cname,MATCH(A1125,fa_num,0))&amp;"",""))</f>
        <v/>
      </c>
      <c r="N1125" s="59" t="str">
        <f>IF(COUNTA(A1125:G1125)=0,"",IF(A1125="","N° facture manquant",IF(ISNA(MATCH(A1125,fa_num,0)),"Facture inconnue",IF(AND(B1125&lt;&gt;"",ISNA(MATCH(B1125,pr_code,0))),"Article inconnu",IF(H1125="","Désignation manquante",IF(OR(NOT(ISNUMBER(D1125)),N(D1125)&lt;=0),"Quantité invalide",IF(J1125="","Prix manquant",IF(OR(NOT(ISNUMBER(J1125)),N(J1125)&lt;0),"Prix invalide",IF(OR(AND(F1125&lt;&gt;"",NOT(ISNUMBER(F1125))),N(F1125)&lt;0,N(F1125)&gt;1),"Remise invalide",IF(K1125="","Taux de TVA manquant",IF(NOT(ISNUMBER(K1125)),"Taux de TVA invalide",IF(COUNTIF(p_rates,K1125)=0,"Taux de TVA hors liste (Paramètres)",IF(N(O1125)&gt;25,"Au-delà de 25 lignes : non imprimée","OK")))))))))))))</f>
        <v/>
      </c>
      <c r="O1125" s="59" t="str">
        <f>IF(A1125="","",COUNTIF($A$6:A1125,A1125))</f>
        <v/>
      </c>
      <c r="P1125" s="62" t="str">
        <f>IF(A1125="","",A1125&amp;"|"&amp;O1125)</f>
        <v/>
      </c>
    </row>
    <row r="1126">
      <c r="A1126" s="60" t="n"/>
      <c r="B1126" s="63" t="n"/>
      <c r="C1126" s="63" t="n"/>
      <c r="D1126" s="67" t="n"/>
      <c r="E1126" s="68" t="n"/>
      <c r="F1126" s="69" t="n"/>
      <c r="G1126" s="70" t="n"/>
      <c r="H1126" s="62" t="str">
        <f>IF(COUNTA(A1126:G1126)=0,"",IF(C1126&lt;&gt;"",C1126,IF(B1126="","",IFERROR(INDEX(pr_des,MATCH(B1126,pr_code,0))&amp;"",""))))</f>
        <v/>
      </c>
      <c r="I1126" s="59" t="str">
        <f>IF(B1126="","",IFERROR(INDEX(pr_unit,MATCH(B1126,pr_code,0))&amp;"",""))</f>
        <v/>
      </c>
      <c r="J1126" s="65" t="str">
        <f>IF(COUNTA(A1126:G1126)=0,"",IF(E1126&lt;&gt;"",E1126,IF(B1126="","",IFERROR(IF(INDEX(pr_price,MATCH(B1126,pr_code,0))="","",INDEX(pr_price,MATCH(B1126,pr_code,0))),""))))</f>
        <v/>
      </c>
      <c r="K1126" s="71" t="str">
        <f>IF(COUNTA(A1126:G1126)=0,"",IF(G1126&lt;&gt;"",G1126,IF(B1126="","",IFERROR(IF(INDEX(pr_rate,MATCH(B1126,pr_code,0))="","",INDEX(pr_rate,MATCH(B1126,pr_code,0))),""))))</f>
        <v/>
      </c>
      <c r="L1126" s="65" t="str">
        <f>IF(COUNTA(A1126:G1126)=0,"",IF(AND(ISNUMBER(D1126),ISNUMBER(J1126)),ROUND(D1126*J1126*(1-N(F1126)),2),0))</f>
        <v/>
      </c>
      <c r="M1126" s="62" t="str">
        <f>IF(A1126="","",IFERROR(INDEX(fa_cname,MATCH(A1126,fa_num,0))&amp;"",""))</f>
        <v/>
      </c>
      <c r="N1126" s="59" t="str">
        <f>IF(COUNTA(A1126:G1126)=0,"",IF(A1126="","N° facture manquant",IF(ISNA(MATCH(A1126,fa_num,0)),"Facture inconnue",IF(AND(B1126&lt;&gt;"",ISNA(MATCH(B1126,pr_code,0))),"Article inconnu",IF(H1126="","Désignation manquante",IF(OR(NOT(ISNUMBER(D1126)),N(D1126)&lt;=0),"Quantité invalide",IF(J1126="","Prix manquant",IF(OR(NOT(ISNUMBER(J1126)),N(J1126)&lt;0),"Prix invalide",IF(OR(AND(F1126&lt;&gt;"",NOT(ISNUMBER(F1126))),N(F1126)&lt;0,N(F1126)&gt;1),"Remise invalide",IF(K1126="","Taux de TVA manquant",IF(NOT(ISNUMBER(K1126)),"Taux de TVA invalide",IF(COUNTIF(p_rates,K1126)=0,"Taux de TVA hors liste (Paramètres)",IF(N(O1126)&gt;25,"Au-delà de 25 lignes : non imprimée","OK")))))))))))))</f>
        <v/>
      </c>
      <c r="O1126" s="59" t="str">
        <f>IF(A1126="","",COUNTIF($A$6:A1126,A1126))</f>
        <v/>
      </c>
      <c r="P1126" s="62" t="str">
        <f>IF(A1126="","",A1126&amp;"|"&amp;O1126)</f>
        <v/>
      </c>
    </row>
    <row r="1127">
      <c r="A1127" s="60" t="n"/>
      <c r="B1127" s="63" t="n"/>
      <c r="C1127" s="63" t="n"/>
      <c r="D1127" s="67" t="n"/>
      <c r="E1127" s="68" t="n"/>
      <c r="F1127" s="69" t="n"/>
      <c r="G1127" s="70" t="n"/>
      <c r="H1127" s="62" t="str">
        <f>IF(COUNTA(A1127:G1127)=0,"",IF(C1127&lt;&gt;"",C1127,IF(B1127="","",IFERROR(INDEX(pr_des,MATCH(B1127,pr_code,0))&amp;"",""))))</f>
        <v/>
      </c>
      <c r="I1127" s="59" t="str">
        <f>IF(B1127="","",IFERROR(INDEX(pr_unit,MATCH(B1127,pr_code,0))&amp;"",""))</f>
        <v/>
      </c>
      <c r="J1127" s="65" t="str">
        <f>IF(COUNTA(A1127:G1127)=0,"",IF(E1127&lt;&gt;"",E1127,IF(B1127="","",IFERROR(IF(INDEX(pr_price,MATCH(B1127,pr_code,0))="","",INDEX(pr_price,MATCH(B1127,pr_code,0))),""))))</f>
        <v/>
      </c>
      <c r="K1127" s="71" t="str">
        <f>IF(COUNTA(A1127:G1127)=0,"",IF(G1127&lt;&gt;"",G1127,IF(B1127="","",IFERROR(IF(INDEX(pr_rate,MATCH(B1127,pr_code,0))="","",INDEX(pr_rate,MATCH(B1127,pr_code,0))),""))))</f>
        <v/>
      </c>
      <c r="L1127" s="65" t="str">
        <f>IF(COUNTA(A1127:G1127)=0,"",IF(AND(ISNUMBER(D1127),ISNUMBER(J1127)),ROUND(D1127*J1127*(1-N(F1127)),2),0))</f>
        <v/>
      </c>
      <c r="M1127" s="62" t="str">
        <f>IF(A1127="","",IFERROR(INDEX(fa_cname,MATCH(A1127,fa_num,0))&amp;"",""))</f>
        <v/>
      </c>
      <c r="N1127" s="59" t="str">
        <f>IF(COUNTA(A1127:G1127)=0,"",IF(A1127="","N° facture manquant",IF(ISNA(MATCH(A1127,fa_num,0)),"Facture inconnue",IF(AND(B1127&lt;&gt;"",ISNA(MATCH(B1127,pr_code,0))),"Article inconnu",IF(H1127="","Désignation manquante",IF(OR(NOT(ISNUMBER(D1127)),N(D1127)&lt;=0),"Quantité invalide",IF(J1127="","Prix manquant",IF(OR(NOT(ISNUMBER(J1127)),N(J1127)&lt;0),"Prix invalide",IF(OR(AND(F1127&lt;&gt;"",NOT(ISNUMBER(F1127))),N(F1127)&lt;0,N(F1127)&gt;1),"Remise invalide",IF(K1127="","Taux de TVA manquant",IF(NOT(ISNUMBER(K1127)),"Taux de TVA invalide",IF(COUNTIF(p_rates,K1127)=0,"Taux de TVA hors liste (Paramètres)",IF(N(O1127)&gt;25,"Au-delà de 25 lignes : non imprimée","OK")))))))))))))</f>
        <v/>
      </c>
      <c r="O1127" s="59" t="str">
        <f>IF(A1127="","",COUNTIF($A$6:A1127,A1127))</f>
        <v/>
      </c>
      <c r="P1127" s="62" t="str">
        <f>IF(A1127="","",A1127&amp;"|"&amp;O1127)</f>
        <v/>
      </c>
    </row>
    <row r="1128">
      <c r="A1128" s="60" t="n"/>
      <c r="B1128" s="63" t="n"/>
      <c r="C1128" s="63" t="n"/>
      <c r="D1128" s="67" t="n"/>
      <c r="E1128" s="68" t="n"/>
      <c r="F1128" s="69" t="n"/>
      <c r="G1128" s="70" t="n"/>
      <c r="H1128" s="62" t="str">
        <f>IF(COUNTA(A1128:G1128)=0,"",IF(C1128&lt;&gt;"",C1128,IF(B1128="","",IFERROR(INDEX(pr_des,MATCH(B1128,pr_code,0))&amp;"",""))))</f>
        <v/>
      </c>
      <c r="I1128" s="59" t="str">
        <f>IF(B1128="","",IFERROR(INDEX(pr_unit,MATCH(B1128,pr_code,0))&amp;"",""))</f>
        <v/>
      </c>
      <c r="J1128" s="65" t="str">
        <f>IF(COUNTA(A1128:G1128)=0,"",IF(E1128&lt;&gt;"",E1128,IF(B1128="","",IFERROR(IF(INDEX(pr_price,MATCH(B1128,pr_code,0))="","",INDEX(pr_price,MATCH(B1128,pr_code,0))),""))))</f>
        <v/>
      </c>
      <c r="K1128" s="71" t="str">
        <f>IF(COUNTA(A1128:G1128)=0,"",IF(G1128&lt;&gt;"",G1128,IF(B1128="","",IFERROR(IF(INDEX(pr_rate,MATCH(B1128,pr_code,0))="","",INDEX(pr_rate,MATCH(B1128,pr_code,0))),""))))</f>
        <v/>
      </c>
      <c r="L1128" s="65" t="str">
        <f>IF(COUNTA(A1128:G1128)=0,"",IF(AND(ISNUMBER(D1128),ISNUMBER(J1128)),ROUND(D1128*J1128*(1-N(F1128)),2),0))</f>
        <v/>
      </c>
      <c r="M1128" s="62" t="str">
        <f>IF(A1128="","",IFERROR(INDEX(fa_cname,MATCH(A1128,fa_num,0))&amp;"",""))</f>
        <v/>
      </c>
      <c r="N1128" s="59" t="str">
        <f>IF(COUNTA(A1128:G1128)=0,"",IF(A1128="","N° facture manquant",IF(ISNA(MATCH(A1128,fa_num,0)),"Facture inconnue",IF(AND(B1128&lt;&gt;"",ISNA(MATCH(B1128,pr_code,0))),"Article inconnu",IF(H1128="","Désignation manquante",IF(OR(NOT(ISNUMBER(D1128)),N(D1128)&lt;=0),"Quantité invalide",IF(J1128="","Prix manquant",IF(OR(NOT(ISNUMBER(J1128)),N(J1128)&lt;0),"Prix invalide",IF(OR(AND(F1128&lt;&gt;"",NOT(ISNUMBER(F1128))),N(F1128)&lt;0,N(F1128)&gt;1),"Remise invalide",IF(K1128="","Taux de TVA manquant",IF(NOT(ISNUMBER(K1128)),"Taux de TVA invalide",IF(COUNTIF(p_rates,K1128)=0,"Taux de TVA hors liste (Paramètres)",IF(N(O1128)&gt;25,"Au-delà de 25 lignes : non imprimée","OK")))))))))))))</f>
        <v/>
      </c>
      <c r="O1128" s="59" t="str">
        <f>IF(A1128="","",COUNTIF($A$6:A1128,A1128))</f>
        <v/>
      </c>
      <c r="P1128" s="62" t="str">
        <f>IF(A1128="","",A1128&amp;"|"&amp;O1128)</f>
        <v/>
      </c>
    </row>
    <row r="1129">
      <c r="A1129" s="60" t="n"/>
      <c r="B1129" s="63" t="n"/>
      <c r="C1129" s="63" t="n"/>
      <c r="D1129" s="67" t="n"/>
      <c r="E1129" s="68" t="n"/>
      <c r="F1129" s="69" t="n"/>
      <c r="G1129" s="70" t="n"/>
      <c r="H1129" s="62" t="str">
        <f>IF(COUNTA(A1129:G1129)=0,"",IF(C1129&lt;&gt;"",C1129,IF(B1129="","",IFERROR(INDEX(pr_des,MATCH(B1129,pr_code,0))&amp;"",""))))</f>
        <v/>
      </c>
      <c r="I1129" s="59" t="str">
        <f>IF(B1129="","",IFERROR(INDEX(pr_unit,MATCH(B1129,pr_code,0))&amp;"",""))</f>
        <v/>
      </c>
      <c r="J1129" s="65" t="str">
        <f>IF(COUNTA(A1129:G1129)=0,"",IF(E1129&lt;&gt;"",E1129,IF(B1129="","",IFERROR(IF(INDEX(pr_price,MATCH(B1129,pr_code,0))="","",INDEX(pr_price,MATCH(B1129,pr_code,0))),""))))</f>
        <v/>
      </c>
      <c r="K1129" s="71" t="str">
        <f>IF(COUNTA(A1129:G1129)=0,"",IF(G1129&lt;&gt;"",G1129,IF(B1129="","",IFERROR(IF(INDEX(pr_rate,MATCH(B1129,pr_code,0))="","",INDEX(pr_rate,MATCH(B1129,pr_code,0))),""))))</f>
        <v/>
      </c>
      <c r="L1129" s="65" t="str">
        <f>IF(COUNTA(A1129:G1129)=0,"",IF(AND(ISNUMBER(D1129),ISNUMBER(J1129)),ROUND(D1129*J1129*(1-N(F1129)),2),0))</f>
        <v/>
      </c>
      <c r="M1129" s="62" t="str">
        <f>IF(A1129="","",IFERROR(INDEX(fa_cname,MATCH(A1129,fa_num,0))&amp;"",""))</f>
        <v/>
      </c>
      <c r="N1129" s="59" t="str">
        <f>IF(COUNTA(A1129:G1129)=0,"",IF(A1129="","N° facture manquant",IF(ISNA(MATCH(A1129,fa_num,0)),"Facture inconnue",IF(AND(B1129&lt;&gt;"",ISNA(MATCH(B1129,pr_code,0))),"Article inconnu",IF(H1129="","Désignation manquante",IF(OR(NOT(ISNUMBER(D1129)),N(D1129)&lt;=0),"Quantité invalide",IF(J1129="","Prix manquant",IF(OR(NOT(ISNUMBER(J1129)),N(J1129)&lt;0),"Prix invalide",IF(OR(AND(F1129&lt;&gt;"",NOT(ISNUMBER(F1129))),N(F1129)&lt;0,N(F1129)&gt;1),"Remise invalide",IF(K1129="","Taux de TVA manquant",IF(NOT(ISNUMBER(K1129)),"Taux de TVA invalide",IF(COUNTIF(p_rates,K1129)=0,"Taux de TVA hors liste (Paramètres)",IF(N(O1129)&gt;25,"Au-delà de 25 lignes : non imprimée","OK")))))))))))))</f>
        <v/>
      </c>
      <c r="O1129" s="59" t="str">
        <f>IF(A1129="","",COUNTIF($A$6:A1129,A1129))</f>
        <v/>
      </c>
      <c r="P1129" s="62" t="str">
        <f>IF(A1129="","",A1129&amp;"|"&amp;O1129)</f>
        <v/>
      </c>
    </row>
    <row r="1130">
      <c r="A1130" s="60" t="n"/>
      <c r="B1130" s="63" t="n"/>
      <c r="C1130" s="63" t="n"/>
      <c r="D1130" s="67" t="n"/>
      <c r="E1130" s="68" t="n"/>
      <c r="F1130" s="69" t="n"/>
      <c r="G1130" s="70" t="n"/>
      <c r="H1130" s="62" t="str">
        <f>IF(COUNTA(A1130:G1130)=0,"",IF(C1130&lt;&gt;"",C1130,IF(B1130="","",IFERROR(INDEX(pr_des,MATCH(B1130,pr_code,0))&amp;"",""))))</f>
        <v/>
      </c>
      <c r="I1130" s="59" t="str">
        <f>IF(B1130="","",IFERROR(INDEX(pr_unit,MATCH(B1130,pr_code,0))&amp;"",""))</f>
        <v/>
      </c>
      <c r="J1130" s="65" t="str">
        <f>IF(COUNTA(A1130:G1130)=0,"",IF(E1130&lt;&gt;"",E1130,IF(B1130="","",IFERROR(IF(INDEX(pr_price,MATCH(B1130,pr_code,0))="","",INDEX(pr_price,MATCH(B1130,pr_code,0))),""))))</f>
        <v/>
      </c>
      <c r="K1130" s="71" t="str">
        <f>IF(COUNTA(A1130:G1130)=0,"",IF(G1130&lt;&gt;"",G1130,IF(B1130="","",IFERROR(IF(INDEX(pr_rate,MATCH(B1130,pr_code,0))="","",INDEX(pr_rate,MATCH(B1130,pr_code,0))),""))))</f>
        <v/>
      </c>
      <c r="L1130" s="65" t="str">
        <f>IF(COUNTA(A1130:G1130)=0,"",IF(AND(ISNUMBER(D1130),ISNUMBER(J1130)),ROUND(D1130*J1130*(1-N(F1130)),2),0))</f>
        <v/>
      </c>
      <c r="M1130" s="62" t="str">
        <f>IF(A1130="","",IFERROR(INDEX(fa_cname,MATCH(A1130,fa_num,0))&amp;"",""))</f>
        <v/>
      </c>
      <c r="N1130" s="59" t="str">
        <f>IF(COUNTA(A1130:G1130)=0,"",IF(A1130="","N° facture manquant",IF(ISNA(MATCH(A1130,fa_num,0)),"Facture inconnue",IF(AND(B1130&lt;&gt;"",ISNA(MATCH(B1130,pr_code,0))),"Article inconnu",IF(H1130="","Désignation manquante",IF(OR(NOT(ISNUMBER(D1130)),N(D1130)&lt;=0),"Quantité invalide",IF(J1130="","Prix manquant",IF(OR(NOT(ISNUMBER(J1130)),N(J1130)&lt;0),"Prix invalide",IF(OR(AND(F1130&lt;&gt;"",NOT(ISNUMBER(F1130))),N(F1130)&lt;0,N(F1130)&gt;1),"Remise invalide",IF(K1130="","Taux de TVA manquant",IF(NOT(ISNUMBER(K1130)),"Taux de TVA invalide",IF(COUNTIF(p_rates,K1130)=0,"Taux de TVA hors liste (Paramètres)",IF(N(O1130)&gt;25,"Au-delà de 25 lignes : non imprimée","OK")))))))))))))</f>
        <v/>
      </c>
      <c r="O1130" s="59" t="str">
        <f>IF(A1130="","",COUNTIF($A$6:A1130,A1130))</f>
        <v/>
      </c>
      <c r="P1130" s="62" t="str">
        <f>IF(A1130="","",A1130&amp;"|"&amp;O1130)</f>
        <v/>
      </c>
    </row>
    <row r="1131">
      <c r="A1131" s="60" t="n"/>
      <c r="B1131" s="63" t="n"/>
      <c r="C1131" s="63" t="n"/>
      <c r="D1131" s="67" t="n"/>
      <c r="E1131" s="68" t="n"/>
      <c r="F1131" s="69" t="n"/>
      <c r="G1131" s="70" t="n"/>
      <c r="H1131" s="62" t="str">
        <f>IF(COUNTA(A1131:G1131)=0,"",IF(C1131&lt;&gt;"",C1131,IF(B1131="","",IFERROR(INDEX(pr_des,MATCH(B1131,pr_code,0))&amp;"",""))))</f>
        <v/>
      </c>
      <c r="I1131" s="59" t="str">
        <f>IF(B1131="","",IFERROR(INDEX(pr_unit,MATCH(B1131,pr_code,0))&amp;"",""))</f>
        <v/>
      </c>
      <c r="J1131" s="65" t="str">
        <f>IF(COUNTA(A1131:G1131)=0,"",IF(E1131&lt;&gt;"",E1131,IF(B1131="","",IFERROR(IF(INDEX(pr_price,MATCH(B1131,pr_code,0))="","",INDEX(pr_price,MATCH(B1131,pr_code,0))),""))))</f>
        <v/>
      </c>
      <c r="K1131" s="71" t="str">
        <f>IF(COUNTA(A1131:G1131)=0,"",IF(G1131&lt;&gt;"",G1131,IF(B1131="","",IFERROR(IF(INDEX(pr_rate,MATCH(B1131,pr_code,0))="","",INDEX(pr_rate,MATCH(B1131,pr_code,0))),""))))</f>
        <v/>
      </c>
      <c r="L1131" s="65" t="str">
        <f>IF(COUNTA(A1131:G1131)=0,"",IF(AND(ISNUMBER(D1131),ISNUMBER(J1131)),ROUND(D1131*J1131*(1-N(F1131)),2),0))</f>
        <v/>
      </c>
      <c r="M1131" s="62" t="str">
        <f>IF(A1131="","",IFERROR(INDEX(fa_cname,MATCH(A1131,fa_num,0))&amp;"",""))</f>
        <v/>
      </c>
      <c r="N1131" s="59" t="str">
        <f>IF(COUNTA(A1131:G1131)=0,"",IF(A1131="","N° facture manquant",IF(ISNA(MATCH(A1131,fa_num,0)),"Facture inconnue",IF(AND(B1131&lt;&gt;"",ISNA(MATCH(B1131,pr_code,0))),"Article inconnu",IF(H1131="","Désignation manquante",IF(OR(NOT(ISNUMBER(D1131)),N(D1131)&lt;=0),"Quantité invalide",IF(J1131="","Prix manquant",IF(OR(NOT(ISNUMBER(J1131)),N(J1131)&lt;0),"Prix invalide",IF(OR(AND(F1131&lt;&gt;"",NOT(ISNUMBER(F1131))),N(F1131)&lt;0,N(F1131)&gt;1),"Remise invalide",IF(K1131="","Taux de TVA manquant",IF(NOT(ISNUMBER(K1131)),"Taux de TVA invalide",IF(COUNTIF(p_rates,K1131)=0,"Taux de TVA hors liste (Paramètres)",IF(N(O1131)&gt;25,"Au-delà de 25 lignes : non imprimée","OK")))))))))))))</f>
        <v/>
      </c>
      <c r="O1131" s="59" t="str">
        <f>IF(A1131="","",COUNTIF($A$6:A1131,A1131))</f>
        <v/>
      </c>
      <c r="P1131" s="62" t="str">
        <f>IF(A1131="","",A1131&amp;"|"&amp;O1131)</f>
        <v/>
      </c>
    </row>
    <row r="1132">
      <c r="A1132" s="60" t="n"/>
      <c r="B1132" s="63" t="n"/>
      <c r="C1132" s="63" t="n"/>
      <c r="D1132" s="67" t="n"/>
      <c r="E1132" s="68" t="n"/>
      <c r="F1132" s="69" t="n"/>
      <c r="G1132" s="70" t="n"/>
      <c r="H1132" s="62" t="str">
        <f>IF(COUNTA(A1132:G1132)=0,"",IF(C1132&lt;&gt;"",C1132,IF(B1132="","",IFERROR(INDEX(pr_des,MATCH(B1132,pr_code,0))&amp;"",""))))</f>
        <v/>
      </c>
      <c r="I1132" s="59" t="str">
        <f>IF(B1132="","",IFERROR(INDEX(pr_unit,MATCH(B1132,pr_code,0))&amp;"",""))</f>
        <v/>
      </c>
      <c r="J1132" s="65" t="str">
        <f>IF(COUNTA(A1132:G1132)=0,"",IF(E1132&lt;&gt;"",E1132,IF(B1132="","",IFERROR(IF(INDEX(pr_price,MATCH(B1132,pr_code,0))="","",INDEX(pr_price,MATCH(B1132,pr_code,0))),""))))</f>
        <v/>
      </c>
      <c r="K1132" s="71" t="str">
        <f>IF(COUNTA(A1132:G1132)=0,"",IF(G1132&lt;&gt;"",G1132,IF(B1132="","",IFERROR(IF(INDEX(pr_rate,MATCH(B1132,pr_code,0))="","",INDEX(pr_rate,MATCH(B1132,pr_code,0))),""))))</f>
        <v/>
      </c>
      <c r="L1132" s="65" t="str">
        <f>IF(COUNTA(A1132:G1132)=0,"",IF(AND(ISNUMBER(D1132),ISNUMBER(J1132)),ROUND(D1132*J1132*(1-N(F1132)),2),0))</f>
        <v/>
      </c>
      <c r="M1132" s="62" t="str">
        <f>IF(A1132="","",IFERROR(INDEX(fa_cname,MATCH(A1132,fa_num,0))&amp;"",""))</f>
        <v/>
      </c>
      <c r="N1132" s="59" t="str">
        <f>IF(COUNTA(A1132:G1132)=0,"",IF(A1132="","N° facture manquant",IF(ISNA(MATCH(A1132,fa_num,0)),"Facture inconnue",IF(AND(B1132&lt;&gt;"",ISNA(MATCH(B1132,pr_code,0))),"Article inconnu",IF(H1132="","Désignation manquante",IF(OR(NOT(ISNUMBER(D1132)),N(D1132)&lt;=0),"Quantité invalide",IF(J1132="","Prix manquant",IF(OR(NOT(ISNUMBER(J1132)),N(J1132)&lt;0),"Prix invalide",IF(OR(AND(F1132&lt;&gt;"",NOT(ISNUMBER(F1132))),N(F1132)&lt;0,N(F1132)&gt;1),"Remise invalide",IF(K1132="","Taux de TVA manquant",IF(NOT(ISNUMBER(K1132)),"Taux de TVA invalide",IF(COUNTIF(p_rates,K1132)=0,"Taux de TVA hors liste (Paramètres)",IF(N(O1132)&gt;25,"Au-delà de 25 lignes : non imprimée","OK")))))))))))))</f>
        <v/>
      </c>
      <c r="O1132" s="59" t="str">
        <f>IF(A1132="","",COUNTIF($A$6:A1132,A1132))</f>
        <v/>
      </c>
      <c r="P1132" s="62" t="str">
        <f>IF(A1132="","",A1132&amp;"|"&amp;O1132)</f>
        <v/>
      </c>
    </row>
    <row r="1133">
      <c r="A1133" s="60" t="n"/>
      <c r="B1133" s="63" t="n"/>
      <c r="C1133" s="63" t="n"/>
      <c r="D1133" s="67" t="n"/>
      <c r="E1133" s="68" t="n"/>
      <c r="F1133" s="69" t="n"/>
      <c r="G1133" s="70" t="n"/>
      <c r="H1133" s="62" t="str">
        <f>IF(COUNTA(A1133:G1133)=0,"",IF(C1133&lt;&gt;"",C1133,IF(B1133="","",IFERROR(INDEX(pr_des,MATCH(B1133,pr_code,0))&amp;"",""))))</f>
        <v/>
      </c>
      <c r="I1133" s="59" t="str">
        <f>IF(B1133="","",IFERROR(INDEX(pr_unit,MATCH(B1133,pr_code,0))&amp;"",""))</f>
        <v/>
      </c>
      <c r="J1133" s="65" t="str">
        <f>IF(COUNTA(A1133:G1133)=0,"",IF(E1133&lt;&gt;"",E1133,IF(B1133="","",IFERROR(IF(INDEX(pr_price,MATCH(B1133,pr_code,0))="","",INDEX(pr_price,MATCH(B1133,pr_code,0))),""))))</f>
        <v/>
      </c>
      <c r="K1133" s="71" t="str">
        <f>IF(COUNTA(A1133:G1133)=0,"",IF(G1133&lt;&gt;"",G1133,IF(B1133="","",IFERROR(IF(INDEX(pr_rate,MATCH(B1133,pr_code,0))="","",INDEX(pr_rate,MATCH(B1133,pr_code,0))),""))))</f>
        <v/>
      </c>
      <c r="L1133" s="65" t="str">
        <f>IF(COUNTA(A1133:G1133)=0,"",IF(AND(ISNUMBER(D1133),ISNUMBER(J1133)),ROUND(D1133*J1133*(1-N(F1133)),2),0))</f>
        <v/>
      </c>
      <c r="M1133" s="62" t="str">
        <f>IF(A1133="","",IFERROR(INDEX(fa_cname,MATCH(A1133,fa_num,0))&amp;"",""))</f>
        <v/>
      </c>
      <c r="N1133" s="59" t="str">
        <f>IF(COUNTA(A1133:G1133)=0,"",IF(A1133="","N° facture manquant",IF(ISNA(MATCH(A1133,fa_num,0)),"Facture inconnue",IF(AND(B1133&lt;&gt;"",ISNA(MATCH(B1133,pr_code,0))),"Article inconnu",IF(H1133="","Désignation manquante",IF(OR(NOT(ISNUMBER(D1133)),N(D1133)&lt;=0),"Quantité invalide",IF(J1133="","Prix manquant",IF(OR(NOT(ISNUMBER(J1133)),N(J1133)&lt;0),"Prix invalide",IF(OR(AND(F1133&lt;&gt;"",NOT(ISNUMBER(F1133))),N(F1133)&lt;0,N(F1133)&gt;1),"Remise invalide",IF(K1133="","Taux de TVA manquant",IF(NOT(ISNUMBER(K1133)),"Taux de TVA invalide",IF(COUNTIF(p_rates,K1133)=0,"Taux de TVA hors liste (Paramètres)",IF(N(O1133)&gt;25,"Au-delà de 25 lignes : non imprimée","OK")))))))))))))</f>
        <v/>
      </c>
      <c r="O1133" s="59" t="str">
        <f>IF(A1133="","",COUNTIF($A$6:A1133,A1133))</f>
        <v/>
      </c>
      <c r="P1133" s="62" t="str">
        <f>IF(A1133="","",A1133&amp;"|"&amp;O1133)</f>
        <v/>
      </c>
    </row>
    <row r="1134">
      <c r="A1134" s="60" t="n"/>
      <c r="B1134" s="63" t="n"/>
      <c r="C1134" s="63" t="n"/>
      <c r="D1134" s="67" t="n"/>
      <c r="E1134" s="68" t="n"/>
      <c r="F1134" s="69" t="n"/>
      <c r="G1134" s="70" t="n"/>
      <c r="H1134" s="62" t="str">
        <f>IF(COUNTA(A1134:G1134)=0,"",IF(C1134&lt;&gt;"",C1134,IF(B1134="","",IFERROR(INDEX(pr_des,MATCH(B1134,pr_code,0))&amp;"",""))))</f>
        <v/>
      </c>
      <c r="I1134" s="59" t="str">
        <f>IF(B1134="","",IFERROR(INDEX(pr_unit,MATCH(B1134,pr_code,0))&amp;"",""))</f>
        <v/>
      </c>
      <c r="J1134" s="65" t="str">
        <f>IF(COUNTA(A1134:G1134)=0,"",IF(E1134&lt;&gt;"",E1134,IF(B1134="","",IFERROR(IF(INDEX(pr_price,MATCH(B1134,pr_code,0))="","",INDEX(pr_price,MATCH(B1134,pr_code,0))),""))))</f>
        <v/>
      </c>
      <c r="K1134" s="71" t="str">
        <f>IF(COUNTA(A1134:G1134)=0,"",IF(G1134&lt;&gt;"",G1134,IF(B1134="","",IFERROR(IF(INDEX(pr_rate,MATCH(B1134,pr_code,0))="","",INDEX(pr_rate,MATCH(B1134,pr_code,0))),""))))</f>
        <v/>
      </c>
      <c r="L1134" s="65" t="str">
        <f>IF(COUNTA(A1134:G1134)=0,"",IF(AND(ISNUMBER(D1134),ISNUMBER(J1134)),ROUND(D1134*J1134*(1-N(F1134)),2),0))</f>
        <v/>
      </c>
      <c r="M1134" s="62" t="str">
        <f>IF(A1134="","",IFERROR(INDEX(fa_cname,MATCH(A1134,fa_num,0))&amp;"",""))</f>
        <v/>
      </c>
      <c r="N1134" s="59" t="str">
        <f>IF(COUNTA(A1134:G1134)=0,"",IF(A1134="","N° facture manquant",IF(ISNA(MATCH(A1134,fa_num,0)),"Facture inconnue",IF(AND(B1134&lt;&gt;"",ISNA(MATCH(B1134,pr_code,0))),"Article inconnu",IF(H1134="","Désignation manquante",IF(OR(NOT(ISNUMBER(D1134)),N(D1134)&lt;=0),"Quantité invalide",IF(J1134="","Prix manquant",IF(OR(NOT(ISNUMBER(J1134)),N(J1134)&lt;0),"Prix invalide",IF(OR(AND(F1134&lt;&gt;"",NOT(ISNUMBER(F1134))),N(F1134)&lt;0,N(F1134)&gt;1),"Remise invalide",IF(K1134="","Taux de TVA manquant",IF(NOT(ISNUMBER(K1134)),"Taux de TVA invalide",IF(COUNTIF(p_rates,K1134)=0,"Taux de TVA hors liste (Paramètres)",IF(N(O1134)&gt;25,"Au-delà de 25 lignes : non imprimée","OK")))))))))))))</f>
        <v/>
      </c>
      <c r="O1134" s="59" t="str">
        <f>IF(A1134="","",COUNTIF($A$6:A1134,A1134))</f>
        <v/>
      </c>
      <c r="P1134" s="62" t="str">
        <f>IF(A1134="","",A1134&amp;"|"&amp;O1134)</f>
        <v/>
      </c>
    </row>
    <row r="1135">
      <c r="A1135" s="60" t="n"/>
      <c r="B1135" s="63" t="n"/>
      <c r="C1135" s="63" t="n"/>
      <c r="D1135" s="67" t="n"/>
      <c r="E1135" s="68" t="n"/>
      <c r="F1135" s="69" t="n"/>
      <c r="G1135" s="70" t="n"/>
      <c r="H1135" s="62" t="str">
        <f>IF(COUNTA(A1135:G1135)=0,"",IF(C1135&lt;&gt;"",C1135,IF(B1135="","",IFERROR(INDEX(pr_des,MATCH(B1135,pr_code,0))&amp;"",""))))</f>
        <v/>
      </c>
      <c r="I1135" s="59" t="str">
        <f>IF(B1135="","",IFERROR(INDEX(pr_unit,MATCH(B1135,pr_code,0))&amp;"",""))</f>
        <v/>
      </c>
      <c r="J1135" s="65" t="str">
        <f>IF(COUNTA(A1135:G1135)=0,"",IF(E1135&lt;&gt;"",E1135,IF(B1135="","",IFERROR(IF(INDEX(pr_price,MATCH(B1135,pr_code,0))="","",INDEX(pr_price,MATCH(B1135,pr_code,0))),""))))</f>
        <v/>
      </c>
      <c r="K1135" s="71" t="str">
        <f>IF(COUNTA(A1135:G1135)=0,"",IF(G1135&lt;&gt;"",G1135,IF(B1135="","",IFERROR(IF(INDEX(pr_rate,MATCH(B1135,pr_code,0))="","",INDEX(pr_rate,MATCH(B1135,pr_code,0))),""))))</f>
        <v/>
      </c>
      <c r="L1135" s="65" t="str">
        <f>IF(COUNTA(A1135:G1135)=0,"",IF(AND(ISNUMBER(D1135),ISNUMBER(J1135)),ROUND(D1135*J1135*(1-N(F1135)),2),0))</f>
        <v/>
      </c>
      <c r="M1135" s="62" t="str">
        <f>IF(A1135="","",IFERROR(INDEX(fa_cname,MATCH(A1135,fa_num,0))&amp;"",""))</f>
        <v/>
      </c>
      <c r="N1135" s="59" t="str">
        <f>IF(COUNTA(A1135:G1135)=0,"",IF(A1135="","N° facture manquant",IF(ISNA(MATCH(A1135,fa_num,0)),"Facture inconnue",IF(AND(B1135&lt;&gt;"",ISNA(MATCH(B1135,pr_code,0))),"Article inconnu",IF(H1135="","Désignation manquante",IF(OR(NOT(ISNUMBER(D1135)),N(D1135)&lt;=0),"Quantité invalide",IF(J1135="","Prix manquant",IF(OR(NOT(ISNUMBER(J1135)),N(J1135)&lt;0),"Prix invalide",IF(OR(AND(F1135&lt;&gt;"",NOT(ISNUMBER(F1135))),N(F1135)&lt;0,N(F1135)&gt;1),"Remise invalide",IF(K1135="","Taux de TVA manquant",IF(NOT(ISNUMBER(K1135)),"Taux de TVA invalide",IF(COUNTIF(p_rates,K1135)=0,"Taux de TVA hors liste (Paramètres)",IF(N(O1135)&gt;25,"Au-delà de 25 lignes : non imprimée","OK")))))))))))))</f>
        <v/>
      </c>
      <c r="O1135" s="59" t="str">
        <f>IF(A1135="","",COUNTIF($A$6:A1135,A1135))</f>
        <v/>
      </c>
      <c r="P1135" s="62" t="str">
        <f>IF(A1135="","",A1135&amp;"|"&amp;O1135)</f>
        <v/>
      </c>
    </row>
    <row r="1136">
      <c r="A1136" s="60" t="n"/>
      <c r="B1136" s="63" t="n"/>
      <c r="C1136" s="63" t="n"/>
      <c r="D1136" s="67" t="n"/>
      <c r="E1136" s="68" t="n"/>
      <c r="F1136" s="69" t="n"/>
      <c r="G1136" s="70" t="n"/>
      <c r="H1136" s="62" t="str">
        <f>IF(COUNTA(A1136:G1136)=0,"",IF(C1136&lt;&gt;"",C1136,IF(B1136="","",IFERROR(INDEX(pr_des,MATCH(B1136,pr_code,0))&amp;"",""))))</f>
        <v/>
      </c>
      <c r="I1136" s="59" t="str">
        <f>IF(B1136="","",IFERROR(INDEX(pr_unit,MATCH(B1136,pr_code,0))&amp;"",""))</f>
        <v/>
      </c>
      <c r="J1136" s="65" t="str">
        <f>IF(COUNTA(A1136:G1136)=0,"",IF(E1136&lt;&gt;"",E1136,IF(B1136="","",IFERROR(IF(INDEX(pr_price,MATCH(B1136,pr_code,0))="","",INDEX(pr_price,MATCH(B1136,pr_code,0))),""))))</f>
        <v/>
      </c>
      <c r="K1136" s="71" t="str">
        <f>IF(COUNTA(A1136:G1136)=0,"",IF(G1136&lt;&gt;"",G1136,IF(B1136="","",IFERROR(IF(INDEX(pr_rate,MATCH(B1136,pr_code,0))="","",INDEX(pr_rate,MATCH(B1136,pr_code,0))),""))))</f>
        <v/>
      </c>
      <c r="L1136" s="65" t="str">
        <f>IF(COUNTA(A1136:G1136)=0,"",IF(AND(ISNUMBER(D1136),ISNUMBER(J1136)),ROUND(D1136*J1136*(1-N(F1136)),2),0))</f>
        <v/>
      </c>
      <c r="M1136" s="62" t="str">
        <f>IF(A1136="","",IFERROR(INDEX(fa_cname,MATCH(A1136,fa_num,0))&amp;"",""))</f>
        <v/>
      </c>
      <c r="N1136" s="59" t="str">
        <f>IF(COUNTA(A1136:G1136)=0,"",IF(A1136="","N° facture manquant",IF(ISNA(MATCH(A1136,fa_num,0)),"Facture inconnue",IF(AND(B1136&lt;&gt;"",ISNA(MATCH(B1136,pr_code,0))),"Article inconnu",IF(H1136="","Désignation manquante",IF(OR(NOT(ISNUMBER(D1136)),N(D1136)&lt;=0),"Quantité invalide",IF(J1136="","Prix manquant",IF(OR(NOT(ISNUMBER(J1136)),N(J1136)&lt;0),"Prix invalide",IF(OR(AND(F1136&lt;&gt;"",NOT(ISNUMBER(F1136))),N(F1136)&lt;0,N(F1136)&gt;1),"Remise invalide",IF(K1136="","Taux de TVA manquant",IF(NOT(ISNUMBER(K1136)),"Taux de TVA invalide",IF(COUNTIF(p_rates,K1136)=0,"Taux de TVA hors liste (Paramètres)",IF(N(O1136)&gt;25,"Au-delà de 25 lignes : non imprimée","OK")))))))))))))</f>
        <v/>
      </c>
      <c r="O1136" s="59" t="str">
        <f>IF(A1136="","",COUNTIF($A$6:A1136,A1136))</f>
        <v/>
      </c>
      <c r="P1136" s="62" t="str">
        <f>IF(A1136="","",A1136&amp;"|"&amp;O1136)</f>
        <v/>
      </c>
    </row>
    <row r="1137">
      <c r="A1137" s="60" t="n"/>
      <c r="B1137" s="63" t="n"/>
      <c r="C1137" s="63" t="n"/>
      <c r="D1137" s="67" t="n"/>
      <c r="E1137" s="68" t="n"/>
      <c r="F1137" s="69" t="n"/>
      <c r="G1137" s="70" t="n"/>
      <c r="H1137" s="62" t="str">
        <f>IF(COUNTA(A1137:G1137)=0,"",IF(C1137&lt;&gt;"",C1137,IF(B1137="","",IFERROR(INDEX(pr_des,MATCH(B1137,pr_code,0))&amp;"",""))))</f>
        <v/>
      </c>
      <c r="I1137" s="59" t="str">
        <f>IF(B1137="","",IFERROR(INDEX(pr_unit,MATCH(B1137,pr_code,0))&amp;"",""))</f>
        <v/>
      </c>
      <c r="J1137" s="65" t="str">
        <f>IF(COUNTA(A1137:G1137)=0,"",IF(E1137&lt;&gt;"",E1137,IF(B1137="","",IFERROR(IF(INDEX(pr_price,MATCH(B1137,pr_code,0))="","",INDEX(pr_price,MATCH(B1137,pr_code,0))),""))))</f>
        <v/>
      </c>
      <c r="K1137" s="71" t="str">
        <f>IF(COUNTA(A1137:G1137)=0,"",IF(G1137&lt;&gt;"",G1137,IF(B1137="","",IFERROR(IF(INDEX(pr_rate,MATCH(B1137,pr_code,0))="","",INDEX(pr_rate,MATCH(B1137,pr_code,0))),""))))</f>
        <v/>
      </c>
      <c r="L1137" s="65" t="str">
        <f>IF(COUNTA(A1137:G1137)=0,"",IF(AND(ISNUMBER(D1137),ISNUMBER(J1137)),ROUND(D1137*J1137*(1-N(F1137)),2),0))</f>
        <v/>
      </c>
      <c r="M1137" s="62" t="str">
        <f>IF(A1137="","",IFERROR(INDEX(fa_cname,MATCH(A1137,fa_num,0))&amp;"",""))</f>
        <v/>
      </c>
      <c r="N1137" s="59" t="str">
        <f>IF(COUNTA(A1137:G1137)=0,"",IF(A1137="","N° facture manquant",IF(ISNA(MATCH(A1137,fa_num,0)),"Facture inconnue",IF(AND(B1137&lt;&gt;"",ISNA(MATCH(B1137,pr_code,0))),"Article inconnu",IF(H1137="","Désignation manquante",IF(OR(NOT(ISNUMBER(D1137)),N(D1137)&lt;=0),"Quantité invalide",IF(J1137="","Prix manquant",IF(OR(NOT(ISNUMBER(J1137)),N(J1137)&lt;0),"Prix invalide",IF(OR(AND(F1137&lt;&gt;"",NOT(ISNUMBER(F1137))),N(F1137)&lt;0,N(F1137)&gt;1),"Remise invalide",IF(K1137="","Taux de TVA manquant",IF(NOT(ISNUMBER(K1137)),"Taux de TVA invalide",IF(COUNTIF(p_rates,K1137)=0,"Taux de TVA hors liste (Paramètres)",IF(N(O1137)&gt;25,"Au-delà de 25 lignes : non imprimée","OK")))))))))))))</f>
        <v/>
      </c>
      <c r="O1137" s="59" t="str">
        <f>IF(A1137="","",COUNTIF($A$6:A1137,A1137))</f>
        <v/>
      </c>
      <c r="P1137" s="62" t="str">
        <f>IF(A1137="","",A1137&amp;"|"&amp;O1137)</f>
        <v/>
      </c>
    </row>
    <row r="1138">
      <c r="A1138" s="60" t="n"/>
      <c r="B1138" s="63" t="n"/>
      <c r="C1138" s="63" t="n"/>
      <c r="D1138" s="67" t="n"/>
      <c r="E1138" s="68" t="n"/>
      <c r="F1138" s="69" t="n"/>
      <c r="G1138" s="70" t="n"/>
      <c r="H1138" s="62" t="str">
        <f>IF(COUNTA(A1138:G1138)=0,"",IF(C1138&lt;&gt;"",C1138,IF(B1138="","",IFERROR(INDEX(pr_des,MATCH(B1138,pr_code,0))&amp;"",""))))</f>
        <v/>
      </c>
      <c r="I1138" s="59" t="str">
        <f>IF(B1138="","",IFERROR(INDEX(pr_unit,MATCH(B1138,pr_code,0))&amp;"",""))</f>
        <v/>
      </c>
      <c r="J1138" s="65" t="str">
        <f>IF(COUNTA(A1138:G1138)=0,"",IF(E1138&lt;&gt;"",E1138,IF(B1138="","",IFERROR(IF(INDEX(pr_price,MATCH(B1138,pr_code,0))="","",INDEX(pr_price,MATCH(B1138,pr_code,0))),""))))</f>
        <v/>
      </c>
      <c r="K1138" s="71" t="str">
        <f>IF(COUNTA(A1138:G1138)=0,"",IF(G1138&lt;&gt;"",G1138,IF(B1138="","",IFERROR(IF(INDEX(pr_rate,MATCH(B1138,pr_code,0))="","",INDEX(pr_rate,MATCH(B1138,pr_code,0))),""))))</f>
        <v/>
      </c>
      <c r="L1138" s="65" t="str">
        <f>IF(COUNTA(A1138:G1138)=0,"",IF(AND(ISNUMBER(D1138),ISNUMBER(J1138)),ROUND(D1138*J1138*(1-N(F1138)),2),0))</f>
        <v/>
      </c>
      <c r="M1138" s="62" t="str">
        <f>IF(A1138="","",IFERROR(INDEX(fa_cname,MATCH(A1138,fa_num,0))&amp;"",""))</f>
        <v/>
      </c>
      <c r="N1138" s="59" t="str">
        <f>IF(COUNTA(A1138:G1138)=0,"",IF(A1138="","N° facture manquant",IF(ISNA(MATCH(A1138,fa_num,0)),"Facture inconnue",IF(AND(B1138&lt;&gt;"",ISNA(MATCH(B1138,pr_code,0))),"Article inconnu",IF(H1138="","Désignation manquante",IF(OR(NOT(ISNUMBER(D1138)),N(D1138)&lt;=0),"Quantité invalide",IF(J1138="","Prix manquant",IF(OR(NOT(ISNUMBER(J1138)),N(J1138)&lt;0),"Prix invalide",IF(OR(AND(F1138&lt;&gt;"",NOT(ISNUMBER(F1138))),N(F1138)&lt;0,N(F1138)&gt;1),"Remise invalide",IF(K1138="","Taux de TVA manquant",IF(NOT(ISNUMBER(K1138)),"Taux de TVA invalide",IF(COUNTIF(p_rates,K1138)=0,"Taux de TVA hors liste (Paramètres)",IF(N(O1138)&gt;25,"Au-delà de 25 lignes : non imprimée","OK")))))))))))))</f>
        <v/>
      </c>
      <c r="O1138" s="59" t="str">
        <f>IF(A1138="","",COUNTIF($A$6:A1138,A1138))</f>
        <v/>
      </c>
      <c r="P1138" s="62" t="str">
        <f>IF(A1138="","",A1138&amp;"|"&amp;O1138)</f>
        <v/>
      </c>
    </row>
    <row r="1139">
      <c r="A1139" s="60" t="n"/>
      <c r="B1139" s="63" t="n"/>
      <c r="C1139" s="63" t="n"/>
      <c r="D1139" s="67" t="n"/>
      <c r="E1139" s="68" t="n"/>
      <c r="F1139" s="69" t="n"/>
      <c r="G1139" s="70" t="n"/>
      <c r="H1139" s="62" t="str">
        <f>IF(COUNTA(A1139:G1139)=0,"",IF(C1139&lt;&gt;"",C1139,IF(B1139="","",IFERROR(INDEX(pr_des,MATCH(B1139,pr_code,0))&amp;"",""))))</f>
        <v/>
      </c>
      <c r="I1139" s="59" t="str">
        <f>IF(B1139="","",IFERROR(INDEX(pr_unit,MATCH(B1139,pr_code,0))&amp;"",""))</f>
        <v/>
      </c>
      <c r="J1139" s="65" t="str">
        <f>IF(COUNTA(A1139:G1139)=0,"",IF(E1139&lt;&gt;"",E1139,IF(B1139="","",IFERROR(IF(INDEX(pr_price,MATCH(B1139,pr_code,0))="","",INDEX(pr_price,MATCH(B1139,pr_code,0))),""))))</f>
        <v/>
      </c>
      <c r="K1139" s="71" t="str">
        <f>IF(COUNTA(A1139:G1139)=0,"",IF(G1139&lt;&gt;"",G1139,IF(B1139="","",IFERROR(IF(INDEX(pr_rate,MATCH(B1139,pr_code,0))="","",INDEX(pr_rate,MATCH(B1139,pr_code,0))),""))))</f>
        <v/>
      </c>
      <c r="L1139" s="65" t="str">
        <f>IF(COUNTA(A1139:G1139)=0,"",IF(AND(ISNUMBER(D1139),ISNUMBER(J1139)),ROUND(D1139*J1139*(1-N(F1139)),2),0))</f>
        <v/>
      </c>
      <c r="M1139" s="62" t="str">
        <f>IF(A1139="","",IFERROR(INDEX(fa_cname,MATCH(A1139,fa_num,0))&amp;"",""))</f>
        <v/>
      </c>
      <c r="N1139" s="59" t="str">
        <f>IF(COUNTA(A1139:G1139)=0,"",IF(A1139="","N° facture manquant",IF(ISNA(MATCH(A1139,fa_num,0)),"Facture inconnue",IF(AND(B1139&lt;&gt;"",ISNA(MATCH(B1139,pr_code,0))),"Article inconnu",IF(H1139="","Désignation manquante",IF(OR(NOT(ISNUMBER(D1139)),N(D1139)&lt;=0),"Quantité invalide",IF(J1139="","Prix manquant",IF(OR(NOT(ISNUMBER(J1139)),N(J1139)&lt;0),"Prix invalide",IF(OR(AND(F1139&lt;&gt;"",NOT(ISNUMBER(F1139))),N(F1139)&lt;0,N(F1139)&gt;1),"Remise invalide",IF(K1139="","Taux de TVA manquant",IF(NOT(ISNUMBER(K1139)),"Taux de TVA invalide",IF(COUNTIF(p_rates,K1139)=0,"Taux de TVA hors liste (Paramètres)",IF(N(O1139)&gt;25,"Au-delà de 25 lignes : non imprimée","OK")))))))))))))</f>
        <v/>
      </c>
      <c r="O1139" s="59" t="str">
        <f>IF(A1139="","",COUNTIF($A$6:A1139,A1139))</f>
        <v/>
      </c>
      <c r="P1139" s="62" t="str">
        <f>IF(A1139="","",A1139&amp;"|"&amp;O1139)</f>
        <v/>
      </c>
    </row>
    <row r="1140">
      <c r="A1140" s="60" t="n"/>
      <c r="B1140" s="63" t="n"/>
      <c r="C1140" s="63" t="n"/>
      <c r="D1140" s="67" t="n"/>
      <c r="E1140" s="68" t="n"/>
      <c r="F1140" s="69" t="n"/>
      <c r="G1140" s="70" t="n"/>
      <c r="H1140" s="62" t="str">
        <f>IF(COUNTA(A1140:G1140)=0,"",IF(C1140&lt;&gt;"",C1140,IF(B1140="","",IFERROR(INDEX(pr_des,MATCH(B1140,pr_code,0))&amp;"",""))))</f>
        <v/>
      </c>
      <c r="I1140" s="59" t="str">
        <f>IF(B1140="","",IFERROR(INDEX(pr_unit,MATCH(B1140,pr_code,0))&amp;"",""))</f>
        <v/>
      </c>
      <c r="J1140" s="65" t="str">
        <f>IF(COUNTA(A1140:G1140)=0,"",IF(E1140&lt;&gt;"",E1140,IF(B1140="","",IFERROR(IF(INDEX(pr_price,MATCH(B1140,pr_code,0))="","",INDEX(pr_price,MATCH(B1140,pr_code,0))),""))))</f>
        <v/>
      </c>
      <c r="K1140" s="71" t="str">
        <f>IF(COUNTA(A1140:G1140)=0,"",IF(G1140&lt;&gt;"",G1140,IF(B1140="","",IFERROR(IF(INDEX(pr_rate,MATCH(B1140,pr_code,0))="","",INDEX(pr_rate,MATCH(B1140,pr_code,0))),""))))</f>
        <v/>
      </c>
      <c r="L1140" s="65" t="str">
        <f>IF(COUNTA(A1140:G1140)=0,"",IF(AND(ISNUMBER(D1140),ISNUMBER(J1140)),ROUND(D1140*J1140*(1-N(F1140)),2),0))</f>
        <v/>
      </c>
      <c r="M1140" s="62" t="str">
        <f>IF(A1140="","",IFERROR(INDEX(fa_cname,MATCH(A1140,fa_num,0))&amp;"",""))</f>
        <v/>
      </c>
      <c r="N1140" s="59" t="str">
        <f>IF(COUNTA(A1140:G1140)=0,"",IF(A1140="","N° facture manquant",IF(ISNA(MATCH(A1140,fa_num,0)),"Facture inconnue",IF(AND(B1140&lt;&gt;"",ISNA(MATCH(B1140,pr_code,0))),"Article inconnu",IF(H1140="","Désignation manquante",IF(OR(NOT(ISNUMBER(D1140)),N(D1140)&lt;=0),"Quantité invalide",IF(J1140="","Prix manquant",IF(OR(NOT(ISNUMBER(J1140)),N(J1140)&lt;0),"Prix invalide",IF(OR(AND(F1140&lt;&gt;"",NOT(ISNUMBER(F1140))),N(F1140)&lt;0,N(F1140)&gt;1),"Remise invalide",IF(K1140="","Taux de TVA manquant",IF(NOT(ISNUMBER(K1140)),"Taux de TVA invalide",IF(COUNTIF(p_rates,K1140)=0,"Taux de TVA hors liste (Paramètres)",IF(N(O1140)&gt;25,"Au-delà de 25 lignes : non imprimée","OK")))))))))))))</f>
        <v/>
      </c>
      <c r="O1140" s="59" t="str">
        <f>IF(A1140="","",COUNTIF($A$6:A1140,A1140))</f>
        <v/>
      </c>
      <c r="P1140" s="62" t="str">
        <f>IF(A1140="","",A1140&amp;"|"&amp;O1140)</f>
        <v/>
      </c>
    </row>
    <row r="1141">
      <c r="A1141" s="60" t="n"/>
      <c r="B1141" s="63" t="n"/>
      <c r="C1141" s="63" t="n"/>
      <c r="D1141" s="67" t="n"/>
      <c r="E1141" s="68" t="n"/>
      <c r="F1141" s="69" t="n"/>
      <c r="G1141" s="70" t="n"/>
      <c r="H1141" s="62" t="str">
        <f>IF(COUNTA(A1141:G1141)=0,"",IF(C1141&lt;&gt;"",C1141,IF(B1141="","",IFERROR(INDEX(pr_des,MATCH(B1141,pr_code,0))&amp;"",""))))</f>
        <v/>
      </c>
      <c r="I1141" s="59" t="str">
        <f>IF(B1141="","",IFERROR(INDEX(pr_unit,MATCH(B1141,pr_code,0))&amp;"",""))</f>
        <v/>
      </c>
      <c r="J1141" s="65" t="str">
        <f>IF(COUNTA(A1141:G1141)=0,"",IF(E1141&lt;&gt;"",E1141,IF(B1141="","",IFERROR(IF(INDEX(pr_price,MATCH(B1141,pr_code,0))="","",INDEX(pr_price,MATCH(B1141,pr_code,0))),""))))</f>
        <v/>
      </c>
      <c r="K1141" s="71" t="str">
        <f>IF(COUNTA(A1141:G1141)=0,"",IF(G1141&lt;&gt;"",G1141,IF(B1141="","",IFERROR(IF(INDEX(pr_rate,MATCH(B1141,pr_code,0))="","",INDEX(pr_rate,MATCH(B1141,pr_code,0))),""))))</f>
        <v/>
      </c>
      <c r="L1141" s="65" t="str">
        <f>IF(COUNTA(A1141:G1141)=0,"",IF(AND(ISNUMBER(D1141),ISNUMBER(J1141)),ROUND(D1141*J1141*(1-N(F1141)),2),0))</f>
        <v/>
      </c>
      <c r="M1141" s="62" t="str">
        <f>IF(A1141="","",IFERROR(INDEX(fa_cname,MATCH(A1141,fa_num,0))&amp;"",""))</f>
        <v/>
      </c>
      <c r="N1141" s="59" t="str">
        <f>IF(COUNTA(A1141:G1141)=0,"",IF(A1141="","N° facture manquant",IF(ISNA(MATCH(A1141,fa_num,0)),"Facture inconnue",IF(AND(B1141&lt;&gt;"",ISNA(MATCH(B1141,pr_code,0))),"Article inconnu",IF(H1141="","Désignation manquante",IF(OR(NOT(ISNUMBER(D1141)),N(D1141)&lt;=0),"Quantité invalide",IF(J1141="","Prix manquant",IF(OR(NOT(ISNUMBER(J1141)),N(J1141)&lt;0),"Prix invalide",IF(OR(AND(F1141&lt;&gt;"",NOT(ISNUMBER(F1141))),N(F1141)&lt;0,N(F1141)&gt;1),"Remise invalide",IF(K1141="","Taux de TVA manquant",IF(NOT(ISNUMBER(K1141)),"Taux de TVA invalide",IF(COUNTIF(p_rates,K1141)=0,"Taux de TVA hors liste (Paramètres)",IF(N(O1141)&gt;25,"Au-delà de 25 lignes : non imprimée","OK")))))))))))))</f>
        <v/>
      </c>
      <c r="O1141" s="59" t="str">
        <f>IF(A1141="","",COUNTIF($A$6:A1141,A1141))</f>
        <v/>
      </c>
      <c r="P1141" s="62" t="str">
        <f>IF(A1141="","",A1141&amp;"|"&amp;O1141)</f>
        <v/>
      </c>
    </row>
    <row r="1142">
      <c r="A1142" s="60" t="n"/>
      <c r="B1142" s="63" t="n"/>
      <c r="C1142" s="63" t="n"/>
      <c r="D1142" s="67" t="n"/>
      <c r="E1142" s="68" t="n"/>
      <c r="F1142" s="69" t="n"/>
      <c r="G1142" s="70" t="n"/>
      <c r="H1142" s="62" t="str">
        <f>IF(COUNTA(A1142:G1142)=0,"",IF(C1142&lt;&gt;"",C1142,IF(B1142="","",IFERROR(INDEX(pr_des,MATCH(B1142,pr_code,0))&amp;"",""))))</f>
        <v/>
      </c>
      <c r="I1142" s="59" t="str">
        <f>IF(B1142="","",IFERROR(INDEX(pr_unit,MATCH(B1142,pr_code,0))&amp;"",""))</f>
        <v/>
      </c>
      <c r="J1142" s="65" t="str">
        <f>IF(COUNTA(A1142:G1142)=0,"",IF(E1142&lt;&gt;"",E1142,IF(B1142="","",IFERROR(IF(INDEX(pr_price,MATCH(B1142,pr_code,0))="","",INDEX(pr_price,MATCH(B1142,pr_code,0))),""))))</f>
        <v/>
      </c>
      <c r="K1142" s="71" t="str">
        <f>IF(COUNTA(A1142:G1142)=0,"",IF(G1142&lt;&gt;"",G1142,IF(B1142="","",IFERROR(IF(INDEX(pr_rate,MATCH(B1142,pr_code,0))="","",INDEX(pr_rate,MATCH(B1142,pr_code,0))),""))))</f>
        <v/>
      </c>
      <c r="L1142" s="65" t="str">
        <f>IF(COUNTA(A1142:G1142)=0,"",IF(AND(ISNUMBER(D1142),ISNUMBER(J1142)),ROUND(D1142*J1142*(1-N(F1142)),2),0))</f>
        <v/>
      </c>
      <c r="M1142" s="62" t="str">
        <f>IF(A1142="","",IFERROR(INDEX(fa_cname,MATCH(A1142,fa_num,0))&amp;"",""))</f>
        <v/>
      </c>
      <c r="N1142" s="59" t="str">
        <f>IF(COUNTA(A1142:G1142)=0,"",IF(A1142="","N° facture manquant",IF(ISNA(MATCH(A1142,fa_num,0)),"Facture inconnue",IF(AND(B1142&lt;&gt;"",ISNA(MATCH(B1142,pr_code,0))),"Article inconnu",IF(H1142="","Désignation manquante",IF(OR(NOT(ISNUMBER(D1142)),N(D1142)&lt;=0),"Quantité invalide",IF(J1142="","Prix manquant",IF(OR(NOT(ISNUMBER(J1142)),N(J1142)&lt;0),"Prix invalide",IF(OR(AND(F1142&lt;&gt;"",NOT(ISNUMBER(F1142))),N(F1142)&lt;0,N(F1142)&gt;1),"Remise invalide",IF(K1142="","Taux de TVA manquant",IF(NOT(ISNUMBER(K1142)),"Taux de TVA invalide",IF(COUNTIF(p_rates,K1142)=0,"Taux de TVA hors liste (Paramètres)",IF(N(O1142)&gt;25,"Au-delà de 25 lignes : non imprimée","OK")))))))))))))</f>
        <v/>
      </c>
      <c r="O1142" s="59" t="str">
        <f>IF(A1142="","",COUNTIF($A$6:A1142,A1142))</f>
        <v/>
      </c>
      <c r="P1142" s="62" t="str">
        <f>IF(A1142="","",A1142&amp;"|"&amp;O1142)</f>
        <v/>
      </c>
    </row>
    <row r="1143">
      <c r="A1143" s="60" t="n"/>
      <c r="B1143" s="63" t="n"/>
      <c r="C1143" s="63" t="n"/>
      <c r="D1143" s="67" t="n"/>
      <c r="E1143" s="68" t="n"/>
      <c r="F1143" s="69" t="n"/>
      <c r="G1143" s="70" t="n"/>
      <c r="H1143" s="62" t="str">
        <f>IF(COUNTA(A1143:G1143)=0,"",IF(C1143&lt;&gt;"",C1143,IF(B1143="","",IFERROR(INDEX(pr_des,MATCH(B1143,pr_code,0))&amp;"",""))))</f>
        <v/>
      </c>
      <c r="I1143" s="59" t="str">
        <f>IF(B1143="","",IFERROR(INDEX(pr_unit,MATCH(B1143,pr_code,0))&amp;"",""))</f>
        <v/>
      </c>
      <c r="J1143" s="65" t="str">
        <f>IF(COUNTA(A1143:G1143)=0,"",IF(E1143&lt;&gt;"",E1143,IF(B1143="","",IFERROR(IF(INDEX(pr_price,MATCH(B1143,pr_code,0))="","",INDEX(pr_price,MATCH(B1143,pr_code,0))),""))))</f>
        <v/>
      </c>
      <c r="K1143" s="71" t="str">
        <f>IF(COUNTA(A1143:G1143)=0,"",IF(G1143&lt;&gt;"",G1143,IF(B1143="","",IFERROR(IF(INDEX(pr_rate,MATCH(B1143,pr_code,0))="","",INDEX(pr_rate,MATCH(B1143,pr_code,0))),""))))</f>
        <v/>
      </c>
      <c r="L1143" s="65" t="str">
        <f>IF(COUNTA(A1143:G1143)=0,"",IF(AND(ISNUMBER(D1143),ISNUMBER(J1143)),ROUND(D1143*J1143*(1-N(F1143)),2),0))</f>
        <v/>
      </c>
      <c r="M1143" s="62" t="str">
        <f>IF(A1143="","",IFERROR(INDEX(fa_cname,MATCH(A1143,fa_num,0))&amp;"",""))</f>
        <v/>
      </c>
      <c r="N1143" s="59" t="str">
        <f>IF(COUNTA(A1143:G1143)=0,"",IF(A1143="","N° facture manquant",IF(ISNA(MATCH(A1143,fa_num,0)),"Facture inconnue",IF(AND(B1143&lt;&gt;"",ISNA(MATCH(B1143,pr_code,0))),"Article inconnu",IF(H1143="","Désignation manquante",IF(OR(NOT(ISNUMBER(D1143)),N(D1143)&lt;=0),"Quantité invalide",IF(J1143="","Prix manquant",IF(OR(NOT(ISNUMBER(J1143)),N(J1143)&lt;0),"Prix invalide",IF(OR(AND(F1143&lt;&gt;"",NOT(ISNUMBER(F1143))),N(F1143)&lt;0,N(F1143)&gt;1),"Remise invalide",IF(K1143="","Taux de TVA manquant",IF(NOT(ISNUMBER(K1143)),"Taux de TVA invalide",IF(COUNTIF(p_rates,K1143)=0,"Taux de TVA hors liste (Paramètres)",IF(N(O1143)&gt;25,"Au-delà de 25 lignes : non imprimée","OK")))))))))))))</f>
        <v/>
      </c>
      <c r="O1143" s="59" t="str">
        <f>IF(A1143="","",COUNTIF($A$6:A1143,A1143))</f>
        <v/>
      </c>
      <c r="P1143" s="62" t="str">
        <f>IF(A1143="","",A1143&amp;"|"&amp;O1143)</f>
        <v/>
      </c>
    </row>
    <row r="1144">
      <c r="A1144" s="60" t="n"/>
      <c r="B1144" s="63" t="n"/>
      <c r="C1144" s="63" t="n"/>
      <c r="D1144" s="67" t="n"/>
      <c r="E1144" s="68" t="n"/>
      <c r="F1144" s="69" t="n"/>
      <c r="G1144" s="70" t="n"/>
      <c r="H1144" s="62" t="str">
        <f>IF(COUNTA(A1144:G1144)=0,"",IF(C1144&lt;&gt;"",C1144,IF(B1144="","",IFERROR(INDEX(pr_des,MATCH(B1144,pr_code,0))&amp;"",""))))</f>
        <v/>
      </c>
      <c r="I1144" s="59" t="str">
        <f>IF(B1144="","",IFERROR(INDEX(pr_unit,MATCH(B1144,pr_code,0))&amp;"",""))</f>
        <v/>
      </c>
      <c r="J1144" s="65" t="str">
        <f>IF(COUNTA(A1144:G1144)=0,"",IF(E1144&lt;&gt;"",E1144,IF(B1144="","",IFERROR(IF(INDEX(pr_price,MATCH(B1144,pr_code,0))="","",INDEX(pr_price,MATCH(B1144,pr_code,0))),""))))</f>
        <v/>
      </c>
      <c r="K1144" s="71" t="str">
        <f>IF(COUNTA(A1144:G1144)=0,"",IF(G1144&lt;&gt;"",G1144,IF(B1144="","",IFERROR(IF(INDEX(pr_rate,MATCH(B1144,pr_code,0))="","",INDEX(pr_rate,MATCH(B1144,pr_code,0))),""))))</f>
        <v/>
      </c>
      <c r="L1144" s="65" t="str">
        <f>IF(COUNTA(A1144:G1144)=0,"",IF(AND(ISNUMBER(D1144),ISNUMBER(J1144)),ROUND(D1144*J1144*(1-N(F1144)),2),0))</f>
        <v/>
      </c>
      <c r="M1144" s="62" t="str">
        <f>IF(A1144="","",IFERROR(INDEX(fa_cname,MATCH(A1144,fa_num,0))&amp;"",""))</f>
        <v/>
      </c>
      <c r="N1144" s="59" t="str">
        <f>IF(COUNTA(A1144:G1144)=0,"",IF(A1144="","N° facture manquant",IF(ISNA(MATCH(A1144,fa_num,0)),"Facture inconnue",IF(AND(B1144&lt;&gt;"",ISNA(MATCH(B1144,pr_code,0))),"Article inconnu",IF(H1144="","Désignation manquante",IF(OR(NOT(ISNUMBER(D1144)),N(D1144)&lt;=0),"Quantité invalide",IF(J1144="","Prix manquant",IF(OR(NOT(ISNUMBER(J1144)),N(J1144)&lt;0),"Prix invalide",IF(OR(AND(F1144&lt;&gt;"",NOT(ISNUMBER(F1144))),N(F1144)&lt;0,N(F1144)&gt;1),"Remise invalide",IF(K1144="","Taux de TVA manquant",IF(NOT(ISNUMBER(K1144)),"Taux de TVA invalide",IF(COUNTIF(p_rates,K1144)=0,"Taux de TVA hors liste (Paramètres)",IF(N(O1144)&gt;25,"Au-delà de 25 lignes : non imprimée","OK")))))))))))))</f>
        <v/>
      </c>
      <c r="O1144" s="59" t="str">
        <f>IF(A1144="","",COUNTIF($A$6:A1144,A1144))</f>
        <v/>
      </c>
      <c r="P1144" s="62" t="str">
        <f>IF(A1144="","",A1144&amp;"|"&amp;O1144)</f>
        <v/>
      </c>
    </row>
    <row r="1145">
      <c r="A1145" s="60" t="n"/>
      <c r="B1145" s="63" t="n"/>
      <c r="C1145" s="63" t="n"/>
      <c r="D1145" s="67" t="n"/>
      <c r="E1145" s="68" t="n"/>
      <c r="F1145" s="69" t="n"/>
      <c r="G1145" s="70" t="n"/>
      <c r="H1145" s="62" t="str">
        <f>IF(COUNTA(A1145:G1145)=0,"",IF(C1145&lt;&gt;"",C1145,IF(B1145="","",IFERROR(INDEX(pr_des,MATCH(B1145,pr_code,0))&amp;"",""))))</f>
        <v/>
      </c>
      <c r="I1145" s="59" t="str">
        <f>IF(B1145="","",IFERROR(INDEX(pr_unit,MATCH(B1145,pr_code,0))&amp;"",""))</f>
        <v/>
      </c>
      <c r="J1145" s="65" t="str">
        <f>IF(COUNTA(A1145:G1145)=0,"",IF(E1145&lt;&gt;"",E1145,IF(B1145="","",IFERROR(IF(INDEX(pr_price,MATCH(B1145,pr_code,0))="","",INDEX(pr_price,MATCH(B1145,pr_code,0))),""))))</f>
        <v/>
      </c>
      <c r="K1145" s="71" t="str">
        <f>IF(COUNTA(A1145:G1145)=0,"",IF(G1145&lt;&gt;"",G1145,IF(B1145="","",IFERROR(IF(INDEX(pr_rate,MATCH(B1145,pr_code,0))="","",INDEX(pr_rate,MATCH(B1145,pr_code,0))),""))))</f>
        <v/>
      </c>
      <c r="L1145" s="65" t="str">
        <f>IF(COUNTA(A1145:G1145)=0,"",IF(AND(ISNUMBER(D1145),ISNUMBER(J1145)),ROUND(D1145*J1145*(1-N(F1145)),2),0))</f>
        <v/>
      </c>
      <c r="M1145" s="62" t="str">
        <f>IF(A1145="","",IFERROR(INDEX(fa_cname,MATCH(A1145,fa_num,0))&amp;"",""))</f>
        <v/>
      </c>
      <c r="N1145" s="59" t="str">
        <f>IF(COUNTA(A1145:G1145)=0,"",IF(A1145="","N° facture manquant",IF(ISNA(MATCH(A1145,fa_num,0)),"Facture inconnue",IF(AND(B1145&lt;&gt;"",ISNA(MATCH(B1145,pr_code,0))),"Article inconnu",IF(H1145="","Désignation manquante",IF(OR(NOT(ISNUMBER(D1145)),N(D1145)&lt;=0),"Quantité invalide",IF(J1145="","Prix manquant",IF(OR(NOT(ISNUMBER(J1145)),N(J1145)&lt;0),"Prix invalide",IF(OR(AND(F1145&lt;&gt;"",NOT(ISNUMBER(F1145))),N(F1145)&lt;0,N(F1145)&gt;1),"Remise invalide",IF(K1145="","Taux de TVA manquant",IF(NOT(ISNUMBER(K1145)),"Taux de TVA invalide",IF(COUNTIF(p_rates,K1145)=0,"Taux de TVA hors liste (Paramètres)",IF(N(O1145)&gt;25,"Au-delà de 25 lignes : non imprimée","OK")))))))))))))</f>
        <v/>
      </c>
      <c r="O1145" s="59" t="str">
        <f>IF(A1145="","",COUNTIF($A$6:A1145,A1145))</f>
        <v/>
      </c>
      <c r="P1145" s="62" t="str">
        <f>IF(A1145="","",A1145&amp;"|"&amp;O1145)</f>
        <v/>
      </c>
    </row>
    <row r="1146">
      <c r="A1146" s="60" t="n"/>
      <c r="B1146" s="63" t="n"/>
      <c r="C1146" s="63" t="n"/>
      <c r="D1146" s="67" t="n"/>
      <c r="E1146" s="68" t="n"/>
      <c r="F1146" s="69" t="n"/>
      <c r="G1146" s="70" t="n"/>
      <c r="H1146" s="62" t="str">
        <f>IF(COUNTA(A1146:G1146)=0,"",IF(C1146&lt;&gt;"",C1146,IF(B1146="","",IFERROR(INDEX(pr_des,MATCH(B1146,pr_code,0))&amp;"",""))))</f>
        <v/>
      </c>
      <c r="I1146" s="59" t="str">
        <f>IF(B1146="","",IFERROR(INDEX(pr_unit,MATCH(B1146,pr_code,0))&amp;"",""))</f>
        <v/>
      </c>
      <c r="J1146" s="65" t="str">
        <f>IF(COUNTA(A1146:G1146)=0,"",IF(E1146&lt;&gt;"",E1146,IF(B1146="","",IFERROR(IF(INDEX(pr_price,MATCH(B1146,pr_code,0))="","",INDEX(pr_price,MATCH(B1146,pr_code,0))),""))))</f>
        <v/>
      </c>
      <c r="K1146" s="71" t="str">
        <f>IF(COUNTA(A1146:G1146)=0,"",IF(G1146&lt;&gt;"",G1146,IF(B1146="","",IFERROR(IF(INDEX(pr_rate,MATCH(B1146,pr_code,0))="","",INDEX(pr_rate,MATCH(B1146,pr_code,0))),""))))</f>
        <v/>
      </c>
      <c r="L1146" s="65" t="str">
        <f>IF(COUNTA(A1146:G1146)=0,"",IF(AND(ISNUMBER(D1146),ISNUMBER(J1146)),ROUND(D1146*J1146*(1-N(F1146)),2),0))</f>
        <v/>
      </c>
      <c r="M1146" s="62" t="str">
        <f>IF(A1146="","",IFERROR(INDEX(fa_cname,MATCH(A1146,fa_num,0))&amp;"",""))</f>
        <v/>
      </c>
      <c r="N1146" s="59" t="str">
        <f>IF(COUNTA(A1146:G1146)=0,"",IF(A1146="","N° facture manquant",IF(ISNA(MATCH(A1146,fa_num,0)),"Facture inconnue",IF(AND(B1146&lt;&gt;"",ISNA(MATCH(B1146,pr_code,0))),"Article inconnu",IF(H1146="","Désignation manquante",IF(OR(NOT(ISNUMBER(D1146)),N(D1146)&lt;=0),"Quantité invalide",IF(J1146="","Prix manquant",IF(OR(NOT(ISNUMBER(J1146)),N(J1146)&lt;0),"Prix invalide",IF(OR(AND(F1146&lt;&gt;"",NOT(ISNUMBER(F1146))),N(F1146)&lt;0,N(F1146)&gt;1),"Remise invalide",IF(K1146="","Taux de TVA manquant",IF(NOT(ISNUMBER(K1146)),"Taux de TVA invalide",IF(COUNTIF(p_rates,K1146)=0,"Taux de TVA hors liste (Paramètres)",IF(N(O1146)&gt;25,"Au-delà de 25 lignes : non imprimée","OK")))))))))))))</f>
        <v/>
      </c>
      <c r="O1146" s="59" t="str">
        <f>IF(A1146="","",COUNTIF($A$6:A1146,A1146))</f>
        <v/>
      </c>
      <c r="P1146" s="62" t="str">
        <f>IF(A1146="","",A1146&amp;"|"&amp;O1146)</f>
        <v/>
      </c>
    </row>
    <row r="1147">
      <c r="A1147" s="60" t="n"/>
      <c r="B1147" s="63" t="n"/>
      <c r="C1147" s="63" t="n"/>
      <c r="D1147" s="67" t="n"/>
      <c r="E1147" s="68" t="n"/>
      <c r="F1147" s="69" t="n"/>
      <c r="G1147" s="70" t="n"/>
      <c r="H1147" s="62" t="str">
        <f>IF(COUNTA(A1147:G1147)=0,"",IF(C1147&lt;&gt;"",C1147,IF(B1147="","",IFERROR(INDEX(pr_des,MATCH(B1147,pr_code,0))&amp;"",""))))</f>
        <v/>
      </c>
      <c r="I1147" s="59" t="str">
        <f>IF(B1147="","",IFERROR(INDEX(pr_unit,MATCH(B1147,pr_code,0))&amp;"",""))</f>
        <v/>
      </c>
      <c r="J1147" s="65" t="str">
        <f>IF(COUNTA(A1147:G1147)=0,"",IF(E1147&lt;&gt;"",E1147,IF(B1147="","",IFERROR(IF(INDEX(pr_price,MATCH(B1147,pr_code,0))="","",INDEX(pr_price,MATCH(B1147,pr_code,0))),""))))</f>
        <v/>
      </c>
      <c r="K1147" s="71" t="str">
        <f>IF(COUNTA(A1147:G1147)=0,"",IF(G1147&lt;&gt;"",G1147,IF(B1147="","",IFERROR(IF(INDEX(pr_rate,MATCH(B1147,pr_code,0))="","",INDEX(pr_rate,MATCH(B1147,pr_code,0))),""))))</f>
        <v/>
      </c>
      <c r="L1147" s="65" t="str">
        <f>IF(COUNTA(A1147:G1147)=0,"",IF(AND(ISNUMBER(D1147),ISNUMBER(J1147)),ROUND(D1147*J1147*(1-N(F1147)),2),0))</f>
        <v/>
      </c>
      <c r="M1147" s="62" t="str">
        <f>IF(A1147="","",IFERROR(INDEX(fa_cname,MATCH(A1147,fa_num,0))&amp;"",""))</f>
        <v/>
      </c>
      <c r="N1147" s="59" t="str">
        <f>IF(COUNTA(A1147:G1147)=0,"",IF(A1147="","N° facture manquant",IF(ISNA(MATCH(A1147,fa_num,0)),"Facture inconnue",IF(AND(B1147&lt;&gt;"",ISNA(MATCH(B1147,pr_code,0))),"Article inconnu",IF(H1147="","Désignation manquante",IF(OR(NOT(ISNUMBER(D1147)),N(D1147)&lt;=0),"Quantité invalide",IF(J1147="","Prix manquant",IF(OR(NOT(ISNUMBER(J1147)),N(J1147)&lt;0),"Prix invalide",IF(OR(AND(F1147&lt;&gt;"",NOT(ISNUMBER(F1147))),N(F1147)&lt;0,N(F1147)&gt;1),"Remise invalide",IF(K1147="","Taux de TVA manquant",IF(NOT(ISNUMBER(K1147)),"Taux de TVA invalide",IF(COUNTIF(p_rates,K1147)=0,"Taux de TVA hors liste (Paramètres)",IF(N(O1147)&gt;25,"Au-delà de 25 lignes : non imprimée","OK")))))))))))))</f>
        <v/>
      </c>
      <c r="O1147" s="59" t="str">
        <f>IF(A1147="","",COUNTIF($A$6:A1147,A1147))</f>
        <v/>
      </c>
      <c r="P1147" s="62" t="str">
        <f>IF(A1147="","",A1147&amp;"|"&amp;O1147)</f>
        <v/>
      </c>
    </row>
    <row r="1148">
      <c r="A1148" s="60" t="n"/>
      <c r="B1148" s="63" t="n"/>
      <c r="C1148" s="63" t="n"/>
      <c r="D1148" s="67" t="n"/>
      <c r="E1148" s="68" t="n"/>
      <c r="F1148" s="69" t="n"/>
      <c r="G1148" s="70" t="n"/>
      <c r="H1148" s="62" t="str">
        <f>IF(COUNTA(A1148:G1148)=0,"",IF(C1148&lt;&gt;"",C1148,IF(B1148="","",IFERROR(INDEX(pr_des,MATCH(B1148,pr_code,0))&amp;"",""))))</f>
        <v/>
      </c>
      <c r="I1148" s="59" t="str">
        <f>IF(B1148="","",IFERROR(INDEX(pr_unit,MATCH(B1148,pr_code,0))&amp;"",""))</f>
        <v/>
      </c>
      <c r="J1148" s="65" t="str">
        <f>IF(COUNTA(A1148:G1148)=0,"",IF(E1148&lt;&gt;"",E1148,IF(B1148="","",IFERROR(IF(INDEX(pr_price,MATCH(B1148,pr_code,0))="","",INDEX(pr_price,MATCH(B1148,pr_code,0))),""))))</f>
        <v/>
      </c>
      <c r="K1148" s="71" t="str">
        <f>IF(COUNTA(A1148:G1148)=0,"",IF(G1148&lt;&gt;"",G1148,IF(B1148="","",IFERROR(IF(INDEX(pr_rate,MATCH(B1148,pr_code,0))="","",INDEX(pr_rate,MATCH(B1148,pr_code,0))),""))))</f>
        <v/>
      </c>
      <c r="L1148" s="65" t="str">
        <f>IF(COUNTA(A1148:G1148)=0,"",IF(AND(ISNUMBER(D1148),ISNUMBER(J1148)),ROUND(D1148*J1148*(1-N(F1148)),2),0))</f>
        <v/>
      </c>
      <c r="M1148" s="62" t="str">
        <f>IF(A1148="","",IFERROR(INDEX(fa_cname,MATCH(A1148,fa_num,0))&amp;"",""))</f>
        <v/>
      </c>
      <c r="N1148" s="59" t="str">
        <f>IF(COUNTA(A1148:G1148)=0,"",IF(A1148="","N° facture manquant",IF(ISNA(MATCH(A1148,fa_num,0)),"Facture inconnue",IF(AND(B1148&lt;&gt;"",ISNA(MATCH(B1148,pr_code,0))),"Article inconnu",IF(H1148="","Désignation manquante",IF(OR(NOT(ISNUMBER(D1148)),N(D1148)&lt;=0),"Quantité invalide",IF(J1148="","Prix manquant",IF(OR(NOT(ISNUMBER(J1148)),N(J1148)&lt;0),"Prix invalide",IF(OR(AND(F1148&lt;&gt;"",NOT(ISNUMBER(F1148))),N(F1148)&lt;0,N(F1148)&gt;1),"Remise invalide",IF(K1148="","Taux de TVA manquant",IF(NOT(ISNUMBER(K1148)),"Taux de TVA invalide",IF(COUNTIF(p_rates,K1148)=0,"Taux de TVA hors liste (Paramètres)",IF(N(O1148)&gt;25,"Au-delà de 25 lignes : non imprimée","OK")))))))))))))</f>
        <v/>
      </c>
      <c r="O1148" s="59" t="str">
        <f>IF(A1148="","",COUNTIF($A$6:A1148,A1148))</f>
        <v/>
      </c>
      <c r="P1148" s="62" t="str">
        <f>IF(A1148="","",A1148&amp;"|"&amp;O1148)</f>
        <v/>
      </c>
    </row>
    <row r="1149">
      <c r="A1149" s="60" t="n"/>
      <c r="B1149" s="63" t="n"/>
      <c r="C1149" s="63" t="n"/>
      <c r="D1149" s="67" t="n"/>
      <c r="E1149" s="68" t="n"/>
      <c r="F1149" s="69" t="n"/>
      <c r="G1149" s="70" t="n"/>
      <c r="H1149" s="62" t="str">
        <f>IF(COUNTA(A1149:G1149)=0,"",IF(C1149&lt;&gt;"",C1149,IF(B1149="","",IFERROR(INDEX(pr_des,MATCH(B1149,pr_code,0))&amp;"",""))))</f>
        <v/>
      </c>
      <c r="I1149" s="59" t="str">
        <f>IF(B1149="","",IFERROR(INDEX(pr_unit,MATCH(B1149,pr_code,0))&amp;"",""))</f>
        <v/>
      </c>
      <c r="J1149" s="65" t="str">
        <f>IF(COUNTA(A1149:G1149)=0,"",IF(E1149&lt;&gt;"",E1149,IF(B1149="","",IFERROR(IF(INDEX(pr_price,MATCH(B1149,pr_code,0))="","",INDEX(pr_price,MATCH(B1149,pr_code,0))),""))))</f>
        <v/>
      </c>
      <c r="K1149" s="71" t="str">
        <f>IF(COUNTA(A1149:G1149)=0,"",IF(G1149&lt;&gt;"",G1149,IF(B1149="","",IFERROR(IF(INDEX(pr_rate,MATCH(B1149,pr_code,0))="","",INDEX(pr_rate,MATCH(B1149,pr_code,0))),""))))</f>
        <v/>
      </c>
      <c r="L1149" s="65" t="str">
        <f>IF(COUNTA(A1149:G1149)=0,"",IF(AND(ISNUMBER(D1149),ISNUMBER(J1149)),ROUND(D1149*J1149*(1-N(F1149)),2),0))</f>
        <v/>
      </c>
      <c r="M1149" s="62" t="str">
        <f>IF(A1149="","",IFERROR(INDEX(fa_cname,MATCH(A1149,fa_num,0))&amp;"",""))</f>
        <v/>
      </c>
      <c r="N1149" s="59" t="str">
        <f>IF(COUNTA(A1149:G1149)=0,"",IF(A1149="","N° facture manquant",IF(ISNA(MATCH(A1149,fa_num,0)),"Facture inconnue",IF(AND(B1149&lt;&gt;"",ISNA(MATCH(B1149,pr_code,0))),"Article inconnu",IF(H1149="","Désignation manquante",IF(OR(NOT(ISNUMBER(D1149)),N(D1149)&lt;=0),"Quantité invalide",IF(J1149="","Prix manquant",IF(OR(NOT(ISNUMBER(J1149)),N(J1149)&lt;0),"Prix invalide",IF(OR(AND(F1149&lt;&gt;"",NOT(ISNUMBER(F1149))),N(F1149)&lt;0,N(F1149)&gt;1),"Remise invalide",IF(K1149="","Taux de TVA manquant",IF(NOT(ISNUMBER(K1149)),"Taux de TVA invalide",IF(COUNTIF(p_rates,K1149)=0,"Taux de TVA hors liste (Paramètres)",IF(N(O1149)&gt;25,"Au-delà de 25 lignes : non imprimée","OK")))))))))))))</f>
        <v/>
      </c>
      <c r="O1149" s="59" t="str">
        <f>IF(A1149="","",COUNTIF($A$6:A1149,A1149))</f>
        <v/>
      </c>
      <c r="P1149" s="62" t="str">
        <f>IF(A1149="","",A1149&amp;"|"&amp;O1149)</f>
        <v/>
      </c>
    </row>
    <row r="1150">
      <c r="A1150" s="60" t="n"/>
      <c r="B1150" s="63" t="n"/>
      <c r="C1150" s="63" t="n"/>
      <c r="D1150" s="67" t="n"/>
      <c r="E1150" s="68" t="n"/>
      <c r="F1150" s="69" t="n"/>
      <c r="G1150" s="70" t="n"/>
      <c r="H1150" s="62" t="str">
        <f>IF(COUNTA(A1150:G1150)=0,"",IF(C1150&lt;&gt;"",C1150,IF(B1150="","",IFERROR(INDEX(pr_des,MATCH(B1150,pr_code,0))&amp;"",""))))</f>
        <v/>
      </c>
      <c r="I1150" s="59" t="str">
        <f>IF(B1150="","",IFERROR(INDEX(pr_unit,MATCH(B1150,pr_code,0))&amp;"",""))</f>
        <v/>
      </c>
      <c r="J1150" s="65" t="str">
        <f>IF(COUNTA(A1150:G1150)=0,"",IF(E1150&lt;&gt;"",E1150,IF(B1150="","",IFERROR(IF(INDEX(pr_price,MATCH(B1150,pr_code,0))="","",INDEX(pr_price,MATCH(B1150,pr_code,0))),""))))</f>
        <v/>
      </c>
      <c r="K1150" s="71" t="str">
        <f>IF(COUNTA(A1150:G1150)=0,"",IF(G1150&lt;&gt;"",G1150,IF(B1150="","",IFERROR(IF(INDEX(pr_rate,MATCH(B1150,pr_code,0))="","",INDEX(pr_rate,MATCH(B1150,pr_code,0))),""))))</f>
        <v/>
      </c>
      <c r="L1150" s="65" t="str">
        <f>IF(COUNTA(A1150:G1150)=0,"",IF(AND(ISNUMBER(D1150),ISNUMBER(J1150)),ROUND(D1150*J1150*(1-N(F1150)),2),0))</f>
        <v/>
      </c>
      <c r="M1150" s="62" t="str">
        <f>IF(A1150="","",IFERROR(INDEX(fa_cname,MATCH(A1150,fa_num,0))&amp;"",""))</f>
        <v/>
      </c>
      <c r="N1150" s="59" t="str">
        <f>IF(COUNTA(A1150:G1150)=0,"",IF(A1150="","N° facture manquant",IF(ISNA(MATCH(A1150,fa_num,0)),"Facture inconnue",IF(AND(B1150&lt;&gt;"",ISNA(MATCH(B1150,pr_code,0))),"Article inconnu",IF(H1150="","Désignation manquante",IF(OR(NOT(ISNUMBER(D1150)),N(D1150)&lt;=0),"Quantité invalide",IF(J1150="","Prix manquant",IF(OR(NOT(ISNUMBER(J1150)),N(J1150)&lt;0),"Prix invalide",IF(OR(AND(F1150&lt;&gt;"",NOT(ISNUMBER(F1150))),N(F1150)&lt;0,N(F1150)&gt;1),"Remise invalide",IF(K1150="","Taux de TVA manquant",IF(NOT(ISNUMBER(K1150)),"Taux de TVA invalide",IF(COUNTIF(p_rates,K1150)=0,"Taux de TVA hors liste (Paramètres)",IF(N(O1150)&gt;25,"Au-delà de 25 lignes : non imprimée","OK")))))))))))))</f>
        <v/>
      </c>
      <c r="O1150" s="59" t="str">
        <f>IF(A1150="","",COUNTIF($A$6:A1150,A1150))</f>
        <v/>
      </c>
      <c r="P1150" s="62" t="str">
        <f>IF(A1150="","",A1150&amp;"|"&amp;O1150)</f>
        <v/>
      </c>
    </row>
    <row r="1151">
      <c r="A1151" s="60" t="n"/>
      <c r="B1151" s="63" t="n"/>
      <c r="C1151" s="63" t="n"/>
      <c r="D1151" s="67" t="n"/>
      <c r="E1151" s="68" t="n"/>
      <c r="F1151" s="69" t="n"/>
      <c r="G1151" s="70" t="n"/>
      <c r="H1151" s="62" t="str">
        <f>IF(COUNTA(A1151:G1151)=0,"",IF(C1151&lt;&gt;"",C1151,IF(B1151="","",IFERROR(INDEX(pr_des,MATCH(B1151,pr_code,0))&amp;"",""))))</f>
        <v/>
      </c>
      <c r="I1151" s="59" t="str">
        <f>IF(B1151="","",IFERROR(INDEX(pr_unit,MATCH(B1151,pr_code,0))&amp;"",""))</f>
        <v/>
      </c>
      <c r="J1151" s="65" t="str">
        <f>IF(COUNTA(A1151:G1151)=0,"",IF(E1151&lt;&gt;"",E1151,IF(B1151="","",IFERROR(IF(INDEX(pr_price,MATCH(B1151,pr_code,0))="","",INDEX(pr_price,MATCH(B1151,pr_code,0))),""))))</f>
        <v/>
      </c>
      <c r="K1151" s="71" t="str">
        <f>IF(COUNTA(A1151:G1151)=0,"",IF(G1151&lt;&gt;"",G1151,IF(B1151="","",IFERROR(IF(INDEX(pr_rate,MATCH(B1151,pr_code,0))="","",INDEX(pr_rate,MATCH(B1151,pr_code,0))),""))))</f>
        <v/>
      </c>
      <c r="L1151" s="65" t="str">
        <f>IF(COUNTA(A1151:G1151)=0,"",IF(AND(ISNUMBER(D1151),ISNUMBER(J1151)),ROUND(D1151*J1151*(1-N(F1151)),2),0))</f>
        <v/>
      </c>
      <c r="M1151" s="62" t="str">
        <f>IF(A1151="","",IFERROR(INDEX(fa_cname,MATCH(A1151,fa_num,0))&amp;"",""))</f>
        <v/>
      </c>
      <c r="N1151" s="59" t="str">
        <f>IF(COUNTA(A1151:G1151)=0,"",IF(A1151="","N° facture manquant",IF(ISNA(MATCH(A1151,fa_num,0)),"Facture inconnue",IF(AND(B1151&lt;&gt;"",ISNA(MATCH(B1151,pr_code,0))),"Article inconnu",IF(H1151="","Désignation manquante",IF(OR(NOT(ISNUMBER(D1151)),N(D1151)&lt;=0),"Quantité invalide",IF(J1151="","Prix manquant",IF(OR(NOT(ISNUMBER(J1151)),N(J1151)&lt;0),"Prix invalide",IF(OR(AND(F1151&lt;&gt;"",NOT(ISNUMBER(F1151))),N(F1151)&lt;0,N(F1151)&gt;1),"Remise invalide",IF(K1151="","Taux de TVA manquant",IF(NOT(ISNUMBER(K1151)),"Taux de TVA invalide",IF(COUNTIF(p_rates,K1151)=0,"Taux de TVA hors liste (Paramètres)",IF(N(O1151)&gt;25,"Au-delà de 25 lignes : non imprimée","OK")))))))))))))</f>
        <v/>
      </c>
      <c r="O1151" s="59" t="str">
        <f>IF(A1151="","",COUNTIF($A$6:A1151,A1151))</f>
        <v/>
      </c>
      <c r="P1151" s="62" t="str">
        <f>IF(A1151="","",A1151&amp;"|"&amp;O1151)</f>
        <v/>
      </c>
    </row>
    <row r="1152">
      <c r="A1152" s="60" t="n"/>
      <c r="B1152" s="63" t="n"/>
      <c r="C1152" s="63" t="n"/>
      <c r="D1152" s="67" t="n"/>
      <c r="E1152" s="68" t="n"/>
      <c r="F1152" s="69" t="n"/>
      <c r="G1152" s="70" t="n"/>
      <c r="H1152" s="62" t="str">
        <f>IF(COUNTA(A1152:G1152)=0,"",IF(C1152&lt;&gt;"",C1152,IF(B1152="","",IFERROR(INDEX(pr_des,MATCH(B1152,pr_code,0))&amp;"",""))))</f>
        <v/>
      </c>
      <c r="I1152" s="59" t="str">
        <f>IF(B1152="","",IFERROR(INDEX(pr_unit,MATCH(B1152,pr_code,0))&amp;"",""))</f>
        <v/>
      </c>
      <c r="J1152" s="65" t="str">
        <f>IF(COUNTA(A1152:G1152)=0,"",IF(E1152&lt;&gt;"",E1152,IF(B1152="","",IFERROR(IF(INDEX(pr_price,MATCH(B1152,pr_code,0))="","",INDEX(pr_price,MATCH(B1152,pr_code,0))),""))))</f>
        <v/>
      </c>
      <c r="K1152" s="71" t="str">
        <f>IF(COUNTA(A1152:G1152)=0,"",IF(G1152&lt;&gt;"",G1152,IF(B1152="","",IFERROR(IF(INDEX(pr_rate,MATCH(B1152,pr_code,0))="","",INDEX(pr_rate,MATCH(B1152,pr_code,0))),""))))</f>
        <v/>
      </c>
      <c r="L1152" s="65" t="str">
        <f>IF(COUNTA(A1152:G1152)=0,"",IF(AND(ISNUMBER(D1152),ISNUMBER(J1152)),ROUND(D1152*J1152*(1-N(F1152)),2),0))</f>
        <v/>
      </c>
      <c r="M1152" s="62" t="str">
        <f>IF(A1152="","",IFERROR(INDEX(fa_cname,MATCH(A1152,fa_num,0))&amp;"",""))</f>
        <v/>
      </c>
      <c r="N1152" s="59" t="str">
        <f>IF(COUNTA(A1152:G1152)=0,"",IF(A1152="","N° facture manquant",IF(ISNA(MATCH(A1152,fa_num,0)),"Facture inconnue",IF(AND(B1152&lt;&gt;"",ISNA(MATCH(B1152,pr_code,0))),"Article inconnu",IF(H1152="","Désignation manquante",IF(OR(NOT(ISNUMBER(D1152)),N(D1152)&lt;=0),"Quantité invalide",IF(J1152="","Prix manquant",IF(OR(NOT(ISNUMBER(J1152)),N(J1152)&lt;0),"Prix invalide",IF(OR(AND(F1152&lt;&gt;"",NOT(ISNUMBER(F1152))),N(F1152)&lt;0,N(F1152)&gt;1),"Remise invalide",IF(K1152="","Taux de TVA manquant",IF(NOT(ISNUMBER(K1152)),"Taux de TVA invalide",IF(COUNTIF(p_rates,K1152)=0,"Taux de TVA hors liste (Paramètres)",IF(N(O1152)&gt;25,"Au-delà de 25 lignes : non imprimée","OK")))))))))))))</f>
        <v/>
      </c>
      <c r="O1152" s="59" t="str">
        <f>IF(A1152="","",COUNTIF($A$6:A1152,A1152))</f>
        <v/>
      </c>
      <c r="P1152" s="62" t="str">
        <f>IF(A1152="","",A1152&amp;"|"&amp;O1152)</f>
        <v/>
      </c>
    </row>
    <row r="1153">
      <c r="A1153" s="60" t="n"/>
      <c r="B1153" s="63" t="n"/>
      <c r="C1153" s="63" t="n"/>
      <c r="D1153" s="67" t="n"/>
      <c r="E1153" s="68" t="n"/>
      <c r="F1153" s="69" t="n"/>
      <c r="G1153" s="70" t="n"/>
      <c r="H1153" s="62" t="str">
        <f>IF(COUNTA(A1153:G1153)=0,"",IF(C1153&lt;&gt;"",C1153,IF(B1153="","",IFERROR(INDEX(pr_des,MATCH(B1153,pr_code,0))&amp;"",""))))</f>
        <v/>
      </c>
      <c r="I1153" s="59" t="str">
        <f>IF(B1153="","",IFERROR(INDEX(pr_unit,MATCH(B1153,pr_code,0))&amp;"",""))</f>
        <v/>
      </c>
      <c r="J1153" s="65" t="str">
        <f>IF(COUNTA(A1153:G1153)=0,"",IF(E1153&lt;&gt;"",E1153,IF(B1153="","",IFERROR(IF(INDEX(pr_price,MATCH(B1153,pr_code,0))="","",INDEX(pr_price,MATCH(B1153,pr_code,0))),""))))</f>
        <v/>
      </c>
      <c r="K1153" s="71" t="str">
        <f>IF(COUNTA(A1153:G1153)=0,"",IF(G1153&lt;&gt;"",G1153,IF(B1153="","",IFERROR(IF(INDEX(pr_rate,MATCH(B1153,pr_code,0))="","",INDEX(pr_rate,MATCH(B1153,pr_code,0))),""))))</f>
        <v/>
      </c>
      <c r="L1153" s="65" t="str">
        <f>IF(COUNTA(A1153:G1153)=0,"",IF(AND(ISNUMBER(D1153),ISNUMBER(J1153)),ROUND(D1153*J1153*(1-N(F1153)),2),0))</f>
        <v/>
      </c>
      <c r="M1153" s="62" t="str">
        <f>IF(A1153="","",IFERROR(INDEX(fa_cname,MATCH(A1153,fa_num,0))&amp;"",""))</f>
        <v/>
      </c>
      <c r="N1153" s="59" t="str">
        <f>IF(COUNTA(A1153:G1153)=0,"",IF(A1153="","N° facture manquant",IF(ISNA(MATCH(A1153,fa_num,0)),"Facture inconnue",IF(AND(B1153&lt;&gt;"",ISNA(MATCH(B1153,pr_code,0))),"Article inconnu",IF(H1153="","Désignation manquante",IF(OR(NOT(ISNUMBER(D1153)),N(D1153)&lt;=0),"Quantité invalide",IF(J1153="","Prix manquant",IF(OR(NOT(ISNUMBER(J1153)),N(J1153)&lt;0),"Prix invalide",IF(OR(AND(F1153&lt;&gt;"",NOT(ISNUMBER(F1153))),N(F1153)&lt;0,N(F1153)&gt;1),"Remise invalide",IF(K1153="","Taux de TVA manquant",IF(NOT(ISNUMBER(K1153)),"Taux de TVA invalide",IF(COUNTIF(p_rates,K1153)=0,"Taux de TVA hors liste (Paramètres)",IF(N(O1153)&gt;25,"Au-delà de 25 lignes : non imprimée","OK")))))))))))))</f>
        <v/>
      </c>
      <c r="O1153" s="59" t="str">
        <f>IF(A1153="","",COUNTIF($A$6:A1153,A1153))</f>
        <v/>
      </c>
      <c r="P1153" s="62" t="str">
        <f>IF(A1153="","",A1153&amp;"|"&amp;O1153)</f>
        <v/>
      </c>
    </row>
    <row r="1154">
      <c r="A1154" s="60" t="n"/>
      <c r="B1154" s="63" t="n"/>
      <c r="C1154" s="63" t="n"/>
      <c r="D1154" s="67" t="n"/>
      <c r="E1154" s="68" t="n"/>
      <c r="F1154" s="69" t="n"/>
      <c r="G1154" s="70" t="n"/>
      <c r="H1154" s="62" t="str">
        <f>IF(COUNTA(A1154:G1154)=0,"",IF(C1154&lt;&gt;"",C1154,IF(B1154="","",IFERROR(INDEX(pr_des,MATCH(B1154,pr_code,0))&amp;"",""))))</f>
        <v/>
      </c>
      <c r="I1154" s="59" t="str">
        <f>IF(B1154="","",IFERROR(INDEX(pr_unit,MATCH(B1154,pr_code,0))&amp;"",""))</f>
        <v/>
      </c>
      <c r="J1154" s="65" t="str">
        <f>IF(COUNTA(A1154:G1154)=0,"",IF(E1154&lt;&gt;"",E1154,IF(B1154="","",IFERROR(IF(INDEX(pr_price,MATCH(B1154,pr_code,0))="","",INDEX(pr_price,MATCH(B1154,pr_code,0))),""))))</f>
        <v/>
      </c>
      <c r="K1154" s="71" t="str">
        <f>IF(COUNTA(A1154:G1154)=0,"",IF(G1154&lt;&gt;"",G1154,IF(B1154="","",IFERROR(IF(INDEX(pr_rate,MATCH(B1154,pr_code,0))="","",INDEX(pr_rate,MATCH(B1154,pr_code,0))),""))))</f>
        <v/>
      </c>
      <c r="L1154" s="65" t="str">
        <f>IF(COUNTA(A1154:G1154)=0,"",IF(AND(ISNUMBER(D1154),ISNUMBER(J1154)),ROUND(D1154*J1154*(1-N(F1154)),2),0))</f>
        <v/>
      </c>
      <c r="M1154" s="62" t="str">
        <f>IF(A1154="","",IFERROR(INDEX(fa_cname,MATCH(A1154,fa_num,0))&amp;"",""))</f>
        <v/>
      </c>
      <c r="N1154" s="59" t="str">
        <f>IF(COUNTA(A1154:G1154)=0,"",IF(A1154="","N° facture manquant",IF(ISNA(MATCH(A1154,fa_num,0)),"Facture inconnue",IF(AND(B1154&lt;&gt;"",ISNA(MATCH(B1154,pr_code,0))),"Article inconnu",IF(H1154="","Désignation manquante",IF(OR(NOT(ISNUMBER(D1154)),N(D1154)&lt;=0),"Quantité invalide",IF(J1154="","Prix manquant",IF(OR(NOT(ISNUMBER(J1154)),N(J1154)&lt;0),"Prix invalide",IF(OR(AND(F1154&lt;&gt;"",NOT(ISNUMBER(F1154))),N(F1154)&lt;0,N(F1154)&gt;1),"Remise invalide",IF(K1154="","Taux de TVA manquant",IF(NOT(ISNUMBER(K1154)),"Taux de TVA invalide",IF(COUNTIF(p_rates,K1154)=0,"Taux de TVA hors liste (Paramètres)",IF(N(O1154)&gt;25,"Au-delà de 25 lignes : non imprimée","OK")))))))))))))</f>
        <v/>
      </c>
      <c r="O1154" s="59" t="str">
        <f>IF(A1154="","",COUNTIF($A$6:A1154,A1154))</f>
        <v/>
      </c>
      <c r="P1154" s="62" t="str">
        <f>IF(A1154="","",A1154&amp;"|"&amp;O1154)</f>
        <v/>
      </c>
    </row>
    <row r="1155">
      <c r="A1155" s="60" t="n"/>
      <c r="B1155" s="63" t="n"/>
      <c r="C1155" s="63" t="n"/>
      <c r="D1155" s="67" t="n"/>
      <c r="E1155" s="68" t="n"/>
      <c r="F1155" s="69" t="n"/>
      <c r="G1155" s="70" t="n"/>
      <c r="H1155" s="62" t="str">
        <f>IF(COUNTA(A1155:G1155)=0,"",IF(C1155&lt;&gt;"",C1155,IF(B1155="","",IFERROR(INDEX(pr_des,MATCH(B1155,pr_code,0))&amp;"",""))))</f>
        <v/>
      </c>
      <c r="I1155" s="59" t="str">
        <f>IF(B1155="","",IFERROR(INDEX(pr_unit,MATCH(B1155,pr_code,0))&amp;"",""))</f>
        <v/>
      </c>
      <c r="J1155" s="65" t="str">
        <f>IF(COUNTA(A1155:G1155)=0,"",IF(E1155&lt;&gt;"",E1155,IF(B1155="","",IFERROR(IF(INDEX(pr_price,MATCH(B1155,pr_code,0))="","",INDEX(pr_price,MATCH(B1155,pr_code,0))),""))))</f>
        <v/>
      </c>
      <c r="K1155" s="71" t="str">
        <f>IF(COUNTA(A1155:G1155)=0,"",IF(G1155&lt;&gt;"",G1155,IF(B1155="","",IFERROR(IF(INDEX(pr_rate,MATCH(B1155,pr_code,0))="","",INDEX(pr_rate,MATCH(B1155,pr_code,0))),""))))</f>
        <v/>
      </c>
      <c r="L1155" s="65" t="str">
        <f>IF(COUNTA(A1155:G1155)=0,"",IF(AND(ISNUMBER(D1155),ISNUMBER(J1155)),ROUND(D1155*J1155*(1-N(F1155)),2),0))</f>
        <v/>
      </c>
      <c r="M1155" s="62" t="str">
        <f>IF(A1155="","",IFERROR(INDEX(fa_cname,MATCH(A1155,fa_num,0))&amp;"",""))</f>
        <v/>
      </c>
      <c r="N1155" s="59" t="str">
        <f>IF(COUNTA(A1155:G1155)=0,"",IF(A1155="","N° facture manquant",IF(ISNA(MATCH(A1155,fa_num,0)),"Facture inconnue",IF(AND(B1155&lt;&gt;"",ISNA(MATCH(B1155,pr_code,0))),"Article inconnu",IF(H1155="","Désignation manquante",IF(OR(NOT(ISNUMBER(D1155)),N(D1155)&lt;=0),"Quantité invalide",IF(J1155="","Prix manquant",IF(OR(NOT(ISNUMBER(J1155)),N(J1155)&lt;0),"Prix invalide",IF(OR(AND(F1155&lt;&gt;"",NOT(ISNUMBER(F1155))),N(F1155)&lt;0,N(F1155)&gt;1),"Remise invalide",IF(K1155="","Taux de TVA manquant",IF(NOT(ISNUMBER(K1155)),"Taux de TVA invalide",IF(COUNTIF(p_rates,K1155)=0,"Taux de TVA hors liste (Paramètres)",IF(N(O1155)&gt;25,"Au-delà de 25 lignes : non imprimée","OK")))))))))))))</f>
        <v/>
      </c>
      <c r="O1155" s="59" t="str">
        <f>IF(A1155="","",COUNTIF($A$6:A1155,A1155))</f>
        <v/>
      </c>
      <c r="P1155" s="62" t="str">
        <f>IF(A1155="","",A1155&amp;"|"&amp;O1155)</f>
        <v/>
      </c>
    </row>
    <row r="1156">
      <c r="A1156" s="60" t="n"/>
      <c r="B1156" s="63" t="n"/>
      <c r="C1156" s="63" t="n"/>
      <c r="D1156" s="67" t="n"/>
      <c r="E1156" s="68" t="n"/>
      <c r="F1156" s="69" t="n"/>
      <c r="G1156" s="70" t="n"/>
      <c r="H1156" s="62" t="str">
        <f>IF(COUNTA(A1156:G1156)=0,"",IF(C1156&lt;&gt;"",C1156,IF(B1156="","",IFERROR(INDEX(pr_des,MATCH(B1156,pr_code,0))&amp;"",""))))</f>
        <v/>
      </c>
      <c r="I1156" s="59" t="str">
        <f>IF(B1156="","",IFERROR(INDEX(pr_unit,MATCH(B1156,pr_code,0))&amp;"",""))</f>
        <v/>
      </c>
      <c r="J1156" s="65" t="str">
        <f>IF(COUNTA(A1156:G1156)=0,"",IF(E1156&lt;&gt;"",E1156,IF(B1156="","",IFERROR(IF(INDEX(pr_price,MATCH(B1156,pr_code,0))="","",INDEX(pr_price,MATCH(B1156,pr_code,0))),""))))</f>
        <v/>
      </c>
      <c r="K1156" s="71" t="str">
        <f>IF(COUNTA(A1156:G1156)=0,"",IF(G1156&lt;&gt;"",G1156,IF(B1156="","",IFERROR(IF(INDEX(pr_rate,MATCH(B1156,pr_code,0))="","",INDEX(pr_rate,MATCH(B1156,pr_code,0))),""))))</f>
        <v/>
      </c>
      <c r="L1156" s="65" t="str">
        <f>IF(COUNTA(A1156:G1156)=0,"",IF(AND(ISNUMBER(D1156),ISNUMBER(J1156)),ROUND(D1156*J1156*(1-N(F1156)),2),0))</f>
        <v/>
      </c>
      <c r="M1156" s="62" t="str">
        <f>IF(A1156="","",IFERROR(INDEX(fa_cname,MATCH(A1156,fa_num,0))&amp;"",""))</f>
        <v/>
      </c>
      <c r="N1156" s="59" t="str">
        <f>IF(COUNTA(A1156:G1156)=0,"",IF(A1156="","N° facture manquant",IF(ISNA(MATCH(A1156,fa_num,0)),"Facture inconnue",IF(AND(B1156&lt;&gt;"",ISNA(MATCH(B1156,pr_code,0))),"Article inconnu",IF(H1156="","Désignation manquante",IF(OR(NOT(ISNUMBER(D1156)),N(D1156)&lt;=0),"Quantité invalide",IF(J1156="","Prix manquant",IF(OR(NOT(ISNUMBER(J1156)),N(J1156)&lt;0),"Prix invalide",IF(OR(AND(F1156&lt;&gt;"",NOT(ISNUMBER(F1156))),N(F1156)&lt;0,N(F1156)&gt;1),"Remise invalide",IF(K1156="","Taux de TVA manquant",IF(NOT(ISNUMBER(K1156)),"Taux de TVA invalide",IF(COUNTIF(p_rates,K1156)=0,"Taux de TVA hors liste (Paramètres)",IF(N(O1156)&gt;25,"Au-delà de 25 lignes : non imprimée","OK")))))))))))))</f>
        <v/>
      </c>
      <c r="O1156" s="59" t="str">
        <f>IF(A1156="","",COUNTIF($A$6:A1156,A1156))</f>
        <v/>
      </c>
      <c r="P1156" s="62" t="str">
        <f>IF(A1156="","",A1156&amp;"|"&amp;O1156)</f>
        <v/>
      </c>
    </row>
    <row r="1157">
      <c r="A1157" s="60" t="n"/>
      <c r="B1157" s="63" t="n"/>
      <c r="C1157" s="63" t="n"/>
      <c r="D1157" s="67" t="n"/>
      <c r="E1157" s="68" t="n"/>
      <c r="F1157" s="69" t="n"/>
      <c r="G1157" s="70" t="n"/>
      <c r="H1157" s="62" t="str">
        <f>IF(COUNTA(A1157:G1157)=0,"",IF(C1157&lt;&gt;"",C1157,IF(B1157="","",IFERROR(INDEX(pr_des,MATCH(B1157,pr_code,0))&amp;"",""))))</f>
        <v/>
      </c>
      <c r="I1157" s="59" t="str">
        <f>IF(B1157="","",IFERROR(INDEX(pr_unit,MATCH(B1157,pr_code,0))&amp;"",""))</f>
        <v/>
      </c>
      <c r="J1157" s="65" t="str">
        <f>IF(COUNTA(A1157:G1157)=0,"",IF(E1157&lt;&gt;"",E1157,IF(B1157="","",IFERROR(IF(INDEX(pr_price,MATCH(B1157,pr_code,0))="","",INDEX(pr_price,MATCH(B1157,pr_code,0))),""))))</f>
        <v/>
      </c>
      <c r="K1157" s="71" t="str">
        <f>IF(COUNTA(A1157:G1157)=0,"",IF(G1157&lt;&gt;"",G1157,IF(B1157="","",IFERROR(IF(INDEX(pr_rate,MATCH(B1157,pr_code,0))="","",INDEX(pr_rate,MATCH(B1157,pr_code,0))),""))))</f>
        <v/>
      </c>
      <c r="L1157" s="65" t="str">
        <f>IF(COUNTA(A1157:G1157)=0,"",IF(AND(ISNUMBER(D1157),ISNUMBER(J1157)),ROUND(D1157*J1157*(1-N(F1157)),2),0))</f>
        <v/>
      </c>
      <c r="M1157" s="62" t="str">
        <f>IF(A1157="","",IFERROR(INDEX(fa_cname,MATCH(A1157,fa_num,0))&amp;"",""))</f>
        <v/>
      </c>
      <c r="N1157" s="59" t="str">
        <f>IF(COUNTA(A1157:G1157)=0,"",IF(A1157="","N° facture manquant",IF(ISNA(MATCH(A1157,fa_num,0)),"Facture inconnue",IF(AND(B1157&lt;&gt;"",ISNA(MATCH(B1157,pr_code,0))),"Article inconnu",IF(H1157="","Désignation manquante",IF(OR(NOT(ISNUMBER(D1157)),N(D1157)&lt;=0),"Quantité invalide",IF(J1157="","Prix manquant",IF(OR(NOT(ISNUMBER(J1157)),N(J1157)&lt;0),"Prix invalide",IF(OR(AND(F1157&lt;&gt;"",NOT(ISNUMBER(F1157))),N(F1157)&lt;0,N(F1157)&gt;1),"Remise invalide",IF(K1157="","Taux de TVA manquant",IF(NOT(ISNUMBER(K1157)),"Taux de TVA invalide",IF(COUNTIF(p_rates,K1157)=0,"Taux de TVA hors liste (Paramètres)",IF(N(O1157)&gt;25,"Au-delà de 25 lignes : non imprimée","OK")))))))))))))</f>
        <v/>
      </c>
      <c r="O1157" s="59" t="str">
        <f>IF(A1157="","",COUNTIF($A$6:A1157,A1157))</f>
        <v/>
      </c>
      <c r="P1157" s="62" t="str">
        <f>IF(A1157="","",A1157&amp;"|"&amp;O1157)</f>
        <v/>
      </c>
    </row>
    <row r="1158">
      <c r="A1158" s="60" t="n"/>
      <c r="B1158" s="63" t="n"/>
      <c r="C1158" s="63" t="n"/>
      <c r="D1158" s="67" t="n"/>
      <c r="E1158" s="68" t="n"/>
      <c r="F1158" s="69" t="n"/>
      <c r="G1158" s="70" t="n"/>
      <c r="H1158" s="62" t="str">
        <f>IF(COUNTA(A1158:G1158)=0,"",IF(C1158&lt;&gt;"",C1158,IF(B1158="","",IFERROR(INDEX(pr_des,MATCH(B1158,pr_code,0))&amp;"",""))))</f>
        <v/>
      </c>
      <c r="I1158" s="59" t="str">
        <f>IF(B1158="","",IFERROR(INDEX(pr_unit,MATCH(B1158,pr_code,0))&amp;"",""))</f>
        <v/>
      </c>
      <c r="J1158" s="65" t="str">
        <f>IF(COUNTA(A1158:G1158)=0,"",IF(E1158&lt;&gt;"",E1158,IF(B1158="","",IFERROR(IF(INDEX(pr_price,MATCH(B1158,pr_code,0))="","",INDEX(pr_price,MATCH(B1158,pr_code,0))),""))))</f>
        <v/>
      </c>
      <c r="K1158" s="71" t="str">
        <f>IF(COUNTA(A1158:G1158)=0,"",IF(G1158&lt;&gt;"",G1158,IF(B1158="","",IFERROR(IF(INDEX(pr_rate,MATCH(B1158,pr_code,0))="","",INDEX(pr_rate,MATCH(B1158,pr_code,0))),""))))</f>
        <v/>
      </c>
      <c r="L1158" s="65" t="str">
        <f>IF(COUNTA(A1158:G1158)=0,"",IF(AND(ISNUMBER(D1158),ISNUMBER(J1158)),ROUND(D1158*J1158*(1-N(F1158)),2),0))</f>
        <v/>
      </c>
      <c r="M1158" s="62" t="str">
        <f>IF(A1158="","",IFERROR(INDEX(fa_cname,MATCH(A1158,fa_num,0))&amp;"",""))</f>
        <v/>
      </c>
      <c r="N1158" s="59" t="str">
        <f>IF(COUNTA(A1158:G1158)=0,"",IF(A1158="","N° facture manquant",IF(ISNA(MATCH(A1158,fa_num,0)),"Facture inconnue",IF(AND(B1158&lt;&gt;"",ISNA(MATCH(B1158,pr_code,0))),"Article inconnu",IF(H1158="","Désignation manquante",IF(OR(NOT(ISNUMBER(D1158)),N(D1158)&lt;=0),"Quantité invalide",IF(J1158="","Prix manquant",IF(OR(NOT(ISNUMBER(J1158)),N(J1158)&lt;0),"Prix invalide",IF(OR(AND(F1158&lt;&gt;"",NOT(ISNUMBER(F1158))),N(F1158)&lt;0,N(F1158)&gt;1),"Remise invalide",IF(K1158="","Taux de TVA manquant",IF(NOT(ISNUMBER(K1158)),"Taux de TVA invalide",IF(COUNTIF(p_rates,K1158)=0,"Taux de TVA hors liste (Paramètres)",IF(N(O1158)&gt;25,"Au-delà de 25 lignes : non imprimée","OK")))))))))))))</f>
        <v/>
      </c>
      <c r="O1158" s="59" t="str">
        <f>IF(A1158="","",COUNTIF($A$6:A1158,A1158))</f>
        <v/>
      </c>
      <c r="P1158" s="62" t="str">
        <f>IF(A1158="","",A1158&amp;"|"&amp;O1158)</f>
        <v/>
      </c>
    </row>
    <row r="1159">
      <c r="A1159" s="60" t="n"/>
      <c r="B1159" s="63" t="n"/>
      <c r="C1159" s="63" t="n"/>
      <c r="D1159" s="67" t="n"/>
      <c r="E1159" s="68" t="n"/>
      <c r="F1159" s="69" t="n"/>
      <c r="G1159" s="70" t="n"/>
      <c r="H1159" s="62" t="str">
        <f>IF(COUNTA(A1159:G1159)=0,"",IF(C1159&lt;&gt;"",C1159,IF(B1159="","",IFERROR(INDEX(pr_des,MATCH(B1159,pr_code,0))&amp;"",""))))</f>
        <v/>
      </c>
      <c r="I1159" s="59" t="str">
        <f>IF(B1159="","",IFERROR(INDEX(pr_unit,MATCH(B1159,pr_code,0))&amp;"",""))</f>
        <v/>
      </c>
      <c r="J1159" s="65" t="str">
        <f>IF(COUNTA(A1159:G1159)=0,"",IF(E1159&lt;&gt;"",E1159,IF(B1159="","",IFERROR(IF(INDEX(pr_price,MATCH(B1159,pr_code,0))="","",INDEX(pr_price,MATCH(B1159,pr_code,0))),""))))</f>
        <v/>
      </c>
      <c r="K1159" s="71" t="str">
        <f>IF(COUNTA(A1159:G1159)=0,"",IF(G1159&lt;&gt;"",G1159,IF(B1159="","",IFERROR(IF(INDEX(pr_rate,MATCH(B1159,pr_code,0))="","",INDEX(pr_rate,MATCH(B1159,pr_code,0))),""))))</f>
        <v/>
      </c>
      <c r="L1159" s="65" t="str">
        <f>IF(COUNTA(A1159:G1159)=0,"",IF(AND(ISNUMBER(D1159),ISNUMBER(J1159)),ROUND(D1159*J1159*(1-N(F1159)),2),0))</f>
        <v/>
      </c>
      <c r="M1159" s="62" t="str">
        <f>IF(A1159="","",IFERROR(INDEX(fa_cname,MATCH(A1159,fa_num,0))&amp;"",""))</f>
        <v/>
      </c>
      <c r="N1159" s="59" t="str">
        <f>IF(COUNTA(A1159:G1159)=0,"",IF(A1159="","N° facture manquant",IF(ISNA(MATCH(A1159,fa_num,0)),"Facture inconnue",IF(AND(B1159&lt;&gt;"",ISNA(MATCH(B1159,pr_code,0))),"Article inconnu",IF(H1159="","Désignation manquante",IF(OR(NOT(ISNUMBER(D1159)),N(D1159)&lt;=0),"Quantité invalide",IF(J1159="","Prix manquant",IF(OR(NOT(ISNUMBER(J1159)),N(J1159)&lt;0),"Prix invalide",IF(OR(AND(F1159&lt;&gt;"",NOT(ISNUMBER(F1159))),N(F1159)&lt;0,N(F1159)&gt;1),"Remise invalide",IF(K1159="","Taux de TVA manquant",IF(NOT(ISNUMBER(K1159)),"Taux de TVA invalide",IF(COUNTIF(p_rates,K1159)=0,"Taux de TVA hors liste (Paramètres)",IF(N(O1159)&gt;25,"Au-delà de 25 lignes : non imprimée","OK")))))))))))))</f>
        <v/>
      </c>
      <c r="O1159" s="59" t="str">
        <f>IF(A1159="","",COUNTIF($A$6:A1159,A1159))</f>
        <v/>
      </c>
      <c r="P1159" s="62" t="str">
        <f>IF(A1159="","",A1159&amp;"|"&amp;O1159)</f>
        <v/>
      </c>
    </row>
    <row r="1160">
      <c r="A1160" s="60" t="n"/>
      <c r="B1160" s="63" t="n"/>
      <c r="C1160" s="63" t="n"/>
      <c r="D1160" s="67" t="n"/>
      <c r="E1160" s="68" t="n"/>
      <c r="F1160" s="69" t="n"/>
      <c r="G1160" s="70" t="n"/>
      <c r="H1160" s="62" t="str">
        <f>IF(COUNTA(A1160:G1160)=0,"",IF(C1160&lt;&gt;"",C1160,IF(B1160="","",IFERROR(INDEX(pr_des,MATCH(B1160,pr_code,0))&amp;"",""))))</f>
        <v/>
      </c>
      <c r="I1160" s="59" t="str">
        <f>IF(B1160="","",IFERROR(INDEX(pr_unit,MATCH(B1160,pr_code,0))&amp;"",""))</f>
        <v/>
      </c>
      <c r="J1160" s="65" t="str">
        <f>IF(COUNTA(A1160:G1160)=0,"",IF(E1160&lt;&gt;"",E1160,IF(B1160="","",IFERROR(IF(INDEX(pr_price,MATCH(B1160,pr_code,0))="","",INDEX(pr_price,MATCH(B1160,pr_code,0))),""))))</f>
        <v/>
      </c>
      <c r="K1160" s="71" t="str">
        <f>IF(COUNTA(A1160:G1160)=0,"",IF(G1160&lt;&gt;"",G1160,IF(B1160="","",IFERROR(IF(INDEX(pr_rate,MATCH(B1160,pr_code,0))="","",INDEX(pr_rate,MATCH(B1160,pr_code,0))),""))))</f>
        <v/>
      </c>
      <c r="L1160" s="65" t="str">
        <f>IF(COUNTA(A1160:G1160)=0,"",IF(AND(ISNUMBER(D1160),ISNUMBER(J1160)),ROUND(D1160*J1160*(1-N(F1160)),2),0))</f>
        <v/>
      </c>
      <c r="M1160" s="62" t="str">
        <f>IF(A1160="","",IFERROR(INDEX(fa_cname,MATCH(A1160,fa_num,0))&amp;"",""))</f>
        <v/>
      </c>
      <c r="N1160" s="59" t="str">
        <f>IF(COUNTA(A1160:G1160)=0,"",IF(A1160="","N° facture manquant",IF(ISNA(MATCH(A1160,fa_num,0)),"Facture inconnue",IF(AND(B1160&lt;&gt;"",ISNA(MATCH(B1160,pr_code,0))),"Article inconnu",IF(H1160="","Désignation manquante",IF(OR(NOT(ISNUMBER(D1160)),N(D1160)&lt;=0),"Quantité invalide",IF(J1160="","Prix manquant",IF(OR(NOT(ISNUMBER(J1160)),N(J1160)&lt;0),"Prix invalide",IF(OR(AND(F1160&lt;&gt;"",NOT(ISNUMBER(F1160))),N(F1160)&lt;0,N(F1160)&gt;1),"Remise invalide",IF(K1160="","Taux de TVA manquant",IF(NOT(ISNUMBER(K1160)),"Taux de TVA invalide",IF(COUNTIF(p_rates,K1160)=0,"Taux de TVA hors liste (Paramètres)",IF(N(O1160)&gt;25,"Au-delà de 25 lignes : non imprimée","OK")))))))))))))</f>
        <v/>
      </c>
      <c r="O1160" s="59" t="str">
        <f>IF(A1160="","",COUNTIF($A$6:A1160,A1160))</f>
        <v/>
      </c>
      <c r="P1160" s="62" t="str">
        <f>IF(A1160="","",A1160&amp;"|"&amp;O1160)</f>
        <v/>
      </c>
    </row>
    <row r="1161">
      <c r="A1161" s="60" t="n"/>
      <c r="B1161" s="63" t="n"/>
      <c r="C1161" s="63" t="n"/>
      <c r="D1161" s="67" t="n"/>
      <c r="E1161" s="68" t="n"/>
      <c r="F1161" s="69" t="n"/>
      <c r="G1161" s="70" t="n"/>
      <c r="H1161" s="62" t="str">
        <f>IF(COUNTA(A1161:G1161)=0,"",IF(C1161&lt;&gt;"",C1161,IF(B1161="","",IFERROR(INDEX(pr_des,MATCH(B1161,pr_code,0))&amp;"",""))))</f>
        <v/>
      </c>
      <c r="I1161" s="59" t="str">
        <f>IF(B1161="","",IFERROR(INDEX(pr_unit,MATCH(B1161,pr_code,0))&amp;"",""))</f>
        <v/>
      </c>
      <c r="J1161" s="65" t="str">
        <f>IF(COUNTA(A1161:G1161)=0,"",IF(E1161&lt;&gt;"",E1161,IF(B1161="","",IFERROR(IF(INDEX(pr_price,MATCH(B1161,pr_code,0))="","",INDEX(pr_price,MATCH(B1161,pr_code,0))),""))))</f>
        <v/>
      </c>
      <c r="K1161" s="71" t="str">
        <f>IF(COUNTA(A1161:G1161)=0,"",IF(G1161&lt;&gt;"",G1161,IF(B1161="","",IFERROR(IF(INDEX(pr_rate,MATCH(B1161,pr_code,0))="","",INDEX(pr_rate,MATCH(B1161,pr_code,0))),""))))</f>
        <v/>
      </c>
      <c r="L1161" s="65" t="str">
        <f>IF(COUNTA(A1161:G1161)=0,"",IF(AND(ISNUMBER(D1161),ISNUMBER(J1161)),ROUND(D1161*J1161*(1-N(F1161)),2),0))</f>
        <v/>
      </c>
      <c r="M1161" s="62" t="str">
        <f>IF(A1161="","",IFERROR(INDEX(fa_cname,MATCH(A1161,fa_num,0))&amp;"",""))</f>
        <v/>
      </c>
      <c r="N1161" s="59" t="str">
        <f>IF(COUNTA(A1161:G1161)=0,"",IF(A1161="","N° facture manquant",IF(ISNA(MATCH(A1161,fa_num,0)),"Facture inconnue",IF(AND(B1161&lt;&gt;"",ISNA(MATCH(B1161,pr_code,0))),"Article inconnu",IF(H1161="","Désignation manquante",IF(OR(NOT(ISNUMBER(D1161)),N(D1161)&lt;=0),"Quantité invalide",IF(J1161="","Prix manquant",IF(OR(NOT(ISNUMBER(J1161)),N(J1161)&lt;0),"Prix invalide",IF(OR(AND(F1161&lt;&gt;"",NOT(ISNUMBER(F1161))),N(F1161)&lt;0,N(F1161)&gt;1),"Remise invalide",IF(K1161="","Taux de TVA manquant",IF(NOT(ISNUMBER(K1161)),"Taux de TVA invalide",IF(COUNTIF(p_rates,K1161)=0,"Taux de TVA hors liste (Paramètres)",IF(N(O1161)&gt;25,"Au-delà de 25 lignes : non imprimée","OK")))))))))))))</f>
        <v/>
      </c>
      <c r="O1161" s="59" t="str">
        <f>IF(A1161="","",COUNTIF($A$6:A1161,A1161))</f>
        <v/>
      </c>
      <c r="P1161" s="62" t="str">
        <f>IF(A1161="","",A1161&amp;"|"&amp;O1161)</f>
        <v/>
      </c>
    </row>
    <row r="1162">
      <c r="A1162" s="60" t="n"/>
      <c r="B1162" s="63" t="n"/>
      <c r="C1162" s="63" t="n"/>
      <c r="D1162" s="67" t="n"/>
      <c r="E1162" s="68" t="n"/>
      <c r="F1162" s="69" t="n"/>
      <c r="G1162" s="70" t="n"/>
      <c r="H1162" s="62" t="str">
        <f>IF(COUNTA(A1162:G1162)=0,"",IF(C1162&lt;&gt;"",C1162,IF(B1162="","",IFERROR(INDEX(pr_des,MATCH(B1162,pr_code,0))&amp;"",""))))</f>
        <v/>
      </c>
      <c r="I1162" s="59" t="str">
        <f>IF(B1162="","",IFERROR(INDEX(pr_unit,MATCH(B1162,pr_code,0))&amp;"",""))</f>
        <v/>
      </c>
      <c r="J1162" s="65" t="str">
        <f>IF(COUNTA(A1162:G1162)=0,"",IF(E1162&lt;&gt;"",E1162,IF(B1162="","",IFERROR(IF(INDEX(pr_price,MATCH(B1162,pr_code,0))="","",INDEX(pr_price,MATCH(B1162,pr_code,0))),""))))</f>
        <v/>
      </c>
      <c r="K1162" s="71" t="str">
        <f>IF(COUNTA(A1162:G1162)=0,"",IF(G1162&lt;&gt;"",G1162,IF(B1162="","",IFERROR(IF(INDEX(pr_rate,MATCH(B1162,pr_code,0))="","",INDEX(pr_rate,MATCH(B1162,pr_code,0))),""))))</f>
        <v/>
      </c>
      <c r="L1162" s="65" t="str">
        <f>IF(COUNTA(A1162:G1162)=0,"",IF(AND(ISNUMBER(D1162),ISNUMBER(J1162)),ROUND(D1162*J1162*(1-N(F1162)),2),0))</f>
        <v/>
      </c>
      <c r="M1162" s="62" t="str">
        <f>IF(A1162="","",IFERROR(INDEX(fa_cname,MATCH(A1162,fa_num,0))&amp;"",""))</f>
        <v/>
      </c>
      <c r="N1162" s="59" t="str">
        <f>IF(COUNTA(A1162:G1162)=0,"",IF(A1162="","N° facture manquant",IF(ISNA(MATCH(A1162,fa_num,0)),"Facture inconnue",IF(AND(B1162&lt;&gt;"",ISNA(MATCH(B1162,pr_code,0))),"Article inconnu",IF(H1162="","Désignation manquante",IF(OR(NOT(ISNUMBER(D1162)),N(D1162)&lt;=0),"Quantité invalide",IF(J1162="","Prix manquant",IF(OR(NOT(ISNUMBER(J1162)),N(J1162)&lt;0),"Prix invalide",IF(OR(AND(F1162&lt;&gt;"",NOT(ISNUMBER(F1162))),N(F1162)&lt;0,N(F1162)&gt;1),"Remise invalide",IF(K1162="","Taux de TVA manquant",IF(NOT(ISNUMBER(K1162)),"Taux de TVA invalide",IF(COUNTIF(p_rates,K1162)=0,"Taux de TVA hors liste (Paramètres)",IF(N(O1162)&gt;25,"Au-delà de 25 lignes : non imprimée","OK")))))))))))))</f>
        <v/>
      </c>
      <c r="O1162" s="59" t="str">
        <f>IF(A1162="","",COUNTIF($A$6:A1162,A1162))</f>
        <v/>
      </c>
      <c r="P1162" s="62" t="str">
        <f>IF(A1162="","",A1162&amp;"|"&amp;O1162)</f>
        <v/>
      </c>
    </row>
    <row r="1163">
      <c r="A1163" s="60" t="n"/>
      <c r="B1163" s="63" t="n"/>
      <c r="C1163" s="63" t="n"/>
      <c r="D1163" s="67" t="n"/>
      <c r="E1163" s="68" t="n"/>
      <c r="F1163" s="69" t="n"/>
      <c r="G1163" s="70" t="n"/>
      <c r="H1163" s="62" t="str">
        <f>IF(COUNTA(A1163:G1163)=0,"",IF(C1163&lt;&gt;"",C1163,IF(B1163="","",IFERROR(INDEX(pr_des,MATCH(B1163,pr_code,0))&amp;"",""))))</f>
        <v/>
      </c>
      <c r="I1163" s="59" t="str">
        <f>IF(B1163="","",IFERROR(INDEX(pr_unit,MATCH(B1163,pr_code,0))&amp;"",""))</f>
        <v/>
      </c>
      <c r="J1163" s="65" t="str">
        <f>IF(COUNTA(A1163:G1163)=0,"",IF(E1163&lt;&gt;"",E1163,IF(B1163="","",IFERROR(IF(INDEX(pr_price,MATCH(B1163,pr_code,0))="","",INDEX(pr_price,MATCH(B1163,pr_code,0))),""))))</f>
        <v/>
      </c>
      <c r="K1163" s="71" t="str">
        <f>IF(COUNTA(A1163:G1163)=0,"",IF(G1163&lt;&gt;"",G1163,IF(B1163="","",IFERROR(IF(INDEX(pr_rate,MATCH(B1163,pr_code,0))="","",INDEX(pr_rate,MATCH(B1163,pr_code,0))),""))))</f>
        <v/>
      </c>
      <c r="L1163" s="65" t="str">
        <f>IF(COUNTA(A1163:G1163)=0,"",IF(AND(ISNUMBER(D1163),ISNUMBER(J1163)),ROUND(D1163*J1163*(1-N(F1163)),2),0))</f>
        <v/>
      </c>
      <c r="M1163" s="62" t="str">
        <f>IF(A1163="","",IFERROR(INDEX(fa_cname,MATCH(A1163,fa_num,0))&amp;"",""))</f>
        <v/>
      </c>
      <c r="N1163" s="59" t="str">
        <f>IF(COUNTA(A1163:G1163)=0,"",IF(A1163="","N° facture manquant",IF(ISNA(MATCH(A1163,fa_num,0)),"Facture inconnue",IF(AND(B1163&lt;&gt;"",ISNA(MATCH(B1163,pr_code,0))),"Article inconnu",IF(H1163="","Désignation manquante",IF(OR(NOT(ISNUMBER(D1163)),N(D1163)&lt;=0),"Quantité invalide",IF(J1163="","Prix manquant",IF(OR(NOT(ISNUMBER(J1163)),N(J1163)&lt;0),"Prix invalide",IF(OR(AND(F1163&lt;&gt;"",NOT(ISNUMBER(F1163))),N(F1163)&lt;0,N(F1163)&gt;1),"Remise invalide",IF(K1163="","Taux de TVA manquant",IF(NOT(ISNUMBER(K1163)),"Taux de TVA invalide",IF(COUNTIF(p_rates,K1163)=0,"Taux de TVA hors liste (Paramètres)",IF(N(O1163)&gt;25,"Au-delà de 25 lignes : non imprimée","OK")))))))))))))</f>
        <v/>
      </c>
      <c r="O1163" s="59" t="str">
        <f>IF(A1163="","",COUNTIF($A$6:A1163,A1163))</f>
        <v/>
      </c>
      <c r="P1163" s="62" t="str">
        <f>IF(A1163="","",A1163&amp;"|"&amp;O1163)</f>
        <v/>
      </c>
    </row>
    <row r="1164">
      <c r="A1164" s="60" t="n"/>
      <c r="B1164" s="63" t="n"/>
      <c r="C1164" s="63" t="n"/>
      <c r="D1164" s="67" t="n"/>
      <c r="E1164" s="68" t="n"/>
      <c r="F1164" s="69" t="n"/>
      <c r="G1164" s="70" t="n"/>
      <c r="H1164" s="62" t="str">
        <f>IF(COUNTA(A1164:G1164)=0,"",IF(C1164&lt;&gt;"",C1164,IF(B1164="","",IFERROR(INDEX(pr_des,MATCH(B1164,pr_code,0))&amp;"",""))))</f>
        <v/>
      </c>
      <c r="I1164" s="59" t="str">
        <f>IF(B1164="","",IFERROR(INDEX(pr_unit,MATCH(B1164,pr_code,0))&amp;"",""))</f>
        <v/>
      </c>
      <c r="J1164" s="65" t="str">
        <f>IF(COUNTA(A1164:G1164)=0,"",IF(E1164&lt;&gt;"",E1164,IF(B1164="","",IFERROR(IF(INDEX(pr_price,MATCH(B1164,pr_code,0))="","",INDEX(pr_price,MATCH(B1164,pr_code,0))),""))))</f>
        <v/>
      </c>
      <c r="K1164" s="71" t="str">
        <f>IF(COUNTA(A1164:G1164)=0,"",IF(G1164&lt;&gt;"",G1164,IF(B1164="","",IFERROR(IF(INDEX(pr_rate,MATCH(B1164,pr_code,0))="","",INDEX(pr_rate,MATCH(B1164,pr_code,0))),""))))</f>
        <v/>
      </c>
      <c r="L1164" s="65" t="str">
        <f>IF(COUNTA(A1164:G1164)=0,"",IF(AND(ISNUMBER(D1164),ISNUMBER(J1164)),ROUND(D1164*J1164*(1-N(F1164)),2),0))</f>
        <v/>
      </c>
      <c r="M1164" s="62" t="str">
        <f>IF(A1164="","",IFERROR(INDEX(fa_cname,MATCH(A1164,fa_num,0))&amp;"",""))</f>
        <v/>
      </c>
      <c r="N1164" s="59" t="str">
        <f>IF(COUNTA(A1164:G1164)=0,"",IF(A1164="","N° facture manquant",IF(ISNA(MATCH(A1164,fa_num,0)),"Facture inconnue",IF(AND(B1164&lt;&gt;"",ISNA(MATCH(B1164,pr_code,0))),"Article inconnu",IF(H1164="","Désignation manquante",IF(OR(NOT(ISNUMBER(D1164)),N(D1164)&lt;=0),"Quantité invalide",IF(J1164="","Prix manquant",IF(OR(NOT(ISNUMBER(J1164)),N(J1164)&lt;0),"Prix invalide",IF(OR(AND(F1164&lt;&gt;"",NOT(ISNUMBER(F1164))),N(F1164)&lt;0,N(F1164)&gt;1),"Remise invalide",IF(K1164="","Taux de TVA manquant",IF(NOT(ISNUMBER(K1164)),"Taux de TVA invalide",IF(COUNTIF(p_rates,K1164)=0,"Taux de TVA hors liste (Paramètres)",IF(N(O1164)&gt;25,"Au-delà de 25 lignes : non imprimée","OK")))))))))))))</f>
        <v/>
      </c>
      <c r="O1164" s="59" t="str">
        <f>IF(A1164="","",COUNTIF($A$6:A1164,A1164))</f>
        <v/>
      </c>
      <c r="P1164" s="62" t="str">
        <f>IF(A1164="","",A1164&amp;"|"&amp;O1164)</f>
        <v/>
      </c>
    </row>
    <row r="1165">
      <c r="A1165" s="60" t="n"/>
      <c r="B1165" s="63" t="n"/>
      <c r="C1165" s="63" t="n"/>
      <c r="D1165" s="67" t="n"/>
      <c r="E1165" s="68" t="n"/>
      <c r="F1165" s="69" t="n"/>
      <c r="G1165" s="70" t="n"/>
      <c r="H1165" s="62" t="str">
        <f>IF(COUNTA(A1165:G1165)=0,"",IF(C1165&lt;&gt;"",C1165,IF(B1165="","",IFERROR(INDEX(pr_des,MATCH(B1165,pr_code,0))&amp;"",""))))</f>
        <v/>
      </c>
      <c r="I1165" s="59" t="str">
        <f>IF(B1165="","",IFERROR(INDEX(pr_unit,MATCH(B1165,pr_code,0))&amp;"",""))</f>
        <v/>
      </c>
      <c r="J1165" s="65" t="str">
        <f>IF(COUNTA(A1165:G1165)=0,"",IF(E1165&lt;&gt;"",E1165,IF(B1165="","",IFERROR(IF(INDEX(pr_price,MATCH(B1165,pr_code,0))="","",INDEX(pr_price,MATCH(B1165,pr_code,0))),""))))</f>
        <v/>
      </c>
      <c r="K1165" s="71" t="str">
        <f>IF(COUNTA(A1165:G1165)=0,"",IF(G1165&lt;&gt;"",G1165,IF(B1165="","",IFERROR(IF(INDEX(pr_rate,MATCH(B1165,pr_code,0))="","",INDEX(pr_rate,MATCH(B1165,pr_code,0))),""))))</f>
        <v/>
      </c>
      <c r="L1165" s="65" t="str">
        <f>IF(COUNTA(A1165:G1165)=0,"",IF(AND(ISNUMBER(D1165),ISNUMBER(J1165)),ROUND(D1165*J1165*(1-N(F1165)),2),0))</f>
        <v/>
      </c>
      <c r="M1165" s="62" t="str">
        <f>IF(A1165="","",IFERROR(INDEX(fa_cname,MATCH(A1165,fa_num,0))&amp;"",""))</f>
        <v/>
      </c>
      <c r="N1165" s="59" t="str">
        <f>IF(COUNTA(A1165:G1165)=0,"",IF(A1165="","N° facture manquant",IF(ISNA(MATCH(A1165,fa_num,0)),"Facture inconnue",IF(AND(B1165&lt;&gt;"",ISNA(MATCH(B1165,pr_code,0))),"Article inconnu",IF(H1165="","Désignation manquante",IF(OR(NOT(ISNUMBER(D1165)),N(D1165)&lt;=0),"Quantité invalide",IF(J1165="","Prix manquant",IF(OR(NOT(ISNUMBER(J1165)),N(J1165)&lt;0),"Prix invalide",IF(OR(AND(F1165&lt;&gt;"",NOT(ISNUMBER(F1165))),N(F1165)&lt;0,N(F1165)&gt;1),"Remise invalide",IF(K1165="","Taux de TVA manquant",IF(NOT(ISNUMBER(K1165)),"Taux de TVA invalide",IF(COUNTIF(p_rates,K1165)=0,"Taux de TVA hors liste (Paramètres)",IF(N(O1165)&gt;25,"Au-delà de 25 lignes : non imprimée","OK")))))))))))))</f>
        <v/>
      </c>
      <c r="O1165" s="59" t="str">
        <f>IF(A1165="","",COUNTIF($A$6:A1165,A1165))</f>
        <v/>
      </c>
      <c r="P1165" s="62" t="str">
        <f>IF(A1165="","",A1165&amp;"|"&amp;O1165)</f>
        <v/>
      </c>
    </row>
    <row r="1166">
      <c r="A1166" s="60" t="n"/>
      <c r="B1166" s="63" t="n"/>
      <c r="C1166" s="63" t="n"/>
      <c r="D1166" s="67" t="n"/>
      <c r="E1166" s="68" t="n"/>
      <c r="F1166" s="69" t="n"/>
      <c r="G1166" s="70" t="n"/>
      <c r="H1166" s="62" t="str">
        <f>IF(COUNTA(A1166:G1166)=0,"",IF(C1166&lt;&gt;"",C1166,IF(B1166="","",IFERROR(INDEX(pr_des,MATCH(B1166,pr_code,0))&amp;"",""))))</f>
        <v/>
      </c>
      <c r="I1166" s="59" t="str">
        <f>IF(B1166="","",IFERROR(INDEX(pr_unit,MATCH(B1166,pr_code,0))&amp;"",""))</f>
        <v/>
      </c>
      <c r="J1166" s="65" t="str">
        <f>IF(COUNTA(A1166:G1166)=0,"",IF(E1166&lt;&gt;"",E1166,IF(B1166="","",IFERROR(IF(INDEX(pr_price,MATCH(B1166,pr_code,0))="","",INDEX(pr_price,MATCH(B1166,pr_code,0))),""))))</f>
        <v/>
      </c>
      <c r="K1166" s="71" t="str">
        <f>IF(COUNTA(A1166:G1166)=0,"",IF(G1166&lt;&gt;"",G1166,IF(B1166="","",IFERROR(IF(INDEX(pr_rate,MATCH(B1166,pr_code,0))="","",INDEX(pr_rate,MATCH(B1166,pr_code,0))),""))))</f>
        <v/>
      </c>
      <c r="L1166" s="65" t="str">
        <f>IF(COUNTA(A1166:G1166)=0,"",IF(AND(ISNUMBER(D1166),ISNUMBER(J1166)),ROUND(D1166*J1166*(1-N(F1166)),2),0))</f>
        <v/>
      </c>
      <c r="M1166" s="62" t="str">
        <f>IF(A1166="","",IFERROR(INDEX(fa_cname,MATCH(A1166,fa_num,0))&amp;"",""))</f>
        <v/>
      </c>
      <c r="N1166" s="59" t="str">
        <f>IF(COUNTA(A1166:G1166)=0,"",IF(A1166="","N° facture manquant",IF(ISNA(MATCH(A1166,fa_num,0)),"Facture inconnue",IF(AND(B1166&lt;&gt;"",ISNA(MATCH(B1166,pr_code,0))),"Article inconnu",IF(H1166="","Désignation manquante",IF(OR(NOT(ISNUMBER(D1166)),N(D1166)&lt;=0),"Quantité invalide",IF(J1166="","Prix manquant",IF(OR(NOT(ISNUMBER(J1166)),N(J1166)&lt;0),"Prix invalide",IF(OR(AND(F1166&lt;&gt;"",NOT(ISNUMBER(F1166))),N(F1166)&lt;0,N(F1166)&gt;1),"Remise invalide",IF(K1166="","Taux de TVA manquant",IF(NOT(ISNUMBER(K1166)),"Taux de TVA invalide",IF(COUNTIF(p_rates,K1166)=0,"Taux de TVA hors liste (Paramètres)",IF(N(O1166)&gt;25,"Au-delà de 25 lignes : non imprimée","OK")))))))))))))</f>
        <v/>
      </c>
      <c r="O1166" s="59" t="str">
        <f>IF(A1166="","",COUNTIF($A$6:A1166,A1166))</f>
        <v/>
      </c>
      <c r="P1166" s="62" t="str">
        <f>IF(A1166="","",A1166&amp;"|"&amp;O1166)</f>
        <v/>
      </c>
    </row>
    <row r="1167">
      <c r="A1167" s="60" t="n"/>
      <c r="B1167" s="63" t="n"/>
      <c r="C1167" s="63" t="n"/>
      <c r="D1167" s="67" t="n"/>
      <c r="E1167" s="68" t="n"/>
      <c r="F1167" s="69" t="n"/>
      <c r="G1167" s="70" t="n"/>
      <c r="H1167" s="62" t="str">
        <f>IF(COUNTA(A1167:G1167)=0,"",IF(C1167&lt;&gt;"",C1167,IF(B1167="","",IFERROR(INDEX(pr_des,MATCH(B1167,pr_code,0))&amp;"",""))))</f>
        <v/>
      </c>
      <c r="I1167" s="59" t="str">
        <f>IF(B1167="","",IFERROR(INDEX(pr_unit,MATCH(B1167,pr_code,0))&amp;"",""))</f>
        <v/>
      </c>
      <c r="J1167" s="65" t="str">
        <f>IF(COUNTA(A1167:G1167)=0,"",IF(E1167&lt;&gt;"",E1167,IF(B1167="","",IFERROR(IF(INDEX(pr_price,MATCH(B1167,pr_code,0))="","",INDEX(pr_price,MATCH(B1167,pr_code,0))),""))))</f>
        <v/>
      </c>
      <c r="K1167" s="71" t="str">
        <f>IF(COUNTA(A1167:G1167)=0,"",IF(G1167&lt;&gt;"",G1167,IF(B1167="","",IFERROR(IF(INDEX(pr_rate,MATCH(B1167,pr_code,0))="","",INDEX(pr_rate,MATCH(B1167,pr_code,0))),""))))</f>
        <v/>
      </c>
      <c r="L1167" s="65" t="str">
        <f>IF(COUNTA(A1167:G1167)=0,"",IF(AND(ISNUMBER(D1167),ISNUMBER(J1167)),ROUND(D1167*J1167*(1-N(F1167)),2),0))</f>
        <v/>
      </c>
      <c r="M1167" s="62" t="str">
        <f>IF(A1167="","",IFERROR(INDEX(fa_cname,MATCH(A1167,fa_num,0))&amp;"",""))</f>
        <v/>
      </c>
      <c r="N1167" s="59" t="str">
        <f>IF(COUNTA(A1167:G1167)=0,"",IF(A1167="","N° facture manquant",IF(ISNA(MATCH(A1167,fa_num,0)),"Facture inconnue",IF(AND(B1167&lt;&gt;"",ISNA(MATCH(B1167,pr_code,0))),"Article inconnu",IF(H1167="","Désignation manquante",IF(OR(NOT(ISNUMBER(D1167)),N(D1167)&lt;=0),"Quantité invalide",IF(J1167="","Prix manquant",IF(OR(NOT(ISNUMBER(J1167)),N(J1167)&lt;0),"Prix invalide",IF(OR(AND(F1167&lt;&gt;"",NOT(ISNUMBER(F1167))),N(F1167)&lt;0,N(F1167)&gt;1),"Remise invalide",IF(K1167="","Taux de TVA manquant",IF(NOT(ISNUMBER(K1167)),"Taux de TVA invalide",IF(COUNTIF(p_rates,K1167)=0,"Taux de TVA hors liste (Paramètres)",IF(N(O1167)&gt;25,"Au-delà de 25 lignes : non imprimée","OK")))))))))))))</f>
        <v/>
      </c>
      <c r="O1167" s="59" t="str">
        <f>IF(A1167="","",COUNTIF($A$6:A1167,A1167))</f>
        <v/>
      </c>
      <c r="P1167" s="62" t="str">
        <f>IF(A1167="","",A1167&amp;"|"&amp;O1167)</f>
        <v/>
      </c>
    </row>
    <row r="1168">
      <c r="A1168" s="60" t="n"/>
      <c r="B1168" s="63" t="n"/>
      <c r="C1168" s="63" t="n"/>
      <c r="D1168" s="67" t="n"/>
      <c r="E1168" s="68" t="n"/>
      <c r="F1168" s="69" t="n"/>
      <c r="G1168" s="70" t="n"/>
      <c r="H1168" s="62" t="str">
        <f>IF(COUNTA(A1168:G1168)=0,"",IF(C1168&lt;&gt;"",C1168,IF(B1168="","",IFERROR(INDEX(pr_des,MATCH(B1168,pr_code,0))&amp;"",""))))</f>
        <v/>
      </c>
      <c r="I1168" s="59" t="str">
        <f>IF(B1168="","",IFERROR(INDEX(pr_unit,MATCH(B1168,pr_code,0))&amp;"",""))</f>
        <v/>
      </c>
      <c r="J1168" s="65" t="str">
        <f>IF(COUNTA(A1168:G1168)=0,"",IF(E1168&lt;&gt;"",E1168,IF(B1168="","",IFERROR(IF(INDEX(pr_price,MATCH(B1168,pr_code,0))="","",INDEX(pr_price,MATCH(B1168,pr_code,0))),""))))</f>
        <v/>
      </c>
      <c r="K1168" s="71" t="str">
        <f>IF(COUNTA(A1168:G1168)=0,"",IF(G1168&lt;&gt;"",G1168,IF(B1168="","",IFERROR(IF(INDEX(pr_rate,MATCH(B1168,pr_code,0))="","",INDEX(pr_rate,MATCH(B1168,pr_code,0))),""))))</f>
        <v/>
      </c>
      <c r="L1168" s="65" t="str">
        <f>IF(COUNTA(A1168:G1168)=0,"",IF(AND(ISNUMBER(D1168),ISNUMBER(J1168)),ROUND(D1168*J1168*(1-N(F1168)),2),0))</f>
        <v/>
      </c>
      <c r="M1168" s="62" t="str">
        <f>IF(A1168="","",IFERROR(INDEX(fa_cname,MATCH(A1168,fa_num,0))&amp;"",""))</f>
        <v/>
      </c>
      <c r="N1168" s="59" t="str">
        <f>IF(COUNTA(A1168:G1168)=0,"",IF(A1168="","N° facture manquant",IF(ISNA(MATCH(A1168,fa_num,0)),"Facture inconnue",IF(AND(B1168&lt;&gt;"",ISNA(MATCH(B1168,pr_code,0))),"Article inconnu",IF(H1168="","Désignation manquante",IF(OR(NOT(ISNUMBER(D1168)),N(D1168)&lt;=0),"Quantité invalide",IF(J1168="","Prix manquant",IF(OR(NOT(ISNUMBER(J1168)),N(J1168)&lt;0),"Prix invalide",IF(OR(AND(F1168&lt;&gt;"",NOT(ISNUMBER(F1168))),N(F1168)&lt;0,N(F1168)&gt;1),"Remise invalide",IF(K1168="","Taux de TVA manquant",IF(NOT(ISNUMBER(K1168)),"Taux de TVA invalide",IF(COUNTIF(p_rates,K1168)=0,"Taux de TVA hors liste (Paramètres)",IF(N(O1168)&gt;25,"Au-delà de 25 lignes : non imprimée","OK")))))))))))))</f>
        <v/>
      </c>
      <c r="O1168" s="59" t="str">
        <f>IF(A1168="","",COUNTIF($A$6:A1168,A1168))</f>
        <v/>
      </c>
      <c r="P1168" s="62" t="str">
        <f>IF(A1168="","",A1168&amp;"|"&amp;O1168)</f>
        <v/>
      </c>
    </row>
    <row r="1169">
      <c r="A1169" s="60" t="n"/>
      <c r="B1169" s="63" t="n"/>
      <c r="C1169" s="63" t="n"/>
      <c r="D1169" s="67" t="n"/>
      <c r="E1169" s="68" t="n"/>
      <c r="F1169" s="69" t="n"/>
      <c r="G1169" s="70" t="n"/>
      <c r="H1169" s="62" t="str">
        <f>IF(COUNTA(A1169:G1169)=0,"",IF(C1169&lt;&gt;"",C1169,IF(B1169="","",IFERROR(INDEX(pr_des,MATCH(B1169,pr_code,0))&amp;"",""))))</f>
        <v/>
      </c>
      <c r="I1169" s="59" t="str">
        <f>IF(B1169="","",IFERROR(INDEX(pr_unit,MATCH(B1169,pr_code,0))&amp;"",""))</f>
        <v/>
      </c>
      <c r="J1169" s="65" t="str">
        <f>IF(COUNTA(A1169:G1169)=0,"",IF(E1169&lt;&gt;"",E1169,IF(B1169="","",IFERROR(IF(INDEX(pr_price,MATCH(B1169,pr_code,0))="","",INDEX(pr_price,MATCH(B1169,pr_code,0))),""))))</f>
        <v/>
      </c>
      <c r="K1169" s="71" t="str">
        <f>IF(COUNTA(A1169:G1169)=0,"",IF(G1169&lt;&gt;"",G1169,IF(B1169="","",IFERROR(IF(INDEX(pr_rate,MATCH(B1169,pr_code,0))="","",INDEX(pr_rate,MATCH(B1169,pr_code,0))),""))))</f>
        <v/>
      </c>
      <c r="L1169" s="65" t="str">
        <f>IF(COUNTA(A1169:G1169)=0,"",IF(AND(ISNUMBER(D1169),ISNUMBER(J1169)),ROUND(D1169*J1169*(1-N(F1169)),2),0))</f>
        <v/>
      </c>
      <c r="M1169" s="62" t="str">
        <f>IF(A1169="","",IFERROR(INDEX(fa_cname,MATCH(A1169,fa_num,0))&amp;"",""))</f>
        <v/>
      </c>
      <c r="N1169" s="59" t="str">
        <f>IF(COUNTA(A1169:G1169)=0,"",IF(A1169="","N° facture manquant",IF(ISNA(MATCH(A1169,fa_num,0)),"Facture inconnue",IF(AND(B1169&lt;&gt;"",ISNA(MATCH(B1169,pr_code,0))),"Article inconnu",IF(H1169="","Désignation manquante",IF(OR(NOT(ISNUMBER(D1169)),N(D1169)&lt;=0),"Quantité invalide",IF(J1169="","Prix manquant",IF(OR(NOT(ISNUMBER(J1169)),N(J1169)&lt;0),"Prix invalide",IF(OR(AND(F1169&lt;&gt;"",NOT(ISNUMBER(F1169))),N(F1169)&lt;0,N(F1169)&gt;1),"Remise invalide",IF(K1169="","Taux de TVA manquant",IF(NOT(ISNUMBER(K1169)),"Taux de TVA invalide",IF(COUNTIF(p_rates,K1169)=0,"Taux de TVA hors liste (Paramètres)",IF(N(O1169)&gt;25,"Au-delà de 25 lignes : non imprimée","OK")))))))))))))</f>
        <v/>
      </c>
      <c r="O1169" s="59" t="str">
        <f>IF(A1169="","",COUNTIF($A$6:A1169,A1169))</f>
        <v/>
      </c>
      <c r="P1169" s="62" t="str">
        <f>IF(A1169="","",A1169&amp;"|"&amp;O1169)</f>
        <v/>
      </c>
    </row>
    <row r="1170">
      <c r="A1170" s="60" t="n"/>
      <c r="B1170" s="63" t="n"/>
      <c r="C1170" s="63" t="n"/>
      <c r="D1170" s="67" t="n"/>
      <c r="E1170" s="68" t="n"/>
      <c r="F1170" s="69" t="n"/>
      <c r="G1170" s="70" t="n"/>
      <c r="H1170" s="62" t="str">
        <f>IF(COUNTA(A1170:G1170)=0,"",IF(C1170&lt;&gt;"",C1170,IF(B1170="","",IFERROR(INDEX(pr_des,MATCH(B1170,pr_code,0))&amp;"",""))))</f>
        <v/>
      </c>
      <c r="I1170" s="59" t="str">
        <f>IF(B1170="","",IFERROR(INDEX(pr_unit,MATCH(B1170,pr_code,0))&amp;"",""))</f>
        <v/>
      </c>
      <c r="J1170" s="65" t="str">
        <f>IF(COUNTA(A1170:G1170)=0,"",IF(E1170&lt;&gt;"",E1170,IF(B1170="","",IFERROR(IF(INDEX(pr_price,MATCH(B1170,pr_code,0))="","",INDEX(pr_price,MATCH(B1170,pr_code,0))),""))))</f>
        <v/>
      </c>
      <c r="K1170" s="71" t="str">
        <f>IF(COUNTA(A1170:G1170)=0,"",IF(G1170&lt;&gt;"",G1170,IF(B1170="","",IFERROR(IF(INDEX(pr_rate,MATCH(B1170,pr_code,0))="","",INDEX(pr_rate,MATCH(B1170,pr_code,0))),""))))</f>
        <v/>
      </c>
      <c r="L1170" s="65" t="str">
        <f>IF(COUNTA(A1170:G1170)=0,"",IF(AND(ISNUMBER(D1170),ISNUMBER(J1170)),ROUND(D1170*J1170*(1-N(F1170)),2),0))</f>
        <v/>
      </c>
      <c r="M1170" s="62" t="str">
        <f>IF(A1170="","",IFERROR(INDEX(fa_cname,MATCH(A1170,fa_num,0))&amp;"",""))</f>
        <v/>
      </c>
      <c r="N1170" s="59" t="str">
        <f>IF(COUNTA(A1170:G1170)=0,"",IF(A1170="","N° facture manquant",IF(ISNA(MATCH(A1170,fa_num,0)),"Facture inconnue",IF(AND(B1170&lt;&gt;"",ISNA(MATCH(B1170,pr_code,0))),"Article inconnu",IF(H1170="","Désignation manquante",IF(OR(NOT(ISNUMBER(D1170)),N(D1170)&lt;=0),"Quantité invalide",IF(J1170="","Prix manquant",IF(OR(NOT(ISNUMBER(J1170)),N(J1170)&lt;0),"Prix invalide",IF(OR(AND(F1170&lt;&gt;"",NOT(ISNUMBER(F1170))),N(F1170)&lt;0,N(F1170)&gt;1),"Remise invalide",IF(K1170="","Taux de TVA manquant",IF(NOT(ISNUMBER(K1170)),"Taux de TVA invalide",IF(COUNTIF(p_rates,K1170)=0,"Taux de TVA hors liste (Paramètres)",IF(N(O1170)&gt;25,"Au-delà de 25 lignes : non imprimée","OK")))))))))))))</f>
        <v/>
      </c>
      <c r="O1170" s="59" t="str">
        <f>IF(A1170="","",COUNTIF($A$6:A1170,A1170))</f>
        <v/>
      </c>
      <c r="P1170" s="62" t="str">
        <f>IF(A1170="","",A1170&amp;"|"&amp;O1170)</f>
        <v/>
      </c>
    </row>
    <row r="1171">
      <c r="A1171" s="60" t="n"/>
      <c r="B1171" s="63" t="n"/>
      <c r="C1171" s="63" t="n"/>
      <c r="D1171" s="67" t="n"/>
      <c r="E1171" s="68" t="n"/>
      <c r="F1171" s="69" t="n"/>
      <c r="G1171" s="70" t="n"/>
      <c r="H1171" s="62" t="str">
        <f>IF(COUNTA(A1171:G1171)=0,"",IF(C1171&lt;&gt;"",C1171,IF(B1171="","",IFERROR(INDEX(pr_des,MATCH(B1171,pr_code,0))&amp;"",""))))</f>
        <v/>
      </c>
      <c r="I1171" s="59" t="str">
        <f>IF(B1171="","",IFERROR(INDEX(pr_unit,MATCH(B1171,pr_code,0))&amp;"",""))</f>
        <v/>
      </c>
      <c r="J1171" s="65" t="str">
        <f>IF(COUNTA(A1171:G1171)=0,"",IF(E1171&lt;&gt;"",E1171,IF(B1171="","",IFERROR(IF(INDEX(pr_price,MATCH(B1171,pr_code,0))="","",INDEX(pr_price,MATCH(B1171,pr_code,0))),""))))</f>
        <v/>
      </c>
      <c r="K1171" s="71" t="str">
        <f>IF(COUNTA(A1171:G1171)=0,"",IF(G1171&lt;&gt;"",G1171,IF(B1171="","",IFERROR(IF(INDEX(pr_rate,MATCH(B1171,pr_code,0))="","",INDEX(pr_rate,MATCH(B1171,pr_code,0))),""))))</f>
        <v/>
      </c>
      <c r="L1171" s="65" t="str">
        <f>IF(COUNTA(A1171:G1171)=0,"",IF(AND(ISNUMBER(D1171),ISNUMBER(J1171)),ROUND(D1171*J1171*(1-N(F1171)),2),0))</f>
        <v/>
      </c>
      <c r="M1171" s="62" t="str">
        <f>IF(A1171="","",IFERROR(INDEX(fa_cname,MATCH(A1171,fa_num,0))&amp;"",""))</f>
        <v/>
      </c>
      <c r="N1171" s="59" t="str">
        <f>IF(COUNTA(A1171:G1171)=0,"",IF(A1171="","N° facture manquant",IF(ISNA(MATCH(A1171,fa_num,0)),"Facture inconnue",IF(AND(B1171&lt;&gt;"",ISNA(MATCH(B1171,pr_code,0))),"Article inconnu",IF(H1171="","Désignation manquante",IF(OR(NOT(ISNUMBER(D1171)),N(D1171)&lt;=0),"Quantité invalide",IF(J1171="","Prix manquant",IF(OR(NOT(ISNUMBER(J1171)),N(J1171)&lt;0),"Prix invalide",IF(OR(AND(F1171&lt;&gt;"",NOT(ISNUMBER(F1171))),N(F1171)&lt;0,N(F1171)&gt;1),"Remise invalide",IF(K1171="","Taux de TVA manquant",IF(NOT(ISNUMBER(K1171)),"Taux de TVA invalide",IF(COUNTIF(p_rates,K1171)=0,"Taux de TVA hors liste (Paramètres)",IF(N(O1171)&gt;25,"Au-delà de 25 lignes : non imprimée","OK")))))))))))))</f>
        <v/>
      </c>
      <c r="O1171" s="59" t="str">
        <f>IF(A1171="","",COUNTIF($A$6:A1171,A1171))</f>
        <v/>
      </c>
      <c r="P1171" s="62" t="str">
        <f>IF(A1171="","",A1171&amp;"|"&amp;O1171)</f>
        <v/>
      </c>
    </row>
    <row r="1172">
      <c r="A1172" s="60" t="n"/>
      <c r="B1172" s="63" t="n"/>
      <c r="C1172" s="63" t="n"/>
      <c r="D1172" s="67" t="n"/>
      <c r="E1172" s="68" t="n"/>
      <c r="F1172" s="69" t="n"/>
      <c r="G1172" s="70" t="n"/>
      <c r="H1172" s="62" t="str">
        <f>IF(COUNTA(A1172:G1172)=0,"",IF(C1172&lt;&gt;"",C1172,IF(B1172="","",IFERROR(INDEX(pr_des,MATCH(B1172,pr_code,0))&amp;"",""))))</f>
        <v/>
      </c>
      <c r="I1172" s="59" t="str">
        <f>IF(B1172="","",IFERROR(INDEX(pr_unit,MATCH(B1172,pr_code,0))&amp;"",""))</f>
        <v/>
      </c>
      <c r="J1172" s="65" t="str">
        <f>IF(COUNTA(A1172:G1172)=0,"",IF(E1172&lt;&gt;"",E1172,IF(B1172="","",IFERROR(IF(INDEX(pr_price,MATCH(B1172,pr_code,0))="","",INDEX(pr_price,MATCH(B1172,pr_code,0))),""))))</f>
        <v/>
      </c>
      <c r="K1172" s="71" t="str">
        <f>IF(COUNTA(A1172:G1172)=0,"",IF(G1172&lt;&gt;"",G1172,IF(B1172="","",IFERROR(IF(INDEX(pr_rate,MATCH(B1172,pr_code,0))="","",INDEX(pr_rate,MATCH(B1172,pr_code,0))),""))))</f>
        <v/>
      </c>
      <c r="L1172" s="65" t="str">
        <f>IF(COUNTA(A1172:G1172)=0,"",IF(AND(ISNUMBER(D1172),ISNUMBER(J1172)),ROUND(D1172*J1172*(1-N(F1172)),2),0))</f>
        <v/>
      </c>
      <c r="M1172" s="62" t="str">
        <f>IF(A1172="","",IFERROR(INDEX(fa_cname,MATCH(A1172,fa_num,0))&amp;"",""))</f>
        <v/>
      </c>
      <c r="N1172" s="59" t="str">
        <f>IF(COUNTA(A1172:G1172)=0,"",IF(A1172="","N° facture manquant",IF(ISNA(MATCH(A1172,fa_num,0)),"Facture inconnue",IF(AND(B1172&lt;&gt;"",ISNA(MATCH(B1172,pr_code,0))),"Article inconnu",IF(H1172="","Désignation manquante",IF(OR(NOT(ISNUMBER(D1172)),N(D1172)&lt;=0),"Quantité invalide",IF(J1172="","Prix manquant",IF(OR(NOT(ISNUMBER(J1172)),N(J1172)&lt;0),"Prix invalide",IF(OR(AND(F1172&lt;&gt;"",NOT(ISNUMBER(F1172))),N(F1172)&lt;0,N(F1172)&gt;1),"Remise invalide",IF(K1172="","Taux de TVA manquant",IF(NOT(ISNUMBER(K1172)),"Taux de TVA invalide",IF(COUNTIF(p_rates,K1172)=0,"Taux de TVA hors liste (Paramètres)",IF(N(O1172)&gt;25,"Au-delà de 25 lignes : non imprimée","OK")))))))))))))</f>
        <v/>
      </c>
      <c r="O1172" s="59" t="str">
        <f>IF(A1172="","",COUNTIF($A$6:A1172,A1172))</f>
        <v/>
      </c>
      <c r="P1172" s="62" t="str">
        <f>IF(A1172="","",A1172&amp;"|"&amp;O1172)</f>
        <v/>
      </c>
    </row>
    <row r="1173">
      <c r="A1173" s="60" t="n"/>
      <c r="B1173" s="63" t="n"/>
      <c r="C1173" s="63" t="n"/>
      <c r="D1173" s="67" t="n"/>
      <c r="E1173" s="68" t="n"/>
      <c r="F1173" s="69" t="n"/>
      <c r="G1173" s="70" t="n"/>
      <c r="H1173" s="62" t="str">
        <f>IF(COUNTA(A1173:G1173)=0,"",IF(C1173&lt;&gt;"",C1173,IF(B1173="","",IFERROR(INDEX(pr_des,MATCH(B1173,pr_code,0))&amp;"",""))))</f>
        <v/>
      </c>
      <c r="I1173" s="59" t="str">
        <f>IF(B1173="","",IFERROR(INDEX(pr_unit,MATCH(B1173,pr_code,0))&amp;"",""))</f>
        <v/>
      </c>
      <c r="J1173" s="65" t="str">
        <f>IF(COUNTA(A1173:G1173)=0,"",IF(E1173&lt;&gt;"",E1173,IF(B1173="","",IFERROR(IF(INDEX(pr_price,MATCH(B1173,pr_code,0))="","",INDEX(pr_price,MATCH(B1173,pr_code,0))),""))))</f>
        <v/>
      </c>
      <c r="K1173" s="71" t="str">
        <f>IF(COUNTA(A1173:G1173)=0,"",IF(G1173&lt;&gt;"",G1173,IF(B1173="","",IFERROR(IF(INDEX(pr_rate,MATCH(B1173,pr_code,0))="","",INDEX(pr_rate,MATCH(B1173,pr_code,0))),""))))</f>
        <v/>
      </c>
      <c r="L1173" s="65" t="str">
        <f>IF(COUNTA(A1173:G1173)=0,"",IF(AND(ISNUMBER(D1173),ISNUMBER(J1173)),ROUND(D1173*J1173*(1-N(F1173)),2),0))</f>
        <v/>
      </c>
      <c r="M1173" s="62" t="str">
        <f>IF(A1173="","",IFERROR(INDEX(fa_cname,MATCH(A1173,fa_num,0))&amp;"",""))</f>
        <v/>
      </c>
      <c r="N1173" s="59" t="str">
        <f>IF(COUNTA(A1173:G1173)=0,"",IF(A1173="","N° facture manquant",IF(ISNA(MATCH(A1173,fa_num,0)),"Facture inconnue",IF(AND(B1173&lt;&gt;"",ISNA(MATCH(B1173,pr_code,0))),"Article inconnu",IF(H1173="","Désignation manquante",IF(OR(NOT(ISNUMBER(D1173)),N(D1173)&lt;=0),"Quantité invalide",IF(J1173="","Prix manquant",IF(OR(NOT(ISNUMBER(J1173)),N(J1173)&lt;0),"Prix invalide",IF(OR(AND(F1173&lt;&gt;"",NOT(ISNUMBER(F1173))),N(F1173)&lt;0,N(F1173)&gt;1),"Remise invalide",IF(K1173="","Taux de TVA manquant",IF(NOT(ISNUMBER(K1173)),"Taux de TVA invalide",IF(COUNTIF(p_rates,K1173)=0,"Taux de TVA hors liste (Paramètres)",IF(N(O1173)&gt;25,"Au-delà de 25 lignes : non imprimée","OK")))))))))))))</f>
        <v/>
      </c>
      <c r="O1173" s="59" t="str">
        <f>IF(A1173="","",COUNTIF($A$6:A1173,A1173))</f>
        <v/>
      </c>
      <c r="P1173" s="62" t="str">
        <f>IF(A1173="","",A1173&amp;"|"&amp;O1173)</f>
        <v/>
      </c>
    </row>
    <row r="1174">
      <c r="A1174" s="60" t="n"/>
      <c r="B1174" s="63" t="n"/>
      <c r="C1174" s="63" t="n"/>
      <c r="D1174" s="67" t="n"/>
      <c r="E1174" s="68" t="n"/>
      <c r="F1174" s="69" t="n"/>
      <c r="G1174" s="70" t="n"/>
      <c r="H1174" s="62" t="str">
        <f>IF(COUNTA(A1174:G1174)=0,"",IF(C1174&lt;&gt;"",C1174,IF(B1174="","",IFERROR(INDEX(pr_des,MATCH(B1174,pr_code,0))&amp;"",""))))</f>
        <v/>
      </c>
      <c r="I1174" s="59" t="str">
        <f>IF(B1174="","",IFERROR(INDEX(pr_unit,MATCH(B1174,pr_code,0))&amp;"",""))</f>
        <v/>
      </c>
      <c r="J1174" s="65" t="str">
        <f>IF(COUNTA(A1174:G1174)=0,"",IF(E1174&lt;&gt;"",E1174,IF(B1174="","",IFERROR(IF(INDEX(pr_price,MATCH(B1174,pr_code,0))="","",INDEX(pr_price,MATCH(B1174,pr_code,0))),""))))</f>
        <v/>
      </c>
      <c r="K1174" s="71" t="str">
        <f>IF(COUNTA(A1174:G1174)=0,"",IF(G1174&lt;&gt;"",G1174,IF(B1174="","",IFERROR(IF(INDEX(pr_rate,MATCH(B1174,pr_code,0))="","",INDEX(pr_rate,MATCH(B1174,pr_code,0))),""))))</f>
        <v/>
      </c>
      <c r="L1174" s="65" t="str">
        <f>IF(COUNTA(A1174:G1174)=0,"",IF(AND(ISNUMBER(D1174),ISNUMBER(J1174)),ROUND(D1174*J1174*(1-N(F1174)),2),0))</f>
        <v/>
      </c>
      <c r="M1174" s="62" t="str">
        <f>IF(A1174="","",IFERROR(INDEX(fa_cname,MATCH(A1174,fa_num,0))&amp;"",""))</f>
        <v/>
      </c>
      <c r="N1174" s="59" t="str">
        <f>IF(COUNTA(A1174:G1174)=0,"",IF(A1174="","N° facture manquant",IF(ISNA(MATCH(A1174,fa_num,0)),"Facture inconnue",IF(AND(B1174&lt;&gt;"",ISNA(MATCH(B1174,pr_code,0))),"Article inconnu",IF(H1174="","Désignation manquante",IF(OR(NOT(ISNUMBER(D1174)),N(D1174)&lt;=0),"Quantité invalide",IF(J1174="","Prix manquant",IF(OR(NOT(ISNUMBER(J1174)),N(J1174)&lt;0),"Prix invalide",IF(OR(AND(F1174&lt;&gt;"",NOT(ISNUMBER(F1174))),N(F1174)&lt;0,N(F1174)&gt;1),"Remise invalide",IF(K1174="","Taux de TVA manquant",IF(NOT(ISNUMBER(K1174)),"Taux de TVA invalide",IF(COUNTIF(p_rates,K1174)=0,"Taux de TVA hors liste (Paramètres)",IF(N(O1174)&gt;25,"Au-delà de 25 lignes : non imprimée","OK")))))))))))))</f>
        <v/>
      </c>
      <c r="O1174" s="59" t="str">
        <f>IF(A1174="","",COUNTIF($A$6:A1174,A1174))</f>
        <v/>
      </c>
      <c r="P1174" s="62" t="str">
        <f>IF(A1174="","",A1174&amp;"|"&amp;O1174)</f>
        <v/>
      </c>
    </row>
    <row r="1175">
      <c r="A1175" s="60" t="n"/>
      <c r="B1175" s="63" t="n"/>
      <c r="C1175" s="63" t="n"/>
      <c r="D1175" s="67" t="n"/>
      <c r="E1175" s="68" t="n"/>
      <c r="F1175" s="69" t="n"/>
      <c r="G1175" s="70" t="n"/>
      <c r="H1175" s="62" t="str">
        <f>IF(COUNTA(A1175:G1175)=0,"",IF(C1175&lt;&gt;"",C1175,IF(B1175="","",IFERROR(INDEX(pr_des,MATCH(B1175,pr_code,0))&amp;"",""))))</f>
        <v/>
      </c>
      <c r="I1175" s="59" t="str">
        <f>IF(B1175="","",IFERROR(INDEX(pr_unit,MATCH(B1175,pr_code,0))&amp;"",""))</f>
        <v/>
      </c>
      <c r="J1175" s="65" t="str">
        <f>IF(COUNTA(A1175:G1175)=0,"",IF(E1175&lt;&gt;"",E1175,IF(B1175="","",IFERROR(IF(INDEX(pr_price,MATCH(B1175,pr_code,0))="","",INDEX(pr_price,MATCH(B1175,pr_code,0))),""))))</f>
        <v/>
      </c>
      <c r="K1175" s="71" t="str">
        <f>IF(COUNTA(A1175:G1175)=0,"",IF(G1175&lt;&gt;"",G1175,IF(B1175="","",IFERROR(IF(INDEX(pr_rate,MATCH(B1175,pr_code,0))="","",INDEX(pr_rate,MATCH(B1175,pr_code,0))),""))))</f>
        <v/>
      </c>
      <c r="L1175" s="65" t="str">
        <f>IF(COUNTA(A1175:G1175)=0,"",IF(AND(ISNUMBER(D1175),ISNUMBER(J1175)),ROUND(D1175*J1175*(1-N(F1175)),2),0))</f>
        <v/>
      </c>
      <c r="M1175" s="62" t="str">
        <f>IF(A1175="","",IFERROR(INDEX(fa_cname,MATCH(A1175,fa_num,0))&amp;"",""))</f>
        <v/>
      </c>
      <c r="N1175" s="59" t="str">
        <f>IF(COUNTA(A1175:G1175)=0,"",IF(A1175="","N° facture manquant",IF(ISNA(MATCH(A1175,fa_num,0)),"Facture inconnue",IF(AND(B1175&lt;&gt;"",ISNA(MATCH(B1175,pr_code,0))),"Article inconnu",IF(H1175="","Désignation manquante",IF(OR(NOT(ISNUMBER(D1175)),N(D1175)&lt;=0),"Quantité invalide",IF(J1175="","Prix manquant",IF(OR(NOT(ISNUMBER(J1175)),N(J1175)&lt;0),"Prix invalide",IF(OR(AND(F1175&lt;&gt;"",NOT(ISNUMBER(F1175))),N(F1175)&lt;0,N(F1175)&gt;1),"Remise invalide",IF(K1175="","Taux de TVA manquant",IF(NOT(ISNUMBER(K1175)),"Taux de TVA invalide",IF(COUNTIF(p_rates,K1175)=0,"Taux de TVA hors liste (Paramètres)",IF(N(O1175)&gt;25,"Au-delà de 25 lignes : non imprimée","OK")))))))))))))</f>
        <v/>
      </c>
      <c r="O1175" s="59" t="str">
        <f>IF(A1175="","",COUNTIF($A$6:A1175,A1175))</f>
        <v/>
      </c>
      <c r="P1175" s="62" t="str">
        <f>IF(A1175="","",A1175&amp;"|"&amp;O1175)</f>
        <v/>
      </c>
    </row>
    <row r="1176">
      <c r="A1176" s="60" t="n"/>
      <c r="B1176" s="63" t="n"/>
      <c r="C1176" s="63" t="n"/>
      <c r="D1176" s="67" t="n"/>
      <c r="E1176" s="68" t="n"/>
      <c r="F1176" s="69" t="n"/>
      <c r="G1176" s="70" t="n"/>
      <c r="H1176" s="62" t="str">
        <f>IF(COUNTA(A1176:G1176)=0,"",IF(C1176&lt;&gt;"",C1176,IF(B1176="","",IFERROR(INDEX(pr_des,MATCH(B1176,pr_code,0))&amp;"",""))))</f>
        <v/>
      </c>
      <c r="I1176" s="59" t="str">
        <f>IF(B1176="","",IFERROR(INDEX(pr_unit,MATCH(B1176,pr_code,0))&amp;"",""))</f>
        <v/>
      </c>
      <c r="J1176" s="65" t="str">
        <f>IF(COUNTA(A1176:G1176)=0,"",IF(E1176&lt;&gt;"",E1176,IF(B1176="","",IFERROR(IF(INDEX(pr_price,MATCH(B1176,pr_code,0))="","",INDEX(pr_price,MATCH(B1176,pr_code,0))),""))))</f>
        <v/>
      </c>
      <c r="K1176" s="71" t="str">
        <f>IF(COUNTA(A1176:G1176)=0,"",IF(G1176&lt;&gt;"",G1176,IF(B1176="","",IFERROR(IF(INDEX(pr_rate,MATCH(B1176,pr_code,0))="","",INDEX(pr_rate,MATCH(B1176,pr_code,0))),""))))</f>
        <v/>
      </c>
      <c r="L1176" s="65" t="str">
        <f>IF(COUNTA(A1176:G1176)=0,"",IF(AND(ISNUMBER(D1176),ISNUMBER(J1176)),ROUND(D1176*J1176*(1-N(F1176)),2),0))</f>
        <v/>
      </c>
      <c r="M1176" s="62" t="str">
        <f>IF(A1176="","",IFERROR(INDEX(fa_cname,MATCH(A1176,fa_num,0))&amp;"",""))</f>
        <v/>
      </c>
      <c r="N1176" s="59" t="str">
        <f>IF(COUNTA(A1176:G1176)=0,"",IF(A1176="","N° facture manquant",IF(ISNA(MATCH(A1176,fa_num,0)),"Facture inconnue",IF(AND(B1176&lt;&gt;"",ISNA(MATCH(B1176,pr_code,0))),"Article inconnu",IF(H1176="","Désignation manquante",IF(OR(NOT(ISNUMBER(D1176)),N(D1176)&lt;=0),"Quantité invalide",IF(J1176="","Prix manquant",IF(OR(NOT(ISNUMBER(J1176)),N(J1176)&lt;0),"Prix invalide",IF(OR(AND(F1176&lt;&gt;"",NOT(ISNUMBER(F1176))),N(F1176)&lt;0,N(F1176)&gt;1),"Remise invalide",IF(K1176="","Taux de TVA manquant",IF(NOT(ISNUMBER(K1176)),"Taux de TVA invalide",IF(COUNTIF(p_rates,K1176)=0,"Taux de TVA hors liste (Paramètres)",IF(N(O1176)&gt;25,"Au-delà de 25 lignes : non imprimée","OK")))))))))))))</f>
        <v/>
      </c>
      <c r="O1176" s="59" t="str">
        <f>IF(A1176="","",COUNTIF($A$6:A1176,A1176))</f>
        <v/>
      </c>
      <c r="P1176" s="62" t="str">
        <f>IF(A1176="","",A1176&amp;"|"&amp;O1176)</f>
        <v/>
      </c>
    </row>
    <row r="1177">
      <c r="A1177" s="60" t="n"/>
      <c r="B1177" s="63" t="n"/>
      <c r="C1177" s="63" t="n"/>
      <c r="D1177" s="67" t="n"/>
      <c r="E1177" s="68" t="n"/>
      <c r="F1177" s="69" t="n"/>
      <c r="G1177" s="70" t="n"/>
      <c r="H1177" s="62" t="str">
        <f>IF(COUNTA(A1177:G1177)=0,"",IF(C1177&lt;&gt;"",C1177,IF(B1177="","",IFERROR(INDEX(pr_des,MATCH(B1177,pr_code,0))&amp;"",""))))</f>
        <v/>
      </c>
      <c r="I1177" s="59" t="str">
        <f>IF(B1177="","",IFERROR(INDEX(pr_unit,MATCH(B1177,pr_code,0))&amp;"",""))</f>
        <v/>
      </c>
      <c r="J1177" s="65" t="str">
        <f>IF(COUNTA(A1177:G1177)=0,"",IF(E1177&lt;&gt;"",E1177,IF(B1177="","",IFERROR(IF(INDEX(pr_price,MATCH(B1177,pr_code,0))="","",INDEX(pr_price,MATCH(B1177,pr_code,0))),""))))</f>
        <v/>
      </c>
      <c r="K1177" s="71" t="str">
        <f>IF(COUNTA(A1177:G1177)=0,"",IF(G1177&lt;&gt;"",G1177,IF(B1177="","",IFERROR(IF(INDEX(pr_rate,MATCH(B1177,pr_code,0))="","",INDEX(pr_rate,MATCH(B1177,pr_code,0))),""))))</f>
        <v/>
      </c>
      <c r="L1177" s="65" t="str">
        <f>IF(COUNTA(A1177:G1177)=0,"",IF(AND(ISNUMBER(D1177),ISNUMBER(J1177)),ROUND(D1177*J1177*(1-N(F1177)),2),0))</f>
        <v/>
      </c>
      <c r="M1177" s="62" t="str">
        <f>IF(A1177="","",IFERROR(INDEX(fa_cname,MATCH(A1177,fa_num,0))&amp;"",""))</f>
        <v/>
      </c>
      <c r="N1177" s="59" t="str">
        <f>IF(COUNTA(A1177:G1177)=0,"",IF(A1177="","N° facture manquant",IF(ISNA(MATCH(A1177,fa_num,0)),"Facture inconnue",IF(AND(B1177&lt;&gt;"",ISNA(MATCH(B1177,pr_code,0))),"Article inconnu",IF(H1177="","Désignation manquante",IF(OR(NOT(ISNUMBER(D1177)),N(D1177)&lt;=0),"Quantité invalide",IF(J1177="","Prix manquant",IF(OR(NOT(ISNUMBER(J1177)),N(J1177)&lt;0),"Prix invalide",IF(OR(AND(F1177&lt;&gt;"",NOT(ISNUMBER(F1177))),N(F1177)&lt;0,N(F1177)&gt;1),"Remise invalide",IF(K1177="","Taux de TVA manquant",IF(NOT(ISNUMBER(K1177)),"Taux de TVA invalide",IF(COUNTIF(p_rates,K1177)=0,"Taux de TVA hors liste (Paramètres)",IF(N(O1177)&gt;25,"Au-delà de 25 lignes : non imprimée","OK")))))))))))))</f>
        <v/>
      </c>
      <c r="O1177" s="59" t="str">
        <f>IF(A1177="","",COUNTIF($A$6:A1177,A1177))</f>
        <v/>
      </c>
      <c r="P1177" s="62" t="str">
        <f>IF(A1177="","",A1177&amp;"|"&amp;O1177)</f>
        <v/>
      </c>
    </row>
    <row r="1178">
      <c r="A1178" s="60" t="n"/>
      <c r="B1178" s="63" t="n"/>
      <c r="C1178" s="63" t="n"/>
      <c r="D1178" s="67" t="n"/>
      <c r="E1178" s="68" t="n"/>
      <c r="F1178" s="69" t="n"/>
      <c r="G1178" s="70" t="n"/>
      <c r="H1178" s="62" t="str">
        <f>IF(COUNTA(A1178:G1178)=0,"",IF(C1178&lt;&gt;"",C1178,IF(B1178="","",IFERROR(INDEX(pr_des,MATCH(B1178,pr_code,0))&amp;"",""))))</f>
        <v/>
      </c>
      <c r="I1178" s="59" t="str">
        <f>IF(B1178="","",IFERROR(INDEX(pr_unit,MATCH(B1178,pr_code,0))&amp;"",""))</f>
        <v/>
      </c>
      <c r="J1178" s="65" t="str">
        <f>IF(COUNTA(A1178:G1178)=0,"",IF(E1178&lt;&gt;"",E1178,IF(B1178="","",IFERROR(IF(INDEX(pr_price,MATCH(B1178,pr_code,0))="","",INDEX(pr_price,MATCH(B1178,pr_code,0))),""))))</f>
        <v/>
      </c>
      <c r="K1178" s="71" t="str">
        <f>IF(COUNTA(A1178:G1178)=0,"",IF(G1178&lt;&gt;"",G1178,IF(B1178="","",IFERROR(IF(INDEX(pr_rate,MATCH(B1178,pr_code,0))="","",INDEX(pr_rate,MATCH(B1178,pr_code,0))),""))))</f>
        <v/>
      </c>
      <c r="L1178" s="65" t="str">
        <f>IF(COUNTA(A1178:G1178)=0,"",IF(AND(ISNUMBER(D1178),ISNUMBER(J1178)),ROUND(D1178*J1178*(1-N(F1178)),2),0))</f>
        <v/>
      </c>
      <c r="M1178" s="62" t="str">
        <f>IF(A1178="","",IFERROR(INDEX(fa_cname,MATCH(A1178,fa_num,0))&amp;"",""))</f>
        <v/>
      </c>
      <c r="N1178" s="59" t="str">
        <f>IF(COUNTA(A1178:G1178)=0,"",IF(A1178="","N° facture manquant",IF(ISNA(MATCH(A1178,fa_num,0)),"Facture inconnue",IF(AND(B1178&lt;&gt;"",ISNA(MATCH(B1178,pr_code,0))),"Article inconnu",IF(H1178="","Désignation manquante",IF(OR(NOT(ISNUMBER(D1178)),N(D1178)&lt;=0),"Quantité invalide",IF(J1178="","Prix manquant",IF(OR(NOT(ISNUMBER(J1178)),N(J1178)&lt;0),"Prix invalide",IF(OR(AND(F1178&lt;&gt;"",NOT(ISNUMBER(F1178))),N(F1178)&lt;0,N(F1178)&gt;1),"Remise invalide",IF(K1178="","Taux de TVA manquant",IF(NOT(ISNUMBER(K1178)),"Taux de TVA invalide",IF(COUNTIF(p_rates,K1178)=0,"Taux de TVA hors liste (Paramètres)",IF(N(O1178)&gt;25,"Au-delà de 25 lignes : non imprimée","OK")))))))))))))</f>
        <v/>
      </c>
      <c r="O1178" s="59" t="str">
        <f>IF(A1178="","",COUNTIF($A$6:A1178,A1178))</f>
        <v/>
      </c>
      <c r="P1178" s="62" t="str">
        <f>IF(A1178="","",A1178&amp;"|"&amp;O1178)</f>
        <v/>
      </c>
    </row>
    <row r="1179">
      <c r="A1179" s="60" t="n"/>
      <c r="B1179" s="63" t="n"/>
      <c r="C1179" s="63" t="n"/>
      <c r="D1179" s="67" t="n"/>
      <c r="E1179" s="68" t="n"/>
      <c r="F1179" s="69" t="n"/>
      <c r="G1179" s="70" t="n"/>
      <c r="H1179" s="62" t="str">
        <f>IF(COUNTA(A1179:G1179)=0,"",IF(C1179&lt;&gt;"",C1179,IF(B1179="","",IFERROR(INDEX(pr_des,MATCH(B1179,pr_code,0))&amp;"",""))))</f>
        <v/>
      </c>
      <c r="I1179" s="59" t="str">
        <f>IF(B1179="","",IFERROR(INDEX(pr_unit,MATCH(B1179,pr_code,0))&amp;"",""))</f>
        <v/>
      </c>
      <c r="J1179" s="65" t="str">
        <f>IF(COUNTA(A1179:G1179)=0,"",IF(E1179&lt;&gt;"",E1179,IF(B1179="","",IFERROR(IF(INDEX(pr_price,MATCH(B1179,pr_code,0))="","",INDEX(pr_price,MATCH(B1179,pr_code,0))),""))))</f>
        <v/>
      </c>
      <c r="K1179" s="71" t="str">
        <f>IF(COUNTA(A1179:G1179)=0,"",IF(G1179&lt;&gt;"",G1179,IF(B1179="","",IFERROR(IF(INDEX(pr_rate,MATCH(B1179,pr_code,0))="","",INDEX(pr_rate,MATCH(B1179,pr_code,0))),""))))</f>
        <v/>
      </c>
      <c r="L1179" s="65" t="str">
        <f>IF(COUNTA(A1179:G1179)=0,"",IF(AND(ISNUMBER(D1179),ISNUMBER(J1179)),ROUND(D1179*J1179*(1-N(F1179)),2),0))</f>
        <v/>
      </c>
      <c r="M1179" s="62" t="str">
        <f>IF(A1179="","",IFERROR(INDEX(fa_cname,MATCH(A1179,fa_num,0))&amp;"",""))</f>
        <v/>
      </c>
      <c r="N1179" s="59" t="str">
        <f>IF(COUNTA(A1179:G1179)=0,"",IF(A1179="","N° facture manquant",IF(ISNA(MATCH(A1179,fa_num,0)),"Facture inconnue",IF(AND(B1179&lt;&gt;"",ISNA(MATCH(B1179,pr_code,0))),"Article inconnu",IF(H1179="","Désignation manquante",IF(OR(NOT(ISNUMBER(D1179)),N(D1179)&lt;=0),"Quantité invalide",IF(J1179="","Prix manquant",IF(OR(NOT(ISNUMBER(J1179)),N(J1179)&lt;0),"Prix invalide",IF(OR(AND(F1179&lt;&gt;"",NOT(ISNUMBER(F1179))),N(F1179)&lt;0,N(F1179)&gt;1),"Remise invalide",IF(K1179="","Taux de TVA manquant",IF(NOT(ISNUMBER(K1179)),"Taux de TVA invalide",IF(COUNTIF(p_rates,K1179)=0,"Taux de TVA hors liste (Paramètres)",IF(N(O1179)&gt;25,"Au-delà de 25 lignes : non imprimée","OK")))))))))))))</f>
        <v/>
      </c>
      <c r="O1179" s="59" t="str">
        <f>IF(A1179="","",COUNTIF($A$6:A1179,A1179))</f>
        <v/>
      </c>
      <c r="P1179" s="62" t="str">
        <f>IF(A1179="","",A1179&amp;"|"&amp;O1179)</f>
        <v/>
      </c>
    </row>
    <row r="1180">
      <c r="A1180" s="60" t="n"/>
      <c r="B1180" s="63" t="n"/>
      <c r="C1180" s="63" t="n"/>
      <c r="D1180" s="67" t="n"/>
      <c r="E1180" s="68" t="n"/>
      <c r="F1180" s="69" t="n"/>
      <c r="G1180" s="70" t="n"/>
      <c r="H1180" s="62" t="str">
        <f>IF(COUNTA(A1180:G1180)=0,"",IF(C1180&lt;&gt;"",C1180,IF(B1180="","",IFERROR(INDEX(pr_des,MATCH(B1180,pr_code,0))&amp;"",""))))</f>
        <v/>
      </c>
      <c r="I1180" s="59" t="str">
        <f>IF(B1180="","",IFERROR(INDEX(pr_unit,MATCH(B1180,pr_code,0))&amp;"",""))</f>
        <v/>
      </c>
      <c r="J1180" s="65" t="str">
        <f>IF(COUNTA(A1180:G1180)=0,"",IF(E1180&lt;&gt;"",E1180,IF(B1180="","",IFERROR(IF(INDEX(pr_price,MATCH(B1180,pr_code,0))="","",INDEX(pr_price,MATCH(B1180,pr_code,0))),""))))</f>
        <v/>
      </c>
      <c r="K1180" s="71" t="str">
        <f>IF(COUNTA(A1180:G1180)=0,"",IF(G1180&lt;&gt;"",G1180,IF(B1180="","",IFERROR(IF(INDEX(pr_rate,MATCH(B1180,pr_code,0))="","",INDEX(pr_rate,MATCH(B1180,pr_code,0))),""))))</f>
        <v/>
      </c>
      <c r="L1180" s="65" t="str">
        <f>IF(COUNTA(A1180:G1180)=0,"",IF(AND(ISNUMBER(D1180),ISNUMBER(J1180)),ROUND(D1180*J1180*(1-N(F1180)),2),0))</f>
        <v/>
      </c>
      <c r="M1180" s="62" t="str">
        <f>IF(A1180="","",IFERROR(INDEX(fa_cname,MATCH(A1180,fa_num,0))&amp;"",""))</f>
        <v/>
      </c>
      <c r="N1180" s="59" t="str">
        <f>IF(COUNTA(A1180:G1180)=0,"",IF(A1180="","N° facture manquant",IF(ISNA(MATCH(A1180,fa_num,0)),"Facture inconnue",IF(AND(B1180&lt;&gt;"",ISNA(MATCH(B1180,pr_code,0))),"Article inconnu",IF(H1180="","Désignation manquante",IF(OR(NOT(ISNUMBER(D1180)),N(D1180)&lt;=0),"Quantité invalide",IF(J1180="","Prix manquant",IF(OR(NOT(ISNUMBER(J1180)),N(J1180)&lt;0),"Prix invalide",IF(OR(AND(F1180&lt;&gt;"",NOT(ISNUMBER(F1180))),N(F1180)&lt;0,N(F1180)&gt;1),"Remise invalide",IF(K1180="","Taux de TVA manquant",IF(NOT(ISNUMBER(K1180)),"Taux de TVA invalide",IF(COUNTIF(p_rates,K1180)=0,"Taux de TVA hors liste (Paramètres)",IF(N(O1180)&gt;25,"Au-delà de 25 lignes : non imprimée","OK")))))))))))))</f>
        <v/>
      </c>
      <c r="O1180" s="59" t="str">
        <f>IF(A1180="","",COUNTIF($A$6:A1180,A1180))</f>
        <v/>
      </c>
      <c r="P1180" s="62" t="str">
        <f>IF(A1180="","",A1180&amp;"|"&amp;O1180)</f>
        <v/>
      </c>
    </row>
    <row r="1181">
      <c r="A1181" s="60" t="n"/>
      <c r="B1181" s="63" t="n"/>
      <c r="C1181" s="63" t="n"/>
      <c r="D1181" s="67" t="n"/>
      <c r="E1181" s="68" t="n"/>
      <c r="F1181" s="69" t="n"/>
      <c r="G1181" s="70" t="n"/>
      <c r="H1181" s="62" t="str">
        <f>IF(COUNTA(A1181:G1181)=0,"",IF(C1181&lt;&gt;"",C1181,IF(B1181="","",IFERROR(INDEX(pr_des,MATCH(B1181,pr_code,0))&amp;"",""))))</f>
        <v/>
      </c>
      <c r="I1181" s="59" t="str">
        <f>IF(B1181="","",IFERROR(INDEX(pr_unit,MATCH(B1181,pr_code,0))&amp;"",""))</f>
        <v/>
      </c>
      <c r="J1181" s="65" t="str">
        <f>IF(COUNTA(A1181:G1181)=0,"",IF(E1181&lt;&gt;"",E1181,IF(B1181="","",IFERROR(IF(INDEX(pr_price,MATCH(B1181,pr_code,0))="","",INDEX(pr_price,MATCH(B1181,pr_code,0))),""))))</f>
        <v/>
      </c>
      <c r="K1181" s="71" t="str">
        <f>IF(COUNTA(A1181:G1181)=0,"",IF(G1181&lt;&gt;"",G1181,IF(B1181="","",IFERROR(IF(INDEX(pr_rate,MATCH(B1181,pr_code,0))="","",INDEX(pr_rate,MATCH(B1181,pr_code,0))),""))))</f>
        <v/>
      </c>
      <c r="L1181" s="65" t="str">
        <f>IF(COUNTA(A1181:G1181)=0,"",IF(AND(ISNUMBER(D1181),ISNUMBER(J1181)),ROUND(D1181*J1181*(1-N(F1181)),2),0))</f>
        <v/>
      </c>
      <c r="M1181" s="62" t="str">
        <f>IF(A1181="","",IFERROR(INDEX(fa_cname,MATCH(A1181,fa_num,0))&amp;"",""))</f>
        <v/>
      </c>
      <c r="N1181" s="59" t="str">
        <f>IF(COUNTA(A1181:G1181)=0,"",IF(A1181="","N° facture manquant",IF(ISNA(MATCH(A1181,fa_num,0)),"Facture inconnue",IF(AND(B1181&lt;&gt;"",ISNA(MATCH(B1181,pr_code,0))),"Article inconnu",IF(H1181="","Désignation manquante",IF(OR(NOT(ISNUMBER(D1181)),N(D1181)&lt;=0),"Quantité invalide",IF(J1181="","Prix manquant",IF(OR(NOT(ISNUMBER(J1181)),N(J1181)&lt;0),"Prix invalide",IF(OR(AND(F1181&lt;&gt;"",NOT(ISNUMBER(F1181))),N(F1181)&lt;0,N(F1181)&gt;1),"Remise invalide",IF(K1181="","Taux de TVA manquant",IF(NOT(ISNUMBER(K1181)),"Taux de TVA invalide",IF(COUNTIF(p_rates,K1181)=0,"Taux de TVA hors liste (Paramètres)",IF(N(O1181)&gt;25,"Au-delà de 25 lignes : non imprimée","OK")))))))))))))</f>
        <v/>
      </c>
      <c r="O1181" s="59" t="str">
        <f>IF(A1181="","",COUNTIF($A$6:A1181,A1181))</f>
        <v/>
      </c>
      <c r="P1181" s="62" t="str">
        <f>IF(A1181="","",A1181&amp;"|"&amp;O1181)</f>
        <v/>
      </c>
    </row>
    <row r="1182">
      <c r="A1182" s="60" t="n"/>
      <c r="B1182" s="63" t="n"/>
      <c r="C1182" s="63" t="n"/>
      <c r="D1182" s="67" t="n"/>
      <c r="E1182" s="68" t="n"/>
      <c r="F1182" s="69" t="n"/>
      <c r="G1182" s="70" t="n"/>
      <c r="H1182" s="62" t="str">
        <f>IF(COUNTA(A1182:G1182)=0,"",IF(C1182&lt;&gt;"",C1182,IF(B1182="","",IFERROR(INDEX(pr_des,MATCH(B1182,pr_code,0))&amp;"",""))))</f>
        <v/>
      </c>
      <c r="I1182" s="59" t="str">
        <f>IF(B1182="","",IFERROR(INDEX(pr_unit,MATCH(B1182,pr_code,0))&amp;"",""))</f>
        <v/>
      </c>
      <c r="J1182" s="65" t="str">
        <f>IF(COUNTA(A1182:G1182)=0,"",IF(E1182&lt;&gt;"",E1182,IF(B1182="","",IFERROR(IF(INDEX(pr_price,MATCH(B1182,pr_code,0))="","",INDEX(pr_price,MATCH(B1182,pr_code,0))),""))))</f>
        <v/>
      </c>
      <c r="K1182" s="71" t="str">
        <f>IF(COUNTA(A1182:G1182)=0,"",IF(G1182&lt;&gt;"",G1182,IF(B1182="","",IFERROR(IF(INDEX(pr_rate,MATCH(B1182,pr_code,0))="","",INDEX(pr_rate,MATCH(B1182,pr_code,0))),""))))</f>
        <v/>
      </c>
      <c r="L1182" s="65" t="str">
        <f>IF(COUNTA(A1182:G1182)=0,"",IF(AND(ISNUMBER(D1182),ISNUMBER(J1182)),ROUND(D1182*J1182*(1-N(F1182)),2),0))</f>
        <v/>
      </c>
      <c r="M1182" s="62" t="str">
        <f>IF(A1182="","",IFERROR(INDEX(fa_cname,MATCH(A1182,fa_num,0))&amp;"",""))</f>
        <v/>
      </c>
      <c r="N1182" s="59" t="str">
        <f>IF(COUNTA(A1182:G1182)=0,"",IF(A1182="","N° facture manquant",IF(ISNA(MATCH(A1182,fa_num,0)),"Facture inconnue",IF(AND(B1182&lt;&gt;"",ISNA(MATCH(B1182,pr_code,0))),"Article inconnu",IF(H1182="","Désignation manquante",IF(OR(NOT(ISNUMBER(D1182)),N(D1182)&lt;=0),"Quantité invalide",IF(J1182="","Prix manquant",IF(OR(NOT(ISNUMBER(J1182)),N(J1182)&lt;0),"Prix invalide",IF(OR(AND(F1182&lt;&gt;"",NOT(ISNUMBER(F1182))),N(F1182)&lt;0,N(F1182)&gt;1),"Remise invalide",IF(K1182="","Taux de TVA manquant",IF(NOT(ISNUMBER(K1182)),"Taux de TVA invalide",IF(COUNTIF(p_rates,K1182)=0,"Taux de TVA hors liste (Paramètres)",IF(N(O1182)&gt;25,"Au-delà de 25 lignes : non imprimée","OK")))))))))))))</f>
        <v/>
      </c>
      <c r="O1182" s="59" t="str">
        <f>IF(A1182="","",COUNTIF($A$6:A1182,A1182))</f>
        <v/>
      </c>
      <c r="P1182" s="62" t="str">
        <f>IF(A1182="","",A1182&amp;"|"&amp;O1182)</f>
        <v/>
      </c>
    </row>
    <row r="1183">
      <c r="A1183" s="60" t="n"/>
      <c r="B1183" s="63" t="n"/>
      <c r="C1183" s="63" t="n"/>
      <c r="D1183" s="67" t="n"/>
      <c r="E1183" s="68" t="n"/>
      <c r="F1183" s="69" t="n"/>
      <c r="G1183" s="70" t="n"/>
      <c r="H1183" s="62" t="str">
        <f>IF(COUNTA(A1183:G1183)=0,"",IF(C1183&lt;&gt;"",C1183,IF(B1183="","",IFERROR(INDEX(pr_des,MATCH(B1183,pr_code,0))&amp;"",""))))</f>
        <v/>
      </c>
      <c r="I1183" s="59" t="str">
        <f>IF(B1183="","",IFERROR(INDEX(pr_unit,MATCH(B1183,pr_code,0))&amp;"",""))</f>
        <v/>
      </c>
      <c r="J1183" s="65" t="str">
        <f>IF(COUNTA(A1183:G1183)=0,"",IF(E1183&lt;&gt;"",E1183,IF(B1183="","",IFERROR(IF(INDEX(pr_price,MATCH(B1183,pr_code,0))="","",INDEX(pr_price,MATCH(B1183,pr_code,0))),""))))</f>
        <v/>
      </c>
      <c r="K1183" s="71" t="str">
        <f>IF(COUNTA(A1183:G1183)=0,"",IF(G1183&lt;&gt;"",G1183,IF(B1183="","",IFERROR(IF(INDEX(pr_rate,MATCH(B1183,pr_code,0))="","",INDEX(pr_rate,MATCH(B1183,pr_code,0))),""))))</f>
        <v/>
      </c>
      <c r="L1183" s="65" t="str">
        <f>IF(COUNTA(A1183:G1183)=0,"",IF(AND(ISNUMBER(D1183),ISNUMBER(J1183)),ROUND(D1183*J1183*(1-N(F1183)),2),0))</f>
        <v/>
      </c>
      <c r="M1183" s="62" t="str">
        <f>IF(A1183="","",IFERROR(INDEX(fa_cname,MATCH(A1183,fa_num,0))&amp;"",""))</f>
        <v/>
      </c>
      <c r="N1183" s="59" t="str">
        <f>IF(COUNTA(A1183:G1183)=0,"",IF(A1183="","N° facture manquant",IF(ISNA(MATCH(A1183,fa_num,0)),"Facture inconnue",IF(AND(B1183&lt;&gt;"",ISNA(MATCH(B1183,pr_code,0))),"Article inconnu",IF(H1183="","Désignation manquante",IF(OR(NOT(ISNUMBER(D1183)),N(D1183)&lt;=0),"Quantité invalide",IF(J1183="","Prix manquant",IF(OR(NOT(ISNUMBER(J1183)),N(J1183)&lt;0),"Prix invalide",IF(OR(AND(F1183&lt;&gt;"",NOT(ISNUMBER(F1183))),N(F1183)&lt;0,N(F1183)&gt;1),"Remise invalide",IF(K1183="","Taux de TVA manquant",IF(NOT(ISNUMBER(K1183)),"Taux de TVA invalide",IF(COUNTIF(p_rates,K1183)=0,"Taux de TVA hors liste (Paramètres)",IF(N(O1183)&gt;25,"Au-delà de 25 lignes : non imprimée","OK")))))))))))))</f>
        <v/>
      </c>
      <c r="O1183" s="59" t="str">
        <f>IF(A1183="","",COUNTIF($A$6:A1183,A1183))</f>
        <v/>
      </c>
      <c r="P1183" s="62" t="str">
        <f>IF(A1183="","",A1183&amp;"|"&amp;O1183)</f>
        <v/>
      </c>
    </row>
    <row r="1184">
      <c r="A1184" s="60" t="n"/>
      <c r="B1184" s="63" t="n"/>
      <c r="C1184" s="63" t="n"/>
      <c r="D1184" s="67" t="n"/>
      <c r="E1184" s="68" t="n"/>
      <c r="F1184" s="69" t="n"/>
      <c r="G1184" s="70" t="n"/>
      <c r="H1184" s="62" t="str">
        <f>IF(COUNTA(A1184:G1184)=0,"",IF(C1184&lt;&gt;"",C1184,IF(B1184="","",IFERROR(INDEX(pr_des,MATCH(B1184,pr_code,0))&amp;"",""))))</f>
        <v/>
      </c>
      <c r="I1184" s="59" t="str">
        <f>IF(B1184="","",IFERROR(INDEX(pr_unit,MATCH(B1184,pr_code,0))&amp;"",""))</f>
        <v/>
      </c>
      <c r="J1184" s="65" t="str">
        <f>IF(COUNTA(A1184:G1184)=0,"",IF(E1184&lt;&gt;"",E1184,IF(B1184="","",IFERROR(IF(INDEX(pr_price,MATCH(B1184,pr_code,0))="","",INDEX(pr_price,MATCH(B1184,pr_code,0))),""))))</f>
        <v/>
      </c>
      <c r="K1184" s="71" t="str">
        <f>IF(COUNTA(A1184:G1184)=0,"",IF(G1184&lt;&gt;"",G1184,IF(B1184="","",IFERROR(IF(INDEX(pr_rate,MATCH(B1184,pr_code,0))="","",INDEX(pr_rate,MATCH(B1184,pr_code,0))),""))))</f>
        <v/>
      </c>
      <c r="L1184" s="65" t="str">
        <f>IF(COUNTA(A1184:G1184)=0,"",IF(AND(ISNUMBER(D1184),ISNUMBER(J1184)),ROUND(D1184*J1184*(1-N(F1184)),2),0))</f>
        <v/>
      </c>
      <c r="M1184" s="62" t="str">
        <f>IF(A1184="","",IFERROR(INDEX(fa_cname,MATCH(A1184,fa_num,0))&amp;"",""))</f>
        <v/>
      </c>
      <c r="N1184" s="59" t="str">
        <f>IF(COUNTA(A1184:G1184)=0,"",IF(A1184="","N° facture manquant",IF(ISNA(MATCH(A1184,fa_num,0)),"Facture inconnue",IF(AND(B1184&lt;&gt;"",ISNA(MATCH(B1184,pr_code,0))),"Article inconnu",IF(H1184="","Désignation manquante",IF(OR(NOT(ISNUMBER(D1184)),N(D1184)&lt;=0),"Quantité invalide",IF(J1184="","Prix manquant",IF(OR(NOT(ISNUMBER(J1184)),N(J1184)&lt;0),"Prix invalide",IF(OR(AND(F1184&lt;&gt;"",NOT(ISNUMBER(F1184))),N(F1184)&lt;0,N(F1184)&gt;1),"Remise invalide",IF(K1184="","Taux de TVA manquant",IF(NOT(ISNUMBER(K1184)),"Taux de TVA invalide",IF(COUNTIF(p_rates,K1184)=0,"Taux de TVA hors liste (Paramètres)",IF(N(O1184)&gt;25,"Au-delà de 25 lignes : non imprimée","OK")))))))))))))</f>
        <v/>
      </c>
      <c r="O1184" s="59" t="str">
        <f>IF(A1184="","",COUNTIF($A$6:A1184,A1184))</f>
        <v/>
      </c>
      <c r="P1184" s="62" t="str">
        <f>IF(A1184="","",A1184&amp;"|"&amp;O1184)</f>
        <v/>
      </c>
    </row>
    <row r="1185">
      <c r="A1185" s="60" t="n"/>
      <c r="B1185" s="63" t="n"/>
      <c r="C1185" s="63" t="n"/>
      <c r="D1185" s="67" t="n"/>
      <c r="E1185" s="68" t="n"/>
      <c r="F1185" s="69" t="n"/>
      <c r="G1185" s="70" t="n"/>
      <c r="H1185" s="62" t="str">
        <f>IF(COUNTA(A1185:G1185)=0,"",IF(C1185&lt;&gt;"",C1185,IF(B1185="","",IFERROR(INDEX(pr_des,MATCH(B1185,pr_code,0))&amp;"",""))))</f>
        <v/>
      </c>
      <c r="I1185" s="59" t="str">
        <f>IF(B1185="","",IFERROR(INDEX(pr_unit,MATCH(B1185,pr_code,0))&amp;"",""))</f>
        <v/>
      </c>
      <c r="J1185" s="65" t="str">
        <f>IF(COUNTA(A1185:G1185)=0,"",IF(E1185&lt;&gt;"",E1185,IF(B1185="","",IFERROR(IF(INDEX(pr_price,MATCH(B1185,pr_code,0))="","",INDEX(pr_price,MATCH(B1185,pr_code,0))),""))))</f>
        <v/>
      </c>
      <c r="K1185" s="71" t="str">
        <f>IF(COUNTA(A1185:G1185)=0,"",IF(G1185&lt;&gt;"",G1185,IF(B1185="","",IFERROR(IF(INDEX(pr_rate,MATCH(B1185,pr_code,0))="","",INDEX(pr_rate,MATCH(B1185,pr_code,0))),""))))</f>
        <v/>
      </c>
      <c r="L1185" s="65" t="str">
        <f>IF(COUNTA(A1185:G1185)=0,"",IF(AND(ISNUMBER(D1185),ISNUMBER(J1185)),ROUND(D1185*J1185*(1-N(F1185)),2),0))</f>
        <v/>
      </c>
      <c r="M1185" s="62" t="str">
        <f>IF(A1185="","",IFERROR(INDEX(fa_cname,MATCH(A1185,fa_num,0))&amp;"",""))</f>
        <v/>
      </c>
      <c r="N1185" s="59" t="str">
        <f>IF(COUNTA(A1185:G1185)=0,"",IF(A1185="","N° facture manquant",IF(ISNA(MATCH(A1185,fa_num,0)),"Facture inconnue",IF(AND(B1185&lt;&gt;"",ISNA(MATCH(B1185,pr_code,0))),"Article inconnu",IF(H1185="","Désignation manquante",IF(OR(NOT(ISNUMBER(D1185)),N(D1185)&lt;=0),"Quantité invalide",IF(J1185="","Prix manquant",IF(OR(NOT(ISNUMBER(J1185)),N(J1185)&lt;0),"Prix invalide",IF(OR(AND(F1185&lt;&gt;"",NOT(ISNUMBER(F1185))),N(F1185)&lt;0,N(F1185)&gt;1),"Remise invalide",IF(K1185="","Taux de TVA manquant",IF(NOT(ISNUMBER(K1185)),"Taux de TVA invalide",IF(COUNTIF(p_rates,K1185)=0,"Taux de TVA hors liste (Paramètres)",IF(N(O1185)&gt;25,"Au-delà de 25 lignes : non imprimée","OK")))))))))))))</f>
        <v/>
      </c>
      <c r="O1185" s="59" t="str">
        <f>IF(A1185="","",COUNTIF($A$6:A1185,A1185))</f>
        <v/>
      </c>
      <c r="P1185" s="62" t="str">
        <f>IF(A1185="","",A1185&amp;"|"&amp;O1185)</f>
        <v/>
      </c>
    </row>
    <row r="1186">
      <c r="A1186" s="60" t="n"/>
      <c r="B1186" s="63" t="n"/>
      <c r="C1186" s="63" t="n"/>
      <c r="D1186" s="67" t="n"/>
      <c r="E1186" s="68" t="n"/>
      <c r="F1186" s="69" t="n"/>
      <c r="G1186" s="70" t="n"/>
      <c r="H1186" s="62" t="str">
        <f>IF(COUNTA(A1186:G1186)=0,"",IF(C1186&lt;&gt;"",C1186,IF(B1186="","",IFERROR(INDEX(pr_des,MATCH(B1186,pr_code,0))&amp;"",""))))</f>
        <v/>
      </c>
      <c r="I1186" s="59" t="str">
        <f>IF(B1186="","",IFERROR(INDEX(pr_unit,MATCH(B1186,pr_code,0))&amp;"",""))</f>
        <v/>
      </c>
      <c r="J1186" s="65" t="str">
        <f>IF(COUNTA(A1186:G1186)=0,"",IF(E1186&lt;&gt;"",E1186,IF(B1186="","",IFERROR(IF(INDEX(pr_price,MATCH(B1186,pr_code,0))="","",INDEX(pr_price,MATCH(B1186,pr_code,0))),""))))</f>
        <v/>
      </c>
      <c r="K1186" s="71" t="str">
        <f>IF(COUNTA(A1186:G1186)=0,"",IF(G1186&lt;&gt;"",G1186,IF(B1186="","",IFERROR(IF(INDEX(pr_rate,MATCH(B1186,pr_code,0))="","",INDEX(pr_rate,MATCH(B1186,pr_code,0))),""))))</f>
        <v/>
      </c>
      <c r="L1186" s="65" t="str">
        <f>IF(COUNTA(A1186:G1186)=0,"",IF(AND(ISNUMBER(D1186),ISNUMBER(J1186)),ROUND(D1186*J1186*(1-N(F1186)),2),0))</f>
        <v/>
      </c>
      <c r="M1186" s="62" t="str">
        <f>IF(A1186="","",IFERROR(INDEX(fa_cname,MATCH(A1186,fa_num,0))&amp;"",""))</f>
        <v/>
      </c>
      <c r="N1186" s="59" t="str">
        <f>IF(COUNTA(A1186:G1186)=0,"",IF(A1186="","N° facture manquant",IF(ISNA(MATCH(A1186,fa_num,0)),"Facture inconnue",IF(AND(B1186&lt;&gt;"",ISNA(MATCH(B1186,pr_code,0))),"Article inconnu",IF(H1186="","Désignation manquante",IF(OR(NOT(ISNUMBER(D1186)),N(D1186)&lt;=0),"Quantité invalide",IF(J1186="","Prix manquant",IF(OR(NOT(ISNUMBER(J1186)),N(J1186)&lt;0),"Prix invalide",IF(OR(AND(F1186&lt;&gt;"",NOT(ISNUMBER(F1186))),N(F1186)&lt;0,N(F1186)&gt;1),"Remise invalide",IF(K1186="","Taux de TVA manquant",IF(NOT(ISNUMBER(K1186)),"Taux de TVA invalide",IF(COUNTIF(p_rates,K1186)=0,"Taux de TVA hors liste (Paramètres)",IF(N(O1186)&gt;25,"Au-delà de 25 lignes : non imprimée","OK")))))))))))))</f>
        <v/>
      </c>
      <c r="O1186" s="59" t="str">
        <f>IF(A1186="","",COUNTIF($A$6:A1186,A1186))</f>
        <v/>
      </c>
      <c r="P1186" s="62" t="str">
        <f>IF(A1186="","",A1186&amp;"|"&amp;O1186)</f>
        <v/>
      </c>
    </row>
    <row r="1187">
      <c r="A1187" s="60" t="n"/>
      <c r="B1187" s="63" t="n"/>
      <c r="C1187" s="63" t="n"/>
      <c r="D1187" s="67" t="n"/>
      <c r="E1187" s="68" t="n"/>
      <c r="F1187" s="69" t="n"/>
      <c r="G1187" s="70" t="n"/>
      <c r="H1187" s="62" t="str">
        <f>IF(COUNTA(A1187:G1187)=0,"",IF(C1187&lt;&gt;"",C1187,IF(B1187="","",IFERROR(INDEX(pr_des,MATCH(B1187,pr_code,0))&amp;"",""))))</f>
        <v/>
      </c>
      <c r="I1187" s="59" t="str">
        <f>IF(B1187="","",IFERROR(INDEX(pr_unit,MATCH(B1187,pr_code,0))&amp;"",""))</f>
        <v/>
      </c>
      <c r="J1187" s="65" t="str">
        <f>IF(COUNTA(A1187:G1187)=0,"",IF(E1187&lt;&gt;"",E1187,IF(B1187="","",IFERROR(IF(INDEX(pr_price,MATCH(B1187,pr_code,0))="","",INDEX(pr_price,MATCH(B1187,pr_code,0))),""))))</f>
        <v/>
      </c>
      <c r="K1187" s="71" t="str">
        <f>IF(COUNTA(A1187:G1187)=0,"",IF(G1187&lt;&gt;"",G1187,IF(B1187="","",IFERROR(IF(INDEX(pr_rate,MATCH(B1187,pr_code,0))="","",INDEX(pr_rate,MATCH(B1187,pr_code,0))),""))))</f>
        <v/>
      </c>
      <c r="L1187" s="65" t="str">
        <f>IF(COUNTA(A1187:G1187)=0,"",IF(AND(ISNUMBER(D1187),ISNUMBER(J1187)),ROUND(D1187*J1187*(1-N(F1187)),2),0))</f>
        <v/>
      </c>
      <c r="M1187" s="62" t="str">
        <f>IF(A1187="","",IFERROR(INDEX(fa_cname,MATCH(A1187,fa_num,0))&amp;"",""))</f>
        <v/>
      </c>
      <c r="N1187" s="59" t="str">
        <f>IF(COUNTA(A1187:G1187)=0,"",IF(A1187="","N° facture manquant",IF(ISNA(MATCH(A1187,fa_num,0)),"Facture inconnue",IF(AND(B1187&lt;&gt;"",ISNA(MATCH(B1187,pr_code,0))),"Article inconnu",IF(H1187="","Désignation manquante",IF(OR(NOT(ISNUMBER(D1187)),N(D1187)&lt;=0),"Quantité invalide",IF(J1187="","Prix manquant",IF(OR(NOT(ISNUMBER(J1187)),N(J1187)&lt;0),"Prix invalide",IF(OR(AND(F1187&lt;&gt;"",NOT(ISNUMBER(F1187))),N(F1187)&lt;0,N(F1187)&gt;1),"Remise invalide",IF(K1187="","Taux de TVA manquant",IF(NOT(ISNUMBER(K1187)),"Taux de TVA invalide",IF(COUNTIF(p_rates,K1187)=0,"Taux de TVA hors liste (Paramètres)",IF(N(O1187)&gt;25,"Au-delà de 25 lignes : non imprimée","OK")))))))))))))</f>
        <v/>
      </c>
      <c r="O1187" s="59" t="str">
        <f>IF(A1187="","",COUNTIF($A$6:A1187,A1187))</f>
        <v/>
      </c>
      <c r="P1187" s="62" t="str">
        <f>IF(A1187="","",A1187&amp;"|"&amp;O1187)</f>
        <v/>
      </c>
    </row>
    <row r="1188">
      <c r="A1188" s="60" t="n"/>
      <c r="B1188" s="63" t="n"/>
      <c r="C1188" s="63" t="n"/>
      <c r="D1188" s="67" t="n"/>
      <c r="E1188" s="68" t="n"/>
      <c r="F1188" s="69" t="n"/>
      <c r="G1188" s="70" t="n"/>
      <c r="H1188" s="62" t="str">
        <f>IF(COUNTA(A1188:G1188)=0,"",IF(C1188&lt;&gt;"",C1188,IF(B1188="","",IFERROR(INDEX(pr_des,MATCH(B1188,pr_code,0))&amp;"",""))))</f>
        <v/>
      </c>
      <c r="I1188" s="59" t="str">
        <f>IF(B1188="","",IFERROR(INDEX(pr_unit,MATCH(B1188,pr_code,0))&amp;"",""))</f>
        <v/>
      </c>
      <c r="J1188" s="65" t="str">
        <f>IF(COUNTA(A1188:G1188)=0,"",IF(E1188&lt;&gt;"",E1188,IF(B1188="","",IFERROR(IF(INDEX(pr_price,MATCH(B1188,pr_code,0))="","",INDEX(pr_price,MATCH(B1188,pr_code,0))),""))))</f>
        <v/>
      </c>
      <c r="K1188" s="71" t="str">
        <f>IF(COUNTA(A1188:G1188)=0,"",IF(G1188&lt;&gt;"",G1188,IF(B1188="","",IFERROR(IF(INDEX(pr_rate,MATCH(B1188,pr_code,0))="","",INDEX(pr_rate,MATCH(B1188,pr_code,0))),""))))</f>
        <v/>
      </c>
      <c r="L1188" s="65" t="str">
        <f>IF(COUNTA(A1188:G1188)=0,"",IF(AND(ISNUMBER(D1188),ISNUMBER(J1188)),ROUND(D1188*J1188*(1-N(F1188)),2),0))</f>
        <v/>
      </c>
      <c r="M1188" s="62" t="str">
        <f>IF(A1188="","",IFERROR(INDEX(fa_cname,MATCH(A1188,fa_num,0))&amp;"",""))</f>
        <v/>
      </c>
      <c r="N1188" s="59" t="str">
        <f>IF(COUNTA(A1188:G1188)=0,"",IF(A1188="","N° facture manquant",IF(ISNA(MATCH(A1188,fa_num,0)),"Facture inconnue",IF(AND(B1188&lt;&gt;"",ISNA(MATCH(B1188,pr_code,0))),"Article inconnu",IF(H1188="","Désignation manquante",IF(OR(NOT(ISNUMBER(D1188)),N(D1188)&lt;=0),"Quantité invalide",IF(J1188="","Prix manquant",IF(OR(NOT(ISNUMBER(J1188)),N(J1188)&lt;0),"Prix invalide",IF(OR(AND(F1188&lt;&gt;"",NOT(ISNUMBER(F1188))),N(F1188)&lt;0,N(F1188)&gt;1),"Remise invalide",IF(K1188="","Taux de TVA manquant",IF(NOT(ISNUMBER(K1188)),"Taux de TVA invalide",IF(COUNTIF(p_rates,K1188)=0,"Taux de TVA hors liste (Paramètres)",IF(N(O1188)&gt;25,"Au-delà de 25 lignes : non imprimée","OK")))))))))))))</f>
        <v/>
      </c>
      <c r="O1188" s="59" t="str">
        <f>IF(A1188="","",COUNTIF($A$6:A1188,A1188))</f>
        <v/>
      </c>
      <c r="P1188" s="62" t="str">
        <f>IF(A1188="","",A1188&amp;"|"&amp;O1188)</f>
        <v/>
      </c>
    </row>
    <row r="1189">
      <c r="A1189" s="60" t="n"/>
      <c r="B1189" s="63" t="n"/>
      <c r="C1189" s="63" t="n"/>
      <c r="D1189" s="67" t="n"/>
      <c r="E1189" s="68" t="n"/>
      <c r="F1189" s="69" t="n"/>
      <c r="G1189" s="70" t="n"/>
      <c r="H1189" s="62" t="str">
        <f>IF(COUNTA(A1189:G1189)=0,"",IF(C1189&lt;&gt;"",C1189,IF(B1189="","",IFERROR(INDEX(pr_des,MATCH(B1189,pr_code,0))&amp;"",""))))</f>
        <v/>
      </c>
      <c r="I1189" s="59" t="str">
        <f>IF(B1189="","",IFERROR(INDEX(pr_unit,MATCH(B1189,pr_code,0))&amp;"",""))</f>
        <v/>
      </c>
      <c r="J1189" s="65" t="str">
        <f>IF(COUNTA(A1189:G1189)=0,"",IF(E1189&lt;&gt;"",E1189,IF(B1189="","",IFERROR(IF(INDEX(pr_price,MATCH(B1189,pr_code,0))="","",INDEX(pr_price,MATCH(B1189,pr_code,0))),""))))</f>
        <v/>
      </c>
      <c r="K1189" s="71" t="str">
        <f>IF(COUNTA(A1189:G1189)=0,"",IF(G1189&lt;&gt;"",G1189,IF(B1189="","",IFERROR(IF(INDEX(pr_rate,MATCH(B1189,pr_code,0))="","",INDEX(pr_rate,MATCH(B1189,pr_code,0))),""))))</f>
        <v/>
      </c>
      <c r="L1189" s="65" t="str">
        <f>IF(COUNTA(A1189:G1189)=0,"",IF(AND(ISNUMBER(D1189),ISNUMBER(J1189)),ROUND(D1189*J1189*(1-N(F1189)),2),0))</f>
        <v/>
      </c>
      <c r="M1189" s="62" t="str">
        <f>IF(A1189="","",IFERROR(INDEX(fa_cname,MATCH(A1189,fa_num,0))&amp;"",""))</f>
        <v/>
      </c>
      <c r="N1189" s="59" t="str">
        <f>IF(COUNTA(A1189:G1189)=0,"",IF(A1189="","N° facture manquant",IF(ISNA(MATCH(A1189,fa_num,0)),"Facture inconnue",IF(AND(B1189&lt;&gt;"",ISNA(MATCH(B1189,pr_code,0))),"Article inconnu",IF(H1189="","Désignation manquante",IF(OR(NOT(ISNUMBER(D1189)),N(D1189)&lt;=0),"Quantité invalide",IF(J1189="","Prix manquant",IF(OR(NOT(ISNUMBER(J1189)),N(J1189)&lt;0),"Prix invalide",IF(OR(AND(F1189&lt;&gt;"",NOT(ISNUMBER(F1189))),N(F1189)&lt;0,N(F1189)&gt;1),"Remise invalide",IF(K1189="","Taux de TVA manquant",IF(NOT(ISNUMBER(K1189)),"Taux de TVA invalide",IF(COUNTIF(p_rates,K1189)=0,"Taux de TVA hors liste (Paramètres)",IF(N(O1189)&gt;25,"Au-delà de 25 lignes : non imprimée","OK")))))))))))))</f>
        <v/>
      </c>
      <c r="O1189" s="59" t="str">
        <f>IF(A1189="","",COUNTIF($A$6:A1189,A1189))</f>
        <v/>
      </c>
      <c r="P1189" s="62" t="str">
        <f>IF(A1189="","",A1189&amp;"|"&amp;O1189)</f>
        <v/>
      </c>
    </row>
    <row r="1190">
      <c r="A1190" s="60" t="n"/>
      <c r="B1190" s="63" t="n"/>
      <c r="C1190" s="63" t="n"/>
      <c r="D1190" s="67" t="n"/>
      <c r="E1190" s="68" t="n"/>
      <c r="F1190" s="69" t="n"/>
      <c r="G1190" s="70" t="n"/>
      <c r="H1190" s="62" t="str">
        <f>IF(COUNTA(A1190:G1190)=0,"",IF(C1190&lt;&gt;"",C1190,IF(B1190="","",IFERROR(INDEX(pr_des,MATCH(B1190,pr_code,0))&amp;"",""))))</f>
        <v/>
      </c>
      <c r="I1190" s="59" t="str">
        <f>IF(B1190="","",IFERROR(INDEX(pr_unit,MATCH(B1190,pr_code,0))&amp;"",""))</f>
        <v/>
      </c>
      <c r="J1190" s="65" t="str">
        <f>IF(COUNTA(A1190:G1190)=0,"",IF(E1190&lt;&gt;"",E1190,IF(B1190="","",IFERROR(IF(INDEX(pr_price,MATCH(B1190,pr_code,0))="","",INDEX(pr_price,MATCH(B1190,pr_code,0))),""))))</f>
        <v/>
      </c>
      <c r="K1190" s="71" t="str">
        <f>IF(COUNTA(A1190:G1190)=0,"",IF(G1190&lt;&gt;"",G1190,IF(B1190="","",IFERROR(IF(INDEX(pr_rate,MATCH(B1190,pr_code,0))="","",INDEX(pr_rate,MATCH(B1190,pr_code,0))),""))))</f>
        <v/>
      </c>
      <c r="L1190" s="65" t="str">
        <f>IF(COUNTA(A1190:G1190)=0,"",IF(AND(ISNUMBER(D1190),ISNUMBER(J1190)),ROUND(D1190*J1190*(1-N(F1190)),2),0))</f>
        <v/>
      </c>
      <c r="M1190" s="62" t="str">
        <f>IF(A1190="","",IFERROR(INDEX(fa_cname,MATCH(A1190,fa_num,0))&amp;"",""))</f>
        <v/>
      </c>
      <c r="N1190" s="59" t="str">
        <f>IF(COUNTA(A1190:G1190)=0,"",IF(A1190="","N° facture manquant",IF(ISNA(MATCH(A1190,fa_num,0)),"Facture inconnue",IF(AND(B1190&lt;&gt;"",ISNA(MATCH(B1190,pr_code,0))),"Article inconnu",IF(H1190="","Désignation manquante",IF(OR(NOT(ISNUMBER(D1190)),N(D1190)&lt;=0),"Quantité invalide",IF(J1190="","Prix manquant",IF(OR(NOT(ISNUMBER(J1190)),N(J1190)&lt;0),"Prix invalide",IF(OR(AND(F1190&lt;&gt;"",NOT(ISNUMBER(F1190))),N(F1190)&lt;0,N(F1190)&gt;1),"Remise invalide",IF(K1190="","Taux de TVA manquant",IF(NOT(ISNUMBER(K1190)),"Taux de TVA invalide",IF(COUNTIF(p_rates,K1190)=0,"Taux de TVA hors liste (Paramètres)",IF(N(O1190)&gt;25,"Au-delà de 25 lignes : non imprimée","OK")))))))))))))</f>
        <v/>
      </c>
      <c r="O1190" s="59" t="str">
        <f>IF(A1190="","",COUNTIF($A$6:A1190,A1190))</f>
        <v/>
      </c>
      <c r="P1190" s="62" t="str">
        <f>IF(A1190="","",A1190&amp;"|"&amp;O1190)</f>
        <v/>
      </c>
    </row>
    <row r="1191">
      <c r="A1191" s="60" t="n"/>
      <c r="B1191" s="63" t="n"/>
      <c r="C1191" s="63" t="n"/>
      <c r="D1191" s="67" t="n"/>
      <c r="E1191" s="68" t="n"/>
      <c r="F1191" s="69" t="n"/>
      <c r="G1191" s="70" t="n"/>
      <c r="H1191" s="62" t="str">
        <f>IF(COUNTA(A1191:G1191)=0,"",IF(C1191&lt;&gt;"",C1191,IF(B1191="","",IFERROR(INDEX(pr_des,MATCH(B1191,pr_code,0))&amp;"",""))))</f>
        <v/>
      </c>
      <c r="I1191" s="59" t="str">
        <f>IF(B1191="","",IFERROR(INDEX(pr_unit,MATCH(B1191,pr_code,0))&amp;"",""))</f>
        <v/>
      </c>
      <c r="J1191" s="65" t="str">
        <f>IF(COUNTA(A1191:G1191)=0,"",IF(E1191&lt;&gt;"",E1191,IF(B1191="","",IFERROR(IF(INDEX(pr_price,MATCH(B1191,pr_code,0))="","",INDEX(pr_price,MATCH(B1191,pr_code,0))),""))))</f>
        <v/>
      </c>
      <c r="K1191" s="71" t="str">
        <f>IF(COUNTA(A1191:G1191)=0,"",IF(G1191&lt;&gt;"",G1191,IF(B1191="","",IFERROR(IF(INDEX(pr_rate,MATCH(B1191,pr_code,0))="","",INDEX(pr_rate,MATCH(B1191,pr_code,0))),""))))</f>
        <v/>
      </c>
      <c r="L1191" s="65" t="str">
        <f>IF(COUNTA(A1191:G1191)=0,"",IF(AND(ISNUMBER(D1191),ISNUMBER(J1191)),ROUND(D1191*J1191*(1-N(F1191)),2),0))</f>
        <v/>
      </c>
      <c r="M1191" s="62" t="str">
        <f>IF(A1191="","",IFERROR(INDEX(fa_cname,MATCH(A1191,fa_num,0))&amp;"",""))</f>
        <v/>
      </c>
      <c r="N1191" s="59" t="str">
        <f>IF(COUNTA(A1191:G1191)=0,"",IF(A1191="","N° facture manquant",IF(ISNA(MATCH(A1191,fa_num,0)),"Facture inconnue",IF(AND(B1191&lt;&gt;"",ISNA(MATCH(B1191,pr_code,0))),"Article inconnu",IF(H1191="","Désignation manquante",IF(OR(NOT(ISNUMBER(D1191)),N(D1191)&lt;=0),"Quantité invalide",IF(J1191="","Prix manquant",IF(OR(NOT(ISNUMBER(J1191)),N(J1191)&lt;0),"Prix invalide",IF(OR(AND(F1191&lt;&gt;"",NOT(ISNUMBER(F1191))),N(F1191)&lt;0,N(F1191)&gt;1),"Remise invalide",IF(K1191="","Taux de TVA manquant",IF(NOT(ISNUMBER(K1191)),"Taux de TVA invalide",IF(COUNTIF(p_rates,K1191)=0,"Taux de TVA hors liste (Paramètres)",IF(N(O1191)&gt;25,"Au-delà de 25 lignes : non imprimée","OK")))))))))))))</f>
        <v/>
      </c>
      <c r="O1191" s="59" t="str">
        <f>IF(A1191="","",COUNTIF($A$6:A1191,A1191))</f>
        <v/>
      </c>
      <c r="P1191" s="62" t="str">
        <f>IF(A1191="","",A1191&amp;"|"&amp;O1191)</f>
        <v/>
      </c>
    </row>
    <row r="1192">
      <c r="A1192" s="60" t="n"/>
      <c r="B1192" s="63" t="n"/>
      <c r="C1192" s="63" t="n"/>
      <c r="D1192" s="67" t="n"/>
      <c r="E1192" s="68" t="n"/>
      <c r="F1192" s="69" t="n"/>
      <c r="G1192" s="70" t="n"/>
      <c r="H1192" s="62" t="str">
        <f>IF(COUNTA(A1192:G1192)=0,"",IF(C1192&lt;&gt;"",C1192,IF(B1192="","",IFERROR(INDEX(pr_des,MATCH(B1192,pr_code,0))&amp;"",""))))</f>
        <v/>
      </c>
      <c r="I1192" s="59" t="str">
        <f>IF(B1192="","",IFERROR(INDEX(pr_unit,MATCH(B1192,pr_code,0))&amp;"",""))</f>
        <v/>
      </c>
      <c r="J1192" s="65" t="str">
        <f>IF(COUNTA(A1192:G1192)=0,"",IF(E1192&lt;&gt;"",E1192,IF(B1192="","",IFERROR(IF(INDEX(pr_price,MATCH(B1192,pr_code,0))="","",INDEX(pr_price,MATCH(B1192,pr_code,0))),""))))</f>
        <v/>
      </c>
      <c r="K1192" s="71" t="str">
        <f>IF(COUNTA(A1192:G1192)=0,"",IF(G1192&lt;&gt;"",G1192,IF(B1192="","",IFERROR(IF(INDEX(pr_rate,MATCH(B1192,pr_code,0))="","",INDEX(pr_rate,MATCH(B1192,pr_code,0))),""))))</f>
        <v/>
      </c>
      <c r="L1192" s="65" t="str">
        <f>IF(COUNTA(A1192:G1192)=0,"",IF(AND(ISNUMBER(D1192),ISNUMBER(J1192)),ROUND(D1192*J1192*(1-N(F1192)),2),0))</f>
        <v/>
      </c>
      <c r="M1192" s="62" t="str">
        <f>IF(A1192="","",IFERROR(INDEX(fa_cname,MATCH(A1192,fa_num,0))&amp;"",""))</f>
        <v/>
      </c>
      <c r="N1192" s="59" t="str">
        <f>IF(COUNTA(A1192:G1192)=0,"",IF(A1192="","N° facture manquant",IF(ISNA(MATCH(A1192,fa_num,0)),"Facture inconnue",IF(AND(B1192&lt;&gt;"",ISNA(MATCH(B1192,pr_code,0))),"Article inconnu",IF(H1192="","Désignation manquante",IF(OR(NOT(ISNUMBER(D1192)),N(D1192)&lt;=0),"Quantité invalide",IF(J1192="","Prix manquant",IF(OR(NOT(ISNUMBER(J1192)),N(J1192)&lt;0),"Prix invalide",IF(OR(AND(F1192&lt;&gt;"",NOT(ISNUMBER(F1192))),N(F1192)&lt;0,N(F1192)&gt;1),"Remise invalide",IF(K1192="","Taux de TVA manquant",IF(NOT(ISNUMBER(K1192)),"Taux de TVA invalide",IF(COUNTIF(p_rates,K1192)=0,"Taux de TVA hors liste (Paramètres)",IF(N(O1192)&gt;25,"Au-delà de 25 lignes : non imprimée","OK")))))))))))))</f>
        <v/>
      </c>
      <c r="O1192" s="59" t="str">
        <f>IF(A1192="","",COUNTIF($A$6:A1192,A1192))</f>
        <v/>
      </c>
      <c r="P1192" s="62" t="str">
        <f>IF(A1192="","",A1192&amp;"|"&amp;O1192)</f>
        <v/>
      </c>
    </row>
    <row r="1193">
      <c r="A1193" s="60" t="n"/>
      <c r="B1193" s="63" t="n"/>
      <c r="C1193" s="63" t="n"/>
      <c r="D1193" s="67" t="n"/>
      <c r="E1193" s="68" t="n"/>
      <c r="F1193" s="69" t="n"/>
      <c r="G1193" s="70" t="n"/>
      <c r="H1193" s="62" t="str">
        <f>IF(COUNTA(A1193:G1193)=0,"",IF(C1193&lt;&gt;"",C1193,IF(B1193="","",IFERROR(INDEX(pr_des,MATCH(B1193,pr_code,0))&amp;"",""))))</f>
        <v/>
      </c>
      <c r="I1193" s="59" t="str">
        <f>IF(B1193="","",IFERROR(INDEX(pr_unit,MATCH(B1193,pr_code,0))&amp;"",""))</f>
        <v/>
      </c>
      <c r="J1193" s="65" t="str">
        <f>IF(COUNTA(A1193:G1193)=0,"",IF(E1193&lt;&gt;"",E1193,IF(B1193="","",IFERROR(IF(INDEX(pr_price,MATCH(B1193,pr_code,0))="","",INDEX(pr_price,MATCH(B1193,pr_code,0))),""))))</f>
        <v/>
      </c>
      <c r="K1193" s="71" t="str">
        <f>IF(COUNTA(A1193:G1193)=0,"",IF(G1193&lt;&gt;"",G1193,IF(B1193="","",IFERROR(IF(INDEX(pr_rate,MATCH(B1193,pr_code,0))="","",INDEX(pr_rate,MATCH(B1193,pr_code,0))),""))))</f>
        <v/>
      </c>
      <c r="L1193" s="65" t="str">
        <f>IF(COUNTA(A1193:G1193)=0,"",IF(AND(ISNUMBER(D1193),ISNUMBER(J1193)),ROUND(D1193*J1193*(1-N(F1193)),2),0))</f>
        <v/>
      </c>
      <c r="M1193" s="62" t="str">
        <f>IF(A1193="","",IFERROR(INDEX(fa_cname,MATCH(A1193,fa_num,0))&amp;"",""))</f>
        <v/>
      </c>
      <c r="N1193" s="59" t="str">
        <f>IF(COUNTA(A1193:G1193)=0,"",IF(A1193="","N° facture manquant",IF(ISNA(MATCH(A1193,fa_num,0)),"Facture inconnue",IF(AND(B1193&lt;&gt;"",ISNA(MATCH(B1193,pr_code,0))),"Article inconnu",IF(H1193="","Désignation manquante",IF(OR(NOT(ISNUMBER(D1193)),N(D1193)&lt;=0),"Quantité invalide",IF(J1193="","Prix manquant",IF(OR(NOT(ISNUMBER(J1193)),N(J1193)&lt;0),"Prix invalide",IF(OR(AND(F1193&lt;&gt;"",NOT(ISNUMBER(F1193))),N(F1193)&lt;0,N(F1193)&gt;1),"Remise invalide",IF(K1193="","Taux de TVA manquant",IF(NOT(ISNUMBER(K1193)),"Taux de TVA invalide",IF(COUNTIF(p_rates,K1193)=0,"Taux de TVA hors liste (Paramètres)",IF(N(O1193)&gt;25,"Au-delà de 25 lignes : non imprimée","OK")))))))))))))</f>
        <v/>
      </c>
      <c r="O1193" s="59" t="str">
        <f>IF(A1193="","",COUNTIF($A$6:A1193,A1193))</f>
        <v/>
      </c>
      <c r="P1193" s="62" t="str">
        <f>IF(A1193="","",A1193&amp;"|"&amp;O1193)</f>
        <v/>
      </c>
    </row>
    <row r="1194">
      <c r="A1194" s="60" t="n"/>
      <c r="B1194" s="63" t="n"/>
      <c r="C1194" s="63" t="n"/>
      <c r="D1194" s="67" t="n"/>
      <c r="E1194" s="68" t="n"/>
      <c r="F1194" s="69" t="n"/>
      <c r="G1194" s="70" t="n"/>
      <c r="H1194" s="62" t="str">
        <f>IF(COUNTA(A1194:G1194)=0,"",IF(C1194&lt;&gt;"",C1194,IF(B1194="","",IFERROR(INDEX(pr_des,MATCH(B1194,pr_code,0))&amp;"",""))))</f>
        <v/>
      </c>
      <c r="I1194" s="59" t="str">
        <f>IF(B1194="","",IFERROR(INDEX(pr_unit,MATCH(B1194,pr_code,0))&amp;"",""))</f>
        <v/>
      </c>
      <c r="J1194" s="65" t="str">
        <f>IF(COUNTA(A1194:G1194)=0,"",IF(E1194&lt;&gt;"",E1194,IF(B1194="","",IFERROR(IF(INDEX(pr_price,MATCH(B1194,pr_code,0))="","",INDEX(pr_price,MATCH(B1194,pr_code,0))),""))))</f>
        <v/>
      </c>
      <c r="K1194" s="71" t="str">
        <f>IF(COUNTA(A1194:G1194)=0,"",IF(G1194&lt;&gt;"",G1194,IF(B1194="","",IFERROR(IF(INDEX(pr_rate,MATCH(B1194,pr_code,0))="","",INDEX(pr_rate,MATCH(B1194,pr_code,0))),""))))</f>
        <v/>
      </c>
      <c r="L1194" s="65" t="str">
        <f>IF(COUNTA(A1194:G1194)=0,"",IF(AND(ISNUMBER(D1194),ISNUMBER(J1194)),ROUND(D1194*J1194*(1-N(F1194)),2),0))</f>
        <v/>
      </c>
      <c r="M1194" s="62" t="str">
        <f>IF(A1194="","",IFERROR(INDEX(fa_cname,MATCH(A1194,fa_num,0))&amp;"",""))</f>
        <v/>
      </c>
      <c r="N1194" s="59" t="str">
        <f>IF(COUNTA(A1194:G1194)=0,"",IF(A1194="","N° facture manquant",IF(ISNA(MATCH(A1194,fa_num,0)),"Facture inconnue",IF(AND(B1194&lt;&gt;"",ISNA(MATCH(B1194,pr_code,0))),"Article inconnu",IF(H1194="","Désignation manquante",IF(OR(NOT(ISNUMBER(D1194)),N(D1194)&lt;=0),"Quantité invalide",IF(J1194="","Prix manquant",IF(OR(NOT(ISNUMBER(J1194)),N(J1194)&lt;0),"Prix invalide",IF(OR(AND(F1194&lt;&gt;"",NOT(ISNUMBER(F1194))),N(F1194)&lt;0,N(F1194)&gt;1),"Remise invalide",IF(K1194="","Taux de TVA manquant",IF(NOT(ISNUMBER(K1194)),"Taux de TVA invalide",IF(COUNTIF(p_rates,K1194)=0,"Taux de TVA hors liste (Paramètres)",IF(N(O1194)&gt;25,"Au-delà de 25 lignes : non imprimée","OK")))))))))))))</f>
        <v/>
      </c>
      <c r="O1194" s="59" t="str">
        <f>IF(A1194="","",COUNTIF($A$6:A1194,A1194))</f>
        <v/>
      </c>
      <c r="P1194" s="62" t="str">
        <f>IF(A1194="","",A1194&amp;"|"&amp;O1194)</f>
        <v/>
      </c>
    </row>
    <row r="1195">
      <c r="A1195" s="60" t="n"/>
      <c r="B1195" s="63" t="n"/>
      <c r="C1195" s="63" t="n"/>
      <c r="D1195" s="67" t="n"/>
      <c r="E1195" s="68" t="n"/>
      <c r="F1195" s="69" t="n"/>
      <c r="G1195" s="70" t="n"/>
      <c r="H1195" s="62" t="str">
        <f>IF(COUNTA(A1195:G1195)=0,"",IF(C1195&lt;&gt;"",C1195,IF(B1195="","",IFERROR(INDEX(pr_des,MATCH(B1195,pr_code,0))&amp;"",""))))</f>
        <v/>
      </c>
      <c r="I1195" s="59" t="str">
        <f>IF(B1195="","",IFERROR(INDEX(pr_unit,MATCH(B1195,pr_code,0))&amp;"",""))</f>
        <v/>
      </c>
      <c r="J1195" s="65" t="str">
        <f>IF(COUNTA(A1195:G1195)=0,"",IF(E1195&lt;&gt;"",E1195,IF(B1195="","",IFERROR(IF(INDEX(pr_price,MATCH(B1195,pr_code,0))="","",INDEX(pr_price,MATCH(B1195,pr_code,0))),""))))</f>
        <v/>
      </c>
      <c r="K1195" s="71" t="str">
        <f>IF(COUNTA(A1195:G1195)=0,"",IF(G1195&lt;&gt;"",G1195,IF(B1195="","",IFERROR(IF(INDEX(pr_rate,MATCH(B1195,pr_code,0))="","",INDEX(pr_rate,MATCH(B1195,pr_code,0))),""))))</f>
        <v/>
      </c>
      <c r="L1195" s="65" t="str">
        <f>IF(COUNTA(A1195:G1195)=0,"",IF(AND(ISNUMBER(D1195),ISNUMBER(J1195)),ROUND(D1195*J1195*(1-N(F1195)),2),0))</f>
        <v/>
      </c>
      <c r="M1195" s="62" t="str">
        <f>IF(A1195="","",IFERROR(INDEX(fa_cname,MATCH(A1195,fa_num,0))&amp;"",""))</f>
        <v/>
      </c>
      <c r="N1195" s="59" t="str">
        <f>IF(COUNTA(A1195:G1195)=0,"",IF(A1195="","N° facture manquant",IF(ISNA(MATCH(A1195,fa_num,0)),"Facture inconnue",IF(AND(B1195&lt;&gt;"",ISNA(MATCH(B1195,pr_code,0))),"Article inconnu",IF(H1195="","Désignation manquante",IF(OR(NOT(ISNUMBER(D1195)),N(D1195)&lt;=0),"Quantité invalide",IF(J1195="","Prix manquant",IF(OR(NOT(ISNUMBER(J1195)),N(J1195)&lt;0),"Prix invalide",IF(OR(AND(F1195&lt;&gt;"",NOT(ISNUMBER(F1195))),N(F1195)&lt;0,N(F1195)&gt;1),"Remise invalide",IF(K1195="","Taux de TVA manquant",IF(NOT(ISNUMBER(K1195)),"Taux de TVA invalide",IF(COUNTIF(p_rates,K1195)=0,"Taux de TVA hors liste (Paramètres)",IF(N(O1195)&gt;25,"Au-delà de 25 lignes : non imprimée","OK")))))))))))))</f>
        <v/>
      </c>
      <c r="O1195" s="59" t="str">
        <f>IF(A1195="","",COUNTIF($A$6:A1195,A1195))</f>
        <v/>
      </c>
      <c r="P1195" s="62" t="str">
        <f>IF(A1195="","",A1195&amp;"|"&amp;O1195)</f>
        <v/>
      </c>
    </row>
    <row r="1196">
      <c r="A1196" s="60" t="n"/>
      <c r="B1196" s="63" t="n"/>
      <c r="C1196" s="63" t="n"/>
      <c r="D1196" s="67" t="n"/>
      <c r="E1196" s="68" t="n"/>
      <c r="F1196" s="69" t="n"/>
      <c r="G1196" s="70" t="n"/>
      <c r="H1196" s="62" t="str">
        <f>IF(COUNTA(A1196:G1196)=0,"",IF(C1196&lt;&gt;"",C1196,IF(B1196="","",IFERROR(INDEX(pr_des,MATCH(B1196,pr_code,0))&amp;"",""))))</f>
        <v/>
      </c>
      <c r="I1196" s="59" t="str">
        <f>IF(B1196="","",IFERROR(INDEX(pr_unit,MATCH(B1196,pr_code,0))&amp;"",""))</f>
        <v/>
      </c>
      <c r="J1196" s="65" t="str">
        <f>IF(COUNTA(A1196:G1196)=0,"",IF(E1196&lt;&gt;"",E1196,IF(B1196="","",IFERROR(IF(INDEX(pr_price,MATCH(B1196,pr_code,0))="","",INDEX(pr_price,MATCH(B1196,pr_code,0))),""))))</f>
        <v/>
      </c>
      <c r="K1196" s="71" t="str">
        <f>IF(COUNTA(A1196:G1196)=0,"",IF(G1196&lt;&gt;"",G1196,IF(B1196="","",IFERROR(IF(INDEX(pr_rate,MATCH(B1196,pr_code,0))="","",INDEX(pr_rate,MATCH(B1196,pr_code,0))),""))))</f>
        <v/>
      </c>
      <c r="L1196" s="65" t="str">
        <f>IF(COUNTA(A1196:G1196)=0,"",IF(AND(ISNUMBER(D1196),ISNUMBER(J1196)),ROUND(D1196*J1196*(1-N(F1196)),2),0))</f>
        <v/>
      </c>
      <c r="M1196" s="62" t="str">
        <f>IF(A1196="","",IFERROR(INDEX(fa_cname,MATCH(A1196,fa_num,0))&amp;"",""))</f>
        <v/>
      </c>
      <c r="N1196" s="59" t="str">
        <f>IF(COUNTA(A1196:G1196)=0,"",IF(A1196="","N° facture manquant",IF(ISNA(MATCH(A1196,fa_num,0)),"Facture inconnue",IF(AND(B1196&lt;&gt;"",ISNA(MATCH(B1196,pr_code,0))),"Article inconnu",IF(H1196="","Désignation manquante",IF(OR(NOT(ISNUMBER(D1196)),N(D1196)&lt;=0),"Quantité invalide",IF(J1196="","Prix manquant",IF(OR(NOT(ISNUMBER(J1196)),N(J1196)&lt;0),"Prix invalide",IF(OR(AND(F1196&lt;&gt;"",NOT(ISNUMBER(F1196))),N(F1196)&lt;0,N(F1196)&gt;1),"Remise invalide",IF(K1196="","Taux de TVA manquant",IF(NOT(ISNUMBER(K1196)),"Taux de TVA invalide",IF(COUNTIF(p_rates,K1196)=0,"Taux de TVA hors liste (Paramètres)",IF(N(O1196)&gt;25,"Au-delà de 25 lignes : non imprimée","OK")))))))))))))</f>
        <v/>
      </c>
      <c r="O1196" s="59" t="str">
        <f>IF(A1196="","",COUNTIF($A$6:A1196,A1196))</f>
        <v/>
      </c>
      <c r="P1196" s="62" t="str">
        <f>IF(A1196="","",A1196&amp;"|"&amp;O1196)</f>
        <v/>
      </c>
    </row>
    <row r="1197">
      <c r="A1197" s="60" t="n"/>
      <c r="B1197" s="63" t="n"/>
      <c r="C1197" s="63" t="n"/>
      <c r="D1197" s="67" t="n"/>
      <c r="E1197" s="68" t="n"/>
      <c r="F1197" s="69" t="n"/>
      <c r="G1197" s="70" t="n"/>
      <c r="H1197" s="62" t="str">
        <f>IF(COUNTA(A1197:G1197)=0,"",IF(C1197&lt;&gt;"",C1197,IF(B1197="","",IFERROR(INDEX(pr_des,MATCH(B1197,pr_code,0))&amp;"",""))))</f>
        <v/>
      </c>
      <c r="I1197" s="59" t="str">
        <f>IF(B1197="","",IFERROR(INDEX(pr_unit,MATCH(B1197,pr_code,0))&amp;"",""))</f>
        <v/>
      </c>
      <c r="J1197" s="65" t="str">
        <f>IF(COUNTA(A1197:G1197)=0,"",IF(E1197&lt;&gt;"",E1197,IF(B1197="","",IFERROR(IF(INDEX(pr_price,MATCH(B1197,pr_code,0))="","",INDEX(pr_price,MATCH(B1197,pr_code,0))),""))))</f>
        <v/>
      </c>
      <c r="K1197" s="71" t="str">
        <f>IF(COUNTA(A1197:G1197)=0,"",IF(G1197&lt;&gt;"",G1197,IF(B1197="","",IFERROR(IF(INDEX(pr_rate,MATCH(B1197,pr_code,0))="","",INDEX(pr_rate,MATCH(B1197,pr_code,0))),""))))</f>
        <v/>
      </c>
      <c r="L1197" s="65" t="str">
        <f>IF(COUNTA(A1197:G1197)=0,"",IF(AND(ISNUMBER(D1197),ISNUMBER(J1197)),ROUND(D1197*J1197*(1-N(F1197)),2),0))</f>
        <v/>
      </c>
      <c r="M1197" s="62" t="str">
        <f>IF(A1197="","",IFERROR(INDEX(fa_cname,MATCH(A1197,fa_num,0))&amp;"",""))</f>
        <v/>
      </c>
      <c r="N1197" s="59" t="str">
        <f>IF(COUNTA(A1197:G1197)=0,"",IF(A1197="","N° facture manquant",IF(ISNA(MATCH(A1197,fa_num,0)),"Facture inconnue",IF(AND(B1197&lt;&gt;"",ISNA(MATCH(B1197,pr_code,0))),"Article inconnu",IF(H1197="","Désignation manquante",IF(OR(NOT(ISNUMBER(D1197)),N(D1197)&lt;=0),"Quantité invalide",IF(J1197="","Prix manquant",IF(OR(NOT(ISNUMBER(J1197)),N(J1197)&lt;0),"Prix invalide",IF(OR(AND(F1197&lt;&gt;"",NOT(ISNUMBER(F1197))),N(F1197)&lt;0,N(F1197)&gt;1),"Remise invalide",IF(K1197="","Taux de TVA manquant",IF(NOT(ISNUMBER(K1197)),"Taux de TVA invalide",IF(COUNTIF(p_rates,K1197)=0,"Taux de TVA hors liste (Paramètres)",IF(N(O1197)&gt;25,"Au-delà de 25 lignes : non imprimée","OK")))))))))))))</f>
        <v/>
      </c>
      <c r="O1197" s="59" t="str">
        <f>IF(A1197="","",COUNTIF($A$6:A1197,A1197))</f>
        <v/>
      </c>
      <c r="P1197" s="62" t="str">
        <f>IF(A1197="","",A1197&amp;"|"&amp;O1197)</f>
        <v/>
      </c>
    </row>
    <row r="1198">
      <c r="A1198" s="60" t="n"/>
      <c r="B1198" s="63" t="n"/>
      <c r="C1198" s="63" t="n"/>
      <c r="D1198" s="67" t="n"/>
      <c r="E1198" s="68" t="n"/>
      <c r="F1198" s="69" t="n"/>
      <c r="G1198" s="70" t="n"/>
      <c r="H1198" s="62" t="str">
        <f>IF(COUNTA(A1198:G1198)=0,"",IF(C1198&lt;&gt;"",C1198,IF(B1198="","",IFERROR(INDEX(pr_des,MATCH(B1198,pr_code,0))&amp;"",""))))</f>
        <v/>
      </c>
      <c r="I1198" s="59" t="str">
        <f>IF(B1198="","",IFERROR(INDEX(pr_unit,MATCH(B1198,pr_code,0))&amp;"",""))</f>
        <v/>
      </c>
      <c r="J1198" s="65" t="str">
        <f>IF(COUNTA(A1198:G1198)=0,"",IF(E1198&lt;&gt;"",E1198,IF(B1198="","",IFERROR(IF(INDEX(pr_price,MATCH(B1198,pr_code,0))="","",INDEX(pr_price,MATCH(B1198,pr_code,0))),""))))</f>
        <v/>
      </c>
      <c r="K1198" s="71" t="str">
        <f>IF(COUNTA(A1198:G1198)=0,"",IF(G1198&lt;&gt;"",G1198,IF(B1198="","",IFERROR(IF(INDEX(pr_rate,MATCH(B1198,pr_code,0))="","",INDEX(pr_rate,MATCH(B1198,pr_code,0))),""))))</f>
        <v/>
      </c>
      <c r="L1198" s="65" t="str">
        <f>IF(COUNTA(A1198:G1198)=0,"",IF(AND(ISNUMBER(D1198),ISNUMBER(J1198)),ROUND(D1198*J1198*(1-N(F1198)),2),0))</f>
        <v/>
      </c>
      <c r="M1198" s="62" t="str">
        <f>IF(A1198="","",IFERROR(INDEX(fa_cname,MATCH(A1198,fa_num,0))&amp;"",""))</f>
        <v/>
      </c>
      <c r="N1198" s="59" t="str">
        <f>IF(COUNTA(A1198:G1198)=0,"",IF(A1198="","N° facture manquant",IF(ISNA(MATCH(A1198,fa_num,0)),"Facture inconnue",IF(AND(B1198&lt;&gt;"",ISNA(MATCH(B1198,pr_code,0))),"Article inconnu",IF(H1198="","Désignation manquante",IF(OR(NOT(ISNUMBER(D1198)),N(D1198)&lt;=0),"Quantité invalide",IF(J1198="","Prix manquant",IF(OR(NOT(ISNUMBER(J1198)),N(J1198)&lt;0),"Prix invalide",IF(OR(AND(F1198&lt;&gt;"",NOT(ISNUMBER(F1198))),N(F1198)&lt;0,N(F1198)&gt;1),"Remise invalide",IF(K1198="","Taux de TVA manquant",IF(NOT(ISNUMBER(K1198)),"Taux de TVA invalide",IF(COUNTIF(p_rates,K1198)=0,"Taux de TVA hors liste (Paramètres)",IF(N(O1198)&gt;25,"Au-delà de 25 lignes : non imprimée","OK")))))))))))))</f>
        <v/>
      </c>
      <c r="O1198" s="59" t="str">
        <f>IF(A1198="","",COUNTIF($A$6:A1198,A1198))</f>
        <v/>
      </c>
      <c r="P1198" s="62" t="str">
        <f>IF(A1198="","",A1198&amp;"|"&amp;O1198)</f>
        <v/>
      </c>
    </row>
    <row r="1199">
      <c r="A1199" s="60" t="n"/>
      <c r="B1199" s="63" t="n"/>
      <c r="C1199" s="63" t="n"/>
      <c r="D1199" s="67" t="n"/>
      <c r="E1199" s="68" t="n"/>
      <c r="F1199" s="69" t="n"/>
      <c r="G1199" s="70" t="n"/>
      <c r="H1199" s="62" t="str">
        <f>IF(COUNTA(A1199:G1199)=0,"",IF(C1199&lt;&gt;"",C1199,IF(B1199="","",IFERROR(INDEX(pr_des,MATCH(B1199,pr_code,0))&amp;"",""))))</f>
        <v/>
      </c>
      <c r="I1199" s="59" t="str">
        <f>IF(B1199="","",IFERROR(INDEX(pr_unit,MATCH(B1199,pr_code,0))&amp;"",""))</f>
        <v/>
      </c>
      <c r="J1199" s="65" t="str">
        <f>IF(COUNTA(A1199:G1199)=0,"",IF(E1199&lt;&gt;"",E1199,IF(B1199="","",IFERROR(IF(INDEX(pr_price,MATCH(B1199,pr_code,0))="","",INDEX(pr_price,MATCH(B1199,pr_code,0))),""))))</f>
        <v/>
      </c>
      <c r="K1199" s="71" t="str">
        <f>IF(COUNTA(A1199:G1199)=0,"",IF(G1199&lt;&gt;"",G1199,IF(B1199="","",IFERROR(IF(INDEX(pr_rate,MATCH(B1199,pr_code,0))="","",INDEX(pr_rate,MATCH(B1199,pr_code,0))),""))))</f>
        <v/>
      </c>
      <c r="L1199" s="65" t="str">
        <f>IF(COUNTA(A1199:G1199)=0,"",IF(AND(ISNUMBER(D1199),ISNUMBER(J1199)),ROUND(D1199*J1199*(1-N(F1199)),2),0))</f>
        <v/>
      </c>
      <c r="M1199" s="62" t="str">
        <f>IF(A1199="","",IFERROR(INDEX(fa_cname,MATCH(A1199,fa_num,0))&amp;"",""))</f>
        <v/>
      </c>
      <c r="N1199" s="59" t="str">
        <f>IF(COUNTA(A1199:G1199)=0,"",IF(A1199="","N° facture manquant",IF(ISNA(MATCH(A1199,fa_num,0)),"Facture inconnue",IF(AND(B1199&lt;&gt;"",ISNA(MATCH(B1199,pr_code,0))),"Article inconnu",IF(H1199="","Désignation manquante",IF(OR(NOT(ISNUMBER(D1199)),N(D1199)&lt;=0),"Quantité invalide",IF(J1199="","Prix manquant",IF(OR(NOT(ISNUMBER(J1199)),N(J1199)&lt;0),"Prix invalide",IF(OR(AND(F1199&lt;&gt;"",NOT(ISNUMBER(F1199))),N(F1199)&lt;0,N(F1199)&gt;1),"Remise invalide",IF(K1199="","Taux de TVA manquant",IF(NOT(ISNUMBER(K1199)),"Taux de TVA invalide",IF(COUNTIF(p_rates,K1199)=0,"Taux de TVA hors liste (Paramètres)",IF(N(O1199)&gt;25,"Au-delà de 25 lignes : non imprimée","OK")))))))))))))</f>
        <v/>
      </c>
      <c r="O1199" s="59" t="str">
        <f>IF(A1199="","",COUNTIF($A$6:A1199,A1199))</f>
        <v/>
      </c>
      <c r="P1199" s="62" t="str">
        <f>IF(A1199="","",A1199&amp;"|"&amp;O1199)</f>
        <v/>
      </c>
    </row>
    <row r="1200">
      <c r="A1200" s="60" t="n"/>
      <c r="B1200" s="63" t="n"/>
      <c r="C1200" s="63" t="n"/>
      <c r="D1200" s="67" t="n"/>
      <c r="E1200" s="68" t="n"/>
      <c r="F1200" s="69" t="n"/>
      <c r="G1200" s="70" t="n"/>
      <c r="H1200" s="62" t="str">
        <f>IF(COUNTA(A1200:G1200)=0,"",IF(C1200&lt;&gt;"",C1200,IF(B1200="","",IFERROR(INDEX(pr_des,MATCH(B1200,pr_code,0))&amp;"",""))))</f>
        <v/>
      </c>
      <c r="I1200" s="59" t="str">
        <f>IF(B1200="","",IFERROR(INDEX(pr_unit,MATCH(B1200,pr_code,0))&amp;"",""))</f>
        <v/>
      </c>
      <c r="J1200" s="65" t="str">
        <f>IF(COUNTA(A1200:G1200)=0,"",IF(E1200&lt;&gt;"",E1200,IF(B1200="","",IFERROR(IF(INDEX(pr_price,MATCH(B1200,pr_code,0))="","",INDEX(pr_price,MATCH(B1200,pr_code,0))),""))))</f>
        <v/>
      </c>
      <c r="K1200" s="71" t="str">
        <f>IF(COUNTA(A1200:G1200)=0,"",IF(G1200&lt;&gt;"",G1200,IF(B1200="","",IFERROR(IF(INDEX(pr_rate,MATCH(B1200,pr_code,0))="","",INDEX(pr_rate,MATCH(B1200,pr_code,0))),""))))</f>
        <v/>
      </c>
      <c r="L1200" s="65" t="str">
        <f>IF(COUNTA(A1200:G1200)=0,"",IF(AND(ISNUMBER(D1200),ISNUMBER(J1200)),ROUND(D1200*J1200*(1-N(F1200)),2),0))</f>
        <v/>
      </c>
      <c r="M1200" s="62" t="str">
        <f>IF(A1200="","",IFERROR(INDEX(fa_cname,MATCH(A1200,fa_num,0))&amp;"",""))</f>
        <v/>
      </c>
      <c r="N1200" s="59" t="str">
        <f>IF(COUNTA(A1200:G1200)=0,"",IF(A1200="","N° facture manquant",IF(ISNA(MATCH(A1200,fa_num,0)),"Facture inconnue",IF(AND(B1200&lt;&gt;"",ISNA(MATCH(B1200,pr_code,0))),"Article inconnu",IF(H1200="","Désignation manquante",IF(OR(NOT(ISNUMBER(D1200)),N(D1200)&lt;=0),"Quantité invalide",IF(J1200="","Prix manquant",IF(OR(NOT(ISNUMBER(J1200)),N(J1200)&lt;0),"Prix invalide",IF(OR(AND(F1200&lt;&gt;"",NOT(ISNUMBER(F1200))),N(F1200)&lt;0,N(F1200)&gt;1),"Remise invalide",IF(K1200="","Taux de TVA manquant",IF(NOT(ISNUMBER(K1200)),"Taux de TVA invalide",IF(COUNTIF(p_rates,K1200)=0,"Taux de TVA hors liste (Paramètres)",IF(N(O1200)&gt;25,"Au-delà de 25 lignes : non imprimée","OK")))))))))))))</f>
        <v/>
      </c>
      <c r="O1200" s="59" t="str">
        <f>IF(A1200="","",COUNTIF($A$6:A1200,A1200))</f>
        <v/>
      </c>
      <c r="P1200" s="62" t="str">
        <f>IF(A1200="","",A1200&amp;"|"&amp;O1200)</f>
        <v/>
      </c>
    </row>
    <row r="1201">
      <c r="A1201" s="60" t="n"/>
      <c r="B1201" s="63" t="n"/>
      <c r="C1201" s="63" t="n"/>
      <c r="D1201" s="67" t="n"/>
      <c r="E1201" s="68" t="n"/>
      <c r="F1201" s="69" t="n"/>
      <c r="G1201" s="70" t="n"/>
      <c r="H1201" s="62" t="str">
        <f>IF(COUNTA(A1201:G1201)=0,"",IF(C1201&lt;&gt;"",C1201,IF(B1201="","",IFERROR(INDEX(pr_des,MATCH(B1201,pr_code,0))&amp;"",""))))</f>
        <v/>
      </c>
      <c r="I1201" s="59" t="str">
        <f>IF(B1201="","",IFERROR(INDEX(pr_unit,MATCH(B1201,pr_code,0))&amp;"",""))</f>
        <v/>
      </c>
      <c r="J1201" s="65" t="str">
        <f>IF(COUNTA(A1201:G1201)=0,"",IF(E1201&lt;&gt;"",E1201,IF(B1201="","",IFERROR(IF(INDEX(pr_price,MATCH(B1201,pr_code,0))="","",INDEX(pr_price,MATCH(B1201,pr_code,0))),""))))</f>
        <v/>
      </c>
      <c r="K1201" s="71" t="str">
        <f>IF(COUNTA(A1201:G1201)=0,"",IF(G1201&lt;&gt;"",G1201,IF(B1201="","",IFERROR(IF(INDEX(pr_rate,MATCH(B1201,pr_code,0))="","",INDEX(pr_rate,MATCH(B1201,pr_code,0))),""))))</f>
        <v/>
      </c>
      <c r="L1201" s="65" t="str">
        <f>IF(COUNTA(A1201:G1201)=0,"",IF(AND(ISNUMBER(D1201),ISNUMBER(J1201)),ROUND(D1201*J1201*(1-N(F1201)),2),0))</f>
        <v/>
      </c>
      <c r="M1201" s="62" t="str">
        <f>IF(A1201="","",IFERROR(INDEX(fa_cname,MATCH(A1201,fa_num,0))&amp;"",""))</f>
        <v/>
      </c>
      <c r="N1201" s="59" t="str">
        <f>IF(COUNTA(A1201:G1201)=0,"",IF(A1201="","N° facture manquant",IF(ISNA(MATCH(A1201,fa_num,0)),"Facture inconnue",IF(AND(B1201&lt;&gt;"",ISNA(MATCH(B1201,pr_code,0))),"Article inconnu",IF(H1201="","Désignation manquante",IF(OR(NOT(ISNUMBER(D1201)),N(D1201)&lt;=0),"Quantité invalide",IF(J1201="","Prix manquant",IF(OR(NOT(ISNUMBER(J1201)),N(J1201)&lt;0),"Prix invalide",IF(OR(AND(F1201&lt;&gt;"",NOT(ISNUMBER(F1201))),N(F1201)&lt;0,N(F1201)&gt;1),"Remise invalide",IF(K1201="","Taux de TVA manquant",IF(NOT(ISNUMBER(K1201)),"Taux de TVA invalide",IF(COUNTIF(p_rates,K1201)=0,"Taux de TVA hors liste (Paramètres)",IF(N(O1201)&gt;25,"Au-delà de 25 lignes : non imprimée","OK")))))))))))))</f>
        <v/>
      </c>
      <c r="O1201" s="59" t="str">
        <f>IF(A1201="","",COUNTIF($A$6:A1201,A1201))</f>
        <v/>
      </c>
      <c r="P1201" s="62" t="str">
        <f>IF(A1201="","",A1201&amp;"|"&amp;O1201)</f>
        <v/>
      </c>
    </row>
    <row r="1202">
      <c r="A1202" s="60" t="n"/>
      <c r="B1202" s="63" t="n"/>
      <c r="C1202" s="63" t="n"/>
      <c r="D1202" s="67" t="n"/>
      <c r="E1202" s="68" t="n"/>
      <c r="F1202" s="69" t="n"/>
      <c r="G1202" s="70" t="n"/>
      <c r="H1202" s="62" t="str">
        <f>IF(COUNTA(A1202:G1202)=0,"",IF(C1202&lt;&gt;"",C1202,IF(B1202="","",IFERROR(INDEX(pr_des,MATCH(B1202,pr_code,0))&amp;"",""))))</f>
        <v/>
      </c>
      <c r="I1202" s="59" t="str">
        <f>IF(B1202="","",IFERROR(INDEX(pr_unit,MATCH(B1202,pr_code,0))&amp;"",""))</f>
        <v/>
      </c>
      <c r="J1202" s="65" t="str">
        <f>IF(COUNTA(A1202:G1202)=0,"",IF(E1202&lt;&gt;"",E1202,IF(B1202="","",IFERROR(IF(INDEX(pr_price,MATCH(B1202,pr_code,0))="","",INDEX(pr_price,MATCH(B1202,pr_code,0))),""))))</f>
        <v/>
      </c>
      <c r="K1202" s="71" t="str">
        <f>IF(COUNTA(A1202:G1202)=0,"",IF(G1202&lt;&gt;"",G1202,IF(B1202="","",IFERROR(IF(INDEX(pr_rate,MATCH(B1202,pr_code,0))="","",INDEX(pr_rate,MATCH(B1202,pr_code,0))),""))))</f>
        <v/>
      </c>
      <c r="L1202" s="65" t="str">
        <f>IF(COUNTA(A1202:G1202)=0,"",IF(AND(ISNUMBER(D1202),ISNUMBER(J1202)),ROUND(D1202*J1202*(1-N(F1202)),2),0))</f>
        <v/>
      </c>
      <c r="M1202" s="62" t="str">
        <f>IF(A1202="","",IFERROR(INDEX(fa_cname,MATCH(A1202,fa_num,0))&amp;"",""))</f>
        <v/>
      </c>
      <c r="N1202" s="59" t="str">
        <f>IF(COUNTA(A1202:G1202)=0,"",IF(A1202="","N° facture manquant",IF(ISNA(MATCH(A1202,fa_num,0)),"Facture inconnue",IF(AND(B1202&lt;&gt;"",ISNA(MATCH(B1202,pr_code,0))),"Article inconnu",IF(H1202="","Désignation manquante",IF(OR(NOT(ISNUMBER(D1202)),N(D1202)&lt;=0),"Quantité invalide",IF(J1202="","Prix manquant",IF(OR(NOT(ISNUMBER(J1202)),N(J1202)&lt;0),"Prix invalide",IF(OR(AND(F1202&lt;&gt;"",NOT(ISNUMBER(F1202))),N(F1202)&lt;0,N(F1202)&gt;1),"Remise invalide",IF(K1202="","Taux de TVA manquant",IF(NOT(ISNUMBER(K1202)),"Taux de TVA invalide",IF(COUNTIF(p_rates,K1202)=0,"Taux de TVA hors liste (Paramètres)",IF(N(O1202)&gt;25,"Au-delà de 25 lignes : non imprimée","OK")))))))))))))</f>
        <v/>
      </c>
      <c r="O1202" s="59" t="str">
        <f>IF(A1202="","",COUNTIF($A$6:A1202,A1202))</f>
        <v/>
      </c>
      <c r="P1202" s="62" t="str">
        <f>IF(A1202="","",A1202&amp;"|"&amp;O1202)</f>
        <v/>
      </c>
    </row>
    <row r="1203">
      <c r="A1203" s="60" t="n"/>
      <c r="B1203" s="63" t="n"/>
      <c r="C1203" s="63" t="n"/>
      <c r="D1203" s="67" t="n"/>
      <c r="E1203" s="68" t="n"/>
      <c r="F1203" s="69" t="n"/>
      <c r="G1203" s="70" t="n"/>
      <c r="H1203" s="62" t="str">
        <f>IF(COUNTA(A1203:G1203)=0,"",IF(C1203&lt;&gt;"",C1203,IF(B1203="","",IFERROR(INDEX(pr_des,MATCH(B1203,pr_code,0))&amp;"",""))))</f>
        <v/>
      </c>
      <c r="I1203" s="59" t="str">
        <f>IF(B1203="","",IFERROR(INDEX(pr_unit,MATCH(B1203,pr_code,0))&amp;"",""))</f>
        <v/>
      </c>
      <c r="J1203" s="65" t="str">
        <f>IF(COUNTA(A1203:G1203)=0,"",IF(E1203&lt;&gt;"",E1203,IF(B1203="","",IFERROR(IF(INDEX(pr_price,MATCH(B1203,pr_code,0))="","",INDEX(pr_price,MATCH(B1203,pr_code,0))),""))))</f>
        <v/>
      </c>
      <c r="K1203" s="71" t="str">
        <f>IF(COUNTA(A1203:G1203)=0,"",IF(G1203&lt;&gt;"",G1203,IF(B1203="","",IFERROR(IF(INDEX(pr_rate,MATCH(B1203,pr_code,0))="","",INDEX(pr_rate,MATCH(B1203,pr_code,0))),""))))</f>
        <v/>
      </c>
      <c r="L1203" s="65" t="str">
        <f>IF(COUNTA(A1203:G1203)=0,"",IF(AND(ISNUMBER(D1203),ISNUMBER(J1203)),ROUND(D1203*J1203*(1-N(F1203)),2),0))</f>
        <v/>
      </c>
      <c r="M1203" s="62" t="str">
        <f>IF(A1203="","",IFERROR(INDEX(fa_cname,MATCH(A1203,fa_num,0))&amp;"",""))</f>
        <v/>
      </c>
      <c r="N1203" s="59" t="str">
        <f>IF(COUNTA(A1203:G1203)=0,"",IF(A1203="","N° facture manquant",IF(ISNA(MATCH(A1203,fa_num,0)),"Facture inconnue",IF(AND(B1203&lt;&gt;"",ISNA(MATCH(B1203,pr_code,0))),"Article inconnu",IF(H1203="","Désignation manquante",IF(OR(NOT(ISNUMBER(D1203)),N(D1203)&lt;=0),"Quantité invalide",IF(J1203="","Prix manquant",IF(OR(NOT(ISNUMBER(J1203)),N(J1203)&lt;0),"Prix invalide",IF(OR(AND(F1203&lt;&gt;"",NOT(ISNUMBER(F1203))),N(F1203)&lt;0,N(F1203)&gt;1),"Remise invalide",IF(K1203="","Taux de TVA manquant",IF(NOT(ISNUMBER(K1203)),"Taux de TVA invalide",IF(COUNTIF(p_rates,K1203)=0,"Taux de TVA hors liste (Paramètres)",IF(N(O1203)&gt;25,"Au-delà de 25 lignes : non imprimée","OK")))))))))))))</f>
        <v/>
      </c>
      <c r="O1203" s="59" t="str">
        <f>IF(A1203="","",COUNTIF($A$6:A1203,A1203))</f>
        <v/>
      </c>
      <c r="P1203" s="62" t="str">
        <f>IF(A1203="","",A1203&amp;"|"&amp;O1203)</f>
        <v/>
      </c>
    </row>
    <row r="1204">
      <c r="A1204" s="60" t="n"/>
      <c r="B1204" s="63" t="n"/>
      <c r="C1204" s="63" t="n"/>
      <c r="D1204" s="67" t="n"/>
      <c r="E1204" s="68" t="n"/>
      <c r="F1204" s="69" t="n"/>
      <c r="G1204" s="70" t="n"/>
      <c r="H1204" s="62" t="str">
        <f>IF(COUNTA(A1204:G1204)=0,"",IF(C1204&lt;&gt;"",C1204,IF(B1204="","",IFERROR(INDEX(pr_des,MATCH(B1204,pr_code,0))&amp;"",""))))</f>
        <v/>
      </c>
      <c r="I1204" s="59" t="str">
        <f>IF(B1204="","",IFERROR(INDEX(pr_unit,MATCH(B1204,pr_code,0))&amp;"",""))</f>
        <v/>
      </c>
      <c r="J1204" s="65" t="str">
        <f>IF(COUNTA(A1204:G1204)=0,"",IF(E1204&lt;&gt;"",E1204,IF(B1204="","",IFERROR(IF(INDEX(pr_price,MATCH(B1204,pr_code,0))="","",INDEX(pr_price,MATCH(B1204,pr_code,0))),""))))</f>
        <v/>
      </c>
      <c r="K1204" s="71" t="str">
        <f>IF(COUNTA(A1204:G1204)=0,"",IF(G1204&lt;&gt;"",G1204,IF(B1204="","",IFERROR(IF(INDEX(pr_rate,MATCH(B1204,pr_code,0))="","",INDEX(pr_rate,MATCH(B1204,pr_code,0))),""))))</f>
        <v/>
      </c>
      <c r="L1204" s="65" t="str">
        <f>IF(COUNTA(A1204:G1204)=0,"",IF(AND(ISNUMBER(D1204),ISNUMBER(J1204)),ROUND(D1204*J1204*(1-N(F1204)),2),0))</f>
        <v/>
      </c>
      <c r="M1204" s="62" t="str">
        <f>IF(A1204="","",IFERROR(INDEX(fa_cname,MATCH(A1204,fa_num,0))&amp;"",""))</f>
        <v/>
      </c>
      <c r="N1204" s="59" t="str">
        <f>IF(COUNTA(A1204:G1204)=0,"",IF(A1204="","N° facture manquant",IF(ISNA(MATCH(A1204,fa_num,0)),"Facture inconnue",IF(AND(B1204&lt;&gt;"",ISNA(MATCH(B1204,pr_code,0))),"Article inconnu",IF(H1204="","Désignation manquante",IF(OR(NOT(ISNUMBER(D1204)),N(D1204)&lt;=0),"Quantité invalide",IF(J1204="","Prix manquant",IF(OR(NOT(ISNUMBER(J1204)),N(J1204)&lt;0),"Prix invalide",IF(OR(AND(F1204&lt;&gt;"",NOT(ISNUMBER(F1204))),N(F1204)&lt;0,N(F1204)&gt;1),"Remise invalide",IF(K1204="","Taux de TVA manquant",IF(NOT(ISNUMBER(K1204)),"Taux de TVA invalide",IF(COUNTIF(p_rates,K1204)=0,"Taux de TVA hors liste (Paramètres)",IF(N(O1204)&gt;25,"Au-delà de 25 lignes : non imprimée","OK")))))))))))))</f>
        <v/>
      </c>
      <c r="O1204" s="59" t="str">
        <f>IF(A1204="","",COUNTIF($A$6:A1204,A1204))</f>
        <v/>
      </c>
      <c r="P1204" s="62" t="str">
        <f>IF(A1204="","",A1204&amp;"|"&amp;O1204)</f>
        <v/>
      </c>
    </row>
    <row r="1205">
      <c r="A1205" s="60" t="n"/>
      <c r="B1205" s="63" t="n"/>
      <c r="C1205" s="63" t="n"/>
      <c r="D1205" s="67" t="n"/>
      <c r="E1205" s="68" t="n"/>
      <c r="F1205" s="69" t="n"/>
      <c r="G1205" s="70" t="n"/>
      <c r="H1205" s="62" t="str">
        <f>IF(COUNTA(A1205:G1205)=0,"",IF(C1205&lt;&gt;"",C1205,IF(B1205="","",IFERROR(INDEX(pr_des,MATCH(B1205,pr_code,0))&amp;"",""))))</f>
        <v/>
      </c>
      <c r="I1205" s="59" t="str">
        <f>IF(B1205="","",IFERROR(INDEX(pr_unit,MATCH(B1205,pr_code,0))&amp;"",""))</f>
        <v/>
      </c>
      <c r="J1205" s="65" t="str">
        <f>IF(COUNTA(A1205:G1205)=0,"",IF(E1205&lt;&gt;"",E1205,IF(B1205="","",IFERROR(IF(INDEX(pr_price,MATCH(B1205,pr_code,0))="","",INDEX(pr_price,MATCH(B1205,pr_code,0))),""))))</f>
        <v/>
      </c>
      <c r="K1205" s="71" t="str">
        <f>IF(COUNTA(A1205:G1205)=0,"",IF(G1205&lt;&gt;"",G1205,IF(B1205="","",IFERROR(IF(INDEX(pr_rate,MATCH(B1205,pr_code,0))="","",INDEX(pr_rate,MATCH(B1205,pr_code,0))),""))))</f>
        <v/>
      </c>
      <c r="L1205" s="65" t="str">
        <f>IF(COUNTA(A1205:G1205)=0,"",IF(AND(ISNUMBER(D1205),ISNUMBER(J1205)),ROUND(D1205*J1205*(1-N(F1205)),2),0))</f>
        <v/>
      </c>
      <c r="M1205" s="62" t="str">
        <f>IF(A1205="","",IFERROR(INDEX(fa_cname,MATCH(A1205,fa_num,0))&amp;"",""))</f>
        <v/>
      </c>
      <c r="N1205" s="59" t="str">
        <f>IF(COUNTA(A1205:G1205)=0,"",IF(A1205="","N° facture manquant",IF(ISNA(MATCH(A1205,fa_num,0)),"Facture inconnue",IF(AND(B1205&lt;&gt;"",ISNA(MATCH(B1205,pr_code,0))),"Article inconnu",IF(H1205="","Désignation manquante",IF(OR(NOT(ISNUMBER(D1205)),N(D1205)&lt;=0),"Quantité invalide",IF(J1205="","Prix manquant",IF(OR(NOT(ISNUMBER(J1205)),N(J1205)&lt;0),"Prix invalide",IF(OR(AND(F1205&lt;&gt;"",NOT(ISNUMBER(F1205))),N(F1205)&lt;0,N(F1205)&gt;1),"Remise invalide",IF(K1205="","Taux de TVA manquant",IF(NOT(ISNUMBER(K1205)),"Taux de TVA invalide",IF(COUNTIF(p_rates,K1205)=0,"Taux de TVA hors liste (Paramètres)",IF(N(O1205)&gt;25,"Au-delà de 25 lignes : non imprimée","OK")))))))))))))</f>
        <v/>
      </c>
      <c r="O1205" s="59" t="str">
        <f>IF(A1205="","",COUNTIF($A$6:A1205,A1205))</f>
        <v/>
      </c>
      <c r="P1205" s="62" t="str">
        <f>IF(A1205="","",A1205&amp;"|"&amp;O1205)</f>
        <v/>
      </c>
    </row>
    <row r="1206">
      <c r="A1206" s="60" t="n"/>
      <c r="B1206" s="63" t="n"/>
      <c r="C1206" s="63" t="n"/>
      <c r="D1206" s="67" t="n"/>
      <c r="E1206" s="68" t="n"/>
      <c r="F1206" s="69" t="n"/>
      <c r="G1206" s="70" t="n"/>
      <c r="H1206" s="62" t="str">
        <f>IF(COUNTA(A1206:G1206)=0,"",IF(C1206&lt;&gt;"",C1206,IF(B1206="","",IFERROR(INDEX(pr_des,MATCH(B1206,pr_code,0))&amp;"",""))))</f>
        <v/>
      </c>
      <c r="I1206" s="59" t="str">
        <f>IF(B1206="","",IFERROR(INDEX(pr_unit,MATCH(B1206,pr_code,0))&amp;"",""))</f>
        <v/>
      </c>
      <c r="J1206" s="65" t="str">
        <f>IF(COUNTA(A1206:G1206)=0,"",IF(E1206&lt;&gt;"",E1206,IF(B1206="","",IFERROR(IF(INDEX(pr_price,MATCH(B1206,pr_code,0))="","",INDEX(pr_price,MATCH(B1206,pr_code,0))),""))))</f>
        <v/>
      </c>
      <c r="K1206" s="71" t="str">
        <f>IF(COUNTA(A1206:G1206)=0,"",IF(G1206&lt;&gt;"",G1206,IF(B1206="","",IFERROR(IF(INDEX(pr_rate,MATCH(B1206,pr_code,0))="","",INDEX(pr_rate,MATCH(B1206,pr_code,0))),""))))</f>
        <v/>
      </c>
      <c r="L1206" s="65" t="str">
        <f>IF(COUNTA(A1206:G1206)=0,"",IF(AND(ISNUMBER(D1206),ISNUMBER(J1206)),ROUND(D1206*J1206*(1-N(F1206)),2),0))</f>
        <v/>
      </c>
      <c r="M1206" s="62" t="str">
        <f>IF(A1206="","",IFERROR(INDEX(fa_cname,MATCH(A1206,fa_num,0))&amp;"",""))</f>
        <v/>
      </c>
      <c r="N1206" s="59" t="str">
        <f>IF(COUNTA(A1206:G1206)=0,"",IF(A1206="","N° facture manquant",IF(ISNA(MATCH(A1206,fa_num,0)),"Facture inconnue",IF(AND(B1206&lt;&gt;"",ISNA(MATCH(B1206,pr_code,0))),"Article inconnu",IF(H1206="","Désignation manquante",IF(OR(NOT(ISNUMBER(D1206)),N(D1206)&lt;=0),"Quantité invalide",IF(J1206="","Prix manquant",IF(OR(NOT(ISNUMBER(J1206)),N(J1206)&lt;0),"Prix invalide",IF(OR(AND(F1206&lt;&gt;"",NOT(ISNUMBER(F1206))),N(F1206)&lt;0,N(F1206)&gt;1),"Remise invalide",IF(K1206="","Taux de TVA manquant",IF(NOT(ISNUMBER(K1206)),"Taux de TVA invalide",IF(COUNTIF(p_rates,K1206)=0,"Taux de TVA hors liste (Paramètres)",IF(N(O1206)&gt;25,"Au-delà de 25 lignes : non imprimée","OK")))))))))))))</f>
        <v/>
      </c>
      <c r="O1206" s="59" t="str">
        <f>IF(A1206="","",COUNTIF($A$6:A1206,A1206))</f>
        <v/>
      </c>
      <c r="P1206" s="62" t="str">
        <f>IF(A1206="","",A1206&amp;"|"&amp;O1206)</f>
        <v/>
      </c>
    </row>
    <row r="1207">
      <c r="A1207" s="60" t="n"/>
      <c r="B1207" s="63" t="n"/>
      <c r="C1207" s="63" t="n"/>
      <c r="D1207" s="67" t="n"/>
      <c r="E1207" s="68" t="n"/>
      <c r="F1207" s="69" t="n"/>
      <c r="G1207" s="70" t="n"/>
      <c r="H1207" s="62" t="str">
        <f>IF(COUNTA(A1207:G1207)=0,"",IF(C1207&lt;&gt;"",C1207,IF(B1207="","",IFERROR(INDEX(pr_des,MATCH(B1207,pr_code,0))&amp;"",""))))</f>
        <v/>
      </c>
      <c r="I1207" s="59" t="str">
        <f>IF(B1207="","",IFERROR(INDEX(pr_unit,MATCH(B1207,pr_code,0))&amp;"",""))</f>
        <v/>
      </c>
      <c r="J1207" s="65" t="str">
        <f>IF(COUNTA(A1207:G1207)=0,"",IF(E1207&lt;&gt;"",E1207,IF(B1207="","",IFERROR(IF(INDEX(pr_price,MATCH(B1207,pr_code,0))="","",INDEX(pr_price,MATCH(B1207,pr_code,0))),""))))</f>
        <v/>
      </c>
      <c r="K1207" s="71" t="str">
        <f>IF(COUNTA(A1207:G1207)=0,"",IF(G1207&lt;&gt;"",G1207,IF(B1207="","",IFERROR(IF(INDEX(pr_rate,MATCH(B1207,pr_code,0))="","",INDEX(pr_rate,MATCH(B1207,pr_code,0))),""))))</f>
        <v/>
      </c>
      <c r="L1207" s="65" t="str">
        <f>IF(COUNTA(A1207:G1207)=0,"",IF(AND(ISNUMBER(D1207),ISNUMBER(J1207)),ROUND(D1207*J1207*(1-N(F1207)),2),0))</f>
        <v/>
      </c>
      <c r="M1207" s="62" t="str">
        <f>IF(A1207="","",IFERROR(INDEX(fa_cname,MATCH(A1207,fa_num,0))&amp;"",""))</f>
        <v/>
      </c>
      <c r="N1207" s="59" t="str">
        <f>IF(COUNTA(A1207:G1207)=0,"",IF(A1207="","N° facture manquant",IF(ISNA(MATCH(A1207,fa_num,0)),"Facture inconnue",IF(AND(B1207&lt;&gt;"",ISNA(MATCH(B1207,pr_code,0))),"Article inconnu",IF(H1207="","Désignation manquante",IF(OR(NOT(ISNUMBER(D1207)),N(D1207)&lt;=0),"Quantité invalide",IF(J1207="","Prix manquant",IF(OR(NOT(ISNUMBER(J1207)),N(J1207)&lt;0),"Prix invalide",IF(OR(AND(F1207&lt;&gt;"",NOT(ISNUMBER(F1207))),N(F1207)&lt;0,N(F1207)&gt;1),"Remise invalide",IF(K1207="","Taux de TVA manquant",IF(NOT(ISNUMBER(K1207)),"Taux de TVA invalide",IF(COUNTIF(p_rates,K1207)=0,"Taux de TVA hors liste (Paramètres)",IF(N(O1207)&gt;25,"Au-delà de 25 lignes : non imprimée","OK")))))))))))))</f>
        <v/>
      </c>
      <c r="O1207" s="59" t="str">
        <f>IF(A1207="","",COUNTIF($A$6:A1207,A1207))</f>
        <v/>
      </c>
      <c r="P1207" s="62" t="str">
        <f>IF(A1207="","",A1207&amp;"|"&amp;O1207)</f>
        <v/>
      </c>
    </row>
    <row r="1208">
      <c r="A1208" s="60" t="n"/>
      <c r="B1208" s="63" t="n"/>
      <c r="C1208" s="63" t="n"/>
      <c r="D1208" s="67" t="n"/>
      <c r="E1208" s="68" t="n"/>
      <c r="F1208" s="69" t="n"/>
      <c r="G1208" s="70" t="n"/>
      <c r="H1208" s="62" t="str">
        <f>IF(COUNTA(A1208:G1208)=0,"",IF(C1208&lt;&gt;"",C1208,IF(B1208="","",IFERROR(INDEX(pr_des,MATCH(B1208,pr_code,0))&amp;"",""))))</f>
        <v/>
      </c>
      <c r="I1208" s="59" t="str">
        <f>IF(B1208="","",IFERROR(INDEX(pr_unit,MATCH(B1208,pr_code,0))&amp;"",""))</f>
        <v/>
      </c>
      <c r="J1208" s="65" t="str">
        <f>IF(COUNTA(A1208:G1208)=0,"",IF(E1208&lt;&gt;"",E1208,IF(B1208="","",IFERROR(IF(INDEX(pr_price,MATCH(B1208,pr_code,0))="","",INDEX(pr_price,MATCH(B1208,pr_code,0))),""))))</f>
        <v/>
      </c>
      <c r="K1208" s="71" t="str">
        <f>IF(COUNTA(A1208:G1208)=0,"",IF(G1208&lt;&gt;"",G1208,IF(B1208="","",IFERROR(IF(INDEX(pr_rate,MATCH(B1208,pr_code,0))="","",INDEX(pr_rate,MATCH(B1208,pr_code,0))),""))))</f>
        <v/>
      </c>
      <c r="L1208" s="65" t="str">
        <f>IF(COUNTA(A1208:G1208)=0,"",IF(AND(ISNUMBER(D1208),ISNUMBER(J1208)),ROUND(D1208*J1208*(1-N(F1208)),2),0))</f>
        <v/>
      </c>
      <c r="M1208" s="62" t="str">
        <f>IF(A1208="","",IFERROR(INDEX(fa_cname,MATCH(A1208,fa_num,0))&amp;"",""))</f>
        <v/>
      </c>
      <c r="N1208" s="59" t="str">
        <f>IF(COUNTA(A1208:G1208)=0,"",IF(A1208="","N° facture manquant",IF(ISNA(MATCH(A1208,fa_num,0)),"Facture inconnue",IF(AND(B1208&lt;&gt;"",ISNA(MATCH(B1208,pr_code,0))),"Article inconnu",IF(H1208="","Désignation manquante",IF(OR(NOT(ISNUMBER(D1208)),N(D1208)&lt;=0),"Quantité invalide",IF(J1208="","Prix manquant",IF(OR(NOT(ISNUMBER(J1208)),N(J1208)&lt;0),"Prix invalide",IF(OR(AND(F1208&lt;&gt;"",NOT(ISNUMBER(F1208))),N(F1208)&lt;0,N(F1208)&gt;1),"Remise invalide",IF(K1208="","Taux de TVA manquant",IF(NOT(ISNUMBER(K1208)),"Taux de TVA invalide",IF(COUNTIF(p_rates,K1208)=0,"Taux de TVA hors liste (Paramètres)",IF(N(O1208)&gt;25,"Au-delà de 25 lignes : non imprimée","OK")))))))))))))</f>
        <v/>
      </c>
      <c r="O1208" s="59" t="str">
        <f>IF(A1208="","",COUNTIF($A$6:A1208,A1208))</f>
        <v/>
      </c>
      <c r="P1208" s="62" t="str">
        <f>IF(A1208="","",A1208&amp;"|"&amp;O1208)</f>
        <v/>
      </c>
    </row>
    <row r="1209">
      <c r="A1209" s="60" t="n"/>
      <c r="B1209" s="63" t="n"/>
      <c r="C1209" s="63" t="n"/>
      <c r="D1209" s="67" t="n"/>
      <c r="E1209" s="68" t="n"/>
      <c r="F1209" s="69" t="n"/>
      <c r="G1209" s="70" t="n"/>
      <c r="H1209" s="62" t="str">
        <f>IF(COUNTA(A1209:G1209)=0,"",IF(C1209&lt;&gt;"",C1209,IF(B1209="","",IFERROR(INDEX(pr_des,MATCH(B1209,pr_code,0))&amp;"",""))))</f>
        <v/>
      </c>
      <c r="I1209" s="59" t="str">
        <f>IF(B1209="","",IFERROR(INDEX(pr_unit,MATCH(B1209,pr_code,0))&amp;"",""))</f>
        <v/>
      </c>
      <c r="J1209" s="65" t="str">
        <f>IF(COUNTA(A1209:G1209)=0,"",IF(E1209&lt;&gt;"",E1209,IF(B1209="","",IFERROR(IF(INDEX(pr_price,MATCH(B1209,pr_code,0))="","",INDEX(pr_price,MATCH(B1209,pr_code,0))),""))))</f>
        <v/>
      </c>
      <c r="K1209" s="71" t="str">
        <f>IF(COUNTA(A1209:G1209)=0,"",IF(G1209&lt;&gt;"",G1209,IF(B1209="","",IFERROR(IF(INDEX(pr_rate,MATCH(B1209,pr_code,0))="","",INDEX(pr_rate,MATCH(B1209,pr_code,0))),""))))</f>
        <v/>
      </c>
      <c r="L1209" s="65" t="str">
        <f>IF(COUNTA(A1209:G1209)=0,"",IF(AND(ISNUMBER(D1209),ISNUMBER(J1209)),ROUND(D1209*J1209*(1-N(F1209)),2),0))</f>
        <v/>
      </c>
      <c r="M1209" s="62" t="str">
        <f>IF(A1209="","",IFERROR(INDEX(fa_cname,MATCH(A1209,fa_num,0))&amp;"",""))</f>
        <v/>
      </c>
      <c r="N1209" s="59" t="str">
        <f>IF(COUNTA(A1209:G1209)=0,"",IF(A1209="","N° facture manquant",IF(ISNA(MATCH(A1209,fa_num,0)),"Facture inconnue",IF(AND(B1209&lt;&gt;"",ISNA(MATCH(B1209,pr_code,0))),"Article inconnu",IF(H1209="","Désignation manquante",IF(OR(NOT(ISNUMBER(D1209)),N(D1209)&lt;=0),"Quantité invalide",IF(J1209="","Prix manquant",IF(OR(NOT(ISNUMBER(J1209)),N(J1209)&lt;0),"Prix invalide",IF(OR(AND(F1209&lt;&gt;"",NOT(ISNUMBER(F1209))),N(F1209)&lt;0,N(F1209)&gt;1),"Remise invalide",IF(K1209="","Taux de TVA manquant",IF(NOT(ISNUMBER(K1209)),"Taux de TVA invalide",IF(COUNTIF(p_rates,K1209)=0,"Taux de TVA hors liste (Paramètres)",IF(N(O1209)&gt;25,"Au-delà de 25 lignes : non imprimée","OK")))))))))))))</f>
        <v/>
      </c>
      <c r="O1209" s="59" t="str">
        <f>IF(A1209="","",COUNTIF($A$6:A1209,A1209))</f>
        <v/>
      </c>
      <c r="P1209" s="62" t="str">
        <f>IF(A1209="","",A1209&amp;"|"&amp;O1209)</f>
        <v/>
      </c>
    </row>
    <row r="1210">
      <c r="A1210" s="60" t="n"/>
      <c r="B1210" s="63" t="n"/>
      <c r="C1210" s="63" t="n"/>
      <c r="D1210" s="67" t="n"/>
      <c r="E1210" s="68" t="n"/>
      <c r="F1210" s="69" t="n"/>
      <c r="G1210" s="70" t="n"/>
      <c r="H1210" s="62" t="str">
        <f>IF(COUNTA(A1210:G1210)=0,"",IF(C1210&lt;&gt;"",C1210,IF(B1210="","",IFERROR(INDEX(pr_des,MATCH(B1210,pr_code,0))&amp;"",""))))</f>
        <v/>
      </c>
      <c r="I1210" s="59" t="str">
        <f>IF(B1210="","",IFERROR(INDEX(pr_unit,MATCH(B1210,pr_code,0))&amp;"",""))</f>
        <v/>
      </c>
      <c r="J1210" s="65" t="str">
        <f>IF(COUNTA(A1210:G1210)=0,"",IF(E1210&lt;&gt;"",E1210,IF(B1210="","",IFERROR(IF(INDEX(pr_price,MATCH(B1210,pr_code,0))="","",INDEX(pr_price,MATCH(B1210,pr_code,0))),""))))</f>
        <v/>
      </c>
      <c r="K1210" s="71" t="str">
        <f>IF(COUNTA(A1210:G1210)=0,"",IF(G1210&lt;&gt;"",G1210,IF(B1210="","",IFERROR(IF(INDEX(pr_rate,MATCH(B1210,pr_code,0))="","",INDEX(pr_rate,MATCH(B1210,pr_code,0))),""))))</f>
        <v/>
      </c>
      <c r="L1210" s="65" t="str">
        <f>IF(COUNTA(A1210:G1210)=0,"",IF(AND(ISNUMBER(D1210),ISNUMBER(J1210)),ROUND(D1210*J1210*(1-N(F1210)),2),0))</f>
        <v/>
      </c>
      <c r="M1210" s="62" t="str">
        <f>IF(A1210="","",IFERROR(INDEX(fa_cname,MATCH(A1210,fa_num,0))&amp;"",""))</f>
        <v/>
      </c>
      <c r="N1210" s="59" t="str">
        <f>IF(COUNTA(A1210:G1210)=0,"",IF(A1210="","N° facture manquant",IF(ISNA(MATCH(A1210,fa_num,0)),"Facture inconnue",IF(AND(B1210&lt;&gt;"",ISNA(MATCH(B1210,pr_code,0))),"Article inconnu",IF(H1210="","Désignation manquante",IF(OR(NOT(ISNUMBER(D1210)),N(D1210)&lt;=0),"Quantité invalide",IF(J1210="","Prix manquant",IF(OR(NOT(ISNUMBER(J1210)),N(J1210)&lt;0),"Prix invalide",IF(OR(AND(F1210&lt;&gt;"",NOT(ISNUMBER(F1210))),N(F1210)&lt;0,N(F1210)&gt;1),"Remise invalide",IF(K1210="","Taux de TVA manquant",IF(NOT(ISNUMBER(K1210)),"Taux de TVA invalide",IF(COUNTIF(p_rates,K1210)=0,"Taux de TVA hors liste (Paramètres)",IF(N(O1210)&gt;25,"Au-delà de 25 lignes : non imprimée","OK")))))))))))))</f>
        <v/>
      </c>
      <c r="O1210" s="59" t="str">
        <f>IF(A1210="","",COUNTIF($A$6:A1210,A1210))</f>
        <v/>
      </c>
      <c r="P1210" s="62" t="str">
        <f>IF(A1210="","",A1210&amp;"|"&amp;O1210)</f>
        <v/>
      </c>
    </row>
    <row r="1211">
      <c r="A1211" s="60" t="n"/>
      <c r="B1211" s="63" t="n"/>
      <c r="C1211" s="63" t="n"/>
      <c r="D1211" s="67" t="n"/>
      <c r="E1211" s="68" t="n"/>
      <c r="F1211" s="69" t="n"/>
      <c r="G1211" s="70" t="n"/>
      <c r="H1211" s="62" t="str">
        <f>IF(COUNTA(A1211:G1211)=0,"",IF(C1211&lt;&gt;"",C1211,IF(B1211="","",IFERROR(INDEX(pr_des,MATCH(B1211,pr_code,0))&amp;"",""))))</f>
        <v/>
      </c>
      <c r="I1211" s="59" t="str">
        <f>IF(B1211="","",IFERROR(INDEX(pr_unit,MATCH(B1211,pr_code,0))&amp;"",""))</f>
        <v/>
      </c>
      <c r="J1211" s="65" t="str">
        <f>IF(COUNTA(A1211:G1211)=0,"",IF(E1211&lt;&gt;"",E1211,IF(B1211="","",IFERROR(IF(INDEX(pr_price,MATCH(B1211,pr_code,0))="","",INDEX(pr_price,MATCH(B1211,pr_code,0))),""))))</f>
        <v/>
      </c>
      <c r="K1211" s="71" t="str">
        <f>IF(COUNTA(A1211:G1211)=0,"",IF(G1211&lt;&gt;"",G1211,IF(B1211="","",IFERROR(IF(INDEX(pr_rate,MATCH(B1211,pr_code,0))="","",INDEX(pr_rate,MATCH(B1211,pr_code,0))),""))))</f>
        <v/>
      </c>
      <c r="L1211" s="65" t="str">
        <f>IF(COUNTA(A1211:G1211)=0,"",IF(AND(ISNUMBER(D1211),ISNUMBER(J1211)),ROUND(D1211*J1211*(1-N(F1211)),2),0))</f>
        <v/>
      </c>
      <c r="M1211" s="62" t="str">
        <f>IF(A1211="","",IFERROR(INDEX(fa_cname,MATCH(A1211,fa_num,0))&amp;"",""))</f>
        <v/>
      </c>
      <c r="N1211" s="59" t="str">
        <f>IF(COUNTA(A1211:G1211)=0,"",IF(A1211="","N° facture manquant",IF(ISNA(MATCH(A1211,fa_num,0)),"Facture inconnue",IF(AND(B1211&lt;&gt;"",ISNA(MATCH(B1211,pr_code,0))),"Article inconnu",IF(H1211="","Désignation manquante",IF(OR(NOT(ISNUMBER(D1211)),N(D1211)&lt;=0),"Quantité invalide",IF(J1211="","Prix manquant",IF(OR(NOT(ISNUMBER(J1211)),N(J1211)&lt;0),"Prix invalide",IF(OR(AND(F1211&lt;&gt;"",NOT(ISNUMBER(F1211))),N(F1211)&lt;0,N(F1211)&gt;1),"Remise invalide",IF(K1211="","Taux de TVA manquant",IF(NOT(ISNUMBER(K1211)),"Taux de TVA invalide",IF(COUNTIF(p_rates,K1211)=0,"Taux de TVA hors liste (Paramètres)",IF(N(O1211)&gt;25,"Au-delà de 25 lignes : non imprimée","OK")))))))))))))</f>
        <v/>
      </c>
      <c r="O1211" s="59" t="str">
        <f>IF(A1211="","",COUNTIF($A$6:A1211,A1211))</f>
        <v/>
      </c>
      <c r="P1211" s="62" t="str">
        <f>IF(A1211="","",A1211&amp;"|"&amp;O1211)</f>
        <v/>
      </c>
    </row>
    <row r="1212">
      <c r="A1212" s="60" t="n"/>
      <c r="B1212" s="63" t="n"/>
      <c r="C1212" s="63" t="n"/>
      <c r="D1212" s="67" t="n"/>
      <c r="E1212" s="68" t="n"/>
      <c r="F1212" s="69" t="n"/>
      <c r="G1212" s="70" t="n"/>
      <c r="H1212" s="62" t="str">
        <f>IF(COUNTA(A1212:G1212)=0,"",IF(C1212&lt;&gt;"",C1212,IF(B1212="","",IFERROR(INDEX(pr_des,MATCH(B1212,pr_code,0))&amp;"",""))))</f>
        <v/>
      </c>
      <c r="I1212" s="59" t="str">
        <f>IF(B1212="","",IFERROR(INDEX(pr_unit,MATCH(B1212,pr_code,0))&amp;"",""))</f>
        <v/>
      </c>
      <c r="J1212" s="65" t="str">
        <f>IF(COUNTA(A1212:G1212)=0,"",IF(E1212&lt;&gt;"",E1212,IF(B1212="","",IFERROR(IF(INDEX(pr_price,MATCH(B1212,pr_code,0))="","",INDEX(pr_price,MATCH(B1212,pr_code,0))),""))))</f>
        <v/>
      </c>
      <c r="K1212" s="71" t="str">
        <f>IF(COUNTA(A1212:G1212)=0,"",IF(G1212&lt;&gt;"",G1212,IF(B1212="","",IFERROR(IF(INDEX(pr_rate,MATCH(B1212,pr_code,0))="","",INDEX(pr_rate,MATCH(B1212,pr_code,0))),""))))</f>
        <v/>
      </c>
      <c r="L1212" s="65" t="str">
        <f>IF(COUNTA(A1212:G1212)=0,"",IF(AND(ISNUMBER(D1212),ISNUMBER(J1212)),ROUND(D1212*J1212*(1-N(F1212)),2),0))</f>
        <v/>
      </c>
      <c r="M1212" s="62" t="str">
        <f>IF(A1212="","",IFERROR(INDEX(fa_cname,MATCH(A1212,fa_num,0))&amp;"",""))</f>
        <v/>
      </c>
      <c r="N1212" s="59" t="str">
        <f>IF(COUNTA(A1212:G1212)=0,"",IF(A1212="","N° facture manquant",IF(ISNA(MATCH(A1212,fa_num,0)),"Facture inconnue",IF(AND(B1212&lt;&gt;"",ISNA(MATCH(B1212,pr_code,0))),"Article inconnu",IF(H1212="","Désignation manquante",IF(OR(NOT(ISNUMBER(D1212)),N(D1212)&lt;=0),"Quantité invalide",IF(J1212="","Prix manquant",IF(OR(NOT(ISNUMBER(J1212)),N(J1212)&lt;0),"Prix invalide",IF(OR(AND(F1212&lt;&gt;"",NOT(ISNUMBER(F1212))),N(F1212)&lt;0,N(F1212)&gt;1),"Remise invalide",IF(K1212="","Taux de TVA manquant",IF(NOT(ISNUMBER(K1212)),"Taux de TVA invalide",IF(COUNTIF(p_rates,K1212)=0,"Taux de TVA hors liste (Paramètres)",IF(N(O1212)&gt;25,"Au-delà de 25 lignes : non imprimée","OK")))))))))))))</f>
        <v/>
      </c>
      <c r="O1212" s="59" t="str">
        <f>IF(A1212="","",COUNTIF($A$6:A1212,A1212))</f>
        <v/>
      </c>
      <c r="P1212" s="62" t="str">
        <f>IF(A1212="","",A1212&amp;"|"&amp;O1212)</f>
        <v/>
      </c>
    </row>
    <row r="1213">
      <c r="A1213" s="60" t="n"/>
      <c r="B1213" s="63" t="n"/>
      <c r="C1213" s="63" t="n"/>
      <c r="D1213" s="67" t="n"/>
      <c r="E1213" s="68" t="n"/>
      <c r="F1213" s="69" t="n"/>
      <c r="G1213" s="70" t="n"/>
      <c r="H1213" s="62" t="str">
        <f>IF(COUNTA(A1213:G1213)=0,"",IF(C1213&lt;&gt;"",C1213,IF(B1213="","",IFERROR(INDEX(pr_des,MATCH(B1213,pr_code,0))&amp;"",""))))</f>
        <v/>
      </c>
      <c r="I1213" s="59" t="str">
        <f>IF(B1213="","",IFERROR(INDEX(pr_unit,MATCH(B1213,pr_code,0))&amp;"",""))</f>
        <v/>
      </c>
      <c r="J1213" s="65" t="str">
        <f>IF(COUNTA(A1213:G1213)=0,"",IF(E1213&lt;&gt;"",E1213,IF(B1213="","",IFERROR(IF(INDEX(pr_price,MATCH(B1213,pr_code,0))="","",INDEX(pr_price,MATCH(B1213,pr_code,0))),""))))</f>
        <v/>
      </c>
      <c r="K1213" s="71" t="str">
        <f>IF(COUNTA(A1213:G1213)=0,"",IF(G1213&lt;&gt;"",G1213,IF(B1213="","",IFERROR(IF(INDEX(pr_rate,MATCH(B1213,pr_code,0))="","",INDEX(pr_rate,MATCH(B1213,pr_code,0))),""))))</f>
        <v/>
      </c>
      <c r="L1213" s="65" t="str">
        <f>IF(COUNTA(A1213:G1213)=0,"",IF(AND(ISNUMBER(D1213),ISNUMBER(J1213)),ROUND(D1213*J1213*(1-N(F1213)),2),0))</f>
        <v/>
      </c>
      <c r="M1213" s="62" t="str">
        <f>IF(A1213="","",IFERROR(INDEX(fa_cname,MATCH(A1213,fa_num,0))&amp;"",""))</f>
        <v/>
      </c>
      <c r="N1213" s="59" t="str">
        <f>IF(COUNTA(A1213:G1213)=0,"",IF(A1213="","N° facture manquant",IF(ISNA(MATCH(A1213,fa_num,0)),"Facture inconnue",IF(AND(B1213&lt;&gt;"",ISNA(MATCH(B1213,pr_code,0))),"Article inconnu",IF(H1213="","Désignation manquante",IF(OR(NOT(ISNUMBER(D1213)),N(D1213)&lt;=0),"Quantité invalide",IF(J1213="","Prix manquant",IF(OR(NOT(ISNUMBER(J1213)),N(J1213)&lt;0),"Prix invalide",IF(OR(AND(F1213&lt;&gt;"",NOT(ISNUMBER(F1213))),N(F1213)&lt;0,N(F1213)&gt;1),"Remise invalide",IF(K1213="","Taux de TVA manquant",IF(NOT(ISNUMBER(K1213)),"Taux de TVA invalide",IF(COUNTIF(p_rates,K1213)=0,"Taux de TVA hors liste (Paramètres)",IF(N(O1213)&gt;25,"Au-delà de 25 lignes : non imprimée","OK")))))))))))))</f>
        <v/>
      </c>
      <c r="O1213" s="59" t="str">
        <f>IF(A1213="","",COUNTIF($A$6:A1213,A1213))</f>
        <v/>
      </c>
      <c r="P1213" s="62" t="str">
        <f>IF(A1213="","",A1213&amp;"|"&amp;O1213)</f>
        <v/>
      </c>
    </row>
    <row r="1214">
      <c r="A1214" s="60" t="n"/>
      <c r="B1214" s="63" t="n"/>
      <c r="C1214" s="63" t="n"/>
      <c r="D1214" s="67" t="n"/>
      <c r="E1214" s="68" t="n"/>
      <c r="F1214" s="69" t="n"/>
      <c r="G1214" s="70" t="n"/>
      <c r="H1214" s="62" t="str">
        <f>IF(COUNTA(A1214:G1214)=0,"",IF(C1214&lt;&gt;"",C1214,IF(B1214="","",IFERROR(INDEX(pr_des,MATCH(B1214,pr_code,0))&amp;"",""))))</f>
        <v/>
      </c>
      <c r="I1214" s="59" t="str">
        <f>IF(B1214="","",IFERROR(INDEX(pr_unit,MATCH(B1214,pr_code,0))&amp;"",""))</f>
        <v/>
      </c>
      <c r="J1214" s="65" t="str">
        <f>IF(COUNTA(A1214:G1214)=0,"",IF(E1214&lt;&gt;"",E1214,IF(B1214="","",IFERROR(IF(INDEX(pr_price,MATCH(B1214,pr_code,0))="","",INDEX(pr_price,MATCH(B1214,pr_code,0))),""))))</f>
        <v/>
      </c>
      <c r="K1214" s="71" t="str">
        <f>IF(COUNTA(A1214:G1214)=0,"",IF(G1214&lt;&gt;"",G1214,IF(B1214="","",IFERROR(IF(INDEX(pr_rate,MATCH(B1214,pr_code,0))="","",INDEX(pr_rate,MATCH(B1214,pr_code,0))),""))))</f>
        <v/>
      </c>
      <c r="L1214" s="65" t="str">
        <f>IF(COUNTA(A1214:G1214)=0,"",IF(AND(ISNUMBER(D1214),ISNUMBER(J1214)),ROUND(D1214*J1214*(1-N(F1214)),2),0))</f>
        <v/>
      </c>
      <c r="M1214" s="62" t="str">
        <f>IF(A1214="","",IFERROR(INDEX(fa_cname,MATCH(A1214,fa_num,0))&amp;"",""))</f>
        <v/>
      </c>
      <c r="N1214" s="59" t="str">
        <f>IF(COUNTA(A1214:G1214)=0,"",IF(A1214="","N° facture manquant",IF(ISNA(MATCH(A1214,fa_num,0)),"Facture inconnue",IF(AND(B1214&lt;&gt;"",ISNA(MATCH(B1214,pr_code,0))),"Article inconnu",IF(H1214="","Désignation manquante",IF(OR(NOT(ISNUMBER(D1214)),N(D1214)&lt;=0),"Quantité invalide",IF(J1214="","Prix manquant",IF(OR(NOT(ISNUMBER(J1214)),N(J1214)&lt;0),"Prix invalide",IF(OR(AND(F1214&lt;&gt;"",NOT(ISNUMBER(F1214))),N(F1214)&lt;0,N(F1214)&gt;1),"Remise invalide",IF(K1214="","Taux de TVA manquant",IF(NOT(ISNUMBER(K1214)),"Taux de TVA invalide",IF(COUNTIF(p_rates,K1214)=0,"Taux de TVA hors liste (Paramètres)",IF(N(O1214)&gt;25,"Au-delà de 25 lignes : non imprimée","OK")))))))))))))</f>
        <v/>
      </c>
      <c r="O1214" s="59" t="str">
        <f>IF(A1214="","",COUNTIF($A$6:A1214,A1214))</f>
        <v/>
      </c>
      <c r="P1214" s="62" t="str">
        <f>IF(A1214="","",A1214&amp;"|"&amp;O1214)</f>
        <v/>
      </c>
    </row>
    <row r="1215">
      <c r="A1215" s="60" t="n"/>
      <c r="B1215" s="63" t="n"/>
      <c r="C1215" s="63" t="n"/>
      <c r="D1215" s="67" t="n"/>
      <c r="E1215" s="68" t="n"/>
      <c r="F1215" s="69" t="n"/>
      <c r="G1215" s="70" t="n"/>
      <c r="H1215" s="62" t="str">
        <f>IF(COUNTA(A1215:G1215)=0,"",IF(C1215&lt;&gt;"",C1215,IF(B1215="","",IFERROR(INDEX(pr_des,MATCH(B1215,pr_code,0))&amp;"",""))))</f>
        <v/>
      </c>
      <c r="I1215" s="59" t="str">
        <f>IF(B1215="","",IFERROR(INDEX(pr_unit,MATCH(B1215,pr_code,0))&amp;"",""))</f>
        <v/>
      </c>
      <c r="J1215" s="65" t="str">
        <f>IF(COUNTA(A1215:G1215)=0,"",IF(E1215&lt;&gt;"",E1215,IF(B1215="","",IFERROR(IF(INDEX(pr_price,MATCH(B1215,pr_code,0))="","",INDEX(pr_price,MATCH(B1215,pr_code,0))),""))))</f>
        <v/>
      </c>
      <c r="K1215" s="71" t="str">
        <f>IF(COUNTA(A1215:G1215)=0,"",IF(G1215&lt;&gt;"",G1215,IF(B1215="","",IFERROR(IF(INDEX(pr_rate,MATCH(B1215,pr_code,0))="","",INDEX(pr_rate,MATCH(B1215,pr_code,0))),""))))</f>
        <v/>
      </c>
      <c r="L1215" s="65" t="str">
        <f>IF(COUNTA(A1215:G1215)=0,"",IF(AND(ISNUMBER(D1215),ISNUMBER(J1215)),ROUND(D1215*J1215*(1-N(F1215)),2),0))</f>
        <v/>
      </c>
      <c r="M1215" s="62" t="str">
        <f>IF(A1215="","",IFERROR(INDEX(fa_cname,MATCH(A1215,fa_num,0))&amp;"",""))</f>
        <v/>
      </c>
      <c r="N1215" s="59" t="str">
        <f>IF(COUNTA(A1215:G1215)=0,"",IF(A1215="","N° facture manquant",IF(ISNA(MATCH(A1215,fa_num,0)),"Facture inconnue",IF(AND(B1215&lt;&gt;"",ISNA(MATCH(B1215,pr_code,0))),"Article inconnu",IF(H1215="","Désignation manquante",IF(OR(NOT(ISNUMBER(D1215)),N(D1215)&lt;=0),"Quantité invalide",IF(J1215="","Prix manquant",IF(OR(NOT(ISNUMBER(J1215)),N(J1215)&lt;0),"Prix invalide",IF(OR(AND(F1215&lt;&gt;"",NOT(ISNUMBER(F1215))),N(F1215)&lt;0,N(F1215)&gt;1),"Remise invalide",IF(K1215="","Taux de TVA manquant",IF(NOT(ISNUMBER(K1215)),"Taux de TVA invalide",IF(COUNTIF(p_rates,K1215)=0,"Taux de TVA hors liste (Paramètres)",IF(N(O1215)&gt;25,"Au-delà de 25 lignes : non imprimée","OK")))))))))))))</f>
        <v/>
      </c>
      <c r="O1215" s="59" t="str">
        <f>IF(A1215="","",COUNTIF($A$6:A1215,A1215))</f>
        <v/>
      </c>
      <c r="P1215" s="62" t="str">
        <f>IF(A1215="","",A1215&amp;"|"&amp;O1215)</f>
        <v/>
      </c>
    </row>
    <row r="1216">
      <c r="A1216" s="60" t="n"/>
      <c r="B1216" s="63" t="n"/>
      <c r="C1216" s="63" t="n"/>
      <c r="D1216" s="67" t="n"/>
      <c r="E1216" s="68" t="n"/>
      <c r="F1216" s="69" t="n"/>
      <c r="G1216" s="70" t="n"/>
      <c r="H1216" s="62" t="str">
        <f>IF(COUNTA(A1216:G1216)=0,"",IF(C1216&lt;&gt;"",C1216,IF(B1216="","",IFERROR(INDEX(pr_des,MATCH(B1216,pr_code,0))&amp;"",""))))</f>
        <v/>
      </c>
      <c r="I1216" s="59" t="str">
        <f>IF(B1216="","",IFERROR(INDEX(pr_unit,MATCH(B1216,pr_code,0))&amp;"",""))</f>
        <v/>
      </c>
      <c r="J1216" s="65" t="str">
        <f>IF(COUNTA(A1216:G1216)=0,"",IF(E1216&lt;&gt;"",E1216,IF(B1216="","",IFERROR(IF(INDEX(pr_price,MATCH(B1216,pr_code,0))="","",INDEX(pr_price,MATCH(B1216,pr_code,0))),""))))</f>
        <v/>
      </c>
      <c r="K1216" s="71" t="str">
        <f>IF(COUNTA(A1216:G1216)=0,"",IF(G1216&lt;&gt;"",G1216,IF(B1216="","",IFERROR(IF(INDEX(pr_rate,MATCH(B1216,pr_code,0))="","",INDEX(pr_rate,MATCH(B1216,pr_code,0))),""))))</f>
        <v/>
      </c>
      <c r="L1216" s="65" t="str">
        <f>IF(COUNTA(A1216:G1216)=0,"",IF(AND(ISNUMBER(D1216),ISNUMBER(J1216)),ROUND(D1216*J1216*(1-N(F1216)),2),0))</f>
        <v/>
      </c>
      <c r="M1216" s="62" t="str">
        <f>IF(A1216="","",IFERROR(INDEX(fa_cname,MATCH(A1216,fa_num,0))&amp;"",""))</f>
        <v/>
      </c>
      <c r="N1216" s="59" t="str">
        <f>IF(COUNTA(A1216:G1216)=0,"",IF(A1216="","N° facture manquant",IF(ISNA(MATCH(A1216,fa_num,0)),"Facture inconnue",IF(AND(B1216&lt;&gt;"",ISNA(MATCH(B1216,pr_code,0))),"Article inconnu",IF(H1216="","Désignation manquante",IF(OR(NOT(ISNUMBER(D1216)),N(D1216)&lt;=0),"Quantité invalide",IF(J1216="","Prix manquant",IF(OR(NOT(ISNUMBER(J1216)),N(J1216)&lt;0),"Prix invalide",IF(OR(AND(F1216&lt;&gt;"",NOT(ISNUMBER(F1216))),N(F1216)&lt;0,N(F1216)&gt;1),"Remise invalide",IF(K1216="","Taux de TVA manquant",IF(NOT(ISNUMBER(K1216)),"Taux de TVA invalide",IF(COUNTIF(p_rates,K1216)=0,"Taux de TVA hors liste (Paramètres)",IF(N(O1216)&gt;25,"Au-delà de 25 lignes : non imprimée","OK")))))))))))))</f>
        <v/>
      </c>
      <c r="O1216" s="59" t="str">
        <f>IF(A1216="","",COUNTIF($A$6:A1216,A1216))</f>
        <v/>
      </c>
      <c r="P1216" s="62" t="str">
        <f>IF(A1216="","",A1216&amp;"|"&amp;O1216)</f>
        <v/>
      </c>
    </row>
    <row r="1217">
      <c r="A1217" s="60" t="n"/>
      <c r="B1217" s="63" t="n"/>
      <c r="C1217" s="63" t="n"/>
      <c r="D1217" s="67" t="n"/>
      <c r="E1217" s="68" t="n"/>
      <c r="F1217" s="69" t="n"/>
      <c r="G1217" s="70" t="n"/>
      <c r="H1217" s="62" t="str">
        <f>IF(COUNTA(A1217:G1217)=0,"",IF(C1217&lt;&gt;"",C1217,IF(B1217="","",IFERROR(INDEX(pr_des,MATCH(B1217,pr_code,0))&amp;"",""))))</f>
        <v/>
      </c>
      <c r="I1217" s="59" t="str">
        <f>IF(B1217="","",IFERROR(INDEX(pr_unit,MATCH(B1217,pr_code,0))&amp;"",""))</f>
        <v/>
      </c>
      <c r="J1217" s="65" t="str">
        <f>IF(COUNTA(A1217:G1217)=0,"",IF(E1217&lt;&gt;"",E1217,IF(B1217="","",IFERROR(IF(INDEX(pr_price,MATCH(B1217,pr_code,0))="","",INDEX(pr_price,MATCH(B1217,pr_code,0))),""))))</f>
        <v/>
      </c>
      <c r="K1217" s="71" t="str">
        <f>IF(COUNTA(A1217:G1217)=0,"",IF(G1217&lt;&gt;"",G1217,IF(B1217="","",IFERROR(IF(INDEX(pr_rate,MATCH(B1217,pr_code,0))="","",INDEX(pr_rate,MATCH(B1217,pr_code,0))),""))))</f>
        <v/>
      </c>
      <c r="L1217" s="65" t="str">
        <f>IF(COUNTA(A1217:G1217)=0,"",IF(AND(ISNUMBER(D1217),ISNUMBER(J1217)),ROUND(D1217*J1217*(1-N(F1217)),2),0))</f>
        <v/>
      </c>
      <c r="M1217" s="62" t="str">
        <f>IF(A1217="","",IFERROR(INDEX(fa_cname,MATCH(A1217,fa_num,0))&amp;"",""))</f>
        <v/>
      </c>
      <c r="N1217" s="59" t="str">
        <f>IF(COUNTA(A1217:G1217)=0,"",IF(A1217="","N° facture manquant",IF(ISNA(MATCH(A1217,fa_num,0)),"Facture inconnue",IF(AND(B1217&lt;&gt;"",ISNA(MATCH(B1217,pr_code,0))),"Article inconnu",IF(H1217="","Désignation manquante",IF(OR(NOT(ISNUMBER(D1217)),N(D1217)&lt;=0),"Quantité invalide",IF(J1217="","Prix manquant",IF(OR(NOT(ISNUMBER(J1217)),N(J1217)&lt;0),"Prix invalide",IF(OR(AND(F1217&lt;&gt;"",NOT(ISNUMBER(F1217))),N(F1217)&lt;0,N(F1217)&gt;1),"Remise invalide",IF(K1217="","Taux de TVA manquant",IF(NOT(ISNUMBER(K1217)),"Taux de TVA invalide",IF(COUNTIF(p_rates,K1217)=0,"Taux de TVA hors liste (Paramètres)",IF(N(O1217)&gt;25,"Au-delà de 25 lignes : non imprimée","OK")))))))))))))</f>
        <v/>
      </c>
      <c r="O1217" s="59" t="str">
        <f>IF(A1217="","",COUNTIF($A$6:A1217,A1217))</f>
        <v/>
      </c>
      <c r="P1217" s="62" t="str">
        <f>IF(A1217="","",A1217&amp;"|"&amp;O1217)</f>
        <v/>
      </c>
    </row>
    <row r="1218">
      <c r="A1218" s="60" t="n"/>
      <c r="B1218" s="63" t="n"/>
      <c r="C1218" s="63" t="n"/>
      <c r="D1218" s="67" t="n"/>
      <c r="E1218" s="68" t="n"/>
      <c r="F1218" s="69" t="n"/>
      <c r="G1218" s="70" t="n"/>
      <c r="H1218" s="62" t="str">
        <f>IF(COUNTA(A1218:G1218)=0,"",IF(C1218&lt;&gt;"",C1218,IF(B1218="","",IFERROR(INDEX(pr_des,MATCH(B1218,pr_code,0))&amp;"",""))))</f>
        <v/>
      </c>
      <c r="I1218" s="59" t="str">
        <f>IF(B1218="","",IFERROR(INDEX(pr_unit,MATCH(B1218,pr_code,0))&amp;"",""))</f>
        <v/>
      </c>
      <c r="J1218" s="65" t="str">
        <f>IF(COUNTA(A1218:G1218)=0,"",IF(E1218&lt;&gt;"",E1218,IF(B1218="","",IFERROR(IF(INDEX(pr_price,MATCH(B1218,pr_code,0))="","",INDEX(pr_price,MATCH(B1218,pr_code,0))),""))))</f>
        <v/>
      </c>
      <c r="K1218" s="71" t="str">
        <f>IF(COUNTA(A1218:G1218)=0,"",IF(G1218&lt;&gt;"",G1218,IF(B1218="","",IFERROR(IF(INDEX(pr_rate,MATCH(B1218,pr_code,0))="","",INDEX(pr_rate,MATCH(B1218,pr_code,0))),""))))</f>
        <v/>
      </c>
      <c r="L1218" s="65" t="str">
        <f>IF(COUNTA(A1218:G1218)=0,"",IF(AND(ISNUMBER(D1218),ISNUMBER(J1218)),ROUND(D1218*J1218*(1-N(F1218)),2),0))</f>
        <v/>
      </c>
      <c r="M1218" s="62" t="str">
        <f>IF(A1218="","",IFERROR(INDEX(fa_cname,MATCH(A1218,fa_num,0))&amp;"",""))</f>
        <v/>
      </c>
      <c r="N1218" s="59" t="str">
        <f>IF(COUNTA(A1218:G1218)=0,"",IF(A1218="","N° facture manquant",IF(ISNA(MATCH(A1218,fa_num,0)),"Facture inconnue",IF(AND(B1218&lt;&gt;"",ISNA(MATCH(B1218,pr_code,0))),"Article inconnu",IF(H1218="","Désignation manquante",IF(OR(NOT(ISNUMBER(D1218)),N(D1218)&lt;=0),"Quantité invalide",IF(J1218="","Prix manquant",IF(OR(NOT(ISNUMBER(J1218)),N(J1218)&lt;0),"Prix invalide",IF(OR(AND(F1218&lt;&gt;"",NOT(ISNUMBER(F1218))),N(F1218)&lt;0,N(F1218)&gt;1),"Remise invalide",IF(K1218="","Taux de TVA manquant",IF(NOT(ISNUMBER(K1218)),"Taux de TVA invalide",IF(COUNTIF(p_rates,K1218)=0,"Taux de TVA hors liste (Paramètres)",IF(N(O1218)&gt;25,"Au-delà de 25 lignes : non imprimée","OK")))))))))))))</f>
        <v/>
      </c>
      <c r="O1218" s="59" t="str">
        <f>IF(A1218="","",COUNTIF($A$6:A1218,A1218))</f>
        <v/>
      </c>
      <c r="P1218" s="62" t="str">
        <f>IF(A1218="","",A1218&amp;"|"&amp;O1218)</f>
        <v/>
      </c>
    </row>
    <row r="1219">
      <c r="A1219" s="60" t="n"/>
      <c r="B1219" s="63" t="n"/>
      <c r="C1219" s="63" t="n"/>
      <c r="D1219" s="67" t="n"/>
      <c r="E1219" s="68" t="n"/>
      <c r="F1219" s="69" t="n"/>
      <c r="G1219" s="70" t="n"/>
      <c r="H1219" s="62" t="str">
        <f>IF(COUNTA(A1219:G1219)=0,"",IF(C1219&lt;&gt;"",C1219,IF(B1219="","",IFERROR(INDEX(pr_des,MATCH(B1219,pr_code,0))&amp;"",""))))</f>
        <v/>
      </c>
      <c r="I1219" s="59" t="str">
        <f>IF(B1219="","",IFERROR(INDEX(pr_unit,MATCH(B1219,pr_code,0))&amp;"",""))</f>
        <v/>
      </c>
      <c r="J1219" s="65" t="str">
        <f>IF(COUNTA(A1219:G1219)=0,"",IF(E1219&lt;&gt;"",E1219,IF(B1219="","",IFERROR(IF(INDEX(pr_price,MATCH(B1219,pr_code,0))="","",INDEX(pr_price,MATCH(B1219,pr_code,0))),""))))</f>
        <v/>
      </c>
      <c r="K1219" s="71" t="str">
        <f>IF(COUNTA(A1219:G1219)=0,"",IF(G1219&lt;&gt;"",G1219,IF(B1219="","",IFERROR(IF(INDEX(pr_rate,MATCH(B1219,pr_code,0))="","",INDEX(pr_rate,MATCH(B1219,pr_code,0))),""))))</f>
        <v/>
      </c>
      <c r="L1219" s="65" t="str">
        <f>IF(COUNTA(A1219:G1219)=0,"",IF(AND(ISNUMBER(D1219),ISNUMBER(J1219)),ROUND(D1219*J1219*(1-N(F1219)),2),0))</f>
        <v/>
      </c>
      <c r="M1219" s="62" t="str">
        <f>IF(A1219="","",IFERROR(INDEX(fa_cname,MATCH(A1219,fa_num,0))&amp;"",""))</f>
        <v/>
      </c>
      <c r="N1219" s="59" t="str">
        <f>IF(COUNTA(A1219:G1219)=0,"",IF(A1219="","N° facture manquant",IF(ISNA(MATCH(A1219,fa_num,0)),"Facture inconnue",IF(AND(B1219&lt;&gt;"",ISNA(MATCH(B1219,pr_code,0))),"Article inconnu",IF(H1219="","Désignation manquante",IF(OR(NOT(ISNUMBER(D1219)),N(D1219)&lt;=0),"Quantité invalide",IF(J1219="","Prix manquant",IF(OR(NOT(ISNUMBER(J1219)),N(J1219)&lt;0),"Prix invalide",IF(OR(AND(F1219&lt;&gt;"",NOT(ISNUMBER(F1219))),N(F1219)&lt;0,N(F1219)&gt;1),"Remise invalide",IF(K1219="","Taux de TVA manquant",IF(NOT(ISNUMBER(K1219)),"Taux de TVA invalide",IF(COUNTIF(p_rates,K1219)=0,"Taux de TVA hors liste (Paramètres)",IF(N(O1219)&gt;25,"Au-delà de 25 lignes : non imprimée","OK")))))))))))))</f>
        <v/>
      </c>
      <c r="O1219" s="59" t="str">
        <f>IF(A1219="","",COUNTIF($A$6:A1219,A1219))</f>
        <v/>
      </c>
      <c r="P1219" s="62" t="str">
        <f>IF(A1219="","",A1219&amp;"|"&amp;O1219)</f>
        <v/>
      </c>
    </row>
    <row r="1220">
      <c r="A1220" s="60" t="n"/>
      <c r="B1220" s="63" t="n"/>
      <c r="C1220" s="63" t="n"/>
      <c r="D1220" s="67" t="n"/>
      <c r="E1220" s="68" t="n"/>
      <c r="F1220" s="69" t="n"/>
      <c r="G1220" s="70" t="n"/>
      <c r="H1220" s="62" t="str">
        <f>IF(COUNTA(A1220:G1220)=0,"",IF(C1220&lt;&gt;"",C1220,IF(B1220="","",IFERROR(INDEX(pr_des,MATCH(B1220,pr_code,0))&amp;"",""))))</f>
        <v/>
      </c>
      <c r="I1220" s="59" t="str">
        <f>IF(B1220="","",IFERROR(INDEX(pr_unit,MATCH(B1220,pr_code,0))&amp;"",""))</f>
        <v/>
      </c>
      <c r="J1220" s="65" t="str">
        <f>IF(COUNTA(A1220:G1220)=0,"",IF(E1220&lt;&gt;"",E1220,IF(B1220="","",IFERROR(IF(INDEX(pr_price,MATCH(B1220,pr_code,0))="","",INDEX(pr_price,MATCH(B1220,pr_code,0))),""))))</f>
        <v/>
      </c>
      <c r="K1220" s="71" t="str">
        <f>IF(COUNTA(A1220:G1220)=0,"",IF(G1220&lt;&gt;"",G1220,IF(B1220="","",IFERROR(IF(INDEX(pr_rate,MATCH(B1220,pr_code,0))="","",INDEX(pr_rate,MATCH(B1220,pr_code,0))),""))))</f>
        <v/>
      </c>
      <c r="L1220" s="65" t="str">
        <f>IF(COUNTA(A1220:G1220)=0,"",IF(AND(ISNUMBER(D1220),ISNUMBER(J1220)),ROUND(D1220*J1220*(1-N(F1220)),2),0))</f>
        <v/>
      </c>
      <c r="M1220" s="62" t="str">
        <f>IF(A1220="","",IFERROR(INDEX(fa_cname,MATCH(A1220,fa_num,0))&amp;"",""))</f>
        <v/>
      </c>
      <c r="N1220" s="59" t="str">
        <f>IF(COUNTA(A1220:G1220)=0,"",IF(A1220="","N° facture manquant",IF(ISNA(MATCH(A1220,fa_num,0)),"Facture inconnue",IF(AND(B1220&lt;&gt;"",ISNA(MATCH(B1220,pr_code,0))),"Article inconnu",IF(H1220="","Désignation manquante",IF(OR(NOT(ISNUMBER(D1220)),N(D1220)&lt;=0),"Quantité invalide",IF(J1220="","Prix manquant",IF(OR(NOT(ISNUMBER(J1220)),N(J1220)&lt;0),"Prix invalide",IF(OR(AND(F1220&lt;&gt;"",NOT(ISNUMBER(F1220))),N(F1220)&lt;0,N(F1220)&gt;1),"Remise invalide",IF(K1220="","Taux de TVA manquant",IF(NOT(ISNUMBER(K1220)),"Taux de TVA invalide",IF(COUNTIF(p_rates,K1220)=0,"Taux de TVA hors liste (Paramètres)",IF(N(O1220)&gt;25,"Au-delà de 25 lignes : non imprimée","OK")))))))))))))</f>
        <v/>
      </c>
      <c r="O1220" s="59" t="str">
        <f>IF(A1220="","",COUNTIF($A$6:A1220,A1220))</f>
        <v/>
      </c>
      <c r="P1220" s="62" t="str">
        <f>IF(A1220="","",A1220&amp;"|"&amp;O1220)</f>
        <v/>
      </c>
    </row>
    <row r="1221">
      <c r="A1221" s="60" t="n"/>
      <c r="B1221" s="63" t="n"/>
      <c r="C1221" s="63" t="n"/>
      <c r="D1221" s="67" t="n"/>
      <c r="E1221" s="68" t="n"/>
      <c r="F1221" s="69" t="n"/>
      <c r="G1221" s="70" t="n"/>
      <c r="H1221" s="62" t="str">
        <f>IF(COUNTA(A1221:G1221)=0,"",IF(C1221&lt;&gt;"",C1221,IF(B1221="","",IFERROR(INDEX(pr_des,MATCH(B1221,pr_code,0))&amp;"",""))))</f>
        <v/>
      </c>
      <c r="I1221" s="59" t="str">
        <f>IF(B1221="","",IFERROR(INDEX(pr_unit,MATCH(B1221,pr_code,0))&amp;"",""))</f>
        <v/>
      </c>
      <c r="J1221" s="65" t="str">
        <f>IF(COUNTA(A1221:G1221)=0,"",IF(E1221&lt;&gt;"",E1221,IF(B1221="","",IFERROR(IF(INDEX(pr_price,MATCH(B1221,pr_code,0))="","",INDEX(pr_price,MATCH(B1221,pr_code,0))),""))))</f>
        <v/>
      </c>
      <c r="K1221" s="71" t="str">
        <f>IF(COUNTA(A1221:G1221)=0,"",IF(G1221&lt;&gt;"",G1221,IF(B1221="","",IFERROR(IF(INDEX(pr_rate,MATCH(B1221,pr_code,0))="","",INDEX(pr_rate,MATCH(B1221,pr_code,0))),""))))</f>
        <v/>
      </c>
      <c r="L1221" s="65" t="str">
        <f>IF(COUNTA(A1221:G1221)=0,"",IF(AND(ISNUMBER(D1221),ISNUMBER(J1221)),ROUND(D1221*J1221*(1-N(F1221)),2),0))</f>
        <v/>
      </c>
      <c r="M1221" s="62" t="str">
        <f>IF(A1221="","",IFERROR(INDEX(fa_cname,MATCH(A1221,fa_num,0))&amp;"",""))</f>
        <v/>
      </c>
      <c r="N1221" s="59" t="str">
        <f>IF(COUNTA(A1221:G1221)=0,"",IF(A1221="","N° facture manquant",IF(ISNA(MATCH(A1221,fa_num,0)),"Facture inconnue",IF(AND(B1221&lt;&gt;"",ISNA(MATCH(B1221,pr_code,0))),"Article inconnu",IF(H1221="","Désignation manquante",IF(OR(NOT(ISNUMBER(D1221)),N(D1221)&lt;=0),"Quantité invalide",IF(J1221="","Prix manquant",IF(OR(NOT(ISNUMBER(J1221)),N(J1221)&lt;0),"Prix invalide",IF(OR(AND(F1221&lt;&gt;"",NOT(ISNUMBER(F1221))),N(F1221)&lt;0,N(F1221)&gt;1),"Remise invalide",IF(K1221="","Taux de TVA manquant",IF(NOT(ISNUMBER(K1221)),"Taux de TVA invalide",IF(COUNTIF(p_rates,K1221)=0,"Taux de TVA hors liste (Paramètres)",IF(N(O1221)&gt;25,"Au-delà de 25 lignes : non imprimée","OK")))))))))))))</f>
        <v/>
      </c>
      <c r="O1221" s="59" t="str">
        <f>IF(A1221="","",COUNTIF($A$6:A1221,A1221))</f>
        <v/>
      </c>
      <c r="P1221" s="62" t="str">
        <f>IF(A1221="","",A1221&amp;"|"&amp;O1221)</f>
        <v/>
      </c>
    </row>
    <row r="1222">
      <c r="A1222" s="60" t="n"/>
      <c r="B1222" s="63" t="n"/>
      <c r="C1222" s="63" t="n"/>
      <c r="D1222" s="67" t="n"/>
      <c r="E1222" s="68" t="n"/>
      <c r="F1222" s="69" t="n"/>
      <c r="G1222" s="70" t="n"/>
      <c r="H1222" s="62" t="str">
        <f>IF(COUNTA(A1222:G1222)=0,"",IF(C1222&lt;&gt;"",C1222,IF(B1222="","",IFERROR(INDEX(pr_des,MATCH(B1222,pr_code,0))&amp;"",""))))</f>
        <v/>
      </c>
      <c r="I1222" s="59" t="str">
        <f>IF(B1222="","",IFERROR(INDEX(pr_unit,MATCH(B1222,pr_code,0))&amp;"",""))</f>
        <v/>
      </c>
      <c r="J1222" s="65" t="str">
        <f>IF(COUNTA(A1222:G1222)=0,"",IF(E1222&lt;&gt;"",E1222,IF(B1222="","",IFERROR(IF(INDEX(pr_price,MATCH(B1222,pr_code,0))="","",INDEX(pr_price,MATCH(B1222,pr_code,0))),""))))</f>
        <v/>
      </c>
      <c r="K1222" s="71" t="str">
        <f>IF(COUNTA(A1222:G1222)=0,"",IF(G1222&lt;&gt;"",G1222,IF(B1222="","",IFERROR(IF(INDEX(pr_rate,MATCH(B1222,pr_code,0))="","",INDEX(pr_rate,MATCH(B1222,pr_code,0))),""))))</f>
        <v/>
      </c>
      <c r="L1222" s="65" t="str">
        <f>IF(COUNTA(A1222:G1222)=0,"",IF(AND(ISNUMBER(D1222),ISNUMBER(J1222)),ROUND(D1222*J1222*(1-N(F1222)),2),0))</f>
        <v/>
      </c>
      <c r="M1222" s="62" t="str">
        <f>IF(A1222="","",IFERROR(INDEX(fa_cname,MATCH(A1222,fa_num,0))&amp;"",""))</f>
        <v/>
      </c>
      <c r="N1222" s="59" t="str">
        <f>IF(COUNTA(A1222:G1222)=0,"",IF(A1222="","N° facture manquant",IF(ISNA(MATCH(A1222,fa_num,0)),"Facture inconnue",IF(AND(B1222&lt;&gt;"",ISNA(MATCH(B1222,pr_code,0))),"Article inconnu",IF(H1222="","Désignation manquante",IF(OR(NOT(ISNUMBER(D1222)),N(D1222)&lt;=0),"Quantité invalide",IF(J1222="","Prix manquant",IF(OR(NOT(ISNUMBER(J1222)),N(J1222)&lt;0),"Prix invalide",IF(OR(AND(F1222&lt;&gt;"",NOT(ISNUMBER(F1222))),N(F1222)&lt;0,N(F1222)&gt;1),"Remise invalide",IF(K1222="","Taux de TVA manquant",IF(NOT(ISNUMBER(K1222)),"Taux de TVA invalide",IF(COUNTIF(p_rates,K1222)=0,"Taux de TVA hors liste (Paramètres)",IF(N(O1222)&gt;25,"Au-delà de 25 lignes : non imprimée","OK")))))))))))))</f>
        <v/>
      </c>
      <c r="O1222" s="59" t="str">
        <f>IF(A1222="","",COUNTIF($A$6:A1222,A1222))</f>
        <v/>
      </c>
      <c r="P1222" s="62" t="str">
        <f>IF(A1222="","",A1222&amp;"|"&amp;O1222)</f>
        <v/>
      </c>
    </row>
    <row r="1223">
      <c r="A1223" s="60" t="n"/>
      <c r="B1223" s="63" t="n"/>
      <c r="C1223" s="63" t="n"/>
      <c r="D1223" s="67" t="n"/>
      <c r="E1223" s="68" t="n"/>
      <c r="F1223" s="69" t="n"/>
      <c r="G1223" s="70" t="n"/>
      <c r="H1223" s="62" t="str">
        <f>IF(COUNTA(A1223:G1223)=0,"",IF(C1223&lt;&gt;"",C1223,IF(B1223="","",IFERROR(INDEX(pr_des,MATCH(B1223,pr_code,0))&amp;"",""))))</f>
        <v/>
      </c>
      <c r="I1223" s="59" t="str">
        <f>IF(B1223="","",IFERROR(INDEX(pr_unit,MATCH(B1223,pr_code,0))&amp;"",""))</f>
        <v/>
      </c>
      <c r="J1223" s="65" t="str">
        <f>IF(COUNTA(A1223:G1223)=0,"",IF(E1223&lt;&gt;"",E1223,IF(B1223="","",IFERROR(IF(INDEX(pr_price,MATCH(B1223,pr_code,0))="","",INDEX(pr_price,MATCH(B1223,pr_code,0))),""))))</f>
        <v/>
      </c>
      <c r="K1223" s="71" t="str">
        <f>IF(COUNTA(A1223:G1223)=0,"",IF(G1223&lt;&gt;"",G1223,IF(B1223="","",IFERROR(IF(INDEX(pr_rate,MATCH(B1223,pr_code,0))="","",INDEX(pr_rate,MATCH(B1223,pr_code,0))),""))))</f>
        <v/>
      </c>
      <c r="L1223" s="65" t="str">
        <f>IF(COUNTA(A1223:G1223)=0,"",IF(AND(ISNUMBER(D1223),ISNUMBER(J1223)),ROUND(D1223*J1223*(1-N(F1223)),2),0))</f>
        <v/>
      </c>
      <c r="M1223" s="62" t="str">
        <f>IF(A1223="","",IFERROR(INDEX(fa_cname,MATCH(A1223,fa_num,0))&amp;"",""))</f>
        <v/>
      </c>
      <c r="N1223" s="59" t="str">
        <f>IF(COUNTA(A1223:G1223)=0,"",IF(A1223="","N° facture manquant",IF(ISNA(MATCH(A1223,fa_num,0)),"Facture inconnue",IF(AND(B1223&lt;&gt;"",ISNA(MATCH(B1223,pr_code,0))),"Article inconnu",IF(H1223="","Désignation manquante",IF(OR(NOT(ISNUMBER(D1223)),N(D1223)&lt;=0),"Quantité invalide",IF(J1223="","Prix manquant",IF(OR(NOT(ISNUMBER(J1223)),N(J1223)&lt;0),"Prix invalide",IF(OR(AND(F1223&lt;&gt;"",NOT(ISNUMBER(F1223))),N(F1223)&lt;0,N(F1223)&gt;1),"Remise invalide",IF(K1223="","Taux de TVA manquant",IF(NOT(ISNUMBER(K1223)),"Taux de TVA invalide",IF(COUNTIF(p_rates,K1223)=0,"Taux de TVA hors liste (Paramètres)",IF(N(O1223)&gt;25,"Au-delà de 25 lignes : non imprimée","OK")))))))))))))</f>
        <v/>
      </c>
      <c r="O1223" s="59" t="str">
        <f>IF(A1223="","",COUNTIF($A$6:A1223,A1223))</f>
        <v/>
      </c>
      <c r="P1223" s="62" t="str">
        <f>IF(A1223="","",A1223&amp;"|"&amp;O1223)</f>
        <v/>
      </c>
    </row>
    <row r="1224">
      <c r="A1224" s="60" t="n"/>
      <c r="B1224" s="63" t="n"/>
      <c r="C1224" s="63" t="n"/>
      <c r="D1224" s="67" t="n"/>
      <c r="E1224" s="68" t="n"/>
      <c r="F1224" s="69" t="n"/>
      <c r="G1224" s="70" t="n"/>
      <c r="H1224" s="62" t="str">
        <f>IF(COUNTA(A1224:G1224)=0,"",IF(C1224&lt;&gt;"",C1224,IF(B1224="","",IFERROR(INDEX(pr_des,MATCH(B1224,pr_code,0))&amp;"",""))))</f>
        <v/>
      </c>
      <c r="I1224" s="59" t="str">
        <f>IF(B1224="","",IFERROR(INDEX(pr_unit,MATCH(B1224,pr_code,0))&amp;"",""))</f>
        <v/>
      </c>
      <c r="J1224" s="65" t="str">
        <f>IF(COUNTA(A1224:G1224)=0,"",IF(E1224&lt;&gt;"",E1224,IF(B1224="","",IFERROR(IF(INDEX(pr_price,MATCH(B1224,pr_code,0))="","",INDEX(pr_price,MATCH(B1224,pr_code,0))),""))))</f>
        <v/>
      </c>
      <c r="K1224" s="71" t="str">
        <f>IF(COUNTA(A1224:G1224)=0,"",IF(G1224&lt;&gt;"",G1224,IF(B1224="","",IFERROR(IF(INDEX(pr_rate,MATCH(B1224,pr_code,0))="","",INDEX(pr_rate,MATCH(B1224,pr_code,0))),""))))</f>
        <v/>
      </c>
      <c r="L1224" s="65" t="str">
        <f>IF(COUNTA(A1224:G1224)=0,"",IF(AND(ISNUMBER(D1224),ISNUMBER(J1224)),ROUND(D1224*J1224*(1-N(F1224)),2),0))</f>
        <v/>
      </c>
      <c r="M1224" s="62" t="str">
        <f>IF(A1224="","",IFERROR(INDEX(fa_cname,MATCH(A1224,fa_num,0))&amp;"",""))</f>
        <v/>
      </c>
      <c r="N1224" s="59" t="str">
        <f>IF(COUNTA(A1224:G1224)=0,"",IF(A1224="","N° facture manquant",IF(ISNA(MATCH(A1224,fa_num,0)),"Facture inconnue",IF(AND(B1224&lt;&gt;"",ISNA(MATCH(B1224,pr_code,0))),"Article inconnu",IF(H1224="","Désignation manquante",IF(OR(NOT(ISNUMBER(D1224)),N(D1224)&lt;=0),"Quantité invalide",IF(J1224="","Prix manquant",IF(OR(NOT(ISNUMBER(J1224)),N(J1224)&lt;0),"Prix invalide",IF(OR(AND(F1224&lt;&gt;"",NOT(ISNUMBER(F1224))),N(F1224)&lt;0,N(F1224)&gt;1),"Remise invalide",IF(K1224="","Taux de TVA manquant",IF(NOT(ISNUMBER(K1224)),"Taux de TVA invalide",IF(COUNTIF(p_rates,K1224)=0,"Taux de TVA hors liste (Paramètres)",IF(N(O1224)&gt;25,"Au-delà de 25 lignes : non imprimée","OK")))))))))))))</f>
        <v/>
      </c>
      <c r="O1224" s="59" t="str">
        <f>IF(A1224="","",COUNTIF($A$6:A1224,A1224))</f>
        <v/>
      </c>
      <c r="P1224" s="62" t="str">
        <f>IF(A1224="","",A1224&amp;"|"&amp;O1224)</f>
        <v/>
      </c>
    </row>
    <row r="1225">
      <c r="A1225" s="60" t="n"/>
      <c r="B1225" s="63" t="n"/>
      <c r="C1225" s="63" t="n"/>
      <c r="D1225" s="67" t="n"/>
      <c r="E1225" s="68" t="n"/>
      <c r="F1225" s="69" t="n"/>
      <c r="G1225" s="70" t="n"/>
      <c r="H1225" s="62" t="str">
        <f>IF(COUNTA(A1225:G1225)=0,"",IF(C1225&lt;&gt;"",C1225,IF(B1225="","",IFERROR(INDEX(pr_des,MATCH(B1225,pr_code,0))&amp;"",""))))</f>
        <v/>
      </c>
      <c r="I1225" s="59" t="str">
        <f>IF(B1225="","",IFERROR(INDEX(pr_unit,MATCH(B1225,pr_code,0))&amp;"",""))</f>
        <v/>
      </c>
      <c r="J1225" s="65" t="str">
        <f>IF(COUNTA(A1225:G1225)=0,"",IF(E1225&lt;&gt;"",E1225,IF(B1225="","",IFERROR(IF(INDEX(pr_price,MATCH(B1225,pr_code,0))="","",INDEX(pr_price,MATCH(B1225,pr_code,0))),""))))</f>
        <v/>
      </c>
      <c r="K1225" s="71" t="str">
        <f>IF(COUNTA(A1225:G1225)=0,"",IF(G1225&lt;&gt;"",G1225,IF(B1225="","",IFERROR(IF(INDEX(pr_rate,MATCH(B1225,pr_code,0))="","",INDEX(pr_rate,MATCH(B1225,pr_code,0))),""))))</f>
        <v/>
      </c>
      <c r="L1225" s="65" t="str">
        <f>IF(COUNTA(A1225:G1225)=0,"",IF(AND(ISNUMBER(D1225),ISNUMBER(J1225)),ROUND(D1225*J1225*(1-N(F1225)),2),0))</f>
        <v/>
      </c>
      <c r="M1225" s="62" t="str">
        <f>IF(A1225="","",IFERROR(INDEX(fa_cname,MATCH(A1225,fa_num,0))&amp;"",""))</f>
        <v/>
      </c>
      <c r="N1225" s="59" t="str">
        <f>IF(COUNTA(A1225:G1225)=0,"",IF(A1225="","N° facture manquant",IF(ISNA(MATCH(A1225,fa_num,0)),"Facture inconnue",IF(AND(B1225&lt;&gt;"",ISNA(MATCH(B1225,pr_code,0))),"Article inconnu",IF(H1225="","Désignation manquante",IF(OR(NOT(ISNUMBER(D1225)),N(D1225)&lt;=0),"Quantité invalide",IF(J1225="","Prix manquant",IF(OR(NOT(ISNUMBER(J1225)),N(J1225)&lt;0),"Prix invalide",IF(OR(AND(F1225&lt;&gt;"",NOT(ISNUMBER(F1225))),N(F1225)&lt;0,N(F1225)&gt;1),"Remise invalide",IF(K1225="","Taux de TVA manquant",IF(NOT(ISNUMBER(K1225)),"Taux de TVA invalide",IF(COUNTIF(p_rates,K1225)=0,"Taux de TVA hors liste (Paramètres)",IF(N(O1225)&gt;25,"Au-delà de 25 lignes : non imprimée","OK")))))))))))))</f>
        <v/>
      </c>
      <c r="O1225" s="59" t="str">
        <f>IF(A1225="","",COUNTIF($A$6:A1225,A1225))</f>
        <v/>
      </c>
      <c r="P1225" s="62" t="str">
        <f>IF(A1225="","",A1225&amp;"|"&amp;O1225)</f>
        <v/>
      </c>
    </row>
    <row r="1226">
      <c r="A1226" s="60" t="n"/>
      <c r="B1226" s="63" t="n"/>
      <c r="C1226" s="63" t="n"/>
      <c r="D1226" s="67" t="n"/>
      <c r="E1226" s="68" t="n"/>
      <c r="F1226" s="69" t="n"/>
      <c r="G1226" s="70" t="n"/>
      <c r="H1226" s="62" t="str">
        <f>IF(COUNTA(A1226:G1226)=0,"",IF(C1226&lt;&gt;"",C1226,IF(B1226="","",IFERROR(INDEX(pr_des,MATCH(B1226,pr_code,0))&amp;"",""))))</f>
        <v/>
      </c>
      <c r="I1226" s="59" t="str">
        <f>IF(B1226="","",IFERROR(INDEX(pr_unit,MATCH(B1226,pr_code,0))&amp;"",""))</f>
        <v/>
      </c>
      <c r="J1226" s="65" t="str">
        <f>IF(COUNTA(A1226:G1226)=0,"",IF(E1226&lt;&gt;"",E1226,IF(B1226="","",IFERROR(IF(INDEX(pr_price,MATCH(B1226,pr_code,0))="","",INDEX(pr_price,MATCH(B1226,pr_code,0))),""))))</f>
        <v/>
      </c>
      <c r="K1226" s="71" t="str">
        <f>IF(COUNTA(A1226:G1226)=0,"",IF(G1226&lt;&gt;"",G1226,IF(B1226="","",IFERROR(IF(INDEX(pr_rate,MATCH(B1226,pr_code,0))="","",INDEX(pr_rate,MATCH(B1226,pr_code,0))),""))))</f>
        <v/>
      </c>
      <c r="L1226" s="65" t="str">
        <f>IF(COUNTA(A1226:G1226)=0,"",IF(AND(ISNUMBER(D1226),ISNUMBER(J1226)),ROUND(D1226*J1226*(1-N(F1226)),2),0))</f>
        <v/>
      </c>
      <c r="M1226" s="62" t="str">
        <f>IF(A1226="","",IFERROR(INDEX(fa_cname,MATCH(A1226,fa_num,0))&amp;"",""))</f>
        <v/>
      </c>
      <c r="N1226" s="59" t="str">
        <f>IF(COUNTA(A1226:G1226)=0,"",IF(A1226="","N° facture manquant",IF(ISNA(MATCH(A1226,fa_num,0)),"Facture inconnue",IF(AND(B1226&lt;&gt;"",ISNA(MATCH(B1226,pr_code,0))),"Article inconnu",IF(H1226="","Désignation manquante",IF(OR(NOT(ISNUMBER(D1226)),N(D1226)&lt;=0),"Quantité invalide",IF(J1226="","Prix manquant",IF(OR(NOT(ISNUMBER(J1226)),N(J1226)&lt;0),"Prix invalide",IF(OR(AND(F1226&lt;&gt;"",NOT(ISNUMBER(F1226))),N(F1226)&lt;0,N(F1226)&gt;1),"Remise invalide",IF(K1226="","Taux de TVA manquant",IF(NOT(ISNUMBER(K1226)),"Taux de TVA invalide",IF(COUNTIF(p_rates,K1226)=0,"Taux de TVA hors liste (Paramètres)",IF(N(O1226)&gt;25,"Au-delà de 25 lignes : non imprimée","OK")))))))))))))</f>
        <v/>
      </c>
      <c r="O1226" s="59" t="str">
        <f>IF(A1226="","",COUNTIF($A$6:A1226,A1226))</f>
        <v/>
      </c>
      <c r="P1226" s="62" t="str">
        <f>IF(A1226="","",A1226&amp;"|"&amp;O1226)</f>
        <v/>
      </c>
    </row>
    <row r="1227">
      <c r="A1227" s="60" t="n"/>
      <c r="B1227" s="63" t="n"/>
      <c r="C1227" s="63" t="n"/>
      <c r="D1227" s="67" t="n"/>
      <c r="E1227" s="68" t="n"/>
      <c r="F1227" s="69" t="n"/>
      <c r="G1227" s="70" t="n"/>
      <c r="H1227" s="62" t="str">
        <f>IF(COUNTA(A1227:G1227)=0,"",IF(C1227&lt;&gt;"",C1227,IF(B1227="","",IFERROR(INDEX(pr_des,MATCH(B1227,pr_code,0))&amp;"",""))))</f>
        <v/>
      </c>
      <c r="I1227" s="59" t="str">
        <f>IF(B1227="","",IFERROR(INDEX(pr_unit,MATCH(B1227,pr_code,0))&amp;"",""))</f>
        <v/>
      </c>
      <c r="J1227" s="65" t="str">
        <f>IF(COUNTA(A1227:G1227)=0,"",IF(E1227&lt;&gt;"",E1227,IF(B1227="","",IFERROR(IF(INDEX(pr_price,MATCH(B1227,pr_code,0))="","",INDEX(pr_price,MATCH(B1227,pr_code,0))),""))))</f>
        <v/>
      </c>
      <c r="K1227" s="71" t="str">
        <f>IF(COUNTA(A1227:G1227)=0,"",IF(G1227&lt;&gt;"",G1227,IF(B1227="","",IFERROR(IF(INDEX(pr_rate,MATCH(B1227,pr_code,0))="","",INDEX(pr_rate,MATCH(B1227,pr_code,0))),""))))</f>
        <v/>
      </c>
      <c r="L1227" s="65" t="str">
        <f>IF(COUNTA(A1227:G1227)=0,"",IF(AND(ISNUMBER(D1227),ISNUMBER(J1227)),ROUND(D1227*J1227*(1-N(F1227)),2),0))</f>
        <v/>
      </c>
      <c r="M1227" s="62" t="str">
        <f>IF(A1227="","",IFERROR(INDEX(fa_cname,MATCH(A1227,fa_num,0))&amp;"",""))</f>
        <v/>
      </c>
      <c r="N1227" s="59" t="str">
        <f>IF(COUNTA(A1227:G1227)=0,"",IF(A1227="","N° facture manquant",IF(ISNA(MATCH(A1227,fa_num,0)),"Facture inconnue",IF(AND(B1227&lt;&gt;"",ISNA(MATCH(B1227,pr_code,0))),"Article inconnu",IF(H1227="","Désignation manquante",IF(OR(NOT(ISNUMBER(D1227)),N(D1227)&lt;=0),"Quantité invalide",IF(J1227="","Prix manquant",IF(OR(NOT(ISNUMBER(J1227)),N(J1227)&lt;0),"Prix invalide",IF(OR(AND(F1227&lt;&gt;"",NOT(ISNUMBER(F1227))),N(F1227)&lt;0,N(F1227)&gt;1),"Remise invalide",IF(K1227="","Taux de TVA manquant",IF(NOT(ISNUMBER(K1227)),"Taux de TVA invalide",IF(COUNTIF(p_rates,K1227)=0,"Taux de TVA hors liste (Paramètres)",IF(N(O1227)&gt;25,"Au-delà de 25 lignes : non imprimée","OK")))))))))))))</f>
        <v/>
      </c>
      <c r="O1227" s="59" t="str">
        <f>IF(A1227="","",COUNTIF($A$6:A1227,A1227))</f>
        <v/>
      </c>
      <c r="P1227" s="62" t="str">
        <f>IF(A1227="","",A1227&amp;"|"&amp;O1227)</f>
        <v/>
      </c>
    </row>
    <row r="1228">
      <c r="A1228" s="60" t="n"/>
      <c r="B1228" s="63" t="n"/>
      <c r="C1228" s="63" t="n"/>
      <c r="D1228" s="67" t="n"/>
      <c r="E1228" s="68" t="n"/>
      <c r="F1228" s="69" t="n"/>
      <c r="G1228" s="70" t="n"/>
      <c r="H1228" s="62" t="str">
        <f>IF(COUNTA(A1228:G1228)=0,"",IF(C1228&lt;&gt;"",C1228,IF(B1228="","",IFERROR(INDEX(pr_des,MATCH(B1228,pr_code,0))&amp;"",""))))</f>
        <v/>
      </c>
      <c r="I1228" s="59" t="str">
        <f>IF(B1228="","",IFERROR(INDEX(pr_unit,MATCH(B1228,pr_code,0))&amp;"",""))</f>
        <v/>
      </c>
      <c r="J1228" s="65" t="str">
        <f>IF(COUNTA(A1228:G1228)=0,"",IF(E1228&lt;&gt;"",E1228,IF(B1228="","",IFERROR(IF(INDEX(pr_price,MATCH(B1228,pr_code,0))="","",INDEX(pr_price,MATCH(B1228,pr_code,0))),""))))</f>
        <v/>
      </c>
      <c r="K1228" s="71" t="str">
        <f>IF(COUNTA(A1228:G1228)=0,"",IF(G1228&lt;&gt;"",G1228,IF(B1228="","",IFERROR(IF(INDEX(pr_rate,MATCH(B1228,pr_code,0))="","",INDEX(pr_rate,MATCH(B1228,pr_code,0))),""))))</f>
        <v/>
      </c>
      <c r="L1228" s="65" t="str">
        <f>IF(COUNTA(A1228:G1228)=0,"",IF(AND(ISNUMBER(D1228),ISNUMBER(J1228)),ROUND(D1228*J1228*(1-N(F1228)),2),0))</f>
        <v/>
      </c>
      <c r="M1228" s="62" t="str">
        <f>IF(A1228="","",IFERROR(INDEX(fa_cname,MATCH(A1228,fa_num,0))&amp;"",""))</f>
        <v/>
      </c>
      <c r="N1228" s="59" t="str">
        <f>IF(COUNTA(A1228:G1228)=0,"",IF(A1228="","N° facture manquant",IF(ISNA(MATCH(A1228,fa_num,0)),"Facture inconnue",IF(AND(B1228&lt;&gt;"",ISNA(MATCH(B1228,pr_code,0))),"Article inconnu",IF(H1228="","Désignation manquante",IF(OR(NOT(ISNUMBER(D1228)),N(D1228)&lt;=0),"Quantité invalide",IF(J1228="","Prix manquant",IF(OR(NOT(ISNUMBER(J1228)),N(J1228)&lt;0),"Prix invalide",IF(OR(AND(F1228&lt;&gt;"",NOT(ISNUMBER(F1228))),N(F1228)&lt;0,N(F1228)&gt;1),"Remise invalide",IF(K1228="","Taux de TVA manquant",IF(NOT(ISNUMBER(K1228)),"Taux de TVA invalide",IF(COUNTIF(p_rates,K1228)=0,"Taux de TVA hors liste (Paramètres)",IF(N(O1228)&gt;25,"Au-delà de 25 lignes : non imprimée","OK")))))))))))))</f>
        <v/>
      </c>
      <c r="O1228" s="59" t="str">
        <f>IF(A1228="","",COUNTIF($A$6:A1228,A1228))</f>
        <v/>
      </c>
      <c r="P1228" s="62" t="str">
        <f>IF(A1228="","",A1228&amp;"|"&amp;O1228)</f>
        <v/>
      </c>
    </row>
    <row r="1229">
      <c r="A1229" s="60" t="n"/>
      <c r="B1229" s="63" t="n"/>
      <c r="C1229" s="63" t="n"/>
      <c r="D1229" s="67" t="n"/>
      <c r="E1229" s="68" t="n"/>
      <c r="F1229" s="69" t="n"/>
      <c r="G1229" s="70" t="n"/>
      <c r="H1229" s="62" t="str">
        <f>IF(COUNTA(A1229:G1229)=0,"",IF(C1229&lt;&gt;"",C1229,IF(B1229="","",IFERROR(INDEX(pr_des,MATCH(B1229,pr_code,0))&amp;"",""))))</f>
        <v/>
      </c>
      <c r="I1229" s="59" t="str">
        <f>IF(B1229="","",IFERROR(INDEX(pr_unit,MATCH(B1229,pr_code,0))&amp;"",""))</f>
        <v/>
      </c>
      <c r="J1229" s="65" t="str">
        <f>IF(COUNTA(A1229:G1229)=0,"",IF(E1229&lt;&gt;"",E1229,IF(B1229="","",IFERROR(IF(INDEX(pr_price,MATCH(B1229,pr_code,0))="","",INDEX(pr_price,MATCH(B1229,pr_code,0))),""))))</f>
        <v/>
      </c>
      <c r="K1229" s="71" t="str">
        <f>IF(COUNTA(A1229:G1229)=0,"",IF(G1229&lt;&gt;"",G1229,IF(B1229="","",IFERROR(IF(INDEX(pr_rate,MATCH(B1229,pr_code,0))="","",INDEX(pr_rate,MATCH(B1229,pr_code,0))),""))))</f>
        <v/>
      </c>
      <c r="L1229" s="65" t="str">
        <f>IF(COUNTA(A1229:G1229)=0,"",IF(AND(ISNUMBER(D1229),ISNUMBER(J1229)),ROUND(D1229*J1229*(1-N(F1229)),2),0))</f>
        <v/>
      </c>
      <c r="M1229" s="62" t="str">
        <f>IF(A1229="","",IFERROR(INDEX(fa_cname,MATCH(A1229,fa_num,0))&amp;"",""))</f>
        <v/>
      </c>
      <c r="N1229" s="59" t="str">
        <f>IF(COUNTA(A1229:G1229)=0,"",IF(A1229="","N° facture manquant",IF(ISNA(MATCH(A1229,fa_num,0)),"Facture inconnue",IF(AND(B1229&lt;&gt;"",ISNA(MATCH(B1229,pr_code,0))),"Article inconnu",IF(H1229="","Désignation manquante",IF(OR(NOT(ISNUMBER(D1229)),N(D1229)&lt;=0),"Quantité invalide",IF(J1229="","Prix manquant",IF(OR(NOT(ISNUMBER(J1229)),N(J1229)&lt;0),"Prix invalide",IF(OR(AND(F1229&lt;&gt;"",NOT(ISNUMBER(F1229))),N(F1229)&lt;0,N(F1229)&gt;1),"Remise invalide",IF(K1229="","Taux de TVA manquant",IF(NOT(ISNUMBER(K1229)),"Taux de TVA invalide",IF(COUNTIF(p_rates,K1229)=0,"Taux de TVA hors liste (Paramètres)",IF(N(O1229)&gt;25,"Au-delà de 25 lignes : non imprimée","OK")))))))))))))</f>
        <v/>
      </c>
      <c r="O1229" s="59" t="str">
        <f>IF(A1229="","",COUNTIF($A$6:A1229,A1229))</f>
        <v/>
      </c>
      <c r="P1229" s="62" t="str">
        <f>IF(A1229="","",A1229&amp;"|"&amp;O1229)</f>
        <v/>
      </c>
    </row>
    <row r="1230">
      <c r="A1230" s="60" t="n"/>
      <c r="B1230" s="63" t="n"/>
      <c r="C1230" s="63" t="n"/>
      <c r="D1230" s="67" t="n"/>
      <c r="E1230" s="68" t="n"/>
      <c r="F1230" s="69" t="n"/>
      <c r="G1230" s="70" t="n"/>
      <c r="H1230" s="62" t="str">
        <f>IF(COUNTA(A1230:G1230)=0,"",IF(C1230&lt;&gt;"",C1230,IF(B1230="","",IFERROR(INDEX(pr_des,MATCH(B1230,pr_code,0))&amp;"",""))))</f>
        <v/>
      </c>
      <c r="I1230" s="59" t="str">
        <f>IF(B1230="","",IFERROR(INDEX(pr_unit,MATCH(B1230,pr_code,0))&amp;"",""))</f>
        <v/>
      </c>
      <c r="J1230" s="65" t="str">
        <f>IF(COUNTA(A1230:G1230)=0,"",IF(E1230&lt;&gt;"",E1230,IF(B1230="","",IFERROR(IF(INDEX(pr_price,MATCH(B1230,pr_code,0))="","",INDEX(pr_price,MATCH(B1230,pr_code,0))),""))))</f>
        <v/>
      </c>
      <c r="K1230" s="71" t="str">
        <f>IF(COUNTA(A1230:G1230)=0,"",IF(G1230&lt;&gt;"",G1230,IF(B1230="","",IFERROR(IF(INDEX(pr_rate,MATCH(B1230,pr_code,0))="","",INDEX(pr_rate,MATCH(B1230,pr_code,0))),""))))</f>
        <v/>
      </c>
      <c r="L1230" s="65" t="str">
        <f>IF(COUNTA(A1230:G1230)=0,"",IF(AND(ISNUMBER(D1230),ISNUMBER(J1230)),ROUND(D1230*J1230*(1-N(F1230)),2),0))</f>
        <v/>
      </c>
      <c r="M1230" s="62" t="str">
        <f>IF(A1230="","",IFERROR(INDEX(fa_cname,MATCH(A1230,fa_num,0))&amp;"",""))</f>
        <v/>
      </c>
      <c r="N1230" s="59" t="str">
        <f>IF(COUNTA(A1230:G1230)=0,"",IF(A1230="","N° facture manquant",IF(ISNA(MATCH(A1230,fa_num,0)),"Facture inconnue",IF(AND(B1230&lt;&gt;"",ISNA(MATCH(B1230,pr_code,0))),"Article inconnu",IF(H1230="","Désignation manquante",IF(OR(NOT(ISNUMBER(D1230)),N(D1230)&lt;=0),"Quantité invalide",IF(J1230="","Prix manquant",IF(OR(NOT(ISNUMBER(J1230)),N(J1230)&lt;0),"Prix invalide",IF(OR(AND(F1230&lt;&gt;"",NOT(ISNUMBER(F1230))),N(F1230)&lt;0,N(F1230)&gt;1),"Remise invalide",IF(K1230="","Taux de TVA manquant",IF(NOT(ISNUMBER(K1230)),"Taux de TVA invalide",IF(COUNTIF(p_rates,K1230)=0,"Taux de TVA hors liste (Paramètres)",IF(N(O1230)&gt;25,"Au-delà de 25 lignes : non imprimée","OK")))))))))))))</f>
        <v/>
      </c>
      <c r="O1230" s="59" t="str">
        <f>IF(A1230="","",COUNTIF($A$6:A1230,A1230))</f>
        <v/>
      </c>
      <c r="P1230" s="62" t="str">
        <f>IF(A1230="","",A1230&amp;"|"&amp;O1230)</f>
        <v/>
      </c>
    </row>
    <row r="1231">
      <c r="A1231" s="60" t="n"/>
      <c r="B1231" s="63" t="n"/>
      <c r="C1231" s="63" t="n"/>
      <c r="D1231" s="67" t="n"/>
      <c r="E1231" s="68" t="n"/>
      <c r="F1231" s="69" t="n"/>
      <c r="G1231" s="70" t="n"/>
      <c r="H1231" s="62" t="str">
        <f>IF(COUNTA(A1231:G1231)=0,"",IF(C1231&lt;&gt;"",C1231,IF(B1231="","",IFERROR(INDEX(pr_des,MATCH(B1231,pr_code,0))&amp;"",""))))</f>
        <v/>
      </c>
      <c r="I1231" s="59" t="str">
        <f>IF(B1231="","",IFERROR(INDEX(pr_unit,MATCH(B1231,pr_code,0))&amp;"",""))</f>
        <v/>
      </c>
      <c r="J1231" s="65" t="str">
        <f>IF(COUNTA(A1231:G1231)=0,"",IF(E1231&lt;&gt;"",E1231,IF(B1231="","",IFERROR(IF(INDEX(pr_price,MATCH(B1231,pr_code,0))="","",INDEX(pr_price,MATCH(B1231,pr_code,0))),""))))</f>
        <v/>
      </c>
      <c r="K1231" s="71" t="str">
        <f>IF(COUNTA(A1231:G1231)=0,"",IF(G1231&lt;&gt;"",G1231,IF(B1231="","",IFERROR(IF(INDEX(pr_rate,MATCH(B1231,pr_code,0))="","",INDEX(pr_rate,MATCH(B1231,pr_code,0))),""))))</f>
        <v/>
      </c>
      <c r="L1231" s="65" t="str">
        <f>IF(COUNTA(A1231:G1231)=0,"",IF(AND(ISNUMBER(D1231),ISNUMBER(J1231)),ROUND(D1231*J1231*(1-N(F1231)),2),0))</f>
        <v/>
      </c>
      <c r="M1231" s="62" t="str">
        <f>IF(A1231="","",IFERROR(INDEX(fa_cname,MATCH(A1231,fa_num,0))&amp;"",""))</f>
        <v/>
      </c>
      <c r="N1231" s="59" t="str">
        <f>IF(COUNTA(A1231:G1231)=0,"",IF(A1231="","N° facture manquant",IF(ISNA(MATCH(A1231,fa_num,0)),"Facture inconnue",IF(AND(B1231&lt;&gt;"",ISNA(MATCH(B1231,pr_code,0))),"Article inconnu",IF(H1231="","Désignation manquante",IF(OR(NOT(ISNUMBER(D1231)),N(D1231)&lt;=0),"Quantité invalide",IF(J1231="","Prix manquant",IF(OR(NOT(ISNUMBER(J1231)),N(J1231)&lt;0),"Prix invalide",IF(OR(AND(F1231&lt;&gt;"",NOT(ISNUMBER(F1231))),N(F1231)&lt;0,N(F1231)&gt;1),"Remise invalide",IF(K1231="","Taux de TVA manquant",IF(NOT(ISNUMBER(K1231)),"Taux de TVA invalide",IF(COUNTIF(p_rates,K1231)=0,"Taux de TVA hors liste (Paramètres)",IF(N(O1231)&gt;25,"Au-delà de 25 lignes : non imprimée","OK")))))))))))))</f>
        <v/>
      </c>
      <c r="O1231" s="59" t="str">
        <f>IF(A1231="","",COUNTIF($A$6:A1231,A1231))</f>
        <v/>
      </c>
      <c r="P1231" s="62" t="str">
        <f>IF(A1231="","",A1231&amp;"|"&amp;O1231)</f>
        <v/>
      </c>
    </row>
    <row r="1232">
      <c r="A1232" s="60" t="n"/>
      <c r="B1232" s="63" t="n"/>
      <c r="C1232" s="63" t="n"/>
      <c r="D1232" s="67" t="n"/>
      <c r="E1232" s="68" t="n"/>
      <c r="F1232" s="69" t="n"/>
      <c r="G1232" s="70" t="n"/>
      <c r="H1232" s="62" t="str">
        <f>IF(COUNTA(A1232:G1232)=0,"",IF(C1232&lt;&gt;"",C1232,IF(B1232="","",IFERROR(INDEX(pr_des,MATCH(B1232,pr_code,0))&amp;"",""))))</f>
        <v/>
      </c>
      <c r="I1232" s="59" t="str">
        <f>IF(B1232="","",IFERROR(INDEX(pr_unit,MATCH(B1232,pr_code,0))&amp;"",""))</f>
        <v/>
      </c>
      <c r="J1232" s="65" t="str">
        <f>IF(COUNTA(A1232:G1232)=0,"",IF(E1232&lt;&gt;"",E1232,IF(B1232="","",IFERROR(IF(INDEX(pr_price,MATCH(B1232,pr_code,0))="","",INDEX(pr_price,MATCH(B1232,pr_code,0))),""))))</f>
        <v/>
      </c>
      <c r="K1232" s="71" t="str">
        <f>IF(COUNTA(A1232:G1232)=0,"",IF(G1232&lt;&gt;"",G1232,IF(B1232="","",IFERROR(IF(INDEX(pr_rate,MATCH(B1232,pr_code,0))="","",INDEX(pr_rate,MATCH(B1232,pr_code,0))),""))))</f>
        <v/>
      </c>
      <c r="L1232" s="65" t="str">
        <f>IF(COUNTA(A1232:G1232)=0,"",IF(AND(ISNUMBER(D1232),ISNUMBER(J1232)),ROUND(D1232*J1232*(1-N(F1232)),2),0))</f>
        <v/>
      </c>
      <c r="M1232" s="62" t="str">
        <f>IF(A1232="","",IFERROR(INDEX(fa_cname,MATCH(A1232,fa_num,0))&amp;"",""))</f>
        <v/>
      </c>
      <c r="N1232" s="59" t="str">
        <f>IF(COUNTA(A1232:G1232)=0,"",IF(A1232="","N° facture manquant",IF(ISNA(MATCH(A1232,fa_num,0)),"Facture inconnue",IF(AND(B1232&lt;&gt;"",ISNA(MATCH(B1232,pr_code,0))),"Article inconnu",IF(H1232="","Désignation manquante",IF(OR(NOT(ISNUMBER(D1232)),N(D1232)&lt;=0),"Quantité invalide",IF(J1232="","Prix manquant",IF(OR(NOT(ISNUMBER(J1232)),N(J1232)&lt;0),"Prix invalide",IF(OR(AND(F1232&lt;&gt;"",NOT(ISNUMBER(F1232))),N(F1232)&lt;0,N(F1232)&gt;1),"Remise invalide",IF(K1232="","Taux de TVA manquant",IF(NOT(ISNUMBER(K1232)),"Taux de TVA invalide",IF(COUNTIF(p_rates,K1232)=0,"Taux de TVA hors liste (Paramètres)",IF(N(O1232)&gt;25,"Au-delà de 25 lignes : non imprimée","OK")))))))))))))</f>
        <v/>
      </c>
      <c r="O1232" s="59" t="str">
        <f>IF(A1232="","",COUNTIF($A$6:A1232,A1232))</f>
        <v/>
      </c>
      <c r="P1232" s="62" t="str">
        <f>IF(A1232="","",A1232&amp;"|"&amp;O1232)</f>
        <v/>
      </c>
    </row>
    <row r="1233">
      <c r="A1233" s="60" t="n"/>
      <c r="B1233" s="63" t="n"/>
      <c r="C1233" s="63" t="n"/>
      <c r="D1233" s="67" t="n"/>
      <c r="E1233" s="68" t="n"/>
      <c r="F1233" s="69" t="n"/>
      <c r="G1233" s="70" t="n"/>
      <c r="H1233" s="62" t="str">
        <f>IF(COUNTA(A1233:G1233)=0,"",IF(C1233&lt;&gt;"",C1233,IF(B1233="","",IFERROR(INDEX(pr_des,MATCH(B1233,pr_code,0))&amp;"",""))))</f>
        <v/>
      </c>
      <c r="I1233" s="59" t="str">
        <f>IF(B1233="","",IFERROR(INDEX(pr_unit,MATCH(B1233,pr_code,0))&amp;"",""))</f>
        <v/>
      </c>
      <c r="J1233" s="65" t="str">
        <f>IF(COUNTA(A1233:G1233)=0,"",IF(E1233&lt;&gt;"",E1233,IF(B1233="","",IFERROR(IF(INDEX(pr_price,MATCH(B1233,pr_code,0))="","",INDEX(pr_price,MATCH(B1233,pr_code,0))),""))))</f>
        <v/>
      </c>
      <c r="K1233" s="71" t="str">
        <f>IF(COUNTA(A1233:G1233)=0,"",IF(G1233&lt;&gt;"",G1233,IF(B1233="","",IFERROR(IF(INDEX(pr_rate,MATCH(B1233,pr_code,0))="","",INDEX(pr_rate,MATCH(B1233,pr_code,0))),""))))</f>
        <v/>
      </c>
      <c r="L1233" s="65" t="str">
        <f>IF(COUNTA(A1233:G1233)=0,"",IF(AND(ISNUMBER(D1233),ISNUMBER(J1233)),ROUND(D1233*J1233*(1-N(F1233)),2),0))</f>
        <v/>
      </c>
      <c r="M1233" s="62" t="str">
        <f>IF(A1233="","",IFERROR(INDEX(fa_cname,MATCH(A1233,fa_num,0))&amp;"",""))</f>
        <v/>
      </c>
      <c r="N1233" s="59" t="str">
        <f>IF(COUNTA(A1233:G1233)=0,"",IF(A1233="","N° facture manquant",IF(ISNA(MATCH(A1233,fa_num,0)),"Facture inconnue",IF(AND(B1233&lt;&gt;"",ISNA(MATCH(B1233,pr_code,0))),"Article inconnu",IF(H1233="","Désignation manquante",IF(OR(NOT(ISNUMBER(D1233)),N(D1233)&lt;=0),"Quantité invalide",IF(J1233="","Prix manquant",IF(OR(NOT(ISNUMBER(J1233)),N(J1233)&lt;0),"Prix invalide",IF(OR(AND(F1233&lt;&gt;"",NOT(ISNUMBER(F1233))),N(F1233)&lt;0,N(F1233)&gt;1),"Remise invalide",IF(K1233="","Taux de TVA manquant",IF(NOT(ISNUMBER(K1233)),"Taux de TVA invalide",IF(COUNTIF(p_rates,K1233)=0,"Taux de TVA hors liste (Paramètres)",IF(N(O1233)&gt;25,"Au-delà de 25 lignes : non imprimée","OK")))))))))))))</f>
        <v/>
      </c>
      <c r="O1233" s="59" t="str">
        <f>IF(A1233="","",COUNTIF($A$6:A1233,A1233))</f>
        <v/>
      </c>
      <c r="P1233" s="62" t="str">
        <f>IF(A1233="","",A1233&amp;"|"&amp;O1233)</f>
        <v/>
      </c>
    </row>
    <row r="1234">
      <c r="A1234" s="60" t="n"/>
      <c r="B1234" s="63" t="n"/>
      <c r="C1234" s="63" t="n"/>
      <c r="D1234" s="67" t="n"/>
      <c r="E1234" s="68" t="n"/>
      <c r="F1234" s="69" t="n"/>
      <c r="G1234" s="70" t="n"/>
      <c r="H1234" s="62" t="str">
        <f>IF(COUNTA(A1234:G1234)=0,"",IF(C1234&lt;&gt;"",C1234,IF(B1234="","",IFERROR(INDEX(pr_des,MATCH(B1234,pr_code,0))&amp;"",""))))</f>
        <v/>
      </c>
      <c r="I1234" s="59" t="str">
        <f>IF(B1234="","",IFERROR(INDEX(pr_unit,MATCH(B1234,pr_code,0))&amp;"",""))</f>
        <v/>
      </c>
      <c r="J1234" s="65" t="str">
        <f>IF(COUNTA(A1234:G1234)=0,"",IF(E1234&lt;&gt;"",E1234,IF(B1234="","",IFERROR(IF(INDEX(pr_price,MATCH(B1234,pr_code,0))="","",INDEX(pr_price,MATCH(B1234,pr_code,0))),""))))</f>
        <v/>
      </c>
      <c r="K1234" s="71" t="str">
        <f>IF(COUNTA(A1234:G1234)=0,"",IF(G1234&lt;&gt;"",G1234,IF(B1234="","",IFERROR(IF(INDEX(pr_rate,MATCH(B1234,pr_code,0))="","",INDEX(pr_rate,MATCH(B1234,pr_code,0))),""))))</f>
        <v/>
      </c>
      <c r="L1234" s="65" t="str">
        <f>IF(COUNTA(A1234:G1234)=0,"",IF(AND(ISNUMBER(D1234),ISNUMBER(J1234)),ROUND(D1234*J1234*(1-N(F1234)),2),0))</f>
        <v/>
      </c>
      <c r="M1234" s="62" t="str">
        <f>IF(A1234="","",IFERROR(INDEX(fa_cname,MATCH(A1234,fa_num,0))&amp;"",""))</f>
        <v/>
      </c>
      <c r="N1234" s="59" t="str">
        <f>IF(COUNTA(A1234:G1234)=0,"",IF(A1234="","N° facture manquant",IF(ISNA(MATCH(A1234,fa_num,0)),"Facture inconnue",IF(AND(B1234&lt;&gt;"",ISNA(MATCH(B1234,pr_code,0))),"Article inconnu",IF(H1234="","Désignation manquante",IF(OR(NOT(ISNUMBER(D1234)),N(D1234)&lt;=0),"Quantité invalide",IF(J1234="","Prix manquant",IF(OR(NOT(ISNUMBER(J1234)),N(J1234)&lt;0),"Prix invalide",IF(OR(AND(F1234&lt;&gt;"",NOT(ISNUMBER(F1234))),N(F1234)&lt;0,N(F1234)&gt;1),"Remise invalide",IF(K1234="","Taux de TVA manquant",IF(NOT(ISNUMBER(K1234)),"Taux de TVA invalide",IF(COUNTIF(p_rates,K1234)=0,"Taux de TVA hors liste (Paramètres)",IF(N(O1234)&gt;25,"Au-delà de 25 lignes : non imprimée","OK")))))))))))))</f>
        <v/>
      </c>
      <c r="O1234" s="59" t="str">
        <f>IF(A1234="","",COUNTIF($A$6:A1234,A1234))</f>
        <v/>
      </c>
      <c r="P1234" s="62" t="str">
        <f>IF(A1234="","",A1234&amp;"|"&amp;O1234)</f>
        <v/>
      </c>
    </row>
    <row r="1235">
      <c r="A1235" s="60" t="n"/>
      <c r="B1235" s="63" t="n"/>
      <c r="C1235" s="63" t="n"/>
      <c r="D1235" s="67" t="n"/>
      <c r="E1235" s="68" t="n"/>
      <c r="F1235" s="69" t="n"/>
      <c r="G1235" s="70" t="n"/>
      <c r="H1235" s="62" t="str">
        <f>IF(COUNTA(A1235:G1235)=0,"",IF(C1235&lt;&gt;"",C1235,IF(B1235="","",IFERROR(INDEX(pr_des,MATCH(B1235,pr_code,0))&amp;"",""))))</f>
        <v/>
      </c>
      <c r="I1235" s="59" t="str">
        <f>IF(B1235="","",IFERROR(INDEX(pr_unit,MATCH(B1235,pr_code,0))&amp;"",""))</f>
        <v/>
      </c>
      <c r="J1235" s="65" t="str">
        <f>IF(COUNTA(A1235:G1235)=0,"",IF(E1235&lt;&gt;"",E1235,IF(B1235="","",IFERROR(IF(INDEX(pr_price,MATCH(B1235,pr_code,0))="","",INDEX(pr_price,MATCH(B1235,pr_code,0))),""))))</f>
        <v/>
      </c>
      <c r="K1235" s="71" t="str">
        <f>IF(COUNTA(A1235:G1235)=0,"",IF(G1235&lt;&gt;"",G1235,IF(B1235="","",IFERROR(IF(INDEX(pr_rate,MATCH(B1235,pr_code,0))="","",INDEX(pr_rate,MATCH(B1235,pr_code,0))),""))))</f>
        <v/>
      </c>
      <c r="L1235" s="65" t="str">
        <f>IF(COUNTA(A1235:G1235)=0,"",IF(AND(ISNUMBER(D1235),ISNUMBER(J1235)),ROUND(D1235*J1235*(1-N(F1235)),2),0))</f>
        <v/>
      </c>
      <c r="M1235" s="62" t="str">
        <f>IF(A1235="","",IFERROR(INDEX(fa_cname,MATCH(A1235,fa_num,0))&amp;"",""))</f>
        <v/>
      </c>
      <c r="N1235" s="59" t="str">
        <f>IF(COUNTA(A1235:G1235)=0,"",IF(A1235="","N° facture manquant",IF(ISNA(MATCH(A1235,fa_num,0)),"Facture inconnue",IF(AND(B1235&lt;&gt;"",ISNA(MATCH(B1235,pr_code,0))),"Article inconnu",IF(H1235="","Désignation manquante",IF(OR(NOT(ISNUMBER(D1235)),N(D1235)&lt;=0),"Quantité invalide",IF(J1235="","Prix manquant",IF(OR(NOT(ISNUMBER(J1235)),N(J1235)&lt;0),"Prix invalide",IF(OR(AND(F1235&lt;&gt;"",NOT(ISNUMBER(F1235))),N(F1235)&lt;0,N(F1235)&gt;1),"Remise invalide",IF(K1235="","Taux de TVA manquant",IF(NOT(ISNUMBER(K1235)),"Taux de TVA invalide",IF(COUNTIF(p_rates,K1235)=0,"Taux de TVA hors liste (Paramètres)",IF(N(O1235)&gt;25,"Au-delà de 25 lignes : non imprimée","OK")))))))))))))</f>
        <v/>
      </c>
      <c r="O1235" s="59" t="str">
        <f>IF(A1235="","",COUNTIF($A$6:A1235,A1235))</f>
        <v/>
      </c>
      <c r="P1235" s="62" t="str">
        <f>IF(A1235="","",A1235&amp;"|"&amp;O1235)</f>
        <v/>
      </c>
    </row>
    <row r="1236">
      <c r="A1236" s="60" t="n"/>
      <c r="B1236" s="63" t="n"/>
      <c r="C1236" s="63" t="n"/>
      <c r="D1236" s="67" t="n"/>
      <c r="E1236" s="68" t="n"/>
      <c r="F1236" s="69" t="n"/>
      <c r="G1236" s="70" t="n"/>
      <c r="H1236" s="62" t="str">
        <f>IF(COUNTA(A1236:G1236)=0,"",IF(C1236&lt;&gt;"",C1236,IF(B1236="","",IFERROR(INDEX(pr_des,MATCH(B1236,pr_code,0))&amp;"",""))))</f>
        <v/>
      </c>
      <c r="I1236" s="59" t="str">
        <f>IF(B1236="","",IFERROR(INDEX(pr_unit,MATCH(B1236,pr_code,0))&amp;"",""))</f>
        <v/>
      </c>
      <c r="J1236" s="65" t="str">
        <f>IF(COUNTA(A1236:G1236)=0,"",IF(E1236&lt;&gt;"",E1236,IF(B1236="","",IFERROR(IF(INDEX(pr_price,MATCH(B1236,pr_code,0))="","",INDEX(pr_price,MATCH(B1236,pr_code,0))),""))))</f>
        <v/>
      </c>
      <c r="K1236" s="71" t="str">
        <f>IF(COUNTA(A1236:G1236)=0,"",IF(G1236&lt;&gt;"",G1236,IF(B1236="","",IFERROR(IF(INDEX(pr_rate,MATCH(B1236,pr_code,0))="","",INDEX(pr_rate,MATCH(B1236,pr_code,0))),""))))</f>
        <v/>
      </c>
      <c r="L1236" s="65" t="str">
        <f>IF(COUNTA(A1236:G1236)=0,"",IF(AND(ISNUMBER(D1236),ISNUMBER(J1236)),ROUND(D1236*J1236*(1-N(F1236)),2),0))</f>
        <v/>
      </c>
      <c r="M1236" s="62" t="str">
        <f>IF(A1236="","",IFERROR(INDEX(fa_cname,MATCH(A1236,fa_num,0))&amp;"",""))</f>
        <v/>
      </c>
      <c r="N1236" s="59" t="str">
        <f>IF(COUNTA(A1236:G1236)=0,"",IF(A1236="","N° facture manquant",IF(ISNA(MATCH(A1236,fa_num,0)),"Facture inconnue",IF(AND(B1236&lt;&gt;"",ISNA(MATCH(B1236,pr_code,0))),"Article inconnu",IF(H1236="","Désignation manquante",IF(OR(NOT(ISNUMBER(D1236)),N(D1236)&lt;=0),"Quantité invalide",IF(J1236="","Prix manquant",IF(OR(NOT(ISNUMBER(J1236)),N(J1236)&lt;0),"Prix invalide",IF(OR(AND(F1236&lt;&gt;"",NOT(ISNUMBER(F1236))),N(F1236)&lt;0,N(F1236)&gt;1),"Remise invalide",IF(K1236="","Taux de TVA manquant",IF(NOT(ISNUMBER(K1236)),"Taux de TVA invalide",IF(COUNTIF(p_rates,K1236)=0,"Taux de TVA hors liste (Paramètres)",IF(N(O1236)&gt;25,"Au-delà de 25 lignes : non imprimée","OK")))))))))))))</f>
        <v/>
      </c>
      <c r="O1236" s="59" t="str">
        <f>IF(A1236="","",COUNTIF($A$6:A1236,A1236))</f>
        <v/>
      </c>
      <c r="P1236" s="62" t="str">
        <f>IF(A1236="","",A1236&amp;"|"&amp;O1236)</f>
        <v/>
      </c>
    </row>
    <row r="1237">
      <c r="A1237" s="60" t="n"/>
      <c r="B1237" s="63" t="n"/>
      <c r="C1237" s="63" t="n"/>
      <c r="D1237" s="67" t="n"/>
      <c r="E1237" s="68" t="n"/>
      <c r="F1237" s="69" t="n"/>
      <c r="G1237" s="70" t="n"/>
      <c r="H1237" s="62" t="str">
        <f>IF(COUNTA(A1237:G1237)=0,"",IF(C1237&lt;&gt;"",C1237,IF(B1237="","",IFERROR(INDEX(pr_des,MATCH(B1237,pr_code,0))&amp;"",""))))</f>
        <v/>
      </c>
      <c r="I1237" s="59" t="str">
        <f>IF(B1237="","",IFERROR(INDEX(pr_unit,MATCH(B1237,pr_code,0))&amp;"",""))</f>
        <v/>
      </c>
      <c r="J1237" s="65" t="str">
        <f>IF(COUNTA(A1237:G1237)=0,"",IF(E1237&lt;&gt;"",E1237,IF(B1237="","",IFERROR(IF(INDEX(pr_price,MATCH(B1237,pr_code,0))="","",INDEX(pr_price,MATCH(B1237,pr_code,0))),""))))</f>
        <v/>
      </c>
      <c r="K1237" s="71" t="str">
        <f>IF(COUNTA(A1237:G1237)=0,"",IF(G1237&lt;&gt;"",G1237,IF(B1237="","",IFERROR(IF(INDEX(pr_rate,MATCH(B1237,pr_code,0))="","",INDEX(pr_rate,MATCH(B1237,pr_code,0))),""))))</f>
        <v/>
      </c>
      <c r="L1237" s="65" t="str">
        <f>IF(COUNTA(A1237:G1237)=0,"",IF(AND(ISNUMBER(D1237),ISNUMBER(J1237)),ROUND(D1237*J1237*(1-N(F1237)),2),0))</f>
        <v/>
      </c>
      <c r="M1237" s="62" t="str">
        <f>IF(A1237="","",IFERROR(INDEX(fa_cname,MATCH(A1237,fa_num,0))&amp;"",""))</f>
        <v/>
      </c>
      <c r="N1237" s="59" t="str">
        <f>IF(COUNTA(A1237:G1237)=0,"",IF(A1237="","N° facture manquant",IF(ISNA(MATCH(A1237,fa_num,0)),"Facture inconnue",IF(AND(B1237&lt;&gt;"",ISNA(MATCH(B1237,pr_code,0))),"Article inconnu",IF(H1237="","Désignation manquante",IF(OR(NOT(ISNUMBER(D1237)),N(D1237)&lt;=0),"Quantité invalide",IF(J1237="","Prix manquant",IF(OR(NOT(ISNUMBER(J1237)),N(J1237)&lt;0),"Prix invalide",IF(OR(AND(F1237&lt;&gt;"",NOT(ISNUMBER(F1237))),N(F1237)&lt;0,N(F1237)&gt;1),"Remise invalide",IF(K1237="","Taux de TVA manquant",IF(NOT(ISNUMBER(K1237)),"Taux de TVA invalide",IF(COUNTIF(p_rates,K1237)=0,"Taux de TVA hors liste (Paramètres)",IF(N(O1237)&gt;25,"Au-delà de 25 lignes : non imprimée","OK")))))))))))))</f>
        <v/>
      </c>
      <c r="O1237" s="59" t="str">
        <f>IF(A1237="","",COUNTIF($A$6:A1237,A1237))</f>
        <v/>
      </c>
      <c r="P1237" s="62" t="str">
        <f>IF(A1237="","",A1237&amp;"|"&amp;O1237)</f>
        <v/>
      </c>
    </row>
    <row r="1238">
      <c r="A1238" s="60" t="n"/>
      <c r="B1238" s="63" t="n"/>
      <c r="C1238" s="63" t="n"/>
      <c r="D1238" s="67" t="n"/>
      <c r="E1238" s="68" t="n"/>
      <c r="F1238" s="69" t="n"/>
      <c r="G1238" s="70" t="n"/>
      <c r="H1238" s="62" t="str">
        <f>IF(COUNTA(A1238:G1238)=0,"",IF(C1238&lt;&gt;"",C1238,IF(B1238="","",IFERROR(INDEX(pr_des,MATCH(B1238,pr_code,0))&amp;"",""))))</f>
        <v/>
      </c>
      <c r="I1238" s="59" t="str">
        <f>IF(B1238="","",IFERROR(INDEX(pr_unit,MATCH(B1238,pr_code,0))&amp;"",""))</f>
        <v/>
      </c>
      <c r="J1238" s="65" t="str">
        <f>IF(COUNTA(A1238:G1238)=0,"",IF(E1238&lt;&gt;"",E1238,IF(B1238="","",IFERROR(IF(INDEX(pr_price,MATCH(B1238,pr_code,0))="","",INDEX(pr_price,MATCH(B1238,pr_code,0))),""))))</f>
        <v/>
      </c>
      <c r="K1238" s="71" t="str">
        <f>IF(COUNTA(A1238:G1238)=0,"",IF(G1238&lt;&gt;"",G1238,IF(B1238="","",IFERROR(IF(INDEX(pr_rate,MATCH(B1238,pr_code,0))="","",INDEX(pr_rate,MATCH(B1238,pr_code,0))),""))))</f>
        <v/>
      </c>
      <c r="L1238" s="65" t="str">
        <f>IF(COUNTA(A1238:G1238)=0,"",IF(AND(ISNUMBER(D1238),ISNUMBER(J1238)),ROUND(D1238*J1238*(1-N(F1238)),2),0))</f>
        <v/>
      </c>
      <c r="M1238" s="62" t="str">
        <f>IF(A1238="","",IFERROR(INDEX(fa_cname,MATCH(A1238,fa_num,0))&amp;"",""))</f>
        <v/>
      </c>
      <c r="N1238" s="59" t="str">
        <f>IF(COUNTA(A1238:G1238)=0,"",IF(A1238="","N° facture manquant",IF(ISNA(MATCH(A1238,fa_num,0)),"Facture inconnue",IF(AND(B1238&lt;&gt;"",ISNA(MATCH(B1238,pr_code,0))),"Article inconnu",IF(H1238="","Désignation manquante",IF(OR(NOT(ISNUMBER(D1238)),N(D1238)&lt;=0),"Quantité invalide",IF(J1238="","Prix manquant",IF(OR(NOT(ISNUMBER(J1238)),N(J1238)&lt;0),"Prix invalide",IF(OR(AND(F1238&lt;&gt;"",NOT(ISNUMBER(F1238))),N(F1238)&lt;0,N(F1238)&gt;1),"Remise invalide",IF(K1238="","Taux de TVA manquant",IF(NOT(ISNUMBER(K1238)),"Taux de TVA invalide",IF(COUNTIF(p_rates,K1238)=0,"Taux de TVA hors liste (Paramètres)",IF(N(O1238)&gt;25,"Au-delà de 25 lignes : non imprimée","OK")))))))))))))</f>
        <v/>
      </c>
      <c r="O1238" s="59" t="str">
        <f>IF(A1238="","",COUNTIF($A$6:A1238,A1238))</f>
        <v/>
      </c>
      <c r="P1238" s="62" t="str">
        <f>IF(A1238="","",A1238&amp;"|"&amp;O1238)</f>
        <v/>
      </c>
    </row>
    <row r="1239">
      <c r="A1239" s="60" t="n"/>
      <c r="B1239" s="63" t="n"/>
      <c r="C1239" s="63" t="n"/>
      <c r="D1239" s="67" t="n"/>
      <c r="E1239" s="68" t="n"/>
      <c r="F1239" s="69" t="n"/>
      <c r="G1239" s="70" t="n"/>
      <c r="H1239" s="62" t="str">
        <f>IF(COUNTA(A1239:G1239)=0,"",IF(C1239&lt;&gt;"",C1239,IF(B1239="","",IFERROR(INDEX(pr_des,MATCH(B1239,pr_code,0))&amp;"",""))))</f>
        <v/>
      </c>
      <c r="I1239" s="59" t="str">
        <f>IF(B1239="","",IFERROR(INDEX(pr_unit,MATCH(B1239,pr_code,0))&amp;"",""))</f>
        <v/>
      </c>
      <c r="J1239" s="65" t="str">
        <f>IF(COUNTA(A1239:G1239)=0,"",IF(E1239&lt;&gt;"",E1239,IF(B1239="","",IFERROR(IF(INDEX(pr_price,MATCH(B1239,pr_code,0))="","",INDEX(pr_price,MATCH(B1239,pr_code,0))),""))))</f>
        <v/>
      </c>
      <c r="K1239" s="71" t="str">
        <f>IF(COUNTA(A1239:G1239)=0,"",IF(G1239&lt;&gt;"",G1239,IF(B1239="","",IFERROR(IF(INDEX(pr_rate,MATCH(B1239,pr_code,0))="","",INDEX(pr_rate,MATCH(B1239,pr_code,0))),""))))</f>
        <v/>
      </c>
      <c r="L1239" s="65" t="str">
        <f>IF(COUNTA(A1239:G1239)=0,"",IF(AND(ISNUMBER(D1239),ISNUMBER(J1239)),ROUND(D1239*J1239*(1-N(F1239)),2),0))</f>
        <v/>
      </c>
      <c r="M1239" s="62" t="str">
        <f>IF(A1239="","",IFERROR(INDEX(fa_cname,MATCH(A1239,fa_num,0))&amp;"",""))</f>
        <v/>
      </c>
      <c r="N1239" s="59" t="str">
        <f>IF(COUNTA(A1239:G1239)=0,"",IF(A1239="","N° facture manquant",IF(ISNA(MATCH(A1239,fa_num,0)),"Facture inconnue",IF(AND(B1239&lt;&gt;"",ISNA(MATCH(B1239,pr_code,0))),"Article inconnu",IF(H1239="","Désignation manquante",IF(OR(NOT(ISNUMBER(D1239)),N(D1239)&lt;=0),"Quantité invalide",IF(J1239="","Prix manquant",IF(OR(NOT(ISNUMBER(J1239)),N(J1239)&lt;0),"Prix invalide",IF(OR(AND(F1239&lt;&gt;"",NOT(ISNUMBER(F1239))),N(F1239)&lt;0,N(F1239)&gt;1),"Remise invalide",IF(K1239="","Taux de TVA manquant",IF(NOT(ISNUMBER(K1239)),"Taux de TVA invalide",IF(COUNTIF(p_rates,K1239)=0,"Taux de TVA hors liste (Paramètres)",IF(N(O1239)&gt;25,"Au-delà de 25 lignes : non imprimée","OK")))))))))))))</f>
        <v/>
      </c>
      <c r="O1239" s="59" t="str">
        <f>IF(A1239="","",COUNTIF($A$6:A1239,A1239))</f>
        <v/>
      </c>
      <c r="P1239" s="62" t="str">
        <f>IF(A1239="","",A1239&amp;"|"&amp;O1239)</f>
        <v/>
      </c>
    </row>
    <row r="1240">
      <c r="A1240" s="60" t="n"/>
      <c r="B1240" s="63" t="n"/>
      <c r="C1240" s="63" t="n"/>
      <c r="D1240" s="67" t="n"/>
      <c r="E1240" s="68" t="n"/>
      <c r="F1240" s="69" t="n"/>
      <c r="G1240" s="70" t="n"/>
      <c r="H1240" s="62" t="str">
        <f>IF(COUNTA(A1240:G1240)=0,"",IF(C1240&lt;&gt;"",C1240,IF(B1240="","",IFERROR(INDEX(pr_des,MATCH(B1240,pr_code,0))&amp;"",""))))</f>
        <v/>
      </c>
      <c r="I1240" s="59" t="str">
        <f>IF(B1240="","",IFERROR(INDEX(pr_unit,MATCH(B1240,pr_code,0))&amp;"",""))</f>
        <v/>
      </c>
      <c r="J1240" s="65" t="str">
        <f>IF(COUNTA(A1240:G1240)=0,"",IF(E1240&lt;&gt;"",E1240,IF(B1240="","",IFERROR(IF(INDEX(pr_price,MATCH(B1240,pr_code,0))="","",INDEX(pr_price,MATCH(B1240,pr_code,0))),""))))</f>
        <v/>
      </c>
      <c r="K1240" s="71" t="str">
        <f>IF(COUNTA(A1240:G1240)=0,"",IF(G1240&lt;&gt;"",G1240,IF(B1240="","",IFERROR(IF(INDEX(pr_rate,MATCH(B1240,pr_code,0))="","",INDEX(pr_rate,MATCH(B1240,pr_code,0))),""))))</f>
        <v/>
      </c>
      <c r="L1240" s="65" t="str">
        <f>IF(COUNTA(A1240:G1240)=0,"",IF(AND(ISNUMBER(D1240),ISNUMBER(J1240)),ROUND(D1240*J1240*(1-N(F1240)),2),0))</f>
        <v/>
      </c>
      <c r="M1240" s="62" t="str">
        <f>IF(A1240="","",IFERROR(INDEX(fa_cname,MATCH(A1240,fa_num,0))&amp;"",""))</f>
        <v/>
      </c>
      <c r="N1240" s="59" t="str">
        <f>IF(COUNTA(A1240:G1240)=0,"",IF(A1240="","N° facture manquant",IF(ISNA(MATCH(A1240,fa_num,0)),"Facture inconnue",IF(AND(B1240&lt;&gt;"",ISNA(MATCH(B1240,pr_code,0))),"Article inconnu",IF(H1240="","Désignation manquante",IF(OR(NOT(ISNUMBER(D1240)),N(D1240)&lt;=0),"Quantité invalide",IF(J1240="","Prix manquant",IF(OR(NOT(ISNUMBER(J1240)),N(J1240)&lt;0),"Prix invalide",IF(OR(AND(F1240&lt;&gt;"",NOT(ISNUMBER(F1240))),N(F1240)&lt;0,N(F1240)&gt;1),"Remise invalide",IF(K1240="","Taux de TVA manquant",IF(NOT(ISNUMBER(K1240)),"Taux de TVA invalide",IF(COUNTIF(p_rates,K1240)=0,"Taux de TVA hors liste (Paramètres)",IF(N(O1240)&gt;25,"Au-delà de 25 lignes : non imprimée","OK")))))))))))))</f>
        <v/>
      </c>
      <c r="O1240" s="59" t="str">
        <f>IF(A1240="","",COUNTIF($A$6:A1240,A1240))</f>
        <v/>
      </c>
      <c r="P1240" s="62" t="str">
        <f>IF(A1240="","",A1240&amp;"|"&amp;O1240)</f>
        <v/>
      </c>
    </row>
    <row r="1241">
      <c r="A1241" s="60" t="n"/>
      <c r="B1241" s="63" t="n"/>
      <c r="C1241" s="63" t="n"/>
      <c r="D1241" s="67" t="n"/>
      <c r="E1241" s="68" t="n"/>
      <c r="F1241" s="69" t="n"/>
      <c r="G1241" s="70" t="n"/>
      <c r="H1241" s="62" t="str">
        <f>IF(COUNTA(A1241:G1241)=0,"",IF(C1241&lt;&gt;"",C1241,IF(B1241="","",IFERROR(INDEX(pr_des,MATCH(B1241,pr_code,0))&amp;"",""))))</f>
        <v/>
      </c>
      <c r="I1241" s="59" t="str">
        <f>IF(B1241="","",IFERROR(INDEX(pr_unit,MATCH(B1241,pr_code,0))&amp;"",""))</f>
        <v/>
      </c>
      <c r="J1241" s="65" t="str">
        <f>IF(COUNTA(A1241:G1241)=0,"",IF(E1241&lt;&gt;"",E1241,IF(B1241="","",IFERROR(IF(INDEX(pr_price,MATCH(B1241,pr_code,0))="","",INDEX(pr_price,MATCH(B1241,pr_code,0))),""))))</f>
        <v/>
      </c>
      <c r="K1241" s="71" t="str">
        <f>IF(COUNTA(A1241:G1241)=0,"",IF(G1241&lt;&gt;"",G1241,IF(B1241="","",IFERROR(IF(INDEX(pr_rate,MATCH(B1241,pr_code,0))="","",INDEX(pr_rate,MATCH(B1241,pr_code,0))),""))))</f>
        <v/>
      </c>
      <c r="L1241" s="65" t="str">
        <f>IF(COUNTA(A1241:G1241)=0,"",IF(AND(ISNUMBER(D1241),ISNUMBER(J1241)),ROUND(D1241*J1241*(1-N(F1241)),2),0))</f>
        <v/>
      </c>
      <c r="M1241" s="62" t="str">
        <f>IF(A1241="","",IFERROR(INDEX(fa_cname,MATCH(A1241,fa_num,0))&amp;"",""))</f>
        <v/>
      </c>
      <c r="N1241" s="59" t="str">
        <f>IF(COUNTA(A1241:G1241)=0,"",IF(A1241="","N° facture manquant",IF(ISNA(MATCH(A1241,fa_num,0)),"Facture inconnue",IF(AND(B1241&lt;&gt;"",ISNA(MATCH(B1241,pr_code,0))),"Article inconnu",IF(H1241="","Désignation manquante",IF(OR(NOT(ISNUMBER(D1241)),N(D1241)&lt;=0),"Quantité invalide",IF(J1241="","Prix manquant",IF(OR(NOT(ISNUMBER(J1241)),N(J1241)&lt;0),"Prix invalide",IF(OR(AND(F1241&lt;&gt;"",NOT(ISNUMBER(F1241))),N(F1241)&lt;0,N(F1241)&gt;1),"Remise invalide",IF(K1241="","Taux de TVA manquant",IF(NOT(ISNUMBER(K1241)),"Taux de TVA invalide",IF(COUNTIF(p_rates,K1241)=0,"Taux de TVA hors liste (Paramètres)",IF(N(O1241)&gt;25,"Au-delà de 25 lignes : non imprimée","OK")))))))))))))</f>
        <v/>
      </c>
      <c r="O1241" s="59" t="str">
        <f>IF(A1241="","",COUNTIF($A$6:A1241,A1241))</f>
        <v/>
      </c>
      <c r="P1241" s="62" t="str">
        <f>IF(A1241="","",A1241&amp;"|"&amp;O1241)</f>
        <v/>
      </c>
    </row>
    <row r="1242">
      <c r="A1242" s="60" t="n"/>
      <c r="B1242" s="63" t="n"/>
      <c r="C1242" s="63" t="n"/>
      <c r="D1242" s="67" t="n"/>
      <c r="E1242" s="68" t="n"/>
      <c r="F1242" s="69" t="n"/>
      <c r="G1242" s="70" t="n"/>
      <c r="H1242" s="62" t="str">
        <f>IF(COUNTA(A1242:G1242)=0,"",IF(C1242&lt;&gt;"",C1242,IF(B1242="","",IFERROR(INDEX(pr_des,MATCH(B1242,pr_code,0))&amp;"",""))))</f>
        <v/>
      </c>
      <c r="I1242" s="59" t="str">
        <f>IF(B1242="","",IFERROR(INDEX(pr_unit,MATCH(B1242,pr_code,0))&amp;"",""))</f>
        <v/>
      </c>
      <c r="J1242" s="65" t="str">
        <f>IF(COUNTA(A1242:G1242)=0,"",IF(E1242&lt;&gt;"",E1242,IF(B1242="","",IFERROR(IF(INDEX(pr_price,MATCH(B1242,pr_code,0))="","",INDEX(pr_price,MATCH(B1242,pr_code,0))),""))))</f>
        <v/>
      </c>
      <c r="K1242" s="71" t="str">
        <f>IF(COUNTA(A1242:G1242)=0,"",IF(G1242&lt;&gt;"",G1242,IF(B1242="","",IFERROR(IF(INDEX(pr_rate,MATCH(B1242,pr_code,0))="","",INDEX(pr_rate,MATCH(B1242,pr_code,0))),""))))</f>
        <v/>
      </c>
      <c r="L1242" s="65" t="str">
        <f>IF(COUNTA(A1242:G1242)=0,"",IF(AND(ISNUMBER(D1242),ISNUMBER(J1242)),ROUND(D1242*J1242*(1-N(F1242)),2),0))</f>
        <v/>
      </c>
      <c r="M1242" s="62" t="str">
        <f>IF(A1242="","",IFERROR(INDEX(fa_cname,MATCH(A1242,fa_num,0))&amp;"",""))</f>
        <v/>
      </c>
      <c r="N1242" s="59" t="str">
        <f>IF(COUNTA(A1242:G1242)=0,"",IF(A1242="","N° facture manquant",IF(ISNA(MATCH(A1242,fa_num,0)),"Facture inconnue",IF(AND(B1242&lt;&gt;"",ISNA(MATCH(B1242,pr_code,0))),"Article inconnu",IF(H1242="","Désignation manquante",IF(OR(NOT(ISNUMBER(D1242)),N(D1242)&lt;=0),"Quantité invalide",IF(J1242="","Prix manquant",IF(OR(NOT(ISNUMBER(J1242)),N(J1242)&lt;0),"Prix invalide",IF(OR(AND(F1242&lt;&gt;"",NOT(ISNUMBER(F1242))),N(F1242)&lt;0,N(F1242)&gt;1),"Remise invalide",IF(K1242="","Taux de TVA manquant",IF(NOT(ISNUMBER(K1242)),"Taux de TVA invalide",IF(COUNTIF(p_rates,K1242)=0,"Taux de TVA hors liste (Paramètres)",IF(N(O1242)&gt;25,"Au-delà de 25 lignes : non imprimée","OK")))))))))))))</f>
        <v/>
      </c>
      <c r="O1242" s="59" t="str">
        <f>IF(A1242="","",COUNTIF($A$6:A1242,A1242))</f>
        <v/>
      </c>
      <c r="P1242" s="62" t="str">
        <f>IF(A1242="","",A1242&amp;"|"&amp;O1242)</f>
        <v/>
      </c>
    </row>
    <row r="1243">
      <c r="A1243" s="60" t="n"/>
      <c r="B1243" s="63" t="n"/>
      <c r="C1243" s="63" t="n"/>
      <c r="D1243" s="67" t="n"/>
      <c r="E1243" s="68" t="n"/>
      <c r="F1243" s="69" t="n"/>
      <c r="G1243" s="70" t="n"/>
      <c r="H1243" s="62" t="str">
        <f>IF(COUNTA(A1243:G1243)=0,"",IF(C1243&lt;&gt;"",C1243,IF(B1243="","",IFERROR(INDEX(pr_des,MATCH(B1243,pr_code,0))&amp;"",""))))</f>
        <v/>
      </c>
      <c r="I1243" s="59" t="str">
        <f>IF(B1243="","",IFERROR(INDEX(pr_unit,MATCH(B1243,pr_code,0))&amp;"",""))</f>
        <v/>
      </c>
      <c r="J1243" s="65" t="str">
        <f>IF(COUNTA(A1243:G1243)=0,"",IF(E1243&lt;&gt;"",E1243,IF(B1243="","",IFERROR(IF(INDEX(pr_price,MATCH(B1243,pr_code,0))="","",INDEX(pr_price,MATCH(B1243,pr_code,0))),""))))</f>
        <v/>
      </c>
      <c r="K1243" s="71" t="str">
        <f>IF(COUNTA(A1243:G1243)=0,"",IF(G1243&lt;&gt;"",G1243,IF(B1243="","",IFERROR(IF(INDEX(pr_rate,MATCH(B1243,pr_code,0))="","",INDEX(pr_rate,MATCH(B1243,pr_code,0))),""))))</f>
        <v/>
      </c>
      <c r="L1243" s="65" t="str">
        <f>IF(COUNTA(A1243:G1243)=0,"",IF(AND(ISNUMBER(D1243),ISNUMBER(J1243)),ROUND(D1243*J1243*(1-N(F1243)),2),0))</f>
        <v/>
      </c>
      <c r="M1243" s="62" t="str">
        <f>IF(A1243="","",IFERROR(INDEX(fa_cname,MATCH(A1243,fa_num,0))&amp;"",""))</f>
        <v/>
      </c>
      <c r="N1243" s="59" t="str">
        <f>IF(COUNTA(A1243:G1243)=0,"",IF(A1243="","N° facture manquant",IF(ISNA(MATCH(A1243,fa_num,0)),"Facture inconnue",IF(AND(B1243&lt;&gt;"",ISNA(MATCH(B1243,pr_code,0))),"Article inconnu",IF(H1243="","Désignation manquante",IF(OR(NOT(ISNUMBER(D1243)),N(D1243)&lt;=0),"Quantité invalide",IF(J1243="","Prix manquant",IF(OR(NOT(ISNUMBER(J1243)),N(J1243)&lt;0),"Prix invalide",IF(OR(AND(F1243&lt;&gt;"",NOT(ISNUMBER(F1243))),N(F1243)&lt;0,N(F1243)&gt;1),"Remise invalide",IF(K1243="","Taux de TVA manquant",IF(NOT(ISNUMBER(K1243)),"Taux de TVA invalide",IF(COUNTIF(p_rates,K1243)=0,"Taux de TVA hors liste (Paramètres)",IF(N(O1243)&gt;25,"Au-delà de 25 lignes : non imprimée","OK")))))))))))))</f>
        <v/>
      </c>
      <c r="O1243" s="59" t="str">
        <f>IF(A1243="","",COUNTIF($A$6:A1243,A1243))</f>
        <v/>
      </c>
      <c r="P1243" s="62" t="str">
        <f>IF(A1243="","",A1243&amp;"|"&amp;O1243)</f>
        <v/>
      </c>
    </row>
    <row r="1244">
      <c r="A1244" s="60" t="n"/>
      <c r="B1244" s="63" t="n"/>
      <c r="C1244" s="63" t="n"/>
      <c r="D1244" s="67" t="n"/>
      <c r="E1244" s="68" t="n"/>
      <c r="F1244" s="69" t="n"/>
      <c r="G1244" s="70" t="n"/>
      <c r="H1244" s="62" t="str">
        <f>IF(COUNTA(A1244:G1244)=0,"",IF(C1244&lt;&gt;"",C1244,IF(B1244="","",IFERROR(INDEX(pr_des,MATCH(B1244,pr_code,0))&amp;"",""))))</f>
        <v/>
      </c>
      <c r="I1244" s="59" t="str">
        <f>IF(B1244="","",IFERROR(INDEX(pr_unit,MATCH(B1244,pr_code,0))&amp;"",""))</f>
        <v/>
      </c>
      <c r="J1244" s="65" t="str">
        <f>IF(COUNTA(A1244:G1244)=0,"",IF(E1244&lt;&gt;"",E1244,IF(B1244="","",IFERROR(IF(INDEX(pr_price,MATCH(B1244,pr_code,0))="","",INDEX(pr_price,MATCH(B1244,pr_code,0))),""))))</f>
        <v/>
      </c>
      <c r="K1244" s="71" t="str">
        <f>IF(COUNTA(A1244:G1244)=0,"",IF(G1244&lt;&gt;"",G1244,IF(B1244="","",IFERROR(IF(INDEX(pr_rate,MATCH(B1244,pr_code,0))="","",INDEX(pr_rate,MATCH(B1244,pr_code,0))),""))))</f>
        <v/>
      </c>
      <c r="L1244" s="65" t="str">
        <f>IF(COUNTA(A1244:G1244)=0,"",IF(AND(ISNUMBER(D1244),ISNUMBER(J1244)),ROUND(D1244*J1244*(1-N(F1244)),2),0))</f>
        <v/>
      </c>
      <c r="M1244" s="62" t="str">
        <f>IF(A1244="","",IFERROR(INDEX(fa_cname,MATCH(A1244,fa_num,0))&amp;"",""))</f>
        <v/>
      </c>
      <c r="N1244" s="59" t="str">
        <f>IF(COUNTA(A1244:G1244)=0,"",IF(A1244="","N° facture manquant",IF(ISNA(MATCH(A1244,fa_num,0)),"Facture inconnue",IF(AND(B1244&lt;&gt;"",ISNA(MATCH(B1244,pr_code,0))),"Article inconnu",IF(H1244="","Désignation manquante",IF(OR(NOT(ISNUMBER(D1244)),N(D1244)&lt;=0),"Quantité invalide",IF(J1244="","Prix manquant",IF(OR(NOT(ISNUMBER(J1244)),N(J1244)&lt;0),"Prix invalide",IF(OR(AND(F1244&lt;&gt;"",NOT(ISNUMBER(F1244))),N(F1244)&lt;0,N(F1244)&gt;1),"Remise invalide",IF(K1244="","Taux de TVA manquant",IF(NOT(ISNUMBER(K1244)),"Taux de TVA invalide",IF(COUNTIF(p_rates,K1244)=0,"Taux de TVA hors liste (Paramètres)",IF(N(O1244)&gt;25,"Au-delà de 25 lignes : non imprimée","OK")))))))))))))</f>
        <v/>
      </c>
      <c r="O1244" s="59" t="str">
        <f>IF(A1244="","",COUNTIF($A$6:A1244,A1244))</f>
        <v/>
      </c>
      <c r="P1244" s="62" t="str">
        <f>IF(A1244="","",A1244&amp;"|"&amp;O1244)</f>
        <v/>
      </c>
    </row>
    <row r="1245">
      <c r="A1245" s="60" t="n"/>
      <c r="B1245" s="63" t="n"/>
      <c r="C1245" s="63" t="n"/>
      <c r="D1245" s="67" t="n"/>
      <c r="E1245" s="68" t="n"/>
      <c r="F1245" s="69" t="n"/>
      <c r="G1245" s="70" t="n"/>
      <c r="H1245" s="62" t="str">
        <f>IF(COUNTA(A1245:G1245)=0,"",IF(C1245&lt;&gt;"",C1245,IF(B1245="","",IFERROR(INDEX(pr_des,MATCH(B1245,pr_code,0))&amp;"",""))))</f>
        <v/>
      </c>
      <c r="I1245" s="59" t="str">
        <f>IF(B1245="","",IFERROR(INDEX(pr_unit,MATCH(B1245,pr_code,0))&amp;"",""))</f>
        <v/>
      </c>
      <c r="J1245" s="65" t="str">
        <f>IF(COUNTA(A1245:G1245)=0,"",IF(E1245&lt;&gt;"",E1245,IF(B1245="","",IFERROR(IF(INDEX(pr_price,MATCH(B1245,pr_code,0))="","",INDEX(pr_price,MATCH(B1245,pr_code,0))),""))))</f>
        <v/>
      </c>
      <c r="K1245" s="71" t="str">
        <f>IF(COUNTA(A1245:G1245)=0,"",IF(G1245&lt;&gt;"",G1245,IF(B1245="","",IFERROR(IF(INDEX(pr_rate,MATCH(B1245,pr_code,0))="","",INDEX(pr_rate,MATCH(B1245,pr_code,0))),""))))</f>
        <v/>
      </c>
      <c r="L1245" s="65" t="str">
        <f>IF(COUNTA(A1245:G1245)=0,"",IF(AND(ISNUMBER(D1245),ISNUMBER(J1245)),ROUND(D1245*J1245*(1-N(F1245)),2),0))</f>
        <v/>
      </c>
      <c r="M1245" s="62" t="str">
        <f>IF(A1245="","",IFERROR(INDEX(fa_cname,MATCH(A1245,fa_num,0))&amp;"",""))</f>
        <v/>
      </c>
      <c r="N1245" s="59" t="str">
        <f>IF(COUNTA(A1245:G1245)=0,"",IF(A1245="","N° facture manquant",IF(ISNA(MATCH(A1245,fa_num,0)),"Facture inconnue",IF(AND(B1245&lt;&gt;"",ISNA(MATCH(B1245,pr_code,0))),"Article inconnu",IF(H1245="","Désignation manquante",IF(OR(NOT(ISNUMBER(D1245)),N(D1245)&lt;=0),"Quantité invalide",IF(J1245="","Prix manquant",IF(OR(NOT(ISNUMBER(J1245)),N(J1245)&lt;0),"Prix invalide",IF(OR(AND(F1245&lt;&gt;"",NOT(ISNUMBER(F1245))),N(F1245)&lt;0,N(F1245)&gt;1),"Remise invalide",IF(K1245="","Taux de TVA manquant",IF(NOT(ISNUMBER(K1245)),"Taux de TVA invalide",IF(COUNTIF(p_rates,K1245)=0,"Taux de TVA hors liste (Paramètres)",IF(N(O1245)&gt;25,"Au-delà de 25 lignes : non imprimée","OK")))))))))))))</f>
        <v/>
      </c>
      <c r="O1245" s="59" t="str">
        <f>IF(A1245="","",COUNTIF($A$6:A1245,A1245))</f>
        <v/>
      </c>
      <c r="P1245" s="62" t="str">
        <f>IF(A1245="","",A1245&amp;"|"&amp;O1245)</f>
        <v/>
      </c>
    </row>
    <row r="1246">
      <c r="A1246" s="60" t="n"/>
      <c r="B1246" s="63" t="n"/>
      <c r="C1246" s="63" t="n"/>
      <c r="D1246" s="67" t="n"/>
      <c r="E1246" s="68" t="n"/>
      <c r="F1246" s="69" t="n"/>
      <c r="G1246" s="70" t="n"/>
      <c r="H1246" s="62" t="str">
        <f>IF(COUNTA(A1246:G1246)=0,"",IF(C1246&lt;&gt;"",C1246,IF(B1246="","",IFERROR(INDEX(pr_des,MATCH(B1246,pr_code,0))&amp;"",""))))</f>
        <v/>
      </c>
      <c r="I1246" s="59" t="str">
        <f>IF(B1246="","",IFERROR(INDEX(pr_unit,MATCH(B1246,pr_code,0))&amp;"",""))</f>
        <v/>
      </c>
      <c r="J1246" s="65" t="str">
        <f>IF(COUNTA(A1246:G1246)=0,"",IF(E1246&lt;&gt;"",E1246,IF(B1246="","",IFERROR(IF(INDEX(pr_price,MATCH(B1246,pr_code,0))="","",INDEX(pr_price,MATCH(B1246,pr_code,0))),""))))</f>
        <v/>
      </c>
      <c r="K1246" s="71" t="str">
        <f>IF(COUNTA(A1246:G1246)=0,"",IF(G1246&lt;&gt;"",G1246,IF(B1246="","",IFERROR(IF(INDEX(pr_rate,MATCH(B1246,pr_code,0))="","",INDEX(pr_rate,MATCH(B1246,pr_code,0))),""))))</f>
        <v/>
      </c>
      <c r="L1246" s="65" t="str">
        <f>IF(COUNTA(A1246:G1246)=0,"",IF(AND(ISNUMBER(D1246),ISNUMBER(J1246)),ROUND(D1246*J1246*(1-N(F1246)),2),0))</f>
        <v/>
      </c>
      <c r="M1246" s="62" t="str">
        <f>IF(A1246="","",IFERROR(INDEX(fa_cname,MATCH(A1246,fa_num,0))&amp;"",""))</f>
        <v/>
      </c>
      <c r="N1246" s="59" t="str">
        <f>IF(COUNTA(A1246:G1246)=0,"",IF(A1246="","N° facture manquant",IF(ISNA(MATCH(A1246,fa_num,0)),"Facture inconnue",IF(AND(B1246&lt;&gt;"",ISNA(MATCH(B1246,pr_code,0))),"Article inconnu",IF(H1246="","Désignation manquante",IF(OR(NOT(ISNUMBER(D1246)),N(D1246)&lt;=0),"Quantité invalide",IF(J1246="","Prix manquant",IF(OR(NOT(ISNUMBER(J1246)),N(J1246)&lt;0),"Prix invalide",IF(OR(AND(F1246&lt;&gt;"",NOT(ISNUMBER(F1246))),N(F1246)&lt;0,N(F1246)&gt;1),"Remise invalide",IF(K1246="","Taux de TVA manquant",IF(NOT(ISNUMBER(K1246)),"Taux de TVA invalide",IF(COUNTIF(p_rates,K1246)=0,"Taux de TVA hors liste (Paramètres)",IF(N(O1246)&gt;25,"Au-delà de 25 lignes : non imprimée","OK")))))))))))))</f>
        <v/>
      </c>
      <c r="O1246" s="59" t="str">
        <f>IF(A1246="","",COUNTIF($A$6:A1246,A1246))</f>
        <v/>
      </c>
      <c r="P1246" s="62" t="str">
        <f>IF(A1246="","",A1246&amp;"|"&amp;O1246)</f>
        <v/>
      </c>
    </row>
    <row r="1247">
      <c r="A1247" s="60" t="n"/>
      <c r="B1247" s="63" t="n"/>
      <c r="C1247" s="63" t="n"/>
      <c r="D1247" s="67" t="n"/>
      <c r="E1247" s="68" t="n"/>
      <c r="F1247" s="69" t="n"/>
      <c r="G1247" s="70" t="n"/>
      <c r="H1247" s="62" t="str">
        <f>IF(COUNTA(A1247:G1247)=0,"",IF(C1247&lt;&gt;"",C1247,IF(B1247="","",IFERROR(INDEX(pr_des,MATCH(B1247,pr_code,0))&amp;"",""))))</f>
        <v/>
      </c>
      <c r="I1247" s="59" t="str">
        <f>IF(B1247="","",IFERROR(INDEX(pr_unit,MATCH(B1247,pr_code,0))&amp;"",""))</f>
        <v/>
      </c>
      <c r="J1247" s="65" t="str">
        <f>IF(COUNTA(A1247:G1247)=0,"",IF(E1247&lt;&gt;"",E1247,IF(B1247="","",IFERROR(IF(INDEX(pr_price,MATCH(B1247,pr_code,0))="","",INDEX(pr_price,MATCH(B1247,pr_code,0))),""))))</f>
        <v/>
      </c>
      <c r="K1247" s="71" t="str">
        <f>IF(COUNTA(A1247:G1247)=0,"",IF(G1247&lt;&gt;"",G1247,IF(B1247="","",IFERROR(IF(INDEX(pr_rate,MATCH(B1247,pr_code,0))="","",INDEX(pr_rate,MATCH(B1247,pr_code,0))),""))))</f>
        <v/>
      </c>
      <c r="L1247" s="65" t="str">
        <f>IF(COUNTA(A1247:G1247)=0,"",IF(AND(ISNUMBER(D1247),ISNUMBER(J1247)),ROUND(D1247*J1247*(1-N(F1247)),2),0))</f>
        <v/>
      </c>
      <c r="M1247" s="62" t="str">
        <f>IF(A1247="","",IFERROR(INDEX(fa_cname,MATCH(A1247,fa_num,0))&amp;"",""))</f>
        <v/>
      </c>
      <c r="N1247" s="59" t="str">
        <f>IF(COUNTA(A1247:G1247)=0,"",IF(A1247="","N° facture manquant",IF(ISNA(MATCH(A1247,fa_num,0)),"Facture inconnue",IF(AND(B1247&lt;&gt;"",ISNA(MATCH(B1247,pr_code,0))),"Article inconnu",IF(H1247="","Désignation manquante",IF(OR(NOT(ISNUMBER(D1247)),N(D1247)&lt;=0),"Quantité invalide",IF(J1247="","Prix manquant",IF(OR(NOT(ISNUMBER(J1247)),N(J1247)&lt;0),"Prix invalide",IF(OR(AND(F1247&lt;&gt;"",NOT(ISNUMBER(F1247))),N(F1247)&lt;0,N(F1247)&gt;1),"Remise invalide",IF(K1247="","Taux de TVA manquant",IF(NOT(ISNUMBER(K1247)),"Taux de TVA invalide",IF(COUNTIF(p_rates,K1247)=0,"Taux de TVA hors liste (Paramètres)",IF(N(O1247)&gt;25,"Au-delà de 25 lignes : non imprimée","OK")))))))))))))</f>
        <v/>
      </c>
      <c r="O1247" s="59" t="str">
        <f>IF(A1247="","",COUNTIF($A$6:A1247,A1247))</f>
        <v/>
      </c>
      <c r="P1247" s="62" t="str">
        <f>IF(A1247="","",A1247&amp;"|"&amp;O1247)</f>
        <v/>
      </c>
    </row>
    <row r="1248">
      <c r="A1248" s="60" t="n"/>
      <c r="B1248" s="63" t="n"/>
      <c r="C1248" s="63" t="n"/>
      <c r="D1248" s="67" t="n"/>
      <c r="E1248" s="68" t="n"/>
      <c r="F1248" s="69" t="n"/>
      <c r="G1248" s="70" t="n"/>
      <c r="H1248" s="62" t="str">
        <f>IF(COUNTA(A1248:G1248)=0,"",IF(C1248&lt;&gt;"",C1248,IF(B1248="","",IFERROR(INDEX(pr_des,MATCH(B1248,pr_code,0))&amp;"",""))))</f>
        <v/>
      </c>
      <c r="I1248" s="59" t="str">
        <f>IF(B1248="","",IFERROR(INDEX(pr_unit,MATCH(B1248,pr_code,0))&amp;"",""))</f>
        <v/>
      </c>
      <c r="J1248" s="65" t="str">
        <f>IF(COUNTA(A1248:G1248)=0,"",IF(E1248&lt;&gt;"",E1248,IF(B1248="","",IFERROR(IF(INDEX(pr_price,MATCH(B1248,pr_code,0))="","",INDEX(pr_price,MATCH(B1248,pr_code,0))),""))))</f>
        <v/>
      </c>
      <c r="K1248" s="71" t="str">
        <f>IF(COUNTA(A1248:G1248)=0,"",IF(G1248&lt;&gt;"",G1248,IF(B1248="","",IFERROR(IF(INDEX(pr_rate,MATCH(B1248,pr_code,0))="","",INDEX(pr_rate,MATCH(B1248,pr_code,0))),""))))</f>
        <v/>
      </c>
      <c r="L1248" s="65" t="str">
        <f>IF(COUNTA(A1248:G1248)=0,"",IF(AND(ISNUMBER(D1248),ISNUMBER(J1248)),ROUND(D1248*J1248*(1-N(F1248)),2),0))</f>
        <v/>
      </c>
      <c r="M1248" s="62" t="str">
        <f>IF(A1248="","",IFERROR(INDEX(fa_cname,MATCH(A1248,fa_num,0))&amp;"",""))</f>
        <v/>
      </c>
      <c r="N1248" s="59" t="str">
        <f>IF(COUNTA(A1248:G1248)=0,"",IF(A1248="","N° facture manquant",IF(ISNA(MATCH(A1248,fa_num,0)),"Facture inconnue",IF(AND(B1248&lt;&gt;"",ISNA(MATCH(B1248,pr_code,0))),"Article inconnu",IF(H1248="","Désignation manquante",IF(OR(NOT(ISNUMBER(D1248)),N(D1248)&lt;=0),"Quantité invalide",IF(J1248="","Prix manquant",IF(OR(NOT(ISNUMBER(J1248)),N(J1248)&lt;0),"Prix invalide",IF(OR(AND(F1248&lt;&gt;"",NOT(ISNUMBER(F1248))),N(F1248)&lt;0,N(F1248)&gt;1),"Remise invalide",IF(K1248="","Taux de TVA manquant",IF(NOT(ISNUMBER(K1248)),"Taux de TVA invalide",IF(COUNTIF(p_rates,K1248)=0,"Taux de TVA hors liste (Paramètres)",IF(N(O1248)&gt;25,"Au-delà de 25 lignes : non imprimée","OK")))))))))))))</f>
        <v/>
      </c>
      <c r="O1248" s="59" t="str">
        <f>IF(A1248="","",COUNTIF($A$6:A1248,A1248))</f>
        <v/>
      </c>
      <c r="P1248" s="62" t="str">
        <f>IF(A1248="","",A1248&amp;"|"&amp;O1248)</f>
        <v/>
      </c>
    </row>
    <row r="1249">
      <c r="A1249" s="60" t="n"/>
      <c r="B1249" s="63" t="n"/>
      <c r="C1249" s="63" t="n"/>
      <c r="D1249" s="67" t="n"/>
      <c r="E1249" s="68" t="n"/>
      <c r="F1249" s="69" t="n"/>
      <c r="G1249" s="70" t="n"/>
      <c r="H1249" s="62" t="str">
        <f>IF(COUNTA(A1249:G1249)=0,"",IF(C1249&lt;&gt;"",C1249,IF(B1249="","",IFERROR(INDEX(pr_des,MATCH(B1249,pr_code,0))&amp;"",""))))</f>
        <v/>
      </c>
      <c r="I1249" s="59" t="str">
        <f>IF(B1249="","",IFERROR(INDEX(pr_unit,MATCH(B1249,pr_code,0))&amp;"",""))</f>
        <v/>
      </c>
      <c r="J1249" s="65" t="str">
        <f>IF(COUNTA(A1249:G1249)=0,"",IF(E1249&lt;&gt;"",E1249,IF(B1249="","",IFERROR(IF(INDEX(pr_price,MATCH(B1249,pr_code,0))="","",INDEX(pr_price,MATCH(B1249,pr_code,0))),""))))</f>
        <v/>
      </c>
      <c r="K1249" s="71" t="str">
        <f>IF(COUNTA(A1249:G1249)=0,"",IF(G1249&lt;&gt;"",G1249,IF(B1249="","",IFERROR(IF(INDEX(pr_rate,MATCH(B1249,pr_code,0))="","",INDEX(pr_rate,MATCH(B1249,pr_code,0))),""))))</f>
        <v/>
      </c>
      <c r="L1249" s="65" t="str">
        <f>IF(COUNTA(A1249:G1249)=0,"",IF(AND(ISNUMBER(D1249),ISNUMBER(J1249)),ROUND(D1249*J1249*(1-N(F1249)),2),0))</f>
        <v/>
      </c>
      <c r="M1249" s="62" t="str">
        <f>IF(A1249="","",IFERROR(INDEX(fa_cname,MATCH(A1249,fa_num,0))&amp;"",""))</f>
        <v/>
      </c>
      <c r="N1249" s="59" t="str">
        <f>IF(COUNTA(A1249:G1249)=0,"",IF(A1249="","N° facture manquant",IF(ISNA(MATCH(A1249,fa_num,0)),"Facture inconnue",IF(AND(B1249&lt;&gt;"",ISNA(MATCH(B1249,pr_code,0))),"Article inconnu",IF(H1249="","Désignation manquante",IF(OR(NOT(ISNUMBER(D1249)),N(D1249)&lt;=0),"Quantité invalide",IF(J1249="","Prix manquant",IF(OR(NOT(ISNUMBER(J1249)),N(J1249)&lt;0),"Prix invalide",IF(OR(AND(F1249&lt;&gt;"",NOT(ISNUMBER(F1249))),N(F1249)&lt;0,N(F1249)&gt;1),"Remise invalide",IF(K1249="","Taux de TVA manquant",IF(NOT(ISNUMBER(K1249)),"Taux de TVA invalide",IF(COUNTIF(p_rates,K1249)=0,"Taux de TVA hors liste (Paramètres)",IF(N(O1249)&gt;25,"Au-delà de 25 lignes : non imprimée","OK")))))))))))))</f>
        <v/>
      </c>
      <c r="O1249" s="59" t="str">
        <f>IF(A1249="","",COUNTIF($A$6:A1249,A1249))</f>
        <v/>
      </c>
      <c r="P1249" s="62" t="str">
        <f>IF(A1249="","",A1249&amp;"|"&amp;O1249)</f>
        <v/>
      </c>
    </row>
    <row r="1250">
      <c r="A1250" s="60" t="n"/>
      <c r="B1250" s="63" t="n"/>
      <c r="C1250" s="63" t="n"/>
      <c r="D1250" s="67" t="n"/>
      <c r="E1250" s="68" t="n"/>
      <c r="F1250" s="69" t="n"/>
      <c r="G1250" s="70" t="n"/>
      <c r="H1250" s="62" t="str">
        <f>IF(COUNTA(A1250:G1250)=0,"",IF(C1250&lt;&gt;"",C1250,IF(B1250="","",IFERROR(INDEX(pr_des,MATCH(B1250,pr_code,0))&amp;"",""))))</f>
        <v/>
      </c>
      <c r="I1250" s="59" t="str">
        <f>IF(B1250="","",IFERROR(INDEX(pr_unit,MATCH(B1250,pr_code,0))&amp;"",""))</f>
        <v/>
      </c>
      <c r="J1250" s="65" t="str">
        <f>IF(COUNTA(A1250:G1250)=0,"",IF(E1250&lt;&gt;"",E1250,IF(B1250="","",IFERROR(IF(INDEX(pr_price,MATCH(B1250,pr_code,0))="","",INDEX(pr_price,MATCH(B1250,pr_code,0))),""))))</f>
        <v/>
      </c>
      <c r="K1250" s="71" t="str">
        <f>IF(COUNTA(A1250:G1250)=0,"",IF(G1250&lt;&gt;"",G1250,IF(B1250="","",IFERROR(IF(INDEX(pr_rate,MATCH(B1250,pr_code,0))="","",INDEX(pr_rate,MATCH(B1250,pr_code,0))),""))))</f>
        <v/>
      </c>
      <c r="L1250" s="65" t="str">
        <f>IF(COUNTA(A1250:G1250)=0,"",IF(AND(ISNUMBER(D1250),ISNUMBER(J1250)),ROUND(D1250*J1250*(1-N(F1250)),2),0))</f>
        <v/>
      </c>
      <c r="M1250" s="62" t="str">
        <f>IF(A1250="","",IFERROR(INDEX(fa_cname,MATCH(A1250,fa_num,0))&amp;"",""))</f>
        <v/>
      </c>
      <c r="N1250" s="59" t="str">
        <f>IF(COUNTA(A1250:G1250)=0,"",IF(A1250="","N° facture manquant",IF(ISNA(MATCH(A1250,fa_num,0)),"Facture inconnue",IF(AND(B1250&lt;&gt;"",ISNA(MATCH(B1250,pr_code,0))),"Article inconnu",IF(H1250="","Désignation manquante",IF(OR(NOT(ISNUMBER(D1250)),N(D1250)&lt;=0),"Quantité invalide",IF(J1250="","Prix manquant",IF(OR(NOT(ISNUMBER(J1250)),N(J1250)&lt;0),"Prix invalide",IF(OR(AND(F1250&lt;&gt;"",NOT(ISNUMBER(F1250))),N(F1250)&lt;0,N(F1250)&gt;1),"Remise invalide",IF(K1250="","Taux de TVA manquant",IF(NOT(ISNUMBER(K1250)),"Taux de TVA invalide",IF(COUNTIF(p_rates,K1250)=0,"Taux de TVA hors liste (Paramètres)",IF(N(O1250)&gt;25,"Au-delà de 25 lignes : non imprimée","OK")))))))))))))</f>
        <v/>
      </c>
      <c r="O1250" s="59" t="str">
        <f>IF(A1250="","",COUNTIF($A$6:A1250,A1250))</f>
        <v/>
      </c>
      <c r="P1250" s="62" t="str">
        <f>IF(A1250="","",A1250&amp;"|"&amp;O1250)</f>
        <v/>
      </c>
    </row>
    <row r="1251">
      <c r="A1251" s="60" t="n"/>
      <c r="B1251" s="63" t="n"/>
      <c r="C1251" s="63" t="n"/>
      <c r="D1251" s="67" t="n"/>
      <c r="E1251" s="68" t="n"/>
      <c r="F1251" s="69" t="n"/>
      <c r="G1251" s="70" t="n"/>
      <c r="H1251" s="62" t="str">
        <f>IF(COUNTA(A1251:G1251)=0,"",IF(C1251&lt;&gt;"",C1251,IF(B1251="","",IFERROR(INDEX(pr_des,MATCH(B1251,pr_code,0))&amp;"",""))))</f>
        <v/>
      </c>
      <c r="I1251" s="59" t="str">
        <f>IF(B1251="","",IFERROR(INDEX(pr_unit,MATCH(B1251,pr_code,0))&amp;"",""))</f>
        <v/>
      </c>
      <c r="J1251" s="65" t="str">
        <f>IF(COUNTA(A1251:G1251)=0,"",IF(E1251&lt;&gt;"",E1251,IF(B1251="","",IFERROR(IF(INDEX(pr_price,MATCH(B1251,pr_code,0))="","",INDEX(pr_price,MATCH(B1251,pr_code,0))),""))))</f>
        <v/>
      </c>
      <c r="K1251" s="71" t="str">
        <f>IF(COUNTA(A1251:G1251)=0,"",IF(G1251&lt;&gt;"",G1251,IF(B1251="","",IFERROR(IF(INDEX(pr_rate,MATCH(B1251,pr_code,0))="","",INDEX(pr_rate,MATCH(B1251,pr_code,0))),""))))</f>
        <v/>
      </c>
      <c r="L1251" s="65" t="str">
        <f>IF(COUNTA(A1251:G1251)=0,"",IF(AND(ISNUMBER(D1251),ISNUMBER(J1251)),ROUND(D1251*J1251*(1-N(F1251)),2),0))</f>
        <v/>
      </c>
      <c r="M1251" s="62" t="str">
        <f>IF(A1251="","",IFERROR(INDEX(fa_cname,MATCH(A1251,fa_num,0))&amp;"",""))</f>
        <v/>
      </c>
      <c r="N1251" s="59" t="str">
        <f>IF(COUNTA(A1251:G1251)=0,"",IF(A1251="","N° facture manquant",IF(ISNA(MATCH(A1251,fa_num,0)),"Facture inconnue",IF(AND(B1251&lt;&gt;"",ISNA(MATCH(B1251,pr_code,0))),"Article inconnu",IF(H1251="","Désignation manquante",IF(OR(NOT(ISNUMBER(D1251)),N(D1251)&lt;=0),"Quantité invalide",IF(J1251="","Prix manquant",IF(OR(NOT(ISNUMBER(J1251)),N(J1251)&lt;0),"Prix invalide",IF(OR(AND(F1251&lt;&gt;"",NOT(ISNUMBER(F1251))),N(F1251)&lt;0,N(F1251)&gt;1),"Remise invalide",IF(K1251="","Taux de TVA manquant",IF(NOT(ISNUMBER(K1251)),"Taux de TVA invalide",IF(COUNTIF(p_rates,K1251)=0,"Taux de TVA hors liste (Paramètres)",IF(N(O1251)&gt;25,"Au-delà de 25 lignes : non imprimée","OK")))))))))))))</f>
        <v/>
      </c>
      <c r="O1251" s="59" t="str">
        <f>IF(A1251="","",COUNTIF($A$6:A1251,A1251))</f>
        <v/>
      </c>
      <c r="P1251" s="62" t="str">
        <f>IF(A1251="","",A1251&amp;"|"&amp;O1251)</f>
        <v/>
      </c>
    </row>
    <row r="1252">
      <c r="A1252" s="60" t="n"/>
      <c r="B1252" s="63" t="n"/>
      <c r="C1252" s="63" t="n"/>
      <c r="D1252" s="67" t="n"/>
      <c r="E1252" s="68" t="n"/>
      <c r="F1252" s="69" t="n"/>
      <c r="G1252" s="70" t="n"/>
      <c r="H1252" s="62" t="str">
        <f>IF(COUNTA(A1252:G1252)=0,"",IF(C1252&lt;&gt;"",C1252,IF(B1252="","",IFERROR(INDEX(pr_des,MATCH(B1252,pr_code,0))&amp;"",""))))</f>
        <v/>
      </c>
      <c r="I1252" s="59" t="str">
        <f>IF(B1252="","",IFERROR(INDEX(pr_unit,MATCH(B1252,pr_code,0))&amp;"",""))</f>
        <v/>
      </c>
      <c r="J1252" s="65" t="str">
        <f>IF(COUNTA(A1252:G1252)=0,"",IF(E1252&lt;&gt;"",E1252,IF(B1252="","",IFERROR(IF(INDEX(pr_price,MATCH(B1252,pr_code,0))="","",INDEX(pr_price,MATCH(B1252,pr_code,0))),""))))</f>
        <v/>
      </c>
      <c r="K1252" s="71" t="str">
        <f>IF(COUNTA(A1252:G1252)=0,"",IF(G1252&lt;&gt;"",G1252,IF(B1252="","",IFERROR(IF(INDEX(pr_rate,MATCH(B1252,pr_code,0))="","",INDEX(pr_rate,MATCH(B1252,pr_code,0))),""))))</f>
        <v/>
      </c>
      <c r="L1252" s="65" t="str">
        <f>IF(COUNTA(A1252:G1252)=0,"",IF(AND(ISNUMBER(D1252),ISNUMBER(J1252)),ROUND(D1252*J1252*(1-N(F1252)),2),0))</f>
        <v/>
      </c>
      <c r="M1252" s="62" t="str">
        <f>IF(A1252="","",IFERROR(INDEX(fa_cname,MATCH(A1252,fa_num,0))&amp;"",""))</f>
        <v/>
      </c>
      <c r="N1252" s="59" t="str">
        <f>IF(COUNTA(A1252:G1252)=0,"",IF(A1252="","N° facture manquant",IF(ISNA(MATCH(A1252,fa_num,0)),"Facture inconnue",IF(AND(B1252&lt;&gt;"",ISNA(MATCH(B1252,pr_code,0))),"Article inconnu",IF(H1252="","Désignation manquante",IF(OR(NOT(ISNUMBER(D1252)),N(D1252)&lt;=0),"Quantité invalide",IF(J1252="","Prix manquant",IF(OR(NOT(ISNUMBER(J1252)),N(J1252)&lt;0),"Prix invalide",IF(OR(AND(F1252&lt;&gt;"",NOT(ISNUMBER(F1252))),N(F1252)&lt;0,N(F1252)&gt;1),"Remise invalide",IF(K1252="","Taux de TVA manquant",IF(NOT(ISNUMBER(K1252)),"Taux de TVA invalide",IF(COUNTIF(p_rates,K1252)=0,"Taux de TVA hors liste (Paramètres)",IF(N(O1252)&gt;25,"Au-delà de 25 lignes : non imprimée","OK")))))))))))))</f>
        <v/>
      </c>
      <c r="O1252" s="59" t="str">
        <f>IF(A1252="","",COUNTIF($A$6:A1252,A1252))</f>
        <v/>
      </c>
      <c r="P1252" s="62" t="str">
        <f>IF(A1252="","",A1252&amp;"|"&amp;O1252)</f>
        <v/>
      </c>
    </row>
    <row r="1253">
      <c r="A1253" s="60" t="n"/>
      <c r="B1253" s="63" t="n"/>
      <c r="C1253" s="63" t="n"/>
      <c r="D1253" s="67" t="n"/>
      <c r="E1253" s="68" t="n"/>
      <c r="F1253" s="69" t="n"/>
      <c r="G1253" s="70" t="n"/>
      <c r="H1253" s="62" t="str">
        <f>IF(COUNTA(A1253:G1253)=0,"",IF(C1253&lt;&gt;"",C1253,IF(B1253="","",IFERROR(INDEX(pr_des,MATCH(B1253,pr_code,0))&amp;"",""))))</f>
        <v/>
      </c>
      <c r="I1253" s="59" t="str">
        <f>IF(B1253="","",IFERROR(INDEX(pr_unit,MATCH(B1253,pr_code,0))&amp;"",""))</f>
        <v/>
      </c>
      <c r="J1253" s="65" t="str">
        <f>IF(COUNTA(A1253:G1253)=0,"",IF(E1253&lt;&gt;"",E1253,IF(B1253="","",IFERROR(IF(INDEX(pr_price,MATCH(B1253,pr_code,0))="","",INDEX(pr_price,MATCH(B1253,pr_code,0))),""))))</f>
        <v/>
      </c>
      <c r="K1253" s="71" t="str">
        <f>IF(COUNTA(A1253:G1253)=0,"",IF(G1253&lt;&gt;"",G1253,IF(B1253="","",IFERROR(IF(INDEX(pr_rate,MATCH(B1253,pr_code,0))="","",INDEX(pr_rate,MATCH(B1253,pr_code,0))),""))))</f>
        <v/>
      </c>
      <c r="L1253" s="65" t="str">
        <f>IF(COUNTA(A1253:G1253)=0,"",IF(AND(ISNUMBER(D1253),ISNUMBER(J1253)),ROUND(D1253*J1253*(1-N(F1253)),2),0))</f>
        <v/>
      </c>
      <c r="M1253" s="62" t="str">
        <f>IF(A1253="","",IFERROR(INDEX(fa_cname,MATCH(A1253,fa_num,0))&amp;"",""))</f>
        <v/>
      </c>
      <c r="N1253" s="59" t="str">
        <f>IF(COUNTA(A1253:G1253)=0,"",IF(A1253="","N° facture manquant",IF(ISNA(MATCH(A1253,fa_num,0)),"Facture inconnue",IF(AND(B1253&lt;&gt;"",ISNA(MATCH(B1253,pr_code,0))),"Article inconnu",IF(H1253="","Désignation manquante",IF(OR(NOT(ISNUMBER(D1253)),N(D1253)&lt;=0),"Quantité invalide",IF(J1253="","Prix manquant",IF(OR(NOT(ISNUMBER(J1253)),N(J1253)&lt;0),"Prix invalide",IF(OR(AND(F1253&lt;&gt;"",NOT(ISNUMBER(F1253))),N(F1253)&lt;0,N(F1253)&gt;1),"Remise invalide",IF(K1253="","Taux de TVA manquant",IF(NOT(ISNUMBER(K1253)),"Taux de TVA invalide",IF(COUNTIF(p_rates,K1253)=0,"Taux de TVA hors liste (Paramètres)",IF(N(O1253)&gt;25,"Au-delà de 25 lignes : non imprimée","OK")))))))))))))</f>
        <v/>
      </c>
      <c r="O1253" s="59" t="str">
        <f>IF(A1253="","",COUNTIF($A$6:A1253,A1253))</f>
        <v/>
      </c>
      <c r="P1253" s="62" t="str">
        <f>IF(A1253="","",A1253&amp;"|"&amp;O1253)</f>
        <v/>
      </c>
    </row>
    <row r="1254">
      <c r="A1254" s="60" t="n"/>
      <c r="B1254" s="63" t="n"/>
      <c r="C1254" s="63" t="n"/>
      <c r="D1254" s="67" t="n"/>
      <c r="E1254" s="68" t="n"/>
      <c r="F1254" s="69" t="n"/>
      <c r="G1254" s="70" t="n"/>
      <c r="H1254" s="62" t="str">
        <f>IF(COUNTA(A1254:G1254)=0,"",IF(C1254&lt;&gt;"",C1254,IF(B1254="","",IFERROR(INDEX(pr_des,MATCH(B1254,pr_code,0))&amp;"",""))))</f>
        <v/>
      </c>
      <c r="I1254" s="59" t="str">
        <f>IF(B1254="","",IFERROR(INDEX(pr_unit,MATCH(B1254,pr_code,0))&amp;"",""))</f>
        <v/>
      </c>
      <c r="J1254" s="65" t="str">
        <f>IF(COUNTA(A1254:G1254)=0,"",IF(E1254&lt;&gt;"",E1254,IF(B1254="","",IFERROR(IF(INDEX(pr_price,MATCH(B1254,pr_code,0))="","",INDEX(pr_price,MATCH(B1254,pr_code,0))),""))))</f>
        <v/>
      </c>
      <c r="K1254" s="71" t="str">
        <f>IF(COUNTA(A1254:G1254)=0,"",IF(G1254&lt;&gt;"",G1254,IF(B1254="","",IFERROR(IF(INDEX(pr_rate,MATCH(B1254,pr_code,0))="","",INDEX(pr_rate,MATCH(B1254,pr_code,0))),""))))</f>
        <v/>
      </c>
      <c r="L1254" s="65" t="str">
        <f>IF(COUNTA(A1254:G1254)=0,"",IF(AND(ISNUMBER(D1254),ISNUMBER(J1254)),ROUND(D1254*J1254*(1-N(F1254)),2),0))</f>
        <v/>
      </c>
      <c r="M1254" s="62" t="str">
        <f>IF(A1254="","",IFERROR(INDEX(fa_cname,MATCH(A1254,fa_num,0))&amp;"",""))</f>
        <v/>
      </c>
      <c r="N1254" s="59" t="str">
        <f>IF(COUNTA(A1254:G1254)=0,"",IF(A1254="","N° facture manquant",IF(ISNA(MATCH(A1254,fa_num,0)),"Facture inconnue",IF(AND(B1254&lt;&gt;"",ISNA(MATCH(B1254,pr_code,0))),"Article inconnu",IF(H1254="","Désignation manquante",IF(OR(NOT(ISNUMBER(D1254)),N(D1254)&lt;=0),"Quantité invalide",IF(J1254="","Prix manquant",IF(OR(NOT(ISNUMBER(J1254)),N(J1254)&lt;0),"Prix invalide",IF(OR(AND(F1254&lt;&gt;"",NOT(ISNUMBER(F1254))),N(F1254)&lt;0,N(F1254)&gt;1),"Remise invalide",IF(K1254="","Taux de TVA manquant",IF(NOT(ISNUMBER(K1254)),"Taux de TVA invalide",IF(COUNTIF(p_rates,K1254)=0,"Taux de TVA hors liste (Paramètres)",IF(N(O1254)&gt;25,"Au-delà de 25 lignes : non imprimée","OK")))))))))))))</f>
        <v/>
      </c>
      <c r="O1254" s="59" t="str">
        <f>IF(A1254="","",COUNTIF($A$6:A1254,A1254))</f>
        <v/>
      </c>
      <c r="P1254" s="62" t="str">
        <f>IF(A1254="","",A1254&amp;"|"&amp;O1254)</f>
        <v/>
      </c>
    </row>
    <row r="1255">
      <c r="A1255" s="60" t="n"/>
      <c r="B1255" s="63" t="n"/>
      <c r="C1255" s="63" t="n"/>
      <c r="D1255" s="67" t="n"/>
      <c r="E1255" s="68" t="n"/>
      <c r="F1255" s="69" t="n"/>
      <c r="G1255" s="70" t="n"/>
      <c r="H1255" s="62" t="str">
        <f>IF(COUNTA(A1255:G1255)=0,"",IF(C1255&lt;&gt;"",C1255,IF(B1255="","",IFERROR(INDEX(pr_des,MATCH(B1255,pr_code,0))&amp;"",""))))</f>
        <v/>
      </c>
      <c r="I1255" s="59" t="str">
        <f>IF(B1255="","",IFERROR(INDEX(pr_unit,MATCH(B1255,pr_code,0))&amp;"",""))</f>
        <v/>
      </c>
      <c r="J1255" s="65" t="str">
        <f>IF(COUNTA(A1255:G1255)=0,"",IF(E1255&lt;&gt;"",E1255,IF(B1255="","",IFERROR(IF(INDEX(pr_price,MATCH(B1255,pr_code,0))="","",INDEX(pr_price,MATCH(B1255,pr_code,0))),""))))</f>
        <v/>
      </c>
      <c r="K1255" s="71" t="str">
        <f>IF(COUNTA(A1255:G1255)=0,"",IF(G1255&lt;&gt;"",G1255,IF(B1255="","",IFERROR(IF(INDEX(pr_rate,MATCH(B1255,pr_code,0))="","",INDEX(pr_rate,MATCH(B1255,pr_code,0))),""))))</f>
        <v/>
      </c>
      <c r="L1255" s="65" t="str">
        <f>IF(COUNTA(A1255:G1255)=0,"",IF(AND(ISNUMBER(D1255),ISNUMBER(J1255)),ROUND(D1255*J1255*(1-N(F1255)),2),0))</f>
        <v/>
      </c>
      <c r="M1255" s="62" t="str">
        <f>IF(A1255="","",IFERROR(INDEX(fa_cname,MATCH(A1255,fa_num,0))&amp;"",""))</f>
        <v/>
      </c>
      <c r="N1255" s="59" t="str">
        <f>IF(COUNTA(A1255:G1255)=0,"",IF(A1255="","N° facture manquant",IF(ISNA(MATCH(A1255,fa_num,0)),"Facture inconnue",IF(AND(B1255&lt;&gt;"",ISNA(MATCH(B1255,pr_code,0))),"Article inconnu",IF(H1255="","Désignation manquante",IF(OR(NOT(ISNUMBER(D1255)),N(D1255)&lt;=0),"Quantité invalide",IF(J1255="","Prix manquant",IF(OR(NOT(ISNUMBER(J1255)),N(J1255)&lt;0),"Prix invalide",IF(OR(AND(F1255&lt;&gt;"",NOT(ISNUMBER(F1255))),N(F1255)&lt;0,N(F1255)&gt;1),"Remise invalide",IF(K1255="","Taux de TVA manquant",IF(NOT(ISNUMBER(K1255)),"Taux de TVA invalide",IF(COUNTIF(p_rates,K1255)=0,"Taux de TVA hors liste (Paramètres)",IF(N(O1255)&gt;25,"Au-delà de 25 lignes : non imprimée","OK")))))))))))))</f>
        <v/>
      </c>
      <c r="O1255" s="59" t="str">
        <f>IF(A1255="","",COUNTIF($A$6:A1255,A1255))</f>
        <v/>
      </c>
      <c r="P1255" s="62" t="str">
        <f>IF(A1255="","",A1255&amp;"|"&amp;O1255)</f>
        <v/>
      </c>
    </row>
    <row r="1256">
      <c r="A1256" s="60" t="n"/>
      <c r="B1256" s="63" t="n"/>
      <c r="C1256" s="63" t="n"/>
      <c r="D1256" s="67" t="n"/>
      <c r="E1256" s="68" t="n"/>
      <c r="F1256" s="69" t="n"/>
      <c r="G1256" s="70" t="n"/>
      <c r="H1256" s="62" t="str">
        <f>IF(COUNTA(A1256:G1256)=0,"",IF(C1256&lt;&gt;"",C1256,IF(B1256="","",IFERROR(INDEX(pr_des,MATCH(B1256,pr_code,0))&amp;"",""))))</f>
        <v/>
      </c>
      <c r="I1256" s="59" t="str">
        <f>IF(B1256="","",IFERROR(INDEX(pr_unit,MATCH(B1256,pr_code,0))&amp;"",""))</f>
        <v/>
      </c>
      <c r="J1256" s="65" t="str">
        <f>IF(COUNTA(A1256:G1256)=0,"",IF(E1256&lt;&gt;"",E1256,IF(B1256="","",IFERROR(IF(INDEX(pr_price,MATCH(B1256,pr_code,0))="","",INDEX(pr_price,MATCH(B1256,pr_code,0))),""))))</f>
        <v/>
      </c>
      <c r="K1256" s="71" t="str">
        <f>IF(COUNTA(A1256:G1256)=0,"",IF(G1256&lt;&gt;"",G1256,IF(B1256="","",IFERROR(IF(INDEX(pr_rate,MATCH(B1256,pr_code,0))="","",INDEX(pr_rate,MATCH(B1256,pr_code,0))),""))))</f>
        <v/>
      </c>
      <c r="L1256" s="65" t="str">
        <f>IF(COUNTA(A1256:G1256)=0,"",IF(AND(ISNUMBER(D1256),ISNUMBER(J1256)),ROUND(D1256*J1256*(1-N(F1256)),2),0))</f>
        <v/>
      </c>
      <c r="M1256" s="62" t="str">
        <f>IF(A1256="","",IFERROR(INDEX(fa_cname,MATCH(A1256,fa_num,0))&amp;"",""))</f>
        <v/>
      </c>
      <c r="N1256" s="59" t="str">
        <f>IF(COUNTA(A1256:G1256)=0,"",IF(A1256="","N° facture manquant",IF(ISNA(MATCH(A1256,fa_num,0)),"Facture inconnue",IF(AND(B1256&lt;&gt;"",ISNA(MATCH(B1256,pr_code,0))),"Article inconnu",IF(H1256="","Désignation manquante",IF(OR(NOT(ISNUMBER(D1256)),N(D1256)&lt;=0),"Quantité invalide",IF(J1256="","Prix manquant",IF(OR(NOT(ISNUMBER(J1256)),N(J1256)&lt;0),"Prix invalide",IF(OR(AND(F1256&lt;&gt;"",NOT(ISNUMBER(F1256))),N(F1256)&lt;0,N(F1256)&gt;1),"Remise invalide",IF(K1256="","Taux de TVA manquant",IF(NOT(ISNUMBER(K1256)),"Taux de TVA invalide",IF(COUNTIF(p_rates,K1256)=0,"Taux de TVA hors liste (Paramètres)",IF(N(O1256)&gt;25,"Au-delà de 25 lignes : non imprimée","OK")))))))))))))</f>
        <v/>
      </c>
      <c r="O1256" s="59" t="str">
        <f>IF(A1256="","",COUNTIF($A$6:A1256,A1256))</f>
        <v/>
      </c>
      <c r="P1256" s="62" t="str">
        <f>IF(A1256="","",A1256&amp;"|"&amp;O1256)</f>
        <v/>
      </c>
    </row>
    <row r="1257">
      <c r="A1257" s="60" t="n"/>
      <c r="B1257" s="63" t="n"/>
      <c r="C1257" s="63" t="n"/>
      <c r="D1257" s="67" t="n"/>
      <c r="E1257" s="68" t="n"/>
      <c r="F1257" s="69" t="n"/>
      <c r="G1257" s="70" t="n"/>
      <c r="H1257" s="62" t="str">
        <f>IF(COUNTA(A1257:G1257)=0,"",IF(C1257&lt;&gt;"",C1257,IF(B1257="","",IFERROR(INDEX(pr_des,MATCH(B1257,pr_code,0))&amp;"",""))))</f>
        <v/>
      </c>
      <c r="I1257" s="59" t="str">
        <f>IF(B1257="","",IFERROR(INDEX(pr_unit,MATCH(B1257,pr_code,0))&amp;"",""))</f>
        <v/>
      </c>
      <c r="J1257" s="65" t="str">
        <f>IF(COUNTA(A1257:G1257)=0,"",IF(E1257&lt;&gt;"",E1257,IF(B1257="","",IFERROR(IF(INDEX(pr_price,MATCH(B1257,pr_code,0))="","",INDEX(pr_price,MATCH(B1257,pr_code,0))),""))))</f>
        <v/>
      </c>
      <c r="K1257" s="71" t="str">
        <f>IF(COUNTA(A1257:G1257)=0,"",IF(G1257&lt;&gt;"",G1257,IF(B1257="","",IFERROR(IF(INDEX(pr_rate,MATCH(B1257,pr_code,0))="","",INDEX(pr_rate,MATCH(B1257,pr_code,0))),""))))</f>
        <v/>
      </c>
      <c r="L1257" s="65" t="str">
        <f>IF(COUNTA(A1257:G1257)=0,"",IF(AND(ISNUMBER(D1257),ISNUMBER(J1257)),ROUND(D1257*J1257*(1-N(F1257)),2),0))</f>
        <v/>
      </c>
      <c r="M1257" s="62" t="str">
        <f>IF(A1257="","",IFERROR(INDEX(fa_cname,MATCH(A1257,fa_num,0))&amp;"",""))</f>
        <v/>
      </c>
      <c r="N1257" s="59" t="str">
        <f>IF(COUNTA(A1257:G1257)=0,"",IF(A1257="","N° facture manquant",IF(ISNA(MATCH(A1257,fa_num,0)),"Facture inconnue",IF(AND(B1257&lt;&gt;"",ISNA(MATCH(B1257,pr_code,0))),"Article inconnu",IF(H1257="","Désignation manquante",IF(OR(NOT(ISNUMBER(D1257)),N(D1257)&lt;=0),"Quantité invalide",IF(J1257="","Prix manquant",IF(OR(NOT(ISNUMBER(J1257)),N(J1257)&lt;0),"Prix invalide",IF(OR(AND(F1257&lt;&gt;"",NOT(ISNUMBER(F1257))),N(F1257)&lt;0,N(F1257)&gt;1),"Remise invalide",IF(K1257="","Taux de TVA manquant",IF(NOT(ISNUMBER(K1257)),"Taux de TVA invalide",IF(COUNTIF(p_rates,K1257)=0,"Taux de TVA hors liste (Paramètres)",IF(N(O1257)&gt;25,"Au-delà de 25 lignes : non imprimée","OK")))))))))))))</f>
        <v/>
      </c>
      <c r="O1257" s="59" t="str">
        <f>IF(A1257="","",COUNTIF($A$6:A1257,A1257))</f>
        <v/>
      </c>
      <c r="P1257" s="62" t="str">
        <f>IF(A1257="","",A1257&amp;"|"&amp;O1257)</f>
        <v/>
      </c>
    </row>
    <row r="1258">
      <c r="A1258" s="60" t="n"/>
      <c r="B1258" s="63" t="n"/>
      <c r="C1258" s="63" t="n"/>
      <c r="D1258" s="67" t="n"/>
      <c r="E1258" s="68" t="n"/>
      <c r="F1258" s="69" t="n"/>
      <c r="G1258" s="70" t="n"/>
      <c r="H1258" s="62" t="str">
        <f>IF(COUNTA(A1258:G1258)=0,"",IF(C1258&lt;&gt;"",C1258,IF(B1258="","",IFERROR(INDEX(pr_des,MATCH(B1258,pr_code,0))&amp;"",""))))</f>
        <v/>
      </c>
      <c r="I1258" s="59" t="str">
        <f>IF(B1258="","",IFERROR(INDEX(pr_unit,MATCH(B1258,pr_code,0))&amp;"",""))</f>
        <v/>
      </c>
      <c r="J1258" s="65" t="str">
        <f>IF(COUNTA(A1258:G1258)=0,"",IF(E1258&lt;&gt;"",E1258,IF(B1258="","",IFERROR(IF(INDEX(pr_price,MATCH(B1258,pr_code,0))="","",INDEX(pr_price,MATCH(B1258,pr_code,0))),""))))</f>
        <v/>
      </c>
      <c r="K1258" s="71" t="str">
        <f>IF(COUNTA(A1258:G1258)=0,"",IF(G1258&lt;&gt;"",G1258,IF(B1258="","",IFERROR(IF(INDEX(pr_rate,MATCH(B1258,pr_code,0))="","",INDEX(pr_rate,MATCH(B1258,pr_code,0))),""))))</f>
        <v/>
      </c>
      <c r="L1258" s="65" t="str">
        <f>IF(COUNTA(A1258:G1258)=0,"",IF(AND(ISNUMBER(D1258),ISNUMBER(J1258)),ROUND(D1258*J1258*(1-N(F1258)),2),0))</f>
        <v/>
      </c>
      <c r="M1258" s="62" t="str">
        <f>IF(A1258="","",IFERROR(INDEX(fa_cname,MATCH(A1258,fa_num,0))&amp;"",""))</f>
        <v/>
      </c>
      <c r="N1258" s="59" t="str">
        <f>IF(COUNTA(A1258:G1258)=0,"",IF(A1258="","N° facture manquant",IF(ISNA(MATCH(A1258,fa_num,0)),"Facture inconnue",IF(AND(B1258&lt;&gt;"",ISNA(MATCH(B1258,pr_code,0))),"Article inconnu",IF(H1258="","Désignation manquante",IF(OR(NOT(ISNUMBER(D1258)),N(D1258)&lt;=0),"Quantité invalide",IF(J1258="","Prix manquant",IF(OR(NOT(ISNUMBER(J1258)),N(J1258)&lt;0),"Prix invalide",IF(OR(AND(F1258&lt;&gt;"",NOT(ISNUMBER(F1258))),N(F1258)&lt;0,N(F1258)&gt;1),"Remise invalide",IF(K1258="","Taux de TVA manquant",IF(NOT(ISNUMBER(K1258)),"Taux de TVA invalide",IF(COUNTIF(p_rates,K1258)=0,"Taux de TVA hors liste (Paramètres)",IF(N(O1258)&gt;25,"Au-delà de 25 lignes : non imprimée","OK")))))))))))))</f>
        <v/>
      </c>
      <c r="O1258" s="59" t="str">
        <f>IF(A1258="","",COUNTIF($A$6:A1258,A1258))</f>
        <v/>
      </c>
      <c r="P1258" s="62" t="str">
        <f>IF(A1258="","",A1258&amp;"|"&amp;O1258)</f>
        <v/>
      </c>
    </row>
    <row r="1259">
      <c r="A1259" s="60" t="n"/>
      <c r="B1259" s="63" t="n"/>
      <c r="C1259" s="63" t="n"/>
      <c r="D1259" s="67" t="n"/>
      <c r="E1259" s="68" t="n"/>
      <c r="F1259" s="69" t="n"/>
      <c r="G1259" s="70" t="n"/>
      <c r="H1259" s="62" t="str">
        <f>IF(COUNTA(A1259:G1259)=0,"",IF(C1259&lt;&gt;"",C1259,IF(B1259="","",IFERROR(INDEX(pr_des,MATCH(B1259,pr_code,0))&amp;"",""))))</f>
        <v/>
      </c>
      <c r="I1259" s="59" t="str">
        <f>IF(B1259="","",IFERROR(INDEX(pr_unit,MATCH(B1259,pr_code,0))&amp;"",""))</f>
        <v/>
      </c>
      <c r="J1259" s="65" t="str">
        <f>IF(COUNTA(A1259:G1259)=0,"",IF(E1259&lt;&gt;"",E1259,IF(B1259="","",IFERROR(IF(INDEX(pr_price,MATCH(B1259,pr_code,0))="","",INDEX(pr_price,MATCH(B1259,pr_code,0))),""))))</f>
        <v/>
      </c>
      <c r="K1259" s="71" t="str">
        <f>IF(COUNTA(A1259:G1259)=0,"",IF(G1259&lt;&gt;"",G1259,IF(B1259="","",IFERROR(IF(INDEX(pr_rate,MATCH(B1259,pr_code,0))="","",INDEX(pr_rate,MATCH(B1259,pr_code,0))),""))))</f>
        <v/>
      </c>
      <c r="L1259" s="65" t="str">
        <f>IF(COUNTA(A1259:G1259)=0,"",IF(AND(ISNUMBER(D1259),ISNUMBER(J1259)),ROUND(D1259*J1259*(1-N(F1259)),2),0))</f>
        <v/>
      </c>
      <c r="M1259" s="62" t="str">
        <f>IF(A1259="","",IFERROR(INDEX(fa_cname,MATCH(A1259,fa_num,0))&amp;"",""))</f>
        <v/>
      </c>
      <c r="N1259" s="59" t="str">
        <f>IF(COUNTA(A1259:G1259)=0,"",IF(A1259="","N° facture manquant",IF(ISNA(MATCH(A1259,fa_num,0)),"Facture inconnue",IF(AND(B1259&lt;&gt;"",ISNA(MATCH(B1259,pr_code,0))),"Article inconnu",IF(H1259="","Désignation manquante",IF(OR(NOT(ISNUMBER(D1259)),N(D1259)&lt;=0),"Quantité invalide",IF(J1259="","Prix manquant",IF(OR(NOT(ISNUMBER(J1259)),N(J1259)&lt;0),"Prix invalide",IF(OR(AND(F1259&lt;&gt;"",NOT(ISNUMBER(F1259))),N(F1259)&lt;0,N(F1259)&gt;1),"Remise invalide",IF(K1259="","Taux de TVA manquant",IF(NOT(ISNUMBER(K1259)),"Taux de TVA invalide",IF(COUNTIF(p_rates,K1259)=0,"Taux de TVA hors liste (Paramètres)",IF(N(O1259)&gt;25,"Au-delà de 25 lignes : non imprimée","OK")))))))))))))</f>
        <v/>
      </c>
      <c r="O1259" s="59" t="str">
        <f>IF(A1259="","",COUNTIF($A$6:A1259,A1259))</f>
        <v/>
      </c>
      <c r="P1259" s="62" t="str">
        <f>IF(A1259="","",A1259&amp;"|"&amp;O1259)</f>
        <v/>
      </c>
    </row>
    <row r="1260">
      <c r="A1260" s="60" t="n"/>
      <c r="B1260" s="63" t="n"/>
      <c r="C1260" s="63" t="n"/>
      <c r="D1260" s="67" t="n"/>
      <c r="E1260" s="68" t="n"/>
      <c r="F1260" s="69" t="n"/>
      <c r="G1260" s="70" t="n"/>
      <c r="H1260" s="62" t="str">
        <f>IF(COUNTA(A1260:G1260)=0,"",IF(C1260&lt;&gt;"",C1260,IF(B1260="","",IFERROR(INDEX(pr_des,MATCH(B1260,pr_code,0))&amp;"",""))))</f>
        <v/>
      </c>
      <c r="I1260" s="59" t="str">
        <f>IF(B1260="","",IFERROR(INDEX(pr_unit,MATCH(B1260,pr_code,0))&amp;"",""))</f>
        <v/>
      </c>
      <c r="J1260" s="65" t="str">
        <f>IF(COUNTA(A1260:G1260)=0,"",IF(E1260&lt;&gt;"",E1260,IF(B1260="","",IFERROR(IF(INDEX(pr_price,MATCH(B1260,pr_code,0))="","",INDEX(pr_price,MATCH(B1260,pr_code,0))),""))))</f>
        <v/>
      </c>
      <c r="K1260" s="71" t="str">
        <f>IF(COUNTA(A1260:G1260)=0,"",IF(G1260&lt;&gt;"",G1260,IF(B1260="","",IFERROR(IF(INDEX(pr_rate,MATCH(B1260,pr_code,0))="","",INDEX(pr_rate,MATCH(B1260,pr_code,0))),""))))</f>
        <v/>
      </c>
      <c r="L1260" s="65" t="str">
        <f>IF(COUNTA(A1260:G1260)=0,"",IF(AND(ISNUMBER(D1260),ISNUMBER(J1260)),ROUND(D1260*J1260*(1-N(F1260)),2),0))</f>
        <v/>
      </c>
      <c r="M1260" s="62" t="str">
        <f>IF(A1260="","",IFERROR(INDEX(fa_cname,MATCH(A1260,fa_num,0))&amp;"",""))</f>
        <v/>
      </c>
      <c r="N1260" s="59" t="str">
        <f>IF(COUNTA(A1260:G1260)=0,"",IF(A1260="","N° facture manquant",IF(ISNA(MATCH(A1260,fa_num,0)),"Facture inconnue",IF(AND(B1260&lt;&gt;"",ISNA(MATCH(B1260,pr_code,0))),"Article inconnu",IF(H1260="","Désignation manquante",IF(OR(NOT(ISNUMBER(D1260)),N(D1260)&lt;=0),"Quantité invalide",IF(J1260="","Prix manquant",IF(OR(NOT(ISNUMBER(J1260)),N(J1260)&lt;0),"Prix invalide",IF(OR(AND(F1260&lt;&gt;"",NOT(ISNUMBER(F1260))),N(F1260)&lt;0,N(F1260)&gt;1),"Remise invalide",IF(K1260="","Taux de TVA manquant",IF(NOT(ISNUMBER(K1260)),"Taux de TVA invalide",IF(COUNTIF(p_rates,K1260)=0,"Taux de TVA hors liste (Paramètres)",IF(N(O1260)&gt;25,"Au-delà de 25 lignes : non imprimée","OK")))))))))))))</f>
        <v/>
      </c>
      <c r="O1260" s="59" t="str">
        <f>IF(A1260="","",COUNTIF($A$6:A1260,A1260))</f>
        <v/>
      </c>
      <c r="P1260" s="62" t="str">
        <f>IF(A1260="","",A1260&amp;"|"&amp;O1260)</f>
        <v/>
      </c>
    </row>
    <row r="1261">
      <c r="A1261" s="60" t="n"/>
      <c r="B1261" s="63" t="n"/>
      <c r="C1261" s="63" t="n"/>
      <c r="D1261" s="67" t="n"/>
      <c r="E1261" s="68" t="n"/>
      <c r="F1261" s="69" t="n"/>
      <c r="G1261" s="70" t="n"/>
      <c r="H1261" s="62" t="str">
        <f>IF(COUNTA(A1261:G1261)=0,"",IF(C1261&lt;&gt;"",C1261,IF(B1261="","",IFERROR(INDEX(pr_des,MATCH(B1261,pr_code,0))&amp;"",""))))</f>
        <v/>
      </c>
      <c r="I1261" s="59" t="str">
        <f>IF(B1261="","",IFERROR(INDEX(pr_unit,MATCH(B1261,pr_code,0))&amp;"",""))</f>
        <v/>
      </c>
      <c r="J1261" s="65" t="str">
        <f>IF(COUNTA(A1261:G1261)=0,"",IF(E1261&lt;&gt;"",E1261,IF(B1261="","",IFERROR(IF(INDEX(pr_price,MATCH(B1261,pr_code,0))="","",INDEX(pr_price,MATCH(B1261,pr_code,0))),""))))</f>
        <v/>
      </c>
      <c r="K1261" s="71" t="str">
        <f>IF(COUNTA(A1261:G1261)=0,"",IF(G1261&lt;&gt;"",G1261,IF(B1261="","",IFERROR(IF(INDEX(pr_rate,MATCH(B1261,pr_code,0))="","",INDEX(pr_rate,MATCH(B1261,pr_code,0))),""))))</f>
        <v/>
      </c>
      <c r="L1261" s="65" t="str">
        <f>IF(COUNTA(A1261:G1261)=0,"",IF(AND(ISNUMBER(D1261),ISNUMBER(J1261)),ROUND(D1261*J1261*(1-N(F1261)),2),0))</f>
        <v/>
      </c>
      <c r="M1261" s="62" t="str">
        <f>IF(A1261="","",IFERROR(INDEX(fa_cname,MATCH(A1261,fa_num,0))&amp;"",""))</f>
        <v/>
      </c>
      <c r="N1261" s="59" t="str">
        <f>IF(COUNTA(A1261:G1261)=0,"",IF(A1261="","N° facture manquant",IF(ISNA(MATCH(A1261,fa_num,0)),"Facture inconnue",IF(AND(B1261&lt;&gt;"",ISNA(MATCH(B1261,pr_code,0))),"Article inconnu",IF(H1261="","Désignation manquante",IF(OR(NOT(ISNUMBER(D1261)),N(D1261)&lt;=0),"Quantité invalide",IF(J1261="","Prix manquant",IF(OR(NOT(ISNUMBER(J1261)),N(J1261)&lt;0),"Prix invalide",IF(OR(AND(F1261&lt;&gt;"",NOT(ISNUMBER(F1261))),N(F1261)&lt;0,N(F1261)&gt;1),"Remise invalide",IF(K1261="","Taux de TVA manquant",IF(NOT(ISNUMBER(K1261)),"Taux de TVA invalide",IF(COUNTIF(p_rates,K1261)=0,"Taux de TVA hors liste (Paramètres)",IF(N(O1261)&gt;25,"Au-delà de 25 lignes : non imprimée","OK")))))))))))))</f>
        <v/>
      </c>
      <c r="O1261" s="59" t="str">
        <f>IF(A1261="","",COUNTIF($A$6:A1261,A1261))</f>
        <v/>
      </c>
      <c r="P1261" s="62" t="str">
        <f>IF(A1261="","",A1261&amp;"|"&amp;O1261)</f>
        <v/>
      </c>
    </row>
    <row r="1262">
      <c r="A1262" s="60" t="n"/>
      <c r="B1262" s="63" t="n"/>
      <c r="C1262" s="63" t="n"/>
      <c r="D1262" s="67" t="n"/>
      <c r="E1262" s="68" t="n"/>
      <c r="F1262" s="69" t="n"/>
      <c r="G1262" s="70" t="n"/>
      <c r="H1262" s="62" t="str">
        <f>IF(COUNTA(A1262:G1262)=0,"",IF(C1262&lt;&gt;"",C1262,IF(B1262="","",IFERROR(INDEX(pr_des,MATCH(B1262,pr_code,0))&amp;"",""))))</f>
        <v/>
      </c>
      <c r="I1262" s="59" t="str">
        <f>IF(B1262="","",IFERROR(INDEX(pr_unit,MATCH(B1262,pr_code,0))&amp;"",""))</f>
        <v/>
      </c>
      <c r="J1262" s="65" t="str">
        <f>IF(COUNTA(A1262:G1262)=0,"",IF(E1262&lt;&gt;"",E1262,IF(B1262="","",IFERROR(IF(INDEX(pr_price,MATCH(B1262,pr_code,0))="","",INDEX(pr_price,MATCH(B1262,pr_code,0))),""))))</f>
        <v/>
      </c>
      <c r="K1262" s="71" t="str">
        <f>IF(COUNTA(A1262:G1262)=0,"",IF(G1262&lt;&gt;"",G1262,IF(B1262="","",IFERROR(IF(INDEX(pr_rate,MATCH(B1262,pr_code,0))="","",INDEX(pr_rate,MATCH(B1262,pr_code,0))),""))))</f>
        <v/>
      </c>
      <c r="L1262" s="65" t="str">
        <f>IF(COUNTA(A1262:G1262)=0,"",IF(AND(ISNUMBER(D1262),ISNUMBER(J1262)),ROUND(D1262*J1262*(1-N(F1262)),2),0))</f>
        <v/>
      </c>
      <c r="M1262" s="62" t="str">
        <f>IF(A1262="","",IFERROR(INDEX(fa_cname,MATCH(A1262,fa_num,0))&amp;"",""))</f>
        <v/>
      </c>
      <c r="N1262" s="59" t="str">
        <f>IF(COUNTA(A1262:G1262)=0,"",IF(A1262="","N° facture manquant",IF(ISNA(MATCH(A1262,fa_num,0)),"Facture inconnue",IF(AND(B1262&lt;&gt;"",ISNA(MATCH(B1262,pr_code,0))),"Article inconnu",IF(H1262="","Désignation manquante",IF(OR(NOT(ISNUMBER(D1262)),N(D1262)&lt;=0),"Quantité invalide",IF(J1262="","Prix manquant",IF(OR(NOT(ISNUMBER(J1262)),N(J1262)&lt;0),"Prix invalide",IF(OR(AND(F1262&lt;&gt;"",NOT(ISNUMBER(F1262))),N(F1262)&lt;0,N(F1262)&gt;1),"Remise invalide",IF(K1262="","Taux de TVA manquant",IF(NOT(ISNUMBER(K1262)),"Taux de TVA invalide",IF(COUNTIF(p_rates,K1262)=0,"Taux de TVA hors liste (Paramètres)",IF(N(O1262)&gt;25,"Au-delà de 25 lignes : non imprimée","OK")))))))))))))</f>
        <v/>
      </c>
      <c r="O1262" s="59" t="str">
        <f>IF(A1262="","",COUNTIF($A$6:A1262,A1262))</f>
        <v/>
      </c>
      <c r="P1262" s="62" t="str">
        <f>IF(A1262="","",A1262&amp;"|"&amp;O1262)</f>
        <v/>
      </c>
    </row>
    <row r="1263">
      <c r="A1263" s="60" t="n"/>
      <c r="B1263" s="63" t="n"/>
      <c r="C1263" s="63" t="n"/>
      <c r="D1263" s="67" t="n"/>
      <c r="E1263" s="68" t="n"/>
      <c r="F1263" s="69" t="n"/>
      <c r="G1263" s="70" t="n"/>
      <c r="H1263" s="62" t="str">
        <f>IF(COUNTA(A1263:G1263)=0,"",IF(C1263&lt;&gt;"",C1263,IF(B1263="","",IFERROR(INDEX(pr_des,MATCH(B1263,pr_code,0))&amp;"",""))))</f>
        <v/>
      </c>
      <c r="I1263" s="59" t="str">
        <f>IF(B1263="","",IFERROR(INDEX(pr_unit,MATCH(B1263,pr_code,0))&amp;"",""))</f>
        <v/>
      </c>
      <c r="J1263" s="65" t="str">
        <f>IF(COUNTA(A1263:G1263)=0,"",IF(E1263&lt;&gt;"",E1263,IF(B1263="","",IFERROR(IF(INDEX(pr_price,MATCH(B1263,pr_code,0))="","",INDEX(pr_price,MATCH(B1263,pr_code,0))),""))))</f>
        <v/>
      </c>
      <c r="K1263" s="71" t="str">
        <f>IF(COUNTA(A1263:G1263)=0,"",IF(G1263&lt;&gt;"",G1263,IF(B1263="","",IFERROR(IF(INDEX(pr_rate,MATCH(B1263,pr_code,0))="","",INDEX(pr_rate,MATCH(B1263,pr_code,0))),""))))</f>
        <v/>
      </c>
      <c r="L1263" s="65" t="str">
        <f>IF(COUNTA(A1263:G1263)=0,"",IF(AND(ISNUMBER(D1263),ISNUMBER(J1263)),ROUND(D1263*J1263*(1-N(F1263)),2),0))</f>
        <v/>
      </c>
      <c r="M1263" s="62" t="str">
        <f>IF(A1263="","",IFERROR(INDEX(fa_cname,MATCH(A1263,fa_num,0))&amp;"",""))</f>
        <v/>
      </c>
      <c r="N1263" s="59" t="str">
        <f>IF(COUNTA(A1263:G1263)=0,"",IF(A1263="","N° facture manquant",IF(ISNA(MATCH(A1263,fa_num,0)),"Facture inconnue",IF(AND(B1263&lt;&gt;"",ISNA(MATCH(B1263,pr_code,0))),"Article inconnu",IF(H1263="","Désignation manquante",IF(OR(NOT(ISNUMBER(D1263)),N(D1263)&lt;=0),"Quantité invalide",IF(J1263="","Prix manquant",IF(OR(NOT(ISNUMBER(J1263)),N(J1263)&lt;0),"Prix invalide",IF(OR(AND(F1263&lt;&gt;"",NOT(ISNUMBER(F1263))),N(F1263)&lt;0,N(F1263)&gt;1),"Remise invalide",IF(K1263="","Taux de TVA manquant",IF(NOT(ISNUMBER(K1263)),"Taux de TVA invalide",IF(COUNTIF(p_rates,K1263)=0,"Taux de TVA hors liste (Paramètres)",IF(N(O1263)&gt;25,"Au-delà de 25 lignes : non imprimée","OK")))))))))))))</f>
        <v/>
      </c>
      <c r="O1263" s="59" t="str">
        <f>IF(A1263="","",COUNTIF($A$6:A1263,A1263))</f>
        <v/>
      </c>
      <c r="P1263" s="62" t="str">
        <f>IF(A1263="","",A1263&amp;"|"&amp;O1263)</f>
        <v/>
      </c>
    </row>
    <row r="1264">
      <c r="A1264" s="60" t="n"/>
      <c r="B1264" s="63" t="n"/>
      <c r="C1264" s="63" t="n"/>
      <c r="D1264" s="67" t="n"/>
      <c r="E1264" s="68" t="n"/>
      <c r="F1264" s="69" t="n"/>
      <c r="G1264" s="70" t="n"/>
      <c r="H1264" s="62" t="str">
        <f>IF(COUNTA(A1264:G1264)=0,"",IF(C1264&lt;&gt;"",C1264,IF(B1264="","",IFERROR(INDEX(pr_des,MATCH(B1264,pr_code,0))&amp;"",""))))</f>
        <v/>
      </c>
      <c r="I1264" s="59" t="str">
        <f>IF(B1264="","",IFERROR(INDEX(pr_unit,MATCH(B1264,pr_code,0))&amp;"",""))</f>
        <v/>
      </c>
      <c r="J1264" s="65" t="str">
        <f>IF(COUNTA(A1264:G1264)=0,"",IF(E1264&lt;&gt;"",E1264,IF(B1264="","",IFERROR(IF(INDEX(pr_price,MATCH(B1264,pr_code,0))="","",INDEX(pr_price,MATCH(B1264,pr_code,0))),""))))</f>
        <v/>
      </c>
      <c r="K1264" s="71" t="str">
        <f>IF(COUNTA(A1264:G1264)=0,"",IF(G1264&lt;&gt;"",G1264,IF(B1264="","",IFERROR(IF(INDEX(pr_rate,MATCH(B1264,pr_code,0))="","",INDEX(pr_rate,MATCH(B1264,pr_code,0))),""))))</f>
        <v/>
      </c>
      <c r="L1264" s="65" t="str">
        <f>IF(COUNTA(A1264:G1264)=0,"",IF(AND(ISNUMBER(D1264),ISNUMBER(J1264)),ROUND(D1264*J1264*(1-N(F1264)),2),0))</f>
        <v/>
      </c>
      <c r="M1264" s="62" t="str">
        <f>IF(A1264="","",IFERROR(INDEX(fa_cname,MATCH(A1264,fa_num,0))&amp;"",""))</f>
        <v/>
      </c>
      <c r="N1264" s="59" t="str">
        <f>IF(COUNTA(A1264:G1264)=0,"",IF(A1264="","N° facture manquant",IF(ISNA(MATCH(A1264,fa_num,0)),"Facture inconnue",IF(AND(B1264&lt;&gt;"",ISNA(MATCH(B1264,pr_code,0))),"Article inconnu",IF(H1264="","Désignation manquante",IF(OR(NOT(ISNUMBER(D1264)),N(D1264)&lt;=0),"Quantité invalide",IF(J1264="","Prix manquant",IF(OR(NOT(ISNUMBER(J1264)),N(J1264)&lt;0),"Prix invalide",IF(OR(AND(F1264&lt;&gt;"",NOT(ISNUMBER(F1264))),N(F1264)&lt;0,N(F1264)&gt;1),"Remise invalide",IF(K1264="","Taux de TVA manquant",IF(NOT(ISNUMBER(K1264)),"Taux de TVA invalide",IF(COUNTIF(p_rates,K1264)=0,"Taux de TVA hors liste (Paramètres)",IF(N(O1264)&gt;25,"Au-delà de 25 lignes : non imprimée","OK")))))))))))))</f>
        <v/>
      </c>
      <c r="O1264" s="59" t="str">
        <f>IF(A1264="","",COUNTIF($A$6:A1264,A1264))</f>
        <v/>
      </c>
      <c r="P1264" s="62" t="str">
        <f>IF(A1264="","",A1264&amp;"|"&amp;O1264)</f>
        <v/>
      </c>
    </row>
    <row r="1265">
      <c r="A1265" s="60" t="n"/>
      <c r="B1265" s="63" t="n"/>
      <c r="C1265" s="63" t="n"/>
      <c r="D1265" s="67" t="n"/>
      <c r="E1265" s="68" t="n"/>
      <c r="F1265" s="69" t="n"/>
      <c r="G1265" s="70" t="n"/>
      <c r="H1265" s="62" t="str">
        <f>IF(COUNTA(A1265:G1265)=0,"",IF(C1265&lt;&gt;"",C1265,IF(B1265="","",IFERROR(INDEX(pr_des,MATCH(B1265,pr_code,0))&amp;"",""))))</f>
        <v/>
      </c>
      <c r="I1265" s="59" t="str">
        <f>IF(B1265="","",IFERROR(INDEX(pr_unit,MATCH(B1265,pr_code,0))&amp;"",""))</f>
        <v/>
      </c>
      <c r="J1265" s="65" t="str">
        <f>IF(COUNTA(A1265:G1265)=0,"",IF(E1265&lt;&gt;"",E1265,IF(B1265="","",IFERROR(IF(INDEX(pr_price,MATCH(B1265,pr_code,0))="","",INDEX(pr_price,MATCH(B1265,pr_code,0))),""))))</f>
        <v/>
      </c>
      <c r="K1265" s="71" t="str">
        <f>IF(COUNTA(A1265:G1265)=0,"",IF(G1265&lt;&gt;"",G1265,IF(B1265="","",IFERROR(IF(INDEX(pr_rate,MATCH(B1265,pr_code,0))="","",INDEX(pr_rate,MATCH(B1265,pr_code,0))),""))))</f>
        <v/>
      </c>
      <c r="L1265" s="65" t="str">
        <f>IF(COUNTA(A1265:G1265)=0,"",IF(AND(ISNUMBER(D1265),ISNUMBER(J1265)),ROUND(D1265*J1265*(1-N(F1265)),2),0))</f>
        <v/>
      </c>
      <c r="M1265" s="62" t="str">
        <f>IF(A1265="","",IFERROR(INDEX(fa_cname,MATCH(A1265,fa_num,0))&amp;"",""))</f>
        <v/>
      </c>
      <c r="N1265" s="59" t="str">
        <f>IF(COUNTA(A1265:G1265)=0,"",IF(A1265="","N° facture manquant",IF(ISNA(MATCH(A1265,fa_num,0)),"Facture inconnue",IF(AND(B1265&lt;&gt;"",ISNA(MATCH(B1265,pr_code,0))),"Article inconnu",IF(H1265="","Désignation manquante",IF(OR(NOT(ISNUMBER(D1265)),N(D1265)&lt;=0),"Quantité invalide",IF(J1265="","Prix manquant",IF(OR(NOT(ISNUMBER(J1265)),N(J1265)&lt;0),"Prix invalide",IF(OR(AND(F1265&lt;&gt;"",NOT(ISNUMBER(F1265))),N(F1265)&lt;0,N(F1265)&gt;1),"Remise invalide",IF(K1265="","Taux de TVA manquant",IF(NOT(ISNUMBER(K1265)),"Taux de TVA invalide",IF(COUNTIF(p_rates,K1265)=0,"Taux de TVA hors liste (Paramètres)",IF(N(O1265)&gt;25,"Au-delà de 25 lignes : non imprimée","OK")))))))))))))</f>
        <v/>
      </c>
      <c r="O1265" s="59" t="str">
        <f>IF(A1265="","",COUNTIF($A$6:A1265,A1265))</f>
        <v/>
      </c>
      <c r="P1265" s="62" t="str">
        <f>IF(A1265="","",A1265&amp;"|"&amp;O1265)</f>
        <v/>
      </c>
    </row>
    <row r="1266">
      <c r="A1266" s="60" t="n"/>
      <c r="B1266" s="63" t="n"/>
      <c r="C1266" s="63" t="n"/>
      <c r="D1266" s="67" t="n"/>
      <c r="E1266" s="68" t="n"/>
      <c r="F1266" s="69" t="n"/>
      <c r="G1266" s="70" t="n"/>
      <c r="H1266" s="62" t="str">
        <f>IF(COUNTA(A1266:G1266)=0,"",IF(C1266&lt;&gt;"",C1266,IF(B1266="","",IFERROR(INDEX(pr_des,MATCH(B1266,pr_code,0))&amp;"",""))))</f>
        <v/>
      </c>
      <c r="I1266" s="59" t="str">
        <f>IF(B1266="","",IFERROR(INDEX(pr_unit,MATCH(B1266,pr_code,0))&amp;"",""))</f>
        <v/>
      </c>
      <c r="J1266" s="65" t="str">
        <f>IF(COUNTA(A1266:G1266)=0,"",IF(E1266&lt;&gt;"",E1266,IF(B1266="","",IFERROR(IF(INDEX(pr_price,MATCH(B1266,pr_code,0))="","",INDEX(pr_price,MATCH(B1266,pr_code,0))),""))))</f>
        <v/>
      </c>
      <c r="K1266" s="71" t="str">
        <f>IF(COUNTA(A1266:G1266)=0,"",IF(G1266&lt;&gt;"",G1266,IF(B1266="","",IFERROR(IF(INDEX(pr_rate,MATCH(B1266,pr_code,0))="","",INDEX(pr_rate,MATCH(B1266,pr_code,0))),""))))</f>
        <v/>
      </c>
      <c r="L1266" s="65" t="str">
        <f>IF(COUNTA(A1266:G1266)=0,"",IF(AND(ISNUMBER(D1266),ISNUMBER(J1266)),ROUND(D1266*J1266*(1-N(F1266)),2),0))</f>
        <v/>
      </c>
      <c r="M1266" s="62" t="str">
        <f>IF(A1266="","",IFERROR(INDEX(fa_cname,MATCH(A1266,fa_num,0))&amp;"",""))</f>
        <v/>
      </c>
      <c r="N1266" s="59" t="str">
        <f>IF(COUNTA(A1266:G1266)=0,"",IF(A1266="","N° facture manquant",IF(ISNA(MATCH(A1266,fa_num,0)),"Facture inconnue",IF(AND(B1266&lt;&gt;"",ISNA(MATCH(B1266,pr_code,0))),"Article inconnu",IF(H1266="","Désignation manquante",IF(OR(NOT(ISNUMBER(D1266)),N(D1266)&lt;=0),"Quantité invalide",IF(J1266="","Prix manquant",IF(OR(NOT(ISNUMBER(J1266)),N(J1266)&lt;0),"Prix invalide",IF(OR(AND(F1266&lt;&gt;"",NOT(ISNUMBER(F1266))),N(F1266)&lt;0,N(F1266)&gt;1),"Remise invalide",IF(K1266="","Taux de TVA manquant",IF(NOT(ISNUMBER(K1266)),"Taux de TVA invalide",IF(COUNTIF(p_rates,K1266)=0,"Taux de TVA hors liste (Paramètres)",IF(N(O1266)&gt;25,"Au-delà de 25 lignes : non imprimée","OK")))))))))))))</f>
        <v/>
      </c>
      <c r="O1266" s="59" t="str">
        <f>IF(A1266="","",COUNTIF($A$6:A1266,A1266))</f>
        <v/>
      </c>
      <c r="P1266" s="62" t="str">
        <f>IF(A1266="","",A1266&amp;"|"&amp;O1266)</f>
        <v/>
      </c>
    </row>
    <row r="1267">
      <c r="A1267" s="60" t="n"/>
      <c r="B1267" s="63" t="n"/>
      <c r="C1267" s="63" t="n"/>
      <c r="D1267" s="67" t="n"/>
      <c r="E1267" s="68" t="n"/>
      <c r="F1267" s="69" t="n"/>
      <c r="G1267" s="70" t="n"/>
      <c r="H1267" s="62" t="str">
        <f>IF(COUNTA(A1267:G1267)=0,"",IF(C1267&lt;&gt;"",C1267,IF(B1267="","",IFERROR(INDEX(pr_des,MATCH(B1267,pr_code,0))&amp;"",""))))</f>
        <v/>
      </c>
      <c r="I1267" s="59" t="str">
        <f>IF(B1267="","",IFERROR(INDEX(pr_unit,MATCH(B1267,pr_code,0))&amp;"",""))</f>
        <v/>
      </c>
      <c r="J1267" s="65" t="str">
        <f>IF(COUNTA(A1267:G1267)=0,"",IF(E1267&lt;&gt;"",E1267,IF(B1267="","",IFERROR(IF(INDEX(pr_price,MATCH(B1267,pr_code,0))="","",INDEX(pr_price,MATCH(B1267,pr_code,0))),""))))</f>
        <v/>
      </c>
      <c r="K1267" s="71" t="str">
        <f>IF(COUNTA(A1267:G1267)=0,"",IF(G1267&lt;&gt;"",G1267,IF(B1267="","",IFERROR(IF(INDEX(pr_rate,MATCH(B1267,pr_code,0))="","",INDEX(pr_rate,MATCH(B1267,pr_code,0))),""))))</f>
        <v/>
      </c>
      <c r="L1267" s="65" t="str">
        <f>IF(COUNTA(A1267:G1267)=0,"",IF(AND(ISNUMBER(D1267),ISNUMBER(J1267)),ROUND(D1267*J1267*(1-N(F1267)),2),0))</f>
        <v/>
      </c>
      <c r="M1267" s="62" t="str">
        <f>IF(A1267="","",IFERROR(INDEX(fa_cname,MATCH(A1267,fa_num,0))&amp;"",""))</f>
        <v/>
      </c>
      <c r="N1267" s="59" t="str">
        <f>IF(COUNTA(A1267:G1267)=0,"",IF(A1267="","N° facture manquant",IF(ISNA(MATCH(A1267,fa_num,0)),"Facture inconnue",IF(AND(B1267&lt;&gt;"",ISNA(MATCH(B1267,pr_code,0))),"Article inconnu",IF(H1267="","Désignation manquante",IF(OR(NOT(ISNUMBER(D1267)),N(D1267)&lt;=0),"Quantité invalide",IF(J1267="","Prix manquant",IF(OR(NOT(ISNUMBER(J1267)),N(J1267)&lt;0),"Prix invalide",IF(OR(AND(F1267&lt;&gt;"",NOT(ISNUMBER(F1267))),N(F1267)&lt;0,N(F1267)&gt;1),"Remise invalide",IF(K1267="","Taux de TVA manquant",IF(NOT(ISNUMBER(K1267)),"Taux de TVA invalide",IF(COUNTIF(p_rates,K1267)=0,"Taux de TVA hors liste (Paramètres)",IF(N(O1267)&gt;25,"Au-delà de 25 lignes : non imprimée","OK")))))))))))))</f>
        <v/>
      </c>
      <c r="O1267" s="59" t="str">
        <f>IF(A1267="","",COUNTIF($A$6:A1267,A1267))</f>
        <v/>
      </c>
      <c r="P1267" s="62" t="str">
        <f>IF(A1267="","",A1267&amp;"|"&amp;O1267)</f>
        <v/>
      </c>
    </row>
    <row r="1268">
      <c r="A1268" s="60" t="n"/>
      <c r="B1268" s="63" t="n"/>
      <c r="C1268" s="63" t="n"/>
      <c r="D1268" s="67" t="n"/>
      <c r="E1268" s="68" t="n"/>
      <c r="F1268" s="69" t="n"/>
      <c r="G1268" s="70" t="n"/>
      <c r="H1268" s="62" t="str">
        <f>IF(COUNTA(A1268:G1268)=0,"",IF(C1268&lt;&gt;"",C1268,IF(B1268="","",IFERROR(INDEX(pr_des,MATCH(B1268,pr_code,0))&amp;"",""))))</f>
        <v/>
      </c>
      <c r="I1268" s="59" t="str">
        <f>IF(B1268="","",IFERROR(INDEX(pr_unit,MATCH(B1268,pr_code,0))&amp;"",""))</f>
        <v/>
      </c>
      <c r="J1268" s="65" t="str">
        <f>IF(COUNTA(A1268:G1268)=0,"",IF(E1268&lt;&gt;"",E1268,IF(B1268="","",IFERROR(IF(INDEX(pr_price,MATCH(B1268,pr_code,0))="","",INDEX(pr_price,MATCH(B1268,pr_code,0))),""))))</f>
        <v/>
      </c>
      <c r="K1268" s="71" t="str">
        <f>IF(COUNTA(A1268:G1268)=0,"",IF(G1268&lt;&gt;"",G1268,IF(B1268="","",IFERROR(IF(INDEX(pr_rate,MATCH(B1268,pr_code,0))="","",INDEX(pr_rate,MATCH(B1268,pr_code,0))),""))))</f>
        <v/>
      </c>
      <c r="L1268" s="65" t="str">
        <f>IF(COUNTA(A1268:G1268)=0,"",IF(AND(ISNUMBER(D1268),ISNUMBER(J1268)),ROUND(D1268*J1268*(1-N(F1268)),2),0))</f>
        <v/>
      </c>
      <c r="M1268" s="62" t="str">
        <f>IF(A1268="","",IFERROR(INDEX(fa_cname,MATCH(A1268,fa_num,0))&amp;"",""))</f>
        <v/>
      </c>
      <c r="N1268" s="59" t="str">
        <f>IF(COUNTA(A1268:G1268)=0,"",IF(A1268="","N° facture manquant",IF(ISNA(MATCH(A1268,fa_num,0)),"Facture inconnue",IF(AND(B1268&lt;&gt;"",ISNA(MATCH(B1268,pr_code,0))),"Article inconnu",IF(H1268="","Désignation manquante",IF(OR(NOT(ISNUMBER(D1268)),N(D1268)&lt;=0),"Quantité invalide",IF(J1268="","Prix manquant",IF(OR(NOT(ISNUMBER(J1268)),N(J1268)&lt;0),"Prix invalide",IF(OR(AND(F1268&lt;&gt;"",NOT(ISNUMBER(F1268))),N(F1268)&lt;0,N(F1268)&gt;1),"Remise invalide",IF(K1268="","Taux de TVA manquant",IF(NOT(ISNUMBER(K1268)),"Taux de TVA invalide",IF(COUNTIF(p_rates,K1268)=0,"Taux de TVA hors liste (Paramètres)",IF(N(O1268)&gt;25,"Au-delà de 25 lignes : non imprimée","OK")))))))))))))</f>
        <v/>
      </c>
      <c r="O1268" s="59" t="str">
        <f>IF(A1268="","",COUNTIF($A$6:A1268,A1268))</f>
        <v/>
      </c>
      <c r="P1268" s="62" t="str">
        <f>IF(A1268="","",A1268&amp;"|"&amp;O1268)</f>
        <v/>
      </c>
    </row>
    <row r="1269">
      <c r="A1269" s="60" t="n"/>
      <c r="B1269" s="63" t="n"/>
      <c r="C1269" s="63" t="n"/>
      <c r="D1269" s="67" t="n"/>
      <c r="E1269" s="68" t="n"/>
      <c r="F1269" s="69" t="n"/>
      <c r="G1269" s="70" t="n"/>
      <c r="H1269" s="62" t="str">
        <f>IF(COUNTA(A1269:G1269)=0,"",IF(C1269&lt;&gt;"",C1269,IF(B1269="","",IFERROR(INDEX(pr_des,MATCH(B1269,pr_code,0))&amp;"",""))))</f>
        <v/>
      </c>
      <c r="I1269" s="59" t="str">
        <f>IF(B1269="","",IFERROR(INDEX(pr_unit,MATCH(B1269,pr_code,0))&amp;"",""))</f>
        <v/>
      </c>
      <c r="J1269" s="65" t="str">
        <f>IF(COUNTA(A1269:G1269)=0,"",IF(E1269&lt;&gt;"",E1269,IF(B1269="","",IFERROR(IF(INDEX(pr_price,MATCH(B1269,pr_code,0))="","",INDEX(pr_price,MATCH(B1269,pr_code,0))),""))))</f>
        <v/>
      </c>
      <c r="K1269" s="71" t="str">
        <f>IF(COUNTA(A1269:G1269)=0,"",IF(G1269&lt;&gt;"",G1269,IF(B1269="","",IFERROR(IF(INDEX(pr_rate,MATCH(B1269,pr_code,0))="","",INDEX(pr_rate,MATCH(B1269,pr_code,0))),""))))</f>
        <v/>
      </c>
      <c r="L1269" s="65" t="str">
        <f>IF(COUNTA(A1269:G1269)=0,"",IF(AND(ISNUMBER(D1269),ISNUMBER(J1269)),ROUND(D1269*J1269*(1-N(F1269)),2),0))</f>
        <v/>
      </c>
      <c r="M1269" s="62" t="str">
        <f>IF(A1269="","",IFERROR(INDEX(fa_cname,MATCH(A1269,fa_num,0))&amp;"",""))</f>
        <v/>
      </c>
      <c r="N1269" s="59" t="str">
        <f>IF(COUNTA(A1269:G1269)=0,"",IF(A1269="","N° facture manquant",IF(ISNA(MATCH(A1269,fa_num,0)),"Facture inconnue",IF(AND(B1269&lt;&gt;"",ISNA(MATCH(B1269,pr_code,0))),"Article inconnu",IF(H1269="","Désignation manquante",IF(OR(NOT(ISNUMBER(D1269)),N(D1269)&lt;=0),"Quantité invalide",IF(J1269="","Prix manquant",IF(OR(NOT(ISNUMBER(J1269)),N(J1269)&lt;0),"Prix invalide",IF(OR(AND(F1269&lt;&gt;"",NOT(ISNUMBER(F1269))),N(F1269)&lt;0,N(F1269)&gt;1),"Remise invalide",IF(K1269="","Taux de TVA manquant",IF(NOT(ISNUMBER(K1269)),"Taux de TVA invalide",IF(COUNTIF(p_rates,K1269)=0,"Taux de TVA hors liste (Paramètres)",IF(N(O1269)&gt;25,"Au-delà de 25 lignes : non imprimée","OK")))))))))))))</f>
        <v/>
      </c>
      <c r="O1269" s="59" t="str">
        <f>IF(A1269="","",COUNTIF($A$6:A1269,A1269))</f>
        <v/>
      </c>
      <c r="P1269" s="62" t="str">
        <f>IF(A1269="","",A1269&amp;"|"&amp;O1269)</f>
        <v/>
      </c>
    </row>
    <row r="1270">
      <c r="A1270" s="60" t="n"/>
      <c r="B1270" s="63" t="n"/>
      <c r="C1270" s="63" t="n"/>
      <c r="D1270" s="67" t="n"/>
      <c r="E1270" s="68" t="n"/>
      <c r="F1270" s="69" t="n"/>
      <c r="G1270" s="70" t="n"/>
      <c r="H1270" s="62" t="str">
        <f>IF(COUNTA(A1270:G1270)=0,"",IF(C1270&lt;&gt;"",C1270,IF(B1270="","",IFERROR(INDEX(pr_des,MATCH(B1270,pr_code,0))&amp;"",""))))</f>
        <v/>
      </c>
      <c r="I1270" s="59" t="str">
        <f>IF(B1270="","",IFERROR(INDEX(pr_unit,MATCH(B1270,pr_code,0))&amp;"",""))</f>
        <v/>
      </c>
      <c r="J1270" s="65" t="str">
        <f>IF(COUNTA(A1270:G1270)=0,"",IF(E1270&lt;&gt;"",E1270,IF(B1270="","",IFERROR(IF(INDEX(pr_price,MATCH(B1270,pr_code,0))="","",INDEX(pr_price,MATCH(B1270,pr_code,0))),""))))</f>
        <v/>
      </c>
      <c r="K1270" s="71" t="str">
        <f>IF(COUNTA(A1270:G1270)=0,"",IF(G1270&lt;&gt;"",G1270,IF(B1270="","",IFERROR(IF(INDEX(pr_rate,MATCH(B1270,pr_code,0))="","",INDEX(pr_rate,MATCH(B1270,pr_code,0))),""))))</f>
        <v/>
      </c>
      <c r="L1270" s="65" t="str">
        <f>IF(COUNTA(A1270:G1270)=0,"",IF(AND(ISNUMBER(D1270),ISNUMBER(J1270)),ROUND(D1270*J1270*(1-N(F1270)),2),0))</f>
        <v/>
      </c>
      <c r="M1270" s="62" t="str">
        <f>IF(A1270="","",IFERROR(INDEX(fa_cname,MATCH(A1270,fa_num,0))&amp;"",""))</f>
        <v/>
      </c>
      <c r="N1270" s="59" t="str">
        <f>IF(COUNTA(A1270:G1270)=0,"",IF(A1270="","N° facture manquant",IF(ISNA(MATCH(A1270,fa_num,0)),"Facture inconnue",IF(AND(B1270&lt;&gt;"",ISNA(MATCH(B1270,pr_code,0))),"Article inconnu",IF(H1270="","Désignation manquante",IF(OR(NOT(ISNUMBER(D1270)),N(D1270)&lt;=0),"Quantité invalide",IF(J1270="","Prix manquant",IF(OR(NOT(ISNUMBER(J1270)),N(J1270)&lt;0),"Prix invalide",IF(OR(AND(F1270&lt;&gt;"",NOT(ISNUMBER(F1270))),N(F1270)&lt;0,N(F1270)&gt;1),"Remise invalide",IF(K1270="","Taux de TVA manquant",IF(NOT(ISNUMBER(K1270)),"Taux de TVA invalide",IF(COUNTIF(p_rates,K1270)=0,"Taux de TVA hors liste (Paramètres)",IF(N(O1270)&gt;25,"Au-delà de 25 lignes : non imprimée","OK")))))))))))))</f>
        <v/>
      </c>
      <c r="O1270" s="59" t="str">
        <f>IF(A1270="","",COUNTIF($A$6:A1270,A1270))</f>
        <v/>
      </c>
      <c r="P1270" s="62" t="str">
        <f>IF(A1270="","",A1270&amp;"|"&amp;O1270)</f>
        <v/>
      </c>
    </row>
    <row r="1271">
      <c r="A1271" s="60" t="n"/>
      <c r="B1271" s="63" t="n"/>
      <c r="C1271" s="63" t="n"/>
      <c r="D1271" s="67" t="n"/>
      <c r="E1271" s="68" t="n"/>
      <c r="F1271" s="69" t="n"/>
      <c r="G1271" s="70" t="n"/>
      <c r="H1271" s="62" t="str">
        <f>IF(COUNTA(A1271:G1271)=0,"",IF(C1271&lt;&gt;"",C1271,IF(B1271="","",IFERROR(INDEX(pr_des,MATCH(B1271,pr_code,0))&amp;"",""))))</f>
        <v/>
      </c>
      <c r="I1271" s="59" t="str">
        <f>IF(B1271="","",IFERROR(INDEX(pr_unit,MATCH(B1271,pr_code,0))&amp;"",""))</f>
        <v/>
      </c>
      <c r="J1271" s="65" t="str">
        <f>IF(COUNTA(A1271:G1271)=0,"",IF(E1271&lt;&gt;"",E1271,IF(B1271="","",IFERROR(IF(INDEX(pr_price,MATCH(B1271,pr_code,0))="","",INDEX(pr_price,MATCH(B1271,pr_code,0))),""))))</f>
        <v/>
      </c>
      <c r="K1271" s="71" t="str">
        <f>IF(COUNTA(A1271:G1271)=0,"",IF(G1271&lt;&gt;"",G1271,IF(B1271="","",IFERROR(IF(INDEX(pr_rate,MATCH(B1271,pr_code,0))="","",INDEX(pr_rate,MATCH(B1271,pr_code,0))),""))))</f>
        <v/>
      </c>
      <c r="L1271" s="65" t="str">
        <f>IF(COUNTA(A1271:G1271)=0,"",IF(AND(ISNUMBER(D1271),ISNUMBER(J1271)),ROUND(D1271*J1271*(1-N(F1271)),2),0))</f>
        <v/>
      </c>
      <c r="M1271" s="62" t="str">
        <f>IF(A1271="","",IFERROR(INDEX(fa_cname,MATCH(A1271,fa_num,0))&amp;"",""))</f>
        <v/>
      </c>
      <c r="N1271" s="59" t="str">
        <f>IF(COUNTA(A1271:G1271)=0,"",IF(A1271="","N° facture manquant",IF(ISNA(MATCH(A1271,fa_num,0)),"Facture inconnue",IF(AND(B1271&lt;&gt;"",ISNA(MATCH(B1271,pr_code,0))),"Article inconnu",IF(H1271="","Désignation manquante",IF(OR(NOT(ISNUMBER(D1271)),N(D1271)&lt;=0),"Quantité invalide",IF(J1271="","Prix manquant",IF(OR(NOT(ISNUMBER(J1271)),N(J1271)&lt;0),"Prix invalide",IF(OR(AND(F1271&lt;&gt;"",NOT(ISNUMBER(F1271))),N(F1271)&lt;0,N(F1271)&gt;1),"Remise invalide",IF(K1271="","Taux de TVA manquant",IF(NOT(ISNUMBER(K1271)),"Taux de TVA invalide",IF(COUNTIF(p_rates,K1271)=0,"Taux de TVA hors liste (Paramètres)",IF(N(O1271)&gt;25,"Au-delà de 25 lignes : non imprimée","OK")))))))))))))</f>
        <v/>
      </c>
      <c r="O1271" s="59" t="str">
        <f>IF(A1271="","",COUNTIF($A$6:A1271,A1271))</f>
        <v/>
      </c>
      <c r="P1271" s="62" t="str">
        <f>IF(A1271="","",A1271&amp;"|"&amp;O1271)</f>
        <v/>
      </c>
    </row>
    <row r="1272">
      <c r="A1272" s="60" t="n"/>
      <c r="B1272" s="63" t="n"/>
      <c r="C1272" s="63" t="n"/>
      <c r="D1272" s="67" t="n"/>
      <c r="E1272" s="68" t="n"/>
      <c r="F1272" s="69" t="n"/>
      <c r="G1272" s="70" t="n"/>
      <c r="H1272" s="62" t="str">
        <f>IF(COUNTA(A1272:G1272)=0,"",IF(C1272&lt;&gt;"",C1272,IF(B1272="","",IFERROR(INDEX(pr_des,MATCH(B1272,pr_code,0))&amp;"",""))))</f>
        <v/>
      </c>
      <c r="I1272" s="59" t="str">
        <f>IF(B1272="","",IFERROR(INDEX(pr_unit,MATCH(B1272,pr_code,0))&amp;"",""))</f>
        <v/>
      </c>
      <c r="J1272" s="65" t="str">
        <f>IF(COUNTA(A1272:G1272)=0,"",IF(E1272&lt;&gt;"",E1272,IF(B1272="","",IFERROR(IF(INDEX(pr_price,MATCH(B1272,pr_code,0))="","",INDEX(pr_price,MATCH(B1272,pr_code,0))),""))))</f>
        <v/>
      </c>
      <c r="K1272" s="71" t="str">
        <f>IF(COUNTA(A1272:G1272)=0,"",IF(G1272&lt;&gt;"",G1272,IF(B1272="","",IFERROR(IF(INDEX(pr_rate,MATCH(B1272,pr_code,0))="","",INDEX(pr_rate,MATCH(B1272,pr_code,0))),""))))</f>
        <v/>
      </c>
      <c r="L1272" s="65" t="str">
        <f>IF(COUNTA(A1272:G1272)=0,"",IF(AND(ISNUMBER(D1272),ISNUMBER(J1272)),ROUND(D1272*J1272*(1-N(F1272)),2),0))</f>
        <v/>
      </c>
      <c r="M1272" s="62" t="str">
        <f>IF(A1272="","",IFERROR(INDEX(fa_cname,MATCH(A1272,fa_num,0))&amp;"",""))</f>
        <v/>
      </c>
      <c r="N1272" s="59" t="str">
        <f>IF(COUNTA(A1272:G1272)=0,"",IF(A1272="","N° facture manquant",IF(ISNA(MATCH(A1272,fa_num,0)),"Facture inconnue",IF(AND(B1272&lt;&gt;"",ISNA(MATCH(B1272,pr_code,0))),"Article inconnu",IF(H1272="","Désignation manquante",IF(OR(NOT(ISNUMBER(D1272)),N(D1272)&lt;=0),"Quantité invalide",IF(J1272="","Prix manquant",IF(OR(NOT(ISNUMBER(J1272)),N(J1272)&lt;0),"Prix invalide",IF(OR(AND(F1272&lt;&gt;"",NOT(ISNUMBER(F1272))),N(F1272)&lt;0,N(F1272)&gt;1),"Remise invalide",IF(K1272="","Taux de TVA manquant",IF(NOT(ISNUMBER(K1272)),"Taux de TVA invalide",IF(COUNTIF(p_rates,K1272)=0,"Taux de TVA hors liste (Paramètres)",IF(N(O1272)&gt;25,"Au-delà de 25 lignes : non imprimée","OK")))))))))))))</f>
        <v/>
      </c>
      <c r="O1272" s="59" t="str">
        <f>IF(A1272="","",COUNTIF($A$6:A1272,A1272))</f>
        <v/>
      </c>
      <c r="P1272" s="62" t="str">
        <f>IF(A1272="","",A1272&amp;"|"&amp;O1272)</f>
        <v/>
      </c>
    </row>
    <row r="1273">
      <c r="A1273" s="60" t="n"/>
      <c r="B1273" s="63" t="n"/>
      <c r="C1273" s="63" t="n"/>
      <c r="D1273" s="67" t="n"/>
      <c r="E1273" s="68" t="n"/>
      <c r="F1273" s="69" t="n"/>
      <c r="G1273" s="70" t="n"/>
      <c r="H1273" s="62" t="str">
        <f>IF(COUNTA(A1273:G1273)=0,"",IF(C1273&lt;&gt;"",C1273,IF(B1273="","",IFERROR(INDEX(pr_des,MATCH(B1273,pr_code,0))&amp;"",""))))</f>
        <v/>
      </c>
      <c r="I1273" s="59" t="str">
        <f>IF(B1273="","",IFERROR(INDEX(pr_unit,MATCH(B1273,pr_code,0))&amp;"",""))</f>
        <v/>
      </c>
      <c r="J1273" s="65" t="str">
        <f>IF(COUNTA(A1273:G1273)=0,"",IF(E1273&lt;&gt;"",E1273,IF(B1273="","",IFERROR(IF(INDEX(pr_price,MATCH(B1273,pr_code,0))="","",INDEX(pr_price,MATCH(B1273,pr_code,0))),""))))</f>
        <v/>
      </c>
      <c r="K1273" s="71" t="str">
        <f>IF(COUNTA(A1273:G1273)=0,"",IF(G1273&lt;&gt;"",G1273,IF(B1273="","",IFERROR(IF(INDEX(pr_rate,MATCH(B1273,pr_code,0))="","",INDEX(pr_rate,MATCH(B1273,pr_code,0))),""))))</f>
        <v/>
      </c>
      <c r="L1273" s="65" t="str">
        <f>IF(COUNTA(A1273:G1273)=0,"",IF(AND(ISNUMBER(D1273),ISNUMBER(J1273)),ROUND(D1273*J1273*(1-N(F1273)),2),0))</f>
        <v/>
      </c>
      <c r="M1273" s="62" t="str">
        <f>IF(A1273="","",IFERROR(INDEX(fa_cname,MATCH(A1273,fa_num,0))&amp;"",""))</f>
        <v/>
      </c>
      <c r="N1273" s="59" t="str">
        <f>IF(COUNTA(A1273:G1273)=0,"",IF(A1273="","N° facture manquant",IF(ISNA(MATCH(A1273,fa_num,0)),"Facture inconnue",IF(AND(B1273&lt;&gt;"",ISNA(MATCH(B1273,pr_code,0))),"Article inconnu",IF(H1273="","Désignation manquante",IF(OR(NOT(ISNUMBER(D1273)),N(D1273)&lt;=0),"Quantité invalide",IF(J1273="","Prix manquant",IF(OR(NOT(ISNUMBER(J1273)),N(J1273)&lt;0),"Prix invalide",IF(OR(AND(F1273&lt;&gt;"",NOT(ISNUMBER(F1273))),N(F1273)&lt;0,N(F1273)&gt;1),"Remise invalide",IF(K1273="","Taux de TVA manquant",IF(NOT(ISNUMBER(K1273)),"Taux de TVA invalide",IF(COUNTIF(p_rates,K1273)=0,"Taux de TVA hors liste (Paramètres)",IF(N(O1273)&gt;25,"Au-delà de 25 lignes : non imprimée","OK")))))))))))))</f>
        <v/>
      </c>
      <c r="O1273" s="59" t="str">
        <f>IF(A1273="","",COUNTIF($A$6:A1273,A1273))</f>
        <v/>
      </c>
      <c r="P1273" s="62" t="str">
        <f>IF(A1273="","",A1273&amp;"|"&amp;O1273)</f>
        <v/>
      </c>
    </row>
    <row r="1274">
      <c r="A1274" s="60" t="n"/>
      <c r="B1274" s="63" t="n"/>
      <c r="C1274" s="63" t="n"/>
      <c r="D1274" s="67" t="n"/>
      <c r="E1274" s="68" t="n"/>
      <c r="F1274" s="69" t="n"/>
      <c r="G1274" s="70" t="n"/>
      <c r="H1274" s="62" t="str">
        <f>IF(COUNTA(A1274:G1274)=0,"",IF(C1274&lt;&gt;"",C1274,IF(B1274="","",IFERROR(INDEX(pr_des,MATCH(B1274,pr_code,0))&amp;"",""))))</f>
        <v/>
      </c>
      <c r="I1274" s="59" t="str">
        <f>IF(B1274="","",IFERROR(INDEX(pr_unit,MATCH(B1274,pr_code,0))&amp;"",""))</f>
        <v/>
      </c>
      <c r="J1274" s="65" t="str">
        <f>IF(COUNTA(A1274:G1274)=0,"",IF(E1274&lt;&gt;"",E1274,IF(B1274="","",IFERROR(IF(INDEX(pr_price,MATCH(B1274,pr_code,0))="","",INDEX(pr_price,MATCH(B1274,pr_code,0))),""))))</f>
        <v/>
      </c>
      <c r="K1274" s="71" t="str">
        <f>IF(COUNTA(A1274:G1274)=0,"",IF(G1274&lt;&gt;"",G1274,IF(B1274="","",IFERROR(IF(INDEX(pr_rate,MATCH(B1274,pr_code,0))="","",INDEX(pr_rate,MATCH(B1274,pr_code,0))),""))))</f>
        <v/>
      </c>
      <c r="L1274" s="65" t="str">
        <f>IF(COUNTA(A1274:G1274)=0,"",IF(AND(ISNUMBER(D1274),ISNUMBER(J1274)),ROUND(D1274*J1274*(1-N(F1274)),2),0))</f>
        <v/>
      </c>
      <c r="M1274" s="62" t="str">
        <f>IF(A1274="","",IFERROR(INDEX(fa_cname,MATCH(A1274,fa_num,0))&amp;"",""))</f>
        <v/>
      </c>
      <c r="N1274" s="59" t="str">
        <f>IF(COUNTA(A1274:G1274)=0,"",IF(A1274="","N° facture manquant",IF(ISNA(MATCH(A1274,fa_num,0)),"Facture inconnue",IF(AND(B1274&lt;&gt;"",ISNA(MATCH(B1274,pr_code,0))),"Article inconnu",IF(H1274="","Désignation manquante",IF(OR(NOT(ISNUMBER(D1274)),N(D1274)&lt;=0),"Quantité invalide",IF(J1274="","Prix manquant",IF(OR(NOT(ISNUMBER(J1274)),N(J1274)&lt;0),"Prix invalide",IF(OR(AND(F1274&lt;&gt;"",NOT(ISNUMBER(F1274))),N(F1274)&lt;0,N(F1274)&gt;1),"Remise invalide",IF(K1274="","Taux de TVA manquant",IF(NOT(ISNUMBER(K1274)),"Taux de TVA invalide",IF(COUNTIF(p_rates,K1274)=0,"Taux de TVA hors liste (Paramètres)",IF(N(O1274)&gt;25,"Au-delà de 25 lignes : non imprimée","OK")))))))))))))</f>
        <v/>
      </c>
      <c r="O1274" s="59" t="str">
        <f>IF(A1274="","",COUNTIF($A$6:A1274,A1274))</f>
        <v/>
      </c>
      <c r="P1274" s="62" t="str">
        <f>IF(A1274="","",A1274&amp;"|"&amp;O1274)</f>
        <v/>
      </c>
    </row>
    <row r="1275">
      <c r="A1275" s="60" t="n"/>
      <c r="B1275" s="63" t="n"/>
      <c r="C1275" s="63" t="n"/>
      <c r="D1275" s="67" t="n"/>
      <c r="E1275" s="68" t="n"/>
      <c r="F1275" s="69" t="n"/>
      <c r="G1275" s="70" t="n"/>
      <c r="H1275" s="62" t="str">
        <f>IF(COUNTA(A1275:G1275)=0,"",IF(C1275&lt;&gt;"",C1275,IF(B1275="","",IFERROR(INDEX(pr_des,MATCH(B1275,pr_code,0))&amp;"",""))))</f>
        <v/>
      </c>
      <c r="I1275" s="59" t="str">
        <f>IF(B1275="","",IFERROR(INDEX(pr_unit,MATCH(B1275,pr_code,0))&amp;"",""))</f>
        <v/>
      </c>
      <c r="J1275" s="65" t="str">
        <f>IF(COUNTA(A1275:G1275)=0,"",IF(E1275&lt;&gt;"",E1275,IF(B1275="","",IFERROR(IF(INDEX(pr_price,MATCH(B1275,pr_code,0))="","",INDEX(pr_price,MATCH(B1275,pr_code,0))),""))))</f>
        <v/>
      </c>
      <c r="K1275" s="71" t="str">
        <f>IF(COUNTA(A1275:G1275)=0,"",IF(G1275&lt;&gt;"",G1275,IF(B1275="","",IFERROR(IF(INDEX(pr_rate,MATCH(B1275,pr_code,0))="","",INDEX(pr_rate,MATCH(B1275,pr_code,0))),""))))</f>
        <v/>
      </c>
      <c r="L1275" s="65" t="str">
        <f>IF(COUNTA(A1275:G1275)=0,"",IF(AND(ISNUMBER(D1275),ISNUMBER(J1275)),ROUND(D1275*J1275*(1-N(F1275)),2),0))</f>
        <v/>
      </c>
      <c r="M1275" s="62" t="str">
        <f>IF(A1275="","",IFERROR(INDEX(fa_cname,MATCH(A1275,fa_num,0))&amp;"",""))</f>
        <v/>
      </c>
      <c r="N1275" s="59" t="str">
        <f>IF(COUNTA(A1275:G1275)=0,"",IF(A1275="","N° facture manquant",IF(ISNA(MATCH(A1275,fa_num,0)),"Facture inconnue",IF(AND(B1275&lt;&gt;"",ISNA(MATCH(B1275,pr_code,0))),"Article inconnu",IF(H1275="","Désignation manquante",IF(OR(NOT(ISNUMBER(D1275)),N(D1275)&lt;=0),"Quantité invalide",IF(J1275="","Prix manquant",IF(OR(NOT(ISNUMBER(J1275)),N(J1275)&lt;0),"Prix invalide",IF(OR(AND(F1275&lt;&gt;"",NOT(ISNUMBER(F1275))),N(F1275)&lt;0,N(F1275)&gt;1),"Remise invalide",IF(K1275="","Taux de TVA manquant",IF(NOT(ISNUMBER(K1275)),"Taux de TVA invalide",IF(COUNTIF(p_rates,K1275)=0,"Taux de TVA hors liste (Paramètres)",IF(N(O1275)&gt;25,"Au-delà de 25 lignes : non imprimée","OK")))))))))))))</f>
        <v/>
      </c>
      <c r="O1275" s="59" t="str">
        <f>IF(A1275="","",COUNTIF($A$6:A1275,A1275))</f>
        <v/>
      </c>
      <c r="P1275" s="62" t="str">
        <f>IF(A1275="","",A1275&amp;"|"&amp;O1275)</f>
        <v/>
      </c>
    </row>
    <row r="1276">
      <c r="A1276" s="60" t="n"/>
      <c r="B1276" s="63" t="n"/>
      <c r="C1276" s="63" t="n"/>
      <c r="D1276" s="67" t="n"/>
      <c r="E1276" s="68" t="n"/>
      <c r="F1276" s="69" t="n"/>
      <c r="G1276" s="70" t="n"/>
      <c r="H1276" s="62" t="str">
        <f>IF(COUNTA(A1276:G1276)=0,"",IF(C1276&lt;&gt;"",C1276,IF(B1276="","",IFERROR(INDEX(pr_des,MATCH(B1276,pr_code,0))&amp;"",""))))</f>
        <v/>
      </c>
      <c r="I1276" s="59" t="str">
        <f>IF(B1276="","",IFERROR(INDEX(pr_unit,MATCH(B1276,pr_code,0))&amp;"",""))</f>
        <v/>
      </c>
      <c r="J1276" s="65" t="str">
        <f>IF(COUNTA(A1276:G1276)=0,"",IF(E1276&lt;&gt;"",E1276,IF(B1276="","",IFERROR(IF(INDEX(pr_price,MATCH(B1276,pr_code,0))="","",INDEX(pr_price,MATCH(B1276,pr_code,0))),""))))</f>
        <v/>
      </c>
      <c r="K1276" s="71" t="str">
        <f>IF(COUNTA(A1276:G1276)=0,"",IF(G1276&lt;&gt;"",G1276,IF(B1276="","",IFERROR(IF(INDEX(pr_rate,MATCH(B1276,pr_code,0))="","",INDEX(pr_rate,MATCH(B1276,pr_code,0))),""))))</f>
        <v/>
      </c>
      <c r="L1276" s="65" t="str">
        <f>IF(COUNTA(A1276:G1276)=0,"",IF(AND(ISNUMBER(D1276),ISNUMBER(J1276)),ROUND(D1276*J1276*(1-N(F1276)),2),0))</f>
        <v/>
      </c>
      <c r="M1276" s="62" t="str">
        <f>IF(A1276="","",IFERROR(INDEX(fa_cname,MATCH(A1276,fa_num,0))&amp;"",""))</f>
        <v/>
      </c>
      <c r="N1276" s="59" t="str">
        <f>IF(COUNTA(A1276:G1276)=0,"",IF(A1276="","N° facture manquant",IF(ISNA(MATCH(A1276,fa_num,0)),"Facture inconnue",IF(AND(B1276&lt;&gt;"",ISNA(MATCH(B1276,pr_code,0))),"Article inconnu",IF(H1276="","Désignation manquante",IF(OR(NOT(ISNUMBER(D1276)),N(D1276)&lt;=0),"Quantité invalide",IF(J1276="","Prix manquant",IF(OR(NOT(ISNUMBER(J1276)),N(J1276)&lt;0),"Prix invalide",IF(OR(AND(F1276&lt;&gt;"",NOT(ISNUMBER(F1276))),N(F1276)&lt;0,N(F1276)&gt;1),"Remise invalide",IF(K1276="","Taux de TVA manquant",IF(NOT(ISNUMBER(K1276)),"Taux de TVA invalide",IF(COUNTIF(p_rates,K1276)=0,"Taux de TVA hors liste (Paramètres)",IF(N(O1276)&gt;25,"Au-delà de 25 lignes : non imprimée","OK")))))))))))))</f>
        <v/>
      </c>
      <c r="O1276" s="59" t="str">
        <f>IF(A1276="","",COUNTIF($A$6:A1276,A1276))</f>
        <v/>
      </c>
      <c r="P1276" s="62" t="str">
        <f>IF(A1276="","",A1276&amp;"|"&amp;O1276)</f>
        <v/>
      </c>
    </row>
    <row r="1277">
      <c r="A1277" s="60" t="n"/>
      <c r="B1277" s="63" t="n"/>
      <c r="C1277" s="63" t="n"/>
      <c r="D1277" s="67" t="n"/>
      <c r="E1277" s="68" t="n"/>
      <c r="F1277" s="69" t="n"/>
      <c r="G1277" s="70" t="n"/>
      <c r="H1277" s="62" t="str">
        <f>IF(COUNTA(A1277:G1277)=0,"",IF(C1277&lt;&gt;"",C1277,IF(B1277="","",IFERROR(INDEX(pr_des,MATCH(B1277,pr_code,0))&amp;"",""))))</f>
        <v/>
      </c>
      <c r="I1277" s="59" t="str">
        <f>IF(B1277="","",IFERROR(INDEX(pr_unit,MATCH(B1277,pr_code,0))&amp;"",""))</f>
        <v/>
      </c>
      <c r="J1277" s="65" t="str">
        <f>IF(COUNTA(A1277:G1277)=0,"",IF(E1277&lt;&gt;"",E1277,IF(B1277="","",IFERROR(IF(INDEX(pr_price,MATCH(B1277,pr_code,0))="","",INDEX(pr_price,MATCH(B1277,pr_code,0))),""))))</f>
        <v/>
      </c>
      <c r="K1277" s="71" t="str">
        <f>IF(COUNTA(A1277:G1277)=0,"",IF(G1277&lt;&gt;"",G1277,IF(B1277="","",IFERROR(IF(INDEX(pr_rate,MATCH(B1277,pr_code,0))="","",INDEX(pr_rate,MATCH(B1277,pr_code,0))),""))))</f>
        <v/>
      </c>
      <c r="L1277" s="65" t="str">
        <f>IF(COUNTA(A1277:G1277)=0,"",IF(AND(ISNUMBER(D1277),ISNUMBER(J1277)),ROUND(D1277*J1277*(1-N(F1277)),2),0))</f>
        <v/>
      </c>
      <c r="M1277" s="62" t="str">
        <f>IF(A1277="","",IFERROR(INDEX(fa_cname,MATCH(A1277,fa_num,0))&amp;"",""))</f>
        <v/>
      </c>
      <c r="N1277" s="59" t="str">
        <f>IF(COUNTA(A1277:G1277)=0,"",IF(A1277="","N° facture manquant",IF(ISNA(MATCH(A1277,fa_num,0)),"Facture inconnue",IF(AND(B1277&lt;&gt;"",ISNA(MATCH(B1277,pr_code,0))),"Article inconnu",IF(H1277="","Désignation manquante",IF(OR(NOT(ISNUMBER(D1277)),N(D1277)&lt;=0),"Quantité invalide",IF(J1277="","Prix manquant",IF(OR(NOT(ISNUMBER(J1277)),N(J1277)&lt;0),"Prix invalide",IF(OR(AND(F1277&lt;&gt;"",NOT(ISNUMBER(F1277))),N(F1277)&lt;0,N(F1277)&gt;1),"Remise invalide",IF(K1277="","Taux de TVA manquant",IF(NOT(ISNUMBER(K1277)),"Taux de TVA invalide",IF(COUNTIF(p_rates,K1277)=0,"Taux de TVA hors liste (Paramètres)",IF(N(O1277)&gt;25,"Au-delà de 25 lignes : non imprimée","OK")))))))))))))</f>
        <v/>
      </c>
      <c r="O1277" s="59" t="str">
        <f>IF(A1277="","",COUNTIF($A$6:A1277,A1277))</f>
        <v/>
      </c>
      <c r="P1277" s="62" t="str">
        <f>IF(A1277="","",A1277&amp;"|"&amp;O1277)</f>
        <v/>
      </c>
    </row>
    <row r="1278">
      <c r="A1278" s="60" t="n"/>
      <c r="B1278" s="63" t="n"/>
      <c r="C1278" s="63" t="n"/>
      <c r="D1278" s="67" t="n"/>
      <c r="E1278" s="68" t="n"/>
      <c r="F1278" s="69" t="n"/>
      <c r="G1278" s="70" t="n"/>
      <c r="H1278" s="62" t="str">
        <f>IF(COUNTA(A1278:G1278)=0,"",IF(C1278&lt;&gt;"",C1278,IF(B1278="","",IFERROR(INDEX(pr_des,MATCH(B1278,pr_code,0))&amp;"",""))))</f>
        <v/>
      </c>
      <c r="I1278" s="59" t="str">
        <f>IF(B1278="","",IFERROR(INDEX(pr_unit,MATCH(B1278,pr_code,0))&amp;"",""))</f>
        <v/>
      </c>
      <c r="J1278" s="65" t="str">
        <f>IF(COUNTA(A1278:G1278)=0,"",IF(E1278&lt;&gt;"",E1278,IF(B1278="","",IFERROR(IF(INDEX(pr_price,MATCH(B1278,pr_code,0))="","",INDEX(pr_price,MATCH(B1278,pr_code,0))),""))))</f>
        <v/>
      </c>
      <c r="K1278" s="71" t="str">
        <f>IF(COUNTA(A1278:G1278)=0,"",IF(G1278&lt;&gt;"",G1278,IF(B1278="","",IFERROR(IF(INDEX(pr_rate,MATCH(B1278,pr_code,0))="","",INDEX(pr_rate,MATCH(B1278,pr_code,0))),""))))</f>
        <v/>
      </c>
      <c r="L1278" s="65" t="str">
        <f>IF(COUNTA(A1278:G1278)=0,"",IF(AND(ISNUMBER(D1278),ISNUMBER(J1278)),ROUND(D1278*J1278*(1-N(F1278)),2),0))</f>
        <v/>
      </c>
      <c r="M1278" s="62" t="str">
        <f>IF(A1278="","",IFERROR(INDEX(fa_cname,MATCH(A1278,fa_num,0))&amp;"",""))</f>
        <v/>
      </c>
      <c r="N1278" s="59" t="str">
        <f>IF(COUNTA(A1278:G1278)=0,"",IF(A1278="","N° facture manquant",IF(ISNA(MATCH(A1278,fa_num,0)),"Facture inconnue",IF(AND(B1278&lt;&gt;"",ISNA(MATCH(B1278,pr_code,0))),"Article inconnu",IF(H1278="","Désignation manquante",IF(OR(NOT(ISNUMBER(D1278)),N(D1278)&lt;=0),"Quantité invalide",IF(J1278="","Prix manquant",IF(OR(NOT(ISNUMBER(J1278)),N(J1278)&lt;0),"Prix invalide",IF(OR(AND(F1278&lt;&gt;"",NOT(ISNUMBER(F1278))),N(F1278)&lt;0,N(F1278)&gt;1),"Remise invalide",IF(K1278="","Taux de TVA manquant",IF(NOT(ISNUMBER(K1278)),"Taux de TVA invalide",IF(COUNTIF(p_rates,K1278)=0,"Taux de TVA hors liste (Paramètres)",IF(N(O1278)&gt;25,"Au-delà de 25 lignes : non imprimée","OK")))))))))))))</f>
        <v/>
      </c>
      <c r="O1278" s="59" t="str">
        <f>IF(A1278="","",COUNTIF($A$6:A1278,A1278))</f>
        <v/>
      </c>
      <c r="P1278" s="62" t="str">
        <f>IF(A1278="","",A1278&amp;"|"&amp;O1278)</f>
        <v/>
      </c>
    </row>
    <row r="1279">
      <c r="A1279" s="60" t="n"/>
      <c r="B1279" s="63" t="n"/>
      <c r="C1279" s="63" t="n"/>
      <c r="D1279" s="67" t="n"/>
      <c r="E1279" s="68" t="n"/>
      <c r="F1279" s="69" t="n"/>
      <c r="G1279" s="70" t="n"/>
      <c r="H1279" s="62" t="str">
        <f>IF(COUNTA(A1279:G1279)=0,"",IF(C1279&lt;&gt;"",C1279,IF(B1279="","",IFERROR(INDEX(pr_des,MATCH(B1279,pr_code,0))&amp;"",""))))</f>
        <v/>
      </c>
      <c r="I1279" s="59" t="str">
        <f>IF(B1279="","",IFERROR(INDEX(pr_unit,MATCH(B1279,pr_code,0))&amp;"",""))</f>
        <v/>
      </c>
      <c r="J1279" s="65" t="str">
        <f>IF(COUNTA(A1279:G1279)=0,"",IF(E1279&lt;&gt;"",E1279,IF(B1279="","",IFERROR(IF(INDEX(pr_price,MATCH(B1279,pr_code,0))="","",INDEX(pr_price,MATCH(B1279,pr_code,0))),""))))</f>
        <v/>
      </c>
      <c r="K1279" s="71" t="str">
        <f>IF(COUNTA(A1279:G1279)=0,"",IF(G1279&lt;&gt;"",G1279,IF(B1279="","",IFERROR(IF(INDEX(pr_rate,MATCH(B1279,pr_code,0))="","",INDEX(pr_rate,MATCH(B1279,pr_code,0))),""))))</f>
        <v/>
      </c>
      <c r="L1279" s="65" t="str">
        <f>IF(COUNTA(A1279:G1279)=0,"",IF(AND(ISNUMBER(D1279),ISNUMBER(J1279)),ROUND(D1279*J1279*(1-N(F1279)),2),0))</f>
        <v/>
      </c>
      <c r="M1279" s="62" t="str">
        <f>IF(A1279="","",IFERROR(INDEX(fa_cname,MATCH(A1279,fa_num,0))&amp;"",""))</f>
        <v/>
      </c>
      <c r="N1279" s="59" t="str">
        <f>IF(COUNTA(A1279:G1279)=0,"",IF(A1279="","N° facture manquant",IF(ISNA(MATCH(A1279,fa_num,0)),"Facture inconnue",IF(AND(B1279&lt;&gt;"",ISNA(MATCH(B1279,pr_code,0))),"Article inconnu",IF(H1279="","Désignation manquante",IF(OR(NOT(ISNUMBER(D1279)),N(D1279)&lt;=0),"Quantité invalide",IF(J1279="","Prix manquant",IF(OR(NOT(ISNUMBER(J1279)),N(J1279)&lt;0),"Prix invalide",IF(OR(AND(F1279&lt;&gt;"",NOT(ISNUMBER(F1279))),N(F1279)&lt;0,N(F1279)&gt;1),"Remise invalide",IF(K1279="","Taux de TVA manquant",IF(NOT(ISNUMBER(K1279)),"Taux de TVA invalide",IF(COUNTIF(p_rates,K1279)=0,"Taux de TVA hors liste (Paramètres)",IF(N(O1279)&gt;25,"Au-delà de 25 lignes : non imprimée","OK")))))))))))))</f>
        <v/>
      </c>
      <c r="O1279" s="59" t="str">
        <f>IF(A1279="","",COUNTIF($A$6:A1279,A1279))</f>
        <v/>
      </c>
      <c r="P1279" s="62" t="str">
        <f>IF(A1279="","",A1279&amp;"|"&amp;O1279)</f>
        <v/>
      </c>
    </row>
    <row r="1280">
      <c r="A1280" s="60" t="n"/>
      <c r="B1280" s="63" t="n"/>
      <c r="C1280" s="63" t="n"/>
      <c r="D1280" s="67" t="n"/>
      <c r="E1280" s="68" t="n"/>
      <c r="F1280" s="69" t="n"/>
      <c r="G1280" s="70" t="n"/>
      <c r="H1280" s="62" t="str">
        <f>IF(COUNTA(A1280:G1280)=0,"",IF(C1280&lt;&gt;"",C1280,IF(B1280="","",IFERROR(INDEX(pr_des,MATCH(B1280,pr_code,0))&amp;"",""))))</f>
        <v/>
      </c>
      <c r="I1280" s="59" t="str">
        <f>IF(B1280="","",IFERROR(INDEX(pr_unit,MATCH(B1280,pr_code,0))&amp;"",""))</f>
        <v/>
      </c>
      <c r="J1280" s="65" t="str">
        <f>IF(COUNTA(A1280:G1280)=0,"",IF(E1280&lt;&gt;"",E1280,IF(B1280="","",IFERROR(IF(INDEX(pr_price,MATCH(B1280,pr_code,0))="","",INDEX(pr_price,MATCH(B1280,pr_code,0))),""))))</f>
        <v/>
      </c>
      <c r="K1280" s="71" t="str">
        <f>IF(COUNTA(A1280:G1280)=0,"",IF(G1280&lt;&gt;"",G1280,IF(B1280="","",IFERROR(IF(INDEX(pr_rate,MATCH(B1280,pr_code,0))="","",INDEX(pr_rate,MATCH(B1280,pr_code,0))),""))))</f>
        <v/>
      </c>
      <c r="L1280" s="65" t="str">
        <f>IF(COUNTA(A1280:G1280)=0,"",IF(AND(ISNUMBER(D1280),ISNUMBER(J1280)),ROUND(D1280*J1280*(1-N(F1280)),2),0))</f>
        <v/>
      </c>
      <c r="M1280" s="62" t="str">
        <f>IF(A1280="","",IFERROR(INDEX(fa_cname,MATCH(A1280,fa_num,0))&amp;"",""))</f>
        <v/>
      </c>
      <c r="N1280" s="59" t="str">
        <f>IF(COUNTA(A1280:G1280)=0,"",IF(A1280="","N° facture manquant",IF(ISNA(MATCH(A1280,fa_num,0)),"Facture inconnue",IF(AND(B1280&lt;&gt;"",ISNA(MATCH(B1280,pr_code,0))),"Article inconnu",IF(H1280="","Désignation manquante",IF(OR(NOT(ISNUMBER(D1280)),N(D1280)&lt;=0),"Quantité invalide",IF(J1280="","Prix manquant",IF(OR(NOT(ISNUMBER(J1280)),N(J1280)&lt;0),"Prix invalide",IF(OR(AND(F1280&lt;&gt;"",NOT(ISNUMBER(F1280))),N(F1280)&lt;0,N(F1280)&gt;1),"Remise invalide",IF(K1280="","Taux de TVA manquant",IF(NOT(ISNUMBER(K1280)),"Taux de TVA invalide",IF(COUNTIF(p_rates,K1280)=0,"Taux de TVA hors liste (Paramètres)",IF(N(O1280)&gt;25,"Au-delà de 25 lignes : non imprimée","OK")))))))))))))</f>
        <v/>
      </c>
      <c r="O1280" s="59" t="str">
        <f>IF(A1280="","",COUNTIF($A$6:A1280,A1280))</f>
        <v/>
      </c>
      <c r="P1280" s="62" t="str">
        <f>IF(A1280="","",A1280&amp;"|"&amp;O1280)</f>
        <v/>
      </c>
    </row>
    <row r="1281">
      <c r="A1281" s="60" t="n"/>
      <c r="B1281" s="63" t="n"/>
      <c r="C1281" s="63" t="n"/>
      <c r="D1281" s="67" t="n"/>
      <c r="E1281" s="68" t="n"/>
      <c r="F1281" s="69" t="n"/>
      <c r="G1281" s="70" t="n"/>
      <c r="H1281" s="62" t="str">
        <f>IF(COUNTA(A1281:G1281)=0,"",IF(C1281&lt;&gt;"",C1281,IF(B1281="","",IFERROR(INDEX(pr_des,MATCH(B1281,pr_code,0))&amp;"",""))))</f>
        <v/>
      </c>
      <c r="I1281" s="59" t="str">
        <f>IF(B1281="","",IFERROR(INDEX(pr_unit,MATCH(B1281,pr_code,0))&amp;"",""))</f>
        <v/>
      </c>
      <c r="J1281" s="65" t="str">
        <f>IF(COUNTA(A1281:G1281)=0,"",IF(E1281&lt;&gt;"",E1281,IF(B1281="","",IFERROR(IF(INDEX(pr_price,MATCH(B1281,pr_code,0))="","",INDEX(pr_price,MATCH(B1281,pr_code,0))),""))))</f>
        <v/>
      </c>
      <c r="K1281" s="71" t="str">
        <f>IF(COUNTA(A1281:G1281)=0,"",IF(G1281&lt;&gt;"",G1281,IF(B1281="","",IFERROR(IF(INDEX(pr_rate,MATCH(B1281,pr_code,0))="","",INDEX(pr_rate,MATCH(B1281,pr_code,0))),""))))</f>
        <v/>
      </c>
      <c r="L1281" s="65" t="str">
        <f>IF(COUNTA(A1281:G1281)=0,"",IF(AND(ISNUMBER(D1281),ISNUMBER(J1281)),ROUND(D1281*J1281*(1-N(F1281)),2),0))</f>
        <v/>
      </c>
      <c r="M1281" s="62" t="str">
        <f>IF(A1281="","",IFERROR(INDEX(fa_cname,MATCH(A1281,fa_num,0))&amp;"",""))</f>
        <v/>
      </c>
      <c r="N1281" s="59" t="str">
        <f>IF(COUNTA(A1281:G1281)=0,"",IF(A1281="","N° facture manquant",IF(ISNA(MATCH(A1281,fa_num,0)),"Facture inconnue",IF(AND(B1281&lt;&gt;"",ISNA(MATCH(B1281,pr_code,0))),"Article inconnu",IF(H1281="","Désignation manquante",IF(OR(NOT(ISNUMBER(D1281)),N(D1281)&lt;=0),"Quantité invalide",IF(J1281="","Prix manquant",IF(OR(NOT(ISNUMBER(J1281)),N(J1281)&lt;0),"Prix invalide",IF(OR(AND(F1281&lt;&gt;"",NOT(ISNUMBER(F1281))),N(F1281)&lt;0,N(F1281)&gt;1),"Remise invalide",IF(K1281="","Taux de TVA manquant",IF(NOT(ISNUMBER(K1281)),"Taux de TVA invalide",IF(COUNTIF(p_rates,K1281)=0,"Taux de TVA hors liste (Paramètres)",IF(N(O1281)&gt;25,"Au-delà de 25 lignes : non imprimée","OK")))))))))))))</f>
        <v/>
      </c>
      <c r="O1281" s="59" t="str">
        <f>IF(A1281="","",COUNTIF($A$6:A1281,A1281))</f>
        <v/>
      </c>
      <c r="P1281" s="62" t="str">
        <f>IF(A1281="","",A1281&amp;"|"&amp;O1281)</f>
        <v/>
      </c>
    </row>
    <row r="1282">
      <c r="A1282" s="60" t="n"/>
      <c r="B1282" s="63" t="n"/>
      <c r="C1282" s="63" t="n"/>
      <c r="D1282" s="67" t="n"/>
      <c r="E1282" s="68" t="n"/>
      <c r="F1282" s="69" t="n"/>
      <c r="G1282" s="70" t="n"/>
      <c r="H1282" s="62" t="str">
        <f>IF(COUNTA(A1282:G1282)=0,"",IF(C1282&lt;&gt;"",C1282,IF(B1282="","",IFERROR(INDEX(pr_des,MATCH(B1282,pr_code,0))&amp;"",""))))</f>
        <v/>
      </c>
      <c r="I1282" s="59" t="str">
        <f>IF(B1282="","",IFERROR(INDEX(pr_unit,MATCH(B1282,pr_code,0))&amp;"",""))</f>
        <v/>
      </c>
      <c r="J1282" s="65" t="str">
        <f>IF(COUNTA(A1282:G1282)=0,"",IF(E1282&lt;&gt;"",E1282,IF(B1282="","",IFERROR(IF(INDEX(pr_price,MATCH(B1282,pr_code,0))="","",INDEX(pr_price,MATCH(B1282,pr_code,0))),""))))</f>
        <v/>
      </c>
      <c r="K1282" s="71" t="str">
        <f>IF(COUNTA(A1282:G1282)=0,"",IF(G1282&lt;&gt;"",G1282,IF(B1282="","",IFERROR(IF(INDEX(pr_rate,MATCH(B1282,pr_code,0))="","",INDEX(pr_rate,MATCH(B1282,pr_code,0))),""))))</f>
        <v/>
      </c>
      <c r="L1282" s="65" t="str">
        <f>IF(COUNTA(A1282:G1282)=0,"",IF(AND(ISNUMBER(D1282),ISNUMBER(J1282)),ROUND(D1282*J1282*(1-N(F1282)),2),0))</f>
        <v/>
      </c>
      <c r="M1282" s="62" t="str">
        <f>IF(A1282="","",IFERROR(INDEX(fa_cname,MATCH(A1282,fa_num,0))&amp;"",""))</f>
        <v/>
      </c>
      <c r="N1282" s="59" t="str">
        <f>IF(COUNTA(A1282:G1282)=0,"",IF(A1282="","N° facture manquant",IF(ISNA(MATCH(A1282,fa_num,0)),"Facture inconnue",IF(AND(B1282&lt;&gt;"",ISNA(MATCH(B1282,pr_code,0))),"Article inconnu",IF(H1282="","Désignation manquante",IF(OR(NOT(ISNUMBER(D1282)),N(D1282)&lt;=0),"Quantité invalide",IF(J1282="","Prix manquant",IF(OR(NOT(ISNUMBER(J1282)),N(J1282)&lt;0),"Prix invalide",IF(OR(AND(F1282&lt;&gt;"",NOT(ISNUMBER(F1282))),N(F1282)&lt;0,N(F1282)&gt;1),"Remise invalide",IF(K1282="","Taux de TVA manquant",IF(NOT(ISNUMBER(K1282)),"Taux de TVA invalide",IF(COUNTIF(p_rates,K1282)=0,"Taux de TVA hors liste (Paramètres)",IF(N(O1282)&gt;25,"Au-delà de 25 lignes : non imprimée","OK")))))))))))))</f>
        <v/>
      </c>
      <c r="O1282" s="59" t="str">
        <f>IF(A1282="","",COUNTIF($A$6:A1282,A1282))</f>
        <v/>
      </c>
      <c r="P1282" s="62" t="str">
        <f>IF(A1282="","",A1282&amp;"|"&amp;O1282)</f>
        <v/>
      </c>
    </row>
    <row r="1283">
      <c r="A1283" s="60" t="n"/>
      <c r="B1283" s="63" t="n"/>
      <c r="C1283" s="63" t="n"/>
      <c r="D1283" s="67" t="n"/>
      <c r="E1283" s="68" t="n"/>
      <c r="F1283" s="69" t="n"/>
      <c r="G1283" s="70" t="n"/>
      <c r="H1283" s="62" t="str">
        <f>IF(COUNTA(A1283:G1283)=0,"",IF(C1283&lt;&gt;"",C1283,IF(B1283="","",IFERROR(INDEX(pr_des,MATCH(B1283,pr_code,0))&amp;"",""))))</f>
        <v/>
      </c>
      <c r="I1283" s="59" t="str">
        <f>IF(B1283="","",IFERROR(INDEX(pr_unit,MATCH(B1283,pr_code,0))&amp;"",""))</f>
        <v/>
      </c>
      <c r="J1283" s="65" t="str">
        <f>IF(COUNTA(A1283:G1283)=0,"",IF(E1283&lt;&gt;"",E1283,IF(B1283="","",IFERROR(IF(INDEX(pr_price,MATCH(B1283,pr_code,0))="","",INDEX(pr_price,MATCH(B1283,pr_code,0))),""))))</f>
        <v/>
      </c>
      <c r="K1283" s="71" t="str">
        <f>IF(COUNTA(A1283:G1283)=0,"",IF(G1283&lt;&gt;"",G1283,IF(B1283="","",IFERROR(IF(INDEX(pr_rate,MATCH(B1283,pr_code,0))="","",INDEX(pr_rate,MATCH(B1283,pr_code,0))),""))))</f>
        <v/>
      </c>
      <c r="L1283" s="65" t="str">
        <f>IF(COUNTA(A1283:G1283)=0,"",IF(AND(ISNUMBER(D1283),ISNUMBER(J1283)),ROUND(D1283*J1283*(1-N(F1283)),2),0))</f>
        <v/>
      </c>
      <c r="M1283" s="62" t="str">
        <f>IF(A1283="","",IFERROR(INDEX(fa_cname,MATCH(A1283,fa_num,0))&amp;"",""))</f>
        <v/>
      </c>
      <c r="N1283" s="59" t="str">
        <f>IF(COUNTA(A1283:G1283)=0,"",IF(A1283="","N° facture manquant",IF(ISNA(MATCH(A1283,fa_num,0)),"Facture inconnue",IF(AND(B1283&lt;&gt;"",ISNA(MATCH(B1283,pr_code,0))),"Article inconnu",IF(H1283="","Désignation manquante",IF(OR(NOT(ISNUMBER(D1283)),N(D1283)&lt;=0),"Quantité invalide",IF(J1283="","Prix manquant",IF(OR(NOT(ISNUMBER(J1283)),N(J1283)&lt;0),"Prix invalide",IF(OR(AND(F1283&lt;&gt;"",NOT(ISNUMBER(F1283))),N(F1283)&lt;0,N(F1283)&gt;1),"Remise invalide",IF(K1283="","Taux de TVA manquant",IF(NOT(ISNUMBER(K1283)),"Taux de TVA invalide",IF(COUNTIF(p_rates,K1283)=0,"Taux de TVA hors liste (Paramètres)",IF(N(O1283)&gt;25,"Au-delà de 25 lignes : non imprimée","OK")))))))))))))</f>
        <v/>
      </c>
      <c r="O1283" s="59" t="str">
        <f>IF(A1283="","",COUNTIF($A$6:A1283,A1283))</f>
        <v/>
      </c>
      <c r="P1283" s="62" t="str">
        <f>IF(A1283="","",A1283&amp;"|"&amp;O1283)</f>
        <v/>
      </c>
    </row>
    <row r="1284">
      <c r="A1284" s="60" t="n"/>
      <c r="B1284" s="63" t="n"/>
      <c r="C1284" s="63" t="n"/>
      <c r="D1284" s="67" t="n"/>
      <c r="E1284" s="68" t="n"/>
      <c r="F1284" s="69" t="n"/>
      <c r="G1284" s="70" t="n"/>
      <c r="H1284" s="62" t="str">
        <f>IF(COUNTA(A1284:G1284)=0,"",IF(C1284&lt;&gt;"",C1284,IF(B1284="","",IFERROR(INDEX(pr_des,MATCH(B1284,pr_code,0))&amp;"",""))))</f>
        <v/>
      </c>
      <c r="I1284" s="59" t="str">
        <f>IF(B1284="","",IFERROR(INDEX(pr_unit,MATCH(B1284,pr_code,0))&amp;"",""))</f>
        <v/>
      </c>
      <c r="J1284" s="65" t="str">
        <f>IF(COUNTA(A1284:G1284)=0,"",IF(E1284&lt;&gt;"",E1284,IF(B1284="","",IFERROR(IF(INDEX(pr_price,MATCH(B1284,pr_code,0))="","",INDEX(pr_price,MATCH(B1284,pr_code,0))),""))))</f>
        <v/>
      </c>
      <c r="K1284" s="71" t="str">
        <f>IF(COUNTA(A1284:G1284)=0,"",IF(G1284&lt;&gt;"",G1284,IF(B1284="","",IFERROR(IF(INDEX(pr_rate,MATCH(B1284,pr_code,0))="","",INDEX(pr_rate,MATCH(B1284,pr_code,0))),""))))</f>
        <v/>
      </c>
      <c r="L1284" s="65" t="str">
        <f>IF(COUNTA(A1284:G1284)=0,"",IF(AND(ISNUMBER(D1284),ISNUMBER(J1284)),ROUND(D1284*J1284*(1-N(F1284)),2),0))</f>
        <v/>
      </c>
      <c r="M1284" s="62" t="str">
        <f>IF(A1284="","",IFERROR(INDEX(fa_cname,MATCH(A1284,fa_num,0))&amp;"",""))</f>
        <v/>
      </c>
      <c r="N1284" s="59" t="str">
        <f>IF(COUNTA(A1284:G1284)=0,"",IF(A1284="","N° facture manquant",IF(ISNA(MATCH(A1284,fa_num,0)),"Facture inconnue",IF(AND(B1284&lt;&gt;"",ISNA(MATCH(B1284,pr_code,0))),"Article inconnu",IF(H1284="","Désignation manquante",IF(OR(NOT(ISNUMBER(D1284)),N(D1284)&lt;=0),"Quantité invalide",IF(J1284="","Prix manquant",IF(OR(NOT(ISNUMBER(J1284)),N(J1284)&lt;0),"Prix invalide",IF(OR(AND(F1284&lt;&gt;"",NOT(ISNUMBER(F1284))),N(F1284)&lt;0,N(F1284)&gt;1),"Remise invalide",IF(K1284="","Taux de TVA manquant",IF(NOT(ISNUMBER(K1284)),"Taux de TVA invalide",IF(COUNTIF(p_rates,K1284)=0,"Taux de TVA hors liste (Paramètres)",IF(N(O1284)&gt;25,"Au-delà de 25 lignes : non imprimée","OK")))))))))))))</f>
        <v/>
      </c>
      <c r="O1284" s="59" t="str">
        <f>IF(A1284="","",COUNTIF($A$6:A1284,A1284))</f>
        <v/>
      </c>
      <c r="P1284" s="62" t="str">
        <f>IF(A1284="","",A1284&amp;"|"&amp;O1284)</f>
        <v/>
      </c>
    </row>
    <row r="1285">
      <c r="A1285" s="60" t="n"/>
      <c r="B1285" s="63" t="n"/>
      <c r="C1285" s="63" t="n"/>
      <c r="D1285" s="67" t="n"/>
      <c r="E1285" s="68" t="n"/>
      <c r="F1285" s="69" t="n"/>
      <c r="G1285" s="70" t="n"/>
      <c r="H1285" s="62" t="str">
        <f>IF(COUNTA(A1285:G1285)=0,"",IF(C1285&lt;&gt;"",C1285,IF(B1285="","",IFERROR(INDEX(pr_des,MATCH(B1285,pr_code,0))&amp;"",""))))</f>
        <v/>
      </c>
      <c r="I1285" s="59" t="str">
        <f>IF(B1285="","",IFERROR(INDEX(pr_unit,MATCH(B1285,pr_code,0))&amp;"",""))</f>
        <v/>
      </c>
      <c r="J1285" s="65" t="str">
        <f>IF(COUNTA(A1285:G1285)=0,"",IF(E1285&lt;&gt;"",E1285,IF(B1285="","",IFERROR(IF(INDEX(pr_price,MATCH(B1285,pr_code,0))="","",INDEX(pr_price,MATCH(B1285,pr_code,0))),""))))</f>
        <v/>
      </c>
      <c r="K1285" s="71" t="str">
        <f>IF(COUNTA(A1285:G1285)=0,"",IF(G1285&lt;&gt;"",G1285,IF(B1285="","",IFERROR(IF(INDEX(pr_rate,MATCH(B1285,pr_code,0))="","",INDEX(pr_rate,MATCH(B1285,pr_code,0))),""))))</f>
        <v/>
      </c>
      <c r="L1285" s="65" t="str">
        <f>IF(COUNTA(A1285:G1285)=0,"",IF(AND(ISNUMBER(D1285),ISNUMBER(J1285)),ROUND(D1285*J1285*(1-N(F1285)),2),0))</f>
        <v/>
      </c>
      <c r="M1285" s="62" t="str">
        <f>IF(A1285="","",IFERROR(INDEX(fa_cname,MATCH(A1285,fa_num,0))&amp;"",""))</f>
        <v/>
      </c>
      <c r="N1285" s="59" t="str">
        <f>IF(COUNTA(A1285:G1285)=0,"",IF(A1285="","N° facture manquant",IF(ISNA(MATCH(A1285,fa_num,0)),"Facture inconnue",IF(AND(B1285&lt;&gt;"",ISNA(MATCH(B1285,pr_code,0))),"Article inconnu",IF(H1285="","Désignation manquante",IF(OR(NOT(ISNUMBER(D1285)),N(D1285)&lt;=0),"Quantité invalide",IF(J1285="","Prix manquant",IF(OR(NOT(ISNUMBER(J1285)),N(J1285)&lt;0),"Prix invalide",IF(OR(AND(F1285&lt;&gt;"",NOT(ISNUMBER(F1285))),N(F1285)&lt;0,N(F1285)&gt;1),"Remise invalide",IF(K1285="","Taux de TVA manquant",IF(NOT(ISNUMBER(K1285)),"Taux de TVA invalide",IF(COUNTIF(p_rates,K1285)=0,"Taux de TVA hors liste (Paramètres)",IF(N(O1285)&gt;25,"Au-delà de 25 lignes : non imprimée","OK")))))))))))))</f>
        <v/>
      </c>
      <c r="O1285" s="59" t="str">
        <f>IF(A1285="","",COUNTIF($A$6:A1285,A1285))</f>
        <v/>
      </c>
      <c r="P1285" s="62" t="str">
        <f>IF(A1285="","",A1285&amp;"|"&amp;O1285)</f>
        <v/>
      </c>
    </row>
    <row r="1286">
      <c r="A1286" s="60" t="n"/>
      <c r="B1286" s="63" t="n"/>
      <c r="C1286" s="63" t="n"/>
      <c r="D1286" s="67" t="n"/>
      <c r="E1286" s="68" t="n"/>
      <c r="F1286" s="69" t="n"/>
      <c r="G1286" s="70" t="n"/>
      <c r="H1286" s="62" t="str">
        <f>IF(COUNTA(A1286:G1286)=0,"",IF(C1286&lt;&gt;"",C1286,IF(B1286="","",IFERROR(INDEX(pr_des,MATCH(B1286,pr_code,0))&amp;"",""))))</f>
        <v/>
      </c>
      <c r="I1286" s="59" t="str">
        <f>IF(B1286="","",IFERROR(INDEX(pr_unit,MATCH(B1286,pr_code,0))&amp;"",""))</f>
        <v/>
      </c>
      <c r="J1286" s="65" t="str">
        <f>IF(COUNTA(A1286:G1286)=0,"",IF(E1286&lt;&gt;"",E1286,IF(B1286="","",IFERROR(IF(INDEX(pr_price,MATCH(B1286,pr_code,0))="","",INDEX(pr_price,MATCH(B1286,pr_code,0))),""))))</f>
        <v/>
      </c>
      <c r="K1286" s="71" t="str">
        <f>IF(COUNTA(A1286:G1286)=0,"",IF(G1286&lt;&gt;"",G1286,IF(B1286="","",IFERROR(IF(INDEX(pr_rate,MATCH(B1286,pr_code,0))="","",INDEX(pr_rate,MATCH(B1286,pr_code,0))),""))))</f>
        <v/>
      </c>
      <c r="L1286" s="65" t="str">
        <f>IF(COUNTA(A1286:G1286)=0,"",IF(AND(ISNUMBER(D1286),ISNUMBER(J1286)),ROUND(D1286*J1286*(1-N(F1286)),2),0))</f>
        <v/>
      </c>
      <c r="M1286" s="62" t="str">
        <f>IF(A1286="","",IFERROR(INDEX(fa_cname,MATCH(A1286,fa_num,0))&amp;"",""))</f>
        <v/>
      </c>
      <c r="N1286" s="59" t="str">
        <f>IF(COUNTA(A1286:G1286)=0,"",IF(A1286="","N° facture manquant",IF(ISNA(MATCH(A1286,fa_num,0)),"Facture inconnue",IF(AND(B1286&lt;&gt;"",ISNA(MATCH(B1286,pr_code,0))),"Article inconnu",IF(H1286="","Désignation manquante",IF(OR(NOT(ISNUMBER(D1286)),N(D1286)&lt;=0),"Quantité invalide",IF(J1286="","Prix manquant",IF(OR(NOT(ISNUMBER(J1286)),N(J1286)&lt;0),"Prix invalide",IF(OR(AND(F1286&lt;&gt;"",NOT(ISNUMBER(F1286))),N(F1286)&lt;0,N(F1286)&gt;1),"Remise invalide",IF(K1286="","Taux de TVA manquant",IF(NOT(ISNUMBER(K1286)),"Taux de TVA invalide",IF(COUNTIF(p_rates,K1286)=0,"Taux de TVA hors liste (Paramètres)",IF(N(O1286)&gt;25,"Au-delà de 25 lignes : non imprimée","OK")))))))))))))</f>
        <v/>
      </c>
      <c r="O1286" s="59" t="str">
        <f>IF(A1286="","",COUNTIF($A$6:A1286,A1286))</f>
        <v/>
      </c>
      <c r="P1286" s="62" t="str">
        <f>IF(A1286="","",A1286&amp;"|"&amp;O1286)</f>
        <v/>
      </c>
    </row>
    <row r="1287">
      <c r="A1287" s="60" t="n"/>
      <c r="B1287" s="63" t="n"/>
      <c r="C1287" s="63" t="n"/>
      <c r="D1287" s="67" t="n"/>
      <c r="E1287" s="68" t="n"/>
      <c r="F1287" s="69" t="n"/>
      <c r="G1287" s="70" t="n"/>
      <c r="H1287" s="62" t="str">
        <f>IF(COUNTA(A1287:G1287)=0,"",IF(C1287&lt;&gt;"",C1287,IF(B1287="","",IFERROR(INDEX(pr_des,MATCH(B1287,pr_code,0))&amp;"",""))))</f>
        <v/>
      </c>
      <c r="I1287" s="59" t="str">
        <f>IF(B1287="","",IFERROR(INDEX(pr_unit,MATCH(B1287,pr_code,0))&amp;"",""))</f>
        <v/>
      </c>
      <c r="J1287" s="65" t="str">
        <f>IF(COUNTA(A1287:G1287)=0,"",IF(E1287&lt;&gt;"",E1287,IF(B1287="","",IFERROR(IF(INDEX(pr_price,MATCH(B1287,pr_code,0))="","",INDEX(pr_price,MATCH(B1287,pr_code,0))),""))))</f>
        <v/>
      </c>
      <c r="K1287" s="71" t="str">
        <f>IF(COUNTA(A1287:G1287)=0,"",IF(G1287&lt;&gt;"",G1287,IF(B1287="","",IFERROR(IF(INDEX(pr_rate,MATCH(B1287,pr_code,0))="","",INDEX(pr_rate,MATCH(B1287,pr_code,0))),""))))</f>
        <v/>
      </c>
      <c r="L1287" s="65" t="str">
        <f>IF(COUNTA(A1287:G1287)=0,"",IF(AND(ISNUMBER(D1287),ISNUMBER(J1287)),ROUND(D1287*J1287*(1-N(F1287)),2),0))</f>
        <v/>
      </c>
      <c r="M1287" s="62" t="str">
        <f>IF(A1287="","",IFERROR(INDEX(fa_cname,MATCH(A1287,fa_num,0))&amp;"",""))</f>
        <v/>
      </c>
      <c r="N1287" s="59" t="str">
        <f>IF(COUNTA(A1287:G1287)=0,"",IF(A1287="","N° facture manquant",IF(ISNA(MATCH(A1287,fa_num,0)),"Facture inconnue",IF(AND(B1287&lt;&gt;"",ISNA(MATCH(B1287,pr_code,0))),"Article inconnu",IF(H1287="","Désignation manquante",IF(OR(NOT(ISNUMBER(D1287)),N(D1287)&lt;=0),"Quantité invalide",IF(J1287="","Prix manquant",IF(OR(NOT(ISNUMBER(J1287)),N(J1287)&lt;0),"Prix invalide",IF(OR(AND(F1287&lt;&gt;"",NOT(ISNUMBER(F1287))),N(F1287)&lt;0,N(F1287)&gt;1),"Remise invalide",IF(K1287="","Taux de TVA manquant",IF(NOT(ISNUMBER(K1287)),"Taux de TVA invalide",IF(COUNTIF(p_rates,K1287)=0,"Taux de TVA hors liste (Paramètres)",IF(N(O1287)&gt;25,"Au-delà de 25 lignes : non imprimée","OK")))))))))))))</f>
        <v/>
      </c>
      <c r="O1287" s="59" t="str">
        <f>IF(A1287="","",COUNTIF($A$6:A1287,A1287))</f>
        <v/>
      </c>
      <c r="P1287" s="62" t="str">
        <f>IF(A1287="","",A1287&amp;"|"&amp;O1287)</f>
        <v/>
      </c>
    </row>
    <row r="1288">
      <c r="A1288" s="60" t="n"/>
      <c r="B1288" s="63" t="n"/>
      <c r="C1288" s="63" t="n"/>
      <c r="D1288" s="67" t="n"/>
      <c r="E1288" s="68" t="n"/>
      <c r="F1288" s="69" t="n"/>
      <c r="G1288" s="70" t="n"/>
      <c r="H1288" s="62" t="str">
        <f>IF(COUNTA(A1288:G1288)=0,"",IF(C1288&lt;&gt;"",C1288,IF(B1288="","",IFERROR(INDEX(pr_des,MATCH(B1288,pr_code,0))&amp;"",""))))</f>
        <v/>
      </c>
      <c r="I1288" s="59" t="str">
        <f>IF(B1288="","",IFERROR(INDEX(pr_unit,MATCH(B1288,pr_code,0))&amp;"",""))</f>
        <v/>
      </c>
      <c r="J1288" s="65" t="str">
        <f>IF(COUNTA(A1288:G1288)=0,"",IF(E1288&lt;&gt;"",E1288,IF(B1288="","",IFERROR(IF(INDEX(pr_price,MATCH(B1288,pr_code,0))="","",INDEX(pr_price,MATCH(B1288,pr_code,0))),""))))</f>
        <v/>
      </c>
      <c r="K1288" s="71" t="str">
        <f>IF(COUNTA(A1288:G1288)=0,"",IF(G1288&lt;&gt;"",G1288,IF(B1288="","",IFERROR(IF(INDEX(pr_rate,MATCH(B1288,pr_code,0))="","",INDEX(pr_rate,MATCH(B1288,pr_code,0))),""))))</f>
        <v/>
      </c>
      <c r="L1288" s="65" t="str">
        <f>IF(COUNTA(A1288:G1288)=0,"",IF(AND(ISNUMBER(D1288),ISNUMBER(J1288)),ROUND(D1288*J1288*(1-N(F1288)),2),0))</f>
        <v/>
      </c>
      <c r="M1288" s="62" t="str">
        <f>IF(A1288="","",IFERROR(INDEX(fa_cname,MATCH(A1288,fa_num,0))&amp;"",""))</f>
        <v/>
      </c>
      <c r="N1288" s="59" t="str">
        <f>IF(COUNTA(A1288:G1288)=0,"",IF(A1288="","N° facture manquant",IF(ISNA(MATCH(A1288,fa_num,0)),"Facture inconnue",IF(AND(B1288&lt;&gt;"",ISNA(MATCH(B1288,pr_code,0))),"Article inconnu",IF(H1288="","Désignation manquante",IF(OR(NOT(ISNUMBER(D1288)),N(D1288)&lt;=0),"Quantité invalide",IF(J1288="","Prix manquant",IF(OR(NOT(ISNUMBER(J1288)),N(J1288)&lt;0),"Prix invalide",IF(OR(AND(F1288&lt;&gt;"",NOT(ISNUMBER(F1288))),N(F1288)&lt;0,N(F1288)&gt;1),"Remise invalide",IF(K1288="","Taux de TVA manquant",IF(NOT(ISNUMBER(K1288)),"Taux de TVA invalide",IF(COUNTIF(p_rates,K1288)=0,"Taux de TVA hors liste (Paramètres)",IF(N(O1288)&gt;25,"Au-delà de 25 lignes : non imprimée","OK")))))))))))))</f>
        <v/>
      </c>
      <c r="O1288" s="59" t="str">
        <f>IF(A1288="","",COUNTIF($A$6:A1288,A1288))</f>
        <v/>
      </c>
      <c r="P1288" s="62" t="str">
        <f>IF(A1288="","",A1288&amp;"|"&amp;O1288)</f>
        <v/>
      </c>
    </row>
    <row r="1289">
      <c r="A1289" s="60" t="n"/>
      <c r="B1289" s="63" t="n"/>
      <c r="C1289" s="63" t="n"/>
      <c r="D1289" s="67" t="n"/>
      <c r="E1289" s="68" t="n"/>
      <c r="F1289" s="69" t="n"/>
      <c r="G1289" s="70" t="n"/>
      <c r="H1289" s="62" t="str">
        <f>IF(COUNTA(A1289:G1289)=0,"",IF(C1289&lt;&gt;"",C1289,IF(B1289="","",IFERROR(INDEX(pr_des,MATCH(B1289,pr_code,0))&amp;"",""))))</f>
        <v/>
      </c>
      <c r="I1289" s="59" t="str">
        <f>IF(B1289="","",IFERROR(INDEX(pr_unit,MATCH(B1289,pr_code,0))&amp;"",""))</f>
        <v/>
      </c>
      <c r="J1289" s="65" t="str">
        <f>IF(COUNTA(A1289:G1289)=0,"",IF(E1289&lt;&gt;"",E1289,IF(B1289="","",IFERROR(IF(INDEX(pr_price,MATCH(B1289,pr_code,0))="","",INDEX(pr_price,MATCH(B1289,pr_code,0))),""))))</f>
        <v/>
      </c>
      <c r="K1289" s="71" t="str">
        <f>IF(COUNTA(A1289:G1289)=0,"",IF(G1289&lt;&gt;"",G1289,IF(B1289="","",IFERROR(IF(INDEX(pr_rate,MATCH(B1289,pr_code,0))="","",INDEX(pr_rate,MATCH(B1289,pr_code,0))),""))))</f>
        <v/>
      </c>
      <c r="L1289" s="65" t="str">
        <f>IF(COUNTA(A1289:G1289)=0,"",IF(AND(ISNUMBER(D1289),ISNUMBER(J1289)),ROUND(D1289*J1289*(1-N(F1289)),2),0))</f>
        <v/>
      </c>
      <c r="M1289" s="62" t="str">
        <f>IF(A1289="","",IFERROR(INDEX(fa_cname,MATCH(A1289,fa_num,0))&amp;"",""))</f>
        <v/>
      </c>
      <c r="N1289" s="59" t="str">
        <f>IF(COUNTA(A1289:G1289)=0,"",IF(A1289="","N° facture manquant",IF(ISNA(MATCH(A1289,fa_num,0)),"Facture inconnue",IF(AND(B1289&lt;&gt;"",ISNA(MATCH(B1289,pr_code,0))),"Article inconnu",IF(H1289="","Désignation manquante",IF(OR(NOT(ISNUMBER(D1289)),N(D1289)&lt;=0),"Quantité invalide",IF(J1289="","Prix manquant",IF(OR(NOT(ISNUMBER(J1289)),N(J1289)&lt;0),"Prix invalide",IF(OR(AND(F1289&lt;&gt;"",NOT(ISNUMBER(F1289))),N(F1289)&lt;0,N(F1289)&gt;1),"Remise invalide",IF(K1289="","Taux de TVA manquant",IF(NOT(ISNUMBER(K1289)),"Taux de TVA invalide",IF(COUNTIF(p_rates,K1289)=0,"Taux de TVA hors liste (Paramètres)",IF(N(O1289)&gt;25,"Au-delà de 25 lignes : non imprimée","OK")))))))))))))</f>
        <v/>
      </c>
      <c r="O1289" s="59" t="str">
        <f>IF(A1289="","",COUNTIF($A$6:A1289,A1289))</f>
        <v/>
      </c>
      <c r="P1289" s="62" t="str">
        <f>IF(A1289="","",A1289&amp;"|"&amp;O1289)</f>
        <v/>
      </c>
    </row>
    <row r="1290">
      <c r="A1290" s="60" t="n"/>
      <c r="B1290" s="63" t="n"/>
      <c r="C1290" s="63" t="n"/>
      <c r="D1290" s="67" t="n"/>
      <c r="E1290" s="68" t="n"/>
      <c r="F1290" s="69" t="n"/>
      <c r="G1290" s="70" t="n"/>
      <c r="H1290" s="62" t="str">
        <f>IF(COUNTA(A1290:G1290)=0,"",IF(C1290&lt;&gt;"",C1290,IF(B1290="","",IFERROR(INDEX(pr_des,MATCH(B1290,pr_code,0))&amp;"",""))))</f>
        <v/>
      </c>
      <c r="I1290" s="59" t="str">
        <f>IF(B1290="","",IFERROR(INDEX(pr_unit,MATCH(B1290,pr_code,0))&amp;"",""))</f>
        <v/>
      </c>
      <c r="J1290" s="65" t="str">
        <f>IF(COUNTA(A1290:G1290)=0,"",IF(E1290&lt;&gt;"",E1290,IF(B1290="","",IFERROR(IF(INDEX(pr_price,MATCH(B1290,pr_code,0))="","",INDEX(pr_price,MATCH(B1290,pr_code,0))),""))))</f>
        <v/>
      </c>
      <c r="K1290" s="71" t="str">
        <f>IF(COUNTA(A1290:G1290)=0,"",IF(G1290&lt;&gt;"",G1290,IF(B1290="","",IFERROR(IF(INDEX(pr_rate,MATCH(B1290,pr_code,0))="","",INDEX(pr_rate,MATCH(B1290,pr_code,0))),""))))</f>
        <v/>
      </c>
      <c r="L1290" s="65" t="str">
        <f>IF(COUNTA(A1290:G1290)=0,"",IF(AND(ISNUMBER(D1290),ISNUMBER(J1290)),ROUND(D1290*J1290*(1-N(F1290)),2),0))</f>
        <v/>
      </c>
      <c r="M1290" s="62" t="str">
        <f>IF(A1290="","",IFERROR(INDEX(fa_cname,MATCH(A1290,fa_num,0))&amp;"",""))</f>
        <v/>
      </c>
      <c r="N1290" s="59" t="str">
        <f>IF(COUNTA(A1290:G1290)=0,"",IF(A1290="","N° facture manquant",IF(ISNA(MATCH(A1290,fa_num,0)),"Facture inconnue",IF(AND(B1290&lt;&gt;"",ISNA(MATCH(B1290,pr_code,0))),"Article inconnu",IF(H1290="","Désignation manquante",IF(OR(NOT(ISNUMBER(D1290)),N(D1290)&lt;=0),"Quantité invalide",IF(J1290="","Prix manquant",IF(OR(NOT(ISNUMBER(J1290)),N(J1290)&lt;0),"Prix invalide",IF(OR(AND(F1290&lt;&gt;"",NOT(ISNUMBER(F1290))),N(F1290)&lt;0,N(F1290)&gt;1),"Remise invalide",IF(K1290="","Taux de TVA manquant",IF(NOT(ISNUMBER(K1290)),"Taux de TVA invalide",IF(COUNTIF(p_rates,K1290)=0,"Taux de TVA hors liste (Paramètres)",IF(N(O1290)&gt;25,"Au-delà de 25 lignes : non imprimée","OK")))))))))))))</f>
        <v/>
      </c>
      <c r="O1290" s="59" t="str">
        <f>IF(A1290="","",COUNTIF($A$6:A1290,A1290))</f>
        <v/>
      </c>
      <c r="P1290" s="62" t="str">
        <f>IF(A1290="","",A1290&amp;"|"&amp;O1290)</f>
        <v/>
      </c>
    </row>
    <row r="1291">
      <c r="A1291" s="60" t="n"/>
      <c r="B1291" s="63" t="n"/>
      <c r="C1291" s="63" t="n"/>
      <c r="D1291" s="67" t="n"/>
      <c r="E1291" s="68" t="n"/>
      <c r="F1291" s="69" t="n"/>
      <c r="G1291" s="70" t="n"/>
      <c r="H1291" s="62" t="str">
        <f>IF(COUNTA(A1291:G1291)=0,"",IF(C1291&lt;&gt;"",C1291,IF(B1291="","",IFERROR(INDEX(pr_des,MATCH(B1291,pr_code,0))&amp;"",""))))</f>
        <v/>
      </c>
      <c r="I1291" s="59" t="str">
        <f>IF(B1291="","",IFERROR(INDEX(pr_unit,MATCH(B1291,pr_code,0))&amp;"",""))</f>
        <v/>
      </c>
      <c r="J1291" s="65" t="str">
        <f>IF(COUNTA(A1291:G1291)=0,"",IF(E1291&lt;&gt;"",E1291,IF(B1291="","",IFERROR(IF(INDEX(pr_price,MATCH(B1291,pr_code,0))="","",INDEX(pr_price,MATCH(B1291,pr_code,0))),""))))</f>
        <v/>
      </c>
      <c r="K1291" s="71" t="str">
        <f>IF(COUNTA(A1291:G1291)=0,"",IF(G1291&lt;&gt;"",G1291,IF(B1291="","",IFERROR(IF(INDEX(pr_rate,MATCH(B1291,pr_code,0))="","",INDEX(pr_rate,MATCH(B1291,pr_code,0))),""))))</f>
        <v/>
      </c>
      <c r="L1291" s="65" t="str">
        <f>IF(COUNTA(A1291:G1291)=0,"",IF(AND(ISNUMBER(D1291),ISNUMBER(J1291)),ROUND(D1291*J1291*(1-N(F1291)),2),0))</f>
        <v/>
      </c>
      <c r="M1291" s="62" t="str">
        <f>IF(A1291="","",IFERROR(INDEX(fa_cname,MATCH(A1291,fa_num,0))&amp;"",""))</f>
        <v/>
      </c>
      <c r="N1291" s="59" t="str">
        <f>IF(COUNTA(A1291:G1291)=0,"",IF(A1291="","N° facture manquant",IF(ISNA(MATCH(A1291,fa_num,0)),"Facture inconnue",IF(AND(B1291&lt;&gt;"",ISNA(MATCH(B1291,pr_code,0))),"Article inconnu",IF(H1291="","Désignation manquante",IF(OR(NOT(ISNUMBER(D1291)),N(D1291)&lt;=0),"Quantité invalide",IF(J1291="","Prix manquant",IF(OR(NOT(ISNUMBER(J1291)),N(J1291)&lt;0),"Prix invalide",IF(OR(AND(F1291&lt;&gt;"",NOT(ISNUMBER(F1291))),N(F1291)&lt;0,N(F1291)&gt;1),"Remise invalide",IF(K1291="","Taux de TVA manquant",IF(NOT(ISNUMBER(K1291)),"Taux de TVA invalide",IF(COUNTIF(p_rates,K1291)=0,"Taux de TVA hors liste (Paramètres)",IF(N(O1291)&gt;25,"Au-delà de 25 lignes : non imprimée","OK")))))))))))))</f>
        <v/>
      </c>
      <c r="O1291" s="59" t="str">
        <f>IF(A1291="","",COUNTIF($A$6:A1291,A1291))</f>
        <v/>
      </c>
      <c r="P1291" s="62" t="str">
        <f>IF(A1291="","",A1291&amp;"|"&amp;O1291)</f>
        <v/>
      </c>
    </row>
    <row r="1292">
      <c r="A1292" s="60" t="n"/>
      <c r="B1292" s="63" t="n"/>
      <c r="C1292" s="63" t="n"/>
      <c r="D1292" s="67" t="n"/>
      <c r="E1292" s="68" t="n"/>
      <c r="F1292" s="69" t="n"/>
      <c r="G1292" s="70" t="n"/>
      <c r="H1292" s="62" t="str">
        <f>IF(COUNTA(A1292:G1292)=0,"",IF(C1292&lt;&gt;"",C1292,IF(B1292="","",IFERROR(INDEX(pr_des,MATCH(B1292,pr_code,0))&amp;"",""))))</f>
        <v/>
      </c>
      <c r="I1292" s="59" t="str">
        <f>IF(B1292="","",IFERROR(INDEX(pr_unit,MATCH(B1292,pr_code,0))&amp;"",""))</f>
        <v/>
      </c>
      <c r="J1292" s="65" t="str">
        <f>IF(COUNTA(A1292:G1292)=0,"",IF(E1292&lt;&gt;"",E1292,IF(B1292="","",IFERROR(IF(INDEX(pr_price,MATCH(B1292,pr_code,0))="","",INDEX(pr_price,MATCH(B1292,pr_code,0))),""))))</f>
        <v/>
      </c>
      <c r="K1292" s="71" t="str">
        <f>IF(COUNTA(A1292:G1292)=0,"",IF(G1292&lt;&gt;"",G1292,IF(B1292="","",IFERROR(IF(INDEX(pr_rate,MATCH(B1292,pr_code,0))="","",INDEX(pr_rate,MATCH(B1292,pr_code,0))),""))))</f>
        <v/>
      </c>
      <c r="L1292" s="65" t="str">
        <f>IF(COUNTA(A1292:G1292)=0,"",IF(AND(ISNUMBER(D1292),ISNUMBER(J1292)),ROUND(D1292*J1292*(1-N(F1292)),2),0))</f>
        <v/>
      </c>
      <c r="M1292" s="62" t="str">
        <f>IF(A1292="","",IFERROR(INDEX(fa_cname,MATCH(A1292,fa_num,0))&amp;"",""))</f>
        <v/>
      </c>
      <c r="N1292" s="59" t="str">
        <f>IF(COUNTA(A1292:G1292)=0,"",IF(A1292="","N° facture manquant",IF(ISNA(MATCH(A1292,fa_num,0)),"Facture inconnue",IF(AND(B1292&lt;&gt;"",ISNA(MATCH(B1292,pr_code,0))),"Article inconnu",IF(H1292="","Désignation manquante",IF(OR(NOT(ISNUMBER(D1292)),N(D1292)&lt;=0),"Quantité invalide",IF(J1292="","Prix manquant",IF(OR(NOT(ISNUMBER(J1292)),N(J1292)&lt;0),"Prix invalide",IF(OR(AND(F1292&lt;&gt;"",NOT(ISNUMBER(F1292))),N(F1292)&lt;0,N(F1292)&gt;1),"Remise invalide",IF(K1292="","Taux de TVA manquant",IF(NOT(ISNUMBER(K1292)),"Taux de TVA invalide",IF(COUNTIF(p_rates,K1292)=0,"Taux de TVA hors liste (Paramètres)",IF(N(O1292)&gt;25,"Au-delà de 25 lignes : non imprimée","OK")))))))))))))</f>
        <v/>
      </c>
      <c r="O1292" s="59" t="str">
        <f>IF(A1292="","",COUNTIF($A$6:A1292,A1292))</f>
        <v/>
      </c>
      <c r="P1292" s="62" t="str">
        <f>IF(A1292="","",A1292&amp;"|"&amp;O1292)</f>
        <v/>
      </c>
    </row>
    <row r="1293">
      <c r="A1293" s="60" t="n"/>
      <c r="B1293" s="63" t="n"/>
      <c r="C1293" s="63" t="n"/>
      <c r="D1293" s="67" t="n"/>
      <c r="E1293" s="68" t="n"/>
      <c r="F1293" s="69" t="n"/>
      <c r="G1293" s="70" t="n"/>
      <c r="H1293" s="62" t="str">
        <f>IF(COUNTA(A1293:G1293)=0,"",IF(C1293&lt;&gt;"",C1293,IF(B1293="","",IFERROR(INDEX(pr_des,MATCH(B1293,pr_code,0))&amp;"",""))))</f>
        <v/>
      </c>
      <c r="I1293" s="59" t="str">
        <f>IF(B1293="","",IFERROR(INDEX(pr_unit,MATCH(B1293,pr_code,0))&amp;"",""))</f>
        <v/>
      </c>
      <c r="J1293" s="65" t="str">
        <f>IF(COUNTA(A1293:G1293)=0,"",IF(E1293&lt;&gt;"",E1293,IF(B1293="","",IFERROR(IF(INDEX(pr_price,MATCH(B1293,pr_code,0))="","",INDEX(pr_price,MATCH(B1293,pr_code,0))),""))))</f>
        <v/>
      </c>
      <c r="K1293" s="71" t="str">
        <f>IF(COUNTA(A1293:G1293)=0,"",IF(G1293&lt;&gt;"",G1293,IF(B1293="","",IFERROR(IF(INDEX(pr_rate,MATCH(B1293,pr_code,0))="","",INDEX(pr_rate,MATCH(B1293,pr_code,0))),""))))</f>
        <v/>
      </c>
      <c r="L1293" s="65" t="str">
        <f>IF(COUNTA(A1293:G1293)=0,"",IF(AND(ISNUMBER(D1293),ISNUMBER(J1293)),ROUND(D1293*J1293*(1-N(F1293)),2),0))</f>
        <v/>
      </c>
      <c r="M1293" s="62" t="str">
        <f>IF(A1293="","",IFERROR(INDEX(fa_cname,MATCH(A1293,fa_num,0))&amp;"",""))</f>
        <v/>
      </c>
      <c r="N1293" s="59" t="str">
        <f>IF(COUNTA(A1293:G1293)=0,"",IF(A1293="","N° facture manquant",IF(ISNA(MATCH(A1293,fa_num,0)),"Facture inconnue",IF(AND(B1293&lt;&gt;"",ISNA(MATCH(B1293,pr_code,0))),"Article inconnu",IF(H1293="","Désignation manquante",IF(OR(NOT(ISNUMBER(D1293)),N(D1293)&lt;=0),"Quantité invalide",IF(J1293="","Prix manquant",IF(OR(NOT(ISNUMBER(J1293)),N(J1293)&lt;0),"Prix invalide",IF(OR(AND(F1293&lt;&gt;"",NOT(ISNUMBER(F1293))),N(F1293)&lt;0,N(F1293)&gt;1),"Remise invalide",IF(K1293="","Taux de TVA manquant",IF(NOT(ISNUMBER(K1293)),"Taux de TVA invalide",IF(COUNTIF(p_rates,K1293)=0,"Taux de TVA hors liste (Paramètres)",IF(N(O1293)&gt;25,"Au-delà de 25 lignes : non imprimée","OK")))))))))))))</f>
        <v/>
      </c>
      <c r="O1293" s="59" t="str">
        <f>IF(A1293="","",COUNTIF($A$6:A1293,A1293))</f>
        <v/>
      </c>
      <c r="P1293" s="62" t="str">
        <f>IF(A1293="","",A1293&amp;"|"&amp;O1293)</f>
        <v/>
      </c>
    </row>
    <row r="1294">
      <c r="A1294" s="60" t="n"/>
      <c r="B1294" s="63" t="n"/>
      <c r="C1294" s="63" t="n"/>
      <c r="D1294" s="67" t="n"/>
      <c r="E1294" s="68" t="n"/>
      <c r="F1294" s="69" t="n"/>
      <c r="G1294" s="70" t="n"/>
      <c r="H1294" s="62" t="str">
        <f>IF(COUNTA(A1294:G1294)=0,"",IF(C1294&lt;&gt;"",C1294,IF(B1294="","",IFERROR(INDEX(pr_des,MATCH(B1294,pr_code,0))&amp;"",""))))</f>
        <v/>
      </c>
      <c r="I1294" s="59" t="str">
        <f>IF(B1294="","",IFERROR(INDEX(pr_unit,MATCH(B1294,pr_code,0))&amp;"",""))</f>
        <v/>
      </c>
      <c r="J1294" s="65" t="str">
        <f>IF(COUNTA(A1294:G1294)=0,"",IF(E1294&lt;&gt;"",E1294,IF(B1294="","",IFERROR(IF(INDEX(pr_price,MATCH(B1294,pr_code,0))="","",INDEX(pr_price,MATCH(B1294,pr_code,0))),""))))</f>
        <v/>
      </c>
      <c r="K1294" s="71" t="str">
        <f>IF(COUNTA(A1294:G1294)=0,"",IF(G1294&lt;&gt;"",G1294,IF(B1294="","",IFERROR(IF(INDEX(pr_rate,MATCH(B1294,pr_code,0))="","",INDEX(pr_rate,MATCH(B1294,pr_code,0))),""))))</f>
        <v/>
      </c>
      <c r="L1294" s="65" t="str">
        <f>IF(COUNTA(A1294:G1294)=0,"",IF(AND(ISNUMBER(D1294),ISNUMBER(J1294)),ROUND(D1294*J1294*(1-N(F1294)),2),0))</f>
        <v/>
      </c>
      <c r="M1294" s="62" t="str">
        <f>IF(A1294="","",IFERROR(INDEX(fa_cname,MATCH(A1294,fa_num,0))&amp;"",""))</f>
        <v/>
      </c>
      <c r="N1294" s="59" t="str">
        <f>IF(COUNTA(A1294:G1294)=0,"",IF(A1294="","N° facture manquant",IF(ISNA(MATCH(A1294,fa_num,0)),"Facture inconnue",IF(AND(B1294&lt;&gt;"",ISNA(MATCH(B1294,pr_code,0))),"Article inconnu",IF(H1294="","Désignation manquante",IF(OR(NOT(ISNUMBER(D1294)),N(D1294)&lt;=0),"Quantité invalide",IF(J1294="","Prix manquant",IF(OR(NOT(ISNUMBER(J1294)),N(J1294)&lt;0),"Prix invalide",IF(OR(AND(F1294&lt;&gt;"",NOT(ISNUMBER(F1294))),N(F1294)&lt;0,N(F1294)&gt;1),"Remise invalide",IF(K1294="","Taux de TVA manquant",IF(NOT(ISNUMBER(K1294)),"Taux de TVA invalide",IF(COUNTIF(p_rates,K1294)=0,"Taux de TVA hors liste (Paramètres)",IF(N(O1294)&gt;25,"Au-delà de 25 lignes : non imprimée","OK")))))))))))))</f>
        <v/>
      </c>
      <c r="O1294" s="59" t="str">
        <f>IF(A1294="","",COUNTIF($A$6:A1294,A1294))</f>
        <v/>
      </c>
      <c r="P1294" s="62" t="str">
        <f>IF(A1294="","",A1294&amp;"|"&amp;O1294)</f>
        <v/>
      </c>
    </row>
    <row r="1295">
      <c r="A1295" s="60" t="n"/>
      <c r="B1295" s="63" t="n"/>
      <c r="C1295" s="63" t="n"/>
      <c r="D1295" s="67" t="n"/>
      <c r="E1295" s="68" t="n"/>
      <c r="F1295" s="69" t="n"/>
      <c r="G1295" s="70" t="n"/>
      <c r="H1295" s="62" t="str">
        <f>IF(COUNTA(A1295:G1295)=0,"",IF(C1295&lt;&gt;"",C1295,IF(B1295="","",IFERROR(INDEX(pr_des,MATCH(B1295,pr_code,0))&amp;"",""))))</f>
        <v/>
      </c>
      <c r="I1295" s="59" t="str">
        <f>IF(B1295="","",IFERROR(INDEX(pr_unit,MATCH(B1295,pr_code,0))&amp;"",""))</f>
        <v/>
      </c>
      <c r="J1295" s="65" t="str">
        <f>IF(COUNTA(A1295:G1295)=0,"",IF(E1295&lt;&gt;"",E1295,IF(B1295="","",IFERROR(IF(INDEX(pr_price,MATCH(B1295,pr_code,0))="","",INDEX(pr_price,MATCH(B1295,pr_code,0))),""))))</f>
        <v/>
      </c>
      <c r="K1295" s="71" t="str">
        <f>IF(COUNTA(A1295:G1295)=0,"",IF(G1295&lt;&gt;"",G1295,IF(B1295="","",IFERROR(IF(INDEX(pr_rate,MATCH(B1295,pr_code,0))="","",INDEX(pr_rate,MATCH(B1295,pr_code,0))),""))))</f>
        <v/>
      </c>
      <c r="L1295" s="65" t="str">
        <f>IF(COUNTA(A1295:G1295)=0,"",IF(AND(ISNUMBER(D1295),ISNUMBER(J1295)),ROUND(D1295*J1295*(1-N(F1295)),2),0))</f>
        <v/>
      </c>
      <c r="M1295" s="62" t="str">
        <f>IF(A1295="","",IFERROR(INDEX(fa_cname,MATCH(A1295,fa_num,0))&amp;"",""))</f>
        <v/>
      </c>
      <c r="N1295" s="59" t="str">
        <f>IF(COUNTA(A1295:G1295)=0,"",IF(A1295="","N° facture manquant",IF(ISNA(MATCH(A1295,fa_num,0)),"Facture inconnue",IF(AND(B1295&lt;&gt;"",ISNA(MATCH(B1295,pr_code,0))),"Article inconnu",IF(H1295="","Désignation manquante",IF(OR(NOT(ISNUMBER(D1295)),N(D1295)&lt;=0),"Quantité invalide",IF(J1295="","Prix manquant",IF(OR(NOT(ISNUMBER(J1295)),N(J1295)&lt;0),"Prix invalide",IF(OR(AND(F1295&lt;&gt;"",NOT(ISNUMBER(F1295))),N(F1295)&lt;0,N(F1295)&gt;1),"Remise invalide",IF(K1295="","Taux de TVA manquant",IF(NOT(ISNUMBER(K1295)),"Taux de TVA invalide",IF(COUNTIF(p_rates,K1295)=0,"Taux de TVA hors liste (Paramètres)",IF(N(O1295)&gt;25,"Au-delà de 25 lignes : non imprimée","OK")))))))))))))</f>
        <v/>
      </c>
      <c r="O1295" s="59" t="str">
        <f>IF(A1295="","",COUNTIF($A$6:A1295,A1295))</f>
        <v/>
      </c>
      <c r="P1295" s="62" t="str">
        <f>IF(A1295="","",A1295&amp;"|"&amp;O1295)</f>
        <v/>
      </c>
    </row>
    <row r="1296">
      <c r="A1296" s="60" t="n"/>
      <c r="B1296" s="63" t="n"/>
      <c r="C1296" s="63" t="n"/>
      <c r="D1296" s="67" t="n"/>
      <c r="E1296" s="68" t="n"/>
      <c r="F1296" s="69" t="n"/>
      <c r="G1296" s="70" t="n"/>
      <c r="H1296" s="62" t="str">
        <f>IF(COUNTA(A1296:G1296)=0,"",IF(C1296&lt;&gt;"",C1296,IF(B1296="","",IFERROR(INDEX(pr_des,MATCH(B1296,pr_code,0))&amp;"",""))))</f>
        <v/>
      </c>
      <c r="I1296" s="59" t="str">
        <f>IF(B1296="","",IFERROR(INDEX(pr_unit,MATCH(B1296,pr_code,0))&amp;"",""))</f>
        <v/>
      </c>
      <c r="J1296" s="65" t="str">
        <f>IF(COUNTA(A1296:G1296)=0,"",IF(E1296&lt;&gt;"",E1296,IF(B1296="","",IFERROR(IF(INDEX(pr_price,MATCH(B1296,pr_code,0))="","",INDEX(pr_price,MATCH(B1296,pr_code,0))),""))))</f>
        <v/>
      </c>
      <c r="K1296" s="71" t="str">
        <f>IF(COUNTA(A1296:G1296)=0,"",IF(G1296&lt;&gt;"",G1296,IF(B1296="","",IFERROR(IF(INDEX(pr_rate,MATCH(B1296,pr_code,0))="","",INDEX(pr_rate,MATCH(B1296,pr_code,0))),""))))</f>
        <v/>
      </c>
      <c r="L1296" s="65" t="str">
        <f>IF(COUNTA(A1296:G1296)=0,"",IF(AND(ISNUMBER(D1296),ISNUMBER(J1296)),ROUND(D1296*J1296*(1-N(F1296)),2),0))</f>
        <v/>
      </c>
      <c r="M1296" s="62" t="str">
        <f>IF(A1296="","",IFERROR(INDEX(fa_cname,MATCH(A1296,fa_num,0))&amp;"",""))</f>
        <v/>
      </c>
      <c r="N1296" s="59" t="str">
        <f>IF(COUNTA(A1296:G1296)=0,"",IF(A1296="","N° facture manquant",IF(ISNA(MATCH(A1296,fa_num,0)),"Facture inconnue",IF(AND(B1296&lt;&gt;"",ISNA(MATCH(B1296,pr_code,0))),"Article inconnu",IF(H1296="","Désignation manquante",IF(OR(NOT(ISNUMBER(D1296)),N(D1296)&lt;=0),"Quantité invalide",IF(J1296="","Prix manquant",IF(OR(NOT(ISNUMBER(J1296)),N(J1296)&lt;0),"Prix invalide",IF(OR(AND(F1296&lt;&gt;"",NOT(ISNUMBER(F1296))),N(F1296)&lt;0,N(F1296)&gt;1),"Remise invalide",IF(K1296="","Taux de TVA manquant",IF(NOT(ISNUMBER(K1296)),"Taux de TVA invalide",IF(COUNTIF(p_rates,K1296)=0,"Taux de TVA hors liste (Paramètres)",IF(N(O1296)&gt;25,"Au-delà de 25 lignes : non imprimée","OK")))))))))))))</f>
        <v/>
      </c>
      <c r="O1296" s="59" t="str">
        <f>IF(A1296="","",COUNTIF($A$6:A1296,A1296))</f>
        <v/>
      </c>
      <c r="P1296" s="62" t="str">
        <f>IF(A1296="","",A1296&amp;"|"&amp;O1296)</f>
        <v/>
      </c>
    </row>
    <row r="1297">
      <c r="A1297" s="60" t="n"/>
      <c r="B1297" s="63" t="n"/>
      <c r="C1297" s="63" t="n"/>
      <c r="D1297" s="67" t="n"/>
      <c r="E1297" s="68" t="n"/>
      <c r="F1297" s="69" t="n"/>
      <c r="G1297" s="70" t="n"/>
      <c r="H1297" s="62" t="str">
        <f>IF(COUNTA(A1297:G1297)=0,"",IF(C1297&lt;&gt;"",C1297,IF(B1297="","",IFERROR(INDEX(pr_des,MATCH(B1297,pr_code,0))&amp;"",""))))</f>
        <v/>
      </c>
      <c r="I1297" s="59" t="str">
        <f>IF(B1297="","",IFERROR(INDEX(pr_unit,MATCH(B1297,pr_code,0))&amp;"",""))</f>
        <v/>
      </c>
      <c r="J1297" s="65" t="str">
        <f>IF(COUNTA(A1297:G1297)=0,"",IF(E1297&lt;&gt;"",E1297,IF(B1297="","",IFERROR(IF(INDEX(pr_price,MATCH(B1297,pr_code,0))="","",INDEX(pr_price,MATCH(B1297,pr_code,0))),""))))</f>
        <v/>
      </c>
      <c r="K1297" s="71" t="str">
        <f>IF(COUNTA(A1297:G1297)=0,"",IF(G1297&lt;&gt;"",G1297,IF(B1297="","",IFERROR(IF(INDEX(pr_rate,MATCH(B1297,pr_code,0))="","",INDEX(pr_rate,MATCH(B1297,pr_code,0))),""))))</f>
        <v/>
      </c>
      <c r="L1297" s="65" t="str">
        <f>IF(COUNTA(A1297:G1297)=0,"",IF(AND(ISNUMBER(D1297),ISNUMBER(J1297)),ROUND(D1297*J1297*(1-N(F1297)),2),0))</f>
        <v/>
      </c>
      <c r="M1297" s="62" t="str">
        <f>IF(A1297="","",IFERROR(INDEX(fa_cname,MATCH(A1297,fa_num,0))&amp;"",""))</f>
        <v/>
      </c>
      <c r="N1297" s="59" t="str">
        <f>IF(COUNTA(A1297:G1297)=0,"",IF(A1297="","N° facture manquant",IF(ISNA(MATCH(A1297,fa_num,0)),"Facture inconnue",IF(AND(B1297&lt;&gt;"",ISNA(MATCH(B1297,pr_code,0))),"Article inconnu",IF(H1297="","Désignation manquante",IF(OR(NOT(ISNUMBER(D1297)),N(D1297)&lt;=0),"Quantité invalide",IF(J1297="","Prix manquant",IF(OR(NOT(ISNUMBER(J1297)),N(J1297)&lt;0),"Prix invalide",IF(OR(AND(F1297&lt;&gt;"",NOT(ISNUMBER(F1297))),N(F1297)&lt;0,N(F1297)&gt;1),"Remise invalide",IF(K1297="","Taux de TVA manquant",IF(NOT(ISNUMBER(K1297)),"Taux de TVA invalide",IF(COUNTIF(p_rates,K1297)=0,"Taux de TVA hors liste (Paramètres)",IF(N(O1297)&gt;25,"Au-delà de 25 lignes : non imprimée","OK")))))))))))))</f>
        <v/>
      </c>
      <c r="O1297" s="59" t="str">
        <f>IF(A1297="","",COUNTIF($A$6:A1297,A1297))</f>
        <v/>
      </c>
      <c r="P1297" s="62" t="str">
        <f>IF(A1297="","",A1297&amp;"|"&amp;O1297)</f>
        <v/>
      </c>
    </row>
    <row r="1298">
      <c r="A1298" s="60" t="n"/>
      <c r="B1298" s="63" t="n"/>
      <c r="C1298" s="63" t="n"/>
      <c r="D1298" s="67" t="n"/>
      <c r="E1298" s="68" t="n"/>
      <c r="F1298" s="69" t="n"/>
      <c r="G1298" s="70" t="n"/>
      <c r="H1298" s="62" t="str">
        <f>IF(COUNTA(A1298:G1298)=0,"",IF(C1298&lt;&gt;"",C1298,IF(B1298="","",IFERROR(INDEX(pr_des,MATCH(B1298,pr_code,0))&amp;"",""))))</f>
        <v/>
      </c>
      <c r="I1298" s="59" t="str">
        <f>IF(B1298="","",IFERROR(INDEX(pr_unit,MATCH(B1298,pr_code,0))&amp;"",""))</f>
        <v/>
      </c>
      <c r="J1298" s="65" t="str">
        <f>IF(COUNTA(A1298:G1298)=0,"",IF(E1298&lt;&gt;"",E1298,IF(B1298="","",IFERROR(IF(INDEX(pr_price,MATCH(B1298,pr_code,0))="","",INDEX(pr_price,MATCH(B1298,pr_code,0))),""))))</f>
        <v/>
      </c>
      <c r="K1298" s="71" t="str">
        <f>IF(COUNTA(A1298:G1298)=0,"",IF(G1298&lt;&gt;"",G1298,IF(B1298="","",IFERROR(IF(INDEX(pr_rate,MATCH(B1298,pr_code,0))="","",INDEX(pr_rate,MATCH(B1298,pr_code,0))),""))))</f>
        <v/>
      </c>
      <c r="L1298" s="65" t="str">
        <f>IF(COUNTA(A1298:G1298)=0,"",IF(AND(ISNUMBER(D1298),ISNUMBER(J1298)),ROUND(D1298*J1298*(1-N(F1298)),2),0))</f>
        <v/>
      </c>
      <c r="M1298" s="62" t="str">
        <f>IF(A1298="","",IFERROR(INDEX(fa_cname,MATCH(A1298,fa_num,0))&amp;"",""))</f>
        <v/>
      </c>
      <c r="N1298" s="59" t="str">
        <f>IF(COUNTA(A1298:G1298)=0,"",IF(A1298="","N° facture manquant",IF(ISNA(MATCH(A1298,fa_num,0)),"Facture inconnue",IF(AND(B1298&lt;&gt;"",ISNA(MATCH(B1298,pr_code,0))),"Article inconnu",IF(H1298="","Désignation manquante",IF(OR(NOT(ISNUMBER(D1298)),N(D1298)&lt;=0),"Quantité invalide",IF(J1298="","Prix manquant",IF(OR(NOT(ISNUMBER(J1298)),N(J1298)&lt;0),"Prix invalide",IF(OR(AND(F1298&lt;&gt;"",NOT(ISNUMBER(F1298))),N(F1298)&lt;0,N(F1298)&gt;1),"Remise invalide",IF(K1298="","Taux de TVA manquant",IF(NOT(ISNUMBER(K1298)),"Taux de TVA invalide",IF(COUNTIF(p_rates,K1298)=0,"Taux de TVA hors liste (Paramètres)",IF(N(O1298)&gt;25,"Au-delà de 25 lignes : non imprimée","OK")))))))))))))</f>
        <v/>
      </c>
      <c r="O1298" s="59" t="str">
        <f>IF(A1298="","",COUNTIF($A$6:A1298,A1298))</f>
        <v/>
      </c>
      <c r="P1298" s="62" t="str">
        <f>IF(A1298="","",A1298&amp;"|"&amp;O1298)</f>
        <v/>
      </c>
    </row>
    <row r="1299">
      <c r="A1299" s="60" t="n"/>
      <c r="B1299" s="63" t="n"/>
      <c r="C1299" s="63" t="n"/>
      <c r="D1299" s="67" t="n"/>
      <c r="E1299" s="68" t="n"/>
      <c r="F1299" s="69" t="n"/>
      <c r="G1299" s="70" t="n"/>
      <c r="H1299" s="62" t="str">
        <f>IF(COUNTA(A1299:G1299)=0,"",IF(C1299&lt;&gt;"",C1299,IF(B1299="","",IFERROR(INDEX(pr_des,MATCH(B1299,pr_code,0))&amp;"",""))))</f>
        <v/>
      </c>
      <c r="I1299" s="59" t="str">
        <f>IF(B1299="","",IFERROR(INDEX(pr_unit,MATCH(B1299,pr_code,0))&amp;"",""))</f>
        <v/>
      </c>
      <c r="J1299" s="65" t="str">
        <f>IF(COUNTA(A1299:G1299)=0,"",IF(E1299&lt;&gt;"",E1299,IF(B1299="","",IFERROR(IF(INDEX(pr_price,MATCH(B1299,pr_code,0))="","",INDEX(pr_price,MATCH(B1299,pr_code,0))),""))))</f>
        <v/>
      </c>
      <c r="K1299" s="71" t="str">
        <f>IF(COUNTA(A1299:G1299)=0,"",IF(G1299&lt;&gt;"",G1299,IF(B1299="","",IFERROR(IF(INDEX(pr_rate,MATCH(B1299,pr_code,0))="","",INDEX(pr_rate,MATCH(B1299,pr_code,0))),""))))</f>
        <v/>
      </c>
      <c r="L1299" s="65" t="str">
        <f>IF(COUNTA(A1299:G1299)=0,"",IF(AND(ISNUMBER(D1299),ISNUMBER(J1299)),ROUND(D1299*J1299*(1-N(F1299)),2),0))</f>
        <v/>
      </c>
      <c r="M1299" s="62" t="str">
        <f>IF(A1299="","",IFERROR(INDEX(fa_cname,MATCH(A1299,fa_num,0))&amp;"",""))</f>
        <v/>
      </c>
      <c r="N1299" s="59" t="str">
        <f>IF(COUNTA(A1299:G1299)=0,"",IF(A1299="","N° facture manquant",IF(ISNA(MATCH(A1299,fa_num,0)),"Facture inconnue",IF(AND(B1299&lt;&gt;"",ISNA(MATCH(B1299,pr_code,0))),"Article inconnu",IF(H1299="","Désignation manquante",IF(OR(NOT(ISNUMBER(D1299)),N(D1299)&lt;=0),"Quantité invalide",IF(J1299="","Prix manquant",IF(OR(NOT(ISNUMBER(J1299)),N(J1299)&lt;0),"Prix invalide",IF(OR(AND(F1299&lt;&gt;"",NOT(ISNUMBER(F1299))),N(F1299)&lt;0,N(F1299)&gt;1),"Remise invalide",IF(K1299="","Taux de TVA manquant",IF(NOT(ISNUMBER(K1299)),"Taux de TVA invalide",IF(COUNTIF(p_rates,K1299)=0,"Taux de TVA hors liste (Paramètres)",IF(N(O1299)&gt;25,"Au-delà de 25 lignes : non imprimée","OK")))))))))))))</f>
        <v/>
      </c>
      <c r="O1299" s="59" t="str">
        <f>IF(A1299="","",COUNTIF($A$6:A1299,A1299))</f>
        <v/>
      </c>
      <c r="P1299" s="62" t="str">
        <f>IF(A1299="","",A1299&amp;"|"&amp;O1299)</f>
        <v/>
      </c>
    </row>
    <row r="1300">
      <c r="A1300" s="60" t="n"/>
      <c r="B1300" s="63" t="n"/>
      <c r="C1300" s="63" t="n"/>
      <c r="D1300" s="67" t="n"/>
      <c r="E1300" s="68" t="n"/>
      <c r="F1300" s="69" t="n"/>
      <c r="G1300" s="70" t="n"/>
      <c r="H1300" s="62" t="str">
        <f>IF(COUNTA(A1300:G1300)=0,"",IF(C1300&lt;&gt;"",C1300,IF(B1300="","",IFERROR(INDEX(pr_des,MATCH(B1300,pr_code,0))&amp;"",""))))</f>
        <v/>
      </c>
      <c r="I1300" s="59" t="str">
        <f>IF(B1300="","",IFERROR(INDEX(pr_unit,MATCH(B1300,pr_code,0))&amp;"",""))</f>
        <v/>
      </c>
      <c r="J1300" s="65" t="str">
        <f>IF(COUNTA(A1300:G1300)=0,"",IF(E1300&lt;&gt;"",E1300,IF(B1300="","",IFERROR(IF(INDEX(pr_price,MATCH(B1300,pr_code,0))="","",INDEX(pr_price,MATCH(B1300,pr_code,0))),""))))</f>
        <v/>
      </c>
      <c r="K1300" s="71" t="str">
        <f>IF(COUNTA(A1300:G1300)=0,"",IF(G1300&lt;&gt;"",G1300,IF(B1300="","",IFERROR(IF(INDEX(pr_rate,MATCH(B1300,pr_code,0))="","",INDEX(pr_rate,MATCH(B1300,pr_code,0))),""))))</f>
        <v/>
      </c>
      <c r="L1300" s="65" t="str">
        <f>IF(COUNTA(A1300:G1300)=0,"",IF(AND(ISNUMBER(D1300),ISNUMBER(J1300)),ROUND(D1300*J1300*(1-N(F1300)),2),0))</f>
        <v/>
      </c>
      <c r="M1300" s="62" t="str">
        <f>IF(A1300="","",IFERROR(INDEX(fa_cname,MATCH(A1300,fa_num,0))&amp;"",""))</f>
        <v/>
      </c>
      <c r="N1300" s="59" t="str">
        <f>IF(COUNTA(A1300:G1300)=0,"",IF(A1300="","N° facture manquant",IF(ISNA(MATCH(A1300,fa_num,0)),"Facture inconnue",IF(AND(B1300&lt;&gt;"",ISNA(MATCH(B1300,pr_code,0))),"Article inconnu",IF(H1300="","Désignation manquante",IF(OR(NOT(ISNUMBER(D1300)),N(D1300)&lt;=0),"Quantité invalide",IF(J1300="","Prix manquant",IF(OR(NOT(ISNUMBER(J1300)),N(J1300)&lt;0),"Prix invalide",IF(OR(AND(F1300&lt;&gt;"",NOT(ISNUMBER(F1300))),N(F1300)&lt;0,N(F1300)&gt;1),"Remise invalide",IF(K1300="","Taux de TVA manquant",IF(NOT(ISNUMBER(K1300)),"Taux de TVA invalide",IF(COUNTIF(p_rates,K1300)=0,"Taux de TVA hors liste (Paramètres)",IF(N(O1300)&gt;25,"Au-delà de 25 lignes : non imprimée","OK")))))))))))))</f>
        <v/>
      </c>
      <c r="O1300" s="59" t="str">
        <f>IF(A1300="","",COUNTIF($A$6:A1300,A1300))</f>
        <v/>
      </c>
      <c r="P1300" s="62" t="str">
        <f>IF(A1300="","",A1300&amp;"|"&amp;O1300)</f>
        <v/>
      </c>
    </row>
    <row r="1301">
      <c r="A1301" s="60" t="n"/>
      <c r="B1301" s="63" t="n"/>
      <c r="C1301" s="63" t="n"/>
      <c r="D1301" s="67" t="n"/>
      <c r="E1301" s="68" t="n"/>
      <c r="F1301" s="69" t="n"/>
      <c r="G1301" s="70" t="n"/>
      <c r="H1301" s="62" t="str">
        <f>IF(COUNTA(A1301:G1301)=0,"",IF(C1301&lt;&gt;"",C1301,IF(B1301="","",IFERROR(INDEX(pr_des,MATCH(B1301,pr_code,0))&amp;"",""))))</f>
        <v/>
      </c>
      <c r="I1301" s="59" t="str">
        <f>IF(B1301="","",IFERROR(INDEX(pr_unit,MATCH(B1301,pr_code,0))&amp;"",""))</f>
        <v/>
      </c>
      <c r="J1301" s="65" t="str">
        <f>IF(COUNTA(A1301:G1301)=0,"",IF(E1301&lt;&gt;"",E1301,IF(B1301="","",IFERROR(IF(INDEX(pr_price,MATCH(B1301,pr_code,0))="","",INDEX(pr_price,MATCH(B1301,pr_code,0))),""))))</f>
        <v/>
      </c>
      <c r="K1301" s="71" t="str">
        <f>IF(COUNTA(A1301:G1301)=0,"",IF(G1301&lt;&gt;"",G1301,IF(B1301="","",IFERROR(IF(INDEX(pr_rate,MATCH(B1301,pr_code,0))="","",INDEX(pr_rate,MATCH(B1301,pr_code,0))),""))))</f>
        <v/>
      </c>
      <c r="L1301" s="65" t="str">
        <f>IF(COUNTA(A1301:G1301)=0,"",IF(AND(ISNUMBER(D1301),ISNUMBER(J1301)),ROUND(D1301*J1301*(1-N(F1301)),2),0))</f>
        <v/>
      </c>
      <c r="M1301" s="62" t="str">
        <f>IF(A1301="","",IFERROR(INDEX(fa_cname,MATCH(A1301,fa_num,0))&amp;"",""))</f>
        <v/>
      </c>
      <c r="N1301" s="59" t="str">
        <f>IF(COUNTA(A1301:G1301)=0,"",IF(A1301="","N° facture manquant",IF(ISNA(MATCH(A1301,fa_num,0)),"Facture inconnue",IF(AND(B1301&lt;&gt;"",ISNA(MATCH(B1301,pr_code,0))),"Article inconnu",IF(H1301="","Désignation manquante",IF(OR(NOT(ISNUMBER(D1301)),N(D1301)&lt;=0),"Quantité invalide",IF(J1301="","Prix manquant",IF(OR(NOT(ISNUMBER(J1301)),N(J1301)&lt;0),"Prix invalide",IF(OR(AND(F1301&lt;&gt;"",NOT(ISNUMBER(F1301))),N(F1301)&lt;0,N(F1301)&gt;1),"Remise invalide",IF(K1301="","Taux de TVA manquant",IF(NOT(ISNUMBER(K1301)),"Taux de TVA invalide",IF(COUNTIF(p_rates,K1301)=0,"Taux de TVA hors liste (Paramètres)",IF(N(O1301)&gt;25,"Au-delà de 25 lignes : non imprimée","OK")))))))))))))</f>
        <v/>
      </c>
      <c r="O1301" s="59" t="str">
        <f>IF(A1301="","",COUNTIF($A$6:A1301,A1301))</f>
        <v/>
      </c>
      <c r="P1301" s="62" t="str">
        <f>IF(A1301="","",A1301&amp;"|"&amp;O1301)</f>
        <v/>
      </c>
    </row>
    <row r="1302">
      <c r="A1302" s="60" t="n"/>
      <c r="B1302" s="63" t="n"/>
      <c r="C1302" s="63" t="n"/>
      <c r="D1302" s="67" t="n"/>
      <c r="E1302" s="68" t="n"/>
      <c r="F1302" s="69" t="n"/>
      <c r="G1302" s="70" t="n"/>
      <c r="H1302" s="62" t="str">
        <f>IF(COUNTA(A1302:G1302)=0,"",IF(C1302&lt;&gt;"",C1302,IF(B1302="","",IFERROR(INDEX(pr_des,MATCH(B1302,pr_code,0))&amp;"",""))))</f>
        <v/>
      </c>
      <c r="I1302" s="59" t="str">
        <f>IF(B1302="","",IFERROR(INDEX(pr_unit,MATCH(B1302,pr_code,0))&amp;"",""))</f>
        <v/>
      </c>
      <c r="J1302" s="65" t="str">
        <f>IF(COUNTA(A1302:G1302)=0,"",IF(E1302&lt;&gt;"",E1302,IF(B1302="","",IFERROR(IF(INDEX(pr_price,MATCH(B1302,pr_code,0))="","",INDEX(pr_price,MATCH(B1302,pr_code,0))),""))))</f>
        <v/>
      </c>
      <c r="K1302" s="71" t="str">
        <f>IF(COUNTA(A1302:G1302)=0,"",IF(G1302&lt;&gt;"",G1302,IF(B1302="","",IFERROR(IF(INDEX(pr_rate,MATCH(B1302,pr_code,0))="","",INDEX(pr_rate,MATCH(B1302,pr_code,0))),""))))</f>
        <v/>
      </c>
      <c r="L1302" s="65" t="str">
        <f>IF(COUNTA(A1302:G1302)=0,"",IF(AND(ISNUMBER(D1302),ISNUMBER(J1302)),ROUND(D1302*J1302*(1-N(F1302)),2),0))</f>
        <v/>
      </c>
      <c r="M1302" s="62" t="str">
        <f>IF(A1302="","",IFERROR(INDEX(fa_cname,MATCH(A1302,fa_num,0))&amp;"",""))</f>
        <v/>
      </c>
      <c r="N1302" s="59" t="str">
        <f>IF(COUNTA(A1302:G1302)=0,"",IF(A1302="","N° facture manquant",IF(ISNA(MATCH(A1302,fa_num,0)),"Facture inconnue",IF(AND(B1302&lt;&gt;"",ISNA(MATCH(B1302,pr_code,0))),"Article inconnu",IF(H1302="","Désignation manquante",IF(OR(NOT(ISNUMBER(D1302)),N(D1302)&lt;=0),"Quantité invalide",IF(J1302="","Prix manquant",IF(OR(NOT(ISNUMBER(J1302)),N(J1302)&lt;0),"Prix invalide",IF(OR(AND(F1302&lt;&gt;"",NOT(ISNUMBER(F1302))),N(F1302)&lt;0,N(F1302)&gt;1),"Remise invalide",IF(K1302="","Taux de TVA manquant",IF(NOT(ISNUMBER(K1302)),"Taux de TVA invalide",IF(COUNTIF(p_rates,K1302)=0,"Taux de TVA hors liste (Paramètres)",IF(N(O1302)&gt;25,"Au-delà de 25 lignes : non imprimée","OK")))))))))))))</f>
        <v/>
      </c>
      <c r="O1302" s="59" t="str">
        <f>IF(A1302="","",COUNTIF($A$6:A1302,A1302))</f>
        <v/>
      </c>
      <c r="P1302" s="62" t="str">
        <f>IF(A1302="","",A1302&amp;"|"&amp;O1302)</f>
        <v/>
      </c>
    </row>
    <row r="1303">
      <c r="A1303" s="60" t="n"/>
      <c r="B1303" s="63" t="n"/>
      <c r="C1303" s="63" t="n"/>
      <c r="D1303" s="67" t="n"/>
      <c r="E1303" s="68" t="n"/>
      <c r="F1303" s="69" t="n"/>
      <c r="G1303" s="70" t="n"/>
      <c r="H1303" s="62" t="str">
        <f>IF(COUNTA(A1303:G1303)=0,"",IF(C1303&lt;&gt;"",C1303,IF(B1303="","",IFERROR(INDEX(pr_des,MATCH(B1303,pr_code,0))&amp;"",""))))</f>
        <v/>
      </c>
      <c r="I1303" s="59" t="str">
        <f>IF(B1303="","",IFERROR(INDEX(pr_unit,MATCH(B1303,pr_code,0))&amp;"",""))</f>
        <v/>
      </c>
      <c r="J1303" s="65" t="str">
        <f>IF(COUNTA(A1303:G1303)=0,"",IF(E1303&lt;&gt;"",E1303,IF(B1303="","",IFERROR(IF(INDEX(pr_price,MATCH(B1303,pr_code,0))="","",INDEX(pr_price,MATCH(B1303,pr_code,0))),""))))</f>
        <v/>
      </c>
      <c r="K1303" s="71" t="str">
        <f>IF(COUNTA(A1303:G1303)=0,"",IF(G1303&lt;&gt;"",G1303,IF(B1303="","",IFERROR(IF(INDEX(pr_rate,MATCH(B1303,pr_code,0))="","",INDEX(pr_rate,MATCH(B1303,pr_code,0))),""))))</f>
        <v/>
      </c>
      <c r="L1303" s="65" t="str">
        <f>IF(COUNTA(A1303:G1303)=0,"",IF(AND(ISNUMBER(D1303),ISNUMBER(J1303)),ROUND(D1303*J1303*(1-N(F1303)),2),0))</f>
        <v/>
      </c>
      <c r="M1303" s="62" t="str">
        <f>IF(A1303="","",IFERROR(INDEX(fa_cname,MATCH(A1303,fa_num,0))&amp;"",""))</f>
        <v/>
      </c>
      <c r="N1303" s="59" t="str">
        <f>IF(COUNTA(A1303:G1303)=0,"",IF(A1303="","N° facture manquant",IF(ISNA(MATCH(A1303,fa_num,0)),"Facture inconnue",IF(AND(B1303&lt;&gt;"",ISNA(MATCH(B1303,pr_code,0))),"Article inconnu",IF(H1303="","Désignation manquante",IF(OR(NOT(ISNUMBER(D1303)),N(D1303)&lt;=0),"Quantité invalide",IF(J1303="","Prix manquant",IF(OR(NOT(ISNUMBER(J1303)),N(J1303)&lt;0),"Prix invalide",IF(OR(AND(F1303&lt;&gt;"",NOT(ISNUMBER(F1303))),N(F1303)&lt;0,N(F1303)&gt;1),"Remise invalide",IF(K1303="","Taux de TVA manquant",IF(NOT(ISNUMBER(K1303)),"Taux de TVA invalide",IF(COUNTIF(p_rates,K1303)=0,"Taux de TVA hors liste (Paramètres)",IF(N(O1303)&gt;25,"Au-delà de 25 lignes : non imprimée","OK")))))))))))))</f>
        <v/>
      </c>
      <c r="O1303" s="59" t="str">
        <f>IF(A1303="","",COUNTIF($A$6:A1303,A1303))</f>
        <v/>
      </c>
      <c r="P1303" s="62" t="str">
        <f>IF(A1303="","",A1303&amp;"|"&amp;O1303)</f>
        <v/>
      </c>
    </row>
    <row r="1304">
      <c r="A1304" s="60" t="n"/>
      <c r="B1304" s="63" t="n"/>
      <c r="C1304" s="63" t="n"/>
      <c r="D1304" s="67" t="n"/>
      <c r="E1304" s="68" t="n"/>
      <c r="F1304" s="69" t="n"/>
      <c r="G1304" s="70" t="n"/>
      <c r="H1304" s="62" t="str">
        <f>IF(COUNTA(A1304:G1304)=0,"",IF(C1304&lt;&gt;"",C1304,IF(B1304="","",IFERROR(INDEX(pr_des,MATCH(B1304,pr_code,0))&amp;"",""))))</f>
        <v/>
      </c>
      <c r="I1304" s="59" t="str">
        <f>IF(B1304="","",IFERROR(INDEX(pr_unit,MATCH(B1304,pr_code,0))&amp;"",""))</f>
        <v/>
      </c>
      <c r="J1304" s="65" t="str">
        <f>IF(COUNTA(A1304:G1304)=0,"",IF(E1304&lt;&gt;"",E1304,IF(B1304="","",IFERROR(IF(INDEX(pr_price,MATCH(B1304,pr_code,0))="","",INDEX(pr_price,MATCH(B1304,pr_code,0))),""))))</f>
        <v/>
      </c>
      <c r="K1304" s="71" t="str">
        <f>IF(COUNTA(A1304:G1304)=0,"",IF(G1304&lt;&gt;"",G1304,IF(B1304="","",IFERROR(IF(INDEX(pr_rate,MATCH(B1304,pr_code,0))="","",INDEX(pr_rate,MATCH(B1304,pr_code,0))),""))))</f>
        <v/>
      </c>
      <c r="L1304" s="65" t="str">
        <f>IF(COUNTA(A1304:G1304)=0,"",IF(AND(ISNUMBER(D1304),ISNUMBER(J1304)),ROUND(D1304*J1304*(1-N(F1304)),2),0))</f>
        <v/>
      </c>
      <c r="M1304" s="62" t="str">
        <f>IF(A1304="","",IFERROR(INDEX(fa_cname,MATCH(A1304,fa_num,0))&amp;"",""))</f>
        <v/>
      </c>
      <c r="N1304" s="59" t="str">
        <f>IF(COUNTA(A1304:G1304)=0,"",IF(A1304="","N° facture manquant",IF(ISNA(MATCH(A1304,fa_num,0)),"Facture inconnue",IF(AND(B1304&lt;&gt;"",ISNA(MATCH(B1304,pr_code,0))),"Article inconnu",IF(H1304="","Désignation manquante",IF(OR(NOT(ISNUMBER(D1304)),N(D1304)&lt;=0),"Quantité invalide",IF(J1304="","Prix manquant",IF(OR(NOT(ISNUMBER(J1304)),N(J1304)&lt;0),"Prix invalide",IF(OR(AND(F1304&lt;&gt;"",NOT(ISNUMBER(F1304))),N(F1304)&lt;0,N(F1304)&gt;1),"Remise invalide",IF(K1304="","Taux de TVA manquant",IF(NOT(ISNUMBER(K1304)),"Taux de TVA invalide",IF(COUNTIF(p_rates,K1304)=0,"Taux de TVA hors liste (Paramètres)",IF(N(O1304)&gt;25,"Au-delà de 25 lignes : non imprimée","OK")))))))))))))</f>
        <v/>
      </c>
      <c r="O1304" s="59" t="str">
        <f>IF(A1304="","",COUNTIF($A$6:A1304,A1304))</f>
        <v/>
      </c>
      <c r="P1304" s="62" t="str">
        <f>IF(A1304="","",A1304&amp;"|"&amp;O1304)</f>
        <v/>
      </c>
    </row>
    <row r="1305">
      <c r="A1305" s="60" t="n"/>
      <c r="B1305" s="63" t="n"/>
      <c r="C1305" s="63" t="n"/>
      <c r="D1305" s="67" t="n"/>
      <c r="E1305" s="68" t="n"/>
      <c r="F1305" s="69" t="n"/>
      <c r="G1305" s="70" t="n"/>
      <c r="H1305" s="62" t="str">
        <f>IF(COUNTA(A1305:G1305)=0,"",IF(C1305&lt;&gt;"",C1305,IF(B1305="","",IFERROR(INDEX(pr_des,MATCH(B1305,pr_code,0))&amp;"",""))))</f>
        <v/>
      </c>
      <c r="I1305" s="59" t="str">
        <f>IF(B1305="","",IFERROR(INDEX(pr_unit,MATCH(B1305,pr_code,0))&amp;"",""))</f>
        <v/>
      </c>
      <c r="J1305" s="65" t="str">
        <f>IF(COUNTA(A1305:G1305)=0,"",IF(E1305&lt;&gt;"",E1305,IF(B1305="","",IFERROR(IF(INDEX(pr_price,MATCH(B1305,pr_code,0))="","",INDEX(pr_price,MATCH(B1305,pr_code,0))),""))))</f>
        <v/>
      </c>
      <c r="K1305" s="71" t="str">
        <f>IF(COUNTA(A1305:G1305)=0,"",IF(G1305&lt;&gt;"",G1305,IF(B1305="","",IFERROR(IF(INDEX(pr_rate,MATCH(B1305,pr_code,0))="","",INDEX(pr_rate,MATCH(B1305,pr_code,0))),""))))</f>
        <v/>
      </c>
      <c r="L1305" s="65" t="str">
        <f>IF(COUNTA(A1305:G1305)=0,"",IF(AND(ISNUMBER(D1305),ISNUMBER(J1305)),ROUND(D1305*J1305*(1-N(F1305)),2),0))</f>
        <v/>
      </c>
      <c r="M1305" s="62" t="str">
        <f>IF(A1305="","",IFERROR(INDEX(fa_cname,MATCH(A1305,fa_num,0))&amp;"",""))</f>
        <v/>
      </c>
      <c r="N1305" s="59" t="str">
        <f>IF(COUNTA(A1305:G1305)=0,"",IF(A1305="","N° facture manquant",IF(ISNA(MATCH(A1305,fa_num,0)),"Facture inconnue",IF(AND(B1305&lt;&gt;"",ISNA(MATCH(B1305,pr_code,0))),"Article inconnu",IF(H1305="","Désignation manquante",IF(OR(NOT(ISNUMBER(D1305)),N(D1305)&lt;=0),"Quantité invalide",IF(J1305="","Prix manquant",IF(OR(NOT(ISNUMBER(J1305)),N(J1305)&lt;0),"Prix invalide",IF(OR(AND(F1305&lt;&gt;"",NOT(ISNUMBER(F1305))),N(F1305)&lt;0,N(F1305)&gt;1),"Remise invalide",IF(K1305="","Taux de TVA manquant",IF(NOT(ISNUMBER(K1305)),"Taux de TVA invalide",IF(COUNTIF(p_rates,K1305)=0,"Taux de TVA hors liste (Paramètres)",IF(N(O1305)&gt;25,"Au-delà de 25 lignes : non imprimée","OK")))))))))))))</f>
        <v/>
      </c>
      <c r="O1305" s="59" t="str">
        <f>IF(A1305="","",COUNTIF($A$6:A1305,A1305))</f>
        <v/>
      </c>
      <c r="P1305" s="62" t="str">
        <f>IF(A1305="","",A1305&amp;"|"&amp;O1305)</f>
        <v/>
      </c>
    </row>
    <row r="1306">
      <c r="A1306" s="60" t="n"/>
      <c r="B1306" s="63" t="n"/>
      <c r="C1306" s="63" t="n"/>
      <c r="D1306" s="67" t="n"/>
      <c r="E1306" s="68" t="n"/>
      <c r="F1306" s="69" t="n"/>
      <c r="G1306" s="70" t="n"/>
      <c r="H1306" s="62" t="str">
        <f>IF(COUNTA(A1306:G1306)=0,"",IF(C1306&lt;&gt;"",C1306,IF(B1306="","",IFERROR(INDEX(pr_des,MATCH(B1306,pr_code,0))&amp;"",""))))</f>
        <v/>
      </c>
      <c r="I1306" s="59" t="str">
        <f>IF(B1306="","",IFERROR(INDEX(pr_unit,MATCH(B1306,pr_code,0))&amp;"",""))</f>
        <v/>
      </c>
      <c r="J1306" s="65" t="str">
        <f>IF(COUNTA(A1306:G1306)=0,"",IF(E1306&lt;&gt;"",E1306,IF(B1306="","",IFERROR(IF(INDEX(pr_price,MATCH(B1306,pr_code,0))="","",INDEX(pr_price,MATCH(B1306,pr_code,0))),""))))</f>
        <v/>
      </c>
      <c r="K1306" s="71" t="str">
        <f>IF(COUNTA(A1306:G1306)=0,"",IF(G1306&lt;&gt;"",G1306,IF(B1306="","",IFERROR(IF(INDEX(pr_rate,MATCH(B1306,pr_code,0))="","",INDEX(pr_rate,MATCH(B1306,pr_code,0))),""))))</f>
        <v/>
      </c>
      <c r="L1306" s="65" t="str">
        <f>IF(COUNTA(A1306:G1306)=0,"",IF(AND(ISNUMBER(D1306),ISNUMBER(J1306)),ROUND(D1306*J1306*(1-N(F1306)),2),0))</f>
        <v/>
      </c>
      <c r="M1306" s="62" t="str">
        <f>IF(A1306="","",IFERROR(INDEX(fa_cname,MATCH(A1306,fa_num,0))&amp;"",""))</f>
        <v/>
      </c>
      <c r="N1306" s="59" t="str">
        <f>IF(COUNTA(A1306:G1306)=0,"",IF(A1306="","N° facture manquant",IF(ISNA(MATCH(A1306,fa_num,0)),"Facture inconnue",IF(AND(B1306&lt;&gt;"",ISNA(MATCH(B1306,pr_code,0))),"Article inconnu",IF(H1306="","Désignation manquante",IF(OR(NOT(ISNUMBER(D1306)),N(D1306)&lt;=0),"Quantité invalide",IF(J1306="","Prix manquant",IF(OR(NOT(ISNUMBER(J1306)),N(J1306)&lt;0),"Prix invalide",IF(OR(AND(F1306&lt;&gt;"",NOT(ISNUMBER(F1306))),N(F1306)&lt;0,N(F1306)&gt;1),"Remise invalide",IF(K1306="","Taux de TVA manquant",IF(NOT(ISNUMBER(K1306)),"Taux de TVA invalide",IF(COUNTIF(p_rates,K1306)=0,"Taux de TVA hors liste (Paramètres)",IF(N(O1306)&gt;25,"Au-delà de 25 lignes : non imprimée","OK")))))))))))))</f>
        <v/>
      </c>
      <c r="O1306" s="59" t="str">
        <f>IF(A1306="","",COUNTIF($A$6:A1306,A1306))</f>
        <v/>
      </c>
      <c r="P1306" s="62" t="str">
        <f>IF(A1306="","",A1306&amp;"|"&amp;O1306)</f>
        <v/>
      </c>
    </row>
    <row r="1307">
      <c r="A1307" s="60" t="n"/>
      <c r="B1307" s="63" t="n"/>
      <c r="C1307" s="63" t="n"/>
      <c r="D1307" s="67" t="n"/>
      <c r="E1307" s="68" t="n"/>
      <c r="F1307" s="69" t="n"/>
      <c r="G1307" s="70" t="n"/>
      <c r="H1307" s="62" t="str">
        <f>IF(COUNTA(A1307:G1307)=0,"",IF(C1307&lt;&gt;"",C1307,IF(B1307="","",IFERROR(INDEX(pr_des,MATCH(B1307,pr_code,0))&amp;"",""))))</f>
        <v/>
      </c>
      <c r="I1307" s="59" t="str">
        <f>IF(B1307="","",IFERROR(INDEX(pr_unit,MATCH(B1307,pr_code,0))&amp;"",""))</f>
        <v/>
      </c>
      <c r="J1307" s="65" t="str">
        <f>IF(COUNTA(A1307:G1307)=0,"",IF(E1307&lt;&gt;"",E1307,IF(B1307="","",IFERROR(IF(INDEX(pr_price,MATCH(B1307,pr_code,0))="","",INDEX(pr_price,MATCH(B1307,pr_code,0))),""))))</f>
        <v/>
      </c>
      <c r="K1307" s="71" t="str">
        <f>IF(COUNTA(A1307:G1307)=0,"",IF(G1307&lt;&gt;"",G1307,IF(B1307="","",IFERROR(IF(INDEX(pr_rate,MATCH(B1307,pr_code,0))="","",INDEX(pr_rate,MATCH(B1307,pr_code,0))),""))))</f>
        <v/>
      </c>
      <c r="L1307" s="65" t="str">
        <f>IF(COUNTA(A1307:G1307)=0,"",IF(AND(ISNUMBER(D1307),ISNUMBER(J1307)),ROUND(D1307*J1307*(1-N(F1307)),2),0))</f>
        <v/>
      </c>
      <c r="M1307" s="62" t="str">
        <f>IF(A1307="","",IFERROR(INDEX(fa_cname,MATCH(A1307,fa_num,0))&amp;"",""))</f>
        <v/>
      </c>
      <c r="N1307" s="59" t="str">
        <f>IF(COUNTA(A1307:G1307)=0,"",IF(A1307="","N° facture manquant",IF(ISNA(MATCH(A1307,fa_num,0)),"Facture inconnue",IF(AND(B1307&lt;&gt;"",ISNA(MATCH(B1307,pr_code,0))),"Article inconnu",IF(H1307="","Désignation manquante",IF(OR(NOT(ISNUMBER(D1307)),N(D1307)&lt;=0),"Quantité invalide",IF(J1307="","Prix manquant",IF(OR(NOT(ISNUMBER(J1307)),N(J1307)&lt;0),"Prix invalide",IF(OR(AND(F1307&lt;&gt;"",NOT(ISNUMBER(F1307))),N(F1307)&lt;0,N(F1307)&gt;1),"Remise invalide",IF(K1307="","Taux de TVA manquant",IF(NOT(ISNUMBER(K1307)),"Taux de TVA invalide",IF(COUNTIF(p_rates,K1307)=0,"Taux de TVA hors liste (Paramètres)",IF(N(O1307)&gt;25,"Au-delà de 25 lignes : non imprimée","OK")))))))))))))</f>
        <v/>
      </c>
      <c r="O1307" s="59" t="str">
        <f>IF(A1307="","",COUNTIF($A$6:A1307,A1307))</f>
        <v/>
      </c>
      <c r="P1307" s="62" t="str">
        <f>IF(A1307="","",A1307&amp;"|"&amp;O1307)</f>
        <v/>
      </c>
    </row>
    <row r="1308">
      <c r="A1308" s="60" t="n"/>
      <c r="B1308" s="63" t="n"/>
      <c r="C1308" s="63" t="n"/>
      <c r="D1308" s="67" t="n"/>
      <c r="E1308" s="68" t="n"/>
      <c r="F1308" s="69" t="n"/>
      <c r="G1308" s="70" t="n"/>
      <c r="H1308" s="62" t="str">
        <f>IF(COUNTA(A1308:G1308)=0,"",IF(C1308&lt;&gt;"",C1308,IF(B1308="","",IFERROR(INDEX(pr_des,MATCH(B1308,pr_code,0))&amp;"",""))))</f>
        <v/>
      </c>
      <c r="I1308" s="59" t="str">
        <f>IF(B1308="","",IFERROR(INDEX(pr_unit,MATCH(B1308,pr_code,0))&amp;"",""))</f>
        <v/>
      </c>
      <c r="J1308" s="65" t="str">
        <f>IF(COUNTA(A1308:G1308)=0,"",IF(E1308&lt;&gt;"",E1308,IF(B1308="","",IFERROR(IF(INDEX(pr_price,MATCH(B1308,pr_code,0))="","",INDEX(pr_price,MATCH(B1308,pr_code,0))),""))))</f>
        <v/>
      </c>
      <c r="K1308" s="71" t="str">
        <f>IF(COUNTA(A1308:G1308)=0,"",IF(G1308&lt;&gt;"",G1308,IF(B1308="","",IFERROR(IF(INDEX(pr_rate,MATCH(B1308,pr_code,0))="","",INDEX(pr_rate,MATCH(B1308,pr_code,0))),""))))</f>
        <v/>
      </c>
      <c r="L1308" s="65" t="str">
        <f>IF(COUNTA(A1308:G1308)=0,"",IF(AND(ISNUMBER(D1308),ISNUMBER(J1308)),ROUND(D1308*J1308*(1-N(F1308)),2),0))</f>
        <v/>
      </c>
      <c r="M1308" s="62" t="str">
        <f>IF(A1308="","",IFERROR(INDEX(fa_cname,MATCH(A1308,fa_num,0))&amp;"",""))</f>
        <v/>
      </c>
      <c r="N1308" s="59" t="str">
        <f>IF(COUNTA(A1308:G1308)=0,"",IF(A1308="","N° facture manquant",IF(ISNA(MATCH(A1308,fa_num,0)),"Facture inconnue",IF(AND(B1308&lt;&gt;"",ISNA(MATCH(B1308,pr_code,0))),"Article inconnu",IF(H1308="","Désignation manquante",IF(OR(NOT(ISNUMBER(D1308)),N(D1308)&lt;=0),"Quantité invalide",IF(J1308="","Prix manquant",IF(OR(NOT(ISNUMBER(J1308)),N(J1308)&lt;0),"Prix invalide",IF(OR(AND(F1308&lt;&gt;"",NOT(ISNUMBER(F1308))),N(F1308)&lt;0,N(F1308)&gt;1),"Remise invalide",IF(K1308="","Taux de TVA manquant",IF(NOT(ISNUMBER(K1308)),"Taux de TVA invalide",IF(COUNTIF(p_rates,K1308)=0,"Taux de TVA hors liste (Paramètres)",IF(N(O1308)&gt;25,"Au-delà de 25 lignes : non imprimée","OK")))))))))))))</f>
        <v/>
      </c>
      <c r="O1308" s="59" t="str">
        <f>IF(A1308="","",COUNTIF($A$6:A1308,A1308))</f>
        <v/>
      </c>
      <c r="P1308" s="62" t="str">
        <f>IF(A1308="","",A1308&amp;"|"&amp;O1308)</f>
        <v/>
      </c>
    </row>
    <row r="1309">
      <c r="A1309" s="60" t="n"/>
      <c r="B1309" s="63" t="n"/>
      <c r="C1309" s="63" t="n"/>
      <c r="D1309" s="67" t="n"/>
      <c r="E1309" s="68" t="n"/>
      <c r="F1309" s="69" t="n"/>
      <c r="G1309" s="70" t="n"/>
      <c r="H1309" s="62" t="str">
        <f>IF(COUNTA(A1309:G1309)=0,"",IF(C1309&lt;&gt;"",C1309,IF(B1309="","",IFERROR(INDEX(pr_des,MATCH(B1309,pr_code,0))&amp;"",""))))</f>
        <v/>
      </c>
      <c r="I1309" s="59" t="str">
        <f>IF(B1309="","",IFERROR(INDEX(pr_unit,MATCH(B1309,pr_code,0))&amp;"",""))</f>
        <v/>
      </c>
      <c r="J1309" s="65" t="str">
        <f>IF(COUNTA(A1309:G1309)=0,"",IF(E1309&lt;&gt;"",E1309,IF(B1309="","",IFERROR(IF(INDEX(pr_price,MATCH(B1309,pr_code,0))="","",INDEX(pr_price,MATCH(B1309,pr_code,0))),""))))</f>
        <v/>
      </c>
      <c r="K1309" s="71" t="str">
        <f>IF(COUNTA(A1309:G1309)=0,"",IF(G1309&lt;&gt;"",G1309,IF(B1309="","",IFERROR(IF(INDEX(pr_rate,MATCH(B1309,pr_code,0))="","",INDEX(pr_rate,MATCH(B1309,pr_code,0))),""))))</f>
        <v/>
      </c>
      <c r="L1309" s="65" t="str">
        <f>IF(COUNTA(A1309:G1309)=0,"",IF(AND(ISNUMBER(D1309),ISNUMBER(J1309)),ROUND(D1309*J1309*(1-N(F1309)),2),0))</f>
        <v/>
      </c>
      <c r="M1309" s="62" t="str">
        <f>IF(A1309="","",IFERROR(INDEX(fa_cname,MATCH(A1309,fa_num,0))&amp;"",""))</f>
        <v/>
      </c>
      <c r="N1309" s="59" t="str">
        <f>IF(COUNTA(A1309:G1309)=0,"",IF(A1309="","N° facture manquant",IF(ISNA(MATCH(A1309,fa_num,0)),"Facture inconnue",IF(AND(B1309&lt;&gt;"",ISNA(MATCH(B1309,pr_code,0))),"Article inconnu",IF(H1309="","Désignation manquante",IF(OR(NOT(ISNUMBER(D1309)),N(D1309)&lt;=0),"Quantité invalide",IF(J1309="","Prix manquant",IF(OR(NOT(ISNUMBER(J1309)),N(J1309)&lt;0),"Prix invalide",IF(OR(AND(F1309&lt;&gt;"",NOT(ISNUMBER(F1309))),N(F1309)&lt;0,N(F1309)&gt;1),"Remise invalide",IF(K1309="","Taux de TVA manquant",IF(NOT(ISNUMBER(K1309)),"Taux de TVA invalide",IF(COUNTIF(p_rates,K1309)=0,"Taux de TVA hors liste (Paramètres)",IF(N(O1309)&gt;25,"Au-delà de 25 lignes : non imprimée","OK")))))))))))))</f>
        <v/>
      </c>
      <c r="O1309" s="59" t="str">
        <f>IF(A1309="","",COUNTIF($A$6:A1309,A1309))</f>
        <v/>
      </c>
      <c r="P1309" s="62" t="str">
        <f>IF(A1309="","",A1309&amp;"|"&amp;O1309)</f>
        <v/>
      </c>
    </row>
    <row r="1310">
      <c r="A1310" s="60" t="n"/>
      <c r="B1310" s="63" t="n"/>
      <c r="C1310" s="63" t="n"/>
      <c r="D1310" s="67" t="n"/>
      <c r="E1310" s="68" t="n"/>
      <c r="F1310" s="69" t="n"/>
      <c r="G1310" s="70" t="n"/>
      <c r="H1310" s="62" t="str">
        <f>IF(COUNTA(A1310:G1310)=0,"",IF(C1310&lt;&gt;"",C1310,IF(B1310="","",IFERROR(INDEX(pr_des,MATCH(B1310,pr_code,0))&amp;"",""))))</f>
        <v/>
      </c>
      <c r="I1310" s="59" t="str">
        <f>IF(B1310="","",IFERROR(INDEX(pr_unit,MATCH(B1310,pr_code,0))&amp;"",""))</f>
        <v/>
      </c>
      <c r="J1310" s="65" t="str">
        <f>IF(COUNTA(A1310:G1310)=0,"",IF(E1310&lt;&gt;"",E1310,IF(B1310="","",IFERROR(IF(INDEX(pr_price,MATCH(B1310,pr_code,0))="","",INDEX(pr_price,MATCH(B1310,pr_code,0))),""))))</f>
        <v/>
      </c>
      <c r="K1310" s="71" t="str">
        <f>IF(COUNTA(A1310:G1310)=0,"",IF(G1310&lt;&gt;"",G1310,IF(B1310="","",IFERROR(IF(INDEX(pr_rate,MATCH(B1310,pr_code,0))="","",INDEX(pr_rate,MATCH(B1310,pr_code,0))),""))))</f>
        <v/>
      </c>
      <c r="L1310" s="65" t="str">
        <f>IF(COUNTA(A1310:G1310)=0,"",IF(AND(ISNUMBER(D1310),ISNUMBER(J1310)),ROUND(D1310*J1310*(1-N(F1310)),2),0))</f>
        <v/>
      </c>
      <c r="M1310" s="62" t="str">
        <f>IF(A1310="","",IFERROR(INDEX(fa_cname,MATCH(A1310,fa_num,0))&amp;"",""))</f>
        <v/>
      </c>
      <c r="N1310" s="59" t="str">
        <f>IF(COUNTA(A1310:G1310)=0,"",IF(A1310="","N° facture manquant",IF(ISNA(MATCH(A1310,fa_num,0)),"Facture inconnue",IF(AND(B1310&lt;&gt;"",ISNA(MATCH(B1310,pr_code,0))),"Article inconnu",IF(H1310="","Désignation manquante",IF(OR(NOT(ISNUMBER(D1310)),N(D1310)&lt;=0),"Quantité invalide",IF(J1310="","Prix manquant",IF(OR(NOT(ISNUMBER(J1310)),N(J1310)&lt;0),"Prix invalide",IF(OR(AND(F1310&lt;&gt;"",NOT(ISNUMBER(F1310))),N(F1310)&lt;0,N(F1310)&gt;1),"Remise invalide",IF(K1310="","Taux de TVA manquant",IF(NOT(ISNUMBER(K1310)),"Taux de TVA invalide",IF(COUNTIF(p_rates,K1310)=0,"Taux de TVA hors liste (Paramètres)",IF(N(O1310)&gt;25,"Au-delà de 25 lignes : non imprimée","OK")))))))))))))</f>
        <v/>
      </c>
      <c r="O1310" s="59" t="str">
        <f>IF(A1310="","",COUNTIF($A$6:A1310,A1310))</f>
        <v/>
      </c>
      <c r="P1310" s="62" t="str">
        <f>IF(A1310="","",A1310&amp;"|"&amp;O1310)</f>
        <v/>
      </c>
    </row>
    <row r="1311">
      <c r="A1311" s="60" t="n"/>
      <c r="B1311" s="63" t="n"/>
      <c r="C1311" s="63" t="n"/>
      <c r="D1311" s="67" t="n"/>
      <c r="E1311" s="68" t="n"/>
      <c r="F1311" s="69" t="n"/>
      <c r="G1311" s="70" t="n"/>
      <c r="H1311" s="62" t="str">
        <f>IF(COUNTA(A1311:G1311)=0,"",IF(C1311&lt;&gt;"",C1311,IF(B1311="","",IFERROR(INDEX(pr_des,MATCH(B1311,pr_code,0))&amp;"",""))))</f>
        <v/>
      </c>
      <c r="I1311" s="59" t="str">
        <f>IF(B1311="","",IFERROR(INDEX(pr_unit,MATCH(B1311,pr_code,0))&amp;"",""))</f>
        <v/>
      </c>
      <c r="J1311" s="65" t="str">
        <f>IF(COUNTA(A1311:G1311)=0,"",IF(E1311&lt;&gt;"",E1311,IF(B1311="","",IFERROR(IF(INDEX(pr_price,MATCH(B1311,pr_code,0))="","",INDEX(pr_price,MATCH(B1311,pr_code,0))),""))))</f>
        <v/>
      </c>
      <c r="K1311" s="71" t="str">
        <f>IF(COUNTA(A1311:G1311)=0,"",IF(G1311&lt;&gt;"",G1311,IF(B1311="","",IFERROR(IF(INDEX(pr_rate,MATCH(B1311,pr_code,0))="","",INDEX(pr_rate,MATCH(B1311,pr_code,0))),""))))</f>
        <v/>
      </c>
      <c r="L1311" s="65" t="str">
        <f>IF(COUNTA(A1311:G1311)=0,"",IF(AND(ISNUMBER(D1311),ISNUMBER(J1311)),ROUND(D1311*J1311*(1-N(F1311)),2),0))</f>
        <v/>
      </c>
      <c r="M1311" s="62" t="str">
        <f>IF(A1311="","",IFERROR(INDEX(fa_cname,MATCH(A1311,fa_num,0))&amp;"",""))</f>
        <v/>
      </c>
      <c r="N1311" s="59" t="str">
        <f>IF(COUNTA(A1311:G1311)=0,"",IF(A1311="","N° facture manquant",IF(ISNA(MATCH(A1311,fa_num,0)),"Facture inconnue",IF(AND(B1311&lt;&gt;"",ISNA(MATCH(B1311,pr_code,0))),"Article inconnu",IF(H1311="","Désignation manquante",IF(OR(NOT(ISNUMBER(D1311)),N(D1311)&lt;=0),"Quantité invalide",IF(J1311="","Prix manquant",IF(OR(NOT(ISNUMBER(J1311)),N(J1311)&lt;0),"Prix invalide",IF(OR(AND(F1311&lt;&gt;"",NOT(ISNUMBER(F1311))),N(F1311)&lt;0,N(F1311)&gt;1),"Remise invalide",IF(K1311="","Taux de TVA manquant",IF(NOT(ISNUMBER(K1311)),"Taux de TVA invalide",IF(COUNTIF(p_rates,K1311)=0,"Taux de TVA hors liste (Paramètres)",IF(N(O1311)&gt;25,"Au-delà de 25 lignes : non imprimée","OK")))))))))))))</f>
        <v/>
      </c>
      <c r="O1311" s="59" t="str">
        <f>IF(A1311="","",COUNTIF($A$6:A1311,A1311))</f>
        <v/>
      </c>
      <c r="P1311" s="62" t="str">
        <f>IF(A1311="","",A1311&amp;"|"&amp;O1311)</f>
        <v/>
      </c>
    </row>
    <row r="1312">
      <c r="A1312" s="60" t="n"/>
      <c r="B1312" s="63" t="n"/>
      <c r="C1312" s="63" t="n"/>
      <c r="D1312" s="67" t="n"/>
      <c r="E1312" s="68" t="n"/>
      <c r="F1312" s="69" t="n"/>
      <c r="G1312" s="70" t="n"/>
      <c r="H1312" s="62" t="str">
        <f>IF(COUNTA(A1312:G1312)=0,"",IF(C1312&lt;&gt;"",C1312,IF(B1312="","",IFERROR(INDEX(pr_des,MATCH(B1312,pr_code,0))&amp;"",""))))</f>
        <v/>
      </c>
      <c r="I1312" s="59" t="str">
        <f>IF(B1312="","",IFERROR(INDEX(pr_unit,MATCH(B1312,pr_code,0))&amp;"",""))</f>
        <v/>
      </c>
      <c r="J1312" s="65" t="str">
        <f>IF(COUNTA(A1312:G1312)=0,"",IF(E1312&lt;&gt;"",E1312,IF(B1312="","",IFERROR(IF(INDEX(pr_price,MATCH(B1312,pr_code,0))="","",INDEX(pr_price,MATCH(B1312,pr_code,0))),""))))</f>
        <v/>
      </c>
      <c r="K1312" s="71" t="str">
        <f>IF(COUNTA(A1312:G1312)=0,"",IF(G1312&lt;&gt;"",G1312,IF(B1312="","",IFERROR(IF(INDEX(pr_rate,MATCH(B1312,pr_code,0))="","",INDEX(pr_rate,MATCH(B1312,pr_code,0))),""))))</f>
        <v/>
      </c>
      <c r="L1312" s="65" t="str">
        <f>IF(COUNTA(A1312:G1312)=0,"",IF(AND(ISNUMBER(D1312),ISNUMBER(J1312)),ROUND(D1312*J1312*(1-N(F1312)),2),0))</f>
        <v/>
      </c>
      <c r="M1312" s="62" t="str">
        <f>IF(A1312="","",IFERROR(INDEX(fa_cname,MATCH(A1312,fa_num,0))&amp;"",""))</f>
        <v/>
      </c>
      <c r="N1312" s="59" t="str">
        <f>IF(COUNTA(A1312:G1312)=0,"",IF(A1312="","N° facture manquant",IF(ISNA(MATCH(A1312,fa_num,0)),"Facture inconnue",IF(AND(B1312&lt;&gt;"",ISNA(MATCH(B1312,pr_code,0))),"Article inconnu",IF(H1312="","Désignation manquante",IF(OR(NOT(ISNUMBER(D1312)),N(D1312)&lt;=0),"Quantité invalide",IF(J1312="","Prix manquant",IF(OR(NOT(ISNUMBER(J1312)),N(J1312)&lt;0),"Prix invalide",IF(OR(AND(F1312&lt;&gt;"",NOT(ISNUMBER(F1312))),N(F1312)&lt;0,N(F1312)&gt;1),"Remise invalide",IF(K1312="","Taux de TVA manquant",IF(NOT(ISNUMBER(K1312)),"Taux de TVA invalide",IF(COUNTIF(p_rates,K1312)=0,"Taux de TVA hors liste (Paramètres)",IF(N(O1312)&gt;25,"Au-delà de 25 lignes : non imprimée","OK")))))))))))))</f>
        <v/>
      </c>
      <c r="O1312" s="59" t="str">
        <f>IF(A1312="","",COUNTIF($A$6:A1312,A1312))</f>
        <v/>
      </c>
      <c r="P1312" s="62" t="str">
        <f>IF(A1312="","",A1312&amp;"|"&amp;O1312)</f>
        <v/>
      </c>
    </row>
    <row r="1313">
      <c r="A1313" s="60" t="n"/>
      <c r="B1313" s="63" t="n"/>
      <c r="C1313" s="63" t="n"/>
      <c r="D1313" s="67" t="n"/>
      <c r="E1313" s="68" t="n"/>
      <c r="F1313" s="69" t="n"/>
      <c r="G1313" s="70" t="n"/>
      <c r="H1313" s="62" t="str">
        <f>IF(COUNTA(A1313:G1313)=0,"",IF(C1313&lt;&gt;"",C1313,IF(B1313="","",IFERROR(INDEX(pr_des,MATCH(B1313,pr_code,0))&amp;"",""))))</f>
        <v/>
      </c>
      <c r="I1313" s="59" t="str">
        <f>IF(B1313="","",IFERROR(INDEX(pr_unit,MATCH(B1313,pr_code,0))&amp;"",""))</f>
        <v/>
      </c>
      <c r="J1313" s="65" t="str">
        <f>IF(COUNTA(A1313:G1313)=0,"",IF(E1313&lt;&gt;"",E1313,IF(B1313="","",IFERROR(IF(INDEX(pr_price,MATCH(B1313,pr_code,0))="","",INDEX(pr_price,MATCH(B1313,pr_code,0))),""))))</f>
        <v/>
      </c>
      <c r="K1313" s="71" t="str">
        <f>IF(COUNTA(A1313:G1313)=0,"",IF(G1313&lt;&gt;"",G1313,IF(B1313="","",IFERROR(IF(INDEX(pr_rate,MATCH(B1313,pr_code,0))="","",INDEX(pr_rate,MATCH(B1313,pr_code,0))),""))))</f>
        <v/>
      </c>
      <c r="L1313" s="65" t="str">
        <f>IF(COUNTA(A1313:G1313)=0,"",IF(AND(ISNUMBER(D1313),ISNUMBER(J1313)),ROUND(D1313*J1313*(1-N(F1313)),2),0))</f>
        <v/>
      </c>
      <c r="M1313" s="62" t="str">
        <f>IF(A1313="","",IFERROR(INDEX(fa_cname,MATCH(A1313,fa_num,0))&amp;"",""))</f>
        <v/>
      </c>
      <c r="N1313" s="59" t="str">
        <f>IF(COUNTA(A1313:G1313)=0,"",IF(A1313="","N° facture manquant",IF(ISNA(MATCH(A1313,fa_num,0)),"Facture inconnue",IF(AND(B1313&lt;&gt;"",ISNA(MATCH(B1313,pr_code,0))),"Article inconnu",IF(H1313="","Désignation manquante",IF(OR(NOT(ISNUMBER(D1313)),N(D1313)&lt;=0),"Quantité invalide",IF(J1313="","Prix manquant",IF(OR(NOT(ISNUMBER(J1313)),N(J1313)&lt;0),"Prix invalide",IF(OR(AND(F1313&lt;&gt;"",NOT(ISNUMBER(F1313))),N(F1313)&lt;0,N(F1313)&gt;1),"Remise invalide",IF(K1313="","Taux de TVA manquant",IF(NOT(ISNUMBER(K1313)),"Taux de TVA invalide",IF(COUNTIF(p_rates,K1313)=0,"Taux de TVA hors liste (Paramètres)",IF(N(O1313)&gt;25,"Au-delà de 25 lignes : non imprimée","OK")))))))))))))</f>
        <v/>
      </c>
      <c r="O1313" s="59" t="str">
        <f>IF(A1313="","",COUNTIF($A$6:A1313,A1313))</f>
        <v/>
      </c>
      <c r="P1313" s="62" t="str">
        <f>IF(A1313="","",A1313&amp;"|"&amp;O1313)</f>
        <v/>
      </c>
    </row>
    <row r="1314">
      <c r="A1314" s="60" t="n"/>
      <c r="B1314" s="63" t="n"/>
      <c r="C1314" s="63" t="n"/>
      <c r="D1314" s="67" t="n"/>
      <c r="E1314" s="68" t="n"/>
      <c r="F1314" s="69" t="n"/>
      <c r="G1314" s="70" t="n"/>
      <c r="H1314" s="62" t="str">
        <f>IF(COUNTA(A1314:G1314)=0,"",IF(C1314&lt;&gt;"",C1314,IF(B1314="","",IFERROR(INDEX(pr_des,MATCH(B1314,pr_code,0))&amp;"",""))))</f>
        <v/>
      </c>
      <c r="I1314" s="59" t="str">
        <f>IF(B1314="","",IFERROR(INDEX(pr_unit,MATCH(B1314,pr_code,0))&amp;"",""))</f>
        <v/>
      </c>
      <c r="J1314" s="65" t="str">
        <f>IF(COUNTA(A1314:G1314)=0,"",IF(E1314&lt;&gt;"",E1314,IF(B1314="","",IFERROR(IF(INDEX(pr_price,MATCH(B1314,pr_code,0))="","",INDEX(pr_price,MATCH(B1314,pr_code,0))),""))))</f>
        <v/>
      </c>
      <c r="K1314" s="71" t="str">
        <f>IF(COUNTA(A1314:G1314)=0,"",IF(G1314&lt;&gt;"",G1314,IF(B1314="","",IFERROR(IF(INDEX(pr_rate,MATCH(B1314,pr_code,0))="","",INDEX(pr_rate,MATCH(B1314,pr_code,0))),""))))</f>
        <v/>
      </c>
      <c r="L1314" s="65" t="str">
        <f>IF(COUNTA(A1314:G1314)=0,"",IF(AND(ISNUMBER(D1314),ISNUMBER(J1314)),ROUND(D1314*J1314*(1-N(F1314)),2),0))</f>
        <v/>
      </c>
      <c r="M1314" s="62" t="str">
        <f>IF(A1314="","",IFERROR(INDEX(fa_cname,MATCH(A1314,fa_num,0))&amp;"",""))</f>
        <v/>
      </c>
      <c r="N1314" s="59" t="str">
        <f>IF(COUNTA(A1314:G1314)=0,"",IF(A1314="","N° facture manquant",IF(ISNA(MATCH(A1314,fa_num,0)),"Facture inconnue",IF(AND(B1314&lt;&gt;"",ISNA(MATCH(B1314,pr_code,0))),"Article inconnu",IF(H1314="","Désignation manquante",IF(OR(NOT(ISNUMBER(D1314)),N(D1314)&lt;=0),"Quantité invalide",IF(J1314="","Prix manquant",IF(OR(NOT(ISNUMBER(J1314)),N(J1314)&lt;0),"Prix invalide",IF(OR(AND(F1314&lt;&gt;"",NOT(ISNUMBER(F1314))),N(F1314)&lt;0,N(F1314)&gt;1),"Remise invalide",IF(K1314="","Taux de TVA manquant",IF(NOT(ISNUMBER(K1314)),"Taux de TVA invalide",IF(COUNTIF(p_rates,K1314)=0,"Taux de TVA hors liste (Paramètres)",IF(N(O1314)&gt;25,"Au-delà de 25 lignes : non imprimée","OK")))))))))))))</f>
        <v/>
      </c>
      <c r="O1314" s="59" t="str">
        <f>IF(A1314="","",COUNTIF($A$6:A1314,A1314))</f>
        <v/>
      </c>
      <c r="P1314" s="62" t="str">
        <f>IF(A1314="","",A1314&amp;"|"&amp;O1314)</f>
        <v/>
      </c>
    </row>
    <row r="1315">
      <c r="A1315" s="60" t="n"/>
      <c r="B1315" s="63" t="n"/>
      <c r="C1315" s="63" t="n"/>
      <c r="D1315" s="67" t="n"/>
      <c r="E1315" s="68" t="n"/>
      <c r="F1315" s="69" t="n"/>
      <c r="G1315" s="70" t="n"/>
      <c r="H1315" s="62" t="str">
        <f>IF(COUNTA(A1315:G1315)=0,"",IF(C1315&lt;&gt;"",C1315,IF(B1315="","",IFERROR(INDEX(pr_des,MATCH(B1315,pr_code,0))&amp;"",""))))</f>
        <v/>
      </c>
      <c r="I1315" s="59" t="str">
        <f>IF(B1315="","",IFERROR(INDEX(pr_unit,MATCH(B1315,pr_code,0))&amp;"",""))</f>
        <v/>
      </c>
      <c r="J1315" s="65" t="str">
        <f>IF(COUNTA(A1315:G1315)=0,"",IF(E1315&lt;&gt;"",E1315,IF(B1315="","",IFERROR(IF(INDEX(pr_price,MATCH(B1315,pr_code,0))="","",INDEX(pr_price,MATCH(B1315,pr_code,0))),""))))</f>
        <v/>
      </c>
      <c r="K1315" s="71" t="str">
        <f>IF(COUNTA(A1315:G1315)=0,"",IF(G1315&lt;&gt;"",G1315,IF(B1315="","",IFERROR(IF(INDEX(pr_rate,MATCH(B1315,pr_code,0))="","",INDEX(pr_rate,MATCH(B1315,pr_code,0))),""))))</f>
        <v/>
      </c>
      <c r="L1315" s="65" t="str">
        <f>IF(COUNTA(A1315:G1315)=0,"",IF(AND(ISNUMBER(D1315),ISNUMBER(J1315)),ROUND(D1315*J1315*(1-N(F1315)),2),0))</f>
        <v/>
      </c>
      <c r="M1315" s="62" t="str">
        <f>IF(A1315="","",IFERROR(INDEX(fa_cname,MATCH(A1315,fa_num,0))&amp;"",""))</f>
        <v/>
      </c>
      <c r="N1315" s="59" t="str">
        <f>IF(COUNTA(A1315:G1315)=0,"",IF(A1315="","N° facture manquant",IF(ISNA(MATCH(A1315,fa_num,0)),"Facture inconnue",IF(AND(B1315&lt;&gt;"",ISNA(MATCH(B1315,pr_code,0))),"Article inconnu",IF(H1315="","Désignation manquante",IF(OR(NOT(ISNUMBER(D1315)),N(D1315)&lt;=0),"Quantité invalide",IF(J1315="","Prix manquant",IF(OR(NOT(ISNUMBER(J1315)),N(J1315)&lt;0),"Prix invalide",IF(OR(AND(F1315&lt;&gt;"",NOT(ISNUMBER(F1315))),N(F1315)&lt;0,N(F1315)&gt;1),"Remise invalide",IF(K1315="","Taux de TVA manquant",IF(NOT(ISNUMBER(K1315)),"Taux de TVA invalide",IF(COUNTIF(p_rates,K1315)=0,"Taux de TVA hors liste (Paramètres)",IF(N(O1315)&gt;25,"Au-delà de 25 lignes : non imprimée","OK")))))))))))))</f>
        <v/>
      </c>
      <c r="O1315" s="59" t="str">
        <f>IF(A1315="","",COUNTIF($A$6:A1315,A1315))</f>
        <v/>
      </c>
      <c r="P1315" s="62" t="str">
        <f>IF(A1315="","",A1315&amp;"|"&amp;O1315)</f>
        <v/>
      </c>
    </row>
    <row r="1316">
      <c r="A1316" s="60" t="n"/>
      <c r="B1316" s="63" t="n"/>
      <c r="C1316" s="63" t="n"/>
      <c r="D1316" s="67" t="n"/>
      <c r="E1316" s="68" t="n"/>
      <c r="F1316" s="69" t="n"/>
      <c r="G1316" s="70" t="n"/>
      <c r="H1316" s="62" t="str">
        <f>IF(COUNTA(A1316:G1316)=0,"",IF(C1316&lt;&gt;"",C1316,IF(B1316="","",IFERROR(INDEX(pr_des,MATCH(B1316,pr_code,0))&amp;"",""))))</f>
        <v/>
      </c>
      <c r="I1316" s="59" t="str">
        <f>IF(B1316="","",IFERROR(INDEX(pr_unit,MATCH(B1316,pr_code,0))&amp;"",""))</f>
        <v/>
      </c>
      <c r="J1316" s="65" t="str">
        <f>IF(COUNTA(A1316:G1316)=0,"",IF(E1316&lt;&gt;"",E1316,IF(B1316="","",IFERROR(IF(INDEX(pr_price,MATCH(B1316,pr_code,0))="","",INDEX(pr_price,MATCH(B1316,pr_code,0))),""))))</f>
        <v/>
      </c>
      <c r="K1316" s="71" t="str">
        <f>IF(COUNTA(A1316:G1316)=0,"",IF(G1316&lt;&gt;"",G1316,IF(B1316="","",IFERROR(IF(INDEX(pr_rate,MATCH(B1316,pr_code,0))="","",INDEX(pr_rate,MATCH(B1316,pr_code,0))),""))))</f>
        <v/>
      </c>
      <c r="L1316" s="65" t="str">
        <f>IF(COUNTA(A1316:G1316)=0,"",IF(AND(ISNUMBER(D1316),ISNUMBER(J1316)),ROUND(D1316*J1316*(1-N(F1316)),2),0))</f>
        <v/>
      </c>
      <c r="M1316" s="62" t="str">
        <f>IF(A1316="","",IFERROR(INDEX(fa_cname,MATCH(A1316,fa_num,0))&amp;"",""))</f>
        <v/>
      </c>
      <c r="N1316" s="59" t="str">
        <f>IF(COUNTA(A1316:G1316)=0,"",IF(A1316="","N° facture manquant",IF(ISNA(MATCH(A1316,fa_num,0)),"Facture inconnue",IF(AND(B1316&lt;&gt;"",ISNA(MATCH(B1316,pr_code,0))),"Article inconnu",IF(H1316="","Désignation manquante",IF(OR(NOT(ISNUMBER(D1316)),N(D1316)&lt;=0),"Quantité invalide",IF(J1316="","Prix manquant",IF(OR(NOT(ISNUMBER(J1316)),N(J1316)&lt;0),"Prix invalide",IF(OR(AND(F1316&lt;&gt;"",NOT(ISNUMBER(F1316))),N(F1316)&lt;0,N(F1316)&gt;1),"Remise invalide",IF(K1316="","Taux de TVA manquant",IF(NOT(ISNUMBER(K1316)),"Taux de TVA invalide",IF(COUNTIF(p_rates,K1316)=0,"Taux de TVA hors liste (Paramètres)",IF(N(O1316)&gt;25,"Au-delà de 25 lignes : non imprimée","OK")))))))))))))</f>
        <v/>
      </c>
      <c r="O1316" s="59" t="str">
        <f>IF(A1316="","",COUNTIF($A$6:A1316,A1316))</f>
        <v/>
      </c>
      <c r="P1316" s="62" t="str">
        <f>IF(A1316="","",A1316&amp;"|"&amp;O1316)</f>
        <v/>
      </c>
    </row>
    <row r="1317">
      <c r="A1317" s="60" t="n"/>
      <c r="B1317" s="63" t="n"/>
      <c r="C1317" s="63" t="n"/>
      <c r="D1317" s="67" t="n"/>
      <c r="E1317" s="68" t="n"/>
      <c r="F1317" s="69" t="n"/>
      <c r="G1317" s="70" t="n"/>
      <c r="H1317" s="62" t="str">
        <f>IF(COUNTA(A1317:G1317)=0,"",IF(C1317&lt;&gt;"",C1317,IF(B1317="","",IFERROR(INDEX(pr_des,MATCH(B1317,pr_code,0))&amp;"",""))))</f>
        <v/>
      </c>
      <c r="I1317" s="59" t="str">
        <f>IF(B1317="","",IFERROR(INDEX(pr_unit,MATCH(B1317,pr_code,0))&amp;"",""))</f>
        <v/>
      </c>
      <c r="J1317" s="65" t="str">
        <f>IF(COUNTA(A1317:G1317)=0,"",IF(E1317&lt;&gt;"",E1317,IF(B1317="","",IFERROR(IF(INDEX(pr_price,MATCH(B1317,pr_code,0))="","",INDEX(pr_price,MATCH(B1317,pr_code,0))),""))))</f>
        <v/>
      </c>
      <c r="K1317" s="71" t="str">
        <f>IF(COUNTA(A1317:G1317)=0,"",IF(G1317&lt;&gt;"",G1317,IF(B1317="","",IFERROR(IF(INDEX(pr_rate,MATCH(B1317,pr_code,0))="","",INDEX(pr_rate,MATCH(B1317,pr_code,0))),""))))</f>
        <v/>
      </c>
      <c r="L1317" s="65" t="str">
        <f>IF(COUNTA(A1317:G1317)=0,"",IF(AND(ISNUMBER(D1317),ISNUMBER(J1317)),ROUND(D1317*J1317*(1-N(F1317)),2),0))</f>
        <v/>
      </c>
      <c r="M1317" s="62" t="str">
        <f>IF(A1317="","",IFERROR(INDEX(fa_cname,MATCH(A1317,fa_num,0))&amp;"",""))</f>
        <v/>
      </c>
      <c r="N1317" s="59" t="str">
        <f>IF(COUNTA(A1317:G1317)=0,"",IF(A1317="","N° facture manquant",IF(ISNA(MATCH(A1317,fa_num,0)),"Facture inconnue",IF(AND(B1317&lt;&gt;"",ISNA(MATCH(B1317,pr_code,0))),"Article inconnu",IF(H1317="","Désignation manquante",IF(OR(NOT(ISNUMBER(D1317)),N(D1317)&lt;=0),"Quantité invalide",IF(J1317="","Prix manquant",IF(OR(NOT(ISNUMBER(J1317)),N(J1317)&lt;0),"Prix invalide",IF(OR(AND(F1317&lt;&gt;"",NOT(ISNUMBER(F1317))),N(F1317)&lt;0,N(F1317)&gt;1),"Remise invalide",IF(K1317="","Taux de TVA manquant",IF(NOT(ISNUMBER(K1317)),"Taux de TVA invalide",IF(COUNTIF(p_rates,K1317)=0,"Taux de TVA hors liste (Paramètres)",IF(N(O1317)&gt;25,"Au-delà de 25 lignes : non imprimée","OK")))))))))))))</f>
        <v/>
      </c>
      <c r="O1317" s="59" t="str">
        <f>IF(A1317="","",COUNTIF($A$6:A1317,A1317))</f>
        <v/>
      </c>
      <c r="P1317" s="62" t="str">
        <f>IF(A1317="","",A1317&amp;"|"&amp;O1317)</f>
        <v/>
      </c>
    </row>
    <row r="1318">
      <c r="A1318" s="60" t="n"/>
      <c r="B1318" s="63" t="n"/>
      <c r="C1318" s="63" t="n"/>
      <c r="D1318" s="67" t="n"/>
      <c r="E1318" s="68" t="n"/>
      <c r="F1318" s="69" t="n"/>
      <c r="G1318" s="70" t="n"/>
      <c r="H1318" s="62" t="str">
        <f>IF(COUNTA(A1318:G1318)=0,"",IF(C1318&lt;&gt;"",C1318,IF(B1318="","",IFERROR(INDEX(pr_des,MATCH(B1318,pr_code,0))&amp;"",""))))</f>
        <v/>
      </c>
      <c r="I1318" s="59" t="str">
        <f>IF(B1318="","",IFERROR(INDEX(pr_unit,MATCH(B1318,pr_code,0))&amp;"",""))</f>
        <v/>
      </c>
      <c r="J1318" s="65" t="str">
        <f>IF(COUNTA(A1318:G1318)=0,"",IF(E1318&lt;&gt;"",E1318,IF(B1318="","",IFERROR(IF(INDEX(pr_price,MATCH(B1318,pr_code,0))="","",INDEX(pr_price,MATCH(B1318,pr_code,0))),""))))</f>
        <v/>
      </c>
      <c r="K1318" s="71" t="str">
        <f>IF(COUNTA(A1318:G1318)=0,"",IF(G1318&lt;&gt;"",G1318,IF(B1318="","",IFERROR(IF(INDEX(pr_rate,MATCH(B1318,pr_code,0))="","",INDEX(pr_rate,MATCH(B1318,pr_code,0))),""))))</f>
        <v/>
      </c>
      <c r="L1318" s="65" t="str">
        <f>IF(COUNTA(A1318:G1318)=0,"",IF(AND(ISNUMBER(D1318),ISNUMBER(J1318)),ROUND(D1318*J1318*(1-N(F1318)),2),0))</f>
        <v/>
      </c>
      <c r="M1318" s="62" t="str">
        <f>IF(A1318="","",IFERROR(INDEX(fa_cname,MATCH(A1318,fa_num,0))&amp;"",""))</f>
        <v/>
      </c>
      <c r="N1318" s="59" t="str">
        <f>IF(COUNTA(A1318:G1318)=0,"",IF(A1318="","N° facture manquant",IF(ISNA(MATCH(A1318,fa_num,0)),"Facture inconnue",IF(AND(B1318&lt;&gt;"",ISNA(MATCH(B1318,pr_code,0))),"Article inconnu",IF(H1318="","Désignation manquante",IF(OR(NOT(ISNUMBER(D1318)),N(D1318)&lt;=0),"Quantité invalide",IF(J1318="","Prix manquant",IF(OR(NOT(ISNUMBER(J1318)),N(J1318)&lt;0),"Prix invalide",IF(OR(AND(F1318&lt;&gt;"",NOT(ISNUMBER(F1318))),N(F1318)&lt;0,N(F1318)&gt;1),"Remise invalide",IF(K1318="","Taux de TVA manquant",IF(NOT(ISNUMBER(K1318)),"Taux de TVA invalide",IF(COUNTIF(p_rates,K1318)=0,"Taux de TVA hors liste (Paramètres)",IF(N(O1318)&gt;25,"Au-delà de 25 lignes : non imprimée","OK")))))))))))))</f>
        <v/>
      </c>
      <c r="O1318" s="59" t="str">
        <f>IF(A1318="","",COUNTIF($A$6:A1318,A1318))</f>
        <v/>
      </c>
      <c r="P1318" s="62" t="str">
        <f>IF(A1318="","",A1318&amp;"|"&amp;O1318)</f>
        <v/>
      </c>
    </row>
    <row r="1319">
      <c r="A1319" s="60" t="n"/>
      <c r="B1319" s="63" t="n"/>
      <c r="C1319" s="63" t="n"/>
      <c r="D1319" s="67" t="n"/>
      <c r="E1319" s="68" t="n"/>
      <c r="F1319" s="69" t="n"/>
      <c r="G1319" s="70" t="n"/>
      <c r="H1319" s="62" t="str">
        <f>IF(COUNTA(A1319:G1319)=0,"",IF(C1319&lt;&gt;"",C1319,IF(B1319="","",IFERROR(INDEX(pr_des,MATCH(B1319,pr_code,0))&amp;"",""))))</f>
        <v/>
      </c>
      <c r="I1319" s="59" t="str">
        <f>IF(B1319="","",IFERROR(INDEX(pr_unit,MATCH(B1319,pr_code,0))&amp;"",""))</f>
        <v/>
      </c>
      <c r="J1319" s="65" t="str">
        <f>IF(COUNTA(A1319:G1319)=0,"",IF(E1319&lt;&gt;"",E1319,IF(B1319="","",IFERROR(IF(INDEX(pr_price,MATCH(B1319,pr_code,0))="","",INDEX(pr_price,MATCH(B1319,pr_code,0))),""))))</f>
        <v/>
      </c>
      <c r="K1319" s="71" t="str">
        <f>IF(COUNTA(A1319:G1319)=0,"",IF(G1319&lt;&gt;"",G1319,IF(B1319="","",IFERROR(IF(INDEX(pr_rate,MATCH(B1319,pr_code,0))="","",INDEX(pr_rate,MATCH(B1319,pr_code,0))),""))))</f>
        <v/>
      </c>
      <c r="L1319" s="65" t="str">
        <f>IF(COUNTA(A1319:G1319)=0,"",IF(AND(ISNUMBER(D1319),ISNUMBER(J1319)),ROUND(D1319*J1319*(1-N(F1319)),2),0))</f>
        <v/>
      </c>
      <c r="M1319" s="62" t="str">
        <f>IF(A1319="","",IFERROR(INDEX(fa_cname,MATCH(A1319,fa_num,0))&amp;"",""))</f>
        <v/>
      </c>
      <c r="N1319" s="59" t="str">
        <f>IF(COUNTA(A1319:G1319)=0,"",IF(A1319="","N° facture manquant",IF(ISNA(MATCH(A1319,fa_num,0)),"Facture inconnue",IF(AND(B1319&lt;&gt;"",ISNA(MATCH(B1319,pr_code,0))),"Article inconnu",IF(H1319="","Désignation manquante",IF(OR(NOT(ISNUMBER(D1319)),N(D1319)&lt;=0),"Quantité invalide",IF(J1319="","Prix manquant",IF(OR(NOT(ISNUMBER(J1319)),N(J1319)&lt;0),"Prix invalide",IF(OR(AND(F1319&lt;&gt;"",NOT(ISNUMBER(F1319))),N(F1319)&lt;0,N(F1319)&gt;1),"Remise invalide",IF(K1319="","Taux de TVA manquant",IF(NOT(ISNUMBER(K1319)),"Taux de TVA invalide",IF(COUNTIF(p_rates,K1319)=0,"Taux de TVA hors liste (Paramètres)",IF(N(O1319)&gt;25,"Au-delà de 25 lignes : non imprimée","OK")))))))))))))</f>
        <v/>
      </c>
      <c r="O1319" s="59" t="str">
        <f>IF(A1319="","",COUNTIF($A$6:A1319,A1319))</f>
        <v/>
      </c>
      <c r="P1319" s="62" t="str">
        <f>IF(A1319="","",A1319&amp;"|"&amp;O1319)</f>
        <v/>
      </c>
    </row>
    <row r="1320">
      <c r="A1320" s="60" t="n"/>
      <c r="B1320" s="63" t="n"/>
      <c r="C1320" s="63" t="n"/>
      <c r="D1320" s="67" t="n"/>
      <c r="E1320" s="68" t="n"/>
      <c r="F1320" s="69" t="n"/>
      <c r="G1320" s="70" t="n"/>
      <c r="H1320" s="62" t="str">
        <f>IF(COUNTA(A1320:G1320)=0,"",IF(C1320&lt;&gt;"",C1320,IF(B1320="","",IFERROR(INDEX(pr_des,MATCH(B1320,pr_code,0))&amp;"",""))))</f>
        <v/>
      </c>
      <c r="I1320" s="59" t="str">
        <f>IF(B1320="","",IFERROR(INDEX(pr_unit,MATCH(B1320,pr_code,0))&amp;"",""))</f>
        <v/>
      </c>
      <c r="J1320" s="65" t="str">
        <f>IF(COUNTA(A1320:G1320)=0,"",IF(E1320&lt;&gt;"",E1320,IF(B1320="","",IFERROR(IF(INDEX(pr_price,MATCH(B1320,pr_code,0))="","",INDEX(pr_price,MATCH(B1320,pr_code,0))),""))))</f>
        <v/>
      </c>
      <c r="K1320" s="71" t="str">
        <f>IF(COUNTA(A1320:G1320)=0,"",IF(G1320&lt;&gt;"",G1320,IF(B1320="","",IFERROR(IF(INDEX(pr_rate,MATCH(B1320,pr_code,0))="","",INDEX(pr_rate,MATCH(B1320,pr_code,0))),""))))</f>
        <v/>
      </c>
      <c r="L1320" s="65" t="str">
        <f>IF(COUNTA(A1320:G1320)=0,"",IF(AND(ISNUMBER(D1320),ISNUMBER(J1320)),ROUND(D1320*J1320*(1-N(F1320)),2),0))</f>
        <v/>
      </c>
      <c r="M1320" s="62" t="str">
        <f>IF(A1320="","",IFERROR(INDEX(fa_cname,MATCH(A1320,fa_num,0))&amp;"",""))</f>
        <v/>
      </c>
      <c r="N1320" s="59" t="str">
        <f>IF(COUNTA(A1320:G1320)=0,"",IF(A1320="","N° facture manquant",IF(ISNA(MATCH(A1320,fa_num,0)),"Facture inconnue",IF(AND(B1320&lt;&gt;"",ISNA(MATCH(B1320,pr_code,0))),"Article inconnu",IF(H1320="","Désignation manquante",IF(OR(NOT(ISNUMBER(D1320)),N(D1320)&lt;=0),"Quantité invalide",IF(J1320="","Prix manquant",IF(OR(NOT(ISNUMBER(J1320)),N(J1320)&lt;0),"Prix invalide",IF(OR(AND(F1320&lt;&gt;"",NOT(ISNUMBER(F1320))),N(F1320)&lt;0,N(F1320)&gt;1),"Remise invalide",IF(K1320="","Taux de TVA manquant",IF(NOT(ISNUMBER(K1320)),"Taux de TVA invalide",IF(COUNTIF(p_rates,K1320)=0,"Taux de TVA hors liste (Paramètres)",IF(N(O1320)&gt;25,"Au-delà de 25 lignes : non imprimée","OK")))))))))))))</f>
        <v/>
      </c>
      <c r="O1320" s="59" t="str">
        <f>IF(A1320="","",COUNTIF($A$6:A1320,A1320))</f>
        <v/>
      </c>
      <c r="P1320" s="62" t="str">
        <f>IF(A1320="","",A1320&amp;"|"&amp;O1320)</f>
        <v/>
      </c>
    </row>
    <row r="1321">
      <c r="A1321" s="60" t="n"/>
      <c r="B1321" s="63" t="n"/>
      <c r="C1321" s="63" t="n"/>
      <c r="D1321" s="67" t="n"/>
      <c r="E1321" s="68" t="n"/>
      <c r="F1321" s="69" t="n"/>
      <c r="G1321" s="70" t="n"/>
      <c r="H1321" s="62" t="str">
        <f>IF(COUNTA(A1321:G1321)=0,"",IF(C1321&lt;&gt;"",C1321,IF(B1321="","",IFERROR(INDEX(pr_des,MATCH(B1321,pr_code,0))&amp;"",""))))</f>
        <v/>
      </c>
      <c r="I1321" s="59" t="str">
        <f>IF(B1321="","",IFERROR(INDEX(pr_unit,MATCH(B1321,pr_code,0))&amp;"",""))</f>
        <v/>
      </c>
      <c r="J1321" s="65" t="str">
        <f>IF(COUNTA(A1321:G1321)=0,"",IF(E1321&lt;&gt;"",E1321,IF(B1321="","",IFERROR(IF(INDEX(pr_price,MATCH(B1321,pr_code,0))="","",INDEX(pr_price,MATCH(B1321,pr_code,0))),""))))</f>
        <v/>
      </c>
      <c r="K1321" s="71" t="str">
        <f>IF(COUNTA(A1321:G1321)=0,"",IF(G1321&lt;&gt;"",G1321,IF(B1321="","",IFERROR(IF(INDEX(pr_rate,MATCH(B1321,pr_code,0))="","",INDEX(pr_rate,MATCH(B1321,pr_code,0))),""))))</f>
        <v/>
      </c>
      <c r="L1321" s="65" t="str">
        <f>IF(COUNTA(A1321:G1321)=0,"",IF(AND(ISNUMBER(D1321),ISNUMBER(J1321)),ROUND(D1321*J1321*(1-N(F1321)),2),0))</f>
        <v/>
      </c>
      <c r="M1321" s="62" t="str">
        <f>IF(A1321="","",IFERROR(INDEX(fa_cname,MATCH(A1321,fa_num,0))&amp;"",""))</f>
        <v/>
      </c>
      <c r="N1321" s="59" t="str">
        <f>IF(COUNTA(A1321:G1321)=0,"",IF(A1321="","N° facture manquant",IF(ISNA(MATCH(A1321,fa_num,0)),"Facture inconnue",IF(AND(B1321&lt;&gt;"",ISNA(MATCH(B1321,pr_code,0))),"Article inconnu",IF(H1321="","Désignation manquante",IF(OR(NOT(ISNUMBER(D1321)),N(D1321)&lt;=0),"Quantité invalide",IF(J1321="","Prix manquant",IF(OR(NOT(ISNUMBER(J1321)),N(J1321)&lt;0),"Prix invalide",IF(OR(AND(F1321&lt;&gt;"",NOT(ISNUMBER(F1321))),N(F1321)&lt;0,N(F1321)&gt;1),"Remise invalide",IF(K1321="","Taux de TVA manquant",IF(NOT(ISNUMBER(K1321)),"Taux de TVA invalide",IF(COUNTIF(p_rates,K1321)=0,"Taux de TVA hors liste (Paramètres)",IF(N(O1321)&gt;25,"Au-delà de 25 lignes : non imprimée","OK")))))))))))))</f>
        <v/>
      </c>
      <c r="O1321" s="59" t="str">
        <f>IF(A1321="","",COUNTIF($A$6:A1321,A1321))</f>
        <v/>
      </c>
      <c r="P1321" s="62" t="str">
        <f>IF(A1321="","",A1321&amp;"|"&amp;O1321)</f>
        <v/>
      </c>
    </row>
    <row r="1322">
      <c r="A1322" s="60" t="n"/>
      <c r="B1322" s="63" t="n"/>
      <c r="C1322" s="63" t="n"/>
      <c r="D1322" s="67" t="n"/>
      <c r="E1322" s="68" t="n"/>
      <c r="F1322" s="69" t="n"/>
      <c r="G1322" s="70" t="n"/>
      <c r="H1322" s="62" t="str">
        <f>IF(COUNTA(A1322:G1322)=0,"",IF(C1322&lt;&gt;"",C1322,IF(B1322="","",IFERROR(INDEX(pr_des,MATCH(B1322,pr_code,0))&amp;"",""))))</f>
        <v/>
      </c>
      <c r="I1322" s="59" t="str">
        <f>IF(B1322="","",IFERROR(INDEX(pr_unit,MATCH(B1322,pr_code,0))&amp;"",""))</f>
        <v/>
      </c>
      <c r="J1322" s="65" t="str">
        <f>IF(COUNTA(A1322:G1322)=0,"",IF(E1322&lt;&gt;"",E1322,IF(B1322="","",IFERROR(IF(INDEX(pr_price,MATCH(B1322,pr_code,0))="","",INDEX(pr_price,MATCH(B1322,pr_code,0))),""))))</f>
        <v/>
      </c>
      <c r="K1322" s="71" t="str">
        <f>IF(COUNTA(A1322:G1322)=0,"",IF(G1322&lt;&gt;"",G1322,IF(B1322="","",IFERROR(IF(INDEX(pr_rate,MATCH(B1322,pr_code,0))="","",INDEX(pr_rate,MATCH(B1322,pr_code,0))),""))))</f>
        <v/>
      </c>
      <c r="L1322" s="65" t="str">
        <f>IF(COUNTA(A1322:G1322)=0,"",IF(AND(ISNUMBER(D1322),ISNUMBER(J1322)),ROUND(D1322*J1322*(1-N(F1322)),2),0))</f>
        <v/>
      </c>
      <c r="M1322" s="62" t="str">
        <f>IF(A1322="","",IFERROR(INDEX(fa_cname,MATCH(A1322,fa_num,0))&amp;"",""))</f>
        <v/>
      </c>
      <c r="N1322" s="59" t="str">
        <f>IF(COUNTA(A1322:G1322)=0,"",IF(A1322="","N° facture manquant",IF(ISNA(MATCH(A1322,fa_num,0)),"Facture inconnue",IF(AND(B1322&lt;&gt;"",ISNA(MATCH(B1322,pr_code,0))),"Article inconnu",IF(H1322="","Désignation manquante",IF(OR(NOT(ISNUMBER(D1322)),N(D1322)&lt;=0),"Quantité invalide",IF(J1322="","Prix manquant",IF(OR(NOT(ISNUMBER(J1322)),N(J1322)&lt;0),"Prix invalide",IF(OR(AND(F1322&lt;&gt;"",NOT(ISNUMBER(F1322))),N(F1322)&lt;0,N(F1322)&gt;1),"Remise invalide",IF(K1322="","Taux de TVA manquant",IF(NOT(ISNUMBER(K1322)),"Taux de TVA invalide",IF(COUNTIF(p_rates,K1322)=0,"Taux de TVA hors liste (Paramètres)",IF(N(O1322)&gt;25,"Au-delà de 25 lignes : non imprimée","OK")))))))))))))</f>
        <v/>
      </c>
      <c r="O1322" s="59" t="str">
        <f>IF(A1322="","",COUNTIF($A$6:A1322,A1322))</f>
        <v/>
      </c>
      <c r="P1322" s="62" t="str">
        <f>IF(A1322="","",A1322&amp;"|"&amp;O1322)</f>
        <v/>
      </c>
    </row>
    <row r="1323">
      <c r="A1323" s="60" t="n"/>
      <c r="B1323" s="63" t="n"/>
      <c r="C1323" s="63" t="n"/>
      <c r="D1323" s="67" t="n"/>
      <c r="E1323" s="68" t="n"/>
      <c r="F1323" s="69" t="n"/>
      <c r="G1323" s="70" t="n"/>
      <c r="H1323" s="62" t="str">
        <f>IF(COUNTA(A1323:G1323)=0,"",IF(C1323&lt;&gt;"",C1323,IF(B1323="","",IFERROR(INDEX(pr_des,MATCH(B1323,pr_code,0))&amp;"",""))))</f>
        <v/>
      </c>
      <c r="I1323" s="59" t="str">
        <f>IF(B1323="","",IFERROR(INDEX(pr_unit,MATCH(B1323,pr_code,0))&amp;"",""))</f>
        <v/>
      </c>
      <c r="J1323" s="65" t="str">
        <f>IF(COUNTA(A1323:G1323)=0,"",IF(E1323&lt;&gt;"",E1323,IF(B1323="","",IFERROR(IF(INDEX(pr_price,MATCH(B1323,pr_code,0))="","",INDEX(pr_price,MATCH(B1323,pr_code,0))),""))))</f>
        <v/>
      </c>
      <c r="K1323" s="71" t="str">
        <f>IF(COUNTA(A1323:G1323)=0,"",IF(G1323&lt;&gt;"",G1323,IF(B1323="","",IFERROR(IF(INDEX(pr_rate,MATCH(B1323,pr_code,0))="","",INDEX(pr_rate,MATCH(B1323,pr_code,0))),""))))</f>
        <v/>
      </c>
      <c r="L1323" s="65" t="str">
        <f>IF(COUNTA(A1323:G1323)=0,"",IF(AND(ISNUMBER(D1323),ISNUMBER(J1323)),ROUND(D1323*J1323*(1-N(F1323)),2),0))</f>
        <v/>
      </c>
      <c r="M1323" s="62" t="str">
        <f>IF(A1323="","",IFERROR(INDEX(fa_cname,MATCH(A1323,fa_num,0))&amp;"",""))</f>
        <v/>
      </c>
      <c r="N1323" s="59" t="str">
        <f>IF(COUNTA(A1323:G1323)=0,"",IF(A1323="","N° facture manquant",IF(ISNA(MATCH(A1323,fa_num,0)),"Facture inconnue",IF(AND(B1323&lt;&gt;"",ISNA(MATCH(B1323,pr_code,0))),"Article inconnu",IF(H1323="","Désignation manquante",IF(OR(NOT(ISNUMBER(D1323)),N(D1323)&lt;=0),"Quantité invalide",IF(J1323="","Prix manquant",IF(OR(NOT(ISNUMBER(J1323)),N(J1323)&lt;0),"Prix invalide",IF(OR(AND(F1323&lt;&gt;"",NOT(ISNUMBER(F1323))),N(F1323)&lt;0,N(F1323)&gt;1),"Remise invalide",IF(K1323="","Taux de TVA manquant",IF(NOT(ISNUMBER(K1323)),"Taux de TVA invalide",IF(COUNTIF(p_rates,K1323)=0,"Taux de TVA hors liste (Paramètres)",IF(N(O1323)&gt;25,"Au-delà de 25 lignes : non imprimée","OK")))))))))))))</f>
        <v/>
      </c>
      <c r="O1323" s="59" t="str">
        <f>IF(A1323="","",COUNTIF($A$6:A1323,A1323))</f>
        <v/>
      </c>
      <c r="P1323" s="62" t="str">
        <f>IF(A1323="","",A1323&amp;"|"&amp;O1323)</f>
        <v/>
      </c>
    </row>
    <row r="1324">
      <c r="A1324" s="60" t="n"/>
      <c r="B1324" s="63" t="n"/>
      <c r="C1324" s="63" t="n"/>
      <c r="D1324" s="67" t="n"/>
      <c r="E1324" s="68" t="n"/>
      <c r="F1324" s="69" t="n"/>
      <c r="G1324" s="70" t="n"/>
      <c r="H1324" s="62" t="str">
        <f>IF(COUNTA(A1324:G1324)=0,"",IF(C1324&lt;&gt;"",C1324,IF(B1324="","",IFERROR(INDEX(pr_des,MATCH(B1324,pr_code,0))&amp;"",""))))</f>
        <v/>
      </c>
      <c r="I1324" s="59" t="str">
        <f>IF(B1324="","",IFERROR(INDEX(pr_unit,MATCH(B1324,pr_code,0))&amp;"",""))</f>
        <v/>
      </c>
      <c r="J1324" s="65" t="str">
        <f>IF(COUNTA(A1324:G1324)=0,"",IF(E1324&lt;&gt;"",E1324,IF(B1324="","",IFERROR(IF(INDEX(pr_price,MATCH(B1324,pr_code,0))="","",INDEX(pr_price,MATCH(B1324,pr_code,0))),""))))</f>
        <v/>
      </c>
      <c r="K1324" s="71" t="str">
        <f>IF(COUNTA(A1324:G1324)=0,"",IF(G1324&lt;&gt;"",G1324,IF(B1324="","",IFERROR(IF(INDEX(pr_rate,MATCH(B1324,pr_code,0))="","",INDEX(pr_rate,MATCH(B1324,pr_code,0))),""))))</f>
        <v/>
      </c>
      <c r="L1324" s="65" t="str">
        <f>IF(COUNTA(A1324:G1324)=0,"",IF(AND(ISNUMBER(D1324),ISNUMBER(J1324)),ROUND(D1324*J1324*(1-N(F1324)),2),0))</f>
        <v/>
      </c>
      <c r="M1324" s="62" t="str">
        <f>IF(A1324="","",IFERROR(INDEX(fa_cname,MATCH(A1324,fa_num,0))&amp;"",""))</f>
        <v/>
      </c>
      <c r="N1324" s="59" t="str">
        <f>IF(COUNTA(A1324:G1324)=0,"",IF(A1324="","N° facture manquant",IF(ISNA(MATCH(A1324,fa_num,0)),"Facture inconnue",IF(AND(B1324&lt;&gt;"",ISNA(MATCH(B1324,pr_code,0))),"Article inconnu",IF(H1324="","Désignation manquante",IF(OR(NOT(ISNUMBER(D1324)),N(D1324)&lt;=0),"Quantité invalide",IF(J1324="","Prix manquant",IF(OR(NOT(ISNUMBER(J1324)),N(J1324)&lt;0),"Prix invalide",IF(OR(AND(F1324&lt;&gt;"",NOT(ISNUMBER(F1324))),N(F1324)&lt;0,N(F1324)&gt;1),"Remise invalide",IF(K1324="","Taux de TVA manquant",IF(NOT(ISNUMBER(K1324)),"Taux de TVA invalide",IF(COUNTIF(p_rates,K1324)=0,"Taux de TVA hors liste (Paramètres)",IF(N(O1324)&gt;25,"Au-delà de 25 lignes : non imprimée","OK")))))))))))))</f>
        <v/>
      </c>
      <c r="O1324" s="59" t="str">
        <f>IF(A1324="","",COUNTIF($A$6:A1324,A1324))</f>
        <v/>
      </c>
      <c r="P1324" s="62" t="str">
        <f>IF(A1324="","",A1324&amp;"|"&amp;O1324)</f>
        <v/>
      </c>
    </row>
    <row r="1325">
      <c r="A1325" s="60" t="n"/>
      <c r="B1325" s="63" t="n"/>
      <c r="C1325" s="63" t="n"/>
      <c r="D1325" s="67" t="n"/>
      <c r="E1325" s="68" t="n"/>
      <c r="F1325" s="69" t="n"/>
      <c r="G1325" s="70" t="n"/>
      <c r="H1325" s="62" t="str">
        <f>IF(COUNTA(A1325:G1325)=0,"",IF(C1325&lt;&gt;"",C1325,IF(B1325="","",IFERROR(INDEX(pr_des,MATCH(B1325,pr_code,0))&amp;"",""))))</f>
        <v/>
      </c>
      <c r="I1325" s="59" t="str">
        <f>IF(B1325="","",IFERROR(INDEX(pr_unit,MATCH(B1325,pr_code,0))&amp;"",""))</f>
        <v/>
      </c>
      <c r="J1325" s="65" t="str">
        <f>IF(COUNTA(A1325:G1325)=0,"",IF(E1325&lt;&gt;"",E1325,IF(B1325="","",IFERROR(IF(INDEX(pr_price,MATCH(B1325,pr_code,0))="","",INDEX(pr_price,MATCH(B1325,pr_code,0))),""))))</f>
        <v/>
      </c>
      <c r="K1325" s="71" t="str">
        <f>IF(COUNTA(A1325:G1325)=0,"",IF(G1325&lt;&gt;"",G1325,IF(B1325="","",IFERROR(IF(INDEX(pr_rate,MATCH(B1325,pr_code,0))="","",INDEX(pr_rate,MATCH(B1325,pr_code,0))),""))))</f>
        <v/>
      </c>
      <c r="L1325" s="65" t="str">
        <f>IF(COUNTA(A1325:G1325)=0,"",IF(AND(ISNUMBER(D1325),ISNUMBER(J1325)),ROUND(D1325*J1325*(1-N(F1325)),2),0))</f>
        <v/>
      </c>
      <c r="M1325" s="62" t="str">
        <f>IF(A1325="","",IFERROR(INDEX(fa_cname,MATCH(A1325,fa_num,0))&amp;"",""))</f>
        <v/>
      </c>
      <c r="N1325" s="59" t="str">
        <f>IF(COUNTA(A1325:G1325)=0,"",IF(A1325="","N° facture manquant",IF(ISNA(MATCH(A1325,fa_num,0)),"Facture inconnue",IF(AND(B1325&lt;&gt;"",ISNA(MATCH(B1325,pr_code,0))),"Article inconnu",IF(H1325="","Désignation manquante",IF(OR(NOT(ISNUMBER(D1325)),N(D1325)&lt;=0),"Quantité invalide",IF(J1325="","Prix manquant",IF(OR(NOT(ISNUMBER(J1325)),N(J1325)&lt;0),"Prix invalide",IF(OR(AND(F1325&lt;&gt;"",NOT(ISNUMBER(F1325))),N(F1325)&lt;0,N(F1325)&gt;1),"Remise invalide",IF(K1325="","Taux de TVA manquant",IF(NOT(ISNUMBER(K1325)),"Taux de TVA invalide",IF(COUNTIF(p_rates,K1325)=0,"Taux de TVA hors liste (Paramètres)",IF(N(O1325)&gt;25,"Au-delà de 25 lignes : non imprimée","OK")))))))))))))</f>
        <v/>
      </c>
      <c r="O1325" s="59" t="str">
        <f>IF(A1325="","",COUNTIF($A$6:A1325,A1325))</f>
        <v/>
      </c>
      <c r="P1325" s="62" t="str">
        <f>IF(A1325="","",A1325&amp;"|"&amp;O1325)</f>
        <v/>
      </c>
    </row>
    <row r="1326">
      <c r="A1326" s="60" t="n"/>
      <c r="B1326" s="63" t="n"/>
      <c r="C1326" s="63" t="n"/>
      <c r="D1326" s="67" t="n"/>
      <c r="E1326" s="68" t="n"/>
      <c r="F1326" s="69" t="n"/>
      <c r="G1326" s="70" t="n"/>
      <c r="H1326" s="62" t="str">
        <f>IF(COUNTA(A1326:G1326)=0,"",IF(C1326&lt;&gt;"",C1326,IF(B1326="","",IFERROR(INDEX(pr_des,MATCH(B1326,pr_code,0))&amp;"",""))))</f>
        <v/>
      </c>
      <c r="I1326" s="59" t="str">
        <f>IF(B1326="","",IFERROR(INDEX(pr_unit,MATCH(B1326,pr_code,0))&amp;"",""))</f>
        <v/>
      </c>
      <c r="J1326" s="65" t="str">
        <f>IF(COUNTA(A1326:G1326)=0,"",IF(E1326&lt;&gt;"",E1326,IF(B1326="","",IFERROR(IF(INDEX(pr_price,MATCH(B1326,pr_code,0))="","",INDEX(pr_price,MATCH(B1326,pr_code,0))),""))))</f>
        <v/>
      </c>
      <c r="K1326" s="71" t="str">
        <f>IF(COUNTA(A1326:G1326)=0,"",IF(G1326&lt;&gt;"",G1326,IF(B1326="","",IFERROR(IF(INDEX(pr_rate,MATCH(B1326,pr_code,0))="","",INDEX(pr_rate,MATCH(B1326,pr_code,0))),""))))</f>
        <v/>
      </c>
      <c r="L1326" s="65" t="str">
        <f>IF(COUNTA(A1326:G1326)=0,"",IF(AND(ISNUMBER(D1326),ISNUMBER(J1326)),ROUND(D1326*J1326*(1-N(F1326)),2),0))</f>
        <v/>
      </c>
      <c r="M1326" s="62" t="str">
        <f>IF(A1326="","",IFERROR(INDEX(fa_cname,MATCH(A1326,fa_num,0))&amp;"",""))</f>
        <v/>
      </c>
      <c r="N1326" s="59" t="str">
        <f>IF(COUNTA(A1326:G1326)=0,"",IF(A1326="","N° facture manquant",IF(ISNA(MATCH(A1326,fa_num,0)),"Facture inconnue",IF(AND(B1326&lt;&gt;"",ISNA(MATCH(B1326,pr_code,0))),"Article inconnu",IF(H1326="","Désignation manquante",IF(OR(NOT(ISNUMBER(D1326)),N(D1326)&lt;=0),"Quantité invalide",IF(J1326="","Prix manquant",IF(OR(NOT(ISNUMBER(J1326)),N(J1326)&lt;0),"Prix invalide",IF(OR(AND(F1326&lt;&gt;"",NOT(ISNUMBER(F1326))),N(F1326)&lt;0,N(F1326)&gt;1),"Remise invalide",IF(K1326="","Taux de TVA manquant",IF(NOT(ISNUMBER(K1326)),"Taux de TVA invalide",IF(COUNTIF(p_rates,K1326)=0,"Taux de TVA hors liste (Paramètres)",IF(N(O1326)&gt;25,"Au-delà de 25 lignes : non imprimée","OK")))))))))))))</f>
        <v/>
      </c>
      <c r="O1326" s="59" t="str">
        <f>IF(A1326="","",COUNTIF($A$6:A1326,A1326))</f>
        <v/>
      </c>
      <c r="P1326" s="62" t="str">
        <f>IF(A1326="","",A1326&amp;"|"&amp;O1326)</f>
        <v/>
      </c>
    </row>
    <row r="1327">
      <c r="A1327" s="60" t="n"/>
      <c r="B1327" s="63" t="n"/>
      <c r="C1327" s="63" t="n"/>
      <c r="D1327" s="67" t="n"/>
      <c r="E1327" s="68" t="n"/>
      <c r="F1327" s="69" t="n"/>
      <c r="G1327" s="70" t="n"/>
      <c r="H1327" s="62" t="str">
        <f>IF(COUNTA(A1327:G1327)=0,"",IF(C1327&lt;&gt;"",C1327,IF(B1327="","",IFERROR(INDEX(pr_des,MATCH(B1327,pr_code,0))&amp;"",""))))</f>
        <v/>
      </c>
      <c r="I1327" s="59" t="str">
        <f>IF(B1327="","",IFERROR(INDEX(pr_unit,MATCH(B1327,pr_code,0))&amp;"",""))</f>
        <v/>
      </c>
      <c r="J1327" s="65" t="str">
        <f>IF(COUNTA(A1327:G1327)=0,"",IF(E1327&lt;&gt;"",E1327,IF(B1327="","",IFERROR(IF(INDEX(pr_price,MATCH(B1327,pr_code,0))="","",INDEX(pr_price,MATCH(B1327,pr_code,0))),""))))</f>
        <v/>
      </c>
      <c r="K1327" s="71" t="str">
        <f>IF(COUNTA(A1327:G1327)=0,"",IF(G1327&lt;&gt;"",G1327,IF(B1327="","",IFERROR(IF(INDEX(pr_rate,MATCH(B1327,pr_code,0))="","",INDEX(pr_rate,MATCH(B1327,pr_code,0))),""))))</f>
        <v/>
      </c>
      <c r="L1327" s="65" t="str">
        <f>IF(COUNTA(A1327:G1327)=0,"",IF(AND(ISNUMBER(D1327),ISNUMBER(J1327)),ROUND(D1327*J1327*(1-N(F1327)),2),0))</f>
        <v/>
      </c>
      <c r="M1327" s="62" t="str">
        <f>IF(A1327="","",IFERROR(INDEX(fa_cname,MATCH(A1327,fa_num,0))&amp;"",""))</f>
        <v/>
      </c>
      <c r="N1327" s="59" t="str">
        <f>IF(COUNTA(A1327:G1327)=0,"",IF(A1327="","N° facture manquant",IF(ISNA(MATCH(A1327,fa_num,0)),"Facture inconnue",IF(AND(B1327&lt;&gt;"",ISNA(MATCH(B1327,pr_code,0))),"Article inconnu",IF(H1327="","Désignation manquante",IF(OR(NOT(ISNUMBER(D1327)),N(D1327)&lt;=0),"Quantité invalide",IF(J1327="","Prix manquant",IF(OR(NOT(ISNUMBER(J1327)),N(J1327)&lt;0),"Prix invalide",IF(OR(AND(F1327&lt;&gt;"",NOT(ISNUMBER(F1327))),N(F1327)&lt;0,N(F1327)&gt;1),"Remise invalide",IF(K1327="","Taux de TVA manquant",IF(NOT(ISNUMBER(K1327)),"Taux de TVA invalide",IF(COUNTIF(p_rates,K1327)=0,"Taux de TVA hors liste (Paramètres)",IF(N(O1327)&gt;25,"Au-delà de 25 lignes : non imprimée","OK")))))))))))))</f>
        <v/>
      </c>
      <c r="O1327" s="59" t="str">
        <f>IF(A1327="","",COUNTIF($A$6:A1327,A1327))</f>
        <v/>
      </c>
      <c r="P1327" s="62" t="str">
        <f>IF(A1327="","",A1327&amp;"|"&amp;O1327)</f>
        <v/>
      </c>
    </row>
    <row r="1328">
      <c r="A1328" s="60" t="n"/>
      <c r="B1328" s="63" t="n"/>
      <c r="C1328" s="63" t="n"/>
      <c r="D1328" s="67" t="n"/>
      <c r="E1328" s="68" t="n"/>
      <c r="F1328" s="69" t="n"/>
      <c r="G1328" s="70" t="n"/>
      <c r="H1328" s="62" t="str">
        <f>IF(COUNTA(A1328:G1328)=0,"",IF(C1328&lt;&gt;"",C1328,IF(B1328="","",IFERROR(INDEX(pr_des,MATCH(B1328,pr_code,0))&amp;"",""))))</f>
        <v/>
      </c>
      <c r="I1328" s="59" t="str">
        <f>IF(B1328="","",IFERROR(INDEX(pr_unit,MATCH(B1328,pr_code,0))&amp;"",""))</f>
        <v/>
      </c>
      <c r="J1328" s="65" t="str">
        <f>IF(COUNTA(A1328:G1328)=0,"",IF(E1328&lt;&gt;"",E1328,IF(B1328="","",IFERROR(IF(INDEX(pr_price,MATCH(B1328,pr_code,0))="","",INDEX(pr_price,MATCH(B1328,pr_code,0))),""))))</f>
        <v/>
      </c>
      <c r="K1328" s="71" t="str">
        <f>IF(COUNTA(A1328:G1328)=0,"",IF(G1328&lt;&gt;"",G1328,IF(B1328="","",IFERROR(IF(INDEX(pr_rate,MATCH(B1328,pr_code,0))="","",INDEX(pr_rate,MATCH(B1328,pr_code,0))),""))))</f>
        <v/>
      </c>
      <c r="L1328" s="65" t="str">
        <f>IF(COUNTA(A1328:G1328)=0,"",IF(AND(ISNUMBER(D1328),ISNUMBER(J1328)),ROUND(D1328*J1328*(1-N(F1328)),2),0))</f>
        <v/>
      </c>
      <c r="M1328" s="62" t="str">
        <f>IF(A1328="","",IFERROR(INDEX(fa_cname,MATCH(A1328,fa_num,0))&amp;"",""))</f>
        <v/>
      </c>
      <c r="N1328" s="59" t="str">
        <f>IF(COUNTA(A1328:G1328)=0,"",IF(A1328="","N° facture manquant",IF(ISNA(MATCH(A1328,fa_num,0)),"Facture inconnue",IF(AND(B1328&lt;&gt;"",ISNA(MATCH(B1328,pr_code,0))),"Article inconnu",IF(H1328="","Désignation manquante",IF(OR(NOT(ISNUMBER(D1328)),N(D1328)&lt;=0),"Quantité invalide",IF(J1328="","Prix manquant",IF(OR(NOT(ISNUMBER(J1328)),N(J1328)&lt;0),"Prix invalide",IF(OR(AND(F1328&lt;&gt;"",NOT(ISNUMBER(F1328))),N(F1328)&lt;0,N(F1328)&gt;1),"Remise invalide",IF(K1328="","Taux de TVA manquant",IF(NOT(ISNUMBER(K1328)),"Taux de TVA invalide",IF(COUNTIF(p_rates,K1328)=0,"Taux de TVA hors liste (Paramètres)",IF(N(O1328)&gt;25,"Au-delà de 25 lignes : non imprimée","OK")))))))))))))</f>
        <v/>
      </c>
      <c r="O1328" s="59" t="str">
        <f>IF(A1328="","",COUNTIF($A$6:A1328,A1328))</f>
        <v/>
      </c>
      <c r="P1328" s="62" t="str">
        <f>IF(A1328="","",A1328&amp;"|"&amp;O1328)</f>
        <v/>
      </c>
    </row>
    <row r="1329">
      <c r="A1329" s="60" t="n"/>
      <c r="B1329" s="63" t="n"/>
      <c r="C1329" s="63" t="n"/>
      <c r="D1329" s="67" t="n"/>
      <c r="E1329" s="68" t="n"/>
      <c r="F1329" s="69" t="n"/>
      <c r="G1329" s="70" t="n"/>
      <c r="H1329" s="62" t="str">
        <f>IF(COUNTA(A1329:G1329)=0,"",IF(C1329&lt;&gt;"",C1329,IF(B1329="","",IFERROR(INDEX(pr_des,MATCH(B1329,pr_code,0))&amp;"",""))))</f>
        <v/>
      </c>
      <c r="I1329" s="59" t="str">
        <f>IF(B1329="","",IFERROR(INDEX(pr_unit,MATCH(B1329,pr_code,0))&amp;"",""))</f>
        <v/>
      </c>
      <c r="J1329" s="65" t="str">
        <f>IF(COUNTA(A1329:G1329)=0,"",IF(E1329&lt;&gt;"",E1329,IF(B1329="","",IFERROR(IF(INDEX(pr_price,MATCH(B1329,pr_code,0))="","",INDEX(pr_price,MATCH(B1329,pr_code,0))),""))))</f>
        <v/>
      </c>
      <c r="K1329" s="71" t="str">
        <f>IF(COUNTA(A1329:G1329)=0,"",IF(G1329&lt;&gt;"",G1329,IF(B1329="","",IFERROR(IF(INDEX(pr_rate,MATCH(B1329,pr_code,0))="","",INDEX(pr_rate,MATCH(B1329,pr_code,0))),""))))</f>
        <v/>
      </c>
      <c r="L1329" s="65" t="str">
        <f>IF(COUNTA(A1329:G1329)=0,"",IF(AND(ISNUMBER(D1329),ISNUMBER(J1329)),ROUND(D1329*J1329*(1-N(F1329)),2),0))</f>
        <v/>
      </c>
      <c r="M1329" s="62" t="str">
        <f>IF(A1329="","",IFERROR(INDEX(fa_cname,MATCH(A1329,fa_num,0))&amp;"",""))</f>
        <v/>
      </c>
      <c r="N1329" s="59" t="str">
        <f>IF(COUNTA(A1329:G1329)=0,"",IF(A1329="","N° facture manquant",IF(ISNA(MATCH(A1329,fa_num,0)),"Facture inconnue",IF(AND(B1329&lt;&gt;"",ISNA(MATCH(B1329,pr_code,0))),"Article inconnu",IF(H1329="","Désignation manquante",IF(OR(NOT(ISNUMBER(D1329)),N(D1329)&lt;=0),"Quantité invalide",IF(J1329="","Prix manquant",IF(OR(NOT(ISNUMBER(J1329)),N(J1329)&lt;0),"Prix invalide",IF(OR(AND(F1329&lt;&gt;"",NOT(ISNUMBER(F1329))),N(F1329)&lt;0,N(F1329)&gt;1),"Remise invalide",IF(K1329="","Taux de TVA manquant",IF(NOT(ISNUMBER(K1329)),"Taux de TVA invalide",IF(COUNTIF(p_rates,K1329)=0,"Taux de TVA hors liste (Paramètres)",IF(N(O1329)&gt;25,"Au-delà de 25 lignes : non imprimée","OK")))))))))))))</f>
        <v/>
      </c>
      <c r="O1329" s="59" t="str">
        <f>IF(A1329="","",COUNTIF($A$6:A1329,A1329))</f>
        <v/>
      </c>
      <c r="P1329" s="62" t="str">
        <f>IF(A1329="","",A1329&amp;"|"&amp;O1329)</f>
        <v/>
      </c>
    </row>
    <row r="1330">
      <c r="A1330" s="60" t="n"/>
      <c r="B1330" s="63" t="n"/>
      <c r="C1330" s="63" t="n"/>
      <c r="D1330" s="67" t="n"/>
      <c r="E1330" s="68" t="n"/>
      <c r="F1330" s="69" t="n"/>
      <c r="G1330" s="70" t="n"/>
      <c r="H1330" s="62" t="str">
        <f>IF(COUNTA(A1330:G1330)=0,"",IF(C1330&lt;&gt;"",C1330,IF(B1330="","",IFERROR(INDEX(pr_des,MATCH(B1330,pr_code,0))&amp;"",""))))</f>
        <v/>
      </c>
      <c r="I1330" s="59" t="str">
        <f>IF(B1330="","",IFERROR(INDEX(pr_unit,MATCH(B1330,pr_code,0))&amp;"",""))</f>
        <v/>
      </c>
      <c r="J1330" s="65" t="str">
        <f>IF(COUNTA(A1330:G1330)=0,"",IF(E1330&lt;&gt;"",E1330,IF(B1330="","",IFERROR(IF(INDEX(pr_price,MATCH(B1330,pr_code,0))="","",INDEX(pr_price,MATCH(B1330,pr_code,0))),""))))</f>
        <v/>
      </c>
      <c r="K1330" s="71" t="str">
        <f>IF(COUNTA(A1330:G1330)=0,"",IF(G1330&lt;&gt;"",G1330,IF(B1330="","",IFERROR(IF(INDEX(pr_rate,MATCH(B1330,pr_code,0))="","",INDEX(pr_rate,MATCH(B1330,pr_code,0))),""))))</f>
        <v/>
      </c>
      <c r="L1330" s="65" t="str">
        <f>IF(COUNTA(A1330:G1330)=0,"",IF(AND(ISNUMBER(D1330),ISNUMBER(J1330)),ROUND(D1330*J1330*(1-N(F1330)),2),0))</f>
        <v/>
      </c>
      <c r="M1330" s="62" t="str">
        <f>IF(A1330="","",IFERROR(INDEX(fa_cname,MATCH(A1330,fa_num,0))&amp;"",""))</f>
        <v/>
      </c>
      <c r="N1330" s="59" t="str">
        <f>IF(COUNTA(A1330:G1330)=0,"",IF(A1330="","N° facture manquant",IF(ISNA(MATCH(A1330,fa_num,0)),"Facture inconnue",IF(AND(B1330&lt;&gt;"",ISNA(MATCH(B1330,pr_code,0))),"Article inconnu",IF(H1330="","Désignation manquante",IF(OR(NOT(ISNUMBER(D1330)),N(D1330)&lt;=0),"Quantité invalide",IF(J1330="","Prix manquant",IF(OR(NOT(ISNUMBER(J1330)),N(J1330)&lt;0),"Prix invalide",IF(OR(AND(F1330&lt;&gt;"",NOT(ISNUMBER(F1330))),N(F1330)&lt;0,N(F1330)&gt;1),"Remise invalide",IF(K1330="","Taux de TVA manquant",IF(NOT(ISNUMBER(K1330)),"Taux de TVA invalide",IF(COUNTIF(p_rates,K1330)=0,"Taux de TVA hors liste (Paramètres)",IF(N(O1330)&gt;25,"Au-delà de 25 lignes : non imprimée","OK")))))))))))))</f>
        <v/>
      </c>
      <c r="O1330" s="59" t="str">
        <f>IF(A1330="","",COUNTIF($A$6:A1330,A1330))</f>
        <v/>
      </c>
      <c r="P1330" s="62" t="str">
        <f>IF(A1330="","",A1330&amp;"|"&amp;O1330)</f>
        <v/>
      </c>
    </row>
    <row r="1331">
      <c r="A1331" s="60" t="n"/>
      <c r="B1331" s="63" t="n"/>
      <c r="C1331" s="63" t="n"/>
      <c r="D1331" s="67" t="n"/>
      <c r="E1331" s="68" t="n"/>
      <c r="F1331" s="69" t="n"/>
      <c r="G1331" s="70" t="n"/>
      <c r="H1331" s="62" t="str">
        <f>IF(COUNTA(A1331:G1331)=0,"",IF(C1331&lt;&gt;"",C1331,IF(B1331="","",IFERROR(INDEX(pr_des,MATCH(B1331,pr_code,0))&amp;"",""))))</f>
        <v/>
      </c>
      <c r="I1331" s="59" t="str">
        <f>IF(B1331="","",IFERROR(INDEX(pr_unit,MATCH(B1331,pr_code,0))&amp;"",""))</f>
        <v/>
      </c>
      <c r="J1331" s="65" t="str">
        <f>IF(COUNTA(A1331:G1331)=0,"",IF(E1331&lt;&gt;"",E1331,IF(B1331="","",IFERROR(IF(INDEX(pr_price,MATCH(B1331,pr_code,0))="","",INDEX(pr_price,MATCH(B1331,pr_code,0))),""))))</f>
        <v/>
      </c>
      <c r="K1331" s="71" t="str">
        <f>IF(COUNTA(A1331:G1331)=0,"",IF(G1331&lt;&gt;"",G1331,IF(B1331="","",IFERROR(IF(INDEX(pr_rate,MATCH(B1331,pr_code,0))="","",INDEX(pr_rate,MATCH(B1331,pr_code,0))),""))))</f>
        <v/>
      </c>
      <c r="L1331" s="65" t="str">
        <f>IF(COUNTA(A1331:G1331)=0,"",IF(AND(ISNUMBER(D1331),ISNUMBER(J1331)),ROUND(D1331*J1331*(1-N(F1331)),2),0))</f>
        <v/>
      </c>
      <c r="M1331" s="62" t="str">
        <f>IF(A1331="","",IFERROR(INDEX(fa_cname,MATCH(A1331,fa_num,0))&amp;"",""))</f>
        <v/>
      </c>
      <c r="N1331" s="59" t="str">
        <f>IF(COUNTA(A1331:G1331)=0,"",IF(A1331="","N° facture manquant",IF(ISNA(MATCH(A1331,fa_num,0)),"Facture inconnue",IF(AND(B1331&lt;&gt;"",ISNA(MATCH(B1331,pr_code,0))),"Article inconnu",IF(H1331="","Désignation manquante",IF(OR(NOT(ISNUMBER(D1331)),N(D1331)&lt;=0),"Quantité invalide",IF(J1331="","Prix manquant",IF(OR(NOT(ISNUMBER(J1331)),N(J1331)&lt;0),"Prix invalide",IF(OR(AND(F1331&lt;&gt;"",NOT(ISNUMBER(F1331))),N(F1331)&lt;0,N(F1331)&gt;1),"Remise invalide",IF(K1331="","Taux de TVA manquant",IF(NOT(ISNUMBER(K1331)),"Taux de TVA invalide",IF(COUNTIF(p_rates,K1331)=0,"Taux de TVA hors liste (Paramètres)",IF(N(O1331)&gt;25,"Au-delà de 25 lignes : non imprimée","OK")))))))))))))</f>
        <v/>
      </c>
      <c r="O1331" s="59" t="str">
        <f>IF(A1331="","",COUNTIF($A$6:A1331,A1331))</f>
        <v/>
      </c>
      <c r="P1331" s="62" t="str">
        <f>IF(A1331="","",A1331&amp;"|"&amp;O1331)</f>
        <v/>
      </c>
    </row>
    <row r="1332">
      <c r="A1332" s="60" t="n"/>
      <c r="B1332" s="63" t="n"/>
      <c r="C1332" s="63" t="n"/>
      <c r="D1332" s="67" t="n"/>
      <c r="E1332" s="68" t="n"/>
      <c r="F1332" s="69" t="n"/>
      <c r="G1332" s="70" t="n"/>
      <c r="H1332" s="62" t="str">
        <f>IF(COUNTA(A1332:G1332)=0,"",IF(C1332&lt;&gt;"",C1332,IF(B1332="","",IFERROR(INDEX(pr_des,MATCH(B1332,pr_code,0))&amp;"",""))))</f>
        <v/>
      </c>
      <c r="I1332" s="59" t="str">
        <f>IF(B1332="","",IFERROR(INDEX(pr_unit,MATCH(B1332,pr_code,0))&amp;"",""))</f>
        <v/>
      </c>
      <c r="J1332" s="65" t="str">
        <f>IF(COUNTA(A1332:G1332)=0,"",IF(E1332&lt;&gt;"",E1332,IF(B1332="","",IFERROR(IF(INDEX(pr_price,MATCH(B1332,pr_code,0))="","",INDEX(pr_price,MATCH(B1332,pr_code,0))),""))))</f>
        <v/>
      </c>
      <c r="K1332" s="71" t="str">
        <f>IF(COUNTA(A1332:G1332)=0,"",IF(G1332&lt;&gt;"",G1332,IF(B1332="","",IFERROR(IF(INDEX(pr_rate,MATCH(B1332,pr_code,0))="","",INDEX(pr_rate,MATCH(B1332,pr_code,0))),""))))</f>
        <v/>
      </c>
      <c r="L1332" s="65" t="str">
        <f>IF(COUNTA(A1332:G1332)=0,"",IF(AND(ISNUMBER(D1332),ISNUMBER(J1332)),ROUND(D1332*J1332*(1-N(F1332)),2),0))</f>
        <v/>
      </c>
      <c r="M1332" s="62" t="str">
        <f>IF(A1332="","",IFERROR(INDEX(fa_cname,MATCH(A1332,fa_num,0))&amp;"",""))</f>
        <v/>
      </c>
      <c r="N1332" s="59" t="str">
        <f>IF(COUNTA(A1332:G1332)=0,"",IF(A1332="","N° facture manquant",IF(ISNA(MATCH(A1332,fa_num,0)),"Facture inconnue",IF(AND(B1332&lt;&gt;"",ISNA(MATCH(B1332,pr_code,0))),"Article inconnu",IF(H1332="","Désignation manquante",IF(OR(NOT(ISNUMBER(D1332)),N(D1332)&lt;=0),"Quantité invalide",IF(J1332="","Prix manquant",IF(OR(NOT(ISNUMBER(J1332)),N(J1332)&lt;0),"Prix invalide",IF(OR(AND(F1332&lt;&gt;"",NOT(ISNUMBER(F1332))),N(F1332)&lt;0,N(F1332)&gt;1),"Remise invalide",IF(K1332="","Taux de TVA manquant",IF(NOT(ISNUMBER(K1332)),"Taux de TVA invalide",IF(COUNTIF(p_rates,K1332)=0,"Taux de TVA hors liste (Paramètres)",IF(N(O1332)&gt;25,"Au-delà de 25 lignes : non imprimée","OK")))))))))))))</f>
        <v/>
      </c>
      <c r="O1332" s="59" t="str">
        <f>IF(A1332="","",COUNTIF($A$6:A1332,A1332))</f>
        <v/>
      </c>
      <c r="P1332" s="62" t="str">
        <f>IF(A1332="","",A1332&amp;"|"&amp;O1332)</f>
        <v/>
      </c>
    </row>
    <row r="1333">
      <c r="A1333" s="60" t="n"/>
      <c r="B1333" s="63" t="n"/>
      <c r="C1333" s="63" t="n"/>
      <c r="D1333" s="67" t="n"/>
      <c r="E1333" s="68" t="n"/>
      <c r="F1333" s="69" t="n"/>
      <c r="G1333" s="70" t="n"/>
      <c r="H1333" s="62" t="str">
        <f>IF(COUNTA(A1333:G1333)=0,"",IF(C1333&lt;&gt;"",C1333,IF(B1333="","",IFERROR(INDEX(pr_des,MATCH(B1333,pr_code,0))&amp;"",""))))</f>
        <v/>
      </c>
      <c r="I1333" s="59" t="str">
        <f>IF(B1333="","",IFERROR(INDEX(pr_unit,MATCH(B1333,pr_code,0))&amp;"",""))</f>
        <v/>
      </c>
      <c r="J1333" s="65" t="str">
        <f>IF(COUNTA(A1333:G1333)=0,"",IF(E1333&lt;&gt;"",E1333,IF(B1333="","",IFERROR(IF(INDEX(pr_price,MATCH(B1333,pr_code,0))="","",INDEX(pr_price,MATCH(B1333,pr_code,0))),""))))</f>
        <v/>
      </c>
      <c r="K1333" s="71" t="str">
        <f>IF(COUNTA(A1333:G1333)=0,"",IF(G1333&lt;&gt;"",G1333,IF(B1333="","",IFERROR(IF(INDEX(pr_rate,MATCH(B1333,pr_code,0))="","",INDEX(pr_rate,MATCH(B1333,pr_code,0))),""))))</f>
        <v/>
      </c>
      <c r="L1333" s="65" t="str">
        <f>IF(COUNTA(A1333:G1333)=0,"",IF(AND(ISNUMBER(D1333),ISNUMBER(J1333)),ROUND(D1333*J1333*(1-N(F1333)),2),0))</f>
        <v/>
      </c>
      <c r="M1333" s="62" t="str">
        <f>IF(A1333="","",IFERROR(INDEX(fa_cname,MATCH(A1333,fa_num,0))&amp;"",""))</f>
        <v/>
      </c>
      <c r="N1333" s="59" t="str">
        <f>IF(COUNTA(A1333:G1333)=0,"",IF(A1333="","N° facture manquant",IF(ISNA(MATCH(A1333,fa_num,0)),"Facture inconnue",IF(AND(B1333&lt;&gt;"",ISNA(MATCH(B1333,pr_code,0))),"Article inconnu",IF(H1333="","Désignation manquante",IF(OR(NOT(ISNUMBER(D1333)),N(D1333)&lt;=0),"Quantité invalide",IF(J1333="","Prix manquant",IF(OR(NOT(ISNUMBER(J1333)),N(J1333)&lt;0),"Prix invalide",IF(OR(AND(F1333&lt;&gt;"",NOT(ISNUMBER(F1333))),N(F1333)&lt;0,N(F1333)&gt;1),"Remise invalide",IF(K1333="","Taux de TVA manquant",IF(NOT(ISNUMBER(K1333)),"Taux de TVA invalide",IF(COUNTIF(p_rates,K1333)=0,"Taux de TVA hors liste (Paramètres)",IF(N(O1333)&gt;25,"Au-delà de 25 lignes : non imprimée","OK")))))))))))))</f>
        <v/>
      </c>
      <c r="O1333" s="59" t="str">
        <f>IF(A1333="","",COUNTIF($A$6:A1333,A1333))</f>
        <v/>
      </c>
      <c r="P1333" s="62" t="str">
        <f>IF(A1333="","",A1333&amp;"|"&amp;O1333)</f>
        <v/>
      </c>
    </row>
    <row r="1334">
      <c r="A1334" s="60" t="n"/>
      <c r="B1334" s="63" t="n"/>
      <c r="C1334" s="63" t="n"/>
      <c r="D1334" s="67" t="n"/>
      <c r="E1334" s="68" t="n"/>
      <c r="F1334" s="69" t="n"/>
      <c r="G1334" s="70" t="n"/>
      <c r="H1334" s="62" t="str">
        <f>IF(COUNTA(A1334:G1334)=0,"",IF(C1334&lt;&gt;"",C1334,IF(B1334="","",IFERROR(INDEX(pr_des,MATCH(B1334,pr_code,0))&amp;"",""))))</f>
        <v/>
      </c>
      <c r="I1334" s="59" t="str">
        <f>IF(B1334="","",IFERROR(INDEX(pr_unit,MATCH(B1334,pr_code,0))&amp;"",""))</f>
        <v/>
      </c>
      <c r="J1334" s="65" t="str">
        <f>IF(COUNTA(A1334:G1334)=0,"",IF(E1334&lt;&gt;"",E1334,IF(B1334="","",IFERROR(IF(INDEX(pr_price,MATCH(B1334,pr_code,0))="","",INDEX(pr_price,MATCH(B1334,pr_code,0))),""))))</f>
        <v/>
      </c>
      <c r="K1334" s="71" t="str">
        <f>IF(COUNTA(A1334:G1334)=0,"",IF(G1334&lt;&gt;"",G1334,IF(B1334="","",IFERROR(IF(INDEX(pr_rate,MATCH(B1334,pr_code,0))="","",INDEX(pr_rate,MATCH(B1334,pr_code,0))),""))))</f>
        <v/>
      </c>
      <c r="L1334" s="65" t="str">
        <f>IF(COUNTA(A1334:G1334)=0,"",IF(AND(ISNUMBER(D1334),ISNUMBER(J1334)),ROUND(D1334*J1334*(1-N(F1334)),2),0))</f>
        <v/>
      </c>
      <c r="M1334" s="62" t="str">
        <f>IF(A1334="","",IFERROR(INDEX(fa_cname,MATCH(A1334,fa_num,0))&amp;"",""))</f>
        <v/>
      </c>
      <c r="N1334" s="59" t="str">
        <f>IF(COUNTA(A1334:G1334)=0,"",IF(A1334="","N° facture manquant",IF(ISNA(MATCH(A1334,fa_num,0)),"Facture inconnue",IF(AND(B1334&lt;&gt;"",ISNA(MATCH(B1334,pr_code,0))),"Article inconnu",IF(H1334="","Désignation manquante",IF(OR(NOT(ISNUMBER(D1334)),N(D1334)&lt;=0),"Quantité invalide",IF(J1334="","Prix manquant",IF(OR(NOT(ISNUMBER(J1334)),N(J1334)&lt;0),"Prix invalide",IF(OR(AND(F1334&lt;&gt;"",NOT(ISNUMBER(F1334))),N(F1334)&lt;0,N(F1334)&gt;1),"Remise invalide",IF(K1334="","Taux de TVA manquant",IF(NOT(ISNUMBER(K1334)),"Taux de TVA invalide",IF(COUNTIF(p_rates,K1334)=0,"Taux de TVA hors liste (Paramètres)",IF(N(O1334)&gt;25,"Au-delà de 25 lignes : non imprimée","OK")))))))))))))</f>
        <v/>
      </c>
      <c r="O1334" s="59" t="str">
        <f>IF(A1334="","",COUNTIF($A$6:A1334,A1334))</f>
        <v/>
      </c>
      <c r="P1334" s="62" t="str">
        <f>IF(A1334="","",A1334&amp;"|"&amp;O1334)</f>
        <v/>
      </c>
    </row>
    <row r="1335">
      <c r="A1335" s="60" t="n"/>
      <c r="B1335" s="63" t="n"/>
      <c r="C1335" s="63" t="n"/>
      <c r="D1335" s="67" t="n"/>
      <c r="E1335" s="68" t="n"/>
      <c r="F1335" s="69" t="n"/>
      <c r="G1335" s="70" t="n"/>
      <c r="H1335" s="62" t="str">
        <f>IF(COUNTA(A1335:G1335)=0,"",IF(C1335&lt;&gt;"",C1335,IF(B1335="","",IFERROR(INDEX(pr_des,MATCH(B1335,pr_code,0))&amp;"",""))))</f>
        <v/>
      </c>
      <c r="I1335" s="59" t="str">
        <f>IF(B1335="","",IFERROR(INDEX(pr_unit,MATCH(B1335,pr_code,0))&amp;"",""))</f>
        <v/>
      </c>
      <c r="J1335" s="65" t="str">
        <f>IF(COUNTA(A1335:G1335)=0,"",IF(E1335&lt;&gt;"",E1335,IF(B1335="","",IFERROR(IF(INDEX(pr_price,MATCH(B1335,pr_code,0))="","",INDEX(pr_price,MATCH(B1335,pr_code,0))),""))))</f>
        <v/>
      </c>
      <c r="K1335" s="71" t="str">
        <f>IF(COUNTA(A1335:G1335)=0,"",IF(G1335&lt;&gt;"",G1335,IF(B1335="","",IFERROR(IF(INDEX(pr_rate,MATCH(B1335,pr_code,0))="","",INDEX(pr_rate,MATCH(B1335,pr_code,0))),""))))</f>
        <v/>
      </c>
      <c r="L1335" s="65" t="str">
        <f>IF(COUNTA(A1335:G1335)=0,"",IF(AND(ISNUMBER(D1335),ISNUMBER(J1335)),ROUND(D1335*J1335*(1-N(F1335)),2),0))</f>
        <v/>
      </c>
      <c r="M1335" s="62" t="str">
        <f>IF(A1335="","",IFERROR(INDEX(fa_cname,MATCH(A1335,fa_num,0))&amp;"",""))</f>
        <v/>
      </c>
      <c r="N1335" s="59" t="str">
        <f>IF(COUNTA(A1335:G1335)=0,"",IF(A1335="","N° facture manquant",IF(ISNA(MATCH(A1335,fa_num,0)),"Facture inconnue",IF(AND(B1335&lt;&gt;"",ISNA(MATCH(B1335,pr_code,0))),"Article inconnu",IF(H1335="","Désignation manquante",IF(OR(NOT(ISNUMBER(D1335)),N(D1335)&lt;=0),"Quantité invalide",IF(J1335="","Prix manquant",IF(OR(NOT(ISNUMBER(J1335)),N(J1335)&lt;0),"Prix invalide",IF(OR(AND(F1335&lt;&gt;"",NOT(ISNUMBER(F1335))),N(F1335)&lt;0,N(F1335)&gt;1),"Remise invalide",IF(K1335="","Taux de TVA manquant",IF(NOT(ISNUMBER(K1335)),"Taux de TVA invalide",IF(COUNTIF(p_rates,K1335)=0,"Taux de TVA hors liste (Paramètres)",IF(N(O1335)&gt;25,"Au-delà de 25 lignes : non imprimée","OK")))))))))))))</f>
        <v/>
      </c>
      <c r="O1335" s="59" t="str">
        <f>IF(A1335="","",COUNTIF($A$6:A1335,A1335))</f>
        <v/>
      </c>
      <c r="P1335" s="62" t="str">
        <f>IF(A1335="","",A1335&amp;"|"&amp;O1335)</f>
        <v/>
      </c>
    </row>
    <row r="1336">
      <c r="A1336" s="60" t="n"/>
      <c r="B1336" s="63" t="n"/>
      <c r="C1336" s="63" t="n"/>
      <c r="D1336" s="67" t="n"/>
      <c r="E1336" s="68" t="n"/>
      <c r="F1336" s="69" t="n"/>
      <c r="G1336" s="70" t="n"/>
      <c r="H1336" s="62" t="str">
        <f>IF(COUNTA(A1336:G1336)=0,"",IF(C1336&lt;&gt;"",C1336,IF(B1336="","",IFERROR(INDEX(pr_des,MATCH(B1336,pr_code,0))&amp;"",""))))</f>
        <v/>
      </c>
      <c r="I1336" s="59" t="str">
        <f>IF(B1336="","",IFERROR(INDEX(pr_unit,MATCH(B1336,pr_code,0))&amp;"",""))</f>
        <v/>
      </c>
      <c r="J1336" s="65" t="str">
        <f>IF(COUNTA(A1336:G1336)=0,"",IF(E1336&lt;&gt;"",E1336,IF(B1336="","",IFERROR(IF(INDEX(pr_price,MATCH(B1336,pr_code,0))="","",INDEX(pr_price,MATCH(B1336,pr_code,0))),""))))</f>
        <v/>
      </c>
      <c r="K1336" s="71" t="str">
        <f>IF(COUNTA(A1336:G1336)=0,"",IF(G1336&lt;&gt;"",G1336,IF(B1336="","",IFERROR(IF(INDEX(pr_rate,MATCH(B1336,pr_code,0))="","",INDEX(pr_rate,MATCH(B1336,pr_code,0))),""))))</f>
        <v/>
      </c>
      <c r="L1336" s="65" t="str">
        <f>IF(COUNTA(A1336:G1336)=0,"",IF(AND(ISNUMBER(D1336),ISNUMBER(J1336)),ROUND(D1336*J1336*(1-N(F1336)),2),0))</f>
        <v/>
      </c>
      <c r="M1336" s="62" t="str">
        <f>IF(A1336="","",IFERROR(INDEX(fa_cname,MATCH(A1336,fa_num,0))&amp;"",""))</f>
        <v/>
      </c>
      <c r="N1336" s="59" t="str">
        <f>IF(COUNTA(A1336:G1336)=0,"",IF(A1336="","N° facture manquant",IF(ISNA(MATCH(A1336,fa_num,0)),"Facture inconnue",IF(AND(B1336&lt;&gt;"",ISNA(MATCH(B1336,pr_code,0))),"Article inconnu",IF(H1336="","Désignation manquante",IF(OR(NOT(ISNUMBER(D1336)),N(D1336)&lt;=0),"Quantité invalide",IF(J1336="","Prix manquant",IF(OR(NOT(ISNUMBER(J1336)),N(J1336)&lt;0),"Prix invalide",IF(OR(AND(F1336&lt;&gt;"",NOT(ISNUMBER(F1336))),N(F1336)&lt;0,N(F1336)&gt;1),"Remise invalide",IF(K1336="","Taux de TVA manquant",IF(NOT(ISNUMBER(K1336)),"Taux de TVA invalide",IF(COUNTIF(p_rates,K1336)=0,"Taux de TVA hors liste (Paramètres)",IF(N(O1336)&gt;25,"Au-delà de 25 lignes : non imprimée","OK")))))))))))))</f>
        <v/>
      </c>
      <c r="O1336" s="59" t="str">
        <f>IF(A1336="","",COUNTIF($A$6:A1336,A1336))</f>
        <v/>
      </c>
      <c r="P1336" s="62" t="str">
        <f>IF(A1336="","",A1336&amp;"|"&amp;O1336)</f>
        <v/>
      </c>
    </row>
    <row r="1337">
      <c r="A1337" s="60" t="n"/>
      <c r="B1337" s="63" t="n"/>
      <c r="C1337" s="63" t="n"/>
      <c r="D1337" s="67" t="n"/>
      <c r="E1337" s="68" t="n"/>
      <c r="F1337" s="69" t="n"/>
      <c r="G1337" s="70" t="n"/>
      <c r="H1337" s="62" t="str">
        <f>IF(COUNTA(A1337:G1337)=0,"",IF(C1337&lt;&gt;"",C1337,IF(B1337="","",IFERROR(INDEX(pr_des,MATCH(B1337,pr_code,0))&amp;"",""))))</f>
        <v/>
      </c>
      <c r="I1337" s="59" t="str">
        <f>IF(B1337="","",IFERROR(INDEX(pr_unit,MATCH(B1337,pr_code,0))&amp;"",""))</f>
        <v/>
      </c>
      <c r="J1337" s="65" t="str">
        <f>IF(COUNTA(A1337:G1337)=0,"",IF(E1337&lt;&gt;"",E1337,IF(B1337="","",IFERROR(IF(INDEX(pr_price,MATCH(B1337,pr_code,0))="","",INDEX(pr_price,MATCH(B1337,pr_code,0))),""))))</f>
        <v/>
      </c>
      <c r="K1337" s="71" t="str">
        <f>IF(COUNTA(A1337:G1337)=0,"",IF(G1337&lt;&gt;"",G1337,IF(B1337="","",IFERROR(IF(INDEX(pr_rate,MATCH(B1337,pr_code,0))="","",INDEX(pr_rate,MATCH(B1337,pr_code,0))),""))))</f>
        <v/>
      </c>
      <c r="L1337" s="65" t="str">
        <f>IF(COUNTA(A1337:G1337)=0,"",IF(AND(ISNUMBER(D1337),ISNUMBER(J1337)),ROUND(D1337*J1337*(1-N(F1337)),2),0))</f>
        <v/>
      </c>
      <c r="M1337" s="62" t="str">
        <f>IF(A1337="","",IFERROR(INDEX(fa_cname,MATCH(A1337,fa_num,0))&amp;"",""))</f>
        <v/>
      </c>
      <c r="N1337" s="59" t="str">
        <f>IF(COUNTA(A1337:G1337)=0,"",IF(A1337="","N° facture manquant",IF(ISNA(MATCH(A1337,fa_num,0)),"Facture inconnue",IF(AND(B1337&lt;&gt;"",ISNA(MATCH(B1337,pr_code,0))),"Article inconnu",IF(H1337="","Désignation manquante",IF(OR(NOT(ISNUMBER(D1337)),N(D1337)&lt;=0),"Quantité invalide",IF(J1337="","Prix manquant",IF(OR(NOT(ISNUMBER(J1337)),N(J1337)&lt;0),"Prix invalide",IF(OR(AND(F1337&lt;&gt;"",NOT(ISNUMBER(F1337))),N(F1337)&lt;0,N(F1337)&gt;1),"Remise invalide",IF(K1337="","Taux de TVA manquant",IF(NOT(ISNUMBER(K1337)),"Taux de TVA invalide",IF(COUNTIF(p_rates,K1337)=0,"Taux de TVA hors liste (Paramètres)",IF(N(O1337)&gt;25,"Au-delà de 25 lignes : non imprimée","OK")))))))))))))</f>
        <v/>
      </c>
      <c r="O1337" s="59" t="str">
        <f>IF(A1337="","",COUNTIF($A$6:A1337,A1337))</f>
        <v/>
      </c>
      <c r="P1337" s="62" t="str">
        <f>IF(A1337="","",A1337&amp;"|"&amp;O1337)</f>
        <v/>
      </c>
    </row>
    <row r="1338">
      <c r="A1338" s="60" t="n"/>
      <c r="B1338" s="63" t="n"/>
      <c r="C1338" s="63" t="n"/>
      <c r="D1338" s="67" t="n"/>
      <c r="E1338" s="68" t="n"/>
      <c r="F1338" s="69" t="n"/>
      <c r="G1338" s="70" t="n"/>
      <c r="H1338" s="62" t="str">
        <f>IF(COUNTA(A1338:G1338)=0,"",IF(C1338&lt;&gt;"",C1338,IF(B1338="","",IFERROR(INDEX(pr_des,MATCH(B1338,pr_code,0))&amp;"",""))))</f>
        <v/>
      </c>
      <c r="I1338" s="59" t="str">
        <f>IF(B1338="","",IFERROR(INDEX(pr_unit,MATCH(B1338,pr_code,0))&amp;"",""))</f>
        <v/>
      </c>
      <c r="J1338" s="65" t="str">
        <f>IF(COUNTA(A1338:G1338)=0,"",IF(E1338&lt;&gt;"",E1338,IF(B1338="","",IFERROR(IF(INDEX(pr_price,MATCH(B1338,pr_code,0))="","",INDEX(pr_price,MATCH(B1338,pr_code,0))),""))))</f>
        <v/>
      </c>
      <c r="K1338" s="71" t="str">
        <f>IF(COUNTA(A1338:G1338)=0,"",IF(G1338&lt;&gt;"",G1338,IF(B1338="","",IFERROR(IF(INDEX(pr_rate,MATCH(B1338,pr_code,0))="","",INDEX(pr_rate,MATCH(B1338,pr_code,0))),""))))</f>
        <v/>
      </c>
      <c r="L1338" s="65" t="str">
        <f>IF(COUNTA(A1338:G1338)=0,"",IF(AND(ISNUMBER(D1338),ISNUMBER(J1338)),ROUND(D1338*J1338*(1-N(F1338)),2),0))</f>
        <v/>
      </c>
      <c r="M1338" s="62" t="str">
        <f>IF(A1338="","",IFERROR(INDEX(fa_cname,MATCH(A1338,fa_num,0))&amp;"",""))</f>
        <v/>
      </c>
      <c r="N1338" s="59" t="str">
        <f>IF(COUNTA(A1338:G1338)=0,"",IF(A1338="","N° facture manquant",IF(ISNA(MATCH(A1338,fa_num,0)),"Facture inconnue",IF(AND(B1338&lt;&gt;"",ISNA(MATCH(B1338,pr_code,0))),"Article inconnu",IF(H1338="","Désignation manquante",IF(OR(NOT(ISNUMBER(D1338)),N(D1338)&lt;=0),"Quantité invalide",IF(J1338="","Prix manquant",IF(OR(NOT(ISNUMBER(J1338)),N(J1338)&lt;0),"Prix invalide",IF(OR(AND(F1338&lt;&gt;"",NOT(ISNUMBER(F1338))),N(F1338)&lt;0,N(F1338)&gt;1),"Remise invalide",IF(K1338="","Taux de TVA manquant",IF(NOT(ISNUMBER(K1338)),"Taux de TVA invalide",IF(COUNTIF(p_rates,K1338)=0,"Taux de TVA hors liste (Paramètres)",IF(N(O1338)&gt;25,"Au-delà de 25 lignes : non imprimée","OK")))))))))))))</f>
        <v/>
      </c>
      <c r="O1338" s="59" t="str">
        <f>IF(A1338="","",COUNTIF($A$6:A1338,A1338))</f>
        <v/>
      </c>
      <c r="P1338" s="62" t="str">
        <f>IF(A1338="","",A1338&amp;"|"&amp;O1338)</f>
        <v/>
      </c>
    </row>
    <row r="1339">
      <c r="A1339" s="60" t="n"/>
      <c r="B1339" s="63" t="n"/>
      <c r="C1339" s="63" t="n"/>
      <c r="D1339" s="67" t="n"/>
      <c r="E1339" s="68" t="n"/>
      <c r="F1339" s="69" t="n"/>
      <c r="G1339" s="70" t="n"/>
      <c r="H1339" s="62" t="str">
        <f>IF(COUNTA(A1339:G1339)=0,"",IF(C1339&lt;&gt;"",C1339,IF(B1339="","",IFERROR(INDEX(pr_des,MATCH(B1339,pr_code,0))&amp;"",""))))</f>
        <v/>
      </c>
      <c r="I1339" s="59" t="str">
        <f>IF(B1339="","",IFERROR(INDEX(pr_unit,MATCH(B1339,pr_code,0))&amp;"",""))</f>
        <v/>
      </c>
      <c r="J1339" s="65" t="str">
        <f>IF(COUNTA(A1339:G1339)=0,"",IF(E1339&lt;&gt;"",E1339,IF(B1339="","",IFERROR(IF(INDEX(pr_price,MATCH(B1339,pr_code,0))="","",INDEX(pr_price,MATCH(B1339,pr_code,0))),""))))</f>
        <v/>
      </c>
      <c r="K1339" s="71" t="str">
        <f>IF(COUNTA(A1339:G1339)=0,"",IF(G1339&lt;&gt;"",G1339,IF(B1339="","",IFERROR(IF(INDEX(pr_rate,MATCH(B1339,pr_code,0))="","",INDEX(pr_rate,MATCH(B1339,pr_code,0))),""))))</f>
        <v/>
      </c>
      <c r="L1339" s="65" t="str">
        <f>IF(COUNTA(A1339:G1339)=0,"",IF(AND(ISNUMBER(D1339),ISNUMBER(J1339)),ROUND(D1339*J1339*(1-N(F1339)),2),0))</f>
        <v/>
      </c>
      <c r="M1339" s="62" t="str">
        <f>IF(A1339="","",IFERROR(INDEX(fa_cname,MATCH(A1339,fa_num,0))&amp;"",""))</f>
        <v/>
      </c>
      <c r="N1339" s="59" t="str">
        <f>IF(COUNTA(A1339:G1339)=0,"",IF(A1339="","N° facture manquant",IF(ISNA(MATCH(A1339,fa_num,0)),"Facture inconnue",IF(AND(B1339&lt;&gt;"",ISNA(MATCH(B1339,pr_code,0))),"Article inconnu",IF(H1339="","Désignation manquante",IF(OR(NOT(ISNUMBER(D1339)),N(D1339)&lt;=0),"Quantité invalide",IF(J1339="","Prix manquant",IF(OR(NOT(ISNUMBER(J1339)),N(J1339)&lt;0),"Prix invalide",IF(OR(AND(F1339&lt;&gt;"",NOT(ISNUMBER(F1339))),N(F1339)&lt;0,N(F1339)&gt;1),"Remise invalide",IF(K1339="","Taux de TVA manquant",IF(NOT(ISNUMBER(K1339)),"Taux de TVA invalide",IF(COUNTIF(p_rates,K1339)=0,"Taux de TVA hors liste (Paramètres)",IF(N(O1339)&gt;25,"Au-delà de 25 lignes : non imprimée","OK")))))))))))))</f>
        <v/>
      </c>
      <c r="O1339" s="59" t="str">
        <f>IF(A1339="","",COUNTIF($A$6:A1339,A1339))</f>
        <v/>
      </c>
      <c r="P1339" s="62" t="str">
        <f>IF(A1339="","",A1339&amp;"|"&amp;O1339)</f>
        <v/>
      </c>
    </row>
    <row r="1340">
      <c r="A1340" s="60" t="n"/>
      <c r="B1340" s="63" t="n"/>
      <c r="C1340" s="63" t="n"/>
      <c r="D1340" s="67" t="n"/>
      <c r="E1340" s="68" t="n"/>
      <c r="F1340" s="69" t="n"/>
      <c r="G1340" s="70" t="n"/>
      <c r="H1340" s="62" t="str">
        <f>IF(COUNTA(A1340:G1340)=0,"",IF(C1340&lt;&gt;"",C1340,IF(B1340="","",IFERROR(INDEX(pr_des,MATCH(B1340,pr_code,0))&amp;"",""))))</f>
        <v/>
      </c>
      <c r="I1340" s="59" t="str">
        <f>IF(B1340="","",IFERROR(INDEX(pr_unit,MATCH(B1340,pr_code,0))&amp;"",""))</f>
        <v/>
      </c>
      <c r="J1340" s="65" t="str">
        <f>IF(COUNTA(A1340:G1340)=0,"",IF(E1340&lt;&gt;"",E1340,IF(B1340="","",IFERROR(IF(INDEX(pr_price,MATCH(B1340,pr_code,0))="","",INDEX(pr_price,MATCH(B1340,pr_code,0))),""))))</f>
        <v/>
      </c>
      <c r="K1340" s="71" t="str">
        <f>IF(COUNTA(A1340:G1340)=0,"",IF(G1340&lt;&gt;"",G1340,IF(B1340="","",IFERROR(IF(INDEX(pr_rate,MATCH(B1340,pr_code,0))="","",INDEX(pr_rate,MATCH(B1340,pr_code,0))),""))))</f>
        <v/>
      </c>
      <c r="L1340" s="65" t="str">
        <f>IF(COUNTA(A1340:G1340)=0,"",IF(AND(ISNUMBER(D1340),ISNUMBER(J1340)),ROUND(D1340*J1340*(1-N(F1340)),2),0))</f>
        <v/>
      </c>
      <c r="M1340" s="62" t="str">
        <f>IF(A1340="","",IFERROR(INDEX(fa_cname,MATCH(A1340,fa_num,0))&amp;"",""))</f>
        <v/>
      </c>
      <c r="N1340" s="59" t="str">
        <f>IF(COUNTA(A1340:G1340)=0,"",IF(A1340="","N° facture manquant",IF(ISNA(MATCH(A1340,fa_num,0)),"Facture inconnue",IF(AND(B1340&lt;&gt;"",ISNA(MATCH(B1340,pr_code,0))),"Article inconnu",IF(H1340="","Désignation manquante",IF(OR(NOT(ISNUMBER(D1340)),N(D1340)&lt;=0),"Quantité invalide",IF(J1340="","Prix manquant",IF(OR(NOT(ISNUMBER(J1340)),N(J1340)&lt;0),"Prix invalide",IF(OR(AND(F1340&lt;&gt;"",NOT(ISNUMBER(F1340))),N(F1340)&lt;0,N(F1340)&gt;1),"Remise invalide",IF(K1340="","Taux de TVA manquant",IF(NOT(ISNUMBER(K1340)),"Taux de TVA invalide",IF(COUNTIF(p_rates,K1340)=0,"Taux de TVA hors liste (Paramètres)",IF(N(O1340)&gt;25,"Au-delà de 25 lignes : non imprimée","OK")))))))))))))</f>
        <v/>
      </c>
      <c r="O1340" s="59" t="str">
        <f>IF(A1340="","",COUNTIF($A$6:A1340,A1340))</f>
        <v/>
      </c>
      <c r="P1340" s="62" t="str">
        <f>IF(A1340="","",A1340&amp;"|"&amp;O1340)</f>
        <v/>
      </c>
    </row>
    <row r="1341">
      <c r="A1341" s="60" t="n"/>
      <c r="B1341" s="63" t="n"/>
      <c r="C1341" s="63" t="n"/>
      <c r="D1341" s="67" t="n"/>
      <c r="E1341" s="68" t="n"/>
      <c r="F1341" s="69" t="n"/>
      <c r="G1341" s="70" t="n"/>
      <c r="H1341" s="62" t="str">
        <f>IF(COUNTA(A1341:G1341)=0,"",IF(C1341&lt;&gt;"",C1341,IF(B1341="","",IFERROR(INDEX(pr_des,MATCH(B1341,pr_code,0))&amp;"",""))))</f>
        <v/>
      </c>
      <c r="I1341" s="59" t="str">
        <f>IF(B1341="","",IFERROR(INDEX(pr_unit,MATCH(B1341,pr_code,0))&amp;"",""))</f>
        <v/>
      </c>
      <c r="J1341" s="65" t="str">
        <f>IF(COUNTA(A1341:G1341)=0,"",IF(E1341&lt;&gt;"",E1341,IF(B1341="","",IFERROR(IF(INDEX(pr_price,MATCH(B1341,pr_code,0))="","",INDEX(pr_price,MATCH(B1341,pr_code,0))),""))))</f>
        <v/>
      </c>
      <c r="K1341" s="71" t="str">
        <f>IF(COUNTA(A1341:G1341)=0,"",IF(G1341&lt;&gt;"",G1341,IF(B1341="","",IFERROR(IF(INDEX(pr_rate,MATCH(B1341,pr_code,0))="","",INDEX(pr_rate,MATCH(B1341,pr_code,0))),""))))</f>
        <v/>
      </c>
      <c r="L1341" s="65" t="str">
        <f>IF(COUNTA(A1341:G1341)=0,"",IF(AND(ISNUMBER(D1341),ISNUMBER(J1341)),ROUND(D1341*J1341*(1-N(F1341)),2),0))</f>
        <v/>
      </c>
      <c r="M1341" s="62" t="str">
        <f>IF(A1341="","",IFERROR(INDEX(fa_cname,MATCH(A1341,fa_num,0))&amp;"",""))</f>
        <v/>
      </c>
      <c r="N1341" s="59" t="str">
        <f>IF(COUNTA(A1341:G1341)=0,"",IF(A1341="","N° facture manquant",IF(ISNA(MATCH(A1341,fa_num,0)),"Facture inconnue",IF(AND(B1341&lt;&gt;"",ISNA(MATCH(B1341,pr_code,0))),"Article inconnu",IF(H1341="","Désignation manquante",IF(OR(NOT(ISNUMBER(D1341)),N(D1341)&lt;=0),"Quantité invalide",IF(J1341="","Prix manquant",IF(OR(NOT(ISNUMBER(J1341)),N(J1341)&lt;0),"Prix invalide",IF(OR(AND(F1341&lt;&gt;"",NOT(ISNUMBER(F1341))),N(F1341)&lt;0,N(F1341)&gt;1),"Remise invalide",IF(K1341="","Taux de TVA manquant",IF(NOT(ISNUMBER(K1341)),"Taux de TVA invalide",IF(COUNTIF(p_rates,K1341)=0,"Taux de TVA hors liste (Paramètres)",IF(N(O1341)&gt;25,"Au-delà de 25 lignes : non imprimée","OK")))))))))))))</f>
        <v/>
      </c>
      <c r="O1341" s="59" t="str">
        <f>IF(A1341="","",COUNTIF($A$6:A1341,A1341))</f>
        <v/>
      </c>
      <c r="P1341" s="62" t="str">
        <f>IF(A1341="","",A1341&amp;"|"&amp;O1341)</f>
        <v/>
      </c>
    </row>
    <row r="1342">
      <c r="A1342" s="60" t="n"/>
      <c r="B1342" s="63" t="n"/>
      <c r="C1342" s="63" t="n"/>
      <c r="D1342" s="67" t="n"/>
      <c r="E1342" s="68" t="n"/>
      <c r="F1342" s="69" t="n"/>
      <c r="G1342" s="70" t="n"/>
      <c r="H1342" s="62" t="str">
        <f>IF(COUNTA(A1342:G1342)=0,"",IF(C1342&lt;&gt;"",C1342,IF(B1342="","",IFERROR(INDEX(pr_des,MATCH(B1342,pr_code,0))&amp;"",""))))</f>
        <v/>
      </c>
      <c r="I1342" s="59" t="str">
        <f>IF(B1342="","",IFERROR(INDEX(pr_unit,MATCH(B1342,pr_code,0))&amp;"",""))</f>
        <v/>
      </c>
      <c r="J1342" s="65" t="str">
        <f>IF(COUNTA(A1342:G1342)=0,"",IF(E1342&lt;&gt;"",E1342,IF(B1342="","",IFERROR(IF(INDEX(pr_price,MATCH(B1342,pr_code,0))="","",INDEX(pr_price,MATCH(B1342,pr_code,0))),""))))</f>
        <v/>
      </c>
      <c r="K1342" s="71" t="str">
        <f>IF(COUNTA(A1342:G1342)=0,"",IF(G1342&lt;&gt;"",G1342,IF(B1342="","",IFERROR(IF(INDEX(pr_rate,MATCH(B1342,pr_code,0))="","",INDEX(pr_rate,MATCH(B1342,pr_code,0))),""))))</f>
        <v/>
      </c>
      <c r="L1342" s="65" t="str">
        <f>IF(COUNTA(A1342:G1342)=0,"",IF(AND(ISNUMBER(D1342),ISNUMBER(J1342)),ROUND(D1342*J1342*(1-N(F1342)),2),0))</f>
        <v/>
      </c>
      <c r="M1342" s="62" t="str">
        <f>IF(A1342="","",IFERROR(INDEX(fa_cname,MATCH(A1342,fa_num,0))&amp;"",""))</f>
        <v/>
      </c>
      <c r="N1342" s="59" t="str">
        <f>IF(COUNTA(A1342:G1342)=0,"",IF(A1342="","N° facture manquant",IF(ISNA(MATCH(A1342,fa_num,0)),"Facture inconnue",IF(AND(B1342&lt;&gt;"",ISNA(MATCH(B1342,pr_code,0))),"Article inconnu",IF(H1342="","Désignation manquante",IF(OR(NOT(ISNUMBER(D1342)),N(D1342)&lt;=0),"Quantité invalide",IF(J1342="","Prix manquant",IF(OR(NOT(ISNUMBER(J1342)),N(J1342)&lt;0),"Prix invalide",IF(OR(AND(F1342&lt;&gt;"",NOT(ISNUMBER(F1342))),N(F1342)&lt;0,N(F1342)&gt;1),"Remise invalide",IF(K1342="","Taux de TVA manquant",IF(NOT(ISNUMBER(K1342)),"Taux de TVA invalide",IF(COUNTIF(p_rates,K1342)=0,"Taux de TVA hors liste (Paramètres)",IF(N(O1342)&gt;25,"Au-delà de 25 lignes : non imprimée","OK")))))))))))))</f>
        <v/>
      </c>
      <c r="O1342" s="59" t="str">
        <f>IF(A1342="","",COUNTIF($A$6:A1342,A1342))</f>
        <v/>
      </c>
      <c r="P1342" s="62" t="str">
        <f>IF(A1342="","",A1342&amp;"|"&amp;O1342)</f>
        <v/>
      </c>
    </row>
    <row r="1343">
      <c r="A1343" s="60" t="n"/>
      <c r="B1343" s="63" t="n"/>
      <c r="C1343" s="63" t="n"/>
      <c r="D1343" s="67" t="n"/>
      <c r="E1343" s="68" t="n"/>
      <c r="F1343" s="69" t="n"/>
      <c r="G1343" s="70" t="n"/>
      <c r="H1343" s="62" t="str">
        <f>IF(COUNTA(A1343:G1343)=0,"",IF(C1343&lt;&gt;"",C1343,IF(B1343="","",IFERROR(INDEX(pr_des,MATCH(B1343,pr_code,0))&amp;"",""))))</f>
        <v/>
      </c>
      <c r="I1343" s="59" t="str">
        <f>IF(B1343="","",IFERROR(INDEX(pr_unit,MATCH(B1343,pr_code,0))&amp;"",""))</f>
        <v/>
      </c>
      <c r="J1343" s="65" t="str">
        <f>IF(COUNTA(A1343:G1343)=0,"",IF(E1343&lt;&gt;"",E1343,IF(B1343="","",IFERROR(IF(INDEX(pr_price,MATCH(B1343,pr_code,0))="","",INDEX(pr_price,MATCH(B1343,pr_code,0))),""))))</f>
        <v/>
      </c>
      <c r="K1343" s="71" t="str">
        <f>IF(COUNTA(A1343:G1343)=0,"",IF(G1343&lt;&gt;"",G1343,IF(B1343="","",IFERROR(IF(INDEX(pr_rate,MATCH(B1343,pr_code,0))="","",INDEX(pr_rate,MATCH(B1343,pr_code,0))),""))))</f>
        <v/>
      </c>
      <c r="L1343" s="65" t="str">
        <f>IF(COUNTA(A1343:G1343)=0,"",IF(AND(ISNUMBER(D1343),ISNUMBER(J1343)),ROUND(D1343*J1343*(1-N(F1343)),2),0))</f>
        <v/>
      </c>
      <c r="M1343" s="62" t="str">
        <f>IF(A1343="","",IFERROR(INDEX(fa_cname,MATCH(A1343,fa_num,0))&amp;"",""))</f>
        <v/>
      </c>
      <c r="N1343" s="59" t="str">
        <f>IF(COUNTA(A1343:G1343)=0,"",IF(A1343="","N° facture manquant",IF(ISNA(MATCH(A1343,fa_num,0)),"Facture inconnue",IF(AND(B1343&lt;&gt;"",ISNA(MATCH(B1343,pr_code,0))),"Article inconnu",IF(H1343="","Désignation manquante",IF(OR(NOT(ISNUMBER(D1343)),N(D1343)&lt;=0),"Quantité invalide",IF(J1343="","Prix manquant",IF(OR(NOT(ISNUMBER(J1343)),N(J1343)&lt;0),"Prix invalide",IF(OR(AND(F1343&lt;&gt;"",NOT(ISNUMBER(F1343))),N(F1343)&lt;0,N(F1343)&gt;1),"Remise invalide",IF(K1343="","Taux de TVA manquant",IF(NOT(ISNUMBER(K1343)),"Taux de TVA invalide",IF(COUNTIF(p_rates,K1343)=0,"Taux de TVA hors liste (Paramètres)",IF(N(O1343)&gt;25,"Au-delà de 25 lignes : non imprimée","OK")))))))))))))</f>
        <v/>
      </c>
      <c r="O1343" s="59" t="str">
        <f>IF(A1343="","",COUNTIF($A$6:A1343,A1343))</f>
        <v/>
      </c>
      <c r="P1343" s="62" t="str">
        <f>IF(A1343="","",A1343&amp;"|"&amp;O1343)</f>
        <v/>
      </c>
    </row>
    <row r="1344">
      <c r="A1344" s="60" t="n"/>
      <c r="B1344" s="63" t="n"/>
      <c r="C1344" s="63" t="n"/>
      <c r="D1344" s="67" t="n"/>
      <c r="E1344" s="68" t="n"/>
      <c r="F1344" s="69" t="n"/>
      <c r="G1344" s="70" t="n"/>
      <c r="H1344" s="62" t="str">
        <f>IF(COUNTA(A1344:G1344)=0,"",IF(C1344&lt;&gt;"",C1344,IF(B1344="","",IFERROR(INDEX(pr_des,MATCH(B1344,pr_code,0))&amp;"",""))))</f>
        <v/>
      </c>
      <c r="I1344" s="59" t="str">
        <f>IF(B1344="","",IFERROR(INDEX(pr_unit,MATCH(B1344,pr_code,0))&amp;"",""))</f>
        <v/>
      </c>
      <c r="J1344" s="65" t="str">
        <f>IF(COUNTA(A1344:G1344)=0,"",IF(E1344&lt;&gt;"",E1344,IF(B1344="","",IFERROR(IF(INDEX(pr_price,MATCH(B1344,pr_code,0))="","",INDEX(pr_price,MATCH(B1344,pr_code,0))),""))))</f>
        <v/>
      </c>
      <c r="K1344" s="71" t="str">
        <f>IF(COUNTA(A1344:G1344)=0,"",IF(G1344&lt;&gt;"",G1344,IF(B1344="","",IFERROR(IF(INDEX(pr_rate,MATCH(B1344,pr_code,0))="","",INDEX(pr_rate,MATCH(B1344,pr_code,0))),""))))</f>
        <v/>
      </c>
      <c r="L1344" s="65" t="str">
        <f>IF(COUNTA(A1344:G1344)=0,"",IF(AND(ISNUMBER(D1344),ISNUMBER(J1344)),ROUND(D1344*J1344*(1-N(F1344)),2),0))</f>
        <v/>
      </c>
      <c r="M1344" s="62" t="str">
        <f>IF(A1344="","",IFERROR(INDEX(fa_cname,MATCH(A1344,fa_num,0))&amp;"",""))</f>
        <v/>
      </c>
      <c r="N1344" s="59" t="str">
        <f>IF(COUNTA(A1344:G1344)=0,"",IF(A1344="","N° facture manquant",IF(ISNA(MATCH(A1344,fa_num,0)),"Facture inconnue",IF(AND(B1344&lt;&gt;"",ISNA(MATCH(B1344,pr_code,0))),"Article inconnu",IF(H1344="","Désignation manquante",IF(OR(NOT(ISNUMBER(D1344)),N(D1344)&lt;=0),"Quantité invalide",IF(J1344="","Prix manquant",IF(OR(NOT(ISNUMBER(J1344)),N(J1344)&lt;0),"Prix invalide",IF(OR(AND(F1344&lt;&gt;"",NOT(ISNUMBER(F1344))),N(F1344)&lt;0,N(F1344)&gt;1),"Remise invalide",IF(K1344="","Taux de TVA manquant",IF(NOT(ISNUMBER(K1344)),"Taux de TVA invalide",IF(COUNTIF(p_rates,K1344)=0,"Taux de TVA hors liste (Paramètres)",IF(N(O1344)&gt;25,"Au-delà de 25 lignes : non imprimée","OK")))))))))))))</f>
        <v/>
      </c>
      <c r="O1344" s="59" t="str">
        <f>IF(A1344="","",COUNTIF($A$6:A1344,A1344))</f>
        <v/>
      </c>
      <c r="P1344" s="62" t="str">
        <f>IF(A1344="","",A1344&amp;"|"&amp;O1344)</f>
        <v/>
      </c>
    </row>
    <row r="1345">
      <c r="A1345" s="60" t="n"/>
      <c r="B1345" s="63" t="n"/>
      <c r="C1345" s="63" t="n"/>
      <c r="D1345" s="67" t="n"/>
      <c r="E1345" s="68" t="n"/>
      <c r="F1345" s="69" t="n"/>
      <c r="G1345" s="70" t="n"/>
      <c r="H1345" s="62" t="str">
        <f>IF(COUNTA(A1345:G1345)=0,"",IF(C1345&lt;&gt;"",C1345,IF(B1345="","",IFERROR(INDEX(pr_des,MATCH(B1345,pr_code,0))&amp;"",""))))</f>
        <v/>
      </c>
      <c r="I1345" s="59" t="str">
        <f>IF(B1345="","",IFERROR(INDEX(pr_unit,MATCH(B1345,pr_code,0))&amp;"",""))</f>
        <v/>
      </c>
      <c r="J1345" s="65" t="str">
        <f>IF(COUNTA(A1345:G1345)=0,"",IF(E1345&lt;&gt;"",E1345,IF(B1345="","",IFERROR(IF(INDEX(pr_price,MATCH(B1345,pr_code,0))="","",INDEX(pr_price,MATCH(B1345,pr_code,0))),""))))</f>
        <v/>
      </c>
      <c r="K1345" s="71" t="str">
        <f>IF(COUNTA(A1345:G1345)=0,"",IF(G1345&lt;&gt;"",G1345,IF(B1345="","",IFERROR(IF(INDEX(pr_rate,MATCH(B1345,pr_code,0))="","",INDEX(pr_rate,MATCH(B1345,pr_code,0))),""))))</f>
        <v/>
      </c>
      <c r="L1345" s="65" t="str">
        <f>IF(COUNTA(A1345:G1345)=0,"",IF(AND(ISNUMBER(D1345),ISNUMBER(J1345)),ROUND(D1345*J1345*(1-N(F1345)),2),0))</f>
        <v/>
      </c>
      <c r="M1345" s="62" t="str">
        <f>IF(A1345="","",IFERROR(INDEX(fa_cname,MATCH(A1345,fa_num,0))&amp;"",""))</f>
        <v/>
      </c>
      <c r="N1345" s="59" t="str">
        <f>IF(COUNTA(A1345:G1345)=0,"",IF(A1345="","N° facture manquant",IF(ISNA(MATCH(A1345,fa_num,0)),"Facture inconnue",IF(AND(B1345&lt;&gt;"",ISNA(MATCH(B1345,pr_code,0))),"Article inconnu",IF(H1345="","Désignation manquante",IF(OR(NOT(ISNUMBER(D1345)),N(D1345)&lt;=0),"Quantité invalide",IF(J1345="","Prix manquant",IF(OR(NOT(ISNUMBER(J1345)),N(J1345)&lt;0),"Prix invalide",IF(OR(AND(F1345&lt;&gt;"",NOT(ISNUMBER(F1345))),N(F1345)&lt;0,N(F1345)&gt;1),"Remise invalide",IF(K1345="","Taux de TVA manquant",IF(NOT(ISNUMBER(K1345)),"Taux de TVA invalide",IF(COUNTIF(p_rates,K1345)=0,"Taux de TVA hors liste (Paramètres)",IF(N(O1345)&gt;25,"Au-delà de 25 lignes : non imprimée","OK")))))))))))))</f>
        <v/>
      </c>
      <c r="O1345" s="59" t="str">
        <f>IF(A1345="","",COUNTIF($A$6:A1345,A1345))</f>
        <v/>
      </c>
      <c r="P1345" s="62" t="str">
        <f>IF(A1345="","",A1345&amp;"|"&amp;O1345)</f>
        <v/>
      </c>
    </row>
    <row r="1346">
      <c r="A1346" s="60" t="n"/>
      <c r="B1346" s="63" t="n"/>
      <c r="C1346" s="63" t="n"/>
      <c r="D1346" s="67" t="n"/>
      <c r="E1346" s="68" t="n"/>
      <c r="F1346" s="69" t="n"/>
      <c r="G1346" s="70" t="n"/>
      <c r="H1346" s="62" t="str">
        <f>IF(COUNTA(A1346:G1346)=0,"",IF(C1346&lt;&gt;"",C1346,IF(B1346="","",IFERROR(INDEX(pr_des,MATCH(B1346,pr_code,0))&amp;"",""))))</f>
        <v/>
      </c>
      <c r="I1346" s="59" t="str">
        <f>IF(B1346="","",IFERROR(INDEX(pr_unit,MATCH(B1346,pr_code,0))&amp;"",""))</f>
        <v/>
      </c>
      <c r="J1346" s="65" t="str">
        <f>IF(COUNTA(A1346:G1346)=0,"",IF(E1346&lt;&gt;"",E1346,IF(B1346="","",IFERROR(IF(INDEX(pr_price,MATCH(B1346,pr_code,0))="","",INDEX(pr_price,MATCH(B1346,pr_code,0))),""))))</f>
        <v/>
      </c>
      <c r="K1346" s="71" t="str">
        <f>IF(COUNTA(A1346:G1346)=0,"",IF(G1346&lt;&gt;"",G1346,IF(B1346="","",IFERROR(IF(INDEX(pr_rate,MATCH(B1346,pr_code,0))="","",INDEX(pr_rate,MATCH(B1346,pr_code,0))),""))))</f>
        <v/>
      </c>
      <c r="L1346" s="65" t="str">
        <f>IF(COUNTA(A1346:G1346)=0,"",IF(AND(ISNUMBER(D1346),ISNUMBER(J1346)),ROUND(D1346*J1346*(1-N(F1346)),2),0))</f>
        <v/>
      </c>
      <c r="M1346" s="62" t="str">
        <f>IF(A1346="","",IFERROR(INDEX(fa_cname,MATCH(A1346,fa_num,0))&amp;"",""))</f>
        <v/>
      </c>
      <c r="N1346" s="59" t="str">
        <f>IF(COUNTA(A1346:G1346)=0,"",IF(A1346="","N° facture manquant",IF(ISNA(MATCH(A1346,fa_num,0)),"Facture inconnue",IF(AND(B1346&lt;&gt;"",ISNA(MATCH(B1346,pr_code,0))),"Article inconnu",IF(H1346="","Désignation manquante",IF(OR(NOT(ISNUMBER(D1346)),N(D1346)&lt;=0),"Quantité invalide",IF(J1346="","Prix manquant",IF(OR(NOT(ISNUMBER(J1346)),N(J1346)&lt;0),"Prix invalide",IF(OR(AND(F1346&lt;&gt;"",NOT(ISNUMBER(F1346))),N(F1346)&lt;0,N(F1346)&gt;1),"Remise invalide",IF(K1346="","Taux de TVA manquant",IF(NOT(ISNUMBER(K1346)),"Taux de TVA invalide",IF(COUNTIF(p_rates,K1346)=0,"Taux de TVA hors liste (Paramètres)",IF(N(O1346)&gt;25,"Au-delà de 25 lignes : non imprimée","OK")))))))))))))</f>
        <v/>
      </c>
      <c r="O1346" s="59" t="str">
        <f>IF(A1346="","",COUNTIF($A$6:A1346,A1346))</f>
        <v/>
      </c>
      <c r="P1346" s="62" t="str">
        <f>IF(A1346="","",A1346&amp;"|"&amp;O1346)</f>
        <v/>
      </c>
    </row>
    <row r="1347">
      <c r="A1347" s="60" t="n"/>
      <c r="B1347" s="63" t="n"/>
      <c r="C1347" s="63" t="n"/>
      <c r="D1347" s="67" t="n"/>
      <c r="E1347" s="68" t="n"/>
      <c r="F1347" s="69" t="n"/>
      <c r="G1347" s="70" t="n"/>
      <c r="H1347" s="62" t="str">
        <f>IF(COUNTA(A1347:G1347)=0,"",IF(C1347&lt;&gt;"",C1347,IF(B1347="","",IFERROR(INDEX(pr_des,MATCH(B1347,pr_code,0))&amp;"",""))))</f>
        <v/>
      </c>
      <c r="I1347" s="59" t="str">
        <f>IF(B1347="","",IFERROR(INDEX(pr_unit,MATCH(B1347,pr_code,0))&amp;"",""))</f>
        <v/>
      </c>
      <c r="J1347" s="65" t="str">
        <f>IF(COUNTA(A1347:G1347)=0,"",IF(E1347&lt;&gt;"",E1347,IF(B1347="","",IFERROR(IF(INDEX(pr_price,MATCH(B1347,pr_code,0))="","",INDEX(pr_price,MATCH(B1347,pr_code,0))),""))))</f>
        <v/>
      </c>
      <c r="K1347" s="71" t="str">
        <f>IF(COUNTA(A1347:G1347)=0,"",IF(G1347&lt;&gt;"",G1347,IF(B1347="","",IFERROR(IF(INDEX(pr_rate,MATCH(B1347,pr_code,0))="","",INDEX(pr_rate,MATCH(B1347,pr_code,0))),""))))</f>
        <v/>
      </c>
      <c r="L1347" s="65" t="str">
        <f>IF(COUNTA(A1347:G1347)=0,"",IF(AND(ISNUMBER(D1347),ISNUMBER(J1347)),ROUND(D1347*J1347*(1-N(F1347)),2),0))</f>
        <v/>
      </c>
      <c r="M1347" s="62" t="str">
        <f>IF(A1347="","",IFERROR(INDEX(fa_cname,MATCH(A1347,fa_num,0))&amp;"",""))</f>
        <v/>
      </c>
      <c r="N1347" s="59" t="str">
        <f>IF(COUNTA(A1347:G1347)=0,"",IF(A1347="","N° facture manquant",IF(ISNA(MATCH(A1347,fa_num,0)),"Facture inconnue",IF(AND(B1347&lt;&gt;"",ISNA(MATCH(B1347,pr_code,0))),"Article inconnu",IF(H1347="","Désignation manquante",IF(OR(NOT(ISNUMBER(D1347)),N(D1347)&lt;=0),"Quantité invalide",IF(J1347="","Prix manquant",IF(OR(NOT(ISNUMBER(J1347)),N(J1347)&lt;0),"Prix invalide",IF(OR(AND(F1347&lt;&gt;"",NOT(ISNUMBER(F1347))),N(F1347)&lt;0,N(F1347)&gt;1),"Remise invalide",IF(K1347="","Taux de TVA manquant",IF(NOT(ISNUMBER(K1347)),"Taux de TVA invalide",IF(COUNTIF(p_rates,K1347)=0,"Taux de TVA hors liste (Paramètres)",IF(N(O1347)&gt;25,"Au-delà de 25 lignes : non imprimée","OK")))))))))))))</f>
        <v/>
      </c>
      <c r="O1347" s="59" t="str">
        <f>IF(A1347="","",COUNTIF($A$6:A1347,A1347))</f>
        <v/>
      </c>
      <c r="P1347" s="62" t="str">
        <f>IF(A1347="","",A1347&amp;"|"&amp;O1347)</f>
        <v/>
      </c>
    </row>
    <row r="1348">
      <c r="A1348" s="60" t="n"/>
      <c r="B1348" s="63" t="n"/>
      <c r="C1348" s="63" t="n"/>
      <c r="D1348" s="67" t="n"/>
      <c r="E1348" s="68" t="n"/>
      <c r="F1348" s="69" t="n"/>
      <c r="G1348" s="70" t="n"/>
      <c r="H1348" s="62" t="str">
        <f>IF(COUNTA(A1348:G1348)=0,"",IF(C1348&lt;&gt;"",C1348,IF(B1348="","",IFERROR(INDEX(pr_des,MATCH(B1348,pr_code,0))&amp;"",""))))</f>
        <v/>
      </c>
      <c r="I1348" s="59" t="str">
        <f>IF(B1348="","",IFERROR(INDEX(pr_unit,MATCH(B1348,pr_code,0))&amp;"",""))</f>
        <v/>
      </c>
      <c r="J1348" s="65" t="str">
        <f>IF(COUNTA(A1348:G1348)=0,"",IF(E1348&lt;&gt;"",E1348,IF(B1348="","",IFERROR(IF(INDEX(pr_price,MATCH(B1348,pr_code,0))="","",INDEX(pr_price,MATCH(B1348,pr_code,0))),""))))</f>
        <v/>
      </c>
      <c r="K1348" s="71" t="str">
        <f>IF(COUNTA(A1348:G1348)=0,"",IF(G1348&lt;&gt;"",G1348,IF(B1348="","",IFERROR(IF(INDEX(pr_rate,MATCH(B1348,pr_code,0))="","",INDEX(pr_rate,MATCH(B1348,pr_code,0))),""))))</f>
        <v/>
      </c>
      <c r="L1348" s="65" t="str">
        <f>IF(COUNTA(A1348:G1348)=0,"",IF(AND(ISNUMBER(D1348),ISNUMBER(J1348)),ROUND(D1348*J1348*(1-N(F1348)),2),0))</f>
        <v/>
      </c>
      <c r="M1348" s="62" t="str">
        <f>IF(A1348="","",IFERROR(INDEX(fa_cname,MATCH(A1348,fa_num,0))&amp;"",""))</f>
        <v/>
      </c>
      <c r="N1348" s="59" t="str">
        <f>IF(COUNTA(A1348:G1348)=0,"",IF(A1348="","N° facture manquant",IF(ISNA(MATCH(A1348,fa_num,0)),"Facture inconnue",IF(AND(B1348&lt;&gt;"",ISNA(MATCH(B1348,pr_code,0))),"Article inconnu",IF(H1348="","Désignation manquante",IF(OR(NOT(ISNUMBER(D1348)),N(D1348)&lt;=0),"Quantité invalide",IF(J1348="","Prix manquant",IF(OR(NOT(ISNUMBER(J1348)),N(J1348)&lt;0),"Prix invalide",IF(OR(AND(F1348&lt;&gt;"",NOT(ISNUMBER(F1348))),N(F1348)&lt;0,N(F1348)&gt;1),"Remise invalide",IF(K1348="","Taux de TVA manquant",IF(NOT(ISNUMBER(K1348)),"Taux de TVA invalide",IF(COUNTIF(p_rates,K1348)=0,"Taux de TVA hors liste (Paramètres)",IF(N(O1348)&gt;25,"Au-delà de 25 lignes : non imprimée","OK")))))))))))))</f>
        <v/>
      </c>
      <c r="O1348" s="59" t="str">
        <f>IF(A1348="","",COUNTIF($A$6:A1348,A1348))</f>
        <v/>
      </c>
      <c r="P1348" s="62" t="str">
        <f>IF(A1348="","",A1348&amp;"|"&amp;O1348)</f>
        <v/>
      </c>
    </row>
    <row r="1349">
      <c r="A1349" s="60" t="n"/>
      <c r="B1349" s="63" t="n"/>
      <c r="C1349" s="63" t="n"/>
      <c r="D1349" s="67" t="n"/>
      <c r="E1349" s="68" t="n"/>
      <c r="F1349" s="69" t="n"/>
      <c r="G1349" s="70" t="n"/>
      <c r="H1349" s="62" t="str">
        <f>IF(COUNTA(A1349:G1349)=0,"",IF(C1349&lt;&gt;"",C1349,IF(B1349="","",IFERROR(INDEX(pr_des,MATCH(B1349,pr_code,0))&amp;"",""))))</f>
        <v/>
      </c>
      <c r="I1349" s="59" t="str">
        <f>IF(B1349="","",IFERROR(INDEX(pr_unit,MATCH(B1349,pr_code,0))&amp;"",""))</f>
        <v/>
      </c>
      <c r="J1349" s="65" t="str">
        <f>IF(COUNTA(A1349:G1349)=0,"",IF(E1349&lt;&gt;"",E1349,IF(B1349="","",IFERROR(IF(INDEX(pr_price,MATCH(B1349,pr_code,0))="","",INDEX(pr_price,MATCH(B1349,pr_code,0))),""))))</f>
        <v/>
      </c>
      <c r="K1349" s="71" t="str">
        <f>IF(COUNTA(A1349:G1349)=0,"",IF(G1349&lt;&gt;"",G1349,IF(B1349="","",IFERROR(IF(INDEX(pr_rate,MATCH(B1349,pr_code,0))="","",INDEX(pr_rate,MATCH(B1349,pr_code,0))),""))))</f>
        <v/>
      </c>
      <c r="L1349" s="65" t="str">
        <f>IF(COUNTA(A1349:G1349)=0,"",IF(AND(ISNUMBER(D1349),ISNUMBER(J1349)),ROUND(D1349*J1349*(1-N(F1349)),2),0))</f>
        <v/>
      </c>
      <c r="M1349" s="62" t="str">
        <f>IF(A1349="","",IFERROR(INDEX(fa_cname,MATCH(A1349,fa_num,0))&amp;"",""))</f>
        <v/>
      </c>
      <c r="N1349" s="59" t="str">
        <f>IF(COUNTA(A1349:G1349)=0,"",IF(A1349="","N° facture manquant",IF(ISNA(MATCH(A1349,fa_num,0)),"Facture inconnue",IF(AND(B1349&lt;&gt;"",ISNA(MATCH(B1349,pr_code,0))),"Article inconnu",IF(H1349="","Désignation manquante",IF(OR(NOT(ISNUMBER(D1349)),N(D1349)&lt;=0),"Quantité invalide",IF(J1349="","Prix manquant",IF(OR(NOT(ISNUMBER(J1349)),N(J1349)&lt;0),"Prix invalide",IF(OR(AND(F1349&lt;&gt;"",NOT(ISNUMBER(F1349))),N(F1349)&lt;0,N(F1349)&gt;1),"Remise invalide",IF(K1349="","Taux de TVA manquant",IF(NOT(ISNUMBER(K1349)),"Taux de TVA invalide",IF(COUNTIF(p_rates,K1349)=0,"Taux de TVA hors liste (Paramètres)",IF(N(O1349)&gt;25,"Au-delà de 25 lignes : non imprimée","OK")))))))))))))</f>
        <v/>
      </c>
      <c r="O1349" s="59" t="str">
        <f>IF(A1349="","",COUNTIF($A$6:A1349,A1349))</f>
        <v/>
      </c>
      <c r="P1349" s="62" t="str">
        <f>IF(A1349="","",A1349&amp;"|"&amp;O1349)</f>
        <v/>
      </c>
    </row>
    <row r="1350">
      <c r="A1350" s="60" t="n"/>
      <c r="B1350" s="63" t="n"/>
      <c r="C1350" s="63" t="n"/>
      <c r="D1350" s="67" t="n"/>
      <c r="E1350" s="68" t="n"/>
      <c r="F1350" s="69" t="n"/>
      <c r="G1350" s="70" t="n"/>
      <c r="H1350" s="62" t="str">
        <f>IF(COUNTA(A1350:G1350)=0,"",IF(C1350&lt;&gt;"",C1350,IF(B1350="","",IFERROR(INDEX(pr_des,MATCH(B1350,pr_code,0))&amp;"",""))))</f>
        <v/>
      </c>
      <c r="I1350" s="59" t="str">
        <f>IF(B1350="","",IFERROR(INDEX(pr_unit,MATCH(B1350,pr_code,0))&amp;"",""))</f>
        <v/>
      </c>
      <c r="J1350" s="65" t="str">
        <f>IF(COUNTA(A1350:G1350)=0,"",IF(E1350&lt;&gt;"",E1350,IF(B1350="","",IFERROR(IF(INDEX(pr_price,MATCH(B1350,pr_code,0))="","",INDEX(pr_price,MATCH(B1350,pr_code,0))),""))))</f>
        <v/>
      </c>
      <c r="K1350" s="71" t="str">
        <f>IF(COUNTA(A1350:G1350)=0,"",IF(G1350&lt;&gt;"",G1350,IF(B1350="","",IFERROR(IF(INDEX(pr_rate,MATCH(B1350,pr_code,0))="","",INDEX(pr_rate,MATCH(B1350,pr_code,0))),""))))</f>
        <v/>
      </c>
      <c r="L1350" s="65" t="str">
        <f>IF(COUNTA(A1350:G1350)=0,"",IF(AND(ISNUMBER(D1350),ISNUMBER(J1350)),ROUND(D1350*J1350*(1-N(F1350)),2),0))</f>
        <v/>
      </c>
      <c r="M1350" s="62" t="str">
        <f>IF(A1350="","",IFERROR(INDEX(fa_cname,MATCH(A1350,fa_num,0))&amp;"",""))</f>
        <v/>
      </c>
      <c r="N1350" s="59" t="str">
        <f>IF(COUNTA(A1350:G1350)=0,"",IF(A1350="","N° facture manquant",IF(ISNA(MATCH(A1350,fa_num,0)),"Facture inconnue",IF(AND(B1350&lt;&gt;"",ISNA(MATCH(B1350,pr_code,0))),"Article inconnu",IF(H1350="","Désignation manquante",IF(OR(NOT(ISNUMBER(D1350)),N(D1350)&lt;=0),"Quantité invalide",IF(J1350="","Prix manquant",IF(OR(NOT(ISNUMBER(J1350)),N(J1350)&lt;0),"Prix invalide",IF(OR(AND(F1350&lt;&gt;"",NOT(ISNUMBER(F1350))),N(F1350)&lt;0,N(F1350)&gt;1),"Remise invalide",IF(K1350="","Taux de TVA manquant",IF(NOT(ISNUMBER(K1350)),"Taux de TVA invalide",IF(COUNTIF(p_rates,K1350)=0,"Taux de TVA hors liste (Paramètres)",IF(N(O1350)&gt;25,"Au-delà de 25 lignes : non imprimée","OK")))))))))))))</f>
        <v/>
      </c>
      <c r="O1350" s="59" t="str">
        <f>IF(A1350="","",COUNTIF($A$6:A1350,A1350))</f>
        <v/>
      </c>
      <c r="P1350" s="62" t="str">
        <f>IF(A1350="","",A1350&amp;"|"&amp;O1350)</f>
        <v/>
      </c>
    </row>
    <row r="1351">
      <c r="A1351" s="60" t="n"/>
      <c r="B1351" s="63" t="n"/>
      <c r="C1351" s="63" t="n"/>
      <c r="D1351" s="67" t="n"/>
      <c r="E1351" s="68" t="n"/>
      <c r="F1351" s="69" t="n"/>
      <c r="G1351" s="70" t="n"/>
      <c r="H1351" s="62" t="str">
        <f>IF(COUNTA(A1351:G1351)=0,"",IF(C1351&lt;&gt;"",C1351,IF(B1351="","",IFERROR(INDEX(pr_des,MATCH(B1351,pr_code,0))&amp;"",""))))</f>
        <v/>
      </c>
      <c r="I1351" s="59" t="str">
        <f>IF(B1351="","",IFERROR(INDEX(pr_unit,MATCH(B1351,pr_code,0))&amp;"",""))</f>
        <v/>
      </c>
      <c r="J1351" s="65" t="str">
        <f>IF(COUNTA(A1351:G1351)=0,"",IF(E1351&lt;&gt;"",E1351,IF(B1351="","",IFERROR(IF(INDEX(pr_price,MATCH(B1351,pr_code,0))="","",INDEX(pr_price,MATCH(B1351,pr_code,0))),""))))</f>
        <v/>
      </c>
      <c r="K1351" s="71" t="str">
        <f>IF(COUNTA(A1351:G1351)=0,"",IF(G1351&lt;&gt;"",G1351,IF(B1351="","",IFERROR(IF(INDEX(pr_rate,MATCH(B1351,pr_code,0))="","",INDEX(pr_rate,MATCH(B1351,pr_code,0))),""))))</f>
        <v/>
      </c>
      <c r="L1351" s="65" t="str">
        <f>IF(COUNTA(A1351:G1351)=0,"",IF(AND(ISNUMBER(D1351),ISNUMBER(J1351)),ROUND(D1351*J1351*(1-N(F1351)),2),0))</f>
        <v/>
      </c>
      <c r="M1351" s="62" t="str">
        <f>IF(A1351="","",IFERROR(INDEX(fa_cname,MATCH(A1351,fa_num,0))&amp;"",""))</f>
        <v/>
      </c>
      <c r="N1351" s="59" t="str">
        <f>IF(COUNTA(A1351:G1351)=0,"",IF(A1351="","N° facture manquant",IF(ISNA(MATCH(A1351,fa_num,0)),"Facture inconnue",IF(AND(B1351&lt;&gt;"",ISNA(MATCH(B1351,pr_code,0))),"Article inconnu",IF(H1351="","Désignation manquante",IF(OR(NOT(ISNUMBER(D1351)),N(D1351)&lt;=0),"Quantité invalide",IF(J1351="","Prix manquant",IF(OR(NOT(ISNUMBER(J1351)),N(J1351)&lt;0),"Prix invalide",IF(OR(AND(F1351&lt;&gt;"",NOT(ISNUMBER(F1351))),N(F1351)&lt;0,N(F1351)&gt;1),"Remise invalide",IF(K1351="","Taux de TVA manquant",IF(NOT(ISNUMBER(K1351)),"Taux de TVA invalide",IF(COUNTIF(p_rates,K1351)=0,"Taux de TVA hors liste (Paramètres)",IF(N(O1351)&gt;25,"Au-delà de 25 lignes : non imprimée","OK")))))))))))))</f>
        <v/>
      </c>
      <c r="O1351" s="59" t="str">
        <f>IF(A1351="","",COUNTIF($A$6:A1351,A1351))</f>
        <v/>
      </c>
      <c r="P1351" s="62" t="str">
        <f>IF(A1351="","",A1351&amp;"|"&amp;O1351)</f>
        <v/>
      </c>
    </row>
    <row r="1352">
      <c r="A1352" s="60" t="n"/>
      <c r="B1352" s="63" t="n"/>
      <c r="C1352" s="63" t="n"/>
      <c r="D1352" s="67" t="n"/>
      <c r="E1352" s="68" t="n"/>
      <c r="F1352" s="69" t="n"/>
      <c r="G1352" s="70" t="n"/>
      <c r="H1352" s="62" t="str">
        <f>IF(COUNTA(A1352:G1352)=0,"",IF(C1352&lt;&gt;"",C1352,IF(B1352="","",IFERROR(INDEX(pr_des,MATCH(B1352,pr_code,0))&amp;"",""))))</f>
        <v/>
      </c>
      <c r="I1352" s="59" t="str">
        <f>IF(B1352="","",IFERROR(INDEX(pr_unit,MATCH(B1352,pr_code,0))&amp;"",""))</f>
        <v/>
      </c>
      <c r="J1352" s="65" t="str">
        <f>IF(COUNTA(A1352:G1352)=0,"",IF(E1352&lt;&gt;"",E1352,IF(B1352="","",IFERROR(IF(INDEX(pr_price,MATCH(B1352,pr_code,0))="","",INDEX(pr_price,MATCH(B1352,pr_code,0))),""))))</f>
        <v/>
      </c>
      <c r="K1352" s="71" t="str">
        <f>IF(COUNTA(A1352:G1352)=0,"",IF(G1352&lt;&gt;"",G1352,IF(B1352="","",IFERROR(IF(INDEX(pr_rate,MATCH(B1352,pr_code,0))="","",INDEX(pr_rate,MATCH(B1352,pr_code,0))),""))))</f>
        <v/>
      </c>
      <c r="L1352" s="65" t="str">
        <f>IF(COUNTA(A1352:G1352)=0,"",IF(AND(ISNUMBER(D1352),ISNUMBER(J1352)),ROUND(D1352*J1352*(1-N(F1352)),2),0))</f>
        <v/>
      </c>
      <c r="M1352" s="62" t="str">
        <f>IF(A1352="","",IFERROR(INDEX(fa_cname,MATCH(A1352,fa_num,0))&amp;"",""))</f>
        <v/>
      </c>
      <c r="N1352" s="59" t="str">
        <f>IF(COUNTA(A1352:G1352)=0,"",IF(A1352="","N° facture manquant",IF(ISNA(MATCH(A1352,fa_num,0)),"Facture inconnue",IF(AND(B1352&lt;&gt;"",ISNA(MATCH(B1352,pr_code,0))),"Article inconnu",IF(H1352="","Désignation manquante",IF(OR(NOT(ISNUMBER(D1352)),N(D1352)&lt;=0),"Quantité invalide",IF(J1352="","Prix manquant",IF(OR(NOT(ISNUMBER(J1352)),N(J1352)&lt;0),"Prix invalide",IF(OR(AND(F1352&lt;&gt;"",NOT(ISNUMBER(F1352))),N(F1352)&lt;0,N(F1352)&gt;1),"Remise invalide",IF(K1352="","Taux de TVA manquant",IF(NOT(ISNUMBER(K1352)),"Taux de TVA invalide",IF(COUNTIF(p_rates,K1352)=0,"Taux de TVA hors liste (Paramètres)",IF(N(O1352)&gt;25,"Au-delà de 25 lignes : non imprimée","OK")))))))))))))</f>
        <v/>
      </c>
      <c r="O1352" s="59" t="str">
        <f>IF(A1352="","",COUNTIF($A$6:A1352,A1352))</f>
        <v/>
      </c>
      <c r="P1352" s="62" t="str">
        <f>IF(A1352="","",A1352&amp;"|"&amp;O1352)</f>
        <v/>
      </c>
    </row>
    <row r="1353">
      <c r="A1353" s="60" t="n"/>
      <c r="B1353" s="63" t="n"/>
      <c r="C1353" s="63" t="n"/>
      <c r="D1353" s="67" t="n"/>
      <c r="E1353" s="68" t="n"/>
      <c r="F1353" s="69" t="n"/>
      <c r="G1353" s="70" t="n"/>
      <c r="H1353" s="62" t="str">
        <f>IF(COUNTA(A1353:G1353)=0,"",IF(C1353&lt;&gt;"",C1353,IF(B1353="","",IFERROR(INDEX(pr_des,MATCH(B1353,pr_code,0))&amp;"",""))))</f>
        <v/>
      </c>
      <c r="I1353" s="59" t="str">
        <f>IF(B1353="","",IFERROR(INDEX(pr_unit,MATCH(B1353,pr_code,0))&amp;"",""))</f>
        <v/>
      </c>
      <c r="J1353" s="65" t="str">
        <f>IF(COUNTA(A1353:G1353)=0,"",IF(E1353&lt;&gt;"",E1353,IF(B1353="","",IFERROR(IF(INDEX(pr_price,MATCH(B1353,pr_code,0))="","",INDEX(pr_price,MATCH(B1353,pr_code,0))),""))))</f>
        <v/>
      </c>
      <c r="K1353" s="71" t="str">
        <f>IF(COUNTA(A1353:G1353)=0,"",IF(G1353&lt;&gt;"",G1353,IF(B1353="","",IFERROR(IF(INDEX(pr_rate,MATCH(B1353,pr_code,0))="","",INDEX(pr_rate,MATCH(B1353,pr_code,0))),""))))</f>
        <v/>
      </c>
      <c r="L1353" s="65" t="str">
        <f>IF(COUNTA(A1353:G1353)=0,"",IF(AND(ISNUMBER(D1353),ISNUMBER(J1353)),ROUND(D1353*J1353*(1-N(F1353)),2),0))</f>
        <v/>
      </c>
      <c r="M1353" s="62" t="str">
        <f>IF(A1353="","",IFERROR(INDEX(fa_cname,MATCH(A1353,fa_num,0))&amp;"",""))</f>
        <v/>
      </c>
      <c r="N1353" s="59" t="str">
        <f>IF(COUNTA(A1353:G1353)=0,"",IF(A1353="","N° facture manquant",IF(ISNA(MATCH(A1353,fa_num,0)),"Facture inconnue",IF(AND(B1353&lt;&gt;"",ISNA(MATCH(B1353,pr_code,0))),"Article inconnu",IF(H1353="","Désignation manquante",IF(OR(NOT(ISNUMBER(D1353)),N(D1353)&lt;=0),"Quantité invalide",IF(J1353="","Prix manquant",IF(OR(NOT(ISNUMBER(J1353)),N(J1353)&lt;0),"Prix invalide",IF(OR(AND(F1353&lt;&gt;"",NOT(ISNUMBER(F1353))),N(F1353)&lt;0,N(F1353)&gt;1),"Remise invalide",IF(K1353="","Taux de TVA manquant",IF(NOT(ISNUMBER(K1353)),"Taux de TVA invalide",IF(COUNTIF(p_rates,K1353)=0,"Taux de TVA hors liste (Paramètres)",IF(N(O1353)&gt;25,"Au-delà de 25 lignes : non imprimée","OK")))))))))))))</f>
        <v/>
      </c>
      <c r="O1353" s="59" t="str">
        <f>IF(A1353="","",COUNTIF($A$6:A1353,A1353))</f>
        <v/>
      </c>
      <c r="P1353" s="62" t="str">
        <f>IF(A1353="","",A1353&amp;"|"&amp;O1353)</f>
        <v/>
      </c>
    </row>
    <row r="1354">
      <c r="A1354" s="60" t="n"/>
      <c r="B1354" s="63" t="n"/>
      <c r="C1354" s="63" t="n"/>
      <c r="D1354" s="67" t="n"/>
      <c r="E1354" s="68" t="n"/>
      <c r="F1354" s="69" t="n"/>
      <c r="G1354" s="70" t="n"/>
      <c r="H1354" s="62" t="str">
        <f>IF(COUNTA(A1354:G1354)=0,"",IF(C1354&lt;&gt;"",C1354,IF(B1354="","",IFERROR(INDEX(pr_des,MATCH(B1354,pr_code,0))&amp;"",""))))</f>
        <v/>
      </c>
      <c r="I1354" s="59" t="str">
        <f>IF(B1354="","",IFERROR(INDEX(pr_unit,MATCH(B1354,pr_code,0))&amp;"",""))</f>
        <v/>
      </c>
      <c r="J1354" s="65" t="str">
        <f>IF(COUNTA(A1354:G1354)=0,"",IF(E1354&lt;&gt;"",E1354,IF(B1354="","",IFERROR(IF(INDEX(pr_price,MATCH(B1354,pr_code,0))="","",INDEX(pr_price,MATCH(B1354,pr_code,0))),""))))</f>
        <v/>
      </c>
      <c r="K1354" s="71" t="str">
        <f>IF(COUNTA(A1354:G1354)=0,"",IF(G1354&lt;&gt;"",G1354,IF(B1354="","",IFERROR(IF(INDEX(pr_rate,MATCH(B1354,pr_code,0))="","",INDEX(pr_rate,MATCH(B1354,pr_code,0))),""))))</f>
        <v/>
      </c>
      <c r="L1354" s="65" t="str">
        <f>IF(COUNTA(A1354:G1354)=0,"",IF(AND(ISNUMBER(D1354),ISNUMBER(J1354)),ROUND(D1354*J1354*(1-N(F1354)),2),0))</f>
        <v/>
      </c>
      <c r="M1354" s="62" t="str">
        <f>IF(A1354="","",IFERROR(INDEX(fa_cname,MATCH(A1354,fa_num,0))&amp;"",""))</f>
        <v/>
      </c>
      <c r="N1354" s="59" t="str">
        <f>IF(COUNTA(A1354:G1354)=0,"",IF(A1354="","N° facture manquant",IF(ISNA(MATCH(A1354,fa_num,0)),"Facture inconnue",IF(AND(B1354&lt;&gt;"",ISNA(MATCH(B1354,pr_code,0))),"Article inconnu",IF(H1354="","Désignation manquante",IF(OR(NOT(ISNUMBER(D1354)),N(D1354)&lt;=0),"Quantité invalide",IF(J1354="","Prix manquant",IF(OR(NOT(ISNUMBER(J1354)),N(J1354)&lt;0),"Prix invalide",IF(OR(AND(F1354&lt;&gt;"",NOT(ISNUMBER(F1354))),N(F1354)&lt;0,N(F1354)&gt;1),"Remise invalide",IF(K1354="","Taux de TVA manquant",IF(NOT(ISNUMBER(K1354)),"Taux de TVA invalide",IF(COUNTIF(p_rates,K1354)=0,"Taux de TVA hors liste (Paramètres)",IF(N(O1354)&gt;25,"Au-delà de 25 lignes : non imprimée","OK")))))))))))))</f>
        <v/>
      </c>
      <c r="O1354" s="59" t="str">
        <f>IF(A1354="","",COUNTIF($A$6:A1354,A1354))</f>
        <v/>
      </c>
      <c r="P1354" s="62" t="str">
        <f>IF(A1354="","",A1354&amp;"|"&amp;O1354)</f>
        <v/>
      </c>
    </row>
    <row r="1355">
      <c r="A1355" s="60" t="n"/>
      <c r="B1355" s="63" t="n"/>
      <c r="C1355" s="63" t="n"/>
      <c r="D1355" s="67" t="n"/>
      <c r="E1355" s="68" t="n"/>
      <c r="F1355" s="69" t="n"/>
      <c r="G1355" s="70" t="n"/>
      <c r="H1355" s="62" t="str">
        <f>IF(COUNTA(A1355:G1355)=0,"",IF(C1355&lt;&gt;"",C1355,IF(B1355="","",IFERROR(INDEX(pr_des,MATCH(B1355,pr_code,0))&amp;"",""))))</f>
        <v/>
      </c>
      <c r="I1355" s="59" t="str">
        <f>IF(B1355="","",IFERROR(INDEX(pr_unit,MATCH(B1355,pr_code,0))&amp;"",""))</f>
        <v/>
      </c>
      <c r="J1355" s="65" t="str">
        <f>IF(COUNTA(A1355:G1355)=0,"",IF(E1355&lt;&gt;"",E1355,IF(B1355="","",IFERROR(IF(INDEX(pr_price,MATCH(B1355,pr_code,0))="","",INDEX(pr_price,MATCH(B1355,pr_code,0))),""))))</f>
        <v/>
      </c>
      <c r="K1355" s="71" t="str">
        <f>IF(COUNTA(A1355:G1355)=0,"",IF(G1355&lt;&gt;"",G1355,IF(B1355="","",IFERROR(IF(INDEX(pr_rate,MATCH(B1355,pr_code,0))="","",INDEX(pr_rate,MATCH(B1355,pr_code,0))),""))))</f>
        <v/>
      </c>
      <c r="L1355" s="65" t="str">
        <f>IF(COUNTA(A1355:G1355)=0,"",IF(AND(ISNUMBER(D1355),ISNUMBER(J1355)),ROUND(D1355*J1355*(1-N(F1355)),2),0))</f>
        <v/>
      </c>
      <c r="M1355" s="62" t="str">
        <f>IF(A1355="","",IFERROR(INDEX(fa_cname,MATCH(A1355,fa_num,0))&amp;"",""))</f>
        <v/>
      </c>
      <c r="N1355" s="59" t="str">
        <f>IF(COUNTA(A1355:G1355)=0,"",IF(A1355="","N° facture manquant",IF(ISNA(MATCH(A1355,fa_num,0)),"Facture inconnue",IF(AND(B1355&lt;&gt;"",ISNA(MATCH(B1355,pr_code,0))),"Article inconnu",IF(H1355="","Désignation manquante",IF(OR(NOT(ISNUMBER(D1355)),N(D1355)&lt;=0),"Quantité invalide",IF(J1355="","Prix manquant",IF(OR(NOT(ISNUMBER(J1355)),N(J1355)&lt;0),"Prix invalide",IF(OR(AND(F1355&lt;&gt;"",NOT(ISNUMBER(F1355))),N(F1355)&lt;0,N(F1355)&gt;1),"Remise invalide",IF(K1355="","Taux de TVA manquant",IF(NOT(ISNUMBER(K1355)),"Taux de TVA invalide",IF(COUNTIF(p_rates,K1355)=0,"Taux de TVA hors liste (Paramètres)",IF(N(O1355)&gt;25,"Au-delà de 25 lignes : non imprimée","OK")))))))))))))</f>
        <v/>
      </c>
      <c r="O1355" s="59" t="str">
        <f>IF(A1355="","",COUNTIF($A$6:A1355,A1355))</f>
        <v/>
      </c>
      <c r="P1355" s="62" t="str">
        <f>IF(A1355="","",A1355&amp;"|"&amp;O1355)</f>
        <v/>
      </c>
    </row>
    <row r="1356">
      <c r="A1356" s="60" t="n"/>
      <c r="B1356" s="63" t="n"/>
      <c r="C1356" s="63" t="n"/>
      <c r="D1356" s="67" t="n"/>
      <c r="E1356" s="68" t="n"/>
      <c r="F1356" s="69" t="n"/>
      <c r="G1356" s="70" t="n"/>
      <c r="H1356" s="62" t="str">
        <f>IF(COUNTA(A1356:G1356)=0,"",IF(C1356&lt;&gt;"",C1356,IF(B1356="","",IFERROR(INDEX(pr_des,MATCH(B1356,pr_code,0))&amp;"",""))))</f>
        <v/>
      </c>
      <c r="I1356" s="59" t="str">
        <f>IF(B1356="","",IFERROR(INDEX(pr_unit,MATCH(B1356,pr_code,0))&amp;"",""))</f>
        <v/>
      </c>
      <c r="J1356" s="65" t="str">
        <f>IF(COUNTA(A1356:G1356)=0,"",IF(E1356&lt;&gt;"",E1356,IF(B1356="","",IFERROR(IF(INDEX(pr_price,MATCH(B1356,pr_code,0))="","",INDEX(pr_price,MATCH(B1356,pr_code,0))),""))))</f>
        <v/>
      </c>
      <c r="K1356" s="71" t="str">
        <f>IF(COUNTA(A1356:G1356)=0,"",IF(G1356&lt;&gt;"",G1356,IF(B1356="","",IFERROR(IF(INDEX(pr_rate,MATCH(B1356,pr_code,0))="","",INDEX(pr_rate,MATCH(B1356,pr_code,0))),""))))</f>
        <v/>
      </c>
      <c r="L1356" s="65" t="str">
        <f>IF(COUNTA(A1356:G1356)=0,"",IF(AND(ISNUMBER(D1356),ISNUMBER(J1356)),ROUND(D1356*J1356*(1-N(F1356)),2),0))</f>
        <v/>
      </c>
      <c r="M1356" s="62" t="str">
        <f>IF(A1356="","",IFERROR(INDEX(fa_cname,MATCH(A1356,fa_num,0))&amp;"",""))</f>
        <v/>
      </c>
      <c r="N1356" s="59" t="str">
        <f>IF(COUNTA(A1356:G1356)=0,"",IF(A1356="","N° facture manquant",IF(ISNA(MATCH(A1356,fa_num,0)),"Facture inconnue",IF(AND(B1356&lt;&gt;"",ISNA(MATCH(B1356,pr_code,0))),"Article inconnu",IF(H1356="","Désignation manquante",IF(OR(NOT(ISNUMBER(D1356)),N(D1356)&lt;=0),"Quantité invalide",IF(J1356="","Prix manquant",IF(OR(NOT(ISNUMBER(J1356)),N(J1356)&lt;0),"Prix invalide",IF(OR(AND(F1356&lt;&gt;"",NOT(ISNUMBER(F1356))),N(F1356)&lt;0,N(F1356)&gt;1),"Remise invalide",IF(K1356="","Taux de TVA manquant",IF(NOT(ISNUMBER(K1356)),"Taux de TVA invalide",IF(COUNTIF(p_rates,K1356)=0,"Taux de TVA hors liste (Paramètres)",IF(N(O1356)&gt;25,"Au-delà de 25 lignes : non imprimée","OK")))))))))))))</f>
        <v/>
      </c>
      <c r="O1356" s="59" t="str">
        <f>IF(A1356="","",COUNTIF($A$6:A1356,A1356))</f>
        <v/>
      </c>
      <c r="P1356" s="62" t="str">
        <f>IF(A1356="","",A1356&amp;"|"&amp;O1356)</f>
        <v/>
      </c>
    </row>
    <row r="1357">
      <c r="A1357" s="60" t="n"/>
      <c r="B1357" s="63" t="n"/>
      <c r="C1357" s="63" t="n"/>
      <c r="D1357" s="67" t="n"/>
      <c r="E1357" s="68" t="n"/>
      <c r="F1357" s="69" t="n"/>
      <c r="G1357" s="70" t="n"/>
      <c r="H1357" s="62" t="str">
        <f>IF(COUNTA(A1357:G1357)=0,"",IF(C1357&lt;&gt;"",C1357,IF(B1357="","",IFERROR(INDEX(pr_des,MATCH(B1357,pr_code,0))&amp;"",""))))</f>
        <v/>
      </c>
      <c r="I1357" s="59" t="str">
        <f>IF(B1357="","",IFERROR(INDEX(pr_unit,MATCH(B1357,pr_code,0))&amp;"",""))</f>
        <v/>
      </c>
      <c r="J1357" s="65" t="str">
        <f>IF(COUNTA(A1357:G1357)=0,"",IF(E1357&lt;&gt;"",E1357,IF(B1357="","",IFERROR(IF(INDEX(pr_price,MATCH(B1357,pr_code,0))="","",INDEX(pr_price,MATCH(B1357,pr_code,0))),""))))</f>
        <v/>
      </c>
      <c r="K1357" s="71" t="str">
        <f>IF(COUNTA(A1357:G1357)=0,"",IF(G1357&lt;&gt;"",G1357,IF(B1357="","",IFERROR(IF(INDEX(pr_rate,MATCH(B1357,pr_code,0))="","",INDEX(pr_rate,MATCH(B1357,pr_code,0))),""))))</f>
        <v/>
      </c>
      <c r="L1357" s="65" t="str">
        <f>IF(COUNTA(A1357:G1357)=0,"",IF(AND(ISNUMBER(D1357),ISNUMBER(J1357)),ROUND(D1357*J1357*(1-N(F1357)),2),0))</f>
        <v/>
      </c>
      <c r="M1357" s="62" t="str">
        <f>IF(A1357="","",IFERROR(INDEX(fa_cname,MATCH(A1357,fa_num,0))&amp;"",""))</f>
        <v/>
      </c>
      <c r="N1357" s="59" t="str">
        <f>IF(COUNTA(A1357:G1357)=0,"",IF(A1357="","N° facture manquant",IF(ISNA(MATCH(A1357,fa_num,0)),"Facture inconnue",IF(AND(B1357&lt;&gt;"",ISNA(MATCH(B1357,pr_code,0))),"Article inconnu",IF(H1357="","Désignation manquante",IF(OR(NOT(ISNUMBER(D1357)),N(D1357)&lt;=0),"Quantité invalide",IF(J1357="","Prix manquant",IF(OR(NOT(ISNUMBER(J1357)),N(J1357)&lt;0),"Prix invalide",IF(OR(AND(F1357&lt;&gt;"",NOT(ISNUMBER(F1357))),N(F1357)&lt;0,N(F1357)&gt;1),"Remise invalide",IF(K1357="","Taux de TVA manquant",IF(NOT(ISNUMBER(K1357)),"Taux de TVA invalide",IF(COUNTIF(p_rates,K1357)=0,"Taux de TVA hors liste (Paramètres)",IF(N(O1357)&gt;25,"Au-delà de 25 lignes : non imprimée","OK")))))))))))))</f>
        <v/>
      </c>
      <c r="O1357" s="59" t="str">
        <f>IF(A1357="","",COUNTIF($A$6:A1357,A1357))</f>
        <v/>
      </c>
      <c r="P1357" s="62" t="str">
        <f>IF(A1357="","",A1357&amp;"|"&amp;O1357)</f>
        <v/>
      </c>
    </row>
    <row r="1358">
      <c r="A1358" s="60" t="n"/>
      <c r="B1358" s="63" t="n"/>
      <c r="C1358" s="63" t="n"/>
      <c r="D1358" s="67" t="n"/>
      <c r="E1358" s="68" t="n"/>
      <c r="F1358" s="69" t="n"/>
      <c r="G1358" s="70" t="n"/>
      <c r="H1358" s="62" t="str">
        <f>IF(COUNTA(A1358:G1358)=0,"",IF(C1358&lt;&gt;"",C1358,IF(B1358="","",IFERROR(INDEX(pr_des,MATCH(B1358,pr_code,0))&amp;"",""))))</f>
        <v/>
      </c>
      <c r="I1358" s="59" t="str">
        <f>IF(B1358="","",IFERROR(INDEX(pr_unit,MATCH(B1358,pr_code,0))&amp;"",""))</f>
        <v/>
      </c>
      <c r="J1358" s="65" t="str">
        <f>IF(COUNTA(A1358:G1358)=0,"",IF(E1358&lt;&gt;"",E1358,IF(B1358="","",IFERROR(IF(INDEX(pr_price,MATCH(B1358,pr_code,0))="","",INDEX(pr_price,MATCH(B1358,pr_code,0))),""))))</f>
        <v/>
      </c>
      <c r="K1358" s="71" t="str">
        <f>IF(COUNTA(A1358:G1358)=0,"",IF(G1358&lt;&gt;"",G1358,IF(B1358="","",IFERROR(IF(INDEX(pr_rate,MATCH(B1358,pr_code,0))="","",INDEX(pr_rate,MATCH(B1358,pr_code,0))),""))))</f>
        <v/>
      </c>
      <c r="L1358" s="65" t="str">
        <f>IF(COUNTA(A1358:G1358)=0,"",IF(AND(ISNUMBER(D1358),ISNUMBER(J1358)),ROUND(D1358*J1358*(1-N(F1358)),2),0))</f>
        <v/>
      </c>
      <c r="M1358" s="62" t="str">
        <f>IF(A1358="","",IFERROR(INDEX(fa_cname,MATCH(A1358,fa_num,0))&amp;"",""))</f>
        <v/>
      </c>
      <c r="N1358" s="59" t="str">
        <f>IF(COUNTA(A1358:G1358)=0,"",IF(A1358="","N° facture manquant",IF(ISNA(MATCH(A1358,fa_num,0)),"Facture inconnue",IF(AND(B1358&lt;&gt;"",ISNA(MATCH(B1358,pr_code,0))),"Article inconnu",IF(H1358="","Désignation manquante",IF(OR(NOT(ISNUMBER(D1358)),N(D1358)&lt;=0),"Quantité invalide",IF(J1358="","Prix manquant",IF(OR(NOT(ISNUMBER(J1358)),N(J1358)&lt;0),"Prix invalide",IF(OR(AND(F1358&lt;&gt;"",NOT(ISNUMBER(F1358))),N(F1358)&lt;0,N(F1358)&gt;1),"Remise invalide",IF(K1358="","Taux de TVA manquant",IF(NOT(ISNUMBER(K1358)),"Taux de TVA invalide",IF(COUNTIF(p_rates,K1358)=0,"Taux de TVA hors liste (Paramètres)",IF(N(O1358)&gt;25,"Au-delà de 25 lignes : non imprimée","OK")))))))))))))</f>
        <v/>
      </c>
      <c r="O1358" s="59" t="str">
        <f>IF(A1358="","",COUNTIF($A$6:A1358,A1358))</f>
        <v/>
      </c>
      <c r="P1358" s="62" t="str">
        <f>IF(A1358="","",A1358&amp;"|"&amp;O1358)</f>
        <v/>
      </c>
    </row>
    <row r="1359">
      <c r="A1359" s="60" t="n"/>
      <c r="B1359" s="63" t="n"/>
      <c r="C1359" s="63" t="n"/>
      <c r="D1359" s="67" t="n"/>
      <c r="E1359" s="68" t="n"/>
      <c r="F1359" s="69" t="n"/>
      <c r="G1359" s="70" t="n"/>
      <c r="H1359" s="62" t="str">
        <f>IF(COUNTA(A1359:G1359)=0,"",IF(C1359&lt;&gt;"",C1359,IF(B1359="","",IFERROR(INDEX(pr_des,MATCH(B1359,pr_code,0))&amp;"",""))))</f>
        <v/>
      </c>
      <c r="I1359" s="59" t="str">
        <f>IF(B1359="","",IFERROR(INDEX(pr_unit,MATCH(B1359,pr_code,0))&amp;"",""))</f>
        <v/>
      </c>
      <c r="J1359" s="65" t="str">
        <f>IF(COUNTA(A1359:G1359)=0,"",IF(E1359&lt;&gt;"",E1359,IF(B1359="","",IFERROR(IF(INDEX(pr_price,MATCH(B1359,pr_code,0))="","",INDEX(pr_price,MATCH(B1359,pr_code,0))),""))))</f>
        <v/>
      </c>
      <c r="K1359" s="71" t="str">
        <f>IF(COUNTA(A1359:G1359)=0,"",IF(G1359&lt;&gt;"",G1359,IF(B1359="","",IFERROR(IF(INDEX(pr_rate,MATCH(B1359,pr_code,0))="","",INDEX(pr_rate,MATCH(B1359,pr_code,0))),""))))</f>
        <v/>
      </c>
      <c r="L1359" s="65" t="str">
        <f>IF(COUNTA(A1359:G1359)=0,"",IF(AND(ISNUMBER(D1359),ISNUMBER(J1359)),ROUND(D1359*J1359*(1-N(F1359)),2),0))</f>
        <v/>
      </c>
      <c r="M1359" s="62" t="str">
        <f>IF(A1359="","",IFERROR(INDEX(fa_cname,MATCH(A1359,fa_num,0))&amp;"",""))</f>
        <v/>
      </c>
      <c r="N1359" s="59" t="str">
        <f>IF(COUNTA(A1359:G1359)=0,"",IF(A1359="","N° facture manquant",IF(ISNA(MATCH(A1359,fa_num,0)),"Facture inconnue",IF(AND(B1359&lt;&gt;"",ISNA(MATCH(B1359,pr_code,0))),"Article inconnu",IF(H1359="","Désignation manquante",IF(OR(NOT(ISNUMBER(D1359)),N(D1359)&lt;=0),"Quantité invalide",IF(J1359="","Prix manquant",IF(OR(NOT(ISNUMBER(J1359)),N(J1359)&lt;0),"Prix invalide",IF(OR(AND(F1359&lt;&gt;"",NOT(ISNUMBER(F1359))),N(F1359)&lt;0,N(F1359)&gt;1),"Remise invalide",IF(K1359="","Taux de TVA manquant",IF(NOT(ISNUMBER(K1359)),"Taux de TVA invalide",IF(COUNTIF(p_rates,K1359)=0,"Taux de TVA hors liste (Paramètres)",IF(N(O1359)&gt;25,"Au-delà de 25 lignes : non imprimée","OK")))))))))))))</f>
        <v/>
      </c>
      <c r="O1359" s="59" t="str">
        <f>IF(A1359="","",COUNTIF($A$6:A1359,A1359))</f>
        <v/>
      </c>
      <c r="P1359" s="62" t="str">
        <f>IF(A1359="","",A1359&amp;"|"&amp;O1359)</f>
        <v/>
      </c>
    </row>
    <row r="1360">
      <c r="A1360" s="60" t="n"/>
      <c r="B1360" s="63" t="n"/>
      <c r="C1360" s="63" t="n"/>
      <c r="D1360" s="67" t="n"/>
      <c r="E1360" s="68" t="n"/>
      <c r="F1360" s="69" t="n"/>
      <c r="G1360" s="70" t="n"/>
      <c r="H1360" s="62" t="str">
        <f>IF(COUNTA(A1360:G1360)=0,"",IF(C1360&lt;&gt;"",C1360,IF(B1360="","",IFERROR(INDEX(pr_des,MATCH(B1360,pr_code,0))&amp;"",""))))</f>
        <v/>
      </c>
      <c r="I1360" s="59" t="str">
        <f>IF(B1360="","",IFERROR(INDEX(pr_unit,MATCH(B1360,pr_code,0))&amp;"",""))</f>
        <v/>
      </c>
      <c r="J1360" s="65" t="str">
        <f>IF(COUNTA(A1360:G1360)=0,"",IF(E1360&lt;&gt;"",E1360,IF(B1360="","",IFERROR(IF(INDEX(pr_price,MATCH(B1360,pr_code,0))="","",INDEX(pr_price,MATCH(B1360,pr_code,0))),""))))</f>
        <v/>
      </c>
      <c r="K1360" s="71" t="str">
        <f>IF(COUNTA(A1360:G1360)=0,"",IF(G1360&lt;&gt;"",G1360,IF(B1360="","",IFERROR(IF(INDEX(pr_rate,MATCH(B1360,pr_code,0))="","",INDEX(pr_rate,MATCH(B1360,pr_code,0))),""))))</f>
        <v/>
      </c>
      <c r="L1360" s="65" t="str">
        <f>IF(COUNTA(A1360:G1360)=0,"",IF(AND(ISNUMBER(D1360),ISNUMBER(J1360)),ROUND(D1360*J1360*(1-N(F1360)),2),0))</f>
        <v/>
      </c>
      <c r="M1360" s="62" t="str">
        <f>IF(A1360="","",IFERROR(INDEX(fa_cname,MATCH(A1360,fa_num,0))&amp;"",""))</f>
        <v/>
      </c>
      <c r="N1360" s="59" t="str">
        <f>IF(COUNTA(A1360:G1360)=0,"",IF(A1360="","N° facture manquant",IF(ISNA(MATCH(A1360,fa_num,0)),"Facture inconnue",IF(AND(B1360&lt;&gt;"",ISNA(MATCH(B1360,pr_code,0))),"Article inconnu",IF(H1360="","Désignation manquante",IF(OR(NOT(ISNUMBER(D1360)),N(D1360)&lt;=0),"Quantité invalide",IF(J1360="","Prix manquant",IF(OR(NOT(ISNUMBER(J1360)),N(J1360)&lt;0),"Prix invalide",IF(OR(AND(F1360&lt;&gt;"",NOT(ISNUMBER(F1360))),N(F1360)&lt;0,N(F1360)&gt;1),"Remise invalide",IF(K1360="","Taux de TVA manquant",IF(NOT(ISNUMBER(K1360)),"Taux de TVA invalide",IF(COUNTIF(p_rates,K1360)=0,"Taux de TVA hors liste (Paramètres)",IF(N(O1360)&gt;25,"Au-delà de 25 lignes : non imprimée","OK")))))))))))))</f>
        <v/>
      </c>
      <c r="O1360" s="59" t="str">
        <f>IF(A1360="","",COUNTIF($A$6:A1360,A1360))</f>
        <v/>
      </c>
      <c r="P1360" s="62" t="str">
        <f>IF(A1360="","",A1360&amp;"|"&amp;O1360)</f>
        <v/>
      </c>
    </row>
    <row r="1361">
      <c r="A1361" s="60" t="n"/>
      <c r="B1361" s="63" t="n"/>
      <c r="C1361" s="63" t="n"/>
      <c r="D1361" s="67" t="n"/>
      <c r="E1361" s="68" t="n"/>
      <c r="F1361" s="69" t="n"/>
      <c r="G1361" s="70" t="n"/>
      <c r="H1361" s="62" t="str">
        <f>IF(COUNTA(A1361:G1361)=0,"",IF(C1361&lt;&gt;"",C1361,IF(B1361="","",IFERROR(INDEX(pr_des,MATCH(B1361,pr_code,0))&amp;"",""))))</f>
        <v/>
      </c>
      <c r="I1361" s="59" t="str">
        <f>IF(B1361="","",IFERROR(INDEX(pr_unit,MATCH(B1361,pr_code,0))&amp;"",""))</f>
        <v/>
      </c>
      <c r="J1361" s="65" t="str">
        <f>IF(COUNTA(A1361:G1361)=0,"",IF(E1361&lt;&gt;"",E1361,IF(B1361="","",IFERROR(IF(INDEX(pr_price,MATCH(B1361,pr_code,0))="","",INDEX(pr_price,MATCH(B1361,pr_code,0))),""))))</f>
        <v/>
      </c>
      <c r="K1361" s="71" t="str">
        <f>IF(COUNTA(A1361:G1361)=0,"",IF(G1361&lt;&gt;"",G1361,IF(B1361="","",IFERROR(IF(INDEX(pr_rate,MATCH(B1361,pr_code,0))="","",INDEX(pr_rate,MATCH(B1361,pr_code,0))),""))))</f>
        <v/>
      </c>
      <c r="L1361" s="65" t="str">
        <f>IF(COUNTA(A1361:G1361)=0,"",IF(AND(ISNUMBER(D1361),ISNUMBER(J1361)),ROUND(D1361*J1361*(1-N(F1361)),2),0))</f>
        <v/>
      </c>
      <c r="M1361" s="62" t="str">
        <f>IF(A1361="","",IFERROR(INDEX(fa_cname,MATCH(A1361,fa_num,0))&amp;"",""))</f>
        <v/>
      </c>
      <c r="N1361" s="59" t="str">
        <f>IF(COUNTA(A1361:G1361)=0,"",IF(A1361="","N° facture manquant",IF(ISNA(MATCH(A1361,fa_num,0)),"Facture inconnue",IF(AND(B1361&lt;&gt;"",ISNA(MATCH(B1361,pr_code,0))),"Article inconnu",IF(H1361="","Désignation manquante",IF(OR(NOT(ISNUMBER(D1361)),N(D1361)&lt;=0),"Quantité invalide",IF(J1361="","Prix manquant",IF(OR(NOT(ISNUMBER(J1361)),N(J1361)&lt;0),"Prix invalide",IF(OR(AND(F1361&lt;&gt;"",NOT(ISNUMBER(F1361))),N(F1361)&lt;0,N(F1361)&gt;1),"Remise invalide",IF(K1361="","Taux de TVA manquant",IF(NOT(ISNUMBER(K1361)),"Taux de TVA invalide",IF(COUNTIF(p_rates,K1361)=0,"Taux de TVA hors liste (Paramètres)",IF(N(O1361)&gt;25,"Au-delà de 25 lignes : non imprimée","OK")))))))))))))</f>
        <v/>
      </c>
      <c r="O1361" s="59" t="str">
        <f>IF(A1361="","",COUNTIF($A$6:A1361,A1361))</f>
        <v/>
      </c>
      <c r="P1361" s="62" t="str">
        <f>IF(A1361="","",A1361&amp;"|"&amp;O1361)</f>
        <v/>
      </c>
    </row>
    <row r="1362">
      <c r="A1362" s="60" t="n"/>
      <c r="B1362" s="63" t="n"/>
      <c r="C1362" s="63" t="n"/>
      <c r="D1362" s="67" t="n"/>
      <c r="E1362" s="68" t="n"/>
      <c r="F1362" s="69" t="n"/>
      <c r="G1362" s="70" t="n"/>
      <c r="H1362" s="62" t="str">
        <f>IF(COUNTA(A1362:G1362)=0,"",IF(C1362&lt;&gt;"",C1362,IF(B1362="","",IFERROR(INDEX(pr_des,MATCH(B1362,pr_code,0))&amp;"",""))))</f>
        <v/>
      </c>
      <c r="I1362" s="59" t="str">
        <f>IF(B1362="","",IFERROR(INDEX(pr_unit,MATCH(B1362,pr_code,0))&amp;"",""))</f>
        <v/>
      </c>
      <c r="J1362" s="65" t="str">
        <f>IF(COUNTA(A1362:G1362)=0,"",IF(E1362&lt;&gt;"",E1362,IF(B1362="","",IFERROR(IF(INDEX(pr_price,MATCH(B1362,pr_code,0))="","",INDEX(pr_price,MATCH(B1362,pr_code,0))),""))))</f>
        <v/>
      </c>
      <c r="K1362" s="71" t="str">
        <f>IF(COUNTA(A1362:G1362)=0,"",IF(G1362&lt;&gt;"",G1362,IF(B1362="","",IFERROR(IF(INDEX(pr_rate,MATCH(B1362,pr_code,0))="","",INDEX(pr_rate,MATCH(B1362,pr_code,0))),""))))</f>
        <v/>
      </c>
      <c r="L1362" s="65" t="str">
        <f>IF(COUNTA(A1362:G1362)=0,"",IF(AND(ISNUMBER(D1362),ISNUMBER(J1362)),ROUND(D1362*J1362*(1-N(F1362)),2),0))</f>
        <v/>
      </c>
      <c r="M1362" s="62" t="str">
        <f>IF(A1362="","",IFERROR(INDEX(fa_cname,MATCH(A1362,fa_num,0))&amp;"",""))</f>
        <v/>
      </c>
      <c r="N1362" s="59" t="str">
        <f>IF(COUNTA(A1362:G1362)=0,"",IF(A1362="","N° facture manquant",IF(ISNA(MATCH(A1362,fa_num,0)),"Facture inconnue",IF(AND(B1362&lt;&gt;"",ISNA(MATCH(B1362,pr_code,0))),"Article inconnu",IF(H1362="","Désignation manquante",IF(OR(NOT(ISNUMBER(D1362)),N(D1362)&lt;=0),"Quantité invalide",IF(J1362="","Prix manquant",IF(OR(NOT(ISNUMBER(J1362)),N(J1362)&lt;0),"Prix invalide",IF(OR(AND(F1362&lt;&gt;"",NOT(ISNUMBER(F1362))),N(F1362)&lt;0,N(F1362)&gt;1),"Remise invalide",IF(K1362="","Taux de TVA manquant",IF(NOT(ISNUMBER(K1362)),"Taux de TVA invalide",IF(COUNTIF(p_rates,K1362)=0,"Taux de TVA hors liste (Paramètres)",IF(N(O1362)&gt;25,"Au-delà de 25 lignes : non imprimée","OK")))))))))))))</f>
        <v/>
      </c>
      <c r="O1362" s="59" t="str">
        <f>IF(A1362="","",COUNTIF($A$6:A1362,A1362))</f>
        <v/>
      </c>
      <c r="P1362" s="62" t="str">
        <f>IF(A1362="","",A1362&amp;"|"&amp;O1362)</f>
        <v/>
      </c>
    </row>
    <row r="1363">
      <c r="A1363" s="60" t="n"/>
      <c r="B1363" s="63" t="n"/>
      <c r="C1363" s="63" t="n"/>
      <c r="D1363" s="67" t="n"/>
      <c r="E1363" s="68" t="n"/>
      <c r="F1363" s="69" t="n"/>
      <c r="G1363" s="70" t="n"/>
      <c r="H1363" s="62" t="str">
        <f>IF(COUNTA(A1363:G1363)=0,"",IF(C1363&lt;&gt;"",C1363,IF(B1363="","",IFERROR(INDEX(pr_des,MATCH(B1363,pr_code,0))&amp;"",""))))</f>
        <v/>
      </c>
      <c r="I1363" s="59" t="str">
        <f>IF(B1363="","",IFERROR(INDEX(pr_unit,MATCH(B1363,pr_code,0))&amp;"",""))</f>
        <v/>
      </c>
      <c r="J1363" s="65" t="str">
        <f>IF(COUNTA(A1363:G1363)=0,"",IF(E1363&lt;&gt;"",E1363,IF(B1363="","",IFERROR(IF(INDEX(pr_price,MATCH(B1363,pr_code,0))="","",INDEX(pr_price,MATCH(B1363,pr_code,0))),""))))</f>
        <v/>
      </c>
      <c r="K1363" s="71" t="str">
        <f>IF(COUNTA(A1363:G1363)=0,"",IF(G1363&lt;&gt;"",G1363,IF(B1363="","",IFERROR(IF(INDEX(pr_rate,MATCH(B1363,pr_code,0))="","",INDEX(pr_rate,MATCH(B1363,pr_code,0))),""))))</f>
        <v/>
      </c>
      <c r="L1363" s="65" t="str">
        <f>IF(COUNTA(A1363:G1363)=0,"",IF(AND(ISNUMBER(D1363),ISNUMBER(J1363)),ROUND(D1363*J1363*(1-N(F1363)),2),0))</f>
        <v/>
      </c>
      <c r="M1363" s="62" t="str">
        <f>IF(A1363="","",IFERROR(INDEX(fa_cname,MATCH(A1363,fa_num,0))&amp;"",""))</f>
        <v/>
      </c>
      <c r="N1363" s="59" t="str">
        <f>IF(COUNTA(A1363:G1363)=0,"",IF(A1363="","N° facture manquant",IF(ISNA(MATCH(A1363,fa_num,0)),"Facture inconnue",IF(AND(B1363&lt;&gt;"",ISNA(MATCH(B1363,pr_code,0))),"Article inconnu",IF(H1363="","Désignation manquante",IF(OR(NOT(ISNUMBER(D1363)),N(D1363)&lt;=0),"Quantité invalide",IF(J1363="","Prix manquant",IF(OR(NOT(ISNUMBER(J1363)),N(J1363)&lt;0),"Prix invalide",IF(OR(AND(F1363&lt;&gt;"",NOT(ISNUMBER(F1363))),N(F1363)&lt;0,N(F1363)&gt;1),"Remise invalide",IF(K1363="","Taux de TVA manquant",IF(NOT(ISNUMBER(K1363)),"Taux de TVA invalide",IF(COUNTIF(p_rates,K1363)=0,"Taux de TVA hors liste (Paramètres)",IF(N(O1363)&gt;25,"Au-delà de 25 lignes : non imprimée","OK")))))))))))))</f>
        <v/>
      </c>
      <c r="O1363" s="59" t="str">
        <f>IF(A1363="","",COUNTIF($A$6:A1363,A1363))</f>
        <v/>
      </c>
      <c r="P1363" s="62" t="str">
        <f>IF(A1363="","",A1363&amp;"|"&amp;O1363)</f>
        <v/>
      </c>
    </row>
    <row r="1364">
      <c r="A1364" s="60" t="n"/>
      <c r="B1364" s="63" t="n"/>
      <c r="C1364" s="63" t="n"/>
      <c r="D1364" s="67" t="n"/>
      <c r="E1364" s="68" t="n"/>
      <c r="F1364" s="69" t="n"/>
      <c r="G1364" s="70" t="n"/>
      <c r="H1364" s="62" t="str">
        <f>IF(COUNTA(A1364:G1364)=0,"",IF(C1364&lt;&gt;"",C1364,IF(B1364="","",IFERROR(INDEX(pr_des,MATCH(B1364,pr_code,0))&amp;"",""))))</f>
        <v/>
      </c>
      <c r="I1364" s="59" t="str">
        <f>IF(B1364="","",IFERROR(INDEX(pr_unit,MATCH(B1364,pr_code,0))&amp;"",""))</f>
        <v/>
      </c>
      <c r="J1364" s="65" t="str">
        <f>IF(COUNTA(A1364:G1364)=0,"",IF(E1364&lt;&gt;"",E1364,IF(B1364="","",IFERROR(IF(INDEX(pr_price,MATCH(B1364,pr_code,0))="","",INDEX(pr_price,MATCH(B1364,pr_code,0))),""))))</f>
        <v/>
      </c>
      <c r="K1364" s="71" t="str">
        <f>IF(COUNTA(A1364:G1364)=0,"",IF(G1364&lt;&gt;"",G1364,IF(B1364="","",IFERROR(IF(INDEX(pr_rate,MATCH(B1364,pr_code,0))="","",INDEX(pr_rate,MATCH(B1364,pr_code,0))),""))))</f>
        <v/>
      </c>
      <c r="L1364" s="65" t="str">
        <f>IF(COUNTA(A1364:G1364)=0,"",IF(AND(ISNUMBER(D1364),ISNUMBER(J1364)),ROUND(D1364*J1364*(1-N(F1364)),2),0))</f>
        <v/>
      </c>
      <c r="M1364" s="62" t="str">
        <f>IF(A1364="","",IFERROR(INDEX(fa_cname,MATCH(A1364,fa_num,0))&amp;"",""))</f>
        <v/>
      </c>
      <c r="N1364" s="59" t="str">
        <f>IF(COUNTA(A1364:G1364)=0,"",IF(A1364="","N° facture manquant",IF(ISNA(MATCH(A1364,fa_num,0)),"Facture inconnue",IF(AND(B1364&lt;&gt;"",ISNA(MATCH(B1364,pr_code,0))),"Article inconnu",IF(H1364="","Désignation manquante",IF(OR(NOT(ISNUMBER(D1364)),N(D1364)&lt;=0),"Quantité invalide",IF(J1364="","Prix manquant",IF(OR(NOT(ISNUMBER(J1364)),N(J1364)&lt;0),"Prix invalide",IF(OR(AND(F1364&lt;&gt;"",NOT(ISNUMBER(F1364))),N(F1364)&lt;0,N(F1364)&gt;1),"Remise invalide",IF(K1364="","Taux de TVA manquant",IF(NOT(ISNUMBER(K1364)),"Taux de TVA invalide",IF(COUNTIF(p_rates,K1364)=0,"Taux de TVA hors liste (Paramètres)",IF(N(O1364)&gt;25,"Au-delà de 25 lignes : non imprimée","OK")))))))))))))</f>
        <v/>
      </c>
      <c r="O1364" s="59" t="str">
        <f>IF(A1364="","",COUNTIF($A$6:A1364,A1364))</f>
        <v/>
      </c>
      <c r="P1364" s="62" t="str">
        <f>IF(A1364="","",A1364&amp;"|"&amp;O1364)</f>
        <v/>
      </c>
    </row>
    <row r="1365">
      <c r="A1365" s="60" t="n"/>
      <c r="B1365" s="63" t="n"/>
      <c r="C1365" s="63" t="n"/>
      <c r="D1365" s="67" t="n"/>
      <c r="E1365" s="68" t="n"/>
      <c r="F1365" s="69" t="n"/>
      <c r="G1365" s="70" t="n"/>
      <c r="H1365" s="62" t="str">
        <f>IF(COUNTA(A1365:G1365)=0,"",IF(C1365&lt;&gt;"",C1365,IF(B1365="","",IFERROR(INDEX(pr_des,MATCH(B1365,pr_code,0))&amp;"",""))))</f>
        <v/>
      </c>
      <c r="I1365" s="59" t="str">
        <f>IF(B1365="","",IFERROR(INDEX(pr_unit,MATCH(B1365,pr_code,0))&amp;"",""))</f>
        <v/>
      </c>
      <c r="J1365" s="65" t="str">
        <f>IF(COUNTA(A1365:G1365)=0,"",IF(E1365&lt;&gt;"",E1365,IF(B1365="","",IFERROR(IF(INDEX(pr_price,MATCH(B1365,pr_code,0))="","",INDEX(pr_price,MATCH(B1365,pr_code,0))),""))))</f>
        <v/>
      </c>
      <c r="K1365" s="71" t="str">
        <f>IF(COUNTA(A1365:G1365)=0,"",IF(G1365&lt;&gt;"",G1365,IF(B1365="","",IFERROR(IF(INDEX(pr_rate,MATCH(B1365,pr_code,0))="","",INDEX(pr_rate,MATCH(B1365,pr_code,0))),""))))</f>
        <v/>
      </c>
      <c r="L1365" s="65" t="str">
        <f>IF(COUNTA(A1365:G1365)=0,"",IF(AND(ISNUMBER(D1365),ISNUMBER(J1365)),ROUND(D1365*J1365*(1-N(F1365)),2),0))</f>
        <v/>
      </c>
      <c r="M1365" s="62" t="str">
        <f>IF(A1365="","",IFERROR(INDEX(fa_cname,MATCH(A1365,fa_num,0))&amp;"",""))</f>
        <v/>
      </c>
      <c r="N1365" s="59" t="str">
        <f>IF(COUNTA(A1365:G1365)=0,"",IF(A1365="","N° facture manquant",IF(ISNA(MATCH(A1365,fa_num,0)),"Facture inconnue",IF(AND(B1365&lt;&gt;"",ISNA(MATCH(B1365,pr_code,0))),"Article inconnu",IF(H1365="","Désignation manquante",IF(OR(NOT(ISNUMBER(D1365)),N(D1365)&lt;=0),"Quantité invalide",IF(J1365="","Prix manquant",IF(OR(NOT(ISNUMBER(J1365)),N(J1365)&lt;0),"Prix invalide",IF(OR(AND(F1365&lt;&gt;"",NOT(ISNUMBER(F1365))),N(F1365)&lt;0,N(F1365)&gt;1),"Remise invalide",IF(K1365="","Taux de TVA manquant",IF(NOT(ISNUMBER(K1365)),"Taux de TVA invalide",IF(COUNTIF(p_rates,K1365)=0,"Taux de TVA hors liste (Paramètres)",IF(N(O1365)&gt;25,"Au-delà de 25 lignes : non imprimée","OK")))))))))))))</f>
        <v/>
      </c>
      <c r="O1365" s="59" t="str">
        <f>IF(A1365="","",COUNTIF($A$6:A1365,A1365))</f>
        <v/>
      </c>
      <c r="P1365" s="62" t="str">
        <f>IF(A1365="","",A1365&amp;"|"&amp;O1365)</f>
        <v/>
      </c>
    </row>
    <row r="1366">
      <c r="A1366" s="60" t="n"/>
      <c r="B1366" s="63" t="n"/>
      <c r="C1366" s="63" t="n"/>
      <c r="D1366" s="67" t="n"/>
      <c r="E1366" s="68" t="n"/>
      <c r="F1366" s="69" t="n"/>
      <c r="G1366" s="70" t="n"/>
      <c r="H1366" s="62" t="str">
        <f>IF(COUNTA(A1366:G1366)=0,"",IF(C1366&lt;&gt;"",C1366,IF(B1366="","",IFERROR(INDEX(pr_des,MATCH(B1366,pr_code,0))&amp;"",""))))</f>
        <v/>
      </c>
      <c r="I1366" s="59" t="str">
        <f>IF(B1366="","",IFERROR(INDEX(pr_unit,MATCH(B1366,pr_code,0))&amp;"",""))</f>
        <v/>
      </c>
      <c r="J1366" s="65" t="str">
        <f>IF(COUNTA(A1366:G1366)=0,"",IF(E1366&lt;&gt;"",E1366,IF(B1366="","",IFERROR(IF(INDEX(pr_price,MATCH(B1366,pr_code,0))="","",INDEX(pr_price,MATCH(B1366,pr_code,0))),""))))</f>
        <v/>
      </c>
      <c r="K1366" s="71" t="str">
        <f>IF(COUNTA(A1366:G1366)=0,"",IF(G1366&lt;&gt;"",G1366,IF(B1366="","",IFERROR(IF(INDEX(pr_rate,MATCH(B1366,pr_code,0))="","",INDEX(pr_rate,MATCH(B1366,pr_code,0))),""))))</f>
        <v/>
      </c>
      <c r="L1366" s="65" t="str">
        <f>IF(COUNTA(A1366:G1366)=0,"",IF(AND(ISNUMBER(D1366),ISNUMBER(J1366)),ROUND(D1366*J1366*(1-N(F1366)),2),0))</f>
        <v/>
      </c>
      <c r="M1366" s="62" t="str">
        <f>IF(A1366="","",IFERROR(INDEX(fa_cname,MATCH(A1366,fa_num,0))&amp;"",""))</f>
        <v/>
      </c>
      <c r="N1366" s="59" t="str">
        <f>IF(COUNTA(A1366:G1366)=0,"",IF(A1366="","N° facture manquant",IF(ISNA(MATCH(A1366,fa_num,0)),"Facture inconnue",IF(AND(B1366&lt;&gt;"",ISNA(MATCH(B1366,pr_code,0))),"Article inconnu",IF(H1366="","Désignation manquante",IF(OR(NOT(ISNUMBER(D1366)),N(D1366)&lt;=0),"Quantité invalide",IF(J1366="","Prix manquant",IF(OR(NOT(ISNUMBER(J1366)),N(J1366)&lt;0),"Prix invalide",IF(OR(AND(F1366&lt;&gt;"",NOT(ISNUMBER(F1366))),N(F1366)&lt;0,N(F1366)&gt;1),"Remise invalide",IF(K1366="","Taux de TVA manquant",IF(NOT(ISNUMBER(K1366)),"Taux de TVA invalide",IF(COUNTIF(p_rates,K1366)=0,"Taux de TVA hors liste (Paramètres)",IF(N(O1366)&gt;25,"Au-delà de 25 lignes : non imprimée","OK")))))))))))))</f>
        <v/>
      </c>
      <c r="O1366" s="59" t="str">
        <f>IF(A1366="","",COUNTIF($A$6:A1366,A1366))</f>
        <v/>
      </c>
      <c r="P1366" s="62" t="str">
        <f>IF(A1366="","",A1366&amp;"|"&amp;O1366)</f>
        <v/>
      </c>
    </row>
    <row r="1367">
      <c r="A1367" s="60" t="n"/>
      <c r="B1367" s="63" t="n"/>
      <c r="C1367" s="63" t="n"/>
      <c r="D1367" s="67" t="n"/>
      <c r="E1367" s="68" t="n"/>
      <c r="F1367" s="69" t="n"/>
      <c r="G1367" s="70" t="n"/>
      <c r="H1367" s="62" t="str">
        <f>IF(COUNTA(A1367:G1367)=0,"",IF(C1367&lt;&gt;"",C1367,IF(B1367="","",IFERROR(INDEX(pr_des,MATCH(B1367,pr_code,0))&amp;"",""))))</f>
        <v/>
      </c>
      <c r="I1367" s="59" t="str">
        <f>IF(B1367="","",IFERROR(INDEX(pr_unit,MATCH(B1367,pr_code,0))&amp;"",""))</f>
        <v/>
      </c>
      <c r="J1367" s="65" t="str">
        <f>IF(COUNTA(A1367:G1367)=0,"",IF(E1367&lt;&gt;"",E1367,IF(B1367="","",IFERROR(IF(INDEX(pr_price,MATCH(B1367,pr_code,0))="","",INDEX(pr_price,MATCH(B1367,pr_code,0))),""))))</f>
        <v/>
      </c>
      <c r="K1367" s="71" t="str">
        <f>IF(COUNTA(A1367:G1367)=0,"",IF(G1367&lt;&gt;"",G1367,IF(B1367="","",IFERROR(IF(INDEX(pr_rate,MATCH(B1367,pr_code,0))="","",INDEX(pr_rate,MATCH(B1367,pr_code,0))),""))))</f>
        <v/>
      </c>
      <c r="L1367" s="65" t="str">
        <f>IF(COUNTA(A1367:G1367)=0,"",IF(AND(ISNUMBER(D1367),ISNUMBER(J1367)),ROUND(D1367*J1367*(1-N(F1367)),2),0))</f>
        <v/>
      </c>
      <c r="M1367" s="62" t="str">
        <f>IF(A1367="","",IFERROR(INDEX(fa_cname,MATCH(A1367,fa_num,0))&amp;"",""))</f>
        <v/>
      </c>
      <c r="N1367" s="59" t="str">
        <f>IF(COUNTA(A1367:G1367)=0,"",IF(A1367="","N° facture manquant",IF(ISNA(MATCH(A1367,fa_num,0)),"Facture inconnue",IF(AND(B1367&lt;&gt;"",ISNA(MATCH(B1367,pr_code,0))),"Article inconnu",IF(H1367="","Désignation manquante",IF(OR(NOT(ISNUMBER(D1367)),N(D1367)&lt;=0),"Quantité invalide",IF(J1367="","Prix manquant",IF(OR(NOT(ISNUMBER(J1367)),N(J1367)&lt;0),"Prix invalide",IF(OR(AND(F1367&lt;&gt;"",NOT(ISNUMBER(F1367))),N(F1367)&lt;0,N(F1367)&gt;1),"Remise invalide",IF(K1367="","Taux de TVA manquant",IF(NOT(ISNUMBER(K1367)),"Taux de TVA invalide",IF(COUNTIF(p_rates,K1367)=0,"Taux de TVA hors liste (Paramètres)",IF(N(O1367)&gt;25,"Au-delà de 25 lignes : non imprimée","OK")))))))))))))</f>
        <v/>
      </c>
      <c r="O1367" s="59" t="str">
        <f>IF(A1367="","",COUNTIF($A$6:A1367,A1367))</f>
        <v/>
      </c>
      <c r="P1367" s="62" t="str">
        <f>IF(A1367="","",A1367&amp;"|"&amp;O1367)</f>
        <v/>
      </c>
    </row>
    <row r="1368">
      <c r="A1368" s="60" t="n"/>
      <c r="B1368" s="63" t="n"/>
      <c r="C1368" s="63" t="n"/>
      <c r="D1368" s="67" t="n"/>
      <c r="E1368" s="68" t="n"/>
      <c r="F1368" s="69" t="n"/>
      <c r="G1368" s="70" t="n"/>
      <c r="H1368" s="62" t="str">
        <f>IF(COUNTA(A1368:G1368)=0,"",IF(C1368&lt;&gt;"",C1368,IF(B1368="","",IFERROR(INDEX(pr_des,MATCH(B1368,pr_code,0))&amp;"",""))))</f>
        <v/>
      </c>
      <c r="I1368" s="59" t="str">
        <f>IF(B1368="","",IFERROR(INDEX(pr_unit,MATCH(B1368,pr_code,0))&amp;"",""))</f>
        <v/>
      </c>
      <c r="J1368" s="65" t="str">
        <f>IF(COUNTA(A1368:G1368)=0,"",IF(E1368&lt;&gt;"",E1368,IF(B1368="","",IFERROR(IF(INDEX(pr_price,MATCH(B1368,pr_code,0))="","",INDEX(pr_price,MATCH(B1368,pr_code,0))),""))))</f>
        <v/>
      </c>
      <c r="K1368" s="71" t="str">
        <f>IF(COUNTA(A1368:G1368)=0,"",IF(G1368&lt;&gt;"",G1368,IF(B1368="","",IFERROR(IF(INDEX(pr_rate,MATCH(B1368,pr_code,0))="","",INDEX(pr_rate,MATCH(B1368,pr_code,0))),""))))</f>
        <v/>
      </c>
      <c r="L1368" s="65" t="str">
        <f>IF(COUNTA(A1368:G1368)=0,"",IF(AND(ISNUMBER(D1368),ISNUMBER(J1368)),ROUND(D1368*J1368*(1-N(F1368)),2),0))</f>
        <v/>
      </c>
      <c r="M1368" s="62" t="str">
        <f>IF(A1368="","",IFERROR(INDEX(fa_cname,MATCH(A1368,fa_num,0))&amp;"",""))</f>
        <v/>
      </c>
      <c r="N1368" s="59" t="str">
        <f>IF(COUNTA(A1368:G1368)=0,"",IF(A1368="","N° facture manquant",IF(ISNA(MATCH(A1368,fa_num,0)),"Facture inconnue",IF(AND(B1368&lt;&gt;"",ISNA(MATCH(B1368,pr_code,0))),"Article inconnu",IF(H1368="","Désignation manquante",IF(OR(NOT(ISNUMBER(D1368)),N(D1368)&lt;=0),"Quantité invalide",IF(J1368="","Prix manquant",IF(OR(NOT(ISNUMBER(J1368)),N(J1368)&lt;0),"Prix invalide",IF(OR(AND(F1368&lt;&gt;"",NOT(ISNUMBER(F1368))),N(F1368)&lt;0,N(F1368)&gt;1),"Remise invalide",IF(K1368="","Taux de TVA manquant",IF(NOT(ISNUMBER(K1368)),"Taux de TVA invalide",IF(COUNTIF(p_rates,K1368)=0,"Taux de TVA hors liste (Paramètres)",IF(N(O1368)&gt;25,"Au-delà de 25 lignes : non imprimée","OK")))))))))))))</f>
        <v/>
      </c>
      <c r="O1368" s="59" t="str">
        <f>IF(A1368="","",COUNTIF($A$6:A1368,A1368))</f>
        <v/>
      </c>
      <c r="P1368" s="62" t="str">
        <f>IF(A1368="","",A1368&amp;"|"&amp;O1368)</f>
        <v/>
      </c>
    </row>
    <row r="1369">
      <c r="A1369" s="60" t="n"/>
      <c r="B1369" s="63" t="n"/>
      <c r="C1369" s="63" t="n"/>
      <c r="D1369" s="67" t="n"/>
      <c r="E1369" s="68" t="n"/>
      <c r="F1369" s="69" t="n"/>
      <c r="G1369" s="70" t="n"/>
      <c r="H1369" s="62" t="str">
        <f>IF(COUNTA(A1369:G1369)=0,"",IF(C1369&lt;&gt;"",C1369,IF(B1369="","",IFERROR(INDEX(pr_des,MATCH(B1369,pr_code,0))&amp;"",""))))</f>
        <v/>
      </c>
      <c r="I1369" s="59" t="str">
        <f>IF(B1369="","",IFERROR(INDEX(pr_unit,MATCH(B1369,pr_code,0))&amp;"",""))</f>
        <v/>
      </c>
      <c r="J1369" s="65" t="str">
        <f>IF(COUNTA(A1369:G1369)=0,"",IF(E1369&lt;&gt;"",E1369,IF(B1369="","",IFERROR(IF(INDEX(pr_price,MATCH(B1369,pr_code,0))="","",INDEX(pr_price,MATCH(B1369,pr_code,0))),""))))</f>
        <v/>
      </c>
      <c r="K1369" s="71" t="str">
        <f>IF(COUNTA(A1369:G1369)=0,"",IF(G1369&lt;&gt;"",G1369,IF(B1369="","",IFERROR(IF(INDEX(pr_rate,MATCH(B1369,pr_code,0))="","",INDEX(pr_rate,MATCH(B1369,pr_code,0))),""))))</f>
        <v/>
      </c>
      <c r="L1369" s="65" t="str">
        <f>IF(COUNTA(A1369:G1369)=0,"",IF(AND(ISNUMBER(D1369),ISNUMBER(J1369)),ROUND(D1369*J1369*(1-N(F1369)),2),0))</f>
        <v/>
      </c>
      <c r="M1369" s="62" t="str">
        <f>IF(A1369="","",IFERROR(INDEX(fa_cname,MATCH(A1369,fa_num,0))&amp;"",""))</f>
        <v/>
      </c>
      <c r="N1369" s="59" t="str">
        <f>IF(COUNTA(A1369:G1369)=0,"",IF(A1369="","N° facture manquant",IF(ISNA(MATCH(A1369,fa_num,0)),"Facture inconnue",IF(AND(B1369&lt;&gt;"",ISNA(MATCH(B1369,pr_code,0))),"Article inconnu",IF(H1369="","Désignation manquante",IF(OR(NOT(ISNUMBER(D1369)),N(D1369)&lt;=0),"Quantité invalide",IF(J1369="","Prix manquant",IF(OR(NOT(ISNUMBER(J1369)),N(J1369)&lt;0),"Prix invalide",IF(OR(AND(F1369&lt;&gt;"",NOT(ISNUMBER(F1369))),N(F1369)&lt;0,N(F1369)&gt;1),"Remise invalide",IF(K1369="","Taux de TVA manquant",IF(NOT(ISNUMBER(K1369)),"Taux de TVA invalide",IF(COUNTIF(p_rates,K1369)=0,"Taux de TVA hors liste (Paramètres)",IF(N(O1369)&gt;25,"Au-delà de 25 lignes : non imprimée","OK")))))))))))))</f>
        <v/>
      </c>
      <c r="O1369" s="59" t="str">
        <f>IF(A1369="","",COUNTIF($A$6:A1369,A1369))</f>
        <v/>
      </c>
      <c r="P1369" s="62" t="str">
        <f>IF(A1369="","",A1369&amp;"|"&amp;O1369)</f>
        <v/>
      </c>
    </row>
    <row r="1370">
      <c r="A1370" s="60" t="n"/>
      <c r="B1370" s="63" t="n"/>
      <c r="C1370" s="63" t="n"/>
      <c r="D1370" s="67" t="n"/>
      <c r="E1370" s="68" t="n"/>
      <c r="F1370" s="69" t="n"/>
      <c r="G1370" s="70" t="n"/>
      <c r="H1370" s="62" t="str">
        <f>IF(COUNTA(A1370:G1370)=0,"",IF(C1370&lt;&gt;"",C1370,IF(B1370="","",IFERROR(INDEX(pr_des,MATCH(B1370,pr_code,0))&amp;"",""))))</f>
        <v/>
      </c>
      <c r="I1370" s="59" t="str">
        <f>IF(B1370="","",IFERROR(INDEX(pr_unit,MATCH(B1370,pr_code,0))&amp;"",""))</f>
        <v/>
      </c>
      <c r="J1370" s="65" t="str">
        <f>IF(COUNTA(A1370:G1370)=0,"",IF(E1370&lt;&gt;"",E1370,IF(B1370="","",IFERROR(IF(INDEX(pr_price,MATCH(B1370,pr_code,0))="","",INDEX(pr_price,MATCH(B1370,pr_code,0))),""))))</f>
        <v/>
      </c>
      <c r="K1370" s="71" t="str">
        <f>IF(COUNTA(A1370:G1370)=0,"",IF(G1370&lt;&gt;"",G1370,IF(B1370="","",IFERROR(IF(INDEX(pr_rate,MATCH(B1370,pr_code,0))="","",INDEX(pr_rate,MATCH(B1370,pr_code,0))),""))))</f>
        <v/>
      </c>
      <c r="L1370" s="65" t="str">
        <f>IF(COUNTA(A1370:G1370)=0,"",IF(AND(ISNUMBER(D1370),ISNUMBER(J1370)),ROUND(D1370*J1370*(1-N(F1370)),2),0))</f>
        <v/>
      </c>
      <c r="M1370" s="62" t="str">
        <f>IF(A1370="","",IFERROR(INDEX(fa_cname,MATCH(A1370,fa_num,0))&amp;"",""))</f>
        <v/>
      </c>
      <c r="N1370" s="59" t="str">
        <f>IF(COUNTA(A1370:G1370)=0,"",IF(A1370="","N° facture manquant",IF(ISNA(MATCH(A1370,fa_num,0)),"Facture inconnue",IF(AND(B1370&lt;&gt;"",ISNA(MATCH(B1370,pr_code,0))),"Article inconnu",IF(H1370="","Désignation manquante",IF(OR(NOT(ISNUMBER(D1370)),N(D1370)&lt;=0),"Quantité invalide",IF(J1370="","Prix manquant",IF(OR(NOT(ISNUMBER(J1370)),N(J1370)&lt;0),"Prix invalide",IF(OR(AND(F1370&lt;&gt;"",NOT(ISNUMBER(F1370))),N(F1370)&lt;0,N(F1370)&gt;1),"Remise invalide",IF(K1370="","Taux de TVA manquant",IF(NOT(ISNUMBER(K1370)),"Taux de TVA invalide",IF(COUNTIF(p_rates,K1370)=0,"Taux de TVA hors liste (Paramètres)",IF(N(O1370)&gt;25,"Au-delà de 25 lignes : non imprimée","OK")))))))))))))</f>
        <v/>
      </c>
      <c r="O1370" s="59" t="str">
        <f>IF(A1370="","",COUNTIF($A$6:A1370,A1370))</f>
        <v/>
      </c>
      <c r="P1370" s="62" t="str">
        <f>IF(A1370="","",A1370&amp;"|"&amp;O1370)</f>
        <v/>
      </c>
    </row>
    <row r="1371">
      <c r="A1371" s="60" t="n"/>
      <c r="B1371" s="63" t="n"/>
      <c r="C1371" s="63" t="n"/>
      <c r="D1371" s="67" t="n"/>
      <c r="E1371" s="68" t="n"/>
      <c r="F1371" s="69" t="n"/>
      <c r="G1371" s="70" t="n"/>
      <c r="H1371" s="62" t="str">
        <f>IF(COUNTA(A1371:G1371)=0,"",IF(C1371&lt;&gt;"",C1371,IF(B1371="","",IFERROR(INDEX(pr_des,MATCH(B1371,pr_code,0))&amp;"",""))))</f>
        <v/>
      </c>
      <c r="I1371" s="59" t="str">
        <f>IF(B1371="","",IFERROR(INDEX(pr_unit,MATCH(B1371,pr_code,0))&amp;"",""))</f>
        <v/>
      </c>
      <c r="J1371" s="65" t="str">
        <f>IF(COUNTA(A1371:G1371)=0,"",IF(E1371&lt;&gt;"",E1371,IF(B1371="","",IFERROR(IF(INDEX(pr_price,MATCH(B1371,pr_code,0))="","",INDEX(pr_price,MATCH(B1371,pr_code,0))),""))))</f>
        <v/>
      </c>
      <c r="K1371" s="71" t="str">
        <f>IF(COUNTA(A1371:G1371)=0,"",IF(G1371&lt;&gt;"",G1371,IF(B1371="","",IFERROR(IF(INDEX(pr_rate,MATCH(B1371,pr_code,0))="","",INDEX(pr_rate,MATCH(B1371,pr_code,0))),""))))</f>
        <v/>
      </c>
      <c r="L1371" s="65" t="str">
        <f>IF(COUNTA(A1371:G1371)=0,"",IF(AND(ISNUMBER(D1371),ISNUMBER(J1371)),ROUND(D1371*J1371*(1-N(F1371)),2),0))</f>
        <v/>
      </c>
      <c r="M1371" s="62" t="str">
        <f>IF(A1371="","",IFERROR(INDEX(fa_cname,MATCH(A1371,fa_num,0))&amp;"",""))</f>
        <v/>
      </c>
      <c r="N1371" s="59" t="str">
        <f>IF(COUNTA(A1371:G1371)=0,"",IF(A1371="","N° facture manquant",IF(ISNA(MATCH(A1371,fa_num,0)),"Facture inconnue",IF(AND(B1371&lt;&gt;"",ISNA(MATCH(B1371,pr_code,0))),"Article inconnu",IF(H1371="","Désignation manquante",IF(OR(NOT(ISNUMBER(D1371)),N(D1371)&lt;=0),"Quantité invalide",IF(J1371="","Prix manquant",IF(OR(NOT(ISNUMBER(J1371)),N(J1371)&lt;0),"Prix invalide",IF(OR(AND(F1371&lt;&gt;"",NOT(ISNUMBER(F1371))),N(F1371)&lt;0,N(F1371)&gt;1),"Remise invalide",IF(K1371="","Taux de TVA manquant",IF(NOT(ISNUMBER(K1371)),"Taux de TVA invalide",IF(COUNTIF(p_rates,K1371)=0,"Taux de TVA hors liste (Paramètres)",IF(N(O1371)&gt;25,"Au-delà de 25 lignes : non imprimée","OK")))))))))))))</f>
        <v/>
      </c>
      <c r="O1371" s="59" t="str">
        <f>IF(A1371="","",COUNTIF($A$6:A1371,A1371))</f>
        <v/>
      </c>
      <c r="P1371" s="62" t="str">
        <f>IF(A1371="","",A1371&amp;"|"&amp;O1371)</f>
        <v/>
      </c>
    </row>
    <row r="1372">
      <c r="A1372" s="60" t="n"/>
      <c r="B1372" s="63" t="n"/>
      <c r="C1372" s="63" t="n"/>
      <c r="D1372" s="67" t="n"/>
      <c r="E1372" s="68" t="n"/>
      <c r="F1372" s="69" t="n"/>
      <c r="G1372" s="70" t="n"/>
      <c r="H1372" s="62" t="str">
        <f>IF(COUNTA(A1372:G1372)=0,"",IF(C1372&lt;&gt;"",C1372,IF(B1372="","",IFERROR(INDEX(pr_des,MATCH(B1372,pr_code,0))&amp;"",""))))</f>
        <v/>
      </c>
      <c r="I1372" s="59" t="str">
        <f>IF(B1372="","",IFERROR(INDEX(pr_unit,MATCH(B1372,pr_code,0))&amp;"",""))</f>
        <v/>
      </c>
      <c r="J1372" s="65" t="str">
        <f>IF(COUNTA(A1372:G1372)=0,"",IF(E1372&lt;&gt;"",E1372,IF(B1372="","",IFERROR(IF(INDEX(pr_price,MATCH(B1372,pr_code,0))="","",INDEX(pr_price,MATCH(B1372,pr_code,0))),""))))</f>
        <v/>
      </c>
      <c r="K1372" s="71" t="str">
        <f>IF(COUNTA(A1372:G1372)=0,"",IF(G1372&lt;&gt;"",G1372,IF(B1372="","",IFERROR(IF(INDEX(pr_rate,MATCH(B1372,pr_code,0))="","",INDEX(pr_rate,MATCH(B1372,pr_code,0))),""))))</f>
        <v/>
      </c>
      <c r="L1372" s="65" t="str">
        <f>IF(COUNTA(A1372:G1372)=0,"",IF(AND(ISNUMBER(D1372),ISNUMBER(J1372)),ROUND(D1372*J1372*(1-N(F1372)),2),0))</f>
        <v/>
      </c>
      <c r="M1372" s="62" t="str">
        <f>IF(A1372="","",IFERROR(INDEX(fa_cname,MATCH(A1372,fa_num,0))&amp;"",""))</f>
        <v/>
      </c>
      <c r="N1372" s="59" t="str">
        <f>IF(COUNTA(A1372:G1372)=0,"",IF(A1372="","N° facture manquant",IF(ISNA(MATCH(A1372,fa_num,0)),"Facture inconnue",IF(AND(B1372&lt;&gt;"",ISNA(MATCH(B1372,pr_code,0))),"Article inconnu",IF(H1372="","Désignation manquante",IF(OR(NOT(ISNUMBER(D1372)),N(D1372)&lt;=0),"Quantité invalide",IF(J1372="","Prix manquant",IF(OR(NOT(ISNUMBER(J1372)),N(J1372)&lt;0),"Prix invalide",IF(OR(AND(F1372&lt;&gt;"",NOT(ISNUMBER(F1372))),N(F1372)&lt;0,N(F1372)&gt;1),"Remise invalide",IF(K1372="","Taux de TVA manquant",IF(NOT(ISNUMBER(K1372)),"Taux de TVA invalide",IF(COUNTIF(p_rates,K1372)=0,"Taux de TVA hors liste (Paramètres)",IF(N(O1372)&gt;25,"Au-delà de 25 lignes : non imprimée","OK")))))))))))))</f>
        <v/>
      </c>
      <c r="O1372" s="59" t="str">
        <f>IF(A1372="","",COUNTIF($A$6:A1372,A1372))</f>
        <v/>
      </c>
      <c r="P1372" s="62" t="str">
        <f>IF(A1372="","",A1372&amp;"|"&amp;O1372)</f>
        <v/>
      </c>
    </row>
    <row r="1373">
      <c r="A1373" s="60" t="n"/>
      <c r="B1373" s="63" t="n"/>
      <c r="C1373" s="63" t="n"/>
      <c r="D1373" s="67" t="n"/>
      <c r="E1373" s="68" t="n"/>
      <c r="F1373" s="69" t="n"/>
      <c r="G1373" s="70" t="n"/>
      <c r="H1373" s="62" t="str">
        <f>IF(COUNTA(A1373:G1373)=0,"",IF(C1373&lt;&gt;"",C1373,IF(B1373="","",IFERROR(INDEX(pr_des,MATCH(B1373,pr_code,0))&amp;"",""))))</f>
        <v/>
      </c>
      <c r="I1373" s="59" t="str">
        <f>IF(B1373="","",IFERROR(INDEX(pr_unit,MATCH(B1373,pr_code,0))&amp;"",""))</f>
        <v/>
      </c>
      <c r="J1373" s="65" t="str">
        <f>IF(COUNTA(A1373:G1373)=0,"",IF(E1373&lt;&gt;"",E1373,IF(B1373="","",IFERROR(IF(INDEX(pr_price,MATCH(B1373,pr_code,0))="","",INDEX(pr_price,MATCH(B1373,pr_code,0))),""))))</f>
        <v/>
      </c>
      <c r="K1373" s="71" t="str">
        <f>IF(COUNTA(A1373:G1373)=0,"",IF(G1373&lt;&gt;"",G1373,IF(B1373="","",IFERROR(IF(INDEX(pr_rate,MATCH(B1373,pr_code,0))="","",INDEX(pr_rate,MATCH(B1373,pr_code,0))),""))))</f>
        <v/>
      </c>
      <c r="L1373" s="65" t="str">
        <f>IF(COUNTA(A1373:G1373)=0,"",IF(AND(ISNUMBER(D1373),ISNUMBER(J1373)),ROUND(D1373*J1373*(1-N(F1373)),2),0))</f>
        <v/>
      </c>
      <c r="M1373" s="62" t="str">
        <f>IF(A1373="","",IFERROR(INDEX(fa_cname,MATCH(A1373,fa_num,0))&amp;"",""))</f>
        <v/>
      </c>
      <c r="N1373" s="59" t="str">
        <f>IF(COUNTA(A1373:G1373)=0,"",IF(A1373="","N° facture manquant",IF(ISNA(MATCH(A1373,fa_num,0)),"Facture inconnue",IF(AND(B1373&lt;&gt;"",ISNA(MATCH(B1373,pr_code,0))),"Article inconnu",IF(H1373="","Désignation manquante",IF(OR(NOT(ISNUMBER(D1373)),N(D1373)&lt;=0),"Quantité invalide",IF(J1373="","Prix manquant",IF(OR(NOT(ISNUMBER(J1373)),N(J1373)&lt;0),"Prix invalide",IF(OR(AND(F1373&lt;&gt;"",NOT(ISNUMBER(F1373))),N(F1373)&lt;0,N(F1373)&gt;1),"Remise invalide",IF(K1373="","Taux de TVA manquant",IF(NOT(ISNUMBER(K1373)),"Taux de TVA invalide",IF(COUNTIF(p_rates,K1373)=0,"Taux de TVA hors liste (Paramètres)",IF(N(O1373)&gt;25,"Au-delà de 25 lignes : non imprimée","OK")))))))))))))</f>
        <v/>
      </c>
      <c r="O1373" s="59" t="str">
        <f>IF(A1373="","",COUNTIF($A$6:A1373,A1373))</f>
        <v/>
      </c>
      <c r="P1373" s="62" t="str">
        <f>IF(A1373="","",A1373&amp;"|"&amp;O1373)</f>
        <v/>
      </c>
    </row>
    <row r="1374">
      <c r="A1374" s="60" t="n"/>
      <c r="B1374" s="63" t="n"/>
      <c r="C1374" s="63" t="n"/>
      <c r="D1374" s="67" t="n"/>
      <c r="E1374" s="68" t="n"/>
      <c r="F1374" s="69" t="n"/>
      <c r="G1374" s="70" t="n"/>
      <c r="H1374" s="62" t="str">
        <f>IF(COUNTA(A1374:G1374)=0,"",IF(C1374&lt;&gt;"",C1374,IF(B1374="","",IFERROR(INDEX(pr_des,MATCH(B1374,pr_code,0))&amp;"",""))))</f>
        <v/>
      </c>
      <c r="I1374" s="59" t="str">
        <f>IF(B1374="","",IFERROR(INDEX(pr_unit,MATCH(B1374,pr_code,0))&amp;"",""))</f>
        <v/>
      </c>
      <c r="J1374" s="65" t="str">
        <f>IF(COUNTA(A1374:G1374)=0,"",IF(E1374&lt;&gt;"",E1374,IF(B1374="","",IFERROR(IF(INDEX(pr_price,MATCH(B1374,pr_code,0))="","",INDEX(pr_price,MATCH(B1374,pr_code,0))),""))))</f>
        <v/>
      </c>
      <c r="K1374" s="71" t="str">
        <f>IF(COUNTA(A1374:G1374)=0,"",IF(G1374&lt;&gt;"",G1374,IF(B1374="","",IFERROR(IF(INDEX(pr_rate,MATCH(B1374,pr_code,0))="","",INDEX(pr_rate,MATCH(B1374,pr_code,0))),""))))</f>
        <v/>
      </c>
      <c r="L1374" s="65" t="str">
        <f>IF(COUNTA(A1374:G1374)=0,"",IF(AND(ISNUMBER(D1374),ISNUMBER(J1374)),ROUND(D1374*J1374*(1-N(F1374)),2),0))</f>
        <v/>
      </c>
      <c r="M1374" s="62" t="str">
        <f>IF(A1374="","",IFERROR(INDEX(fa_cname,MATCH(A1374,fa_num,0))&amp;"",""))</f>
        <v/>
      </c>
      <c r="N1374" s="59" t="str">
        <f>IF(COUNTA(A1374:G1374)=0,"",IF(A1374="","N° facture manquant",IF(ISNA(MATCH(A1374,fa_num,0)),"Facture inconnue",IF(AND(B1374&lt;&gt;"",ISNA(MATCH(B1374,pr_code,0))),"Article inconnu",IF(H1374="","Désignation manquante",IF(OR(NOT(ISNUMBER(D1374)),N(D1374)&lt;=0),"Quantité invalide",IF(J1374="","Prix manquant",IF(OR(NOT(ISNUMBER(J1374)),N(J1374)&lt;0),"Prix invalide",IF(OR(AND(F1374&lt;&gt;"",NOT(ISNUMBER(F1374))),N(F1374)&lt;0,N(F1374)&gt;1),"Remise invalide",IF(K1374="","Taux de TVA manquant",IF(NOT(ISNUMBER(K1374)),"Taux de TVA invalide",IF(COUNTIF(p_rates,K1374)=0,"Taux de TVA hors liste (Paramètres)",IF(N(O1374)&gt;25,"Au-delà de 25 lignes : non imprimée","OK")))))))))))))</f>
        <v/>
      </c>
      <c r="O1374" s="59" t="str">
        <f>IF(A1374="","",COUNTIF($A$6:A1374,A1374))</f>
        <v/>
      </c>
      <c r="P1374" s="62" t="str">
        <f>IF(A1374="","",A1374&amp;"|"&amp;O1374)</f>
        <v/>
      </c>
    </row>
    <row r="1375">
      <c r="A1375" s="60" t="n"/>
      <c r="B1375" s="63" t="n"/>
      <c r="C1375" s="63" t="n"/>
      <c r="D1375" s="67" t="n"/>
      <c r="E1375" s="68" t="n"/>
      <c r="F1375" s="69" t="n"/>
      <c r="G1375" s="70" t="n"/>
      <c r="H1375" s="62" t="str">
        <f>IF(COUNTA(A1375:G1375)=0,"",IF(C1375&lt;&gt;"",C1375,IF(B1375="","",IFERROR(INDEX(pr_des,MATCH(B1375,pr_code,0))&amp;"",""))))</f>
        <v/>
      </c>
      <c r="I1375" s="59" t="str">
        <f>IF(B1375="","",IFERROR(INDEX(pr_unit,MATCH(B1375,pr_code,0))&amp;"",""))</f>
        <v/>
      </c>
      <c r="J1375" s="65" t="str">
        <f>IF(COUNTA(A1375:G1375)=0,"",IF(E1375&lt;&gt;"",E1375,IF(B1375="","",IFERROR(IF(INDEX(pr_price,MATCH(B1375,pr_code,0))="","",INDEX(pr_price,MATCH(B1375,pr_code,0))),""))))</f>
        <v/>
      </c>
      <c r="K1375" s="71" t="str">
        <f>IF(COUNTA(A1375:G1375)=0,"",IF(G1375&lt;&gt;"",G1375,IF(B1375="","",IFERROR(IF(INDEX(pr_rate,MATCH(B1375,pr_code,0))="","",INDEX(pr_rate,MATCH(B1375,pr_code,0))),""))))</f>
        <v/>
      </c>
      <c r="L1375" s="65" t="str">
        <f>IF(COUNTA(A1375:G1375)=0,"",IF(AND(ISNUMBER(D1375),ISNUMBER(J1375)),ROUND(D1375*J1375*(1-N(F1375)),2),0))</f>
        <v/>
      </c>
      <c r="M1375" s="62" t="str">
        <f>IF(A1375="","",IFERROR(INDEX(fa_cname,MATCH(A1375,fa_num,0))&amp;"",""))</f>
        <v/>
      </c>
      <c r="N1375" s="59" t="str">
        <f>IF(COUNTA(A1375:G1375)=0,"",IF(A1375="","N° facture manquant",IF(ISNA(MATCH(A1375,fa_num,0)),"Facture inconnue",IF(AND(B1375&lt;&gt;"",ISNA(MATCH(B1375,pr_code,0))),"Article inconnu",IF(H1375="","Désignation manquante",IF(OR(NOT(ISNUMBER(D1375)),N(D1375)&lt;=0),"Quantité invalide",IF(J1375="","Prix manquant",IF(OR(NOT(ISNUMBER(J1375)),N(J1375)&lt;0),"Prix invalide",IF(OR(AND(F1375&lt;&gt;"",NOT(ISNUMBER(F1375))),N(F1375)&lt;0,N(F1375)&gt;1),"Remise invalide",IF(K1375="","Taux de TVA manquant",IF(NOT(ISNUMBER(K1375)),"Taux de TVA invalide",IF(COUNTIF(p_rates,K1375)=0,"Taux de TVA hors liste (Paramètres)",IF(N(O1375)&gt;25,"Au-delà de 25 lignes : non imprimée","OK")))))))))))))</f>
        <v/>
      </c>
      <c r="O1375" s="59" t="str">
        <f>IF(A1375="","",COUNTIF($A$6:A1375,A1375))</f>
        <v/>
      </c>
      <c r="P1375" s="62" t="str">
        <f>IF(A1375="","",A1375&amp;"|"&amp;O1375)</f>
        <v/>
      </c>
    </row>
    <row r="1376">
      <c r="A1376" s="60" t="n"/>
      <c r="B1376" s="63" t="n"/>
      <c r="C1376" s="63" t="n"/>
      <c r="D1376" s="67" t="n"/>
      <c r="E1376" s="68" t="n"/>
      <c r="F1376" s="69" t="n"/>
      <c r="G1376" s="70" t="n"/>
      <c r="H1376" s="62" t="str">
        <f>IF(COUNTA(A1376:G1376)=0,"",IF(C1376&lt;&gt;"",C1376,IF(B1376="","",IFERROR(INDEX(pr_des,MATCH(B1376,pr_code,0))&amp;"",""))))</f>
        <v/>
      </c>
      <c r="I1376" s="59" t="str">
        <f>IF(B1376="","",IFERROR(INDEX(pr_unit,MATCH(B1376,pr_code,0))&amp;"",""))</f>
        <v/>
      </c>
      <c r="J1376" s="65" t="str">
        <f>IF(COUNTA(A1376:G1376)=0,"",IF(E1376&lt;&gt;"",E1376,IF(B1376="","",IFERROR(IF(INDEX(pr_price,MATCH(B1376,pr_code,0))="","",INDEX(pr_price,MATCH(B1376,pr_code,0))),""))))</f>
        <v/>
      </c>
      <c r="K1376" s="71" t="str">
        <f>IF(COUNTA(A1376:G1376)=0,"",IF(G1376&lt;&gt;"",G1376,IF(B1376="","",IFERROR(IF(INDEX(pr_rate,MATCH(B1376,pr_code,0))="","",INDEX(pr_rate,MATCH(B1376,pr_code,0))),""))))</f>
        <v/>
      </c>
      <c r="L1376" s="65" t="str">
        <f>IF(COUNTA(A1376:G1376)=0,"",IF(AND(ISNUMBER(D1376),ISNUMBER(J1376)),ROUND(D1376*J1376*(1-N(F1376)),2),0))</f>
        <v/>
      </c>
      <c r="M1376" s="62" t="str">
        <f>IF(A1376="","",IFERROR(INDEX(fa_cname,MATCH(A1376,fa_num,0))&amp;"",""))</f>
        <v/>
      </c>
      <c r="N1376" s="59" t="str">
        <f>IF(COUNTA(A1376:G1376)=0,"",IF(A1376="","N° facture manquant",IF(ISNA(MATCH(A1376,fa_num,0)),"Facture inconnue",IF(AND(B1376&lt;&gt;"",ISNA(MATCH(B1376,pr_code,0))),"Article inconnu",IF(H1376="","Désignation manquante",IF(OR(NOT(ISNUMBER(D1376)),N(D1376)&lt;=0),"Quantité invalide",IF(J1376="","Prix manquant",IF(OR(NOT(ISNUMBER(J1376)),N(J1376)&lt;0),"Prix invalide",IF(OR(AND(F1376&lt;&gt;"",NOT(ISNUMBER(F1376))),N(F1376)&lt;0,N(F1376)&gt;1),"Remise invalide",IF(K1376="","Taux de TVA manquant",IF(NOT(ISNUMBER(K1376)),"Taux de TVA invalide",IF(COUNTIF(p_rates,K1376)=0,"Taux de TVA hors liste (Paramètres)",IF(N(O1376)&gt;25,"Au-delà de 25 lignes : non imprimée","OK")))))))))))))</f>
        <v/>
      </c>
      <c r="O1376" s="59" t="str">
        <f>IF(A1376="","",COUNTIF($A$6:A1376,A1376))</f>
        <v/>
      </c>
      <c r="P1376" s="62" t="str">
        <f>IF(A1376="","",A1376&amp;"|"&amp;O1376)</f>
        <v/>
      </c>
    </row>
    <row r="1377">
      <c r="A1377" s="60" t="n"/>
      <c r="B1377" s="63" t="n"/>
      <c r="C1377" s="63" t="n"/>
      <c r="D1377" s="67" t="n"/>
      <c r="E1377" s="68" t="n"/>
      <c r="F1377" s="69" t="n"/>
      <c r="G1377" s="70" t="n"/>
      <c r="H1377" s="62" t="str">
        <f>IF(COUNTA(A1377:G1377)=0,"",IF(C1377&lt;&gt;"",C1377,IF(B1377="","",IFERROR(INDEX(pr_des,MATCH(B1377,pr_code,0))&amp;"",""))))</f>
        <v/>
      </c>
      <c r="I1377" s="59" t="str">
        <f>IF(B1377="","",IFERROR(INDEX(pr_unit,MATCH(B1377,pr_code,0))&amp;"",""))</f>
        <v/>
      </c>
      <c r="J1377" s="65" t="str">
        <f>IF(COUNTA(A1377:G1377)=0,"",IF(E1377&lt;&gt;"",E1377,IF(B1377="","",IFERROR(IF(INDEX(pr_price,MATCH(B1377,pr_code,0))="","",INDEX(pr_price,MATCH(B1377,pr_code,0))),""))))</f>
        <v/>
      </c>
      <c r="K1377" s="71" t="str">
        <f>IF(COUNTA(A1377:G1377)=0,"",IF(G1377&lt;&gt;"",G1377,IF(B1377="","",IFERROR(IF(INDEX(pr_rate,MATCH(B1377,pr_code,0))="","",INDEX(pr_rate,MATCH(B1377,pr_code,0))),""))))</f>
        <v/>
      </c>
      <c r="L1377" s="65" t="str">
        <f>IF(COUNTA(A1377:G1377)=0,"",IF(AND(ISNUMBER(D1377),ISNUMBER(J1377)),ROUND(D1377*J1377*(1-N(F1377)),2),0))</f>
        <v/>
      </c>
      <c r="M1377" s="62" t="str">
        <f>IF(A1377="","",IFERROR(INDEX(fa_cname,MATCH(A1377,fa_num,0))&amp;"",""))</f>
        <v/>
      </c>
      <c r="N1377" s="59" t="str">
        <f>IF(COUNTA(A1377:G1377)=0,"",IF(A1377="","N° facture manquant",IF(ISNA(MATCH(A1377,fa_num,0)),"Facture inconnue",IF(AND(B1377&lt;&gt;"",ISNA(MATCH(B1377,pr_code,0))),"Article inconnu",IF(H1377="","Désignation manquante",IF(OR(NOT(ISNUMBER(D1377)),N(D1377)&lt;=0),"Quantité invalide",IF(J1377="","Prix manquant",IF(OR(NOT(ISNUMBER(J1377)),N(J1377)&lt;0),"Prix invalide",IF(OR(AND(F1377&lt;&gt;"",NOT(ISNUMBER(F1377))),N(F1377)&lt;0,N(F1377)&gt;1),"Remise invalide",IF(K1377="","Taux de TVA manquant",IF(NOT(ISNUMBER(K1377)),"Taux de TVA invalide",IF(COUNTIF(p_rates,K1377)=0,"Taux de TVA hors liste (Paramètres)",IF(N(O1377)&gt;25,"Au-delà de 25 lignes : non imprimée","OK")))))))))))))</f>
        <v/>
      </c>
      <c r="O1377" s="59" t="str">
        <f>IF(A1377="","",COUNTIF($A$6:A1377,A1377))</f>
        <v/>
      </c>
      <c r="P1377" s="62" t="str">
        <f>IF(A1377="","",A1377&amp;"|"&amp;O1377)</f>
        <v/>
      </c>
    </row>
    <row r="1378">
      <c r="A1378" s="60" t="n"/>
      <c r="B1378" s="63" t="n"/>
      <c r="C1378" s="63" t="n"/>
      <c r="D1378" s="67" t="n"/>
      <c r="E1378" s="68" t="n"/>
      <c r="F1378" s="69" t="n"/>
      <c r="G1378" s="70" t="n"/>
      <c r="H1378" s="62" t="str">
        <f>IF(COUNTA(A1378:G1378)=0,"",IF(C1378&lt;&gt;"",C1378,IF(B1378="","",IFERROR(INDEX(pr_des,MATCH(B1378,pr_code,0))&amp;"",""))))</f>
        <v/>
      </c>
      <c r="I1378" s="59" t="str">
        <f>IF(B1378="","",IFERROR(INDEX(pr_unit,MATCH(B1378,pr_code,0))&amp;"",""))</f>
        <v/>
      </c>
      <c r="J1378" s="65" t="str">
        <f>IF(COUNTA(A1378:G1378)=0,"",IF(E1378&lt;&gt;"",E1378,IF(B1378="","",IFERROR(IF(INDEX(pr_price,MATCH(B1378,pr_code,0))="","",INDEX(pr_price,MATCH(B1378,pr_code,0))),""))))</f>
        <v/>
      </c>
      <c r="K1378" s="71" t="str">
        <f>IF(COUNTA(A1378:G1378)=0,"",IF(G1378&lt;&gt;"",G1378,IF(B1378="","",IFERROR(IF(INDEX(pr_rate,MATCH(B1378,pr_code,0))="","",INDEX(pr_rate,MATCH(B1378,pr_code,0))),""))))</f>
        <v/>
      </c>
      <c r="L1378" s="65" t="str">
        <f>IF(COUNTA(A1378:G1378)=0,"",IF(AND(ISNUMBER(D1378),ISNUMBER(J1378)),ROUND(D1378*J1378*(1-N(F1378)),2),0))</f>
        <v/>
      </c>
      <c r="M1378" s="62" t="str">
        <f>IF(A1378="","",IFERROR(INDEX(fa_cname,MATCH(A1378,fa_num,0))&amp;"",""))</f>
        <v/>
      </c>
      <c r="N1378" s="59" t="str">
        <f>IF(COUNTA(A1378:G1378)=0,"",IF(A1378="","N° facture manquant",IF(ISNA(MATCH(A1378,fa_num,0)),"Facture inconnue",IF(AND(B1378&lt;&gt;"",ISNA(MATCH(B1378,pr_code,0))),"Article inconnu",IF(H1378="","Désignation manquante",IF(OR(NOT(ISNUMBER(D1378)),N(D1378)&lt;=0),"Quantité invalide",IF(J1378="","Prix manquant",IF(OR(NOT(ISNUMBER(J1378)),N(J1378)&lt;0),"Prix invalide",IF(OR(AND(F1378&lt;&gt;"",NOT(ISNUMBER(F1378))),N(F1378)&lt;0,N(F1378)&gt;1),"Remise invalide",IF(K1378="","Taux de TVA manquant",IF(NOT(ISNUMBER(K1378)),"Taux de TVA invalide",IF(COUNTIF(p_rates,K1378)=0,"Taux de TVA hors liste (Paramètres)",IF(N(O1378)&gt;25,"Au-delà de 25 lignes : non imprimée","OK")))))))))))))</f>
        <v/>
      </c>
      <c r="O1378" s="59" t="str">
        <f>IF(A1378="","",COUNTIF($A$6:A1378,A1378))</f>
        <v/>
      </c>
      <c r="P1378" s="62" t="str">
        <f>IF(A1378="","",A1378&amp;"|"&amp;O1378)</f>
        <v/>
      </c>
    </row>
    <row r="1379">
      <c r="A1379" s="60" t="n"/>
      <c r="B1379" s="63" t="n"/>
      <c r="C1379" s="63" t="n"/>
      <c r="D1379" s="67" t="n"/>
      <c r="E1379" s="68" t="n"/>
      <c r="F1379" s="69" t="n"/>
      <c r="G1379" s="70" t="n"/>
      <c r="H1379" s="62" t="str">
        <f>IF(COUNTA(A1379:G1379)=0,"",IF(C1379&lt;&gt;"",C1379,IF(B1379="","",IFERROR(INDEX(pr_des,MATCH(B1379,pr_code,0))&amp;"",""))))</f>
        <v/>
      </c>
      <c r="I1379" s="59" t="str">
        <f>IF(B1379="","",IFERROR(INDEX(pr_unit,MATCH(B1379,pr_code,0))&amp;"",""))</f>
        <v/>
      </c>
      <c r="J1379" s="65" t="str">
        <f>IF(COUNTA(A1379:G1379)=0,"",IF(E1379&lt;&gt;"",E1379,IF(B1379="","",IFERROR(IF(INDEX(pr_price,MATCH(B1379,pr_code,0))="","",INDEX(pr_price,MATCH(B1379,pr_code,0))),""))))</f>
        <v/>
      </c>
      <c r="K1379" s="71" t="str">
        <f>IF(COUNTA(A1379:G1379)=0,"",IF(G1379&lt;&gt;"",G1379,IF(B1379="","",IFERROR(IF(INDEX(pr_rate,MATCH(B1379,pr_code,0))="","",INDEX(pr_rate,MATCH(B1379,pr_code,0))),""))))</f>
        <v/>
      </c>
      <c r="L1379" s="65" t="str">
        <f>IF(COUNTA(A1379:G1379)=0,"",IF(AND(ISNUMBER(D1379),ISNUMBER(J1379)),ROUND(D1379*J1379*(1-N(F1379)),2),0))</f>
        <v/>
      </c>
      <c r="M1379" s="62" t="str">
        <f>IF(A1379="","",IFERROR(INDEX(fa_cname,MATCH(A1379,fa_num,0))&amp;"",""))</f>
        <v/>
      </c>
      <c r="N1379" s="59" t="str">
        <f>IF(COUNTA(A1379:G1379)=0,"",IF(A1379="","N° facture manquant",IF(ISNA(MATCH(A1379,fa_num,0)),"Facture inconnue",IF(AND(B1379&lt;&gt;"",ISNA(MATCH(B1379,pr_code,0))),"Article inconnu",IF(H1379="","Désignation manquante",IF(OR(NOT(ISNUMBER(D1379)),N(D1379)&lt;=0),"Quantité invalide",IF(J1379="","Prix manquant",IF(OR(NOT(ISNUMBER(J1379)),N(J1379)&lt;0),"Prix invalide",IF(OR(AND(F1379&lt;&gt;"",NOT(ISNUMBER(F1379))),N(F1379)&lt;0,N(F1379)&gt;1),"Remise invalide",IF(K1379="","Taux de TVA manquant",IF(NOT(ISNUMBER(K1379)),"Taux de TVA invalide",IF(COUNTIF(p_rates,K1379)=0,"Taux de TVA hors liste (Paramètres)",IF(N(O1379)&gt;25,"Au-delà de 25 lignes : non imprimée","OK")))))))))))))</f>
        <v/>
      </c>
      <c r="O1379" s="59" t="str">
        <f>IF(A1379="","",COUNTIF($A$6:A1379,A1379))</f>
        <v/>
      </c>
      <c r="P1379" s="62" t="str">
        <f>IF(A1379="","",A1379&amp;"|"&amp;O1379)</f>
        <v/>
      </c>
    </row>
    <row r="1380">
      <c r="A1380" s="60" t="n"/>
      <c r="B1380" s="63" t="n"/>
      <c r="C1380" s="63" t="n"/>
      <c r="D1380" s="67" t="n"/>
      <c r="E1380" s="68" t="n"/>
      <c r="F1380" s="69" t="n"/>
      <c r="G1380" s="70" t="n"/>
      <c r="H1380" s="62" t="str">
        <f>IF(COUNTA(A1380:G1380)=0,"",IF(C1380&lt;&gt;"",C1380,IF(B1380="","",IFERROR(INDEX(pr_des,MATCH(B1380,pr_code,0))&amp;"",""))))</f>
        <v/>
      </c>
      <c r="I1380" s="59" t="str">
        <f>IF(B1380="","",IFERROR(INDEX(pr_unit,MATCH(B1380,pr_code,0))&amp;"",""))</f>
        <v/>
      </c>
      <c r="J1380" s="65" t="str">
        <f>IF(COUNTA(A1380:G1380)=0,"",IF(E1380&lt;&gt;"",E1380,IF(B1380="","",IFERROR(IF(INDEX(pr_price,MATCH(B1380,pr_code,0))="","",INDEX(pr_price,MATCH(B1380,pr_code,0))),""))))</f>
        <v/>
      </c>
      <c r="K1380" s="71" t="str">
        <f>IF(COUNTA(A1380:G1380)=0,"",IF(G1380&lt;&gt;"",G1380,IF(B1380="","",IFERROR(IF(INDEX(pr_rate,MATCH(B1380,pr_code,0))="","",INDEX(pr_rate,MATCH(B1380,pr_code,0))),""))))</f>
        <v/>
      </c>
      <c r="L1380" s="65" t="str">
        <f>IF(COUNTA(A1380:G1380)=0,"",IF(AND(ISNUMBER(D1380),ISNUMBER(J1380)),ROUND(D1380*J1380*(1-N(F1380)),2),0))</f>
        <v/>
      </c>
      <c r="M1380" s="62" t="str">
        <f>IF(A1380="","",IFERROR(INDEX(fa_cname,MATCH(A1380,fa_num,0))&amp;"",""))</f>
        <v/>
      </c>
      <c r="N1380" s="59" t="str">
        <f>IF(COUNTA(A1380:G1380)=0,"",IF(A1380="","N° facture manquant",IF(ISNA(MATCH(A1380,fa_num,0)),"Facture inconnue",IF(AND(B1380&lt;&gt;"",ISNA(MATCH(B1380,pr_code,0))),"Article inconnu",IF(H1380="","Désignation manquante",IF(OR(NOT(ISNUMBER(D1380)),N(D1380)&lt;=0),"Quantité invalide",IF(J1380="","Prix manquant",IF(OR(NOT(ISNUMBER(J1380)),N(J1380)&lt;0),"Prix invalide",IF(OR(AND(F1380&lt;&gt;"",NOT(ISNUMBER(F1380))),N(F1380)&lt;0,N(F1380)&gt;1),"Remise invalide",IF(K1380="","Taux de TVA manquant",IF(NOT(ISNUMBER(K1380)),"Taux de TVA invalide",IF(COUNTIF(p_rates,K1380)=0,"Taux de TVA hors liste (Paramètres)",IF(N(O1380)&gt;25,"Au-delà de 25 lignes : non imprimée","OK")))))))))))))</f>
        <v/>
      </c>
      <c r="O1380" s="59" t="str">
        <f>IF(A1380="","",COUNTIF($A$6:A1380,A1380))</f>
        <v/>
      </c>
      <c r="P1380" s="62" t="str">
        <f>IF(A1380="","",A1380&amp;"|"&amp;O1380)</f>
        <v/>
      </c>
    </row>
    <row r="1381">
      <c r="A1381" s="60" t="n"/>
      <c r="B1381" s="63" t="n"/>
      <c r="C1381" s="63" t="n"/>
      <c r="D1381" s="67" t="n"/>
      <c r="E1381" s="68" t="n"/>
      <c r="F1381" s="69" t="n"/>
      <c r="G1381" s="70" t="n"/>
      <c r="H1381" s="62" t="str">
        <f>IF(COUNTA(A1381:G1381)=0,"",IF(C1381&lt;&gt;"",C1381,IF(B1381="","",IFERROR(INDEX(pr_des,MATCH(B1381,pr_code,0))&amp;"",""))))</f>
        <v/>
      </c>
      <c r="I1381" s="59" t="str">
        <f>IF(B1381="","",IFERROR(INDEX(pr_unit,MATCH(B1381,pr_code,0))&amp;"",""))</f>
        <v/>
      </c>
      <c r="J1381" s="65" t="str">
        <f>IF(COUNTA(A1381:G1381)=0,"",IF(E1381&lt;&gt;"",E1381,IF(B1381="","",IFERROR(IF(INDEX(pr_price,MATCH(B1381,pr_code,0))="","",INDEX(pr_price,MATCH(B1381,pr_code,0))),""))))</f>
        <v/>
      </c>
      <c r="K1381" s="71" t="str">
        <f>IF(COUNTA(A1381:G1381)=0,"",IF(G1381&lt;&gt;"",G1381,IF(B1381="","",IFERROR(IF(INDEX(pr_rate,MATCH(B1381,pr_code,0))="","",INDEX(pr_rate,MATCH(B1381,pr_code,0))),""))))</f>
        <v/>
      </c>
      <c r="L1381" s="65" t="str">
        <f>IF(COUNTA(A1381:G1381)=0,"",IF(AND(ISNUMBER(D1381),ISNUMBER(J1381)),ROUND(D1381*J1381*(1-N(F1381)),2),0))</f>
        <v/>
      </c>
      <c r="M1381" s="62" t="str">
        <f>IF(A1381="","",IFERROR(INDEX(fa_cname,MATCH(A1381,fa_num,0))&amp;"",""))</f>
        <v/>
      </c>
      <c r="N1381" s="59" t="str">
        <f>IF(COUNTA(A1381:G1381)=0,"",IF(A1381="","N° facture manquant",IF(ISNA(MATCH(A1381,fa_num,0)),"Facture inconnue",IF(AND(B1381&lt;&gt;"",ISNA(MATCH(B1381,pr_code,0))),"Article inconnu",IF(H1381="","Désignation manquante",IF(OR(NOT(ISNUMBER(D1381)),N(D1381)&lt;=0),"Quantité invalide",IF(J1381="","Prix manquant",IF(OR(NOT(ISNUMBER(J1381)),N(J1381)&lt;0),"Prix invalide",IF(OR(AND(F1381&lt;&gt;"",NOT(ISNUMBER(F1381))),N(F1381)&lt;0,N(F1381)&gt;1),"Remise invalide",IF(K1381="","Taux de TVA manquant",IF(NOT(ISNUMBER(K1381)),"Taux de TVA invalide",IF(COUNTIF(p_rates,K1381)=0,"Taux de TVA hors liste (Paramètres)",IF(N(O1381)&gt;25,"Au-delà de 25 lignes : non imprimée","OK")))))))))))))</f>
        <v/>
      </c>
      <c r="O1381" s="59" t="str">
        <f>IF(A1381="","",COUNTIF($A$6:A1381,A1381))</f>
        <v/>
      </c>
      <c r="P1381" s="62" t="str">
        <f>IF(A1381="","",A1381&amp;"|"&amp;O1381)</f>
        <v/>
      </c>
    </row>
    <row r="1382">
      <c r="A1382" s="60" t="n"/>
      <c r="B1382" s="63" t="n"/>
      <c r="C1382" s="63" t="n"/>
      <c r="D1382" s="67" t="n"/>
      <c r="E1382" s="68" t="n"/>
      <c r="F1382" s="69" t="n"/>
      <c r="G1382" s="70" t="n"/>
      <c r="H1382" s="62" t="str">
        <f>IF(COUNTA(A1382:G1382)=0,"",IF(C1382&lt;&gt;"",C1382,IF(B1382="","",IFERROR(INDEX(pr_des,MATCH(B1382,pr_code,0))&amp;"",""))))</f>
        <v/>
      </c>
      <c r="I1382" s="59" t="str">
        <f>IF(B1382="","",IFERROR(INDEX(pr_unit,MATCH(B1382,pr_code,0))&amp;"",""))</f>
        <v/>
      </c>
      <c r="J1382" s="65" t="str">
        <f>IF(COUNTA(A1382:G1382)=0,"",IF(E1382&lt;&gt;"",E1382,IF(B1382="","",IFERROR(IF(INDEX(pr_price,MATCH(B1382,pr_code,0))="","",INDEX(pr_price,MATCH(B1382,pr_code,0))),""))))</f>
        <v/>
      </c>
      <c r="K1382" s="71" t="str">
        <f>IF(COUNTA(A1382:G1382)=0,"",IF(G1382&lt;&gt;"",G1382,IF(B1382="","",IFERROR(IF(INDEX(pr_rate,MATCH(B1382,pr_code,0))="","",INDEX(pr_rate,MATCH(B1382,pr_code,0))),""))))</f>
        <v/>
      </c>
      <c r="L1382" s="65" t="str">
        <f>IF(COUNTA(A1382:G1382)=0,"",IF(AND(ISNUMBER(D1382),ISNUMBER(J1382)),ROUND(D1382*J1382*(1-N(F1382)),2),0))</f>
        <v/>
      </c>
      <c r="M1382" s="62" t="str">
        <f>IF(A1382="","",IFERROR(INDEX(fa_cname,MATCH(A1382,fa_num,0))&amp;"",""))</f>
        <v/>
      </c>
      <c r="N1382" s="59" t="str">
        <f>IF(COUNTA(A1382:G1382)=0,"",IF(A1382="","N° facture manquant",IF(ISNA(MATCH(A1382,fa_num,0)),"Facture inconnue",IF(AND(B1382&lt;&gt;"",ISNA(MATCH(B1382,pr_code,0))),"Article inconnu",IF(H1382="","Désignation manquante",IF(OR(NOT(ISNUMBER(D1382)),N(D1382)&lt;=0),"Quantité invalide",IF(J1382="","Prix manquant",IF(OR(NOT(ISNUMBER(J1382)),N(J1382)&lt;0),"Prix invalide",IF(OR(AND(F1382&lt;&gt;"",NOT(ISNUMBER(F1382))),N(F1382)&lt;0,N(F1382)&gt;1),"Remise invalide",IF(K1382="","Taux de TVA manquant",IF(NOT(ISNUMBER(K1382)),"Taux de TVA invalide",IF(COUNTIF(p_rates,K1382)=0,"Taux de TVA hors liste (Paramètres)",IF(N(O1382)&gt;25,"Au-delà de 25 lignes : non imprimée","OK")))))))))))))</f>
        <v/>
      </c>
      <c r="O1382" s="59" t="str">
        <f>IF(A1382="","",COUNTIF($A$6:A1382,A1382))</f>
        <v/>
      </c>
      <c r="P1382" s="62" t="str">
        <f>IF(A1382="","",A1382&amp;"|"&amp;O1382)</f>
        <v/>
      </c>
    </row>
    <row r="1383">
      <c r="A1383" s="60" t="n"/>
      <c r="B1383" s="63" t="n"/>
      <c r="C1383" s="63" t="n"/>
      <c r="D1383" s="67" t="n"/>
      <c r="E1383" s="68" t="n"/>
      <c r="F1383" s="69" t="n"/>
      <c r="G1383" s="70" t="n"/>
      <c r="H1383" s="62" t="str">
        <f>IF(COUNTA(A1383:G1383)=0,"",IF(C1383&lt;&gt;"",C1383,IF(B1383="","",IFERROR(INDEX(pr_des,MATCH(B1383,pr_code,0))&amp;"",""))))</f>
        <v/>
      </c>
      <c r="I1383" s="59" t="str">
        <f>IF(B1383="","",IFERROR(INDEX(pr_unit,MATCH(B1383,pr_code,0))&amp;"",""))</f>
        <v/>
      </c>
      <c r="J1383" s="65" t="str">
        <f>IF(COUNTA(A1383:G1383)=0,"",IF(E1383&lt;&gt;"",E1383,IF(B1383="","",IFERROR(IF(INDEX(pr_price,MATCH(B1383,pr_code,0))="","",INDEX(pr_price,MATCH(B1383,pr_code,0))),""))))</f>
        <v/>
      </c>
      <c r="K1383" s="71" t="str">
        <f>IF(COUNTA(A1383:G1383)=0,"",IF(G1383&lt;&gt;"",G1383,IF(B1383="","",IFERROR(IF(INDEX(pr_rate,MATCH(B1383,pr_code,0))="","",INDEX(pr_rate,MATCH(B1383,pr_code,0))),""))))</f>
        <v/>
      </c>
      <c r="L1383" s="65" t="str">
        <f>IF(COUNTA(A1383:G1383)=0,"",IF(AND(ISNUMBER(D1383),ISNUMBER(J1383)),ROUND(D1383*J1383*(1-N(F1383)),2),0))</f>
        <v/>
      </c>
      <c r="M1383" s="62" t="str">
        <f>IF(A1383="","",IFERROR(INDEX(fa_cname,MATCH(A1383,fa_num,0))&amp;"",""))</f>
        <v/>
      </c>
      <c r="N1383" s="59" t="str">
        <f>IF(COUNTA(A1383:G1383)=0,"",IF(A1383="","N° facture manquant",IF(ISNA(MATCH(A1383,fa_num,0)),"Facture inconnue",IF(AND(B1383&lt;&gt;"",ISNA(MATCH(B1383,pr_code,0))),"Article inconnu",IF(H1383="","Désignation manquante",IF(OR(NOT(ISNUMBER(D1383)),N(D1383)&lt;=0),"Quantité invalide",IF(J1383="","Prix manquant",IF(OR(NOT(ISNUMBER(J1383)),N(J1383)&lt;0),"Prix invalide",IF(OR(AND(F1383&lt;&gt;"",NOT(ISNUMBER(F1383))),N(F1383)&lt;0,N(F1383)&gt;1),"Remise invalide",IF(K1383="","Taux de TVA manquant",IF(NOT(ISNUMBER(K1383)),"Taux de TVA invalide",IF(COUNTIF(p_rates,K1383)=0,"Taux de TVA hors liste (Paramètres)",IF(N(O1383)&gt;25,"Au-delà de 25 lignes : non imprimée","OK")))))))))))))</f>
        <v/>
      </c>
      <c r="O1383" s="59" t="str">
        <f>IF(A1383="","",COUNTIF($A$6:A1383,A1383))</f>
        <v/>
      </c>
      <c r="P1383" s="62" t="str">
        <f>IF(A1383="","",A1383&amp;"|"&amp;O1383)</f>
        <v/>
      </c>
    </row>
    <row r="1384">
      <c r="A1384" s="60" t="n"/>
      <c r="B1384" s="63" t="n"/>
      <c r="C1384" s="63" t="n"/>
      <c r="D1384" s="67" t="n"/>
      <c r="E1384" s="68" t="n"/>
      <c r="F1384" s="69" t="n"/>
      <c r="G1384" s="70" t="n"/>
      <c r="H1384" s="62" t="str">
        <f>IF(COUNTA(A1384:G1384)=0,"",IF(C1384&lt;&gt;"",C1384,IF(B1384="","",IFERROR(INDEX(pr_des,MATCH(B1384,pr_code,0))&amp;"",""))))</f>
        <v/>
      </c>
      <c r="I1384" s="59" t="str">
        <f>IF(B1384="","",IFERROR(INDEX(pr_unit,MATCH(B1384,pr_code,0))&amp;"",""))</f>
        <v/>
      </c>
      <c r="J1384" s="65" t="str">
        <f>IF(COUNTA(A1384:G1384)=0,"",IF(E1384&lt;&gt;"",E1384,IF(B1384="","",IFERROR(IF(INDEX(pr_price,MATCH(B1384,pr_code,0))="","",INDEX(pr_price,MATCH(B1384,pr_code,0))),""))))</f>
        <v/>
      </c>
      <c r="K1384" s="71" t="str">
        <f>IF(COUNTA(A1384:G1384)=0,"",IF(G1384&lt;&gt;"",G1384,IF(B1384="","",IFERROR(IF(INDEX(pr_rate,MATCH(B1384,pr_code,0))="","",INDEX(pr_rate,MATCH(B1384,pr_code,0))),""))))</f>
        <v/>
      </c>
      <c r="L1384" s="65" t="str">
        <f>IF(COUNTA(A1384:G1384)=0,"",IF(AND(ISNUMBER(D1384),ISNUMBER(J1384)),ROUND(D1384*J1384*(1-N(F1384)),2),0))</f>
        <v/>
      </c>
      <c r="M1384" s="62" t="str">
        <f>IF(A1384="","",IFERROR(INDEX(fa_cname,MATCH(A1384,fa_num,0))&amp;"",""))</f>
        <v/>
      </c>
      <c r="N1384" s="59" t="str">
        <f>IF(COUNTA(A1384:G1384)=0,"",IF(A1384="","N° facture manquant",IF(ISNA(MATCH(A1384,fa_num,0)),"Facture inconnue",IF(AND(B1384&lt;&gt;"",ISNA(MATCH(B1384,pr_code,0))),"Article inconnu",IF(H1384="","Désignation manquante",IF(OR(NOT(ISNUMBER(D1384)),N(D1384)&lt;=0),"Quantité invalide",IF(J1384="","Prix manquant",IF(OR(NOT(ISNUMBER(J1384)),N(J1384)&lt;0),"Prix invalide",IF(OR(AND(F1384&lt;&gt;"",NOT(ISNUMBER(F1384))),N(F1384)&lt;0,N(F1384)&gt;1),"Remise invalide",IF(K1384="","Taux de TVA manquant",IF(NOT(ISNUMBER(K1384)),"Taux de TVA invalide",IF(COUNTIF(p_rates,K1384)=0,"Taux de TVA hors liste (Paramètres)",IF(N(O1384)&gt;25,"Au-delà de 25 lignes : non imprimée","OK")))))))))))))</f>
        <v/>
      </c>
      <c r="O1384" s="59" t="str">
        <f>IF(A1384="","",COUNTIF($A$6:A1384,A1384))</f>
        <v/>
      </c>
      <c r="P1384" s="62" t="str">
        <f>IF(A1384="","",A1384&amp;"|"&amp;O1384)</f>
        <v/>
      </c>
    </row>
    <row r="1385">
      <c r="A1385" s="60" t="n"/>
      <c r="B1385" s="63" t="n"/>
      <c r="C1385" s="63" t="n"/>
      <c r="D1385" s="67" t="n"/>
      <c r="E1385" s="68" t="n"/>
      <c r="F1385" s="69" t="n"/>
      <c r="G1385" s="70" t="n"/>
      <c r="H1385" s="62" t="str">
        <f>IF(COUNTA(A1385:G1385)=0,"",IF(C1385&lt;&gt;"",C1385,IF(B1385="","",IFERROR(INDEX(pr_des,MATCH(B1385,pr_code,0))&amp;"",""))))</f>
        <v/>
      </c>
      <c r="I1385" s="59" t="str">
        <f>IF(B1385="","",IFERROR(INDEX(pr_unit,MATCH(B1385,pr_code,0))&amp;"",""))</f>
        <v/>
      </c>
      <c r="J1385" s="65" t="str">
        <f>IF(COUNTA(A1385:G1385)=0,"",IF(E1385&lt;&gt;"",E1385,IF(B1385="","",IFERROR(IF(INDEX(pr_price,MATCH(B1385,pr_code,0))="","",INDEX(pr_price,MATCH(B1385,pr_code,0))),""))))</f>
        <v/>
      </c>
      <c r="K1385" s="71" t="str">
        <f>IF(COUNTA(A1385:G1385)=0,"",IF(G1385&lt;&gt;"",G1385,IF(B1385="","",IFERROR(IF(INDEX(pr_rate,MATCH(B1385,pr_code,0))="","",INDEX(pr_rate,MATCH(B1385,pr_code,0))),""))))</f>
        <v/>
      </c>
      <c r="L1385" s="65" t="str">
        <f>IF(COUNTA(A1385:G1385)=0,"",IF(AND(ISNUMBER(D1385),ISNUMBER(J1385)),ROUND(D1385*J1385*(1-N(F1385)),2),0))</f>
        <v/>
      </c>
      <c r="M1385" s="62" t="str">
        <f>IF(A1385="","",IFERROR(INDEX(fa_cname,MATCH(A1385,fa_num,0))&amp;"",""))</f>
        <v/>
      </c>
      <c r="N1385" s="59" t="str">
        <f>IF(COUNTA(A1385:G1385)=0,"",IF(A1385="","N° facture manquant",IF(ISNA(MATCH(A1385,fa_num,0)),"Facture inconnue",IF(AND(B1385&lt;&gt;"",ISNA(MATCH(B1385,pr_code,0))),"Article inconnu",IF(H1385="","Désignation manquante",IF(OR(NOT(ISNUMBER(D1385)),N(D1385)&lt;=0),"Quantité invalide",IF(J1385="","Prix manquant",IF(OR(NOT(ISNUMBER(J1385)),N(J1385)&lt;0),"Prix invalide",IF(OR(AND(F1385&lt;&gt;"",NOT(ISNUMBER(F1385))),N(F1385)&lt;0,N(F1385)&gt;1),"Remise invalide",IF(K1385="","Taux de TVA manquant",IF(NOT(ISNUMBER(K1385)),"Taux de TVA invalide",IF(COUNTIF(p_rates,K1385)=0,"Taux de TVA hors liste (Paramètres)",IF(N(O1385)&gt;25,"Au-delà de 25 lignes : non imprimée","OK")))))))))))))</f>
        <v/>
      </c>
      <c r="O1385" s="59" t="str">
        <f>IF(A1385="","",COUNTIF($A$6:A1385,A1385))</f>
        <v/>
      </c>
      <c r="P1385" s="62" t="str">
        <f>IF(A1385="","",A1385&amp;"|"&amp;O1385)</f>
        <v/>
      </c>
    </row>
    <row r="1386">
      <c r="A1386" s="60" t="n"/>
      <c r="B1386" s="63" t="n"/>
      <c r="C1386" s="63" t="n"/>
      <c r="D1386" s="67" t="n"/>
      <c r="E1386" s="68" t="n"/>
      <c r="F1386" s="69" t="n"/>
      <c r="G1386" s="70" t="n"/>
      <c r="H1386" s="62" t="str">
        <f>IF(COUNTA(A1386:G1386)=0,"",IF(C1386&lt;&gt;"",C1386,IF(B1386="","",IFERROR(INDEX(pr_des,MATCH(B1386,pr_code,0))&amp;"",""))))</f>
        <v/>
      </c>
      <c r="I1386" s="59" t="str">
        <f>IF(B1386="","",IFERROR(INDEX(pr_unit,MATCH(B1386,pr_code,0))&amp;"",""))</f>
        <v/>
      </c>
      <c r="J1386" s="65" t="str">
        <f>IF(COUNTA(A1386:G1386)=0,"",IF(E1386&lt;&gt;"",E1386,IF(B1386="","",IFERROR(IF(INDEX(pr_price,MATCH(B1386,pr_code,0))="","",INDEX(pr_price,MATCH(B1386,pr_code,0))),""))))</f>
        <v/>
      </c>
      <c r="K1386" s="71" t="str">
        <f>IF(COUNTA(A1386:G1386)=0,"",IF(G1386&lt;&gt;"",G1386,IF(B1386="","",IFERROR(IF(INDEX(pr_rate,MATCH(B1386,pr_code,0))="","",INDEX(pr_rate,MATCH(B1386,pr_code,0))),""))))</f>
        <v/>
      </c>
      <c r="L1386" s="65" t="str">
        <f>IF(COUNTA(A1386:G1386)=0,"",IF(AND(ISNUMBER(D1386),ISNUMBER(J1386)),ROUND(D1386*J1386*(1-N(F1386)),2),0))</f>
        <v/>
      </c>
      <c r="M1386" s="62" t="str">
        <f>IF(A1386="","",IFERROR(INDEX(fa_cname,MATCH(A1386,fa_num,0))&amp;"",""))</f>
        <v/>
      </c>
      <c r="N1386" s="59" t="str">
        <f>IF(COUNTA(A1386:G1386)=0,"",IF(A1386="","N° facture manquant",IF(ISNA(MATCH(A1386,fa_num,0)),"Facture inconnue",IF(AND(B1386&lt;&gt;"",ISNA(MATCH(B1386,pr_code,0))),"Article inconnu",IF(H1386="","Désignation manquante",IF(OR(NOT(ISNUMBER(D1386)),N(D1386)&lt;=0),"Quantité invalide",IF(J1386="","Prix manquant",IF(OR(NOT(ISNUMBER(J1386)),N(J1386)&lt;0),"Prix invalide",IF(OR(AND(F1386&lt;&gt;"",NOT(ISNUMBER(F1386))),N(F1386)&lt;0,N(F1386)&gt;1),"Remise invalide",IF(K1386="","Taux de TVA manquant",IF(NOT(ISNUMBER(K1386)),"Taux de TVA invalide",IF(COUNTIF(p_rates,K1386)=0,"Taux de TVA hors liste (Paramètres)",IF(N(O1386)&gt;25,"Au-delà de 25 lignes : non imprimée","OK")))))))))))))</f>
        <v/>
      </c>
      <c r="O1386" s="59" t="str">
        <f>IF(A1386="","",COUNTIF($A$6:A1386,A1386))</f>
        <v/>
      </c>
      <c r="P1386" s="62" t="str">
        <f>IF(A1386="","",A1386&amp;"|"&amp;O1386)</f>
        <v/>
      </c>
    </row>
    <row r="1387">
      <c r="A1387" s="60" t="n"/>
      <c r="B1387" s="63" t="n"/>
      <c r="C1387" s="63" t="n"/>
      <c r="D1387" s="67" t="n"/>
      <c r="E1387" s="68" t="n"/>
      <c r="F1387" s="69" t="n"/>
      <c r="G1387" s="70" t="n"/>
      <c r="H1387" s="62" t="str">
        <f>IF(COUNTA(A1387:G1387)=0,"",IF(C1387&lt;&gt;"",C1387,IF(B1387="","",IFERROR(INDEX(pr_des,MATCH(B1387,pr_code,0))&amp;"",""))))</f>
        <v/>
      </c>
      <c r="I1387" s="59" t="str">
        <f>IF(B1387="","",IFERROR(INDEX(pr_unit,MATCH(B1387,pr_code,0))&amp;"",""))</f>
        <v/>
      </c>
      <c r="J1387" s="65" t="str">
        <f>IF(COUNTA(A1387:G1387)=0,"",IF(E1387&lt;&gt;"",E1387,IF(B1387="","",IFERROR(IF(INDEX(pr_price,MATCH(B1387,pr_code,0))="","",INDEX(pr_price,MATCH(B1387,pr_code,0))),""))))</f>
        <v/>
      </c>
      <c r="K1387" s="71" t="str">
        <f>IF(COUNTA(A1387:G1387)=0,"",IF(G1387&lt;&gt;"",G1387,IF(B1387="","",IFERROR(IF(INDEX(pr_rate,MATCH(B1387,pr_code,0))="","",INDEX(pr_rate,MATCH(B1387,pr_code,0))),""))))</f>
        <v/>
      </c>
      <c r="L1387" s="65" t="str">
        <f>IF(COUNTA(A1387:G1387)=0,"",IF(AND(ISNUMBER(D1387),ISNUMBER(J1387)),ROUND(D1387*J1387*(1-N(F1387)),2),0))</f>
        <v/>
      </c>
      <c r="M1387" s="62" t="str">
        <f>IF(A1387="","",IFERROR(INDEX(fa_cname,MATCH(A1387,fa_num,0))&amp;"",""))</f>
        <v/>
      </c>
      <c r="N1387" s="59" t="str">
        <f>IF(COUNTA(A1387:G1387)=0,"",IF(A1387="","N° facture manquant",IF(ISNA(MATCH(A1387,fa_num,0)),"Facture inconnue",IF(AND(B1387&lt;&gt;"",ISNA(MATCH(B1387,pr_code,0))),"Article inconnu",IF(H1387="","Désignation manquante",IF(OR(NOT(ISNUMBER(D1387)),N(D1387)&lt;=0),"Quantité invalide",IF(J1387="","Prix manquant",IF(OR(NOT(ISNUMBER(J1387)),N(J1387)&lt;0),"Prix invalide",IF(OR(AND(F1387&lt;&gt;"",NOT(ISNUMBER(F1387))),N(F1387)&lt;0,N(F1387)&gt;1),"Remise invalide",IF(K1387="","Taux de TVA manquant",IF(NOT(ISNUMBER(K1387)),"Taux de TVA invalide",IF(COUNTIF(p_rates,K1387)=0,"Taux de TVA hors liste (Paramètres)",IF(N(O1387)&gt;25,"Au-delà de 25 lignes : non imprimée","OK")))))))))))))</f>
        <v/>
      </c>
      <c r="O1387" s="59" t="str">
        <f>IF(A1387="","",COUNTIF($A$6:A1387,A1387))</f>
        <v/>
      </c>
      <c r="P1387" s="62" t="str">
        <f>IF(A1387="","",A1387&amp;"|"&amp;O1387)</f>
        <v/>
      </c>
    </row>
    <row r="1388">
      <c r="A1388" s="60" t="n"/>
      <c r="B1388" s="63" t="n"/>
      <c r="C1388" s="63" t="n"/>
      <c r="D1388" s="67" t="n"/>
      <c r="E1388" s="68" t="n"/>
      <c r="F1388" s="69" t="n"/>
      <c r="G1388" s="70" t="n"/>
      <c r="H1388" s="62" t="str">
        <f>IF(COUNTA(A1388:G1388)=0,"",IF(C1388&lt;&gt;"",C1388,IF(B1388="","",IFERROR(INDEX(pr_des,MATCH(B1388,pr_code,0))&amp;"",""))))</f>
        <v/>
      </c>
      <c r="I1388" s="59" t="str">
        <f>IF(B1388="","",IFERROR(INDEX(pr_unit,MATCH(B1388,pr_code,0))&amp;"",""))</f>
        <v/>
      </c>
      <c r="J1388" s="65" t="str">
        <f>IF(COUNTA(A1388:G1388)=0,"",IF(E1388&lt;&gt;"",E1388,IF(B1388="","",IFERROR(IF(INDEX(pr_price,MATCH(B1388,pr_code,0))="","",INDEX(pr_price,MATCH(B1388,pr_code,0))),""))))</f>
        <v/>
      </c>
      <c r="K1388" s="71" t="str">
        <f>IF(COUNTA(A1388:G1388)=0,"",IF(G1388&lt;&gt;"",G1388,IF(B1388="","",IFERROR(IF(INDEX(pr_rate,MATCH(B1388,pr_code,0))="","",INDEX(pr_rate,MATCH(B1388,pr_code,0))),""))))</f>
        <v/>
      </c>
      <c r="L1388" s="65" t="str">
        <f>IF(COUNTA(A1388:G1388)=0,"",IF(AND(ISNUMBER(D1388),ISNUMBER(J1388)),ROUND(D1388*J1388*(1-N(F1388)),2),0))</f>
        <v/>
      </c>
      <c r="M1388" s="62" t="str">
        <f>IF(A1388="","",IFERROR(INDEX(fa_cname,MATCH(A1388,fa_num,0))&amp;"",""))</f>
        <v/>
      </c>
      <c r="N1388" s="59" t="str">
        <f>IF(COUNTA(A1388:G1388)=0,"",IF(A1388="","N° facture manquant",IF(ISNA(MATCH(A1388,fa_num,0)),"Facture inconnue",IF(AND(B1388&lt;&gt;"",ISNA(MATCH(B1388,pr_code,0))),"Article inconnu",IF(H1388="","Désignation manquante",IF(OR(NOT(ISNUMBER(D1388)),N(D1388)&lt;=0),"Quantité invalide",IF(J1388="","Prix manquant",IF(OR(NOT(ISNUMBER(J1388)),N(J1388)&lt;0),"Prix invalide",IF(OR(AND(F1388&lt;&gt;"",NOT(ISNUMBER(F1388))),N(F1388)&lt;0,N(F1388)&gt;1),"Remise invalide",IF(K1388="","Taux de TVA manquant",IF(NOT(ISNUMBER(K1388)),"Taux de TVA invalide",IF(COUNTIF(p_rates,K1388)=0,"Taux de TVA hors liste (Paramètres)",IF(N(O1388)&gt;25,"Au-delà de 25 lignes : non imprimée","OK")))))))))))))</f>
        <v/>
      </c>
      <c r="O1388" s="59" t="str">
        <f>IF(A1388="","",COUNTIF($A$6:A1388,A1388))</f>
        <v/>
      </c>
      <c r="P1388" s="62" t="str">
        <f>IF(A1388="","",A1388&amp;"|"&amp;O1388)</f>
        <v/>
      </c>
    </row>
    <row r="1389">
      <c r="A1389" s="60" t="n"/>
      <c r="B1389" s="63" t="n"/>
      <c r="C1389" s="63" t="n"/>
      <c r="D1389" s="67" t="n"/>
      <c r="E1389" s="68" t="n"/>
      <c r="F1389" s="69" t="n"/>
      <c r="G1389" s="70" t="n"/>
      <c r="H1389" s="62" t="str">
        <f>IF(COUNTA(A1389:G1389)=0,"",IF(C1389&lt;&gt;"",C1389,IF(B1389="","",IFERROR(INDEX(pr_des,MATCH(B1389,pr_code,0))&amp;"",""))))</f>
        <v/>
      </c>
      <c r="I1389" s="59" t="str">
        <f>IF(B1389="","",IFERROR(INDEX(pr_unit,MATCH(B1389,pr_code,0))&amp;"",""))</f>
        <v/>
      </c>
      <c r="J1389" s="65" t="str">
        <f>IF(COUNTA(A1389:G1389)=0,"",IF(E1389&lt;&gt;"",E1389,IF(B1389="","",IFERROR(IF(INDEX(pr_price,MATCH(B1389,pr_code,0))="","",INDEX(pr_price,MATCH(B1389,pr_code,0))),""))))</f>
        <v/>
      </c>
      <c r="K1389" s="71" t="str">
        <f>IF(COUNTA(A1389:G1389)=0,"",IF(G1389&lt;&gt;"",G1389,IF(B1389="","",IFERROR(IF(INDEX(pr_rate,MATCH(B1389,pr_code,0))="","",INDEX(pr_rate,MATCH(B1389,pr_code,0))),""))))</f>
        <v/>
      </c>
      <c r="L1389" s="65" t="str">
        <f>IF(COUNTA(A1389:G1389)=0,"",IF(AND(ISNUMBER(D1389),ISNUMBER(J1389)),ROUND(D1389*J1389*(1-N(F1389)),2),0))</f>
        <v/>
      </c>
      <c r="M1389" s="62" t="str">
        <f>IF(A1389="","",IFERROR(INDEX(fa_cname,MATCH(A1389,fa_num,0))&amp;"",""))</f>
        <v/>
      </c>
      <c r="N1389" s="59" t="str">
        <f>IF(COUNTA(A1389:G1389)=0,"",IF(A1389="","N° facture manquant",IF(ISNA(MATCH(A1389,fa_num,0)),"Facture inconnue",IF(AND(B1389&lt;&gt;"",ISNA(MATCH(B1389,pr_code,0))),"Article inconnu",IF(H1389="","Désignation manquante",IF(OR(NOT(ISNUMBER(D1389)),N(D1389)&lt;=0),"Quantité invalide",IF(J1389="","Prix manquant",IF(OR(NOT(ISNUMBER(J1389)),N(J1389)&lt;0),"Prix invalide",IF(OR(AND(F1389&lt;&gt;"",NOT(ISNUMBER(F1389))),N(F1389)&lt;0,N(F1389)&gt;1),"Remise invalide",IF(K1389="","Taux de TVA manquant",IF(NOT(ISNUMBER(K1389)),"Taux de TVA invalide",IF(COUNTIF(p_rates,K1389)=0,"Taux de TVA hors liste (Paramètres)",IF(N(O1389)&gt;25,"Au-delà de 25 lignes : non imprimée","OK")))))))))))))</f>
        <v/>
      </c>
      <c r="O1389" s="59" t="str">
        <f>IF(A1389="","",COUNTIF($A$6:A1389,A1389))</f>
        <v/>
      </c>
      <c r="P1389" s="62" t="str">
        <f>IF(A1389="","",A1389&amp;"|"&amp;O1389)</f>
        <v/>
      </c>
    </row>
    <row r="1390">
      <c r="A1390" s="60" t="n"/>
      <c r="B1390" s="63" t="n"/>
      <c r="C1390" s="63" t="n"/>
      <c r="D1390" s="67" t="n"/>
      <c r="E1390" s="68" t="n"/>
      <c r="F1390" s="69" t="n"/>
      <c r="G1390" s="70" t="n"/>
      <c r="H1390" s="62" t="str">
        <f>IF(COUNTA(A1390:G1390)=0,"",IF(C1390&lt;&gt;"",C1390,IF(B1390="","",IFERROR(INDEX(pr_des,MATCH(B1390,pr_code,0))&amp;"",""))))</f>
        <v/>
      </c>
      <c r="I1390" s="59" t="str">
        <f>IF(B1390="","",IFERROR(INDEX(pr_unit,MATCH(B1390,pr_code,0))&amp;"",""))</f>
        <v/>
      </c>
      <c r="J1390" s="65" t="str">
        <f>IF(COUNTA(A1390:G1390)=0,"",IF(E1390&lt;&gt;"",E1390,IF(B1390="","",IFERROR(IF(INDEX(pr_price,MATCH(B1390,pr_code,0))="","",INDEX(pr_price,MATCH(B1390,pr_code,0))),""))))</f>
        <v/>
      </c>
      <c r="K1390" s="71" t="str">
        <f>IF(COUNTA(A1390:G1390)=0,"",IF(G1390&lt;&gt;"",G1390,IF(B1390="","",IFERROR(IF(INDEX(pr_rate,MATCH(B1390,pr_code,0))="","",INDEX(pr_rate,MATCH(B1390,pr_code,0))),""))))</f>
        <v/>
      </c>
      <c r="L1390" s="65" t="str">
        <f>IF(COUNTA(A1390:G1390)=0,"",IF(AND(ISNUMBER(D1390),ISNUMBER(J1390)),ROUND(D1390*J1390*(1-N(F1390)),2),0))</f>
        <v/>
      </c>
      <c r="M1390" s="62" t="str">
        <f>IF(A1390="","",IFERROR(INDEX(fa_cname,MATCH(A1390,fa_num,0))&amp;"",""))</f>
        <v/>
      </c>
      <c r="N1390" s="59" t="str">
        <f>IF(COUNTA(A1390:G1390)=0,"",IF(A1390="","N° facture manquant",IF(ISNA(MATCH(A1390,fa_num,0)),"Facture inconnue",IF(AND(B1390&lt;&gt;"",ISNA(MATCH(B1390,pr_code,0))),"Article inconnu",IF(H1390="","Désignation manquante",IF(OR(NOT(ISNUMBER(D1390)),N(D1390)&lt;=0),"Quantité invalide",IF(J1390="","Prix manquant",IF(OR(NOT(ISNUMBER(J1390)),N(J1390)&lt;0),"Prix invalide",IF(OR(AND(F1390&lt;&gt;"",NOT(ISNUMBER(F1390))),N(F1390)&lt;0,N(F1390)&gt;1),"Remise invalide",IF(K1390="","Taux de TVA manquant",IF(NOT(ISNUMBER(K1390)),"Taux de TVA invalide",IF(COUNTIF(p_rates,K1390)=0,"Taux de TVA hors liste (Paramètres)",IF(N(O1390)&gt;25,"Au-delà de 25 lignes : non imprimée","OK")))))))))))))</f>
        <v/>
      </c>
      <c r="O1390" s="59" t="str">
        <f>IF(A1390="","",COUNTIF($A$6:A1390,A1390))</f>
        <v/>
      </c>
      <c r="P1390" s="62" t="str">
        <f>IF(A1390="","",A1390&amp;"|"&amp;O1390)</f>
        <v/>
      </c>
    </row>
    <row r="1391">
      <c r="A1391" s="60" t="n"/>
      <c r="B1391" s="63" t="n"/>
      <c r="C1391" s="63" t="n"/>
      <c r="D1391" s="67" t="n"/>
      <c r="E1391" s="68" t="n"/>
      <c r="F1391" s="69" t="n"/>
      <c r="G1391" s="70" t="n"/>
      <c r="H1391" s="62" t="str">
        <f>IF(COUNTA(A1391:G1391)=0,"",IF(C1391&lt;&gt;"",C1391,IF(B1391="","",IFERROR(INDEX(pr_des,MATCH(B1391,pr_code,0))&amp;"",""))))</f>
        <v/>
      </c>
      <c r="I1391" s="59" t="str">
        <f>IF(B1391="","",IFERROR(INDEX(pr_unit,MATCH(B1391,pr_code,0))&amp;"",""))</f>
        <v/>
      </c>
      <c r="J1391" s="65" t="str">
        <f>IF(COUNTA(A1391:G1391)=0,"",IF(E1391&lt;&gt;"",E1391,IF(B1391="","",IFERROR(IF(INDEX(pr_price,MATCH(B1391,pr_code,0))="","",INDEX(pr_price,MATCH(B1391,pr_code,0))),""))))</f>
        <v/>
      </c>
      <c r="K1391" s="71" t="str">
        <f>IF(COUNTA(A1391:G1391)=0,"",IF(G1391&lt;&gt;"",G1391,IF(B1391="","",IFERROR(IF(INDEX(pr_rate,MATCH(B1391,pr_code,0))="","",INDEX(pr_rate,MATCH(B1391,pr_code,0))),""))))</f>
        <v/>
      </c>
      <c r="L1391" s="65" t="str">
        <f>IF(COUNTA(A1391:G1391)=0,"",IF(AND(ISNUMBER(D1391),ISNUMBER(J1391)),ROUND(D1391*J1391*(1-N(F1391)),2),0))</f>
        <v/>
      </c>
      <c r="M1391" s="62" t="str">
        <f>IF(A1391="","",IFERROR(INDEX(fa_cname,MATCH(A1391,fa_num,0))&amp;"",""))</f>
        <v/>
      </c>
      <c r="N1391" s="59" t="str">
        <f>IF(COUNTA(A1391:G1391)=0,"",IF(A1391="","N° facture manquant",IF(ISNA(MATCH(A1391,fa_num,0)),"Facture inconnue",IF(AND(B1391&lt;&gt;"",ISNA(MATCH(B1391,pr_code,0))),"Article inconnu",IF(H1391="","Désignation manquante",IF(OR(NOT(ISNUMBER(D1391)),N(D1391)&lt;=0),"Quantité invalide",IF(J1391="","Prix manquant",IF(OR(NOT(ISNUMBER(J1391)),N(J1391)&lt;0),"Prix invalide",IF(OR(AND(F1391&lt;&gt;"",NOT(ISNUMBER(F1391))),N(F1391)&lt;0,N(F1391)&gt;1),"Remise invalide",IF(K1391="","Taux de TVA manquant",IF(NOT(ISNUMBER(K1391)),"Taux de TVA invalide",IF(COUNTIF(p_rates,K1391)=0,"Taux de TVA hors liste (Paramètres)",IF(N(O1391)&gt;25,"Au-delà de 25 lignes : non imprimée","OK")))))))))))))</f>
        <v/>
      </c>
      <c r="O1391" s="59" t="str">
        <f>IF(A1391="","",COUNTIF($A$6:A1391,A1391))</f>
        <v/>
      </c>
      <c r="P1391" s="62" t="str">
        <f>IF(A1391="","",A1391&amp;"|"&amp;O1391)</f>
        <v/>
      </c>
    </row>
    <row r="1392">
      <c r="A1392" s="60" t="n"/>
      <c r="B1392" s="63" t="n"/>
      <c r="C1392" s="63" t="n"/>
      <c r="D1392" s="67" t="n"/>
      <c r="E1392" s="68" t="n"/>
      <c r="F1392" s="69" t="n"/>
      <c r="G1392" s="70" t="n"/>
      <c r="H1392" s="62" t="str">
        <f>IF(COUNTA(A1392:G1392)=0,"",IF(C1392&lt;&gt;"",C1392,IF(B1392="","",IFERROR(INDEX(pr_des,MATCH(B1392,pr_code,0))&amp;"",""))))</f>
        <v/>
      </c>
      <c r="I1392" s="59" t="str">
        <f>IF(B1392="","",IFERROR(INDEX(pr_unit,MATCH(B1392,pr_code,0))&amp;"",""))</f>
        <v/>
      </c>
      <c r="J1392" s="65" t="str">
        <f>IF(COUNTA(A1392:G1392)=0,"",IF(E1392&lt;&gt;"",E1392,IF(B1392="","",IFERROR(IF(INDEX(pr_price,MATCH(B1392,pr_code,0))="","",INDEX(pr_price,MATCH(B1392,pr_code,0))),""))))</f>
        <v/>
      </c>
      <c r="K1392" s="71" t="str">
        <f>IF(COUNTA(A1392:G1392)=0,"",IF(G1392&lt;&gt;"",G1392,IF(B1392="","",IFERROR(IF(INDEX(pr_rate,MATCH(B1392,pr_code,0))="","",INDEX(pr_rate,MATCH(B1392,pr_code,0))),""))))</f>
        <v/>
      </c>
      <c r="L1392" s="65" t="str">
        <f>IF(COUNTA(A1392:G1392)=0,"",IF(AND(ISNUMBER(D1392),ISNUMBER(J1392)),ROUND(D1392*J1392*(1-N(F1392)),2),0))</f>
        <v/>
      </c>
      <c r="M1392" s="62" t="str">
        <f>IF(A1392="","",IFERROR(INDEX(fa_cname,MATCH(A1392,fa_num,0))&amp;"",""))</f>
        <v/>
      </c>
      <c r="N1392" s="59" t="str">
        <f>IF(COUNTA(A1392:G1392)=0,"",IF(A1392="","N° facture manquant",IF(ISNA(MATCH(A1392,fa_num,0)),"Facture inconnue",IF(AND(B1392&lt;&gt;"",ISNA(MATCH(B1392,pr_code,0))),"Article inconnu",IF(H1392="","Désignation manquante",IF(OR(NOT(ISNUMBER(D1392)),N(D1392)&lt;=0),"Quantité invalide",IF(J1392="","Prix manquant",IF(OR(NOT(ISNUMBER(J1392)),N(J1392)&lt;0),"Prix invalide",IF(OR(AND(F1392&lt;&gt;"",NOT(ISNUMBER(F1392))),N(F1392)&lt;0,N(F1392)&gt;1),"Remise invalide",IF(K1392="","Taux de TVA manquant",IF(NOT(ISNUMBER(K1392)),"Taux de TVA invalide",IF(COUNTIF(p_rates,K1392)=0,"Taux de TVA hors liste (Paramètres)",IF(N(O1392)&gt;25,"Au-delà de 25 lignes : non imprimée","OK")))))))))))))</f>
        <v/>
      </c>
      <c r="O1392" s="59" t="str">
        <f>IF(A1392="","",COUNTIF($A$6:A1392,A1392))</f>
        <v/>
      </c>
      <c r="P1392" s="62" t="str">
        <f>IF(A1392="","",A1392&amp;"|"&amp;O1392)</f>
        <v/>
      </c>
    </row>
    <row r="1393">
      <c r="A1393" s="60" t="n"/>
      <c r="B1393" s="63" t="n"/>
      <c r="C1393" s="63" t="n"/>
      <c r="D1393" s="67" t="n"/>
      <c r="E1393" s="68" t="n"/>
      <c r="F1393" s="69" t="n"/>
      <c r="G1393" s="70" t="n"/>
      <c r="H1393" s="62" t="str">
        <f>IF(COUNTA(A1393:G1393)=0,"",IF(C1393&lt;&gt;"",C1393,IF(B1393="","",IFERROR(INDEX(pr_des,MATCH(B1393,pr_code,0))&amp;"",""))))</f>
        <v/>
      </c>
      <c r="I1393" s="59" t="str">
        <f>IF(B1393="","",IFERROR(INDEX(pr_unit,MATCH(B1393,pr_code,0))&amp;"",""))</f>
        <v/>
      </c>
      <c r="J1393" s="65" t="str">
        <f>IF(COUNTA(A1393:G1393)=0,"",IF(E1393&lt;&gt;"",E1393,IF(B1393="","",IFERROR(IF(INDEX(pr_price,MATCH(B1393,pr_code,0))="","",INDEX(pr_price,MATCH(B1393,pr_code,0))),""))))</f>
        <v/>
      </c>
      <c r="K1393" s="71" t="str">
        <f>IF(COUNTA(A1393:G1393)=0,"",IF(G1393&lt;&gt;"",G1393,IF(B1393="","",IFERROR(IF(INDEX(pr_rate,MATCH(B1393,pr_code,0))="","",INDEX(pr_rate,MATCH(B1393,pr_code,0))),""))))</f>
        <v/>
      </c>
      <c r="L1393" s="65" t="str">
        <f>IF(COUNTA(A1393:G1393)=0,"",IF(AND(ISNUMBER(D1393),ISNUMBER(J1393)),ROUND(D1393*J1393*(1-N(F1393)),2),0))</f>
        <v/>
      </c>
      <c r="M1393" s="62" t="str">
        <f>IF(A1393="","",IFERROR(INDEX(fa_cname,MATCH(A1393,fa_num,0))&amp;"",""))</f>
        <v/>
      </c>
      <c r="N1393" s="59" t="str">
        <f>IF(COUNTA(A1393:G1393)=0,"",IF(A1393="","N° facture manquant",IF(ISNA(MATCH(A1393,fa_num,0)),"Facture inconnue",IF(AND(B1393&lt;&gt;"",ISNA(MATCH(B1393,pr_code,0))),"Article inconnu",IF(H1393="","Désignation manquante",IF(OR(NOT(ISNUMBER(D1393)),N(D1393)&lt;=0),"Quantité invalide",IF(J1393="","Prix manquant",IF(OR(NOT(ISNUMBER(J1393)),N(J1393)&lt;0),"Prix invalide",IF(OR(AND(F1393&lt;&gt;"",NOT(ISNUMBER(F1393))),N(F1393)&lt;0,N(F1393)&gt;1),"Remise invalide",IF(K1393="","Taux de TVA manquant",IF(NOT(ISNUMBER(K1393)),"Taux de TVA invalide",IF(COUNTIF(p_rates,K1393)=0,"Taux de TVA hors liste (Paramètres)",IF(N(O1393)&gt;25,"Au-delà de 25 lignes : non imprimée","OK")))))))))))))</f>
        <v/>
      </c>
      <c r="O1393" s="59" t="str">
        <f>IF(A1393="","",COUNTIF($A$6:A1393,A1393))</f>
        <v/>
      </c>
      <c r="P1393" s="62" t="str">
        <f>IF(A1393="","",A1393&amp;"|"&amp;O1393)</f>
        <v/>
      </c>
    </row>
    <row r="1394">
      <c r="A1394" s="60" t="n"/>
      <c r="B1394" s="63" t="n"/>
      <c r="C1394" s="63" t="n"/>
      <c r="D1394" s="67" t="n"/>
      <c r="E1394" s="68" t="n"/>
      <c r="F1394" s="69" t="n"/>
      <c r="G1394" s="70" t="n"/>
      <c r="H1394" s="62" t="str">
        <f>IF(COUNTA(A1394:G1394)=0,"",IF(C1394&lt;&gt;"",C1394,IF(B1394="","",IFERROR(INDEX(pr_des,MATCH(B1394,pr_code,0))&amp;"",""))))</f>
        <v/>
      </c>
      <c r="I1394" s="59" t="str">
        <f>IF(B1394="","",IFERROR(INDEX(pr_unit,MATCH(B1394,pr_code,0))&amp;"",""))</f>
        <v/>
      </c>
      <c r="J1394" s="65" t="str">
        <f>IF(COUNTA(A1394:G1394)=0,"",IF(E1394&lt;&gt;"",E1394,IF(B1394="","",IFERROR(IF(INDEX(pr_price,MATCH(B1394,pr_code,0))="","",INDEX(pr_price,MATCH(B1394,pr_code,0))),""))))</f>
        <v/>
      </c>
      <c r="K1394" s="71" t="str">
        <f>IF(COUNTA(A1394:G1394)=0,"",IF(G1394&lt;&gt;"",G1394,IF(B1394="","",IFERROR(IF(INDEX(pr_rate,MATCH(B1394,pr_code,0))="","",INDEX(pr_rate,MATCH(B1394,pr_code,0))),""))))</f>
        <v/>
      </c>
      <c r="L1394" s="65" t="str">
        <f>IF(COUNTA(A1394:G1394)=0,"",IF(AND(ISNUMBER(D1394),ISNUMBER(J1394)),ROUND(D1394*J1394*(1-N(F1394)),2),0))</f>
        <v/>
      </c>
      <c r="M1394" s="62" t="str">
        <f>IF(A1394="","",IFERROR(INDEX(fa_cname,MATCH(A1394,fa_num,0))&amp;"",""))</f>
        <v/>
      </c>
      <c r="N1394" s="59" t="str">
        <f>IF(COUNTA(A1394:G1394)=0,"",IF(A1394="","N° facture manquant",IF(ISNA(MATCH(A1394,fa_num,0)),"Facture inconnue",IF(AND(B1394&lt;&gt;"",ISNA(MATCH(B1394,pr_code,0))),"Article inconnu",IF(H1394="","Désignation manquante",IF(OR(NOT(ISNUMBER(D1394)),N(D1394)&lt;=0),"Quantité invalide",IF(J1394="","Prix manquant",IF(OR(NOT(ISNUMBER(J1394)),N(J1394)&lt;0),"Prix invalide",IF(OR(AND(F1394&lt;&gt;"",NOT(ISNUMBER(F1394))),N(F1394)&lt;0,N(F1394)&gt;1),"Remise invalide",IF(K1394="","Taux de TVA manquant",IF(NOT(ISNUMBER(K1394)),"Taux de TVA invalide",IF(COUNTIF(p_rates,K1394)=0,"Taux de TVA hors liste (Paramètres)",IF(N(O1394)&gt;25,"Au-delà de 25 lignes : non imprimée","OK")))))))))))))</f>
        <v/>
      </c>
      <c r="O1394" s="59" t="str">
        <f>IF(A1394="","",COUNTIF($A$6:A1394,A1394))</f>
        <v/>
      </c>
      <c r="P1394" s="62" t="str">
        <f>IF(A1394="","",A1394&amp;"|"&amp;O1394)</f>
        <v/>
      </c>
    </row>
    <row r="1395">
      <c r="A1395" s="60" t="n"/>
      <c r="B1395" s="63" t="n"/>
      <c r="C1395" s="63" t="n"/>
      <c r="D1395" s="67" t="n"/>
      <c r="E1395" s="68" t="n"/>
      <c r="F1395" s="69" t="n"/>
      <c r="G1395" s="70" t="n"/>
      <c r="H1395" s="62" t="str">
        <f>IF(COUNTA(A1395:G1395)=0,"",IF(C1395&lt;&gt;"",C1395,IF(B1395="","",IFERROR(INDEX(pr_des,MATCH(B1395,pr_code,0))&amp;"",""))))</f>
        <v/>
      </c>
      <c r="I1395" s="59" t="str">
        <f>IF(B1395="","",IFERROR(INDEX(pr_unit,MATCH(B1395,pr_code,0))&amp;"",""))</f>
        <v/>
      </c>
      <c r="J1395" s="65" t="str">
        <f>IF(COUNTA(A1395:G1395)=0,"",IF(E1395&lt;&gt;"",E1395,IF(B1395="","",IFERROR(IF(INDEX(pr_price,MATCH(B1395,pr_code,0))="","",INDEX(pr_price,MATCH(B1395,pr_code,0))),""))))</f>
        <v/>
      </c>
      <c r="K1395" s="71" t="str">
        <f>IF(COUNTA(A1395:G1395)=0,"",IF(G1395&lt;&gt;"",G1395,IF(B1395="","",IFERROR(IF(INDEX(pr_rate,MATCH(B1395,pr_code,0))="","",INDEX(pr_rate,MATCH(B1395,pr_code,0))),""))))</f>
        <v/>
      </c>
      <c r="L1395" s="65" t="str">
        <f>IF(COUNTA(A1395:G1395)=0,"",IF(AND(ISNUMBER(D1395),ISNUMBER(J1395)),ROUND(D1395*J1395*(1-N(F1395)),2),0))</f>
        <v/>
      </c>
      <c r="M1395" s="62" t="str">
        <f>IF(A1395="","",IFERROR(INDEX(fa_cname,MATCH(A1395,fa_num,0))&amp;"",""))</f>
        <v/>
      </c>
      <c r="N1395" s="59" t="str">
        <f>IF(COUNTA(A1395:G1395)=0,"",IF(A1395="","N° facture manquant",IF(ISNA(MATCH(A1395,fa_num,0)),"Facture inconnue",IF(AND(B1395&lt;&gt;"",ISNA(MATCH(B1395,pr_code,0))),"Article inconnu",IF(H1395="","Désignation manquante",IF(OR(NOT(ISNUMBER(D1395)),N(D1395)&lt;=0),"Quantité invalide",IF(J1395="","Prix manquant",IF(OR(NOT(ISNUMBER(J1395)),N(J1395)&lt;0),"Prix invalide",IF(OR(AND(F1395&lt;&gt;"",NOT(ISNUMBER(F1395))),N(F1395)&lt;0,N(F1395)&gt;1),"Remise invalide",IF(K1395="","Taux de TVA manquant",IF(NOT(ISNUMBER(K1395)),"Taux de TVA invalide",IF(COUNTIF(p_rates,K1395)=0,"Taux de TVA hors liste (Paramètres)",IF(N(O1395)&gt;25,"Au-delà de 25 lignes : non imprimée","OK")))))))))))))</f>
        <v/>
      </c>
      <c r="O1395" s="59" t="str">
        <f>IF(A1395="","",COUNTIF($A$6:A1395,A1395))</f>
        <v/>
      </c>
      <c r="P1395" s="62" t="str">
        <f>IF(A1395="","",A1395&amp;"|"&amp;O1395)</f>
        <v/>
      </c>
    </row>
    <row r="1396">
      <c r="A1396" s="60" t="n"/>
      <c r="B1396" s="63" t="n"/>
      <c r="C1396" s="63" t="n"/>
      <c r="D1396" s="67" t="n"/>
      <c r="E1396" s="68" t="n"/>
      <c r="F1396" s="69" t="n"/>
      <c r="G1396" s="70" t="n"/>
      <c r="H1396" s="62" t="str">
        <f>IF(COUNTA(A1396:G1396)=0,"",IF(C1396&lt;&gt;"",C1396,IF(B1396="","",IFERROR(INDEX(pr_des,MATCH(B1396,pr_code,0))&amp;"",""))))</f>
        <v/>
      </c>
      <c r="I1396" s="59" t="str">
        <f>IF(B1396="","",IFERROR(INDEX(pr_unit,MATCH(B1396,pr_code,0))&amp;"",""))</f>
        <v/>
      </c>
      <c r="J1396" s="65" t="str">
        <f>IF(COUNTA(A1396:G1396)=0,"",IF(E1396&lt;&gt;"",E1396,IF(B1396="","",IFERROR(IF(INDEX(pr_price,MATCH(B1396,pr_code,0))="","",INDEX(pr_price,MATCH(B1396,pr_code,0))),""))))</f>
        <v/>
      </c>
      <c r="K1396" s="71" t="str">
        <f>IF(COUNTA(A1396:G1396)=0,"",IF(G1396&lt;&gt;"",G1396,IF(B1396="","",IFERROR(IF(INDEX(pr_rate,MATCH(B1396,pr_code,0))="","",INDEX(pr_rate,MATCH(B1396,pr_code,0))),""))))</f>
        <v/>
      </c>
      <c r="L1396" s="65" t="str">
        <f>IF(COUNTA(A1396:G1396)=0,"",IF(AND(ISNUMBER(D1396),ISNUMBER(J1396)),ROUND(D1396*J1396*(1-N(F1396)),2),0))</f>
        <v/>
      </c>
      <c r="M1396" s="62" t="str">
        <f>IF(A1396="","",IFERROR(INDEX(fa_cname,MATCH(A1396,fa_num,0))&amp;"",""))</f>
        <v/>
      </c>
      <c r="N1396" s="59" t="str">
        <f>IF(COUNTA(A1396:G1396)=0,"",IF(A1396="","N° facture manquant",IF(ISNA(MATCH(A1396,fa_num,0)),"Facture inconnue",IF(AND(B1396&lt;&gt;"",ISNA(MATCH(B1396,pr_code,0))),"Article inconnu",IF(H1396="","Désignation manquante",IF(OR(NOT(ISNUMBER(D1396)),N(D1396)&lt;=0),"Quantité invalide",IF(J1396="","Prix manquant",IF(OR(NOT(ISNUMBER(J1396)),N(J1396)&lt;0),"Prix invalide",IF(OR(AND(F1396&lt;&gt;"",NOT(ISNUMBER(F1396))),N(F1396)&lt;0,N(F1396)&gt;1),"Remise invalide",IF(K1396="","Taux de TVA manquant",IF(NOT(ISNUMBER(K1396)),"Taux de TVA invalide",IF(COUNTIF(p_rates,K1396)=0,"Taux de TVA hors liste (Paramètres)",IF(N(O1396)&gt;25,"Au-delà de 25 lignes : non imprimée","OK")))))))))))))</f>
        <v/>
      </c>
      <c r="O1396" s="59" t="str">
        <f>IF(A1396="","",COUNTIF($A$6:A1396,A1396))</f>
        <v/>
      </c>
      <c r="P1396" s="62" t="str">
        <f>IF(A1396="","",A1396&amp;"|"&amp;O1396)</f>
        <v/>
      </c>
    </row>
    <row r="1397">
      <c r="A1397" s="60" t="n"/>
      <c r="B1397" s="63" t="n"/>
      <c r="C1397" s="63" t="n"/>
      <c r="D1397" s="67" t="n"/>
      <c r="E1397" s="68" t="n"/>
      <c r="F1397" s="69" t="n"/>
      <c r="G1397" s="70" t="n"/>
      <c r="H1397" s="62" t="str">
        <f>IF(COUNTA(A1397:G1397)=0,"",IF(C1397&lt;&gt;"",C1397,IF(B1397="","",IFERROR(INDEX(pr_des,MATCH(B1397,pr_code,0))&amp;"",""))))</f>
        <v/>
      </c>
      <c r="I1397" s="59" t="str">
        <f>IF(B1397="","",IFERROR(INDEX(pr_unit,MATCH(B1397,pr_code,0))&amp;"",""))</f>
        <v/>
      </c>
      <c r="J1397" s="65" t="str">
        <f>IF(COUNTA(A1397:G1397)=0,"",IF(E1397&lt;&gt;"",E1397,IF(B1397="","",IFERROR(IF(INDEX(pr_price,MATCH(B1397,pr_code,0))="","",INDEX(pr_price,MATCH(B1397,pr_code,0))),""))))</f>
        <v/>
      </c>
      <c r="K1397" s="71" t="str">
        <f>IF(COUNTA(A1397:G1397)=0,"",IF(G1397&lt;&gt;"",G1397,IF(B1397="","",IFERROR(IF(INDEX(pr_rate,MATCH(B1397,pr_code,0))="","",INDEX(pr_rate,MATCH(B1397,pr_code,0))),""))))</f>
        <v/>
      </c>
      <c r="L1397" s="65" t="str">
        <f>IF(COUNTA(A1397:G1397)=0,"",IF(AND(ISNUMBER(D1397),ISNUMBER(J1397)),ROUND(D1397*J1397*(1-N(F1397)),2),0))</f>
        <v/>
      </c>
      <c r="M1397" s="62" t="str">
        <f>IF(A1397="","",IFERROR(INDEX(fa_cname,MATCH(A1397,fa_num,0))&amp;"",""))</f>
        <v/>
      </c>
      <c r="N1397" s="59" t="str">
        <f>IF(COUNTA(A1397:G1397)=0,"",IF(A1397="","N° facture manquant",IF(ISNA(MATCH(A1397,fa_num,0)),"Facture inconnue",IF(AND(B1397&lt;&gt;"",ISNA(MATCH(B1397,pr_code,0))),"Article inconnu",IF(H1397="","Désignation manquante",IF(OR(NOT(ISNUMBER(D1397)),N(D1397)&lt;=0),"Quantité invalide",IF(J1397="","Prix manquant",IF(OR(NOT(ISNUMBER(J1397)),N(J1397)&lt;0),"Prix invalide",IF(OR(AND(F1397&lt;&gt;"",NOT(ISNUMBER(F1397))),N(F1397)&lt;0,N(F1397)&gt;1),"Remise invalide",IF(K1397="","Taux de TVA manquant",IF(NOT(ISNUMBER(K1397)),"Taux de TVA invalide",IF(COUNTIF(p_rates,K1397)=0,"Taux de TVA hors liste (Paramètres)",IF(N(O1397)&gt;25,"Au-delà de 25 lignes : non imprimée","OK")))))))))))))</f>
        <v/>
      </c>
      <c r="O1397" s="59" t="str">
        <f>IF(A1397="","",COUNTIF($A$6:A1397,A1397))</f>
        <v/>
      </c>
      <c r="P1397" s="62" t="str">
        <f>IF(A1397="","",A1397&amp;"|"&amp;O1397)</f>
        <v/>
      </c>
    </row>
    <row r="1398">
      <c r="A1398" s="60" t="n"/>
      <c r="B1398" s="63" t="n"/>
      <c r="C1398" s="63" t="n"/>
      <c r="D1398" s="67" t="n"/>
      <c r="E1398" s="68" t="n"/>
      <c r="F1398" s="69" t="n"/>
      <c r="G1398" s="70" t="n"/>
      <c r="H1398" s="62" t="str">
        <f>IF(COUNTA(A1398:G1398)=0,"",IF(C1398&lt;&gt;"",C1398,IF(B1398="","",IFERROR(INDEX(pr_des,MATCH(B1398,pr_code,0))&amp;"",""))))</f>
        <v/>
      </c>
      <c r="I1398" s="59" t="str">
        <f>IF(B1398="","",IFERROR(INDEX(pr_unit,MATCH(B1398,pr_code,0))&amp;"",""))</f>
        <v/>
      </c>
      <c r="J1398" s="65" t="str">
        <f>IF(COUNTA(A1398:G1398)=0,"",IF(E1398&lt;&gt;"",E1398,IF(B1398="","",IFERROR(IF(INDEX(pr_price,MATCH(B1398,pr_code,0))="","",INDEX(pr_price,MATCH(B1398,pr_code,0))),""))))</f>
        <v/>
      </c>
      <c r="K1398" s="71" t="str">
        <f>IF(COUNTA(A1398:G1398)=0,"",IF(G1398&lt;&gt;"",G1398,IF(B1398="","",IFERROR(IF(INDEX(pr_rate,MATCH(B1398,pr_code,0))="","",INDEX(pr_rate,MATCH(B1398,pr_code,0))),""))))</f>
        <v/>
      </c>
      <c r="L1398" s="65" t="str">
        <f>IF(COUNTA(A1398:G1398)=0,"",IF(AND(ISNUMBER(D1398),ISNUMBER(J1398)),ROUND(D1398*J1398*(1-N(F1398)),2),0))</f>
        <v/>
      </c>
      <c r="M1398" s="62" t="str">
        <f>IF(A1398="","",IFERROR(INDEX(fa_cname,MATCH(A1398,fa_num,0))&amp;"",""))</f>
        <v/>
      </c>
      <c r="N1398" s="59" t="str">
        <f>IF(COUNTA(A1398:G1398)=0,"",IF(A1398="","N° facture manquant",IF(ISNA(MATCH(A1398,fa_num,0)),"Facture inconnue",IF(AND(B1398&lt;&gt;"",ISNA(MATCH(B1398,pr_code,0))),"Article inconnu",IF(H1398="","Désignation manquante",IF(OR(NOT(ISNUMBER(D1398)),N(D1398)&lt;=0),"Quantité invalide",IF(J1398="","Prix manquant",IF(OR(NOT(ISNUMBER(J1398)),N(J1398)&lt;0),"Prix invalide",IF(OR(AND(F1398&lt;&gt;"",NOT(ISNUMBER(F1398))),N(F1398)&lt;0,N(F1398)&gt;1),"Remise invalide",IF(K1398="","Taux de TVA manquant",IF(NOT(ISNUMBER(K1398)),"Taux de TVA invalide",IF(COUNTIF(p_rates,K1398)=0,"Taux de TVA hors liste (Paramètres)",IF(N(O1398)&gt;25,"Au-delà de 25 lignes : non imprimée","OK")))))))))))))</f>
        <v/>
      </c>
      <c r="O1398" s="59" t="str">
        <f>IF(A1398="","",COUNTIF($A$6:A1398,A1398))</f>
        <v/>
      </c>
      <c r="P1398" s="62" t="str">
        <f>IF(A1398="","",A1398&amp;"|"&amp;O1398)</f>
        <v/>
      </c>
    </row>
    <row r="1399">
      <c r="A1399" s="60" t="n"/>
      <c r="B1399" s="63" t="n"/>
      <c r="C1399" s="63" t="n"/>
      <c r="D1399" s="67" t="n"/>
      <c r="E1399" s="68" t="n"/>
      <c r="F1399" s="69" t="n"/>
      <c r="G1399" s="70" t="n"/>
      <c r="H1399" s="62" t="str">
        <f>IF(COUNTA(A1399:G1399)=0,"",IF(C1399&lt;&gt;"",C1399,IF(B1399="","",IFERROR(INDEX(pr_des,MATCH(B1399,pr_code,0))&amp;"",""))))</f>
        <v/>
      </c>
      <c r="I1399" s="59" t="str">
        <f>IF(B1399="","",IFERROR(INDEX(pr_unit,MATCH(B1399,pr_code,0))&amp;"",""))</f>
        <v/>
      </c>
      <c r="J1399" s="65" t="str">
        <f>IF(COUNTA(A1399:G1399)=0,"",IF(E1399&lt;&gt;"",E1399,IF(B1399="","",IFERROR(IF(INDEX(pr_price,MATCH(B1399,pr_code,0))="","",INDEX(pr_price,MATCH(B1399,pr_code,0))),""))))</f>
        <v/>
      </c>
      <c r="K1399" s="71" t="str">
        <f>IF(COUNTA(A1399:G1399)=0,"",IF(G1399&lt;&gt;"",G1399,IF(B1399="","",IFERROR(IF(INDEX(pr_rate,MATCH(B1399,pr_code,0))="","",INDEX(pr_rate,MATCH(B1399,pr_code,0))),""))))</f>
        <v/>
      </c>
      <c r="L1399" s="65" t="str">
        <f>IF(COUNTA(A1399:G1399)=0,"",IF(AND(ISNUMBER(D1399),ISNUMBER(J1399)),ROUND(D1399*J1399*(1-N(F1399)),2),0))</f>
        <v/>
      </c>
      <c r="M1399" s="62" t="str">
        <f>IF(A1399="","",IFERROR(INDEX(fa_cname,MATCH(A1399,fa_num,0))&amp;"",""))</f>
        <v/>
      </c>
      <c r="N1399" s="59" t="str">
        <f>IF(COUNTA(A1399:G1399)=0,"",IF(A1399="","N° facture manquant",IF(ISNA(MATCH(A1399,fa_num,0)),"Facture inconnue",IF(AND(B1399&lt;&gt;"",ISNA(MATCH(B1399,pr_code,0))),"Article inconnu",IF(H1399="","Désignation manquante",IF(OR(NOT(ISNUMBER(D1399)),N(D1399)&lt;=0),"Quantité invalide",IF(J1399="","Prix manquant",IF(OR(NOT(ISNUMBER(J1399)),N(J1399)&lt;0),"Prix invalide",IF(OR(AND(F1399&lt;&gt;"",NOT(ISNUMBER(F1399))),N(F1399)&lt;0,N(F1399)&gt;1),"Remise invalide",IF(K1399="","Taux de TVA manquant",IF(NOT(ISNUMBER(K1399)),"Taux de TVA invalide",IF(COUNTIF(p_rates,K1399)=0,"Taux de TVA hors liste (Paramètres)",IF(N(O1399)&gt;25,"Au-delà de 25 lignes : non imprimée","OK")))))))))))))</f>
        <v/>
      </c>
      <c r="O1399" s="59" t="str">
        <f>IF(A1399="","",COUNTIF($A$6:A1399,A1399))</f>
        <v/>
      </c>
      <c r="P1399" s="62" t="str">
        <f>IF(A1399="","",A1399&amp;"|"&amp;O1399)</f>
        <v/>
      </c>
    </row>
    <row r="1400">
      <c r="A1400" s="60" t="n"/>
      <c r="B1400" s="63" t="n"/>
      <c r="C1400" s="63" t="n"/>
      <c r="D1400" s="67" t="n"/>
      <c r="E1400" s="68" t="n"/>
      <c r="F1400" s="69" t="n"/>
      <c r="G1400" s="70" t="n"/>
      <c r="H1400" s="62" t="str">
        <f>IF(COUNTA(A1400:G1400)=0,"",IF(C1400&lt;&gt;"",C1400,IF(B1400="","",IFERROR(INDEX(pr_des,MATCH(B1400,pr_code,0))&amp;"",""))))</f>
        <v/>
      </c>
      <c r="I1400" s="59" t="str">
        <f>IF(B1400="","",IFERROR(INDEX(pr_unit,MATCH(B1400,pr_code,0))&amp;"",""))</f>
        <v/>
      </c>
      <c r="J1400" s="65" t="str">
        <f>IF(COUNTA(A1400:G1400)=0,"",IF(E1400&lt;&gt;"",E1400,IF(B1400="","",IFERROR(IF(INDEX(pr_price,MATCH(B1400,pr_code,0))="","",INDEX(pr_price,MATCH(B1400,pr_code,0))),""))))</f>
        <v/>
      </c>
      <c r="K1400" s="71" t="str">
        <f>IF(COUNTA(A1400:G1400)=0,"",IF(G1400&lt;&gt;"",G1400,IF(B1400="","",IFERROR(IF(INDEX(pr_rate,MATCH(B1400,pr_code,0))="","",INDEX(pr_rate,MATCH(B1400,pr_code,0))),""))))</f>
        <v/>
      </c>
      <c r="L1400" s="65" t="str">
        <f>IF(COUNTA(A1400:G1400)=0,"",IF(AND(ISNUMBER(D1400),ISNUMBER(J1400)),ROUND(D1400*J1400*(1-N(F1400)),2),0))</f>
        <v/>
      </c>
      <c r="M1400" s="62" t="str">
        <f>IF(A1400="","",IFERROR(INDEX(fa_cname,MATCH(A1400,fa_num,0))&amp;"",""))</f>
        <v/>
      </c>
      <c r="N1400" s="59" t="str">
        <f>IF(COUNTA(A1400:G1400)=0,"",IF(A1400="","N° facture manquant",IF(ISNA(MATCH(A1400,fa_num,0)),"Facture inconnue",IF(AND(B1400&lt;&gt;"",ISNA(MATCH(B1400,pr_code,0))),"Article inconnu",IF(H1400="","Désignation manquante",IF(OR(NOT(ISNUMBER(D1400)),N(D1400)&lt;=0),"Quantité invalide",IF(J1400="","Prix manquant",IF(OR(NOT(ISNUMBER(J1400)),N(J1400)&lt;0),"Prix invalide",IF(OR(AND(F1400&lt;&gt;"",NOT(ISNUMBER(F1400))),N(F1400)&lt;0,N(F1400)&gt;1),"Remise invalide",IF(K1400="","Taux de TVA manquant",IF(NOT(ISNUMBER(K1400)),"Taux de TVA invalide",IF(COUNTIF(p_rates,K1400)=0,"Taux de TVA hors liste (Paramètres)",IF(N(O1400)&gt;25,"Au-delà de 25 lignes : non imprimée","OK")))))))))))))</f>
        <v/>
      </c>
      <c r="O1400" s="59" t="str">
        <f>IF(A1400="","",COUNTIF($A$6:A1400,A1400))</f>
        <v/>
      </c>
      <c r="P1400" s="62" t="str">
        <f>IF(A1400="","",A1400&amp;"|"&amp;O1400)</f>
        <v/>
      </c>
    </row>
    <row r="1401">
      <c r="A1401" s="60" t="n"/>
      <c r="B1401" s="63" t="n"/>
      <c r="C1401" s="63" t="n"/>
      <c r="D1401" s="67" t="n"/>
      <c r="E1401" s="68" t="n"/>
      <c r="F1401" s="69" t="n"/>
      <c r="G1401" s="70" t="n"/>
      <c r="H1401" s="62" t="str">
        <f>IF(COUNTA(A1401:G1401)=0,"",IF(C1401&lt;&gt;"",C1401,IF(B1401="","",IFERROR(INDEX(pr_des,MATCH(B1401,pr_code,0))&amp;"",""))))</f>
        <v/>
      </c>
      <c r="I1401" s="59" t="str">
        <f>IF(B1401="","",IFERROR(INDEX(pr_unit,MATCH(B1401,pr_code,0))&amp;"",""))</f>
        <v/>
      </c>
      <c r="J1401" s="65" t="str">
        <f>IF(COUNTA(A1401:G1401)=0,"",IF(E1401&lt;&gt;"",E1401,IF(B1401="","",IFERROR(IF(INDEX(pr_price,MATCH(B1401,pr_code,0))="","",INDEX(pr_price,MATCH(B1401,pr_code,0))),""))))</f>
        <v/>
      </c>
      <c r="K1401" s="71" t="str">
        <f>IF(COUNTA(A1401:G1401)=0,"",IF(G1401&lt;&gt;"",G1401,IF(B1401="","",IFERROR(IF(INDEX(pr_rate,MATCH(B1401,pr_code,0))="","",INDEX(pr_rate,MATCH(B1401,pr_code,0))),""))))</f>
        <v/>
      </c>
      <c r="L1401" s="65" t="str">
        <f>IF(COUNTA(A1401:G1401)=0,"",IF(AND(ISNUMBER(D1401),ISNUMBER(J1401)),ROUND(D1401*J1401*(1-N(F1401)),2),0))</f>
        <v/>
      </c>
      <c r="M1401" s="62" t="str">
        <f>IF(A1401="","",IFERROR(INDEX(fa_cname,MATCH(A1401,fa_num,0))&amp;"",""))</f>
        <v/>
      </c>
      <c r="N1401" s="59" t="str">
        <f>IF(COUNTA(A1401:G1401)=0,"",IF(A1401="","N° facture manquant",IF(ISNA(MATCH(A1401,fa_num,0)),"Facture inconnue",IF(AND(B1401&lt;&gt;"",ISNA(MATCH(B1401,pr_code,0))),"Article inconnu",IF(H1401="","Désignation manquante",IF(OR(NOT(ISNUMBER(D1401)),N(D1401)&lt;=0),"Quantité invalide",IF(J1401="","Prix manquant",IF(OR(NOT(ISNUMBER(J1401)),N(J1401)&lt;0),"Prix invalide",IF(OR(AND(F1401&lt;&gt;"",NOT(ISNUMBER(F1401))),N(F1401)&lt;0,N(F1401)&gt;1),"Remise invalide",IF(K1401="","Taux de TVA manquant",IF(NOT(ISNUMBER(K1401)),"Taux de TVA invalide",IF(COUNTIF(p_rates,K1401)=0,"Taux de TVA hors liste (Paramètres)",IF(N(O1401)&gt;25,"Au-delà de 25 lignes : non imprimée","OK")))))))))))))</f>
        <v/>
      </c>
      <c r="O1401" s="59" t="str">
        <f>IF(A1401="","",COUNTIF($A$6:A1401,A1401))</f>
        <v/>
      </c>
      <c r="P1401" s="62" t="str">
        <f>IF(A1401="","",A1401&amp;"|"&amp;O1401)</f>
        <v/>
      </c>
    </row>
    <row r="1402">
      <c r="A1402" s="60" t="n"/>
      <c r="B1402" s="63" t="n"/>
      <c r="C1402" s="63" t="n"/>
      <c r="D1402" s="67" t="n"/>
      <c r="E1402" s="68" t="n"/>
      <c r="F1402" s="69" t="n"/>
      <c r="G1402" s="70" t="n"/>
      <c r="H1402" s="62" t="str">
        <f>IF(COUNTA(A1402:G1402)=0,"",IF(C1402&lt;&gt;"",C1402,IF(B1402="","",IFERROR(INDEX(pr_des,MATCH(B1402,pr_code,0))&amp;"",""))))</f>
        <v/>
      </c>
      <c r="I1402" s="59" t="str">
        <f>IF(B1402="","",IFERROR(INDEX(pr_unit,MATCH(B1402,pr_code,0))&amp;"",""))</f>
        <v/>
      </c>
      <c r="J1402" s="65" t="str">
        <f>IF(COUNTA(A1402:G1402)=0,"",IF(E1402&lt;&gt;"",E1402,IF(B1402="","",IFERROR(IF(INDEX(pr_price,MATCH(B1402,pr_code,0))="","",INDEX(pr_price,MATCH(B1402,pr_code,0))),""))))</f>
        <v/>
      </c>
      <c r="K1402" s="71" t="str">
        <f>IF(COUNTA(A1402:G1402)=0,"",IF(G1402&lt;&gt;"",G1402,IF(B1402="","",IFERROR(IF(INDEX(pr_rate,MATCH(B1402,pr_code,0))="","",INDEX(pr_rate,MATCH(B1402,pr_code,0))),""))))</f>
        <v/>
      </c>
      <c r="L1402" s="65" t="str">
        <f>IF(COUNTA(A1402:G1402)=0,"",IF(AND(ISNUMBER(D1402),ISNUMBER(J1402)),ROUND(D1402*J1402*(1-N(F1402)),2),0))</f>
        <v/>
      </c>
      <c r="M1402" s="62" t="str">
        <f>IF(A1402="","",IFERROR(INDEX(fa_cname,MATCH(A1402,fa_num,0))&amp;"",""))</f>
        <v/>
      </c>
      <c r="N1402" s="59" t="str">
        <f>IF(COUNTA(A1402:G1402)=0,"",IF(A1402="","N° facture manquant",IF(ISNA(MATCH(A1402,fa_num,0)),"Facture inconnue",IF(AND(B1402&lt;&gt;"",ISNA(MATCH(B1402,pr_code,0))),"Article inconnu",IF(H1402="","Désignation manquante",IF(OR(NOT(ISNUMBER(D1402)),N(D1402)&lt;=0),"Quantité invalide",IF(J1402="","Prix manquant",IF(OR(NOT(ISNUMBER(J1402)),N(J1402)&lt;0),"Prix invalide",IF(OR(AND(F1402&lt;&gt;"",NOT(ISNUMBER(F1402))),N(F1402)&lt;0,N(F1402)&gt;1),"Remise invalide",IF(K1402="","Taux de TVA manquant",IF(NOT(ISNUMBER(K1402)),"Taux de TVA invalide",IF(COUNTIF(p_rates,K1402)=0,"Taux de TVA hors liste (Paramètres)",IF(N(O1402)&gt;25,"Au-delà de 25 lignes : non imprimée","OK")))))))))))))</f>
        <v/>
      </c>
      <c r="O1402" s="59" t="str">
        <f>IF(A1402="","",COUNTIF($A$6:A1402,A1402))</f>
        <v/>
      </c>
      <c r="P1402" s="62" t="str">
        <f>IF(A1402="","",A1402&amp;"|"&amp;O1402)</f>
        <v/>
      </c>
    </row>
    <row r="1403">
      <c r="A1403" s="60" t="n"/>
      <c r="B1403" s="63" t="n"/>
      <c r="C1403" s="63" t="n"/>
      <c r="D1403" s="67" t="n"/>
      <c r="E1403" s="68" t="n"/>
      <c r="F1403" s="69" t="n"/>
      <c r="G1403" s="70" t="n"/>
      <c r="H1403" s="62" t="str">
        <f>IF(COUNTA(A1403:G1403)=0,"",IF(C1403&lt;&gt;"",C1403,IF(B1403="","",IFERROR(INDEX(pr_des,MATCH(B1403,pr_code,0))&amp;"",""))))</f>
        <v/>
      </c>
      <c r="I1403" s="59" t="str">
        <f>IF(B1403="","",IFERROR(INDEX(pr_unit,MATCH(B1403,pr_code,0))&amp;"",""))</f>
        <v/>
      </c>
      <c r="J1403" s="65" t="str">
        <f>IF(COUNTA(A1403:G1403)=0,"",IF(E1403&lt;&gt;"",E1403,IF(B1403="","",IFERROR(IF(INDEX(pr_price,MATCH(B1403,pr_code,0))="","",INDEX(pr_price,MATCH(B1403,pr_code,0))),""))))</f>
        <v/>
      </c>
      <c r="K1403" s="71" t="str">
        <f>IF(COUNTA(A1403:G1403)=0,"",IF(G1403&lt;&gt;"",G1403,IF(B1403="","",IFERROR(IF(INDEX(pr_rate,MATCH(B1403,pr_code,0))="","",INDEX(pr_rate,MATCH(B1403,pr_code,0))),""))))</f>
        <v/>
      </c>
      <c r="L1403" s="65" t="str">
        <f>IF(COUNTA(A1403:G1403)=0,"",IF(AND(ISNUMBER(D1403),ISNUMBER(J1403)),ROUND(D1403*J1403*(1-N(F1403)),2),0))</f>
        <v/>
      </c>
      <c r="M1403" s="62" t="str">
        <f>IF(A1403="","",IFERROR(INDEX(fa_cname,MATCH(A1403,fa_num,0))&amp;"",""))</f>
        <v/>
      </c>
      <c r="N1403" s="59" t="str">
        <f>IF(COUNTA(A1403:G1403)=0,"",IF(A1403="","N° facture manquant",IF(ISNA(MATCH(A1403,fa_num,0)),"Facture inconnue",IF(AND(B1403&lt;&gt;"",ISNA(MATCH(B1403,pr_code,0))),"Article inconnu",IF(H1403="","Désignation manquante",IF(OR(NOT(ISNUMBER(D1403)),N(D1403)&lt;=0),"Quantité invalide",IF(J1403="","Prix manquant",IF(OR(NOT(ISNUMBER(J1403)),N(J1403)&lt;0),"Prix invalide",IF(OR(AND(F1403&lt;&gt;"",NOT(ISNUMBER(F1403))),N(F1403)&lt;0,N(F1403)&gt;1),"Remise invalide",IF(K1403="","Taux de TVA manquant",IF(NOT(ISNUMBER(K1403)),"Taux de TVA invalide",IF(COUNTIF(p_rates,K1403)=0,"Taux de TVA hors liste (Paramètres)",IF(N(O1403)&gt;25,"Au-delà de 25 lignes : non imprimée","OK")))))))))))))</f>
        <v/>
      </c>
      <c r="O1403" s="59" t="str">
        <f>IF(A1403="","",COUNTIF($A$6:A1403,A1403))</f>
        <v/>
      </c>
      <c r="P1403" s="62" t="str">
        <f>IF(A1403="","",A1403&amp;"|"&amp;O1403)</f>
        <v/>
      </c>
    </row>
    <row r="1404">
      <c r="A1404" s="60" t="n"/>
      <c r="B1404" s="63" t="n"/>
      <c r="C1404" s="63" t="n"/>
      <c r="D1404" s="67" t="n"/>
      <c r="E1404" s="68" t="n"/>
      <c r="F1404" s="69" t="n"/>
      <c r="G1404" s="70" t="n"/>
      <c r="H1404" s="62" t="str">
        <f>IF(COUNTA(A1404:G1404)=0,"",IF(C1404&lt;&gt;"",C1404,IF(B1404="","",IFERROR(INDEX(pr_des,MATCH(B1404,pr_code,0))&amp;"",""))))</f>
        <v/>
      </c>
      <c r="I1404" s="59" t="str">
        <f>IF(B1404="","",IFERROR(INDEX(pr_unit,MATCH(B1404,pr_code,0))&amp;"",""))</f>
        <v/>
      </c>
      <c r="J1404" s="65" t="str">
        <f>IF(COUNTA(A1404:G1404)=0,"",IF(E1404&lt;&gt;"",E1404,IF(B1404="","",IFERROR(IF(INDEX(pr_price,MATCH(B1404,pr_code,0))="","",INDEX(pr_price,MATCH(B1404,pr_code,0))),""))))</f>
        <v/>
      </c>
      <c r="K1404" s="71" t="str">
        <f>IF(COUNTA(A1404:G1404)=0,"",IF(G1404&lt;&gt;"",G1404,IF(B1404="","",IFERROR(IF(INDEX(pr_rate,MATCH(B1404,pr_code,0))="","",INDEX(pr_rate,MATCH(B1404,pr_code,0))),""))))</f>
        <v/>
      </c>
      <c r="L1404" s="65" t="str">
        <f>IF(COUNTA(A1404:G1404)=0,"",IF(AND(ISNUMBER(D1404),ISNUMBER(J1404)),ROUND(D1404*J1404*(1-N(F1404)),2),0))</f>
        <v/>
      </c>
      <c r="M1404" s="62" t="str">
        <f>IF(A1404="","",IFERROR(INDEX(fa_cname,MATCH(A1404,fa_num,0))&amp;"",""))</f>
        <v/>
      </c>
      <c r="N1404" s="59" t="str">
        <f>IF(COUNTA(A1404:G1404)=0,"",IF(A1404="","N° facture manquant",IF(ISNA(MATCH(A1404,fa_num,0)),"Facture inconnue",IF(AND(B1404&lt;&gt;"",ISNA(MATCH(B1404,pr_code,0))),"Article inconnu",IF(H1404="","Désignation manquante",IF(OR(NOT(ISNUMBER(D1404)),N(D1404)&lt;=0),"Quantité invalide",IF(J1404="","Prix manquant",IF(OR(NOT(ISNUMBER(J1404)),N(J1404)&lt;0),"Prix invalide",IF(OR(AND(F1404&lt;&gt;"",NOT(ISNUMBER(F1404))),N(F1404)&lt;0,N(F1404)&gt;1),"Remise invalide",IF(K1404="","Taux de TVA manquant",IF(NOT(ISNUMBER(K1404)),"Taux de TVA invalide",IF(COUNTIF(p_rates,K1404)=0,"Taux de TVA hors liste (Paramètres)",IF(N(O1404)&gt;25,"Au-delà de 25 lignes : non imprimée","OK")))))))))))))</f>
        <v/>
      </c>
      <c r="O1404" s="59" t="str">
        <f>IF(A1404="","",COUNTIF($A$6:A1404,A1404))</f>
        <v/>
      </c>
      <c r="P1404" s="62" t="str">
        <f>IF(A1404="","",A1404&amp;"|"&amp;O1404)</f>
        <v/>
      </c>
    </row>
    <row r="1405">
      <c r="A1405" s="60" t="n"/>
      <c r="B1405" s="63" t="n"/>
      <c r="C1405" s="63" t="n"/>
      <c r="D1405" s="67" t="n"/>
      <c r="E1405" s="68" t="n"/>
      <c r="F1405" s="69" t="n"/>
      <c r="G1405" s="70" t="n"/>
      <c r="H1405" s="62" t="str">
        <f>IF(COUNTA(A1405:G1405)=0,"",IF(C1405&lt;&gt;"",C1405,IF(B1405="","",IFERROR(INDEX(pr_des,MATCH(B1405,pr_code,0))&amp;"",""))))</f>
        <v/>
      </c>
      <c r="I1405" s="59" t="str">
        <f>IF(B1405="","",IFERROR(INDEX(pr_unit,MATCH(B1405,pr_code,0))&amp;"",""))</f>
        <v/>
      </c>
      <c r="J1405" s="65" t="str">
        <f>IF(COUNTA(A1405:G1405)=0,"",IF(E1405&lt;&gt;"",E1405,IF(B1405="","",IFERROR(IF(INDEX(pr_price,MATCH(B1405,pr_code,0))="","",INDEX(pr_price,MATCH(B1405,pr_code,0))),""))))</f>
        <v/>
      </c>
      <c r="K1405" s="71" t="str">
        <f>IF(COUNTA(A1405:G1405)=0,"",IF(G1405&lt;&gt;"",G1405,IF(B1405="","",IFERROR(IF(INDEX(pr_rate,MATCH(B1405,pr_code,0))="","",INDEX(pr_rate,MATCH(B1405,pr_code,0))),""))))</f>
        <v/>
      </c>
      <c r="L1405" s="65" t="str">
        <f>IF(COUNTA(A1405:G1405)=0,"",IF(AND(ISNUMBER(D1405),ISNUMBER(J1405)),ROUND(D1405*J1405*(1-N(F1405)),2),0))</f>
        <v/>
      </c>
      <c r="M1405" s="62" t="str">
        <f>IF(A1405="","",IFERROR(INDEX(fa_cname,MATCH(A1405,fa_num,0))&amp;"",""))</f>
        <v/>
      </c>
      <c r="N1405" s="59" t="str">
        <f>IF(COUNTA(A1405:G1405)=0,"",IF(A1405="","N° facture manquant",IF(ISNA(MATCH(A1405,fa_num,0)),"Facture inconnue",IF(AND(B1405&lt;&gt;"",ISNA(MATCH(B1405,pr_code,0))),"Article inconnu",IF(H1405="","Désignation manquante",IF(OR(NOT(ISNUMBER(D1405)),N(D1405)&lt;=0),"Quantité invalide",IF(J1405="","Prix manquant",IF(OR(NOT(ISNUMBER(J1405)),N(J1405)&lt;0),"Prix invalide",IF(OR(AND(F1405&lt;&gt;"",NOT(ISNUMBER(F1405))),N(F1405)&lt;0,N(F1405)&gt;1),"Remise invalide",IF(K1405="","Taux de TVA manquant",IF(NOT(ISNUMBER(K1405)),"Taux de TVA invalide",IF(COUNTIF(p_rates,K1405)=0,"Taux de TVA hors liste (Paramètres)",IF(N(O1405)&gt;25,"Au-delà de 25 lignes : non imprimée","OK")))))))))))))</f>
        <v/>
      </c>
      <c r="O1405" s="59" t="str">
        <f>IF(A1405="","",COUNTIF($A$6:A1405,A1405))</f>
        <v/>
      </c>
      <c r="P1405" s="62" t="str">
        <f>IF(A1405="","",A1405&amp;"|"&amp;O1405)</f>
        <v/>
      </c>
    </row>
    <row r="1406">
      <c r="A1406" s="60" t="n"/>
      <c r="B1406" s="63" t="n"/>
      <c r="C1406" s="63" t="n"/>
      <c r="D1406" s="67" t="n"/>
      <c r="E1406" s="68" t="n"/>
      <c r="F1406" s="69" t="n"/>
      <c r="G1406" s="70" t="n"/>
      <c r="H1406" s="62" t="str">
        <f>IF(COUNTA(A1406:G1406)=0,"",IF(C1406&lt;&gt;"",C1406,IF(B1406="","",IFERROR(INDEX(pr_des,MATCH(B1406,pr_code,0))&amp;"",""))))</f>
        <v/>
      </c>
      <c r="I1406" s="59" t="str">
        <f>IF(B1406="","",IFERROR(INDEX(pr_unit,MATCH(B1406,pr_code,0))&amp;"",""))</f>
        <v/>
      </c>
      <c r="J1406" s="65" t="str">
        <f>IF(COUNTA(A1406:G1406)=0,"",IF(E1406&lt;&gt;"",E1406,IF(B1406="","",IFERROR(IF(INDEX(pr_price,MATCH(B1406,pr_code,0))="","",INDEX(pr_price,MATCH(B1406,pr_code,0))),""))))</f>
        <v/>
      </c>
      <c r="K1406" s="71" t="str">
        <f>IF(COUNTA(A1406:G1406)=0,"",IF(G1406&lt;&gt;"",G1406,IF(B1406="","",IFERROR(IF(INDEX(pr_rate,MATCH(B1406,pr_code,0))="","",INDEX(pr_rate,MATCH(B1406,pr_code,0))),""))))</f>
        <v/>
      </c>
      <c r="L1406" s="65" t="str">
        <f>IF(COUNTA(A1406:G1406)=0,"",IF(AND(ISNUMBER(D1406),ISNUMBER(J1406)),ROUND(D1406*J1406*(1-N(F1406)),2),0))</f>
        <v/>
      </c>
      <c r="M1406" s="62" t="str">
        <f>IF(A1406="","",IFERROR(INDEX(fa_cname,MATCH(A1406,fa_num,0))&amp;"",""))</f>
        <v/>
      </c>
      <c r="N1406" s="59" t="str">
        <f>IF(COUNTA(A1406:G1406)=0,"",IF(A1406="","N° facture manquant",IF(ISNA(MATCH(A1406,fa_num,0)),"Facture inconnue",IF(AND(B1406&lt;&gt;"",ISNA(MATCH(B1406,pr_code,0))),"Article inconnu",IF(H1406="","Désignation manquante",IF(OR(NOT(ISNUMBER(D1406)),N(D1406)&lt;=0),"Quantité invalide",IF(J1406="","Prix manquant",IF(OR(NOT(ISNUMBER(J1406)),N(J1406)&lt;0),"Prix invalide",IF(OR(AND(F1406&lt;&gt;"",NOT(ISNUMBER(F1406))),N(F1406)&lt;0,N(F1406)&gt;1),"Remise invalide",IF(K1406="","Taux de TVA manquant",IF(NOT(ISNUMBER(K1406)),"Taux de TVA invalide",IF(COUNTIF(p_rates,K1406)=0,"Taux de TVA hors liste (Paramètres)",IF(N(O1406)&gt;25,"Au-delà de 25 lignes : non imprimée","OK")))))))))))))</f>
        <v/>
      </c>
      <c r="O1406" s="59" t="str">
        <f>IF(A1406="","",COUNTIF($A$6:A1406,A1406))</f>
        <v/>
      </c>
      <c r="P1406" s="62" t="str">
        <f>IF(A1406="","",A1406&amp;"|"&amp;O1406)</f>
        <v/>
      </c>
    </row>
    <row r="1407">
      <c r="A1407" s="60" t="n"/>
      <c r="B1407" s="63" t="n"/>
      <c r="C1407" s="63" t="n"/>
      <c r="D1407" s="67" t="n"/>
      <c r="E1407" s="68" t="n"/>
      <c r="F1407" s="69" t="n"/>
      <c r="G1407" s="70" t="n"/>
      <c r="H1407" s="62" t="str">
        <f>IF(COUNTA(A1407:G1407)=0,"",IF(C1407&lt;&gt;"",C1407,IF(B1407="","",IFERROR(INDEX(pr_des,MATCH(B1407,pr_code,0))&amp;"",""))))</f>
        <v/>
      </c>
      <c r="I1407" s="59" t="str">
        <f>IF(B1407="","",IFERROR(INDEX(pr_unit,MATCH(B1407,pr_code,0))&amp;"",""))</f>
        <v/>
      </c>
      <c r="J1407" s="65" t="str">
        <f>IF(COUNTA(A1407:G1407)=0,"",IF(E1407&lt;&gt;"",E1407,IF(B1407="","",IFERROR(IF(INDEX(pr_price,MATCH(B1407,pr_code,0))="","",INDEX(pr_price,MATCH(B1407,pr_code,0))),""))))</f>
        <v/>
      </c>
      <c r="K1407" s="71" t="str">
        <f>IF(COUNTA(A1407:G1407)=0,"",IF(G1407&lt;&gt;"",G1407,IF(B1407="","",IFERROR(IF(INDEX(pr_rate,MATCH(B1407,pr_code,0))="","",INDEX(pr_rate,MATCH(B1407,pr_code,0))),""))))</f>
        <v/>
      </c>
      <c r="L1407" s="65" t="str">
        <f>IF(COUNTA(A1407:G1407)=0,"",IF(AND(ISNUMBER(D1407),ISNUMBER(J1407)),ROUND(D1407*J1407*(1-N(F1407)),2),0))</f>
        <v/>
      </c>
      <c r="M1407" s="62" t="str">
        <f>IF(A1407="","",IFERROR(INDEX(fa_cname,MATCH(A1407,fa_num,0))&amp;"",""))</f>
        <v/>
      </c>
      <c r="N1407" s="59" t="str">
        <f>IF(COUNTA(A1407:G1407)=0,"",IF(A1407="","N° facture manquant",IF(ISNA(MATCH(A1407,fa_num,0)),"Facture inconnue",IF(AND(B1407&lt;&gt;"",ISNA(MATCH(B1407,pr_code,0))),"Article inconnu",IF(H1407="","Désignation manquante",IF(OR(NOT(ISNUMBER(D1407)),N(D1407)&lt;=0),"Quantité invalide",IF(J1407="","Prix manquant",IF(OR(NOT(ISNUMBER(J1407)),N(J1407)&lt;0),"Prix invalide",IF(OR(AND(F1407&lt;&gt;"",NOT(ISNUMBER(F1407))),N(F1407)&lt;0,N(F1407)&gt;1),"Remise invalide",IF(K1407="","Taux de TVA manquant",IF(NOT(ISNUMBER(K1407)),"Taux de TVA invalide",IF(COUNTIF(p_rates,K1407)=0,"Taux de TVA hors liste (Paramètres)",IF(N(O1407)&gt;25,"Au-delà de 25 lignes : non imprimée","OK")))))))))))))</f>
        <v/>
      </c>
      <c r="O1407" s="59" t="str">
        <f>IF(A1407="","",COUNTIF($A$6:A1407,A1407))</f>
        <v/>
      </c>
      <c r="P1407" s="62" t="str">
        <f>IF(A1407="","",A1407&amp;"|"&amp;O1407)</f>
        <v/>
      </c>
    </row>
    <row r="1408">
      <c r="A1408" s="60" t="n"/>
      <c r="B1408" s="63" t="n"/>
      <c r="C1408" s="63" t="n"/>
      <c r="D1408" s="67" t="n"/>
      <c r="E1408" s="68" t="n"/>
      <c r="F1408" s="69" t="n"/>
      <c r="G1408" s="70" t="n"/>
      <c r="H1408" s="62" t="str">
        <f>IF(COUNTA(A1408:G1408)=0,"",IF(C1408&lt;&gt;"",C1408,IF(B1408="","",IFERROR(INDEX(pr_des,MATCH(B1408,pr_code,0))&amp;"",""))))</f>
        <v/>
      </c>
      <c r="I1408" s="59" t="str">
        <f>IF(B1408="","",IFERROR(INDEX(pr_unit,MATCH(B1408,pr_code,0))&amp;"",""))</f>
        <v/>
      </c>
      <c r="J1408" s="65" t="str">
        <f>IF(COUNTA(A1408:G1408)=0,"",IF(E1408&lt;&gt;"",E1408,IF(B1408="","",IFERROR(IF(INDEX(pr_price,MATCH(B1408,pr_code,0))="","",INDEX(pr_price,MATCH(B1408,pr_code,0))),""))))</f>
        <v/>
      </c>
      <c r="K1408" s="71" t="str">
        <f>IF(COUNTA(A1408:G1408)=0,"",IF(G1408&lt;&gt;"",G1408,IF(B1408="","",IFERROR(IF(INDEX(pr_rate,MATCH(B1408,pr_code,0))="","",INDEX(pr_rate,MATCH(B1408,pr_code,0))),""))))</f>
        <v/>
      </c>
      <c r="L1408" s="65" t="str">
        <f>IF(COUNTA(A1408:G1408)=0,"",IF(AND(ISNUMBER(D1408),ISNUMBER(J1408)),ROUND(D1408*J1408*(1-N(F1408)),2),0))</f>
        <v/>
      </c>
      <c r="M1408" s="62" t="str">
        <f>IF(A1408="","",IFERROR(INDEX(fa_cname,MATCH(A1408,fa_num,0))&amp;"",""))</f>
        <v/>
      </c>
      <c r="N1408" s="59" t="str">
        <f>IF(COUNTA(A1408:G1408)=0,"",IF(A1408="","N° facture manquant",IF(ISNA(MATCH(A1408,fa_num,0)),"Facture inconnue",IF(AND(B1408&lt;&gt;"",ISNA(MATCH(B1408,pr_code,0))),"Article inconnu",IF(H1408="","Désignation manquante",IF(OR(NOT(ISNUMBER(D1408)),N(D1408)&lt;=0),"Quantité invalide",IF(J1408="","Prix manquant",IF(OR(NOT(ISNUMBER(J1408)),N(J1408)&lt;0),"Prix invalide",IF(OR(AND(F1408&lt;&gt;"",NOT(ISNUMBER(F1408))),N(F1408)&lt;0,N(F1408)&gt;1),"Remise invalide",IF(K1408="","Taux de TVA manquant",IF(NOT(ISNUMBER(K1408)),"Taux de TVA invalide",IF(COUNTIF(p_rates,K1408)=0,"Taux de TVA hors liste (Paramètres)",IF(N(O1408)&gt;25,"Au-delà de 25 lignes : non imprimée","OK")))))))))))))</f>
        <v/>
      </c>
      <c r="O1408" s="59" t="str">
        <f>IF(A1408="","",COUNTIF($A$6:A1408,A1408))</f>
        <v/>
      </c>
      <c r="P1408" s="62" t="str">
        <f>IF(A1408="","",A1408&amp;"|"&amp;O1408)</f>
        <v/>
      </c>
    </row>
    <row r="1409">
      <c r="A1409" s="60" t="n"/>
      <c r="B1409" s="63" t="n"/>
      <c r="C1409" s="63" t="n"/>
      <c r="D1409" s="67" t="n"/>
      <c r="E1409" s="68" t="n"/>
      <c r="F1409" s="69" t="n"/>
      <c r="G1409" s="70" t="n"/>
      <c r="H1409" s="62" t="str">
        <f>IF(COUNTA(A1409:G1409)=0,"",IF(C1409&lt;&gt;"",C1409,IF(B1409="","",IFERROR(INDEX(pr_des,MATCH(B1409,pr_code,0))&amp;"",""))))</f>
        <v/>
      </c>
      <c r="I1409" s="59" t="str">
        <f>IF(B1409="","",IFERROR(INDEX(pr_unit,MATCH(B1409,pr_code,0))&amp;"",""))</f>
        <v/>
      </c>
      <c r="J1409" s="65" t="str">
        <f>IF(COUNTA(A1409:G1409)=0,"",IF(E1409&lt;&gt;"",E1409,IF(B1409="","",IFERROR(IF(INDEX(pr_price,MATCH(B1409,pr_code,0))="","",INDEX(pr_price,MATCH(B1409,pr_code,0))),""))))</f>
        <v/>
      </c>
      <c r="K1409" s="71" t="str">
        <f>IF(COUNTA(A1409:G1409)=0,"",IF(G1409&lt;&gt;"",G1409,IF(B1409="","",IFERROR(IF(INDEX(pr_rate,MATCH(B1409,pr_code,0))="","",INDEX(pr_rate,MATCH(B1409,pr_code,0))),""))))</f>
        <v/>
      </c>
      <c r="L1409" s="65" t="str">
        <f>IF(COUNTA(A1409:G1409)=0,"",IF(AND(ISNUMBER(D1409),ISNUMBER(J1409)),ROUND(D1409*J1409*(1-N(F1409)),2),0))</f>
        <v/>
      </c>
      <c r="M1409" s="62" t="str">
        <f>IF(A1409="","",IFERROR(INDEX(fa_cname,MATCH(A1409,fa_num,0))&amp;"",""))</f>
        <v/>
      </c>
      <c r="N1409" s="59" t="str">
        <f>IF(COUNTA(A1409:G1409)=0,"",IF(A1409="","N° facture manquant",IF(ISNA(MATCH(A1409,fa_num,0)),"Facture inconnue",IF(AND(B1409&lt;&gt;"",ISNA(MATCH(B1409,pr_code,0))),"Article inconnu",IF(H1409="","Désignation manquante",IF(OR(NOT(ISNUMBER(D1409)),N(D1409)&lt;=0),"Quantité invalide",IF(J1409="","Prix manquant",IF(OR(NOT(ISNUMBER(J1409)),N(J1409)&lt;0),"Prix invalide",IF(OR(AND(F1409&lt;&gt;"",NOT(ISNUMBER(F1409))),N(F1409)&lt;0,N(F1409)&gt;1),"Remise invalide",IF(K1409="","Taux de TVA manquant",IF(NOT(ISNUMBER(K1409)),"Taux de TVA invalide",IF(COUNTIF(p_rates,K1409)=0,"Taux de TVA hors liste (Paramètres)",IF(N(O1409)&gt;25,"Au-delà de 25 lignes : non imprimée","OK")))))))))))))</f>
        <v/>
      </c>
      <c r="O1409" s="59" t="str">
        <f>IF(A1409="","",COUNTIF($A$6:A1409,A1409))</f>
        <v/>
      </c>
      <c r="P1409" s="62" t="str">
        <f>IF(A1409="","",A1409&amp;"|"&amp;O1409)</f>
        <v/>
      </c>
    </row>
    <row r="1410">
      <c r="A1410" s="60" t="n"/>
      <c r="B1410" s="63" t="n"/>
      <c r="C1410" s="63" t="n"/>
      <c r="D1410" s="67" t="n"/>
      <c r="E1410" s="68" t="n"/>
      <c r="F1410" s="69" t="n"/>
      <c r="G1410" s="70" t="n"/>
      <c r="H1410" s="62" t="str">
        <f>IF(COUNTA(A1410:G1410)=0,"",IF(C1410&lt;&gt;"",C1410,IF(B1410="","",IFERROR(INDEX(pr_des,MATCH(B1410,pr_code,0))&amp;"",""))))</f>
        <v/>
      </c>
      <c r="I1410" s="59" t="str">
        <f>IF(B1410="","",IFERROR(INDEX(pr_unit,MATCH(B1410,pr_code,0))&amp;"",""))</f>
        <v/>
      </c>
      <c r="J1410" s="65" t="str">
        <f>IF(COUNTA(A1410:G1410)=0,"",IF(E1410&lt;&gt;"",E1410,IF(B1410="","",IFERROR(IF(INDEX(pr_price,MATCH(B1410,pr_code,0))="","",INDEX(pr_price,MATCH(B1410,pr_code,0))),""))))</f>
        <v/>
      </c>
      <c r="K1410" s="71" t="str">
        <f>IF(COUNTA(A1410:G1410)=0,"",IF(G1410&lt;&gt;"",G1410,IF(B1410="","",IFERROR(IF(INDEX(pr_rate,MATCH(B1410,pr_code,0))="","",INDEX(pr_rate,MATCH(B1410,pr_code,0))),""))))</f>
        <v/>
      </c>
      <c r="L1410" s="65" t="str">
        <f>IF(COUNTA(A1410:G1410)=0,"",IF(AND(ISNUMBER(D1410),ISNUMBER(J1410)),ROUND(D1410*J1410*(1-N(F1410)),2),0))</f>
        <v/>
      </c>
      <c r="M1410" s="62" t="str">
        <f>IF(A1410="","",IFERROR(INDEX(fa_cname,MATCH(A1410,fa_num,0))&amp;"",""))</f>
        <v/>
      </c>
      <c r="N1410" s="59" t="str">
        <f>IF(COUNTA(A1410:G1410)=0,"",IF(A1410="","N° facture manquant",IF(ISNA(MATCH(A1410,fa_num,0)),"Facture inconnue",IF(AND(B1410&lt;&gt;"",ISNA(MATCH(B1410,pr_code,0))),"Article inconnu",IF(H1410="","Désignation manquante",IF(OR(NOT(ISNUMBER(D1410)),N(D1410)&lt;=0),"Quantité invalide",IF(J1410="","Prix manquant",IF(OR(NOT(ISNUMBER(J1410)),N(J1410)&lt;0),"Prix invalide",IF(OR(AND(F1410&lt;&gt;"",NOT(ISNUMBER(F1410))),N(F1410)&lt;0,N(F1410)&gt;1),"Remise invalide",IF(K1410="","Taux de TVA manquant",IF(NOT(ISNUMBER(K1410)),"Taux de TVA invalide",IF(COUNTIF(p_rates,K1410)=0,"Taux de TVA hors liste (Paramètres)",IF(N(O1410)&gt;25,"Au-delà de 25 lignes : non imprimée","OK")))))))))))))</f>
        <v/>
      </c>
      <c r="O1410" s="59" t="str">
        <f>IF(A1410="","",COUNTIF($A$6:A1410,A1410))</f>
        <v/>
      </c>
      <c r="P1410" s="62" t="str">
        <f>IF(A1410="","",A1410&amp;"|"&amp;O1410)</f>
        <v/>
      </c>
    </row>
    <row r="1411">
      <c r="A1411" s="60" t="n"/>
      <c r="B1411" s="63" t="n"/>
      <c r="C1411" s="63" t="n"/>
      <c r="D1411" s="67" t="n"/>
      <c r="E1411" s="68" t="n"/>
      <c r="F1411" s="69" t="n"/>
      <c r="G1411" s="70" t="n"/>
      <c r="H1411" s="62" t="str">
        <f>IF(COUNTA(A1411:G1411)=0,"",IF(C1411&lt;&gt;"",C1411,IF(B1411="","",IFERROR(INDEX(pr_des,MATCH(B1411,pr_code,0))&amp;"",""))))</f>
        <v/>
      </c>
      <c r="I1411" s="59" t="str">
        <f>IF(B1411="","",IFERROR(INDEX(pr_unit,MATCH(B1411,pr_code,0))&amp;"",""))</f>
        <v/>
      </c>
      <c r="J1411" s="65" t="str">
        <f>IF(COUNTA(A1411:G1411)=0,"",IF(E1411&lt;&gt;"",E1411,IF(B1411="","",IFERROR(IF(INDEX(pr_price,MATCH(B1411,pr_code,0))="","",INDEX(pr_price,MATCH(B1411,pr_code,0))),""))))</f>
        <v/>
      </c>
      <c r="K1411" s="71" t="str">
        <f>IF(COUNTA(A1411:G1411)=0,"",IF(G1411&lt;&gt;"",G1411,IF(B1411="","",IFERROR(IF(INDEX(pr_rate,MATCH(B1411,pr_code,0))="","",INDEX(pr_rate,MATCH(B1411,pr_code,0))),""))))</f>
        <v/>
      </c>
      <c r="L1411" s="65" t="str">
        <f>IF(COUNTA(A1411:G1411)=0,"",IF(AND(ISNUMBER(D1411),ISNUMBER(J1411)),ROUND(D1411*J1411*(1-N(F1411)),2),0))</f>
        <v/>
      </c>
      <c r="M1411" s="62" t="str">
        <f>IF(A1411="","",IFERROR(INDEX(fa_cname,MATCH(A1411,fa_num,0))&amp;"",""))</f>
        <v/>
      </c>
      <c r="N1411" s="59" t="str">
        <f>IF(COUNTA(A1411:G1411)=0,"",IF(A1411="","N° facture manquant",IF(ISNA(MATCH(A1411,fa_num,0)),"Facture inconnue",IF(AND(B1411&lt;&gt;"",ISNA(MATCH(B1411,pr_code,0))),"Article inconnu",IF(H1411="","Désignation manquante",IF(OR(NOT(ISNUMBER(D1411)),N(D1411)&lt;=0),"Quantité invalide",IF(J1411="","Prix manquant",IF(OR(NOT(ISNUMBER(J1411)),N(J1411)&lt;0),"Prix invalide",IF(OR(AND(F1411&lt;&gt;"",NOT(ISNUMBER(F1411))),N(F1411)&lt;0,N(F1411)&gt;1),"Remise invalide",IF(K1411="","Taux de TVA manquant",IF(NOT(ISNUMBER(K1411)),"Taux de TVA invalide",IF(COUNTIF(p_rates,K1411)=0,"Taux de TVA hors liste (Paramètres)",IF(N(O1411)&gt;25,"Au-delà de 25 lignes : non imprimée","OK")))))))))))))</f>
        <v/>
      </c>
      <c r="O1411" s="59" t="str">
        <f>IF(A1411="","",COUNTIF($A$6:A1411,A1411))</f>
        <v/>
      </c>
      <c r="P1411" s="62" t="str">
        <f>IF(A1411="","",A1411&amp;"|"&amp;O1411)</f>
        <v/>
      </c>
    </row>
    <row r="1412">
      <c r="A1412" s="60" t="n"/>
      <c r="B1412" s="63" t="n"/>
      <c r="C1412" s="63" t="n"/>
      <c r="D1412" s="67" t="n"/>
      <c r="E1412" s="68" t="n"/>
      <c r="F1412" s="69" t="n"/>
      <c r="G1412" s="70" t="n"/>
      <c r="H1412" s="62" t="str">
        <f>IF(COUNTA(A1412:G1412)=0,"",IF(C1412&lt;&gt;"",C1412,IF(B1412="","",IFERROR(INDEX(pr_des,MATCH(B1412,pr_code,0))&amp;"",""))))</f>
        <v/>
      </c>
      <c r="I1412" s="59" t="str">
        <f>IF(B1412="","",IFERROR(INDEX(pr_unit,MATCH(B1412,pr_code,0))&amp;"",""))</f>
        <v/>
      </c>
      <c r="J1412" s="65" t="str">
        <f>IF(COUNTA(A1412:G1412)=0,"",IF(E1412&lt;&gt;"",E1412,IF(B1412="","",IFERROR(IF(INDEX(pr_price,MATCH(B1412,pr_code,0))="","",INDEX(pr_price,MATCH(B1412,pr_code,0))),""))))</f>
        <v/>
      </c>
      <c r="K1412" s="71" t="str">
        <f>IF(COUNTA(A1412:G1412)=0,"",IF(G1412&lt;&gt;"",G1412,IF(B1412="","",IFERROR(IF(INDEX(pr_rate,MATCH(B1412,pr_code,0))="","",INDEX(pr_rate,MATCH(B1412,pr_code,0))),""))))</f>
        <v/>
      </c>
      <c r="L1412" s="65" t="str">
        <f>IF(COUNTA(A1412:G1412)=0,"",IF(AND(ISNUMBER(D1412),ISNUMBER(J1412)),ROUND(D1412*J1412*(1-N(F1412)),2),0))</f>
        <v/>
      </c>
      <c r="M1412" s="62" t="str">
        <f>IF(A1412="","",IFERROR(INDEX(fa_cname,MATCH(A1412,fa_num,0))&amp;"",""))</f>
        <v/>
      </c>
      <c r="N1412" s="59" t="str">
        <f>IF(COUNTA(A1412:G1412)=0,"",IF(A1412="","N° facture manquant",IF(ISNA(MATCH(A1412,fa_num,0)),"Facture inconnue",IF(AND(B1412&lt;&gt;"",ISNA(MATCH(B1412,pr_code,0))),"Article inconnu",IF(H1412="","Désignation manquante",IF(OR(NOT(ISNUMBER(D1412)),N(D1412)&lt;=0),"Quantité invalide",IF(J1412="","Prix manquant",IF(OR(NOT(ISNUMBER(J1412)),N(J1412)&lt;0),"Prix invalide",IF(OR(AND(F1412&lt;&gt;"",NOT(ISNUMBER(F1412))),N(F1412)&lt;0,N(F1412)&gt;1),"Remise invalide",IF(K1412="","Taux de TVA manquant",IF(NOT(ISNUMBER(K1412)),"Taux de TVA invalide",IF(COUNTIF(p_rates,K1412)=0,"Taux de TVA hors liste (Paramètres)",IF(N(O1412)&gt;25,"Au-delà de 25 lignes : non imprimée","OK")))))))))))))</f>
        <v/>
      </c>
      <c r="O1412" s="59" t="str">
        <f>IF(A1412="","",COUNTIF($A$6:A1412,A1412))</f>
        <v/>
      </c>
      <c r="P1412" s="62" t="str">
        <f>IF(A1412="","",A1412&amp;"|"&amp;O1412)</f>
        <v/>
      </c>
    </row>
    <row r="1413">
      <c r="A1413" s="60" t="n"/>
      <c r="B1413" s="63" t="n"/>
      <c r="C1413" s="63" t="n"/>
      <c r="D1413" s="67" t="n"/>
      <c r="E1413" s="68" t="n"/>
      <c r="F1413" s="69" t="n"/>
      <c r="G1413" s="70" t="n"/>
      <c r="H1413" s="62" t="str">
        <f>IF(COUNTA(A1413:G1413)=0,"",IF(C1413&lt;&gt;"",C1413,IF(B1413="","",IFERROR(INDEX(pr_des,MATCH(B1413,pr_code,0))&amp;"",""))))</f>
        <v/>
      </c>
      <c r="I1413" s="59" t="str">
        <f>IF(B1413="","",IFERROR(INDEX(pr_unit,MATCH(B1413,pr_code,0))&amp;"",""))</f>
        <v/>
      </c>
      <c r="J1413" s="65" t="str">
        <f>IF(COUNTA(A1413:G1413)=0,"",IF(E1413&lt;&gt;"",E1413,IF(B1413="","",IFERROR(IF(INDEX(pr_price,MATCH(B1413,pr_code,0))="","",INDEX(pr_price,MATCH(B1413,pr_code,0))),""))))</f>
        <v/>
      </c>
      <c r="K1413" s="71" t="str">
        <f>IF(COUNTA(A1413:G1413)=0,"",IF(G1413&lt;&gt;"",G1413,IF(B1413="","",IFERROR(IF(INDEX(pr_rate,MATCH(B1413,pr_code,0))="","",INDEX(pr_rate,MATCH(B1413,pr_code,0))),""))))</f>
        <v/>
      </c>
      <c r="L1413" s="65" t="str">
        <f>IF(COUNTA(A1413:G1413)=0,"",IF(AND(ISNUMBER(D1413),ISNUMBER(J1413)),ROUND(D1413*J1413*(1-N(F1413)),2),0))</f>
        <v/>
      </c>
      <c r="M1413" s="62" t="str">
        <f>IF(A1413="","",IFERROR(INDEX(fa_cname,MATCH(A1413,fa_num,0))&amp;"",""))</f>
        <v/>
      </c>
      <c r="N1413" s="59" t="str">
        <f>IF(COUNTA(A1413:G1413)=0,"",IF(A1413="","N° facture manquant",IF(ISNA(MATCH(A1413,fa_num,0)),"Facture inconnue",IF(AND(B1413&lt;&gt;"",ISNA(MATCH(B1413,pr_code,0))),"Article inconnu",IF(H1413="","Désignation manquante",IF(OR(NOT(ISNUMBER(D1413)),N(D1413)&lt;=0),"Quantité invalide",IF(J1413="","Prix manquant",IF(OR(NOT(ISNUMBER(J1413)),N(J1413)&lt;0),"Prix invalide",IF(OR(AND(F1413&lt;&gt;"",NOT(ISNUMBER(F1413))),N(F1413)&lt;0,N(F1413)&gt;1),"Remise invalide",IF(K1413="","Taux de TVA manquant",IF(NOT(ISNUMBER(K1413)),"Taux de TVA invalide",IF(COUNTIF(p_rates,K1413)=0,"Taux de TVA hors liste (Paramètres)",IF(N(O1413)&gt;25,"Au-delà de 25 lignes : non imprimée","OK")))))))))))))</f>
        <v/>
      </c>
      <c r="O1413" s="59" t="str">
        <f>IF(A1413="","",COUNTIF($A$6:A1413,A1413))</f>
        <v/>
      </c>
      <c r="P1413" s="62" t="str">
        <f>IF(A1413="","",A1413&amp;"|"&amp;O1413)</f>
        <v/>
      </c>
    </row>
    <row r="1414">
      <c r="A1414" s="60" t="n"/>
      <c r="B1414" s="63" t="n"/>
      <c r="C1414" s="63" t="n"/>
      <c r="D1414" s="67" t="n"/>
      <c r="E1414" s="68" t="n"/>
      <c r="F1414" s="69" t="n"/>
      <c r="G1414" s="70" t="n"/>
      <c r="H1414" s="62" t="str">
        <f>IF(COUNTA(A1414:G1414)=0,"",IF(C1414&lt;&gt;"",C1414,IF(B1414="","",IFERROR(INDEX(pr_des,MATCH(B1414,pr_code,0))&amp;"",""))))</f>
        <v/>
      </c>
      <c r="I1414" s="59" t="str">
        <f>IF(B1414="","",IFERROR(INDEX(pr_unit,MATCH(B1414,pr_code,0))&amp;"",""))</f>
        <v/>
      </c>
      <c r="J1414" s="65" t="str">
        <f>IF(COUNTA(A1414:G1414)=0,"",IF(E1414&lt;&gt;"",E1414,IF(B1414="","",IFERROR(IF(INDEX(pr_price,MATCH(B1414,pr_code,0))="","",INDEX(pr_price,MATCH(B1414,pr_code,0))),""))))</f>
        <v/>
      </c>
      <c r="K1414" s="71" t="str">
        <f>IF(COUNTA(A1414:G1414)=0,"",IF(G1414&lt;&gt;"",G1414,IF(B1414="","",IFERROR(IF(INDEX(pr_rate,MATCH(B1414,pr_code,0))="","",INDEX(pr_rate,MATCH(B1414,pr_code,0))),""))))</f>
        <v/>
      </c>
      <c r="L1414" s="65" t="str">
        <f>IF(COUNTA(A1414:G1414)=0,"",IF(AND(ISNUMBER(D1414),ISNUMBER(J1414)),ROUND(D1414*J1414*(1-N(F1414)),2),0))</f>
        <v/>
      </c>
      <c r="M1414" s="62" t="str">
        <f>IF(A1414="","",IFERROR(INDEX(fa_cname,MATCH(A1414,fa_num,0))&amp;"",""))</f>
        <v/>
      </c>
      <c r="N1414" s="59" t="str">
        <f>IF(COUNTA(A1414:G1414)=0,"",IF(A1414="","N° facture manquant",IF(ISNA(MATCH(A1414,fa_num,0)),"Facture inconnue",IF(AND(B1414&lt;&gt;"",ISNA(MATCH(B1414,pr_code,0))),"Article inconnu",IF(H1414="","Désignation manquante",IF(OR(NOT(ISNUMBER(D1414)),N(D1414)&lt;=0),"Quantité invalide",IF(J1414="","Prix manquant",IF(OR(NOT(ISNUMBER(J1414)),N(J1414)&lt;0),"Prix invalide",IF(OR(AND(F1414&lt;&gt;"",NOT(ISNUMBER(F1414))),N(F1414)&lt;0,N(F1414)&gt;1),"Remise invalide",IF(K1414="","Taux de TVA manquant",IF(NOT(ISNUMBER(K1414)),"Taux de TVA invalide",IF(COUNTIF(p_rates,K1414)=0,"Taux de TVA hors liste (Paramètres)",IF(N(O1414)&gt;25,"Au-delà de 25 lignes : non imprimée","OK")))))))))))))</f>
        <v/>
      </c>
      <c r="O1414" s="59" t="str">
        <f>IF(A1414="","",COUNTIF($A$6:A1414,A1414))</f>
        <v/>
      </c>
      <c r="P1414" s="62" t="str">
        <f>IF(A1414="","",A1414&amp;"|"&amp;O1414)</f>
        <v/>
      </c>
    </row>
    <row r="1415">
      <c r="A1415" s="60" t="n"/>
      <c r="B1415" s="63" t="n"/>
      <c r="C1415" s="63" t="n"/>
      <c r="D1415" s="67" t="n"/>
      <c r="E1415" s="68" t="n"/>
      <c r="F1415" s="69" t="n"/>
      <c r="G1415" s="70" t="n"/>
      <c r="H1415" s="62" t="str">
        <f>IF(COUNTA(A1415:G1415)=0,"",IF(C1415&lt;&gt;"",C1415,IF(B1415="","",IFERROR(INDEX(pr_des,MATCH(B1415,pr_code,0))&amp;"",""))))</f>
        <v/>
      </c>
      <c r="I1415" s="59" t="str">
        <f>IF(B1415="","",IFERROR(INDEX(pr_unit,MATCH(B1415,pr_code,0))&amp;"",""))</f>
        <v/>
      </c>
      <c r="J1415" s="65" t="str">
        <f>IF(COUNTA(A1415:G1415)=0,"",IF(E1415&lt;&gt;"",E1415,IF(B1415="","",IFERROR(IF(INDEX(pr_price,MATCH(B1415,pr_code,0))="","",INDEX(pr_price,MATCH(B1415,pr_code,0))),""))))</f>
        <v/>
      </c>
      <c r="K1415" s="71" t="str">
        <f>IF(COUNTA(A1415:G1415)=0,"",IF(G1415&lt;&gt;"",G1415,IF(B1415="","",IFERROR(IF(INDEX(pr_rate,MATCH(B1415,pr_code,0))="","",INDEX(pr_rate,MATCH(B1415,pr_code,0))),""))))</f>
        <v/>
      </c>
      <c r="L1415" s="65" t="str">
        <f>IF(COUNTA(A1415:G1415)=0,"",IF(AND(ISNUMBER(D1415),ISNUMBER(J1415)),ROUND(D1415*J1415*(1-N(F1415)),2),0))</f>
        <v/>
      </c>
      <c r="M1415" s="62" t="str">
        <f>IF(A1415="","",IFERROR(INDEX(fa_cname,MATCH(A1415,fa_num,0))&amp;"",""))</f>
        <v/>
      </c>
      <c r="N1415" s="59" t="str">
        <f>IF(COUNTA(A1415:G1415)=0,"",IF(A1415="","N° facture manquant",IF(ISNA(MATCH(A1415,fa_num,0)),"Facture inconnue",IF(AND(B1415&lt;&gt;"",ISNA(MATCH(B1415,pr_code,0))),"Article inconnu",IF(H1415="","Désignation manquante",IF(OR(NOT(ISNUMBER(D1415)),N(D1415)&lt;=0),"Quantité invalide",IF(J1415="","Prix manquant",IF(OR(NOT(ISNUMBER(J1415)),N(J1415)&lt;0),"Prix invalide",IF(OR(AND(F1415&lt;&gt;"",NOT(ISNUMBER(F1415))),N(F1415)&lt;0,N(F1415)&gt;1),"Remise invalide",IF(K1415="","Taux de TVA manquant",IF(NOT(ISNUMBER(K1415)),"Taux de TVA invalide",IF(COUNTIF(p_rates,K1415)=0,"Taux de TVA hors liste (Paramètres)",IF(N(O1415)&gt;25,"Au-delà de 25 lignes : non imprimée","OK")))))))))))))</f>
        <v/>
      </c>
      <c r="O1415" s="59" t="str">
        <f>IF(A1415="","",COUNTIF($A$6:A1415,A1415))</f>
        <v/>
      </c>
      <c r="P1415" s="62" t="str">
        <f>IF(A1415="","",A1415&amp;"|"&amp;O1415)</f>
        <v/>
      </c>
    </row>
    <row r="1416">
      <c r="A1416" s="60" t="n"/>
      <c r="B1416" s="63" t="n"/>
      <c r="C1416" s="63" t="n"/>
      <c r="D1416" s="67" t="n"/>
      <c r="E1416" s="68" t="n"/>
      <c r="F1416" s="69" t="n"/>
      <c r="G1416" s="70" t="n"/>
      <c r="H1416" s="62" t="str">
        <f>IF(COUNTA(A1416:G1416)=0,"",IF(C1416&lt;&gt;"",C1416,IF(B1416="","",IFERROR(INDEX(pr_des,MATCH(B1416,pr_code,0))&amp;"",""))))</f>
        <v/>
      </c>
      <c r="I1416" s="59" t="str">
        <f>IF(B1416="","",IFERROR(INDEX(pr_unit,MATCH(B1416,pr_code,0))&amp;"",""))</f>
        <v/>
      </c>
      <c r="J1416" s="65" t="str">
        <f>IF(COUNTA(A1416:G1416)=0,"",IF(E1416&lt;&gt;"",E1416,IF(B1416="","",IFERROR(IF(INDEX(pr_price,MATCH(B1416,pr_code,0))="","",INDEX(pr_price,MATCH(B1416,pr_code,0))),""))))</f>
        <v/>
      </c>
      <c r="K1416" s="71" t="str">
        <f>IF(COUNTA(A1416:G1416)=0,"",IF(G1416&lt;&gt;"",G1416,IF(B1416="","",IFERROR(IF(INDEX(pr_rate,MATCH(B1416,pr_code,0))="","",INDEX(pr_rate,MATCH(B1416,pr_code,0))),""))))</f>
        <v/>
      </c>
      <c r="L1416" s="65" t="str">
        <f>IF(COUNTA(A1416:G1416)=0,"",IF(AND(ISNUMBER(D1416),ISNUMBER(J1416)),ROUND(D1416*J1416*(1-N(F1416)),2),0))</f>
        <v/>
      </c>
      <c r="M1416" s="62" t="str">
        <f>IF(A1416="","",IFERROR(INDEX(fa_cname,MATCH(A1416,fa_num,0))&amp;"",""))</f>
        <v/>
      </c>
      <c r="N1416" s="59" t="str">
        <f>IF(COUNTA(A1416:G1416)=0,"",IF(A1416="","N° facture manquant",IF(ISNA(MATCH(A1416,fa_num,0)),"Facture inconnue",IF(AND(B1416&lt;&gt;"",ISNA(MATCH(B1416,pr_code,0))),"Article inconnu",IF(H1416="","Désignation manquante",IF(OR(NOT(ISNUMBER(D1416)),N(D1416)&lt;=0),"Quantité invalide",IF(J1416="","Prix manquant",IF(OR(NOT(ISNUMBER(J1416)),N(J1416)&lt;0),"Prix invalide",IF(OR(AND(F1416&lt;&gt;"",NOT(ISNUMBER(F1416))),N(F1416)&lt;0,N(F1416)&gt;1),"Remise invalide",IF(K1416="","Taux de TVA manquant",IF(NOT(ISNUMBER(K1416)),"Taux de TVA invalide",IF(COUNTIF(p_rates,K1416)=0,"Taux de TVA hors liste (Paramètres)",IF(N(O1416)&gt;25,"Au-delà de 25 lignes : non imprimée","OK")))))))))))))</f>
        <v/>
      </c>
      <c r="O1416" s="59" t="str">
        <f>IF(A1416="","",COUNTIF($A$6:A1416,A1416))</f>
        <v/>
      </c>
      <c r="P1416" s="62" t="str">
        <f>IF(A1416="","",A1416&amp;"|"&amp;O1416)</f>
        <v/>
      </c>
    </row>
    <row r="1417">
      <c r="A1417" s="60" t="n"/>
      <c r="B1417" s="63" t="n"/>
      <c r="C1417" s="63" t="n"/>
      <c r="D1417" s="67" t="n"/>
      <c r="E1417" s="68" t="n"/>
      <c r="F1417" s="69" t="n"/>
      <c r="G1417" s="70" t="n"/>
      <c r="H1417" s="62" t="str">
        <f>IF(COUNTA(A1417:G1417)=0,"",IF(C1417&lt;&gt;"",C1417,IF(B1417="","",IFERROR(INDEX(pr_des,MATCH(B1417,pr_code,0))&amp;"",""))))</f>
        <v/>
      </c>
      <c r="I1417" s="59" t="str">
        <f>IF(B1417="","",IFERROR(INDEX(pr_unit,MATCH(B1417,pr_code,0))&amp;"",""))</f>
        <v/>
      </c>
      <c r="J1417" s="65" t="str">
        <f>IF(COUNTA(A1417:G1417)=0,"",IF(E1417&lt;&gt;"",E1417,IF(B1417="","",IFERROR(IF(INDEX(pr_price,MATCH(B1417,pr_code,0))="","",INDEX(pr_price,MATCH(B1417,pr_code,0))),""))))</f>
        <v/>
      </c>
      <c r="K1417" s="71" t="str">
        <f>IF(COUNTA(A1417:G1417)=0,"",IF(G1417&lt;&gt;"",G1417,IF(B1417="","",IFERROR(IF(INDEX(pr_rate,MATCH(B1417,pr_code,0))="","",INDEX(pr_rate,MATCH(B1417,pr_code,0))),""))))</f>
        <v/>
      </c>
      <c r="L1417" s="65" t="str">
        <f>IF(COUNTA(A1417:G1417)=0,"",IF(AND(ISNUMBER(D1417),ISNUMBER(J1417)),ROUND(D1417*J1417*(1-N(F1417)),2),0))</f>
        <v/>
      </c>
      <c r="M1417" s="62" t="str">
        <f>IF(A1417="","",IFERROR(INDEX(fa_cname,MATCH(A1417,fa_num,0))&amp;"",""))</f>
        <v/>
      </c>
      <c r="N1417" s="59" t="str">
        <f>IF(COUNTA(A1417:G1417)=0,"",IF(A1417="","N° facture manquant",IF(ISNA(MATCH(A1417,fa_num,0)),"Facture inconnue",IF(AND(B1417&lt;&gt;"",ISNA(MATCH(B1417,pr_code,0))),"Article inconnu",IF(H1417="","Désignation manquante",IF(OR(NOT(ISNUMBER(D1417)),N(D1417)&lt;=0),"Quantité invalide",IF(J1417="","Prix manquant",IF(OR(NOT(ISNUMBER(J1417)),N(J1417)&lt;0),"Prix invalide",IF(OR(AND(F1417&lt;&gt;"",NOT(ISNUMBER(F1417))),N(F1417)&lt;0,N(F1417)&gt;1),"Remise invalide",IF(K1417="","Taux de TVA manquant",IF(NOT(ISNUMBER(K1417)),"Taux de TVA invalide",IF(COUNTIF(p_rates,K1417)=0,"Taux de TVA hors liste (Paramètres)",IF(N(O1417)&gt;25,"Au-delà de 25 lignes : non imprimée","OK")))))))))))))</f>
        <v/>
      </c>
      <c r="O1417" s="59" t="str">
        <f>IF(A1417="","",COUNTIF($A$6:A1417,A1417))</f>
        <v/>
      </c>
      <c r="P1417" s="62" t="str">
        <f>IF(A1417="","",A1417&amp;"|"&amp;O1417)</f>
        <v/>
      </c>
    </row>
    <row r="1418">
      <c r="A1418" s="60" t="n"/>
      <c r="B1418" s="63" t="n"/>
      <c r="C1418" s="63" t="n"/>
      <c r="D1418" s="67" t="n"/>
      <c r="E1418" s="68" t="n"/>
      <c r="F1418" s="69" t="n"/>
      <c r="G1418" s="70" t="n"/>
      <c r="H1418" s="62" t="str">
        <f>IF(COUNTA(A1418:G1418)=0,"",IF(C1418&lt;&gt;"",C1418,IF(B1418="","",IFERROR(INDEX(pr_des,MATCH(B1418,pr_code,0))&amp;"",""))))</f>
        <v/>
      </c>
      <c r="I1418" s="59" t="str">
        <f>IF(B1418="","",IFERROR(INDEX(pr_unit,MATCH(B1418,pr_code,0))&amp;"",""))</f>
        <v/>
      </c>
      <c r="J1418" s="65" t="str">
        <f>IF(COUNTA(A1418:G1418)=0,"",IF(E1418&lt;&gt;"",E1418,IF(B1418="","",IFERROR(IF(INDEX(pr_price,MATCH(B1418,pr_code,0))="","",INDEX(pr_price,MATCH(B1418,pr_code,0))),""))))</f>
        <v/>
      </c>
      <c r="K1418" s="71" t="str">
        <f>IF(COUNTA(A1418:G1418)=0,"",IF(G1418&lt;&gt;"",G1418,IF(B1418="","",IFERROR(IF(INDEX(pr_rate,MATCH(B1418,pr_code,0))="","",INDEX(pr_rate,MATCH(B1418,pr_code,0))),""))))</f>
        <v/>
      </c>
      <c r="L1418" s="65" t="str">
        <f>IF(COUNTA(A1418:G1418)=0,"",IF(AND(ISNUMBER(D1418),ISNUMBER(J1418)),ROUND(D1418*J1418*(1-N(F1418)),2),0))</f>
        <v/>
      </c>
      <c r="M1418" s="62" t="str">
        <f>IF(A1418="","",IFERROR(INDEX(fa_cname,MATCH(A1418,fa_num,0))&amp;"",""))</f>
        <v/>
      </c>
      <c r="N1418" s="59" t="str">
        <f>IF(COUNTA(A1418:G1418)=0,"",IF(A1418="","N° facture manquant",IF(ISNA(MATCH(A1418,fa_num,0)),"Facture inconnue",IF(AND(B1418&lt;&gt;"",ISNA(MATCH(B1418,pr_code,0))),"Article inconnu",IF(H1418="","Désignation manquante",IF(OR(NOT(ISNUMBER(D1418)),N(D1418)&lt;=0),"Quantité invalide",IF(J1418="","Prix manquant",IF(OR(NOT(ISNUMBER(J1418)),N(J1418)&lt;0),"Prix invalide",IF(OR(AND(F1418&lt;&gt;"",NOT(ISNUMBER(F1418))),N(F1418)&lt;0,N(F1418)&gt;1),"Remise invalide",IF(K1418="","Taux de TVA manquant",IF(NOT(ISNUMBER(K1418)),"Taux de TVA invalide",IF(COUNTIF(p_rates,K1418)=0,"Taux de TVA hors liste (Paramètres)",IF(N(O1418)&gt;25,"Au-delà de 25 lignes : non imprimée","OK")))))))))))))</f>
        <v/>
      </c>
      <c r="O1418" s="59" t="str">
        <f>IF(A1418="","",COUNTIF($A$6:A1418,A1418))</f>
        <v/>
      </c>
      <c r="P1418" s="62" t="str">
        <f>IF(A1418="","",A1418&amp;"|"&amp;O1418)</f>
        <v/>
      </c>
    </row>
    <row r="1419">
      <c r="A1419" s="60" t="n"/>
      <c r="B1419" s="63" t="n"/>
      <c r="C1419" s="63" t="n"/>
      <c r="D1419" s="67" t="n"/>
      <c r="E1419" s="68" t="n"/>
      <c r="F1419" s="69" t="n"/>
      <c r="G1419" s="70" t="n"/>
      <c r="H1419" s="62" t="str">
        <f>IF(COUNTA(A1419:G1419)=0,"",IF(C1419&lt;&gt;"",C1419,IF(B1419="","",IFERROR(INDEX(pr_des,MATCH(B1419,pr_code,0))&amp;"",""))))</f>
        <v/>
      </c>
      <c r="I1419" s="59" t="str">
        <f>IF(B1419="","",IFERROR(INDEX(pr_unit,MATCH(B1419,pr_code,0))&amp;"",""))</f>
        <v/>
      </c>
      <c r="J1419" s="65" t="str">
        <f>IF(COUNTA(A1419:G1419)=0,"",IF(E1419&lt;&gt;"",E1419,IF(B1419="","",IFERROR(IF(INDEX(pr_price,MATCH(B1419,pr_code,0))="","",INDEX(pr_price,MATCH(B1419,pr_code,0))),""))))</f>
        <v/>
      </c>
      <c r="K1419" s="71" t="str">
        <f>IF(COUNTA(A1419:G1419)=0,"",IF(G1419&lt;&gt;"",G1419,IF(B1419="","",IFERROR(IF(INDEX(pr_rate,MATCH(B1419,pr_code,0))="","",INDEX(pr_rate,MATCH(B1419,pr_code,0))),""))))</f>
        <v/>
      </c>
      <c r="L1419" s="65" t="str">
        <f>IF(COUNTA(A1419:G1419)=0,"",IF(AND(ISNUMBER(D1419),ISNUMBER(J1419)),ROUND(D1419*J1419*(1-N(F1419)),2),0))</f>
        <v/>
      </c>
      <c r="M1419" s="62" t="str">
        <f>IF(A1419="","",IFERROR(INDEX(fa_cname,MATCH(A1419,fa_num,0))&amp;"",""))</f>
        <v/>
      </c>
      <c r="N1419" s="59" t="str">
        <f>IF(COUNTA(A1419:G1419)=0,"",IF(A1419="","N° facture manquant",IF(ISNA(MATCH(A1419,fa_num,0)),"Facture inconnue",IF(AND(B1419&lt;&gt;"",ISNA(MATCH(B1419,pr_code,0))),"Article inconnu",IF(H1419="","Désignation manquante",IF(OR(NOT(ISNUMBER(D1419)),N(D1419)&lt;=0),"Quantité invalide",IF(J1419="","Prix manquant",IF(OR(NOT(ISNUMBER(J1419)),N(J1419)&lt;0),"Prix invalide",IF(OR(AND(F1419&lt;&gt;"",NOT(ISNUMBER(F1419))),N(F1419)&lt;0,N(F1419)&gt;1),"Remise invalide",IF(K1419="","Taux de TVA manquant",IF(NOT(ISNUMBER(K1419)),"Taux de TVA invalide",IF(COUNTIF(p_rates,K1419)=0,"Taux de TVA hors liste (Paramètres)",IF(N(O1419)&gt;25,"Au-delà de 25 lignes : non imprimée","OK")))))))))))))</f>
        <v/>
      </c>
      <c r="O1419" s="59" t="str">
        <f>IF(A1419="","",COUNTIF($A$6:A1419,A1419))</f>
        <v/>
      </c>
      <c r="P1419" s="62" t="str">
        <f>IF(A1419="","",A1419&amp;"|"&amp;O1419)</f>
        <v/>
      </c>
    </row>
    <row r="1420">
      <c r="A1420" s="60" t="n"/>
      <c r="B1420" s="63" t="n"/>
      <c r="C1420" s="63" t="n"/>
      <c r="D1420" s="67" t="n"/>
      <c r="E1420" s="68" t="n"/>
      <c r="F1420" s="69" t="n"/>
      <c r="G1420" s="70" t="n"/>
      <c r="H1420" s="62" t="str">
        <f>IF(COUNTA(A1420:G1420)=0,"",IF(C1420&lt;&gt;"",C1420,IF(B1420="","",IFERROR(INDEX(pr_des,MATCH(B1420,pr_code,0))&amp;"",""))))</f>
        <v/>
      </c>
      <c r="I1420" s="59" t="str">
        <f>IF(B1420="","",IFERROR(INDEX(pr_unit,MATCH(B1420,pr_code,0))&amp;"",""))</f>
        <v/>
      </c>
      <c r="J1420" s="65" t="str">
        <f>IF(COUNTA(A1420:G1420)=0,"",IF(E1420&lt;&gt;"",E1420,IF(B1420="","",IFERROR(IF(INDEX(pr_price,MATCH(B1420,pr_code,0))="","",INDEX(pr_price,MATCH(B1420,pr_code,0))),""))))</f>
        <v/>
      </c>
      <c r="K1420" s="71" t="str">
        <f>IF(COUNTA(A1420:G1420)=0,"",IF(G1420&lt;&gt;"",G1420,IF(B1420="","",IFERROR(IF(INDEX(pr_rate,MATCH(B1420,pr_code,0))="","",INDEX(pr_rate,MATCH(B1420,pr_code,0))),""))))</f>
        <v/>
      </c>
      <c r="L1420" s="65" t="str">
        <f>IF(COUNTA(A1420:G1420)=0,"",IF(AND(ISNUMBER(D1420),ISNUMBER(J1420)),ROUND(D1420*J1420*(1-N(F1420)),2),0))</f>
        <v/>
      </c>
      <c r="M1420" s="62" t="str">
        <f>IF(A1420="","",IFERROR(INDEX(fa_cname,MATCH(A1420,fa_num,0))&amp;"",""))</f>
        <v/>
      </c>
      <c r="N1420" s="59" t="str">
        <f>IF(COUNTA(A1420:G1420)=0,"",IF(A1420="","N° facture manquant",IF(ISNA(MATCH(A1420,fa_num,0)),"Facture inconnue",IF(AND(B1420&lt;&gt;"",ISNA(MATCH(B1420,pr_code,0))),"Article inconnu",IF(H1420="","Désignation manquante",IF(OR(NOT(ISNUMBER(D1420)),N(D1420)&lt;=0),"Quantité invalide",IF(J1420="","Prix manquant",IF(OR(NOT(ISNUMBER(J1420)),N(J1420)&lt;0),"Prix invalide",IF(OR(AND(F1420&lt;&gt;"",NOT(ISNUMBER(F1420))),N(F1420)&lt;0,N(F1420)&gt;1),"Remise invalide",IF(K1420="","Taux de TVA manquant",IF(NOT(ISNUMBER(K1420)),"Taux de TVA invalide",IF(COUNTIF(p_rates,K1420)=0,"Taux de TVA hors liste (Paramètres)",IF(N(O1420)&gt;25,"Au-delà de 25 lignes : non imprimée","OK")))))))))))))</f>
        <v/>
      </c>
      <c r="O1420" s="59" t="str">
        <f>IF(A1420="","",COUNTIF($A$6:A1420,A1420))</f>
        <v/>
      </c>
      <c r="P1420" s="62" t="str">
        <f>IF(A1420="","",A1420&amp;"|"&amp;O1420)</f>
        <v/>
      </c>
    </row>
    <row r="1421">
      <c r="A1421" s="60" t="n"/>
      <c r="B1421" s="63" t="n"/>
      <c r="C1421" s="63" t="n"/>
      <c r="D1421" s="67" t="n"/>
      <c r="E1421" s="68" t="n"/>
      <c r="F1421" s="69" t="n"/>
      <c r="G1421" s="70" t="n"/>
      <c r="H1421" s="62" t="str">
        <f>IF(COUNTA(A1421:G1421)=0,"",IF(C1421&lt;&gt;"",C1421,IF(B1421="","",IFERROR(INDEX(pr_des,MATCH(B1421,pr_code,0))&amp;"",""))))</f>
        <v/>
      </c>
      <c r="I1421" s="59" t="str">
        <f>IF(B1421="","",IFERROR(INDEX(pr_unit,MATCH(B1421,pr_code,0))&amp;"",""))</f>
        <v/>
      </c>
      <c r="J1421" s="65" t="str">
        <f>IF(COUNTA(A1421:G1421)=0,"",IF(E1421&lt;&gt;"",E1421,IF(B1421="","",IFERROR(IF(INDEX(pr_price,MATCH(B1421,pr_code,0))="","",INDEX(pr_price,MATCH(B1421,pr_code,0))),""))))</f>
        <v/>
      </c>
      <c r="K1421" s="71" t="str">
        <f>IF(COUNTA(A1421:G1421)=0,"",IF(G1421&lt;&gt;"",G1421,IF(B1421="","",IFERROR(IF(INDEX(pr_rate,MATCH(B1421,pr_code,0))="","",INDEX(pr_rate,MATCH(B1421,pr_code,0))),""))))</f>
        <v/>
      </c>
      <c r="L1421" s="65" t="str">
        <f>IF(COUNTA(A1421:G1421)=0,"",IF(AND(ISNUMBER(D1421),ISNUMBER(J1421)),ROUND(D1421*J1421*(1-N(F1421)),2),0))</f>
        <v/>
      </c>
      <c r="M1421" s="62" t="str">
        <f>IF(A1421="","",IFERROR(INDEX(fa_cname,MATCH(A1421,fa_num,0))&amp;"",""))</f>
        <v/>
      </c>
      <c r="N1421" s="59" t="str">
        <f>IF(COUNTA(A1421:G1421)=0,"",IF(A1421="","N° facture manquant",IF(ISNA(MATCH(A1421,fa_num,0)),"Facture inconnue",IF(AND(B1421&lt;&gt;"",ISNA(MATCH(B1421,pr_code,0))),"Article inconnu",IF(H1421="","Désignation manquante",IF(OR(NOT(ISNUMBER(D1421)),N(D1421)&lt;=0),"Quantité invalide",IF(J1421="","Prix manquant",IF(OR(NOT(ISNUMBER(J1421)),N(J1421)&lt;0),"Prix invalide",IF(OR(AND(F1421&lt;&gt;"",NOT(ISNUMBER(F1421))),N(F1421)&lt;0,N(F1421)&gt;1),"Remise invalide",IF(K1421="","Taux de TVA manquant",IF(NOT(ISNUMBER(K1421)),"Taux de TVA invalide",IF(COUNTIF(p_rates,K1421)=0,"Taux de TVA hors liste (Paramètres)",IF(N(O1421)&gt;25,"Au-delà de 25 lignes : non imprimée","OK")))))))))))))</f>
        <v/>
      </c>
      <c r="O1421" s="59" t="str">
        <f>IF(A1421="","",COUNTIF($A$6:A1421,A1421))</f>
        <v/>
      </c>
      <c r="P1421" s="62" t="str">
        <f>IF(A1421="","",A1421&amp;"|"&amp;O1421)</f>
        <v/>
      </c>
    </row>
    <row r="1422">
      <c r="A1422" s="60" t="n"/>
      <c r="B1422" s="63" t="n"/>
      <c r="C1422" s="63" t="n"/>
      <c r="D1422" s="67" t="n"/>
      <c r="E1422" s="68" t="n"/>
      <c r="F1422" s="69" t="n"/>
      <c r="G1422" s="70" t="n"/>
      <c r="H1422" s="62" t="str">
        <f>IF(COUNTA(A1422:G1422)=0,"",IF(C1422&lt;&gt;"",C1422,IF(B1422="","",IFERROR(INDEX(pr_des,MATCH(B1422,pr_code,0))&amp;"",""))))</f>
        <v/>
      </c>
      <c r="I1422" s="59" t="str">
        <f>IF(B1422="","",IFERROR(INDEX(pr_unit,MATCH(B1422,pr_code,0))&amp;"",""))</f>
        <v/>
      </c>
      <c r="J1422" s="65" t="str">
        <f>IF(COUNTA(A1422:G1422)=0,"",IF(E1422&lt;&gt;"",E1422,IF(B1422="","",IFERROR(IF(INDEX(pr_price,MATCH(B1422,pr_code,0))="","",INDEX(pr_price,MATCH(B1422,pr_code,0))),""))))</f>
        <v/>
      </c>
      <c r="K1422" s="71" t="str">
        <f>IF(COUNTA(A1422:G1422)=0,"",IF(G1422&lt;&gt;"",G1422,IF(B1422="","",IFERROR(IF(INDEX(pr_rate,MATCH(B1422,pr_code,0))="","",INDEX(pr_rate,MATCH(B1422,pr_code,0))),""))))</f>
        <v/>
      </c>
      <c r="L1422" s="65" t="str">
        <f>IF(COUNTA(A1422:G1422)=0,"",IF(AND(ISNUMBER(D1422),ISNUMBER(J1422)),ROUND(D1422*J1422*(1-N(F1422)),2),0))</f>
        <v/>
      </c>
      <c r="M1422" s="62" t="str">
        <f>IF(A1422="","",IFERROR(INDEX(fa_cname,MATCH(A1422,fa_num,0))&amp;"",""))</f>
        <v/>
      </c>
      <c r="N1422" s="59" t="str">
        <f>IF(COUNTA(A1422:G1422)=0,"",IF(A1422="","N° facture manquant",IF(ISNA(MATCH(A1422,fa_num,0)),"Facture inconnue",IF(AND(B1422&lt;&gt;"",ISNA(MATCH(B1422,pr_code,0))),"Article inconnu",IF(H1422="","Désignation manquante",IF(OR(NOT(ISNUMBER(D1422)),N(D1422)&lt;=0),"Quantité invalide",IF(J1422="","Prix manquant",IF(OR(NOT(ISNUMBER(J1422)),N(J1422)&lt;0),"Prix invalide",IF(OR(AND(F1422&lt;&gt;"",NOT(ISNUMBER(F1422))),N(F1422)&lt;0,N(F1422)&gt;1),"Remise invalide",IF(K1422="","Taux de TVA manquant",IF(NOT(ISNUMBER(K1422)),"Taux de TVA invalide",IF(COUNTIF(p_rates,K1422)=0,"Taux de TVA hors liste (Paramètres)",IF(N(O1422)&gt;25,"Au-delà de 25 lignes : non imprimée","OK")))))))))))))</f>
        <v/>
      </c>
      <c r="O1422" s="59" t="str">
        <f>IF(A1422="","",COUNTIF($A$6:A1422,A1422))</f>
        <v/>
      </c>
      <c r="P1422" s="62" t="str">
        <f>IF(A1422="","",A1422&amp;"|"&amp;O1422)</f>
        <v/>
      </c>
    </row>
    <row r="1423">
      <c r="A1423" s="60" t="n"/>
      <c r="B1423" s="63" t="n"/>
      <c r="C1423" s="63" t="n"/>
      <c r="D1423" s="67" t="n"/>
      <c r="E1423" s="68" t="n"/>
      <c r="F1423" s="69" t="n"/>
      <c r="G1423" s="70" t="n"/>
      <c r="H1423" s="62" t="str">
        <f>IF(COUNTA(A1423:G1423)=0,"",IF(C1423&lt;&gt;"",C1423,IF(B1423="","",IFERROR(INDEX(pr_des,MATCH(B1423,pr_code,0))&amp;"",""))))</f>
        <v/>
      </c>
      <c r="I1423" s="59" t="str">
        <f>IF(B1423="","",IFERROR(INDEX(pr_unit,MATCH(B1423,pr_code,0))&amp;"",""))</f>
        <v/>
      </c>
      <c r="J1423" s="65" t="str">
        <f>IF(COUNTA(A1423:G1423)=0,"",IF(E1423&lt;&gt;"",E1423,IF(B1423="","",IFERROR(IF(INDEX(pr_price,MATCH(B1423,pr_code,0))="","",INDEX(pr_price,MATCH(B1423,pr_code,0))),""))))</f>
        <v/>
      </c>
      <c r="K1423" s="71" t="str">
        <f>IF(COUNTA(A1423:G1423)=0,"",IF(G1423&lt;&gt;"",G1423,IF(B1423="","",IFERROR(IF(INDEX(pr_rate,MATCH(B1423,pr_code,0))="","",INDEX(pr_rate,MATCH(B1423,pr_code,0))),""))))</f>
        <v/>
      </c>
      <c r="L1423" s="65" t="str">
        <f>IF(COUNTA(A1423:G1423)=0,"",IF(AND(ISNUMBER(D1423),ISNUMBER(J1423)),ROUND(D1423*J1423*(1-N(F1423)),2),0))</f>
        <v/>
      </c>
      <c r="M1423" s="62" t="str">
        <f>IF(A1423="","",IFERROR(INDEX(fa_cname,MATCH(A1423,fa_num,0))&amp;"",""))</f>
        <v/>
      </c>
      <c r="N1423" s="59" t="str">
        <f>IF(COUNTA(A1423:G1423)=0,"",IF(A1423="","N° facture manquant",IF(ISNA(MATCH(A1423,fa_num,0)),"Facture inconnue",IF(AND(B1423&lt;&gt;"",ISNA(MATCH(B1423,pr_code,0))),"Article inconnu",IF(H1423="","Désignation manquante",IF(OR(NOT(ISNUMBER(D1423)),N(D1423)&lt;=0),"Quantité invalide",IF(J1423="","Prix manquant",IF(OR(NOT(ISNUMBER(J1423)),N(J1423)&lt;0),"Prix invalide",IF(OR(AND(F1423&lt;&gt;"",NOT(ISNUMBER(F1423))),N(F1423)&lt;0,N(F1423)&gt;1),"Remise invalide",IF(K1423="","Taux de TVA manquant",IF(NOT(ISNUMBER(K1423)),"Taux de TVA invalide",IF(COUNTIF(p_rates,K1423)=0,"Taux de TVA hors liste (Paramètres)",IF(N(O1423)&gt;25,"Au-delà de 25 lignes : non imprimée","OK")))))))))))))</f>
        <v/>
      </c>
      <c r="O1423" s="59" t="str">
        <f>IF(A1423="","",COUNTIF($A$6:A1423,A1423))</f>
        <v/>
      </c>
      <c r="P1423" s="62" t="str">
        <f>IF(A1423="","",A1423&amp;"|"&amp;O1423)</f>
        <v/>
      </c>
    </row>
    <row r="1424">
      <c r="A1424" s="60" t="n"/>
      <c r="B1424" s="63" t="n"/>
      <c r="C1424" s="63" t="n"/>
      <c r="D1424" s="67" t="n"/>
      <c r="E1424" s="68" t="n"/>
      <c r="F1424" s="69" t="n"/>
      <c r="G1424" s="70" t="n"/>
      <c r="H1424" s="62" t="str">
        <f>IF(COUNTA(A1424:G1424)=0,"",IF(C1424&lt;&gt;"",C1424,IF(B1424="","",IFERROR(INDEX(pr_des,MATCH(B1424,pr_code,0))&amp;"",""))))</f>
        <v/>
      </c>
      <c r="I1424" s="59" t="str">
        <f>IF(B1424="","",IFERROR(INDEX(pr_unit,MATCH(B1424,pr_code,0))&amp;"",""))</f>
        <v/>
      </c>
      <c r="J1424" s="65" t="str">
        <f>IF(COUNTA(A1424:G1424)=0,"",IF(E1424&lt;&gt;"",E1424,IF(B1424="","",IFERROR(IF(INDEX(pr_price,MATCH(B1424,pr_code,0))="","",INDEX(pr_price,MATCH(B1424,pr_code,0))),""))))</f>
        <v/>
      </c>
      <c r="K1424" s="71" t="str">
        <f>IF(COUNTA(A1424:G1424)=0,"",IF(G1424&lt;&gt;"",G1424,IF(B1424="","",IFERROR(IF(INDEX(pr_rate,MATCH(B1424,pr_code,0))="","",INDEX(pr_rate,MATCH(B1424,pr_code,0))),""))))</f>
        <v/>
      </c>
      <c r="L1424" s="65" t="str">
        <f>IF(COUNTA(A1424:G1424)=0,"",IF(AND(ISNUMBER(D1424),ISNUMBER(J1424)),ROUND(D1424*J1424*(1-N(F1424)),2),0))</f>
        <v/>
      </c>
      <c r="M1424" s="62" t="str">
        <f>IF(A1424="","",IFERROR(INDEX(fa_cname,MATCH(A1424,fa_num,0))&amp;"",""))</f>
        <v/>
      </c>
      <c r="N1424" s="59" t="str">
        <f>IF(COUNTA(A1424:G1424)=0,"",IF(A1424="","N° facture manquant",IF(ISNA(MATCH(A1424,fa_num,0)),"Facture inconnue",IF(AND(B1424&lt;&gt;"",ISNA(MATCH(B1424,pr_code,0))),"Article inconnu",IF(H1424="","Désignation manquante",IF(OR(NOT(ISNUMBER(D1424)),N(D1424)&lt;=0),"Quantité invalide",IF(J1424="","Prix manquant",IF(OR(NOT(ISNUMBER(J1424)),N(J1424)&lt;0),"Prix invalide",IF(OR(AND(F1424&lt;&gt;"",NOT(ISNUMBER(F1424))),N(F1424)&lt;0,N(F1424)&gt;1),"Remise invalide",IF(K1424="","Taux de TVA manquant",IF(NOT(ISNUMBER(K1424)),"Taux de TVA invalide",IF(COUNTIF(p_rates,K1424)=0,"Taux de TVA hors liste (Paramètres)",IF(N(O1424)&gt;25,"Au-delà de 25 lignes : non imprimée","OK")))))))))))))</f>
        <v/>
      </c>
      <c r="O1424" s="59" t="str">
        <f>IF(A1424="","",COUNTIF($A$6:A1424,A1424))</f>
        <v/>
      </c>
      <c r="P1424" s="62" t="str">
        <f>IF(A1424="","",A1424&amp;"|"&amp;O1424)</f>
        <v/>
      </c>
    </row>
    <row r="1425">
      <c r="A1425" s="60" t="n"/>
      <c r="B1425" s="63" t="n"/>
      <c r="C1425" s="63" t="n"/>
      <c r="D1425" s="67" t="n"/>
      <c r="E1425" s="68" t="n"/>
      <c r="F1425" s="69" t="n"/>
      <c r="G1425" s="70" t="n"/>
      <c r="H1425" s="62" t="str">
        <f>IF(COUNTA(A1425:G1425)=0,"",IF(C1425&lt;&gt;"",C1425,IF(B1425="","",IFERROR(INDEX(pr_des,MATCH(B1425,pr_code,0))&amp;"",""))))</f>
        <v/>
      </c>
      <c r="I1425" s="59" t="str">
        <f>IF(B1425="","",IFERROR(INDEX(pr_unit,MATCH(B1425,pr_code,0))&amp;"",""))</f>
        <v/>
      </c>
      <c r="J1425" s="65" t="str">
        <f>IF(COUNTA(A1425:G1425)=0,"",IF(E1425&lt;&gt;"",E1425,IF(B1425="","",IFERROR(IF(INDEX(pr_price,MATCH(B1425,pr_code,0))="","",INDEX(pr_price,MATCH(B1425,pr_code,0))),""))))</f>
        <v/>
      </c>
      <c r="K1425" s="71" t="str">
        <f>IF(COUNTA(A1425:G1425)=0,"",IF(G1425&lt;&gt;"",G1425,IF(B1425="","",IFERROR(IF(INDEX(pr_rate,MATCH(B1425,pr_code,0))="","",INDEX(pr_rate,MATCH(B1425,pr_code,0))),""))))</f>
        <v/>
      </c>
      <c r="L1425" s="65" t="str">
        <f>IF(COUNTA(A1425:G1425)=0,"",IF(AND(ISNUMBER(D1425),ISNUMBER(J1425)),ROUND(D1425*J1425*(1-N(F1425)),2),0))</f>
        <v/>
      </c>
      <c r="M1425" s="62" t="str">
        <f>IF(A1425="","",IFERROR(INDEX(fa_cname,MATCH(A1425,fa_num,0))&amp;"",""))</f>
        <v/>
      </c>
      <c r="N1425" s="59" t="str">
        <f>IF(COUNTA(A1425:G1425)=0,"",IF(A1425="","N° facture manquant",IF(ISNA(MATCH(A1425,fa_num,0)),"Facture inconnue",IF(AND(B1425&lt;&gt;"",ISNA(MATCH(B1425,pr_code,0))),"Article inconnu",IF(H1425="","Désignation manquante",IF(OR(NOT(ISNUMBER(D1425)),N(D1425)&lt;=0),"Quantité invalide",IF(J1425="","Prix manquant",IF(OR(NOT(ISNUMBER(J1425)),N(J1425)&lt;0),"Prix invalide",IF(OR(AND(F1425&lt;&gt;"",NOT(ISNUMBER(F1425))),N(F1425)&lt;0,N(F1425)&gt;1),"Remise invalide",IF(K1425="","Taux de TVA manquant",IF(NOT(ISNUMBER(K1425)),"Taux de TVA invalide",IF(COUNTIF(p_rates,K1425)=0,"Taux de TVA hors liste (Paramètres)",IF(N(O1425)&gt;25,"Au-delà de 25 lignes : non imprimée","OK")))))))))))))</f>
        <v/>
      </c>
      <c r="O1425" s="59" t="str">
        <f>IF(A1425="","",COUNTIF($A$6:A1425,A1425))</f>
        <v/>
      </c>
      <c r="P1425" s="62" t="str">
        <f>IF(A1425="","",A1425&amp;"|"&amp;O1425)</f>
        <v/>
      </c>
    </row>
    <row r="1426">
      <c r="A1426" s="60" t="n"/>
      <c r="B1426" s="63" t="n"/>
      <c r="C1426" s="63" t="n"/>
      <c r="D1426" s="67" t="n"/>
      <c r="E1426" s="68" t="n"/>
      <c r="F1426" s="69" t="n"/>
      <c r="G1426" s="70" t="n"/>
      <c r="H1426" s="62" t="str">
        <f>IF(COUNTA(A1426:G1426)=0,"",IF(C1426&lt;&gt;"",C1426,IF(B1426="","",IFERROR(INDEX(pr_des,MATCH(B1426,pr_code,0))&amp;"",""))))</f>
        <v/>
      </c>
      <c r="I1426" s="59" t="str">
        <f>IF(B1426="","",IFERROR(INDEX(pr_unit,MATCH(B1426,pr_code,0))&amp;"",""))</f>
        <v/>
      </c>
      <c r="J1426" s="65" t="str">
        <f>IF(COUNTA(A1426:G1426)=0,"",IF(E1426&lt;&gt;"",E1426,IF(B1426="","",IFERROR(IF(INDEX(pr_price,MATCH(B1426,pr_code,0))="","",INDEX(pr_price,MATCH(B1426,pr_code,0))),""))))</f>
        <v/>
      </c>
      <c r="K1426" s="71" t="str">
        <f>IF(COUNTA(A1426:G1426)=0,"",IF(G1426&lt;&gt;"",G1426,IF(B1426="","",IFERROR(IF(INDEX(pr_rate,MATCH(B1426,pr_code,0))="","",INDEX(pr_rate,MATCH(B1426,pr_code,0))),""))))</f>
        <v/>
      </c>
      <c r="L1426" s="65" t="str">
        <f>IF(COUNTA(A1426:G1426)=0,"",IF(AND(ISNUMBER(D1426),ISNUMBER(J1426)),ROUND(D1426*J1426*(1-N(F1426)),2),0))</f>
        <v/>
      </c>
      <c r="M1426" s="62" t="str">
        <f>IF(A1426="","",IFERROR(INDEX(fa_cname,MATCH(A1426,fa_num,0))&amp;"",""))</f>
        <v/>
      </c>
      <c r="N1426" s="59" t="str">
        <f>IF(COUNTA(A1426:G1426)=0,"",IF(A1426="","N° facture manquant",IF(ISNA(MATCH(A1426,fa_num,0)),"Facture inconnue",IF(AND(B1426&lt;&gt;"",ISNA(MATCH(B1426,pr_code,0))),"Article inconnu",IF(H1426="","Désignation manquante",IF(OR(NOT(ISNUMBER(D1426)),N(D1426)&lt;=0),"Quantité invalide",IF(J1426="","Prix manquant",IF(OR(NOT(ISNUMBER(J1426)),N(J1426)&lt;0),"Prix invalide",IF(OR(AND(F1426&lt;&gt;"",NOT(ISNUMBER(F1426))),N(F1426)&lt;0,N(F1426)&gt;1),"Remise invalide",IF(K1426="","Taux de TVA manquant",IF(NOT(ISNUMBER(K1426)),"Taux de TVA invalide",IF(COUNTIF(p_rates,K1426)=0,"Taux de TVA hors liste (Paramètres)",IF(N(O1426)&gt;25,"Au-delà de 25 lignes : non imprimée","OK")))))))))))))</f>
        <v/>
      </c>
      <c r="O1426" s="59" t="str">
        <f>IF(A1426="","",COUNTIF($A$6:A1426,A1426))</f>
        <v/>
      </c>
      <c r="P1426" s="62" t="str">
        <f>IF(A1426="","",A1426&amp;"|"&amp;O1426)</f>
        <v/>
      </c>
    </row>
    <row r="1427">
      <c r="A1427" s="60" t="n"/>
      <c r="B1427" s="63" t="n"/>
      <c r="C1427" s="63" t="n"/>
      <c r="D1427" s="67" t="n"/>
      <c r="E1427" s="68" t="n"/>
      <c r="F1427" s="69" t="n"/>
      <c r="G1427" s="70" t="n"/>
      <c r="H1427" s="62" t="str">
        <f>IF(COUNTA(A1427:G1427)=0,"",IF(C1427&lt;&gt;"",C1427,IF(B1427="","",IFERROR(INDEX(pr_des,MATCH(B1427,pr_code,0))&amp;"",""))))</f>
        <v/>
      </c>
      <c r="I1427" s="59" t="str">
        <f>IF(B1427="","",IFERROR(INDEX(pr_unit,MATCH(B1427,pr_code,0))&amp;"",""))</f>
        <v/>
      </c>
      <c r="J1427" s="65" t="str">
        <f>IF(COUNTA(A1427:G1427)=0,"",IF(E1427&lt;&gt;"",E1427,IF(B1427="","",IFERROR(IF(INDEX(pr_price,MATCH(B1427,pr_code,0))="","",INDEX(pr_price,MATCH(B1427,pr_code,0))),""))))</f>
        <v/>
      </c>
      <c r="K1427" s="71" t="str">
        <f>IF(COUNTA(A1427:G1427)=0,"",IF(G1427&lt;&gt;"",G1427,IF(B1427="","",IFERROR(IF(INDEX(pr_rate,MATCH(B1427,pr_code,0))="","",INDEX(pr_rate,MATCH(B1427,pr_code,0))),""))))</f>
        <v/>
      </c>
      <c r="L1427" s="65" t="str">
        <f>IF(COUNTA(A1427:G1427)=0,"",IF(AND(ISNUMBER(D1427),ISNUMBER(J1427)),ROUND(D1427*J1427*(1-N(F1427)),2),0))</f>
        <v/>
      </c>
      <c r="M1427" s="62" t="str">
        <f>IF(A1427="","",IFERROR(INDEX(fa_cname,MATCH(A1427,fa_num,0))&amp;"",""))</f>
        <v/>
      </c>
      <c r="N1427" s="59" t="str">
        <f>IF(COUNTA(A1427:G1427)=0,"",IF(A1427="","N° facture manquant",IF(ISNA(MATCH(A1427,fa_num,0)),"Facture inconnue",IF(AND(B1427&lt;&gt;"",ISNA(MATCH(B1427,pr_code,0))),"Article inconnu",IF(H1427="","Désignation manquante",IF(OR(NOT(ISNUMBER(D1427)),N(D1427)&lt;=0),"Quantité invalide",IF(J1427="","Prix manquant",IF(OR(NOT(ISNUMBER(J1427)),N(J1427)&lt;0),"Prix invalide",IF(OR(AND(F1427&lt;&gt;"",NOT(ISNUMBER(F1427))),N(F1427)&lt;0,N(F1427)&gt;1),"Remise invalide",IF(K1427="","Taux de TVA manquant",IF(NOT(ISNUMBER(K1427)),"Taux de TVA invalide",IF(COUNTIF(p_rates,K1427)=0,"Taux de TVA hors liste (Paramètres)",IF(N(O1427)&gt;25,"Au-delà de 25 lignes : non imprimée","OK")))))))))))))</f>
        <v/>
      </c>
      <c r="O1427" s="59" t="str">
        <f>IF(A1427="","",COUNTIF($A$6:A1427,A1427))</f>
        <v/>
      </c>
      <c r="P1427" s="62" t="str">
        <f>IF(A1427="","",A1427&amp;"|"&amp;O1427)</f>
        <v/>
      </c>
    </row>
    <row r="1428">
      <c r="A1428" s="60" t="n"/>
      <c r="B1428" s="63" t="n"/>
      <c r="C1428" s="63" t="n"/>
      <c r="D1428" s="67" t="n"/>
      <c r="E1428" s="68" t="n"/>
      <c r="F1428" s="69" t="n"/>
      <c r="G1428" s="70" t="n"/>
      <c r="H1428" s="62" t="str">
        <f>IF(COUNTA(A1428:G1428)=0,"",IF(C1428&lt;&gt;"",C1428,IF(B1428="","",IFERROR(INDEX(pr_des,MATCH(B1428,pr_code,0))&amp;"",""))))</f>
        <v/>
      </c>
      <c r="I1428" s="59" t="str">
        <f>IF(B1428="","",IFERROR(INDEX(pr_unit,MATCH(B1428,pr_code,0))&amp;"",""))</f>
        <v/>
      </c>
      <c r="J1428" s="65" t="str">
        <f>IF(COUNTA(A1428:G1428)=0,"",IF(E1428&lt;&gt;"",E1428,IF(B1428="","",IFERROR(IF(INDEX(pr_price,MATCH(B1428,pr_code,0))="","",INDEX(pr_price,MATCH(B1428,pr_code,0))),""))))</f>
        <v/>
      </c>
      <c r="K1428" s="71" t="str">
        <f>IF(COUNTA(A1428:G1428)=0,"",IF(G1428&lt;&gt;"",G1428,IF(B1428="","",IFERROR(IF(INDEX(pr_rate,MATCH(B1428,pr_code,0))="","",INDEX(pr_rate,MATCH(B1428,pr_code,0))),""))))</f>
        <v/>
      </c>
      <c r="L1428" s="65" t="str">
        <f>IF(COUNTA(A1428:G1428)=0,"",IF(AND(ISNUMBER(D1428),ISNUMBER(J1428)),ROUND(D1428*J1428*(1-N(F1428)),2),0))</f>
        <v/>
      </c>
      <c r="M1428" s="62" t="str">
        <f>IF(A1428="","",IFERROR(INDEX(fa_cname,MATCH(A1428,fa_num,0))&amp;"",""))</f>
        <v/>
      </c>
      <c r="N1428" s="59" t="str">
        <f>IF(COUNTA(A1428:G1428)=0,"",IF(A1428="","N° facture manquant",IF(ISNA(MATCH(A1428,fa_num,0)),"Facture inconnue",IF(AND(B1428&lt;&gt;"",ISNA(MATCH(B1428,pr_code,0))),"Article inconnu",IF(H1428="","Désignation manquante",IF(OR(NOT(ISNUMBER(D1428)),N(D1428)&lt;=0),"Quantité invalide",IF(J1428="","Prix manquant",IF(OR(NOT(ISNUMBER(J1428)),N(J1428)&lt;0),"Prix invalide",IF(OR(AND(F1428&lt;&gt;"",NOT(ISNUMBER(F1428))),N(F1428)&lt;0,N(F1428)&gt;1),"Remise invalide",IF(K1428="","Taux de TVA manquant",IF(NOT(ISNUMBER(K1428)),"Taux de TVA invalide",IF(COUNTIF(p_rates,K1428)=0,"Taux de TVA hors liste (Paramètres)",IF(N(O1428)&gt;25,"Au-delà de 25 lignes : non imprimée","OK")))))))))))))</f>
        <v/>
      </c>
      <c r="O1428" s="59" t="str">
        <f>IF(A1428="","",COUNTIF($A$6:A1428,A1428))</f>
        <v/>
      </c>
      <c r="P1428" s="62" t="str">
        <f>IF(A1428="","",A1428&amp;"|"&amp;O1428)</f>
        <v/>
      </c>
    </row>
    <row r="1429">
      <c r="A1429" s="60" t="n"/>
      <c r="B1429" s="63" t="n"/>
      <c r="C1429" s="63" t="n"/>
      <c r="D1429" s="67" t="n"/>
      <c r="E1429" s="68" t="n"/>
      <c r="F1429" s="69" t="n"/>
      <c r="G1429" s="70" t="n"/>
      <c r="H1429" s="62" t="str">
        <f>IF(COUNTA(A1429:G1429)=0,"",IF(C1429&lt;&gt;"",C1429,IF(B1429="","",IFERROR(INDEX(pr_des,MATCH(B1429,pr_code,0))&amp;"",""))))</f>
        <v/>
      </c>
      <c r="I1429" s="59" t="str">
        <f>IF(B1429="","",IFERROR(INDEX(pr_unit,MATCH(B1429,pr_code,0))&amp;"",""))</f>
        <v/>
      </c>
      <c r="J1429" s="65" t="str">
        <f>IF(COUNTA(A1429:G1429)=0,"",IF(E1429&lt;&gt;"",E1429,IF(B1429="","",IFERROR(IF(INDEX(pr_price,MATCH(B1429,pr_code,0))="","",INDEX(pr_price,MATCH(B1429,pr_code,0))),""))))</f>
        <v/>
      </c>
      <c r="K1429" s="71" t="str">
        <f>IF(COUNTA(A1429:G1429)=0,"",IF(G1429&lt;&gt;"",G1429,IF(B1429="","",IFERROR(IF(INDEX(pr_rate,MATCH(B1429,pr_code,0))="","",INDEX(pr_rate,MATCH(B1429,pr_code,0))),""))))</f>
        <v/>
      </c>
      <c r="L1429" s="65" t="str">
        <f>IF(COUNTA(A1429:G1429)=0,"",IF(AND(ISNUMBER(D1429),ISNUMBER(J1429)),ROUND(D1429*J1429*(1-N(F1429)),2),0))</f>
        <v/>
      </c>
      <c r="M1429" s="62" t="str">
        <f>IF(A1429="","",IFERROR(INDEX(fa_cname,MATCH(A1429,fa_num,0))&amp;"",""))</f>
        <v/>
      </c>
      <c r="N1429" s="59" t="str">
        <f>IF(COUNTA(A1429:G1429)=0,"",IF(A1429="","N° facture manquant",IF(ISNA(MATCH(A1429,fa_num,0)),"Facture inconnue",IF(AND(B1429&lt;&gt;"",ISNA(MATCH(B1429,pr_code,0))),"Article inconnu",IF(H1429="","Désignation manquante",IF(OR(NOT(ISNUMBER(D1429)),N(D1429)&lt;=0),"Quantité invalide",IF(J1429="","Prix manquant",IF(OR(NOT(ISNUMBER(J1429)),N(J1429)&lt;0),"Prix invalide",IF(OR(AND(F1429&lt;&gt;"",NOT(ISNUMBER(F1429))),N(F1429)&lt;0,N(F1429)&gt;1),"Remise invalide",IF(K1429="","Taux de TVA manquant",IF(NOT(ISNUMBER(K1429)),"Taux de TVA invalide",IF(COUNTIF(p_rates,K1429)=0,"Taux de TVA hors liste (Paramètres)",IF(N(O1429)&gt;25,"Au-delà de 25 lignes : non imprimée","OK")))))))))))))</f>
        <v/>
      </c>
      <c r="O1429" s="59" t="str">
        <f>IF(A1429="","",COUNTIF($A$6:A1429,A1429))</f>
        <v/>
      </c>
      <c r="P1429" s="62" t="str">
        <f>IF(A1429="","",A1429&amp;"|"&amp;O1429)</f>
        <v/>
      </c>
    </row>
    <row r="1430">
      <c r="A1430" s="60" t="n"/>
      <c r="B1430" s="63" t="n"/>
      <c r="C1430" s="63" t="n"/>
      <c r="D1430" s="67" t="n"/>
      <c r="E1430" s="68" t="n"/>
      <c r="F1430" s="69" t="n"/>
      <c r="G1430" s="70" t="n"/>
      <c r="H1430" s="62" t="str">
        <f>IF(COUNTA(A1430:G1430)=0,"",IF(C1430&lt;&gt;"",C1430,IF(B1430="","",IFERROR(INDEX(pr_des,MATCH(B1430,pr_code,0))&amp;"",""))))</f>
        <v/>
      </c>
      <c r="I1430" s="59" t="str">
        <f>IF(B1430="","",IFERROR(INDEX(pr_unit,MATCH(B1430,pr_code,0))&amp;"",""))</f>
        <v/>
      </c>
      <c r="J1430" s="65" t="str">
        <f>IF(COUNTA(A1430:G1430)=0,"",IF(E1430&lt;&gt;"",E1430,IF(B1430="","",IFERROR(IF(INDEX(pr_price,MATCH(B1430,pr_code,0))="","",INDEX(pr_price,MATCH(B1430,pr_code,0))),""))))</f>
        <v/>
      </c>
      <c r="K1430" s="71" t="str">
        <f>IF(COUNTA(A1430:G1430)=0,"",IF(G1430&lt;&gt;"",G1430,IF(B1430="","",IFERROR(IF(INDEX(pr_rate,MATCH(B1430,pr_code,0))="","",INDEX(pr_rate,MATCH(B1430,pr_code,0))),""))))</f>
        <v/>
      </c>
      <c r="L1430" s="65" t="str">
        <f>IF(COUNTA(A1430:G1430)=0,"",IF(AND(ISNUMBER(D1430),ISNUMBER(J1430)),ROUND(D1430*J1430*(1-N(F1430)),2),0))</f>
        <v/>
      </c>
      <c r="M1430" s="62" t="str">
        <f>IF(A1430="","",IFERROR(INDEX(fa_cname,MATCH(A1430,fa_num,0))&amp;"",""))</f>
        <v/>
      </c>
      <c r="N1430" s="59" t="str">
        <f>IF(COUNTA(A1430:G1430)=0,"",IF(A1430="","N° facture manquant",IF(ISNA(MATCH(A1430,fa_num,0)),"Facture inconnue",IF(AND(B1430&lt;&gt;"",ISNA(MATCH(B1430,pr_code,0))),"Article inconnu",IF(H1430="","Désignation manquante",IF(OR(NOT(ISNUMBER(D1430)),N(D1430)&lt;=0),"Quantité invalide",IF(J1430="","Prix manquant",IF(OR(NOT(ISNUMBER(J1430)),N(J1430)&lt;0),"Prix invalide",IF(OR(AND(F1430&lt;&gt;"",NOT(ISNUMBER(F1430))),N(F1430)&lt;0,N(F1430)&gt;1),"Remise invalide",IF(K1430="","Taux de TVA manquant",IF(NOT(ISNUMBER(K1430)),"Taux de TVA invalide",IF(COUNTIF(p_rates,K1430)=0,"Taux de TVA hors liste (Paramètres)",IF(N(O1430)&gt;25,"Au-delà de 25 lignes : non imprimée","OK")))))))))))))</f>
        <v/>
      </c>
      <c r="O1430" s="59" t="str">
        <f>IF(A1430="","",COUNTIF($A$6:A1430,A1430))</f>
        <v/>
      </c>
      <c r="P1430" s="62" t="str">
        <f>IF(A1430="","",A1430&amp;"|"&amp;O1430)</f>
        <v/>
      </c>
    </row>
    <row r="1431">
      <c r="A1431" s="60" t="n"/>
      <c r="B1431" s="63" t="n"/>
      <c r="C1431" s="63" t="n"/>
      <c r="D1431" s="67" t="n"/>
      <c r="E1431" s="68" t="n"/>
      <c r="F1431" s="69" t="n"/>
      <c r="G1431" s="70" t="n"/>
      <c r="H1431" s="62" t="str">
        <f>IF(COUNTA(A1431:G1431)=0,"",IF(C1431&lt;&gt;"",C1431,IF(B1431="","",IFERROR(INDEX(pr_des,MATCH(B1431,pr_code,0))&amp;"",""))))</f>
        <v/>
      </c>
      <c r="I1431" s="59" t="str">
        <f>IF(B1431="","",IFERROR(INDEX(pr_unit,MATCH(B1431,pr_code,0))&amp;"",""))</f>
        <v/>
      </c>
      <c r="J1431" s="65" t="str">
        <f>IF(COUNTA(A1431:G1431)=0,"",IF(E1431&lt;&gt;"",E1431,IF(B1431="","",IFERROR(IF(INDEX(pr_price,MATCH(B1431,pr_code,0))="","",INDEX(pr_price,MATCH(B1431,pr_code,0))),""))))</f>
        <v/>
      </c>
      <c r="K1431" s="71" t="str">
        <f>IF(COUNTA(A1431:G1431)=0,"",IF(G1431&lt;&gt;"",G1431,IF(B1431="","",IFERROR(IF(INDEX(pr_rate,MATCH(B1431,pr_code,0))="","",INDEX(pr_rate,MATCH(B1431,pr_code,0))),""))))</f>
        <v/>
      </c>
      <c r="L1431" s="65" t="str">
        <f>IF(COUNTA(A1431:G1431)=0,"",IF(AND(ISNUMBER(D1431),ISNUMBER(J1431)),ROUND(D1431*J1431*(1-N(F1431)),2),0))</f>
        <v/>
      </c>
      <c r="M1431" s="62" t="str">
        <f>IF(A1431="","",IFERROR(INDEX(fa_cname,MATCH(A1431,fa_num,0))&amp;"",""))</f>
        <v/>
      </c>
      <c r="N1431" s="59" t="str">
        <f>IF(COUNTA(A1431:G1431)=0,"",IF(A1431="","N° facture manquant",IF(ISNA(MATCH(A1431,fa_num,0)),"Facture inconnue",IF(AND(B1431&lt;&gt;"",ISNA(MATCH(B1431,pr_code,0))),"Article inconnu",IF(H1431="","Désignation manquante",IF(OR(NOT(ISNUMBER(D1431)),N(D1431)&lt;=0),"Quantité invalide",IF(J1431="","Prix manquant",IF(OR(NOT(ISNUMBER(J1431)),N(J1431)&lt;0),"Prix invalide",IF(OR(AND(F1431&lt;&gt;"",NOT(ISNUMBER(F1431))),N(F1431)&lt;0,N(F1431)&gt;1),"Remise invalide",IF(K1431="","Taux de TVA manquant",IF(NOT(ISNUMBER(K1431)),"Taux de TVA invalide",IF(COUNTIF(p_rates,K1431)=0,"Taux de TVA hors liste (Paramètres)",IF(N(O1431)&gt;25,"Au-delà de 25 lignes : non imprimée","OK")))))))))))))</f>
        <v/>
      </c>
      <c r="O1431" s="59" t="str">
        <f>IF(A1431="","",COUNTIF($A$6:A1431,A1431))</f>
        <v/>
      </c>
      <c r="P1431" s="62" t="str">
        <f>IF(A1431="","",A1431&amp;"|"&amp;O1431)</f>
        <v/>
      </c>
    </row>
    <row r="1432">
      <c r="A1432" s="60" t="n"/>
      <c r="B1432" s="63" t="n"/>
      <c r="C1432" s="63" t="n"/>
      <c r="D1432" s="67" t="n"/>
      <c r="E1432" s="68" t="n"/>
      <c r="F1432" s="69" t="n"/>
      <c r="G1432" s="70" t="n"/>
      <c r="H1432" s="62" t="str">
        <f>IF(COUNTA(A1432:G1432)=0,"",IF(C1432&lt;&gt;"",C1432,IF(B1432="","",IFERROR(INDEX(pr_des,MATCH(B1432,pr_code,0))&amp;"",""))))</f>
        <v/>
      </c>
      <c r="I1432" s="59" t="str">
        <f>IF(B1432="","",IFERROR(INDEX(pr_unit,MATCH(B1432,pr_code,0))&amp;"",""))</f>
        <v/>
      </c>
      <c r="J1432" s="65" t="str">
        <f>IF(COUNTA(A1432:G1432)=0,"",IF(E1432&lt;&gt;"",E1432,IF(B1432="","",IFERROR(IF(INDEX(pr_price,MATCH(B1432,pr_code,0))="","",INDEX(pr_price,MATCH(B1432,pr_code,0))),""))))</f>
        <v/>
      </c>
      <c r="K1432" s="71" t="str">
        <f>IF(COUNTA(A1432:G1432)=0,"",IF(G1432&lt;&gt;"",G1432,IF(B1432="","",IFERROR(IF(INDEX(pr_rate,MATCH(B1432,pr_code,0))="","",INDEX(pr_rate,MATCH(B1432,pr_code,0))),""))))</f>
        <v/>
      </c>
      <c r="L1432" s="65" t="str">
        <f>IF(COUNTA(A1432:G1432)=0,"",IF(AND(ISNUMBER(D1432),ISNUMBER(J1432)),ROUND(D1432*J1432*(1-N(F1432)),2),0))</f>
        <v/>
      </c>
      <c r="M1432" s="62" t="str">
        <f>IF(A1432="","",IFERROR(INDEX(fa_cname,MATCH(A1432,fa_num,0))&amp;"",""))</f>
        <v/>
      </c>
      <c r="N1432" s="59" t="str">
        <f>IF(COUNTA(A1432:G1432)=0,"",IF(A1432="","N° facture manquant",IF(ISNA(MATCH(A1432,fa_num,0)),"Facture inconnue",IF(AND(B1432&lt;&gt;"",ISNA(MATCH(B1432,pr_code,0))),"Article inconnu",IF(H1432="","Désignation manquante",IF(OR(NOT(ISNUMBER(D1432)),N(D1432)&lt;=0),"Quantité invalide",IF(J1432="","Prix manquant",IF(OR(NOT(ISNUMBER(J1432)),N(J1432)&lt;0),"Prix invalide",IF(OR(AND(F1432&lt;&gt;"",NOT(ISNUMBER(F1432))),N(F1432)&lt;0,N(F1432)&gt;1),"Remise invalide",IF(K1432="","Taux de TVA manquant",IF(NOT(ISNUMBER(K1432)),"Taux de TVA invalide",IF(COUNTIF(p_rates,K1432)=0,"Taux de TVA hors liste (Paramètres)",IF(N(O1432)&gt;25,"Au-delà de 25 lignes : non imprimée","OK")))))))))))))</f>
        <v/>
      </c>
      <c r="O1432" s="59" t="str">
        <f>IF(A1432="","",COUNTIF($A$6:A1432,A1432))</f>
        <v/>
      </c>
      <c r="P1432" s="62" t="str">
        <f>IF(A1432="","",A1432&amp;"|"&amp;O1432)</f>
        <v/>
      </c>
    </row>
    <row r="1433">
      <c r="A1433" s="60" t="n"/>
      <c r="B1433" s="63" t="n"/>
      <c r="C1433" s="63" t="n"/>
      <c r="D1433" s="67" t="n"/>
      <c r="E1433" s="68" t="n"/>
      <c r="F1433" s="69" t="n"/>
      <c r="G1433" s="70" t="n"/>
      <c r="H1433" s="62" t="str">
        <f>IF(COUNTA(A1433:G1433)=0,"",IF(C1433&lt;&gt;"",C1433,IF(B1433="","",IFERROR(INDEX(pr_des,MATCH(B1433,pr_code,0))&amp;"",""))))</f>
        <v/>
      </c>
      <c r="I1433" s="59" t="str">
        <f>IF(B1433="","",IFERROR(INDEX(pr_unit,MATCH(B1433,pr_code,0))&amp;"",""))</f>
        <v/>
      </c>
      <c r="J1433" s="65" t="str">
        <f>IF(COUNTA(A1433:G1433)=0,"",IF(E1433&lt;&gt;"",E1433,IF(B1433="","",IFERROR(IF(INDEX(pr_price,MATCH(B1433,pr_code,0))="","",INDEX(pr_price,MATCH(B1433,pr_code,0))),""))))</f>
        <v/>
      </c>
      <c r="K1433" s="71" t="str">
        <f>IF(COUNTA(A1433:G1433)=0,"",IF(G1433&lt;&gt;"",G1433,IF(B1433="","",IFERROR(IF(INDEX(pr_rate,MATCH(B1433,pr_code,0))="","",INDEX(pr_rate,MATCH(B1433,pr_code,0))),""))))</f>
        <v/>
      </c>
      <c r="L1433" s="65" t="str">
        <f>IF(COUNTA(A1433:G1433)=0,"",IF(AND(ISNUMBER(D1433),ISNUMBER(J1433)),ROUND(D1433*J1433*(1-N(F1433)),2),0))</f>
        <v/>
      </c>
      <c r="M1433" s="62" t="str">
        <f>IF(A1433="","",IFERROR(INDEX(fa_cname,MATCH(A1433,fa_num,0))&amp;"",""))</f>
        <v/>
      </c>
      <c r="N1433" s="59" t="str">
        <f>IF(COUNTA(A1433:G1433)=0,"",IF(A1433="","N° facture manquant",IF(ISNA(MATCH(A1433,fa_num,0)),"Facture inconnue",IF(AND(B1433&lt;&gt;"",ISNA(MATCH(B1433,pr_code,0))),"Article inconnu",IF(H1433="","Désignation manquante",IF(OR(NOT(ISNUMBER(D1433)),N(D1433)&lt;=0),"Quantité invalide",IF(J1433="","Prix manquant",IF(OR(NOT(ISNUMBER(J1433)),N(J1433)&lt;0),"Prix invalide",IF(OR(AND(F1433&lt;&gt;"",NOT(ISNUMBER(F1433))),N(F1433)&lt;0,N(F1433)&gt;1),"Remise invalide",IF(K1433="","Taux de TVA manquant",IF(NOT(ISNUMBER(K1433)),"Taux de TVA invalide",IF(COUNTIF(p_rates,K1433)=0,"Taux de TVA hors liste (Paramètres)",IF(N(O1433)&gt;25,"Au-delà de 25 lignes : non imprimée","OK")))))))))))))</f>
        <v/>
      </c>
      <c r="O1433" s="59" t="str">
        <f>IF(A1433="","",COUNTIF($A$6:A1433,A1433))</f>
        <v/>
      </c>
      <c r="P1433" s="62" t="str">
        <f>IF(A1433="","",A1433&amp;"|"&amp;O1433)</f>
        <v/>
      </c>
    </row>
    <row r="1434">
      <c r="A1434" s="60" t="n"/>
      <c r="B1434" s="63" t="n"/>
      <c r="C1434" s="63" t="n"/>
      <c r="D1434" s="67" t="n"/>
      <c r="E1434" s="68" t="n"/>
      <c r="F1434" s="69" t="n"/>
      <c r="G1434" s="70" t="n"/>
      <c r="H1434" s="62" t="str">
        <f>IF(COUNTA(A1434:G1434)=0,"",IF(C1434&lt;&gt;"",C1434,IF(B1434="","",IFERROR(INDEX(pr_des,MATCH(B1434,pr_code,0))&amp;"",""))))</f>
        <v/>
      </c>
      <c r="I1434" s="59" t="str">
        <f>IF(B1434="","",IFERROR(INDEX(pr_unit,MATCH(B1434,pr_code,0))&amp;"",""))</f>
        <v/>
      </c>
      <c r="J1434" s="65" t="str">
        <f>IF(COUNTA(A1434:G1434)=0,"",IF(E1434&lt;&gt;"",E1434,IF(B1434="","",IFERROR(IF(INDEX(pr_price,MATCH(B1434,pr_code,0))="","",INDEX(pr_price,MATCH(B1434,pr_code,0))),""))))</f>
        <v/>
      </c>
      <c r="K1434" s="71" t="str">
        <f>IF(COUNTA(A1434:G1434)=0,"",IF(G1434&lt;&gt;"",G1434,IF(B1434="","",IFERROR(IF(INDEX(pr_rate,MATCH(B1434,pr_code,0))="","",INDEX(pr_rate,MATCH(B1434,pr_code,0))),""))))</f>
        <v/>
      </c>
      <c r="L1434" s="65" t="str">
        <f>IF(COUNTA(A1434:G1434)=0,"",IF(AND(ISNUMBER(D1434),ISNUMBER(J1434)),ROUND(D1434*J1434*(1-N(F1434)),2),0))</f>
        <v/>
      </c>
      <c r="M1434" s="62" t="str">
        <f>IF(A1434="","",IFERROR(INDEX(fa_cname,MATCH(A1434,fa_num,0))&amp;"",""))</f>
        <v/>
      </c>
      <c r="N1434" s="59" t="str">
        <f>IF(COUNTA(A1434:G1434)=0,"",IF(A1434="","N° facture manquant",IF(ISNA(MATCH(A1434,fa_num,0)),"Facture inconnue",IF(AND(B1434&lt;&gt;"",ISNA(MATCH(B1434,pr_code,0))),"Article inconnu",IF(H1434="","Désignation manquante",IF(OR(NOT(ISNUMBER(D1434)),N(D1434)&lt;=0),"Quantité invalide",IF(J1434="","Prix manquant",IF(OR(NOT(ISNUMBER(J1434)),N(J1434)&lt;0),"Prix invalide",IF(OR(AND(F1434&lt;&gt;"",NOT(ISNUMBER(F1434))),N(F1434)&lt;0,N(F1434)&gt;1),"Remise invalide",IF(K1434="","Taux de TVA manquant",IF(NOT(ISNUMBER(K1434)),"Taux de TVA invalide",IF(COUNTIF(p_rates,K1434)=0,"Taux de TVA hors liste (Paramètres)",IF(N(O1434)&gt;25,"Au-delà de 25 lignes : non imprimée","OK")))))))))))))</f>
        <v/>
      </c>
      <c r="O1434" s="59" t="str">
        <f>IF(A1434="","",COUNTIF($A$6:A1434,A1434))</f>
        <v/>
      </c>
      <c r="P1434" s="62" t="str">
        <f>IF(A1434="","",A1434&amp;"|"&amp;O1434)</f>
        <v/>
      </c>
    </row>
    <row r="1435">
      <c r="A1435" s="60" t="n"/>
      <c r="B1435" s="63" t="n"/>
      <c r="C1435" s="63" t="n"/>
      <c r="D1435" s="67" t="n"/>
      <c r="E1435" s="68" t="n"/>
      <c r="F1435" s="69" t="n"/>
      <c r="G1435" s="70" t="n"/>
      <c r="H1435" s="62" t="str">
        <f>IF(COUNTA(A1435:G1435)=0,"",IF(C1435&lt;&gt;"",C1435,IF(B1435="","",IFERROR(INDEX(pr_des,MATCH(B1435,pr_code,0))&amp;"",""))))</f>
        <v/>
      </c>
      <c r="I1435" s="59" t="str">
        <f>IF(B1435="","",IFERROR(INDEX(pr_unit,MATCH(B1435,pr_code,0))&amp;"",""))</f>
        <v/>
      </c>
      <c r="J1435" s="65" t="str">
        <f>IF(COUNTA(A1435:G1435)=0,"",IF(E1435&lt;&gt;"",E1435,IF(B1435="","",IFERROR(IF(INDEX(pr_price,MATCH(B1435,pr_code,0))="","",INDEX(pr_price,MATCH(B1435,pr_code,0))),""))))</f>
        <v/>
      </c>
      <c r="K1435" s="71" t="str">
        <f>IF(COUNTA(A1435:G1435)=0,"",IF(G1435&lt;&gt;"",G1435,IF(B1435="","",IFERROR(IF(INDEX(pr_rate,MATCH(B1435,pr_code,0))="","",INDEX(pr_rate,MATCH(B1435,pr_code,0))),""))))</f>
        <v/>
      </c>
      <c r="L1435" s="65" t="str">
        <f>IF(COUNTA(A1435:G1435)=0,"",IF(AND(ISNUMBER(D1435),ISNUMBER(J1435)),ROUND(D1435*J1435*(1-N(F1435)),2),0))</f>
        <v/>
      </c>
      <c r="M1435" s="62" t="str">
        <f>IF(A1435="","",IFERROR(INDEX(fa_cname,MATCH(A1435,fa_num,0))&amp;"",""))</f>
        <v/>
      </c>
      <c r="N1435" s="59" t="str">
        <f>IF(COUNTA(A1435:G1435)=0,"",IF(A1435="","N° facture manquant",IF(ISNA(MATCH(A1435,fa_num,0)),"Facture inconnue",IF(AND(B1435&lt;&gt;"",ISNA(MATCH(B1435,pr_code,0))),"Article inconnu",IF(H1435="","Désignation manquante",IF(OR(NOT(ISNUMBER(D1435)),N(D1435)&lt;=0),"Quantité invalide",IF(J1435="","Prix manquant",IF(OR(NOT(ISNUMBER(J1435)),N(J1435)&lt;0),"Prix invalide",IF(OR(AND(F1435&lt;&gt;"",NOT(ISNUMBER(F1435))),N(F1435)&lt;0,N(F1435)&gt;1),"Remise invalide",IF(K1435="","Taux de TVA manquant",IF(NOT(ISNUMBER(K1435)),"Taux de TVA invalide",IF(COUNTIF(p_rates,K1435)=0,"Taux de TVA hors liste (Paramètres)",IF(N(O1435)&gt;25,"Au-delà de 25 lignes : non imprimée","OK")))))))))))))</f>
        <v/>
      </c>
      <c r="O1435" s="59" t="str">
        <f>IF(A1435="","",COUNTIF($A$6:A1435,A1435))</f>
        <v/>
      </c>
      <c r="P1435" s="62" t="str">
        <f>IF(A1435="","",A1435&amp;"|"&amp;O1435)</f>
        <v/>
      </c>
    </row>
    <row r="1436">
      <c r="A1436" s="60" t="n"/>
      <c r="B1436" s="63" t="n"/>
      <c r="C1436" s="63" t="n"/>
      <c r="D1436" s="67" t="n"/>
      <c r="E1436" s="68" t="n"/>
      <c r="F1436" s="69" t="n"/>
      <c r="G1436" s="70" t="n"/>
      <c r="H1436" s="62" t="str">
        <f>IF(COUNTA(A1436:G1436)=0,"",IF(C1436&lt;&gt;"",C1436,IF(B1436="","",IFERROR(INDEX(pr_des,MATCH(B1436,pr_code,0))&amp;"",""))))</f>
        <v/>
      </c>
      <c r="I1436" s="59" t="str">
        <f>IF(B1436="","",IFERROR(INDEX(pr_unit,MATCH(B1436,pr_code,0))&amp;"",""))</f>
        <v/>
      </c>
      <c r="J1436" s="65" t="str">
        <f>IF(COUNTA(A1436:G1436)=0,"",IF(E1436&lt;&gt;"",E1436,IF(B1436="","",IFERROR(IF(INDEX(pr_price,MATCH(B1436,pr_code,0))="","",INDEX(pr_price,MATCH(B1436,pr_code,0))),""))))</f>
        <v/>
      </c>
      <c r="K1436" s="71" t="str">
        <f>IF(COUNTA(A1436:G1436)=0,"",IF(G1436&lt;&gt;"",G1436,IF(B1436="","",IFERROR(IF(INDEX(pr_rate,MATCH(B1436,pr_code,0))="","",INDEX(pr_rate,MATCH(B1436,pr_code,0))),""))))</f>
        <v/>
      </c>
      <c r="L1436" s="65" t="str">
        <f>IF(COUNTA(A1436:G1436)=0,"",IF(AND(ISNUMBER(D1436),ISNUMBER(J1436)),ROUND(D1436*J1436*(1-N(F1436)),2),0))</f>
        <v/>
      </c>
      <c r="M1436" s="62" t="str">
        <f>IF(A1436="","",IFERROR(INDEX(fa_cname,MATCH(A1436,fa_num,0))&amp;"",""))</f>
        <v/>
      </c>
      <c r="N1436" s="59" t="str">
        <f>IF(COUNTA(A1436:G1436)=0,"",IF(A1436="","N° facture manquant",IF(ISNA(MATCH(A1436,fa_num,0)),"Facture inconnue",IF(AND(B1436&lt;&gt;"",ISNA(MATCH(B1436,pr_code,0))),"Article inconnu",IF(H1436="","Désignation manquante",IF(OR(NOT(ISNUMBER(D1436)),N(D1436)&lt;=0),"Quantité invalide",IF(J1436="","Prix manquant",IF(OR(NOT(ISNUMBER(J1436)),N(J1436)&lt;0),"Prix invalide",IF(OR(AND(F1436&lt;&gt;"",NOT(ISNUMBER(F1436))),N(F1436)&lt;0,N(F1436)&gt;1),"Remise invalide",IF(K1436="","Taux de TVA manquant",IF(NOT(ISNUMBER(K1436)),"Taux de TVA invalide",IF(COUNTIF(p_rates,K1436)=0,"Taux de TVA hors liste (Paramètres)",IF(N(O1436)&gt;25,"Au-delà de 25 lignes : non imprimée","OK")))))))))))))</f>
        <v/>
      </c>
      <c r="O1436" s="59" t="str">
        <f>IF(A1436="","",COUNTIF($A$6:A1436,A1436))</f>
        <v/>
      </c>
      <c r="P1436" s="62" t="str">
        <f>IF(A1436="","",A1436&amp;"|"&amp;O1436)</f>
        <v/>
      </c>
    </row>
    <row r="1437">
      <c r="A1437" s="60" t="n"/>
      <c r="B1437" s="63" t="n"/>
      <c r="C1437" s="63" t="n"/>
      <c r="D1437" s="67" t="n"/>
      <c r="E1437" s="68" t="n"/>
      <c r="F1437" s="69" t="n"/>
      <c r="G1437" s="70" t="n"/>
      <c r="H1437" s="62" t="str">
        <f>IF(COUNTA(A1437:G1437)=0,"",IF(C1437&lt;&gt;"",C1437,IF(B1437="","",IFERROR(INDEX(pr_des,MATCH(B1437,pr_code,0))&amp;"",""))))</f>
        <v/>
      </c>
      <c r="I1437" s="59" t="str">
        <f>IF(B1437="","",IFERROR(INDEX(pr_unit,MATCH(B1437,pr_code,0))&amp;"",""))</f>
        <v/>
      </c>
      <c r="J1437" s="65" t="str">
        <f>IF(COUNTA(A1437:G1437)=0,"",IF(E1437&lt;&gt;"",E1437,IF(B1437="","",IFERROR(IF(INDEX(pr_price,MATCH(B1437,pr_code,0))="","",INDEX(pr_price,MATCH(B1437,pr_code,0))),""))))</f>
        <v/>
      </c>
      <c r="K1437" s="71" t="str">
        <f>IF(COUNTA(A1437:G1437)=0,"",IF(G1437&lt;&gt;"",G1437,IF(B1437="","",IFERROR(IF(INDEX(pr_rate,MATCH(B1437,pr_code,0))="","",INDEX(pr_rate,MATCH(B1437,pr_code,0))),""))))</f>
        <v/>
      </c>
      <c r="L1437" s="65" t="str">
        <f>IF(COUNTA(A1437:G1437)=0,"",IF(AND(ISNUMBER(D1437),ISNUMBER(J1437)),ROUND(D1437*J1437*(1-N(F1437)),2),0))</f>
        <v/>
      </c>
      <c r="M1437" s="62" t="str">
        <f>IF(A1437="","",IFERROR(INDEX(fa_cname,MATCH(A1437,fa_num,0))&amp;"",""))</f>
        <v/>
      </c>
      <c r="N1437" s="59" t="str">
        <f>IF(COUNTA(A1437:G1437)=0,"",IF(A1437="","N° facture manquant",IF(ISNA(MATCH(A1437,fa_num,0)),"Facture inconnue",IF(AND(B1437&lt;&gt;"",ISNA(MATCH(B1437,pr_code,0))),"Article inconnu",IF(H1437="","Désignation manquante",IF(OR(NOT(ISNUMBER(D1437)),N(D1437)&lt;=0),"Quantité invalide",IF(J1437="","Prix manquant",IF(OR(NOT(ISNUMBER(J1437)),N(J1437)&lt;0),"Prix invalide",IF(OR(AND(F1437&lt;&gt;"",NOT(ISNUMBER(F1437))),N(F1437)&lt;0,N(F1437)&gt;1),"Remise invalide",IF(K1437="","Taux de TVA manquant",IF(NOT(ISNUMBER(K1437)),"Taux de TVA invalide",IF(COUNTIF(p_rates,K1437)=0,"Taux de TVA hors liste (Paramètres)",IF(N(O1437)&gt;25,"Au-delà de 25 lignes : non imprimée","OK")))))))))))))</f>
        <v/>
      </c>
      <c r="O1437" s="59" t="str">
        <f>IF(A1437="","",COUNTIF($A$6:A1437,A1437))</f>
        <v/>
      </c>
      <c r="P1437" s="62" t="str">
        <f>IF(A1437="","",A1437&amp;"|"&amp;O1437)</f>
        <v/>
      </c>
    </row>
    <row r="1438">
      <c r="A1438" s="60" t="n"/>
      <c r="B1438" s="63" t="n"/>
      <c r="C1438" s="63" t="n"/>
      <c r="D1438" s="67" t="n"/>
      <c r="E1438" s="68" t="n"/>
      <c r="F1438" s="69" t="n"/>
      <c r="G1438" s="70" t="n"/>
      <c r="H1438" s="62" t="str">
        <f>IF(COUNTA(A1438:G1438)=0,"",IF(C1438&lt;&gt;"",C1438,IF(B1438="","",IFERROR(INDEX(pr_des,MATCH(B1438,pr_code,0))&amp;"",""))))</f>
        <v/>
      </c>
      <c r="I1438" s="59" t="str">
        <f>IF(B1438="","",IFERROR(INDEX(pr_unit,MATCH(B1438,pr_code,0))&amp;"",""))</f>
        <v/>
      </c>
      <c r="J1438" s="65" t="str">
        <f>IF(COUNTA(A1438:G1438)=0,"",IF(E1438&lt;&gt;"",E1438,IF(B1438="","",IFERROR(IF(INDEX(pr_price,MATCH(B1438,pr_code,0))="","",INDEX(pr_price,MATCH(B1438,pr_code,0))),""))))</f>
        <v/>
      </c>
      <c r="K1438" s="71" t="str">
        <f>IF(COUNTA(A1438:G1438)=0,"",IF(G1438&lt;&gt;"",G1438,IF(B1438="","",IFERROR(IF(INDEX(pr_rate,MATCH(B1438,pr_code,0))="","",INDEX(pr_rate,MATCH(B1438,pr_code,0))),""))))</f>
        <v/>
      </c>
      <c r="L1438" s="65" t="str">
        <f>IF(COUNTA(A1438:G1438)=0,"",IF(AND(ISNUMBER(D1438),ISNUMBER(J1438)),ROUND(D1438*J1438*(1-N(F1438)),2),0))</f>
        <v/>
      </c>
      <c r="M1438" s="62" t="str">
        <f>IF(A1438="","",IFERROR(INDEX(fa_cname,MATCH(A1438,fa_num,0))&amp;"",""))</f>
        <v/>
      </c>
      <c r="N1438" s="59" t="str">
        <f>IF(COUNTA(A1438:G1438)=0,"",IF(A1438="","N° facture manquant",IF(ISNA(MATCH(A1438,fa_num,0)),"Facture inconnue",IF(AND(B1438&lt;&gt;"",ISNA(MATCH(B1438,pr_code,0))),"Article inconnu",IF(H1438="","Désignation manquante",IF(OR(NOT(ISNUMBER(D1438)),N(D1438)&lt;=0),"Quantité invalide",IF(J1438="","Prix manquant",IF(OR(NOT(ISNUMBER(J1438)),N(J1438)&lt;0),"Prix invalide",IF(OR(AND(F1438&lt;&gt;"",NOT(ISNUMBER(F1438))),N(F1438)&lt;0,N(F1438)&gt;1),"Remise invalide",IF(K1438="","Taux de TVA manquant",IF(NOT(ISNUMBER(K1438)),"Taux de TVA invalide",IF(COUNTIF(p_rates,K1438)=0,"Taux de TVA hors liste (Paramètres)",IF(N(O1438)&gt;25,"Au-delà de 25 lignes : non imprimée","OK")))))))))))))</f>
        <v/>
      </c>
      <c r="O1438" s="59" t="str">
        <f>IF(A1438="","",COUNTIF($A$6:A1438,A1438))</f>
        <v/>
      </c>
      <c r="P1438" s="62" t="str">
        <f>IF(A1438="","",A1438&amp;"|"&amp;O1438)</f>
        <v/>
      </c>
    </row>
    <row r="1439">
      <c r="A1439" s="60" t="n"/>
      <c r="B1439" s="63" t="n"/>
      <c r="C1439" s="63" t="n"/>
      <c r="D1439" s="67" t="n"/>
      <c r="E1439" s="68" t="n"/>
      <c r="F1439" s="69" t="n"/>
      <c r="G1439" s="70" t="n"/>
      <c r="H1439" s="62" t="str">
        <f>IF(COUNTA(A1439:G1439)=0,"",IF(C1439&lt;&gt;"",C1439,IF(B1439="","",IFERROR(INDEX(pr_des,MATCH(B1439,pr_code,0))&amp;"",""))))</f>
        <v/>
      </c>
      <c r="I1439" s="59" t="str">
        <f>IF(B1439="","",IFERROR(INDEX(pr_unit,MATCH(B1439,pr_code,0))&amp;"",""))</f>
        <v/>
      </c>
      <c r="J1439" s="65" t="str">
        <f>IF(COUNTA(A1439:G1439)=0,"",IF(E1439&lt;&gt;"",E1439,IF(B1439="","",IFERROR(IF(INDEX(pr_price,MATCH(B1439,pr_code,0))="","",INDEX(pr_price,MATCH(B1439,pr_code,0))),""))))</f>
        <v/>
      </c>
      <c r="K1439" s="71" t="str">
        <f>IF(COUNTA(A1439:G1439)=0,"",IF(G1439&lt;&gt;"",G1439,IF(B1439="","",IFERROR(IF(INDEX(pr_rate,MATCH(B1439,pr_code,0))="","",INDEX(pr_rate,MATCH(B1439,pr_code,0))),""))))</f>
        <v/>
      </c>
      <c r="L1439" s="65" t="str">
        <f>IF(COUNTA(A1439:G1439)=0,"",IF(AND(ISNUMBER(D1439),ISNUMBER(J1439)),ROUND(D1439*J1439*(1-N(F1439)),2),0))</f>
        <v/>
      </c>
      <c r="M1439" s="62" t="str">
        <f>IF(A1439="","",IFERROR(INDEX(fa_cname,MATCH(A1439,fa_num,0))&amp;"",""))</f>
        <v/>
      </c>
      <c r="N1439" s="59" t="str">
        <f>IF(COUNTA(A1439:G1439)=0,"",IF(A1439="","N° facture manquant",IF(ISNA(MATCH(A1439,fa_num,0)),"Facture inconnue",IF(AND(B1439&lt;&gt;"",ISNA(MATCH(B1439,pr_code,0))),"Article inconnu",IF(H1439="","Désignation manquante",IF(OR(NOT(ISNUMBER(D1439)),N(D1439)&lt;=0),"Quantité invalide",IF(J1439="","Prix manquant",IF(OR(NOT(ISNUMBER(J1439)),N(J1439)&lt;0),"Prix invalide",IF(OR(AND(F1439&lt;&gt;"",NOT(ISNUMBER(F1439))),N(F1439)&lt;0,N(F1439)&gt;1),"Remise invalide",IF(K1439="","Taux de TVA manquant",IF(NOT(ISNUMBER(K1439)),"Taux de TVA invalide",IF(COUNTIF(p_rates,K1439)=0,"Taux de TVA hors liste (Paramètres)",IF(N(O1439)&gt;25,"Au-delà de 25 lignes : non imprimée","OK")))))))))))))</f>
        <v/>
      </c>
      <c r="O1439" s="59" t="str">
        <f>IF(A1439="","",COUNTIF($A$6:A1439,A1439))</f>
        <v/>
      </c>
      <c r="P1439" s="62" t="str">
        <f>IF(A1439="","",A1439&amp;"|"&amp;O1439)</f>
        <v/>
      </c>
    </row>
    <row r="1440">
      <c r="A1440" s="60" t="n"/>
      <c r="B1440" s="63" t="n"/>
      <c r="C1440" s="63" t="n"/>
      <c r="D1440" s="67" t="n"/>
      <c r="E1440" s="68" t="n"/>
      <c r="F1440" s="69" t="n"/>
      <c r="G1440" s="70" t="n"/>
      <c r="H1440" s="62" t="str">
        <f>IF(COUNTA(A1440:G1440)=0,"",IF(C1440&lt;&gt;"",C1440,IF(B1440="","",IFERROR(INDEX(pr_des,MATCH(B1440,pr_code,0))&amp;"",""))))</f>
        <v/>
      </c>
      <c r="I1440" s="59" t="str">
        <f>IF(B1440="","",IFERROR(INDEX(pr_unit,MATCH(B1440,pr_code,0))&amp;"",""))</f>
        <v/>
      </c>
      <c r="J1440" s="65" t="str">
        <f>IF(COUNTA(A1440:G1440)=0,"",IF(E1440&lt;&gt;"",E1440,IF(B1440="","",IFERROR(IF(INDEX(pr_price,MATCH(B1440,pr_code,0))="","",INDEX(pr_price,MATCH(B1440,pr_code,0))),""))))</f>
        <v/>
      </c>
      <c r="K1440" s="71" t="str">
        <f>IF(COUNTA(A1440:G1440)=0,"",IF(G1440&lt;&gt;"",G1440,IF(B1440="","",IFERROR(IF(INDEX(pr_rate,MATCH(B1440,pr_code,0))="","",INDEX(pr_rate,MATCH(B1440,pr_code,0))),""))))</f>
        <v/>
      </c>
      <c r="L1440" s="65" t="str">
        <f>IF(COUNTA(A1440:G1440)=0,"",IF(AND(ISNUMBER(D1440),ISNUMBER(J1440)),ROUND(D1440*J1440*(1-N(F1440)),2),0))</f>
        <v/>
      </c>
      <c r="M1440" s="62" t="str">
        <f>IF(A1440="","",IFERROR(INDEX(fa_cname,MATCH(A1440,fa_num,0))&amp;"",""))</f>
        <v/>
      </c>
      <c r="N1440" s="59" t="str">
        <f>IF(COUNTA(A1440:G1440)=0,"",IF(A1440="","N° facture manquant",IF(ISNA(MATCH(A1440,fa_num,0)),"Facture inconnue",IF(AND(B1440&lt;&gt;"",ISNA(MATCH(B1440,pr_code,0))),"Article inconnu",IF(H1440="","Désignation manquante",IF(OR(NOT(ISNUMBER(D1440)),N(D1440)&lt;=0),"Quantité invalide",IF(J1440="","Prix manquant",IF(OR(NOT(ISNUMBER(J1440)),N(J1440)&lt;0),"Prix invalide",IF(OR(AND(F1440&lt;&gt;"",NOT(ISNUMBER(F1440))),N(F1440)&lt;0,N(F1440)&gt;1),"Remise invalide",IF(K1440="","Taux de TVA manquant",IF(NOT(ISNUMBER(K1440)),"Taux de TVA invalide",IF(COUNTIF(p_rates,K1440)=0,"Taux de TVA hors liste (Paramètres)",IF(N(O1440)&gt;25,"Au-delà de 25 lignes : non imprimée","OK")))))))))))))</f>
        <v/>
      </c>
      <c r="O1440" s="59" t="str">
        <f>IF(A1440="","",COUNTIF($A$6:A1440,A1440))</f>
        <v/>
      </c>
      <c r="P1440" s="62" t="str">
        <f>IF(A1440="","",A1440&amp;"|"&amp;O1440)</f>
        <v/>
      </c>
    </row>
    <row r="1441">
      <c r="A1441" s="60" t="n"/>
      <c r="B1441" s="63" t="n"/>
      <c r="C1441" s="63" t="n"/>
      <c r="D1441" s="67" t="n"/>
      <c r="E1441" s="68" t="n"/>
      <c r="F1441" s="69" t="n"/>
      <c r="G1441" s="70" t="n"/>
      <c r="H1441" s="62" t="str">
        <f>IF(COUNTA(A1441:G1441)=0,"",IF(C1441&lt;&gt;"",C1441,IF(B1441="","",IFERROR(INDEX(pr_des,MATCH(B1441,pr_code,0))&amp;"",""))))</f>
        <v/>
      </c>
      <c r="I1441" s="59" t="str">
        <f>IF(B1441="","",IFERROR(INDEX(pr_unit,MATCH(B1441,pr_code,0))&amp;"",""))</f>
        <v/>
      </c>
      <c r="J1441" s="65" t="str">
        <f>IF(COUNTA(A1441:G1441)=0,"",IF(E1441&lt;&gt;"",E1441,IF(B1441="","",IFERROR(IF(INDEX(pr_price,MATCH(B1441,pr_code,0))="","",INDEX(pr_price,MATCH(B1441,pr_code,0))),""))))</f>
        <v/>
      </c>
      <c r="K1441" s="71" t="str">
        <f>IF(COUNTA(A1441:G1441)=0,"",IF(G1441&lt;&gt;"",G1441,IF(B1441="","",IFERROR(IF(INDEX(pr_rate,MATCH(B1441,pr_code,0))="","",INDEX(pr_rate,MATCH(B1441,pr_code,0))),""))))</f>
        <v/>
      </c>
      <c r="L1441" s="65" t="str">
        <f>IF(COUNTA(A1441:G1441)=0,"",IF(AND(ISNUMBER(D1441),ISNUMBER(J1441)),ROUND(D1441*J1441*(1-N(F1441)),2),0))</f>
        <v/>
      </c>
      <c r="M1441" s="62" t="str">
        <f>IF(A1441="","",IFERROR(INDEX(fa_cname,MATCH(A1441,fa_num,0))&amp;"",""))</f>
        <v/>
      </c>
      <c r="N1441" s="59" t="str">
        <f>IF(COUNTA(A1441:G1441)=0,"",IF(A1441="","N° facture manquant",IF(ISNA(MATCH(A1441,fa_num,0)),"Facture inconnue",IF(AND(B1441&lt;&gt;"",ISNA(MATCH(B1441,pr_code,0))),"Article inconnu",IF(H1441="","Désignation manquante",IF(OR(NOT(ISNUMBER(D1441)),N(D1441)&lt;=0),"Quantité invalide",IF(J1441="","Prix manquant",IF(OR(NOT(ISNUMBER(J1441)),N(J1441)&lt;0),"Prix invalide",IF(OR(AND(F1441&lt;&gt;"",NOT(ISNUMBER(F1441))),N(F1441)&lt;0,N(F1441)&gt;1),"Remise invalide",IF(K1441="","Taux de TVA manquant",IF(NOT(ISNUMBER(K1441)),"Taux de TVA invalide",IF(COUNTIF(p_rates,K1441)=0,"Taux de TVA hors liste (Paramètres)",IF(N(O1441)&gt;25,"Au-delà de 25 lignes : non imprimée","OK")))))))))))))</f>
        <v/>
      </c>
      <c r="O1441" s="59" t="str">
        <f>IF(A1441="","",COUNTIF($A$6:A1441,A1441))</f>
        <v/>
      </c>
      <c r="P1441" s="62" t="str">
        <f>IF(A1441="","",A1441&amp;"|"&amp;O1441)</f>
        <v/>
      </c>
    </row>
    <row r="1442">
      <c r="A1442" s="60" t="n"/>
      <c r="B1442" s="63" t="n"/>
      <c r="C1442" s="63" t="n"/>
      <c r="D1442" s="67" t="n"/>
      <c r="E1442" s="68" t="n"/>
      <c r="F1442" s="69" t="n"/>
      <c r="G1442" s="70" t="n"/>
      <c r="H1442" s="62" t="str">
        <f>IF(COUNTA(A1442:G1442)=0,"",IF(C1442&lt;&gt;"",C1442,IF(B1442="","",IFERROR(INDEX(pr_des,MATCH(B1442,pr_code,0))&amp;"",""))))</f>
        <v/>
      </c>
      <c r="I1442" s="59" t="str">
        <f>IF(B1442="","",IFERROR(INDEX(pr_unit,MATCH(B1442,pr_code,0))&amp;"",""))</f>
        <v/>
      </c>
      <c r="J1442" s="65" t="str">
        <f>IF(COUNTA(A1442:G1442)=0,"",IF(E1442&lt;&gt;"",E1442,IF(B1442="","",IFERROR(IF(INDEX(pr_price,MATCH(B1442,pr_code,0))="","",INDEX(pr_price,MATCH(B1442,pr_code,0))),""))))</f>
        <v/>
      </c>
      <c r="K1442" s="71" t="str">
        <f>IF(COUNTA(A1442:G1442)=0,"",IF(G1442&lt;&gt;"",G1442,IF(B1442="","",IFERROR(IF(INDEX(pr_rate,MATCH(B1442,pr_code,0))="","",INDEX(pr_rate,MATCH(B1442,pr_code,0))),""))))</f>
        <v/>
      </c>
      <c r="L1442" s="65" t="str">
        <f>IF(COUNTA(A1442:G1442)=0,"",IF(AND(ISNUMBER(D1442),ISNUMBER(J1442)),ROUND(D1442*J1442*(1-N(F1442)),2),0))</f>
        <v/>
      </c>
      <c r="M1442" s="62" t="str">
        <f>IF(A1442="","",IFERROR(INDEX(fa_cname,MATCH(A1442,fa_num,0))&amp;"",""))</f>
        <v/>
      </c>
      <c r="N1442" s="59" t="str">
        <f>IF(COUNTA(A1442:G1442)=0,"",IF(A1442="","N° facture manquant",IF(ISNA(MATCH(A1442,fa_num,0)),"Facture inconnue",IF(AND(B1442&lt;&gt;"",ISNA(MATCH(B1442,pr_code,0))),"Article inconnu",IF(H1442="","Désignation manquante",IF(OR(NOT(ISNUMBER(D1442)),N(D1442)&lt;=0),"Quantité invalide",IF(J1442="","Prix manquant",IF(OR(NOT(ISNUMBER(J1442)),N(J1442)&lt;0),"Prix invalide",IF(OR(AND(F1442&lt;&gt;"",NOT(ISNUMBER(F1442))),N(F1442)&lt;0,N(F1442)&gt;1),"Remise invalide",IF(K1442="","Taux de TVA manquant",IF(NOT(ISNUMBER(K1442)),"Taux de TVA invalide",IF(COUNTIF(p_rates,K1442)=0,"Taux de TVA hors liste (Paramètres)",IF(N(O1442)&gt;25,"Au-delà de 25 lignes : non imprimée","OK")))))))))))))</f>
        <v/>
      </c>
      <c r="O1442" s="59" t="str">
        <f>IF(A1442="","",COUNTIF($A$6:A1442,A1442))</f>
        <v/>
      </c>
      <c r="P1442" s="62" t="str">
        <f>IF(A1442="","",A1442&amp;"|"&amp;O1442)</f>
        <v/>
      </c>
    </row>
    <row r="1443">
      <c r="A1443" s="60" t="n"/>
      <c r="B1443" s="63" t="n"/>
      <c r="C1443" s="63" t="n"/>
      <c r="D1443" s="67" t="n"/>
      <c r="E1443" s="68" t="n"/>
      <c r="F1443" s="69" t="n"/>
      <c r="G1443" s="70" t="n"/>
      <c r="H1443" s="62" t="str">
        <f>IF(COUNTA(A1443:G1443)=0,"",IF(C1443&lt;&gt;"",C1443,IF(B1443="","",IFERROR(INDEX(pr_des,MATCH(B1443,pr_code,0))&amp;"",""))))</f>
        <v/>
      </c>
      <c r="I1443" s="59" t="str">
        <f>IF(B1443="","",IFERROR(INDEX(pr_unit,MATCH(B1443,pr_code,0))&amp;"",""))</f>
        <v/>
      </c>
      <c r="J1443" s="65" t="str">
        <f>IF(COUNTA(A1443:G1443)=0,"",IF(E1443&lt;&gt;"",E1443,IF(B1443="","",IFERROR(IF(INDEX(pr_price,MATCH(B1443,pr_code,0))="","",INDEX(pr_price,MATCH(B1443,pr_code,0))),""))))</f>
        <v/>
      </c>
      <c r="K1443" s="71" t="str">
        <f>IF(COUNTA(A1443:G1443)=0,"",IF(G1443&lt;&gt;"",G1443,IF(B1443="","",IFERROR(IF(INDEX(pr_rate,MATCH(B1443,pr_code,0))="","",INDEX(pr_rate,MATCH(B1443,pr_code,0))),""))))</f>
        <v/>
      </c>
      <c r="L1443" s="65" t="str">
        <f>IF(COUNTA(A1443:G1443)=0,"",IF(AND(ISNUMBER(D1443),ISNUMBER(J1443)),ROUND(D1443*J1443*(1-N(F1443)),2),0))</f>
        <v/>
      </c>
      <c r="M1443" s="62" t="str">
        <f>IF(A1443="","",IFERROR(INDEX(fa_cname,MATCH(A1443,fa_num,0))&amp;"",""))</f>
        <v/>
      </c>
      <c r="N1443" s="59" t="str">
        <f>IF(COUNTA(A1443:G1443)=0,"",IF(A1443="","N° facture manquant",IF(ISNA(MATCH(A1443,fa_num,0)),"Facture inconnue",IF(AND(B1443&lt;&gt;"",ISNA(MATCH(B1443,pr_code,0))),"Article inconnu",IF(H1443="","Désignation manquante",IF(OR(NOT(ISNUMBER(D1443)),N(D1443)&lt;=0),"Quantité invalide",IF(J1443="","Prix manquant",IF(OR(NOT(ISNUMBER(J1443)),N(J1443)&lt;0),"Prix invalide",IF(OR(AND(F1443&lt;&gt;"",NOT(ISNUMBER(F1443))),N(F1443)&lt;0,N(F1443)&gt;1),"Remise invalide",IF(K1443="","Taux de TVA manquant",IF(NOT(ISNUMBER(K1443)),"Taux de TVA invalide",IF(COUNTIF(p_rates,K1443)=0,"Taux de TVA hors liste (Paramètres)",IF(N(O1443)&gt;25,"Au-delà de 25 lignes : non imprimée","OK")))))))))))))</f>
        <v/>
      </c>
      <c r="O1443" s="59" t="str">
        <f>IF(A1443="","",COUNTIF($A$6:A1443,A1443))</f>
        <v/>
      </c>
      <c r="P1443" s="62" t="str">
        <f>IF(A1443="","",A1443&amp;"|"&amp;O1443)</f>
        <v/>
      </c>
    </row>
    <row r="1444">
      <c r="A1444" s="60" t="n"/>
      <c r="B1444" s="63" t="n"/>
      <c r="C1444" s="63" t="n"/>
      <c r="D1444" s="67" t="n"/>
      <c r="E1444" s="68" t="n"/>
      <c r="F1444" s="69" t="n"/>
      <c r="G1444" s="70" t="n"/>
      <c r="H1444" s="62" t="str">
        <f>IF(COUNTA(A1444:G1444)=0,"",IF(C1444&lt;&gt;"",C1444,IF(B1444="","",IFERROR(INDEX(pr_des,MATCH(B1444,pr_code,0))&amp;"",""))))</f>
        <v/>
      </c>
      <c r="I1444" s="59" t="str">
        <f>IF(B1444="","",IFERROR(INDEX(pr_unit,MATCH(B1444,pr_code,0))&amp;"",""))</f>
        <v/>
      </c>
      <c r="J1444" s="65" t="str">
        <f>IF(COUNTA(A1444:G1444)=0,"",IF(E1444&lt;&gt;"",E1444,IF(B1444="","",IFERROR(IF(INDEX(pr_price,MATCH(B1444,pr_code,0))="","",INDEX(pr_price,MATCH(B1444,pr_code,0))),""))))</f>
        <v/>
      </c>
      <c r="K1444" s="71" t="str">
        <f>IF(COUNTA(A1444:G1444)=0,"",IF(G1444&lt;&gt;"",G1444,IF(B1444="","",IFERROR(IF(INDEX(pr_rate,MATCH(B1444,pr_code,0))="","",INDEX(pr_rate,MATCH(B1444,pr_code,0))),""))))</f>
        <v/>
      </c>
      <c r="L1444" s="65" t="str">
        <f>IF(COUNTA(A1444:G1444)=0,"",IF(AND(ISNUMBER(D1444),ISNUMBER(J1444)),ROUND(D1444*J1444*(1-N(F1444)),2),0))</f>
        <v/>
      </c>
      <c r="M1444" s="62" t="str">
        <f>IF(A1444="","",IFERROR(INDEX(fa_cname,MATCH(A1444,fa_num,0))&amp;"",""))</f>
        <v/>
      </c>
      <c r="N1444" s="59" t="str">
        <f>IF(COUNTA(A1444:G1444)=0,"",IF(A1444="","N° facture manquant",IF(ISNA(MATCH(A1444,fa_num,0)),"Facture inconnue",IF(AND(B1444&lt;&gt;"",ISNA(MATCH(B1444,pr_code,0))),"Article inconnu",IF(H1444="","Désignation manquante",IF(OR(NOT(ISNUMBER(D1444)),N(D1444)&lt;=0),"Quantité invalide",IF(J1444="","Prix manquant",IF(OR(NOT(ISNUMBER(J1444)),N(J1444)&lt;0),"Prix invalide",IF(OR(AND(F1444&lt;&gt;"",NOT(ISNUMBER(F1444))),N(F1444)&lt;0,N(F1444)&gt;1),"Remise invalide",IF(K1444="","Taux de TVA manquant",IF(NOT(ISNUMBER(K1444)),"Taux de TVA invalide",IF(COUNTIF(p_rates,K1444)=0,"Taux de TVA hors liste (Paramètres)",IF(N(O1444)&gt;25,"Au-delà de 25 lignes : non imprimée","OK")))))))))))))</f>
        <v/>
      </c>
      <c r="O1444" s="59" t="str">
        <f>IF(A1444="","",COUNTIF($A$6:A1444,A1444))</f>
        <v/>
      </c>
      <c r="P1444" s="62" t="str">
        <f>IF(A1444="","",A1444&amp;"|"&amp;O1444)</f>
        <v/>
      </c>
    </row>
    <row r="1445">
      <c r="A1445" s="60" t="n"/>
      <c r="B1445" s="63" t="n"/>
      <c r="C1445" s="63" t="n"/>
      <c r="D1445" s="67" t="n"/>
      <c r="E1445" s="68" t="n"/>
      <c r="F1445" s="69" t="n"/>
      <c r="G1445" s="70" t="n"/>
      <c r="H1445" s="62" t="str">
        <f>IF(COUNTA(A1445:G1445)=0,"",IF(C1445&lt;&gt;"",C1445,IF(B1445="","",IFERROR(INDEX(pr_des,MATCH(B1445,pr_code,0))&amp;"",""))))</f>
        <v/>
      </c>
      <c r="I1445" s="59" t="str">
        <f>IF(B1445="","",IFERROR(INDEX(pr_unit,MATCH(B1445,pr_code,0))&amp;"",""))</f>
        <v/>
      </c>
      <c r="J1445" s="65" t="str">
        <f>IF(COUNTA(A1445:G1445)=0,"",IF(E1445&lt;&gt;"",E1445,IF(B1445="","",IFERROR(IF(INDEX(pr_price,MATCH(B1445,pr_code,0))="","",INDEX(pr_price,MATCH(B1445,pr_code,0))),""))))</f>
        <v/>
      </c>
      <c r="K1445" s="71" t="str">
        <f>IF(COUNTA(A1445:G1445)=0,"",IF(G1445&lt;&gt;"",G1445,IF(B1445="","",IFERROR(IF(INDEX(pr_rate,MATCH(B1445,pr_code,0))="","",INDEX(pr_rate,MATCH(B1445,pr_code,0))),""))))</f>
        <v/>
      </c>
      <c r="L1445" s="65" t="str">
        <f>IF(COUNTA(A1445:G1445)=0,"",IF(AND(ISNUMBER(D1445),ISNUMBER(J1445)),ROUND(D1445*J1445*(1-N(F1445)),2),0))</f>
        <v/>
      </c>
      <c r="M1445" s="62" t="str">
        <f>IF(A1445="","",IFERROR(INDEX(fa_cname,MATCH(A1445,fa_num,0))&amp;"",""))</f>
        <v/>
      </c>
      <c r="N1445" s="59" t="str">
        <f>IF(COUNTA(A1445:G1445)=0,"",IF(A1445="","N° facture manquant",IF(ISNA(MATCH(A1445,fa_num,0)),"Facture inconnue",IF(AND(B1445&lt;&gt;"",ISNA(MATCH(B1445,pr_code,0))),"Article inconnu",IF(H1445="","Désignation manquante",IF(OR(NOT(ISNUMBER(D1445)),N(D1445)&lt;=0),"Quantité invalide",IF(J1445="","Prix manquant",IF(OR(NOT(ISNUMBER(J1445)),N(J1445)&lt;0),"Prix invalide",IF(OR(AND(F1445&lt;&gt;"",NOT(ISNUMBER(F1445))),N(F1445)&lt;0,N(F1445)&gt;1),"Remise invalide",IF(K1445="","Taux de TVA manquant",IF(NOT(ISNUMBER(K1445)),"Taux de TVA invalide",IF(COUNTIF(p_rates,K1445)=0,"Taux de TVA hors liste (Paramètres)",IF(N(O1445)&gt;25,"Au-delà de 25 lignes : non imprimée","OK")))))))))))))</f>
        <v/>
      </c>
      <c r="O1445" s="59" t="str">
        <f>IF(A1445="","",COUNTIF($A$6:A1445,A1445))</f>
        <v/>
      </c>
      <c r="P1445" s="62" t="str">
        <f>IF(A1445="","",A1445&amp;"|"&amp;O1445)</f>
        <v/>
      </c>
    </row>
    <row r="1446">
      <c r="A1446" s="60" t="n"/>
      <c r="B1446" s="63" t="n"/>
      <c r="C1446" s="63" t="n"/>
      <c r="D1446" s="67" t="n"/>
      <c r="E1446" s="68" t="n"/>
      <c r="F1446" s="69" t="n"/>
      <c r="G1446" s="70" t="n"/>
      <c r="H1446" s="62" t="str">
        <f>IF(COUNTA(A1446:G1446)=0,"",IF(C1446&lt;&gt;"",C1446,IF(B1446="","",IFERROR(INDEX(pr_des,MATCH(B1446,pr_code,0))&amp;"",""))))</f>
        <v/>
      </c>
      <c r="I1446" s="59" t="str">
        <f>IF(B1446="","",IFERROR(INDEX(pr_unit,MATCH(B1446,pr_code,0))&amp;"",""))</f>
        <v/>
      </c>
      <c r="J1446" s="65" t="str">
        <f>IF(COUNTA(A1446:G1446)=0,"",IF(E1446&lt;&gt;"",E1446,IF(B1446="","",IFERROR(IF(INDEX(pr_price,MATCH(B1446,pr_code,0))="","",INDEX(pr_price,MATCH(B1446,pr_code,0))),""))))</f>
        <v/>
      </c>
      <c r="K1446" s="71" t="str">
        <f>IF(COUNTA(A1446:G1446)=0,"",IF(G1446&lt;&gt;"",G1446,IF(B1446="","",IFERROR(IF(INDEX(pr_rate,MATCH(B1446,pr_code,0))="","",INDEX(pr_rate,MATCH(B1446,pr_code,0))),""))))</f>
        <v/>
      </c>
      <c r="L1446" s="65" t="str">
        <f>IF(COUNTA(A1446:G1446)=0,"",IF(AND(ISNUMBER(D1446),ISNUMBER(J1446)),ROUND(D1446*J1446*(1-N(F1446)),2),0))</f>
        <v/>
      </c>
      <c r="M1446" s="62" t="str">
        <f>IF(A1446="","",IFERROR(INDEX(fa_cname,MATCH(A1446,fa_num,0))&amp;"",""))</f>
        <v/>
      </c>
      <c r="N1446" s="59" t="str">
        <f>IF(COUNTA(A1446:G1446)=0,"",IF(A1446="","N° facture manquant",IF(ISNA(MATCH(A1446,fa_num,0)),"Facture inconnue",IF(AND(B1446&lt;&gt;"",ISNA(MATCH(B1446,pr_code,0))),"Article inconnu",IF(H1446="","Désignation manquante",IF(OR(NOT(ISNUMBER(D1446)),N(D1446)&lt;=0),"Quantité invalide",IF(J1446="","Prix manquant",IF(OR(NOT(ISNUMBER(J1446)),N(J1446)&lt;0),"Prix invalide",IF(OR(AND(F1446&lt;&gt;"",NOT(ISNUMBER(F1446))),N(F1446)&lt;0,N(F1446)&gt;1),"Remise invalide",IF(K1446="","Taux de TVA manquant",IF(NOT(ISNUMBER(K1446)),"Taux de TVA invalide",IF(COUNTIF(p_rates,K1446)=0,"Taux de TVA hors liste (Paramètres)",IF(N(O1446)&gt;25,"Au-delà de 25 lignes : non imprimée","OK")))))))))))))</f>
        <v/>
      </c>
      <c r="O1446" s="59" t="str">
        <f>IF(A1446="","",COUNTIF($A$6:A1446,A1446))</f>
        <v/>
      </c>
      <c r="P1446" s="62" t="str">
        <f>IF(A1446="","",A1446&amp;"|"&amp;O1446)</f>
        <v/>
      </c>
    </row>
    <row r="1447">
      <c r="A1447" s="60" t="n"/>
      <c r="B1447" s="63" t="n"/>
      <c r="C1447" s="63" t="n"/>
      <c r="D1447" s="67" t="n"/>
      <c r="E1447" s="68" t="n"/>
      <c r="F1447" s="69" t="n"/>
      <c r="G1447" s="70" t="n"/>
      <c r="H1447" s="62" t="str">
        <f>IF(COUNTA(A1447:G1447)=0,"",IF(C1447&lt;&gt;"",C1447,IF(B1447="","",IFERROR(INDEX(pr_des,MATCH(B1447,pr_code,0))&amp;"",""))))</f>
        <v/>
      </c>
      <c r="I1447" s="59" t="str">
        <f>IF(B1447="","",IFERROR(INDEX(pr_unit,MATCH(B1447,pr_code,0))&amp;"",""))</f>
        <v/>
      </c>
      <c r="J1447" s="65" t="str">
        <f>IF(COUNTA(A1447:G1447)=0,"",IF(E1447&lt;&gt;"",E1447,IF(B1447="","",IFERROR(IF(INDEX(pr_price,MATCH(B1447,pr_code,0))="","",INDEX(pr_price,MATCH(B1447,pr_code,0))),""))))</f>
        <v/>
      </c>
      <c r="K1447" s="71" t="str">
        <f>IF(COUNTA(A1447:G1447)=0,"",IF(G1447&lt;&gt;"",G1447,IF(B1447="","",IFERROR(IF(INDEX(pr_rate,MATCH(B1447,pr_code,0))="","",INDEX(pr_rate,MATCH(B1447,pr_code,0))),""))))</f>
        <v/>
      </c>
      <c r="L1447" s="65" t="str">
        <f>IF(COUNTA(A1447:G1447)=0,"",IF(AND(ISNUMBER(D1447),ISNUMBER(J1447)),ROUND(D1447*J1447*(1-N(F1447)),2),0))</f>
        <v/>
      </c>
      <c r="M1447" s="62" t="str">
        <f>IF(A1447="","",IFERROR(INDEX(fa_cname,MATCH(A1447,fa_num,0))&amp;"",""))</f>
        <v/>
      </c>
      <c r="N1447" s="59" t="str">
        <f>IF(COUNTA(A1447:G1447)=0,"",IF(A1447="","N° facture manquant",IF(ISNA(MATCH(A1447,fa_num,0)),"Facture inconnue",IF(AND(B1447&lt;&gt;"",ISNA(MATCH(B1447,pr_code,0))),"Article inconnu",IF(H1447="","Désignation manquante",IF(OR(NOT(ISNUMBER(D1447)),N(D1447)&lt;=0),"Quantité invalide",IF(J1447="","Prix manquant",IF(OR(NOT(ISNUMBER(J1447)),N(J1447)&lt;0),"Prix invalide",IF(OR(AND(F1447&lt;&gt;"",NOT(ISNUMBER(F1447))),N(F1447)&lt;0,N(F1447)&gt;1),"Remise invalide",IF(K1447="","Taux de TVA manquant",IF(NOT(ISNUMBER(K1447)),"Taux de TVA invalide",IF(COUNTIF(p_rates,K1447)=0,"Taux de TVA hors liste (Paramètres)",IF(N(O1447)&gt;25,"Au-delà de 25 lignes : non imprimée","OK")))))))))))))</f>
        <v/>
      </c>
      <c r="O1447" s="59" t="str">
        <f>IF(A1447="","",COUNTIF($A$6:A1447,A1447))</f>
        <v/>
      </c>
      <c r="P1447" s="62" t="str">
        <f>IF(A1447="","",A1447&amp;"|"&amp;O1447)</f>
        <v/>
      </c>
    </row>
    <row r="1448">
      <c r="A1448" s="60" t="n"/>
      <c r="B1448" s="63" t="n"/>
      <c r="C1448" s="63" t="n"/>
      <c r="D1448" s="67" t="n"/>
      <c r="E1448" s="68" t="n"/>
      <c r="F1448" s="69" t="n"/>
      <c r="G1448" s="70" t="n"/>
      <c r="H1448" s="62" t="str">
        <f>IF(COUNTA(A1448:G1448)=0,"",IF(C1448&lt;&gt;"",C1448,IF(B1448="","",IFERROR(INDEX(pr_des,MATCH(B1448,pr_code,0))&amp;"",""))))</f>
        <v/>
      </c>
      <c r="I1448" s="59" t="str">
        <f>IF(B1448="","",IFERROR(INDEX(pr_unit,MATCH(B1448,pr_code,0))&amp;"",""))</f>
        <v/>
      </c>
      <c r="J1448" s="65" t="str">
        <f>IF(COUNTA(A1448:G1448)=0,"",IF(E1448&lt;&gt;"",E1448,IF(B1448="","",IFERROR(IF(INDEX(pr_price,MATCH(B1448,pr_code,0))="","",INDEX(pr_price,MATCH(B1448,pr_code,0))),""))))</f>
        <v/>
      </c>
      <c r="K1448" s="71" t="str">
        <f>IF(COUNTA(A1448:G1448)=0,"",IF(G1448&lt;&gt;"",G1448,IF(B1448="","",IFERROR(IF(INDEX(pr_rate,MATCH(B1448,pr_code,0))="","",INDEX(pr_rate,MATCH(B1448,pr_code,0))),""))))</f>
        <v/>
      </c>
      <c r="L1448" s="65" t="str">
        <f>IF(COUNTA(A1448:G1448)=0,"",IF(AND(ISNUMBER(D1448),ISNUMBER(J1448)),ROUND(D1448*J1448*(1-N(F1448)),2),0))</f>
        <v/>
      </c>
      <c r="M1448" s="62" t="str">
        <f>IF(A1448="","",IFERROR(INDEX(fa_cname,MATCH(A1448,fa_num,0))&amp;"",""))</f>
        <v/>
      </c>
      <c r="N1448" s="59" t="str">
        <f>IF(COUNTA(A1448:G1448)=0,"",IF(A1448="","N° facture manquant",IF(ISNA(MATCH(A1448,fa_num,0)),"Facture inconnue",IF(AND(B1448&lt;&gt;"",ISNA(MATCH(B1448,pr_code,0))),"Article inconnu",IF(H1448="","Désignation manquante",IF(OR(NOT(ISNUMBER(D1448)),N(D1448)&lt;=0),"Quantité invalide",IF(J1448="","Prix manquant",IF(OR(NOT(ISNUMBER(J1448)),N(J1448)&lt;0),"Prix invalide",IF(OR(AND(F1448&lt;&gt;"",NOT(ISNUMBER(F1448))),N(F1448)&lt;0,N(F1448)&gt;1),"Remise invalide",IF(K1448="","Taux de TVA manquant",IF(NOT(ISNUMBER(K1448)),"Taux de TVA invalide",IF(COUNTIF(p_rates,K1448)=0,"Taux de TVA hors liste (Paramètres)",IF(N(O1448)&gt;25,"Au-delà de 25 lignes : non imprimée","OK")))))))))))))</f>
        <v/>
      </c>
      <c r="O1448" s="59" t="str">
        <f>IF(A1448="","",COUNTIF($A$6:A1448,A1448))</f>
        <v/>
      </c>
      <c r="P1448" s="62" t="str">
        <f>IF(A1448="","",A1448&amp;"|"&amp;O1448)</f>
        <v/>
      </c>
    </row>
    <row r="1449">
      <c r="A1449" s="60" t="n"/>
      <c r="B1449" s="63" t="n"/>
      <c r="C1449" s="63" t="n"/>
      <c r="D1449" s="67" t="n"/>
      <c r="E1449" s="68" t="n"/>
      <c r="F1449" s="69" t="n"/>
      <c r="G1449" s="70" t="n"/>
      <c r="H1449" s="62" t="str">
        <f>IF(COUNTA(A1449:G1449)=0,"",IF(C1449&lt;&gt;"",C1449,IF(B1449="","",IFERROR(INDEX(pr_des,MATCH(B1449,pr_code,0))&amp;"",""))))</f>
        <v/>
      </c>
      <c r="I1449" s="59" t="str">
        <f>IF(B1449="","",IFERROR(INDEX(pr_unit,MATCH(B1449,pr_code,0))&amp;"",""))</f>
        <v/>
      </c>
      <c r="J1449" s="65" t="str">
        <f>IF(COUNTA(A1449:G1449)=0,"",IF(E1449&lt;&gt;"",E1449,IF(B1449="","",IFERROR(IF(INDEX(pr_price,MATCH(B1449,pr_code,0))="","",INDEX(pr_price,MATCH(B1449,pr_code,0))),""))))</f>
        <v/>
      </c>
      <c r="K1449" s="71" t="str">
        <f>IF(COUNTA(A1449:G1449)=0,"",IF(G1449&lt;&gt;"",G1449,IF(B1449="","",IFERROR(IF(INDEX(pr_rate,MATCH(B1449,pr_code,0))="","",INDEX(pr_rate,MATCH(B1449,pr_code,0))),""))))</f>
        <v/>
      </c>
      <c r="L1449" s="65" t="str">
        <f>IF(COUNTA(A1449:G1449)=0,"",IF(AND(ISNUMBER(D1449),ISNUMBER(J1449)),ROUND(D1449*J1449*(1-N(F1449)),2),0))</f>
        <v/>
      </c>
      <c r="M1449" s="62" t="str">
        <f>IF(A1449="","",IFERROR(INDEX(fa_cname,MATCH(A1449,fa_num,0))&amp;"",""))</f>
        <v/>
      </c>
      <c r="N1449" s="59" t="str">
        <f>IF(COUNTA(A1449:G1449)=0,"",IF(A1449="","N° facture manquant",IF(ISNA(MATCH(A1449,fa_num,0)),"Facture inconnue",IF(AND(B1449&lt;&gt;"",ISNA(MATCH(B1449,pr_code,0))),"Article inconnu",IF(H1449="","Désignation manquante",IF(OR(NOT(ISNUMBER(D1449)),N(D1449)&lt;=0),"Quantité invalide",IF(J1449="","Prix manquant",IF(OR(NOT(ISNUMBER(J1449)),N(J1449)&lt;0),"Prix invalide",IF(OR(AND(F1449&lt;&gt;"",NOT(ISNUMBER(F1449))),N(F1449)&lt;0,N(F1449)&gt;1),"Remise invalide",IF(K1449="","Taux de TVA manquant",IF(NOT(ISNUMBER(K1449)),"Taux de TVA invalide",IF(COUNTIF(p_rates,K1449)=0,"Taux de TVA hors liste (Paramètres)",IF(N(O1449)&gt;25,"Au-delà de 25 lignes : non imprimée","OK")))))))))))))</f>
        <v/>
      </c>
      <c r="O1449" s="59" t="str">
        <f>IF(A1449="","",COUNTIF($A$6:A1449,A1449))</f>
        <v/>
      </c>
      <c r="P1449" s="62" t="str">
        <f>IF(A1449="","",A1449&amp;"|"&amp;O1449)</f>
        <v/>
      </c>
    </row>
    <row r="1450">
      <c r="A1450" s="60" t="n"/>
      <c r="B1450" s="63" t="n"/>
      <c r="C1450" s="63" t="n"/>
      <c r="D1450" s="67" t="n"/>
      <c r="E1450" s="68" t="n"/>
      <c r="F1450" s="69" t="n"/>
      <c r="G1450" s="70" t="n"/>
      <c r="H1450" s="62" t="str">
        <f>IF(COUNTA(A1450:G1450)=0,"",IF(C1450&lt;&gt;"",C1450,IF(B1450="","",IFERROR(INDEX(pr_des,MATCH(B1450,pr_code,0))&amp;"",""))))</f>
        <v/>
      </c>
      <c r="I1450" s="59" t="str">
        <f>IF(B1450="","",IFERROR(INDEX(pr_unit,MATCH(B1450,pr_code,0))&amp;"",""))</f>
        <v/>
      </c>
      <c r="J1450" s="65" t="str">
        <f>IF(COUNTA(A1450:G1450)=0,"",IF(E1450&lt;&gt;"",E1450,IF(B1450="","",IFERROR(IF(INDEX(pr_price,MATCH(B1450,pr_code,0))="","",INDEX(pr_price,MATCH(B1450,pr_code,0))),""))))</f>
        <v/>
      </c>
      <c r="K1450" s="71" t="str">
        <f>IF(COUNTA(A1450:G1450)=0,"",IF(G1450&lt;&gt;"",G1450,IF(B1450="","",IFERROR(IF(INDEX(pr_rate,MATCH(B1450,pr_code,0))="","",INDEX(pr_rate,MATCH(B1450,pr_code,0))),""))))</f>
        <v/>
      </c>
      <c r="L1450" s="65" t="str">
        <f>IF(COUNTA(A1450:G1450)=0,"",IF(AND(ISNUMBER(D1450),ISNUMBER(J1450)),ROUND(D1450*J1450*(1-N(F1450)),2),0))</f>
        <v/>
      </c>
      <c r="M1450" s="62" t="str">
        <f>IF(A1450="","",IFERROR(INDEX(fa_cname,MATCH(A1450,fa_num,0))&amp;"",""))</f>
        <v/>
      </c>
      <c r="N1450" s="59" t="str">
        <f>IF(COUNTA(A1450:G1450)=0,"",IF(A1450="","N° facture manquant",IF(ISNA(MATCH(A1450,fa_num,0)),"Facture inconnue",IF(AND(B1450&lt;&gt;"",ISNA(MATCH(B1450,pr_code,0))),"Article inconnu",IF(H1450="","Désignation manquante",IF(OR(NOT(ISNUMBER(D1450)),N(D1450)&lt;=0),"Quantité invalide",IF(J1450="","Prix manquant",IF(OR(NOT(ISNUMBER(J1450)),N(J1450)&lt;0),"Prix invalide",IF(OR(AND(F1450&lt;&gt;"",NOT(ISNUMBER(F1450))),N(F1450)&lt;0,N(F1450)&gt;1),"Remise invalide",IF(K1450="","Taux de TVA manquant",IF(NOT(ISNUMBER(K1450)),"Taux de TVA invalide",IF(COUNTIF(p_rates,K1450)=0,"Taux de TVA hors liste (Paramètres)",IF(N(O1450)&gt;25,"Au-delà de 25 lignes : non imprimée","OK")))))))))))))</f>
        <v/>
      </c>
      <c r="O1450" s="59" t="str">
        <f>IF(A1450="","",COUNTIF($A$6:A1450,A1450))</f>
        <v/>
      </c>
      <c r="P1450" s="62" t="str">
        <f>IF(A1450="","",A1450&amp;"|"&amp;O1450)</f>
        <v/>
      </c>
    </row>
    <row r="1451">
      <c r="A1451" s="60" t="n"/>
      <c r="B1451" s="63" t="n"/>
      <c r="C1451" s="63" t="n"/>
      <c r="D1451" s="67" t="n"/>
      <c r="E1451" s="68" t="n"/>
      <c r="F1451" s="69" t="n"/>
      <c r="G1451" s="70" t="n"/>
      <c r="H1451" s="62" t="str">
        <f>IF(COUNTA(A1451:G1451)=0,"",IF(C1451&lt;&gt;"",C1451,IF(B1451="","",IFERROR(INDEX(pr_des,MATCH(B1451,pr_code,0))&amp;"",""))))</f>
        <v/>
      </c>
      <c r="I1451" s="59" t="str">
        <f>IF(B1451="","",IFERROR(INDEX(pr_unit,MATCH(B1451,pr_code,0))&amp;"",""))</f>
        <v/>
      </c>
      <c r="J1451" s="65" t="str">
        <f>IF(COUNTA(A1451:G1451)=0,"",IF(E1451&lt;&gt;"",E1451,IF(B1451="","",IFERROR(IF(INDEX(pr_price,MATCH(B1451,pr_code,0))="","",INDEX(pr_price,MATCH(B1451,pr_code,0))),""))))</f>
        <v/>
      </c>
      <c r="K1451" s="71" t="str">
        <f>IF(COUNTA(A1451:G1451)=0,"",IF(G1451&lt;&gt;"",G1451,IF(B1451="","",IFERROR(IF(INDEX(pr_rate,MATCH(B1451,pr_code,0))="","",INDEX(pr_rate,MATCH(B1451,pr_code,0))),""))))</f>
        <v/>
      </c>
      <c r="L1451" s="65" t="str">
        <f>IF(COUNTA(A1451:G1451)=0,"",IF(AND(ISNUMBER(D1451),ISNUMBER(J1451)),ROUND(D1451*J1451*(1-N(F1451)),2),0))</f>
        <v/>
      </c>
      <c r="M1451" s="62" t="str">
        <f>IF(A1451="","",IFERROR(INDEX(fa_cname,MATCH(A1451,fa_num,0))&amp;"",""))</f>
        <v/>
      </c>
      <c r="N1451" s="59" t="str">
        <f>IF(COUNTA(A1451:G1451)=0,"",IF(A1451="","N° facture manquant",IF(ISNA(MATCH(A1451,fa_num,0)),"Facture inconnue",IF(AND(B1451&lt;&gt;"",ISNA(MATCH(B1451,pr_code,0))),"Article inconnu",IF(H1451="","Désignation manquante",IF(OR(NOT(ISNUMBER(D1451)),N(D1451)&lt;=0),"Quantité invalide",IF(J1451="","Prix manquant",IF(OR(NOT(ISNUMBER(J1451)),N(J1451)&lt;0),"Prix invalide",IF(OR(AND(F1451&lt;&gt;"",NOT(ISNUMBER(F1451))),N(F1451)&lt;0,N(F1451)&gt;1),"Remise invalide",IF(K1451="","Taux de TVA manquant",IF(NOT(ISNUMBER(K1451)),"Taux de TVA invalide",IF(COUNTIF(p_rates,K1451)=0,"Taux de TVA hors liste (Paramètres)",IF(N(O1451)&gt;25,"Au-delà de 25 lignes : non imprimée","OK")))))))))))))</f>
        <v/>
      </c>
      <c r="O1451" s="59" t="str">
        <f>IF(A1451="","",COUNTIF($A$6:A1451,A1451))</f>
        <v/>
      </c>
      <c r="P1451" s="62" t="str">
        <f>IF(A1451="","",A1451&amp;"|"&amp;O1451)</f>
        <v/>
      </c>
    </row>
    <row r="1452">
      <c r="A1452" s="60" t="n"/>
      <c r="B1452" s="63" t="n"/>
      <c r="C1452" s="63" t="n"/>
      <c r="D1452" s="67" t="n"/>
      <c r="E1452" s="68" t="n"/>
      <c r="F1452" s="69" t="n"/>
      <c r="G1452" s="70" t="n"/>
      <c r="H1452" s="62" t="str">
        <f>IF(COUNTA(A1452:G1452)=0,"",IF(C1452&lt;&gt;"",C1452,IF(B1452="","",IFERROR(INDEX(pr_des,MATCH(B1452,pr_code,0))&amp;"",""))))</f>
        <v/>
      </c>
      <c r="I1452" s="59" t="str">
        <f>IF(B1452="","",IFERROR(INDEX(pr_unit,MATCH(B1452,pr_code,0))&amp;"",""))</f>
        <v/>
      </c>
      <c r="J1452" s="65" t="str">
        <f>IF(COUNTA(A1452:G1452)=0,"",IF(E1452&lt;&gt;"",E1452,IF(B1452="","",IFERROR(IF(INDEX(pr_price,MATCH(B1452,pr_code,0))="","",INDEX(pr_price,MATCH(B1452,pr_code,0))),""))))</f>
        <v/>
      </c>
      <c r="K1452" s="71" t="str">
        <f>IF(COUNTA(A1452:G1452)=0,"",IF(G1452&lt;&gt;"",G1452,IF(B1452="","",IFERROR(IF(INDEX(pr_rate,MATCH(B1452,pr_code,0))="","",INDEX(pr_rate,MATCH(B1452,pr_code,0))),""))))</f>
        <v/>
      </c>
      <c r="L1452" s="65" t="str">
        <f>IF(COUNTA(A1452:G1452)=0,"",IF(AND(ISNUMBER(D1452),ISNUMBER(J1452)),ROUND(D1452*J1452*(1-N(F1452)),2),0))</f>
        <v/>
      </c>
      <c r="M1452" s="62" t="str">
        <f>IF(A1452="","",IFERROR(INDEX(fa_cname,MATCH(A1452,fa_num,0))&amp;"",""))</f>
        <v/>
      </c>
      <c r="N1452" s="59" t="str">
        <f>IF(COUNTA(A1452:G1452)=0,"",IF(A1452="","N° facture manquant",IF(ISNA(MATCH(A1452,fa_num,0)),"Facture inconnue",IF(AND(B1452&lt;&gt;"",ISNA(MATCH(B1452,pr_code,0))),"Article inconnu",IF(H1452="","Désignation manquante",IF(OR(NOT(ISNUMBER(D1452)),N(D1452)&lt;=0),"Quantité invalide",IF(J1452="","Prix manquant",IF(OR(NOT(ISNUMBER(J1452)),N(J1452)&lt;0),"Prix invalide",IF(OR(AND(F1452&lt;&gt;"",NOT(ISNUMBER(F1452))),N(F1452)&lt;0,N(F1452)&gt;1),"Remise invalide",IF(K1452="","Taux de TVA manquant",IF(NOT(ISNUMBER(K1452)),"Taux de TVA invalide",IF(COUNTIF(p_rates,K1452)=0,"Taux de TVA hors liste (Paramètres)",IF(N(O1452)&gt;25,"Au-delà de 25 lignes : non imprimée","OK")))))))))))))</f>
        <v/>
      </c>
      <c r="O1452" s="59" t="str">
        <f>IF(A1452="","",COUNTIF($A$6:A1452,A1452))</f>
        <v/>
      </c>
      <c r="P1452" s="62" t="str">
        <f>IF(A1452="","",A1452&amp;"|"&amp;O1452)</f>
        <v/>
      </c>
    </row>
    <row r="1453">
      <c r="A1453" s="60" t="n"/>
      <c r="B1453" s="63" t="n"/>
      <c r="C1453" s="63" t="n"/>
      <c r="D1453" s="67" t="n"/>
      <c r="E1453" s="68" t="n"/>
      <c r="F1453" s="69" t="n"/>
      <c r="G1453" s="70" t="n"/>
      <c r="H1453" s="62" t="str">
        <f>IF(COUNTA(A1453:G1453)=0,"",IF(C1453&lt;&gt;"",C1453,IF(B1453="","",IFERROR(INDEX(pr_des,MATCH(B1453,pr_code,0))&amp;"",""))))</f>
        <v/>
      </c>
      <c r="I1453" s="59" t="str">
        <f>IF(B1453="","",IFERROR(INDEX(pr_unit,MATCH(B1453,pr_code,0))&amp;"",""))</f>
        <v/>
      </c>
      <c r="J1453" s="65" t="str">
        <f>IF(COUNTA(A1453:G1453)=0,"",IF(E1453&lt;&gt;"",E1453,IF(B1453="","",IFERROR(IF(INDEX(pr_price,MATCH(B1453,pr_code,0))="","",INDEX(pr_price,MATCH(B1453,pr_code,0))),""))))</f>
        <v/>
      </c>
      <c r="K1453" s="71" t="str">
        <f>IF(COUNTA(A1453:G1453)=0,"",IF(G1453&lt;&gt;"",G1453,IF(B1453="","",IFERROR(IF(INDEX(pr_rate,MATCH(B1453,pr_code,0))="","",INDEX(pr_rate,MATCH(B1453,pr_code,0))),""))))</f>
        <v/>
      </c>
      <c r="L1453" s="65" t="str">
        <f>IF(COUNTA(A1453:G1453)=0,"",IF(AND(ISNUMBER(D1453),ISNUMBER(J1453)),ROUND(D1453*J1453*(1-N(F1453)),2),0))</f>
        <v/>
      </c>
      <c r="M1453" s="62" t="str">
        <f>IF(A1453="","",IFERROR(INDEX(fa_cname,MATCH(A1453,fa_num,0))&amp;"",""))</f>
        <v/>
      </c>
      <c r="N1453" s="59" t="str">
        <f>IF(COUNTA(A1453:G1453)=0,"",IF(A1453="","N° facture manquant",IF(ISNA(MATCH(A1453,fa_num,0)),"Facture inconnue",IF(AND(B1453&lt;&gt;"",ISNA(MATCH(B1453,pr_code,0))),"Article inconnu",IF(H1453="","Désignation manquante",IF(OR(NOT(ISNUMBER(D1453)),N(D1453)&lt;=0),"Quantité invalide",IF(J1453="","Prix manquant",IF(OR(NOT(ISNUMBER(J1453)),N(J1453)&lt;0),"Prix invalide",IF(OR(AND(F1453&lt;&gt;"",NOT(ISNUMBER(F1453))),N(F1453)&lt;0,N(F1453)&gt;1),"Remise invalide",IF(K1453="","Taux de TVA manquant",IF(NOT(ISNUMBER(K1453)),"Taux de TVA invalide",IF(COUNTIF(p_rates,K1453)=0,"Taux de TVA hors liste (Paramètres)",IF(N(O1453)&gt;25,"Au-delà de 25 lignes : non imprimée","OK")))))))))))))</f>
        <v/>
      </c>
      <c r="O1453" s="59" t="str">
        <f>IF(A1453="","",COUNTIF($A$6:A1453,A1453))</f>
        <v/>
      </c>
      <c r="P1453" s="62" t="str">
        <f>IF(A1453="","",A1453&amp;"|"&amp;O1453)</f>
        <v/>
      </c>
    </row>
    <row r="1454">
      <c r="A1454" s="60" t="n"/>
      <c r="B1454" s="63" t="n"/>
      <c r="C1454" s="63" t="n"/>
      <c r="D1454" s="67" t="n"/>
      <c r="E1454" s="68" t="n"/>
      <c r="F1454" s="69" t="n"/>
      <c r="G1454" s="70" t="n"/>
      <c r="H1454" s="62" t="str">
        <f>IF(COUNTA(A1454:G1454)=0,"",IF(C1454&lt;&gt;"",C1454,IF(B1454="","",IFERROR(INDEX(pr_des,MATCH(B1454,pr_code,0))&amp;"",""))))</f>
        <v/>
      </c>
      <c r="I1454" s="59" t="str">
        <f>IF(B1454="","",IFERROR(INDEX(pr_unit,MATCH(B1454,pr_code,0))&amp;"",""))</f>
        <v/>
      </c>
      <c r="J1454" s="65" t="str">
        <f>IF(COUNTA(A1454:G1454)=0,"",IF(E1454&lt;&gt;"",E1454,IF(B1454="","",IFERROR(IF(INDEX(pr_price,MATCH(B1454,pr_code,0))="","",INDEX(pr_price,MATCH(B1454,pr_code,0))),""))))</f>
        <v/>
      </c>
      <c r="K1454" s="71" t="str">
        <f>IF(COUNTA(A1454:G1454)=0,"",IF(G1454&lt;&gt;"",G1454,IF(B1454="","",IFERROR(IF(INDEX(pr_rate,MATCH(B1454,pr_code,0))="","",INDEX(pr_rate,MATCH(B1454,pr_code,0))),""))))</f>
        <v/>
      </c>
      <c r="L1454" s="65" t="str">
        <f>IF(COUNTA(A1454:G1454)=0,"",IF(AND(ISNUMBER(D1454),ISNUMBER(J1454)),ROUND(D1454*J1454*(1-N(F1454)),2),0))</f>
        <v/>
      </c>
      <c r="M1454" s="62" t="str">
        <f>IF(A1454="","",IFERROR(INDEX(fa_cname,MATCH(A1454,fa_num,0))&amp;"",""))</f>
        <v/>
      </c>
      <c r="N1454" s="59" t="str">
        <f>IF(COUNTA(A1454:G1454)=0,"",IF(A1454="","N° facture manquant",IF(ISNA(MATCH(A1454,fa_num,0)),"Facture inconnue",IF(AND(B1454&lt;&gt;"",ISNA(MATCH(B1454,pr_code,0))),"Article inconnu",IF(H1454="","Désignation manquante",IF(OR(NOT(ISNUMBER(D1454)),N(D1454)&lt;=0),"Quantité invalide",IF(J1454="","Prix manquant",IF(OR(NOT(ISNUMBER(J1454)),N(J1454)&lt;0),"Prix invalide",IF(OR(AND(F1454&lt;&gt;"",NOT(ISNUMBER(F1454))),N(F1454)&lt;0,N(F1454)&gt;1),"Remise invalide",IF(K1454="","Taux de TVA manquant",IF(NOT(ISNUMBER(K1454)),"Taux de TVA invalide",IF(COUNTIF(p_rates,K1454)=0,"Taux de TVA hors liste (Paramètres)",IF(N(O1454)&gt;25,"Au-delà de 25 lignes : non imprimée","OK")))))))))))))</f>
        <v/>
      </c>
      <c r="O1454" s="59" t="str">
        <f>IF(A1454="","",COUNTIF($A$6:A1454,A1454))</f>
        <v/>
      </c>
      <c r="P1454" s="62" t="str">
        <f>IF(A1454="","",A1454&amp;"|"&amp;O1454)</f>
        <v/>
      </c>
    </row>
    <row r="1455">
      <c r="A1455" s="60" t="n"/>
      <c r="B1455" s="63" t="n"/>
      <c r="C1455" s="63" t="n"/>
      <c r="D1455" s="67" t="n"/>
      <c r="E1455" s="68" t="n"/>
      <c r="F1455" s="69" t="n"/>
      <c r="G1455" s="70" t="n"/>
      <c r="H1455" s="62" t="str">
        <f>IF(COUNTA(A1455:G1455)=0,"",IF(C1455&lt;&gt;"",C1455,IF(B1455="","",IFERROR(INDEX(pr_des,MATCH(B1455,pr_code,0))&amp;"",""))))</f>
        <v/>
      </c>
      <c r="I1455" s="59" t="str">
        <f>IF(B1455="","",IFERROR(INDEX(pr_unit,MATCH(B1455,pr_code,0))&amp;"",""))</f>
        <v/>
      </c>
      <c r="J1455" s="65" t="str">
        <f>IF(COUNTA(A1455:G1455)=0,"",IF(E1455&lt;&gt;"",E1455,IF(B1455="","",IFERROR(IF(INDEX(pr_price,MATCH(B1455,pr_code,0))="","",INDEX(pr_price,MATCH(B1455,pr_code,0))),""))))</f>
        <v/>
      </c>
      <c r="K1455" s="71" t="str">
        <f>IF(COUNTA(A1455:G1455)=0,"",IF(G1455&lt;&gt;"",G1455,IF(B1455="","",IFERROR(IF(INDEX(pr_rate,MATCH(B1455,pr_code,0))="","",INDEX(pr_rate,MATCH(B1455,pr_code,0))),""))))</f>
        <v/>
      </c>
      <c r="L1455" s="65" t="str">
        <f>IF(COUNTA(A1455:G1455)=0,"",IF(AND(ISNUMBER(D1455),ISNUMBER(J1455)),ROUND(D1455*J1455*(1-N(F1455)),2),0))</f>
        <v/>
      </c>
      <c r="M1455" s="62" t="str">
        <f>IF(A1455="","",IFERROR(INDEX(fa_cname,MATCH(A1455,fa_num,0))&amp;"",""))</f>
        <v/>
      </c>
      <c r="N1455" s="59" t="str">
        <f>IF(COUNTA(A1455:G1455)=0,"",IF(A1455="","N° facture manquant",IF(ISNA(MATCH(A1455,fa_num,0)),"Facture inconnue",IF(AND(B1455&lt;&gt;"",ISNA(MATCH(B1455,pr_code,0))),"Article inconnu",IF(H1455="","Désignation manquante",IF(OR(NOT(ISNUMBER(D1455)),N(D1455)&lt;=0),"Quantité invalide",IF(J1455="","Prix manquant",IF(OR(NOT(ISNUMBER(J1455)),N(J1455)&lt;0),"Prix invalide",IF(OR(AND(F1455&lt;&gt;"",NOT(ISNUMBER(F1455))),N(F1455)&lt;0,N(F1455)&gt;1),"Remise invalide",IF(K1455="","Taux de TVA manquant",IF(NOT(ISNUMBER(K1455)),"Taux de TVA invalide",IF(COUNTIF(p_rates,K1455)=0,"Taux de TVA hors liste (Paramètres)",IF(N(O1455)&gt;25,"Au-delà de 25 lignes : non imprimée","OK")))))))))))))</f>
        <v/>
      </c>
      <c r="O1455" s="59" t="str">
        <f>IF(A1455="","",COUNTIF($A$6:A1455,A1455))</f>
        <v/>
      </c>
      <c r="P1455" s="62" t="str">
        <f>IF(A1455="","",A1455&amp;"|"&amp;O1455)</f>
        <v/>
      </c>
    </row>
    <row r="1456">
      <c r="A1456" s="60" t="n"/>
      <c r="B1456" s="63" t="n"/>
      <c r="C1456" s="63" t="n"/>
      <c r="D1456" s="67" t="n"/>
      <c r="E1456" s="68" t="n"/>
      <c r="F1456" s="69" t="n"/>
      <c r="G1456" s="70" t="n"/>
      <c r="H1456" s="62" t="str">
        <f>IF(COUNTA(A1456:G1456)=0,"",IF(C1456&lt;&gt;"",C1456,IF(B1456="","",IFERROR(INDEX(pr_des,MATCH(B1456,pr_code,0))&amp;"",""))))</f>
        <v/>
      </c>
      <c r="I1456" s="59" t="str">
        <f>IF(B1456="","",IFERROR(INDEX(pr_unit,MATCH(B1456,pr_code,0))&amp;"",""))</f>
        <v/>
      </c>
      <c r="J1456" s="65" t="str">
        <f>IF(COUNTA(A1456:G1456)=0,"",IF(E1456&lt;&gt;"",E1456,IF(B1456="","",IFERROR(IF(INDEX(pr_price,MATCH(B1456,pr_code,0))="","",INDEX(pr_price,MATCH(B1456,pr_code,0))),""))))</f>
        <v/>
      </c>
      <c r="K1456" s="71" t="str">
        <f>IF(COUNTA(A1456:G1456)=0,"",IF(G1456&lt;&gt;"",G1456,IF(B1456="","",IFERROR(IF(INDEX(pr_rate,MATCH(B1456,pr_code,0))="","",INDEX(pr_rate,MATCH(B1456,pr_code,0))),""))))</f>
        <v/>
      </c>
      <c r="L1456" s="65" t="str">
        <f>IF(COUNTA(A1456:G1456)=0,"",IF(AND(ISNUMBER(D1456),ISNUMBER(J1456)),ROUND(D1456*J1456*(1-N(F1456)),2),0))</f>
        <v/>
      </c>
      <c r="M1456" s="62" t="str">
        <f>IF(A1456="","",IFERROR(INDEX(fa_cname,MATCH(A1456,fa_num,0))&amp;"",""))</f>
        <v/>
      </c>
      <c r="N1456" s="59" t="str">
        <f>IF(COUNTA(A1456:G1456)=0,"",IF(A1456="","N° facture manquant",IF(ISNA(MATCH(A1456,fa_num,0)),"Facture inconnue",IF(AND(B1456&lt;&gt;"",ISNA(MATCH(B1456,pr_code,0))),"Article inconnu",IF(H1456="","Désignation manquante",IF(OR(NOT(ISNUMBER(D1456)),N(D1456)&lt;=0),"Quantité invalide",IF(J1456="","Prix manquant",IF(OR(NOT(ISNUMBER(J1456)),N(J1456)&lt;0),"Prix invalide",IF(OR(AND(F1456&lt;&gt;"",NOT(ISNUMBER(F1456))),N(F1456)&lt;0,N(F1456)&gt;1),"Remise invalide",IF(K1456="","Taux de TVA manquant",IF(NOT(ISNUMBER(K1456)),"Taux de TVA invalide",IF(COUNTIF(p_rates,K1456)=0,"Taux de TVA hors liste (Paramètres)",IF(N(O1456)&gt;25,"Au-delà de 25 lignes : non imprimée","OK")))))))))))))</f>
        <v/>
      </c>
      <c r="O1456" s="59" t="str">
        <f>IF(A1456="","",COUNTIF($A$6:A1456,A1456))</f>
        <v/>
      </c>
      <c r="P1456" s="62" t="str">
        <f>IF(A1456="","",A1456&amp;"|"&amp;O1456)</f>
        <v/>
      </c>
    </row>
    <row r="1457">
      <c r="A1457" s="60" t="n"/>
      <c r="B1457" s="63" t="n"/>
      <c r="C1457" s="63" t="n"/>
      <c r="D1457" s="67" t="n"/>
      <c r="E1457" s="68" t="n"/>
      <c r="F1457" s="69" t="n"/>
      <c r="G1457" s="70" t="n"/>
      <c r="H1457" s="62" t="str">
        <f>IF(COUNTA(A1457:G1457)=0,"",IF(C1457&lt;&gt;"",C1457,IF(B1457="","",IFERROR(INDEX(pr_des,MATCH(B1457,pr_code,0))&amp;"",""))))</f>
        <v/>
      </c>
      <c r="I1457" s="59" t="str">
        <f>IF(B1457="","",IFERROR(INDEX(pr_unit,MATCH(B1457,pr_code,0))&amp;"",""))</f>
        <v/>
      </c>
      <c r="J1457" s="65" t="str">
        <f>IF(COUNTA(A1457:G1457)=0,"",IF(E1457&lt;&gt;"",E1457,IF(B1457="","",IFERROR(IF(INDEX(pr_price,MATCH(B1457,pr_code,0))="","",INDEX(pr_price,MATCH(B1457,pr_code,0))),""))))</f>
        <v/>
      </c>
      <c r="K1457" s="71" t="str">
        <f>IF(COUNTA(A1457:G1457)=0,"",IF(G1457&lt;&gt;"",G1457,IF(B1457="","",IFERROR(IF(INDEX(pr_rate,MATCH(B1457,pr_code,0))="","",INDEX(pr_rate,MATCH(B1457,pr_code,0))),""))))</f>
        <v/>
      </c>
      <c r="L1457" s="65" t="str">
        <f>IF(COUNTA(A1457:G1457)=0,"",IF(AND(ISNUMBER(D1457),ISNUMBER(J1457)),ROUND(D1457*J1457*(1-N(F1457)),2),0))</f>
        <v/>
      </c>
      <c r="M1457" s="62" t="str">
        <f>IF(A1457="","",IFERROR(INDEX(fa_cname,MATCH(A1457,fa_num,0))&amp;"",""))</f>
        <v/>
      </c>
      <c r="N1457" s="59" t="str">
        <f>IF(COUNTA(A1457:G1457)=0,"",IF(A1457="","N° facture manquant",IF(ISNA(MATCH(A1457,fa_num,0)),"Facture inconnue",IF(AND(B1457&lt;&gt;"",ISNA(MATCH(B1457,pr_code,0))),"Article inconnu",IF(H1457="","Désignation manquante",IF(OR(NOT(ISNUMBER(D1457)),N(D1457)&lt;=0),"Quantité invalide",IF(J1457="","Prix manquant",IF(OR(NOT(ISNUMBER(J1457)),N(J1457)&lt;0),"Prix invalide",IF(OR(AND(F1457&lt;&gt;"",NOT(ISNUMBER(F1457))),N(F1457)&lt;0,N(F1457)&gt;1),"Remise invalide",IF(K1457="","Taux de TVA manquant",IF(NOT(ISNUMBER(K1457)),"Taux de TVA invalide",IF(COUNTIF(p_rates,K1457)=0,"Taux de TVA hors liste (Paramètres)",IF(N(O1457)&gt;25,"Au-delà de 25 lignes : non imprimée","OK")))))))))))))</f>
        <v/>
      </c>
      <c r="O1457" s="59" t="str">
        <f>IF(A1457="","",COUNTIF($A$6:A1457,A1457))</f>
        <v/>
      </c>
      <c r="P1457" s="62" t="str">
        <f>IF(A1457="","",A1457&amp;"|"&amp;O1457)</f>
        <v/>
      </c>
    </row>
    <row r="1458">
      <c r="A1458" s="60" t="n"/>
      <c r="B1458" s="63" t="n"/>
      <c r="C1458" s="63" t="n"/>
      <c r="D1458" s="67" t="n"/>
      <c r="E1458" s="68" t="n"/>
      <c r="F1458" s="69" t="n"/>
      <c r="G1458" s="70" t="n"/>
      <c r="H1458" s="62" t="str">
        <f>IF(COUNTA(A1458:G1458)=0,"",IF(C1458&lt;&gt;"",C1458,IF(B1458="","",IFERROR(INDEX(pr_des,MATCH(B1458,pr_code,0))&amp;"",""))))</f>
        <v/>
      </c>
      <c r="I1458" s="59" t="str">
        <f>IF(B1458="","",IFERROR(INDEX(pr_unit,MATCH(B1458,pr_code,0))&amp;"",""))</f>
        <v/>
      </c>
      <c r="J1458" s="65" t="str">
        <f>IF(COUNTA(A1458:G1458)=0,"",IF(E1458&lt;&gt;"",E1458,IF(B1458="","",IFERROR(IF(INDEX(pr_price,MATCH(B1458,pr_code,0))="","",INDEX(pr_price,MATCH(B1458,pr_code,0))),""))))</f>
        <v/>
      </c>
      <c r="K1458" s="71" t="str">
        <f>IF(COUNTA(A1458:G1458)=0,"",IF(G1458&lt;&gt;"",G1458,IF(B1458="","",IFERROR(IF(INDEX(pr_rate,MATCH(B1458,pr_code,0))="","",INDEX(pr_rate,MATCH(B1458,pr_code,0))),""))))</f>
        <v/>
      </c>
      <c r="L1458" s="65" t="str">
        <f>IF(COUNTA(A1458:G1458)=0,"",IF(AND(ISNUMBER(D1458),ISNUMBER(J1458)),ROUND(D1458*J1458*(1-N(F1458)),2),0))</f>
        <v/>
      </c>
      <c r="M1458" s="62" t="str">
        <f>IF(A1458="","",IFERROR(INDEX(fa_cname,MATCH(A1458,fa_num,0))&amp;"",""))</f>
        <v/>
      </c>
      <c r="N1458" s="59" t="str">
        <f>IF(COUNTA(A1458:G1458)=0,"",IF(A1458="","N° facture manquant",IF(ISNA(MATCH(A1458,fa_num,0)),"Facture inconnue",IF(AND(B1458&lt;&gt;"",ISNA(MATCH(B1458,pr_code,0))),"Article inconnu",IF(H1458="","Désignation manquante",IF(OR(NOT(ISNUMBER(D1458)),N(D1458)&lt;=0),"Quantité invalide",IF(J1458="","Prix manquant",IF(OR(NOT(ISNUMBER(J1458)),N(J1458)&lt;0),"Prix invalide",IF(OR(AND(F1458&lt;&gt;"",NOT(ISNUMBER(F1458))),N(F1458)&lt;0,N(F1458)&gt;1),"Remise invalide",IF(K1458="","Taux de TVA manquant",IF(NOT(ISNUMBER(K1458)),"Taux de TVA invalide",IF(COUNTIF(p_rates,K1458)=0,"Taux de TVA hors liste (Paramètres)",IF(N(O1458)&gt;25,"Au-delà de 25 lignes : non imprimée","OK")))))))))))))</f>
        <v/>
      </c>
      <c r="O1458" s="59" t="str">
        <f>IF(A1458="","",COUNTIF($A$6:A1458,A1458))</f>
        <v/>
      </c>
      <c r="P1458" s="62" t="str">
        <f>IF(A1458="","",A1458&amp;"|"&amp;O1458)</f>
        <v/>
      </c>
    </row>
    <row r="1459">
      <c r="A1459" s="60" t="n"/>
      <c r="B1459" s="63" t="n"/>
      <c r="C1459" s="63" t="n"/>
      <c r="D1459" s="67" t="n"/>
      <c r="E1459" s="68" t="n"/>
      <c r="F1459" s="69" t="n"/>
      <c r="G1459" s="70" t="n"/>
      <c r="H1459" s="62" t="str">
        <f>IF(COUNTA(A1459:G1459)=0,"",IF(C1459&lt;&gt;"",C1459,IF(B1459="","",IFERROR(INDEX(pr_des,MATCH(B1459,pr_code,0))&amp;"",""))))</f>
        <v/>
      </c>
      <c r="I1459" s="59" t="str">
        <f>IF(B1459="","",IFERROR(INDEX(pr_unit,MATCH(B1459,pr_code,0))&amp;"",""))</f>
        <v/>
      </c>
      <c r="J1459" s="65" t="str">
        <f>IF(COUNTA(A1459:G1459)=0,"",IF(E1459&lt;&gt;"",E1459,IF(B1459="","",IFERROR(IF(INDEX(pr_price,MATCH(B1459,pr_code,0))="","",INDEX(pr_price,MATCH(B1459,pr_code,0))),""))))</f>
        <v/>
      </c>
      <c r="K1459" s="71" t="str">
        <f>IF(COUNTA(A1459:G1459)=0,"",IF(G1459&lt;&gt;"",G1459,IF(B1459="","",IFERROR(IF(INDEX(pr_rate,MATCH(B1459,pr_code,0))="","",INDEX(pr_rate,MATCH(B1459,pr_code,0))),""))))</f>
        <v/>
      </c>
      <c r="L1459" s="65" t="str">
        <f>IF(COUNTA(A1459:G1459)=0,"",IF(AND(ISNUMBER(D1459),ISNUMBER(J1459)),ROUND(D1459*J1459*(1-N(F1459)),2),0))</f>
        <v/>
      </c>
      <c r="M1459" s="62" t="str">
        <f>IF(A1459="","",IFERROR(INDEX(fa_cname,MATCH(A1459,fa_num,0))&amp;"",""))</f>
        <v/>
      </c>
      <c r="N1459" s="59" t="str">
        <f>IF(COUNTA(A1459:G1459)=0,"",IF(A1459="","N° facture manquant",IF(ISNA(MATCH(A1459,fa_num,0)),"Facture inconnue",IF(AND(B1459&lt;&gt;"",ISNA(MATCH(B1459,pr_code,0))),"Article inconnu",IF(H1459="","Désignation manquante",IF(OR(NOT(ISNUMBER(D1459)),N(D1459)&lt;=0),"Quantité invalide",IF(J1459="","Prix manquant",IF(OR(NOT(ISNUMBER(J1459)),N(J1459)&lt;0),"Prix invalide",IF(OR(AND(F1459&lt;&gt;"",NOT(ISNUMBER(F1459))),N(F1459)&lt;0,N(F1459)&gt;1),"Remise invalide",IF(K1459="","Taux de TVA manquant",IF(NOT(ISNUMBER(K1459)),"Taux de TVA invalide",IF(COUNTIF(p_rates,K1459)=0,"Taux de TVA hors liste (Paramètres)",IF(N(O1459)&gt;25,"Au-delà de 25 lignes : non imprimée","OK")))))))))))))</f>
        <v/>
      </c>
      <c r="O1459" s="59" t="str">
        <f>IF(A1459="","",COUNTIF($A$6:A1459,A1459))</f>
        <v/>
      </c>
      <c r="P1459" s="62" t="str">
        <f>IF(A1459="","",A1459&amp;"|"&amp;O1459)</f>
        <v/>
      </c>
    </row>
    <row r="1460">
      <c r="A1460" s="60" t="n"/>
      <c r="B1460" s="63" t="n"/>
      <c r="C1460" s="63" t="n"/>
      <c r="D1460" s="67" t="n"/>
      <c r="E1460" s="68" t="n"/>
      <c r="F1460" s="69" t="n"/>
      <c r="G1460" s="70" t="n"/>
      <c r="H1460" s="62" t="str">
        <f>IF(COUNTA(A1460:G1460)=0,"",IF(C1460&lt;&gt;"",C1460,IF(B1460="","",IFERROR(INDEX(pr_des,MATCH(B1460,pr_code,0))&amp;"",""))))</f>
        <v/>
      </c>
      <c r="I1460" s="59" t="str">
        <f>IF(B1460="","",IFERROR(INDEX(pr_unit,MATCH(B1460,pr_code,0))&amp;"",""))</f>
        <v/>
      </c>
      <c r="J1460" s="65" t="str">
        <f>IF(COUNTA(A1460:G1460)=0,"",IF(E1460&lt;&gt;"",E1460,IF(B1460="","",IFERROR(IF(INDEX(pr_price,MATCH(B1460,pr_code,0))="","",INDEX(pr_price,MATCH(B1460,pr_code,0))),""))))</f>
        <v/>
      </c>
      <c r="K1460" s="71" t="str">
        <f>IF(COUNTA(A1460:G1460)=0,"",IF(G1460&lt;&gt;"",G1460,IF(B1460="","",IFERROR(IF(INDEX(pr_rate,MATCH(B1460,pr_code,0))="","",INDEX(pr_rate,MATCH(B1460,pr_code,0))),""))))</f>
        <v/>
      </c>
      <c r="L1460" s="65" t="str">
        <f>IF(COUNTA(A1460:G1460)=0,"",IF(AND(ISNUMBER(D1460),ISNUMBER(J1460)),ROUND(D1460*J1460*(1-N(F1460)),2),0))</f>
        <v/>
      </c>
      <c r="M1460" s="62" t="str">
        <f>IF(A1460="","",IFERROR(INDEX(fa_cname,MATCH(A1460,fa_num,0))&amp;"",""))</f>
        <v/>
      </c>
      <c r="N1460" s="59" t="str">
        <f>IF(COUNTA(A1460:G1460)=0,"",IF(A1460="","N° facture manquant",IF(ISNA(MATCH(A1460,fa_num,0)),"Facture inconnue",IF(AND(B1460&lt;&gt;"",ISNA(MATCH(B1460,pr_code,0))),"Article inconnu",IF(H1460="","Désignation manquante",IF(OR(NOT(ISNUMBER(D1460)),N(D1460)&lt;=0),"Quantité invalide",IF(J1460="","Prix manquant",IF(OR(NOT(ISNUMBER(J1460)),N(J1460)&lt;0),"Prix invalide",IF(OR(AND(F1460&lt;&gt;"",NOT(ISNUMBER(F1460))),N(F1460)&lt;0,N(F1460)&gt;1),"Remise invalide",IF(K1460="","Taux de TVA manquant",IF(NOT(ISNUMBER(K1460)),"Taux de TVA invalide",IF(COUNTIF(p_rates,K1460)=0,"Taux de TVA hors liste (Paramètres)",IF(N(O1460)&gt;25,"Au-delà de 25 lignes : non imprimée","OK")))))))))))))</f>
        <v/>
      </c>
      <c r="O1460" s="59" t="str">
        <f>IF(A1460="","",COUNTIF($A$6:A1460,A1460))</f>
        <v/>
      </c>
      <c r="P1460" s="62" t="str">
        <f>IF(A1460="","",A1460&amp;"|"&amp;O1460)</f>
        <v/>
      </c>
    </row>
    <row r="1461">
      <c r="A1461" s="60" t="n"/>
      <c r="B1461" s="63" t="n"/>
      <c r="C1461" s="63" t="n"/>
      <c r="D1461" s="67" t="n"/>
      <c r="E1461" s="68" t="n"/>
      <c r="F1461" s="69" t="n"/>
      <c r="G1461" s="70" t="n"/>
      <c r="H1461" s="62" t="str">
        <f>IF(COUNTA(A1461:G1461)=0,"",IF(C1461&lt;&gt;"",C1461,IF(B1461="","",IFERROR(INDEX(pr_des,MATCH(B1461,pr_code,0))&amp;"",""))))</f>
        <v/>
      </c>
      <c r="I1461" s="59" t="str">
        <f>IF(B1461="","",IFERROR(INDEX(pr_unit,MATCH(B1461,pr_code,0))&amp;"",""))</f>
        <v/>
      </c>
      <c r="J1461" s="65" t="str">
        <f>IF(COUNTA(A1461:G1461)=0,"",IF(E1461&lt;&gt;"",E1461,IF(B1461="","",IFERROR(IF(INDEX(pr_price,MATCH(B1461,pr_code,0))="","",INDEX(pr_price,MATCH(B1461,pr_code,0))),""))))</f>
        <v/>
      </c>
      <c r="K1461" s="71" t="str">
        <f>IF(COUNTA(A1461:G1461)=0,"",IF(G1461&lt;&gt;"",G1461,IF(B1461="","",IFERROR(IF(INDEX(pr_rate,MATCH(B1461,pr_code,0))="","",INDEX(pr_rate,MATCH(B1461,pr_code,0))),""))))</f>
        <v/>
      </c>
      <c r="L1461" s="65" t="str">
        <f>IF(COUNTA(A1461:G1461)=0,"",IF(AND(ISNUMBER(D1461),ISNUMBER(J1461)),ROUND(D1461*J1461*(1-N(F1461)),2),0))</f>
        <v/>
      </c>
      <c r="M1461" s="62" t="str">
        <f>IF(A1461="","",IFERROR(INDEX(fa_cname,MATCH(A1461,fa_num,0))&amp;"",""))</f>
        <v/>
      </c>
      <c r="N1461" s="59" t="str">
        <f>IF(COUNTA(A1461:G1461)=0,"",IF(A1461="","N° facture manquant",IF(ISNA(MATCH(A1461,fa_num,0)),"Facture inconnue",IF(AND(B1461&lt;&gt;"",ISNA(MATCH(B1461,pr_code,0))),"Article inconnu",IF(H1461="","Désignation manquante",IF(OR(NOT(ISNUMBER(D1461)),N(D1461)&lt;=0),"Quantité invalide",IF(J1461="","Prix manquant",IF(OR(NOT(ISNUMBER(J1461)),N(J1461)&lt;0),"Prix invalide",IF(OR(AND(F1461&lt;&gt;"",NOT(ISNUMBER(F1461))),N(F1461)&lt;0,N(F1461)&gt;1),"Remise invalide",IF(K1461="","Taux de TVA manquant",IF(NOT(ISNUMBER(K1461)),"Taux de TVA invalide",IF(COUNTIF(p_rates,K1461)=0,"Taux de TVA hors liste (Paramètres)",IF(N(O1461)&gt;25,"Au-delà de 25 lignes : non imprimée","OK")))))))))))))</f>
        <v/>
      </c>
      <c r="O1461" s="59" t="str">
        <f>IF(A1461="","",COUNTIF($A$6:A1461,A1461))</f>
        <v/>
      </c>
      <c r="P1461" s="62" t="str">
        <f>IF(A1461="","",A1461&amp;"|"&amp;O1461)</f>
        <v/>
      </c>
    </row>
    <row r="1462">
      <c r="A1462" s="60" t="n"/>
      <c r="B1462" s="63" t="n"/>
      <c r="C1462" s="63" t="n"/>
      <c r="D1462" s="67" t="n"/>
      <c r="E1462" s="68" t="n"/>
      <c r="F1462" s="69" t="n"/>
      <c r="G1462" s="70" t="n"/>
      <c r="H1462" s="62" t="str">
        <f>IF(COUNTA(A1462:G1462)=0,"",IF(C1462&lt;&gt;"",C1462,IF(B1462="","",IFERROR(INDEX(pr_des,MATCH(B1462,pr_code,0))&amp;"",""))))</f>
        <v/>
      </c>
      <c r="I1462" s="59" t="str">
        <f>IF(B1462="","",IFERROR(INDEX(pr_unit,MATCH(B1462,pr_code,0))&amp;"",""))</f>
        <v/>
      </c>
      <c r="J1462" s="65" t="str">
        <f>IF(COUNTA(A1462:G1462)=0,"",IF(E1462&lt;&gt;"",E1462,IF(B1462="","",IFERROR(IF(INDEX(pr_price,MATCH(B1462,pr_code,0))="","",INDEX(pr_price,MATCH(B1462,pr_code,0))),""))))</f>
        <v/>
      </c>
      <c r="K1462" s="71" t="str">
        <f>IF(COUNTA(A1462:G1462)=0,"",IF(G1462&lt;&gt;"",G1462,IF(B1462="","",IFERROR(IF(INDEX(pr_rate,MATCH(B1462,pr_code,0))="","",INDEX(pr_rate,MATCH(B1462,pr_code,0))),""))))</f>
        <v/>
      </c>
      <c r="L1462" s="65" t="str">
        <f>IF(COUNTA(A1462:G1462)=0,"",IF(AND(ISNUMBER(D1462),ISNUMBER(J1462)),ROUND(D1462*J1462*(1-N(F1462)),2),0))</f>
        <v/>
      </c>
      <c r="M1462" s="62" t="str">
        <f>IF(A1462="","",IFERROR(INDEX(fa_cname,MATCH(A1462,fa_num,0))&amp;"",""))</f>
        <v/>
      </c>
      <c r="N1462" s="59" t="str">
        <f>IF(COUNTA(A1462:G1462)=0,"",IF(A1462="","N° facture manquant",IF(ISNA(MATCH(A1462,fa_num,0)),"Facture inconnue",IF(AND(B1462&lt;&gt;"",ISNA(MATCH(B1462,pr_code,0))),"Article inconnu",IF(H1462="","Désignation manquante",IF(OR(NOT(ISNUMBER(D1462)),N(D1462)&lt;=0),"Quantité invalide",IF(J1462="","Prix manquant",IF(OR(NOT(ISNUMBER(J1462)),N(J1462)&lt;0),"Prix invalide",IF(OR(AND(F1462&lt;&gt;"",NOT(ISNUMBER(F1462))),N(F1462)&lt;0,N(F1462)&gt;1),"Remise invalide",IF(K1462="","Taux de TVA manquant",IF(NOT(ISNUMBER(K1462)),"Taux de TVA invalide",IF(COUNTIF(p_rates,K1462)=0,"Taux de TVA hors liste (Paramètres)",IF(N(O1462)&gt;25,"Au-delà de 25 lignes : non imprimée","OK")))))))))))))</f>
        <v/>
      </c>
      <c r="O1462" s="59" t="str">
        <f>IF(A1462="","",COUNTIF($A$6:A1462,A1462))</f>
        <v/>
      </c>
      <c r="P1462" s="62" t="str">
        <f>IF(A1462="","",A1462&amp;"|"&amp;O1462)</f>
        <v/>
      </c>
    </row>
    <row r="1463">
      <c r="A1463" s="60" t="n"/>
      <c r="B1463" s="63" t="n"/>
      <c r="C1463" s="63" t="n"/>
      <c r="D1463" s="67" t="n"/>
      <c r="E1463" s="68" t="n"/>
      <c r="F1463" s="69" t="n"/>
      <c r="G1463" s="70" t="n"/>
      <c r="H1463" s="62" t="str">
        <f>IF(COUNTA(A1463:G1463)=0,"",IF(C1463&lt;&gt;"",C1463,IF(B1463="","",IFERROR(INDEX(pr_des,MATCH(B1463,pr_code,0))&amp;"",""))))</f>
        <v/>
      </c>
      <c r="I1463" s="59" t="str">
        <f>IF(B1463="","",IFERROR(INDEX(pr_unit,MATCH(B1463,pr_code,0))&amp;"",""))</f>
        <v/>
      </c>
      <c r="J1463" s="65" t="str">
        <f>IF(COUNTA(A1463:G1463)=0,"",IF(E1463&lt;&gt;"",E1463,IF(B1463="","",IFERROR(IF(INDEX(pr_price,MATCH(B1463,pr_code,0))="","",INDEX(pr_price,MATCH(B1463,pr_code,0))),""))))</f>
        <v/>
      </c>
      <c r="K1463" s="71" t="str">
        <f>IF(COUNTA(A1463:G1463)=0,"",IF(G1463&lt;&gt;"",G1463,IF(B1463="","",IFERROR(IF(INDEX(pr_rate,MATCH(B1463,pr_code,0))="","",INDEX(pr_rate,MATCH(B1463,pr_code,0))),""))))</f>
        <v/>
      </c>
      <c r="L1463" s="65" t="str">
        <f>IF(COUNTA(A1463:G1463)=0,"",IF(AND(ISNUMBER(D1463),ISNUMBER(J1463)),ROUND(D1463*J1463*(1-N(F1463)),2),0))</f>
        <v/>
      </c>
      <c r="M1463" s="62" t="str">
        <f>IF(A1463="","",IFERROR(INDEX(fa_cname,MATCH(A1463,fa_num,0))&amp;"",""))</f>
        <v/>
      </c>
      <c r="N1463" s="59" t="str">
        <f>IF(COUNTA(A1463:G1463)=0,"",IF(A1463="","N° facture manquant",IF(ISNA(MATCH(A1463,fa_num,0)),"Facture inconnue",IF(AND(B1463&lt;&gt;"",ISNA(MATCH(B1463,pr_code,0))),"Article inconnu",IF(H1463="","Désignation manquante",IF(OR(NOT(ISNUMBER(D1463)),N(D1463)&lt;=0),"Quantité invalide",IF(J1463="","Prix manquant",IF(OR(NOT(ISNUMBER(J1463)),N(J1463)&lt;0),"Prix invalide",IF(OR(AND(F1463&lt;&gt;"",NOT(ISNUMBER(F1463))),N(F1463)&lt;0,N(F1463)&gt;1),"Remise invalide",IF(K1463="","Taux de TVA manquant",IF(NOT(ISNUMBER(K1463)),"Taux de TVA invalide",IF(COUNTIF(p_rates,K1463)=0,"Taux de TVA hors liste (Paramètres)",IF(N(O1463)&gt;25,"Au-delà de 25 lignes : non imprimée","OK")))))))))))))</f>
        <v/>
      </c>
      <c r="O1463" s="59" t="str">
        <f>IF(A1463="","",COUNTIF($A$6:A1463,A1463))</f>
        <v/>
      </c>
      <c r="P1463" s="62" t="str">
        <f>IF(A1463="","",A1463&amp;"|"&amp;O1463)</f>
        <v/>
      </c>
    </row>
    <row r="1464">
      <c r="A1464" s="60" t="n"/>
      <c r="B1464" s="63" t="n"/>
      <c r="C1464" s="63" t="n"/>
      <c r="D1464" s="67" t="n"/>
      <c r="E1464" s="68" t="n"/>
      <c r="F1464" s="69" t="n"/>
      <c r="G1464" s="70" t="n"/>
      <c r="H1464" s="62" t="str">
        <f>IF(COUNTA(A1464:G1464)=0,"",IF(C1464&lt;&gt;"",C1464,IF(B1464="","",IFERROR(INDEX(pr_des,MATCH(B1464,pr_code,0))&amp;"",""))))</f>
        <v/>
      </c>
      <c r="I1464" s="59" t="str">
        <f>IF(B1464="","",IFERROR(INDEX(pr_unit,MATCH(B1464,pr_code,0))&amp;"",""))</f>
        <v/>
      </c>
      <c r="J1464" s="65" t="str">
        <f>IF(COUNTA(A1464:G1464)=0,"",IF(E1464&lt;&gt;"",E1464,IF(B1464="","",IFERROR(IF(INDEX(pr_price,MATCH(B1464,pr_code,0))="","",INDEX(pr_price,MATCH(B1464,pr_code,0))),""))))</f>
        <v/>
      </c>
      <c r="K1464" s="71" t="str">
        <f>IF(COUNTA(A1464:G1464)=0,"",IF(G1464&lt;&gt;"",G1464,IF(B1464="","",IFERROR(IF(INDEX(pr_rate,MATCH(B1464,pr_code,0))="","",INDEX(pr_rate,MATCH(B1464,pr_code,0))),""))))</f>
        <v/>
      </c>
      <c r="L1464" s="65" t="str">
        <f>IF(COUNTA(A1464:G1464)=0,"",IF(AND(ISNUMBER(D1464),ISNUMBER(J1464)),ROUND(D1464*J1464*(1-N(F1464)),2),0))</f>
        <v/>
      </c>
      <c r="M1464" s="62" t="str">
        <f>IF(A1464="","",IFERROR(INDEX(fa_cname,MATCH(A1464,fa_num,0))&amp;"",""))</f>
        <v/>
      </c>
      <c r="N1464" s="59" t="str">
        <f>IF(COUNTA(A1464:G1464)=0,"",IF(A1464="","N° facture manquant",IF(ISNA(MATCH(A1464,fa_num,0)),"Facture inconnue",IF(AND(B1464&lt;&gt;"",ISNA(MATCH(B1464,pr_code,0))),"Article inconnu",IF(H1464="","Désignation manquante",IF(OR(NOT(ISNUMBER(D1464)),N(D1464)&lt;=0),"Quantité invalide",IF(J1464="","Prix manquant",IF(OR(NOT(ISNUMBER(J1464)),N(J1464)&lt;0),"Prix invalide",IF(OR(AND(F1464&lt;&gt;"",NOT(ISNUMBER(F1464))),N(F1464)&lt;0,N(F1464)&gt;1),"Remise invalide",IF(K1464="","Taux de TVA manquant",IF(NOT(ISNUMBER(K1464)),"Taux de TVA invalide",IF(COUNTIF(p_rates,K1464)=0,"Taux de TVA hors liste (Paramètres)",IF(N(O1464)&gt;25,"Au-delà de 25 lignes : non imprimée","OK")))))))))))))</f>
        <v/>
      </c>
      <c r="O1464" s="59" t="str">
        <f>IF(A1464="","",COUNTIF($A$6:A1464,A1464))</f>
        <v/>
      </c>
      <c r="P1464" s="62" t="str">
        <f>IF(A1464="","",A1464&amp;"|"&amp;O1464)</f>
        <v/>
      </c>
    </row>
    <row r="1465">
      <c r="A1465" s="60" t="n"/>
      <c r="B1465" s="63" t="n"/>
      <c r="C1465" s="63" t="n"/>
      <c r="D1465" s="67" t="n"/>
      <c r="E1465" s="68" t="n"/>
      <c r="F1465" s="69" t="n"/>
      <c r="G1465" s="70" t="n"/>
      <c r="H1465" s="62" t="str">
        <f>IF(COUNTA(A1465:G1465)=0,"",IF(C1465&lt;&gt;"",C1465,IF(B1465="","",IFERROR(INDEX(pr_des,MATCH(B1465,pr_code,0))&amp;"",""))))</f>
        <v/>
      </c>
      <c r="I1465" s="59" t="str">
        <f>IF(B1465="","",IFERROR(INDEX(pr_unit,MATCH(B1465,pr_code,0))&amp;"",""))</f>
        <v/>
      </c>
      <c r="J1465" s="65" t="str">
        <f>IF(COUNTA(A1465:G1465)=0,"",IF(E1465&lt;&gt;"",E1465,IF(B1465="","",IFERROR(IF(INDEX(pr_price,MATCH(B1465,pr_code,0))="","",INDEX(pr_price,MATCH(B1465,pr_code,0))),""))))</f>
        <v/>
      </c>
      <c r="K1465" s="71" t="str">
        <f>IF(COUNTA(A1465:G1465)=0,"",IF(G1465&lt;&gt;"",G1465,IF(B1465="","",IFERROR(IF(INDEX(pr_rate,MATCH(B1465,pr_code,0))="","",INDEX(pr_rate,MATCH(B1465,pr_code,0))),""))))</f>
        <v/>
      </c>
      <c r="L1465" s="65" t="str">
        <f>IF(COUNTA(A1465:G1465)=0,"",IF(AND(ISNUMBER(D1465),ISNUMBER(J1465)),ROUND(D1465*J1465*(1-N(F1465)),2),0))</f>
        <v/>
      </c>
      <c r="M1465" s="62" t="str">
        <f>IF(A1465="","",IFERROR(INDEX(fa_cname,MATCH(A1465,fa_num,0))&amp;"",""))</f>
        <v/>
      </c>
      <c r="N1465" s="59" t="str">
        <f>IF(COUNTA(A1465:G1465)=0,"",IF(A1465="","N° facture manquant",IF(ISNA(MATCH(A1465,fa_num,0)),"Facture inconnue",IF(AND(B1465&lt;&gt;"",ISNA(MATCH(B1465,pr_code,0))),"Article inconnu",IF(H1465="","Désignation manquante",IF(OR(NOT(ISNUMBER(D1465)),N(D1465)&lt;=0),"Quantité invalide",IF(J1465="","Prix manquant",IF(OR(NOT(ISNUMBER(J1465)),N(J1465)&lt;0),"Prix invalide",IF(OR(AND(F1465&lt;&gt;"",NOT(ISNUMBER(F1465))),N(F1465)&lt;0,N(F1465)&gt;1),"Remise invalide",IF(K1465="","Taux de TVA manquant",IF(NOT(ISNUMBER(K1465)),"Taux de TVA invalide",IF(COUNTIF(p_rates,K1465)=0,"Taux de TVA hors liste (Paramètres)",IF(N(O1465)&gt;25,"Au-delà de 25 lignes : non imprimée","OK")))))))))))))</f>
        <v/>
      </c>
      <c r="O1465" s="59" t="str">
        <f>IF(A1465="","",COUNTIF($A$6:A1465,A1465))</f>
        <v/>
      </c>
      <c r="P1465" s="62" t="str">
        <f>IF(A1465="","",A1465&amp;"|"&amp;O1465)</f>
        <v/>
      </c>
    </row>
    <row r="1466">
      <c r="A1466" s="60" t="n"/>
      <c r="B1466" s="63" t="n"/>
      <c r="C1466" s="63" t="n"/>
      <c r="D1466" s="67" t="n"/>
      <c r="E1466" s="68" t="n"/>
      <c r="F1466" s="69" t="n"/>
      <c r="G1466" s="70" t="n"/>
      <c r="H1466" s="62" t="str">
        <f>IF(COUNTA(A1466:G1466)=0,"",IF(C1466&lt;&gt;"",C1466,IF(B1466="","",IFERROR(INDEX(pr_des,MATCH(B1466,pr_code,0))&amp;"",""))))</f>
        <v/>
      </c>
      <c r="I1466" s="59" t="str">
        <f>IF(B1466="","",IFERROR(INDEX(pr_unit,MATCH(B1466,pr_code,0))&amp;"",""))</f>
        <v/>
      </c>
      <c r="J1466" s="65" t="str">
        <f>IF(COUNTA(A1466:G1466)=0,"",IF(E1466&lt;&gt;"",E1466,IF(B1466="","",IFERROR(IF(INDEX(pr_price,MATCH(B1466,pr_code,0))="","",INDEX(pr_price,MATCH(B1466,pr_code,0))),""))))</f>
        <v/>
      </c>
      <c r="K1466" s="71" t="str">
        <f>IF(COUNTA(A1466:G1466)=0,"",IF(G1466&lt;&gt;"",G1466,IF(B1466="","",IFERROR(IF(INDEX(pr_rate,MATCH(B1466,pr_code,0))="","",INDEX(pr_rate,MATCH(B1466,pr_code,0))),""))))</f>
        <v/>
      </c>
      <c r="L1466" s="65" t="str">
        <f>IF(COUNTA(A1466:G1466)=0,"",IF(AND(ISNUMBER(D1466),ISNUMBER(J1466)),ROUND(D1466*J1466*(1-N(F1466)),2),0))</f>
        <v/>
      </c>
      <c r="M1466" s="62" t="str">
        <f>IF(A1466="","",IFERROR(INDEX(fa_cname,MATCH(A1466,fa_num,0))&amp;"",""))</f>
        <v/>
      </c>
      <c r="N1466" s="59" t="str">
        <f>IF(COUNTA(A1466:G1466)=0,"",IF(A1466="","N° facture manquant",IF(ISNA(MATCH(A1466,fa_num,0)),"Facture inconnue",IF(AND(B1466&lt;&gt;"",ISNA(MATCH(B1466,pr_code,0))),"Article inconnu",IF(H1466="","Désignation manquante",IF(OR(NOT(ISNUMBER(D1466)),N(D1466)&lt;=0),"Quantité invalide",IF(J1466="","Prix manquant",IF(OR(NOT(ISNUMBER(J1466)),N(J1466)&lt;0),"Prix invalide",IF(OR(AND(F1466&lt;&gt;"",NOT(ISNUMBER(F1466))),N(F1466)&lt;0,N(F1466)&gt;1),"Remise invalide",IF(K1466="","Taux de TVA manquant",IF(NOT(ISNUMBER(K1466)),"Taux de TVA invalide",IF(COUNTIF(p_rates,K1466)=0,"Taux de TVA hors liste (Paramètres)",IF(N(O1466)&gt;25,"Au-delà de 25 lignes : non imprimée","OK")))))))))))))</f>
        <v/>
      </c>
      <c r="O1466" s="59" t="str">
        <f>IF(A1466="","",COUNTIF($A$6:A1466,A1466))</f>
        <v/>
      </c>
      <c r="P1466" s="62" t="str">
        <f>IF(A1466="","",A1466&amp;"|"&amp;O1466)</f>
        <v/>
      </c>
    </row>
    <row r="1467">
      <c r="A1467" s="60" t="n"/>
      <c r="B1467" s="63" t="n"/>
      <c r="C1467" s="63" t="n"/>
      <c r="D1467" s="67" t="n"/>
      <c r="E1467" s="68" t="n"/>
      <c r="F1467" s="69" t="n"/>
      <c r="G1467" s="70" t="n"/>
      <c r="H1467" s="62" t="str">
        <f>IF(COUNTA(A1467:G1467)=0,"",IF(C1467&lt;&gt;"",C1467,IF(B1467="","",IFERROR(INDEX(pr_des,MATCH(B1467,pr_code,0))&amp;"",""))))</f>
        <v/>
      </c>
      <c r="I1467" s="59" t="str">
        <f>IF(B1467="","",IFERROR(INDEX(pr_unit,MATCH(B1467,pr_code,0))&amp;"",""))</f>
        <v/>
      </c>
      <c r="J1467" s="65" t="str">
        <f>IF(COUNTA(A1467:G1467)=0,"",IF(E1467&lt;&gt;"",E1467,IF(B1467="","",IFERROR(IF(INDEX(pr_price,MATCH(B1467,pr_code,0))="","",INDEX(pr_price,MATCH(B1467,pr_code,0))),""))))</f>
        <v/>
      </c>
      <c r="K1467" s="71" t="str">
        <f>IF(COUNTA(A1467:G1467)=0,"",IF(G1467&lt;&gt;"",G1467,IF(B1467="","",IFERROR(IF(INDEX(pr_rate,MATCH(B1467,pr_code,0))="","",INDEX(pr_rate,MATCH(B1467,pr_code,0))),""))))</f>
        <v/>
      </c>
      <c r="L1467" s="65" t="str">
        <f>IF(COUNTA(A1467:G1467)=0,"",IF(AND(ISNUMBER(D1467),ISNUMBER(J1467)),ROUND(D1467*J1467*(1-N(F1467)),2),0))</f>
        <v/>
      </c>
      <c r="M1467" s="62" t="str">
        <f>IF(A1467="","",IFERROR(INDEX(fa_cname,MATCH(A1467,fa_num,0))&amp;"",""))</f>
        <v/>
      </c>
      <c r="N1467" s="59" t="str">
        <f>IF(COUNTA(A1467:G1467)=0,"",IF(A1467="","N° facture manquant",IF(ISNA(MATCH(A1467,fa_num,0)),"Facture inconnue",IF(AND(B1467&lt;&gt;"",ISNA(MATCH(B1467,pr_code,0))),"Article inconnu",IF(H1467="","Désignation manquante",IF(OR(NOT(ISNUMBER(D1467)),N(D1467)&lt;=0),"Quantité invalide",IF(J1467="","Prix manquant",IF(OR(NOT(ISNUMBER(J1467)),N(J1467)&lt;0),"Prix invalide",IF(OR(AND(F1467&lt;&gt;"",NOT(ISNUMBER(F1467))),N(F1467)&lt;0,N(F1467)&gt;1),"Remise invalide",IF(K1467="","Taux de TVA manquant",IF(NOT(ISNUMBER(K1467)),"Taux de TVA invalide",IF(COUNTIF(p_rates,K1467)=0,"Taux de TVA hors liste (Paramètres)",IF(N(O1467)&gt;25,"Au-delà de 25 lignes : non imprimée","OK")))))))))))))</f>
        <v/>
      </c>
      <c r="O1467" s="59" t="str">
        <f>IF(A1467="","",COUNTIF($A$6:A1467,A1467))</f>
        <v/>
      </c>
      <c r="P1467" s="62" t="str">
        <f>IF(A1467="","",A1467&amp;"|"&amp;O1467)</f>
        <v/>
      </c>
    </row>
    <row r="1468">
      <c r="A1468" s="60" t="n"/>
      <c r="B1468" s="63" t="n"/>
      <c r="C1468" s="63" t="n"/>
      <c r="D1468" s="67" t="n"/>
      <c r="E1468" s="68" t="n"/>
      <c r="F1468" s="69" t="n"/>
      <c r="G1468" s="70" t="n"/>
      <c r="H1468" s="62" t="str">
        <f>IF(COUNTA(A1468:G1468)=0,"",IF(C1468&lt;&gt;"",C1468,IF(B1468="","",IFERROR(INDEX(pr_des,MATCH(B1468,pr_code,0))&amp;"",""))))</f>
        <v/>
      </c>
      <c r="I1468" s="59" t="str">
        <f>IF(B1468="","",IFERROR(INDEX(pr_unit,MATCH(B1468,pr_code,0))&amp;"",""))</f>
        <v/>
      </c>
      <c r="J1468" s="65" t="str">
        <f>IF(COUNTA(A1468:G1468)=0,"",IF(E1468&lt;&gt;"",E1468,IF(B1468="","",IFERROR(IF(INDEX(pr_price,MATCH(B1468,pr_code,0))="","",INDEX(pr_price,MATCH(B1468,pr_code,0))),""))))</f>
        <v/>
      </c>
      <c r="K1468" s="71" t="str">
        <f>IF(COUNTA(A1468:G1468)=0,"",IF(G1468&lt;&gt;"",G1468,IF(B1468="","",IFERROR(IF(INDEX(pr_rate,MATCH(B1468,pr_code,0))="","",INDEX(pr_rate,MATCH(B1468,pr_code,0))),""))))</f>
        <v/>
      </c>
      <c r="L1468" s="65" t="str">
        <f>IF(COUNTA(A1468:G1468)=0,"",IF(AND(ISNUMBER(D1468),ISNUMBER(J1468)),ROUND(D1468*J1468*(1-N(F1468)),2),0))</f>
        <v/>
      </c>
      <c r="M1468" s="62" t="str">
        <f>IF(A1468="","",IFERROR(INDEX(fa_cname,MATCH(A1468,fa_num,0))&amp;"",""))</f>
        <v/>
      </c>
      <c r="N1468" s="59" t="str">
        <f>IF(COUNTA(A1468:G1468)=0,"",IF(A1468="","N° facture manquant",IF(ISNA(MATCH(A1468,fa_num,0)),"Facture inconnue",IF(AND(B1468&lt;&gt;"",ISNA(MATCH(B1468,pr_code,0))),"Article inconnu",IF(H1468="","Désignation manquante",IF(OR(NOT(ISNUMBER(D1468)),N(D1468)&lt;=0),"Quantité invalide",IF(J1468="","Prix manquant",IF(OR(NOT(ISNUMBER(J1468)),N(J1468)&lt;0),"Prix invalide",IF(OR(AND(F1468&lt;&gt;"",NOT(ISNUMBER(F1468))),N(F1468)&lt;0,N(F1468)&gt;1),"Remise invalide",IF(K1468="","Taux de TVA manquant",IF(NOT(ISNUMBER(K1468)),"Taux de TVA invalide",IF(COUNTIF(p_rates,K1468)=0,"Taux de TVA hors liste (Paramètres)",IF(N(O1468)&gt;25,"Au-delà de 25 lignes : non imprimée","OK")))))))))))))</f>
        <v/>
      </c>
      <c r="O1468" s="59" t="str">
        <f>IF(A1468="","",COUNTIF($A$6:A1468,A1468))</f>
        <v/>
      </c>
      <c r="P1468" s="62" t="str">
        <f>IF(A1468="","",A1468&amp;"|"&amp;O1468)</f>
        <v/>
      </c>
    </row>
    <row r="1469">
      <c r="A1469" s="60" t="n"/>
      <c r="B1469" s="63" t="n"/>
      <c r="C1469" s="63" t="n"/>
      <c r="D1469" s="67" t="n"/>
      <c r="E1469" s="68" t="n"/>
      <c r="F1469" s="69" t="n"/>
      <c r="G1469" s="70" t="n"/>
      <c r="H1469" s="62" t="str">
        <f>IF(COUNTA(A1469:G1469)=0,"",IF(C1469&lt;&gt;"",C1469,IF(B1469="","",IFERROR(INDEX(pr_des,MATCH(B1469,pr_code,0))&amp;"",""))))</f>
        <v/>
      </c>
      <c r="I1469" s="59" t="str">
        <f>IF(B1469="","",IFERROR(INDEX(pr_unit,MATCH(B1469,pr_code,0))&amp;"",""))</f>
        <v/>
      </c>
      <c r="J1469" s="65" t="str">
        <f>IF(COUNTA(A1469:G1469)=0,"",IF(E1469&lt;&gt;"",E1469,IF(B1469="","",IFERROR(IF(INDEX(pr_price,MATCH(B1469,pr_code,0))="","",INDEX(pr_price,MATCH(B1469,pr_code,0))),""))))</f>
        <v/>
      </c>
      <c r="K1469" s="71" t="str">
        <f>IF(COUNTA(A1469:G1469)=0,"",IF(G1469&lt;&gt;"",G1469,IF(B1469="","",IFERROR(IF(INDEX(pr_rate,MATCH(B1469,pr_code,0))="","",INDEX(pr_rate,MATCH(B1469,pr_code,0))),""))))</f>
        <v/>
      </c>
      <c r="L1469" s="65" t="str">
        <f>IF(COUNTA(A1469:G1469)=0,"",IF(AND(ISNUMBER(D1469),ISNUMBER(J1469)),ROUND(D1469*J1469*(1-N(F1469)),2),0))</f>
        <v/>
      </c>
      <c r="M1469" s="62" t="str">
        <f>IF(A1469="","",IFERROR(INDEX(fa_cname,MATCH(A1469,fa_num,0))&amp;"",""))</f>
        <v/>
      </c>
      <c r="N1469" s="59" t="str">
        <f>IF(COUNTA(A1469:G1469)=0,"",IF(A1469="","N° facture manquant",IF(ISNA(MATCH(A1469,fa_num,0)),"Facture inconnue",IF(AND(B1469&lt;&gt;"",ISNA(MATCH(B1469,pr_code,0))),"Article inconnu",IF(H1469="","Désignation manquante",IF(OR(NOT(ISNUMBER(D1469)),N(D1469)&lt;=0),"Quantité invalide",IF(J1469="","Prix manquant",IF(OR(NOT(ISNUMBER(J1469)),N(J1469)&lt;0),"Prix invalide",IF(OR(AND(F1469&lt;&gt;"",NOT(ISNUMBER(F1469))),N(F1469)&lt;0,N(F1469)&gt;1),"Remise invalide",IF(K1469="","Taux de TVA manquant",IF(NOT(ISNUMBER(K1469)),"Taux de TVA invalide",IF(COUNTIF(p_rates,K1469)=0,"Taux de TVA hors liste (Paramètres)",IF(N(O1469)&gt;25,"Au-delà de 25 lignes : non imprimée","OK")))))))))))))</f>
        <v/>
      </c>
      <c r="O1469" s="59" t="str">
        <f>IF(A1469="","",COUNTIF($A$6:A1469,A1469))</f>
        <v/>
      </c>
      <c r="P1469" s="62" t="str">
        <f>IF(A1469="","",A1469&amp;"|"&amp;O1469)</f>
        <v/>
      </c>
    </row>
    <row r="1470">
      <c r="A1470" s="60" t="n"/>
      <c r="B1470" s="63" t="n"/>
      <c r="C1470" s="63" t="n"/>
      <c r="D1470" s="67" t="n"/>
      <c r="E1470" s="68" t="n"/>
      <c r="F1470" s="69" t="n"/>
      <c r="G1470" s="70" t="n"/>
      <c r="H1470" s="62" t="str">
        <f>IF(COUNTA(A1470:G1470)=0,"",IF(C1470&lt;&gt;"",C1470,IF(B1470="","",IFERROR(INDEX(pr_des,MATCH(B1470,pr_code,0))&amp;"",""))))</f>
        <v/>
      </c>
      <c r="I1470" s="59" t="str">
        <f>IF(B1470="","",IFERROR(INDEX(pr_unit,MATCH(B1470,pr_code,0))&amp;"",""))</f>
        <v/>
      </c>
      <c r="J1470" s="65" t="str">
        <f>IF(COUNTA(A1470:G1470)=0,"",IF(E1470&lt;&gt;"",E1470,IF(B1470="","",IFERROR(IF(INDEX(pr_price,MATCH(B1470,pr_code,0))="","",INDEX(pr_price,MATCH(B1470,pr_code,0))),""))))</f>
        <v/>
      </c>
      <c r="K1470" s="71" t="str">
        <f>IF(COUNTA(A1470:G1470)=0,"",IF(G1470&lt;&gt;"",G1470,IF(B1470="","",IFERROR(IF(INDEX(pr_rate,MATCH(B1470,pr_code,0))="","",INDEX(pr_rate,MATCH(B1470,pr_code,0))),""))))</f>
        <v/>
      </c>
      <c r="L1470" s="65" t="str">
        <f>IF(COUNTA(A1470:G1470)=0,"",IF(AND(ISNUMBER(D1470),ISNUMBER(J1470)),ROUND(D1470*J1470*(1-N(F1470)),2),0))</f>
        <v/>
      </c>
      <c r="M1470" s="62" t="str">
        <f>IF(A1470="","",IFERROR(INDEX(fa_cname,MATCH(A1470,fa_num,0))&amp;"",""))</f>
        <v/>
      </c>
      <c r="N1470" s="59" t="str">
        <f>IF(COUNTA(A1470:G1470)=0,"",IF(A1470="","N° facture manquant",IF(ISNA(MATCH(A1470,fa_num,0)),"Facture inconnue",IF(AND(B1470&lt;&gt;"",ISNA(MATCH(B1470,pr_code,0))),"Article inconnu",IF(H1470="","Désignation manquante",IF(OR(NOT(ISNUMBER(D1470)),N(D1470)&lt;=0),"Quantité invalide",IF(J1470="","Prix manquant",IF(OR(NOT(ISNUMBER(J1470)),N(J1470)&lt;0),"Prix invalide",IF(OR(AND(F1470&lt;&gt;"",NOT(ISNUMBER(F1470))),N(F1470)&lt;0,N(F1470)&gt;1),"Remise invalide",IF(K1470="","Taux de TVA manquant",IF(NOT(ISNUMBER(K1470)),"Taux de TVA invalide",IF(COUNTIF(p_rates,K1470)=0,"Taux de TVA hors liste (Paramètres)",IF(N(O1470)&gt;25,"Au-delà de 25 lignes : non imprimée","OK")))))))))))))</f>
        <v/>
      </c>
      <c r="O1470" s="59" t="str">
        <f>IF(A1470="","",COUNTIF($A$6:A1470,A1470))</f>
        <v/>
      </c>
      <c r="P1470" s="62" t="str">
        <f>IF(A1470="","",A1470&amp;"|"&amp;O1470)</f>
        <v/>
      </c>
    </row>
    <row r="1471">
      <c r="A1471" s="60" t="n"/>
      <c r="B1471" s="63" t="n"/>
      <c r="C1471" s="63" t="n"/>
      <c r="D1471" s="67" t="n"/>
      <c r="E1471" s="68" t="n"/>
      <c r="F1471" s="69" t="n"/>
      <c r="G1471" s="70" t="n"/>
      <c r="H1471" s="62" t="str">
        <f>IF(COUNTA(A1471:G1471)=0,"",IF(C1471&lt;&gt;"",C1471,IF(B1471="","",IFERROR(INDEX(pr_des,MATCH(B1471,pr_code,0))&amp;"",""))))</f>
        <v/>
      </c>
      <c r="I1471" s="59" t="str">
        <f>IF(B1471="","",IFERROR(INDEX(pr_unit,MATCH(B1471,pr_code,0))&amp;"",""))</f>
        <v/>
      </c>
      <c r="J1471" s="65" t="str">
        <f>IF(COUNTA(A1471:G1471)=0,"",IF(E1471&lt;&gt;"",E1471,IF(B1471="","",IFERROR(IF(INDEX(pr_price,MATCH(B1471,pr_code,0))="","",INDEX(pr_price,MATCH(B1471,pr_code,0))),""))))</f>
        <v/>
      </c>
      <c r="K1471" s="71" t="str">
        <f>IF(COUNTA(A1471:G1471)=0,"",IF(G1471&lt;&gt;"",G1471,IF(B1471="","",IFERROR(IF(INDEX(pr_rate,MATCH(B1471,pr_code,0))="","",INDEX(pr_rate,MATCH(B1471,pr_code,0))),""))))</f>
        <v/>
      </c>
      <c r="L1471" s="65" t="str">
        <f>IF(COUNTA(A1471:G1471)=0,"",IF(AND(ISNUMBER(D1471),ISNUMBER(J1471)),ROUND(D1471*J1471*(1-N(F1471)),2),0))</f>
        <v/>
      </c>
      <c r="M1471" s="62" t="str">
        <f>IF(A1471="","",IFERROR(INDEX(fa_cname,MATCH(A1471,fa_num,0))&amp;"",""))</f>
        <v/>
      </c>
      <c r="N1471" s="59" t="str">
        <f>IF(COUNTA(A1471:G1471)=0,"",IF(A1471="","N° facture manquant",IF(ISNA(MATCH(A1471,fa_num,0)),"Facture inconnue",IF(AND(B1471&lt;&gt;"",ISNA(MATCH(B1471,pr_code,0))),"Article inconnu",IF(H1471="","Désignation manquante",IF(OR(NOT(ISNUMBER(D1471)),N(D1471)&lt;=0),"Quantité invalide",IF(J1471="","Prix manquant",IF(OR(NOT(ISNUMBER(J1471)),N(J1471)&lt;0),"Prix invalide",IF(OR(AND(F1471&lt;&gt;"",NOT(ISNUMBER(F1471))),N(F1471)&lt;0,N(F1471)&gt;1),"Remise invalide",IF(K1471="","Taux de TVA manquant",IF(NOT(ISNUMBER(K1471)),"Taux de TVA invalide",IF(COUNTIF(p_rates,K1471)=0,"Taux de TVA hors liste (Paramètres)",IF(N(O1471)&gt;25,"Au-delà de 25 lignes : non imprimée","OK")))))))))))))</f>
        <v/>
      </c>
      <c r="O1471" s="59" t="str">
        <f>IF(A1471="","",COUNTIF($A$6:A1471,A1471))</f>
        <v/>
      </c>
      <c r="P1471" s="62" t="str">
        <f>IF(A1471="","",A1471&amp;"|"&amp;O1471)</f>
        <v/>
      </c>
    </row>
    <row r="1472">
      <c r="A1472" s="60" t="n"/>
      <c r="B1472" s="63" t="n"/>
      <c r="C1472" s="63" t="n"/>
      <c r="D1472" s="67" t="n"/>
      <c r="E1472" s="68" t="n"/>
      <c r="F1472" s="69" t="n"/>
      <c r="G1472" s="70" t="n"/>
      <c r="H1472" s="62" t="str">
        <f>IF(COUNTA(A1472:G1472)=0,"",IF(C1472&lt;&gt;"",C1472,IF(B1472="","",IFERROR(INDEX(pr_des,MATCH(B1472,pr_code,0))&amp;"",""))))</f>
        <v/>
      </c>
      <c r="I1472" s="59" t="str">
        <f>IF(B1472="","",IFERROR(INDEX(pr_unit,MATCH(B1472,pr_code,0))&amp;"",""))</f>
        <v/>
      </c>
      <c r="J1472" s="65" t="str">
        <f>IF(COUNTA(A1472:G1472)=0,"",IF(E1472&lt;&gt;"",E1472,IF(B1472="","",IFERROR(IF(INDEX(pr_price,MATCH(B1472,pr_code,0))="","",INDEX(pr_price,MATCH(B1472,pr_code,0))),""))))</f>
        <v/>
      </c>
      <c r="K1472" s="71" t="str">
        <f>IF(COUNTA(A1472:G1472)=0,"",IF(G1472&lt;&gt;"",G1472,IF(B1472="","",IFERROR(IF(INDEX(pr_rate,MATCH(B1472,pr_code,0))="","",INDEX(pr_rate,MATCH(B1472,pr_code,0))),""))))</f>
        <v/>
      </c>
      <c r="L1472" s="65" t="str">
        <f>IF(COUNTA(A1472:G1472)=0,"",IF(AND(ISNUMBER(D1472),ISNUMBER(J1472)),ROUND(D1472*J1472*(1-N(F1472)),2),0))</f>
        <v/>
      </c>
      <c r="M1472" s="62" t="str">
        <f>IF(A1472="","",IFERROR(INDEX(fa_cname,MATCH(A1472,fa_num,0))&amp;"",""))</f>
        <v/>
      </c>
      <c r="N1472" s="59" t="str">
        <f>IF(COUNTA(A1472:G1472)=0,"",IF(A1472="","N° facture manquant",IF(ISNA(MATCH(A1472,fa_num,0)),"Facture inconnue",IF(AND(B1472&lt;&gt;"",ISNA(MATCH(B1472,pr_code,0))),"Article inconnu",IF(H1472="","Désignation manquante",IF(OR(NOT(ISNUMBER(D1472)),N(D1472)&lt;=0),"Quantité invalide",IF(J1472="","Prix manquant",IF(OR(NOT(ISNUMBER(J1472)),N(J1472)&lt;0),"Prix invalide",IF(OR(AND(F1472&lt;&gt;"",NOT(ISNUMBER(F1472))),N(F1472)&lt;0,N(F1472)&gt;1),"Remise invalide",IF(K1472="","Taux de TVA manquant",IF(NOT(ISNUMBER(K1472)),"Taux de TVA invalide",IF(COUNTIF(p_rates,K1472)=0,"Taux de TVA hors liste (Paramètres)",IF(N(O1472)&gt;25,"Au-delà de 25 lignes : non imprimée","OK")))))))))))))</f>
        <v/>
      </c>
      <c r="O1472" s="59" t="str">
        <f>IF(A1472="","",COUNTIF($A$6:A1472,A1472))</f>
        <v/>
      </c>
      <c r="P1472" s="62" t="str">
        <f>IF(A1472="","",A1472&amp;"|"&amp;O1472)</f>
        <v/>
      </c>
    </row>
    <row r="1473">
      <c r="A1473" s="60" t="n"/>
      <c r="B1473" s="63" t="n"/>
      <c r="C1473" s="63" t="n"/>
      <c r="D1473" s="67" t="n"/>
      <c r="E1473" s="68" t="n"/>
      <c r="F1473" s="69" t="n"/>
      <c r="G1473" s="70" t="n"/>
      <c r="H1473" s="62" t="str">
        <f>IF(COUNTA(A1473:G1473)=0,"",IF(C1473&lt;&gt;"",C1473,IF(B1473="","",IFERROR(INDEX(pr_des,MATCH(B1473,pr_code,0))&amp;"",""))))</f>
        <v/>
      </c>
      <c r="I1473" s="59" t="str">
        <f>IF(B1473="","",IFERROR(INDEX(pr_unit,MATCH(B1473,pr_code,0))&amp;"",""))</f>
        <v/>
      </c>
      <c r="J1473" s="65" t="str">
        <f>IF(COUNTA(A1473:G1473)=0,"",IF(E1473&lt;&gt;"",E1473,IF(B1473="","",IFERROR(IF(INDEX(pr_price,MATCH(B1473,pr_code,0))="","",INDEX(pr_price,MATCH(B1473,pr_code,0))),""))))</f>
        <v/>
      </c>
      <c r="K1473" s="71" t="str">
        <f>IF(COUNTA(A1473:G1473)=0,"",IF(G1473&lt;&gt;"",G1473,IF(B1473="","",IFERROR(IF(INDEX(pr_rate,MATCH(B1473,pr_code,0))="","",INDEX(pr_rate,MATCH(B1473,pr_code,0))),""))))</f>
        <v/>
      </c>
      <c r="L1473" s="65" t="str">
        <f>IF(COUNTA(A1473:G1473)=0,"",IF(AND(ISNUMBER(D1473),ISNUMBER(J1473)),ROUND(D1473*J1473*(1-N(F1473)),2),0))</f>
        <v/>
      </c>
      <c r="M1473" s="62" t="str">
        <f>IF(A1473="","",IFERROR(INDEX(fa_cname,MATCH(A1473,fa_num,0))&amp;"",""))</f>
        <v/>
      </c>
      <c r="N1473" s="59" t="str">
        <f>IF(COUNTA(A1473:G1473)=0,"",IF(A1473="","N° facture manquant",IF(ISNA(MATCH(A1473,fa_num,0)),"Facture inconnue",IF(AND(B1473&lt;&gt;"",ISNA(MATCH(B1473,pr_code,0))),"Article inconnu",IF(H1473="","Désignation manquante",IF(OR(NOT(ISNUMBER(D1473)),N(D1473)&lt;=0),"Quantité invalide",IF(J1473="","Prix manquant",IF(OR(NOT(ISNUMBER(J1473)),N(J1473)&lt;0),"Prix invalide",IF(OR(AND(F1473&lt;&gt;"",NOT(ISNUMBER(F1473))),N(F1473)&lt;0,N(F1473)&gt;1),"Remise invalide",IF(K1473="","Taux de TVA manquant",IF(NOT(ISNUMBER(K1473)),"Taux de TVA invalide",IF(COUNTIF(p_rates,K1473)=0,"Taux de TVA hors liste (Paramètres)",IF(N(O1473)&gt;25,"Au-delà de 25 lignes : non imprimée","OK")))))))))))))</f>
        <v/>
      </c>
      <c r="O1473" s="59" t="str">
        <f>IF(A1473="","",COUNTIF($A$6:A1473,A1473))</f>
        <v/>
      </c>
      <c r="P1473" s="62" t="str">
        <f>IF(A1473="","",A1473&amp;"|"&amp;O1473)</f>
        <v/>
      </c>
    </row>
    <row r="1474">
      <c r="A1474" s="60" t="n"/>
      <c r="B1474" s="63" t="n"/>
      <c r="C1474" s="63" t="n"/>
      <c r="D1474" s="67" t="n"/>
      <c r="E1474" s="68" t="n"/>
      <c r="F1474" s="69" t="n"/>
      <c r="G1474" s="70" t="n"/>
      <c r="H1474" s="62" t="str">
        <f>IF(COUNTA(A1474:G1474)=0,"",IF(C1474&lt;&gt;"",C1474,IF(B1474="","",IFERROR(INDEX(pr_des,MATCH(B1474,pr_code,0))&amp;"",""))))</f>
        <v/>
      </c>
      <c r="I1474" s="59" t="str">
        <f>IF(B1474="","",IFERROR(INDEX(pr_unit,MATCH(B1474,pr_code,0))&amp;"",""))</f>
        <v/>
      </c>
      <c r="J1474" s="65" t="str">
        <f>IF(COUNTA(A1474:G1474)=0,"",IF(E1474&lt;&gt;"",E1474,IF(B1474="","",IFERROR(IF(INDEX(pr_price,MATCH(B1474,pr_code,0))="","",INDEX(pr_price,MATCH(B1474,pr_code,0))),""))))</f>
        <v/>
      </c>
      <c r="K1474" s="71" t="str">
        <f>IF(COUNTA(A1474:G1474)=0,"",IF(G1474&lt;&gt;"",G1474,IF(B1474="","",IFERROR(IF(INDEX(pr_rate,MATCH(B1474,pr_code,0))="","",INDEX(pr_rate,MATCH(B1474,pr_code,0))),""))))</f>
        <v/>
      </c>
      <c r="L1474" s="65" t="str">
        <f>IF(COUNTA(A1474:G1474)=0,"",IF(AND(ISNUMBER(D1474),ISNUMBER(J1474)),ROUND(D1474*J1474*(1-N(F1474)),2),0))</f>
        <v/>
      </c>
      <c r="M1474" s="62" t="str">
        <f>IF(A1474="","",IFERROR(INDEX(fa_cname,MATCH(A1474,fa_num,0))&amp;"",""))</f>
        <v/>
      </c>
      <c r="N1474" s="59" t="str">
        <f>IF(COUNTA(A1474:G1474)=0,"",IF(A1474="","N° facture manquant",IF(ISNA(MATCH(A1474,fa_num,0)),"Facture inconnue",IF(AND(B1474&lt;&gt;"",ISNA(MATCH(B1474,pr_code,0))),"Article inconnu",IF(H1474="","Désignation manquante",IF(OR(NOT(ISNUMBER(D1474)),N(D1474)&lt;=0),"Quantité invalide",IF(J1474="","Prix manquant",IF(OR(NOT(ISNUMBER(J1474)),N(J1474)&lt;0),"Prix invalide",IF(OR(AND(F1474&lt;&gt;"",NOT(ISNUMBER(F1474))),N(F1474)&lt;0,N(F1474)&gt;1),"Remise invalide",IF(K1474="","Taux de TVA manquant",IF(NOT(ISNUMBER(K1474)),"Taux de TVA invalide",IF(COUNTIF(p_rates,K1474)=0,"Taux de TVA hors liste (Paramètres)",IF(N(O1474)&gt;25,"Au-delà de 25 lignes : non imprimée","OK")))))))))))))</f>
        <v/>
      </c>
      <c r="O1474" s="59" t="str">
        <f>IF(A1474="","",COUNTIF($A$6:A1474,A1474))</f>
        <v/>
      </c>
      <c r="P1474" s="62" t="str">
        <f>IF(A1474="","",A1474&amp;"|"&amp;O1474)</f>
        <v/>
      </c>
    </row>
    <row r="1475">
      <c r="A1475" s="60" t="n"/>
      <c r="B1475" s="63" t="n"/>
      <c r="C1475" s="63" t="n"/>
      <c r="D1475" s="67" t="n"/>
      <c r="E1475" s="68" t="n"/>
      <c r="F1475" s="69" t="n"/>
      <c r="G1475" s="70" t="n"/>
      <c r="H1475" s="62" t="str">
        <f>IF(COUNTA(A1475:G1475)=0,"",IF(C1475&lt;&gt;"",C1475,IF(B1475="","",IFERROR(INDEX(pr_des,MATCH(B1475,pr_code,0))&amp;"",""))))</f>
        <v/>
      </c>
      <c r="I1475" s="59" t="str">
        <f>IF(B1475="","",IFERROR(INDEX(pr_unit,MATCH(B1475,pr_code,0))&amp;"",""))</f>
        <v/>
      </c>
      <c r="J1475" s="65" t="str">
        <f>IF(COUNTA(A1475:G1475)=0,"",IF(E1475&lt;&gt;"",E1475,IF(B1475="","",IFERROR(IF(INDEX(pr_price,MATCH(B1475,pr_code,0))="","",INDEX(pr_price,MATCH(B1475,pr_code,0))),""))))</f>
        <v/>
      </c>
      <c r="K1475" s="71" t="str">
        <f>IF(COUNTA(A1475:G1475)=0,"",IF(G1475&lt;&gt;"",G1475,IF(B1475="","",IFERROR(IF(INDEX(pr_rate,MATCH(B1475,pr_code,0))="","",INDEX(pr_rate,MATCH(B1475,pr_code,0))),""))))</f>
        <v/>
      </c>
      <c r="L1475" s="65" t="str">
        <f>IF(COUNTA(A1475:G1475)=0,"",IF(AND(ISNUMBER(D1475),ISNUMBER(J1475)),ROUND(D1475*J1475*(1-N(F1475)),2),0))</f>
        <v/>
      </c>
      <c r="M1475" s="62" t="str">
        <f>IF(A1475="","",IFERROR(INDEX(fa_cname,MATCH(A1475,fa_num,0))&amp;"",""))</f>
        <v/>
      </c>
      <c r="N1475" s="59" t="str">
        <f>IF(COUNTA(A1475:G1475)=0,"",IF(A1475="","N° facture manquant",IF(ISNA(MATCH(A1475,fa_num,0)),"Facture inconnue",IF(AND(B1475&lt;&gt;"",ISNA(MATCH(B1475,pr_code,0))),"Article inconnu",IF(H1475="","Désignation manquante",IF(OR(NOT(ISNUMBER(D1475)),N(D1475)&lt;=0),"Quantité invalide",IF(J1475="","Prix manquant",IF(OR(NOT(ISNUMBER(J1475)),N(J1475)&lt;0),"Prix invalide",IF(OR(AND(F1475&lt;&gt;"",NOT(ISNUMBER(F1475))),N(F1475)&lt;0,N(F1475)&gt;1),"Remise invalide",IF(K1475="","Taux de TVA manquant",IF(NOT(ISNUMBER(K1475)),"Taux de TVA invalide",IF(COUNTIF(p_rates,K1475)=0,"Taux de TVA hors liste (Paramètres)",IF(N(O1475)&gt;25,"Au-delà de 25 lignes : non imprimée","OK")))))))))))))</f>
        <v/>
      </c>
      <c r="O1475" s="59" t="str">
        <f>IF(A1475="","",COUNTIF($A$6:A1475,A1475))</f>
        <v/>
      </c>
      <c r="P1475" s="62" t="str">
        <f>IF(A1475="","",A1475&amp;"|"&amp;O1475)</f>
        <v/>
      </c>
    </row>
    <row r="1476">
      <c r="A1476" s="60" t="n"/>
      <c r="B1476" s="63" t="n"/>
      <c r="C1476" s="63" t="n"/>
      <c r="D1476" s="67" t="n"/>
      <c r="E1476" s="68" t="n"/>
      <c r="F1476" s="69" t="n"/>
      <c r="G1476" s="70" t="n"/>
      <c r="H1476" s="62" t="str">
        <f>IF(COUNTA(A1476:G1476)=0,"",IF(C1476&lt;&gt;"",C1476,IF(B1476="","",IFERROR(INDEX(pr_des,MATCH(B1476,pr_code,0))&amp;"",""))))</f>
        <v/>
      </c>
      <c r="I1476" s="59" t="str">
        <f>IF(B1476="","",IFERROR(INDEX(pr_unit,MATCH(B1476,pr_code,0))&amp;"",""))</f>
        <v/>
      </c>
      <c r="J1476" s="65" t="str">
        <f>IF(COUNTA(A1476:G1476)=0,"",IF(E1476&lt;&gt;"",E1476,IF(B1476="","",IFERROR(IF(INDEX(pr_price,MATCH(B1476,pr_code,0))="","",INDEX(pr_price,MATCH(B1476,pr_code,0))),""))))</f>
        <v/>
      </c>
      <c r="K1476" s="71" t="str">
        <f>IF(COUNTA(A1476:G1476)=0,"",IF(G1476&lt;&gt;"",G1476,IF(B1476="","",IFERROR(IF(INDEX(pr_rate,MATCH(B1476,pr_code,0))="","",INDEX(pr_rate,MATCH(B1476,pr_code,0))),""))))</f>
        <v/>
      </c>
      <c r="L1476" s="65" t="str">
        <f>IF(COUNTA(A1476:G1476)=0,"",IF(AND(ISNUMBER(D1476),ISNUMBER(J1476)),ROUND(D1476*J1476*(1-N(F1476)),2),0))</f>
        <v/>
      </c>
      <c r="M1476" s="62" t="str">
        <f>IF(A1476="","",IFERROR(INDEX(fa_cname,MATCH(A1476,fa_num,0))&amp;"",""))</f>
        <v/>
      </c>
      <c r="N1476" s="59" t="str">
        <f>IF(COUNTA(A1476:G1476)=0,"",IF(A1476="","N° facture manquant",IF(ISNA(MATCH(A1476,fa_num,0)),"Facture inconnue",IF(AND(B1476&lt;&gt;"",ISNA(MATCH(B1476,pr_code,0))),"Article inconnu",IF(H1476="","Désignation manquante",IF(OR(NOT(ISNUMBER(D1476)),N(D1476)&lt;=0),"Quantité invalide",IF(J1476="","Prix manquant",IF(OR(NOT(ISNUMBER(J1476)),N(J1476)&lt;0),"Prix invalide",IF(OR(AND(F1476&lt;&gt;"",NOT(ISNUMBER(F1476))),N(F1476)&lt;0,N(F1476)&gt;1),"Remise invalide",IF(K1476="","Taux de TVA manquant",IF(NOT(ISNUMBER(K1476)),"Taux de TVA invalide",IF(COUNTIF(p_rates,K1476)=0,"Taux de TVA hors liste (Paramètres)",IF(N(O1476)&gt;25,"Au-delà de 25 lignes : non imprimée","OK")))))))))))))</f>
        <v/>
      </c>
      <c r="O1476" s="59" t="str">
        <f>IF(A1476="","",COUNTIF($A$6:A1476,A1476))</f>
        <v/>
      </c>
      <c r="P1476" s="62" t="str">
        <f>IF(A1476="","",A1476&amp;"|"&amp;O1476)</f>
        <v/>
      </c>
    </row>
    <row r="1477">
      <c r="A1477" s="60" t="n"/>
      <c r="B1477" s="63" t="n"/>
      <c r="C1477" s="63" t="n"/>
      <c r="D1477" s="67" t="n"/>
      <c r="E1477" s="68" t="n"/>
      <c r="F1477" s="69" t="n"/>
      <c r="G1477" s="70" t="n"/>
      <c r="H1477" s="62" t="str">
        <f>IF(COUNTA(A1477:G1477)=0,"",IF(C1477&lt;&gt;"",C1477,IF(B1477="","",IFERROR(INDEX(pr_des,MATCH(B1477,pr_code,0))&amp;"",""))))</f>
        <v/>
      </c>
      <c r="I1477" s="59" t="str">
        <f>IF(B1477="","",IFERROR(INDEX(pr_unit,MATCH(B1477,pr_code,0))&amp;"",""))</f>
        <v/>
      </c>
      <c r="J1477" s="65" t="str">
        <f>IF(COUNTA(A1477:G1477)=0,"",IF(E1477&lt;&gt;"",E1477,IF(B1477="","",IFERROR(IF(INDEX(pr_price,MATCH(B1477,pr_code,0))="","",INDEX(pr_price,MATCH(B1477,pr_code,0))),""))))</f>
        <v/>
      </c>
      <c r="K1477" s="71" t="str">
        <f>IF(COUNTA(A1477:G1477)=0,"",IF(G1477&lt;&gt;"",G1477,IF(B1477="","",IFERROR(IF(INDEX(pr_rate,MATCH(B1477,pr_code,0))="","",INDEX(pr_rate,MATCH(B1477,pr_code,0))),""))))</f>
        <v/>
      </c>
      <c r="L1477" s="65" t="str">
        <f>IF(COUNTA(A1477:G1477)=0,"",IF(AND(ISNUMBER(D1477),ISNUMBER(J1477)),ROUND(D1477*J1477*(1-N(F1477)),2),0))</f>
        <v/>
      </c>
      <c r="M1477" s="62" t="str">
        <f>IF(A1477="","",IFERROR(INDEX(fa_cname,MATCH(A1477,fa_num,0))&amp;"",""))</f>
        <v/>
      </c>
      <c r="N1477" s="59" t="str">
        <f>IF(COUNTA(A1477:G1477)=0,"",IF(A1477="","N° facture manquant",IF(ISNA(MATCH(A1477,fa_num,0)),"Facture inconnue",IF(AND(B1477&lt;&gt;"",ISNA(MATCH(B1477,pr_code,0))),"Article inconnu",IF(H1477="","Désignation manquante",IF(OR(NOT(ISNUMBER(D1477)),N(D1477)&lt;=0),"Quantité invalide",IF(J1477="","Prix manquant",IF(OR(NOT(ISNUMBER(J1477)),N(J1477)&lt;0),"Prix invalide",IF(OR(AND(F1477&lt;&gt;"",NOT(ISNUMBER(F1477))),N(F1477)&lt;0,N(F1477)&gt;1),"Remise invalide",IF(K1477="","Taux de TVA manquant",IF(NOT(ISNUMBER(K1477)),"Taux de TVA invalide",IF(COUNTIF(p_rates,K1477)=0,"Taux de TVA hors liste (Paramètres)",IF(N(O1477)&gt;25,"Au-delà de 25 lignes : non imprimée","OK")))))))))))))</f>
        <v/>
      </c>
      <c r="O1477" s="59" t="str">
        <f>IF(A1477="","",COUNTIF($A$6:A1477,A1477))</f>
        <v/>
      </c>
      <c r="P1477" s="62" t="str">
        <f>IF(A1477="","",A1477&amp;"|"&amp;O1477)</f>
        <v/>
      </c>
    </row>
    <row r="1478">
      <c r="A1478" s="60" t="n"/>
      <c r="B1478" s="63" t="n"/>
      <c r="C1478" s="63" t="n"/>
      <c r="D1478" s="67" t="n"/>
      <c r="E1478" s="68" t="n"/>
      <c r="F1478" s="69" t="n"/>
      <c r="G1478" s="70" t="n"/>
      <c r="H1478" s="62" t="str">
        <f>IF(COUNTA(A1478:G1478)=0,"",IF(C1478&lt;&gt;"",C1478,IF(B1478="","",IFERROR(INDEX(pr_des,MATCH(B1478,pr_code,0))&amp;"",""))))</f>
        <v/>
      </c>
      <c r="I1478" s="59" t="str">
        <f>IF(B1478="","",IFERROR(INDEX(pr_unit,MATCH(B1478,pr_code,0))&amp;"",""))</f>
        <v/>
      </c>
      <c r="J1478" s="65" t="str">
        <f>IF(COUNTA(A1478:G1478)=0,"",IF(E1478&lt;&gt;"",E1478,IF(B1478="","",IFERROR(IF(INDEX(pr_price,MATCH(B1478,pr_code,0))="","",INDEX(pr_price,MATCH(B1478,pr_code,0))),""))))</f>
        <v/>
      </c>
      <c r="K1478" s="71" t="str">
        <f>IF(COUNTA(A1478:G1478)=0,"",IF(G1478&lt;&gt;"",G1478,IF(B1478="","",IFERROR(IF(INDEX(pr_rate,MATCH(B1478,pr_code,0))="","",INDEX(pr_rate,MATCH(B1478,pr_code,0))),""))))</f>
        <v/>
      </c>
      <c r="L1478" s="65" t="str">
        <f>IF(COUNTA(A1478:G1478)=0,"",IF(AND(ISNUMBER(D1478),ISNUMBER(J1478)),ROUND(D1478*J1478*(1-N(F1478)),2),0))</f>
        <v/>
      </c>
      <c r="M1478" s="62" t="str">
        <f>IF(A1478="","",IFERROR(INDEX(fa_cname,MATCH(A1478,fa_num,0))&amp;"",""))</f>
        <v/>
      </c>
      <c r="N1478" s="59" t="str">
        <f>IF(COUNTA(A1478:G1478)=0,"",IF(A1478="","N° facture manquant",IF(ISNA(MATCH(A1478,fa_num,0)),"Facture inconnue",IF(AND(B1478&lt;&gt;"",ISNA(MATCH(B1478,pr_code,0))),"Article inconnu",IF(H1478="","Désignation manquante",IF(OR(NOT(ISNUMBER(D1478)),N(D1478)&lt;=0),"Quantité invalide",IF(J1478="","Prix manquant",IF(OR(NOT(ISNUMBER(J1478)),N(J1478)&lt;0),"Prix invalide",IF(OR(AND(F1478&lt;&gt;"",NOT(ISNUMBER(F1478))),N(F1478)&lt;0,N(F1478)&gt;1),"Remise invalide",IF(K1478="","Taux de TVA manquant",IF(NOT(ISNUMBER(K1478)),"Taux de TVA invalide",IF(COUNTIF(p_rates,K1478)=0,"Taux de TVA hors liste (Paramètres)",IF(N(O1478)&gt;25,"Au-delà de 25 lignes : non imprimée","OK")))))))))))))</f>
        <v/>
      </c>
      <c r="O1478" s="59" t="str">
        <f>IF(A1478="","",COUNTIF($A$6:A1478,A1478))</f>
        <v/>
      </c>
      <c r="P1478" s="62" t="str">
        <f>IF(A1478="","",A1478&amp;"|"&amp;O1478)</f>
        <v/>
      </c>
    </row>
    <row r="1479">
      <c r="A1479" s="60" t="n"/>
      <c r="B1479" s="63" t="n"/>
      <c r="C1479" s="63" t="n"/>
      <c r="D1479" s="67" t="n"/>
      <c r="E1479" s="68" t="n"/>
      <c r="F1479" s="69" t="n"/>
      <c r="G1479" s="70" t="n"/>
      <c r="H1479" s="62" t="str">
        <f>IF(COUNTA(A1479:G1479)=0,"",IF(C1479&lt;&gt;"",C1479,IF(B1479="","",IFERROR(INDEX(pr_des,MATCH(B1479,pr_code,0))&amp;"",""))))</f>
        <v/>
      </c>
      <c r="I1479" s="59" t="str">
        <f>IF(B1479="","",IFERROR(INDEX(pr_unit,MATCH(B1479,pr_code,0))&amp;"",""))</f>
        <v/>
      </c>
      <c r="J1479" s="65" t="str">
        <f>IF(COUNTA(A1479:G1479)=0,"",IF(E1479&lt;&gt;"",E1479,IF(B1479="","",IFERROR(IF(INDEX(pr_price,MATCH(B1479,pr_code,0))="","",INDEX(pr_price,MATCH(B1479,pr_code,0))),""))))</f>
        <v/>
      </c>
      <c r="K1479" s="71" t="str">
        <f>IF(COUNTA(A1479:G1479)=0,"",IF(G1479&lt;&gt;"",G1479,IF(B1479="","",IFERROR(IF(INDEX(pr_rate,MATCH(B1479,pr_code,0))="","",INDEX(pr_rate,MATCH(B1479,pr_code,0))),""))))</f>
        <v/>
      </c>
      <c r="L1479" s="65" t="str">
        <f>IF(COUNTA(A1479:G1479)=0,"",IF(AND(ISNUMBER(D1479),ISNUMBER(J1479)),ROUND(D1479*J1479*(1-N(F1479)),2),0))</f>
        <v/>
      </c>
      <c r="M1479" s="62" t="str">
        <f>IF(A1479="","",IFERROR(INDEX(fa_cname,MATCH(A1479,fa_num,0))&amp;"",""))</f>
        <v/>
      </c>
      <c r="N1479" s="59" t="str">
        <f>IF(COUNTA(A1479:G1479)=0,"",IF(A1479="","N° facture manquant",IF(ISNA(MATCH(A1479,fa_num,0)),"Facture inconnue",IF(AND(B1479&lt;&gt;"",ISNA(MATCH(B1479,pr_code,0))),"Article inconnu",IF(H1479="","Désignation manquante",IF(OR(NOT(ISNUMBER(D1479)),N(D1479)&lt;=0),"Quantité invalide",IF(J1479="","Prix manquant",IF(OR(NOT(ISNUMBER(J1479)),N(J1479)&lt;0),"Prix invalide",IF(OR(AND(F1479&lt;&gt;"",NOT(ISNUMBER(F1479))),N(F1479)&lt;0,N(F1479)&gt;1),"Remise invalide",IF(K1479="","Taux de TVA manquant",IF(NOT(ISNUMBER(K1479)),"Taux de TVA invalide",IF(COUNTIF(p_rates,K1479)=0,"Taux de TVA hors liste (Paramètres)",IF(N(O1479)&gt;25,"Au-delà de 25 lignes : non imprimée","OK")))))))))))))</f>
        <v/>
      </c>
      <c r="O1479" s="59" t="str">
        <f>IF(A1479="","",COUNTIF($A$6:A1479,A1479))</f>
        <v/>
      </c>
      <c r="P1479" s="62" t="str">
        <f>IF(A1479="","",A1479&amp;"|"&amp;O1479)</f>
        <v/>
      </c>
    </row>
    <row r="1480">
      <c r="A1480" s="60" t="n"/>
      <c r="B1480" s="63" t="n"/>
      <c r="C1480" s="63" t="n"/>
      <c r="D1480" s="67" t="n"/>
      <c r="E1480" s="68" t="n"/>
      <c r="F1480" s="69" t="n"/>
      <c r="G1480" s="70" t="n"/>
      <c r="H1480" s="62" t="str">
        <f>IF(COUNTA(A1480:G1480)=0,"",IF(C1480&lt;&gt;"",C1480,IF(B1480="","",IFERROR(INDEX(pr_des,MATCH(B1480,pr_code,0))&amp;"",""))))</f>
        <v/>
      </c>
      <c r="I1480" s="59" t="str">
        <f>IF(B1480="","",IFERROR(INDEX(pr_unit,MATCH(B1480,pr_code,0))&amp;"",""))</f>
        <v/>
      </c>
      <c r="J1480" s="65" t="str">
        <f>IF(COUNTA(A1480:G1480)=0,"",IF(E1480&lt;&gt;"",E1480,IF(B1480="","",IFERROR(IF(INDEX(pr_price,MATCH(B1480,pr_code,0))="","",INDEX(pr_price,MATCH(B1480,pr_code,0))),""))))</f>
        <v/>
      </c>
      <c r="K1480" s="71" t="str">
        <f>IF(COUNTA(A1480:G1480)=0,"",IF(G1480&lt;&gt;"",G1480,IF(B1480="","",IFERROR(IF(INDEX(pr_rate,MATCH(B1480,pr_code,0))="","",INDEX(pr_rate,MATCH(B1480,pr_code,0))),""))))</f>
        <v/>
      </c>
      <c r="L1480" s="65" t="str">
        <f>IF(COUNTA(A1480:G1480)=0,"",IF(AND(ISNUMBER(D1480),ISNUMBER(J1480)),ROUND(D1480*J1480*(1-N(F1480)),2),0))</f>
        <v/>
      </c>
      <c r="M1480" s="62" t="str">
        <f>IF(A1480="","",IFERROR(INDEX(fa_cname,MATCH(A1480,fa_num,0))&amp;"",""))</f>
        <v/>
      </c>
      <c r="N1480" s="59" t="str">
        <f>IF(COUNTA(A1480:G1480)=0,"",IF(A1480="","N° facture manquant",IF(ISNA(MATCH(A1480,fa_num,0)),"Facture inconnue",IF(AND(B1480&lt;&gt;"",ISNA(MATCH(B1480,pr_code,0))),"Article inconnu",IF(H1480="","Désignation manquante",IF(OR(NOT(ISNUMBER(D1480)),N(D1480)&lt;=0),"Quantité invalide",IF(J1480="","Prix manquant",IF(OR(NOT(ISNUMBER(J1480)),N(J1480)&lt;0),"Prix invalide",IF(OR(AND(F1480&lt;&gt;"",NOT(ISNUMBER(F1480))),N(F1480)&lt;0,N(F1480)&gt;1),"Remise invalide",IF(K1480="","Taux de TVA manquant",IF(NOT(ISNUMBER(K1480)),"Taux de TVA invalide",IF(COUNTIF(p_rates,K1480)=0,"Taux de TVA hors liste (Paramètres)",IF(N(O1480)&gt;25,"Au-delà de 25 lignes : non imprimée","OK")))))))))))))</f>
        <v/>
      </c>
      <c r="O1480" s="59" t="str">
        <f>IF(A1480="","",COUNTIF($A$6:A1480,A1480))</f>
        <v/>
      </c>
      <c r="P1480" s="62" t="str">
        <f>IF(A1480="","",A1480&amp;"|"&amp;O1480)</f>
        <v/>
      </c>
    </row>
    <row r="1481">
      <c r="A1481" s="60" t="n"/>
      <c r="B1481" s="63" t="n"/>
      <c r="C1481" s="63" t="n"/>
      <c r="D1481" s="67" t="n"/>
      <c r="E1481" s="68" t="n"/>
      <c r="F1481" s="69" t="n"/>
      <c r="G1481" s="70" t="n"/>
      <c r="H1481" s="62" t="str">
        <f>IF(COUNTA(A1481:G1481)=0,"",IF(C1481&lt;&gt;"",C1481,IF(B1481="","",IFERROR(INDEX(pr_des,MATCH(B1481,pr_code,0))&amp;"",""))))</f>
        <v/>
      </c>
      <c r="I1481" s="59" t="str">
        <f>IF(B1481="","",IFERROR(INDEX(pr_unit,MATCH(B1481,pr_code,0))&amp;"",""))</f>
        <v/>
      </c>
      <c r="J1481" s="65" t="str">
        <f>IF(COUNTA(A1481:G1481)=0,"",IF(E1481&lt;&gt;"",E1481,IF(B1481="","",IFERROR(IF(INDEX(pr_price,MATCH(B1481,pr_code,0))="","",INDEX(pr_price,MATCH(B1481,pr_code,0))),""))))</f>
        <v/>
      </c>
      <c r="K1481" s="71" t="str">
        <f>IF(COUNTA(A1481:G1481)=0,"",IF(G1481&lt;&gt;"",G1481,IF(B1481="","",IFERROR(IF(INDEX(pr_rate,MATCH(B1481,pr_code,0))="","",INDEX(pr_rate,MATCH(B1481,pr_code,0))),""))))</f>
        <v/>
      </c>
      <c r="L1481" s="65" t="str">
        <f>IF(COUNTA(A1481:G1481)=0,"",IF(AND(ISNUMBER(D1481),ISNUMBER(J1481)),ROUND(D1481*J1481*(1-N(F1481)),2),0))</f>
        <v/>
      </c>
      <c r="M1481" s="62" t="str">
        <f>IF(A1481="","",IFERROR(INDEX(fa_cname,MATCH(A1481,fa_num,0))&amp;"",""))</f>
        <v/>
      </c>
      <c r="N1481" s="59" t="str">
        <f>IF(COUNTA(A1481:G1481)=0,"",IF(A1481="","N° facture manquant",IF(ISNA(MATCH(A1481,fa_num,0)),"Facture inconnue",IF(AND(B1481&lt;&gt;"",ISNA(MATCH(B1481,pr_code,0))),"Article inconnu",IF(H1481="","Désignation manquante",IF(OR(NOT(ISNUMBER(D1481)),N(D1481)&lt;=0),"Quantité invalide",IF(J1481="","Prix manquant",IF(OR(NOT(ISNUMBER(J1481)),N(J1481)&lt;0),"Prix invalide",IF(OR(AND(F1481&lt;&gt;"",NOT(ISNUMBER(F1481))),N(F1481)&lt;0,N(F1481)&gt;1),"Remise invalide",IF(K1481="","Taux de TVA manquant",IF(NOT(ISNUMBER(K1481)),"Taux de TVA invalide",IF(COUNTIF(p_rates,K1481)=0,"Taux de TVA hors liste (Paramètres)",IF(N(O1481)&gt;25,"Au-delà de 25 lignes : non imprimée","OK")))))))))))))</f>
        <v/>
      </c>
      <c r="O1481" s="59" t="str">
        <f>IF(A1481="","",COUNTIF($A$6:A1481,A1481))</f>
        <v/>
      </c>
      <c r="P1481" s="62" t="str">
        <f>IF(A1481="","",A1481&amp;"|"&amp;O1481)</f>
        <v/>
      </c>
    </row>
    <row r="1482">
      <c r="A1482" s="60" t="n"/>
      <c r="B1482" s="63" t="n"/>
      <c r="C1482" s="63" t="n"/>
      <c r="D1482" s="67" t="n"/>
      <c r="E1482" s="68" t="n"/>
      <c r="F1482" s="69" t="n"/>
      <c r="G1482" s="70" t="n"/>
      <c r="H1482" s="62" t="str">
        <f>IF(COUNTA(A1482:G1482)=0,"",IF(C1482&lt;&gt;"",C1482,IF(B1482="","",IFERROR(INDEX(pr_des,MATCH(B1482,pr_code,0))&amp;"",""))))</f>
        <v/>
      </c>
      <c r="I1482" s="59" t="str">
        <f>IF(B1482="","",IFERROR(INDEX(pr_unit,MATCH(B1482,pr_code,0))&amp;"",""))</f>
        <v/>
      </c>
      <c r="J1482" s="65" t="str">
        <f>IF(COUNTA(A1482:G1482)=0,"",IF(E1482&lt;&gt;"",E1482,IF(B1482="","",IFERROR(IF(INDEX(pr_price,MATCH(B1482,pr_code,0))="","",INDEX(pr_price,MATCH(B1482,pr_code,0))),""))))</f>
        <v/>
      </c>
      <c r="K1482" s="71" t="str">
        <f>IF(COUNTA(A1482:G1482)=0,"",IF(G1482&lt;&gt;"",G1482,IF(B1482="","",IFERROR(IF(INDEX(pr_rate,MATCH(B1482,pr_code,0))="","",INDEX(pr_rate,MATCH(B1482,pr_code,0))),""))))</f>
        <v/>
      </c>
      <c r="L1482" s="65" t="str">
        <f>IF(COUNTA(A1482:G1482)=0,"",IF(AND(ISNUMBER(D1482),ISNUMBER(J1482)),ROUND(D1482*J1482*(1-N(F1482)),2),0))</f>
        <v/>
      </c>
      <c r="M1482" s="62" t="str">
        <f>IF(A1482="","",IFERROR(INDEX(fa_cname,MATCH(A1482,fa_num,0))&amp;"",""))</f>
        <v/>
      </c>
      <c r="N1482" s="59" t="str">
        <f>IF(COUNTA(A1482:G1482)=0,"",IF(A1482="","N° facture manquant",IF(ISNA(MATCH(A1482,fa_num,0)),"Facture inconnue",IF(AND(B1482&lt;&gt;"",ISNA(MATCH(B1482,pr_code,0))),"Article inconnu",IF(H1482="","Désignation manquante",IF(OR(NOT(ISNUMBER(D1482)),N(D1482)&lt;=0),"Quantité invalide",IF(J1482="","Prix manquant",IF(OR(NOT(ISNUMBER(J1482)),N(J1482)&lt;0),"Prix invalide",IF(OR(AND(F1482&lt;&gt;"",NOT(ISNUMBER(F1482))),N(F1482)&lt;0,N(F1482)&gt;1),"Remise invalide",IF(K1482="","Taux de TVA manquant",IF(NOT(ISNUMBER(K1482)),"Taux de TVA invalide",IF(COUNTIF(p_rates,K1482)=0,"Taux de TVA hors liste (Paramètres)",IF(N(O1482)&gt;25,"Au-delà de 25 lignes : non imprimée","OK")))))))))))))</f>
        <v/>
      </c>
      <c r="O1482" s="59" t="str">
        <f>IF(A1482="","",COUNTIF($A$6:A1482,A1482))</f>
        <v/>
      </c>
      <c r="P1482" s="62" t="str">
        <f>IF(A1482="","",A1482&amp;"|"&amp;O1482)</f>
        <v/>
      </c>
    </row>
    <row r="1483">
      <c r="A1483" s="60" t="n"/>
      <c r="B1483" s="63" t="n"/>
      <c r="C1483" s="63" t="n"/>
      <c r="D1483" s="67" t="n"/>
      <c r="E1483" s="68" t="n"/>
      <c r="F1483" s="69" t="n"/>
      <c r="G1483" s="70" t="n"/>
      <c r="H1483" s="62" t="str">
        <f>IF(COUNTA(A1483:G1483)=0,"",IF(C1483&lt;&gt;"",C1483,IF(B1483="","",IFERROR(INDEX(pr_des,MATCH(B1483,pr_code,0))&amp;"",""))))</f>
        <v/>
      </c>
      <c r="I1483" s="59" t="str">
        <f>IF(B1483="","",IFERROR(INDEX(pr_unit,MATCH(B1483,pr_code,0))&amp;"",""))</f>
        <v/>
      </c>
      <c r="J1483" s="65" t="str">
        <f>IF(COUNTA(A1483:G1483)=0,"",IF(E1483&lt;&gt;"",E1483,IF(B1483="","",IFERROR(IF(INDEX(pr_price,MATCH(B1483,pr_code,0))="","",INDEX(pr_price,MATCH(B1483,pr_code,0))),""))))</f>
        <v/>
      </c>
      <c r="K1483" s="71" t="str">
        <f>IF(COUNTA(A1483:G1483)=0,"",IF(G1483&lt;&gt;"",G1483,IF(B1483="","",IFERROR(IF(INDEX(pr_rate,MATCH(B1483,pr_code,0))="","",INDEX(pr_rate,MATCH(B1483,pr_code,0))),""))))</f>
        <v/>
      </c>
      <c r="L1483" s="65" t="str">
        <f>IF(COUNTA(A1483:G1483)=0,"",IF(AND(ISNUMBER(D1483),ISNUMBER(J1483)),ROUND(D1483*J1483*(1-N(F1483)),2),0))</f>
        <v/>
      </c>
      <c r="M1483" s="62" t="str">
        <f>IF(A1483="","",IFERROR(INDEX(fa_cname,MATCH(A1483,fa_num,0))&amp;"",""))</f>
        <v/>
      </c>
      <c r="N1483" s="59" t="str">
        <f>IF(COUNTA(A1483:G1483)=0,"",IF(A1483="","N° facture manquant",IF(ISNA(MATCH(A1483,fa_num,0)),"Facture inconnue",IF(AND(B1483&lt;&gt;"",ISNA(MATCH(B1483,pr_code,0))),"Article inconnu",IF(H1483="","Désignation manquante",IF(OR(NOT(ISNUMBER(D1483)),N(D1483)&lt;=0),"Quantité invalide",IF(J1483="","Prix manquant",IF(OR(NOT(ISNUMBER(J1483)),N(J1483)&lt;0),"Prix invalide",IF(OR(AND(F1483&lt;&gt;"",NOT(ISNUMBER(F1483))),N(F1483)&lt;0,N(F1483)&gt;1),"Remise invalide",IF(K1483="","Taux de TVA manquant",IF(NOT(ISNUMBER(K1483)),"Taux de TVA invalide",IF(COUNTIF(p_rates,K1483)=0,"Taux de TVA hors liste (Paramètres)",IF(N(O1483)&gt;25,"Au-delà de 25 lignes : non imprimée","OK")))))))))))))</f>
        <v/>
      </c>
      <c r="O1483" s="59" t="str">
        <f>IF(A1483="","",COUNTIF($A$6:A1483,A1483))</f>
        <v/>
      </c>
      <c r="P1483" s="62" t="str">
        <f>IF(A1483="","",A1483&amp;"|"&amp;O1483)</f>
        <v/>
      </c>
    </row>
    <row r="1484">
      <c r="A1484" s="60" t="n"/>
      <c r="B1484" s="63" t="n"/>
      <c r="C1484" s="63" t="n"/>
      <c r="D1484" s="67" t="n"/>
      <c r="E1484" s="68" t="n"/>
      <c r="F1484" s="69" t="n"/>
      <c r="G1484" s="70" t="n"/>
      <c r="H1484" s="62" t="str">
        <f>IF(COUNTA(A1484:G1484)=0,"",IF(C1484&lt;&gt;"",C1484,IF(B1484="","",IFERROR(INDEX(pr_des,MATCH(B1484,pr_code,0))&amp;"",""))))</f>
        <v/>
      </c>
      <c r="I1484" s="59" t="str">
        <f>IF(B1484="","",IFERROR(INDEX(pr_unit,MATCH(B1484,pr_code,0))&amp;"",""))</f>
        <v/>
      </c>
      <c r="J1484" s="65" t="str">
        <f>IF(COUNTA(A1484:G1484)=0,"",IF(E1484&lt;&gt;"",E1484,IF(B1484="","",IFERROR(IF(INDEX(pr_price,MATCH(B1484,pr_code,0))="","",INDEX(pr_price,MATCH(B1484,pr_code,0))),""))))</f>
        <v/>
      </c>
      <c r="K1484" s="71" t="str">
        <f>IF(COUNTA(A1484:G1484)=0,"",IF(G1484&lt;&gt;"",G1484,IF(B1484="","",IFERROR(IF(INDEX(pr_rate,MATCH(B1484,pr_code,0))="","",INDEX(pr_rate,MATCH(B1484,pr_code,0))),""))))</f>
        <v/>
      </c>
      <c r="L1484" s="65" t="str">
        <f>IF(COUNTA(A1484:G1484)=0,"",IF(AND(ISNUMBER(D1484),ISNUMBER(J1484)),ROUND(D1484*J1484*(1-N(F1484)),2),0))</f>
        <v/>
      </c>
      <c r="M1484" s="62" t="str">
        <f>IF(A1484="","",IFERROR(INDEX(fa_cname,MATCH(A1484,fa_num,0))&amp;"",""))</f>
        <v/>
      </c>
      <c r="N1484" s="59" t="str">
        <f>IF(COUNTA(A1484:G1484)=0,"",IF(A1484="","N° facture manquant",IF(ISNA(MATCH(A1484,fa_num,0)),"Facture inconnue",IF(AND(B1484&lt;&gt;"",ISNA(MATCH(B1484,pr_code,0))),"Article inconnu",IF(H1484="","Désignation manquante",IF(OR(NOT(ISNUMBER(D1484)),N(D1484)&lt;=0),"Quantité invalide",IF(J1484="","Prix manquant",IF(OR(NOT(ISNUMBER(J1484)),N(J1484)&lt;0),"Prix invalide",IF(OR(AND(F1484&lt;&gt;"",NOT(ISNUMBER(F1484))),N(F1484)&lt;0,N(F1484)&gt;1),"Remise invalide",IF(K1484="","Taux de TVA manquant",IF(NOT(ISNUMBER(K1484)),"Taux de TVA invalide",IF(COUNTIF(p_rates,K1484)=0,"Taux de TVA hors liste (Paramètres)",IF(N(O1484)&gt;25,"Au-delà de 25 lignes : non imprimée","OK")))))))))))))</f>
        <v/>
      </c>
      <c r="O1484" s="59" t="str">
        <f>IF(A1484="","",COUNTIF($A$6:A1484,A1484))</f>
        <v/>
      </c>
      <c r="P1484" s="62" t="str">
        <f>IF(A1484="","",A1484&amp;"|"&amp;O1484)</f>
        <v/>
      </c>
    </row>
    <row r="1485">
      <c r="A1485" s="60" t="n"/>
      <c r="B1485" s="63" t="n"/>
      <c r="C1485" s="63" t="n"/>
      <c r="D1485" s="67" t="n"/>
      <c r="E1485" s="68" t="n"/>
      <c r="F1485" s="69" t="n"/>
      <c r="G1485" s="70" t="n"/>
      <c r="H1485" s="62" t="str">
        <f>IF(COUNTA(A1485:G1485)=0,"",IF(C1485&lt;&gt;"",C1485,IF(B1485="","",IFERROR(INDEX(pr_des,MATCH(B1485,pr_code,0))&amp;"",""))))</f>
        <v/>
      </c>
      <c r="I1485" s="59" t="str">
        <f>IF(B1485="","",IFERROR(INDEX(pr_unit,MATCH(B1485,pr_code,0))&amp;"",""))</f>
        <v/>
      </c>
      <c r="J1485" s="65" t="str">
        <f>IF(COUNTA(A1485:G1485)=0,"",IF(E1485&lt;&gt;"",E1485,IF(B1485="","",IFERROR(IF(INDEX(pr_price,MATCH(B1485,pr_code,0))="","",INDEX(pr_price,MATCH(B1485,pr_code,0))),""))))</f>
        <v/>
      </c>
      <c r="K1485" s="71" t="str">
        <f>IF(COUNTA(A1485:G1485)=0,"",IF(G1485&lt;&gt;"",G1485,IF(B1485="","",IFERROR(IF(INDEX(pr_rate,MATCH(B1485,pr_code,0))="","",INDEX(pr_rate,MATCH(B1485,pr_code,0))),""))))</f>
        <v/>
      </c>
      <c r="L1485" s="65" t="str">
        <f>IF(COUNTA(A1485:G1485)=0,"",IF(AND(ISNUMBER(D1485),ISNUMBER(J1485)),ROUND(D1485*J1485*(1-N(F1485)),2),0))</f>
        <v/>
      </c>
      <c r="M1485" s="62" t="str">
        <f>IF(A1485="","",IFERROR(INDEX(fa_cname,MATCH(A1485,fa_num,0))&amp;"",""))</f>
        <v/>
      </c>
      <c r="N1485" s="59" t="str">
        <f>IF(COUNTA(A1485:G1485)=0,"",IF(A1485="","N° facture manquant",IF(ISNA(MATCH(A1485,fa_num,0)),"Facture inconnue",IF(AND(B1485&lt;&gt;"",ISNA(MATCH(B1485,pr_code,0))),"Article inconnu",IF(H1485="","Désignation manquante",IF(OR(NOT(ISNUMBER(D1485)),N(D1485)&lt;=0),"Quantité invalide",IF(J1485="","Prix manquant",IF(OR(NOT(ISNUMBER(J1485)),N(J1485)&lt;0),"Prix invalide",IF(OR(AND(F1485&lt;&gt;"",NOT(ISNUMBER(F1485))),N(F1485)&lt;0,N(F1485)&gt;1),"Remise invalide",IF(K1485="","Taux de TVA manquant",IF(NOT(ISNUMBER(K1485)),"Taux de TVA invalide",IF(COUNTIF(p_rates,K1485)=0,"Taux de TVA hors liste (Paramètres)",IF(N(O1485)&gt;25,"Au-delà de 25 lignes : non imprimée","OK")))))))))))))</f>
        <v/>
      </c>
      <c r="O1485" s="59" t="str">
        <f>IF(A1485="","",COUNTIF($A$6:A1485,A1485))</f>
        <v/>
      </c>
      <c r="P1485" s="62" t="str">
        <f>IF(A1485="","",A1485&amp;"|"&amp;O1485)</f>
        <v/>
      </c>
    </row>
    <row r="1486">
      <c r="A1486" s="60" t="n"/>
      <c r="B1486" s="63" t="n"/>
      <c r="C1486" s="63" t="n"/>
      <c r="D1486" s="67" t="n"/>
      <c r="E1486" s="68" t="n"/>
      <c r="F1486" s="69" t="n"/>
      <c r="G1486" s="70" t="n"/>
      <c r="H1486" s="62" t="str">
        <f>IF(COUNTA(A1486:G1486)=0,"",IF(C1486&lt;&gt;"",C1486,IF(B1486="","",IFERROR(INDEX(pr_des,MATCH(B1486,pr_code,0))&amp;"",""))))</f>
        <v/>
      </c>
      <c r="I1486" s="59" t="str">
        <f>IF(B1486="","",IFERROR(INDEX(pr_unit,MATCH(B1486,pr_code,0))&amp;"",""))</f>
        <v/>
      </c>
      <c r="J1486" s="65" t="str">
        <f>IF(COUNTA(A1486:G1486)=0,"",IF(E1486&lt;&gt;"",E1486,IF(B1486="","",IFERROR(IF(INDEX(pr_price,MATCH(B1486,pr_code,0))="","",INDEX(pr_price,MATCH(B1486,pr_code,0))),""))))</f>
        <v/>
      </c>
      <c r="K1486" s="71" t="str">
        <f>IF(COUNTA(A1486:G1486)=0,"",IF(G1486&lt;&gt;"",G1486,IF(B1486="","",IFERROR(IF(INDEX(pr_rate,MATCH(B1486,pr_code,0))="","",INDEX(pr_rate,MATCH(B1486,pr_code,0))),""))))</f>
        <v/>
      </c>
      <c r="L1486" s="65" t="str">
        <f>IF(COUNTA(A1486:G1486)=0,"",IF(AND(ISNUMBER(D1486),ISNUMBER(J1486)),ROUND(D1486*J1486*(1-N(F1486)),2),0))</f>
        <v/>
      </c>
      <c r="M1486" s="62" t="str">
        <f>IF(A1486="","",IFERROR(INDEX(fa_cname,MATCH(A1486,fa_num,0))&amp;"",""))</f>
        <v/>
      </c>
      <c r="N1486" s="59" t="str">
        <f>IF(COUNTA(A1486:G1486)=0,"",IF(A1486="","N° facture manquant",IF(ISNA(MATCH(A1486,fa_num,0)),"Facture inconnue",IF(AND(B1486&lt;&gt;"",ISNA(MATCH(B1486,pr_code,0))),"Article inconnu",IF(H1486="","Désignation manquante",IF(OR(NOT(ISNUMBER(D1486)),N(D1486)&lt;=0),"Quantité invalide",IF(J1486="","Prix manquant",IF(OR(NOT(ISNUMBER(J1486)),N(J1486)&lt;0),"Prix invalide",IF(OR(AND(F1486&lt;&gt;"",NOT(ISNUMBER(F1486))),N(F1486)&lt;0,N(F1486)&gt;1),"Remise invalide",IF(K1486="","Taux de TVA manquant",IF(NOT(ISNUMBER(K1486)),"Taux de TVA invalide",IF(COUNTIF(p_rates,K1486)=0,"Taux de TVA hors liste (Paramètres)",IF(N(O1486)&gt;25,"Au-delà de 25 lignes : non imprimée","OK")))))))))))))</f>
        <v/>
      </c>
      <c r="O1486" s="59" t="str">
        <f>IF(A1486="","",COUNTIF($A$6:A1486,A1486))</f>
        <v/>
      </c>
      <c r="P1486" s="62" t="str">
        <f>IF(A1486="","",A1486&amp;"|"&amp;O1486)</f>
        <v/>
      </c>
    </row>
    <row r="1487">
      <c r="A1487" s="60" t="n"/>
      <c r="B1487" s="63" t="n"/>
      <c r="C1487" s="63" t="n"/>
      <c r="D1487" s="67" t="n"/>
      <c r="E1487" s="68" t="n"/>
      <c r="F1487" s="69" t="n"/>
      <c r="G1487" s="70" t="n"/>
      <c r="H1487" s="62" t="str">
        <f>IF(COUNTA(A1487:G1487)=0,"",IF(C1487&lt;&gt;"",C1487,IF(B1487="","",IFERROR(INDEX(pr_des,MATCH(B1487,pr_code,0))&amp;"",""))))</f>
        <v/>
      </c>
      <c r="I1487" s="59" t="str">
        <f>IF(B1487="","",IFERROR(INDEX(pr_unit,MATCH(B1487,pr_code,0))&amp;"",""))</f>
        <v/>
      </c>
      <c r="J1487" s="65" t="str">
        <f>IF(COUNTA(A1487:G1487)=0,"",IF(E1487&lt;&gt;"",E1487,IF(B1487="","",IFERROR(IF(INDEX(pr_price,MATCH(B1487,pr_code,0))="","",INDEX(pr_price,MATCH(B1487,pr_code,0))),""))))</f>
        <v/>
      </c>
      <c r="K1487" s="71" t="str">
        <f>IF(COUNTA(A1487:G1487)=0,"",IF(G1487&lt;&gt;"",G1487,IF(B1487="","",IFERROR(IF(INDEX(pr_rate,MATCH(B1487,pr_code,0))="","",INDEX(pr_rate,MATCH(B1487,pr_code,0))),""))))</f>
        <v/>
      </c>
      <c r="L1487" s="65" t="str">
        <f>IF(COUNTA(A1487:G1487)=0,"",IF(AND(ISNUMBER(D1487),ISNUMBER(J1487)),ROUND(D1487*J1487*(1-N(F1487)),2),0))</f>
        <v/>
      </c>
      <c r="M1487" s="62" t="str">
        <f>IF(A1487="","",IFERROR(INDEX(fa_cname,MATCH(A1487,fa_num,0))&amp;"",""))</f>
        <v/>
      </c>
      <c r="N1487" s="59" t="str">
        <f>IF(COUNTA(A1487:G1487)=0,"",IF(A1487="","N° facture manquant",IF(ISNA(MATCH(A1487,fa_num,0)),"Facture inconnue",IF(AND(B1487&lt;&gt;"",ISNA(MATCH(B1487,pr_code,0))),"Article inconnu",IF(H1487="","Désignation manquante",IF(OR(NOT(ISNUMBER(D1487)),N(D1487)&lt;=0),"Quantité invalide",IF(J1487="","Prix manquant",IF(OR(NOT(ISNUMBER(J1487)),N(J1487)&lt;0),"Prix invalide",IF(OR(AND(F1487&lt;&gt;"",NOT(ISNUMBER(F1487))),N(F1487)&lt;0,N(F1487)&gt;1),"Remise invalide",IF(K1487="","Taux de TVA manquant",IF(NOT(ISNUMBER(K1487)),"Taux de TVA invalide",IF(COUNTIF(p_rates,K1487)=0,"Taux de TVA hors liste (Paramètres)",IF(N(O1487)&gt;25,"Au-delà de 25 lignes : non imprimée","OK")))))))))))))</f>
        <v/>
      </c>
      <c r="O1487" s="59" t="str">
        <f>IF(A1487="","",COUNTIF($A$6:A1487,A1487))</f>
        <v/>
      </c>
      <c r="P1487" s="62" t="str">
        <f>IF(A1487="","",A1487&amp;"|"&amp;O1487)</f>
        <v/>
      </c>
    </row>
    <row r="1488">
      <c r="A1488" s="60" t="n"/>
      <c r="B1488" s="63" t="n"/>
      <c r="C1488" s="63" t="n"/>
      <c r="D1488" s="67" t="n"/>
      <c r="E1488" s="68" t="n"/>
      <c r="F1488" s="69" t="n"/>
      <c r="G1488" s="70" t="n"/>
      <c r="H1488" s="62" t="str">
        <f>IF(COUNTA(A1488:G1488)=0,"",IF(C1488&lt;&gt;"",C1488,IF(B1488="","",IFERROR(INDEX(pr_des,MATCH(B1488,pr_code,0))&amp;"",""))))</f>
        <v/>
      </c>
      <c r="I1488" s="59" t="str">
        <f>IF(B1488="","",IFERROR(INDEX(pr_unit,MATCH(B1488,pr_code,0))&amp;"",""))</f>
        <v/>
      </c>
      <c r="J1488" s="65" t="str">
        <f>IF(COUNTA(A1488:G1488)=0,"",IF(E1488&lt;&gt;"",E1488,IF(B1488="","",IFERROR(IF(INDEX(pr_price,MATCH(B1488,pr_code,0))="","",INDEX(pr_price,MATCH(B1488,pr_code,0))),""))))</f>
        <v/>
      </c>
      <c r="K1488" s="71" t="str">
        <f>IF(COUNTA(A1488:G1488)=0,"",IF(G1488&lt;&gt;"",G1488,IF(B1488="","",IFERROR(IF(INDEX(pr_rate,MATCH(B1488,pr_code,0))="","",INDEX(pr_rate,MATCH(B1488,pr_code,0))),""))))</f>
        <v/>
      </c>
      <c r="L1488" s="65" t="str">
        <f>IF(COUNTA(A1488:G1488)=0,"",IF(AND(ISNUMBER(D1488),ISNUMBER(J1488)),ROUND(D1488*J1488*(1-N(F1488)),2),0))</f>
        <v/>
      </c>
      <c r="M1488" s="62" t="str">
        <f>IF(A1488="","",IFERROR(INDEX(fa_cname,MATCH(A1488,fa_num,0))&amp;"",""))</f>
        <v/>
      </c>
      <c r="N1488" s="59" t="str">
        <f>IF(COUNTA(A1488:G1488)=0,"",IF(A1488="","N° facture manquant",IF(ISNA(MATCH(A1488,fa_num,0)),"Facture inconnue",IF(AND(B1488&lt;&gt;"",ISNA(MATCH(B1488,pr_code,0))),"Article inconnu",IF(H1488="","Désignation manquante",IF(OR(NOT(ISNUMBER(D1488)),N(D1488)&lt;=0),"Quantité invalide",IF(J1488="","Prix manquant",IF(OR(NOT(ISNUMBER(J1488)),N(J1488)&lt;0),"Prix invalide",IF(OR(AND(F1488&lt;&gt;"",NOT(ISNUMBER(F1488))),N(F1488)&lt;0,N(F1488)&gt;1),"Remise invalide",IF(K1488="","Taux de TVA manquant",IF(NOT(ISNUMBER(K1488)),"Taux de TVA invalide",IF(COUNTIF(p_rates,K1488)=0,"Taux de TVA hors liste (Paramètres)",IF(N(O1488)&gt;25,"Au-delà de 25 lignes : non imprimée","OK")))))))))))))</f>
        <v/>
      </c>
      <c r="O1488" s="59" t="str">
        <f>IF(A1488="","",COUNTIF($A$6:A1488,A1488))</f>
        <v/>
      </c>
      <c r="P1488" s="62" t="str">
        <f>IF(A1488="","",A1488&amp;"|"&amp;O1488)</f>
        <v/>
      </c>
    </row>
    <row r="1489">
      <c r="A1489" s="60" t="n"/>
      <c r="B1489" s="63" t="n"/>
      <c r="C1489" s="63" t="n"/>
      <c r="D1489" s="67" t="n"/>
      <c r="E1489" s="68" t="n"/>
      <c r="F1489" s="69" t="n"/>
      <c r="G1489" s="70" t="n"/>
      <c r="H1489" s="62" t="str">
        <f>IF(COUNTA(A1489:G1489)=0,"",IF(C1489&lt;&gt;"",C1489,IF(B1489="","",IFERROR(INDEX(pr_des,MATCH(B1489,pr_code,0))&amp;"",""))))</f>
        <v/>
      </c>
      <c r="I1489" s="59" t="str">
        <f>IF(B1489="","",IFERROR(INDEX(pr_unit,MATCH(B1489,pr_code,0))&amp;"",""))</f>
        <v/>
      </c>
      <c r="J1489" s="65" t="str">
        <f>IF(COUNTA(A1489:G1489)=0,"",IF(E1489&lt;&gt;"",E1489,IF(B1489="","",IFERROR(IF(INDEX(pr_price,MATCH(B1489,pr_code,0))="","",INDEX(pr_price,MATCH(B1489,pr_code,0))),""))))</f>
        <v/>
      </c>
      <c r="K1489" s="71" t="str">
        <f>IF(COUNTA(A1489:G1489)=0,"",IF(G1489&lt;&gt;"",G1489,IF(B1489="","",IFERROR(IF(INDEX(pr_rate,MATCH(B1489,pr_code,0))="","",INDEX(pr_rate,MATCH(B1489,pr_code,0))),""))))</f>
        <v/>
      </c>
      <c r="L1489" s="65" t="str">
        <f>IF(COUNTA(A1489:G1489)=0,"",IF(AND(ISNUMBER(D1489),ISNUMBER(J1489)),ROUND(D1489*J1489*(1-N(F1489)),2),0))</f>
        <v/>
      </c>
      <c r="M1489" s="62" t="str">
        <f>IF(A1489="","",IFERROR(INDEX(fa_cname,MATCH(A1489,fa_num,0))&amp;"",""))</f>
        <v/>
      </c>
      <c r="N1489" s="59" t="str">
        <f>IF(COUNTA(A1489:G1489)=0,"",IF(A1489="","N° facture manquant",IF(ISNA(MATCH(A1489,fa_num,0)),"Facture inconnue",IF(AND(B1489&lt;&gt;"",ISNA(MATCH(B1489,pr_code,0))),"Article inconnu",IF(H1489="","Désignation manquante",IF(OR(NOT(ISNUMBER(D1489)),N(D1489)&lt;=0),"Quantité invalide",IF(J1489="","Prix manquant",IF(OR(NOT(ISNUMBER(J1489)),N(J1489)&lt;0),"Prix invalide",IF(OR(AND(F1489&lt;&gt;"",NOT(ISNUMBER(F1489))),N(F1489)&lt;0,N(F1489)&gt;1),"Remise invalide",IF(K1489="","Taux de TVA manquant",IF(NOT(ISNUMBER(K1489)),"Taux de TVA invalide",IF(COUNTIF(p_rates,K1489)=0,"Taux de TVA hors liste (Paramètres)",IF(N(O1489)&gt;25,"Au-delà de 25 lignes : non imprimée","OK")))))))))))))</f>
        <v/>
      </c>
      <c r="O1489" s="59" t="str">
        <f>IF(A1489="","",COUNTIF($A$6:A1489,A1489))</f>
        <v/>
      </c>
      <c r="P1489" s="62" t="str">
        <f>IF(A1489="","",A1489&amp;"|"&amp;O1489)</f>
        <v/>
      </c>
    </row>
    <row r="1490">
      <c r="A1490" s="60" t="n"/>
      <c r="B1490" s="63" t="n"/>
      <c r="C1490" s="63" t="n"/>
      <c r="D1490" s="67" t="n"/>
      <c r="E1490" s="68" t="n"/>
      <c r="F1490" s="69" t="n"/>
      <c r="G1490" s="70" t="n"/>
      <c r="H1490" s="62" t="str">
        <f>IF(COUNTA(A1490:G1490)=0,"",IF(C1490&lt;&gt;"",C1490,IF(B1490="","",IFERROR(INDEX(pr_des,MATCH(B1490,pr_code,0))&amp;"",""))))</f>
        <v/>
      </c>
      <c r="I1490" s="59" t="str">
        <f>IF(B1490="","",IFERROR(INDEX(pr_unit,MATCH(B1490,pr_code,0))&amp;"",""))</f>
        <v/>
      </c>
      <c r="J1490" s="65" t="str">
        <f>IF(COUNTA(A1490:G1490)=0,"",IF(E1490&lt;&gt;"",E1490,IF(B1490="","",IFERROR(IF(INDEX(pr_price,MATCH(B1490,pr_code,0))="","",INDEX(pr_price,MATCH(B1490,pr_code,0))),""))))</f>
        <v/>
      </c>
      <c r="K1490" s="71" t="str">
        <f>IF(COUNTA(A1490:G1490)=0,"",IF(G1490&lt;&gt;"",G1490,IF(B1490="","",IFERROR(IF(INDEX(pr_rate,MATCH(B1490,pr_code,0))="","",INDEX(pr_rate,MATCH(B1490,pr_code,0))),""))))</f>
        <v/>
      </c>
      <c r="L1490" s="65" t="str">
        <f>IF(COUNTA(A1490:G1490)=0,"",IF(AND(ISNUMBER(D1490),ISNUMBER(J1490)),ROUND(D1490*J1490*(1-N(F1490)),2),0))</f>
        <v/>
      </c>
      <c r="M1490" s="62" t="str">
        <f>IF(A1490="","",IFERROR(INDEX(fa_cname,MATCH(A1490,fa_num,0))&amp;"",""))</f>
        <v/>
      </c>
      <c r="N1490" s="59" t="str">
        <f>IF(COUNTA(A1490:G1490)=0,"",IF(A1490="","N° facture manquant",IF(ISNA(MATCH(A1490,fa_num,0)),"Facture inconnue",IF(AND(B1490&lt;&gt;"",ISNA(MATCH(B1490,pr_code,0))),"Article inconnu",IF(H1490="","Désignation manquante",IF(OR(NOT(ISNUMBER(D1490)),N(D1490)&lt;=0),"Quantité invalide",IF(J1490="","Prix manquant",IF(OR(NOT(ISNUMBER(J1490)),N(J1490)&lt;0),"Prix invalide",IF(OR(AND(F1490&lt;&gt;"",NOT(ISNUMBER(F1490))),N(F1490)&lt;0,N(F1490)&gt;1),"Remise invalide",IF(K1490="","Taux de TVA manquant",IF(NOT(ISNUMBER(K1490)),"Taux de TVA invalide",IF(COUNTIF(p_rates,K1490)=0,"Taux de TVA hors liste (Paramètres)",IF(N(O1490)&gt;25,"Au-delà de 25 lignes : non imprimée","OK")))))))))))))</f>
        <v/>
      </c>
      <c r="O1490" s="59" t="str">
        <f>IF(A1490="","",COUNTIF($A$6:A1490,A1490))</f>
        <v/>
      </c>
      <c r="P1490" s="62" t="str">
        <f>IF(A1490="","",A1490&amp;"|"&amp;O1490)</f>
        <v/>
      </c>
    </row>
    <row r="1491">
      <c r="A1491" s="60" t="n"/>
      <c r="B1491" s="63" t="n"/>
      <c r="C1491" s="63" t="n"/>
      <c r="D1491" s="67" t="n"/>
      <c r="E1491" s="68" t="n"/>
      <c r="F1491" s="69" t="n"/>
      <c r="G1491" s="70" t="n"/>
      <c r="H1491" s="62" t="str">
        <f>IF(COUNTA(A1491:G1491)=0,"",IF(C1491&lt;&gt;"",C1491,IF(B1491="","",IFERROR(INDEX(pr_des,MATCH(B1491,pr_code,0))&amp;"",""))))</f>
        <v/>
      </c>
      <c r="I1491" s="59" t="str">
        <f>IF(B1491="","",IFERROR(INDEX(pr_unit,MATCH(B1491,pr_code,0))&amp;"",""))</f>
        <v/>
      </c>
      <c r="J1491" s="65" t="str">
        <f>IF(COUNTA(A1491:G1491)=0,"",IF(E1491&lt;&gt;"",E1491,IF(B1491="","",IFERROR(IF(INDEX(pr_price,MATCH(B1491,pr_code,0))="","",INDEX(pr_price,MATCH(B1491,pr_code,0))),""))))</f>
        <v/>
      </c>
      <c r="K1491" s="71" t="str">
        <f>IF(COUNTA(A1491:G1491)=0,"",IF(G1491&lt;&gt;"",G1491,IF(B1491="","",IFERROR(IF(INDEX(pr_rate,MATCH(B1491,pr_code,0))="","",INDEX(pr_rate,MATCH(B1491,pr_code,0))),""))))</f>
        <v/>
      </c>
      <c r="L1491" s="65" t="str">
        <f>IF(COUNTA(A1491:G1491)=0,"",IF(AND(ISNUMBER(D1491),ISNUMBER(J1491)),ROUND(D1491*J1491*(1-N(F1491)),2),0))</f>
        <v/>
      </c>
      <c r="M1491" s="62" t="str">
        <f>IF(A1491="","",IFERROR(INDEX(fa_cname,MATCH(A1491,fa_num,0))&amp;"",""))</f>
        <v/>
      </c>
      <c r="N1491" s="59" t="str">
        <f>IF(COUNTA(A1491:G1491)=0,"",IF(A1491="","N° facture manquant",IF(ISNA(MATCH(A1491,fa_num,0)),"Facture inconnue",IF(AND(B1491&lt;&gt;"",ISNA(MATCH(B1491,pr_code,0))),"Article inconnu",IF(H1491="","Désignation manquante",IF(OR(NOT(ISNUMBER(D1491)),N(D1491)&lt;=0),"Quantité invalide",IF(J1491="","Prix manquant",IF(OR(NOT(ISNUMBER(J1491)),N(J1491)&lt;0),"Prix invalide",IF(OR(AND(F1491&lt;&gt;"",NOT(ISNUMBER(F1491))),N(F1491)&lt;0,N(F1491)&gt;1),"Remise invalide",IF(K1491="","Taux de TVA manquant",IF(NOT(ISNUMBER(K1491)),"Taux de TVA invalide",IF(COUNTIF(p_rates,K1491)=0,"Taux de TVA hors liste (Paramètres)",IF(N(O1491)&gt;25,"Au-delà de 25 lignes : non imprimée","OK")))))))))))))</f>
        <v/>
      </c>
      <c r="O1491" s="59" t="str">
        <f>IF(A1491="","",COUNTIF($A$6:A1491,A1491))</f>
        <v/>
      </c>
      <c r="P1491" s="62" t="str">
        <f>IF(A1491="","",A1491&amp;"|"&amp;O1491)</f>
        <v/>
      </c>
    </row>
    <row r="1492">
      <c r="A1492" s="60" t="n"/>
      <c r="B1492" s="63" t="n"/>
      <c r="C1492" s="63" t="n"/>
      <c r="D1492" s="67" t="n"/>
      <c r="E1492" s="68" t="n"/>
      <c r="F1492" s="69" t="n"/>
      <c r="G1492" s="70" t="n"/>
      <c r="H1492" s="62" t="str">
        <f>IF(COUNTA(A1492:G1492)=0,"",IF(C1492&lt;&gt;"",C1492,IF(B1492="","",IFERROR(INDEX(pr_des,MATCH(B1492,pr_code,0))&amp;"",""))))</f>
        <v/>
      </c>
      <c r="I1492" s="59" t="str">
        <f>IF(B1492="","",IFERROR(INDEX(pr_unit,MATCH(B1492,pr_code,0))&amp;"",""))</f>
        <v/>
      </c>
      <c r="J1492" s="65" t="str">
        <f>IF(COUNTA(A1492:G1492)=0,"",IF(E1492&lt;&gt;"",E1492,IF(B1492="","",IFERROR(IF(INDEX(pr_price,MATCH(B1492,pr_code,0))="","",INDEX(pr_price,MATCH(B1492,pr_code,0))),""))))</f>
        <v/>
      </c>
      <c r="K1492" s="71" t="str">
        <f>IF(COUNTA(A1492:G1492)=0,"",IF(G1492&lt;&gt;"",G1492,IF(B1492="","",IFERROR(IF(INDEX(pr_rate,MATCH(B1492,pr_code,0))="","",INDEX(pr_rate,MATCH(B1492,pr_code,0))),""))))</f>
        <v/>
      </c>
      <c r="L1492" s="65" t="str">
        <f>IF(COUNTA(A1492:G1492)=0,"",IF(AND(ISNUMBER(D1492),ISNUMBER(J1492)),ROUND(D1492*J1492*(1-N(F1492)),2),0))</f>
        <v/>
      </c>
      <c r="M1492" s="62" t="str">
        <f>IF(A1492="","",IFERROR(INDEX(fa_cname,MATCH(A1492,fa_num,0))&amp;"",""))</f>
        <v/>
      </c>
      <c r="N1492" s="59" t="str">
        <f>IF(COUNTA(A1492:G1492)=0,"",IF(A1492="","N° facture manquant",IF(ISNA(MATCH(A1492,fa_num,0)),"Facture inconnue",IF(AND(B1492&lt;&gt;"",ISNA(MATCH(B1492,pr_code,0))),"Article inconnu",IF(H1492="","Désignation manquante",IF(OR(NOT(ISNUMBER(D1492)),N(D1492)&lt;=0),"Quantité invalide",IF(J1492="","Prix manquant",IF(OR(NOT(ISNUMBER(J1492)),N(J1492)&lt;0),"Prix invalide",IF(OR(AND(F1492&lt;&gt;"",NOT(ISNUMBER(F1492))),N(F1492)&lt;0,N(F1492)&gt;1),"Remise invalide",IF(K1492="","Taux de TVA manquant",IF(NOT(ISNUMBER(K1492)),"Taux de TVA invalide",IF(COUNTIF(p_rates,K1492)=0,"Taux de TVA hors liste (Paramètres)",IF(N(O1492)&gt;25,"Au-delà de 25 lignes : non imprimée","OK")))))))))))))</f>
        <v/>
      </c>
      <c r="O1492" s="59" t="str">
        <f>IF(A1492="","",COUNTIF($A$6:A1492,A1492))</f>
        <v/>
      </c>
      <c r="P1492" s="62" t="str">
        <f>IF(A1492="","",A1492&amp;"|"&amp;O1492)</f>
        <v/>
      </c>
    </row>
    <row r="1493">
      <c r="A1493" s="60" t="n"/>
      <c r="B1493" s="63" t="n"/>
      <c r="C1493" s="63" t="n"/>
      <c r="D1493" s="67" t="n"/>
      <c r="E1493" s="68" t="n"/>
      <c r="F1493" s="69" t="n"/>
      <c r="G1493" s="70" t="n"/>
      <c r="H1493" s="62" t="str">
        <f>IF(COUNTA(A1493:G1493)=0,"",IF(C1493&lt;&gt;"",C1493,IF(B1493="","",IFERROR(INDEX(pr_des,MATCH(B1493,pr_code,0))&amp;"",""))))</f>
        <v/>
      </c>
      <c r="I1493" s="59" t="str">
        <f>IF(B1493="","",IFERROR(INDEX(pr_unit,MATCH(B1493,pr_code,0))&amp;"",""))</f>
        <v/>
      </c>
      <c r="J1493" s="65" t="str">
        <f>IF(COUNTA(A1493:G1493)=0,"",IF(E1493&lt;&gt;"",E1493,IF(B1493="","",IFERROR(IF(INDEX(pr_price,MATCH(B1493,pr_code,0))="","",INDEX(pr_price,MATCH(B1493,pr_code,0))),""))))</f>
        <v/>
      </c>
      <c r="K1493" s="71" t="str">
        <f>IF(COUNTA(A1493:G1493)=0,"",IF(G1493&lt;&gt;"",G1493,IF(B1493="","",IFERROR(IF(INDEX(pr_rate,MATCH(B1493,pr_code,0))="","",INDEX(pr_rate,MATCH(B1493,pr_code,0))),""))))</f>
        <v/>
      </c>
      <c r="L1493" s="65" t="str">
        <f>IF(COUNTA(A1493:G1493)=0,"",IF(AND(ISNUMBER(D1493),ISNUMBER(J1493)),ROUND(D1493*J1493*(1-N(F1493)),2),0))</f>
        <v/>
      </c>
      <c r="M1493" s="62" t="str">
        <f>IF(A1493="","",IFERROR(INDEX(fa_cname,MATCH(A1493,fa_num,0))&amp;"",""))</f>
        <v/>
      </c>
      <c r="N1493" s="59" t="str">
        <f>IF(COUNTA(A1493:G1493)=0,"",IF(A1493="","N° facture manquant",IF(ISNA(MATCH(A1493,fa_num,0)),"Facture inconnue",IF(AND(B1493&lt;&gt;"",ISNA(MATCH(B1493,pr_code,0))),"Article inconnu",IF(H1493="","Désignation manquante",IF(OR(NOT(ISNUMBER(D1493)),N(D1493)&lt;=0),"Quantité invalide",IF(J1493="","Prix manquant",IF(OR(NOT(ISNUMBER(J1493)),N(J1493)&lt;0),"Prix invalide",IF(OR(AND(F1493&lt;&gt;"",NOT(ISNUMBER(F1493))),N(F1493)&lt;0,N(F1493)&gt;1),"Remise invalide",IF(K1493="","Taux de TVA manquant",IF(NOT(ISNUMBER(K1493)),"Taux de TVA invalide",IF(COUNTIF(p_rates,K1493)=0,"Taux de TVA hors liste (Paramètres)",IF(N(O1493)&gt;25,"Au-delà de 25 lignes : non imprimée","OK")))))))))))))</f>
        <v/>
      </c>
      <c r="O1493" s="59" t="str">
        <f>IF(A1493="","",COUNTIF($A$6:A1493,A1493))</f>
        <v/>
      </c>
      <c r="P1493" s="62" t="str">
        <f>IF(A1493="","",A1493&amp;"|"&amp;O1493)</f>
        <v/>
      </c>
    </row>
    <row r="1494">
      <c r="A1494" s="60" t="n"/>
      <c r="B1494" s="63" t="n"/>
      <c r="C1494" s="63" t="n"/>
      <c r="D1494" s="67" t="n"/>
      <c r="E1494" s="68" t="n"/>
      <c r="F1494" s="69" t="n"/>
      <c r="G1494" s="70" t="n"/>
      <c r="H1494" s="62" t="str">
        <f>IF(COUNTA(A1494:G1494)=0,"",IF(C1494&lt;&gt;"",C1494,IF(B1494="","",IFERROR(INDEX(pr_des,MATCH(B1494,pr_code,0))&amp;"",""))))</f>
        <v/>
      </c>
      <c r="I1494" s="59" t="str">
        <f>IF(B1494="","",IFERROR(INDEX(pr_unit,MATCH(B1494,pr_code,0))&amp;"",""))</f>
        <v/>
      </c>
      <c r="J1494" s="65" t="str">
        <f>IF(COUNTA(A1494:G1494)=0,"",IF(E1494&lt;&gt;"",E1494,IF(B1494="","",IFERROR(IF(INDEX(pr_price,MATCH(B1494,pr_code,0))="","",INDEX(pr_price,MATCH(B1494,pr_code,0))),""))))</f>
        <v/>
      </c>
      <c r="K1494" s="71" t="str">
        <f>IF(COUNTA(A1494:G1494)=0,"",IF(G1494&lt;&gt;"",G1494,IF(B1494="","",IFERROR(IF(INDEX(pr_rate,MATCH(B1494,pr_code,0))="","",INDEX(pr_rate,MATCH(B1494,pr_code,0))),""))))</f>
        <v/>
      </c>
      <c r="L1494" s="65" t="str">
        <f>IF(COUNTA(A1494:G1494)=0,"",IF(AND(ISNUMBER(D1494),ISNUMBER(J1494)),ROUND(D1494*J1494*(1-N(F1494)),2),0))</f>
        <v/>
      </c>
      <c r="M1494" s="62" t="str">
        <f>IF(A1494="","",IFERROR(INDEX(fa_cname,MATCH(A1494,fa_num,0))&amp;"",""))</f>
        <v/>
      </c>
      <c r="N1494" s="59" t="str">
        <f>IF(COUNTA(A1494:G1494)=0,"",IF(A1494="","N° facture manquant",IF(ISNA(MATCH(A1494,fa_num,0)),"Facture inconnue",IF(AND(B1494&lt;&gt;"",ISNA(MATCH(B1494,pr_code,0))),"Article inconnu",IF(H1494="","Désignation manquante",IF(OR(NOT(ISNUMBER(D1494)),N(D1494)&lt;=0),"Quantité invalide",IF(J1494="","Prix manquant",IF(OR(NOT(ISNUMBER(J1494)),N(J1494)&lt;0),"Prix invalide",IF(OR(AND(F1494&lt;&gt;"",NOT(ISNUMBER(F1494))),N(F1494)&lt;0,N(F1494)&gt;1),"Remise invalide",IF(K1494="","Taux de TVA manquant",IF(NOT(ISNUMBER(K1494)),"Taux de TVA invalide",IF(COUNTIF(p_rates,K1494)=0,"Taux de TVA hors liste (Paramètres)",IF(N(O1494)&gt;25,"Au-delà de 25 lignes : non imprimée","OK")))))))))))))</f>
        <v/>
      </c>
      <c r="O1494" s="59" t="str">
        <f>IF(A1494="","",COUNTIF($A$6:A1494,A1494))</f>
        <v/>
      </c>
      <c r="P1494" s="62" t="str">
        <f>IF(A1494="","",A1494&amp;"|"&amp;O1494)</f>
        <v/>
      </c>
    </row>
    <row r="1495">
      <c r="A1495" s="60" t="n"/>
      <c r="B1495" s="63" t="n"/>
      <c r="C1495" s="63" t="n"/>
      <c r="D1495" s="67" t="n"/>
      <c r="E1495" s="68" t="n"/>
      <c r="F1495" s="69" t="n"/>
      <c r="G1495" s="70" t="n"/>
      <c r="H1495" s="62" t="str">
        <f>IF(COUNTA(A1495:G1495)=0,"",IF(C1495&lt;&gt;"",C1495,IF(B1495="","",IFERROR(INDEX(pr_des,MATCH(B1495,pr_code,0))&amp;"",""))))</f>
        <v/>
      </c>
      <c r="I1495" s="59" t="str">
        <f>IF(B1495="","",IFERROR(INDEX(pr_unit,MATCH(B1495,pr_code,0))&amp;"",""))</f>
        <v/>
      </c>
      <c r="J1495" s="65" t="str">
        <f>IF(COUNTA(A1495:G1495)=0,"",IF(E1495&lt;&gt;"",E1495,IF(B1495="","",IFERROR(IF(INDEX(pr_price,MATCH(B1495,pr_code,0))="","",INDEX(pr_price,MATCH(B1495,pr_code,0))),""))))</f>
        <v/>
      </c>
      <c r="K1495" s="71" t="str">
        <f>IF(COUNTA(A1495:G1495)=0,"",IF(G1495&lt;&gt;"",G1495,IF(B1495="","",IFERROR(IF(INDEX(pr_rate,MATCH(B1495,pr_code,0))="","",INDEX(pr_rate,MATCH(B1495,pr_code,0))),""))))</f>
        <v/>
      </c>
      <c r="L1495" s="65" t="str">
        <f>IF(COUNTA(A1495:G1495)=0,"",IF(AND(ISNUMBER(D1495),ISNUMBER(J1495)),ROUND(D1495*J1495*(1-N(F1495)),2),0))</f>
        <v/>
      </c>
      <c r="M1495" s="62" t="str">
        <f>IF(A1495="","",IFERROR(INDEX(fa_cname,MATCH(A1495,fa_num,0))&amp;"",""))</f>
        <v/>
      </c>
      <c r="N1495" s="59" t="str">
        <f>IF(COUNTA(A1495:G1495)=0,"",IF(A1495="","N° facture manquant",IF(ISNA(MATCH(A1495,fa_num,0)),"Facture inconnue",IF(AND(B1495&lt;&gt;"",ISNA(MATCH(B1495,pr_code,0))),"Article inconnu",IF(H1495="","Désignation manquante",IF(OR(NOT(ISNUMBER(D1495)),N(D1495)&lt;=0),"Quantité invalide",IF(J1495="","Prix manquant",IF(OR(NOT(ISNUMBER(J1495)),N(J1495)&lt;0),"Prix invalide",IF(OR(AND(F1495&lt;&gt;"",NOT(ISNUMBER(F1495))),N(F1495)&lt;0,N(F1495)&gt;1),"Remise invalide",IF(K1495="","Taux de TVA manquant",IF(NOT(ISNUMBER(K1495)),"Taux de TVA invalide",IF(COUNTIF(p_rates,K1495)=0,"Taux de TVA hors liste (Paramètres)",IF(N(O1495)&gt;25,"Au-delà de 25 lignes : non imprimée","OK")))))))))))))</f>
        <v/>
      </c>
      <c r="O1495" s="59" t="str">
        <f>IF(A1495="","",COUNTIF($A$6:A1495,A1495))</f>
        <v/>
      </c>
      <c r="P1495" s="62" t="str">
        <f>IF(A1495="","",A1495&amp;"|"&amp;O1495)</f>
        <v/>
      </c>
    </row>
    <row r="1496">
      <c r="A1496" s="60" t="n"/>
      <c r="B1496" s="63" t="n"/>
      <c r="C1496" s="63" t="n"/>
      <c r="D1496" s="67" t="n"/>
      <c r="E1496" s="68" t="n"/>
      <c r="F1496" s="69" t="n"/>
      <c r="G1496" s="70" t="n"/>
      <c r="H1496" s="62" t="str">
        <f>IF(COUNTA(A1496:G1496)=0,"",IF(C1496&lt;&gt;"",C1496,IF(B1496="","",IFERROR(INDEX(pr_des,MATCH(B1496,pr_code,0))&amp;"",""))))</f>
        <v/>
      </c>
      <c r="I1496" s="59" t="str">
        <f>IF(B1496="","",IFERROR(INDEX(pr_unit,MATCH(B1496,pr_code,0))&amp;"",""))</f>
        <v/>
      </c>
      <c r="J1496" s="65" t="str">
        <f>IF(COUNTA(A1496:G1496)=0,"",IF(E1496&lt;&gt;"",E1496,IF(B1496="","",IFERROR(IF(INDEX(pr_price,MATCH(B1496,pr_code,0))="","",INDEX(pr_price,MATCH(B1496,pr_code,0))),""))))</f>
        <v/>
      </c>
      <c r="K1496" s="71" t="str">
        <f>IF(COUNTA(A1496:G1496)=0,"",IF(G1496&lt;&gt;"",G1496,IF(B1496="","",IFERROR(IF(INDEX(pr_rate,MATCH(B1496,pr_code,0))="","",INDEX(pr_rate,MATCH(B1496,pr_code,0))),""))))</f>
        <v/>
      </c>
      <c r="L1496" s="65" t="str">
        <f>IF(COUNTA(A1496:G1496)=0,"",IF(AND(ISNUMBER(D1496),ISNUMBER(J1496)),ROUND(D1496*J1496*(1-N(F1496)),2),0))</f>
        <v/>
      </c>
      <c r="M1496" s="62" t="str">
        <f>IF(A1496="","",IFERROR(INDEX(fa_cname,MATCH(A1496,fa_num,0))&amp;"",""))</f>
        <v/>
      </c>
      <c r="N1496" s="59" t="str">
        <f>IF(COUNTA(A1496:G1496)=0,"",IF(A1496="","N° facture manquant",IF(ISNA(MATCH(A1496,fa_num,0)),"Facture inconnue",IF(AND(B1496&lt;&gt;"",ISNA(MATCH(B1496,pr_code,0))),"Article inconnu",IF(H1496="","Désignation manquante",IF(OR(NOT(ISNUMBER(D1496)),N(D1496)&lt;=0),"Quantité invalide",IF(J1496="","Prix manquant",IF(OR(NOT(ISNUMBER(J1496)),N(J1496)&lt;0),"Prix invalide",IF(OR(AND(F1496&lt;&gt;"",NOT(ISNUMBER(F1496))),N(F1496)&lt;0,N(F1496)&gt;1),"Remise invalide",IF(K1496="","Taux de TVA manquant",IF(NOT(ISNUMBER(K1496)),"Taux de TVA invalide",IF(COUNTIF(p_rates,K1496)=0,"Taux de TVA hors liste (Paramètres)",IF(N(O1496)&gt;25,"Au-delà de 25 lignes : non imprimée","OK")))))))))))))</f>
        <v/>
      </c>
      <c r="O1496" s="59" t="str">
        <f>IF(A1496="","",COUNTIF($A$6:A1496,A1496))</f>
        <v/>
      </c>
      <c r="P1496" s="62" t="str">
        <f>IF(A1496="","",A1496&amp;"|"&amp;O1496)</f>
        <v/>
      </c>
    </row>
    <row r="1497">
      <c r="A1497" s="60" t="n"/>
      <c r="B1497" s="63" t="n"/>
      <c r="C1497" s="63" t="n"/>
      <c r="D1497" s="67" t="n"/>
      <c r="E1497" s="68" t="n"/>
      <c r="F1497" s="69" t="n"/>
      <c r="G1497" s="70" t="n"/>
      <c r="H1497" s="62" t="str">
        <f>IF(COUNTA(A1497:G1497)=0,"",IF(C1497&lt;&gt;"",C1497,IF(B1497="","",IFERROR(INDEX(pr_des,MATCH(B1497,pr_code,0))&amp;"",""))))</f>
        <v/>
      </c>
      <c r="I1497" s="59" t="str">
        <f>IF(B1497="","",IFERROR(INDEX(pr_unit,MATCH(B1497,pr_code,0))&amp;"",""))</f>
        <v/>
      </c>
      <c r="J1497" s="65" t="str">
        <f>IF(COUNTA(A1497:G1497)=0,"",IF(E1497&lt;&gt;"",E1497,IF(B1497="","",IFERROR(IF(INDEX(pr_price,MATCH(B1497,pr_code,0))="","",INDEX(pr_price,MATCH(B1497,pr_code,0))),""))))</f>
        <v/>
      </c>
      <c r="K1497" s="71" t="str">
        <f>IF(COUNTA(A1497:G1497)=0,"",IF(G1497&lt;&gt;"",G1497,IF(B1497="","",IFERROR(IF(INDEX(pr_rate,MATCH(B1497,pr_code,0))="","",INDEX(pr_rate,MATCH(B1497,pr_code,0))),""))))</f>
        <v/>
      </c>
      <c r="L1497" s="65" t="str">
        <f>IF(COUNTA(A1497:G1497)=0,"",IF(AND(ISNUMBER(D1497),ISNUMBER(J1497)),ROUND(D1497*J1497*(1-N(F1497)),2),0))</f>
        <v/>
      </c>
      <c r="M1497" s="62" t="str">
        <f>IF(A1497="","",IFERROR(INDEX(fa_cname,MATCH(A1497,fa_num,0))&amp;"",""))</f>
        <v/>
      </c>
      <c r="N1497" s="59" t="str">
        <f>IF(COUNTA(A1497:G1497)=0,"",IF(A1497="","N° facture manquant",IF(ISNA(MATCH(A1497,fa_num,0)),"Facture inconnue",IF(AND(B1497&lt;&gt;"",ISNA(MATCH(B1497,pr_code,0))),"Article inconnu",IF(H1497="","Désignation manquante",IF(OR(NOT(ISNUMBER(D1497)),N(D1497)&lt;=0),"Quantité invalide",IF(J1497="","Prix manquant",IF(OR(NOT(ISNUMBER(J1497)),N(J1497)&lt;0),"Prix invalide",IF(OR(AND(F1497&lt;&gt;"",NOT(ISNUMBER(F1497))),N(F1497)&lt;0,N(F1497)&gt;1),"Remise invalide",IF(K1497="","Taux de TVA manquant",IF(NOT(ISNUMBER(K1497)),"Taux de TVA invalide",IF(COUNTIF(p_rates,K1497)=0,"Taux de TVA hors liste (Paramètres)",IF(N(O1497)&gt;25,"Au-delà de 25 lignes : non imprimée","OK")))))))))))))</f>
        <v/>
      </c>
      <c r="O1497" s="59" t="str">
        <f>IF(A1497="","",COUNTIF($A$6:A1497,A1497))</f>
        <v/>
      </c>
      <c r="P1497" s="62" t="str">
        <f>IF(A1497="","",A1497&amp;"|"&amp;O1497)</f>
        <v/>
      </c>
    </row>
    <row r="1498">
      <c r="A1498" s="60" t="n"/>
      <c r="B1498" s="63" t="n"/>
      <c r="C1498" s="63" t="n"/>
      <c r="D1498" s="67" t="n"/>
      <c r="E1498" s="68" t="n"/>
      <c r="F1498" s="69" t="n"/>
      <c r="G1498" s="70" t="n"/>
      <c r="H1498" s="62" t="str">
        <f>IF(COUNTA(A1498:G1498)=0,"",IF(C1498&lt;&gt;"",C1498,IF(B1498="","",IFERROR(INDEX(pr_des,MATCH(B1498,pr_code,0))&amp;"",""))))</f>
        <v/>
      </c>
      <c r="I1498" s="59" t="str">
        <f>IF(B1498="","",IFERROR(INDEX(pr_unit,MATCH(B1498,pr_code,0))&amp;"",""))</f>
        <v/>
      </c>
      <c r="J1498" s="65" t="str">
        <f>IF(COUNTA(A1498:G1498)=0,"",IF(E1498&lt;&gt;"",E1498,IF(B1498="","",IFERROR(IF(INDEX(pr_price,MATCH(B1498,pr_code,0))="","",INDEX(pr_price,MATCH(B1498,pr_code,0))),""))))</f>
        <v/>
      </c>
      <c r="K1498" s="71" t="str">
        <f>IF(COUNTA(A1498:G1498)=0,"",IF(G1498&lt;&gt;"",G1498,IF(B1498="","",IFERROR(IF(INDEX(pr_rate,MATCH(B1498,pr_code,0))="","",INDEX(pr_rate,MATCH(B1498,pr_code,0))),""))))</f>
        <v/>
      </c>
      <c r="L1498" s="65" t="str">
        <f>IF(COUNTA(A1498:G1498)=0,"",IF(AND(ISNUMBER(D1498),ISNUMBER(J1498)),ROUND(D1498*J1498*(1-N(F1498)),2),0))</f>
        <v/>
      </c>
      <c r="M1498" s="62" t="str">
        <f>IF(A1498="","",IFERROR(INDEX(fa_cname,MATCH(A1498,fa_num,0))&amp;"",""))</f>
        <v/>
      </c>
      <c r="N1498" s="59" t="str">
        <f>IF(COUNTA(A1498:G1498)=0,"",IF(A1498="","N° facture manquant",IF(ISNA(MATCH(A1498,fa_num,0)),"Facture inconnue",IF(AND(B1498&lt;&gt;"",ISNA(MATCH(B1498,pr_code,0))),"Article inconnu",IF(H1498="","Désignation manquante",IF(OR(NOT(ISNUMBER(D1498)),N(D1498)&lt;=0),"Quantité invalide",IF(J1498="","Prix manquant",IF(OR(NOT(ISNUMBER(J1498)),N(J1498)&lt;0),"Prix invalide",IF(OR(AND(F1498&lt;&gt;"",NOT(ISNUMBER(F1498))),N(F1498)&lt;0,N(F1498)&gt;1),"Remise invalide",IF(K1498="","Taux de TVA manquant",IF(NOT(ISNUMBER(K1498)),"Taux de TVA invalide",IF(COUNTIF(p_rates,K1498)=0,"Taux de TVA hors liste (Paramètres)",IF(N(O1498)&gt;25,"Au-delà de 25 lignes : non imprimée","OK")))))))))))))</f>
        <v/>
      </c>
      <c r="O1498" s="59" t="str">
        <f>IF(A1498="","",COUNTIF($A$6:A1498,A1498))</f>
        <v/>
      </c>
      <c r="P1498" s="62" t="str">
        <f>IF(A1498="","",A1498&amp;"|"&amp;O1498)</f>
        <v/>
      </c>
    </row>
    <row r="1499">
      <c r="A1499" s="60" t="n"/>
      <c r="B1499" s="63" t="n"/>
      <c r="C1499" s="63" t="n"/>
      <c r="D1499" s="67" t="n"/>
      <c r="E1499" s="68" t="n"/>
      <c r="F1499" s="69" t="n"/>
      <c r="G1499" s="70" t="n"/>
      <c r="H1499" s="62" t="str">
        <f>IF(COUNTA(A1499:G1499)=0,"",IF(C1499&lt;&gt;"",C1499,IF(B1499="","",IFERROR(INDEX(pr_des,MATCH(B1499,pr_code,0))&amp;"",""))))</f>
        <v/>
      </c>
      <c r="I1499" s="59" t="str">
        <f>IF(B1499="","",IFERROR(INDEX(pr_unit,MATCH(B1499,pr_code,0))&amp;"",""))</f>
        <v/>
      </c>
      <c r="J1499" s="65" t="str">
        <f>IF(COUNTA(A1499:G1499)=0,"",IF(E1499&lt;&gt;"",E1499,IF(B1499="","",IFERROR(IF(INDEX(pr_price,MATCH(B1499,pr_code,0))="","",INDEX(pr_price,MATCH(B1499,pr_code,0))),""))))</f>
        <v/>
      </c>
      <c r="K1499" s="71" t="str">
        <f>IF(COUNTA(A1499:G1499)=0,"",IF(G1499&lt;&gt;"",G1499,IF(B1499="","",IFERROR(IF(INDEX(pr_rate,MATCH(B1499,pr_code,0))="","",INDEX(pr_rate,MATCH(B1499,pr_code,0))),""))))</f>
        <v/>
      </c>
      <c r="L1499" s="65" t="str">
        <f>IF(COUNTA(A1499:G1499)=0,"",IF(AND(ISNUMBER(D1499),ISNUMBER(J1499)),ROUND(D1499*J1499*(1-N(F1499)),2),0))</f>
        <v/>
      </c>
      <c r="M1499" s="62" t="str">
        <f>IF(A1499="","",IFERROR(INDEX(fa_cname,MATCH(A1499,fa_num,0))&amp;"",""))</f>
        <v/>
      </c>
      <c r="N1499" s="59" t="str">
        <f>IF(COUNTA(A1499:G1499)=0,"",IF(A1499="","N° facture manquant",IF(ISNA(MATCH(A1499,fa_num,0)),"Facture inconnue",IF(AND(B1499&lt;&gt;"",ISNA(MATCH(B1499,pr_code,0))),"Article inconnu",IF(H1499="","Désignation manquante",IF(OR(NOT(ISNUMBER(D1499)),N(D1499)&lt;=0),"Quantité invalide",IF(J1499="","Prix manquant",IF(OR(NOT(ISNUMBER(J1499)),N(J1499)&lt;0),"Prix invalide",IF(OR(AND(F1499&lt;&gt;"",NOT(ISNUMBER(F1499))),N(F1499)&lt;0,N(F1499)&gt;1),"Remise invalide",IF(K1499="","Taux de TVA manquant",IF(NOT(ISNUMBER(K1499)),"Taux de TVA invalide",IF(COUNTIF(p_rates,K1499)=0,"Taux de TVA hors liste (Paramètres)",IF(N(O1499)&gt;25,"Au-delà de 25 lignes : non imprimée","OK")))))))))))))</f>
        <v/>
      </c>
      <c r="O1499" s="59" t="str">
        <f>IF(A1499="","",COUNTIF($A$6:A1499,A1499))</f>
        <v/>
      </c>
      <c r="P1499" s="62" t="str">
        <f>IF(A1499="","",A1499&amp;"|"&amp;O1499)</f>
        <v/>
      </c>
    </row>
    <row r="1500">
      <c r="A1500" s="60" t="n"/>
      <c r="B1500" s="63" t="n"/>
      <c r="C1500" s="63" t="n"/>
      <c r="D1500" s="67" t="n"/>
      <c r="E1500" s="68" t="n"/>
      <c r="F1500" s="69" t="n"/>
      <c r="G1500" s="70" t="n"/>
      <c r="H1500" s="62" t="str">
        <f>IF(COUNTA(A1500:G1500)=0,"",IF(C1500&lt;&gt;"",C1500,IF(B1500="","",IFERROR(INDEX(pr_des,MATCH(B1500,pr_code,0))&amp;"",""))))</f>
        <v/>
      </c>
      <c r="I1500" s="59" t="str">
        <f>IF(B1500="","",IFERROR(INDEX(pr_unit,MATCH(B1500,pr_code,0))&amp;"",""))</f>
        <v/>
      </c>
      <c r="J1500" s="65" t="str">
        <f>IF(COUNTA(A1500:G1500)=0,"",IF(E1500&lt;&gt;"",E1500,IF(B1500="","",IFERROR(IF(INDEX(pr_price,MATCH(B1500,pr_code,0))="","",INDEX(pr_price,MATCH(B1500,pr_code,0))),""))))</f>
        <v/>
      </c>
      <c r="K1500" s="71" t="str">
        <f>IF(COUNTA(A1500:G1500)=0,"",IF(G1500&lt;&gt;"",G1500,IF(B1500="","",IFERROR(IF(INDEX(pr_rate,MATCH(B1500,pr_code,0))="","",INDEX(pr_rate,MATCH(B1500,pr_code,0))),""))))</f>
        <v/>
      </c>
      <c r="L1500" s="65" t="str">
        <f>IF(COUNTA(A1500:G1500)=0,"",IF(AND(ISNUMBER(D1500),ISNUMBER(J1500)),ROUND(D1500*J1500*(1-N(F1500)),2),0))</f>
        <v/>
      </c>
      <c r="M1500" s="62" t="str">
        <f>IF(A1500="","",IFERROR(INDEX(fa_cname,MATCH(A1500,fa_num,0))&amp;"",""))</f>
        <v/>
      </c>
      <c r="N1500" s="59" t="str">
        <f>IF(COUNTA(A1500:G1500)=0,"",IF(A1500="","N° facture manquant",IF(ISNA(MATCH(A1500,fa_num,0)),"Facture inconnue",IF(AND(B1500&lt;&gt;"",ISNA(MATCH(B1500,pr_code,0))),"Article inconnu",IF(H1500="","Désignation manquante",IF(OR(NOT(ISNUMBER(D1500)),N(D1500)&lt;=0),"Quantité invalide",IF(J1500="","Prix manquant",IF(OR(NOT(ISNUMBER(J1500)),N(J1500)&lt;0),"Prix invalide",IF(OR(AND(F1500&lt;&gt;"",NOT(ISNUMBER(F1500))),N(F1500)&lt;0,N(F1500)&gt;1),"Remise invalide",IF(K1500="","Taux de TVA manquant",IF(NOT(ISNUMBER(K1500)),"Taux de TVA invalide",IF(COUNTIF(p_rates,K1500)=0,"Taux de TVA hors liste (Paramètres)",IF(N(O1500)&gt;25,"Au-delà de 25 lignes : non imprimée","OK")))))))))))))</f>
        <v/>
      </c>
      <c r="O1500" s="59" t="str">
        <f>IF(A1500="","",COUNTIF($A$6:A1500,A1500))</f>
        <v/>
      </c>
      <c r="P1500" s="62" t="str">
        <f>IF(A1500="","",A1500&amp;"|"&amp;O1500)</f>
        <v/>
      </c>
    </row>
    <row r="1501">
      <c r="A1501" s="60" t="n"/>
      <c r="B1501" s="63" t="n"/>
      <c r="C1501" s="63" t="n"/>
      <c r="D1501" s="67" t="n"/>
      <c r="E1501" s="68" t="n"/>
      <c r="F1501" s="69" t="n"/>
      <c r="G1501" s="70" t="n"/>
      <c r="H1501" s="62" t="str">
        <f>IF(COUNTA(A1501:G1501)=0,"",IF(C1501&lt;&gt;"",C1501,IF(B1501="","",IFERROR(INDEX(pr_des,MATCH(B1501,pr_code,0))&amp;"",""))))</f>
        <v/>
      </c>
      <c r="I1501" s="59" t="str">
        <f>IF(B1501="","",IFERROR(INDEX(pr_unit,MATCH(B1501,pr_code,0))&amp;"",""))</f>
        <v/>
      </c>
      <c r="J1501" s="65" t="str">
        <f>IF(COUNTA(A1501:G1501)=0,"",IF(E1501&lt;&gt;"",E1501,IF(B1501="","",IFERROR(IF(INDEX(pr_price,MATCH(B1501,pr_code,0))="","",INDEX(pr_price,MATCH(B1501,pr_code,0))),""))))</f>
        <v/>
      </c>
      <c r="K1501" s="71" t="str">
        <f>IF(COUNTA(A1501:G1501)=0,"",IF(G1501&lt;&gt;"",G1501,IF(B1501="","",IFERROR(IF(INDEX(pr_rate,MATCH(B1501,pr_code,0))="","",INDEX(pr_rate,MATCH(B1501,pr_code,0))),""))))</f>
        <v/>
      </c>
      <c r="L1501" s="65" t="str">
        <f>IF(COUNTA(A1501:G1501)=0,"",IF(AND(ISNUMBER(D1501),ISNUMBER(J1501)),ROUND(D1501*J1501*(1-N(F1501)),2),0))</f>
        <v/>
      </c>
      <c r="M1501" s="62" t="str">
        <f>IF(A1501="","",IFERROR(INDEX(fa_cname,MATCH(A1501,fa_num,0))&amp;"",""))</f>
        <v/>
      </c>
      <c r="N1501" s="59" t="str">
        <f>IF(COUNTA(A1501:G1501)=0,"",IF(A1501="","N° facture manquant",IF(ISNA(MATCH(A1501,fa_num,0)),"Facture inconnue",IF(AND(B1501&lt;&gt;"",ISNA(MATCH(B1501,pr_code,0))),"Article inconnu",IF(H1501="","Désignation manquante",IF(OR(NOT(ISNUMBER(D1501)),N(D1501)&lt;=0),"Quantité invalide",IF(J1501="","Prix manquant",IF(OR(NOT(ISNUMBER(J1501)),N(J1501)&lt;0),"Prix invalide",IF(OR(AND(F1501&lt;&gt;"",NOT(ISNUMBER(F1501))),N(F1501)&lt;0,N(F1501)&gt;1),"Remise invalide",IF(K1501="","Taux de TVA manquant",IF(NOT(ISNUMBER(K1501)),"Taux de TVA invalide",IF(COUNTIF(p_rates,K1501)=0,"Taux de TVA hors liste (Paramètres)",IF(N(O1501)&gt;25,"Au-delà de 25 lignes : non imprimée","OK")))))))))))))</f>
        <v/>
      </c>
      <c r="O1501" s="59" t="str">
        <f>IF(A1501="","",COUNTIF($A$6:A1501,A1501))</f>
        <v/>
      </c>
      <c r="P1501" s="62" t="str">
        <f>IF(A1501="","",A1501&amp;"|"&amp;O1501)</f>
        <v/>
      </c>
    </row>
    <row r="1502">
      <c r="A1502" s="60" t="n"/>
      <c r="B1502" s="63" t="n"/>
      <c r="C1502" s="63" t="n"/>
      <c r="D1502" s="67" t="n"/>
      <c r="E1502" s="68" t="n"/>
      <c r="F1502" s="69" t="n"/>
      <c r="G1502" s="70" t="n"/>
      <c r="H1502" s="62" t="str">
        <f>IF(COUNTA(A1502:G1502)=0,"",IF(C1502&lt;&gt;"",C1502,IF(B1502="","",IFERROR(INDEX(pr_des,MATCH(B1502,pr_code,0))&amp;"",""))))</f>
        <v/>
      </c>
      <c r="I1502" s="59" t="str">
        <f>IF(B1502="","",IFERROR(INDEX(pr_unit,MATCH(B1502,pr_code,0))&amp;"",""))</f>
        <v/>
      </c>
      <c r="J1502" s="65" t="str">
        <f>IF(COUNTA(A1502:G1502)=0,"",IF(E1502&lt;&gt;"",E1502,IF(B1502="","",IFERROR(IF(INDEX(pr_price,MATCH(B1502,pr_code,0))="","",INDEX(pr_price,MATCH(B1502,pr_code,0))),""))))</f>
        <v/>
      </c>
      <c r="K1502" s="71" t="str">
        <f>IF(COUNTA(A1502:G1502)=0,"",IF(G1502&lt;&gt;"",G1502,IF(B1502="","",IFERROR(IF(INDEX(pr_rate,MATCH(B1502,pr_code,0))="","",INDEX(pr_rate,MATCH(B1502,pr_code,0))),""))))</f>
        <v/>
      </c>
      <c r="L1502" s="65" t="str">
        <f>IF(COUNTA(A1502:G1502)=0,"",IF(AND(ISNUMBER(D1502),ISNUMBER(J1502)),ROUND(D1502*J1502*(1-N(F1502)),2),0))</f>
        <v/>
      </c>
      <c r="M1502" s="62" t="str">
        <f>IF(A1502="","",IFERROR(INDEX(fa_cname,MATCH(A1502,fa_num,0))&amp;"",""))</f>
        <v/>
      </c>
      <c r="N1502" s="59" t="str">
        <f>IF(COUNTA(A1502:G1502)=0,"",IF(A1502="","N° facture manquant",IF(ISNA(MATCH(A1502,fa_num,0)),"Facture inconnue",IF(AND(B1502&lt;&gt;"",ISNA(MATCH(B1502,pr_code,0))),"Article inconnu",IF(H1502="","Désignation manquante",IF(OR(NOT(ISNUMBER(D1502)),N(D1502)&lt;=0),"Quantité invalide",IF(J1502="","Prix manquant",IF(OR(NOT(ISNUMBER(J1502)),N(J1502)&lt;0),"Prix invalide",IF(OR(AND(F1502&lt;&gt;"",NOT(ISNUMBER(F1502))),N(F1502)&lt;0,N(F1502)&gt;1),"Remise invalide",IF(K1502="","Taux de TVA manquant",IF(NOT(ISNUMBER(K1502)),"Taux de TVA invalide",IF(COUNTIF(p_rates,K1502)=0,"Taux de TVA hors liste (Paramètres)",IF(N(O1502)&gt;25,"Au-delà de 25 lignes : non imprimée","OK")))))))))))))</f>
        <v/>
      </c>
      <c r="O1502" s="59" t="str">
        <f>IF(A1502="","",COUNTIF($A$6:A1502,A1502))</f>
        <v/>
      </c>
      <c r="P1502" s="62" t="str">
        <f>IF(A1502="","",A1502&amp;"|"&amp;O1502)</f>
        <v/>
      </c>
    </row>
    <row r="1503">
      <c r="A1503" s="60" t="n"/>
      <c r="B1503" s="63" t="n"/>
      <c r="C1503" s="63" t="n"/>
      <c r="D1503" s="67" t="n"/>
      <c r="E1503" s="68" t="n"/>
      <c r="F1503" s="69" t="n"/>
      <c r="G1503" s="70" t="n"/>
      <c r="H1503" s="62" t="str">
        <f>IF(COUNTA(A1503:G1503)=0,"",IF(C1503&lt;&gt;"",C1503,IF(B1503="","",IFERROR(INDEX(pr_des,MATCH(B1503,pr_code,0))&amp;"",""))))</f>
        <v/>
      </c>
      <c r="I1503" s="59" t="str">
        <f>IF(B1503="","",IFERROR(INDEX(pr_unit,MATCH(B1503,pr_code,0))&amp;"",""))</f>
        <v/>
      </c>
      <c r="J1503" s="65" t="str">
        <f>IF(COUNTA(A1503:G1503)=0,"",IF(E1503&lt;&gt;"",E1503,IF(B1503="","",IFERROR(IF(INDEX(pr_price,MATCH(B1503,pr_code,0))="","",INDEX(pr_price,MATCH(B1503,pr_code,0))),""))))</f>
        <v/>
      </c>
      <c r="K1503" s="71" t="str">
        <f>IF(COUNTA(A1503:G1503)=0,"",IF(G1503&lt;&gt;"",G1503,IF(B1503="","",IFERROR(IF(INDEX(pr_rate,MATCH(B1503,pr_code,0))="","",INDEX(pr_rate,MATCH(B1503,pr_code,0))),""))))</f>
        <v/>
      </c>
      <c r="L1503" s="65" t="str">
        <f>IF(COUNTA(A1503:G1503)=0,"",IF(AND(ISNUMBER(D1503),ISNUMBER(J1503)),ROUND(D1503*J1503*(1-N(F1503)),2),0))</f>
        <v/>
      </c>
      <c r="M1503" s="62" t="str">
        <f>IF(A1503="","",IFERROR(INDEX(fa_cname,MATCH(A1503,fa_num,0))&amp;"",""))</f>
        <v/>
      </c>
      <c r="N1503" s="59" t="str">
        <f>IF(COUNTA(A1503:G1503)=0,"",IF(A1503="","N° facture manquant",IF(ISNA(MATCH(A1503,fa_num,0)),"Facture inconnue",IF(AND(B1503&lt;&gt;"",ISNA(MATCH(B1503,pr_code,0))),"Article inconnu",IF(H1503="","Désignation manquante",IF(OR(NOT(ISNUMBER(D1503)),N(D1503)&lt;=0),"Quantité invalide",IF(J1503="","Prix manquant",IF(OR(NOT(ISNUMBER(J1503)),N(J1503)&lt;0),"Prix invalide",IF(OR(AND(F1503&lt;&gt;"",NOT(ISNUMBER(F1503))),N(F1503)&lt;0,N(F1503)&gt;1),"Remise invalide",IF(K1503="","Taux de TVA manquant",IF(NOT(ISNUMBER(K1503)),"Taux de TVA invalide",IF(COUNTIF(p_rates,K1503)=0,"Taux de TVA hors liste (Paramètres)",IF(N(O1503)&gt;25,"Au-delà de 25 lignes : non imprimée","OK")))))))))))))</f>
        <v/>
      </c>
      <c r="O1503" s="59" t="str">
        <f>IF(A1503="","",COUNTIF($A$6:A1503,A1503))</f>
        <v/>
      </c>
      <c r="P1503" s="62" t="str">
        <f>IF(A1503="","",A1503&amp;"|"&amp;O1503)</f>
        <v/>
      </c>
    </row>
    <row r="1504">
      <c r="A1504" s="60" t="n"/>
      <c r="B1504" s="63" t="n"/>
      <c r="C1504" s="63" t="n"/>
      <c r="D1504" s="67" t="n"/>
      <c r="E1504" s="68" t="n"/>
      <c r="F1504" s="69" t="n"/>
      <c r="G1504" s="70" t="n"/>
      <c r="H1504" s="62" t="str">
        <f>IF(COUNTA(A1504:G1504)=0,"",IF(C1504&lt;&gt;"",C1504,IF(B1504="","",IFERROR(INDEX(pr_des,MATCH(B1504,pr_code,0))&amp;"",""))))</f>
        <v/>
      </c>
      <c r="I1504" s="59" t="str">
        <f>IF(B1504="","",IFERROR(INDEX(pr_unit,MATCH(B1504,pr_code,0))&amp;"",""))</f>
        <v/>
      </c>
      <c r="J1504" s="65" t="str">
        <f>IF(COUNTA(A1504:G1504)=0,"",IF(E1504&lt;&gt;"",E1504,IF(B1504="","",IFERROR(IF(INDEX(pr_price,MATCH(B1504,pr_code,0))="","",INDEX(pr_price,MATCH(B1504,pr_code,0))),""))))</f>
        <v/>
      </c>
      <c r="K1504" s="71" t="str">
        <f>IF(COUNTA(A1504:G1504)=0,"",IF(G1504&lt;&gt;"",G1504,IF(B1504="","",IFERROR(IF(INDEX(pr_rate,MATCH(B1504,pr_code,0))="","",INDEX(pr_rate,MATCH(B1504,pr_code,0))),""))))</f>
        <v/>
      </c>
      <c r="L1504" s="65" t="str">
        <f>IF(COUNTA(A1504:G1504)=0,"",IF(AND(ISNUMBER(D1504),ISNUMBER(J1504)),ROUND(D1504*J1504*(1-N(F1504)),2),0))</f>
        <v/>
      </c>
      <c r="M1504" s="62" t="str">
        <f>IF(A1504="","",IFERROR(INDEX(fa_cname,MATCH(A1504,fa_num,0))&amp;"",""))</f>
        <v/>
      </c>
      <c r="N1504" s="59" t="str">
        <f>IF(COUNTA(A1504:G1504)=0,"",IF(A1504="","N° facture manquant",IF(ISNA(MATCH(A1504,fa_num,0)),"Facture inconnue",IF(AND(B1504&lt;&gt;"",ISNA(MATCH(B1504,pr_code,0))),"Article inconnu",IF(H1504="","Désignation manquante",IF(OR(NOT(ISNUMBER(D1504)),N(D1504)&lt;=0),"Quantité invalide",IF(J1504="","Prix manquant",IF(OR(NOT(ISNUMBER(J1504)),N(J1504)&lt;0),"Prix invalide",IF(OR(AND(F1504&lt;&gt;"",NOT(ISNUMBER(F1504))),N(F1504)&lt;0,N(F1504)&gt;1),"Remise invalide",IF(K1504="","Taux de TVA manquant",IF(NOT(ISNUMBER(K1504)),"Taux de TVA invalide",IF(COUNTIF(p_rates,K1504)=0,"Taux de TVA hors liste (Paramètres)",IF(N(O1504)&gt;25,"Au-delà de 25 lignes : non imprimée","OK")))))))))))))</f>
        <v/>
      </c>
      <c r="O1504" s="59" t="str">
        <f>IF(A1504="","",COUNTIF($A$6:A1504,A1504))</f>
        <v/>
      </c>
      <c r="P1504" s="62" t="str">
        <f>IF(A1504="","",A1504&amp;"|"&amp;O1504)</f>
        <v/>
      </c>
    </row>
    <row r="1505">
      <c r="A1505" s="60" t="n"/>
      <c r="B1505" s="63" t="n"/>
      <c r="C1505" s="63" t="n"/>
      <c r="D1505" s="67" t="n"/>
      <c r="E1505" s="68" t="n"/>
      <c r="F1505" s="69" t="n"/>
      <c r="G1505" s="70" t="n"/>
      <c r="H1505" s="62" t="str">
        <f>IF(COUNTA(A1505:G1505)=0,"",IF(C1505&lt;&gt;"",C1505,IF(B1505="","",IFERROR(INDEX(pr_des,MATCH(B1505,pr_code,0))&amp;"",""))))</f>
        <v/>
      </c>
      <c r="I1505" s="59" t="str">
        <f>IF(B1505="","",IFERROR(INDEX(pr_unit,MATCH(B1505,pr_code,0))&amp;"",""))</f>
        <v/>
      </c>
      <c r="J1505" s="65" t="str">
        <f>IF(COUNTA(A1505:G1505)=0,"",IF(E1505&lt;&gt;"",E1505,IF(B1505="","",IFERROR(IF(INDEX(pr_price,MATCH(B1505,pr_code,0))="","",INDEX(pr_price,MATCH(B1505,pr_code,0))),""))))</f>
        <v/>
      </c>
      <c r="K1505" s="71" t="str">
        <f>IF(COUNTA(A1505:G1505)=0,"",IF(G1505&lt;&gt;"",G1505,IF(B1505="","",IFERROR(IF(INDEX(pr_rate,MATCH(B1505,pr_code,0))="","",INDEX(pr_rate,MATCH(B1505,pr_code,0))),""))))</f>
        <v/>
      </c>
      <c r="L1505" s="65" t="str">
        <f>IF(COUNTA(A1505:G1505)=0,"",IF(AND(ISNUMBER(D1505),ISNUMBER(J1505)),ROUND(D1505*J1505*(1-N(F1505)),2),0))</f>
        <v/>
      </c>
      <c r="M1505" s="62" t="str">
        <f>IF(A1505="","",IFERROR(INDEX(fa_cname,MATCH(A1505,fa_num,0))&amp;"",""))</f>
        <v/>
      </c>
      <c r="N1505" s="59" t="str">
        <f>IF(COUNTA(A1505:G1505)=0,"",IF(A1505="","N° facture manquant",IF(ISNA(MATCH(A1505,fa_num,0)),"Facture inconnue",IF(AND(B1505&lt;&gt;"",ISNA(MATCH(B1505,pr_code,0))),"Article inconnu",IF(H1505="","Désignation manquante",IF(OR(NOT(ISNUMBER(D1505)),N(D1505)&lt;=0),"Quantité invalide",IF(J1505="","Prix manquant",IF(OR(NOT(ISNUMBER(J1505)),N(J1505)&lt;0),"Prix invalide",IF(OR(AND(F1505&lt;&gt;"",NOT(ISNUMBER(F1505))),N(F1505)&lt;0,N(F1505)&gt;1),"Remise invalide",IF(K1505="","Taux de TVA manquant",IF(NOT(ISNUMBER(K1505)),"Taux de TVA invalide",IF(COUNTIF(p_rates,K1505)=0,"Taux de TVA hors liste (Paramètres)",IF(N(O1505)&gt;25,"Au-delà de 25 lignes : non imprimée","OK")))))))))))))</f>
        <v/>
      </c>
      <c r="O1505" s="59" t="str">
        <f>IF(A1505="","",COUNTIF($A$6:A1505,A1505))</f>
        <v/>
      </c>
      <c r="P1505" s="62" t="str">
        <f>IF(A1505="","",A1505&amp;"|"&amp;O1505)</f>
        <v/>
      </c>
    </row>
    <row r="1506">
      <c r="A1506" s="60" t="n"/>
      <c r="B1506" s="63" t="n"/>
      <c r="C1506" s="63" t="n"/>
      <c r="D1506" s="67" t="n"/>
      <c r="E1506" s="68" t="n"/>
      <c r="F1506" s="69" t="n"/>
      <c r="G1506" s="70" t="n"/>
      <c r="H1506" s="62" t="str">
        <f>IF(COUNTA(A1506:G1506)=0,"",IF(C1506&lt;&gt;"",C1506,IF(B1506="","",IFERROR(INDEX(pr_des,MATCH(B1506,pr_code,0))&amp;"",""))))</f>
        <v/>
      </c>
      <c r="I1506" s="59" t="str">
        <f>IF(B1506="","",IFERROR(INDEX(pr_unit,MATCH(B1506,pr_code,0))&amp;"",""))</f>
        <v/>
      </c>
      <c r="J1506" s="65" t="str">
        <f>IF(COUNTA(A1506:G1506)=0,"",IF(E1506&lt;&gt;"",E1506,IF(B1506="","",IFERROR(IF(INDEX(pr_price,MATCH(B1506,pr_code,0))="","",INDEX(pr_price,MATCH(B1506,pr_code,0))),""))))</f>
        <v/>
      </c>
      <c r="K1506" s="71" t="str">
        <f>IF(COUNTA(A1506:G1506)=0,"",IF(G1506&lt;&gt;"",G1506,IF(B1506="","",IFERROR(IF(INDEX(pr_rate,MATCH(B1506,pr_code,0))="","",INDEX(pr_rate,MATCH(B1506,pr_code,0))),""))))</f>
        <v/>
      </c>
      <c r="L1506" s="65" t="str">
        <f>IF(COUNTA(A1506:G1506)=0,"",IF(AND(ISNUMBER(D1506),ISNUMBER(J1506)),ROUND(D1506*J1506*(1-N(F1506)),2),0))</f>
        <v/>
      </c>
      <c r="M1506" s="62" t="str">
        <f>IF(A1506="","",IFERROR(INDEX(fa_cname,MATCH(A1506,fa_num,0))&amp;"",""))</f>
        <v/>
      </c>
      <c r="N1506" s="59" t="str">
        <f>IF(COUNTA(A1506:G1506)=0,"",IF(A1506="","N° facture manquant",IF(ISNA(MATCH(A1506,fa_num,0)),"Facture inconnue",IF(AND(B1506&lt;&gt;"",ISNA(MATCH(B1506,pr_code,0))),"Article inconnu",IF(H1506="","Désignation manquante",IF(OR(NOT(ISNUMBER(D1506)),N(D1506)&lt;=0),"Quantité invalide",IF(J1506="","Prix manquant",IF(OR(NOT(ISNUMBER(J1506)),N(J1506)&lt;0),"Prix invalide",IF(OR(AND(F1506&lt;&gt;"",NOT(ISNUMBER(F1506))),N(F1506)&lt;0,N(F1506)&gt;1),"Remise invalide",IF(K1506="","Taux de TVA manquant",IF(NOT(ISNUMBER(K1506)),"Taux de TVA invalide",IF(COUNTIF(p_rates,K1506)=0,"Taux de TVA hors liste (Paramètres)",IF(N(O1506)&gt;25,"Au-delà de 25 lignes : non imprimée","OK")))))))))))))</f>
        <v/>
      </c>
      <c r="O1506" s="59" t="str">
        <f>IF(A1506="","",COUNTIF($A$6:A1506,A1506))</f>
        <v/>
      </c>
      <c r="P1506" s="62" t="str">
        <f>IF(A1506="","",A1506&amp;"|"&amp;O1506)</f>
        <v/>
      </c>
    </row>
    <row r="1507">
      <c r="A1507" s="60" t="n"/>
      <c r="B1507" s="63" t="n"/>
      <c r="C1507" s="63" t="n"/>
      <c r="D1507" s="67" t="n"/>
      <c r="E1507" s="68" t="n"/>
      <c r="F1507" s="69" t="n"/>
      <c r="G1507" s="70" t="n"/>
      <c r="H1507" s="62" t="str">
        <f>IF(COUNTA(A1507:G1507)=0,"",IF(C1507&lt;&gt;"",C1507,IF(B1507="","",IFERROR(INDEX(pr_des,MATCH(B1507,pr_code,0))&amp;"",""))))</f>
        <v/>
      </c>
      <c r="I1507" s="59" t="str">
        <f>IF(B1507="","",IFERROR(INDEX(pr_unit,MATCH(B1507,pr_code,0))&amp;"",""))</f>
        <v/>
      </c>
      <c r="J1507" s="65" t="str">
        <f>IF(COUNTA(A1507:G1507)=0,"",IF(E1507&lt;&gt;"",E1507,IF(B1507="","",IFERROR(IF(INDEX(pr_price,MATCH(B1507,pr_code,0))="","",INDEX(pr_price,MATCH(B1507,pr_code,0))),""))))</f>
        <v/>
      </c>
      <c r="K1507" s="71" t="str">
        <f>IF(COUNTA(A1507:G1507)=0,"",IF(G1507&lt;&gt;"",G1507,IF(B1507="","",IFERROR(IF(INDEX(pr_rate,MATCH(B1507,pr_code,0))="","",INDEX(pr_rate,MATCH(B1507,pr_code,0))),""))))</f>
        <v/>
      </c>
      <c r="L1507" s="65" t="str">
        <f>IF(COUNTA(A1507:G1507)=0,"",IF(AND(ISNUMBER(D1507),ISNUMBER(J1507)),ROUND(D1507*J1507*(1-N(F1507)),2),0))</f>
        <v/>
      </c>
      <c r="M1507" s="62" t="str">
        <f>IF(A1507="","",IFERROR(INDEX(fa_cname,MATCH(A1507,fa_num,0))&amp;"",""))</f>
        <v/>
      </c>
      <c r="N1507" s="59" t="str">
        <f>IF(COUNTA(A1507:G1507)=0,"",IF(A1507="","N° facture manquant",IF(ISNA(MATCH(A1507,fa_num,0)),"Facture inconnue",IF(AND(B1507&lt;&gt;"",ISNA(MATCH(B1507,pr_code,0))),"Article inconnu",IF(H1507="","Désignation manquante",IF(OR(NOT(ISNUMBER(D1507)),N(D1507)&lt;=0),"Quantité invalide",IF(J1507="","Prix manquant",IF(OR(NOT(ISNUMBER(J1507)),N(J1507)&lt;0),"Prix invalide",IF(OR(AND(F1507&lt;&gt;"",NOT(ISNUMBER(F1507))),N(F1507)&lt;0,N(F1507)&gt;1),"Remise invalide",IF(K1507="","Taux de TVA manquant",IF(NOT(ISNUMBER(K1507)),"Taux de TVA invalide",IF(COUNTIF(p_rates,K1507)=0,"Taux de TVA hors liste (Paramètres)",IF(N(O1507)&gt;25,"Au-delà de 25 lignes : non imprimée","OK")))))))))))))</f>
        <v/>
      </c>
      <c r="O1507" s="59" t="str">
        <f>IF(A1507="","",COUNTIF($A$6:A1507,A1507))</f>
        <v/>
      </c>
      <c r="P1507" s="62" t="str">
        <f>IF(A1507="","",A1507&amp;"|"&amp;O1507)</f>
        <v/>
      </c>
    </row>
    <row r="1508">
      <c r="A1508" s="60" t="n"/>
      <c r="B1508" s="63" t="n"/>
      <c r="C1508" s="63" t="n"/>
      <c r="D1508" s="67" t="n"/>
      <c r="E1508" s="68" t="n"/>
      <c r="F1508" s="69" t="n"/>
      <c r="G1508" s="70" t="n"/>
      <c r="H1508" s="62" t="str">
        <f>IF(COUNTA(A1508:G1508)=0,"",IF(C1508&lt;&gt;"",C1508,IF(B1508="","",IFERROR(INDEX(pr_des,MATCH(B1508,pr_code,0))&amp;"",""))))</f>
        <v/>
      </c>
      <c r="I1508" s="59" t="str">
        <f>IF(B1508="","",IFERROR(INDEX(pr_unit,MATCH(B1508,pr_code,0))&amp;"",""))</f>
        <v/>
      </c>
      <c r="J1508" s="65" t="str">
        <f>IF(COUNTA(A1508:G1508)=0,"",IF(E1508&lt;&gt;"",E1508,IF(B1508="","",IFERROR(IF(INDEX(pr_price,MATCH(B1508,pr_code,0))="","",INDEX(pr_price,MATCH(B1508,pr_code,0))),""))))</f>
        <v/>
      </c>
      <c r="K1508" s="71" t="str">
        <f>IF(COUNTA(A1508:G1508)=0,"",IF(G1508&lt;&gt;"",G1508,IF(B1508="","",IFERROR(IF(INDEX(pr_rate,MATCH(B1508,pr_code,0))="","",INDEX(pr_rate,MATCH(B1508,pr_code,0))),""))))</f>
        <v/>
      </c>
      <c r="L1508" s="65" t="str">
        <f>IF(COUNTA(A1508:G1508)=0,"",IF(AND(ISNUMBER(D1508),ISNUMBER(J1508)),ROUND(D1508*J1508*(1-N(F1508)),2),0))</f>
        <v/>
      </c>
      <c r="M1508" s="62" t="str">
        <f>IF(A1508="","",IFERROR(INDEX(fa_cname,MATCH(A1508,fa_num,0))&amp;"",""))</f>
        <v/>
      </c>
      <c r="N1508" s="59" t="str">
        <f>IF(COUNTA(A1508:G1508)=0,"",IF(A1508="","N° facture manquant",IF(ISNA(MATCH(A1508,fa_num,0)),"Facture inconnue",IF(AND(B1508&lt;&gt;"",ISNA(MATCH(B1508,pr_code,0))),"Article inconnu",IF(H1508="","Désignation manquante",IF(OR(NOT(ISNUMBER(D1508)),N(D1508)&lt;=0),"Quantité invalide",IF(J1508="","Prix manquant",IF(OR(NOT(ISNUMBER(J1508)),N(J1508)&lt;0),"Prix invalide",IF(OR(AND(F1508&lt;&gt;"",NOT(ISNUMBER(F1508))),N(F1508)&lt;0,N(F1508)&gt;1),"Remise invalide",IF(K1508="","Taux de TVA manquant",IF(NOT(ISNUMBER(K1508)),"Taux de TVA invalide",IF(COUNTIF(p_rates,K1508)=0,"Taux de TVA hors liste (Paramètres)",IF(N(O1508)&gt;25,"Au-delà de 25 lignes : non imprimée","OK")))))))))))))</f>
        <v/>
      </c>
      <c r="O1508" s="59" t="str">
        <f>IF(A1508="","",COUNTIF($A$6:A1508,A1508))</f>
        <v/>
      </c>
      <c r="P1508" s="62" t="str">
        <f>IF(A1508="","",A1508&amp;"|"&amp;O1508)</f>
        <v/>
      </c>
    </row>
    <row r="1509">
      <c r="A1509" s="60" t="n"/>
      <c r="B1509" s="63" t="n"/>
      <c r="C1509" s="63" t="n"/>
      <c r="D1509" s="67" t="n"/>
      <c r="E1509" s="68" t="n"/>
      <c r="F1509" s="69" t="n"/>
      <c r="G1509" s="70" t="n"/>
      <c r="H1509" s="62" t="str">
        <f>IF(COUNTA(A1509:G1509)=0,"",IF(C1509&lt;&gt;"",C1509,IF(B1509="","",IFERROR(INDEX(pr_des,MATCH(B1509,pr_code,0))&amp;"",""))))</f>
        <v/>
      </c>
      <c r="I1509" s="59" t="str">
        <f>IF(B1509="","",IFERROR(INDEX(pr_unit,MATCH(B1509,pr_code,0))&amp;"",""))</f>
        <v/>
      </c>
      <c r="J1509" s="65" t="str">
        <f>IF(COUNTA(A1509:G1509)=0,"",IF(E1509&lt;&gt;"",E1509,IF(B1509="","",IFERROR(IF(INDEX(pr_price,MATCH(B1509,pr_code,0))="","",INDEX(pr_price,MATCH(B1509,pr_code,0))),""))))</f>
        <v/>
      </c>
      <c r="K1509" s="71" t="str">
        <f>IF(COUNTA(A1509:G1509)=0,"",IF(G1509&lt;&gt;"",G1509,IF(B1509="","",IFERROR(IF(INDEX(pr_rate,MATCH(B1509,pr_code,0))="","",INDEX(pr_rate,MATCH(B1509,pr_code,0))),""))))</f>
        <v/>
      </c>
      <c r="L1509" s="65" t="str">
        <f>IF(COUNTA(A1509:G1509)=0,"",IF(AND(ISNUMBER(D1509),ISNUMBER(J1509)),ROUND(D1509*J1509*(1-N(F1509)),2),0))</f>
        <v/>
      </c>
      <c r="M1509" s="62" t="str">
        <f>IF(A1509="","",IFERROR(INDEX(fa_cname,MATCH(A1509,fa_num,0))&amp;"",""))</f>
        <v/>
      </c>
      <c r="N1509" s="59" t="str">
        <f>IF(COUNTA(A1509:G1509)=0,"",IF(A1509="","N° facture manquant",IF(ISNA(MATCH(A1509,fa_num,0)),"Facture inconnue",IF(AND(B1509&lt;&gt;"",ISNA(MATCH(B1509,pr_code,0))),"Article inconnu",IF(H1509="","Désignation manquante",IF(OR(NOT(ISNUMBER(D1509)),N(D1509)&lt;=0),"Quantité invalide",IF(J1509="","Prix manquant",IF(OR(NOT(ISNUMBER(J1509)),N(J1509)&lt;0),"Prix invalide",IF(OR(AND(F1509&lt;&gt;"",NOT(ISNUMBER(F1509))),N(F1509)&lt;0,N(F1509)&gt;1),"Remise invalide",IF(K1509="","Taux de TVA manquant",IF(NOT(ISNUMBER(K1509)),"Taux de TVA invalide",IF(COUNTIF(p_rates,K1509)=0,"Taux de TVA hors liste (Paramètres)",IF(N(O1509)&gt;25,"Au-delà de 25 lignes : non imprimée","OK")))))))))))))</f>
        <v/>
      </c>
      <c r="O1509" s="59" t="str">
        <f>IF(A1509="","",COUNTIF($A$6:A1509,A1509))</f>
        <v/>
      </c>
      <c r="P1509" s="62" t="str">
        <f>IF(A1509="","",A1509&amp;"|"&amp;O1509)</f>
        <v/>
      </c>
    </row>
    <row r="1510">
      <c r="A1510" s="60" t="n"/>
      <c r="B1510" s="63" t="n"/>
      <c r="C1510" s="63" t="n"/>
      <c r="D1510" s="67" t="n"/>
      <c r="E1510" s="68" t="n"/>
      <c r="F1510" s="69" t="n"/>
      <c r="G1510" s="70" t="n"/>
      <c r="H1510" s="62" t="str">
        <f>IF(COUNTA(A1510:G1510)=0,"",IF(C1510&lt;&gt;"",C1510,IF(B1510="","",IFERROR(INDEX(pr_des,MATCH(B1510,pr_code,0))&amp;"",""))))</f>
        <v/>
      </c>
      <c r="I1510" s="59" t="str">
        <f>IF(B1510="","",IFERROR(INDEX(pr_unit,MATCH(B1510,pr_code,0))&amp;"",""))</f>
        <v/>
      </c>
      <c r="J1510" s="65" t="str">
        <f>IF(COUNTA(A1510:G1510)=0,"",IF(E1510&lt;&gt;"",E1510,IF(B1510="","",IFERROR(IF(INDEX(pr_price,MATCH(B1510,pr_code,0))="","",INDEX(pr_price,MATCH(B1510,pr_code,0))),""))))</f>
        <v/>
      </c>
      <c r="K1510" s="71" t="str">
        <f>IF(COUNTA(A1510:G1510)=0,"",IF(G1510&lt;&gt;"",G1510,IF(B1510="","",IFERROR(IF(INDEX(pr_rate,MATCH(B1510,pr_code,0))="","",INDEX(pr_rate,MATCH(B1510,pr_code,0))),""))))</f>
        <v/>
      </c>
      <c r="L1510" s="65" t="str">
        <f>IF(COUNTA(A1510:G1510)=0,"",IF(AND(ISNUMBER(D1510),ISNUMBER(J1510)),ROUND(D1510*J1510*(1-N(F1510)),2),0))</f>
        <v/>
      </c>
      <c r="M1510" s="62" t="str">
        <f>IF(A1510="","",IFERROR(INDEX(fa_cname,MATCH(A1510,fa_num,0))&amp;"",""))</f>
        <v/>
      </c>
      <c r="N1510" s="59" t="str">
        <f>IF(COUNTA(A1510:G1510)=0,"",IF(A1510="","N° facture manquant",IF(ISNA(MATCH(A1510,fa_num,0)),"Facture inconnue",IF(AND(B1510&lt;&gt;"",ISNA(MATCH(B1510,pr_code,0))),"Article inconnu",IF(H1510="","Désignation manquante",IF(OR(NOT(ISNUMBER(D1510)),N(D1510)&lt;=0),"Quantité invalide",IF(J1510="","Prix manquant",IF(OR(NOT(ISNUMBER(J1510)),N(J1510)&lt;0),"Prix invalide",IF(OR(AND(F1510&lt;&gt;"",NOT(ISNUMBER(F1510))),N(F1510)&lt;0,N(F1510)&gt;1),"Remise invalide",IF(K1510="","Taux de TVA manquant",IF(NOT(ISNUMBER(K1510)),"Taux de TVA invalide",IF(COUNTIF(p_rates,K1510)=0,"Taux de TVA hors liste (Paramètres)",IF(N(O1510)&gt;25,"Au-delà de 25 lignes : non imprimée","OK")))))))))))))</f>
        <v/>
      </c>
      <c r="O1510" s="59" t="str">
        <f>IF(A1510="","",COUNTIF($A$6:A1510,A1510))</f>
        <v/>
      </c>
      <c r="P1510" s="62" t="str">
        <f>IF(A1510="","",A1510&amp;"|"&amp;O1510)</f>
        <v/>
      </c>
    </row>
    <row r="1511">
      <c r="A1511" s="60" t="n"/>
      <c r="B1511" s="63" t="n"/>
      <c r="C1511" s="63" t="n"/>
      <c r="D1511" s="67" t="n"/>
      <c r="E1511" s="68" t="n"/>
      <c r="F1511" s="69" t="n"/>
      <c r="G1511" s="70" t="n"/>
      <c r="H1511" s="62" t="str">
        <f>IF(COUNTA(A1511:G1511)=0,"",IF(C1511&lt;&gt;"",C1511,IF(B1511="","",IFERROR(INDEX(pr_des,MATCH(B1511,pr_code,0))&amp;"",""))))</f>
        <v/>
      </c>
      <c r="I1511" s="59" t="str">
        <f>IF(B1511="","",IFERROR(INDEX(pr_unit,MATCH(B1511,pr_code,0))&amp;"",""))</f>
        <v/>
      </c>
      <c r="J1511" s="65" t="str">
        <f>IF(COUNTA(A1511:G1511)=0,"",IF(E1511&lt;&gt;"",E1511,IF(B1511="","",IFERROR(IF(INDEX(pr_price,MATCH(B1511,pr_code,0))="","",INDEX(pr_price,MATCH(B1511,pr_code,0))),""))))</f>
        <v/>
      </c>
      <c r="K1511" s="71" t="str">
        <f>IF(COUNTA(A1511:G1511)=0,"",IF(G1511&lt;&gt;"",G1511,IF(B1511="","",IFERROR(IF(INDEX(pr_rate,MATCH(B1511,pr_code,0))="","",INDEX(pr_rate,MATCH(B1511,pr_code,0))),""))))</f>
        <v/>
      </c>
      <c r="L1511" s="65" t="str">
        <f>IF(COUNTA(A1511:G1511)=0,"",IF(AND(ISNUMBER(D1511),ISNUMBER(J1511)),ROUND(D1511*J1511*(1-N(F1511)),2),0))</f>
        <v/>
      </c>
      <c r="M1511" s="62" t="str">
        <f>IF(A1511="","",IFERROR(INDEX(fa_cname,MATCH(A1511,fa_num,0))&amp;"",""))</f>
        <v/>
      </c>
      <c r="N1511" s="59" t="str">
        <f>IF(COUNTA(A1511:G1511)=0,"",IF(A1511="","N° facture manquant",IF(ISNA(MATCH(A1511,fa_num,0)),"Facture inconnue",IF(AND(B1511&lt;&gt;"",ISNA(MATCH(B1511,pr_code,0))),"Article inconnu",IF(H1511="","Désignation manquante",IF(OR(NOT(ISNUMBER(D1511)),N(D1511)&lt;=0),"Quantité invalide",IF(J1511="","Prix manquant",IF(OR(NOT(ISNUMBER(J1511)),N(J1511)&lt;0),"Prix invalide",IF(OR(AND(F1511&lt;&gt;"",NOT(ISNUMBER(F1511))),N(F1511)&lt;0,N(F1511)&gt;1),"Remise invalide",IF(K1511="","Taux de TVA manquant",IF(NOT(ISNUMBER(K1511)),"Taux de TVA invalide",IF(COUNTIF(p_rates,K1511)=0,"Taux de TVA hors liste (Paramètres)",IF(N(O1511)&gt;25,"Au-delà de 25 lignes : non imprimée","OK")))))))))))))</f>
        <v/>
      </c>
      <c r="O1511" s="59" t="str">
        <f>IF(A1511="","",COUNTIF($A$6:A1511,A1511))</f>
        <v/>
      </c>
      <c r="P1511" s="62" t="str">
        <f>IF(A1511="","",A1511&amp;"|"&amp;O1511)</f>
        <v/>
      </c>
    </row>
    <row r="1512">
      <c r="A1512" s="60" t="n"/>
      <c r="B1512" s="63" t="n"/>
      <c r="C1512" s="63" t="n"/>
      <c r="D1512" s="67" t="n"/>
      <c r="E1512" s="68" t="n"/>
      <c r="F1512" s="69" t="n"/>
      <c r="G1512" s="70" t="n"/>
      <c r="H1512" s="62" t="str">
        <f>IF(COUNTA(A1512:G1512)=0,"",IF(C1512&lt;&gt;"",C1512,IF(B1512="","",IFERROR(INDEX(pr_des,MATCH(B1512,pr_code,0))&amp;"",""))))</f>
        <v/>
      </c>
      <c r="I1512" s="59" t="str">
        <f>IF(B1512="","",IFERROR(INDEX(pr_unit,MATCH(B1512,pr_code,0))&amp;"",""))</f>
        <v/>
      </c>
      <c r="J1512" s="65" t="str">
        <f>IF(COUNTA(A1512:G1512)=0,"",IF(E1512&lt;&gt;"",E1512,IF(B1512="","",IFERROR(IF(INDEX(pr_price,MATCH(B1512,pr_code,0))="","",INDEX(pr_price,MATCH(B1512,pr_code,0))),""))))</f>
        <v/>
      </c>
      <c r="K1512" s="71" t="str">
        <f>IF(COUNTA(A1512:G1512)=0,"",IF(G1512&lt;&gt;"",G1512,IF(B1512="","",IFERROR(IF(INDEX(pr_rate,MATCH(B1512,pr_code,0))="","",INDEX(pr_rate,MATCH(B1512,pr_code,0))),""))))</f>
        <v/>
      </c>
      <c r="L1512" s="65" t="str">
        <f>IF(COUNTA(A1512:G1512)=0,"",IF(AND(ISNUMBER(D1512),ISNUMBER(J1512)),ROUND(D1512*J1512*(1-N(F1512)),2),0))</f>
        <v/>
      </c>
      <c r="M1512" s="62" t="str">
        <f>IF(A1512="","",IFERROR(INDEX(fa_cname,MATCH(A1512,fa_num,0))&amp;"",""))</f>
        <v/>
      </c>
      <c r="N1512" s="59" t="str">
        <f>IF(COUNTA(A1512:G1512)=0,"",IF(A1512="","N° facture manquant",IF(ISNA(MATCH(A1512,fa_num,0)),"Facture inconnue",IF(AND(B1512&lt;&gt;"",ISNA(MATCH(B1512,pr_code,0))),"Article inconnu",IF(H1512="","Désignation manquante",IF(OR(NOT(ISNUMBER(D1512)),N(D1512)&lt;=0),"Quantité invalide",IF(J1512="","Prix manquant",IF(OR(NOT(ISNUMBER(J1512)),N(J1512)&lt;0),"Prix invalide",IF(OR(AND(F1512&lt;&gt;"",NOT(ISNUMBER(F1512))),N(F1512)&lt;0,N(F1512)&gt;1),"Remise invalide",IF(K1512="","Taux de TVA manquant",IF(NOT(ISNUMBER(K1512)),"Taux de TVA invalide",IF(COUNTIF(p_rates,K1512)=0,"Taux de TVA hors liste (Paramètres)",IF(N(O1512)&gt;25,"Au-delà de 25 lignes : non imprimée","OK")))))))))))))</f>
        <v/>
      </c>
      <c r="O1512" s="59" t="str">
        <f>IF(A1512="","",COUNTIF($A$6:A1512,A1512))</f>
        <v/>
      </c>
      <c r="P1512" s="62" t="str">
        <f>IF(A1512="","",A1512&amp;"|"&amp;O1512)</f>
        <v/>
      </c>
    </row>
    <row r="1513">
      <c r="A1513" s="60" t="n"/>
      <c r="B1513" s="63" t="n"/>
      <c r="C1513" s="63" t="n"/>
      <c r="D1513" s="67" t="n"/>
      <c r="E1513" s="68" t="n"/>
      <c r="F1513" s="69" t="n"/>
      <c r="G1513" s="70" t="n"/>
      <c r="H1513" s="62" t="str">
        <f>IF(COUNTA(A1513:G1513)=0,"",IF(C1513&lt;&gt;"",C1513,IF(B1513="","",IFERROR(INDEX(pr_des,MATCH(B1513,pr_code,0))&amp;"",""))))</f>
        <v/>
      </c>
      <c r="I1513" s="59" t="str">
        <f>IF(B1513="","",IFERROR(INDEX(pr_unit,MATCH(B1513,pr_code,0))&amp;"",""))</f>
        <v/>
      </c>
      <c r="J1513" s="65" t="str">
        <f>IF(COUNTA(A1513:G1513)=0,"",IF(E1513&lt;&gt;"",E1513,IF(B1513="","",IFERROR(IF(INDEX(pr_price,MATCH(B1513,pr_code,0))="","",INDEX(pr_price,MATCH(B1513,pr_code,0))),""))))</f>
        <v/>
      </c>
      <c r="K1513" s="71" t="str">
        <f>IF(COUNTA(A1513:G1513)=0,"",IF(G1513&lt;&gt;"",G1513,IF(B1513="","",IFERROR(IF(INDEX(pr_rate,MATCH(B1513,pr_code,0))="","",INDEX(pr_rate,MATCH(B1513,pr_code,0))),""))))</f>
        <v/>
      </c>
      <c r="L1513" s="65" t="str">
        <f>IF(COUNTA(A1513:G1513)=0,"",IF(AND(ISNUMBER(D1513),ISNUMBER(J1513)),ROUND(D1513*J1513*(1-N(F1513)),2),0))</f>
        <v/>
      </c>
      <c r="M1513" s="62" t="str">
        <f>IF(A1513="","",IFERROR(INDEX(fa_cname,MATCH(A1513,fa_num,0))&amp;"",""))</f>
        <v/>
      </c>
      <c r="N1513" s="59" t="str">
        <f>IF(COUNTA(A1513:G1513)=0,"",IF(A1513="","N° facture manquant",IF(ISNA(MATCH(A1513,fa_num,0)),"Facture inconnue",IF(AND(B1513&lt;&gt;"",ISNA(MATCH(B1513,pr_code,0))),"Article inconnu",IF(H1513="","Désignation manquante",IF(OR(NOT(ISNUMBER(D1513)),N(D1513)&lt;=0),"Quantité invalide",IF(J1513="","Prix manquant",IF(OR(NOT(ISNUMBER(J1513)),N(J1513)&lt;0),"Prix invalide",IF(OR(AND(F1513&lt;&gt;"",NOT(ISNUMBER(F1513))),N(F1513)&lt;0,N(F1513)&gt;1),"Remise invalide",IF(K1513="","Taux de TVA manquant",IF(NOT(ISNUMBER(K1513)),"Taux de TVA invalide",IF(COUNTIF(p_rates,K1513)=0,"Taux de TVA hors liste (Paramètres)",IF(N(O1513)&gt;25,"Au-delà de 25 lignes : non imprimée","OK")))))))))))))</f>
        <v/>
      </c>
      <c r="O1513" s="59" t="str">
        <f>IF(A1513="","",COUNTIF($A$6:A1513,A1513))</f>
        <v/>
      </c>
      <c r="P1513" s="62" t="str">
        <f>IF(A1513="","",A1513&amp;"|"&amp;O1513)</f>
        <v/>
      </c>
    </row>
    <row r="1514">
      <c r="A1514" s="60" t="n"/>
      <c r="B1514" s="63" t="n"/>
      <c r="C1514" s="63" t="n"/>
      <c r="D1514" s="67" t="n"/>
      <c r="E1514" s="68" t="n"/>
      <c r="F1514" s="69" t="n"/>
      <c r="G1514" s="70" t="n"/>
      <c r="H1514" s="62" t="str">
        <f>IF(COUNTA(A1514:G1514)=0,"",IF(C1514&lt;&gt;"",C1514,IF(B1514="","",IFERROR(INDEX(pr_des,MATCH(B1514,pr_code,0))&amp;"",""))))</f>
        <v/>
      </c>
      <c r="I1514" s="59" t="str">
        <f>IF(B1514="","",IFERROR(INDEX(pr_unit,MATCH(B1514,pr_code,0))&amp;"",""))</f>
        <v/>
      </c>
      <c r="J1514" s="65" t="str">
        <f>IF(COUNTA(A1514:G1514)=0,"",IF(E1514&lt;&gt;"",E1514,IF(B1514="","",IFERROR(IF(INDEX(pr_price,MATCH(B1514,pr_code,0))="","",INDEX(pr_price,MATCH(B1514,pr_code,0))),""))))</f>
        <v/>
      </c>
      <c r="K1514" s="71" t="str">
        <f>IF(COUNTA(A1514:G1514)=0,"",IF(G1514&lt;&gt;"",G1514,IF(B1514="","",IFERROR(IF(INDEX(pr_rate,MATCH(B1514,pr_code,0))="","",INDEX(pr_rate,MATCH(B1514,pr_code,0))),""))))</f>
        <v/>
      </c>
      <c r="L1514" s="65" t="str">
        <f>IF(COUNTA(A1514:G1514)=0,"",IF(AND(ISNUMBER(D1514),ISNUMBER(J1514)),ROUND(D1514*J1514*(1-N(F1514)),2),0))</f>
        <v/>
      </c>
      <c r="M1514" s="62" t="str">
        <f>IF(A1514="","",IFERROR(INDEX(fa_cname,MATCH(A1514,fa_num,0))&amp;"",""))</f>
        <v/>
      </c>
      <c r="N1514" s="59" t="str">
        <f>IF(COUNTA(A1514:G1514)=0,"",IF(A1514="","N° facture manquant",IF(ISNA(MATCH(A1514,fa_num,0)),"Facture inconnue",IF(AND(B1514&lt;&gt;"",ISNA(MATCH(B1514,pr_code,0))),"Article inconnu",IF(H1514="","Désignation manquante",IF(OR(NOT(ISNUMBER(D1514)),N(D1514)&lt;=0),"Quantité invalide",IF(J1514="","Prix manquant",IF(OR(NOT(ISNUMBER(J1514)),N(J1514)&lt;0),"Prix invalide",IF(OR(AND(F1514&lt;&gt;"",NOT(ISNUMBER(F1514))),N(F1514)&lt;0,N(F1514)&gt;1),"Remise invalide",IF(K1514="","Taux de TVA manquant",IF(NOT(ISNUMBER(K1514)),"Taux de TVA invalide",IF(COUNTIF(p_rates,K1514)=0,"Taux de TVA hors liste (Paramètres)",IF(N(O1514)&gt;25,"Au-delà de 25 lignes : non imprimée","OK")))))))))))))</f>
        <v/>
      </c>
      <c r="O1514" s="59" t="str">
        <f>IF(A1514="","",COUNTIF($A$6:A1514,A1514))</f>
        <v/>
      </c>
      <c r="P1514" s="62" t="str">
        <f>IF(A1514="","",A1514&amp;"|"&amp;O1514)</f>
        <v/>
      </c>
    </row>
    <row r="1515">
      <c r="A1515" s="60" t="n"/>
      <c r="B1515" s="63" t="n"/>
      <c r="C1515" s="63" t="n"/>
      <c r="D1515" s="67" t="n"/>
      <c r="E1515" s="68" t="n"/>
      <c r="F1515" s="69" t="n"/>
      <c r="G1515" s="70" t="n"/>
      <c r="H1515" s="62" t="str">
        <f>IF(COUNTA(A1515:G1515)=0,"",IF(C1515&lt;&gt;"",C1515,IF(B1515="","",IFERROR(INDEX(pr_des,MATCH(B1515,pr_code,0))&amp;"",""))))</f>
        <v/>
      </c>
      <c r="I1515" s="59" t="str">
        <f>IF(B1515="","",IFERROR(INDEX(pr_unit,MATCH(B1515,pr_code,0))&amp;"",""))</f>
        <v/>
      </c>
      <c r="J1515" s="65" t="str">
        <f>IF(COUNTA(A1515:G1515)=0,"",IF(E1515&lt;&gt;"",E1515,IF(B1515="","",IFERROR(IF(INDEX(pr_price,MATCH(B1515,pr_code,0))="","",INDEX(pr_price,MATCH(B1515,pr_code,0))),""))))</f>
        <v/>
      </c>
      <c r="K1515" s="71" t="str">
        <f>IF(COUNTA(A1515:G1515)=0,"",IF(G1515&lt;&gt;"",G1515,IF(B1515="","",IFERROR(IF(INDEX(pr_rate,MATCH(B1515,pr_code,0))="","",INDEX(pr_rate,MATCH(B1515,pr_code,0))),""))))</f>
        <v/>
      </c>
      <c r="L1515" s="65" t="str">
        <f>IF(COUNTA(A1515:G1515)=0,"",IF(AND(ISNUMBER(D1515),ISNUMBER(J1515)),ROUND(D1515*J1515*(1-N(F1515)),2),0))</f>
        <v/>
      </c>
      <c r="M1515" s="62" t="str">
        <f>IF(A1515="","",IFERROR(INDEX(fa_cname,MATCH(A1515,fa_num,0))&amp;"",""))</f>
        <v/>
      </c>
      <c r="N1515" s="59" t="str">
        <f>IF(COUNTA(A1515:G1515)=0,"",IF(A1515="","N° facture manquant",IF(ISNA(MATCH(A1515,fa_num,0)),"Facture inconnue",IF(AND(B1515&lt;&gt;"",ISNA(MATCH(B1515,pr_code,0))),"Article inconnu",IF(H1515="","Désignation manquante",IF(OR(NOT(ISNUMBER(D1515)),N(D1515)&lt;=0),"Quantité invalide",IF(J1515="","Prix manquant",IF(OR(NOT(ISNUMBER(J1515)),N(J1515)&lt;0),"Prix invalide",IF(OR(AND(F1515&lt;&gt;"",NOT(ISNUMBER(F1515))),N(F1515)&lt;0,N(F1515)&gt;1),"Remise invalide",IF(K1515="","Taux de TVA manquant",IF(NOT(ISNUMBER(K1515)),"Taux de TVA invalide",IF(COUNTIF(p_rates,K1515)=0,"Taux de TVA hors liste (Paramètres)",IF(N(O1515)&gt;25,"Au-delà de 25 lignes : non imprimée","OK")))))))))))))</f>
        <v/>
      </c>
      <c r="O1515" s="59" t="str">
        <f>IF(A1515="","",COUNTIF($A$6:A1515,A1515))</f>
        <v/>
      </c>
      <c r="P1515" s="62" t="str">
        <f>IF(A1515="","",A1515&amp;"|"&amp;O1515)</f>
        <v/>
      </c>
    </row>
    <row r="1516">
      <c r="A1516" s="60" t="n"/>
      <c r="B1516" s="63" t="n"/>
      <c r="C1516" s="63" t="n"/>
      <c r="D1516" s="67" t="n"/>
      <c r="E1516" s="68" t="n"/>
      <c r="F1516" s="69" t="n"/>
      <c r="G1516" s="70" t="n"/>
      <c r="H1516" s="62" t="str">
        <f>IF(COUNTA(A1516:G1516)=0,"",IF(C1516&lt;&gt;"",C1516,IF(B1516="","",IFERROR(INDEX(pr_des,MATCH(B1516,pr_code,0))&amp;"",""))))</f>
        <v/>
      </c>
      <c r="I1516" s="59" t="str">
        <f>IF(B1516="","",IFERROR(INDEX(pr_unit,MATCH(B1516,pr_code,0))&amp;"",""))</f>
        <v/>
      </c>
      <c r="J1516" s="65" t="str">
        <f>IF(COUNTA(A1516:G1516)=0,"",IF(E1516&lt;&gt;"",E1516,IF(B1516="","",IFERROR(IF(INDEX(pr_price,MATCH(B1516,pr_code,0))="","",INDEX(pr_price,MATCH(B1516,pr_code,0))),""))))</f>
        <v/>
      </c>
      <c r="K1516" s="71" t="str">
        <f>IF(COUNTA(A1516:G1516)=0,"",IF(G1516&lt;&gt;"",G1516,IF(B1516="","",IFERROR(IF(INDEX(pr_rate,MATCH(B1516,pr_code,0))="","",INDEX(pr_rate,MATCH(B1516,pr_code,0))),""))))</f>
        <v/>
      </c>
      <c r="L1516" s="65" t="str">
        <f>IF(COUNTA(A1516:G1516)=0,"",IF(AND(ISNUMBER(D1516),ISNUMBER(J1516)),ROUND(D1516*J1516*(1-N(F1516)),2),0))</f>
        <v/>
      </c>
      <c r="M1516" s="62" t="str">
        <f>IF(A1516="","",IFERROR(INDEX(fa_cname,MATCH(A1516,fa_num,0))&amp;"",""))</f>
        <v/>
      </c>
      <c r="N1516" s="59" t="str">
        <f>IF(COUNTA(A1516:G1516)=0,"",IF(A1516="","N° facture manquant",IF(ISNA(MATCH(A1516,fa_num,0)),"Facture inconnue",IF(AND(B1516&lt;&gt;"",ISNA(MATCH(B1516,pr_code,0))),"Article inconnu",IF(H1516="","Désignation manquante",IF(OR(NOT(ISNUMBER(D1516)),N(D1516)&lt;=0),"Quantité invalide",IF(J1516="","Prix manquant",IF(OR(NOT(ISNUMBER(J1516)),N(J1516)&lt;0),"Prix invalide",IF(OR(AND(F1516&lt;&gt;"",NOT(ISNUMBER(F1516))),N(F1516)&lt;0,N(F1516)&gt;1),"Remise invalide",IF(K1516="","Taux de TVA manquant",IF(NOT(ISNUMBER(K1516)),"Taux de TVA invalide",IF(COUNTIF(p_rates,K1516)=0,"Taux de TVA hors liste (Paramètres)",IF(N(O1516)&gt;25,"Au-delà de 25 lignes : non imprimée","OK")))))))))))))</f>
        <v/>
      </c>
      <c r="O1516" s="59" t="str">
        <f>IF(A1516="","",COUNTIF($A$6:A1516,A1516))</f>
        <v/>
      </c>
      <c r="P1516" s="62" t="str">
        <f>IF(A1516="","",A1516&amp;"|"&amp;O1516)</f>
        <v/>
      </c>
    </row>
    <row r="1517">
      <c r="A1517" s="60" t="n"/>
      <c r="B1517" s="63" t="n"/>
      <c r="C1517" s="63" t="n"/>
      <c r="D1517" s="67" t="n"/>
      <c r="E1517" s="68" t="n"/>
      <c r="F1517" s="69" t="n"/>
      <c r="G1517" s="70" t="n"/>
      <c r="H1517" s="62" t="str">
        <f>IF(COUNTA(A1517:G1517)=0,"",IF(C1517&lt;&gt;"",C1517,IF(B1517="","",IFERROR(INDEX(pr_des,MATCH(B1517,pr_code,0))&amp;"",""))))</f>
        <v/>
      </c>
      <c r="I1517" s="59" t="str">
        <f>IF(B1517="","",IFERROR(INDEX(pr_unit,MATCH(B1517,pr_code,0))&amp;"",""))</f>
        <v/>
      </c>
      <c r="J1517" s="65" t="str">
        <f>IF(COUNTA(A1517:G1517)=0,"",IF(E1517&lt;&gt;"",E1517,IF(B1517="","",IFERROR(IF(INDEX(pr_price,MATCH(B1517,pr_code,0))="","",INDEX(pr_price,MATCH(B1517,pr_code,0))),""))))</f>
        <v/>
      </c>
      <c r="K1517" s="71" t="str">
        <f>IF(COUNTA(A1517:G1517)=0,"",IF(G1517&lt;&gt;"",G1517,IF(B1517="","",IFERROR(IF(INDEX(pr_rate,MATCH(B1517,pr_code,0))="","",INDEX(pr_rate,MATCH(B1517,pr_code,0))),""))))</f>
        <v/>
      </c>
      <c r="L1517" s="65" t="str">
        <f>IF(COUNTA(A1517:G1517)=0,"",IF(AND(ISNUMBER(D1517),ISNUMBER(J1517)),ROUND(D1517*J1517*(1-N(F1517)),2),0))</f>
        <v/>
      </c>
      <c r="M1517" s="62" t="str">
        <f>IF(A1517="","",IFERROR(INDEX(fa_cname,MATCH(A1517,fa_num,0))&amp;"",""))</f>
        <v/>
      </c>
      <c r="N1517" s="59" t="str">
        <f>IF(COUNTA(A1517:G1517)=0,"",IF(A1517="","N° facture manquant",IF(ISNA(MATCH(A1517,fa_num,0)),"Facture inconnue",IF(AND(B1517&lt;&gt;"",ISNA(MATCH(B1517,pr_code,0))),"Article inconnu",IF(H1517="","Désignation manquante",IF(OR(NOT(ISNUMBER(D1517)),N(D1517)&lt;=0),"Quantité invalide",IF(J1517="","Prix manquant",IF(OR(NOT(ISNUMBER(J1517)),N(J1517)&lt;0),"Prix invalide",IF(OR(AND(F1517&lt;&gt;"",NOT(ISNUMBER(F1517))),N(F1517)&lt;0,N(F1517)&gt;1),"Remise invalide",IF(K1517="","Taux de TVA manquant",IF(NOT(ISNUMBER(K1517)),"Taux de TVA invalide",IF(COUNTIF(p_rates,K1517)=0,"Taux de TVA hors liste (Paramètres)",IF(N(O1517)&gt;25,"Au-delà de 25 lignes : non imprimée","OK")))))))))))))</f>
        <v/>
      </c>
      <c r="O1517" s="59" t="str">
        <f>IF(A1517="","",COUNTIF($A$6:A1517,A1517))</f>
        <v/>
      </c>
      <c r="P1517" s="62" t="str">
        <f>IF(A1517="","",A1517&amp;"|"&amp;O1517)</f>
        <v/>
      </c>
    </row>
    <row r="1518">
      <c r="A1518" s="60" t="n"/>
      <c r="B1518" s="63" t="n"/>
      <c r="C1518" s="63" t="n"/>
      <c r="D1518" s="67" t="n"/>
      <c r="E1518" s="68" t="n"/>
      <c r="F1518" s="69" t="n"/>
      <c r="G1518" s="70" t="n"/>
      <c r="H1518" s="62" t="str">
        <f>IF(COUNTA(A1518:G1518)=0,"",IF(C1518&lt;&gt;"",C1518,IF(B1518="","",IFERROR(INDEX(pr_des,MATCH(B1518,pr_code,0))&amp;"",""))))</f>
        <v/>
      </c>
      <c r="I1518" s="59" t="str">
        <f>IF(B1518="","",IFERROR(INDEX(pr_unit,MATCH(B1518,pr_code,0))&amp;"",""))</f>
        <v/>
      </c>
      <c r="J1518" s="65" t="str">
        <f>IF(COUNTA(A1518:G1518)=0,"",IF(E1518&lt;&gt;"",E1518,IF(B1518="","",IFERROR(IF(INDEX(pr_price,MATCH(B1518,pr_code,0))="","",INDEX(pr_price,MATCH(B1518,pr_code,0))),""))))</f>
        <v/>
      </c>
      <c r="K1518" s="71" t="str">
        <f>IF(COUNTA(A1518:G1518)=0,"",IF(G1518&lt;&gt;"",G1518,IF(B1518="","",IFERROR(IF(INDEX(pr_rate,MATCH(B1518,pr_code,0))="","",INDEX(pr_rate,MATCH(B1518,pr_code,0))),""))))</f>
        <v/>
      </c>
      <c r="L1518" s="65" t="str">
        <f>IF(COUNTA(A1518:G1518)=0,"",IF(AND(ISNUMBER(D1518),ISNUMBER(J1518)),ROUND(D1518*J1518*(1-N(F1518)),2),0))</f>
        <v/>
      </c>
      <c r="M1518" s="62" t="str">
        <f>IF(A1518="","",IFERROR(INDEX(fa_cname,MATCH(A1518,fa_num,0))&amp;"",""))</f>
        <v/>
      </c>
      <c r="N1518" s="59" t="str">
        <f>IF(COUNTA(A1518:G1518)=0,"",IF(A1518="","N° facture manquant",IF(ISNA(MATCH(A1518,fa_num,0)),"Facture inconnue",IF(AND(B1518&lt;&gt;"",ISNA(MATCH(B1518,pr_code,0))),"Article inconnu",IF(H1518="","Désignation manquante",IF(OR(NOT(ISNUMBER(D1518)),N(D1518)&lt;=0),"Quantité invalide",IF(J1518="","Prix manquant",IF(OR(NOT(ISNUMBER(J1518)),N(J1518)&lt;0),"Prix invalide",IF(OR(AND(F1518&lt;&gt;"",NOT(ISNUMBER(F1518))),N(F1518)&lt;0,N(F1518)&gt;1),"Remise invalide",IF(K1518="","Taux de TVA manquant",IF(NOT(ISNUMBER(K1518)),"Taux de TVA invalide",IF(COUNTIF(p_rates,K1518)=0,"Taux de TVA hors liste (Paramètres)",IF(N(O1518)&gt;25,"Au-delà de 25 lignes : non imprimée","OK")))))))))))))</f>
        <v/>
      </c>
      <c r="O1518" s="59" t="str">
        <f>IF(A1518="","",COUNTIF($A$6:A1518,A1518))</f>
        <v/>
      </c>
      <c r="P1518" s="62" t="str">
        <f>IF(A1518="","",A1518&amp;"|"&amp;O1518)</f>
        <v/>
      </c>
    </row>
    <row r="1519">
      <c r="A1519" s="60" t="n"/>
      <c r="B1519" s="63" t="n"/>
      <c r="C1519" s="63" t="n"/>
      <c r="D1519" s="67" t="n"/>
      <c r="E1519" s="68" t="n"/>
      <c r="F1519" s="69" t="n"/>
      <c r="G1519" s="70" t="n"/>
      <c r="H1519" s="62" t="str">
        <f>IF(COUNTA(A1519:G1519)=0,"",IF(C1519&lt;&gt;"",C1519,IF(B1519="","",IFERROR(INDEX(pr_des,MATCH(B1519,pr_code,0))&amp;"",""))))</f>
        <v/>
      </c>
      <c r="I1519" s="59" t="str">
        <f>IF(B1519="","",IFERROR(INDEX(pr_unit,MATCH(B1519,pr_code,0))&amp;"",""))</f>
        <v/>
      </c>
      <c r="J1519" s="65" t="str">
        <f>IF(COUNTA(A1519:G1519)=0,"",IF(E1519&lt;&gt;"",E1519,IF(B1519="","",IFERROR(IF(INDEX(pr_price,MATCH(B1519,pr_code,0))="","",INDEX(pr_price,MATCH(B1519,pr_code,0))),""))))</f>
        <v/>
      </c>
      <c r="K1519" s="71" t="str">
        <f>IF(COUNTA(A1519:G1519)=0,"",IF(G1519&lt;&gt;"",G1519,IF(B1519="","",IFERROR(IF(INDEX(pr_rate,MATCH(B1519,pr_code,0))="","",INDEX(pr_rate,MATCH(B1519,pr_code,0))),""))))</f>
        <v/>
      </c>
      <c r="L1519" s="65" t="str">
        <f>IF(COUNTA(A1519:G1519)=0,"",IF(AND(ISNUMBER(D1519),ISNUMBER(J1519)),ROUND(D1519*J1519*(1-N(F1519)),2),0))</f>
        <v/>
      </c>
      <c r="M1519" s="62" t="str">
        <f>IF(A1519="","",IFERROR(INDEX(fa_cname,MATCH(A1519,fa_num,0))&amp;"",""))</f>
        <v/>
      </c>
      <c r="N1519" s="59" t="str">
        <f>IF(COUNTA(A1519:G1519)=0,"",IF(A1519="","N° facture manquant",IF(ISNA(MATCH(A1519,fa_num,0)),"Facture inconnue",IF(AND(B1519&lt;&gt;"",ISNA(MATCH(B1519,pr_code,0))),"Article inconnu",IF(H1519="","Désignation manquante",IF(OR(NOT(ISNUMBER(D1519)),N(D1519)&lt;=0),"Quantité invalide",IF(J1519="","Prix manquant",IF(OR(NOT(ISNUMBER(J1519)),N(J1519)&lt;0),"Prix invalide",IF(OR(AND(F1519&lt;&gt;"",NOT(ISNUMBER(F1519))),N(F1519)&lt;0,N(F1519)&gt;1),"Remise invalide",IF(K1519="","Taux de TVA manquant",IF(NOT(ISNUMBER(K1519)),"Taux de TVA invalide",IF(COUNTIF(p_rates,K1519)=0,"Taux de TVA hors liste (Paramètres)",IF(N(O1519)&gt;25,"Au-delà de 25 lignes : non imprimée","OK")))))))))))))</f>
        <v/>
      </c>
      <c r="O1519" s="59" t="str">
        <f>IF(A1519="","",COUNTIF($A$6:A1519,A1519))</f>
        <v/>
      </c>
      <c r="P1519" s="62" t="str">
        <f>IF(A1519="","",A1519&amp;"|"&amp;O1519)</f>
        <v/>
      </c>
    </row>
    <row r="1520">
      <c r="A1520" s="60" t="n"/>
      <c r="B1520" s="63" t="n"/>
      <c r="C1520" s="63" t="n"/>
      <c r="D1520" s="67" t="n"/>
      <c r="E1520" s="68" t="n"/>
      <c r="F1520" s="69" t="n"/>
      <c r="G1520" s="70" t="n"/>
      <c r="H1520" s="62" t="str">
        <f>IF(COUNTA(A1520:G1520)=0,"",IF(C1520&lt;&gt;"",C1520,IF(B1520="","",IFERROR(INDEX(pr_des,MATCH(B1520,pr_code,0))&amp;"",""))))</f>
        <v/>
      </c>
      <c r="I1520" s="59" t="str">
        <f>IF(B1520="","",IFERROR(INDEX(pr_unit,MATCH(B1520,pr_code,0))&amp;"",""))</f>
        <v/>
      </c>
      <c r="J1520" s="65" t="str">
        <f>IF(COUNTA(A1520:G1520)=0,"",IF(E1520&lt;&gt;"",E1520,IF(B1520="","",IFERROR(IF(INDEX(pr_price,MATCH(B1520,pr_code,0))="","",INDEX(pr_price,MATCH(B1520,pr_code,0))),""))))</f>
        <v/>
      </c>
      <c r="K1520" s="71" t="str">
        <f>IF(COUNTA(A1520:G1520)=0,"",IF(G1520&lt;&gt;"",G1520,IF(B1520="","",IFERROR(IF(INDEX(pr_rate,MATCH(B1520,pr_code,0))="","",INDEX(pr_rate,MATCH(B1520,pr_code,0))),""))))</f>
        <v/>
      </c>
      <c r="L1520" s="65" t="str">
        <f>IF(COUNTA(A1520:G1520)=0,"",IF(AND(ISNUMBER(D1520),ISNUMBER(J1520)),ROUND(D1520*J1520*(1-N(F1520)),2),0))</f>
        <v/>
      </c>
      <c r="M1520" s="62" t="str">
        <f>IF(A1520="","",IFERROR(INDEX(fa_cname,MATCH(A1520,fa_num,0))&amp;"",""))</f>
        <v/>
      </c>
      <c r="N1520" s="59" t="str">
        <f>IF(COUNTA(A1520:G1520)=0,"",IF(A1520="","N° facture manquant",IF(ISNA(MATCH(A1520,fa_num,0)),"Facture inconnue",IF(AND(B1520&lt;&gt;"",ISNA(MATCH(B1520,pr_code,0))),"Article inconnu",IF(H1520="","Désignation manquante",IF(OR(NOT(ISNUMBER(D1520)),N(D1520)&lt;=0),"Quantité invalide",IF(J1520="","Prix manquant",IF(OR(NOT(ISNUMBER(J1520)),N(J1520)&lt;0),"Prix invalide",IF(OR(AND(F1520&lt;&gt;"",NOT(ISNUMBER(F1520))),N(F1520)&lt;0,N(F1520)&gt;1),"Remise invalide",IF(K1520="","Taux de TVA manquant",IF(NOT(ISNUMBER(K1520)),"Taux de TVA invalide",IF(COUNTIF(p_rates,K1520)=0,"Taux de TVA hors liste (Paramètres)",IF(N(O1520)&gt;25,"Au-delà de 25 lignes : non imprimée","OK")))))))))))))</f>
        <v/>
      </c>
      <c r="O1520" s="59" t="str">
        <f>IF(A1520="","",COUNTIF($A$6:A1520,A1520))</f>
        <v/>
      </c>
      <c r="P1520" s="62" t="str">
        <f>IF(A1520="","",A1520&amp;"|"&amp;O1520)</f>
        <v/>
      </c>
    </row>
    <row r="1521">
      <c r="A1521" s="60" t="n"/>
      <c r="B1521" s="63" t="n"/>
      <c r="C1521" s="63" t="n"/>
      <c r="D1521" s="67" t="n"/>
      <c r="E1521" s="68" t="n"/>
      <c r="F1521" s="69" t="n"/>
      <c r="G1521" s="70" t="n"/>
      <c r="H1521" s="62" t="str">
        <f>IF(COUNTA(A1521:G1521)=0,"",IF(C1521&lt;&gt;"",C1521,IF(B1521="","",IFERROR(INDEX(pr_des,MATCH(B1521,pr_code,0))&amp;"",""))))</f>
        <v/>
      </c>
      <c r="I1521" s="59" t="str">
        <f>IF(B1521="","",IFERROR(INDEX(pr_unit,MATCH(B1521,pr_code,0))&amp;"",""))</f>
        <v/>
      </c>
      <c r="J1521" s="65" t="str">
        <f>IF(COUNTA(A1521:G1521)=0,"",IF(E1521&lt;&gt;"",E1521,IF(B1521="","",IFERROR(IF(INDEX(pr_price,MATCH(B1521,pr_code,0))="","",INDEX(pr_price,MATCH(B1521,pr_code,0))),""))))</f>
        <v/>
      </c>
      <c r="K1521" s="71" t="str">
        <f>IF(COUNTA(A1521:G1521)=0,"",IF(G1521&lt;&gt;"",G1521,IF(B1521="","",IFERROR(IF(INDEX(pr_rate,MATCH(B1521,pr_code,0))="","",INDEX(pr_rate,MATCH(B1521,pr_code,0))),""))))</f>
        <v/>
      </c>
      <c r="L1521" s="65" t="str">
        <f>IF(COUNTA(A1521:G1521)=0,"",IF(AND(ISNUMBER(D1521),ISNUMBER(J1521)),ROUND(D1521*J1521*(1-N(F1521)),2),0))</f>
        <v/>
      </c>
      <c r="M1521" s="62" t="str">
        <f>IF(A1521="","",IFERROR(INDEX(fa_cname,MATCH(A1521,fa_num,0))&amp;"",""))</f>
        <v/>
      </c>
      <c r="N1521" s="59" t="str">
        <f>IF(COUNTA(A1521:G1521)=0,"",IF(A1521="","N° facture manquant",IF(ISNA(MATCH(A1521,fa_num,0)),"Facture inconnue",IF(AND(B1521&lt;&gt;"",ISNA(MATCH(B1521,pr_code,0))),"Article inconnu",IF(H1521="","Désignation manquante",IF(OR(NOT(ISNUMBER(D1521)),N(D1521)&lt;=0),"Quantité invalide",IF(J1521="","Prix manquant",IF(OR(NOT(ISNUMBER(J1521)),N(J1521)&lt;0),"Prix invalide",IF(OR(AND(F1521&lt;&gt;"",NOT(ISNUMBER(F1521))),N(F1521)&lt;0,N(F1521)&gt;1),"Remise invalide",IF(K1521="","Taux de TVA manquant",IF(NOT(ISNUMBER(K1521)),"Taux de TVA invalide",IF(COUNTIF(p_rates,K1521)=0,"Taux de TVA hors liste (Paramètres)",IF(N(O1521)&gt;25,"Au-delà de 25 lignes : non imprimée","OK")))))))))))))</f>
        <v/>
      </c>
      <c r="O1521" s="59" t="str">
        <f>IF(A1521="","",COUNTIF($A$6:A1521,A1521))</f>
        <v/>
      </c>
      <c r="P1521" s="62" t="str">
        <f>IF(A1521="","",A1521&amp;"|"&amp;O1521)</f>
        <v/>
      </c>
    </row>
    <row r="1522">
      <c r="A1522" s="60" t="n"/>
      <c r="B1522" s="63" t="n"/>
      <c r="C1522" s="63" t="n"/>
      <c r="D1522" s="67" t="n"/>
      <c r="E1522" s="68" t="n"/>
      <c r="F1522" s="69" t="n"/>
      <c r="G1522" s="70" t="n"/>
      <c r="H1522" s="62" t="str">
        <f>IF(COUNTA(A1522:G1522)=0,"",IF(C1522&lt;&gt;"",C1522,IF(B1522="","",IFERROR(INDEX(pr_des,MATCH(B1522,pr_code,0))&amp;"",""))))</f>
        <v/>
      </c>
      <c r="I1522" s="59" t="str">
        <f>IF(B1522="","",IFERROR(INDEX(pr_unit,MATCH(B1522,pr_code,0))&amp;"",""))</f>
        <v/>
      </c>
      <c r="J1522" s="65" t="str">
        <f>IF(COUNTA(A1522:G1522)=0,"",IF(E1522&lt;&gt;"",E1522,IF(B1522="","",IFERROR(IF(INDEX(pr_price,MATCH(B1522,pr_code,0))="","",INDEX(pr_price,MATCH(B1522,pr_code,0))),""))))</f>
        <v/>
      </c>
      <c r="K1522" s="71" t="str">
        <f>IF(COUNTA(A1522:G1522)=0,"",IF(G1522&lt;&gt;"",G1522,IF(B1522="","",IFERROR(IF(INDEX(pr_rate,MATCH(B1522,pr_code,0))="","",INDEX(pr_rate,MATCH(B1522,pr_code,0))),""))))</f>
        <v/>
      </c>
      <c r="L1522" s="65" t="str">
        <f>IF(COUNTA(A1522:G1522)=0,"",IF(AND(ISNUMBER(D1522),ISNUMBER(J1522)),ROUND(D1522*J1522*(1-N(F1522)),2),0))</f>
        <v/>
      </c>
      <c r="M1522" s="62" t="str">
        <f>IF(A1522="","",IFERROR(INDEX(fa_cname,MATCH(A1522,fa_num,0))&amp;"",""))</f>
        <v/>
      </c>
      <c r="N1522" s="59" t="str">
        <f>IF(COUNTA(A1522:G1522)=0,"",IF(A1522="","N° facture manquant",IF(ISNA(MATCH(A1522,fa_num,0)),"Facture inconnue",IF(AND(B1522&lt;&gt;"",ISNA(MATCH(B1522,pr_code,0))),"Article inconnu",IF(H1522="","Désignation manquante",IF(OR(NOT(ISNUMBER(D1522)),N(D1522)&lt;=0),"Quantité invalide",IF(J1522="","Prix manquant",IF(OR(NOT(ISNUMBER(J1522)),N(J1522)&lt;0),"Prix invalide",IF(OR(AND(F1522&lt;&gt;"",NOT(ISNUMBER(F1522))),N(F1522)&lt;0,N(F1522)&gt;1),"Remise invalide",IF(K1522="","Taux de TVA manquant",IF(NOT(ISNUMBER(K1522)),"Taux de TVA invalide",IF(COUNTIF(p_rates,K1522)=0,"Taux de TVA hors liste (Paramètres)",IF(N(O1522)&gt;25,"Au-delà de 25 lignes : non imprimée","OK")))))))))))))</f>
        <v/>
      </c>
      <c r="O1522" s="59" t="str">
        <f>IF(A1522="","",COUNTIF($A$6:A1522,A1522))</f>
        <v/>
      </c>
      <c r="P1522" s="62" t="str">
        <f>IF(A1522="","",A1522&amp;"|"&amp;O1522)</f>
        <v/>
      </c>
    </row>
    <row r="1523">
      <c r="A1523" s="60" t="n"/>
      <c r="B1523" s="63" t="n"/>
      <c r="C1523" s="63" t="n"/>
      <c r="D1523" s="67" t="n"/>
      <c r="E1523" s="68" t="n"/>
      <c r="F1523" s="69" t="n"/>
      <c r="G1523" s="70" t="n"/>
      <c r="H1523" s="62" t="str">
        <f>IF(COUNTA(A1523:G1523)=0,"",IF(C1523&lt;&gt;"",C1523,IF(B1523="","",IFERROR(INDEX(pr_des,MATCH(B1523,pr_code,0))&amp;"",""))))</f>
        <v/>
      </c>
      <c r="I1523" s="59" t="str">
        <f>IF(B1523="","",IFERROR(INDEX(pr_unit,MATCH(B1523,pr_code,0))&amp;"",""))</f>
        <v/>
      </c>
      <c r="J1523" s="65" t="str">
        <f>IF(COUNTA(A1523:G1523)=0,"",IF(E1523&lt;&gt;"",E1523,IF(B1523="","",IFERROR(IF(INDEX(pr_price,MATCH(B1523,pr_code,0))="","",INDEX(pr_price,MATCH(B1523,pr_code,0))),""))))</f>
        <v/>
      </c>
      <c r="K1523" s="71" t="str">
        <f>IF(COUNTA(A1523:G1523)=0,"",IF(G1523&lt;&gt;"",G1523,IF(B1523="","",IFERROR(IF(INDEX(pr_rate,MATCH(B1523,pr_code,0))="","",INDEX(pr_rate,MATCH(B1523,pr_code,0))),""))))</f>
        <v/>
      </c>
      <c r="L1523" s="65" t="str">
        <f>IF(COUNTA(A1523:G1523)=0,"",IF(AND(ISNUMBER(D1523),ISNUMBER(J1523)),ROUND(D1523*J1523*(1-N(F1523)),2),0))</f>
        <v/>
      </c>
      <c r="M1523" s="62" t="str">
        <f>IF(A1523="","",IFERROR(INDEX(fa_cname,MATCH(A1523,fa_num,0))&amp;"",""))</f>
        <v/>
      </c>
      <c r="N1523" s="59" t="str">
        <f>IF(COUNTA(A1523:G1523)=0,"",IF(A1523="","N° facture manquant",IF(ISNA(MATCH(A1523,fa_num,0)),"Facture inconnue",IF(AND(B1523&lt;&gt;"",ISNA(MATCH(B1523,pr_code,0))),"Article inconnu",IF(H1523="","Désignation manquante",IF(OR(NOT(ISNUMBER(D1523)),N(D1523)&lt;=0),"Quantité invalide",IF(J1523="","Prix manquant",IF(OR(NOT(ISNUMBER(J1523)),N(J1523)&lt;0),"Prix invalide",IF(OR(AND(F1523&lt;&gt;"",NOT(ISNUMBER(F1523))),N(F1523)&lt;0,N(F1523)&gt;1),"Remise invalide",IF(K1523="","Taux de TVA manquant",IF(NOT(ISNUMBER(K1523)),"Taux de TVA invalide",IF(COUNTIF(p_rates,K1523)=0,"Taux de TVA hors liste (Paramètres)",IF(N(O1523)&gt;25,"Au-delà de 25 lignes : non imprimée","OK")))))))))))))</f>
        <v/>
      </c>
      <c r="O1523" s="59" t="str">
        <f>IF(A1523="","",COUNTIF($A$6:A1523,A1523))</f>
        <v/>
      </c>
      <c r="P1523" s="62" t="str">
        <f>IF(A1523="","",A1523&amp;"|"&amp;O1523)</f>
        <v/>
      </c>
    </row>
    <row r="1524">
      <c r="A1524" s="60" t="n"/>
      <c r="B1524" s="63" t="n"/>
      <c r="C1524" s="63" t="n"/>
      <c r="D1524" s="67" t="n"/>
      <c r="E1524" s="68" t="n"/>
      <c r="F1524" s="69" t="n"/>
      <c r="G1524" s="70" t="n"/>
      <c r="H1524" s="62" t="str">
        <f>IF(COUNTA(A1524:G1524)=0,"",IF(C1524&lt;&gt;"",C1524,IF(B1524="","",IFERROR(INDEX(pr_des,MATCH(B1524,pr_code,0))&amp;"",""))))</f>
        <v/>
      </c>
      <c r="I1524" s="59" t="str">
        <f>IF(B1524="","",IFERROR(INDEX(pr_unit,MATCH(B1524,pr_code,0))&amp;"",""))</f>
        <v/>
      </c>
      <c r="J1524" s="65" t="str">
        <f>IF(COUNTA(A1524:G1524)=0,"",IF(E1524&lt;&gt;"",E1524,IF(B1524="","",IFERROR(IF(INDEX(pr_price,MATCH(B1524,pr_code,0))="","",INDEX(pr_price,MATCH(B1524,pr_code,0))),""))))</f>
        <v/>
      </c>
      <c r="K1524" s="71" t="str">
        <f>IF(COUNTA(A1524:G1524)=0,"",IF(G1524&lt;&gt;"",G1524,IF(B1524="","",IFERROR(IF(INDEX(pr_rate,MATCH(B1524,pr_code,0))="","",INDEX(pr_rate,MATCH(B1524,pr_code,0))),""))))</f>
        <v/>
      </c>
      <c r="L1524" s="65" t="str">
        <f>IF(COUNTA(A1524:G1524)=0,"",IF(AND(ISNUMBER(D1524),ISNUMBER(J1524)),ROUND(D1524*J1524*(1-N(F1524)),2),0))</f>
        <v/>
      </c>
      <c r="M1524" s="62" t="str">
        <f>IF(A1524="","",IFERROR(INDEX(fa_cname,MATCH(A1524,fa_num,0))&amp;"",""))</f>
        <v/>
      </c>
      <c r="N1524" s="59" t="str">
        <f>IF(COUNTA(A1524:G1524)=0,"",IF(A1524="","N° facture manquant",IF(ISNA(MATCH(A1524,fa_num,0)),"Facture inconnue",IF(AND(B1524&lt;&gt;"",ISNA(MATCH(B1524,pr_code,0))),"Article inconnu",IF(H1524="","Désignation manquante",IF(OR(NOT(ISNUMBER(D1524)),N(D1524)&lt;=0),"Quantité invalide",IF(J1524="","Prix manquant",IF(OR(NOT(ISNUMBER(J1524)),N(J1524)&lt;0),"Prix invalide",IF(OR(AND(F1524&lt;&gt;"",NOT(ISNUMBER(F1524))),N(F1524)&lt;0,N(F1524)&gt;1),"Remise invalide",IF(K1524="","Taux de TVA manquant",IF(NOT(ISNUMBER(K1524)),"Taux de TVA invalide",IF(COUNTIF(p_rates,K1524)=0,"Taux de TVA hors liste (Paramètres)",IF(N(O1524)&gt;25,"Au-delà de 25 lignes : non imprimée","OK")))))))))))))</f>
        <v/>
      </c>
      <c r="O1524" s="59" t="str">
        <f>IF(A1524="","",COUNTIF($A$6:A1524,A1524))</f>
        <v/>
      </c>
      <c r="P1524" s="62" t="str">
        <f>IF(A1524="","",A1524&amp;"|"&amp;O1524)</f>
        <v/>
      </c>
    </row>
    <row r="1525">
      <c r="A1525" s="60" t="n"/>
      <c r="B1525" s="63" t="n"/>
      <c r="C1525" s="63" t="n"/>
      <c r="D1525" s="67" t="n"/>
      <c r="E1525" s="68" t="n"/>
      <c r="F1525" s="69" t="n"/>
      <c r="G1525" s="70" t="n"/>
      <c r="H1525" s="62" t="str">
        <f>IF(COUNTA(A1525:G1525)=0,"",IF(C1525&lt;&gt;"",C1525,IF(B1525="","",IFERROR(INDEX(pr_des,MATCH(B1525,pr_code,0))&amp;"",""))))</f>
        <v/>
      </c>
      <c r="I1525" s="59" t="str">
        <f>IF(B1525="","",IFERROR(INDEX(pr_unit,MATCH(B1525,pr_code,0))&amp;"",""))</f>
        <v/>
      </c>
      <c r="J1525" s="65" t="str">
        <f>IF(COUNTA(A1525:G1525)=0,"",IF(E1525&lt;&gt;"",E1525,IF(B1525="","",IFERROR(IF(INDEX(pr_price,MATCH(B1525,pr_code,0))="","",INDEX(pr_price,MATCH(B1525,pr_code,0))),""))))</f>
        <v/>
      </c>
      <c r="K1525" s="71" t="str">
        <f>IF(COUNTA(A1525:G1525)=0,"",IF(G1525&lt;&gt;"",G1525,IF(B1525="","",IFERROR(IF(INDEX(pr_rate,MATCH(B1525,pr_code,0))="","",INDEX(pr_rate,MATCH(B1525,pr_code,0))),""))))</f>
        <v/>
      </c>
      <c r="L1525" s="65" t="str">
        <f>IF(COUNTA(A1525:G1525)=0,"",IF(AND(ISNUMBER(D1525),ISNUMBER(J1525)),ROUND(D1525*J1525*(1-N(F1525)),2),0))</f>
        <v/>
      </c>
      <c r="M1525" s="62" t="str">
        <f>IF(A1525="","",IFERROR(INDEX(fa_cname,MATCH(A1525,fa_num,0))&amp;"",""))</f>
        <v/>
      </c>
      <c r="N1525" s="59" t="str">
        <f>IF(COUNTA(A1525:G1525)=0,"",IF(A1525="","N° facture manquant",IF(ISNA(MATCH(A1525,fa_num,0)),"Facture inconnue",IF(AND(B1525&lt;&gt;"",ISNA(MATCH(B1525,pr_code,0))),"Article inconnu",IF(H1525="","Désignation manquante",IF(OR(NOT(ISNUMBER(D1525)),N(D1525)&lt;=0),"Quantité invalide",IF(J1525="","Prix manquant",IF(OR(NOT(ISNUMBER(J1525)),N(J1525)&lt;0),"Prix invalide",IF(OR(AND(F1525&lt;&gt;"",NOT(ISNUMBER(F1525))),N(F1525)&lt;0,N(F1525)&gt;1),"Remise invalide",IF(K1525="","Taux de TVA manquant",IF(NOT(ISNUMBER(K1525)),"Taux de TVA invalide",IF(COUNTIF(p_rates,K1525)=0,"Taux de TVA hors liste (Paramètres)",IF(N(O1525)&gt;25,"Au-delà de 25 lignes : non imprimée","OK")))))))))))))</f>
        <v/>
      </c>
      <c r="O1525" s="59" t="str">
        <f>IF(A1525="","",COUNTIF($A$6:A1525,A1525))</f>
        <v/>
      </c>
      <c r="P1525" s="62" t="str">
        <f>IF(A1525="","",A1525&amp;"|"&amp;O1525)</f>
        <v/>
      </c>
    </row>
    <row r="1526">
      <c r="A1526" s="60" t="n"/>
      <c r="B1526" s="63" t="n"/>
      <c r="C1526" s="63" t="n"/>
      <c r="D1526" s="67" t="n"/>
      <c r="E1526" s="68" t="n"/>
      <c r="F1526" s="69" t="n"/>
      <c r="G1526" s="70" t="n"/>
      <c r="H1526" s="62" t="str">
        <f>IF(COUNTA(A1526:G1526)=0,"",IF(C1526&lt;&gt;"",C1526,IF(B1526="","",IFERROR(INDEX(pr_des,MATCH(B1526,pr_code,0))&amp;"",""))))</f>
        <v/>
      </c>
      <c r="I1526" s="59" t="str">
        <f>IF(B1526="","",IFERROR(INDEX(pr_unit,MATCH(B1526,pr_code,0))&amp;"",""))</f>
        <v/>
      </c>
      <c r="J1526" s="65" t="str">
        <f>IF(COUNTA(A1526:G1526)=0,"",IF(E1526&lt;&gt;"",E1526,IF(B1526="","",IFERROR(IF(INDEX(pr_price,MATCH(B1526,pr_code,0))="","",INDEX(pr_price,MATCH(B1526,pr_code,0))),""))))</f>
        <v/>
      </c>
      <c r="K1526" s="71" t="str">
        <f>IF(COUNTA(A1526:G1526)=0,"",IF(G1526&lt;&gt;"",G1526,IF(B1526="","",IFERROR(IF(INDEX(pr_rate,MATCH(B1526,pr_code,0))="","",INDEX(pr_rate,MATCH(B1526,pr_code,0))),""))))</f>
        <v/>
      </c>
      <c r="L1526" s="65" t="str">
        <f>IF(COUNTA(A1526:G1526)=0,"",IF(AND(ISNUMBER(D1526),ISNUMBER(J1526)),ROUND(D1526*J1526*(1-N(F1526)),2),0))</f>
        <v/>
      </c>
      <c r="M1526" s="62" t="str">
        <f>IF(A1526="","",IFERROR(INDEX(fa_cname,MATCH(A1526,fa_num,0))&amp;"",""))</f>
        <v/>
      </c>
      <c r="N1526" s="59" t="str">
        <f>IF(COUNTA(A1526:G1526)=0,"",IF(A1526="","N° facture manquant",IF(ISNA(MATCH(A1526,fa_num,0)),"Facture inconnue",IF(AND(B1526&lt;&gt;"",ISNA(MATCH(B1526,pr_code,0))),"Article inconnu",IF(H1526="","Désignation manquante",IF(OR(NOT(ISNUMBER(D1526)),N(D1526)&lt;=0),"Quantité invalide",IF(J1526="","Prix manquant",IF(OR(NOT(ISNUMBER(J1526)),N(J1526)&lt;0),"Prix invalide",IF(OR(AND(F1526&lt;&gt;"",NOT(ISNUMBER(F1526))),N(F1526)&lt;0,N(F1526)&gt;1),"Remise invalide",IF(K1526="","Taux de TVA manquant",IF(NOT(ISNUMBER(K1526)),"Taux de TVA invalide",IF(COUNTIF(p_rates,K1526)=0,"Taux de TVA hors liste (Paramètres)",IF(N(O1526)&gt;25,"Au-delà de 25 lignes : non imprimée","OK")))))))))))))</f>
        <v/>
      </c>
      <c r="O1526" s="59" t="str">
        <f>IF(A1526="","",COUNTIF($A$6:A1526,A1526))</f>
        <v/>
      </c>
      <c r="P1526" s="62" t="str">
        <f>IF(A1526="","",A1526&amp;"|"&amp;O1526)</f>
        <v/>
      </c>
    </row>
    <row r="1527">
      <c r="A1527" s="60" t="n"/>
      <c r="B1527" s="63" t="n"/>
      <c r="C1527" s="63" t="n"/>
      <c r="D1527" s="67" t="n"/>
      <c r="E1527" s="68" t="n"/>
      <c r="F1527" s="69" t="n"/>
      <c r="G1527" s="70" t="n"/>
      <c r="H1527" s="62" t="str">
        <f>IF(COUNTA(A1527:G1527)=0,"",IF(C1527&lt;&gt;"",C1527,IF(B1527="","",IFERROR(INDEX(pr_des,MATCH(B1527,pr_code,0))&amp;"",""))))</f>
        <v/>
      </c>
      <c r="I1527" s="59" t="str">
        <f>IF(B1527="","",IFERROR(INDEX(pr_unit,MATCH(B1527,pr_code,0))&amp;"",""))</f>
        <v/>
      </c>
      <c r="J1527" s="65" t="str">
        <f>IF(COUNTA(A1527:G1527)=0,"",IF(E1527&lt;&gt;"",E1527,IF(B1527="","",IFERROR(IF(INDEX(pr_price,MATCH(B1527,pr_code,0))="","",INDEX(pr_price,MATCH(B1527,pr_code,0))),""))))</f>
        <v/>
      </c>
      <c r="K1527" s="71" t="str">
        <f>IF(COUNTA(A1527:G1527)=0,"",IF(G1527&lt;&gt;"",G1527,IF(B1527="","",IFERROR(IF(INDEX(pr_rate,MATCH(B1527,pr_code,0))="","",INDEX(pr_rate,MATCH(B1527,pr_code,0))),""))))</f>
        <v/>
      </c>
      <c r="L1527" s="65" t="str">
        <f>IF(COUNTA(A1527:G1527)=0,"",IF(AND(ISNUMBER(D1527),ISNUMBER(J1527)),ROUND(D1527*J1527*(1-N(F1527)),2),0))</f>
        <v/>
      </c>
      <c r="M1527" s="62" t="str">
        <f>IF(A1527="","",IFERROR(INDEX(fa_cname,MATCH(A1527,fa_num,0))&amp;"",""))</f>
        <v/>
      </c>
      <c r="N1527" s="59" t="str">
        <f>IF(COUNTA(A1527:G1527)=0,"",IF(A1527="","N° facture manquant",IF(ISNA(MATCH(A1527,fa_num,0)),"Facture inconnue",IF(AND(B1527&lt;&gt;"",ISNA(MATCH(B1527,pr_code,0))),"Article inconnu",IF(H1527="","Désignation manquante",IF(OR(NOT(ISNUMBER(D1527)),N(D1527)&lt;=0),"Quantité invalide",IF(J1527="","Prix manquant",IF(OR(NOT(ISNUMBER(J1527)),N(J1527)&lt;0),"Prix invalide",IF(OR(AND(F1527&lt;&gt;"",NOT(ISNUMBER(F1527))),N(F1527)&lt;0,N(F1527)&gt;1),"Remise invalide",IF(K1527="","Taux de TVA manquant",IF(NOT(ISNUMBER(K1527)),"Taux de TVA invalide",IF(COUNTIF(p_rates,K1527)=0,"Taux de TVA hors liste (Paramètres)",IF(N(O1527)&gt;25,"Au-delà de 25 lignes : non imprimée","OK")))))))))))))</f>
        <v/>
      </c>
      <c r="O1527" s="59" t="str">
        <f>IF(A1527="","",COUNTIF($A$6:A1527,A1527))</f>
        <v/>
      </c>
      <c r="P1527" s="62" t="str">
        <f>IF(A1527="","",A1527&amp;"|"&amp;O1527)</f>
        <v/>
      </c>
    </row>
    <row r="1528">
      <c r="A1528" s="60" t="n"/>
      <c r="B1528" s="63" t="n"/>
      <c r="C1528" s="63" t="n"/>
      <c r="D1528" s="67" t="n"/>
      <c r="E1528" s="68" t="n"/>
      <c r="F1528" s="69" t="n"/>
      <c r="G1528" s="70" t="n"/>
      <c r="H1528" s="62" t="str">
        <f>IF(COUNTA(A1528:G1528)=0,"",IF(C1528&lt;&gt;"",C1528,IF(B1528="","",IFERROR(INDEX(pr_des,MATCH(B1528,pr_code,0))&amp;"",""))))</f>
        <v/>
      </c>
      <c r="I1528" s="59" t="str">
        <f>IF(B1528="","",IFERROR(INDEX(pr_unit,MATCH(B1528,pr_code,0))&amp;"",""))</f>
        <v/>
      </c>
      <c r="J1528" s="65" t="str">
        <f>IF(COUNTA(A1528:G1528)=0,"",IF(E1528&lt;&gt;"",E1528,IF(B1528="","",IFERROR(IF(INDEX(pr_price,MATCH(B1528,pr_code,0))="","",INDEX(pr_price,MATCH(B1528,pr_code,0))),""))))</f>
        <v/>
      </c>
      <c r="K1528" s="71" t="str">
        <f>IF(COUNTA(A1528:G1528)=0,"",IF(G1528&lt;&gt;"",G1528,IF(B1528="","",IFERROR(IF(INDEX(pr_rate,MATCH(B1528,pr_code,0))="","",INDEX(pr_rate,MATCH(B1528,pr_code,0))),""))))</f>
        <v/>
      </c>
      <c r="L1528" s="65" t="str">
        <f>IF(COUNTA(A1528:G1528)=0,"",IF(AND(ISNUMBER(D1528),ISNUMBER(J1528)),ROUND(D1528*J1528*(1-N(F1528)),2),0))</f>
        <v/>
      </c>
      <c r="M1528" s="62" t="str">
        <f>IF(A1528="","",IFERROR(INDEX(fa_cname,MATCH(A1528,fa_num,0))&amp;"",""))</f>
        <v/>
      </c>
      <c r="N1528" s="59" t="str">
        <f>IF(COUNTA(A1528:G1528)=0,"",IF(A1528="","N° facture manquant",IF(ISNA(MATCH(A1528,fa_num,0)),"Facture inconnue",IF(AND(B1528&lt;&gt;"",ISNA(MATCH(B1528,pr_code,0))),"Article inconnu",IF(H1528="","Désignation manquante",IF(OR(NOT(ISNUMBER(D1528)),N(D1528)&lt;=0),"Quantité invalide",IF(J1528="","Prix manquant",IF(OR(NOT(ISNUMBER(J1528)),N(J1528)&lt;0),"Prix invalide",IF(OR(AND(F1528&lt;&gt;"",NOT(ISNUMBER(F1528))),N(F1528)&lt;0,N(F1528)&gt;1),"Remise invalide",IF(K1528="","Taux de TVA manquant",IF(NOT(ISNUMBER(K1528)),"Taux de TVA invalide",IF(COUNTIF(p_rates,K1528)=0,"Taux de TVA hors liste (Paramètres)",IF(N(O1528)&gt;25,"Au-delà de 25 lignes : non imprimée","OK")))))))))))))</f>
        <v/>
      </c>
      <c r="O1528" s="59" t="str">
        <f>IF(A1528="","",COUNTIF($A$6:A1528,A1528))</f>
        <v/>
      </c>
      <c r="P1528" s="62" t="str">
        <f>IF(A1528="","",A1528&amp;"|"&amp;O1528)</f>
        <v/>
      </c>
    </row>
    <row r="1529">
      <c r="A1529" s="60" t="n"/>
      <c r="B1529" s="63" t="n"/>
      <c r="C1529" s="63" t="n"/>
      <c r="D1529" s="67" t="n"/>
      <c r="E1529" s="68" t="n"/>
      <c r="F1529" s="69" t="n"/>
      <c r="G1529" s="70" t="n"/>
      <c r="H1529" s="62" t="str">
        <f>IF(COUNTA(A1529:G1529)=0,"",IF(C1529&lt;&gt;"",C1529,IF(B1529="","",IFERROR(INDEX(pr_des,MATCH(B1529,pr_code,0))&amp;"",""))))</f>
        <v/>
      </c>
      <c r="I1529" s="59" t="str">
        <f>IF(B1529="","",IFERROR(INDEX(pr_unit,MATCH(B1529,pr_code,0))&amp;"",""))</f>
        <v/>
      </c>
      <c r="J1529" s="65" t="str">
        <f>IF(COUNTA(A1529:G1529)=0,"",IF(E1529&lt;&gt;"",E1529,IF(B1529="","",IFERROR(IF(INDEX(pr_price,MATCH(B1529,pr_code,0))="","",INDEX(pr_price,MATCH(B1529,pr_code,0))),""))))</f>
        <v/>
      </c>
      <c r="K1529" s="71" t="str">
        <f>IF(COUNTA(A1529:G1529)=0,"",IF(G1529&lt;&gt;"",G1529,IF(B1529="","",IFERROR(IF(INDEX(pr_rate,MATCH(B1529,pr_code,0))="","",INDEX(pr_rate,MATCH(B1529,pr_code,0))),""))))</f>
        <v/>
      </c>
      <c r="L1529" s="65" t="str">
        <f>IF(COUNTA(A1529:G1529)=0,"",IF(AND(ISNUMBER(D1529),ISNUMBER(J1529)),ROUND(D1529*J1529*(1-N(F1529)),2),0))</f>
        <v/>
      </c>
      <c r="M1529" s="62" t="str">
        <f>IF(A1529="","",IFERROR(INDEX(fa_cname,MATCH(A1529,fa_num,0))&amp;"",""))</f>
        <v/>
      </c>
      <c r="N1529" s="59" t="str">
        <f>IF(COUNTA(A1529:G1529)=0,"",IF(A1529="","N° facture manquant",IF(ISNA(MATCH(A1529,fa_num,0)),"Facture inconnue",IF(AND(B1529&lt;&gt;"",ISNA(MATCH(B1529,pr_code,0))),"Article inconnu",IF(H1529="","Désignation manquante",IF(OR(NOT(ISNUMBER(D1529)),N(D1529)&lt;=0),"Quantité invalide",IF(J1529="","Prix manquant",IF(OR(NOT(ISNUMBER(J1529)),N(J1529)&lt;0),"Prix invalide",IF(OR(AND(F1529&lt;&gt;"",NOT(ISNUMBER(F1529))),N(F1529)&lt;0,N(F1529)&gt;1),"Remise invalide",IF(K1529="","Taux de TVA manquant",IF(NOT(ISNUMBER(K1529)),"Taux de TVA invalide",IF(COUNTIF(p_rates,K1529)=0,"Taux de TVA hors liste (Paramètres)",IF(N(O1529)&gt;25,"Au-delà de 25 lignes : non imprimée","OK")))))))))))))</f>
        <v/>
      </c>
      <c r="O1529" s="59" t="str">
        <f>IF(A1529="","",COUNTIF($A$6:A1529,A1529))</f>
        <v/>
      </c>
      <c r="P1529" s="62" t="str">
        <f>IF(A1529="","",A1529&amp;"|"&amp;O1529)</f>
        <v/>
      </c>
    </row>
    <row r="1530">
      <c r="A1530" s="60" t="n"/>
      <c r="B1530" s="63" t="n"/>
      <c r="C1530" s="63" t="n"/>
      <c r="D1530" s="67" t="n"/>
      <c r="E1530" s="68" t="n"/>
      <c r="F1530" s="69" t="n"/>
      <c r="G1530" s="70" t="n"/>
      <c r="H1530" s="62" t="str">
        <f>IF(COUNTA(A1530:G1530)=0,"",IF(C1530&lt;&gt;"",C1530,IF(B1530="","",IFERROR(INDEX(pr_des,MATCH(B1530,pr_code,0))&amp;"",""))))</f>
        <v/>
      </c>
      <c r="I1530" s="59" t="str">
        <f>IF(B1530="","",IFERROR(INDEX(pr_unit,MATCH(B1530,pr_code,0))&amp;"",""))</f>
        <v/>
      </c>
      <c r="J1530" s="65" t="str">
        <f>IF(COUNTA(A1530:G1530)=0,"",IF(E1530&lt;&gt;"",E1530,IF(B1530="","",IFERROR(IF(INDEX(pr_price,MATCH(B1530,pr_code,0))="","",INDEX(pr_price,MATCH(B1530,pr_code,0))),""))))</f>
        <v/>
      </c>
      <c r="K1530" s="71" t="str">
        <f>IF(COUNTA(A1530:G1530)=0,"",IF(G1530&lt;&gt;"",G1530,IF(B1530="","",IFERROR(IF(INDEX(pr_rate,MATCH(B1530,pr_code,0))="","",INDEX(pr_rate,MATCH(B1530,pr_code,0))),""))))</f>
        <v/>
      </c>
      <c r="L1530" s="65" t="str">
        <f>IF(COUNTA(A1530:G1530)=0,"",IF(AND(ISNUMBER(D1530),ISNUMBER(J1530)),ROUND(D1530*J1530*(1-N(F1530)),2),0))</f>
        <v/>
      </c>
      <c r="M1530" s="62" t="str">
        <f>IF(A1530="","",IFERROR(INDEX(fa_cname,MATCH(A1530,fa_num,0))&amp;"",""))</f>
        <v/>
      </c>
      <c r="N1530" s="59" t="str">
        <f>IF(COUNTA(A1530:G1530)=0,"",IF(A1530="","N° facture manquant",IF(ISNA(MATCH(A1530,fa_num,0)),"Facture inconnue",IF(AND(B1530&lt;&gt;"",ISNA(MATCH(B1530,pr_code,0))),"Article inconnu",IF(H1530="","Désignation manquante",IF(OR(NOT(ISNUMBER(D1530)),N(D1530)&lt;=0),"Quantité invalide",IF(J1530="","Prix manquant",IF(OR(NOT(ISNUMBER(J1530)),N(J1530)&lt;0),"Prix invalide",IF(OR(AND(F1530&lt;&gt;"",NOT(ISNUMBER(F1530))),N(F1530)&lt;0,N(F1530)&gt;1),"Remise invalide",IF(K1530="","Taux de TVA manquant",IF(NOT(ISNUMBER(K1530)),"Taux de TVA invalide",IF(COUNTIF(p_rates,K1530)=0,"Taux de TVA hors liste (Paramètres)",IF(N(O1530)&gt;25,"Au-delà de 25 lignes : non imprimée","OK")))))))))))))</f>
        <v/>
      </c>
      <c r="O1530" s="59" t="str">
        <f>IF(A1530="","",COUNTIF($A$6:A1530,A1530))</f>
        <v/>
      </c>
      <c r="P1530" s="62" t="str">
        <f>IF(A1530="","",A1530&amp;"|"&amp;O1530)</f>
        <v/>
      </c>
    </row>
    <row r="1531">
      <c r="A1531" s="60" t="n"/>
      <c r="B1531" s="63" t="n"/>
      <c r="C1531" s="63" t="n"/>
      <c r="D1531" s="67" t="n"/>
      <c r="E1531" s="68" t="n"/>
      <c r="F1531" s="69" t="n"/>
      <c r="G1531" s="70" t="n"/>
      <c r="H1531" s="62" t="str">
        <f>IF(COUNTA(A1531:G1531)=0,"",IF(C1531&lt;&gt;"",C1531,IF(B1531="","",IFERROR(INDEX(pr_des,MATCH(B1531,pr_code,0))&amp;"",""))))</f>
        <v/>
      </c>
      <c r="I1531" s="59" t="str">
        <f>IF(B1531="","",IFERROR(INDEX(pr_unit,MATCH(B1531,pr_code,0))&amp;"",""))</f>
        <v/>
      </c>
      <c r="J1531" s="65" t="str">
        <f>IF(COUNTA(A1531:G1531)=0,"",IF(E1531&lt;&gt;"",E1531,IF(B1531="","",IFERROR(IF(INDEX(pr_price,MATCH(B1531,pr_code,0))="","",INDEX(pr_price,MATCH(B1531,pr_code,0))),""))))</f>
        <v/>
      </c>
      <c r="K1531" s="71" t="str">
        <f>IF(COUNTA(A1531:G1531)=0,"",IF(G1531&lt;&gt;"",G1531,IF(B1531="","",IFERROR(IF(INDEX(pr_rate,MATCH(B1531,pr_code,0))="","",INDEX(pr_rate,MATCH(B1531,pr_code,0))),""))))</f>
        <v/>
      </c>
      <c r="L1531" s="65" t="str">
        <f>IF(COUNTA(A1531:G1531)=0,"",IF(AND(ISNUMBER(D1531),ISNUMBER(J1531)),ROUND(D1531*J1531*(1-N(F1531)),2),0))</f>
        <v/>
      </c>
      <c r="M1531" s="62" t="str">
        <f>IF(A1531="","",IFERROR(INDEX(fa_cname,MATCH(A1531,fa_num,0))&amp;"",""))</f>
        <v/>
      </c>
      <c r="N1531" s="59" t="str">
        <f>IF(COUNTA(A1531:G1531)=0,"",IF(A1531="","N° facture manquant",IF(ISNA(MATCH(A1531,fa_num,0)),"Facture inconnue",IF(AND(B1531&lt;&gt;"",ISNA(MATCH(B1531,pr_code,0))),"Article inconnu",IF(H1531="","Désignation manquante",IF(OR(NOT(ISNUMBER(D1531)),N(D1531)&lt;=0),"Quantité invalide",IF(J1531="","Prix manquant",IF(OR(NOT(ISNUMBER(J1531)),N(J1531)&lt;0),"Prix invalide",IF(OR(AND(F1531&lt;&gt;"",NOT(ISNUMBER(F1531))),N(F1531)&lt;0,N(F1531)&gt;1),"Remise invalide",IF(K1531="","Taux de TVA manquant",IF(NOT(ISNUMBER(K1531)),"Taux de TVA invalide",IF(COUNTIF(p_rates,K1531)=0,"Taux de TVA hors liste (Paramètres)",IF(N(O1531)&gt;25,"Au-delà de 25 lignes : non imprimée","OK")))))))))))))</f>
        <v/>
      </c>
      <c r="O1531" s="59" t="str">
        <f>IF(A1531="","",COUNTIF($A$6:A1531,A1531))</f>
        <v/>
      </c>
      <c r="P1531" s="62" t="str">
        <f>IF(A1531="","",A1531&amp;"|"&amp;O1531)</f>
        <v/>
      </c>
    </row>
    <row r="1532">
      <c r="A1532" s="60" t="n"/>
      <c r="B1532" s="63" t="n"/>
      <c r="C1532" s="63" t="n"/>
      <c r="D1532" s="67" t="n"/>
      <c r="E1532" s="68" t="n"/>
      <c r="F1532" s="69" t="n"/>
      <c r="G1532" s="70" t="n"/>
      <c r="H1532" s="62" t="str">
        <f>IF(COUNTA(A1532:G1532)=0,"",IF(C1532&lt;&gt;"",C1532,IF(B1532="","",IFERROR(INDEX(pr_des,MATCH(B1532,pr_code,0))&amp;"",""))))</f>
        <v/>
      </c>
      <c r="I1532" s="59" t="str">
        <f>IF(B1532="","",IFERROR(INDEX(pr_unit,MATCH(B1532,pr_code,0))&amp;"",""))</f>
        <v/>
      </c>
      <c r="J1532" s="65" t="str">
        <f>IF(COUNTA(A1532:G1532)=0,"",IF(E1532&lt;&gt;"",E1532,IF(B1532="","",IFERROR(IF(INDEX(pr_price,MATCH(B1532,pr_code,0))="","",INDEX(pr_price,MATCH(B1532,pr_code,0))),""))))</f>
        <v/>
      </c>
      <c r="K1532" s="71" t="str">
        <f>IF(COUNTA(A1532:G1532)=0,"",IF(G1532&lt;&gt;"",G1532,IF(B1532="","",IFERROR(IF(INDEX(pr_rate,MATCH(B1532,pr_code,0))="","",INDEX(pr_rate,MATCH(B1532,pr_code,0))),""))))</f>
        <v/>
      </c>
      <c r="L1532" s="65" t="str">
        <f>IF(COUNTA(A1532:G1532)=0,"",IF(AND(ISNUMBER(D1532),ISNUMBER(J1532)),ROUND(D1532*J1532*(1-N(F1532)),2),0))</f>
        <v/>
      </c>
      <c r="M1532" s="62" t="str">
        <f>IF(A1532="","",IFERROR(INDEX(fa_cname,MATCH(A1532,fa_num,0))&amp;"",""))</f>
        <v/>
      </c>
      <c r="N1532" s="59" t="str">
        <f>IF(COUNTA(A1532:G1532)=0,"",IF(A1532="","N° facture manquant",IF(ISNA(MATCH(A1532,fa_num,0)),"Facture inconnue",IF(AND(B1532&lt;&gt;"",ISNA(MATCH(B1532,pr_code,0))),"Article inconnu",IF(H1532="","Désignation manquante",IF(OR(NOT(ISNUMBER(D1532)),N(D1532)&lt;=0),"Quantité invalide",IF(J1532="","Prix manquant",IF(OR(NOT(ISNUMBER(J1532)),N(J1532)&lt;0),"Prix invalide",IF(OR(AND(F1532&lt;&gt;"",NOT(ISNUMBER(F1532))),N(F1532)&lt;0,N(F1532)&gt;1),"Remise invalide",IF(K1532="","Taux de TVA manquant",IF(NOT(ISNUMBER(K1532)),"Taux de TVA invalide",IF(COUNTIF(p_rates,K1532)=0,"Taux de TVA hors liste (Paramètres)",IF(N(O1532)&gt;25,"Au-delà de 25 lignes : non imprimée","OK")))))))))))))</f>
        <v/>
      </c>
      <c r="O1532" s="59" t="str">
        <f>IF(A1532="","",COUNTIF($A$6:A1532,A1532))</f>
        <v/>
      </c>
      <c r="P1532" s="62" t="str">
        <f>IF(A1532="","",A1532&amp;"|"&amp;O1532)</f>
        <v/>
      </c>
    </row>
    <row r="1533">
      <c r="A1533" s="60" t="n"/>
      <c r="B1533" s="63" t="n"/>
      <c r="C1533" s="63" t="n"/>
      <c r="D1533" s="67" t="n"/>
      <c r="E1533" s="68" t="n"/>
      <c r="F1533" s="69" t="n"/>
      <c r="G1533" s="70" t="n"/>
      <c r="H1533" s="62" t="str">
        <f>IF(COUNTA(A1533:G1533)=0,"",IF(C1533&lt;&gt;"",C1533,IF(B1533="","",IFERROR(INDEX(pr_des,MATCH(B1533,pr_code,0))&amp;"",""))))</f>
        <v/>
      </c>
      <c r="I1533" s="59" t="str">
        <f>IF(B1533="","",IFERROR(INDEX(pr_unit,MATCH(B1533,pr_code,0))&amp;"",""))</f>
        <v/>
      </c>
      <c r="J1533" s="65" t="str">
        <f>IF(COUNTA(A1533:G1533)=0,"",IF(E1533&lt;&gt;"",E1533,IF(B1533="","",IFERROR(IF(INDEX(pr_price,MATCH(B1533,pr_code,0))="","",INDEX(pr_price,MATCH(B1533,pr_code,0))),""))))</f>
        <v/>
      </c>
      <c r="K1533" s="71" t="str">
        <f>IF(COUNTA(A1533:G1533)=0,"",IF(G1533&lt;&gt;"",G1533,IF(B1533="","",IFERROR(IF(INDEX(pr_rate,MATCH(B1533,pr_code,0))="","",INDEX(pr_rate,MATCH(B1533,pr_code,0))),""))))</f>
        <v/>
      </c>
      <c r="L1533" s="65" t="str">
        <f>IF(COUNTA(A1533:G1533)=0,"",IF(AND(ISNUMBER(D1533),ISNUMBER(J1533)),ROUND(D1533*J1533*(1-N(F1533)),2),0))</f>
        <v/>
      </c>
      <c r="M1533" s="62" t="str">
        <f>IF(A1533="","",IFERROR(INDEX(fa_cname,MATCH(A1533,fa_num,0))&amp;"",""))</f>
        <v/>
      </c>
      <c r="N1533" s="59" t="str">
        <f>IF(COUNTA(A1533:G1533)=0,"",IF(A1533="","N° facture manquant",IF(ISNA(MATCH(A1533,fa_num,0)),"Facture inconnue",IF(AND(B1533&lt;&gt;"",ISNA(MATCH(B1533,pr_code,0))),"Article inconnu",IF(H1533="","Désignation manquante",IF(OR(NOT(ISNUMBER(D1533)),N(D1533)&lt;=0),"Quantité invalide",IF(J1533="","Prix manquant",IF(OR(NOT(ISNUMBER(J1533)),N(J1533)&lt;0),"Prix invalide",IF(OR(AND(F1533&lt;&gt;"",NOT(ISNUMBER(F1533))),N(F1533)&lt;0,N(F1533)&gt;1),"Remise invalide",IF(K1533="","Taux de TVA manquant",IF(NOT(ISNUMBER(K1533)),"Taux de TVA invalide",IF(COUNTIF(p_rates,K1533)=0,"Taux de TVA hors liste (Paramètres)",IF(N(O1533)&gt;25,"Au-delà de 25 lignes : non imprimée","OK")))))))))))))</f>
        <v/>
      </c>
      <c r="O1533" s="59" t="str">
        <f>IF(A1533="","",COUNTIF($A$6:A1533,A1533))</f>
        <v/>
      </c>
      <c r="P1533" s="62" t="str">
        <f>IF(A1533="","",A1533&amp;"|"&amp;O1533)</f>
        <v/>
      </c>
    </row>
    <row r="1534">
      <c r="A1534" s="60" t="n"/>
      <c r="B1534" s="63" t="n"/>
      <c r="C1534" s="63" t="n"/>
      <c r="D1534" s="67" t="n"/>
      <c r="E1534" s="68" t="n"/>
      <c r="F1534" s="69" t="n"/>
      <c r="G1534" s="70" t="n"/>
      <c r="H1534" s="62" t="str">
        <f>IF(COUNTA(A1534:G1534)=0,"",IF(C1534&lt;&gt;"",C1534,IF(B1534="","",IFERROR(INDEX(pr_des,MATCH(B1534,pr_code,0))&amp;"",""))))</f>
        <v/>
      </c>
      <c r="I1534" s="59" t="str">
        <f>IF(B1534="","",IFERROR(INDEX(pr_unit,MATCH(B1534,pr_code,0))&amp;"",""))</f>
        <v/>
      </c>
      <c r="J1534" s="65" t="str">
        <f>IF(COUNTA(A1534:G1534)=0,"",IF(E1534&lt;&gt;"",E1534,IF(B1534="","",IFERROR(IF(INDEX(pr_price,MATCH(B1534,pr_code,0))="","",INDEX(pr_price,MATCH(B1534,pr_code,0))),""))))</f>
        <v/>
      </c>
      <c r="K1534" s="71" t="str">
        <f>IF(COUNTA(A1534:G1534)=0,"",IF(G1534&lt;&gt;"",G1534,IF(B1534="","",IFERROR(IF(INDEX(pr_rate,MATCH(B1534,pr_code,0))="","",INDEX(pr_rate,MATCH(B1534,pr_code,0))),""))))</f>
        <v/>
      </c>
      <c r="L1534" s="65" t="str">
        <f>IF(COUNTA(A1534:G1534)=0,"",IF(AND(ISNUMBER(D1534),ISNUMBER(J1534)),ROUND(D1534*J1534*(1-N(F1534)),2),0))</f>
        <v/>
      </c>
      <c r="M1534" s="62" t="str">
        <f>IF(A1534="","",IFERROR(INDEX(fa_cname,MATCH(A1534,fa_num,0))&amp;"",""))</f>
        <v/>
      </c>
      <c r="N1534" s="59" t="str">
        <f>IF(COUNTA(A1534:G1534)=0,"",IF(A1534="","N° facture manquant",IF(ISNA(MATCH(A1534,fa_num,0)),"Facture inconnue",IF(AND(B1534&lt;&gt;"",ISNA(MATCH(B1534,pr_code,0))),"Article inconnu",IF(H1534="","Désignation manquante",IF(OR(NOT(ISNUMBER(D1534)),N(D1534)&lt;=0),"Quantité invalide",IF(J1534="","Prix manquant",IF(OR(NOT(ISNUMBER(J1534)),N(J1534)&lt;0),"Prix invalide",IF(OR(AND(F1534&lt;&gt;"",NOT(ISNUMBER(F1534))),N(F1534)&lt;0,N(F1534)&gt;1),"Remise invalide",IF(K1534="","Taux de TVA manquant",IF(NOT(ISNUMBER(K1534)),"Taux de TVA invalide",IF(COUNTIF(p_rates,K1534)=0,"Taux de TVA hors liste (Paramètres)",IF(N(O1534)&gt;25,"Au-delà de 25 lignes : non imprimée","OK")))))))))))))</f>
        <v/>
      </c>
      <c r="O1534" s="59" t="str">
        <f>IF(A1534="","",COUNTIF($A$6:A1534,A1534))</f>
        <v/>
      </c>
      <c r="P1534" s="62" t="str">
        <f>IF(A1534="","",A1534&amp;"|"&amp;O1534)</f>
        <v/>
      </c>
    </row>
    <row r="1535">
      <c r="A1535" s="60" t="n"/>
      <c r="B1535" s="63" t="n"/>
      <c r="C1535" s="63" t="n"/>
      <c r="D1535" s="67" t="n"/>
      <c r="E1535" s="68" t="n"/>
      <c r="F1535" s="69" t="n"/>
      <c r="G1535" s="70" t="n"/>
      <c r="H1535" s="62" t="str">
        <f>IF(COUNTA(A1535:G1535)=0,"",IF(C1535&lt;&gt;"",C1535,IF(B1535="","",IFERROR(INDEX(pr_des,MATCH(B1535,pr_code,0))&amp;"",""))))</f>
        <v/>
      </c>
      <c r="I1535" s="59" t="str">
        <f>IF(B1535="","",IFERROR(INDEX(pr_unit,MATCH(B1535,pr_code,0))&amp;"",""))</f>
        <v/>
      </c>
      <c r="J1535" s="65" t="str">
        <f>IF(COUNTA(A1535:G1535)=0,"",IF(E1535&lt;&gt;"",E1535,IF(B1535="","",IFERROR(IF(INDEX(pr_price,MATCH(B1535,pr_code,0))="","",INDEX(pr_price,MATCH(B1535,pr_code,0))),""))))</f>
        <v/>
      </c>
      <c r="K1535" s="71" t="str">
        <f>IF(COUNTA(A1535:G1535)=0,"",IF(G1535&lt;&gt;"",G1535,IF(B1535="","",IFERROR(IF(INDEX(pr_rate,MATCH(B1535,pr_code,0))="","",INDEX(pr_rate,MATCH(B1535,pr_code,0))),""))))</f>
        <v/>
      </c>
      <c r="L1535" s="65" t="str">
        <f>IF(COUNTA(A1535:G1535)=0,"",IF(AND(ISNUMBER(D1535),ISNUMBER(J1535)),ROUND(D1535*J1535*(1-N(F1535)),2),0))</f>
        <v/>
      </c>
      <c r="M1535" s="62" t="str">
        <f>IF(A1535="","",IFERROR(INDEX(fa_cname,MATCH(A1535,fa_num,0))&amp;"",""))</f>
        <v/>
      </c>
      <c r="N1535" s="59" t="str">
        <f>IF(COUNTA(A1535:G1535)=0,"",IF(A1535="","N° facture manquant",IF(ISNA(MATCH(A1535,fa_num,0)),"Facture inconnue",IF(AND(B1535&lt;&gt;"",ISNA(MATCH(B1535,pr_code,0))),"Article inconnu",IF(H1535="","Désignation manquante",IF(OR(NOT(ISNUMBER(D1535)),N(D1535)&lt;=0),"Quantité invalide",IF(J1535="","Prix manquant",IF(OR(NOT(ISNUMBER(J1535)),N(J1535)&lt;0),"Prix invalide",IF(OR(AND(F1535&lt;&gt;"",NOT(ISNUMBER(F1535))),N(F1535)&lt;0,N(F1535)&gt;1),"Remise invalide",IF(K1535="","Taux de TVA manquant",IF(NOT(ISNUMBER(K1535)),"Taux de TVA invalide",IF(COUNTIF(p_rates,K1535)=0,"Taux de TVA hors liste (Paramètres)",IF(N(O1535)&gt;25,"Au-delà de 25 lignes : non imprimée","OK")))))))))))))</f>
        <v/>
      </c>
      <c r="O1535" s="59" t="str">
        <f>IF(A1535="","",COUNTIF($A$6:A1535,A1535))</f>
        <v/>
      </c>
      <c r="P1535" s="62" t="str">
        <f>IF(A1535="","",A1535&amp;"|"&amp;O1535)</f>
        <v/>
      </c>
    </row>
    <row r="1536">
      <c r="A1536" s="60" t="n"/>
      <c r="B1536" s="63" t="n"/>
      <c r="C1536" s="63" t="n"/>
      <c r="D1536" s="67" t="n"/>
      <c r="E1536" s="68" t="n"/>
      <c r="F1536" s="69" t="n"/>
      <c r="G1536" s="70" t="n"/>
      <c r="H1536" s="62" t="str">
        <f>IF(COUNTA(A1536:G1536)=0,"",IF(C1536&lt;&gt;"",C1536,IF(B1536="","",IFERROR(INDEX(pr_des,MATCH(B1536,pr_code,0))&amp;"",""))))</f>
        <v/>
      </c>
      <c r="I1536" s="59" t="str">
        <f>IF(B1536="","",IFERROR(INDEX(pr_unit,MATCH(B1536,pr_code,0))&amp;"",""))</f>
        <v/>
      </c>
      <c r="J1536" s="65" t="str">
        <f>IF(COUNTA(A1536:G1536)=0,"",IF(E1536&lt;&gt;"",E1536,IF(B1536="","",IFERROR(IF(INDEX(pr_price,MATCH(B1536,pr_code,0))="","",INDEX(pr_price,MATCH(B1536,pr_code,0))),""))))</f>
        <v/>
      </c>
      <c r="K1536" s="71" t="str">
        <f>IF(COUNTA(A1536:G1536)=0,"",IF(G1536&lt;&gt;"",G1536,IF(B1536="","",IFERROR(IF(INDEX(pr_rate,MATCH(B1536,pr_code,0))="","",INDEX(pr_rate,MATCH(B1536,pr_code,0))),""))))</f>
        <v/>
      </c>
      <c r="L1536" s="65" t="str">
        <f>IF(COUNTA(A1536:G1536)=0,"",IF(AND(ISNUMBER(D1536),ISNUMBER(J1536)),ROUND(D1536*J1536*(1-N(F1536)),2),0))</f>
        <v/>
      </c>
      <c r="M1536" s="62" t="str">
        <f>IF(A1536="","",IFERROR(INDEX(fa_cname,MATCH(A1536,fa_num,0))&amp;"",""))</f>
        <v/>
      </c>
      <c r="N1536" s="59" t="str">
        <f>IF(COUNTA(A1536:G1536)=0,"",IF(A1536="","N° facture manquant",IF(ISNA(MATCH(A1536,fa_num,0)),"Facture inconnue",IF(AND(B1536&lt;&gt;"",ISNA(MATCH(B1536,pr_code,0))),"Article inconnu",IF(H1536="","Désignation manquante",IF(OR(NOT(ISNUMBER(D1536)),N(D1536)&lt;=0),"Quantité invalide",IF(J1536="","Prix manquant",IF(OR(NOT(ISNUMBER(J1536)),N(J1536)&lt;0),"Prix invalide",IF(OR(AND(F1536&lt;&gt;"",NOT(ISNUMBER(F1536))),N(F1536)&lt;0,N(F1536)&gt;1),"Remise invalide",IF(K1536="","Taux de TVA manquant",IF(NOT(ISNUMBER(K1536)),"Taux de TVA invalide",IF(COUNTIF(p_rates,K1536)=0,"Taux de TVA hors liste (Paramètres)",IF(N(O1536)&gt;25,"Au-delà de 25 lignes : non imprimée","OK")))))))))))))</f>
        <v/>
      </c>
      <c r="O1536" s="59" t="str">
        <f>IF(A1536="","",COUNTIF($A$6:A1536,A1536))</f>
        <v/>
      </c>
      <c r="P1536" s="62" t="str">
        <f>IF(A1536="","",A1536&amp;"|"&amp;O1536)</f>
        <v/>
      </c>
    </row>
    <row r="1537">
      <c r="A1537" s="60" t="n"/>
      <c r="B1537" s="63" t="n"/>
      <c r="C1537" s="63" t="n"/>
      <c r="D1537" s="67" t="n"/>
      <c r="E1537" s="68" t="n"/>
      <c r="F1537" s="69" t="n"/>
      <c r="G1537" s="70" t="n"/>
      <c r="H1537" s="62" t="str">
        <f>IF(COUNTA(A1537:G1537)=0,"",IF(C1537&lt;&gt;"",C1537,IF(B1537="","",IFERROR(INDEX(pr_des,MATCH(B1537,pr_code,0))&amp;"",""))))</f>
        <v/>
      </c>
      <c r="I1537" s="59" t="str">
        <f>IF(B1537="","",IFERROR(INDEX(pr_unit,MATCH(B1537,pr_code,0))&amp;"",""))</f>
        <v/>
      </c>
      <c r="J1537" s="65" t="str">
        <f>IF(COUNTA(A1537:G1537)=0,"",IF(E1537&lt;&gt;"",E1537,IF(B1537="","",IFERROR(IF(INDEX(pr_price,MATCH(B1537,pr_code,0))="","",INDEX(pr_price,MATCH(B1537,pr_code,0))),""))))</f>
        <v/>
      </c>
      <c r="K1537" s="71" t="str">
        <f>IF(COUNTA(A1537:G1537)=0,"",IF(G1537&lt;&gt;"",G1537,IF(B1537="","",IFERROR(IF(INDEX(pr_rate,MATCH(B1537,pr_code,0))="","",INDEX(pr_rate,MATCH(B1537,pr_code,0))),""))))</f>
        <v/>
      </c>
      <c r="L1537" s="65" t="str">
        <f>IF(COUNTA(A1537:G1537)=0,"",IF(AND(ISNUMBER(D1537),ISNUMBER(J1537)),ROUND(D1537*J1537*(1-N(F1537)),2),0))</f>
        <v/>
      </c>
      <c r="M1537" s="62" t="str">
        <f>IF(A1537="","",IFERROR(INDEX(fa_cname,MATCH(A1537,fa_num,0))&amp;"",""))</f>
        <v/>
      </c>
      <c r="N1537" s="59" t="str">
        <f>IF(COUNTA(A1537:G1537)=0,"",IF(A1537="","N° facture manquant",IF(ISNA(MATCH(A1537,fa_num,0)),"Facture inconnue",IF(AND(B1537&lt;&gt;"",ISNA(MATCH(B1537,pr_code,0))),"Article inconnu",IF(H1537="","Désignation manquante",IF(OR(NOT(ISNUMBER(D1537)),N(D1537)&lt;=0),"Quantité invalide",IF(J1537="","Prix manquant",IF(OR(NOT(ISNUMBER(J1537)),N(J1537)&lt;0),"Prix invalide",IF(OR(AND(F1537&lt;&gt;"",NOT(ISNUMBER(F1537))),N(F1537)&lt;0,N(F1537)&gt;1),"Remise invalide",IF(K1537="","Taux de TVA manquant",IF(NOT(ISNUMBER(K1537)),"Taux de TVA invalide",IF(COUNTIF(p_rates,K1537)=0,"Taux de TVA hors liste (Paramètres)",IF(N(O1537)&gt;25,"Au-delà de 25 lignes : non imprimée","OK")))))))))))))</f>
        <v/>
      </c>
      <c r="O1537" s="59" t="str">
        <f>IF(A1537="","",COUNTIF($A$6:A1537,A1537))</f>
        <v/>
      </c>
      <c r="P1537" s="62" t="str">
        <f>IF(A1537="","",A1537&amp;"|"&amp;O1537)</f>
        <v/>
      </c>
    </row>
    <row r="1538">
      <c r="A1538" s="60" t="n"/>
      <c r="B1538" s="63" t="n"/>
      <c r="C1538" s="63" t="n"/>
      <c r="D1538" s="67" t="n"/>
      <c r="E1538" s="68" t="n"/>
      <c r="F1538" s="69" t="n"/>
      <c r="G1538" s="70" t="n"/>
      <c r="H1538" s="62" t="str">
        <f>IF(COUNTA(A1538:G1538)=0,"",IF(C1538&lt;&gt;"",C1538,IF(B1538="","",IFERROR(INDEX(pr_des,MATCH(B1538,pr_code,0))&amp;"",""))))</f>
        <v/>
      </c>
      <c r="I1538" s="59" t="str">
        <f>IF(B1538="","",IFERROR(INDEX(pr_unit,MATCH(B1538,pr_code,0))&amp;"",""))</f>
        <v/>
      </c>
      <c r="J1538" s="65" t="str">
        <f>IF(COUNTA(A1538:G1538)=0,"",IF(E1538&lt;&gt;"",E1538,IF(B1538="","",IFERROR(IF(INDEX(pr_price,MATCH(B1538,pr_code,0))="","",INDEX(pr_price,MATCH(B1538,pr_code,0))),""))))</f>
        <v/>
      </c>
      <c r="K1538" s="71" t="str">
        <f>IF(COUNTA(A1538:G1538)=0,"",IF(G1538&lt;&gt;"",G1538,IF(B1538="","",IFERROR(IF(INDEX(pr_rate,MATCH(B1538,pr_code,0))="","",INDEX(pr_rate,MATCH(B1538,pr_code,0))),""))))</f>
        <v/>
      </c>
      <c r="L1538" s="65" t="str">
        <f>IF(COUNTA(A1538:G1538)=0,"",IF(AND(ISNUMBER(D1538),ISNUMBER(J1538)),ROUND(D1538*J1538*(1-N(F1538)),2),0))</f>
        <v/>
      </c>
      <c r="M1538" s="62" t="str">
        <f>IF(A1538="","",IFERROR(INDEX(fa_cname,MATCH(A1538,fa_num,0))&amp;"",""))</f>
        <v/>
      </c>
      <c r="N1538" s="59" t="str">
        <f>IF(COUNTA(A1538:G1538)=0,"",IF(A1538="","N° facture manquant",IF(ISNA(MATCH(A1538,fa_num,0)),"Facture inconnue",IF(AND(B1538&lt;&gt;"",ISNA(MATCH(B1538,pr_code,0))),"Article inconnu",IF(H1538="","Désignation manquante",IF(OR(NOT(ISNUMBER(D1538)),N(D1538)&lt;=0),"Quantité invalide",IF(J1538="","Prix manquant",IF(OR(NOT(ISNUMBER(J1538)),N(J1538)&lt;0),"Prix invalide",IF(OR(AND(F1538&lt;&gt;"",NOT(ISNUMBER(F1538))),N(F1538)&lt;0,N(F1538)&gt;1),"Remise invalide",IF(K1538="","Taux de TVA manquant",IF(NOT(ISNUMBER(K1538)),"Taux de TVA invalide",IF(COUNTIF(p_rates,K1538)=0,"Taux de TVA hors liste (Paramètres)",IF(N(O1538)&gt;25,"Au-delà de 25 lignes : non imprimée","OK")))))))))))))</f>
        <v/>
      </c>
      <c r="O1538" s="59" t="str">
        <f>IF(A1538="","",COUNTIF($A$6:A1538,A1538))</f>
        <v/>
      </c>
      <c r="P1538" s="62" t="str">
        <f>IF(A1538="","",A1538&amp;"|"&amp;O1538)</f>
        <v/>
      </c>
    </row>
    <row r="1539">
      <c r="A1539" s="60" t="n"/>
      <c r="B1539" s="63" t="n"/>
      <c r="C1539" s="63" t="n"/>
      <c r="D1539" s="67" t="n"/>
      <c r="E1539" s="68" t="n"/>
      <c r="F1539" s="69" t="n"/>
      <c r="G1539" s="70" t="n"/>
      <c r="H1539" s="62" t="str">
        <f>IF(COUNTA(A1539:G1539)=0,"",IF(C1539&lt;&gt;"",C1539,IF(B1539="","",IFERROR(INDEX(pr_des,MATCH(B1539,pr_code,0))&amp;"",""))))</f>
        <v/>
      </c>
      <c r="I1539" s="59" t="str">
        <f>IF(B1539="","",IFERROR(INDEX(pr_unit,MATCH(B1539,pr_code,0))&amp;"",""))</f>
        <v/>
      </c>
      <c r="J1539" s="65" t="str">
        <f>IF(COUNTA(A1539:G1539)=0,"",IF(E1539&lt;&gt;"",E1539,IF(B1539="","",IFERROR(IF(INDEX(pr_price,MATCH(B1539,pr_code,0))="","",INDEX(pr_price,MATCH(B1539,pr_code,0))),""))))</f>
        <v/>
      </c>
      <c r="K1539" s="71" t="str">
        <f>IF(COUNTA(A1539:G1539)=0,"",IF(G1539&lt;&gt;"",G1539,IF(B1539="","",IFERROR(IF(INDEX(pr_rate,MATCH(B1539,pr_code,0))="","",INDEX(pr_rate,MATCH(B1539,pr_code,0))),""))))</f>
        <v/>
      </c>
      <c r="L1539" s="65" t="str">
        <f>IF(COUNTA(A1539:G1539)=0,"",IF(AND(ISNUMBER(D1539),ISNUMBER(J1539)),ROUND(D1539*J1539*(1-N(F1539)),2),0))</f>
        <v/>
      </c>
      <c r="M1539" s="62" t="str">
        <f>IF(A1539="","",IFERROR(INDEX(fa_cname,MATCH(A1539,fa_num,0))&amp;"",""))</f>
        <v/>
      </c>
      <c r="N1539" s="59" t="str">
        <f>IF(COUNTA(A1539:G1539)=0,"",IF(A1539="","N° facture manquant",IF(ISNA(MATCH(A1539,fa_num,0)),"Facture inconnue",IF(AND(B1539&lt;&gt;"",ISNA(MATCH(B1539,pr_code,0))),"Article inconnu",IF(H1539="","Désignation manquante",IF(OR(NOT(ISNUMBER(D1539)),N(D1539)&lt;=0),"Quantité invalide",IF(J1539="","Prix manquant",IF(OR(NOT(ISNUMBER(J1539)),N(J1539)&lt;0),"Prix invalide",IF(OR(AND(F1539&lt;&gt;"",NOT(ISNUMBER(F1539))),N(F1539)&lt;0,N(F1539)&gt;1),"Remise invalide",IF(K1539="","Taux de TVA manquant",IF(NOT(ISNUMBER(K1539)),"Taux de TVA invalide",IF(COUNTIF(p_rates,K1539)=0,"Taux de TVA hors liste (Paramètres)",IF(N(O1539)&gt;25,"Au-delà de 25 lignes : non imprimée","OK")))))))))))))</f>
        <v/>
      </c>
      <c r="O1539" s="59" t="str">
        <f>IF(A1539="","",COUNTIF($A$6:A1539,A1539))</f>
        <v/>
      </c>
      <c r="P1539" s="62" t="str">
        <f>IF(A1539="","",A1539&amp;"|"&amp;O1539)</f>
        <v/>
      </c>
    </row>
    <row r="1540">
      <c r="A1540" s="60" t="n"/>
      <c r="B1540" s="63" t="n"/>
      <c r="C1540" s="63" t="n"/>
      <c r="D1540" s="67" t="n"/>
      <c r="E1540" s="68" t="n"/>
      <c r="F1540" s="69" t="n"/>
      <c r="G1540" s="70" t="n"/>
      <c r="H1540" s="62" t="str">
        <f>IF(COUNTA(A1540:G1540)=0,"",IF(C1540&lt;&gt;"",C1540,IF(B1540="","",IFERROR(INDEX(pr_des,MATCH(B1540,pr_code,0))&amp;"",""))))</f>
        <v/>
      </c>
      <c r="I1540" s="59" t="str">
        <f>IF(B1540="","",IFERROR(INDEX(pr_unit,MATCH(B1540,pr_code,0))&amp;"",""))</f>
        <v/>
      </c>
      <c r="J1540" s="65" t="str">
        <f>IF(COUNTA(A1540:G1540)=0,"",IF(E1540&lt;&gt;"",E1540,IF(B1540="","",IFERROR(IF(INDEX(pr_price,MATCH(B1540,pr_code,0))="","",INDEX(pr_price,MATCH(B1540,pr_code,0))),""))))</f>
        <v/>
      </c>
      <c r="K1540" s="71" t="str">
        <f>IF(COUNTA(A1540:G1540)=0,"",IF(G1540&lt;&gt;"",G1540,IF(B1540="","",IFERROR(IF(INDEX(pr_rate,MATCH(B1540,pr_code,0))="","",INDEX(pr_rate,MATCH(B1540,pr_code,0))),""))))</f>
        <v/>
      </c>
      <c r="L1540" s="65" t="str">
        <f>IF(COUNTA(A1540:G1540)=0,"",IF(AND(ISNUMBER(D1540),ISNUMBER(J1540)),ROUND(D1540*J1540*(1-N(F1540)),2),0))</f>
        <v/>
      </c>
      <c r="M1540" s="62" t="str">
        <f>IF(A1540="","",IFERROR(INDEX(fa_cname,MATCH(A1540,fa_num,0))&amp;"",""))</f>
        <v/>
      </c>
      <c r="N1540" s="59" t="str">
        <f>IF(COUNTA(A1540:G1540)=0,"",IF(A1540="","N° facture manquant",IF(ISNA(MATCH(A1540,fa_num,0)),"Facture inconnue",IF(AND(B1540&lt;&gt;"",ISNA(MATCH(B1540,pr_code,0))),"Article inconnu",IF(H1540="","Désignation manquante",IF(OR(NOT(ISNUMBER(D1540)),N(D1540)&lt;=0),"Quantité invalide",IF(J1540="","Prix manquant",IF(OR(NOT(ISNUMBER(J1540)),N(J1540)&lt;0),"Prix invalide",IF(OR(AND(F1540&lt;&gt;"",NOT(ISNUMBER(F1540))),N(F1540)&lt;0,N(F1540)&gt;1),"Remise invalide",IF(K1540="","Taux de TVA manquant",IF(NOT(ISNUMBER(K1540)),"Taux de TVA invalide",IF(COUNTIF(p_rates,K1540)=0,"Taux de TVA hors liste (Paramètres)",IF(N(O1540)&gt;25,"Au-delà de 25 lignes : non imprimée","OK")))))))))))))</f>
        <v/>
      </c>
      <c r="O1540" s="59" t="str">
        <f>IF(A1540="","",COUNTIF($A$6:A1540,A1540))</f>
        <v/>
      </c>
      <c r="P1540" s="62" t="str">
        <f>IF(A1540="","",A1540&amp;"|"&amp;O1540)</f>
        <v/>
      </c>
    </row>
    <row r="1541">
      <c r="A1541" s="60" t="n"/>
      <c r="B1541" s="63" t="n"/>
      <c r="C1541" s="63" t="n"/>
      <c r="D1541" s="67" t="n"/>
      <c r="E1541" s="68" t="n"/>
      <c r="F1541" s="69" t="n"/>
      <c r="G1541" s="70" t="n"/>
      <c r="H1541" s="62" t="str">
        <f>IF(COUNTA(A1541:G1541)=0,"",IF(C1541&lt;&gt;"",C1541,IF(B1541="","",IFERROR(INDEX(pr_des,MATCH(B1541,pr_code,0))&amp;"",""))))</f>
        <v/>
      </c>
      <c r="I1541" s="59" t="str">
        <f>IF(B1541="","",IFERROR(INDEX(pr_unit,MATCH(B1541,pr_code,0))&amp;"",""))</f>
        <v/>
      </c>
      <c r="J1541" s="65" t="str">
        <f>IF(COUNTA(A1541:G1541)=0,"",IF(E1541&lt;&gt;"",E1541,IF(B1541="","",IFERROR(IF(INDEX(pr_price,MATCH(B1541,pr_code,0))="","",INDEX(pr_price,MATCH(B1541,pr_code,0))),""))))</f>
        <v/>
      </c>
      <c r="K1541" s="71" t="str">
        <f>IF(COUNTA(A1541:G1541)=0,"",IF(G1541&lt;&gt;"",G1541,IF(B1541="","",IFERROR(IF(INDEX(pr_rate,MATCH(B1541,pr_code,0))="","",INDEX(pr_rate,MATCH(B1541,pr_code,0))),""))))</f>
        <v/>
      </c>
      <c r="L1541" s="65" t="str">
        <f>IF(COUNTA(A1541:G1541)=0,"",IF(AND(ISNUMBER(D1541),ISNUMBER(J1541)),ROUND(D1541*J1541*(1-N(F1541)),2),0))</f>
        <v/>
      </c>
      <c r="M1541" s="62" t="str">
        <f>IF(A1541="","",IFERROR(INDEX(fa_cname,MATCH(A1541,fa_num,0))&amp;"",""))</f>
        <v/>
      </c>
      <c r="N1541" s="59" t="str">
        <f>IF(COUNTA(A1541:G1541)=0,"",IF(A1541="","N° facture manquant",IF(ISNA(MATCH(A1541,fa_num,0)),"Facture inconnue",IF(AND(B1541&lt;&gt;"",ISNA(MATCH(B1541,pr_code,0))),"Article inconnu",IF(H1541="","Désignation manquante",IF(OR(NOT(ISNUMBER(D1541)),N(D1541)&lt;=0),"Quantité invalide",IF(J1541="","Prix manquant",IF(OR(NOT(ISNUMBER(J1541)),N(J1541)&lt;0),"Prix invalide",IF(OR(AND(F1541&lt;&gt;"",NOT(ISNUMBER(F1541))),N(F1541)&lt;0,N(F1541)&gt;1),"Remise invalide",IF(K1541="","Taux de TVA manquant",IF(NOT(ISNUMBER(K1541)),"Taux de TVA invalide",IF(COUNTIF(p_rates,K1541)=0,"Taux de TVA hors liste (Paramètres)",IF(N(O1541)&gt;25,"Au-delà de 25 lignes : non imprimée","OK")))))))))))))</f>
        <v/>
      </c>
      <c r="O1541" s="59" t="str">
        <f>IF(A1541="","",COUNTIF($A$6:A1541,A1541))</f>
        <v/>
      </c>
      <c r="P1541" s="62" t="str">
        <f>IF(A1541="","",A1541&amp;"|"&amp;O1541)</f>
        <v/>
      </c>
    </row>
    <row r="1542">
      <c r="A1542" s="60" t="n"/>
      <c r="B1542" s="63" t="n"/>
      <c r="C1542" s="63" t="n"/>
      <c r="D1542" s="67" t="n"/>
      <c r="E1542" s="68" t="n"/>
      <c r="F1542" s="69" t="n"/>
      <c r="G1542" s="70" t="n"/>
      <c r="H1542" s="62" t="str">
        <f>IF(COUNTA(A1542:G1542)=0,"",IF(C1542&lt;&gt;"",C1542,IF(B1542="","",IFERROR(INDEX(pr_des,MATCH(B1542,pr_code,0))&amp;"",""))))</f>
        <v/>
      </c>
      <c r="I1542" s="59" t="str">
        <f>IF(B1542="","",IFERROR(INDEX(pr_unit,MATCH(B1542,pr_code,0))&amp;"",""))</f>
        <v/>
      </c>
      <c r="J1542" s="65" t="str">
        <f>IF(COUNTA(A1542:G1542)=0,"",IF(E1542&lt;&gt;"",E1542,IF(B1542="","",IFERROR(IF(INDEX(pr_price,MATCH(B1542,pr_code,0))="","",INDEX(pr_price,MATCH(B1542,pr_code,0))),""))))</f>
        <v/>
      </c>
      <c r="K1542" s="71" t="str">
        <f>IF(COUNTA(A1542:G1542)=0,"",IF(G1542&lt;&gt;"",G1542,IF(B1542="","",IFERROR(IF(INDEX(pr_rate,MATCH(B1542,pr_code,0))="","",INDEX(pr_rate,MATCH(B1542,pr_code,0))),""))))</f>
        <v/>
      </c>
      <c r="L1542" s="65" t="str">
        <f>IF(COUNTA(A1542:G1542)=0,"",IF(AND(ISNUMBER(D1542),ISNUMBER(J1542)),ROUND(D1542*J1542*(1-N(F1542)),2),0))</f>
        <v/>
      </c>
      <c r="M1542" s="62" t="str">
        <f>IF(A1542="","",IFERROR(INDEX(fa_cname,MATCH(A1542,fa_num,0))&amp;"",""))</f>
        <v/>
      </c>
      <c r="N1542" s="59" t="str">
        <f>IF(COUNTA(A1542:G1542)=0,"",IF(A1542="","N° facture manquant",IF(ISNA(MATCH(A1542,fa_num,0)),"Facture inconnue",IF(AND(B1542&lt;&gt;"",ISNA(MATCH(B1542,pr_code,0))),"Article inconnu",IF(H1542="","Désignation manquante",IF(OR(NOT(ISNUMBER(D1542)),N(D1542)&lt;=0),"Quantité invalide",IF(J1542="","Prix manquant",IF(OR(NOT(ISNUMBER(J1542)),N(J1542)&lt;0),"Prix invalide",IF(OR(AND(F1542&lt;&gt;"",NOT(ISNUMBER(F1542))),N(F1542)&lt;0,N(F1542)&gt;1),"Remise invalide",IF(K1542="","Taux de TVA manquant",IF(NOT(ISNUMBER(K1542)),"Taux de TVA invalide",IF(COUNTIF(p_rates,K1542)=0,"Taux de TVA hors liste (Paramètres)",IF(N(O1542)&gt;25,"Au-delà de 25 lignes : non imprimée","OK")))))))))))))</f>
        <v/>
      </c>
      <c r="O1542" s="59" t="str">
        <f>IF(A1542="","",COUNTIF($A$6:A1542,A1542))</f>
        <v/>
      </c>
      <c r="P1542" s="62" t="str">
        <f>IF(A1542="","",A1542&amp;"|"&amp;O1542)</f>
        <v/>
      </c>
    </row>
    <row r="1543">
      <c r="A1543" s="60" t="n"/>
      <c r="B1543" s="63" t="n"/>
      <c r="C1543" s="63" t="n"/>
      <c r="D1543" s="67" t="n"/>
      <c r="E1543" s="68" t="n"/>
      <c r="F1543" s="69" t="n"/>
      <c r="G1543" s="70" t="n"/>
      <c r="H1543" s="62" t="str">
        <f>IF(COUNTA(A1543:G1543)=0,"",IF(C1543&lt;&gt;"",C1543,IF(B1543="","",IFERROR(INDEX(pr_des,MATCH(B1543,pr_code,0))&amp;"",""))))</f>
        <v/>
      </c>
      <c r="I1543" s="59" t="str">
        <f>IF(B1543="","",IFERROR(INDEX(pr_unit,MATCH(B1543,pr_code,0))&amp;"",""))</f>
        <v/>
      </c>
      <c r="J1543" s="65" t="str">
        <f>IF(COUNTA(A1543:G1543)=0,"",IF(E1543&lt;&gt;"",E1543,IF(B1543="","",IFERROR(IF(INDEX(pr_price,MATCH(B1543,pr_code,0))="","",INDEX(pr_price,MATCH(B1543,pr_code,0))),""))))</f>
        <v/>
      </c>
      <c r="K1543" s="71" t="str">
        <f>IF(COUNTA(A1543:G1543)=0,"",IF(G1543&lt;&gt;"",G1543,IF(B1543="","",IFERROR(IF(INDEX(pr_rate,MATCH(B1543,pr_code,0))="","",INDEX(pr_rate,MATCH(B1543,pr_code,0))),""))))</f>
        <v/>
      </c>
      <c r="L1543" s="65" t="str">
        <f>IF(COUNTA(A1543:G1543)=0,"",IF(AND(ISNUMBER(D1543),ISNUMBER(J1543)),ROUND(D1543*J1543*(1-N(F1543)),2),0))</f>
        <v/>
      </c>
      <c r="M1543" s="62" t="str">
        <f>IF(A1543="","",IFERROR(INDEX(fa_cname,MATCH(A1543,fa_num,0))&amp;"",""))</f>
        <v/>
      </c>
      <c r="N1543" s="59" t="str">
        <f>IF(COUNTA(A1543:G1543)=0,"",IF(A1543="","N° facture manquant",IF(ISNA(MATCH(A1543,fa_num,0)),"Facture inconnue",IF(AND(B1543&lt;&gt;"",ISNA(MATCH(B1543,pr_code,0))),"Article inconnu",IF(H1543="","Désignation manquante",IF(OR(NOT(ISNUMBER(D1543)),N(D1543)&lt;=0),"Quantité invalide",IF(J1543="","Prix manquant",IF(OR(NOT(ISNUMBER(J1543)),N(J1543)&lt;0),"Prix invalide",IF(OR(AND(F1543&lt;&gt;"",NOT(ISNUMBER(F1543))),N(F1543)&lt;0,N(F1543)&gt;1),"Remise invalide",IF(K1543="","Taux de TVA manquant",IF(NOT(ISNUMBER(K1543)),"Taux de TVA invalide",IF(COUNTIF(p_rates,K1543)=0,"Taux de TVA hors liste (Paramètres)",IF(N(O1543)&gt;25,"Au-delà de 25 lignes : non imprimée","OK")))))))))))))</f>
        <v/>
      </c>
      <c r="O1543" s="59" t="str">
        <f>IF(A1543="","",COUNTIF($A$6:A1543,A1543))</f>
        <v/>
      </c>
      <c r="P1543" s="62" t="str">
        <f>IF(A1543="","",A1543&amp;"|"&amp;O1543)</f>
        <v/>
      </c>
    </row>
    <row r="1544">
      <c r="A1544" s="60" t="n"/>
      <c r="B1544" s="63" t="n"/>
      <c r="C1544" s="63" t="n"/>
      <c r="D1544" s="67" t="n"/>
      <c r="E1544" s="68" t="n"/>
      <c r="F1544" s="69" t="n"/>
      <c r="G1544" s="70" t="n"/>
      <c r="H1544" s="62" t="str">
        <f>IF(COUNTA(A1544:G1544)=0,"",IF(C1544&lt;&gt;"",C1544,IF(B1544="","",IFERROR(INDEX(pr_des,MATCH(B1544,pr_code,0))&amp;"",""))))</f>
        <v/>
      </c>
      <c r="I1544" s="59" t="str">
        <f>IF(B1544="","",IFERROR(INDEX(pr_unit,MATCH(B1544,pr_code,0))&amp;"",""))</f>
        <v/>
      </c>
      <c r="J1544" s="65" t="str">
        <f>IF(COUNTA(A1544:G1544)=0,"",IF(E1544&lt;&gt;"",E1544,IF(B1544="","",IFERROR(IF(INDEX(pr_price,MATCH(B1544,pr_code,0))="","",INDEX(pr_price,MATCH(B1544,pr_code,0))),""))))</f>
        <v/>
      </c>
      <c r="K1544" s="71" t="str">
        <f>IF(COUNTA(A1544:G1544)=0,"",IF(G1544&lt;&gt;"",G1544,IF(B1544="","",IFERROR(IF(INDEX(pr_rate,MATCH(B1544,pr_code,0))="","",INDEX(pr_rate,MATCH(B1544,pr_code,0))),""))))</f>
        <v/>
      </c>
      <c r="L1544" s="65" t="str">
        <f>IF(COUNTA(A1544:G1544)=0,"",IF(AND(ISNUMBER(D1544),ISNUMBER(J1544)),ROUND(D1544*J1544*(1-N(F1544)),2),0))</f>
        <v/>
      </c>
      <c r="M1544" s="62" t="str">
        <f>IF(A1544="","",IFERROR(INDEX(fa_cname,MATCH(A1544,fa_num,0))&amp;"",""))</f>
        <v/>
      </c>
      <c r="N1544" s="59" t="str">
        <f>IF(COUNTA(A1544:G1544)=0,"",IF(A1544="","N° facture manquant",IF(ISNA(MATCH(A1544,fa_num,0)),"Facture inconnue",IF(AND(B1544&lt;&gt;"",ISNA(MATCH(B1544,pr_code,0))),"Article inconnu",IF(H1544="","Désignation manquante",IF(OR(NOT(ISNUMBER(D1544)),N(D1544)&lt;=0),"Quantité invalide",IF(J1544="","Prix manquant",IF(OR(NOT(ISNUMBER(J1544)),N(J1544)&lt;0),"Prix invalide",IF(OR(AND(F1544&lt;&gt;"",NOT(ISNUMBER(F1544))),N(F1544)&lt;0,N(F1544)&gt;1),"Remise invalide",IF(K1544="","Taux de TVA manquant",IF(NOT(ISNUMBER(K1544)),"Taux de TVA invalide",IF(COUNTIF(p_rates,K1544)=0,"Taux de TVA hors liste (Paramètres)",IF(N(O1544)&gt;25,"Au-delà de 25 lignes : non imprimée","OK")))))))))))))</f>
        <v/>
      </c>
      <c r="O1544" s="59" t="str">
        <f>IF(A1544="","",COUNTIF($A$6:A1544,A1544))</f>
        <v/>
      </c>
      <c r="P1544" s="62" t="str">
        <f>IF(A1544="","",A1544&amp;"|"&amp;O1544)</f>
        <v/>
      </c>
    </row>
    <row r="1545">
      <c r="A1545" s="60" t="n"/>
      <c r="B1545" s="63" t="n"/>
      <c r="C1545" s="63" t="n"/>
      <c r="D1545" s="67" t="n"/>
      <c r="E1545" s="68" t="n"/>
      <c r="F1545" s="69" t="n"/>
      <c r="G1545" s="70" t="n"/>
      <c r="H1545" s="62" t="str">
        <f>IF(COUNTA(A1545:G1545)=0,"",IF(C1545&lt;&gt;"",C1545,IF(B1545="","",IFERROR(INDEX(pr_des,MATCH(B1545,pr_code,0))&amp;"",""))))</f>
        <v/>
      </c>
      <c r="I1545" s="59" t="str">
        <f>IF(B1545="","",IFERROR(INDEX(pr_unit,MATCH(B1545,pr_code,0))&amp;"",""))</f>
        <v/>
      </c>
      <c r="J1545" s="65" t="str">
        <f>IF(COUNTA(A1545:G1545)=0,"",IF(E1545&lt;&gt;"",E1545,IF(B1545="","",IFERROR(IF(INDEX(pr_price,MATCH(B1545,pr_code,0))="","",INDEX(pr_price,MATCH(B1545,pr_code,0))),""))))</f>
        <v/>
      </c>
      <c r="K1545" s="71" t="str">
        <f>IF(COUNTA(A1545:G1545)=0,"",IF(G1545&lt;&gt;"",G1545,IF(B1545="","",IFERROR(IF(INDEX(pr_rate,MATCH(B1545,pr_code,0))="","",INDEX(pr_rate,MATCH(B1545,pr_code,0))),""))))</f>
        <v/>
      </c>
      <c r="L1545" s="65" t="str">
        <f>IF(COUNTA(A1545:G1545)=0,"",IF(AND(ISNUMBER(D1545),ISNUMBER(J1545)),ROUND(D1545*J1545*(1-N(F1545)),2),0))</f>
        <v/>
      </c>
      <c r="M1545" s="62" t="str">
        <f>IF(A1545="","",IFERROR(INDEX(fa_cname,MATCH(A1545,fa_num,0))&amp;"",""))</f>
        <v/>
      </c>
      <c r="N1545" s="59" t="str">
        <f>IF(COUNTA(A1545:G1545)=0,"",IF(A1545="","N° facture manquant",IF(ISNA(MATCH(A1545,fa_num,0)),"Facture inconnue",IF(AND(B1545&lt;&gt;"",ISNA(MATCH(B1545,pr_code,0))),"Article inconnu",IF(H1545="","Désignation manquante",IF(OR(NOT(ISNUMBER(D1545)),N(D1545)&lt;=0),"Quantité invalide",IF(J1545="","Prix manquant",IF(OR(NOT(ISNUMBER(J1545)),N(J1545)&lt;0),"Prix invalide",IF(OR(AND(F1545&lt;&gt;"",NOT(ISNUMBER(F1545))),N(F1545)&lt;0,N(F1545)&gt;1),"Remise invalide",IF(K1545="","Taux de TVA manquant",IF(NOT(ISNUMBER(K1545)),"Taux de TVA invalide",IF(COUNTIF(p_rates,K1545)=0,"Taux de TVA hors liste (Paramètres)",IF(N(O1545)&gt;25,"Au-delà de 25 lignes : non imprimée","OK")))))))))))))</f>
        <v/>
      </c>
      <c r="O1545" s="59" t="str">
        <f>IF(A1545="","",COUNTIF($A$6:A1545,A1545))</f>
        <v/>
      </c>
      <c r="P1545" s="62" t="str">
        <f>IF(A1545="","",A1545&amp;"|"&amp;O1545)</f>
        <v/>
      </c>
    </row>
    <row r="1546">
      <c r="A1546" s="60" t="n"/>
      <c r="B1546" s="63" t="n"/>
      <c r="C1546" s="63" t="n"/>
      <c r="D1546" s="67" t="n"/>
      <c r="E1546" s="68" t="n"/>
      <c r="F1546" s="69" t="n"/>
      <c r="G1546" s="70" t="n"/>
      <c r="H1546" s="62" t="str">
        <f>IF(COUNTA(A1546:G1546)=0,"",IF(C1546&lt;&gt;"",C1546,IF(B1546="","",IFERROR(INDEX(pr_des,MATCH(B1546,pr_code,0))&amp;"",""))))</f>
        <v/>
      </c>
      <c r="I1546" s="59" t="str">
        <f>IF(B1546="","",IFERROR(INDEX(pr_unit,MATCH(B1546,pr_code,0))&amp;"",""))</f>
        <v/>
      </c>
      <c r="J1546" s="65" t="str">
        <f>IF(COUNTA(A1546:G1546)=0,"",IF(E1546&lt;&gt;"",E1546,IF(B1546="","",IFERROR(IF(INDEX(pr_price,MATCH(B1546,pr_code,0))="","",INDEX(pr_price,MATCH(B1546,pr_code,0))),""))))</f>
        <v/>
      </c>
      <c r="K1546" s="71" t="str">
        <f>IF(COUNTA(A1546:G1546)=0,"",IF(G1546&lt;&gt;"",G1546,IF(B1546="","",IFERROR(IF(INDEX(pr_rate,MATCH(B1546,pr_code,0))="","",INDEX(pr_rate,MATCH(B1546,pr_code,0))),""))))</f>
        <v/>
      </c>
      <c r="L1546" s="65" t="str">
        <f>IF(COUNTA(A1546:G1546)=0,"",IF(AND(ISNUMBER(D1546),ISNUMBER(J1546)),ROUND(D1546*J1546*(1-N(F1546)),2),0))</f>
        <v/>
      </c>
      <c r="M1546" s="62" t="str">
        <f>IF(A1546="","",IFERROR(INDEX(fa_cname,MATCH(A1546,fa_num,0))&amp;"",""))</f>
        <v/>
      </c>
      <c r="N1546" s="59" t="str">
        <f>IF(COUNTA(A1546:G1546)=0,"",IF(A1546="","N° facture manquant",IF(ISNA(MATCH(A1546,fa_num,0)),"Facture inconnue",IF(AND(B1546&lt;&gt;"",ISNA(MATCH(B1546,pr_code,0))),"Article inconnu",IF(H1546="","Désignation manquante",IF(OR(NOT(ISNUMBER(D1546)),N(D1546)&lt;=0),"Quantité invalide",IF(J1546="","Prix manquant",IF(OR(NOT(ISNUMBER(J1546)),N(J1546)&lt;0),"Prix invalide",IF(OR(AND(F1546&lt;&gt;"",NOT(ISNUMBER(F1546))),N(F1546)&lt;0,N(F1546)&gt;1),"Remise invalide",IF(K1546="","Taux de TVA manquant",IF(NOT(ISNUMBER(K1546)),"Taux de TVA invalide",IF(COUNTIF(p_rates,K1546)=0,"Taux de TVA hors liste (Paramètres)",IF(N(O1546)&gt;25,"Au-delà de 25 lignes : non imprimée","OK")))))))))))))</f>
        <v/>
      </c>
      <c r="O1546" s="59" t="str">
        <f>IF(A1546="","",COUNTIF($A$6:A1546,A1546))</f>
        <v/>
      </c>
      <c r="P1546" s="62" t="str">
        <f>IF(A1546="","",A1546&amp;"|"&amp;O1546)</f>
        <v/>
      </c>
    </row>
    <row r="1547">
      <c r="A1547" s="60" t="n"/>
      <c r="B1547" s="63" t="n"/>
      <c r="C1547" s="63" t="n"/>
      <c r="D1547" s="67" t="n"/>
      <c r="E1547" s="68" t="n"/>
      <c r="F1547" s="69" t="n"/>
      <c r="G1547" s="70" t="n"/>
      <c r="H1547" s="62" t="str">
        <f>IF(COUNTA(A1547:G1547)=0,"",IF(C1547&lt;&gt;"",C1547,IF(B1547="","",IFERROR(INDEX(pr_des,MATCH(B1547,pr_code,0))&amp;"",""))))</f>
        <v/>
      </c>
      <c r="I1547" s="59" t="str">
        <f>IF(B1547="","",IFERROR(INDEX(pr_unit,MATCH(B1547,pr_code,0))&amp;"",""))</f>
        <v/>
      </c>
      <c r="J1547" s="65" t="str">
        <f>IF(COUNTA(A1547:G1547)=0,"",IF(E1547&lt;&gt;"",E1547,IF(B1547="","",IFERROR(IF(INDEX(pr_price,MATCH(B1547,pr_code,0))="","",INDEX(pr_price,MATCH(B1547,pr_code,0))),""))))</f>
        <v/>
      </c>
      <c r="K1547" s="71" t="str">
        <f>IF(COUNTA(A1547:G1547)=0,"",IF(G1547&lt;&gt;"",G1547,IF(B1547="","",IFERROR(IF(INDEX(pr_rate,MATCH(B1547,pr_code,0))="","",INDEX(pr_rate,MATCH(B1547,pr_code,0))),""))))</f>
        <v/>
      </c>
      <c r="L1547" s="65" t="str">
        <f>IF(COUNTA(A1547:G1547)=0,"",IF(AND(ISNUMBER(D1547),ISNUMBER(J1547)),ROUND(D1547*J1547*(1-N(F1547)),2),0))</f>
        <v/>
      </c>
      <c r="M1547" s="62" t="str">
        <f>IF(A1547="","",IFERROR(INDEX(fa_cname,MATCH(A1547,fa_num,0))&amp;"",""))</f>
        <v/>
      </c>
      <c r="N1547" s="59" t="str">
        <f>IF(COUNTA(A1547:G1547)=0,"",IF(A1547="","N° facture manquant",IF(ISNA(MATCH(A1547,fa_num,0)),"Facture inconnue",IF(AND(B1547&lt;&gt;"",ISNA(MATCH(B1547,pr_code,0))),"Article inconnu",IF(H1547="","Désignation manquante",IF(OR(NOT(ISNUMBER(D1547)),N(D1547)&lt;=0),"Quantité invalide",IF(J1547="","Prix manquant",IF(OR(NOT(ISNUMBER(J1547)),N(J1547)&lt;0),"Prix invalide",IF(OR(AND(F1547&lt;&gt;"",NOT(ISNUMBER(F1547))),N(F1547)&lt;0,N(F1547)&gt;1),"Remise invalide",IF(K1547="","Taux de TVA manquant",IF(NOT(ISNUMBER(K1547)),"Taux de TVA invalide",IF(COUNTIF(p_rates,K1547)=0,"Taux de TVA hors liste (Paramètres)",IF(N(O1547)&gt;25,"Au-delà de 25 lignes : non imprimée","OK")))))))))))))</f>
        <v/>
      </c>
      <c r="O1547" s="59" t="str">
        <f>IF(A1547="","",COUNTIF($A$6:A1547,A1547))</f>
        <v/>
      </c>
      <c r="P1547" s="62" t="str">
        <f>IF(A1547="","",A1547&amp;"|"&amp;O1547)</f>
        <v/>
      </c>
    </row>
    <row r="1548">
      <c r="A1548" s="60" t="n"/>
      <c r="B1548" s="63" t="n"/>
      <c r="C1548" s="63" t="n"/>
      <c r="D1548" s="67" t="n"/>
      <c r="E1548" s="68" t="n"/>
      <c r="F1548" s="69" t="n"/>
      <c r="G1548" s="70" t="n"/>
      <c r="H1548" s="62" t="str">
        <f>IF(COUNTA(A1548:G1548)=0,"",IF(C1548&lt;&gt;"",C1548,IF(B1548="","",IFERROR(INDEX(pr_des,MATCH(B1548,pr_code,0))&amp;"",""))))</f>
        <v/>
      </c>
      <c r="I1548" s="59" t="str">
        <f>IF(B1548="","",IFERROR(INDEX(pr_unit,MATCH(B1548,pr_code,0))&amp;"",""))</f>
        <v/>
      </c>
      <c r="J1548" s="65" t="str">
        <f>IF(COUNTA(A1548:G1548)=0,"",IF(E1548&lt;&gt;"",E1548,IF(B1548="","",IFERROR(IF(INDEX(pr_price,MATCH(B1548,pr_code,0))="","",INDEX(pr_price,MATCH(B1548,pr_code,0))),""))))</f>
        <v/>
      </c>
      <c r="K1548" s="71" t="str">
        <f>IF(COUNTA(A1548:G1548)=0,"",IF(G1548&lt;&gt;"",G1548,IF(B1548="","",IFERROR(IF(INDEX(pr_rate,MATCH(B1548,pr_code,0))="","",INDEX(pr_rate,MATCH(B1548,pr_code,0))),""))))</f>
        <v/>
      </c>
      <c r="L1548" s="65" t="str">
        <f>IF(COUNTA(A1548:G1548)=0,"",IF(AND(ISNUMBER(D1548),ISNUMBER(J1548)),ROUND(D1548*J1548*(1-N(F1548)),2),0))</f>
        <v/>
      </c>
      <c r="M1548" s="62" t="str">
        <f>IF(A1548="","",IFERROR(INDEX(fa_cname,MATCH(A1548,fa_num,0))&amp;"",""))</f>
        <v/>
      </c>
      <c r="N1548" s="59" t="str">
        <f>IF(COUNTA(A1548:G1548)=0,"",IF(A1548="","N° facture manquant",IF(ISNA(MATCH(A1548,fa_num,0)),"Facture inconnue",IF(AND(B1548&lt;&gt;"",ISNA(MATCH(B1548,pr_code,0))),"Article inconnu",IF(H1548="","Désignation manquante",IF(OR(NOT(ISNUMBER(D1548)),N(D1548)&lt;=0),"Quantité invalide",IF(J1548="","Prix manquant",IF(OR(NOT(ISNUMBER(J1548)),N(J1548)&lt;0),"Prix invalide",IF(OR(AND(F1548&lt;&gt;"",NOT(ISNUMBER(F1548))),N(F1548)&lt;0,N(F1548)&gt;1),"Remise invalide",IF(K1548="","Taux de TVA manquant",IF(NOT(ISNUMBER(K1548)),"Taux de TVA invalide",IF(COUNTIF(p_rates,K1548)=0,"Taux de TVA hors liste (Paramètres)",IF(N(O1548)&gt;25,"Au-delà de 25 lignes : non imprimée","OK")))))))))))))</f>
        <v/>
      </c>
      <c r="O1548" s="59" t="str">
        <f>IF(A1548="","",COUNTIF($A$6:A1548,A1548))</f>
        <v/>
      </c>
      <c r="P1548" s="62" t="str">
        <f>IF(A1548="","",A1548&amp;"|"&amp;O1548)</f>
        <v/>
      </c>
    </row>
    <row r="1549">
      <c r="A1549" s="60" t="n"/>
      <c r="B1549" s="63" t="n"/>
      <c r="C1549" s="63" t="n"/>
      <c r="D1549" s="67" t="n"/>
      <c r="E1549" s="68" t="n"/>
      <c r="F1549" s="69" t="n"/>
      <c r="G1549" s="70" t="n"/>
      <c r="H1549" s="62" t="str">
        <f>IF(COUNTA(A1549:G1549)=0,"",IF(C1549&lt;&gt;"",C1549,IF(B1549="","",IFERROR(INDEX(pr_des,MATCH(B1549,pr_code,0))&amp;"",""))))</f>
        <v/>
      </c>
      <c r="I1549" s="59" t="str">
        <f>IF(B1549="","",IFERROR(INDEX(pr_unit,MATCH(B1549,pr_code,0))&amp;"",""))</f>
        <v/>
      </c>
      <c r="J1549" s="65" t="str">
        <f>IF(COUNTA(A1549:G1549)=0,"",IF(E1549&lt;&gt;"",E1549,IF(B1549="","",IFERROR(IF(INDEX(pr_price,MATCH(B1549,pr_code,0))="","",INDEX(pr_price,MATCH(B1549,pr_code,0))),""))))</f>
        <v/>
      </c>
      <c r="K1549" s="71" t="str">
        <f>IF(COUNTA(A1549:G1549)=0,"",IF(G1549&lt;&gt;"",G1549,IF(B1549="","",IFERROR(IF(INDEX(pr_rate,MATCH(B1549,pr_code,0))="","",INDEX(pr_rate,MATCH(B1549,pr_code,0))),""))))</f>
        <v/>
      </c>
      <c r="L1549" s="65" t="str">
        <f>IF(COUNTA(A1549:G1549)=0,"",IF(AND(ISNUMBER(D1549),ISNUMBER(J1549)),ROUND(D1549*J1549*(1-N(F1549)),2),0))</f>
        <v/>
      </c>
      <c r="M1549" s="62" t="str">
        <f>IF(A1549="","",IFERROR(INDEX(fa_cname,MATCH(A1549,fa_num,0))&amp;"",""))</f>
        <v/>
      </c>
      <c r="N1549" s="59" t="str">
        <f>IF(COUNTA(A1549:G1549)=0,"",IF(A1549="","N° facture manquant",IF(ISNA(MATCH(A1549,fa_num,0)),"Facture inconnue",IF(AND(B1549&lt;&gt;"",ISNA(MATCH(B1549,pr_code,0))),"Article inconnu",IF(H1549="","Désignation manquante",IF(OR(NOT(ISNUMBER(D1549)),N(D1549)&lt;=0),"Quantité invalide",IF(J1549="","Prix manquant",IF(OR(NOT(ISNUMBER(J1549)),N(J1549)&lt;0),"Prix invalide",IF(OR(AND(F1549&lt;&gt;"",NOT(ISNUMBER(F1549))),N(F1549)&lt;0,N(F1549)&gt;1),"Remise invalide",IF(K1549="","Taux de TVA manquant",IF(NOT(ISNUMBER(K1549)),"Taux de TVA invalide",IF(COUNTIF(p_rates,K1549)=0,"Taux de TVA hors liste (Paramètres)",IF(N(O1549)&gt;25,"Au-delà de 25 lignes : non imprimée","OK")))))))))))))</f>
        <v/>
      </c>
      <c r="O1549" s="59" t="str">
        <f>IF(A1549="","",COUNTIF($A$6:A1549,A1549))</f>
        <v/>
      </c>
      <c r="P1549" s="62" t="str">
        <f>IF(A1549="","",A1549&amp;"|"&amp;O1549)</f>
        <v/>
      </c>
    </row>
    <row r="1550">
      <c r="A1550" s="60" t="n"/>
      <c r="B1550" s="63" t="n"/>
      <c r="C1550" s="63" t="n"/>
      <c r="D1550" s="67" t="n"/>
      <c r="E1550" s="68" t="n"/>
      <c r="F1550" s="69" t="n"/>
      <c r="G1550" s="70" t="n"/>
      <c r="H1550" s="62" t="str">
        <f>IF(COUNTA(A1550:G1550)=0,"",IF(C1550&lt;&gt;"",C1550,IF(B1550="","",IFERROR(INDEX(pr_des,MATCH(B1550,pr_code,0))&amp;"",""))))</f>
        <v/>
      </c>
      <c r="I1550" s="59" t="str">
        <f>IF(B1550="","",IFERROR(INDEX(pr_unit,MATCH(B1550,pr_code,0))&amp;"",""))</f>
        <v/>
      </c>
      <c r="J1550" s="65" t="str">
        <f>IF(COUNTA(A1550:G1550)=0,"",IF(E1550&lt;&gt;"",E1550,IF(B1550="","",IFERROR(IF(INDEX(pr_price,MATCH(B1550,pr_code,0))="","",INDEX(pr_price,MATCH(B1550,pr_code,0))),""))))</f>
        <v/>
      </c>
      <c r="K1550" s="71" t="str">
        <f>IF(COUNTA(A1550:G1550)=0,"",IF(G1550&lt;&gt;"",G1550,IF(B1550="","",IFERROR(IF(INDEX(pr_rate,MATCH(B1550,pr_code,0))="","",INDEX(pr_rate,MATCH(B1550,pr_code,0))),""))))</f>
        <v/>
      </c>
      <c r="L1550" s="65" t="str">
        <f>IF(COUNTA(A1550:G1550)=0,"",IF(AND(ISNUMBER(D1550),ISNUMBER(J1550)),ROUND(D1550*J1550*(1-N(F1550)),2),0))</f>
        <v/>
      </c>
      <c r="M1550" s="62" t="str">
        <f>IF(A1550="","",IFERROR(INDEX(fa_cname,MATCH(A1550,fa_num,0))&amp;"",""))</f>
        <v/>
      </c>
      <c r="N1550" s="59" t="str">
        <f>IF(COUNTA(A1550:G1550)=0,"",IF(A1550="","N° facture manquant",IF(ISNA(MATCH(A1550,fa_num,0)),"Facture inconnue",IF(AND(B1550&lt;&gt;"",ISNA(MATCH(B1550,pr_code,0))),"Article inconnu",IF(H1550="","Désignation manquante",IF(OR(NOT(ISNUMBER(D1550)),N(D1550)&lt;=0),"Quantité invalide",IF(J1550="","Prix manquant",IF(OR(NOT(ISNUMBER(J1550)),N(J1550)&lt;0),"Prix invalide",IF(OR(AND(F1550&lt;&gt;"",NOT(ISNUMBER(F1550))),N(F1550)&lt;0,N(F1550)&gt;1),"Remise invalide",IF(K1550="","Taux de TVA manquant",IF(NOT(ISNUMBER(K1550)),"Taux de TVA invalide",IF(COUNTIF(p_rates,K1550)=0,"Taux de TVA hors liste (Paramètres)",IF(N(O1550)&gt;25,"Au-delà de 25 lignes : non imprimée","OK")))))))))))))</f>
        <v/>
      </c>
      <c r="O1550" s="59" t="str">
        <f>IF(A1550="","",COUNTIF($A$6:A1550,A1550))</f>
        <v/>
      </c>
      <c r="P1550" s="62" t="str">
        <f>IF(A1550="","",A1550&amp;"|"&amp;O1550)</f>
        <v/>
      </c>
    </row>
    <row r="1551">
      <c r="A1551" s="60" t="n"/>
      <c r="B1551" s="63" t="n"/>
      <c r="C1551" s="63" t="n"/>
      <c r="D1551" s="67" t="n"/>
      <c r="E1551" s="68" t="n"/>
      <c r="F1551" s="69" t="n"/>
      <c r="G1551" s="70" t="n"/>
      <c r="H1551" s="62" t="str">
        <f>IF(COUNTA(A1551:G1551)=0,"",IF(C1551&lt;&gt;"",C1551,IF(B1551="","",IFERROR(INDEX(pr_des,MATCH(B1551,pr_code,0))&amp;"",""))))</f>
        <v/>
      </c>
      <c r="I1551" s="59" t="str">
        <f>IF(B1551="","",IFERROR(INDEX(pr_unit,MATCH(B1551,pr_code,0))&amp;"",""))</f>
        <v/>
      </c>
      <c r="J1551" s="65" t="str">
        <f>IF(COUNTA(A1551:G1551)=0,"",IF(E1551&lt;&gt;"",E1551,IF(B1551="","",IFERROR(IF(INDEX(pr_price,MATCH(B1551,pr_code,0))="","",INDEX(pr_price,MATCH(B1551,pr_code,0))),""))))</f>
        <v/>
      </c>
      <c r="K1551" s="71" t="str">
        <f>IF(COUNTA(A1551:G1551)=0,"",IF(G1551&lt;&gt;"",G1551,IF(B1551="","",IFERROR(IF(INDEX(pr_rate,MATCH(B1551,pr_code,0))="","",INDEX(pr_rate,MATCH(B1551,pr_code,0))),""))))</f>
        <v/>
      </c>
      <c r="L1551" s="65" t="str">
        <f>IF(COUNTA(A1551:G1551)=0,"",IF(AND(ISNUMBER(D1551),ISNUMBER(J1551)),ROUND(D1551*J1551*(1-N(F1551)),2),0))</f>
        <v/>
      </c>
      <c r="M1551" s="62" t="str">
        <f>IF(A1551="","",IFERROR(INDEX(fa_cname,MATCH(A1551,fa_num,0))&amp;"",""))</f>
        <v/>
      </c>
      <c r="N1551" s="59" t="str">
        <f>IF(COUNTA(A1551:G1551)=0,"",IF(A1551="","N° facture manquant",IF(ISNA(MATCH(A1551,fa_num,0)),"Facture inconnue",IF(AND(B1551&lt;&gt;"",ISNA(MATCH(B1551,pr_code,0))),"Article inconnu",IF(H1551="","Désignation manquante",IF(OR(NOT(ISNUMBER(D1551)),N(D1551)&lt;=0),"Quantité invalide",IF(J1551="","Prix manquant",IF(OR(NOT(ISNUMBER(J1551)),N(J1551)&lt;0),"Prix invalide",IF(OR(AND(F1551&lt;&gt;"",NOT(ISNUMBER(F1551))),N(F1551)&lt;0,N(F1551)&gt;1),"Remise invalide",IF(K1551="","Taux de TVA manquant",IF(NOT(ISNUMBER(K1551)),"Taux de TVA invalide",IF(COUNTIF(p_rates,K1551)=0,"Taux de TVA hors liste (Paramètres)",IF(N(O1551)&gt;25,"Au-delà de 25 lignes : non imprimée","OK")))))))))))))</f>
        <v/>
      </c>
      <c r="O1551" s="59" t="str">
        <f>IF(A1551="","",COUNTIF($A$6:A1551,A1551))</f>
        <v/>
      </c>
      <c r="P1551" s="62" t="str">
        <f>IF(A1551="","",A1551&amp;"|"&amp;O1551)</f>
        <v/>
      </c>
    </row>
    <row r="1552">
      <c r="A1552" s="60" t="n"/>
      <c r="B1552" s="63" t="n"/>
      <c r="C1552" s="63" t="n"/>
      <c r="D1552" s="67" t="n"/>
      <c r="E1552" s="68" t="n"/>
      <c r="F1552" s="69" t="n"/>
      <c r="G1552" s="70" t="n"/>
      <c r="H1552" s="62" t="str">
        <f>IF(COUNTA(A1552:G1552)=0,"",IF(C1552&lt;&gt;"",C1552,IF(B1552="","",IFERROR(INDEX(pr_des,MATCH(B1552,pr_code,0))&amp;"",""))))</f>
        <v/>
      </c>
      <c r="I1552" s="59" t="str">
        <f>IF(B1552="","",IFERROR(INDEX(pr_unit,MATCH(B1552,pr_code,0))&amp;"",""))</f>
        <v/>
      </c>
      <c r="J1552" s="65" t="str">
        <f>IF(COUNTA(A1552:G1552)=0,"",IF(E1552&lt;&gt;"",E1552,IF(B1552="","",IFERROR(IF(INDEX(pr_price,MATCH(B1552,pr_code,0))="","",INDEX(pr_price,MATCH(B1552,pr_code,0))),""))))</f>
        <v/>
      </c>
      <c r="K1552" s="71" t="str">
        <f>IF(COUNTA(A1552:G1552)=0,"",IF(G1552&lt;&gt;"",G1552,IF(B1552="","",IFERROR(IF(INDEX(pr_rate,MATCH(B1552,pr_code,0))="","",INDEX(pr_rate,MATCH(B1552,pr_code,0))),""))))</f>
        <v/>
      </c>
      <c r="L1552" s="65" t="str">
        <f>IF(COUNTA(A1552:G1552)=0,"",IF(AND(ISNUMBER(D1552),ISNUMBER(J1552)),ROUND(D1552*J1552*(1-N(F1552)),2),0))</f>
        <v/>
      </c>
      <c r="M1552" s="62" t="str">
        <f>IF(A1552="","",IFERROR(INDEX(fa_cname,MATCH(A1552,fa_num,0))&amp;"",""))</f>
        <v/>
      </c>
      <c r="N1552" s="59" t="str">
        <f>IF(COUNTA(A1552:G1552)=0,"",IF(A1552="","N° facture manquant",IF(ISNA(MATCH(A1552,fa_num,0)),"Facture inconnue",IF(AND(B1552&lt;&gt;"",ISNA(MATCH(B1552,pr_code,0))),"Article inconnu",IF(H1552="","Désignation manquante",IF(OR(NOT(ISNUMBER(D1552)),N(D1552)&lt;=0),"Quantité invalide",IF(J1552="","Prix manquant",IF(OR(NOT(ISNUMBER(J1552)),N(J1552)&lt;0),"Prix invalide",IF(OR(AND(F1552&lt;&gt;"",NOT(ISNUMBER(F1552))),N(F1552)&lt;0,N(F1552)&gt;1),"Remise invalide",IF(K1552="","Taux de TVA manquant",IF(NOT(ISNUMBER(K1552)),"Taux de TVA invalide",IF(COUNTIF(p_rates,K1552)=0,"Taux de TVA hors liste (Paramètres)",IF(N(O1552)&gt;25,"Au-delà de 25 lignes : non imprimée","OK")))))))))))))</f>
        <v/>
      </c>
      <c r="O1552" s="59" t="str">
        <f>IF(A1552="","",COUNTIF($A$6:A1552,A1552))</f>
        <v/>
      </c>
      <c r="P1552" s="62" t="str">
        <f>IF(A1552="","",A1552&amp;"|"&amp;O1552)</f>
        <v/>
      </c>
    </row>
    <row r="1553">
      <c r="A1553" s="60" t="n"/>
      <c r="B1553" s="63" t="n"/>
      <c r="C1553" s="63" t="n"/>
      <c r="D1553" s="67" t="n"/>
      <c r="E1553" s="68" t="n"/>
      <c r="F1553" s="69" t="n"/>
      <c r="G1553" s="70" t="n"/>
      <c r="H1553" s="62" t="str">
        <f>IF(COUNTA(A1553:G1553)=0,"",IF(C1553&lt;&gt;"",C1553,IF(B1553="","",IFERROR(INDEX(pr_des,MATCH(B1553,pr_code,0))&amp;"",""))))</f>
        <v/>
      </c>
      <c r="I1553" s="59" t="str">
        <f>IF(B1553="","",IFERROR(INDEX(pr_unit,MATCH(B1553,pr_code,0))&amp;"",""))</f>
        <v/>
      </c>
      <c r="J1553" s="65" t="str">
        <f>IF(COUNTA(A1553:G1553)=0,"",IF(E1553&lt;&gt;"",E1553,IF(B1553="","",IFERROR(IF(INDEX(pr_price,MATCH(B1553,pr_code,0))="","",INDEX(pr_price,MATCH(B1553,pr_code,0))),""))))</f>
        <v/>
      </c>
      <c r="K1553" s="71" t="str">
        <f>IF(COUNTA(A1553:G1553)=0,"",IF(G1553&lt;&gt;"",G1553,IF(B1553="","",IFERROR(IF(INDEX(pr_rate,MATCH(B1553,pr_code,0))="","",INDEX(pr_rate,MATCH(B1553,pr_code,0))),""))))</f>
        <v/>
      </c>
      <c r="L1553" s="65" t="str">
        <f>IF(COUNTA(A1553:G1553)=0,"",IF(AND(ISNUMBER(D1553),ISNUMBER(J1553)),ROUND(D1553*J1553*(1-N(F1553)),2),0))</f>
        <v/>
      </c>
      <c r="M1553" s="62" t="str">
        <f>IF(A1553="","",IFERROR(INDEX(fa_cname,MATCH(A1553,fa_num,0))&amp;"",""))</f>
        <v/>
      </c>
      <c r="N1553" s="59" t="str">
        <f>IF(COUNTA(A1553:G1553)=0,"",IF(A1553="","N° facture manquant",IF(ISNA(MATCH(A1553,fa_num,0)),"Facture inconnue",IF(AND(B1553&lt;&gt;"",ISNA(MATCH(B1553,pr_code,0))),"Article inconnu",IF(H1553="","Désignation manquante",IF(OR(NOT(ISNUMBER(D1553)),N(D1553)&lt;=0),"Quantité invalide",IF(J1553="","Prix manquant",IF(OR(NOT(ISNUMBER(J1553)),N(J1553)&lt;0),"Prix invalide",IF(OR(AND(F1553&lt;&gt;"",NOT(ISNUMBER(F1553))),N(F1553)&lt;0,N(F1553)&gt;1),"Remise invalide",IF(K1553="","Taux de TVA manquant",IF(NOT(ISNUMBER(K1553)),"Taux de TVA invalide",IF(COUNTIF(p_rates,K1553)=0,"Taux de TVA hors liste (Paramètres)",IF(N(O1553)&gt;25,"Au-delà de 25 lignes : non imprimée","OK")))))))))))))</f>
        <v/>
      </c>
      <c r="O1553" s="59" t="str">
        <f>IF(A1553="","",COUNTIF($A$6:A1553,A1553))</f>
        <v/>
      </c>
      <c r="P1553" s="62" t="str">
        <f>IF(A1553="","",A1553&amp;"|"&amp;O1553)</f>
        <v/>
      </c>
    </row>
    <row r="1554">
      <c r="A1554" s="60" t="n"/>
      <c r="B1554" s="63" t="n"/>
      <c r="C1554" s="63" t="n"/>
      <c r="D1554" s="67" t="n"/>
      <c r="E1554" s="68" t="n"/>
      <c r="F1554" s="69" t="n"/>
      <c r="G1554" s="70" t="n"/>
      <c r="H1554" s="62" t="str">
        <f>IF(COUNTA(A1554:G1554)=0,"",IF(C1554&lt;&gt;"",C1554,IF(B1554="","",IFERROR(INDEX(pr_des,MATCH(B1554,pr_code,0))&amp;"",""))))</f>
        <v/>
      </c>
      <c r="I1554" s="59" t="str">
        <f>IF(B1554="","",IFERROR(INDEX(pr_unit,MATCH(B1554,pr_code,0))&amp;"",""))</f>
        <v/>
      </c>
      <c r="J1554" s="65" t="str">
        <f>IF(COUNTA(A1554:G1554)=0,"",IF(E1554&lt;&gt;"",E1554,IF(B1554="","",IFERROR(IF(INDEX(pr_price,MATCH(B1554,pr_code,0))="","",INDEX(pr_price,MATCH(B1554,pr_code,0))),""))))</f>
        <v/>
      </c>
      <c r="K1554" s="71" t="str">
        <f>IF(COUNTA(A1554:G1554)=0,"",IF(G1554&lt;&gt;"",G1554,IF(B1554="","",IFERROR(IF(INDEX(pr_rate,MATCH(B1554,pr_code,0))="","",INDEX(pr_rate,MATCH(B1554,pr_code,0))),""))))</f>
        <v/>
      </c>
      <c r="L1554" s="65" t="str">
        <f>IF(COUNTA(A1554:G1554)=0,"",IF(AND(ISNUMBER(D1554),ISNUMBER(J1554)),ROUND(D1554*J1554*(1-N(F1554)),2),0))</f>
        <v/>
      </c>
      <c r="M1554" s="62" t="str">
        <f>IF(A1554="","",IFERROR(INDEX(fa_cname,MATCH(A1554,fa_num,0))&amp;"",""))</f>
        <v/>
      </c>
      <c r="N1554" s="59" t="str">
        <f>IF(COUNTA(A1554:G1554)=0,"",IF(A1554="","N° facture manquant",IF(ISNA(MATCH(A1554,fa_num,0)),"Facture inconnue",IF(AND(B1554&lt;&gt;"",ISNA(MATCH(B1554,pr_code,0))),"Article inconnu",IF(H1554="","Désignation manquante",IF(OR(NOT(ISNUMBER(D1554)),N(D1554)&lt;=0),"Quantité invalide",IF(J1554="","Prix manquant",IF(OR(NOT(ISNUMBER(J1554)),N(J1554)&lt;0),"Prix invalide",IF(OR(AND(F1554&lt;&gt;"",NOT(ISNUMBER(F1554))),N(F1554)&lt;0,N(F1554)&gt;1),"Remise invalide",IF(K1554="","Taux de TVA manquant",IF(NOT(ISNUMBER(K1554)),"Taux de TVA invalide",IF(COUNTIF(p_rates,K1554)=0,"Taux de TVA hors liste (Paramètres)",IF(N(O1554)&gt;25,"Au-delà de 25 lignes : non imprimée","OK")))))))))))))</f>
        <v/>
      </c>
      <c r="O1554" s="59" t="str">
        <f>IF(A1554="","",COUNTIF($A$6:A1554,A1554))</f>
        <v/>
      </c>
      <c r="P1554" s="62" t="str">
        <f>IF(A1554="","",A1554&amp;"|"&amp;O1554)</f>
        <v/>
      </c>
    </row>
    <row r="1555">
      <c r="A1555" s="60" t="n"/>
      <c r="B1555" s="63" t="n"/>
      <c r="C1555" s="63" t="n"/>
      <c r="D1555" s="67" t="n"/>
      <c r="E1555" s="68" t="n"/>
      <c r="F1555" s="69" t="n"/>
      <c r="G1555" s="70" t="n"/>
      <c r="H1555" s="62" t="str">
        <f>IF(COUNTA(A1555:G1555)=0,"",IF(C1555&lt;&gt;"",C1555,IF(B1555="","",IFERROR(INDEX(pr_des,MATCH(B1555,pr_code,0))&amp;"",""))))</f>
        <v/>
      </c>
      <c r="I1555" s="59" t="str">
        <f>IF(B1555="","",IFERROR(INDEX(pr_unit,MATCH(B1555,pr_code,0))&amp;"",""))</f>
        <v/>
      </c>
      <c r="J1555" s="65" t="str">
        <f>IF(COUNTA(A1555:G1555)=0,"",IF(E1555&lt;&gt;"",E1555,IF(B1555="","",IFERROR(IF(INDEX(pr_price,MATCH(B1555,pr_code,0))="","",INDEX(pr_price,MATCH(B1555,pr_code,0))),""))))</f>
        <v/>
      </c>
      <c r="K1555" s="71" t="str">
        <f>IF(COUNTA(A1555:G1555)=0,"",IF(G1555&lt;&gt;"",G1555,IF(B1555="","",IFERROR(IF(INDEX(pr_rate,MATCH(B1555,pr_code,0))="","",INDEX(pr_rate,MATCH(B1555,pr_code,0))),""))))</f>
        <v/>
      </c>
      <c r="L1555" s="65" t="str">
        <f>IF(COUNTA(A1555:G1555)=0,"",IF(AND(ISNUMBER(D1555),ISNUMBER(J1555)),ROUND(D1555*J1555*(1-N(F1555)),2),0))</f>
        <v/>
      </c>
      <c r="M1555" s="62" t="str">
        <f>IF(A1555="","",IFERROR(INDEX(fa_cname,MATCH(A1555,fa_num,0))&amp;"",""))</f>
        <v/>
      </c>
      <c r="N1555" s="59" t="str">
        <f>IF(COUNTA(A1555:G1555)=0,"",IF(A1555="","N° facture manquant",IF(ISNA(MATCH(A1555,fa_num,0)),"Facture inconnue",IF(AND(B1555&lt;&gt;"",ISNA(MATCH(B1555,pr_code,0))),"Article inconnu",IF(H1555="","Désignation manquante",IF(OR(NOT(ISNUMBER(D1555)),N(D1555)&lt;=0),"Quantité invalide",IF(J1555="","Prix manquant",IF(OR(NOT(ISNUMBER(J1555)),N(J1555)&lt;0),"Prix invalide",IF(OR(AND(F1555&lt;&gt;"",NOT(ISNUMBER(F1555))),N(F1555)&lt;0,N(F1555)&gt;1),"Remise invalide",IF(K1555="","Taux de TVA manquant",IF(NOT(ISNUMBER(K1555)),"Taux de TVA invalide",IF(COUNTIF(p_rates,K1555)=0,"Taux de TVA hors liste (Paramètres)",IF(N(O1555)&gt;25,"Au-delà de 25 lignes : non imprimée","OK")))))))))))))</f>
        <v/>
      </c>
      <c r="O1555" s="59" t="str">
        <f>IF(A1555="","",COUNTIF($A$6:A1555,A1555))</f>
        <v/>
      </c>
      <c r="P1555" s="62" t="str">
        <f>IF(A1555="","",A1555&amp;"|"&amp;O1555)</f>
        <v/>
      </c>
    </row>
    <row r="1556">
      <c r="A1556" s="60" t="n"/>
      <c r="B1556" s="63" t="n"/>
      <c r="C1556" s="63" t="n"/>
      <c r="D1556" s="67" t="n"/>
      <c r="E1556" s="68" t="n"/>
      <c r="F1556" s="69" t="n"/>
      <c r="G1556" s="70" t="n"/>
      <c r="H1556" s="62" t="str">
        <f>IF(COUNTA(A1556:G1556)=0,"",IF(C1556&lt;&gt;"",C1556,IF(B1556="","",IFERROR(INDEX(pr_des,MATCH(B1556,pr_code,0))&amp;"",""))))</f>
        <v/>
      </c>
      <c r="I1556" s="59" t="str">
        <f>IF(B1556="","",IFERROR(INDEX(pr_unit,MATCH(B1556,pr_code,0))&amp;"",""))</f>
        <v/>
      </c>
      <c r="J1556" s="65" t="str">
        <f>IF(COUNTA(A1556:G1556)=0,"",IF(E1556&lt;&gt;"",E1556,IF(B1556="","",IFERROR(IF(INDEX(pr_price,MATCH(B1556,pr_code,0))="","",INDEX(pr_price,MATCH(B1556,pr_code,0))),""))))</f>
        <v/>
      </c>
      <c r="K1556" s="71" t="str">
        <f>IF(COUNTA(A1556:G1556)=0,"",IF(G1556&lt;&gt;"",G1556,IF(B1556="","",IFERROR(IF(INDEX(pr_rate,MATCH(B1556,pr_code,0))="","",INDEX(pr_rate,MATCH(B1556,pr_code,0))),""))))</f>
        <v/>
      </c>
      <c r="L1556" s="65" t="str">
        <f>IF(COUNTA(A1556:G1556)=0,"",IF(AND(ISNUMBER(D1556),ISNUMBER(J1556)),ROUND(D1556*J1556*(1-N(F1556)),2),0))</f>
        <v/>
      </c>
      <c r="M1556" s="62" t="str">
        <f>IF(A1556="","",IFERROR(INDEX(fa_cname,MATCH(A1556,fa_num,0))&amp;"",""))</f>
        <v/>
      </c>
      <c r="N1556" s="59" t="str">
        <f>IF(COUNTA(A1556:G1556)=0,"",IF(A1556="","N° facture manquant",IF(ISNA(MATCH(A1556,fa_num,0)),"Facture inconnue",IF(AND(B1556&lt;&gt;"",ISNA(MATCH(B1556,pr_code,0))),"Article inconnu",IF(H1556="","Désignation manquante",IF(OR(NOT(ISNUMBER(D1556)),N(D1556)&lt;=0),"Quantité invalide",IF(J1556="","Prix manquant",IF(OR(NOT(ISNUMBER(J1556)),N(J1556)&lt;0),"Prix invalide",IF(OR(AND(F1556&lt;&gt;"",NOT(ISNUMBER(F1556))),N(F1556)&lt;0,N(F1556)&gt;1),"Remise invalide",IF(K1556="","Taux de TVA manquant",IF(NOT(ISNUMBER(K1556)),"Taux de TVA invalide",IF(COUNTIF(p_rates,K1556)=0,"Taux de TVA hors liste (Paramètres)",IF(N(O1556)&gt;25,"Au-delà de 25 lignes : non imprimée","OK")))))))))))))</f>
        <v/>
      </c>
      <c r="O1556" s="59" t="str">
        <f>IF(A1556="","",COUNTIF($A$6:A1556,A1556))</f>
        <v/>
      </c>
      <c r="P1556" s="62" t="str">
        <f>IF(A1556="","",A1556&amp;"|"&amp;O1556)</f>
        <v/>
      </c>
    </row>
    <row r="1557">
      <c r="A1557" s="60" t="n"/>
      <c r="B1557" s="63" t="n"/>
      <c r="C1557" s="63" t="n"/>
      <c r="D1557" s="67" t="n"/>
      <c r="E1557" s="68" t="n"/>
      <c r="F1557" s="69" t="n"/>
      <c r="G1557" s="70" t="n"/>
      <c r="H1557" s="62" t="str">
        <f>IF(COUNTA(A1557:G1557)=0,"",IF(C1557&lt;&gt;"",C1557,IF(B1557="","",IFERROR(INDEX(pr_des,MATCH(B1557,pr_code,0))&amp;"",""))))</f>
        <v/>
      </c>
      <c r="I1557" s="59" t="str">
        <f>IF(B1557="","",IFERROR(INDEX(pr_unit,MATCH(B1557,pr_code,0))&amp;"",""))</f>
        <v/>
      </c>
      <c r="J1557" s="65" t="str">
        <f>IF(COUNTA(A1557:G1557)=0,"",IF(E1557&lt;&gt;"",E1557,IF(B1557="","",IFERROR(IF(INDEX(pr_price,MATCH(B1557,pr_code,0))="","",INDEX(pr_price,MATCH(B1557,pr_code,0))),""))))</f>
        <v/>
      </c>
      <c r="K1557" s="71" t="str">
        <f>IF(COUNTA(A1557:G1557)=0,"",IF(G1557&lt;&gt;"",G1557,IF(B1557="","",IFERROR(IF(INDEX(pr_rate,MATCH(B1557,pr_code,0))="","",INDEX(pr_rate,MATCH(B1557,pr_code,0))),""))))</f>
        <v/>
      </c>
      <c r="L1557" s="65" t="str">
        <f>IF(COUNTA(A1557:G1557)=0,"",IF(AND(ISNUMBER(D1557),ISNUMBER(J1557)),ROUND(D1557*J1557*(1-N(F1557)),2),0))</f>
        <v/>
      </c>
      <c r="M1557" s="62" t="str">
        <f>IF(A1557="","",IFERROR(INDEX(fa_cname,MATCH(A1557,fa_num,0))&amp;"",""))</f>
        <v/>
      </c>
      <c r="N1557" s="59" t="str">
        <f>IF(COUNTA(A1557:G1557)=0,"",IF(A1557="","N° facture manquant",IF(ISNA(MATCH(A1557,fa_num,0)),"Facture inconnue",IF(AND(B1557&lt;&gt;"",ISNA(MATCH(B1557,pr_code,0))),"Article inconnu",IF(H1557="","Désignation manquante",IF(OR(NOT(ISNUMBER(D1557)),N(D1557)&lt;=0),"Quantité invalide",IF(J1557="","Prix manquant",IF(OR(NOT(ISNUMBER(J1557)),N(J1557)&lt;0),"Prix invalide",IF(OR(AND(F1557&lt;&gt;"",NOT(ISNUMBER(F1557))),N(F1557)&lt;0,N(F1557)&gt;1),"Remise invalide",IF(K1557="","Taux de TVA manquant",IF(NOT(ISNUMBER(K1557)),"Taux de TVA invalide",IF(COUNTIF(p_rates,K1557)=0,"Taux de TVA hors liste (Paramètres)",IF(N(O1557)&gt;25,"Au-delà de 25 lignes : non imprimée","OK")))))))))))))</f>
        <v/>
      </c>
      <c r="O1557" s="59" t="str">
        <f>IF(A1557="","",COUNTIF($A$6:A1557,A1557))</f>
        <v/>
      </c>
      <c r="P1557" s="62" t="str">
        <f>IF(A1557="","",A1557&amp;"|"&amp;O1557)</f>
        <v/>
      </c>
    </row>
    <row r="1558">
      <c r="A1558" s="60" t="n"/>
      <c r="B1558" s="63" t="n"/>
      <c r="C1558" s="63" t="n"/>
      <c r="D1558" s="67" t="n"/>
      <c r="E1558" s="68" t="n"/>
      <c r="F1558" s="69" t="n"/>
      <c r="G1558" s="70" t="n"/>
      <c r="H1558" s="62" t="str">
        <f>IF(COUNTA(A1558:G1558)=0,"",IF(C1558&lt;&gt;"",C1558,IF(B1558="","",IFERROR(INDEX(pr_des,MATCH(B1558,pr_code,0))&amp;"",""))))</f>
        <v/>
      </c>
      <c r="I1558" s="59" t="str">
        <f>IF(B1558="","",IFERROR(INDEX(pr_unit,MATCH(B1558,pr_code,0))&amp;"",""))</f>
        <v/>
      </c>
      <c r="J1558" s="65" t="str">
        <f>IF(COUNTA(A1558:G1558)=0,"",IF(E1558&lt;&gt;"",E1558,IF(B1558="","",IFERROR(IF(INDEX(pr_price,MATCH(B1558,pr_code,0))="","",INDEX(pr_price,MATCH(B1558,pr_code,0))),""))))</f>
        <v/>
      </c>
      <c r="K1558" s="71" t="str">
        <f>IF(COUNTA(A1558:G1558)=0,"",IF(G1558&lt;&gt;"",G1558,IF(B1558="","",IFERROR(IF(INDEX(pr_rate,MATCH(B1558,pr_code,0))="","",INDEX(pr_rate,MATCH(B1558,pr_code,0))),""))))</f>
        <v/>
      </c>
      <c r="L1558" s="65" t="str">
        <f>IF(COUNTA(A1558:G1558)=0,"",IF(AND(ISNUMBER(D1558),ISNUMBER(J1558)),ROUND(D1558*J1558*(1-N(F1558)),2),0))</f>
        <v/>
      </c>
      <c r="M1558" s="62" t="str">
        <f>IF(A1558="","",IFERROR(INDEX(fa_cname,MATCH(A1558,fa_num,0))&amp;"",""))</f>
        <v/>
      </c>
      <c r="N1558" s="59" t="str">
        <f>IF(COUNTA(A1558:G1558)=0,"",IF(A1558="","N° facture manquant",IF(ISNA(MATCH(A1558,fa_num,0)),"Facture inconnue",IF(AND(B1558&lt;&gt;"",ISNA(MATCH(B1558,pr_code,0))),"Article inconnu",IF(H1558="","Désignation manquante",IF(OR(NOT(ISNUMBER(D1558)),N(D1558)&lt;=0),"Quantité invalide",IF(J1558="","Prix manquant",IF(OR(NOT(ISNUMBER(J1558)),N(J1558)&lt;0),"Prix invalide",IF(OR(AND(F1558&lt;&gt;"",NOT(ISNUMBER(F1558))),N(F1558)&lt;0,N(F1558)&gt;1),"Remise invalide",IF(K1558="","Taux de TVA manquant",IF(NOT(ISNUMBER(K1558)),"Taux de TVA invalide",IF(COUNTIF(p_rates,K1558)=0,"Taux de TVA hors liste (Paramètres)",IF(N(O1558)&gt;25,"Au-delà de 25 lignes : non imprimée","OK")))))))))))))</f>
        <v/>
      </c>
      <c r="O1558" s="59" t="str">
        <f>IF(A1558="","",COUNTIF($A$6:A1558,A1558))</f>
        <v/>
      </c>
      <c r="P1558" s="62" t="str">
        <f>IF(A1558="","",A1558&amp;"|"&amp;O1558)</f>
        <v/>
      </c>
    </row>
    <row r="1559">
      <c r="A1559" s="60" t="n"/>
      <c r="B1559" s="63" t="n"/>
      <c r="C1559" s="63" t="n"/>
      <c r="D1559" s="67" t="n"/>
      <c r="E1559" s="68" t="n"/>
      <c r="F1559" s="69" t="n"/>
      <c r="G1559" s="70" t="n"/>
      <c r="H1559" s="62" t="str">
        <f>IF(COUNTA(A1559:G1559)=0,"",IF(C1559&lt;&gt;"",C1559,IF(B1559="","",IFERROR(INDEX(pr_des,MATCH(B1559,pr_code,0))&amp;"",""))))</f>
        <v/>
      </c>
      <c r="I1559" s="59" t="str">
        <f>IF(B1559="","",IFERROR(INDEX(pr_unit,MATCH(B1559,pr_code,0))&amp;"",""))</f>
        <v/>
      </c>
      <c r="J1559" s="65" t="str">
        <f>IF(COUNTA(A1559:G1559)=0,"",IF(E1559&lt;&gt;"",E1559,IF(B1559="","",IFERROR(IF(INDEX(pr_price,MATCH(B1559,pr_code,0))="","",INDEX(pr_price,MATCH(B1559,pr_code,0))),""))))</f>
        <v/>
      </c>
      <c r="K1559" s="71" t="str">
        <f>IF(COUNTA(A1559:G1559)=0,"",IF(G1559&lt;&gt;"",G1559,IF(B1559="","",IFERROR(IF(INDEX(pr_rate,MATCH(B1559,pr_code,0))="","",INDEX(pr_rate,MATCH(B1559,pr_code,0))),""))))</f>
        <v/>
      </c>
      <c r="L1559" s="65" t="str">
        <f>IF(COUNTA(A1559:G1559)=0,"",IF(AND(ISNUMBER(D1559),ISNUMBER(J1559)),ROUND(D1559*J1559*(1-N(F1559)),2),0))</f>
        <v/>
      </c>
      <c r="M1559" s="62" t="str">
        <f>IF(A1559="","",IFERROR(INDEX(fa_cname,MATCH(A1559,fa_num,0))&amp;"",""))</f>
        <v/>
      </c>
      <c r="N1559" s="59" t="str">
        <f>IF(COUNTA(A1559:G1559)=0,"",IF(A1559="","N° facture manquant",IF(ISNA(MATCH(A1559,fa_num,0)),"Facture inconnue",IF(AND(B1559&lt;&gt;"",ISNA(MATCH(B1559,pr_code,0))),"Article inconnu",IF(H1559="","Désignation manquante",IF(OR(NOT(ISNUMBER(D1559)),N(D1559)&lt;=0),"Quantité invalide",IF(J1559="","Prix manquant",IF(OR(NOT(ISNUMBER(J1559)),N(J1559)&lt;0),"Prix invalide",IF(OR(AND(F1559&lt;&gt;"",NOT(ISNUMBER(F1559))),N(F1559)&lt;0,N(F1559)&gt;1),"Remise invalide",IF(K1559="","Taux de TVA manquant",IF(NOT(ISNUMBER(K1559)),"Taux de TVA invalide",IF(COUNTIF(p_rates,K1559)=0,"Taux de TVA hors liste (Paramètres)",IF(N(O1559)&gt;25,"Au-delà de 25 lignes : non imprimée","OK")))))))))))))</f>
        <v/>
      </c>
      <c r="O1559" s="59" t="str">
        <f>IF(A1559="","",COUNTIF($A$6:A1559,A1559))</f>
        <v/>
      </c>
      <c r="P1559" s="62" t="str">
        <f>IF(A1559="","",A1559&amp;"|"&amp;O1559)</f>
        <v/>
      </c>
    </row>
    <row r="1560">
      <c r="A1560" s="60" t="n"/>
      <c r="B1560" s="63" t="n"/>
      <c r="C1560" s="63" t="n"/>
      <c r="D1560" s="67" t="n"/>
      <c r="E1560" s="68" t="n"/>
      <c r="F1560" s="69" t="n"/>
      <c r="G1560" s="70" t="n"/>
      <c r="H1560" s="62" t="str">
        <f>IF(COUNTA(A1560:G1560)=0,"",IF(C1560&lt;&gt;"",C1560,IF(B1560="","",IFERROR(INDEX(pr_des,MATCH(B1560,pr_code,0))&amp;"",""))))</f>
        <v/>
      </c>
      <c r="I1560" s="59" t="str">
        <f>IF(B1560="","",IFERROR(INDEX(pr_unit,MATCH(B1560,pr_code,0))&amp;"",""))</f>
        <v/>
      </c>
      <c r="J1560" s="65" t="str">
        <f>IF(COUNTA(A1560:G1560)=0,"",IF(E1560&lt;&gt;"",E1560,IF(B1560="","",IFERROR(IF(INDEX(pr_price,MATCH(B1560,pr_code,0))="","",INDEX(pr_price,MATCH(B1560,pr_code,0))),""))))</f>
        <v/>
      </c>
      <c r="K1560" s="71" t="str">
        <f>IF(COUNTA(A1560:G1560)=0,"",IF(G1560&lt;&gt;"",G1560,IF(B1560="","",IFERROR(IF(INDEX(pr_rate,MATCH(B1560,pr_code,0))="","",INDEX(pr_rate,MATCH(B1560,pr_code,0))),""))))</f>
        <v/>
      </c>
      <c r="L1560" s="65" t="str">
        <f>IF(COUNTA(A1560:G1560)=0,"",IF(AND(ISNUMBER(D1560),ISNUMBER(J1560)),ROUND(D1560*J1560*(1-N(F1560)),2),0))</f>
        <v/>
      </c>
      <c r="M1560" s="62" t="str">
        <f>IF(A1560="","",IFERROR(INDEX(fa_cname,MATCH(A1560,fa_num,0))&amp;"",""))</f>
        <v/>
      </c>
      <c r="N1560" s="59" t="str">
        <f>IF(COUNTA(A1560:G1560)=0,"",IF(A1560="","N° facture manquant",IF(ISNA(MATCH(A1560,fa_num,0)),"Facture inconnue",IF(AND(B1560&lt;&gt;"",ISNA(MATCH(B1560,pr_code,0))),"Article inconnu",IF(H1560="","Désignation manquante",IF(OR(NOT(ISNUMBER(D1560)),N(D1560)&lt;=0),"Quantité invalide",IF(J1560="","Prix manquant",IF(OR(NOT(ISNUMBER(J1560)),N(J1560)&lt;0),"Prix invalide",IF(OR(AND(F1560&lt;&gt;"",NOT(ISNUMBER(F1560))),N(F1560)&lt;0,N(F1560)&gt;1),"Remise invalide",IF(K1560="","Taux de TVA manquant",IF(NOT(ISNUMBER(K1560)),"Taux de TVA invalide",IF(COUNTIF(p_rates,K1560)=0,"Taux de TVA hors liste (Paramètres)",IF(N(O1560)&gt;25,"Au-delà de 25 lignes : non imprimée","OK")))))))))))))</f>
        <v/>
      </c>
      <c r="O1560" s="59" t="str">
        <f>IF(A1560="","",COUNTIF($A$6:A1560,A1560))</f>
        <v/>
      </c>
      <c r="P1560" s="62" t="str">
        <f>IF(A1560="","",A1560&amp;"|"&amp;O1560)</f>
        <v/>
      </c>
    </row>
    <row r="1561">
      <c r="A1561" s="60" t="n"/>
      <c r="B1561" s="63" t="n"/>
      <c r="C1561" s="63" t="n"/>
      <c r="D1561" s="67" t="n"/>
      <c r="E1561" s="68" t="n"/>
      <c r="F1561" s="69" t="n"/>
      <c r="G1561" s="70" t="n"/>
      <c r="H1561" s="62" t="str">
        <f>IF(COUNTA(A1561:G1561)=0,"",IF(C1561&lt;&gt;"",C1561,IF(B1561="","",IFERROR(INDEX(pr_des,MATCH(B1561,pr_code,0))&amp;"",""))))</f>
        <v/>
      </c>
      <c r="I1561" s="59" t="str">
        <f>IF(B1561="","",IFERROR(INDEX(pr_unit,MATCH(B1561,pr_code,0))&amp;"",""))</f>
        <v/>
      </c>
      <c r="J1561" s="65" t="str">
        <f>IF(COUNTA(A1561:G1561)=0,"",IF(E1561&lt;&gt;"",E1561,IF(B1561="","",IFERROR(IF(INDEX(pr_price,MATCH(B1561,pr_code,0))="","",INDEX(pr_price,MATCH(B1561,pr_code,0))),""))))</f>
        <v/>
      </c>
      <c r="K1561" s="71" t="str">
        <f>IF(COUNTA(A1561:G1561)=0,"",IF(G1561&lt;&gt;"",G1561,IF(B1561="","",IFERROR(IF(INDEX(pr_rate,MATCH(B1561,pr_code,0))="","",INDEX(pr_rate,MATCH(B1561,pr_code,0))),""))))</f>
        <v/>
      </c>
      <c r="L1561" s="65" t="str">
        <f>IF(COUNTA(A1561:G1561)=0,"",IF(AND(ISNUMBER(D1561),ISNUMBER(J1561)),ROUND(D1561*J1561*(1-N(F1561)),2),0))</f>
        <v/>
      </c>
      <c r="M1561" s="62" t="str">
        <f>IF(A1561="","",IFERROR(INDEX(fa_cname,MATCH(A1561,fa_num,0))&amp;"",""))</f>
        <v/>
      </c>
      <c r="N1561" s="59" t="str">
        <f>IF(COUNTA(A1561:G1561)=0,"",IF(A1561="","N° facture manquant",IF(ISNA(MATCH(A1561,fa_num,0)),"Facture inconnue",IF(AND(B1561&lt;&gt;"",ISNA(MATCH(B1561,pr_code,0))),"Article inconnu",IF(H1561="","Désignation manquante",IF(OR(NOT(ISNUMBER(D1561)),N(D1561)&lt;=0),"Quantité invalide",IF(J1561="","Prix manquant",IF(OR(NOT(ISNUMBER(J1561)),N(J1561)&lt;0),"Prix invalide",IF(OR(AND(F1561&lt;&gt;"",NOT(ISNUMBER(F1561))),N(F1561)&lt;0,N(F1561)&gt;1),"Remise invalide",IF(K1561="","Taux de TVA manquant",IF(NOT(ISNUMBER(K1561)),"Taux de TVA invalide",IF(COUNTIF(p_rates,K1561)=0,"Taux de TVA hors liste (Paramètres)",IF(N(O1561)&gt;25,"Au-delà de 25 lignes : non imprimée","OK")))))))))))))</f>
        <v/>
      </c>
      <c r="O1561" s="59" t="str">
        <f>IF(A1561="","",COUNTIF($A$6:A1561,A1561))</f>
        <v/>
      </c>
      <c r="P1561" s="62" t="str">
        <f>IF(A1561="","",A1561&amp;"|"&amp;O1561)</f>
        <v/>
      </c>
    </row>
    <row r="1562">
      <c r="A1562" s="60" t="n"/>
      <c r="B1562" s="63" t="n"/>
      <c r="C1562" s="63" t="n"/>
      <c r="D1562" s="67" t="n"/>
      <c r="E1562" s="68" t="n"/>
      <c r="F1562" s="69" t="n"/>
      <c r="G1562" s="70" t="n"/>
      <c r="H1562" s="62" t="str">
        <f>IF(COUNTA(A1562:G1562)=0,"",IF(C1562&lt;&gt;"",C1562,IF(B1562="","",IFERROR(INDEX(pr_des,MATCH(B1562,pr_code,0))&amp;"",""))))</f>
        <v/>
      </c>
      <c r="I1562" s="59" t="str">
        <f>IF(B1562="","",IFERROR(INDEX(pr_unit,MATCH(B1562,pr_code,0))&amp;"",""))</f>
        <v/>
      </c>
      <c r="J1562" s="65" t="str">
        <f>IF(COUNTA(A1562:G1562)=0,"",IF(E1562&lt;&gt;"",E1562,IF(B1562="","",IFERROR(IF(INDEX(pr_price,MATCH(B1562,pr_code,0))="","",INDEX(pr_price,MATCH(B1562,pr_code,0))),""))))</f>
        <v/>
      </c>
      <c r="K1562" s="71" t="str">
        <f>IF(COUNTA(A1562:G1562)=0,"",IF(G1562&lt;&gt;"",G1562,IF(B1562="","",IFERROR(IF(INDEX(pr_rate,MATCH(B1562,pr_code,0))="","",INDEX(pr_rate,MATCH(B1562,pr_code,0))),""))))</f>
        <v/>
      </c>
      <c r="L1562" s="65" t="str">
        <f>IF(COUNTA(A1562:G1562)=0,"",IF(AND(ISNUMBER(D1562),ISNUMBER(J1562)),ROUND(D1562*J1562*(1-N(F1562)),2),0))</f>
        <v/>
      </c>
      <c r="M1562" s="62" t="str">
        <f>IF(A1562="","",IFERROR(INDEX(fa_cname,MATCH(A1562,fa_num,0))&amp;"",""))</f>
        <v/>
      </c>
      <c r="N1562" s="59" t="str">
        <f>IF(COUNTA(A1562:G1562)=0,"",IF(A1562="","N° facture manquant",IF(ISNA(MATCH(A1562,fa_num,0)),"Facture inconnue",IF(AND(B1562&lt;&gt;"",ISNA(MATCH(B1562,pr_code,0))),"Article inconnu",IF(H1562="","Désignation manquante",IF(OR(NOT(ISNUMBER(D1562)),N(D1562)&lt;=0),"Quantité invalide",IF(J1562="","Prix manquant",IF(OR(NOT(ISNUMBER(J1562)),N(J1562)&lt;0),"Prix invalide",IF(OR(AND(F1562&lt;&gt;"",NOT(ISNUMBER(F1562))),N(F1562)&lt;0,N(F1562)&gt;1),"Remise invalide",IF(K1562="","Taux de TVA manquant",IF(NOT(ISNUMBER(K1562)),"Taux de TVA invalide",IF(COUNTIF(p_rates,K1562)=0,"Taux de TVA hors liste (Paramètres)",IF(N(O1562)&gt;25,"Au-delà de 25 lignes : non imprimée","OK")))))))))))))</f>
        <v/>
      </c>
      <c r="O1562" s="59" t="str">
        <f>IF(A1562="","",COUNTIF($A$6:A1562,A1562))</f>
        <v/>
      </c>
      <c r="P1562" s="62" t="str">
        <f>IF(A1562="","",A1562&amp;"|"&amp;O1562)</f>
        <v/>
      </c>
    </row>
    <row r="1563">
      <c r="A1563" s="60" t="n"/>
      <c r="B1563" s="63" t="n"/>
      <c r="C1563" s="63" t="n"/>
      <c r="D1563" s="67" t="n"/>
      <c r="E1563" s="68" t="n"/>
      <c r="F1563" s="69" t="n"/>
      <c r="G1563" s="70" t="n"/>
      <c r="H1563" s="62" t="str">
        <f>IF(COUNTA(A1563:G1563)=0,"",IF(C1563&lt;&gt;"",C1563,IF(B1563="","",IFERROR(INDEX(pr_des,MATCH(B1563,pr_code,0))&amp;"",""))))</f>
        <v/>
      </c>
      <c r="I1563" s="59" t="str">
        <f>IF(B1563="","",IFERROR(INDEX(pr_unit,MATCH(B1563,pr_code,0))&amp;"",""))</f>
        <v/>
      </c>
      <c r="J1563" s="65" t="str">
        <f>IF(COUNTA(A1563:G1563)=0,"",IF(E1563&lt;&gt;"",E1563,IF(B1563="","",IFERROR(IF(INDEX(pr_price,MATCH(B1563,pr_code,0))="","",INDEX(pr_price,MATCH(B1563,pr_code,0))),""))))</f>
        <v/>
      </c>
      <c r="K1563" s="71" t="str">
        <f>IF(COUNTA(A1563:G1563)=0,"",IF(G1563&lt;&gt;"",G1563,IF(B1563="","",IFERROR(IF(INDEX(pr_rate,MATCH(B1563,pr_code,0))="","",INDEX(pr_rate,MATCH(B1563,pr_code,0))),""))))</f>
        <v/>
      </c>
      <c r="L1563" s="65" t="str">
        <f>IF(COUNTA(A1563:G1563)=0,"",IF(AND(ISNUMBER(D1563),ISNUMBER(J1563)),ROUND(D1563*J1563*(1-N(F1563)),2),0))</f>
        <v/>
      </c>
      <c r="M1563" s="62" t="str">
        <f>IF(A1563="","",IFERROR(INDEX(fa_cname,MATCH(A1563,fa_num,0))&amp;"",""))</f>
        <v/>
      </c>
      <c r="N1563" s="59" t="str">
        <f>IF(COUNTA(A1563:G1563)=0,"",IF(A1563="","N° facture manquant",IF(ISNA(MATCH(A1563,fa_num,0)),"Facture inconnue",IF(AND(B1563&lt;&gt;"",ISNA(MATCH(B1563,pr_code,0))),"Article inconnu",IF(H1563="","Désignation manquante",IF(OR(NOT(ISNUMBER(D1563)),N(D1563)&lt;=0),"Quantité invalide",IF(J1563="","Prix manquant",IF(OR(NOT(ISNUMBER(J1563)),N(J1563)&lt;0),"Prix invalide",IF(OR(AND(F1563&lt;&gt;"",NOT(ISNUMBER(F1563))),N(F1563)&lt;0,N(F1563)&gt;1),"Remise invalide",IF(K1563="","Taux de TVA manquant",IF(NOT(ISNUMBER(K1563)),"Taux de TVA invalide",IF(COUNTIF(p_rates,K1563)=0,"Taux de TVA hors liste (Paramètres)",IF(N(O1563)&gt;25,"Au-delà de 25 lignes : non imprimée","OK")))))))))))))</f>
        <v/>
      </c>
      <c r="O1563" s="59" t="str">
        <f>IF(A1563="","",COUNTIF($A$6:A1563,A1563))</f>
        <v/>
      </c>
      <c r="P1563" s="62" t="str">
        <f>IF(A1563="","",A1563&amp;"|"&amp;O1563)</f>
        <v/>
      </c>
    </row>
    <row r="1564">
      <c r="A1564" s="60" t="n"/>
      <c r="B1564" s="63" t="n"/>
      <c r="C1564" s="63" t="n"/>
      <c r="D1564" s="67" t="n"/>
      <c r="E1564" s="68" t="n"/>
      <c r="F1564" s="69" t="n"/>
      <c r="G1564" s="70" t="n"/>
      <c r="H1564" s="62" t="str">
        <f>IF(COUNTA(A1564:G1564)=0,"",IF(C1564&lt;&gt;"",C1564,IF(B1564="","",IFERROR(INDEX(pr_des,MATCH(B1564,pr_code,0))&amp;"",""))))</f>
        <v/>
      </c>
      <c r="I1564" s="59" t="str">
        <f>IF(B1564="","",IFERROR(INDEX(pr_unit,MATCH(B1564,pr_code,0))&amp;"",""))</f>
        <v/>
      </c>
      <c r="J1564" s="65" t="str">
        <f>IF(COUNTA(A1564:G1564)=0,"",IF(E1564&lt;&gt;"",E1564,IF(B1564="","",IFERROR(IF(INDEX(pr_price,MATCH(B1564,pr_code,0))="","",INDEX(pr_price,MATCH(B1564,pr_code,0))),""))))</f>
        <v/>
      </c>
      <c r="K1564" s="71" t="str">
        <f>IF(COUNTA(A1564:G1564)=0,"",IF(G1564&lt;&gt;"",G1564,IF(B1564="","",IFERROR(IF(INDEX(pr_rate,MATCH(B1564,pr_code,0))="","",INDEX(pr_rate,MATCH(B1564,pr_code,0))),""))))</f>
        <v/>
      </c>
      <c r="L1564" s="65" t="str">
        <f>IF(COUNTA(A1564:G1564)=0,"",IF(AND(ISNUMBER(D1564),ISNUMBER(J1564)),ROUND(D1564*J1564*(1-N(F1564)),2),0))</f>
        <v/>
      </c>
      <c r="M1564" s="62" t="str">
        <f>IF(A1564="","",IFERROR(INDEX(fa_cname,MATCH(A1564,fa_num,0))&amp;"",""))</f>
        <v/>
      </c>
      <c r="N1564" s="59" t="str">
        <f>IF(COUNTA(A1564:G1564)=0,"",IF(A1564="","N° facture manquant",IF(ISNA(MATCH(A1564,fa_num,0)),"Facture inconnue",IF(AND(B1564&lt;&gt;"",ISNA(MATCH(B1564,pr_code,0))),"Article inconnu",IF(H1564="","Désignation manquante",IF(OR(NOT(ISNUMBER(D1564)),N(D1564)&lt;=0),"Quantité invalide",IF(J1564="","Prix manquant",IF(OR(NOT(ISNUMBER(J1564)),N(J1564)&lt;0),"Prix invalide",IF(OR(AND(F1564&lt;&gt;"",NOT(ISNUMBER(F1564))),N(F1564)&lt;0,N(F1564)&gt;1),"Remise invalide",IF(K1564="","Taux de TVA manquant",IF(NOT(ISNUMBER(K1564)),"Taux de TVA invalide",IF(COUNTIF(p_rates,K1564)=0,"Taux de TVA hors liste (Paramètres)",IF(N(O1564)&gt;25,"Au-delà de 25 lignes : non imprimée","OK")))))))))))))</f>
        <v/>
      </c>
      <c r="O1564" s="59" t="str">
        <f>IF(A1564="","",COUNTIF($A$6:A1564,A1564))</f>
        <v/>
      </c>
      <c r="P1564" s="62" t="str">
        <f>IF(A1564="","",A1564&amp;"|"&amp;O1564)</f>
        <v/>
      </c>
    </row>
    <row r="1565">
      <c r="A1565" s="60" t="n"/>
      <c r="B1565" s="63" t="n"/>
      <c r="C1565" s="63" t="n"/>
      <c r="D1565" s="67" t="n"/>
      <c r="E1565" s="68" t="n"/>
      <c r="F1565" s="69" t="n"/>
      <c r="G1565" s="70" t="n"/>
      <c r="H1565" s="62" t="str">
        <f>IF(COUNTA(A1565:G1565)=0,"",IF(C1565&lt;&gt;"",C1565,IF(B1565="","",IFERROR(INDEX(pr_des,MATCH(B1565,pr_code,0))&amp;"",""))))</f>
        <v/>
      </c>
      <c r="I1565" s="59" t="str">
        <f>IF(B1565="","",IFERROR(INDEX(pr_unit,MATCH(B1565,pr_code,0))&amp;"",""))</f>
        <v/>
      </c>
      <c r="J1565" s="65" t="str">
        <f>IF(COUNTA(A1565:G1565)=0,"",IF(E1565&lt;&gt;"",E1565,IF(B1565="","",IFERROR(IF(INDEX(pr_price,MATCH(B1565,pr_code,0))="","",INDEX(pr_price,MATCH(B1565,pr_code,0))),""))))</f>
        <v/>
      </c>
      <c r="K1565" s="71" t="str">
        <f>IF(COUNTA(A1565:G1565)=0,"",IF(G1565&lt;&gt;"",G1565,IF(B1565="","",IFERROR(IF(INDEX(pr_rate,MATCH(B1565,pr_code,0))="","",INDEX(pr_rate,MATCH(B1565,pr_code,0))),""))))</f>
        <v/>
      </c>
      <c r="L1565" s="65" t="str">
        <f>IF(COUNTA(A1565:G1565)=0,"",IF(AND(ISNUMBER(D1565),ISNUMBER(J1565)),ROUND(D1565*J1565*(1-N(F1565)),2),0))</f>
        <v/>
      </c>
      <c r="M1565" s="62" t="str">
        <f>IF(A1565="","",IFERROR(INDEX(fa_cname,MATCH(A1565,fa_num,0))&amp;"",""))</f>
        <v/>
      </c>
      <c r="N1565" s="59" t="str">
        <f>IF(COUNTA(A1565:G1565)=0,"",IF(A1565="","N° facture manquant",IF(ISNA(MATCH(A1565,fa_num,0)),"Facture inconnue",IF(AND(B1565&lt;&gt;"",ISNA(MATCH(B1565,pr_code,0))),"Article inconnu",IF(H1565="","Désignation manquante",IF(OR(NOT(ISNUMBER(D1565)),N(D1565)&lt;=0),"Quantité invalide",IF(J1565="","Prix manquant",IF(OR(NOT(ISNUMBER(J1565)),N(J1565)&lt;0),"Prix invalide",IF(OR(AND(F1565&lt;&gt;"",NOT(ISNUMBER(F1565))),N(F1565)&lt;0,N(F1565)&gt;1),"Remise invalide",IF(K1565="","Taux de TVA manquant",IF(NOT(ISNUMBER(K1565)),"Taux de TVA invalide",IF(COUNTIF(p_rates,K1565)=0,"Taux de TVA hors liste (Paramètres)",IF(N(O1565)&gt;25,"Au-delà de 25 lignes : non imprimée","OK")))))))))))))</f>
        <v/>
      </c>
      <c r="O1565" s="59" t="str">
        <f>IF(A1565="","",COUNTIF($A$6:A1565,A1565))</f>
        <v/>
      </c>
      <c r="P1565" s="62" t="str">
        <f>IF(A1565="","",A1565&amp;"|"&amp;O1565)</f>
        <v/>
      </c>
    </row>
    <row r="1566">
      <c r="A1566" s="60" t="n"/>
      <c r="B1566" s="63" t="n"/>
      <c r="C1566" s="63" t="n"/>
      <c r="D1566" s="67" t="n"/>
      <c r="E1566" s="68" t="n"/>
      <c r="F1566" s="69" t="n"/>
      <c r="G1566" s="70" t="n"/>
      <c r="H1566" s="62" t="str">
        <f>IF(COUNTA(A1566:G1566)=0,"",IF(C1566&lt;&gt;"",C1566,IF(B1566="","",IFERROR(INDEX(pr_des,MATCH(B1566,pr_code,0))&amp;"",""))))</f>
        <v/>
      </c>
      <c r="I1566" s="59" t="str">
        <f>IF(B1566="","",IFERROR(INDEX(pr_unit,MATCH(B1566,pr_code,0))&amp;"",""))</f>
        <v/>
      </c>
      <c r="J1566" s="65" t="str">
        <f>IF(COUNTA(A1566:G1566)=0,"",IF(E1566&lt;&gt;"",E1566,IF(B1566="","",IFERROR(IF(INDEX(pr_price,MATCH(B1566,pr_code,0))="","",INDEX(pr_price,MATCH(B1566,pr_code,0))),""))))</f>
        <v/>
      </c>
      <c r="K1566" s="71" t="str">
        <f>IF(COUNTA(A1566:G1566)=0,"",IF(G1566&lt;&gt;"",G1566,IF(B1566="","",IFERROR(IF(INDEX(pr_rate,MATCH(B1566,pr_code,0))="","",INDEX(pr_rate,MATCH(B1566,pr_code,0))),""))))</f>
        <v/>
      </c>
      <c r="L1566" s="65" t="str">
        <f>IF(COUNTA(A1566:G1566)=0,"",IF(AND(ISNUMBER(D1566),ISNUMBER(J1566)),ROUND(D1566*J1566*(1-N(F1566)),2),0))</f>
        <v/>
      </c>
      <c r="M1566" s="62" t="str">
        <f>IF(A1566="","",IFERROR(INDEX(fa_cname,MATCH(A1566,fa_num,0))&amp;"",""))</f>
        <v/>
      </c>
      <c r="N1566" s="59" t="str">
        <f>IF(COUNTA(A1566:G1566)=0,"",IF(A1566="","N° facture manquant",IF(ISNA(MATCH(A1566,fa_num,0)),"Facture inconnue",IF(AND(B1566&lt;&gt;"",ISNA(MATCH(B1566,pr_code,0))),"Article inconnu",IF(H1566="","Désignation manquante",IF(OR(NOT(ISNUMBER(D1566)),N(D1566)&lt;=0),"Quantité invalide",IF(J1566="","Prix manquant",IF(OR(NOT(ISNUMBER(J1566)),N(J1566)&lt;0),"Prix invalide",IF(OR(AND(F1566&lt;&gt;"",NOT(ISNUMBER(F1566))),N(F1566)&lt;0,N(F1566)&gt;1),"Remise invalide",IF(K1566="","Taux de TVA manquant",IF(NOT(ISNUMBER(K1566)),"Taux de TVA invalide",IF(COUNTIF(p_rates,K1566)=0,"Taux de TVA hors liste (Paramètres)",IF(N(O1566)&gt;25,"Au-delà de 25 lignes : non imprimée","OK")))))))))))))</f>
        <v/>
      </c>
      <c r="O1566" s="59" t="str">
        <f>IF(A1566="","",COUNTIF($A$6:A1566,A1566))</f>
        <v/>
      </c>
      <c r="P1566" s="62" t="str">
        <f>IF(A1566="","",A1566&amp;"|"&amp;O1566)</f>
        <v/>
      </c>
    </row>
    <row r="1567">
      <c r="A1567" s="60" t="n"/>
      <c r="B1567" s="63" t="n"/>
      <c r="C1567" s="63" t="n"/>
      <c r="D1567" s="67" t="n"/>
      <c r="E1567" s="68" t="n"/>
      <c r="F1567" s="69" t="n"/>
      <c r="G1567" s="70" t="n"/>
      <c r="H1567" s="62" t="str">
        <f>IF(COUNTA(A1567:G1567)=0,"",IF(C1567&lt;&gt;"",C1567,IF(B1567="","",IFERROR(INDEX(pr_des,MATCH(B1567,pr_code,0))&amp;"",""))))</f>
        <v/>
      </c>
      <c r="I1567" s="59" t="str">
        <f>IF(B1567="","",IFERROR(INDEX(pr_unit,MATCH(B1567,pr_code,0))&amp;"",""))</f>
        <v/>
      </c>
      <c r="J1567" s="65" t="str">
        <f>IF(COUNTA(A1567:G1567)=0,"",IF(E1567&lt;&gt;"",E1567,IF(B1567="","",IFERROR(IF(INDEX(pr_price,MATCH(B1567,pr_code,0))="","",INDEX(pr_price,MATCH(B1567,pr_code,0))),""))))</f>
        <v/>
      </c>
      <c r="K1567" s="71" t="str">
        <f>IF(COUNTA(A1567:G1567)=0,"",IF(G1567&lt;&gt;"",G1567,IF(B1567="","",IFERROR(IF(INDEX(pr_rate,MATCH(B1567,pr_code,0))="","",INDEX(pr_rate,MATCH(B1567,pr_code,0))),""))))</f>
        <v/>
      </c>
      <c r="L1567" s="65" t="str">
        <f>IF(COUNTA(A1567:G1567)=0,"",IF(AND(ISNUMBER(D1567),ISNUMBER(J1567)),ROUND(D1567*J1567*(1-N(F1567)),2),0))</f>
        <v/>
      </c>
      <c r="M1567" s="62" t="str">
        <f>IF(A1567="","",IFERROR(INDEX(fa_cname,MATCH(A1567,fa_num,0))&amp;"",""))</f>
        <v/>
      </c>
      <c r="N1567" s="59" t="str">
        <f>IF(COUNTA(A1567:G1567)=0,"",IF(A1567="","N° facture manquant",IF(ISNA(MATCH(A1567,fa_num,0)),"Facture inconnue",IF(AND(B1567&lt;&gt;"",ISNA(MATCH(B1567,pr_code,0))),"Article inconnu",IF(H1567="","Désignation manquante",IF(OR(NOT(ISNUMBER(D1567)),N(D1567)&lt;=0),"Quantité invalide",IF(J1567="","Prix manquant",IF(OR(NOT(ISNUMBER(J1567)),N(J1567)&lt;0),"Prix invalide",IF(OR(AND(F1567&lt;&gt;"",NOT(ISNUMBER(F1567))),N(F1567)&lt;0,N(F1567)&gt;1),"Remise invalide",IF(K1567="","Taux de TVA manquant",IF(NOT(ISNUMBER(K1567)),"Taux de TVA invalide",IF(COUNTIF(p_rates,K1567)=0,"Taux de TVA hors liste (Paramètres)",IF(N(O1567)&gt;25,"Au-delà de 25 lignes : non imprimée","OK")))))))))))))</f>
        <v/>
      </c>
      <c r="O1567" s="59" t="str">
        <f>IF(A1567="","",COUNTIF($A$6:A1567,A1567))</f>
        <v/>
      </c>
      <c r="P1567" s="62" t="str">
        <f>IF(A1567="","",A1567&amp;"|"&amp;O1567)</f>
        <v/>
      </c>
    </row>
    <row r="1568">
      <c r="A1568" s="60" t="n"/>
      <c r="B1568" s="63" t="n"/>
      <c r="C1568" s="63" t="n"/>
      <c r="D1568" s="67" t="n"/>
      <c r="E1568" s="68" t="n"/>
      <c r="F1568" s="69" t="n"/>
      <c r="G1568" s="70" t="n"/>
      <c r="H1568" s="62" t="str">
        <f>IF(COUNTA(A1568:G1568)=0,"",IF(C1568&lt;&gt;"",C1568,IF(B1568="","",IFERROR(INDEX(pr_des,MATCH(B1568,pr_code,0))&amp;"",""))))</f>
        <v/>
      </c>
      <c r="I1568" s="59" t="str">
        <f>IF(B1568="","",IFERROR(INDEX(pr_unit,MATCH(B1568,pr_code,0))&amp;"",""))</f>
        <v/>
      </c>
      <c r="J1568" s="65" t="str">
        <f>IF(COUNTA(A1568:G1568)=0,"",IF(E1568&lt;&gt;"",E1568,IF(B1568="","",IFERROR(IF(INDEX(pr_price,MATCH(B1568,pr_code,0))="","",INDEX(pr_price,MATCH(B1568,pr_code,0))),""))))</f>
        <v/>
      </c>
      <c r="K1568" s="71" t="str">
        <f>IF(COUNTA(A1568:G1568)=0,"",IF(G1568&lt;&gt;"",G1568,IF(B1568="","",IFERROR(IF(INDEX(pr_rate,MATCH(B1568,pr_code,0))="","",INDEX(pr_rate,MATCH(B1568,pr_code,0))),""))))</f>
        <v/>
      </c>
      <c r="L1568" s="65" t="str">
        <f>IF(COUNTA(A1568:G1568)=0,"",IF(AND(ISNUMBER(D1568),ISNUMBER(J1568)),ROUND(D1568*J1568*(1-N(F1568)),2),0))</f>
        <v/>
      </c>
      <c r="M1568" s="62" t="str">
        <f>IF(A1568="","",IFERROR(INDEX(fa_cname,MATCH(A1568,fa_num,0))&amp;"",""))</f>
        <v/>
      </c>
      <c r="N1568" s="59" t="str">
        <f>IF(COUNTA(A1568:G1568)=0,"",IF(A1568="","N° facture manquant",IF(ISNA(MATCH(A1568,fa_num,0)),"Facture inconnue",IF(AND(B1568&lt;&gt;"",ISNA(MATCH(B1568,pr_code,0))),"Article inconnu",IF(H1568="","Désignation manquante",IF(OR(NOT(ISNUMBER(D1568)),N(D1568)&lt;=0),"Quantité invalide",IF(J1568="","Prix manquant",IF(OR(NOT(ISNUMBER(J1568)),N(J1568)&lt;0),"Prix invalide",IF(OR(AND(F1568&lt;&gt;"",NOT(ISNUMBER(F1568))),N(F1568)&lt;0,N(F1568)&gt;1),"Remise invalide",IF(K1568="","Taux de TVA manquant",IF(NOT(ISNUMBER(K1568)),"Taux de TVA invalide",IF(COUNTIF(p_rates,K1568)=0,"Taux de TVA hors liste (Paramètres)",IF(N(O1568)&gt;25,"Au-delà de 25 lignes : non imprimée","OK")))))))))))))</f>
        <v/>
      </c>
      <c r="O1568" s="59" t="str">
        <f>IF(A1568="","",COUNTIF($A$6:A1568,A1568))</f>
        <v/>
      </c>
      <c r="P1568" s="62" t="str">
        <f>IF(A1568="","",A1568&amp;"|"&amp;O1568)</f>
        <v/>
      </c>
    </row>
    <row r="1569">
      <c r="A1569" s="60" t="n"/>
      <c r="B1569" s="63" t="n"/>
      <c r="C1569" s="63" t="n"/>
      <c r="D1569" s="67" t="n"/>
      <c r="E1569" s="68" t="n"/>
      <c r="F1569" s="69" t="n"/>
      <c r="G1569" s="70" t="n"/>
      <c r="H1569" s="62" t="str">
        <f>IF(COUNTA(A1569:G1569)=0,"",IF(C1569&lt;&gt;"",C1569,IF(B1569="","",IFERROR(INDEX(pr_des,MATCH(B1569,pr_code,0))&amp;"",""))))</f>
        <v/>
      </c>
      <c r="I1569" s="59" t="str">
        <f>IF(B1569="","",IFERROR(INDEX(pr_unit,MATCH(B1569,pr_code,0))&amp;"",""))</f>
        <v/>
      </c>
      <c r="J1569" s="65" t="str">
        <f>IF(COUNTA(A1569:G1569)=0,"",IF(E1569&lt;&gt;"",E1569,IF(B1569="","",IFERROR(IF(INDEX(pr_price,MATCH(B1569,pr_code,0))="","",INDEX(pr_price,MATCH(B1569,pr_code,0))),""))))</f>
        <v/>
      </c>
      <c r="K1569" s="71" t="str">
        <f>IF(COUNTA(A1569:G1569)=0,"",IF(G1569&lt;&gt;"",G1569,IF(B1569="","",IFERROR(IF(INDEX(pr_rate,MATCH(B1569,pr_code,0))="","",INDEX(pr_rate,MATCH(B1569,pr_code,0))),""))))</f>
        <v/>
      </c>
      <c r="L1569" s="65" t="str">
        <f>IF(COUNTA(A1569:G1569)=0,"",IF(AND(ISNUMBER(D1569),ISNUMBER(J1569)),ROUND(D1569*J1569*(1-N(F1569)),2),0))</f>
        <v/>
      </c>
      <c r="M1569" s="62" t="str">
        <f>IF(A1569="","",IFERROR(INDEX(fa_cname,MATCH(A1569,fa_num,0))&amp;"",""))</f>
        <v/>
      </c>
      <c r="N1569" s="59" t="str">
        <f>IF(COUNTA(A1569:G1569)=0,"",IF(A1569="","N° facture manquant",IF(ISNA(MATCH(A1569,fa_num,0)),"Facture inconnue",IF(AND(B1569&lt;&gt;"",ISNA(MATCH(B1569,pr_code,0))),"Article inconnu",IF(H1569="","Désignation manquante",IF(OR(NOT(ISNUMBER(D1569)),N(D1569)&lt;=0),"Quantité invalide",IF(J1569="","Prix manquant",IF(OR(NOT(ISNUMBER(J1569)),N(J1569)&lt;0),"Prix invalide",IF(OR(AND(F1569&lt;&gt;"",NOT(ISNUMBER(F1569))),N(F1569)&lt;0,N(F1569)&gt;1),"Remise invalide",IF(K1569="","Taux de TVA manquant",IF(NOT(ISNUMBER(K1569)),"Taux de TVA invalide",IF(COUNTIF(p_rates,K1569)=0,"Taux de TVA hors liste (Paramètres)",IF(N(O1569)&gt;25,"Au-delà de 25 lignes : non imprimée","OK")))))))))))))</f>
        <v/>
      </c>
      <c r="O1569" s="59" t="str">
        <f>IF(A1569="","",COUNTIF($A$6:A1569,A1569))</f>
        <v/>
      </c>
      <c r="P1569" s="62" t="str">
        <f>IF(A1569="","",A1569&amp;"|"&amp;O1569)</f>
        <v/>
      </c>
    </row>
    <row r="1570">
      <c r="A1570" s="60" t="n"/>
      <c r="B1570" s="63" t="n"/>
      <c r="C1570" s="63" t="n"/>
      <c r="D1570" s="67" t="n"/>
      <c r="E1570" s="68" t="n"/>
      <c r="F1570" s="69" t="n"/>
      <c r="G1570" s="70" t="n"/>
      <c r="H1570" s="62" t="str">
        <f>IF(COUNTA(A1570:G1570)=0,"",IF(C1570&lt;&gt;"",C1570,IF(B1570="","",IFERROR(INDEX(pr_des,MATCH(B1570,pr_code,0))&amp;"",""))))</f>
        <v/>
      </c>
      <c r="I1570" s="59" t="str">
        <f>IF(B1570="","",IFERROR(INDEX(pr_unit,MATCH(B1570,pr_code,0))&amp;"",""))</f>
        <v/>
      </c>
      <c r="J1570" s="65" t="str">
        <f>IF(COUNTA(A1570:G1570)=0,"",IF(E1570&lt;&gt;"",E1570,IF(B1570="","",IFERROR(IF(INDEX(pr_price,MATCH(B1570,pr_code,0))="","",INDEX(pr_price,MATCH(B1570,pr_code,0))),""))))</f>
        <v/>
      </c>
      <c r="K1570" s="71" t="str">
        <f>IF(COUNTA(A1570:G1570)=0,"",IF(G1570&lt;&gt;"",G1570,IF(B1570="","",IFERROR(IF(INDEX(pr_rate,MATCH(B1570,pr_code,0))="","",INDEX(pr_rate,MATCH(B1570,pr_code,0))),""))))</f>
        <v/>
      </c>
      <c r="L1570" s="65" t="str">
        <f>IF(COUNTA(A1570:G1570)=0,"",IF(AND(ISNUMBER(D1570),ISNUMBER(J1570)),ROUND(D1570*J1570*(1-N(F1570)),2),0))</f>
        <v/>
      </c>
      <c r="M1570" s="62" t="str">
        <f>IF(A1570="","",IFERROR(INDEX(fa_cname,MATCH(A1570,fa_num,0))&amp;"",""))</f>
        <v/>
      </c>
      <c r="N1570" s="59" t="str">
        <f>IF(COUNTA(A1570:G1570)=0,"",IF(A1570="","N° facture manquant",IF(ISNA(MATCH(A1570,fa_num,0)),"Facture inconnue",IF(AND(B1570&lt;&gt;"",ISNA(MATCH(B1570,pr_code,0))),"Article inconnu",IF(H1570="","Désignation manquante",IF(OR(NOT(ISNUMBER(D1570)),N(D1570)&lt;=0),"Quantité invalide",IF(J1570="","Prix manquant",IF(OR(NOT(ISNUMBER(J1570)),N(J1570)&lt;0),"Prix invalide",IF(OR(AND(F1570&lt;&gt;"",NOT(ISNUMBER(F1570))),N(F1570)&lt;0,N(F1570)&gt;1),"Remise invalide",IF(K1570="","Taux de TVA manquant",IF(NOT(ISNUMBER(K1570)),"Taux de TVA invalide",IF(COUNTIF(p_rates,K1570)=0,"Taux de TVA hors liste (Paramètres)",IF(N(O1570)&gt;25,"Au-delà de 25 lignes : non imprimée","OK")))))))))))))</f>
        <v/>
      </c>
      <c r="O1570" s="59" t="str">
        <f>IF(A1570="","",COUNTIF($A$6:A1570,A1570))</f>
        <v/>
      </c>
      <c r="P1570" s="62" t="str">
        <f>IF(A1570="","",A1570&amp;"|"&amp;O1570)</f>
        <v/>
      </c>
    </row>
    <row r="1571">
      <c r="A1571" s="60" t="n"/>
      <c r="B1571" s="63" t="n"/>
      <c r="C1571" s="63" t="n"/>
      <c r="D1571" s="67" t="n"/>
      <c r="E1571" s="68" t="n"/>
      <c r="F1571" s="69" t="n"/>
      <c r="G1571" s="70" t="n"/>
      <c r="H1571" s="62" t="str">
        <f>IF(COUNTA(A1571:G1571)=0,"",IF(C1571&lt;&gt;"",C1571,IF(B1571="","",IFERROR(INDEX(pr_des,MATCH(B1571,pr_code,0))&amp;"",""))))</f>
        <v/>
      </c>
      <c r="I1571" s="59" t="str">
        <f>IF(B1571="","",IFERROR(INDEX(pr_unit,MATCH(B1571,pr_code,0))&amp;"",""))</f>
        <v/>
      </c>
      <c r="J1571" s="65" t="str">
        <f>IF(COUNTA(A1571:G1571)=0,"",IF(E1571&lt;&gt;"",E1571,IF(B1571="","",IFERROR(IF(INDEX(pr_price,MATCH(B1571,pr_code,0))="","",INDEX(pr_price,MATCH(B1571,pr_code,0))),""))))</f>
        <v/>
      </c>
      <c r="K1571" s="71" t="str">
        <f>IF(COUNTA(A1571:G1571)=0,"",IF(G1571&lt;&gt;"",G1571,IF(B1571="","",IFERROR(IF(INDEX(pr_rate,MATCH(B1571,pr_code,0))="","",INDEX(pr_rate,MATCH(B1571,pr_code,0))),""))))</f>
        <v/>
      </c>
      <c r="L1571" s="65" t="str">
        <f>IF(COUNTA(A1571:G1571)=0,"",IF(AND(ISNUMBER(D1571),ISNUMBER(J1571)),ROUND(D1571*J1571*(1-N(F1571)),2),0))</f>
        <v/>
      </c>
      <c r="M1571" s="62" t="str">
        <f>IF(A1571="","",IFERROR(INDEX(fa_cname,MATCH(A1571,fa_num,0))&amp;"",""))</f>
        <v/>
      </c>
      <c r="N1571" s="59" t="str">
        <f>IF(COUNTA(A1571:G1571)=0,"",IF(A1571="","N° facture manquant",IF(ISNA(MATCH(A1571,fa_num,0)),"Facture inconnue",IF(AND(B1571&lt;&gt;"",ISNA(MATCH(B1571,pr_code,0))),"Article inconnu",IF(H1571="","Désignation manquante",IF(OR(NOT(ISNUMBER(D1571)),N(D1571)&lt;=0),"Quantité invalide",IF(J1571="","Prix manquant",IF(OR(NOT(ISNUMBER(J1571)),N(J1571)&lt;0),"Prix invalide",IF(OR(AND(F1571&lt;&gt;"",NOT(ISNUMBER(F1571))),N(F1571)&lt;0,N(F1571)&gt;1),"Remise invalide",IF(K1571="","Taux de TVA manquant",IF(NOT(ISNUMBER(K1571)),"Taux de TVA invalide",IF(COUNTIF(p_rates,K1571)=0,"Taux de TVA hors liste (Paramètres)",IF(N(O1571)&gt;25,"Au-delà de 25 lignes : non imprimée","OK")))))))))))))</f>
        <v/>
      </c>
      <c r="O1571" s="59" t="str">
        <f>IF(A1571="","",COUNTIF($A$6:A1571,A1571))</f>
        <v/>
      </c>
      <c r="P1571" s="62" t="str">
        <f>IF(A1571="","",A1571&amp;"|"&amp;O1571)</f>
        <v/>
      </c>
    </row>
    <row r="1572">
      <c r="A1572" s="60" t="n"/>
      <c r="B1572" s="63" t="n"/>
      <c r="C1572" s="63" t="n"/>
      <c r="D1572" s="67" t="n"/>
      <c r="E1572" s="68" t="n"/>
      <c r="F1572" s="69" t="n"/>
      <c r="G1572" s="70" t="n"/>
      <c r="H1572" s="62" t="str">
        <f>IF(COUNTA(A1572:G1572)=0,"",IF(C1572&lt;&gt;"",C1572,IF(B1572="","",IFERROR(INDEX(pr_des,MATCH(B1572,pr_code,0))&amp;"",""))))</f>
        <v/>
      </c>
      <c r="I1572" s="59" t="str">
        <f>IF(B1572="","",IFERROR(INDEX(pr_unit,MATCH(B1572,pr_code,0))&amp;"",""))</f>
        <v/>
      </c>
      <c r="J1572" s="65" t="str">
        <f>IF(COUNTA(A1572:G1572)=0,"",IF(E1572&lt;&gt;"",E1572,IF(B1572="","",IFERROR(IF(INDEX(pr_price,MATCH(B1572,pr_code,0))="","",INDEX(pr_price,MATCH(B1572,pr_code,0))),""))))</f>
        <v/>
      </c>
      <c r="K1572" s="71" t="str">
        <f>IF(COUNTA(A1572:G1572)=0,"",IF(G1572&lt;&gt;"",G1572,IF(B1572="","",IFERROR(IF(INDEX(pr_rate,MATCH(B1572,pr_code,0))="","",INDEX(pr_rate,MATCH(B1572,pr_code,0))),""))))</f>
        <v/>
      </c>
      <c r="L1572" s="65" t="str">
        <f>IF(COUNTA(A1572:G1572)=0,"",IF(AND(ISNUMBER(D1572),ISNUMBER(J1572)),ROUND(D1572*J1572*(1-N(F1572)),2),0))</f>
        <v/>
      </c>
      <c r="M1572" s="62" t="str">
        <f>IF(A1572="","",IFERROR(INDEX(fa_cname,MATCH(A1572,fa_num,0))&amp;"",""))</f>
        <v/>
      </c>
      <c r="N1572" s="59" t="str">
        <f>IF(COUNTA(A1572:G1572)=0,"",IF(A1572="","N° facture manquant",IF(ISNA(MATCH(A1572,fa_num,0)),"Facture inconnue",IF(AND(B1572&lt;&gt;"",ISNA(MATCH(B1572,pr_code,0))),"Article inconnu",IF(H1572="","Désignation manquante",IF(OR(NOT(ISNUMBER(D1572)),N(D1572)&lt;=0),"Quantité invalide",IF(J1572="","Prix manquant",IF(OR(NOT(ISNUMBER(J1572)),N(J1572)&lt;0),"Prix invalide",IF(OR(AND(F1572&lt;&gt;"",NOT(ISNUMBER(F1572))),N(F1572)&lt;0,N(F1572)&gt;1),"Remise invalide",IF(K1572="","Taux de TVA manquant",IF(NOT(ISNUMBER(K1572)),"Taux de TVA invalide",IF(COUNTIF(p_rates,K1572)=0,"Taux de TVA hors liste (Paramètres)",IF(N(O1572)&gt;25,"Au-delà de 25 lignes : non imprimée","OK")))))))))))))</f>
        <v/>
      </c>
      <c r="O1572" s="59" t="str">
        <f>IF(A1572="","",COUNTIF($A$6:A1572,A1572))</f>
        <v/>
      </c>
      <c r="P1572" s="62" t="str">
        <f>IF(A1572="","",A1572&amp;"|"&amp;O1572)</f>
        <v/>
      </c>
    </row>
    <row r="1573">
      <c r="A1573" s="60" t="n"/>
      <c r="B1573" s="63" t="n"/>
      <c r="C1573" s="63" t="n"/>
      <c r="D1573" s="67" t="n"/>
      <c r="E1573" s="68" t="n"/>
      <c r="F1573" s="69" t="n"/>
      <c r="G1573" s="70" t="n"/>
      <c r="H1573" s="62" t="str">
        <f>IF(COUNTA(A1573:G1573)=0,"",IF(C1573&lt;&gt;"",C1573,IF(B1573="","",IFERROR(INDEX(pr_des,MATCH(B1573,pr_code,0))&amp;"",""))))</f>
        <v/>
      </c>
      <c r="I1573" s="59" t="str">
        <f>IF(B1573="","",IFERROR(INDEX(pr_unit,MATCH(B1573,pr_code,0))&amp;"",""))</f>
        <v/>
      </c>
      <c r="J1573" s="65" t="str">
        <f>IF(COUNTA(A1573:G1573)=0,"",IF(E1573&lt;&gt;"",E1573,IF(B1573="","",IFERROR(IF(INDEX(pr_price,MATCH(B1573,pr_code,0))="","",INDEX(pr_price,MATCH(B1573,pr_code,0))),""))))</f>
        <v/>
      </c>
      <c r="K1573" s="71" t="str">
        <f>IF(COUNTA(A1573:G1573)=0,"",IF(G1573&lt;&gt;"",G1573,IF(B1573="","",IFERROR(IF(INDEX(pr_rate,MATCH(B1573,pr_code,0))="","",INDEX(pr_rate,MATCH(B1573,pr_code,0))),""))))</f>
        <v/>
      </c>
      <c r="L1573" s="65" t="str">
        <f>IF(COUNTA(A1573:G1573)=0,"",IF(AND(ISNUMBER(D1573),ISNUMBER(J1573)),ROUND(D1573*J1573*(1-N(F1573)),2),0))</f>
        <v/>
      </c>
      <c r="M1573" s="62" t="str">
        <f>IF(A1573="","",IFERROR(INDEX(fa_cname,MATCH(A1573,fa_num,0))&amp;"",""))</f>
        <v/>
      </c>
      <c r="N1573" s="59" t="str">
        <f>IF(COUNTA(A1573:G1573)=0,"",IF(A1573="","N° facture manquant",IF(ISNA(MATCH(A1573,fa_num,0)),"Facture inconnue",IF(AND(B1573&lt;&gt;"",ISNA(MATCH(B1573,pr_code,0))),"Article inconnu",IF(H1573="","Désignation manquante",IF(OR(NOT(ISNUMBER(D1573)),N(D1573)&lt;=0),"Quantité invalide",IF(J1573="","Prix manquant",IF(OR(NOT(ISNUMBER(J1573)),N(J1573)&lt;0),"Prix invalide",IF(OR(AND(F1573&lt;&gt;"",NOT(ISNUMBER(F1573))),N(F1573)&lt;0,N(F1573)&gt;1),"Remise invalide",IF(K1573="","Taux de TVA manquant",IF(NOT(ISNUMBER(K1573)),"Taux de TVA invalide",IF(COUNTIF(p_rates,K1573)=0,"Taux de TVA hors liste (Paramètres)",IF(N(O1573)&gt;25,"Au-delà de 25 lignes : non imprimée","OK")))))))))))))</f>
        <v/>
      </c>
      <c r="O1573" s="59" t="str">
        <f>IF(A1573="","",COUNTIF($A$6:A1573,A1573))</f>
        <v/>
      </c>
      <c r="P1573" s="62" t="str">
        <f>IF(A1573="","",A1573&amp;"|"&amp;O1573)</f>
        <v/>
      </c>
    </row>
    <row r="1574">
      <c r="A1574" s="60" t="n"/>
      <c r="B1574" s="63" t="n"/>
      <c r="C1574" s="63" t="n"/>
      <c r="D1574" s="67" t="n"/>
      <c r="E1574" s="68" t="n"/>
      <c r="F1574" s="69" t="n"/>
      <c r="G1574" s="70" t="n"/>
      <c r="H1574" s="62" t="str">
        <f>IF(COUNTA(A1574:G1574)=0,"",IF(C1574&lt;&gt;"",C1574,IF(B1574="","",IFERROR(INDEX(pr_des,MATCH(B1574,pr_code,0))&amp;"",""))))</f>
        <v/>
      </c>
      <c r="I1574" s="59" t="str">
        <f>IF(B1574="","",IFERROR(INDEX(pr_unit,MATCH(B1574,pr_code,0))&amp;"",""))</f>
        <v/>
      </c>
      <c r="J1574" s="65" t="str">
        <f>IF(COUNTA(A1574:G1574)=0,"",IF(E1574&lt;&gt;"",E1574,IF(B1574="","",IFERROR(IF(INDEX(pr_price,MATCH(B1574,pr_code,0))="","",INDEX(pr_price,MATCH(B1574,pr_code,0))),""))))</f>
        <v/>
      </c>
      <c r="K1574" s="71" t="str">
        <f>IF(COUNTA(A1574:G1574)=0,"",IF(G1574&lt;&gt;"",G1574,IF(B1574="","",IFERROR(IF(INDEX(pr_rate,MATCH(B1574,pr_code,0))="","",INDEX(pr_rate,MATCH(B1574,pr_code,0))),""))))</f>
        <v/>
      </c>
      <c r="L1574" s="65" t="str">
        <f>IF(COUNTA(A1574:G1574)=0,"",IF(AND(ISNUMBER(D1574),ISNUMBER(J1574)),ROUND(D1574*J1574*(1-N(F1574)),2),0))</f>
        <v/>
      </c>
      <c r="M1574" s="62" t="str">
        <f>IF(A1574="","",IFERROR(INDEX(fa_cname,MATCH(A1574,fa_num,0))&amp;"",""))</f>
        <v/>
      </c>
      <c r="N1574" s="59" t="str">
        <f>IF(COUNTA(A1574:G1574)=0,"",IF(A1574="","N° facture manquant",IF(ISNA(MATCH(A1574,fa_num,0)),"Facture inconnue",IF(AND(B1574&lt;&gt;"",ISNA(MATCH(B1574,pr_code,0))),"Article inconnu",IF(H1574="","Désignation manquante",IF(OR(NOT(ISNUMBER(D1574)),N(D1574)&lt;=0),"Quantité invalide",IF(J1574="","Prix manquant",IF(OR(NOT(ISNUMBER(J1574)),N(J1574)&lt;0),"Prix invalide",IF(OR(AND(F1574&lt;&gt;"",NOT(ISNUMBER(F1574))),N(F1574)&lt;0,N(F1574)&gt;1),"Remise invalide",IF(K1574="","Taux de TVA manquant",IF(NOT(ISNUMBER(K1574)),"Taux de TVA invalide",IF(COUNTIF(p_rates,K1574)=0,"Taux de TVA hors liste (Paramètres)",IF(N(O1574)&gt;25,"Au-delà de 25 lignes : non imprimée","OK")))))))))))))</f>
        <v/>
      </c>
      <c r="O1574" s="59" t="str">
        <f>IF(A1574="","",COUNTIF($A$6:A1574,A1574))</f>
        <v/>
      </c>
      <c r="P1574" s="62" t="str">
        <f>IF(A1574="","",A1574&amp;"|"&amp;O1574)</f>
        <v/>
      </c>
    </row>
    <row r="1575">
      <c r="A1575" s="60" t="n"/>
      <c r="B1575" s="63" t="n"/>
      <c r="C1575" s="63" t="n"/>
      <c r="D1575" s="67" t="n"/>
      <c r="E1575" s="68" t="n"/>
      <c r="F1575" s="69" t="n"/>
      <c r="G1575" s="70" t="n"/>
      <c r="H1575" s="62" t="str">
        <f>IF(COUNTA(A1575:G1575)=0,"",IF(C1575&lt;&gt;"",C1575,IF(B1575="","",IFERROR(INDEX(pr_des,MATCH(B1575,pr_code,0))&amp;"",""))))</f>
        <v/>
      </c>
      <c r="I1575" s="59" t="str">
        <f>IF(B1575="","",IFERROR(INDEX(pr_unit,MATCH(B1575,pr_code,0))&amp;"",""))</f>
        <v/>
      </c>
      <c r="J1575" s="65" t="str">
        <f>IF(COUNTA(A1575:G1575)=0,"",IF(E1575&lt;&gt;"",E1575,IF(B1575="","",IFERROR(IF(INDEX(pr_price,MATCH(B1575,pr_code,0))="","",INDEX(pr_price,MATCH(B1575,pr_code,0))),""))))</f>
        <v/>
      </c>
      <c r="K1575" s="71" t="str">
        <f>IF(COUNTA(A1575:G1575)=0,"",IF(G1575&lt;&gt;"",G1575,IF(B1575="","",IFERROR(IF(INDEX(pr_rate,MATCH(B1575,pr_code,0))="","",INDEX(pr_rate,MATCH(B1575,pr_code,0))),""))))</f>
        <v/>
      </c>
      <c r="L1575" s="65" t="str">
        <f>IF(COUNTA(A1575:G1575)=0,"",IF(AND(ISNUMBER(D1575),ISNUMBER(J1575)),ROUND(D1575*J1575*(1-N(F1575)),2),0))</f>
        <v/>
      </c>
      <c r="M1575" s="62" t="str">
        <f>IF(A1575="","",IFERROR(INDEX(fa_cname,MATCH(A1575,fa_num,0))&amp;"",""))</f>
        <v/>
      </c>
      <c r="N1575" s="59" t="str">
        <f>IF(COUNTA(A1575:G1575)=0,"",IF(A1575="","N° facture manquant",IF(ISNA(MATCH(A1575,fa_num,0)),"Facture inconnue",IF(AND(B1575&lt;&gt;"",ISNA(MATCH(B1575,pr_code,0))),"Article inconnu",IF(H1575="","Désignation manquante",IF(OR(NOT(ISNUMBER(D1575)),N(D1575)&lt;=0),"Quantité invalide",IF(J1575="","Prix manquant",IF(OR(NOT(ISNUMBER(J1575)),N(J1575)&lt;0),"Prix invalide",IF(OR(AND(F1575&lt;&gt;"",NOT(ISNUMBER(F1575))),N(F1575)&lt;0,N(F1575)&gt;1),"Remise invalide",IF(K1575="","Taux de TVA manquant",IF(NOT(ISNUMBER(K1575)),"Taux de TVA invalide",IF(COUNTIF(p_rates,K1575)=0,"Taux de TVA hors liste (Paramètres)",IF(N(O1575)&gt;25,"Au-delà de 25 lignes : non imprimée","OK")))))))))))))</f>
        <v/>
      </c>
      <c r="O1575" s="59" t="str">
        <f>IF(A1575="","",COUNTIF($A$6:A1575,A1575))</f>
        <v/>
      </c>
      <c r="P1575" s="62" t="str">
        <f>IF(A1575="","",A1575&amp;"|"&amp;O1575)</f>
        <v/>
      </c>
    </row>
    <row r="1576">
      <c r="A1576" s="60" t="n"/>
      <c r="B1576" s="63" t="n"/>
      <c r="C1576" s="63" t="n"/>
      <c r="D1576" s="67" t="n"/>
      <c r="E1576" s="68" t="n"/>
      <c r="F1576" s="69" t="n"/>
      <c r="G1576" s="70" t="n"/>
      <c r="H1576" s="62" t="str">
        <f>IF(COUNTA(A1576:G1576)=0,"",IF(C1576&lt;&gt;"",C1576,IF(B1576="","",IFERROR(INDEX(pr_des,MATCH(B1576,pr_code,0))&amp;"",""))))</f>
        <v/>
      </c>
      <c r="I1576" s="59" t="str">
        <f>IF(B1576="","",IFERROR(INDEX(pr_unit,MATCH(B1576,pr_code,0))&amp;"",""))</f>
        <v/>
      </c>
      <c r="J1576" s="65" t="str">
        <f>IF(COUNTA(A1576:G1576)=0,"",IF(E1576&lt;&gt;"",E1576,IF(B1576="","",IFERROR(IF(INDEX(pr_price,MATCH(B1576,pr_code,0))="","",INDEX(pr_price,MATCH(B1576,pr_code,0))),""))))</f>
        <v/>
      </c>
      <c r="K1576" s="71" t="str">
        <f>IF(COUNTA(A1576:G1576)=0,"",IF(G1576&lt;&gt;"",G1576,IF(B1576="","",IFERROR(IF(INDEX(pr_rate,MATCH(B1576,pr_code,0))="","",INDEX(pr_rate,MATCH(B1576,pr_code,0))),""))))</f>
        <v/>
      </c>
      <c r="L1576" s="65" t="str">
        <f>IF(COUNTA(A1576:G1576)=0,"",IF(AND(ISNUMBER(D1576),ISNUMBER(J1576)),ROUND(D1576*J1576*(1-N(F1576)),2),0))</f>
        <v/>
      </c>
      <c r="M1576" s="62" t="str">
        <f>IF(A1576="","",IFERROR(INDEX(fa_cname,MATCH(A1576,fa_num,0))&amp;"",""))</f>
        <v/>
      </c>
      <c r="N1576" s="59" t="str">
        <f>IF(COUNTA(A1576:G1576)=0,"",IF(A1576="","N° facture manquant",IF(ISNA(MATCH(A1576,fa_num,0)),"Facture inconnue",IF(AND(B1576&lt;&gt;"",ISNA(MATCH(B1576,pr_code,0))),"Article inconnu",IF(H1576="","Désignation manquante",IF(OR(NOT(ISNUMBER(D1576)),N(D1576)&lt;=0),"Quantité invalide",IF(J1576="","Prix manquant",IF(OR(NOT(ISNUMBER(J1576)),N(J1576)&lt;0),"Prix invalide",IF(OR(AND(F1576&lt;&gt;"",NOT(ISNUMBER(F1576))),N(F1576)&lt;0,N(F1576)&gt;1),"Remise invalide",IF(K1576="","Taux de TVA manquant",IF(NOT(ISNUMBER(K1576)),"Taux de TVA invalide",IF(COUNTIF(p_rates,K1576)=0,"Taux de TVA hors liste (Paramètres)",IF(N(O1576)&gt;25,"Au-delà de 25 lignes : non imprimée","OK")))))))))))))</f>
        <v/>
      </c>
      <c r="O1576" s="59" t="str">
        <f>IF(A1576="","",COUNTIF($A$6:A1576,A1576))</f>
        <v/>
      </c>
      <c r="P1576" s="62" t="str">
        <f>IF(A1576="","",A1576&amp;"|"&amp;O1576)</f>
        <v/>
      </c>
    </row>
    <row r="1577">
      <c r="A1577" s="60" t="n"/>
      <c r="B1577" s="63" t="n"/>
      <c r="C1577" s="63" t="n"/>
      <c r="D1577" s="67" t="n"/>
      <c r="E1577" s="68" t="n"/>
      <c r="F1577" s="69" t="n"/>
      <c r="G1577" s="70" t="n"/>
      <c r="H1577" s="62" t="str">
        <f>IF(COUNTA(A1577:G1577)=0,"",IF(C1577&lt;&gt;"",C1577,IF(B1577="","",IFERROR(INDEX(pr_des,MATCH(B1577,pr_code,0))&amp;"",""))))</f>
        <v/>
      </c>
      <c r="I1577" s="59" t="str">
        <f>IF(B1577="","",IFERROR(INDEX(pr_unit,MATCH(B1577,pr_code,0))&amp;"",""))</f>
        <v/>
      </c>
      <c r="J1577" s="65" t="str">
        <f>IF(COUNTA(A1577:G1577)=0,"",IF(E1577&lt;&gt;"",E1577,IF(B1577="","",IFERROR(IF(INDEX(pr_price,MATCH(B1577,pr_code,0))="","",INDEX(pr_price,MATCH(B1577,pr_code,0))),""))))</f>
        <v/>
      </c>
      <c r="K1577" s="71" t="str">
        <f>IF(COUNTA(A1577:G1577)=0,"",IF(G1577&lt;&gt;"",G1577,IF(B1577="","",IFERROR(IF(INDEX(pr_rate,MATCH(B1577,pr_code,0))="","",INDEX(pr_rate,MATCH(B1577,pr_code,0))),""))))</f>
        <v/>
      </c>
      <c r="L1577" s="65" t="str">
        <f>IF(COUNTA(A1577:G1577)=0,"",IF(AND(ISNUMBER(D1577),ISNUMBER(J1577)),ROUND(D1577*J1577*(1-N(F1577)),2),0))</f>
        <v/>
      </c>
      <c r="M1577" s="62" t="str">
        <f>IF(A1577="","",IFERROR(INDEX(fa_cname,MATCH(A1577,fa_num,0))&amp;"",""))</f>
        <v/>
      </c>
      <c r="N1577" s="59" t="str">
        <f>IF(COUNTA(A1577:G1577)=0,"",IF(A1577="","N° facture manquant",IF(ISNA(MATCH(A1577,fa_num,0)),"Facture inconnue",IF(AND(B1577&lt;&gt;"",ISNA(MATCH(B1577,pr_code,0))),"Article inconnu",IF(H1577="","Désignation manquante",IF(OR(NOT(ISNUMBER(D1577)),N(D1577)&lt;=0),"Quantité invalide",IF(J1577="","Prix manquant",IF(OR(NOT(ISNUMBER(J1577)),N(J1577)&lt;0),"Prix invalide",IF(OR(AND(F1577&lt;&gt;"",NOT(ISNUMBER(F1577))),N(F1577)&lt;0,N(F1577)&gt;1),"Remise invalide",IF(K1577="","Taux de TVA manquant",IF(NOT(ISNUMBER(K1577)),"Taux de TVA invalide",IF(COUNTIF(p_rates,K1577)=0,"Taux de TVA hors liste (Paramètres)",IF(N(O1577)&gt;25,"Au-delà de 25 lignes : non imprimée","OK")))))))))))))</f>
        <v/>
      </c>
      <c r="O1577" s="59" t="str">
        <f>IF(A1577="","",COUNTIF($A$6:A1577,A1577))</f>
        <v/>
      </c>
      <c r="P1577" s="62" t="str">
        <f>IF(A1577="","",A1577&amp;"|"&amp;O1577)</f>
        <v/>
      </c>
    </row>
    <row r="1578">
      <c r="A1578" s="60" t="n"/>
      <c r="B1578" s="63" t="n"/>
      <c r="C1578" s="63" t="n"/>
      <c r="D1578" s="67" t="n"/>
      <c r="E1578" s="68" t="n"/>
      <c r="F1578" s="69" t="n"/>
      <c r="G1578" s="70" t="n"/>
      <c r="H1578" s="62" t="str">
        <f>IF(COUNTA(A1578:G1578)=0,"",IF(C1578&lt;&gt;"",C1578,IF(B1578="","",IFERROR(INDEX(pr_des,MATCH(B1578,pr_code,0))&amp;"",""))))</f>
        <v/>
      </c>
      <c r="I1578" s="59" t="str">
        <f>IF(B1578="","",IFERROR(INDEX(pr_unit,MATCH(B1578,pr_code,0))&amp;"",""))</f>
        <v/>
      </c>
      <c r="J1578" s="65" t="str">
        <f>IF(COUNTA(A1578:G1578)=0,"",IF(E1578&lt;&gt;"",E1578,IF(B1578="","",IFERROR(IF(INDEX(pr_price,MATCH(B1578,pr_code,0))="","",INDEX(pr_price,MATCH(B1578,pr_code,0))),""))))</f>
        <v/>
      </c>
      <c r="K1578" s="71" t="str">
        <f>IF(COUNTA(A1578:G1578)=0,"",IF(G1578&lt;&gt;"",G1578,IF(B1578="","",IFERROR(IF(INDEX(pr_rate,MATCH(B1578,pr_code,0))="","",INDEX(pr_rate,MATCH(B1578,pr_code,0))),""))))</f>
        <v/>
      </c>
      <c r="L1578" s="65" t="str">
        <f>IF(COUNTA(A1578:G1578)=0,"",IF(AND(ISNUMBER(D1578),ISNUMBER(J1578)),ROUND(D1578*J1578*(1-N(F1578)),2),0))</f>
        <v/>
      </c>
      <c r="M1578" s="62" t="str">
        <f>IF(A1578="","",IFERROR(INDEX(fa_cname,MATCH(A1578,fa_num,0))&amp;"",""))</f>
        <v/>
      </c>
      <c r="N1578" s="59" t="str">
        <f>IF(COUNTA(A1578:G1578)=0,"",IF(A1578="","N° facture manquant",IF(ISNA(MATCH(A1578,fa_num,0)),"Facture inconnue",IF(AND(B1578&lt;&gt;"",ISNA(MATCH(B1578,pr_code,0))),"Article inconnu",IF(H1578="","Désignation manquante",IF(OR(NOT(ISNUMBER(D1578)),N(D1578)&lt;=0),"Quantité invalide",IF(J1578="","Prix manquant",IF(OR(NOT(ISNUMBER(J1578)),N(J1578)&lt;0),"Prix invalide",IF(OR(AND(F1578&lt;&gt;"",NOT(ISNUMBER(F1578))),N(F1578)&lt;0,N(F1578)&gt;1),"Remise invalide",IF(K1578="","Taux de TVA manquant",IF(NOT(ISNUMBER(K1578)),"Taux de TVA invalide",IF(COUNTIF(p_rates,K1578)=0,"Taux de TVA hors liste (Paramètres)",IF(N(O1578)&gt;25,"Au-delà de 25 lignes : non imprimée","OK")))))))))))))</f>
        <v/>
      </c>
      <c r="O1578" s="59" t="str">
        <f>IF(A1578="","",COUNTIF($A$6:A1578,A1578))</f>
        <v/>
      </c>
      <c r="P1578" s="62" t="str">
        <f>IF(A1578="","",A1578&amp;"|"&amp;O1578)</f>
        <v/>
      </c>
    </row>
    <row r="1579">
      <c r="A1579" s="60" t="n"/>
      <c r="B1579" s="63" t="n"/>
      <c r="C1579" s="63" t="n"/>
      <c r="D1579" s="67" t="n"/>
      <c r="E1579" s="68" t="n"/>
      <c r="F1579" s="69" t="n"/>
      <c r="G1579" s="70" t="n"/>
      <c r="H1579" s="62" t="str">
        <f>IF(COUNTA(A1579:G1579)=0,"",IF(C1579&lt;&gt;"",C1579,IF(B1579="","",IFERROR(INDEX(pr_des,MATCH(B1579,pr_code,0))&amp;"",""))))</f>
        <v/>
      </c>
      <c r="I1579" s="59" t="str">
        <f>IF(B1579="","",IFERROR(INDEX(pr_unit,MATCH(B1579,pr_code,0))&amp;"",""))</f>
        <v/>
      </c>
      <c r="J1579" s="65" t="str">
        <f>IF(COUNTA(A1579:G1579)=0,"",IF(E1579&lt;&gt;"",E1579,IF(B1579="","",IFERROR(IF(INDEX(pr_price,MATCH(B1579,pr_code,0))="","",INDEX(pr_price,MATCH(B1579,pr_code,0))),""))))</f>
        <v/>
      </c>
      <c r="K1579" s="71" t="str">
        <f>IF(COUNTA(A1579:G1579)=0,"",IF(G1579&lt;&gt;"",G1579,IF(B1579="","",IFERROR(IF(INDEX(pr_rate,MATCH(B1579,pr_code,0))="","",INDEX(pr_rate,MATCH(B1579,pr_code,0))),""))))</f>
        <v/>
      </c>
      <c r="L1579" s="65" t="str">
        <f>IF(COUNTA(A1579:G1579)=0,"",IF(AND(ISNUMBER(D1579),ISNUMBER(J1579)),ROUND(D1579*J1579*(1-N(F1579)),2),0))</f>
        <v/>
      </c>
      <c r="M1579" s="62" t="str">
        <f>IF(A1579="","",IFERROR(INDEX(fa_cname,MATCH(A1579,fa_num,0))&amp;"",""))</f>
        <v/>
      </c>
      <c r="N1579" s="59" t="str">
        <f>IF(COUNTA(A1579:G1579)=0,"",IF(A1579="","N° facture manquant",IF(ISNA(MATCH(A1579,fa_num,0)),"Facture inconnue",IF(AND(B1579&lt;&gt;"",ISNA(MATCH(B1579,pr_code,0))),"Article inconnu",IF(H1579="","Désignation manquante",IF(OR(NOT(ISNUMBER(D1579)),N(D1579)&lt;=0),"Quantité invalide",IF(J1579="","Prix manquant",IF(OR(NOT(ISNUMBER(J1579)),N(J1579)&lt;0),"Prix invalide",IF(OR(AND(F1579&lt;&gt;"",NOT(ISNUMBER(F1579))),N(F1579)&lt;0,N(F1579)&gt;1),"Remise invalide",IF(K1579="","Taux de TVA manquant",IF(NOT(ISNUMBER(K1579)),"Taux de TVA invalide",IF(COUNTIF(p_rates,K1579)=0,"Taux de TVA hors liste (Paramètres)",IF(N(O1579)&gt;25,"Au-delà de 25 lignes : non imprimée","OK")))))))))))))</f>
        <v/>
      </c>
      <c r="O1579" s="59" t="str">
        <f>IF(A1579="","",COUNTIF($A$6:A1579,A1579))</f>
        <v/>
      </c>
      <c r="P1579" s="62" t="str">
        <f>IF(A1579="","",A1579&amp;"|"&amp;O1579)</f>
        <v/>
      </c>
    </row>
    <row r="1580">
      <c r="A1580" s="60" t="n"/>
      <c r="B1580" s="63" t="n"/>
      <c r="C1580" s="63" t="n"/>
      <c r="D1580" s="67" t="n"/>
      <c r="E1580" s="68" t="n"/>
      <c r="F1580" s="69" t="n"/>
      <c r="G1580" s="70" t="n"/>
      <c r="H1580" s="62" t="str">
        <f>IF(COUNTA(A1580:G1580)=0,"",IF(C1580&lt;&gt;"",C1580,IF(B1580="","",IFERROR(INDEX(pr_des,MATCH(B1580,pr_code,0))&amp;"",""))))</f>
        <v/>
      </c>
      <c r="I1580" s="59" t="str">
        <f>IF(B1580="","",IFERROR(INDEX(pr_unit,MATCH(B1580,pr_code,0))&amp;"",""))</f>
        <v/>
      </c>
      <c r="J1580" s="65" t="str">
        <f>IF(COUNTA(A1580:G1580)=0,"",IF(E1580&lt;&gt;"",E1580,IF(B1580="","",IFERROR(IF(INDEX(pr_price,MATCH(B1580,pr_code,0))="","",INDEX(pr_price,MATCH(B1580,pr_code,0))),""))))</f>
        <v/>
      </c>
      <c r="K1580" s="71" t="str">
        <f>IF(COUNTA(A1580:G1580)=0,"",IF(G1580&lt;&gt;"",G1580,IF(B1580="","",IFERROR(IF(INDEX(pr_rate,MATCH(B1580,pr_code,0))="","",INDEX(pr_rate,MATCH(B1580,pr_code,0))),""))))</f>
        <v/>
      </c>
      <c r="L1580" s="65" t="str">
        <f>IF(COUNTA(A1580:G1580)=0,"",IF(AND(ISNUMBER(D1580),ISNUMBER(J1580)),ROUND(D1580*J1580*(1-N(F1580)),2),0))</f>
        <v/>
      </c>
      <c r="M1580" s="62" t="str">
        <f>IF(A1580="","",IFERROR(INDEX(fa_cname,MATCH(A1580,fa_num,0))&amp;"",""))</f>
        <v/>
      </c>
      <c r="N1580" s="59" t="str">
        <f>IF(COUNTA(A1580:G1580)=0,"",IF(A1580="","N° facture manquant",IF(ISNA(MATCH(A1580,fa_num,0)),"Facture inconnue",IF(AND(B1580&lt;&gt;"",ISNA(MATCH(B1580,pr_code,0))),"Article inconnu",IF(H1580="","Désignation manquante",IF(OR(NOT(ISNUMBER(D1580)),N(D1580)&lt;=0),"Quantité invalide",IF(J1580="","Prix manquant",IF(OR(NOT(ISNUMBER(J1580)),N(J1580)&lt;0),"Prix invalide",IF(OR(AND(F1580&lt;&gt;"",NOT(ISNUMBER(F1580))),N(F1580)&lt;0,N(F1580)&gt;1),"Remise invalide",IF(K1580="","Taux de TVA manquant",IF(NOT(ISNUMBER(K1580)),"Taux de TVA invalide",IF(COUNTIF(p_rates,K1580)=0,"Taux de TVA hors liste (Paramètres)",IF(N(O1580)&gt;25,"Au-delà de 25 lignes : non imprimée","OK")))))))))))))</f>
        <v/>
      </c>
      <c r="O1580" s="59" t="str">
        <f>IF(A1580="","",COUNTIF($A$6:A1580,A1580))</f>
        <v/>
      </c>
      <c r="P1580" s="62" t="str">
        <f>IF(A1580="","",A1580&amp;"|"&amp;O1580)</f>
        <v/>
      </c>
    </row>
    <row r="1581">
      <c r="A1581" s="60" t="n"/>
      <c r="B1581" s="63" t="n"/>
      <c r="C1581" s="63" t="n"/>
      <c r="D1581" s="67" t="n"/>
      <c r="E1581" s="68" t="n"/>
      <c r="F1581" s="69" t="n"/>
      <c r="G1581" s="70" t="n"/>
      <c r="H1581" s="62" t="str">
        <f>IF(COUNTA(A1581:G1581)=0,"",IF(C1581&lt;&gt;"",C1581,IF(B1581="","",IFERROR(INDEX(pr_des,MATCH(B1581,pr_code,0))&amp;"",""))))</f>
        <v/>
      </c>
      <c r="I1581" s="59" t="str">
        <f>IF(B1581="","",IFERROR(INDEX(pr_unit,MATCH(B1581,pr_code,0))&amp;"",""))</f>
        <v/>
      </c>
      <c r="J1581" s="65" t="str">
        <f>IF(COUNTA(A1581:G1581)=0,"",IF(E1581&lt;&gt;"",E1581,IF(B1581="","",IFERROR(IF(INDEX(pr_price,MATCH(B1581,pr_code,0))="","",INDEX(pr_price,MATCH(B1581,pr_code,0))),""))))</f>
        <v/>
      </c>
      <c r="K1581" s="71" t="str">
        <f>IF(COUNTA(A1581:G1581)=0,"",IF(G1581&lt;&gt;"",G1581,IF(B1581="","",IFERROR(IF(INDEX(pr_rate,MATCH(B1581,pr_code,0))="","",INDEX(pr_rate,MATCH(B1581,pr_code,0))),""))))</f>
        <v/>
      </c>
      <c r="L1581" s="65" t="str">
        <f>IF(COUNTA(A1581:G1581)=0,"",IF(AND(ISNUMBER(D1581),ISNUMBER(J1581)),ROUND(D1581*J1581*(1-N(F1581)),2),0))</f>
        <v/>
      </c>
      <c r="M1581" s="62" t="str">
        <f>IF(A1581="","",IFERROR(INDEX(fa_cname,MATCH(A1581,fa_num,0))&amp;"",""))</f>
        <v/>
      </c>
      <c r="N1581" s="59" t="str">
        <f>IF(COUNTA(A1581:G1581)=0,"",IF(A1581="","N° facture manquant",IF(ISNA(MATCH(A1581,fa_num,0)),"Facture inconnue",IF(AND(B1581&lt;&gt;"",ISNA(MATCH(B1581,pr_code,0))),"Article inconnu",IF(H1581="","Désignation manquante",IF(OR(NOT(ISNUMBER(D1581)),N(D1581)&lt;=0),"Quantité invalide",IF(J1581="","Prix manquant",IF(OR(NOT(ISNUMBER(J1581)),N(J1581)&lt;0),"Prix invalide",IF(OR(AND(F1581&lt;&gt;"",NOT(ISNUMBER(F1581))),N(F1581)&lt;0,N(F1581)&gt;1),"Remise invalide",IF(K1581="","Taux de TVA manquant",IF(NOT(ISNUMBER(K1581)),"Taux de TVA invalide",IF(COUNTIF(p_rates,K1581)=0,"Taux de TVA hors liste (Paramètres)",IF(N(O1581)&gt;25,"Au-delà de 25 lignes : non imprimée","OK")))))))))))))</f>
        <v/>
      </c>
      <c r="O1581" s="59" t="str">
        <f>IF(A1581="","",COUNTIF($A$6:A1581,A1581))</f>
        <v/>
      </c>
      <c r="P1581" s="62" t="str">
        <f>IF(A1581="","",A1581&amp;"|"&amp;O1581)</f>
        <v/>
      </c>
    </row>
    <row r="1582">
      <c r="A1582" s="60" t="n"/>
      <c r="B1582" s="63" t="n"/>
      <c r="C1582" s="63" t="n"/>
      <c r="D1582" s="67" t="n"/>
      <c r="E1582" s="68" t="n"/>
      <c r="F1582" s="69" t="n"/>
      <c r="G1582" s="70" t="n"/>
      <c r="H1582" s="62" t="str">
        <f>IF(COUNTA(A1582:G1582)=0,"",IF(C1582&lt;&gt;"",C1582,IF(B1582="","",IFERROR(INDEX(pr_des,MATCH(B1582,pr_code,0))&amp;"",""))))</f>
        <v/>
      </c>
      <c r="I1582" s="59" t="str">
        <f>IF(B1582="","",IFERROR(INDEX(pr_unit,MATCH(B1582,pr_code,0))&amp;"",""))</f>
        <v/>
      </c>
      <c r="J1582" s="65" t="str">
        <f>IF(COUNTA(A1582:G1582)=0,"",IF(E1582&lt;&gt;"",E1582,IF(B1582="","",IFERROR(IF(INDEX(pr_price,MATCH(B1582,pr_code,0))="","",INDEX(pr_price,MATCH(B1582,pr_code,0))),""))))</f>
        <v/>
      </c>
      <c r="K1582" s="71" t="str">
        <f>IF(COUNTA(A1582:G1582)=0,"",IF(G1582&lt;&gt;"",G1582,IF(B1582="","",IFERROR(IF(INDEX(pr_rate,MATCH(B1582,pr_code,0))="","",INDEX(pr_rate,MATCH(B1582,pr_code,0))),""))))</f>
        <v/>
      </c>
      <c r="L1582" s="65" t="str">
        <f>IF(COUNTA(A1582:G1582)=0,"",IF(AND(ISNUMBER(D1582),ISNUMBER(J1582)),ROUND(D1582*J1582*(1-N(F1582)),2),0))</f>
        <v/>
      </c>
      <c r="M1582" s="62" t="str">
        <f>IF(A1582="","",IFERROR(INDEX(fa_cname,MATCH(A1582,fa_num,0))&amp;"",""))</f>
        <v/>
      </c>
      <c r="N1582" s="59" t="str">
        <f>IF(COUNTA(A1582:G1582)=0,"",IF(A1582="","N° facture manquant",IF(ISNA(MATCH(A1582,fa_num,0)),"Facture inconnue",IF(AND(B1582&lt;&gt;"",ISNA(MATCH(B1582,pr_code,0))),"Article inconnu",IF(H1582="","Désignation manquante",IF(OR(NOT(ISNUMBER(D1582)),N(D1582)&lt;=0),"Quantité invalide",IF(J1582="","Prix manquant",IF(OR(NOT(ISNUMBER(J1582)),N(J1582)&lt;0),"Prix invalide",IF(OR(AND(F1582&lt;&gt;"",NOT(ISNUMBER(F1582))),N(F1582)&lt;0,N(F1582)&gt;1),"Remise invalide",IF(K1582="","Taux de TVA manquant",IF(NOT(ISNUMBER(K1582)),"Taux de TVA invalide",IF(COUNTIF(p_rates,K1582)=0,"Taux de TVA hors liste (Paramètres)",IF(N(O1582)&gt;25,"Au-delà de 25 lignes : non imprimée","OK")))))))))))))</f>
        <v/>
      </c>
      <c r="O1582" s="59" t="str">
        <f>IF(A1582="","",COUNTIF($A$6:A1582,A1582))</f>
        <v/>
      </c>
      <c r="P1582" s="62" t="str">
        <f>IF(A1582="","",A1582&amp;"|"&amp;O1582)</f>
        <v/>
      </c>
    </row>
    <row r="1583">
      <c r="A1583" s="60" t="n"/>
      <c r="B1583" s="63" t="n"/>
      <c r="C1583" s="63" t="n"/>
      <c r="D1583" s="67" t="n"/>
      <c r="E1583" s="68" t="n"/>
      <c r="F1583" s="69" t="n"/>
      <c r="G1583" s="70" t="n"/>
      <c r="H1583" s="62" t="str">
        <f>IF(COUNTA(A1583:G1583)=0,"",IF(C1583&lt;&gt;"",C1583,IF(B1583="","",IFERROR(INDEX(pr_des,MATCH(B1583,pr_code,0))&amp;"",""))))</f>
        <v/>
      </c>
      <c r="I1583" s="59" t="str">
        <f>IF(B1583="","",IFERROR(INDEX(pr_unit,MATCH(B1583,pr_code,0))&amp;"",""))</f>
        <v/>
      </c>
      <c r="J1583" s="65" t="str">
        <f>IF(COUNTA(A1583:G1583)=0,"",IF(E1583&lt;&gt;"",E1583,IF(B1583="","",IFERROR(IF(INDEX(pr_price,MATCH(B1583,pr_code,0))="","",INDEX(pr_price,MATCH(B1583,pr_code,0))),""))))</f>
        <v/>
      </c>
      <c r="K1583" s="71" t="str">
        <f>IF(COUNTA(A1583:G1583)=0,"",IF(G1583&lt;&gt;"",G1583,IF(B1583="","",IFERROR(IF(INDEX(pr_rate,MATCH(B1583,pr_code,0))="","",INDEX(pr_rate,MATCH(B1583,pr_code,0))),""))))</f>
        <v/>
      </c>
      <c r="L1583" s="65" t="str">
        <f>IF(COUNTA(A1583:G1583)=0,"",IF(AND(ISNUMBER(D1583),ISNUMBER(J1583)),ROUND(D1583*J1583*(1-N(F1583)),2),0))</f>
        <v/>
      </c>
      <c r="M1583" s="62" t="str">
        <f>IF(A1583="","",IFERROR(INDEX(fa_cname,MATCH(A1583,fa_num,0))&amp;"",""))</f>
        <v/>
      </c>
      <c r="N1583" s="59" t="str">
        <f>IF(COUNTA(A1583:G1583)=0,"",IF(A1583="","N° facture manquant",IF(ISNA(MATCH(A1583,fa_num,0)),"Facture inconnue",IF(AND(B1583&lt;&gt;"",ISNA(MATCH(B1583,pr_code,0))),"Article inconnu",IF(H1583="","Désignation manquante",IF(OR(NOT(ISNUMBER(D1583)),N(D1583)&lt;=0),"Quantité invalide",IF(J1583="","Prix manquant",IF(OR(NOT(ISNUMBER(J1583)),N(J1583)&lt;0),"Prix invalide",IF(OR(AND(F1583&lt;&gt;"",NOT(ISNUMBER(F1583))),N(F1583)&lt;0,N(F1583)&gt;1),"Remise invalide",IF(K1583="","Taux de TVA manquant",IF(NOT(ISNUMBER(K1583)),"Taux de TVA invalide",IF(COUNTIF(p_rates,K1583)=0,"Taux de TVA hors liste (Paramètres)",IF(N(O1583)&gt;25,"Au-delà de 25 lignes : non imprimée","OK")))))))))))))</f>
        <v/>
      </c>
      <c r="O1583" s="59" t="str">
        <f>IF(A1583="","",COUNTIF($A$6:A1583,A1583))</f>
        <v/>
      </c>
      <c r="P1583" s="62" t="str">
        <f>IF(A1583="","",A1583&amp;"|"&amp;O1583)</f>
        <v/>
      </c>
    </row>
    <row r="1584">
      <c r="A1584" s="60" t="n"/>
      <c r="B1584" s="63" t="n"/>
      <c r="C1584" s="63" t="n"/>
      <c r="D1584" s="67" t="n"/>
      <c r="E1584" s="68" t="n"/>
      <c r="F1584" s="69" t="n"/>
      <c r="G1584" s="70" t="n"/>
      <c r="H1584" s="62" t="str">
        <f>IF(COUNTA(A1584:G1584)=0,"",IF(C1584&lt;&gt;"",C1584,IF(B1584="","",IFERROR(INDEX(pr_des,MATCH(B1584,pr_code,0))&amp;"",""))))</f>
        <v/>
      </c>
      <c r="I1584" s="59" t="str">
        <f>IF(B1584="","",IFERROR(INDEX(pr_unit,MATCH(B1584,pr_code,0))&amp;"",""))</f>
        <v/>
      </c>
      <c r="J1584" s="65" t="str">
        <f>IF(COUNTA(A1584:G1584)=0,"",IF(E1584&lt;&gt;"",E1584,IF(B1584="","",IFERROR(IF(INDEX(pr_price,MATCH(B1584,pr_code,0))="","",INDEX(pr_price,MATCH(B1584,pr_code,0))),""))))</f>
        <v/>
      </c>
      <c r="K1584" s="71" t="str">
        <f>IF(COUNTA(A1584:G1584)=0,"",IF(G1584&lt;&gt;"",G1584,IF(B1584="","",IFERROR(IF(INDEX(pr_rate,MATCH(B1584,pr_code,0))="","",INDEX(pr_rate,MATCH(B1584,pr_code,0))),""))))</f>
        <v/>
      </c>
      <c r="L1584" s="65" t="str">
        <f>IF(COUNTA(A1584:G1584)=0,"",IF(AND(ISNUMBER(D1584),ISNUMBER(J1584)),ROUND(D1584*J1584*(1-N(F1584)),2),0))</f>
        <v/>
      </c>
      <c r="M1584" s="62" t="str">
        <f>IF(A1584="","",IFERROR(INDEX(fa_cname,MATCH(A1584,fa_num,0))&amp;"",""))</f>
        <v/>
      </c>
      <c r="N1584" s="59" t="str">
        <f>IF(COUNTA(A1584:G1584)=0,"",IF(A1584="","N° facture manquant",IF(ISNA(MATCH(A1584,fa_num,0)),"Facture inconnue",IF(AND(B1584&lt;&gt;"",ISNA(MATCH(B1584,pr_code,0))),"Article inconnu",IF(H1584="","Désignation manquante",IF(OR(NOT(ISNUMBER(D1584)),N(D1584)&lt;=0),"Quantité invalide",IF(J1584="","Prix manquant",IF(OR(NOT(ISNUMBER(J1584)),N(J1584)&lt;0),"Prix invalide",IF(OR(AND(F1584&lt;&gt;"",NOT(ISNUMBER(F1584))),N(F1584)&lt;0,N(F1584)&gt;1),"Remise invalide",IF(K1584="","Taux de TVA manquant",IF(NOT(ISNUMBER(K1584)),"Taux de TVA invalide",IF(COUNTIF(p_rates,K1584)=0,"Taux de TVA hors liste (Paramètres)",IF(N(O1584)&gt;25,"Au-delà de 25 lignes : non imprimée","OK")))))))))))))</f>
        <v/>
      </c>
      <c r="O1584" s="59" t="str">
        <f>IF(A1584="","",COUNTIF($A$6:A1584,A1584))</f>
        <v/>
      </c>
      <c r="P1584" s="62" t="str">
        <f>IF(A1584="","",A1584&amp;"|"&amp;O1584)</f>
        <v/>
      </c>
    </row>
    <row r="1585">
      <c r="A1585" s="60" t="n"/>
      <c r="B1585" s="63" t="n"/>
      <c r="C1585" s="63" t="n"/>
      <c r="D1585" s="67" t="n"/>
      <c r="E1585" s="68" t="n"/>
      <c r="F1585" s="69" t="n"/>
      <c r="G1585" s="70" t="n"/>
      <c r="H1585" s="62" t="str">
        <f>IF(COUNTA(A1585:G1585)=0,"",IF(C1585&lt;&gt;"",C1585,IF(B1585="","",IFERROR(INDEX(pr_des,MATCH(B1585,pr_code,0))&amp;"",""))))</f>
        <v/>
      </c>
      <c r="I1585" s="59" t="str">
        <f>IF(B1585="","",IFERROR(INDEX(pr_unit,MATCH(B1585,pr_code,0))&amp;"",""))</f>
        <v/>
      </c>
      <c r="J1585" s="65" t="str">
        <f>IF(COUNTA(A1585:G1585)=0,"",IF(E1585&lt;&gt;"",E1585,IF(B1585="","",IFERROR(IF(INDEX(pr_price,MATCH(B1585,pr_code,0))="","",INDEX(pr_price,MATCH(B1585,pr_code,0))),""))))</f>
        <v/>
      </c>
      <c r="K1585" s="71" t="str">
        <f>IF(COUNTA(A1585:G1585)=0,"",IF(G1585&lt;&gt;"",G1585,IF(B1585="","",IFERROR(IF(INDEX(pr_rate,MATCH(B1585,pr_code,0))="","",INDEX(pr_rate,MATCH(B1585,pr_code,0))),""))))</f>
        <v/>
      </c>
      <c r="L1585" s="65" t="str">
        <f>IF(COUNTA(A1585:G1585)=0,"",IF(AND(ISNUMBER(D1585),ISNUMBER(J1585)),ROUND(D1585*J1585*(1-N(F1585)),2),0))</f>
        <v/>
      </c>
      <c r="M1585" s="62" t="str">
        <f>IF(A1585="","",IFERROR(INDEX(fa_cname,MATCH(A1585,fa_num,0))&amp;"",""))</f>
        <v/>
      </c>
      <c r="N1585" s="59" t="str">
        <f>IF(COUNTA(A1585:G1585)=0,"",IF(A1585="","N° facture manquant",IF(ISNA(MATCH(A1585,fa_num,0)),"Facture inconnue",IF(AND(B1585&lt;&gt;"",ISNA(MATCH(B1585,pr_code,0))),"Article inconnu",IF(H1585="","Désignation manquante",IF(OR(NOT(ISNUMBER(D1585)),N(D1585)&lt;=0),"Quantité invalide",IF(J1585="","Prix manquant",IF(OR(NOT(ISNUMBER(J1585)),N(J1585)&lt;0),"Prix invalide",IF(OR(AND(F1585&lt;&gt;"",NOT(ISNUMBER(F1585))),N(F1585)&lt;0,N(F1585)&gt;1),"Remise invalide",IF(K1585="","Taux de TVA manquant",IF(NOT(ISNUMBER(K1585)),"Taux de TVA invalide",IF(COUNTIF(p_rates,K1585)=0,"Taux de TVA hors liste (Paramètres)",IF(N(O1585)&gt;25,"Au-delà de 25 lignes : non imprimée","OK")))))))))))))</f>
        <v/>
      </c>
      <c r="O1585" s="59" t="str">
        <f>IF(A1585="","",COUNTIF($A$6:A1585,A1585))</f>
        <v/>
      </c>
      <c r="P1585" s="62" t="str">
        <f>IF(A1585="","",A1585&amp;"|"&amp;O1585)</f>
        <v/>
      </c>
    </row>
    <row r="1586">
      <c r="A1586" s="60" t="n"/>
      <c r="B1586" s="63" t="n"/>
      <c r="C1586" s="63" t="n"/>
      <c r="D1586" s="67" t="n"/>
      <c r="E1586" s="68" t="n"/>
      <c r="F1586" s="69" t="n"/>
      <c r="G1586" s="70" t="n"/>
      <c r="H1586" s="62" t="str">
        <f>IF(COUNTA(A1586:G1586)=0,"",IF(C1586&lt;&gt;"",C1586,IF(B1586="","",IFERROR(INDEX(pr_des,MATCH(B1586,pr_code,0))&amp;"",""))))</f>
        <v/>
      </c>
      <c r="I1586" s="59" t="str">
        <f>IF(B1586="","",IFERROR(INDEX(pr_unit,MATCH(B1586,pr_code,0))&amp;"",""))</f>
        <v/>
      </c>
      <c r="J1586" s="65" t="str">
        <f>IF(COUNTA(A1586:G1586)=0,"",IF(E1586&lt;&gt;"",E1586,IF(B1586="","",IFERROR(IF(INDEX(pr_price,MATCH(B1586,pr_code,0))="","",INDEX(pr_price,MATCH(B1586,pr_code,0))),""))))</f>
        <v/>
      </c>
      <c r="K1586" s="71" t="str">
        <f>IF(COUNTA(A1586:G1586)=0,"",IF(G1586&lt;&gt;"",G1586,IF(B1586="","",IFERROR(IF(INDEX(pr_rate,MATCH(B1586,pr_code,0))="","",INDEX(pr_rate,MATCH(B1586,pr_code,0))),""))))</f>
        <v/>
      </c>
      <c r="L1586" s="65" t="str">
        <f>IF(COUNTA(A1586:G1586)=0,"",IF(AND(ISNUMBER(D1586),ISNUMBER(J1586)),ROUND(D1586*J1586*(1-N(F1586)),2),0))</f>
        <v/>
      </c>
      <c r="M1586" s="62" t="str">
        <f>IF(A1586="","",IFERROR(INDEX(fa_cname,MATCH(A1586,fa_num,0))&amp;"",""))</f>
        <v/>
      </c>
      <c r="N1586" s="59" t="str">
        <f>IF(COUNTA(A1586:G1586)=0,"",IF(A1586="","N° facture manquant",IF(ISNA(MATCH(A1586,fa_num,0)),"Facture inconnue",IF(AND(B1586&lt;&gt;"",ISNA(MATCH(B1586,pr_code,0))),"Article inconnu",IF(H1586="","Désignation manquante",IF(OR(NOT(ISNUMBER(D1586)),N(D1586)&lt;=0),"Quantité invalide",IF(J1586="","Prix manquant",IF(OR(NOT(ISNUMBER(J1586)),N(J1586)&lt;0),"Prix invalide",IF(OR(AND(F1586&lt;&gt;"",NOT(ISNUMBER(F1586))),N(F1586)&lt;0,N(F1586)&gt;1),"Remise invalide",IF(K1586="","Taux de TVA manquant",IF(NOT(ISNUMBER(K1586)),"Taux de TVA invalide",IF(COUNTIF(p_rates,K1586)=0,"Taux de TVA hors liste (Paramètres)",IF(N(O1586)&gt;25,"Au-delà de 25 lignes : non imprimée","OK")))))))))))))</f>
        <v/>
      </c>
      <c r="O1586" s="59" t="str">
        <f>IF(A1586="","",COUNTIF($A$6:A1586,A1586))</f>
        <v/>
      </c>
      <c r="P1586" s="62" t="str">
        <f>IF(A1586="","",A1586&amp;"|"&amp;O1586)</f>
        <v/>
      </c>
    </row>
    <row r="1587">
      <c r="A1587" s="60" t="n"/>
      <c r="B1587" s="63" t="n"/>
      <c r="C1587" s="63" t="n"/>
      <c r="D1587" s="67" t="n"/>
      <c r="E1587" s="68" t="n"/>
      <c r="F1587" s="69" t="n"/>
      <c r="G1587" s="70" t="n"/>
      <c r="H1587" s="62" t="str">
        <f>IF(COUNTA(A1587:G1587)=0,"",IF(C1587&lt;&gt;"",C1587,IF(B1587="","",IFERROR(INDEX(pr_des,MATCH(B1587,pr_code,0))&amp;"",""))))</f>
        <v/>
      </c>
      <c r="I1587" s="59" t="str">
        <f>IF(B1587="","",IFERROR(INDEX(pr_unit,MATCH(B1587,pr_code,0))&amp;"",""))</f>
        <v/>
      </c>
      <c r="J1587" s="65" t="str">
        <f>IF(COUNTA(A1587:G1587)=0,"",IF(E1587&lt;&gt;"",E1587,IF(B1587="","",IFERROR(IF(INDEX(pr_price,MATCH(B1587,pr_code,0))="","",INDEX(pr_price,MATCH(B1587,pr_code,0))),""))))</f>
        <v/>
      </c>
      <c r="K1587" s="71" t="str">
        <f>IF(COUNTA(A1587:G1587)=0,"",IF(G1587&lt;&gt;"",G1587,IF(B1587="","",IFERROR(IF(INDEX(pr_rate,MATCH(B1587,pr_code,0))="","",INDEX(pr_rate,MATCH(B1587,pr_code,0))),""))))</f>
        <v/>
      </c>
      <c r="L1587" s="65" t="str">
        <f>IF(COUNTA(A1587:G1587)=0,"",IF(AND(ISNUMBER(D1587),ISNUMBER(J1587)),ROUND(D1587*J1587*(1-N(F1587)),2),0))</f>
        <v/>
      </c>
      <c r="M1587" s="62" t="str">
        <f>IF(A1587="","",IFERROR(INDEX(fa_cname,MATCH(A1587,fa_num,0))&amp;"",""))</f>
        <v/>
      </c>
      <c r="N1587" s="59" t="str">
        <f>IF(COUNTA(A1587:G1587)=0,"",IF(A1587="","N° facture manquant",IF(ISNA(MATCH(A1587,fa_num,0)),"Facture inconnue",IF(AND(B1587&lt;&gt;"",ISNA(MATCH(B1587,pr_code,0))),"Article inconnu",IF(H1587="","Désignation manquante",IF(OR(NOT(ISNUMBER(D1587)),N(D1587)&lt;=0),"Quantité invalide",IF(J1587="","Prix manquant",IF(OR(NOT(ISNUMBER(J1587)),N(J1587)&lt;0),"Prix invalide",IF(OR(AND(F1587&lt;&gt;"",NOT(ISNUMBER(F1587))),N(F1587)&lt;0,N(F1587)&gt;1),"Remise invalide",IF(K1587="","Taux de TVA manquant",IF(NOT(ISNUMBER(K1587)),"Taux de TVA invalide",IF(COUNTIF(p_rates,K1587)=0,"Taux de TVA hors liste (Paramètres)",IF(N(O1587)&gt;25,"Au-delà de 25 lignes : non imprimée","OK")))))))))))))</f>
        <v/>
      </c>
      <c r="O1587" s="59" t="str">
        <f>IF(A1587="","",COUNTIF($A$6:A1587,A1587))</f>
        <v/>
      </c>
      <c r="P1587" s="62" t="str">
        <f>IF(A1587="","",A1587&amp;"|"&amp;O1587)</f>
        <v/>
      </c>
    </row>
    <row r="1588">
      <c r="A1588" s="60" t="n"/>
      <c r="B1588" s="63" t="n"/>
      <c r="C1588" s="63" t="n"/>
      <c r="D1588" s="67" t="n"/>
      <c r="E1588" s="68" t="n"/>
      <c r="F1588" s="69" t="n"/>
      <c r="G1588" s="70" t="n"/>
      <c r="H1588" s="62" t="str">
        <f>IF(COUNTA(A1588:G1588)=0,"",IF(C1588&lt;&gt;"",C1588,IF(B1588="","",IFERROR(INDEX(pr_des,MATCH(B1588,pr_code,0))&amp;"",""))))</f>
        <v/>
      </c>
      <c r="I1588" s="59" t="str">
        <f>IF(B1588="","",IFERROR(INDEX(pr_unit,MATCH(B1588,pr_code,0))&amp;"",""))</f>
        <v/>
      </c>
      <c r="J1588" s="65" t="str">
        <f>IF(COUNTA(A1588:G1588)=0,"",IF(E1588&lt;&gt;"",E1588,IF(B1588="","",IFERROR(IF(INDEX(pr_price,MATCH(B1588,pr_code,0))="","",INDEX(pr_price,MATCH(B1588,pr_code,0))),""))))</f>
        <v/>
      </c>
      <c r="K1588" s="71" t="str">
        <f>IF(COUNTA(A1588:G1588)=0,"",IF(G1588&lt;&gt;"",G1588,IF(B1588="","",IFERROR(IF(INDEX(pr_rate,MATCH(B1588,pr_code,0))="","",INDEX(pr_rate,MATCH(B1588,pr_code,0))),""))))</f>
        <v/>
      </c>
      <c r="L1588" s="65" t="str">
        <f>IF(COUNTA(A1588:G1588)=0,"",IF(AND(ISNUMBER(D1588),ISNUMBER(J1588)),ROUND(D1588*J1588*(1-N(F1588)),2),0))</f>
        <v/>
      </c>
      <c r="M1588" s="62" t="str">
        <f>IF(A1588="","",IFERROR(INDEX(fa_cname,MATCH(A1588,fa_num,0))&amp;"",""))</f>
        <v/>
      </c>
      <c r="N1588" s="59" t="str">
        <f>IF(COUNTA(A1588:G1588)=0,"",IF(A1588="","N° facture manquant",IF(ISNA(MATCH(A1588,fa_num,0)),"Facture inconnue",IF(AND(B1588&lt;&gt;"",ISNA(MATCH(B1588,pr_code,0))),"Article inconnu",IF(H1588="","Désignation manquante",IF(OR(NOT(ISNUMBER(D1588)),N(D1588)&lt;=0),"Quantité invalide",IF(J1588="","Prix manquant",IF(OR(NOT(ISNUMBER(J1588)),N(J1588)&lt;0),"Prix invalide",IF(OR(AND(F1588&lt;&gt;"",NOT(ISNUMBER(F1588))),N(F1588)&lt;0,N(F1588)&gt;1),"Remise invalide",IF(K1588="","Taux de TVA manquant",IF(NOT(ISNUMBER(K1588)),"Taux de TVA invalide",IF(COUNTIF(p_rates,K1588)=0,"Taux de TVA hors liste (Paramètres)",IF(N(O1588)&gt;25,"Au-delà de 25 lignes : non imprimée","OK")))))))))))))</f>
        <v/>
      </c>
      <c r="O1588" s="59" t="str">
        <f>IF(A1588="","",COUNTIF($A$6:A1588,A1588))</f>
        <v/>
      </c>
      <c r="P1588" s="62" t="str">
        <f>IF(A1588="","",A1588&amp;"|"&amp;O1588)</f>
        <v/>
      </c>
    </row>
    <row r="1589">
      <c r="A1589" s="60" t="n"/>
      <c r="B1589" s="63" t="n"/>
      <c r="C1589" s="63" t="n"/>
      <c r="D1589" s="67" t="n"/>
      <c r="E1589" s="68" t="n"/>
      <c r="F1589" s="69" t="n"/>
      <c r="G1589" s="70" t="n"/>
      <c r="H1589" s="62" t="str">
        <f>IF(COUNTA(A1589:G1589)=0,"",IF(C1589&lt;&gt;"",C1589,IF(B1589="","",IFERROR(INDEX(pr_des,MATCH(B1589,pr_code,0))&amp;"",""))))</f>
        <v/>
      </c>
      <c r="I1589" s="59" t="str">
        <f>IF(B1589="","",IFERROR(INDEX(pr_unit,MATCH(B1589,pr_code,0))&amp;"",""))</f>
        <v/>
      </c>
      <c r="J1589" s="65" t="str">
        <f>IF(COUNTA(A1589:G1589)=0,"",IF(E1589&lt;&gt;"",E1589,IF(B1589="","",IFERROR(IF(INDEX(pr_price,MATCH(B1589,pr_code,0))="","",INDEX(pr_price,MATCH(B1589,pr_code,0))),""))))</f>
        <v/>
      </c>
      <c r="K1589" s="71" t="str">
        <f>IF(COUNTA(A1589:G1589)=0,"",IF(G1589&lt;&gt;"",G1589,IF(B1589="","",IFERROR(IF(INDEX(pr_rate,MATCH(B1589,pr_code,0))="","",INDEX(pr_rate,MATCH(B1589,pr_code,0))),""))))</f>
        <v/>
      </c>
      <c r="L1589" s="65" t="str">
        <f>IF(COUNTA(A1589:G1589)=0,"",IF(AND(ISNUMBER(D1589),ISNUMBER(J1589)),ROUND(D1589*J1589*(1-N(F1589)),2),0))</f>
        <v/>
      </c>
      <c r="M1589" s="62" t="str">
        <f>IF(A1589="","",IFERROR(INDEX(fa_cname,MATCH(A1589,fa_num,0))&amp;"",""))</f>
        <v/>
      </c>
      <c r="N1589" s="59" t="str">
        <f>IF(COUNTA(A1589:G1589)=0,"",IF(A1589="","N° facture manquant",IF(ISNA(MATCH(A1589,fa_num,0)),"Facture inconnue",IF(AND(B1589&lt;&gt;"",ISNA(MATCH(B1589,pr_code,0))),"Article inconnu",IF(H1589="","Désignation manquante",IF(OR(NOT(ISNUMBER(D1589)),N(D1589)&lt;=0),"Quantité invalide",IF(J1589="","Prix manquant",IF(OR(NOT(ISNUMBER(J1589)),N(J1589)&lt;0),"Prix invalide",IF(OR(AND(F1589&lt;&gt;"",NOT(ISNUMBER(F1589))),N(F1589)&lt;0,N(F1589)&gt;1),"Remise invalide",IF(K1589="","Taux de TVA manquant",IF(NOT(ISNUMBER(K1589)),"Taux de TVA invalide",IF(COUNTIF(p_rates,K1589)=0,"Taux de TVA hors liste (Paramètres)",IF(N(O1589)&gt;25,"Au-delà de 25 lignes : non imprimée","OK")))))))))))))</f>
        <v/>
      </c>
      <c r="O1589" s="59" t="str">
        <f>IF(A1589="","",COUNTIF($A$6:A1589,A1589))</f>
        <v/>
      </c>
      <c r="P1589" s="62" t="str">
        <f>IF(A1589="","",A1589&amp;"|"&amp;O1589)</f>
        <v/>
      </c>
    </row>
    <row r="1590">
      <c r="A1590" s="60" t="n"/>
      <c r="B1590" s="63" t="n"/>
      <c r="C1590" s="63" t="n"/>
      <c r="D1590" s="67" t="n"/>
      <c r="E1590" s="68" t="n"/>
      <c r="F1590" s="69" t="n"/>
      <c r="G1590" s="70" t="n"/>
      <c r="H1590" s="62" t="str">
        <f>IF(COUNTA(A1590:G1590)=0,"",IF(C1590&lt;&gt;"",C1590,IF(B1590="","",IFERROR(INDEX(pr_des,MATCH(B1590,pr_code,0))&amp;"",""))))</f>
        <v/>
      </c>
      <c r="I1590" s="59" t="str">
        <f>IF(B1590="","",IFERROR(INDEX(pr_unit,MATCH(B1590,pr_code,0))&amp;"",""))</f>
        <v/>
      </c>
      <c r="J1590" s="65" t="str">
        <f>IF(COUNTA(A1590:G1590)=0,"",IF(E1590&lt;&gt;"",E1590,IF(B1590="","",IFERROR(IF(INDEX(pr_price,MATCH(B1590,pr_code,0))="","",INDEX(pr_price,MATCH(B1590,pr_code,0))),""))))</f>
        <v/>
      </c>
      <c r="K1590" s="71" t="str">
        <f>IF(COUNTA(A1590:G1590)=0,"",IF(G1590&lt;&gt;"",G1590,IF(B1590="","",IFERROR(IF(INDEX(pr_rate,MATCH(B1590,pr_code,0))="","",INDEX(pr_rate,MATCH(B1590,pr_code,0))),""))))</f>
        <v/>
      </c>
      <c r="L1590" s="65" t="str">
        <f>IF(COUNTA(A1590:G1590)=0,"",IF(AND(ISNUMBER(D1590),ISNUMBER(J1590)),ROUND(D1590*J1590*(1-N(F1590)),2),0))</f>
        <v/>
      </c>
      <c r="M1590" s="62" t="str">
        <f>IF(A1590="","",IFERROR(INDEX(fa_cname,MATCH(A1590,fa_num,0))&amp;"",""))</f>
        <v/>
      </c>
      <c r="N1590" s="59" t="str">
        <f>IF(COUNTA(A1590:G1590)=0,"",IF(A1590="","N° facture manquant",IF(ISNA(MATCH(A1590,fa_num,0)),"Facture inconnue",IF(AND(B1590&lt;&gt;"",ISNA(MATCH(B1590,pr_code,0))),"Article inconnu",IF(H1590="","Désignation manquante",IF(OR(NOT(ISNUMBER(D1590)),N(D1590)&lt;=0),"Quantité invalide",IF(J1590="","Prix manquant",IF(OR(NOT(ISNUMBER(J1590)),N(J1590)&lt;0),"Prix invalide",IF(OR(AND(F1590&lt;&gt;"",NOT(ISNUMBER(F1590))),N(F1590)&lt;0,N(F1590)&gt;1),"Remise invalide",IF(K1590="","Taux de TVA manquant",IF(NOT(ISNUMBER(K1590)),"Taux de TVA invalide",IF(COUNTIF(p_rates,K1590)=0,"Taux de TVA hors liste (Paramètres)",IF(N(O1590)&gt;25,"Au-delà de 25 lignes : non imprimée","OK")))))))))))))</f>
        <v/>
      </c>
      <c r="O1590" s="59" t="str">
        <f>IF(A1590="","",COUNTIF($A$6:A1590,A1590))</f>
        <v/>
      </c>
      <c r="P1590" s="62" t="str">
        <f>IF(A1590="","",A1590&amp;"|"&amp;O1590)</f>
        <v/>
      </c>
    </row>
    <row r="1591">
      <c r="A1591" s="60" t="n"/>
      <c r="B1591" s="63" t="n"/>
      <c r="C1591" s="63" t="n"/>
      <c r="D1591" s="67" t="n"/>
      <c r="E1591" s="68" t="n"/>
      <c r="F1591" s="69" t="n"/>
      <c r="G1591" s="70" t="n"/>
      <c r="H1591" s="62" t="str">
        <f>IF(COUNTA(A1591:G1591)=0,"",IF(C1591&lt;&gt;"",C1591,IF(B1591="","",IFERROR(INDEX(pr_des,MATCH(B1591,pr_code,0))&amp;"",""))))</f>
        <v/>
      </c>
      <c r="I1591" s="59" t="str">
        <f>IF(B1591="","",IFERROR(INDEX(pr_unit,MATCH(B1591,pr_code,0))&amp;"",""))</f>
        <v/>
      </c>
      <c r="J1591" s="65" t="str">
        <f>IF(COUNTA(A1591:G1591)=0,"",IF(E1591&lt;&gt;"",E1591,IF(B1591="","",IFERROR(IF(INDEX(pr_price,MATCH(B1591,pr_code,0))="","",INDEX(pr_price,MATCH(B1591,pr_code,0))),""))))</f>
        <v/>
      </c>
      <c r="K1591" s="71" t="str">
        <f>IF(COUNTA(A1591:G1591)=0,"",IF(G1591&lt;&gt;"",G1591,IF(B1591="","",IFERROR(IF(INDEX(pr_rate,MATCH(B1591,pr_code,0))="","",INDEX(pr_rate,MATCH(B1591,pr_code,0))),""))))</f>
        <v/>
      </c>
      <c r="L1591" s="65" t="str">
        <f>IF(COUNTA(A1591:G1591)=0,"",IF(AND(ISNUMBER(D1591),ISNUMBER(J1591)),ROUND(D1591*J1591*(1-N(F1591)),2),0))</f>
        <v/>
      </c>
      <c r="M1591" s="62" t="str">
        <f>IF(A1591="","",IFERROR(INDEX(fa_cname,MATCH(A1591,fa_num,0))&amp;"",""))</f>
        <v/>
      </c>
      <c r="N1591" s="59" t="str">
        <f>IF(COUNTA(A1591:G1591)=0,"",IF(A1591="","N° facture manquant",IF(ISNA(MATCH(A1591,fa_num,0)),"Facture inconnue",IF(AND(B1591&lt;&gt;"",ISNA(MATCH(B1591,pr_code,0))),"Article inconnu",IF(H1591="","Désignation manquante",IF(OR(NOT(ISNUMBER(D1591)),N(D1591)&lt;=0),"Quantité invalide",IF(J1591="","Prix manquant",IF(OR(NOT(ISNUMBER(J1591)),N(J1591)&lt;0),"Prix invalide",IF(OR(AND(F1591&lt;&gt;"",NOT(ISNUMBER(F1591))),N(F1591)&lt;0,N(F1591)&gt;1),"Remise invalide",IF(K1591="","Taux de TVA manquant",IF(NOT(ISNUMBER(K1591)),"Taux de TVA invalide",IF(COUNTIF(p_rates,K1591)=0,"Taux de TVA hors liste (Paramètres)",IF(N(O1591)&gt;25,"Au-delà de 25 lignes : non imprimée","OK")))))))))))))</f>
        <v/>
      </c>
      <c r="O1591" s="59" t="str">
        <f>IF(A1591="","",COUNTIF($A$6:A1591,A1591))</f>
        <v/>
      </c>
      <c r="P1591" s="62" t="str">
        <f>IF(A1591="","",A1591&amp;"|"&amp;O1591)</f>
        <v/>
      </c>
    </row>
    <row r="1592">
      <c r="A1592" s="60" t="n"/>
      <c r="B1592" s="63" t="n"/>
      <c r="C1592" s="63" t="n"/>
      <c r="D1592" s="67" t="n"/>
      <c r="E1592" s="68" t="n"/>
      <c r="F1592" s="69" t="n"/>
      <c r="G1592" s="70" t="n"/>
      <c r="H1592" s="62" t="str">
        <f>IF(COUNTA(A1592:G1592)=0,"",IF(C1592&lt;&gt;"",C1592,IF(B1592="","",IFERROR(INDEX(pr_des,MATCH(B1592,pr_code,0))&amp;"",""))))</f>
        <v/>
      </c>
      <c r="I1592" s="59" t="str">
        <f>IF(B1592="","",IFERROR(INDEX(pr_unit,MATCH(B1592,pr_code,0))&amp;"",""))</f>
        <v/>
      </c>
      <c r="J1592" s="65" t="str">
        <f>IF(COUNTA(A1592:G1592)=0,"",IF(E1592&lt;&gt;"",E1592,IF(B1592="","",IFERROR(IF(INDEX(pr_price,MATCH(B1592,pr_code,0))="","",INDEX(pr_price,MATCH(B1592,pr_code,0))),""))))</f>
        <v/>
      </c>
      <c r="K1592" s="71" t="str">
        <f>IF(COUNTA(A1592:G1592)=0,"",IF(G1592&lt;&gt;"",G1592,IF(B1592="","",IFERROR(IF(INDEX(pr_rate,MATCH(B1592,pr_code,0))="","",INDEX(pr_rate,MATCH(B1592,pr_code,0))),""))))</f>
        <v/>
      </c>
      <c r="L1592" s="65" t="str">
        <f>IF(COUNTA(A1592:G1592)=0,"",IF(AND(ISNUMBER(D1592),ISNUMBER(J1592)),ROUND(D1592*J1592*(1-N(F1592)),2),0))</f>
        <v/>
      </c>
      <c r="M1592" s="62" t="str">
        <f>IF(A1592="","",IFERROR(INDEX(fa_cname,MATCH(A1592,fa_num,0))&amp;"",""))</f>
        <v/>
      </c>
      <c r="N1592" s="59" t="str">
        <f>IF(COUNTA(A1592:G1592)=0,"",IF(A1592="","N° facture manquant",IF(ISNA(MATCH(A1592,fa_num,0)),"Facture inconnue",IF(AND(B1592&lt;&gt;"",ISNA(MATCH(B1592,pr_code,0))),"Article inconnu",IF(H1592="","Désignation manquante",IF(OR(NOT(ISNUMBER(D1592)),N(D1592)&lt;=0),"Quantité invalide",IF(J1592="","Prix manquant",IF(OR(NOT(ISNUMBER(J1592)),N(J1592)&lt;0),"Prix invalide",IF(OR(AND(F1592&lt;&gt;"",NOT(ISNUMBER(F1592))),N(F1592)&lt;0,N(F1592)&gt;1),"Remise invalide",IF(K1592="","Taux de TVA manquant",IF(NOT(ISNUMBER(K1592)),"Taux de TVA invalide",IF(COUNTIF(p_rates,K1592)=0,"Taux de TVA hors liste (Paramètres)",IF(N(O1592)&gt;25,"Au-delà de 25 lignes : non imprimée","OK")))))))))))))</f>
        <v/>
      </c>
      <c r="O1592" s="59" t="str">
        <f>IF(A1592="","",COUNTIF($A$6:A1592,A1592))</f>
        <v/>
      </c>
      <c r="P1592" s="62" t="str">
        <f>IF(A1592="","",A1592&amp;"|"&amp;O1592)</f>
        <v/>
      </c>
    </row>
    <row r="1593">
      <c r="A1593" s="60" t="n"/>
      <c r="B1593" s="63" t="n"/>
      <c r="C1593" s="63" t="n"/>
      <c r="D1593" s="67" t="n"/>
      <c r="E1593" s="68" t="n"/>
      <c r="F1593" s="69" t="n"/>
      <c r="G1593" s="70" t="n"/>
      <c r="H1593" s="62" t="str">
        <f>IF(COUNTA(A1593:G1593)=0,"",IF(C1593&lt;&gt;"",C1593,IF(B1593="","",IFERROR(INDEX(pr_des,MATCH(B1593,pr_code,0))&amp;"",""))))</f>
        <v/>
      </c>
      <c r="I1593" s="59" t="str">
        <f>IF(B1593="","",IFERROR(INDEX(pr_unit,MATCH(B1593,pr_code,0))&amp;"",""))</f>
        <v/>
      </c>
      <c r="J1593" s="65" t="str">
        <f>IF(COUNTA(A1593:G1593)=0,"",IF(E1593&lt;&gt;"",E1593,IF(B1593="","",IFERROR(IF(INDEX(pr_price,MATCH(B1593,pr_code,0))="","",INDEX(pr_price,MATCH(B1593,pr_code,0))),""))))</f>
        <v/>
      </c>
      <c r="K1593" s="71" t="str">
        <f>IF(COUNTA(A1593:G1593)=0,"",IF(G1593&lt;&gt;"",G1593,IF(B1593="","",IFERROR(IF(INDEX(pr_rate,MATCH(B1593,pr_code,0))="","",INDEX(pr_rate,MATCH(B1593,pr_code,0))),""))))</f>
        <v/>
      </c>
      <c r="L1593" s="65" t="str">
        <f>IF(COUNTA(A1593:G1593)=0,"",IF(AND(ISNUMBER(D1593),ISNUMBER(J1593)),ROUND(D1593*J1593*(1-N(F1593)),2),0))</f>
        <v/>
      </c>
      <c r="M1593" s="62" t="str">
        <f>IF(A1593="","",IFERROR(INDEX(fa_cname,MATCH(A1593,fa_num,0))&amp;"",""))</f>
        <v/>
      </c>
      <c r="N1593" s="59" t="str">
        <f>IF(COUNTA(A1593:G1593)=0,"",IF(A1593="","N° facture manquant",IF(ISNA(MATCH(A1593,fa_num,0)),"Facture inconnue",IF(AND(B1593&lt;&gt;"",ISNA(MATCH(B1593,pr_code,0))),"Article inconnu",IF(H1593="","Désignation manquante",IF(OR(NOT(ISNUMBER(D1593)),N(D1593)&lt;=0),"Quantité invalide",IF(J1593="","Prix manquant",IF(OR(NOT(ISNUMBER(J1593)),N(J1593)&lt;0),"Prix invalide",IF(OR(AND(F1593&lt;&gt;"",NOT(ISNUMBER(F1593))),N(F1593)&lt;0,N(F1593)&gt;1),"Remise invalide",IF(K1593="","Taux de TVA manquant",IF(NOT(ISNUMBER(K1593)),"Taux de TVA invalide",IF(COUNTIF(p_rates,K1593)=0,"Taux de TVA hors liste (Paramètres)",IF(N(O1593)&gt;25,"Au-delà de 25 lignes : non imprimée","OK")))))))))))))</f>
        <v/>
      </c>
      <c r="O1593" s="59" t="str">
        <f>IF(A1593="","",COUNTIF($A$6:A1593,A1593))</f>
        <v/>
      </c>
      <c r="P1593" s="62" t="str">
        <f>IF(A1593="","",A1593&amp;"|"&amp;O1593)</f>
        <v/>
      </c>
    </row>
    <row r="1594">
      <c r="A1594" s="60" t="n"/>
      <c r="B1594" s="63" t="n"/>
      <c r="C1594" s="63" t="n"/>
      <c r="D1594" s="67" t="n"/>
      <c r="E1594" s="68" t="n"/>
      <c r="F1594" s="69" t="n"/>
      <c r="G1594" s="70" t="n"/>
      <c r="H1594" s="62" t="str">
        <f>IF(COUNTA(A1594:G1594)=0,"",IF(C1594&lt;&gt;"",C1594,IF(B1594="","",IFERROR(INDEX(pr_des,MATCH(B1594,pr_code,0))&amp;"",""))))</f>
        <v/>
      </c>
      <c r="I1594" s="59" t="str">
        <f>IF(B1594="","",IFERROR(INDEX(pr_unit,MATCH(B1594,pr_code,0))&amp;"",""))</f>
        <v/>
      </c>
      <c r="J1594" s="65" t="str">
        <f>IF(COUNTA(A1594:G1594)=0,"",IF(E1594&lt;&gt;"",E1594,IF(B1594="","",IFERROR(IF(INDEX(pr_price,MATCH(B1594,pr_code,0))="","",INDEX(pr_price,MATCH(B1594,pr_code,0))),""))))</f>
        <v/>
      </c>
      <c r="K1594" s="71" t="str">
        <f>IF(COUNTA(A1594:G1594)=0,"",IF(G1594&lt;&gt;"",G1594,IF(B1594="","",IFERROR(IF(INDEX(pr_rate,MATCH(B1594,pr_code,0))="","",INDEX(pr_rate,MATCH(B1594,pr_code,0))),""))))</f>
        <v/>
      </c>
      <c r="L1594" s="65" t="str">
        <f>IF(COUNTA(A1594:G1594)=0,"",IF(AND(ISNUMBER(D1594),ISNUMBER(J1594)),ROUND(D1594*J1594*(1-N(F1594)),2),0))</f>
        <v/>
      </c>
      <c r="M1594" s="62" t="str">
        <f>IF(A1594="","",IFERROR(INDEX(fa_cname,MATCH(A1594,fa_num,0))&amp;"",""))</f>
        <v/>
      </c>
      <c r="N1594" s="59" t="str">
        <f>IF(COUNTA(A1594:G1594)=0,"",IF(A1594="","N° facture manquant",IF(ISNA(MATCH(A1594,fa_num,0)),"Facture inconnue",IF(AND(B1594&lt;&gt;"",ISNA(MATCH(B1594,pr_code,0))),"Article inconnu",IF(H1594="","Désignation manquante",IF(OR(NOT(ISNUMBER(D1594)),N(D1594)&lt;=0),"Quantité invalide",IF(J1594="","Prix manquant",IF(OR(NOT(ISNUMBER(J1594)),N(J1594)&lt;0),"Prix invalide",IF(OR(AND(F1594&lt;&gt;"",NOT(ISNUMBER(F1594))),N(F1594)&lt;0,N(F1594)&gt;1),"Remise invalide",IF(K1594="","Taux de TVA manquant",IF(NOT(ISNUMBER(K1594)),"Taux de TVA invalide",IF(COUNTIF(p_rates,K1594)=0,"Taux de TVA hors liste (Paramètres)",IF(N(O1594)&gt;25,"Au-delà de 25 lignes : non imprimée","OK")))))))))))))</f>
        <v/>
      </c>
      <c r="O1594" s="59" t="str">
        <f>IF(A1594="","",COUNTIF($A$6:A1594,A1594))</f>
        <v/>
      </c>
      <c r="P1594" s="62" t="str">
        <f>IF(A1594="","",A1594&amp;"|"&amp;O1594)</f>
        <v/>
      </c>
    </row>
    <row r="1595">
      <c r="A1595" s="60" t="n"/>
      <c r="B1595" s="63" t="n"/>
      <c r="C1595" s="63" t="n"/>
      <c r="D1595" s="67" t="n"/>
      <c r="E1595" s="68" t="n"/>
      <c r="F1595" s="69" t="n"/>
      <c r="G1595" s="70" t="n"/>
      <c r="H1595" s="62" t="str">
        <f>IF(COUNTA(A1595:G1595)=0,"",IF(C1595&lt;&gt;"",C1595,IF(B1595="","",IFERROR(INDEX(pr_des,MATCH(B1595,pr_code,0))&amp;"",""))))</f>
        <v/>
      </c>
      <c r="I1595" s="59" t="str">
        <f>IF(B1595="","",IFERROR(INDEX(pr_unit,MATCH(B1595,pr_code,0))&amp;"",""))</f>
        <v/>
      </c>
      <c r="J1595" s="65" t="str">
        <f>IF(COUNTA(A1595:G1595)=0,"",IF(E1595&lt;&gt;"",E1595,IF(B1595="","",IFERROR(IF(INDEX(pr_price,MATCH(B1595,pr_code,0))="","",INDEX(pr_price,MATCH(B1595,pr_code,0))),""))))</f>
        <v/>
      </c>
      <c r="K1595" s="71" t="str">
        <f>IF(COUNTA(A1595:G1595)=0,"",IF(G1595&lt;&gt;"",G1595,IF(B1595="","",IFERROR(IF(INDEX(pr_rate,MATCH(B1595,pr_code,0))="","",INDEX(pr_rate,MATCH(B1595,pr_code,0))),""))))</f>
        <v/>
      </c>
      <c r="L1595" s="65" t="str">
        <f>IF(COUNTA(A1595:G1595)=0,"",IF(AND(ISNUMBER(D1595),ISNUMBER(J1595)),ROUND(D1595*J1595*(1-N(F1595)),2),0))</f>
        <v/>
      </c>
      <c r="M1595" s="62" t="str">
        <f>IF(A1595="","",IFERROR(INDEX(fa_cname,MATCH(A1595,fa_num,0))&amp;"",""))</f>
        <v/>
      </c>
      <c r="N1595" s="59" t="str">
        <f>IF(COUNTA(A1595:G1595)=0,"",IF(A1595="","N° facture manquant",IF(ISNA(MATCH(A1595,fa_num,0)),"Facture inconnue",IF(AND(B1595&lt;&gt;"",ISNA(MATCH(B1595,pr_code,0))),"Article inconnu",IF(H1595="","Désignation manquante",IF(OR(NOT(ISNUMBER(D1595)),N(D1595)&lt;=0),"Quantité invalide",IF(J1595="","Prix manquant",IF(OR(NOT(ISNUMBER(J1595)),N(J1595)&lt;0),"Prix invalide",IF(OR(AND(F1595&lt;&gt;"",NOT(ISNUMBER(F1595))),N(F1595)&lt;0,N(F1595)&gt;1),"Remise invalide",IF(K1595="","Taux de TVA manquant",IF(NOT(ISNUMBER(K1595)),"Taux de TVA invalide",IF(COUNTIF(p_rates,K1595)=0,"Taux de TVA hors liste (Paramètres)",IF(N(O1595)&gt;25,"Au-delà de 25 lignes : non imprimée","OK")))))))))))))</f>
        <v/>
      </c>
      <c r="O1595" s="59" t="str">
        <f>IF(A1595="","",COUNTIF($A$6:A1595,A1595))</f>
        <v/>
      </c>
      <c r="P1595" s="62" t="str">
        <f>IF(A1595="","",A1595&amp;"|"&amp;O1595)</f>
        <v/>
      </c>
    </row>
    <row r="1596">
      <c r="A1596" s="60" t="n"/>
      <c r="B1596" s="63" t="n"/>
      <c r="C1596" s="63" t="n"/>
      <c r="D1596" s="67" t="n"/>
      <c r="E1596" s="68" t="n"/>
      <c r="F1596" s="69" t="n"/>
      <c r="G1596" s="70" t="n"/>
      <c r="H1596" s="62" t="str">
        <f>IF(COUNTA(A1596:G1596)=0,"",IF(C1596&lt;&gt;"",C1596,IF(B1596="","",IFERROR(INDEX(pr_des,MATCH(B1596,pr_code,0))&amp;"",""))))</f>
        <v/>
      </c>
      <c r="I1596" s="59" t="str">
        <f>IF(B1596="","",IFERROR(INDEX(pr_unit,MATCH(B1596,pr_code,0))&amp;"",""))</f>
        <v/>
      </c>
      <c r="J1596" s="65" t="str">
        <f>IF(COUNTA(A1596:G1596)=0,"",IF(E1596&lt;&gt;"",E1596,IF(B1596="","",IFERROR(IF(INDEX(pr_price,MATCH(B1596,pr_code,0))="","",INDEX(pr_price,MATCH(B1596,pr_code,0))),""))))</f>
        <v/>
      </c>
      <c r="K1596" s="71" t="str">
        <f>IF(COUNTA(A1596:G1596)=0,"",IF(G1596&lt;&gt;"",G1596,IF(B1596="","",IFERROR(IF(INDEX(pr_rate,MATCH(B1596,pr_code,0))="","",INDEX(pr_rate,MATCH(B1596,pr_code,0))),""))))</f>
        <v/>
      </c>
      <c r="L1596" s="65" t="str">
        <f>IF(COUNTA(A1596:G1596)=0,"",IF(AND(ISNUMBER(D1596),ISNUMBER(J1596)),ROUND(D1596*J1596*(1-N(F1596)),2),0))</f>
        <v/>
      </c>
      <c r="M1596" s="62" t="str">
        <f>IF(A1596="","",IFERROR(INDEX(fa_cname,MATCH(A1596,fa_num,0))&amp;"",""))</f>
        <v/>
      </c>
      <c r="N1596" s="59" t="str">
        <f>IF(COUNTA(A1596:G1596)=0,"",IF(A1596="","N° facture manquant",IF(ISNA(MATCH(A1596,fa_num,0)),"Facture inconnue",IF(AND(B1596&lt;&gt;"",ISNA(MATCH(B1596,pr_code,0))),"Article inconnu",IF(H1596="","Désignation manquante",IF(OR(NOT(ISNUMBER(D1596)),N(D1596)&lt;=0),"Quantité invalide",IF(J1596="","Prix manquant",IF(OR(NOT(ISNUMBER(J1596)),N(J1596)&lt;0),"Prix invalide",IF(OR(AND(F1596&lt;&gt;"",NOT(ISNUMBER(F1596))),N(F1596)&lt;0,N(F1596)&gt;1),"Remise invalide",IF(K1596="","Taux de TVA manquant",IF(NOT(ISNUMBER(K1596)),"Taux de TVA invalide",IF(COUNTIF(p_rates,K1596)=0,"Taux de TVA hors liste (Paramètres)",IF(N(O1596)&gt;25,"Au-delà de 25 lignes : non imprimée","OK")))))))))))))</f>
        <v/>
      </c>
      <c r="O1596" s="59" t="str">
        <f>IF(A1596="","",COUNTIF($A$6:A1596,A1596))</f>
        <v/>
      </c>
      <c r="P1596" s="62" t="str">
        <f>IF(A1596="","",A1596&amp;"|"&amp;O1596)</f>
        <v/>
      </c>
    </row>
    <row r="1597">
      <c r="A1597" s="60" t="n"/>
      <c r="B1597" s="63" t="n"/>
      <c r="C1597" s="63" t="n"/>
      <c r="D1597" s="67" t="n"/>
      <c r="E1597" s="68" t="n"/>
      <c r="F1597" s="69" t="n"/>
      <c r="G1597" s="70" t="n"/>
      <c r="H1597" s="62" t="str">
        <f>IF(COUNTA(A1597:G1597)=0,"",IF(C1597&lt;&gt;"",C1597,IF(B1597="","",IFERROR(INDEX(pr_des,MATCH(B1597,pr_code,0))&amp;"",""))))</f>
        <v/>
      </c>
      <c r="I1597" s="59" t="str">
        <f>IF(B1597="","",IFERROR(INDEX(pr_unit,MATCH(B1597,pr_code,0))&amp;"",""))</f>
        <v/>
      </c>
      <c r="J1597" s="65" t="str">
        <f>IF(COUNTA(A1597:G1597)=0,"",IF(E1597&lt;&gt;"",E1597,IF(B1597="","",IFERROR(IF(INDEX(pr_price,MATCH(B1597,pr_code,0))="","",INDEX(pr_price,MATCH(B1597,pr_code,0))),""))))</f>
        <v/>
      </c>
      <c r="K1597" s="71" t="str">
        <f>IF(COUNTA(A1597:G1597)=0,"",IF(G1597&lt;&gt;"",G1597,IF(B1597="","",IFERROR(IF(INDEX(pr_rate,MATCH(B1597,pr_code,0))="","",INDEX(pr_rate,MATCH(B1597,pr_code,0))),""))))</f>
        <v/>
      </c>
      <c r="L1597" s="65" t="str">
        <f>IF(COUNTA(A1597:G1597)=0,"",IF(AND(ISNUMBER(D1597),ISNUMBER(J1597)),ROUND(D1597*J1597*(1-N(F1597)),2),0))</f>
        <v/>
      </c>
      <c r="M1597" s="62" t="str">
        <f>IF(A1597="","",IFERROR(INDEX(fa_cname,MATCH(A1597,fa_num,0))&amp;"",""))</f>
        <v/>
      </c>
      <c r="N1597" s="59" t="str">
        <f>IF(COUNTA(A1597:G1597)=0,"",IF(A1597="","N° facture manquant",IF(ISNA(MATCH(A1597,fa_num,0)),"Facture inconnue",IF(AND(B1597&lt;&gt;"",ISNA(MATCH(B1597,pr_code,0))),"Article inconnu",IF(H1597="","Désignation manquante",IF(OR(NOT(ISNUMBER(D1597)),N(D1597)&lt;=0),"Quantité invalide",IF(J1597="","Prix manquant",IF(OR(NOT(ISNUMBER(J1597)),N(J1597)&lt;0),"Prix invalide",IF(OR(AND(F1597&lt;&gt;"",NOT(ISNUMBER(F1597))),N(F1597)&lt;0,N(F1597)&gt;1),"Remise invalide",IF(K1597="","Taux de TVA manquant",IF(NOT(ISNUMBER(K1597)),"Taux de TVA invalide",IF(COUNTIF(p_rates,K1597)=0,"Taux de TVA hors liste (Paramètres)",IF(N(O1597)&gt;25,"Au-delà de 25 lignes : non imprimée","OK")))))))))))))</f>
        <v/>
      </c>
      <c r="O1597" s="59" t="str">
        <f>IF(A1597="","",COUNTIF($A$6:A1597,A1597))</f>
        <v/>
      </c>
      <c r="P1597" s="62" t="str">
        <f>IF(A1597="","",A1597&amp;"|"&amp;O1597)</f>
        <v/>
      </c>
    </row>
    <row r="1598">
      <c r="A1598" s="60" t="n"/>
      <c r="B1598" s="63" t="n"/>
      <c r="C1598" s="63" t="n"/>
      <c r="D1598" s="67" t="n"/>
      <c r="E1598" s="68" t="n"/>
      <c r="F1598" s="69" t="n"/>
      <c r="G1598" s="70" t="n"/>
      <c r="H1598" s="62" t="str">
        <f>IF(COUNTA(A1598:G1598)=0,"",IF(C1598&lt;&gt;"",C1598,IF(B1598="","",IFERROR(INDEX(pr_des,MATCH(B1598,pr_code,0))&amp;"",""))))</f>
        <v/>
      </c>
      <c r="I1598" s="59" t="str">
        <f>IF(B1598="","",IFERROR(INDEX(pr_unit,MATCH(B1598,pr_code,0))&amp;"",""))</f>
        <v/>
      </c>
      <c r="J1598" s="65" t="str">
        <f>IF(COUNTA(A1598:G1598)=0,"",IF(E1598&lt;&gt;"",E1598,IF(B1598="","",IFERROR(IF(INDEX(pr_price,MATCH(B1598,pr_code,0))="","",INDEX(pr_price,MATCH(B1598,pr_code,0))),""))))</f>
        <v/>
      </c>
      <c r="K1598" s="71" t="str">
        <f>IF(COUNTA(A1598:G1598)=0,"",IF(G1598&lt;&gt;"",G1598,IF(B1598="","",IFERROR(IF(INDEX(pr_rate,MATCH(B1598,pr_code,0))="","",INDEX(pr_rate,MATCH(B1598,pr_code,0))),""))))</f>
        <v/>
      </c>
      <c r="L1598" s="65" t="str">
        <f>IF(COUNTA(A1598:G1598)=0,"",IF(AND(ISNUMBER(D1598),ISNUMBER(J1598)),ROUND(D1598*J1598*(1-N(F1598)),2),0))</f>
        <v/>
      </c>
      <c r="M1598" s="62" t="str">
        <f>IF(A1598="","",IFERROR(INDEX(fa_cname,MATCH(A1598,fa_num,0))&amp;"",""))</f>
        <v/>
      </c>
      <c r="N1598" s="59" t="str">
        <f>IF(COUNTA(A1598:G1598)=0,"",IF(A1598="","N° facture manquant",IF(ISNA(MATCH(A1598,fa_num,0)),"Facture inconnue",IF(AND(B1598&lt;&gt;"",ISNA(MATCH(B1598,pr_code,0))),"Article inconnu",IF(H1598="","Désignation manquante",IF(OR(NOT(ISNUMBER(D1598)),N(D1598)&lt;=0),"Quantité invalide",IF(J1598="","Prix manquant",IF(OR(NOT(ISNUMBER(J1598)),N(J1598)&lt;0),"Prix invalide",IF(OR(AND(F1598&lt;&gt;"",NOT(ISNUMBER(F1598))),N(F1598)&lt;0,N(F1598)&gt;1),"Remise invalide",IF(K1598="","Taux de TVA manquant",IF(NOT(ISNUMBER(K1598)),"Taux de TVA invalide",IF(COUNTIF(p_rates,K1598)=0,"Taux de TVA hors liste (Paramètres)",IF(N(O1598)&gt;25,"Au-delà de 25 lignes : non imprimée","OK")))))))))))))</f>
        <v/>
      </c>
      <c r="O1598" s="59" t="str">
        <f>IF(A1598="","",COUNTIF($A$6:A1598,A1598))</f>
        <v/>
      </c>
      <c r="P1598" s="62" t="str">
        <f>IF(A1598="","",A1598&amp;"|"&amp;O1598)</f>
        <v/>
      </c>
    </row>
    <row r="1599">
      <c r="A1599" s="60" t="n"/>
      <c r="B1599" s="63" t="n"/>
      <c r="C1599" s="63" t="n"/>
      <c r="D1599" s="67" t="n"/>
      <c r="E1599" s="68" t="n"/>
      <c r="F1599" s="69" t="n"/>
      <c r="G1599" s="70" t="n"/>
      <c r="H1599" s="62" t="str">
        <f>IF(COUNTA(A1599:G1599)=0,"",IF(C1599&lt;&gt;"",C1599,IF(B1599="","",IFERROR(INDEX(pr_des,MATCH(B1599,pr_code,0))&amp;"",""))))</f>
        <v/>
      </c>
      <c r="I1599" s="59" t="str">
        <f>IF(B1599="","",IFERROR(INDEX(pr_unit,MATCH(B1599,pr_code,0))&amp;"",""))</f>
        <v/>
      </c>
      <c r="J1599" s="65" t="str">
        <f>IF(COUNTA(A1599:G1599)=0,"",IF(E1599&lt;&gt;"",E1599,IF(B1599="","",IFERROR(IF(INDEX(pr_price,MATCH(B1599,pr_code,0))="","",INDEX(pr_price,MATCH(B1599,pr_code,0))),""))))</f>
        <v/>
      </c>
      <c r="K1599" s="71" t="str">
        <f>IF(COUNTA(A1599:G1599)=0,"",IF(G1599&lt;&gt;"",G1599,IF(B1599="","",IFERROR(IF(INDEX(pr_rate,MATCH(B1599,pr_code,0))="","",INDEX(pr_rate,MATCH(B1599,pr_code,0))),""))))</f>
        <v/>
      </c>
      <c r="L1599" s="65" t="str">
        <f>IF(COUNTA(A1599:G1599)=0,"",IF(AND(ISNUMBER(D1599),ISNUMBER(J1599)),ROUND(D1599*J1599*(1-N(F1599)),2),0))</f>
        <v/>
      </c>
      <c r="M1599" s="62" t="str">
        <f>IF(A1599="","",IFERROR(INDEX(fa_cname,MATCH(A1599,fa_num,0))&amp;"",""))</f>
        <v/>
      </c>
      <c r="N1599" s="59" t="str">
        <f>IF(COUNTA(A1599:G1599)=0,"",IF(A1599="","N° facture manquant",IF(ISNA(MATCH(A1599,fa_num,0)),"Facture inconnue",IF(AND(B1599&lt;&gt;"",ISNA(MATCH(B1599,pr_code,0))),"Article inconnu",IF(H1599="","Désignation manquante",IF(OR(NOT(ISNUMBER(D1599)),N(D1599)&lt;=0),"Quantité invalide",IF(J1599="","Prix manquant",IF(OR(NOT(ISNUMBER(J1599)),N(J1599)&lt;0),"Prix invalide",IF(OR(AND(F1599&lt;&gt;"",NOT(ISNUMBER(F1599))),N(F1599)&lt;0,N(F1599)&gt;1),"Remise invalide",IF(K1599="","Taux de TVA manquant",IF(NOT(ISNUMBER(K1599)),"Taux de TVA invalide",IF(COUNTIF(p_rates,K1599)=0,"Taux de TVA hors liste (Paramètres)",IF(N(O1599)&gt;25,"Au-delà de 25 lignes : non imprimée","OK")))))))))))))</f>
        <v/>
      </c>
      <c r="O1599" s="59" t="str">
        <f>IF(A1599="","",COUNTIF($A$6:A1599,A1599))</f>
        <v/>
      </c>
      <c r="P1599" s="62" t="str">
        <f>IF(A1599="","",A1599&amp;"|"&amp;O1599)</f>
        <v/>
      </c>
    </row>
    <row r="1600">
      <c r="A1600" s="60" t="n"/>
      <c r="B1600" s="63" t="n"/>
      <c r="C1600" s="63" t="n"/>
      <c r="D1600" s="67" t="n"/>
      <c r="E1600" s="68" t="n"/>
      <c r="F1600" s="69" t="n"/>
      <c r="G1600" s="70" t="n"/>
      <c r="H1600" s="62" t="str">
        <f>IF(COUNTA(A1600:G1600)=0,"",IF(C1600&lt;&gt;"",C1600,IF(B1600="","",IFERROR(INDEX(pr_des,MATCH(B1600,pr_code,0))&amp;"",""))))</f>
        <v/>
      </c>
      <c r="I1600" s="59" t="str">
        <f>IF(B1600="","",IFERROR(INDEX(pr_unit,MATCH(B1600,pr_code,0))&amp;"",""))</f>
        <v/>
      </c>
      <c r="J1600" s="65" t="str">
        <f>IF(COUNTA(A1600:G1600)=0,"",IF(E1600&lt;&gt;"",E1600,IF(B1600="","",IFERROR(IF(INDEX(pr_price,MATCH(B1600,pr_code,0))="","",INDEX(pr_price,MATCH(B1600,pr_code,0))),""))))</f>
        <v/>
      </c>
      <c r="K1600" s="71" t="str">
        <f>IF(COUNTA(A1600:G1600)=0,"",IF(G1600&lt;&gt;"",G1600,IF(B1600="","",IFERROR(IF(INDEX(pr_rate,MATCH(B1600,pr_code,0))="","",INDEX(pr_rate,MATCH(B1600,pr_code,0))),""))))</f>
        <v/>
      </c>
      <c r="L1600" s="65" t="str">
        <f>IF(COUNTA(A1600:G1600)=0,"",IF(AND(ISNUMBER(D1600),ISNUMBER(J1600)),ROUND(D1600*J1600*(1-N(F1600)),2),0))</f>
        <v/>
      </c>
      <c r="M1600" s="62" t="str">
        <f>IF(A1600="","",IFERROR(INDEX(fa_cname,MATCH(A1600,fa_num,0))&amp;"",""))</f>
        <v/>
      </c>
      <c r="N1600" s="59" t="str">
        <f>IF(COUNTA(A1600:G1600)=0,"",IF(A1600="","N° facture manquant",IF(ISNA(MATCH(A1600,fa_num,0)),"Facture inconnue",IF(AND(B1600&lt;&gt;"",ISNA(MATCH(B1600,pr_code,0))),"Article inconnu",IF(H1600="","Désignation manquante",IF(OR(NOT(ISNUMBER(D1600)),N(D1600)&lt;=0),"Quantité invalide",IF(J1600="","Prix manquant",IF(OR(NOT(ISNUMBER(J1600)),N(J1600)&lt;0),"Prix invalide",IF(OR(AND(F1600&lt;&gt;"",NOT(ISNUMBER(F1600))),N(F1600)&lt;0,N(F1600)&gt;1),"Remise invalide",IF(K1600="","Taux de TVA manquant",IF(NOT(ISNUMBER(K1600)),"Taux de TVA invalide",IF(COUNTIF(p_rates,K1600)=0,"Taux de TVA hors liste (Paramètres)",IF(N(O1600)&gt;25,"Au-delà de 25 lignes : non imprimée","OK")))))))))))))</f>
        <v/>
      </c>
      <c r="O1600" s="59" t="str">
        <f>IF(A1600="","",COUNTIF($A$6:A1600,A1600))</f>
        <v/>
      </c>
      <c r="P1600" s="62" t="str">
        <f>IF(A1600="","",A1600&amp;"|"&amp;O1600)</f>
        <v/>
      </c>
    </row>
    <row r="1601">
      <c r="A1601" s="60" t="n"/>
      <c r="B1601" s="63" t="n"/>
      <c r="C1601" s="63" t="n"/>
      <c r="D1601" s="67" t="n"/>
      <c r="E1601" s="68" t="n"/>
      <c r="F1601" s="69" t="n"/>
      <c r="G1601" s="70" t="n"/>
      <c r="H1601" s="62" t="str">
        <f>IF(COUNTA(A1601:G1601)=0,"",IF(C1601&lt;&gt;"",C1601,IF(B1601="","",IFERROR(INDEX(pr_des,MATCH(B1601,pr_code,0))&amp;"",""))))</f>
        <v/>
      </c>
      <c r="I1601" s="59" t="str">
        <f>IF(B1601="","",IFERROR(INDEX(pr_unit,MATCH(B1601,pr_code,0))&amp;"",""))</f>
        <v/>
      </c>
      <c r="J1601" s="65" t="str">
        <f>IF(COUNTA(A1601:G1601)=0,"",IF(E1601&lt;&gt;"",E1601,IF(B1601="","",IFERROR(IF(INDEX(pr_price,MATCH(B1601,pr_code,0))="","",INDEX(pr_price,MATCH(B1601,pr_code,0))),""))))</f>
        <v/>
      </c>
      <c r="K1601" s="71" t="str">
        <f>IF(COUNTA(A1601:G1601)=0,"",IF(G1601&lt;&gt;"",G1601,IF(B1601="","",IFERROR(IF(INDEX(pr_rate,MATCH(B1601,pr_code,0))="","",INDEX(pr_rate,MATCH(B1601,pr_code,0))),""))))</f>
        <v/>
      </c>
      <c r="L1601" s="65" t="str">
        <f>IF(COUNTA(A1601:G1601)=0,"",IF(AND(ISNUMBER(D1601),ISNUMBER(J1601)),ROUND(D1601*J1601*(1-N(F1601)),2),0))</f>
        <v/>
      </c>
      <c r="M1601" s="62" t="str">
        <f>IF(A1601="","",IFERROR(INDEX(fa_cname,MATCH(A1601,fa_num,0))&amp;"",""))</f>
        <v/>
      </c>
      <c r="N1601" s="59" t="str">
        <f>IF(COUNTA(A1601:G1601)=0,"",IF(A1601="","N° facture manquant",IF(ISNA(MATCH(A1601,fa_num,0)),"Facture inconnue",IF(AND(B1601&lt;&gt;"",ISNA(MATCH(B1601,pr_code,0))),"Article inconnu",IF(H1601="","Désignation manquante",IF(OR(NOT(ISNUMBER(D1601)),N(D1601)&lt;=0),"Quantité invalide",IF(J1601="","Prix manquant",IF(OR(NOT(ISNUMBER(J1601)),N(J1601)&lt;0),"Prix invalide",IF(OR(AND(F1601&lt;&gt;"",NOT(ISNUMBER(F1601))),N(F1601)&lt;0,N(F1601)&gt;1),"Remise invalide",IF(K1601="","Taux de TVA manquant",IF(NOT(ISNUMBER(K1601)),"Taux de TVA invalide",IF(COUNTIF(p_rates,K1601)=0,"Taux de TVA hors liste (Paramètres)",IF(N(O1601)&gt;25,"Au-delà de 25 lignes : non imprimée","OK")))))))))))))</f>
        <v/>
      </c>
      <c r="O1601" s="59" t="str">
        <f>IF(A1601="","",COUNTIF($A$6:A1601,A1601))</f>
        <v/>
      </c>
      <c r="P1601" s="62" t="str">
        <f>IF(A1601="","",A1601&amp;"|"&amp;O1601)</f>
        <v/>
      </c>
    </row>
    <row r="1602">
      <c r="A1602" s="60" t="n"/>
      <c r="B1602" s="63" t="n"/>
      <c r="C1602" s="63" t="n"/>
      <c r="D1602" s="67" t="n"/>
      <c r="E1602" s="68" t="n"/>
      <c r="F1602" s="69" t="n"/>
      <c r="G1602" s="70" t="n"/>
      <c r="H1602" s="62" t="str">
        <f>IF(COUNTA(A1602:G1602)=0,"",IF(C1602&lt;&gt;"",C1602,IF(B1602="","",IFERROR(INDEX(pr_des,MATCH(B1602,pr_code,0))&amp;"",""))))</f>
        <v/>
      </c>
      <c r="I1602" s="59" t="str">
        <f>IF(B1602="","",IFERROR(INDEX(pr_unit,MATCH(B1602,pr_code,0))&amp;"",""))</f>
        <v/>
      </c>
      <c r="J1602" s="65" t="str">
        <f>IF(COUNTA(A1602:G1602)=0,"",IF(E1602&lt;&gt;"",E1602,IF(B1602="","",IFERROR(IF(INDEX(pr_price,MATCH(B1602,pr_code,0))="","",INDEX(pr_price,MATCH(B1602,pr_code,0))),""))))</f>
        <v/>
      </c>
      <c r="K1602" s="71" t="str">
        <f>IF(COUNTA(A1602:G1602)=0,"",IF(G1602&lt;&gt;"",G1602,IF(B1602="","",IFERROR(IF(INDEX(pr_rate,MATCH(B1602,pr_code,0))="","",INDEX(pr_rate,MATCH(B1602,pr_code,0))),""))))</f>
        <v/>
      </c>
      <c r="L1602" s="65" t="str">
        <f>IF(COUNTA(A1602:G1602)=0,"",IF(AND(ISNUMBER(D1602),ISNUMBER(J1602)),ROUND(D1602*J1602*(1-N(F1602)),2),0))</f>
        <v/>
      </c>
      <c r="M1602" s="62" t="str">
        <f>IF(A1602="","",IFERROR(INDEX(fa_cname,MATCH(A1602,fa_num,0))&amp;"",""))</f>
        <v/>
      </c>
      <c r="N1602" s="59" t="str">
        <f>IF(COUNTA(A1602:G1602)=0,"",IF(A1602="","N° facture manquant",IF(ISNA(MATCH(A1602,fa_num,0)),"Facture inconnue",IF(AND(B1602&lt;&gt;"",ISNA(MATCH(B1602,pr_code,0))),"Article inconnu",IF(H1602="","Désignation manquante",IF(OR(NOT(ISNUMBER(D1602)),N(D1602)&lt;=0),"Quantité invalide",IF(J1602="","Prix manquant",IF(OR(NOT(ISNUMBER(J1602)),N(J1602)&lt;0),"Prix invalide",IF(OR(AND(F1602&lt;&gt;"",NOT(ISNUMBER(F1602))),N(F1602)&lt;0,N(F1602)&gt;1),"Remise invalide",IF(K1602="","Taux de TVA manquant",IF(NOT(ISNUMBER(K1602)),"Taux de TVA invalide",IF(COUNTIF(p_rates,K1602)=0,"Taux de TVA hors liste (Paramètres)",IF(N(O1602)&gt;25,"Au-delà de 25 lignes : non imprimée","OK")))))))))))))</f>
        <v/>
      </c>
      <c r="O1602" s="59" t="str">
        <f>IF(A1602="","",COUNTIF($A$6:A1602,A1602))</f>
        <v/>
      </c>
      <c r="P1602" s="62" t="str">
        <f>IF(A1602="","",A1602&amp;"|"&amp;O1602)</f>
        <v/>
      </c>
    </row>
    <row r="1603">
      <c r="A1603" s="60" t="n"/>
      <c r="B1603" s="63" t="n"/>
      <c r="C1603" s="63" t="n"/>
      <c r="D1603" s="67" t="n"/>
      <c r="E1603" s="68" t="n"/>
      <c r="F1603" s="69" t="n"/>
      <c r="G1603" s="70" t="n"/>
      <c r="H1603" s="62" t="str">
        <f>IF(COUNTA(A1603:G1603)=0,"",IF(C1603&lt;&gt;"",C1603,IF(B1603="","",IFERROR(INDEX(pr_des,MATCH(B1603,pr_code,0))&amp;"",""))))</f>
        <v/>
      </c>
      <c r="I1603" s="59" t="str">
        <f>IF(B1603="","",IFERROR(INDEX(pr_unit,MATCH(B1603,pr_code,0))&amp;"",""))</f>
        <v/>
      </c>
      <c r="J1603" s="65" t="str">
        <f>IF(COUNTA(A1603:G1603)=0,"",IF(E1603&lt;&gt;"",E1603,IF(B1603="","",IFERROR(IF(INDEX(pr_price,MATCH(B1603,pr_code,0))="","",INDEX(pr_price,MATCH(B1603,pr_code,0))),""))))</f>
        <v/>
      </c>
      <c r="K1603" s="71" t="str">
        <f>IF(COUNTA(A1603:G1603)=0,"",IF(G1603&lt;&gt;"",G1603,IF(B1603="","",IFERROR(IF(INDEX(pr_rate,MATCH(B1603,pr_code,0))="","",INDEX(pr_rate,MATCH(B1603,pr_code,0))),""))))</f>
        <v/>
      </c>
      <c r="L1603" s="65" t="str">
        <f>IF(COUNTA(A1603:G1603)=0,"",IF(AND(ISNUMBER(D1603),ISNUMBER(J1603)),ROUND(D1603*J1603*(1-N(F1603)),2),0))</f>
        <v/>
      </c>
      <c r="M1603" s="62" t="str">
        <f>IF(A1603="","",IFERROR(INDEX(fa_cname,MATCH(A1603,fa_num,0))&amp;"",""))</f>
        <v/>
      </c>
      <c r="N1603" s="59" t="str">
        <f>IF(COUNTA(A1603:G1603)=0,"",IF(A1603="","N° facture manquant",IF(ISNA(MATCH(A1603,fa_num,0)),"Facture inconnue",IF(AND(B1603&lt;&gt;"",ISNA(MATCH(B1603,pr_code,0))),"Article inconnu",IF(H1603="","Désignation manquante",IF(OR(NOT(ISNUMBER(D1603)),N(D1603)&lt;=0),"Quantité invalide",IF(J1603="","Prix manquant",IF(OR(NOT(ISNUMBER(J1603)),N(J1603)&lt;0),"Prix invalide",IF(OR(AND(F1603&lt;&gt;"",NOT(ISNUMBER(F1603))),N(F1603)&lt;0,N(F1603)&gt;1),"Remise invalide",IF(K1603="","Taux de TVA manquant",IF(NOT(ISNUMBER(K1603)),"Taux de TVA invalide",IF(COUNTIF(p_rates,K1603)=0,"Taux de TVA hors liste (Paramètres)",IF(N(O1603)&gt;25,"Au-delà de 25 lignes : non imprimée","OK")))))))))))))</f>
        <v/>
      </c>
      <c r="O1603" s="59" t="str">
        <f>IF(A1603="","",COUNTIF($A$6:A1603,A1603))</f>
        <v/>
      </c>
      <c r="P1603" s="62" t="str">
        <f>IF(A1603="","",A1603&amp;"|"&amp;O1603)</f>
        <v/>
      </c>
    </row>
    <row r="1604">
      <c r="A1604" s="60" t="n"/>
      <c r="B1604" s="63" t="n"/>
      <c r="C1604" s="63" t="n"/>
      <c r="D1604" s="67" t="n"/>
      <c r="E1604" s="68" t="n"/>
      <c r="F1604" s="69" t="n"/>
      <c r="G1604" s="70" t="n"/>
      <c r="H1604" s="62" t="str">
        <f>IF(COUNTA(A1604:G1604)=0,"",IF(C1604&lt;&gt;"",C1604,IF(B1604="","",IFERROR(INDEX(pr_des,MATCH(B1604,pr_code,0))&amp;"",""))))</f>
        <v/>
      </c>
      <c r="I1604" s="59" t="str">
        <f>IF(B1604="","",IFERROR(INDEX(pr_unit,MATCH(B1604,pr_code,0))&amp;"",""))</f>
        <v/>
      </c>
      <c r="J1604" s="65" t="str">
        <f>IF(COUNTA(A1604:G1604)=0,"",IF(E1604&lt;&gt;"",E1604,IF(B1604="","",IFERROR(IF(INDEX(pr_price,MATCH(B1604,pr_code,0))="","",INDEX(pr_price,MATCH(B1604,pr_code,0))),""))))</f>
        <v/>
      </c>
      <c r="K1604" s="71" t="str">
        <f>IF(COUNTA(A1604:G1604)=0,"",IF(G1604&lt;&gt;"",G1604,IF(B1604="","",IFERROR(IF(INDEX(pr_rate,MATCH(B1604,pr_code,0))="","",INDEX(pr_rate,MATCH(B1604,pr_code,0))),""))))</f>
        <v/>
      </c>
      <c r="L1604" s="65" t="str">
        <f>IF(COUNTA(A1604:G1604)=0,"",IF(AND(ISNUMBER(D1604),ISNUMBER(J1604)),ROUND(D1604*J1604*(1-N(F1604)),2),0))</f>
        <v/>
      </c>
      <c r="M1604" s="62" t="str">
        <f>IF(A1604="","",IFERROR(INDEX(fa_cname,MATCH(A1604,fa_num,0))&amp;"",""))</f>
        <v/>
      </c>
      <c r="N1604" s="59" t="str">
        <f>IF(COUNTA(A1604:G1604)=0,"",IF(A1604="","N° facture manquant",IF(ISNA(MATCH(A1604,fa_num,0)),"Facture inconnue",IF(AND(B1604&lt;&gt;"",ISNA(MATCH(B1604,pr_code,0))),"Article inconnu",IF(H1604="","Désignation manquante",IF(OR(NOT(ISNUMBER(D1604)),N(D1604)&lt;=0),"Quantité invalide",IF(J1604="","Prix manquant",IF(OR(NOT(ISNUMBER(J1604)),N(J1604)&lt;0),"Prix invalide",IF(OR(AND(F1604&lt;&gt;"",NOT(ISNUMBER(F1604))),N(F1604)&lt;0,N(F1604)&gt;1),"Remise invalide",IF(K1604="","Taux de TVA manquant",IF(NOT(ISNUMBER(K1604)),"Taux de TVA invalide",IF(COUNTIF(p_rates,K1604)=0,"Taux de TVA hors liste (Paramètres)",IF(N(O1604)&gt;25,"Au-delà de 25 lignes : non imprimée","OK")))))))))))))</f>
        <v/>
      </c>
      <c r="O1604" s="59" t="str">
        <f>IF(A1604="","",COUNTIF($A$6:A1604,A1604))</f>
        <v/>
      </c>
      <c r="P1604" s="62" t="str">
        <f>IF(A1604="","",A1604&amp;"|"&amp;O1604)</f>
        <v/>
      </c>
    </row>
    <row r="1605">
      <c r="A1605" s="60" t="n"/>
      <c r="B1605" s="63" t="n"/>
      <c r="C1605" s="63" t="n"/>
      <c r="D1605" s="67" t="n"/>
      <c r="E1605" s="68" t="n"/>
      <c r="F1605" s="69" t="n"/>
      <c r="G1605" s="70" t="n"/>
      <c r="H1605" s="62" t="str">
        <f>IF(COUNTA(A1605:G1605)=0,"",IF(C1605&lt;&gt;"",C1605,IF(B1605="","",IFERROR(INDEX(pr_des,MATCH(B1605,pr_code,0))&amp;"",""))))</f>
        <v/>
      </c>
      <c r="I1605" s="59" t="str">
        <f>IF(B1605="","",IFERROR(INDEX(pr_unit,MATCH(B1605,pr_code,0))&amp;"",""))</f>
        <v/>
      </c>
      <c r="J1605" s="65" t="str">
        <f>IF(COUNTA(A1605:G1605)=0,"",IF(E1605&lt;&gt;"",E1605,IF(B1605="","",IFERROR(IF(INDEX(pr_price,MATCH(B1605,pr_code,0))="","",INDEX(pr_price,MATCH(B1605,pr_code,0))),""))))</f>
        <v/>
      </c>
      <c r="K1605" s="71" t="str">
        <f>IF(COUNTA(A1605:G1605)=0,"",IF(G1605&lt;&gt;"",G1605,IF(B1605="","",IFERROR(IF(INDEX(pr_rate,MATCH(B1605,pr_code,0))="","",INDEX(pr_rate,MATCH(B1605,pr_code,0))),""))))</f>
        <v/>
      </c>
      <c r="L1605" s="65" t="str">
        <f>IF(COUNTA(A1605:G1605)=0,"",IF(AND(ISNUMBER(D1605),ISNUMBER(J1605)),ROUND(D1605*J1605*(1-N(F1605)),2),0))</f>
        <v/>
      </c>
      <c r="M1605" s="62" t="str">
        <f>IF(A1605="","",IFERROR(INDEX(fa_cname,MATCH(A1605,fa_num,0))&amp;"",""))</f>
        <v/>
      </c>
      <c r="N1605" s="59" t="str">
        <f>IF(COUNTA(A1605:G1605)=0,"",IF(A1605="","N° facture manquant",IF(ISNA(MATCH(A1605,fa_num,0)),"Facture inconnue",IF(AND(B1605&lt;&gt;"",ISNA(MATCH(B1605,pr_code,0))),"Article inconnu",IF(H1605="","Désignation manquante",IF(OR(NOT(ISNUMBER(D1605)),N(D1605)&lt;=0),"Quantité invalide",IF(J1605="","Prix manquant",IF(OR(NOT(ISNUMBER(J1605)),N(J1605)&lt;0),"Prix invalide",IF(OR(AND(F1605&lt;&gt;"",NOT(ISNUMBER(F1605))),N(F1605)&lt;0,N(F1605)&gt;1),"Remise invalide",IF(K1605="","Taux de TVA manquant",IF(NOT(ISNUMBER(K1605)),"Taux de TVA invalide",IF(COUNTIF(p_rates,K1605)=0,"Taux de TVA hors liste (Paramètres)",IF(N(O1605)&gt;25,"Au-delà de 25 lignes : non imprimée","OK")))))))))))))</f>
        <v/>
      </c>
      <c r="O1605" s="59" t="str">
        <f>IF(A1605="","",COUNTIF($A$6:A1605,A1605))</f>
        <v/>
      </c>
      <c r="P1605" s="62" t="str">
        <f>IF(A1605="","",A1605&amp;"|"&amp;O1605)</f>
        <v/>
      </c>
    </row>
    <row r="1606">
      <c r="A1606" s="60" t="n"/>
      <c r="B1606" s="63" t="n"/>
      <c r="C1606" s="63" t="n"/>
      <c r="D1606" s="67" t="n"/>
      <c r="E1606" s="68" t="n"/>
      <c r="F1606" s="69" t="n"/>
      <c r="G1606" s="70" t="n"/>
      <c r="H1606" s="62" t="str">
        <f>IF(COUNTA(A1606:G1606)=0,"",IF(C1606&lt;&gt;"",C1606,IF(B1606="","",IFERROR(INDEX(pr_des,MATCH(B1606,pr_code,0))&amp;"",""))))</f>
        <v/>
      </c>
      <c r="I1606" s="59" t="str">
        <f>IF(B1606="","",IFERROR(INDEX(pr_unit,MATCH(B1606,pr_code,0))&amp;"",""))</f>
        <v/>
      </c>
      <c r="J1606" s="65" t="str">
        <f>IF(COUNTA(A1606:G1606)=0,"",IF(E1606&lt;&gt;"",E1606,IF(B1606="","",IFERROR(IF(INDEX(pr_price,MATCH(B1606,pr_code,0))="","",INDEX(pr_price,MATCH(B1606,pr_code,0))),""))))</f>
        <v/>
      </c>
      <c r="K1606" s="71" t="str">
        <f>IF(COUNTA(A1606:G1606)=0,"",IF(G1606&lt;&gt;"",G1606,IF(B1606="","",IFERROR(IF(INDEX(pr_rate,MATCH(B1606,pr_code,0))="","",INDEX(pr_rate,MATCH(B1606,pr_code,0))),""))))</f>
        <v/>
      </c>
      <c r="L1606" s="65" t="str">
        <f>IF(COUNTA(A1606:G1606)=0,"",IF(AND(ISNUMBER(D1606),ISNUMBER(J1606)),ROUND(D1606*J1606*(1-N(F1606)),2),0))</f>
        <v/>
      </c>
      <c r="M1606" s="62" t="str">
        <f>IF(A1606="","",IFERROR(INDEX(fa_cname,MATCH(A1606,fa_num,0))&amp;"",""))</f>
        <v/>
      </c>
      <c r="N1606" s="59" t="str">
        <f>IF(COUNTA(A1606:G1606)=0,"",IF(A1606="","N° facture manquant",IF(ISNA(MATCH(A1606,fa_num,0)),"Facture inconnue",IF(AND(B1606&lt;&gt;"",ISNA(MATCH(B1606,pr_code,0))),"Article inconnu",IF(H1606="","Désignation manquante",IF(OR(NOT(ISNUMBER(D1606)),N(D1606)&lt;=0),"Quantité invalide",IF(J1606="","Prix manquant",IF(OR(NOT(ISNUMBER(J1606)),N(J1606)&lt;0),"Prix invalide",IF(OR(AND(F1606&lt;&gt;"",NOT(ISNUMBER(F1606))),N(F1606)&lt;0,N(F1606)&gt;1),"Remise invalide",IF(K1606="","Taux de TVA manquant",IF(NOT(ISNUMBER(K1606)),"Taux de TVA invalide",IF(COUNTIF(p_rates,K1606)=0,"Taux de TVA hors liste (Paramètres)",IF(N(O1606)&gt;25,"Au-delà de 25 lignes : non imprimée","OK")))))))))))))</f>
        <v/>
      </c>
      <c r="O1606" s="59" t="str">
        <f>IF(A1606="","",COUNTIF($A$6:A1606,A1606))</f>
        <v/>
      </c>
      <c r="P1606" s="62" t="str">
        <f>IF(A1606="","",A1606&amp;"|"&amp;O1606)</f>
        <v/>
      </c>
    </row>
    <row r="1607">
      <c r="A1607" s="60" t="n"/>
      <c r="B1607" s="63" t="n"/>
      <c r="C1607" s="63" t="n"/>
      <c r="D1607" s="67" t="n"/>
      <c r="E1607" s="68" t="n"/>
      <c r="F1607" s="69" t="n"/>
      <c r="G1607" s="70" t="n"/>
      <c r="H1607" s="62" t="str">
        <f>IF(COUNTA(A1607:G1607)=0,"",IF(C1607&lt;&gt;"",C1607,IF(B1607="","",IFERROR(INDEX(pr_des,MATCH(B1607,pr_code,0))&amp;"",""))))</f>
        <v/>
      </c>
      <c r="I1607" s="59" t="str">
        <f>IF(B1607="","",IFERROR(INDEX(pr_unit,MATCH(B1607,pr_code,0))&amp;"",""))</f>
        <v/>
      </c>
      <c r="J1607" s="65" t="str">
        <f>IF(COUNTA(A1607:G1607)=0,"",IF(E1607&lt;&gt;"",E1607,IF(B1607="","",IFERROR(IF(INDEX(pr_price,MATCH(B1607,pr_code,0))="","",INDEX(pr_price,MATCH(B1607,pr_code,0))),""))))</f>
        <v/>
      </c>
      <c r="K1607" s="71" t="str">
        <f>IF(COUNTA(A1607:G1607)=0,"",IF(G1607&lt;&gt;"",G1607,IF(B1607="","",IFERROR(IF(INDEX(pr_rate,MATCH(B1607,pr_code,0))="","",INDEX(pr_rate,MATCH(B1607,pr_code,0))),""))))</f>
        <v/>
      </c>
      <c r="L1607" s="65" t="str">
        <f>IF(COUNTA(A1607:G1607)=0,"",IF(AND(ISNUMBER(D1607),ISNUMBER(J1607)),ROUND(D1607*J1607*(1-N(F1607)),2),0))</f>
        <v/>
      </c>
      <c r="M1607" s="62" t="str">
        <f>IF(A1607="","",IFERROR(INDEX(fa_cname,MATCH(A1607,fa_num,0))&amp;"",""))</f>
        <v/>
      </c>
      <c r="N1607" s="59" t="str">
        <f>IF(COUNTA(A1607:G1607)=0,"",IF(A1607="","N° facture manquant",IF(ISNA(MATCH(A1607,fa_num,0)),"Facture inconnue",IF(AND(B1607&lt;&gt;"",ISNA(MATCH(B1607,pr_code,0))),"Article inconnu",IF(H1607="","Désignation manquante",IF(OR(NOT(ISNUMBER(D1607)),N(D1607)&lt;=0),"Quantité invalide",IF(J1607="","Prix manquant",IF(OR(NOT(ISNUMBER(J1607)),N(J1607)&lt;0),"Prix invalide",IF(OR(AND(F1607&lt;&gt;"",NOT(ISNUMBER(F1607))),N(F1607)&lt;0,N(F1607)&gt;1),"Remise invalide",IF(K1607="","Taux de TVA manquant",IF(NOT(ISNUMBER(K1607)),"Taux de TVA invalide",IF(COUNTIF(p_rates,K1607)=0,"Taux de TVA hors liste (Paramètres)",IF(N(O1607)&gt;25,"Au-delà de 25 lignes : non imprimée","OK")))))))))))))</f>
        <v/>
      </c>
      <c r="O1607" s="59" t="str">
        <f>IF(A1607="","",COUNTIF($A$6:A1607,A1607))</f>
        <v/>
      </c>
      <c r="P1607" s="62" t="str">
        <f>IF(A1607="","",A1607&amp;"|"&amp;O1607)</f>
        <v/>
      </c>
    </row>
    <row r="1608">
      <c r="A1608" s="60" t="n"/>
      <c r="B1608" s="63" t="n"/>
      <c r="C1608" s="63" t="n"/>
      <c r="D1608" s="67" t="n"/>
      <c r="E1608" s="68" t="n"/>
      <c r="F1608" s="69" t="n"/>
      <c r="G1608" s="70" t="n"/>
      <c r="H1608" s="62" t="str">
        <f>IF(COUNTA(A1608:G1608)=0,"",IF(C1608&lt;&gt;"",C1608,IF(B1608="","",IFERROR(INDEX(pr_des,MATCH(B1608,pr_code,0))&amp;"",""))))</f>
        <v/>
      </c>
      <c r="I1608" s="59" t="str">
        <f>IF(B1608="","",IFERROR(INDEX(pr_unit,MATCH(B1608,pr_code,0))&amp;"",""))</f>
        <v/>
      </c>
      <c r="J1608" s="65" t="str">
        <f>IF(COUNTA(A1608:G1608)=0,"",IF(E1608&lt;&gt;"",E1608,IF(B1608="","",IFERROR(IF(INDEX(pr_price,MATCH(B1608,pr_code,0))="","",INDEX(pr_price,MATCH(B1608,pr_code,0))),""))))</f>
        <v/>
      </c>
      <c r="K1608" s="71" t="str">
        <f>IF(COUNTA(A1608:G1608)=0,"",IF(G1608&lt;&gt;"",G1608,IF(B1608="","",IFERROR(IF(INDEX(pr_rate,MATCH(B1608,pr_code,0))="","",INDEX(pr_rate,MATCH(B1608,pr_code,0))),""))))</f>
        <v/>
      </c>
      <c r="L1608" s="65" t="str">
        <f>IF(COUNTA(A1608:G1608)=0,"",IF(AND(ISNUMBER(D1608),ISNUMBER(J1608)),ROUND(D1608*J1608*(1-N(F1608)),2),0))</f>
        <v/>
      </c>
      <c r="M1608" s="62" t="str">
        <f>IF(A1608="","",IFERROR(INDEX(fa_cname,MATCH(A1608,fa_num,0))&amp;"",""))</f>
        <v/>
      </c>
      <c r="N1608" s="59" t="str">
        <f>IF(COUNTA(A1608:G1608)=0,"",IF(A1608="","N° facture manquant",IF(ISNA(MATCH(A1608,fa_num,0)),"Facture inconnue",IF(AND(B1608&lt;&gt;"",ISNA(MATCH(B1608,pr_code,0))),"Article inconnu",IF(H1608="","Désignation manquante",IF(OR(NOT(ISNUMBER(D1608)),N(D1608)&lt;=0),"Quantité invalide",IF(J1608="","Prix manquant",IF(OR(NOT(ISNUMBER(J1608)),N(J1608)&lt;0),"Prix invalide",IF(OR(AND(F1608&lt;&gt;"",NOT(ISNUMBER(F1608))),N(F1608)&lt;0,N(F1608)&gt;1),"Remise invalide",IF(K1608="","Taux de TVA manquant",IF(NOT(ISNUMBER(K1608)),"Taux de TVA invalide",IF(COUNTIF(p_rates,K1608)=0,"Taux de TVA hors liste (Paramètres)",IF(N(O1608)&gt;25,"Au-delà de 25 lignes : non imprimée","OK")))))))))))))</f>
        <v/>
      </c>
      <c r="O1608" s="59" t="str">
        <f>IF(A1608="","",COUNTIF($A$6:A1608,A1608))</f>
        <v/>
      </c>
      <c r="P1608" s="62" t="str">
        <f>IF(A1608="","",A1608&amp;"|"&amp;O1608)</f>
        <v/>
      </c>
    </row>
    <row r="1609">
      <c r="A1609" s="60" t="n"/>
      <c r="B1609" s="63" t="n"/>
      <c r="C1609" s="63" t="n"/>
      <c r="D1609" s="67" t="n"/>
      <c r="E1609" s="68" t="n"/>
      <c r="F1609" s="69" t="n"/>
      <c r="G1609" s="70" t="n"/>
      <c r="H1609" s="62" t="str">
        <f>IF(COUNTA(A1609:G1609)=0,"",IF(C1609&lt;&gt;"",C1609,IF(B1609="","",IFERROR(INDEX(pr_des,MATCH(B1609,pr_code,0))&amp;"",""))))</f>
        <v/>
      </c>
      <c r="I1609" s="59" t="str">
        <f>IF(B1609="","",IFERROR(INDEX(pr_unit,MATCH(B1609,pr_code,0))&amp;"",""))</f>
        <v/>
      </c>
      <c r="J1609" s="65" t="str">
        <f>IF(COUNTA(A1609:G1609)=0,"",IF(E1609&lt;&gt;"",E1609,IF(B1609="","",IFERROR(IF(INDEX(pr_price,MATCH(B1609,pr_code,0))="","",INDEX(pr_price,MATCH(B1609,pr_code,0))),""))))</f>
        <v/>
      </c>
      <c r="K1609" s="71" t="str">
        <f>IF(COUNTA(A1609:G1609)=0,"",IF(G1609&lt;&gt;"",G1609,IF(B1609="","",IFERROR(IF(INDEX(pr_rate,MATCH(B1609,pr_code,0))="","",INDEX(pr_rate,MATCH(B1609,pr_code,0))),""))))</f>
        <v/>
      </c>
      <c r="L1609" s="65" t="str">
        <f>IF(COUNTA(A1609:G1609)=0,"",IF(AND(ISNUMBER(D1609),ISNUMBER(J1609)),ROUND(D1609*J1609*(1-N(F1609)),2),0))</f>
        <v/>
      </c>
      <c r="M1609" s="62" t="str">
        <f>IF(A1609="","",IFERROR(INDEX(fa_cname,MATCH(A1609,fa_num,0))&amp;"",""))</f>
        <v/>
      </c>
      <c r="N1609" s="59" t="str">
        <f>IF(COUNTA(A1609:G1609)=0,"",IF(A1609="","N° facture manquant",IF(ISNA(MATCH(A1609,fa_num,0)),"Facture inconnue",IF(AND(B1609&lt;&gt;"",ISNA(MATCH(B1609,pr_code,0))),"Article inconnu",IF(H1609="","Désignation manquante",IF(OR(NOT(ISNUMBER(D1609)),N(D1609)&lt;=0),"Quantité invalide",IF(J1609="","Prix manquant",IF(OR(NOT(ISNUMBER(J1609)),N(J1609)&lt;0),"Prix invalide",IF(OR(AND(F1609&lt;&gt;"",NOT(ISNUMBER(F1609))),N(F1609)&lt;0,N(F1609)&gt;1),"Remise invalide",IF(K1609="","Taux de TVA manquant",IF(NOT(ISNUMBER(K1609)),"Taux de TVA invalide",IF(COUNTIF(p_rates,K1609)=0,"Taux de TVA hors liste (Paramètres)",IF(N(O1609)&gt;25,"Au-delà de 25 lignes : non imprimée","OK")))))))))))))</f>
        <v/>
      </c>
      <c r="O1609" s="59" t="str">
        <f>IF(A1609="","",COUNTIF($A$6:A1609,A1609))</f>
        <v/>
      </c>
      <c r="P1609" s="62" t="str">
        <f>IF(A1609="","",A1609&amp;"|"&amp;O1609)</f>
        <v/>
      </c>
    </row>
    <row r="1610">
      <c r="A1610" s="60" t="n"/>
      <c r="B1610" s="63" t="n"/>
      <c r="C1610" s="63" t="n"/>
      <c r="D1610" s="67" t="n"/>
      <c r="E1610" s="68" t="n"/>
      <c r="F1610" s="69" t="n"/>
      <c r="G1610" s="70" t="n"/>
      <c r="H1610" s="62" t="str">
        <f>IF(COUNTA(A1610:G1610)=0,"",IF(C1610&lt;&gt;"",C1610,IF(B1610="","",IFERROR(INDEX(pr_des,MATCH(B1610,pr_code,0))&amp;"",""))))</f>
        <v/>
      </c>
      <c r="I1610" s="59" t="str">
        <f>IF(B1610="","",IFERROR(INDEX(pr_unit,MATCH(B1610,pr_code,0))&amp;"",""))</f>
        <v/>
      </c>
      <c r="J1610" s="65" t="str">
        <f>IF(COUNTA(A1610:G1610)=0,"",IF(E1610&lt;&gt;"",E1610,IF(B1610="","",IFERROR(IF(INDEX(pr_price,MATCH(B1610,pr_code,0))="","",INDEX(pr_price,MATCH(B1610,pr_code,0))),""))))</f>
        <v/>
      </c>
      <c r="K1610" s="71" t="str">
        <f>IF(COUNTA(A1610:G1610)=0,"",IF(G1610&lt;&gt;"",G1610,IF(B1610="","",IFERROR(IF(INDEX(pr_rate,MATCH(B1610,pr_code,0))="","",INDEX(pr_rate,MATCH(B1610,pr_code,0))),""))))</f>
        <v/>
      </c>
      <c r="L1610" s="65" t="str">
        <f>IF(COUNTA(A1610:G1610)=0,"",IF(AND(ISNUMBER(D1610),ISNUMBER(J1610)),ROUND(D1610*J1610*(1-N(F1610)),2),0))</f>
        <v/>
      </c>
      <c r="M1610" s="62" t="str">
        <f>IF(A1610="","",IFERROR(INDEX(fa_cname,MATCH(A1610,fa_num,0))&amp;"",""))</f>
        <v/>
      </c>
      <c r="N1610" s="59" t="str">
        <f>IF(COUNTA(A1610:G1610)=0,"",IF(A1610="","N° facture manquant",IF(ISNA(MATCH(A1610,fa_num,0)),"Facture inconnue",IF(AND(B1610&lt;&gt;"",ISNA(MATCH(B1610,pr_code,0))),"Article inconnu",IF(H1610="","Désignation manquante",IF(OR(NOT(ISNUMBER(D1610)),N(D1610)&lt;=0),"Quantité invalide",IF(J1610="","Prix manquant",IF(OR(NOT(ISNUMBER(J1610)),N(J1610)&lt;0),"Prix invalide",IF(OR(AND(F1610&lt;&gt;"",NOT(ISNUMBER(F1610))),N(F1610)&lt;0,N(F1610)&gt;1),"Remise invalide",IF(K1610="","Taux de TVA manquant",IF(NOT(ISNUMBER(K1610)),"Taux de TVA invalide",IF(COUNTIF(p_rates,K1610)=0,"Taux de TVA hors liste (Paramètres)",IF(N(O1610)&gt;25,"Au-delà de 25 lignes : non imprimée","OK")))))))))))))</f>
        <v/>
      </c>
      <c r="O1610" s="59" t="str">
        <f>IF(A1610="","",COUNTIF($A$6:A1610,A1610))</f>
        <v/>
      </c>
      <c r="P1610" s="62" t="str">
        <f>IF(A1610="","",A1610&amp;"|"&amp;O1610)</f>
        <v/>
      </c>
    </row>
    <row r="1611">
      <c r="A1611" s="60" t="n"/>
      <c r="B1611" s="63" t="n"/>
      <c r="C1611" s="63" t="n"/>
      <c r="D1611" s="67" t="n"/>
      <c r="E1611" s="68" t="n"/>
      <c r="F1611" s="69" t="n"/>
      <c r="G1611" s="70" t="n"/>
      <c r="H1611" s="62" t="str">
        <f>IF(COUNTA(A1611:G1611)=0,"",IF(C1611&lt;&gt;"",C1611,IF(B1611="","",IFERROR(INDEX(pr_des,MATCH(B1611,pr_code,0))&amp;"",""))))</f>
        <v/>
      </c>
      <c r="I1611" s="59" t="str">
        <f>IF(B1611="","",IFERROR(INDEX(pr_unit,MATCH(B1611,pr_code,0))&amp;"",""))</f>
        <v/>
      </c>
      <c r="J1611" s="65" t="str">
        <f>IF(COUNTA(A1611:G1611)=0,"",IF(E1611&lt;&gt;"",E1611,IF(B1611="","",IFERROR(IF(INDEX(pr_price,MATCH(B1611,pr_code,0))="","",INDEX(pr_price,MATCH(B1611,pr_code,0))),""))))</f>
        <v/>
      </c>
      <c r="K1611" s="71" t="str">
        <f>IF(COUNTA(A1611:G1611)=0,"",IF(G1611&lt;&gt;"",G1611,IF(B1611="","",IFERROR(IF(INDEX(pr_rate,MATCH(B1611,pr_code,0))="","",INDEX(pr_rate,MATCH(B1611,pr_code,0))),""))))</f>
        <v/>
      </c>
      <c r="L1611" s="65" t="str">
        <f>IF(COUNTA(A1611:G1611)=0,"",IF(AND(ISNUMBER(D1611),ISNUMBER(J1611)),ROUND(D1611*J1611*(1-N(F1611)),2),0))</f>
        <v/>
      </c>
      <c r="M1611" s="62" t="str">
        <f>IF(A1611="","",IFERROR(INDEX(fa_cname,MATCH(A1611,fa_num,0))&amp;"",""))</f>
        <v/>
      </c>
      <c r="N1611" s="59" t="str">
        <f>IF(COUNTA(A1611:G1611)=0,"",IF(A1611="","N° facture manquant",IF(ISNA(MATCH(A1611,fa_num,0)),"Facture inconnue",IF(AND(B1611&lt;&gt;"",ISNA(MATCH(B1611,pr_code,0))),"Article inconnu",IF(H1611="","Désignation manquante",IF(OR(NOT(ISNUMBER(D1611)),N(D1611)&lt;=0),"Quantité invalide",IF(J1611="","Prix manquant",IF(OR(NOT(ISNUMBER(J1611)),N(J1611)&lt;0),"Prix invalide",IF(OR(AND(F1611&lt;&gt;"",NOT(ISNUMBER(F1611))),N(F1611)&lt;0,N(F1611)&gt;1),"Remise invalide",IF(K1611="","Taux de TVA manquant",IF(NOT(ISNUMBER(K1611)),"Taux de TVA invalide",IF(COUNTIF(p_rates,K1611)=0,"Taux de TVA hors liste (Paramètres)",IF(N(O1611)&gt;25,"Au-delà de 25 lignes : non imprimée","OK")))))))))))))</f>
        <v/>
      </c>
      <c r="O1611" s="59" t="str">
        <f>IF(A1611="","",COUNTIF($A$6:A1611,A1611))</f>
        <v/>
      </c>
      <c r="P1611" s="62" t="str">
        <f>IF(A1611="","",A1611&amp;"|"&amp;O1611)</f>
        <v/>
      </c>
    </row>
    <row r="1612">
      <c r="A1612" s="60" t="n"/>
      <c r="B1612" s="63" t="n"/>
      <c r="C1612" s="63" t="n"/>
      <c r="D1612" s="67" t="n"/>
      <c r="E1612" s="68" t="n"/>
      <c r="F1612" s="69" t="n"/>
      <c r="G1612" s="70" t="n"/>
      <c r="H1612" s="62" t="str">
        <f>IF(COUNTA(A1612:G1612)=0,"",IF(C1612&lt;&gt;"",C1612,IF(B1612="","",IFERROR(INDEX(pr_des,MATCH(B1612,pr_code,0))&amp;"",""))))</f>
        <v/>
      </c>
      <c r="I1612" s="59" t="str">
        <f>IF(B1612="","",IFERROR(INDEX(pr_unit,MATCH(B1612,pr_code,0))&amp;"",""))</f>
        <v/>
      </c>
      <c r="J1612" s="65" t="str">
        <f>IF(COUNTA(A1612:G1612)=0,"",IF(E1612&lt;&gt;"",E1612,IF(B1612="","",IFERROR(IF(INDEX(pr_price,MATCH(B1612,pr_code,0))="","",INDEX(pr_price,MATCH(B1612,pr_code,0))),""))))</f>
        <v/>
      </c>
      <c r="K1612" s="71" t="str">
        <f>IF(COUNTA(A1612:G1612)=0,"",IF(G1612&lt;&gt;"",G1612,IF(B1612="","",IFERROR(IF(INDEX(pr_rate,MATCH(B1612,pr_code,0))="","",INDEX(pr_rate,MATCH(B1612,pr_code,0))),""))))</f>
        <v/>
      </c>
      <c r="L1612" s="65" t="str">
        <f>IF(COUNTA(A1612:G1612)=0,"",IF(AND(ISNUMBER(D1612),ISNUMBER(J1612)),ROUND(D1612*J1612*(1-N(F1612)),2),0))</f>
        <v/>
      </c>
      <c r="M1612" s="62" t="str">
        <f>IF(A1612="","",IFERROR(INDEX(fa_cname,MATCH(A1612,fa_num,0))&amp;"",""))</f>
        <v/>
      </c>
      <c r="N1612" s="59" t="str">
        <f>IF(COUNTA(A1612:G1612)=0,"",IF(A1612="","N° facture manquant",IF(ISNA(MATCH(A1612,fa_num,0)),"Facture inconnue",IF(AND(B1612&lt;&gt;"",ISNA(MATCH(B1612,pr_code,0))),"Article inconnu",IF(H1612="","Désignation manquante",IF(OR(NOT(ISNUMBER(D1612)),N(D1612)&lt;=0),"Quantité invalide",IF(J1612="","Prix manquant",IF(OR(NOT(ISNUMBER(J1612)),N(J1612)&lt;0),"Prix invalide",IF(OR(AND(F1612&lt;&gt;"",NOT(ISNUMBER(F1612))),N(F1612)&lt;0,N(F1612)&gt;1),"Remise invalide",IF(K1612="","Taux de TVA manquant",IF(NOT(ISNUMBER(K1612)),"Taux de TVA invalide",IF(COUNTIF(p_rates,K1612)=0,"Taux de TVA hors liste (Paramètres)",IF(N(O1612)&gt;25,"Au-delà de 25 lignes : non imprimée","OK")))))))))))))</f>
        <v/>
      </c>
      <c r="O1612" s="59" t="str">
        <f>IF(A1612="","",COUNTIF($A$6:A1612,A1612))</f>
        <v/>
      </c>
      <c r="P1612" s="62" t="str">
        <f>IF(A1612="","",A1612&amp;"|"&amp;O1612)</f>
        <v/>
      </c>
    </row>
    <row r="1613">
      <c r="A1613" s="60" t="n"/>
      <c r="B1613" s="63" t="n"/>
      <c r="C1613" s="63" t="n"/>
      <c r="D1613" s="67" t="n"/>
      <c r="E1613" s="68" t="n"/>
      <c r="F1613" s="69" t="n"/>
      <c r="G1613" s="70" t="n"/>
      <c r="H1613" s="62" t="str">
        <f>IF(COUNTA(A1613:G1613)=0,"",IF(C1613&lt;&gt;"",C1613,IF(B1613="","",IFERROR(INDEX(pr_des,MATCH(B1613,pr_code,0))&amp;"",""))))</f>
        <v/>
      </c>
      <c r="I1613" s="59" t="str">
        <f>IF(B1613="","",IFERROR(INDEX(pr_unit,MATCH(B1613,pr_code,0))&amp;"",""))</f>
        <v/>
      </c>
      <c r="J1613" s="65" t="str">
        <f>IF(COUNTA(A1613:G1613)=0,"",IF(E1613&lt;&gt;"",E1613,IF(B1613="","",IFERROR(IF(INDEX(pr_price,MATCH(B1613,pr_code,0))="","",INDEX(pr_price,MATCH(B1613,pr_code,0))),""))))</f>
        <v/>
      </c>
      <c r="K1613" s="71" t="str">
        <f>IF(COUNTA(A1613:G1613)=0,"",IF(G1613&lt;&gt;"",G1613,IF(B1613="","",IFERROR(IF(INDEX(pr_rate,MATCH(B1613,pr_code,0))="","",INDEX(pr_rate,MATCH(B1613,pr_code,0))),""))))</f>
        <v/>
      </c>
      <c r="L1613" s="65" t="str">
        <f>IF(COUNTA(A1613:G1613)=0,"",IF(AND(ISNUMBER(D1613),ISNUMBER(J1613)),ROUND(D1613*J1613*(1-N(F1613)),2),0))</f>
        <v/>
      </c>
      <c r="M1613" s="62" t="str">
        <f>IF(A1613="","",IFERROR(INDEX(fa_cname,MATCH(A1613,fa_num,0))&amp;"",""))</f>
        <v/>
      </c>
      <c r="N1613" s="59" t="str">
        <f>IF(COUNTA(A1613:G1613)=0,"",IF(A1613="","N° facture manquant",IF(ISNA(MATCH(A1613,fa_num,0)),"Facture inconnue",IF(AND(B1613&lt;&gt;"",ISNA(MATCH(B1613,pr_code,0))),"Article inconnu",IF(H1613="","Désignation manquante",IF(OR(NOT(ISNUMBER(D1613)),N(D1613)&lt;=0),"Quantité invalide",IF(J1613="","Prix manquant",IF(OR(NOT(ISNUMBER(J1613)),N(J1613)&lt;0),"Prix invalide",IF(OR(AND(F1613&lt;&gt;"",NOT(ISNUMBER(F1613))),N(F1613)&lt;0,N(F1613)&gt;1),"Remise invalide",IF(K1613="","Taux de TVA manquant",IF(NOT(ISNUMBER(K1613)),"Taux de TVA invalide",IF(COUNTIF(p_rates,K1613)=0,"Taux de TVA hors liste (Paramètres)",IF(N(O1613)&gt;25,"Au-delà de 25 lignes : non imprimée","OK")))))))))))))</f>
        <v/>
      </c>
      <c r="O1613" s="59" t="str">
        <f>IF(A1613="","",COUNTIF($A$6:A1613,A1613))</f>
        <v/>
      </c>
      <c r="P1613" s="62" t="str">
        <f>IF(A1613="","",A1613&amp;"|"&amp;O1613)</f>
        <v/>
      </c>
    </row>
    <row r="1614">
      <c r="A1614" s="60" t="n"/>
      <c r="B1614" s="63" t="n"/>
      <c r="C1614" s="63" t="n"/>
      <c r="D1614" s="67" t="n"/>
      <c r="E1614" s="68" t="n"/>
      <c r="F1614" s="69" t="n"/>
      <c r="G1614" s="70" t="n"/>
      <c r="H1614" s="62" t="str">
        <f>IF(COUNTA(A1614:G1614)=0,"",IF(C1614&lt;&gt;"",C1614,IF(B1614="","",IFERROR(INDEX(pr_des,MATCH(B1614,pr_code,0))&amp;"",""))))</f>
        <v/>
      </c>
      <c r="I1614" s="59" t="str">
        <f>IF(B1614="","",IFERROR(INDEX(pr_unit,MATCH(B1614,pr_code,0))&amp;"",""))</f>
        <v/>
      </c>
      <c r="J1614" s="65" t="str">
        <f>IF(COUNTA(A1614:G1614)=0,"",IF(E1614&lt;&gt;"",E1614,IF(B1614="","",IFERROR(IF(INDEX(pr_price,MATCH(B1614,pr_code,0))="","",INDEX(pr_price,MATCH(B1614,pr_code,0))),""))))</f>
        <v/>
      </c>
      <c r="K1614" s="71" t="str">
        <f>IF(COUNTA(A1614:G1614)=0,"",IF(G1614&lt;&gt;"",G1614,IF(B1614="","",IFERROR(IF(INDEX(pr_rate,MATCH(B1614,pr_code,0))="","",INDEX(pr_rate,MATCH(B1614,pr_code,0))),""))))</f>
        <v/>
      </c>
      <c r="L1614" s="65" t="str">
        <f>IF(COUNTA(A1614:G1614)=0,"",IF(AND(ISNUMBER(D1614),ISNUMBER(J1614)),ROUND(D1614*J1614*(1-N(F1614)),2),0))</f>
        <v/>
      </c>
      <c r="M1614" s="62" t="str">
        <f>IF(A1614="","",IFERROR(INDEX(fa_cname,MATCH(A1614,fa_num,0))&amp;"",""))</f>
        <v/>
      </c>
      <c r="N1614" s="59" t="str">
        <f>IF(COUNTA(A1614:G1614)=0,"",IF(A1614="","N° facture manquant",IF(ISNA(MATCH(A1614,fa_num,0)),"Facture inconnue",IF(AND(B1614&lt;&gt;"",ISNA(MATCH(B1614,pr_code,0))),"Article inconnu",IF(H1614="","Désignation manquante",IF(OR(NOT(ISNUMBER(D1614)),N(D1614)&lt;=0),"Quantité invalide",IF(J1614="","Prix manquant",IF(OR(NOT(ISNUMBER(J1614)),N(J1614)&lt;0),"Prix invalide",IF(OR(AND(F1614&lt;&gt;"",NOT(ISNUMBER(F1614))),N(F1614)&lt;0,N(F1614)&gt;1),"Remise invalide",IF(K1614="","Taux de TVA manquant",IF(NOT(ISNUMBER(K1614)),"Taux de TVA invalide",IF(COUNTIF(p_rates,K1614)=0,"Taux de TVA hors liste (Paramètres)",IF(N(O1614)&gt;25,"Au-delà de 25 lignes : non imprimée","OK")))))))))))))</f>
        <v/>
      </c>
      <c r="O1614" s="59" t="str">
        <f>IF(A1614="","",COUNTIF($A$6:A1614,A1614))</f>
        <v/>
      </c>
      <c r="P1614" s="62" t="str">
        <f>IF(A1614="","",A1614&amp;"|"&amp;O1614)</f>
        <v/>
      </c>
    </row>
    <row r="1615">
      <c r="A1615" s="60" t="n"/>
      <c r="B1615" s="63" t="n"/>
      <c r="C1615" s="63" t="n"/>
      <c r="D1615" s="67" t="n"/>
      <c r="E1615" s="68" t="n"/>
      <c r="F1615" s="69" t="n"/>
      <c r="G1615" s="70" t="n"/>
      <c r="H1615" s="62" t="str">
        <f>IF(COUNTA(A1615:G1615)=0,"",IF(C1615&lt;&gt;"",C1615,IF(B1615="","",IFERROR(INDEX(pr_des,MATCH(B1615,pr_code,0))&amp;"",""))))</f>
        <v/>
      </c>
      <c r="I1615" s="59" t="str">
        <f>IF(B1615="","",IFERROR(INDEX(pr_unit,MATCH(B1615,pr_code,0))&amp;"",""))</f>
        <v/>
      </c>
      <c r="J1615" s="65" t="str">
        <f>IF(COUNTA(A1615:G1615)=0,"",IF(E1615&lt;&gt;"",E1615,IF(B1615="","",IFERROR(IF(INDEX(pr_price,MATCH(B1615,pr_code,0))="","",INDEX(pr_price,MATCH(B1615,pr_code,0))),""))))</f>
        <v/>
      </c>
      <c r="K1615" s="71" t="str">
        <f>IF(COUNTA(A1615:G1615)=0,"",IF(G1615&lt;&gt;"",G1615,IF(B1615="","",IFERROR(IF(INDEX(pr_rate,MATCH(B1615,pr_code,0))="","",INDEX(pr_rate,MATCH(B1615,pr_code,0))),""))))</f>
        <v/>
      </c>
      <c r="L1615" s="65" t="str">
        <f>IF(COUNTA(A1615:G1615)=0,"",IF(AND(ISNUMBER(D1615),ISNUMBER(J1615)),ROUND(D1615*J1615*(1-N(F1615)),2),0))</f>
        <v/>
      </c>
      <c r="M1615" s="62" t="str">
        <f>IF(A1615="","",IFERROR(INDEX(fa_cname,MATCH(A1615,fa_num,0))&amp;"",""))</f>
        <v/>
      </c>
      <c r="N1615" s="59" t="str">
        <f>IF(COUNTA(A1615:G1615)=0,"",IF(A1615="","N° facture manquant",IF(ISNA(MATCH(A1615,fa_num,0)),"Facture inconnue",IF(AND(B1615&lt;&gt;"",ISNA(MATCH(B1615,pr_code,0))),"Article inconnu",IF(H1615="","Désignation manquante",IF(OR(NOT(ISNUMBER(D1615)),N(D1615)&lt;=0),"Quantité invalide",IF(J1615="","Prix manquant",IF(OR(NOT(ISNUMBER(J1615)),N(J1615)&lt;0),"Prix invalide",IF(OR(AND(F1615&lt;&gt;"",NOT(ISNUMBER(F1615))),N(F1615)&lt;0,N(F1615)&gt;1),"Remise invalide",IF(K1615="","Taux de TVA manquant",IF(NOT(ISNUMBER(K1615)),"Taux de TVA invalide",IF(COUNTIF(p_rates,K1615)=0,"Taux de TVA hors liste (Paramètres)",IF(N(O1615)&gt;25,"Au-delà de 25 lignes : non imprimée","OK")))))))))))))</f>
        <v/>
      </c>
      <c r="O1615" s="59" t="str">
        <f>IF(A1615="","",COUNTIF($A$6:A1615,A1615))</f>
        <v/>
      </c>
      <c r="P1615" s="62" t="str">
        <f>IF(A1615="","",A1615&amp;"|"&amp;O1615)</f>
        <v/>
      </c>
    </row>
    <row r="1616">
      <c r="A1616" s="60" t="n"/>
      <c r="B1616" s="63" t="n"/>
      <c r="C1616" s="63" t="n"/>
      <c r="D1616" s="67" t="n"/>
      <c r="E1616" s="68" t="n"/>
      <c r="F1616" s="69" t="n"/>
      <c r="G1616" s="70" t="n"/>
      <c r="H1616" s="62" t="str">
        <f>IF(COUNTA(A1616:G1616)=0,"",IF(C1616&lt;&gt;"",C1616,IF(B1616="","",IFERROR(INDEX(pr_des,MATCH(B1616,pr_code,0))&amp;"",""))))</f>
        <v/>
      </c>
      <c r="I1616" s="59" t="str">
        <f>IF(B1616="","",IFERROR(INDEX(pr_unit,MATCH(B1616,pr_code,0))&amp;"",""))</f>
        <v/>
      </c>
      <c r="J1616" s="65" t="str">
        <f>IF(COUNTA(A1616:G1616)=0,"",IF(E1616&lt;&gt;"",E1616,IF(B1616="","",IFERROR(IF(INDEX(pr_price,MATCH(B1616,pr_code,0))="","",INDEX(pr_price,MATCH(B1616,pr_code,0))),""))))</f>
        <v/>
      </c>
      <c r="K1616" s="71" t="str">
        <f>IF(COUNTA(A1616:G1616)=0,"",IF(G1616&lt;&gt;"",G1616,IF(B1616="","",IFERROR(IF(INDEX(pr_rate,MATCH(B1616,pr_code,0))="","",INDEX(pr_rate,MATCH(B1616,pr_code,0))),""))))</f>
        <v/>
      </c>
      <c r="L1616" s="65" t="str">
        <f>IF(COUNTA(A1616:G1616)=0,"",IF(AND(ISNUMBER(D1616),ISNUMBER(J1616)),ROUND(D1616*J1616*(1-N(F1616)),2),0))</f>
        <v/>
      </c>
      <c r="M1616" s="62" t="str">
        <f>IF(A1616="","",IFERROR(INDEX(fa_cname,MATCH(A1616,fa_num,0))&amp;"",""))</f>
        <v/>
      </c>
      <c r="N1616" s="59" t="str">
        <f>IF(COUNTA(A1616:G1616)=0,"",IF(A1616="","N° facture manquant",IF(ISNA(MATCH(A1616,fa_num,0)),"Facture inconnue",IF(AND(B1616&lt;&gt;"",ISNA(MATCH(B1616,pr_code,0))),"Article inconnu",IF(H1616="","Désignation manquante",IF(OR(NOT(ISNUMBER(D1616)),N(D1616)&lt;=0),"Quantité invalide",IF(J1616="","Prix manquant",IF(OR(NOT(ISNUMBER(J1616)),N(J1616)&lt;0),"Prix invalide",IF(OR(AND(F1616&lt;&gt;"",NOT(ISNUMBER(F1616))),N(F1616)&lt;0,N(F1616)&gt;1),"Remise invalide",IF(K1616="","Taux de TVA manquant",IF(NOT(ISNUMBER(K1616)),"Taux de TVA invalide",IF(COUNTIF(p_rates,K1616)=0,"Taux de TVA hors liste (Paramètres)",IF(N(O1616)&gt;25,"Au-delà de 25 lignes : non imprimée","OK")))))))))))))</f>
        <v/>
      </c>
      <c r="O1616" s="59" t="str">
        <f>IF(A1616="","",COUNTIF($A$6:A1616,A1616))</f>
        <v/>
      </c>
      <c r="P1616" s="62" t="str">
        <f>IF(A1616="","",A1616&amp;"|"&amp;O1616)</f>
        <v/>
      </c>
    </row>
    <row r="1617">
      <c r="A1617" s="60" t="n"/>
      <c r="B1617" s="63" t="n"/>
      <c r="C1617" s="63" t="n"/>
      <c r="D1617" s="67" t="n"/>
      <c r="E1617" s="68" t="n"/>
      <c r="F1617" s="69" t="n"/>
      <c r="G1617" s="70" t="n"/>
      <c r="H1617" s="62" t="str">
        <f>IF(COUNTA(A1617:G1617)=0,"",IF(C1617&lt;&gt;"",C1617,IF(B1617="","",IFERROR(INDEX(pr_des,MATCH(B1617,pr_code,0))&amp;"",""))))</f>
        <v/>
      </c>
      <c r="I1617" s="59" t="str">
        <f>IF(B1617="","",IFERROR(INDEX(pr_unit,MATCH(B1617,pr_code,0))&amp;"",""))</f>
        <v/>
      </c>
      <c r="J1617" s="65" t="str">
        <f>IF(COUNTA(A1617:G1617)=0,"",IF(E1617&lt;&gt;"",E1617,IF(B1617="","",IFERROR(IF(INDEX(pr_price,MATCH(B1617,pr_code,0))="","",INDEX(pr_price,MATCH(B1617,pr_code,0))),""))))</f>
        <v/>
      </c>
      <c r="K1617" s="71" t="str">
        <f>IF(COUNTA(A1617:G1617)=0,"",IF(G1617&lt;&gt;"",G1617,IF(B1617="","",IFERROR(IF(INDEX(pr_rate,MATCH(B1617,pr_code,0))="","",INDEX(pr_rate,MATCH(B1617,pr_code,0))),""))))</f>
        <v/>
      </c>
      <c r="L1617" s="65" t="str">
        <f>IF(COUNTA(A1617:G1617)=0,"",IF(AND(ISNUMBER(D1617),ISNUMBER(J1617)),ROUND(D1617*J1617*(1-N(F1617)),2),0))</f>
        <v/>
      </c>
      <c r="M1617" s="62" t="str">
        <f>IF(A1617="","",IFERROR(INDEX(fa_cname,MATCH(A1617,fa_num,0))&amp;"",""))</f>
        <v/>
      </c>
      <c r="N1617" s="59" t="str">
        <f>IF(COUNTA(A1617:G1617)=0,"",IF(A1617="","N° facture manquant",IF(ISNA(MATCH(A1617,fa_num,0)),"Facture inconnue",IF(AND(B1617&lt;&gt;"",ISNA(MATCH(B1617,pr_code,0))),"Article inconnu",IF(H1617="","Désignation manquante",IF(OR(NOT(ISNUMBER(D1617)),N(D1617)&lt;=0),"Quantité invalide",IF(J1617="","Prix manquant",IF(OR(NOT(ISNUMBER(J1617)),N(J1617)&lt;0),"Prix invalide",IF(OR(AND(F1617&lt;&gt;"",NOT(ISNUMBER(F1617))),N(F1617)&lt;0,N(F1617)&gt;1),"Remise invalide",IF(K1617="","Taux de TVA manquant",IF(NOT(ISNUMBER(K1617)),"Taux de TVA invalide",IF(COUNTIF(p_rates,K1617)=0,"Taux de TVA hors liste (Paramètres)",IF(N(O1617)&gt;25,"Au-delà de 25 lignes : non imprimée","OK")))))))))))))</f>
        <v/>
      </c>
      <c r="O1617" s="59" t="str">
        <f>IF(A1617="","",COUNTIF($A$6:A1617,A1617))</f>
        <v/>
      </c>
      <c r="P1617" s="62" t="str">
        <f>IF(A1617="","",A1617&amp;"|"&amp;O1617)</f>
        <v/>
      </c>
    </row>
    <row r="1618">
      <c r="A1618" s="60" t="n"/>
      <c r="B1618" s="63" t="n"/>
      <c r="C1618" s="63" t="n"/>
      <c r="D1618" s="67" t="n"/>
      <c r="E1618" s="68" t="n"/>
      <c r="F1618" s="69" t="n"/>
      <c r="G1618" s="70" t="n"/>
      <c r="H1618" s="62" t="str">
        <f>IF(COUNTA(A1618:G1618)=0,"",IF(C1618&lt;&gt;"",C1618,IF(B1618="","",IFERROR(INDEX(pr_des,MATCH(B1618,pr_code,0))&amp;"",""))))</f>
        <v/>
      </c>
      <c r="I1618" s="59" t="str">
        <f>IF(B1618="","",IFERROR(INDEX(pr_unit,MATCH(B1618,pr_code,0))&amp;"",""))</f>
        <v/>
      </c>
      <c r="J1618" s="65" t="str">
        <f>IF(COUNTA(A1618:G1618)=0,"",IF(E1618&lt;&gt;"",E1618,IF(B1618="","",IFERROR(IF(INDEX(pr_price,MATCH(B1618,pr_code,0))="","",INDEX(pr_price,MATCH(B1618,pr_code,0))),""))))</f>
        <v/>
      </c>
      <c r="K1618" s="71" t="str">
        <f>IF(COUNTA(A1618:G1618)=0,"",IF(G1618&lt;&gt;"",G1618,IF(B1618="","",IFERROR(IF(INDEX(pr_rate,MATCH(B1618,pr_code,0))="","",INDEX(pr_rate,MATCH(B1618,pr_code,0))),""))))</f>
        <v/>
      </c>
      <c r="L1618" s="65" t="str">
        <f>IF(COUNTA(A1618:G1618)=0,"",IF(AND(ISNUMBER(D1618),ISNUMBER(J1618)),ROUND(D1618*J1618*(1-N(F1618)),2),0))</f>
        <v/>
      </c>
      <c r="M1618" s="62" t="str">
        <f>IF(A1618="","",IFERROR(INDEX(fa_cname,MATCH(A1618,fa_num,0))&amp;"",""))</f>
        <v/>
      </c>
      <c r="N1618" s="59" t="str">
        <f>IF(COUNTA(A1618:G1618)=0,"",IF(A1618="","N° facture manquant",IF(ISNA(MATCH(A1618,fa_num,0)),"Facture inconnue",IF(AND(B1618&lt;&gt;"",ISNA(MATCH(B1618,pr_code,0))),"Article inconnu",IF(H1618="","Désignation manquante",IF(OR(NOT(ISNUMBER(D1618)),N(D1618)&lt;=0),"Quantité invalide",IF(J1618="","Prix manquant",IF(OR(NOT(ISNUMBER(J1618)),N(J1618)&lt;0),"Prix invalide",IF(OR(AND(F1618&lt;&gt;"",NOT(ISNUMBER(F1618))),N(F1618)&lt;0,N(F1618)&gt;1),"Remise invalide",IF(K1618="","Taux de TVA manquant",IF(NOT(ISNUMBER(K1618)),"Taux de TVA invalide",IF(COUNTIF(p_rates,K1618)=0,"Taux de TVA hors liste (Paramètres)",IF(N(O1618)&gt;25,"Au-delà de 25 lignes : non imprimée","OK")))))))))))))</f>
        <v/>
      </c>
      <c r="O1618" s="59" t="str">
        <f>IF(A1618="","",COUNTIF($A$6:A1618,A1618))</f>
        <v/>
      </c>
      <c r="P1618" s="62" t="str">
        <f>IF(A1618="","",A1618&amp;"|"&amp;O1618)</f>
        <v/>
      </c>
    </row>
    <row r="1619">
      <c r="A1619" s="60" t="n"/>
      <c r="B1619" s="63" t="n"/>
      <c r="C1619" s="63" t="n"/>
      <c r="D1619" s="67" t="n"/>
      <c r="E1619" s="68" t="n"/>
      <c r="F1619" s="69" t="n"/>
      <c r="G1619" s="70" t="n"/>
      <c r="H1619" s="62" t="str">
        <f>IF(COUNTA(A1619:G1619)=0,"",IF(C1619&lt;&gt;"",C1619,IF(B1619="","",IFERROR(INDEX(pr_des,MATCH(B1619,pr_code,0))&amp;"",""))))</f>
        <v/>
      </c>
      <c r="I1619" s="59" t="str">
        <f>IF(B1619="","",IFERROR(INDEX(pr_unit,MATCH(B1619,pr_code,0))&amp;"",""))</f>
        <v/>
      </c>
      <c r="J1619" s="65" t="str">
        <f>IF(COUNTA(A1619:G1619)=0,"",IF(E1619&lt;&gt;"",E1619,IF(B1619="","",IFERROR(IF(INDEX(pr_price,MATCH(B1619,pr_code,0))="","",INDEX(pr_price,MATCH(B1619,pr_code,0))),""))))</f>
        <v/>
      </c>
      <c r="K1619" s="71" t="str">
        <f>IF(COUNTA(A1619:G1619)=0,"",IF(G1619&lt;&gt;"",G1619,IF(B1619="","",IFERROR(IF(INDEX(pr_rate,MATCH(B1619,pr_code,0))="","",INDEX(pr_rate,MATCH(B1619,pr_code,0))),""))))</f>
        <v/>
      </c>
      <c r="L1619" s="65" t="str">
        <f>IF(COUNTA(A1619:G1619)=0,"",IF(AND(ISNUMBER(D1619),ISNUMBER(J1619)),ROUND(D1619*J1619*(1-N(F1619)),2),0))</f>
        <v/>
      </c>
      <c r="M1619" s="62" t="str">
        <f>IF(A1619="","",IFERROR(INDEX(fa_cname,MATCH(A1619,fa_num,0))&amp;"",""))</f>
        <v/>
      </c>
      <c r="N1619" s="59" t="str">
        <f>IF(COUNTA(A1619:G1619)=0,"",IF(A1619="","N° facture manquant",IF(ISNA(MATCH(A1619,fa_num,0)),"Facture inconnue",IF(AND(B1619&lt;&gt;"",ISNA(MATCH(B1619,pr_code,0))),"Article inconnu",IF(H1619="","Désignation manquante",IF(OR(NOT(ISNUMBER(D1619)),N(D1619)&lt;=0),"Quantité invalide",IF(J1619="","Prix manquant",IF(OR(NOT(ISNUMBER(J1619)),N(J1619)&lt;0),"Prix invalide",IF(OR(AND(F1619&lt;&gt;"",NOT(ISNUMBER(F1619))),N(F1619)&lt;0,N(F1619)&gt;1),"Remise invalide",IF(K1619="","Taux de TVA manquant",IF(NOT(ISNUMBER(K1619)),"Taux de TVA invalide",IF(COUNTIF(p_rates,K1619)=0,"Taux de TVA hors liste (Paramètres)",IF(N(O1619)&gt;25,"Au-delà de 25 lignes : non imprimée","OK")))))))))))))</f>
        <v/>
      </c>
      <c r="O1619" s="59" t="str">
        <f>IF(A1619="","",COUNTIF($A$6:A1619,A1619))</f>
        <v/>
      </c>
      <c r="P1619" s="62" t="str">
        <f>IF(A1619="","",A1619&amp;"|"&amp;O1619)</f>
        <v/>
      </c>
    </row>
    <row r="1620">
      <c r="A1620" s="60" t="n"/>
      <c r="B1620" s="63" t="n"/>
      <c r="C1620" s="63" t="n"/>
      <c r="D1620" s="67" t="n"/>
      <c r="E1620" s="68" t="n"/>
      <c r="F1620" s="69" t="n"/>
      <c r="G1620" s="70" t="n"/>
      <c r="H1620" s="62" t="str">
        <f>IF(COUNTA(A1620:G1620)=0,"",IF(C1620&lt;&gt;"",C1620,IF(B1620="","",IFERROR(INDEX(pr_des,MATCH(B1620,pr_code,0))&amp;"",""))))</f>
        <v/>
      </c>
      <c r="I1620" s="59" t="str">
        <f>IF(B1620="","",IFERROR(INDEX(pr_unit,MATCH(B1620,pr_code,0))&amp;"",""))</f>
        <v/>
      </c>
      <c r="J1620" s="65" t="str">
        <f>IF(COUNTA(A1620:G1620)=0,"",IF(E1620&lt;&gt;"",E1620,IF(B1620="","",IFERROR(IF(INDEX(pr_price,MATCH(B1620,pr_code,0))="","",INDEX(pr_price,MATCH(B1620,pr_code,0))),""))))</f>
        <v/>
      </c>
      <c r="K1620" s="71" t="str">
        <f>IF(COUNTA(A1620:G1620)=0,"",IF(G1620&lt;&gt;"",G1620,IF(B1620="","",IFERROR(IF(INDEX(pr_rate,MATCH(B1620,pr_code,0))="","",INDEX(pr_rate,MATCH(B1620,pr_code,0))),""))))</f>
        <v/>
      </c>
      <c r="L1620" s="65" t="str">
        <f>IF(COUNTA(A1620:G1620)=0,"",IF(AND(ISNUMBER(D1620),ISNUMBER(J1620)),ROUND(D1620*J1620*(1-N(F1620)),2),0))</f>
        <v/>
      </c>
      <c r="M1620" s="62" t="str">
        <f>IF(A1620="","",IFERROR(INDEX(fa_cname,MATCH(A1620,fa_num,0))&amp;"",""))</f>
        <v/>
      </c>
      <c r="N1620" s="59" t="str">
        <f>IF(COUNTA(A1620:G1620)=0,"",IF(A1620="","N° facture manquant",IF(ISNA(MATCH(A1620,fa_num,0)),"Facture inconnue",IF(AND(B1620&lt;&gt;"",ISNA(MATCH(B1620,pr_code,0))),"Article inconnu",IF(H1620="","Désignation manquante",IF(OR(NOT(ISNUMBER(D1620)),N(D1620)&lt;=0),"Quantité invalide",IF(J1620="","Prix manquant",IF(OR(NOT(ISNUMBER(J1620)),N(J1620)&lt;0),"Prix invalide",IF(OR(AND(F1620&lt;&gt;"",NOT(ISNUMBER(F1620))),N(F1620)&lt;0,N(F1620)&gt;1),"Remise invalide",IF(K1620="","Taux de TVA manquant",IF(NOT(ISNUMBER(K1620)),"Taux de TVA invalide",IF(COUNTIF(p_rates,K1620)=0,"Taux de TVA hors liste (Paramètres)",IF(N(O1620)&gt;25,"Au-delà de 25 lignes : non imprimée","OK")))))))))))))</f>
        <v/>
      </c>
      <c r="O1620" s="59" t="str">
        <f>IF(A1620="","",COUNTIF($A$6:A1620,A1620))</f>
        <v/>
      </c>
      <c r="P1620" s="62" t="str">
        <f>IF(A1620="","",A1620&amp;"|"&amp;O1620)</f>
        <v/>
      </c>
    </row>
    <row r="1621">
      <c r="A1621" s="60" t="n"/>
      <c r="B1621" s="63" t="n"/>
      <c r="C1621" s="63" t="n"/>
      <c r="D1621" s="67" t="n"/>
      <c r="E1621" s="68" t="n"/>
      <c r="F1621" s="69" t="n"/>
      <c r="G1621" s="70" t="n"/>
      <c r="H1621" s="62" t="str">
        <f>IF(COUNTA(A1621:G1621)=0,"",IF(C1621&lt;&gt;"",C1621,IF(B1621="","",IFERROR(INDEX(pr_des,MATCH(B1621,pr_code,0))&amp;"",""))))</f>
        <v/>
      </c>
      <c r="I1621" s="59" t="str">
        <f>IF(B1621="","",IFERROR(INDEX(pr_unit,MATCH(B1621,pr_code,0))&amp;"",""))</f>
        <v/>
      </c>
      <c r="J1621" s="65" t="str">
        <f>IF(COUNTA(A1621:G1621)=0,"",IF(E1621&lt;&gt;"",E1621,IF(B1621="","",IFERROR(IF(INDEX(pr_price,MATCH(B1621,pr_code,0))="","",INDEX(pr_price,MATCH(B1621,pr_code,0))),""))))</f>
        <v/>
      </c>
      <c r="K1621" s="71" t="str">
        <f>IF(COUNTA(A1621:G1621)=0,"",IF(G1621&lt;&gt;"",G1621,IF(B1621="","",IFERROR(IF(INDEX(pr_rate,MATCH(B1621,pr_code,0))="","",INDEX(pr_rate,MATCH(B1621,pr_code,0))),""))))</f>
        <v/>
      </c>
      <c r="L1621" s="65" t="str">
        <f>IF(COUNTA(A1621:G1621)=0,"",IF(AND(ISNUMBER(D1621),ISNUMBER(J1621)),ROUND(D1621*J1621*(1-N(F1621)),2),0))</f>
        <v/>
      </c>
      <c r="M1621" s="62" t="str">
        <f>IF(A1621="","",IFERROR(INDEX(fa_cname,MATCH(A1621,fa_num,0))&amp;"",""))</f>
        <v/>
      </c>
      <c r="N1621" s="59" t="str">
        <f>IF(COUNTA(A1621:G1621)=0,"",IF(A1621="","N° facture manquant",IF(ISNA(MATCH(A1621,fa_num,0)),"Facture inconnue",IF(AND(B1621&lt;&gt;"",ISNA(MATCH(B1621,pr_code,0))),"Article inconnu",IF(H1621="","Désignation manquante",IF(OR(NOT(ISNUMBER(D1621)),N(D1621)&lt;=0),"Quantité invalide",IF(J1621="","Prix manquant",IF(OR(NOT(ISNUMBER(J1621)),N(J1621)&lt;0),"Prix invalide",IF(OR(AND(F1621&lt;&gt;"",NOT(ISNUMBER(F1621))),N(F1621)&lt;0,N(F1621)&gt;1),"Remise invalide",IF(K1621="","Taux de TVA manquant",IF(NOT(ISNUMBER(K1621)),"Taux de TVA invalide",IF(COUNTIF(p_rates,K1621)=0,"Taux de TVA hors liste (Paramètres)",IF(N(O1621)&gt;25,"Au-delà de 25 lignes : non imprimée","OK")))))))))))))</f>
        <v/>
      </c>
      <c r="O1621" s="59" t="str">
        <f>IF(A1621="","",COUNTIF($A$6:A1621,A1621))</f>
        <v/>
      </c>
      <c r="P1621" s="62" t="str">
        <f>IF(A1621="","",A1621&amp;"|"&amp;O1621)</f>
        <v/>
      </c>
    </row>
    <row r="1622">
      <c r="A1622" s="60" t="n"/>
      <c r="B1622" s="63" t="n"/>
      <c r="C1622" s="63" t="n"/>
      <c r="D1622" s="67" t="n"/>
      <c r="E1622" s="68" t="n"/>
      <c r="F1622" s="69" t="n"/>
      <c r="G1622" s="70" t="n"/>
      <c r="H1622" s="62" t="str">
        <f>IF(COUNTA(A1622:G1622)=0,"",IF(C1622&lt;&gt;"",C1622,IF(B1622="","",IFERROR(INDEX(pr_des,MATCH(B1622,pr_code,0))&amp;"",""))))</f>
        <v/>
      </c>
      <c r="I1622" s="59" t="str">
        <f>IF(B1622="","",IFERROR(INDEX(pr_unit,MATCH(B1622,pr_code,0))&amp;"",""))</f>
        <v/>
      </c>
      <c r="J1622" s="65" t="str">
        <f>IF(COUNTA(A1622:G1622)=0,"",IF(E1622&lt;&gt;"",E1622,IF(B1622="","",IFERROR(IF(INDEX(pr_price,MATCH(B1622,pr_code,0))="","",INDEX(pr_price,MATCH(B1622,pr_code,0))),""))))</f>
        <v/>
      </c>
      <c r="K1622" s="71" t="str">
        <f>IF(COUNTA(A1622:G1622)=0,"",IF(G1622&lt;&gt;"",G1622,IF(B1622="","",IFERROR(IF(INDEX(pr_rate,MATCH(B1622,pr_code,0))="","",INDEX(pr_rate,MATCH(B1622,pr_code,0))),""))))</f>
        <v/>
      </c>
      <c r="L1622" s="65" t="str">
        <f>IF(COUNTA(A1622:G1622)=0,"",IF(AND(ISNUMBER(D1622),ISNUMBER(J1622)),ROUND(D1622*J1622*(1-N(F1622)),2),0))</f>
        <v/>
      </c>
      <c r="M1622" s="62" t="str">
        <f>IF(A1622="","",IFERROR(INDEX(fa_cname,MATCH(A1622,fa_num,0))&amp;"",""))</f>
        <v/>
      </c>
      <c r="N1622" s="59" t="str">
        <f>IF(COUNTA(A1622:G1622)=0,"",IF(A1622="","N° facture manquant",IF(ISNA(MATCH(A1622,fa_num,0)),"Facture inconnue",IF(AND(B1622&lt;&gt;"",ISNA(MATCH(B1622,pr_code,0))),"Article inconnu",IF(H1622="","Désignation manquante",IF(OR(NOT(ISNUMBER(D1622)),N(D1622)&lt;=0),"Quantité invalide",IF(J1622="","Prix manquant",IF(OR(NOT(ISNUMBER(J1622)),N(J1622)&lt;0),"Prix invalide",IF(OR(AND(F1622&lt;&gt;"",NOT(ISNUMBER(F1622))),N(F1622)&lt;0,N(F1622)&gt;1),"Remise invalide",IF(K1622="","Taux de TVA manquant",IF(NOT(ISNUMBER(K1622)),"Taux de TVA invalide",IF(COUNTIF(p_rates,K1622)=0,"Taux de TVA hors liste (Paramètres)",IF(N(O1622)&gt;25,"Au-delà de 25 lignes : non imprimée","OK")))))))))))))</f>
        <v/>
      </c>
      <c r="O1622" s="59" t="str">
        <f>IF(A1622="","",COUNTIF($A$6:A1622,A1622))</f>
        <v/>
      </c>
      <c r="P1622" s="62" t="str">
        <f>IF(A1622="","",A1622&amp;"|"&amp;O1622)</f>
        <v/>
      </c>
    </row>
    <row r="1623">
      <c r="A1623" s="60" t="n"/>
      <c r="B1623" s="63" t="n"/>
      <c r="C1623" s="63" t="n"/>
      <c r="D1623" s="67" t="n"/>
      <c r="E1623" s="68" t="n"/>
      <c r="F1623" s="69" t="n"/>
      <c r="G1623" s="70" t="n"/>
      <c r="H1623" s="62" t="str">
        <f>IF(COUNTA(A1623:G1623)=0,"",IF(C1623&lt;&gt;"",C1623,IF(B1623="","",IFERROR(INDEX(pr_des,MATCH(B1623,pr_code,0))&amp;"",""))))</f>
        <v/>
      </c>
      <c r="I1623" s="59" t="str">
        <f>IF(B1623="","",IFERROR(INDEX(pr_unit,MATCH(B1623,pr_code,0))&amp;"",""))</f>
        <v/>
      </c>
      <c r="J1623" s="65" t="str">
        <f>IF(COUNTA(A1623:G1623)=0,"",IF(E1623&lt;&gt;"",E1623,IF(B1623="","",IFERROR(IF(INDEX(pr_price,MATCH(B1623,pr_code,0))="","",INDEX(pr_price,MATCH(B1623,pr_code,0))),""))))</f>
        <v/>
      </c>
      <c r="K1623" s="71" t="str">
        <f>IF(COUNTA(A1623:G1623)=0,"",IF(G1623&lt;&gt;"",G1623,IF(B1623="","",IFERROR(IF(INDEX(pr_rate,MATCH(B1623,pr_code,0))="","",INDEX(pr_rate,MATCH(B1623,pr_code,0))),""))))</f>
        <v/>
      </c>
      <c r="L1623" s="65" t="str">
        <f>IF(COUNTA(A1623:G1623)=0,"",IF(AND(ISNUMBER(D1623),ISNUMBER(J1623)),ROUND(D1623*J1623*(1-N(F1623)),2),0))</f>
        <v/>
      </c>
      <c r="M1623" s="62" t="str">
        <f>IF(A1623="","",IFERROR(INDEX(fa_cname,MATCH(A1623,fa_num,0))&amp;"",""))</f>
        <v/>
      </c>
      <c r="N1623" s="59" t="str">
        <f>IF(COUNTA(A1623:G1623)=0,"",IF(A1623="","N° facture manquant",IF(ISNA(MATCH(A1623,fa_num,0)),"Facture inconnue",IF(AND(B1623&lt;&gt;"",ISNA(MATCH(B1623,pr_code,0))),"Article inconnu",IF(H1623="","Désignation manquante",IF(OR(NOT(ISNUMBER(D1623)),N(D1623)&lt;=0),"Quantité invalide",IF(J1623="","Prix manquant",IF(OR(NOT(ISNUMBER(J1623)),N(J1623)&lt;0),"Prix invalide",IF(OR(AND(F1623&lt;&gt;"",NOT(ISNUMBER(F1623))),N(F1623)&lt;0,N(F1623)&gt;1),"Remise invalide",IF(K1623="","Taux de TVA manquant",IF(NOT(ISNUMBER(K1623)),"Taux de TVA invalide",IF(COUNTIF(p_rates,K1623)=0,"Taux de TVA hors liste (Paramètres)",IF(N(O1623)&gt;25,"Au-delà de 25 lignes : non imprimée","OK")))))))))))))</f>
        <v/>
      </c>
      <c r="O1623" s="59" t="str">
        <f>IF(A1623="","",COUNTIF($A$6:A1623,A1623))</f>
        <v/>
      </c>
      <c r="P1623" s="62" t="str">
        <f>IF(A1623="","",A1623&amp;"|"&amp;O1623)</f>
        <v/>
      </c>
    </row>
    <row r="1624">
      <c r="A1624" s="60" t="n"/>
      <c r="B1624" s="63" t="n"/>
      <c r="C1624" s="63" t="n"/>
      <c r="D1624" s="67" t="n"/>
      <c r="E1624" s="68" t="n"/>
      <c r="F1624" s="69" t="n"/>
      <c r="G1624" s="70" t="n"/>
      <c r="H1624" s="62" t="str">
        <f>IF(COUNTA(A1624:G1624)=0,"",IF(C1624&lt;&gt;"",C1624,IF(B1624="","",IFERROR(INDEX(pr_des,MATCH(B1624,pr_code,0))&amp;"",""))))</f>
        <v/>
      </c>
      <c r="I1624" s="59" t="str">
        <f>IF(B1624="","",IFERROR(INDEX(pr_unit,MATCH(B1624,pr_code,0))&amp;"",""))</f>
        <v/>
      </c>
      <c r="J1624" s="65" t="str">
        <f>IF(COUNTA(A1624:G1624)=0,"",IF(E1624&lt;&gt;"",E1624,IF(B1624="","",IFERROR(IF(INDEX(pr_price,MATCH(B1624,pr_code,0))="","",INDEX(pr_price,MATCH(B1624,pr_code,0))),""))))</f>
        <v/>
      </c>
      <c r="K1624" s="71" t="str">
        <f>IF(COUNTA(A1624:G1624)=0,"",IF(G1624&lt;&gt;"",G1624,IF(B1624="","",IFERROR(IF(INDEX(pr_rate,MATCH(B1624,pr_code,0))="","",INDEX(pr_rate,MATCH(B1624,pr_code,0))),""))))</f>
        <v/>
      </c>
      <c r="L1624" s="65" t="str">
        <f>IF(COUNTA(A1624:G1624)=0,"",IF(AND(ISNUMBER(D1624),ISNUMBER(J1624)),ROUND(D1624*J1624*(1-N(F1624)),2),0))</f>
        <v/>
      </c>
      <c r="M1624" s="62" t="str">
        <f>IF(A1624="","",IFERROR(INDEX(fa_cname,MATCH(A1624,fa_num,0))&amp;"",""))</f>
        <v/>
      </c>
      <c r="N1624" s="59" t="str">
        <f>IF(COUNTA(A1624:G1624)=0,"",IF(A1624="","N° facture manquant",IF(ISNA(MATCH(A1624,fa_num,0)),"Facture inconnue",IF(AND(B1624&lt;&gt;"",ISNA(MATCH(B1624,pr_code,0))),"Article inconnu",IF(H1624="","Désignation manquante",IF(OR(NOT(ISNUMBER(D1624)),N(D1624)&lt;=0),"Quantité invalide",IF(J1624="","Prix manquant",IF(OR(NOT(ISNUMBER(J1624)),N(J1624)&lt;0),"Prix invalide",IF(OR(AND(F1624&lt;&gt;"",NOT(ISNUMBER(F1624))),N(F1624)&lt;0,N(F1624)&gt;1),"Remise invalide",IF(K1624="","Taux de TVA manquant",IF(NOT(ISNUMBER(K1624)),"Taux de TVA invalide",IF(COUNTIF(p_rates,K1624)=0,"Taux de TVA hors liste (Paramètres)",IF(N(O1624)&gt;25,"Au-delà de 25 lignes : non imprimée","OK")))))))))))))</f>
        <v/>
      </c>
      <c r="O1624" s="59" t="str">
        <f>IF(A1624="","",COUNTIF($A$6:A1624,A1624))</f>
        <v/>
      </c>
      <c r="P1624" s="62" t="str">
        <f>IF(A1624="","",A1624&amp;"|"&amp;O1624)</f>
        <v/>
      </c>
    </row>
    <row r="1625">
      <c r="A1625" s="60" t="n"/>
      <c r="B1625" s="63" t="n"/>
      <c r="C1625" s="63" t="n"/>
      <c r="D1625" s="67" t="n"/>
      <c r="E1625" s="68" t="n"/>
      <c r="F1625" s="69" t="n"/>
      <c r="G1625" s="70" t="n"/>
      <c r="H1625" s="62" t="str">
        <f>IF(COUNTA(A1625:G1625)=0,"",IF(C1625&lt;&gt;"",C1625,IF(B1625="","",IFERROR(INDEX(pr_des,MATCH(B1625,pr_code,0))&amp;"",""))))</f>
        <v/>
      </c>
      <c r="I1625" s="59" t="str">
        <f>IF(B1625="","",IFERROR(INDEX(pr_unit,MATCH(B1625,pr_code,0))&amp;"",""))</f>
        <v/>
      </c>
      <c r="J1625" s="65" t="str">
        <f>IF(COUNTA(A1625:G1625)=0,"",IF(E1625&lt;&gt;"",E1625,IF(B1625="","",IFERROR(IF(INDEX(pr_price,MATCH(B1625,pr_code,0))="","",INDEX(pr_price,MATCH(B1625,pr_code,0))),""))))</f>
        <v/>
      </c>
      <c r="K1625" s="71" t="str">
        <f>IF(COUNTA(A1625:G1625)=0,"",IF(G1625&lt;&gt;"",G1625,IF(B1625="","",IFERROR(IF(INDEX(pr_rate,MATCH(B1625,pr_code,0))="","",INDEX(pr_rate,MATCH(B1625,pr_code,0))),""))))</f>
        <v/>
      </c>
      <c r="L1625" s="65" t="str">
        <f>IF(COUNTA(A1625:G1625)=0,"",IF(AND(ISNUMBER(D1625),ISNUMBER(J1625)),ROUND(D1625*J1625*(1-N(F1625)),2),0))</f>
        <v/>
      </c>
      <c r="M1625" s="62" t="str">
        <f>IF(A1625="","",IFERROR(INDEX(fa_cname,MATCH(A1625,fa_num,0))&amp;"",""))</f>
        <v/>
      </c>
      <c r="N1625" s="59" t="str">
        <f>IF(COUNTA(A1625:G1625)=0,"",IF(A1625="","N° facture manquant",IF(ISNA(MATCH(A1625,fa_num,0)),"Facture inconnue",IF(AND(B1625&lt;&gt;"",ISNA(MATCH(B1625,pr_code,0))),"Article inconnu",IF(H1625="","Désignation manquante",IF(OR(NOT(ISNUMBER(D1625)),N(D1625)&lt;=0),"Quantité invalide",IF(J1625="","Prix manquant",IF(OR(NOT(ISNUMBER(J1625)),N(J1625)&lt;0),"Prix invalide",IF(OR(AND(F1625&lt;&gt;"",NOT(ISNUMBER(F1625))),N(F1625)&lt;0,N(F1625)&gt;1),"Remise invalide",IF(K1625="","Taux de TVA manquant",IF(NOT(ISNUMBER(K1625)),"Taux de TVA invalide",IF(COUNTIF(p_rates,K1625)=0,"Taux de TVA hors liste (Paramètres)",IF(N(O1625)&gt;25,"Au-delà de 25 lignes : non imprimée","OK")))))))))))))</f>
        <v/>
      </c>
      <c r="O1625" s="59" t="str">
        <f>IF(A1625="","",COUNTIF($A$6:A1625,A1625))</f>
        <v/>
      </c>
      <c r="P1625" s="62" t="str">
        <f>IF(A1625="","",A1625&amp;"|"&amp;O1625)</f>
        <v/>
      </c>
    </row>
    <row r="1626">
      <c r="A1626" s="60" t="n"/>
      <c r="B1626" s="63" t="n"/>
      <c r="C1626" s="63" t="n"/>
      <c r="D1626" s="67" t="n"/>
      <c r="E1626" s="68" t="n"/>
      <c r="F1626" s="69" t="n"/>
      <c r="G1626" s="70" t="n"/>
      <c r="H1626" s="62" t="str">
        <f>IF(COUNTA(A1626:G1626)=0,"",IF(C1626&lt;&gt;"",C1626,IF(B1626="","",IFERROR(INDEX(pr_des,MATCH(B1626,pr_code,0))&amp;"",""))))</f>
        <v/>
      </c>
      <c r="I1626" s="59" t="str">
        <f>IF(B1626="","",IFERROR(INDEX(pr_unit,MATCH(B1626,pr_code,0))&amp;"",""))</f>
        <v/>
      </c>
      <c r="J1626" s="65" t="str">
        <f>IF(COUNTA(A1626:G1626)=0,"",IF(E1626&lt;&gt;"",E1626,IF(B1626="","",IFERROR(IF(INDEX(pr_price,MATCH(B1626,pr_code,0))="","",INDEX(pr_price,MATCH(B1626,pr_code,0))),""))))</f>
        <v/>
      </c>
      <c r="K1626" s="71" t="str">
        <f>IF(COUNTA(A1626:G1626)=0,"",IF(G1626&lt;&gt;"",G1626,IF(B1626="","",IFERROR(IF(INDEX(pr_rate,MATCH(B1626,pr_code,0))="","",INDEX(pr_rate,MATCH(B1626,pr_code,0))),""))))</f>
        <v/>
      </c>
      <c r="L1626" s="65" t="str">
        <f>IF(COUNTA(A1626:G1626)=0,"",IF(AND(ISNUMBER(D1626),ISNUMBER(J1626)),ROUND(D1626*J1626*(1-N(F1626)),2),0))</f>
        <v/>
      </c>
      <c r="M1626" s="62" t="str">
        <f>IF(A1626="","",IFERROR(INDEX(fa_cname,MATCH(A1626,fa_num,0))&amp;"",""))</f>
        <v/>
      </c>
      <c r="N1626" s="59" t="str">
        <f>IF(COUNTA(A1626:G1626)=0,"",IF(A1626="","N° facture manquant",IF(ISNA(MATCH(A1626,fa_num,0)),"Facture inconnue",IF(AND(B1626&lt;&gt;"",ISNA(MATCH(B1626,pr_code,0))),"Article inconnu",IF(H1626="","Désignation manquante",IF(OR(NOT(ISNUMBER(D1626)),N(D1626)&lt;=0),"Quantité invalide",IF(J1626="","Prix manquant",IF(OR(NOT(ISNUMBER(J1626)),N(J1626)&lt;0),"Prix invalide",IF(OR(AND(F1626&lt;&gt;"",NOT(ISNUMBER(F1626))),N(F1626)&lt;0,N(F1626)&gt;1),"Remise invalide",IF(K1626="","Taux de TVA manquant",IF(NOT(ISNUMBER(K1626)),"Taux de TVA invalide",IF(COUNTIF(p_rates,K1626)=0,"Taux de TVA hors liste (Paramètres)",IF(N(O1626)&gt;25,"Au-delà de 25 lignes : non imprimée","OK")))))))))))))</f>
        <v/>
      </c>
      <c r="O1626" s="59" t="str">
        <f>IF(A1626="","",COUNTIF($A$6:A1626,A1626))</f>
        <v/>
      </c>
      <c r="P1626" s="62" t="str">
        <f>IF(A1626="","",A1626&amp;"|"&amp;O1626)</f>
        <v/>
      </c>
    </row>
    <row r="1627">
      <c r="A1627" s="60" t="n"/>
      <c r="B1627" s="63" t="n"/>
      <c r="C1627" s="63" t="n"/>
      <c r="D1627" s="67" t="n"/>
      <c r="E1627" s="68" t="n"/>
      <c r="F1627" s="69" t="n"/>
      <c r="G1627" s="70" t="n"/>
      <c r="H1627" s="62" t="str">
        <f>IF(COUNTA(A1627:G1627)=0,"",IF(C1627&lt;&gt;"",C1627,IF(B1627="","",IFERROR(INDEX(pr_des,MATCH(B1627,pr_code,0))&amp;"",""))))</f>
        <v/>
      </c>
      <c r="I1627" s="59" t="str">
        <f>IF(B1627="","",IFERROR(INDEX(pr_unit,MATCH(B1627,pr_code,0))&amp;"",""))</f>
        <v/>
      </c>
      <c r="J1627" s="65" t="str">
        <f>IF(COUNTA(A1627:G1627)=0,"",IF(E1627&lt;&gt;"",E1627,IF(B1627="","",IFERROR(IF(INDEX(pr_price,MATCH(B1627,pr_code,0))="","",INDEX(pr_price,MATCH(B1627,pr_code,0))),""))))</f>
        <v/>
      </c>
      <c r="K1627" s="71" t="str">
        <f>IF(COUNTA(A1627:G1627)=0,"",IF(G1627&lt;&gt;"",G1627,IF(B1627="","",IFERROR(IF(INDEX(pr_rate,MATCH(B1627,pr_code,0))="","",INDEX(pr_rate,MATCH(B1627,pr_code,0))),""))))</f>
        <v/>
      </c>
      <c r="L1627" s="65" t="str">
        <f>IF(COUNTA(A1627:G1627)=0,"",IF(AND(ISNUMBER(D1627),ISNUMBER(J1627)),ROUND(D1627*J1627*(1-N(F1627)),2),0))</f>
        <v/>
      </c>
      <c r="M1627" s="62" t="str">
        <f>IF(A1627="","",IFERROR(INDEX(fa_cname,MATCH(A1627,fa_num,0))&amp;"",""))</f>
        <v/>
      </c>
      <c r="N1627" s="59" t="str">
        <f>IF(COUNTA(A1627:G1627)=0,"",IF(A1627="","N° facture manquant",IF(ISNA(MATCH(A1627,fa_num,0)),"Facture inconnue",IF(AND(B1627&lt;&gt;"",ISNA(MATCH(B1627,pr_code,0))),"Article inconnu",IF(H1627="","Désignation manquante",IF(OR(NOT(ISNUMBER(D1627)),N(D1627)&lt;=0),"Quantité invalide",IF(J1627="","Prix manquant",IF(OR(NOT(ISNUMBER(J1627)),N(J1627)&lt;0),"Prix invalide",IF(OR(AND(F1627&lt;&gt;"",NOT(ISNUMBER(F1627))),N(F1627)&lt;0,N(F1627)&gt;1),"Remise invalide",IF(K1627="","Taux de TVA manquant",IF(NOT(ISNUMBER(K1627)),"Taux de TVA invalide",IF(COUNTIF(p_rates,K1627)=0,"Taux de TVA hors liste (Paramètres)",IF(N(O1627)&gt;25,"Au-delà de 25 lignes : non imprimée","OK")))))))))))))</f>
        <v/>
      </c>
      <c r="O1627" s="59" t="str">
        <f>IF(A1627="","",COUNTIF($A$6:A1627,A1627))</f>
        <v/>
      </c>
      <c r="P1627" s="62" t="str">
        <f>IF(A1627="","",A1627&amp;"|"&amp;O1627)</f>
        <v/>
      </c>
    </row>
    <row r="1628">
      <c r="A1628" s="60" t="n"/>
      <c r="B1628" s="63" t="n"/>
      <c r="C1628" s="63" t="n"/>
      <c r="D1628" s="67" t="n"/>
      <c r="E1628" s="68" t="n"/>
      <c r="F1628" s="69" t="n"/>
      <c r="G1628" s="70" t="n"/>
      <c r="H1628" s="62" t="str">
        <f>IF(COUNTA(A1628:G1628)=0,"",IF(C1628&lt;&gt;"",C1628,IF(B1628="","",IFERROR(INDEX(pr_des,MATCH(B1628,pr_code,0))&amp;"",""))))</f>
        <v/>
      </c>
      <c r="I1628" s="59" t="str">
        <f>IF(B1628="","",IFERROR(INDEX(pr_unit,MATCH(B1628,pr_code,0))&amp;"",""))</f>
        <v/>
      </c>
      <c r="J1628" s="65" t="str">
        <f>IF(COUNTA(A1628:G1628)=0,"",IF(E1628&lt;&gt;"",E1628,IF(B1628="","",IFERROR(IF(INDEX(pr_price,MATCH(B1628,pr_code,0))="","",INDEX(pr_price,MATCH(B1628,pr_code,0))),""))))</f>
        <v/>
      </c>
      <c r="K1628" s="71" t="str">
        <f>IF(COUNTA(A1628:G1628)=0,"",IF(G1628&lt;&gt;"",G1628,IF(B1628="","",IFERROR(IF(INDEX(pr_rate,MATCH(B1628,pr_code,0))="","",INDEX(pr_rate,MATCH(B1628,pr_code,0))),""))))</f>
        <v/>
      </c>
      <c r="L1628" s="65" t="str">
        <f>IF(COUNTA(A1628:G1628)=0,"",IF(AND(ISNUMBER(D1628),ISNUMBER(J1628)),ROUND(D1628*J1628*(1-N(F1628)),2),0))</f>
        <v/>
      </c>
      <c r="M1628" s="62" t="str">
        <f>IF(A1628="","",IFERROR(INDEX(fa_cname,MATCH(A1628,fa_num,0))&amp;"",""))</f>
        <v/>
      </c>
      <c r="N1628" s="59" t="str">
        <f>IF(COUNTA(A1628:G1628)=0,"",IF(A1628="","N° facture manquant",IF(ISNA(MATCH(A1628,fa_num,0)),"Facture inconnue",IF(AND(B1628&lt;&gt;"",ISNA(MATCH(B1628,pr_code,0))),"Article inconnu",IF(H1628="","Désignation manquante",IF(OR(NOT(ISNUMBER(D1628)),N(D1628)&lt;=0),"Quantité invalide",IF(J1628="","Prix manquant",IF(OR(NOT(ISNUMBER(J1628)),N(J1628)&lt;0),"Prix invalide",IF(OR(AND(F1628&lt;&gt;"",NOT(ISNUMBER(F1628))),N(F1628)&lt;0,N(F1628)&gt;1),"Remise invalide",IF(K1628="","Taux de TVA manquant",IF(NOT(ISNUMBER(K1628)),"Taux de TVA invalide",IF(COUNTIF(p_rates,K1628)=0,"Taux de TVA hors liste (Paramètres)",IF(N(O1628)&gt;25,"Au-delà de 25 lignes : non imprimée","OK")))))))))))))</f>
        <v/>
      </c>
      <c r="O1628" s="59" t="str">
        <f>IF(A1628="","",COUNTIF($A$6:A1628,A1628))</f>
        <v/>
      </c>
      <c r="P1628" s="62" t="str">
        <f>IF(A1628="","",A1628&amp;"|"&amp;O1628)</f>
        <v/>
      </c>
    </row>
    <row r="1629">
      <c r="A1629" s="60" t="n"/>
      <c r="B1629" s="63" t="n"/>
      <c r="C1629" s="63" t="n"/>
      <c r="D1629" s="67" t="n"/>
      <c r="E1629" s="68" t="n"/>
      <c r="F1629" s="69" t="n"/>
      <c r="G1629" s="70" t="n"/>
      <c r="H1629" s="62" t="str">
        <f>IF(COUNTA(A1629:G1629)=0,"",IF(C1629&lt;&gt;"",C1629,IF(B1629="","",IFERROR(INDEX(pr_des,MATCH(B1629,pr_code,0))&amp;"",""))))</f>
        <v/>
      </c>
      <c r="I1629" s="59" t="str">
        <f>IF(B1629="","",IFERROR(INDEX(pr_unit,MATCH(B1629,pr_code,0))&amp;"",""))</f>
        <v/>
      </c>
      <c r="J1629" s="65" t="str">
        <f>IF(COUNTA(A1629:G1629)=0,"",IF(E1629&lt;&gt;"",E1629,IF(B1629="","",IFERROR(IF(INDEX(pr_price,MATCH(B1629,pr_code,0))="","",INDEX(pr_price,MATCH(B1629,pr_code,0))),""))))</f>
        <v/>
      </c>
      <c r="K1629" s="71" t="str">
        <f>IF(COUNTA(A1629:G1629)=0,"",IF(G1629&lt;&gt;"",G1629,IF(B1629="","",IFERROR(IF(INDEX(pr_rate,MATCH(B1629,pr_code,0))="","",INDEX(pr_rate,MATCH(B1629,pr_code,0))),""))))</f>
        <v/>
      </c>
      <c r="L1629" s="65" t="str">
        <f>IF(COUNTA(A1629:G1629)=0,"",IF(AND(ISNUMBER(D1629),ISNUMBER(J1629)),ROUND(D1629*J1629*(1-N(F1629)),2),0))</f>
        <v/>
      </c>
      <c r="M1629" s="62" t="str">
        <f>IF(A1629="","",IFERROR(INDEX(fa_cname,MATCH(A1629,fa_num,0))&amp;"",""))</f>
        <v/>
      </c>
      <c r="N1629" s="59" t="str">
        <f>IF(COUNTA(A1629:G1629)=0,"",IF(A1629="","N° facture manquant",IF(ISNA(MATCH(A1629,fa_num,0)),"Facture inconnue",IF(AND(B1629&lt;&gt;"",ISNA(MATCH(B1629,pr_code,0))),"Article inconnu",IF(H1629="","Désignation manquante",IF(OR(NOT(ISNUMBER(D1629)),N(D1629)&lt;=0),"Quantité invalide",IF(J1629="","Prix manquant",IF(OR(NOT(ISNUMBER(J1629)),N(J1629)&lt;0),"Prix invalide",IF(OR(AND(F1629&lt;&gt;"",NOT(ISNUMBER(F1629))),N(F1629)&lt;0,N(F1629)&gt;1),"Remise invalide",IF(K1629="","Taux de TVA manquant",IF(NOT(ISNUMBER(K1629)),"Taux de TVA invalide",IF(COUNTIF(p_rates,K1629)=0,"Taux de TVA hors liste (Paramètres)",IF(N(O1629)&gt;25,"Au-delà de 25 lignes : non imprimée","OK")))))))))))))</f>
        <v/>
      </c>
      <c r="O1629" s="59" t="str">
        <f>IF(A1629="","",COUNTIF($A$6:A1629,A1629))</f>
        <v/>
      </c>
      <c r="P1629" s="62" t="str">
        <f>IF(A1629="","",A1629&amp;"|"&amp;O1629)</f>
        <v/>
      </c>
    </row>
    <row r="1630">
      <c r="A1630" s="60" t="n"/>
      <c r="B1630" s="63" t="n"/>
      <c r="C1630" s="63" t="n"/>
      <c r="D1630" s="67" t="n"/>
      <c r="E1630" s="68" t="n"/>
      <c r="F1630" s="69" t="n"/>
      <c r="G1630" s="70" t="n"/>
      <c r="H1630" s="62" t="str">
        <f>IF(COUNTA(A1630:G1630)=0,"",IF(C1630&lt;&gt;"",C1630,IF(B1630="","",IFERROR(INDEX(pr_des,MATCH(B1630,pr_code,0))&amp;"",""))))</f>
        <v/>
      </c>
      <c r="I1630" s="59" t="str">
        <f>IF(B1630="","",IFERROR(INDEX(pr_unit,MATCH(B1630,pr_code,0))&amp;"",""))</f>
        <v/>
      </c>
      <c r="J1630" s="65" t="str">
        <f>IF(COUNTA(A1630:G1630)=0,"",IF(E1630&lt;&gt;"",E1630,IF(B1630="","",IFERROR(IF(INDEX(pr_price,MATCH(B1630,pr_code,0))="","",INDEX(pr_price,MATCH(B1630,pr_code,0))),""))))</f>
        <v/>
      </c>
      <c r="K1630" s="71" t="str">
        <f>IF(COUNTA(A1630:G1630)=0,"",IF(G1630&lt;&gt;"",G1630,IF(B1630="","",IFERROR(IF(INDEX(pr_rate,MATCH(B1630,pr_code,0))="","",INDEX(pr_rate,MATCH(B1630,pr_code,0))),""))))</f>
        <v/>
      </c>
      <c r="L1630" s="65" t="str">
        <f>IF(COUNTA(A1630:G1630)=0,"",IF(AND(ISNUMBER(D1630),ISNUMBER(J1630)),ROUND(D1630*J1630*(1-N(F1630)),2),0))</f>
        <v/>
      </c>
      <c r="M1630" s="62" t="str">
        <f>IF(A1630="","",IFERROR(INDEX(fa_cname,MATCH(A1630,fa_num,0))&amp;"",""))</f>
        <v/>
      </c>
      <c r="N1630" s="59" t="str">
        <f>IF(COUNTA(A1630:G1630)=0,"",IF(A1630="","N° facture manquant",IF(ISNA(MATCH(A1630,fa_num,0)),"Facture inconnue",IF(AND(B1630&lt;&gt;"",ISNA(MATCH(B1630,pr_code,0))),"Article inconnu",IF(H1630="","Désignation manquante",IF(OR(NOT(ISNUMBER(D1630)),N(D1630)&lt;=0),"Quantité invalide",IF(J1630="","Prix manquant",IF(OR(NOT(ISNUMBER(J1630)),N(J1630)&lt;0),"Prix invalide",IF(OR(AND(F1630&lt;&gt;"",NOT(ISNUMBER(F1630))),N(F1630)&lt;0,N(F1630)&gt;1),"Remise invalide",IF(K1630="","Taux de TVA manquant",IF(NOT(ISNUMBER(K1630)),"Taux de TVA invalide",IF(COUNTIF(p_rates,K1630)=0,"Taux de TVA hors liste (Paramètres)",IF(N(O1630)&gt;25,"Au-delà de 25 lignes : non imprimée","OK")))))))))))))</f>
        <v/>
      </c>
      <c r="O1630" s="59" t="str">
        <f>IF(A1630="","",COUNTIF($A$6:A1630,A1630))</f>
        <v/>
      </c>
      <c r="P1630" s="62" t="str">
        <f>IF(A1630="","",A1630&amp;"|"&amp;O1630)</f>
        <v/>
      </c>
    </row>
    <row r="1631">
      <c r="A1631" s="60" t="n"/>
      <c r="B1631" s="63" t="n"/>
      <c r="C1631" s="63" t="n"/>
      <c r="D1631" s="67" t="n"/>
      <c r="E1631" s="68" t="n"/>
      <c r="F1631" s="69" t="n"/>
      <c r="G1631" s="70" t="n"/>
      <c r="H1631" s="62" t="str">
        <f>IF(COUNTA(A1631:G1631)=0,"",IF(C1631&lt;&gt;"",C1631,IF(B1631="","",IFERROR(INDEX(pr_des,MATCH(B1631,pr_code,0))&amp;"",""))))</f>
        <v/>
      </c>
      <c r="I1631" s="59" t="str">
        <f>IF(B1631="","",IFERROR(INDEX(pr_unit,MATCH(B1631,pr_code,0))&amp;"",""))</f>
        <v/>
      </c>
      <c r="J1631" s="65" t="str">
        <f>IF(COUNTA(A1631:G1631)=0,"",IF(E1631&lt;&gt;"",E1631,IF(B1631="","",IFERROR(IF(INDEX(pr_price,MATCH(B1631,pr_code,0))="","",INDEX(pr_price,MATCH(B1631,pr_code,0))),""))))</f>
        <v/>
      </c>
      <c r="K1631" s="71" t="str">
        <f>IF(COUNTA(A1631:G1631)=0,"",IF(G1631&lt;&gt;"",G1631,IF(B1631="","",IFERROR(IF(INDEX(pr_rate,MATCH(B1631,pr_code,0))="","",INDEX(pr_rate,MATCH(B1631,pr_code,0))),""))))</f>
        <v/>
      </c>
      <c r="L1631" s="65" t="str">
        <f>IF(COUNTA(A1631:G1631)=0,"",IF(AND(ISNUMBER(D1631),ISNUMBER(J1631)),ROUND(D1631*J1631*(1-N(F1631)),2),0))</f>
        <v/>
      </c>
      <c r="M1631" s="62" t="str">
        <f>IF(A1631="","",IFERROR(INDEX(fa_cname,MATCH(A1631,fa_num,0))&amp;"",""))</f>
        <v/>
      </c>
      <c r="N1631" s="59" t="str">
        <f>IF(COUNTA(A1631:G1631)=0,"",IF(A1631="","N° facture manquant",IF(ISNA(MATCH(A1631,fa_num,0)),"Facture inconnue",IF(AND(B1631&lt;&gt;"",ISNA(MATCH(B1631,pr_code,0))),"Article inconnu",IF(H1631="","Désignation manquante",IF(OR(NOT(ISNUMBER(D1631)),N(D1631)&lt;=0),"Quantité invalide",IF(J1631="","Prix manquant",IF(OR(NOT(ISNUMBER(J1631)),N(J1631)&lt;0),"Prix invalide",IF(OR(AND(F1631&lt;&gt;"",NOT(ISNUMBER(F1631))),N(F1631)&lt;0,N(F1631)&gt;1),"Remise invalide",IF(K1631="","Taux de TVA manquant",IF(NOT(ISNUMBER(K1631)),"Taux de TVA invalide",IF(COUNTIF(p_rates,K1631)=0,"Taux de TVA hors liste (Paramètres)",IF(N(O1631)&gt;25,"Au-delà de 25 lignes : non imprimée","OK")))))))))))))</f>
        <v/>
      </c>
      <c r="O1631" s="59" t="str">
        <f>IF(A1631="","",COUNTIF($A$6:A1631,A1631))</f>
        <v/>
      </c>
      <c r="P1631" s="62" t="str">
        <f>IF(A1631="","",A1631&amp;"|"&amp;O1631)</f>
        <v/>
      </c>
    </row>
    <row r="1632">
      <c r="A1632" s="60" t="n"/>
      <c r="B1632" s="63" t="n"/>
      <c r="C1632" s="63" t="n"/>
      <c r="D1632" s="67" t="n"/>
      <c r="E1632" s="68" t="n"/>
      <c r="F1632" s="69" t="n"/>
      <c r="G1632" s="70" t="n"/>
      <c r="H1632" s="62" t="str">
        <f>IF(COUNTA(A1632:G1632)=0,"",IF(C1632&lt;&gt;"",C1632,IF(B1632="","",IFERROR(INDEX(pr_des,MATCH(B1632,pr_code,0))&amp;"",""))))</f>
        <v/>
      </c>
      <c r="I1632" s="59" t="str">
        <f>IF(B1632="","",IFERROR(INDEX(pr_unit,MATCH(B1632,pr_code,0))&amp;"",""))</f>
        <v/>
      </c>
      <c r="J1632" s="65" t="str">
        <f>IF(COUNTA(A1632:G1632)=0,"",IF(E1632&lt;&gt;"",E1632,IF(B1632="","",IFERROR(IF(INDEX(pr_price,MATCH(B1632,pr_code,0))="","",INDEX(pr_price,MATCH(B1632,pr_code,0))),""))))</f>
        <v/>
      </c>
      <c r="K1632" s="71" t="str">
        <f>IF(COUNTA(A1632:G1632)=0,"",IF(G1632&lt;&gt;"",G1632,IF(B1632="","",IFERROR(IF(INDEX(pr_rate,MATCH(B1632,pr_code,0))="","",INDEX(pr_rate,MATCH(B1632,pr_code,0))),""))))</f>
        <v/>
      </c>
      <c r="L1632" s="65" t="str">
        <f>IF(COUNTA(A1632:G1632)=0,"",IF(AND(ISNUMBER(D1632),ISNUMBER(J1632)),ROUND(D1632*J1632*(1-N(F1632)),2),0))</f>
        <v/>
      </c>
      <c r="M1632" s="62" t="str">
        <f>IF(A1632="","",IFERROR(INDEX(fa_cname,MATCH(A1632,fa_num,0))&amp;"",""))</f>
        <v/>
      </c>
      <c r="N1632" s="59" t="str">
        <f>IF(COUNTA(A1632:G1632)=0,"",IF(A1632="","N° facture manquant",IF(ISNA(MATCH(A1632,fa_num,0)),"Facture inconnue",IF(AND(B1632&lt;&gt;"",ISNA(MATCH(B1632,pr_code,0))),"Article inconnu",IF(H1632="","Désignation manquante",IF(OR(NOT(ISNUMBER(D1632)),N(D1632)&lt;=0),"Quantité invalide",IF(J1632="","Prix manquant",IF(OR(NOT(ISNUMBER(J1632)),N(J1632)&lt;0),"Prix invalide",IF(OR(AND(F1632&lt;&gt;"",NOT(ISNUMBER(F1632))),N(F1632)&lt;0,N(F1632)&gt;1),"Remise invalide",IF(K1632="","Taux de TVA manquant",IF(NOT(ISNUMBER(K1632)),"Taux de TVA invalide",IF(COUNTIF(p_rates,K1632)=0,"Taux de TVA hors liste (Paramètres)",IF(N(O1632)&gt;25,"Au-delà de 25 lignes : non imprimée","OK")))))))))))))</f>
        <v/>
      </c>
      <c r="O1632" s="59" t="str">
        <f>IF(A1632="","",COUNTIF($A$6:A1632,A1632))</f>
        <v/>
      </c>
      <c r="P1632" s="62" t="str">
        <f>IF(A1632="","",A1632&amp;"|"&amp;O1632)</f>
        <v/>
      </c>
    </row>
    <row r="1633">
      <c r="A1633" s="60" t="n"/>
      <c r="B1633" s="63" t="n"/>
      <c r="C1633" s="63" t="n"/>
      <c r="D1633" s="67" t="n"/>
      <c r="E1633" s="68" t="n"/>
      <c r="F1633" s="69" t="n"/>
      <c r="G1633" s="70" t="n"/>
      <c r="H1633" s="62" t="str">
        <f>IF(COUNTA(A1633:G1633)=0,"",IF(C1633&lt;&gt;"",C1633,IF(B1633="","",IFERROR(INDEX(pr_des,MATCH(B1633,pr_code,0))&amp;"",""))))</f>
        <v/>
      </c>
      <c r="I1633" s="59" t="str">
        <f>IF(B1633="","",IFERROR(INDEX(pr_unit,MATCH(B1633,pr_code,0))&amp;"",""))</f>
        <v/>
      </c>
      <c r="J1633" s="65" t="str">
        <f>IF(COUNTA(A1633:G1633)=0,"",IF(E1633&lt;&gt;"",E1633,IF(B1633="","",IFERROR(IF(INDEX(pr_price,MATCH(B1633,pr_code,0))="","",INDEX(pr_price,MATCH(B1633,pr_code,0))),""))))</f>
        <v/>
      </c>
      <c r="K1633" s="71" t="str">
        <f>IF(COUNTA(A1633:G1633)=0,"",IF(G1633&lt;&gt;"",G1633,IF(B1633="","",IFERROR(IF(INDEX(pr_rate,MATCH(B1633,pr_code,0))="","",INDEX(pr_rate,MATCH(B1633,pr_code,0))),""))))</f>
        <v/>
      </c>
      <c r="L1633" s="65" t="str">
        <f>IF(COUNTA(A1633:G1633)=0,"",IF(AND(ISNUMBER(D1633),ISNUMBER(J1633)),ROUND(D1633*J1633*(1-N(F1633)),2),0))</f>
        <v/>
      </c>
      <c r="M1633" s="62" t="str">
        <f>IF(A1633="","",IFERROR(INDEX(fa_cname,MATCH(A1633,fa_num,0))&amp;"",""))</f>
        <v/>
      </c>
      <c r="N1633" s="59" t="str">
        <f>IF(COUNTA(A1633:G1633)=0,"",IF(A1633="","N° facture manquant",IF(ISNA(MATCH(A1633,fa_num,0)),"Facture inconnue",IF(AND(B1633&lt;&gt;"",ISNA(MATCH(B1633,pr_code,0))),"Article inconnu",IF(H1633="","Désignation manquante",IF(OR(NOT(ISNUMBER(D1633)),N(D1633)&lt;=0),"Quantité invalide",IF(J1633="","Prix manquant",IF(OR(NOT(ISNUMBER(J1633)),N(J1633)&lt;0),"Prix invalide",IF(OR(AND(F1633&lt;&gt;"",NOT(ISNUMBER(F1633))),N(F1633)&lt;0,N(F1633)&gt;1),"Remise invalide",IF(K1633="","Taux de TVA manquant",IF(NOT(ISNUMBER(K1633)),"Taux de TVA invalide",IF(COUNTIF(p_rates,K1633)=0,"Taux de TVA hors liste (Paramètres)",IF(N(O1633)&gt;25,"Au-delà de 25 lignes : non imprimée","OK")))))))))))))</f>
        <v/>
      </c>
      <c r="O1633" s="59" t="str">
        <f>IF(A1633="","",COUNTIF($A$6:A1633,A1633))</f>
        <v/>
      </c>
      <c r="P1633" s="62" t="str">
        <f>IF(A1633="","",A1633&amp;"|"&amp;O1633)</f>
        <v/>
      </c>
    </row>
    <row r="1634">
      <c r="A1634" s="60" t="n"/>
      <c r="B1634" s="63" t="n"/>
      <c r="C1634" s="63" t="n"/>
      <c r="D1634" s="67" t="n"/>
      <c r="E1634" s="68" t="n"/>
      <c r="F1634" s="69" t="n"/>
      <c r="G1634" s="70" t="n"/>
      <c r="H1634" s="62" t="str">
        <f>IF(COUNTA(A1634:G1634)=0,"",IF(C1634&lt;&gt;"",C1634,IF(B1634="","",IFERROR(INDEX(pr_des,MATCH(B1634,pr_code,0))&amp;"",""))))</f>
        <v/>
      </c>
      <c r="I1634" s="59" t="str">
        <f>IF(B1634="","",IFERROR(INDEX(pr_unit,MATCH(B1634,pr_code,0))&amp;"",""))</f>
        <v/>
      </c>
      <c r="J1634" s="65" t="str">
        <f>IF(COUNTA(A1634:G1634)=0,"",IF(E1634&lt;&gt;"",E1634,IF(B1634="","",IFERROR(IF(INDEX(pr_price,MATCH(B1634,pr_code,0))="","",INDEX(pr_price,MATCH(B1634,pr_code,0))),""))))</f>
        <v/>
      </c>
      <c r="K1634" s="71" t="str">
        <f>IF(COUNTA(A1634:G1634)=0,"",IF(G1634&lt;&gt;"",G1634,IF(B1634="","",IFERROR(IF(INDEX(pr_rate,MATCH(B1634,pr_code,0))="","",INDEX(pr_rate,MATCH(B1634,pr_code,0))),""))))</f>
        <v/>
      </c>
      <c r="L1634" s="65" t="str">
        <f>IF(COUNTA(A1634:G1634)=0,"",IF(AND(ISNUMBER(D1634),ISNUMBER(J1634)),ROUND(D1634*J1634*(1-N(F1634)),2),0))</f>
        <v/>
      </c>
      <c r="M1634" s="62" t="str">
        <f>IF(A1634="","",IFERROR(INDEX(fa_cname,MATCH(A1634,fa_num,0))&amp;"",""))</f>
        <v/>
      </c>
      <c r="N1634" s="59" t="str">
        <f>IF(COUNTA(A1634:G1634)=0,"",IF(A1634="","N° facture manquant",IF(ISNA(MATCH(A1634,fa_num,0)),"Facture inconnue",IF(AND(B1634&lt;&gt;"",ISNA(MATCH(B1634,pr_code,0))),"Article inconnu",IF(H1634="","Désignation manquante",IF(OR(NOT(ISNUMBER(D1634)),N(D1634)&lt;=0),"Quantité invalide",IF(J1634="","Prix manquant",IF(OR(NOT(ISNUMBER(J1634)),N(J1634)&lt;0),"Prix invalide",IF(OR(AND(F1634&lt;&gt;"",NOT(ISNUMBER(F1634))),N(F1634)&lt;0,N(F1634)&gt;1),"Remise invalide",IF(K1634="","Taux de TVA manquant",IF(NOT(ISNUMBER(K1634)),"Taux de TVA invalide",IF(COUNTIF(p_rates,K1634)=0,"Taux de TVA hors liste (Paramètres)",IF(N(O1634)&gt;25,"Au-delà de 25 lignes : non imprimée","OK")))))))))))))</f>
        <v/>
      </c>
      <c r="O1634" s="59" t="str">
        <f>IF(A1634="","",COUNTIF($A$6:A1634,A1634))</f>
        <v/>
      </c>
      <c r="P1634" s="62" t="str">
        <f>IF(A1634="","",A1634&amp;"|"&amp;O1634)</f>
        <v/>
      </c>
    </row>
    <row r="1635">
      <c r="A1635" s="60" t="n"/>
      <c r="B1635" s="63" t="n"/>
      <c r="C1635" s="63" t="n"/>
      <c r="D1635" s="67" t="n"/>
      <c r="E1635" s="68" t="n"/>
      <c r="F1635" s="69" t="n"/>
      <c r="G1635" s="70" t="n"/>
      <c r="H1635" s="62" t="str">
        <f>IF(COUNTA(A1635:G1635)=0,"",IF(C1635&lt;&gt;"",C1635,IF(B1635="","",IFERROR(INDEX(pr_des,MATCH(B1635,pr_code,0))&amp;"",""))))</f>
        <v/>
      </c>
      <c r="I1635" s="59" t="str">
        <f>IF(B1635="","",IFERROR(INDEX(pr_unit,MATCH(B1635,pr_code,0))&amp;"",""))</f>
        <v/>
      </c>
      <c r="J1635" s="65" t="str">
        <f>IF(COUNTA(A1635:G1635)=0,"",IF(E1635&lt;&gt;"",E1635,IF(B1635="","",IFERROR(IF(INDEX(pr_price,MATCH(B1635,pr_code,0))="","",INDEX(pr_price,MATCH(B1635,pr_code,0))),""))))</f>
        <v/>
      </c>
      <c r="K1635" s="71" t="str">
        <f>IF(COUNTA(A1635:G1635)=0,"",IF(G1635&lt;&gt;"",G1635,IF(B1635="","",IFERROR(IF(INDEX(pr_rate,MATCH(B1635,pr_code,0))="","",INDEX(pr_rate,MATCH(B1635,pr_code,0))),""))))</f>
        <v/>
      </c>
      <c r="L1635" s="65" t="str">
        <f>IF(COUNTA(A1635:G1635)=0,"",IF(AND(ISNUMBER(D1635),ISNUMBER(J1635)),ROUND(D1635*J1635*(1-N(F1635)),2),0))</f>
        <v/>
      </c>
      <c r="M1635" s="62" t="str">
        <f>IF(A1635="","",IFERROR(INDEX(fa_cname,MATCH(A1635,fa_num,0))&amp;"",""))</f>
        <v/>
      </c>
      <c r="N1635" s="59" t="str">
        <f>IF(COUNTA(A1635:G1635)=0,"",IF(A1635="","N° facture manquant",IF(ISNA(MATCH(A1635,fa_num,0)),"Facture inconnue",IF(AND(B1635&lt;&gt;"",ISNA(MATCH(B1635,pr_code,0))),"Article inconnu",IF(H1635="","Désignation manquante",IF(OR(NOT(ISNUMBER(D1635)),N(D1635)&lt;=0),"Quantité invalide",IF(J1635="","Prix manquant",IF(OR(NOT(ISNUMBER(J1635)),N(J1635)&lt;0),"Prix invalide",IF(OR(AND(F1635&lt;&gt;"",NOT(ISNUMBER(F1635))),N(F1635)&lt;0,N(F1635)&gt;1),"Remise invalide",IF(K1635="","Taux de TVA manquant",IF(NOT(ISNUMBER(K1635)),"Taux de TVA invalide",IF(COUNTIF(p_rates,K1635)=0,"Taux de TVA hors liste (Paramètres)",IF(N(O1635)&gt;25,"Au-delà de 25 lignes : non imprimée","OK")))))))))))))</f>
        <v/>
      </c>
      <c r="O1635" s="59" t="str">
        <f>IF(A1635="","",COUNTIF($A$6:A1635,A1635))</f>
        <v/>
      </c>
      <c r="P1635" s="62" t="str">
        <f>IF(A1635="","",A1635&amp;"|"&amp;O1635)</f>
        <v/>
      </c>
    </row>
    <row r="1636">
      <c r="A1636" s="60" t="n"/>
      <c r="B1636" s="63" t="n"/>
      <c r="C1636" s="63" t="n"/>
      <c r="D1636" s="67" t="n"/>
      <c r="E1636" s="68" t="n"/>
      <c r="F1636" s="69" t="n"/>
      <c r="G1636" s="70" t="n"/>
      <c r="H1636" s="62" t="str">
        <f>IF(COUNTA(A1636:G1636)=0,"",IF(C1636&lt;&gt;"",C1636,IF(B1636="","",IFERROR(INDEX(pr_des,MATCH(B1636,pr_code,0))&amp;"",""))))</f>
        <v/>
      </c>
      <c r="I1636" s="59" t="str">
        <f>IF(B1636="","",IFERROR(INDEX(pr_unit,MATCH(B1636,pr_code,0))&amp;"",""))</f>
        <v/>
      </c>
      <c r="J1636" s="65" t="str">
        <f>IF(COUNTA(A1636:G1636)=0,"",IF(E1636&lt;&gt;"",E1636,IF(B1636="","",IFERROR(IF(INDEX(pr_price,MATCH(B1636,pr_code,0))="","",INDEX(pr_price,MATCH(B1636,pr_code,0))),""))))</f>
        <v/>
      </c>
      <c r="K1636" s="71" t="str">
        <f>IF(COUNTA(A1636:G1636)=0,"",IF(G1636&lt;&gt;"",G1636,IF(B1636="","",IFERROR(IF(INDEX(pr_rate,MATCH(B1636,pr_code,0))="","",INDEX(pr_rate,MATCH(B1636,pr_code,0))),""))))</f>
        <v/>
      </c>
      <c r="L1636" s="65" t="str">
        <f>IF(COUNTA(A1636:G1636)=0,"",IF(AND(ISNUMBER(D1636),ISNUMBER(J1636)),ROUND(D1636*J1636*(1-N(F1636)),2),0))</f>
        <v/>
      </c>
      <c r="M1636" s="62" t="str">
        <f>IF(A1636="","",IFERROR(INDEX(fa_cname,MATCH(A1636,fa_num,0))&amp;"",""))</f>
        <v/>
      </c>
      <c r="N1636" s="59" t="str">
        <f>IF(COUNTA(A1636:G1636)=0,"",IF(A1636="","N° facture manquant",IF(ISNA(MATCH(A1636,fa_num,0)),"Facture inconnue",IF(AND(B1636&lt;&gt;"",ISNA(MATCH(B1636,pr_code,0))),"Article inconnu",IF(H1636="","Désignation manquante",IF(OR(NOT(ISNUMBER(D1636)),N(D1636)&lt;=0),"Quantité invalide",IF(J1636="","Prix manquant",IF(OR(NOT(ISNUMBER(J1636)),N(J1636)&lt;0),"Prix invalide",IF(OR(AND(F1636&lt;&gt;"",NOT(ISNUMBER(F1636))),N(F1636)&lt;0,N(F1636)&gt;1),"Remise invalide",IF(K1636="","Taux de TVA manquant",IF(NOT(ISNUMBER(K1636)),"Taux de TVA invalide",IF(COUNTIF(p_rates,K1636)=0,"Taux de TVA hors liste (Paramètres)",IF(N(O1636)&gt;25,"Au-delà de 25 lignes : non imprimée","OK")))))))))))))</f>
        <v/>
      </c>
      <c r="O1636" s="59" t="str">
        <f>IF(A1636="","",COUNTIF($A$6:A1636,A1636))</f>
        <v/>
      </c>
      <c r="P1636" s="62" t="str">
        <f>IF(A1636="","",A1636&amp;"|"&amp;O1636)</f>
        <v/>
      </c>
    </row>
    <row r="1637">
      <c r="A1637" s="60" t="n"/>
      <c r="B1637" s="63" t="n"/>
      <c r="C1637" s="63" t="n"/>
      <c r="D1637" s="67" t="n"/>
      <c r="E1637" s="68" t="n"/>
      <c r="F1637" s="69" t="n"/>
      <c r="G1637" s="70" t="n"/>
      <c r="H1637" s="62" t="str">
        <f>IF(COUNTA(A1637:G1637)=0,"",IF(C1637&lt;&gt;"",C1637,IF(B1637="","",IFERROR(INDEX(pr_des,MATCH(B1637,pr_code,0))&amp;"",""))))</f>
        <v/>
      </c>
      <c r="I1637" s="59" t="str">
        <f>IF(B1637="","",IFERROR(INDEX(pr_unit,MATCH(B1637,pr_code,0))&amp;"",""))</f>
        <v/>
      </c>
      <c r="J1637" s="65" t="str">
        <f>IF(COUNTA(A1637:G1637)=0,"",IF(E1637&lt;&gt;"",E1637,IF(B1637="","",IFERROR(IF(INDEX(pr_price,MATCH(B1637,pr_code,0))="","",INDEX(pr_price,MATCH(B1637,pr_code,0))),""))))</f>
        <v/>
      </c>
      <c r="K1637" s="71" t="str">
        <f>IF(COUNTA(A1637:G1637)=0,"",IF(G1637&lt;&gt;"",G1637,IF(B1637="","",IFERROR(IF(INDEX(pr_rate,MATCH(B1637,pr_code,0))="","",INDEX(pr_rate,MATCH(B1637,pr_code,0))),""))))</f>
        <v/>
      </c>
      <c r="L1637" s="65" t="str">
        <f>IF(COUNTA(A1637:G1637)=0,"",IF(AND(ISNUMBER(D1637),ISNUMBER(J1637)),ROUND(D1637*J1637*(1-N(F1637)),2),0))</f>
        <v/>
      </c>
      <c r="M1637" s="62" t="str">
        <f>IF(A1637="","",IFERROR(INDEX(fa_cname,MATCH(A1637,fa_num,0))&amp;"",""))</f>
        <v/>
      </c>
      <c r="N1637" s="59" t="str">
        <f>IF(COUNTA(A1637:G1637)=0,"",IF(A1637="","N° facture manquant",IF(ISNA(MATCH(A1637,fa_num,0)),"Facture inconnue",IF(AND(B1637&lt;&gt;"",ISNA(MATCH(B1637,pr_code,0))),"Article inconnu",IF(H1637="","Désignation manquante",IF(OR(NOT(ISNUMBER(D1637)),N(D1637)&lt;=0),"Quantité invalide",IF(J1637="","Prix manquant",IF(OR(NOT(ISNUMBER(J1637)),N(J1637)&lt;0),"Prix invalide",IF(OR(AND(F1637&lt;&gt;"",NOT(ISNUMBER(F1637))),N(F1637)&lt;0,N(F1637)&gt;1),"Remise invalide",IF(K1637="","Taux de TVA manquant",IF(NOT(ISNUMBER(K1637)),"Taux de TVA invalide",IF(COUNTIF(p_rates,K1637)=0,"Taux de TVA hors liste (Paramètres)",IF(N(O1637)&gt;25,"Au-delà de 25 lignes : non imprimée","OK")))))))))))))</f>
        <v/>
      </c>
      <c r="O1637" s="59" t="str">
        <f>IF(A1637="","",COUNTIF($A$6:A1637,A1637))</f>
        <v/>
      </c>
      <c r="P1637" s="62" t="str">
        <f>IF(A1637="","",A1637&amp;"|"&amp;O1637)</f>
        <v/>
      </c>
    </row>
    <row r="1638">
      <c r="A1638" s="60" t="n"/>
      <c r="B1638" s="63" t="n"/>
      <c r="C1638" s="63" t="n"/>
      <c r="D1638" s="67" t="n"/>
      <c r="E1638" s="68" t="n"/>
      <c r="F1638" s="69" t="n"/>
      <c r="G1638" s="70" t="n"/>
      <c r="H1638" s="62" t="str">
        <f>IF(COUNTA(A1638:G1638)=0,"",IF(C1638&lt;&gt;"",C1638,IF(B1638="","",IFERROR(INDEX(pr_des,MATCH(B1638,pr_code,0))&amp;"",""))))</f>
        <v/>
      </c>
      <c r="I1638" s="59" t="str">
        <f>IF(B1638="","",IFERROR(INDEX(pr_unit,MATCH(B1638,pr_code,0))&amp;"",""))</f>
        <v/>
      </c>
      <c r="J1638" s="65" t="str">
        <f>IF(COUNTA(A1638:G1638)=0,"",IF(E1638&lt;&gt;"",E1638,IF(B1638="","",IFERROR(IF(INDEX(pr_price,MATCH(B1638,pr_code,0))="","",INDEX(pr_price,MATCH(B1638,pr_code,0))),""))))</f>
        <v/>
      </c>
      <c r="K1638" s="71" t="str">
        <f>IF(COUNTA(A1638:G1638)=0,"",IF(G1638&lt;&gt;"",G1638,IF(B1638="","",IFERROR(IF(INDEX(pr_rate,MATCH(B1638,pr_code,0))="","",INDEX(pr_rate,MATCH(B1638,pr_code,0))),""))))</f>
        <v/>
      </c>
      <c r="L1638" s="65" t="str">
        <f>IF(COUNTA(A1638:G1638)=0,"",IF(AND(ISNUMBER(D1638),ISNUMBER(J1638)),ROUND(D1638*J1638*(1-N(F1638)),2),0))</f>
        <v/>
      </c>
      <c r="M1638" s="62" t="str">
        <f>IF(A1638="","",IFERROR(INDEX(fa_cname,MATCH(A1638,fa_num,0))&amp;"",""))</f>
        <v/>
      </c>
      <c r="N1638" s="59" t="str">
        <f>IF(COUNTA(A1638:G1638)=0,"",IF(A1638="","N° facture manquant",IF(ISNA(MATCH(A1638,fa_num,0)),"Facture inconnue",IF(AND(B1638&lt;&gt;"",ISNA(MATCH(B1638,pr_code,0))),"Article inconnu",IF(H1638="","Désignation manquante",IF(OR(NOT(ISNUMBER(D1638)),N(D1638)&lt;=0),"Quantité invalide",IF(J1638="","Prix manquant",IF(OR(NOT(ISNUMBER(J1638)),N(J1638)&lt;0),"Prix invalide",IF(OR(AND(F1638&lt;&gt;"",NOT(ISNUMBER(F1638))),N(F1638)&lt;0,N(F1638)&gt;1),"Remise invalide",IF(K1638="","Taux de TVA manquant",IF(NOT(ISNUMBER(K1638)),"Taux de TVA invalide",IF(COUNTIF(p_rates,K1638)=0,"Taux de TVA hors liste (Paramètres)",IF(N(O1638)&gt;25,"Au-delà de 25 lignes : non imprimée","OK")))))))))))))</f>
        <v/>
      </c>
      <c r="O1638" s="59" t="str">
        <f>IF(A1638="","",COUNTIF($A$6:A1638,A1638))</f>
        <v/>
      </c>
      <c r="P1638" s="62" t="str">
        <f>IF(A1638="","",A1638&amp;"|"&amp;O1638)</f>
        <v/>
      </c>
    </row>
    <row r="1639">
      <c r="A1639" s="60" t="n"/>
      <c r="B1639" s="63" t="n"/>
      <c r="C1639" s="63" t="n"/>
      <c r="D1639" s="67" t="n"/>
      <c r="E1639" s="68" t="n"/>
      <c r="F1639" s="69" t="n"/>
      <c r="G1639" s="70" t="n"/>
      <c r="H1639" s="62" t="str">
        <f>IF(COUNTA(A1639:G1639)=0,"",IF(C1639&lt;&gt;"",C1639,IF(B1639="","",IFERROR(INDEX(pr_des,MATCH(B1639,pr_code,0))&amp;"",""))))</f>
        <v/>
      </c>
      <c r="I1639" s="59" t="str">
        <f>IF(B1639="","",IFERROR(INDEX(pr_unit,MATCH(B1639,pr_code,0))&amp;"",""))</f>
        <v/>
      </c>
      <c r="J1639" s="65" t="str">
        <f>IF(COUNTA(A1639:G1639)=0,"",IF(E1639&lt;&gt;"",E1639,IF(B1639="","",IFERROR(IF(INDEX(pr_price,MATCH(B1639,pr_code,0))="","",INDEX(pr_price,MATCH(B1639,pr_code,0))),""))))</f>
        <v/>
      </c>
      <c r="K1639" s="71" t="str">
        <f>IF(COUNTA(A1639:G1639)=0,"",IF(G1639&lt;&gt;"",G1639,IF(B1639="","",IFERROR(IF(INDEX(pr_rate,MATCH(B1639,pr_code,0))="","",INDEX(pr_rate,MATCH(B1639,pr_code,0))),""))))</f>
        <v/>
      </c>
      <c r="L1639" s="65" t="str">
        <f>IF(COUNTA(A1639:G1639)=0,"",IF(AND(ISNUMBER(D1639),ISNUMBER(J1639)),ROUND(D1639*J1639*(1-N(F1639)),2),0))</f>
        <v/>
      </c>
      <c r="M1639" s="62" t="str">
        <f>IF(A1639="","",IFERROR(INDEX(fa_cname,MATCH(A1639,fa_num,0))&amp;"",""))</f>
        <v/>
      </c>
      <c r="N1639" s="59" t="str">
        <f>IF(COUNTA(A1639:G1639)=0,"",IF(A1639="","N° facture manquant",IF(ISNA(MATCH(A1639,fa_num,0)),"Facture inconnue",IF(AND(B1639&lt;&gt;"",ISNA(MATCH(B1639,pr_code,0))),"Article inconnu",IF(H1639="","Désignation manquante",IF(OR(NOT(ISNUMBER(D1639)),N(D1639)&lt;=0),"Quantité invalide",IF(J1639="","Prix manquant",IF(OR(NOT(ISNUMBER(J1639)),N(J1639)&lt;0),"Prix invalide",IF(OR(AND(F1639&lt;&gt;"",NOT(ISNUMBER(F1639))),N(F1639)&lt;0,N(F1639)&gt;1),"Remise invalide",IF(K1639="","Taux de TVA manquant",IF(NOT(ISNUMBER(K1639)),"Taux de TVA invalide",IF(COUNTIF(p_rates,K1639)=0,"Taux de TVA hors liste (Paramètres)",IF(N(O1639)&gt;25,"Au-delà de 25 lignes : non imprimée","OK")))))))))))))</f>
        <v/>
      </c>
      <c r="O1639" s="59" t="str">
        <f>IF(A1639="","",COUNTIF($A$6:A1639,A1639))</f>
        <v/>
      </c>
      <c r="P1639" s="62" t="str">
        <f>IF(A1639="","",A1639&amp;"|"&amp;O1639)</f>
        <v/>
      </c>
    </row>
    <row r="1640">
      <c r="A1640" s="60" t="n"/>
      <c r="B1640" s="63" t="n"/>
      <c r="C1640" s="63" t="n"/>
      <c r="D1640" s="67" t="n"/>
      <c r="E1640" s="68" t="n"/>
      <c r="F1640" s="69" t="n"/>
      <c r="G1640" s="70" t="n"/>
      <c r="H1640" s="62" t="str">
        <f>IF(COUNTA(A1640:G1640)=0,"",IF(C1640&lt;&gt;"",C1640,IF(B1640="","",IFERROR(INDEX(pr_des,MATCH(B1640,pr_code,0))&amp;"",""))))</f>
        <v/>
      </c>
      <c r="I1640" s="59" t="str">
        <f>IF(B1640="","",IFERROR(INDEX(pr_unit,MATCH(B1640,pr_code,0))&amp;"",""))</f>
        <v/>
      </c>
      <c r="J1640" s="65" t="str">
        <f>IF(COUNTA(A1640:G1640)=0,"",IF(E1640&lt;&gt;"",E1640,IF(B1640="","",IFERROR(IF(INDEX(pr_price,MATCH(B1640,pr_code,0))="","",INDEX(pr_price,MATCH(B1640,pr_code,0))),""))))</f>
        <v/>
      </c>
      <c r="K1640" s="71" t="str">
        <f>IF(COUNTA(A1640:G1640)=0,"",IF(G1640&lt;&gt;"",G1640,IF(B1640="","",IFERROR(IF(INDEX(pr_rate,MATCH(B1640,pr_code,0))="","",INDEX(pr_rate,MATCH(B1640,pr_code,0))),""))))</f>
        <v/>
      </c>
      <c r="L1640" s="65" t="str">
        <f>IF(COUNTA(A1640:G1640)=0,"",IF(AND(ISNUMBER(D1640),ISNUMBER(J1640)),ROUND(D1640*J1640*(1-N(F1640)),2),0))</f>
        <v/>
      </c>
      <c r="M1640" s="62" t="str">
        <f>IF(A1640="","",IFERROR(INDEX(fa_cname,MATCH(A1640,fa_num,0))&amp;"",""))</f>
        <v/>
      </c>
      <c r="N1640" s="59" t="str">
        <f>IF(COUNTA(A1640:G1640)=0,"",IF(A1640="","N° facture manquant",IF(ISNA(MATCH(A1640,fa_num,0)),"Facture inconnue",IF(AND(B1640&lt;&gt;"",ISNA(MATCH(B1640,pr_code,0))),"Article inconnu",IF(H1640="","Désignation manquante",IF(OR(NOT(ISNUMBER(D1640)),N(D1640)&lt;=0),"Quantité invalide",IF(J1640="","Prix manquant",IF(OR(NOT(ISNUMBER(J1640)),N(J1640)&lt;0),"Prix invalide",IF(OR(AND(F1640&lt;&gt;"",NOT(ISNUMBER(F1640))),N(F1640)&lt;0,N(F1640)&gt;1),"Remise invalide",IF(K1640="","Taux de TVA manquant",IF(NOT(ISNUMBER(K1640)),"Taux de TVA invalide",IF(COUNTIF(p_rates,K1640)=0,"Taux de TVA hors liste (Paramètres)",IF(N(O1640)&gt;25,"Au-delà de 25 lignes : non imprimée","OK")))))))))))))</f>
        <v/>
      </c>
      <c r="O1640" s="59" t="str">
        <f>IF(A1640="","",COUNTIF($A$6:A1640,A1640))</f>
        <v/>
      </c>
      <c r="P1640" s="62" t="str">
        <f>IF(A1640="","",A1640&amp;"|"&amp;O1640)</f>
        <v/>
      </c>
    </row>
    <row r="1641">
      <c r="A1641" s="60" t="n"/>
      <c r="B1641" s="63" t="n"/>
      <c r="C1641" s="63" t="n"/>
      <c r="D1641" s="67" t="n"/>
      <c r="E1641" s="68" t="n"/>
      <c r="F1641" s="69" t="n"/>
      <c r="G1641" s="70" t="n"/>
      <c r="H1641" s="62" t="str">
        <f>IF(COUNTA(A1641:G1641)=0,"",IF(C1641&lt;&gt;"",C1641,IF(B1641="","",IFERROR(INDEX(pr_des,MATCH(B1641,pr_code,0))&amp;"",""))))</f>
        <v/>
      </c>
      <c r="I1641" s="59" t="str">
        <f>IF(B1641="","",IFERROR(INDEX(pr_unit,MATCH(B1641,pr_code,0))&amp;"",""))</f>
        <v/>
      </c>
      <c r="J1641" s="65" t="str">
        <f>IF(COUNTA(A1641:G1641)=0,"",IF(E1641&lt;&gt;"",E1641,IF(B1641="","",IFERROR(IF(INDEX(pr_price,MATCH(B1641,pr_code,0))="","",INDEX(pr_price,MATCH(B1641,pr_code,0))),""))))</f>
        <v/>
      </c>
      <c r="K1641" s="71" t="str">
        <f>IF(COUNTA(A1641:G1641)=0,"",IF(G1641&lt;&gt;"",G1641,IF(B1641="","",IFERROR(IF(INDEX(pr_rate,MATCH(B1641,pr_code,0))="","",INDEX(pr_rate,MATCH(B1641,pr_code,0))),""))))</f>
        <v/>
      </c>
      <c r="L1641" s="65" t="str">
        <f>IF(COUNTA(A1641:G1641)=0,"",IF(AND(ISNUMBER(D1641),ISNUMBER(J1641)),ROUND(D1641*J1641*(1-N(F1641)),2),0))</f>
        <v/>
      </c>
      <c r="M1641" s="62" t="str">
        <f>IF(A1641="","",IFERROR(INDEX(fa_cname,MATCH(A1641,fa_num,0))&amp;"",""))</f>
        <v/>
      </c>
      <c r="N1641" s="59" t="str">
        <f>IF(COUNTA(A1641:G1641)=0,"",IF(A1641="","N° facture manquant",IF(ISNA(MATCH(A1641,fa_num,0)),"Facture inconnue",IF(AND(B1641&lt;&gt;"",ISNA(MATCH(B1641,pr_code,0))),"Article inconnu",IF(H1641="","Désignation manquante",IF(OR(NOT(ISNUMBER(D1641)),N(D1641)&lt;=0),"Quantité invalide",IF(J1641="","Prix manquant",IF(OR(NOT(ISNUMBER(J1641)),N(J1641)&lt;0),"Prix invalide",IF(OR(AND(F1641&lt;&gt;"",NOT(ISNUMBER(F1641))),N(F1641)&lt;0,N(F1641)&gt;1),"Remise invalide",IF(K1641="","Taux de TVA manquant",IF(NOT(ISNUMBER(K1641)),"Taux de TVA invalide",IF(COUNTIF(p_rates,K1641)=0,"Taux de TVA hors liste (Paramètres)",IF(N(O1641)&gt;25,"Au-delà de 25 lignes : non imprimée","OK")))))))))))))</f>
        <v/>
      </c>
      <c r="O1641" s="59" t="str">
        <f>IF(A1641="","",COUNTIF($A$6:A1641,A1641))</f>
        <v/>
      </c>
      <c r="P1641" s="62" t="str">
        <f>IF(A1641="","",A1641&amp;"|"&amp;O1641)</f>
        <v/>
      </c>
    </row>
    <row r="1642">
      <c r="A1642" s="60" t="n"/>
      <c r="B1642" s="63" t="n"/>
      <c r="C1642" s="63" t="n"/>
      <c r="D1642" s="67" t="n"/>
      <c r="E1642" s="68" t="n"/>
      <c r="F1642" s="69" t="n"/>
      <c r="G1642" s="70" t="n"/>
      <c r="H1642" s="62" t="str">
        <f>IF(COUNTA(A1642:G1642)=0,"",IF(C1642&lt;&gt;"",C1642,IF(B1642="","",IFERROR(INDEX(pr_des,MATCH(B1642,pr_code,0))&amp;"",""))))</f>
        <v/>
      </c>
      <c r="I1642" s="59" t="str">
        <f>IF(B1642="","",IFERROR(INDEX(pr_unit,MATCH(B1642,pr_code,0))&amp;"",""))</f>
        <v/>
      </c>
      <c r="J1642" s="65" t="str">
        <f>IF(COUNTA(A1642:G1642)=0,"",IF(E1642&lt;&gt;"",E1642,IF(B1642="","",IFERROR(IF(INDEX(pr_price,MATCH(B1642,pr_code,0))="","",INDEX(pr_price,MATCH(B1642,pr_code,0))),""))))</f>
        <v/>
      </c>
      <c r="K1642" s="71" t="str">
        <f>IF(COUNTA(A1642:G1642)=0,"",IF(G1642&lt;&gt;"",G1642,IF(B1642="","",IFERROR(IF(INDEX(pr_rate,MATCH(B1642,pr_code,0))="","",INDEX(pr_rate,MATCH(B1642,pr_code,0))),""))))</f>
        <v/>
      </c>
      <c r="L1642" s="65" t="str">
        <f>IF(COUNTA(A1642:G1642)=0,"",IF(AND(ISNUMBER(D1642),ISNUMBER(J1642)),ROUND(D1642*J1642*(1-N(F1642)),2),0))</f>
        <v/>
      </c>
      <c r="M1642" s="62" t="str">
        <f>IF(A1642="","",IFERROR(INDEX(fa_cname,MATCH(A1642,fa_num,0))&amp;"",""))</f>
        <v/>
      </c>
      <c r="N1642" s="59" t="str">
        <f>IF(COUNTA(A1642:G1642)=0,"",IF(A1642="","N° facture manquant",IF(ISNA(MATCH(A1642,fa_num,0)),"Facture inconnue",IF(AND(B1642&lt;&gt;"",ISNA(MATCH(B1642,pr_code,0))),"Article inconnu",IF(H1642="","Désignation manquante",IF(OR(NOT(ISNUMBER(D1642)),N(D1642)&lt;=0),"Quantité invalide",IF(J1642="","Prix manquant",IF(OR(NOT(ISNUMBER(J1642)),N(J1642)&lt;0),"Prix invalide",IF(OR(AND(F1642&lt;&gt;"",NOT(ISNUMBER(F1642))),N(F1642)&lt;0,N(F1642)&gt;1),"Remise invalide",IF(K1642="","Taux de TVA manquant",IF(NOT(ISNUMBER(K1642)),"Taux de TVA invalide",IF(COUNTIF(p_rates,K1642)=0,"Taux de TVA hors liste (Paramètres)",IF(N(O1642)&gt;25,"Au-delà de 25 lignes : non imprimée","OK")))))))))))))</f>
        <v/>
      </c>
      <c r="O1642" s="59" t="str">
        <f>IF(A1642="","",COUNTIF($A$6:A1642,A1642))</f>
        <v/>
      </c>
      <c r="P1642" s="62" t="str">
        <f>IF(A1642="","",A1642&amp;"|"&amp;O1642)</f>
        <v/>
      </c>
    </row>
    <row r="1643">
      <c r="A1643" s="60" t="n"/>
      <c r="B1643" s="63" t="n"/>
      <c r="C1643" s="63" t="n"/>
      <c r="D1643" s="67" t="n"/>
      <c r="E1643" s="68" t="n"/>
      <c r="F1643" s="69" t="n"/>
      <c r="G1643" s="70" t="n"/>
      <c r="H1643" s="62" t="str">
        <f>IF(COUNTA(A1643:G1643)=0,"",IF(C1643&lt;&gt;"",C1643,IF(B1643="","",IFERROR(INDEX(pr_des,MATCH(B1643,pr_code,0))&amp;"",""))))</f>
        <v/>
      </c>
      <c r="I1643" s="59" t="str">
        <f>IF(B1643="","",IFERROR(INDEX(pr_unit,MATCH(B1643,pr_code,0))&amp;"",""))</f>
        <v/>
      </c>
      <c r="J1643" s="65" t="str">
        <f>IF(COUNTA(A1643:G1643)=0,"",IF(E1643&lt;&gt;"",E1643,IF(B1643="","",IFERROR(IF(INDEX(pr_price,MATCH(B1643,pr_code,0))="","",INDEX(pr_price,MATCH(B1643,pr_code,0))),""))))</f>
        <v/>
      </c>
      <c r="K1643" s="71" t="str">
        <f>IF(COUNTA(A1643:G1643)=0,"",IF(G1643&lt;&gt;"",G1643,IF(B1643="","",IFERROR(IF(INDEX(pr_rate,MATCH(B1643,pr_code,0))="","",INDEX(pr_rate,MATCH(B1643,pr_code,0))),""))))</f>
        <v/>
      </c>
      <c r="L1643" s="65" t="str">
        <f>IF(COUNTA(A1643:G1643)=0,"",IF(AND(ISNUMBER(D1643),ISNUMBER(J1643)),ROUND(D1643*J1643*(1-N(F1643)),2),0))</f>
        <v/>
      </c>
      <c r="M1643" s="62" t="str">
        <f>IF(A1643="","",IFERROR(INDEX(fa_cname,MATCH(A1643,fa_num,0))&amp;"",""))</f>
        <v/>
      </c>
      <c r="N1643" s="59" t="str">
        <f>IF(COUNTA(A1643:G1643)=0,"",IF(A1643="","N° facture manquant",IF(ISNA(MATCH(A1643,fa_num,0)),"Facture inconnue",IF(AND(B1643&lt;&gt;"",ISNA(MATCH(B1643,pr_code,0))),"Article inconnu",IF(H1643="","Désignation manquante",IF(OR(NOT(ISNUMBER(D1643)),N(D1643)&lt;=0),"Quantité invalide",IF(J1643="","Prix manquant",IF(OR(NOT(ISNUMBER(J1643)),N(J1643)&lt;0),"Prix invalide",IF(OR(AND(F1643&lt;&gt;"",NOT(ISNUMBER(F1643))),N(F1643)&lt;0,N(F1643)&gt;1),"Remise invalide",IF(K1643="","Taux de TVA manquant",IF(NOT(ISNUMBER(K1643)),"Taux de TVA invalide",IF(COUNTIF(p_rates,K1643)=0,"Taux de TVA hors liste (Paramètres)",IF(N(O1643)&gt;25,"Au-delà de 25 lignes : non imprimée","OK")))))))))))))</f>
        <v/>
      </c>
      <c r="O1643" s="59" t="str">
        <f>IF(A1643="","",COUNTIF($A$6:A1643,A1643))</f>
        <v/>
      </c>
      <c r="P1643" s="62" t="str">
        <f>IF(A1643="","",A1643&amp;"|"&amp;O1643)</f>
        <v/>
      </c>
    </row>
    <row r="1644">
      <c r="A1644" s="60" t="n"/>
      <c r="B1644" s="63" t="n"/>
      <c r="C1644" s="63" t="n"/>
      <c r="D1644" s="67" t="n"/>
      <c r="E1644" s="68" t="n"/>
      <c r="F1644" s="69" t="n"/>
      <c r="G1644" s="70" t="n"/>
      <c r="H1644" s="62" t="str">
        <f>IF(COUNTA(A1644:G1644)=0,"",IF(C1644&lt;&gt;"",C1644,IF(B1644="","",IFERROR(INDEX(pr_des,MATCH(B1644,pr_code,0))&amp;"",""))))</f>
        <v/>
      </c>
      <c r="I1644" s="59" t="str">
        <f>IF(B1644="","",IFERROR(INDEX(pr_unit,MATCH(B1644,pr_code,0))&amp;"",""))</f>
        <v/>
      </c>
      <c r="J1644" s="65" t="str">
        <f>IF(COUNTA(A1644:G1644)=0,"",IF(E1644&lt;&gt;"",E1644,IF(B1644="","",IFERROR(IF(INDEX(pr_price,MATCH(B1644,pr_code,0))="","",INDEX(pr_price,MATCH(B1644,pr_code,0))),""))))</f>
        <v/>
      </c>
      <c r="K1644" s="71" t="str">
        <f>IF(COUNTA(A1644:G1644)=0,"",IF(G1644&lt;&gt;"",G1644,IF(B1644="","",IFERROR(IF(INDEX(pr_rate,MATCH(B1644,pr_code,0))="","",INDEX(pr_rate,MATCH(B1644,pr_code,0))),""))))</f>
        <v/>
      </c>
      <c r="L1644" s="65" t="str">
        <f>IF(COUNTA(A1644:G1644)=0,"",IF(AND(ISNUMBER(D1644),ISNUMBER(J1644)),ROUND(D1644*J1644*(1-N(F1644)),2),0))</f>
        <v/>
      </c>
      <c r="M1644" s="62" t="str">
        <f>IF(A1644="","",IFERROR(INDEX(fa_cname,MATCH(A1644,fa_num,0))&amp;"",""))</f>
        <v/>
      </c>
      <c r="N1644" s="59" t="str">
        <f>IF(COUNTA(A1644:G1644)=0,"",IF(A1644="","N° facture manquant",IF(ISNA(MATCH(A1644,fa_num,0)),"Facture inconnue",IF(AND(B1644&lt;&gt;"",ISNA(MATCH(B1644,pr_code,0))),"Article inconnu",IF(H1644="","Désignation manquante",IF(OR(NOT(ISNUMBER(D1644)),N(D1644)&lt;=0),"Quantité invalide",IF(J1644="","Prix manquant",IF(OR(NOT(ISNUMBER(J1644)),N(J1644)&lt;0),"Prix invalide",IF(OR(AND(F1644&lt;&gt;"",NOT(ISNUMBER(F1644))),N(F1644)&lt;0,N(F1644)&gt;1),"Remise invalide",IF(K1644="","Taux de TVA manquant",IF(NOT(ISNUMBER(K1644)),"Taux de TVA invalide",IF(COUNTIF(p_rates,K1644)=0,"Taux de TVA hors liste (Paramètres)",IF(N(O1644)&gt;25,"Au-delà de 25 lignes : non imprimée","OK")))))))))))))</f>
        <v/>
      </c>
      <c r="O1644" s="59" t="str">
        <f>IF(A1644="","",COUNTIF($A$6:A1644,A1644))</f>
        <v/>
      </c>
      <c r="P1644" s="62" t="str">
        <f>IF(A1644="","",A1644&amp;"|"&amp;O1644)</f>
        <v/>
      </c>
    </row>
    <row r="1645">
      <c r="A1645" s="60" t="n"/>
      <c r="B1645" s="63" t="n"/>
      <c r="C1645" s="63" t="n"/>
      <c r="D1645" s="67" t="n"/>
      <c r="E1645" s="68" t="n"/>
      <c r="F1645" s="69" t="n"/>
      <c r="G1645" s="70" t="n"/>
      <c r="H1645" s="62" t="str">
        <f>IF(COUNTA(A1645:G1645)=0,"",IF(C1645&lt;&gt;"",C1645,IF(B1645="","",IFERROR(INDEX(pr_des,MATCH(B1645,pr_code,0))&amp;"",""))))</f>
        <v/>
      </c>
      <c r="I1645" s="59" t="str">
        <f>IF(B1645="","",IFERROR(INDEX(pr_unit,MATCH(B1645,pr_code,0))&amp;"",""))</f>
        <v/>
      </c>
      <c r="J1645" s="65" t="str">
        <f>IF(COUNTA(A1645:G1645)=0,"",IF(E1645&lt;&gt;"",E1645,IF(B1645="","",IFERROR(IF(INDEX(pr_price,MATCH(B1645,pr_code,0))="","",INDEX(pr_price,MATCH(B1645,pr_code,0))),""))))</f>
        <v/>
      </c>
      <c r="K1645" s="71" t="str">
        <f>IF(COUNTA(A1645:G1645)=0,"",IF(G1645&lt;&gt;"",G1645,IF(B1645="","",IFERROR(IF(INDEX(pr_rate,MATCH(B1645,pr_code,0))="","",INDEX(pr_rate,MATCH(B1645,pr_code,0))),""))))</f>
        <v/>
      </c>
      <c r="L1645" s="65" t="str">
        <f>IF(COUNTA(A1645:G1645)=0,"",IF(AND(ISNUMBER(D1645),ISNUMBER(J1645)),ROUND(D1645*J1645*(1-N(F1645)),2),0))</f>
        <v/>
      </c>
      <c r="M1645" s="62" t="str">
        <f>IF(A1645="","",IFERROR(INDEX(fa_cname,MATCH(A1645,fa_num,0))&amp;"",""))</f>
        <v/>
      </c>
      <c r="N1645" s="59" t="str">
        <f>IF(COUNTA(A1645:G1645)=0,"",IF(A1645="","N° facture manquant",IF(ISNA(MATCH(A1645,fa_num,0)),"Facture inconnue",IF(AND(B1645&lt;&gt;"",ISNA(MATCH(B1645,pr_code,0))),"Article inconnu",IF(H1645="","Désignation manquante",IF(OR(NOT(ISNUMBER(D1645)),N(D1645)&lt;=0),"Quantité invalide",IF(J1645="","Prix manquant",IF(OR(NOT(ISNUMBER(J1645)),N(J1645)&lt;0),"Prix invalide",IF(OR(AND(F1645&lt;&gt;"",NOT(ISNUMBER(F1645))),N(F1645)&lt;0,N(F1645)&gt;1),"Remise invalide",IF(K1645="","Taux de TVA manquant",IF(NOT(ISNUMBER(K1645)),"Taux de TVA invalide",IF(COUNTIF(p_rates,K1645)=0,"Taux de TVA hors liste (Paramètres)",IF(N(O1645)&gt;25,"Au-delà de 25 lignes : non imprimée","OK")))))))))))))</f>
        <v/>
      </c>
      <c r="O1645" s="59" t="str">
        <f>IF(A1645="","",COUNTIF($A$6:A1645,A1645))</f>
        <v/>
      </c>
      <c r="P1645" s="62" t="str">
        <f>IF(A1645="","",A1645&amp;"|"&amp;O1645)</f>
        <v/>
      </c>
    </row>
    <row r="1646">
      <c r="A1646" s="60" t="n"/>
      <c r="B1646" s="63" t="n"/>
      <c r="C1646" s="63" t="n"/>
      <c r="D1646" s="67" t="n"/>
      <c r="E1646" s="68" t="n"/>
      <c r="F1646" s="69" t="n"/>
      <c r="G1646" s="70" t="n"/>
      <c r="H1646" s="62" t="str">
        <f>IF(COUNTA(A1646:G1646)=0,"",IF(C1646&lt;&gt;"",C1646,IF(B1646="","",IFERROR(INDEX(pr_des,MATCH(B1646,pr_code,0))&amp;"",""))))</f>
        <v/>
      </c>
      <c r="I1646" s="59" t="str">
        <f>IF(B1646="","",IFERROR(INDEX(pr_unit,MATCH(B1646,pr_code,0))&amp;"",""))</f>
        <v/>
      </c>
      <c r="J1646" s="65" t="str">
        <f>IF(COUNTA(A1646:G1646)=0,"",IF(E1646&lt;&gt;"",E1646,IF(B1646="","",IFERROR(IF(INDEX(pr_price,MATCH(B1646,pr_code,0))="","",INDEX(pr_price,MATCH(B1646,pr_code,0))),""))))</f>
        <v/>
      </c>
      <c r="K1646" s="71" t="str">
        <f>IF(COUNTA(A1646:G1646)=0,"",IF(G1646&lt;&gt;"",G1646,IF(B1646="","",IFERROR(IF(INDEX(pr_rate,MATCH(B1646,pr_code,0))="","",INDEX(pr_rate,MATCH(B1646,pr_code,0))),""))))</f>
        <v/>
      </c>
      <c r="L1646" s="65" t="str">
        <f>IF(COUNTA(A1646:G1646)=0,"",IF(AND(ISNUMBER(D1646),ISNUMBER(J1646)),ROUND(D1646*J1646*(1-N(F1646)),2),0))</f>
        <v/>
      </c>
      <c r="M1646" s="62" t="str">
        <f>IF(A1646="","",IFERROR(INDEX(fa_cname,MATCH(A1646,fa_num,0))&amp;"",""))</f>
        <v/>
      </c>
      <c r="N1646" s="59" t="str">
        <f>IF(COUNTA(A1646:G1646)=0,"",IF(A1646="","N° facture manquant",IF(ISNA(MATCH(A1646,fa_num,0)),"Facture inconnue",IF(AND(B1646&lt;&gt;"",ISNA(MATCH(B1646,pr_code,0))),"Article inconnu",IF(H1646="","Désignation manquante",IF(OR(NOT(ISNUMBER(D1646)),N(D1646)&lt;=0),"Quantité invalide",IF(J1646="","Prix manquant",IF(OR(NOT(ISNUMBER(J1646)),N(J1646)&lt;0),"Prix invalide",IF(OR(AND(F1646&lt;&gt;"",NOT(ISNUMBER(F1646))),N(F1646)&lt;0,N(F1646)&gt;1),"Remise invalide",IF(K1646="","Taux de TVA manquant",IF(NOT(ISNUMBER(K1646)),"Taux de TVA invalide",IF(COUNTIF(p_rates,K1646)=0,"Taux de TVA hors liste (Paramètres)",IF(N(O1646)&gt;25,"Au-delà de 25 lignes : non imprimée","OK")))))))))))))</f>
        <v/>
      </c>
      <c r="O1646" s="59" t="str">
        <f>IF(A1646="","",COUNTIF($A$6:A1646,A1646))</f>
        <v/>
      </c>
      <c r="P1646" s="62" t="str">
        <f>IF(A1646="","",A1646&amp;"|"&amp;O1646)</f>
        <v/>
      </c>
    </row>
    <row r="1647">
      <c r="A1647" s="60" t="n"/>
      <c r="B1647" s="63" t="n"/>
      <c r="C1647" s="63" t="n"/>
      <c r="D1647" s="67" t="n"/>
      <c r="E1647" s="68" t="n"/>
      <c r="F1647" s="69" t="n"/>
      <c r="G1647" s="70" t="n"/>
      <c r="H1647" s="62" t="str">
        <f>IF(COUNTA(A1647:G1647)=0,"",IF(C1647&lt;&gt;"",C1647,IF(B1647="","",IFERROR(INDEX(pr_des,MATCH(B1647,pr_code,0))&amp;"",""))))</f>
        <v/>
      </c>
      <c r="I1647" s="59" t="str">
        <f>IF(B1647="","",IFERROR(INDEX(pr_unit,MATCH(B1647,pr_code,0))&amp;"",""))</f>
        <v/>
      </c>
      <c r="J1647" s="65" t="str">
        <f>IF(COUNTA(A1647:G1647)=0,"",IF(E1647&lt;&gt;"",E1647,IF(B1647="","",IFERROR(IF(INDEX(pr_price,MATCH(B1647,pr_code,0))="","",INDEX(pr_price,MATCH(B1647,pr_code,0))),""))))</f>
        <v/>
      </c>
      <c r="K1647" s="71" t="str">
        <f>IF(COUNTA(A1647:G1647)=0,"",IF(G1647&lt;&gt;"",G1647,IF(B1647="","",IFERROR(IF(INDEX(pr_rate,MATCH(B1647,pr_code,0))="","",INDEX(pr_rate,MATCH(B1647,pr_code,0))),""))))</f>
        <v/>
      </c>
      <c r="L1647" s="65" t="str">
        <f>IF(COUNTA(A1647:G1647)=0,"",IF(AND(ISNUMBER(D1647),ISNUMBER(J1647)),ROUND(D1647*J1647*(1-N(F1647)),2),0))</f>
        <v/>
      </c>
      <c r="M1647" s="62" t="str">
        <f>IF(A1647="","",IFERROR(INDEX(fa_cname,MATCH(A1647,fa_num,0))&amp;"",""))</f>
        <v/>
      </c>
      <c r="N1647" s="59" t="str">
        <f>IF(COUNTA(A1647:G1647)=0,"",IF(A1647="","N° facture manquant",IF(ISNA(MATCH(A1647,fa_num,0)),"Facture inconnue",IF(AND(B1647&lt;&gt;"",ISNA(MATCH(B1647,pr_code,0))),"Article inconnu",IF(H1647="","Désignation manquante",IF(OR(NOT(ISNUMBER(D1647)),N(D1647)&lt;=0),"Quantité invalide",IF(J1647="","Prix manquant",IF(OR(NOT(ISNUMBER(J1647)),N(J1647)&lt;0),"Prix invalide",IF(OR(AND(F1647&lt;&gt;"",NOT(ISNUMBER(F1647))),N(F1647)&lt;0,N(F1647)&gt;1),"Remise invalide",IF(K1647="","Taux de TVA manquant",IF(NOT(ISNUMBER(K1647)),"Taux de TVA invalide",IF(COUNTIF(p_rates,K1647)=0,"Taux de TVA hors liste (Paramètres)",IF(N(O1647)&gt;25,"Au-delà de 25 lignes : non imprimée","OK")))))))))))))</f>
        <v/>
      </c>
      <c r="O1647" s="59" t="str">
        <f>IF(A1647="","",COUNTIF($A$6:A1647,A1647))</f>
        <v/>
      </c>
      <c r="P1647" s="62" t="str">
        <f>IF(A1647="","",A1647&amp;"|"&amp;O1647)</f>
        <v/>
      </c>
    </row>
    <row r="1648">
      <c r="A1648" s="60" t="n"/>
      <c r="B1648" s="63" t="n"/>
      <c r="C1648" s="63" t="n"/>
      <c r="D1648" s="67" t="n"/>
      <c r="E1648" s="68" t="n"/>
      <c r="F1648" s="69" t="n"/>
      <c r="G1648" s="70" t="n"/>
      <c r="H1648" s="62" t="str">
        <f>IF(COUNTA(A1648:G1648)=0,"",IF(C1648&lt;&gt;"",C1648,IF(B1648="","",IFERROR(INDEX(pr_des,MATCH(B1648,pr_code,0))&amp;"",""))))</f>
        <v/>
      </c>
      <c r="I1648" s="59" t="str">
        <f>IF(B1648="","",IFERROR(INDEX(pr_unit,MATCH(B1648,pr_code,0))&amp;"",""))</f>
        <v/>
      </c>
      <c r="J1648" s="65" t="str">
        <f>IF(COUNTA(A1648:G1648)=0,"",IF(E1648&lt;&gt;"",E1648,IF(B1648="","",IFERROR(IF(INDEX(pr_price,MATCH(B1648,pr_code,0))="","",INDEX(pr_price,MATCH(B1648,pr_code,0))),""))))</f>
        <v/>
      </c>
      <c r="K1648" s="71" t="str">
        <f>IF(COUNTA(A1648:G1648)=0,"",IF(G1648&lt;&gt;"",G1648,IF(B1648="","",IFERROR(IF(INDEX(pr_rate,MATCH(B1648,pr_code,0))="","",INDEX(pr_rate,MATCH(B1648,pr_code,0))),""))))</f>
        <v/>
      </c>
      <c r="L1648" s="65" t="str">
        <f>IF(COUNTA(A1648:G1648)=0,"",IF(AND(ISNUMBER(D1648),ISNUMBER(J1648)),ROUND(D1648*J1648*(1-N(F1648)),2),0))</f>
        <v/>
      </c>
      <c r="M1648" s="62" t="str">
        <f>IF(A1648="","",IFERROR(INDEX(fa_cname,MATCH(A1648,fa_num,0))&amp;"",""))</f>
        <v/>
      </c>
      <c r="N1648" s="59" t="str">
        <f>IF(COUNTA(A1648:G1648)=0,"",IF(A1648="","N° facture manquant",IF(ISNA(MATCH(A1648,fa_num,0)),"Facture inconnue",IF(AND(B1648&lt;&gt;"",ISNA(MATCH(B1648,pr_code,0))),"Article inconnu",IF(H1648="","Désignation manquante",IF(OR(NOT(ISNUMBER(D1648)),N(D1648)&lt;=0),"Quantité invalide",IF(J1648="","Prix manquant",IF(OR(NOT(ISNUMBER(J1648)),N(J1648)&lt;0),"Prix invalide",IF(OR(AND(F1648&lt;&gt;"",NOT(ISNUMBER(F1648))),N(F1648)&lt;0,N(F1648)&gt;1),"Remise invalide",IF(K1648="","Taux de TVA manquant",IF(NOT(ISNUMBER(K1648)),"Taux de TVA invalide",IF(COUNTIF(p_rates,K1648)=0,"Taux de TVA hors liste (Paramètres)",IF(N(O1648)&gt;25,"Au-delà de 25 lignes : non imprimée","OK")))))))))))))</f>
        <v/>
      </c>
      <c r="O1648" s="59" t="str">
        <f>IF(A1648="","",COUNTIF($A$6:A1648,A1648))</f>
        <v/>
      </c>
      <c r="P1648" s="62" t="str">
        <f>IF(A1648="","",A1648&amp;"|"&amp;O1648)</f>
        <v/>
      </c>
    </row>
    <row r="1649">
      <c r="A1649" s="60" t="n"/>
      <c r="B1649" s="63" t="n"/>
      <c r="C1649" s="63" t="n"/>
      <c r="D1649" s="67" t="n"/>
      <c r="E1649" s="68" t="n"/>
      <c r="F1649" s="69" t="n"/>
      <c r="G1649" s="70" t="n"/>
      <c r="H1649" s="62" t="str">
        <f>IF(COUNTA(A1649:G1649)=0,"",IF(C1649&lt;&gt;"",C1649,IF(B1649="","",IFERROR(INDEX(pr_des,MATCH(B1649,pr_code,0))&amp;"",""))))</f>
        <v/>
      </c>
      <c r="I1649" s="59" t="str">
        <f>IF(B1649="","",IFERROR(INDEX(pr_unit,MATCH(B1649,pr_code,0))&amp;"",""))</f>
        <v/>
      </c>
      <c r="J1649" s="65" t="str">
        <f>IF(COUNTA(A1649:G1649)=0,"",IF(E1649&lt;&gt;"",E1649,IF(B1649="","",IFERROR(IF(INDEX(pr_price,MATCH(B1649,pr_code,0))="","",INDEX(pr_price,MATCH(B1649,pr_code,0))),""))))</f>
        <v/>
      </c>
      <c r="K1649" s="71" t="str">
        <f>IF(COUNTA(A1649:G1649)=0,"",IF(G1649&lt;&gt;"",G1649,IF(B1649="","",IFERROR(IF(INDEX(pr_rate,MATCH(B1649,pr_code,0))="","",INDEX(pr_rate,MATCH(B1649,pr_code,0))),""))))</f>
        <v/>
      </c>
      <c r="L1649" s="65" t="str">
        <f>IF(COUNTA(A1649:G1649)=0,"",IF(AND(ISNUMBER(D1649),ISNUMBER(J1649)),ROUND(D1649*J1649*(1-N(F1649)),2),0))</f>
        <v/>
      </c>
      <c r="M1649" s="62" t="str">
        <f>IF(A1649="","",IFERROR(INDEX(fa_cname,MATCH(A1649,fa_num,0))&amp;"",""))</f>
        <v/>
      </c>
      <c r="N1649" s="59" t="str">
        <f>IF(COUNTA(A1649:G1649)=0,"",IF(A1649="","N° facture manquant",IF(ISNA(MATCH(A1649,fa_num,0)),"Facture inconnue",IF(AND(B1649&lt;&gt;"",ISNA(MATCH(B1649,pr_code,0))),"Article inconnu",IF(H1649="","Désignation manquante",IF(OR(NOT(ISNUMBER(D1649)),N(D1649)&lt;=0),"Quantité invalide",IF(J1649="","Prix manquant",IF(OR(NOT(ISNUMBER(J1649)),N(J1649)&lt;0),"Prix invalide",IF(OR(AND(F1649&lt;&gt;"",NOT(ISNUMBER(F1649))),N(F1649)&lt;0,N(F1649)&gt;1),"Remise invalide",IF(K1649="","Taux de TVA manquant",IF(NOT(ISNUMBER(K1649)),"Taux de TVA invalide",IF(COUNTIF(p_rates,K1649)=0,"Taux de TVA hors liste (Paramètres)",IF(N(O1649)&gt;25,"Au-delà de 25 lignes : non imprimée","OK")))))))))))))</f>
        <v/>
      </c>
      <c r="O1649" s="59" t="str">
        <f>IF(A1649="","",COUNTIF($A$6:A1649,A1649))</f>
        <v/>
      </c>
      <c r="P1649" s="62" t="str">
        <f>IF(A1649="","",A1649&amp;"|"&amp;O1649)</f>
        <v/>
      </c>
    </row>
    <row r="1650">
      <c r="A1650" s="60" t="n"/>
      <c r="B1650" s="63" t="n"/>
      <c r="C1650" s="63" t="n"/>
      <c r="D1650" s="67" t="n"/>
      <c r="E1650" s="68" t="n"/>
      <c r="F1650" s="69" t="n"/>
      <c r="G1650" s="70" t="n"/>
      <c r="H1650" s="62" t="str">
        <f>IF(COUNTA(A1650:G1650)=0,"",IF(C1650&lt;&gt;"",C1650,IF(B1650="","",IFERROR(INDEX(pr_des,MATCH(B1650,pr_code,0))&amp;"",""))))</f>
        <v/>
      </c>
      <c r="I1650" s="59" t="str">
        <f>IF(B1650="","",IFERROR(INDEX(pr_unit,MATCH(B1650,pr_code,0))&amp;"",""))</f>
        <v/>
      </c>
      <c r="J1650" s="65" t="str">
        <f>IF(COUNTA(A1650:G1650)=0,"",IF(E1650&lt;&gt;"",E1650,IF(B1650="","",IFERROR(IF(INDEX(pr_price,MATCH(B1650,pr_code,0))="","",INDEX(pr_price,MATCH(B1650,pr_code,0))),""))))</f>
        <v/>
      </c>
      <c r="K1650" s="71" t="str">
        <f>IF(COUNTA(A1650:G1650)=0,"",IF(G1650&lt;&gt;"",G1650,IF(B1650="","",IFERROR(IF(INDEX(pr_rate,MATCH(B1650,pr_code,0))="","",INDEX(pr_rate,MATCH(B1650,pr_code,0))),""))))</f>
        <v/>
      </c>
      <c r="L1650" s="65" t="str">
        <f>IF(COUNTA(A1650:G1650)=0,"",IF(AND(ISNUMBER(D1650),ISNUMBER(J1650)),ROUND(D1650*J1650*(1-N(F1650)),2),0))</f>
        <v/>
      </c>
      <c r="M1650" s="62" t="str">
        <f>IF(A1650="","",IFERROR(INDEX(fa_cname,MATCH(A1650,fa_num,0))&amp;"",""))</f>
        <v/>
      </c>
      <c r="N1650" s="59" t="str">
        <f>IF(COUNTA(A1650:G1650)=0,"",IF(A1650="","N° facture manquant",IF(ISNA(MATCH(A1650,fa_num,0)),"Facture inconnue",IF(AND(B1650&lt;&gt;"",ISNA(MATCH(B1650,pr_code,0))),"Article inconnu",IF(H1650="","Désignation manquante",IF(OR(NOT(ISNUMBER(D1650)),N(D1650)&lt;=0),"Quantité invalide",IF(J1650="","Prix manquant",IF(OR(NOT(ISNUMBER(J1650)),N(J1650)&lt;0),"Prix invalide",IF(OR(AND(F1650&lt;&gt;"",NOT(ISNUMBER(F1650))),N(F1650)&lt;0,N(F1650)&gt;1),"Remise invalide",IF(K1650="","Taux de TVA manquant",IF(NOT(ISNUMBER(K1650)),"Taux de TVA invalide",IF(COUNTIF(p_rates,K1650)=0,"Taux de TVA hors liste (Paramètres)",IF(N(O1650)&gt;25,"Au-delà de 25 lignes : non imprimée","OK")))))))))))))</f>
        <v/>
      </c>
      <c r="O1650" s="59" t="str">
        <f>IF(A1650="","",COUNTIF($A$6:A1650,A1650))</f>
        <v/>
      </c>
      <c r="P1650" s="62" t="str">
        <f>IF(A1650="","",A1650&amp;"|"&amp;O1650)</f>
        <v/>
      </c>
    </row>
    <row r="1651">
      <c r="A1651" s="60" t="n"/>
      <c r="B1651" s="63" t="n"/>
      <c r="C1651" s="63" t="n"/>
      <c r="D1651" s="67" t="n"/>
      <c r="E1651" s="68" t="n"/>
      <c r="F1651" s="69" t="n"/>
      <c r="G1651" s="70" t="n"/>
      <c r="H1651" s="62" t="str">
        <f>IF(COUNTA(A1651:G1651)=0,"",IF(C1651&lt;&gt;"",C1651,IF(B1651="","",IFERROR(INDEX(pr_des,MATCH(B1651,pr_code,0))&amp;"",""))))</f>
        <v/>
      </c>
      <c r="I1651" s="59" t="str">
        <f>IF(B1651="","",IFERROR(INDEX(pr_unit,MATCH(B1651,pr_code,0))&amp;"",""))</f>
        <v/>
      </c>
      <c r="J1651" s="65" t="str">
        <f>IF(COUNTA(A1651:G1651)=0,"",IF(E1651&lt;&gt;"",E1651,IF(B1651="","",IFERROR(IF(INDEX(pr_price,MATCH(B1651,pr_code,0))="","",INDEX(pr_price,MATCH(B1651,pr_code,0))),""))))</f>
        <v/>
      </c>
      <c r="K1651" s="71" t="str">
        <f>IF(COUNTA(A1651:G1651)=0,"",IF(G1651&lt;&gt;"",G1651,IF(B1651="","",IFERROR(IF(INDEX(pr_rate,MATCH(B1651,pr_code,0))="","",INDEX(pr_rate,MATCH(B1651,pr_code,0))),""))))</f>
        <v/>
      </c>
      <c r="L1651" s="65" t="str">
        <f>IF(COUNTA(A1651:G1651)=0,"",IF(AND(ISNUMBER(D1651),ISNUMBER(J1651)),ROUND(D1651*J1651*(1-N(F1651)),2),0))</f>
        <v/>
      </c>
      <c r="M1651" s="62" t="str">
        <f>IF(A1651="","",IFERROR(INDEX(fa_cname,MATCH(A1651,fa_num,0))&amp;"",""))</f>
        <v/>
      </c>
      <c r="N1651" s="59" t="str">
        <f>IF(COUNTA(A1651:G1651)=0,"",IF(A1651="","N° facture manquant",IF(ISNA(MATCH(A1651,fa_num,0)),"Facture inconnue",IF(AND(B1651&lt;&gt;"",ISNA(MATCH(B1651,pr_code,0))),"Article inconnu",IF(H1651="","Désignation manquante",IF(OR(NOT(ISNUMBER(D1651)),N(D1651)&lt;=0),"Quantité invalide",IF(J1651="","Prix manquant",IF(OR(NOT(ISNUMBER(J1651)),N(J1651)&lt;0),"Prix invalide",IF(OR(AND(F1651&lt;&gt;"",NOT(ISNUMBER(F1651))),N(F1651)&lt;0,N(F1651)&gt;1),"Remise invalide",IF(K1651="","Taux de TVA manquant",IF(NOT(ISNUMBER(K1651)),"Taux de TVA invalide",IF(COUNTIF(p_rates,K1651)=0,"Taux de TVA hors liste (Paramètres)",IF(N(O1651)&gt;25,"Au-delà de 25 lignes : non imprimée","OK")))))))))))))</f>
        <v/>
      </c>
      <c r="O1651" s="59" t="str">
        <f>IF(A1651="","",COUNTIF($A$6:A1651,A1651))</f>
        <v/>
      </c>
      <c r="P1651" s="62" t="str">
        <f>IF(A1651="","",A1651&amp;"|"&amp;O1651)</f>
        <v/>
      </c>
    </row>
    <row r="1652">
      <c r="A1652" s="60" t="n"/>
      <c r="B1652" s="63" t="n"/>
      <c r="C1652" s="63" t="n"/>
      <c r="D1652" s="67" t="n"/>
      <c r="E1652" s="68" t="n"/>
      <c r="F1652" s="69" t="n"/>
      <c r="G1652" s="70" t="n"/>
      <c r="H1652" s="62" t="str">
        <f>IF(COUNTA(A1652:G1652)=0,"",IF(C1652&lt;&gt;"",C1652,IF(B1652="","",IFERROR(INDEX(pr_des,MATCH(B1652,pr_code,0))&amp;"",""))))</f>
        <v/>
      </c>
      <c r="I1652" s="59" t="str">
        <f>IF(B1652="","",IFERROR(INDEX(pr_unit,MATCH(B1652,pr_code,0))&amp;"",""))</f>
        <v/>
      </c>
      <c r="J1652" s="65" t="str">
        <f>IF(COUNTA(A1652:G1652)=0,"",IF(E1652&lt;&gt;"",E1652,IF(B1652="","",IFERROR(IF(INDEX(pr_price,MATCH(B1652,pr_code,0))="","",INDEX(pr_price,MATCH(B1652,pr_code,0))),""))))</f>
        <v/>
      </c>
      <c r="K1652" s="71" t="str">
        <f>IF(COUNTA(A1652:G1652)=0,"",IF(G1652&lt;&gt;"",G1652,IF(B1652="","",IFERROR(IF(INDEX(pr_rate,MATCH(B1652,pr_code,0))="","",INDEX(pr_rate,MATCH(B1652,pr_code,0))),""))))</f>
        <v/>
      </c>
      <c r="L1652" s="65" t="str">
        <f>IF(COUNTA(A1652:G1652)=0,"",IF(AND(ISNUMBER(D1652),ISNUMBER(J1652)),ROUND(D1652*J1652*(1-N(F1652)),2),0))</f>
        <v/>
      </c>
      <c r="M1652" s="62" t="str">
        <f>IF(A1652="","",IFERROR(INDEX(fa_cname,MATCH(A1652,fa_num,0))&amp;"",""))</f>
        <v/>
      </c>
      <c r="N1652" s="59" t="str">
        <f>IF(COUNTA(A1652:G1652)=0,"",IF(A1652="","N° facture manquant",IF(ISNA(MATCH(A1652,fa_num,0)),"Facture inconnue",IF(AND(B1652&lt;&gt;"",ISNA(MATCH(B1652,pr_code,0))),"Article inconnu",IF(H1652="","Désignation manquante",IF(OR(NOT(ISNUMBER(D1652)),N(D1652)&lt;=0),"Quantité invalide",IF(J1652="","Prix manquant",IF(OR(NOT(ISNUMBER(J1652)),N(J1652)&lt;0),"Prix invalide",IF(OR(AND(F1652&lt;&gt;"",NOT(ISNUMBER(F1652))),N(F1652)&lt;0,N(F1652)&gt;1),"Remise invalide",IF(K1652="","Taux de TVA manquant",IF(NOT(ISNUMBER(K1652)),"Taux de TVA invalide",IF(COUNTIF(p_rates,K1652)=0,"Taux de TVA hors liste (Paramètres)",IF(N(O1652)&gt;25,"Au-delà de 25 lignes : non imprimée","OK")))))))))))))</f>
        <v/>
      </c>
      <c r="O1652" s="59" t="str">
        <f>IF(A1652="","",COUNTIF($A$6:A1652,A1652))</f>
        <v/>
      </c>
      <c r="P1652" s="62" t="str">
        <f>IF(A1652="","",A1652&amp;"|"&amp;O1652)</f>
        <v/>
      </c>
    </row>
    <row r="1653">
      <c r="A1653" s="60" t="n"/>
      <c r="B1653" s="63" t="n"/>
      <c r="C1653" s="63" t="n"/>
      <c r="D1653" s="67" t="n"/>
      <c r="E1653" s="68" t="n"/>
      <c r="F1653" s="69" t="n"/>
      <c r="G1653" s="70" t="n"/>
      <c r="H1653" s="62" t="str">
        <f>IF(COUNTA(A1653:G1653)=0,"",IF(C1653&lt;&gt;"",C1653,IF(B1653="","",IFERROR(INDEX(pr_des,MATCH(B1653,pr_code,0))&amp;"",""))))</f>
        <v/>
      </c>
      <c r="I1653" s="59" t="str">
        <f>IF(B1653="","",IFERROR(INDEX(pr_unit,MATCH(B1653,pr_code,0))&amp;"",""))</f>
        <v/>
      </c>
      <c r="J1653" s="65" t="str">
        <f>IF(COUNTA(A1653:G1653)=0,"",IF(E1653&lt;&gt;"",E1653,IF(B1653="","",IFERROR(IF(INDEX(pr_price,MATCH(B1653,pr_code,0))="","",INDEX(pr_price,MATCH(B1653,pr_code,0))),""))))</f>
        <v/>
      </c>
      <c r="K1653" s="71" t="str">
        <f>IF(COUNTA(A1653:G1653)=0,"",IF(G1653&lt;&gt;"",G1653,IF(B1653="","",IFERROR(IF(INDEX(pr_rate,MATCH(B1653,pr_code,0))="","",INDEX(pr_rate,MATCH(B1653,pr_code,0))),""))))</f>
        <v/>
      </c>
      <c r="L1653" s="65" t="str">
        <f>IF(COUNTA(A1653:G1653)=0,"",IF(AND(ISNUMBER(D1653),ISNUMBER(J1653)),ROUND(D1653*J1653*(1-N(F1653)),2),0))</f>
        <v/>
      </c>
      <c r="M1653" s="62" t="str">
        <f>IF(A1653="","",IFERROR(INDEX(fa_cname,MATCH(A1653,fa_num,0))&amp;"",""))</f>
        <v/>
      </c>
      <c r="N1653" s="59" t="str">
        <f>IF(COUNTA(A1653:G1653)=0,"",IF(A1653="","N° facture manquant",IF(ISNA(MATCH(A1653,fa_num,0)),"Facture inconnue",IF(AND(B1653&lt;&gt;"",ISNA(MATCH(B1653,pr_code,0))),"Article inconnu",IF(H1653="","Désignation manquante",IF(OR(NOT(ISNUMBER(D1653)),N(D1653)&lt;=0),"Quantité invalide",IF(J1653="","Prix manquant",IF(OR(NOT(ISNUMBER(J1653)),N(J1653)&lt;0),"Prix invalide",IF(OR(AND(F1653&lt;&gt;"",NOT(ISNUMBER(F1653))),N(F1653)&lt;0,N(F1653)&gt;1),"Remise invalide",IF(K1653="","Taux de TVA manquant",IF(NOT(ISNUMBER(K1653)),"Taux de TVA invalide",IF(COUNTIF(p_rates,K1653)=0,"Taux de TVA hors liste (Paramètres)",IF(N(O1653)&gt;25,"Au-delà de 25 lignes : non imprimée","OK")))))))))))))</f>
        <v/>
      </c>
      <c r="O1653" s="59" t="str">
        <f>IF(A1653="","",COUNTIF($A$6:A1653,A1653))</f>
        <v/>
      </c>
      <c r="P1653" s="62" t="str">
        <f>IF(A1653="","",A1653&amp;"|"&amp;O1653)</f>
        <v/>
      </c>
    </row>
    <row r="1654">
      <c r="A1654" s="60" t="n"/>
      <c r="B1654" s="63" t="n"/>
      <c r="C1654" s="63" t="n"/>
      <c r="D1654" s="67" t="n"/>
      <c r="E1654" s="68" t="n"/>
      <c r="F1654" s="69" t="n"/>
      <c r="G1654" s="70" t="n"/>
      <c r="H1654" s="62" t="str">
        <f>IF(COUNTA(A1654:G1654)=0,"",IF(C1654&lt;&gt;"",C1654,IF(B1654="","",IFERROR(INDEX(pr_des,MATCH(B1654,pr_code,0))&amp;"",""))))</f>
        <v/>
      </c>
      <c r="I1654" s="59" t="str">
        <f>IF(B1654="","",IFERROR(INDEX(pr_unit,MATCH(B1654,pr_code,0))&amp;"",""))</f>
        <v/>
      </c>
      <c r="J1654" s="65" t="str">
        <f>IF(COUNTA(A1654:G1654)=0,"",IF(E1654&lt;&gt;"",E1654,IF(B1654="","",IFERROR(IF(INDEX(pr_price,MATCH(B1654,pr_code,0))="","",INDEX(pr_price,MATCH(B1654,pr_code,0))),""))))</f>
        <v/>
      </c>
      <c r="K1654" s="71" t="str">
        <f>IF(COUNTA(A1654:G1654)=0,"",IF(G1654&lt;&gt;"",G1654,IF(B1654="","",IFERROR(IF(INDEX(pr_rate,MATCH(B1654,pr_code,0))="","",INDEX(pr_rate,MATCH(B1654,pr_code,0))),""))))</f>
        <v/>
      </c>
      <c r="L1654" s="65" t="str">
        <f>IF(COUNTA(A1654:G1654)=0,"",IF(AND(ISNUMBER(D1654),ISNUMBER(J1654)),ROUND(D1654*J1654*(1-N(F1654)),2),0))</f>
        <v/>
      </c>
      <c r="M1654" s="62" t="str">
        <f>IF(A1654="","",IFERROR(INDEX(fa_cname,MATCH(A1654,fa_num,0))&amp;"",""))</f>
        <v/>
      </c>
      <c r="N1654" s="59" t="str">
        <f>IF(COUNTA(A1654:G1654)=0,"",IF(A1654="","N° facture manquant",IF(ISNA(MATCH(A1654,fa_num,0)),"Facture inconnue",IF(AND(B1654&lt;&gt;"",ISNA(MATCH(B1654,pr_code,0))),"Article inconnu",IF(H1654="","Désignation manquante",IF(OR(NOT(ISNUMBER(D1654)),N(D1654)&lt;=0),"Quantité invalide",IF(J1654="","Prix manquant",IF(OR(NOT(ISNUMBER(J1654)),N(J1654)&lt;0),"Prix invalide",IF(OR(AND(F1654&lt;&gt;"",NOT(ISNUMBER(F1654))),N(F1654)&lt;0,N(F1654)&gt;1),"Remise invalide",IF(K1654="","Taux de TVA manquant",IF(NOT(ISNUMBER(K1654)),"Taux de TVA invalide",IF(COUNTIF(p_rates,K1654)=0,"Taux de TVA hors liste (Paramètres)",IF(N(O1654)&gt;25,"Au-delà de 25 lignes : non imprimée","OK")))))))))))))</f>
        <v/>
      </c>
      <c r="O1654" s="59" t="str">
        <f>IF(A1654="","",COUNTIF($A$6:A1654,A1654))</f>
        <v/>
      </c>
      <c r="P1654" s="62" t="str">
        <f>IF(A1654="","",A1654&amp;"|"&amp;O1654)</f>
        <v/>
      </c>
    </row>
    <row r="1655">
      <c r="A1655" s="60" t="n"/>
      <c r="B1655" s="63" t="n"/>
      <c r="C1655" s="63" t="n"/>
      <c r="D1655" s="67" t="n"/>
      <c r="E1655" s="68" t="n"/>
      <c r="F1655" s="69" t="n"/>
      <c r="G1655" s="70" t="n"/>
      <c r="H1655" s="62" t="str">
        <f>IF(COUNTA(A1655:G1655)=0,"",IF(C1655&lt;&gt;"",C1655,IF(B1655="","",IFERROR(INDEX(pr_des,MATCH(B1655,pr_code,0))&amp;"",""))))</f>
        <v/>
      </c>
      <c r="I1655" s="59" t="str">
        <f>IF(B1655="","",IFERROR(INDEX(pr_unit,MATCH(B1655,pr_code,0))&amp;"",""))</f>
        <v/>
      </c>
      <c r="J1655" s="65" t="str">
        <f>IF(COUNTA(A1655:G1655)=0,"",IF(E1655&lt;&gt;"",E1655,IF(B1655="","",IFERROR(IF(INDEX(pr_price,MATCH(B1655,pr_code,0))="","",INDEX(pr_price,MATCH(B1655,pr_code,0))),""))))</f>
        <v/>
      </c>
      <c r="K1655" s="71" t="str">
        <f>IF(COUNTA(A1655:G1655)=0,"",IF(G1655&lt;&gt;"",G1655,IF(B1655="","",IFERROR(IF(INDEX(pr_rate,MATCH(B1655,pr_code,0))="","",INDEX(pr_rate,MATCH(B1655,pr_code,0))),""))))</f>
        <v/>
      </c>
      <c r="L1655" s="65" t="str">
        <f>IF(COUNTA(A1655:G1655)=0,"",IF(AND(ISNUMBER(D1655),ISNUMBER(J1655)),ROUND(D1655*J1655*(1-N(F1655)),2),0))</f>
        <v/>
      </c>
      <c r="M1655" s="62" t="str">
        <f>IF(A1655="","",IFERROR(INDEX(fa_cname,MATCH(A1655,fa_num,0))&amp;"",""))</f>
        <v/>
      </c>
      <c r="N1655" s="59" t="str">
        <f>IF(COUNTA(A1655:G1655)=0,"",IF(A1655="","N° facture manquant",IF(ISNA(MATCH(A1655,fa_num,0)),"Facture inconnue",IF(AND(B1655&lt;&gt;"",ISNA(MATCH(B1655,pr_code,0))),"Article inconnu",IF(H1655="","Désignation manquante",IF(OR(NOT(ISNUMBER(D1655)),N(D1655)&lt;=0),"Quantité invalide",IF(J1655="","Prix manquant",IF(OR(NOT(ISNUMBER(J1655)),N(J1655)&lt;0),"Prix invalide",IF(OR(AND(F1655&lt;&gt;"",NOT(ISNUMBER(F1655))),N(F1655)&lt;0,N(F1655)&gt;1),"Remise invalide",IF(K1655="","Taux de TVA manquant",IF(NOT(ISNUMBER(K1655)),"Taux de TVA invalide",IF(COUNTIF(p_rates,K1655)=0,"Taux de TVA hors liste (Paramètres)",IF(N(O1655)&gt;25,"Au-delà de 25 lignes : non imprimée","OK")))))))))))))</f>
        <v/>
      </c>
      <c r="O1655" s="59" t="str">
        <f>IF(A1655="","",COUNTIF($A$6:A1655,A1655))</f>
        <v/>
      </c>
      <c r="P1655" s="62" t="str">
        <f>IF(A1655="","",A1655&amp;"|"&amp;O1655)</f>
        <v/>
      </c>
    </row>
    <row r="1656">
      <c r="A1656" s="60" t="n"/>
      <c r="B1656" s="63" t="n"/>
      <c r="C1656" s="63" t="n"/>
      <c r="D1656" s="67" t="n"/>
      <c r="E1656" s="68" t="n"/>
      <c r="F1656" s="69" t="n"/>
      <c r="G1656" s="70" t="n"/>
      <c r="H1656" s="62" t="str">
        <f>IF(COUNTA(A1656:G1656)=0,"",IF(C1656&lt;&gt;"",C1656,IF(B1656="","",IFERROR(INDEX(pr_des,MATCH(B1656,pr_code,0))&amp;"",""))))</f>
        <v/>
      </c>
      <c r="I1656" s="59" t="str">
        <f>IF(B1656="","",IFERROR(INDEX(pr_unit,MATCH(B1656,pr_code,0))&amp;"",""))</f>
        <v/>
      </c>
      <c r="J1656" s="65" t="str">
        <f>IF(COUNTA(A1656:G1656)=0,"",IF(E1656&lt;&gt;"",E1656,IF(B1656="","",IFERROR(IF(INDEX(pr_price,MATCH(B1656,pr_code,0))="","",INDEX(pr_price,MATCH(B1656,pr_code,0))),""))))</f>
        <v/>
      </c>
      <c r="K1656" s="71" t="str">
        <f>IF(COUNTA(A1656:G1656)=0,"",IF(G1656&lt;&gt;"",G1656,IF(B1656="","",IFERROR(IF(INDEX(pr_rate,MATCH(B1656,pr_code,0))="","",INDEX(pr_rate,MATCH(B1656,pr_code,0))),""))))</f>
        <v/>
      </c>
      <c r="L1656" s="65" t="str">
        <f>IF(COUNTA(A1656:G1656)=0,"",IF(AND(ISNUMBER(D1656),ISNUMBER(J1656)),ROUND(D1656*J1656*(1-N(F1656)),2),0))</f>
        <v/>
      </c>
      <c r="M1656" s="62" t="str">
        <f>IF(A1656="","",IFERROR(INDEX(fa_cname,MATCH(A1656,fa_num,0))&amp;"",""))</f>
        <v/>
      </c>
      <c r="N1656" s="59" t="str">
        <f>IF(COUNTA(A1656:G1656)=0,"",IF(A1656="","N° facture manquant",IF(ISNA(MATCH(A1656,fa_num,0)),"Facture inconnue",IF(AND(B1656&lt;&gt;"",ISNA(MATCH(B1656,pr_code,0))),"Article inconnu",IF(H1656="","Désignation manquante",IF(OR(NOT(ISNUMBER(D1656)),N(D1656)&lt;=0),"Quantité invalide",IF(J1656="","Prix manquant",IF(OR(NOT(ISNUMBER(J1656)),N(J1656)&lt;0),"Prix invalide",IF(OR(AND(F1656&lt;&gt;"",NOT(ISNUMBER(F1656))),N(F1656)&lt;0,N(F1656)&gt;1),"Remise invalide",IF(K1656="","Taux de TVA manquant",IF(NOT(ISNUMBER(K1656)),"Taux de TVA invalide",IF(COUNTIF(p_rates,K1656)=0,"Taux de TVA hors liste (Paramètres)",IF(N(O1656)&gt;25,"Au-delà de 25 lignes : non imprimée","OK")))))))))))))</f>
        <v/>
      </c>
      <c r="O1656" s="59" t="str">
        <f>IF(A1656="","",COUNTIF($A$6:A1656,A1656))</f>
        <v/>
      </c>
      <c r="P1656" s="62" t="str">
        <f>IF(A1656="","",A1656&amp;"|"&amp;O1656)</f>
        <v/>
      </c>
    </row>
    <row r="1657">
      <c r="A1657" s="60" t="n"/>
      <c r="B1657" s="63" t="n"/>
      <c r="C1657" s="63" t="n"/>
      <c r="D1657" s="67" t="n"/>
      <c r="E1657" s="68" t="n"/>
      <c r="F1657" s="69" t="n"/>
      <c r="G1657" s="70" t="n"/>
      <c r="H1657" s="62" t="str">
        <f>IF(COUNTA(A1657:G1657)=0,"",IF(C1657&lt;&gt;"",C1657,IF(B1657="","",IFERROR(INDEX(pr_des,MATCH(B1657,pr_code,0))&amp;"",""))))</f>
        <v/>
      </c>
      <c r="I1657" s="59" t="str">
        <f>IF(B1657="","",IFERROR(INDEX(pr_unit,MATCH(B1657,pr_code,0))&amp;"",""))</f>
        <v/>
      </c>
      <c r="J1657" s="65" t="str">
        <f>IF(COUNTA(A1657:G1657)=0,"",IF(E1657&lt;&gt;"",E1657,IF(B1657="","",IFERROR(IF(INDEX(pr_price,MATCH(B1657,pr_code,0))="","",INDEX(pr_price,MATCH(B1657,pr_code,0))),""))))</f>
        <v/>
      </c>
      <c r="K1657" s="71" t="str">
        <f>IF(COUNTA(A1657:G1657)=0,"",IF(G1657&lt;&gt;"",G1657,IF(B1657="","",IFERROR(IF(INDEX(pr_rate,MATCH(B1657,pr_code,0))="","",INDEX(pr_rate,MATCH(B1657,pr_code,0))),""))))</f>
        <v/>
      </c>
      <c r="L1657" s="65" t="str">
        <f>IF(COUNTA(A1657:G1657)=0,"",IF(AND(ISNUMBER(D1657),ISNUMBER(J1657)),ROUND(D1657*J1657*(1-N(F1657)),2),0))</f>
        <v/>
      </c>
      <c r="M1657" s="62" t="str">
        <f>IF(A1657="","",IFERROR(INDEX(fa_cname,MATCH(A1657,fa_num,0))&amp;"",""))</f>
        <v/>
      </c>
      <c r="N1657" s="59" t="str">
        <f>IF(COUNTA(A1657:G1657)=0,"",IF(A1657="","N° facture manquant",IF(ISNA(MATCH(A1657,fa_num,0)),"Facture inconnue",IF(AND(B1657&lt;&gt;"",ISNA(MATCH(B1657,pr_code,0))),"Article inconnu",IF(H1657="","Désignation manquante",IF(OR(NOT(ISNUMBER(D1657)),N(D1657)&lt;=0),"Quantité invalide",IF(J1657="","Prix manquant",IF(OR(NOT(ISNUMBER(J1657)),N(J1657)&lt;0),"Prix invalide",IF(OR(AND(F1657&lt;&gt;"",NOT(ISNUMBER(F1657))),N(F1657)&lt;0,N(F1657)&gt;1),"Remise invalide",IF(K1657="","Taux de TVA manquant",IF(NOT(ISNUMBER(K1657)),"Taux de TVA invalide",IF(COUNTIF(p_rates,K1657)=0,"Taux de TVA hors liste (Paramètres)",IF(N(O1657)&gt;25,"Au-delà de 25 lignes : non imprimée","OK")))))))))))))</f>
        <v/>
      </c>
      <c r="O1657" s="59" t="str">
        <f>IF(A1657="","",COUNTIF($A$6:A1657,A1657))</f>
        <v/>
      </c>
      <c r="P1657" s="62" t="str">
        <f>IF(A1657="","",A1657&amp;"|"&amp;O1657)</f>
        <v/>
      </c>
    </row>
    <row r="1658">
      <c r="A1658" s="60" t="n"/>
      <c r="B1658" s="63" t="n"/>
      <c r="C1658" s="63" t="n"/>
      <c r="D1658" s="67" t="n"/>
      <c r="E1658" s="68" t="n"/>
      <c r="F1658" s="69" t="n"/>
      <c r="G1658" s="70" t="n"/>
      <c r="H1658" s="62" t="str">
        <f>IF(COUNTA(A1658:G1658)=0,"",IF(C1658&lt;&gt;"",C1658,IF(B1658="","",IFERROR(INDEX(pr_des,MATCH(B1658,pr_code,0))&amp;"",""))))</f>
        <v/>
      </c>
      <c r="I1658" s="59" t="str">
        <f>IF(B1658="","",IFERROR(INDEX(pr_unit,MATCH(B1658,pr_code,0))&amp;"",""))</f>
        <v/>
      </c>
      <c r="J1658" s="65" t="str">
        <f>IF(COUNTA(A1658:G1658)=0,"",IF(E1658&lt;&gt;"",E1658,IF(B1658="","",IFERROR(IF(INDEX(pr_price,MATCH(B1658,pr_code,0))="","",INDEX(pr_price,MATCH(B1658,pr_code,0))),""))))</f>
        <v/>
      </c>
      <c r="K1658" s="71" t="str">
        <f>IF(COUNTA(A1658:G1658)=0,"",IF(G1658&lt;&gt;"",G1658,IF(B1658="","",IFERROR(IF(INDEX(pr_rate,MATCH(B1658,pr_code,0))="","",INDEX(pr_rate,MATCH(B1658,pr_code,0))),""))))</f>
        <v/>
      </c>
      <c r="L1658" s="65" t="str">
        <f>IF(COUNTA(A1658:G1658)=0,"",IF(AND(ISNUMBER(D1658),ISNUMBER(J1658)),ROUND(D1658*J1658*(1-N(F1658)),2),0))</f>
        <v/>
      </c>
      <c r="M1658" s="62" t="str">
        <f>IF(A1658="","",IFERROR(INDEX(fa_cname,MATCH(A1658,fa_num,0))&amp;"",""))</f>
        <v/>
      </c>
      <c r="N1658" s="59" t="str">
        <f>IF(COUNTA(A1658:G1658)=0,"",IF(A1658="","N° facture manquant",IF(ISNA(MATCH(A1658,fa_num,0)),"Facture inconnue",IF(AND(B1658&lt;&gt;"",ISNA(MATCH(B1658,pr_code,0))),"Article inconnu",IF(H1658="","Désignation manquante",IF(OR(NOT(ISNUMBER(D1658)),N(D1658)&lt;=0),"Quantité invalide",IF(J1658="","Prix manquant",IF(OR(NOT(ISNUMBER(J1658)),N(J1658)&lt;0),"Prix invalide",IF(OR(AND(F1658&lt;&gt;"",NOT(ISNUMBER(F1658))),N(F1658)&lt;0,N(F1658)&gt;1),"Remise invalide",IF(K1658="","Taux de TVA manquant",IF(NOT(ISNUMBER(K1658)),"Taux de TVA invalide",IF(COUNTIF(p_rates,K1658)=0,"Taux de TVA hors liste (Paramètres)",IF(N(O1658)&gt;25,"Au-delà de 25 lignes : non imprimée","OK")))))))))))))</f>
        <v/>
      </c>
      <c r="O1658" s="59" t="str">
        <f>IF(A1658="","",COUNTIF($A$6:A1658,A1658))</f>
        <v/>
      </c>
      <c r="P1658" s="62" t="str">
        <f>IF(A1658="","",A1658&amp;"|"&amp;O1658)</f>
        <v/>
      </c>
    </row>
    <row r="1659">
      <c r="A1659" s="60" t="n"/>
      <c r="B1659" s="63" t="n"/>
      <c r="C1659" s="63" t="n"/>
      <c r="D1659" s="67" t="n"/>
      <c r="E1659" s="68" t="n"/>
      <c r="F1659" s="69" t="n"/>
      <c r="G1659" s="70" t="n"/>
      <c r="H1659" s="62" t="str">
        <f>IF(COUNTA(A1659:G1659)=0,"",IF(C1659&lt;&gt;"",C1659,IF(B1659="","",IFERROR(INDEX(pr_des,MATCH(B1659,pr_code,0))&amp;"",""))))</f>
        <v/>
      </c>
      <c r="I1659" s="59" t="str">
        <f>IF(B1659="","",IFERROR(INDEX(pr_unit,MATCH(B1659,pr_code,0))&amp;"",""))</f>
        <v/>
      </c>
      <c r="J1659" s="65" t="str">
        <f>IF(COUNTA(A1659:G1659)=0,"",IF(E1659&lt;&gt;"",E1659,IF(B1659="","",IFERROR(IF(INDEX(pr_price,MATCH(B1659,pr_code,0))="","",INDEX(pr_price,MATCH(B1659,pr_code,0))),""))))</f>
        <v/>
      </c>
      <c r="K1659" s="71" t="str">
        <f>IF(COUNTA(A1659:G1659)=0,"",IF(G1659&lt;&gt;"",G1659,IF(B1659="","",IFERROR(IF(INDEX(pr_rate,MATCH(B1659,pr_code,0))="","",INDEX(pr_rate,MATCH(B1659,pr_code,0))),""))))</f>
        <v/>
      </c>
      <c r="L1659" s="65" t="str">
        <f>IF(COUNTA(A1659:G1659)=0,"",IF(AND(ISNUMBER(D1659),ISNUMBER(J1659)),ROUND(D1659*J1659*(1-N(F1659)),2),0))</f>
        <v/>
      </c>
      <c r="M1659" s="62" t="str">
        <f>IF(A1659="","",IFERROR(INDEX(fa_cname,MATCH(A1659,fa_num,0))&amp;"",""))</f>
        <v/>
      </c>
      <c r="N1659" s="59" t="str">
        <f>IF(COUNTA(A1659:G1659)=0,"",IF(A1659="","N° facture manquant",IF(ISNA(MATCH(A1659,fa_num,0)),"Facture inconnue",IF(AND(B1659&lt;&gt;"",ISNA(MATCH(B1659,pr_code,0))),"Article inconnu",IF(H1659="","Désignation manquante",IF(OR(NOT(ISNUMBER(D1659)),N(D1659)&lt;=0),"Quantité invalide",IF(J1659="","Prix manquant",IF(OR(NOT(ISNUMBER(J1659)),N(J1659)&lt;0),"Prix invalide",IF(OR(AND(F1659&lt;&gt;"",NOT(ISNUMBER(F1659))),N(F1659)&lt;0,N(F1659)&gt;1),"Remise invalide",IF(K1659="","Taux de TVA manquant",IF(NOT(ISNUMBER(K1659)),"Taux de TVA invalide",IF(COUNTIF(p_rates,K1659)=0,"Taux de TVA hors liste (Paramètres)",IF(N(O1659)&gt;25,"Au-delà de 25 lignes : non imprimée","OK")))))))))))))</f>
        <v/>
      </c>
      <c r="O1659" s="59" t="str">
        <f>IF(A1659="","",COUNTIF($A$6:A1659,A1659))</f>
        <v/>
      </c>
      <c r="P1659" s="62" t="str">
        <f>IF(A1659="","",A1659&amp;"|"&amp;O1659)</f>
        <v/>
      </c>
    </row>
    <row r="1660">
      <c r="A1660" s="60" t="n"/>
      <c r="B1660" s="63" t="n"/>
      <c r="C1660" s="63" t="n"/>
      <c r="D1660" s="67" t="n"/>
      <c r="E1660" s="68" t="n"/>
      <c r="F1660" s="69" t="n"/>
      <c r="G1660" s="70" t="n"/>
      <c r="H1660" s="62" t="str">
        <f>IF(COUNTA(A1660:G1660)=0,"",IF(C1660&lt;&gt;"",C1660,IF(B1660="","",IFERROR(INDEX(pr_des,MATCH(B1660,pr_code,0))&amp;"",""))))</f>
        <v/>
      </c>
      <c r="I1660" s="59" t="str">
        <f>IF(B1660="","",IFERROR(INDEX(pr_unit,MATCH(B1660,pr_code,0))&amp;"",""))</f>
        <v/>
      </c>
      <c r="J1660" s="65" t="str">
        <f>IF(COUNTA(A1660:G1660)=0,"",IF(E1660&lt;&gt;"",E1660,IF(B1660="","",IFERROR(IF(INDEX(pr_price,MATCH(B1660,pr_code,0))="","",INDEX(pr_price,MATCH(B1660,pr_code,0))),""))))</f>
        <v/>
      </c>
      <c r="K1660" s="71" t="str">
        <f>IF(COUNTA(A1660:G1660)=0,"",IF(G1660&lt;&gt;"",G1660,IF(B1660="","",IFERROR(IF(INDEX(pr_rate,MATCH(B1660,pr_code,0))="","",INDEX(pr_rate,MATCH(B1660,pr_code,0))),""))))</f>
        <v/>
      </c>
      <c r="L1660" s="65" t="str">
        <f>IF(COUNTA(A1660:G1660)=0,"",IF(AND(ISNUMBER(D1660),ISNUMBER(J1660)),ROUND(D1660*J1660*(1-N(F1660)),2),0))</f>
        <v/>
      </c>
      <c r="M1660" s="62" t="str">
        <f>IF(A1660="","",IFERROR(INDEX(fa_cname,MATCH(A1660,fa_num,0))&amp;"",""))</f>
        <v/>
      </c>
      <c r="N1660" s="59" t="str">
        <f>IF(COUNTA(A1660:G1660)=0,"",IF(A1660="","N° facture manquant",IF(ISNA(MATCH(A1660,fa_num,0)),"Facture inconnue",IF(AND(B1660&lt;&gt;"",ISNA(MATCH(B1660,pr_code,0))),"Article inconnu",IF(H1660="","Désignation manquante",IF(OR(NOT(ISNUMBER(D1660)),N(D1660)&lt;=0),"Quantité invalide",IF(J1660="","Prix manquant",IF(OR(NOT(ISNUMBER(J1660)),N(J1660)&lt;0),"Prix invalide",IF(OR(AND(F1660&lt;&gt;"",NOT(ISNUMBER(F1660))),N(F1660)&lt;0,N(F1660)&gt;1),"Remise invalide",IF(K1660="","Taux de TVA manquant",IF(NOT(ISNUMBER(K1660)),"Taux de TVA invalide",IF(COUNTIF(p_rates,K1660)=0,"Taux de TVA hors liste (Paramètres)",IF(N(O1660)&gt;25,"Au-delà de 25 lignes : non imprimée","OK")))))))))))))</f>
        <v/>
      </c>
      <c r="O1660" s="59" t="str">
        <f>IF(A1660="","",COUNTIF($A$6:A1660,A1660))</f>
        <v/>
      </c>
      <c r="P1660" s="62" t="str">
        <f>IF(A1660="","",A1660&amp;"|"&amp;O1660)</f>
        <v/>
      </c>
    </row>
    <row r="1661">
      <c r="A1661" s="60" t="n"/>
      <c r="B1661" s="63" t="n"/>
      <c r="C1661" s="63" t="n"/>
      <c r="D1661" s="67" t="n"/>
      <c r="E1661" s="68" t="n"/>
      <c r="F1661" s="69" t="n"/>
      <c r="G1661" s="70" t="n"/>
      <c r="H1661" s="62" t="str">
        <f>IF(COUNTA(A1661:G1661)=0,"",IF(C1661&lt;&gt;"",C1661,IF(B1661="","",IFERROR(INDEX(pr_des,MATCH(B1661,pr_code,0))&amp;"",""))))</f>
        <v/>
      </c>
      <c r="I1661" s="59" t="str">
        <f>IF(B1661="","",IFERROR(INDEX(pr_unit,MATCH(B1661,pr_code,0))&amp;"",""))</f>
        <v/>
      </c>
      <c r="J1661" s="65" t="str">
        <f>IF(COUNTA(A1661:G1661)=0,"",IF(E1661&lt;&gt;"",E1661,IF(B1661="","",IFERROR(IF(INDEX(pr_price,MATCH(B1661,pr_code,0))="","",INDEX(pr_price,MATCH(B1661,pr_code,0))),""))))</f>
        <v/>
      </c>
      <c r="K1661" s="71" t="str">
        <f>IF(COUNTA(A1661:G1661)=0,"",IF(G1661&lt;&gt;"",G1661,IF(B1661="","",IFERROR(IF(INDEX(pr_rate,MATCH(B1661,pr_code,0))="","",INDEX(pr_rate,MATCH(B1661,pr_code,0))),""))))</f>
        <v/>
      </c>
      <c r="L1661" s="65" t="str">
        <f>IF(COUNTA(A1661:G1661)=0,"",IF(AND(ISNUMBER(D1661),ISNUMBER(J1661)),ROUND(D1661*J1661*(1-N(F1661)),2),0))</f>
        <v/>
      </c>
      <c r="M1661" s="62" t="str">
        <f>IF(A1661="","",IFERROR(INDEX(fa_cname,MATCH(A1661,fa_num,0))&amp;"",""))</f>
        <v/>
      </c>
      <c r="N1661" s="59" t="str">
        <f>IF(COUNTA(A1661:G1661)=0,"",IF(A1661="","N° facture manquant",IF(ISNA(MATCH(A1661,fa_num,0)),"Facture inconnue",IF(AND(B1661&lt;&gt;"",ISNA(MATCH(B1661,pr_code,0))),"Article inconnu",IF(H1661="","Désignation manquante",IF(OR(NOT(ISNUMBER(D1661)),N(D1661)&lt;=0),"Quantité invalide",IF(J1661="","Prix manquant",IF(OR(NOT(ISNUMBER(J1661)),N(J1661)&lt;0),"Prix invalide",IF(OR(AND(F1661&lt;&gt;"",NOT(ISNUMBER(F1661))),N(F1661)&lt;0,N(F1661)&gt;1),"Remise invalide",IF(K1661="","Taux de TVA manquant",IF(NOT(ISNUMBER(K1661)),"Taux de TVA invalide",IF(COUNTIF(p_rates,K1661)=0,"Taux de TVA hors liste (Paramètres)",IF(N(O1661)&gt;25,"Au-delà de 25 lignes : non imprimée","OK")))))))))))))</f>
        <v/>
      </c>
      <c r="O1661" s="59" t="str">
        <f>IF(A1661="","",COUNTIF($A$6:A1661,A1661))</f>
        <v/>
      </c>
      <c r="P1661" s="62" t="str">
        <f>IF(A1661="","",A1661&amp;"|"&amp;O1661)</f>
        <v/>
      </c>
    </row>
    <row r="1662">
      <c r="A1662" s="60" t="n"/>
      <c r="B1662" s="63" t="n"/>
      <c r="C1662" s="63" t="n"/>
      <c r="D1662" s="67" t="n"/>
      <c r="E1662" s="68" t="n"/>
      <c r="F1662" s="69" t="n"/>
      <c r="G1662" s="70" t="n"/>
      <c r="H1662" s="62" t="str">
        <f>IF(COUNTA(A1662:G1662)=0,"",IF(C1662&lt;&gt;"",C1662,IF(B1662="","",IFERROR(INDEX(pr_des,MATCH(B1662,pr_code,0))&amp;"",""))))</f>
        <v/>
      </c>
      <c r="I1662" s="59" t="str">
        <f>IF(B1662="","",IFERROR(INDEX(pr_unit,MATCH(B1662,pr_code,0))&amp;"",""))</f>
        <v/>
      </c>
      <c r="J1662" s="65" t="str">
        <f>IF(COUNTA(A1662:G1662)=0,"",IF(E1662&lt;&gt;"",E1662,IF(B1662="","",IFERROR(IF(INDEX(pr_price,MATCH(B1662,pr_code,0))="","",INDEX(pr_price,MATCH(B1662,pr_code,0))),""))))</f>
        <v/>
      </c>
      <c r="K1662" s="71" t="str">
        <f>IF(COUNTA(A1662:G1662)=0,"",IF(G1662&lt;&gt;"",G1662,IF(B1662="","",IFERROR(IF(INDEX(pr_rate,MATCH(B1662,pr_code,0))="","",INDEX(pr_rate,MATCH(B1662,pr_code,0))),""))))</f>
        <v/>
      </c>
      <c r="L1662" s="65" t="str">
        <f>IF(COUNTA(A1662:G1662)=0,"",IF(AND(ISNUMBER(D1662),ISNUMBER(J1662)),ROUND(D1662*J1662*(1-N(F1662)),2),0))</f>
        <v/>
      </c>
      <c r="M1662" s="62" t="str">
        <f>IF(A1662="","",IFERROR(INDEX(fa_cname,MATCH(A1662,fa_num,0))&amp;"",""))</f>
        <v/>
      </c>
      <c r="N1662" s="59" t="str">
        <f>IF(COUNTA(A1662:G1662)=0,"",IF(A1662="","N° facture manquant",IF(ISNA(MATCH(A1662,fa_num,0)),"Facture inconnue",IF(AND(B1662&lt;&gt;"",ISNA(MATCH(B1662,pr_code,0))),"Article inconnu",IF(H1662="","Désignation manquante",IF(OR(NOT(ISNUMBER(D1662)),N(D1662)&lt;=0),"Quantité invalide",IF(J1662="","Prix manquant",IF(OR(NOT(ISNUMBER(J1662)),N(J1662)&lt;0),"Prix invalide",IF(OR(AND(F1662&lt;&gt;"",NOT(ISNUMBER(F1662))),N(F1662)&lt;0,N(F1662)&gt;1),"Remise invalide",IF(K1662="","Taux de TVA manquant",IF(NOT(ISNUMBER(K1662)),"Taux de TVA invalide",IF(COUNTIF(p_rates,K1662)=0,"Taux de TVA hors liste (Paramètres)",IF(N(O1662)&gt;25,"Au-delà de 25 lignes : non imprimée","OK")))))))))))))</f>
        <v/>
      </c>
      <c r="O1662" s="59" t="str">
        <f>IF(A1662="","",COUNTIF($A$6:A1662,A1662))</f>
        <v/>
      </c>
      <c r="P1662" s="62" t="str">
        <f>IF(A1662="","",A1662&amp;"|"&amp;O1662)</f>
        <v/>
      </c>
    </row>
    <row r="1663">
      <c r="A1663" s="60" t="n"/>
      <c r="B1663" s="63" t="n"/>
      <c r="C1663" s="63" t="n"/>
      <c r="D1663" s="67" t="n"/>
      <c r="E1663" s="68" t="n"/>
      <c r="F1663" s="69" t="n"/>
      <c r="G1663" s="70" t="n"/>
      <c r="H1663" s="62" t="str">
        <f>IF(COUNTA(A1663:G1663)=0,"",IF(C1663&lt;&gt;"",C1663,IF(B1663="","",IFERROR(INDEX(pr_des,MATCH(B1663,pr_code,0))&amp;"",""))))</f>
        <v/>
      </c>
      <c r="I1663" s="59" t="str">
        <f>IF(B1663="","",IFERROR(INDEX(pr_unit,MATCH(B1663,pr_code,0))&amp;"",""))</f>
        <v/>
      </c>
      <c r="J1663" s="65" t="str">
        <f>IF(COUNTA(A1663:G1663)=0,"",IF(E1663&lt;&gt;"",E1663,IF(B1663="","",IFERROR(IF(INDEX(pr_price,MATCH(B1663,pr_code,0))="","",INDEX(pr_price,MATCH(B1663,pr_code,0))),""))))</f>
        <v/>
      </c>
      <c r="K1663" s="71" t="str">
        <f>IF(COUNTA(A1663:G1663)=0,"",IF(G1663&lt;&gt;"",G1663,IF(B1663="","",IFERROR(IF(INDEX(pr_rate,MATCH(B1663,pr_code,0))="","",INDEX(pr_rate,MATCH(B1663,pr_code,0))),""))))</f>
        <v/>
      </c>
      <c r="L1663" s="65" t="str">
        <f>IF(COUNTA(A1663:G1663)=0,"",IF(AND(ISNUMBER(D1663),ISNUMBER(J1663)),ROUND(D1663*J1663*(1-N(F1663)),2),0))</f>
        <v/>
      </c>
      <c r="M1663" s="62" t="str">
        <f>IF(A1663="","",IFERROR(INDEX(fa_cname,MATCH(A1663,fa_num,0))&amp;"",""))</f>
        <v/>
      </c>
      <c r="N1663" s="59" t="str">
        <f>IF(COUNTA(A1663:G1663)=0,"",IF(A1663="","N° facture manquant",IF(ISNA(MATCH(A1663,fa_num,0)),"Facture inconnue",IF(AND(B1663&lt;&gt;"",ISNA(MATCH(B1663,pr_code,0))),"Article inconnu",IF(H1663="","Désignation manquante",IF(OR(NOT(ISNUMBER(D1663)),N(D1663)&lt;=0),"Quantité invalide",IF(J1663="","Prix manquant",IF(OR(NOT(ISNUMBER(J1663)),N(J1663)&lt;0),"Prix invalide",IF(OR(AND(F1663&lt;&gt;"",NOT(ISNUMBER(F1663))),N(F1663)&lt;0,N(F1663)&gt;1),"Remise invalide",IF(K1663="","Taux de TVA manquant",IF(NOT(ISNUMBER(K1663)),"Taux de TVA invalide",IF(COUNTIF(p_rates,K1663)=0,"Taux de TVA hors liste (Paramètres)",IF(N(O1663)&gt;25,"Au-delà de 25 lignes : non imprimée","OK")))))))))))))</f>
        <v/>
      </c>
      <c r="O1663" s="59" t="str">
        <f>IF(A1663="","",COUNTIF($A$6:A1663,A1663))</f>
        <v/>
      </c>
      <c r="P1663" s="62" t="str">
        <f>IF(A1663="","",A1663&amp;"|"&amp;O1663)</f>
        <v/>
      </c>
    </row>
    <row r="1664">
      <c r="A1664" s="60" t="n"/>
      <c r="B1664" s="63" t="n"/>
      <c r="C1664" s="63" t="n"/>
      <c r="D1664" s="67" t="n"/>
      <c r="E1664" s="68" t="n"/>
      <c r="F1664" s="69" t="n"/>
      <c r="G1664" s="70" t="n"/>
      <c r="H1664" s="62" t="str">
        <f>IF(COUNTA(A1664:G1664)=0,"",IF(C1664&lt;&gt;"",C1664,IF(B1664="","",IFERROR(INDEX(pr_des,MATCH(B1664,pr_code,0))&amp;"",""))))</f>
        <v/>
      </c>
      <c r="I1664" s="59" t="str">
        <f>IF(B1664="","",IFERROR(INDEX(pr_unit,MATCH(B1664,pr_code,0))&amp;"",""))</f>
        <v/>
      </c>
      <c r="J1664" s="65" t="str">
        <f>IF(COUNTA(A1664:G1664)=0,"",IF(E1664&lt;&gt;"",E1664,IF(B1664="","",IFERROR(IF(INDEX(pr_price,MATCH(B1664,pr_code,0))="","",INDEX(pr_price,MATCH(B1664,pr_code,0))),""))))</f>
        <v/>
      </c>
      <c r="K1664" s="71" t="str">
        <f>IF(COUNTA(A1664:G1664)=0,"",IF(G1664&lt;&gt;"",G1664,IF(B1664="","",IFERROR(IF(INDEX(pr_rate,MATCH(B1664,pr_code,0))="","",INDEX(pr_rate,MATCH(B1664,pr_code,0))),""))))</f>
        <v/>
      </c>
      <c r="L1664" s="65" t="str">
        <f>IF(COUNTA(A1664:G1664)=0,"",IF(AND(ISNUMBER(D1664),ISNUMBER(J1664)),ROUND(D1664*J1664*(1-N(F1664)),2),0))</f>
        <v/>
      </c>
      <c r="M1664" s="62" t="str">
        <f>IF(A1664="","",IFERROR(INDEX(fa_cname,MATCH(A1664,fa_num,0))&amp;"",""))</f>
        <v/>
      </c>
      <c r="N1664" s="59" t="str">
        <f>IF(COUNTA(A1664:G1664)=0,"",IF(A1664="","N° facture manquant",IF(ISNA(MATCH(A1664,fa_num,0)),"Facture inconnue",IF(AND(B1664&lt;&gt;"",ISNA(MATCH(B1664,pr_code,0))),"Article inconnu",IF(H1664="","Désignation manquante",IF(OR(NOT(ISNUMBER(D1664)),N(D1664)&lt;=0),"Quantité invalide",IF(J1664="","Prix manquant",IF(OR(NOT(ISNUMBER(J1664)),N(J1664)&lt;0),"Prix invalide",IF(OR(AND(F1664&lt;&gt;"",NOT(ISNUMBER(F1664))),N(F1664)&lt;0,N(F1664)&gt;1),"Remise invalide",IF(K1664="","Taux de TVA manquant",IF(NOT(ISNUMBER(K1664)),"Taux de TVA invalide",IF(COUNTIF(p_rates,K1664)=0,"Taux de TVA hors liste (Paramètres)",IF(N(O1664)&gt;25,"Au-delà de 25 lignes : non imprimée","OK")))))))))))))</f>
        <v/>
      </c>
      <c r="O1664" s="59" t="str">
        <f>IF(A1664="","",COUNTIF($A$6:A1664,A1664))</f>
        <v/>
      </c>
      <c r="P1664" s="62" t="str">
        <f>IF(A1664="","",A1664&amp;"|"&amp;O1664)</f>
        <v/>
      </c>
    </row>
    <row r="1665">
      <c r="A1665" s="60" t="n"/>
      <c r="B1665" s="63" t="n"/>
      <c r="C1665" s="63" t="n"/>
      <c r="D1665" s="67" t="n"/>
      <c r="E1665" s="68" t="n"/>
      <c r="F1665" s="69" t="n"/>
      <c r="G1665" s="70" t="n"/>
      <c r="H1665" s="62" t="str">
        <f>IF(COUNTA(A1665:G1665)=0,"",IF(C1665&lt;&gt;"",C1665,IF(B1665="","",IFERROR(INDEX(pr_des,MATCH(B1665,pr_code,0))&amp;"",""))))</f>
        <v/>
      </c>
      <c r="I1665" s="59" t="str">
        <f>IF(B1665="","",IFERROR(INDEX(pr_unit,MATCH(B1665,pr_code,0))&amp;"",""))</f>
        <v/>
      </c>
      <c r="J1665" s="65" t="str">
        <f>IF(COUNTA(A1665:G1665)=0,"",IF(E1665&lt;&gt;"",E1665,IF(B1665="","",IFERROR(IF(INDEX(pr_price,MATCH(B1665,pr_code,0))="","",INDEX(pr_price,MATCH(B1665,pr_code,0))),""))))</f>
        <v/>
      </c>
      <c r="K1665" s="71" t="str">
        <f>IF(COUNTA(A1665:G1665)=0,"",IF(G1665&lt;&gt;"",G1665,IF(B1665="","",IFERROR(IF(INDEX(pr_rate,MATCH(B1665,pr_code,0))="","",INDEX(pr_rate,MATCH(B1665,pr_code,0))),""))))</f>
        <v/>
      </c>
      <c r="L1665" s="65" t="str">
        <f>IF(COUNTA(A1665:G1665)=0,"",IF(AND(ISNUMBER(D1665),ISNUMBER(J1665)),ROUND(D1665*J1665*(1-N(F1665)),2),0))</f>
        <v/>
      </c>
      <c r="M1665" s="62" t="str">
        <f>IF(A1665="","",IFERROR(INDEX(fa_cname,MATCH(A1665,fa_num,0))&amp;"",""))</f>
        <v/>
      </c>
      <c r="N1665" s="59" t="str">
        <f>IF(COUNTA(A1665:G1665)=0,"",IF(A1665="","N° facture manquant",IF(ISNA(MATCH(A1665,fa_num,0)),"Facture inconnue",IF(AND(B1665&lt;&gt;"",ISNA(MATCH(B1665,pr_code,0))),"Article inconnu",IF(H1665="","Désignation manquante",IF(OR(NOT(ISNUMBER(D1665)),N(D1665)&lt;=0),"Quantité invalide",IF(J1665="","Prix manquant",IF(OR(NOT(ISNUMBER(J1665)),N(J1665)&lt;0),"Prix invalide",IF(OR(AND(F1665&lt;&gt;"",NOT(ISNUMBER(F1665))),N(F1665)&lt;0,N(F1665)&gt;1),"Remise invalide",IF(K1665="","Taux de TVA manquant",IF(NOT(ISNUMBER(K1665)),"Taux de TVA invalide",IF(COUNTIF(p_rates,K1665)=0,"Taux de TVA hors liste (Paramètres)",IF(N(O1665)&gt;25,"Au-delà de 25 lignes : non imprimée","OK")))))))))))))</f>
        <v/>
      </c>
      <c r="O1665" s="59" t="str">
        <f>IF(A1665="","",COUNTIF($A$6:A1665,A1665))</f>
        <v/>
      </c>
      <c r="P1665" s="62" t="str">
        <f>IF(A1665="","",A1665&amp;"|"&amp;O1665)</f>
        <v/>
      </c>
    </row>
    <row r="1666">
      <c r="A1666" s="60" t="n"/>
      <c r="B1666" s="63" t="n"/>
      <c r="C1666" s="63" t="n"/>
      <c r="D1666" s="67" t="n"/>
      <c r="E1666" s="68" t="n"/>
      <c r="F1666" s="69" t="n"/>
      <c r="G1666" s="70" t="n"/>
      <c r="H1666" s="62" t="str">
        <f>IF(COUNTA(A1666:G1666)=0,"",IF(C1666&lt;&gt;"",C1666,IF(B1666="","",IFERROR(INDEX(pr_des,MATCH(B1666,pr_code,0))&amp;"",""))))</f>
        <v/>
      </c>
      <c r="I1666" s="59" t="str">
        <f>IF(B1666="","",IFERROR(INDEX(pr_unit,MATCH(B1666,pr_code,0))&amp;"",""))</f>
        <v/>
      </c>
      <c r="J1666" s="65" t="str">
        <f>IF(COUNTA(A1666:G1666)=0,"",IF(E1666&lt;&gt;"",E1666,IF(B1666="","",IFERROR(IF(INDEX(pr_price,MATCH(B1666,pr_code,0))="","",INDEX(pr_price,MATCH(B1666,pr_code,0))),""))))</f>
        <v/>
      </c>
      <c r="K1666" s="71" t="str">
        <f>IF(COUNTA(A1666:G1666)=0,"",IF(G1666&lt;&gt;"",G1666,IF(B1666="","",IFERROR(IF(INDEX(pr_rate,MATCH(B1666,pr_code,0))="","",INDEX(pr_rate,MATCH(B1666,pr_code,0))),""))))</f>
        <v/>
      </c>
      <c r="L1666" s="65" t="str">
        <f>IF(COUNTA(A1666:G1666)=0,"",IF(AND(ISNUMBER(D1666),ISNUMBER(J1666)),ROUND(D1666*J1666*(1-N(F1666)),2),0))</f>
        <v/>
      </c>
      <c r="M1666" s="62" t="str">
        <f>IF(A1666="","",IFERROR(INDEX(fa_cname,MATCH(A1666,fa_num,0))&amp;"",""))</f>
        <v/>
      </c>
      <c r="N1666" s="59" t="str">
        <f>IF(COUNTA(A1666:G1666)=0,"",IF(A1666="","N° facture manquant",IF(ISNA(MATCH(A1666,fa_num,0)),"Facture inconnue",IF(AND(B1666&lt;&gt;"",ISNA(MATCH(B1666,pr_code,0))),"Article inconnu",IF(H1666="","Désignation manquante",IF(OR(NOT(ISNUMBER(D1666)),N(D1666)&lt;=0),"Quantité invalide",IF(J1666="","Prix manquant",IF(OR(NOT(ISNUMBER(J1666)),N(J1666)&lt;0),"Prix invalide",IF(OR(AND(F1666&lt;&gt;"",NOT(ISNUMBER(F1666))),N(F1666)&lt;0,N(F1666)&gt;1),"Remise invalide",IF(K1666="","Taux de TVA manquant",IF(NOT(ISNUMBER(K1666)),"Taux de TVA invalide",IF(COUNTIF(p_rates,K1666)=0,"Taux de TVA hors liste (Paramètres)",IF(N(O1666)&gt;25,"Au-delà de 25 lignes : non imprimée","OK")))))))))))))</f>
        <v/>
      </c>
      <c r="O1666" s="59" t="str">
        <f>IF(A1666="","",COUNTIF($A$6:A1666,A1666))</f>
        <v/>
      </c>
      <c r="P1666" s="62" t="str">
        <f>IF(A1666="","",A1666&amp;"|"&amp;O1666)</f>
        <v/>
      </c>
    </row>
    <row r="1667">
      <c r="A1667" s="60" t="n"/>
      <c r="B1667" s="63" t="n"/>
      <c r="C1667" s="63" t="n"/>
      <c r="D1667" s="67" t="n"/>
      <c r="E1667" s="68" t="n"/>
      <c r="F1667" s="69" t="n"/>
      <c r="G1667" s="70" t="n"/>
      <c r="H1667" s="62" t="str">
        <f>IF(COUNTA(A1667:G1667)=0,"",IF(C1667&lt;&gt;"",C1667,IF(B1667="","",IFERROR(INDEX(pr_des,MATCH(B1667,pr_code,0))&amp;"",""))))</f>
        <v/>
      </c>
      <c r="I1667" s="59" t="str">
        <f>IF(B1667="","",IFERROR(INDEX(pr_unit,MATCH(B1667,pr_code,0))&amp;"",""))</f>
        <v/>
      </c>
      <c r="J1667" s="65" t="str">
        <f>IF(COUNTA(A1667:G1667)=0,"",IF(E1667&lt;&gt;"",E1667,IF(B1667="","",IFERROR(IF(INDEX(pr_price,MATCH(B1667,pr_code,0))="","",INDEX(pr_price,MATCH(B1667,pr_code,0))),""))))</f>
        <v/>
      </c>
      <c r="K1667" s="71" t="str">
        <f>IF(COUNTA(A1667:G1667)=0,"",IF(G1667&lt;&gt;"",G1667,IF(B1667="","",IFERROR(IF(INDEX(pr_rate,MATCH(B1667,pr_code,0))="","",INDEX(pr_rate,MATCH(B1667,pr_code,0))),""))))</f>
        <v/>
      </c>
      <c r="L1667" s="65" t="str">
        <f>IF(COUNTA(A1667:G1667)=0,"",IF(AND(ISNUMBER(D1667),ISNUMBER(J1667)),ROUND(D1667*J1667*(1-N(F1667)),2),0))</f>
        <v/>
      </c>
      <c r="M1667" s="62" t="str">
        <f>IF(A1667="","",IFERROR(INDEX(fa_cname,MATCH(A1667,fa_num,0))&amp;"",""))</f>
        <v/>
      </c>
      <c r="N1667" s="59" t="str">
        <f>IF(COUNTA(A1667:G1667)=0,"",IF(A1667="","N° facture manquant",IF(ISNA(MATCH(A1667,fa_num,0)),"Facture inconnue",IF(AND(B1667&lt;&gt;"",ISNA(MATCH(B1667,pr_code,0))),"Article inconnu",IF(H1667="","Désignation manquante",IF(OR(NOT(ISNUMBER(D1667)),N(D1667)&lt;=0),"Quantité invalide",IF(J1667="","Prix manquant",IF(OR(NOT(ISNUMBER(J1667)),N(J1667)&lt;0),"Prix invalide",IF(OR(AND(F1667&lt;&gt;"",NOT(ISNUMBER(F1667))),N(F1667)&lt;0,N(F1667)&gt;1),"Remise invalide",IF(K1667="","Taux de TVA manquant",IF(NOT(ISNUMBER(K1667)),"Taux de TVA invalide",IF(COUNTIF(p_rates,K1667)=0,"Taux de TVA hors liste (Paramètres)",IF(N(O1667)&gt;25,"Au-delà de 25 lignes : non imprimée","OK")))))))))))))</f>
        <v/>
      </c>
      <c r="O1667" s="59" t="str">
        <f>IF(A1667="","",COUNTIF($A$6:A1667,A1667))</f>
        <v/>
      </c>
      <c r="P1667" s="62" t="str">
        <f>IF(A1667="","",A1667&amp;"|"&amp;O1667)</f>
        <v/>
      </c>
    </row>
    <row r="1668">
      <c r="A1668" s="60" t="n"/>
      <c r="B1668" s="63" t="n"/>
      <c r="C1668" s="63" t="n"/>
      <c r="D1668" s="67" t="n"/>
      <c r="E1668" s="68" t="n"/>
      <c r="F1668" s="69" t="n"/>
      <c r="G1668" s="70" t="n"/>
      <c r="H1668" s="62" t="str">
        <f>IF(COUNTA(A1668:G1668)=0,"",IF(C1668&lt;&gt;"",C1668,IF(B1668="","",IFERROR(INDEX(pr_des,MATCH(B1668,pr_code,0))&amp;"",""))))</f>
        <v/>
      </c>
      <c r="I1668" s="59" t="str">
        <f>IF(B1668="","",IFERROR(INDEX(pr_unit,MATCH(B1668,pr_code,0))&amp;"",""))</f>
        <v/>
      </c>
      <c r="J1668" s="65" t="str">
        <f>IF(COUNTA(A1668:G1668)=0,"",IF(E1668&lt;&gt;"",E1668,IF(B1668="","",IFERROR(IF(INDEX(pr_price,MATCH(B1668,pr_code,0))="","",INDEX(pr_price,MATCH(B1668,pr_code,0))),""))))</f>
        <v/>
      </c>
      <c r="K1668" s="71" t="str">
        <f>IF(COUNTA(A1668:G1668)=0,"",IF(G1668&lt;&gt;"",G1668,IF(B1668="","",IFERROR(IF(INDEX(pr_rate,MATCH(B1668,pr_code,0))="","",INDEX(pr_rate,MATCH(B1668,pr_code,0))),""))))</f>
        <v/>
      </c>
      <c r="L1668" s="65" t="str">
        <f>IF(COUNTA(A1668:G1668)=0,"",IF(AND(ISNUMBER(D1668),ISNUMBER(J1668)),ROUND(D1668*J1668*(1-N(F1668)),2),0))</f>
        <v/>
      </c>
      <c r="M1668" s="62" t="str">
        <f>IF(A1668="","",IFERROR(INDEX(fa_cname,MATCH(A1668,fa_num,0))&amp;"",""))</f>
        <v/>
      </c>
      <c r="N1668" s="59" t="str">
        <f>IF(COUNTA(A1668:G1668)=0,"",IF(A1668="","N° facture manquant",IF(ISNA(MATCH(A1668,fa_num,0)),"Facture inconnue",IF(AND(B1668&lt;&gt;"",ISNA(MATCH(B1668,pr_code,0))),"Article inconnu",IF(H1668="","Désignation manquante",IF(OR(NOT(ISNUMBER(D1668)),N(D1668)&lt;=0),"Quantité invalide",IF(J1668="","Prix manquant",IF(OR(NOT(ISNUMBER(J1668)),N(J1668)&lt;0),"Prix invalide",IF(OR(AND(F1668&lt;&gt;"",NOT(ISNUMBER(F1668))),N(F1668)&lt;0,N(F1668)&gt;1),"Remise invalide",IF(K1668="","Taux de TVA manquant",IF(NOT(ISNUMBER(K1668)),"Taux de TVA invalide",IF(COUNTIF(p_rates,K1668)=0,"Taux de TVA hors liste (Paramètres)",IF(N(O1668)&gt;25,"Au-delà de 25 lignes : non imprimée","OK")))))))))))))</f>
        <v/>
      </c>
      <c r="O1668" s="59" t="str">
        <f>IF(A1668="","",COUNTIF($A$6:A1668,A1668))</f>
        <v/>
      </c>
      <c r="P1668" s="62" t="str">
        <f>IF(A1668="","",A1668&amp;"|"&amp;O1668)</f>
        <v/>
      </c>
    </row>
    <row r="1669">
      <c r="A1669" s="60" t="n"/>
      <c r="B1669" s="63" t="n"/>
      <c r="C1669" s="63" t="n"/>
      <c r="D1669" s="67" t="n"/>
      <c r="E1669" s="68" t="n"/>
      <c r="F1669" s="69" t="n"/>
      <c r="G1669" s="70" t="n"/>
      <c r="H1669" s="62" t="str">
        <f>IF(COUNTA(A1669:G1669)=0,"",IF(C1669&lt;&gt;"",C1669,IF(B1669="","",IFERROR(INDEX(pr_des,MATCH(B1669,pr_code,0))&amp;"",""))))</f>
        <v/>
      </c>
      <c r="I1669" s="59" t="str">
        <f>IF(B1669="","",IFERROR(INDEX(pr_unit,MATCH(B1669,pr_code,0))&amp;"",""))</f>
        <v/>
      </c>
      <c r="J1669" s="65" t="str">
        <f>IF(COUNTA(A1669:G1669)=0,"",IF(E1669&lt;&gt;"",E1669,IF(B1669="","",IFERROR(IF(INDEX(pr_price,MATCH(B1669,pr_code,0))="","",INDEX(pr_price,MATCH(B1669,pr_code,0))),""))))</f>
        <v/>
      </c>
      <c r="K1669" s="71" t="str">
        <f>IF(COUNTA(A1669:G1669)=0,"",IF(G1669&lt;&gt;"",G1669,IF(B1669="","",IFERROR(IF(INDEX(pr_rate,MATCH(B1669,pr_code,0))="","",INDEX(pr_rate,MATCH(B1669,pr_code,0))),""))))</f>
        <v/>
      </c>
      <c r="L1669" s="65" t="str">
        <f>IF(COUNTA(A1669:G1669)=0,"",IF(AND(ISNUMBER(D1669),ISNUMBER(J1669)),ROUND(D1669*J1669*(1-N(F1669)),2),0))</f>
        <v/>
      </c>
      <c r="M1669" s="62" t="str">
        <f>IF(A1669="","",IFERROR(INDEX(fa_cname,MATCH(A1669,fa_num,0))&amp;"",""))</f>
        <v/>
      </c>
      <c r="N1669" s="59" t="str">
        <f>IF(COUNTA(A1669:G1669)=0,"",IF(A1669="","N° facture manquant",IF(ISNA(MATCH(A1669,fa_num,0)),"Facture inconnue",IF(AND(B1669&lt;&gt;"",ISNA(MATCH(B1669,pr_code,0))),"Article inconnu",IF(H1669="","Désignation manquante",IF(OR(NOT(ISNUMBER(D1669)),N(D1669)&lt;=0),"Quantité invalide",IF(J1669="","Prix manquant",IF(OR(NOT(ISNUMBER(J1669)),N(J1669)&lt;0),"Prix invalide",IF(OR(AND(F1669&lt;&gt;"",NOT(ISNUMBER(F1669))),N(F1669)&lt;0,N(F1669)&gt;1),"Remise invalide",IF(K1669="","Taux de TVA manquant",IF(NOT(ISNUMBER(K1669)),"Taux de TVA invalide",IF(COUNTIF(p_rates,K1669)=0,"Taux de TVA hors liste (Paramètres)",IF(N(O1669)&gt;25,"Au-delà de 25 lignes : non imprimée","OK")))))))))))))</f>
        <v/>
      </c>
      <c r="O1669" s="59" t="str">
        <f>IF(A1669="","",COUNTIF($A$6:A1669,A1669))</f>
        <v/>
      </c>
      <c r="P1669" s="62" t="str">
        <f>IF(A1669="","",A1669&amp;"|"&amp;O1669)</f>
        <v/>
      </c>
    </row>
    <row r="1670">
      <c r="A1670" s="60" t="n"/>
      <c r="B1670" s="63" t="n"/>
      <c r="C1670" s="63" t="n"/>
      <c r="D1670" s="67" t="n"/>
      <c r="E1670" s="68" t="n"/>
      <c r="F1670" s="69" t="n"/>
      <c r="G1670" s="70" t="n"/>
      <c r="H1670" s="62" t="str">
        <f>IF(COUNTA(A1670:G1670)=0,"",IF(C1670&lt;&gt;"",C1670,IF(B1670="","",IFERROR(INDEX(pr_des,MATCH(B1670,pr_code,0))&amp;"",""))))</f>
        <v/>
      </c>
      <c r="I1670" s="59" t="str">
        <f>IF(B1670="","",IFERROR(INDEX(pr_unit,MATCH(B1670,pr_code,0))&amp;"",""))</f>
        <v/>
      </c>
      <c r="J1670" s="65" t="str">
        <f>IF(COUNTA(A1670:G1670)=0,"",IF(E1670&lt;&gt;"",E1670,IF(B1670="","",IFERROR(IF(INDEX(pr_price,MATCH(B1670,pr_code,0))="","",INDEX(pr_price,MATCH(B1670,pr_code,0))),""))))</f>
        <v/>
      </c>
      <c r="K1670" s="71" t="str">
        <f>IF(COUNTA(A1670:G1670)=0,"",IF(G1670&lt;&gt;"",G1670,IF(B1670="","",IFERROR(IF(INDEX(pr_rate,MATCH(B1670,pr_code,0))="","",INDEX(pr_rate,MATCH(B1670,pr_code,0))),""))))</f>
        <v/>
      </c>
      <c r="L1670" s="65" t="str">
        <f>IF(COUNTA(A1670:G1670)=0,"",IF(AND(ISNUMBER(D1670),ISNUMBER(J1670)),ROUND(D1670*J1670*(1-N(F1670)),2),0))</f>
        <v/>
      </c>
      <c r="M1670" s="62" t="str">
        <f>IF(A1670="","",IFERROR(INDEX(fa_cname,MATCH(A1670,fa_num,0))&amp;"",""))</f>
        <v/>
      </c>
      <c r="N1670" s="59" t="str">
        <f>IF(COUNTA(A1670:G1670)=0,"",IF(A1670="","N° facture manquant",IF(ISNA(MATCH(A1670,fa_num,0)),"Facture inconnue",IF(AND(B1670&lt;&gt;"",ISNA(MATCH(B1670,pr_code,0))),"Article inconnu",IF(H1670="","Désignation manquante",IF(OR(NOT(ISNUMBER(D1670)),N(D1670)&lt;=0),"Quantité invalide",IF(J1670="","Prix manquant",IF(OR(NOT(ISNUMBER(J1670)),N(J1670)&lt;0),"Prix invalide",IF(OR(AND(F1670&lt;&gt;"",NOT(ISNUMBER(F1670))),N(F1670)&lt;0,N(F1670)&gt;1),"Remise invalide",IF(K1670="","Taux de TVA manquant",IF(NOT(ISNUMBER(K1670)),"Taux de TVA invalide",IF(COUNTIF(p_rates,K1670)=0,"Taux de TVA hors liste (Paramètres)",IF(N(O1670)&gt;25,"Au-delà de 25 lignes : non imprimée","OK")))))))))))))</f>
        <v/>
      </c>
      <c r="O1670" s="59" t="str">
        <f>IF(A1670="","",COUNTIF($A$6:A1670,A1670))</f>
        <v/>
      </c>
      <c r="P1670" s="62" t="str">
        <f>IF(A1670="","",A1670&amp;"|"&amp;O1670)</f>
        <v/>
      </c>
    </row>
    <row r="1671">
      <c r="A1671" s="60" t="n"/>
      <c r="B1671" s="63" t="n"/>
      <c r="C1671" s="63" t="n"/>
      <c r="D1671" s="67" t="n"/>
      <c r="E1671" s="68" t="n"/>
      <c r="F1671" s="69" t="n"/>
      <c r="G1671" s="70" t="n"/>
      <c r="H1671" s="62" t="str">
        <f>IF(COUNTA(A1671:G1671)=0,"",IF(C1671&lt;&gt;"",C1671,IF(B1671="","",IFERROR(INDEX(pr_des,MATCH(B1671,pr_code,0))&amp;"",""))))</f>
        <v/>
      </c>
      <c r="I1671" s="59" t="str">
        <f>IF(B1671="","",IFERROR(INDEX(pr_unit,MATCH(B1671,pr_code,0))&amp;"",""))</f>
        <v/>
      </c>
      <c r="J1671" s="65" t="str">
        <f>IF(COUNTA(A1671:G1671)=0,"",IF(E1671&lt;&gt;"",E1671,IF(B1671="","",IFERROR(IF(INDEX(pr_price,MATCH(B1671,pr_code,0))="","",INDEX(pr_price,MATCH(B1671,pr_code,0))),""))))</f>
        <v/>
      </c>
      <c r="K1671" s="71" t="str">
        <f>IF(COUNTA(A1671:G1671)=0,"",IF(G1671&lt;&gt;"",G1671,IF(B1671="","",IFERROR(IF(INDEX(pr_rate,MATCH(B1671,pr_code,0))="","",INDEX(pr_rate,MATCH(B1671,pr_code,0))),""))))</f>
        <v/>
      </c>
      <c r="L1671" s="65" t="str">
        <f>IF(COUNTA(A1671:G1671)=0,"",IF(AND(ISNUMBER(D1671),ISNUMBER(J1671)),ROUND(D1671*J1671*(1-N(F1671)),2),0))</f>
        <v/>
      </c>
      <c r="M1671" s="62" t="str">
        <f>IF(A1671="","",IFERROR(INDEX(fa_cname,MATCH(A1671,fa_num,0))&amp;"",""))</f>
        <v/>
      </c>
      <c r="N1671" s="59" t="str">
        <f>IF(COUNTA(A1671:G1671)=0,"",IF(A1671="","N° facture manquant",IF(ISNA(MATCH(A1671,fa_num,0)),"Facture inconnue",IF(AND(B1671&lt;&gt;"",ISNA(MATCH(B1671,pr_code,0))),"Article inconnu",IF(H1671="","Désignation manquante",IF(OR(NOT(ISNUMBER(D1671)),N(D1671)&lt;=0),"Quantité invalide",IF(J1671="","Prix manquant",IF(OR(NOT(ISNUMBER(J1671)),N(J1671)&lt;0),"Prix invalide",IF(OR(AND(F1671&lt;&gt;"",NOT(ISNUMBER(F1671))),N(F1671)&lt;0,N(F1671)&gt;1),"Remise invalide",IF(K1671="","Taux de TVA manquant",IF(NOT(ISNUMBER(K1671)),"Taux de TVA invalide",IF(COUNTIF(p_rates,K1671)=0,"Taux de TVA hors liste (Paramètres)",IF(N(O1671)&gt;25,"Au-delà de 25 lignes : non imprimée","OK")))))))))))))</f>
        <v/>
      </c>
      <c r="O1671" s="59" t="str">
        <f>IF(A1671="","",COUNTIF($A$6:A1671,A1671))</f>
        <v/>
      </c>
      <c r="P1671" s="62" t="str">
        <f>IF(A1671="","",A1671&amp;"|"&amp;O1671)</f>
        <v/>
      </c>
    </row>
    <row r="1672">
      <c r="A1672" s="60" t="n"/>
      <c r="B1672" s="63" t="n"/>
      <c r="C1672" s="63" t="n"/>
      <c r="D1672" s="67" t="n"/>
      <c r="E1672" s="68" t="n"/>
      <c r="F1672" s="69" t="n"/>
      <c r="G1672" s="70" t="n"/>
      <c r="H1672" s="62" t="str">
        <f>IF(COUNTA(A1672:G1672)=0,"",IF(C1672&lt;&gt;"",C1672,IF(B1672="","",IFERROR(INDEX(pr_des,MATCH(B1672,pr_code,0))&amp;"",""))))</f>
        <v/>
      </c>
      <c r="I1672" s="59" t="str">
        <f>IF(B1672="","",IFERROR(INDEX(pr_unit,MATCH(B1672,pr_code,0))&amp;"",""))</f>
        <v/>
      </c>
      <c r="J1672" s="65" t="str">
        <f>IF(COUNTA(A1672:G1672)=0,"",IF(E1672&lt;&gt;"",E1672,IF(B1672="","",IFERROR(IF(INDEX(pr_price,MATCH(B1672,pr_code,0))="","",INDEX(pr_price,MATCH(B1672,pr_code,0))),""))))</f>
        <v/>
      </c>
      <c r="K1672" s="71" t="str">
        <f>IF(COUNTA(A1672:G1672)=0,"",IF(G1672&lt;&gt;"",G1672,IF(B1672="","",IFERROR(IF(INDEX(pr_rate,MATCH(B1672,pr_code,0))="","",INDEX(pr_rate,MATCH(B1672,pr_code,0))),""))))</f>
        <v/>
      </c>
      <c r="L1672" s="65" t="str">
        <f>IF(COUNTA(A1672:G1672)=0,"",IF(AND(ISNUMBER(D1672),ISNUMBER(J1672)),ROUND(D1672*J1672*(1-N(F1672)),2),0))</f>
        <v/>
      </c>
      <c r="M1672" s="62" t="str">
        <f>IF(A1672="","",IFERROR(INDEX(fa_cname,MATCH(A1672,fa_num,0))&amp;"",""))</f>
        <v/>
      </c>
      <c r="N1672" s="59" t="str">
        <f>IF(COUNTA(A1672:G1672)=0,"",IF(A1672="","N° facture manquant",IF(ISNA(MATCH(A1672,fa_num,0)),"Facture inconnue",IF(AND(B1672&lt;&gt;"",ISNA(MATCH(B1672,pr_code,0))),"Article inconnu",IF(H1672="","Désignation manquante",IF(OR(NOT(ISNUMBER(D1672)),N(D1672)&lt;=0),"Quantité invalide",IF(J1672="","Prix manquant",IF(OR(NOT(ISNUMBER(J1672)),N(J1672)&lt;0),"Prix invalide",IF(OR(AND(F1672&lt;&gt;"",NOT(ISNUMBER(F1672))),N(F1672)&lt;0,N(F1672)&gt;1),"Remise invalide",IF(K1672="","Taux de TVA manquant",IF(NOT(ISNUMBER(K1672)),"Taux de TVA invalide",IF(COUNTIF(p_rates,K1672)=0,"Taux de TVA hors liste (Paramètres)",IF(N(O1672)&gt;25,"Au-delà de 25 lignes : non imprimée","OK")))))))))))))</f>
        <v/>
      </c>
      <c r="O1672" s="59" t="str">
        <f>IF(A1672="","",COUNTIF($A$6:A1672,A1672))</f>
        <v/>
      </c>
      <c r="P1672" s="62" t="str">
        <f>IF(A1672="","",A1672&amp;"|"&amp;O1672)</f>
        <v/>
      </c>
    </row>
    <row r="1673">
      <c r="A1673" s="60" t="n"/>
      <c r="B1673" s="63" t="n"/>
      <c r="C1673" s="63" t="n"/>
      <c r="D1673" s="67" t="n"/>
      <c r="E1673" s="68" t="n"/>
      <c r="F1673" s="69" t="n"/>
      <c r="G1673" s="70" t="n"/>
      <c r="H1673" s="62" t="str">
        <f>IF(COUNTA(A1673:G1673)=0,"",IF(C1673&lt;&gt;"",C1673,IF(B1673="","",IFERROR(INDEX(pr_des,MATCH(B1673,pr_code,0))&amp;"",""))))</f>
        <v/>
      </c>
      <c r="I1673" s="59" t="str">
        <f>IF(B1673="","",IFERROR(INDEX(pr_unit,MATCH(B1673,pr_code,0))&amp;"",""))</f>
        <v/>
      </c>
      <c r="J1673" s="65" t="str">
        <f>IF(COUNTA(A1673:G1673)=0,"",IF(E1673&lt;&gt;"",E1673,IF(B1673="","",IFERROR(IF(INDEX(pr_price,MATCH(B1673,pr_code,0))="","",INDEX(pr_price,MATCH(B1673,pr_code,0))),""))))</f>
        <v/>
      </c>
      <c r="K1673" s="71" t="str">
        <f>IF(COUNTA(A1673:G1673)=0,"",IF(G1673&lt;&gt;"",G1673,IF(B1673="","",IFERROR(IF(INDEX(pr_rate,MATCH(B1673,pr_code,0))="","",INDEX(pr_rate,MATCH(B1673,pr_code,0))),""))))</f>
        <v/>
      </c>
      <c r="L1673" s="65" t="str">
        <f>IF(COUNTA(A1673:G1673)=0,"",IF(AND(ISNUMBER(D1673),ISNUMBER(J1673)),ROUND(D1673*J1673*(1-N(F1673)),2),0))</f>
        <v/>
      </c>
      <c r="M1673" s="62" t="str">
        <f>IF(A1673="","",IFERROR(INDEX(fa_cname,MATCH(A1673,fa_num,0))&amp;"",""))</f>
        <v/>
      </c>
      <c r="N1673" s="59" t="str">
        <f>IF(COUNTA(A1673:G1673)=0,"",IF(A1673="","N° facture manquant",IF(ISNA(MATCH(A1673,fa_num,0)),"Facture inconnue",IF(AND(B1673&lt;&gt;"",ISNA(MATCH(B1673,pr_code,0))),"Article inconnu",IF(H1673="","Désignation manquante",IF(OR(NOT(ISNUMBER(D1673)),N(D1673)&lt;=0),"Quantité invalide",IF(J1673="","Prix manquant",IF(OR(NOT(ISNUMBER(J1673)),N(J1673)&lt;0),"Prix invalide",IF(OR(AND(F1673&lt;&gt;"",NOT(ISNUMBER(F1673))),N(F1673)&lt;0,N(F1673)&gt;1),"Remise invalide",IF(K1673="","Taux de TVA manquant",IF(NOT(ISNUMBER(K1673)),"Taux de TVA invalide",IF(COUNTIF(p_rates,K1673)=0,"Taux de TVA hors liste (Paramètres)",IF(N(O1673)&gt;25,"Au-delà de 25 lignes : non imprimée","OK")))))))))))))</f>
        <v/>
      </c>
      <c r="O1673" s="59" t="str">
        <f>IF(A1673="","",COUNTIF($A$6:A1673,A1673))</f>
        <v/>
      </c>
      <c r="P1673" s="62" t="str">
        <f>IF(A1673="","",A1673&amp;"|"&amp;O1673)</f>
        <v/>
      </c>
    </row>
    <row r="1674">
      <c r="A1674" s="60" t="n"/>
      <c r="B1674" s="63" t="n"/>
      <c r="C1674" s="63" t="n"/>
      <c r="D1674" s="67" t="n"/>
      <c r="E1674" s="68" t="n"/>
      <c r="F1674" s="69" t="n"/>
      <c r="G1674" s="70" t="n"/>
      <c r="H1674" s="62" t="str">
        <f>IF(COUNTA(A1674:G1674)=0,"",IF(C1674&lt;&gt;"",C1674,IF(B1674="","",IFERROR(INDEX(pr_des,MATCH(B1674,pr_code,0))&amp;"",""))))</f>
        <v/>
      </c>
      <c r="I1674" s="59" t="str">
        <f>IF(B1674="","",IFERROR(INDEX(pr_unit,MATCH(B1674,pr_code,0))&amp;"",""))</f>
        <v/>
      </c>
      <c r="J1674" s="65" t="str">
        <f>IF(COUNTA(A1674:G1674)=0,"",IF(E1674&lt;&gt;"",E1674,IF(B1674="","",IFERROR(IF(INDEX(pr_price,MATCH(B1674,pr_code,0))="","",INDEX(pr_price,MATCH(B1674,pr_code,0))),""))))</f>
        <v/>
      </c>
      <c r="K1674" s="71" t="str">
        <f>IF(COUNTA(A1674:G1674)=0,"",IF(G1674&lt;&gt;"",G1674,IF(B1674="","",IFERROR(IF(INDEX(pr_rate,MATCH(B1674,pr_code,0))="","",INDEX(pr_rate,MATCH(B1674,pr_code,0))),""))))</f>
        <v/>
      </c>
      <c r="L1674" s="65" t="str">
        <f>IF(COUNTA(A1674:G1674)=0,"",IF(AND(ISNUMBER(D1674),ISNUMBER(J1674)),ROUND(D1674*J1674*(1-N(F1674)),2),0))</f>
        <v/>
      </c>
      <c r="M1674" s="62" t="str">
        <f>IF(A1674="","",IFERROR(INDEX(fa_cname,MATCH(A1674,fa_num,0))&amp;"",""))</f>
        <v/>
      </c>
      <c r="N1674" s="59" t="str">
        <f>IF(COUNTA(A1674:G1674)=0,"",IF(A1674="","N° facture manquant",IF(ISNA(MATCH(A1674,fa_num,0)),"Facture inconnue",IF(AND(B1674&lt;&gt;"",ISNA(MATCH(B1674,pr_code,0))),"Article inconnu",IF(H1674="","Désignation manquante",IF(OR(NOT(ISNUMBER(D1674)),N(D1674)&lt;=0),"Quantité invalide",IF(J1674="","Prix manquant",IF(OR(NOT(ISNUMBER(J1674)),N(J1674)&lt;0),"Prix invalide",IF(OR(AND(F1674&lt;&gt;"",NOT(ISNUMBER(F1674))),N(F1674)&lt;0,N(F1674)&gt;1),"Remise invalide",IF(K1674="","Taux de TVA manquant",IF(NOT(ISNUMBER(K1674)),"Taux de TVA invalide",IF(COUNTIF(p_rates,K1674)=0,"Taux de TVA hors liste (Paramètres)",IF(N(O1674)&gt;25,"Au-delà de 25 lignes : non imprimée","OK")))))))))))))</f>
        <v/>
      </c>
      <c r="O1674" s="59" t="str">
        <f>IF(A1674="","",COUNTIF($A$6:A1674,A1674))</f>
        <v/>
      </c>
      <c r="P1674" s="62" t="str">
        <f>IF(A1674="","",A1674&amp;"|"&amp;O1674)</f>
        <v/>
      </c>
    </row>
    <row r="1675">
      <c r="A1675" s="60" t="n"/>
      <c r="B1675" s="63" t="n"/>
      <c r="C1675" s="63" t="n"/>
      <c r="D1675" s="67" t="n"/>
      <c r="E1675" s="68" t="n"/>
      <c r="F1675" s="69" t="n"/>
      <c r="G1675" s="70" t="n"/>
      <c r="H1675" s="62" t="str">
        <f>IF(COUNTA(A1675:G1675)=0,"",IF(C1675&lt;&gt;"",C1675,IF(B1675="","",IFERROR(INDEX(pr_des,MATCH(B1675,pr_code,0))&amp;"",""))))</f>
        <v/>
      </c>
      <c r="I1675" s="59" t="str">
        <f>IF(B1675="","",IFERROR(INDEX(pr_unit,MATCH(B1675,pr_code,0))&amp;"",""))</f>
        <v/>
      </c>
      <c r="J1675" s="65" t="str">
        <f>IF(COUNTA(A1675:G1675)=0,"",IF(E1675&lt;&gt;"",E1675,IF(B1675="","",IFERROR(IF(INDEX(pr_price,MATCH(B1675,pr_code,0))="","",INDEX(pr_price,MATCH(B1675,pr_code,0))),""))))</f>
        <v/>
      </c>
      <c r="K1675" s="71" t="str">
        <f>IF(COUNTA(A1675:G1675)=0,"",IF(G1675&lt;&gt;"",G1675,IF(B1675="","",IFERROR(IF(INDEX(pr_rate,MATCH(B1675,pr_code,0))="","",INDEX(pr_rate,MATCH(B1675,pr_code,0))),""))))</f>
        <v/>
      </c>
      <c r="L1675" s="65" t="str">
        <f>IF(COUNTA(A1675:G1675)=0,"",IF(AND(ISNUMBER(D1675),ISNUMBER(J1675)),ROUND(D1675*J1675*(1-N(F1675)),2),0))</f>
        <v/>
      </c>
      <c r="M1675" s="62" t="str">
        <f>IF(A1675="","",IFERROR(INDEX(fa_cname,MATCH(A1675,fa_num,0))&amp;"",""))</f>
        <v/>
      </c>
      <c r="N1675" s="59" t="str">
        <f>IF(COUNTA(A1675:G1675)=0,"",IF(A1675="","N° facture manquant",IF(ISNA(MATCH(A1675,fa_num,0)),"Facture inconnue",IF(AND(B1675&lt;&gt;"",ISNA(MATCH(B1675,pr_code,0))),"Article inconnu",IF(H1675="","Désignation manquante",IF(OR(NOT(ISNUMBER(D1675)),N(D1675)&lt;=0),"Quantité invalide",IF(J1675="","Prix manquant",IF(OR(NOT(ISNUMBER(J1675)),N(J1675)&lt;0),"Prix invalide",IF(OR(AND(F1675&lt;&gt;"",NOT(ISNUMBER(F1675))),N(F1675)&lt;0,N(F1675)&gt;1),"Remise invalide",IF(K1675="","Taux de TVA manquant",IF(NOT(ISNUMBER(K1675)),"Taux de TVA invalide",IF(COUNTIF(p_rates,K1675)=0,"Taux de TVA hors liste (Paramètres)",IF(N(O1675)&gt;25,"Au-delà de 25 lignes : non imprimée","OK")))))))))))))</f>
        <v/>
      </c>
      <c r="O1675" s="59" t="str">
        <f>IF(A1675="","",COUNTIF($A$6:A1675,A1675))</f>
        <v/>
      </c>
      <c r="P1675" s="62" t="str">
        <f>IF(A1675="","",A1675&amp;"|"&amp;O1675)</f>
        <v/>
      </c>
    </row>
    <row r="1676">
      <c r="A1676" s="60" t="n"/>
      <c r="B1676" s="63" t="n"/>
      <c r="C1676" s="63" t="n"/>
      <c r="D1676" s="67" t="n"/>
      <c r="E1676" s="68" t="n"/>
      <c r="F1676" s="69" t="n"/>
      <c r="G1676" s="70" t="n"/>
      <c r="H1676" s="62" t="str">
        <f>IF(COUNTA(A1676:G1676)=0,"",IF(C1676&lt;&gt;"",C1676,IF(B1676="","",IFERROR(INDEX(pr_des,MATCH(B1676,pr_code,0))&amp;"",""))))</f>
        <v/>
      </c>
      <c r="I1676" s="59" t="str">
        <f>IF(B1676="","",IFERROR(INDEX(pr_unit,MATCH(B1676,pr_code,0))&amp;"",""))</f>
        <v/>
      </c>
      <c r="J1676" s="65" t="str">
        <f>IF(COUNTA(A1676:G1676)=0,"",IF(E1676&lt;&gt;"",E1676,IF(B1676="","",IFERROR(IF(INDEX(pr_price,MATCH(B1676,pr_code,0))="","",INDEX(pr_price,MATCH(B1676,pr_code,0))),""))))</f>
        <v/>
      </c>
      <c r="K1676" s="71" t="str">
        <f>IF(COUNTA(A1676:G1676)=0,"",IF(G1676&lt;&gt;"",G1676,IF(B1676="","",IFERROR(IF(INDEX(pr_rate,MATCH(B1676,pr_code,0))="","",INDEX(pr_rate,MATCH(B1676,pr_code,0))),""))))</f>
        <v/>
      </c>
      <c r="L1676" s="65" t="str">
        <f>IF(COUNTA(A1676:G1676)=0,"",IF(AND(ISNUMBER(D1676),ISNUMBER(J1676)),ROUND(D1676*J1676*(1-N(F1676)),2),0))</f>
        <v/>
      </c>
      <c r="M1676" s="62" t="str">
        <f>IF(A1676="","",IFERROR(INDEX(fa_cname,MATCH(A1676,fa_num,0))&amp;"",""))</f>
        <v/>
      </c>
      <c r="N1676" s="59" t="str">
        <f>IF(COUNTA(A1676:G1676)=0,"",IF(A1676="","N° facture manquant",IF(ISNA(MATCH(A1676,fa_num,0)),"Facture inconnue",IF(AND(B1676&lt;&gt;"",ISNA(MATCH(B1676,pr_code,0))),"Article inconnu",IF(H1676="","Désignation manquante",IF(OR(NOT(ISNUMBER(D1676)),N(D1676)&lt;=0),"Quantité invalide",IF(J1676="","Prix manquant",IF(OR(NOT(ISNUMBER(J1676)),N(J1676)&lt;0),"Prix invalide",IF(OR(AND(F1676&lt;&gt;"",NOT(ISNUMBER(F1676))),N(F1676)&lt;0,N(F1676)&gt;1),"Remise invalide",IF(K1676="","Taux de TVA manquant",IF(NOT(ISNUMBER(K1676)),"Taux de TVA invalide",IF(COUNTIF(p_rates,K1676)=0,"Taux de TVA hors liste (Paramètres)",IF(N(O1676)&gt;25,"Au-delà de 25 lignes : non imprimée","OK")))))))))))))</f>
        <v/>
      </c>
      <c r="O1676" s="59" t="str">
        <f>IF(A1676="","",COUNTIF($A$6:A1676,A1676))</f>
        <v/>
      </c>
      <c r="P1676" s="62" t="str">
        <f>IF(A1676="","",A1676&amp;"|"&amp;O1676)</f>
        <v/>
      </c>
    </row>
    <row r="1677">
      <c r="A1677" s="60" t="n"/>
      <c r="B1677" s="63" t="n"/>
      <c r="C1677" s="63" t="n"/>
      <c r="D1677" s="67" t="n"/>
      <c r="E1677" s="68" t="n"/>
      <c r="F1677" s="69" t="n"/>
      <c r="G1677" s="70" t="n"/>
      <c r="H1677" s="62" t="str">
        <f>IF(COUNTA(A1677:G1677)=0,"",IF(C1677&lt;&gt;"",C1677,IF(B1677="","",IFERROR(INDEX(pr_des,MATCH(B1677,pr_code,0))&amp;"",""))))</f>
        <v/>
      </c>
      <c r="I1677" s="59" t="str">
        <f>IF(B1677="","",IFERROR(INDEX(pr_unit,MATCH(B1677,pr_code,0))&amp;"",""))</f>
        <v/>
      </c>
      <c r="J1677" s="65" t="str">
        <f>IF(COUNTA(A1677:G1677)=0,"",IF(E1677&lt;&gt;"",E1677,IF(B1677="","",IFERROR(IF(INDEX(pr_price,MATCH(B1677,pr_code,0))="","",INDEX(pr_price,MATCH(B1677,pr_code,0))),""))))</f>
        <v/>
      </c>
      <c r="K1677" s="71" t="str">
        <f>IF(COUNTA(A1677:G1677)=0,"",IF(G1677&lt;&gt;"",G1677,IF(B1677="","",IFERROR(IF(INDEX(pr_rate,MATCH(B1677,pr_code,0))="","",INDEX(pr_rate,MATCH(B1677,pr_code,0))),""))))</f>
        <v/>
      </c>
      <c r="L1677" s="65" t="str">
        <f>IF(COUNTA(A1677:G1677)=0,"",IF(AND(ISNUMBER(D1677),ISNUMBER(J1677)),ROUND(D1677*J1677*(1-N(F1677)),2),0))</f>
        <v/>
      </c>
      <c r="M1677" s="62" t="str">
        <f>IF(A1677="","",IFERROR(INDEX(fa_cname,MATCH(A1677,fa_num,0))&amp;"",""))</f>
        <v/>
      </c>
      <c r="N1677" s="59" t="str">
        <f>IF(COUNTA(A1677:G1677)=0,"",IF(A1677="","N° facture manquant",IF(ISNA(MATCH(A1677,fa_num,0)),"Facture inconnue",IF(AND(B1677&lt;&gt;"",ISNA(MATCH(B1677,pr_code,0))),"Article inconnu",IF(H1677="","Désignation manquante",IF(OR(NOT(ISNUMBER(D1677)),N(D1677)&lt;=0),"Quantité invalide",IF(J1677="","Prix manquant",IF(OR(NOT(ISNUMBER(J1677)),N(J1677)&lt;0),"Prix invalide",IF(OR(AND(F1677&lt;&gt;"",NOT(ISNUMBER(F1677))),N(F1677)&lt;0,N(F1677)&gt;1),"Remise invalide",IF(K1677="","Taux de TVA manquant",IF(NOT(ISNUMBER(K1677)),"Taux de TVA invalide",IF(COUNTIF(p_rates,K1677)=0,"Taux de TVA hors liste (Paramètres)",IF(N(O1677)&gt;25,"Au-delà de 25 lignes : non imprimée","OK")))))))))))))</f>
        <v/>
      </c>
      <c r="O1677" s="59" t="str">
        <f>IF(A1677="","",COUNTIF($A$6:A1677,A1677))</f>
        <v/>
      </c>
      <c r="P1677" s="62" t="str">
        <f>IF(A1677="","",A1677&amp;"|"&amp;O1677)</f>
        <v/>
      </c>
    </row>
    <row r="1678">
      <c r="A1678" s="60" t="n"/>
      <c r="B1678" s="63" t="n"/>
      <c r="C1678" s="63" t="n"/>
      <c r="D1678" s="67" t="n"/>
      <c r="E1678" s="68" t="n"/>
      <c r="F1678" s="69" t="n"/>
      <c r="G1678" s="70" t="n"/>
      <c r="H1678" s="62" t="str">
        <f>IF(COUNTA(A1678:G1678)=0,"",IF(C1678&lt;&gt;"",C1678,IF(B1678="","",IFERROR(INDEX(pr_des,MATCH(B1678,pr_code,0))&amp;"",""))))</f>
        <v/>
      </c>
      <c r="I1678" s="59" t="str">
        <f>IF(B1678="","",IFERROR(INDEX(pr_unit,MATCH(B1678,pr_code,0))&amp;"",""))</f>
        <v/>
      </c>
      <c r="J1678" s="65" t="str">
        <f>IF(COUNTA(A1678:G1678)=0,"",IF(E1678&lt;&gt;"",E1678,IF(B1678="","",IFERROR(IF(INDEX(pr_price,MATCH(B1678,pr_code,0))="","",INDEX(pr_price,MATCH(B1678,pr_code,0))),""))))</f>
        <v/>
      </c>
      <c r="K1678" s="71" t="str">
        <f>IF(COUNTA(A1678:G1678)=0,"",IF(G1678&lt;&gt;"",G1678,IF(B1678="","",IFERROR(IF(INDEX(pr_rate,MATCH(B1678,pr_code,0))="","",INDEX(pr_rate,MATCH(B1678,pr_code,0))),""))))</f>
        <v/>
      </c>
      <c r="L1678" s="65" t="str">
        <f>IF(COUNTA(A1678:G1678)=0,"",IF(AND(ISNUMBER(D1678),ISNUMBER(J1678)),ROUND(D1678*J1678*(1-N(F1678)),2),0))</f>
        <v/>
      </c>
      <c r="M1678" s="62" t="str">
        <f>IF(A1678="","",IFERROR(INDEX(fa_cname,MATCH(A1678,fa_num,0))&amp;"",""))</f>
        <v/>
      </c>
      <c r="N1678" s="59" t="str">
        <f>IF(COUNTA(A1678:G1678)=0,"",IF(A1678="","N° facture manquant",IF(ISNA(MATCH(A1678,fa_num,0)),"Facture inconnue",IF(AND(B1678&lt;&gt;"",ISNA(MATCH(B1678,pr_code,0))),"Article inconnu",IF(H1678="","Désignation manquante",IF(OR(NOT(ISNUMBER(D1678)),N(D1678)&lt;=0),"Quantité invalide",IF(J1678="","Prix manquant",IF(OR(NOT(ISNUMBER(J1678)),N(J1678)&lt;0),"Prix invalide",IF(OR(AND(F1678&lt;&gt;"",NOT(ISNUMBER(F1678))),N(F1678)&lt;0,N(F1678)&gt;1),"Remise invalide",IF(K1678="","Taux de TVA manquant",IF(NOT(ISNUMBER(K1678)),"Taux de TVA invalide",IF(COUNTIF(p_rates,K1678)=0,"Taux de TVA hors liste (Paramètres)",IF(N(O1678)&gt;25,"Au-delà de 25 lignes : non imprimée","OK")))))))))))))</f>
        <v/>
      </c>
      <c r="O1678" s="59" t="str">
        <f>IF(A1678="","",COUNTIF($A$6:A1678,A1678))</f>
        <v/>
      </c>
      <c r="P1678" s="62" t="str">
        <f>IF(A1678="","",A1678&amp;"|"&amp;O1678)</f>
        <v/>
      </c>
    </row>
    <row r="1679">
      <c r="A1679" s="60" t="n"/>
      <c r="B1679" s="63" t="n"/>
      <c r="C1679" s="63" t="n"/>
      <c r="D1679" s="67" t="n"/>
      <c r="E1679" s="68" t="n"/>
      <c r="F1679" s="69" t="n"/>
      <c r="G1679" s="70" t="n"/>
      <c r="H1679" s="62" t="str">
        <f>IF(COUNTA(A1679:G1679)=0,"",IF(C1679&lt;&gt;"",C1679,IF(B1679="","",IFERROR(INDEX(pr_des,MATCH(B1679,pr_code,0))&amp;"",""))))</f>
        <v/>
      </c>
      <c r="I1679" s="59" t="str">
        <f>IF(B1679="","",IFERROR(INDEX(pr_unit,MATCH(B1679,pr_code,0))&amp;"",""))</f>
        <v/>
      </c>
      <c r="J1679" s="65" t="str">
        <f>IF(COUNTA(A1679:G1679)=0,"",IF(E1679&lt;&gt;"",E1679,IF(B1679="","",IFERROR(IF(INDEX(pr_price,MATCH(B1679,pr_code,0))="","",INDEX(pr_price,MATCH(B1679,pr_code,0))),""))))</f>
        <v/>
      </c>
      <c r="K1679" s="71" t="str">
        <f>IF(COUNTA(A1679:G1679)=0,"",IF(G1679&lt;&gt;"",G1679,IF(B1679="","",IFERROR(IF(INDEX(pr_rate,MATCH(B1679,pr_code,0))="","",INDEX(pr_rate,MATCH(B1679,pr_code,0))),""))))</f>
        <v/>
      </c>
      <c r="L1679" s="65" t="str">
        <f>IF(COUNTA(A1679:G1679)=0,"",IF(AND(ISNUMBER(D1679),ISNUMBER(J1679)),ROUND(D1679*J1679*(1-N(F1679)),2),0))</f>
        <v/>
      </c>
      <c r="M1679" s="62" t="str">
        <f>IF(A1679="","",IFERROR(INDEX(fa_cname,MATCH(A1679,fa_num,0))&amp;"",""))</f>
        <v/>
      </c>
      <c r="N1679" s="59" t="str">
        <f>IF(COUNTA(A1679:G1679)=0,"",IF(A1679="","N° facture manquant",IF(ISNA(MATCH(A1679,fa_num,0)),"Facture inconnue",IF(AND(B1679&lt;&gt;"",ISNA(MATCH(B1679,pr_code,0))),"Article inconnu",IF(H1679="","Désignation manquante",IF(OR(NOT(ISNUMBER(D1679)),N(D1679)&lt;=0),"Quantité invalide",IF(J1679="","Prix manquant",IF(OR(NOT(ISNUMBER(J1679)),N(J1679)&lt;0),"Prix invalide",IF(OR(AND(F1679&lt;&gt;"",NOT(ISNUMBER(F1679))),N(F1679)&lt;0,N(F1679)&gt;1),"Remise invalide",IF(K1679="","Taux de TVA manquant",IF(NOT(ISNUMBER(K1679)),"Taux de TVA invalide",IF(COUNTIF(p_rates,K1679)=0,"Taux de TVA hors liste (Paramètres)",IF(N(O1679)&gt;25,"Au-delà de 25 lignes : non imprimée","OK")))))))))))))</f>
        <v/>
      </c>
      <c r="O1679" s="59" t="str">
        <f>IF(A1679="","",COUNTIF($A$6:A1679,A1679))</f>
        <v/>
      </c>
      <c r="P1679" s="62" t="str">
        <f>IF(A1679="","",A1679&amp;"|"&amp;O1679)</f>
        <v/>
      </c>
    </row>
    <row r="1680">
      <c r="A1680" s="60" t="n"/>
      <c r="B1680" s="63" t="n"/>
      <c r="C1680" s="63" t="n"/>
      <c r="D1680" s="67" t="n"/>
      <c r="E1680" s="68" t="n"/>
      <c r="F1680" s="69" t="n"/>
      <c r="G1680" s="70" t="n"/>
      <c r="H1680" s="62" t="str">
        <f>IF(COUNTA(A1680:G1680)=0,"",IF(C1680&lt;&gt;"",C1680,IF(B1680="","",IFERROR(INDEX(pr_des,MATCH(B1680,pr_code,0))&amp;"",""))))</f>
        <v/>
      </c>
      <c r="I1680" s="59" t="str">
        <f>IF(B1680="","",IFERROR(INDEX(pr_unit,MATCH(B1680,pr_code,0))&amp;"",""))</f>
        <v/>
      </c>
      <c r="J1680" s="65" t="str">
        <f>IF(COUNTA(A1680:G1680)=0,"",IF(E1680&lt;&gt;"",E1680,IF(B1680="","",IFERROR(IF(INDEX(pr_price,MATCH(B1680,pr_code,0))="","",INDEX(pr_price,MATCH(B1680,pr_code,0))),""))))</f>
        <v/>
      </c>
      <c r="K1680" s="71" t="str">
        <f>IF(COUNTA(A1680:G1680)=0,"",IF(G1680&lt;&gt;"",G1680,IF(B1680="","",IFERROR(IF(INDEX(pr_rate,MATCH(B1680,pr_code,0))="","",INDEX(pr_rate,MATCH(B1680,pr_code,0))),""))))</f>
        <v/>
      </c>
      <c r="L1680" s="65" t="str">
        <f>IF(COUNTA(A1680:G1680)=0,"",IF(AND(ISNUMBER(D1680),ISNUMBER(J1680)),ROUND(D1680*J1680*(1-N(F1680)),2),0))</f>
        <v/>
      </c>
      <c r="M1680" s="62" t="str">
        <f>IF(A1680="","",IFERROR(INDEX(fa_cname,MATCH(A1680,fa_num,0))&amp;"",""))</f>
        <v/>
      </c>
      <c r="N1680" s="59" t="str">
        <f>IF(COUNTA(A1680:G1680)=0,"",IF(A1680="","N° facture manquant",IF(ISNA(MATCH(A1680,fa_num,0)),"Facture inconnue",IF(AND(B1680&lt;&gt;"",ISNA(MATCH(B1680,pr_code,0))),"Article inconnu",IF(H1680="","Désignation manquante",IF(OR(NOT(ISNUMBER(D1680)),N(D1680)&lt;=0),"Quantité invalide",IF(J1680="","Prix manquant",IF(OR(NOT(ISNUMBER(J1680)),N(J1680)&lt;0),"Prix invalide",IF(OR(AND(F1680&lt;&gt;"",NOT(ISNUMBER(F1680))),N(F1680)&lt;0,N(F1680)&gt;1),"Remise invalide",IF(K1680="","Taux de TVA manquant",IF(NOT(ISNUMBER(K1680)),"Taux de TVA invalide",IF(COUNTIF(p_rates,K1680)=0,"Taux de TVA hors liste (Paramètres)",IF(N(O1680)&gt;25,"Au-delà de 25 lignes : non imprimée","OK")))))))))))))</f>
        <v/>
      </c>
      <c r="O1680" s="59" t="str">
        <f>IF(A1680="","",COUNTIF($A$6:A1680,A1680))</f>
        <v/>
      </c>
      <c r="P1680" s="62" t="str">
        <f>IF(A1680="","",A1680&amp;"|"&amp;O1680)</f>
        <v/>
      </c>
    </row>
    <row r="1681">
      <c r="A1681" s="60" t="n"/>
      <c r="B1681" s="63" t="n"/>
      <c r="C1681" s="63" t="n"/>
      <c r="D1681" s="67" t="n"/>
      <c r="E1681" s="68" t="n"/>
      <c r="F1681" s="69" t="n"/>
      <c r="G1681" s="70" t="n"/>
      <c r="H1681" s="62" t="str">
        <f>IF(COUNTA(A1681:G1681)=0,"",IF(C1681&lt;&gt;"",C1681,IF(B1681="","",IFERROR(INDEX(pr_des,MATCH(B1681,pr_code,0))&amp;"",""))))</f>
        <v/>
      </c>
      <c r="I1681" s="59" t="str">
        <f>IF(B1681="","",IFERROR(INDEX(pr_unit,MATCH(B1681,pr_code,0))&amp;"",""))</f>
        <v/>
      </c>
      <c r="J1681" s="65" t="str">
        <f>IF(COUNTA(A1681:G1681)=0,"",IF(E1681&lt;&gt;"",E1681,IF(B1681="","",IFERROR(IF(INDEX(pr_price,MATCH(B1681,pr_code,0))="","",INDEX(pr_price,MATCH(B1681,pr_code,0))),""))))</f>
        <v/>
      </c>
      <c r="K1681" s="71" t="str">
        <f>IF(COUNTA(A1681:G1681)=0,"",IF(G1681&lt;&gt;"",G1681,IF(B1681="","",IFERROR(IF(INDEX(pr_rate,MATCH(B1681,pr_code,0))="","",INDEX(pr_rate,MATCH(B1681,pr_code,0))),""))))</f>
        <v/>
      </c>
      <c r="L1681" s="65" t="str">
        <f>IF(COUNTA(A1681:G1681)=0,"",IF(AND(ISNUMBER(D1681),ISNUMBER(J1681)),ROUND(D1681*J1681*(1-N(F1681)),2),0))</f>
        <v/>
      </c>
      <c r="M1681" s="62" t="str">
        <f>IF(A1681="","",IFERROR(INDEX(fa_cname,MATCH(A1681,fa_num,0))&amp;"",""))</f>
        <v/>
      </c>
      <c r="N1681" s="59" t="str">
        <f>IF(COUNTA(A1681:G1681)=0,"",IF(A1681="","N° facture manquant",IF(ISNA(MATCH(A1681,fa_num,0)),"Facture inconnue",IF(AND(B1681&lt;&gt;"",ISNA(MATCH(B1681,pr_code,0))),"Article inconnu",IF(H1681="","Désignation manquante",IF(OR(NOT(ISNUMBER(D1681)),N(D1681)&lt;=0),"Quantité invalide",IF(J1681="","Prix manquant",IF(OR(NOT(ISNUMBER(J1681)),N(J1681)&lt;0),"Prix invalide",IF(OR(AND(F1681&lt;&gt;"",NOT(ISNUMBER(F1681))),N(F1681)&lt;0,N(F1681)&gt;1),"Remise invalide",IF(K1681="","Taux de TVA manquant",IF(NOT(ISNUMBER(K1681)),"Taux de TVA invalide",IF(COUNTIF(p_rates,K1681)=0,"Taux de TVA hors liste (Paramètres)",IF(N(O1681)&gt;25,"Au-delà de 25 lignes : non imprimée","OK")))))))))))))</f>
        <v/>
      </c>
      <c r="O1681" s="59" t="str">
        <f>IF(A1681="","",COUNTIF($A$6:A1681,A1681))</f>
        <v/>
      </c>
      <c r="P1681" s="62" t="str">
        <f>IF(A1681="","",A1681&amp;"|"&amp;O1681)</f>
        <v/>
      </c>
    </row>
    <row r="1682">
      <c r="A1682" s="60" t="n"/>
      <c r="B1682" s="63" t="n"/>
      <c r="C1682" s="63" t="n"/>
      <c r="D1682" s="67" t="n"/>
      <c r="E1682" s="68" t="n"/>
      <c r="F1682" s="69" t="n"/>
      <c r="G1682" s="70" t="n"/>
      <c r="H1682" s="62" t="str">
        <f>IF(COUNTA(A1682:G1682)=0,"",IF(C1682&lt;&gt;"",C1682,IF(B1682="","",IFERROR(INDEX(pr_des,MATCH(B1682,pr_code,0))&amp;"",""))))</f>
        <v/>
      </c>
      <c r="I1682" s="59" t="str">
        <f>IF(B1682="","",IFERROR(INDEX(pr_unit,MATCH(B1682,pr_code,0))&amp;"",""))</f>
        <v/>
      </c>
      <c r="J1682" s="65" t="str">
        <f>IF(COUNTA(A1682:G1682)=0,"",IF(E1682&lt;&gt;"",E1682,IF(B1682="","",IFERROR(IF(INDEX(pr_price,MATCH(B1682,pr_code,0))="","",INDEX(pr_price,MATCH(B1682,pr_code,0))),""))))</f>
        <v/>
      </c>
      <c r="K1682" s="71" t="str">
        <f>IF(COUNTA(A1682:G1682)=0,"",IF(G1682&lt;&gt;"",G1682,IF(B1682="","",IFERROR(IF(INDEX(pr_rate,MATCH(B1682,pr_code,0))="","",INDEX(pr_rate,MATCH(B1682,pr_code,0))),""))))</f>
        <v/>
      </c>
      <c r="L1682" s="65" t="str">
        <f>IF(COUNTA(A1682:G1682)=0,"",IF(AND(ISNUMBER(D1682),ISNUMBER(J1682)),ROUND(D1682*J1682*(1-N(F1682)),2),0))</f>
        <v/>
      </c>
      <c r="M1682" s="62" t="str">
        <f>IF(A1682="","",IFERROR(INDEX(fa_cname,MATCH(A1682,fa_num,0))&amp;"",""))</f>
        <v/>
      </c>
      <c r="N1682" s="59" t="str">
        <f>IF(COUNTA(A1682:G1682)=0,"",IF(A1682="","N° facture manquant",IF(ISNA(MATCH(A1682,fa_num,0)),"Facture inconnue",IF(AND(B1682&lt;&gt;"",ISNA(MATCH(B1682,pr_code,0))),"Article inconnu",IF(H1682="","Désignation manquante",IF(OR(NOT(ISNUMBER(D1682)),N(D1682)&lt;=0),"Quantité invalide",IF(J1682="","Prix manquant",IF(OR(NOT(ISNUMBER(J1682)),N(J1682)&lt;0),"Prix invalide",IF(OR(AND(F1682&lt;&gt;"",NOT(ISNUMBER(F1682))),N(F1682)&lt;0,N(F1682)&gt;1),"Remise invalide",IF(K1682="","Taux de TVA manquant",IF(NOT(ISNUMBER(K1682)),"Taux de TVA invalide",IF(COUNTIF(p_rates,K1682)=0,"Taux de TVA hors liste (Paramètres)",IF(N(O1682)&gt;25,"Au-delà de 25 lignes : non imprimée","OK")))))))))))))</f>
        <v/>
      </c>
      <c r="O1682" s="59" t="str">
        <f>IF(A1682="","",COUNTIF($A$6:A1682,A1682))</f>
        <v/>
      </c>
      <c r="P1682" s="62" t="str">
        <f>IF(A1682="","",A1682&amp;"|"&amp;O1682)</f>
        <v/>
      </c>
    </row>
    <row r="1683">
      <c r="A1683" s="60" t="n"/>
      <c r="B1683" s="63" t="n"/>
      <c r="C1683" s="63" t="n"/>
      <c r="D1683" s="67" t="n"/>
      <c r="E1683" s="68" t="n"/>
      <c r="F1683" s="69" t="n"/>
      <c r="G1683" s="70" t="n"/>
      <c r="H1683" s="62" t="str">
        <f>IF(COUNTA(A1683:G1683)=0,"",IF(C1683&lt;&gt;"",C1683,IF(B1683="","",IFERROR(INDEX(pr_des,MATCH(B1683,pr_code,0))&amp;"",""))))</f>
        <v/>
      </c>
      <c r="I1683" s="59" t="str">
        <f>IF(B1683="","",IFERROR(INDEX(pr_unit,MATCH(B1683,pr_code,0))&amp;"",""))</f>
        <v/>
      </c>
      <c r="J1683" s="65" t="str">
        <f>IF(COUNTA(A1683:G1683)=0,"",IF(E1683&lt;&gt;"",E1683,IF(B1683="","",IFERROR(IF(INDEX(pr_price,MATCH(B1683,pr_code,0))="","",INDEX(pr_price,MATCH(B1683,pr_code,0))),""))))</f>
        <v/>
      </c>
      <c r="K1683" s="71" t="str">
        <f>IF(COUNTA(A1683:G1683)=0,"",IF(G1683&lt;&gt;"",G1683,IF(B1683="","",IFERROR(IF(INDEX(pr_rate,MATCH(B1683,pr_code,0))="","",INDEX(pr_rate,MATCH(B1683,pr_code,0))),""))))</f>
        <v/>
      </c>
      <c r="L1683" s="65" t="str">
        <f>IF(COUNTA(A1683:G1683)=0,"",IF(AND(ISNUMBER(D1683),ISNUMBER(J1683)),ROUND(D1683*J1683*(1-N(F1683)),2),0))</f>
        <v/>
      </c>
      <c r="M1683" s="62" t="str">
        <f>IF(A1683="","",IFERROR(INDEX(fa_cname,MATCH(A1683,fa_num,0))&amp;"",""))</f>
        <v/>
      </c>
      <c r="N1683" s="59" t="str">
        <f>IF(COUNTA(A1683:G1683)=0,"",IF(A1683="","N° facture manquant",IF(ISNA(MATCH(A1683,fa_num,0)),"Facture inconnue",IF(AND(B1683&lt;&gt;"",ISNA(MATCH(B1683,pr_code,0))),"Article inconnu",IF(H1683="","Désignation manquante",IF(OR(NOT(ISNUMBER(D1683)),N(D1683)&lt;=0),"Quantité invalide",IF(J1683="","Prix manquant",IF(OR(NOT(ISNUMBER(J1683)),N(J1683)&lt;0),"Prix invalide",IF(OR(AND(F1683&lt;&gt;"",NOT(ISNUMBER(F1683))),N(F1683)&lt;0,N(F1683)&gt;1),"Remise invalide",IF(K1683="","Taux de TVA manquant",IF(NOT(ISNUMBER(K1683)),"Taux de TVA invalide",IF(COUNTIF(p_rates,K1683)=0,"Taux de TVA hors liste (Paramètres)",IF(N(O1683)&gt;25,"Au-delà de 25 lignes : non imprimée","OK")))))))))))))</f>
        <v/>
      </c>
      <c r="O1683" s="59" t="str">
        <f>IF(A1683="","",COUNTIF($A$6:A1683,A1683))</f>
        <v/>
      </c>
      <c r="P1683" s="62" t="str">
        <f>IF(A1683="","",A1683&amp;"|"&amp;O1683)</f>
        <v/>
      </c>
    </row>
    <row r="1684">
      <c r="A1684" s="60" t="n"/>
      <c r="B1684" s="63" t="n"/>
      <c r="C1684" s="63" t="n"/>
      <c r="D1684" s="67" t="n"/>
      <c r="E1684" s="68" t="n"/>
      <c r="F1684" s="69" t="n"/>
      <c r="G1684" s="70" t="n"/>
      <c r="H1684" s="62" t="str">
        <f>IF(COUNTA(A1684:G1684)=0,"",IF(C1684&lt;&gt;"",C1684,IF(B1684="","",IFERROR(INDEX(pr_des,MATCH(B1684,pr_code,0))&amp;"",""))))</f>
        <v/>
      </c>
      <c r="I1684" s="59" t="str">
        <f>IF(B1684="","",IFERROR(INDEX(pr_unit,MATCH(B1684,pr_code,0))&amp;"",""))</f>
        <v/>
      </c>
      <c r="J1684" s="65" t="str">
        <f>IF(COUNTA(A1684:G1684)=0,"",IF(E1684&lt;&gt;"",E1684,IF(B1684="","",IFERROR(IF(INDEX(pr_price,MATCH(B1684,pr_code,0))="","",INDEX(pr_price,MATCH(B1684,pr_code,0))),""))))</f>
        <v/>
      </c>
      <c r="K1684" s="71" t="str">
        <f>IF(COUNTA(A1684:G1684)=0,"",IF(G1684&lt;&gt;"",G1684,IF(B1684="","",IFERROR(IF(INDEX(pr_rate,MATCH(B1684,pr_code,0))="","",INDEX(pr_rate,MATCH(B1684,pr_code,0))),""))))</f>
        <v/>
      </c>
      <c r="L1684" s="65" t="str">
        <f>IF(COUNTA(A1684:G1684)=0,"",IF(AND(ISNUMBER(D1684),ISNUMBER(J1684)),ROUND(D1684*J1684*(1-N(F1684)),2),0))</f>
        <v/>
      </c>
      <c r="M1684" s="62" t="str">
        <f>IF(A1684="","",IFERROR(INDEX(fa_cname,MATCH(A1684,fa_num,0))&amp;"",""))</f>
        <v/>
      </c>
      <c r="N1684" s="59" t="str">
        <f>IF(COUNTA(A1684:G1684)=0,"",IF(A1684="","N° facture manquant",IF(ISNA(MATCH(A1684,fa_num,0)),"Facture inconnue",IF(AND(B1684&lt;&gt;"",ISNA(MATCH(B1684,pr_code,0))),"Article inconnu",IF(H1684="","Désignation manquante",IF(OR(NOT(ISNUMBER(D1684)),N(D1684)&lt;=0),"Quantité invalide",IF(J1684="","Prix manquant",IF(OR(NOT(ISNUMBER(J1684)),N(J1684)&lt;0),"Prix invalide",IF(OR(AND(F1684&lt;&gt;"",NOT(ISNUMBER(F1684))),N(F1684)&lt;0,N(F1684)&gt;1),"Remise invalide",IF(K1684="","Taux de TVA manquant",IF(NOT(ISNUMBER(K1684)),"Taux de TVA invalide",IF(COUNTIF(p_rates,K1684)=0,"Taux de TVA hors liste (Paramètres)",IF(N(O1684)&gt;25,"Au-delà de 25 lignes : non imprimée","OK")))))))))))))</f>
        <v/>
      </c>
      <c r="O1684" s="59" t="str">
        <f>IF(A1684="","",COUNTIF($A$6:A1684,A1684))</f>
        <v/>
      </c>
      <c r="P1684" s="62" t="str">
        <f>IF(A1684="","",A1684&amp;"|"&amp;O1684)</f>
        <v/>
      </c>
    </row>
    <row r="1685">
      <c r="A1685" s="60" t="n"/>
      <c r="B1685" s="63" t="n"/>
      <c r="C1685" s="63" t="n"/>
      <c r="D1685" s="67" t="n"/>
      <c r="E1685" s="68" t="n"/>
      <c r="F1685" s="69" t="n"/>
      <c r="G1685" s="70" t="n"/>
      <c r="H1685" s="62" t="str">
        <f>IF(COUNTA(A1685:G1685)=0,"",IF(C1685&lt;&gt;"",C1685,IF(B1685="","",IFERROR(INDEX(pr_des,MATCH(B1685,pr_code,0))&amp;"",""))))</f>
        <v/>
      </c>
      <c r="I1685" s="59" t="str">
        <f>IF(B1685="","",IFERROR(INDEX(pr_unit,MATCH(B1685,pr_code,0))&amp;"",""))</f>
        <v/>
      </c>
      <c r="J1685" s="65" t="str">
        <f>IF(COUNTA(A1685:G1685)=0,"",IF(E1685&lt;&gt;"",E1685,IF(B1685="","",IFERROR(IF(INDEX(pr_price,MATCH(B1685,pr_code,0))="","",INDEX(pr_price,MATCH(B1685,pr_code,0))),""))))</f>
        <v/>
      </c>
      <c r="K1685" s="71" t="str">
        <f>IF(COUNTA(A1685:G1685)=0,"",IF(G1685&lt;&gt;"",G1685,IF(B1685="","",IFERROR(IF(INDEX(pr_rate,MATCH(B1685,pr_code,0))="","",INDEX(pr_rate,MATCH(B1685,pr_code,0))),""))))</f>
        <v/>
      </c>
      <c r="L1685" s="65" t="str">
        <f>IF(COUNTA(A1685:G1685)=0,"",IF(AND(ISNUMBER(D1685),ISNUMBER(J1685)),ROUND(D1685*J1685*(1-N(F1685)),2),0))</f>
        <v/>
      </c>
      <c r="M1685" s="62" t="str">
        <f>IF(A1685="","",IFERROR(INDEX(fa_cname,MATCH(A1685,fa_num,0))&amp;"",""))</f>
        <v/>
      </c>
      <c r="N1685" s="59" t="str">
        <f>IF(COUNTA(A1685:G1685)=0,"",IF(A1685="","N° facture manquant",IF(ISNA(MATCH(A1685,fa_num,0)),"Facture inconnue",IF(AND(B1685&lt;&gt;"",ISNA(MATCH(B1685,pr_code,0))),"Article inconnu",IF(H1685="","Désignation manquante",IF(OR(NOT(ISNUMBER(D1685)),N(D1685)&lt;=0),"Quantité invalide",IF(J1685="","Prix manquant",IF(OR(NOT(ISNUMBER(J1685)),N(J1685)&lt;0),"Prix invalide",IF(OR(AND(F1685&lt;&gt;"",NOT(ISNUMBER(F1685))),N(F1685)&lt;0,N(F1685)&gt;1),"Remise invalide",IF(K1685="","Taux de TVA manquant",IF(NOT(ISNUMBER(K1685)),"Taux de TVA invalide",IF(COUNTIF(p_rates,K1685)=0,"Taux de TVA hors liste (Paramètres)",IF(N(O1685)&gt;25,"Au-delà de 25 lignes : non imprimée","OK")))))))))))))</f>
        <v/>
      </c>
      <c r="O1685" s="59" t="str">
        <f>IF(A1685="","",COUNTIF($A$6:A1685,A1685))</f>
        <v/>
      </c>
      <c r="P1685" s="62" t="str">
        <f>IF(A1685="","",A1685&amp;"|"&amp;O1685)</f>
        <v/>
      </c>
    </row>
    <row r="1686">
      <c r="A1686" s="60" t="n"/>
      <c r="B1686" s="63" t="n"/>
      <c r="C1686" s="63" t="n"/>
      <c r="D1686" s="67" t="n"/>
      <c r="E1686" s="68" t="n"/>
      <c r="F1686" s="69" t="n"/>
      <c r="G1686" s="70" t="n"/>
      <c r="H1686" s="62" t="str">
        <f>IF(COUNTA(A1686:G1686)=0,"",IF(C1686&lt;&gt;"",C1686,IF(B1686="","",IFERROR(INDEX(pr_des,MATCH(B1686,pr_code,0))&amp;"",""))))</f>
        <v/>
      </c>
      <c r="I1686" s="59" t="str">
        <f>IF(B1686="","",IFERROR(INDEX(pr_unit,MATCH(B1686,pr_code,0))&amp;"",""))</f>
        <v/>
      </c>
      <c r="J1686" s="65" t="str">
        <f>IF(COUNTA(A1686:G1686)=0,"",IF(E1686&lt;&gt;"",E1686,IF(B1686="","",IFERROR(IF(INDEX(pr_price,MATCH(B1686,pr_code,0))="","",INDEX(pr_price,MATCH(B1686,pr_code,0))),""))))</f>
        <v/>
      </c>
      <c r="K1686" s="71" t="str">
        <f>IF(COUNTA(A1686:G1686)=0,"",IF(G1686&lt;&gt;"",G1686,IF(B1686="","",IFERROR(IF(INDEX(pr_rate,MATCH(B1686,pr_code,0))="","",INDEX(pr_rate,MATCH(B1686,pr_code,0))),""))))</f>
        <v/>
      </c>
      <c r="L1686" s="65" t="str">
        <f>IF(COUNTA(A1686:G1686)=0,"",IF(AND(ISNUMBER(D1686),ISNUMBER(J1686)),ROUND(D1686*J1686*(1-N(F1686)),2),0))</f>
        <v/>
      </c>
      <c r="M1686" s="62" t="str">
        <f>IF(A1686="","",IFERROR(INDEX(fa_cname,MATCH(A1686,fa_num,0))&amp;"",""))</f>
        <v/>
      </c>
      <c r="N1686" s="59" t="str">
        <f>IF(COUNTA(A1686:G1686)=0,"",IF(A1686="","N° facture manquant",IF(ISNA(MATCH(A1686,fa_num,0)),"Facture inconnue",IF(AND(B1686&lt;&gt;"",ISNA(MATCH(B1686,pr_code,0))),"Article inconnu",IF(H1686="","Désignation manquante",IF(OR(NOT(ISNUMBER(D1686)),N(D1686)&lt;=0),"Quantité invalide",IF(J1686="","Prix manquant",IF(OR(NOT(ISNUMBER(J1686)),N(J1686)&lt;0),"Prix invalide",IF(OR(AND(F1686&lt;&gt;"",NOT(ISNUMBER(F1686))),N(F1686)&lt;0,N(F1686)&gt;1),"Remise invalide",IF(K1686="","Taux de TVA manquant",IF(NOT(ISNUMBER(K1686)),"Taux de TVA invalide",IF(COUNTIF(p_rates,K1686)=0,"Taux de TVA hors liste (Paramètres)",IF(N(O1686)&gt;25,"Au-delà de 25 lignes : non imprimée","OK")))))))))))))</f>
        <v/>
      </c>
      <c r="O1686" s="59" t="str">
        <f>IF(A1686="","",COUNTIF($A$6:A1686,A1686))</f>
        <v/>
      </c>
      <c r="P1686" s="62" t="str">
        <f>IF(A1686="","",A1686&amp;"|"&amp;O1686)</f>
        <v/>
      </c>
    </row>
    <row r="1687">
      <c r="A1687" s="60" t="n"/>
      <c r="B1687" s="63" t="n"/>
      <c r="C1687" s="63" t="n"/>
      <c r="D1687" s="67" t="n"/>
      <c r="E1687" s="68" t="n"/>
      <c r="F1687" s="69" t="n"/>
      <c r="G1687" s="70" t="n"/>
      <c r="H1687" s="62" t="str">
        <f>IF(COUNTA(A1687:G1687)=0,"",IF(C1687&lt;&gt;"",C1687,IF(B1687="","",IFERROR(INDEX(pr_des,MATCH(B1687,pr_code,0))&amp;"",""))))</f>
        <v/>
      </c>
      <c r="I1687" s="59" t="str">
        <f>IF(B1687="","",IFERROR(INDEX(pr_unit,MATCH(B1687,pr_code,0))&amp;"",""))</f>
        <v/>
      </c>
      <c r="J1687" s="65" t="str">
        <f>IF(COUNTA(A1687:G1687)=0,"",IF(E1687&lt;&gt;"",E1687,IF(B1687="","",IFERROR(IF(INDEX(pr_price,MATCH(B1687,pr_code,0))="","",INDEX(pr_price,MATCH(B1687,pr_code,0))),""))))</f>
        <v/>
      </c>
      <c r="K1687" s="71" t="str">
        <f>IF(COUNTA(A1687:G1687)=0,"",IF(G1687&lt;&gt;"",G1687,IF(B1687="","",IFERROR(IF(INDEX(pr_rate,MATCH(B1687,pr_code,0))="","",INDEX(pr_rate,MATCH(B1687,pr_code,0))),""))))</f>
        <v/>
      </c>
      <c r="L1687" s="65" t="str">
        <f>IF(COUNTA(A1687:G1687)=0,"",IF(AND(ISNUMBER(D1687),ISNUMBER(J1687)),ROUND(D1687*J1687*(1-N(F1687)),2),0))</f>
        <v/>
      </c>
      <c r="M1687" s="62" t="str">
        <f>IF(A1687="","",IFERROR(INDEX(fa_cname,MATCH(A1687,fa_num,0))&amp;"",""))</f>
        <v/>
      </c>
      <c r="N1687" s="59" t="str">
        <f>IF(COUNTA(A1687:G1687)=0,"",IF(A1687="","N° facture manquant",IF(ISNA(MATCH(A1687,fa_num,0)),"Facture inconnue",IF(AND(B1687&lt;&gt;"",ISNA(MATCH(B1687,pr_code,0))),"Article inconnu",IF(H1687="","Désignation manquante",IF(OR(NOT(ISNUMBER(D1687)),N(D1687)&lt;=0),"Quantité invalide",IF(J1687="","Prix manquant",IF(OR(NOT(ISNUMBER(J1687)),N(J1687)&lt;0),"Prix invalide",IF(OR(AND(F1687&lt;&gt;"",NOT(ISNUMBER(F1687))),N(F1687)&lt;0,N(F1687)&gt;1),"Remise invalide",IF(K1687="","Taux de TVA manquant",IF(NOT(ISNUMBER(K1687)),"Taux de TVA invalide",IF(COUNTIF(p_rates,K1687)=0,"Taux de TVA hors liste (Paramètres)",IF(N(O1687)&gt;25,"Au-delà de 25 lignes : non imprimée","OK")))))))))))))</f>
        <v/>
      </c>
      <c r="O1687" s="59" t="str">
        <f>IF(A1687="","",COUNTIF($A$6:A1687,A1687))</f>
        <v/>
      </c>
      <c r="P1687" s="62" t="str">
        <f>IF(A1687="","",A1687&amp;"|"&amp;O1687)</f>
        <v/>
      </c>
    </row>
    <row r="1688">
      <c r="A1688" s="60" t="n"/>
      <c r="B1688" s="63" t="n"/>
      <c r="C1688" s="63" t="n"/>
      <c r="D1688" s="67" t="n"/>
      <c r="E1688" s="68" t="n"/>
      <c r="F1688" s="69" t="n"/>
      <c r="G1688" s="70" t="n"/>
      <c r="H1688" s="62" t="str">
        <f>IF(COUNTA(A1688:G1688)=0,"",IF(C1688&lt;&gt;"",C1688,IF(B1688="","",IFERROR(INDEX(pr_des,MATCH(B1688,pr_code,0))&amp;"",""))))</f>
        <v/>
      </c>
      <c r="I1688" s="59" t="str">
        <f>IF(B1688="","",IFERROR(INDEX(pr_unit,MATCH(B1688,pr_code,0))&amp;"",""))</f>
        <v/>
      </c>
      <c r="J1688" s="65" t="str">
        <f>IF(COUNTA(A1688:G1688)=0,"",IF(E1688&lt;&gt;"",E1688,IF(B1688="","",IFERROR(IF(INDEX(pr_price,MATCH(B1688,pr_code,0))="","",INDEX(pr_price,MATCH(B1688,pr_code,0))),""))))</f>
        <v/>
      </c>
      <c r="K1688" s="71" t="str">
        <f>IF(COUNTA(A1688:G1688)=0,"",IF(G1688&lt;&gt;"",G1688,IF(B1688="","",IFERROR(IF(INDEX(pr_rate,MATCH(B1688,pr_code,0))="","",INDEX(pr_rate,MATCH(B1688,pr_code,0))),""))))</f>
        <v/>
      </c>
      <c r="L1688" s="65" t="str">
        <f>IF(COUNTA(A1688:G1688)=0,"",IF(AND(ISNUMBER(D1688),ISNUMBER(J1688)),ROUND(D1688*J1688*(1-N(F1688)),2),0))</f>
        <v/>
      </c>
      <c r="M1688" s="62" t="str">
        <f>IF(A1688="","",IFERROR(INDEX(fa_cname,MATCH(A1688,fa_num,0))&amp;"",""))</f>
        <v/>
      </c>
      <c r="N1688" s="59" t="str">
        <f>IF(COUNTA(A1688:G1688)=0,"",IF(A1688="","N° facture manquant",IF(ISNA(MATCH(A1688,fa_num,0)),"Facture inconnue",IF(AND(B1688&lt;&gt;"",ISNA(MATCH(B1688,pr_code,0))),"Article inconnu",IF(H1688="","Désignation manquante",IF(OR(NOT(ISNUMBER(D1688)),N(D1688)&lt;=0),"Quantité invalide",IF(J1688="","Prix manquant",IF(OR(NOT(ISNUMBER(J1688)),N(J1688)&lt;0),"Prix invalide",IF(OR(AND(F1688&lt;&gt;"",NOT(ISNUMBER(F1688))),N(F1688)&lt;0,N(F1688)&gt;1),"Remise invalide",IF(K1688="","Taux de TVA manquant",IF(NOT(ISNUMBER(K1688)),"Taux de TVA invalide",IF(COUNTIF(p_rates,K1688)=0,"Taux de TVA hors liste (Paramètres)",IF(N(O1688)&gt;25,"Au-delà de 25 lignes : non imprimée","OK")))))))))))))</f>
        <v/>
      </c>
      <c r="O1688" s="59" t="str">
        <f>IF(A1688="","",COUNTIF($A$6:A1688,A1688))</f>
        <v/>
      </c>
      <c r="P1688" s="62" t="str">
        <f>IF(A1688="","",A1688&amp;"|"&amp;O1688)</f>
        <v/>
      </c>
    </row>
    <row r="1689">
      <c r="A1689" s="60" t="n"/>
      <c r="B1689" s="63" t="n"/>
      <c r="C1689" s="63" t="n"/>
      <c r="D1689" s="67" t="n"/>
      <c r="E1689" s="68" t="n"/>
      <c r="F1689" s="69" t="n"/>
      <c r="G1689" s="70" t="n"/>
      <c r="H1689" s="62" t="str">
        <f>IF(COUNTA(A1689:G1689)=0,"",IF(C1689&lt;&gt;"",C1689,IF(B1689="","",IFERROR(INDEX(pr_des,MATCH(B1689,pr_code,0))&amp;"",""))))</f>
        <v/>
      </c>
      <c r="I1689" s="59" t="str">
        <f>IF(B1689="","",IFERROR(INDEX(pr_unit,MATCH(B1689,pr_code,0))&amp;"",""))</f>
        <v/>
      </c>
      <c r="J1689" s="65" t="str">
        <f>IF(COUNTA(A1689:G1689)=0,"",IF(E1689&lt;&gt;"",E1689,IF(B1689="","",IFERROR(IF(INDEX(pr_price,MATCH(B1689,pr_code,0))="","",INDEX(pr_price,MATCH(B1689,pr_code,0))),""))))</f>
        <v/>
      </c>
      <c r="K1689" s="71" t="str">
        <f>IF(COUNTA(A1689:G1689)=0,"",IF(G1689&lt;&gt;"",G1689,IF(B1689="","",IFERROR(IF(INDEX(pr_rate,MATCH(B1689,pr_code,0))="","",INDEX(pr_rate,MATCH(B1689,pr_code,0))),""))))</f>
        <v/>
      </c>
      <c r="L1689" s="65" t="str">
        <f>IF(COUNTA(A1689:G1689)=0,"",IF(AND(ISNUMBER(D1689),ISNUMBER(J1689)),ROUND(D1689*J1689*(1-N(F1689)),2),0))</f>
        <v/>
      </c>
      <c r="M1689" s="62" t="str">
        <f>IF(A1689="","",IFERROR(INDEX(fa_cname,MATCH(A1689,fa_num,0))&amp;"",""))</f>
        <v/>
      </c>
      <c r="N1689" s="59" t="str">
        <f>IF(COUNTA(A1689:G1689)=0,"",IF(A1689="","N° facture manquant",IF(ISNA(MATCH(A1689,fa_num,0)),"Facture inconnue",IF(AND(B1689&lt;&gt;"",ISNA(MATCH(B1689,pr_code,0))),"Article inconnu",IF(H1689="","Désignation manquante",IF(OR(NOT(ISNUMBER(D1689)),N(D1689)&lt;=0),"Quantité invalide",IF(J1689="","Prix manquant",IF(OR(NOT(ISNUMBER(J1689)),N(J1689)&lt;0),"Prix invalide",IF(OR(AND(F1689&lt;&gt;"",NOT(ISNUMBER(F1689))),N(F1689)&lt;0,N(F1689)&gt;1),"Remise invalide",IF(K1689="","Taux de TVA manquant",IF(NOT(ISNUMBER(K1689)),"Taux de TVA invalide",IF(COUNTIF(p_rates,K1689)=0,"Taux de TVA hors liste (Paramètres)",IF(N(O1689)&gt;25,"Au-delà de 25 lignes : non imprimée","OK")))))))))))))</f>
        <v/>
      </c>
      <c r="O1689" s="59" t="str">
        <f>IF(A1689="","",COUNTIF($A$6:A1689,A1689))</f>
        <v/>
      </c>
      <c r="P1689" s="62" t="str">
        <f>IF(A1689="","",A1689&amp;"|"&amp;O1689)</f>
        <v/>
      </c>
    </row>
    <row r="1690">
      <c r="A1690" s="60" t="n"/>
      <c r="B1690" s="63" t="n"/>
      <c r="C1690" s="63" t="n"/>
      <c r="D1690" s="67" t="n"/>
      <c r="E1690" s="68" t="n"/>
      <c r="F1690" s="69" t="n"/>
      <c r="G1690" s="70" t="n"/>
      <c r="H1690" s="62" t="str">
        <f>IF(COUNTA(A1690:G1690)=0,"",IF(C1690&lt;&gt;"",C1690,IF(B1690="","",IFERROR(INDEX(pr_des,MATCH(B1690,pr_code,0))&amp;"",""))))</f>
        <v/>
      </c>
      <c r="I1690" s="59" t="str">
        <f>IF(B1690="","",IFERROR(INDEX(pr_unit,MATCH(B1690,pr_code,0))&amp;"",""))</f>
        <v/>
      </c>
      <c r="J1690" s="65" t="str">
        <f>IF(COUNTA(A1690:G1690)=0,"",IF(E1690&lt;&gt;"",E1690,IF(B1690="","",IFERROR(IF(INDEX(pr_price,MATCH(B1690,pr_code,0))="","",INDEX(pr_price,MATCH(B1690,pr_code,0))),""))))</f>
        <v/>
      </c>
      <c r="K1690" s="71" t="str">
        <f>IF(COUNTA(A1690:G1690)=0,"",IF(G1690&lt;&gt;"",G1690,IF(B1690="","",IFERROR(IF(INDEX(pr_rate,MATCH(B1690,pr_code,0))="","",INDEX(pr_rate,MATCH(B1690,pr_code,0))),""))))</f>
        <v/>
      </c>
      <c r="L1690" s="65" t="str">
        <f>IF(COUNTA(A1690:G1690)=0,"",IF(AND(ISNUMBER(D1690),ISNUMBER(J1690)),ROUND(D1690*J1690*(1-N(F1690)),2),0))</f>
        <v/>
      </c>
      <c r="M1690" s="62" t="str">
        <f>IF(A1690="","",IFERROR(INDEX(fa_cname,MATCH(A1690,fa_num,0))&amp;"",""))</f>
        <v/>
      </c>
      <c r="N1690" s="59" t="str">
        <f>IF(COUNTA(A1690:G1690)=0,"",IF(A1690="","N° facture manquant",IF(ISNA(MATCH(A1690,fa_num,0)),"Facture inconnue",IF(AND(B1690&lt;&gt;"",ISNA(MATCH(B1690,pr_code,0))),"Article inconnu",IF(H1690="","Désignation manquante",IF(OR(NOT(ISNUMBER(D1690)),N(D1690)&lt;=0),"Quantité invalide",IF(J1690="","Prix manquant",IF(OR(NOT(ISNUMBER(J1690)),N(J1690)&lt;0),"Prix invalide",IF(OR(AND(F1690&lt;&gt;"",NOT(ISNUMBER(F1690))),N(F1690)&lt;0,N(F1690)&gt;1),"Remise invalide",IF(K1690="","Taux de TVA manquant",IF(NOT(ISNUMBER(K1690)),"Taux de TVA invalide",IF(COUNTIF(p_rates,K1690)=0,"Taux de TVA hors liste (Paramètres)",IF(N(O1690)&gt;25,"Au-delà de 25 lignes : non imprimée","OK")))))))))))))</f>
        <v/>
      </c>
      <c r="O1690" s="59" t="str">
        <f>IF(A1690="","",COUNTIF($A$6:A1690,A1690))</f>
        <v/>
      </c>
      <c r="P1690" s="62" t="str">
        <f>IF(A1690="","",A1690&amp;"|"&amp;O1690)</f>
        <v/>
      </c>
    </row>
    <row r="1691">
      <c r="A1691" s="60" t="n"/>
      <c r="B1691" s="63" t="n"/>
      <c r="C1691" s="63" t="n"/>
      <c r="D1691" s="67" t="n"/>
      <c r="E1691" s="68" t="n"/>
      <c r="F1691" s="69" t="n"/>
      <c r="G1691" s="70" t="n"/>
      <c r="H1691" s="62" t="str">
        <f>IF(COUNTA(A1691:G1691)=0,"",IF(C1691&lt;&gt;"",C1691,IF(B1691="","",IFERROR(INDEX(pr_des,MATCH(B1691,pr_code,0))&amp;"",""))))</f>
        <v/>
      </c>
      <c r="I1691" s="59" t="str">
        <f>IF(B1691="","",IFERROR(INDEX(pr_unit,MATCH(B1691,pr_code,0))&amp;"",""))</f>
        <v/>
      </c>
      <c r="J1691" s="65" t="str">
        <f>IF(COUNTA(A1691:G1691)=0,"",IF(E1691&lt;&gt;"",E1691,IF(B1691="","",IFERROR(IF(INDEX(pr_price,MATCH(B1691,pr_code,0))="","",INDEX(pr_price,MATCH(B1691,pr_code,0))),""))))</f>
        <v/>
      </c>
      <c r="K1691" s="71" t="str">
        <f>IF(COUNTA(A1691:G1691)=0,"",IF(G1691&lt;&gt;"",G1691,IF(B1691="","",IFERROR(IF(INDEX(pr_rate,MATCH(B1691,pr_code,0))="","",INDEX(pr_rate,MATCH(B1691,pr_code,0))),""))))</f>
        <v/>
      </c>
      <c r="L1691" s="65" t="str">
        <f>IF(COUNTA(A1691:G1691)=0,"",IF(AND(ISNUMBER(D1691),ISNUMBER(J1691)),ROUND(D1691*J1691*(1-N(F1691)),2),0))</f>
        <v/>
      </c>
      <c r="M1691" s="62" t="str">
        <f>IF(A1691="","",IFERROR(INDEX(fa_cname,MATCH(A1691,fa_num,0))&amp;"",""))</f>
        <v/>
      </c>
      <c r="N1691" s="59" t="str">
        <f>IF(COUNTA(A1691:G1691)=0,"",IF(A1691="","N° facture manquant",IF(ISNA(MATCH(A1691,fa_num,0)),"Facture inconnue",IF(AND(B1691&lt;&gt;"",ISNA(MATCH(B1691,pr_code,0))),"Article inconnu",IF(H1691="","Désignation manquante",IF(OR(NOT(ISNUMBER(D1691)),N(D1691)&lt;=0),"Quantité invalide",IF(J1691="","Prix manquant",IF(OR(NOT(ISNUMBER(J1691)),N(J1691)&lt;0),"Prix invalide",IF(OR(AND(F1691&lt;&gt;"",NOT(ISNUMBER(F1691))),N(F1691)&lt;0,N(F1691)&gt;1),"Remise invalide",IF(K1691="","Taux de TVA manquant",IF(NOT(ISNUMBER(K1691)),"Taux de TVA invalide",IF(COUNTIF(p_rates,K1691)=0,"Taux de TVA hors liste (Paramètres)",IF(N(O1691)&gt;25,"Au-delà de 25 lignes : non imprimée","OK")))))))))))))</f>
        <v/>
      </c>
      <c r="O1691" s="59" t="str">
        <f>IF(A1691="","",COUNTIF($A$6:A1691,A1691))</f>
        <v/>
      </c>
      <c r="P1691" s="62" t="str">
        <f>IF(A1691="","",A1691&amp;"|"&amp;O1691)</f>
        <v/>
      </c>
    </row>
    <row r="1692">
      <c r="A1692" s="60" t="n"/>
      <c r="B1692" s="63" t="n"/>
      <c r="C1692" s="63" t="n"/>
      <c r="D1692" s="67" t="n"/>
      <c r="E1692" s="68" t="n"/>
      <c r="F1692" s="69" t="n"/>
      <c r="G1692" s="70" t="n"/>
      <c r="H1692" s="62" t="str">
        <f>IF(COUNTA(A1692:G1692)=0,"",IF(C1692&lt;&gt;"",C1692,IF(B1692="","",IFERROR(INDEX(pr_des,MATCH(B1692,pr_code,0))&amp;"",""))))</f>
        <v/>
      </c>
      <c r="I1692" s="59" t="str">
        <f>IF(B1692="","",IFERROR(INDEX(pr_unit,MATCH(B1692,pr_code,0))&amp;"",""))</f>
        <v/>
      </c>
      <c r="J1692" s="65" t="str">
        <f>IF(COUNTA(A1692:G1692)=0,"",IF(E1692&lt;&gt;"",E1692,IF(B1692="","",IFERROR(IF(INDEX(pr_price,MATCH(B1692,pr_code,0))="","",INDEX(pr_price,MATCH(B1692,pr_code,0))),""))))</f>
        <v/>
      </c>
      <c r="K1692" s="71" t="str">
        <f>IF(COUNTA(A1692:G1692)=0,"",IF(G1692&lt;&gt;"",G1692,IF(B1692="","",IFERROR(IF(INDEX(pr_rate,MATCH(B1692,pr_code,0))="","",INDEX(pr_rate,MATCH(B1692,pr_code,0))),""))))</f>
        <v/>
      </c>
      <c r="L1692" s="65" t="str">
        <f>IF(COUNTA(A1692:G1692)=0,"",IF(AND(ISNUMBER(D1692),ISNUMBER(J1692)),ROUND(D1692*J1692*(1-N(F1692)),2),0))</f>
        <v/>
      </c>
      <c r="M1692" s="62" t="str">
        <f>IF(A1692="","",IFERROR(INDEX(fa_cname,MATCH(A1692,fa_num,0))&amp;"",""))</f>
        <v/>
      </c>
      <c r="N1692" s="59" t="str">
        <f>IF(COUNTA(A1692:G1692)=0,"",IF(A1692="","N° facture manquant",IF(ISNA(MATCH(A1692,fa_num,0)),"Facture inconnue",IF(AND(B1692&lt;&gt;"",ISNA(MATCH(B1692,pr_code,0))),"Article inconnu",IF(H1692="","Désignation manquante",IF(OR(NOT(ISNUMBER(D1692)),N(D1692)&lt;=0),"Quantité invalide",IF(J1692="","Prix manquant",IF(OR(NOT(ISNUMBER(J1692)),N(J1692)&lt;0),"Prix invalide",IF(OR(AND(F1692&lt;&gt;"",NOT(ISNUMBER(F1692))),N(F1692)&lt;0,N(F1692)&gt;1),"Remise invalide",IF(K1692="","Taux de TVA manquant",IF(NOT(ISNUMBER(K1692)),"Taux de TVA invalide",IF(COUNTIF(p_rates,K1692)=0,"Taux de TVA hors liste (Paramètres)",IF(N(O1692)&gt;25,"Au-delà de 25 lignes : non imprimée","OK")))))))))))))</f>
        <v/>
      </c>
      <c r="O1692" s="59" t="str">
        <f>IF(A1692="","",COUNTIF($A$6:A1692,A1692))</f>
        <v/>
      </c>
      <c r="P1692" s="62" t="str">
        <f>IF(A1692="","",A1692&amp;"|"&amp;O1692)</f>
        <v/>
      </c>
    </row>
    <row r="1693">
      <c r="A1693" s="60" t="n"/>
      <c r="B1693" s="63" t="n"/>
      <c r="C1693" s="63" t="n"/>
      <c r="D1693" s="67" t="n"/>
      <c r="E1693" s="68" t="n"/>
      <c r="F1693" s="69" t="n"/>
      <c r="G1693" s="70" t="n"/>
      <c r="H1693" s="62" t="str">
        <f>IF(COUNTA(A1693:G1693)=0,"",IF(C1693&lt;&gt;"",C1693,IF(B1693="","",IFERROR(INDEX(pr_des,MATCH(B1693,pr_code,0))&amp;"",""))))</f>
        <v/>
      </c>
      <c r="I1693" s="59" t="str">
        <f>IF(B1693="","",IFERROR(INDEX(pr_unit,MATCH(B1693,pr_code,0))&amp;"",""))</f>
        <v/>
      </c>
      <c r="J1693" s="65" t="str">
        <f>IF(COUNTA(A1693:G1693)=0,"",IF(E1693&lt;&gt;"",E1693,IF(B1693="","",IFERROR(IF(INDEX(pr_price,MATCH(B1693,pr_code,0))="","",INDEX(pr_price,MATCH(B1693,pr_code,0))),""))))</f>
        <v/>
      </c>
      <c r="K1693" s="71" t="str">
        <f>IF(COUNTA(A1693:G1693)=0,"",IF(G1693&lt;&gt;"",G1693,IF(B1693="","",IFERROR(IF(INDEX(pr_rate,MATCH(B1693,pr_code,0))="","",INDEX(pr_rate,MATCH(B1693,pr_code,0))),""))))</f>
        <v/>
      </c>
      <c r="L1693" s="65" t="str">
        <f>IF(COUNTA(A1693:G1693)=0,"",IF(AND(ISNUMBER(D1693),ISNUMBER(J1693)),ROUND(D1693*J1693*(1-N(F1693)),2),0))</f>
        <v/>
      </c>
      <c r="M1693" s="62" t="str">
        <f>IF(A1693="","",IFERROR(INDEX(fa_cname,MATCH(A1693,fa_num,0))&amp;"",""))</f>
        <v/>
      </c>
      <c r="N1693" s="59" t="str">
        <f>IF(COUNTA(A1693:G1693)=0,"",IF(A1693="","N° facture manquant",IF(ISNA(MATCH(A1693,fa_num,0)),"Facture inconnue",IF(AND(B1693&lt;&gt;"",ISNA(MATCH(B1693,pr_code,0))),"Article inconnu",IF(H1693="","Désignation manquante",IF(OR(NOT(ISNUMBER(D1693)),N(D1693)&lt;=0),"Quantité invalide",IF(J1693="","Prix manquant",IF(OR(NOT(ISNUMBER(J1693)),N(J1693)&lt;0),"Prix invalide",IF(OR(AND(F1693&lt;&gt;"",NOT(ISNUMBER(F1693))),N(F1693)&lt;0,N(F1693)&gt;1),"Remise invalide",IF(K1693="","Taux de TVA manquant",IF(NOT(ISNUMBER(K1693)),"Taux de TVA invalide",IF(COUNTIF(p_rates,K1693)=0,"Taux de TVA hors liste (Paramètres)",IF(N(O1693)&gt;25,"Au-delà de 25 lignes : non imprimée","OK")))))))))))))</f>
        <v/>
      </c>
      <c r="O1693" s="59" t="str">
        <f>IF(A1693="","",COUNTIF($A$6:A1693,A1693))</f>
        <v/>
      </c>
      <c r="P1693" s="62" t="str">
        <f>IF(A1693="","",A1693&amp;"|"&amp;O1693)</f>
        <v/>
      </c>
    </row>
    <row r="1694">
      <c r="A1694" s="60" t="n"/>
      <c r="B1694" s="63" t="n"/>
      <c r="C1694" s="63" t="n"/>
      <c r="D1694" s="67" t="n"/>
      <c r="E1694" s="68" t="n"/>
      <c r="F1694" s="69" t="n"/>
      <c r="G1694" s="70" t="n"/>
      <c r="H1694" s="62" t="str">
        <f>IF(COUNTA(A1694:G1694)=0,"",IF(C1694&lt;&gt;"",C1694,IF(B1694="","",IFERROR(INDEX(pr_des,MATCH(B1694,pr_code,0))&amp;"",""))))</f>
        <v/>
      </c>
      <c r="I1694" s="59" t="str">
        <f>IF(B1694="","",IFERROR(INDEX(pr_unit,MATCH(B1694,pr_code,0))&amp;"",""))</f>
        <v/>
      </c>
      <c r="J1694" s="65" t="str">
        <f>IF(COUNTA(A1694:G1694)=0,"",IF(E1694&lt;&gt;"",E1694,IF(B1694="","",IFERROR(IF(INDEX(pr_price,MATCH(B1694,pr_code,0))="","",INDEX(pr_price,MATCH(B1694,pr_code,0))),""))))</f>
        <v/>
      </c>
      <c r="K1694" s="71" t="str">
        <f>IF(COUNTA(A1694:G1694)=0,"",IF(G1694&lt;&gt;"",G1694,IF(B1694="","",IFERROR(IF(INDEX(pr_rate,MATCH(B1694,pr_code,0))="","",INDEX(pr_rate,MATCH(B1694,pr_code,0))),""))))</f>
        <v/>
      </c>
      <c r="L1694" s="65" t="str">
        <f>IF(COUNTA(A1694:G1694)=0,"",IF(AND(ISNUMBER(D1694),ISNUMBER(J1694)),ROUND(D1694*J1694*(1-N(F1694)),2),0))</f>
        <v/>
      </c>
      <c r="M1694" s="62" t="str">
        <f>IF(A1694="","",IFERROR(INDEX(fa_cname,MATCH(A1694,fa_num,0))&amp;"",""))</f>
        <v/>
      </c>
      <c r="N1694" s="59" t="str">
        <f>IF(COUNTA(A1694:G1694)=0,"",IF(A1694="","N° facture manquant",IF(ISNA(MATCH(A1694,fa_num,0)),"Facture inconnue",IF(AND(B1694&lt;&gt;"",ISNA(MATCH(B1694,pr_code,0))),"Article inconnu",IF(H1694="","Désignation manquante",IF(OR(NOT(ISNUMBER(D1694)),N(D1694)&lt;=0),"Quantité invalide",IF(J1694="","Prix manquant",IF(OR(NOT(ISNUMBER(J1694)),N(J1694)&lt;0),"Prix invalide",IF(OR(AND(F1694&lt;&gt;"",NOT(ISNUMBER(F1694))),N(F1694)&lt;0,N(F1694)&gt;1),"Remise invalide",IF(K1694="","Taux de TVA manquant",IF(NOT(ISNUMBER(K1694)),"Taux de TVA invalide",IF(COUNTIF(p_rates,K1694)=0,"Taux de TVA hors liste (Paramètres)",IF(N(O1694)&gt;25,"Au-delà de 25 lignes : non imprimée","OK")))))))))))))</f>
        <v/>
      </c>
      <c r="O1694" s="59" t="str">
        <f>IF(A1694="","",COUNTIF($A$6:A1694,A1694))</f>
        <v/>
      </c>
      <c r="P1694" s="62" t="str">
        <f>IF(A1694="","",A1694&amp;"|"&amp;O1694)</f>
        <v/>
      </c>
    </row>
    <row r="1695">
      <c r="A1695" s="60" t="n"/>
      <c r="B1695" s="63" t="n"/>
      <c r="C1695" s="63" t="n"/>
      <c r="D1695" s="67" t="n"/>
      <c r="E1695" s="68" t="n"/>
      <c r="F1695" s="69" t="n"/>
      <c r="G1695" s="70" t="n"/>
      <c r="H1695" s="62" t="str">
        <f>IF(COUNTA(A1695:G1695)=0,"",IF(C1695&lt;&gt;"",C1695,IF(B1695="","",IFERROR(INDEX(pr_des,MATCH(B1695,pr_code,0))&amp;"",""))))</f>
        <v/>
      </c>
      <c r="I1695" s="59" t="str">
        <f>IF(B1695="","",IFERROR(INDEX(pr_unit,MATCH(B1695,pr_code,0))&amp;"",""))</f>
        <v/>
      </c>
      <c r="J1695" s="65" t="str">
        <f>IF(COUNTA(A1695:G1695)=0,"",IF(E1695&lt;&gt;"",E1695,IF(B1695="","",IFERROR(IF(INDEX(pr_price,MATCH(B1695,pr_code,0))="","",INDEX(pr_price,MATCH(B1695,pr_code,0))),""))))</f>
        <v/>
      </c>
      <c r="K1695" s="71" t="str">
        <f>IF(COUNTA(A1695:G1695)=0,"",IF(G1695&lt;&gt;"",G1695,IF(B1695="","",IFERROR(IF(INDEX(pr_rate,MATCH(B1695,pr_code,0))="","",INDEX(pr_rate,MATCH(B1695,pr_code,0))),""))))</f>
        <v/>
      </c>
      <c r="L1695" s="65" t="str">
        <f>IF(COUNTA(A1695:G1695)=0,"",IF(AND(ISNUMBER(D1695),ISNUMBER(J1695)),ROUND(D1695*J1695*(1-N(F1695)),2),0))</f>
        <v/>
      </c>
      <c r="M1695" s="62" t="str">
        <f>IF(A1695="","",IFERROR(INDEX(fa_cname,MATCH(A1695,fa_num,0))&amp;"",""))</f>
        <v/>
      </c>
      <c r="N1695" s="59" t="str">
        <f>IF(COUNTA(A1695:G1695)=0,"",IF(A1695="","N° facture manquant",IF(ISNA(MATCH(A1695,fa_num,0)),"Facture inconnue",IF(AND(B1695&lt;&gt;"",ISNA(MATCH(B1695,pr_code,0))),"Article inconnu",IF(H1695="","Désignation manquante",IF(OR(NOT(ISNUMBER(D1695)),N(D1695)&lt;=0),"Quantité invalide",IF(J1695="","Prix manquant",IF(OR(NOT(ISNUMBER(J1695)),N(J1695)&lt;0),"Prix invalide",IF(OR(AND(F1695&lt;&gt;"",NOT(ISNUMBER(F1695))),N(F1695)&lt;0,N(F1695)&gt;1),"Remise invalide",IF(K1695="","Taux de TVA manquant",IF(NOT(ISNUMBER(K1695)),"Taux de TVA invalide",IF(COUNTIF(p_rates,K1695)=0,"Taux de TVA hors liste (Paramètres)",IF(N(O1695)&gt;25,"Au-delà de 25 lignes : non imprimée","OK")))))))))))))</f>
        <v/>
      </c>
      <c r="O1695" s="59" t="str">
        <f>IF(A1695="","",COUNTIF($A$6:A1695,A1695))</f>
        <v/>
      </c>
      <c r="P1695" s="62" t="str">
        <f>IF(A1695="","",A1695&amp;"|"&amp;O1695)</f>
        <v/>
      </c>
    </row>
    <row r="1696">
      <c r="A1696" s="60" t="n"/>
      <c r="B1696" s="63" t="n"/>
      <c r="C1696" s="63" t="n"/>
      <c r="D1696" s="67" t="n"/>
      <c r="E1696" s="68" t="n"/>
      <c r="F1696" s="69" t="n"/>
      <c r="G1696" s="70" t="n"/>
      <c r="H1696" s="62" t="str">
        <f>IF(COUNTA(A1696:G1696)=0,"",IF(C1696&lt;&gt;"",C1696,IF(B1696="","",IFERROR(INDEX(pr_des,MATCH(B1696,pr_code,0))&amp;"",""))))</f>
        <v/>
      </c>
      <c r="I1696" s="59" t="str">
        <f>IF(B1696="","",IFERROR(INDEX(pr_unit,MATCH(B1696,pr_code,0))&amp;"",""))</f>
        <v/>
      </c>
      <c r="J1696" s="65" t="str">
        <f>IF(COUNTA(A1696:G1696)=0,"",IF(E1696&lt;&gt;"",E1696,IF(B1696="","",IFERROR(IF(INDEX(pr_price,MATCH(B1696,pr_code,0))="","",INDEX(pr_price,MATCH(B1696,pr_code,0))),""))))</f>
        <v/>
      </c>
      <c r="K1696" s="71" t="str">
        <f>IF(COUNTA(A1696:G1696)=0,"",IF(G1696&lt;&gt;"",G1696,IF(B1696="","",IFERROR(IF(INDEX(pr_rate,MATCH(B1696,pr_code,0))="","",INDEX(pr_rate,MATCH(B1696,pr_code,0))),""))))</f>
        <v/>
      </c>
      <c r="L1696" s="65" t="str">
        <f>IF(COUNTA(A1696:G1696)=0,"",IF(AND(ISNUMBER(D1696),ISNUMBER(J1696)),ROUND(D1696*J1696*(1-N(F1696)),2),0))</f>
        <v/>
      </c>
      <c r="M1696" s="62" t="str">
        <f>IF(A1696="","",IFERROR(INDEX(fa_cname,MATCH(A1696,fa_num,0))&amp;"",""))</f>
        <v/>
      </c>
      <c r="N1696" s="59" t="str">
        <f>IF(COUNTA(A1696:G1696)=0,"",IF(A1696="","N° facture manquant",IF(ISNA(MATCH(A1696,fa_num,0)),"Facture inconnue",IF(AND(B1696&lt;&gt;"",ISNA(MATCH(B1696,pr_code,0))),"Article inconnu",IF(H1696="","Désignation manquante",IF(OR(NOT(ISNUMBER(D1696)),N(D1696)&lt;=0),"Quantité invalide",IF(J1696="","Prix manquant",IF(OR(NOT(ISNUMBER(J1696)),N(J1696)&lt;0),"Prix invalide",IF(OR(AND(F1696&lt;&gt;"",NOT(ISNUMBER(F1696))),N(F1696)&lt;0,N(F1696)&gt;1),"Remise invalide",IF(K1696="","Taux de TVA manquant",IF(NOT(ISNUMBER(K1696)),"Taux de TVA invalide",IF(COUNTIF(p_rates,K1696)=0,"Taux de TVA hors liste (Paramètres)",IF(N(O1696)&gt;25,"Au-delà de 25 lignes : non imprimée","OK")))))))))))))</f>
        <v/>
      </c>
      <c r="O1696" s="59" t="str">
        <f>IF(A1696="","",COUNTIF($A$6:A1696,A1696))</f>
        <v/>
      </c>
      <c r="P1696" s="62" t="str">
        <f>IF(A1696="","",A1696&amp;"|"&amp;O1696)</f>
        <v/>
      </c>
    </row>
    <row r="1697">
      <c r="A1697" s="60" t="n"/>
      <c r="B1697" s="63" t="n"/>
      <c r="C1697" s="63" t="n"/>
      <c r="D1697" s="67" t="n"/>
      <c r="E1697" s="68" t="n"/>
      <c r="F1697" s="69" t="n"/>
      <c r="G1697" s="70" t="n"/>
      <c r="H1697" s="62" t="str">
        <f>IF(COUNTA(A1697:G1697)=0,"",IF(C1697&lt;&gt;"",C1697,IF(B1697="","",IFERROR(INDEX(pr_des,MATCH(B1697,pr_code,0))&amp;"",""))))</f>
        <v/>
      </c>
      <c r="I1697" s="59" t="str">
        <f>IF(B1697="","",IFERROR(INDEX(pr_unit,MATCH(B1697,pr_code,0))&amp;"",""))</f>
        <v/>
      </c>
      <c r="J1697" s="65" t="str">
        <f>IF(COUNTA(A1697:G1697)=0,"",IF(E1697&lt;&gt;"",E1697,IF(B1697="","",IFERROR(IF(INDEX(pr_price,MATCH(B1697,pr_code,0))="","",INDEX(pr_price,MATCH(B1697,pr_code,0))),""))))</f>
        <v/>
      </c>
      <c r="K1697" s="71" t="str">
        <f>IF(COUNTA(A1697:G1697)=0,"",IF(G1697&lt;&gt;"",G1697,IF(B1697="","",IFERROR(IF(INDEX(pr_rate,MATCH(B1697,pr_code,0))="","",INDEX(pr_rate,MATCH(B1697,pr_code,0))),""))))</f>
        <v/>
      </c>
      <c r="L1697" s="65" t="str">
        <f>IF(COUNTA(A1697:G1697)=0,"",IF(AND(ISNUMBER(D1697),ISNUMBER(J1697)),ROUND(D1697*J1697*(1-N(F1697)),2),0))</f>
        <v/>
      </c>
      <c r="M1697" s="62" t="str">
        <f>IF(A1697="","",IFERROR(INDEX(fa_cname,MATCH(A1697,fa_num,0))&amp;"",""))</f>
        <v/>
      </c>
      <c r="N1697" s="59" t="str">
        <f>IF(COUNTA(A1697:G1697)=0,"",IF(A1697="","N° facture manquant",IF(ISNA(MATCH(A1697,fa_num,0)),"Facture inconnue",IF(AND(B1697&lt;&gt;"",ISNA(MATCH(B1697,pr_code,0))),"Article inconnu",IF(H1697="","Désignation manquante",IF(OR(NOT(ISNUMBER(D1697)),N(D1697)&lt;=0),"Quantité invalide",IF(J1697="","Prix manquant",IF(OR(NOT(ISNUMBER(J1697)),N(J1697)&lt;0),"Prix invalide",IF(OR(AND(F1697&lt;&gt;"",NOT(ISNUMBER(F1697))),N(F1697)&lt;0,N(F1697)&gt;1),"Remise invalide",IF(K1697="","Taux de TVA manquant",IF(NOT(ISNUMBER(K1697)),"Taux de TVA invalide",IF(COUNTIF(p_rates,K1697)=0,"Taux de TVA hors liste (Paramètres)",IF(N(O1697)&gt;25,"Au-delà de 25 lignes : non imprimée","OK")))))))))))))</f>
        <v/>
      </c>
      <c r="O1697" s="59" t="str">
        <f>IF(A1697="","",COUNTIF($A$6:A1697,A1697))</f>
        <v/>
      </c>
      <c r="P1697" s="62" t="str">
        <f>IF(A1697="","",A1697&amp;"|"&amp;O1697)</f>
        <v/>
      </c>
    </row>
    <row r="1698">
      <c r="A1698" s="60" t="n"/>
      <c r="B1698" s="63" t="n"/>
      <c r="C1698" s="63" t="n"/>
      <c r="D1698" s="67" t="n"/>
      <c r="E1698" s="68" t="n"/>
      <c r="F1698" s="69" t="n"/>
      <c r="G1698" s="70" t="n"/>
      <c r="H1698" s="62" t="str">
        <f>IF(COUNTA(A1698:G1698)=0,"",IF(C1698&lt;&gt;"",C1698,IF(B1698="","",IFERROR(INDEX(pr_des,MATCH(B1698,pr_code,0))&amp;"",""))))</f>
        <v/>
      </c>
      <c r="I1698" s="59" t="str">
        <f>IF(B1698="","",IFERROR(INDEX(pr_unit,MATCH(B1698,pr_code,0))&amp;"",""))</f>
        <v/>
      </c>
      <c r="J1698" s="65" t="str">
        <f>IF(COUNTA(A1698:G1698)=0,"",IF(E1698&lt;&gt;"",E1698,IF(B1698="","",IFERROR(IF(INDEX(pr_price,MATCH(B1698,pr_code,0))="","",INDEX(pr_price,MATCH(B1698,pr_code,0))),""))))</f>
        <v/>
      </c>
      <c r="K1698" s="71" t="str">
        <f>IF(COUNTA(A1698:G1698)=0,"",IF(G1698&lt;&gt;"",G1698,IF(B1698="","",IFERROR(IF(INDEX(pr_rate,MATCH(B1698,pr_code,0))="","",INDEX(pr_rate,MATCH(B1698,pr_code,0))),""))))</f>
        <v/>
      </c>
      <c r="L1698" s="65" t="str">
        <f>IF(COUNTA(A1698:G1698)=0,"",IF(AND(ISNUMBER(D1698),ISNUMBER(J1698)),ROUND(D1698*J1698*(1-N(F1698)),2),0))</f>
        <v/>
      </c>
      <c r="M1698" s="62" t="str">
        <f>IF(A1698="","",IFERROR(INDEX(fa_cname,MATCH(A1698,fa_num,0))&amp;"",""))</f>
        <v/>
      </c>
      <c r="N1698" s="59" t="str">
        <f>IF(COUNTA(A1698:G1698)=0,"",IF(A1698="","N° facture manquant",IF(ISNA(MATCH(A1698,fa_num,0)),"Facture inconnue",IF(AND(B1698&lt;&gt;"",ISNA(MATCH(B1698,pr_code,0))),"Article inconnu",IF(H1698="","Désignation manquante",IF(OR(NOT(ISNUMBER(D1698)),N(D1698)&lt;=0),"Quantité invalide",IF(J1698="","Prix manquant",IF(OR(NOT(ISNUMBER(J1698)),N(J1698)&lt;0),"Prix invalide",IF(OR(AND(F1698&lt;&gt;"",NOT(ISNUMBER(F1698))),N(F1698)&lt;0,N(F1698)&gt;1),"Remise invalide",IF(K1698="","Taux de TVA manquant",IF(NOT(ISNUMBER(K1698)),"Taux de TVA invalide",IF(COUNTIF(p_rates,K1698)=0,"Taux de TVA hors liste (Paramètres)",IF(N(O1698)&gt;25,"Au-delà de 25 lignes : non imprimée","OK")))))))))))))</f>
        <v/>
      </c>
      <c r="O1698" s="59" t="str">
        <f>IF(A1698="","",COUNTIF($A$6:A1698,A1698))</f>
        <v/>
      </c>
      <c r="P1698" s="62" t="str">
        <f>IF(A1698="","",A1698&amp;"|"&amp;O1698)</f>
        <v/>
      </c>
    </row>
    <row r="1699">
      <c r="A1699" s="60" t="n"/>
      <c r="B1699" s="63" t="n"/>
      <c r="C1699" s="63" t="n"/>
      <c r="D1699" s="67" t="n"/>
      <c r="E1699" s="68" t="n"/>
      <c r="F1699" s="69" t="n"/>
      <c r="G1699" s="70" t="n"/>
      <c r="H1699" s="62" t="str">
        <f>IF(COUNTA(A1699:G1699)=0,"",IF(C1699&lt;&gt;"",C1699,IF(B1699="","",IFERROR(INDEX(pr_des,MATCH(B1699,pr_code,0))&amp;"",""))))</f>
        <v/>
      </c>
      <c r="I1699" s="59" t="str">
        <f>IF(B1699="","",IFERROR(INDEX(pr_unit,MATCH(B1699,pr_code,0))&amp;"",""))</f>
        <v/>
      </c>
      <c r="J1699" s="65" t="str">
        <f>IF(COUNTA(A1699:G1699)=0,"",IF(E1699&lt;&gt;"",E1699,IF(B1699="","",IFERROR(IF(INDEX(pr_price,MATCH(B1699,pr_code,0))="","",INDEX(pr_price,MATCH(B1699,pr_code,0))),""))))</f>
        <v/>
      </c>
      <c r="K1699" s="71" t="str">
        <f>IF(COUNTA(A1699:G1699)=0,"",IF(G1699&lt;&gt;"",G1699,IF(B1699="","",IFERROR(IF(INDEX(pr_rate,MATCH(B1699,pr_code,0))="","",INDEX(pr_rate,MATCH(B1699,pr_code,0))),""))))</f>
        <v/>
      </c>
      <c r="L1699" s="65" t="str">
        <f>IF(COUNTA(A1699:G1699)=0,"",IF(AND(ISNUMBER(D1699),ISNUMBER(J1699)),ROUND(D1699*J1699*(1-N(F1699)),2),0))</f>
        <v/>
      </c>
      <c r="M1699" s="62" t="str">
        <f>IF(A1699="","",IFERROR(INDEX(fa_cname,MATCH(A1699,fa_num,0))&amp;"",""))</f>
        <v/>
      </c>
      <c r="N1699" s="59" t="str">
        <f>IF(COUNTA(A1699:G1699)=0,"",IF(A1699="","N° facture manquant",IF(ISNA(MATCH(A1699,fa_num,0)),"Facture inconnue",IF(AND(B1699&lt;&gt;"",ISNA(MATCH(B1699,pr_code,0))),"Article inconnu",IF(H1699="","Désignation manquante",IF(OR(NOT(ISNUMBER(D1699)),N(D1699)&lt;=0),"Quantité invalide",IF(J1699="","Prix manquant",IF(OR(NOT(ISNUMBER(J1699)),N(J1699)&lt;0),"Prix invalide",IF(OR(AND(F1699&lt;&gt;"",NOT(ISNUMBER(F1699))),N(F1699)&lt;0,N(F1699)&gt;1),"Remise invalide",IF(K1699="","Taux de TVA manquant",IF(NOT(ISNUMBER(K1699)),"Taux de TVA invalide",IF(COUNTIF(p_rates,K1699)=0,"Taux de TVA hors liste (Paramètres)",IF(N(O1699)&gt;25,"Au-delà de 25 lignes : non imprimée","OK")))))))))))))</f>
        <v/>
      </c>
      <c r="O1699" s="59" t="str">
        <f>IF(A1699="","",COUNTIF($A$6:A1699,A1699))</f>
        <v/>
      </c>
      <c r="P1699" s="62" t="str">
        <f>IF(A1699="","",A1699&amp;"|"&amp;O1699)</f>
        <v/>
      </c>
    </row>
    <row r="1700">
      <c r="A1700" s="60" t="n"/>
      <c r="B1700" s="63" t="n"/>
      <c r="C1700" s="63" t="n"/>
      <c r="D1700" s="67" t="n"/>
      <c r="E1700" s="68" t="n"/>
      <c r="F1700" s="69" t="n"/>
      <c r="G1700" s="70" t="n"/>
      <c r="H1700" s="62" t="str">
        <f>IF(COUNTA(A1700:G1700)=0,"",IF(C1700&lt;&gt;"",C1700,IF(B1700="","",IFERROR(INDEX(pr_des,MATCH(B1700,pr_code,0))&amp;"",""))))</f>
        <v/>
      </c>
      <c r="I1700" s="59" t="str">
        <f>IF(B1700="","",IFERROR(INDEX(pr_unit,MATCH(B1700,pr_code,0))&amp;"",""))</f>
        <v/>
      </c>
      <c r="J1700" s="65" t="str">
        <f>IF(COUNTA(A1700:G1700)=0,"",IF(E1700&lt;&gt;"",E1700,IF(B1700="","",IFERROR(IF(INDEX(pr_price,MATCH(B1700,pr_code,0))="","",INDEX(pr_price,MATCH(B1700,pr_code,0))),""))))</f>
        <v/>
      </c>
      <c r="K1700" s="71" t="str">
        <f>IF(COUNTA(A1700:G1700)=0,"",IF(G1700&lt;&gt;"",G1700,IF(B1700="","",IFERROR(IF(INDEX(pr_rate,MATCH(B1700,pr_code,0))="","",INDEX(pr_rate,MATCH(B1700,pr_code,0))),""))))</f>
        <v/>
      </c>
      <c r="L1700" s="65" t="str">
        <f>IF(COUNTA(A1700:G1700)=0,"",IF(AND(ISNUMBER(D1700),ISNUMBER(J1700)),ROUND(D1700*J1700*(1-N(F1700)),2),0))</f>
        <v/>
      </c>
      <c r="M1700" s="62" t="str">
        <f>IF(A1700="","",IFERROR(INDEX(fa_cname,MATCH(A1700,fa_num,0))&amp;"",""))</f>
        <v/>
      </c>
      <c r="N1700" s="59" t="str">
        <f>IF(COUNTA(A1700:G1700)=0,"",IF(A1700="","N° facture manquant",IF(ISNA(MATCH(A1700,fa_num,0)),"Facture inconnue",IF(AND(B1700&lt;&gt;"",ISNA(MATCH(B1700,pr_code,0))),"Article inconnu",IF(H1700="","Désignation manquante",IF(OR(NOT(ISNUMBER(D1700)),N(D1700)&lt;=0),"Quantité invalide",IF(J1700="","Prix manquant",IF(OR(NOT(ISNUMBER(J1700)),N(J1700)&lt;0),"Prix invalide",IF(OR(AND(F1700&lt;&gt;"",NOT(ISNUMBER(F1700))),N(F1700)&lt;0,N(F1700)&gt;1),"Remise invalide",IF(K1700="","Taux de TVA manquant",IF(NOT(ISNUMBER(K1700)),"Taux de TVA invalide",IF(COUNTIF(p_rates,K1700)=0,"Taux de TVA hors liste (Paramètres)",IF(N(O1700)&gt;25,"Au-delà de 25 lignes : non imprimée","OK")))))))))))))</f>
        <v/>
      </c>
      <c r="O1700" s="59" t="str">
        <f>IF(A1700="","",COUNTIF($A$6:A1700,A1700))</f>
        <v/>
      </c>
      <c r="P1700" s="62" t="str">
        <f>IF(A1700="","",A1700&amp;"|"&amp;O1700)</f>
        <v/>
      </c>
    </row>
    <row r="1701">
      <c r="A1701" s="60" t="n"/>
      <c r="B1701" s="63" t="n"/>
      <c r="C1701" s="63" t="n"/>
      <c r="D1701" s="67" t="n"/>
      <c r="E1701" s="68" t="n"/>
      <c r="F1701" s="69" t="n"/>
      <c r="G1701" s="70" t="n"/>
      <c r="H1701" s="62" t="str">
        <f>IF(COUNTA(A1701:G1701)=0,"",IF(C1701&lt;&gt;"",C1701,IF(B1701="","",IFERROR(INDEX(pr_des,MATCH(B1701,pr_code,0))&amp;"",""))))</f>
        <v/>
      </c>
      <c r="I1701" s="59" t="str">
        <f>IF(B1701="","",IFERROR(INDEX(pr_unit,MATCH(B1701,pr_code,0))&amp;"",""))</f>
        <v/>
      </c>
      <c r="J1701" s="65" t="str">
        <f>IF(COUNTA(A1701:G1701)=0,"",IF(E1701&lt;&gt;"",E1701,IF(B1701="","",IFERROR(IF(INDEX(pr_price,MATCH(B1701,pr_code,0))="","",INDEX(pr_price,MATCH(B1701,pr_code,0))),""))))</f>
        <v/>
      </c>
      <c r="K1701" s="71" t="str">
        <f>IF(COUNTA(A1701:G1701)=0,"",IF(G1701&lt;&gt;"",G1701,IF(B1701="","",IFERROR(IF(INDEX(pr_rate,MATCH(B1701,pr_code,0))="","",INDEX(pr_rate,MATCH(B1701,pr_code,0))),""))))</f>
        <v/>
      </c>
      <c r="L1701" s="65" t="str">
        <f>IF(COUNTA(A1701:G1701)=0,"",IF(AND(ISNUMBER(D1701),ISNUMBER(J1701)),ROUND(D1701*J1701*(1-N(F1701)),2),0))</f>
        <v/>
      </c>
      <c r="M1701" s="62" t="str">
        <f>IF(A1701="","",IFERROR(INDEX(fa_cname,MATCH(A1701,fa_num,0))&amp;"",""))</f>
        <v/>
      </c>
      <c r="N1701" s="59" t="str">
        <f>IF(COUNTA(A1701:G1701)=0,"",IF(A1701="","N° facture manquant",IF(ISNA(MATCH(A1701,fa_num,0)),"Facture inconnue",IF(AND(B1701&lt;&gt;"",ISNA(MATCH(B1701,pr_code,0))),"Article inconnu",IF(H1701="","Désignation manquante",IF(OR(NOT(ISNUMBER(D1701)),N(D1701)&lt;=0),"Quantité invalide",IF(J1701="","Prix manquant",IF(OR(NOT(ISNUMBER(J1701)),N(J1701)&lt;0),"Prix invalide",IF(OR(AND(F1701&lt;&gt;"",NOT(ISNUMBER(F1701))),N(F1701)&lt;0,N(F1701)&gt;1),"Remise invalide",IF(K1701="","Taux de TVA manquant",IF(NOT(ISNUMBER(K1701)),"Taux de TVA invalide",IF(COUNTIF(p_rates,K1701)=0,"Taux de TVA hors liste (Paramètres)",IF(N(O1701)&gt;25,"Au-delà de 25 lignes : non imprimée","OK")))))))))))))</f>
        <v/>
      </c>
      <c r="O1701" s="59" t="str">
        <f>IF(A1701="","",COUNTIF($A$6:A1701,A1701))</f>
        <v/>
      </c>
      <c r="P1701" s="62" t="str">
        <f>IF(A1701="","",A1701&amp;"|"&amp;O1701)</f>
        <v/>
      </c>
    </row>
    <row r="1702">
      <c r="A1702" s="60" t="n"/>
      <c r="B1702" s="63" t="n"/>
      <c r="C1702" s="63" t="n"/>
      <c r="D1702" s="67" t="n"/>
      <c r="E1702" s="68" t="n"/>
      <c r="F1702" s="69" t="n"/>
      <c r="G1702" s="70" t="n"/>
      <c r="H1702" s="62" t="str">
        <f>IF(COUNTA(A1702:G1702)=0,"",IF(C1702&lt;&gt;"",C1702,IF(B1702="","",IFERROR(INDEX(pr_des,MATCH(B1702,pr_code,0))&amp;"",""))))</f>
        <v/>
      </c>
      <c r="I1702" s="59" t="str">
        <f>IF(B1702="","",IFERROR(INDEX(pr_unit,MATCH(B1702,pr_code,0))&amp;"",""))</f>
        <v/>
      </c>
      <c r="J1702" s="65" t="str">
        <f>IF(COUNTA(A1702:G1702)=0,"",IF(E1702&lt;&gt;"",E1702,IF(B1702="","",IFERROR(IF(INDEX(pr_price,MATCH(B1702,pr_code,0))="","",INDEX(pr_price,MATCH(B1702,pr_code,0))),""))))</f>
        <v/>
      </c>
      <c r="K1702" s="71" t="str">
        <f>IF(COUNTA(A1702:G1702)=0,"",IF(G1702&lt;&gt;"",G1702,IF(B1702="","",IFERROR(IF(INDEX(pr_rate,MATCH(B1702,pr_code,0))="","",INDEX(pr_rate,MATCH(B1702,pr_code,0))),""))))</f>
        <v/>
      </c>
      <c r="L1702" s="65" t="str">
        <f>IF(COUNTA(A1702:G1702)=0,"",IF(AND(ISNUMBER(D1702),ISNUMBER(J1702)),ROUND(D1702*J1702*(1-N(F1702)),2),0))</f>
        <v/>
      </c>
      <c r="M1702" s="62" t="str">
        <f>IF(A1702="","",IFERROR(INDEX(fa_cname,MATCH(A1702,fa_num,0))&amp;"",""))</f>
        <v/>
      </c>
      <c r="N1702" s="59" t="str">
        <f>IF(COUNTA(A1702:G1702)=0,"",IF(A1702="","N° facture manquant",IF(ISNA(MATCH(A1702,fa_num,0)),"Facture inconnue",IF(AND(B1702&lt;&gt;"",ISNA(MATCH(B1702,pr_code,0))),"Article inconnu",IF(H1702="","Désignation manquante",IF(OR(NOT(ISNUMBER(D1702)),N(D1702)&lt;=0),"Quantité invalide",IF(J1702="","Prix manquant",IF(OR(NOT(ISNUMBER(J1702)),N(J1702)&lt;0),"Prix invalide",IF(OR(AND(F1702&lt;&gt;"",NOT(ISNUMBER(F1702))),N(F1702)&lt;0,N(F1702)&gt;1),"Remise invalide",IF(K1702="","Taux de TVA manquant",IF(NOT(ISNUMBER(K1702)),"Taux de TVA invalide",IF(COUNTIF(p_rates,K1702)=0,"Taux de TVA hors liste (Paramètres)",IF(N(O1702)&gt;25,"Au-delà de 25 lignes : non imprimée","OK")))))))))))))</f>
        <v/>
      </c>
      <c r="O1702" s="59" t="str">
        <f>IF(A1702="","",COUNTIF($A$6:A1702,A1702))</f>
        <v/>
      </c>
      <c r="P1702" s="62" t="str">
        <f>IF(A1702="","",A1702&amp;"|"&amp;O1702)</f>
        <v/>
      </c>
    </row>
    <row r="1703">
      <c r="A1703" s="60" t="n"/>
      <c r="B1703" s="63" t="n"/>
      <c r="C1703" s="63" t="n"/>
      <c r="D1703" s="67" t="n"/>
      <c r="E1703" s="68" t="n"/>
      <c r="F1703" s="69" t="n"/>
      <c r="G1703" s="70" t="n"/>
      <c r="H1703" s="62" t="str">
        <f>IF(COUNTA(A1703:G1703)=0,"",IF(C1703&lt;&gt;"",C1703,IF(B1703="","",IFERROR(INDEX(pr_des,MATCH(B1703,pr_code,0))&amp;"",""))))</f>
        <v/>
      </c>
      <c r="I1703" s="59" t="str">
        <f>IF(B1703="","",IFERROR(INDEX(pr_unit,MATCH(B1703,pr_code,0))&amp;"",""))</f>
        <v/>
      </c>
      <c r="J1703" s="65" t="str">
        <f>IF(COUNTA(A1703:G1703)=0,"",IF(E1703&lt;&gt;"",E1703,IF(B1703="","",IFERROR(IF(INDEX(pr_price,MATCH(B1703,pr_code,0))="","",INDEX(pr_price,MATCH(B1703,pr_code,0))),""))))</f>
        <v/>
      </c>
      <c r="K1703" s="71" t="str">
        <f>IF(COUNTA(A1703:G1703)=0,"",IF(G1703&lt;&gt;"",G1703,IF(B1703="","",IFERROR(IF(INDEX(pr_rate,MATCH(B1703,pr_code,0))="","",INDEX(pr_rate,MATCH(B1703,pr_code,0))),""))))</f>
        <v/>
      </c>
      <c r="L1703" s="65" t="str">
        <f>IF(COUNTA(A1703:G1703)=0,"",IF(AND(ISNUMBER(D1703),ISNUMBER(J1703)),ROUND(D1703*J1703*(1-N(F1703)),2),0))</f>
        <v/>
      </c>
      <c r="M1703" s="62" t="str">
        <f>IF(A1703="","",IFERROR(INDEX(fa_cname,MATCH(A1703,fa_num,0))&amp;"",""))</f>
        <v/>
      </c>
      <c r="N1703" s="59" t="str">
        <f>IF(COUNTA(A1703:G1703)=0,"",IF(A1703="","N° facture manquant",IF(ISNA(MATCH(A1703,fa_num,0)),"Facture inconnue",IF(AND(B1703&lt;&gt;"",ISNA(MATCH(B1703,pr_code,0))),"Article inconnu",IF(H1703="","Désignation manquante",IF(OR(NOT(ISNUMBER(D1703)),N(D1703)&lt;=0),"Quantité invalide",IF(J1703="","Prix manquant",IF(OR(NOT(ISNUMBER(J1703)),N(J1703)&lt;0),"Prix invalide",IF(OR(AND(F1703&lt;&gt;"",NOT(ISNUMBER(F1703))),N(F1703)&lt;0,N(F1703)&gt;1),"Remise invalide",IF(K1703="","Taux de TVA manquant",IF(NOT(ISNUMBER(K1703)),"Taux de TVA invalide",IF(COUNTIF(p_rates,K1703)=0,"Taux de TVA hors liste (Paramètres)",IF(N(O1703)&gt;25,"Au-delà de 25 lignes : non imprimée","OK")))))))))))))</f>
        <v/>
      </c>
      <c r="O1703" s="59" t="str">
        <f>IF(A1703="","",COUNTIF($A$6:A1703,A1703))</f>
        <v/>
      </c>
      <c r="P1703" s="62" t="str">
        <f>IF(A1703="","",A1703&amp;"|"&amp;O1703)</f>
        <v/>
      </c>
    </row>
    <row r="1704">
      <c r="A1704" s="60" t="n"/>
      <c r="B1704" s="63" t="n"/>
      <c r="C1704" s="63" t="n"/>
      <c r="D1704" s="67" t="n"/>
      <c r="E1704" s="68" t="n"/>
      <c r="F1704" s="69" t="n"/>
      <c r="G1704" s="70" t="n"/>
      <c r="H1704" s="62" t="str">
        <f>IF(COUNTA(A1704:G1704)=0,"",IF(C1704&lt;&gt;"",C1704,IF(B1704="","",IFERROR(INDEX(pr_des,MATCH(B1704,pr_code,0))&amp;"",""))))</f>
        <v/>
      </c>
      <c r="I1704" s="59" t="str">
        <f>IF(B1704="","",IFERROR(INDEX(pr_unit,MATCH(B1704,pr_code,0))&amp;"",""))</f>
        <v/>
      </c>
      <c r="J1704" s="65" t="str">
        <f>IF(COUNTA(A1704:G1704)=0,"",IF(E1704&lt;&gt;"",E1704,IF(B1704="","",IFERROR(IF(INDEX(pr_price,MATCH(B1704,pr_code,0))="","",INDEX(pr_price,MATCH(B1704,pr_code,0))),""))))</f>
        <v/>
      </c>
      <c r="K1704" s="71" t="str">
        <f>IF(COUNTA(A1704:G1704)=0,"",IF(G1704&lt;&gt;"",G1704,IF(B1704="","",IFERROR(IF(INDEX(pr_rate,MATCH(B1704,pr_code,0))="","",INDEX(pr_rate,MATCH(B1704,pr_code,0))),""))))</f>
        <v/>
      </c>
      <c r="L1704" s="65" t="str">
        <f>IF(COUNTA(A1704:G1704)=0,"",IF(AND(ISNUMBER(D1704),ISNUMBER(J1704)),ROUND(D1704*J1704*(1-N(F1704)),2),0))</f>
        <v/>
      </c>
      <c r="M1704" s="62" t="str">
        <f>IF(A1704="","",IFERROR(INDEX(fa_cname,MATCH(A1704,fa_num,0))&amp;"",""))</f>
        <v/>
      </c>
      <c r="N1704" s="59" t="str">
        <f>IF(COUNTA(A1704:G1704)=0,"",IF(A1704="","N° facture manquant",IF(ISNA(MATCH(A1704,fa_num,0)),"Facture inconnue",IF(AND(B1704&lt;&gt;"",ISNA(MATCH(B1704,pr_code,0))),"Article inconnu",IF(H1704="","Désignation manquante",IF(OR(NOT(ISNUMBER(D1704)),N(D1704)&lt;=0),"Quantité invalide",IF(J1704="","Prix manquant",IF(OR(NOT(ISNUMBER(J1704)),N(J1704)&lt;0),"Prix invalide",IF(OR(AND(F1704&lt;&gt;"",NOT(ISNUMBER(F1704))),N(F1704)&lt;0,N(F1704)&gt;1),"Remise invalide",IF(K1704="","Taux de TVA manquant",IF(NOT(ISNUMBER(K1704)),"Taux de TVA invalide",IF(COUNTIF(p_rates,K1704)=0,"Taux de TVA hors liste (Paramètres)",IF(N(O1704)&gt;25,"Au-delà de 25 lignes : non imprimée","OK")))))))))))))</f>
        <v/>
      </c>
      <c r="O1704" s="59" t="str">
        <f>IF(A1704="","",COUNTIF($A$6:A1704,A1704))</f>
        <v/>
      </c>
      <c r="P1704" s="62" t="str">
        <f>IF(A1704="","",A1704&amp;"|"&amp;O1704)</f>
        <v/>
      </c>
    </row>
    <row r="1705">
      <c r="A1705" s="60" t="n"/>
      <c r="B1705" s="63" t="n"/>
      <c r="C1705" s="63" t="n"/>
      <c r="D1705" s="67" t="n"/>
      <c r="E1705" s="68" t="n"/>
      <c r="F1705" s="69" t="n"/>
      <c r="G1705" s="70" t="n"/>
      <c r="H1705" s="62" t="str">
        <f>IF(COUNTA(A1705:G1705)=0,"",IF(C1705&lt;&gt;"",C1705,IF(B1705="","",IFERROR(INDEX(pr_des,MATCH(B1705,pr_code,0))&amp;"",""))))</f>
        <v/>
      </c>
      <c r="I1705" s="59" t="str">
        <f>IF(B1705="","",IFERROR(INDEX(pr_unit,MATCH(B1705,pr_code,0))&amp;"",""))</f>
        <v/>
      </c>
      <c r="J1705" s="65" t="str">
        <f>IF(COUNTA(A1705:G1705)=0,"",IF(E1705&lt;&gt;"",E1705,IF(B1705="","",IFERROR(IF(INDEX(pr_price,MATCH(B1705,pr_code,0))="","",INDEX(pr_price,MATCH(B1705,pr_code,0))),""))))</f>
        <v/>
      </c>
      <c r="K1705" s="71" t="str">
        <f>IF(COUNTA(A1705:G1705)=0,"",IF(G1705&lt;&gt;"",G1705,IF(B1705="","",IFERROR(IF(INDEX(pr_rate,MATCH(B1705,pr_code,0))="","",INDEX(pr_rate,MATCH(B1705,pr_code,0))),""))))</f>
        <v/>
      </c>
      <c r="L1705" s="65" t="str">
        <f>IF(COUNTA(A1705:G1705)=0,"",IF(AND(ISNUMBER(D1705),ISNUMBER(J1705)),ROUND(D1705*J1705*(1-N(F1705)),2),0))</f>
        <v/>
      </c>
      <c r="M1705" s="62" t="str">
        <f>IF(A1705="","",IFERROR(INDEX(fa_cname,MATCH(A1705,fa_num,0))&amp;"",""))</f>
        <v/>
      </c>
      <c r="N1705" s="59" t="str">
        <f>IF(COUNTA(A1705:G1705)=0,"",IF(A1705="","N° facture manquant",IF(ISNA(MATCH(A1705,fa_num,0)),"Facture inconnue",IF(AND(B1705&lt;&gt;"",ISNA(MATCH(B1705,pr_code,0))),"Article inconnu",IF(H1705="","Désignation manquante",IF(OR(NOT(ISNUMBER(D1705)),N(D1705)&lt;=0),"Quantité invalide",IF(J1705="","Prix manquant",IF(OR(NOT(ISNUMBER(J1705)),N(J1705)&lt;0),"Prix invalide",IF(OR(AND(F1705&lt;&gt;"",NOT(ISNUMBER(F1705))),N(F1705)&lt;0,N(F1705)&gt;1),"Remise invalide",IF(K1705="","Taux de TVA manquant",IF(NOT(ISNUMBER(K1705)),"Taux de TVA invalide",IF(COUNTIF(p_rates,K1705)=0,"Taux de TVA hors liste (Paramètres)",IF(N(O1705)&gt;25,"Au-delà de 25 lignes : non imprimée","OK")))))))))))))</f>
        <v/>
      </c>
      <c r="O1705" s="59" t="str">
        <f>IF(A1705="","",COUNTIF($A$6:A1705,A1705))</f>
        <v/>
      </c>
      <c r="P1705" s="62" t="str">
        <f>IF(A1705="","",A1705&amp;"|"&amp;O1705)</f>
        <v/>
      </c>
    </row>
    <row r="1706">
      <c r="A1706" s="60" t="n"/>
      <c r="B1706" s="63" t="n"/>
      <c r="C1706" s="63" t="n"/>
      <c r="D1706" s="67" t="n"/>
      <c r="E1706" s="68" t="n"/>
      <c r="F1706" s="69" t="n"/>
      <c r="G1706" s="70" t="n"/>
      <c r="H1706" s="62" t="str">
        <f>IF(COUNTA(A1706:G1706)=0,"",IF(C1706&lt;&gt;"",C1706,IF(B1706="","",IFERROR(INDEX(pr_des,MATCH(B1706,pr_code,0))&amp;"",""))))</f>
        <v/>
      </c>
      <c r="I1706" s="59" t="str">
        <f>IF(B1706="","",IFERROR(INDEX(pr_unit,MATCH(B1706,pr_code,0))&amp;"",""))</f>
        <v/>
      </c>
      <c r="J1706" s="65" t="str">
        <f>IF(COUNTA(A1706:G1706)=0,"",IF(E1706&lt;&gt;"",E1706,IF(B1706="","",IFERROR(IF(INDEX(pr_price,MATCH(B1706,pr_code,0))="","",INDEX(pr_price,MATCH(B1706,pr_code,0))),""))))</f>
        <v/>
      </c>
      <c r="K1706" s="71" t="str">
        <f>IF(COUNTA(A1706:G1706)=0,"",IF(G1706&lt;&gt;"",G1706,IF(B1706="","",IFERROR(IF(INDEX(pr_rate,MATCH(B1706,pr_code,0))="","",INDEX(pr_rate,MATCH(B1706,pr_code,0))),""))))</f>
        <v/>
      </c>
      <c r="L1706" s="65" t="str">
        <f>IF(COUNTA(A1706:G1706)=0,"",IF(AND(ISNUMBER(D1706),ISNUMBER(J1706)),ROUND(D1706*J1706*(1-N(F1706)),2),0))</f>
        <v/>
      </c>
      <c r="M1706" s="62" t="str">
        <f>IF(A1706="","",IFERROR(INDEX(fa_cname,MATCH(A1706,fa_num,0))&amp;"",""))</f>
        <v/>
      </c>
      <c r="N1706" s="59" t="str">
        <f>IF(COUNTA(A1706:G1706)=0,"",IF(A1706="","N° facture manquant",IF(ISNA(MATCH(A1706,fa_num,0)),"Facture inconnue",IF(AND(B1706&lt;&gt;"",ISNA(MATCH(B1706,pr_code,0))),"Article inconnu",IF(H1706="","Désignation manquante",IF(OR(NOT(ISNUMBER(D1706)),N(D1706)&lt;=0),"Quantité invalide",IF(J1706="","Prix manquant",IF(OR(NOT(ISNUMBER(J1706)),N(J1706)&lt;0),"Prix invalide",IF(OR(AND(F1706&lt;&gt;"",NOT(ISNUMBER(F1706))),N(F1706)&lt;0,N(F1706)&gt;1),"Remise invalide",IF(K1706="","Taux de TVA manquant",IF(NOT(ISNUMBER(K1706)),"Taux de TVA invalide",IF(COUNTIF(p_rates,K1706)=0,"Taux de TVA hors liste (Paramètres)",IF(N(O1706)&gt;25,"Au-delà de 25 lignes : non imprimée","OK")))))))))))))</f>
        <v/>
      </c>
      <c r="O1706" s="59" t="str">
        <f>IF(A1706="","",COUNTIF($A$6:A1706,A1706))</f>
        <v/>
      </c>
      <c r="P1706" s="62" t="str">
        <f>IF(A1706="","",A1706&amp;"|"&amp;O1706)</f>
        <v/>
      </c>
    </row>
    <row r="1707">
      <c r="A1707" s="60" t="n"/>
      <c r="B1707" s="63" t="n"/>
      <c r="C1707" s="63" t="n"/>
      <c r="D1707" s="67" t="n"/>
      <c r="E1707" s="68" t="n"/>
      <c r="F1707" s="69" t="n"/>
      <c r="G1707" s="70" t="n"/>
      <c r="H1707" s="62" t="str">
        <f>IF(COUNTA(A1707:G1707)=0,"",IF(C1707&lt;&gt;"",C1707,IF(B1707="","",IFERROR(INDEX(pr_des,MATCH(B1707,pr_code,0))&amp;"",""))))</f>
        <v/>
      </c>
      <c r="I1707" s="59" t="str">
        <f>IF(B1707="","",IFERROR(INDEX(pr_unit,MATCH(B1707,pr_code,0))&amp;"",""))</f>
        <v/>
      </c>
      <c r="J1707" s="65" t="str">
        <f>IF(COUNTA(A1707:G1707)=0,"",IF(E1707&lt;&gt;"",E1707,IF(B1707="","",IFERROR(IF(INDEX(pr_price,MATCH(B1707,pr_code,0))="","",INDEX(pr_price,MATCH(B1707,pr_code,0))),""))))</f>
        <v/>
      </c>
      <c r="K1707" s="71" t="str">
        <f>IF(COUNTA(A1707:G1707)=0,"",IF(G1707&lt;&gt;"",G1707,IF(B1707="","",IFERROR(IF(INDEX(pr_rate,MATCH(B1707,pr_code,0))="","",INDEX(pr_rate,MATCH(B1707,pr_code,0))),""))))</f>
        <v/>
      </c>
      <c r="L1707" s="65" t="str">
        <f>IF(COUNTA(A1707:G1707)=0,"",IF(AND(ISNUMBER(D1707),ISNUMBER(J1707)),ROUND(D1707*J1707*(1-N(F1707)),2),0))</f>
        <v/>
      </c>
      <c r="M1707" s="62" t="str">
        <f>IF(A1707="","",IFERROR(INDEX(fa_cname,MATCH(A1707,fa_num,0))&amp;"",""))</f>
        <v/>
      </c>
      <c r="N1707" s="59" t="str">
        <f>IF(COUNTA(A1707:G1707)=0,"",IF(A1707="","N° facture manquant",IF(ISNA(MATCH(A1707,fa_num,0)),"Facture inconnue",IF(AND(B1707&lt;&gt;"",ISNA(MATCH(B1707,pr_code,0))),"Article inconnu",IF(H1707="","Désignation manquante",IF(OR(NOT(ISNUMBER(D1707)),N(D1707)&lt;=0),"Quantité invalide",IF(J1707="","Prix manquant",IF(OR(NOT(ISNUMBER(J1707)),N(J1707)&lt;0),"Prix invalide",IF(OR(AND(F1707&lt;&gt;"",NOT(ISNUMBER(F1707))),N(F1707)&lt;0,N(F1707)&gt;1),"Remise invalide",IF(K1707="","Taux de TVA manquant",IF(NOT(ISNUMBER(K1707)),"Taux de TVA invalide",IF(COUNTIF(p_rates,K1707)=0,"Taux de TVA hors liste (Paramètres)",IF(N(O1707)&gt;25,"Au-delà de 25 lignes : non imprimée","OK")))))))))))))</f>
        <v/>
      </c>
      <c r="O1707" s="59" t="str">
        <f>IF(A1707="","",COUNTIF($A$6:A1707,A1707))</f>
        <v/>
      </c>
      <c r="P1707" s="62" t="str">
        <f>IF(A1707="","",A1707&amp;"|"&amp;O1707)</f>
        <v/>
      </c>
    </row>
    <row r="1708">
      <c r="A1708" s="60" t="n"/>
      <c r="B1708" s="63" t="n"/>
      <c r="C1708" s="63" t="n"/>
      <c r="D1708" s="67" t="n"/>
      <c r="E1708" s="68" t="n"/>
      <c r="F1708" s="69" t="n"/>
      <c r="G1708" s="70" t="n"/>
      <c r="H1708" s="62" t="str">
        <f>IF(COUNTA(A1708:G1708)=0,"",IF(C1708&lt;&gt;"",C1708,IF(B1708="","",IFERROR(INDEX(pr_des,MATCH(B1708,pr_code,0))&amp;"",""))))</f>
        <v/>
      </c>
      <c r="I1708" s="59" t="str">
        <f>IF(B1708="","",IFERROR(INDEX(pr_unit,MATCH(B1708,pr_code,0))&amp;"",""))</f>
        <v/>
      </c>
      <c r="J1708" s="65" t="str">
        <f>IF(COUNTA(A1708:G1708)=0,"",IF(E1708&lt;&gt;"",E1708,IF(B1708="","",IFERROR(IF(INDEX(pr_price,MATCH(B1708,pr_code,0))="","",INDEX(pr_price,MATCH(B1708,pr_code,0))),""))))</f>
        <v/>
      </c>
      <c r="K1708" s="71" t="str">
        <f>IF(COUNTA(A1708:G1708)=0,"",IF(G1708&lt;&gt;"",G1708,IF(B1708="","",IFERROR(IF(INDEX(pr_rate,MATCH(B1708,pr_code,0))="","",INDEX(pr_rate,MATCH(B1708,pr_code,0))),""))))</f>
        <v/>
      </c>
      <c r="L1708" s="65" t="str">
        <f>IF(COUNTA(A1708:G1708)=0,"",IF(AND(ISNUMBER(D1708),ISNUMBER(J1708)),ROUND(D1708*J1708*(1-N(F1708)),2),0))</f>
        <v/>
      </c>
      <c r="M1708" s="62" t="str">
        <f>IF(A1708="","",IFERROR(INDEX(fa_cname,MATCH(A1708,fa_num,0))&amp;"",""))</f>
        <v/>
      </c>
      <c r="N1708" s="59" t="str">
        <f>IF(COUNTA(A1708:G1708)=0,"",IF(A1708="","N° facture manquant",IF(ISNA(MATCH(A1708,fa_num,0)),"Facture inconnue",IF(AND(B1708&lt;&gt;"",ISNA(MATCH(B1708,pr_code,0))),"Article inconnu",IF(H1708="","Désignation manquante",IF(OR(NOT(ISNUMBER(D1708)),N(D1708)&lt;=0),"Quantité invalide",IF(J1708="","Prix manquant",IF(OR(NOT(ISNUMBER(J1708)),N(J1708)&lt;0),"Prix invalide",IF(OR(AND(F1708&lt;&gt;"",NOT(ISNUMBER(F1708))),N(F1708)&lt;0,N(F1708)&gt;1),"Remise invalide",IF(K1708="","Taux de TVA manquant",IF(NOT(ISNUMBER(K1708)),"Taux de TVA invalide",IF(COUNTIF(p_rates,K1708)=0,"Taux de TVA hors liste (Paramètres)",IF(N(O1708)&gt;25,"Au-delà de 25 lignes : non imprimée","OK")))))))))))))</f>
        <v/>
      </c>
      <c r="O1708" s="59" t="str">
        <f>IF(A1708="","",COUNTIF($A$6:A1708,A1708))</f>
        <v/>
      </c>
      <c r="P1708" s="62" t="str">
        <f>IF(A1708="","",A1708&amp;"|"&amp;O1708)</f>
        <v/>
      </c>
    </row>
    <row r="1709">
      <c r="A1709" s="60" t="n"/>
      <c r="B1709" s="63" t="n"/>
      <c r="C1709" s="63" t="n"/>
      <c r="D1709" s="67" t="n"/>
      <c r="E1709" s="68" t="n"/>
      <c r="F1709" s="69" t="n"/>
      <c r="G1709" s="70" t="n"/>
      <c r="H1709" s="62" t="str">
        <f>IF(COUNTA(A1709:G1709)=0,"",IF(C1709&lt;&gt;"",C1709,IF(B1709="","",IFERROR(INDEX(pr_des,MATCH(B1709,pr_code,0))&amp;"",""))))</f>
        <v/>
      </c>
      <c r="I1709" s="59" t="str">
        <f>IF(B1709="","",IFERROR(INDEX(pr_unit,MATCH(B1709,pr_code,0))&amp;"",""))</f>
        <v/>
      </c>
      <c r="J1709" s="65" t="str">
        <f>IF(COUNTA(A1709:G1709)=0,"",IF(E1709&lt;&gt;"",E1709,IF(B1709="","",IFERROR(IF(INDEX(pr_price,MATCH(B1709,pr_code,0))="","",INDEX(pr_price,MATCH(B1709,pr_code,0))),""))))</f>
        <v/>
      </c>
      <c r="K1709" s="71" t="str">
        <f>IF(COUNTA(A1709:G1709)=0,"",IF(G1709&lt;&gt;"",G1709,IF(B1709="","",IFERROR(IF(INDEX(pr_rate,MATCH(B1709,pr_code,0))="","",INDEX(pr_rate,MATCH(B1709,pr_code,0))),""))))</f>
        <v/>
      </c>
      <c r="L1709" s="65" t="str">
        <f>IF(COUNTA(A1709:G1709)=0,"",IF(AND(ISNUMBER(D1709),ISNUMBER(J1709)),ROUND(D1709*J1709*(1-N(F1709)),2),0))</f>
        <v/>
      </c>
      <c r="M1709" s="62" t="str">
        <f>IF(A1709="","",IFERROR(INDEX(fa_cname,MATCH(A1709,fa_num,0))&amp;"",""))</f>
        <v/>
      </c>
      <c r="N1709" s="59" t="str">
        <f>IF(COUNTA(A1709:G1709)=0,"",IF(A1709="","N° facture manquant",IF(ISNA(MATCH(A1709,fa_num,0)),"Facture inconnue",IF(AND(B1709&lt;&gt;"",ISNA(MATCH(B1709,pr_code,0))),"Article inconnu",IF(H1709="","Désignation manquante",IF(OR(NOT(ISNUMBER(D1709)),N(D1709)&lt;=0),"Quantité invalide",IF(J1709="","Prix manquant",IF(OR(NOT(ISNUMBER(J1709)),N(J1709)&lt;0),"Prix invalide",IF(OR(AND(F1709&lt;&gt;"",NOT(ISNUMBER(F1709))),N(F1709)&lt;0,N(F1709)&gt;1),"Remise invalide",IF(K1709="","Taux de TVA manquant",IF(NOT(ISNUMBER(K1709)),"Taux de TVA invalide",IF(COUNTIF(p_rates,K1709)=0,"Taux de TVA hors liste (Paramètres)",IF(N(O1709)&gt;25,"Au-delà de 25 lignes : non imprimée","OK")))))))))))))</f>
        <v/>
      </c>
      <c r="O1709" s="59" t="str">
        <f>IF(A1709="","",COUNTIF($A$6:A1709,A1709))</f>
        <v/>
      </c>
      <c r="P1709" s="62" t="str">
        <f>IF(A1709="","",A1709&amp;"|"&amp;O1709)</f>
        <v/>
      </c>
    </row>
    <row r="1710">
      <c r="A1710" s="60" t="n"/>
      <c r="B1710" s="63" t="n"/>
      <c r="C1710" s="63" t="n"/>
      <c r="D1710" s="67" t="n"/>
      <c r="E1710" s="68" t="n"/>
      <c r="F1710" s="69" t="n"/>
      <c r="G1710" s="70" t="n"/>
      <c r="H1710" s="62" t="str">
        <f>IF(COUNTA(A1710:G1710)=0,"",IF(C1710&lt;&gt;"",C1710,IF(B1710="","",IFERROR(INDEX(pr_des,MATCH(B1710,pr_code,0))&amp;"",""))))</f>
        <v/>
      </c>
      <c r="I1710" s="59" t="str">
        <f>IF(B1710="","",IFERROR(INDEX(pr_unit,MATCH(B1710,pr_code,0))&amp;"",""))</f>
        <v/>
      </c>
      <c r="J1710" s="65" t="str">
        <f>IF(COUNTA(A1710:G1710)=0,"",IF(E1710&lt;&gt;"",E1710,IF(B1710="","",IFERROR(IF(INDEX(pr_price,MATCH(B1710,pr_code,0))="","",INDEX(pr_price,MATCH(B1710,pr_code,0))),""))))</f>
        <v/>
      </c>
      <c r="K1710" s="71" t="str">
        <f>IF(COUNTA(A1710:G1710)=0,"",IF(G1710&lt;&gt;"",G1710,IF(B1710="","",IFERROR(IF(INDEX(pr_rate,MATCH(B1710,pr_code,0))="","",INDEX(pr_rate,MATCH(B1710,pr_code,0))),""))))</f>
        <v/>
      </c>
      <c r="L1710" s="65" t="str">
        <f>IF(COUNTA(A1710:G1710)=0,"",IF(AND(ISNUMBER(D1710),ISNUMBER(J1710)),ROUND(D1710*J1710*(1-N(F1710)),2),0))</f>
        <v/>
      </c>
      <c r="M1710" s="62" t="str">
        <f>IF(A1710="","",IFERROR(INDEX(fa_cname,MATCH(A1710,fa_num,0))&amp;"",""))</f>
        <v/>
      </c>
      <c r="N1710" s="59" t="str">
        <f>IF(COUNTA(A1710:G1710)=0,"",IF(A1710="","N° facture manquant",IF(ISNA(MATCH(A1710,fa_num,0)),"Facture inconnue",IF(AND(B1710&lt;&gt;"",ISNA(MATCH(B1710,pr_code,0))),"Article inconnu",IF(H1710="","Désignation manquante",IF(OR(NOT(ISNUMBER(D1710)),N(D1710)&lt;=0),"Quantité invalide",IF(J1710="","Prix manquant",IF(OR(NOT(ISNUMBER(J1710)),N(J1710)&lt;0),"Prix invalide",IF(OR(AND(F1710&lt;&gt;"",NOT(ISNUMBER(F1710))),N(F1710)&lt;0,N(F1710)&gt;1),"Remise invalide",IF(K1710="","Taux de TVA manquant",IF(NOT(ISNUMBER(K1710)),"Taux de TVA invalide",IF(COUNTIF(p_rates,K1710)=0,"Taux de TVA hors liste (Paramètres)",IF(N(O1710)&gt;25,"Au-delà de 25 lignes : non imprimée","OK")))))))))))))</f>
        <v/>
      </c>
      <c r="O1710" s="59" t="str">
        <f>IF(A1710="","",COUNTIF($A$6:A1710,A1710))</f>
        <v/>
      </c>
      <c r="P1710" s="62" t="str">
        <f>IF(A1710="","",A1710&amp;"|"&amp;O1710)</f>
        <v/>
      </c>
    </row>
    <row r="1711">
      <c r="A1711" s="60" t="n"/>
      <c r="B1711" s="63" t="n"/>
      <c r="C1711" s="63" t="n"/>
      <c r="D1711" s="67" t="n"/>
      <c r="E1711" s="68" t="n"/>
      <c r="F1711" s="69" t="n"/>
      <c r="G1711" s="70" t="n"/>
      <c r="H1711" s="62" t="str">
        <f>IF(COUNTA(A1711:G1711)=0,"",IF(C1711&lt;&gt;"",C1711,IF(B1711="","",IFERROR(INDEX(pr_des,MATCH(B1711,pr_code,0))&amp;"",""))))</f>
        <v/>
      </c>
      <c r="I1711" s="59" t="str">
        <f>IF(B1711="","",IFERROR(INDEX(pr_unit,MATCH(B1711,pr_code,0))&amp;"",""))</f>
        <v/>
      </c>
      <c r="J1711" s="65" t="str">
        <f>IF(COUNTA(A1711:G1711)=0,"",IF(E1711&lt;&gt;"",E1711,IF(B1711="","",IFERROR(IF(INDEX(pr_price,MATCH(B1711,pr_code,0))="","",INDEX(pr_price,MATCH(B1711,pr_code,0))),""))))</f>
        <v/>
      </c>
      <c r="K1711" s="71" t="str">
        <f>IF(COUNTA(A1711:G1711)=0,"",IF(G1711&lt;&gt;"",G1711,IF(B1711="","",IFERROR(IF(INDEX(pr_rate,MATCH(B1711,pr_code,0))="","",INDEX(pr_rate,MATCH(B1711,pr_code,0))),""))))</f>
        <v/>
      </c>
      <c r="L1711" s="65" t="str">
        <f>IF(COUNTA(A1711:G1711)=0,"",IF(AND(ISNUMBER(D1711),ISNUMBER(J1711)),ROUND(D1711*J1711*(1-N(F1711)),2),0))</f>
        <v/>
      </c>
      <c r="M1711" s="62" t="str">
        <f>IF(A1711="","",IFERROR(INDEX(fa_cname,MATCH(A1711,fa_num,0))&amp;"",""))</f>
        <v/>
      </c>
      <c r="N1711" s="59" t="str">
        <f>IF(COUNTA(A1711:G1711)=0,"",IF(A1711="","N° facture manquant",IF(ISNA(MATCH(A1711,fa_num,0)),"Facture inconnue",IF(AND(B1711&lt;&gt;"",ISNA(MATCH(B1711,pr_code,0))),"Article inconnu",IF(H1711="","Désignation manquante",IF(OR(NOT(ISNUMBER(D1711)),N(D1711)&lt;=0),"Quantité invalide",IF(J1711="","Prix manquant",IF(OR(NOT(ISNUMBER(J1711)),N(J1711)&lt;0),"Prix invalide",IF(OR(AND(F1711&lt;&gt;"",NOT(ISNUMBER(F1711))),N(F1711)&lt;0,N(F1711)&gt;1),"Remise invalide",IF(K1711="","Taux de TVA manquant",IF(NOT(ISNUMBER(K1711)),"Taux de TVA invalide",IF(COUNTIF(p_rates,K1711)=0,"Taux de TVA hors liste (Paramètres)",IF(N(O1711)&gt;25,"Au-delà de 25 lignes : non imprimée","OK")))))))))))))</f>
        <v/>
      </c>
      <c r="O1711" s="59" t="str">
        <f>IF(A1711="","",COUNTIF($A$6:A1711,A1711))</f>
        <v/>
      </c>
      <c r="P1711" s="62" t="str">
        <f>IF(A1711="","",A1711&amp;"|"&amp;O1711)</f>
        <v/>
      </c>
    </row>
    <row r="1712">
      <c r="A1712" s="60" t="n"/>
      <c r="B1712" s="63" t="n"/>
      <c r="C1712" s="63" t="n"/>
      <c r="D1712" s="67" t="n"/>
      <c r="E1712" s="68" t="n"/>
      <c r="F1712" s="69" t="n"/>
      <c r="G1712" s="70" t="n"/>
      <c r="H1712" s="62" t="str">
        <f>IF(COUNTA(A1712:G1712)=0,"",IF(C1712&lt;&gt;"",C1712,IF(B1712="","",IFERROR(INDEX(pr_des,MATCH(B1712,pr_code,0))&amp;"",""))))</f>
        <v/>
      </c>
      <c r="I1712" s="59" t="str">
        <f>IF(B1712="","",IFERROR(INDEX(pr_unit,MATCH(B1712,pr_code,0))&amp;"",""))</f>
        <v/>
      </c>
      <c r="J1712" s="65" t="str">
        <f>IF(COUNTA(A1712:G1712)=0,"",IF(E1712&lt;&gt;"",E1712,IF(B1712="","",IFERROR(IF(INDEX(pr_price,MATCH(B1712,pr_code,0))="","",INDEX(pr_price,MATCH(B1712,pr_code,0))),""))))</f>
        <v/>
      </c>
      <c r="K1712" s="71" t="str">
        <f>IF(COUNTA(A1712:G1712)=0,"",IF(G1712&lt;&gt;"",G1712,IF(B1712="","",IFERROR(IF(INDEX(pr_rate,MATCH(B1712,pr_code,0))="","",INDEX(pr_rate,MATCH(B1712,pr_code,0))),""))))</f>
        <v/>
      </c>
      <c r="L1712" s="65" t="str">
        <f>IF(COUNTA(A1712:G1712)=0,"",IF(AND(ISNUMBER(D1712),ISNUMBER(J1712)),ROUND(D1712*J1712*(1-N(F1712)),2),0))</f>
        <v/>
      </c>
      <c r="M1712" s="62" t="str">
        <f>IF(A1712="","",IFERROR(INDEX(fa_cname,MATCH(A1712,fa_num,0))&amp;"",""))</f>
        <v/>
      </c>
      <c r="N1712" s="59" t="str">
        <f>IF(COUNTA(A1712:G1712)=0,"",IF(A1712="","N° facture manquant",IF(ISNA(MATCH(A1712,fa_num,0)),"Facture inconnue",IF(AND(B1712&lt;&gt;"",ISNA(MATCH(B1712,pr_code,0))),"Article inconnu",IF(H1712="","Désignation manquante",IF(OR(NOT(ISNUMBER(D1712)),N(D1712)&lt;=0),"Quantité invalide",IF(J1712="","Prix manquant",IF(OR(NOT(ISNUMBER(J1712)),N(J1712)&lt;0),"Prix invalide",IF(OR(AND(F1712&lt;&gt;"",NOT(ISNUMBER(F1712))),N(F1712)&lt;0,N(F1712)&gt;1),"Remise invalide",IF(K1712="","Taux de TVA manquant",IF(NOT(ISNUMBER(K1712)),"Taux de TVA invalide",IF(COUNTIF(p_rates,K1712)=0,"Taux de TVA hors liste (Paramètres)",IF(N(O1712)&gt;25,"Au-delà de 25 lignes : non imprimée","OK")))))))))))))</f>
        <v/>
      </c>
      <c r="O1712" s="59" t="str">
        <f>IF(A1712="","",COUNTIF($A$6:A1712,A1712))</f>
        <v/>
      </c>
      <c r="P1712" s="62" t="str">
        <f>IF(A1712="","",A1712&amp;"|"&amp;O1712)</f>
        <v/>
      </c>
    </row>
    <row r="1713">
      <c r="A1713" s="60" t="n"/>
      <c r="B1713" s="63" t="n"/>
      <c r="C1713" s="63" t="n"/>
      <c r="D1713" s="67" t="n"/>
      <c r="E1713" s="68" t="n"/>
      <c r="F1713" s="69" t="n"/>
      <c r="G1713" s="70" t="n"/>
      <c r="H1713" s="62" t="str">
        <f>IF(COUNTA(A1713:G1713)=0,"",IF(C1713&lt;&gt;"",C1713,IF(B1713="","",IFERROR(INDEX(pr_des,MATCH(B1713,pr_code,0))&amp;"",""))))</f>
        <v/>
      </c>
      <c r="I1713" s="59" t="str">
        <f>IF(B1713="","",IFERROR(INDEX(pr_unit,MATCH(B1713,pr_code,0))&amp;"",""))</f>
        <v/>
      </c>
      <c r="J1713" s="65" t="str">
        <f>IF(COUNTA(A1713:G1713)=0,"",IF(E1713&lt;&gt;"",E1713,IF(B1713="","",IFERROR(IF(INDEX(pr_price,MATCH(B1713,pr_code,0))="","",INDEX(pr_price,MATCH(B1713,pr_code,0))),""))))</f>
        <v/>
      </c>
      <c r="K1713" s="71" t="str">
        <f>IF(COUNTA(A1713:G1713)=0,"",IF(G1713&lt;&gt;"",G1713,IF(B1713="","",IFERROR(IF(INDEX(pr_rate,MATCH(B1713,pr_code,0))="","",INDEX(pr_rate,MATCH(B1713,pr_code,0))),""))))</f>
        <v/>
      </c>
      <c r="L1713" s="65" t="str">
        <f>IF(COUNTA(A1713:G1713)=0,"",IF(AND(ISNUMBER(D1713),ISNUMBER(J1713)),ROUND(D1713*J1713*(1-N(F1713)),2),0))</f>
        <v/>
      </c>
      <c r="M1713" s="62" t="str">
        <f>IF(A1713="","",IFERROR(INDEX(fa_cname,MATCH(A1713,fa_num,0))&amp;"",""))</f>
        <v/>
      </c>
      <c r="N1713" s="59" t="str">
        <f>IF(COUNTA(A1713:G1713)=0,"",IF(A1713="","N° facture manquant",IF(ISNA(MATCH(A1713,fa_num,0)),"Facture inconnue",IF(AND(B1713&lt;&gt;"",ISNA(MATCH(B1713,pr_code,0))),"Article inconnu",IF(H1713="","Désignation manquante",IF(OR(NOT(ISNUMBER(D1713)),N(D1713)&lt;=0),"Quantité invalide",IF(J1713="","Prix manquant",IF(OR(NOT(ISNUMBER(J1713)),N(J1713)&lt;0),"Prix invalide",IF(OR(AND(F1713&lt;&gt;"",NOT(ISNUMBER(F1713))),N(F1713)&lt;0,N(F1713)&gt;1),"Remise invalide",IF(K1713="","Taux de TVA manquant",IF(NOT(ISNUMBER(K1713)),"Taux de TVA invalide",IF(COUNTIF(p_rates,K1713)=0,"Taux de TVA hors liste (Paramètres)",IF(N(O1713)&gt;25,"Au-delà de 25 lignes : non imprimée","OK")))))))))))))</f>
        <v/>
      </c>
      <c r="O1713" s="59" t="str">
        <f>IF(A1713="","",COUNTIF($A$6:A1713,A1713))</f>
        <v/>
      </c>
      <c r="P1713" s="62" t="str">
        <f>IF(A1713="","",A1713&amp;"|"&amp;O1713)</f>
        <v/>
      </c>
    </row>
    <row r="1714">
      <c r="A1714" s="60" t="n"/>
      <c r="B1714" s="63" t="n"/>
      <c r="C1714" s="63" t="n"/>
      <c r="D1714" s="67" t="n"/>
      <c r="E1714" s="68" t="n"/>
      <c r="F1714" s="69" t="n"/>
      <c r="G1714" s="70" t="n"/>
      <c r="H1714" s="62" t="str">
        <f>IF(COUNTA(A1714:G1714)=0,"",IF(C1714&lt;&gt;"",C1714,IF(B1714="","",IFERROR(INDEX(pr_des,MATCH(B1714,pr_code,0))&amp;"",""))))</f>
        <v/>
      </c>
      <c r="I1714" s="59" t="str">
        <f>IF(B1714="","",IFERROR(INDEX(pr_unit,MATCH(B1714,pr_code,0))&amp;"",""))</f>
        <v/>
      </c>
      <c r="J1714" s="65" t="str">
        <f>IF(COUNTA(A1714:G1714)=0,"",IF(E1714&lt;&gt;"",E1714,IF(B1714="","",IFERROR(IF(INDEX(pr_price,MATCH(B1714,pr_code,0))="","",INDEX(pr_price,MATCH(B1714,pr_code,0))),""))))</f>
        <v/>
      </c>
      <c r="K1714" s="71" t="str">
        <f>IF(COUNTA(A1714:G1714)=0,"",IF(G1714&lt;&gt;"",G1714,IF(B1714="","",IFERROR(IF(INDEX(pr_rate,MATCH(B1714,pr_code,0))="","",INDEX(pr_rate,MATCH(B1714,pr_code,0))),""))))</f>
        <v/>
      </c>
      <c r="L1714" s="65" t="str">
        <f>IF(COUNTA(A1714:G1714)=0,"",IF(AND(ISNUMBER(D1714),ISNUMBER(J1714)),ROUND(D1714*J1714*(1-N(F1714)),2),0))</f>
        <v/>
      </c>
      <c r="M1714" s="62" t="str">
        <f>IF(A1714="","",IFERROR(INDEX(fa_cname,MATCH(A1714,fa_num,0))&amp;"",""))</f>
        <v/>
      </c>
      <c r="N1714" s="59" t="str">
        <f>IF(COUNTA(A1714:G1714)=0,"",IF(A1714="","N° facture manquant",IF(ISNA(MATCH(A1714,fa_num,0)),"Facture inconnue",IF(AND(B1714&lt;&gt;"",ISNA(MATCH(B1714,pr_code,0))),"Article inconnu",IF(H1714="","Désignation manquante",IF(OR(NOT(ISNUMBER(D1714)),N(D1714)&lt;=0),"Quantité invalide",IF(J1714="","Prix manquant",IF(OR(NOT(ISNUMBER(J1714)),N(J1714)&lt;0),"Prix invalide",IF(OR(AND(F1714&lt;&gt;"",NOT(ISNUMBER(F1714))),N(F1714)&lt;0,N(F1714)&gt;1),"Remise invalide",IF(K1714="","Taux de TVA manquant",IF(NOT(ISNUMBER(K1714)),"Taux de TVA invalide",IF(COUNTIF(p_rates,K1714)=0,"Taux de TVA hors liste (Paramètres)",IF(N(O1714)&gt;25,"Au-delà de 25 lignes : non imprimée","OK")))))))))))))</f>
        <v/>
      </c>
      <c r="O1714" s="59" t="str">
        <f>IF(A1714="","",COUNTIF($A$6:A1714,A1714))</f>
        <v/>
      </c>
      <c r="P1714" s="62" t="str">
        <f>IF(A1714="","",A1714&amp;"|"&amp;O1714)</f>
        <v/>
      </c>
    </row>
    <row r="1715">
      <c r="A1715" s="60" t="n"/>
      <c r="B1715" s="63" t="n"/>
      <c r="C1715" s="63" t="n"/>
      <c r="D1715" s="67" t="n"/>
      <c r="E1715" s="68" t="n"/>
      <c r="F1715" s="69" t="n"/>
      <c r="G1715" s="70" t="n"/>
      <c r="H1715" s="62" t="str">
        <f>IF(COUNTA(A1715:G1715)=0,"",IF(C1715&lt;&gt;"",C1715,IF(B1715="","",IFERROR(INDEX(pr_des,MATCH(B1715,pr_code,0))&amp;"",""))))</f>
        <v/>
      </c>
      <c r="I1715" s="59" t="str">
        <f>IF(B1715="","",IFERROR(INDEX(pr_unit,MATCH(B1715,pr_code,0))&amp;"",""))</f>
        <v/>
      </c>
      <c r="J1715" s="65" t="str">
        <f>IF(COUNTA(A1715:G1715)=0,"",IF(E1715&lt;&gt;"",E1715,IF(B1715="","",IFERROR(IF(INDEX(pr_price,MATCH(B1715,pr_code,0))="","",INDEX(pr_price,MATCH(B1715,pr_code,0))),""))))</f>
        <v/>
      </c>
      <c r="K1715" s="71" t="str">
        <f>IF(COUNTA(A1715:G1715)=0,"",IF(G1715&lt;&gt;"",G1715,IF(B1715="","",IFERROR(IF(INDEX(pr_rate,MATCH(B1715,pr_code,0))="","",INDEX(pr_rate,MATCH(B1715,pr_code,0))),""))))</f>
        <v/>
      </c>
      <c r="L1715" s="65" t="str">
        <f>IF(COUNTA(A1715:G1715)=0,"",IF(AND(ISNUMBER(D1715),ISNUMBER(J1715)),ROUND(D1715*J1715*(1-N(F1715)),2),0))</f>
        <v/>
      </c>
      <c r="M1715" s="62" t="str">
        <f>IF(A1715="","",IFERROR(INDEX(fa_cname,MATCH(A1715,fa_num,0))&amp;"",""))</f>
        <v/>
      </c>
      <c r="N1715" s="59" t="str">
        <f>IF(COUNTA(A1715:G1715)=0,"",IF(A1715="","N° facture manquant",IF(ISNA(MATCH(A1715,fa_num,0)),"Facture inconnue",IF(AND(B1715&lt;&gt;"",ISNA(MATCH(B1715,pr_code,0))),"Article inconnu",IF(H1715="","Désignation manquante",IF(OR(NOT(ISNUMBER(D1715)),N(D1715)&lt;=0),"Quantité invalide",IF(J1715="","Prix manquant",IF(OR(NOT(ISNUMBER(J1715)),N(J1715)&lt;0),"Prix invalide",IF(OR(AND(F1715&lt;&gt;"",NOT(ISNUMBER(F1715))),N(F1715)&lt;0,N(F1715)&gt;1),"Remise invalide",IF(K1715="","Taux de TVA manquant",IF(NOT(ISNUMBER(K1715)),"Taux de TVA invalide",IF(COUNTIF(p_rates,K1715)=0,"Taux de TVA hors liste (Paramètres)",IF(N(O1715)&gt;25,"Au-delà de 25 lignes : non imprimée","OK")))))))))))))</f>
        <v/>
      </c>
      <c r="O1715" s="59" t="str">
        <f>IF(A1715="","",COUNTIF($A$6:A1715,A1715))</f>
        <v/>
      </c>
      <c r="P1715" s="62" t="str">
        <f>IF(A1715="","",A1715&amp;"|"&amp;O1715)</f>
        <v/>
      </c>
    </row>
    <row r="1716">
      <c r="A1716" s="60" t="n"/>
      <c r="B1716" s="63" t="n"/>
      <c r="C1716" s="63" t="n"/>
      <c r="D1716" s="67" t="n"/>
      <c r="E1716" s="68" t="n"/>
      <c r="F1716" s="69" t="n"/>
      <c r="G1716" s="70" t="n"/>
      <c r="H1716" s="62" t="str">
        <f>IF(COUNTA(A1716:G1716)=0,"",IF(C1716&lt;&gt;"",C1716,IF(B1716="","",IFERROR(INDEX(pr_des,MATCH(B1716,pr_code,0))&amp;"",""))))</f>
        <v/>
      </c>
      <c r="I1716" s="59" t="str">
        <f>IF(B1716="","",IFERROR(INDEX(pr_unit,MATCH(B1716,pr_code,0))&amp;"",""))</f>
        <v/>
      </c>
      <c r="J1716" s="65" t="str">
        <f>IF(COUNTA(A1716:G1716)=0,"",IF(E1716&lt;&gt;"",E1716,IF(B1716="","",IFERROR(IF(INDEX(pr_price,MATCH(B1716,pr_code,0))="","",INDEX(pr_price,MATCH(B1716,pr_code,0))),""))))</f>
        <v/>
      </c>
      <c r="K1716" s="71" t="str">
        <f>IF(COUNTA(A1716:G1716)=0,"",IF(G1716&lt;&gt;"",G1716,IF(B1716="","",IFERROR(IF(INDEX(pr_rate,MATCH(B1716,pr_code,0))="","",INDEX(pr_rate,MATCH(B1716,pr_code,0))),""))))</f>
        <v/>
      </c>
      <c r="L1716" s="65" t="str">
        <f>IF(COUNTA(A1716:G1716)=0,"",IF(AND(ISNUMBER(D1716),ISNUMBER(J1716)),ROUND(D1716*J1716*(1-N(F1716)),2),0))</f>
        <v/>
      </c>
      <c r="M1716" s="62" t="str">
        <f>IF(A1716="","",IFERROR(INDEX(fa_cname,MATCH(A1716,fa_num,0))&amp;"",""))</f>
        <v/>
      </c>
      <c r="N1716" s="59" t="str">
        <f>IF(COUNTA(A1716:G1716)=0,"",IF(A1716="","N° facture manquant",IF(ISNA(MATCH(A1716,fa_num,0)),"Facture inconnue",IF(AND(B1716&lt;&gt;"",ISNA(MATCH(B1716,pr_code,0))),"Article inconnu",IF(H1716="","Désignation manquante",IF(OR(NOT(ISNUMBER(D1716)),N(D1716)&lt;=0),"Quantité invalide",IF(J1716="","Prix manquant",IF(OR(NOT(ISNUMBER(J1716)),N(J1716)&lt;0),"Prix invalide",IF(OR(AND(F1716&lt;&gt;"",NOT(ISNUMBER(F1716))),N(F1716)&lt;0,N(F1716)&gt;1),"Remise invalide",IF(K1716="","Taux de TVA manquant",IF(NOT(ISNUMBER(K1716)),"Taux de TVA invalide",IF(COUNTIF(p_rates,K1716)=0,"Taux de TVA hors liste (Paramètres)",IF(N(O1716)&gt;25,"Au-delà de 25 lignes : non imprimée","OK")))))))))))))</f>
        <v/>
      </c>
      <c r="O1716" s="59" t="str">
        <f>IF(A1716="","",COUNTIF($A$6:A1716,A1716))</f>
        <v/>
      </c>
      <c r="P1716" s="62" t="str">
        <f>IF(A1716="","",A1716&amp;"|"&amp;O1716)</f>
        <v/>
      </c>
    </row>
    <row r="1717">
      <c r="A1717" s="60" t="n"/>
      <c r="B1717" s="63" t="n"/>
      <c r="C1717" s="63" t="n"/>
      <c r="D1717" s="67" t="n"/>
      <c r="E1717" s="68" t="n"/>
      <c r="F1717" s="69" t="n"/>
      <c r="G1717" s="70" t="n"/>
      <c r="H1717" s="62" t="str">
        <f>IF(COUNTA(A1717:G1717)=0,"",IF(C1717&lt;&gt;"",C1717,IF(B1717="","",IFERROR(INDEX(pr_des,MATCH(B1717,pr_code,0))&amp;"",""))))</f>
        <v/>
      </c>
      <c r="I1717" s="59" t="str">
        <f>IF(B1717="","",IFERROR(INDEX(pr_unit,MATCH(B1717,pr_code,0))&amp;"",""))</f>
        <v/>
      </c>
      <c r="J1717" s="65" t="str">
        <f>IF(COUNTA(A1717:G1717)=0,"",IF(E1717&lt;&gt;"",E1717,IF(B1717="","",IFERROR(IF(INDEX(pr_price,MATCH(B1717,pr_code,0))="","",INDEX(pr_price,MATCH(B1717,pr_code,0))),""))))</f>
        <v/>
      </c>
      <c r="K1717" s="71" t="str">
        <f>IF(COUNTA(A1717:G1717)=0,"",IF(G1717&lt;&gt;"",G1717,IF(B1717="","",IFERROR(IF(INDEX(pr_rate,MATCH(B1717,pr_code,0))="","",INDEX(pr_rate,MATCH(B1717,pr_code,0))),""))))</f>
        <v/>
      </c>
      <c r="L1717" s="65" t="str">
        <f>IF(COUNTA(A1717:G1717)=0,"",IF(AND(ISNUMBER(D1717),ISNUMBER(J1717)),ROUND(D1717*J1717*(1-N(F1717)),2),0))</f>
        <v/>
      </c>
      <c r="M1717" s="62" t="str">
        <f>IF(A1717="","",IFERROR(INDEX(fa_cname,MATCH(A1717,fa_num,0))&amp;"",""))</f>
        <v/>
      </c>
      <c r="N1717" s="59" t="str">
        <f>IF(COUNTA(A1717:G1717)=0,"",IF(A1717="","N° facture manquant",IF(ISNA(MATCH(A1717,fa_num,0)),"Facture inconnue",IF(AND(B1717&lt;&gt;"",ISNA(MATCH(B1717,pr_code,0))),"Article inconnu",IF(H1717="","Désignation manquante",IF(OR(NOT(ISNUMBER(D1717)),N(D1717)&lt;=0),"Quantité invalide",IF(J1717="","Prix manquant",IF(OR(NOT(ISNUMBER(J1717)),N(J1717)&lt;0),"Prix invalide",IF(OR(AND(F1717&lt;&gt;"",NOT(ISNUMBER(F1717))),N(F1717)&lt;0,N(F1717)&gt;1),"Remise invalide",IF(K1717="","Taux de TVA manquant",IF(NOT(ISNUMBER(K1717)),"Taux de TVA invalide",IF(COUNTIF(p_rates,K1717)=0,"Taux de TVA hors liste (Paramètres)",IF(N(O1717)&gt;25,"Au-delà de 25 lignes : non imprimée","OK")))))))))))))</f>
        <v/>
      </c>
      <c r="O1717" s="59" t="str">
        <f>IF(A1717="","",COUNTIF($A$6:A1717,A1717))</f>
        <v/>
      </c>
      <c r="P1717" s="62" t="str">
        <f>IF(A1717="","",A1717&amp;"|"&amp;O1717)</f>
        <v/>
      </c>
    </row>
    <row r="1718">
      <c r="A1718" s="60" t="n"/>
      <c r="B1718" s="63" t="n"/>
      <c r="C1718" s="63" t="n"/>
      <c r="D1718" s="67" t="n"/>
      <c r="E1718" s="68" t="n"/>
      <c r="F1718" s="69" t="n"/>
      <c r="G1718" s="70" t="n"/>
      <c r="H1718" s="62" t="str">
        <f>IF(COUNTA(A1718:G1718)=0,"",IF(C1718&lt;&gt;"",C1718,IF(B1718="","",IFERROR(INDEX(pr_des,MATCH(B1718,pr_code,0))&amp;"",""))))</f>
        <v/>
      </c>
      <c r="I1718" s="59" t="str">
        <f>IF(B1718="","",IFERROR(INDEX(pr_unit,MATCH(B1718,pr_code,0))&amp;"",""))</f>
        <v/>
      </c>
      <c r="J1718" s="65" t="str">
        <f>IF(COUNTA(A1718:G1718)=0,"",IF(E1718&lt;&gt;"",E1718,IF(B1718="","",IFERROR(IF(INDEX(pr_price,MATCH(B1718,pr_code,0))="","",INDEX(pr_price,MATCH(B1718,pr_code,0))),""))))</f>
        <v/>
      </c>
      <c r="K1718" s="71" t="str">
        <f>IF(COUNTA(A1718:G1718)=0,"",IF(G1718&lt;&gt;"",G1718,IF(B1718="","",IFERROR(IF(INDEX(pr_rate,MATCH(B1718,pr_code,0))="","",INDEX(pr_rate,MATCH(B1718,pr_code,0))),""))))</f>
        <v/>
      </c>
      <c r="L1718" s="65" t="str">
        <f>IF(COUNTA(A1718:G1718)=0,"",IF(AND(ISNUMBER(D1718),ISNUMBER(J1718)),ROUND(D1718*J1718*(1-N(F1718)),2),0))</f>
        <v/>
      </c>
      <c r="M1718" s="62" t="str">
        <f>IF(A1718="","",IFERROR(INDEX(fa_cname,MATCH(A1718,fa_num,0))&amp;"",""))</f>
        <v/>
      </c>
      <c r="N1718" s="59" t="str">
        <f>IF(COUNTA(A1718:G1718)=0,"",IF(A1718="","N° facture manquant",IF(ISNA(MATCH(A1718,fa_num,0)),"Facture inconnue",IF(AND(B1718&lt;&gt;"",ISNA(MATCH(B1718,pr_code,0))),"Article inconnu",IF(H1718="","Désignation manquante",IF(OR(NOT(ISNUMBER(D1718)),N(D1718)&lt;=0),"Quantité invalide",IF(J1718="","Prix manquant",IF(OR(NOT(ISNUMBER(J1718)),N(J1718)&lt;0),"Prix invalide",IF(OR(AND(F1718&lt;&gt;"",NOT(ISNUMBER(F1718))),N(F1718)&lt;0,N(F1718)&gt;1),"Remise invalide",IF(K1718="","Taux de TVA manquant",IF(NOT(ISNUMBER(K1718)),"Taux de TVA invalide",IF(COUNTIF(p_rates,K1718)=0,"Taux de TVA hors liste (Paramètres)",IF(N(O1718)&gt;25,"Au-delà de 25 lignes : non imprimée","OK")))))))))))))</f>
        <v/>
      </c>
      <c r="O1718" s="59" t="str">
        <f>IF(A1718="","",COUNTIF($A$6:A1718,A1718))</f>
        <v/>
      </c>
      <c r="P1718" s="62" t="str">
        <f>IF(A1718="","",A1718&amp;"|"&amp;O1718)</f>
        <v/>
      </c>
    </row>
    <row r="1719">
      <c r="A1719" s="60" t="n"/>
      <c r="B1719" s="63" t="n"/>
      <c r="C1719" s="63" t="n"/>
      <c r="D1719" s="67" t="n"/>
      <c r="E1719" s="68" t="n"/>
      <c r="F1719" s="69" t="n"/>
      <c r="G1719" s="70" t="n"/>
      <c r="H1719" s="62" t="str">
        <f>IF(COUNTA(A1719:G1719)=0,"",IF(C1719&lt;&gt;"",C1719,IF(B1719="","",IFERROR(INDEX(pr_des,MATCH(B1719,pr_code,0))&amp;"",""))))</f>
        <v/>
      </c>
      <c r="I1719" s="59" t="str">
        <f>IF(B1719="","",IFERROR(INDEX(pr_unit,MATCH(B1719,pr_code,0))&amp;"",""))</f>
        <v/>
      </c>
      <c r="J1719" s="65" t="str">
        <f>IF(COUNTA(A1719:G1719)=0,"",IF(E1719&lt;&gt;"",E1719,IF(B1719="","",IFERROR(IF(INDEX(pr_price,MATCH(B1719,pr_code,0))="","",INDEX(pr_price,MATCH(B1719,pr_code,0))),""))))</f>
        <v/>
      </c>
      <c r="K1719" s="71" t="str">
        <f>IF(COUNTA(A1719:G1719)=0,"",IF(G1719&lt;&gt;"",G1719,IF(B1719="","",IFERROR(IF(INDEX(pr_rate,MATCH(B1719,pr_code,0))="","",INDEX(pr_rate,MATCH(B1719,pr_code,0))),""))))</f>
        <v/>
      </c>
      <c r="L1719" s="65" t="str">
        <f>IF(COUNTA(A1719:G1719)=0,"",IF(AND(ISNUMBER(D1719),ISNUMBER(J1719)),ROUND(D1719*J1719*(1-N(F1719)),2),0))</f>
        <v/>
      </c>
      <c r="M1719" s="62" t="str">
        <f>IF(A1719="","",IFERROR(INDEX(fa_cname,MATCH(A1719,fa_num,0))&amp;"",""))</f>
        <v/>
      </c>
      <c r="N1719" s="59" t="str">
        <f>IF(COUNTA(A1719:G1719)=0,"",IF(A1719="","N° facture manquant",IF(ISNA(MATCH(A1719,fa_num,0)),"Facture inconnue",IF(AND(B1719&lt;&gt;"",ISNA(MATCH(B1719,pr_code,0))),"Article inconnu",IF(H1719="","Désignation manquante",IF(OR(NOT(ISNUMBER(D1719)),N(D1719)&lt;=0),"Quantité invalide",IF(J1719="","Prix manquant",IF(OR(NOT(ISNUMBER(J1719)),N(J1719)&lt;0),"Prix invalide",IF(OR(AND(F1719&lt;&gt;"",NOT(ISNUMBER(F1719))),N(F1719)&lt;0,N(F1719)&gt;1),"Remise invalide",IF(K1719="","Taux de TVA manquant",IF(NOT(ISNUMBER(K1719)),"Taux de TVA invalide",IF(COUNTIF(p_rates,K1719)=0,"Taux de TVA hors liste (Paramètres)",IF(N(O1719)&gt;25,"Au-delà de 25 lignes : non imprimée","OK")))))))))))))</f>
        <v/>
      </c>
      <c r="O1719" s="59" t="str">
        <f>IF(A1719="","",COUNTIF($A$6:A1719,A1719))</f>
        <v/>
      </c>
      <c r="P1719" s="62" t="str">
        <f>IF(A1719="","",A1719&amp;"|"&amp;O1719)</f>
        <v/>
      </c>
    </row>
    <row r="1720">
      <c r="A1720" s="60" t="n"/>
      <c r="B1720" s="63" t="n"/>
      <c r="C1720" s="63" t="n"/>
      <c r="D1720" s="67" t="n"/>
      <c r="E1720" s="68" t="n"/>
      <c r="F1720" s="69" t="n"/>
      <c r="G1720" s="70" t="n"/>
      <c r="H1720" s="62" t="str">
        <f>IF(COUNTA(A1720:G1720)=0,"",IF(C1720&lt;&gt;"",C1720,IF(B1720="","",IFERROR(INDEX(pr_des,MATCH(B1720,pr_code,0))&amp;"",""))))</f>
        <v/>
      </c>
      <c r="I1720" s="59" t="str">
        <f>IF(B1720="","",IFERROR(INDEX(pr_unit,MATCH(B1720,pr_code,0))&amp;"",""))</f>
        <v/>
      </c>
      <c r="J1720" s="65" t="str">
        <f>IF(COUNTA(A1720:G1720)=0,"",IF(E1720&lt;&gt;"",E1720,IF(B1720="","",IFERROR(IF(INDEX(pr_price,MATCH(B1720,pr_code,0))="","",INDEX(pr_price,MATCH(B1720,pr_code,0))),""))))</f>
        <v/>
      </c>
      <c r="K1720" s="71" t="str">
        <f>IF(COUNTA(A1720:G1720)=0,"",IF(G1720&lt;&gt;"",G1720,IF(B1720="","",IFERROR(IF(INDEX(pr_rate,MATCH(B1720,pr_code,0))="","",INDEX(pr_rate,MATCH(B1720,pr_code,0))),""))))</f>
        <v/>
      </c>
      <c r="L1720" s="65" t="str">
        <f>IF(COUNTA(A1720:G1720)=0,"",IF(AND(ISNUMBER(D1720),ISNUMBER(J1720)),ROUND(D1720*J1720*(1-N(F1720)),2),0))</f>
        <v/>
      </c>
      <c r="M1720" s="62" t="str">
        <f>IF(A1720="","",IFERROR(INDEX(fa_cname,MATCH(A1720,fa_num,0))&amp;"",""))</f>
        <v/>
      </c>
      <c r="N1720" s="59" t="str">
        <f>IF(COUNTA(A1720:G1720)=0,"",IF(A1720="","N° facture manquant",IF(ISNA(MATCH(A1720,fa_num,0)),"Facture inconnue",IF(AND(B1720&lt;&gt;"",ISNA(MATCH(B1720,pr_code,0))),"Article inconnu",IF(H1720="","Désignation manquante",IF(OR(NOT(ISNUMBER(D1720)),N(D1720)&lt;=0),"Quantité invalide",IF(J1720="","Prix manquant",IF(OR(NOT(ISNUMBER(J1720)),N(J1720)&lt;0),"Prix invalide",IF(OR(AND(F1720&lt;&gt;"",NOT(ISNUMBER(F1720))),N(F1720)&lt;0,N(F1720)&gt;1),"Remise invalide",IF(K1720="","Taux de TVA manquant",IF(NOT(ISNUMBER(K1720)),"Taux de TVA invalide",IF(COUNTIF(p_rates,K1720)=0,"Taux de TVA hors liste (Paramètres)",IF(N(O1720)&gt;25,"Au-delà de 25 lignes : non imprimée","OK")))))))))))))</f>
        <v/>
      </c>
      <c r="O1720" s="59" t="str">
        <f>IF(A1720="","",COUNTIF($A$6:A1720,A1720))</f>
        <v/>
      </c>
      <c r="P1720" s="62" t="str">
        <f>IF(A1720="","",A1720&amp;"|"&amp;O1720)</f>
        <v/>
      </c>
    </row>
    <row r="1721">
      <c r="A1721" s="60" t="n"/>
      <c r="B1721" s="63" t="n"/>
      <c r="C1721" s="63" t="n"/>
      <c r="D1721" s="67" t="n"/>
      <c r="E1721" s="68" t="n"/>
      <c r="F1721" s="69" t="n"/>
      <c r="G1721" s="70" t="n"/>
      <c r="H1721" s="62" t="str">
        <f>IF(COUNTA(A1721:G1721)=0,"",IF(C1721&lt;&gt;"",C1721,IF(B1721="","",IFERROR(INDEX(pr_des,MATCH(B1721,pr_code,0))&amp;"",""))))</f>
        <v/>
      </c>
      <c r="I1721" s="59" t="str">
        <f>IF(B1721="","",IFERROR(INDEX(pr_unit,MATCH(B1721,pr_code,0))&amp;"",""))</f>
        <v/>
      </c>
      <c r="J1721" s="65" t="str">
        <f>IF(COUNTA(A1721:G1721)=0,"",IF(E1721&lt;&gt;"",E1721,IF(B1721="","",IFERROR(IF(INDEX(pr_price,MATCH(B1721,pr_code,0))="","",INDEX(pr_price,MATCH(B1721,pr_code,0))),""))))</f>
        <v/>
      </c>
      <c r="K1721" s="71" t="str">
        <f>IF(COUNTA(A1721:G1721)=0,"",IF(G1721&lt;&gt;"",G1721,IF(B1721="","",IFERROR(IF(INDEX(pr_rate,MATCH(B1721,pr_code,0))="","",INDEX(pr_rate,MATCH(B1721,pr_code,0))),""))))</f>
        <v/>
      </c>
      <c r="L1721" s="65" t="str">
        <f>IF(COUNTA(A1721:G1721)=0,"",IF(AND(ISNUMBER(D1721),ISNUMBER(J1721)),ROUND(D1721*J1721*(1-N(F1721)),2),0))</f>
        <v/>
      </c>
      <c r="M1721" s="62" t="str">
        <f>IF(A1721="","",IFERROR(INDEX(fa_cname,MATCH(A1721,fa_num,0))&amp;"",""))</f>
        <v/>
      </c>
      <c r="N1721" s="59" t="str">
        <f>IF(COUNTA(A1721:G1721)=0,"",IF(A1721="","N° facture manquant",IF(ISNA(MATCH(A1721,fa_num,0)),"Facture inconnue",IF(AND(B1721&lt;&gt;"",ISNA(MATCH(B1721,pr_code,0))),"Article inconnu",IF(H1721="","Désignation manquante",IF(OR(NOT(ISNUMBER(D1721)),N(D1721)&lt;=0),"Quantité invalide",IF(J1721="","Prix manquant",IF(OR(NOT(ISNUMBER(J1721)),N(J1721)&lt;0),"Prix invalide",IF(OR(AND(F1721&lt;&gt;"",NOT(ISNUMBER(F1721))),N(F1721)&lt;0,N(F1721)&gt;1),"Remise invalide",IF(K1721="","Taux de TVA manquant",IF(NOT(ISNUMBER(K1721)),"Taux de TVA invalide",IF(COUNTIF(p_rates,K1721)=0,"Taux de TVA hors liste (Paramètres)",IF(N(O1721)&gt;25,"Au-delà de 25 lignes : non imprimée","OK")))))))))))))</f>
        <v/>
      </c>
      <c r="O1721" s="59" t="str">
        <f>IF(A1721="","",COUNTIF($A$6:A1721,A1721))</f>
        <v/>
      </c>
      <c r="P1721" s="62" t="str">
        <f>IF(A1721="","",A1721&amp;"|"&amp;O1721)</f>
        <v/>
      </c>
    </row>
    <row r="1722">
      <c r="A1722" s="60" t="n"/>
      <c r="B1722" s="63" t="n"/>
      <c r="C1722" s="63" t="n"/>
      <c r="D1722" s="67" t="n"/>
      <c r="E1722" s="68" t="n"/>
      <c r="F1722" s="69" t="n"/>
      <c r="G1722" s="70" t="n"/>
      <c r="H1722" s="62" t="str">
        <f>IF(COUNTA(A1722:G1722)=0,"",IF(C1722&lt;&gt;"",C1722,IF(B1722="","",IFERROR(INDEX(pr_des,MATCH(B1722,pr_code,0))&amp;"",""))))</f>
        <v/>
      </c>
      <c r="I1722" s="59" t="str">
        <f>IF(B1722="","",IFERROR(INDEX(pr_unit,MATCH(B1722,pr_code,0))&amp;"",""))</f>
        <v/>
      </c>
      <c r="J1722" s="65" t="str">
        <f>IF(COUNTA(A1722:G1722)=0,"",IF(E1722&lt;&gt;"",E1722,IF(B1722="","",IFERROR(IF(INDEX(pr_price,MATCH(B1722,pr_code,0))="","",INDEX(pr_price,MATCH(B1722,pr_code,0))),""))))</f>
        <v/>
      </c>
      <c r="K1722" s="71" t="str">
        <f>IF(COUNTA(A1722:G1722)=0,"",IF(G1722&lt;&gt;"",G1722,IF(B1722="","",IFERROR(IF(INDEX(pr_rate,MATCH(B1722,pr_code,0))="","",INDEX(pr_rate,MATCH(B1722,pr_code,0))),""))))</f>
        <v/>
      </c>
      <c r="L1722" s="65" t="str">
        <f>IF(COUNTA(A1722:G1722)=0,"",IF(AND(ISNUMBER(D1722),ISNUMBER(J1722)),ROUND(D1722*J1722*(1-N(F1722)),2),0))</f>
        <v/>
      </c>
      <c r="M1722" s="62" t="str">
        <f>IF(A1722="","",IFERROR(INDEX(fa_cname,MATCH(A1722,fa_num,0))&amp;"",""))</f>
        <v/>
      </c>
      <c r="N1722" s="59" t="str">
        <f>IF(COUNTA(A1722:G1722)=0,"",IF(A1722="","N° facture manquant",IF(ISNA(MATCH(A1722,fa_num,0)),"Facture inconnue",IF(AND(B1722&lt;&gt;"",ISNA(MATCH(B1722,pr_code,0))),"Article inconnu",IF(H1722="","Désignation manquante",IF(OR(NOT(ISNUMBER(D1722)),N(D1722)&lt;=0),"Quantité invalide",IF(J1722="","Prix manquant",IF(OR(NOT(ISNUMBER(J1722)),N(J1722)&lt;0),"Prix invalide",IF(OR(AND(F1722&lt;&gt;"",NOT(ISNUMBER(F1722))),N(F1722)&lt;0,N(F1722)&gt;1),"Remise invalide",IF(K1722="","Taux de TVA manquant",IF(NOT(ISNUMBER(K1722)),"Taux de TVA invalide",IF(COUNTIF(p_rates,K1722)=0,"Taux de TVA hors liste (Paramètres)",IF(N(O1722)&gt;25,"Au-delà de 25 lignes : non imprimée","OK")))))))))))))</f>
        <v/>
      </c>
      <c r="O1722" s="59" t="str">
        <f>IF(A1722="","",COUNTIF($A$6:A1722,A1722))</f>
        <v/>
      </c>
      <c r="P1722" s="62" t="str">
        <f>IF(A1722="","",A1722&amp;"|"&amp;O1722)</f>
        <v/>
      </c>
    </row>
    <row r="1723">
      <c r="A1723" s="60" t="n"/>
      <c r="B1723" s="63" t="n"/>
      <c r="C1723" s="63" t="n"/>
      <c r="D1723" s="67" t="n"/>
      <c r="E1723" s="68" t="n"/>
      <c r="F1723" s="69" t="n"/>
      <c r="G1723" s="70" t="n"/>
      <c r="H1723" s="62" t="str">
        <f>IF(COUNTA(A1723:G1723)=0,"",IF(C1723&lt;&gt;"",C1723,IF(B1723="","",IFERROR(INDEX(pr_des,MATCH(B1723,pr_code,0))&amp;"",""))))</f>
        <v/>
      </c>
      <c r="I1723" s="59" t="str">
        <f>IF(B1723="","",IFERROR(INDEX(pr_unit,MATCH(B1723,pr_code,0))&amp;"",""))</f>
        <v/>
      </c>
      <c r="J1723" s="65" t="str">
        <f>IF(COUNTA(A1723:G1723)=0,"",IF(E1723&lt;&gt;"",E1723,IF(B1723="","",IFERROR(IF(INDEX(pr_price,MATCH(B1723,pr_code,0))="","",INDEX(pr_price,MATCH(B1723,pr_code,0))),""))))</f>
        <v/>
      </c>
      <c r="K1723" s="71" t="str">
        <f>IF(COUNTA(A1723:G1723)=0,"",IF(G1723&lt;&gt;"",G1723,IF(B1723="","",IFERROR(IF(INDEX(pr_rate,MATCH(B1723,pr_code,0))="","",INDEX(pr_rate,MATCH(B1723,pr_code,0))),""))))</f>
        <v/>
      </c>
      <c r="L1723" s="65" t="str">
        <f>IF(COUNTA(A1723:G1723)=0,"",IF(AND(ISNUMBER(D1723),ISNUMBER(J1723)),ROUND(D1723*J1723*(1-N(F1723)),2),0))</f>
        <v/>
      </c>
      <c r="M1723" s="62" t="str">
        <f>IF(A1723="","",IFERROR(INDEX(fa_cname,MATCH(A1723,fa_num,0))&amp;"",""))</f>
        <v/>
      </c>
      <c r="N1723" s="59" t="str">
        <f>IF(COUNTA(A1723:G1723)=0,"",IF(A1723="","N° facture manquant",IF(ISNA(MATCH(A1723,fa_num,0)),"Facture inconnue",IF(AND(B1723&lt;&gt;"",ISNA(MATCH(B1723,pr_code,0))),"Article inconnu",IF(H1723="","Désignation manquante",IF(OR(NOT(ISNUMBER(D1723)),N(D1723)&lt;=0),"Quantité invalide",IF(J1723="","Prix manquant",IF(OR(NOT(ISNUMBER(J1723)),N(J1723)&lt;0),"Prix invalide",IF(OR(AND(F1723&lt;&gt;"",NOT(ISNUMBER(F1723))),N(F1723)&lt;0,N(F1723)&gt;1),"Remise invalide",IF(K1723="","Taux de TVA manquant",IF(NOT(ISNUMBER(K1723)),"Taux de TVA invalide",IF(COUNTIF(p_rates,K1723)=0,"Taux de TVA hors liste (Paramètres)",IF(N(O1723)&gt;25,"Au-delà de 25 lignes : non imprimée","OK")))))))))))))</f>
        <v/>
      </c>
      <c r="O1723" s="59" t="str">
        <f>IF(A1723="","",COUNTIF($A$6:A1723,A1723))</f>
        <v/>
      </c>
      <c r="P1723" s="62" t="str">
        <f>IF(A1723="","",A1723&amp;"|"&amp;O1723)</f>
        <v/>
      </c>
    </row>
    <row r="1724">
      <c r="A1724" s="60" t="n"/>
      <c r="B1724" s="63" t="n"/>
      <c r="C1724" s="63" t="n"/>
      <c r="D1724" s="67" t="n"/>
      <c r="E1724" s="68" t="n"/>
      <c r="F1724" s="69" t="n"/>
      <c r="G1724" s="70" t="n"/>
      <c r="H1724" s="62" t="str">
        <f>IF(COUNTA(A1724:G1724)=0,"",IF(C1724&lt;&gt;"",C1724,IF(B1724="","",IFERROR(INDEX(pr_des,MATCH(B1724,pr_code,0))&amp;"",""))))</f>
        <v/>
      </c>
      <c r="I1724" s="59" t="str">
        <f>IF(B1724="","",IFERROR(INDEX(pr_unit,MATCH(B1724,pr_code,0))&amp;"",""))</f>
        <v/>
      </c>
      <c r="J1724" s="65" t="str">
        <f>IF(COUNTA(A1724:G1724)=0,"",IF(E1724&lt;&gt;"",E1724,IF(B1724="","",IFERROR(IF(INDEX(pr_price,MATCH(B1724,pr_code,0))="","",INDEX(pr_price,MATCH(B1724,pr_code,0))),""))))</f>
        <v/>
      </c>
      <c r="K1724" s="71" t="str">
        <f>IF(COUNTA(A1724:G1724)=0,"",IF(G1724&lt;&gt;"",G1724,IF(B1724="","",IFERROR(IF(INDEX(pr_rate,MATCH(B1724,pr_code,0))="","",INDEX(pr_rate,MATCH(B1724,pr_code,0))),""))))</f>
        <v/>
      </c>
      <c r="L1724" s="65" t="str">
        <f>IF(COUNTA(A1724:G1724)=0,"",IF(AND(ISNUMBER(D1724),ISNUMBER(J1724)),ROUND(D1724*J1724*(1-N(F1724)),2),0))</f>
        <v/>
      </c>
      <c r="M1724" s="62" t="str">
        <f>IF(A1724="","",IFERROR(INDEX(fa_cname,MATCH(A1724,fa_num,0))&amp;"",""))</f>
        <v/>
      </c>
      <c r="N1724" s="59" t="str">
        <f>IF(COUNTA(A1724:G1724)=0,"",IF(A1724="","N° facture manquant",IF(ISNA(MATCH(A1724,fa_num,0)),"Facture inconnue",IF(AND(B1724&lt;&gt;"",ISNA(MATCH(B1724,pr_code,0))),"Article inconnu",IF(H1724="","Désignation manquante",IF(OR(NOT(ISNUMBER(D1724)),N(D1724)&lt;=0),"Quantité invalide",IF(J1724="","Prix manquant",IF(OR(NOT(ISNUMBER(J1724)),N(J1724)&lt;0),"Prix invalide",IF(OR(AND(F1724&lt;&gt;"",NOT(ISNUMBER(F1724))),N(F1724)&lt;0,N(F1724)&gt;1),"Remise invalide",IF(K1724="","Taux de TVA manquant",IF(NOT(ISNUMBER(K1724)),"Taux de TVA invalide",IF(COUNTIF(p_rates,K1724)=0,"Taux de TVA hors liste (Paramètres)",IF(N(O1724)&gt;25,"Au-delà de 25 lignes : non imprimée","OK")))))))))))))</f>
        <v/>
      </c>
      <c r="O1724" s="59" t="str">
        <f>IF(A1724="","",COUNTIF($A$6:A1724,A1724))</f>
        <v/>
      </c>
      <c r="P1724" s="62" t="str">
        <f>IF(A1724="","",A1724&amp;"|"&amp;O1724)</f>
        <v/>
      </c>
    </row>
    <row r="1725">
      <c r="A1725" s="60" t="n"/>
      <c r="B1725" s="63" t="n"/>
      <c r="C1725" s="63" t="n"/>
      <c r="D1725" s="67" t="n"/>
      <c r="E1725" s="68" t="n"/>
      <c r="F1725" s="69" t="n"/>
      <c r="G1725" s="70" t="n"/>
      <c r="H1725" s="62" t="str">
        <f>IF(COUNTA(A1725:G1725)=0,"",IF(C1725&lt;&gt;"",C1725,IF(B1725="","",IFERROR(INDEX(pr_des,MATCH(B1725,pr_code,0))&amp;"",""))))</f>
        <v/>
      </c>
      <c r="I1725" s="59" t="str">
        <f>IF(B1725="","",IFERROR(INDEX(pr_unit,MATCH(B1725,pr_code,0))&amp;"",""))</f>
        <v/>
      </c>
      <c r="J1725" s="65" t="str">
        <f>IF(COUNTA(A1725:G1725)=0,"",IF(E1725&lt;&gt;"",E1725,IF(B1725="","",IFERROR(IF(INDEX(pr_price,MATCH(B1725,pr_code,0))="","",INDEX(pr_price,MATCH(B1725,pr_code,0))),""))))</f>
        <v/>
      </c>
      <c r="K1725" s="71" t="str">
        <f>IF(COUNTA(A1725:G1725)=0,"",IF(G1725&lt;&gt;"",G1725,IF(B1725="","",IFERROR(IF(INDEX(pr_rate,MATCH(B1725,pr_code,0))="","",INDEX(pr_rate,MATCH(B1725,pr_code,0))),""))))</f>
        <v/>
      </c>
      <c r="L1725" s="65" t="str">
        <f>IF(COUNTA(A1725:G1725)=0,"",IF(AND(ISNUMBER(D1725),ISNUMBER(J1725)),ROUND(D1725*J1725*(1-N(F1725)),2),0))</f>
        <v/>
      </c>
      <c r="M1725" s="62" t="str">
        <f>IF(A1725="","",IFERROR(INDEX(fa_cname,MATCH(A1725,fa_num,0))&amp;"",""))</f>
        <v/>
      </c>
      <c r="N1725" s="59" t="str">
        <f>IF(COUNTA(A1725:G1725)=0,"",IF(A1725="","N° facture manquant",IF(ISNA(MATCH(A1725,fa_num,0)),"Facture inconnue",IF(AND(B1725&lt;&gt;"",ISNA(MATCH(B1725,pr_code,0))),"Article inconnu",IF(H1725="","Désignation manquante",IF(OR(NOT(ISNUMBER(D1725)),N(D1725)&lt;=0),"Quantité invalide",IF(J1725="","Prix manquant",IF(OR(NOT(ISNUMBER(J1725)),N(J1725)&lt;0),"Prix invalide",IF(OR(AND(F1725&lt;&gt;"",NOT(ISNUMBER(F1725))),N(F1725)&lt;0,N(F1725)&gt;1),"Remise invalide",IF(K1725="","Taux de TVA manquant",IF(NOT(ISNUMBER(K1725)),"Taux de TVA invalide",IF(COUNTIF(p_rates,K1725)=0,"Taux de TVA hors liste (Paramètres)",IF(N(O1725)&gt;25,"Au-delà de 25 lignes : non imprimée","OK")))))))))))))</f>
        <v/>
      </c>
      <c r="O1725" s="59" t="str">
        <f>IF(A1725="","",COUNTIF($A$6:A1725,A1725))</f>
        <v/>
      </c>
      <c r="P1725" s="62" t="str">
        <f>IF(A1725="","",A1725&amp;"|"&amp;O1725)</f>
        <v/>
      </c>
    </row>
    <row r="1726">
      <c r="A1726" s="60" t="n"/>
      <c r="B1726" s="63" t="n"/>
      <c r="C1726" s="63" t="n"/>
      <c r="D1726" s="67" t="n"/>
      <c r="E1726" s="68" t="n"/>
      <c r="F1726" s="69" t="n"/>
      <c r="G1726" s="70" t="n"/>
      <c r="H1726" s="62" t="str">
        <f>IF(COUNTA(A1726:G1726)=0,"",IF(C1726&lt;&gt;"",C1726,IF(B1726="","",IFERROR(INDEX(pr_des,MATCH(B1726,pr_code,0))&amp;"",""))))</f>
        <v/>
      </c>
      <c r="I1726" s="59" t="str">
        <f>IF(B1726="","",IFERROR(INDEX(pr_unit,MATCH(B1726,pr_code,0))&amp;"",""))</f>
        <v/>
      </c>
      <c r="J1726" s="65" t="str">
        <f>IF(COUNTA(A1726:G1726)=0,"",IF(E1726&lt;&gt;"",E1726,IF(B1726="","",IFERROR(IF(INDEX(pr_price,MATCH(B1726,pr_code,0))="","",INDEX(pr_price,MATCH(B1726,pr_code,0))),""))))</f>
        <v/>
      </c>
      <c r="K1726" s="71" t="str">
        <f>IF(COUNTA(A1726:G1726)=0,"",IF(G1726&lt;&gt;"",G1726,IF(B1726="","",IFERROR(IF(INDEX(pr_rate,MATCH(B1726,pr_code,0))="","",INDEX(pr_rate,MATCH(B1726,pr_code,0))),""))))</f>
        <v/>
      </c>
      <c r="L1726" s="65" t="str">
        <f>IF(COUNTA(A1726:G1726)=0,"",IF(AND(ISNUMBER(D1726),ISNUMBER(J1726)),ROUND(D1726*J1726*(1-N(F1726)),2),0))</f>
        <v/>
      </c>
      <c r="M1726" s="62" t="str">
        <f>IF(A1726="","",IFERROR(INDEX(fa_cname,MATCH(A1726,fa_num,0))&amp;"",""))</f>
        <v/>
      </c>
      <c r="N1726" s="59" t="str">
        <f>IF(COUNTA(A1726:G1726)=0,"",IF(A1726="","N° facture manquant",IF(ISNA(MATCH(A1726,fa_num,0)),"Facture inconnue",IF(AND(B1726&lt;&gt;"",ISNA(MATCH(B1726,pr_code,0))),"Article inconnu",IF(H1726="","Désignation manquante",IF(OR(NOT(ISNUMBER(D1726)),N(D1726)&lt;=0),"Quantité invalide",IF(J1726="","Prix manquant",IF(OR(NOT(ISNUMBER(J1726)),N(J1726)&lt;0),"Prix invalide",IF(OR(AND(F1726&lt;&gt;"",NOT(ISNUMBER(F1726))),N(F1726)&lt;0,N(F1726)&gt;1),"Remise invalide",IF(K1726="","Taux de TVA manquant",IF(NOT(ISNUMBER(K1726)),"Taux de TVA invalide",IF(COUNTIF(p_rates,K1726)=0,"Taux de TVA hors liste (Paramètres)",IF(N(O1726)&gt;25,"Au-delà de 25 lignes : non imprimée","OK")))))))))))))</f>
        <v/>
      </c>
      <c r="O1726" s="59" t="str">
        <f>IF(A1726="","",COUNTIF($A$6:A1726,A1726))</f>
        <v/>
      </c>
      <c r="P1726" s="62" t="str">
        <f>IF(A1726="","",A1726&amp;"|"&amp;O1726)</f>
        <v/>
      </c>
    </row>
    <row r="1727">
      <c r="A1727" s="60" t="n"/>
      <c r="B1727" s="63" t="n"/>
      <c r="C1727" s="63" t="n"/>
      <c r="D1727" s="67" t="n"/>
      <c r="E1727" s="68" t="n"/>
      <c r="F1727" s="69" t="n"/>
      <c r="G1727" s="70" t="n"/>
      <c r="H1727" s="62" t="str">
        <f>IF(COUNTA(A1727:G1727)=0,"",IF(C1727&lt;&gt;"",C1727,IF(B1727="","",IFERROR(INDEX(pr_des,MATCH(B1727,pr_code,0))&amp;"",""))))</f>
        <v/>
      </c>
      <c r="I1727" s="59" t="str">
        <f>IF(B1727="","",IFERROR(INDEX(pr_unit,MATCH(B1727,pr_code,0))&amp;"",""))</f>
        <v/>
      </c>
      <c r="J1727" s="65" t="str">
        <f>IF(COUNTA(A1727:G1727)=0,"",IF(E1727&lt;&gt;"",E1727,IF(B1727="","",IFERROR(IF(INDEX(pr_price,MATCH(B1727,pr_code,0))="","",INDEX(pr_price,MATCH(B1727,pr_code,0))),""))))</f>
        <v/>
      </c>
      <c r="K1727" s="71" t="str">
        <f>IF(COUNTA(A1727:G1727)=0,"",IF(G1727&lt;&gt;"",G1727,IF(B1727="","",IFERROR(IF(INDEX(pr_rate,MATCH(B1727,pr_code,0))="","",INDEX(pr_rate,MATCH(B1727,pr_code,0))),""))))</f>
        <v/>
      </c>
      <c r="L1727" s="65" t="str">
        <f>IF(COUNTA(A1727:G1727)=0,"",IF(AND(ISNUMBER(D1727),ISNUMBER(J1727)),ROUND(D1727*J1727*(1-N(F1727)),2),0))</f>
        <v/>
      </c>
      <c r="M1727" s="62" t="str">
        <f>IF(A1727="","",IFERROR(INDEX(fa_cname,MATCH(A1727,fa_num,0))&amp;"",""))</f>
        <v/>
      </c>
      <c r="N1727" s="59" t="str">
        <f>IF(COUNTA(A1727:G1727)=0,"",IF(A1727="","N° facture manquant",IF(ISNA(MATCH(A1727,fa_num,0)),"Facture inconnue",IF(AND(B1727&lt;&gt;"",ISNA(MATCH(B1727,pr_code,0))),"Article inconnu",IF(H1727="","Désignation manquante",IF(OR(NOT(ISNUMBER(D1727)),N(D1727)&lt;=0),"Quantité invalide",IF(J1727="","Prix manquant",IF(OR(NOT(ISNUMBER(J1727)),N(J1727)&lt;0),"Prix invalide",IF(OR(AND(F1727&lt;&gt;"",NOT(ISNUMBER(F1727))),N(F1727)&lt;0,N(F1727)&gt;1),"Remise invalide",IF(K1727="","Taux de TVA manquant",IF(NOT(ISNUMBER(K1727)),"Taux de TVA invalide",IF(COUNTIF(p_rates,K1727)=0,"Taux de TVA hors liste (Paramètres)",IF(N(O1727)&gt;25,"Au-delà de 25 lignes : non imprimée","OK")))))))))))))</f>
        <v/>
      </c>
      <c r="O1727" s="59" t="str">
        <f>IF(A1727="","",COUNTIF($A$6:A1727,A1727))</f>
        <v/>
      </c>
      <c r="P1727" s="62" t="str">
        <f>IF(A1727="","",A1727&amp;"|"&amp;O1727)</f>
        <v/>
      </c>
    </row>
    <row r="1728">
      <c r="A1728" s="60" t="n"/>
      <c r="B1728" s="63" t="n"/>
      <c r="C1728" s="63" t="n"/>
      <c r="D1728" s="67" t="n"/>
      <c r="E1728" s="68" t="n"/>
      <c r="F1728" s="69" t="n"/>
      <c r="G1728" s="70" t="n"/>
      <c r="H1728" s="62" t="str">
        <f>IF(COUNTA(A1728:G1728)=0,"",IF(C1728&lt;&gt;"",C1728,IF(B1728="","",IFERROR(INDEX(pr_des,MATCH(B1728,pr_code,0))&amp;"",""))))</f>
        <v/>
      </c>
      <c r="I1728" s="59" t="str">
        <f>IF(B1728="","",IFERROR(INDEX(pr_unit,MATCH(B1728,pr_code,0))&amp;"",""))</f>
        <v/>
      </c>
      <c r="J1728" s="65" t="str">
        <f>IF(COUNTA(A1728:G1728)=0,"",IF(E1728&lt;&gt;"",E1728,IF(B1728="","",IFERROR(IF(INDEX(pr_price,MATCH(B1728,pr_code,0))="","",INDEX(pr_price,MATCH(B1728,pr_code,0))),""))))</f>
        <v/>
      </c>
      <c r="K1728" s="71" t="str">
        <f>IF(COUNTA(A1728:G1728)=0,"",IF(G1728&lt;&gt;"",G1728,IF(B1728="","",IFERROR(IF(INDEX(pr_rate,MATCH(B1728,pr_code,0))="","",INDEX(pr_rate,MATCH(B1728,pr_code,0))),""))))</f>
        <v/>
      </c>
      <c r="L1728" s="65" t="str">
        <f>IF(COUNTA(A1728:G1728)=0,"",IF(AND(ISNUMBER(D1728),ISNUMBER(J1728)),ROUND(D1728*J1728*(1-N(F1728)),2),0))</f>
        <v/>
      </c>
      <c r="M1728" s="62" t="str">
        <f>IF(A1728="","",IFERROR(INDEX(fa_cname,MATCH(A1728,fa_num,0))&amp;"",""))</f>
        <v/>
      </c>
      <c r="N1728" s="59" t="str">
        <f>IF(COUNTA(A1728:G1728)=0,"",IF(A1728="","N° facture manquant",IF(ISNA(MATCH(A1728,fa_num,0)),"Facture inconnue",IF(AND(B1728&lt;&gt;"",ISNA(MATCH(B1728,pr_code,0))),"Article inconnu",IF(H1728="","Désignation manquante",IF(OR(NOT(ISNUMBER(D1728)),N(D1728)&lt;=0),"Quantité invalide",IF(J1728="","Prix manquant",IF(OR(NOT(ISNUMBER(J1728)),N(J1728)&lt;0),"Prix invalide",IF(OR(AND(F1728&lt;&gt;"",NOT(ISNUMBER(F1728))),N(F1728)&lt;0,N(F1728)&gt;1),"Remise invalide",IF(K1728="","Taux de TVA manquant",IF(NOT(ISNUMBER(K1728)),"Taux de TVA invalide",IF(COUNTIF(p_rates,K1728)=0,"Taux de TVA hors liste (Paramètres)",IF(N(O1728)&gt;25,"Au-delà de 25 lignes : non imprimée","OK")))))))))))))</f>
        <v/>
      </c>
      <c r="O1728" s="59" t="str">
        <f>IF(A1728="","",COUNTIF($A$6:A1728,A1728))</f>
        <v/>
      </c>
      <c r="P1728" s="62" t="str">
        <f>IF(A1728="","",A1728&amp;"|"&amp;O1728)</f>
        <v/>
      </c>
    </row>
    <row r="1729">
      <c r="A1729" s="60" t="n"/>
      <c r="B1729" s="63" t="n"/>
      <c r="C1729" s="63" t="n"/>
      <c r="D1729" s="67" t="n"/>
      <c r="E1729" s="68" t="n"/>
      <c r="F1729" s="69" t="n"/>
      <c r="G1729" s="70" t="n"/>
      <c r="H1729" s="62" t="str">
        <f>IF(COUNTA(A1729:G1729)=0,"",IF(C1729&lt;&gt;"",C1729,IF(B1729="","",IFERROR(INDEX(pr_des,MATCH(B1729,pr_code,0))&amp;"",""))))</f>
        <v/>
      </c>
      <c r="I1729" s="59" t="str">
        <f>IF(B1729="","",IFERROR(INDEX(pr_unit,MATCH(B1729,pr_code,0))&amp;"",""))</f>
        <v/>
      </c>
      <c r="J1729" s="65" t="str">
        <f>IF(COUNTA(A1729:G1729)=0,"",IF(E1729&lt;&gt;"",E1729,IF(B1729="","",IFERROR(IF(INDEX(pr_price,MATCH(B1729,pr_code,0))="","",INDEX(pr_price,MATCH(B1729,pr_code,0))),""))))</f>
        <v/>
      </c>
      <c r="K1729" s="71" t="str">
        <f>IF(COUNTA(A1729:G1729)=0,"",IF(G1729&lt;&gt;"",G1729,IF(B1729="","",IFERROR(IF(INDEX(pr_rate,MATCH(B1729,pr_code,0))="","",INDEX(pr_rate,MATCH(B1729,pr_code,0))),""))))</f>
        <v/>
      </c>
      <c r="L1729" s="65" t="str">
        <f>IF(COUNTA(A1729:G1729)=0,"",IF(AND(ISNUMBER(D1729),ISNUMBER(J1729)),ROUND(D1729*J1729*(1-N(F1729)),2),0))</f>
        <v/>
      </c>
      <c r="M1729" s="62" t="str">
        <f>IF(A1729="","",IFERROR(INDEX(fa_cname,MATCH(A1729,fa_num,0))&amp;"",""))</f>
        <v/>
      </c>
      <c r="N1729" s="59" t="str">
        <f>IF(COUNTA(A1729:G1729)=0,"",IF(A1729="","N° facture manquant",IF(ISNA(MATCH(A1729,fa_num,0)),"Facture inconnue",IF(AND(B1729&lt;&gt;"",ISNA(MATCH(B1729,pr_code,0))),"Article inconnu",IF(H1729="","Désignation manquante",IF(OR(NOT(ISNUMBER(D1729)),N(D1729)&lt;=0),"Quantité invalide",IF(J1729="","Prix manquant",IF(OR(NOT(ISNUMBER(J1729)),N(J1729)&lt;0),"Prix invalide",IF(OR(AND(F1729&lt;&gt;"",NOT(ISNUMBER(F1729))),N(F1729)&lt;0,N(F1729)&gt;1),"Remise invalide",IF(K1729="","Taux de TVA manquant",IF(NOT(ISNUMBER(K1729)),"Taux de TVA invalide",IF(COUNTIF(p_rates,K1729)=0,"Taux de TVA hors liste (Paramètres)",IF(N(O1729)&gt;25,"Au-delà de 25 lignes : non imprimée","OK")))))))))))))</f>
        <v/>
      </c>
      <c r="O1729" s="59" t="str">
        <f>IF(A1729="","",COUNTIF($A$6:A1729,A1729))</f>
        <v/>
      </c>
      <c r="P1729" s="62" t="str">
        <f>IF(A1729="","",A1729&amp;"|"&amp;O1729)</f>
        <v/>
      </c>
    </row>
    <row r="1730">
      <c r="A1730" s="60" t="n"/>
      <c r="B1730" s="63" t="n"/>
      <c r="C1730" s="63" t="n"/>
      <c r="D1730" s="67" t="n"/>
      <c r="E1730" s="68" t="n"/>
      <c r="F1730" s="69" t="n"/>
      <c r="G1730" s="70" t="n"/>
      <c r="H1730" s="62" t="str">
        <f>IF(COUNTA(A1730:G1730)=0,"",IF(C1730&lt;&gt;"",C1730,IF(B1730="","",IFERROR(INDEX(pr_des,MATCH(B1730,pr_code,0))&amp;"",""))))</f>
        <v/>
      </c>
      <c r="I1730" s="59" t="str">
        <f>IF(B1730="","",IFERROR(INDEX(pr_unit,MATCH(B1730,pr_code,0))&amp;"",""))</f>
        <v/>
      </c>
      <c r="J1730" s="65" t="str">
        <f>IF(COUNTA(A1730:G1730)=0,"",IF(E1730&lt;&gt;"",E1730,IF(B1730="","",IFERROR(IF(INDEX(pr_price,MATCH(B1730,pr_code,0))="","",INDEX(pr_price,MATCH(B1730,pr_code,0))),""))))</f>
        <v/>
      </c>
      <c r="K1730" s="71" t="str">
        <f>IF(COUNTA(A1730:G1730)=0,"",IF(G1730&lt;&gt;"",G1730,IF(B1730="","",IFERROR(IF(INDEX(pr_rate,MATCH(B1730,pr_code,0))="","",INDEX(pr_rate,MATCH(B1730,pr_code,0))),""))))</f>
        <v/>
      </c>
      <c r="L1730" s="65" t="str">
        <f>IF(COUNTA(A1730:G1730)=0,"",IF(AND(ISNUMBER(D1730),ISNUMBER(J1730)),ROUND(D1730*J1730*(1-N(F1730)),2),0))</f>
        <v/>
      </c>
      <c r="M1730" s="62" t="str">
        <f>IF(A1730="","",IFERROR(INDEX(fa_cname,MATCH(A1730,fa_num,0))&amp;"",""))</f>
        <v/>
      </c>
      <c r="N1730" s="59" t="str">
        <f>IF(COUNTA(A1730:G1730)=0,"",IF(A1730="","N° facture manquant",IF(ISNA(MATCH(A1730,fa_num,0)),"Facture inconnue",IF(AND(B1730&lt;&gt;"",ISNA(MATCH(B1730,pr_code,0))),"Article inconnu",IF(H1730="","Désignation manquante",IF(OR(NOT(ISNUMBER(D1730)),N(D1730)&lt;=0),"Quantité invalide",IF(J1730="","Prix manquant",IF(OR(NOT(ISNUMBER(J1730)),N(J1730)&lt;0),"Prix invalide",IF(OR(AND(F1730&lt;&gt;"",NOT(ISNUMBER(F1730))),N(F1730)&lt;0,N(F1730)&gt;1),"Remise invalide",IF(K1730="","Taux de TVA manquant",IF(NOT(ISNUMBER(K1730)),"Taux de TVA invalide",IF(COUNTIF(p_rates,K1730)=0,"Taux de TVA hors liste (Paramètres)",IF(N(O1730)&gt;25,"Au-delà de 25 lignes : non imprimée","OK")))))))))))))</f>
        <v/>
      </c>
      <c r="O1730" s="59" t="str">
        <f>IF(A1730="","",COUNTIF($A$6:A1730,A1730))</f>
        <v/>
      </c>
      <c r="P1730" s="62" t="str">
        <f>IF(A1730="","",A1730&amp;"|"&amp;O1730)</f>
        <v/>
      </c>
    </row>
    <row r="1731">
      <c r="A1731" s="60" t="n"/>
      <c r="B1731" s="63" t="n"/>
      <c r="C1731" s="63" t="n"/>
      <c r="D1731" s="67" t="n"/>
      <c r="E1731" s="68" t="n"/>
      <c r="F1731" s="69" t="n"/>
      <c r="G1731" s="70" t="n"/>
      <c r="H1731" s="62" t="str">
        <f>IF(COUNTA(A1731:G1731)=0,"",IF(C1731&lt;&gt;"",C1731,IF(B1731="","",IFERROR(INDEX(pr_des,MATCH(B1731,pr_code,0))&amp;"",""))))</f>
        <v/>
      </c>
      <c r="I1731" s="59" t="str">
        <f>IF(B1731="","",IFERROR(INDEX(pr_unit,MATCH(B1731,pr_code,0))&amp;"",""))</f>
        <v/>
      </c>
      <c r="J1731" s="65" t="str">
        <f>IF(COUNTA(A1731:G1731)=0,"",IF(E1731&lt;&gt;"",E1731,IF(B1731="","",IFERROR(IF(INDEX(pr_price,MATCH(B1731,pr_code,0))="","",INDEX(pr_price,MATCH(B1731,pr_code,0))),""))))</f>
        <v/>
      </c>
      <c r="K1731" s="71" t="str">
        <f>IF(COUNTA(A1731:G1731)=0,"",IF(G1731&lt;&gt;"",G1731,IF(B1731="","",IFERROR(IF(INDEX(pr_rate,MATCH(B1731,pr_code,0))="","",INDEX(pr_rate,MATCH(B1731,pr_code,0))),""))))</f>
        <v/>
      </c>
      <c r="L1731" s="65" t="str">
        <f>IF(COUNTA(A1731:G1731)=0,"",IF(AND(ISNUMBER(D1731),ISNUMBER(J1731)),ROUND(D1731*J1731*(1-N(F1731)),2),0))</f>
        <v/>
      </c>
      <c r="M1731" s="62" t="str">
        <f>IF(A1731="","",IFERROR(INDEX(fa_cname,MATCH(A1731,fa_num,0))&amp;"",""))</f>
        <v/>
      </c>
      <c r="N1731" s="59" t="str">
        <f>IF(COUNTA(A1731:G1731)=0,"",IF(A1731="","N° facture manquant",IF(ISNA(MATCH(A1731,fa_num,0)),"Facture inconnue",IF(AND(B1731&lt;&gt;"",ISNA(MATCH(B1731,pr_code,0))),"Article inconnu",IF(H1731="","Désignation manquante",IF(OR(NOT(ISNUMBER(D1731)),N(D1731)&lt;=0),"Quantité invalide",IF(J1731="","Prix manquant",IF(OR(NOT(ISNUMBER(J1731)),N(J1731)&lt;0),"Prix invalide",IF(OR(AND(F1731&lt;&gt;"",NOT(ISNUMBER(F1731))),N(F1731)&lt;0,N(F1731)&gt;1),"Remise invalide",IF(K1731="","Taux de TVA manquant",IF(NOT(ISNUMBER(K1731)),"Taux de TVA invalide",IF(COUNTIF(p_rates,K1731)=0,"Taux de TVA hors liste (Paramètres)",IF(N(O1731)&gt;25,"Au-delà de 25 lignes : non imprimée","OK")))))))))))))</f>
        <v/>
      </c>
      <c r="O1731" s="59" t="str">
        <f>IF(A1731="","",COUNTIF($A$6:A1731,A1731))</f>
        <v/>
      </c>
      <c r="P1731" s="62" t="str">
        <f>IF(A1731="","",A1731&amp;"|"&amp;O1731)</f>
        <v/>
      </c>
    </row>
    <row r="1732">
      <c r="A1732" s="60" t="n"/>
      <c r="B1732" s="63" t="n"/>
      <c r="C1732" s="63" t="n"/>
      <c r="D1732" s="67" t="n"/>
      <c r="E1732" s="68" t="n"/>
      <c r="F1732" s="69" t="n"/>
      <c r="G1732" s="70" t="n"/>
      <c r="H1732" s="62" t="str">
        <f>IF(COUNTA(A1732:G1732)=0,"",IF(C1732&lt;&gt;"",C1732,IF(B1732="","",IFERROR(INDEX(pr_des,MATCH(B1732,pr_code,0))&amp;"",""))))</f>
        <v/>
      </c>
      <c r="I1732" s="59" t="str">
        <f>IF(B1732="","",IFERROR(INDEX(pr_unit,MATCH(B1732,pr_code,0))&amp;"",""))</f>
        <v/>
      </c>
      <c r="J1732" s="65" t="str">
        <f>IF(COUNTA(A1732:G1732)=0,"",IF(E1732&lt;&gt;"",E1732,IF(B1732="","",IFERROR(IF(INDEX(pr_price,MATCH(B1732,pr_code,0))="","",INDEX(pr_price,MATCH(B1732,pr_code,0))),""))))</f>
        <v/>
      </c>
      <c r="K1732" s="71" t="str">
        <f>IF(COUNTA(A1732:G1732)=0,"",IF(G1732&lt;&gt;"",G1732,IF(B1732="","",IFERROR(IF(INDEX(pr_rate,MATCH(B1732,pr_code,0))="","",INDEX(pr_rate,MATCH(B1732,pr_code,0))),""))))</f>
        <v/>
      </c>
      <c r="L1732" s="65" t="str">
        <f>IF(COUNTA(A1732:G1732)=0,"",IF(AND(ISNUMBER(D1732),ISNUMBER(J1732)),ROUND(D1732*J1732*(1-N(F1732)),2),0))</f>
        <v/>
      </c>
      <c r="M1732" s="62" t="str">
        <f>IF(A1732="","",IFERROR(INDEX(fa_cname,MATCH(A1732,fa_num,0))&amp;"",""))</f>
        <v/>
      </c>
      <c r="N1732" s="59" t="str">
        <f>IF(COUNTA(A1732:G1732)=0,"",IF(A1732="","N° facture manquant",IF(ISNA(MATCH(A1732,fa_num,0)),"Facture inconnue",IF(AND(B1732&lt;&gt;"",ISNA(MATCH(B1732,pr_code,0))),"Article inconnu",IF(H1732="","Désignation manquante",IF(OR(NOT(ISNUMBER(D1732)),N(D1732)&lt;=0),"Quantité invalide",IF(J1732="","Prix manquant",IF(OR(NOT(ISNUMBER(J1732)),N(J1732)&lt;0),"Prix invalide",IF(OR(AND(F1732&lt;&gt;"",NOT(ISNUMBER(F1732))),N(F1732)&lt;0,N(F1732)&gt;1),"Remise invalide",IF(K1732="","Taux de TVA manquant",IF(NOT(ISNUMBER(K1732)),"Taux de TVA invalide",IF(COUNTIF(p_rates,K1732)=0,"Taux de TVA hors liste (Paramètres)",IF(N(O1732)&gt;25,"Au-delà de 25 lignes : non imprimée","OK")))))))))))))</f>
        <v/>
      </c>
      <c r="O1732" s="59" t="str">
        <f>IF(A1732="","",COUNTIF($A$6:A1732,A1732))</f>
        <v/>
      </c>
      <c r="P1732" s="62" t="str">
        <f>IF(A1732="","",A1732&amp;"|"&amp;O1732)</f>
        <v/>
      </c>
    </row>
    <row r="1733">
      <c r="A1733" s="60" t="n"/>
      <c r="B1733" s="63" t="n"/>
      <c r="C1733" s="63" t="n"/>
      <c r="D1733" s="67" t="n"/>
      <c r="E1733" s="68" t="n"/>
      <c r="F1733" s="69" t="n"/>
      <c r="G1733" s="70" t="n"/>
      <c r="H1733" s="62" t="str">
        <f>IF(COUNTA(A1733:G1733)=0,"",IF(C1733&lt;&gt;"",C1733,IF(B1733="","",IFERROR(INDEX(pr_des,MATCH(B1733,pr_code,0))&amp;"",""))))</f>
        <v/>
      </c>
      <c r="I1733" s="59" t="str">
        <f>IF(B1733="","",IFERROR(INDEX(pr_unit,MATCH(B1733,pr_code,0))&amp;"",""))</f>
        <v/>
      </c>
      <c r="J1733" s="65" t="str">
        <f>IF(COUNTA(A1733:G1733)=0,"",IF(E1733&lt;&gt;"",E1733,IF(B1733="","",IFERROR(IF(INDEX(pr_price,MATCH(B1733,pr_code,0))="","",INDEX(pr_price,MATCH(B1733,pr_code,0))),""))))</f>
        <v/>
      </c>
      <c r="K1733" s="71" t="str">
        <f>IF(COUNTA(A1733:G1733)=0,"",IF(G1733&lt;&gt;"",G1733,IF(B1733="","",IFERROR(IF(INDEX(pr_rate,MATCH(B1733,pr_code,0))="","",INDEX(pr_rate,MATCH(B1733,pr_code,0))),""))))</f>
        <v/>
      </c>
      <c r="L1733" s="65" t="str">
        <f>IF(COUNTA(A1733:G1733)=0,"",IF(AND(ISNUMBER(D1733),ISNUMBER(J1733)),ROUND(D1733*J1733*(1-N(F1733)),2),0))</f>
        <v/>
      </c>
      <c r="M1733" s="62" t="str">
        <f>IF(A1733="","",IFERROR(INDEX(fa_cname,MATCH(A1733,fa_num,0))&amp;"",""))</f>
        <v/>
      </c>
      <c r="N1733" s="59" t="str">
        <f>IF(COUNTA(A1733:G1733)=0,"",IF(A1733="","N° facture manquant",IF(ISNA(MATCH(A1733,fa_num,0)),"Facture inconnue",IF(AND(B1733&lt;&gt;"",ISNA(MATCH(B1733,pr_code,0))),"Article inconnu",IF(H1733="","Désignation manquante",IF(OR(NOT(ISNUMBER(D1733)),N(D1733)&lt;=0),"Quantité invalide",IF(J1733="","Prix manquant",IF(OR(NOT(ISNUMBER(J1733)),N(J1733)&lt;0),"Prix invalide",IF(OR(AND(F1733&lt;&gt;"",NOT(ISNUMBER(F1733))),N(F1733)&lt;0,N(F1733)&gt;1),"Remise invalide",IF(K1733="","Taux de TVA manquant",IF(NOT(ISNUMBER(K1733)),"Taux de TVA invalide",IF(COUNTIF(p_rates,K1733)=0,"Taux de TVA hors liste (Paramètres)",IF(N(O1733)&gt;25,"Au-delà de 25 lignes : non imprimée","OK")))))))))))))</f>
        <v/>
      </c>
      <c r="O1733" s="59" t="str">
        <f>IF(A1733="","",COUNTIF($A$6:A1733,A1733))</f>
        <v/>
      </c>
      <c r="P1733" s="62" t="str">
        <f>IF(A1733="","",A1733&amp;"|"&amp;O1733)</f>
        <v/>
      </c>
    </row>
    <row r="1734">
      <c r="A1734" s="60" t="n"/>
      <c r="B1734" s="63" t="n"/>
      <c r="C1734" s="63" t="n"/>
      <c r="D1734" s="67" t="n"/>
      <c r="E1734" s="68" t="n"/>
      <c r="F1734" s="69" t="n"/>
      <c r="G1734" s="70" t="n"/>
      <c r="H1734" s="62" t="str">
        <f>IF(COUNTA(A1734:G1734)=0,"",IF(C1734&lt;&gt;"",C1734,IF(B1734="","",IFERROR(INDEX(pr_des,MATCH(B1734,pr_code,0))&amp;"",""))))</f>
        <v/>
      </c>
      <c r="I1734" s="59" t="str">
        <f>IF(B1734="","",IFERROR(INDEX(pr_unit,MATCH(B1734,pr_code,0))&amp;"",""))</f>
        <v/>
      </c>
      <c r="J1734" s="65" t="str">
        <f>IF(COUNTA(A1734:G1734)=0,"",IF(E1734&lt;&gt;"",E1734,IF(B1734="","",IFERROR(IF(INDEX(pr_price,MATCH(B1734,pr_code,0))="","",INDEX(pr_price,MATCH(B1734,pr_code,0))),""))))</f>
        <v/>
      </c>
      <c r="K1734" s="71" t="str">
        <f>IF(COUNTA(A1734:G1734)=0,"",IF(G1734&lt;&gt;"",G1734,IF(B1734="","",IFERROR(IF(INDEX(pr_rate,MATCH(B1734,pr_code,0))="","",INDEX(pr_rate,MATCH(B1734,pr_code,0))),""))))</f>
        <v/>
      </c>
      <c r="L1734" s="65" t="str">
        <f>IF(COUNTA(A1734:G1734)=0,"",IF(AND(ISNUMBER(D1734),ISNUMBER(J1734)),ROUND(D1734*J1734*(1-N(F1734)),2),0))</f>
        <v/>
      </c>
      <c r="M1734" s="62" t="str">
        <f>IF(A1734="","",IFERROR(INDEX(fa_cname,MATCH(A1734,fa_num,0))&amp;"",""))</f>
        <v/>
      </c>
      <c r="N1734" s="59" t="str">
        <f>IF(COUNTA(A1734:G1734)=0,"",IF(A1734="","N° facture manquant",IF(ISNA(MATCH(A1734,fa_num,0)),"Facture inconnue",IF(AND(B1734&lt;&gt;"",ISNA(MATCH(B1734,pr_code,0))),"Article inconnu",IF(H1734="","Désignation manquante",IF(OR(NOT(ISNUMBER(D1734)),N(D1734)&lt;=0),"Quantité invalide",IF(J1734="","Prix manquant",IF(OR(NOT(ISNUMBER(J1734)),N(J1734)&lt;0),"Prix invalide",IF(OR(AND(F1734&lt;&gt;"",NOT(ISNUMBER(F1734))),N(F1734)&lt;0,N(F1734)&gt;1),"Remise invalide",IF(K1734="","Taux de TVA manquant",IF(NOT(ISNUMBER(K1734)),"Taux de TVA invalide",IF(COUNTIF(p_rates,K1734)=0,"Taux de TVA hors liste (Paramètres)",IF(N(O1734)&gt;25,"Au-delà de 25 lignes : non imprimée","OK")))))))))))))</f>
        <v/>
      </c>
      <c r="O1734" s="59" t="str">
        <f>IF(A1734="","",COUNTIF($A$6:A1734,A1734))</f>
        <v/>
      </c>
      <c r="P1734" s="62" t="str">
        <f>IF(A1734="","",A1734&amp;"|"&amp;O1734)</f>
        <v/>
      </c>
    </row>
    <row r="1735">
      <c r="A1735" s="60" t="n"/>
      <c r="B1735" s="63" t="n"/>
      <c r="C1735" s="63" t="n"/>
      <c r="D1735" s="67" t="n"/>
      <c r="E1735" s="68" t="n"/>
      <c r="F1735" s="69" t="n"/>
      <c r="G1735" s="70" t="n"/>
      <c r="H1735" s="62" t="str">
        <f>IF(COUNTA(A1735:G1735)=0,"",IF(C1735&lt;&gt;"",C1735,IF(B1735="","",IFERROR(INDEX(pr_des,MATCH(B1735,pr_code,0))&amp;"",""))))</f>
        <v/>
      </c>
      <c r="I1735" s="59" t="str">
        <f>IF(B1735="","",IFERROR(INDEX(pr_unit,MATCH(B1735,pr_code,0))&amp;"",""))</f>
        <v/>
      </c>
      <c r="J1735" s="65" t="str">
        <f>IF(COUNTA(A1735:G1735)=0,"",IF(E1735&lt;&gt;"",E1735,IF(B1735="","",IFERROR(IF(INDEX(pr_price,MATCH(B1735,pr_code,0))="","",INDEX(pr_price,MATCH(B1735,pr_code,0))),""))))</f>
        <v/>
      </c>
      <c r="K1735" s="71" t="str">
        <f>IF(COUNTA(A1735:G1735)=0,"",IF(G1735&lt;&gt;"",G1735,IF(B1735="","",IFERROR(IF(INDEX(pr_rate,MATCH(B1735,pr_code,0))="","",INDEX(pr_rate,MATCH(B1735,pr_code,0))),""))))</f>
        <v/>
      </c>
      <c r="L1735" s="65" t="str">
        <f>IF(COUNTA(A1735:G1735)=0,"",IF(AND(ISNUMBER(D1735),ISNUMBER(J1735)),ROUND(D1735*J1735*(1-N(F1735)),2),0))</f>
        <v/>
      </c>
      <c r="M1735" s="62" t="str">
        <f>IF(A1735="","",IFERROR(INDEX(fa_cname,MATCH(A1735,fa_num,0))&amp;"",""))</f>
        <v/>
      </c>
      <c r="N1735" s="59" t="str">
        <f>IF(COUNTA(A1735:G1735)=0,"",IF(A1735="","N° facture manquant",IF(ISNA(MATCH(A1735,fa_num,0)),"Facture inconnue",IF(AND(B1735&lt;&gt;"",ISNA(MATCH(B1735,pr_code,0))),"Article inconnu",IF(H1735="","Désignation manquante",IF(OR(NOT(ISNUMBER(D1735)),N(D1735)&lt;=0),"Quantité invalide",IF(J1735="","Prix manquant",IF(OR(NOT(ISNUMBER(J1735)),N(J1735)&lt;0),"Prix invalide",IF(OR(AND(F1735&lt;&gt;"",NOT(ISNUMBER(F1735))),N(F1735)&lt;0,N(F1735)&gt;1),"Remise invalide",IF(K1735="","Taux de TVA manquant",IF(NOT(ISNUMBER(K1735)),"Taux de TVA invalide",IF(COUNTIF(p_rates,K1735)=0,"Taux de TVA hors liste (Paramètres)",IF(N(O1735)&gt;25,"Au-delà de 25 lignes : non imprimée","OK")))))))))))))</f>
        <v/>
      </c>
      <c r="O1735" s="59" t="str">
        <f>IF(A1735="","",COUNTIF($A$6:A1735,A1735))</f>
        <v/>
      </c>
      <c r="P1735" s="62" t="str">
        <f>IF(A1735="","",A1735&amp;"|"&amp;O1735)</f>
        <v/>
      </c>
    </row>
    <row r="1736">
      <c r="A1736" s="60" t="n"/>
      <c r="B1736" s="63" t="n"/>
      <c r="C1736" s="63" t="n"/>
      <c r="D1736" s="67" t="n"/>
      <c r="E1736" s="68" t="n"/>
      <c r="F1736" s="69" t="n"/>
      <c r="G1736" s="70" t="n"/>
      <c r="H1736" s="62" t="str">
        <f>IF(COUNTA(A1736:G1736)=0,"",IF(C1736&lt;&gt;"",C1736,IF(B1736="","",IFERROR(INDEX(pr_des,MATCH(B1736,pr_code,0))&amp;"",""))))</f>
        <v/>
      </c>
      <c r="I1736" s="59" t="str">
        <f>IF(B1736="","",IFERROR(INDEX(pr_unit,MATCH(B1736,pr_code,0))&amp;"",""))</f>
        <v/>
      </c>
      <c r="J1736" s="65" t="str">
        <f>IF(COUNTA(A1736:G1736)=0,"",IF(E1736&lt;&gt;"",E1736,IF(B1736="","",IFERROR(IF(INDEX(pr_price,MATCH(B1736,pr_code,0))="","",INDEX(pr_price,MATCH(B1736,pr_code,0))),""))))</f>
        <v/>
      </c>
      <c r="K1736" s="71" t="str">
        <f>IF(COUNTA(A1736:G1736)=0,"",IF(G1736&lt;&gt;"",G1736,IF(B1736="","",IFERROR(IF(INDEX(pr_rate,MATCH(B1736,pr_code,0))="","",INDEX(pr_rate,MATCH(B1736,pr_code,0))),""))))</f>
        <v/>
      </c>
      <c r="L1736" s="65" t="str">
        <f>IF(COUNTA(A1736:G1736)=0,"",IF(AND(ISNUMBER(D1736),ISNUMBER(J1736)),ROUND(D1736*J1736*(1-N(F1736)),2),0))</f>
        <v/>
      </c>
      <c r="M1736" s="62" t="str">
        <f>IF(A1736="","",IFERROR(INDEX(fa_cname,MATCH(A1736,fa_num,0))&amp;"",""))</f>
        <v/>
      </c>
      <c r="N1736" s="59" t="str">
        <f>IF(COUNTA(A1736:G1736)=0,"",IF(A1736="","N° facture manquant",IF(ISNA(MATCH(A1736,fa_num,0)),"Facture inconnue",IF(AND(B1736&lt;&gt;"",ISNA(MATCH(B1736,pr_code,0))),"Article inconnu",IF(H1736="","Désignation manquante",IF(OR(NOT(ISNUMBER(D1736)),N(D1736)&lt;=0),"Quantité invalide",IF(J1736="","Prix manquant",IF(OR(NOT(ISNUMBER(J1736)),N(J1736)&lt;0),"Prix invalide",IF(OR(AND(F1736&lt;&gt;"",NOT(ISNUMBER(F1736))),N(F1736)&lt;0,N(F1736)&gt;1),"Remise invalide",IF(K1736="","Taux de TVA manquant",IF(NOT(ISNUMBER(K1736)),"Taux de TVA invalide",IF(COUNTIF(p_rates,K1736)=0,"Taux de TVA hors liste (Paramètres)",IF(N(O1736)&gt;25,"Au-delà de 25 lignes : non imprimée","OK")))))))))))))</f>
        <v/>
      </c>
      <c r="O1736" s="59" t="str">
        <f>IF(A1736="","",COUNTIF($A$6:A1736,A1736))</f>
        <v/>
      </c>
      <c r="P1736" s="62" t="str">
        <f>IF(A1736="","",A1736&amp;"|"&amp;O1736)</f>
        <v/>
      </c>
    </row>
    <row r="1737">
      <c r="A1737" s="60" t="n"/>
      <c r="B1737" s="63" t="n"/>
      <c r="C1737" s="63" t="n"/>
      <c r="D1737" s="67" t="n"/>
      <c r="E1737" s="68" t="n"/>
      <c r="F1737" s="69" t="n"/>
      <c r="G1737" s="70" t="n"/>
      <c r="H1737" s="62" t="str">
        <f>IF(COUNTA(A1737:G1737)=0,"",IF(C1737&lt;&gt;"",C1737,IF(B1737="","",IFERROR(INDEX(pr_des,MATCH(B1737,pr_code,0))&amp;"",""))))</f>
        <v/>
      </c>
      <c r="I1737" s="59" t="str">
        <f>IF(B1737="","",IFERROR(INDEX(pr_unit,MATCH(B1737,pr_code,0))&amp;"",""))</f>
        <v/>
      </c>
      <c r="J1737" s="65" t="str">
        <f>IF(COUNTA(A1737:G1737)=0,"",IF(E1737&lt;&gt;"",E1737,IF(B1737="","",IFERROR(IF(INDEX(pr_price,MATCH(B1737,pr_code,0))="","",INDEX(pr_price,MATCH(B1737,pr_code,0))),""))))</f>
        <v/>
      </c>
      <c r="K1737" s="71" t="str">
        <f>IF(COUNTA(A1737:G1737)=0,"",IF(G1737&lt;&gt;"",G1737,IF(B1737="","",IFERROR(IF(INDEX(pr_rate,MATCH(B1737,pr_code,0))="","",INDEX(pr_rate,MATCH(B1737,pr_code,0))),""))))</f>
        <v/>
      </c>
      <c r="L1737" s="65" t="str">
        <f>IF(COUNTA(A1737:G1737)=0,"",IF(AND(ISNUMBER(D1737),ISNUMBER(J1737)),ROUND(D1737*J1737*(1-N(F1737)),2),0))</f>
        <v/>
      </c>
      <c r="M1737" s="62" t="str">
        <f>IF(A1737="","",IFERROR(INDEX(fa_cname,MATCH(A1737,fa_num,0))&amp;"",""))</f>
        <v/>
      </c>
      <c r="N1737" s="59" t="str">
        <f>IF(COUNTA(A1737:G1737)=0,"",IF(A1737="","N° facture manquant",IF(ISNA(MATCH(A1737,fa_num,0)),"Facture inconnue",IF(AND(B1737&lt;&gt;"",ISNA(MATCH(B1737,pr_code,0))),"Article inconnu",IF(H1737="","Désignation manquante",IF(OR(NOT(ISNUMBER(D1737)),N(D1737)&lt;=0),"Quantité invalide",IF(J1737="","Prix manquant",IF(OR(NOT(ISNUMBER(J1737)),N(J1737)&lt;0),"Prix invalide",IF(OR(AND(F1737&lt;&gt;"",NOT(ISNUMBER(F1737))),N(F1737)&lt;0,N(F1737)&gt;1),"Remise invalide",IF(K1737="","Taux de TVA manquant",IF(NOT(ISNUMBER(K1737)),"Taux de TVA invalide",IF(COUNTIF(p_rates,K1737)=0,"Taux de TVA hors liste (Paramètres)",IF(N(O1737)&gt;25,"Au-delà de 25 lignes : non imprimée","OK")))))))))))))</f>
        <v/>
      </c>
      <c r="O1737" s="59" t="str">
        <f>IF(A1737="","",COUNTIF($A$6:A1737,A1737))</f>
        <v/>
      </c>
      <c r="P1737" s="62" t="str">
        <f>IF(A1737="","",A1737&amp;"|"&amp;O1737)</f>
        <v/>
      </c>
    </row>
    <row r="1738">
      <c r="A1738" s="60" t="n"/>
      <c r="B1738" s="63" t="n"/>
      <c r="C1738" s="63" t="n"/>
      <c r="D1738" s="67" t="n"/>
      <c r="E1738" s="68" t="n"/>
      <c r="F1738" s="69" t="n"/>
      <c r="G1738" s="70" t="n"/>
      <c r="H1738" s="62" t="str">
        <f>IF(COUNTA(A1738:G1738)=0,"",IF(C1738&lt;&gt;"",C1738,IF(B1738="","",IFERROR(INDEX(pr_des,MATCH(B1738,pr_code,0))&amp;"",""))))</f>
        <v/>
      </c>
      <c r="I1738" s="59" t="str">
        <f>IF(B1738="","",IFERROR(INDEX(pr_unit,MATCH(B1738,pr_code,0))&amp;"",""))</f>
        <v/>
      </c>
      <c r="J1738" s="65" t="str">
        <f>IF(COUNTA(A1738:G1738)=0,"",IF(E1738&lt;&gt;"",E1738,IF(B1738="","",IFERROR(IF(INDEX(pr_price,MATCH(B1738,pr_code,0))="","",INDEX(pr_price,MATCH(B1738,pr_code,0))),""))))</f>
        <v/>
      </c>
      <c r="K1738" s="71" t="str">
        <f>IF(COUNTA(A1738:G1738)=0,"",IF(G1738&lt;&gt;"",G1738,IF(B1738="","",IFERROR(IF(INDEX(pr_rate,MATCH(B1738,pr_code,0))="","",INDEX(pr_rate,MATCH(B1738,pr_code,0))),""))))</f>
        <v/>
      </c>
      <c r="L1738" s="65" t="str">
        <f>IF(COUNTA(A1738:G1738)=0,"",IF(AND(ISNUMBER(D1738),ISNUMBER(J1738)),ROUND(D1738*J1738*(1-N(F1738)),2),0))</f>
        <v/>
      </c>
      <c r="M1738" s="62" t="str">
        <f>IF(A1738="","",IFERROR(INDEX(fa_cname,MATCH(A1738,fa_num,0))&amp;"",""))</f>
        <v/>
      </c>
      <c r="N1738" s="59" t="str">
        <f>IF(COUNTA(A1738:G1738)=0,"",IF(A1738="","N° facture manquant",IF(ISNA(MATCH(A1738,fa_num,0)),"Facture inconnue",IF(AND(B1738&lt;&gt;"",ISNA(MATCH(B1738,pr_code,0))),"Article inconnu",IF(H1738="","Désignation manquante",IF(OR(NOT(ISNUMBER(D1738)),N(D1738)&lt;=0),"Quantité invalide",IF(J1738="","Prix manquant",IF(OR(NOT(ISNUMBER(J1738)),N(J1738)&lt;0),"Prix invalide",IF(OR(AND(F1738&lt;&gt;"",NOT(ISNUMBER(F1738))),N(F1738)&lt;0,N(F1738)&gt;1),"Remise invalide",IF(K1738="","Taux de TVA manquant",IF(NOT(ISNUMBER(K1738)),"Taux de TVA invalide",IF(COUNTIF(p_rates,K1738)=0,"Taux de TVA hors liste (Paramètres)",IF(N(O1738)&gt;25,"Au-delà de 25 lignes : non imprimée","OK")))))))))))))</f>
        <v/>
      </c>
      <c r="O1738" s="59" t="str">
        <f>IF(A1738="","",COUNTIF($A$6:A1738,A1738))</f>
        <v/>
      </c>
      <c r="P1738" s="62" t="str">
        <f>IF(A1738="","",A1738&amp;"|"&amp;O1738)</f>
        <v/>
      </c>
    </row>
    <row r="1739">
      <c r="A1739" s="60" t="n"/>
      <c r="B1739" s="63" t="n"/>
      <c r="C1739" s="63" t="n"/>
      <c r="D1739" s="67" t="n"/>
      <c r="E1739" s="68" t="n"/>
      <c r="F1739" s="69" t="n"/>
      <c r="G1739" s="70" t="n"/>
      <c r="H1739" s="62" t="str">
        <f>IF(COUNTA(A1739:G1739)=0,"",IF(C1739&lt;&gt;"",C1739,IF(B1739="","",IFERROR(INDEX(pr_des,MATCH(B1739,pr_code,0))&amp;"",""))))</f>
        <v/>
      </c>
      <c r="I1739" s="59" t="str">
        <f>IF(B1739="","",IFERROR(INDEX(pr_unit,MATCH(B1739,pr_code,0))&amp;"",""))</f>
        <v/>
      </c>
      <c r="J1739" s="65" t="str">
        <f>IF(COUNTA(A1739:G1739)=0,"",IF(E1739&lt;&gt;"",E1739,IF(B1739="","",IFERROR(IF(INDEX(pr_price,MATCH(B1739,pr_code,0))="","",INDEX(pr_price,MATCH(B1739,pr_code,0))),""))))</f>
        <v/>
      </c>
      <c r="K1739" s="71" t="str">
        <f>IF(COUNTA(A1739:G1739)=0,"",IF(G1739&lt;&gt;"",G1739,IF(B1739="","",IFERROR(IF(INDEX(pr_rate,MATCH(B1739,pr_code,0))="","",INDEX(pr_rate,MATCH(B1739,pr_code,0))),""))))</f>
        <v/>
      </c>
      <c r="L1739" s="65" t="str">
        <f>IF(COUNTA(A1739:G1739)=0,"",IF(AND(ISNUMBER(D1739),ISNUMBER(J1739)),ROUND(D1739*J1739*(1-N(F1739)),2),0))</f>
        <v/>
      </c>
      <c r="M1739" s="62" t="str">
        <f>IF(A1739="","",IFERROR(INDEX(fa_cname,MATCH(A1739,fa_num,0))&amp;"",""))</f>
        <v/>
      </c>
      <c r="N1739" s="59" t="str">
        <f>IF(COUNTA(A1739:G1739)=0,"",IF(A1739="","N° facture manquant",IF(ISNA(MATCH(A1739,fa_num,0)),"Facture inconnue",IF(AND(B1739&lt;&gt;"",ISNA(MATCH(B1739,pr_code,0))),"Article inconnu",IF(H1739="","Désignation manquante",IF(OR(NOT(ISNUMBER(D1739)),N(D1739)&lt;=0),"Quantité invalide",IF(J1739="","Prix manquant",IF(OR(NOT(ISNUMBER(J1739)),N(J1739)&lt;0),"Prix invalide",IF(OR(AND(F1739&lt;&gt;"",NOT(ISNUMBER(F1739))),N(F1739)&lt;0,N(F1739)&gt;1),"Remise invalide",IF(K1739="","Taux de TVA manquant",IF(NOT(ISNUMBER(K1739)),"Taux de TVA invalide",IF(COUNTIF(p_rates,K1739)=0,"Taux de TVA hors liste (Paramètres)",IF(N(O1739)&gt;25,"Au-delà de 25 lignes : non imprimée","OK")))))))))))))</f>
        <v/>
      </c>
      <c r="O1739" s="59" t="str">
        <f>IF(A1739="","",COUNTIF($A$6:A1739,A1739))</f>
        <v/>
      </c>
      <c r="P1739" s="62" t="str">
        <f>IF(A1739="","",A1739&amp;"|"&amp;O1739)</f>
        <v/>
      </c>
    </row>
    <row r="1740">
      <c r="A1740" s="60" t="n"/>
      <c r="B1740" s="63" t="n"/>
      <c r="C1740" s="63" t="n"/>
      <c r="D1740" s="67" t="n"/>
      <c r="E1740" s="68" t="n"/>
      <c r="F1740" s="69" t="n"/>
      <c r="G1740" s="70" t="n"/>
      <c r="H1740" s="62" t="str">
        <f>IF(COUNTA(A1740:G1740)=0,"",IF(C1740&lt;&gt;"",C1740,IF(B1740="","",IFERROR(INDEX(pr_des,MATCH(B1740,pr_code,0))&amp;"",""))))</f>
        <v/>
      </c>
      <c r="I1740" s="59" t="str">
        <f>IF(B1740="","",IFERROR(INDEX(pr_unit,MATCH(B1740,pr_code,0))&amp;"",""))</f>
        <v/>
      </c>
      <c r="J1740" s="65" t="str">
        <f>IF(COUNTA(A1740:G1740)=0,"",IF(E1740&lt;&gt;"",E1740,IF(B1740="","",IFERROR(IF(INDEX(pr_price,MATCH(B1740,pr_code,0))="","",INDEX(pr_price,MATCH(B1740,pr_code,0))),""))))</f>
        <v/>
      </c>
      <c r="K1740" s="71" t="str">
        <f>IF(COUNTA(A1740:G1740)=0,"",IF(G1740&lt;&gt;"",G1740,IF(B1740="","",IFERROR(IF(INDEX(pr_rate,MATCH(B1740,pr_code,0))="","",INDEX(pr_rate,MATCH(B1740,pr_code,0))),""))))</f>
        <v/>
      </c>
      <c r="L1740" s="65" t="str">
        <f>IF(COUNTA(A1740:G1740)=0,"",IF(AND(ISNUMBER(D1740),ISNUMBER(J1740)),ROUND(D1740*J1740*(1-N(F1740)),2),0))</f>
        <v/>
      </c>
      <c r="M1740" s="62" t="str">
        <f>IF(A1740="","",IFERROR(INDEX(fa_cname,MATCH(A1740,fa_num,0))&amp;"",""))</f>
        <v/>
      </c>
      <c r="N1740" s="59" t="str">
        <f>IF(COUNTA(A1740:G1740)=0,"",IF(A1740="","N° facture manquant",IF(ISNA(MATCH(A1740,fa_num,0)),"Facture inconnue",IF(AND(B1740&lt;&gt;"",ISNA(MATCH(B1740,pr_code,0))),"Article inconnu",IF(H1740="","Désignation manquante",IF(OR(NOT(ISNUMBER(D1740)),N(D1740)&lt;=0),"Quantité invalide",IF(J1740="","Prix manquant",IF(OR(NOT(ISNUMBER(J1740)),N(J1740)&lt;0),"Prix invalide",IF(OR(AND(F1740&lt;&gt;"",NOT(ISNUMBER(F1740))),N(F1740)&lt;0,N(F1740)&gt;1),"Remise invalide",IF(K1740="","Taux de TVA manquant",IF(NOT(ISNUMBER(K1740)),"Taux de TVA invalide",IF(COUNTIF(p_rates,K1740)=0,"Taux de TVA hors liste (Paramètres)",IF(N(O1740)&gt;25,"Au-delà de 25 lignes : non imprimée","OK")))))))))))))</f>
        <v/>
      </c>
      <c r="O1740" s="59" t="str">
        <f>IF(A1740="","",COUNTIF($A$6:A1740,A1740))</f>
        <v/>
      </c>
      <c r="P1740" s="62" t="str">
        <f>IF(A1740="","",A1740&amp;"|"&amp;O1740)</f>
        <v/>
      </c>
    </row>
    <row r="1741">
      <c r="A1741" s="60" t="n"/>
      <c r="B1741" s="63" t="n"/>
      <c r="C1741" s="63" t="n"/>
      <c r="D1741" s="67" t="n"/>
      <c r="E1741" s="68" t="n"/>
      <c r="F1741" s="69" t="n"/>
      <c r="G1741" s="70" t="n"/>
      <c r="H1741" s="62" t="str">
        <f>IF(COUNTA(A1741:G1741)=0,"",IF(C1741&lt;&gt;"",C1741,IF(B1741="","",IFERROR(INDEX(pr_des,MATCH(B1741,pr_code,0))&amp;"",""))))</f>
        <v/>
      </c>
      <c r="I1741" s="59" t="str">
        <f>IF(B1741="","",IFERROR(INDEX(pr_unit,MATCH(B1741,pr_code,0))&amp;"",""))</f>
        <v/>
      </c>
      <c r="J1741" s="65" t="str">
        <f>IF(COUNTA(A1741:G1741)=0,"",IF(E1741&lt;&gt;"",E1741,IF(B1741="","",IFERROR(IF(INDEX(pr_price,MATCH(B1741,pr_code,0))="","",INDEX(pr_price,MATCH(B1741,pr_code,0))),""))))</f>
        <v/>
      </c>
      <c r="K1741" s="71" t="str">
        <f>IF(COUNTA(A1741:G1741)=0,"",IF(G1741&lt;&gt;"",G1741,IF(B1741="","",IFERROR(IF(INDEX(pr_rate,MATCH(B1741,pr_code,0))="","",INDEX(pr_rate,MATCH(B1741,pr_code,0))),""))))</f>
        <v/>
      </c>
      <c r="L1741" s="65" t="str">
        <f>IF(COUNTA(A1741:G1741)=0,"",IF(AND(ISNUMBER(D1741),ISNUMBER(J1741)),ROUND(D1741*J1741*(1-N(F1741)),2),0))</f>
        <v/>
      </c>
      <c r="M1741" s="62" t="str">
        <f>IF(A1741="","",IFERROR(INDEX(fa_cname,MATCH(A1741,fa_num,0))&amp;"",""))</f>
        <v/>
      </c>
      <c r="N1741" s="59" t="str">
        <f>IF(COUNTA(A1741:G1741)=0,"",IF(A1741="","N° facture manquant",IF(ISNA(MATCH(A1741,fa_num,0)),"Facture inconnue",IF(AND(B1741&lt;&gt;"",ISNA(MATCH(B1741,pr_code,0))),"Article inconnu",IF(H1741="","Désignation manquante",IF(OR(NOT(ISNUMBER(D1741)),N(D1741)&lt;=0),"Quantité invalide",IF(J1741="","Prix manquant",IF(OR(NOT(ISNUMBER(J1741)),N(J1741)&lt;0),"Prix invalide",IF(OR(AND(F1741&lt;&gt;"",NOT(ISNUMBER(F1741))),N(F1741)&lt;0,N(F1741)&gt;1),"Remise invalide",IF(K1741="","Taux de TVA manquant",IF(NOT(ISNUMBER(K1741)),"Taux de TVA invalide",IF(COUNTIF(p_rates,K1741)=0,"Taux de TVA hors liste (Paramètres)",IF(N(O1741)&gt;25,"Au-delà de 25 lignes : non imprimée","OK")))))))))))))</f>
        <v/>
      </c>
      <c r="O1741" s="59" t="str">
        <f>IF(A1741="","",COUNTIF($A$6:A1741,A1741))</f>
        <v/>
      </c>
      <c r="P1741" s="62" t="str">
        <f>IF(A1741="","",A1741&amp;"|"&amp;O1741)</f>
        <v/>
      </c>
    </row>
    <row r="1742">
      <c r="A1742" s="60" t="n"/>
      <c r="B1742" s="63" t="n"/>
      <c r="C1742" s="63" t="n"/>
      <c r="D1742" s="67" t="n"/>
      <c r="E1742" s="68" t="n"/>
      <c r="F1742" s="69" t="n"/>
      <c r="G1742" s="70" t="n"/>
      <c r="H1742" s="62" t="str">
        <f>IF(COUNTA(A1742:G1742)=0,"",IF(C1742&lt;&gt;"",C1742,IF(B1742="","",IFERROR(INDEX(pr_des,MATCH(B1742,pr_code,0))&amp;"",""))))</f>
        <v/>
      </c>
      <c r="I1742" s="59" t="str">
        <f>IF(B1742="","",IFERROR(INDEX(pr_unit,MATCH(B1742,pr_code,0))&amp;"",""))</f>
        <v/>
      </c>
      <c r="J1742" s="65" t="str">
        <f>IF(COUNTA(A1742:G1742)=0,"",IF(E1742&lt;&gt;"",E1742,IF(B1742="","",IFERROR(IF(INDEX(pr_price,MATCH(B1742,pr_code,0))="","",INDEX(pr_price,MATCH(B1742,pr_code,0))),""))))</f>
        <v/>
      </c>
      <c r="K1742" s="71" t="str">
        <f>IF(COUNTA(A1742:G1742)=0,"",IF(G1742&lt;&gt;"",G1742,IF(B1742="","",IFERROR(IF(INDEX(pr_rate,MATCH(B1742,pr_code,0))="","",INDEX(pr_rate,MATCH(B1742,pr_code,0))),""))))</f>
        <v/>
      </c>
      <c r="L1742" s="65" t="str">
        <f>IF(COUNTA(A1742:G1742)=0,"",IF(AND(ISNUMBER(D1742),ISNUMBER(J1742)),ROUND(D1742*J1742*(1-N(F1742)),2),0))</f>
        <v/>
      </c>
      <c r="M1742" s="62" t="str">
        <f>IF(A1742="","",IFERROR(INDEX(fa_cname,MATCH(A1742,fa_num,0))&amp;"",""))</f>
        <v/>
      </c>
      <c r="N1742" s="59" t="str">
        <f>IF(COUNTA(A1742:G1742)=0,"",IF(A1742="","N° facture manquant",IF(ISNA(MATCH(A1742,fa_num,0)),"Facture inconnue",IF(AND(B1742&lt;&gt;"",ISNA(MATCH(B1742,pr_code,0))),"Article inconnu",IF(H1742="","Désignation manquante",IF(OR(NOT(ISNUMBER(D1742)),N(D1742)&lt;=0),"Quantité invalide",IF(J1742="","Prix manquant",IF(OR(NOT(ISNUMBER(J1742)),N(J1742)&lt;0),"Prix invalide",IF(OR(AND(F1742&lt;&gt;"",NOT(ISNUMBER(F1742))),N(F1742)&lt;0,N(F1742)&gt;1),"Remise invalide",IF(K1742="","Taux de TVA manquant",IF(NOT(ISNUMBER(K1742)),"Taux de TVA invalide",IF(COUNTIF(p_rates,K1742)=0,"Taux de TVA hors liste (Paramètres)",IF(N(O1742)&gt;25,"Au-delà de 25 lignes : non imprimée","OK")))))))))))))</f>
        <v/>
      </c>
      <c r="O1742" s="59" t="str">
        <f>IF(A1742="","",COUNTIF($A$6:A1742,A1742))</f>
        <v/>
      </c>
      <c r="P1742" s="62" t="str">
        <f>IF(A1742="","",A1742&amp;"|"&amp;O1742)</f>
        <v/>
      </c>
    </row>
    <row r="1743">
      <c r="A1743" s="60" t="n"/>
      <c r="B1743" s="63" t="n"/>
      <c r="C1743" s="63" t="n"/>
      <c r="D1743" s="67" t="n"/>
      <c r="E1743" s="68" t="n"/>
      <c r="F1743" s="69" t="n"/>
      <c r="G1743" s="70" t="n"/>
      <c r="H1743" s="62" t="str">
        <f>IF(COUNTA(A1743:G1743)=0,"",IF(C1743&lt;&gt;"",C1743,IF(B1743="","",IFERROR(INDEX(pr_des,MATCH(B1743,pr_code,0))&amp;"",""))))</f>
        <v/>
      </c>
      <c r="I1743" s="59" t="str">
        <f>IF(B1743="","",IFERROR(INDEX(pr_unit,MATCH(B1743,pr_code,0))&amp;"",""))</f>
        <v/>
      </c>
      <c r="J1743" s="65" t="str">
        <f>IF(COUNTA(A1743:G1743)=0,"",IF(E1743&lt;&gt;"",E1743,IF(B1743="","",IFERROR(IF(INDEX(pr_price,MATCH(B1743,pr_code,0))="","",INDEX(pr_price,MATCH(B1743,pr_code,0))),""))))</f>
        <v/>
      </c>
      <c r="K1743" s="71" t="str">
        <f>IF(COUNTA(A1743:G1743)=0,"",IF(G1743&lt;&gt;"",G1743,IF(B1743="","",IFERROR(IF(INDEX(pr_rate,MATCH(B1743,pr_code,0))="","",INDEX(pr_rate,MATCH(B1743,pr_code,0))),""))))</f>
        <v/>
      </c>
      <c r="L1743" s="65" t="str">
        <f>IF(COUNTA(A1743:G1743)=0,"",IF(AND(ISNUMBER(D1743),ISNUMBER(J1743)),ROUND(D1743*J1743*(1-N(F1743)),2),0))</f>
        <v/>
      </c>
      <c r="M1743" s="62" t="str">
        <f>IF(A1743="","",IFERROR(INDEX(fa_cname,MATCH(A1743,fa_num,0))&amp;"",""))</f>
        <v/>
      </c>
      <c r="N1743" s="59" t="str">
        <f>IF(COUNTA(A1743:G1743)=0,"",IF(A1743="","N° facture manquant",IF(ISNA(MATCH(A1743,fa_num,0)),"Facture inconnue",IF(AND(B1743&lt;&gt;"",ISNA(MATCH(B1743,pr_code,0))),"Article inconnu",IF(H1743="","Désignation manquante",IF(OR(NOT(ISNUMBER(D1743)),N(D1743)&lt;=0),"Quantité invalide",IF(J1743="","Prix manquant",IF(OR(NOT(ISNUMBER(J1743)),N(J1743)&lt;0),"Prix invalide",IF(OR(AND(F1743&lt;&gt;"",NOT(ISNUMBER(F1743))),N(F1743)&lt;0,N(F1743)&gt;1),"Remise invalide",IF(K1743="","Taux de TVA manquant",IF(NOT(ISNUMBER(K1743)),"Taux de TVA invalide",IF(COUNTIF(p_rates,K1743)=0,"Taux de TVA hors liste (Paramètres)",IF(N(O1743)&gt;25,"Au-delà de 25 lignes : non imprimée","OK")))))))))))))</f>
        <v/>
      </c>
      <c r="O1743" s="59" t="str">
        <f>IF(A1743="","",COUNTIF($A$6:A1743,A1743))</f>
        <v/>
      </c>
      <c r="P1743" s="62" t="str">
        <f>IF(A1743="","",A1743&amp;"|"&amp;O1743)</f>
        <v/>
      </c>
    </row>
    <row r="1744">
      <c r="A1744" s="60" t="n"/>
      <c r="B1744" s="63" t="n"/>
      <c r="C1744" s="63" t="n"/>
      <c r="D1744" s="67" t="n"/>
      <c r="E1744" s="68" t="n"/>
      <c r="F1744" s="69" t="n"/>
      <c r="G1744" s="70" t="n"/>
      <c r="H1744" s="62" t="str">
        <f>IF(COUNTA(A1744:G1744)=0,"",IF(C1744&lt;&gt;"",C1744,IF(B1744="","",IFERROR(INDEX(pr_des,MATCH(B1744,pr_code,0))&amp;"",""))))</f>
        <v/>
      </c>
      <c r="I1744" s="59" t="str">
        <f>IF(B1744="","",IFERROR(INDEX(pr_unit,MATCH(B1744,pr_code,0))&amp;"",""))</f>
        <v/>
      </c>
      <c r="J1744" s="65" t="str">
        <f>IF(COUNTA(A1744:G1744)=0,"",IF(E1744&lt;&gt;"",E1744,IF(B1744="","",IFERROR(IF(INDEX(pr_price,MATCH(B1744,pr_code,0))="","",INDEX(pr_price,MATCH(B1744,pr_code,0))),""))))</f>
        <v/>
      </c>
      <c r="K1744" s="71" t="str">
        <f>IF(COUNTA(A1744:G1744)=0,"",IF(G1744&lt;&gt;"",G1744,IF(B1744="","",IFERROR(IF(INDEX(pr_rate,MATCH(B1744,pr_code,0))="","",INDEX(pr_rate,MATCH(B1744,pr_code,0))),""))))</f>
        <v/>
      </c>
      <c r="L1744" s="65" t="str">
        <f>IF(COUNTA(A1744:G1744)=0,"",IF(AND(ISNUMBER(D1744),ISNUMBER(J1744)),ROUND(D1744*J1744*(1-N(F1744)),2),0))</f>
        <v/>
      </c>
      <c r="M1744" s="62" t="str">
        <f>IF(A1744="","",IFERROR(INDEX(fa_cname,MATCH(A1744,fa_num,0))&amp;"",""))</f>
        <v/>
      </c>
      <c r="N1744" s="59" t="str">
        <f>IF(COUNTA(A1744:G1744)=0,"",IF(A1744="","N° facture manquant",IF(ISNA(MATCH(A1744,fa_num,0)),"Facture inconnue",IF(AND(B1744&lt;&gt;"",ISNA(MATCH(B1744,pr_code,0))),"Article inconnu",IF(H1744="","Désignation manquante",IF(OR(NOT(ISNUMBER(D1744)),N(D1744)&lt;=0),"Quantité invalide",IF(J1744="","Prix manquant",IF(OR(NOT(ISNUMBER(J1744)),N(J1744)&lt;0),"Prix invalide",IF(OR(AND(F1744&lt;&gt;"",NOT(ISNUMBER(F1744))),N(F1744)&lt;0,N(F1744)&gt;1),"Remise invalide",IF(K1744="","Taux de TVA manquant",IF(NOT(ISNUMBER(K1744)),"Taux de TVA invalide",IF(COUNTIF(p_rates,K1744)=0,"Taux de TVA hors liste (Paramètres)",IF(N(O1744)&gt;25,"Au-delà de 25 lignes : non imprimée","OK")))))))))))))</f>
        <v/>
      </c>
      <c r="O1744" s="59" t="str">
        <f>IF(A1744="","",COUNTIF($A$6:A1744,A1744))</f>
        <v/>
      </c>
      <c r="P1744" s="62" t="str">
        <f>IF(A1744="","",A1744&amp;"|"&amp;O1744)</f>
        <v/>
      </c>
    </row>
    <row r="1745">
      <c r="A1745" s="60" t="n"/>
      <c r="B1745" s="63" t="n"/>
      <c r="C1745" s="63" t="n"/>
      <c r="D1745" s="67" t="n"/>
      <c r="E1745" s="68" t="n"/>
      <c r="F1745" s="69" t="n"/>
      <c r="G1745" s="70" t="n"/>
      <c r="H1745" s="62" t="str">
        <f>IF(COUNTA(A1745:G1745)=0,"",IF(C1745&lt;&gt;"",C1745,IF(B1745="","",IFERROR(INDEX(pr_des,MATCH(B1745,pr_code,0))&amp;"",""))))</f>
        <v/>
      </c>
      <c r="I1745" s="59" t="str">
        <f>IF(B1745="","",IFERROR(INDEX(pr_unit,MATCH(B1745,pr_code,0))&amp;"",""))</f>
        <v/>
      </c>
      <c r="J1745" s="65" t="str">
        <f>IF(COUNTA(A1745:G1745)=0,"",IF(E1745&lt;&gt;"",E1745,IF(B1745="","",IFERROR(IF(INDEX(pr_price,MATCH(B1745,pr_code,0))="","",INDEX(pr_price,MATCH(B1745,pr_code,0))),""))))</f>
        <v/>
      </c>
      <c r="K1745" s="71" t="str">
        <f>IF(COUNTA(A1745:G1745)=0,"",IF(G1745&lt;&gt;"",G1745,IF(B1745="","",IFERROR(IF(INDEX(pr_rate,MATCH(B1745,pr_code,0))="","",INDEX(pr_rate,MATCH(B1745,pr_code,0))),""))))</f>
        <v/>
      </c>
      <c r="L1745" s="65" t="str">
        <f>IF(COUNTA(A1745:G1745)=0,"",IF(AND(ISNUMBER(D1745),ISNUMBER(J1745)),ROUND(D1745*J1745*(1-N(F1745)),2),0))</f>
        <v/>
      </c>
      <c r="M1745" s="62" t="str">
        <f>IF(A1745="","",IFERROR(INDEX(fa_cname,MATCH(A1745,fa_num,0))&amp;"",""))</f>
        <v/>
      </c>
      <c r="N1745" s="59" t="str">
        <f>IF(COUNTA(A1745:G1745)=0,"",IF(A1745="","N° facture manquant",IF(ISNA(MATCH(A1745,fa_num,0)),"Facture inconnue",IF(AND(B1745&lt;&gt;"",ISNA(MATCH(B1745,pr_code,0))),"Article inconnu",IF(H1745="","Désignation manquante",IF(OR(NOT(ISNUMBER(D1745)),N(D1745)&lt;=0),"Quantité invalide",IF(J1745="","Prix manquant",IF(OR(NOT(ISNUMBER(J1745)),N(J1745)&lt;0),"Prix invalide",IF(OR(AND(F1745&lt;&gt;"",NOT(ISNUMBER(F1745))),N(F1745)&lt;0,N(F1745)&gt;1),"Remise invalide",IF(K1745="","Taux de TVA manquant",IF(NOT(ISNUMBER(K1745)),"Taux de TVA invalide",IF(COUNTIF(p_rates,K1745)=0,"Taux de TVA hors liste (Paramètres)",IF(N(O1745)&gt;25,"Au-delà de 25 lignes : non imprimée","OK")))))))))))))</f>
        <v/>
      </c>
      <c r="O1745" s="59" t="str">
        <f>IF(A1745="","",COUNTIF($A$6:A1745,A1745))</f>
        <v/>
      </c>
      <c r="P1745" s="62" t="str">
        <f>IF(A1745="","",A1745&amp;"|"&amp;O1745)</f>
        <v/>
      </c>
    </row>
    <row r="1746">
      <c r="A1746" s="60" t="n"/>
      <c r="B1746" s="63" t="n"/>
      <c r="C1746" s="63" t="n"/>
      <c r="D1746" s="67" t="n"/>
      <c r="E1746" s="68" t="n"/>
      <c r="F1746" s="69" t="n"/>
      <c r="G1746" s="70" t="n"/>
      <c r="H1746" s="62" t="str">
        <f>IF(COUNTA(A1746:G1746)=0,"",IF(C1746&lt;&gt;"",C1746,IF(B1746="","",IFERROR(INDEX(pr_des,MATCH(B1746,pr_code,0))&amp;"",""))))</f>
        <v/>
      </c>
      <c r="I1746" s="59" t="str">
        <f>IF(B1746="","",IFERROR(INDEX(pr_unit,MATCH(B1746,pr_code,0))&amp;"",""))</f>
        <v/>
      </c>
      <c r="J1746" s="65" t="str">
        <f>IF(COUNTA(A1746:G1746)=0,"",IF(E1746&lt;&gt;"",E1746,IF(B1746="","",IFERROR(IF(INDEX(pr_price,MATCH(B1746,pr_code,0))="","",INDEX(pr_price,MATCH(B1746,pr_code,0))),""))))</f>
        <v/>
      </c>
      <c r="K1746" s="71" t="str">
        <f>IF(COUNTA(A1746:G1746)=0,"",IF(G1746&lt;&gt;"",G1746,IF(B1746="","",IFERROR(IF(INDEX(pr_rate,MATCH(B1746,pr_code,0))="","",INDEX(pr_rate,MATCH(B1746,pr_code,0))),""))))</f>
        <v/>
      </c>
      <c r="L1746" s="65" t="str">
        <f>IF(COUNTA(A1746:G1746)=0,"",IF(AND(ISNUMBER(D1746),ISNUMBER(J1746)),ROUND(D1746*J1746*(1-N(F1746)),2),0))</f>
        <v/>
      </c>
      <c r="M1746" s="62" t="str">
        <f>IF(A1746="","",IFERROR(INDEX(fa_cname,MATCH(A1746,fa_num,0))&amp;"",""))</f>
        <v/>
      </c>
      <c r="N1746" s="59" t="str">
        <f>IF(COUNTA(A1746:G1746)=0,"",IF(A1746="","N° facture manquant",IF(ISNA(MATCH(A1746,fa_num,0)),"Facture inconnue",IF(AND(B1746&lt;&gt;"",ISNA(MATCH(B1746,pr_code,0))),"Article inconnu",IF(H1746="","Désignation manquante",IF(OR(NOT(ISNUMBER(D1746)),N(D1746)&lt;=0),"Quantité invalide",IF(J1746="","Prix manquant",IF(OR(NOT(ISNUMBER(J1746)),N(J1746)&lt;0),"Prix invalide",IF(OR(AND(F1746&lt;&gt;"",NOT(ISNUMBER(F1746))),N(F1746)&lt;0,N(F1746)&gt;1),"Remise invalide",IF(K1746="","Taux de TVA manquant",IF(NOT(ISNUMBER(K1746)),"Taux de TVA invalide",IF(COUNTIF(p_rates,K1746)=0,"Taux de TVA hors liste (Paramètres)",IF(N(O1746)&gt;25,"Au-delà de 25 lignes : non imprimée","OK")))))))))))))</f>
        <v/>
      </c>
      <c r="O1746" s="59" t="str">
        <f>IF(A1746="","",COUNTIF($A$6:A1746,A1746))</f>
        <v/>
      </c>
      <c r="P1746" s="62" t="str">
        <f>IF(A1746="","",A1746&amp;"|"&amp;O1746)</f>
        <v/>
      </c>
    </row>
    <row r="1747">
      <c r="A1747" s="60" t="n"/>
      <c r="B1747" s="63" t="n"/>
      <c r="C1747" s="63" t="n"/>
      <c r="D1747" s="67" t="n"/>
      <c r="E1747" s="68" t="n"/>
      <c r="F1747" s="69" t="n"/>
      <c r="G1747" s="70" t="n"/>
      <c r="H1747" s="62" t="str">
        <f>IF(COUNTA(A1747:G1747)=0,"",IF(C1747&lt;&gt;"",C1747,IF(B1747="","",IFERROR(INDEX(pr_des,MATCH(B1747,pr_code,0))&amp;"",""))))</f>
        <v/>
      </c>
      <c r="I1747" s="59" t="str">
        <f>IF(B1747="","",IFERROR(INDEX(pr_unit,MATCH(B1747,pr_code,0))&amp;"",""))</f>
        <v/>
      </c>
      <c r="J1747" s="65" t="str">
        <f>IF(COUNTA(A1747:G1747)=0,"",IF(E1747&lt;&gt;"",E1747,IF(B1747="","",IFERROR(IF(INDEX(pr_price,MATCH(B1747,pr_code,0))="","",INDEX(pr_price,MATCH(B1747,pr_code,0))),""))))</f>
        <v/>
      </c>
      <c r="K1747" s="71" t="str">
        <f>IF(COUNTA(A1747:G1747)=0,"",IF(G1747&lt;&gt;"",G1747,IF(B1747="","",IFERROR(IF(INDEX(pr_rate,MATCH(B1747,pr_code,0))="","",INDEX(pr_rate,MATCH(B1747,pr_code,0))),""))))</f>
        <v/>
      </c>
      <c r="L1747" s="65" t="str">
        <f>IF(COUNTA(A1747:G1747)=0,"",IF(AND(ISNUMBER(D1747),ISNUMBER(J1747)),ROUND(D1747*J1747*(1-N(F1747)),2),0))</f>
        <v/>
      </c>
      <c r="M1747" s="62" t="str">
        <f>IF(A1747="","",IFERROR(INDEX(fa_cname,MATCH(A1747,fa_num,0))&amp;"",""))</f>
        <v/>
      </c>
      <c r="N1747" s="59" t="str">
        <f>IF(COUNTA(A1747:G1747)=0,"",IF(A1747="","N° facture manquant",IF(ISNA(MATCH(A1747,fa_num,0)),"Facture inconnue",IF(AND(B1747&lt;&gt;"",ISNA(MATCH(B1747,pr_code,0))),"Article inconnu",IF(H1747="","Désignation manquante",IF(OR(NOT(ISNUMBER(D1747)),N(D1747)&lt;=0),"Quantité invalide",IF(J1747="","Prix manquant",IF(OR(NOT(ISNUMBER(J1747)),N(J1747)&lt;0),"Prix invalide",IF(OR(AND(F1747&lt;&gt;"",NOT(ISNUMBER(F1747))),N(F1747)&lt;0,N(F1747)&gt;1),"Remise invalide",IF(K1747="","Taux de TVA manquant",IF(NOT(ISNUMBER(K1747)),"Taux de TVA invalide",IF(COUNTIF(p_rates,K1747)=0,"Taux de TVA hors liste (Paramètres)",IF(N(O1747)&gt;25,"Au-delà de 25 lignes : non imprimée","OK")))))))))))))</f>
        <v/>
      </c>
      <c r="O1747" s="59" t="str">
        <f>IF(A1747="","",COUNTIF($A$6:A1747,A1747))</f>
        <v/>
      </c>
      <c r="P1747" s="62" t="str">
        <f>IF(A1747="","",A1747&amp;"|"&amp;O1747)</f>
        <v/>
      </c>
    </row>
    <row r="1748">
      <c r="A1748" s="60" t="n"/>
      <c r="B1748" s="63" t="n"/>
      <c r="C1748" s="63" t="n"/>
      <c r="D1748" s="67" t="n"/>
      <c r="E1748" s="68" t="n"/>
      <c r="F1748" s="69" t="n"/>
      <c r="G1748" s="70" t="n"/>
      <c r="H1748" s="62" t="str">
        <f>IF(COUNTA(A1748:G1748)=0,"",IF(C1748&lt;&gt;"",C1748,IF(B1748="","",IFERROR(INDEX(pr_des,MATCH(B1748,pr_code,0))&amp;"",""))))</f>
        <v/>
      </c>
      <c r="I1748" s="59" t="str">
        <f>IF(B1748="","",IFERROR(INDEX(pr_unit,MATCH(B1748,pr_code,0))&amp;"",""))</f>
        <v/>
      </c>
      <c r="J1748" s="65" t="str">
        <f>IF(COUNTA(A1748:G1748)=0,"",IF(E1748&lt;&gt;"",E1748,IF(B1748="","",IFERROR(IF(INDEX(pr_price,MATCH(B1748,pr_code,0))="","",INDEX(pr_price,MATCH(B1748,pr_code,0))),""))))</f>
        <v/>
      </c>
      <c r="K1748" s="71" t="str">
        <f>IF(COUNTA(A1748:G1748)=0,"",IF(G1748&lt;&gt;"",G1748,IF(B1748="","",IFERROR(IF(INDEX(pr_rate,MATCH(B1748,pr_code,0))="","",INDEX(pr_rate,MATCH(B1748,pr_code,0))),""))))</f>
        <v/>
      </c>
      <c r="L1748" s="65" t="str">
        <f>IF(COUNTA(A1748:G1748)=0,"",IF(AND(ISNUMBER(D1748),ISNUMBER(J1748)),ROUND(D1748*J1748*(1-N(F1748)),2),0))</f>
        <v/>
      </c>
      <c r="M1748" s="62" t="str">
        <f>IF(A1748="","",IFERROR(INDEX(fa_cname,MATCH(A1748,fa_num,0))&amp;"",""))</f>
        <v/>
      </c>
      <c r="N1748" s="59" t="str">
        <f>IF(COUNTA(A1748:G1748)=0,"",IF(A1748="","N° facture manquant",IF(ISNA(MATCH(A1748,fa_num,0)),"Facture inconnue",IF(AND(B1748&lt;&gt;"",ISNA(MATCH(B1748,pr_code,0))),"Article inconnu",IF(H1748="","Désignation manquante",IF(OR(NOT(ISNUMBER(D1748)),N(D1748)&lt;=0),"Quantité invalide",IF(J1748="","Prix manquant",IF(OR(NOT(ISNUMBER(J1748)),N(J1748)&lt;0),"Prix invalide",IF(OR(AND(F1748&lt;&gt;"",NOT(ISNUMBER(F1748))),N(F1748)&lt;0,N(F1748)&gt;1),"Remise invalide",IF(K1748="","Taux de TVA manquant",IF(NOT(ISNUMBER(K1748)),"Taux de TVA invalide",IF(COUNTIF(p_rates,K1748)=0,"Taux de TVA hors liste (Paramètres)",IF(N(O1748)&gt;25,"Au-delà de 25 lignes : non imprimée","OK")))))))))))))</f>
        <v/>
      </c>
      <c r="O1748" s="59" t="str">
        <f>IF(A1748="","",COUNTIF($A$6:A1748,A1748))</f>
        <v/>
      </c>
      <c r="P1748" s="62" t="str">
        <f>IF(A1748="","",A1748&amp;"|"&amp;O1748)</f>
        <v/>
      </c>
    </row>
    <row r="1749">
      <c r="A1749" s="60" t="n"/>
      <c r="B1749" s="63" t="n"/>
      <c r="C1749" s="63" t="n"/>
      <c r="D1749" s="67" t="n"/>
      <c r="E1749" s="68" t="n"/>
      <c r="F1749" s="69" t="n"/>
      <c r="G1749" s="70" t="n"/>
      <c r="H1749" s="62" t="str">
        <f>IF(COUNTA(A1749:G1749)=0,"",IF(C1749&lt;&gt;"",C1749,IF(B1749="","",IFERROR(INDEX(pr_des,MATCH(B1749,pr_code,0))&amp;"",""))))</f>
        <v/>
      </c>
      <c r="I1749" s="59" t="str">
        <f>IF(B1749="","",IFERROR(INDEX(pr_unit,MATCH(B1749,pr_code,0))&amp;"",""))</f>
        <v/>
      </c>
      <c r="J1749" s="65" t="str">
        <f>IF(COUNTA(A1749:G1749)=0,"",IF(E1749&lt;&gt;"",E1749,IF(B1749="","",IFERROR(IF(INDEX(pr_price,MATCH(B1749,pr_code,0))="","",INDEX(pr_price,MATCH(B1749,pr_code,0))),""))))</f>
        <v/>
      </c>
      <c r="K1749" s="71" t="str">
        <f>IF(COUNTA(A1749:G1749)=0,"",IF(G1749&lt;&gt;"",G1749,IF(B1749="","",IFERROR(IF(INDEX(pr_rate,MATCH(B1749,pr_code,0))="","",INDEX(pr_rate,MATCH(B1749,pr_code,0))),""))))</f>
        <v/>
      </c>
      <c r="L1749" s="65" t="str">
        <f>IF(COUNTA(A1749:G1749)=0,"",IF(AND(ISNUMBER(D1749),ISNUMBER(J1749)),ROUND(D1749*J1749*(1-N(F1749)),2),0))</f>
        <v/>
      </c>
      <c r="M1749" s="62" t="str">
        <f>IF(A1749="","",IFERROR(INDEX(fa_cname,MATCH(A1749,fa_num,0))&amp;"",""))</f>
        <v/>
      </c>
      <c r="N1749" s="59" t="str">
        <f>IF(COUNTA(A1749:G1749)=0,"",IF(A1749="","N° facture manquant",IF(ISNA(MATCH(A1749,fa_num,0)),"Facture inconnue",IF(AND(B1749&lt;&gt;"",ISNA(MATCH(B1749,pr_code,0))),"Article inconnu",IF(H1749="","Désignation manquante",IF(OR(NOT(ISNUMBER(D1749)),N(D1749)&lt;=0),"Quantité invalide",IF(J1749="","Prix manquant",IF(OR(NOT(ISNUMBER(J1749)),N(J1749)&lt;0),"Prix invalide",IF(OR(AND(F1749&lt;&gt;"",NOT(ISNUMBER(F1749))),N(F1749)&lt;0,N(F1749)&gt;1),"Remise invalide",IF(K1749="","Taux de TVA manquant",IF(NOT(ISNUMBER(K1749)),"Taux de TVA invalide",IF(COUNTIF(p_rates,K1749)=0,"Taux de TVA hors liste (Paramètres)",IF(N(O1749)&gt;25,"Au-delà de 25 lignes : non imprimée","OK")))))))))))))</f>
        <v/>
      </c>
      <c r="O1749" s="59" t="str">
        <f>IF(A1749="","",COUNTIF($A$6:A1749,A1749))</f>
        <v/>
      </c>
      <c r="P1749" s="62" t="str">
        <f>IF(A1749="","",A1749&amp;"|"&amp;O1749)</f>
        <v/>
      </c>
    </row>
    <row r="1750">
      <c r="A1750" s="60" t="n"/>
      <c r="B1750" s="63" t="n"/>
      <c r="C1750" s="63" t="n"/>
      <c r="D1750" s="67" t="n"/>
      <c r="E1750" s="68" t="n"/>
      <c r="F1750" s="69" t="n"/>
      <c r="G1750" s="70" t="n"/>
      <c r="H1750" s="62" t="str">
        <f>IF(COUNTA(A1750:G1750)=0,"",IF(C1750&lt;&gt;"",C1750,IF(B1750="","",IFERROR(INDEX(pr_des,MATCH(B1750,pr_code,0))&amp;"",""))))</f>
        <v/>
      </c>
      <c r="I1750" s="59" t="str">
        <f>IF(B1750="","",IFERROR(INDEX(pr_unit,MATCH(B1750,pr_code,0))&amp;"",""))</f>
        <v/>
      </c>
      <c r="J1750" s="65" t="str">
        <f>IF(COUNTA(A1750:G1750)=0,"",IF(E1750&lt;&gt;"",E1750,IF(B1750="","",IFERROR(IF(INDEX(pr_price,MATCH(B1750,pr_code,0))="","",INDEX(pr_price,MATCH(B1750,pr_code,0))),""))))</f>
        <v/>
      </c>
      <c r="K1750" s="71" t="str">
        <f>IF(COUNTA(A1750:G1750)=0,"",IF(G1750&lt;&gt;"",G1750,IF(B1750="","",IFERROR(IF(INDEX(pr_rate,MATCH(B1750,pr_code,0))="","",INDEX(pr_rate,MATCH(B1750,pr_code,0))),""))))</f>
        <v/>
      </c>
      <c r="L1750" s="65" t="str">
        <f>IF(COUNTA(A1750:G1750)=0,"",IF(AND(ISNUMBER(D1750),ISNUMBER(J1750)),ROUND(D1750*J1750*(1-N(F1750)),2),0))</f>
        <v/>
      </c>
      <c r="M1750" s="62" t="str">
        <f>IF(A1750="","",IFERROR(INDEX(fa_cname,MATCH(A1750,fa_num,0))&amp;"",""))</f>
        <v/>
      </c>
      <c r="N1750" s="59" t="str">
        <f>IF(COUNTA(A1750:G1750)=0,"",IF(A1750="","N° facture manquant",IF(ISNA(MATCH(A1750,fa_num,0)),"Facture inconnue",IF(AND(B1750&lt;&gt;"",ISNA(MATCH(B1750,pr_code,0))),"Article inconnu",IF(H1750="","Désignation manquante",IF(OR(NOT(ISNUMBER(D1750)),N(D1750)&lt;=0),"Quantité invalide",IF(J1750="","Prix manquant",IF(OR(NOT(ISNUMBER(J1750)),N(J1750)&lt;0),"Prix invalide",IF(OR(AND(F1750&lt;&gt;"",NOT(ISNUMBER(F1750))),N(F1750)&lt;0,N(F1750)&gt;1),"Remise invalide",IF(K1750="","Taux de TVA manquant",IF(NOT(ISNUMBER(K1750)),"Taux de TVA invalide",IF(COUNTIF(p_rates,K1750)=0,"Taux de TVA hors liste (Paramètres)",IF(N(O1750)&gt;25,"Au-delà de 25 lignes : non imprimée","OK")))))))))))))</f>
        <v/>
      </c>
      <c r="O1750" s="59" t="str">
        <f>IF(A1750="","",COUNTIF($A$6:A1750,A1750))</f>
        <v/>
      </c>
      <c r="P1750" s="62" t="str">
        <f>IF(A1750="","",A1750&amp;"|"&amp;O1750)</f>
        <v/>
      </c>
    </row>
    <row r="1751">
      <c r="A1751" s="60" t="n"/>
      <c r="B1751" s="63" t="n"/>
      <c r="C1751" s="63" t="n"/>
      <c r="D1751" s="67" t="n"/>
      <c r="E1751" s="68" t="n"/>
      <c r="F1751" s="69" t="n"/>
      <c r="G1751" s="70" t="n"/>
      <c r="H1751" s="62" t="str">
        <f>IF(COUNTA(A1751:G1751)=0,"",IF(C1751&lt;&gt;"",C1751,IF(B1751="","",IFERROR(INDEX(pr_des,MATCH(B1751,pr_code,0))&amp;"",""))))</f>
        <v/>
      </c>
      <c r="I1751" s="59" t="str">
        <f>IF(B1751="","",IFERROR(INDEX(pr_unit,MATCH(B1751,pr_code,0))&amp;"",""))</f>
        <v/>
      </c>
      <c r="J1751" s="65" t="str">
        <f>IF(COUNTA(A1751:G1751)=0,"",IF(E1751&lt;&gt;"",E1751,IF(B1751="","",IFERROR(IF(INDEX(pr_price,MATCH(B1751,pr_code,0))="","",INDEX(pr_price,MATCH(B1751,pr_code,0))),""))))</f>
        <v/>
      </c>
      <c r="K1751" s="71" t="str">
        <f>IF(COUNTA(A1751:G1751)=0,"",IF(G1751&lt;&gt;"",G1751,IF(B1751="","",IFERROR(IF(INDEX(pr_rate,MATCH(B1751,pr_code,0))="","",INDEX(pr_rate,MATCH(B1751,pr_code,0))),""))))</f>
        <v/>
      </c>
      <c r="L1751" s="65" t="str">
        <f>IF(COUNTA(A1751:G1751)=0,"",IF(AND(ISNUMBER(D1751),ISNUMBER(J1751)),ROUND(D1751*J1751*(1-N(F1751)),2),0))</f>
        <v/>
      </c>
      <c r="M1751" s="62" t="str">
        <f>IF(A1751="","",IFERROR(INDEX(fa_cname,MATCH(A1751,fa_num,0))&amp;"",""))</f>
        <v/>
      </c>
      <c r="N1751" s="59" t="str">
        <f>IF(COUNTA(A1751:G1751)=0,"",IF(A1751="","N° facture manquant",IF(ISNA(MATCH(A1751,fa_num,0)),"Facture inconnue",IF(AND(B1751&lt;&gt;"",ISNA(MATCH(B1751,pr_code,0))),"Article inconnu",IF(H1751="","Désignation manquante",IF(OR(NOT(ISNUMBER(D1751)),N(D1751)&lt;=0),"Quantité invalide",IF(J1751="","Prix manquant",IF(OR(NOT(ISNUMBER(J1751)),N(J1751)&lt;0),"Prix invalide",IF(OR(AND(F1751&lt;&gt;"",NOT(ISNUMBER(F1751))),N(F1751)&lt;0,N(F1751)&gt;1),"Remise invalide",IF(K1751="","Taux de TVA manquant",IF(NOT(ISNUMBER(K1751)),"Taux de TVA invalide",IF(COUNTIF(p_rates,K1751)=0,"Taux de TVA hors liste (Paramètres)",IF(N(O1751)&gt;25,"Au-delà de 25 lignes : non imprimée","OK")))))))))))))</f>
        <v/>
      </c>
      <c r="O1751" s="59" t="str">
        <f>IF(A1751="","",COUNTIF($A$6:A1751,A1751))</f>
        <v/>
      </c>
      <c r="P1751" s="62" t="str">
        <f>IF(A1751="","",A1751&amp;"|"&amp;O1751)</f>
        <v/>
      </c>
    </row>
    <row r="1752">
      <c r="A1752" s="60" t="n"/>
      <c r="B1752" s="63" t="n"/>
      <c r="C1752" s="63" t="n"/>
      <c r="D1752" s="67" t="n"/>
      <c r="E1752" s="68" t="n"/>
      <c r="F1752" s="69" t="n"/>
      <c r="G1752" s="70" t="n"/>
      <c r="H1752" s="62" t="str">
        <f>IF(COUNTA(A1752:G1752)=0,"",IF(C1752&lt;&gt;"",C1752,IF(B1752="","",IFERROR(INDEX(pr_des,MATCH(B1752,pr_code,0))&amp;"",""))))</f>
        <v/>
      </c>
      <c r="I1752" s="59" t="str">
        <f>IF(B1752="","",IFERROR(INDEX(pr_unit,MATCH(B1752,pr_code,0))&amp;"",""))</f>
        <v/>
      </c>
      <c r="J1752" s="65" t="str">
        <f>IF(COUNTA(A1752:G1752)=0,"",IF(E1752&lt;&gt;"",E1752,IF(B1752="","",IFERROR(IF(INDEX(pr_price,MATCH(B1752,pr_code,0))="","",INDEX(pr_price,MATCH(B1752,pr_code,0))),""))))</f>
        <v/>
      </c>
      <c r="K1752" s="71" t="str">
        <f>IF(COUNTA(A1752:G1752)=0,"",IF(G1752&lt;&gt;"",G1752,IF(B1752="","",IFERROR(IF(INDEX(pr_rate,MATCH(B1752,pr_code,0))="","",INDEX(pr_rate,MATCH(B1752,pr_code,0))),""))))</f>
        <v/>
      </c>
      <c r="L1752" s="65" t="str">
        <f>IF(COUNTA(A1752:G1752)=0,"",IF(AND(ISNUMBER(D1752),ISNUMBER(J1752)),ROUND(D1752*J1752*(1-N(F1752)),2),0))</f>
        <v/>
      </c>
      <c r="M1752" s="62" t="str">
        <f>IF(A1752="","",IFERROR(INDEX(fa_cname,MATCH(A1752,fa_num,0))&amp;"",""))</f>
        <v/>
      </c>
      <c r="N1752" s="59" t="str">
        <f>IF(COUNTA(A1752:G1752)=0,"",IF(A1752="","N° facture manquant",IF(ISNA(MATCH(A1752,fa_num,0)),"Facture inconnue",IF(AND(B1752&lt;&gt;"",ISNA(MATCH(B1752,pr_code,0))),"Article inconnu",IF(H1752="","Désignation manquante",IF(OR(NOT(ISNUMBER(D1752)),N(D1752)&lt;=0),"Quantité invalide",IF(J1752="","Prix manquant",IF(OR(NOT(ISNUMBER(J1752)),N(J1752)&lt;0),"Prix invalide",IF(OR(AND(F1752&lt;&gt;"",NOT(ISNUMBER(F1752))),N(F1752)&lt;0,N(F1752)&gt;1),"Remise invalide",IF(K1752="","Taux de TVA manquant",IF(NOT(ISNUMBER(K1752)),"Taux de TVA invalide",IF(COUNTIF(p_rates,K1752)=0,"Taux de TVA hors liste (Paramètres)",IF(N(O1752)&gt;25,"Au-delà de 25 lignes : non imprimée","OK")))))))))))))</f>
        <v/>
      </c>
      <c r="O1752" s="59" t="str">
        <f>IF(A1752="","",COUNTIF($A$6:A1752,A1752))</f>
        <v/>
      </c>
      <c r="P1752" s="62" t="str">
        <f>IF(A1752="","",A1752&amp;"|"&amp;O1752)</f>
        <v/>
      </c>
    </row>
    <row r="1753">
      <c r="A1753" s="60" t="n"/>
      <c r="B1753" s="63" t="n"/>
      <c r="C1753" s="63" t="n"/>
      <c r="D1753" s="67" t="n"/>
      <c r="E1753" s="68" t="n"/>
      <c r="F1753" s="69" t="n"/>
      <c r="G1753" s="70" t="n"/>
      <c r="H1753" s="62" t="str">
        <f>IF(COUNTA(A1753:G1753)=0,"",IF(C1753&lt;&gt;"",C1753,IF(B1753="","",IFERROR(INDEX(pr_des,MATCH(B1753,pr_code,0))&amp;"",""))))</f>
        <v/>
      </c>
      <c r="I1753" s="59" t="str">
        <f>IF(B1753="","",IFERROR(INDEX(pr_unit,MATCH(B1753,pr_code,0))&amp;"",""))</f>
        <v/>
      </c>
      <c r="J1753" s="65" t="str">
        <f>IF(COUNTA(A1753:G1753)=0,"",IF(E1753&lt;&gt;"",E1753,IF(B1753="","",IFERROR(IF(INDEX(pr_price,MATCH(B1753,pr_code,0))="","",INDEX(pr_price,MATCH(B1753,pr_code,0))),""))))</f>
        <v/>
      </c>
      <c r="K1753" s="71" t="str">
        <f>IF(COUNTA(A1753:G1753)=0,"",IF(G1753&lt;&gt;"",G1753,IF(B1753="","",IFERROR(IF(INDEX(pr_rate,MATCH(B1753,pr_code,0))="","",INDEX(pr_rate,MATCH(B1753,pr_code,0))),""))))</f>
        <v/>
      </c>
      <c r="L1753" s="65" t="str">
        <f>IF(COUNTA(A1753:G1753)=0,"",IF(AND(ISNUMBER(D1753),ISNUMBER(J1753)),ROUND(D1753*J1753*(1-N(F1753)),2),0))</f>
        <v/>
      </c>
      <c r="M1753" s="62" t="str">
        <f>IF(A1753="","",IFERROR(INDEX(fa_cname,MATCH(A1753,fa_num,0))&amp;"",""))</f>
        <v/>
      </c>
      <c r="N1753" s="59" t="str">
        <f>IF(COUNTA(A1753:G1753)=0,"",IF(A1753="","N° facture manquant",IF(ISNA(MATCH(A1753,fa_num,0)),"Facture inconnue",IF(AND(B1753&lt;&gt;"",ISNA(MATCH(B1753,pr_code,0))),"Article inconnu",IF(H1753="","Désignation manquante",IF(OR(NOT(ISNUMBER(D1753)),N(D1753)&lt;=0),"Quantité invalide",IF(J1753="","Prix manquant",IF(OR(NOT(ISNUMBER(J1753)),N(J1753)&lt;0),"Prix invalide",IF(OR(AND(F1753&lt;&gt;"",NOT(ISNUMBER(F1753))),N(F1753)&lt;0,N(F1753)&gt;1),"Remise invalide",IF(K1753="","Taux de TVA manquant",IF(NOT(ISNUMBER(K1753)),"Taux de TVA invalide",IF(COUNTIF(p_rates,K1753)=0,"Taux de TVA hors liste (Paramètres)",IF(N(O1753)&gt;25,"Au-delà de 25 lignes : non imprimée","OK")))))))))))))</f>
        <v/>
      </c>
      <c r="O1753" s="59" t="str">
        <f>IF(A1753="","",COUNTIF($A$6:A1753,A1753))</f>
        <v/>
      </c>
      <c r="P1753" s="62" t="str">
        <f>IF(A1753="","",A1753&amp;"|"&amp;O1753)</f>
        <v/>
      </c>
    </row>
    <row r="1754">
      <c r="A1754" s="60" t="n"/>
      <c r="B1754" s="63" t="n"/>
      <c r="C1754" s="63" t="n"/>
      <c r="D1754" s="67" t="n"/>
      <c r="E1754" s="68" t="n"/>
      <c r="F1754" s="69" t="n"/>
      <c r="G1754" s="70" t="n"/>
      <c r="H1754" s="62" t="str">
        <f>IF(COUNTA(A1754:G1754)=0,"",IF(C1754&lt;&gt;"",C1754,IF(B1754="","",IFERROR(INDEX(pr_des,MATCH(B1754,pr_code,0))&amp;"",""))))</f>
        <v/>
      </c>
      <c r="I1754" s="59" t="str">
        <f>IF(B1754="","",IFERROR(INDEX(pr_unit,MATCH(B1754,pr_code,0))&amp;"",""))</f>
        <v/>
      </c>
      <c r="J1754" s="65" t="str">
        <f>IF(COUNTA(A1754:G1754)=0,"",IF(E1754&lt;&gt;"",E1754,IF(B1754="","",IFERROR(IF(INDEX(pr_price,MATCH(B1754,pr_code,0))="","",INDEX(pr_price,MATCH(B1754,pr_code,0))),""))))</f>
        <v/>
      </c>
      <c r="K1754" s="71" t="str">
        <f>IF(COUNTA(A1754:G1754)=0,"",IF(G1754&lt;&gt;"",G1754,IF(B1754="","",IFERROR(IF(INDEX(pr_rate,MATCH(B1754,pr_code,0))="","",INDEX(pr_rate,MATCH(B1754,pr_code,0))),""))))</f>
        <v/>
      </c>
      <c r="L1754" s="65" t="str">
        <f>IF(COUNTA(A1754:G1754)=0,"",IF(AND(ISNUMBER(D1754),ISNUMBER(J1754)),ROUND(D1754*J1754*(1-N(F1754)),2),0))</f>
        <v/>
      </c>
      <c r="M1754" s="62" t="str">
        <f>IF(A1754="","",IFERROR(INDEX(fa_cname,MATCH(A1754,fa_num,0))&amp;"",""))</f>
        <v/>
      </c>
      <c r="N1754" s="59" t="str">
        <f>IF(COUNTA(A1754:G1754)=0,"",IF(A1754="","N° facture manquant",IF(ISNA(MATCH(A1754,fa_num,0)),"Facture inconnue",IF(AND(B1754&lt;&gt;"",ISNA(MATCH(B1754,pr_code,0))),"Article inconnu",IF(H1754="","Désignation manquante",IF(OR(NOT(ISNUMBER(D1754)),N(D1754)&lt;=0),"Quantité invalide",IF(J1754="","Prix manquant",IF(OR(NOT(ISNUMBER(J1754)),N(J1754)&lt;0),"Prix invalide",IF(OR(AND(F1754&lt;&gt;"",NOT(ISNUMBER(F1754))),N(F1754)&lt;0,N(F1754)&gt;1),"Remise invalide",IF(K1754="","Taux de TVA manquant",IF(NOT(ISNUMBER(K1754)),"Taux de TVA invalide",IF(COUNTIF(p_rates,K1754)=0,"Taux de TVA hors liste (Paramètres)",IF(N(O1754)&gt;25,"Au-delà de 25 lignes : non imprimée","OK")))))))))))))</f>
        <v/>
      </c>
      <c r="O1754" s="59" t="str">
        <f>IF(A1754="","",COUNTIF($A$6:A1754,A1754))</f>
        <v/>
      </c>
      <c r="P1754" s="62" t="str">
        <f>IF(A1754="","",A1754&amp;"|"&amp;O1754)</f>
        <v/>
      </c>
    </row>
    <row r="1755">
      <c r="A1755" s="60" t="n"/>
      <c r="B1755" s="63" t="n"/>
      <c r="C1755" s="63" t="n"/>
      <c r="D1755" s="67" t="n"/>
      <c r="E1755" s="68" t="n"/>
      <c r="F1755" s="69" t="n"/>
      <c r="G1755" s="70" t="n"/>
      <c r="H1755" s="62" t="str">
        <f>IF(COUNTA(A1755:G1755)=0,"",IF(C1755&lt;&gt;"",C1755,IF(B1755="","",IFERROR(INDEX(pr_des,MATCH(B1755,pr_code,0))&amp;"",""))))</f>
        <v/>
      </c>
      <c r="I1755" s="59" t="str">
        <f>IF(B1755="","",IFERROR(INDEX(pr_unit,MATCH(B1755,pr_code,0))&amp;"",""))</f>
        <v/>
      </c>
      <c r="J1755" s="65" t="str">
        <f>IF(COUNTA(A1755:G1755)=0,"",IF(E1755&lt;&gt;"",E1755,IF(B1755="","",IFERROR(IF(INDEX(pr_price,MATCH(B1755,pr_code,0))="","",INDEX(pr_price,MATCH(B1755,pr_code,0))),""))))</f>
        <v/>
      </c>
      <c r="K1755" s="71" t="str">
        <f>IF(COUNTA(A1755:G1755)=0,"",IF(G1755&lt;&gt;"",G1755,IF(B1755="","",IFERROR(IF(INDEX(pr_rate,MATCH(B1755,pr_code,0))="","",INDEX(pr_rate,MATCH(B1755,pr_code,0))),""))))</f>
        <v/>
      </c>
      <c r="L1755" s="65" t="str">
        <f>IF(COUNTA(A1755:G1755)=0,"",IF(AND(ISNUMBER(D1755),ISNUMBER(J1755)),ROUND(D1755*J1755*(1-N(F1755)),2),0))</f>
        <v/>
      </c>
      <c r="M1755" s="62" t="str">
        <f>IF(A1755="","",IFERROR(INDEX(fa_cname,MATCH(A1755,fa_num,0))&amp;"",""))</f>
        <v/>
      </c>
      <c r="N1755" s="59" t="str">
        <f>IF(COUNTA(A1755:G1755)=0,"",IF(A1755="","N° facture manquant",IF(ISNA(MATCH(A1755,fa_num,0)),"Facture inconnue",IF(AND(B1755&lt;&gt;"",ISNA(MATCH(B1755,pr_code,0))),"Article inconnu",IF(H1755="","Désignation manquante",IF(OR(NOT(ISNUMBER(D1755)),N(D1755)&lt;=0),"Quantité invalide",IF(J1755="","Prix manquant",IF(OR(NOT(ISNUMBER(J1755)),N(J1755)&lt;0),"Prix invalide",IF(OR(AND(F1755&lt;&gt;"",NOT(ISNUMBER(F1755))),N(F1755)&lt;0,N(F1755)&gt;1),"Remise invalide",IF(K1755="","Taux de TVA manquant",IF(NOT(ISNUMBER(K1755)),"Taux de TVA invalide",IF(COUNTIF(p_rates,K1755)=0,"Taux de TVA hors liste (Paramètres)",IF(N(O1755)&gt;25,"Au-delà de 25 lignes : non imprimée","OK")))))))))))))</f>
        <v/>
      </c>
      <c r="O1755" s="59" t="str">
        <f>IF(A1755="","",COUNTIF($A$6:A1755,A1755))</f>
        <v/>
      </c>
      <c r="P1755" s="62" t="str">
        <f>IF(A1755="","",A1755&amp;"|"&amp;O1755)</f>
        <v/>
      </c>
    </row>
    <row r="1756">
      <c r="A1756" s="60" t="n"/>
      <c r="B1756" s="63" t="n"/>
      <c r="C1756" s="63" t="n"/>
      <c r="D1756" s="67" t="n"/>
      <c r="E1756" s="68" t="n"/>
      <c r="F1756" s="69" t="n"/>
      <c r="G1756" s="70" t="n"/>
      <c r="H1756" s="62" t="str">
        <f>IF(COUNTA(A1756:G1756)=0,"",IF(C1756&lt;&gt;"",C1756,IF(B1756="","",IFERROR(INDEX(pr_des,MATCH(B1756,pr_code,0))&amp;"",""))))</f>
        <v/>
      </c>
      <c r="I1756" s="59" t="str">
        <f>IF(B1756="","",IFERROR(INDEX(pr_unit,MATCH(B1756,pr_code,0))&amp;"",""))</f>
        <v/>
      </c>
      <c r="J1756" s="65" t="str">
        <f>IF(COUNTA(A1756:G1756)=0,"",IF(E1756&lt;&gt;"",E1756,IF(B1756="","",IFERROR(IF(INDEX(pr_price,MATCH(B1756,pr_code,0))="","",INDEX(pr_price,MATCH(B1756,pr_code,0))),""))))</f>
        <v/>
      </c>
      <c r="K1756" s="71" t="str">
        <f>IF(COUNTA(A1756:G1756)=0,"",IF(G1756&lt;&gt;"",G1756,IF(B1756="","",IFERROR(IF(INDEX(pr_rate,MATCH(B1756,pr_code,0))="","",INDEX(pr_rate,MATCH(B1756,pr_code,0))),""))))</f>
        <v/>
      </c>
      <c r="L1756" s="65" t="str">
        <f>IF(COUNTA(A1756:G1756)=0,"",IF(AND(ISNUMBER(D1756),ISNUMBER(J1756)),ROUND(D1756*J1756*(1-N(F1756)),2),0))</f>
        <v/>
      </c>
      <c r="M1756" s="62" t="str">
        <f>IF(A1756="","",IFERROR(INDEX(fa_cname,MATCH(A1756,fa_num,0))&amp;"",""))</f>
        <v/>
      </c>
      <c r="N1756" s="59" t="str">
        <f>IF(COUNTA(A1756:G1756)=0,"",IF(A1756="","N° facture manquant",IF(ISNA(MATCH(A1756,fa_num,0)),"Facture inconnue",IF(AND(B1756&lt;&gt;"",ISNA(MATCH(B1756,pr_code,0))),"Article inconnu",IF(H1756="","Désignation manquante",IF(OR(NOT(ISNUMBER(D1756)),N(D1756)&lt;=0),"Quantité invalide",IF(J1756="","Prix manquant",IF(OR(NOT(ISNUMBER(J1756)),N(J1756)&lt;0),"Prix invalide",IF(OR(AND(F1756&lt;&gt;"",NOT(ISNUMBER(F1756))),N(F1756)&lt;0,N(F1756)&gt;1),"Remise invalide",IF(K1756="","Taux de TVA manquant",IF(NOT(ISNUMBER(K1756)),"Taux de TVA invalide",IF(COUNTIF(p_rates,K1756)=0,"Taux de TVA hors liste (Paramètres)",IF(N(O1756)&gt;25,"Au-delà de 25 lignes : non imprimée","OK")))))))))))))</f>
        <v/>
      </c>
      <c r="O1756" s="59" t="str">
        <f>IF(A1756="","",COUNTIF($A$6:A1756,A1756))</f>
        <v/>
      </c>
      <c r="P1756" s="62" t="str">
        <f>IF(A1756="","",A1756&amp;"|"&amp;O1756)</f>
        <v/>
      </c>
    </row>
    <row r="1757">
      <c r="A1757" s="60" t="n"/>
      <c r="B1757" s="63" t="n"/>
      <c r="C1757" s="63" t="n"/>
      <c r="D1757" s="67" t="n"/>
      <c r="E1757" s="68" t="n"/>
      <c r="F1757" s="69" t="n"/>
      <c r="G1757" s="70" t="n"/>
      <c r="H1757" s="62" t="str">
        <f>IF(COUNTA(A1757:G1757)=0,"",IF(C1757&lt;&gt;"",C1757,IF(B1757="","",IFERROR(INDEX(pr_des,MATCH(B1757,pr_code,0))&amp;"",""))))</f>
        <v/>
      </c>
      <c r="I1757" s="59" t="str">
        <f>IF(B1757="","",IFERROR(INDEX(pr_unit,MATCH(B1757,pr_code,0))&amp;"",""))</f>
        <v/>
      </c>
      <c r="J1757" s="65" t="str">
        <f>IF(COUNTA(A1757:G1757)=0,"",IF(E1757&lt;&gt;"",E1757,IF(B1757="","",IFERROR(IF(INDEX(pr_price,MATCH(B1757,pr_code,0))="","",INDEX(pr_price,MATCH(B1757,pr_code,0))),""))))</f>
        <v/>
      </c>
      <c r="K1757" s="71" t="str">
        <f>IF(COUNTA(A1757:G1757)=0,"",IF(G1757&lt;&gt;"",G1757,IF(B1757="","",IFERROR(IF(INDEX(pr_rate,MATCH(B1757,pr_code,0))="","",INDEX(pr_rate,MATCH(B1757,pr_code,0))),""))))</f>
        <v/>
      </c>
      <c r="L1757" s="65" t="str">
        <f>IF(COUNTA(A1757:G1757)=0,"",IF(AND(ISNUMBER(D1757),ISNUMBER(J1757)),ROUND(D1757*J1757*(1-N(F1757)),2),0))</f>
        <v/>
      </c>
      <c r="M1757" s="62" t="str">
        <f>IF(A1757="","",IFERROR(INDEX(fa_cname,MATCH(A1757,fa_num,0))&amp;"",""))</f>
        <v/>
      </c>
      <c r="N1757" s="59" t="str">
        <f>IF(COUNTA(A1757:G1757)=0,"",IF(A1757="","N° facture manquant",IF(ISNA(MATCH(A1757,fa_num,0)),"Facture inconnue",IF(AND(B1757&lt;&gt;"",ISNA(MATCH(B1757,pr_code,0))),"Article inconnu",IF(H1757="","Désignation manquante",IF(OR(NOT(ISNUMBER(D1757)),N(D1757)&lt;=0),"Quantité invalide",IF(J1757="","Prix manquant",IF(OR(NOT(ISNUMBER(J1757)),N(J1757)&lt;0),"Prix invalide",IF(OR(AND(F1757&lt;&gt;"",NOT(ISNUMBER(F1757))),N(F1757)&lt;0,N(F1757)&gt;1),"Remise invalide",IF(K1757="","Taux de TVA manquant",IF(NOT(ISNUMBER(K1757)),"Taux de TVA invalide",IF(COUNTIF(p_rates,K1757)=0,"Taux de TVA hors liste (Paramètres)",IF(N(O1757)&gt;25,"Au-delà de 25 lignes : non imprimée","OK")))))))))))))</f>
        <v/>
      </c>
      <c r="O1757" s="59" t="str">
        <f>IF(A1757="","",COUNTIF($A$6:A1757,A1757))</f>
        <v/>
      </c>
      <c r="P1757" s="62" t="str">
        <f>IF(A1757="","",A1757&amp;"|"&amp;O1757)</f>
        <v/>
      </c>
    </row>
    <row r="1758">
      <c r="A1758" s="60" t="n"/>
      <c r="B1758" s="63" t="n"/>
      <c r="C1758" s="63" t="n"/>
      <c r="D1758" s="67" t="n"/>
      <c r="E1758" s="68" t="n"/>
      <c r="F1758" s="69" t="n"/>
      <c r="G1758" s="70" t="n"/>
      <c r="H1758" s="62" t="str">
        <f>IF(COUNTA(A1758:G1758)=0,"",IF(C1758&lt;&gt;"",C1758,IF(B1758="","",IFERROR(INDEX(pr_des,MATCH(B1758,pr_code,0))&amp;"",""))))</f>
        <v/>
      </c>
      <c r="I1758" s="59" t="str">
        <f>IF(B1758="","",IFERROR(INDEX(pr_unit,MATCH(B1758,pr_code,0))&amp;"",""))</f>
        <v/>
      </c>
      <c r="J1758" s="65" t="str">
        <f>IF(COUNTA(A1758:G1758)=0,"",IF(E1758&lt;&gt;"",E1758,IF(B1758="","",IFERROR(IF(INDEX(pr_price,MATCH(B1758,pr_code,0))="","",INDEX(pr_price,MATCH(B1758,pr_code,0))),""))))</f>
        <v/>
      </c>
      <c r="K1758" s="71" t="str">
        <f>IF(COUNTA(A1758:G1758)=0,"",IF(G1758&lt;&gt;"",G1758,IF(B1758="","",IFERROR(IF(INDEX(pr_rate,MATCH(B1758,pr_code,0))="","",INDEX(pr_rate,MATCH(B1758,pr_code,0))),""))))</f>
        <v/>
      </c>
      <c r="L1758" s="65" t="str">
        <f>IF(COUNTA(A1758:G1758)=0,"",IF(AND(ISNUMBER(D1758),ISNUMBER(J1758)),ROUND(D1758*J1758*(1-N(F1758)),2),0))</f>
        <v/>
      </c>
      <c r="M1758" s="62" t="str">
        <f>IF(A1758="","",IFERROR(INDEX(fa_cname,MATCH(A1758,fa_num,0))&amp;"",""))</f>
        <v/>
      </c>
      <c r="N1758" s="59" t="str">
        <f>IF(COUNTA(A1758:G1758)=0,"",IF(A1758="","N° facture manquant",IF(ISNA(MATCH(A1758,fa_num,0)),"Facture inconnue",IF(AND(B1758&lt;&gt;"",ISNA(MATCH(B1758,pr_code,0))),"Article inconnu",IF(H1758="","Désignation manquante",IF(OR(NOT(ISNUMBER(D1758)),N(D1758)&lt;=0),"Quantité invalide",IF(J1758="","Prix manquant",IF(OR(NOT(ISNUMBER(J1758)),N(J1758)&lt;0),"Prix invalide",IF(OR(AND(F1758&lt;&gt;"",NOT(ISNUMBER(F1758))),N(F1758)&lt;0,N(F1758)&gt;1),"Remise invalide",IF(K1758="","Taux de TVA manquant",IF(NOT(ISNUMBER(K1758)),"Taux de TVA invalide",IF(COUNTIF(p_rates,K1758)=0,"Taux de TVA hors liste (Paramètres)",IF(N(O1758)&gt;25,"Au-delà de 25 lignes : non imprimée","OK")))))))))))))</f>
        <v/>
      </c>
      <c r="O1758" s="59" t="str">
        <f>IF(A1758="","",COUNTIF($A$6:A1758,A1758))</f>
        <v/>
      </c>
      <c r="P1758" s="62" t="str">
        <f>IF(A1758="","",A1758&amp;"|"&amp;O1758)</f>
        <v/>
      </c>
    </row>
    <row r="1759">
      <c r="A1759" s="60" t="n"/>
      <c r="B1759" s="63" t="n"/>
      <c r="C1759" s="63" t="n"/>
      <c r="D1759" s="67" t="n"/>
      <c r="E1759" s="68" t="n"/>
      <c r="F1759" s="69" t="n"/>
      <c r="G1759" s="70" t="n"/>
      <c r="H1759" s="62" t="str">
        <f>IF(COUNTA(A1759:G1759)=0,"",IF(C1759&lt;&gt;"",C1759,IF(B1759="","",IFERROR(INDEX(pr_des,MATCH(B1759,pr_code,0))&amp;"",""))))</f>
        <v/>
      </c>
      <c r="I1759" s="59" t="str">
        <f>IF(B1759="","",IFERROR(INDEX(pr_unit,MATCH(B1759,pr_code,0))&amp;"",""))</f>
        <v/>
      </c>
      <c r="J1759" s="65" t="str">
        <f>IF(COUNTA(A1759:G1759)=0,"",IF(E1759&lt;&gt;"",E1759,IF(B1759="","",IFERROR(IF(INDEX(pr_price,MATCH(B1759,pr_code,0))="","",INDEX(pr_price,MATCH(B1759,pr_code,0))),""))))</f>
        <v/>
      </c>
      <c r="K1759" s="71" t="str">
        <f>IF(COUNTA(A1759:G1759)=0,"",IF(G1759&lt;&gt;"",G1759,IF(B1759="","",IFERROR(IF(INDEX(pr_rate,MATCH(B1759,pr_code,0))="","",INDEX(pr_rate,MATCH(B1759,pr_code,0))),""))))</f>
        <v/>
      </c>
      <c r="L1759" s="65" t="str">
        <f>IF(COUNTA(A1759:G1759)=0,"",IF(AND(ISNUMBER(D1759),ISNUMBER(J1759)),ROUND(D1759*J1759*(1-N(F1759)),2),0))</f>
        <v/>
      </c>
      <c r="M1759" s="62" t="str">
        <f>IF(A1759="","",IFERROR(INDEX(fa_cname,MATCH(A1759,fa_num,0))&amp;"",""))</f>
        <v/>
      </c>
      <c r="N1759" s="59" t="str">
        <f>IF(COUNTA(A1759:G1759)=0,"",IF(A1759="","N° facture manquant",IF(ISNA(MATCH(A1759,fa_num,0)),"Facture inconnue",IF(AND(B1759&lt;&gt;"",ISNA(MATCH(B1759,pr_code,0))),"Article inconnu",IF(H1759="","Désignation manquante",IF(OR(NOT(ISNUMBER(D1759)),N(D1759)&lt;=0),"Quantité invalide",IF(J1759="","Prix manquant",IF(OR(NOT(ISNUMBER(J1759)),N(J1759)&lt;0),"Prix invalide",IF(OR(AND(F1759&lt;&gt;"",NOT(ISNUMBER(F1759))),N(F1759)&lt;0,N(F1759)&gt;1),"Remise invalide",IF(K1759="","Taux de TVA manquant",IF(NOT(ISNUMBER(K1759)),"Taux de TVA invalide",IF(COUNTIF(p_rates,K1759)=0,"Taux de TVA hors liste (Paramètres)",IF(N(O1759)&gt;25,"Au-delà de 25 lignes : non imprimée","OK")))))))))))))</f>
        <v/>
      </c>
      <c r="O1759" s="59" t="str">
        <f>IF(A1759="","",COUNTIF($A$6:A1759,A1759))</f>
        <v/>
      </c>
      <c r="P1759" s="62" t="str">
        <f>IF(A1759="","",A1759&amp;"|"&amp;O1759)</f>
        <v/>
      </c>
    </row>
    <row r="1760">
      <c r="A1760" s="60" t="n"/>
      <c r="B1760" s="63" t="n"/>
      <c r="C1760" s="63" t="n"/>
      <c r="D1760" s="67" t="n"/>
      <c r="E1760" s="68" t="n"/>
      <c r="F1760" s="69" t="n"/>
      <c r="G1760" s="70" t="n"/>
      <c r="H1760" s="62" t="str">
        <f>IF(COUNTA(A1760:G1760)=0,"",IF(C1760&lt;&gt;"",C1760,IF(B1760="","",IFERROR(INDEX(pr_des,MATCH(B1760,pr_code,0))&amp;"",""))))</f>
        <v/>
      </c>
      <c r="I1760" s="59" t="str">
        <f>IF(B1760="","",IFERROR(INDEX(pr_unit,MATCH(B1760,pr_code,0))&amp;"",""))</f>
        <v/>
      </c>
      <c r="J1760" s="65" t="str">
        <f>IF(COUNTA(A1760:G1760)=0,"",IF(E1760&lt;&gt;"",E1760,IF(B1760="","",IFERROR(IF(INDEX(pr_price,MATCH(B1760,pr_code,0))="","",INDEX(pr_price,MATCH(B1760,pr_code,0))),""))))</f>
        <v/>
      </c>
      <c r="K1760" s="71" t="str">
        <f>IF(COUNTA(A1760:G1760)=0,"",IF(G1760&lt;&gt;"",G1760,IF(B1760="","",IFERROR(IF(INDEX(pr_rate,MATCH(B1760,pr_code,0))="","",INDEX(pr_rate,MATCH(B1760,pr_code,0))),""))))</f>
        <v/>
      </c>
      <c r="L1760" s="65" t="str">
        <f>IF(COUNTA(A1760:G1760)=0,"",IF(AND(ISNUMBER(D1760),ISNUMBER(J1760)),ROUND(D1760*J1760*(1-N(F1760)),2),0))</f>
        <v/>
      </c>
      <c r="M1760" s="62" t="str">
        <f>IF(A1760="","",IFERROR(INDEX(fa_cname,MATCH(A1760,fa_num,0))&amp;"",""))</f>
        <v/>
      </c>
      <c r="N1760" s="59" t="str">
        <f>IF(COUNTA(A1760:G1760)=0,"",IF(A1760="","N° facture manquant",IF(ISNA(MATCH(A1760,fa_num,0)),"Facture inconnue",IF(AND(B1760&lt;&gt;"",ISNA(MATCH(B1760,pr_code,0))),"Article inconnu",IF(H1760="","Désignation manquante",IF(OR(NOT(ISNUMBER(D1760)),N(D1760)&lt;=0),"Quantité invalide",IF(J1760="","Prix manquant",IF(OR(NOT(ISNUMBER(J1760)),N(J1760)&lt;0),"Prix invalide",IF(OR(AND(F1760&lt;&gt;"",NOT(ISNUMBER(F1760))),N(F1760)&lt;0,N(F1760)&gt;1),"Remise invalide",IF(K1760="","Taux de TVA manquant",IF(NOT(ISNUMBER(K1760)),"Taux de TVA invalide",IF(COUNTIF(p_rates,K1760)=0,"Taux de TVA hors liste (Paramètres)",IF(N(O1760)&gt;25,"Au-delà de 25 lignes : non imprimée","OK")))))))))))))</f>
        <v/>
      </c>
      <c r="O1760" s="59" t="str">
        <f>IF(A1760="","",COUNTIF($A$6:A1760,A1760))</f>
        <v/>
      </c>
      <c r="P1760" s="62" t="str">
        <f>IF(A1760="","",A1760&amp;"|"&amp;O1760)</f>
        <v/>
      </c>
    </row>
    <row r="1761">
      <c r="A1761" s="60" t="n"/>
      <c r="B1761" s="63" t="n"/>
      <c r="C1761" s="63" t="n"/>
      <c r="D1761" s="67" t="n"/>
      <c r="E1761" s="68" t="n"/>
      <c r="F1761" s="69" t="n"/>
      <c r="G1761" s="70" t="n"/>
      <c r="H1761" s="62" t="str">
        <f>IF(COUNTA(A1761:G1761)=0,"",IF(C1761&lt;&gt;"",C1761,IF(B1761="","",IFERROR(INDEX(pr_des,MATCH(B1761,pr_code,0))&amp;"",""))))</f>
        <v/>
      </c>
      <c r="I1761" s="59" t="str">
        <f>IF(B1761="","",IFERROR(INDEX(pr_unit,MATCH(B1761,pr_code,0))&amp;"",""))</f>
        <v/>
      </c>
      <c r="J1761" s="65" t="str">
        <f>IF(COUNTA(A1761:G1761)=0,"",IF(E1761&lt;&gt;"",E1761,IF(B1761="","",IFERROR(IF(INDEX(pr_price,MATCH(B1761,pr_code,0))="","",INDEX(pr_price,MATCH(B1761,pr_code,0))),""))))</f>
        <v/>
      </c>
      <c r="K1761" s="71" t="str">
        <f>IF(COUNTA(A1761:G1761)=0,"",IF(G1761&lt;&gt;"",G1761,IF(B1761="","",IFERROR(IF(INDEX(pr_rate,MATCH(B1761,pr_code,0))="","",INDEX(pr_rate,MATCH(B1761,pr_code,0))),""))))</f>
        <v/>
      </c>
      <c r="L1761" s="65" t="str">
        <f>IF(COUNTA(A1761:G1761)=0,"",IF(AND(ISNUMBER(D1761),ISNUMBER(J1761)),ROUND(D1761*J1761*(1-N(F1761)),2),0))</f>
        <v/>
      </c>
      <c r="M1761" s="62" t="str">
        <f>IF(A1761="","",IFERROR(INDEX(fa_cname,MATCH(A1761,fa_num,0))&amp;"",""))</f>
        <v/>
      </c>
      <c r="N1761" s="59" t="str">
        <f>IF(COUNTA(A1761:G1761)=0,"",IF(A1761="","N° facture manquant",IF(ISNA(MATCH(A1761,fa_num,0)),"Facture inconnue",IF(AND(B1761&lt;&gt;"",ISNA(MATCH(B1761,pr_code,0))),"Article inconnu",IF(H1761="","Désignation manquante",IF(OR(NOT(ISNUMBER(D1761)),N(D1761)&lt;=0),"Quantité invalide",IF(J1761="","Prix manquant",IF(OR(NOT(ISNUMBER(J1761)),N(J1761)&lt;0),"Prix invalide",IF(OR(AND(F1761&lt;&gt;"",NOT(ISNUMBER(F1761))),N(F1761)&lt;0,N(F1761)&gt;1),"Remise invalide",IF(K1761="","Taux de TVA manquant",IF(NOT(ISNUMBER(K1761)),"Taux de TVA invalide",IF(COUNTIF(p_rates,K1761)=0,"Taux de TVA hors liste (Paramètres)",IF(N(O1761)&gt;25,"Au-delà de 25 lignes : non imprimée","OK")))))))))))))</f>
        <v/>
      </c>
      <c r="O1761" s="59" t="str">
        <f>IF(A1761="","",COUNTIF($A$6:A1761,A1761))</f>
        <v/>
      </c>
      <c r="P1761" s="62" t="str">
        <f>IF(A1761="","",A1761&amp;"|"&amp;O1761)</f>
        <v/>
      </c>
    </row>
    <row r="1762">
      <c r="A1762" s="60" t="n"/>
      <c r="B1762" s="63" t="n"/>
      <c r="C1762" s="63" t="n"/>
      <c r="D1762" s="67" t="n"/>
      <c r="E1762" s="68" t="n"/>
      <c r="F1762" s="69" t="n"/>
      <c r="G1762" s="70" t="n"/>
      <c r="H1762" s="62" t="str">
        <f>IF(COUNTA(A1762:G1762)=0,"",IF(C1762&lt;&gt;"",C1762,IF(B1762="","",IFERROR(INDEX(pr_des,MATCH(B1762,pr_code,0))&amp;"",""))))</f>
        <v/>
      </c>
      <c r="I1762" s="59" t="str">
        <f>IF(B1762="","",IFERROR(INDEX(pr_unit,MATCH(B1762,pr_code,0))&amp;"",""))</f>
        <v/>
      </c>
      <c r="J1762" s="65" t="str">
        <f>IF(COUNTA(A1762:G1762)=0,"",IF(E1762&lt;&gt;"",E1762,IF(B1762="","",IFERROR(IF(INDEX(pr_price,MATCH(B1762,pr_code,0))="","",INDEX(pr_price,MATCH(B1762,pr_code,0))),""))))</f>
        <v/>
      </c>
      <c r="K1762" s="71" t="str">
        <f>IF(COUNTA(A1762:G1762)=0,"",IF(G1762&lt;&gt;"",G1762,IF(B1762="","",IFERROR(IF(INDEX(pr_rate,MATCH(B1762,pr_code,0))="","",INDEX(pr_rate,MATCH(B1762,pr_code,0))),""))))</f>
        <v/>
      </c>
      <c r="L1762" s="65" t="str">
        <f>IF(COUNTA(A1762:G1762)=0,"",IF(AND(ISNUMBER(D1762),ISNUMBER(J1762)),ROUND(D1762*J1762*(1-N(F1762)),2),0))</f>
        <v/>
      </c>
      <c r="M1762" s="62" t="str">
        <f>IF(A1762="","",IFERROR(INDEX(fa_cname,MATCH(A1762,fa_num,0))&amp;"",""))</f>
        <v/>
      </c>
      <c r="N1762" s="59" t="str">
        <f>IF(COUNTA(A1762:G1762)=0,"",IF(A1762="","N° facture manquant",IF(ISNA(MATCH(A1762,fa_num,0)),"Facture inconnue",IF(AND(B1762&lt;&gt;"",ISNA(MATCH(B1762,pr_code,0))),"Article inconnu",IF(H1762="","Désignation manquante",IF(OR(NOT(ISNUMBER(D1762)),N(D1762)&lt;=0),"Quantité invalide",IF(J1762="","Prix manquant",IF(OR(NOT(ISNUMBER(J1762)),N(J1762)&lt;0),"Prix invalide",IF(OR(AND(F1762&lt;&gt;"",NOT(ISNUMBER(F1762))),N(F1762)&lt;0,N(F1762)&gt;1),"Remise invalide",IF(K1762="","Taux de TVA manquant",IF(NOT(ISNUMBER(K1762)),"Taux de TVA invalide",IF(COUNTIF(p_rates,K1762)=0,"Taux de TVA hors liste (Paramètres)",IF(N(O1762)&gt;25,"Au-delà de 25 lignes : non imprimée","OK")))))))))))))</f>
        <v/>
      </c>
      <c r="O1762" s="59" t="str">
        <f>IF(A1762="","",COUNTIF($A$6:A1762,A1762))</f>
        <v/>
      </c>
      <c r="P1762" s="62" t="str">
        <f>IF(A1762="","",A1762&amp;"|"&amp;O1762)</f>
        <v/>
      </c>
    </row>
    <row r="1763">
      <c r="A1763" s="60" t="n"/>
      <c r="B1763" s="63" t="n"/>
      <c r="C1763" s="63" t="n"/>
      <c r="D1763" s="67" t="n"/>
      <c r="E1763" s="68" t="n"/>
      <c r="F1763" s="69" t="n"/>
      <c r="G1763" s="70" t="n"/>
      <c r="H1763" s="62" t="str">
        <f>IF(COUNTA(A1763:G1763)=0,"",IF(C1763&lt;&gt;"",C1763,IF(B1763="","",IFERROR(INDEX(pr_des,MATCH(B1763,pr_code,0))&amp;"",""))))</f>
        <v/>
      </c>
      <c r="I1763" s="59" t="str">
        <f>IF(B1763="","",IFERROR(INDEX(pr_unit,MATCH(B1763,pr_code,0))&amp;"",""))</f>
        <v/>
      </c>
      <c r="J1763" s="65" t="str">
        <f>IF(COUNTA(A1763:G1763)=0,"",IF(E1763&lt;&gt;"",E1763,IF(B1763="","",IFERROR(IF(INDEX(pr_price,MATCH(B1763,pr_code,0))="","",INDEX(pr_price,MATCH(B1763,pr_code,0))),""))))</f>
        <v/>
      </c>
      <c r="K1763" s="71" t="str">
        <f>IF(COUNTA(A1763:G1763)=0,"",IF(G1763&lt;&gt;"",G1763,IF(B1763="","",IFERROR(IF(INDEX(pr_rate,MATCH(B1763,pr_code,0))="","",INDEX(pr_rate,MATCH(B1763,pr_code,0))),""))))</f>
        <v/>
      </c>
      <c r="L1763" s="65" t="str">
        <f>IF(COUNTA(A1763:G1763)=0,"",IF(AND(ISNUMBER(D1763),ISNUMBER(J1763)),ROUND(D1763*J1763*(1-N(F1763)),2),0))</f>
        <v/>
      </c>
      <c r="M1763" s="62" t="str">
        <f>IF(A1763="","",IFERROR(INDEX(fa_cname,MATCH(A1763,fa_num,0))&amp;"",""))</f>
        <v/>
      </c>
      <c r="N1763" s="59" t="str">
        <f>IF(COUNTA(A1763:G1763)=0,"",IF(A1763="","N° facture manquant",IF(ISNA(MATCH(A1763,fa_num,0)),"Facture inconnue",IF(AND(B1763&lt;&gt;"",ISNA(MATCH(B1763,pr_code,0))),"Article inconnu",IF(H1763="","Désignation manquante",IF(OR(NOT(ISNUMBER(D1763)),N(D1763)&lt;=0),"Quantité invalide",IF(J1763="","Prix manquant",IF(OR(NOT(ISNUMBER(J1763)),N(J1763)&lt;0),"Prix invalide",IF(OR(AND(F1763&lt;&gt;"",NOT(ISNUMBER(F1763))),N(F1763)&lt;0,N(F1763)&gt;1),"Remise invalide",IF(K1763="","Taux de TVA manquant",IF(NOT(ISNUMBER(K1763)),"Taux de TVA invalide",IF(COUNTIF(p_rates,K1763)=0,"Taux de TVA hors liste (Paramètres)",IF(N(O1763)&gt;25,"Au-delà de 25 lignes : non imprimée","OK")))))))))))))</f>
        <v/>
      </c>
      <c r="O1763" s="59" t="str">
        <f>IF(A1763="","",COUNTIF($A$6:A1763,A1763))</f>
        <v/>
      </c>
      <c r="P1763" s="62" t="str">
        <f>IF(A1763="","",A1763&amp;"|"&amp;O1763)</f>
        <v/>
      </c>
    </row>
    <row r="1764">
      <c r="A1764" s="60" t="n"/>
      <c r="B1764" s="63" t="n"/>
      <c r="C1764" s="63" t="n"/>
      <c r="D1764" s="67" t="n"/>
      <c r="E1764" s="68" t="n"/>
      <c r="F1764" s="69" t="n"/>
      <c r="G1764" s="70" t="n"/>
      <c r="H1764" s="62" t="str">
        <f>IF(COUNTA(A1764:G1764)=0,"",IF(C1764&lt;&gt;"",C1764,IF(B1764="","",IFERROR(INDEX(pr_des,MATCH(B1764,pr_code,0))&amp;"",""))))</f>
        <v/>
      </c>
      <c r="I1764" s="59" t="str">
        <f>IF(B1764="","",IFERROR(INDEX(pr_unit,MATCH(B1764,pr_code,0))&amp;"",""))</f>
        <v/>
      </c>
      <c r="J1764" s="65" t="str">
        <f>IF(COUNTA(A1764:G1764)=0,"",IF(E1764&lt;&gt;"",E1764,IF(B1764="","",IFERROR(IF(INDEX(pr_price,MATCH(B1764,pr_code,0))="","",INDEX(pr_price,MATCH(B1764,pr_code,0))),""))))</f>
        <v/>
      </c>
      <c r="K1764" s="71" t="str">
        <f>IF(COUNTA(A1764:G1764)=0,"",IF(G1764&lt;&gt;"",G1764,IF(B1764="","",IFERROR(IF(INDEX(pr_rate,MATCH(B1764,pr_code,0))="","",INDEX(pr_rate,MATCH(B1764,pr_code,0))),""))))</f>
        <v/>
      </c>
      <c r="L1764" s="65" t="str">
        <f>IF(COUNTA(A1764:G1764)=0,"",IF(AND(ISNUMBER(D1764),ISNUMBER(J1764)),ROUND(D1764*J1764*(1-N(F1764)),2),0))</f>
        <v/>
      </c>
      <c r="M1764" s="62" t="str">
        <f>IF(A1764="","",IFERROR(INDEX(fa_cname,MATCH(A1764,fa_num,0))&amp;"",""))</f>
        <v/>
      </c>
      <c r="N1764" s="59" t="str">
        <f>IF(COUNTA(A1764:G1764)=0,"",IF(A1764="","N° facture manquant",IF(ISNA(MATCH(A1764,fa_num,0)),"Facture inconnue",IF(AND(B1764&lt;&gt;"",ISNA(MATCH(B1764,pr_code,0))),"Article inconnu",IF(H1764="","Désignation manquante",IF(OR(NOT(ISNUMBER(D1764)),N(D1764)&lt;=0),"Quantité invalide",IF(J1764="","Prix manquant",IF(OR(NOT(ISNUMBER(J1764)),N(J1764)&lt;0),"Prix invalide",IF(OR(AND(F1764&lt;&gt;"",NOT(ISNUMBER(F1764))),N(F1764)&lt;0,N(F1764)&gt;1),"Remise invalide",IF(K1764="","Taux de TVA manquant",IF(NOT(ISNUMBER(K1764)),"Taux de TVA invalide",IF(COUNTIF(p_rates,K1764)=0,"Taux de TVA hors liste (Paramètres)",IF(N(O1764)&gt;25,"Au-delà de 25 lignes : non imprimée","OK")))))))))))))</f>
        <v/>
      </c>
      <c r="O1764" s="59" t="str">
        <f>IF(A1764="","",COUNTIF($A$6:A1764,A1764))</f>
        <v/>
      </c>
      <c r="P1764" s="62" t="str">
        <f>IF(A1764="","",A1764&amp;"|"&amp;O1764)</f>
        <v/>
      </c>
    </row>
    <row r="1765">
      <c r="A1765" s="60" t="n"/>
      <c r="B1765" s="63" t="n"/>
      <c r="C1765" s="63" t="n"/>
      <c r="D1765" s="67" t="n"/>
      <c r="E1765" s="68" t="n"/>
      <c r="F1765" s="69" t="n"/>
      <c r="G1765" s="70" t="n"/>
      <c r="H1765" s="62" t="str">
        <f>IF(COUNTA(A1765:G1765)=0,"",IF(C1765&lt;&gt;"",C1765,IF(B1765="","",IFERROR(INDEX(pr_des,MATCH(B1765,pr_code,0))&amp;"",""))))</f>
        <v/>
      </c>
      <c r="I1765" s="59" t="str">
        <f>IF(B1765="","",IFERROR(INDEX(pr_unit,MATCH(B1765,pr_code,0))&amp;"",""))</f>
        <v/>
      </c>
      <c r="J1765" s="65" t="str">
        <f>IF(COUNTA(A1765:G1765)=0,"",IF(E1765&lt;&gt;"",E1765,IF(B1765="","",IFERROR(IF(INDEX(pr_price,MATCH(B1765,pr_code,0))="","",INDEX(pr_price,MATCH(B1765,pr_code,0))),""))))</f>
        <v/>
      </c>
      <c r="K1765" s="71" t="str">
        <f>IF(COUNTA(A1765:G1765)=0,"",IF(G1765&lt;&gt;"",G1765,IF(B1765="","",IFERROR(IF(INDEX(pr_rate,MATCH(B1765,pr_code,0))="","",INDEX(pr_rate,MATCH(B1765,pr_code,0))),""))))</f>
        <v/>
      </c>
      <c r="L1765" s="65" t="str">
        <f>IF(COUNTA(A1765:G1765)=0,"",IF(AND(ISNUMBER(D1765),ISNUMBER(J1765)),ROUND(D1765*J1765*(1-N(F1765)),2),0))</f>
        <v/>
      </c>
      <c r="M1765" s="62" t="str">
        <f>IF(A1765="","",IFERROR(INDEX(fa_cname,MATCH(A1765,fa_num,0))&amp;"",""))</f>
        <v/>
      </c>
      <c r="N1765" s="59" t="str">
        <f>IF(COUNTA(A1765:G1765)=0,"",IF(A1765="","N° facture manquant",IF(ISNA(MATCH(A1765,fa_num,0)),"Facture inconnue",IF(AND(B1765&lt;&gt;"",ISNA(MATCH(B1765,pr_code,0))),"Article inconnu",IF(H1765="","Désignation manquante",IF(OR(NOT(ISNUMBER(D1765)),N(D1765)&lt;=0),"Quantité invalide",IF(J1765="","Prix manquant",IF(OR(NOT(ISNUMBER(J1765)),N(J1765)&lt;0),"Prix invalide",IF(OR(AND(F1765&lt;&gt;"",NOT(ISNUMBER(F1765))),N(F1765)&lt;0,N(F1765)&gt;1),"Remise invalide",IF(K1765="","Taux de TVA manquant",IF(NOT(ISNUMBER(K1765)),"Taux de TVA invalide",IF(COUNTIF(p_rates,K1765)=0,"Taux de TVA hors liste (Paramètres)",IF(N(O1765)&gt;25,"Au-delà de 25 lignes : non imprimée","OK")))))))))))))</f>
        <v/>
      </c>
      <c r="O1765" s="59" t="str">
        <f>IF(A1765="","",COUNTIF($A$6:A1765,A1765))</f>
        <v/>
      </c>
      <c r="P1765" s="62" t="str">
        <f>IF(A1765="","",A1765&amp;"|"&amp;O1765)</f>
        <v/>
      </c>
    </row>
    <row r="1766">
      <c r="A1766" s="60" t="n"/>
      <c r="B1766" s="63" t="n"/>
      <c r="C1766" s="63" t="n"/>
      <c r="D1766" s="67" t="n"/>
      <c r="E1766" s="68" t="n"/>
      <c r="F1766" s="69" t="n"/>
      <c r="G1766" s="70" t="n"/>
      <c r="H1766" s="62" t="str">
        <f>IF(COUNTA(A1766:G1766)=0,"",IF(C1766&lt;&gt;"",C1766,IF(B1766="","",IFERROR(INDEX(pr_des,MATCH(B1766,pr_code,0))&amp;"",""))))</f>
        <v/>
      </c>
      <c r="I1766" s="59" t="str">
        <f>IF(B1766="","",IFERROR(INDEX(pr_unit,MATCH(B1766,pr_code,0))&amp;"",""))</f>
        <v/>
      </c>
      <c r="J1766" s="65" t="str">
        <f>IF(COUNTA(A1766:G1766)=0,"",IF(E1766&lt;&gt;"",E1766,IF(B1766="","",IFERROR(IF(INDEX(pr_price,MATCH(B1766,pr_code,0))="","",INDEX(pr_price,MATCH(B1766,pr_code,0))),""))))</f>
        <v/>
      </c>
      <c r="K1766" s="71" t="str">
        <f>IF(COUNTA(A1766:G1766)=0,"",IF(G1766&lt;&gt;"",G1766,IF(B1766="","",IFERROR(IF(INDEX(pr_rate,MATCH(B1766,pr_code,0))="","",INDEX(pr_rate,MATCH(B1766,pr_code,0))),""))))</f>
        <v/>
      </c>
      <c r="L1766" s="65" t="str">
        <f>IF(COUNTA(A1766:G1766)=0,"",IF(AND(ISNUMBER(D1766),ISNUMBER(J1766)),ROUND(D1766*J1766*(1-N(F1766)),2),0))</f>
        <v/>
      </c>
      <c r="M1766" s="62" t="str">
        <f>IF(A1766="","",IFERROR(INDEX(fa_cname,MATCH(A1766,fa_num,0))&amp;"",""))</f>
        <v/>
      </c>
      <c r="N1766" s="59" t="str">
        <f>IF(COUNTA(A1766:G1766)=0,"",IF(A1766="","N° facture manquant",IF(ISNA(MATCH(A1766,fa_num,0)),"Facture inconnue",IF(AND(B1766&lt;&gt;"",ISNA(MATCH(B1766,pr_code,0))),"Article inconnu",IF(H1766="","Désignation manquante",IF(OR(NOT(ISNUMBER(D1766)),N(D1766)&lt;=0),"Quantité invalide",IF(J1766="","Prix manquant",IF(OR(NOT(ISNUMBER(J1766)),N(J1766)&lt;0),"Prix invalide",IF(OR(AND(F1766&lt;&gt;"",NOT(ISNUMBER(F1766))),N(F1766)&lt;0,N(F1766)&gt;1),"Remise invalide",IF(K1766="","Taux de TVA manquant",IF(NOT(ISNUMBER(K1766)),"Taux de TVA invalide",IF(COUNTIF(p_rates,K1766)=0,"Taux de TVA hors liste (Paramètres)",IF(N(O1766)&gt;25,"Au-delà de 25 lignes : non imprimée","OK")))))))))))))</f>
        <v/>
      </c>
      <c r="O1766" s="59" t="str">
        <f>IF(A1766="","",COUNTIF($A$6:A1766,A1766))</f>
        <v/>
      </c>
      <c r="P1766" s="62" t="str">
        <f>IF(A1766="","",A1766&amp;"|"&amp;O1766)</f>
        <v/>
      </c>
    </row>
    <row r="1767">
      <c r="A1767" s="60" t="n"/>
      <c r="B1767" s="63" t="n"/>
      <c r="C1767" s="63" t="n"/>
      <c r="D1767" s="67" t="n"/>
      <c r="E1767" s="68" t="n"/>
      <c r="F1767" s="69" t="n"/>
      <c r="G1767" s="70" t="n"/>
      <c r="H1767" s="62" t="str">
        <f>IF(COUNTA(A1767:G1767)=0,"",IF(C1767&lt;&gt;"",C1767,IF(B1767="","",IFERROR(INDEX(pr_des,MATCH(B1767,pr_code,0))&amp;"",""))))</f>
        <v/>
      </c>
      <c r="I1767" s="59" t="str">
        <f>IF(B1767="","",IFERROR(INDEX(pr_unit,MATCH(B1767,pr_code,0))&amp;"",""))</f>
        <v/>
      </c>
      <c r="J1767" s="65" t="str">
        <f>IF(COUNTA(A1767:G1767)=0,"",IF(E1767&lt;&gt;"",E1767,IF(B1767="","",IFERROR(IF(INDEX(pr_price,MATCH(B1767,pr_code,0))="","",INDEX(pr_price,MATCH(B1767,pr_code,0))),""))))</f>
        <v/>
      </c>
      <c r="K1767" s="71" t="str">
        <f>IF(COUNTA(A1767:G1767)=0,"",IF(G1767&lt;&gt;"",G1767,IF(B1767="","",IFERROR(IF(INDEX(pr_rate,MATCH(B1767,pr_code,0))="","",INDEX(pr_rate,MATCH(B1767,pr_code,0))),""))))</f>
        <v/>
      </c>
      <c r="L1767" s="65" t="str">
        <f>IF(COUNTA(A1767:G1767)=0,"",IF(AND(ISNUMBER(D1767),ISNUMBER(J1767)),ROUND(D1767*J1767*(1-N(F1767)),2),0))</f>
        <v/>
      </c>
      <c r="M1767" s="62" t="str">
        <f>IF(A1767="","",IFERROR(INDEX(fa_cname,MATCH(A1767,fa_num,0))&amp;"",""))</f>
        <v/>
      </c>
      <c r="N1767" s="59" t="str">
        <f>IF(COUNTA(A1767:G1767)=0,"",IF(A1767="","N° facture manquant",IF(ISNA(MATCH(A1767,fa_num,0)),"Facture inconnue",IF(AND(B1767&lt;&gt;"",ISNA(MATCH(B1767,pr_code,0))),"Article inconnu",IF(H1767="","Désignation manquante",IF(OR(NOT(ISNUMBER(D1767)),N(D1767)&lt;=0),"Quantité invalide",IF(J1767="","Prix manquant",IF(OR(NOT(ISNUMBER(J1767)),N(J1767)&lt;0),"Prix invalide",IF(OR(AND(F1767&lt;&gt;"",NOT(ISNUMBER(F1767))),N(F1767)&lt;0,N(F1767)&gt;1),"Remise invalide",IF(K1767="","Taux de TVA manquant",IF(NOT(ISNUMBER(K1767)),"Taux de TVA invalide",IF(COUNTIF(p_rates,K1767)=0,"Taux de TVA hors liste (Paramètres)",IF(N(O1767)&gt;25,"Au-delà de 25 lignes : non imprimée","OK")))))))))))))</f>
        <v/>
      </c>
      <c r="O1767" s="59" t="str">
        <f>IF(A1767="","",COUNTIF($A$6:A1767,A1767))</f>
        <v/>
      </c>
      <c r="P1767" s="62" t="str">
        <f>IF(A1767="","",A1767&amp;"|"&amp;O1767)</f>
        <v/>
      </c>
    </row>
    <row r="1768">
      <c r="A1768" s="60" t="n"/>
      <c r="B1768" s="63" t="n"/>
      <c r="C1768" s="63" t="n"/>
      <c r="D1768" s="67" t="n"/>
      <c r="E1768" s="68" t="n"/>
      <c r="F1768" s="69" t="n"/>
      <c r="G1768" s="70" t="n"/>
      <c r="H1768" s="62" t="str">
        <f>IF(COUNTA(A1768:G1768)=0,"",IF(C1768&lt;&gt;"",C1768,IF(B1768="","",IFERROR(INDEX(pr_des,MATCH(B1768,pr_code,0))&amp;"",""))))</f>
        <v/>
      </c>
      <c r="I1768" s="59" t="str">
        <f>IF(B1768="","",IFERROR(INDEX(pr_unit,MATCH(B1768,pr_code,0))&amp;"",""))</f>
        <v/>
      </c>
      <c r="J1768" s="65" t="str">
        <f>IF(COUNTA(A1768:G1768)=0,"",IF(E1768&lt;&gt;"",E1768,IF(B1768="","",IFERROR(IF(INDEX(pr_price,MATCH(B1768,pr_code,0))="","",INDEX(pr_price,MATCH(B1768,pr_code,0))),""))))</f>
        <v/>
      </c>
      <c r="K1768" s="71" t="str">
        <f>IF(COUNTA(A1768:G1768)=0,"",IF(G1768&lt;&gt;"",G1768,IF(B1768="","",IFERROR(IF(INDEX(pr_rate,MATCH(B1768,pr_code,0))="","",INDEX(pr_rate,MATCH(B1768,pr_code,0))),""))))</f>
        <v/>
      </c>
      <c r="L1768" s="65" t="str">
        <f>IF(COUNTA(A1768:G1768)=0,"",IF(AND(ISNUMBER(D1768),ISNUMBER(J1768)),ROUND(D1768*J1768*(1-N(F1768)),2),0))</f>
        <v/>
      </c>
      <c r="M1768" s="62" t="str">
        <f>IF(A1768="","",IFERROR(INDEX(fa_cname,MATCH(A1768,fa_num,0))&amp;"",""))</f>
        <v/>
      </c>
      <c r="N1768" s="59" t="str">
        <f>IF(COUNTA(A1768:G1768)=0,"",IF(A1768="","N° facture manquant",IF(ISNA(MATCH(A1768,fa_num,0)),"Facture inconnue",IF(AND(B1768&lt;&gt;"",ISNA(MATCH(B1768,pr_code,0))),"Article inconnu",IF(H1768="","Désignation manquante",IF(OR(NOT(ISNUMBER(D1768)),N(D1768)&lt;=0),"Quantité invalide",IF(J1768="","Prix manquant",IF(OR(NOT(ISNUMBER(J1768)),N(J1768)&lt;0),"Prix invalide",IF(OR(AND(F1768&lt;&gt;"",NOT(ISNUMBER(F1768))),N(F1768)&lt;0,N(F1768)&gt;1),"Remise invalide",IF(K1768="","Taux de TVA manquant",IF(NOT(ISNUMBER(K1768)),"Taux de TVA invalide",IF(COUNTIF(p_rates,K1768)=0,"Taux de TVA hors liste (Paramètres)",IF(N(O1768)&gt;25,"Au-delà de 25 lignes : non imprimée","OK")))))))))))))</f>
        <v/>
      </c>
      <c r="O1768" s="59" t="str">
        <f>IF(A1768="","",COUNTIF($A$6:A1768,A1768))</f>
        <v/>
      </c>
      <c r="P1768" s="62" t="str">
        <f>IF(A1768="","",A1768&amp;"|"&amp;O1768)</f>
        <v/>
      </c>
    </row>
    <row r="1769">
      <c r="A1769" s="60" t="n"/>
      <c r="B1769" s="63" t="n"/>
      <c r="C1769" s="63" t="n"/>
      <c r="D1769" s="67" t="n"/>
      <c r="E1769" s="68" t="n"/>
      <c r="F1769" s="69" t="n"/>
      <c r="G1769" s="70" t="n"/>
      <c r="H1769" s="62" t="str">
        <f>IF(COUNTA(A1769:G1769)=0,"",IF(C1769&lt;&gt;"",C1769,IF(B1769="","",IFERROR(INDEX(pr_des,MATCH(B1769,pr_code,0))&amp;"",""))))</f>
        <v/>
      </c>
      <c r="I1769" s="59" t="str">
        <f>IF(B1769="","",IFERROR(INDEX(pr_unit,MATCH(B1769,pr_code,0))&amp;"",""))</f>
        <v/>
      </c>
      <c r="J1769" s="65" t="str">
        <f>IF(COUNTA(A1769:G1769)=0,"",IF(E1769&lt;&gt;"",E1769,IF(B1769="","",IFERROR(IF(INDEX(pr_price,MATCH(B1769,pr_code,0))="","",INDEX(pr_price,MATCH(B1769,pr_code,0))),""))))</f>
        <v/>
      </c>
      <c r="K1769" s="71" t="str">
        <f>IF(COUNTA(A1769:G1769)=0,"",IF(G1769&lt;&gt;"",G1769,IF(B1769="","",IFERROR(IF(INDEX(pr_rate,MATCH(B1769,pr_code,0))="","",INDEX(pr_rate,MATCH(B1769,pr_code,0))),""))))</f>
        <v/>
      </c>
      <c r="L1769" s="65" t="str">
        <f>IF(COUNTA(A1769:G1769)=0,"",IF(AND(ISNUMBER(D1769),ISNUMBER(J1769)),ROUND(D1769*J1769*(1-N(F1769)),2),0))</f>
        <v/>
      </c>
      <c r="M1769" s="62" t="str">
        <f>IF(A1769="","",IFERROR(INDEX(fa_cname,MATCH(A1769,fa_num,0))&amp;"",""))</f>
        <v/>
      </c>
      <c r="N1769" s="59" t="str">
        <f>IF(COUNTA(A1769:G1769)=0,"",IF(A1769="","N° facture manquant",IF(ISNA(MATCH(A1769,fa_num,0)),"Facture inconnue",IF(AND(B1769&lt;&gt;"",ISNA(MATCH(B1769,pr_code,0))),"Article inconnu",IF(H1769="","Désignation manquante",IF(OR(NOT(ISNUMBER(D1769)),N(D1769)&lt;=0),"Quantité invalide",IF(J1769="","Prix manquant",IF(OR(NOT(ISNUMBER(J1769)),N(J1769)&lt;0),"Prix invalide",IF(OR(AND(F1769&lt;&gt;"",NOT(ISNUMBER(F1769))),N(F1769)&lt;0,N(F1769)&gt;1),"Remise invalide",IF(K1769="","Taux de TVA manquant",IF(NOT(ISNUMBER(K1769)),"Taux de TVA invalide",IF(COUNTIF(p_rates,K1769)=0,"Taux de TVA hors liste (Paramètres)",IF(N(O1769)&gt;25,"Au-delà de 25 lignes : non imprimée","OK")))))))))))))</f>
        <v/>
      </c>
      <c r="O1769" s="59" t="str">
        <f>IF(A1769="","",COUNTIF($A$6:A1769,A1769))</f>
        <v/>
      </c>
      <c r="P1769" s="62" t="str">
        <f>IF(A1769="","",A1769&amp;"|"&amp;O1769)</f>
        <v/>
      </c>
    </row>
    <row r="1770">
      <c r="A1770" s="60" t="n"/>
      <c r="B1770" s="63" t="n"/>
      <c r="C1770" s="63" t="n"/>
      <c r="D1770" s="67" t="n"/>
      <c r="E1770" s="68" t="n"/>
      <c r="F1770" s="69" t="n"/>
      <c r="G1770" s="70" t="n"/>
      <c r="H1770" s="62" t="str">
        <f>IF(COUNTA(A1770:G1770)=0,"",IF(C1770&lt;&gt;"",C1770,IF(B1770="","",IFERROR(INDEX(pr_des,MATCH(B1770,pr_code,0))&amp;"",""))))</f>
        <v/>
      </c>
      <c r="I1770" s="59" t="str">
        <f>IF(B1770="","",IFERROR(INDEX(pr_unit,MATCH(B1770,pr_code,0))&amp;"",""))</f>
        <v/>
      </c>
      <c r="J1770" s="65" t="str">
        <f>IF(COUNTA(A1770:G1770)=0,"",IF(E1770&lt;&gt;"",E1770,IF(B1770="","",IFERROR(IF(INDEX(pr_price,MATCH(B1770,pr_code,0))="","",INDEX(pr_price,MATCH(B1770,pr_code,0))),""))))</f>
        <v/>
      </c>
      <c r="K1770" s="71" t="str">
        <f>IF(COUNTA(A1770:G1770)=0,"",IF(G1770&lt;&gt;"",G1770,IF(B1770="","",IFERROR(IF(INDEX(pr_rate,MATCH(B1770,pr_code,0))="","",INDEX(pr_rate,MATCH(B1770,pr_code,0))),""))))</f>
        <v/>
      </c>
      <c r="L1770" s="65" t="str">
        <f>IF(COUNTA(A1770:G1770)=0,"",IF(AND(ISNUMBER(D1770),ISNUMBER(J1770)),ROUND(D1770*J1770*(1-N(F1770)),2),0))</f>
        <v/>
      </c>
      <c r="M1770" s="62" t="str">
        <f>IF(A1770="","",IFERROR(INDEX(fa_cname,MATCH(A1770,fa_num,0))&amp;"",""))</f>
        <v/>
      </c>
      <c r="N1770" s="59" t="str">
        <f>IF(COUNTA(A1770:G1770)=0,"",IF(A1770="","N° facture manquant",IF(ISNA(MATCH(A1770,fa_num,0)),"Facture inconnue",IF(AND(B1770&lt;&gt;"",ISNA(MATCH(B1770,pr_code,0))),"Article inconnu",IF(H1770="","Désignation manquante",IF(OR(NOT(ISNUMBER(D1770)),N(D1770)&lt;=0),"Quantité invalide",IF(J1770="","Prix manquant",IF(OR(NOT(ISNUMBER(J1770)),N(J1770)&lt;0),"Prix invalide",IF(OR(AND(F1770&lt;&gt;"",NOT(ISNUMBER(F1770))),N(F1770)&lt;0,N(F1770)&gt;1),"Remise invalide",IF(K1770="","Taux de TVA manquant",IF(NOT(ISNUMBER(K1770)),"Taux de TVA invalide",IF(COUNTIF(p_rates,K1770)=0,"Taux de TVA hors liste (Paramètres)",IF(N(O1770)&gt;25,"Au-delà de 25 lignes : non imprimée","OK")))))))))))))</f>
        <v/>
      </c>
      <c r="O1770" s="59" t="str">
        <f>IF(A1770="","",COUNTIF($A$6:A1770,A1770))</f>
        <v/>
      </c>
      <c r="P1770" s="62" t="str">
        <f>IF(A1770="","",A1770&amp;"|"&amp;O1770)</f>
        <v/>
      </c>
    </row>
    <row r="1771">
      <c r="A1771" s="60" t="n"/>
      <c r="B1771" s="63" t="n"/>
      <c r="C1771" s="63" t="n"/>
      <c r="D1771" s="67" t="n"/>
      <c r="E1771" s="68" t="n"/>
      <c r="F1771" s="69" t="n"/>
      <c r="G1771" s="70" t="n"/>
      <c r="H1771" s="62" t="str">
        <f>IF(COUNTA(A1771:G1771)=0,"",IF(C1771&lt;&gt;"",C1771,IF(B1771="","",IFERROR(INDEX(pr_des,MATCH(B1771,pr_code,0))&amp;"",""))))</f>
        <v/>
      </c>
      <c r="I1771" s="59" t="str">
        <f>IF(B1771="","",IFERROR(INDEX(pr_unit,MATCH(B1771,pr_code,0))&amp;"",""))</f>
        <v/>
      </c>
      <c r="J1771" s="65" t="str">
        <f>IF(COUNTA(A1771:G1771)=0,"",IF(E1771&lt;&gt;"",E1771,IF(B1771="","",IFERROR(IF(INDEX(pr_price,MATCH(B1771,pr_code,0))="","",INDEX(pr_price,MATCH(B1771,pr_code,0))),""))))</f>
        <v/>
      </c>
      <c r="K1771" s="71" t="str">
        <f>IF(COUNTA(A1771:G1771)=0,"",IF(G1771&lt;&gt;"",G1771,IF(B1771="","",IFERROR(IF(INDEX(pr_rate,MATCH(B1771,pr_code,0))="","",INDEX(pr_rate,MATCH(B1771,pr_code,0))),""))))</f>
        <v/>
      </c>
      <c r="L1771" s="65" t="str">
        <f>IF(COUNTA(A1771:G1771)=0,"",IF(AND(ISNUMBER(D1771),ISNUMBER(J1771)),ROUND(D1771*J1771*(1-N(F1771)),2),0))</f>
        <v/>
      </c>
      <c r="M1771" s="62" t="str">
        <f>IF(A1771="","",IFERROR(INDEX(fa_cname,MATCH(A1771,fa_num,0))&amp;"",""))</f>
        <v/>
      </c>
      <c r="N1771" s="59" t="str">
        <f>IF(COUNTA(A1771:G1771)=0,"",IF(A1771="","N° facture manquant",IF(ISNA(MATCH(A1771,fa_num,0)),"Facture inconnue",IF(AND(B1771&lt;&gt;"",ISNA(MATCH(B1771,pr_code,0))),"Article inconnu",IF(H1771="","Désignation manquante",IF(OR(NOT(ISNUMBER(D1771)),N(D1771)&lt;=0),"Quantité invalide",IF(J1771="","Prix manquant",IF(OR(NOT(ISNUMBER(J1771)),N(J1771)&lt;0),"Prix invalide",IF(OR(AND(F1771&lt;&gt;"",NOT(ISNUMBER(F1771))),N(F1771)&lt;0,N(F1771)&gt;1),"Remise invalide",IF(K1771="","Taux de TVA manquant",IF(NOT(ISNUMBER(K1771)),"Taux de TVA invalide",IF(COUNTIF(p_rates,K1771)=0,"Taux de TVA hors liste (Paramètres)",IF(N(O1771)&gt;25,"Au-delà de 25 lignes : non imprimée","OK")))))))))))))</f>
        <v/>
      </c>
      <c r="O1771" s="59" t="str">
        <f>IF(A1771="","",COUNTIF($A$6:A1771,A1771))</f>
        <v/>
      </c>
      <c r="P1771" s="62" t="str">
        <f>IF(A1771="","",A1771&amp;"|"&amp;O1771)</f>
        <v/>
      </c>
    </row>
    <row r="1772">
      <c r="A1772" s="60" t="n"/>
      <c r="B1772" s="63" t="n"/>
      <c r="C1772" s="63" t="n"/>
      <c r="D1772" s="67" t="n"/>
      <c r="E1772" s="68" t="n"/>
      <c r="F1772" s="69" t="n"/>
      <c r="G1772" s="70" t="n"/>
      <c r="H1772" s="62" t="str">
        <f>IF(COUNTA(A1772:G1772)=0,"",IF(C1772&lt;&gt;"",C1772,IF(B1772="","",IFERROR(INDEX(pr_des,MATCH(B1772,pr_code,0))&amp;"",""))))</f>
        <v/>
      </c>
      <c r="I1772" s="59" t="str">
        <f>IF(B1772="","",IFERROR(INDEX(pr_unit,MATCH(B1772,pr_code,0))&amp;"",""))</f>
        <v/>
      </c>
      <c r="J1772" s="65" t="str">
        <f>IF(COUNTA(A1772:G1772)=0,"",IF(E1772&lt;&gt;"",E1772,IF(B1772="","",IFERROR(IF(INDEX(pr_price,MATCH(B1772,pr_code,0))="","",INDEX(pr_price,MATCH(B1772,pr_code,0))),""))))</f>
        <v/>
      </c>
      <c r="K1772" s="71" t="str">
        <f>IF(COUNTA(A1772:G1772)=0,"",IF(G1772&lt;&gt;"",G1772,IF(B1772="","",IFERROR(IF(INDEX(pr_rate,MATCH(B1772,pr_code,0))="","",INDEX(pr_rate,MATCH(B1772,pr_code,0))),""))))</f>
        <v/>
      </c>
      <c r="L1772" s="65" t="str">
        <f>IF(COUNTA(A1772:G1772)=0,"",IF(AND(ISNUMBER(D1772),ISNUMBER(J1772)),ROUND(D1772*J1772*(1-N(F1772)),2),0))</f>
        <v/>
      </c>
      <c r="M1772" s="62" t="str">
        <f>IF(A1772="","",IFERROR(INDEX(fa_cname,MATCH(A1772,fa_num,0))&amp;"",""))</f>
        <v/>
      </c>
      <c r="N1772" s="59" t="str">
        <f>IF(COUNTA(A1772:G1772)=0,"",IF(A1772="","N° facture manquant",IF(ISNA(MATCH(A1772,fa_num,0)),"Facture inconnue",IF(AND(B1772&lt;&gt;"",ISNA(MATCH(B1772,pr_code,0))),"Article inconnu",IF(H1772="","Désignation manquante",IF(OR(NOT(ISNUMBER(D1772)),N(D1772)&lt;=0),"Quantité invalide",IF(J1772="","Prix manquant",IF(OR(NOT(ISNUMBER(J1772)),N(J1772)&lt;0),"Prix invalide",IF(OR(AND(F1772&lt;&gt;"",NOT(ISNUMBER(F1772))),N(F1772)&lt;0,N(F1772)&gt;1),"Remise invalide",IF(K1772="","Taux de TVA manquant",IF(NOT(ISNUMBER(K1772)),"Taux de TVA invalide",IF(COUNTIF(p_rates,K1772)=0,"Taux de TVA hors liste (Paramètres)",IF(N(O1772)&gt;25,"Au-delà de 25 lignes : non imprimée","OK")))))))))))))</f>
        <v/>
      </c>
      <c r="O1772" s="59" t="str">
        <f>IF(A1772="","",COUNTIF($A$6:A1772,A1772))</f>
        <v/>
      </c>
      <c r="P1772" s="62" t="str">
        <f>IF(A1772="","",A1772&amp;"|"&amp;O1772)</f>
        <v/>
      </c>
    </row>
    <row r="1773">
      <c r="A1773" s="60" t="n"/>
      <c r="B1773" s="63" t="n"/>
      <c r="C1773" s="63" t="n"/>
      <c r="D1773" s="67" t="n"/>
      <c r="E1773" s="68" t="n"/>
      <c r="F1773" s="69" t="n"/>
      <c r="G1773" s="70" t="n"/>
      <c r="H1773" s="62" t="str">
        <f>IF(COUNTA(A1773:G1773)=0,"",IF(C1773&lt;&gt;"",C1773,IF(B1773="","",IFERROR(INDEX(pr_des,MATCH(B1773,pr_code,0))&amp;"",""))))</f>
        <v/>
      </c>
      <c r="I1773" s="59" t="str">
        <f>IF(B1773="","",IFERROR(INDEX(pr_unit,MATCH(B1773,pr_code,0))&amp;"",""))</f>
        <v/>
      </c>
      <c r="J1773" s="65" t="str">
        <f>IF(COUNTA(A1773:G1773)=0,"",IF(E1773&lt;&gt;"",E1773,IF(B1773="","",IFERROR(IF(INDEX(pr_price,MATCH(B1773,pr_code,0))="","",INDEX(pr_price,MATCH(B1773,pr_code,0))),""))))</f>
        <v/>
      </c>
      <c r="K1773" s="71" t="str">
        <f>IF(COUNTA(A1773:G1773)=0,"",IF(G1773&lt;&gt;"",G1773,IF(B1773="","",IFERROR(IF(INDEX(pr_rate,MATCH(B1773,pr_code,0))="","",INDEX(pr_rate,MATCH(B1773,pr_code,0))),""))))</f>
        <v/>
      </c>
      <c r="L1773" s="65" t="str">
        <f>IF(COUNTA(A1773:G1773)=0,"",IF(AND(ISNUMBER(D1773),ISNUMBER(J1773)),ROUND(D1773*J1773*(1-N(F1773)),2),0))</f>
        <v/>
      </c>
      <c r="M1773" s="62" t="str">
        <f>IF(A1773="","",IFERROR(INDEX(fa_cname,MATCH(A1773,fa_num,0))&amp;"",""))</f>
        <v/>
      </c>
      <c r="N1773" s="59" t="str">
        <f>IF(COUNTA(A1773:G1773)=0,"",IF(A1773="","N° facture manquant",IF(ISNA(MATCH(A1773,fa_num,0)),"Facture inconnue",IF(AND(B1773&lt;&gt;"",ISNA(MATCH(B1773,pr_code,0))),"Article inconnu",IF(H1773="","Désignation manquante",IF(OR(NOT(ISNUMBER(D1773)),N(D1773)&lt;=0),"Quantité invalide",IF(J1773="","Prix manquant",IF(OR(NOT(ISNUMBER(J1773)),N(J1773)&lt;0),"Prix invalide",IF(OR(AND(F1773&lt;&gt;"",NOT(ISNUMBER(F1773))),N(F1773)&lt;0,N(F1773)&gt;1),"Remise invalide",IF(K1773="","Taux de TVA manquant",IF(NOT(ISNUMBER(K1773)),"Taux de TVA invalide",IF(COUNTIF(p_rates,K1773)=0,"Taux de TVA hors liste (Paramètres)",IF(N(O1773)&gt;25,"Au-delà de 25 lignes : non imprimée","OK")))))))))))))</f>
        <v/>
      </c>
      <c r="O1773" s="59" t="str">
        <f>IF(A1773="","",COUNTIF($A$6:A1773,A1773))</f>
        <v/>
      </c>
      <c r="P1773" s="62" t="str">
        <f>IF(A1773="","",A1773&amp;"|"&amp;O1773)</f>
        <v/>
      </c>
    </row>
    <row r="1774">
      <c r="A1774" s="60" t="n"/>
      <c r="B1774" s="63" t="n"/>
      <c r="C1774" s="63" t="n"/>
      <c r="D1774" s="67" t="n"/>
      <c r="E1774" s="68" t="n"/>
      <c r="F1774" s="69" t="n"/>
      <c r="G1774" s="70" t="n"/>
      <c r="H1774" s="62" t="str">
        <f>IF(COUNTA(A1774:G1774)=0,"",IF(C1774&lt;&gt;"",C1774,IF(B1774="","",IFERROR(INDEX(pr_des,MATCH(B1774,pr_code,0))&amp;"",""))))</f>
        <v/>
      </c>
      <c r="I1774" s="59" t="str">
        <f>IF(B1774="","",IFERROR(INDEX(pr_unit,MATCH(B1774,pr_code,0))&amp;"",""))</f>
        <v/>
      </c>
      <c r="J1774" s="65" t="str">
        <f>IF(COUNTA(A1774:G1774)=0,"",IF(E1774&lt;&gt;"",E1774,IF(B1774="","",IFERROR(IF(INDEX(pr_price,MATCH(B1774,pr_code,0))="","",INDEX(pr_price,MATCH(B1774,pr_code,0))),""))))</f>
        <v/>
      </c>
      <c r="K1774" s="71" t="str">
        <f>IF(COUNTA(A1774:G1774)=0,"",IF(G1774&lt;&gt;"",G1774,IF(B1774="","",IFERROR(IF(INDEX(pr_rate,MATCH(B1774,pr_code,0))="","",INDEX(pr_rate,MATCH(B1774,pr_code,0))),""))))</f>
        <v/>
      </c>
      <c r="L1774" s="65" t="str">
        <f>IF(COUNTA(A1774:G1774)=0,"",IF(AND(ISNUMBER(D1774),ISNUMBER(J1774)),ROUND(D1774*J1774*(1-N(F1774)),2),0))</f>
        <v/>
      </c>
      <c r="M1774" s="62" t="str">
        <f>IF(A1774="","",IFERROR(INDEX(fa_cname,MATCH(A1774,fa_num,0))&amp;"",""))</f>
        <v/>
      </c>
      <c r="N1774" s="59" t="str">
        <f>IF(COUNTA(A1774:G1774)=0,"",IF(A1774="","N° facture manquant",IF(ISNA(MATCH(A1774,fa_num,0)),"Facture inconnue",IF(AND(B1774&lt;&gt;"",ISNA(MATCH(B1774,pr_code,0))),"Article inconnu",IF(H1774="","Désignation manquante",IF(OR(NOT(ISNUMBER(D1774)),N(D1774)&lt;=0),"Quantité invalide",IF(J1774="","Prix manquant",IF(OR(NOT(ISNUMBER(J1774)),N(J1774)&lt;0),"Prix invalide",IF(OR(AND(F1774&lt;&gt;"",NOT(ISNUMBER(F1774))),N(F1774)&lt;0,N(F1774)&gt;1),"Remise invalide",IF(K1774="","Taux de TVA manquant",IF(NOT(ISNUMBER(K1774)),"Taux de TVA invalide",IF(COUNTIF(p_rates,K1774)=0,"Taux de TVA hors liste (Paramètres)",IF(N(O1774)&gt;25,"Au-delà de 25 lignes : non imprimée","OK")))))))))))))</f>
        <v/>
      </c>
      <c r="O1774" s="59" t="str">
        <f>IF(A1774="","",COUNTIF($A$6:A1774,A1774))</f>
        <v/>
      </c>
      <c r="P1774" s="62" t="str">
        <f>IF(A1774="","",A1774&amp;"|"&amp;O1774)</f>
        <v/>
      </c>
    </row>
    <row r="1775">
      <c r="A1775" s="60" t="n"/>
      <c r="B1775" s="63" t="n"/>
      <c r="C1775" s="63" t="n"/>
      <c r="D1775" s="67" t="n"/>
      <c r="E1775" s="68" t="n"/>
      <c r="F1775" s="69" t="n"/>
      <c r="G1775" s="70" t="n"/>
      <c r="H1775" s="62" t="str">
        <f>IF(COUNTA(A1775:G1775)=0,"",IF(C1775&lt;&gt;"",C1775,IF(B1775="","",IFERROR(INDEX(pr_des,MATCH(B1775,pr_code,0))&amp;"",""))))</f>
        <v/>
      </c>
      <c r="I1775" s="59" t="str">
        <f>IF(B1775="","",IFERROR(INDEX(pr_unit,MATCH(B1775,pr_code,0))&amp;"",""))</f>
        <v/>
      </c>
      <c r="J1775" s="65" t="str">
        <f>IF(COUNTA(A1775:G1775)=0,"",IF(E1775&lt;&gt;"",E1775,IF(B1775="","",IFERROR(IF(INDEX(pr_price,MATCH(B1775,pr_code,0))="","",INDEX(pr_price,MATCH(B1775,pr_code,0))),""))))</f>
        <v/>
      </c>
      <c r="K1775" s="71" t="str">
        <f>IF(COUNTA(A1775:G1775)=0,"",IF(G1775&lt;&gt;"",G1775,IF(B1775="","",IFERROR(IF(INDEX(pr_rate,MATCH(B1775,pr_code,0))="","",INDEX(pr_rate,MATCH(B1775,pr_code,0))),""))))</f>
        <v/>
      </c>
      <c r="L1775" s="65" t="str">
        <f>IF(COUNTA(A1775:G1775)=0,"",IF(AND(ISNUMBER(D1775),ISNUMBER(J1775)),ROUND(D1775*J1775*(1-N(F1775)),2),0))</f>
        <v/>
      </c>
      <c r="M1775" s="62" t="str">
        <f>IF(A1775="","",IFERROR(INDEX(fa_cname,MATCH(A1775,fa_num,0))&amp;"",""))</f>
        <v/>
      </c>
      <c r="N1775" s="59" t="str">
        <f>IF(COUNTA(A1775:G1775)=0,"",IF(A1775="","N° facture manquant",IF(ISNA(MATCH(A1775,fa_num,0)),"Facture inconnue",IF(AND(B1775&lt;&gt;"",ISNA(MATCH(B1775,pr_code,0))),"Article inconnu",IF(H1775="","Désignation manquante",IF(OR(NOT(ISNUMBER(D1775)),N(D1775)&lt;=0),"Quantité invalide",IF(J1775="","Prix manquant",IF(OR(NOT(ISNUMBER(J1775)),N(J1775)&lt;0),"Prix invalide",IF(OR(AND(F1775&lt;&gt;"",NOT(ISNUMBER(F1775))),N(F1775)&lt;0,N(F1775)&gt;1),"Remise invalide",IF(K1775="","Taux de TVA manquant",IF(NOT(ISNUMBER(K1775)),"Taux de TVA invalide",IF(COUNTIF(p_rates,K1775)=0,"Taux de TVA hors liste (Paramètres)",IF(N(O1775)&gt;25,"Au-delà de 25 lignes : non imprimée","OK")))))))))))))</f>
        <v/>
      </c>
      <c r="O1775" s="59" t="str">
        <f>IF(A1775="","",COUNTIF($A$6:A1775,A1775))</f>
        <v/>
      </c>
      <c r="P1775" s="62" t="str">
        <f>IF(A1775="","",A1775&amp;"|"&amp;O1775)</f>
        <v/>
      </c>
    </row>
    <row r="1776">
      <c r="A1776" s="60" t="n"/>
      <c r="B1776" s="63" t="n"/>
      <c r="C1776" s="63" t="n"/>
      <c r="D1776" s="67" t="n"/>
      <c r="E1776" s="68" t="n"/>
      <c r="F1776" s="69" t="n"/>
      <c r="G1776" s="70" t="n"/>
      <c r="H1776" s="62" t="str">
        <f>IF(COUNTA(A1776:G1776)=0,"",IF(C1776&lt;&gt;"",C1776,IF(B1776="","",IFERROR(INDEX(pr_des,MATCH(B1776,pr_code,0))&amp;"",""))))</f>
        <v/>
      </c>
      <c r="I1776" s="59" t="str">
        <f>IF(B1776="","",IFERROR(INDEX(pr_unit,MATCH(B1776,pr_code,0))&amp;"",""))</f>
        <v/>
      </c>
      <c r="J1776" s="65" t="str">
        <f>IF(COUNTA(A1776:G1776)=0,"",IF(E1776&lt;&gt;"",E1776,IF(B1776="","",IFERROR(IF(INDEX(pr_price,MATCH(B1776,pr_code,0))="","",INDEX(pr_price,MATCH(B1776,pr_code,0))),""))))</f>
        <v/>
      </c>
      <c r="K1776" s="71" t="str">
        <f>IF(COUNTA(A1776:G1776)=0,"",IF(G1776&lt;&gt;"",G1776,IF(B1776="","",IFERROR(IF(INDEX(pr_rate,MATCH(B1776,pr_code,0))="","",INDEX(pr_rate,MATCH(B1776,pr_code,0))),""))))</f>
        <v/>
      </c>
      <c r="L1776" s="65" t="str">
        <f>IF(COUNTA(A1776:G1776)=0,"",IF(AND(ISNUMBER(D1776),ISNUMBER(J1776)),ROUND(D1776*J1776*(1-N(F1776)),2),0))</f>
        <v/>
      </c>
      <c r="M1776" s="62" t="str">
        <f>IF(A1776="","",IFERROR(INDEX(fa_cname,MATCH(A1776,fa_num,0))&amp;"",""))</f>
        <v/>
      </c>
      <c r="N1776" s="59" t="str">
        <f>IF(COUNTA(A1776:G1776)=0,"",IF(A1776="","N° facture manquant",IF(ISNA(MATCH(A1776,fa_num,0)),"Facture inconnue",IF(AND(B1776&lt;&gt;"",ISNA(MATCH(B1776,pr_code,0))),"Article inconnu",IF(H1776="","Désignation manquante",IF(OR(NOT(ISNUMBER(D1776)),N(D1776)&lt;=0),"Quantité invalide",IF(J1776="","Prix manquant",IF(OR(NOT(ISNUMBER(J1776)),N(J1776)&lt;0),"Prix invalide",IF(OR(AND(F1776&lt;&gt;"",NOT(ISNUMBER(F1776))),N(F1776)&lt;0,N(F1776)&gt;1),"Remise invalide",IF(K1776="","Taux de TVA manquant",IF(NOT(ISNUMBER(K1776)),"Taux de TVA invalide",IF(COUNTIF(p_rates,K1776)=0,"Taux de TVA hors liste (Paramètres)",IF(N(O1776)&gt;25,"Au-delà de 25 lignes : non imprimée","OK")))))))))))))</f>
        <v/>
      </c>
      <c r="O1776" s="59" t="str">
        <f>IF(A1776="","",COUNTIF($A$6:A1776,A1776))</f>
        <v/>
      </c>
      <c r="P1776" s="62" t="str">
        <f>IF(A1776="","",A1776&amp;"|"&amp;O1776)</f>
        <v/>
      </c>
    </row>
    <row r="1777">
      <c r="A1777" s="60" t="n"/>
      <c r="B1777" s="63" t="n"/>
      <c r="C1777" s="63" t="n"/>
      <c r="D1777" s="67" t="n"/>
      <c r="E1777" s="68" t="n"/>
      <c r="F1777" s="69" t="n"/>
      <c r="G1777" s="70" t="n"/>
      <c r="H1777" s="62" t="str">
        <f>IF(COUNTA(A1777:G1777)=0,"",IF(C1777&lt;&gt;"",C1777,IF(B1777="","",IFERROR(INDEX(pr_des,MATCH(B1777,pr_code,0))&amp;"",""))))</f>
        <v/>
      </c>
      <c r="I1777" s="59" t="str">
        <f>IF(B1777="","",IFERROR(INDEX(pr_unit,MATCH(B1777,pr_code,0))&amp;"",""))</f>
        <v/>
      </c>
      <c r="J1777" s="65" t="str">
        <f>IF(COUNTA(A1777:G1777)=0,"",IF(E1777&lt;&gt;"",E1777,IF(B1777="","",IFERROR(IF(INDEX(pr_price,MATCH(B1777,pr_code,0))="","",INDEX(pr_price,MATCH(B1777,pr_code,0))),""))))</f>
        <v/>
      </c>
      <c r="K1777" s="71" t="str">
        <f>IF(COUNTA(A1777:G1777)=0,"",IF(G1777&lt;&gt;"",G1777,IF(B1777="","",IFERROR(IF(INDEX(pr_rate,MATCH(B1777,pr_code,0))="","",INDEX(pr_rate,MATCH(B1777,pr_code,0))),""))))</f>
        <v/>
      </c>
      <c r="L1777" s="65" t="str">
        <f>IF(COUNTA(A1777:G1777)=0,"",IF(AND(ISNUMBER(D1777),ISNUMBER(J1777)),ROUND(D1777*J1777*(1-N(F1777)),2),0))</f>
        <v/>
      </c>
      <c r="M1777" s="62" t="str">
        <f>IF(A1777="","",IFERROR(INDEX(fa_cname,MATCH(A1777,fa_num,0))&amp;"",""))</f>
        <v/>
      </c>
      <c r="N1777" s="59" t="str">
        <f>IF(COUNTA(A1777:G1777)=0,"",IF(A1777="","N° facture manquant",IF(ISNA(MATCH(A1777,fa_num,0)),"Facture inconnue",IF(AND(B1777&lt;&gt;"",ISNA(MATCH(B1777,pr_code,0))),"Article inconnu",IF(H1777="","Désignation manquante",IF(OR(NOT(ISNUMBER(D1777)),N(D1777)&lt;=0),"Quantité invalide",IF(J1777="","Prix manquant",IF(OR(NOT(ISNUMBER(J1777)),N(J1777)&lt;0),"Prix invalide",IF(OR(AND(F1777&lt;&gt;"",NOT(ISNUMBER(F1777))),N(F1777)&lt;0,N(F1777)&gt;1),"Remise invalide",IF(K1777="","Taux de TVA manquant",IF(NOT(ISNUMBER(K1777)),"Taux de TVA invalide",IF(COUNTIF(p_rates,K1777)=0,"Taux de TVA hors liste (Paramètres)",IF(N(O1777)&gt;25,"Au-delà de 25 lignes : non imprimée","OK")))))))))))))</f>
        <v/>
      </c>
      <c r="O1777" s="59" t="str">
        <f>IF(A1777="","",COUNTIF($A$6:A1777,A1777))</f>
        <v/>
      </c>
      <c r="P1777" s="62" t="str">
        <f>IF(A1777="","",A1777&amp;"|"&amp;O1777)</f>
        <v/>
      </c>
    </row>
    <row r="1778">
      <c r="A1778" s="60" t="n"/>
      <c r="B1778" s="63" t="n"/>
      <c r="C1778" s="63" t="n"/>
      <c r="D1778" s="67" t="n"/>
      <c r="E1778" s="68" t="n"/>
      <c r="F1778" s="69" t="n"/>
      <c r="G1778" s="70" t="n"/>
      <c r="H1778" s="62" t="str">
        <f>IF(COUNTA(A1778:G1778)=0,"",IF(C1778&lt;&gt;"",C1778,IF(B1778="","",IFERROR(INDEX(pr_des,MATCH(B1778,pr_code,0))&amp;"",""))))</f>
        <v/>
      </c>
      <c r="I1778" s="59" t="str">
        <f>IF(B1778="","",IFERROR(INDEX(pr_unit,MATCH(B1778,pr_code,0))&amp;"",""))</f>
        <v/>
      </c>
      <c r="J1778" s="65" t="str">
        <f>IF(COUNTA(A1778:G1778)=0,"",IF(E1778&lt;&gt;"",E1778,IF(B1778="","",IFERROR(IF(INDEX(pr_price,MATCH(B1778,pr_code,0))="","",INDEX(pr_price,MATCH(B1778,pr_code,0))),""))))</f>
        <v/>
      </c>
      <c r="K1778" s="71" t="str">
        <f>IF(COUNTA(A1778:G1778)=0,"",IF(G1778&lt;&gt;"",G1778,IF(B1778="","",IFERROR(IF(INDEX(pr_rate,MATCH(B1778,pr_code,0))="","",INDEX(pr_rate,MATCH(B1778,pr_code,0))),""))))</f>
        <v/>
      </c>
      <c r="L1778" s="65" t="str">
        <f>IF(COUNTA(A1778:G1778)=0,"",IF(AND(ISNUMBER(D1778),ISNUMBER(J1778)),ROUND(D1778*J1778*(1-N(F1778)),2),0))</f>
        <v/>
      </c>
      <c r="M1778" s="62" t="str">
        <f>IF(A1778="","",IFERROR(INDEX(fa_cname,MATCH(A1778,fa_num,0))&amp;"",""))</f>
        <v/>
      </c>
      <c r="N1778" s="59" t="str">
        <f>IF(COUNTA(A1778:G1778)=0,"",IF(A1778="","N° facture manquant",IF(ISNA(MATCH(A1778,fa_num,0)),"Facture inconnue",IF(AND(B1778&lt;&gt;"",ISNA(MATCH(B1778,pr_code,0))),"Article inconnu",IF(H1778="","Désignation manquante",IF(OR(NOT(ISNUMBER(D1778)),N(D1778)&lt;=0),"Quantité invalide",IF(J1778="","Prix manquant",IF(OR(NOT(ISNUMBER(J1778)),N(J1778)&lt;0),"Prix invalide",IF(OR(AND(F1778&lt;&gt;"",NOT(ISNUMBER(F1778))),N(F1778)&lt;0,N(F1778)&gt;1),"Remise invalide",IF(K1778="","Taux de TVA manquant",IF(NOT(ISNUMBER(K1778)),"Taux de TVA invalide",IF(COUNTIF(p_rates,K1778)=0,"Taux de TVA hors liste (Paramètres)",IF(N(O1778)&gt;25,"Au-delà de 25 lignes : non imprimée","OK")))))))))))))</f>
        <v/>
      </c>
      <c r="O1778" s="59" t="str">
        <f>IF(A1778="","",COUNTIF($A$6:A1778,A1778))</f>
        <v/>
      </c>
      <c r="P1778" s="62" t="str">
        <f>IF(A1778="","",A1778&amp;"|"&amp;O1778)</f>
        <v/>
      </c>
    </row>
    <row r="1779">
      <c r="A1779" s="60" t="n"/>
      <c r="B1779" s="63" t="n"/>
      <c r="C1779" s="63" t="n"/>
      <c r="D1779" s="67" t="n"/>
      <c r="E1779" s="68" t="n"/>
      <c r="F1779" s="69" t="n"/>
      <c r="G1779" s="70" t="n"/>
      <c r="H1779" s="62" t="str">
        <f>IF(COUNTA(A1779:G1779)=0,"",IF(C1779&lt;&gt;"",C1779,IF(B1779="","",IFERROR(INDEX(pr_des,MATCH(B1779,pr_code,0))&amp;"",""))))</f>
        <v/>
      </c>
      <c r="I1779" s="59" t="str">
        <f>IF(B1779="","",IFERROR(INDEX(pr_unit,MATCH(B1779,pr_code,0))&amp;"",""))</f>
        <v/>
      </c>
      <c r="J1779" s="65" t="str">
        <f>IF(COUNTA(A1779:G1779)=0,"",IF(E1779&lt;&gt;"",E1779,IF(B1779="","",IFERROR(IF(INDEX(pr_price,MATCH(B1779,pr_code,0))="","",INDEX(pr_price,MATCH(B1779,pr_code,0))),""))))</f>
        <v/>
      </c>
      <c r="K1779" s="71" t="str">
        <f>IF(COUNTA(A1779:G1779)=0,"",IF(G1779&lt;&gt;"",G1779,IF(B1779="","",IFERROR(IF(INDEX(pr_rate,MATCH(B1779,pr_code,0))="","",INDEX(pr_rate,MATCH(B1779,pr_code,0))),""))))</f>
        <v/>
      </c>
      <c r="L1779" s="65" t="str">
        <f>IF(COUNTA(A1779:G1779)=0,"",IF(AND(ISNUMBER(D1779),ISNUMBER(J1779)),ROUND(D1779*J1779*(1-N(F1779)),2),0))</f>
        <v/>
      </c>
      <c r="M1779" s="62" t="str">
        <f>IF(A1779="","",IFERROR(INDEX(fa_cname,MATCH(A1779,fa_num,0))&amp;"",""))</f>
        <v/>
      </c>
      <c r="N1779" s="59" t="str">
        <f>IF(COUNTA(A1779:G1779)=0,"",IF(A1779="","N° facture manquant",IF(ISNA(MATCH(A1779,fa_num,0)),"Facture inconnue",IF(AND(B1779&lt;&gt;"",ISNA(MATCH(B1779,pr_code,0))),"Article inconnu",IF(H1779="","Désignation manquante",IF(OR(NOT(ISNUMBER(D1779)),N(D1779)&lt;=0),"Quantité invalide",IF(J1779="","Prix manquant",IF(OR(NOT(ISNUMBER(J1779)),N(J1779)&lt;0),"Prix invalide",IF(OR(AND(F1779&lt;&gt;"",NOT(ISNUMBER(F1779))),N(F1779)&lt;0,N(F1779)&gt;1),"Remise invalide",IF(K1779="","Taux de TVA manquant",IF(NOT(ISNUMBER(K1779)),"Taux de TVA invalide",IF(COUNTIF(p_rates,K1779)=0,"Taux de TVA hors liste (Paramètres)",IF(N(O1779)&gt;25,"Au-delà de 25 lignes : non imprimée","OK")))))))))))))</f>
        <v/>
      </c>
      <c r="O1779" s="59" t="str">
        <f>IF(A1779="","",COUNTIF($A$6:A1779,A1779))</f>
        <v/>
      </c>
      <c r="P1779" s="62" t="str">
        <f>IF(A1779="","",A1779&amp;"|"&amp;O1779)</f>
        <v/>
      </c>
    </row>
    <row r="1780">
      <c r="A1780" s="60" t="n"/>
      <c r="B1780" s="63" t="n"/>
      <c r="C1780" s="63" t="n"/>
      <c r="D1780" s="67" t="n"/>
      <c r="E1780" s="68" t="n"/>
      <c r="F1780" s="69" t="n"/>
      <c r="G1780" s="70" t="n"/>
      <c r="H1780" s="62" t="str">
        <f>IF(COUNTA(A1780:G1780)=0,"",IF(C1780&lt;&gt;"",C1780,IF(B1780="","",IFERROR(INDEX(pr_des,MATCH(B1780,pr_code,0))&amp;"",""))))</f>
        <v/>
      </c>
      <c r="I1780" s="59" t="str">
        <f>IF(B1780="","",IFERROR(INDEX(pr_unit,MATCH(B1780,pr_code,0))&amp;"",""))</f>
        <v/>
      </c>
      <c r="J1780" s="65" t="str">
        <f>IF(COUNTA(A1780:G1780)=0,"",IF(E1780&lt;&gt;"",E1780,IF(B1780="","",IFERROR(IF(INDEX(pr_price,MATCH(B1780,pr_code,0))="","",INDEX(pr_price,MATCH(B1780,pr_code,0))),""))))</f>
        <v/>
      </c>
      <c r="K1780" s="71" t="str">
        <f>IF(COUNTA(A1780:G1780)=0,"",IF(G1780&lt;&gt;"",G1780,IF(B1780="","",IFERROR(IF(INDEX(pr_rate,MATCH(B1780,pr_code,0))="","",INDEX(pr_rate,MATCH(B1780,pr_code,0))),""))))</f>
        <v/>
      </c>
      <c r="L1780" s="65" t="str">
        <f>IF(COUNTA(A1780:G1780)=0,"",IF(AND(ISNUMBER(D1780),ISNUMBER(J1780)),ROUND(D1780*J1780*(1-N(F1780)),2),0))</f>
        <v/>
      </c>
      <c r="M1780" s="62" t="str">
        <f>IF(A1780="","",IFERROR(INDEX(fa_cname,MATCH(A1780,fa_num,0))&amp;"",""))</f>
        <v/>
      </c>
      <c r="N1780" s="59" t="str">
        <f>IF(COUNTA(A1780:G1780)=0,"",IF(A1780="","N° facture manquant",IF(ISNA(MATCH(A1780,fa_num,0)),"Facture inconnue",IF(AND(B1780&lt;&gt;"",ISNA(MATCH(B1780,pr_code,0))),"Article inconnu",IF(H1780="","Désignation manquante",IF(OR(NOT(ISNUMBER(D1780)),N(D1780)&lt;=0),"Quantité invalide",IF(J1780="","Prix manquant",IF(OR(NOT(ISNUMBER(J1780)),N(J1780)&lt;0),"Prix invalide",IF(OR(AND(F1780&lt;&gt;"",NOT(ISNUMBER(F1780))),N(F1780)&lt;0,N(F1780)&gt;1),"Remise invalide",IF(K1780="","Taux de TVA manquant",IF(NOT(ISNUMBER(K1780)),"Taux de TVA invalide",IF(COUNTIF(p_rates,K1780)=0,"Taux de TVA hors liste (Paramètres)",IF(N(O1780)&gt;25,"Au-delà de 25 lignes : non imprimée","OK")))))))))))))</f>
        <v/>
      </c>
      <c r="O1780" s="59" t="str">
        <f>IF(A1780="","",COUNTIF($A$6:A1780,A1780))</f>
        <v/>
      </c>
      <c r="P1780" s="62" t="str">
        <f>IF(A1780="","",A1780&amp;"|"&amp;O1780)</f>
        <v/>
      </c>
    </row>
    <row r="1781">
      <c r="A1781" s="60" t="n"/>
      <c r="B1781" s="63" t="n"/>
      <c r="C1781" s="63" t="n"/>
      <c r="D1781" s="67" t="n"/>
      <c r="E1781" s="68" t="n"/>
      <c r="F1781" s="69" t="n"/>
      <c r="G1781" s="70" t="n"/>
      <c r="H1781" s="62" t="str">
        <f>IF(COUNTA(A1781:G1781)=0,"",IF(C1781&lt;&gt;"",C1781,IF(B1781="","",IFERROR(INDEX(pr_des,MATCH(B1781,pr_code,0))&amp;"",""))))</f>
        <v/>
      </c>
      <c r="I1781" s="59" t="str">
        <f>IF(B1781="","",IFERROR(INDEX(pr_unit,MATCH(B1781,pr_code,0))&amp;"",""))</f>
        <v/>
      </c>
      <c r="J1781" s="65" t="str">
        <f>IF(COUNTA(A1781:G1781)=0,"",IF(E1781&lt;&gt;"",E1781,IF(B1781="","",IFERROR(IF(INDEX(pr_price,MATCH(B1781,pr_code,0))="","",INDEX(pr_price,MATCH(B1781,pr_code,0))),""))))</f>
        <v/>
      </c>
      <c r="K1781" s="71" t="str">
        <f>IF(COUNTA(A1781:G1781)=0,"",IF(G1781&lt;&gt;"",G1781,IF(B1781="","",IFERROR(IF(INDEX(pr_rate,MATCH(B1781,pr_code,0))="","",INDEX(pr_rate,MATCH(B1781,pr_code,0))),""))))</f>
        <v/>
      </c>
      <c r="L1781" s="65" t="str">
        <f>IF(COUNTA(A1781:G1781)=0,"",IF(AND(ISNUMBER(D1781),ISNUMBER(J1781)),ROUND(D1781*J1781*(1-N(F1781)),2),0))</f>
        <v/>
      </c>
      <c r="M1781" s="62" t="str">
        <f>IF(A1781="","",IFERROR(INDEX(fa_cname,MATCH(A1781,fa_num,0))&amp;"",""))</f>
        <v/>
      </c>
      <c r="N1781" s="59" t="str">
        <f>IF(COUNTA(A1781:G1781)=0,"",IF(A1781="","N° facture manquant",IF(ISNA(MATCH(A1781,fa_num,0)),"Facture inconnue",IF(AND(B1781&lt;&gt;"",ISNA(MATCH(B1781,pr_code,0))),"Article inconnu",IF(H1781="","Désignation manquante",IF(OR(NOT(ISNUMBER(D1781)),N(D1781)&lt;=0),"Quantité invalide",IF(J1781="","Prix manquant",IF(OR(NOT(ISNUMBER(J1781)),N(J1781)&lt;0),"Prix invalide",IF(OR(AND(F1781&lt;&gt;"",NOT(ISNUMBER(F1781))),N(F1781)&lt;0,N(F1781)&gt;1),"Remise invalide",IF(K1781="","Taux de TVA manquant",IF(NOT(ISNUMBER(K1781)),"Taux de TVA invalide",IF(COUNTIF(p_rates,K1781)=0,"Taux de TVA hors liste (Paramètres)",IF(N(O1781)&gt;25,"Au-delà de 25 lignes : non imprimée","OK")))))))))))))</f>
        <v/>
      </c>
      <c r="O1781" s="59" t="str">
        <f>IF(A1781="","",COUNTIF($A$6:A1781,A1781))</f>
        <v/>
      </c>
      <c r="P1781" s="62" t="str">
        <f>IF(A1781="","",A1781&amp;"|"&amp;O1781)</f>
        <v/>
      </c>
    </row>
    <row r="1782">
      <c r="A1782" s="60" t="n"/>
      <c r="B1782" s="63" t="n"/>
      <c r="C1782" s="63" t="n"/>
      <c r="D1782" s="67" t="n"/>
      <c r="E1782" s="68" t="n"/>
      <c r="F1782" s="69" t="n"/>
      <c r="G1782" s="70" t="n"/>
      <c r="H1782" s="62" t="str">
        <f>IF(COUNTA(A1782:G1782)=0,"",IF(C1782&lt;&gt;"",C1782,IF(B1782="","",IFERROR(INDEX(pr_des,MATCH(B1782,pr_code,0))&amp;"",""))))</f>
        <v/>
      </c>
      <c r="I1782" s="59" t="str">
        <f>IF(B1782="","",IFERROR(INDEX(pr_unit,MATCH(B1782,pr_code,0))&amp;"",""))</f>
        <v/>
      </c>
      <c r="J1782" s="65" t="str">
        <f>IF(COUNTA(A1782:G1782)=0,"",IF(E1782&lt;&gt;"",E1782,IF(B1782="","",IFERROR(IF(INDEX(pr_price,MATCH(B1782,pr_code,0))="","",INDEX(pr_price,MATCH(B1782,pr_code,0))),""))))</f>
        <v/>
      </c>
      <c r="K1782" s="71" t="str">
        <f>IF(COUNTA(A1782:G1782)=0,"",IF(G1782&lt;&gt;"",G1782,IF(B1782="","",IFERROR(IF(INDEX(pr_rate,MATCH(B1782,pr_code,0))="","",INDEX(pr_rate,MATCH(B1782,pr_code,0))),""))))</f>
        <v/>
      </c>
      <c r="L1782" s="65" t="str">
        <f>IF(COUNTA(A1782:G1782)=0,"",IF(AND(ISNUMBER(D1782),ISNUMBER(J1782)),ROUND(D1782*J1782*(1-N(F1782)),2),0))</f>
        <v/>
      </c>
      <c r="M1782" s="62" t="str">
        <f>IF(A1782="","",IFERROR(INDEX(fa_cname,MATCH(A1782,fa_num,0))&amp;"",""))</f>
        <v/>
      </c>
      <c r="N1782" s="59" t="str">
        <f>IF(COUNTA(A1782:G1782)=0,"",IF(A1782="","N° facture manquant",IF(ISNA(MATCH(A1782,fa_num,0)),"Facture inconnue",IF(AND(B1782&lt;&gt;"",ISNA(MATCH(B1782,pr_code,0))),"Article inconnu",IF(H1782="","Désignation manquante",IF(OR(NOT(ISNUMBER(D1782)),N(D1782)&lt;=0),"Quantité invalide",IF(J1782="","Prix manquant",IF(OR(NOT(ISNUMBER(J1782)),N(J1782)&lt;0),"Prix invalide",IF(OR(AND(F1782&lt;&gt;"",NOT(ISNUMBER(F1782))),N(F1782)&lt;0,N(F1782)&gt;1),"Remise invalide",IF(K1782="","Taux de TVA manquant",IF(NOT(ISNUMBER(K1782)),"Taux de TVA invalide",IF(COUNTIF(p_rates,K1782)=0,"Taux de TVA hors liste (Paramètres)",IF(N(O1782)&gt;25,"Au-delà de 25 lignes : non imprimée","OK")))))))))))))</f>
        <v/>
      </c>
      <c r="O1782" s="59" t="str">
        <f>IF(A1782="","",COUNTIF($A$6:A1782,A1782))</f>
        <v/>
      </c>
      <c r="P1782" s="62" t="str">
        <f>IF(A1782="","",A1782&amp;"|"&amp;O1782)</f>
        <v/>
      </c>
    </row>
    <row r="1783">
      <c r="A1783" s="60" t="n"/>
      <c r="B1783" s="63" t="n"/>
      <c r="C1783" s="63" t="n"/>
      <c r="D1783" s="67" t="n"/>
      <c r="E1783" s="68" t="n"/>
      <c r="F1783" s="69" t="n"/>
      <c r="G1783" s="70" t="n"/>
      <c r="H1783" s="62" t="str">
        <f>IF(COUNTA(A1783:G1783)=0,"",IF(C1783&lt;&gt;"",C1783,IF(B1783="","",IFERROR(INDEX(pr_des,MATCH(B1783,pr_code,0))&amp;"",""))))</f>
        <v/>
      </c>
      <c r="I1783" s="59" t="str">
        <f>IF(B1783="","",IFERROR(INDEX(pr_unit,MATCH(B1783,pr_code,0))&amp;"",""))</f>
        <v/>
      </c>
      <c r="J1783" s="65" t="str">
        <f>IF(COUNTA(A1783:G1783)=0,"",IF(E1783&lt;&gt;"",E1783,IF(B1783="","",IFERROR(IF(INDEX(pr_price,MATCH(B1783,pr_code,0))="","",INDEX(pr_price,MATCH(B1783,pr_code,0))),""))))</f>
        <v/>
      </c>
      <c r="K1783" s="71" t="str">
        <f>IF(COUNTA(A1783:G1783)=0,"",IF(G1783&lt;&gt;"",G1783,IF(B1783="","",IFERROR(IF(INDEX(pr_rate,MATCH(B1783,pr_code,0))="","",INDEX(pr_rate,MATCH(B1783,pr_code,0))),""))))</f>
        <v/>
      </c>
      <c r="L1783" s="65" t="str">
        <f>IF(COUNTA(A1783:G1783)=0,"",IF(AND(ISNUMBER(D1783),ISNUMBER(J1783)),ROUND(D1783*J1783*(1-N(F1783)),2),0))</f>
        <v/>
      </c>
      <c r="M1783" s="62" t="str">
        <f>IF(A1783="","",IFERROR(INDEX(fa_cname,MATCH(A1783,fa_num,0))&amp;"",""))</f>
        <v/>
      </c>
      <c r="N1783" s="59" t="str">
        <f>IF(COUNTA(A1783:G1783)=0,"",IF(A1783="","N° facture manquant",IF(ISNA(MATCH(A1783,fa_num,0)),"Facture inconnue",IF(AND(B1783&lt;&gt;"",ISNA(MATCH(B1783,pr_code,0))),"Article inconnu",IF(H1783="","Désignation manquante",IF(OR(NOT(ISNUMBER(D1783)),N(D1783)&lt;=0),"Quantité invalide",IF(J1783="","Prix manquant",IF(OR(NOT(ISNUMBER(J1783)),N(J1783)&lt;0),"Prix invalide",IF(OR(AND(F1783&lt;&gt;"",NOT(ISNUMBER(F1783))),N(F1783)&lt;0,N(F1783)&gt;1),"Remise invalide",IF(K1783="","Taux de TVA manquant",IF(NOT(ISNUMBER(K1783)),"Taux de TVA invalide",IF(COUNTIF(p_rates,K1783)=0,"Taux de TVA hors liste (Paramètres)",IF(N(O1783)&gt;25,"Au-delà de 25 lignes : non imprimée","OK")))))))))))))</f>
        <v/>
      </c>
      <c r="O1783" s="59" t="str">
        <f>IF(A1783="","",COUNTIF($A$6:A1783,A1783))</f>
        <v/>
      </c>
      <c r="P1783" s="62" t="str">
        <f>IF(A1783="","",A1783&amp;"|"&amp;O1783)</f>
        <v/>
      </c>
    </row>
    <row r="1784">
      <c r="A1784" s="60" t="n"/>
      <c r="B1784" s="63" t="n"/>
      <c r="C1784" s="63" t="n"/>
      <c r="D1784" s="67" t="n"/>
      <c r="E1784" s="68" t="n"/>
      <c r="F1784" s="69" t="n"/>
      <c r="G1784" s="70" t="n"/>
      <c r="H1784" s="62" t="str">
        <f>IF(COUNTA(A1784:G1784)=0,"",IF(C1784&lt;&gt;"",C1784,IF(B1784="","",IFERROR(INDEX(pr_des,MATCH(B1784,pr_code,0))&amp;"",""))))</f>
        <v/>
      </c>
      <c r="I1784" s="59" t="str">
        <f>IF(B1784="","",IFERROR(INDEX(pr_unit,MATCH(B1784,pr_code,0))&amp;"",""))</f>
        <v/>
      </c>
      <c r="J1784" s="65" t="str">
        <f>IF(COUNTA(A1784:G1784)=0,"",IF(E1784&lt;&gt;"",E1784,IF(B1784="","",IFERROR(IF(INDEX(pr_price,MATCH(B1784,pr_code,0))="","",INDEX(pr_price,MATCH(B1784,pr_code,0))),""))))</f>
        <v/>
      </c>
      <c r="K1784" s="71" t="str">
        <f>IF(COUNTA(A1784:G1784)=0,"",IF(G1784&lt;&gt;"",G1784,IF(B1784="","",IFERROR(IF(INDEX(pr_rate,MATCH(B1784,pr_code,0))="","",INDEX(pr_rate,MATCH(B1784,pr_code,0))),""))))</f>
        <v/>
      </c>
      <c r="L1784" s="65" t="str">
        <f>IF(COUNTA(A1784:G1784)=0,"",IF(AND(ISNUMBER(D1784),ISNUMBER(J1784)),ROUND(D1784*J1784*(1-N(F1784)),2),0))</f>
        <v/>
      </c>
      <c r="M1784" s="62" t="str">
        <f>IF(A1784="","",IFERROR(INDEX(fa_cname,MATCH(A1784,fa_num,0))&amp;"",""))</f>
        <v/>
      </c>
      <c r="N1784" s="59" t="str">
        <f>IF(COUNTA(A1784:G1784)=0,"",IF(A1784="","N° facture manquant",IF(ISNA(MATCH(A1784,fa_num,0)),"Facture inconnue",IF(AND(B1784&lt;&gt;"",ISNA(MATCH(B1784,pr_code,0))),"Article inconnu",IF(H1784="","Désignation manquante",IF(OR(NOT(ISNUMBER(D1784)),N(D1784)&lt;=0),"Quantité invalide",IF(J1784="","Prix manquant",IF(OR(NOT(ISNUMBER(J1784)),N(J1784)&lt;0),"Prix invalide",IF(OR(AND(F1784&lt;&gt;"",NOT(ISNUMBER(F1784))),N(F1784)&lt;0,N(F1784)&gt;1),"Remise invalide",IF(K1784="","Taux de TVA manquant",IF(NOT(ISNUMBER(K1784)),"Taux de TVA invalide",IF(COUNTIF(p_rates,K1784)=0,"Taux de TVA hors liste (Paramètres)",IF(N(O1784)&gt;25,"Au-delà de 25 lignes : non imprimée","OK")))))))))))))</f>
        <v/>
      </c>
      <c r="O1784" s="59" t="str">
        <f>IF(A1784="","",COUNTIF($A$6:A1784,A1784))</f>
        <v/>
      </c>
      <c r="P1784" s="62" t="str">
        <f>IF(A1784="","",A1784&amp;"|"&amp;O1784)</f>
        <v/>
      </c>
    </row>
    <row r="1785">
      <c r="A1785" s="60" t="n"/>
      <c r="B1785" s="63" t="n"/>
      <c r="C1785" s="63" t="n"/>
      <c r="D1785" s="67" t="n"/>
      <c r="E1785" s="68" t="n"/>
      <c r="F1785" s="69" t="n"/>
      <c r="G1785" s="70" t="n"/>
      <c r="H1785" s="62" t="str">
        <f>IF(COUNTA(A1785:G1785)=0,"",IF(C1785&lt;&gt;"",C1785,IF(B1785="","",IFERROR(INDEX(pr_des,MATCH(B1785,pr_code,0))&amp;"",""))))</f>
        <v/>
      </c>
      <c r="I1785" s="59" t="str">
        <f>IF(B1785="","",IFERROR(INDEX(pr_unit,MATCH(B1785,pr_code,0))&amp;"",""))</f>
        <v/>
      </c>
      <c r="J1785" s="65" t="str">
        <f>IF(COUNTA(A1785:G1785)=0,"",IF(E1785&lt;&gt;"",E1785,IF(B1785="","",IFERROR(IF(INDEX(pr_price,MATCH(B1785,pr_code,0))="","",INDEX(pr_price,MATCH(B1785,pr_code,0))),""))))</f>
        <v/>
      </c>
      <c r="K1785" s="71" t="str">
        <f>IF(COUNTA(A1785:G1785)=0,"",IF(G1785&lt;&gt;"",G1785,IF(B1785="","",IFERROR(IF(INDEX(pr_rate,MATCH(B1785,pr_code,0))="","",INDEX(pr_rate,MATCH(B1785,pr_code,0))),""))))</f>
        <v/>
      </c>
      <c r="L1785" s="65" t="str">
        <f>IF(COUNTA(A1785:G1785)=0,"",IF(AND(ISNUMBER(D1785),ISNUMBER(J1785)),ROUND(D1785*J1785*(1-N(F1785)),2),0))</f>
        <v/>
      </c>
      <c r="M1785" s="62" t="str">
        <f>IF(A1785="","",IFERROR(INDEX(fa_cname,MATCH(A1785,fa_num,0))&amp;"",""))</f>
        <v/>
      </c>
      <c r="N1785" s="59" t="str">
        <f>IF(COUNTA(A1785:G1785)=0,"",IF(A1785="","N° facture manquant",IF(ISNA(MATCH(A1785,fa_num,0)),"Facture inconnue",IF(AND(B1785&lt;&gt;"",ISNA(MATCH(B1785,pr_code,0))),"Article inconnu",IF(H1785="","Désignation manquante",IF(OR(NOT(ISNUMBER(D1785)),N(D1785)&lt;=0),"Quantité invalide",IF(J1785="","Prix manquant",IF(OR(NOT(ISNUMBER(J1785)),N(J1785)&lt;0),"Prix invalide",IF(OR(AND(F1785&lt;&gt;"",NOT(ISNUMBER(F1785))),N(F1785)&lt;0,N(F1785)&gt;1),"Remise invalide",IF(K1785="","Taux de TVA manquant",IF(NOT(ISNUMBER(K1785)),"Taux de TVA invalide",IF(COUNTIF(p_rates,K1785)=0,"Taux de TVA hors liste (Paramètres)",IF(N(O1785)&gt;25,"Au-delà de 25 lignes : non imprimée","OK")))))))))))))</f>
        <v/>
      </c>
      <c r="O1785" s="59" t="str">
        <f>IF(A1785="","",COUNTIF($A$6:A1785,A1785))</f>
        <v/>
      </c>
      <c r="P1785" s="62" t="str">
        <f>IF(A1785="","",A1785&amp;"|"&amp;O1785)</f>
        <v/>
      </c>
    </row>
    <row r="1786">
      <c r="A1786" s="60" t="n"/>
      <c r="B1786" s="63" t="n"/>
      <c r="C1786" s="63" t="n"/>
      <c r="D1786" s="67" t="n"/>
      <c r="E1786" s="68" t="n"/>
      <c r="F1786" s="69" t="n"/>
      <c r="G1786" s="70" t="n"/>
      <c r="H1786" s="62" t="str">
        <f>IF(COUNTA(A1786:G1786)=0,"",IF(C1786&lt;&gt;"",C1786,IF(B1786="","",IFERROR(INDEX(pr_des,MATCH(B1786,pr_code,0))&amp;"",""))))</f>
        <v/>
      </c>
      <c r="I1786" s="59" t="str">
        <f>IF(B1786="","",IFERROR(INDEX(pr_unit,MATCH(B1786,pr_code,0))&amp;"",""))</f>
        <v/>
      </c>
      <c r="J1786" s="65" t="str">
        <f>IF(COUNTA(A1786:G1786)=0,"",IF(E1786&lt;&gt;"",E1786,IF(B1786="","",IFERROR(IF(INDEX(pr_price,MATCH(B1786,pr_code,0))="","",INDEX(pr_price,MATCH(B1786,pr_code,0))),""))))</f>
        <v/>
      </c>
      <c r="K1786" s="71" t="str">
        <f>IF(COUNTA(A1786:G1786)=0,"",IF(G1786&lt;&gt;"",G1786,IF(B1786="","",IFERROR(IF(INDEX(pr_rate,MATCH(B1786,pr_code,0))="","",INDEX(pr_rate,MATCH(B1786,pr_code,0))),""))))</f>
        <v/>
      </c>
      <c r="L1786" s="65" t="str">
        <f>IF(COUNTA(A1786:G1786)=0,"",IF(AND(ISNUMBER(D1786),ISNUMBER(J1786)),ROUND(D1786*J1786*(1-N(F1786)),2),0))</f>
        <v/>
      </c>
      <c r="M1786" s="62" t="str">
        <f>IF(A1786="","",IFERROR(INDEX(fa_cname,MATCH(A1786,fa_num,0))&amp;"",""))</f>
        <v/>
      </c>
      <c r="N1786" s="59" t="str">
        <f>IF(COUNTA(A1786:G1786)=0,"",IF(A1786="","N° facture manquant",IF(ISNA(MATCH(A1786,fa_num,0)),"Facture inconnue",IF(AND(B1786&lt;&gt;"",ISNA(MATCH(B1786,pr_code,0))),"Article inconnu",IF(H1786="","Désignation manquante",IF(OR(NOT(ISNUMBER(D1786)),N(D1786)&lt;=0),"Quantité invalide",IF(J1786="","Prix manquant",IF(OR(NOT(ISNUMBER(J1786)),N(J1786)&lt;0),"Prix invalide",IF(OR(AND(F1786&lt;&gt;"",NOT(ISNUMBER(F1786))),N(F1786)&lt;0,N(F1786)&gt;1),"Remise invalide",IF(K1786="","Taux de TVA manquant",IF(NOT(ISNUMBER(K1786)),"Taux de TVA invalide",IF(COUNTIF(p_rates,K1786)=0,"Taux de TVA hors liste (Paramètres)",IF(N(O1786)&gt;25,"Au-delà de 25 lignes : non imprimée","OK")))))))))))))</f>
        <v/>
      </c>
      <c r="O1786" s="59" t="str">
        <f>IF(A1786="","",COUNTIF($A$6:A1786,A1786))</f>
        <v/>
      </c>
      <c r="P1786" s="62" t="str">
        <f>IF(A1786="","",A1786&amp;"|"&amp;O1786)</f>
        <v/>
      </c>
    </row>
    <row r="1787">
      <c r="A1787" s="60" t="n"/>
      <c r="B1787" s="63" t="n"/>
      <c r="C1787" s="63" t="n"/>
      <c r="D1787" s="67" t="n"/>
      <c r="E1787" s="68" t="n"/>
      <c r="F1787" s="69" t="n"/>
      <c r="G1787" s="70" t="n"/>
      <c r="H1787" s="62" t="str">
        <f>IF(COUNTA(A1787:G1787)=0,"",IF(C1787&lt;&gt;"",C1787,IF(B1787="","",IFERROR(INDEX(pr_des,MATCH(B1787,pr_code,0))&amp;"",""))))</f>
        <v/>
      </c>
      <c r="I1787" s="59" t="str">
        <f>IF(B1787="","",IFERROR(INDEX(pr_unit,MATCH(B1787,pr_code,0))&amp;"",""))</f>
        <v/>
      </c>
      <c r="J1787" s="65" t="str">
        <f>IF(COUNTA(A1787:G1787)=0,"",IF(E1787&lt;&gt;"",E1787,IF(B1787="","",IFERROR(IF(INDEX(pr_price,MATCH(B1787,pr_code,0))="","",INDEX(pr_price,MATCH(B1787,pr_code,0))),""))))</f>
        <v/>
      </c>
      <c r="K1787" s="71" t="str">
        <f>IF(COUNTA(A1787:G1787)=0,"",IF(G1787&lt;&gt;"",G1787,IF(B1787="","",IFERROR(IF(INDEX(pr_rate,MATCH(B1787,pr_code,0))="","",INDEX(pr_rate,MATCH(B1787,pr_code,0))),""))))</f>
        <v/>
      </c>
      <c r="L1787" s="65" t="str">
        <f>IF(COUNTA(A1787:G1787)=0,"",IF(AND(ISNUMBER(D1787),ISNUMBER(J1787)),ROUND(D1787*J1787*(1-N(F1787)),2),0))</f>
        <v/>
      </c>
      <c r="M1787" s="62" t="str">
        <f>IF(A1787="","",IFERROR(INDEX(fa_cname,MATCH(A1787,fa_num,0))&amp;"",""))</f>
        <v/>
      </c>
      <c r="N1787" s="59" t="str">
        <f>IF(COUNTA(A1787:G1787)=0,"",IF(A1787="","N° facture manquant",IF(ISNA(MATCH(A1787,fa_num,0)),"Facture inconnue",IF(AND(B1787&lt;&gt;"",ISNA(MATCH(B1787,pr_code,0))),"Article inconnu",IF(H1787="","Désignation manquante",IF(OR(NOT(ISNUMBER(D1787)),N(D1787)&lt;=0),"Quantité invalide",IF(J1787="","Prix manquant",IF(OR(NOT(ISNUMBER(J1787)),N(J1787)&lt;0),"Prix invalide",IF(OR(AND(F1787&lt;&gt;"",NOT(ISNUMBER(F1787))),N(F1787)&lt;0,N(F1787)&gt;1),"Remise invalide",IF(K1787="","Taux de TVA manquant",IF(NOT(ISNUMBER(K1787)),"Taux de TVA invalide",IF(COUNTIF(p_rates,K1787)=0,"Taux de TVA hors liste (Paramètres)",IF(N(O1787)&gt;25,"Au-delà de 25 lignes : non imprimée","OK")))))))))))))</f>
        <v/>
      </c>
      <c r="O1787" s="59" t="str">
        <f>IF(A1787="","",COUNTIF($A$6:A1787,A1787))</f>
        <v/>
      </c>
      <c r="P1787" s="62" t="str">
        <f>IF(A1787="","",A1787&amp;"|"&amp;O1787)</f>
        <v/>
      </c>
    </row>
    <row r="1788">
      <c r="A1788" s="60" t="n"/>
      <c r="B1788" s="63" t="n"/>
      <c r="C1788" s="63" t="n"/>
      <c r="D1788" s="67" t="n"/>
      <c r="E1788" s="68" t="n"/>
      <c r="F1788" s="69" t="n"/>
      <c r="G1788" s="70" t="n"/>
      <c r="H1788" s="62" t="str">
        <f>IF(COUNTA(A1788:G1788)=0,"",IF(C1788&lt;&gt;"",C1788,IF(B1788="","",IFERROR(INDEX(pr_des,MATCH(B1788,pr_code,0))&amp;"",""))))</f>
        <v/>
      </c>
      <c r="I1788" s="59" t="str">
        <f>IF(B1788="","",IFERROR(INDEX(pr_unit,MATCH(B1788,pr_code,0))&amp;"",""))</f>
        <v/>
      </c>
      <c r="J1788" s="65" t="str">
        <f>IF(COUNTA(A1788:G1788)=0,"",IF(E1788&lt;&gt;"",E1788,IF(B1788="","",IFERROR(IF(INDEX(pr_price,MATCH(B1788,pr_code,0))="","",INDEX(pr_price,MATCH(B1788,pr_code,0))),""))))</f>
        <v/>
      </c>
      <c r="K1788" s="71" t="str">
        <f>IF(COUNTA(A1788:G1788)=0,"",IF(G1788&lt;&gt;"",G1788,IF(B1788="","",IFERROR(IF(INDEX(pr_rate,MATCH(B1788,pr_code,0))="","",INDEX(pr_rate,MATCH(B1788,pr_code,0))),""))))</f>
        <v/>
      </c>
      <c r="L1788" s="65" t="str">
        <f>IF(COUNTA(A1788:G1788)=0,"",IF(AND(ISNUMBER(D1788),ISNUMBER(J1788)),ROUND(D1788*J1788*(1-N(F1788)),2),0))</f>
        <v/>
      </c>
      <c r="M1788" s="62" t="str">
        <f>IF(A1788="","",IFERROR(INDEX(fa_cname,MATCH(A1788,fa_num,0))&amp;"",""))</f>
        <v/>
      </c>
      <c r="N1788" s="59" t="str">
        <f>IF(COUNTA(A1788:G1788)=0,"",IF(A1788="","N° facture manquant",IF(ISNA(MATCH(A1788,fa_num,0)),"Facture inconnue",IF(AND(B1788&lt;&gt;"",ISNA(MATCH(B1788,pr_code,0))),"Article inconnu",IF(H1788="","Désignation manquante",IF(OR(NOT(ISNUMBER(D1788)),N(D1788)&lt;=0),"Quantité invalide",IF(J1788="","Prix manquant",IF(OR(NOT(ISNUMBER(J1788)),N(J1788)&lt;0),"Prix invalide",IF(OR(AND(F1788&lt;&gt;"",NOT(ISNUMBER(F1788))),N(F1788)&lt;0,N(F1788)&gt;1),"Remise invalide",IF(K1788="","Taux de TVA manquant",IF(NOT(ISNUMBER(K1788)),"Taux de TVA invalide",IF(COUNTIF(p_rates,K1788)=0,"Taux de TVA hors liste (Paramètres)",IF(N(O1788)&gt;25,"Au-delà de 25 lignes : non imprimée","OK")))))))))))))</f>
        <v/>
      </c>
      <c r="O1788" s="59" t="str">
        <f>IF(A1788="","",COUNTIF($A$6:A1788,A1788))</f>
        <v/>
      </c>
      <c r="P1788" s="62" t="str">
        <f>IF(A1788="","",A1788&amp;"|"&amp;O1788)</f>
        <v/>
      </c>
    </row>
    <row r="1789">
      <c r="A1789" s="60" t="n"/>
      <c r="B1789" s="63" t="n"/>
      <c r="C1789" s="63" t="n"/>
      <c r="D1789" s="67" t="n"/>
      <c r="E1789" s="68" t="n"/>
      <c r="F1789" s="69" t="n"/>
      <c r="G1789" s="70" t="n"/>
      <c r="H1789" s="62" t="str">
        <f>IF(COUNTA(A1789:G1789)=0,"",IF(C1789&lt;&gt;"",C1789,IF(B1789="","",IFERROR(INDEX(pr_des,MATCH(B1789,pr_code,0))&amp;"",""))))</f>
        <v/>
      </c>
      <c r="I1789" s="59" t="str">
        <f>IF(B1789="","",IFERROR(INDEX(pr_unit,MATCH(B1789,pr_code,0))&amp;"",""))</f>
        <v/>
      </c>
      <c r="J1789" s="65" t="str">
        <f>IF(COUNTA(A1789:G1789)=0,"",IF(E1789&lt;&gt;"",E1789,IF(B1789="","",IFERROR(IF(INDEX(pr_price,MATCH(B1789,pr_code,0))="","",INDEX(pr_price,MATCH(B1789,pr_code,0))),""))))</f>
        <v/>
      </c>
      <c r="K1789" s="71" t="str">
        <f>IF(COUNTA(A1789:G1789)=0,"",IF(G1789&lt;&gt;"",G1789,IF(B1789="","",IFERROR(IF(INDEX(pr_rate,MATCH(B1789,pr_code,0))="","",INDEX(pr_rate,MATCH(B1789,pr_code,0))),""))))</f>
        <v/>
      </c>
      <c r="L1789" s="65" t="str">
        <f>IF(COUNTA(A1789:G1789)=0,"",IF(AND(ISNUMBER(D1789),ISNUMBER(J1789)),ROUND(D1789*J1789*(1-N(F1789)),2),0))</f>
        <v/>
      </c>
      <c r="M1789" s="62" t="str">
        <f>IF(A1789="","",IFERROR(INDEX(fa_cname,MATCH(A1789,fa_num,0))&amp;"",""))</f>
        <v/>
      </c>
      <c r="N1789" s="59" t="str">
        <f>IF(COUNTA(A1789:G1789)=0,"",IF(A1789="","N° facture manquant",IF(ISNA(MATCH(A1789,fa_num,0)),"Facture inconnue",IF(AND(B1789&lt;&gt;"",ISNA(MATCH(B1789,pr_code,0))),"Article inconnu",IF(H1789="","Désignation manquante",IF(OR(NOT(ISNUMBER(D1789)),N(D1789)&lt;=0),"Quantité invalide",IF(J1789="","Prix manquant",IF(OR(NOT(ISNUMBER(J1789)),N(J1789)&lt;0),"Prix invalide",IF(OR(AND(F1789&lt;&gt;"",NOT(ISNUMBER(F1789))),N(F1789)&lt;0,N(F1789)&gt;1),"Remise invalide",IF(K1789="","Taux de TVA manquant",IF(NOT(ISNUMBER(K1789)),"Taux de TVA invalide",IF(COUNTIF(p_rates,K1789)=0,"Taux de TVA hors liste (Paramètres)",IF(N(O1789)&gt;25,"Au-delà de 25 lignes : non imprimée","OK")))))))))))))</f>
        <v/>
      </c>
      <c r="O1789" s="59" t="str">
        <f>IF(A1789="","",COUNTIF($A$6:A1789,A1789))</f>
        <v/>
      </c>
      <c r="P1789" s="62" t="str">
        <f>IF(A1789="","",A1789&amp;"|"&amp;O1789)</f>
        <v/>
      </c>
    </row>
    <row r="1790">
      <c r="A1790" s="60" t="n"/>
      <c r="B1790" s="63" t="n"/>
      <c r="C1790" s="63" t="n"/>
      <c r="D1790" s="67" t="n"/>
      <c r="E1790" s="68" t="n"/>
      <c r="F1790" s="69" t="n"/>
      <c r="G1790" s="70" t="n"/>
      <c r="H1790" s="62" t="str">
        <f>IF(COUNTA(A1790:G1790)=0,"",IF(C1790&lt;&gt;"",C1790,IF(B1790="","",IFERROR(INDEX(pr_des,MATCH(B1790,pr_code,0))&amp;"",""))))</f>
        <v/>
      </c>
      <c r="I1790" s="59" t="str">
        <f>IF(B1790="","",IFERROR(INDEX(pr_unit,MATCH(B1790,pr_code,0))&amp;"",""))</f>
        <v/>
      </c>
      <c r="J1790" s="65" t="str">
        <f>IF(COUNTA(A1790:G1790)=0,"",IF(E1790&lt;&gt;"",E1790,IF(B1790="","",IFERROR(IF(INDEX(pr_price,MATCH(B1790,pr_code,0))="","",INDEX(pr_price,MATCH(B1790,pr_code,0))),""))))</f>
        <v/>
      </c>
      <c r="K1790" s="71" t="str">
        <f>IF(COUNTA(A1790:G1790)=0,"",IF(G1790&lt;&gt;"",G1790,IF(B1790="","",IFERROR(IF(INDEX(pr_rate,MATCH(B1790,pr_code,0))="","",INDEX(pr_rate,MATCH(B1790,pr_code,0))),""))))</f>
        <v/>
      </c>
      <c r="L1790" s="65" t="str">
        <f>IF(COUNTA(A1790:G1790)=0,"",IF(AND(ISNUMBER(D1790),ISNUMBER(J1790)),ROUND(D1790*J1790*(1-N(F1790)),2),0))</f>
        <v/>
      </c>
      <c r="M1790" s="62" t="str">
        <f>IF(A1790="","",IFERROR(INDEX(fa_cname,MATCH(A1790,fa_num,0))&amp;"",""))</f>
        <v/>
      </c>
      <c r="N1790" s="59" t="str">
        <f>IF(COUNTA(A1790:G1790)=0,"",IF(A1790="","N° facture manquant",IF(ISNA(MATCH(A1790,fa_num,0)),"Facture inconnue",IF(AND(B1790&lt;&gt;"",ISNA(MATCH(B1790,pr_code,0))),"Article inconnu",IF(H1790="","Désignation manquante",IF(OR(NOT(ISNUMBER(D1790)),N(D1790)&lt;=0),"Quantité invalide",IF(J1790="","Prix manquant",IF(OR(NOT(ISNUMBER(J1790)),N(J1790)&lt;0),"Prix invalide",IF(OR(AND(F1790&lt;&gt;"",NOT(ISNUMBER(F1790))),N(F1790)&lt;0,N(F1790)&gt;1),"Remise invalide",IF(K1790="","Taux de TVA manquant",IF(NOT(ISNUMBER(K1790)),"Taux de TVA invalide",IF(COUNTIF(p_rates,K1790)=0,"Taux de TVA hors liste (Paramètres)",IF(N(O1790)&gt;25,"Au-delà de 25 lignes : non imprimée","OK")))))))))))))</f>
        <v/>
      </c>
      <c r="O1790" s="59" t="str">
        <f>IF(A1790="","",COUNTIF($A$6:A1790,A1790))</f>
        <v/>
      </c>
      <c r="P1790" s="62" t="str">
        <f>IF(A1790="","",A1790&amp;"|"&amp;O1790)</f>
        <v/>
      </c>
    </row>
    <row r="1791">
      <c r="A1791" s="60" t="n"/>
      <c r="B1791" s="63" t="n"/>
      <c r="C1791" s="63" t="n"/>
      <c r="D1791" s="67" t="n"/>
      <c r="E1791" s="68" t="n"/>
      <c r="F1791" s="69" t="n"/>
      <c r="G1791" s="70" t="n"/>
      <c r="H1791" s="62" t="str">
        <f>IF(COUNTA(A1791:G1791)=0,"",IF(C1791&lt;&gt;"",C1791,IF(B1791="","",IFERROR(INDEX(pr_des,MATCH(B1791,pr_code,0))&amp;"",""))))</f>
        <v/>
      </c>
      <c r="I1791" s="59" t="str">
        <f>IF(B1791="","",IFERROR(INDEX(pr_unit,MATCH(B1791,pr_code,0))&amp;"",""))</f>
        <v/>
      </c>
      <c r="J1791" s="65" t="str">
        <f>IF(COUNTA(A1791:G1791)=0,"",IF(E1791&lt;&gt;"",E1791,IF(B1791="","",IFERROR(IF(INDEX(pr_price,MATCH(B1791,pr_code,0))="","",INDEX(pr_price,MATCH(B1791,pr_code,0))),""))))</f>
        <v/>
      </c>
      <c r="K1791" s="71" t="str">
        <f>IF(COUNTA(A1791:G1791)=0,"",IF(G1791&lt;&gt;"",G1791,IF(B1791="","",IFERROR(IF(INDEX(pr_rate,MATCH(B1791,pr_code,0))="","",INDEX(pr_rate,MATCH(B1791,pr_code,0))),""))))</f>
        <v/>
      </c>
      <c r="L1791" s="65" t="str">
        <f>IF(COUNTA(A1791:G1791)=0,"",IF(AND(ISNUMBER(D1791),ISNUMBER(J1791)),ROUND(D1791*J1791*(1-N(F1791)),2),0))</f>
        <v/>
      </c>
      <c r="M1791" s="62" t="str">
        <f>IF(A1791="","",IFERROR(INDEX(fa_cname,MATCH(A1791,fa_num,0))&amp;"",""))</f>
        <v/>
      </c>
      <c r="N1791" s="59" t="str">
        <f>IF(COUNTA(A1791:G1791)=0,"",IF(A1791="","N° facture manquant",IF(ISNA(MATCH(A1791,fa_num,0)),"Facture inconnue",IF(AND(B1791&lt;&gt;"",ISNA(MATCH(B1791,pr_code,0))),"Article inconnu",IF(H1791="","Désignation manquante",IF(OR(NOT(ISNUMBER(D1791)),N(D1791)&lt;=0),"Quantité invalide",IF(J1791="","Prix manquant",IF(OR(NOT(ISNUMBER(J1791)),N(J1791)&lt;0),"Prix invalide",IF(OR(AND(F1791&lt;&gt;"",NOT(ISNUMBER(F1791))),N(F1791)&lt;0,N(F1791)&gt;1),"Remise invalide",IF(K1791="","Taux de TVA manquant",IF(NOT(ISNUMBER(K1791)),"Taux de TVA invalide",IF(COUNTIF(p_rates,K1791)=0,"Taux de TVA hors liste (Paramètres)",IF(N(O1791)&gt;25,"Au-delà de 25 lignes : non imprimée","OK")))))))))))))</f>
        <v/>
      </c>
      <c r="O1791" s="59" t="str">
        <f>IF(A1791="","",COUNTIF($A$6:A1791,A1791))</f>
        <v/>
      </c>
      <c r="P1791" s="62" t="str">
        <f>IF(A1791="","",A1791&amp;"|"&amp;O1791)</f>
        <v/>
      </c>
    </row>
    <row r="1792">
      <c r="A1792" s="60" t="n"/>
      <c r="B1792" s="63" t="n"/>
      <c r="C1792" s="63" t="n"/>
      <c r="D1792" s="67" t="n"/>
      <c r="E1792" s="68" t="n"/>
      <c r="F1792" s="69" t="n"/>
      <c r="G1792" s="70" t="n"/>
      <c r="H1792" s="62" t="str">
        <f>IF(COUNTA(A1792:G1792)=0,"",IF(C1792&lt;&gt;"",C1792,IF(B1792="","",IFERROR(INDEX(pr_des,MATCH(B1792,pr_code,0))&amp;"",""))))</f>
        <v/>
      </c>
      <c r="I1792" s="59" t="str">
        <f>IF(B1792="","",IFERROR(INDEX(pr_unit,MATCH(B1792,pr_code,0))&amp;"",""))</f>
        <v/>
      </c>
      <c r="J1792" s="65" t="str">
        <f>IF(COUNTA(A1792:G1792)=0,"",IF(E1792&lt;&gt;"",E1792,IF(B1792="","",IFERROR(IF(INDEX(pr_price,MATCH(B1792,pr_code,0))="","",INDEX(pr_price,MATCH(B1792,pr_code,0))),""))))</f>
        <v/>
      </c>
      <c r="K1792" s="71" t="str">
        <f>IF(COUNTA(A1792:G1792)=0,"",IF(G1792&lt;&gt;"",G1792,IF(B1792="","",IFERROR(IF(INDEX(pr_rate,MATCH(B1792,pr_code,0))="","",INDEX(pr_rate,MATCH(B1792,pr_code,0))),""))))</f>
        <v/>
      </c>
      <c r="L1792" s="65" t="str">
        <f>IF(COUNTA(A1792:G1792)=0,"",IF(AND(ISNUMBER(D1792),ISNUMBER(J1792)),ROUND(D1792*J1792*(1-N(F1792)),2),0))</f>
        <v/>
      </c>
      <c r="M1792" s="62" t="str">
        <f>IF(A1792="","",IFERROR(INDEX(fa_cname,MATCH(A1792,fa_num,0))&amp;"",""))</f>
        <v/>
      </c>
      <c r="N1792" s="59" t="str">
        <f>IF(COUNTA(A1792:G1792)=0,"",IF(A1792="","N° facture manquant",IF(ISNA(MATCH(A1792,fa_num,0)),"Facture inconnue",IF(AND(B1792&lt;&gt;"",ISNA(MATCH(B1792,pr_code,0))),"Article inconnu",IF(H1792="","Désignation manquante",IF(OR(NOT(ISNUMBER(D1792)),N(D1792)&lt;=0),"Quantité invalide",IF(J1792="","Prix manquant",IF(OR(NOT(ISNUMBER(J1792)),N(J1792)&lt;0),"Prix invalide",IF(OR(AND(F1792&lt;&gt;"",NOT(ISNUMBER(F1792))),N(F1792)&lt;0,N(F1792)&gt;1),"Remise invalide",IF(K1792="","Taux de TVA manquant",IF(NOT(ISNUMBER(K1792)),"Taux de TVA invalide",IF(COUNTIF(p_rates,K1792)=0,"Taux de TVA hors liste (Paramètres)",IF(N(O1792)&gt;25,"Au-delà de 25 lignes : non imprimée","OK")))))))))))))</f>
        <v/>
      </c>
      <c r="O1792" s="59" t="str">
        <f>IF(A1792="","",COUNTIF($A$6:A1792,A1792))</f>
        <v/>
      </c>
      <c r="P1792" s="62" t="str">
        <f>IF(A1792="","",A1792&amp;"|"&amp;O1792)</f>
        <v/>
      </c>
    </row>
    <row r="1793">
      <c r="A1793" s="60" t="n"/>
      <c r="B1793" s="63" t="n"/>
      <c r="C1793" s="63" t="n"/>
      <c r="D1793" s="67" t="n"/>
      <c r="E1793" s="68" t="n"/>
      <c r="F1793" s="69" t="n"/>
      <c r="G1793" s="70" t="n"/>
      <c r="H1793" s="62" t="str">
        <f>IF(COUNTA(A1793:G1793)=0,"",IF(C1793&lt;&gt;"",C1793,IF(B1793="","",IFERROR(INDEX(pr_des,MATCH(B1793,pr_code,0))&amp;"",""))))</f>
        <v/>
      </c>
      <c r="I1793" s="59" t="str">
        <f>IF(B1793="","",IFERROR(INDEX(pr_unit,MATCH(B1793,pr_code,0))&amp;"",""))</f>
        <v/>
      </c>
      <c r="J1793" s="65" t="str">
        <f>IF(COUNTA(A1793:G1793)=0,"",IF(E1793&lt;&gt;"",E1793,IF(B1793="","",IFERROR(IF(INDEX(pr_price,MATCH(B1793,pr_code,0))="","",INDEX(pr_price,MATCH(B1793,pr_code,0))),""))))</f>
        <v/>
      </c>
      <c r="K1793" s="71" t="str">
        <f>IF(COUNTA(A1793:G1793)=0,"",IF(G1793&lt;&gt;"",G1793,IF(B1793="","",IFERROR(IF(INDEX(pr_rate,MATCH(B1793,pr_code,0))="","",INDEX(pr_rate,MATCH(B1793,pr_code,0))),""))))</f>
        <v/>
      </c>
      <c r="L1793" s="65" t="str">
        <f>IF(COUNTA(A1793:G1793)=0,"",IF(AND(ISNUMBER(D1793),ISNUMBER(J1793)),ROUND(D1793*J1793*(1-N(F1793)),2),0))</f>
        <v/>
      </c>
      <c r="M1793" s="62" t="str">
        <f>IF(A1793="","",IFERROR(INDEX(fa_cname,MATCH(A1793,fa_num,0))&amp;"",""))</f>
        <v/>
      </c>
      <c r="N1793" s="59" t="str">
        <f>IF(COUNTA(A1793:G1793)=0,"",IF(A1793="","N° facture manquant",IF(ISNA(MATCH(A1793,fa_num,0)),"Facture inconnue",IF(AND(B1793&lt;&gt;"",ISNA(MATCH(B1793,pr_code,0))),"Article inconnu",IF(H1793="","Désignation manquante",IF(OR(NOT(ISNUMBER(D1793)),N(D1793)&lt;=0),"Quantité invalide",IF(J1793="","Prix manquant",IF(OR(NOT(ISNUMBER(J1793)),N(J1793)&lt;0),"Prix invalide",IF(OR(AND(F1793&lt;&gt;"",NOT(ISNUMBER(F1793))),N(F1793)&lt;0,N(F1793)&gt;1),"Remise invalide",IF(K1793="","Taux de TVA manquant",IF(NOT(ISNUMBER(K1793)),"Taux de TVA invalide",IF(COUNTIF(p_rates,K1793)=0,"Taux de TVA hors liste (Paramètres)",IF(N(O1793)&gt;25,"Au-delà de 25 lignes : non imprimée","OK")))))))))))))</f>
        <v/>
      </c>
      <c r="O1793" s="59" t="str">
        <f>IF(A1793="","",COUNTIF($A$6:A1793,A1793))</f>
        <v/>
      </c>
      <c r="P1793" s="62" t="str">
        <f>IF(A1793="","",A1793&amp;"|"&amp;O1793)</f>
        <v/>
      </c>
    </row>
    <row r="1794">
      <c r="A1794" s="60" t="n"/>
      <c r="B1794" s="63" t="n"/>
      <c r="C1794" s="63" t="n"/>
      <c r="D1794" s="67" t="n"/>
      <c r="E1794" s="68" t="n"/>
      <c r="F1794" s="69" t="n"/>
      <c r="G1794" s="70" t="n"/>
      <c r="H1794" s="62" t="str">
        <f>IF(COUNTA(A1794:G1794)=0,"",IF(C1794&lt;&gt;"",C1794,IF(B1794="","",IFERROR(INDEX(pr_des,MATCH(B1794,pr_code,0))&amp;"",""))))</f>
        <v/>
      </c>
      <c r="I1794" s="59" t="str">
        <f>IF(B1794="","",IFERROR(INDEX(pr_unit,MATCH(B1794,pr_code,0))&amp;"",""))</f>
        <v/>
      </c>
      <c r="J1794" s="65" t="str">
        <f>IF(COUNTA(A1794:G1794)=0,"",IF(E1794&lt;&gt;"",E1794,IF(B1794="","",IFERROR(IF(INDEX(pr_price,MATCH(B1794,pr_code,0))="","",INDEX(pr_price,MATCH(B1794,pr_code,0))),""))))</f>
        <v/>
      </c>
      <c r="K1794" s="71" t="str">
        <f>IF(COUNTA(A1794:G1794)=0,"",IF(G1794&lt;&gt;"",G1794,IF(B1794="","",IFERROR(IF(INDEX(pr_rate,MATCH(B1794,pr_code,0))="","",INDEX(pr_rate,MATCH(B1794,pr_code,0))),""))))</f>
        <v/>
      </c>
      <c r="L1794" s="65" t="str">
        <f>IF(COUNTA(A1794:G1794)=0,"",IF(AND(ISNUMBER(D1794),ISNUMBER(J1794)),ROUND(D1794*J1794*(1-N(F1794)),2),0))</f>
        <v/>
      </c>
      <c r="M1794" s="62" t="str">
        <f>IF(A1794="","",IFERROR(INDEX(fa_cname,MATCH(A1794,fa_num,0))&amp;"",""))</f>
        <v/>
      </c>
      <c r="N1794" s="59" t="str">
        <f>IF(COUNTA(A1794:G1794)=0,"",IF(A1794="","N° facture manquant",IF(ISNA(MATCH(A1794,fa_num,0)),"Facture inconnue",IF(AND(B1794&lt;&gt;"",ISNA(MATCH(B1794,pr_code,0))),"Article inconnu",IF(H1794="","Désignation manquante",IF(OR(NOT(ISNUMBER(D1794)),N(D1794)&lt;=0),"Quantité invalide",IF(J1794="","Prix manquant",IF(OR(NOT(ISNUMBER(J1794)),N(J1794)&lt;0),"Prix invalide",IF(OR(AND(F1794&lt;&gt;"",NOT(ISNUMBER(F1794))),N(F1794)&lt;0,N(F1794)&gt;1),"Remise invalide",IF(K1794="","Taux de TVA manquant",IF(NOT(ISNUMBER(K1794)),"Taux de TVA invalide",IF(COUNTIF(p_rates,K1794)=0,"Taux de TVA hors liste (Paramètres)",IF(N(O1794)&gt;25,"Au-delà de 25 lignes : non imprimée","OK")))))))))))))</f>
        <v/>
      </c>
      <c r="O1794" s="59" t="str">
        <f>IF(A1794="","",COUNTIF($A$6:A1794,A1794))</f>
        <v/>
      </c>
      <c r="P1794" s="62" t="str">
        <f>IF(A1794="","",A1794&amp;"|"&amp;O1794)</f>
        <v/>
      </c>
    </row>
    <row r="1795">
      <c r="A1795" s="60" t="n"/>
      <c r="B1795" s="63" t="n"/>
      <c r="C1795" s="63" t="n"/>
      <c r="D1795" s="67" t="n"/>
      <c r="E1795" s="68" t="n"/>
      <c r="F1795" s="69" t="n"/>
      <c r="G1795" s="70" t="n"/>
      <c r="H1795" s="62" t="str">
        <f>IF(COUNTA(A1795:G1795)=0,"",IF(C1795&lt;&gt;"",C1795,IF(B1795="","",IFERROR(INDEX(pr_des,MATCH(B1795,pr_code,0))&amp;"",""))))</f>
        <v/>
      </c>
      <c r="I1795" s="59" t="str">
        <f>IF(B1795="","",IFERROR(INDEX(pr_unit,MATCH(B1795,pr_code,0))&amp;"",""))</f>
        <v/>
      </c>
      <c r="J1795" s="65" t="str">
        <f>IF(COUNTA(A1795:G1795)=0,"",IF(E1795&lt;&gt;"",E1795,IF(B1795="","",IFERROR(IF(INDEX(pr_price,MATCH(B1795,pr_code,0))="","",INDEX(pr_price,MATCH(B1795,pr_code,0))),""))))</f>
        <v/>
      </c>
      <c r="K1795" s="71" t="str">
        <f>IF(COUNTA(A1795:G1795)=0,"",IF(G1795&lt;&gt;"",G1795,IF(B1795="","",IFERROR(IF(INDEX(pr_rate,MATCH(B1795,pr_code,0))="","",INDEX(pr_rate,MATCH(B1795,pr_code,0))),""))))</f>
        <v/>
      </c>
      <c r="L1795" s="65" t="str">
        <f>IF(COUNTA(A1795:G1795)=0,"",IF(AND(ISNUMBER(D1795),ISNUMBER(J1795)),ROUND(D1795*J1795*(1-N(F1795)),2),0))</f>
        <v/>
      </c>
      <c r="M1795" s="62" t="str">
        <f>IF(A1795="","",IFERROR(INDEX(fa_cname,MATCH(A1795,fa_num,0))&amp;"",""))</f>
        <v/>
      </c>
      <c r="N1795" s="59" t="str">
        <f>IF(COUNTA(A1795:G1795)=0,"",IF(A1795="","N° facture manquant",IF(ISNA(MATCH(A1795,fa_num,0)),"Facture inconnue",IF(AND(B1795&lt;&gt;"",ISNA(MATCH(B1795,pr_code,0))),"Article inconnu",IF(H1795="","Désignation manquante",IF(OR(NOT(ISNUMBER(D1795)),N(D1795)&lt;=0),"Quantité invalide",IF(J1795="","Prix manquant",IF(OR(NOT(ISNUMBER(J1795)),N(J1795)&lt;0),"Prix invalide",IF(OR(AND(F1795&lt;&gt;"",NOT(ISNUMBER(F1795))),N(F1795)&lt;0,N(F1795)&gt;1),"Remise invalide",IF(K1795="","Taux de TVA manquant",IF(NOT(ISNUMBER(K1795)),"Taux de TVA invalide",IF(COUNTIF(p_rates,K1795)=0,"Taux de TVA hors liste (Paramètres)",IF(N(O1795)&gt;25,"Au-delà de 25 lignes : non imprimée","OK")))))))))))))</f>
        <v/>
      </c>
      <c r="O1795" s="59" t="str">
        <f>IF(A1795="","",COUNTIF($A$6:A1795,A1795))</f>
        <v/>
      </c>
      <c r="P1795" s="62" t="str">
        <f>IF(A1795="","",A1795&amp;"|"&amp;O1795)</f>
        <v/>
      </c>
    </row>
    <row r="1796">
      <c r="A1796" s="60" t="n"/>
      <c r="B1796" s="63" t="n"/>
      <c r="C1796" s="63" t="n"/>
      <c r="D1796" s="67" t="n"/>
      <c r="E1796" s="68" t="n"/>
      <c r="F1796" s="69" t="n"/>
      <c r="G1796" s="70" t="n"/>
      <c r="H1796" s="62" t="str">
        <f>IF(COUNTA(A1796:G1796)=0,"",IF(C1796&lt;&gt;"",C1796,IF(B1796="","",IFERROR(INDEX(pr_des,MATCH(B1796,pr_code,0))&amp;"",""))))</f>
        <v/>
      </c>
      <c r="I1796" s="59" t="str">
        <f>IF(B1796="","",IFERROR(INDEX(pr_unit,MATCH(B1796,pr_code,0))&amp;"",""))</f>
        <v/>
      </c>
      <c r="J1796" s="65" t="str">
        <f>IF(COUNTA(A1796:G1796)=0,"",IF(E1796&lt;&gt;"",E1796,IF(B1796="","",IFERROR(IF(INDEX(pr_price,MATCH(B1796,pr_code,0))="","",INDEX(pr_price,MATCH(B1796,pr_code,0))),""))))</f>
        <v/>
      </c>
      <c r="K1796" s="71" t="str">
        <f>IF(COUNTA(A1796:G1796)=0,"",IF(G1796&lt;&gt;"",G1796,IF(B1796="","",IFERROR(IF(INDEX(pr_rate,MATCH(B1796,pr_code,0))="","",INDEX(pr_rate,MATCH(B1796,pr_code,0))),""))))</f>
        <v/>
      </c>
      <c r="L1796" s="65" t="str">
        <f>IF(COUNTA(A1796:G1796)=0,"",IF(AND(ISNUMBER(D1796),ISNUMBER(J1796)),ROUND(D1796*J1796*(1-N(F1796)),2),0))</f>
        <v/>
      </c>
      <c r="M1796" s="62" t="str">
        <f>IF(A1796="","",IFERROR(INDEX(fa_cname,MATCH(A1796,fa_num,0))&amp;"",""))</f>
        <v/>
      </c>
      <c r="N1796" s="59" t="str">
        <f>IF(COUNTA(A1796:G1796)=0,"",IF(A1796="","N° facture manquant",IF(ISNA(MATCH(A1796,fa_num,0)),"Facture inconnue",IF(AND(B1796&lt;&gt;"",ISNA(MATCH(B1796,pr_code,0))),"Article inconnu",IF(H1796="","Désignation manquante",IF(OR(NOT(ISNUMBER(D1796)),N(D1796)&lt;=0),"Quantité invalide",IF(J1796="","Prix manquant",IF(OR(NOT(ISNUMBER(J1796)),N(J1796)&lt;0),"Prix invalide",IF(OR(AND(F1796&lt;&gt;"",NOT(ISNUMBER(F1796))),N(F1796)&lt;0,N(F1796)&gt;1),"Remise invalide",IF(K1796="","Taux de TVA manquant",IF(NOT(ISNUMBER(K1796)),"Taux de TVA invalide",IF(COUNTIF(p_rates,K1796)=0,"Taux de TVA hors liste (Paramètres)",IF(N(O1796)&gt;25,"Au-delà de 25 lignes : non imprimée","OK")))))))))))))</f>
        <v/>
      </c>
      <c r="O1796" s="59" t="str">
        <f>IF(A1796="","",COUNTIF($A$6:A1796,A1796))</f>
        <v/>
      </c>
      <c r="P1796" s="62" t="str">
        <f>IF(A1796="","",A1796&amp;"|"&amp;O1796)</f>
        <v/>
      </c>
    </row>
    <row r="1797">
      <c r="A1797" s="60" t="n"/>
      <c r="B1797" s="63" t="n"/>
      <c r="C1797" s="63" t="n"/>
      <c r="D1797" s="67" t="n"/>
      <c r="E1797" s="68" t="n"/>
      <c r="F1797" s="69" t="n"/>
      <c r="G1797" s="70" t="n"/>
      <c r="H1797" s="62" t="str">
        <f>IF(COUNTA(A1797:G1797)=0,"",IF(C1797&lt;&gt;"",C1797,IF(B1797="","",IFERROR(INDEX(pr_des,MATCH(B1797,pr_code,0))&amp;"",""))))</f>
        <v/>
      </c>
      <c r="I1797" s="59" t="str">
        <f>IF(B1797="","",IFERROR(INDEX(pr_unit,MATCH(B1797,pr_code,0))&amp;"",""))</f>
        <v/>
      </c>
      <c r="J1797" s="65" t="str">
        <f>IF(COUNTA(A1797:G1797)=0,"",IF(E1797&lt;&gt;"",E1797,IF(B1797="","",IFERROR(IF(INDEX(pr_price,MATCH(B1797,pr_code,0))="","",INDEX(pr_price,MATCH(B1797,pr_code,0))),""))))</f>
        <v/>
      </c>
      <c r="K1797" s="71" t="str">
        <f>IF(COUNTA(A1797:G1797)=0,"",IF(G1797&lt;&gt;"",G1797,IF(B1797="","",IFERROR(IF(INDEX(pr_rate,MATCH(B1797,pr_code,0))="","",INDEX(pr_rate,MATCH(B1797,pr_code,0))),""))))</f>
        <v/>
      </c>
      <c r="L1797" s="65" t="str">
        <f>IF(COUNTA(A1797:G1797)=0,"",IF(AND(ISNUMBER(D1797),ISNUMBER(J1797)),ROUND(D1797*J1797*(1-N(F1797)),2),0))</f>
        <v/>
      </c>
      <c r="M1797" s="62" t="str">
        <f>IF(A1797="","",IFERROR(INDEX(fa_cname,MATCH(A1797,fa_num,0))&amp;"",""))</f>
        <v/>
      </c>
      <c r="N1797" s="59" t="str">
        <f>IF(COUNTA(A1797:G1797)=0,"",IF(A1797="","N° facture manquant",IF(ISNA(MATCH(A1797,fa_num,0)),"Facture inconnue",IF(AND(B1797&lt;&gt;"",ISNA(MATCH(B1797,pr_code,0))),"Article inconnu",IF(H1797="","Désignation manquante",IF(OR(NOT(ISNUMBER(D1797)),N(D1797)&lt;=0),"Quantité invalide",IF(J1797="","Prix manquant",IF(OR(NOT(ISNUMBER(J1797)),N(J1797)&lt;0),"Prix invalide",IF(OR(AND(F1797&lt;&gt;"",NOT(ISNUMBER(F1797))),N(F1797)&lt;0,N(F1797)&gt;1),"Remise invalide",IF(K1797="","Taux de TVA manquant",IF(NOT(ISNUMBER(K1797)),"Taux de TVA invalide",IF(COUNTIF(p_rates,K1797)=0,"Taux de TVA hors liste (Paramètres)",IF(N(O1797)&gt;25,"Au-delà de 25 lignes : non imprimée","OK")))))))))))))</f>
        <v/>
      </c>
      <c r="O1797" s="59" t="str">
        <f>IF(A1797="","",COUNTIF($A$6:A1797,A1797))</f>
        <v/>
      </c>
      <c r="P1797" s="62" t="str">
        <f>IF(A1797="","",A1797&amp;"|"&amp;O1797)</f>
        <v/>
      </c>
    </row>
    <row r="1798">
      <c r="A1798" s="60" t="n"/>
      <c r="B1798" s="63" t="n"/>
      <c r="C1798" s="63" t="n"/>
      <c r="D1798" s="67" t="n"/>
      <c r="E1798" s="68" t="n"/>
      <c r="F1798" s="69" t="n"/>
      <c r="G1798" s="70" t="n"/>
      <c r="H1798" s="62" t="str">
        <f>IF(COUNTA(A1798:G1798)=0,"",IF(C1798&lt;&gt;"",C1798,IF(B1798="","",IFERROR(INDEX(pr_des,MATCH(B1798,pr_code,0))&amp;"",""))))</f>
        <v/>
      </c>
      <c r="I1798" s="59" t="str">
        <f>IF(B1798="","",IFERROR(INDEX(pr_unit,MATCH(B1798,pr_code,0))&amp;"",""))</f>
        <v/>
      </c>
      <c r="J1798" s="65" t="str">
        <f>IF(COUNTA(A1798:G1798)=0,"",IF(E1798&lt;&gt;"",E1798,IF(B1798="","",IFERROR(IF(INDEX(pr_price,MATCH(B1798,pr_code,0))="","",INDEX(pr_price,MATCH(B1798,pr_code,0))),""))))</f>
        <v/>
      </c>
      <c r="K1798" s="71" t="str">
        <f>IF(COUNTA(A1798:G1798)=0,"",IF(G1798&lt;&gt;"",G1798,IF(B1798="","",IFERROR(IF(INDEX(pr_rate,MATCH(B1798,pr_code,0))="","",INDEX(pr_rate,MATCH(B1798,pr_code,0))),""))))</f>
        <v/>
      </c>
      <c r="L1798" s="65" t="str">
        <f>IF(COUNTA(A1798:G1798)=0,"",IF(AND(ISNUMBER(D1798),ISNUMBER(J1798)),ROUND(D1798*J1798*(1-N(F1798)),2),0))</f>
        <v/>
      </c>
      <c r="M1798" s="62" t="str">
        <f>IF(A1798="","",IFERROR(INDEX(fa_cname,MATCH(A1798,fa_num,0))&amp;"",""))</f>
        <v/>
      </c>
      <c r="N1798" s="59" t="str">
        <f>IF(COUNTA(A1798:G1798)=0,"",IF(A1798="","N° facture manquant",IF(ISNA(MATCH(A1798,fa_num,0)),"Facture inconnue",IF(AND(B1798&lt;&gt;"",ISNA(MATCH(B1798,pr_code,0))),"Article inconnu",IF(H1798="","Désignation manquante",IF(OR(NOT(ISNUMBER(D1798)),N(D1798)&lt;=0),"Quantité invalide",IF(J1798="","Prix manquant",IF(OR(NOT(ISNUMBER(J1798)),N(J1798)&lt;0),"Prix invalide",IF(OR(AND(F1798&lt;&gt;"",NOT(ISNUMBER(F1798))),N(F1798)&lt;0,N(F1798)&gt;1),"Remise invalide",IF(K1798="","Taux de TVA manquant",IF(NOT(ISNUMBER(K1798)),"Taux de TVA invalide",IF(COUNTIF(p_rates,K1798)=0,"Taux de TVA hors liste (Paramètres)",IF(N(O1798)&gt;25,"Au-delà de 25 lignes : non imprimée","OK")))))))))))))</f>
        <v/>
      </c>
      <c r="O1798" s="59" t="str">
        <f>IF(A1798="","",COUNTIF($A$6:A1798,A1798))</f>
        <v/>
      </c>
      <c r="P1798" s="62" t="str">
        <f>IF(A1798="","",A1798&amp;"|"&amp;O1798)</f>
        <v/>
      </c>
    </row>
    <row r="1799">
      <c r="A1799" s="60" t="n"/>
      <c r="B1799" s="63" t="n"/>
      <c r="C1799" s="63" t="n"/>
      <c r="D1799" s="67" t="n"/>
      <c r="E1799" s="68" t="n"/>
      <c r="F1799" s="69" t="n"/>
      <c r="G1799" s="70" t="n"/>
      <c r="H1799" s="62" t="str">
        <f>IF(COUNTA(A1799:G1799)=0,"",IF(C1799&lt;&gt;"",C1799,IF(B1799="","",IFERROR(INDEX(pr_des,MATCH(B1799,pr_code,0))&amp;"",""))))</f>
        <v/>
      </c>
      <c r="I1799" s="59" t="str">
        <f>IF(B1799="","",IFERROR(INDEX(pr_unit,MATCH(B1799,pr_code,0))&amp;"",""))</f>
        <v/>
      </c>
      <c r="J1799" s="65" t="str">
        <f>IF(COUNTA(A1799:G1799)=0,"",IF(E1799&lt;&gt;"",E1799,IF(B1799="","",IFERROR(IF(INDEX(pr_price,MATCH(B1799,pr_code,0))="","",INDEX(pr_price,MATCH(B1799,pr_code,0))),""))))</f>
        <v/>
      </c>
      <c r="K1799" s="71" t="str">
        <f>IF(COUNTA(A1799:G1799)=0,"",IF(G1799&lt;&gt;"",G1799,IF(B1799="","",IFERROR(IF(INDEX(pr_rate,MATCH(B1799,pr_code,0))="","",INDEX(pr_rate,MATCH(B1799,pr_code,0))),""))))</f>
        <v/>
      </c>
      <c r="L1799" s="65" t="str">
        <f>IF(COUNTA(A1799:G1799)=0,"",IF(AND(ISNUMBER(D1799),ISNUMBER(J1799)),ROUND(D1799*J1799*(1-N(F1799)),2),0))</f>
        <v/>
      </c>
      <c r="M1799" s="62" t="str">
        <f>IF(A1799="","",IFERROR(INDEX(fa_cname,MATCH(A1799,fa_num,0))&amp;"",""))</f>
        <v/>
      </c>
      <c r="N1799" s="59" t="str">
        <f>IF(COUNTA(A1799:G1799)=0,"",IF(A1799="","N° facture manquant",IF(ISNA(MATCH(A1799,fa_num,0)),"Facture inconnue",IF(AND(B1799&lt;&gt;"",ISNA(MATCH(B1799,pr_code,0))),"Article inconnu",IF(H1799="","Désignation manquante",IF(OR(NOT(ISNUMBER(D1799)),N(D1799)&lt;=0),"Quantité invalide",IF(J1799="","Prix manquant",IF(OR(NOT(ISNUMBER(J1799)),N(J1799)&lt;0),"Prix invalide",IF(OR(AND(F1799&lt;&gt;"",NOT(ISNUMBER(F1799))),N(F1799)&lt;0,N(F1799)&gt;1),"Remise invalide",IF(K1799="","Taux de TVA manquant",IF(NOT(ISNUMBER(K1799)),"Taux de TVA invalide",IF(COUNTIF(p_rates,K1799)=0,"Taux de TVA hors liste (Paramètres)",IF(N(O1799)&gt;25,"Au-delà de 25 lignes : non imprimée","OK")))))))))))))</f>
        <v/>
      </c>
      <c r="O1799" s="59" t="str">
        <f>IF(A1799="","",COUNTIF($A$6:A1799,A1799))</f>
        <v/>
      </c>
      <c r="P1799" s="62" t="str">
        <f>IF(A1799="","",A1799&amp;"|"&amp;O1799)</f>
        <v/>
      </c>
    </row>
    <row r="1800">
      <c r="A1800" s="60" t="n"/>
      <c r="B1800" s="63" t="n"/>
      <c r="C1800" s="63" t="n"/>
      <c r="D1800" s="67" t="n"/>
      <c r="E1800" s="68" t="n"/>
      <c r="F1800" s="69" t="n"/>
      <c r="G1800" s="70" t="n"/>
      <c r="H1800" s="62" t="str">
        <f>IF(COUNTA(A1800:G1800)=0,"",IF(C1800&lt;&gt;"",C1800,IF(B1800="","",IFERROR(INDEX(pr_des,MATCH(B1800,pr_code,0))&amp;"",""))))</f>
        <v/>
      </c>
      <c r="I1800" s="59" t="str">
        <f>IF(B1800="","",IFERROR(INDEX(pr_unit,MATCH(B1800,pr_code,0))&amp;"",""))</f>
        <v/>
      </c>
      <c r="J1800" s="65" t="str">
        <f>IF(COUNTA(A1800:G1800)=0,"",IF(E1800&lt;&gt;"",E1800,IF(B1800="","",IFERROR(IF(INDEX(pr_price,MATCH(B1800,pr_code,0))="","",INDEX(pr_price,MATCH(B1800,pr_code,0))),""))))</f>
        <v/>
      </c>
      <c r="K1800" s="71" t="str">
        <f>IF(COUNTA(A1800:G1800)=0,"",IF(G1800&lt;&gt;"",G1800,IF(B1800="","",IFERROR(IF(INDEX(pr_rate,MATCH(B1800,pr_code,0))="","",INDEX(pr_rate,MATCH(B1800,pr_code,0))),""))))</f>
        <v/>
      </c>
      <c r="L1800" s="65" t="str">
        <f>IF(COUNTA(A1800:G1800)=0,"",IF(AND(ISNUMBER(D1800),ISNUMBER(J1800)),ROUND(D1800*J1800*(1-N(F1800)),2),0))</f>
        <v/>
      </c>
      <c r="M1800" s="62" t="str">
        <f>IF(A1800="","",IFERROR(INDEX(fa_cname,MATCH(A1800,fa_num,0))&amp;"",""))</f>
        <v/>
      </c>
      <c r="N1800" s="59" t="str">
        <f>IF(COUNTA(A1800:G1800)=0,"",IF(A1800="","N° facture manquant",IF(ISNA(MATCH(A1800,fa_num,0)),"Facture inconnue",IF(AND(B1800&lt;&gt;"",ISNA(MATCH(B1800,pr_code,0))),"Article inconnu",IF(H1800="","Désignation manquante",IF(OR(NOT(ISNUMBER(D1800)),N(D1800)&lt;=0),"Quantité invalide",IF(J1800="","Prix manquant",IF(OR(NOT(ISNUMBER(J1800)),N(J1800)&lt;0),"Prix invalide",IF(OR(AND(F1800&lt;&gt;"",NOT(ISNUMBER(F1800))),N(F1800)&lt;0,N(F1800)&gt;1),"Remise invalide",IF(K1800="","Taux de TVA manquant",IF(NOT(ISNUMBER(K1800)),"Taux de TVA invalide",IF(COUNTIF(p_rates,K1800)=0,"Taux de TVA hors liste (Paramètres)",IF(N(O1800)&gt;25,"Au-delà de 25 lignes : non imprimée","OK")))))))))))))</f>
        <v/>
      </c>
      <c r="O1800" s="59" t="str">
        <f>IF(A1800="","",COUNTIF($A$6:A1800,A1800))</f>
        <v/>
      </c>
      <c r="P1800" s="62" t="str">
        <f>IF(A1800="","",A1800&amp;"|"&amp;O1800)</f>
        <v/>
      </c>
    </row>
    <row r="1801">
      <c r="A1801" s="60" t="n"/>
      <c r="B1801" s="63" t="n"/>
      <c r="C1801" s="63" t="n"/>
      <c r="D1801" s="67" t="n"/>
      <c r="E1801" s="68" t="n"/>
      <c r="F1801" s="69" t="n"/>
      <c r="G1801" s="70" t="n"/>
      <c r="H1801" s="62" t="str">
        <f>IF(COUNTA(A1801:G1801)=0,"",IF(C1801&lt;&gt;"",C1801,IF(B1801="","",IFERROR(INDEX(pr_des,MATCH(B1801,pr_code,0))&amp;"",""))))</f>
        <v/>
      </c>
      <c r="I1801" s="59" t="str">
        <f>IF(B1801="","",IFERROR(INDEX(pr_unit,MATCH(B1801,pr_code,0))&amp;"",""))</f>
        <v/>
      </c>
      <c r="J1801" s="65" t="str">
        <f>IF(COUNTA(A1801:G1801)=0,"",IF(E1801&lt;&gt;"",E1801,IF(B1801="","",IFERROR(IF(INDEX(pr_price,MATCH(B1801,pr_code,0))="","",INDEX(pr_price,MATCH(B1801,pr_code,0))),""))))</f>
        <v/>
      </c>
      <c r="K1801" s="71" t="str">
        <f>IF(COUNTA(A1801:G1801)=0,"",IF(G1801&lt;&gt;"",G1801,IF(B1801="","",IFERROR(IF(INDEX(pr_rate,MATCH(B1801,pr_code,0))="","",INDEX(pr_rate,MATCH(B1801,pr_code,0))),""))))</f>
        <v/>
      </c>
      <c r="L1801" s="65" t="str">
        <f>IF(COUNTA(A1801:G1801)=0,"",IF(AND(ISNUMBER(D1801),ISNUMBER(J1801)),ROUND(D1801*J1801*(1-N(F1801)),2),0))</f>
        <v/>
      </c>
      <c r="M1801" s="62" t="str">
        <f>IF(A1801="","",IFERROR(INDEX(fa_cname,MATCH(A1801,fa_num,0))&amp;"",""))</f>
        <v/>
      </c>
      <c r="N1801" s="59" t="str">
        <f>IF(COUNTA(A1801:G1801)=0,"",IF(A1801="","N° facture manquant",IF(ISNA(MATCH(A1801,fa_num,0)),"Facture inconnue",IF(AND(B1801&lt;&gt;"",ISNA(MATCH(B1801,pr_code,0))),"Article inconnu",IF(H1801="","Désignation manquante",IF(OR(NOT(ISNUMBER(D1801)),N(D1801)&lt;=0),"Quantité invalide",IF(J1801="","Prix manquant",IF(OR(NOT(ISNUMBER(J1801)),N(J1801)&lt;0),"Prix invalide",IF(OR(AND(F1801&lt;&gt;"",NOT(ISNUMBER(F1801))),N(F1801)&lt;0,N(F1801)&gt;1),"Remise invalide",IF(K1801="","Taux de TVA manquant",IF(NOT(ISNUMBER(K1801)),"Taux de TVA invalide",IF(COUNTIF(p_rates,K1801)=0,"Taux de TVA hors liste (Paramètres)",IF(N(O1801)&gt;25,"Au-delà de 25 lignes : non imprimée","OK")))))))))))))</f>
        <v/>
      </c>
      <c r="O1801" s="59" t="str">
        <f>IF(A1801="","",COUNTIF($A$6:A1801,A1801))</f>
        <v/>
      </c>
      <c r="P1801" s="62" t="str">
        <f>IF(A1801="","",A1801&amp;"|"&amp;O1801)</f>
        <v/>
      </c>
    </row>
    <row r="1802">
      <c r="A1802" s="60" t="n"/>
      <c r="B1802" s="63" t="n"/>
      <c r="C1802" s="63" t="n"/>
      <c r="D1802" s="67" t="n"/>
      <c r="E1802" s="68" t="n"/>
      <c r="F1802" s="69" t="n"/>
      <c r="G1802" s="70" t="n"/>
      <c r="H1802" s="62" t="str">
        <f>IF(COUNTA(A1802:G1802)=0,"",IF(C1802&lt;&gt;"",C1802,IF(B1802="","",IFERROR(INDEX(pr_des,MATCH(B1802,pr_code,0))&amp;"",""))))</f>
        <v/>
      </c>
      <c r="I1802" s="59" t="str">
        <f>IF(B1802="","",IFERROR(INDEX(pr_unit,MATCH(B1802,pr_code,0))&amp;"",""))</f>
        <v/>
      </c>
      <c r="J1802" s="65" t="str">
        <f>IF(COUNTA(A1802:G1802)=0,"",IF(E1802&lt;&gt;"",E1802,IF(B1802="","",IFERROR(IF(INDEX(pr_price,MATCH(B1802,pr_code,0))="","",INDEX(pr_price,MATCH(B1802,pr_code,0))),""))))</f>
        <v/>
      </c>
      <c r="K1802" s="71" t="str">
        <f>IF(COUNTA(A1802:G1802)=0,"",IF(G1802&lt;&gt;"",G1802,IF(B1802="","",IFERROR(IF(INDEX(pr_rate,MATCH(B1802,pr_code,0))="","",INDEX(pr_rate,MATCH(B1802,pr_code,0))),""))))</f>
        <v/>
      </c>
      <c r="L1802" s="65" t="str">
        <f>IF(COUNTA(A1802:G1802)=0,"",IF(AND(ISNUMBER(D1802),ISNUMBER(J1802)),ROUND(D1802*J1802*(1-N(F1802)),2),0))</f>
        <v/>
      </c>
      <c r="M1802" s="62" t="str">
        <f>IF(A1802="","",IFERROR(INDEX(fa_cname,MATCH(A1802,fa_num,0))&amp;"",""))</f>
        <v/>
      </c>
      <c r="N1802" s="59" t="str">
        <f>IF(COUNTA(A1802:G1802)=0,"",IF(A1802="","N° facture manquant",IF(ISNA(MATCH(A1802,fa_num,0)),"Facture inconnue",IF(AND(B1802&lt;&gt;"",ISNA(MATCH(B1802,pr_code,0))),"Article inconnu",IF(H1802="","Désignation manquante",IF(OR(NOT(ISNUMBER(D1802)),N(D1802)&lt;=0),"Quantité invalide",IF(J1802="","Prix manquant",IF(OR(NOT(ISNUMBER(J1802)),N(J1802)&lt;0),"Prix invalide",IF(OR(AND(F1802&lt;&gt;"",NOT(ISNUMBER(F1802))),N(F1802)&lt;0,N(F1802)&gt;1),"Remise invalide",IF(K1802="","Taux de TVA manquant",IF(NOT(ISNUMBER(K1802)),"Taux de TVA invalide",IF(COUNTIF(p_rates,K1802)=0,"Taux de TVA hors liste (Paramètres)",IF(N(O1802)&gt;25,"Au-delà de 25 lignes : non imprimée","OK")))))))))))))</f>
        <v/>
      </c>
      <c r="O1802" s="59" t="str">
        <f>IF(A1802="","",COUNTIF($A$6:A1802,A1802))</f>
        <v/>
      </c>
      <c r="P1802" s="62" t="str">
        <f>IF(A1802="","",A1802&amp;"|"&amp;O1802)</f>
        <v/>
      </c>
    </row>
    <row r="1803">
      <c r="A1803" s="60" t="n"/>
      <c r="B1803" s="63" t="n"/>
      <c r="C1803" s="63" t="n"/>
      <c r="D1803" s="67" t="n"/>
      <c r="E1803" s="68" t="n"/>
      <c r="F1803" s="69" t="n"/>
      <c r="G1803" s="70" t="n"/>
      <c r="H1803" s="62" t="str">
        <f>IF(COUNTA(A1803:G1803)=0,"",IF(C1803&lt;&gt;"",C1803,IF(B1803="","",IFERROR(INDEX(pr_des,MATCH(B1803,pr_code,0))&amp;"",""))))</f>
        <v/>
      </c>
      <c r="I1803" s="59" t="str">
        <f>IF(B1803="","",IFERROR(INDEX(pr_unit,MATCH(B1803,pr_code,0))&amp;"",""))</f>
        <v/>
      </c>
      <c r="J1803" s="65" t="str">
        <f>IF(COUNTA(A1803:G1803)=0,"",IF(E1803&lt;&gt;"",E1803,IF(B1803="","",IFERROR(IF(INDEX(pr_price,MATCH(B1803,pr_code,0))="","",INDEX(pr_price,MATCH(B1803,pr_code,0))),""))))</f>
        <v/>
      </c>
      <c r="K1803" s="71" t="str">
        <f>IF(COUNTA(A1803:G1803)=0,"",IF(G1803&lt;&gt;"",G1803,IF(B1803="","",IFERROR(IF(INDEX(pr_rate,MATCH(B1803,pr_code,0))="","",INDEX(pr_rate,MATCH(B1803,pr_code,0))),""))))</f>
        <v/>
      </c>
      <c r="L1803" s="65" t="str">
        <f>IF(COUNTA(A1803:G1803)=0,"",IF(AND(ISNUMBER(D1803),ISNUMBER(J1803)),ROUND(D1803*J1803*(1-N(F1803)),2),0))</f>
        <v/>
      </c>
      <c r="M1803" s="62" t="str">
        <f>IF(A1803="","",IFERROR(INDEX(fa_cname,MATCH(A1803,fa_num,0))&amp;"",""))</f>
        <v/>
      </c>
      <c r="N1803" s="59" t="str">
        <f>IF(COUNTA(A1803:G1803)=0,"",IF(A1803="","N° facture manquant",IF(ISNA(MATCH(A1803,fa_num,0)),"Facture inconnue",IF(AND(B1803&lt;&gt;"",ISNA(MATCH(B1803,pr_code,0))),"Article inconnu",IF(H1803="","Désignation manquante",IF(OR(NOT(ISNUMBER(D1803)),N(D1803)&lt;=0),"Quantité invalide",IF(J1803="","Prix manquant",IF(OR(NOT(ISNUMBER(J1803)),N(J1803)&lt;0),"Prix invalide",IF(OR(AND(F1803&lt;&gt;"",NOT(ISNUMBER(F1803))),N(F1803)&lt;0,N(F1803)&gt;1),"Remise invalide",IF(K1803="","Taux de TVA manquant",IF(NOT(ISNUMBER(K1803)),"Taux de TVA invalide",IF(COUNTIF(p_rates,K1803)=0,"Taux de TVA hors liste (Paramètres)",IF(N(O1803)&gt;25,"Au-delà de 25 lignes : non imprimée","OK")))))))))))))</f>
        <v/>
      </c>
      <c r="O1803" s="59" t="str">
        <f>IF(A1803="","",COUNTIF($A$6:A1803,A1803))</f>
        <v/>
      </c>
      <c r="P1803" s="62" t="str">
        <f>IF(A1803="","",A1803&amp;"|"&amp;O1803)</f>
        <v/>
      </c>
    </row>
    <row r="1804">
      <c r="A1804" s="60" t="n"/>
      <c r="B1804" s="63" t="n"/>
      <c r="C1804" s="63" t="n"/>
      <c r="D1804" s="67" t="n"/>
      <c r="E1804" s="68" t="n"/>
      <c r="F1804" s="69" t="n"/>
      <c r="G1804" s="70" t="n"/>
      <c r="H1804" s="62" t="str">
        <f>IF(COUNTA(A1804:G1804)=0,"",IF(C1804&lt;&gt;"",C1804,IF(B1804="","",IFERROR(INDEX(pr_des,MATCH(B1804,pr_code,0))&amp;"",""))))</f>
        <v/>
      </c>
      <c r="I1804" s="59" t="str">
        <f>IF(B1804="","",IFERROR(INDEX(pr_unit,MATCH(B1804,pr_code,0))&amp;"",""))</f>
        <v/>
      </c>
      <c r="J1804" s="65" t="str">
        <f>IF(COUNTA(A1804:G1804)=0,"",IF(E1804&lt;&gt;"",E1804,IF(B1804="","",IFERROR(IF(INDEX(pr_price,MATCH(B1804,pr_code,0))="","",INDEX(pr_price,MATCH(B1804,pr_code,0))),""))))</f>
        <v/>
      </c>
      <c r="K1804" s="71" t="str">
        <f>IF(COUNTA(A1804:G1804)=0,"",IF(G1804&lt;&gt;"",G1804,IF(B1804="","",IFERROR(IF(INDEX(pr_rate,MATCH(B1804,pr_code,0))="","",INDEX(pr_rate,MATCH(B1804,pr_code,0))),""))))</f>
        <v/>
      </c>
      <c r="L1804" s="65" t="str">
        <f>IF(COUNTA(A1804:G1804)=0,"",IF(AND(ISNUMBER(D1804),ISNUMBER(J1804)),ROUND(D1804*J1804*(1-N(F1804)),2),0))</f>
        <v/>
      </c>
      <c r="M1804" s="62" t="str">
        <f>IF(A1804="","",IFERROR(INDEX(fa_cname,MATCH(A1804,fa_num,0))&amp;"",""))</f>
        <v/>
      </c>
      <c r="N1804" s="59" t="str">
        <f>IF(COUNTA(A1804:G1804)=0,"",IF(A1804="","N° facture manquant",IF(ISNA(MATCH(A1804,fa_num,0)),"Facture inconnue",IF(AND(B1804&lt;&gt;"",ISNA(MATCH(B1804,pr_code,0))),"Article inconnu",IF(H1804="","Désignation manquante",IF(OR(NOT(ISNUMBER(D1804)),N(D1804)&lt;=0),"Quantité invalide",IF(J1804="","Prix manquant",IF(OR(NOT(ISNUMBER(J1804)),N(J1804)&lt;0),"Prix invalide",IF(OR(AND(F1804&lt;&gt;"",NOT(ISNUMBER(F1804))),N(F1804)&lt;0,N(F1804)&gt;1),"Remise invalide",IF(K1804="","Taux de TVA manquant",IF(NOT(ISNUMBER(K1804)),"Taux de TVA invalide",IF(COUNTIF(p_rates,K1804)=0,"Taux de TVA hors liste (Paramètres)",IF(N(O1804)&gt;25,"Au-delà de 25 lignes : non imprimée","OK")))))))))))))</f>
        <v/>
      </c>
      <c r="O1804" s="59" t="str">
        <f>IF(A1804="","",COUNTIF($A$6:A1804,A1804))</f>
        <v/>
      </c>
      <c r="P1804" s="62" t="str">
        <f>IF(A1804="","",A1804&amp;"|"&amp;O1804)</f>
        <v/>
      </c>
    </row>
    <row r="1805">
      <c r="A1805" s="60" t="n"/>
      <c r="B1805" s="63" t="n"/>
      <c r="C1805" s="63" t="n"/>
      <c r="D1805" s="67" t="n"/>
      <c r="E1805" s="68" t="n"/>
      <c r="F1805" s="69" t="n"/>
      <c r="G1805" s="70" t="n"/>
      <c r="H1805" s="62" t="str">
        <f>IF(COUNTA(A1805:G1805)=0,"",IF(C1805&lt;&gt;"",C1805,IF(B1805="","",IFERROR(INDEX(pr_des,MATCH(B1805,pr_code,0))&amp;"",""))))</f>
        <v/>
      </c>
      <c r="I1805" s="59" t="str">
        <f>IF(B1805="","",IFERROR(INDEX(pr_unit,MATCH(B1805,pr_code,0))&amp;"",""))</f>
        <v/>
      </c>
      <c r="J1805" s="65" t="str">
        <f>IF(COUNTA(A1805:G1805)=0,"",IF(E1805&lt;&gt;"",E1805,IF(B1805="","",IFERROR(IF(INDEX(pr_price,MATCH(B1805,pr_code,0))="","",INDEX(pr_price,MATCH(B1805,pr_code,0))),""))))</f>
        <v/>
      </c>
      <c r="K1805" s="71" t="str">
        <f>IF(COUNTA(A1805:G1805)=0,"",IF(G1805&lt;&gt;"",G1805,IF(B1805="","",IFERROR(IF(INDEX(pr_rate,MATCH(B1805,pr_code,0))="","",INDEX(pr_rate,MATCH(B1805,pr_code,0))),""))))</f>
        <v/>
      </c>
      <c r="L1805" s="65" t="str">
        <f>IF(COUNTA(A1805:G1805)=0,"",IF(AND(ISNUMBER(D1805),ISNUMBER(J1805)),ROUND(D1805*J1805*(1-N(F1805)),2),0))</f>
        <v/>
      </c>
      <c r="M1805" s="62" t="str">
        <f>IF(A1805="","",IFERROR(INDEX(fa_cname,MATCH(A1805,fa_num,0))&amp;"",""))</f>
        <v/>
      </c>
      <c r="N1805" s="59" t="str">
        <f>IF(COUNTA(A1805:G1805)=0,"",IF(A1805="","N° facture manquant",IF(ISNA(MATCH(A1805,fa_num,0)),"Facture inconnue",IF(AND(B1805&lt;&gt;"",ISNA(MATCH(B1805,pr_code,0))),"Article inconnu",IF(H1805="","Désignation manquante",IF(OR(NOT(ISNUMBER(D1805)),N(D1805)&lt;=0),"Quantité invalide",IF(J1805="","Prix manquant",IF(OR(NOT(ISNUMBER(J1805)),N(J1805)&lt;0),"Prix invalide",IF(OR(AND(F1805&lt;&gt;"",NOT(ISNUMBER(F1805))),N(F1805)&lt;0,N(F1805)&gt;1),"Remise invalide",IF(K1805="","Taux de TVA manquant",IF(NOT(ISNUMBER(K1805)),"Taux de TVA invalide",IF(COUNTIF(p_rates,K1805)=0,"Taux de TVA hors liste (Paramètres)",IF(N(O1805)&gt;25,"Au-delà de 25 lignes : non imprimée","OK")))))))))))))</f>
        <v/>
      </c>
      <c r="O1805" s="59" t="str">
        <f>IF(A1805="","",COUNTIF($A$6:A1805,A1805))</f>
        <v/>
      </c>
      <c r="P1805" s="62" t="str">
        <f>IF(A1805="","",A1805&amp;"|"&amp;O1805)</f>
        <v/>
      </c>
    </row>
    <row r="1806">
      <c r="A1806" s="60" t="n"/>
      <c r="B1806" s="63" t="n"/>
      <c r="C1806" s="63" t="n"/>
      <c r="D1806" s="67" t="n"/>
      <c r="E1806" s="68" t="n"/>
      <c r="F1806" s="69" t="n"/>
      <c r="G1806" s="70" t="n"/>
      <c r="H1806" s="62" t="str">
        <f>IF(COUNTA(A1806:G1806)=0,"",IF(C1806&lt;&gt;"",C1806,IF(B1806="","",IFERROR(INDEX(pr_des,MATCH(B1806,pr_code,0))&amp;"",""))))</f>
        <v/>
      </c>
      <c r="I1806" s="59" t="str">
        <f>IF(B1806="","",IFERROR(INDEX(pr_unit,MATCH(B1806,pr_code,0))&amp;"",""))</f>
        <v/>
      </c>
      <c r="J1806" s="65" t="str">
        <f>IF(COUNTA(A1806:G1806)=0,"",IF(E1806&lt;&gt;"",E1806,IF(B1806="","",IFERROR(IF(INDEX(pr_price,MATCH(B1806,pr_code,0))="","",INDEX(pr_price,MATCH(B1806,pr_code,0))),""))))</f>
        <v/>
      </c>
      <c r="K1806" s="71" t="str">
        <f>IF(COUNTA(A1806:G1806)=0,"",IF(G1806&lt;&gt;"",G1806,IF(B1806="","",IFERROR(IF(INDEX(pr_rate,MATCH(B1806,pr_code,0))="","",INDEX(pr_rate,MATCH(B1806,pr_code,0))),""))))</f>
        <v/>
      </c>
      <c r="L1806" s="65" t="str">
        <f>IF(COUNTA(A1806:G1806)=0,"",IF(AND(ISNUMBER(D1806),ISNUMBER(J1806)),ROUND(D1806*J1806*(1-N(F1806)),2),0))</f>
        <v/>
      </c>
      <c r="M1806" s="62" t="str">
        <f>IF(A1806="","",IFERROR(INDEX(fa_cname,MATCH(A1806,fa_num,0))&amp;"",""))</f>
        <v/>
      </c>
      <c r="N1806" s="59" t="str">
        <f>IF(COUNTA(A1806:G1806)=0,"",IF(A1806="","N° facture manquant",IF(ISNA(MATCH(A1806,fa_num,0)),"Facture inconnue",IF(AND(B1806&lt;&gt;"",ISNA(MATCH(B1806,pr_code,0))),"Article inconnu",IF(H1806="","Désignation manquante",IF(OR(NOT(ISNUMBER(D1806)),N(D1806)&lt;=0),"Quantité invalide",IF(J1806="","Prix manquant",IF(OR(NOT(ISNUMBER(J1806)),N(J1806)&lt;0),"Prix invalide",IF(OR(AND(F1806&lt;&gt;"",NOT(ISNUMBER(F1806))),N(F1806)&lt;0,N(F1806)&gt;1),"Remise invalide",IF(K1806="","Taux de TVA manquant",IF(NOT(ISNUMBER(K1806)),"Taux de TVA invalide",IF(COUNTIF(p_rates,K1806)=0,"Taux de TVA hors liste (Paramètres)",IF(N(O1806)&gt;25,"Au-delà de 25 lignes : non imprimée","OK")))))))))))))</f>
        <v/>
      </c>
      <c r="O1806" s="59" t="str">
        <f>IF(A1806="","",COUNTIF($A$6:A1806,A1806))</f>
        <v/>
      </c>
      <c r="P1806" s="62" t="str">
        <f>IF(A1806="","",A1806&amp;"|"&amp;O1806)</f>
        <v/>
      </c>
    </row>
    <row r="1807">
      <c r="A1807" s="60" t="n"/>
      <c r="B1807" s="63" t="n"/>
      <c r="C1807" s="63" t="n"/>
      <c r="D1807" s="67" t="n"/>
      <c r="E1807" s="68" t="n"/>
      <c r="F1807" s="69" t="n"/>
      <c r="G1807" s="70" t="n"/>
      <c r="H1807" s="62" t="str">
        <f>IF(COUNTA(A1807:G1807)=0,"",IF(C1807&lt;&gt;"",C1807,IF(B1807="","",IFERROR(INDEX(pr_des,MATCH(B1807,pr_code,0))&amp;"",""))))</f>
        <v/>
      </c>
      <c r="I1807" s="59" t="str">
        <f>IF(B1807="","",IFERROR(INDEX(pr_unit,MATCH(B1807,pr_code,0))&amp;"",""))</f>
        <v/>
      </c>
      <c r="J1807" s="65" t="str">
        <f>IF(COUNTA(A1807:G1807)=0,"",IF(E1807&lt;&gt;"",E1807,IF(B1807="","",IFERROR(IF(INDEX(pr_price,MATCH(B1807,pr_code,0))="","",INDEX(pr_price,MATCH(B1807,pr_code,0))),""))))</f>
        <v/>
      </c>
      <c r="K1807" s="71" t="str">
        <f>IF(COUNTA(A1807:G1807)=0,"",IF(G1807&lt;&gt;"",G1807,IF(B1807="","",IFERROR(IF(INDEX(pr_rate,MATCH(B1807,pr_code,0))="","",INDEX(pr_rate,MATCH(B1807,pr_code,0))),""))))</f>
        <v/>
      </c>
      <c r="L1807" s="65" t="str">
        <f>IF(COUNTA(A1807:G1807)=0,"",IF(AND(ISNUMBER(D1807),ISNUMBER(J1807)),ROUND(D1807*J1807*(1-N(F1807)),2),0))</f>
        <v/>
      </c>
      <c r="M1807" s="62" t="str">
        <f>IF(A1807="","",IFERROR(INDEX(fa_cname,MATCH(A1807,fa_num,0))&amp;"",""))</f>
        <v/>
      </c>
      <c r="N1807" s="59" t="str">
        <f>IF(COUNTA(A1807:G1807)=0,"",IF(A1807="","N° facture manquant",IF(ISNA(MATCH(A1807,fa_num,0)),"Facture inconnue",IF(AND(B1807&lt;&gt;"",ISNA(MATCH(B1807,pr_code,0))),"Article inconnu",IF(H1807="","Désignation manquante",IF(OR(NOT(ISNUMBER(D1807)),N(D1807)&lt;=0),"Quantité invalide",IF(J1807="","Prix manquant",IF(OR(NOT(ISNUMBER(J1807)),N(J1807)&lt;0),"Prix invalide",IF(OR(AND(F1807&lt;&gt;"",NOT(ISNUMBER(F1807))),N(F1807)&lt;0,N(F1807)&gt;1),"Remise invalide",IF(K1807="","Taux de TVA manquant",IF(NOT(ISNUMBER(K1807)),"Taux de TVA invalide",IF(COUNTIF(p_rates,K1807)=0,"Taux de TVA hors liste (Paramètres)",IF(N(O1807)&gt;25,"Au-delà de 25 lignes : non imprimée","OK")))))))))))))</f>
        <v/>
      </c>
      <c r="O1807" s="59" t="str">
        <f>IF(A1807="","",COUNTIF($A$6:A1807,A1807))</f>
        <v/>
      </c>
      <c r="P1807" s="62" t="str">
        <f>IF(A1807="","",A1807&amp;"|"&amp;O1807)</f>
        <v/>
      </c>
    </row>
    <row r="1808">
      <c r="A1808" s="60" t="n"/>
      <c r="B1808" s="63" t="n"/>
      <c r="C1808" s="63" t="n"/>
      <c r="D1808" s="67" t="n"/>
      <c r="E1808" s="68" t="n"/>
      <c r="F1808" s="69" t="n"/>
      <c r="G1808" s="70" t="n"/>
      <c r="H1808" s="62" t="str">
        <f>IF(COUNTA(A1808:G1808)=0,"",IF(C1808&lt;&gt;"",C1808,IF(B1808="","",IFERROR(INDEX(pr_des,MATCH(B1808,pr_code,0))&amp;"",""))))</f>
        <v/>
      </c>
      <c r="I1808" s="59" t="str">
        <f>IF(B1808="","",IFERROR(INDEX(pr_unit,MATCH(B1808,pr_code,0))&amp;"",""))</f>
        <v/>
      </c>
      <c r="J1808" s="65" t="str">
        <f>IF(COUNTA(A1808:G1808)=0,"",IF(E1808&lt;&gt;"",E1808,IF(B1808="","",IFERROR(IF(INDEX(pr_price,MATCH(B1808,pr_code,0))="","",INDEX(pr_price,MATCH(B1808,pr_code,0))),""))))</f>
        <v/>
      </c>
      <c r="K1808" s="71" t="str">
        <f>IF(COUNTA(A1808:G1808)=0,"",IF(G1808&lt;&gt;"",G1808,IF(B1808="","",IFERROR(IF(INDEX(pr_rate,MATCH(B1808,pr_code,0))="","",INDEX(pr_rate,MATCH(B1808,pr_code,0))),""))))</f>
        <v/>
      </c>
      <c r="L1808" s="65" t="str">
        <f>IF(COUNTA(A1808:G1808)=0,"",IF(AND(ISNUMBER(D1808),ISNUMBER(J1808)),ROUND(D1808*J1808*(1-N(F1808)),2),0))</f>
        <v/>
      </c>
      <c r="M1808" s="62" t="str">
        <f>IF(A1808="","",IFERROR(INDEX(fa_cname,MATCH(A1808,fa_num,0))&amp;"",""))</f>
        <v/>
      </c>
      <c r="N1808" s="59" t="str">
        <f>IF(COUNTA(A1808:G1808)=0,"",IF(A1808="","N° facture manquant",IF(ISNA(MATCH(A1808,fa_num,0)),"Facture inconnue",IF(AND(B1808&lt;&gt;"",ISNA(MATCH(B1808,pr_code,0))),"Article inconnu",IF(H1808="","Désignation manquante",IF(OR(NOT(ISNUMBER(D1808)),N(D1808)&lt;=0),"Quantité invalide",IF(J1808="","Prix manquant",IF(OR(NOT(ISNUMBER(J1808)),N(J1808)&lt;0),"Prix invalide",IF(OR(AND(F1808&lt;&gt;"",NOT(ISNUMBER(F1808))),N(F1808)&lt;0,N(F1808)&gt;1),"Remise invalide",IF(K1808="","Taux de TVA manquant",IF(NOT(ISNUMBER(K1808)),"Taux de TVA invalide",IF(COUNTIF(p_rates,K1808)=0,"Taux de TVA hors liste (Paramètres)",IF(N(O1808)&gt;25,"Au-delà de 25 lignes : non imprimée","OK")))))))))))))</f>
        <v/>
      </c>
      <c r="O1808" s="59" t="str">
        <f>IF(A1808="","",COUNTIF($A$6:A1808,A1808))</f>
        <v/>
      </c>
      <c r="P1808" s="62" t="str">
        <f>IF(A1808="","",A1808&amp;"|"&amp;O1808)</f>
        <v/>
      </c>
    </row>
    <row r="1809">
      <c r="A1809" s="60" t="n"/>
      <c r="B1809" s="63" t="n"/>
      <c r="C1809" s="63" t="n"/>
      <c r="D1809" s="67" t="n"/>
      <c r="E1809" s="68" t="n"/>
      <c r="F1809" s="69" t="n"/>
      <c r="G1809" s="70" t="n"/>
      <c r="H1809" s="62" t="str">
        <f>IF(COUNTA(A1809:G1809)=0,"",IF(C1809&lt;&gt;"",C1809,IF(B1809="","",IFERROR(INDEX(pr_des,MATCH(B1809,pr_code,0))&amp;"",""))))</f>
        <v/>
      </c>
      <c r="I1809" s="59" t="str">
        <f>IF(B1809="","",IFERROR(INDEX(pr_unit,MATCH(B1809,pr_code,0))&amp;"",""))</f>
        <v/>
      </c>
      <c r="J1809" s="65" t="str">
        <f>IF(COUNTA(A1809:G1809)=0,"",IF(E1809&lt;&gt;"",E1809,IF(B1809="","",IFERROR(IF(INDEX(pr_price,MATCH(B1809,pr_code,0))="","",INDEX(pr_price,MATCH(B1809,pr_code,0))),""))))</f>
        <v/>
      </c>
      <c r="K1809" s="71" t="str">
        <f>IF(COUNTA(A1809:G1809)=0,"",IF(G1809&lt;&gt;"",G1809,IF(B1809="","",IFERROR(IF(INDEX(pr_rate,MATCH(B1809,pr_code,0))="","",INDEX(pr_rate,MATCH(B1809,pr_code,0))),""))))</f>
        <v/>
      </c>
      <c r="L1809" s="65" t="str">
        <f>IF(COUNTA(A1809:G1809)=0,"",IF(AND(ISNUMBER(D1809),ISNUMBER(J1809)),ROUND(D1809*J1809*(1-N(F1809)),2),0))</f>
        <v/>
      </c>
      <c r="M1809" s="62" t="str">
        <f>IF(A1809="","",IFERROR(INDEX(fa_cname,MATCH(A1809,fa_num,0))&amp;"",""))</f>
        <v/>
      </c>
      <c r="N1809" s="59" t="str">
        <f>IF(COUNTA(A1809:G1809)=0,"",IF(A1809="","N° facture manquant",IF(ISNA(MATCH(A1809,fa_num,0)),"Facture inconnue",IF(AND(B1809&lt;&gt;"",ISNA(MATCH(B1809,pr_code,0))),"Article inconnu",IF(H1809="","Désignation manquante",IF(OR(NOT(ISNUMBER(D1809)),N(D1809)&lt;=0),"Quantité invalide",IF(J1809="","Prix manquant",IF(OR(NOT(ISNUMBER(J1809)),N(J1809)&lt;0),"Prix invalide",IF(OR(AND(F1809&lt;&gt;"",NOT(ISNUMBER(F1809))),N(F1809)&lt;0,N(F1809)&gt;1),"Remise invalide",IF(K1809="","Taux de TVA manquant",IF(NOT(ISNUMBER(K1809)),"Taux de TVA invalide",IF(COUNTIF(p_rates,K1809)=0,"Taux de TVA hors liste (Paramètres)",IF(N(O1809)&gt;25,"Au-delà de 25 lignes : non imprimée","OK")))))))))))))</f>
        <v/>
      </c>
      <c r="O1809" s="59" t="str">
        <f>IF(A1809="","",COUNTIF($A$6:A1809,A1809))</f>
        <v/>
      </c>
      <c r="P1809" s="62" t="str">
        <f>IF(A1809="","",A1809&amp;"|"&amp;O1809)</f>
        <v/>
      </c>
    </row>
    <row r="1810">
      <c r="A1810" s="60" t="n"/>
      <c r="B1810" s="63" t="n"/>
      <c r="C1810" s="63" t="n"/>
      <c r="D1810" s="67" t="n"/>
      <c r="E1810" s="68" t="n"/>
      <c r="F1810" s="69" t="n"/>
      <c r="G1810" s="70" t="n"/>
      <c r="H1810" s="62" t="str">
        <f>IF(COUNTA(A1810:G1810)=0,"",IF(C1810&lt;&gt;"",C1810,IF(B1810="","",IFERROR(INDEX(pr_des,MATCH(B1810,pr_code,0))&amp;"",""))))</f>
        <v/>
      </c>
      <c r="I1810" s="59" t="str">
        <f>IF(B1810="","",IFERROR(INDEX(pr_unit,MATCH(B1810,pr_code,0))&amp;"",""))</f>
        <v/>
      </c>
      <c r="J1810" s="65" t="str">
        <f>IF(COUNTA(A1810:G1810)=0,"",IF(E1810&lt;&gt;"",E1810,IF(B1810="","",IFERROR(IF(INDEX(pr_price,MATCH(B1810,pr_code,0))="","",INDEX(pr_price,MATCH(B1810,pr_code,0))),""))))</f>
        <v/>
      </c>
      <c r="K1810" s="71" t="str">
        <f>IF(COUNTA(A1810:G1810)=0,"",IF(G1810&lt;&gt;"",G1810,IF(B1810="","",IFERROR(IF(INDEX(pr_rate,MATCH(B1810,pr_code,0))="","",INDEX(pr_rate,MATCH(B1810,pr_code,0))),""))))</f>
        <v/>
      </c>
      <c r="L1810" s="65" t="str">
        <f>IF(COUNTA(A1810:G1810)=0,"",IF(AND(ISNUMBER(D1810),ISNUMBER(J1810)),ROUND(D1810*J1810*(1-N(F1810)),2),0))</f>
        <v/>
      </c>
      <c r="M1810" s="62" t="str">
        <f>IF(A1810="","",IFERROR(INDEX(fa_cname,MATCH(A1810,fa_num,0))&amp;"",""))</f>
        <v/>
      </c>
      <c r="N1810" s="59" t="str">
        <f>IF(COUNTA(A1810:G1810)=0,"",IF(A1810="","N° facture manquant",IF(ISNA(MATCH(A1810,fa_num,0)),"Facture inconnue",IF(AND(B1810&lt;&gt;"",ISNA(MATCH(B1810,pr_code,0))),"Article inconnu",IF(H1810="","Désignation manquante",IF(OR(NOT(ISNUMBER(D1810)),N(D1810)&lt;=0),"Quantité invalide",IF(J1810="","Prix manquant",IF(OR(NOT(ISNUMBER(J1810)),N(J1810)&lt;0),"Prix invalide",IF(OR(AND(F1810&lt;&gt;"",NOT(ISNUMBER(F1810))),N(F1810)&lt;0,N(F1810)&gt;1),"Remise invalide",IF(K1810="","Taux de TVA manquant",IF(NOT(ISNUMBER(K1810)),"Taux de TVA invalide",IF(COUNTIF(p_rates,K1810)=0,"Taux de TVA hors liste (Paramètres)",IF(N(O1810)&gt;25,"Au-delà de 25 lignes : non imprimée","OK")))))))))))))</f>
        <v/>
      </c>
      <c r="O1810" s="59" t="str">
        <f>IF(A1810="","",COUNTIF($A$6:A1810,A1810))</f>
        <v/>
      </c>
      <c r="P1810" s="62" t="str">
        <f>IF(A1810="","",A1810&amp;"|"&amp;O1810)</f>
        <v/>
      </c>
    </row>
    <row r="1811">
      <c r="A1811" s="60" t="n"/>
      <c r="B1811" s="63" t="n"/>
      <c r="C1811" s="63" t="n"/>
      <c r="D1811" s="67" t="n"/>
      <c r="E1811" s="68" t="n"/>
      <c r="F1811" s="69" t="n"/>
      <c r="G1811" s="70" t="n"/>
      <c r="H1811" s="62" t="str">
        <f>IF(COUNTA(A1811:G1811)=0,"",IF(C1811&lt;&gt;"",C1811,IF(B1811="","",IFERROR(INDEX(pr_des,MATCH(B1811,pr_code,0))&amp;"",""))))</f>
        <v/>
      </c>
      <c r="I1811" s="59" t="str">
        <f>IF(B1811="","",IFERROR(INDEX(pr_unit,MATCH(B1811,pr_code,0))&amp;"",""))</f>
        <v/>
      </c>
      <c r="J1811" s="65" t="str">
        <f>IF(COUNTA(A1811:G1811)=0,"",IF(E1811&lt;&gt;"",E1811,IF(B1811="","",IFERROR(IF(INDEX(pr_price,MATCH(B1811,pr_code,0))="","",INDEX(pr_price,MATCH(B1811,pr_code,0))),""))))</f>
        <v/>
      </c>
      <c r="K1811" s="71" t="str">
        <f>IF(COUNTA(A1811:G1811)=0,"",IF(G1811&lt;&gt;"",G1811,IF(B1811="","",IFERROR(IF(INDEX(pr_rate,MATCH(B1811,pr_code,0))="","",INDEX(pr_rate,MATCH(B1811,pr_code,0))),""))))</f>
        <v/>
      </c>
      <c r="L1811" s="65" t="str">
        <f>IF(COUNTA(A1811:G1811)=0,"",IF(AND(ISNUMBER(D1811),ISNUMBER(J1811)),ROUND(D1811*J1811*(1-N(F1811)),2),0))</f>
        <v/>
      </c>
      <c r="M1811" s="62" t="str">
        <f>IF(A1811="","",IFERROR(INDEX(fa_cname,MATCH(A1811,fa_num,0))&amp;"",""))</f>
        <v/>
      </c>
      <c r="N1811" s="59" t="str">
        <f>IF(COUNTA(A1811:G1811)=0,"",IF(A1811="","N° facture manquant",IF(ISNA(MATCH(A1811,fa_num,0)),"Facture inconnue",IF(AND(B1811&lt;&gt;"",ISNA(MATCH(B1811,pr_code,0))),"Article inconnu",IF(H1811="","Désignation manquante",IF(OR(NOT(ISNUMBER(D1811)),N(D1811)&lt;=0),"Quantité invalide",IF(J1811="","Prix manquant",IF(OR(NOT(ISNUMBER(J1811)),N(J1811)&lt;0),"Prix invalide",IF(OR(AND(F1811&lt;&gt;"",NOT(ISNUMBER(F1811))),N(F1811)&lt;0,N(F1811)&gt;1),"Remise invalide",IF(K1811="","Taux de TVA manquant",IF(NOT(ISNUMBER(K1811)),"Taux de TVA invalide",IF(COUNTIF(p_rates,K1811)=0,"Taux de TVA hors liste (Paramètres)",IF(N(O1811)&gt;25,"Au-delà de 25 lignes : non imprimée","OK")))))))))))))</f>
        <v/>
      </c>
      <c r="O1811" s="59" t="str">
        <f>IF(A1811="","",COUNTIF($A$6:A1811,A1811))</f>
        <v/>
      </c>
      <c r="P1811" s="62" t="str">
        <f>IF(A1811="","",A1811&amp;"|"&amp;O1811)</f>
        <v/>
      </c>
    </row>
    <row r="1812">
      <c r="A1812" s="60" t="n"/>
      <c r="B1812" s="63" t="n"/>
      <c r="C1812" s="63" t="n"/>
      <c r="D1812" s="67" t="n"/>
      <c r="E1812" s="68" t="n"/>
      <c r="F1812" s="69" t="n"/>
      <c r="G1812" s="70" t="n"/>
      <c r="H1812" s="62" t="str">
        <f>IF(COUNTA(A1812:G1812)=0,"",IF(C1812&lt;&gt;"",C1812,IF(B1812="","",IFERROR(INDEX(pr_des,MATCH(B1812,pr_code,0))&amp;"",""))))</f>
        <v/>
      </c>
      <c r="I1812" s="59" t="str">
        <f>IF(B1812="","",IFERROR(INDEX(pr_unit,MATCH(B1812,pr_code,0))&amp;"",""))</f>
        <v/>
      </c>
      <c r="J1812" s="65" t="str">
        <f>IF(COUNTA(A1812:G1812)=0,"",IF(E1812&lt;&gt;"",E1812,IF(B1812="","",IFERROR(IF(INDEX(pr_price,MATCH(B1812,pr_code,0))="","",INDEX(pr_price,MATCH(B1812,pr_code,0))),""))))</f>
        <v/>
      </c>
      <c r="K1812" s="71" t="str">
        <f>IF(COUNTA(A1812:G1812)=0,"",IF(G1812&lt;&gt;"",G1812,IF(B1812="","",IFERROR(IF(INDEX(pr_rate,MATCH(B1812,pr_code,0))="","",INDEX(pr_rate,MATCH(B1812,pr_code,0))),""))))</f>
        <v/>
      </c>
      <c r="L1812" s="65" t="str">
        <f>IF(COUNTA(A1812:G1812)=0,"",IF(AND(ISNUMBER(D1812),ISNUMBER(J1812)),ROUND(D1812*J1812*(1-N(F1812)),2),0))</f>
        <v/>
      </c>
      <c r="M1812" s="62" t="str">
        <f>IF(A1812="","",IFERROR(INDEX(fa_cname,MATCH(A1812,fa_num,0))&amp;"",""))</f>
        <v/>
      </c>
      <c r="N1812" s="59" t="str">
        <f>IF(COUNTA(A1812:G1812)=0,"",IF(A1812="","N° facture manquant",IF(ISNA(MATCH(A1812,fa_num,0)),"Facture inconnue",IF(AND(B1812&lt;&gt;"",ISNA(MATCH(B1812,pr_code,0))),"Article inconnu",IF(H1812="","Désignation manquante",IF(OR(NOT(ISNUMBER(D1812)),N(D1812)&lt;=0),"Quantité invalide",IF(J1812="","Prix manquant",IF(OR(NOT(ISNUMBER(J1812)),N(J1812)&lt;0),"Prix invalide",IF(OR(AND(F1812&lt;&gt;"",NOT(ISNUMBER(F1812))),N(F1812)&lt;0,N(F1812)&gt;1),"Remise invalide",IF(K1812="","Taux de TVA manquant",IF(NOT(ISNUMBER(K1812)),"Taux de TVA invalide",IF(COUNTIF(p_rates,K1812)=0,"Taux de TVA hors liste (Paramètres)",IF(N(O1812)&gt;25,"Au-delà de 25 lignes : non imprimée","OK")))))))))))))</f>
        <v/>
      </c>
      <c r="O1812" s="59" t="str">
        <f>IF(A1812="","",COUNTIF($A$6:A1812,A1812))</f>
        <v/>
      </c>
      <c r="P1812" s="62" t="str">
        <f>IF(A1812="","",A1812&amp;"|"&amp;O1812)</f>
        <v/>
      </c>
    </row>
    <row r="1813">
      <c r="A1813" s="60" t="n"/>
      <c r="B1813" s="63" t="n"/>
      <c r="C1813" s="63" t="n"/>
      <c r="D1813" s="67" t="n"/>
      <c r="E1813" s="68" t="n"/>
      <c r="F1813" s="69" t="n"/>
      <c r="G1813" s="70" t="n"/>
      <c r="H1813" s="62" t="str">
        <f>IF(COUNTA(A1813:G1813)=0,"",IF(C1813&lt;&gt;"",C1813,IF(B1813="","",IFERROR(INDEX(pr_des,MATCH(B1813,pr_code,0))&amp;"",""))))</f>
        <v/>
      </c>
      <c r="I1813" s="59" t="str">
        <f>IF(B1813="","",IFERROR(INDEX(pr_unit,MATCH(B1813,pr_code,0))&amp;"",""))</f>
        <v/>
      </c>
      <c r="J1813" s="65" t="str">
        <f>IF(COUNTA(A1813:G1813)=0,"",IF(E1813&lt;&gt;"",E1813,IF(B1813="","",IFERROR(IF(INDEX(pr_price,MATCH(B1813,pr_code,0))="","",INDEX(pr_price,MATCH(B1813,pr_code,0))),""))))</f>
        <v/>
      </c>
      <c r="K1813" s="71" t="str">
        <f>IF(COUNTA(A1813:G1813)=0,"",IF(G1813&lt;&gt;"",G1813,IF(B1813="","",IFERROR(IF(INDEX(pr_rate,MATCH(B1813,pr_code,0))="","",INDEX(pr_rate,MATCH(B1813,pr_code,0))),""))))</f>
        <v/>
      </c>
      <c r="L1813" s="65" t="str">
        <f>IF(COUNTA(A1813:G1813)=0,"",IF(AND(ISNUMBER(D1813),ISNUMBER(J1813)),ROUND(D1813*J1813*(1-N(F1813)),2),0))</f>
        <v/>
      </c>
      <c r="M1813" s="62" t="str">
        <f>IF(A1813="","",IFERROR(INDEX(fa_cname,MATCH(A1813,fa_num,0))&amp;"",""))</f>
        <v/>
      </c>
      <c r="N1813" s="59" t="str">
        <f>IF(COUNTA(A1813:G1813)=0,"",IF(A1813="","N° facture manquant",IF(ISNA(MATCH(A1813,fa_num,0)),"Facture inconnue",IF(AND(B1813&lt;&gt;"",ISNA(MATCH(B1813,pr_code,0))),"Article inconnu",IF(H1813="","Désignation manquante",IF(OR(NOT(ISNUMBER(D1813)),N(D1813)&lt;=0),"Quantité invalide",IF(J1813="","Prix manquant",IF(OR(NOT(ISNUMBER(J1813)),N(J1813)&lt;0),"Prix invalide",IF(OR(AND(F1813&lt;&gt;"",NOT(ISNUMBER(F1813))),N(F1813)&lt;0,N(F1813)&gt;1),"Remise invalide",IF(K1813="","Taux de TVA manquant",IF(NOT(ISNUMBER(K1813)),"Taux de TVA invalide",IF(COUNTIF(p_rates,K1813)=0,"Taux de TVA hors liste (Paramètres)",IF(N(O1813)&gt;25,"Au-delà de 25 lignes : non imprimée","OK")))))))))))))</f>
        <v/>
      </c>
      <c r="O1813" s="59" t="str">
        <f>IF(A1813="","",COUNTIF($A$6:A1813,A1813))</f>
        <v/>
      </c>
      <c r="P1813" s="62" t="str">
        <f>IF(A1813="","",A1813&amp;"|"&amp;O1813)</f>
        <v/>
      </c>
    </row>
    <row r="1814">
      <c r="A1814" s="60" t="n"/>
      <c r="B1814" s="63" t="n"/>
      <c r="C1814" s="63" t="n"/>
      <c r="D1814" s="67" t="n"/>
      <c r="E1814" s="68" t="n"/>
      <c r="F1814" s="69" t="n"/>
      <c r="G1814" s="70" t="n"/>
      <c r="H1814" s="62" t="str">
        <f>IF(COUNTA(A1814:G1814)=0,"",IF(C1814&lt;&gt;"",C1814,IF(B1814="","",IFERROR(INDEX(pr_des,MATCH(B1814,pr_code,0))&amp;"",""))))</f>
        <v/>
      </c>
      <c r="I1814" s="59" t="str">
        <f>IF(B1814="","",IFERROR(INDEX(pr_unit,MATCH(B1814,pr_code,0))&amp;"",""))</f>
        <v/>
      </c>
      <c r="J1814" s="65" t="str">
        <f>IF(COUNTA(A1814:G1814)=0,"",IF(E1814&lt;&gt;"",E1814,IF(B1814="","",IFERROR(IF(INDEX(pr_price,MATCH(B1814,pr_code,0))="","",INDEX(pr_price,MATCH(B1814,pr_code,0))),""))))</f>
        <v/>
      </c>
      <c r="K1814" s="71" t="str">
        <f>IF(COUNTA(A1814:G1814)=0,"",IF(G1814&lt;&gt;"",G1814,IF(B1814="","",IFERROR(IF(INDEX(pr_rate,MATCH(B1814,pr_code,0))="","",INDEX(pr_rate,MATCH(B1814,pr_code,0))),""))))</f>
        <v/>
      </c>
      <c r="L1814" s="65" t="str">
        <f>IF(COUNTA(A1814:G1814)=0,"",IF(AND(ISNUMBER(D1814),ISNUMBER(J1814)),ROUND(D1814*J1814*(1-N(F1814)),2),0))</f>
        <v/>
      </c>
      <c r="M1814" s="62" t="str">
        <f>IF(A1814="","",IFERROR(INDEX(fa_cname,MATCH(A1814,fa_num,0))&amp;"",""))</f>
        <v/>
      </c>
      <c r="N1814" s="59" t="str">
        <f>IF(COUNTA(A1814:G1814)=0,"",IF(A1814="","N° facture manquant",IF(ISNA(MATCH(A1814,fa_num,0)),"Facture inconnue",IF(AND(B1814&lt;&gt;"",ISNA(MATCH(B1814,pr_code,0))),"Article inconnu",IF(H1814="","Désignation manquante",IF(OR(NOT(ISNUMBER(D1814)),N(D1814)&lt;=0),"Quantité invalide",IF(J1814="","Prix manquant",IF(OR(NOT(ISNUMBER(J1814)),N(J1814)&lt;0),"Prix invalide",IF(OR(AND(F1814&lt;&gt;"",NOT(ISNUMBER(F1814))),N(F1814)&lt;0,N(F1814)&gt;1),"Remise invalide",IF(K1814="","Taux de TVA manquant",IF(NOT(ISNUMBER(K1814)),"Taux de TVA invalide",IF(COUNTIF(p_rates,K1814)=0,"Taux de TVA hors liste (Paramètres)",IF(N(O1814)&gt;25,"Au-delà de 25 lignes : non imprimée","OK")))))))))))))</f>
        <v/>
      </c>
      <c r="O1814" s="59" t="str">
        <f>IF(A1814="","",COUNTIF($A$6:A1814,A1814))</f>
        <v/>
      </c>
      <c r="P1814" s="62" t="str">
        <f>IF(A1814="","",A1814&amp;"|"&amp;O1814)</f>
        <v/>
      </c>
    </row>
    <row r="1815">
      <c r="A1815" s="60" t="n"/>
      <c r="B1815" s="63" t="n"/>
      <c r="C1815" s="63" t="n"/>
      <c r="D1815" s="67" t="n"/>
      <c r="E1815" s="68" t="n"/>
      <c r="F1815" s="69" t="n"/>
      <c r="G1815" s="70" t="n"/>
      <c r="H1815" s="62" t="str">
        <f>IF(COUNTA(A1815:G1815)=0,"",IF(C1815&lt;&gt;"",C1815,IF(B1815="","",IFERROR(INDEX(pr_des,MATCH(B1815,pr_code,0))&amp;"",""))))</f>
        <v/>
      </c>
      <c r="I1815" s="59" t="str">
        <f>IF(B1815="","",IFERROR(INDEX(pr_unit,MATCH(B1815,pr_code,0))&amp;"",""))</f>
        <v/>
      </c>
      <c r="J1815" s="65" t="str">
        <f>IF(COUNTA(A1815:G1815)=0,"",IF(E1815&lt;&gt;"",E1815,IF(B1815="","",IFERROR(IF(INDEX(pr_price,MATCH(B1815,pr_code,0))="","",INDEX(pr_price,MATCH(B1815,pr_code,0))),""))))</f>
        <v/>
      </c>
      <c r="K1815" s="71" t="str">
        <f>IF(COUNTA(A1815:G1815)=0,"",IF(G1815&lt;&gt;"",G1815,IF(B1815="","",IFERROR(IF(INDEX(pr_rate,MATCH(B1815,pr_code,0))="","",INDEX(pr_rate,MATCH(B1815,pr_code,0))),""))))</f>
        <v/>
      </c>
      <c r="L1815" s="65" t="str">
        <f>IF(COUNTA(A1815:G1815)=0,"",IF(AND(ISNUMBER(D1815),ISNUMBER(J1815)),ROUND(D1815*J1815*(1-N(F1815)),2),0))</f>
        <v/>
      </c>
      <c r="M1815" s="62" t="str">
        <f>IF(A1815="","",IFERROR(INDEX(fa_cname,MATCH(A1815,fa_num,0))&amp;"",""))</f>
        <v/>
      </c>
      <c r="N1815" s="59" t="str">
        <f>IF(COUNTA(A1815:G1815)=0,"",IF(A1815="","N° facture manquant",IF(ISNA(MATCH(A1815,fa_num,0)),"Facture inconnue",IF(AND(B1815&lt;&gt;"",ISNA(MATCH(B1815,pr_code,0))),"Article inconnu",IF(H1815="","Désignation manquante",IF(OR(NOT(ISNUMBER(D1815)),N(D1815)&lt;=0),"Quantité invalide",IF(J1815="","Prix manquant",IF(OR(NOT(ISNUMBER(J1815)),N(J1815)&lt;0),"Prix invalide",IF(OR(AND(F1815&lt;&gt;"",NOT(ISNUMBER(F1815))),N(F1815)&lt;0,N(F1815)&gt;1),"Remise invalide",IF(K1815="","Taux de TVA manquant",IF(NOT(ISNUMBER(K1815)),"Taux de TVA invalide",IF(COUNTIF(p_rates,K1815)=0,"Taux de TVA hors liste (Paramètres)",IF(N(O1815)&gt;25,"Au-delà de 25 lignes : non imprimée","OK")))))))))))))</f>
        <v/>
      </c>
      <c r="O1815" s="59" t="str">
        <f>IF(A1815="","",COUNTIF($A$6:A1815,A1815))</f>
        <v/>
      </c>
      <c r="P1815" s="62" t="str">
        <f>IF(A1815="","",A1815&amp;"|"&amp;O1815)</f>
        <v/>
      </c>
    </row>
    <row r="1816">
      <c r="A1816" s="60" t="n"/>
      <c r="B1816" s="63" t="n"/>
      <c r="C1816" s="63" t="n"/>
      <c r="D1816" s="67" t="n"/>
      <c r="E1816" s="68" t="n"/>
      <c r="F1816" s="69" t="n"/>
      <c r="G1816" s="70" t="n"/>
      <c r="H1816" s="62" t="str">
        <f>IF(COUNTA(A1816:G1816)=0,"",IF(C1816&lt;&gt;"",C1816,IF(B1816="","",IFERROR(INDEX(pr_des,MATCH(B1816,pr_code,0))&amp;"",""))))</f>
        <v/>
      </c>
      <c r="I1816" s="59" t="str">
        <f>IF(B1816="","",IFERROR(INDEX(pr_unit,MATCH(B1816,pr_code,0))&amp;"",""))</f>
        <v/>
      </c>
      <c r="J1816" s="65" t="str">
        <f>IF(COUNTA(A1816:G1816)=0,"",IF(E1816&lt;&gt;"",E1816,IF(B1816="","",IFERROR(IF(INDEX(pr_price,MATCH(B1816,pr_code,0))="","",INDEX(pr_price,MATCH(B1816,pr_code,0))),""))))</f>
        <v/>
      </c>
      <c r="K1816" s="71" t="str">
        <f>IF(COUNTA(A1816:G1816)=0,"",IF(G1816&lt;&gt;"",G1816,IF(B1816="","",IFERROR(IF(INDEX(pr_rate,MATCH(B1816,pr_code,0))="","",INDEX(pr_rate,MATCH(B1816,pr_code,0))),""))))</f>
        <v/>
      </c>
      <c r="L1816" s="65" t="str">
        <f>IF(COUNTA(A1816:G1816)=0,"",IF(AND(ISNUMBER(D1816),ISNUMBER(J1816)),ROUND(D1816*J1816*(1-N(F1816)),2),0))</f>
        <v/>
      </c>
      <c r="M1816" s="62" t="str">
        <f>IF(A1816="","",IFERROR(INDEX(fa_cname,MATCH(A1816,fa_num,0))&amp;"",""))</f>
        <v/>
      </c>
      <c r="N1816" s="59" t="str">
        <f>IF(COUNTA(A1816:G1816)=0,"",IF(A1816="","N° facture manquant",IF(ISNA(MATCH(A1816,fa_num,0)),"Facture inconnue",IF(AND(B1816&lt;&gt;"",ISNA(MATCH(B1816,pr_code,0))),"Article inconnu",IF(H1816="","Désignation manquante",IF(OR(NOT(ISNUMBER(D1816)),N(D1816)&lt;=0),"Quantité invalide",IF(J1816="","Prix manquant",IF(OR(NOT(ISNUMBER(J1816)),N(J1816)&lt;0),"Prix invalide",IF(OR(AND(F1816&lt;&gt;"",NOT(ISNUMBER(F1816))),N(F1816)&lt;0,N(F1816)&gt;1),"Remise invalide",IF(K1816="","Taux de TVA manquant",IF(NOT(ISNUMBER(K1816)),"Taux de TVA invalide",IF(COUNTIF(p_rates,K1816)=0,"Taux de TVA hors liste (Paramètres)",IF(N(O1816)&gt;25,"Au-delà de 25 lignes : non imprimée","OK")))))))))))))</f>
        <v/>
      </c>
      <c r="O1816" s="59" t="str">
        <f>IF(A1816="","",COUNTIF($A$6:A1816,A1816))</f>
        <v/>
      </c>
      <c r="P1816" s="62" t="str">
        <f>IF(A1816="","",A1816&amp;"|"&amp;O1816)</f>
        <v/>
      </c>
    </row>
    <row r="1817">
      <c r="A1817" s="60" t="n"/>
      <c r="B1817" s="63" t="n"/>
      <c r="C1817" s="63" t="n"/>
      <c r="D1817" s="67" t="n"/>
      <c r="E1817" s="68" t="n"/>
      <c r="F1817" s="69" t="n"/>
      <c r="G1817" s="70" t="n"/>
      <c r="H1817" s="62" t="str">
        <f>IF(COUNTA(A1817:G1817)=0,"",IF(C1817&lt;&gt;"",C1817,IF(B1817="","",IFERROR(INDEX(pr_des,MATCH(B1817,pr_code,0))&amp;"",""))))</f>
        <v/>
      </c>
      <c r="I1817" s="59" t="str">
        <f>IF(B1817="","",IFERROR(INDEX(pr_unit,MATCH(B1817,pr_code,0))&amp;"",""))</f>
        <v/>
      </c>
      <c r="J1817" s="65" t="str">
        <f>IF(COUNTA(A1817:G1817)=0,"",IF(E1817&lt;&gt;"",E1817,IF(B1817="","",IFERROR(IF(INDEX(pr_price,MATCH(B1817,pr_code,0))="","",INDEX(pr_price,MATCH(B1817,pr_code,0))),""))))</f>
        <v/>
      </c>
      <c r="K1817" s="71" t="str">
        <f>IF(COUNTA(A1817:G1817)=0,"",IF(G1817&lt;&gt;"",G1817,IF(B1817="","",IFERROR(IF(INDEX(pr_rate,MATCH(B1817,pr_code,0))="","",INDEX(pr_rate,MATCH(B1817,pr_code,0))),""))))</f>
        <v/>
      </c>
      <c r="L1817" s="65" t="str">
        <f>IF(COUNTA(A1817:G1817)=0,"",IF(AND(ISNUMBER(D1817),ISNUMBER(J1817)),ROUND(D1817*J1817*(1-N(F1817)),2),0))</f>
        <v/>
      </c>
      <c r="M1817" s="62" t="str">
        <f>IF(A1817="","",IFERROR(INDEX(fa_cname,MATCH(A1817,fa_num,0))&amp;"",""))</f>
        <v/>
      </c>
      <c r="N1817" s="59" t="str">
        <f>IF(COUNTA(A1817:G1817)=0,"",IF(A1817="","N° facture manquant",IF(ISNA(MATCH(A1817,fa_num,0)),"Facture inconnue",IF(AND(B1817&lt;&gt;"",ISNA(MATCH(B1817,pr_code,0))),"Article inconnu",IF(H1817="","Désignation manquante",IF(OR(NOT(ISNUMBER(D1817)),N(D1817)&lt;=0),"Quantité invalide",IF(J1817="","Prix manquant",IF(OR(NOT(ISNUMBER(J1817)),N(J1817)&lt;0),"Prix invalide",IF(OR(AND(F1817&lt;&gt;"",NOT(ISNUMBER(F1817))),N(F1817)&lt;0,N(F1817)&gt;1),"Remise invalide",IF(K1817="","Taux de TVA manquant",IF(NOT(ISNUMBER(K1817)),"Taux de TVA invalide",IF(COUNTIF(p_rates,K1817)=0,"Taux de TVA hors liste (Paramètres)",IF(N(O1817)&gt;25,"Au-delà de 25 lignes : non imprimée","OK")))))))))))))</f>
        <v/>
      </c>
      <c r="O1817" s="59" t="str">
        <f>IF(A1817="","",COUNTIF($A$6:A1817,A1817))</f>
        <v/>
      </c>
      <c r="P1817" s="62" t="str">
        <f>IF(A1817="","",A1817&amp;"|"&amp;O1817)</f>
        <v/>
      </c>
    </row>
    <row r="1818">
      <c r="A1818" s="60" t="n"/>
      <c r="B1818" s="63" t="n"/>
      <c r="C1818" s="63" t="n"/>
      <c r="D1818" s="67" t="n"/>
      <c r="E1818" s="68" t="n"/>
      <c r="F1818" s="69" t="n"/>
      <c r="G1818" s="70" t="n"/>
      <c r="H1818" s="62" t="str">
        <f>IF(COUNTA(A1818:G1818)=0,"",IF(C1818&lt;&gt;"",C1818,IF(B1818="","",IFERROR(INDEX(pr_des,MATCH(B1818,pr_code,0))&amp;"",""))))</f>
        <v/>
      </c>
      <c r="I1818" s="59" t="str">
        <f>IF(B1818="","",IFERROR(INDEX(pr_unit,MATCH(B1818,pr_code,0))&amp;"",""))</f>
        <v/>
      </c>
      <c r="J1818" s="65" t="str">
        <f>IF(COUNTA(A1818:G1818)=0,"",IF(E1818&lt;&gt;"",E1818,IF(B1818="","",IFERROR(IF(INDEX(pr_price,MATCH(B1818,pr_code,0))="","",INDEX(pr_price,MATCH(B1818,pr_code,0))),""))))</f>
        <v/>
      </c>
      <c r="K1818" s="71" t="str">
        <f>IF(COUNTA(A1818:G1818)=0,"",IF(G1818&lt;&gt;"",G1818,IF(B1818="","",IFERROR(IF(INDEX(pr_rate,MATCH(B1818,pr_code,0))="","",INDEX(pr_rate,MATCH(B1818,pr_code,0))),""))))</f>
        <v/>
      </c>
      <c r="L1818" s="65" t="str">
        <f>IF(COUNTA(A1818:G1818)=0,"",IF(AND(ISNUMBER(D1818),ISNUMBER(J1818)),ROUND(D1818*J1818*(1-N(F1818)),2),0))</f>
        <v/>
      </c>
      <c r="M1818" s="62" t="str">
        <f>IF(A1818="","",IFERROR(INDEX(fa_cname,MATCH(A1818,fa_num,0))&amp;"",""))</f>
        <v/>
      </c>
      <c r="N1818" s="59" t="str">
        <f>IF(COUNTA(A1818:G1818)=0,"",IF(A1818="","N° facture manquant",IF(ISNA(MATCH(A1818,fa_num,0)),"Facture inconnue",IF(AND(B1818&lt;&gt;"",ISNA(MATCH(B1818,pr_code,0))),"Article inconnu",IF(H1818="","Désignation manquante",IF(OR(NOT(ISNUMBER(D1818)),N(D1818)&lt;=0),"Quantité invalide",IF(J1818="","Prix manquant",IF(OR(NOT(ISNUMBER(J1818)),N(J1818)&lt;0),"Prix invalide",IF(OR(AND(F1818&lt;&gt;"",NOT(ISNUMBER(F1818))),N(F1818)&lt;0,N(F1818)&gt;1),"Remise invalide",IF(K1818="","Taux de TVA manquant",IF(NOT(ISNUMBER(K1818)),"Taux de TVA invalide",IF(COUNTIF(p_rates,K1818)=0,"Taux de TVA hors liste (Paramètres)",IF(N(O1818)&gt;25,"Au-delà de 25 lignes : non imprimée","OK")))))))))))))</f>
        <v/>
      </c>
      <c r="O1818" s="59" t="str">
        <f>IF(A1818="","",COUNTIF($A$6:A1818,A1818))</f>
        <v/>
      </c>
      <c r="P1818" s="62" t="str">
        <f>IF(A1818="","",A1818&amp;"|"&amp;O1818)</f>
        <v/>
      </c>
    </row>
    <row r="1819">
      <c r="A1819" s="60" t="n"/>
      <c r="B1819" s="63" t="n"/>
      <c r="C1819" s="63" t="n"/>
      <c r="D1819" s="67" t="n"/>
      <c r="E1819" s="68" t="n"/>
      <c r="F1819" s="69" t="n"/>
      <c r="G1819" s="70" t="n"/>
      <c r="H1819" s="62" t="str">
        <f>IF(COUNTA(A1819:G1819)=0,"",IF(C1819&lt;&gt;"",C1819,IF(B1819="","",IFERROR(INDEX(pr_des,MATCH(B1819,pr_code,0))&amp;"",""))))</f>
        <v/>
      </c>
      <c r="I1819" s="59" t="str">
        <f>IF(B1819="","",IFERROR(INDEX(pr_unit,MATCH(B1819,pr_code,0))&amp;"",""))</f>
        <v/>
      </c>
      <c r="J1819" s="65" t="str">
        <f>IF(COUNTA(A1819:G1819)=0,"",IF(E1819&lt;&gt;"",E1819,IF(B1819="","",IFERROR(IF(INDEX(pr_price,MATCH(B1819,pr_code,0))="","",INDEX(pr_price,MATCH(B1819,pr_code,0))),""))))</f>
        <v/>
      </c>
      <c r="K1819" s="71" t="str">
        <f>IF(COUNTA(A1819:G1819)=0,"",IF(G1819&lt;&gt;"",G1819,IF(B1819="","",IFERROR(IF(INDEX(pr_rate,MATCH(B1819,pr_code,0))="","",INDEX(pr_rate,MATCH(B1819,pr_code,0))),""))))</f>
        <v/>
      </c>
      <c r="L1819" s="65" t="str">
        <f>IF(COUNTA(A1819:G1819)=0,"",IF(AND(ISNUMBER(D1819),ISNUMBER(J1819)),ROUND(D1819*J1819*(1-N(F1819)),2),0))</f>
        <v/>
      </c>
      <c r="M1819" s="62" t="str">
        <f>IF(A1819="","",IFERROR(INDEX(fa_cname,MATCH(A1819,fa_num,0))&amp;"",""))</f>
        <v/>
      </c>
      <c r="N1819" s="59" t="str">
        <f>IF(COUNTA(A1819:G1819)=0,"",IF(A1819="","N° facture manquant",IF(ISNA(MATCH(A1819,fa_num,0)),"Facture inconnue",IF(AND(B1819&lt;&gt;"",ISNA(MATCH(B1819,pr_code,0))),"Article inconnu",IF(H1819="","Désignation manquante",IF(OR(NOT(ISNUMBER(D1819)),N(D1819)&lt;=0),"Quantité invalide",IF(J1819="","Prix manquant",IF(OR(NOT(ISNUMBER(J1819)),N(J1819)&lt;0),"Prix invalide",IF(OR(AND(F1819&lt;&gt;"",NOT(ISNUMBER(F1819))),N(F1819)&lt;0,N(F1819)&gt;1),"Remise invalide",IF(K1819="","Taux de TVA manquant",IF(NOT(ISNUMBER(K1819)),"Taux de TVA invalide",IF(COUNTIF(p_rates,K1819)=0,"Taux de TVA hors liste (Paramètres)",IF(N(O1819)&gt;25,"Au-delà de 25 lignes : non imprimée","OK")))))))))))))</f>
        <v/>
      </c>
      <c r="O1819" s="59" t="str">
        <f>IF(A1819="","",COUNTIF($A$6:A1819,A1819))</f>
        <v/>
      </c>
      <c r="P1819" s="62" t="str">
        <f>IF(A1819="","",A1819&amp;"|"&amp;O1819)</f>
        <v/>
      </c>
    </row>
    <row r="1820">
      <c r="A1820" s="60" t="n"/>
      <c r="B1820" s="63" t="n"/>
      <c r="C1820" s="63" t="n"/>
      <c r="D1820" s="67" t="n"/>
      <c r="E1820" s="68" t="n"/>
      <c r="F1820" s="69" t="n"/>
      <c r="G1820" s="70" t="n"/>
      <c r="H1820" s="62" t="str">
        <f>IF(COUNTA(A1820:G1820)=0,"",IF(C1820&lt;&gt;"",C1820,IF(B1820="","",IFERROR(INDEX(pr_des,MATCH(B1820,pr_code,0))&amp;"",""))))</f>
        <v/>
      </c>
      <c r="I1820" s="59" t="str">
        <f>IF(B1820="","",IFERROR(INDEX(pr_unit,MATCH(B1820,pr_code,0))&amp;"",""))</f>
        <v/>
      </c>
      <c r="J1820" s="65" t="str">
        <f>IF(COUNTA(A1820:G1820)=0,"",IF(E1820&lt;&gt;"",E1820,IF(B1820="","",IFERROR(IF(INDEX(pr_price,MATCH(B1820,pr_code,0))="","",INDEX(pr_price,MATCH(B1820,pr_code,0))),""))))</f>
        <v/>
      </c>
      <c r="K1820" s="71" t="str">
        <f>IF(COUNTA(A1820:G1820)=0,"",IF(G1820&lt;&gt;"",G1820,IF(B1820="","",IFERROR(IF(INDEX(pr_rate,MATCH(B1820,pr_code,0))="","",INDEX(pr_rate,MATCH(B1820,pr_code,0))),""))))</f>
        <v/>
      </c>
      <c r="L1820" s="65" t="str">
        <f>IF(COUNTA(A1820:G1820)=0,"",IF(AND(ISNUMBER(D1820),ISNUMBER(J1820)),ROUND(D1820*J1820*(1-N(F1820)),2),0))</f>
        <v/>
      </c>
      <c r="M1820" s="62" t="str">
        <f>IF(A1820="","",IFERROR(INDEX(fa_cname,MATCH(A1820,fa_num,0))&amp;"",""))</f>
        <v/>
      </c>
      <c r="N1820" s="59" t="str">
        <f>IF(COUNTA(A1820:G1820)=0,"",IF(A1820="","N° facture manquant",IF(ISNA(MATCH(A1820,fa_num,0)),"Facture inconnue",IF(AND(B1820&lt;&gt;"",ISNA(MATCH(B1820,pr_code,0))),"Article inconnu",IF(H1820="","Désignation manquante",IF(OR(NOT(ISNUMBER(D1820)),N(D1820)&lt;=0),"Quantité invalide",IF(J1820="","Prix manquant",IF(OR(NOT(ISNUMBER(J1820)),N(J1820)&lt;0),"Prix invalide",IF(OR(AND(F1820&lt;&gt;"",NOT(ISNUMBER(F1820))),N(F1820)&lt;0,N(F1820)&gt;1),"Remise invalide",IF(K1820="","Taux de TVA manquant",IF(NOT(ISNUMBER(K1820)),"Taux de TVA invalide",IF(COUNTIF(p_rates,K1820)=0,"Taux de TVA hors liste (Paramètres)",IF(N(O1820)&gt;25,"Au-delà de 25 lignes : non imprimée","OK")))))))))))))</f>
        <v/>
      </c>
      <c r="O1820" s="59" t="str">
        <f>IF(A1820="","",COUNTIF($A$6:A1820,A1820))</f>
        <v/>
      </c>
      <c r="P1820" s="62" t="str">
        <f>IF(A1820="","",A1820&amp;"|"&amp;O1820)</f>
        <v/>
      </c>
    </row>
    <row r="1821">
      <c r="A1821" s="60" t="n"/>
      <c r="B1821" s="63" t="n"/>
      <c r="C1821" s="63" t="n"/>
      <c r="D1821" s="67" t="n"/>
      <c r="E1821" s="68" t="n"/>
      <c r="F1821" s="69" t="n"/>
      <c r="G1821" s="70" t="n"/>
      <c r="H1821" s="62" t="str">
        <f>IF(COUNTA(A1821:G1821)=0,"",IF(C1821&lt;&gt;"",C1821,IF(B1821="","",IFERROR(INDEX(pr_des,MATCH(B1821,pr_code,0))&amp;"",""))))</f>
        <v/>
      </c>
      <c r="I1821" s="59" t="str">
        <f>IF(B1821="","",IFERROR(INDEX(pr_unit,MATCH(B1821,pr_code,0))&amp;"",""))</f>
        <v/>
      </c>
      <c r="J1821" s="65" t="str">
        <f>IF(COUNTA(A1821:G1821)=0,"",IF(E1821&lt;&gt;"",E1821,IF(B1821="","",IFERROR(IF(INDEX(pr_price,MATCH(B1821,pr_code,0))="","",INDEX(pr_price,MATCH(B1821,pr_code,0))),""))))</f>
        <v/>
      </c>
      <c r="K1821" s="71" t="str">
        <f>IF(COUNTA(A1821:G1821)=0,"",IF(G1821&lt;&gt;"",G1821,IF(B1821="","",IFERROR(IF(INDEX(pr_rate,MATCH(B1821,pr_code,0))="","",INDEX(pr_rate,MATCH(B1821,pr_code,0))),""))))</f>
        <v/>
      </c>
      <c r="L1821" s="65" t="str">
        <f>IF(COUNTA(A1821:G1821)=0,"",IF(AND(ISNUMBER(D1821),ISNUMBER(J1821)),ROUND(D1821*J1821*(1-N(F1821)),2),0))</f>
        <v/>
      </c>
      <c r="M1821" s="62" t="str">
        <f>IF(A1821="","",IFERROR(INDEX(fa_cname,MATCH(A1821,fa_num,0))&amp;"",""))</f>
        <v/>
      </c>
      <c r="N1821" s="59" t="str">
        <f>IF(COUNTA(A1821:G1821)=0,"",IF(A1821="","N° facture manquant",IF(ISNA(MATCH(A1821,fa_num,0)),"Facture inconnue",IF(AND(B1821&lt;&gt;"",ISNA(MATCH(B1821,pr_code,0))),"Article inconnu",IF(H1821="","Désignation manquante",IF(OR(NOT(ISNUMBER(D1821)),N(D1821)&lt;=0),"Quantité invalide",IF(J1821="","Prix manquant",IF(OR(NOT(ISNUMBER(J1821)),N(J1821)&lt;0),"Prix invalide",IF(OR(AND(F1821&lt;&gt;"",NOT(ISNUMBER(F1821))),N(F1821)&lt;0,N(F1821)&gt;1),"Remise invalide",IF(K1821="","Taux de TVA manquant",IF(NOT(ISNUMBER(K1821)),"Taux de TVA invalide",IF(COUNTIF(p_rates,K1821)=0,"Taux de TVA hors liste (Paramètres)",IF(N(O1821)&gt;25,"Au-delà de 25 lignes : non imprimée","OK")))))))))))))</f>
        <v/>
      </c>
      <c r="O1821" s="59" t="str">
        <f>IF(A1821="","",COUNTIF($A$6:A1821,A1821))</f>
        <v/>
      </c>
      <c r="P1821" s="62" t="str">
        <f>IF(A1821="","",A1821&amp;"|"&amp;O1821)</f>
        <v/>
      </c>
    </row>
    <row r="1822">
      <c r="A1822" s="60" t="n"/>
      <c r="B1822" s="63" t="n"/>
      <c r="C1822" s="63" t="n"/>
      <c r="D1822" s="67" t="n"/>
      <c r="E1822" s="68" t="n"/>
      <c r="F1822" s="69" t="n"/>
      <c r="G1822" s="70" t="n"/>
      <c r="H1822" s="62" t="str">
        <f>IF(COUNTA(A1822:G1822)=0,"",IF(C1822&lt;&gt;"",C1822,IF(B1822="","",IFERROR(INDEX(pr_des,MATCH(B1822,pr_code,0))&amp;"",""))))</f>
        <v/>
      </c>
      <c r="I1822" s="59" t="str">
        <f>IF(B1822="","",IFERROR(INDEX(pr_unit,MATCH(B1822,pr_code,0))&amp;"",""))</f>
        <v/>
      </c>
      <c r="J1822" s="65" t="str">
        <f>IF(COUNTA(A1822:G1822)=0,"",IF(E1822&lt;&gt;"",E1822,IF(B1822="","",IFERROR(IF(INDEX(pr_price,MATCH(B1822,pr_code,0))="","",INDEX(pr_price,MATCH(B1822,pr_code,0))),""))))</f>
        <v/>
      </c>
      <c r="K1822" s="71" t="str">
        <f>IF(COUNTA(A1822:G1822)=0,"",IF(G1822&lt;&gt;"",G1822,IF(B1822="","",IFERROR(IF(INDEX(pr_rate,MATCH(B1822,pr_code,0))="","",INDEX(pr_rate,MATCH(B1822,pr_code,0))),""))))</f>
        <v/>
      </c>
      <c r="L1822" s="65" t="str">
        <f>IF(COUNTA(A1822:G1822)=0,"",IF(AND(ISNUMBER(D1822),ISNUMBER(J1822)),ROUND(D1822*J1822*(1-N(F1822)),2),0))</f>
        <v/>
      </c>
      <c r="M1822" s="62" t="str">
        <f>IF(A1822="","",IFERROR(INDEX(fa_cname,MATCH(A1822,fa_num,0))&amp;"",""))</f>
        <v/>
      </c>
      <c r="N1822" s="59" t="str">
        <f>IF(COUNTA(A1822:G1822)=0,"",IF(A1822="","N° facture manquant",IF(ISNA(MATCH(A1822,fa_num,0)),"Facture inconnue",IF(AND(B1822&lt;&gt;"",ISNA(MATCH(B1822,pr_code,0))),"Article inconnu",IF(H1822="","Désignation manquante",IF(OR(NOT(ISNUMBER(D1822)),N(D1822)&lt;=0),"Quantité invalide",IF(J1822="","Prix manquant",IF(OR(NOT(ISNUMBER(J1822)),N(J1822)&lt;0),"Prix invalide",IF(OR(AND(F1822&lt;&gt;"",NOT(ISNUMBER(F1822))),N(F1822)&lt;0,N(F1822)&gt;1),"Remise invalide",IF(K1822="","Taux de TVA manquant",IF(NOT(ISNUMBER(K1822)),"Taux de TVA invalide",IF(COUNTIF(p_rates,K1822)=0,"Taux de TVA hors liste (Paramètres)",IF(N(O1822)&gt;25,"Au-delà de 25 lignes : non imprimée","OK")))))))))))))</f>
        <v/>
      </c>
      <c r="O1822" s="59" t="str">
        <f>IF(A1822="","",COUNTIF($A$6:A1822,A1822))</f>
        <v/>
      </c>
      <c r="P1822" s="62" t="str">
        <f>IF(A1822="","",A1822&amp;"|"&amp;O1822)</f>
        <v/>
      </c>
    </row>
    <row r="1823">
      <c r="A1823" s="60" t="n"/>
      <c r="B1823" s="63" t="n"/>
      <c r="C1823" s="63" t="n"/>
      <c r="D1823" s="67" t="n"/>
      <c r="E1823" s="68" t="n"/>
      <c r="F1823" s="69" t="n"/>
      <c r="G1823" s="70" t="n"/>
      <c r="H1823" s="62" t="str">
        <f>IF(COUNTA(A1823:G1823)=0,"",IF(C1823&lt;&gt;"",C1823,IF(B1823="","",IFERROR(INDEX(pr_des,MATCH(B1823,pr_code,0))&amp;"",""))))</f>
        <v/>
      </c>
      <c r="I1823" s="59" t="str">
        <f>IF(B1823="","",IFERROR(INDEX(pr_unit,MATCH(B1823,pr_code,0))&amp;"",""))</f>
        <v/>
      </c>
      <c r="J1823" s="65" t="str">
        <f>IF(COUNTA(A1823:G1823)=0,"",IF(E1823&lt;&gt;"",E1823,IF(B1823="","",IFERROR(IF(INDEX(pr_price,MATCH(B1823,pr_code,0))="","",INDEX(pr_price,MATCH(B1823,pr_code,0))),""))))</f>
        <v/>
      </c>
      <c r="K1823" s="71" t="str">
        <f>IF(COUNTA(A1823:G1823)=0,"",IF(G1823&lt;&gt;"",G1823,IF(B1823="","",IFERROR(IF(INDEX(pr_rate,MATCH(B1823,pr_code,0))="","",INDEX(pr_rate,MATCH(B1823,pr_code,0))),""))))</f>
        <v/>
      </c>
      <c r="L1823" s="65" t="str">
        <f>IF(COUNTA(A1823:G1823)=0,"",IF(AND(ISNUMBER(D1823),ISNUMBER(J1823)),ROUND(D1823*J1823*(1-N(F1823)),2),0))</f>
        <v/>
      </c>
      <c r="M1823" s="62" t="str">
        <f>IF(A1823="","",IFERROR(INDEX(fa_cname,MATCH(A1823,fa_num,0))&amp;"",""))</f>
        <v/>
      </c>
      <c r="N1823" s="59" t="str">
        <f>IF(COUNTA(A1823:G1823)=0,"",IF(A1823="","N° facture manquant",IF(ISNA(MATCH(A1823,fa_num,0)),"Facture inconnue",IF(AND(B1823&lt;&gt;"",ISNA(MATCH(B1823,pr_code,0))),"Article inconnu",IF(H1823="","Désignation manquante",IF(OR(NOT(ISNUMBER(D1823)),N(D1823)&lt;=0),"Quantité invalide",IF(J1823="","Prix manquant",IF(OR(NOT(ISNUMBER(J1823)),N(J1823)&lt;0),"Prix invalide",IF(OR(AND(F1823&lt;&gt;"",NOT(ISNUMBER(F1823))),N(F1823)&lt;0,N(F1823)&gt;1),"Remise invalide",IF(K1823="","Taux de TVA manquant",IF(NOT(ISNUMBER(K1823)),"Taux de TVA invalide",IF(COUNTIF(p_rates,K1823)=0,"Taux de TVA hors liste (Paramètres)",IF(N(O1823)&gt;25,"Au-delà de 25 lignes : non imprimée","OK")))))))))))))</f>
        <v/>
      </c>
      <c r="O1823" s="59" t="str">
        <f>IF(A1823="","",COUNTIF($A$6:A1823,A1823))</f>
        <v/>
      </c>
      <c r="P1823" s="62" t="str">
        <f>IF(A1823="","",A1823&amp;"|"&amp;O1823)</f>
        <v/>
      </c>
    </row>
    <row r="1824">
      <c r="A1824" s="60" t="n"/>
      <c r="B1824" s="63" t="n"/>
      <c r="C1824" s="63" t="n"/>
      <c r="D1824" s="67" t="n"/>
      <c r="E1824" s="68" t="n"/>
      <c r="F1824" s="69" t="n"/>
      <c r="G1824" s="70" t="n"/>
      <c r="H1824" s="62" t="str">
        <f>IF(COUNTA(A1824:G1824)=0,"",IF(C1824&lt;&gt;"",C1824,IF(B1824="","",IFERROR(INDEX(pr_des,MATCH(B1824,pr_code,0))&amp;"",""))))</f>
        <v/>
      </c>
      <c r="I1824" s="59" t="str">
        <f>IF(B1824="","",IFERROR(INDEX(pr_unit,MATCH(B1824,pr_code,0))&amp;"",""))</f>
        <v/>
      </c>
      <c r="J1824" s="65" t="str">
        <f>IF(COUNTA(A1824:G1824)=0,"",IF(E1824&lt;&gt;"",E1824,IF(B1824="","",IFERROR(IF(INDEX(pr_price,MATCH(B1824,pr_code,0))="","",INDEX(pr_price,MATCH(B1824,pr_code,0))),""))))</f>
        <v/>
      </c>
      <c r="K1824" s="71" t="str">
        <f>IF(COUNTA(A1824:G1824)=0,"",IF(G1824&lt;&gt;"",G1824,IF(B1824="","",IFERROR(IF(INDEX(pr_rate,MATCH(B1824,pr_code,0))="","",INDEX(pr_rate,MATCH(B1824,pr_code,0))),""))))</f>
        <v/>
      </c>
      <c r="L1824" s="65" t="str">
        <f>IF(COUNTA(A1824:G1824)=0,"",IF(AND(ISNUMBER(D1824),ISNUMBER(J1824)),ROUND(D1824*J1824*(1-N(F1824)),2),0))</f>
        <v/>
      </c>
      <c r="M1824" s="62" t="str">
        <f>IF(A1824="","",IFERROR(INDEX(fa_cname,MATCH(A1824,fa_num,0))&amp;"",""))</f>
        <v/>
      </c>
      <c r="N1824" s="59" t="str">
        <f>IF(COUNTA(A1824:G1824)=0,"",IF(A1824="","N° facture manquant",IF(ISNA(MATCH(A1824,fa_num,0)),"Facture inconnue",IF(AND(B1824&lt;&gt;"",ISNA(MATCH(B1824,pr_code,0))),"Article inconnu",IF(H1824="","Désignation manquante",IF(OR(NOT(ISNUMBER(D1824)),N(D1824)&lt;=0),"Quantité invalide",IF(J1824="","Prix manquant",IF(OR(NOT(ISNUMBER(J1824)),N(J1824)&lt;0),"Prix invalide",IF(OR(AND(F1824&lt;&gt;"",NOT(ISNUMBER(F1824))),N(F1824)&lt;0,N(F1824)&gt;1),"Remise invalide",IF(K1824="","Taux de TVA manquant",IF(NOT(ISNUMBER(K1824)),"Taux de TVA invalide",IF(COUNTIF(p_rates,K1824)=0,"Taux de TVA hors liste (Paramètres)",IF(N(O1824)&gt;25,"Au-delà de 25 lignes : non imprimée","OK")))))))))))))</f>
        <v/>
      </c>
      <c r="O1824" s="59" t="str">
        <f>IF(A1824="","",COUNTIF($A$6:A1824,A1824))</f>
        <v/>
      </c>
      <c r="P1824" s="62" t="str">
        <f>IF(A1824="","",A1824&amp;"|"&amp;O1824)</f>
        <v/>
      </c>
    </row>
    <row r="1825">
      <c r="A1825" s="60" t="n"/>
      <c r="B1825" s="63" t="n"/>
      <c r="C1825" s="63" t="n"/>
      <c r="D1825" s="67" t="n"/>
      <c r="E1825" s="68" t="n"/>
      <c r="F1825" s="69" t="n"/>
      <c r="G1825" s="70" t="n"/>
      <c r="H1825" s="62" t="str">
        <f>IF(COUNTA(A1825:G1825)=0,"",IF(C1825&lt;&gt;"",C1825,IF(B1825="","",IFERROR(INDEX(pr_des,MATCH(B1825,pr_code,0))&amp;"",""))))</f>
        <v/>
      </c>
      <c r="I1825" s="59" t="str">
        <f>IF(B1825="","",IFERROR(INDEX(pr_unit,MATCH(B1825,pr_code,0))&amp;"",""))</f>
        <v/>
      </c>
      <c r="J1825" s="65" t="str">
        <f>IF(COUNTA(A1825:G1825)=0,"",IF(E1825&lt;&gt;"",E1825,IF(B1825="","",IFERROR(IF(INDEX(pr_price,MATCH(B1825,pr_code,0))="","",INDEX(pr_price,MATCH(B1825,pr_code,0))),""))))</f>
        <v/>
      </c>
      <c r="K1825" s="71" t="str">
        <f>IF(COUNTA(A1825:G1825)=0,"",IF(G1825&lt;&gt;"",G1825,IF(B1825="","",IFERROR(IF(INDEX(pr_rate,MATCH(B1825,pr_code,0))="","",INDEX(pr_rate,MATCH(B1825,pr_code,0))),""))))</f>
        <v/>
      </c>
      <c r="L1825" s="65" t="str">
        <f>IF(COUNTA(A1825:G1825)=0,"",IF(AND(ISNUMBER(D1825),ISNUMBER(J1825)),ROUND(D1825*J1825*(1-N(F1825)),2),0))</f>
        <v/>
      </c>
      <c r="M1825" s="62" t="str">
        <f>IF(A1825="","",IFERROR(INDEX(fa_cname,MATCH(A1825,fa_num,0))&amp;"",""))</f>
        <v/>
      </c>
      <c r="N1825" s="59" t="str">
        <f>IF(COUNTA(A1825:G1825)=0,"",IF(A1825="","N° facture manquant",IF(ISNA(MATCH(A1825,fa_num,0)),"Facture inconnue",IF(AND(B1825&lt;&gt;"",ISNA(MATCH(B1825,pr_code,0))),"Article inconnu",IF(H1825="","Désignation manquante",IF(OR(NOT(ISNUMBER(D1825)),N(D1825)&lt;=0),"Quantité invalide",IF(J1825="","Prix manquant",IF(OR(NOT(ISNUMBER(J1825)),N(J1825)&lt;0),"Prix invalide",IF(OR(AND(F1825&lt;&gt;"",NOT(ISNUMBER(F1825))),N(F1825)&lt;0,N(F1825)&gt;1),"Remise invalide",IF(K1825="","Taux de TVA manquant",IF(NOT(ISNUMBER(K1825)),"Taux de TVA invalide",IF(COUNTIF(p_rates,K1825)=0,"Taux de TVA hors liste (Paramètres)",IF(N(O1825)&gt;25,"Au-delà de 25 lignes : non imprimée","OK")))))))))))))</f>
        <v/>
      </c>
      <c r="O1825" s="59" t="str">
        <f>IF(A1825="","",COUNTIF($A$6:A1825,A1825))</f>
        <v/>
      </c>
      <c r="P1825" s="62" t="str">
        <f>IF(A1825="","",A1825&amp;"|"&amp;O1825)</f>
        <v/>
      </c>
    </row>
    <row r="1826">
      <c r="A1826" s="60" t="n"/>
      <c r="B1826" s="63" t="n"/>
      <c r="C1826" s="63" t="n"/>
      <c r="D1826" s="67" t="n"/>
      <c r="E1826" s="68" t="n"/>
      <c r="F1826" s="69" t="n"/>
      <c r="G1826" s="70" t="n"/>
      <c r="H1826" s="62" t="str">
        <f>IF(COUNTA(A1826:G1826)=0,"",IF(C1826&lt;&gt;"",C1826,IF(B1826="","",IFERROR(INDEX(pr_des,MATCH(B1826,pr_code,0))&amp;"",""))))</f>
        <v/>
      </c>
      <c r="I1826" s="59" t="str">
        <f>IF(B1826="","",IFERROR(INDEX(pr_unit,MATCH(B1826,pr_code,0))&amp;"",""))</f>
        <v/>
      </c>
      <c r="J1826" s="65" t="str">
        <f>IF(COUNTA(A1826:G1826)=0,"",IF(E1826&lt;&gt;"",E1826,IF(B1826="","",IFERROR(IF(INDEX(pr_price,MATCH(B1826,pr_code,0))="","",INDEX(pr_price,MATCH(B1826,pr_code,0))),""))))</f>
        <v/>
      </c>
      <c r="K1826" s="71" t="str">
        <f>IF(COUNTA(A1826:G1826)=0,"",IF(G1826&lt;&gt;"",G1826,IF(B1826="","",IFERROR(IF(INDEX(pr_rate,MATCH(B1826,pr_code,0))="","",INDEX(pr_rate,MATCH(B1826,pr_code,0))),""))))</f>
        <v/>
      </c>
      <c r="L1826" s="65" t="str">
        <f>IF(COUNTA(A1826:G1826)=0,"",IF(AND(ISNUMBER(D1826),ISNUMBER(J1826)),ROUND(D1826*J1826*(1-N(F1826)),2),0))</f>
        <v/>
      </c>
      <c r="M1826" s="62" t="str">
        <f>IF(A1826="","",IFERROR(INDEX(fa_cname,MATCH(A1826,fa_num,0))&amp;"",""))</f>
        <v/>
      </c>
      <c r="N1826" s="59" t="str">
        <f>IF(COUNTA(A1826:G1826)=0,"",IF(A1826="","N° facture manquant",IF(ISNA(MATCH(A1826,fa_num,0)),"Facture inconnue",IF(AND(B1826&lt;&gt;"",ISNA(MATCH(B1826,pr_code,0))),"Article inconnu",IF(H1826="","Désignation manquante",IF(OR(NOT(ISNUMBER(D1826)),N(D1826)&lt;=0),"Quantité invalide",IF(J1826="","Prix manquant",IF(OR(NOT(ISNUMBER(J1826)),N(J1826)&lt;0),"Prix invalide",IF(OR(AND(F1826&lt;&gt;"",NOT(ISNUMBER(F1826))),N(F1826)&lt;0,N(F1826)&gt;1),"Remise invalide",IF(K1826="","Taux de TVA manquant",IF(NOT(ISNUMBER(K1826)),"Taux de TVA invalide",IF(COUNTIF(p_rates,K1826)=0,"Taux de TVA hors liste (Paramètres)",IF(N(O1826)&gt;25,"Au-delà de 25 lignes : non imprimée","OK")))))))))))))</f>
        <v/>
      </c>
      <c r="O1826" s="59" t="str">
        <f>IF(A1826="","",COUNTIF($A$6:A1826,A1826))</f>
        <v/>
      </c>
      <c r="P1826" s="62" t="str">
        <f>IF(A1826="","",A1826&amp;"|"&amp;O1826)</f>
        <v/>
      </c>
    </row>
    <row r="1827">
      <c r="A1827" s="60" t="n"/>
      <c r="B1827" s="63" t="n"/>
      <c r="C1827" s="63" t="n"/>
      <c r="D1827" s="67" t="n"/>
      <c r="E1827" s="68" t="n"/>
      <c r="F1827" s="69" t="n"/>
      <c r="G1827" s="70" t="n"/>
      <c r="H1827" s="62" t="str">
        <f>IF(COUNTA(A1827:G1827)=0,"",IF(C1827&lt;&gt;"",C1827,IF(B1827="","",IFERROR(INDEX(pr_des,MATCH(B1827,pr_code,0))&amp;"",""))))</f>
        <v/>
      </c>
      <c r="I1827" s="59" t="str">
        <f>IF(B1827="","",IFERROR(INDEX(pr_unit,MATCH(B1827,pr_code,0))&amp;"",""))</f>
        <v/>
      </c>
      <c r="J1827" s="65" t="str">
        <f>IF(COUNTA(A1827:G1827)=0,"",IF(E1827&lt;&gt;"",E1827,IF(B1827="","",IFERROR(IF(INDEX(pr_price,MATCH(B1827,pr_code,0))="","",INDEX(pr_price,MATCH(B1827,pr_code,0))),""))))</f>
        <v/>
      </c>
      <c r="K1827" s="71" t="str">
        <f>IF(COUNTA(A1827:G1827)=0,"",IF(G1827&lt;&gt;"",G1827,IF(B1827="","",IFERROR(IF(INDEX(pr_rate,MATCH(B1827,pr_code,0))="","",INDEX(pr_rate,MATCH(B1827,pr_code,0))),""))))</f>
        <v/>
      </c>
      <c r="L1827" s="65" t="str">
        <f>IF(COUNTA(A1827:G1827)=0,"",IF(AND(ISNUMBER(D1827),ISNUMBER(J1827)),ROUND(D1827*J1827*(1-N(F1827)),2),0))</f>
        <v/>
      </c>
      <c r="M1827" s="62" t="str">
        <f>IF(A1827="","",IFERROR(INDEX(fa_cname,MATCH(A1827,fa_num,0))&amp;"",""))</f>
        <v/>
      </c>
      <c r="N1827" s="59" t="str">
        <f>IF(COUNTA(A1827:G1827)=0,"",IF(A1827="","N° facture manquant",IF(ISNA(MATCH(A1827,fa_num,0)),"Facture inconnue",IF(AND(B1827&lt;&gt;"",ISNA(MATCH(B1827,pr_code,0))),"Article inconnu",IF(H1827="","Désignation manquante",IF(OR(NOT(ISNUMBER(D1827)),N(D1827)&lt;=0),"Quantité invalide",IF(J1827="","Prix manquant",IF(OR(NOT(ISNUMBER(J1827)),N(J1827)&lt;0),"Prix invalide",IF(OR(AND(F1827&lt;&gt;"",NOT(ISNUMBER(F1827))),N(F1827)&lt;0,N(F1827)&gt;1),"Remise invalide",IF(K1827="","Taux de TVA manquant",IF(NOT(ISNUMBER(K1827)),"Taux de TVA invalide",IF(COUNTIF(p_rates,K1827)=0,"Taux de TVA hors liste (Paramètres)",IF(N(O1827)&gt;25,"Au-delà de 25 lignes : non imprimée","OK")))))))))))))</f>
        <v/>
      </c>
      <c r="O1827" s="59" t="str">
        <f>IF(A1827="","",COUNTIF($A$6:A1827,A1827))</f>
        <v/>
      </c>
      <c r="P1827" s="62" t="str">
        <f>IF(A1827="","",A1827&amp;"|"&amp;O1827)</f>
        <v/>
      </c>
    </row>
    <row r="1828">
      <c r="A1828" s="60" t="n"/>
      <c r="B1828" s="63" t="n"/>
      <c r="C1828" s="63" t="n"/>
      <c r="D1828" s="67" t="n"/>
      <c r="E1828" s="68" t="n"/>
      <c r="F1828" s="69" t="n"/>
      <c r="G1828" s="70" t="n"/>
      <c r="H1828" s="62" t="str">
        <f>IF(COUNTA(A1828:G1828)=0,"",IF(C1828&lt;&gt;"",C1828,IF(B1828="","",IFERROR(INDEX(pr_des,MATCH(B1828,pr_code,0))&amp;"",""))))</f>
        <v/>
      </c>
      <c r="I1828" s="59" t="str">
        <f>IF(B1828="","",IFERROR(INDEX(pr_unit,MATCH(B1828,pr_code,0))&amp;"",""))</f>
        <v/>
      </c>
      <c r="J1828" s="65" t="str">
        <f>IF(COUNTA(A1828:G1828)=0,"",IF(E1828&lt;&gt;"",E1828,IF(B1828="","",IFERROR(IF(INDEX(pr_price,MATCH(B1828,pr_code,0))="","",INDEX(pr_price,MATCH(B1828,pr_code,0))),""))))</f>
        <v/>
      </c>
      <c r="K1828" s="71" t="str">
        <f>IF(COUNTA(A1828:G1828)=0,"",IF(G1828&lt;&gt;"",G1828,IF(B1828="","",IFERROR(IF(INDEX(pr_rate,MATCH(B1828,pr_code,0))="","",INDEX(pr_rate,MATCH(B1828,pr_code,0))),""))))</f>
        <v/>
      </c>
      <c r="L1828" s="65" t="str">
        <f>IF(COUNTA(A1828:G1828)=0,"",IF(AND(ISNUMBER(D1828),ISNUMBER(J1828)),ROUND(D1828*J1828*(1-N(F1828)),2),0))</f>
        <v/>
      </c>
      <c r="M1828" s="62" t="str">
        <f>IF(A1828="","",IFERROR(INDEX(fa_cname,MATCH(A1828,fa_num,0))&amp;"",""))</f>
        <v/>
      </c>
      <c r="N1828" s="59" t="str">
        <f>IF(COUNTA(A1828:G1828)=0,"",IF(A1828="","N° facture manquant",IF(ISNA(MATCH(A1828,fa_num,0)),"Facture inconnue",IF(AND(B1828&lt;&gt;"",ISNA(MATCH(B1828,pr_code,0))),"Article inconnu",IF(H1828="","Désignation manquante",IF(OR(NOT(ISNUMBER(D1828)),N(D1828)&lt;=0),"Quantité invalide",IF(J1828="","Prix manquant",IF(OR(NOT(ISNUMBER(J1828)),N(J1828)&lt;0),"Prix invalide",IF(OR(AND(F1828&lt;&gt;"",NOT(ISNUMBER(F1828))),N(F1828)&lt;0,N(F1828)&gt;1),"Remise invalide",IF(K1828="","Taux de TVA manquant",IF(NOT(ISNUMBER(K1828)),"Taux de TVA invalide",IF(COUNTIF(p_rates,K1828)=0,"Taux de TVA hors liste (Paramètres)",IF(N(O1828)&gt;25,"Au-delà de 25 lignes : non imprimée","OK")))))))))))))</f>
        <v/>
      </c>
      <c r="O1828" s="59" t="str">
        <f>IF(A1828="","",COUNTIF($A$6:A1828,A1828))</f>
        <v/>
      </c>
      <c r="P1828" s="62" t="str">
        <f>IF(A1828="","",A1828&amp;"|"&amp;O1828)</f>
        <v/>
      </c>
    </row>
    <row r="1829">
      <c r="A1829" s="60" t="n"/>
      <c r="B1829" s="63" t="n"/>
      <c r="C1829" s="63" t="n"/>
      <c r="D1829" s="67" t="n"/>
      <c r="E1829" s="68" t="n"/>
      <c r="F1829" s="69" t="n"/>
      <c r="G1829" s="70" t="n"/>
      <c r="H1829" s="62" t="str">
        <f>IF(COUNTA(A1829:G1829)=0,"",IF(C1829&lt;&gt;"",C1829,IF(B1829="","",IFERROR(INDEX(pr_des,MATCH(B1829,pr_code,0))&amp;"",""))))</f>
        <v/>
      </c>
      <c r="I1829" s="59" t="str">
        <f>IF(B1829="","",IFERROR(INDEX(pr_unit,MATCH(B1829,pr_code,0))&amp;"",""))</f>
        <v/>
      </c>
      <c r="J1829" s="65" t="str">
        <f>IF(COUNTA(A1829:G1829)=0,"",IF(E1829&lt;&gt;"",E1829,IF(B1829="","",IFERROR(IF(INDEX(pr_price,MATCH(B1829,pr_code,0))="","",INDEX(pr_price,MATCH(B1829,pr_code,0))),""))))</f>
        <v/>
      </c>
      <c r="K1829" s="71" t="str">
        <f>IF(COUNTA(A1829:G1829)=0,"",IF(G1829&lt;&gt;"",G1829,IF(B1829="","",IFERROR(IF(INDEX(pr_rate,MATCH(B1829,pr_code,0))="","",INDEX(pr_rate,MATCH(B1829,pr_code,0))),""))))</f>
        <v/>
      </c>
      <c r="L1829" s="65" t="str">
        <f>IF(COUNTA(A1829:G1829)=0,"",IF(AND(ISNUMBER(D1829),ISNUMBER(J1829)),ROUND(D1829*J1829*(1-N(F1829)),2),0))</f>
        <v/>
      </c>
      <c r="M1829" s="62" t="str">
        <f>IF(A1829="","",IFERROR(INDEX(fa_cname,MATCH(A1829,fa_num,0))&amp;"",""))</f>
        <v/>
      </c>
      <c r="N1829" s="59" t="str">
        <f>IF(COUNTA(A1829:G1829)=0,"",IF(A1829="","N° facture manquant",IF(ISNA(MATCH(A1829,fa_num,0)),"Facture inconnue",IF(AND(B1829&lt;&gt;"",ISNA(MATCH(B1829,pr_code,0))),"Article inconnu",IF(H1829="","Désignation manquante",IF(OR(NOT(ISNUMBER(D1829)),N(D1829)&lt;=0),"Quantité invalide",IF(J1829="","Prix manquant",IF(OR(NOT(ISNUMBER(J1829)),N(J1829)&lt;0),"Prix invalide",IF(OR(AND(F1829&lt;&gt;"",NOT(ISNUMBER(F1829))),N(F1829)&lt;0,N(F1829)&gt;1),"Remise invalide",IF(K1829="","Taux de TVA manquant",IF(NOT(ISNUMBER(K1829)),"Taux de TVA invalide",IF(COUNTIF(p_rates,K1829)=0,"Taux de TVA hors liste (Paramètres)",IF(N(O1829)&gt;25,"Au-delà de 25 lignes : non imprimée","OK")))))))))))))</f>
        <v/>
      </c>
      <c r="O1829" s="59" t="str">
        <f>IF(A1829="","",COUNTIF($A$6:A1829,A1829))</f>
        <v/>
      </c>
      <c r="P1829" s="62" t="str">
        <f>IF(A1829="","",A1829&amp;"|"&amp;O1829)</f>
        <v/>
      </c>
    </row>
    <row r="1830">
      <c r="A1830" s="60" t="n"/>
      <c r="B1830" s="63" t="n"/>
      <c r="C1830" s="63" t="n"/>
      <c r="D1830" s="67" t="n"/>
      <c r="E1830" s="68" t="n"/>
      <c r="F1830" s="69" t="n"/>
      <c r="G1830" s="70" t="n"/>
      <c r="H1830" s="62" t="str">
        <f>IF(COUNTA(A1830:G1830)=0,"",IF(C1830&lt;&gt;"",C1830,IF(B1830="","",IFERROR(INDEX(pr_des,MATCH(B1830,pr_code,0))&amp;"",""))))</f>
        <v/>
      </c>
      <c r="I1830" s="59" t="str">
        <f>IF(B1830="","",IFERROR(INDEX(pr_unit,MATCH(B1830,pr_code,0))&amp;"",""))</f>
        <v/>
      </c>
      <c r="J1830" s="65" t="str">
        <f>IF(COUNTA(A1830:G1830)=0,"",IF(E1830&lt;&gt;"",E1830,IF(B1830="","",IFERROR(IF(INDEX(pr_price,MATCH(B1830,pr_code,0))="","",INDEX(pr_price,MATCH(B1830,pr_code,0))),""))))</f>
        <v/>
      </c>
      <c r="K1830" s="71" t="str">
        <f>IF(COUNTA(A1830:G1830)=0,"",IF(G1830&lt;&gt;"",G1830,IF(B1830="","",IFERROR(IF(INDEX(pr_rate,MATCH(B1830,pr_code,0))="","",INDEX(pr_rate,MATCH(B1830,pr_code,0))),""))))</f>
        <v/>
      </c>
      <c r="L1830" s="65" t="str">
        <f>IF(COUNTA(A1830:G1830)=0,"",IF(AND(ISNUMBER(D1830),ISNUMBER(J1830)),ROUND(D1830*J1830*(1-N(F1830)),2),0))</f>
        <v/>
      </c>
      <c r="M1830" s="62" t="str">
        <f>IF(A1830="","",IFERROR(INDEX(fa_cname,MATCH(A1830,fa_num,0))&amp;"",""))</f>
        <v/>
      </c>
      <c r="N1830" s="59" t="str">
        <f>IF(COUNTA(A1830:G1830)=0,"",IF(A1830="","N° facture manquant",IF(ISNA(MATCH(A1830,fa_num,0)),"Facture inconnue",IF(AND(B1830&lt;&gt;"",ISNA(MATCH(B1830,pr_code,0))),"Article inconnu",IF(H1830="","Désignation manquante",IF(OR(NOT(ISNUMBER(D1830)),N(D1830)&lt;=0),"Quantité invalide",IF(J1830="","Prix manquant",IF(OR(NOT(ISNUMBER(J1830)),N(J1830)&lt;0),"Prix invalide",IF(OR(AND(F1830&lt;&gt;"",NOT(ISNUMBER(F1830))),N(F1830)&lt;0,N(F1830)&gt;1),"Remise invalide",IF(K1830="","Taux de TVA manquant",IF(NOT(ISNUMBER(K1830)),"Taux de TVA invalide",IF(COUNTIF(p_rates,K1830)=0,"Taux de TVA hors liste (Paramètres)",IF(N(O1830)&gt;25,"Au-delà de 25 lignes : non imprimée","OK")))))))))))))</f>
        <v/>
      </c>
      <c r="O1830" s="59" t="str">
        <f>IF(A1830="","",COUNTIF($A$6:A1830,A1830))</f>
        <v/>
      </c>
      <c r="P1830" s="62" t="str">
        <f>IF(A1830="","",A1830&amp;"|"&amp;O1830)</f>
        <v/>
      </c>
    </row>
    <row r="1831">
      <c r="A1831" s="60" t="n"/>
      <c r="B1831" s="63" t="n"/>
      <c r="C1831" s="63" t="n"/>
      <c r="D1831" s="67" t="n"/>
      <c r="E1831" s="68" t="n"/>
      <c r="F1831" s="69" t="n"/>
      <c r="G1831" s="70" t="n"/>
      <c r="H1831" s="62" t="str">
        <f>IF(COUNTA(A1831:G1831)=0,"",IF(C1831&lt;&gt;"",C1831,IF(B1831="","",IFERROR(INDEX(pr_des,MATCH(B1831,pr_code,0))&amp;"",""))))</f>
        <v/>
      </c>
      <c r="I1831" s="59" t="str">
        <f>IF(B1831="","",IFERROR(INDEX(pr_unit,MATCH(B1831,pr_code,0))&amp;"",""))</f>
        <v/>
      </c>
      <c r="J1831" s="65" t="str">
        <f>IF(COUNTA(A1831:G1831)=0,"",IF(E1831&lt;&gt;"",E1831,IF(B1831="","",IFERROR(IF(INDEX(pr_price,MATCH(B1831,pr_code,0))="","",INDEX(pr_price,MATCH(B1831,pr_code,0))),""))))</f>
        <v/>
      </c>
      <c r="K1831" s="71" t="str">
        <f>IF(COUNTA(A1831:G1831)=0,"",IF(G1831&lt;&gt;"",G1831,IF(B1831="","",IFERROR(IF(INDEX(pr_rate,MATCH(B1831,pr_code,0))="","",INDEX(pr_rate,MATCH(B1831,pr_code,0))),""))))</f>
        <v/>
      </c>
      <c r="L1831" s="65" t="str">
        <f>IF(COUNTA(A1831:G1831)=0,"",IF(AND(ISNUMBER(D1831),ISNUMBER(J1831)),ROUND(D1831*J1831*(1-N(F1831)),2),0))</f>
        <v/>
      </c>
      <c r="M1831" s="62" t="str">
        <f>IF(A1831="","",IFERROR(INDEX(fa_cname,MATCH(A1831,fa_num,0))&amp;"",""))</f>
        <v/>
      </c>
      <c r="N1831" s="59" t="str">
        <f>IF(COUNTA(A1831:G1831)=0,"",IF(A1831="","N° facture manquant",IF(ISNA(MATCH(A1831,fa_num,0)),"Facture inconnue",IF(AND(B1831&lt;&gt;"",ISNA(MATCH(B1831,pr_code,0))),"Article inconnu",IF(H1831="","Désignation manquante",IF(OR(NOT(ISNUMBER(D1831)),N(D1831)&lt;=0),"Quantité invalide",IF(J1831="","Prix manquant",IF(OR(NOT(ISNUMBER(J1831)),N(J1831)&lt;0),"Prix invalide",IF(OR(AND(F1831&lt;&gt;"",NOT(ISNUMBER(F1831))),N(F1831)&lt;0,N(F1831)&gt;1),"Remise invalide",IF(K1831="","Taux de TVA manquant",IF(NOT(ISNUMBER(K1831)),"Taux de TVA invalide",IF(COUNTIF(p_rates,K1831)=0,"Taux de TVA hors liste (Paramètres)",IF(N(O1831)&gt;25,"Au-delà de 25 lignes : non imprimée","OK")))))))))))))</f>
        <v/>
      </c>
      <c r="O1831" s="59" t="str">
        <f>IF(A1831="","",COUNTIF($A$6:A1831,A1831))</f>
        <v/>
      </c>
      <c r="P1831" s="62" t="str">
        <f>IF(A1831="","",A1831&amp;"|"&amp;O1831)</f>
        <v/>
      </c>
    </row>
    <row r="1832">
      <c r="A1832" s="60" t="n"/>
      <c r="B1832" s="63" t="n"/>
      <c r="C1832" s="63" t="n"/>
      <c r="D1832" s="67" t="n"/>
      <c r="E1832" s="68" t="n"/>
      <c r="F1832" s="69" t="n"/>
      <c r="G1832" s="70" t="n"/>
      <c r="H1832" s="62" t="str">
        <f>IF(COUNTA(A1832:G1832)=0,"",IF(C1832&lt;&gt;"",C1832,IF(B1832="","",IFERROR(INDEX(pr_des,MATCH(B1832,pr_code,0))&amp;"",""))))</f>
        <v/>
      </c>
      <c r="I1832" s="59" t="str">
        <f>IF(B1832="","",IFERROR(INDEX(pr_unit,MATCH(B1832,pr_code,0))&amp;"",""))</f>
        <v/>
      </c>
      <c r="J1832" s="65" t="str">
        <f>IF(COUNTA(A1832:G1832)=0,"",IF(E1832&lt;&gt;"",E1832,IF(B1832="","",IFERROR(IF(INDEX(pr_price,MATCH(B1832,pr_code,0))="","",INDEX(pr_price,MATCH(B1832,pr_code,0))),""))))</f>
        <v/>
      </c>
      <c r="K1832" s="71" t="str">
        <f>IF(COUNTA(A1832:G1832)=0,"",IF(G1832&lt;&gt;"",G1832,IF(B1832="","",IFERROR(IF(INDEX(pr_rate,MATCH(B1832,pr_code,0))="","",INDEX(pr_rate,MATCH(B1832,pr_code,0))),""))))</f>
        <v/>
      </c>
      <c r="L1832" s="65" t="str">
        <f>IF(COUNTA(A1832:G1832)=0,"",IF(AND(ISNUMBER(D1832),ISNUMBER(J1832)),ROUND(D1832*J1832*(1-N(F1832)),2),0))</f>
        <v/>
      </c>
      <c r="M1832" s="62" t="str">
        <f>IF(A1832="","",IFERROR(INDEX(fa_cname,MATCH(A1832,fa_num,0))&amp;"",""))</f>
        <v/>
      </c>
      <c r="N1832" s="59" t="str">
        <f>IF(COUNTA(A1832:G1832)=0,"",IF(A1832="","N° facture manquant",IF(ISNA(MATCH(A1832,fa_num,0)),"Facture inconnue",IF(AND(B1832&lt;&gt;"",ISNA(MATCH(B1832,pr_code,0))),"Article inconnu",IF(H1832="","Désignation manquante",IF(OR(NOT(ISNUMBER(D1832)),N(D1832)&lt;=0),"Quantité invalide",IF(J1832="","Prix manquant",IF(OR(NOT(ISNUMBER(J1832)),N(J1832)&lt;0),"Prix invalide",IF(OR(AND(F1832&lt;&gt;"",NOT(ISNUMBER(F1832))),N(F1832)&lt;0,N(F1832)&gt;1),"Remise invalide",IF(K1832="","Taux de TVA manquant",IF(NOT(ISNUMBER(K1832)),"Taux de TVA invalide",IF(COUNTIF(p_rates,K1832)=0,"Taux de TVA hors liste (Paramètres)",IF(N(O1832)&gt;25,"Au-delà de 25 lignes : non imprimée","OK")))))))))))))</f>
        <v/>
      </c>
      <c r="O1832" s="59" t="str">
        <f>IF(A1832="","",COUNTIF($A$6:A1832,A1832))</f>
        <v/>
      </c>
      <c r="P1832" s="62" t="str">
        <f>IF(A1832="","",A1832&amp;"|"&amp;O1832)</f>
        <v/>
      </c>
    </row>
    <row r="1833">
      <c r="A1833" s="60" t="n"/>
      <c r="B1833" s="63" t="n"/>
      <c r="C1833" s="63" t="n"/>
      <c r="D1833" s="67" t="n"/>
      <c r="E1833" s="68" t="n"/>
      <c r="F1833" s="69" t="n"/>
      <c r="G1833" s="70" t="n"/>
      <c r="H1833" s="62" t="str">
        <f>IF(COUNTA(A1833:G1833)=0,"",IF(C1833&lt;&gt;"",C1833,IF(B1833="","",IFERROR(INDEX(pr_des,MATCH(B1833,pr_code,0))&amp;"",""))))</f>
        <v/>
      </c>
      <c r="I1833" s="59" t="str">
        <f>IF(B1833="","",IFERROR(INDEX(pr_unit,MATCH(B1833,pr_code,0))&amp;"",""))</f>
        <v/>
      </c>
      <c r="J1833" s="65" t="str">
        <f>IF(COUNTA(A1833:G1833)=0,"",IF(E1833&lt;&gt;"",E1833,IF(B1833="","",IFERROR(IF(INDEX(pr_price,MATCH(B1833,pr_code,0))="","",INDEX(pr_price,MATCH(B1833,pr_code,0))),""))))</f>
        <v/>
      </c>
      <c r="K1833" s="71" t="str">
        <f>IF(COUNTA(A1833:G1833)=0,"",IF(G1833&lt;&gt;"",G1833,IF(B1833="","",IFERROR(IF(INDEX(pr_rate,MATCH(B1833,pr_code,0))="","",INDEX(pr_rate,MATCH(B1833,pr_code,0))),""))))</f>
        <v/>
      </c>
      <c r="L1833" s="65" t="str">
        <f>IF(COUNTA(A1833:G1833)=0,"",IF(AND(ISNUMBER(D1833),ISNUMBER(J1833)),ROUND(D1833*J1833*(1-N(F1833)),2),0))</f>
        <v/>
      </c>
      <c r="M1833" s="62" t="str">
        <f>IF(A1833="","",IFERROR(INDEX(fa_cname,MATCH(A1833,fa_num,0))&amp;"",""))</f>
        <v/>
      </c>
      <c r="N1833" s="59" t="str">
        <f>IF(COUNTA(A1833:G1833)=0,"",IF(A1833="","N° facture manquant",IF(ISNA(MATCH(A1833,fa_num,0)),"Facture inconnue",IF(AND(B1833&lt;&gt;"",ISNA(MATCH(B1833,pr_code,0))),"Article inconnu",IF(H1833="","Désignation manquante",IF(OR(NOT(ISNUMBER(D1833)),N(D1833)&lt;=0),"Quantité invalide",IF(J1833="","Prix manquant",IF(OR(NOT(ISNUMBER(J1833)),N(J1833)&lt;0),"Prix invalide",IF(OR(AND(F1833&lt;&gt;"",NOT(ISNUMBER(F1833))),N(F1833)&lt;0,N(F1833)&gt;1),"Remise invalide",IF(K1833="","Taux de TVA manquant",IF(NOT(ISNUMBER(K1833)),"Taux de TVA invalide",IF(COUNTIF(p_rates,K1833)=0,"Taux de TVA hors liste (Paramètres)",IF(N(O1833)&gt;25,"Au-delà de 25 lignes : non imprimée","OK")))))))))))))</f>
        <v/>
      </c>
      <c r="O1833" s="59" t="str">
        <f>IF(A1833="","",COUNTIF($A$6:A1833,A1833))</f>
        <v/>
      </c>
      <c r="P1833" s="62" t="str">
        <f>IF(A1833="","",A1833&amp;"|"&amp;O1833)</f>
        <v/>
      </c>
    </row>
    <row r="1834">
      <c r="A1834" s="60" t="n"/>
      <c r="B1834" s="63" t="n"/>
      <c r="C1834" s="63" t="n"/>
      <c r="D1834" s="67" t="n"/>
      <c r="E1834" s="68" t="n"/>
      <c r="F1834" s="69" t="n"/>
      <c r="G1834" s="70" t="n"/>
      <c r="H1834" s="62" t="str">
        <f>IF(COUNTA(A1834:G1834)=0,"",IF(C1834&lt;&gt;"",C1834,IF(B1834="","",IFERROR(INDEX(pr_des,MATCH(B1834,pr_code,0))&amp;"",""))))</f>
        <v/>
      </c>
      <c r="I1834" s="59" t="str">
        <f>IF(B1834="","",IFERROR(INDEX(pr_unit,MATCH(B1834,pr_code,0))&amp;"",""))</f>
        <v/>
      </c>
      <c r="J1834" s="65" t="str">
        <f>IF(COUNTA(A1834:G1834)=0,"",IF(E1834&lt;&gt;"",E1834,IF(B1834="","",IFERROR(IF(INDEX(pr_price,MATCH(B1834,pr_code,0))="","",INDEX(pr_price,MATCH(B1834,pr_code,0))),""))))</f>
        <v/>
      </c>
      <c r="K1834" s="71" t="str">
        <f>IF(COUNTA(A1834:G1834)=0,"",IF(G1834&lt;&gt;"",G1834,IF(B1834="","",IFERROR(IF(INDEX(pr_rate,MATCH(B1834,pr_code,0))="","",INDEX(pr_rate,MATCH(B1834,pr_code,0))),""))))</f>
        <v/>
      </c>
      <c r="L1834" s="65" t="str">
        <f>IF(COUNTA(A1834:G1834)=0,"",IF(AND(ISNUMBER(D1834),ISNUMBER(J1834)),ROUND(D1834*J1834*(1-N(F1834)),2),0))</f>
        <v/>
      </c>
      <c r="M1834" s="62" t="str">
        <f>IF(A1834="","",IFERROR(INDEX(fa_cname,MATCH(A1834,fa_num,0))&amp;"",""))</f>
        <v/>
      </c>
      <c r="N1834" s="59" t="str">
        <f>IF(COUNTA(A1834:G1834)=0,"",IF(A1834="","N° facture manquant",IF(ISNA(MATCH(A1834,fa_num,0)),"Facture inconnue",IF(AND(B1834&lt;&gt;"",ISNA(MATCH(B1834,pr_code,0))),"Article inconnu",IF(H1834="","Désignation manquante",IF(OR(NOT(ISNUMBER(D1834)),N(D1834)&lt;=0),"Quantité invalide",IF(J1834="","Prix manquant",IF(OR(NOT(ISNUMBER(J1834)),N(J1834)&lt;0),"Prix invalide",IF(OR(AND(F1834&lt;&gt;"",NOT(ISNUMBER(F1834))),N(F1834)&lt;0,N(F1834)&gt;1),"Remise invalide",IF(K1834="","Taux de TVA manquant",IF(NOT(ISNUMBER(K1834)),"Taux de TVA invalide",IF(COUNTIF(p_rates,K1834)=0,"Taux de TVA hors liste (Paramètres)",IF(N(O1834)&gt;25,"Au-delà de 25 lignes : non imprimée","OK")))))))))))))</f>
        <v/>
      </c>
      <c r="O1834" s="59" t="str">
        <f>IF(A1834="","",COUNTIF($A$6:A1834,A1834))</f>
        <v/>
      </c>
      <c r="P1834" s="62" t="str">
        <f>IF(A1834="","",A1834&amp;"|"&amp;O1834)</f>
        <v/>
      </c>
    </row>
    <row r="1835">
      <c r="A1835" s="60" t="n"/>
      <c r="B1835" s="63" t="n"/>
      <c r="C1835" s="63" t="n"/>
      <c r="D1835" s="67" t="n"/>
      <c r="E1835" s="68" t="n"/>
      <c r="F1835" s="69" t="n"/>
      <c r="G1835" s="70" t="n"/>
      <c r="H1835" s="62" t="str">
        <f>IF(COUNTA(A1835:G1835)=0,"",IF(C1835&lt;&gt;"",C1835,IF(B1835="","",IFERROR(INDEX(pr_des,MATCH(B1835,pr_code,0))&amp;"",""))))</f>
        <v/>
      </c>
      <c r="I1835" s="59" t="str">
        <f>IF(B1835="","",IFERROR(INDEX(pr_unit,MATCH(B1835,pr_code,0))&amp;"",""))</f>
        <v/>
      </c>
      <c r="J1835" s="65" t="str">
        <f>IF(COUNTA(A1835:G1835)=0,"",IF(E1835&lt;&gt;"",E1835,IF(B1835="","",IFERROR(IF(INDEX(pr_price,MATCH(B1835,pr_code,0))="","",INDEX(pr_price,MATCH(B1835,pr_code,0))),""))))</f>
        <v/>
      </c>
      <c r="K1835" s="71" t="str">
        <f>IF(COUNTA(A1835:G1835)=0,"",IF(G1835&lt;&gt;"",G1835,IF(B1835="","",IFERROR(IF(INDEX(pr_rate,MATCH(B1835,pr_code,0))="","",INDEX(pr_rate,MATCH(B1835,pr_code,0))),""))))</f>
        <v/>
      </c>
      <c r="L1835" s="65" t="str">
        <f>IF(COUNTA(A1835:G1835)=0,"",IF(AND(ISNUMBER(D1835),ISNUMBER(J1835)),ROUND(D1835*J1835*(1-N(F1835)),2),0))</f>
        <v/>
      </c>
      <c r="M1835" s="62" t="str">
        <f>IF(A1835="","",IFERROR(INDEX(fa_cname,MATCH(A1835,fa_num,0))&amp;"",""))</f>
        <v/>
      </c>
      <c r="N1835" s="59" t="str">
        <f>IF(COUNTA(A1835:G1835)=0,"",IF(A1835="","N° facture manquant",IF(ISNA(MATCH(A1835,fa_num,0)),"Facture inconnue",IF(AND(B1835&lt;&gt;"",ISNA(MATCH(B1835,pr_code,0))),"Article inconnu",IF(H1835="","Désignation manquante",IF(OR(NOT(ISNUMBER(D1835)),N(D1835)&lt;=0),"Quantité invalide",IF(J1835="","Prix manquant",IF(OR(NOT(ISNUMBER(J1835)),N(J1835)&lt;0),"Prix invalide",IF(OR(AND(F1835&lt;&gt;"",NOT(ISNUMBER(F1835))),N(F1835)&lt;0,N(F1835)&gt;1),"Remise invalide",IF(K1835="","Taux de TVA manquant",IF(NOT(ISNUMBER(K1835)),"Taux de TVA invalide",IF(COUNTIF(p_rates,K1835)=0,"Taux de TVA hors liste (Paramètres)",IF(N(O1835)&gt;25,"Au-delà de 25 lignes : non imprimée","OK")))))))))))))</f>
        <v/>
      </c>
      <c r="O1835" s="59" t="str">
        <f>IF(A1835="","",COUNTIF($A$6:A1835,A1835))</f>
        <v/>
      </c>
      <c r="P1835" s="62" t="str">
        <f>IF(A1835="","",A1835&amp;"|"&amp;O1835)</f>
        <v/>
      </c>
    </row>
    <row r="1836">
      <c r="A1836" s="60" t="n"/>
      <c r="B1836" s="63" t="n"/>
      <c r="C1836" s="63" t="n"/>
      <c r="D1836" s="67" t="n"/>
      <c r="E1836" s="68" t="n"/>
      <c r="F1836" s="69" t="n"/>
      <c r="G1836" s="70" t="n"/>
      <c r="H1836" s="62" t="str">
        <f>IF(COUNTA(A1836:G1836)=0,"",IF(C1836&lt;&gt;"",C1836,IF(B1836="","",IFERROR(INDEX(pr_des,MATCH(B1836,pr_code,0))&amp;"",""))))</f>
        <v/>
      </c>
      <c r="I1836" s="59" t="str">
        <f>IF(B1836="","",IFERROR(INDEX(pr_unit,MATCH(B1836,pr_code,0))&amp;"",""))</f>
        <v/>
      </c>
      <c r="J1836" s="65" t="str">
        <f>IF(COUNTA(A1836:G1836)=0,"",IF(E1836&lt;&gt;"",E1836,IF(B1836="","",IFERROR(IF(INDEX(pr_price,MATCH(B1836,pr_code,0))="","",INDEX(pr_price,MATCH(B1836,pr_code,0))),""))))</f>
        <v/>
      </c>
      <c r="K1836" s="71" t="str">
        <f>IF(COUNTA(A1836:G1836)=0,"",IF(G1836&lt;&gt;"",G1836,IF(B1836="","",IFERROR(IF(INDEX(pr_rate,MATCH(B1836,pr_code,0))="","",INDEX(pr_rate,MATCH(B1836,pr_code,0))),""))))</f>
        <v/>
      </c>
      <c r="L1836" s="65" t="str">
        <f>IF(COUNTA(A1836:G1836)=0,"",IF(AND(ISNUMBER(D1836),ISNUMBER(J1836)),ROUND(D1836*J1836*(1-N(F1836)),2),0))</f>
        <v/>
      </c>
      <c r="M1836" s="62" t="str">
        <f>IF(A1836="","",IFERROR(INDEX(fa_cname,MATCH(A1836,fa_num,0))&amp;"",""))</f>
        <v/>
      </c>
      <c r="N1836" s="59" t="str">
        <f>IF(COUNTA(A1836:G1836)=0,"",IF(A1836="","N° facture manquant",IF(ISNA(MATCH(A1836,fa_num,0)),"Facture inconnue",IF(AND(B1836&lt;&gt;"",ISNA(MATCH(B1836,pr_code,0))),"Article inconnu",IF(H1836="","Désignation manquante",IF(OR(NOT(ISNUMBER(D1836)),N(D1836)&lt;=0),"Quantité invalide",IF(J1836="","Prix manquant",IF(OR(NOT(ISNUMBER(J1836)),N(J1836)&lt;0),"Prix invalide",IF(OR(AND(F1836&lt;&gt;"",NOT(ISNUMBER(F1836))),N(F1836)&lt;0,N(F1836)&gt;1),"Remise invalide",IF(K1836="","Taux de TVA manquant",IF(NOT(ISNUMBER(K1836)),"Taux de TVA invalide",IF(COUNTIF(p_rates,K1836)=0,"Taux de TVA hors liste (Paramètres)",IF(N(O1836)&gt;25,"Au-delà de 25 lignes : non imprimée","OK")))))))))))))</f>
        <v/>
      </c>
      <c r="O1836" s="59" t="str">
        <f>IF(A1836="","",COUNTIF($A$6:A1836,A1836))</f>
        <v/>
      </c>
      <c r="P1836" s="62" t="str">
        <f>IF(A1836="","",A1836&amp;"|"&amp;O1836)</f>
        <v/>
      </c>
    </row>
    <row r="1837">
      <c r="A1837" s="60" t="n"/>
      <c r="B1837" s="63" t="n"/>
      <c r="C1837" s="63" t="n"/>
      <c r="D1837" s="67" t="n"/>
      <c r="E1837" s="68" t="n"/>
      <c r="F1837" s="69" t="n"/>
      <c r="G1837" s="70" t="n"/>
      <c r="H1837" s="62" t="str">
        <f>IF(COUNTA(A1837:G1837)=0,"",IF(C1837&lt;&gt;"",C1837,IF(B1837="","",IFERROR(INDEX(pr_des,MATCH(B1837,pr_code,0))&amp;"",""))))</f>
        <v/>
      </c>
      <c r="I1837" s="59" t="str">
        <f>IF(B1837="","",IFERROR(INDEX(pr_unit,MATCH(B1837,pr_code,0))&amp;"",""))</f>
        <v/>
      </c>
      <c r="J1837" s="65" t="str">
        <f>IF(COUNTA(A1837:G1837)=0,"",IF(E1837&lt;&gt;"",E1837,IF(B1837="","",IFERROR(IF(INDEX(pr_price,MATCH(B1837,pr_code,0))="","",INDEX(pr_price,MATCH(B1837,pr_code,0))),""))))</f>
        <v/>
      </c>
      <c r="K1837" s="71" t="str">
        <f>IF(COUNTA(A1837:G1837)=0,"",IF(G1837&lt;&gt;"",G1837,IF(B1837="","",IFERROR(IF(INDEX(pr_rate,MATCH(B1837,pr_code,0))="","",INDEX(pr_rate,MATCH(B1837,pr_code,0))),""))))</f>
        <v/>
      </c>
      <c r="L1837" s="65" t="str">
        <f>IF(COUNTA(A1837:G1837)=0,"",IF(AND(ISNUMBER(D1837),ISNUMBER(J1837)),ROUND(D1837*J1837*(1-N(F1837)),2),0))</f>
        <v/>
      </c>
      <c r="M1837" s="62" t="str">
        <f>IF(A1837="","",IFERROR(INDEX(fa_cname,MATCH(A1837,fa_num,0))&amp;"",""))</f>
        <v/>
      </c>
      <c r="N1837" s="59" t="str">
        <f>IF(COUNTA(A1837:G1837)=0,"",IF(A1837="","N° facture manquant",IF(ISNA(MATCH(A1837,fa_num,0)),"Facture inconnue",IF(AND(B1837&lt;&gt;"",ISNA(MATCH(B1837,pr_code,0))),"Article inconnu",IF(H1837="","Désignation manquante",IF(OR(NOT(ISNUMBER(D1837)),N(D1837)&lt;=0),"Quantité invalide",IF(J1837="","Prix manquant",IF(OR(NOT(ISNUMBER(J1837)),N(J1837)&lt;0),"Prix invalide",IF(OR(AND(F1837&lt;&gt;"",NOT(ISNUMBER(F1837))),N(F1837)&lt;0,N(F1837)&gt;1),"Remise invalide",IF(K1837="","Taux de TVA manquant",IF(NOT(ISNUMBER(K1837)),"Taux de TVA invalide",IF(COUNTIF(p_rates,K1837)=0,"Taux de TVA hors liste (Paramètres)",IF(N(O1837)&gt;25,"Au-delà de 25 lignes : non imprimée","OK")))))))))))))</f>
        <v/>
      </c>
      <c r="O1837" s="59" t="str">
        <f>IF(A1837="","",COUNTIF($A$6:A1837,A1837))</f>
        <v/>
      </c>
      <c r="P1837" s="62" t="str">
        <f>IF(A1837="","",A1837&amp;"|"&amp;O1837)</f>
        <v/>
      </c>
    </row>
    <row r="1838">
      <c r="A1838" s="60" t="n"/>
      <c r="B1838" s="63" t="n"/>
      <c r="C1838" s="63" t="n"/>
      <c r="D1838" s="67" t="n"/>
      <c r="E1838" s="68" t="n"/>
      <c r="F1838" s="69" t="n"/>
      <c r="G1838" s="70" t="n"/>
      <c r="H1838" s="62" t="str">
        <f>IF(COUNTA(A1838:G1838)=0,"",IF(C1838&lt;&gt;"",C1838,IF(B1838="","",IFERROR(INDEX(pr_des,MATCH(B1838,pr_code,0))&amp;"",""))))</f>
        <v/>
      </c>
      <c r="I1838" s="59" t="str">
        <f>IF(B1838="","",IFERROR(INDEX(pr_unit,MATCH(B1838,pr_code,0))&amp;"",""))</f>
        <v/>
      </c>
      <c r="J1838" s="65" t="str">
        <f>IF(COUNTA(A1838:G1838)=0,"",IF(E1838&lt;&gt;"",E1838,IF(B1838="","",IFERROR(IF(INDEX(pr_price,MATCH(B1838,pr_code,0))="","",INDEX(pr_price,MATCH(B1838,pr_code,0))),""))))</f>
        <v/>
      </c>
      <c r="K1838" s="71" t="str">
        <f>IF(COUNTA(A1838:G1838)=0,"",IF(G1838&lt;&gt;"",G1838,IF(B1838="","",IFERROR(IF(INDEX(pr_rate,MATCH(B1838,pr_code,0))="","",INDEX(pr_rate,MATCH(B1838,pr_code,0))),""))))</f>
        <v/>
      </c>
      <c r="L1838" s="65" t="str">
        <f>IF(COUNTA(A1838:G1838)=0,"",IF(AND(ISNUMBER(D1838),ISNUMBER(J1838)),ROUND(D1838*J1838*(1-N(F1838)),2),0))</f>
        <v/>
      </c>
      <c r="M1838" s="62" t="str">
        <f>IF(A1838="","",IFERROR(INDEX(fa_cname,MATCH(A1838,fa_num,0))&amp;"",""))</f>
        <v/>
      </c>
      <c r="N1838" s="59" t="str">
        <f>IF(COUNTA(A1838:G1838)=0,"",IF(A1838="","N° facture manquant",IF(ISNA(MATCH(A1838,fa_num,0)),"Facture inconnue",IF(AND(B1838&lt;&gt;"",ISNA(MATCH(B1838,pr_code,0))),"Article inconnu",IF(H1838="","Désignation manquante",IF(OR(NOT(ISNUMBER(D1838)),N(D1838)&lt;=0),"Quantité invalide",IF(J1838="","Prix manquant",IF(OR(NOT(ISNUMBER(J1838)),N(J1838)&lt;0),"Prix invalide",IF(OR(AND(F1838&lt;&gt;"",NOT(ISNUMBER(F1838))),N(F1838)&lt;0,N(F1838)&gt;1),"Remise invalide",IF(K1838="","Taux de TVA manquant",IF(NOT(ISNUMBER(K1838)),"Taux de TVA invalide",IF(COUNTIF(p_rates,K1838)=0,"Taux de TVA hors liste (Paramètres)",IF(N(O1838)&gt;25,"Au-delà de 25 lignes : non imprimée","OK")))))))))))))</f>
        <v/>
      </c>
      <c r="O1838" s="59" t="str">
        <f>IF(A1838="","",COUNTIF($A$6:A1838,A1838))</f>
        <v/>
      </c>
      <c r="P1838" s="62" t="str">
        <f>IF(A1838="","",A1838&amp;"|"&amp;O1838)</f>
        <v/>
      </c>
    </row>
    <row r="1839">
      <c r="A1839" s="60" t="n"/>
      <c r="B1839" s="63" t="n"/>
      <c r="C1839" s="63" t="n"/>
      <c r="D1839" s="67" t="n"/>
      <c r="E1839" s="68" t="n"/>
      <c r="F1839" s="69" t="n"/>
      <c r="G1839" s="70" t="n"/>
      <c r="H1839" s="62" t="str">
        <f>IF(COUNTA(A1839:G1839)=0,"",IF(C1839&lt;&gt;"",C1839,IF(B1839="","",IFERROR(INDEX(pr_des,MATCH(B1839,pr_code,0))&amp;"",""))))</f>
        <v/>
      </c>
      <c r="I1839" s="59" t="str">
        <f>IF(B1839="","",IFERROR(INDEX(pr_unit,MATCH(B1839,pr_code,0))&amp;"",""))</f>
        <v/>
      </c>
      <c r="J1839" s="65" t="str">
        <f>IF(COUNTA(A1839:G1839)=0,"",IF(E1839&lt;&gt;"",E1839,IF(B1839="","",IFERROR(IF(INDEX(pr_price,MATCH(B1839,pr_code,0))="","",INDEX(pr_price,MATCH(B1839,pr_code,0))),""))))</f>
        <v/>
      </c>
      <c r="K1839" s="71" t="str">
        <f>IF(COUNTA(A1839:G1839)=0,"",IF(G1839&lt;&gt;"",G1839,IF(B1839="","",IFERROR(IF(INDEX(pr_rate,MATCH(B1839,pr_code,0))="","",INDEX(pr_rate,MATCH(B1839,pr_code,0))),""))))</f>
        <v/>
      </c>
      <c r="L1839" s="65" t="str">
        <f>IF(COUNTA(A1839:G1839)=0,"",IF(AND(ISNUMBER(D1839),ISNUMBER(J1839)),ROUND(D1839*J1839*(1-N(F1839)),2),0))</f>
        <v/>
      </c>
      <c r="M1839" s="62" t="str">
        <f>IF(A1839="","",IFERROR(INDEX(fa_cname,MATCH(A1839,fa_num,0))&amp;"",""))</f>
        <v/>
      </c>
      <c r="N1839" s="59" t="str">
        <f>IF(COUNTA(A1839:G1839)=0,"",IF(A1839="","N° facture manquant",IF(ISNA(MATCH(A1839,fa_num,0)),"Facture inconnue",IF(AND(B1839&lt;&gt;"",ISNA(MATCH(B1839,pr_code,0))),"Article inconnu",IF(H1839="","Désignation manquante",IF(OR(NOT(ISNUMBER(D1839)),N(D1839)&lt;=0),"Quantité invalide",IF(J1839="","Prix manquant",IF(OR(NOT(ISNUMBER(J1839)),N(J1839)&lt;0),"Prix invalide",IF(OR(AND(F1839&lt;&gt;"",NOT(ISNUMBER(F1839))),N(F1839)&lt;0,N(F1839)&gt;1),"Remise invalide",IF(K1839="","Taux de TVA manquant",IF(NOT(ISNUMBER(K1839)),"Taux de TVA invalide",IF(COUNTIF(p_rates,K1839)=0,"Taux de TVA hors liste (Paramètres)",IF(N(O1839)&gt;25,"Au-delà de 25 lignes : non imprimée","OK")))))))))))))</f>
        <v/>
      </c>
      <c r="O1839" s="59" t="str">
        <f>IF(A1839="","",COUNTIF($A$6:A1839,A1839))</f>
        <v/>
      </c>
      <c r="P1839" s="62" t="str">
        <f>IF(A1839="","",A1839&amp;"|"&amp;O1839)</f>
        <v/>
      </c>
    </row>
    <row r="1840">
      <c r="A1840" s="60" t="n"/>
      <c r="B1840" s="63" t="n"/>
      <c r="C1840" s="63" t="n"/>
      <c r="D1840" s="67" t="n"/>
      <c r="E1840" s="68" t="n"/>
      <c r="F1840" s="69" t="n"/>
      <c r="G1840" s="70" t="n"/>
      <c r="H1840" s="62" t="str">
        <f>IF(COUNTA(A1840:G1840)=0,"",IF(C1840&lt;&gt;"",C1840,IF(B1840="","",IFERROR(INDEX(pr_des,MATCH(B1840,pr_code,0))&amp;"",""))))</f>
        <v/>
      </c>
      <c r="I1840" s="59" t="str">
        <f>IF(B1840="","",IFERROR(INDEX(pr_unit,MATCH(B1840,pr_code,0))&amp;"",""))</f>
        <v/>
      </c>
      <c r="J1840" s="65" t="str">
        <f>IF(COUNTA(A1840:G1840)=0,"",IF(E1840&lt;&gt;"",E1840,IF(B1840="","",IFERROR(IF(INDEX(pr_price,MATCH(B1840,pr_code,0))="","",INDEX(pr_price,MATCH(B1840,pr_code,0))),""))))</f>
        <v/>
      </c>
      <c r="K1840" s="71" t="str">
        <f>IF(COUNTA(A1840:G1840)=0,"",IF(G1840&lt;&gt;"",G1840,IF(B1840="","",IFERROR(IF(INDEX(pr_rate,MATCH(B1840,pr_code,0))="","",INDEX(pr_rate,MATCH(B1840,pr_code,0))),""))))</f>
        <v/>
      </c>
      <c r="L1840" s="65" t="str">
        <f>IF(COUNTA(A1840:G1840)=0,"",IF(AND(ISNUMBER(D1840),ISNUMBER(J1840)),ROUND(D1840*J1840*(1-N(F1840)),2),0))</f>
        <v/>
      </c>
      <c r="M1840" s="62" t="str">
        <f>IF(A1840="","",IFERROR(INDEX(fa_cname,MATCH(A1840,fa_num,0))&amp;"",""))</f>
        <v/>
      </c>
      <c r="N1840" s="59" t="str">
        <f>IF(COUNTA(A1840:G1840)=0,"",IF(A1840="","N° facture manquant",IF(ISNA(MATCH(A1840,fa_num,0)),"Facture inconnue",IF(AND(B1840&lt;&gt;"",ISNA(MATCH(B1840,pr_code,0))),"Article inconnu",IF(H1840="","Désignation manquante",IF(OR(NOT(ISNUMBER(D1840)),N(D1840)&lt;=0),"Quantité invalide",IF(J1840="","Prix manquant",IF(OR(NOT(ISNUMBER(J1840)),N(J1840)&lt;0),"Prix invalide",IF(OR(AND(F1840&lt;&gt;"",NOT(ISNUMBER(F1840))),N(F1840)&lt;0,N(F1840)&gt;1),"Remise invalide",IF(K1840="","Taux de TVA manquant",IF(NOT(ISNUMBER(K1840)),"Taux de TVA invalide",IF(COUNTIF(p_rates,K1840)=0,"Taux de TVA hors liste (Paramètres)",IF(N(O1840)&gt;25,"Au-delà de 25 lignes : non imprimée","OK")))))))))))))</f>
        <v/>
      </c>
      <c r="O1840" s="59" t="str">
        <f>IF(A1840="","",COUNTIF($A$6:A1840,A1840))</f>
        <v/>
      </c>
      <c r="P1840" s="62" t="str">
        <f>IF(A1840="","",A1840&amp;"|"&amp;O1840)</f>
        <v/>
      </c>
    </row>
    <row r="1841">
      <c r="A1841" s="60" t="n"/>
      <c r="B1841" s="63" t="n"/>
      <c r="C1841" s="63" t="n"/>
      <c r="D1841" s="67" t="n"/>
      <c r="E1841" s="68" t="n"/>
      <c r="F1841" s="69" t="n"/>
      <c r="G1841" s="70" t="n"/>
      <c r="H1841" s="62" t="str">
        <f>IF(COUNTA(A1841:G1841)=0,"",IF(C1841&lt;&gt;"",C1841,IF(B1841="","",IFERROR(INDEX(pr_des,MATCH(B1841,pr_code,0))&amp;"",""))))</f>
        <v/>
      </c>
      <c r="I1841" s="59" t="str">
        <f>IF(B1841="","",IFERROR(INDEX(pr_unit,MATCH(B1841,pr_code,0))&amp;"",""))</f>
        <v/>
      </c>
      <c r="J1841" s="65" t="str">
        <f>IF(COUNTA(A1841:G1841)=0,"",IF(E1841&lt;&gt;"",E1841,IF(B1841="","",IFERROR(IF(INDEX(pr_price,MATCH(B1841,pr_code,0))="","",INDEX(pr_price,MATCH(B1841,pr_code,0))),""))))</f>
        <v/>
      </c>
      <c r="K1841" s="71" t="str">
        <f>IF(COUNTA(A1841:G1841)=0,"",IF(G1841&lt;&gt;"",G1841,IF(B1841="","",IFERROR(IF(INDEX(pr_rate,MATCH(B1841,pr_code,0))="","",INDEX(pr_rate,MATCH(B1841,pr_code,0))),""))))</f>
        <v/>
      </c>
      <c r="L1841" s="65" t="str">
        <f>IF(COUNTA(A1841:G1841)=0,"",IF(AND(ISNUMBER(D1841),ISNUMBER(J1841)),ROUND(D1841*J1841*(1-N(F1841)),2),0))</f>
        <v/>
      </c>
      <c r="M1841" s="62" t="str">
        <f>IF(A1841="","",IFERROR(INDEX(fa_cname,MATCH(A1841,fa_num,0))&amp;"",""))</f>
        <v/>
      </c>
      <c r="N1841" s="59" t="str">
        <f>IF(COUNTA(A1841:G1841)=0,"",IF(A1841="","N° facture manquant",IF(ISNA(MATCH(A1841,fa_num,0)),"Facture inconnue",IF(AND(B1841&lt;&gt;"",ISNA(MATCH(B1841,pr_code,0))),"Article inconnu",IF(H1841="","Désignation manquante",IF(OR(NOT(ISNUMBER(D1841)),N(D1841)&lt;=0),"Quantité invalide",IF(J1841="","Prix manquant",IF(OR(NOT(ISNUMBER(J1841)),N(J1841)&lt;0),"Prix invalide",IF(OR(AND(F1841&lt;&gt;"",NOT(ISNUMBER(F1841))),N(F1841)&lt;0,N(F1841)&gt;1),"Remise invalide",IF(K1841="","Taux de TVA manquant",IF(NOT(ISNUMBER(K1841)),"Taux de TVA invalide",IF(COUNTIF(p_rates,K1841)=0,"Taux de TVA hors liste (Paramètres)",IF(N(O1841)&gt;25,"Au-delà de 25 lignes : non imprimée","OK")))))))))))))</f>
        <v/>
      </c>
      <c r="O1841" s="59" t="str">
        <f>IF(A1841="","",COUNTIF($A$6:A1841,A1841))</f>
        <v/>
      </c>
      <c r="P1841" s="62" t="str">
        <f>IF(A1841="","",A1841&amp;"|"&amp;O1841)</f>
        <v/>
      </c>
    </row>
    <row r="1842">
      <c r="A1842" s="60" t="n"/>
      <c r="B1842" s="63" t="n"/>
      <c r="C1842" s="63" t="n"/>
      <c r="D1842" s="67" t="n"/>
      <c r="E1842" s="68" t="n"/>
      <c r="F1842" s="69" t="n"/>
      <c r="G1842" s="70" t="n"/>
      <c r="H1842" s="62" t="str">
        <f>IF(COUNTA(A1842:G1842)=0,"",IF(C1842&lt;&gt;"",C1842,IF(B1842="","",IFERROR(INDEX(pr_des,MATCH(B1842,pr_code,0))&amp;"",""))))</f>
        <v/>
      </c>
      <c r="I1842" s="59" t="str">
        <f>IF(B1842="","",IFERROR(INDEX(pr_unit,MATCH(B1842,pr_code,0))&amp;"",""))</f>
        <v/>
      </c>
      <c r="J1842" s="65" t="str">
        <f>IF(COUNTA(A1842:G1842)=0,"",IF(E1842&lt;&gt;"",E1842,IF(B1842="","",IFERROR(IF(INDEX(pr_price,MATCH(B1842,pr_code,0))="","",INDEX(pr_price,MATCH(B1842,pr_code,0))),""))))</f>
        <v/>
      </c>
      <c r="K1842" s="71" t="str">
        <f>IF(COUNTA(A1842:G1842)=0,"",IF(G1842&lt;&gt;"",G1842,IF(B1842="","",IFERROR(IF(INDEX(pr_rate,MATCH(B1842,pr_code,0))="","",INDEX(pr_rate,MATCH(B1842,pr_code,0))),""))))</f>
        <v/>
      </c>
      <c r="L1842" s="65" t="str">
        <f>IF(COUNTA(A1842:G1842)=0,"",IF(AND(ISNUMBER(D1842),ISNUMBER(J1842)),ROUND(D1842*J1842*(1-N(F1842)),2),0))</f>
        <v/>
      </c>
      <c r="M1842" s="62" t="str">
        <f>IF(A1842="","",IFERROR(INDEX(fa_cname,MATCH(A1842,fa_num,0))&amp;"",""))</f>
        <v/>
      </c>
      <c r="N1842" s="59" t="str">
        <f>IF(COUNTA(A1842:G1842)=0,"",IF(A1842="","N° facture manquant",IF(ISNA(MATCH(A1842,fa_num,0)),"Facture inconnue",IF(AND(B1842&lt;&gt;"",ISNA(MATCH(B1842,pr_code,0))),"Article inconnu",IF(H1842="","Désignation manquante",IF(OR(NOT(ISNUMBER(D1842)),N(D1842)&lt;=0),"Quantité invalide",IF(J1842="","Prix manquant",IF(OR(NOT(ISNUMBER(J1842)),N(J1842)&lt;0),"Prix invalide",IF(OR(AND(F1842&lt;&gt;"",NOT(ISNUMBER(F1842))),N(F1842)&lt;0,N(F1842)&gt;1),"Remise invalide",IF(K1842="","Taux de TVA manquant",IF(NOT(ISNUMBER(K1842)),"Taux de TVA invalide",IF(COUNTIF(p_rates,K1842)=0,"Taux de TVA hors liste (Paramètres)",IF(N(O1842)&gt;25,"Au-delà de 25 lignes : non imprimée","OK")))))))))))))</f>
        <v/>
      </c>
      <c r="O1842" s="59" t="str">
        <f>IF(A1842="","",COUNTIF($A$6:A1842,A1842))</f>
        <v/>
      </c>
      <c r="P1842" s="62" t="str">
        <f>IF(A1842="","",A1842&amp;"|"&amp;O1842)</f>
        <v/>
      </c>
    </row>
    <row r="1843">
      <c r="A1843" s="60" t="n"/>
      <c r="B1843" s="63" t="n"/>
      <c r="C1843" s="63" t="n"/>
      <c r="D1843" s="67" t="n"/>
      <c r="E1843" s="68" t="n"/>
      <c r="F1843" s="69" t="n"/>
      <c r="G1843" s="70" t="n"/>
      <c r="H1843" s="62" t="str">
        <f>IF(COUNTA(A1843:G1843)=0,"",IF(C1843&lt;&gt;"",C1843,IF(B1843="","",IFERROR(INDEX(pr_des,MATCH(B1843,pr_code,0))&amp;"",""))))</f>
        <v/>
      </c>
      <c r="I1843" s="59" t="str">
        <f>IF(B1843="","",IFERROR(INDEX(pr_unit,MATCH(B1843,pr_code,0))&amp;"",""))</f>
        <v/>
      </c>
      <c r="J1843" s="65" t="str">
        <f>IF(COUNTA(A1843:G1843)=0,"",IF(E1843&lt;&gt;"",E1843,IF(B1843="","",IFERROR(IF(INDEX(pr_price,MATCH(B1843,pr_code,0))="","",INDEX(pr_price,MATCH(B1843,pr_code,0))),""))))</f>
        <v/>
      </c>
      <c r="K1843" s="71" t="str">
        <f>IF(COUNTA(A1843:G1843)=0,"",IF(G1843&lt;&gt;"",G1843,IF(B1843="","",IFERROR(IF(INDEX(pr_rate,MATCH(B1843,pr_code,0))="","",INDEX(pr_rate,MATCH(B1843,pr_code,0))),""))))</f>
        <v/>
      </c>
      <c r="L1843" s="65" t="str">
        <f>IF(COUNTA(A1843:G1843)=0,"",IF(AND(ISNUMBER(D1843),ISNUMBER(J1843)),ROUND(D1843*J1843*(1-N(F1843)),2),0))</f>
        <v/>
      </c>
      <c r="M1843" s="62" t="str">
        <f>IF(A1843="","",IFERROR(INDEX(fa_cname,MATCH(A1843,fa_num,0))&amp;"",""))</f>
        <v/>
      </c>
      <c r="N1843" s="59" t="str">
        <f>IF(COUNTA(A1843:G1843)=0,"",IF(A1843="","N° facture manquant",IF(ISNA(MATCH(A1843,fa_num,0)),"Facture inconnue",IF(AND(B1843&lt;&gt;"",ISNA(MATCH(B1843,pr_code,0))),"Article inconnu",IF(H1843="","Désignation manquante",IF(OR(NOT(ISNUMBER(D1843)),N(D1843)&lt;=0),"Quantité invalide",IF(J1843="","Prix manquant",IF(OR(NOT(ISNUMBER(J1843)),N(J1843)&lt;0),"Prix invalide",IF(OR(AND(F1843&lt;&gt;"",NOT(ISNUMBER(F1843))),N(F1843)&lt;0,N(F1843)&gt;1),"Remise invalide",IF(K1843="","Taux de TVA manquant",IF(NOT(ISNUMBER(K1843)),"Taux de TVA invalide",IF(COUNTIF(p_rates,K1843)=0,"Taux de TVA hors liste (Paramètres)",IF(N(O1843)&gt;25,"Au-delà de 25 lignes : non imprimée","OK")))))))))))))</f>
        <v/>
      </c>
      <c r="O1843" s="59" t="str">
        <f>IF(A1843="","",COUNTIF($A$6:A1843,A1843))</f>
        <v/>
      </c>
      <c r="P1843" s="62" t="str">
        <f>IF(A1843="","",A1843&amp;"|"&amp;O1843)</f>
        <v/>
      </c>
    </row>
    <row r="1844">
      <c r="A1844" s="60" t="n"/>
      <c r="B1844" s="63" t="n"/>
      <c r="C1844" s="63" t="n"/>
      <c r="D1844" s="67" t="n"/>
      <c r="E1844" s="68" t="n"/>
      <c r="F1844" s="69" t="n"/>
      <c r="G1844" s="70" t="n"/>
      <c r="H1844" s="62" t="str">
        <f>IF(COUNTA(A1844:G1844)=0,"",IF(C1844&lt;&gt;"",C1844,IF(B1844="","",IFERROR(INDEX(pr_des,MATCH(B1844,pr_code,0))&amp;"",""))))</f>
        <v/>
      </c>
      <c r="I1844" s="59" t="str">
        <f>IF(B1844="","",IFERROR(INDEX(pr_unit,MATCH(B1844,pr_code,0))&amp;"",""))</f>
        <v/>
      </c>
      <c r="J1844" s="65" t="str">
        <f>IF(COUNTA(A1844:G1844)=0,"",IF(E1844&lt;&gt;"",E1844,IF(B1844="","",IFERROR(IF(INDEX(pr_price,MATCH(B1844,pr_code,0))="","",INDEX(pr_price,MATCH(B1844,pr_code,0))),""))))</f>
        <v/>
      </c>
      <c r="K1844" s="71" t="str">
        <f>IF(COUNTA(A1844:G1844)=0,"",IF(G1844&lt;&gt;"",G1844,IF(B1844="","",IFERROR(IF(INDEX(pr_rate,MATCH(B1844,pr_code,0))="","",INDEX(pr_rate,MATCH(B1844,pr_code,0))),""))))</f>
        <v/>
      </c>
      <c r="L1844" s="65" t="str">
        <f>IF(COUNTA(A1844:G1844)=0,"",IF(AND(ISNUMBER(D1844),ISNUMBER(J1844)),ROUND(D1844*J1844*(1-N(F1844)),2),0))</f>
        <v/>
      </c>
      <c r="M1844" s="62" t="str">
        <f>IF(A1844="","",IFERROR(INDEX(fa_cname,MATCH(A1844,fa_num,0))&amp;"",""))</f>
        <v/>
      </c>
      <c r="N1844" s="59" t="str">
        <f>IF(COUNTA(A1844:G1844)=0,"",IF(A1844="","N° facture manquant",IF(ISNA(MATCH(A1844,fa_num,0)),"Facture inconnue",IF(AND(B1844&lt;&gt;"",ISNA(MATCH(B1844,pr_code,0))),"Article inconnu",IF(H1844="","Désignation manquante",IF(OR(NOT(ISNUMBER(D1844)),N(D1844)&lt;=0),"Quantité invalide",IF(J1844="","Prix manquant",IF(OR(NOT(ISNUMBER(J1844)),N(J1844)&lt;0),"Prix invalide",IF(OR(AND(F1844&lt;&gt;"",NOT(ISNUMBER(F1844))),N(F1844)&lt;0,N(F1844)&gt;1),"Remise invalide",IF(K1844="","Taux de TVA manquant",IF(NOT(ISNUMBER(K1844)),"Taux de TVA invalide",IF(COUNTIF(p_rates,K1844)=0,"Taux de TVA hors liste (Paramètres)",IF(N(O1844)&gt;25,"Au-delà de 25 lignes : non imprimée","OK")))))))))))))</f>
        <v/>
      </c>
      <c r="O1844" s="59" t="str">
        <f>IF(A1844="","",COUNTIF($A$6:A1844,A1844))</f>
        <v/>
      </c>
      <c r="P1844" s="62" t="str">
        <f>IF(A1844="","",A1844&amp;"|"&amp;O1844)</f>
        <v/>
      </c>
    </row>
    <row r="1845">
      <c r="A1845" s="60" t="n"/>
      <c r="B1845" s="63" t="n"/>
      <c r="C1845" s="63" t="n"/>
      <c r="D1845" s="67" t="n"/>
      <c r="E1845" s="68" t="n"/>
      <c r="F1845" s="69" t="n"/>
      <c r="G1845" s="70" t="n"/>
      <c r="H1845" s="62" t="str">
        <f>IF(COUNTA(A1845:G1845)=0,"",IF(C1845&lt;&gt;"",C1845,IF(B1845="","",IFERROR(INDEX(pr_des,MATCH(B1845,pr_code,0))&amp;"",""))))</f>
        <v/>
      </c>
      <c r="I1845" s="59" t="str">
        <f>IF(B1845="","",IFERROR(INDEX(pr_unit,MATCH(B1845,pr_code,0))&amp;"",""))</f>
        <v/>
      </c>
      <c r="J1845" s="65" t="str">
        <f>IF(COUNTA(A1845:G1845)=0,"",IF(E1845&lt;&gt;"",E1845,IF(B1845="","",IFERROR(IF(INDEX(pr_price,MATCH(B1845,pr_code,0))="","",INDEX(pr_price,MATCH(B1845,pr_code,0))),""))))</f>
        <v/>
      </c>
      <c r="K1845" s="71" t="str">
        <f>IF(COUNTA(A1845:G1845)=0,"",IF(G1845&lt;&gt;"",G1845,IF(B1845="","",IFERROR(IF(INDEX(pr_rate,MATCH(B1845,pr_code,0))="","",INDEX(pr_rate,MATCH(B1845,pr_code,0))),""))))</f>
        <v/>
      </c>
      <c r="L1845" s="65" t="str">
        <f>IF(COUNTA(A1845:G1845)=0,"",IF(AND(ISNUMBER(D1845),ISNUMBER(J1845)),ROUND(D1845*J1845*(1-N(F1845)),2),0))</f>
        <v/>
      </c>
      <c r="M1845" s="62" t="str">
        <f>IF(A1845="","",IFERROR(INDEX(fa_cname,MATCH(A1845,fa_num,0))&amp;"",""))</f>
        <v/>
      </c>
      <c r="N1845" s="59" t="str">
        <f>IF(COUNTA(A1845:G1845)=0,"",IF(A1845="","N° facture manquant",IF(ISNA(MATCH(A1845,fa_num,0)),"Facture inconnue",IF(AND(B1845&lt;&gt;"",ISNA(MATCH(B1845,pr_code,0))),"Article inconnu",IF(H1845="","Désignation manquante",IF(OR(NOT(ISNUMBER(D1845)),N(D1845)&lt;=0),"Quantité invalide",IF(J1845="","Prix manquant",IF(OR(NOT(ISNUMBER(J1845)),N(J1845)&lt;0),"Prix invalide",IF(OR(AND(F1845&lt;&gt;"",NOT(ISNUMBER(F1845))),N(F1845)&lt;0,N(F1845)&gt;1),"Remise invalide",IF(K1845="","Taux de TVA manquant",IF(NOT(ISNUMBER(K1845)),"Taux de TVA invalide",IF(COUNTIF(p_rates,K1845)=0,"Taux de TVA hors liste (Paramètres)",IF(N(O1845)&gt;25,"Au-delà de 25 lignes : non imprimée","OK")))))))))))))</f>
        <v/>
      </c>
      <c r="O1845" s="59" t="str">
        <f>IF(A1845="","",COUNTIF($A$6:A1845,A1845))</f>
        <v/>
      </c>
      <c r="P1845" s="62" t="str">
        <f>IF(A1845="","",A1845&amp;"|"&amp;O1845)</f>
        <v/>
      </c>
    </row>
    <row r="1846">
      <c r="A1846" s="60" t="n"/>
      <c r="B1846" s="63" t="n"/>
      <c r="C1846" s="63" t="n"/>
      <c r="D1846" s="67" t="n"/>
      <c r="E1846" s="68" t="n"/>
      <c r="F1846" s="69" t="n"/>
      <c r="G1846" s="70" t="n"/>
      <c r="H1846" s="62" t="str">
        <f>IF(COUNTA(A1846:G1846)=0,"",IF(C1846&lt;&gt;"",C1846,IF(B1846="","",IFERROR(INDEX(pr_des,MATCH(B1846,pr_code,0))&amp;"",""))))</f>
        <v/>
      </c>
      <c r="I1846" s="59" t="str">
        <f>IF(B1846="","",IFERROR(INDEX(pr_unit,MATCH(B1846,pr_code,0))&amp;"",""))</f>
        <v/>
      </c>
      <c r="J1846" s="65" t="str">
        <f>IF(COUNTA(A1846:G1846)=0,"",IF(E1846&lt;&gt;"",E1846,IF(B1846="","",IFERROR(IF(INDEX(pr_price,MATCH(B1846,pr_code,0))="","",INDEX(pr_price,MATCH(B1846,pr_code,0))),""))))</f>
        <v/>
      </c>
      <c r="K1846" s="71" t="str">
        <f>IF(COUNTA(A1846:G1846)=0,"",IF(G1846&lt;&gt;"",G1846,IF(B1846="","",IFERROR(IF(INDEX(pr_rate,MATCH(B1846,pr_code,0))="","",INDEX(pr_rate,MATCH(B1846,pr_code,0))),""))))</f>
        <v/>
      </c>
      <c r="L1846" s="65" t="str">
        <f>IF(COUNTA(A1846:G1846)=0,"",IF(AND(ISNUMBER(D1846),ISNUMBER(J1846)),ROUND(D1846*J1846*(1-N(F1846)),2),0))</f>
        <v/>
      </c>
      <c r="M1846" s="62" t="str">
        <f>IF(A1846="","",IFERROR(INDEX(fa_cname,MATCH(A1846,fa_num,0))&amp;"",""))</f>
        <v/>
      </c>
      <c r="N1846" s="59" t="str">
        <f>IF(COUNTA(A1846:G1846)=0,"",IF(A1846="","N° facture manquant",IF(ISNA(MATCH(A1846,fa_num,0)),"Facture inconnue",IF(AND(B1846&lt;&gt;"",ISNA(MATCH(B1846,pr_code,0))),"Article inconnu",IF(H1846="","Désignation manquante",IF(OR(NOT(ISNUMBER(D1846)),N(D1846)&lt;=0),"Quantité invalide",IF(J1846="","Prix manquant",IF(OR(NOT(ISNUMBER(J1846)),N(J1846)&lt;0),"Prix invalide",IF(OR(AND(F1846&lt;&gt;"",NOT(ISNUMBER(F1846))),N(F1846)&lt;0,N(F1846)&gt;1),"Remise invalide",IF(K1846="","Taux de TVA manquant",IF(NOT(ISNUMBER(K1846)),"Taux de TVA invalide",IF(COUNTIF(p_rates,K1846)=0,"Taux de TVA hors liste (Paramètres)",IF(N(O1846)&gt;25,"Au-delà de 25 lignes : non imprimée","OK")))))))))))))</f>
        <v/>
      </c>
      <c r="O1846" s="59" t="str">
        <f>IF(A1846="","",COUNTIF($A$6:A1846,A1846))</f>
        <v/>
      </c>
      <c r="P1846" s="62" t="str">
        <f>IF(A1846="","",A1846&amp;"|"&amp;O1846)</f>
        <v/>
      </c>
    </row>
    <row r="1847">
      <c r="A1847" s="60" t="n"/>
      <c r="B1847" s="63" t="n"/>
      <c r="C1847" s="63" t="n"/>
      <c r="D1847" s="67" t="n"/>
      <c r="E1847" s="68" t="n"/>
      <c r="F1847" s="69" t="n"/>
      <c r="G1847" s="70" t="n"/>
      <c r="H1847" s="62" t="str">
        <f>IF(COUNTA(A1847:G1847)=0,"",IF(C1847&lt;&gt;"",C1847,IF(B1847="","",IFERROR(INDEX(pr_des,MATCH(B1847,pr_code,0))&amp;"",""))))</f>
        <v/>
      </c>
      <c r="I1847" s="59" t="str">
        <f>IF(B1847="","",IFERROR(INDEX(pr_unit,MATCH(B1847,pr_code,0))&amp;"",""))</f>
        <v/>
      </c>
      <c r="J1847" s="65" t="str">
        <f>IF(COUNTA(A1847:G1847)=0,"",IF(E1847&lt;&gt;"",E1847,IF(B1847="","",IFERROR(IF(INDEX(pr_price,MATCH(B1847,pr_code,0))="","",INDEX(pr_price,MATCH(B1847,pr_code,0))),""))))</f>
        <v/>
      </c>
      <c r="K1847" s="71" t="str">
        <f>IF(COUNTA(A1847:G1847)=0,"",IF(G1847&lt;&gt;"",G1847,IF(B1847="","",IFERROR(IF(INDEX(pr_rate,MATCH(B1847,pr_code,0))="","",INDEX(pr_rate,MATCH(B1847,pr_code,0))),""))))</f>
        <v/>
      </c>
      <c r="L1847" s="65" t="str">
        <f>IF(COUNTA(A1847:G1847)=0,"",IF(AND(ISNUMBER(D1847),ISNUMBER(J1847)),ROUND(D1847*J1847*(1-N(F1847)),2),0))</f>
        <v/>
      </c>
      <c r="M1847" s="62" t="str">
        <f>IF(A1847="","",IFERROR(INDEX(fa_cname,MATCH(A1847,fa_num,0))&amp;"",""))</f>
        <v/>
      </c>
      <c r="N1847" s="59" t="str">
        <f>IF(COUNTA(A1847:G1847)=0,"",IF(A1847="","N° facture manquant",IF(ISNA(MATCH(A1847,fa_num,0)),"Facture inconnue",IF(AND(B1847&lt;&gt;"",ISNA(MATCH(B1847,pr_code,0))),"Article inconnu",IF(H1847="","Désignation manquante",IF(OR(NOT(ISNUMBER(D1847)),N(D1847)&lt;=0),"Quantité invalide",IF(J1847="","Prix manquant",IF(OR(NOT(ISNUMBER(J1847)),N(J1847)&lt;0),"Prix invalide",IF(OR(AND(F1847&lt;&gt;"",NOT(ISNUMBER(F1847))),N(F1847)&lt;0,N(F1847)&gt;1),"Remise invalide",IF(K1847="","Taux de TVA manquant",IF(NOT(ISNUMBER(K1847)),"Taux de TVA invalide",IF(COUNTIF(p_rates,K1847)=0,"Taux de TVA hors liste (Paramètres)",IF(N(O1847)&gt;25,"Au-delà de 25 lignes : non imprimée","OK")))))))))))))</f>
        <v/>
      </c>
      <c r="O1847" s="59" t="str">
        <f>IF(A1847="","",COUNTIF($A$6:A1847,A1847))</f>
        <v/>
      </c>
      <c r="P1847" s="62" t="str">
        <f>IF(A1847="","",A1847&amp;"|"&amp;O1847)</f>
        <v/>
      </c>
    </row>
    <row r="1848">
      <c r="A1848" s="60" t="n"/>
      <c r="B1848" s="63" t="n"/>
      <c r="C1848" s="63" t="n"/>
      <c r="D1848" s="67" t="n"/>
      <c r="E1848" s="68" t="n"/>
      <c r="F1848" s="69" t="n"/>
      <c r="G1848" s="70" t="n"/>
      <c r="H1848" s="62" t="str">
        <f>IF(COUNTA(A1848:G1848)=0,"",IF(C1848&lt;&gt;"",C1848,IF(B1848="","",IFERROR(INDEX(pr_des,MATCH(B1848,pr_code,0))&amp;"",""))))</f>
        <v/>
      </c>
      <c r="I1848" s="59" t="str">
        <f>IF(B1848="","",IFERROR(INDEX(pr_unit,MATCH(B1848,pr_code,0))&amp;"",""))</f>
        <v/>
      </c>
      <c r="J1848" s="65" t="str">
        <f>IF(COUNTA(A1848:G1848)=0,"",IF(E1848&lt;&gt;"",E1848,IF(B1848="","",IFERROR(IF(INDEX(pr_price,MATCH(B1848,pr_code,0))="","",INDEX(pr_price,MATCH(B1848,pr_code,0))),""))))</f>
        <v/>
      </c>
      <c r="K1848" s="71" t="str">
        <f>IF(COUNTA(A1848:G1848)=0,"",IF(G1848&lt;&gt;"",G1848,IF(B1848="","",IFERROR(IF(INDEX(pr_rate,MATCH(B1848,pr_code,0))="","",INDEX(pr_rate,MATCH(B1848,pr_code,0))),""))))</f>
        <v/>
      </c>
      <c r="L1848" s="65" t="str">
        <f>IF(COUNTA(A1848:G1848)=0,"",IF(AND(ISNUMBER(D1848),ISNUMBER(J1848)),ROUND(D1848*J1848*(1-N(F1848)),2),0))</f>
        <v/>
      </c>
      <c r="M1848" s="62" t="str">
        <f>IF(A1848="","",IFERROR(INDEX(fa_cname,MATCH(A1848,fa_num,0))&amp;"",""))</f>
        <v/>
      </c>
      <c r="N1848" s="59" t="str">
        <f>IF(COUNTA(A1848:G1848)=0,"",IF(A1848="","N° facture manquant",IF(ISNA(MATCH(A1848,fa_num,0)),"Facture inconnue",IF(AND(B1848&lt;&gt;"",ISNA(MATCH(B1848,pr_code,0))),"Article inconnu",IF(H1848="","Désignation manquante",IF(OR(NOT(ISNUMBER(D1848)),N(D1848)&lt;=0),"Quantité invalide",IF(J1848="","Prix manquant",IF(OR(NOT(ISNUMBER(J1848)),N(J1848)&lt;0),"Prix invalide",IF(OR(AND(F1848&lt;&gt;"",NOT(ISNUMBER(F1848))),N(F1848)&lt;0,N(F1848)&gt;1),"Remise invalide",IF(K1848="","Taux de TVA manquant",IF(NOT(ISNUMBER(K1848)),"Taux de TVA invalide",IF(COUNTIF(p_rates,K1848)=0,"Taux de TVA hors liste (Paramètres)",IF(N(O1848)&gt;25,"Au-delà de 25 lignes : non imprimée","OK")))))))))))))</f>
        <v/>
      </c>
      <c r="O1848" s="59" t="str">
        <f>IF(A1848="","",COUNTIF($A$6:A1848,A1848))</f>
        <v/>
      </c>
      <c r="P1848" s="62" t="str">
        <f>IF(A1848="","",A1848&amp;"|"&amp;O1848)</f>
        <v/>
      </c>
    </row>
    <row r="1849">
      <c r="A1849" s="60" t="n"/>
      <c r="B1849" s="63" t="n"/>
      <c r="C1849" s="63" t="n"/>
      <c r="D1849" s="67" t="n"/>
      <c r="E1849" s="68" t="n"/>
      <c r="F1849" s="69" t="n"/>
      <c r="G1849" s="70" t="n"/>
      <c r="H1849" s="62" t="str">
        <f>IF(COUNTA(A1849:G1849)=0,"",IF(C1849&lt;&gt;"",C1849,IF(B1849="","",IFERROR(INDEX(pr_des,MATCH(B1849,pr_code,0))&amp;"",""))))</f>
        <v/>
      </c>
      <c r="I1849" s="59" t="str">
        <f>IF(B1849="","",IFERROR(INDEX(pr_unit,MATCH(B1849,pr_code,0))&amp;"",""))</f>
        <v/>
      </c>
      <c r="J1849" s="65" t="str">
        <f>IF(COUNTA(A1849:G1849)=0,"",IF(E1849&lt;&gt;"",E1849,IF(B1849="","",IFERROR(IF(INDEX(pr_price,MATCH(B1849,pr_code,0))="","",INDEX(pr_price,MATCH(B1849,pr_code,0))),""))))</f>
        <v/>
      </c>
      <c r="K1849" s="71" t="str">
        <f>IF(COUNTA(A1849:G1849)=0,"",IF(G1849&lt;&gt;"",G1849,IF(B1849="","",IFERROR(IF(INDEX(pr_rate,MATCH(B1849,pr_code,0))="","",INDEX(pr_rate,MATCH(B1849,pr_code,0))),""))))</f>
        <v/>
      </c>
      <c r="L1849" s="65" t="str">
        <f>IF(COUNTA(A1849:G1849)=0,"",IF(AND(ISNUMBER(D1849),ISNUMBER(J1849)),ROUND(D1849*J1849*(1-N(F1849)),2),0))</f>
        <v/>
      </c>
      <c r="M1849" s="62" t="str">
        <f>IF(A1849="","",IFERROR(INDEX(fa_cname,MATCH(A1849,fa_num,0))&amp;"",""))</f>
        <v/>
      </c>
      <c r="N1849" s="59" t="str">
        <f>IF(COUNTA(A1849:G1849)=0,"",IF(A1849="","N° facture manquant",IF(ISNA(MATCH(A1849,fa_num,0)),"Facture inconnue",IF(AND(B1849&lt;&gt;"",ISNA(MATCH(B1849,pr_code,0))),"Article inconnu",IF(H1849="","Désignation manquante",IF(OR(NOT(ISNUMBER(D1849)),N(D1849)&lt;=0),"Quantité invalide",IF(J1849="","Prix manquant",IF(OR(NOT(ISNUMBER(J1849)),N(J1849)&lt;0),"Prix invalide",IF(OR(AND(F1849&lt;&gt;"",NOT(ISNUMBER(F1849))),N(F1849)&lt;0,N(F1849)&gt;1),"Remise invalide",IF(K1849="","Taux de TVA manquant",IF(NOT(ISNUMBER(K1849)),"Taux de TVA invalide",IF(COUNTIF(p_rates,K1849)=0,"Taux de TVA hors liste (Paramètres)",IF(N(O1849)&gt;25,"Au-delà de 25 lignes : non imprimée","OK")))))))))))))</f>
        <v/>
      </c>
      <c r="O1849" s="59" t="str">
        <f>IF(A1849="","",COUNTIF($A$6:A1849,A1849))</f>
        <v/>
      </c>
      <c r="P1849" s="62" t="str">
        <f>IF(A1849="","",A1849&amp;"|"&amp;O1849)</f>
        <v/>
      </c>
    </row>
    <row r="1850">
      <c r="A1850" s="60" t="n"/>
      <c r="B1850" s="63" t="n"/>
      <c r="C1850" s="63" t="n"/>
      <c r="D1850" s="67" t="n"/>
      <c r="E1850" s="68" t="n"/>
      <c r="F1850" s="69" t="n"/>
      <c r="G1850" s="70" t="n"/>
      <c r="H1850" s="62" t="str">
        <f>IF(COUNTA(A1850:G1850)=0,"",IF(C1850&lt;&gt;"",C1850,IF(B1850="","",IFERROR(INDEX(pr_des,MATCH(B1850,pr_code,0))&amp;"",""))))</f>
        <v/>
      </c>
      <c r="I1850" s="59" t="str">
        <f>IF(B1850="","",IFERROR(INDEX(pr_unit,MATCH(B1850,pr_code,0))&amp;"",""))</f>
        <v/>
      </c>
      <c r="J1850" s="65" t="str">
        <f>IF(COUNTA(A1850:G1850)=0,"",IF(E1850&lt;&gt;"",E1850,IF(B1850="","",IFERROR(IF(INDEX(pr_price,MATCH(B1850,pr_code,0))="","",INDEX(pr_price,MATCH(B1850,pr_code,0))),""))))</f>
        <v/>
      </c>
      <c r="K1850" s="71" t="str">
        <f>IF(COUNTA(A1850:G1850)=0,"",IF(G1850&lt;&gt;"",G1850,IF(B1850="","",IFERROR(IF(INDEX(pr_rate,MATCH(B1850,pr_code,0))="","",INDEX(pr_rate,MATCH(B1850,pr_code,0))),""))))</f>
        <v/>
      </c>
      <c r="L1850" s="65" t="str">
        <f>IF(COUNTA(A1850:G1850)=0,"",IF(AND(ISNUMBER(D1850),ISNUMBER(J1850)),ROUND(D1850*J1850*(1-N(F1850)),2),0))</f>
        <v/>
      </c>
      <c r="M1850" s="62" t="str">
        <f>IF(A1850="","",IFERROR(INDEX(fa_cname,MATCH(A1850,fa_num,0))&amp;"",""))</f>
        <v/>
      </c>
      <c r="N1850" s="59" t="str">
        <f>IF(COUNTA(A1850:G1850)=0,"",IF(A1850="","N° facture manquant",IF(ISNA(MATCH(A1850,fa_num,0)),"Facture inconnue",IF(AND(B1850&lt;&gt;"",ISNA(MATCH(B1850,pr_code,0))),"Article inconnu",IF(H1850="","Désignation manquante",IF(OR(NOT(ISNUMBER(D1850)),N(D1850)&lt;=0),"Quantité invalide",IF(J1850="","Prix manquant",IF(OR(NOT(ISNUMBER(J1850)),N(J1850)&lt;0),"Prix invalide",IF(OR(AND(F1850&lt;&gt;"",NOT(ISNUMBER(F1850))),N(F1850)&lt;0,N(F1850)&gt;1),"Remise invalide",IF(K1850="","Taux de TVA manquant",IF(NOT(ISNUMBER(K1850)),"Taux de TVA invalide",IF(COUNTIF(p_rates,K1850)=0,"Taux de TVA hors liste (Paramètres)",IF(N(O1850)&gt;25,"Au-delà de 25 lignes : non imprimée","OK")))))))))))))</f>
        <v/>
      </c>
      <c r="O1850" s="59" t="str">
        <f>IF(A1850="","",COUNTIF($A$6:A1850,A1850))</f>
        <v/>
      </c>
      <c r="P1850" s="62" t="str">
        <f>IF(A1850="","",A1850&amp;"|"&amp;O1850)</f>
        <v/>
      </c>
    </row>
    <row r="1851">
      <c r="A1851" s="60" t="n"/>
      <c r="B1851" s="63" t="n"/>
      <c r="C1851" s="63" t="n"/>
      <c r="D1851" s="67" t="n"/>
      <c r="E1851" s="68" t="n"/>
      <c r="F1851" s="69" t="n"/>
      <c r="G1851" s="70" t="n"/>
      <c r="H1851" s="62" t="str">
        <f>IF(COUNTA(A1851:G1851)=0,"",IF(C1851&lt;&gt;"",C1851,IF(B1851="","",IFERROR(INDEX(pr_des,MATCH(B1851,pr_code,0))&amp;"",""))))</f>
        <v/>
      </c>
      <c r="I1851" s="59" t="str">
        <f>IF(B1851="","",IFERROR(INDEX(pr_unit,MATCH(B1851,pr_code,0))&amp;"",""))</f>
        <v/>
      </c>
      <c r="J1851" s="65" t="str">
        <f>IF(COUNTA(A1851:G1851)=0,"",IF(E1851&lt;&gt;"",E1851,IF(B1851="","",IFERROR(IF(INDEX(pr_price,MATCH(B1851,pr_code,0))="","",INDEX(pr_price,MATCH(B1851,pr_code,0))),""))))</f>
        <v/>
      </c>
      <c r="K1851" s="71" t="str">
        <f>IF(COUNTA(A1851:G1851)=0,"",IF(G1851&lt;&gt;"",G1851,IF(B1851="","",IFERROR(IF(INDEX(pr_rate,MATCH(B1851,pr_code,0))="","",INDEX(pr_rate,MATCH(B1851,pr_code,0))),""))))</f>
        <v/>
      </c>
      <c r="L1851" s="65" t="str">
        <f>IF(COUNTA(A1851:G1851)=0,"",IF(AND(ISNUMBER(D1851),ISNUMBER(J1851)),ROUND(D1851*J1851*(1-N(F1851)),2),0))</f>
        <v/>
      </c>
      <c r="M1851" s="62" t="str">
        <f>IF(A1851="","",IFERROR(INDEX(fa_cname,MATCH(A1851,fa_num,0))&amp;"",""))</f>
        <v/>
      </c>
      <c r="N1851" s="59" t="str">
        <f>IF(COUNTA(A1851:G1851)=0,"",IF(A1851="","N° facture manquant",IF(ISNA(MATCH(A1851,fa_num,0)),"Facture inconnue",IF(AND(B1851&lt;&gt;"",ISNA(MATCH(B1851,pr_code,0))),"Article inconnu",IF(H1851="","Désignation manquante",IF(OR(NOT(ISNUMBER(D1851)),N(D1851)&lt;=0),"Quantité invalide",IF(J1851="","Prix manquant",IF(OR(NOT(ISNUMBER(J1851)),N(J1851)&lt;0),"Prix invalide",IF(OR(AND(F1851&lt;&gt;"",NOT(ISNUMBER(F1851))),N(F1851)&lt;0,N(F1851)&gt;1),"Remise invalide",IF(K1851="","Taux de TVA manquant",IF(NOT(ISNUMBER(K1851)),"Taux de TVA invalide",IF(COUNTIF(p_rates,K1851)=0,"Taux de TVA hors liste (Paramètres)",IF(N(O1851)&gt;25,"Au-delà de 25 lignes : non imprimée","OK")))))))))))))</f>
        <v/>
      </c>
      <c r="O1851" s="59" t="str">
        <f>IF(A1851="","",COUNTIF($A$6:A1851,A1851))</f>
        <v/>
      </c>
      <c r="P1851" s="62" t="str">
        <f>IF(A1851="","",A1851&amp;"|"&amp;O1851)</f>
        <v/>
      </c>
    </row>
    <row r="1852">
      <c r="A1852" s="60" t="n"/>
      <c r="B1852" s="63" t="n"/>
      <c r="C1852" s="63" t="n"/>
      <c r="D1852" s="67" t="n"/>
      <c r="E1852" s="68" t="n"/>
      <c r="F1852" s="69" t="n"/>
      <c r="G1852" s="70" t="n"/>
      <c r="H1852" s="62" t="str">
        <f>IF(COUNTA(A1852:G1852)=0,"",IF(C1852&lt;&gt;"",C1852,IF(B1852="","",IFERROR(INDEX(pr_des,MATCH(B1852,pr_code,0))&amp;"",""))))</f>
        <v/>
      </c>
      <c r="I1852" s="59" t="str">
        <f>IF(B1852="","",IFERROR(INDEX(pr_unit,MATCH(B1852,pr_code,0))&amp;"",""))</f>
        <v/>
      </c>
      <c r="J1852" s="65" t="str">
        <f>IF(COUNTA(A1852:G1852)=0,"",IF(E1852&lt;&gt;"",E1852,IF(B1852="","",IFERROR(IF(INDEX(pr_price,MATCH(B1852,pr_code,0))="","",INDEX(pr_price,MATCH(B1852,pr_code,0))),""))))</f>
        <v/>
      </c>
      <c r="K1852" s="71" t="str">
        <f>IF(COUNTA(A1852:G1852)=0,"",IF(G1852&lt;&gt;"",G1852,IF(B1852="","",IFERROR(IF(INDEX(pr_rate,MATCH(B1852,pr_code,0))="","",INDEX(pr_rate,MATCH(B1852,pr_code,0))),""))))</f>
        <v/>
      </c>
      <c r="L1852" s="65" t="str">
        <f>IF(COUNTA(A1852:G1852)=0,"",IF(AND(ISNUMBER(D1852),ISNUMBER(J1852)),ROUND(D1852*J1852*(1-N(F1852)),2),0))</f>
        <v/>
      </c>
      <c r="M1852" s="62" t="str">
        <f>IF(A1852="","",IFERROR(INDEX(fa_cname,MATCH(A1852,fa_num,0))&amp;"",""))</f>
        <v/>
      </c>
      <c r="N1852" s="59" t="str">
        <f>IF(COUNTA(A1852:G1852)=0,"",IF(A1852="","N° facture manquant",IF(ISNA(MATCH(A1852,fa_num,0)),"Facture inconnue",IF(AND(B1852&lt;&gt;"",ISNA(MATCH(B1852,pr_code,0))),"Article inconnu",IF(H1852="","Désignation manquante",IF(OR(NOT(ISNUMBER(D1852)),N(D1852)&lt;=0),"Quantité invalide",IF(J1852="","Prix manquant",IF(OR(NOT(ISNUMBER(J1852)),N(J1852)&lt;0),"Prix invalide",IF(OR(AND(F1852&lt;&gt;"",NOT(ISNUMBER(F1852))),N(F1852)&lt;0,N(F1852)&gt;1),"Remise invalide",IF(K1852="","Taux de TVA manquant",IF(NOT(ISNUMBER(K1852)),"Taux de TVA invalide",IF(COUNTIF(p_rates,K1852)=0,"Taux de TVA hors liste (Paramètres)",IF(N(O1852)&gt;25,"Au-delà de 25 lignes : non imprimée","OK")))))))))))))</f>
        <v/>
      </c>
      <c r="O1852" s="59" t="str">
        <f>IF(A1852="","",COUNTIF($A$6:A1852,A1852))</f>
        <v/>
      </c>
      <c r="P1852" s="62" t="str">
        <f>IF(A1852="","",A1852&amp;"|"&amp;O1852)</f>
        <v/>
      </c>
    </row>
    <row r="1853">
      <c r="A1853" s="60" t="n"/>
      <c r="B1853" s="63" t="n"/>
      <c r="C1853" s="63" t="n"/>
      <c r="D1853" s="67" t="n"/>
      <c r="E1853" s="68" t="n"/>
      <c r="F1853" s="69" t="n"/>
      <c r="G1853" s="70" t="n"/>
      <c r="H1853" s="62" t="str">
        <f>IF(COUNTA(A1853:G1853)=0,"",IF(C1853&lt;&gt;"",C1853,IF(B1853="","",IFERROR(INDEX(pr_des,MATCH(B1853,pr_code,0))&amp;"",""))))</f>
        <v/>
      </c>
      <c r="I1853" s="59" t="str">
        <f>IF(B1853="","",IFERROR(INDEX(pr_unit,MATCH(B1853,pr_code,0))&amp;"",""))</f>
        <v/>
      </c>
      <c r="J1853" s="65" t="str">
        <f>IF(COUNTA(A1853:G1853)=0,"",IF(E1853&lt;&gt;"",E1853,IF(B1853="","",IFERROR(IF(INDEX(pr_price,MATCH(B1853,pr_code,0))="","",INDEX(pr_price,MATCH(B1853,pr_code,0))),""))))</f>
        <v/>
      </c>
      <c r="K1853" s="71" t="str">
        <f>IF(COUNTA(A1853:G1853)=0,"",IF(G1853&lt;&gt;"",G1853,IF(B1853="","",IFERROR(IF(INDEX(pr_rate,MATCH(B1853,pr_code,0))="","",INDEX(pr_rate,MATCH(B1853,pr_code,0))),""))))</f>
        <v/>
      </c>
      <c r="L1853" s="65" t="str">
        <f>IF(COUNTA(A1853:G1853)=0,"",IF(AND(ISNUMBER(D1853),ISNUMBER(J1853)),ROUND(D1853*J1853*(1-N(F1853)),2),0))</f>
        <v/>
      </c>
      <c r="M1853" s="62" t="str">
        <f>IF(A1853="","",IFERROR(INDEX(fa_cname,MATCH(A1853,fa_num,0))&amp;"",""))</f>
        <v/>
      </c>
      <c r="N1853" s="59" t="str">
        <f>IF(COUNTA(A1853:G1853)=0,"",IF(A1853="","N° facture manquant",IF(ISNA(MATCH(A1853,fa_num,0)),"Facture inconnue",IF(AND(B1853&lt;&gt;"",ISNA(MATCH(B1853,pr_code,0))),"Article inconnu",IF(H1853="","Désignation manquante",IF(OR(NOT(ISNUMBER(D1853)),N(D1853)&lt;=0),"Quantité invalide",IF(J1853="","Prix manquant",IF(OR(NOT(ISNUMBER(J1853)),N(J1853)&lt;0),"Prix invalide",IF(OR(AND(F1853&lt;&gt;"",NOT(ISNUMBER(F1853))),N(F1853)&lt;0,N(F1853)&gt;1),"Remise invalide",IF(K1853="","Taux de TVA manquant",IF(NOT(ISNUMBER(K1853)),"Taux de TVA invalide",IF(COUNTIF(p_rates,K1853)=0,"Taux de TVA hors liste (Paramètres)",IF(N(O1853)&gt;25,"Au-delà de 25 lignes : non imprimée","OK")))))))))))))</f>
        <v/>
      </c>
      <c r="O1853" s="59" t="str">
        <f>IF(A1853="","",COUNTIF($A$6:A1853,A1853))</f>
        <v/>
      </c>
      <c r="P1853" s="62" t="str">
        <f>IF(A1853="","",A1853&amp;"|"&amp;O1853)</f>
        <v/>
      </c>
    </row>
    <row r="1854">
      <c r="A1854" s="60" t="n"/>
      <c r="B1854" s="63" t="n"/>
      <c r="C1854" s="63" t="n"/>
      <c r="D1854" s="67" t="n"/>
      <c r="E1854" s="68" t="n"/>
      <c r="F1854" s="69" t="n"/>
      <c r="G1854" s="70" t="n"/>
      <c r="H1854" s="62" t="str">
        <f>IF(COUNTA(A1854:G1854)=0,"",IF(C1854&lt;&gt;"",C1854,IF(B1854="","",IFERROR(INDEX(pr_des,MATCH(B1854,pr_code,0))&amp;"",""))))</f>
        <v/>
      </c>
      <c r="I1854" s="59" t="str">
        <f>IF(B1854="","",IFERROR(INDEX(pr_unit,MATCH(B1854,pr_code,0))&amp;"",""))</f>
        <v/>
      </c>
      <c r="J1854" s="65" t="str">
        <f>IF(COUNTA(A1854:G1854)=0,"",IF(E1854&lt;&gt;"",E1854,IF(B1854="","",IFERROR(IF(INDEX(pr_price,MATCH(B1854,pr_code,0))="","",INDEX(pr_price,MATCH(B1854,pr_code,0))),""))))</f>
        <v/>
      </c>
      <c r="K1854" s="71" t="str">
        <f>IF(COUNTA(A1854:G1854)=0,"",IF(G1854&lt;&gt;"",G1854,IF(B1854="","",IFERROR(IF(INDEX(pr_rate,MATCH(B1854,pr_code,0))="","",INDEX(pr_rate,MATCH(B1854,pr_code,0))),""))))</f>
        <v/>
      </c>
      <c r="L1854" s="65" t="str">
        <f>IF(COUNTA(A1854:G1854)=0,"",IF(AND(ISNUMBER(D1854),ISNUMBER(J1854)),ROUND(D1854*J1854*(1-N(F1854)),2),0))</f>
        <v/>
      </c>
      <c r="M1854" s="62" t="str">
        <f>IF(A1854="","",IFERROR(INDEX(fa_cname,MATCH(A1854,fa_num,0))&amp;"",""))</f>
        <v/>
      </c>
      <c r="N1854" s="59" t="str">
        <f>IF(COUNTA(A1854:G1854)=0,"",IF(A1854="","N° facture manquant",IF(ISNA(MATCH(A1854,fa_num,0)),"Facture inconnue",IF(AND(B1854&lt;&gt;"",ISNA(MATCH(B1854,pr_code,0))),"Article inconnu",IF(H1854="","Désignation manquante",IF(OR(NOT(ISNUMBER(D1854)),N(D1854)&lt;=0),"Quantité invalide",IF(J1854="","Prix manquant",IF(OR(NOT(ISNUMBER(J1854)),N(J1854)&lt;0),"Prix invalide",IF(OR(AND(F1854&lt;&gt;"",NOT(ISNUMBER(F1854))),N(F1854)&lt;0,N(F1854)&gt;1),"Remise invalide",IF(K1854="","Taux de TVA manquant",IF(NOT(ISNUMBER(K1854)),"Taux de TVA invalide",IF(COUNTIF(p_rates,K1854)=0,"Taux de TVA hors liste (Paramètres)",IF(N(O1854)&gt;25,"Au-delà de 25 lignes : non imprimée","OK")))))))))))))</f>
        <v/>
      </c>
      <c r="O1854" s="59" t="str">
        <f>IF(A1854="","",COUNTIF($A$6:A1854,A1854))</f>
        <v/>
      </c>
      <c r="P1854" s="62" t="str">
        <f>IF(A1854="","",A1854&amp;"|"&amp;O1854)</f>
        <v/>
      </c>
    </row>
    <row r="1855">
      <c r="A1855" s="60" t="n"/>
      <c r="B1855" s="63" t="n"/>
      <c r="C1855" s="63" t="n"/>
      <c r="D1855" s="67" t="n"/>
      <c r="E1855" s="68" t="n"/>
      <c r="F1855" s="69" t="n"/>
      <c r="G1855" s="70" t="n"/>
      <c r="H1855" s="62" t="str">
        <f>IF(COUNTA(A1855:G1855)=0,"",IF(C1855&lt;&gt;"",C1855,IF(B1855="","",IFERROR(INDEX(pr_des,MATCH(B1855,pr_code,0))&amp;"",""))))</f>
        <v/>
      </c>
      <c r="I1855" s="59" t="str">
        <f>IF(B1855="","",IFERROR(INDEX(pr_unit,MATCH(B1855,pr_code,0))&amp;"",""))</f>
        <v/>
      </c>
      <c r="J1855" s="65" t="str">
        <f>IF(COUNTA(A1855:G1855)=0,"",IF(E1855&lt;&gt;"",E1855,IF(B1855="","",IFERROR(IF(INDEX(pr_price,MATCH(B1855,pr_code,0))="","",INDEX(pr_price,MATCH(B1855,pr_code,0))),""))))</f>
        <v/>
      </c>
      <c r="K1855" s="71" t="str">
        <f>IF(COUNTA(A1855:G1855)=0,"",IF(G1855&lt;&gt;"",G1855,IF(B1855="","",IFERROR(IF(INDEX(pr_rate,MATCH(B1855,pr_code,0))="","",INDEX(pr_rate,MATCH(B1855,pr_code,0))),""))))</f>
        <v/>
      </c>
      <c r="L1855" s="65" t="str">
        <f>IF(COUNTA(A1855:G1855)=0,"",IF(AND(ISNUMBER(D1855),ISNUMBER(J1855)),ROUND(D1855*J1855*(1-N(F1855)),2),0))</f>
        <v/>
      </c>
      <c r="M1855" s="62" t="str">
        <f>IF(A1855="","",IFERROR(INDEX(fa_cname,MATCH(A1855,fa_num,0))&amp;"",""))</f>
        <v/>
      </c>
      <c r="N1855" s="59" t="str">
        <f>IF(COUNTA(A1855:G1855)=0,"",IF(A1855="","N° facture manquant",IF(ISNA(MATCH(A1855,fa_num,0)),"Facture inconnue",IF(AND(B1855&lt;&gt;"",ISNA(MATCH(B1855,pr_code,0))),"Article inconnu",IF(H1855="","Désignation manquante",IF(OR(NOT(ISNUMBER(D1855)),N(D1855)&lt;=0),"Quantité invalide",IF(J1855="","Prix manquant",IF(OR(NOT(ISNUMBER(J1855)),N(J1855)&lt;0),"Prix invalide",IF(OR(AND(F1855&lt;&gt;"",NOT(ISNUMBER(F1855))),N(F1855)&lt;0,N(F1855)&gt;1),"Remise invalide",IF(K1855="","Taux de TVA manquant",IF(NOT(ISNUMBER(K1855)),"Taux de TVA invalide",IF(COUNTIF(p_rates,K1855)=0,"Taux de TVA hors liste (Paramètres)",IF(N(O1855)&gt;25,"Au-delà de 25 lignes : non imprimée","OK")))))))))))))</f>
        <v/>
      </c>
      <c r="O1855" s="59" t="str">
        <f>IF(A1855="","",COUNTIF($A$6:A1855,A1855))</f>
        <v/>
      </c>
      <c r="P1855" s="62" t="str">
        <f>IF(A1855="","",A1855&amp;"|"&amp;O1855)</f>
        <v/>
      </c>
    </row>
    <row r="1856">
      <c r="A1856" s="60" t="n"/>
      <c r="B1856" s="63" t="n"/>
      <c r="C1856" s="63" t="n"/>
      <c r="D1856" s="67" t="n"/>
      <c r="E1856" s="68" t="n"/>
      <c r="F1856" s="69" t="n"/>
      <c r="G1856" s="70" t="n"/>
      <c r="H1856" s="62" t="str">
        <f>IF(COUNTA(A1856:G1856)=0,"",IF(C1856&lt;&gt;"",C1856,IF(B1856="","",IFERROR(INDEX(pr_des,MATCH(B1856,pr_code,0))&amp;"",""))))</f>
        <v/>
      </c>
      <c r="I1856" s="59" t="str">
        <f>IF(B1856="","",IFERROR(INDEX(pr_unit,MATCH(B1856,pr_code,0))&amp;"",""))</f>
        <v/>
      </c>
      <c r="J1856" s="65" t="str">
        <f>IF(COUNTA(A1856:G1856)=0,"",IF(E1856&lt;&gt;"",E1856,IF(B1856="","",IFERROR(IF(INDEX(pr_price,MATCH(B1856,pr_code,0))="","",INDEX(pr_price,MATCH(B1856,pr_code,0))),""))))</f>
        <v/>
      </c>
      <c r="K1856" s="71" t="str">
        <f>IF(COUNTA(A1856:G1856)=0,"",IF(G1856&lt;&gt;"",G1856,IF(B1856="","",IFERROR(IF(INDEX(pr_rate,MATCH(B1856,pr_code,0))="","",INDEX(pr_rate,MATCH(B1856,pr_code,0))),""))))</f>
        <v/>
      </c>
      <c r="L1856" s="65" t="str">
        <f>IF(COUNTA(A1856:G1856)=0,"",IF(AND(ISNUMBER(D1856),ISNUMBER(J1856)),ROUND(D1856*J1856*(1-N(F1856)),2),0))</f>
        <v/>
      </c>
      <c r="M1856" s="62" t="str">
        <f>IF(A1856="","",IFERROR(INDEX(fa_cname,MATCH(A1856,fa_num,0))&amp;"",""))</f>
        <v/>
      </c>
      <c r="N1856" s="59" t="str">
        <f>IF(COUNTA(A1856:G1856)=0,"",IF(A1856="","N° facture manquant",IF(ISNA(MATCH(A1856,fa_num,0)),"Facture inconnue",IF(AND(B1856&lt;&gt;"",ISNA(MATCH(B1856,pr_code,0))),"Article inconnu",IF(H1856="","Désignation manquante",IF(OR(NOT(ISNUMBER(D1856)),N(D1856)&lt;=0),"Quantité invalide",IF(J1856="","Prix manquant",IF(OR(NOT(ISNUMBER(J1856)),N(J1856)&lt;0),"Prix invalide",IF(OR(AND(F1856&lt;&gt;"",NOT(ISNUMBER(F1856))),N(F1856)&lt;0,N(F1856)&gt;1),"Remise invalide",IF(K1856="","Taux de TVA manquant",IF(NOT(ISNUMBER(K1856)),"Taux de TVA invalide",IF(COUNTIF(p_rates,K1856)=0,"Taux de TVA hors liste (Paramètres)",IF(N(O1856)&gt;25,"Au-delà de 25 lignes : non imprimée","OK")))))))))))))</f>
        <v/>
      </c>
      <c r="O1856" s="59" t="str">
        <f>IF(A1856="","",COUNTIF($A$6:A1856,A1856))</f>
        <v/>
      </c>
      <c r="P1856" s="62" t="str">
        <f>IF(A1856="","",A1856&amp;"|"&amp;O1856)</f>
        <v/>
      </c>
    </row>
    <row r="1857">
      <c r="A1857" s="60" t="n"/>
      <c r="B1857" s="63" t="n"/>
      <c r="C1857" s="63" t="n"/>
      <c r="D1857" s="67" t="n"/>
      <c r="E1857" s="68" t="n"/>
      <c r="F1857" s="69" t="n"/>
      <c r="G1857" s="70" t="n"/>
      <c r="H1857" s="62" t="str">
        <f>IF(COUNTA(A1857:G1857)=0,"",IF(C1857&lt;&gt;"",C1857,IF(B1857="","",IFERROR(INDEX(pr_des,MATCH(B1857,pr_code,0))&amp;"",""))))</f>
        <v/>
      </c>
      <c r="I1857" s="59" t="str">
        <f>IF(B1857="","",IFERROR(INDEX(pr_unit,MATCH(B1857,pr_code,0))&amp;"",""))</f>
        <v/>
      </c>
      <c r="J1857" s="65" t="str">
        <f>IF(COUNTA(A1857:G1857)=0,"",IF(E1857&lt;&gt;"",E1857,IF(B1857="","",IFERROR(IF(INDEX(pr_price,MATCH(B1857,pr_code,0))="","",INDEX(pr_price,MATCH(B1857,pr_code,0))),""))))</f>
        <v/>
      </c>
      <c r="K1857" s="71" t="str">
        <f>IF(COUNTA(A1857:G1857)=0,"",IF(G1857&lt;&gt;"",G1857,IF(B1857="","",IFERROR(IF(INDEX(pr_rate,MATCH(B1857,pr_code,0))="","",INDEX(pr_rate,MATCH(B1857,pr_code,0))),""))))</f>
        <v/>
      </c>
      <c r="L1857" s="65" t="str">
        <f>IF(COUNTA(A1857:G1857)=0,"",IF(AND(ISNUMBER(D1857),ISNUMBER(J1857)),ROUND(D1857*J1857*(1-N(F1857)),2),0))</f>
        <v/>
      </c>
      <c r="M1857" s="62" t="str">
        <f>IF(A1857="","",IFERROR(INDEX(fa_cname,MATCH(A1857,fa_num,0))&amp;"",""))</f>
        <v/>
      </c>
      <c r="N1857" s="59" t="str">
        <f>IF(COUNTA(A1857:G1857)=0,"",IF(A1857="","N° facture manquant",IF(ISNA(MATCH(A1857,fa_num,0)),"Facture inconnue",IF(AND(B1857&lt;&gt;"",ISNA(MATCH(B1857,pr_code,0))),"Article inconnu",IF(H1857="","Désignation manquante",IF(OR(NOT(ISNUMBER(D1857)),N(D1857)&lt;=0),"Quantité invalide",IF(J1857="","Prix manquant",IF(OR(NOT(ISNUMBER(J1857)),N(J1857)&lt;0),"Prix invalide",IF(OR(AND(F1857&lt;&gt;"",NOT(ISNUMBER(F1857))),N(F1857)&lt;0,N(F1857)&gt;1),"Remise invalide",IF(K1857="","Taux de TVA manquant",IF(NOT(ISNUMBER(K1857)),"Taux de TVA invalide",IF(COUNTIF(p_rates,K1857)=0,"Taux de TVA hors liste (Paramètres)",IF(N(O1857)&gt;25,"Au-delà de 25 lignes : non imprimée","OK")))))))))))))</f>
        <v/>
      </c>
      <c r="O1857" s="59" t="str">
        <f>IF(A1857="","",COUNTIF($A$6:A1857,A1857))</f>
        <v/>
      </c>
      <c r="P1857" s="62" t="str">
        <f>IF(A1857="","",A1857&amp;"|"&amp;O1857)</f>
        <v/>
      </c>
    </row>
    <row r="1858">
      <c r="A1858" s="60" t="n"/>
      <c r="B1858" s="63" t="n"/>
      <c r="C1858" s="63" t="n"/>
      <c r="D1858" s="67" t="n"/>
      <c r="E1858" s="68" t="n"/>
      <c r="F1858" s="69" t="n"/>
      <c r="G1858" s="70" t="n"/>
      <c r="H1858" s="62" t="str">
        <f>IF(COUNTA(A1858:G1858)=0,"",IF(C1858&lt;&gt;"",C1858,IF(B1858="","",IFERROR(INDEX(pr_des,MATCH(B1858,pr_code,0))&amp;"",""))))</f>
        <v/>
      </c>
      <c r="I1858" s="59" t="str">
        <f>IF(B1858="","",IFERROR(INDEX(pr_unit,MATCH(B1858,pr_code,0))&amp;"",""))</f>
        <v/>
      </c>
      <c r="J1858" s="65" t="str">
        <f>IF(COUNTA(A1858:G1858)=0,"",IF(E1858&lt;&gt;"",E1858,IF(B1858="","",IFERROR(IF(INDEX(pr_price,MATCH(B1858,pr_code,0))="","",INDEX(pr_price,MATCH(B1858,pr_code,0))),""))))</f>
        <v/>
      </c>
      <c r="K1858" s="71" t="str">
        <f>IF(COUNTA(A1858:G1858)=0,"",IF(G1858&lt;&gt;"",G1858,IF(B1858="","",IFERROR(IF(INDEX(pr_rate,MATCH(B1858,pr_code,0))="","",INDEX(pr_rate,MATCH(B1858,pr_code,0))),""))))</f>
        <v/>
      </c>
      <c r="L1858" s="65" t="str">
        <f>IF(COUNTA(A1858:G1858)=0,"",IF(AND(ISNUMBER(D1858),ISNUMBER(J1858)),ROUND(D1858*J1858*(1-N(F1858)),2),0))</f>
        <v/>
      </c>
      <c r="M1858" s="62" t="str">
        <f>IF(A1858="","",IFERROR(INDEX(fa_cname,MATCH(A1858,fa_num,0))&amp;"",""))</f>
        <v/>
      </c>
      <c r="N1858" s="59" t="str">
        <f>IF(COUNTA(A1858:G1858)=0,"",IF(A1858="","N° facture manquant",IF(ISNA(MATCH(A1858,fa_num,0)),"Facture inconnue",IF(AND(B1858&lt;&gt;"",ISNA(MATCH(B1858,pr_code,0))),"Article inconnu",IF(H1858="","Désignation manquante",IF(OR(NOT(ISNUMBER(D1858)),N(D1858)&lt;=0),"Quantité invalide",IF(J1858="","Prix manquant",IF(OR(NOT(ISNUMBER(J1858)),N(J1858)&lt;0),"Prix invalide",IF(OR(AND(F1858&lt;&gt;"",NOT(ISNUMBER(F1858))),N(F1858)&lt;0,N(F1858)&gt;1),"Remise invalide",IF(K1858="","Taux de TVA manquant",IF(NOT(ISNUMBER(K1858)),"Taux de TVA invalide",IF(COUNTIF(p_rates,K1858)=0,"Taux de TVA hors liste (Paramètres)",IF(N(O1858)&gt;25,"Au-delà de 25 lignes : non imprimée","OK")))))))))))))</f>
        <v/>
      </c>
      <c r="O1858" s="59" t="str">
        <f>IF(A1858="","",COUNTIF($A$6:A1858,A1858))</f>
        <v/>
      </c>
      <c r="P1858" s="62" t="str">
        <f>IF(A1858="","",A1858&amp;"|"&amp;O1858)</f>
        <v/>
      </c>
    </row>
    <row r="1859">
      <c r="A1859" s="60" t="n"/>
      <c r="B1859" s="63" t="n"/>
      <c r="C1859" s="63" t="n"/>
      <c r="D1859" s="67" t="n"/>
      <c r="E1859" s="68" t="n"/>
      <c r="F1859" s="69" t="n"/>
      <c r="G1859" s="70" t="n"/>
      <c r="H1859" s="62" t="str">
        <f>IF(COUNTA(A1859:G1859)=0,"",IF(C1859&lt;&gt;"",C1859,IF(B1859="","",IFERROR(INDEX(pr_des,MATCH(B1859,pr_code,0))&amp;"",""))))</f>
        <v/>
      </c>
      <c r="I1859" s="59" t="str">
        <f>IF(B1859="","",IFERROR(INDEX(pr_unit,MATCH(B1859,pr_code,0))&amp;"",""))</f>
        <v/>
      </c>
      <c r="J1859" s="65" t="str">
        <f>IF(COUNTA(A1859:G1859)=0,"",IF(E1859&lt;&gt;"",E1859,IF(B1859="","",IFERROR(IF(INDEX(pr_price,MATCH(B1859,pr_code,0))="","",INDEX(pr_price,MATCH(B1859,pr_code,0))),""))))</f>
        <v/>
      </c>
      <c r="K1859" s="71" t="str">
        <f>IF(COUNTA(A1859:G1859)=0,"",IF(G1859&lt;&gt;"",G1859,IF(B1859="","",IFERROR(IF(INDEX(pr_rate,MATCH(B1859,pr_code,0))="","",INDEX(pr_rate,MATCH(B1859,pr_code,0))),""))))</f>
        <v/>
      </c>
      <c r="L1859" s="65" t="str">
        <f>IF(COUNTA(A1859:G1859)=0,"",IF(AND(ISNUMBER(D1859),ISNUMBER(J1859)),ROUND(D1859*J1859*(1-N(F1859)),2),0))</f>
        <v/>
      </c>
      <c r="M1859" s="62" t="str">
        <f>IF(A1859="","",IFERROR(INDEX(fa_cname,MATCH(A1859,fa_num,0))&amp;"",""))</f>
        <v/>
      </c>
      <c r="N1859" s="59" t="str">
        <f>IF(COUNTA(A1859:G1859)=0,"",IF(A1859="","N° facture manquant",IF(ISNA(MATCH(A1859,fa_num,0)),"Facture inconnue",IF(AND(B1859&lt;&gt;"",ISNA(MATCH(B1859,pr_code,0))),"Article inconnu",IF(H1859="","Désignation manquante",IF(OR(NOT(ISNUMBER(D1859)),N(D1859)&lt;=0),"Quantité invalide",IF(J1859="","Prix manquant",IF(OR(NOT(ISNUMBER(J1859)),N(J1859)&lt;0),"Prix invalide",IF(OR(AND(F1859&lt;&gt;"",NOT(ISNUMBER(F1859))),N(F1859)&lt;0,N(F1859)&gt;1),"Remise invalide",IF(K1859="","Taux de TVA manquant",IF(NOT(ISNUMBER(K1859)),"Taux de TVA invalide",IF(COUNTIF(p_rates,K1859)=0,"Taux de TVA hors liste (Paramètres)",IF(N(O1859)&gt;25,"Au-delà de 25 lignes : non imprimée","OK")))))))))))))</f>
        <v/>
      </c>
      <c r="O1859" s="59" t="str">
        <f>IF(A1859="","",COUNTIF($A$6:A1859,A1859))</f>
        <v/>
      </c>
      <c r="P1859" s="62" t="str">
        <f>IF(A1859="","",A1859&amp;"|"&amp;O1859)</f>
        <v/>
      </c>
    </row>
    <row r="1860">
      <c r="A1860" s="60" t="n"/>
      <c r="B1860" s="63" t="n"/>
      <c r="C1860" s="63" t="n"/>
      <c r="D1860" s="67" t="n"/>
      <c r="E1860" s="68" t="n"/>
      <c r="F1860" s="69" t="n"/>
      <c r="G1860" s="70" t="n"/>
      <c r="H1860" s="62" t="str">
        <f>IF(COUNTA(A1860:G1860)=0,"",IF(C1860&lt;&gt;"",C1860,IF(B1860="","",IFERROR(INDEX(pr_des,MATCH(B1860,pr_code,0))&amp;"",""))))</f>
        <v/>
      </c>
      <c r="I1860" s="59" t="str">
        <f>IF(B1860="","",IFERROR(INDEX(pr_unit,MATCH(B1860,pr_code,0))&amp;"",""))</f>
        <v/>
      </c>
      <c r="J1860" s="65" t="str">
        <f>IF(COUNTA(A1860:G1860)=0,"",IF(E1860&lt;&gt;"",E1860,IF(B1860="","",IFERROR(IF(INDEX(pr_price,MATCH(B1860,pr_code,0))="","",INDEX(pr_price,MATCH(B1860,pr_code,0))),""))))</f>
        <v/>
      </c>
      <c r="K1860" s="71" t="str">
        <f>IF(COUNTA(A1860:G1860)=0,"",IF(G1860&lt;&gt;"",G1860,IF(B1860="","",IFERROR(IF(INDEX(pr_rate,MATCH(B1860,pr_code,0))="","",INDEX(pr_rate,MATCH(B1860,pr_code,0))),""))))</f>
        <v/>
      </c>
      <c r="L1860" s="65" t="str">
        <f>IF(COUNTA(A1860:G1860)=0,"",IF(AND(ISNUMBER(D1860),ISNUMBER(J1860)),ROUND(D1860*J1860*(1-N(F1860)),2),0))</f>
        <v/>
      </c>
      <c r="M1860" s="62" t="str">
        <f>IF(A1860="","",IFERROR(INDEX(fa_cname,MATCH(A1860,fa_num,0))&amp;"",""))</f>
        <v/>
      </c>
      <c r="N1860" s="59" t="str">
        <f>IF(COUNTA(A1860:G1860)=0,"",IF(A1860="","N° facture manquant",IF(ISNA(MATCH(A1860,fa_num,0)),"Facture inconnue",IF(AND(B1860&lt;&gt;"",ISNA(MATCH(B1860,pr_code,0))),"Article inconnu",IF(H1860="","Désignation manquante",IF(OR(NOT(ISNUMBER(D1860)),N(D1860)&lt;=0),"Quantité invalide",IF(J1860="","Prix manquant",IF(OR(NOT(ISNUMBER(J1860)),N(J1860)&lt;0),"Prix invalide",IF(OR(AND(F1860&lt;&gt;"",NOT(ISNUMBER(F1860))),N(F1860)&lt;0,N(F1860)&gt;1),"Remise invalide",IF(K1860="","Taux de TVA manquant",IF(NOT(ISNUMBER(K1860)),"Taux de TVA invalide",IF(COUNTIF(p_rates,K1860)=0,"Taux de TVA hors liste (Paramètres)",IF(N(O1860)&gt;25,"Au-delà de 25 lignes : non imprimée","OK")))))))))))))</f>
        <v/>
      </c>
      <c r="O1860" s="59" t="str">
        <f>IF(A1860="","",COUNTIF($A$6:A1860,A1860))</f>
        <v/>
      </c>
      <c r="P1860" s="62" t="str">
        <f>IF(A1860="","",A1860&amp;"|"&amp;O1860)</f>
        <v/>
      </c>
    </row>
    <row r="1861">
      <c r="A1861" s="60" t="n"/>
      <c r="B1861" s="63" t="n"/>
      <c r="C1861" s="63" t="n"/>
      <c r="D1861" s="67" t="n"/>
      <c r="E1861" s="68" t="n"/>
      <c r="F1861" s="69" t="n"/>
      <c r="G1861" s="70" t="n"/>
      <c r="H1861" s="62" t="str">
        <f>IF(COUNTA(A1861:G1861)=0,"",IF(C1861&lt;&gt;"",C1861,IF(B1861="","",IFERROR(INDEX(pr_des,MATCH(B1861,pr_code,0))&amp;"",""))))</f>
        <v/>
      </c>
      <c r="I1861" s="59" t="str">
        <f>IF(B1861="","",IFERROR(INDEX(pr_unit,MATCH(B1861,pr_code,0))&amp;"",""))</f>
        <v/>
      </c>
      <c r="J1861" s="65" t="str">
        <f>IF(COUNTA(A1861:G1861)=0,"",IF(E1861&lt;&gt;"",E1861,IF(B1861="","",IFERROR(IF(INDEX(pr_price,MATCH(B1861,pr_code,0))="","",INDEX(pr_price,MATCH(B1861,pr_code,0))),""))))</f>
        <v/>
      </c>
      <c r="K1861" s="71" t="str">
        <f>IF(COUNTA(A1861:G1861)=0,"",IF(G1861&lt;&gt;"",G1861,IF(B1861="","",IFERROR(IF(INDEX(pr_rate,MATCH(B1861,pr_code,0))="","",INDEX(pr_rate,MATCH(B1861,pr_code,0))),""))))</f>
        <v/>
      </c>
      <c r="L1861" s="65" t="str">
        <f>IF(COUNTA(A1861:G1861)=0,"",IF(AND(ISNUMBER(D1861),ISNUMBER(J1861)),ROUND(D1861*J1861*(1-N(F1861)),2),0))</f>
        <v/>
      </c>
      <c r="M1861" s="62" t="str">
        <f>IF(A1861="","",IFERROR(INDEX(fa_cname,MATCH(A1861,fa_num,0))&amp;"",""))</f>
        <v/>
      </c>
      <c r="N1861" s="59" t="str">
        <f>IF(COUNTA(A1861:G1861)=0,"",IF(A1861="","N° facture manquant",IF(ISNA(MATCH(A1861,fa_num,0)),"Facture inconnue",IF(AND(B1861&lt;&gt;"",ISNA(MATCH(B1861,pr_code,0))),"Article inconnu",IF(H1861="","Désignation manquante",IF(OR(NOT(ISNUMBER(D1861)),N(D1861)&lt;=0),"Quantité invalide",IF(J1861="","Prix manquant",IF(OR(NOT(ISNUMBER(J1861)),N(J1861)&lt;0),"Prix invalide",IF(OR(AND(F1861&lt;&gt;"",NOT(ISNUMBER(F1861))),N(F1861)&lt;0,N(F1861)&gt;1),"Remise invalide",IF(K1861="","Taux de TVA manquant",IF(NOT(ISNUMBER(K1861)),"Taux de TVA invalide",IF(COUNTIF(p_rates,K1861)=0,"Taux de TVA hors liste (Paramètres)",IF(N(O1861)&gt;25,"Au-delà de 25 lignes : non imprimée","OK")))))))))))))</f>
        <v/>
      </c>
      <c r="O1861" s="59" t="str">
        <f>IF(A1861="","",COUNTIF($A$6:A1861,A1861))</f>
        <v/>
      </c>
      <c r="P1861" s="62" t="str">
        <f>IF(A1861="","",A1861&amp;"|"&amp;O1861)</f>
        <v/>
      </c>
    </row>
    <row r="1862">
      <c r="A1862" s="60" t="n"/>
      <c r="B1862" s="63" t="n"/>
      <c r="C1862" s="63" t="n"/>
      <c r="D1862" s="67" t="n"/>
      <c r="E1862" s="68" t="n"/>
      <c r="F1862" s="69" t="n"/>
      <c r="G1862" s="70" t="n"/>
      <c r="H1862" s="62" t="str">
        <f>IF(COUNTA(A1862:G1862)=0,"",IF(C1862&lt;&gt;"",C1862,IF(B1862="","",IFERROR(INDEX(pr_des,MATCH(B1862,pr_code,0))&amp;"",""))))</f>
        <v/>
      </c>
      <c r="I1862" s="59" t="str">
        <f>IF(B1862="","",IFERROR(INDEX(pr_unit,MATCH(B1862,pr_code,0))&amp;"",""))</f>
        <v/>
      </c>
      <c r="J1862" s="65" t="str">
        <f>IF(COUNTA(A1862:G1862)=0,"",IF(E1862&lt;&gt;"",E1862,IF(B1862="","",IFERROR(IF(INDEX(pr_price,MATCH(B1862,pr_code,0))="","",INDEX(pr_price,MATCH(B1862,pr_code,0))),""))))</f>
        <v/>
      </c>
      <c r="K1862" s="71" t="str">
        <f>IF(COUNTA(A1862:G1862)=0,"",IF(G1862&lt;&gt;"",G1862,IF(B1862="","",IFERROR(IF(INDEX(pr_rate,MATCH(B1862,pr_code,0))="","",INDEX(pr_rate,MATCH(B1862,pr_code,0))),""))))</f>
        <v/>
      </c>
      <c r="L1862" s="65" t="str">
        <f>IF(COUNTA(A1862:G1862)=0,"",IF(AND(ISNUMBER(D1862),ISNUMBER(J1862)),ROUND(D1862*J1862*(1-N(F1862)),2),0))</f>
        <v/>
      </c>
      <c r="M1862" s="62" t="str">
        <f>IF(A1862="","",IFERROR(INDEX(fa_cname,MATCH(A1862,fa_num,0))&amp;"",""))</f>
        <v/>
      </c>
      <c r="N1862" s="59" t="str">
        <f>IF(COUNTA(A1862:G1862)=0,"",IF(A1862="","N° facture manquant",IF(ISNA(MATCH(A1862,fa_num,0)),"Facture inconnue",IF(AND(B1862&lt;&gt;"",ISNA(MATCH(B1862,pr_code,0))),"Article inconnu",IF(H1862="","Désignation manquante",IF(OR(NOT(ISNUMBER(D1862)),N(D1862)&lt;=0),"Quantité invalide",IF(J1862="","Prix manquant",IF(OR(NOT(ISNUMBER(J1862)),N(J1862)&lt;0),"Prix invalide",IF(OR(AND(F1862&lt;&gt;"",NOT(ISNUMBER(F1862))),N(F1862)&lt;0,N(F1862)&gt;1),"Remise invalide",IF(K1862="","Taux de TVA manquant",IF(NOT(ISNUMBER(K1862)),"Taux de TVA invalide",IF(COUNTIF(p_rates,K1862)=0,"Taux de TVA hors liste (Paramètres)",IF(N(O1862)&gt;25,"Au-delà de 25 lignes : non imprimée","OK")))))))))))))</f>
        <v/>
      </c>
      <c r="O1862" s="59" t="str">
        <f>IF(A1862="","",COUNTIF($A$6:A1862,A1862))</f>
        <v/>
      </c>
      <c r="P1862" s="62" t="str">
        <f>IF(A1862="","",A1862&amp;"|"&amp;O1862)</f>
        <v/>
      </c>
    </row>
    <row r="1863">
      <c r="A1863" s="60" t="n"/>
      <c r="B1863" s="63" t="n"/>
      <c r="C1863" s="63" t="n"/>
      <c r="D1863" s="67" t="n"/>
      <c r="E1863" s="68" t="n"/>
      <c r="F1863" s="69" t="n"/>
      <c r="G1863" s="70" t="n"/>
      <c r="H1863" s="62" t="str">
        <f>IF(COUNTA(A1863:G1863)=0,"",IF(C1863&lt;&gt;"",C1863,IF(B1863="","",IFERROR(INDEX(pr_des,MATCH(B1863,pr_code,0))&amp;"",""))))</f>
        <v/>
      </c>
      <c r="I1863" s="59" t="str">
        <f>IF(B1863="","",IFERROR(INDEX(pr_unit,MATCH(B1863,pr_code,0))&amp;"",""))</f>
        <v/>
      </c>
      <c r="J1863" s="65" t="str">
        <f>IF(COUNTA(A1863:G1863)=0,"",IF(E1863&lt;&gt;"",E1863,IF(B1863="","",IFERROR(IF(INDEX(pr_price,MATCH(B1863,pr_code,0))="","",INDEX(pr_price,MATCH(B1863,pr_code,0))),""))))</f>
        <v/>
      </c>
      <c r="K1863" s="71" t="str">
        <f>IF(COUNTA(A1863:G1863)=0,"",IF(G1863&lt;&gt;"",G1863,IF(B1863="","",IFERROR(IF(INDEX(pr_rate,MATCH(B1863,pr_code,0))="","",INDEX(pr_rate,MATCH(B1863,pr_code,0))),""))))</f>
        <v/>
      </c>
      <c r="L1863" s="65" t="str">
        <f>IF(COUNTA(A1863:G1863)=0,"",IF(AND(ISNUMBER(D1863),ISNUMBER(J1863)),ROUND(D1863*J1863*(1-N(F1863)),2),0))</f>
        <v/>
      </c>
      <c r="M1863" s="62" t="str">
        <f>IF(A1863="","",IFERROR(INDEX(fa_cname,MATCH(A1863,fa_num,0))&amp;"",""))</f>
        <v/>
      </c>
      <c r="N1863" s="59" t="str">
        <f>IF(COUNTA(A1863:G1863)=0,"",IF(A1863="","N° facture manquant",IF(ISNA(MATCH(A1863,fa_num,0)),"Facture inconnue",IF(AND(B1863&lt;&gt;"",ISNA(MATCH(B1863,pr_code,0))),"Article inconnu",IF(H1863="","Désignation manquante",IF(OR(NOT(ISNUMBER(D1863)),N(D1863)&lt;=0),"Quantité invalide",IF(J1863="","Prix manquant",IF(OR(NOT(ISNUMBER(J1863)),N(J1863)&lt;0),"Prix invalide",IF(OR(AND(F1863&lt;&gt;"",NOT(ISNUMBER(F1863))),N(F1863)&lt;0,N(F1863)&gt;1),"Remise invalide",IF(K1863="","Taux de TVA manquant",IF(NOT(ISNUMBER(K1863)),"Taux de TVA invalide",IF(COUNTIF(p_rates,K1863)=0,"Taux de TVA hors liste (Paramètres)",IF(N(O1863)&gt;25,"Au-delà de 25 lignes : non imprimée","OK")))))))))))))</f>
        <v/>
      </c>
      <c r="O1863" s="59" t="str">
        <f>IF(A1863="","",COUNTIF($A$6:A1863,A1863))</f>
        <v/>
      </c>
      <c r="P1863" s="62" t="str">
        <f>IF(A1863="","",A1863&amp;"|"&amp;O1863)</f>
        <v/>
      </c>
    </row>
    <row r="1864">
      <c r="A1864" s="60" t="n"/>
      <c r="B1864" s="63" t="n"/>
      <c r="C1864" s="63" t="n"/>
      <c r="D1864" s="67" t="n"/>
      <c r="E1864" s="68" t="n"/>
      <c r="F1864" s="69" t="n"/>
      <c r="G1864" s="70" t="n"/>
      <c r="H1864" s="62" t="str">
        <f>IF(COUNTA(A1864:G1864)=0,"",IF(C1864&lt;&gt;"",C1864,IF(B1864="","",IFERROR(INDEX(pr_des,MATCH(B1864,pr_code,0))&amp;"",""))))</f>
        <v/>
      </c>
      <c r="I1864" s="59" t="str">
        <f>IF(B1864="","",IFERROR(INDEX(pr_unit,MATCH(B1864,pr_code,0))&amp;"",""))</f>
        <v/>
      </c>
      <c r="J1864" s="65" t="str">
        <f>IF(COUNTA(A1864:G1864)=0,"",IF(E1864&lt;&gt;"",E1864,IF(B1864="","",IFERROR(IF(INDEX(pr_price,MATCH(B1864,pr_code,0))="","",INDEX(pr_price,MATCH(B1864,pr_code,0))),""))))</f>
        <v/>
      </c>
      <c r="K1864" s="71" t="str">
        <f>IF(COUNTA(A1864:G1864)=0,"",IF(G1864&lt;&gt;"",G1864,IF(B1864="","",IFERROR(IF(INDEX(pr_rate,MATCH(B1864,pr_code,0))="","",INDEX(pr_rate,MATCH(B1864,pr_code,0))),""))))</f>
        <v/>
      </c>
      <c r="L1864" s="65" t="str">
        <f>IF(COUNTA(A1864:G1864)=0,"",IF(AND(ISNUMBER(D1864),ISNUMBER(J1864)),ROUND(D1864*J1864*(1-N(F1864)),2),0))</f>
        <v/>
      </c>
      <c r="M1864" s="62" t="str">
        <f>IF(A1864="","",IFERROR(INDEX(fa_cname,MATCH(A1864,fa_num,0))&amp;"",""))</f>
        <v/>
      </c>
      <c r="N1864" s="59" t="str">
        <f>IF(COUNTA(A1864:G1864)=0,"",IF(A1864="","N° facture manquant",IF(ISNA(MATCH(A1864,fa_num,0)),"Facture inconnue",IF(AND(B1864&lt;&gt;"",ISNA(MATCH(B1864,pr_code,0))),"Article inconnu",IF(H1864="","Désignation manquante",IF(OR(NOT(ISNUMBER(D1864)),N(D1864)&lt;=0),"Quantité invalide",IF(J1864="","Prix manquant",IF(OR(NOT(ISNUMBER(J1864)),N(J1864)&lt;0),"Prix invalide",IF(OR(AND(F1864&lt;&gt;"",NOT(ISNUMBER(F1864))),N(F1864)&lt;0,N(F1864)&gt;1),"Remise invalide",IF(K1864="","Taux de TVA manquant",IF(NOT(ISNUMBER(K1864)),"Taux de TVA invalide",IF(COUNTIF(p_rates,K1864)=0,"Taux de TVA hors liste (Paramètres)",IF(N(O1864)&gt;25,"Au-delà de 25 lignes : non imprimée","OK")))))))))))))</f>
        <v/>
      </c>
      <c r="O1864" s="59" t="str">
        <f>IF(A1864="","",COUNTIF($A$6:A1864,A1864))</f>
        <v/>
      </c>
      <c r="P1864" s="62" t="str">
        <f>IF(A1864="","",A1864&amp;"|"&amp;O1864)</f>
        <v/>
      </c>
    </row>
    <row r="1865">
      <c r="A1865" s="60" t="n"/>
      <c r="B1865" s="63" t="n"/>
      <c r="C1865" s="63" t="n"/>
      <c r="D1865" s="67" t="n"/>
      <c r="E1865" s="68" t="n"/>
      <c r="F1865" s="69" t="n"/>
      <c r="G1865" s="70" t="n"/>
      <c r="H1865" s="62" t="str">
        <f>IF(COUNTA(A1865:G1865)=0,"",IF(C1865&lt;&gt;"",C1865,IF(B1865="","",IFERROR(INDEX(pr_des,MATCH(B1865,pr_code,0))&amp;"",""))))</f>
        <v/>
      </c>
      <c r="I1865" s="59" t="str">
        <f>IF(B1865="","",IFERROR(INDEX(pr_unit,MATCH(B1865,pr_code,0))&amp;"",""))</f>
        <v/>
      </c>
      <c r="J1865" s="65" t="str">
        <f>IF(COUNTA(A1865:G1865)=0,"",IF(E1865&lt;&gt;"",E1865,IF(B1865="","",IFERROR(IF(INDEX(pr_price,MATCH(B1865,pr_code,0))="","",INDEX(pr_price,MATCH(B1865,pr_code,0))),""))))</f>
        <v/>
      </c>
      <c r="K1865" s="71" t="str">
        <f>IF(COUNTA(A1865:G1865)=0,"",IF(G1865&lt;&gt;"",G1865,IF(B1865="","",IFERROR(IF(INDEX(pr_rate,MATCH(B1865,pr_code,0))="","",INDEX(pr_rate,MATCH(B1865,pr_code,0))),""))))</f>
        <v/>
      </c>
      <c r="L1865" s="65" t="str">
        <f>IF(COUNTA(A1865:G1865)=0,"",IF(AND(ISNUMBER(D1865),ISNUMBER(J1865)),ROUND(D1865*J1865*(1-N(F1865)),2),0))</f>
        <v/>
      </c>
      <c r="M1865" s="62" t="str">
        <f>IF(A1865="","",IFERROR(INDEX(fa_cname,MATCH(A1865,fa_num,0))&amp;"",""))</f>
        <v/>
      </c>
      <c r="N1865" s="59" t="str">
        <f>IF(COUNTA(A1865:G1865)=0,"",IF(A1865="","N° facture manquant",IF(ISNA(MATCH(A1865,fa_num,0)),"Facture inconnue",IF(AND(B1865&lt;&gt;"",ISNA(MATCH(B1865,pr_code,0))),"Article inconnu",IF(H1865="","Désignation manquante",IF(OR(NOT(ISNUMBER(D1865)),N(D1865)&lt;=0),"Quantité invalide",IF(J1865="","Prix manquant",IF(OR(NOT(ISNUMBER(J1865)),N(J1865)&lt;0),"Prix invalide",IF(OR(AND(F1865&lt;&gt;"",NOT(ISNUMBER(F1865))),N(F1865)&lt;0,N(F1865)&gt;1),"Remise invalide",IF(K1865="","Taux de TVA manquant",IF(NOT(ISNUMBER(K1865)),"Taux de TVA invalide",IF(COUNTIF(p_rates,K1865)=0,"Taux de TVA hors liste (Paramètres)",IF(N(O1865)&gt;25,"Au-delà de 25 lignes : non imprimée","OK")))))))))))))</f>
        <v/>
      </c>
      <c r="O1865" s="59" t="str">
        <f>IF(A1865="","",COUNTIF($A$6:A1865,A1865))</f>
        <v/>
      </c>
      <c r="P1865" s="62" t="str">
        <f>IF(A1865="","",A1865&amp;"|"&amp;O1865)</f>
        <v/>
      </c>
    </row>
    <row r="1866">
      <c r="A1866" s="60" t="n"/>
      <c r="B1866" s="63" t="n"/>
      <c r="C1866" s="63" t="n"/>
      <c r="D1866" s="67" t="n"/>
      <c r="E1866" s="68" t="n"/>
      <c r="F1866" s="69" t="n"/>
      <c r="G1866" s="70" t="n"/>
      <c r="H1866" s="62" t="str">
        <f>IF(COUNTA(A1866:G1866)=0,"",IF(C1866&lt;&gt;"",C1866,IF(B1866="","",IFERROR(INDEX(pr_des,MATCH(B1866,pr_code,0))&amp;"",""))))</f>
        <v/>
      </c>
      <c r="I1866" s="59" t="str">
        <f>IF(B1866="","",IFERROR(INDEX(pr_unit,MATCH(B1866,pr_code,0))&amp;"",""))</f>
        <v/>
      </c>
      <c r="J1866" s="65" t="str">
        <f>IF(COUNTA(A1866:G1866)=0,"",IF(E1866&lt;&gt;"",E1866,IF(B1866="","",IFERROR(IF(INDEX(pr_price,MATCH(B1866,pr_code,0))="","",INDEX(pr_price,MATCH(B1866,pr_code,0))),""))))</f>
        <v/>
      </c>
      <c r="K1866" s="71" t="str">
        <f>IF(COUNTA(A1866:G1866)=0,"",IF(G1866&lt;&gt;"",G1866,IF(B1866="","",IFERROR(IF(INDEX(pr_rate,MATCH(B1866,pr_code,0))="","",INDEX(pr_rate,MATCH(B1866,pr_code,0))),""))))</f>
        <v/>
      </c>
      <c r="L1866" s="65" t="str">
        <f>IF(COUNTA(A1866:G1866)=0,"",IF(AND(ISNUMBER(D1866),ISNUMBER(J1866)),ROUND(D1866*J1866*(1-N(F1866)),2),0))</f>
        <v/>
      </c>
      <c r="M1866" s="62" t="str">
        <f>IF(A1866="","",IFERROR(INDEX(fa_cname,MATCH(A1866,fa_num,0))&amp;"",""))</f>
        <v/>
      </c>
      <c r="N1866" s="59" t="str">
        <f>IF(COUNTA(A1866:G1866)=0,"",IF(A1866="","N° facture manquant",IF(ISNA(MATCH(A1866,fa_num,0)),"Facture inconnue",IF(AND(B1866&lt;&gt;"",ISNA(MATCH(B1866,pr_code,0))),"Article inconnu",IF(H1866="","Désignation manquante",IF(OR(NOT(ISNUMBER(D1866)),N(D1866)&lt;=0),"Quantité invalide",IF(J1866="","Prix manquant",IF(OR(NOT(ISNUMBER(J1866)),N(J1866)&lt;0),"Prix invalide",IF(OR(AND(F1866&lt;&gt;"",NOT(ISNUMBER(F1866))),N(F1866)&lt;0,N(F1866)&gt;1),"Remise invalide",IF(K1866="","Taux de TVA manquant",IF(NOT(ISNUMBER(K1866)),"Taux de TVA invalide",IF(COUNTIF(p_rates,K1866)=0,"Taux de TVA hors liste (Paramètres)",IF(N(O1866)&gt;25,"Au-delà de 25 lignes : non imprimée","OK")))))))))))))</f>
        <v/>
      </c>
      <c r="O1866" s="59" t="str">
        <f>IF(A1866="","",COUNTIF($A$6:A1866,A1866))</f>
        <v/>
      </c>
      <c r="P1866" s="62" t="str">
        <f>IF(A1866="","",A1866&amp;"|"&amp;O1866)</f>
        <v/>
      </c>
    </row>
    <row r="1867">
      <c r="A1867" s="60" t="n"/>
      <c r="B1867" s="63" t="n"/>
      <c r="C1867" s="63" t="n"/>
      <c r="D1867" s="67" t="n"/>
      <c r="E1867" s="68" t="n"/>
      <c r="F1867" s="69" t="n"/>
      <c r="G1867" s="70" t="n"/>
      <c r="H1867" s="62" t="str">
        <f>IF(COUNTA(A1867:G1867)=0,"",IF(C1867&lt;&gt;"",C1867,IF(B1867="","",IFERROR(INDEX(pr_des,MATCH(B1867,pr_code,0))&amp;"",""))))</f>
        <v/>
      </c>
      <c r="I1867" s="59" t="str">
        <f>IF(B1867="","",IFERROR(INDEX(pr_unit,MATCH(B1867,pr_code,0))&amp;"",""))</f>
        <v/>
      </c>
      <c r="J1867" s="65" t="str">
        <f>IF(COUNTA(A1867:G1867)=0,"",IF(E1867&lt;&gt;"",E1867,IF(B1867="","",IFERROR(IF(INDEX(pr_price,MATCH(B1867,pr_code,0))="","",INDEX(pr_price,MATCH(B1867,pr_code,0))),""))))</f>
        <v/>
      </c>
      <c r="K1867" s="71" t="str">
        <f>IF(COUNTA(A1867:G1867)=0,"",IF(G1867&lt;&gt;"",G1867,IF(B1867="","",IFERROR(IF(INDEX(pr_rate,MATCH(B1867,pr_code,0))="","",INDEX(pr_rate,MATCH(B1867,pr_code,0))),""))))</f>
        <v/>
      </c>
      <c r="L1867" s="65" t="str">
        <f>IF(COUNTA(A1867:G1867)=0,"",IF(AND(ISNUMBER(D1867),ISNUMBER(J1867)),ROUND(D1867*J1867*(1-N(F1867)),2),0))</f>
        <v/>
      </c>
      <c r="M1867" s="62" t="str">
        <f>IF(A1867="","",IFERROR(INDEX(fa_cname,MATCH(A1867,fa_num,0))&amp;"",""))</f>
        <v/>
      </c>
      <c r="N1867" s="59" t="str">
        <f>IF(COUNTA(A1867:G1867)=0,"",IF(A1867="","N° facture manquant",IF(ISNA(MATCH(A1867,fa_num,0)),"Facture inconnue",IF(AND(B1867&lt;&gt;"",ISNA(MATCH(B1867,pr_code,0))),"Article inconnu",IF(H1867="","Désignation manquante",IF(OR(NOT(ISNUMBER(D1867)),N(D1867)&lt;=0),"Quantité invalide",IF(J1867="","Prix manquant",IF(OR(NOT(ISNUMBER(J1867)),N(J1867)&lt;0),"Prix invalide",IF(OR(AND(F1867&lt;&gt;"",NOT(ISNUMBER(F1867))),N(F1867)&lt;0,N(F1867)&gt;1),"Remise invalide",IF(K1867="","Taux de TVA manquant",IF(NOT(ISNUMBER(K1867)),"Taux de TVA invalide",IF(COUNTIF(p_rates,K1867)=0,"Taux de TVA hors liste (Paramètres)",IF(N(O1867)&gt;25,"Au-delà de 25 lignes : non imprimée","OK")))))))))))))</f>
        <v/>
      </c>
      <c r="O1867" s="59" t="str">
        <f>IF(A1867="","",COUNTIF($A$6:A1867,A1867))</f>
        <v/>
      </c>
      <c r="P1867" s="62" t="str">
        <f>IF(A1867="","",A1867&amp;"|"&amp;O1867)</f>
        <v/>
      </c>
    </row>
    <row r="1868">
      <c r="A1868" s="60" t="n"/>
      <c r="B1868" s="63" t="n"/>
      <c r="C1868" s="63" t="n"/>
      <c r="D1868" s="67" t="n"/>
      <c r="E1868" s="68" t="n"/>
      <c r="F1868" s="69" t="n"/>
      <c r="G1868" s="70" t="n"/>
      <c r="H1868" s="62" t="str">
        <f>IF(COUNTA(A1868:G1868)=0,"",IF(C1868&lt;&gt;"",C1868,IF(B1868="","",IFERROR(INDEX(pr_des,MATCH(B1868,pr_code,0))&amp;"",""))))</f>
        <v/>
      </c>
      <c r="I1868" s="59" t="str">
        <f>IF(B1868="","",IFERROR(INDEX(pr_unit,MATCH(B1868,pr_code,0))&amp;"",""))</f>
        <v/>
      </c>
      <c r="J1868" s="65" t="str">
        <f>IF(COUNTA(A1868:G1868)=0,"",IF(E1868&lt;&gt;"",E1868,IF(B1868="","",IFERROR(IF(INDEX(pr_price,MATCH(B1868,pr_code,0))="","",INDEX(pr_price,MATCH(B1868,pr_code,0))),""))))</f>
        <v/>
      </c>
      <c r="K1868" s="71" t="str">
        <f>IF(COUNTA(A1868:G1868)=0,"",IF(G1868&lt;&gt;"",G1868,IF(B1868="","",IFERROR(IF(INDEX(pr_rate,MATCH(B1868,pr_code,0))="","",INDEX(pr_rate,MATCH(B1868,pr_code,0))),""))))</f>
        <v/>
      </c>
      <c r="L1868" s="65" t="str">
        <f>IF(COUNTA(A1868:G1868)=0,"",IF(AND(ISNUMBER(D1868),ISNUMBER(J1868)),ROUND(D1868*J1868*(1-N(F1868)),2),0))</f>
        <v/>
      </c>
      <c r="M1868" s="62" t="str">
        <f>IF(A1868="","",IFERROR(INDEX(fa_cname,MATCH(A1868,fa_num,0))&amp;"",""))</f>
        <v/>
      </c>
      <c r="N1868" s="59" t="str">
        <f>IF(COUNTA(A1868:G1868)=0,"",IF(A1868="","N° facture manquant",IF(ISNA(MATCH(A1868,fa_num,0)),"Facture inconnue",IF(AND(B1868&lt;&gt;"",ISNA(MATCH(B1868,pr_code,0))),"Article inconnu",IF(H1868="","Désignation manquante",IF(OR(NOT(ISNUMBER(D1868)),N(D1868)&lt;=0),"Quantité invalide",IF(J1868="","Prix manquant",IF(OR(NOT(ISNUMBER(J1868)),N(J1868)&lt;0),"Prix invalide",IF(OR(AND(F1868&lt;&gt;"",NOT(ISNUMBER(F1868))),N(F1868)&lt;0,N(F1868)&gt;1),"Remise invalide",IF(K1868="","Taux de TVA manquant",IF(NOT(ISNUMBER(K1868)),"Taux de TVA invalide",IF(COUNTIF(p_rates,K1868)=0,"Taux de TVA hors liste (Paramètres)",IF(N(O1868)&gt;25,"Au-delà de 25 lignes : non imprimée","OK")))))))))))))</f>
        <v/>
      </c>
      <c r="O1868" s="59" t="str">
        <f>IF(A1868="","",COUNTIF($A$6:A1868,A1868))</f>
        <v/>
      </c>
      <c r="P1868" s="62" t="str">
        <f>IF(A1868="","",A1868&amp;"|"&amp;O1868)</f>
        <v/>
      </c>
    </row>
    <row r="1869">
      <c r="A1869" s="60" t="n"/>
      <c r="B1869" s="63" t="n"/>
      <c r="C1869" s="63" t="n"/>
      <c r="D1869" s="67" t="n"/>
      <c r="E1869" s="68" t="n"/>
      <c r="F1869" s="69" t="n"/>
      <c r="G1869" s="70" t="n"/>
      <c r="H1869" s="62" t="str">
        <f>IF(COUNTA(A1869:G1869)=0,"",IF(C1869&lt;&gt;"",C1869,IF(B1869="","",IFERROR(INDEX(pr_des,MATCH(B1869,pr_code,0))&amp;"",""))))</f>
        <v/>
      </c>
      <c r="I1869" s="59" t="str">
        <f>IF(B1869="","",IFERROR(INDEX(pr_unit,MATCH(B1869,pr_code,0))&amp;"",""))</f>
        <v/>
      </c>
      <c r="J1869" s="65" t="str">
        <f>IF(COUNTA(A1869:G1869)=0,"",IF(E1869&lt;&gt;"",E1869,IF(B1869="","",IFERROR(IF(INDEX(pr_price,MATCH(B1869,pr_code,0))="","",INDEX(pr_price,MATCH(B1869,pr_code,0))),""))))</f>
        <v/>
      </c>
      <c r="K1869" s="71" t="str">
        <f>IF(COUNTA(A1869:G1869)=0,"",IF(G1869&lt;&gt;"",G1869,IF(B1869="","",IFERROR(IF(INDEX(pr_rate,MATCH(B1869,pr_code,0))="","",INDEX(pr_rate,MATCH(B1869,pr_code,0))),""))))</f>
        <v/>
      </c>
      <c r="L1869" s="65" t="str">
        <f>IF(COUNTA(A1869:G1869)=0,"",IF(AND(ISNUMBER(D1869),ISNUMBER(J1869)),ROUND(D1869*J1869*(1-N(F1869)),2),0))</f>
        <v/>
      </c>
      <c r="M1869" s="62" t="str">
        <f>IF(A1869="","",IFERROR(INDEX(fa_cname,MATCH(A1869,fa_num,0))&amp;"",""))</f>
        <v/>
      </c>
      <c r="N1869" s="59" t="str">
        <f>IF(COUNTA(A1869:G1869)=0,"",IF(A1869="","N° facture manquant",IF(ISNA(MATCH(A1869,fa_num,0)),"Facture inconnue",IF(AND(B1869&lt;&gt;"",ISNA(MATCH(B1869,pr_code,0))),"Article inconnu",IF(H1869="","Désignation manquante",IF(OR(NOT(ISNUMBER(D1869)),N(D1869)&lt;=0),"Quantité invalide",IF(J1869="","Prix manquant",IF(OR(NOT(ISNUMBER(J1869)),N(J1869)&lt;0),"Prix invalide",IF(OR(AND(F1869&lt;&gt;"",NOT(ISNUMBER(F1869))),N(F1869)&lt;0,N(F1869)&gt;1),"Remise invalide",IF(K1869="","Taux de TVA manquant",IF(NOT(ISNUMBER(K1869)),"Taux de TVA invalide",IF(COUNTIF(p_rates,K1869)=0,"Taux de TVA hors liste (Paramètres)",IF(N(O1869)&gt;25,"Au-delà de 25 lignes : non imprimée","OK")))))))))))))</f>
        <v/>
      </c>
      <c r="O1869" s="59" t="str">
        <f>IF(A1869="","",COUNTIF($A$6:A1869,A1869))</f>
        <v/>
      </c>
      <c r="P1869" s="62" t="str">
        <f>IF(A1869="","",A1869&amp;"|"&amp;O1869)</f>
        <v/>
      </c>
    </row>
    <row r="1870">
      <c r="A1870" s="60" t="n"/>
      <c r="B1870" s="63" t="n"/>
      <c r="C1870" s="63" t="n"/>
      <c r="D1870" s="67" t="n"/>
      <c r="E1870" s="68" t="n"/>
      <c r="F1870" s="69" t="n"/>
      <c r="G1870" s="70" t="n"/>
      <c r="H1870" s="62" t="str">
        <f>IF(COUNTA(A1870:G1870)=0,"",IF(C1870&lt;&gt;"",C1870,IF(B1870="","",IFERROR(INDEX(pr_des,MATCH(B1870,pr_code,0))&amp;"",""))))</f>
        <v/>
      </c>
      <c r="I1870" s="59" t="str">
        <f>IF(B1870="","",IFERROR(INDEX(pr_unit,MATCH(B1870,pr_code,0))&amp;"",""))</f>
        <v/>
      </c>
      <c r="J1870" s="65" t="str">
        <f>IF(COUNTA(A1870:G1870)=0,"",IF(E1870&lt;&gt;"",E1870,IF(B1870="","",IFERROR(IF(INDEX(pr_price,MATCH(B1870,pr_code,0))="","",INDEX(pr_price,MATCH(B1870,pr_code,0))),""))))</f>
        <v/>
      </c>
      <c r="K1870" s="71" t="str">
        <f>IF(COUNTA(A1870:G1870)=0,"",IF(G1870&lt;&gt;"",G1870,IF(B1870="","",IFERROR(IF(INDEX(pr_rate,MATCH(B1870,pr_code,0))="","",INDEX(pr_rate,MATCH(B1870,pr_code,0))),""))))</f>
        <v/>
      </c>
      <c r="L1870" s="65" t="str">
        <f>IF(COUNTA(A1870:G1870)=0,"",IF(AND(ISNUMBER(D1870),ISNUMBER(J1870)),ROUND(D1870*J1870*(1-N(F1870)),2),0))</f>
        <v/>
      </c>
      <c r="M1870" s="62" t="str">
        <f>IF(A1870="","",IFERROR(INDEX(fa_cname,MATCH(A1870,fa_num,0))&amp;"",""))</f>
        <v/>
      </c>
      <c r="N1870" s="59" t="str">
        <f>IF(COUNTA(A1870:G1870)=0,"",IF(A1870="","N° facture manquant",IF(ISNA(MATCH(A1870,fa_num,0)),"Facture inconnue",IF(AND(B1870&lt;&gt;"",ISNA(MATCH(B1870,pr_code,0))),"Article inconnu",IF(H1870="","Désignation manquante",IF(OR(NOT(ISNUMBER(D1870)),N(D1870)&lt;=0),"Quantité invalide",IF(J1870="","Prix manquant",IF(OR(NOT(ISNUMBER(J1870)),N(J1870)&lt;0),"Prix invalide",IF(OR(AND(F1870&lt;&gt;"",NOT(ISNUMBER(F1870))),N(F1870)&lt;0,N(F1870)&gt;1),"Remise invalide",IF(K1870="","Taux de TVA manquant",IF(NOT(ISNUMBER(K1870)),"Taux de TVA invalide",IF(COUNTIF(p_rates,K1870)=0,"Taux de TVA hors liste (Paramètres)",IF(N(O1870)&gt;25,"Au-delà de 25 lignes : non imprimée","OK")))))))))))))</f>
        <v/>
      </c>
      <c r="O1870" s="59" t="str">
        <f>IF(A1870="","",COUNTIF($A$6:A1870,A1870))</f>
        <v/>
      </c>
      <c r="P1870" s="62" t="str">
        <f>IF(A1870="","",A1870&amp;"|"&amp;O1870)</f>
        <v/>
      </c>
    </row>
    <row r="1871">
      <c r="A1871" s="60" t="n"/>
      <c r="B1871" s="63" t="n"/>
      <c r="C1871" s="63" t="n"/>
      <c r="D1871" s="67" t="n"/>
      <c r="E1871" s="68" t="n"/>
      <c r="F1871" s="69" t="n"/>
      <c r="G1871" s="70" t="n"/>
      <c r="H1871" s="62" t="str">
        <f>IF(COUNTA(A1871:G1871)=0,"",IF(C1871&lt;&gt;"",C1871,IF(B1871="","",IFERROR(INDEX(pr_des,MATCH(B1871,pr_code,0))&amp;"",""))))</f>
        <v/>
      </c>
      <c r="I1871" s="59" t="str">
        <f>IF(B1871="","",IFERROR(INDEX(pr_unit,MATCH(B1871,pr_code,0))&amp;"",""))</f>
        <v/>
      </c>
      <c r="J1871" s="65" t="str">
        <f>IF(COUNTA(A1871:G1871)=0,"",IF(E1871&lt;&gt;"",E1871,IF(B1871="","",IFERROR(IF(INDEX(pr_price,MATCH(B1871,pr_code,0))="","",INDEX(pr_price,MATCH(B1871,pr_code,0))),""))))</f>
        <v/>
      </c>
      <c r="K1871" s="71" t="str">
        <f>IF(COUNTA(A1871:G1871)=0,"",IF(G1871&lt;&gt;"",G1871,IF(B1871="","",IFERROR(IF(INDEX(pr_rate,MATCH(B1871,pr_code,0))="","",INDEX(pr_rate,MATCH(B1871,pr_code,0))),""))))</f>
        <v/>
      </c>
      <c r="L1871" s="65" t="str">
        <f>IF(COUNTA(A1871:G1871)=0,"",IF(AND(ISNUMBER(D1871),ISNUMBER(J1871)),ROUND(D1871*J1871*(1-N(F1871)),2),0))</f>
        <v/>
      </c>
      <c r="M1871" s="62" t="str">
        <f>IF(A1871="","",IFERROR(INDEX(fa_cname,MATCH(A1871,fa_num,0))&amp;"",""))</f>
        <v/>
      </c>
      <c r="N1871" s="59" t="str">
        <f>IF(COUNTA(A1871:G1871)=0,"",IF(A1871="","N° facture manquant",IF(ISNA(MATCH(A1871,fa_num,0)),"Facture inconnue",IF(AND(B1871&lt;&gt;"",ISNA(MATCH(B1871,pr_code,0))),"Article inconnu",IF(H1871="","Désignation manquante",IF(OR(NOT(ISNUMBER(D1871)),N(D1871)&lt;=0),"Quantité invalide",IF(J1871="","Prix manquant",IF(OR(NOT(ISNUMBER(J1871)),N(J1871)&lt;0),"Prix invalide",IF(OR(AND(F1871&lt;&gt;"",NOT(ISNUMBER(F1871))),N(F1871)&lt;0,N(F1871)&gt;1),"Remise invalide",IF(K1871="","Taux de TVA manquant",IF(NOT(ISNUMBER(K1871)),"Taux de TVA invalide",IF(COUNTIF(p_rates,K1871)=0,"Taux de TVA hors liste (Paramètres)",IF(N(O1871)&gt;25,"Au-delà de 25 lignes : non imprimée","OK")))))))))))))</f>
        <v/>
      </c>
      <c r="O1871" s="59" t="str">
        <f>IF(A1871="","",COUNTIF($A$6:A1871,A1871))</f>
        <v/>
      </c>
      <c r="P1871" s="62" t="str">
        <f>IF(A1871="","",A1871&amp;"|"&amp;O1871)</f>
        <v/>
      </c>
    </row>
    <row r="1872">
      <c r="A1872" s="60" t="n"/>
      <c r="B1872" s="63" t="n"/>
      <c r="C1872" s="63" t="n"/>
      <c r="D1872" s="67" t="n"/>
      <c r="E1872" s="68" t="n"/>
      <c r="F1872" s="69" t="n"/>
      <c r="G1872" s="70" t="n"/>
      <c r="H1872" s="62" t="str">
        <f>IF(COUNTA(A1872:G1872)=0,"",IF(C1872&lt;&gt;"",C1872,IF(B1872="","",IFERROR(INDEX(pr_des,MATCH(B1872,pr_code,0))&amp;"",""))))</f>
        <v/>
      </c>
      <c r="I1872" s="59" t="str">
        <f>IF(B1872="","",IFERROR(INDEX(pr_unit,MATCH(B1872,pr_code,0))&amp;"",""))</f>
        <v/>
      </c>
      <c r="J1872" s="65" t="str">
        <f>IF(COUNTA(A1872:G1872)=0,"",IF(E1872&lt;&gt;"",E1872,IF(B1872="","",IFERROR(IF(INDEX(pr_price,MATCH(B1872,pr_code,0))="","",INDEX(pr_price,MATCH(B1872,pr_code,0))),""))))</f>
        <v/>
      </c>
      <c r="K1872" s="71" t="str">
        <f>IF(COUNTA(A1872:G1872)=0,"",IF(G1872&lt;&gt;"",G1872,IF(B1872="","",IFERROR(IF(INDEX(pr_rate,MATCH(B1872,pr_code,0))="","",INDEX(pr_rate,MATCH(B1872,pr_code,0))),""))))</f>
        <v/>
      </c>
      <c r="L1872" s="65" t="str">
        <f>IF(COUNTA(A1872:G1872)=0,"",IF(AND(ISNUMBER(D1872),ISNUMBER(J1872)),ROUND(D1872*J1872*(1-N(F1872)),2),0))</f>
        <v/>
      </c>
      <c r="M1872" s="62" t="str">
        <f>IF(A1872="","",IFERROR(INDEX(fa_cname,MATCH(A1872,fa_num,0))&amp;"",""))</f>
        <v/>
      </c>
      <c r="N1872" s="59" t="str">
        <f>IF(COUNTA(A1872:G1872)=0,"",IF(A1872="","N° facture manquant",IF(ISNA(MATCH(A1872,fa_num,0)),"Facture inconnue",IF(AND(B1872&lt;&gt;"",ISNA(MATCH(B1872,pr_code,0))),"Article inconnu",IF(H1872="","Désignation manquante",IF(OR(NOT(ISNUMBER(D1872)),N(D1872)&lt;=0),"Quantité invalide",IF(J1872="","Prix manquant",IF(OR(NOT(ISNUMBER(J1872)),N(J1872)&lt;0),"Prix invalide",IF(OR(AND(F1872&lt;&gt;"",NOT(ISNUMBER(F1872))),N(F1872)&lt;0,N(F1872)&gt;1),"Remise invalide",IF(K1872="","Taux de TVA manquant",IF(NOT(ISNUMBER(K1872)),"Taux de TVA invalide",IF(COUNTIF(p_rates,K1872)=0,"Taux de TVA hors liste (Paramètres)",IF(N(O1872)&gt;25,"Au-delà de 25 lignes : non imprimée","OK")))))))))))))</f>
        <v/>
      </c>
      <c r="O1872" s="59" t="str">
        <f>IF(A1872="","",COUNTIF($A$6:A1872,A1872))</f>
        <v/>
      </c>
      <c r="P1872" s="62" t="str">
        <f>IF(A1872="","",A1872&amp;"|"&amp;O1872)</f>
        <v/>
      </c>
    </row>
    <row r="1873">
      <c r="A1873" s="60" t="n"/>
      <c r="B1873" s="63" t="n"/>
      <c r="C1873" s="63" t="n"/>
      <c r="D1873" s="67" t="n"/>
      <c r="E1873" s="68" t="n"/>
      <c r="F1873" s="69" t="n"/>
      <c r="G1873" s="70" t="n"/>
      <c r="H1873" s="62" t="str">
        <f>IF(COUNTA(A1873:G1873)=0,"",IF(C1873&lt;&gt;"",C1873,IF(B1873="","",IFERROR(INDEX(pr_des,MATCH(B1873,pr_code,0))&amp;"",""))))</f>
        <v/>
      </c>
      <c r="I1873" s="59" t="str">
        <f>IF(B1873="","",IFERROR(INDEX(pr_unit,MATCH(B1873,pr_code,0))&amp;"",""))</f>
        <v/>
      </c>
      <c r="J1873" s="65" t="str">
        <f>IF(COUNTA(A1873:G1873)=0,"",IF(E1873&lt;&gt;"",E1873,IF(B1873="","",IFERROR(IF(INDEX(pr_price,MATCH(B1873,pr_code,0))="","",INDEX(pr_price,MATCH(B1873,pr_code,0))),""))))</f>
        <v/>
      </c>
      <c r="K1873" s="71" t="str">
        <f>IF(COUNTA(A1873:G1873)=0,"",IF(G1873&lt;&gt;"",G1873,IF(B1873="","",IFERROR(IF(INDEX(pr_rate,MATCH(B1873,pr_code,0))="","",INDEX(pr_rate,MATCH(B1873,pr_code,0))),""))))</f>
        <v/>
      </c>
      <c r="L1873" s="65" t="str">
        <f>IF(COUNTA(A1873:G1873)=0,"",IF(AND(ISNUMBER(D1873),ISNUMBER(J1873)),ROUND(D1873*J1873*(1-N(F1873)),2),0))</f>
        <v/>
      </c>
      <c r="M1873" s="62" t="str">
        <f>IF(A1873="","",IFERROR(INDEX(fa_cname,MATCH(A1873,fa_num,0))&amp;"",""))</f>
        <v/>
      </c>
      <c r="N1873" s="59" t="str">
        <f>IF(COUNTA(A1873:G1873)=0,"",IF(A1873="","N° facture manquant",IF(ISNA(MATCH(A1873,fa_num,0)),"Facture inconnue",IF(AND(B1873&lt;&gt;"",ISNA(MATCH(B1873,pr_code,0))),"Article inconnu",IF(H1873="","Désignation manquante",IF(OR(NOT(ISNUMBER(D1873)),N(D1873)&lt;=0),"Quantité invalide",IF(J1873="","Prix manquant",IF(OR(NOT(ISNUMBER(J1873)),N(J1873)&lt;0),"Prix invalide",IF(OR(AND(F1873&lt;&gt;"",NOT(ISNUMBER(F1873))),N(F1873)&lt;0,N(F1873)&gt;1),"Remise invalide",IF(K1873="","Taux de TVA manquant",IF(NOT(ISNUMBER(K1873)),"Taux de TVA invalide",IF(COUNTIF(p_rates,K1873)=0,"Taux de TVA hors liste (Paramètres)",IF(N(O1873)&gt;25,"Au-delà de 25 lignes : non imprimée","OK")))))))))))))</f>
        <v/>
      </c>
      <c r="O1873" s="59" t="str">
        <f>IF(A1873="","",COUNTIF($A$6:A1873,A1873))</f>
        <v/>
      </c>
      <c r="P1873" s="62" t="str">
        <f>IF(A1873="","",A1873&amp;"|"&amp;O1873)</f>
        <v/>
      </c>
    </row>
    <row r="1874">
      <c r="A1874" s="60" t="n"/>
      <c r="B1874" s="63" t="n"/>
      <c r="C1874" s="63" t="n"/>
      <c r="D1874" s="67" t="n"/>
      <c r="E1874" s="68" t="n"/>
      <c r="F1874" s="69" t="n"/>
      <c r="G1874" s="70" t="n"/>
      <c r="H1874" s="62" t="str">
        <f>IF(COUNTA(A1874:G1874)=0,"",IF(C1874&lt;&gt;"",C1874,IF(B1874="","",IFERROR(INDEX(pr_des,MATCH(B1874,pr_code,0))&amp;"",""))))</f>
        <v/>
      </c>
      <c r="I1874" s="59" t="str">
        <f>IF(B1874="","",IFERROR(INDEX(pr_unit,MATCH(B1874,pr_code,0))&amp;"",""))</f>
        <v/>
      </c>
      <c r="J1874" s="65" t="str">
        <f>IF(COUNTA(A1874:G1874)=0,"",IF(E1874&lt;&gt;"",E1874,IF(B1874="","",IFERROR(IF(INDEX(pr_price,MATCH(B1874,pr_code,0))="","",INDEX(pr_price,MATCH(B1874,pr_code,0))),""))))</f>
        <v/>
      </c>
      <c r="K1874" s="71" t="str">
        <f>IF(COUNTA(A1874:G1874)=0,"",IF(G1874&lt;&gt;"",G1874,IF(B1874="","",IFERROR(IF(INDEX(pr_rate,MATCH(B1874,pr_code,0))="","",INDEX(pr_rate,MATCH(B1874,pr_code,0))),""))))</f>
        <v/>
      </c>
      <c r="L1874" s="65" t="str">
        <f>IF(COUNTA(A1874:G1874)=0,"",IF(AND(ISNUMBER(D1874),ISNUMBER(J1874)),ROUND(D1874*J1874*(1-N(F1874)),2),0))</f>
        <v/>
      </c>
      <c r="M1874" s="62" t="str">
        <f>IF(A1874="","",IFERROR(INDEX(fa_cname,MATCH(A1874,fa_num,0))&amp;"",""))</f>
        <v/>
      </c>
      <c r="N1874" s="59" t="str">
        <f>IF(COUNTA(A1874:G1874)=0,"",IF(A1874="","N° facture manquant",IF(ISNA(MATCH(A1874,fa_num,0)),"Facture inconnue",IF(AND(B1874&lt;&gt;"",ISNA(MATCH(B1874,pr_code,0))),"Article inconnu",IF(H1874="","Désignation manquante",IF(OR(NOT(ISNUMBER(D1874)),N(D1874)&lt;=0),"Quantité invalide",IF(J1874="","Prix manquant",IF(OR(NOT(ISNUMBER(J1874)),N(J1874)&lt;0),"Prix invalide",IF(OR(AND(F1874&lt;&gt;"",NOT(ISNUMBER(F1874))),N(F1874)&lt;0,N(F1874)&gt;1),"Remise invalide",IF(K1874="","Taux de TVA manquant",IF(NOT(ISNUMBER(K1874)),"Taux de TVA invalide",IF(COUNTIF(p_rates,K1874)=0,"Taux de TVA hors liste (Paramètres)",IF(N(O1874)&gt;25,"Au-delà de 25 lignes : non imprimée","OK")))))))))))))</f>
        <v/>
      </c>
      <c r="O1874" s="59" t="str">
        <f>IF(A1874="","",COUNTIF($A$6:A1874,A1874))</f>
        <v/>
      </c>
      <c r="P1874" s="62" t="str">
        <f>IF(A1874="","",A1874&amp;"|"&amp;O1874)</f>
        <v/>
      </c>
    </row>
    <row r="1875">
      <c r="A1875" s="60" t="n"/>
      <c r="B1875" s="63" t="n"/>
      <c r="C1875" s="63" t="n"/>
      <c r="D1875" s="67" t="n"/>
      <c r="E1875" s="68" t="n"/>
      <c r="F1875" s="69" t="n"/>
      <c r="G1875" s="70" t="n"/>
      <c r="H1875" s="62" t="str">
        <f>IF(COUNTA(A1875:G1875)=0,"",IF(C1875&lt;&gt;"",C1875,IF(B1875="","",IFERROR(INDEX(pr_des,MATCH(B1875,pr_code,0))&amp;"",""))))</f>
        <v/>
      </c>
      <c r="I1875" s="59" t="str">
        <f>IF(B1875="","",IFERROR(INDEX(pr_unit,MATCH(B1875,pr_code,0))&amp;"",""))</f>
        <v/>
      </c>
      <c r="J1875" s="65" t="str">
        <f>IF(COUNTA(A1875:G1875)=0,"",IF(E1875&lt;&gt;"",E1875,IF(B1875="","",IFERROR(IF(INDEX(pr_price,MATCH(B1875,pr_code,0))="","",INDEX(pr_price,MATCH(B1875,pr_code,0))),""))))</f>
        <v/>
      </c>
      <c r="K1875" s="71" t="str">
        <f>IF(COUNTA(A1875:G1875)=0,"",IF(G1875&lt;&gt;"",G1875,IF(B1875="","",IFERROR(IF(INDEX(pr_rate,MATCH(B1875,pr_code,0))="","",INDEX(pr_rate,MATCH(B1875,pr_code,0))),""))))</f>
        <v/>
      </c>
      <c r="L1875" s="65" t="str">
        <f>IF(COUNTA(A1875:G1875)=0,"",IF(AND(ISNUMBER(D1875),ISNUMBER(J1875)),ROUND(D1875*J1875*(1-N(F1875)),2),0))</f>
        <v/>
      </c>
      <c r="M1875" s="62" t="str">
        <f>IF(A1875="","",IFERROR(INDEX(fa_cname,MATCH(A1875,fa_num,0))&amp;"",""))</f>
        <v/>
      </c>
      <c r="N1875" s="59" t="str">
        <f>IF(COUNTA(A1875:G1875)=0,"",IF(A1875="","N° facture manquant",IF(ISNA(MATCH(A1875,fa_num,0)),"Facture inconnue",IF(AND(B1875&lt;&gt;"",ISNA(MATCH(B1875,pr_code,0))),"Article inconnu",IF(H1875="","Désignation manquante",IF(OR(NOT(ISNUMBER(D1875)),N(D1875)&lt;=0),"Quantité invalide",IF(J1875="","Prix manquant",IF(OR(NOT(ISNUMBER(J1875)),N(J1875)&lt;0),"Prix invalide",IF(OR(AND(F1875&lt;&gt;"",NOT(ISNUMBER(F1875))),N(F1875)&lt;0,N(F1875)&gt;1),"Remise invalide",IF(K1875="","Taux de TVA manquant",IF(NOT(ISNUMBER(K1875)),"Taux de TVA invalide",IF(COUNTIF(p_rates,K1875)=0,"Taux de TVA hors liste (Paramètres)",IF(N(O1875)&gt;25,"Au-delà de 25 lignes : non imprimée","OK")))))))))))))</f>
        <v/>
      </c>
      <c r="O1875" s="59" t="str">
        <f>IF(A1875="","",COUNTIF($A$6:A1875,A1875))</f>
        <v/>
      </c>
      <c r="P1875" s="62" t="str">
        <f>IF(A1875="","",A1875&amp;"|"&amp;O1875)</f>
        <v/>
      </c>
    </row>
    <row r="1876">
      <c r="A1876" s="60" t="n"/>
      <c r="B1876" s="63" t="n"/>
      <c r="C1876" s="63" t="n"/>
      <c r="D1876" s="67" t="n"/>
      <c r="E1876" s="68" t="n"/>
      <c r="F1876" s="69" t="n"/>
      <c r="G1876" s="70" t="n"/>
      <c r="H1876" s="62" t="str">
        <f>IF(COUNTA(A1876:G1876)=0,"",IF(C1876&lt;&gt;"",C1876,IF(B1876="","",IFERROR(INDEX(pr_des,MATCH(B1876,pr_code,0))&amp;"",""))))</f>
        <v/>
      </c>
      <c r="I1876" s="59" t="str">
        <f>IF(B1876="","",IFERROR(INDEX(pr_unit,MATCH(B1876,pr_code,0))&amp;"",""))</f>
        <v/>
      </c>
      <c r="J1876" s="65" t="str">
        <f>IF(COUNTA(A1876:G1876)=0,"",IF(E1876&lt;&gt;"",E1876,IF(B1876="","",IFERROR(IF(INDEX(pr_price,MATCH(B1876,pr_code,0))="","",INDEX(pr_price,MATCH(B1876,pr_code,0))),""))))</f>
        <v/>
      </c>
      <c r="K1876" s="71" t="str">
        <f>IF(COUNTA(A1876:G1876)=0,"",IF(G1876&lt;&gt;"",G1876,IF(B1876="","",IFERROR(IF(INDEX(pr_rate,MATCH(B1876,pr_code,0))="","",INDEX(pr_rate,MATCH(B1876,pr_code,0))),""))))</f>
        <v/>
      </c>
      <c r="L1876" s="65" t="str">
        <f>IF(COUNTA(A1876:G1876)=0,"",IF(AND(ISNUMBER(D1876),ISNUMBER(J1876)),ROUND(D1876*J1876*(1-N(F1876)),2),0))</f>
        <v/>
      </c>
      <c r="M1876" s="62" t="str">
        <f>IF(A1876="","",IFERROR(INDEX(fa_cname,MATCH(A1876,fa_num,0))&amp;"",""))</f>
        <v/>
      </c>
      <c r="N1876" s="59" t="str">
        <f>IF(COUNTA(A1876:G1876)=0,"",IF(A1876="","N° facture manquant",IF(ISNA(MATCH(A1876,fa_num,0)),"Facture inconnue",IF(AND(B1876&lt;&gt;"",ISNA(MATCH(B1876,pr_code,0))),"Article inconnu",IF(H1876="","Désignation manquante",IF(OR(NOT(ISNUMBER(D1876)),N(D1876)&lt;=0),"Quantité invalide",IF(J1876="","Prix manquant",IF(OR(NOT(ISNUMBER(J1876)),N(J1876)&lt;0),"Prix invalide",IF(OR(AND(F1876&lt;&gt;"",NOT(ISNUMBER(F1876))),N(F1876)&lt;0,N(F1876)&gt;1),"Remise invalide",IF(K1876="","Taux de TVA manquant",IF(NOT(ISNUMBER(K1876)),"Taux de TVA invalide",IF(COUNTIF(p_rates,K1876)=0,"Taux de TVA hors liste (Paramètres)",IF(N(O1876)&gt;25,"Au-delà de 25 lignes : non imprimée","OK")))))))))))))</f>
        <v/>
      </c>
      <c r="O1876" s="59" t="str">
        <f>IF(A1876="","",COUNTIF($A$6:A1876,A1876))</f>
        <v/>
      </c>
      <c r="P1876" s="62" t="str">
        <f>IF(A1876="","",A1876&amp;"|"&amp;O1876)</f>
        <v/>
      </c>
    </row>
    <row r="1877">
      <c r="A1877" s="60" t="n"/>
      <c r="B1877" s="63" t="n"/>
      <c r="C1877" s="63" t="n"/>
      <c r="D1877" s="67" t="n"/>
      <c r="E1877" s="68" t="n"/>
      <c r="F1877" s="69" t="n"/>
      <c r="G1877" s="70" t="n"/>
      <c r="H1877" s="62" t="str">
        <f>IF(COUNTA(A1877:G1877)=0,"",IF(C1877&lt;&gt;"",C1877,IF(B1877="","",IFERROR(INDEX(pr_des,MATCH(B1877,pr_code,0))&amp;"",""))))</f>
        <v/>
      </c>
      <c r="I1877" s="59" t="str">
        <f>IF(B1877="","",IFERROR(INDEX(pr_unit,MATCH(B1877,pr_code,0))&amp;"",""))</f>
        <v/>
      </c>
      <c r="J1877" s="65" t="str">
        <f>IF(COUNTA(A1877:G1877)=0,"",IF(E1877&lt;&gt;"",E1877,IF(B1877="","",IFERROR(IF(INDEX(pr_price,MATCH(B1877,pr_code,0))="","",INDEX(pr_price,MATCH(B1877,pr_code,0))),""))))</f>
        <v/>
      </c>
      <c r="K1877" s="71" t="str">
        <f>IF(COUNTA(A1877:G1877)=0,"",IF(G1877&lt;&gt;"",G1877,IF(B1877="","",IFERROR(IF(INDEX(pr_rate,MATCH(B1877,pr_code,0))="","",INDEX(pr_rate,MATCH(B1877,pr_code,0))),""))))</f>
        <v/>
      </c>
      <c r="L1877" s="65" t="str">
        <f>IF(COUNTA(A1877:G1877)=0,"",IF(AND(ISNUMBER(D1877),ISNUMBER(J1877)),ROUND(D1877*J1877*(1-N(F1877)),2),0))</f>
        <v/>
      </c>
      <c r="M1877" s="62" t="str">
        <f>IF(A1877="","",IFERROR(INDEX(fa_cname,MATCH(A1877,fa_num,0))&amp;"",""))</f>
        <v/>
      </c>
      <c r="N1877" s="59" t="str">
        <f>IF(COUNTA(A1877:G1877)=0,"",IF(A1877="","N° facture manquant",IF(ISNA(MATCH(A1877,fa_num,0)),"Facture inconnue",IF(AND(B1877&lt;&gt;"",ISNA(MATCH(B1877,pr_code,0))),"Article inconnu",IF(H1877="","Désignation manquante",IF(OR(NOT(ISNUMBER(D1877)),N(D1877)&lt;=0),"Quantité invalide",IF(J1877="","Prix manquant",IF(OR(NOT(ISNUMBER(J1877)),N(J1877)&lt;0),"Prix invalide",IF(OR(AND(F1877&lt;&gt;"",NOT(ISNUMBER(F1877))),N(F1877)&lt;0,N(F1877)&gt;1),"Remise invalide",IF(K1877="","Taux de TVA manquant",IF(NOT(ISNUMBER(K1877)),"Taux de TVA invalide",IF(COUNTIF(p_rates,K1877)=0,"Taux de TVA hors liste (Paramètres)",IF(N(O1877)&gt;25,"Au-delà de 25 lignes : non imprimée","OK")))))))))))))</f>
        <v/>
      </c>
      <c r="O1877" s="59" t="str">
        <f>IF(A1877="","",COUNTIF($A$6:A1877,A1877))</f>
        <v/>
      </c>
      <c r="P1877" s="62" t="str">
        <f>IF(A1877="","",A1877&amp;"|"&amp;O1877)</f>
        <v/>
      </c>
    </row>
    <row r="1878">
      <c r="A1878" s="60" t="n"/>
      <c r="B1878" s="63" t="n"/>
      <c r="C1878" s="63" t="n"/>
      <c r="D1878" s="67" t="n"/>
      <c r="E1878" s="68" t="n"/>
      <c r="F1878" s="69" t="n"/>
      <c r="G1878" s="70" t="n"/>
      <c r="H1878" s="62" t="str">
        <f>IF(COUNTA(A1878:G1878)=0,"",IF(C1878&lt;&gt;"",C1878,IF(B1878="","",IFERROR(INDEX(pr_des,MATCH(B1878,pr_code,0))&amp;"",""))))</f>
        <v/>
      </c>
      <c r="I1878" s="59" t="str">
        <f>IF(B1878="","",IFERROR(INDEX(pr_unit,MATCH(B1878,pr_code,0))&amp;"",""))</f>
        <v/>
      </c>
      <c r="J1878" s="65" t="str">
        <f>IF(COUNTA(A1878:G1878)=0,"",IF(E1878&lt;&gt;"",E1878,IF(B1878="","",IFERROR(IF(INDEX(pr_price,MATCH(B1878,pr_code,0))="","",INDEX(pr_price,MATCH(B1878,pr_code,0))),""))))</f>
        <v/>
      </c>
      <c r="K1878" s="71" t="str">
        <f>IF(COUNTA(A1878:G1878)=0,"",IF(G1878&lt;&gt;"",G1878,IF(B1878="","",IFERROR(IF(INDEX(pr_rate,MATCH(B1878,pr_code,0))="","",INDEX(pr_rate,MATCH(B1878,pr_code,0))),""))))</f>
        <v/>
      </c>
      <c r="L1878" s="65" t="str">
        <f>IF(COUNTA(A1878:G1878)=0,"",IF(AND(ISNUMBER(D1878),ISNUMBER(J1878)),ROUND(D1878*J1878*(1-N(F1878)),2),0))</f>
        <v/>
      </c>
      <c r="M1878" s="62" t="str">
        <f>IF(A1878="","",IFERROR(INDEX(fa_cname,MATCH(A1878,fa_num,0))&amp;"",""))</f>
        <v/>
      </c>
      <c r="N1878" s="59" t="str">
        <f>IF(COUNTA(A1878:G1878)=0,"",IF(A1878="","N° facture manquant",IF(ISNA(MATCH(A1878,fa_num,0)),"Facture inconnue",IF(AND(B1878&lt;&gt;"",ISNA(MATCH(B1878,pr_code,0))),"Article inconnu",IF(H1878="","Désignation manquante",IF(OR(NOT(ISNUMBER(D1878)),N(D1878)&lt;=0),"Quantité invalide",IF(J1878="","Prix manquant",IF(OR(NOT(ISNUMBER(J1878)),N(J1878)&lt;0),"Prix invalide",IF(OR(AND(F1878&lt;&gt;"",NOT(ISNUMBER(F1878))),N(F1878)&lt;0,N(F1878)&gt;1),"Remise invalide",IF(K1878="","Taux de TVA manquant",IF(NOT(ISNUMBER(K1878)),"Taux de TVA invalide",IF(COUNTIF(p_rates,K1878)=0,"Taux de TVA hors liste (Paramètres)",IF(N(O1878)&gt;25,"Au-delà de 25 lignes : non imprimée","OK")))))))))))))</f>
        <v/>
      </c>
      <c r="O1878" s="59" t="str">
        <f>IF(A1878="","",COUNTIF($A$6:A1878,A1878))</f>
        <v/>
      </c>
      <c r="P1878" s="62" t="str">
        <f>IF(A1878="","",A1878&amp;"|"&amp;O1878)</f>
        <v/>
      </c>
    </row>
    <row r="1879">
      <c r="A1879" s="60" t="n"/>
      <c r="B1879" s="63" t="n"/>
      <c r="C1879" s="63" t="n"/>
      <c r="D1879" s="67" t="n"/>
      <c r="E1879" s="68" t="n"/>
      <c r="F1879" s="69" t="n"/>
      <c r="G1879" s="70" t="n"/>
      <c r="H1879" s="62" t="str">
        <f>IF(COUNTA(A1879:G1879)=0,"",IF(C1879&lt;&gt;"",C1879,IF(B1879="","",IFERROR(INDEX(pr_des,MATCH(B1879,pr_code,0))&amp;"",""))))</f>
        <v/>
      </c>
      <c r="I1879" s="59" t="str">
        <f>IF(B1879="","",IFERROR(INDEX(pr_unit,MATCH(B1879,pr_code,0))&amp;"",""))</f>
        <v/>
      </c>
      <c r="J1879" s="65" t="str">
        <f>IF(COUNTA(A1879:G1879)=0,"",IF(E1879&lt;&gt;"",E1879,IF(B1879="","",IFERROR(IF(INDEX(pr_price,MATCH(B1879,pr_code,0))="","",INDEX(pr_price,MATCH(B1879,pr_code,0))),""))))</f>
        <v/>
      </c>
      <c r="K1879" s="71" t="str">
        <f>IF(COUNTA(A1879:G1879)=0,"",IF(G1879&lt;&gt;"",G1879,IF(B1879="","",IFERROR(IF(INDEX(pr_rate,MATCH(B1879,pr_code,0))="","",INDEX(pr_rate,MATCH(B1879,pr_code,0))),""))))</f>
        <v/>
      </c>
      <c r="L1879" s="65" t="str">
        <f>IF(COUNTA(A1879:G1879)=0,"",IF(AND(ISNUMBER(D1879),ISNUMBER(J1879)),ROUND(D1879*J1879*(1-N(F1879)),2),0))</f>
        <v/>
      </c>
      <c r="M1879" s="62" t="str">
        <f>IF(A1879="","",IFERROR(INDEX(fa_cname,MATCH(A1879,fa_num,0))&amp;"",""))</f>
        <v/>
      </c>
      <c r="N1879" s="59" t="str">
        <f>IF(COUNTA(A1879:G1879)=0,"",IF(A1879="","N° facture manquant",IF(ISNA(MATCH(A1879,fa_num,0)),"Facture inconnue",IF(AND(B1879&lt;&gt;"",ISNA(MATCH(B1879,pr_code,0))),"Article inconnu",IF(H1879="","Désignation manquante",IF(OR(NOT(ISNUMBER(D1879)),N(D1879)&lt;=0),"Quantité invalide",IF(J1879="","Prix manquant",IF(OR(NOT(ISNUMBER(J1879)),N(J1879)&lt;0),"Prix invalide",IF(OR(AND(F1879&lt;&gt;"",NOT(ISNUMBER(F1879))),N(F1879)&lt;0,N(F1879)&gt;1),"Remise invalide",IF(K1879="","Taux de TVA manquant",IF(NOT(ISNUMBER(K1879)),"Taux de TVA invalide",IF(COUNTIF(p_rates,K1879)=0,"Taux de TVA hors liste (Paramètres)",IF(N(O1879)&gt;25,"Au-delà de 25 lignes : non imprimée","OK")))))))))))))</f>
        <v/>
      </c>
      <c r="O1879" s="59" t="str">
        <f>IF(A1879="","",COUNTIF($A$6:A1879,A1879))</f>
        <v/>
      </c>
      <c r="P1879" s="62" t="str">
        <f>IF(A1879="","",A1879&amp;"|"&amp;O1879)</f>
        <v/>
      </c>
    </row>
    <row r="1880">
      <c r="A1880" s="60" t="n"/>
      <c r="B1880" s="63" t="n"/>
      <c r="C1880" s="63" t="n"/>
      <c r="D1880" s="67" t="n"/>
      <c r="E1880" s="68" t="n"/>
      <c r="F1880" s="69" t="n"/>
      <c r="G1880" s="70" t="n"/>
      <c r="H1880" s="62" t="str">
        <f>IF(COUNTA(A1880:G1880)=0,"",IF(C1880&lt;&gt;"",C1880,IF(B1880="","",IFERROR(INDEX(pr_des,MATCH(B1880,pr_code,0))&amp;"",""))))</f>
        <v/>
      </c>
      <c r="I1880" s="59" t="str">
        <f>IF(B1880="","",IFERROR(INDEX(pr_unit,MATCH(B1880,pr_code,0))&amp;"",""))</f>
        <v/>
      </c>
      <c r="J1880" s="65" t="str">
        <f>IF(COUNTA(A1880:G1880)=0,"",IF(E1880&lt;&gt;"",E1880,IF(B1880="","",IFERROR(IF(INDEX(pr_price,MATCH(B1880,pr_code,0))="","",INDEX(pr_price,MATCH(B1880,pr_code,0))),""))))</f>
        <v/>
      </c>
      <c r="K1880" s="71" t="str">
        <f>IF(COUNTA(A1880:G1880)=0,"",IF(G1880&lt;&gt;"",G1880,IF(B1880="","",IFERROR(IF(INDEX(pr_rate,MATCH(B1880,pr_code,0))="","",INDEX(pr_rate,MATCH(B1880,pr_code,0))),""))))</f>
        <v/>
      </c>
      <c r="L1880" s="65" t="str">
        <f>IF(COUNTA(A1880:G1880)=0,"",IF(AND(ISNUMBER(D1880),ISNUMBER(J1880)),ROUND(D1880*J1880*(1-N(F1880)),2),0))</f>
        <v/>
      </c>
      <c r="M1880" s="62" t="str">
        <f>IF(A1880="","",IFERROR(INDEX(fa_cname,MATCH(A1880,fa_num,0))&amp;"",""))</f>
        <v/>
      </c>
      <c r="N1880" s="59" t="str">
        <f>IF(COUNTA(A1880:G1880)=0,"",IF(A1880="","N° facture manquant",IF(ISNA(MATCH(A1880,fa_num,0)),"Facture inconnue",IF(AND(B1880&lt;&gt;"",ISNA(MATCH(B1880,pr_code,0))),"Article inconnu",IF(H1880="","Désignation manquante",IF(OR(NOT(ISNUMBER(D1880)),N(D1880)&lt;=0),"Quantité invalide",IF(J1880="","Prix manquant",IF(OR(NOT(ISNUMBER(J1880)),N(J1880)&lt;0),"Prix invalide",IF(OR(AND(F1880&lt;&gt;"",NOT(ISNUMBER(F1880))),N(F1880)&lt;0,N(F1880)&gt;1),"Remise invalide",IF(K1880="","Taux de TVA manquant",IF(NOT(ISNUMBER(K1880)),"Taux de TVA invalide",IF(COUNTIF(p_rates,K1880)=0,"Taux de TVA hors liste (Paramètres)",IF(N(O1880)&gt;25,"Au-delà de 25 lignes : non imprimée","OK")))))))))))))</f>
        <v/>
      </c>
      <c r="O1880" s="59" t="str">
        <f>IF(A1880="","",COUNTIF($A$6:A1880,A1880))</f>
        <v/>
      </c>
      <c r="P1880" s="62" t="str">
        <f>IF(A1880="","",A1880&amp;"|"&amp;O1880)</f>
        <v/>
      </c>
    </row>
    <row r="1881">
      <c r="A1881" s="60" t="n"/>
      <c r="B1881" s="63" t="n"/>
      <c r="C1881" s="63" t="n"/>
      <c r="D1881" s="67" t="n"/>
      <c r="E1881" s="68" t="n"/>
      <c r="F1881" s="69" t="n"/>
      <c r="G1881" s="70" t="n"/>
      <c r="H1881" s="62" t="str">
        <f>IF(COUNTA(A1881:G1881)=0,"",IF(C1881&lt;&gt;"",C1881,IF(B1881="","",IFERROR(INDEX(pr_des,MATCH(B1881,pr_code,0))&amp;"",""))))</f>
        <v/>
      </c>
      <c r="I1881" s="59" t="str">
        <f>IF(B1881="","",IFERROR(INDEX(pr_unit,MATCH(B1881,pr_code,0))&amp;"",""))</f>
        <v/>
      </c>
      <c r="J1881" s="65" t="str">
        <f>IF(COUNTA(A1881:G1881)=0,"",IF(E1881&lt;&gt;"",E1881,IF(B1881="","",IFERROR(IF(INDEX(pr_price,MATCH(B1881,pr_code,0))="","",INDEX(pr_price,MATCH(B1881,pr_code,0))),""))))</f>
        <v/>
      </c>
      <c r="K1881" s="71" t="str">
        <f>IF(COUNTA(A1881:G1881)=0,"",IF(G1881&lt;&gt;"",G1881,IF(B1881="","",IFERROR(IF(INDEX(pr_rate,MATCH(B1881,pr_code,0))="","",INDEX(pr_rate,MATCH(B1881,pr_code,0))),""))))</f>
        <v/>
      </c>
      <c r="L1881" s="65" t="str">
        <f>IF(COUNTA(A1881:G1881)=0,"",IF(AND(ISNUMBER(D1881),ISNUMBER(J1881)),ROUND(D1881*J1881*(1-N(F1881)),2),0))</f>
        <v/>
      </c>
      <c r="M1881" s="62" t="str">
        <f>IF(A1881="","",IFERROR(INDEX(fa_cname,MATCH(A1881,fa_num,0))&amp;"",""))</f>
        <v/>
      </c>
      <c r="N1881" s="59" t="str">
        <f>IF(COUNTA(A1881:G1881)=0,"",IF(A1881="","N° facture manquant",IF(ISNA(MATCH(A1881,fa_num,0)),"Facture inconnue",IF(AND(B1881&lt;&gt;"",ISNA(MATCH(B1881,pr_code,0))),"Article inconnu",IF(H1881="","Désignation manquante",IF(OR(NOT(ISNUMBER(D1881)),N(D1881)&lt;=0),"Quantité invalide",IF(J1881="","Prix manquant",IF(OR(NOT(ISNUMBER(J1881)),N(J1881)&lt;0),"Prix invalide",IF(OR(AND(F1881&lt;&gt;"",NOT(ISNUMBER(F1881))),N(F1881)&lt;0,N(F1881)&gt;1),"Remise invalide",IF(K1881="","Taux de TVA manquant",IF(NOT(ISNUMBER(K1881)),"Taux de TVA invalide",IF(COUNTIF(p_rates,K1881)=0,"Taux de TVA hors liste (Paramètres)",IF(N(O1881)&gt;25,"Au-delà de 25 lignes : non imprimée","OK")))))))))))))</f>
        <v/>
      </c>
      <c r="O1881" s="59" t="str">
        <f>IF(A1881="","",COUNTIF($A$6:A1881,A1881))</f>
        <v/>
      </c>
      <c r="P1881" s="62" t="str">
        <f>IF(A1881="","",A1881&amp;"|"&amp;O1881)</f>
        <v/>
      </c>
    </row>
    <row r="1882">
      <c r="A1882" s="60" t="n"/>
      <c r="B1882" s="63" t="n"/>
      <c r="C1882" s="63" t="n"/>
      <c r="D1882" s="67" t="n"/>
      <c r="E1882" s="68" t="n"/>
      <c r="F1882" s="69" t="n"/>
      <c r="G1882" s="70" t="n"/>
      <c r="H1882" s="62" t="str">
        <f>IF(COUNTA(A1882:G1882)=0,"",IF(C1882&lt;&gt;"",C1882,IF(B1882="","",IFERROR(INDEX(pr_des,MATCH(B1882,pr_code,0))&amp;"",""))))</f>
        <v/>
      </c>
      <c r="I1882" s="59" t="str">
        <f>IF(B1882="","",IFERROR(INDEX(pr_unit,MATCH(B1882,pr_code,0))&amp;"",""))</f>
        <v/>
      </c>
      <c r="J1882" s="65" t="str">
        <f>IF(COUNTA(A1882:G1882)=0,"",IF(E1882&lt;&gt;"",E1882,IF(B1882="","",IFERROR(IF(INDEX(pr_price,MATCH(B1882,pr_code,0))="","",INDEX(pr_price,MATCH(B1882,pr_code,0))),""))))</f>
        <v/>
      </c>
      <c r="K1882" s="71" t="str">
        <f>IF(COUNTA(A1882:G1882)=0,"",IF(G1882&lt;&gt;"",G1882,IF(B1882="","",IFERROR(IF(INDEX(pr_rate,MATCH(B1882,pr_code,0))="","",INDEX(pr_rate,MATCH(B1882,pr_code,0))),""))))</f>
        <v/>
      </c>
      <c r="L1882" s="65" t="str">
        <f>IF(COUNTA(A1882:G1882)=0,"",IF(AND(ISNUMBER(D1882),ISNUMBER(J1882)),ROUND(D1882*J1882*(1-N(F1882)),2),0))</f>
        <v/>
      </c>
      <c r="M1882" s="62" t="str">
        <f>IF(A1882="","",IFERROR(INDEX(fa_cname,MATCH(A1882,fa_num,0))&amp;"",""))</f>
        <v/>
      </c>
      <c r="N1882" s="59" t="str">
        <f>IF(COUNTA(A1882:G1882)=0,"",IF(A1882="","N° facture manquant",IF(ISNA(MATCH(A1882,fa_num,0)),"Facture inconnue",IF(AND(B1882&lt;&gt;"",ISNA(MATCH(B1882,pr_code,0))),"Article inconnu",IF(H1882="","Désignation manquante",IF(OR(NOT(ISNUMBER(D1882)),N(D1882)&lt;=0),"Quantité invalide",IF(J1882="","Prix manquant",IF(OR(NOT(ISNUMBER(J1882)),N(J1882)&lt;0),"Prix invalide",IF(OR(AND(F1882&lt;&gt;"",NOT(ISNUMBER(F1882))),N(F1882)&lt;0,N(F1882)&gt;1),"Remise invalide",IF(K1882="","Taux de TVA manquant",IF(NOT(ISNUMBER(K1882)),"Taux de TVA invalide",IF(COUNTIF(p_rates,K1882)=0,"Taux de TVA hors liste (Paramètres)",IF(N(O1882)&gt;25,"Au-delà de 25 lignes : non imprimée","OK")))))))))))))</f>
        <v/>
      </c>
      <c r="O1882" s="59" t="str">
        <f>IF(A1882="","",COUNTIF($A$6:A1882,A1882))</f>
        <v/>
      </c>
      <c r="P1882" s="62" t="str">
        <f>IF(A1882="","",A1882&amp;"|"&amp;O1882)</f>
        <v/>
      </c>
    </row>
    <row r="1883">
      <c r="A1883" s="60" t="n"/>
      <c r="B1883" s="63" t="n"/>
      <c r="C1883" s="63" t="n"/>
      <c r="D1883" s="67" t="n"/>
      <c r="E1883" s="68" t="n"/>
      <c r="F1883" s="69" t="n"/>
      <c r="G1883" s="70" t="n"/>
      <c r="H1883" s="62" t="str">
        <f>IF(COUNTA(A1883:G1883)=0,"",IF(C1883&lt;&gt;"",C1883,IF(B1883="","",IFERROR(INDEX(pr_des,MATCH(B1883,pr_code,0))&amp;"",""))))</f>
        <v/>
      </c>
      <c r="I1883" s="59" t="str">
        <f>IF(B1883="","",IFERROR(INDEX(pr_unit,MATCH(B1883,pr_code,0))&amp;"",""))</f>
        <v/>
      </c>
      <c r="J1883" s="65" t="str">
        <f>IF(COUNTA(A1883:G1883)=0,"",IF(E1883&lt;&gt;"",E1883,IF(B1883="","",IFERROR(IF(INDEX(pr_price,MATCH(B1883,pr_code,0))="","",INDEX(pr_price,MATCH(B1883,pr_code,0))),""))))</f>
        <v/>
      </c>
      <c r="K1883" s="71" t="str">
        <f>IF(COUNTA(A1883:G1883)=0,"",IF(G1883&lt;&gt;"",G1883,IF(B1883="","",IFERROR(IF(INDEX(pr_rate,MATCH(B1883,pr_code,0))="","",INDEX(pr_rate,MATCH(B1883,pr_code,0))),""))))</f>
        <v/>
      </c>
      <c r="L1883" s="65" t="str">
        <f>IF(COUNTA(A1883:G1883)=0,"",IF(AND(ISNUMBER(D1883),ISNUMBER(J1883)),ROUND(D1883*J1883*(1-N(F1883)),2),0))</f>
        <v/>
      </c>
      <c r="M1883" s="62" t="str">
        <f>IF(A1883="","",IFERROR(INDEX(fa_cname,MATCH(A1883,fa_num,0))&amp;"",""))</f>
        <v/>
      </c>
      <c r="N1883" s="59" t="str">
        <f>IF(COUNTA(A1883:G1883)=0,"",IF(A1883="","N° facture manquant",IF(ISNA(MATCH(A1883,fa_num,0)),"Facture inconnue",IF(AND(B1883&lt;&gt;"",ISNA(MATCH(B1883,pr_code,0))),"Article inconnu",IF(H1883="","Désignation manquante",IF(OR(NOT(ISNUMBER(D1883)),N(D1883)&lt;=0),"Quantité invalide",IF(J1883="","Prix manquant",IF(OR(NOT(ISNUMBER(J1883)),N(J1883)&lt;0),"Prix invalide",IF(OR(AND(F1883&lt;&gt;"",NOT(ISNUMBER(F1883))),N(F1883)&lt;0,N(F1883)&gt;1),"Remise invalide",IF(K1883="","Taux de TVA manquant",IF(NOT(ISNUMBER(K1883)),"Taux de TVA invalide",IF(COUNTIF(p_rates,K1883)=0,"Taux de TVA hors liste (Paramètres)",IF(N(O1883)&gt;25,"Au-delà de 25 lignes : non imprimée","OK")))))))))))))</f>
        <v/>
      </c>
      <c r="O1883" s="59" t="str">
        <f>IF(A1883="","",COUNTIF($A$6:A1883,A1883))</f>
        <v/>
      </c>
      <c r="P1883" s="62" t="str">
        <f>IF(A1883="","",A1883&amp;"|"&amp;O1883)</f>
        <v/>
      </c>
    </row>
    <row r="1884">
      <c r="A1884" s="60" t="n"/>
      <c r="B1884" s="63" t="n"/>
      <c r="C1884" s="63" t="n"/>
      <c r="D1884" s="67" t="n"/>
      <c r="E1884" s="68" t="n"/>
      <c r="F1884" s="69" t="n"/>
      <c r="G1884" s="70" t="n"/>
      <c r="H1884" s="62" t="str">
        <f>IF(COUNTA(A1884:G1884)=0,"",IF(C1884&lt;&gt;"",C1884,IF(B1884="","",IFERROR(INDEX(pr_des,MATCH(B1884,pr_code,0))&amp;"",""))))</f>
        <v/>
      </c>
      <c r="I1884" s="59" t="str">
        <f>IF(B1884="","",IFERROR(INDEX(pr_unit,MATCH(B1884,pr_code,0))&amp;"",""))</f>
        <v/>
      </c>
      <c r="J1884" s="65" t="str">
        <f>IF(COUNTA(A1884:G1884)=0,"",IF(E1884&lt;&gt;"",E1884,IF(B1884="","",IFERROR(IF(INDEX(pr_price,MATCH(B1884,pr_code,0))="","",INDEX(pr_price,MATCH(B1884,pr_code,0))),""))))</f>
        <v/>
      </c>
      <c r="K1884" s="71" t="str">
        <f>IF(COUNTA(A1884:G1884)=0,"",IF(G1884&lt;&gt;"",G1884,IF(B1884="","",IFERROR(IF(INDEX(pr_rate,MATCH(B1884,pr_code,0))="","",INDEX(pr_rate,MATCH(B1884,pr_code,0))),""))))</f>
        <v/>
      </c>
      <c r="L1884" s="65" t="str">
        <f>IF(COUNTA(A1884:G1884)=0,"",IF(AND(ISNUMBER(D1884),ISNUMBER(J1884)),ROUND(D1884*J1884*(1-N(F1884)),2),0))</f>
        <v/>
      </c>
      <c r="M1884" s="62" t="str">
        <f>IF(A1884="","",IFERROR(INDEX(fa_cname,MATCH(A1884,fa_num,0))&amp;"",""))</f>
        <v/>
      </c>
      <c r="N1884" s="59" t="str">
        <f>IF(COUNTA(A1884:G1884)=0,"",IF(A1884="","N° facture manquant",IF(ISNA(MATCH(A1884,fa_num,0)),"Facture inconnue",IF(AND(B1884&lt;&gt;"",ISNA(MATCH(B1884,pr_code,0))),"Article inconnu",IF(H1884="","Désignation manquante",IF(OR(NOT(ISNUMBER(D1884)),N(D1884)&lt;=0),"Quantité invalide",IF(J1884="","Prix manquant",IF(OR(NOT(ISNUMBER(J1884)),N(J1884)&lt;0),"Prix invalide",IF(OR(AND(F1884&lt;&gt;"",NOT(ISNUMBER(F1884))),N(F1884)&lt;0,N(F1884)&gt;1),"Remise invalide",IF(K1884="","Taux de TVA manquant",IF(NOT(ISNUMBER(K1884)),"Taux de TVA invalide",IF(COUNTIF(p_rates,K1884)=0,"Taux de TVA hors liste (Paramètres)",IF(N(O1884)&gt;25,"Au-delà de 25 lignes : non imprimée","OK")))))))))))))</f>
        <v/>
      </c>
      <c r="O1884" s="59" t="str">
        <f>IF(A1884="","",COUNTIF($A$6:A1884,A1884))</f>
        <v/>
      </c>
      <c r="P1884" s="62" t="str">
        <f>IF(A1884="","",A1884&amp;"|"&amp;O1884)</f>
        <v/>
      </c>
    </row>
    <row r="1885">
      <c r="A1885" s="60" t="n"/>
      <c r="B1885" s="63" t="n"/>
      <c r="C1885" s="63" t="n"/>
      <c r="D1885" s="67" t="n"/>
      <c r="E1885" s="68" t="n"/>
      <c r="F1885" s="69" t="n"/>
      <c r="G1885" s="70" t="n"/>
      <c r="H1885" s="62" t="str">
        <f>IF(COUNTA(A1885:G1885)=0,"",IF(C1885&lt;&gt;"",C1885,IF(B1885="","",IFERROR(INDEX(pr_des,MATCH(B1885,pr_code,0))&amp;"",""))))</f>
        <v/>
      </c>
      <c r="I1885" s="59" t="str">
        <f>IF(B1885="","",IFERROR(INDEX(pr_unit,MATCH(B1885,pr_code,0))&amp;"",""))</f>
        <v/>
      </c>
      <c r="J1885" s="65" t="str">
        <f>IF(COUNTA(A1885:G1885)=0,"",IF(E1885&lt;&gt;"",E1885,IF(B1885="","",IFERROR(IF(INDEX(pr_price,MATCH(B1885,pr_code,0))="","",INDEX(pr_price,MATCH(B1885,pr_code,0))),""))))</f>
        <v/>
      </c>
      <c r="K1885" s="71" t="str">
        <f>IF(COUNTA(A1885:G1885)=0,"",IF(G1885&lt;&gt;"",G1885,IF(B1885="","",IFERROR(IF(INDEX(pr_rate,MATCH(B1885,pr_code,0))="","",INDEX(pr_rate,MATCH(B1885,pr_code,0))),""))))</f>
        <v/>
      </c>
      <c r="L1885" s="65" t="str">
        <f>IF(COUNTA(A1885:G1885)=0,"",IF(AND(ISNUMBER(D1885),ISNUMBER(J1885)),ROUND(D1885*J1885*(1-N(F1885)),2),0))</f>
        <v/>
      </c>
      <c r="M1885" s="62" t="str">
        <f>IF(A1885="","",IFERROR(INDEX(fa_cname,MATCH(A1885,fa_num,0))&amp;"",""))</f>
        <v/>
      </c>
      <c r="N1885" s="59" t="str">
        <f>IF(COUNTA(A1885:G1885)=0,"",IF(A1885="","N° facture manquant",IF(ISNA(MATCH(A1885,fa_num,0)),"Facture inconnue",IF(AND(B1885&lt;&gt;"",ISNA(MATCH(B1885,pr_code,0))),"Article inconnu",IF(H1885="","Désignation manquante",IF(OR(NOT(ISNUMBER(D1885)),N(D1885)&lt;=0),"Quantité invalide",IF(J1885="","Prix manquant",IF(OR(NOT(ISNUMBER(J1885)),N(J1885)&lt;0),"Prix invalide",IF(OR(AND(F1885&lt;&gt;"",NOT(ISNUMBER(F1885))),N(F1885)&lt;0,N(F1885)&gt;1),"Remise invalide",IF(K1885="","Taux de TVA manquant",IF(NOT(ISNUMBER(K1885)),"Taux de TVA invalide",IF(COUNTIF(p_rates,K1885)=0,"Taux de TVA hors liste (Paramètres)",IF(N(O1885)&gt;25,"Au-delà de 25 lignes : non imprimée","OK")))))))))))))</f>
        <v/>
      </c>
      <c r="O1885" s="59" t="str">
        <f>IF(A1885="","",COUNTIF($A$6:A1885,A1885))</f>
        <v/>
      </c>
      <c r="P1885" s="62" t="str">
        <f>IF(A1885="","",A1885&amp;"|"&amp;O1885)</f>
        <v/>
      </c>
    </row>
    <row r="1886">
      <c r="A1886" s="60" t="n"/>
      <c r="B1886" s="63" t="n"/>
      <c r="C1886" s="63" t="n"/>
      <c r="D1886" s="67" t="n"/>
      <c r="E1886" s="68" t="n"/>
      <c r="F1886" s="69" t="n"/>
      <c r="G1886" s="70" t="n"/>
      <c r="H1886" s="62" t="str">
        <f>IF(COUNTA(A1886:G1886)=0,"",IF(C1886&lt;&gt;"",C1886,IF(B1886="","",IFERROR(INDEX(pr_des,MATCH(B1886,pr_code,0))&amp;"",""))))</f>
        <v/>
      </c>
      <c r="I1886" s="59" t="str">
        <f>IF(B1886="","",IFERROR(INDEX(pr_unit,MATCH(B1886,pr_code,0))&amp;"",""))</f>
        <v/>
      </c>
      <c r="J1886" s="65" t="str">
        <f>IF(COUNTA(A1886:G1886)=0,"",IF(E1886&lt;&gt;"",E1886,IF(B1886="","",IFERROR(IF(INDEX(pr_price,MATCH(B1886,pr_code,0))="","",INDEX(pr_price,MATCH(B1886,pr_code,0))),""))))</f>
        <v/>
      </c>
      <c r="K1886" s="71" t="str">
        <f>IF(COUNTA(A1886:G1886)=0,"",IF(G1886&lt;&gt;"",G1886,IF(B1886="","",IFERROR(IF(INDEX(pr_rate,MATCH(B1886,pr_code,0))="","",INDEX(pr_rate,MATCH(B1886,pr_code,0))),""))))</f>
        <v/>
      </c>
      <c r="L1886" s="65" t="str">
        <f>IF(COUNTA(A1886:G1886)=0,"",IF(AND(ISNUMBER(D1886),ISNUMBER(J1886)),ROUND(D1886*J1886*(1-N(F1886)),2),0))</f>
        <v/>
      </c>
      <c r="M1886" s="62" t="str">
        <f>IF(A1886="","",IFERROR(INDEX(fa_cname,MATCH(A1886,fa_num,0))&amp;"",""))</f>
        <v/>
      </c>
      <c r="N1886" s="59" t="str">
        <f>IF(COUNTA(A1886:G1886)=0,"",IF(A1886="","N° facture manquant",IF(ISNA(MATCH(A1886,fa_num,0)),"Facture inconnue",IF(AND(B1886&lt;&gt;"",ISNA(MATCH(B1886,pr_code,0))),"Article inconnu",IF(H1886="","Désignation manquante",IF(OR(NOT(ISNUMBER(D1886)),N(D1886)&lt;=0),"Quantité invalide",IF(J1886="","Prix manquant",IF(OR(NOT(ISNUMBER(J1886)),N(J1886)&lt;0),"Prix invalide",IF(OR(AND(F1886&lt;&gt;"",NOT(ISNUMBER(F1886))),N(F1886)&lt;0,N(F1886)&gt;1),"Remise invalide",IF(K1886="","Taux de TVA manquant",IF(NOT(ISNUMBER(K1886)),"Taux de TVA invalide",IF(COUNTIF(p_rates,K1886)=0,"Taux de TVA hors liste (Paramètres)",IF(N(O1886)&gt;25,"Au-delà de 25 lignes : non imprimée","OK")))))))))))))</f>
        <v/>
      </c>
      <c r="O1886" s="59" t="str">
        <f>IF(A1886="","",COUNTIF($A$6:A1886,A1886))</f>
        <v/>
      </c>
      <c r="P1886" s="62" t="str">
        <f>IF(A1886="","",A1886&amp;"|"&amp;O1886)</f>
        <v/>
      </c>
    </row>
    <row r="1887">
      <c r="A1887" s="60" t="n"/>
      <c r="B1887" s="63" t="n"/>
      <c r="C1887" s="63" t="n"/>
      <c r="D1887" s="67" t="n"/>
      <c r="E1887" s="68" t="n"/>
      <c r="F1887" s="69" t="n"/>
      <c r="G1887" s="70" t="n"/>
      <c r="H1887" s="62" t="str">
        <f>IF(COUNTA(A1887:G1887)=0,"",IF(C1887&lt;&gt;"",C1887,IF(B1887="","",IFERROR(INDEX(pr_des,MATCH(B1887,pr_code,0))&amp;"",""))))</f>
        <v/>
      </c>
      <c r="I1887" s="59" t="str">
        <f>IF(B1887="","",IFERROR(INDEX(pr_unit,MATCH(B1887,pr_code,0))&amp;"",""))</f>
        <v/>
      </c>
      <c r="J1887" s="65" t="str">
        <f>IF(COUNTA(A1887:G1887)=0,"",IF(E1887&lt;&gt;"",E1887,IF(B1887="","",IFERROR(IF(INDEX(pr_price,MATCH(B1887,pr_code,0))="","",INDEX(pr_price,MATCH(B1887,pr_code,0))),""))))</f>
        <v/>
      </c>
      <c r="K1887" s="71" t="str">
        <f>IF(COUNTA(A1887:G1887)=0,"",IF(G1887&lt;&gt;"",G1887,IF(B1887="","",IFERROR(IF(INDEX(pr_rate,MATCH(B1887,pr_code,0))="","",INDEX(pr_rate,MATCH(B1887,pr_code,0))),""))))</f>
        <v/>
      </c>
      <c r="L1887" s="65" t="str">
        <f>IF(COUNTA(A1887:G1887)=0,"",IF(AND(ISNUMBER(D1887),ISNUMBER(J1887)),ROUND(D1887*J1887*(1-N(F1887)),2),0))</f>
        <v/>
      </c>
      <c r="M1887" s="62" t="str">
        <f>IF(A1887="","",IFERROR(INDEX(fa_cname,MATCH(A1887,fa_num,0))&amp;"",""))</f>
        <v/>
      </c>
      <c r="N1887" s="59" t="str">
        <f>IF(COUNTA(A1887:G1887)=0,"",IF(A1887="","N° facture manquant",IF(ISNA(MATCH(A1887,fa_num,0)),"Facture inconnue",IF(AND(B1887&lt;&gt;"",ISNA(MATCH(B1887,pr_code,0))),"Article inconnu",IF(H1887="","Désignation manquante",IF(OR(NOT(ISNUMBER(D1887)),N(D1887)&lt;=0),"Quantité invalide",IF(J1887="","Prix manquant",IF(OR(NOT(ISNUMBER(J1887)),N(J1887)&lt;0),"Prix invalide",IF(OR(AND(F1887&lt;&gt;"",NOT(ISNUMBER(F1887))),N(F1887)&lt;0,N(F1887)&gt;1),"Remise invalide",IF(K1887="","Taux de TVA manquant",IF(NOT(ISNUMBER(K1887)),"Taux de TVA invalide",IF(COUNTIF(p_rates,K1887)=0,"Taux de TVA hors liste (Paramètres)",IF(N(O1887)&gt;25,"Au-delà de 25 lignes : non imprimée","OK")))))))))))))</f>
        <v/>
      </c>
      <c r="O1887" s="59" t="str">
        <f>IF(A1887="","",COUNTIF($A$6:A1887,A1887))</f>
        <v/>
      </c>
      <c r="P1887" s="62" t="str">
        <f>IF(A1887="","",A1887&amp;"|"&amp;O1887)</f>
        <v/>
      </c>
    </row>
    <row r="1888">
      <c r="A1888" s="60" t="n"/>
      <c r="B1888" s="63" t="n"/>
      <c r="C1888" s="63" t="n"/>
      <c r="D1888" s="67" t="n"/>
      <c r="E1888" s="68" t="n"/>
      <c r="F1888" s="69" t="n"/>
      <c r="G1888" s="70" t="n"/>
      <c r="H1888" s="62" t="str">
        <f>IF(COUNTA(A1888:G1888)=0,"",IF(C1888&lt;&gt;"",C1888,IF(B1888="","",IFERROR(INDEX(pr_des,MATCH(B1888,pr_code,0))&amp;"",""))))</f>
        <v/>
      </c>
      <c r="I1888" s="59" t="str">
        <f>IF(B1888="","",IFERROR(INDEX(pr_unit,MATCH(B1888,pr_code,0))&amp;"",""))</f>
        <v/>
      </c>
      <c r="J1888" s="65" t="str">
        <f>IF(COUNTA(A1888:G1888)=0,"",IF(E1888&lt;&gt;"",E1888,IF(B1888="","",IFERROR(IF(INDEX(pr_price,MATCH(B1888,pr_code,0))="","",INDEX(pr_price,MATCH(B1888,pr_code,0))),""))))</f>
        <v/>
      </c>
      <c r="K1888" s="71" t="str">
        <f>IF(COUNTA(A1888:G1888)=0,"",IF(G1888&lt;&gt;"",G1888,IF(B1888="","",IFERROR(IF(INDEX(pr_rate,MATCH(B1888,pr_code,0))="","",INDEX(pr_rate,MATCH(B1888,pr_code,0))),""))))</f>
        <v/>
      </c>
      <c r="L1888" s="65" t="str">
        <f>IF(COUNTA(A1888:G1888)=0,"",IF(AND(ISNUMBER(D1888),ISNUMBER(J1888)),ROUND(D1888*J1888*(1-N(F1888)),2),0))</f>
        <v/>
      </c>
      <c r="M1888" s="62" t="str">
        <f>IF(A1888="","",IFERROR(INDEX(fa_cname,MATCH(A1888,fa_num,0))&amp;"",""))</f>
        <v/>
      </c>
      <c r="N1888" s="59" t="str">
        <f>IF(COUNTA(A1888:G1888)=0,"",IF(A1888="","N° facture manquant",IF(ISNA(MATCH(A1888,fa_num,0)),"Facture inconnue",IF(AND(B1888&lt;&gt;"",ISNA(MATCH(B1888,pr_code,0))),"Article inconnu",IF(H1888="","Désignation manquante",IF(OR(NOT(ISNUMBER(D1888)),N(D1888)&lt;=0),"Quantité invalide",IF(J1888="","Prix manquant",IF(OR(NOT(ISNUMBER(J1888)),N(J1888)&lt;0),"Prix invalide",IF(OR(AND(F1888&lt;&gt;"",NOT(ISNUMBER(F1888))),N(F1888)&lt;0,N(F1888)&gt;1),"Remise invalide",IF(K1888="","Taux de TVA manquant",IF(NOT(ISNUMBER(K1888)),"Taux de TVA invalide",IF(COUNTIF(p_rates,K1888)=0,"Taux de TVA hors liste (Paramètres)",IF(N(O1888)&gt;25,"Au-delà de 25 lignes : non imprimée","OK")))))))))))))</f>
        <v/>
      </c>
      <c r="O1888" s="59" t="str">
        <f>IF(A1888="","",COUNTIF($A$6:A1888,A1888))</f>
        <v/>
      </c>
      <c r="P1888" s="62" t="str">
        <f>IF(A1888="","",A1888&amp;"|"&amp;O1888)</f>
        <v/>
      </c>
    </row>
    <row r="1889">
      <c r="A1889" s="60" t="n"/>
      <c r="B1889" s="63" t="n"/>
      <c r="C1889" s="63" t="n"/>
      <c r="D1889" s="67" t="n"/>
      <c r="E1889" s="68" t="n"/>
      <c r="F1889" s="69" t="n"/>
      <c r="G1889" s="70" t="n"/>
      <c r="H1889" s="62" t="str">
        <f>IF(COUNTA(A1889:G1889)=0,"",IF(C1889&lt;&gt;"",C1889,IF(B1889="","",IFERROR(INDEX(pr_des,MATCH(B1889,pr_code,0))&amp;"",""))))</f>
        <v/>
      </c>
      <c r="I1889" s="59" t="str">
        <f>IF(B1889="","",IFERROR(INDEX(pr_unit,MATCH(B1889,pr_code,0))&amp;"",""))</f>
        <v/>
      </c>
      <c r="J1889" s="65" t="str">
        <f>IF(COUNTA(A1889:G1889)=0,"",IF(E1889&lt;&gt;"",E1889,IF(B1889="","",IFERROR(IF(INDEX(pr_price,MATCH(B1889,pr_code,0))="","",INDEX(pr_price,MATCH(B1889,pr_code,0))),""))))</f>
        <v/>
      </c>
      <c r="K1889" s="71" t="str">
        <f>IF(COUNTA(A1889:G1889)=0,"",IF(G1889&lt;&gt;"",G1889,IF(B1889="","",IFERROR(IF(INDEX(pr_rate,MATCH(B1889,pr_code,0))="","",INDEX(pr_rate,MATCH(B1889,pr_code,0))),""))))</f>
        <v/>
      </c>
      <c r="L1889" s="65" t="str">
        <f>IF(COUNTA(A1889:G1889)=0,"",IF(AND(ISNUMBER(D1889),ISNUMBER(J1889)),ROUND(D1889*J1889*(1-N(F1889)),2),0))</f>
        <v/>
      </c>
      <c r="M1889" s="62" t="str">
        <f>IF(A1889="","",IFERROR(INDEX(fa_cname,MATCH(A1889,fa_num,0))&amp;"",""))</f>
        <v/>
      </c>
      <c r="N1889" s="59" t="str">
        <f>IF(COUNTA(A1889:G1889)=0,"",IF(A1889="","N° facture manquant",IF(ISNA(MATCH(A1889,fa_num,0)),"Facture inconnue",IF(AND(B1889&lt;&gt;"",ISNA(MATCH(B1889,pr_code,0))),"Article inconnu",IF(H1889="","Désignation manquante",IF(OR(NOT(ISNUMBER(D1889)),N(D1889)&lt;=0),"Quantité invalide",IF(J1889="","Prix manquant",IF(OR(NOT(ISNUMBER(J1889)),N(J1889)&lt;0),"Prix invalide",IF(OR(AND(F1889&lt;&gt;"",NOT(ISNUMBER(F1889))),N(F1889)&lt;0,N(F1889)&gt;1),"Remise invalide",IF(K1889="","Taux de TVA manquant",IF(NOT(ISNUMBER(K1889)),"Taux de TVA invalide",IF(COUNTIF(p_rates,K1889)=0,"Taux de TVA hors liste (Paramètres)",IF(N(O1889)&gt;25,"Au-delà de 25 lignes : non imprimée","OK")))))))))))))</f>
        <v/>
      </c>
      <c r="O1889" s="59" t="str">
        <f>IF(A1889="","",COUNTIF($A$6:A1889,A1889))</f>
        <v/>
      </c>
      <c r="P1889" s="62" t="str">
        <f>IF(A1889="","",A1889&amp;"|"&amp;O1889)</f>
        <v/>
      </c>
    </row>
    <row r="1890">
      <c r="A1890" s="60" t="n"/>
      <c r="B1890" s="63" t="n"/>
      <c r="C1890" s="63" t="n"/>
      <c r="D1890" s="67" t="n"/>
      <c r="E1890" s="68" t="n"/>
      <c r="F1890" s="69" t="n"/>
      <c r="G1890" s="70" t="n"/>
      <c r="H1890" s="62" t="str">
        <f>IF(COUNTA(A1890:G1890)=0,"",IF(C1890&lt;&gt;"",C1890,IF(B1890="","",IFERROR(INDEX(pr_des,MATCH(B1890,pr_code,0))&amp;"",""))))</f>
        <v/>
      </c>
      <c r="I1890" s="59" t="str">
        <f>IF(B1890="","",IFERROR(INDEX(pr_unit,MATCH(B1890,pr_code,0))&amp;"",""))</f>
        <v/>
      </c>
      <c r="J1890" s="65" t="str">
        <f>IF(COUNTA(A1890:G1890)=0,"",IF(E1890&lt;&gt;"",E1890,IF(B1890="","",IFERROR(IF(INDEX(pr_price,MATCH(B1890,pr_code,0))="","",INDEX(pr_price,MATCH(B1890,pr_code,0))),""))))</f>
        <v/>
      </c>
      <c r="K1890" s="71" t="str">
        <f>IF(COUNTA(A1890:G1890)=0,"",IF(G1890&lt;&gt;"",G1890,IF(B1890="","",IFERROR(IF(INDEX(pr_rate,MATCH(B1890,pr_code,0))="","",INDEX(pr_rate,MATCH(B1890,pr_code,0))),""))))</f>
        <v/>
      </c>
      <c r="L1890" s="65" t="str">
        <f>IF(COUNTA(A1890:G1890)=0,"",IF(AND(ISNUMBER(D1890),ISNUMBER(J1890)),ROUND(D1890*J1890*(1-N(F1890)),2),0))</f>
        <v/>
      </c>
      <c r="M1890" s="62" t="str">
        <f>IF(A1890="","",IFERROR(INDEX(fa_cname,MATCH(A1890,fa_num,0))&amp;"",""))</f>
        <v/>
      </c>
      <c r="N1890" s="59" t="str">
        <f>IF(COUNTA(A1890:G1890)=0,"",IF(A1890="","N° facture manquant",IF(ISNA(MATCH(A1890,fa_num,0)),"Facture inconnue",IF(AND(B1890&lt;&gt;"",ISNA(MATCH(B1890,pr_code,0))),"Article inconnu",IF(H1890="","Désignation manquante",IF(OR(NOT(ISNUMBER(D1890)),N(D1890)&lt;=0),"Quantité invalide",IF(J1890="","Prix manquant",IF(OR(NOT(ISNUMBER(J1890)),N(J1890)&lt;0),"Prix invalide",IF(OR(AND(F1890&lt;&gt;"",NOT(ISNUMBER(F1890))),N(F1890)&lt;0,N(F1890)&gt;1),"Remise invalide",IF(K1890="","Taux de TVA manquant",IF(NOT(ISNUMBER(K1890)),"Taux de TVA invalide",IF(COUNTIF(p_rates,K1890)=0,"Taux de TVA hors liste (Paramètres)",IF(N(O1890)&gt;25,"Au-delà de 25 lignes : non imprimée","OK")))))))))))))</f>
        <v/>
      </c>
      <c r="O1890" s="59" t="str">
        <f>IF(A1890="","",COUNTIF($A$6:A1890,A1890))</f>
        <v/>
      </c>
      <c r="P1890" s="62" t="str">
        <f>IF(A1890="","",A1890&amp;"|"&amp;O1890)</f>
        <v/>
      </c>
    </row>
    <row r="1891">
      <c r="A1891" s="60" t="n"/>
      <c r="B1891" s="63" t="n"/>
      <c r="C1891" s="63" t="n"/>
      <c r="D1891" s="67" t="n"/>
      <c r="E1891" s="68" t="n"/>
      <c r="F1891" s="69" t="n"/>
      <c r="G1891" s="70" t="n"/>
      <c r="H1891" s="62" t="str">
        <f>IF(COUNTA(A1891:G1891)=0,"",IF(C1891&lt;&gt;"",C1891,IF(B1891="","",IFERROR(INDEX(pr_des,MATCH(B1891,pr_code,0))&amp;"",""))))</f>
        <v/>
      </c>
      <c r="I1891" s="59" t="str">
        <f>IF(B1891="","",IFERROR(INDEX(pr_unit,MATCH(B1891,pr_code,0))&amp;"",""))</f>
        <v/>
      </c>
      <c r="J1891" s="65" t="str">
        <f>IF(COUNTA(A1891:G1891)=0,"",IF(E1891&lt;&gt;"",E1891,IF(B1891="","",IFERROR(IF(INDEX(pr_price,MATCH(B1891,pr_code,0))="","",INDEX(pr_price,MATCH(B1891,pr_code,0))),""))))</f>
        <v/>
      </c>
      <c r="K1891" s="71" t="str">
        <f>IF(COUNTA(A1891:G1891)=0,"",IF(G1891&lt;&gt;"",G1891,IF(B1891="","",IFERROR(IF(INDEX(pr_rate,MATCH(B1891,pr_code,0))="","",INDEX(pr_rate,MATCH(B1891,pr_code,0))),""))))</f>
        <v/>
      </c>
      <c r="L1891" s="65" t="str">
        <f>IF(COUNTA(A1891:G1891)=0,"",IF(AND(ISNUMBER(D1891),ISNUMBER(J1891)),ROUND(D1891*J1891*(1-N(F1891)),2),0))</f>
        <v/>
      </c>
      <c r="M1891" s="62" t="str">
        <f>IF(A1891="","",IFERROR(INDEX(fa_cname,MATCH(A1891,fa_num,0))&amp;"",""))</f>
        <v/>
      </c>
      <c r="N1891" s="59" t="str">
        <f>IF(COUNTA(A1891:G1891)=0,"",IF(A1891="","N° facture manquant",IF(ISNA(MATCH(A1891,fa_num,0)),"Facture inconnue",IF(AND(B1891&lt;&gt;"",ISNA(MATCH(B1891,pr_code,0))),"Article inconnu",IF(H1891="","Désignation manquante",IF(OR(NOT(ISNUMBER(D1891)),N(D1891)&lt;=0),"Quantité invalide",IF(J1891="","Prix manquant",IF(OR(NOT(ISNUMBER(J1891)),N(J1891)&lt;0),"Prix invalide",IF(OR(AND(F1891&lt;&gt;"",NOT(ISNUMBER(F1891))),N(F1891)&lt;0,N(F1891)&gt;1),"Remise invalide",IF(K1891="","Taux de TVA manquant",IF(NOT(ISNUMBER(K1891)),"Taux de TVA invalide",IF(COUNTIF(p_rates,K1891)=0,"Taux de TVA hors liste (Paramètres)",IF(N(O1891)&gt;25,"Au-delà de 25 lignes : non imprimée","OK")))))))))))))</f>
        <v/>
      </c>
      <c r="O1891" s="59" t="str">
        <f>IF(A1891="","",COUNTIF($A$6:A1891,A1891))</f>
        <v/>
      </c>
      <c r="P1891" s="62" t="str">
        <f>IF(A1891="","",A1891&amp;"|"&amp;O1891)</f>
        <v/>
      </c>
    </row>
    <row r="1892">
      <c r="A1892" s="60" t="n"/>
      <c r="B1892" s="63" t="n"/>
      <c r="C1892" s="63" t="n"/>
      <c r="D1892" s="67" t="n"/>
      <c r="E1892" s="68" t="n"/>
      <c r="F1892" s="69" t="n"/>
      <c r="G1892" s="70" t="n"/>
      <c r="H1892" s="62" t="str">
        <f>IF(COUNTA(A1892:G1892)=0,"",IF(C1892&lt;&gt;"",C1892,IF(B1892="","",IFERROR(INDEX(pr_des,MATCH(B1892,pr_code,0))&amp;"",""))))</f>
        <v/>
      </c>
      <c r="I1892" s="59" t="str">
        <f>IF(B1892="","",IFERROR(INDEX(pr_unit,MATCH(B1892,pr_code,0))&amp;"",""))</f>
        <v/>
      </c>
      <c r="J1892" s="65" t="str">
        <f>IF(COUNTA(A1892:G1892)=0,"",IF(E1892&lt;&gt;"",E1892,IF(B1892="","",IFERROR(IF(INDEX(pr_price,MATCH(B1892,pr_code,0))="","",INDEX(pr_price,MATCH(B1892,pr_code,0))),""))))</f>
        <v/>
      </c>
      <c r="K1892" s="71" t="str">
        <f>IF(COUNTA(A1892:G1892)=0,"",IF(G1892&lt;&gt;"",G1892,IF(B1892="","",IFERROR(IF(INDEX(pr_rate,MATCH(B1892,pr_code,0))="","",INDEX(pr_rate,MATCH(B1892,pr_code,0))),""))))</f>
        <v/>
      </c>
      <c r="L1892" s="65" t="str">
        <f>IF(COUNTA(A1892:G1892)=0,"",IF(AND(ISNUMBER(D1892),ISNUMBER(J1892)),ROUND(D1892*J1892*(1-N(F1892)),2),0))</f>
        <v/>
      </c>
      <c r="M1892" s="62" t="str">
        <f>IF(A1892="","",IFERROR(INDEX(fa_cname,MATCH(A1892,fa_num,0))&amp;"",""))</f>
        <v/>
      </c>
      <c r="N1892" s="59" t="str">
        <f>IF(COUNTA(A1892:G1892)=0,"",IF(A1892="","N° facture manquant",IF(ISNA(MATCH(A1892,fa_num,0)),"Facture inconnue",IF(AND(B1892&lt;&gt;"",ISNA(MATCH(B1892,pr_code,0))),"Article inconnu",IF(H1892="","Désignation manquante",IF(OR(NOT(ISNUMBER(D1892)),N(D1892)&lt;=0),"Quantité invalide",IF(J1892="","Prix manquant",IF(OR(NOT(ISNUMBER(J1892)),N(J1892)&lt;0),"Prix invalide",IF(OR(AND(F1892&lt;&gt;"",NOT(ISNUMBER(F1892))),N(F1892)&lt;0,N(F1892)&gt;1),"Remise invalide",IF(K1892="","Taux de TVA manquant",IF(NOT(ISNUMBER(K1892)),"Taux de TVA invalide",IF(COUNTIF(p_rates,K1892)=0,"Taux de TVA hors liste (Paramètres)",IF(N(O1892)&gt;25,"Au-delà de 25 lignes : non imprimée","OK")))))))))))))</f>
        <v/>
      </c>
      <c r="O1892" s="59" t="str">
        <f>IF(A1892="","",COUNTIF($A$6:A1892,A1892))</f>
        <v/>
      </c>
      <c r="P1892" s="62" t="str">
        <f>IF(A1892="","",A1892&amp;"|"&amp;O1892)</f>
        <v/>
      </c>
    </row>
    <row r="1893">
      <c r="A1893" s="60" t="n"/>
      <c r="B1893" s="63" t="n"/>
      <c r="C1893" s="63" t="n"/>
      <c r="D1893" s="67" t="n"/>
      <c r="E1893" s="68" t="n"/>
      <c r="F1893" s="69" t="n"/>
      <c r="G1893" s="70" t="n"/>
      <c r="H1893" s="62" t="str">
        <f>IF(COUNTA(A1893:G1893)=0,"",IF(C1893&lt;&gt;"",C1893,IF(B1893="","",IFERROR(INDEX(pr_des,MATCH(B1893,pr_code,0))&amp;"",""))))</f>
        <v/>
      </c>
      <c r="I1893" s="59" t="str">
        <f>IF(B1893="","",IFERROR(INDEX(pr_unit,MATCH(B1893,pr_code,0))&amp;"",""))</f>
        <v/>
      </c>
      <c r="J1893" s="65" t="str">
        <f>IF(COUNTA(A1893:G1893)=0,"",IF(E1893&lt;&gt;"",E1893,IF(B1893="","",IFERROR(IF(INDEX(pr_price,MATCH(B1893,pr_code,0))="","",INDEX(pr_price,MATCH(B1893,pr_code,0))),""))))</f>
        <v/>
      </c>
      <c r="K1893" s="71" t="str">
        <f>IF(COUNTA(A1893:G1893)=0,"",IF(G1893&lt;&gt;"",G1893,IF(B1893="","",IFERROR(IF(INDEX(pr_rate,MATCH(B1893,pr_code,0))="","",INDEX(pr_rate,MATCH(B1893,pr_code,0))),""))))</f>
        <v/>
      </c>
      <c r="L1893" s="65" t="str">
        <f>IF(COUNTA(A1893:G1893)=0,"",IF(AND(ISNUMBER(D1893),ISNUMBER(J1893)),ROUND(D1893*J1893*(1-N(F1893)),2),0))</f>
        <v/>
      </c>
      <c r="M1893" s="62" t="str">
        <f>IF(A1893="","",IFERROR(INDEX(fa_cname,MATCH(A1893,fa_num,0))&amp;"",""))</f>
        <v/>
      </c>
      <c r="N1893" s="59" t="str">
        <f>IF(COUNTA(A1893:G1893)=0,"",IF(A1893="","N° facture manquant",IF(ISNA(MATCH(A1893,fa_num,0)),"Facture inconnue",IF(AND(B1893&lt;&gt;"",ISNA(MATCH(B1893,pr_code,0))),"Article inconnu",IF(H1893="","Désignation manquante",IF(OR(NOT(ISNUMBER(D1893)),N(D1893)&lt;=0),"Quantité invalide",IF(J1893="","Prix manquant",IF(OR(NOT(ISNUMBER(J1893)),N(J1893)&lt;0),"Prix invalide",IF(OR(AND(F1893&lt;&gt;"",NOT(ISNUMBER(F1893))),N(F1893)&lt;0,N(F1893)&gt;1),"Remise invalide",IF(K1893="","Taux de TVA manquant",IF(NOT(ISNUMBER(K1893)),"Taux de TVA invalide",IF(COUNTIF(p_rates,K1893)=0,"Taux de TVA hors liste (Paramètres)",IF(N(O1893)&gt;25,"Au-delà de 25 lignes : non imprimée","OK")))))))))))))</f>
        <v/>
      </c>
      <c r="O1893" s="59" t="str">
        <f>IF(A1893="","",COUNTIF($A$6:A1893,A1893))</f>
        <v/>
      </c>
      <c r="P1893" s="62" t="str">
        <f>IF(A1893="","",A1893&amp;"|"&amp;O1893)</f>
        <v/>
      </c>
    </row>
    <row r="1894">
      <c r="A1894" s="60" t="n"/>
      <c r="B1894" s="63" t="n"/>
      <c r="C1894" s="63" t="n"/>
      <c r="D1894" s="67" t="n"/>
      <c r="E1894" s="68" t="n"/>
      <c r="F1894" s="69" t="n"/>
      <c r="G1894" s="70" t="n"/>
      <c r="H1894" s="62" t="str">
        <f>IF(COUNTA(A1894:G1894)=0,"",IF(C1894&lt;&gt;"",C1894,IF(B1894="","",IFERROR(INDEX(pr_des,MATCH(B1894,pr_code,0))&amp;"",""))))</f>
        <v/>
      </c>
      <c r="I1894" s="59" t="str">
        <f>IF(B1894="","",IFERROR(INDEX(pr_unit,MATCH(B1894,pr_code,0))&amp;"",""))</f>
        <v/>
      </c>
      <c r="J1894" s="65" t="str">
        <f>IF(COUNTA(A1894:G1894)=0,"",IF(E1894&lt;&gt;"",E1894,IF(B1894="","",IFERROR(IF(INDEX(pr_price,MATCH(B1894,pr_code,0))="","",INDEX(pr_price,MATCH(B1894,pr_code,0))),""))))</f>
        <v/>
      </c>
      <c r="K1894" s="71" t="str">
        <f>IF(COUNTA(A1894:G1894)=0,"",IF(G1894&lt;&gt;"",G1894,IF(B1894="","",IFERROR(IF(INDEX(pr_rate,MATCH(B1894,pr_code,0))="","",INDEX(pr_rate,MATCH(B1894,pr_code,0))),""))))</f>
        <v/>
      </c>
      <c r="L1894" s="65" t="str">
        <f>IF(COUNTA(A1894:G1894)=0,"",IF(AND(ISNUMBER(D1894),ISNUMBER(J1894)),ROUND(D1894*J1894*(1-N(F1894)),2),0))</f>
        <v/>
      </c>
      <c r="M1894" s="62" t="str">
        <f>IF(A1894="","",IFERROR(INDEX(fa_cname,MATCH(A1894,fa_num,0))&amp;"",""))</f>
        <v/>
      </c>
      <c r="N1894" s="59" t="str">
        <f>IF(COUNTA(A1894:G1894)=0,"",IF(A1894="","N° facture manquant",IF(ISNA(MATCH(A1894,fa_num,0)),"Facture inconnue",IF(AND(B1894&lt;&gt;"",ISNA(MATCH(B1894,pr_code,0))),"Article inconnu",IF(H1894="","Désignation manquante",IF(OR(NOT(ISNUMBER(D1894)),N(D1894)&lt;=0),"Quantité invalide",IF(J1894="","Prix manquant",IF(OR(NOT(ISNUMBER(J1894)),N(J1894)&lt;0),"Prix invalide",IF(OR(AND(F1894&lt;&gt;"",NOT(ISNUMBER(F1894))),N(F1894)&lt;0,N(F1894)&gt;1),"Remise invalide",IF(K1894="","Taux de TVA manquant",IF(NOT(ISNUMBER(K1894)),"Taux de TVA invalide",IF(COUNTIF(p_rates,K1894)=0,"Taux de TVA hors liste (Paramètres)",IF(N(O1894)&gt;25,"Au-delà de 25 lignes : non imprimée","OK")))))))))))))</f>
        <v/>
      </c>
      <c r="O1894" s="59" t="str">
        <f>IF(A1894="","",COUNTIF($A$6:A1894,A1894))</f>
        <v/>
      </c>
      <c r="P1894" s="62" t="str">
        <f>IF(A1894="","",A1894&amp;"|"&amp;O1894)</f>
        <v/>
      </c>
    </row>
    <row r="1895">
      <c r="A1895" s="60" t="n"/>
      <c r="B1895" s="63" t="n"/>
      <c r="C1895" s="63" t="n"/>
      <c r="D1895" s="67" t="n"/>
      <c r="E1895" s="68" t="n"/>
      <c r="F1895" s="69" t="n"/>
      <c r="G1895" s="70" t="n"/>
      <c r="H1895" s="62" t="str">
        <f>IF(COUNTA(A1895:G1895)=0,"",IF(C1895&lt;&gt;"",C1895,IF(B1895="","",IFERROR(INDEX(pr_des,MATCH(B1895,pr_code,0))&amp;"",""))))</f>
        <v/>
      </c>
      <c r="I1895" s="59" t="str">
        <f>IF(B1895="","",IFERROR(INDEX(pr_unit,MATCH(B1895,pr_code,0))&amp;"",""))</f>
        <v/>
      </c>
      <c r="J1895" s="65" t="str">
        <f>IF(COUNTA(A1895:G1895)=0,"",IF(E1895&lt;&gt;"",E1895,IF(B1895="","",IFERROR(IF(INDEX(pr_price,MATCH(B1895,pr_code,0))="","",INDEX(pr_price,MATCH(B1895,pr_code,0))),""))))</f>
        <v/>
      </c>
      <c r="K1895" s="71" t="str">
        <f>IF(COUNTA(A1895:G1895)=0,"",IF(G1895&lt;&gt;"",G1895,IF(B1895="","",IFERROR(IF(INDEX(pr_rate,MATCH(B1895,pr_code,0))="","",INDEX(pr_rate,MATCH(B1895,pr_code,0))),""))))</f>
        <v/>
      </c>
      <c r="L1895" s="65" t="str">
        <f>IF(COUNTA(A1895:G1895)=0,"",IF(AND(ISNUMBER(D1895),ISNUMBER(J1895)),ROUND(D1895*J1895*(1-N(F1895)),2),0))</f>
        <v/>
      </c>
      <c r="M1895" s="62" t="str">
        <f>IF(A1895="","",IFERROR(INDEX(fa_cname,MATCH(A1895,fa_num,0))&amp;"",""))</f>
        <v/>
      </c>
      <c r="N1895" s="59" t="str">
        <f>IF(COUNTA(A1895:G1895)=0,"",IF(A1895="","N° facture manquant",IF(ISNA(MATCH(A1895,fa_num,0)),"Facture inconnue",IF(AND(B1895&lt;&gt;"",ISNA(MATCH(B1895,pr_code,0))),"Article inconnu",IF(H1895="","Désignation manquante",IF(OR(NOT(ISNUMBER(D1895)),N(D1895)&lt;=0),"Quantité invalide",IF(J1895="","Prix manquant",IF(OR(NOT(ISNUMBER(J1895)),N(J1895)&lt;0),"Prix invalide",IF(OR(AND(F1895&lt;&gt;"",NOT(ISNUMBER(F1895))),N(F1895)&lt;0,N(F1895)&gt;1),"Remise invalide",IF(K1895="","Taux de TVA manquant",IF(NOT(ISNUMBER(K1895)),"Taux de TVA invalide",IF(COUNTIF(p_rates,K1895)=0,"Taux de TVA hors liste (Paramètres)",IF(N(O1895)&gt;25,"Au-delà de 25 lignes : non imprimée","OK")))))))))))))</f>
        <v/>
      </c>
      <c r="O1895" s="59" t="str">
        <f>IF(A1895="","",COUNTIF($A$6:A1895,A1895))</f>
        <v/>
      </c>
      <c r="P1895" s="62" t="str">
        <f>IF(A1895="","",A1895&amp;"|"&amp;O1895)</f>
        <v/>
      </c>
    </row>
    <row r="1896">
      <c r="A1896" s="60" t="n"/>
      <c r="B1896" s="63" t="n"/>
      <c r="C1896" s="63" t="n"/>
      <c r="D1896" s="67" t="n"/>
      <c r="E1896" s="68" t="n"/>
      <c r="F1896" s="69" t="n"/>
      <c r="G1896" s="70" t="n"/>
      <c r="H1896" s="62" t="str">
        <f>IF(COUNTA(A1896:G1896)=0,"",IF(C1896&lt;&gt;"",C1896,IF(B1896="","",IFERROR(INDEX(pr_des,MATCH(B1896,pr_code,0))&amp;"",""))))</f>
        <v/>
      </c>
      <c r="I1896" s="59" t="str">
        <f>IF(B1896="","",IFERROR(INDEX(pr_unit,MATCH(B1896,pr_code,0))&amp;"",""))</f>
        <v/>
      </c>
      <c r="J1896" s="65" t="str">
        <f>IF(COUNTA(A1896:G1896)=0,"",IF(E1896&lt;&gt;"",E1896,IF(B1896="","",IFERROR(IF(INDEX(pr_price,MATCH(B1896,pr_code,0))="","",INDEX(pr_price,MATCH(B1896,pr_code,0))),""))))</f>
        <v/>
      </c>
      <c r="K1896" s="71" t="str">
        <f>IF(COUNTA(A1896:G1896)=0,"",IF(G1896&lt;&gt;"",G1896,IF(B1896="","",IFERROR(IF(INDEX(pr_rate,MATCH(B1896,pr_code,0))="","",INDEX(pr_rate,MATCH(B1896,pr_code,0))),""))))</f>
        <v/>
      </c>
      <c r="L1896" s="65" t="str">
        <f>IF(COUNTA(A1896:G1896)=0,"",IF(AND(ISNUMBER(D1896),ISNUMBER(J1896)),ROUND(D1896*J1896*(1-N(F1896)),2),0))</f>
        <v/>
      </c>
      <c r="M1896" s="62" t="str">
        <f>IF(A1896="","",IFERROR(INDEX(fa_cname,MATCH(A1896,fa_num,0))&amp;"",""))</f>
        <v/>
      </c>
      <c r="N1896" s="59" t="str">
        <f>IF(COUNTA(A1896:G1896)=0,"",IF(A1896="","N° facture manquant",IF(ISNA(MATCH(A1896,fa_num,0)),"Facture inconnue",IF(AND(B1896&lt;&gt;"",ISNA(MATCH(B1896,pr_code,0))),"Article inconnu",IF(H1896="","Désignation manquante",IF(OR(NOT(ISNUMBER(D1896)),N(D1896)&lt;=0),"Quantité invalide",IF(J1896="","Prix manquant",IF(OR(NOT(ISNUMBER(J1896)),N(J1896)&lt;0),"Prix invalide",IF(OR(AND(F1896&lt;&gt;"",NOT(ISNUMBER(F1896))),N(F1896)&lt;0,N(F1896)&gt;1),"Remise invalide",IF(K1896="","Taux de TVA manquant",IF(NOT(ISNUMBER(K1896)),"Taux de TVA invalide",IF(COUNTIF(p_rates,K1896)=0,"Taux de TVA hors liste (Paramètres)",IF(N(O1896)&gt;25,"Au-delà de 25 lignes : non imprimée","OK")))))))))))))</f>
        <v/>
      </c>
      <c r="O1896" s="59" t="str">
        <f>IF(A1896="","",COUNTIF($A$6:A1896,A1896))</f>
        <v/>
      </c>
      <c r="P1896" s="62" t="str">
        <f>IF(A1896="","",A1896&amp;"|"&amp;O1896)</f>
        <v/>
      </c>
    </row>
    <row r="1897">
      <c r="A1897" s="60" t="n"/>
      <c r="B1897" s="63" t="n"/>
      <c r="C1897" s="63" t="n"/>
      <c r="D1897" s="67" t="n"/>
      <c r="E1897" s="68" t="n"/>
      <c r="F1897" s="69" t="n"/>
      <c r="G1897" s="70" t="n"/>
      <c r="H1897" s="62" t="str">
        <f>IF(COUNTA(A1897:G1897)=0,"",IF(C1897&lt;&gt;"",C1897,IF(B1897="","",IFERROR(INDEX(pr_des,MATCH(B1897,pr_code,0))&amp;"",""))))</f>
        <v/>
      </c>
      <c r="I1897" s="59" t="str">
        <f>IF(B1897="","",IFERROR(INDEX(pr_unit,MATCH(B1897,pr_code,0))&amp;"",""))</f>
        <v/>
      </c>
      <c r="J1897" s="65" t="str">
        <f>IF(COUNTA(A1897:G1897)=0,"",IF(E1897&lt;&gt;"",E1897,IF(B1897="","",IFERROR(IF(INDEX(pr_price,MATCH(B1897,pr_code,0))="","",INDEX(pr_price,MATCH(B1897,pr_code,0))),""))))</f>
        <v/>
      </c>
      <c r="K1897" s="71" t="str">
        <f>IF(COUNTA(A1897:G1897)=0,"",IF(G1897&lt;&gt;"",G1897,IF(B1897="","",IFERROR(IF(INDEX(pr_rate,MATCH(B1897,pr_code,0))="","",INDEX(pr_rate,MATCH(B1897,pr_code,0))),""))))</f>
        <v/>
      </c>
      <c r="L1897" s="65" t="str">
        <f>IF(COUNTA(A1897:G1897)=0,"",IF(AND(ISNUMBER(D1897),ISNUMBER(J1897)),ROUND(D1897*J1897*(1-N(F1897)),2),0))</f>
        <v/>
      </c>
      <c r="M1897" s="62" t="str">
        <f>IF(A1897="","",IFERROR(INDEX(fa_cname,MATCH(A1897,fa_num,0))&amp;"",""))</f>
        <v/>
      </c>
      <c r="N1897" s="59" t="str">
        <f>IF(COUNTA(A1897:G1897)=0,"",IF(A1897="","N° facture manquant",IF(ISNA(MATCH(A1897,fa_num,0)),"Facture inconnue",IF(AND(B1897&lt;&gt;"",ISNA(MATCH(B1897,pr_code,0))),"Article inconnu",IF(H1897="","Désignation manquante",IF(OR(NOT(ISNUMBER(D1897)),N(D1897)&lt;=0),"Quantité invalide",IF(J1897="","Prix manquant",IF(OR(NOT(ISNUMBER(J1897)),N(J1897)&lt;0),"Prix invalide",IF(OR(AND(F1897&lt;&gt;"",NOT(ISNUMBER(F1897))),N(F1897)&lt;0,N(F1897)&gt;1),"Remise invalide",IF(K1897="","Taux de TVA manquant",IF(NOT(ISNUMBER(K1897)),"Taux de TVA invalide",IF(COUNTIF(p_rates,K1897)=0,"Taux de TVA hors liste (Paramètres)",IF(N(O1897)&gt;25,"Au-delà de 25 lignes : non imprimée","OK")))))))))))))</f>
        <v/>
      </c>
      <c r="O1897" s="59" t="str">
        <f>IF(A1897="","",COUNTIF($A$6:A1897,A1897))</f>
        <v/>
      </c>
      <c r="P1897" s="62" t="str">
        <f>IF(A1897="","",A1897&amp;"|"&amp;O1897)</f>
        <v/>
      </c>
    </row>
    <row r="1898">
      <c r="A1898" s="60" t="n"/>
      <c r="B1898" s="63" t="n"/>
      <c r="C1898" s="63" t="n"/>
      <c r="D1898" s="67" t="n"/>
      <c r="E1898" s="68" t="n"/>
      <c r="F1898" s="69" t="n"/>
      <c r="G1898" s="70" t="n"/>
      <c r="H1898" s="62" t="str">
        <f>IF(COUNTA(A1898:G1898)=0,"",IF(C1898&lt;&gt;"",C1898,IF(B1898="","",IFERROR(INDEX(pr_des,MATCH(B1898,pr_code,0))&amp;"",""))))</f>
        <v/>
      </c>
      <c r="I1898" s="59" t="str">
        <f>IF(B1898="","",IFERROR(INDEX(pr_unit,MATCH(B1898,pr_code,0))&amp;"",""))</f>
        <v/>
      </c>
      <c r="J1898" s="65" t="str">
        <f>IF(COUNTA(A1898:G1898)=0,"",IF(E1898&lt;&gt;"",E1898,IF(B1898="","",IFERROR(IF(INDEX(pr_price,MATCH(B1898,pr_code,0))="","",INDEX(pr_price,MATCH(B1898,pr_code,0))),""))))</f>
        <v/>
      </c>
      <c r="K1898" s="71" t="str">
        <f>IF(COUNTA(A1898:G1898)=0,"",IF(G1898&lt;&gt;"",G1898,IF(B1898="","",IFERROR(IF(INDEX(pr_rate,MATCH(B1898,pr_code,0))="","",INDEX(pr_rate,MATCH(B1898,pr_code,0))),""))))</f>
        <v/>
      </c>
      <c r="L1898" s="65" t="str">
        <f>IF(COUNTA(A1898:G1898)=0,"",IF(AND(ISNUMBER(D1898),ISNUMBER(J1898)),ROUND(D1898*J1898*(1-N(F1898)),2),0))</f>
        <v/>
      </c>
      <c r="M1898" s="62" t="str">
        <f>IF(A1898="","",IFERROR(INDEX(fa_cname,MATCH(A1898,fa_num,0))&amp;"",""))</f>
        <v/>
      </c>
      <c r="N1898" s="59" t="str">
        <f>IF(COUNTA(A1898:G1898)=0,"",IF(A1898="","N° facture manquant",IF(ISNA(MATCH(A1898,fa_num,0)),"Facture inconnue",IF(AND(B1898&lt;&gt;"",ISNA(MATCH(B1898,pr_code,0))),"Article inconnu",IF(H1898="","Désignation manquante",IF(OR(NOT(ISNUMBER(D1898)),N(D1898)&lt;=0),"Quantité invalide",IF(J1898="","Prix manquant",IF(OR(NOT(ISNUMBER(J1898)),N(J1898)&lt;0),"Prix invalide",IF(OR(AND(F1898&lt;&gt;"",NOT(ISNUMBER(F1898))),N(F1898)&lt;0,N(F1898)&gt;1),"Remise invalide",IF(K1898="","Taux de TVA manquant",IF(NOT(ISNUMBER(K1898)),"Taux de TVA invalide",IF(COUNTIF(p_rates,K1898)=0,"Taux de TVA hors liste (Paramètres)",IF(N(O1898)&gt;25,"Au-delà de 25 lignes : non imprimée","OK")))))))))))))</f>
        <v/>
      </c>
      <c r="O1898" s="59" t="str">
        <f>IF(A1898="","",COUNTIF($A$6:A1898,A1898))</f>
        <v/>
      </c>
      <c r="P1898" s="62" t="str">
        <f>IF(A1898="","",A1898&amp;"|"&amp;O1898)</f>
        <v/>
      </c>
    </row>
    <row r="1899">
      <c r="A1899" s="60" t="n"/>
      <c r="B1899" s="63" t="n"/>
      <c r="C1899" s="63" t="n"/>
      <c r="D1899" s="67" t="n"/>
      <c r="E1899" s="68" t="n"/>
      <c r="F1899" s="69" t="n"/>
      <c r="G1899" s="70" t="n"/>
      <c r="H1899" s="62" t="str">
        <f>IF(COUNTA(A1899:G1899)=0,"",IF(C1899&lt;&gt;"",C1899,IF(B1899="","",IFERROR(INDEX(pr_des,MATCH(B1899,pr_code,0))&amp;"",""))))</f>
        <v/>
      </c>
      <c r="I1899" s="59" t="str">
        <f>IF(B1899="","",IFERROR(INDEX(pr_unit,MATCH(B1899,pr_code,0))&amp;"",""))</f>
        <v/>
      </c>
      <c r="J1899" s="65" t="str">
        <f>IF(COUNTA(A1899:G1899)=0,"",IF(E1899&lt;&gt;"",E1899,IF(B1899="","",IFERROR(IF(INDEX(pr_price,MATCH(B1899,pr_code,0))="","",INDEX(pr_price,MATCH(B1899,pr_code,0))),""))))</f>
        <v/>
      </c>
      <c r="K1899" s="71" t="str">
        <f>IF(COUNTA(A1899:G1899)=0,"",IF(G1899&lt;&gt;"",G1899,IF(B1899="","",IFERROR(IF(INDEX(pr_rate,MATCH(B1899,pr_code,0))="","",INDEX(pr_rate,MATCH(B1899,pr_code,0))),""))))</f>
        <v/>
      </c>
      <c r="L1899" s="65" t="str">
        <f>IF(COUNTA(A1899:G1899)=0,"",IF(AND(ISNUMBER(D1899),ISNUMBER(J1899)),ROUND(D1899*J1899*(1-N(F1899)),2),0))</f>
        <v/>
      </c>
      <c r="M1899" s="62" t="str">
        <f>IF(A1899="","",IFERROR(INDEX(fa_cname,MATCH(A1899,fa_num,0))&amp;"",""))</f>
        <v/>
      </c>
      <c r="N1899" s="59" t="str">
        <f>IF(COUNTA(A1899:G1899)=0,"",IF(A1899="","N° facture manquant",IF(ISNA(MATCH(A1899,fa_num,0)),"Facture inconnue",IF(AND(B1899&lt;&gt;"",ISNA(MATCH(B1899,pr_code,0))),"Article inconnu",IF(H1899="","Désignation manquante",IF(OR(NOT(ISNUMBER(D1899)),N(D1899)&lt;=0),"Quantité invalide",IF(J1899="","Prix manquant",IF(OR(NOT(ISNUMBER(J1899)),N(J1899)&lt;0),"Prix invalide",IF(OR(AND(F1899&lt;&gt;"",NOT(ISNUMBER(F1899))),N(F1899)&lt;0,N(F1899)&gt;1),"Remise invalide",IF(K1899="","Taux de TVA manquant",IF(NOT(ISNUMBER(K1899)),"Taux de TVA invalide",IF(COUNTIF(p_rates,K1899)=0,"Taux de TVA hors liste (Paramètres)",IF(N(O1899)&gt;25,"Au-delà de 25 lignes : non imprimée","OK")))))))))))))</f>
        <v/>
      </c>
      <c r="O1899" s="59" t="str">
        <f>IF(A1899="","",COUNTIF($A$6:A1899,A1899))</f>
        <v/>
      </c>
      <c r="P1899" s="62" t="str">
        <f>IF(A1899="","",A1899&amp;"|"&amp;O1899)</f>
        <v/>
      </c>
    </row>
    <row r="1900">
      <c r="A1900" s="60" t="n"/>
      <c r="B1900" s="63" t="n"/>
      <c r="C1900" s="63" t="n"/>
      <c r="D1900" s="67" t="n"/>
      <c r="E1900" s="68" t="n"/>
      <c r="F1900" s="69" t="n"/>
      <c r="G1900" s="70" t="n"/>
      <c r="H1900" s="62" t="str">
        <f>IF(COUNTA(A1900:G1900)=0,"",IF(C1900&lt;&gt;"",C1900,IF(B1900="","",IFERROR(INDEX(pr_des,MATCH(B1900,pr_code,0))&amp;"",""))))</f>
        <v/>
      </c>
      <c r="I1900" s="59" t="str">
        <f>IF(B1900="","",IFERROR(INDEX(pr_unit,MATCH(B1900,pr_code,0))&amp;"",""))</f>
        <v/>
      </c>
      <c r="J1900" s="65" t="str">
        <f>IF(COUNTA(A1900:G1900)=0,"",IF(E1900&lt;&gt;"",E1900,IF(B1900="","",IFERROR(IF(INDEX(pr_price,MATCH(B1900,pr_code,0))="","",INDEX(pr_price,MATCH(B1900,pr_code,0))),""))))</f>
        <v/>
      </c>
      <c r="K1900" s="71" t="str">
        <f>IF(COUNTA(A1900:G1900)=0,"",IF(G1900&lt;&gt;"",G1900,IF(B1900="","",IFERROR(IF(INDEX(pr_rate,MATCH(B1900,pr_code,0))="","",INDEX(pr_rate,MATCH(B1900,pr_code,0))),""))))</f>
        <v/>
      </c>
      <c r="L1900" s="65" t="str">
        <f>IF(COUNTA(A1900:G1900)=0,"",IF(AND(ISNUMBER(D1900),ISNUMBER(J1900)),ROUND(D1900*J1900*(1-N(F1900)),2),0))</f>
        <v/>
      </c>
      <c r="M1900" s="62" t="str">
        <f>IF(A1900="","",IFERROR(INDEX(fa_cname,MATCH(A1900,fa_num,0))&amp;"",""))</f>
        <v/>
      </c>
      <c r="N1900" s="59" t="str">
        <f>IF(COUNTA(A1900:G1900)=0,"",IF(A1900="","N° facture manquant",IF(ISNA(MATCH(A1900,fa_num,0)),"Facture inconnue",IF(AND(B1900&lt;&gt;"",ISNA(MATCH(B1900,pr_code,0))),"Article inconnu",IF(H1900="","Désignation manquante",IF(OR(NOT(ISNUMBER(D1900)),N(D1900)&lt;=0),"Quantité invalide",IF(J1900="","Prix manquant",IF(OR(NOT(ISNUMBER(J1900)),N(J1900)&lt;0),"Prix invalide",IF(OR(AND(F1900&lt;&gt;"",NOT(ISNUMBER(F1900))),N(F1900)&lt;0,N(F1900)&gt;1),"Remise invalide",IF(K1900="","Taux de TVA manquant",IF(NOT(ISNUMBER(K1900)),"Taux de TVA invalide",IF(COUNTIF(p_rates,K1900)=0,"Taux de TVA hors liste (Paramètres)",IF(N(O1900)&gt;25,"Au-delà de 25 lignes : non imprimée","OK")))))))))))))</f>
        <v/>
      </c>
      <c r="O1900" s="59" t="str">
        <f>IF(A1900="","",COUNTIF($A$6:A1900,A1900))</f>
        <v/>
      </c>
      <c r="P1900" s="62" t="str">
        <f>IF(A1900="","",A1900&amp;"|"&amp;O1900)</f>
        <v/>
      </c>
    </row>
    <row r="1901">
      <c r="A1901" s="60" t="n"/>
      <c r="B1901" s="63" t="n"/>
      <c r="C1901" s="63" t="n"/>
      <c r="D1901" s="67" t="n"/>
      <c r="E1901" s="68" t="n"/>
      <c r="F1901" s="69" t="n"/>
      <c r="G1901" s="70" t="n"/>
      <c r="H1901" s="62" t="str">
        <f>IF(COUNTA(A1901:G1901)=0,"",IF(C1901&lt;&gt;"",C1901,IF(B1901="","",IFERROR(INDEX(pr_des,MATCH(B1901,pr_code,0))&amp;"",""))))</f>
        <v/>
      </c>
      <c r="I1901" s="59" t="str">
        <f>IF(B1901="","",IFERROR(INDEX(pr_unit,MATCH(B1901,pr_code,0))&amp;"",""))</f>
        <v/>
      </c>
      <c r="J1901" s="65" t="str">
        <f>IF(COUNTA(A1901:G1901)=0,"",IF(E1901&lt;&gt;"",E1901,IF(B1901="","",IFERROR(IF(INDEX(pr_price,MATCH(B1901,pr_code,0))="","",INDEX(pr_price,MATCH(B1901,pr_code,0))),""))))</f>
        <v/>
      </c>
      <c r="K1901" s="71" t="str">
        <f>IF(COUNTA(A1901:G1901)=0,"",IF(G1901&lt;&gt;"",G1901,IF(B1901="","",IFERROR(IF(INDEX(pr_rate,MATCH(B1901,pr_code,0))="","",INDEX(pr_rate,MATCH(B1901,pr_code,0))),""))))</f>
        <v/>
      </c>
      <c r="L1901" s="65" t="str">
        <f>IF(COUNTA(A1901:G1901)=0,"",IF(AND(ISNUMBER(D1901),ISNUMBER(J1901)),ROUND(D1901*J1901*(1-N(F1901)),2),0))</f>
        <v/>
      </c>
      <c r="M1901" s="62" t="str">
        <f>IF(A1901="","",IFERROR(INDEX(fa_cname,MATCH(A1901,fa_num,0))&amp;"",""))</f>
        <v/>
      </c>
      <c r="N1901" s="59" t="str">
        <f>IF(COUNTA(A1901:G1901)=0,"",IF(A1901="","N° facture manquant",IF(ISNA(MATCH(A1901,fa_num,0)),"Facture inconnue",IF(AND(B1901&lt;&gt;"",ISNA(MATCH(B1901,pr_code,0))),"Article inconnu",IF(H1901="","Désignation manquante",IF(OR(NOT(ISNUMBER(D1901)),N(D1901)&lt;=0),"Quantité invalide",IF(J1901="","Prix manquant",IF(OR(NOT(ISNUMBER(J1901)),N(J1901)&lt;0),"Prix invalide",IF(OR(AND(F1901&lt;&gt;"",NOT(ISNUMBER(F1901))),N(F1901)&lt;0,N(F1901)&gt;1),"Remise invalide",IF(K1901="","Taux de TVA manquant",IF(NOT(ISNUMBER(K1901)),"Taux de TVA invalide",IF(COUNTIF(p_rates,K1901)=0,"Taux de TVA hors liste (Paramètres)",IF(N(O1901)&gt;25,"Au-delà de 25 lignes : non imprimée","OK")))))))))))))</f>
        <v/>
      </c>
      <c r="O1901" s="59" t="str">
        <f>IF(A1901="","",COUNTIF($A$6:A1901,A1901))</f>
        <v/>
      </c>
      <c r="P1901" s="62" t="str">
        <f>IF(A1901="","",A1901&amp;"|"&amp;O1901)</f>
        <v/>
      </c>
    </row>
    <row r="1902">
      <c r="A1902" s="60" t="n"/>
      <c r="B1902" s="63" t="n"/>
      <c r="C1902" s="63" t="n"/>
      <c r="D1902" s="67" t="n"/>
      <c r="E1902" s="68" t="n"/>
      <c r="F1902" s="69" t="n"/>
      <c r="G1902" s="70" t="n"/>
      <c r="H1902" s="62" t="str">
        <f>IF(COUNTA(A1902:G1902)=0,"",IF(C1902&lt;&gt;"",C1902,IF(B1902="","",IFERROR(INDEX(pr_des,MATCH(B1902,pr_code,0))&amp;"",""))))</f>
        <v/>
      </c>
      <c r="I1902" s="59" t="str">
        <f>IF(B1902="","",IFERROR(INDEX(pr_unit,MATCH(B1902,pr_code,0))&amp;"",""))</f>
        <v/>
      </c>
      <c r="J1902" s="65" t="str">
        <f>IF(COUNTA(A1902:G1902)=0,"",IF(E1902&lt;&gt;"",E1902,IF(B1902="","",IFERROR(IF(INDEX(pr_price,MATCH(B1902,pr_code,0))="","",INDEX(pr_price,MATCH(B1902,pr_code,0))),""))))</f>
        <v/>
      </c>
      <c r="K1902" s="71" t="str">
        <f>IF(COUNTA(A1902:G1902)=0,"",IF(G1902&lt;&gt;"",G1902,IF(B1902="","",IFERROR(IF(INDEX(pr_rate,MATCH(B1902,pr_code,0))="","",INDEX(pr_rate,MATCH(B1902,pr_code,0))),""))))</f>
        <v/>
      </c>
      <c r="L1902" s="65" t="str">
        <f>IF(COUNTA(A1902:G1902)=0,"",IF(AND(ISNUMBER(D1902),ISNUMBER(J1902)),ROUND(D1902*J1902*(1-N(F1902)),2),0))</f>
        <v/>
      </c>
      <c r="M1902" s="62" t="str">
        <f>IF(A1902="","",IFERROR(INDEX(fa_cname,MATCH(A1902,fa_num,0))&amp;"",""))</f>
        <v/>
      </c>
      <c r="N1902" s="59" t="str">
        <f>IF(COUNTA(A1902:G1902)=0,"",IF(A1902="","N° facture manquant",IF(ISNA(MATCH(A1902,fa_num,0)),"Facture inconnue",IF(AND(B1902&lt;&gt;"",ISNA(MATCH(B1902,pr_code,0))),"Article inconnu",IF(H1902="","Désignation manquante",IF(OR(NOT(ISNUMBER(D1902)),N(D1902)&lt;=0),"Quantité invalide",IF(J1902="","Prix manquant",IF(OR(NOT(ISNUMBER(J1902)),N(J1902)&lt;0),"Prix invalide",IF(OR(AND(F1902&lt;&gt;"",NOT(ISNUMBER(F1902))),N(F1902)&lt;0,N(F1902)&gt;1),"Remise invalide",IF(K1902="","Taux de TVA manquant",IF(NOT(ISNUMBER(K1902)),"Taux de TVA invalide",IF(COUNTIF(p_rates,K1902)=0,"Taux de TVA hors liste (Paramètres)",IF(N(O1902)&gt;25,"Au-delà de 25 lignes : non imprimée","OK")))))))))))))</f>
        <v/>
      </c>
      <c r="O1902" s="59" t="str">
        <f>IF(A1902="","",COUNTIF($A$6:A1902,A1902))</f>
        <v/>
      </c>
      <c r="P1902" s="62" t="str">
        <f>IF(A1902="","",A1902&amp;"|"&amp;O1902)</f>
        <v/>
      </c>
    </row>
    <row r="1903">
      <c r="A1903" s="60" t="n"/>
      <c r="B1903" s="63" t="n"/>
      <c r="C1903" s="63" t="n"/>
      <c r="D1903" s="67" t="n"/>
      <c r="E1903" s="68" t="n"/>
      <c r="F1903" s="69" t="n"/>
      <c r="G1903" s="70" t="n"/>
      <c r="H1903" s="62" t="str">
        <f>IF(COUNTA(A1903:G1903)=0,"",IF(C1903&lt;&gt;"",C1903,IF(B1903="","",IFERROR(INDEX(pr_des,MATCH(B1903,pr_code,0))&amp;"",""))))</f>
        <v/>
      </c>
      <c r="I1903" s="59" t="str">
        <f>IF(B1903="","",IFERROR(INDEX(pr_unit,MATCH(B1903,pr_code,0))&amp;"",""))</f>
        <v/>
      </c>
      <c r="J1903" s="65" t="str">
        <f>IF(COUNTA(A1903:G1903)=0,"",IF(E1903&lt;&gt;"",E1903,IF(B1903="","",IFERROR(IF(INDEX(pr_price,MATCH(B1903,pr_code,0))="","",INDEX(pr_price,MATCH(B1903,pr_code,0))),""))))</f>
        <v/>
      </c>
      <c r="K1903" s="71" t="str">
        <f>IF(COUNTA(A1903:G1903)=0,"",IF(G1903&lt;&gt;"",G1903,IF(B1903="","",IFERROR(IF(INDEX(pr_rate,MATCH(B1903,pr_code,0))="","",INDEX(pr_rate,MATCH(B1903,pr_code,0))),""))))</f>
        <v/>
      </c>
      <c r="L1903" s="65" t="str">
        <f>IF(COUNTA(A1903:G1903)=0,"",IF(AND(ISNUMBER(D1903),ISNUMBER(J1903)),ROUND(D1903*J1903*(1-N(F1903)),2),0))</f>
        <v/>
      </c>
      <c r="M1903" s="62" t="str">
        <f>IF(A1903="","",IFERROR(INDEX(fa_cname,MATCH(A1903,fa_num,0))&amp;"",""))</f>
        <v/>
      </c>
      <c r="N1903" s="59" t="str">
        <f>IF(COUNTA(A1903:G1903)=0,"",IF(A1903="","N° facture manquant",IF(ISNA(MATCH(A1903,fa_num,0)),"Facture inconnue",IF(AND(B1903&lt;&gt;"",ISNA(MATCH(B1903,pr_code,0))),"Article inconnu",IF(H1903="","Désignation manquante",IF(OR(NOT(ISNUMBER(D1903)),N(D1903)&lt;=0),"Quantité invalide",IF(J1903="","Prix manquant",IF(OR(NOT(ISNUMBER(J1903)),N(J1903)&lt;0),"Prix invalide",IF(OR(AND(F1903&lt;&gt;"",NOT(ISNUMBER(F1903))),N(F1903)&lt;0,N(F1903)&gt;1),"Remise invalide",IF(K1903="","Taux de TVA manquant",IF(NOT(ISNUMBER(K1903)),"Taux de TVA invalide",IF(COUNTIF(p_rates,K1903)=0,"Taux de TVA hors liste (Paramètres)",IF(N(O1903)&gt;25,"Au-delà de 25 lignes : non imprimée","OK")))))))))))))</f>
        <v/>
      </c>
      <c r="O1903" s="59" t="str">
        <f>IF(A1903="","",COUNTIF($A$6:A1903,A1903))</f>
        <v/>
      </c>
      <c r="P1903" s="62" t="str">
        <f>IF(A1903="","",A1903&amp;"|"&amp;O1903)</f>
        <v/>
      </c>
    </row>
    <row r="1904">
      <c r="A1904" s="60" t="n"/>
      <c r="B1904" s="63" t="n"/>
      <c r="C1904" s="63" t="n"/>
      <c r="D1904" s="67" t="n"/>
      <c r="E1904" s="68" t="n"/>
      <c r="F1904" s="69" t="n"/>
      <c r="G1904" s="70" t="n"/>
      <c r="H1904" s="62" t="str">
        <f>IF(COUNTA(A1904:G1904)=0,"",IF(C1904&lt;&gt;"",C1904,IF(B1904="","",IFERROR(INDEX(pr_des,MATCH(B1904,pr_code,0))&amp;"",""))))</f>
        <v/>
      </c>
      <c r="I1904" s="59" t="str">
        <f>IF(B1904="","",IFERROR(INDEX(pr_unit,MATCH(B1904,pr_code,0))&amp;"",""))</f>
        <v/>
      </c>
      <c r="J1904" s="65" t="str">
        <f>IF(COUNTA(A1904:G1904)=0,"",IF(E1904&lt;&gt;"",E1904,IF(B1904="","",IFERROR(IF(INDEX(pr_price,MATCH(B1904,pr_code,0))="","",INDEX(pr_price,MATCH(B1904,pr_code,0))),""))))</f>
        <v/>
      </c>
      <c r="K1904" s="71" t="str">
        <f>IF(COUNTA(A1904:G1904)=0,"",IF(G1904&lt;&gt;"",G1904,IF(B1904="","",IFERROR(IF(INDEX(pr_rate,MATCH(B1904,pr_code,0))="","",INDEX(pr_rate,MATCH(B1904,pr_code,0))),""))))</f>
        <v/>
      </c>
      <c r="L1904" s="65" t="str">
        <f>IF(COUNTA(A1904:G1904)=0,"",IF(AND(ISNUMBER(D1904),ISNUMBER(J1904)),ROUND(D1904*J1904*(1-N(F1904)),2),0))</f>
        <v/>
      </c>
      <c r="M1904" s="62" t="str">
        <f>IF(A1904="","",IFERROR(INDEX(fa_cname,MATCH(A1904,fa_num,0))&amp;"",""))</f>
        <v/>
      </c>
      <c r="N1904" s="59" t="str">
        <f>IF(COUNTA(A1904:G1904)=0,"",IF(A1904="","N° facture manquant",IF(ISNA(MATCH(A1904,fa_num,0)),"Facture inconnue",IF(AND(B1904&lt;&gt;"",ISNA(MATCH(B1904,pr_code,0))),"Article inconnu",IF(H1904="","Désignation manquante",IF(OR(NOT(ISNUMBER(D1904)),N(D1904)&lt;=0),"Quantité invalide",IF(J1904="","Prix manquant",IF(OR(NOT(ISNUMBER(J1904)),N(J1904)&lt;0),"Prix invalide",IF(OR(AND(F1904&lt;&gt;"",NOT(ISNUMBER(F1904))),N(F1904)&lt;0,N(F1904)&gt;1),"Remise invalide",IF(K1904="","Taux de TVA manquant",IF(NOT(ISNUMBER(K1904)),"Taux de TVA invalide",IF(COUNTIF(p_rates,K1904)=0,"Taux de TVA hors liste (Paramètres)",IF(N(O1904)&gt;25,"Au-delà de 25 lignes : non imprimée","OK")))))))))))))</f>
        <v/>
      </c>
      <c r="O1904" s="59" t="str">
        <f>IF(A1904="","",COUNTIF($A$6:A1904,A1904))</f>
        <v/>
      </c>
      <c r="P1904" s="62" t="str">
        <f>IF(A1904="","",A1904&amp;"|"&amp;O1904)</f>
        <v/>
      </c>
    </row>
    <row r="1905">
      <c r="A1905" s="60" t="n"/>
      <c r="B1905" s="63" t="n"/>
      <c r="C1905" s="63" t="n"/>
      <c r="D1905" s="67" t="n"/>
      <c r="E1905" s="68" t="n"/>
      <c r="F1905" s="69" t="n"/>
      <c r="G1905" s="70" t="n"/>
      <c r="H1905" s="62" t="str">
        <f>IF(COUNTA(A1905:G1905)=0,"",IF(C1905&lt;&gt;"",C1905,IF(B1905="","",IFERROR(INDEX(pr_des,MATCH(B1905,pr_code,0))&amp;"",""))))</f>
        <v/>
      </c>
      <c r="I1905" s="59" t="str">
        <f>IF(B1905="","",IFERROR(INDEX(pr_unit,MATCH(B1905,pr_code,0))&amp;"",""))</f>
        <v/>
      </c>
      <c r="J1905" s="65" t="str">
        <f>IF(COUNTA(A1905:G1905)=0,"",IF(E1905&lt;&gt;"",E1905,IF(B1905="","",IFERROR(IF(INDEX(pr_price,MATCH(B1905,pr_code,0))="","",INDEX(pr_price,MATCH(B1905,pr_code,0))),""))))</f>
        <v/>
      </c>
      <c r="K1905" s="71" t="str">
        <f>IF(COUNTA(A1905:G1905)=0,"",IF(G1905&lt;&gt;"",G1905,IF(B1905="","",IFERROR(IF(INDEX(pr_rate,MATCH(B1905,pr_code,0))="","",INDEX(pr_rate,MATCH(B1905,pr_code,0))),""))))</f>
        <v/>
      </c>
      <c r="L1905" s="65" t="str">
        <f>IF(COUNTA(A1905:G1905)=0,"",IF(AND(ISNUMBER(D1905),ISNUMBER(J1905)),ROUND(D1905*J1905*(1-N(F1905)),2),0))</f>
        <v/>
      </c>
      <c r="M1905" s="62" t="str">
        <f>IF(A1905="","",IFERROR(INDEX(fa_cname,MATCH(A1905,fa_num,0))&amp;"",""))</f>
        <v/>
      </c>
      <c r="N1905" s="59" t="str">
        <f>IF(COUNTA(A1905:G1905)=0,"",IF(A1905="","N° facture manquant",IF(ISNA(MATCH(A1905,fa_num,0)),"Facture inconnue",IF(AND(B1905&lt;&gt;"",ISNA(MATCH(B1905,pr_code,0))),"Article inconnu",IF(H1905="","Désignation manquante",IF(OR(NOT(ISNUMBER(D1905)),N(D1905)&lt;=0),"Quantité invalide",IF(J1905="","Prix manquant",IF(OR(NOT(ISNUMBER(J1905)),N(J1905)&lt;0),"Prix invalide",IF(OR(AND(F1905&lt;&gt;"",NOT(ISNUMBER(F1905))),N(F1905)&lt;0,N(F1905)&gt;1),"Remise invalide",IF(K1905="","Taux de TVA manquant",IF(NOT(ISNUMBER(K1905)),"Taux de TVA invalide",IF(COUNTIF(p_rates,K1905)=0,"Taux de TVA hors liste (Paramètres)",IF(N(O1905)&gt;25,"Au-delà de 25 lignes : non imprimée","OK")))))))))))))</f>
        <v/>
      </c>
      <c r="O1905" s="59" t="str">
        <f>IF(A1905="","",COUNTIF($A$6:A1905,A1905))</f>
        <v/>
      </c>
      <c r="P1905" s="62" t="str">
        <f>IF(A1905="","",A1905&amp;"|"&amp;O1905)</f>
        <v/>
      </c>
    </row>
    <row r="1906">
      <c r="A1906" s="60" t="n"/>
      <c r="B1906" s="63" t="n"/>
      <c r="C1906" s="63" t="n"/>
      <c r="D1906" s="67" t="n"/>
      <c r="E1906" s="68" t="n"/>
      <c r="F1906" s="69" t="n"/>
      <c r="G1906" s="70" t="n"/>
      <c r="H1906" s="62" t="str">
        <f>IF(COUNTA(A1906:G1906)=0,"",IF(C1906&lt;&gt;"",C1906,IF(B1906="","",IFERROR(INDEX(pr_des,MATCH(B1906,pr_code,0))&amp;"",""))))</f>
        <v/>
      </c>
      <c r="I1906" s="59" t="str">
        <f>IF(B1906="","",IFERROR(INDEX(pr_unit,MATCH(B1906,pr_code,0))&amp;"",""))</f>
        <v/>
      </c>
      <c r="J1906" s="65" t="str">
        <f>IF(COUNTA(A1906:G1906)=0,"",IF(E1906&lt;&gt;"",E1906,IF(B1906="","",IFERROR(IF(INDEX(pr_price,MATCH(B1906,pr_code,0))="","",INDEX(pr_price,MATCH(B1906,pr_code,0))),""))))</f>
        <v/>
      </c>
      <c r="K1906" s="71" t="str">
        <f>IF(COUNTA(A1906:G1906)=0,"",IF(G1906&lt;&gt;"",G1906,IF(B1906="","",IFERROR(IF(INDEX(pr_rate,MATCH(B1906,pr_code,0))="","",INDEX(pr_rate,MATCH(B1906,pr_code,0))),""))))</f>
        <v/>
      </c>
      <c r="L1906" s="65" t="str">
        <f>IF(COUNTA(A1906:G1906)=0,"",IF(AND(ISNUMBER(D1906),ISNUMBER(J1906)),ROUND(D1906*J1906*(1-N(F1906)),2),0))</f>
        <v/>
      </c>
      <c r="M1906" s="62" t="str">
        <f>IF(A1906="","",IFERROR(INDEX(fa_cname,MATCH(A1906,fa_num,0))&amp;"",""))</f>
        <v/>
      </c>
      <c r="N1906" s="59" t="str">
        <f>IF(COUNTA(A1906:G1906)=0,"",IF(A1906="","N° facture manquant",IF(ISNA(MATCH(A1906,fa_num,0)),"Facture inconnue",IF(AND(B1906&lt;&gt;"",ISNA(MATCH(B1906,pr_code,0))),"Article inconnu",IF(H1906="","Désignation manquante",IF(OR(NOT(ISNUMBER(D1906)),N(D1906)&lt;=0),"Quantité invalide",IF(J1906="","Prix manquant",IF(OR(NOT(ISNUMBER(J1906)),N(J1906)&lt;0),"Prix invalide",IF(OR(AND(F1906&lt;&gt;"",NOT(ISNUMBER(F1906))),N(F1906)&lt;0,N(F1906)&gt;1),"Remise invalide",IF(K1906="","Taux de TVA manquant",IF(NOT(ISNUMBER(K1906)),"Taux de TVA invalide",IF(COUNTIF(p_rates,K1906)=0,"Taux de TVA hors liste (Paramètres)",IF(N(O1906)&gt;25,"Au-delà de 25 lignes : non imprimée","OK")))))))))))))</f>
        <v/>
      </c>
      <c r="O1906" s="59" t="str">
        <f>IF(A1906="","",COUNTIF($A$6:A1906,A1906))</f>
        <v/>
      </c>
      <c r="P1906" s="62" t="str">
        <f>IF(A1906="","",A1906&amp;"|"&amp;O1906)</f>
        <v/>
      </c>
    </row>
    <row r="1907">
      <c r="A1907" s="60" t="n"/>
      <c r="B1907" s="63" t="n"/>
      <c r="C1907" s="63" t="n"/>
      <c r="D1907" s="67" t="n"/>
      <c r="E1907" s="68" t="n"/>
      <c r="F1907" s="69" t="n"/>
      <c r="G1907" s="70" t="n"/>
      <c r="H1907" s="62" t="str">
        <f>IF(COUNTA(A1907:G1907)=0,"",IF(C1907&lt;&gt;"",C1907,IF(B1907="","",IFERROR(INDEX(pr_des,MATCH(B1907,pr_code,0))&amp;"",""))))</f>
        <v/>
      </c>
      <c r="I1907" s="59" t="str">
        <f>IF(B1907="","",IFERROR(INDEX(pr_unit,MATCH(B1907,pr_code,0))&amp;"",""))</f>
        <v/>
      </c>
      <c r="J1907" s="65" t="str">
        <f>IF(COUNTA(A1907:G1907)=0,"",IF(E1907&lt;&gt;"",E1907,IF(B1907="","",IFERROR(IF(INDEX(pr_price,MATCH(B1907,pr_code,0))="","",INDEX(pr_price,MATCH(B1907,pr_code,0))),""))))</f>
        <v/>
      </c>
      <c r="K1907" s="71" t="str">
        <f>IF(COUNTA(A1907:G1907)=0,"",IF(G1907&lt;&gt;"",G1907,IF(B1907="","",IFERROR(IF(INDEX(pr_rate,MATCH(B1907,pr_code,0))="","",INDEX(pr_rate,MATCH(B1907,pr_code,0))),""))))</f>
        <v/>
      </c>
      <c r="L1907" s="65" t="str">
        <f>IF(COUNTA(A1907:G1907)=0,"",IF(AND(ISNUMBER(D1907),ISNUMBER(J1907)),ROUND(D1907*J1907*(1-N(F1907)),2),0))</f>
        <v/>
      </c>
      <c r="M1907" s="62" t="str">
        <f>IF(A1907="","",IFERROR(INDEX(fa_cname,MATCH(A1907,fa_num,0))&amp;"",""))</f>
        <v/>
      </c>
      <c r="N1907" s="59" t="str">
        <f>IF(COUNTA(A1907:G1907)=0,"",IF(A1907="","N° facture manquant",IF(ISNA(MATCH(A1907,fa_num,0)),"Facture inconnue",IF(AND(B1907&lt;&gt;"",ISNA(MATCH(B1907,pr_code,0))),"Article inconnu",IF(H1907="","Désignation manquante",IF(OR(NOT(ISNUMBER(D1907)),N(D1907)&lt;=0),"Quantité invalide",IF(J1907="","Prix manquant",IF(OR(NOT(ISNUMBER(J1907)),N(J1907)&lt;0),"Prix invalide",IF(OR(AND(F1907&lt;&gt;"",NOT(ISNUMBER(F1907))),N(F1907)&lt;0,N(F1907)&gt;1),"Remise invalide",IF(K1907="","Taux de TVA manquant",IF(NOT(ISNUMBER(K1907)),"Taux de TVA invalide",IF(COUNTIF(p_rates,K1907)=0,"Taux de TVA hors liste (Paramètres)",IF(N(O1907)&gt;25,"Au-delà de 25 lignes : non imprimée","OK")))))))))))))</f>
        <v/>
      </c>
      <c r="O1907" s="59" t="str">
        <f>IF(A1907="","",COUNTIF($A$6:A1907,A1907))</f>
        <v/>
      </c>
      <c r="P1907" s="62" t="str">
        <f>IF(A1907="","",A1907&amp;"|"&amp;O1907)</f>
        <v/>
      </c>
    </row>
    <row r="1908">
      <c r="A1908" s="60" t="n"/>
      <c r="B1908" s="63" t="n"/>
      <c r="C1908" s="63" t="n"/>
      <c r="D1908" s="67" t="n"/>
      <c r="E1908" s="68" t="n"/>
      <c r="F1908" s="69" t="n"/>
      <c r="G1908" s="70" t="n"/>
      <c r="H1908" s="62" t="str">
        <f>IF(COUNTA(A1908:G1908)=0,"",IF(C1908&lt;&gt;"",C1908,IF(B1908="","",IFERROR(INDEX(pr_des,MATCH(B1908,pr_code,0))&amp;"",""))))</f>
        <v/>
      </c>
      <c r="I1908" s="59" t="str">
        <f>IF(B1908="","",IFERROR(INDEX(pr_unit,MATCH(B1908,pr_code,0))&amp;"",""))</f>
        <v/>
      </c>
      <c r="J1908" s="65" t="str">
        <f>IF(COUNTA(A1908:G1908)=0,"",IF(E1908&lt;&gt;"",E1908,IF(B1908="","",IFERROR(IF(INDEX(pr_price,MATCH(B1908,pr_code,0))="","",INDEX(pr_price,MATCH(B1908,pr_code,0))),""))))</f>
        <v/>
      </c>
      <c r="K1908" s="71" t="str">
        <f>IF(COUNTA(A1908:G1908)=0,"",IF(G1908&lt;&gt;"",G1908,IF(B1908="","",IFERROR(IF(INDEX(pr_rate,MATCH(B1908,pr_code,0))="","",INDEX(pr_rate,MATCH(B1908,pr_code,0))),""))))</f>
        <v/>
      </c>
      <c r="L1908" s="65" t="str">
        <f>IF(COUNTA(A1908:G1908)=0,"",IF(AND(ISNUMBER(D1908),ISNUMBER(J1908)),ROUND(D1908*J1908*(1-N(F1908)),2),0))</f>
        <v/>
      </c>
      <c r="M1908" s="62" t="str">
        <f>IF(A1908="","",IFERROR(INDEX(fa_cname,MATCH(A1908,fa_num,0))&amp;"",""))</f>
        <v/>
      </c>
      <c r="N1908" s="59" t="str">
        <f>IF(COUNTA(A1908:G1908)=0,"",IF(A1908="","N° facture manquant",IF(ISNA(MATCH(A1908,fa_num,0)),"Facture inconnue",IF(AND(B1908&lt;&gt;"",ISNA(MATCH(B1908,pr_code,0))),"Article inconnu",IF(H1908="","Désignation manquante",IF(OR(NOT(ISNUMBER(D1908)),N(D1908)&lt;=0),"Quantité invalide",IF(J1908="","Prix manquant",IF(OR(NOT(ISNUMBER(J1908)),N(J1908)&lt;0),"Prix invalide",IF(OR(AND(F1908&lt;&gt;"",NOT(ISNUMBER(F1908))),N(F1908)&lt;0,N(F1908)&gt;1),"Remise invalide",IF(K1908="","Taux de TVA manquant",IF(NOT(ISNUMBER(K1908)),"Taux de TVA invalide",IF(COUNTIF(p_rates,K1908)=0,"Taux de TVA hors liste (Paramètres)",IF(N(O1908)&gt;25,"Au-delà de 25 lignes : non imprimée","OK")))))))))))))</f>
        <v/>
      </c>
      <c r="O1908" s="59" t="str">
        <f>IF(A1908="","",COUNTIF($A$6:A1908,A1908))</f>
        <v/>
      </c>
      <c r="P1908" s="62" t="str">
        <f>IF(A1908="","",A1908&amp;"|"&amp;O1908)</f>
        <v/>
      </c>
    </row>
    <row r="1909">
      <c r="A1909" s="60" t="n"/>
      <c r="B1909" s="63" t="n"/>
      <c r="C1909" s="63" t="n"/>
      <c r="D1909" s="67" t="n"/>
      <c r="E1909" s="68" t="n"/>
      <c r="F1909" s="69" t="n"/>
      <c r="G1909" s="70" t="n"/>
      <c r="H1909" s="62" t="str">
        <f>IF(COUNTA(A1909:G1909)=0,"",IF(C1909&lt;&gt;"",C1909,IF(B1909="","",IFERROR(INDEX(pr_des,MATCH(B1909,pr_code,0))&amp;"",""))))</f>
        <v/>
      </c>
      <c r="I1909" s="59" t="str">
        <f>IF(B1909="","",IFERROR(INDEX(pr_unit,MATCH(B1909,pr_code,0))&amp;"",""))</f>
        <v/>
      </c>
      <c r="J1909" s="65" t="str">
        <f>IF(COUNTA(A1909:G1909)=0,"",IF(E1909&lt;&gt;"",E1909,IF(B1909="","",IFERROR(IF(INDEX(pr_price,MATCH(B1909,pr_code,0))="","",INDEX(pr_price,MATCH(B1909,pr_code,0))),""))))</f>
        <v/>
      </c>
      <c r="K1909" s="71" t="str">
        <f>IF(COUNTA(A1909:G1909)=0,"",IF(G1909&lt;&gt;"",G1909,IF(B1909="","",IFERROR(IF(INDEX(pr_rate,MATCH(B1909,pr_code,0))="","",INDEX(pr_rate,MATCH(B1909,pr_code,0))),""))))</f>
        <v/>
      </c>
      <c r="L1909" s="65" t="str">
        <f>IF(COUNTA(A1909:G1909)=0,"",IF(AND(ISNUMBER(D1909),ISNUMBER(J1909)),ROUND(D1909*J1909*(1-N(F1909)),2),0))</f>
        <v/>
      </c>
      <c r="M1909" s="62" t="str">
        <f>IF(A1909="","",IFERROR(INDEX(fa_cname,MATCH(A1909,fa_num,0))&amp;"",""))</f>
        <v/>
      </c>
      <c r="N1909" s="59" t="str">
        <f>IF(COUNTA(A1909:G1909)=0,"",IF(A1909="","N° facture manquant",IF(ISNA(MATCH(A1909,fa_num,0)),"Facture inconnue",IF(AND(B1909&lt;&gt;"",ISNA(MATCH(B1909,pr_code,0))),"Article inconnu",IF(H1909="","Désignation manquante",IF(OR(NOT(ISNUMBER(D1909)),N(D1909)&lt;=0),"Quantité invalide",IF(J1909="","Prix manquant",IF(OR(NOT(ISNUMBER(J1909)),N(J1909)&lt;0),"Prix invalide",IF(OR(AND(F1909&lt;&gt;"",NOT(ISNUMBER(F1909))),N(F1909)&lt;0,N(F1909)&gt;1),"Remise invalide",IF(K1909="","Taux de TVA manquant",IF(NOT(ISNUMBER(K1909)),"Taux de TVA invalide",IF(COUNTIF(p_rates,K1909)=0,"Taux de TVA hors liste (Paramètres)",IF(N(O1909)&gt;25,"Au-delà de 25 lignes : non imprimée","OK")))))))))))))</f>
        <v/>
      </c>
      <c r="O1909" s="59" t="str">
        <f>IF(A1909="","",COUNTIF($A$6:A1909,A1909))</f>
        <v/>
      </c>
      <c r="P1909" s="62" t="str">
        <f>IF(A1909="","",A1909&amp;"|"&amp;O1909)</f>
        <v/>
      </c>
    </row>
    <row r="1910">
      <c r="A1910" s="60" t="n"/>
      <c r="B1910" s="63" t="n"/>
      <c r="C1910" s="63" t="n"/>
      <c r="D1910" s="67" t="n"/>
      <c r="E1910" s="68" t="n"/>
      <c r="F1910" s="69" t="n"/>
      <c r="G1910" s="70" t="n"/>
      <c r="H1910" s="62" t="str">
        <f>IF(COUNTA(A1910:G1910)=0,"",IF(C1910&lt;&gt;"",C1910,IF(B1910="","",IFERROR(INDEX(pr_des,MATCH(B1910,pr_code,0))&amp;"",""))))</f>
        <v/>
      </c>
      <c r="I1910" s="59" t="str">
        <f>IF(B1910="","",IFERROR(INDEX(pr_unit,MATCH(B1910,pr_code,0))&amp;"",""))</f>
        <v/>
      </c>
      <c r="J1910" s="65" t="str">
        <f>IF(COUNTA(A1910:G1910)=0,"",IF(E1910&lt;&gt;"",E1910,IF(B1910="","",IFERROR(IF(INDEX(pr_price,MATCH(B1910,pr_code,0))="","",INDEX(pr_price,MATCH(B1910,pr_code,0))),""))))</f>
        <v/>
      </c>
      <c r="K1910" s="71" t="str">
        <f>IF(COUNTA(A1910:G1910)=0,"",IF(G1910&lt;&gt;"",G1910,IF(B1910="","",IFERROR(IF(INDEX(pr_rate,MATCH(B1910,pr_code,0))="","",INDEX(pr_rate,MATCH(B1910,pr_code,0))),""))))</f>
        <v/>
      </c>
      <c r="L1910" s="65" t="str">
        <f>IF(COUNTA(A1910:G1910)=0,"",IF(AND(ISNUMBER(D1910),ISNUMBER(J1910)),ROUND(D1910*J1910*(1-N(F1910)),2),0))</f>
        <v/>
      </c>
      <c r="M1910" s="62" t="str">
        <f>IF(A1910="","",IFERROR(INDEX(fa_cname,MATCH(A1910,fa_num,0))&amp;"",""))</f>
        <v/>
      </c>
      <c r="N1910" s="59" t="str">
        <f>IF(COUNTA(A1910:G1910)=0,"",IF(A1910="","N° facture manquant",IF(ISNA(MATCH(A1910,fa_num,0)),"Facture inconnue",IF(AND(B1910&lt;&gt;"",ISNA(MATCH(B1910,pr_code,0))),"Article inconnu",IF(H1910="","Désignation manquante",IF(OR(NOT(ISNUMBER(D1910)),N(D1910)&lt;=0),"Quantité invalide",IF(J1910="","Prix manquant",IF(OR(NOT(ISNUMBER(J1910)),N(J1910)&lt;0),"Prix invalide",IF(OR(AND(F1910&lt;&gt;"",NOT(ISNUMBER(F1910))),N(F1910)&lt;0,N(F1910)&gt;1),"Remise invalide",IF(K1910="","Taux de TVA manquant",IF(NOT(ISNUMBER(K1910)),"Taux de TVA invalide",IF(COUNTIF(p_rates,K1910)=0,"Taux de TVA hors liste (Paramètres)",IF(N(O1910)&gt;25,"Au-delà de 25 lignes : non imprimée","OK")))))))))))))</f>
        <v/>
      </c>
      <c r="O1910" s="59" t="str">
        <f>IF(A1910="","",COUNTIF($A$6:A1910,A1910))</f>
        <v/>
      </c>
      <c r="P1910" s="62" t="str">
        <f>IF(A1910="","",A1910&amp;"|"&amp;O1910)</f>
        <v/>
      </c>
    </row>
    <row r="1911">
      <c r="A1911" s="60" t="n"/>
      <c r="B1911" s="63" t="n"/>
      <c r="C1911" s="63" t="n"/>
      <c r="D1911" s="67" t="n"/>
      <c r="E1911" s="68" t="n"/>
      <c r="F1911" s="69" t="n"/>
      <c r="G1911" s="70" t="n"/>
      <c r="H1911" s="62" t="str">
        <f>IF(COUNTA(A1911:G1911)=0,"",IF(C1911&lt;&gt;"",C1911,IF(B1911="","",IFERROR(INDEX(pr_des,MATCH(B1911,pr_code,0))&amp;"",""))))</f>
        <v/>
      </c>
      <c r="I1911" s="59" t="str">
        <f>IF(B1911="","",IFERROR(INDEX(pr_unit,MATCH(B1911,pr_code,0))&amp;"",""))</f>
        <v/>
      </c>
      <c r="J1911" s="65" t="str">
        <f>IF(COUNTA(A1911:G1911)=0,"",IF(E1911&lt;&gt;"",E1911,IF(B1911="","",IFERROR(IF(INDEX(pr_price,MATCH(B1911,pr_code,0))="","",INDEX(pr_price,MATCH(B1911,pr_code,0))),""))))</f>
        <v/>
      </c>
      <c r="K1911" s="71" t="str">
        <f>IF(COUNTA(A1911:G1911)=0,"",IF(G1911&lt;&gt;"",G1911,IF(B1911="","",IFERROR(IF(INDEX(pr_rate,MATCH(B1911,pr_code,0))="","",INDEX(pr_rate,MATCH(B1911,pr_code,0))),""))))</f>
        <v/>
      </c>
      <c r="L1911" s="65" t="str">
        <f>IF(COUNTA(A1911:G1911)=0,"",IF(AND(ISNUMBER(D1911),ISNUMBER(J1911)),ROUND(D1911*J1911*(1-N(F1911)),2),0))</f>
        <v/>
      </c>
      <c r="M1911" s="62" t="str">
        <f>IF(A1911="","",IFERROR(INDEX(fa_cname,MATCH(A1911,fa_num,0))&amp;"",""))</f>
        <v/>
      </c>
      <c r="N1911" s="59" t="str">
        <f>IF(COUNTA(A1911:G1911)=0,"",IF(A1911="","N° facture manquant",IF(ISNA(MATCH(A1911,fa_num,0)),"Facture inconnue",IF(AND(B1911&lt;&gt;"",ISNA(MATCH(B1911,pr_code,0))),"Article inconnu",IF(H1911="","Désignation manquante",IF(OR(NOT(ISNUMBER(D1911)),N(D1911)&lt;=0),"Quantité invalide",IF(J1911="","Prix manquant",IF(OR(NOT(ISNUMBER(J1911)),N(J1911)&lt;0),"Prix invalide",IF(OR(AND(F1911&lt;&gt;"",NOT(ISNUMBER(F1911))),N(F1911)&lt;0,N(F1911)&gt;1),"Remise invalide",IF(K1911="","Taux de TVA manquant",IF(NOT(ISNUMBER(K1911)),"Taux de TVA invalide",IF(COUNTIF(p_rates,K1911)=0,"Taux de TVA hors liste (Paramètres)",IF(N(O1911)&gt;25,"Au-delà de 25 lignes : non imprimée","OK")))))))))))))</f>
        <v/>
      </c>
      <c r="O1911" s="59" t="str">
        <f>IF(A1911="","",COUNTIF($A$6:A1911,A1911))</f>
        <v/>
      </c>
      <c r="P1911" s="62" t="str">
        <f>IF(A1911="","",A1911&amp;"|"&amp;O1911)</f>
        <v/>
      </c>
    </row>
    <row r="1912">
      <c r="A1912" s="60" t="n"/>
      <c r="B1912" s="63" t="n"/>
      <c r="C1912" s="63" t="n"/>
      <c r="D1912" s="67" t="n"/>
      <c r="E1912" s="68" t="n"/>
      <c r="F1912" s="69" t="n"/>
      <c r="G1912" s="70" t="n"/>
      <c r="H1912" s="62" t="str">
        <f>IF(COUNTA(A1912:G1912)=0,"",IF(C1912&lt;&gt;"",C1912,IF(B1912="","",IFERROR(INDEX(pr_des,MATCH(B1912,pr_code,0))&amp;"",""))))</f>
        <v/>
      </c>
      <c r="I1912" s="59" t="str">
        <f>IF(B1912="","",IFERROR(INDEX(pr_unit,MATCH(B1912,pr_code,0))&amp;"",""))</f>
        <v/>
      </c>
      <c r="J1912" s="65" t="str">
        <f>IF(COUNTA(A1912:G1912)=0,"",IF(E1912&lt;&gt;"",E1912,IF(B1912="","",IFERROR(IF(INDEX(pr_price,MATCH(B1912,pr_code,0))="","",INDEX(pr_price,MATCH(B1912,pr_code,0))),""))))</f>
        <v/>
      </c>
      <c r="K1912" s="71" t="str">
        <f>IF(COUNTA(A1912:G1912)=0,"",IF(G1912&lt;&gt;"",G1912,IF(B1912="","",IFERROR(IF(INDEX(pr_rate,MATCH(B1912,pr_code,0))="","",INDEX(pr_rate,MATCH(B1912,pr_code,0))),""))))</f>
        <v/>
      </c>
      <c r="L1912" s="65" t="str">
        <f>IF(COUNTA(A1912:G1912)=0,"",IF(AND(ISNUMBER(D1912),ISNUMBER(J1912)),ROUND(D1912*J1912*(1-N(F1912)),2),0))</f>
        <v/>
      </c>
      <c r="M1912" s="62" t="str">
        <f>IF(A1912="","",IFERROR(INDEX(fa_cname,MATCH(A1912,fa_num,0))&amp;"",""))</f>
        <v/>
      </c>
      <c r="N1912" s="59" t="str">
        <f>IF(COUNTA(A1912:G1912)=0,"",IF(A1912="","N° facture manquant",IF(ISNA(MATCH(A1912,fa_num,0)),"Facture inconnue",IF(AND(B1912&lt;&gt;"",ISNA(MATCH(B1912,pr_code,0))),"Article inconnu",IF(H1912="","Désignation manquante",IF(OR(NOT(ISNUMBER(D1912)),N(D1912)&lt;=0),"Quantité invalide",IF(J1912="","Prix manquant",IF(OR(NOT(ISNUMBER(J1912)),N(J1912)&lt;0),"Prix invalide",IF(OR(AND(F1912&lt;&gt;"",NOT(ISNUMBER(F1912))),N(F1912)&lt;0,N(F1912)&gt;1),"Remise invalide",IF(K1912="","Taux de TVA manquant",IF(NOT(ISNUMBER(K1912)),"Taux de TVA invalide",IF(COUNTIF(p_rates,K1912)=0,"Taux de TVA hors liste (Paramètres)",IF(N(O1912)&gt;25,"Au-delà de 25 lignes : non imprimée","OK")))))))))))))</f>
        <v/>
      </c>
      <c r="O1912" s="59" t="str">
        <f>IF(A1912="","",COUNTIF($A$6:A1912,A1912))</f>
        <v/>
      </c>
      <c r="P1912" s="62" t="str">
        <f>IF(A1912="","",A1912&amp;"|"&amp;O1912)</f>
        <v/>
      </c>
    </row>
    <row r="1913">
      <c r="A1913" s="60" t="n"/>
      <c r="B1913" s="63" t="n"/>
      <c r="C1913" s="63" t="n"/>
      <c r="D1913" s="67" t="n"/>
      <c r="E1913" s="68" t="n"/>
      <c r="F1913" s="69" t="n"/>
      <c r="G1913" s="70" t="n"/>
      <c r="H1913" s="62" t="str">
        <f>IF(COUNTA(A1913:G1913)=0,"",IF(C1913&lt;&gt;"",C1913,IF(B1913="","",IFERROR(INDEX(pr_des,MATCH(B1913,pr_code,0))&amp;"",""))))</f>
        <v/>
      </c>
      <c r="I1913" s="59" t="str">
        <f>IF(B1913="","",IFERROR(INDEX(pr_unit,MATCH(B1913,pr_code,0))&amp;"",""))</f>
        <v/>
      </c>
      <c r="J1913" s="65" t="str">
        <f>IF(COUNTA(A1913:G1913)=0,"",IF(E1913&lt;&gt;"",E1913,IF(B1913="","",IFERROR(IF(INDEX(pr_price,MATCH(B1913,pr_code,0))="","",INDEX(pr_price,MATCH(B1913,pr_code,0))),""))))</f>
        <v/>
      </c>
      <c r="K1913" s="71" t="str">
        <f>IF(COUNTA(A1913:G1913)=0,"",IF(G1913&lt;&gt;"",G1913,IF(B1913="","",IFERROR(IF(INDEX(pr_rate,MATCH(B1913,pr_code,0))="","",INDEX(pr_rate,MATCH(B1913,pr_code,0))),""))))</f>
        <v/>
      </c>
      <c r="L1913" s="65" t="str">
        <f>IF(COUNTA(A1913:G1913)=0,"",IF(AND(ISNUMBER(D1913),ISNUMBER(J1913)),ROUND(D1913*J1913*(1-N(F1913)),2),0))</f>
        <v/>
      </c>
      <c r="M1913" s="62" t="str">
        <f>IF(A1913="","",IFERROR(INDEX(fa_cname,MATCH(A1913,fa_num,0))&amp;"",""))</f>
        <v/>
      </c>
      <c r="N1913" s="59" t="str">
        <f>IF(COUNTA(A1913:G1913)=0,"",IF(A1913="","N° facture manquant",IF(ISNA(MATCH(A1913,fa_num,0)),"Facture inconnue",IF(AND(B1913&lt;&gt;"",ISNA(MATCH(B1913,pr_code,0))),"Article inconnu",IF(H1913="","Désignation manquante",IF(OR(NOT(ISNUMBER(D1913)),N(D1913)&lt;=0),"Quantité invalide",IF(J1913="","Prix manquant",IF(OR(NOT(ISNUMBER(J1913)),N(J1913)&lt;0),"Prix invalide",IF(OR(AND(F1913&lt;&gt;"",NOT(ISNUMBER(F1913))),N(F1913)&lt;0,N(F1913)&gt;1),"Remise invalide",IF(K1913="","Taux de TVA manquant",IF(NOT(ISNUMBER(K1913)),"Taux de TVA invalide",IF(COUNTIF(p_rates,K1913)=0,"Taux de TVA hors liste (Paramètres)",IF(N(O1913)&gt;25,"Au-delà de 25 lignes : non imprimée","OK")))))))))))))</f>
        <v/>
      </c>
      <c r="O1913" s="59" t="str">
        <f>IF(A1913="","",COUNTIF($A$6:A1913,A1913))</f>
        <v/>
      </c>
      <c r="P1913" s="62" t="str">
        <f>IF(A1913="","",A1913&amp;"|"&amp;O1913)</f>
        <v/>
      </c>
    </row>
    <row r="1914">
      <c r="A1914" s="60" t="n"/>
      <c r="B1914" s="63" t="n"/>
      <c r="C1914" s="63" t="n"/>
      <c r="D1914" s="67" t="n"/>
      <c r="E1914" s="68" t="n"/>
      <c r="F1914" s="69" t="n"/>
      <c r="G1914" s="70" t="n"/>
      <c r="H1914" s="62" t="str">
        <f>IF(COUNTA(A1914:G1914)=0,"",IF(C1914&lt;&gt;"",C1914,IF(B1914="","",IFERROR(INDEX(pr_des,MATCH(B1914,pr_code,0))&amp;"",""))))</f>
        <v/>
      </c>
      <c r="I1914" s="59" t="str">
        <f>IF(B1914="","",IFERROR(INDEX(pr_unit,MATCH(B1914,pr_code,0))&amp;"",""))</f>
        <v/>
      </c>
      <c r="J1914" s="65" t="str">
        <f>IF(COUNTA(A1914:G1914)=0,"",IF(E1914&lt;&gt;"",E1914,IF(B1914="","",IFERROR(IF(INDEX(pr_price,MATCH(B1914,pr_code,0))="","",INDEX(pr_price,MATCH(B1914,pr_code,0))),""))))</f>
        <v/>
      </c>
      <c r="K1914" s="71" t="str">
        <f>IF(COUNTA(A1914:G1914)=0,"",IF(G1914&lt;&gt;"",G1914,IF(B1914="","",IFERROR(IF(INDEX(pr_rate,MATCH(B1914,pr_code,0))="","",INDEX(pr_rate,MATCH(B1914,pr_code,0))),""))))</f>
        <v/>
      </c>
      <c r="L1914" s="65" t="str">
        <f>IF(COUNTA(A1914:G1914)=0,"",IF(AND(ISNUMBER(D1914),ISNUMBER(J1914)),ROUND(D1914*J1914*(1-N(F1914)),2),0))</f>
        <v/>
      </c>
      <c r="M1914" s="62" t="str">
        <f>IF(A1914="","",IFERROR(INDEX(fa_cname,MATCH(A1914,fa_num,0))&amp;"",""))</f>
        <v/>
      </c>
      <c r="N1914" s="59" t="str">
        <f>IF(COUNTA(A1914:G1914)=0,"",IF(A1914="","N° facture manquant",IF(ISNA(MATCH(A1914,fa_num,0)),"Facture inconnue",IF(AND(B1914&lt;&gt;"",ISNA(MATCH(B1914,pr_code,0))),"Article inconnu",IF(H1914="","Désignation manquante",IF(OR(NOT(ISNUMBER(D1914)),N(D1914)&lt;=0),"Quantité invalide",IF(J1914="","Prix manquant",IF(OR(NOT(ISNUMBER(J1914)),N(J1914)&lt;0),"Prix invalide",IF(OR(AND(F1914&lt;&gt;"",NOT(ISNUMBER(F1914))),N(F1914)&lt;0,N(F1914)&gt;1),"Remise invalide",IF(K1914="","Taux de TVA manquant",IF(NOT(ISNUMBER(K1914)),"Taux de TVA invalide",IF(COUNTIF(p_rates,K1914)=0,"Taux de TVA hors liste (Paramètres)",IF(N(O1914)&gt;25,"Au-delà de 25 lignes : non imprimée","OK")))))))))))))</f>
        <v/>
      </c>
      <c r="O1914" s="59" t="str">
        <f>IF(A1914="","",COUNTIF($A$6:A1914,A1914))</f>
        <v/>
      </c>
      <c r="P1914" s="62" t="str">
        <f>IF(A1914="","",A1914&amp;"|"&amp;O1914)</f>
        <v/>
      </c>
    </row>
    <row r="1915">
      <c r="A1915" s="60" t="n"/>
      <c r="B1915" s="63" t="n"/>
      <c r="C1915" s="63" t="n"/>
      <c r="D1915" s="67" t="n"/>
      <c r="E1915" s="68" t="n"/>
      <c r="F1915" s="69" t="n"/>
      <c r="G1915" s="70" t="n"/>
      <c r="H1915" s="62" t="str">
        <f>IF(COUNTA(A1915:G1915)=0,"",IF(C1915&lt;&gt;"",C1915,IF(B1915="","",IFERROR(INDEX(pr_des,MATCH(B1915,pr_code,0))&amp;"",""))))</f>
        <v/>
      </c>
      <c r="I1915" s="59" t="str">
        <f>IF(B1915="","",IFERROR(INDEX(pr_unit,MATCH(B1915,pr_code,0))&amp;"",""))</f>
        <v/>
      </c>
      <c r="J1915" s="65" t="str">
        <f>IF(COUNTA(A1915:G1915)=0,"",IF(E1915&lt;&gt;"",E1915,IF(B1915="","",IFERROR(IF(INDEX(pr_price,MATCH(B1915,pr_code,0))="","",INDEX(pr_price,MATCH(B1915,pr_code,0))),""))))</f>
        <v/>
      </c>
      <c r="K1915" s="71" t="str">
        <f>IF(COUNTA(A1915:G1915)=0,"",IF(G1915&lt;&gt;"",G1915,IF(B1915="","",IFERROR(IF(INDEX(pr_rate,MATCH(B1915,pr_code,0))="","",INDEX(pr_rate,MATCH(B1915,pr_code,0))),""))))</f>
        <v/>
      </c>
      <c r="L1915" s="65" t="str">
        <f>IF(COUNTA(A1915:G1915)=0,"",IF(AND(ISNUMBER(D1915),ISNUMBER(J1915)),ROUND(D1915*J1915*(1-N(F1915)),2),0))</f>
        <v/>
      </c>
      <c r="M1915" s="62" t="str">
        <f>IF(A1915="","",IFERROR(INDEX(fa_cname,MATCH(A1915,fa_num,0))&amp;"",""))</f>
        <v/>
      </c>
      <c r="N1915" s="59" t="str">
        <f>IF(COUNTA(A1915:G1915)=0,"",IF(A1915="","N° facture manquant",IF(ISNA(MATCH(A1915,fa_num,0)),"Facture inconnue",IF(AND(B1915&lt;&gt;"",ISNA(MATCH(B1915,pr_code,0))),"Article inconnu",IF(H1915="","Désignation manquante",IF(OR(NOT(ISNUMBER(D1915)),N(D1915)&lt;=0),"Quantité invalide",IF(J1915="","Prix manquant",IF(OR(NOT(ISNUMBER(J1915)),N(J1915)&lt;0),"Prix invalide",IF(OR(AND(F1915&lt;&gt;"",NOT(ISNUMBER(F1915))),N(F1915)&lt;0,N(F1915)&gt;1),"Remise invalide",IF(K1915="","Taux de TVA manquant",IF(NOT(ISNUMBER(K1915)),"Taux de TVA invalide",IF(COUNTIF(p_rates,K1915)=0,"Taux de TVA hors liste (Paramètres)",IF(N(O1915)&gt;25,"Au-delà de 25 lignes : non imprimée","OK")))))))))))))</f>
        <v/>
      </c>
      <c r="O1915" s="59" t="str">
        <f>IF(A1915="","",COUNTIF($A$6:A1915,A1915))</f>
        <v/>
      </c>
      <c r="P1915" s="62" t="str">
        <f>IF(A1915="","",A1915&amp;"|"&amp;O1915)</f>
        <v/>
      </c>
    </row>
    <row r="1916">
      <c r="A1916" s="60" t="n"/>
      <c r="B1916" s="63" t="n"/>
      <c r="C1916" s="63" t="n"/>
      <c r="D1916" s="67" t="n"/>
      <c r="E1916" s="68" t="n"/>
      <c r="F1916" s="69" t="n"/>
      <c r="G1916" s="70" t="n"/>
      <c r="H1916" s="62" t="str">
        <f>IF(COUNTA(A1916:G1916)=0,"",IF(C1916&lt;&gt;"",C1916,IF(B1916="","",IFERROR(INDEX(pr_des,MATCH(B1916,pr_code,0))&amp;"",""))))</f>
        <v/>
      </c>
      <c r="I1916" s="59" t="str">
        <f>IF(B1916="","",IFERROR(INDEX(pr_unit,MATCH(B1916,pr_code,0))&amp;"",""))</f>
        <v/>
      </c>
      <c r="J1916" s="65" t="str">
        <f>IF(COUNTA(A1916:G1916)=0,"",IF(E1916&lt;&gt;"",E1916,IF(B1916="","",IFERROR(IF(INDEX(pr_price,MATCH(B1916,pr_code,0))="","",INDEX(pr_price,MATCH(B1916,pr_code,0))),""))))</f>
        <v/>
      </c>
      <c r="K1916" s="71" t="str">
        <f>IF(COUNTA(A1916:G1916)=0,"",IF(G1916&lt;&gt;"",G1916,IF(B1916="","",IFERROR(IF(INDEX(pr_rate,MATCH(B1916,pr_code,0))="","",INDEX(pr_rate,MATCH(B1916,pr_code,0))),""))))</f>
        <v/>
      </c>
      <c r="L1916" s="65" t="str">
        <f>IF(COUNTA(A1916:G1916)=0,"",IF(AND(ISNUMBER(D1916),ISNUMBER(J1916)),ROUND(D1916*J1916*(1-N(F1916)),2),0))</f>
        <v/>
      </c>
      <c r="M1916" s="62" t="str">
        <f>IF(A1916="","",IFERROR(INDEX(fa_cname,MATCH(A1916,fa_num,0))&amp;"",""))</f>
        <v/>
      </c>
      <c r="N1916" s="59" t="str">
        <f>IF(COUNTA(A1916:G1916)=0,"",IF(A1916="","N° facture manquant",IF(ISNA(MATCH(A1916,fa_num,0)),"Facture inconnue",IF(AND(B1916&lt;&gt;"",ISNA(MATCH(B1916,pr_code,0))),"Article inconnu",IF(H1916="","Désignation manquante",IF(OR(NOT(ISNUMBER(D1916)),N(D1916)&lt;=0),"Quantité invalide",IF(J1916="","Prix manquant",IF(OR(NOT(ISNUMBER(J1916)),N(J1916)&lt;0),"Prix invalide",IF(OR(AND(F1916&lt;&gt;"",NOT(ISNUMBER(F1916))),N(F1916)&lt;0,N(F1916)&gt;1),"Remise invalide",IF(K1916="","Taux de TVA manquant",IF(NOT(ISNUMBER(K1916)),"Taux de TVA invalide",IF(COUNTIF(p_rates,K1916)=0,"Taux de TVA hors liste (Paramètres)",IF(N(O1916)&gt;25,"Au-delà de 25 lignes : non imprimée","OK")))))))))))))</f>
        <v/>
      </c>
      <c r="O1916" s="59" t="str">
        <f>IF(A1916="","",COUNTIF($A$6:A1916,A1916))</f>
        <v/>
      </c>
      <c r="P1916" s="62" t="str">
        <f>IF(A1916="","",A1916&amp;"|"&amp;O1916)</f>
        <v/>
      </c>
    </row>
    <row r="1917">
      <c r="A1917" s="60" t="n"/>
      <c r="B1917" s="63" t="n"/>
      <c r="C1917" s="63" t="n"/>
      <c r="D1917" s="67" t="n"/>
      <c r="E1917" s="68" t="n"/>
      <c r="F1917" s="69" t="n"/>
      <c r="G1917" s="70" t="n"/>
      <c r="H1917" s="62" t="str">
        <f>IF(COUNTA(A1917:G1917)=0,"",IF(C1917&lt;&gt;"",C1917,IF(B1917="","",IFERROR(INDEX(pr_des,MATCH(B1917,pr_code,0))&amp;"",""))))</f>
        <v/>
      </c>
      <c r="I1917" s="59" t="str">
        <f>IF(B1917="","",IFERROR(INDEX(pr_unit,MATCH(B1917,pr_code,0))&amp;"",""))</f>
        <v/>
      </c>
      <c r="J1917" s="65" t="str">
        <f>IF(COUNTA(A1917:G1917)=0,"",IF(E1917&lt;&gt;"",E1917,IF(B1917="","",IFERROR(IF(INDEX(pr_price,MATCH(B1917,pr_code,0))="","",INDEX(pr_price,MATCH(B1917,pr_code,0))),""))))</f>
        <v/>
      </c>
      <c r="K1917" s="71" t="str">
        <f>IF(COUNTA(A1917:G1917)=0,"",IF(G1917&lt;&gt;"",G1917,IF(B1917="","",IFERROR(IF(INDEX(pr_rate,MATCH(B1917,pr_code,0))="","",INDEX(pr_rate,MATCH(B1917,pr_code,0))),""))))</f>
        <v/>
      </c>
      <c r="L1917" s="65" t="str">
        <f>IF(COUNTA(A1917:G1917)=0,"",IF(AND(ISNUMBER(D1917),ISNUMBER(J1917)),ROUND(D1917*J1917*(1-N(F1917)),2),0))</f>
        <v/>
      </c>
      <c r="M1917" s="62" t="str">
        <f>IF(A1917="","",IFERROR(INDEX(fa_cname,MATCH(A1917,fa_num,0))&amp;"",""))</f>
        <v/>
      </c>
      <c r="N1917" s="59" t="str">
        <f>IF(COUNTA(A1917:G1917)=0,"",IF(A1917="","N° facture manquant",IF(ISNA(MATCH(A1917,fa_num,0)),"Facture inconnue",IF(AND(B1917&lt;&gt;"",ISNA(MATCH(B1917,pr_code,0))),"Article inconnu",IF(H1917="","Désignation manquante",IF(OR(NOT(ISNUMBER(D1917)),N(D1917)&lt;=0),"Quantité invalide",IF(J1917="","Prix manquant",IF(OR(NOT(ISNUMBER(J1917)),N(J1917)&lt;0),"Prix invalide",IF(OR(AND(F1917&lt;&gt;"",NOT(ISNUMBER(F1917))),N(F1917)&lt;0,N(F1917)&gt;1),"Remise invalide",IF(K1917="","Taux de TVA manquant",IF(NOT(ISNUMBER(K1917)),"Taux de TVA invalide",IF(COUNTIF(p_rates,K1917)=0,"Taux de TVA hors liste (Paramètres)",IF(N(O1917)&gt;25,"Au-delà de 25 lignes : non imprimée","OK")))))))))))))</f>
        <v/>
      </c>
      <c r="O1917" s="59" t="str">
        <f>IF(A1917="","",COUNTIF($A$6:A1917,A1917))</f>
        <v/>
      </c>
      <c r="P1917" s="62" t="str">
        <f>IF(A1917="","",A1917&amp;"|"&amp;O1917)</f>
        <v/>
      </c>
    </row>
    <row r="1918">
      <c r="A1918" s="60" t="n"/>
      <c r="B1918" s="63" t="n"/>
      <c r="C1918" s="63" t="n"/>
      <c r="D1918" s="67" t="n"/>
      <c r="E1918" s="68" t="n"/>
      <c r="F1918" s="69" t="n"/>
      <c r="G1918" s="70" t="n"/>
      <c r="H1918" s="62" t="str">
        <f>IF(COUNTA(A1918:G1918)=0,"",IF(C1918&lt;&gt;"",C1918,IF(B1918="","",IFERROR(INDEX(pr_des,MATCH(B1918,pr_code,0))&amp;"",""))))</f>
        <v/>
      </c>
      <c r="I1918" s="59" t="str">
        <f>IF(B1918="","",IFERROR(INDEX(pr_unit,MATCH(B1918,pr_code,0))&amp;"",""))</f>
        <v/>
      </c>
      <c r="J1918" s="65" t="str">
        <f>IF(COUNTA(A1918:G1918)=0,"",IF(E1918&lt;&gt;"",E1918,IF(B1918="","",IFERROR(IF(INDEX(pr_price,MATCH(B1918,pr_code,0))="","",INDEX(pr_price,MATCH(B1918,pr_code,0))),""))))</f>
        <v/>
      </c>
      <c r="K1918" s="71" t="str">
        <f>IF(COUNTA(A1918:G1918)=0,"",IF(G1918&lt;&gt;"",G1918,IF(B1918="","",IFERROR(IF(INDEX(pr_rate,MATCH(B1918,pr_code,0))="","",INDEX(pr_rate,MATCH(B1918,pr_code,0))),""))))</f>
        <v/>
      </c>
      <c r="L1918" s="65" t="str">
        <f>IF(COUNTA(A1918:G1918)=0,"",IF(AND(ISNUMBER(D1918),ISNUMBER(J1918)),ROUND(D1918*J1918*(1-N(F1918)),2),0))</f>
        <v/>
      </c>
      <c r="M1918" s="62" t="str">
        <f>IF(A1918="","",IFERROR(INDEX(fa_cname,MATCH(A1918,fa_num,0))&amp;"",""))</f>
        <v/>
      </c>
      <c r="N1918" s="59" t="str">
        <f>IF(COUNTA(A1918:G1918)=0,"",IF(A1918="","N° facture manquant",IF(ISNA(MATCH(A1918,fa_num,0)),"Facture inconnue",IF(AND(B1918&lt;&gt;"",ISNA(MATCH(B1918,pr_code,0))),"Article inconnu",IF(H1918="","Désignation manquante",IF(OR(NOT(ISNUMBER(D1918)),N(D1918)&lt;=0),"Quantité invalide",IF(J1918="","Prix manquant",IF(OR(NOT(ISNUMBER(J1918)),N(J1918)&lt;0),"Prix invalide",IF(OR(AND(F1918&lt;&gt;"",NOT(ISNUMBER(F1918))),N(F1918)&lt;0,N(F1918)&gt;1),"Remise invalide",IF(K1918="","Taux de TVA manquant",IF(NOT(ISNUMBER(K1918)),"Taux de TVA invalide",IF(COUNTIF(p_rates,K1918)=0,"Taux de TVA hors liste (Paramètres)",IF(N(O1918)&gt;25,"Au-delà de 25 lignes : non imprimée","OK")))))))))))))</f>
        <v/>
      </c>
      <c r="O1918" s="59" t="str">
        <f>IF(A1918="","",COUNTIF($A$6:A1918,A1918))</f>
        <v/>
      </c>
      <c r="P1918" s="62" t="str">
        <f>IF(A1918="","",A1918&amp;"|"&amp;O1918)</f>
        <v/>
      </c>
    </row>
    <row r="1919">
      <c r="A1919" s="60" t="n"/>
      <c r="B1919" s="63" t="n"/>
      <c r="C1919" s="63" t="n"/>
      <c r="D1919" s="67" t="n"/>
      <c r="E1919" s="68" t="n"/>
      <c r="F1919" s="69" t="n"/>
      <c r="G1919" s="70" t="n"/>
      <c r="H1919" s="62" t="str">
        <f>IF(COUNTA(A1919:G1919)=0,"",IF(C1919&lt;&gt;"",C1919,IF(B1919="","",IFERROR(INDEX(pr_des,MATCH(B1919,pr_code,0))&amp;"",""))))</f>
        <v/>
      </c>
      <c r="I1919" s="59" t="str">
        <f>IF(B1919="","",IFERROR(INDEX(pr_unit,MATCH(B1919,pr_code,0))&amp;"",""))</f>
        <v/>
      </c>
      <c r="J1919" s="65" t="str">
        <f>IF(COUNTA(A1919:G1919)=0,"",IF(E1919&lt;&gt;"",E1919,IF(B1919="","",IFERROR(IF(INDEX(pr_price,MATCH(B1919,pr_code,0))="","",INDEX(pr_price,MATCH(B1919,pr_code,0))),""))))</f>
        <v/>
      </c>
      <c r="K1919" s="71" t="str">
        <f>IF(COUNTA(A1919:G1919)=0,"",IF(G1919&lt;&gt;"",G1919,IF(B1919="","",IFERROR(IF(INDEX(pr_rate,MATCH(B1919,pr_code,0))="","",INDEX(pr_rate,MATCH(B1919,pr_code,0))),""))))</f>
        <v/>
      </c>
      <c r="L1919" s="65" t="str">
        <f>IF(COUNTA(A1919:G1919)=0,"",IF(AND(ISNUMBER(D1919),ISNUMBER(J1919)),ROUND(D1919*J1919*(1-N(F1919)),2),0))</f>
        <v/>
      </c>
      <c r="M1919" s="62" t="str">
        <f>IF(A1919="","",IFERROR(INDEX(fa_cname,MATCH(A1919,fa_num,0))&amp;"",""))</f>
        <v/>
      </c>
      <c r="N1919" s="59" t="str">
        <f>IF(COUNTA(A1919:G1919)=0,"",IF(A1919="","N° facture manquant",IF(ISNA(MATCH(A1919,fa_num,0)),"Facture inconnue",IF(AND(B1919&lt;&gt;"",ISNA(MATCH(B1919,pr_code,0))),"Article inconnu",IF(H1919="","Désignation manquante",IF(OR(NOT(ISNUMBER(D1919)),N(D1919)&lt;=0),"Quantité invalide",IF(J1919="","Prix manquant",IF(OR(NOT(ISNUMBER(J1919)),N(J1919)&lt;0),"Prix invalide",IF(OR(AND(F1919&lt;&gt;"",NOT(ISNUMBER(F1919))),N(F1919)&lt;0,N(F1919)&gt;1),"Remise invalide",IF(K1919="","Taux de TVA manquant",IF(NOT(ISNUMBER(K1919)),"Taux de TVA invalide",IF(COUNTIF(p_rates,K1919)=0,"Taux de TVA hors liste (Paramètres)",IF(N(O1919)&gt;25,"Au-delà de 25 lignes : non imprimée","OK")))))))))))))</f>
        <v/>
      </c>
      <c r="O1919" s="59" t="str">
        <f>IF(A1919="","",COUNTIF($A$6:A1919,A1919))</f>
        <v/>
      </c>
      <c r="P1919" s="62" t="str">
        <f>IF(A1919="","",A1919&amp;"|"&amp;O1919)</f>
        <v/>
      </c>
    </row>
    <row r="1920">
      <c r="A1920" s="60" t="n"/>
      <c r="B1920" s="63" t="n"/>
      <c r="C1920" s="63" t="n"/>
      <c r="D1920" s="67" t="n"/>
      <c r="E1920" s="68" t="n"/>
      <c r="F1920" s="69" t="n"/>
      <c r="G1920" s="70" t="n"/>
      <c r="H1920" s="62" t="str">
        <f>IF(COUNTA(A1920:G1920)=0,"",IF(C1920&lt;&gt;"",C1920,IF(B1920="","",IFERROR(INDEX(pr_des,MATCH(B1920,pr_code,0))&amp;"",""))))</f>
        <v/>
      </c>
      <c r="I1920" s="59" t="str">
        <f>IF(B1920="","",IFERROR(INDEX(pr_unit,MATCH(B1920,pr_code,0))&amp;"",""))</f>
        <v/>
      </c>
      <c r="J1920" s="65" t="str">
        <f>IF(COUNTA(A1920:G1920)=0,"",IF(E1920&lt;&gt;"",E1920,IF(B1920="","",IFERROR(IF(INDEX(pr_price,MATCH(B1920,pr_code,0))="","",INDEX(pr_price,MATCH(B1920,pr_code,0))),""))))</f>
        <v/>
      </c>
      <c r="K1920" s="71" t="str">
        <f>IF(COUNTA(A1920:G1920)=0,"",IF(G1920&lt;&gt;"",G1920,IF(B1920="","",IFERROR(IF(INDEX(pr_rate,MATCH(B1920,pr_code,0))="","",INDEX(pr_rate,MATCH(B1920,pr_code,0))),""))))</f>
        <v/>
      </c>
      <c r="L1920" s="65" t="str">
        <f>IF(COUNTA(A1920:G1920)=0,"",IF(AND(ISNUMBER(D1920),ISNUMBER(J1920)),ROUND(D1920*J1920*(1-N(F1920)),2),0))</f>
        <v/>
      </c>
      <c r="M1920" s="62" t="str">
        <f>IF(A1920="","",IFERROR(INDEX(fa_cname,MATCH(A1920,fa_num,0))&amp;"",""))</f>
        <v/>
      </c>
      <c r="N1920" s="59" t="str">
        <f>IF(COUNTA(A1920:G1920)=0,"",IF(A1920="","N° facture manquant",IF(ISNA(MATCH(A1920,fa_num,0)),"Facture inconnue",IF(AND(B1920&lt;&gt;"",ISNA(MATCH(B1920,pr_code,0))),"Article inconnu",IF(H1920="","Désignation manquante",IF(OR(NOT(ISNUMBER(D1920)),N(D1920)&lt;=0),"Quantité invalide",IF(J1920="","Prix manquant",IF(OR(NOT(ISNUMBER(J1920)),N(J1920)&lt;0),"Prix invalide",IF(OR(AND(F1920&lt;&gt;"",NOT(ISNUMBER(F1920))),N(F1920)&lt;0,N(F1920)&gt;1),"Remise invalide",IF(K1920="","Taux de TVA manquant",IF(NOT(ISNUMBER(K1920)),"Taux de TVA invalide",IF(COUNTIF(p_rates,K1920)=0,"Taux de TVA hors liste (Paramètres)",IF(N(O1920)&gt;25,"Au-delà de 25 lignes : non imprimée","OK")))))))))))))</f>
        <v/>
      </c>
      <c r="O1920" s="59" t="str">
        <f>IF(A1920="","",COUNTIF($A$6:A1920,A1920))</f>
        <v/>
      </c>
      <c r="P1920" s="62" t="str">
        <f>IF(A1920="","",A1920&amp;"|"&amp;O1920)</f>
        <v/>
      </c>
    </row>
    <row r="1921">
      <c r="A1921" s="60" t="n"/>
      <c r="B1921" s="63" t="n"/>
      <c r="C1921" s="63" t="n"/>
      <c r="D1921" s="67" t="n"/>
      <c r="E1921" s="68" t="n"/>
      <c r="F1921" s="69" t="n"/>
      <c r="G1921" s="70" t="n"/>
      <c r="H1921" s="62" t="str">
        <f>IF(COUNTA(A1921:G1921)=0,"",IF(C1921&lt;&gt;"",C1921,IF(B1921="","",IFERROR(INDEX(pr_des,MATCH(B1921,pr_code,0))&amp;"",""))))</f>
        <v/>
      </c>
      <c r="I1921" s="59" t="str">
        <f>IF(B1921="","",IFERROR(INDEX(pr_unit,MATCH(B1921,pr_code,0))&amp;"",""))</f>
        <v/>
      </c>
      <c r="J1921" s="65" t="str">
        <f>IF(COUNTA(A1921:G1921)=0,"",IF(E1921&lt;&gt;"",E1921,IF(B1921="","",IFERROR(IF(INDEX(pr_price,MATCH(B1921,pr_code,0))="","",INDEX(pr_price,MATCH(B1921,pr_code,0))),""))))</f>
        <v/>
      </c>
      <c r="K1921" s="71" t="str">
        <f>IF(COUNTA(A1921:G1921)=0,"",IF(G1921&lt;&gt;"",G1921,IF(B1921="","",IFERROR(IF(INDEX(pr_rate,MATCH(B1921,pr_code,0))="","",INDEX(pr_rate,MATCH(B1921,pr_code,0))),""))))</f>
        <v/>
      </c>
      <c r="L1921" s="65" t="str">
        <f>IF(COUNTA(A1921:G1921)=0,"",IF(AND(ISNUMBER(D1921),ISNUMBER(J1921)),ROUND(D1921*J1921*(1-N(F1921)),2),0))</f>
        <v/>
      </c>
      <c r="M1921" s="62" t="str">
        <f>IF(A1921="","",IFERROR(INDEX(fa_cname,MATCH(A1921,fa_num,0))&amp;"",""))</f>
        <v/>
      </c>
      <c r="N1921" s="59" t="str">
        <f>IF(COUNTA(A1921:G1921)=0,"",IF(A1921="","N° facture manquant",IF(ISNA(MATCH(A1921,fa_num,0)),"Facture inconnue",IF(AND(B1921&lt;&gt;"",ISNA(MATCH(B1921,pr_code,0))),"Article inconnu",IF(H1921="","Désignation manquante",IF(OR(NOT(ISNUMBER(D1921)),N(D1921)&lt;=0),"Quantité invalide",IF(J1921="","Prix manquant",IF(OR(NOT(ISNUMBER(J1921)),N(J1921)&lt;0),"Prix invalide",IF(OR(AND(F1921&lt;&gt;"",NOT(ISNUMBER(F1921))),N(F1921)&lt;0,N(F1921)&gt;1),"Remise invalide",IF(K1921="","Taux de TVA manquant",IF(NOT(ISNUMBER(K1921)),"Taux de TVA invalide",IF(COUNTIF(p_rates,K1921)=0,"Taux de TVA hors liste (Paramètres)",IF(N(O1921)&gt;25,"Au-delà de 25 lignes : non imprimée","OK")))))))))))))</f>
        <v/>
      </c>
      <c r="O1921" s="59" t="str">
        <f>IF(A1921="","",COUNTIF($A$6:A1921,A1921))</f>
        <v/>
      </c>
      <c r="P1921" s="62" t="str">
        <f>IF(A1921="","",A1921&amp;"|"&amp;O1921)</f>
        <v/>
      </c>
    </row>
    <row r="1922">
      <c r="A1922" s="60" t="n"/>
      <c r="B1922" s="63" t="n"/>
      <c r="C1922" s="63" t="n"/>
      <c r="D1922" s="67" t="n"/>
      <c r="E1922" s="68" t="n"/>
      <c r="F1922" s="69" t="n"/>
      <c r="G1922" s="70" t="n"/>
      <c r="H1922" s="62" t="str">
        <f>IF(COUNTA(A1922:G1922)=0,"",IF(C1922&lt;&gt;"",C1922,IF(B1922="","",IFERROR(INDEX(pr_des,MATCH(B1922,pr_code,0))&amp;"",""))))</f>
        <v/>
      </c>
      <c r="I1922" s="59" t="str">
        <f>IF(B1922="","",IFERROR(INDEX(pr_unit,MATCH(B1922,pr_code,0))&amp;"",""))</f>
        <v/>
      </c>
      <c r="J1922" s="65" t="str">
        <f>IF(COUNTA(A1922:G1922)=0,"",IF(E1922&lt;&gt;"",E1922,IF(B1922="","",IFERROR(IF(INDEX(pr_price,MATCH(B1922,pr_code,0))="","",INDEX(pr_price,MATCH(B1922,pr_code,0))),""))))</f>
        <v/>
      </c>
      <c r="K1922" s="71" t="str">
        <f>IF(COUNTA(A1922:G1922)=0,"",IF(G1922&lt;&gt;"",G1922,IF(B1922="","",IFERROR(IF(INDEX(pr_rate,MATCH(B1922,pr_code,0))="","",INDEX(pr_rate,MATCH(B1922,pr_code,0))),""))))</f>
        <v/>
      </c>
      <c r="L1922" s="65" t="str">
        <f>IF(COUNTA(A1922:G1922)=0,"",IF(AND(ISNUMBER(D1922),ISNUMBER(J1922)),ROUND(D1922*J1922*(1-N(F1922)),2),0))</f>
        <v/>
      </c>
      <c r="M1922" s="62" t="str">
        <f>IF(A1922="","",IFERROR(INDEX(fa_cname,MATCH(A1922,fa_num,0))&amp;"",""))</f>
        <v/>
      </c>
      <c r="N1922" s="59" t="str">
        <f>IF(COUNTA(A1922:G1922)=0,"",IF(A1922="","N° facture manquant",IF(ISNA(MATCH(A1922,fa_num,0)),"Facture inconnue",IF(AND(B1922&lt;&gt;"",ISNA(MATCH(B1922,pr_code,0))),"Article inconnu",IF(H1922="","Désignation manquante",IF(OR(NOT(ISNUMBER(D1922)),N(D1922)&lt;=0),"Quantité invalide",IF(J1922="","Prix manquant",IF(OR(NOT(ISNUMBER(J1922)),N(J1922)&lt;0),"Prix invalide",IF(OR(AND(F1922&lt;&gt;"",NOT(ISNUMBER(F1922))),N(F1922)&lt;0,N(F1922)&gt;1),"Remise invalide",IF(K1922="","Taux de TVA manquant",IF(NOT(ISNUMBER(K1922)),"Taux de TVA invalide",IF(COUNTIF(p_rates,K1922)=0,"Taux de TVA hors liste (Paramètres)",IF(N(O1922)&gt;25,"Au-delà de 25 lignes : non imprimée","OK")))))))))))))</f>
        <v/>
      </c>
      <c r="O1922" s="59" t="str">
        <f>IF(A1922="","",COUNTIF($A$6:A1922,A1922))</f>
        <v/>
      </c>
      <c r="P1922" s="62" t="str">
        <f>IF(A1922="","",A1922&amp;"|"&amp;O1922)</f>
        <v/>
      </c>
    </row>
    <row r="1923">
      <c r="A1923" s="60" t="n"/>
      <c r="B1923" s="63" t="n"/>
      <c r="C1923" s="63" t="n"/>
      <c r="D1923" s="67" t="n"/>
      <c r="E1923" s="68" t="n"/>
      <c r="F1923" s="69" t="n"/>
      <c r="G1923" s="70" t="n"/>
      <c r="H1923" s="62" t="str">
        <f>IF(COUNTA(A1923:G1923)=0,"",IF(C1923&lt;&gt;"",C1923,IF(B1923="","",IFERROR(INDEX(pr_des,MATCH(B1923,pr_code,0))&amp;"",""))))</f>
        <v/>
      </c>
      <c r="I1923" s="59" t="str">
        <f>IF(B1923="","",IFERROR(INDEX(pr_unit,MATCH(B1923,pr_code,0))&amp;"",""))</f>
        <v/>
      </c>
      <c r="J1923" s="65" t="str">
        <f>IF(COUNTA(A1923:G1923)=0,"",IF(E1923&lt;&gt;"",E1923,IF(B1923="","",IFERROR(IF(INDEX(pr_price,MATCH(B1923,pr_code,0))="","",INDEX(pr_price,MATCH(B1923,pr_code,0))),""))))</f>
        <v/>
      </c>
      <c r="K1923" s="71" t="str">
        <f>IF(COUNTA(A1923:G1923)=0,"",IF(G1923&lt;&gt;"",G1923,IF(B1923="","",IFERROR(IF(INDEX(pr_rate,MATCH(B1923,pr_code,0))="","",INDEX(pr_rate,MATCH(B1923,pr_code,0))),""))))</f>
        <v/>
      </c>
      <c r="L1923" s="65" t="str">
        <f>IF(COUNTA(A1923:G1923)=0,"",IF(AND(ISNUMBER(D1923),ISNUMBER(J1923)),ROUND(D1923*J1923*(1-N(F1923)),2),0))</f>
        <v/>
      </c>
      <c r="M1923" s="62" t="str">
        <f>IF(A1923="","",IFERROR(INDEX(fa_cname,MATCH(A1923,fa_num,0))&amp;"",""))</f>
        <v/>
      </c>
      <c r="N1923" s="59" t="str">
        <f>IF(COUNTA(A1923:G1923)=0,"",IF(A1923="","N° facture manquant",IF(ISNA(MATCH(A1923,fa_num,0)),"Facture inconnue",IF(AND(B1923&lt;&gt;"",ISNA(MATCH(B1923,pr_code,0))),"Article inconnu",IF(H1923="","Désignation manquante",IF(OR(NOT(ISNUMBER(D1923)),N(D1923)&lt;=0),"Quantité invalide",IF(J1923="","Prix manquant",IF(OR(NOT(ISNUMBER(J1923)),N(J1923)&lt;0),"Prix invalide",IF(OR(AND(F1923&lt;&gt;"",NOT(ISNUMBER(F1923))),N(F1923)&lt;0,N(F1923)&gt;1),"Remise invalide",IF(K1923="","Taux de TVA manquant",IF(NOT(ISNUMBER(K1923)),"Taux de TVA invalide",IF(COUNTIF(p_rates,K1923)=0,"Taux de TVA hors liste (Paramètres)",IF(N(O1923)&gt;25,"Au-delà de 25 lignes : non imprimée","OK")))))))))))))</f>
        <v/>
      </c>
      <c r="O1923" s="59" t="str">
        <f>IF(A1923="","",COUNTIF($A$6:A1923,A1923))</f>
        <v/>
      </c>
      <c r="P1923" s="62" t="str">
        <f>IF(A1923="","",A1923&amp;"|"&amp;O1923)</f>
        <v/>
      </c>
    </row>
    <row r="1924">
      <c r="A1924" s="60" t="n"/>
      <c r="B1924" s="63" t="n"/>
      <c r="C1924" s="63" t="n"/>
      <c r="D1924" s="67" t="n"/>
      <c r="E1924" s="68" t="n"/>
      <c r="F1924" s="69" t="n"/>
      <c r="G1924" s="70" t="n"/>
      <c r="H1924" s="62" t="str">
        <f>IF(COUNTA(A1924:G1924)=0,"",IF(C1924&lt;&gt;"",C1924,IF(B1924="","",IFERROR(INDEX(pr_des,MATCH(B1924,pr_code,0))&amp;"",""))))</f>
        <v/>
      </c>
      <c r="I1924" s="59" t="str">
        <f>IF(B1924="","",IFERROR(INDEX(pr_unit,MATCH(B1924,pr_code,0))&amp;"",""))</f>
        <v/>
      </c>
      <c r="J1924" s="65" t="str">
        <f>IF(COUNTA(A1924:G1924)=0,"",IF(E1924&lt;&gt;"",E1924,IF(B1924="","",IFERROR(IF(INDEX(pr_price,MATCH(B1924,pr_code,0))="","",INDEX(pr_price,MATCH(B1924,pr_code,0))),""))))</f>
        <v/>
      </c>
      <c r="K1924" s="71" t="str">
        <f>IF(COUNTA(A1924:G1924)=0,"",IF(G1924&lt;&gt;"",G1924,IF(B1924="","",IFERROR(IF(INDEX(pr_rate,MATCH(B1924,pr_code,0))="","",INDEX(pr_rate,MATCH(B1924,pr_code,0))),""))))</f>
        <v/>
      </c>
      <c r="L1924" s="65" t="str">
        <f>IF(COUNTA(A1924:G1924)=0,"",IF(AND(ISNUMBER(D1924),ISNUMBER(J1924)),ROUND(D1924*J1924*(1-N(F1924)),2),0))</f>
        <v/>
      </c>
      <c r="M1924" s="62" t="str">
        <f>IF(A1924="","",IFERROR(INDEX(fa_cname,MATCH(A1924,fa_num,0))&amp;"",""))</f>
        <v/>
      </c>
      <c r="N1924" s="59" t="str">
        <f>IF(COUNTA(A1924:G1924)=0,"",IF(A1924="","N° facture manquant",IF(ISNA(MATCH(A1924,fa_num,0)),"Facture inconnue",IF(AND(B1924&lt;&gt;"",ISNA(MATCH(B1924,pr_code,0))),"Article inconnu",IF(H1924="","Désignation manquante",IF(OR(NOT(ISNUMBER(D1924)),N(D1924)&lt;=0),"Quantité invalide",IF(J1924="","Prix manquant",IF(OR(NOT(ISNUMBER(J1924)),N(J1924)&lt;0),"Prix invalide",IF(OR(AND(F1924&lt;&gt;"",NOT(ISNUMBER(F1924))),N(F1924)&lt;0,N(F1924)&gt;1),"Remise invalide",IF(K1924="","Taux de TVA manquant",IF(NOT(ISNUMBER(K1924)),"Taux de TVA invalide",IF(COUNTIF(p_rates,K1924)=0,"Taux de TVA hors liste (Paramètres)",IF(N(O1924)&gt;25,"Au-delà de 25 lignes : non imprimée","OK")))))))))))))</f>
        <v/>
      </c>
      <c r="O1924" s="59" t="str">
        <f>IF(A1924="","",COUNTIF($A$6:A1924,A1924))</f>
        <v/>
      </c>
      <c r="P1924" s="62" t="str">
        <f>IF(A1924="","",A1924&amp;"|"&amp;O1924)</f>
        <v/>
      </c>
    </row>
    <row r="1925">
      <c r="A1925" s="60" t="n"/>
      <c r="B1925" s="63" t="n"/>
      <c r="C1925" s="63" t="n"/>
      <c r="D1925" s="67" t="n"/>
      <c r="E1925" s="68" t="n"/>
      <c r="F1925" s="69" t="n"/>
      <c r="G1925" s="70" t="n"/>
      <c r="H1925" s="62" t="str">
        <f>IF(COUNTA(A1925:G1925)=0,"",IF(C1925&lt;&gt;"",C1925,IF(B1925="","",IFERROR(INDEX(pr_des,MATCH(B1925,pr_code,0))&amp;"",""))))</f>
        <v/>
      </c>
      <c r="I1925" s="59" t="str">
        <f>IF(B1925="","",IFERROR(INDEX(pr_unit,MATCH(B1925,pr_code,0))&amp;"",""))</f>
        <v/>
      </c>
      <c r="J1925" s="65" t="str">
        <f>IF(COUNTA(A1925:G1925)=0,"",IF(E1925&lt;&gt;"",E1925,IF(B1925="","",IFERROR(IF(INDEX(pr_price,MATCH(B1925,pr_code,0))="","",INDEX(pr_price,MATCH(B1925,pr_code,0))),""))))</f>
        <v/>
      </c>
      <c r="K1925" s="71" t="str">
        <f>IF(COUNTA(A1925:G1925)=0,"",IF(G1925&lt;&gt;"",G1925,IF(B1925="","",IFERROR(IF(INDEX(pr_rate,MATCH(B1925,pr_code,0))="","",INDEX(pr_rate,MATCH(B1925,pr_code,0))),""))))</f>
        <v/>
      </c>
      <c r="L1925" s="65" t="str">
        <f>IF(COUNTA(A1925:G1925)=0,"",IF(AND(ISNUMBER(D1925),ISNUMBER(J1925)),ROUND(D1925*J1925*(1-N(F1925)),2),0))</f>
        <v/>
      </c>
      <c r="M1925" s="62" t="str">
        <f>IF(A1925="","",IFERROR(INDEX(fa_cname,MATCH(A1925,fa_num,0))&amp;"",""))</f>
        <v/>
      </c>
      <c r="N1925" s="59" t="str">
        <f>IF(COUNTA(A1925:G1925)=0,"",IF(A1925="","N° facture manquant",IF(ISNA(MATCH(A1925,fa_num,0)),"Facture inconnue",IF(AND(B1925&lt;&gt;"",ISNA(MATCH(B1925,pr_code,0))),"Article inconnu",IF(H1925="","Désignation manquante",IF(OR(NOT(ISNUMBER(D1925)),N(D1925)&lt;=0),"Quantité invalide",IF(J1925="","Prix manquant",IF(OR(NOT(ISNUMBER(J1925)),N(J1925)&lt;0),"Prix invalide",IF(OR(AND(F1925&lt;&gt;"",NOT(ISNUMBER(F1925))),N(F1925)&lt;0,N(F1925)&gt;1),"Remise invalide",IF(K1925="","Taux de TVA manquant",IF(NOT(ISNUMBER(K1925)),"Taux de TVA invalide",IF(COUNTIF(p_rates,K1925)=0,"Taux de TVA hors liste (Paramètres)",IF(N(O1925)&gt;25,"Au-delà de 25 lignes : non imprimée","OK")))))))))))))</f>
        <v/>
      </c>
      <c r="O1925" s="59" t="str">
        <f>IF(A1925="","",COUNTIF($A$6:A1925,A1925))</f>
        <v/>
      </c>
      <c r="P1925" s="62" t="str">
        <f>IF(A1925="","",A1925&amp;"|"&amp;O1925)</f>
        <v/>
      </c>
    </row>
    <row r="1926">
      <c r="A1926" s="60" t="n"/>
      <c r="B1926" s="63" t="n"/>
      <c r="C1926" s="63" t="n"/>
      <c r="D1926" s="67" t="n"/>
      <c r="E1926" s="68" t="n"/>
      <c r="F1926" s="69" t="n"/>
      <c r="G1926" s="70" t="n"/>
      <c r="H1926" s="62" t="str">
        <f>IF(COUNTA(A1926:G1926)=0,"",IF(C1926&lt;&gt;"",C1926,IF(B1926="","",IFERROR(INDEX(pr_des,MATCH(B1926,pr_code,0))&amp;"",""))))</f>
        <v/>
      </c>
      <c r="I1926" s="59" t="str">
        <f>IF(B1926="","",IFERROR(INDEX(pr_unit,MATCH(B1926,pr_code,0))&amp;"",""))</f>
        <v/>
      </c>
      <c r="J1926" s="65" t="str">
        <f>IF(COUNTA(A1926:G1926)=0,"",IF(E1926&lt;&gt;"",E1926,IF(B1926="","",IFERROR(IF(INDEX(pr_price,MATCH(B1926,pr_code,0))="","",INDEX(pr_price,MATCH(B1926,pr_code,0))),""))))</f>
        <v/>
      </c>
      <c r="K1926" s="71" t="str">
        <f>IF(COUNTA(A1926:G1926)=0,"",IF(G1926&lt;&gt;"",G1926,IF(B1926="","",IFERROR(IF(INDEX(pr_rate,MATCH(B1926,pr_code,0))="","",INDEX(pr_rate,MATCH(B1926,pr_code,0))),""))))</f>
        <v/>
      </c>
      <c r="L1926" s="65" t="str">
        <f>IF(COUNTA(A1926:G1926)=0,"",IF(AND(ISNUMBER(D1926),ISNUMBER(J1926)),ROUND(D1926*J1926*(1-N(F1926)),2),0))</f>
        <v/>
      </c>
      <c r="M1926" s="62" t="str">
        <f>IF(A1926="","",IFERROR(INDEX(fa_cname,MATCH(A1926,fa_num,0))&amp;"",""))</f>
        <v/>
      </c>
      <c r="N1926" s="59" t="str">
        <f>IF(COUNTA(A1926:G1926)=0,"",IF(A1926="","N° facture manquant",IF(ISNA(MATCH(A1926,fa_num,0)),"Facture inconnue",IF(AND(B1926&lt;&gt;"",ISNA(MATCH(B1926,pr_code,0))),"Article inconnu",IF(H1926="","Désignation manquante",IF(OR(NOT(ISNUMBER(D1926)),N(D1926)&lt;=0),"Quantité invalide",IF(J1926="","Prix manquant",IF(OR(NOT(ISNUMBER(J1926)),N(J1926)&lt;0),"Prix invalide",IF(OR(AND(F1926&lt;&gt;"",NOT(ISNUMBER(F1926))),N(F1926)&lt;0,N(F1926)&gt;1),"Remise invalide",IF(K1926="","Taux de TVA manquant",IF(NOT(ISNUMBER(K1926)),"Taux de TVA invalide",IF(COUNTIF(p_rates,K1926)=0,"Taux de TVA hors liste (Paramètres)",IF(N(O1926)&gt;25,"Au-delà de 25 lignes : non imprimée","OK")))))))))))))</f>
        <v/>
      </c>
      <c r="O1926" s="59" t="str">
        <f>IF(A1926="","",COUNTIF($A$6:A1926,A1926))</f>
        <v/>
      </c>
      <c r="P1926" s="62" t="str">
        <f>IF(A1926="","",A1926&amp;"|"&amp;O1926)</f>
        <v/>
      </c>
    </row>
    <row r="1927">
      <c r="A1927" s="60" t="n"/>
      <c r="B1927" s="63" t="n"/>
      <c r="C1927" s="63" t="n"/>
      <c r="D1927" s="67" t="n"/>
      <c r="E1927" s="68" t="n"/>
      <c r="F1927" s="69" t="n"/>
      <c r="G1927" s="70" t="n"/>
      <c r="H1927" s="62" t="str">
        <f>IF(COUNTA(A1927:G1927)=0,"",IF(C1927&lt;&gt;"",C1927,IF(B1927="","",IFERROR(INDEX(pr_des,MATCH(B1927,pr_code,0))&amp;"",""))))</f>
        <v/>
      </c>
      <c r="I1927" s="59" t="str">
        <f>IF(B1927="","",IFERROR(INDEX(pr_unit,MATCH(B1927,pr_code,0))&amp;"",""))</f>
        <v/>
      </c>
      <c r="J1927" s="65" t="str">
        <f>IF(COUNTA(A1927:G1927)=0,"",IF(E1927&lt;&gt;"",E1927,IF(B1927="","",IFERROR(IF(INDEX(pr_price,MATCH(B1927,pr_code,0))="","",INDEX(pr_price,MATCH(B1927,pr_code,0))),""))))</f>
        <v/>
      </c>
      <c r="K1927" s="71" t="str">
        <f>IF(COUNTA(A1927:G1927)=0,"",IF(G1927&lt;&gt;"",G1927,IF(B1927="","",IFERROR(IF(INDEX(pr_rate,MATCH(B1927,pr_code,0))="","",INDEX(pr_rate,MATCH(B1927,pr_code,0))),""))))</f>
        <v/>
      </c>
      <c r="L1927" s="65" t="str">
        <f>IF(COUNTA(A1927:G1927)=0,"",IF(AND(ISNUMBER(D1927),ISNUMBER(J1927)),ROUND(D1927*J1927*(1-N(F1927)),2),0))</f>
        <v/>
      </c>
      <c r="M1927" s="62" t="str">
        <f>IF(A1927="","",IFERROR(INDEX(fa_cname,MATCH(A1927,fa_num,0))&amp;"",""))</f>
        <v/>
      </c>
      <c r="N1927" s="59" t="str">
        <f>IF(COUNTA(A1927:G1927)=0,"",IF(A1927="","N° facture manquant",IF(ISNA(MATCH(A1927,fa_num,0)),"Facture inconnue",IF(AND(B1927&lt;&gt;"",ISNA(MATCH(B1927,pr_code,0))),"Article inconnu",IF(H1927="","Désignation manquante",IF(OR(NOT(ISNUMBER(D1927)),N(D1927)&lt;=0),"Quantité invalide",IF(J1927="","Prix manquant",IF(OR(NOT(ISNUMBER(J1927)),N(J1927)&lt;0),"Prix invalide",IF(OR(AND(F1927&lt;&gt;"",NOT(ISNUMBER(F1927))),N(F1927)&lt;0,N(F1927)&gt;1),"Remise invalide",IF(K1927="","Taux de TVA manquant",IF(NOT(ISNUMBER(K1927)),"Taux de TVA invalide",IF(COUNTIF(p_rates,K1927)=0,"Taux de TVA hors liste (Paramètres)",IF(N(O1927)&gt;25,"Au-delà de 25 lignes : non imprimée","OK")))))))))))))</f>
        <v/>
      </c>
      <c r="O1927" s="59" t="str">
        <f>IF(A1927="","",COUNTIF($A$6:A1927,A1927))</f>
        <v/>
      </c>
      <c r="P1927" s="62" t="str">
        <f>IF(A1927="","",A1927&amp;"|"&amp;O1927)</f>
        <v/>
      </c>
    </row>
    <row r="1928">
      <c r="A1928" s="60" t="n"/>
      <c r="B1928" s="63" t="n"/>
      <c r="C1928" s="63" t="n"/>
      <c r="D1928" s="67" t="n"/>
      <c r="E1928" s="68" t="n"/>
      <c r="F1928" s="69" t="n"/>
      <c r="G1928" s="70" t="n"/>
      <c r="H1928" s="62" t="str">
        <f>IF(COUNTA(A1928:G1928)=0,"",IF(C1928&lt;&gt;"",C1928,IF(B1928="","",IFERROR(INDEX(pr_des,MATCH(B1928,pr_code,0))&amp;"",""))))</f>
        <v/>
      </c>
      <c r="I1928" s="59" t="str">
        <f>IF(B1928="","",IFERROR(INDEX(pr_unit,MATCH(B1928,pr_code,0))&amp;"",""))</f>
        <v/>
      </c>
      <c r="J1928" s="65" t="str">
        <f>IF(COUNTA(A1928:G1928)=0,"",IF(E1928&lt;&gt;"",E1928,IF(B1928="","",IFERROR(IF(INDEX(pr_price,MATCH(B1928,pr_code,0))="","",INDEX(pr_price,MATCH(B1928,pr_code,0))),""))))</f>
        <v/>
      </c>
      <c r="K1928" s="71" t="str">
        <f>IF(COUNTA(A1928:G1928)=0,"",IF(G1928&lt;&gt;"",G1928,IF(B1928="","",IFERROR(IF(INDEX(pr_rate,MATCH(B1928,pr_code,0))="","",INDEX(pr_rate,MATCH(B1928,pr_code,0))),""))))</f>
        <v/>
      </c>
      <c r="L1928" s="65" t="str">
        <f>IF(COUNTA(A1928:G1928)=0,"",IF(AND(ISNUMBER(D1928),ISNUMBER(J1928)),ROUND(D1928*J1928*(1-N(F1928)),2),0))</f>
        <v/>
      </c>
      <c r="M1928" s="62" t="str">
        <f>IF(A1928="","",IFERROR(INDEX(fa_cname,MATCH(A1928,fa_num,0))&amp;"",""))</f>
        <v/>
      </c>
      <c r="N1928" s="59" t="str">
        <f>IF(COUNTA(A1928:G1928)=0,"",IF(A1928="","N° facture manquant",IF(ISNA(MATCH(A1928,fa_num,0)),"Facture inconnue",IF(AND(B1928&lt;&gt;"",ISNA(MATCH(B1928,pr_code,0))),"Article inconnu",IF(H1928="","Désignation manquante",IF(OR(NOT(ISNUMBER(D1928)),N(D1928)&lt;=0),"Quantité invalide",IF(J1928="","Prix manquant",IF(OR(NOT(ISNUMBER(J1928)),N(J1928)&lt;0),"Prix invalide",IF(OR(AND(F1928&lt;&gt;"",NOT(ISNUMBER(F1928))),N(F1928)&lt;0,N(F1928)&gt;1),"Remise invalide",IF(K1928="","Taux de TVA manquant",IF(NOT(ISNUMBER(K1928)),"Taux de TVA invalide",IF(COUNTIF(p_rates,K1928)=0,"Taux de TVA hors liste (Paramètres)",IF(N(O1928)&gt;25,"Au-delà de 25 lignes : non imprimée","OK")))))))))))))</f>
        <v/>
      </c>
      <c r="O1928" s="59" t="str">
        <f>IF(A1928="","",COUNTIF($A$6:A1928,A1928))</f>
        <v/>
      </c>
      <c r="P1928" s="62" t="str">
        <f>IF(A1928="","",A1928&amp;"|"&amp;O1928)</f>
        <v/>
      </c>
    </row>
    <row r="1929">
      <c r="A1929" s="60" t="n"/>
      <c r="B1929" s="63" t="n"/>
      <c r="C1929" s="63" t="n"/>
      <c r="D1929" s="67" t="n"/>
      <c r="E1929" s="68" t="n"/>
      <c r="F1929" s="69" t="n"/>
      <c r="G1929" s="70" t="n"/>
      <c r="H1929" s="62" t="str">
        <f>IF(COUNTA(A1929:G1929)=0,"",IF(C1929&lt;&gt;"",C1929,IF(B1929="","",IFERROR(INDEX(pr_des,MATCH(B1929,pr_code,0))&amp;"",""))))</f>
        <v/>
      </c>
      <c r="I1929" s="59" t="str">
        <f>IF(B1929="","",IFERROR(INDEX(pr_unit,MATCH(B1929,pr_code,0))&amp;"",""))</f>
        <v/>
      </c>
      <c r="J1929" s="65" t="str">
        <f>IF(COUNTA(A1929:G1929)=0,"",IF(E1929&lt;&gt;"",E1929,IF(B1929="","",IFERROR(IF(INDEX(pr_price,MATCH(B1929,pr_code,0))="","",INDEX(pr_price,MATCH(B1929,pr_code,0))),""))))</f>
        <v/>
      </c>
      <c r="K1929" s="71" t="str">
        <f>IF(COUNTA(A1929:G1929)=0,"",IF(G1929&lt;&gt;"",G1929,IF(B1929="","",IFERROR(IF(INDEX(pr_rate,MATCH(B1929,pr_code,0))="","",INDEX(pr_rate,MATCH(B1929,pr_code,0))),""))))</f>
        <v/>
      </c>
      <c r="L1929" s="65" t="str">
        <f>IF(COUNTA(A1929:G1929)=0,"",IF(AND(ISNUMBER(D1929),ISNUMBER(J1929)),ROUND(D1929*J1929*(1-N(F1929)),2),0))</f>
        <v/>
      </c>
      <c r="M1929" s="62" t="str">
        <f>IF(A1929="","",IFERROR(INDEX(fa_cname,MATCH(A1929,fa_num,0))&amp;"",""))</f>
        <v/>
      </c>
      <c r="N1929" s="59" t="str">
        <f>IF(COUNTA(A1929:G1929)=0,"",IF(A1929="","N° facture manquant",IF(ISNA(MATCH(A1929,fa_num,0)),"Facture inconnue",IF(AND(B1929&lt;&gt;"",ISNA(MATCH(B1929,pr_code,0))),"Article inconnu",IF(H1929="","Désignation manquante",IF(OR(NOT(ISNUMBER(D1929)),N(D1929)&lt;=0),"Quantité invalide",IF(J1929="","Prix manquant",IF(OR(NOT(ISNUMBER(J1929)),N(J1929)&lt;0),"Prix invalide",IF(OR(AND(F1929&lt;&gt;"",NOT(ISNUMBER(F1929))),N(F1929)&lt;0,N(F1929)&gt;1),"Remise invalide",IF(K1929="","Taux de TVA manquant",IF(NOT(ISNUMBER(K1929)),"Taux de TVA invalide",IF(COUNTIF(p_rates,K1929)=0,"Taux de TVA hors liste (Paramètres)",IF(N(O1929)&gt;25,"Au-delà de 25 lignes : non imprimée","OK")))))))))))))</f>
        <v/>
      </c>
      <c r="O1929" s="59" t="str">
        <f>IF(A1929="","",COUNTIF($A$6:A1929,A1929))</f>
        <v/>
      </c>
      <c r="P1929" s="62" t="str">
        <f>IF(A1929="","",A1929&amp;"|"&amp;O1929)</f>
        <v/>
      </c>
    </row>
    <row r="1930">
      <c r="A1930" s="60" t="n"/>
      <c r="B1930" s="63" t="n"/>
      <c r="C1930" s="63" t="n"/>
      <c r="D1930" s="67" t="n"/>
      <c r="E1930" s="68" t="n"/>
      <c r="F1930" s="69" t="n"/>
      <c r="G1930" s="70" t="n"/>
      <c r="H1930" s="62" t="str">
        <f>IF(COUNTA(A1930:G1930)=0,"",IF(C1930&lt;&gt;"",C1930,IF(B1930="","",IFERROR(INDEX(pr_des,MATCH(B1930,pr_code,0))&amp;"",""))))</f>
        <v/>
      </c>
      <c r="I1930" s="59" t="str">
        <f>IF(B1930="","",IFERROR(INDEX(pr_unit,MATCH(B1930,pr_code,0))&amp;"",""))</f>
        <v/>
      </c>
      <c r="J1930" s="65" t="str">
        <f>IF(COUNTA(A1930:G1930)=0,"",IF(E1930&lt;&gt;"",E1930,IF(B1930="","",IFERROR(IF(INDEX(pr_price,MATCH(B1930,pr_code,0))="","",INDEX(pr_price,MATCH(B1930,pr_code,0))),""))))</f>
        <v/>
      </c>
      <c r="K1930" s="71" t="str">
        <f>IF(COUNTA(A1930:G1930)=0,"",IF(G1930&lt;&gt;"",G1930,IF(B1930="","",IFERROR(IF(INDEX(pr_rate,MATCH(B1930,pr_code,0))="","",INDEX(pr_rate,MATCH(B1930,pr_code,0))),""))))</f>
        <v/>
      </c>
      <c r="L1930" s="65" t="str">
        <f>IF(COUNTA(A1930:G1930)=0,"",IF(AND(ISNUMBER(D1930),ISNUMBER(J1930)),ROUND(D1930*J1930*(1-N(F1930)),2),0))</f>
        <v/>
      </c>
      <c r="M1930" s="62" t="str">
        <f>IF(A1930="","",IFERROR(INDEX(fa_cname,MATCH(A1930,fa_num,0))&amp;"",""))</f>
        <v/>
      </c>
      <c r="N1930" s="59" t="str">
        <f>IF(COUNTA(A1930:G1930)=0,"",IF(A1930="","N° facture manquant",IF(ISNA(MATCH(A1930,fa_num,0)),"Facture inconnue",IF(AND(B1930&lt;&gt;"",ISNA(MATCH(B1930,pr_code,0))),"Article inconnu",IF(H1930="","Désignation manquante",IF(OR(NOT(ISNUMBER(D1930)),N(D1930)&lt;=0),"Quantité invalide",IF(J1930="","Prix manquant",IF(OR(NOT(ISNUMBER(J1930)),N(J1930)&lt;0),"Prix invalide",IF(OR(AND(F1930&lt;&gt;"",NOT(ISNUMBER(F1930))),N(F1930)&lt;0,N(F1930)&gt;1),"Remise invalide",IF(K1930="","Taux de TVA manquant",IF(NOT(ISNUMBER(K1930)),"Taux de TVA invalide",IF(COUNTIF(p_rates,K1930)=0,"Taux de TVA hors liste (Paramètres)",IF(N(O1930)&gt;25,"Au-delà de 25 lignes : non imprimée","OK")))))))))))))</f>
        <v/>
      </c>
      <c r="O1930" s="59" t="str">
        <f>IF(A1930="","",COUNTIF($A$6:A1930,A1930))</f>
        <v/>
      </c>
      <c r="P1930" s="62" t="str">
        <f>IF(A1930="","",A1930&amp;"|"&amp;O1930)</f>
        <v/>
      </c>
    </row>
    <row r="1931">
      <c r="A1931" s="60" t="n"/>
      <c r="B1931" s="63" t="n"/>
      <c r="C1931" s="63" t="n"/>
      <c r="D1931" s="67" t="n"/>
      <c r="E1931" s="68" t="n"/>
      <c r="F1931" s="69" t="n"/>
      <c r="G1931" s="70" t="n"/>
      <c r="H1931" s="62" t="str">
        <f>IF(COUNTA(A1931:G1931)=0,"",IF(C1931&lt;&gt;"",C1931,IF(B1931="","",IFERROR(INDEX(pr_des,MATCH(B1931,pr_code,0))&amp;"",""))))</f>
        <v/>
      </c>
      <c r="I1931" s="59" t="str">
        <f>IF(B1931="","",IFERROR(INDEX(pr_unit,MATCH(B1931,pr_code,0))&amp;"",""))</f>
        <v/>
      </c>
      <c r="J1931" s="65" t="str">
        <f>IF(COUNTA(A1931:G1931)=0,"",IF(E1931&lt;&gt;"",E1931,IF(B1931="","",IFERROR(IF(INDEX(pr_price,MATCH(B1931,pr_code,0))="","",INDEX(pr_price,MATCH(B1931,pr_code,0))),""))))</f>
        <v/>
      </c>
      <c r="K1931" s="71" t="str">
        <f>IF(COUNTA(A1931:G1931)=0,"",IF(G1931&lt;&gt;"",G1931,IF(B1931="","",IFERROR(IF(INDEX(pr_rate,MATCH(B1931,pr_code,0))="","",INDEX(pr_rate,MATCH(B1931,pr_code,0))),""))))</f>
        <v/>
      </c>
      <c r="L1931" s="65" t="str">
        <f>IF(COUNTA(A1931:G1931)=0,"",IF(AND(ISNUMBER(D1931),ISNUMBER(J1931)),ROUND(D1931*J1931*(1-N(F1931)),2),0))</f>
        <v/>
      </c>
      <c r="M1931" s="62" t="str">
        <f>IF(A1931="","",IFERROR(INDEX(fa_cname,MATCH(A1931,fa_num,0))&amp;"",""))</f>
        <v/>
      </c>
      <c r="N1931" s="59" t="str">
        <f>IF(COUNTA(A1931:G1931)=0,"",IF(A1931="","N° facture manquant",IF(ISNA(MATCH(A1931,fa_num,0)),"Facture inconnue",IF(AND(B1931&lt;&gt;"",ISNA(MATCH(B1931,pr_code,0))),"Article inconnu",IF(H1931="","Désignation manquante",IF(OR(NOT(ISNUMBER(D1931)),N(D1931)&lt;=0),"Quantité invalide",IF(J1931="","Prix manquant",IF(OR(NOT(ISNUMBER(J1931)),N(J1931)&lt;0),"Prix invalide",IF(OR(AND(F1931&lt;&gt;"",NOT(ISNUMBER(F1931))),N(F1931)&lt;0,N(F1931)&gt;1),"Remise invalide",IF(K1931="","Taux de TVA manquant",IF(NOT(ISNUMBER(K1931)),"Taux de TVA invalide",IF(COUNTIF(p_rates,K1931)=0,"Taux de TVA hors liste (Paramètres)",IF(N(O1931)&gt;25,"Au-delà de 25 lignes : non imprimée","OK")))))))))))))</f>
        <v/>
      </c>
      <c r="O1931" s="59" t="str">
        <f>IF(A1931="","",COUNTIF($A$6:A1931,A1931))</f>
        <v/>
      </c>
      <c r="P1931" s="62" t="str">
        <f>IF(A1931="","",A1931&amp;"|"&amp;O1931)</f>
        <v/>
      </c>
    </row>
    <row r="1932">
      <c r="A1932" s="60" t="n"/>
      <c r="B1932" s="63" t="n"/>
      <c r="C1932" s="63" t="n"/>
      <c r="D1932" s="67" t="n"/>
      <c r="E1932" s="68" t="n"/>
      <c r="F1932" s="69" t="n"/>
      <c r="G1932" s="70" t="n"/>
      <c r="H1932" s="62" t="str">
        <f>IF(COUNTA(A1932:G1932)=0,"",IF(C1932&lt;&gt;"",C1932,IF(B1932="","",IFERROR(INDEX(pr_des,MATCH(B1932,pr_code,0))&amp;"",""))))</f>
        <v/>
      </c>
      <c r="I1932" s="59" t="str">
        <f>IF(B1932="","",IFERROR(INDEX(pr_unit,MATCH(B1932,pr_code,0))&amp;"",""))</f>
        <v/>
      </c>
      <c r="J1932" s="65" t="str">
        <f>IF(COUNTA(A1932:G1932)=0,"",IF(E1932&lt;&gt;"",E1932,IF(B1932="","",IFERROR(IF(INDEX(pr_price,MATCH(B1932,pr_code,0))="","",INDEX(pr_price,MATCH(B1932,pr_code,0))),""))))</f>
        <v/>
      </c>
      <c r="K1932" s="71" t="str">
        <f>IF(COUNTA(A1932:G1932)=0,"",IF(G1932&lt;&gt;"",G1932,IF(B1932="","",IFERROR(IF(INDEX(pr_rate,MATCH(B1932,pr_code,0))="","",INDEX(pr_rate,MATCH(B1932,pr_code,0))),""))))</f>
        <v/>
      </c>
      <c r="L1932" s="65" t="str">
        <f>IF(COUNTA(A1932:G1932)=0,"",IF(AND(ISNUMBER(D1932),ISNUMBER(J1932)),ROUND(D1932*J1932*(1-N(F1932)),2),0))</f>
        <v/>
      </c>
      <c r="M1932" s="62" t="str">
        <f>IF(A1932="","",IFERROR(INDEX(fa_cname,MATCH(A1932,fa_num,0))&amp;"",""))</f>
        <v/>
      </c>
      <c r="N1932" s="59" t="str">
        <f>IF(COUNTA(A1932:G1932)=0,"",IF(A1932="","N° facture manquant",IF(ISNA(MATCH(A1932,fa_num,0)),"Facture inconnue",IF(AND(B1932&lt;&gt;"",ISNA(MATCH(B1932,pr_code,0))),"Article inconnu",IF(H1932="","Désignation manquante",IF(OR(NOT(ISNUMBER(D1932)),N(D1932)&lt;=0),"Quantité invalide",IF(J1932="","Prix manquant",IF(OR(NOT(ISNUMBER(J1932)),N(J1932)&lt;0),"Prix invalide",IF(OR(AND(F1932&lt;&gt;"",NOT(ISNUMBER(F1932))),N(F1932)&lt;0,N(F1932)&gt;1),"Remise invalide",IF(K1932="","Taux de TVA manquant",IF(NOT(ISNUMBER(K1932)),"Taux de TVA invalide",IF(COUNTIF(p_rates,K1932)=0,"Taux de TVA hors liste (Paramètres)",IF(N(O1932)&gt;25,"Au-delà de 25 lignes : non imprimée","OK")))))))))))))</f>
        <v/>
      </c>
      <c r="O1932" s="59" t="str">
        <f>IF(A1932="","",COUNTIF($A$6:A1932,A1932))</f>
        <v/>
      </c>
      <c r="P1932" s="62" t="str">
        <f>IF(A1932="","",A1932&amp;"|"&amp;O1932)</f>
        <v/>
      </c>
    </row>
    <row r="1933">
      <c r="A1933" s="60" t="n"/>
      <c r="B1933" s="63" t="n"/>
      <c r="C1933" s="63" t="n"/>
      <c r="D1933" s="67" t="n"/>
      <c r="E1933" s="68" t="n"/>
      <c r="F1933" s="69" t="n"/>
      <c r="G1933" s="70" t="n"/>
      <c r="H1933" s="62" t="str">
        <f>IF(COUNTA(A1933:G1933)=0,"",IF(C1933&lt;&gt;"",C1933,IF(B1933="","",IFERROR(INDEX(pr_des,MATCH(B1933,pr_code,0))&amp;"",""))))</f>
        <v/>
      </c>
      <c r="I1933" s="59" t="str">
        <f>IF(B1933="","",IFERROR(INDEX(pr_unit,MATCH(B1933,pr_code,0))&amp;"",""))</f>
        <v/>
      </c>
      <c r="J1933" s="65" t="str">
        <f>IF(COUNTA(A1933:G1933)=0,"",IF(E1933&lt;&gt;"",E1933,IF(B1933="","",IFERROR(IF(INDEX(pr_price,MATCH(B1933,pr_code,0))="","",INDEX(pr_price,MATCH(B1933,pr_code,0))),""))))</f>
        <v/>
      </c>
      <c r="K1933" s="71" t="str">
        <f>IF(COUNTA(A1933:G1933)=0,"",IF(G1933&lt;&gt;"",G1933,IF(B1933="","",IFERROR(IF(INDEX(pr_rate,MATCH(B1933,pr_code,0))="","",INDEX(pr_rate,MATCH(B1933,pr_code,0))),""))))</f>
        <v/>
      </c>
      <c r="L1933" s="65" t="str">
        <f>IF(COUNTA(A1933:G1933)=0,"",IF(AND(ISNUMBER(D1933),ISNUMBER(J1933)),ROUND(D1933*J1933*(1-N(F1933)),2),0))</f>
        <v/>
      </c>
      <c r="M1933" s="62" t="str">
        <f>IF(A1933="","",IFERROR(INDEX(fa_cname,MATCH(A1933,fa_num,0))&amp;"",""))</f>
        <v/>
      </c>
      <c r="N1933" s="59" t="str">
        <f>IF(COUNTA(A1933:G1933)=0,"",IF(A1933="","N° facture manquant",IF(ISNA(MATCH(A1933,fa_num,0)),"Facture inconnue",IF(AND(B1933&lt;&gt;"",ISNA(MATCH(B1933,pr_code,0))),"Article inconnu",IF(H1933="","Désignation manquante",IF(OR(NOT(ISNUMBER(D1933)),N(D1933)&lt;=0),"Quantité invalide",IF(J1933="","Prix manquant",IF(OR(NOT(ISNUMBER(J1933)),N(J1933)&lt;0),"Prix invalide",IF(OR(AND(F1933&lt;&gt;"",NOT(ISNUMBER(F1933))),N(F1933)&lt;0,N(F1933)&gt;1),"Remise invalide",IF(K1933="","Taux de TVA manquant",IF(NOT(ISNUMBER(K1933)),"Taux de TVA invalide",IF(COUNTIF(p_rates,K1933)=0,"Taux de TVA hors liste (Paramètres)",IF(N(O1933)&gt;25,"Au-delà de 25 lignes : non imprimée","OK")))))))))))))</f>
        <v/>
      </c>
      <c r="O1933" s="59" t="str">
        <f>IF(A1933="","",COUNTIF($A$6:A1933,A1933))</f>
        <v/>
      </c>
      <c r="P1933" s="62" t="str">
        <f>IF(A1933="","",A1933&amp;"|"&amp;O1933)</f>
        <v/>
      </c>
    </row>
    <row r="1934">
      <c r="A1934" s="60" t="n"/>
      <c r="B1934" s="63" t="n"/>
      <c r="C1934" s="63" t="n"/>
      <c r="D1934" s="67" t="n"/>
      <c r="E1934" s="68" t="n"/>
      <c r="F1934" s="69" t="n"/>
      <c r="G1934" s="70" t="n"/>
      <c r="H1934" s="62" t="str">
        <f>IF(COUNTA(A1934:G1934)=0,"",IF(C1934&lt;&gt;"",C1934,IF(B1934="","",IFERROR(INDEX(pr_des,MATCH(B1934,pr_code,0))&amp;"",""))))</f>
        <v/>
      </c>
      <c r="I1934" s="59" t="str">
        <f>IF(B1934="","",IFERROR(INDEX(pr_unit,MATCH(B1934,pr_code,0))&amp;"",""))</f>
        <v/>
      </c>
      <c r="J1934" s="65" t="str">
        <f>IF(COUNTA(A1934:G1934)=0,"",IF(E1934&lt;&gt;"",E1934,IF(B1934="","",IFERROR(IF(INDEX(pr_price,MATCH(B1934,pr_code,0))="","",INDEX(pr_price,MATCH(B1934,pr_code,0))),""))))</f>
        <v/>
      </c>
      <c r="K1934" s="71" t="str">
        <f>IF(COUNTA(A1934:G1934)=0,"",IF(G1934&lt;&gt;"",G1934,IF(B1934="","",IFERROR(IF(INDEX(pr_rate,MATCH(B1934,pr_code,0))="","",INDEX(pr_rate,MATCH(B1934,pr_code,0))),""))))</f>
        <v/>
      </c>
      <c r="L1934" s="65" t="str">
        <f>IF(COUNTA(A1934:G1934)=0,"",IF(AND(ISNUMBER(D1934),ISNUMBER(J1934)),ROUND(D1934*J1934*(1-N(F1934)),2),0))</f>
        <v/>
      </c>
      <c r="M1934" s="62" t="str">
        <f>IF(A1934="","",IFERROR(INDEX(fa_cname,MATCH(A1934,fa_num,0))&amp;"",""))</f>
        <v/>
      </c>
      <c r="N1934" s="59" t="str">
        <f>IF(COUNTA(A1934:G1934)=0,"",IF(A1934="","N° facture manquant",IF(ISNA(MATCH(A1934,fa_num,0)),"Facture inconnue",IF(AND(B1934&lt;&gt;"",ISNA(MATCH(B1934,pr_code,0))),"Article inconnu",IF(H1934="","Désignation manquante",IF(OR(NOT(ISNUMBER(D1934)),N(D1934)&lt;=0),"Quantité invalide",IF(J1934="","Prix manquant",IF(OR(NOT(ISNUMBER(J1934)),N(J1934)&lt;0),"Prix invalide",IF(OR(AND(F1934&lt;&gt;"",NOT(ISNUMBER(F1934))),N(F1934)&lt;0,N(F1934)&gt;1),"Remise invalide",IF(K1934="","Taux de TVA manquant",IF(NOT(ISNUMBER(K1934)),"Taux de TVA invalide",IF(COUNTIF(p_rates,K1934)=0,"Taux de TVA hors liste (Paramètres)",IF(N(O1934)&gt;25,"Au-delà de 25 lignes : non imprimée","OK")))))))))))))</f>
        <v/>
      </c>
      <c r="O1934" s="59" t="str">
        <f>IF(A1934="","",COUNTIF($A$6:A1934,A1934))</f>
        <v/>
      </c>
      <c r="P1934" s="62" t="str">
        <f>IF(A1934="","",A1934&amp;"|"&amp;O1934)</f>
        <v/>
      </c>
    </row>
    <row r="1935">
      <c r="A1935" s="60" t="n"/>
      <c r="B1935" s="63" t="n"/>
      <c r="C1935" s="63" t="n"/>
      <c r="D1935" s="67" t="n"/>
      <c r="E1935" s="68" t="n"/>
      <c r="F1935" s="69" t="n"/>
      <c r="G1935" s="70" t="n"/>
      <c r="H1935" s="62" t="str">
        <f>IF(COUNTA(A1935:G1935)=0,"",IF(C1935&lt;&gt;"",C1935,IF(B1935="","",IFERROR(INDEX(pr_des,MATCH(B1935,pr_code,0))&amp;"",""))))</f>
        <v/>
      </c>
      <c r="I1935" s="59" t="str">
        <f>IF(B1935="","",IFERROR(INDEX(pr_unit,MATCH(B1935,pr_code,0))&amp;"",""))</f>
        <v/>
      </c>
      <c r="J1935" s="65" t="str">
        <f>IF(COUNTA(A1935:G1935)=0,"",IF(E1935&lt;&gt;"",E1935,IF(B1935="","",IFERROR(IF(INDEX(pr_price,MATCH(B1935,pr_code,0))="","",INDEX(pr_price,MATCH(B1935,pr_code,0))),""))))</f>
        <v/>
      </c>
      <c r="K1935" s="71" t="str">
        <f>IF(COUNTA(A1935:G1935)=0,"",IF(G1935&lt;&gt;"",G1935,IF(B1935="","",IFERROR(IF(INDEX(pr_rate,MATCH(B1935,pr_code,0))="","",INDEX(pr_rate,MATCH(B1935,pr_code,0))),""))))</f>
        <v/>
      </c>
      <c r="L1935" s="65" t="str">
        <f>IF(COUNTA(A1935:G1935)=0,"",IF(AND(ISNUMBER(D1935),ISNUMBER(J1935)),ROUND(D1935*J1935*(1-N(F1935)),2),0))</f>
        <v/>
      </c>
      <c r="M1935" s="62" t="str">
        <f>IF(A1935="","",IFERROR(INDEX(fa_cname,MATCH(A1935,fa_num,0))&amp;"",""))</f>
        <v/>
      </c>
      <c r="N1935" s="59" t="str">
        <f>IF(COUNTA(A1935:G1935)=0,"",IF(A1935="","N° facture manquant",IF(ISNA(MATCH(A1935,fa_num,0)),"Facture inconnue",IF(AND(B1935&lt;&gt;"",ISNA(MATCH(B1935,pr_code,0))),"Article inconnu",IF(H1935="","Désignation manquante",IF(OR(NOT(ISNUMBER(D1935)),N(D1935)&lt;=0),"Quantité invalide",IF(J1935="","Prix manquant",IF(OR(NOT(ISNUMBER(J1935)),N(J1935)&lt;0),"Prix invalide",IF(OR(AND(F1935&lt;&gt;"",NOT(ISNUMBER(F1935))),N(F1935)&lt;0,N(F1935)&gt;1),"Remise invalide",IF(K1935="","Taux de TVA manquant",IF(NOT(ISNUMBER(K1935)),"Taux de TVA invalide",IF(COUNTIF(p_rates,K1935)=0,"Taux de TVA hors liste (Paramètres)",IF(N(O1935)&gt;25,"Au-delà de 25 lignes : non imprimée","OK")))))))))))))</f>
        <v/>
      </c>
      <c r="O1935" s="59" t="str">
        <f>IF(A1935="","",COUNTIF($A$6:A1935,A1935))</f>
        <v/>
      </c>
      <c r="P1935" s="62" t="str">
        <f>IF(A1935="","",A1935&amp;"|"&amp;O1935)</f>
        <v/>
      </c>
    </row>
    <row r="1936">
      <c r="A1936" s="60" t="n"/>
      <c r="B1936" s="63" t="n"/>
      <c r="C1936" s="63" t="n"/>
      <c r="D1936" s="67" t="n"/>
      <c r="E1936" s="68" t="n"/>
      <c r="F1936" s="69" t="n"/>
      <c r="G1936" s="70" t="n"/>
      <c r="H1936" s="62" t="str">
        <f>IF(COUNTA(A1936:G1936)=0,"",IF(C1936&lt;&gt;"",C1936,IF(B1936="","",IFERROR(INDEX(pr_des,MATCH(B1936,pr_code,0))&amp;"",""))))</f>
        <v/>
      </c>
      <c r="I1936" s="59" t="str">
        <f>IF(B1936="","",IFERROR(INDEX(pr_unit,MATCH(B1936,pr_code,0))&amp;"",""))</f>
        <v/>
      </c>
      <c r="J1936" s="65" t="str">
        <f>IF(COUNTA(A1936:G1936)=0,"",IF(E1936&lt;&gt;"",E1936,IF(B1936="","",IFERROR(IF(INDEX(pr_price,MATCH(B1936,pr_code,0))="","",INDEX(pr_price,MATCH(B1936,pr_code,0))),""))))</f>
        <v/>
      </c>
      <c r="K1936" s="71" t="str">
        <f>IF(COUNTA(A1936:G1936)=0,"",IF(G1936&lt;&gt;"",G1936,IF(B1936="","",IFERROR(IF(INDEX(pr_rate,MATCH(B1936,pr_code,0))="","",INDEX(pr_rate,MATCH(B1936,pr_code,0))),""))))</f>
        <v/>
      </c>
      <c r="L1936" s="65" t="str">
        <f>IF(COUNTA(A1936:G1936)=0,"",IF(AND(ISNUMBER(D1936),ISNUMBER(J1936)),ROUND(D1936*J1936*(1-N(F1936)),2),0))</f>
        <v/>
      </c>
      <c r="M1936" s="62" t="str">
        <f>IF(A1936="","",IFERROR(INDEX(fa_cname,MATCH(A1936,fa_num,0))&amp;"",""))</f>
        <v/>
      </c>
      <c r="N1936" s="59" t="str">
        <f>IF(COUNTA(A1936:G1936)=0,"",IF(A1936="","N° facture manquant",IF(ISNA(MATCH(A1936,fa_num,0)),"Facture inconnue",IF(AND(B1936&lt;&gt;"",ISNA(MATCH(B1936,pr_code,0))),"Article inconnu",IF(H1936="","Désignation manquante",IF(OR(NOT(ISNUMBER(D1936)),N(D1936)&lt;=0),"Quantité invalide",IF(J1936="","Prix manquant",IF(OR(NOT(ISNUMBER(J1936)),N(J1936)&lt;0),"Prix invalide",IF(OR(AND(F1936&lt;&gt;"",NOT(ISNUMBER(F1936))),N(F1936)&lt;0,N(F1936)&gt;1),"Remise invalide",IF(K1936="","Taux de TVA manquant",IF(NOT(ISNUMBER(K1936)),"Taux de TVA invalide",IF(COUNTIF(p_rates,K1936)=0,"Taux de TVA hors liste (Paramètres)",IF(N(O1936)&gt;25,"Au-delà de 25 lignes : non imprimée","OK")))))))))))))</f>
        <v/>
      </c>
      <c r="O1936" s="59" t="str">
        <f>IF(A1936="","",COUNTIF($A$6:A1936,A1936))</f>
        <v/>
      </c>
      <c r="P1936" s="62" t="str">
        <f>IF(A1936="","",A1936&amp;"|"&amp;O1936)</f>
        <v/>
      </c>
    </row>
    <row r="1937">
      <c r="A1937" s="60" t="n"/>
      <c r="B1937" s="63" t="n"/>
      <c r="C1937" s="63" t="n"/>
      <c r="D1937" s="67" t="n"/>
      <c r="E1937" s="68" t="n"/>
      <c r="F1937" s="69" t="n"/>
      <c r="G1937" s="70" t="n"/>
      <c r="H1937" s="62" t="str">
        <f>IF(COUNTA(A1937:G1937)=0,"",IF(C1937&lt;&gt;"",C1937,IF(B1937="","",IFERROR(INDEX(pr_des,MATCH(B1937,pr_code,0))&amp;"",""))))</f>
        <v/>
      </c>
      <c r="I1937" s="59" t="str">
        <f>IF(B1937="","",IFERROR(INDEX(pr_unit,MATCH(B1937,pr_code,0))&amp;"",""))</f>
        <v/>
      </c>
      <c r="J1937" s="65" t="str">
        <f>IF(COUNTA(A1937:G1937)=0,"",IF(E1937&lt;&gt;"",E1937,IF(B1937="","",IFERROR(IF(INDEX(pr_price,MATCH(B1937,pr_code,0))="","",INDEX(pr_price,MATCH(B1937,pr_code,0))),""))))</f>
        <v/>
      </c>
      <c r="K1937" s="71" t="str">
        <f>IF(COUNTA(A1937:G1937)=0,"",IF(G1937&lt;&gt;"",G1937,IF(B1937="","",IFERROR(IF(INDEX(pr_rate,MATCH(B1937,pr_code,0))="","",INDEX(pr_rate,MATCH(B1937,pr_code,0))),""))))</f>
        <v/>
      </c>
      <c r="L1937" s="65" t="str">
        <f>IF(COUNTA(A1937:G1937)=0,"",IF(AND(ISNUMBER(D1937),ISNUMBER(J1937)),ROUND(D1937*J1937*(1-N(F1937)),2),0))</f>
        <v/>
      </c>
      <c r="M1937" s="62" t="str">
        <f>IF(A1937="","",IFERROR(INDEX(fa_cname,MATCH(A1937,fa_num,0))&amp;"",""))</f>
        <v/>
      </c>
      <c r="N1937" s="59" t="str">
        <f>IF(COUNTA(A1937:G1937)=0,"",IF(A1937="","N° facture manquant",IF(ISNA(MATCH(A1937,fa_num,0)),"Facture inconnue",IF(AND(B1937&lt;&gt;"",ISNA(MATCH(B1937,pr_code,0))),"Article inconnu",IF(H1937="","Désignation manquante",IF(OR(NOT(ISNUMBER(D1937)),N(D1937)&lt;=0),"Quantité invalide",IF(J1937="","Prix manquant",IF(OR(NOT(ISNUMBER(J1937)),N(J1937)&lt;0),"Prix invalide",IF(OR(AND(F1937&lt;&gt;"",NOT(ISNUMBER(F1937))),N(F1937)&lt;0,N(F1937)&gt;1),"Remise invalide",IF(K1937="","Taux de TVA manquant",IF(NOT(ISNUMBER(K1937)),"Taux de TVA invalide",IF(COUNTIF(p_rates,K1937)=0,"Taux de TVA hors liste (Paramètres)",IF(N(O1937)&gt;25,"Au-delà de 25 lignes : non imprimée","OK")))))))))))))</f>
        <v/>
      </c>
      <c r="O1937" s="59" t="str">
        <f>IF(A1937="","",COUNTIF($A$6:A1937,A1937))</f>
        <v/>
      </c>
      <c r="P1937" s="62" t="str">
        <f>IF(A1937="","",A1937&amp;"|"&amp;O1937)</f>
        <v/>
      </c>
    </row>
    <row r="1938">
      <c r="A1938" s="60" t="n"/>
      <c r="B1938" s="63" t="n"/>
      <c r="C1938" s="63" t="n"/>
      <c r="D1938" s="67" t="n"/>
      <c r="E1938" s="68" t="n"/>
      <c r="F1938" s="69" t="n"/>
      <c r="G1938" s="70" t="n"/>
      <c r="H1938" s="62" t="str">
        <f>IF(COUNTA(A1938:G1938)=0,"",IF(C1938&lt;&gt;"",C1938,IF(B1938="","",IFERROR(INDEX(pr_des,MATCH(B1938,pr_code,0))&amp;"",""))))</f>
        <v/>
      </c>
      <c r="I1938" s="59" t="str">
        <f>IF(B1938="","",IFERROR(INDEX(pr_unit,MATCH(B1938,pr_code,0))&amp;"",""))</f>
        <v/>
      </c>
      <c r="J1938" s="65" t="str">
        <f>IF(COUNTA(A1938:G1938)=0,"",IF(E1938&lt;&gt;"",E1938,IF(B1938="","",IFERROR(IF(INDEX(pr_price,MATCH(B1938,pr_code,0))="","",INDEX(pr_price,MATCH(B1938,pr_code,0))),""))))</f>
        <v/>
      </c>
      <c r="K1938" s="71" t="str">
        <f>IF(COUNTA(A1938:G1938)=0,"",IF(G1938&lt;&gt;"",G1938,IF(B1938="","",IFERROR(IF(INDEX(pr_rate,MATCH(B1938,pr_code,0))="","",INDEX(pr_rate,MATCH(B1938,pr_code,0))),""))))</f>
        <v/>
      </c>
      <c r="L1938" s="65" t="str">
        <f>IF(COUNTA(A1938:G1938)=0,"",IF(AND(ISNUMBER(D1938),ISNUMBER(J1938)),ROUND(D1938*J1938*(1-N(F1938)),2),0))</f>
        <v/>
      </c>
      <c r="M1938" s="62" t="str">
        <f>IF(A1938="","",IFERROR(INDEX(fa_cname,MATCH(A1938,fa_num,0))&amp;"",""))</f>
        <v/>
      </c>
      <c r="N1938" s="59" t="str">
        <f>IF(COUNTA(A1938:G1938)=0,"",IF(A1938="","N° facture manquant",IF(ISNA(MATCH(A1938,fa_num,0)),"Facture inconnue",IF(AND(B1938&lt;&gt;"",ISNA(MATCH(B1938,pr_code,0))),"Article inconnu",IF(H1938="","Désignation manquante",IF(OR(NOT(ISNUMBER(D1938)),N(D1938)&lt;=0),"Quantité invalide",IF(J1938="","Prix manquant",IF(OR(NOT(ISNUMBER(J1938)),N(J1938)&lt;0),"Prix invalide",IF(OR(AND(F1938&lt;&gt;"",NOT(ISNUMBER(F1938))),N(F1938)&lt;0,N(F1938)&gt;1),"Remise invalide",IF(K1938="","Taux de TVA manquant",IF(NOT(ISNUMBER(K1938)),"Taux de TVA invalide",IF(COUNTIF(p_rates,K1938)=0,"Taux de TVA hors liste (Paramètres)",IF(N(O1938)&gt;25,"Au-delà de 25 lignes : non imprimée","OK")))))))))))))</f>
        <v/>
      </c>
      <c r="O1938" s="59" t="str">
        <f>IF(A1938="","",COUNTIF($A$6:A1938,A1938))</f>
        <v/>
      </c>
      <c r="P1938" s="62" t="str">
        <f>IF(A1938="","",A1938&amp;"|"&amp;O1938)</f>
        <v/>
      </c>
    </row>
    <row r="1939">
      <c r="A1939" s="60" t="n"/>
      <c r="B1939" s="63" t="n"/>
      <c r="C1939" s="63" t="n"/>
      <c r="D1939" s="67" t="n"/>
      <c r="E1939" s="68" t="n"/>
      <c r="F1939" s="69" t="n"/>
      <c r="G1939" s="70" t="n"/>
      <c r="H1939" s="62" t="str">
        <f>IF(COUNTA(A1939:G1939)=0,"",IF(C1939&lt;&gt;"",C1939,IF(B1939="","",IFERROR(INDEX(pr_des,MATCH(B1939,pr_code,0))&amp;"",""))))</f>
        <v/>
      </c>
      <c r="I1939" s="59" t="str">
        <f>IF(B1939="","",IFERROR(INDEX(pr_unit,MATCH(B1939,pr_code,0))&amp;"",""))</f>
        <v/>
      </c>
      <c r="J1939" s="65" t="str">
        <f>IF(COUNTA(A1939:G1939)=0,"",IF(E1939&lt;&gt;"",E1939,IF(B1939="","",IFERROR(IF(INDEX(pr_price,MATCH(B1939,pr_code,0))="","",INDEX(pr_price,MATCH(B1939,pr_code,0))),""))))</f>
        <v/>
      </c>
      <c r="K1939" s="71" t="str">
        <f>IF(COUNTA(A1939:G1939)=0,"",IF(G1939&lt;&gt;"",G1939,IF(B1939="","",IFERROR(IF(INDEX(pr_rate,MATCH(B1939,pr_code,0))="","",INDEX(pr_rate,MATCH(B1939,pr_code,0))),""))))</f>
        <v/>
      </c>
      <c r="L1939" s="65" t="str">
        <f>IF(COUNTA(A1939:G1939)=0,"",IF(AND(ISNUMBER(D1939),ISNUMBER(J1939)),ROUND(D1939*J1939*(1-N(F1939)),2),0))</f>
        <v/>
      </c>
      <c r="M1939" s="62" t="str">
        <f>IF(A1939="","",IFERROR(INDEX(fa_cname,MATCH(A1939,fa_num,0))&amp;"",""))</f>
        <v/>
      </c>
      <c r="N1939" s="59" t="str">
        <f>IF(COUNTA(A1939:G1939)=0,"",IF(A1939="","N° facture manquant",IF(ISNA(MATCH(A1939,fa_num,0)),"Facture inconnue",IF(AND(B1939&lt;&gt;"",ISNA(MATCH(B1939,pr_code,0))),"Article inconnu",IF(H1939="","Désignation manquante",IF(OR(NOT(ISNUMBER(D1939)),N(D1939)&lt;=0),"Quantité invalide",IF(J1939="","Prix manquant",IF(OR(NOT(ISNUMBER(J1939)),N(J1939)&lt;0),"Prix invalide",IF(OR(AND(F1939&lt;&gt;"",NOT(ISNUMBER(F1939))),N(F1939)&lt;0,N(F1939)&gt;1),"Remise invalide",IF(K1939="","Taux de TVA manquant",IF(NOT(ISNUMBER(K1939)),"Taux de TVA invalide",IF(COUNTIF(p_rates,K1939)=0,"Taux de TVA hors liste (Paramètres)",IF(N(O1939)&gt;25,"Au-delà de 25 lignes : non imprimée","OK")))))))))))))</f>
        <v/>
      </c>
      <c r="O1939" s="59" t="str">
        <f>IF(A1939="","",COUNTIF($A$6:A1939,A1939))</f>
        <v/>
      </c>
      <c r="P1939" s="62" t="str">
        <f>IF(A1939="","",A1939&amp;"|"&amp;O1939)</f>
        <v/>
      </c>
    </row>
    <row r="1940">
      <c r="A1940" s="60" t="n"/>
      <c r="B1940" s="63" t="n"/>
      <c r="C1940" s="63" t="n"/>
      <c r="D1940" s="67" t="n"/>
      <c r="E1940" s="68" t="n"/>
      <c r="F1940" s="69" t="n"/>
      <c r="G1940" s="70" t="n"/>
      <c r="H1940" s="62" t="str">
        <f>IF(COUNTA(A1940:G1940)=0,"",IF(C1940&lt;&gt;"",C1940,IF(B1940="","",IFERROR(INDEX(pr_des,MATCH(B1940,pr_code,0))&amp;"",""))))</f>
        <v/>
      </c>
      <c r="I1940" s="59" t="str">
        <f>IF(B1940="","",IFERROR(INDEX(pr_unit,MATCH(B1940,pr_code,0))&amp;"",""))</f>
        <v/>
      </c>
      <c r="J1940" s="65" t="str">
        <f>IF(COUNTA(A1940:G1940)=0,"",IF(E1940&lt;&gt;"",E1940,IF(B1940="","",IFERROR(IF(INDEX(pr_price,MATCH(B1940,pr_code,0))="","",INDEX(pr_price,MATCH(B1940,pr_code,0))),""))))</f>
        <v/>
      </c>
      <c r="K1940" s="71" t="str">
        <f>IF(COUNTA(A1940:G1940)=0,"",IF(G1940&lt;&gt;"",G1940,IF(B1940="","",IFERROR(IF(INDEX(pr_rate,MATCH(B1940,pr_code,0))="","",INDEX(pr_rate,MATCH(B1940,pr_code,0))),""))))</f>
        <v/>
      </c>
      <c r="L1940" s="65" t="str">
        <f>IF(COUNTA(A1940:G1940)=0,"",IF(AND(ISNUMBER(D1940),ISNUMBER(J1940)),ROUND(D1940*J1940*(1-N(F1940)),2),0))</f>
        <v/>
      </c>
      <c r="M1940" s="62" t="str">
        <f>IF(A1940="","",IFERROR(INDEX(fa_cname,MATCH(A1940,fa_num,0))&amp;"",""))</f>
        <v/>
      </c>
      <c r="N1940" s="59" t="str">
        <f>IF(COUNTA(A1940:G1940)=0,"",IF(A1940="","N° facture manquant",IF(ISNA(MATCH(A1940,fa_num,0)),"Facture inconnue",IF(AND(B1940&lt;&gt;"",ISNA(MATCH(B1940,pr_code,0))),"Article inconnu",IF(H1940="","Désignation manquante",IF(OR(NOT(ISNUMBER(D1940)),N(D1940)&lt;=0),"Quantité invalide",IF(J1940="","Prix manquant",IF(OR(NOT(ISNUMBER(J1940)),N(J1940)&lt;0),"Prix invalide",IF(OR(AND(F1940&lt;&gt;"",NOT(ISNUMBER(F1940))),N(F1940)&lt;0,N(F1940)&gt;1),"Remise invalide",IF(K1940="","Taux de TVA manquant",IF(NOT(ISNUMBER(K1940)),"Taux de TVA invalide",IF(COUNTIF(p_rates,K1940)=0,"Taux de TVA hors liste (Paramètres)",IF(N(O1940)&gt;25,"Au-delà de 25 lignes : non imprimée","OK")))))))))))))</f>
        <v/>
      </c>
      <c r="O1940" s="59" t="str">
        <f>IF(A1940="","",COUNTIF($A$6:A1940,A1940))</f>
        <v/>
      </c>
      <c r="P1940" s="62" t="str">
        <f>IF(A1940="","",A1940&amp;"|"&amp;O1940)</f>
        <v/>
      </c>
    </row>
    <row r="1941">
      <c r="A1941" s="60" t="n"/>
      <c r="B1941" s="63" t="n"/>
      <c r="C1941" s="63" t="n"/>
      <c r="D1941" s="67" t="n"/>
      <c r="E1941" s="68" t="n"/>
      <c r="F1941" s="69" t="n"/>
      <c r="G1941" s="70" t="n"/>
      <c r="H1941" s="62" t="str">
        <f>IF(COUNTA(A1941:G1941)=0,"",IF(C1941&lt;&gt;"",C1941,IF(B1941="","",IFERROR(INDEX(pr_des,MATCH(B1941,pr_code,0))&amp;"",""))))</f>
        <v/>
      </c>
      <c r="I1941" s="59" t="str">
        <f>IF(B1941="","",IFERROR(INDEX(pr_unit,MATCH(B1941,pr_code,0))&amp;"",""))</f>
        <v/>
      </c>
      <c r="J1941" s="65" t="str">
        <f>IF(COUNTA(A1941:G1941)=0,"",IF(E1941&lt;&gt;"",E1941,IF(B1941="","",IFERROR(IF(INDEX(pr_price,MATCH(B1941,pr_code,0))="","",INDEX(pr_price,MATCH(B1941,pr_code,0))),""))))</f>
        <v/>
      </c>
      <c r="K1941" s="71" t="str">
        <f>IF(COUNTA(A1941:G1941)=0,"",IF(G1941&lt;&gt;"",G1941,IF(B1941="","",IFERROR(IF(INDEX(pr_rate,MATCH(B1941,pr_code,0))="","",INDEX(pr_rate,MATCH(B1941,pr_code,0))),""))))</f>
        <v/>
      </c>
      <c r="L1941" s="65" t="str">
        <f>IF(COUNTA(A1941:G1941)=0,"",IF(AND(ISNUMBER(D1941),ISNUMBER(J1941)),ROUND(D1941*J1941*(1-N(F1941)),2),0))</f>
        <v/>
      </c>
      <c r="M1941" s="62" t="str">
        <f>IF(A1941="","",IFERROR(INDEX(fa_cname,MATCH(A1941,fa_num,0))&amp;"",""))</f>
        <v/>
      </c>
      <c r="N1941" s="59" t="str">
        <f>IF(COUNTA(A1941:G1941)=0,"",IF(A1941="","N° facture manquant",IF(ISNA(MATCH(A1941,fa_num,0)),"Facture inconnue",IF(AND(B1941&lt;&gt;"",ISNA(MATCH(B1941,pr_code,0))),"Article inconnu",IF(H1941="","Désignation manquante",IF(OR(NOT(ISNUMBER(D1941)),N(D1941)&lt;=0),"Quantité invalide",IF(J1941="","Prix manquant",IF(OR(NOT(ISNUMBER(J1941)),N(J1941)&lt;0),"Prix invalide",IF(OR(AND(F1941&lt;&gt;"",NOT(ISNUMBER(F1941))),N(F1941)&lt;0,N(F1941)&gt;1),"Remise invalide",IF(K1941="","Taux de TVA manquant",IF(NOT(ISNUMBER(K1941)),"Taux de TVA invalide",IF(COUNTIF(p_rates,K1941)=0,"Taux de TVA hors liste (Paramètres)",IF(N(O1941)&gt;25,"Au-delà de 25 lignes : non imprimée","OK")))))))))))))</f>
        <v/>
      </c>
      <c r="O1941" s="59" t="str">
        <f>IF(A1941="","",COUNTIF($A$6:A1941,A1941))</f>
        <v/>
      </c>
      <c r="P1941" s="62" t="str">
        <f>IF(A1941="","",A1941&amp;"|"&amp;O1941)</f>
        <v/>
      </c>
    </row>
    <row r="1942">
      <c r="A1942" s="60" t="n"/>
      <c r="B1942" s="63" t="n"/>
      <c r="C1942" s="63" t="n"/>
      <c r="D1942" s="67" t="n"/>
      <c r="E1942" s="68" t="n"/>
      <c r="F1942" s="69" t="n"/>
      <c r="G1942" s="70" t="n"/>
      <c r="H1942" s="62" t="str">
        <f>IF(COUNTA(A1942:G1942)=0,"",IF(C1942&lt;&gt;"",C1942,IF(B1942="","",IFERROR(INDEX(pr_des,MATCH(B1942,pr_code,0))&amp;"",""))))</f>
        <v/>
      </c>
      <c r="I1942" s="59" t="str">
        <f>IF(B1942="","",IFERROR(INDEX(pr_unit,MATCH(B1942,pr_code,0))&amp;"",""))</f>
        <v/>
      </c>
      <c r="J1942" s="65" t="str">
        <f>IF(COUNTA(A1942:G1942)=0,"",IF(E1942&lt;&gt;"",E1942,IF(B1942="","",IFERROR(IF(INDEX(pr_price,MATCH(B1942,pr_code,0))="","",INDEX(pr_price,MATCH(B1942,pr_code,0))),""))))</f>
        <v/>
      </c>
      <c r="K1942" s="71" t="str">
        <f>IF(COUNTA(A1942:G1942)=0,"",IF(G1942&lt;&gt;"",G1942,IF(B1942="","",IFERROR(IF(INDEX(pr_rate,MATCH(B1942,pr_code,0))="","",INDEX(pr_rate,MATCH(B1942,pr_code,0))),""))))</f>
        <v/>
      </c>
      <c r="L1942" s="65" t="str">
        <f>IF(COUNTA(A1942:G1942)=0,"",IF(AND(ISNUMBER(D1942),ISNUMBER(J1942)),ROUND(D1942*J1942*(1-N(F1942)),2),0))</f>
        <v/>
      </c>
      <c r="M1942" s="62" t="str">
        <f>IF(A1942="","",IFERROR(INDEX(fa_cname,MATCH(A1942,fa_num,0))&amp;"",""))</f>
        <v/>
      </c>
      <c r="N1942" s="59" t="str">
        <f>IF(COUNTA(A1942:G1942)=0,"",IF(A1942="","N° facture manquant",IF(ISNA(MATCH(A1942,fa_num,0)),"Facture inconnue",IF(AND(B1942&lt;&gt;"",ISNA(MATCH(B1942,pr_code,0))),"Article inconnu",IF(H1942="","Désignation manquante",IF(OR(NOT(ISNUMBER(D1942)),N(D1942)&lt;=0),"Quantité invalide",IF(J1942="","Prix manquant",IF(OR(NOT(ISNUMBER(J1942)),N(J1942)&lt;0),"Prix invalide",IF(OR(AND(F1942&lt;&gt;"",NOT(ISNUMBER(F1942))),N(F1942)&lt;0,N(F1942)&gt;1),"Remise invalide",IF(K1942="","Taux de TVA manquant",IF(NOT(ISNUMBER(K1942)),"Taux de TVA invalide",IF(COUNTIF(p_rates,K1942)=0,"Taux de TVA hors liste (Paramètres)",IF(N(O1942)&gt;25,"Au-delà de 25 lignes : non imprimée","OK")))))))))))))</f>
        <v/>
      </c>
      <c r="O1942" s="59" t="str">
        <f>IF(A1942="","",COUNTIF($A$6:A1942,A1942))</f>
        <v/>
      </c>
      <c r="P1942" s="62" t="str">
        <f>IF(A1942="","",A1942&amp;"|"&amp;O1942)</f>
        <v/>
      </c>
    </row>
    <row r="1943">
      <c r="A1943" s="60" t="n"/>
      <c r="B1943" s="63" t="n"/>
      <c r="C1943" s="63" t="n"/>
      <c r="D1943" s="67" t="n"/>
      <c r="E1943" s="68" t="n"/>
      <c r="F1943" s="69" t="n"/>
      <c r="G1943" s="70" t="n"/>
      <c r="H1943" s="62" t="str">
        <f>IF(COUNTA(A1943:G1943)=0,"",IF(C1943&lt;&gt;"",C1943,IF(B1943="","",IFERROR(INDEX(pr_des,MATCH(B1943,pr_code,0))&amp;"",""))))</f>
        <v/>
      </c>
      <c r="I1943" s="59" t="str">
        <f>IF(B1943="","",IFERROR(INDEX(pr_unit,MATCH(B1943,pr_code,0))&amp;"",""))</f>
        <v/>
      </c>
      <c r="J1943" s="65" t="str">
        <f>IF(COUNTA(A1943:G1943)=0,"",IF(E1943&lt;&gt;"",E1943,IF(B1943="","",IFERROR(IF(INDEX(pr_price,MATCH(B1943,pr_code,0))="","",INDEX(pr_price,MATCH(B1943,pr_code,0))),""))))</f>
        <v/>
      </c>
      <c r="K1943" s="71" t="str">
        <f>IF(COUNTA(A1943:G1943)=0,"",IF(G1943&lt;&gt;"",G1943,IF(B1943="","",IFERROR(IF(INDEX(pr_rate,MATCH(B1943,pr_code,0))="","",INDEX(pr_rate,MATCH(B1943,pr_code,0))),""))))</f>
        <v/>
      </c>
      <c r="L1943" s="65" t="str">
        <f>IF(COUNTA(A1943:G1943)=0,"",IF(AND(ISNUMBER(D1943),ISNUMBER(J1943)),ROUND(D1943*J1943*(1-N(F1943)),2),0))</f>
        <v/>
      </c>
      <c r="M1943" s="62" t="str">
        <f>IF(A1943="","",IFERROR(INDEX(fa_cname,MATCH(A1943,fa_num,0))&amp;"",""))</f>
        <v/>
      </c>
      <c r="N1943" s="59" t="str">
        <f>IF(COUNTA(A1943:G1943)=0,"",IF(A1943="","N° facture manquant",IF(ISNA(MATCH(A1943,fa_num,0)),"Facture inconnue",IF(AND(B1943&lt;&gt;"",ISNA(MATCH(B1943,pr_code,0))),"Article inconnu",IF(H1943="","Désignation manquante",IF(OR(NOT(ISNUMBER(D1943)),N(D1943)&lt;=0),"Quantité invalide",IF(J1943="","Prix manquant",IF(OR(NOT(ISNUMBER(J1943)),N(J1943)&lt;0),"Prix invalide",IF(OR(AND(F1943&lt;&gt;"",NOT(ISNUMBER(F1943))),N(F1943)&lt;0,N(F1943)&gt;1),"Remise invalide",IF(K1943="","Taux de TVA manquant",IF(NOT(ISNUMBER(K1943)),"Taux de TVA invalide",IF(COUNTIF(p_rates,K1943)=0,"Taux de TVA hors liste (Paramètres)",IF(N(O1943)&gt;25,"Au-delà de 25 lignes : non imprimée","OK")))))))))))))</f>
        <v/>
      </c>
      <c r="O1943" s="59" t="str">
        <f>IF(A1943="","",COUNTIF($A$6:A1943,A1943))</f>
        <v/>
      </c>
      <c r="P1943" s="62" t="str">
        <f>IF(A1943="","",A1943&amp;"|"&amp;O1943)</f>
        <v/>
      </c>
    </row>
    <row r="1944">
      <c r="A1944" s="60" t="n"/>
      <c r="B1944" s="63" t="n"/>
      <c r="C1944" s="63" t="n"/>
      <c r="D1944" s="67" t="n"/>
      <c r="E1944" s="68" t="n"/>
      <c r="F1944" s="69" t="n"/>
      <c r="G1944" s="70" t="n"/>
      <c r="H1944" s="62" t="str">
        <f>IF(COUNTA(A1944:G1944)=0,"",IF(C1944&lt;&gt;"",C1944,IF(B1944="","",IFERROR(INDEX(pr_des,MATCH(B1944,pr_code,0))&amp;"",""))))</f>
        <v/>
      </c>
      <c r="I1944" s="59" t="str">
        <f>IF(B1944="","",IFERROR(INDEX(pr_unit,MATCH(B1944,pr_code,0))&amp;"",""))</f>
        <v/>
      </c>
      <c r="J1944" s="65" t="str">
        <f>IF(COUNTA(A1944:G1944)=0,"",IF(E1944&lt;&gt;"",E1944,IF(B1944="","",IFERROR(IF(INDEX(pr_price,MATCH(B1944,pr_code,0))="","",INDEX(pr_price,MATCH(B1944,pr_code,0))),""))))</f>
        <v/>
      </c>
      <c r="K1944" s="71" t="str">
        <f>IF(COUNTA(A1944:G1944)=0,"",IF(G1944&lt;&gt;"",G1944,IF(B1944="","",IFERROR(IF(INDEX(pr_rate,MATCH(B1944,pr_code,0))="","",INDEX(pr_rate,MATCH(B1944,pr_code,0))),""))))</f>
        <v/>
      </c>
      <c r="L1944" s="65" t="str">
        <f>IF(COUNTA(A1944:G1944)=0,"",IF(AND(ISNUMBER(D1944),ISNUMBER(J1944)),ROUND(D1944*J1944*(1-N(F1944)),2),0))</f>
        <v/>
      </c>
      <c r="M1944" s="62" t="str">
        <f>IF(A1944="","",IFERROR(INDEX(fa_cname,MATCH(A1944,fa_num,0))&amp;"",""))</f>
        <v/>
      </c>
      <c r="N1944" s="59" t="str">
        <f>IF(COUNTA(A1944:G1944)=0,"",IF(A1944="","N° facture manquant",IF(ISNA(MATCH(A1944,fa_num,0)),"Facture inconnue",IF(AND(B1944&lt;&gt;"",ISNA(MATCH(B1944,pr_code,0))),"Article inconnu",IF(H1944="","Désignation manquante",IF(OR(NOT(ISNUMBER(D1944)),N(D1944)&lt;=0),"Quantité invalide",IF(J1944="","Prix manquant",IF(OR(NOT(ISNUMBER(J1944)),N(J1944)&lt;0),"Prix invalide",IF(OR(AND(F1944&lt;&gt;"",NOT(ISNUMBER(F1944))),N(F1944)&lt;0,N(F1944)&gt;1),"Remise invalide",IF(K1944="","Taux de TVA manquant",IF(NOT(ISNUMBER(K1944)),"Taux de TVA invalide",IF(COUNTIF(p_rates,K1944)=0,"Taux de TVA hors liste (Paramètres)",IF(N(O1944)&gt;25,"Au-delà de 25 lignes : non imprimée","OK")))))))))))))</f>
        <v/>
      </c>
      <c r="O1944" s="59" t="str">
        <f>IF(A1944="","",COUNTIF($A$6:A1944,A1944))</f>
        <v/>
      </c>
      <c r="P1944" s="62" t="str">
        <f>IF(A1944="","",A1944&amp;"|"&amp;O1944)</f>
        <v/>
      </c>
    </row>
    <row r="1945">
      <c r="A1945" s="60" t="n"/>
      <c r="B1945" s="63" t="n"/>
      <c r="C1945" s="63" t="n"/>
      <c r="D1945" s="67" t="n"/>
      <c r="E1945" s="68" t="n"/>
      <c r="F1945" s="69" t="n"/>
      <c r="G1945" s="70" t="n"/>
      <c r="H1945" s="62" t="str">
        <f>IF(COUNTA(A1945:G1945)=0,"",IF(C1945&lt;&gt;"",C1945,IF(B1945="","",IFERROR(INDEX(pr_des,MATCH(B1945,pr_code,0))&amp;"",""))))</f>
        <v/>
      </c>
      <c r="I1945" s="59" t="str">
        <f>IF(B1945="","",IFERROR(INDEX(pr_unit,MATCH(B1945,pr_code,0))&amp;"",""))</f>
        <v/>
      </c>
      <c r="J1945" s="65" t="str">
        <f>IF(COUNTA(A1945:G1945)=0,"",IF(E1945&lt;&gt;"",E1945,IF(B1945="","",IFERROR(IF(INDEX(pr_price,MATCH(B1945,pr_code,0))="","",INDEX(pr_price,MATCH(B1945,pr_code,0))),""))))</f>
        <v/>
      </c>
      <c r="K1945" s="71" t="str">
        <f>IF(COUNTA(A1945:G1945)=0,"",IF(G1945&lt;&gt;"",G1945,IF(B1945="","",IFERROR(IF(INDEX(pr_rate,MATCH(B1945,pr_code,0))="","",INDEX(pr_rate,MATCH(B1945,pr_code,0))),""))))</f>
        <v/>
      </c>
      <c r="L1945" s="65" t="str">
        <f>IF(COUNTA(A1945:G1945)=0,"",IF(AND(ISNUMBER(D1945),ISNUMBER(J1945)),ROUND(D1945*J1945*(1-N(F1945)),2),0))</f>
        <v/>
      </c>
      <c r="M1945" s="62" t="str">
        <f>IF(A1945="","",IFERROR(INDEX(fa_cname,MATCH(A1945,fa_num,0))&amp;"",""))</f>
        <v/>
      </c>
      <c r="N1945" s="59" t="str">
        <f>IF(COUNTA(A1945:G1945)=0,"",IF(A1945="","N° facture manquant",IF(ISNA(MATCH(A1945,fa_num,0)),"Facture inconnue",IF(AND(B1945&lt;&gt;"",ISNA(MATCH(B1945,pr_code,0))),"Article inconnu",IF(H1945="","Désignation manquante",IF(OR(NOT(ISNUMBER(D1945)),N(D1945)&lt;=0),"Quantité invalide",IF(J1945="","Prix manquant",IF(OR(NOT(ISNUMBER(J1945)),N(J1945)&lt;0),"Prix invalide",IF(OR(AND(F1945&lt;&gt;"",NOT(ISNUMBER(F1945))),N(F1945)&lt;0,N(F1945)&gt;1),"Remise invalide",IF(K1945="","Taux de TVA manquant",IF(NOT(ISNUMBER(K1945)),"Taux de TVA invalide",IF(COUNTIF(p_rates,K1945)=0,"Taux de TVA hors liste (Paramètres)",IF(N(O1945)&gt;25,"Au-delà de 25 lignes : non imprimée","OK")))))))))))))</f>
        <v/>
      </c>
      <c r="O1945" s="59" t="str">
        <f>IF(A1945="","",COUNTIF($A$6:A1945,A1945))</f>
        <v/>
      </c>
      <c r="P1945" s="62" t="str">
        <f>IF(A1945="","",A1945&amp;"|"&amp;O1945)</f>
        <v/>
      </c>
    </row>
    <row r="1946">
      <c r="A1946" s="60" t="n"/>
      <c r="B1946" s="63" t="n"/>
      <c r="C1946" s="63" t="n"/>
      <c r="D1946" s="67" t="n"/>
      <c r="E1946" s="68" t="n"/>
      <c r="F1946" s="69" t="n"/>
      <c r="G1946" s="70" t="n"/>
      <c r="H1946" s="62" t="str">
        <f>IF(COUNTA(A1946:G1946)=0,"",IF(C1946&lt;&gt;"",C1946,IF(B1946="","",IFERROR(INDEX(pr_des,MATCH(B1946,pr_code,0))&amp;"",""))))</f>
        <v/>
      </c>
      <c r="I1946" s="59" t="str">
        <f>IF(B1946="","",IFERROR(INDEX(pr_unit,MATCH(B1946,pr_code,0))&amp;"",""))</f>
        <v/>
      </c>
      <c r="J1946" s="65" t="str">
        <f>IF(COUNTA(A1946:G1946)=0,"",IF(E1946&lt;&gt;"",E1946,IF(B1946="","",IFERROR(IF(INDEX(pr_price,MATCH(B1946,pr_code,0))="","",INDEX(pr_price,MATCH(B1946,pr_code,0))),""))))</f>
        <v/>
      </c>
      <c r="K1946" s="71" t="str">
        <f>IF(COUNTA(A1946:G1946)=0,"",IF(G1946&lt;&gt;"",G1946,IF(B1946="","",IFERROR(IF(INDEX(pr_rate,MATCH(B1946,pr_code,0))="","",INDEX(pr_rate,MATCH(B1946,pr_code,0))),""))))</f>
        <v/>
      </c>
      <c r="L1946" s="65" t="str">
        <f>IF(COUNTA(A1946:G1946)=0,"",IF(AND(ISNUMBER(D1946),ISNUMBER(J1946)),ROUND(D1946*J1946*(1-N(F1946)),2),0))</f>
        <v/>
      </c>
      <c r="M1946" s="62" t="str">
        <f>IF(A1946="","",IFERROR(INDEX(fa_cname,MATCH(A1946,fa_num,0))&amp;"",""))</f>
        <v/>
      </c>
      <c r="N1946" s="59" t="str">
        <f>IF(COUNTA(A1946:G1946)=0,"",IF(A1946="","N° facture manquant",IF(ISNA(MATCH(A1946,fa_num,0)),"Facture inconnue",IF(AND(B1946&lt;&gt;"",ISNA(MATCH(B1946,pr_code,0))),"Article inconnu",IF(H1946="","Désignation manquante",IF(OR(NOT(ISNUMBER(D1946)),N(D1946)&lt;=0),"Quantité invalide",IF(J1946="","Prix manquant",IF(OR(NOT(ISNUMBER(J1946)),N(J1946)&lt;0),"Prix invalide",IF(OR(AND(F1946&lt;&gt;"",NOT(ISNUMBER(F1946))),N(F1946)&lt;0,N(F1946)&gt;1),"Remise invalide",IF(K1946="","Taux de TVA manquant",IF(NOT(ISNUMBER(K1946)),"Taux de TVA invalide",IF(COUNTIF(p_rates,K1946)=0,"Taux de TVA hors liste (Paramètres)",IF(N(O1946)&gt;25,"Au-delà de 25 lignes : non imprimée","OK")))))))))))))</f>
        <v/>
      </c>
      <c r="O1946" s="59" t="str">
        <f>IF(A1946="","",COUNTIF($A$6:A1946,A1946))</f>
        <v/>
      </c>
      <c r="P1946" s="62" t="str">
        <f>IF(A1946="","",A1946&amp;"|"&amp;O1946)</f>
        <v/>
      </c>
    </row>
    <row r="1947">
      <c r="A1947" s="60" t="n"/>
      <c r="B1947" s="63" t="n"/>
      <c r="C1947" s="63" t="n"/>
      <c r="D1947" s="67" t="n"/>
      <c r="E1947" s="68" t="n"/>
      <c r="F1947" s="69" t="n"/>
      <c r="G1947" s="70" t="n"/>
      <c r="H1947" s="62" t="str">
        <f>IF(COUNTA(A1947:G1947)=0,"",IF(C1947&lt;&gt;"",C1947,IF(B1947="","",IFERROR(INDEX(pr_des,MATCH(B1947,pr_code,0))&amp;"",""))))</f>
        <v/>
      </c>
      <c r="I1947" s="59" t="str">
        <f>IF(B1947="","",IFERROR(INDEX(pr_unit,MATCH(B1947,pr_code,0))&amp;"",""))</f>
        <v/>
      </c>
      <c r="J1947" s="65" t="str">
        <f>IF(COUNTA(A1947:G1947)=0,"",IF(E1947&lt;&gt;"",E1947,IF(B1947="","",IFERROR(IF(INDEX(pr_price,MATCH(B1947,pr_code,0))="","",INDEX(pr_price,MATCH(B1947,pr_code,0))),""))))</f>
        <v/>
      </c>
      <c r="K1947" s="71" t="str">
        <f>IF(COUNTA(A1947:G1947)=0,"",IF(G1947&lt;&gt;"",G1947,IF(B1947="","",IFERROR(IF(INDEX(pr_rate,MATCH(B1947,pr_code,0))="","",INDEX(pr_rate,MATCH(B1947,pr_code,0))),""))))</f>
        <v/>
      </c>
      <c r="L1947" s="65" t="str">
        <f>IF(COUNTA(A1947:G1947)=0,"",IF(AND(ISNUMBER(D1947),ISNUMBER(J1947)),ROUND(D1947*J1947*(1-N(F1947)),2),0))</f>
        <v/>
      </c>
      <c r="M1947" s="62" t="str">
        <f>IF(A1947="","",IFERROR(INDEX(fa_cname,MATCH(A1947,fa_num,0))&amp;"",""))</f>
        <v/>
      </c>
      <c r="N1947" s="59" t="str">
        <f>IF(COUNTA(A1947:G1947)=0,"",IF(A1947="","N° facture manquant",IF(ISNA(MATCH(A1947,fa_num,0)),"Facture inconnue",IF(AND(B1947&lt;&gt;"",ISNA(MATCH(B1947,pr_code,0))),"Article inconnu",IF(H1947="","Désignation manquante",IF(OR(NOT(ISNUMBER(D1947)),N(D1947)&lt;=0),"Quantité invalide",IF(J1947="","Prix manquant",IF(OR(NOT(ISNUMBER(J1947)),N(J1947)&lt;0),"Prix invalide",IF(OR(AND(F1947&lt;&gt;"",NOT(ISNUMBER(F1947))),N(F1947)&lt;0,N(F1947)&gt;1),"Remise invalide",IF(K1947="","Taux de TVA manquant",IF(NOT(ISNUMBER(K1947)),"Taux de TVA invalide",IF(COUNTIF(p_rates,K1947)=0,"Taux de TVA hors liste (Paramètres)",IF(N(O1947)&gt;25,"Au-delà de 25 lignes : non imprimée","OK")))))))))))))</f>
        <v/>
      </c>
      <c r="O1947" s="59" t="str">
        <f>IF(A1947="","",COUNTIF($A$6:A1947,A1947))</f>
        <v/>
      </c>
      <c r="P1947" s="62" t="str">
        <f>IF(A1947="","",A1947&amp;"|"&amp;O1947)</f>
        <v/>
      </c>
    </row>
    <row r="1948">
      <c r="A1948" s="60" t="n"/>
      <c r="B1948" s="63" t="n"/>
      <c r="C1948" s="63" t="n"/>
      <c r="D1948" s="67" t="n"/>
      <c r="E1948" s="68" t="n"/>
      <c r="F1948" s="69" t="n"/>
      <c r="G1948" s="70" t="n"/>
      <c r="H1948" s="62" t="str">
        <f>IF(COUNTA(A1948:G1948)=0,"",IF(C1948&lt;&gt;"",C1948,IF(B1948="","",IFERROR(INDEX(pr_des,MATCH(B1948,pr_code,0))&amp;"",""))))</f>
        <v/>
      </c>
      <c r="I1948" s="59" t="str">
        <f>IF(B1948="","",IFERROR(INDEX(pr_unit,MATCH(B1948,pr_code,0))&amp;"",""))</f>
        <v/>
      </c>
      <c r="J1948" s="65" t="str">
        <f>IF(COUNTA(A1948:G1948)=0,"",IF(E1948&lt;&gt;"",E1948,IF(B1948="","",IFERROR(IF(INDEX(pr_price,MATCH(B1948,pr_code,0))="","",INDEX(pr_price,MATCH(B1948,pr_code,0))),""))))</f>
        <v/>
      </c>
      <c r="K1948" s="71" t="str">
        <f>IF(COUNTA(A1948:G1948)=0,"",IF(G1948&lt;&gt;"",G1948,IF(B1948="","",IFERROR(IF(INDEX(pr_rate,MATCH(B1948,pr_code,0))="","",INDEX(pr_rate,MATCH(B1948,pr_code,0))),""))))</f>
        <v/>
      </c>
      <c r="L1948" s="65" t="str">
        <f>IF(COUNTA(A1948:G1948)=0,"",IF(AND(ISNUMBER(D1948),ISNUMBER(J1948)),ROUND(D1948*J1948*(1-N(F1948)),2),0))</f>
        <v/>
      </c>
      <c r="M1948" s="62" t="str">
        <f>IF(A1948="","",IFERROR(INDEX(fa_cname,MATCH(A1948,fa_num,0))&amp;"",""))</f>
        <v/>
      </c>
      <c r="N1948" s="59" t="str">
        <f>IF(COUNTA(A1948:G1948)=0,"",IF(A1948="","N° facture manquant",IF(ISNA(MATCH(A1948,fa_num,0)),"Facture inconnue",IF(AND(B1948&lt;&gt;"",ISNA(MATCH(B1948,pr_code,0))),"Article inconnu",IF(H1948="","Désignation manquante",IF(OR(NOT(ISNUMBER(D1948)),N(D1948)&lt;=0),"Quantité invalide",IF(J1948="","Prix manquant",IF(OR(NOT(ISNUMBER(J1948)),N(J1948)&lt;0),"Prix invalide",IF(OR(AND(F1948&lt;&gt;"",NOT(ISNUMBER(F1948))),N(F1948)&lt;0,N(F1948)&gt;1),"Remise invalide",IF(K1948="","Taux de TVA manquant",IF(NOT(ISNUMBER(K1948)),"Taux de TVA invalide",IF(COUNTIF(p_rates,K1948)=0,"Taux de TVA hors liste (Paramètres)",IF(N(O1948)&gt;25,"Au-delà de 25 lignes : non imprimée","OK")))))))))))))</f>
        <v/>
      </c>
      <c r="O1948" s="59" t="str">
        <f>IF(A1948="","",COUNTIF($A$6:A1948,A1948))</f>
        <v/>
      </c>
      <c r="P1948" s="62" t="str">
        <f>IF(A1948="","",A1948&amp;"|"&amp;O1948)</f>
        <v/>
      </c>
    </row>
    <row r="1949">
      <c r="A1949" s="60" t="n"/>
      <c r="B1949" s="63" t="n"/>
      <c r="C1949" s="63" t="n"/>
      <c r="D1949" s="67" t="n"/>
      <c r="E1949" s="68" t="n"/>
      <c r="F1949" s="69" t="n"/>
      <c r="G1949" s="70" t="n"/>
      <c r="H1949" s="62" t="str">
        <f>IF(COUNTA(A1949:G1949)=0,"",IF(C1949&lt;&gt;"",C1949,IF(B1949="","",IFERROR(INDEX(pr_des,MATCH(B1949,pr_code,0))&amp;"",""))))</f>
        <v/>
      </c>
      <c r="I1949" s="59" t="str">
        <f>IF(B1949="","",IFERROR(INDEX(pr_unit,MATCH(B1949,pr_code,0))&amp;"",""))</f>
        <v/>
      </c>
      <c r="J1949" s="65" t="str">
        <f>IF(COUNTA(A1949:G1949)=0,"",IF(E1949&lt;&gt;"",E1949,IF(B1949="","",IFERROR(IF(INDEX(pr_price,MATCH(B1949,pr_code,0))="","",INDEX(pr_price,MATCH(B1949,pr_code,0))),""))))</f>
        <v/>
      </c>
      <c r="K1949" s="71" t="str">
        <f>IF(COUNTA(A1949:G1949)=0,"",IF(G1949&lt;&gt;"",G1949,IF(B1949="","",IFERROR(IF(INDEX(pr_rate,MATCH(B1949,pr_code,0))="","",INDEX(pr_rate,MATCH(B1949,pr_code,0))),""))))</f>
        <v/>
      </c>
      <c r="L1949" s="65" t="str">
        <f>IF(COUNTA(A1949:G1949)=0,"",IF(AND(ISNUMBER(D1949),ISNUMBER(J1949)),ROUND(D1949*J1949*(1-N(F1949)),2),0))</f>
        <v/>
      </c>
      <c r="M1949" s="62" t="str">
        <f>IF(A1949="","",IFERROR(INDEX(fa_cname,MATCH(A1949,fa_num,0))&amp;"",""))</f>
        <v/>
      </c>
      <c r="N1949" s="59" t="str">
        <f>IF(COUNTA(A1949:G1949)=0,"",IF(A1949="","N° facture manquant",IF(ISNA(MATCH(A1949,fa_num,0)),"Facture inconnue",IF(AND(B1949&lt;&gt;"",ISNA(MATCH(B1949,pr_code,0))),"Article inconnu",IF(H1949="","Désignation manquante",IF(OR(NOT(ISNUMBER(D1949)),N(D1949)&lt;=0),"Quantité invalide",IF(J1949="","Prix manquant",IF(OR(NOT(ISNUMBER(J1949)),N(J1949)&lt;0),"Prix invalide",IF(OR(AND(F1949&lt;&gt;"",NOT(ISNUMBER(F1949))),N(F1949)&lt;0,N(F1949)&gt;1),"Remise invalide",IF(K1949="","Taux de TVA manquant",IF(NOT(ISNUMBER(K1949)),"Taux de TVA invalide",IF(COUNTIF(p_rates,K1949)=0,"Taux de TVA hors liste (Paramètres)",IF(N(O1949)&gt;25,"Au-delà de 25 lignes : non imprimée","OK")))))))))))))</f>
        <v/>
      </c>
      <c r="O1949" s="59" t="str">
        <f>IF(A1949="","",COUNTIF($A$6:A1949,A1949))</f>
        <v/>
      </c>
      <c r="P1949" s="62" t="str">
        <f>IF(A1949="","",A1949&amp;"|"&amp;O1949)</f>
        <v/>
      </c>
    </row>
    <row r="1950">
      <c r="A1950" s="60" t="n"/>
      <c r="B1950" s="63" t="n"/>
      <c r="C1950" s="63" t="n"/>
      <c r="D1950" s="67" t="n"/>
      <c r="E1950" s="68" t="n"/>
      <c r="F1950" s="69" t="n"/>
      <c r="G1950" s="70" t="n"/>
      <c r="H1950" s="62" t="str">
        <f>IF(COUNTA(A1950:G1950)=0,"",IF(C1950&lt;&gt;"",C1950,IF(B1950="","",IFERROR(INDEX(pr_des,MATCH(B1950,pr_code,0))&amp;"",""))))</f>
        <v/>
      </c>
      <c r="I1950" s="59" t="str">
        <f>IF(B1950="","",IFERROR(INDEX(pr_unit,MATCH(B1950,pr_code,0))&amp;"",""))</f>
        <v/>
      </c>
      <c r="J1950" s="65" t="str">
        <f>IF(COUNTA(A1950:G1950)=0,"",IF(E1950&lt;&gt;"",E1950,IF(B1950="","",IFERROR(IF(INDEX(pr_price,MATCH(B1950,pr_code,0))="","",INDEX(pr_price,MATCH(B1950,pr_code,0))),""))))</f>
        <v/>
      </c>
      <c r="K1950" s="71" t="str">
        <f>IF(COUNTA(A1950:G1950)=0,"",IF(G1950&lt;&gt;"",G1950,IF(B1950="","",IFERROR(IF(INDEX(pr_rate,MATCH(B1950,pr_code,0))="","",INDEX(pr_rate,MATCH(B1950,pr_code,0))),""))))</f>
        <v/>
      </c>
      <c r="L1950" s="65" t="str">
        <f>IF(COUNTA(A1950:G1950)=0,"",IF(AND(ISNUMBER(D1950),ISNUMBER(J1950)),ROUND(D1950*J1950*(1-N(F1950)),2),0))</f>
        <v/>
      </c>
      <c r="M1950" s="62" t="str">
        <f>IF(A1950="","",IFERROR(INDEX(fa_cname,MATCH(A1950,fa_num,0))&amp;"",""))</f>
        <v/>
      </c>
      <c r="N1950" s="59" t="str">
        <f>IF(COUNTA(A1950:G1950)=0,"",IF(A1950="","N° facture manquant",IF(ISNA(MATCH(A1950,fa_num,0)),"Facture inconnue",IF(AND(B1950&lt;&gt;"",ISNA(MATCH(B1950,pr_code,0))),"Article inconnu",IF(H1950="","Désignation manquante",IF(OR(NOT(ISNUMBER(D1950)),N(D1950)&lt;=0),"Quantité invalide",IF(J1950="","Prix manquant",IF(OR(NOT(ISNUMBER(J1950)),N(J1950)&lt;0),"Prix invalide",IF(OR(AND(F1950&lt;&gt;"",NOT(ISNUMBER(F1950))),N(F1950)&lt;0,N(F1950)&gt;1),"Remise invalide",IF(K1950="","Taux de TVA manquant",IF(NOT(ISNUMBER(K1950)),"Taux de TVA invalide",IF(COUNTIF(p_rates,K1950)=0,"Taux de TVA hors liste (Paramètres)",IF(N(O1950)&gt;25,"Au-delà de 25 lignes : non imprimée","OK")))))))))))))</f>
        <v/>
      </c>
      <c r="O1950" s="59" t="str">
        <f>IF(A1950="","",COUNTIF($A$6:A1950,A1950))</f>
        <v/>
      </c>
      <c r="P1950" s="62" t="str">
        <f>IF(A1950="","",A1950&amp;"|"&amp;O1950)</f>
        <v/>
      </c>
    </row>
    <row r="1951">
      <c r="A1951" s="60" t="n"/>
      <c r="B1951" s="63" t="n"/>
      <c r="C1951" s="63" t="n"/>
      <c r="D1951" s="67" t="n"/>
      <c r="E1951" s="68" t="n"/>
      <c r="F1951" s="69" t="n"/>
      <c r="G1951" s="70" t="n"/>
      <c r="H1951" s="62" t="str">
        <f>IF(COUNTA(A1951:G1951)=0,"",IF(C1951&lt;&gt;"",C1951,IF(B1951="","",IFERROR(INDEX(pr_des,MATCH(B1951,pr_code,0))&amp;"",""))))</f>
        <v/>
      </c>
      <c r="I1951" s="59" t="str">
        <f>IF(B1951="","",IFERROR(INDEX(pr_unit,MATCH(B1951,pr_code,0))&amp;"",""))</f>
        <v/>
      </c>
      <c r="J1951" s="65" t="str">
        <f>IF(COUNTA(A1951:G1951)=0,"",IF(E1951&lt;&gt;"",E1951,IF(B1951="","",IFERROR(IF(INDEX(pr_price,MATCH(B1951,pr_code,0))="","",INDEX(pr_price,MATCH(B1951,pr_code,0))),""))))</f>
        <v/>
      </c>
      <c r="K1951" s="71" t="str">
        <f>IF(COUNTA(A1951:G1951)=0,"",IF(G1951&lt;&gt;"",G1951,IF(B1951="","",IFERROR(IF(INDEX(pr_rate,MATCH(B1951,pr_code,0))="","",INDEX(pr_rate,MATCH(B1951,pr_code,0))),""))))</f>
        <v/>
      </c>
      <c r="L1951" s="65" t="str">
        <f>IF(COUNTA(A1951:G1951)=0,"",IF(AND(ISNUMBER(D1951),ISNUMBER(J1951)),ROUND(D1951*J1951*(1-N(F1951)),2),0))</f>
        <v/>
      </c>
      <c r="M1951" s="62" t="str">
        <f>IF(A1951="","",IFERROR(INDEX(fa_cname,MATCH(A1951,fa_num,0))&amp;"",""))</f>
        <v/>
      </c>
      <c r="N1951" s="59" t="str">
        <f>IF(COUNTA(A1951:G1951)=0,"",IF(A1951="","N° facture manquant",IF(ISNA(MATCH(A1951,fa_num,0)),"Facture inconnue",IF(AND(B1951&lt;&gt;"",ISNA(MATCH(B1951,pr_code,0))),"Article inconnu",IF(H1951="","Désignation manquante",IF(OR(NOT(ISNUMBER(D1951)),N(D1951)&lt;=0),"Quantité invalide",IF(J1951="","Prix manquant",IF(OR(NOT(ISNUMBER(J1951)),N(J1951)&lt;0),"Prix invalide",IF(OR(AND(F1951&lt;&gt;"",NOT(ISNUMBER(F1951))),N(F1951)&lt;0,N(F1951)&gt;1),"Remise invalide",IF(K1951="","Taux de TVA manquant",IF(NOT(ISNUMBER(K1951)),"Taux de TVA invalide",IF(COUNTIF(p_rates,K1951)=0,"Taux de TVA hors liste (Paramètres)",IF(N(O1951)&gt;25,"Au-delà de 25 lignes : non imprimée","OK")))))))))))))</f>
        <v/>
      </c>
      <c r="O1951" s="59" t="str">
        <f>IF(A1951="","",COUNTIF($A$6:A1951,A1951))</f>
        <v/>
      </c>
      <c r="P1951" s="62" t="str">
        <f>IF(A1951="","",A1951&amp;"|"&amp;O1951)</f>
        <v/>
      </c>
    </row>
    <row r="1952">
      <c r="A1952" s="60" t="n"/>
      <c r="B1952" s="63" t="n"/>
      <c r="C1952" s="63" t="n"/>
      <c r="D1952" s="67" t="n"/>
      <c r="E1952" s="68" t="n"/>
      <c r="F1952" s="69" t="n"/>
      <c r="G1952" s="70" t="n"/>
      <c r="H1952" s="62" t="str">
        <f>IF(COUNTA(A1952:G1952)=0,"",IF(C1952&lt;&gt;"",C1952,IF(B1952="","",IFERROR(INDEX(pr_des,MATCH(B1952,pr_code,0))&amp;"",""))))</f>
        <v/>
      </c>
      <c r="I1952" s="59" t="str">
        <f>IF(B1952="","",IFERROR(INDEX(pr_unit,MATCH(B1952,pr_code,0))&amp;"",""))</f>
        <v/>
      </c>
      <c r="J1952" s="65" t="str">
        <f>IF(COUNTA(A1952:G1952)=0,"",IF(E1952&lt;&gt;"",E1952,IF(B1952="","",IFERROR(IF(INDEX(pr_price,MATCH(B1952,pr_code,0))="","",INDEX(pr_price,MATCH(B1952,pr_code,0))),""))))</f>
        <v/>
      </c>
      <c r="K1952" s="71" t="str">
        <f>IF(COUNTA(A1952:G1952)=0,"",IF(G1952&lt;&gt;"",G1952,IF(B1952="","",IFERROR(IF(INDEX(pr_rate,MATCH(B1952,pr_code,0))="","",INDEX(pr_rate,MATCH(B1952,pr_code,0))),""))))</f>
        <v/>
      </c>
      <c r="L1952" s="65" t="str">
        <f>IF(COUNTA(A1952:G1952)=0,"",IF(AND(ISNUMBER(D1952),ISNUMBER(J1952)),ROUND(D1952*J1952*(1-N(F1952)),2),0))</f>
        <v/>
      </c>
      <c r="M1952" s="62" t="str">
        <f>IF(A1952="","",IFERROR(INDEX(fa_cname,MATCH(A1952,fa_num,0))&amp;"",""))</f>
        <v/>
      </c>
      <c r="N1952" s="59" t="str">
        <f>IF(COUNTA(A1952:G1952)=0,"",IF(A1952="","N° facture manquant",IF(ISNA(MATCH(A1952,fa_num,0)),"Facture inconnue",IF(AND(B1952&lt;&gt;"",ISNA(MATCH(B1952,pr_code,0))),"Article inconnu",IF(H1952="","Désignation manquante",IF(OR(NOT(ISNUMBER(D1952)),N(D1952)&lt;=0),"Quantité invalide",IF(J1952="","Prix manquant",IF(OR(NOT(ISNUMBER(J1952)),N(J1952)&lt;0),"Prix invalide",IF(OR(AND(F1952&lt;&gt;"",NOT(ISNUMBER(F1952))),N(F1952)&lt;0,N(F1952)&gt;1),"Remise invalide",IF(K1952="","Taux de TVA manquant",IF(NOT(ISNUMBER(K1952)),"Taux de TVA invalide",IF(COUNTIF(p_rates,K1952)=0,"Taux de TVA hors liste (Paramètres)",IF(N(O1952)&gt;25,"Au-delà de 25 lignes : non imprimée","OK")))))))))))))</f>
        <v/>
      </c>
      <c r="O1952" s="59" t="str">
        <f>IF(A1952="","",COUNTIF($A$6:A1952,A1952))</f>
        <v/>
      </c>
      <c r="P1952" s="62" t="str">
        <f>IF(A1952="","",A1952&amp;"|"&amp;O1952)</f>
        <v/>
      </c>
    </row>
    <row r="1953">
      <c r="A1953" s="60" t="n"/>
      <c r="B1953" s="63" t="n"/>
      <c r="C1953" s="63" t="n"/>
      <c r="D1953" s="67" t="n"/>
      <c r="E1953" s="68" t="n"/>
      <c r="F1953" s="69" t="n"/>
      <c r="G1953" s="70" t="n"/>
      <c r="H1953" s="62" t="str">
        <f>IF(COUNTA(A1953:G1953)=0,"",IF(C1953&lt;&gt;"",C1953,IF(B1953="","",IFERROR(INDEX(pr_des,MATCH(B1953,pr_code,0))&amp;"",""))))</f>
        <v/>
      </c>
      <c r="I1953" s="59" t="str">
        <f>IF(B1953="","",IFERROR(INDEX(pr_unit,MATCH(B1953,pr_code,0))&amp;"",""))</f>
        <v/>
      </c>
      <c r="J1953" s="65" t="str">
        <f>IF(COUNTA(A1953:G1953)=0,"",IF(E1953&lt;&gt;"",E1953,IF(B1953="","",IFERROR(IF(INDEX(pr_price,MATCH(B1953,pr_code,0))="","",INDEX(pr_price,MATCH(B1953,pr_code,0))),""))))</f>
        <v/>
      </c>
      <c r="K1953" s="71" t="str">
        <f>IF(COUNTA(A1953:G1953)=0,"",IF(G1953&lt;&gt;"",G1953,IF(B1953="","",IFERROR(IF(INDEX(pr_rate,MATCH(B1953,pr_code,0))="","",INDEX(pr_rate,MATCH(B1953,pr_code,0))),""))))</f>
        <v/>
      </c>
      <c r="L1953" s="65" t="str">
        <f>IF(COUNTA(A1953:G1953)=0,"",IF(AND(ISNUMBER(D1953),ISNUMBER(J1953)),ROUND(D1953*J1953*(1-N(F1953)),2),0))</f>
        <v/>
      </c>
      <c r="M1953" s="62" t="str">
        <f>IF(A1953="","",IFERROR(INDEX(fa_cname,MATCH(A1953,fa_num,0))&amp;"",""))</f>
        <v/>
      </c>
      <c r="N1953" s="59" t="str">
        <f>IF(COUNTA(A1953:G1953)=0,"",IF(A1953="","N° facture manquant",IF(ISNA(MATCH(A1953,fa_num,0)),"Facture inconnue",IF(AND(B1953&lt;&gt;"",ISNA(MATCH(B1953,pr_code,0))),"Article inconnu",IF(H1953="","Désignation manquante",IF(OR(NOT(ISNUMBER(D1953)),N(D1953)&lt;=0),"Quantité invalide",IF(J1953="","Prix manquant",IF(OR(NOT(ISNUMBER(J1953)),N(J1953)&lt;0),"Prix invalide",IF(OR(AND(F1953&lt;&gt;"",NOT(ISNUMBER(F1953))),N(F1953)&lt;0,N(F1953)&gt;1),"Remise invalide",IF(K1953="","Taux de TVA manquant",IF(NOT(ISNUMBER(K1953)),"Taux de TVA invalide",IF(COUNTIF(p_rates,K1953)=0,"Taux de TVA hors liste (Paramètres)",IF(N(O1953)&gt;25,"Au-delà de 25 lignes : non imprimée","OK")))))))))))))</f>
        <v/>
      </c>
      <c r="O1953" s="59" t="str">
        <f>IF(A1953="","",COUNTIF($A$6:A1953,A1953))</f>
        <v/>
      </c>
      <c r="P1953" s="62" t="str">
        <f>IF(A1953="","",A1953&amp;"|"&amp;O1953)</f>
        <v/>
      </c>
    </row>
    <row r="1954">
      <c r="A1954" s="60" t="n"/>
      <c r="B1954" s="63" t="n"/>
      <c r="C1954" s="63" t="n"/>
      <c r="D1954" s="67" t="n"/>
      <c r="E1954" s="68" t="n"/>
      <c r="F1954" s="69" t="n"/>
      <c r="G1954" s="70" t="n"/>
      <c r="H1954" s="62" t="str">
        <f>IF(COUNTA(A1954:G1954)=0,"",IF(C1954&lt;&gt;"",C1954,IF(B1954="","",IFERROR(INDEX(pr_des,MATCH(B1954,pr_code,0))&amp;"",""))))</f>
        <v/>
      </c>
      <c r="I1954" s="59" t="str">
        <f>IF(B1954="","",IFERROR(INDEX(pr_unit,MATCH(B1954,pr_code,0))&amp;"",""))</f>
        <v/>
      </c>
      <c r="J1954" s="65" t="str">
        <f>IF(COUNTA(A1954:G1954)=0,"",IF(E1954&lt;&gt;"",E1954,IF(B1954="","",IFERROR(IF(INDEX(pr_price,MATCH(B1954,pr_code,0))="","",INDEX(pr_price,MATCH(B1954,pr_code,0))),""))))</f>
        <v/>
      </c>
      <c r="K1954" s="71" t="str">
        <f>IF(COUNTA(A1954:G1954)=0,"",IF(G1954&lt;&gt;"",G1954,IF(B1954="","",IFERROR(IF(INDEX(pr_rate,MATCH(B1954,pr_code,0))="","",INDEX(pr_rate,MATCH(B1954,pr_code,0))),""))))</f>
        <v/>
      </c>
      <c r="L1954" s="65" t="str">
        <f>IF(COUNTA(A1954:G1954)=0,"",IF(AND(ISNUMBER(D1954),ISNUMBER(J1954)),ROUND(D1954*J1954*(1-N(F1954)),2),0))</f>
        <v/>
      </c>
      <c r="M1954" s="62" t="str">
        <f>IF(A1954="","",IFERROR(INDEX(fa_cname,MATCH(A1954,fa_num,0))&amp;"",""))</f>
        <v/>
      </c>
      <c r="N1954" s="59" t="str">
        <f>IF(COUNTA(A1954:G1954)=0,"",IF(A1954="","N° facture manquant",IF(ISNA(MATCH(A1954,fa_num,0)),"Facture inconnue",IF(AND(B1954&lt;&gt;"",ISNA(MATCH(B1954,pr_code,0))),"Article inconnu",IF(H1954="","Désignation manquante",IF(OR(NOT(ISNUMBER(D1954)),N(D1954)&lt;=0),"Quantité invalide",IF(J1954="","Prix manquant",IF(OR(NOT(ISNUMBER(J1954)),N(J1954)&lt;0),"Prix invalide",IF(OR(AND(F1954&lt;&gt;"",NOT(ISNUMBER(F1954))),N(F1954)&lt;0,N(F1954)&gt;1),"Remise invalide",IF(K1954="","Taux de TVA manquant",IF(NOT(ISNUMBER(K1954)),"Taux de TVA invalide",IF(COUNTIF(p_rates,K1954)=0,"Taux de TVA hors liste (Paramètres)",IF(N(O1954)&gt;25,"Au-delà de 25 lignes : non imprimée","OK")))))))))))))</f>
        <v/>
      </c>
      <c r="O1954" s="59" t="str">
        <f>IF(A1954="","",COUNTIF($A$6:A1954,A1954))</f>
        <v/>
      </c>
      <c r="P1954" s="62" t="str">
        <f>IF(A1954="","",A1954&amp;"|"&amp;O1954)</f>
        <v/>
      </c>
    </row>
    <row r="1955">
      <c r="A1955" s="60" t="n"/>
      <c r="B1955" s="63" t="n"/>
      <c r="C1955" s="63" t="n"/>
      <c r="D1955" s="67" t="n"/>
      <c r="E1955" s="68" t="n"/>
      <c r="F1955" s="69" t="n"/>
      <c r="G1955" s="70" t="n"/>
      <c r="H1955" s="62" t="str">
        <f>IF(COUNTA(A1955:G1955)=0,"",IF(C1955&lt;&gt;"",C1955,IF(B1955="","",IFERROR(INDEX(pr_des,MATCH(B1955,pr_code,0))&amp;"",""))))</f>
        <v/>
      </c>
      <c r="I1955" s="59" t="str">
        <f>IF(B1955="","",IFERROR(INDEX(pr_unit,MATCH(B1955,pr_code,0))&amp;"",""))</f>
        <v/>
      </c>
      <c r="J1955" s="65" t="str">
        <f>IF(COUNTA(A1955:G1955)=0,"",IF(E1955&lt;&gt;"",E1955,IF(B1955="","",IFERROR(IF(INDEX(pr_price,MATCH(B1955,pr_code,0))="","",INDEX(pr_price,MATCH(B1955,pr_code,0))),""))))</f>
        <v/>
      </c>
      <c r="K1955" s="71" t="str">
        <f>IF(COUNTA(A1955:G1955)=0,"",IF(G1955&lt;&gt;"",G1955,IF(B1955="","",IFERROR(IF(INDEX(pr_rate,MATCH(B1955,pr_code,0))="","",INDEX(pr_rate,MATCH(B1955,pr_code,0))),""))))</f>
        <v/>
      </c>
      <c r="L1955" s="65" t="str">
        <f>IF(COUNTA(A1955:G1955)=0,"",IF(AND(ISNUMBER(D1955),ISNUMBER(J1955)),ROUND(D1955*J1955*(1-N(F1955)),2),0))</f>
        <v/>
      </c>
      <c r="M1955" s="62" t="str">
        <f>IF(A1955="","",IFERROR(INDEX(fa_cname,MATCH(A1955,fa_num,0))&amp;"",""))</f>
        <v/>
      </c>
      <c r="N1955" s="59" t="str">
        <f>IF(COUNTA(A1955:G1955)=0,"",IF(A1955="","N° facture manquant",IF(ISNA(MATCH(A1955,fa_num,0)),"Facture inconnue",IF(AND(B1955&lt;&gt;"",ISNA(MATCH(B1955,pr_code,0))),"Article inconnu",IF(H1955="","Désignation manquante",IF(OR(NOT(ISNUMBER(D1955)),N(D1955)&lt;=0),"Quantité invalide",IF(J1955="","Prix manquant",IF(OR(NOT(ISNUMBER(J1955)),N(J1955)&lt;0),"Prix invalide",IF(OR(AND(F1955&lt;&gt;"",NOT(ISNUMBER(F1955))),N(F1955)&lt;0,N(F1955)&gt;1),"Remise invalide",IF(K1955="","Taux de TVA manquant",IF(NOT(ISNUMBER(K1955)),"Taux de TVA invalide",IF(COUNTIF(p_rates,K1955)=0,"Taux de TVA hors liste (Paramètres)",IF(N(O1955)&gt;25,"Au-delà de 25 lignes : non imprimée","OK")))))))))))))</f>
        <v/>
      </c>
      <c r="O1955" s="59" t="str">
        <f>IF(A1955="","",COUNTIF($A$6:A1955,A1955))</f>
        <v/>
      </c>
      <c r="P1955" s="62" t="str">
        <f>IF(A1955="","",A1955&amp;"|"&amp;O1955)</f>
        <v/>
      </c>
    </row>
    <row r="1956">
      <c r="A1956" s="60" t="n"/>
      <c r="B1956" s="63" t="n"/>
      <c r="C1956" s="63" t="n"/>
      <c r="D1956" s="67" t="n"/>
      <c r="E1956" s="68" t="n"/>
      <c r="F1956" s="69" t="n"/>
      <c r="G1956" s="70" t="n"/>
      <c r="H1956" s="62" t="str">
        <f>IF(COUNTA(A1956:G1956)=0,"",IF(C1956&lt;&gt;"",C1956,IF(B1956="","",IFERROR(INDEX(pr_des,MATCH(B1956,pr_code,0))&amp;"",""))))</f>
        <v/>
      </c>
      <c r="I1956" s="59" t="str">
        <f>IF(B1956="","",IFERROR(INDEX(pr_unit,MATCH(B1956,pr_code,0))&amp;"",""))</f>
        <v/>
      </c>
      <c r="J1956" s="65" t="str">
        <f>IF(COUNTA(A1956:G1956)=0,"",IF(E1956&lt;&gt;"",E1956,IF(B1956="","",IFERROR(IF(INDEX(pr_price,MATCH(B1956,pr_code,0))="","",INDEX(pr_price,MATCH(B1956,pr_code,0))),""))))</f>
        <v/>
      </c>
      <c r="K1956" s="71" t="str">
        <f>IF(COUNTA(A1956:G1956)=0,"",IF(G1956&lt;&gt;"",G1956,IF(B1956="","",IFERROR(IF(INDEX(pr_rate,MATCH(B1956,pr_code,0))="","",INDEX(pr_rate,MATCH(B1956,pr_code,0))),""))))</f>
        <v/>
      </c>
      <c r="L1956" s="65" t="str">
        <f>IF(COUNTA(A1956:G1956)=0,"",IF(AND(ISNUMBER(D1956),ISNUMBER(J1956)),ROUND(D1956*J1956*(1-N(F1956)),2),0))</f>
        <v/>
      </c>
      <c r="M1956" s="62" t="str">
        <f>IF(A1956="","",IFERROR(INDEX(fa_cname,MATCH(A1956,fa_num,0))&amp;"",""))</f>
        <v/>
      </c>
      <c r="N1956" s="59" t="str">
        <f>IF(COUNTA(A1956:G1956)=0,"",IF(A1956="","N° facture manquant",IF(ISNA(MATCH(A1956,fa_num,0)),"Facture inconnue",IF(AND(B1956&lt;&gt;"",ISNA(MATCH(B1956,pr_code,0))),"Article inconnu",IF(H1956="","Désignation manquante",IF(OR(NOT(ISNUMBER(D1956)),N(D1956)&lt;=0),"Quantité invalide",IF(J1956="","Prix manquant",IF(OR(NOT(ISNUMBER(J1956)),N(J1956)&lt;0),"Prix invalide",IF(OR(AND(F1956&lt;&gt;"",NOT(ISNUMBER(F1956))),N(F1956)&lt;0,N(F1956)&gt;1),"Remise invalide",IF(K1956="","Taux de TVA manquant",IF(NOT(ISNUMBER(K1956)),"Taux de TVA invalide",IF(COUNTIF(p_rates,K1956)=0,"Taux de TVA hors liste (Paramètres)",IF(N(O1956)&gt;25,"Au-delà de 25 lignes : non imprimée","OK")))))))))))))</f>
        <v/>
      </c>
      <c r="O1956" s="59" t="str">
        <f>IF(A1956="","",COUNTIF($A$6:A1956,A1956))</f>
        <v/>
      </c>
      <c r="P1956" s="62" t="str">
        <f>IF(A1956="","",A1956&amp;"|"&amp;O1956)</f>
        <v/>
      </c>
    </row>
    <row r="1957">
      <c r="A1957" s="60" t="n"/>
      <c r="B1957" s="63" t="n"/>
      <c r="C1957" s="63" t="n"/>
      <c r="D1957" s="67" t="n"/>
      <c r="E1957" s="68" t="n"/>
      <c r="F1957" s="69" t="n"/>
      <c r="G1957" s="70" t="n"/>
      <c r="H1957" s="62" t="str">
        <f>IF(COUNTA(A1957:G1957)=0,"",IF(C1957&lt;&gt;"",C1957,IF(B1957="","",IFERROR(INDEX(pr_des,MATCH(B1957,pr_code,0))&amp;"",""))))</f>
        <v/>
      </c>
      <c r="I1957" s="59" t="str">
        <f>IF(B1957="","",IFERROR(INDEX(pr_unit,MATCH(B1957,pr_code,0))&amp;"",""))</f>
        <v/>
      </c>
      <c r="J1957" s="65" t="str">
        <f>IF(COUNTA(A1957:G1957)=0,"",IF(E1957&lt;&gt;"",E1957,IF(B1957="","",IFERROR(IF(INDEX(pr_price,MATCH(B1957,pr_code,0))="","",INDEX(pr_price,MATCH(B1957,pr_code,0))),""))))</f>
        <v/>
      </c>
      <c r="K1957" s="71" t="str">
        <f>IF(COUNTA(A1957:G1957)=0,"",IF(G1957&lt;&gt;"",G1957,IF(B1957="","",IFERROR(IF(INDEX(pr_rate,MATCH(B1957,pr_code,0))="","",INDEX(pr_rate,MATCH(B1957,pr_code,0))),""))))</f>
        <v/>
      </c>
      <c r="L1957" s="65" t="str">
        <f>IF(COUNTA(A1957:G1957)=0,"",IF(AND(ISNUMBER(D1957),ISNUMBER(J1957)),ROUND(D1957*J1957*(1-N(F1957)),2),0))</f>
        <v/>
      </c>
      <c r="M1957" s="62" t="str">
        <f>IF(A1957="","",IFERROR(INDEX(fa_cname,MATCH(A1957,fa_num,0))&amp;"",""))</f>
        <v/>
      </c>
      <c r="N1957" s="59" t="str">
        <f>IF(COUNTA(A1957:G1957)=0,"",IF(A1957="","N° facture manquant",IF(ISNA(MATCH(A1957,fa_num,0)),"Facture inconnue",IF(AND(B1957&lt;&gt;"",ISNA(MATCH(B1957,pr_code,0))),"Article inconnu",IF(H1957="","Désignation manquante",IF(OR(NOT(ISNUMBER(D1957)),N(D1957)&lt;=0),"Quantité invalide",IF(J1957="","Prix manquant",IF(OR(NOT(ISNUMBER(J1957)),N(J1957)&lt;0),"Prix invalide",IF(OR(AND(F1957&lt;&gt;"",NOT(ISNUMBER(F1957))),N(F1957)&lt;0,N(F1957)&gt;1),"Remise invalide",IF(K1957="","Taux de TVA manquant",IF(NOT(ISNUMBER(K1957)),"Taux de TVA invalide",IF(COUNTIF(p_rates,K1957)=0,"Taux de TVA hors liste (Paramètres)",IF(N(O1957)&gt;25,"Au-delà de 25 lignes : non imprimée","OK")))))))))))))</f>
        <v/>
      </c>
      <c r="O1957" s="59" t="str">
        <f>IF(A1957="","",COUNTIF($A$6:A1957,A1957))</f>
        <v/>
      </c>
      <c r="P1957" s="62" t="str">
        <f>IF(A1957="","",A1957&amp;"|"&amp;O1957)</f>
        <v/>
      </c>
    </row>
    <row r="1958">
      <c r="A1958" s="60" t="n"/>
      <c r="B1958" s="63" t="n"/>
      <c r="C1958" s="63" t="n"/>
      <c r="D1958" s="67" t="n"/>
      <c r="E1958" s="68" t="n"/>
      <c r="F1958" s="69" t="n"/>
      <c r="G1958" s="70" t="n"/>
      <c r="H1958" s="62" t="str">
        <f>IF(COUNTA(A1958:G1958)=0,"",IF(C1958&lt;&gt;"",C1958,IF(B1958="","",IFERROR(INDEX(pr_des,MATCH(B1958,pr_code,0))&amp;"",""))))</f>
        <v/>
      </c>
      <c r="I1958" s="59" t="str">
        <f>IF(B1958="","",IFERROR(INDEX(pr_unit,MATCH(B1958,pr_code,0))&amp;"",""))</f>
        <v/>
      </c>
      <c r="J1958" s="65" t="str">
        <f>IF(COUNTA(A1958:G1958)=0,"",IF(E1958&lt;&gt;"",E1958,IF(B1958="","",IFERROR(IF(INDEX(pr_price,MATCH(B1958,pr_code,0))="","",INDEX(pr_price,MATCH(B1958,pr_code,0))),""))))</f>
        <v/>
      </c>
      <c r="K1958" s="71" t="str">
        <f>IF(COUNTA(A1958:G1958)=0,"",IF(G1958&lt;&gt;"",G1958,IF(B1958="","",IFERROR(IF(INDEX(pr_rate,MATCH(B1958,pr_code,0))="","",INDEX(pr_rate,MATCH(B1958,pr_code,0))),""))))</f>
        <v/>
      </c>
      <c r="L1958" s="65" t="str">
        <f>IF(COUNTA(A1958:G1958)=0,"",IF(AND(ISNUMBER(D1958),ISNUMBER(J1958)),ROUND(D1958*J1958*(1-N(F1958)),2),0))</f>
        <v/>
      </c>
      <c r="M1958" s="62" t="str">
        <f>IF(A1958="","",IFERROR(INDEX(fa_cname,MATCH(A1958,fa_num,0))&amp;"",""))</f>
        <v/>
      </c>
      <c r="N1958" s="59" t="str">
        <f>IF(COUNTA(A1958:G1958)=0,"",IF(A1958="","N° facture manquant",IF(ISNA(MATCH(A1958,fa_num,0)),"Facture inconnue",IF(AND(B1958&lt;&gt;"",ISNA(MATCH(B1958,pr_code,0))),"Article inconnu",IF(H1958="","Désignation manquante",IF(OR(NOT(ISNUMBER(D1958)),N(D1958)&lt;=0),"Quantité invalide",IF(J1958="","Prix manquant",IF(OR(NOT(ISNUMBER(J1958)),N(J1958)&lt;0),"Prix invalide",IF(OR(AND(F1958&lt;&gt;"",NOT(ISNUMBER(F1958))),N(F1958)&lt;0,N(F1958)&gt;1),"Remise invalide",IF(K1958="","Taux de TVA manquant",IF(NOT(ISNUMBER(K1958)),"Taux de TVA invalide",IF(COUNTIF(p_rates,K1958)=0,"Taux de TVA hors liste (Paramètres)",IF(N(O1958)&gt;25,"Au-delà de 25 lignes : non imprimée","OK")))))))))))))</f>
        <v/>
      </c>
      <c r="O1958" s="59" t="str">
        <f>IF(A1958="","",COUNTIF($A$6:A1958,A1958))</f>
        <v/>
      </c>
      <c r="P1958" s="62" t="str">
        <f>IF(A1958="","",A1958&amp;"|"&amp;O1958)</f>
        <v/>
      </c>
    </row>
    <row r="1959">
      <c r="A1959" s="60" t="n"/>
      <c r="B1959" s="63" t="n"/>
      <c r="C1959" s="63" t="n"/>
      <c r="D1959" s="67" t="n"/>
      <c r="E1959" s="68" t="n"/>
      <c r="F1959" s="69" t="n"/>
      <c r="G1959" s="70" t="n"/>
      <c r="H1959" s="62" t="str">
        <f>IF(COUNTA(A1959:G1959)=0,"",IF(C1959&lt;&gt;"",C1959,IF(B1959="","",IFERROR(INDEX(pr_des,MATCH(B1959,pr_code,0))&amp;"",""))))</f>
        <v/>
      </c>
      <c r="I1959" s="59" t="str">
        <f>IF(B1959="","",IFERROR(INDEX(pr_unit,MATCH(B1959,pr_code,0))&amp;"",""))</f>
        <v/>
      </c>
      <c r="J1959" s="65" t="str">
        <f>IF(COUNTA(A1959:G1959)=0,"",IF(E1959&lt;&gt;"",E1959,IF(B1959="","",IFERROR(IF(INDEX(pr_price,MATCH(B1959,pr_code,0))="","",INDEX(pr_price,MATCH(B1959,pr_code,0))),""))))</f>
        <v/>
      </c>
      <c r="K1959" s="71" t="str">
        <f>IF(COUNTA(A1959:G1959)=0,"",IF(G1959&lt;&gt;"",G1959,IF(B1959="","",IFERROR(IF(INDEX(pr_rate,MATCH(B1959,pr_code,0))="","",INDEX(pr_rate,MATCH(B1959,pr_code,0))),""))))</f>
        <v/>
      </c>
      <c r="L1959" s="65" t="str">
        <f>IF(COUNTA(A1959:G1959)=0,"",IF(AND(ISNUMBER(D1959),ISNUMBER(J1959)),ROUND(D1959*J1959*(1-N(F1959)),2),0))</f>
        <v/>
      </c>
      <c r="M1959" s="62" t="str">
        <f>IF(A1959="","",IFERROR(INDEX(fa_cname,MATCH(A1959,fa_num,0))&amp;"",""))</f>
        <v/>
      </c>
      <c r="N1959" s="59" t="str">
        <f>IF(COUNTA(A1959:G1959)=0,"",IF(A1959="","N° facture manquant",IF(ISNA(MATCH(A1959,fa_num,0)),"Facture inconnue",IF(AND(B1959&lt;&gt;"",ISNA(MATCH(B1959,pr_code,0))),"Article inconnu",IF(H1959="","Désignation manquante",IF(OR(NOT(ISNUMBER(D1959)),N(D1959)&lt;=0),"Quantité invalide",IF(J1959="","Prix manquant",IF(OR(NOT(ISNUMBER(J1959)),N(J1959)&lt;0),"Prix invalide",IF(OR(AND(F1959&lt;&gt;"",NOT(ISNUMBER(F1959))),N(F1959)&lt;0,N(F1959)&gt;1),"Remise invalide",IF(K1959="","Taux de TVA manquant",IF(NOT(ISNUMBER(K1959)),"Taux de TVA invalide",IF(COUNTIF(p_rates,K1959)=0,"Taux de TVA hors liste (Paramètres)",IF(N(O1959)&gt;25,"Au-delà de 25 lignes : non imprimée","OK")))))))))))))</f>
        <v/>
      </c>
      <c r="O1959" s="59" t="str">
        <f>IF(A1959="","",COUNTIF($A$6:A1959,A1959))</f>
        <v/>
      </c>
      <c r="P1959" s="62" t="str">
        <f>IF(A1959="","",A1959&amp;"|"&amp;O1959)</f>
        <v/>
      </c>
    </row>
    <row r="1960">
      <c r="A1960" s="60" t="n"/>
      <c r="B1960" s="63" t="n"/>
      <c r="C1960" s="63" t="n"/>
      <c r="D1960" s="67" t="n"/>
      <c r="E1960" s="68" t="n"/>
      <c r="F1960" s="69" t="n"/>
      <c r="G1960" s="70" t="n"/>
      <c r="H1960" s="62" t="str">
        <f>IF(COUNTA(A1960:G1960)=0,"",IF(C1960&lt;&gt;"",C1960,IF(B1960="","",IFERROR(INDEX(pr_des,MATCH(B1960,pr_code,0))&amp;"",""))))</f>
        <v/>
      </c>
      <c r="I1960" s="59" t="str">
        <f>IF(B1960="","",IFERROR(INDEX(pr_unit,MATCH(B1960,pr_code,0))&amp;"",""))</f>
        <v/>
      </c>
      <c r="J1960" s="65" t="str">
        <f>IF(COUNTA(A1960:G1960)=0,"",IF(E1960&lt;&gt;"",E1960,IF(B1960="","",IFERROR(IF(INDEX(pr_price,MATCH(B1960,pr_code,0))="","",INDEX(pr_price,MATCH(B1960,pr_code,0))),""))))</f>
        <v/>
      </c>
      <c r="K1960" s="71" t="str">
        <f>IF(COUNTA(A1960:G1960)=0,"",IF(G1960&lt;&gt;"",G1960,IF(B1960="","",IFERROR(IF(INDEX(pr_rate,MATCH(B1960,pr_code,0))="","",INDEX(pr_rate,MATCH(B1960,pr_code,0))),""))))</f>
        <v/>
      </c>
      <c r="L1960" s="65" t="str">
        <f>IF(COUNTA(A1960:G1960)=0,"",IF(AND(ISNUMBER(D1960),ISNUMBER(J1960)),ROUND(D1960*J1960*(1-N(F1960)),2),0))</f>
        <v/>
      </c>
      <c r="M1960" s="62" t="str">
        <f>IF(A1960="","",IFERROR(INDEX(fa_cname,MATCH(A1960,fa_num,0))&amp;"",""))</f>
        <v/>
      </c>
      <c r="N1960" s="59" t="str">
        <f>IF(COUNTA(A1960:G1960)=0,"",IF(A1960="","N° facture manquant",IF(ISNA(MATCH(A1960,fa_num,0)),"Facture inconnue",IF(AND(B1960&lt;&gt;"",ISNA(MATCH(B1960,pr_code,0))),"Article inconnu",IF(H1960="","Désignation manquante",IF(OR(NOT(ISNUMBER(D1960)),N(D1960)&lt;=0),"Quantité invalide",IF(J1960="","Prix manquant",IF(OR(NOT(ISNUMBER(J1960)),N(J1960)&lt;0),"Prix invalide",IF(OR(AND(F1960&lt;&gt;"",NOT(ISNUMBER(F1960))),N(F1960)&lt;0,N(F1960)&gt;1),"Remise invalide",IF(K1960="","Taux de TVA manquant",IF(NOT(ISNUMBER(K1960)),"Taux de TVA invalide",IF(COUNTIF(p_rates,K1960)=0,"Taux de TVA hors liste (Paramètres)",IF(N(O1960)&gt;25,"Au-delà de 25 lignes : non imprimée","OK")))))))))))))</f>
        <v/>
      </c>
      <c r="O1960" s="59" t="str">
        <f>IF(A1960="","",COUNTIF($A$6:A1960,A1960))</f>
        <v/>
      </c>
      <c r="P1960" s="62" t="str">
        <f>IF(A1960="","",A1960&amp;"|"&amp;O1960)</f>
        <v/>
      </c>
    </row>
    <row r="1961">
      <c r="A1961" s="60" t="n"/>
      <c r="B1961" s="63" t="n"/>
      <c r="C1961" s="63" t="n"/>
      <c r="D1961" s="67" t="n"/>
      <c r="E1961" s="68" t="n"/>
      <c r="F1961" s="69" t="n"/>
      <c r="G1961" s="70" t="n"/>
      <c r="H1961" s="62" t="str">
        <f>IF(COUNTA(A1961:G1961)=0,"",IF(C1961&lt;&gt;"",C1961,IF(B1961="","",IFERROR(INDEX(pr_des,MATCH(B1961,pr_code,0))&amp;"",""))))</f>
        <v/>
      </c>
      <c r="I1961" s="59" t="str">
        <f>IF(B1961="","",IFERROR(INDEX(pr_unit,MATCH(B1961,pr_code,0))&amp;"",""))</f>
        <v/>
      </c>
      <c r="J1961" s="65" t="str">
        <f>IF(COUNTA(A1961:G1961)=0,"",IF(E1961&lt;&gt;"",E1961,IF(B1961="","",IFERROR(IF(INDEX(pr_price,MATCH(B1961,pr_code,0))="","",INDEX(pr_price,MATCH(B1961,pr_code,0))),""))))</f>
        <v/>
      </c>
      <c r="K1961" s="71" t="str">
        <f>IF(COUNTA(A1961:G1961)=0,"",IF(G1961&lt;&gt;"",G1961,IF(B1961="","",IFERROR(IF(INDEX(pr_rate,MATCH(B1961,pr_code,0))="","",INDEX(pr_rate,MATCH(B1961,pr_code,0))),""))))</f>
        <v/>
      </c>
      <c r="L1961" s="65" t="str">
        <f>IF(COUNTA(A1961:G1961)=0,"",IF(AND(ISNUMBER(D1961),ISNUMBER(J1961)),ROUND(D1961*J1961*(1-N(F1961)),2),0))</f>
        <v/>
      </c>
      <c r="M1961" s="62" t="str">
        <f>IF(A1961="","",IFERROR(INDEX(fa_cname,MATCH(A1961,fa_num,0))&amp;"",""))</f>
        <v/>
      </c>
      <c r="N1961" s="59" t="str">
        <f>IF(COUNTA(A1961:G1961)=0,"",IF(A1961="","N° facture manquant",IF(ISNA(MATCH(A1961,fa_num,0)),"Facture inconnue",IF(AND(B1961&lt;&gt;"",ISNA(MATCH(B1961,pr_code,0))),"Article inconnu",IF(H1961="","Désignation manquante",IF(OR(NOT(ISNUMBER(D1961)),N(D1961)&lt;=0),"Quantité invalide",IF(J1961="","Prix manquant",IF(OR(NOT(ISNUMBER(J1961)),N(J1961)&lt;0),"Prix invalide",IF(OR(AND(F1961&lt;&gt;"",NOT(ISNUMBER(F1961))),N(F1961)&lt;0,N(F1961)&gt;1),"Remise invalide",IF(K1961="","Taux de TVA manquant",IF(NOT(ISNUMBER(K1961)),"Taux de TVA invalide",IF(COUNTIF(p_rates,K1961)=0,"Taux de TVA hors liste (Paramètres)",IF(N(O1961)&gt;25,"Au-delà de 25 lignes : non imprimée","OK")))))))))))))</f>
        <v/>
      </c>
      <c r="O1961" s="59" t="str">
        <f>IF(A1961="","",COUNTIF($A$6:A1961,A1961))</f>
        <v/>
      </c>
      <c r="P1961" s="62" t="str">
        <f>IF(A1961="","",A1961&amp;"|"&amp;O1961)</f>
        <v/>
      </c>
    </row>
    <row r="1962">
      <c r="A1962" s="60" t="n"/>
      <c r="B1962" s="63" t="n"/>
      <c r="C1962" s="63" t="n"/>
      <c r="D1962" s="67" t="n"/>
      <c r="E1962" s="68" t="n"/>
      <c r="F1962" s="69" t="n"/>
      <c r="G1962" s="70" t="n"/>
      <c r="H1962" s="62" t="str">
        <f>IF(COUNTA(A1962:G1962)=0,"",IF(C1962&lt;&gt;"",C1962,IF(B1962="","",IFERROR(INDEX(pr_des,MATCH(B1962,pr_code,0))&amp;"",""))))</f>
        <v/>
      </c>
      <c r="I1962" s="59" t="str">
        <f>IF(B1962="","",IFERROR(INDEX(pr_unit,MATCH(B1962,pr_code,0))&amp;"",""))</f>
        <v/>
      </c>
      <c r="J1962" s="65" t="str">
        <f>IF(COUNTA(A1962:G1962)=0,"",IF(E1962&lt;&gt;"",E1962,IF(B1962="","",IFERROR(IF(INDEX(pr_price,MATCH(B1962,pr_code,0))="","",INDEX(pr_price,MATCH(B1962,pr_code,0))),""))))</f>
        <v/>
      </c>
      <c r="K1962" s="71" t="str">
        <f>IF(COUNTA(A1962:G1962)=0,"",IF(G1962&lt;&gt;"",G1962,IF(B1962="","",IFERROR(IF(INDEX(pr_rate,MATCH(B1962,pr_code,0))="","",INDEX(pr_rate,MATCH(B1962,pr_code,0))),""))))</f>
        <v/>
      </c>
      <c r="L1962" s="65" t="str">
        <f>IF(COUNTA(A1962:G1962)=0,"",IF(AND(ISNUMBER(D1962),ISNUMBER(J1962)),ROUND(D1962*J1962*(1-N(F1962)),2),0))</f>
        <v/>
      </c>
      <c r="M1962" s="62" t="str">
        <f>IF(A1962="","",IFERROR(INDEX(fa_cname,MATCH(A1962,fa_num,0))&amp;"",""))</f>
        <v/>
      </c>
      <c r="N1962" s="59" t="str">
        <f>IF(COUNTA(A1962:G1962)=0,"",IF(A1962="","N° facture manquant",IF(ISNA(MATCH(A1962,fa_num,0)),"Facture inconnue",IF(AND(B1962&lt;&gt;"",ISNA(MATCH(B1962,pr_code,0))),"Article inconnu",IF(H1962="","Désignation manquante",IF(OR(NOT(ISNUMBER(D1962)),N(D1962)&lt;=0),"Quantité invalide",IF(J1962="","Prix manquant",IF(OR(NOT(ISNUMBER(J1962)),N(J1962)&lt;0),"Prix invalide",IF(OR(AND(F1962&lt;&gt;"",NOT(ISNUMBER(F1962))),N(F1962)&lt;0,N(F1962)&gt;1),"Remise invalide",IF(K1962="","Taux de TVA manquant",IF(NOT(ISNUMBER(K1962)),"Taux de TVA invalide",IF(COUNTIF(p_rates,K1962)=0,"Taux de TVA hors liste (Paramètres)",IF(N(O1962)&gt;25,"Au-delà de 25 lignes : non imprimée","OK")))))))))))))</f>
        <v/>
      </c>
      <c r="O1962" s="59" t="str">
        <f>IF(A1962="","",COUNTIF($A$6:A1962,A1962))</f>
        <v/>
      </c>
      <c r="P1962" s="62" t="str">
        <f>IF(A1962="","",A1962&amp;"|"&amp;O1962)</f>
        <v/>
      </c>
    </row>
    <row r="1963">
      <c r="A1963" s="60" t="n"/>
      <c r="B1963" s="63" t="n"/>
      <c r="C1963" s="63" t="n"/>
      <c r="D1963" s="67" t="n"/>
      <c r="E1963" s="68" t="n"/>
      <c r="F1963" s="69" t="n"/>
      <c r="G1963" s="70" t="n"/>
      <c r="H1963" s="62" t="str">
        <f>IF(COUNTA(A1963:G1963)=0,"",IF(C1963&lt;&gt;"",C1963,IF(B1963="","",IFERROR(INDEX(pr_des,MATCH(B1963,pr_code,0))&amp;"",""))))</f>
        <v/>
      </c>
      <c r="I1963" s="59" t="str">
        <f>IF(B1963="","",IFERROR(INDEX(pr_unit,MATCH(B1963,pr_code,0))&amp;"",""))</f>
        <v/>
      </c>
      <c r="J1963" s="65" t="str">
        <f>IF(COUNTA(A1963:G1963)=0,"",IF(E1963&lt;&gt;"",E1963,IF(B1963="","",IFERROR(IF(INDEX(pr_price,MATCH(B1963,pr_code,0))="","",INDEX(pr_price,MATCH(B1963,pr_code,0))),""))))</f>
        <v/>
      </c>
      <c r="K1963" s="71" t="str">
        <f>IF(COUNTA(A1963:G1963)=0,"",IF(G1963&lt;&gt;"",G1963,IF(B1963="","",IFERROR(IF(INDEX(pr_rate,MATCH(B1963,pr_code,0))="","",INDEX(pr_rate,MATCH(B1963,pr_code,0))),""))))</f>
        <v/>
      </c>
      <c r="L1963" s="65" t="str">
        <f>IF(COUNTA(A1963:G1963)=0,"",IF(AND(ISNUMBER(D1963),ISNUMBER(J1963)),ROUND(D1963*J1963*(1-N(F1963)),2),0))</f>
        <v/>
      </c>
      <c r="M1963" s="62" t="str">
        <f>IF(A1963="","",IFERROR(INDEX(fa_cname,MATCH(A1963,fa_num,0))&amp;"",""))</f>
        <v/>
      </c>
      <c r="N1963" s="59" t="str">
        <f>IF(COUNTA(A1963:G1963)=0,"",IF(A1963="","N° facture manquant",IF(ISNA(MATCH(A1963,fa_num,0)),"Facture inconnue",IF(AND(B1963&lt;&gt;"",ISNA(MATCH(B1963,pr_code,0))),"Article inconnu",IF(H1963="","Désignation manquante",IF(OR(NOT(ISNUMBER(D1963)),N(D1963)&lt;=0),"Quantité invalide",IF(J1963="","Prix manquant",IF(OR(NOT(ISNUMBER(J1963)),N(J1963)&lt;0),"Prix invalide",IF(OR(AND(F1963&lt;&gt;"",NOT(ISNUMBER(F1963))),N(F1963)&lt;0,N(F1963)&gt;1),"Remise invalide",IF(K1963="","Taux de TVA manquant",IF(NOT(ISNUMBER(K1963)),"Taux de TVA invalide",IF(COUNTIF(p_rates,K1963)=0,"Taux de TVA hors liste (Paramètres)",IF(N(O1963)&gt;25,"Au-delà de 25 lignes : non imprimée","OK")))))))))))))</f>
        <v/>
      </c>
      <c r="O1963" s="59" t="str">
        <f>IF(A1963="","",COUNTIF($A$6:A1963,A1963))</f>
        <v/>
      </c>
      <c r="P1963" s="62" t="str">
        <f>IF(A1963="","",A1963&amp;"|"&amp;O1963)</f>
        <v/>
      </c>
    </row>
    <row r="1964">
      <c r="A1964" s="60" t="n"/>
      <c r="B1964" s="63" t="n"/>
      <c r="C1964" s="63" t="n"/>
      <c r="D1964" s="67" t="n"/>
      <c r="E1964" s="68" t="n"/>
      <c r="F1964" s="69" t="n"/>
      <c r="G1964" s="70" t="n"/>
      <c r="H1964" s="62" t="str">
        <f>IF(COUNTA(A1964:G1964)=0,"",IF(C1964&lt;&gt;"",C1964,IF(B1964="","",IFERROR(INDEX(pr_des,MATCH(B1964,pr_code,0))&amp;"",""))))</f>
        <v/>
      </c>
      <c r="I1964" s="59" t="str">
        <f>IF(B1964="","",IFERROR(INDEX(pr_unit,MATCH(B1964,pr_code,0))&amp;"",""))</f>
        <v/>
      </c>
      <c r="J1964" s="65" t="str">
        <f>IF(COUNTA(A1964:G1964)=0,"",IF(E1964&lt;&gt;"",E1964,IF(B1964="","",IFERROR(IF(INDEX(pr_price,MATCH(B1964,pr_code,0))="","",INDEX(pr_price,MATCH(B1964,pr_code,0))),""))))</f>
        <v/>
      </c>
      <c r="K1964" s="71" t="str">
        <f>IF(COUNTA(A1964:G1964)=0,"",IF(G1964&lt;&gt;"",G1964,IF(B1964="","",IFERROR(IF(INDEX(pr_rate,MATCH(B1964,pr_code,0))="","",INDEX(pr_rate,MATCH(B1964,pr_code,0))),""))))</f>
        <v/>
      </c>
      <c r="L1964" s="65" t="str">
        <f>IF(COUNTA(A1964:G1964)=0,"",IF(AND(ISNUMBER(D1964),ISNUMBER(J1964)),ROUND(D1964*J1964*(1-N(F1964)),2),0))</f>
        <v/>
      </c>
      <c r="M1964" s="62" t="str">
        <f>IF(A1964="","",IFERROR(INDEX(fa_cname,MATCH(A1964,fa_num,0))&amp;"",""))</f>
        <v/>
      </c>
      <c r="N1964" s="59" t="str">
        <f>IF(COUNTA(A1964:G1964)=0,"",IF(A1964="","N° facture manquant",IF(ISNA(MATCH(A1964,fa_num,0)),"Facture inconnue",IF(AND(B1964&lt;&gt;"",ISNA(MATCH(B1964,pr_code,0))),"Article inconnu",IF(H1964="","Désignation manquante",IF(OR(NOT(ISNUMBER(D1964)),N(D1964)&lt;=0),"Quantité invalide",IF(J1964="","Prix manquant",IF(OR(NOT(ISNUMBER(J1964)),N(J1964)&lt;0),"Prix invalide",IF(OR(AND(F1964&lt;&gt;"",NOT(ISNUMBER(F1964))),N(F1964)&lt;0,N(F1964)&gt;1),"Remise invalide",IF(K1964="","Taux de TVA manquant",IF(NOT(ISNUMBER(K1964)),"Taux de TVA invalide",IF(COUNTIF(p_rates,K1964)=0,"Taux de TVA hors liste (Paramètres)",IF(N(O1964)&gt;25,"Au-delà de 25 lignes : non imprimée","OK")))))))))))))</f>
        <v/>
      </c>
      <c r="O1964" s="59" t="str">
        <f>IF(A1964="","",COUNTIF($A$6:A1964,A1964))</f>
        <v/>
      </c>
      <c r="P1964" s="62" t="str">
        <f>IF(A1964="","",A1964&amp;"|"&amp;O1964)</f>
        <v/>
      </c>
    </row>
    <row r="1965">
      <c r="A1965" s="60" t="n"/>
      <c r="B1965" s="63" t="n"/>
      <c r="C1965" s="63" t="n"/>
      <c r="D1965" s="67" t="n"/>
      <c r="E1965" s="68" t="n"/>
      <c r="F1965" s="69" t="n"/>
      <c r="G1965" s="70" t="n"/>
      <c r="H1965" s="62" t="str">
        <f>IF(COUNTA(A1965:G1965)=0,"",IF(C1965&lt;&gt;"",C1965,IF(B1965="","",IFERROR(INDEX(pr_des,MATCH(B1965,pr_code,0))&amp;"",""))))</f>
        <v/>
      </c>
      <c r="I1965" s="59" t="str">
        <f>IF(B1965="","",IFERROR(INDEX(pr_unit,MATCH(B1965,pr_code,0))&amp;"",""))</f>
        <v/>
      </c>
      <c r="J1965" s="65" t="str">
        <f>IF(COUNTA(A1965:G1965)=0,"",IF(E1965&lt;&gt;"",E1965,IF(B1965="","",IFERROR(IF(INDEX(pr_price,MATCH(B1965,pr_code,0))="","",INDEX(pr_price,MATCH(B1965,pr_code,0))),""))))</f>
        <v/>
      </c>
      <c r="K1965" s="71" t="str">
        <f>IF(COUNTA(A1965:G1965)=0,"",IF(G1965&lt;&gt;"",G1965,IF(B1965="","",IFERROR(IF(INDEX(pr_rate,MATCH(B1965,pr_code,0))="","",INDEX(pr_rate,MATCH(B1965,pr_code,0))),""))))</f>
        <v/>
      </c>
      <c r="L1965" s="65" t="str">
        <f>IF(COUNTA(A1965:G1965)=0,"",IF(AND(ISNUMBER(D1965),ISNUMBER(J1965)),ROUND(D1965*J1965*(1-N(F1965)),2),0))</f>
        <v/>
      </c>
      <c r="M1965" s="62" t="str">
        <f>IF(A1965="","",IFERROR(INDEX(fa_cname,MATCH(A1965,fa_num,0))&amp;"",""))</f>
        <v/>
      </c>
      <c r="N1965" s="59" t="str">
        <f>IF(COUNTA(A1965:G1965)=0,"",IF(A1965="","N° facture manquant",IF(ISNA(MATCH(A1965,fa_num,0)),"Facture inconnue",IF(AND(B1965&lt;&gt;"",ISNA(MATCH(B1965,pr_code,0))),"Article inconnu",IF(H1965="","Désignation manquante",IF(OR(NOT(ISNUMBER(D1965)),N(D1965)&lt;=0),"Quantité invalide",IF(J1965="","Prix manquant",IF(OR(NOT(ISNUMBER(J1965)),N(J1965)&lt;0),"Prix invalide",IF(OR(AND(F1965&lt;&gt;"",NOT(ISNUMBER(F1965))),N(F1965)&lt;0,N(F1965)&gt;1),"Remise invalide",IF(K1965="","Taux de TVA manquant",IF(NOT(ISNUMBER(K1965)),"Taux de TVA invalide",IF(COUNTIF(p_rates,K1965)=0,"Taux de TVA hors liste (Paramètres)",IF(N(O1965)&gt;25,"Au-delà de 25 lignes : non imprimée","OK")))))))))))))</f>
        <v/>
      </c>
      <c r="O1965" s="59" t="str">
        <f>IF(A1965="","",COUNTIF($A$6:A1965,A1965))</f>
        <v/>
      </c>
      <c r="P1965" s="62" t="str">
        <f>IF(A1965="","",A1965&amp;"|"&amp;O1965)</f>
        <v/>
      </c>
    </row>
    <row r="1966">
      <c r="A1966" s="60" t="n"/>
      <c r="B1966" s="63" t="n"/>
      <c r="C1966" s="63" t="n"/>
      <c r="D1966" s="67" t="n"/>
      <c r="E1966" s="68" t="n"/>
      <c r="F1966" s="69" t="n"/>
      <c r="G1966" s="70" t="n"/>
      <c r="H1966" s="62" t="str">
        <f>IF(COUNTA(A1966:G1966)=0,"",IF(C1966&lt;&gt;"",C1966,IF(B1966="","",IFERROR(INDEX(pr_des,MATCH(B1966,pr_code,0))&amp;"",""))))</f>
        <v/>
      </c>
      <c r="I1966" s="59" t="str">
        <f>IF(B1966="","",IFERROR(INDEX(pr_unit,MATCH(B1966,pr_code,0))&amp;"",""))</f>
        <v/>
      </c>
      <c r="J1966" s="65" t="str">
        <f>IF(COUNTA(A1966:G1966)=0,"",IF(E1966&lt;&gt;"",E1966,IF(B1966="","",IFERROR(IF(INDEX(pr_price,MATCH(B1966,pr_code,0))="","",INDEX(pr_price,MATCH(B1966,pr_code,0))),""))))</f>
        <v/>
      </c>
      <c r="K1966" s="71" t="str">
        <f>IF(COUNTA(A1966:G1966)=0,"",IF(G1966&lt;&gt;"",G1966,IF(B1966="","",IFERROR(IF(INDEX(pr_rate,MATCH(B1966,pr_code,0))="","",INDEX(pr_rate,MATCH(B1966,pr_code,0))),""))))</f>
        <v/>
      </c>
      <c r="L1966" s="65" t="str">
        <f>IF(COUNTA(A1966:G1966)=0,"",IF(AND(ISNUMBER(D1966),ISNUMBER(J1966)),ROUND(D1966*J1966*(1-N(F1966)),2),0))</f>
        <v/>
      </c>
      <c r="M1966" s="62" t="str">
        <f>IF(A1966="","",IFERROR(INDEX(fa_cname,MATCH(A1966,fa_num,0))&amp;"",""))</f>
        <v/>
      </c>
      <c r="N1966" s="59" t="str">
        <f>IF(COUNTA(A1966:G1966)=0,"",IF(A1966="","N° facture manquant",IF(ISNA(MATCH(A1966,fa_num,0)),"Facture inconnue",IF(AND(B1966&lt;&gt;"",ISNA(MATCH(B1966,pr_code,0))),"Article inconnu",IF(H1966="","Désignation manquante",IF(OR(NOT(ISNUMBER(D1966)),N(D1966)&lt;=0),"Quantité invalide",IF(J1966="","Prix manquant",IF(OR(NOT(ISNUMBER(J1966)),N(J1966)&lt;0),"Prix invalide",IF(OR(AND(F1966&lt;&gt;"",NOT(ISNUMBER(F1966))),N(F1966)&lt;0,N(F1966)&gt;1),"Remise invalide",IF(K1966="","Taux de TVA manquant",IF(NOT(ISNUMBER(K1966)),"Taux de TVA invalide",IF(COUNTIF(p_rates,K1966)=0,"Taux de TVA hors liste (Paramètres)",IF(N(O1966)&gt;25,"Au-delà de 25 lignes : non imprimée","OK")))))))))))))</f>
        <v/>
      </c>
      <c r="O1966" s="59" t="str">
        <f>IF(A1966="","",COUNTIF($A$6:A1966,A1966))</f>
        <v/>
      </c>
      <c r="P1966" s="62" t="str">
        <f>IF(A1966="","",A1966&amp;"|"&amp;O1966)</f>
        <v/>
      </c>
    </row>
    <row r="1967">
      <c r="A1967" s="60" t="n"/>
      <c r="B1967" s="63" t="n"/>
      <c r="C1967" s="63" t="n"/>
      <c r="D1967" s="67" t="n"/>
      <c r="E1967" s="68" t="n"/>
      <c r="F1967" s="69" t="n"/>
      <c r="G1967" s="70" t="n"/>
      <c r="H1967" s="62" t="str">
        <f>IF(COUNTA(A1967:G1967)=0,"",IF(C1967&lt;&gt;"",C1967,IF(B1967="","",IFERROR(INDEX(pr_des,MATCH(B1967,pr_code,0))&amp;"",""))))</f>
        <v/>
      </c>
      <c r="I1967" s="59" t="str">
        <f>IF(B1967="","",IFERROR(INDEX(pr_unit,MATCH(B1967,pr_code,0))&amp;"",""))</f>
        <v/>
      </c>
      <c r="J1967" s="65" t="str">
        <f>IF(COUNTA(A1967:G1967)=0,"",IF(E1967&lt;&gt;"",E1967,IF(B1967="","",IFERROR(IF(INDEX(pr_price,MATCH(B1967,pr_code,0))="","",INDEX(pr_price,MATCH(B1967,pr_code,0))),""))))</f>
        <v/>
      </c>
      <c r="K1967" s="71" t="str">
        <f>IF(COUNTA(A1967:G1967)=0,"",IF(G1967&lt;&gt;"",G1967,IF(B1967="","",IFERROR(IF(INDEX(pr_rate,MATCH(B1967,pr_code,0))="","",INDEX(pr_rate,MATCH(B1967,pr_code,0))),""))))</f>
        <v/>
      </c>
      <c r="L1967" s="65" t="str">
        <f>IF(COUNTA(A1967:G1967)=0,"",IF(AND(ISNUMBER(D1967),ISNUMBER(J1967)),ROUND(D1967*J1967*(1-N(F1967)),2),0))</f>
        <v/>
      </c>
      <c r="M1967" s="62" t="str">
        <f>IF(A1967="","",IFERROR(INDEX(fa_cname,MATCH(A1967,fa_num,0))&amp;"",""))</f>
        <v/>
      </c>
      <c r="N1967" s="59" t="str">
        <f>IF(COUNTA(A1967:G1967)=0,"",IF(A1967="","N° facture manquant",IF(ISNA(MATCH(A1967,fa_num,0)),"Facture inconnue",IF(AND(B1967&lt;&gt;"",ISNA(MATCH(B1967,pr_code,0))),"Article inconnu",IF(H1967="","Désignation manquante",IF(OR(NOT(ISNUMBER(D1967)),N(D1967)&lt;=0),"Quantité invalide",IF(J1967="","Prix manquant",IF(OR(NOT(ISNUMBER(J1967)),N(J1967)&lt;0),"Prix invalide",IF(OR(AND(F1967&lt;&gt;"",NOT(ISNUMBER(F1967))),N(F1967)&lt;0,N(F1967)&gt;1),"Remise invalide",IF(K1967="","Taux de TVA manquant",IF(NOT(ISNUMBER(K1967)),"Taux de TVA invalide",IF(COUNTIF(p_rates,K1967)=0,"Taux de TVA hors liste (Paramètres)",IF(N(O1967)&gt;25,"Au-delà de 25 lignes : non imprimée","OK")))))))))))))</f>
        <v/>
      </c>
      <c r="O1967" s="59" t="str">
        <f>IF(A1967="","",COUNTIF($A$6:A1967,A1967))</f>
        <v/>
      </c>
      <c r="P1967" s="62" t="str">
        <f>IF(A1967="","",A1967&amp;"|"&amp;O1967)</f>
        <v/>
      </c>
    </row>
    <row r="1968">
      <c r="A1968" s="60" t="n"/>
      <c r="B1968" s="63" t="n"/>
      <c r="C1968" s="63" t="n"/>
      <c r="D1968" s="67" t="n"/>
      <c r="E1968" s="68" t="n"/>
      <c r="F1968" s="69" t="n"/>
      <c r="G1968" s="70" t="n"/>
      <c r="H1968" s="62" t="str">
        <f>IF(COUNTA(A1968:G1968)=0,"",IF(C1968&lt;&gt;"",C1968,IF(B1968="","",IFERROR(INDEX(pr_des,MATCH(B1968,pr_code,0))&amp;"",""))))</f>
        <v/>
      </c>
      <c r="I1968" s="59" t="str">
        <f>IF(B1968="","",IFERROR(INDEX(pr_unit,MATCH(B1968,pr_code,0))&amp;"",""))</f>
        <v/>
      </c>
      <c r="J1968" s="65" t="str">
        <f>IF(COUNTA(A1968:G1968)=0,"",IF(E1968&lt;&gt;"",E1968,IF(B1968="","",IFERROR(IF(INDEX(pr_price,MATCH(B1968,pr_code,0))="","",INDEX(pr_price,MATCH(B1968,pr_code,0))),""))))</f>
        <v/>
      </c>
      <c r="K1968" s="71" t="str">
        <f>IF(COUNTA(A1968:G1968)=0,"",IF(G1968&lt;&gt;"",G1968,IF(B1968="","",IFERROR(IF(INDEX(pr_rate,MATCH(B1968,pr_code,0))="","",INDEX(pr_rate,MATCH(B1968,pr_code,0))),""))))</f>
        <v/>
      </c>
      <c r="L1968" s="65" t="str">
        <f>IF(COUNTA(A1968:G1968)=0,"",IF(AND(ISNUMBER(D1968),ISNUMBER(J1968)),ROUND(D1968*J1968*(1-N(F1968)),2),0))</f>
        <v/>
      </c>
      <c r="M1968" s="62" t="str">
        <f>IF(A1968="","",IFERROR(INDEX(fa_cname,MATCH(A1968,fa_num,0))&amp;"",""))</f>
        <v/>
      </c>
      <c r="N1968" s="59" t="str">
        <f>IF(COUNTA(A1968:G1968)=0,"",IF(A1968="","N° facture manquant",IF(ISNA(MATCH(A1968,fa_num,0)),"Facture inconnue",IF(AND(B1968&lt;&gt;"",ISNA(MATCH(B1968,pr_code,0))),"Article inconnu",IF(H1968="","Désignation manquante",IF(OR(NOT(ISNUMBER(D1968)),N(D1968)&lt;=0),"Quantité invalide",IF(J1968="","Prix manquant",IF(OR(NOT(ISNUMBER(J1968)),N(J1968)&lt;0),"Prix invalide",IF(OR(AND(F1968&lt;&gt;"",NOT(ISNUMBER(F1968))),N(F1968)&lt;0,N(F1968)&gt;1),"Remise invalide",IF(K1968="","Taux de TVA manquant",IF(NOT(ISNUMBER(K1968)),"Taux de TVA invalide",IF(COUNTIF(p_rates,K1968)=0,"Taux de TVA hors liste (Paramètres)",IF(N(O1968)&gt;25,"Au-delà de 25 lignes : non imprimée","OK")))))))))))))</f>
        <v/>
      </c>
      <c r="O1968" s="59" t="str">
        <f>IF(A1968="","",COUNTIF($A$6:A1968,A1968))</f>
        <v/>
      </c>
      <c r="P1968" s="62" t="str">
        <f>IF(A1968="","",A1968&amp;"|"&amp;O1968)</f>
        <v/>
      </c>
    </row>
    <row r="1969">
      <c r="A1969" s="60" t="n"/>
      <c r="B1969" s="63" t="n"/>
      <c r="C1969" s="63" t="n"/>
      <c r="D1969" s="67" t="n"/>
      <c r="E1969" s="68" t="n"/>
      <c r="F1969" s="69" t="n"/>
      <c r="G1969" s="70" t="n"/>
      <c r="H1969" s="62" t="str">
        <f>IF(COUNTA(A1969:G1969)=0,"",IF(C1969&lt;&gt;"",C1969,IF(B1969="","",IFERROR(INDEX(pr_des,MATCH(B1969,pr_code,0))&amp;"",""))))</f>
        <v/>
      </c>
      <c r="I1969" s="59" t="str">
        <f>IF(B1969="","",IFERROR(INDEX(pr_unit,MATCH(B1969,pr_code,0))&amp;"",""))</f>
        <v/>
      </c>
      <c r="J1969" s="65" t="str">
        <f>IF(COUNTA(A1969:G1969)=0,"",IF(E1969&lt;&gt;"",E1969,IF(B1969="","",IFERROR(IF(INDEX(pr_price,MATCH(B1969,pr_code,0))="","",INDEX(pr_price,MATCH(B1969,pr_code,0))),""))))</f>
        <v/>
      </c>
      <c r="K1969" s="71" t="str">
        <f>IF(COUNTA(A1969:G1969)=0,"",IF(G1969&lt;&gt;"",G1969,IF(B1969="","",IFERROR(IF(INDEX(pr_rate,MATCH(B1969,pr_code,0))="","",INDEX(pr_rate,MATCH(B1969,pr_code,0))),""))))</f>
        <v/>
      </c>
      <c r="L1969" s="65" t="str">
        <f>IF(COUNTA(A1969:G1969)=0,"",IF(AND(ISNUMBER(D1969),ISNUMBER(J1969)),ROUND(D1969*J1969*(1-N(F1969)),2),0))</f>
        <v/>
      </c>
      <c r="M1969" s="62" t="str">
        <f>IF(A1969="","",IFERROR(INDEX(fa_cname,MATCH(A1969,fa_num,0))&amp;"",""))</f>
        <v/>
      </c>
      <c r="N1969" s="59" t="str">
        <f>IF(COUNTA(A1969:G1969)=0,"",IF(A1969="","N° facture manquant",IF(ISNA(MATCH(A1969,fa_num,0)),"Facture inconnue",IF(AND(B1969&lt;&gt;"",ISNA(MATCH(B1969,pr_code,0))),"Article inconnu",IF(H1969="","Désignation manquante",IF(OR(NOT(ISNUMBER(D1969)),N(D1969)&lt;=0),"Quantité invalide",IF(J1969="","Prix manquant",IF(OR(NOT(ISNUMBER(J1969)),N(J1969)&lt;0),"Prix invalide",IF(OR(AND(F1969&lt;&gt;"",NOT(ISNUMBER(F1969))),N(F1969)&lt;0,N(F1969)&gt;1),"Remise invalide",IF(K1969="","Taux de TVA manquant",IF(NOT(ISNUMBER(K1969)),"Taux de TVA invalide",IF(COUNTIF(p_rates,K1969)=0,"Taux de TVA hors liste (Paramètres)",IF(N(O1969)&gt;25,"Au-delà de 25 lignes : non imprimée","OK")))))))))))))</f>
        <v/>
      </c>
      <c r="O1969" s="59" t="str">
        <f>IF(A1969="","",COUNTIF($A$6:A1969,A1969))</f>
        <v/>
      </c>
      <c r="P1969" s="62" t="str">
        <f>IF(A1969="","",A1969&amp;"|"&amp;O1969)</f>
        <v/>
      </c>
    </row>
    <row r="1970">
      <c r="A1970" s="60" t="n"/>
      <c r="B1970" s="63" t="n"/>
      <c r="C1970" s="63" t="n"/>
      <c r="D1970" s="67" t="n"/>
      <c r="E1970" s="68" t="n"/>
      <c r="F1970" s="69" t="n"/>
      <c r="G1970" s="70" t="n"/>
      <c r="H1970" s="62" t="str">
        <f>IF(COUNTA(A1970:G1970)=0,"",IF(C1970&lt;&gt;"",C1970,IF(B1970="","",IFERROR(INDEX(pr_des,MATCH(B1970,pr_code,0))&amp;"",""))))</f>
        <v/>
      </c>
      <c r="I1970" s="59" t="str">
        <f>IF(B1970="","",IFERROR(INDEX(pr_unit,MATCH(B1970,pr_code,0))&amp;"",""))</f>
        <v/>
      </c>
      <c r="J1970" s="65" t="str">
        <f>IF(COUNTA(A1970:G1970)=0,"",IF(E1970&lt;&gt;"",E1970,IF(B1970="","",IFERROR(IF(INDEX(pr_price,MATCH(B1970,pr_code,0))="","",INDEX(pr_price,MATCH(B1970,pr_code,0))),""))))</f>
        <v/>
      </c>
      <c r="K1970" s="71" t="str">
        <f>IF(COUNTA(A1970:G1970)=0,"",IF(G1970&lt;&gt;"",G1970,IF(B1970="","",IFERROR(IF(INDEX(pr_rate,MATCH(B1970,pr_code,0))="","",INDEX(pr_rate,MATCH(B1970,pr_code,0))),""))))</f>
        <v/>
      </c>
      <c r="L1970" s="65" t="str">
        <f>IF(COUNTA(A1970:G1970)=0,"",IF(AND(ISNUMBER(D1970),ISNUMBER(J1970)),ROUND(D1970*J1970*(1-N(F1970)),2),0))</f>
        <v/>
      </c>
      <c r="M1970" s="62" t="str">
        <f>IF(A1970="","",IFERROR(INDEX(fa_cname,MATCH(A1970,fa_num,0))&amp;"",""))</f>
        <v/>
      </c>
      <c r="N1970" s="59" t="str">
        <f>IF(COUNTA(A1970:G1970)=0,"",IF(A1970="","N° facture manquant",IF(ISNA(MATCH(A1970,fa_num,0)),"Facture inconnue",IF(AND(B1970&lt;&gt;"",ISNA(MATCH(B1970,pr_code,0))),"Article inconnu",IF(H1970="","Désignation manquante",IF(OR(NOT(ISNUMBER(D1970)),N(D1970)&lt;=0),"Quantité invalide",IF(J1970="","Prix manquant",IF(OR(NOT(ISNUMBER(J1970)),N(J1970)&lt;0),"Prix invalide",IF(OR(AND(F1970&lt;&gt;"",NOT(ISNUMBER(F1970))),N(F1970)&lt;0,N(F1970)&gt;1),"Remise invalide",IF(K1970="","Taux de TVA manquant",IF(NOT(ISNUMBER(K1970)),"Taux de TVA invalide",IF(COUNTIF(p_rates,K1970)=0,"Taux de TVA hors liste (Paramètres)",IF(N(O1970)&gt;25,"Au-delà de 25 lignes : non imprimée","OK")))))))))))))</f>
        <v/>
      </c>
      <c r="O1970" s="59" t="str">
        <f>IF(A1970="","",COUNTIF($A$6:A1970,A1970))</f>
        <v/>
      </c>
      <c r="P1970" s="62" t="str">
        <f>IF(A1970="","",A1970&amp;"|"&amp;O1970)</f>
        <v/>
      </c>
    </row>
    <row r="1971">
      <c r="A1971" s="60" t="n"/>
      <c r="B1971" s="63" t="n"/>
      <c r="C1971" s="63" t="n"/>
      <c r="D1971" s="67" t="n"/>
      <c r="E1971" s="68" t="n"/>
      <c r="F1971" s="69" t="n"/>
      <c r="G1971" s="70" t="n"/>
      <c r="H1971" s="62" t="str">
        <f>IF(COUNTA(A1971:G1971)=0,"",IF(C1971&lt;&gt;"",C1971,IF(B1971="","",IFERROR(INDEX(pr_des,MATCH(B1971,pr_code,0))&amp;"",""))))</f>
        <v/>
      </c>
      <c r="I1971" s="59" t="str">
        <f>IF(B1971="","",IFERROR(INDEX(pr_unit,MATCH(B1971,pr_code,0))&amp;"",""))</f>
        <v/>
      </c>
      <c r="J1971" s="65" t="str">
        <f>IF(COUNTA(A1971:G1971)=0,"",IF(E1971&lt;&gt;"",E1971,IF(B1971="","",IFERROR(IF(INDEX(pr_price,MATCH(B1971,pr_code,0))="","",INDEX(pr_price,MATCH(B1971,pr_code,0))),""))))</f>
        <v/>
      </c>
      <c r="K1971" s="71" t="str">
        <f>IF(COUNTA(A1971:G1971)=0,"",IF(G1971&lt;&gt;"",G1971,IF(B1971="","",IFERROR(IF(INDEX(pr_rate,MATCH(B1971,pr_code,0))="","",INDEX(pr_rate,MATCH(B1971,pr_code,0))),""))))</f>
        <v/>
      </c>
      <c r="L1971" s="65" t="str">
        <f>IF(COUNTA(A1971:G1971)=0,"",IF(AND(ISNUMBER(D1971),ISNUMBER(J1971)),ROUND(D1971*J1971*(1-N(F1971)),2),0))</f>
        <v/>
      </c>
      <c r="M1971" s="62" t="str">
        <f>IF(A1971="","",IFERROR(INDEX(fa_cname,MATCH(A1971,fa_num,0))&amp;"",""))</f>
        <v/>
      </c>
      <c r="N1971" s="59" t="str">
        <f>IF(COUNTA(A1971:G1971)=0,"",IF(A1971="","N° facture manquant",IF(ISNA(MATCH(A1971,fa_num,0)),"Facture inconnue",IF(AND(B1971&lt;&gt;"",ISNA(MATCH(B1971,pr_code,0))),"Article inconnu",IF(H1971="","Désignation manquante",IF(OR(NOT(ISNUMBER(D1971)),N(D1971)&lt;=0),"Quantité invalide",IF(J1971="","Prix manquant",IF(OR(NOT(ISNUMBER(J1971)),N(J1971)&lt;0),"Prix invalide",IF(OR(AND(F1971&lt;&gt;"",NOT(ISNUMBER(F1971))),N(F1971)&lt;0,N(F1971)&gt;1),"Remise invalide",IF(K1971="","Taux de TVA manquant",IF(NOT(ISNUMBER(K1971)),"Taux de TVA invalide",IF(COUNTIF(p_rates,K1971)=0,"Taux de TVA hors liste (Paramètres)",IF(N(O1971)&gt;25,"Au-delà de 25 lignes : non imprimée","OK")))))))))))))</f>
        <v/>
      </c>
      <c r="O1971" s="59" t="str">
        <f>IF(A1971="","",COUNTIF($A$6:A1971,A1971))</f>
        <v/>
      </c>
      <c r="P1971" s="62" t="str">
        <f>IF(A1971="","",A1971&amp;"|"&amp;O1971)</f>
        <v/>
      </c>
    </row>
    <row r="1972">
      <c r="A1972" s="60" t="n"/>
      <c r="B1972" s="63" t="n"/>
      <c r="C1972" s="63" t="n"/>
      <c r="D1972" s="67" t="n"/>
      <c r="E1972" s="68" t="n"/>
      <c r="F1972" s="69" t="n"/>
      <c r="G1972" s="70" t="n"/>
      <c r="H1972" s="62" t="str">
        <f>IF(COUNTA(A1972:G1972)=0,"",IF(C1972&lt;&gt;"",C1972,IF(B1972="","",IFERROR(INDEX(pr_des,MATCH(B1972,pr_code,0))&amp;"",""))))</f>
        <v/>
      </c>
      <c r="I1972" s="59" t="str">
        <f>IF(B1972="","",IFERROR(INDEX(pr_unit,MATCH(B1972,pr_code,0))&amp;"",""))</f>
        <v/>
      </c>
      <c r="J1972" s="65" t="str">
        <f>IF(COUNTA(A1972:G1972)=0,"",IF(E1972&lt;&gt;"",E1972,IF(B1972="","",IFERROR(IF(INDEX(pr_price,MATCH(B1972,pr_code,0))="","",INDEX(pr_price,MATCH(B1972,pr_code,0))),""))))</f>
        <v/>
      </c>
      <c r="K1972" s="71" t="str">
        <f>IF(COUNTA(A1972:G1972)=0,"",IF(G1972&lt;&gt;"",G1972,IF(B1972="","",IFERROR(IF(INDEX(pr_rate,MATCH(B1972,pr_code,0))="","",INDEX(pr_rate,MATCH(B1972,pr_code,0))),""))))</f>
        <v/>
      </c>
      <c r="L1972" s="65" t="str">
        <f>IF(COUNTA(A1972:G1972)=0,"",IF(AND(ISNUMBER(D1972),ISNUMBER(J1972)),ROUND(D1972*J1972*(1-N(F1972)),2),0))</f>
        <v/>
      </c>
      <c r="M1972" s="62" t="str">
        <f>IF(A1972="","",IFERROR(INDEX(fa_cname,MATCH(A1972,fa_num,0))&amp;"",""))</f>
        <v/>
      </c>
      <c r="N1972" s="59" t="str">
        <f>IF(COUNTA(A1972:G1972)=0,"",IF(A1972="","N° facture manquant",IF(ISNA(MATCH(A1972,fa_num,0)),"Facture inconnue",IF(AND(B1972&lt;&gt;"",ISNA(MATCH(B1972,pr_code,0))),"Article inconnu",IF(H1972="","Désignation manquante",IF(OR(NOT(ISNUMBER(D1972)),N(D1972)&lt;=0),"Quantité invalide",IF(J1972="","Prix manquant",IF(OR(NOT(ISNUMBER(J1972)),N(J1972)&lt;0),"Prix invalide",IF(OR(AND(F1972&lt;&gt;"",NOT(ISNUMBER(F1972))),N(F1972)&lt;0,N(F1972)&gt;1),"Remise invalide",IF(K1972="","Taux de TVA manquant",IF(NOT(ISNUMBER(K1972)),"Taux de TVA invalide",IF(COUNTIF(p_rates,K1972)=0,"Taux de TVA hors liste (Paramètres)",IF(N(O1972)&gt;25,"Au-delà de 25 lignes : non imprimée","OK")))))))))))))</f>
        <v/>
      </c>
      <c r="O1972" s="59" t="str">
        <f>IF(A1972="","",COUNTIF($A$6:A1972,A1972))</f>
        <v/>
      </c>
      <c r="P1972" s="62" t="str">
        <f>IF(A1972="","",A1972&amp;"|"&amp;O1972)</f>
        <v/>
      </c>
    </row>
    <row r="1973">
      <c r="A1973" s="60" t="n"/>
      <c r="B1973" s="63" t="n"/>
      <c r="C1973" s="63" t="n"/>
      <c r="D1973" s="67" t="n"/>
      <c r="E1973" s="68" t="n"/>
      <c r="F1973" s="69" t="n"/>
      <c r="G1973" s="70" t="n"/>
      <c r="H1973" s="62" t="str">
        <f>IF(COUNTA(A1973:G1973)=0,"",IF(C1973&lt;&gt;"",C1973,IF(B1973="","",IFERROR(INDEX(pr_des,MATCH(B1973,pr_code,0))&amp;"",""))))</f>
        <v/>
      </c>
      <c r="I1973" s="59" t="str">
        <f>IF(B1973="","",IFERROR(INDEX(pr_unit,MATCH(B1973,pr_code,0))&amp;"",""))</f>
        <v/>
      </c>
      <c r="J1973" s="65" t="str">
        <f>IF(COUNTA(A1973:G1973)=0,"",IF(E1973&lt;&gt;"",E1973,IF(B1973="","",IFERROR(IF(INDEX(pr_price,MATCH(B1973,pr_code,0))="","",INDEX(pr_price,MATCH(B1973,pr_code,0))),""))))</f>
        <v/>
      </c>
      <c r="K1973" s="71" t="str">
        <f>IF(COUNTA(A1973:G1973)=0,"",IF(G1973&lt;&gt;"",G1973,IF(B1973="","",IFERROR(IF(INDEX(pr_rate,MATCH(B1973,pr_code,0))="","",INDEX(pr_rate,MATCH(B1973,pr_code,0))),""))))</f>
        <v/>
      </c>
      <c r="L1973" s="65" t="str">
        <f>IF(COUNTA(A1973:G1973)=0,"",IF(AND(ISNUMBER(D1973),ISNUMBER(J1973)),ROUND(D1973*J1973*(1-N(F1973)),2),0))</f>
        <v/>
      </c>
      <c r="M1973" s="62" t="str">
        <f>IF(A1973="","",IFERROR(INDEX(fa_cname,MATCH(A1973,fa_num,0))&amp;"",""))</f>
        <v/>
      </c>
      <c r="N1973" s="59" t="str">
        <f>IF(COUNTA(A1973:G1973)=0,"",IF(A1973="","N° facture manquant",IF(ISNA(MATCH(A1973,fa_num,0)),"Facture inconnue",IF(AND(B1973&lt;&gt;"",ISNA(MATCH(B1973,pr_code,0))),"Article inconnu",IF(H1973="","Désignation manquante",IF(OR(NOT(ISNUMBER(D1973)),N(D1973)&lt;=0),"Quantité invalide",IF(J1973="","Prix manquant",IF(OR(NOT(ISNUMBER(J1973)),N(J1973)&lt;0),"Prix invalide",IF(OR(AND(F1973&lt;&gt;"",NOT(ISNUMBER(F1973))),N(F1973)&lt;0,N(F1973)&gt;1),"Remise invalide",IF(K1973="","Taux de TVA manquant",IF(NOT(ISNUMBER(K1973)),"Taux de TVA invalide",IF(COUNTIF(p_rates,K1973)=0,"Taux de TVA hors liste (Paramètres)",IF(N(O1973)&gt;25,"Au-delà de 25 lignes : non imprimée","OK")))))))))))))</f>
        <v/>
      </c>
      <c r="O1973" s="59" t="str">
        <f>IF(A1973="","",COUNTIF($A$6:A1973,A1973))</f>
        <v/>
      </c>
      <c r="P1973" s="62" t="str">
        <f>IF(A1973="","",A1973&amp;"|"&amp;O1973)</f>
        <v/>
      </c>
    </row>
    <row r="1974">
      <c r="A1974" s="60" t="n"/>
      <c r="B1974" s="63" t="n"/>
      <c r="C1974" s="63" t="n"/>
      <c r="D1974" s="67" t="n"/>
      <c r="E1974" s="68" t="n"/>
      <c r="F1974" s="69" t="n"/>
      <c r="G1974" s="70" t="n"/>
      <c r="H1974" s="62" t="str">
        <f>IF(COUNTA(A1974:G1974)=0,"",IF(C1974&lt;&gt;"",C1974,IF(B1974="","",IFERROR(INDEX(pr_des,MATCH(B1974,pr_code,0))&amp;"",""))))</f>
        <v/>
      </c>
      <c r="I1974" s="59" t="str">
        <f>IF(B1974="","",IFERROR(INDEX(pr_unit,MATCH(B1974,pr_code,0))&amp;"",""))</f>
        <v/>
      </c>
      <c r="J1974" s="65" t="str">
        <f>IF(COUNTA(A1974:G1974)=0,"",IF(E1974&lt;&gt;"",E1974,IF(B1974="","",IFERROR(IF(INDEX(pr_price,MATCH(B1974,pr_code,0))="","",INDEX(pr_price,MATCH(B1974,pr_code,0))),""))))</f>
        <v/>
      </c>
      <c r="K1974" s="71" t="str">
        <f>IF(COUNTA(A1974:G1974)=0,"",IF(G1974&lt;&gt;"",G1974,IF(B1974="","",IFERROR(IF(INDEX(pr_rate,MATCH(B1974,pr_code,0))="","",INDEX(pr_rate,MATCH(B1974,pr_code,0))),""))))</f>
        <v/>
      </c>
      <c r="L1974" s="65" t="str">
        <f>IF(COUNTA(A1974:G1974)=0,"",IF(AND(ISNUMBER(D1974),ISNUMBER(J1974)),ROUND(D1974*J1974*(1-N(F1974)),2),0))</f>
        <v/>
      </c>
      <c r="M1974" s="62" t="str">
        <f>IF(A1974="","",IFERROR(INDEX(fa_cname,MATCH(A1974,fa_num,0))&amp;"",""))</f>
        <v/>
      </c>
      <c r="N1974" s="59" t="str">
        <f>IF(COUNTA(A1974:G1974)=0,"",IF(A1974="","N° facture manquant",IF(ISNA(MATCH(A1974,fa_num,0)),"Facture inconnue",IF(AND(B1974&lt;&gt;"",ISNA(MATCH(B1974,pr_code,0))),"Article inconnu",IF(H1974="","Désignation manquante",IF(OR(NOT(ISNUMBER(D1974)),N(D1974)&lt;=0),"Quantité invalide",IF(J1974="","Prix manquant",IF(OR(NOT(ISNUMBER(J1974)),N(J1974)&lt;0),"Prix invalide",IF(OR(AND(F1974&lt;&gt;"",NOT(ISNUMBER(F1974))),N(F1974)&lt;0,N(F1974)&gt;1),"Remise invalide",IF(K1974="","Taux de TVA manquant",IF(NOT(ISNUMBER(K1974)),"Taux de TVA invalide",IF(COUNTIF(p_rates,K1974)=0,"Taux de TVA hors liste (Paramètres)",IF(N(O1974)&gt;25,"Au-delà de 25 lignes : non imprimée","OK")))))))))))))</f>
        <v/>
      </c>
      <c r="O1974" s="59" t="str">
        <f>IF(A1974="","",COUNTIF($A$6:A1974,A1974))</f>
        <v/>
      </c>
      <c r="P1974" s="62" t="str">
        <f>IF(A1974="","",A1974&amp;"|"&amp;O1974)</f>
        <v/>
      </c>
    </row>
    <row r="1975">
      <c r="A1975" s="60" t="n"/>
      <c r="B1975" s="63" t="n"/>
      <c r="C1975" s="63" t="n"/>
      <c r="D1975" s="67" t="n"/>
      <c r="E1975" s="68" t="n"/>
      <c r="F1975" s="69" t="n"/>
      <c r="G1975" s="70" t="n"/>
      <c r="H1975" s="62" t="str">
        <f>IF(COUNTA(A1975:G1975)=0,"",IF(C1975&lt;&gt;"",C1975,IF(B1975="","",IFERROR(INDEX(pr_des,MATCH(B1975,pr_code,0))&amp;"",""))))</f>
        <v/>
      </c>
      <c r="I1975" s="59" t="str">
        <f>IF(B1975="","",IFERROR(INDEX(pr_unit,MATCH(B1975,pr_code,0))&amp;"",""))</f>
        <v/>
      </c>
      <c r="J1975" s="65" t="str">
        <f>IF(COUNTA(A1975:G1975)=0,"",IF(E1975&lt;&gt;"",E1975,IF(B1975="","",IFERROR(IF(INDEX(pr_price,MATCH(B1975,pr_code,0))="","",INDEX(pr_price,MATCH(B1975,pr_code,0))),""))))</f>
        <v/>
      </c>
      <c r="K1975" s="71" t="str">
        <f>IF(COUNTA(A1975:G1975)=0,"",IF(G1975&lt;&gt;"",G1975,IF(B1975="","",IFERROR(IF(INDEX(pr_rate,MATCH(B1975,pr_code,0))="","",INDEX(pr_rate,MATCH(B1975,pr_code,0))),""))))</f>
        <v/>
      </c>
      <c r="L1975" s="65" t="str">
        <f>IF(COUNTA(A1975:G1975)=0,"",IF(AND(ISNUMBER(D1975),ISNUMBER(J1975)),ROUND(D1975*J1975*(1-N(F1975)),2),0))</f>
        <v/>
      </c>
      <c r="M1975" s="62" t="str">
        <f>IF(A1975="","",IFERROR(INDEX(fa_cname,MATCH(A1975,fa_num,0))&amp;"",""))</f>
        <v/>
      </c>
      <c r="N1975" s="59" t="str">
        <f>IF(COUNTA(A1975:G1975)=0,"",IF(A1975="","N° facture manquant",IF(ISNA(MATCH(A1975,fa_num,0)),"Facture inconnue",IF(AND(B1975&lt;&gt;"",ISNA(MATCH(B1975,pr_code,0))),"Article inconnu",IF(H1975="","Désignation manquante",IF(OR(NOT(ISNUMBER(D1975)),N(D1975)&lt;=0),"Quantité invalide",IF(J1975="","Prix manquant",IF(OR(NOT(ISNUMBER(J1975)),N(J1975)&lt;0),"Prix invalide",IF(OR(AND(F1975&lt;&gt;"",NOT(ISNUMBER(F1975))),N(F1975)&lt;0,N(F1975)&gt;1),"Remise invalide",IF(K1975="","Taux de TVA manquant",IF(NOT(ISNUMBER(K1975)),"Taux de TVA invalide",IF(COUNTIF(p_rates,K1975)=0,"Taux de TVA hors liste (Paramètres)",IF(N(O1975)&gt;25,"Au-delà de 25 lignes : non imprimée","OK")))))))))))))</f>
        <v/>
      </c>
      <c r="O1975" s="59" t="str">
        <f>IF(A1975="","",COUNTIF($A$6:A1975,A1975))</f>
        <v/>
      </c>
      <c r="P1975" s="62" t="str">
        <f>IF(A1975="","",A1975&amp;"|"&amp;O1975)</f>
        <v/>
      </c>
    </row>
    <row r="1976">
      <c r="A1976" s="60" t="n"/>
      <c r="B1976" s="63" t="n"/>
      <c r="C1976" s="63" t="n"/>
      <c r="D1976" s="67" t="n"/>
      <c r="E1976" s="68" t="n"/>
      <c r="F1976" s="69" t="n"/>
      <c r="G1976" s="70" t="n"/>
      <c r="H1976" s="62" t="str">
        <f>IF(COUNTA(A1976:G1976)=0,"",IF(C1976&lt;&gt;"",C1976,IF(B1976="","",IFERROR(INDEX(pr_des,MATCH(B1976,pr_code,0))&amp;"",""))))</f>
        <v/>
      </c>
      <c r="I1976" s="59" t="str">
        <f>IF(B1976="","",IFERROR(INDEX(pr_unit,MATCH(B1976,pr_code,0))&amp;"",""))</f>
        <v/>
      </c>
      <c r="J1976" s="65" t="str">
        <f>IF(COUNTA(A1976:G1976)=0,"",IF(E1976&lt;&gt;"",E1976,IF(B1976="","",IFERROR(IF(INDEX(pr_price,MATCH(B1976,pr_code,0))="","",INDEX(pr_price,MATCH(B1976,pr_code,0))),""))))</f>
        <v/>
      </c>
      <c r="K1976" s="71" t="str">
        <f>IF(COUNTA(A1976:G1976)=0,"",IF(G1976&lt;&gt;"",G1976,IF(B1976="","",IFERROR(IF(INDEX(pr_rate,MATCH(B1976,pr_code,0))="","",INDEX(pr_rate,MATCH(B1976,pr_code,0))),""))))</f>
        <v/>
      </c>
      <c r="L1976" s="65" t="str">
        <f>IF(COUNTA(A1976:G1976)=0,"",IF(AND(ISNUMBER(D1976),ISNUMBER(J1976)),ROUND(D1976*J1976*(1-N(F1976)),2),0))</f>
        <v/>
      </c>
      <c r="M1976" s="62" t="str">
        <f>IF(A1976="","",IFERROR(INDEX(fa_cname,MATCH(A1976,fa_num,0))&amp;"",""))</f>
        <v/>
      </c>
      <c r="N1976" s="59" t="str">
        <f>IF(COUNTA(A1976:G1976)=0,"",IF(A1976="","N° facture manquant",IF(ISNA(MATCH(A1976,fa_num,0)),"Facture inconnue",IF(AND(B1976&lt;&gt;"",ISNA(MATCH(B1976,pr_code,0))),"Article inconnu",IF(H1976="","Désignation manquante",IF(OR(NOT(ISNUMBER(D1976)),N(D1976)&lt;=0),"Quantité invalide",IF(J1976="","Prix manquant",IF(OR(NOT(ISNUMBER(J1976)),N(J1976)&lt;0),"Prix invalide",IF(OR(AND(F1976&lt;&gt;"",NOT(ISNUMBER(F1976))),N(F1976)&lt;0,N(F1976)&gt;1),"Remise invalide",IF(K1976="","Taux de TVA manquant",IF(NOT(ISNUMBER(K1976)),"Taux de TVA invalide",IF(COUNTIF(p_rates,K1976)=0,"Taux de TVA hors liste (Paramètres)",IF(N(O1976)&gt;25,"Au-delà de 25 lignes : non imprimée","OK")))))))))))))</f>
        <v/>
      </c>
      <c r="O1976" s="59" t="str">
        <f>IF(A1976="","",COUNTIF($A$6:A1976,A1976))</f>
        <v/>
      </c>
      <c r="P1976" s="62" t="str">
        <f>IF(A1976="","",A1976&amp;"|"&amp;O1976)</f>
        <v/>
      </c>
    </row>
    <row r="1977">
      <c r="A1977" s="60" t="n"/>
      <c r="B1977" s="63" t="n"/>
      <c r="C1977" s="63" t="n"/>
      <c r="D1977" s="67" t="n"/>
      <c r="E1977" s="68" t="n"/>
      <c r="F1977" s="69" t="n"/>
      <c r="G1977" s="70" t="n"/>
      <c r="H1977" s="62" t="str">
        <f>IF(COUNTA(A1977:G1977)=0,"",IF(C1977&lt;&gt;"",C1977,IF(B1977="","",IFERROR(INDEX(pr_des,MATCH(B1977,pr_code,0))&amp;"",""))))</f>
        <v/>
      </c>
      <c r="I1977" s="59" t="str">
        <f>IF(B1977="","",IFERROR(INDEX(pr_unit,MATCH(B1977,pr_code,0))&amp;"",""))</f>
        <v/>
      </c>
      <c r="J1977" s="65" t="str">
        <f>IF(COUNTA(A1977:G1977)=0,"",IF(E1977&lt;&gt;"",E1977,IF(B1977="","",IFERROR(IF(INDEX(pr_price,MATCH(B1977,pr_code,0))="","",INDEX(pr_price,MATCH(B1977,pr_code,0))),""))))</f>
        <v/>
      </c>
      <c r="K1977" s="71" t="str">
        <f>IF(COUNTA(A1977:G1977)=0,"",IF(G1977&lt;&gt;"",G1977,IF(B1977="","",IFERROR(IF(INDEX(pr_rate,MATCH(B1977,pr_code,0))="","",INDEX(pr_rate,MATCH(B1977,pr_code,0))),""))))</f>
        <v/>
      </c>
      <c r="L1977" s="65" t="str">
        <f>IF(COUNTA(A1977:G1977)=0,"",IF(AND(ISNUMBER(D1977),ISNUMBER(J1977)),ROUND(D1977*J1977*(1-N(F1977)),2),0))</f>
        <v/>
      </c>
      <c r="M1977" s="62" t="str">
        <f>IF(A1977="","",IFERROR(INDEX(fa_cname,MATCH(A1977,fa_num,0))&amp;"",""))</f>
        <v/>
      </c>
      <c r="N1977" s="59" t="str">
        <f>IF(COUNTA(A1977:G1977)=0,"",IF(A1977="","N° facture manquant",IF(ISNA(MATCH(A1977,fa_num,0)),"Facture inconnue",IF(AND(B1977&lt;&gt;"",ISNA(MATCH(B1977,pr_code,0))),"Article inconnu",IF(H1977="","Désignation manquante",IF(OR(NOT(ISNUMBER(D1977)),N(D1977)&lt;=0),"Quantité invalide",IF(J1977="","Prix manquant",IF(OR(NOT(ISNUMBER(J1977)),N(J1977)&lt;0),"Prix invalide",IF(OR(AND(F1977&lt;&gt;"",NOT(ISNUMBER(F1977))),N(F1977)&lt;0,N(F1977)&gt;1),"Remise invalide",IF(K1977="","Taux de TVA manquant",IF(NOT(ISNUMBER(K1977)),"Taux de TVA invalide",IF(COUNTIF(p_rates,K1977)=0,"Taux de TVA hors liste (Paramètres)",IF(N(O1977)&gt;25,"Au-delà de 25 lignes : non imprimée","OK")))))))))))))</f>
        <v/>
      </c>
      <c r="O1977" s="59" t="str">
        <f>IF(A1977="","",COUNTIF($A$6:A1977,A1977))</f>
        <v/>
      </c>
      <c r="P1977" s="62" t="str">
        <f>IF(A1977="","",A1977&amp;"|"&amp;O1977)</f>
        <v/>
      </c>
    </row>
    <row r="1978">
      <c r="A1978" s="60" t="n"/>
      <c r="B1978" s="63" t="n"/>
      <c r="C1978" s="63" t="n"/>
      <c r="D1978" s="67" t="n"/>
      <c r="E1978" s="68" t="n"/>
      <c r="F1978" s="69" t="n"/>
      <c r="G1978" s="70" t="n"/>
      <c r="H1978" s="62" t="str">
        <f>IF(COUNTA(A1978:G1978)=0,"",IF(C1978&lt;&gt;"",C1978,IF(B1978="","",IFERROR(INDEX(pr_des,MATCH(B1978,pr_code,0))&amp;"",""))))</f>
        <v/>
      </c>
      <c r="I1978" s="59" t="str">
        <f>IF(B1978="","",IFERROR(INDEX(pr_unit,MATCH(B1978,pr_code,0))&amp;"",""))</f>
        <v/>
      </c>
      <c r="J1978" s="65" t="str">
        <f>IF(COUNTA(A1978:G1978)=0,"",IF(E1978&lt;&gt;"",E1978,IF(B1978="","",IFERROR(IF(INDEX(pr_price,MATCH(B1978,pr_code,0))="","",INDEX(pr_price,MATCH(B1978,pr_code,0))),""))))</f>
        <v/>
      </c>
      <c r="K1978" s="71" t="str">
        <f>IF(COUNTA(A1978:G1978)=0,"",IF(G1978&lt;&gt;"",G1978,IF(B1978="","",IFERROR(IF(INDEX(pr_rate,MATCH(B1978,pr_code,0))="","",INDEX(pr_rate,MATCH(B1978,pr_code,0))),""))))</f>
        <v/>
      </c>
      <c r="L1978" s="65" t="str">
        <f>IF(COUNTA(A1978:G1978)=0,"",IF(AND(ISNUMBER(D1978),ISNUMBER(J1978)),ROUND(D1978*J1978*(1-N(F1978)),2),0))</f>
        <v/>
      </c>
      <c r="M1978" s="62" t="str">
        <f>IF(A1978="","",IFERROR(INDEX(fa_cname,MATCH(A1978,fa_num,0))&amp;"",""))</f>
        <v/>
      </c>
      <c r="N1978" s="59" t="str">
        <f>IF(COUNTA(A1978:G1978)=0,"",IF(A1978="","N° facture manquant",IF(ISNA(MATCH(A1978,fa_num,0)),"Facture inconnue",IF(AND(B1978&lt;&gt;"",ISNA(MATCH(B1978,pr_code,0))),"Article inconnu",IF(H1978="","Désignation manquante",IF(OR(NOT(ISNUMBER(D1978)),N(D1978)&lt;=0),"Quantité invalide",IF(J1978="","Prix manquant",IF(OR(NOT(ISNUMBER(J1978)),N(J1978)&lt;0),"Prix invalide",IF(OR(AND(F1978&lt;&gt;"",NOT(ISNUMBER(F1978))),N(F1978)&lt;0,N(F1978)&gt;1),"Remise invalide",IF(K1978="","Taux de TVA manquant",IF(NOT(ISNUMBER(K1978)),"Taux de TVA invalide",IF(COUNTIF(p_rates,K1978)=0,"Taux de TVA hors liste (Paramètres)",IF(N(O1978)&gt;25,"Au-delà de 25 lignes : non imprimée","OK")))))))))))))</f>
        <v/>
      </c>
      <c r="O1978" s="59" t="str">
        <f>IF(A1978="","",COUNTIF($A$6:A1978,A1978))</f>
        <v/>
      </c>
      <c r="P1978" s="62" t="str">
        <f>IF(A1978="","",A1978&amp;"|"&amp;O1978)</f>
        <v/>
      </c>
    </row>
    <row r="1979">
      <c r="A1979" s="60" t="n"/>
      <c r="B1979" s="63" t="n"/>
      <c r="C1979" s="63" t="n"/>
      <c r="D1979" s="67" t="n"/>
      <c r="E1979" s="68" t="n"/>
      <c r="F1979" s="69" t="n"/>
      <c r="G1979" s="70" t="n"/>
      <c r="H1979" s="62" t="str">
        <f>IF(COUNTA(A1979:G1979)=0,"",IF(C1979&lt;&gt;"",C1979,IF(B1979="","",IFERROR(INDEX(pr_des,MATCH(B1979,pr_code,0))&amp;"",""))))</f>
        <v/>
      </c>
      <c r="I1979" s="59" t="str">
        <f>IF(B1979="","",IFERROR(INDEX(pr_unit,MATCH(B1979,pr_code,0))&amp;"",""))</f>
        <v/>
      </c>
      <c r="J1979" s="65" t="str">
        <f>IF(COUNTA(A1979:G1979)=0,"",IF(E1979&lt;&gt;"",E1979,IF(B1979="","",IFERROR(IF(INDEX(pr_price,MATCH(B1979,pr_code,0))="","",INDEX(pr_price,MATCH(B1979,pr_code,0))),""))))</f>
        <v/>
      </c>
      <c r="K1979" s="71" t="str">
        <f>IF(COUNTA(A1979:G1979)=0,"",IF(G1979&lt;&gt;"",G1979,IF(B1979="","",IFERROR(IF(INDEX(pr_rate,MATCH(B1979,pr_code,0))="","",INDEX(pr_rate,MATCH(B1979,pr_code,0))),""))))</f>
        <v/>
      </c>
      <c r="L1979" s="65" t="str">
        <f>IF(COUNTA(A1979:G1979)=0,"",IF(AND(ISNUMBER(D1979),ISNUMBER(J1979)),ROUND(D1979*J1979*(1-N(F1979)),2),0))</f>
        <v/>
      </c>
      <c r="M1979" s="62" t="str">
        <f>IF(A1979="","",IFERROR(INDEX(fa_cname,MATCH(A1979,fa_num,0))&amp;"",""))</f>
        <v/>
      </c>
      <c r="N1979" s="59" t="str">
        <f>IF(COUNTA(A1979:G1979)=0,"",IF(A1979="","N° facture manquant",IF(ISNA(MATCH(A1979,fa_num,0)),"Facture inconnue",IF(AND(B1979&lt;&gt;"",ISNA(MATCH(B1979,pr_code,0))),"Article inconnu",IF(H1979="","Désignation manquante",IF(OR(NOT(ISNUMBER(D1979)),N(D1979)&lt;=0),"Quantité invalide",IF(J1979="","Prix manquant",IF(OR(NOT(ISNUMBER(J1979)),N(J1979)&lt;0),"Prix invalide",IF(OR(AND(F1979&lt;&gt;"",NOT(ISNUMBER(F1979))),N(F1979)&lt;0,N(F1979)&gt;1),"Remise invalide",IF(K1979="","Taux de TVA manquant",IF(NOT(ISNUMBER(K1979)),"Taux de TVA invalide",IF(COUNTIF(p_rates,K1979)=0,"Taux de TVA hors liste (Paramètres)",IF(N(O1979)&gt;25,"Au-delà de 25 lignes : non imprimée","OK")))))))))))))</f>
        <v/>
      </c>
      <c r="O1979" s="59" t="str">
        <f>IF(A1979="","",COUNTIF($A$6:A1979,A1979))</f>
        <v/>
      </c>
      <c r="P1979" s="62" t="str">
        <f>IF(A1979="","",A1979&amp;"|"&amp;O1979)</f>
        <v/>
      </c>
    </row>
    <row r="1980">
      <c r="A1980" s="60" t="n"/>
      <c r="B1980" s="63" t="n"/>
      <c r="C1980" s="63" t="n"/>
      <c r="D1980" s="67" t="n"/>
      <c r="E1980" s="68" t="n"/>
      <c r="F1980" s="69" t="n"/>
      <c r="G1980" s="70" t="n"/>
      <c r="H1980" s="62" t="str">
        <f>IF(COUNTA(A1980:G1980)=0,"",IF(C1980&lt;&gt;"",C1980,IF(B1980="","",IFERROR(INDEX(pr_des,MATCH(B1980,pr_code,0))&amp;"",""))))</f>
        <v/>
      </c>
      <c r="I1980" s="59" t="str">
        <f>IF(B1980="","",IFERROR(INDEX(pr_unit,MATCH(B1980,pr_code,0))&amp;"",""))</f>
        <v/>
      </c>
      <c r="J1980" s="65" t="str">
        <f>IF(COUNTA(A1980:G1980)=0,"",IF(E1980&lt;&gt;"",E1980,IF(B1980="","",IFERROR(IF(INDEX(pr_price,MATCH(B1980,pr_code,0))="","",INDEX(pr_price,MATCH(B1980,pr_code,0))),""))))</f>
        <v/>
      </c>
      <c r="K1980" s="71" t="str">
        <f>IF(COUNTA(A1980:G1980)=0,"",IF(G1980&lt;&gt;"",G1980,IF(B1980="","",IFERROR(IF(INDEX(pr_rate,MATCH(B1980,pr_code,0))="","",INDEX(pr_rate,MATCH(B1980,pr_code,0))),""))))</f>
        <v/>
      </c>
      <c r="L1980" s="65" t="str">
        <f>IF(COUNTA(A1980:G1980)=0,"",IF(AND(ISNUMBER(D1980),ISNUMBER(J1980)),ROUND(D1980*J1980*(1-N(F1980)),2),0))</f>
        <v/>
      </c>
      <c r="M1980" s="62" t="str">
        <f>IF(A1980="","",IFERROR(INDEX(fa_cname,MATCH(A1980,fa_num,0))&amp;"",""))</f>
        <v/>
      </c>
      <c r="N1980" s="59" t="str">
        <f>IF(COUNTA(A1980:G1980)=0,"",IF(A1980="","N° facture manquant",IF(ISNA(MATCH(A1980,fa_num,0)),"Facture inconnue",IF(AND(B1980&lt;&gt;"",ISNA(MATCH(B1980,pr_code,0))),"Article inconnu",IF(H1980="","Désignation manquante",IF(OR(NOT(ISNUMBER(D1980)),N(D1980)&lt;=0),"Quantité invalide",IF(J1980="","Prix manquant",IF(OR(NOT(ISNUMBER(J1980)),N(J1980)&lt;0),"Prix invalide",IF(OR(AND(F1980&lt;&gt;"",NOT(ISNUMBER(F1980))),N(F1980)&lt;0,N(F1980)&gt;1),"Remise invalide",IF(K1980="","Taux de TVA manquant",IF(NOT(ISNUMBER(K1980)),"Taux de TVA invalide",IF(COUNTIF(p_rates,K1980)=0,"Taux de TVA hors liste (Paramètres)",IF(N(O1980)&gt;25,"Au-delà de 25 lignes : non imprimée","OK")))))))))))))</f>
        <v/>
      </c>
      <c r="O1980" s="59" t="str">
        <f>IF(A1980="","",COUNTIF($A$6:A1980,A1980))</f>
        <v/>
      </c>
      <c r="P1980" s="62" t="str">
        <f>IF(A1980="","",A1980&amp;"|"&amp;O1980)</f>
        <v/>
      </c>
    </row>
    <row r="1981">
      <c r="A1981" s="60" t="n"/>
      <c r="B1981" s="63" t="n"/>
      <c r="C1981" s="63" t="n"/>
      <c r="D1981" s="67" t="n"/>
      <c r="E1981" s="68" t="n"/>
      <c r="F1981" s="69" t="n"/>
      <c r="G1981" s="70" t="n"/>
      <c r="H1981" s="62" t="str">
        <f>IF(COUNTA(A1981:G1981)=0,"",IF(C1981&lt;&gt;"",C1981,IF(B1981="","",IFERROR(INDEX(pr_des,MATCH(B1981,pr_code,0))&amp;"",""))))</f>
        <v/>
      </c>
      <c r="I1981" s="59" t="str">
        <f>IF(B1981="","",IFERROR(INDEX(pr_unit,MATCH(B1981,pr_code,0))&amp;"",""))</f>
        <v/>
      </c>
      <c r="J1981" s="65" t="str">
        <f>IF(COUNTA(A1981:G1981)=0,"",IF(E1981&lt;&gt;"",E1981,IF(B1981="","",IFERROR(IF(INDEX(pr_price,MATCH(B1981,pr_code,0))="","",INDEX(pr_price,MATCH(B1981,pr_code,0))),""))))</f>
        <v/>
      </c>
      <c r="K1981" s="71" t="str">
        <f>IF(COUNTA(A1981:G1981)=0,"",IF(G1981&lt;&gt;"",G1981,IF(B1981="","",IFERROR(IF(INDEX(pr_rate,MATCH(B1981,pr_code,0))="","",INDEX(pr_rate,MATCH(B1981,pr_code,0))),""))))</f>
        <v/>
      </c>
      <c r="L1981" s="65" t="str">
        <f>IF(COUNTA(A1981:G1981)=0,"",IF(AND(ISNUMBER(D1981),ISNUMBER(J1981)),ROUND(D1981*J1981*(1-N(F1981)),2),0))</f>
        <v/>
      </c>
      <c r="M1981" s="62" t="str">
        <f>IF(A1981="","",IFERROR(INDEX(fa_cname,MATCH(A1981,fa_num,0))&amp;"",""))</f>
        <v/>
      </c>
      <c r="N1981" s="59" t="str">
        <f>IF(COUNTA(A1981:G1981)=0,"",IF(A1981="","N° facture manquant",IF(ISNA(MATCH(A1981,fa_num,0)),"Facture inconnue",IF(AND(B1981&lt;&gt;"",ISNA(MATCH(B1981,pr_code,0))),"Article inconnu",IF(H1981="","Désignation manquante",IF(OR(NOT(ISNUMBER(D1981)),N(D1981)&lt;=0),"Quantité invalide",IF(J1981="","Prix manquant",IF(OR(NOT(ISNUMBER(J1981)),N(J1981)&lt;0),"Prix invalide",IF(OR(AND(F1981&lt;&gt;"",NOT(ISNUMBER(F1981))),N(F1981)&lt;0,N(F1981)&gt;1),"Remise invalide",IF(K1981="","Taux de TVA manquant",IF(NOT(ISNUMBER(K1981)),"Taux de TVA invalide",IF(COUNTIF(p_rates,K1981)=0,"Taux de TVA hors liste (Paramètres)",IF(N(O1981)&gt;25,"Au-delà de 25 lignes : non imprimée","OK")))))))))))))</f>
        <v/>
      </c>
      <c r="O1981" s="59" t="str">
        <f>IF(A1981="","",COUNTIF($A$6:A1981,A1981))</f>
        <v/>
      </c>
      <c r="P1981" s="62" t="str">
        <f>IF(A1981="","",A1981&amp;"|"&amp;O1981)</f>
        <v/>
      </c>
    </row>
    <row r="1982">
      <c r="A1982" s="60" t="n"/>
      <c r="B1982" s="63" t="n"/>
      <c r="C1982" s="63" t="n"/>
      <c r="D1982" s="67" t="n"/>
      <c r="E1982" s="68" t="n"/>
      <c r="F1982" s="69" t="n"/>
      <c r="G1982" s="70" t="n"/>
      <c r="H1982" s="62" t="str">
        <f>IF(COUNTA(A1982:G1982)=0,"",IF(C1982&lt;&gt;"",C1982,IF(B1982="","",IFERROR(INDEX(pr_des,MATCH(B1982,pr_code,0))&amp;"",""))))</f>
        <v/>
      </c>
      <c r="I1982" s="59" t="str">
        <f>IF(B1982="","",IFERROR(INDEX(pr_unit,MATCH(B1982,pr_code,0))&amp;"",""))</f>
        <v/>
      </c>
      <c r="J1982" s="65" t="str">
        <f>IF(COUNTA(A1982:G1982)=0,"",IF(E1982&lt;&gt;"",E1982,IF(B1982="","",IFERROR(IF(INDEX(pr_price,MATCH(B1982,pr_code,0))="","",INDEX(pr_price,MATCH(B1982,pr_code,0))),""))))</f>
        <v/>
      </c>
      <c r="K1982" s="71" t="str">
        <f>IF(COUNTA(A1982:G1982)=0,"",IF(G1982&lt;&gt;"",G1982,IF(B1982="","",IFERROR(IF(INDEX(pr_rate,MATCH(B1982,pr_code,0))="","",INDEX(pr_rate,MATCH(B1982,pr_code,0))),""))))</f>
        <v/>
      </c>
      <c r="L1982" s="65" t="str">
        <f>IF(COUNTA(A1982:G1982)=0,"",IF(AND(ISNUMBER(D1982),ISNUMBER(J1982)),ROUND(D1982*J1982*(1-N(F1982)),2),0))</f>
        <v/>
      </c>
      <c r="M1982" s="62" t="str">
        <f>IF(A1982="","",IFERROR(INDEX(fa_cname,MATCH(A1982,fa_num,0))&amp;"",""))</f>
        <v/>
      </c>
      <c r="N1982" s="59" t="str">
        <f>IF(COUNTA(A1982:G1982)=0,"",IF(A1982="","N° facture manquant",IF(ISNA(MATCH(A1982,fa_num,0)),"Facture inconnue",IF(AND(B1982&lt;&gt;"",ISNA(MATCH(B1982,pr_code,0))),"Article inconnu",IF(H1982="","Désignation manquante",IF(OR(NOT(ISNUMBER(D1982)),N(D1982)&lt;=0),"Quantité invalide",IF(J1982="","Prix manquant",IF(OR(NOT(ISNUMBER(J1982)),N(J1982)&lt;0),"Prix invalide",IF(OR(AND(F1982&lt;&gt;"",NOT(ISNUMBER(F1982))),N(F1982)&lt;0,N(F1982)&gt;1),"Remise invalide",IF(K1982="","Taux de TVA manquant",IF(NOT(ISNUMBER(K1982)),"Taux de TVA invalide",IF(COUNTIF(p_rates,K1982)=0,"Taux de TVA hors liste (Paramètres)",IF(N(O1982)&gt;25,"Au-delà de 25 lignes : non imprimée","OK")))))))))))))</f>
        <v/>
      </c>
      <c r="O1982" s="59" t="str">
        <f>IF(A1982="","",COUNTIF($A$6:A1982,A1982))</f>
        <v/>
      </c>
      <c r="P1982" s="62" t="str">
        <f>IF(A1982="","",A1982&amp;"|"&amp;O1982)</f>
        <v/>
      </c>
    </row>
    <row r="1983">
      <c r="A1983" s="60" t="n"/>
      <c r="B1983" s="63" t="n"/>
      <c r="C1983" s="63" t="n"/>
      <c r="D1983" s="67" t="n"/>
      <c r="E1983" s="68" t="n"/>
      <c r="F1983" s="69" t="n"/>
      <c r="G1983" s="70" t="n"/>
      <c r="H1983" s="62" t="str">
        <f>IF(COUNTA(A1983:G1983)=0,"",IF(C1983&lt;&gt;"",C1983,IF(B1983="","",IFERROR(INDEX(pr_des,MATCH(B1983,pr_code,0))&amp;"",""))))</f>
        <v/>
      </c>
      <c r="I1983" s="59" t="str">
        <f>IF(B1983="","",IFERROR(INDEX(pr_unit,MATCH(B1983,pr_code,0))&amp;"",""))</f>
        <v/>
      </c>
      <c r="J1983" s="65" t="str">
        <f>IF(COUNTA(A1983:G1983)=0,"",IF(E1983&lt;&gt;"",E1983,IF(B1983="","",IFERROR(IF(INDEX(pr_price,MATCH(B1983,pr_code,0))="","",INDEX(pr_price,MATCH(B1983,pr_code,0))),""))))</f>
        <v/>
      </c>
      <c r="K1983" s="71" t="str">
        <f>IF(COUNTA(A1983:G1983)=0,"",IF(G1983&lt;&gt;"",G1983,IF(B1983="","",IFERROR(IF(INDEX(pr_rate,MATCH(B1983,pr_code,0))="","",INDEX(pr_rate,MATCH(B1983,pr_code,0))),""))))</f>
        <v/>
      </c>
      <c r="L1983" s="65" t="str">
        <f>IF(COUNTA(A1983:G1983)=0,"",IF(AND(ISNUMBER(D1983),ISNUMBER(J1983)),ROUND(D1983*J1983*(1-N(F1983)),2),0))</f>
        <v/>
      </c>
      <c r="M1983" s="62" t="str">
        <f>IF(A1983="","",IFERROR(INDEX(fa_cname,MATCH(A1983,fa_num,0))&amp;"",""))</f>
        <v/>
      </c>
      <c r="N1983" s="59" t="str">
        <f>IF(COUNTA(A1983:G1983)=0,"",IF(A1983="","N° facture manquant",IF(ISNA(MATCH(A1983,fa_num,0)),"Facture inconnue",IF(AND(B1983&lt;&gt;"",ISNA(MATCH(B1983,pr_code,0))),"Article inconnu",IF(H1983="","Désignation manquante",IF(OR(NOT(ISNUMBER(D1983)),N(D1983)&lt;=0),"Quantité invalide",IF(J1983="","Prix manquant",IF(OR(NOT(ISNUMBER(J1983)),N(J1983)&lt;0),"Prix invalide",IF(OR(AND(F1983&lt;&gt;"",NOT(ISNUMBER(F1983))),N(F1983)&lt;0,N(F1983)&gt;1),"Remise invalide",IF(K1983="","Taux de TVA manquant",IF(NOT(ISNUMBER(K1983)),"Taux de TVA invalide",IF(COUNTIF(p_rates,K1983)=0,"Taux de TVA hors liste (Paramètres)",IF(N(O1983)&gt;25,"Au-delà de 25 lignes : non imprimée","OK")))))))))))))</f>
        <v/>
      </c>
      <c r="O1983" s="59" t="str">
        <f>IF(A1983="","",COUNTIF($A$6:A1983,A1983))</f>
        <v/>
      </c>
      <c r="P1983" s="62" t="str">
        <f>IF(A1983="","",A1983&amp;"|"&amp;O1983)</f>
        <v/>
      </c>
    </row>
    <row r="1984">
      <c r="A1984" s="60" t="n"/>
      <c r="B1984" s="63" t="n"/>
      <c r="C1984" s="63" t="n"/>
      <c r="D1984" s="67" t="n"/>
      <c r="E1984" s="68" t="n"/>
      <c r="F1984" s="69" t="n"/>
      <c r="G1984" s="70" t="n"/>
      <c r="H1984" s="62" t="str">
        <f>IF(COUNTA(A1984:G1984)=0,"",IF(C1984&lt;&gt;"",C1984,IF(B1984="","",IFERROR(INDEX(pr_des,MATCH(B1984,pr_code,0))&amp;"",""))))</f>
        <v/>
      </c>
      <c r="I1984" s="59" t="str">
        <f>IF(B1984="","",IFERROR(INDEX(pr_unit,MATCH(B1984,pr_code,0))&amp;"",""))</f>
        <v/>
      </c>
      <c r="J1984" s="65" t="str">
        <f>IF(COUNTA(A1984:G1984)=0,"",IF(E1984&lt;&gt;"",E1984,IF(B1984="","",IFERROR(IF(INDEX(pr_price,MATCH(B1984,pr_code,0))="","",INDEX(pr_price,MATCH(B1984,pr_code,0))),""))))</f>
        <v/>
      </c>
      <c r="K1984" s="71" t="str">
        <f>IF(COUNTA(A1984:G1984)=0,"",IF(G1984&lt;&gt;"",G1984,IF(B1984="","",IFERROR(IF(INDEX(pr_rate,MATCH(B1984,pr_code,0))="","",INDEX(pr_rate,MATCH(B1984,pr_code,0))),""))))</f>
        <v/>
      </c>
      <c r="L1984" s="65" t="str">
        <f>IF(COUNTA(A1984:G1984)=0,"",IF(AND(ISNUMBER(D1984),ISNUMBER(J1984)),ROUND(D1984*J1984*(1-N(F1984)),2),0))</f>
        <v/>
      </c>
      <c r="M1984" s="62" t="str">
        <f>IF(A1984="","",IFERROR(INDEX(fa_cname,MATCH(A1984,fa_num,0))&amp;"",""))</f>
        <v/>
      </c>
      <c r="N1984" s="59" t="str">
        <f>IF(COUNTA(A1984:G1984)=0,"",IF(A1984="","N° facture manquant",IF(ISNA(MATCH(A1984,fa_num,0)),"Facture inconnue",IF(AND(B1984&lt;&gt;"",ISNA(MATCH(B1984,pr_code,0))),"Article inconnu",IF(H1984="","Désignation manquante",IF(OR(NOT(ISNUMBER(D1984)),N(D1984)&lt;=0),"Quantité invalide",IF(J1984="","Prix manquant",IF(OR(NOT(ISNUMBER(J1984)),N(J1984)&lt;0),"Prix invalide",IF(OR(AND(F1984&lt;&gt;"",NOT(ISNUMBER(F1984))),N(F1984)&lt;0,N(F1984)&gt;1),"Remise invalide",IF(K1984="","Taux de TVA manquant",IF(NOT(ISNUMBER(K1984)),"Taux de TVA invalide",IF(COUNTIF(p_rates,K1984)=0,"Taux de TVA hors liste (Paramètres)",IF(N(O1984)&gt;25,"Au-delà de 25 lignes : non imprimée","OK")))))))))))))</f>
        <v/>
      </c>
      <c r="O1984" s="59" t="str">
        <f>IF(A1984="","",COUNTIF($A$6:A1984,A1984))</f>
        <v/>
      </c>
      <c r="P1984" s="62" t="str">
        <f>IF(A1984="","",A1984&amp;"|"&amp;O1984)</f>
        <v/>
      </c>
    </row>
    <row r="1985">
      <c r="A1985" s="60" t="n"/>
      <c r="B1985" s="63" t="n"/>
      <c r="C1985" s="63" t="n"/>
      <c r="D1985" s="67" t="n"/>
      <c r="E1985" s="68" t="n"/>
      <c r="F1985" s="69" t="n"/>
      <c r="G1985" s="70" t="n"/>
      <c r="H1985" s="62" t="str">
        <f>IF(COUNTA(A1985:G1985)=0,"",IF(C1985&lt;&gt;"",C1985,IF(B1985="","",IFERROR(INDEX(pr_des,MATCH(B1985,pr_code,0))&amp;"",""))))</f>
        <v/>
      </c>
      <c r="I1985" s="59" t="str">
        <f>IF(B1985="","",IFERROR(INDEX(pr_unit,MATCH(B1985,pr_code,0))&amp;"",""))</f>
        <v/>
      </c>
      <c r="J1985" s="65" t="str">
        <f>IF(COUNTA(A1985:G1985)=0,"",IF(E1985&lt;&gt;"",E1985,IF(B1985="","",IFERROR(IF(INDEX(pr_price,MATCH(B1985,pr_code,0))="","",INDEX(pr_price,MATCH(B1985,pr_code,0))),""))))</f>
        <v/>
      </c>
      <c r="K1985" s="71" t="str">
        <f>IF(COUNTA(A1985:G1985)=0,"",IF(G1985&lt;&gt;"",G1985,IF(B1985="","",IFERROR(IF(INDEX(pr_rate,MATCH(B1985,pr_code,0))="","",INDEX(pr_rate,MATCH(B1985,pr_code,0))),""))))</f>
        <v/>
      </c>
      <c r="L1985" s="65" t="str">
        <f>IF(COUNTA(A1985:G1985)=0,"",IF(AND(ISNUMBER(D1985),ISNUMBER(J1985)),ROUND(D1985*J1985*(1-N(F1985)),2),0))</f>
        <v/>
      </c>
      <c r="M1985" s="62" t="str">
        <f>IF(A1985="","",IFERROR(INDEX(fa_cname,MATCH(A1985,fa_num,0))&amp;"",""))</f>
        <v/>
      </c>
      <c r="N1985" s="59" t="str">
        <f>IF(COUNTA(A1985:G1985)=0,"",IF(A1985="","N° facture manquant",IF(ISNA(MATCH(A1985,fa_num,0)),"Facture inconnue",IF(AND(B1985&lt;&gt;"",ISNA(MATCH(B1985,pr_code,0))),"Article inconnu",IF(H1985="","Désignation manquante",IF(OR(NOT(ISNUMBER(D1985)),N(D1985)&lt;=0),"Quantité invalide",IF(J1985="","Prix manquant",IF(OR(NOT(ISNUMBER(J1985)),N(J1985)&lt;0),"Prix invalide",IF(OR(AND(F1985&lt;&gt;"",NOT(ISNUMBER(F1985))),N(F1985)&lt;0,N(F1985)&gt;1),"Remise invalide",IF(K1985="","Taux de TVA manquant",IF(NOT(ISNUMBER(K1985)),"Taux de TVA invalide",IF(COUNTIF(p_rates,K1985)=0,"Taux de TVA hors liste (Paramètres)",IF(N(O1985)&gt;25,"Au-delà de 25 lignes : non imprimée","OK")))))))))))))</f>
        <v/>
      </c>
      <c r="O1985" s="59" t="str">
        <f>IF(A1985="","",COUNTIF($A$6:A1985,A1985))</f>
        <v/>
      </c>
      <c r="P1985" s="62" t="str">
        <f>IF(A1985="","",A1985&amp;"|"&amp;O1985)</f>
        <v/>
      </c>
    </row>
    <row r="1986">
      <c r="A1986" s="60" t="n"/>
      <c r="B1986" s="63" t="n"/>
      <c r="C1986" s="63" t="n"/>
      <c r="D1986" s="67" t="n"/>
      <c r="E1986" s="68" t="n"/>
      <c r="F1986" s="69" t="n"/>
      <c r="G1986" s="70" t="n"/>
      <c r="H1986" s="62" t="str">
        <f>IF(COUNTA(A1986:G1986)=0,"",IF(C1986&lt;&gt;"",C1986,IF(B1986="","",IFERROR(INDEX(pr_des,MATCH(B1986,pr_code,0))&amp;"",""))))</f>
        <v/>
      </c>
      <c r="I1986" s="59" t="str">
        <f>IF(B1986="","",IFERROR(INDEX(pr_unit,MATCH(B1986,pr_code,0))&amp;"",""))</f>
        <v/>
      </c>
      <c r="J1986" s="65" t="str">
        <f>IF(COUNTA(A1986:G1986)=0,"",IF(E1986&lt;&gt;"",E1986,IF(B1986="","",IFERROR(IF(INDEX(pr_price,MATCH(B1986,pr_code,0))="","",INDEX(pr_price,MATCH(B1986,pr_code,0))),""))))</f>
        <v/>
      </c>
      <c r="K1986" s="71" t="str">
        <f>IF(COUNTA(A1986:G1986)=0,"",IF(G1986&lt;&gt;"",G1986,IF(B1986="","",IFERROR(IF(INDEX(pr_rate,MATCH(B1986,pr_code,0))="","",INDEX(pr_rate,MATCH(B1986,pr_code,0))),""))))</f>
        <v/>
      </c>
      <c r="L1986" s="65" t="str">
        <f>IF(COUNTA(A1986:G1986)=0,"",IF(AND(ISNUMBER(D1986),ISNUMBER(J1986)),ROUND(D1986*J1986*(1-N(F1986)),2),0))</f>
        <v/>
      </c>
      <c r="M1986" s="62" t="str">
        <f>IF(A1986="","",IFERROR(INDEX(fa_cname,MATCH(A1986,fa_num,0))&amp;"",""))</f>
        <v/>
      </c>
      <c r="N1986" s="59" t="str">
        <f>IF(COUNTA(A1986:G1986)=0,"",IF(A1986="","N° facture manquant",IF(ISNA(MATCH(A1986,fa_num,0)),"Facture inconnue",IF(AND(B1986&lt;&gt;"",ISNA(MATCH(B1986,pr_code,0))),"Article inconnu",IF(H1986="","Désignation manquante",IF(OR(NOT(ISNUMBER(D1986)),N(D1986)&lt;=0),"Quantité invalide",IF(J1986="","Prix manquant",IF(OR(NOT(ISNUMBER(J1986)),N(J1986)&lt;0),"Prix invalide",IF(OR(AND(F1986&lt;&gt;"",NOT(ISNUMBER(F1986))),N(F1986)&lt;0,N(F1986)&gt;1),"Remise invalide",IF(K1986="","Taux de TVA manquant",IF(NOT(ISNUMBER(K1986)),"Taux de TVA invalide",IF(COUNTIF(p_rates,K1986)=0,"Taux de TVA hors liste (Paramètres)",IF(N(O1986)&gt;25,"Au-delà de 25 lignes : non imprimée","OK")))))))))))))</f>
        <v/>
      </c>
      <c r="O1986" s="59" t="str">
        <f>IF(A1986="","",COUNTIF($A$6:A1986,A1986))</f>
        <v/>
      </c>
      <c r="P1986" s="62" t="str">
        <f>IF(A1986="","",A1986&amp;"|"&amp;O1986)</f>
        <v/>
      </c>
    </row>
    <row r="1987">
      <c r="A1987" s="60" t="n"/>
      <c r="B1987" s="63" t="n"/>
      <c r="C1987" s="63" t="n"/>
      <c r="D1987" s="67" t="n"/>
      <c r="E1987" s="68" t="n"/>
      <c r="F1987" s="69" t="n"/>
      <c r="G1987" s="70" t="n"/>
      <c r="H1987" s="62" t="str">
        <f>IF(COUNTA(A1987:G1987)=0,"",IF(C1987&lt;&gt;"",C1987,IF(B1987="","",IFERROR(INDEX(pr_des,MATCH(B1987,pr_code,0))&amp;"",""))))</f>
        <v/>
      </c>
      <c r="I1987" s="59" t="str">
        <f>IF(B1987="","",IFERROR(INDEX(pr_unit,MATCH(B1987,pr_code,0))&amp;"",""))</f>
        <v/>
      </c>
      <c r="J1987" s="65" t="str">
        <f>IF(COUNTA(A1987:G1987)=0,"",IF(E1987&lt;&gt;"",E1987,IF(B1987="","",IFERROR(IF(INDEX(pr_price,MATCH(B1987,pr_code,0))="","",INDEX(pr_price,MATCH(B1987,pr_code,0))),""))))</f>
        <v/>
      </c>
      <c r="K1987" s="71" t="str">
        <f>IF(COUNTA(A1987:G1987)=0,"",IF(G1987&lt;&gt;"",G1987,IF(B1987="","",IFERROR(IF(INDEX(pr_rate,MATCH(B1987,pr_code,0))="","",INDEX(pr_rate,MATCH(B1987,pr_code,0))),""))))</f>
        <v/>
      </c>
      <c r="L1987" s="65" t="str">
        <f>IF(COUNTA(A1987:G1987)=0,"",IF(AND(ISNUMBER(D1987),ISNUMBER(J1987)),ROUND(D1987*J1987*(1-N(F1987)),2),0))</f>
        <v/>
      </c>
      <c r="M1987" s="62" t="str">
        <f>IF(A1987="","",IFERROR(INDEX(fa_cname,MATCH(A1987,fa_num,0))&amp;"",""))</f>
        <v/>
      </c>
      <c r="N1987" s="59" t="str">
        <f>IF(COUNTA(A1987:G1987)=0,"",IF(A1987="","N° facture manquant",IF(ISNA(MATCH(A1987,fa_num,0)),"Facture inconnue",IF(AND(B1987&lt;&gt;"",ISNA(MATCH(B1987,pr_code,0))),"Article inconnu",IF(H1987="","Désignation manquante",IF(OR(NOT(ISNUMBER(D1987)),N(D1987)&lt;=0),"Quantité invalide",IF(J1987="","Prix manquant",IF(OR(NOT(ISNUMBER(J1987)),N(J1987)&lt;0),"Prix invalide",IF(OR(AND(F1987&lt;&gt;"",NOT(ISNUMBER(F1987))),N(F1987)&lt;0,N(F1987)&gt;1),"Remise invalide",IF(K1987="","Taux de TVA manquant",IF(NOT(ISNUMBER(K1987)),"Taux de TVA invalide",IF(COUNTIF(p_rates,K1987)=0,"Taux de TVA hors liste (Paramètres)",IF(N(O1987)&gt;25,"Au-delà de 25 lignes : non imprimée","OK")))))))))))))</f>
        <v/>
      </c>
      <c r="O1987" s="59" t="str">
        <f>IF(A1987="","",COUNTIF($A$6:A1987,A1987))</f>
        <v/>
      </c>
      <c r="P1987" s="62" t="str">
        <f>IF(A1987="","",A1987&amp;"|"&amp;O1987)</f>
        <v/>
      </c>
    </row>
    <row r="1988">
      <c r="A1988" s="60" t="n"/>
      <c r="B1988" s="63" t="n"/>
      <c r="C1988" s="63" t="n"/>
      <c r="D1988" s="67" t="n"/>
      <c r="E1988" s="68" t="n"/>
      <c r="F1988" s="69" t="n"/>
      <c r="G1988" s="70" t="n"/>
      <c r="H1988" s="62" t="str">
        <f>IF(COUNTA(A1988:G1988)=0,"",IF(C1988&lt;&gt;"",C1988,IF(B1988="","",IFERROR(INDEX(pr_des,MATCH(B1988,pr_code,0))&amp;"",""))))</f>
        <v/>
      </c>
      <c r="I1988" s="59" t="str">
        <f>IF(B1988="","",IFERROR(INDEX(pr_unit,MATCH(B1988,pr_code,0))&amp;"",""))</f>
        <v/>
      </c>
      <c r="J1988" s="65" t="str">
        <f>IF(COUNTA(A1988:G1988)=0,"",IF(E1988&lt;&gt;"",E1988,IF(B1988="","",IFERROR(IF(INDEX(pr_price,MATCH(B1988,pr_code,0))="","",INDEX(pr_price,MATCH(B1988,pr_code,0))),""))))</f>
        <v/>
      </c>
      <c r="K1988" s="71" t="str">
        <f>IF(COUNTA(A1988:G1988)=0,"",IF(G1988&lt;&gt;"",G1988,IF(B1988="","",IFERROR(IF(INDEX(pr_rate,MATCH(B1988,pr_code,0))="","",INDEX(pr_rate,MATCH(B1988,pr_code,0))),""))))</f>
        <v/>
      </c>
      <c r="L1988" s="65" t="str">
        <f>IF(COUNTA(A1988:G1988)=0,"",IF(AND(ISNUMBER(D1988),ISNUMBER(J1988)),ROUND(D1988*J1988*(1-N(F1988)),2),0))</f>
        <v/>
      </c>
      <c r="M1988" s="62" t="str">
        <f>IF(A1988="","",IFERROR(INDEX(fa_cname,MATCH(A1988,fa_num,0))&amp;"",""))</f>
        <v/>
      </c>
      <c r="N1988" s="59" t="str">
        <f>IF(COUNTA(A1988:G1988)=0,"",IF(A1988="","N° facture manquant",IF(ISNA(MATCH(A1988,fa_num,0)),"Facture inconnue",IF(AND(B1988&lt;&gt;"",ISNA(MATCH(B1988,pr_code,0))),"Article inconnu",IF(H1988="","Désignation manquante",IF(OR(NOT(ISNUMBER(D1988)),N(D1988)&lt;=0),"Quantité invalide",IF(J1988="","Prix manquant",IF(OR(NOT(ISNUMBER(J1988)),N(J1988)&lt;0),"Prix invalide",IF(OR(AND(F1988&lt;&gt;"",NOT(ISNUMBER(F1988))),N(F1988)&lt;0,N(F1988)&gt;1),"Remise invalide",IF(K1988="","Taux de TVA manquant",IF(NOT(ISNUMBER(K1988)),"Taux de TVA invalide",IF(COUNTIF(p_rates,K1988)=0,"Taux de TVA hors liste (Paramètres)",IF(N(O1988)&gt;25,"Au-delà de 25 lignes : non imprimée","OK")))))))))))))</f>
        <v/>
      </c>
      <c r="O1988" s="59" t="str">
        <f>IF(A1988="","",COUNTIF($A$6:A1988,A1988))</f>
        <v/>
      </c>
      <c r="P1988" s="62" t="str">
        <f>IF(A1988="","",A1988&amp;"|"&amp;O1988)</f>
        <v/>
      </c>
    </row>
    <row r="1989">
      <c r="A1989" s="60" t="n"/>
      <c r="B1989" s="63" t="n"/>
      <c r="C1989" s="63" t="n"/>
      <c r="D1989" s="67" t="n"/>
      <c r="E1989" s="68" t="n"/>
      <c r="F1989" s="69" t="n"/>
      <c r="G1989" s="70" t="n"/>
      <c r="H1989" s="62" t="str">
        <f>IF(COUNTA(A1989:G1989)=0,"",IF(C1989&lt;&gt;"",C1989,IF(B1989="","",IFERROR(INDEX(pr_des,MATCH(B1989,pr_code,0))&amp;"",""))))</f>
        <v/>
      </c>
      <c r="I1989" s="59" t="str">
        <f>IF(B1989="","",IFERROR(INDEX(pr_unit,MATCH(B1989,pr_code,0))&amp;"",""))</f>
        <v/>
      </c>
      <c r="J1989" s="65" t="str">
        <f>IF(COUNTA(A1989:G1989)=0,"",IF(E1989&lt;&gt;"",E1989,IF(B1989="","",IFERROR(IF(INDEX(pr_price,MATCH(B1989,pr_code,0))="","",INDEX(pr_price,MATCH(B1989,pr_code,0))),""))))</f>
        <v/>
      </c>
      <c r="K1989" s="71" t="str">
        <f>IF(COUNTA(A1989:G1989)=0,"",IF(G1989&lt;&gt;"",G1989,IF(B1989="","",IFERROR(IF(INDEX(pr_rate,MATCH(B1989,pr_code,0))="","",INDEX(pr_rate,MATCH(B1989,pr_code,0))),""))))</f>
        <v/>
      </c>
      <c r="L1989" s="65" t="str">
        <f>IF(COUNTA(A1989:G1989)=0,"",IF(AND(ISNUMBER(D1989),ISNUMBER(J1989)),ROUND(D1989*J1989*(1-N(F1989)),2),0))</f>
        <v/>
      </c>
      <c r="M1989" s="62" t="str">
        <f>IF(A1989="","",IFERROR(INDEX(fa_cname,MATCH(A1989,fa_num,0))&amp;"",""))</f>
        <v/>
      </c>
      <c r="N1989" s="59" t="str">
        <f>IF(COUNTA(A1989:G1989)=0,"",IF(A1989="","N° facture manquant",IF(ISNA(MATCH(A1989,fa_num,0)),"Facture inconnue",IF(AND(B1989&lt;&gt;"",ISNA(MATCH(B1989,pr_code,0))),"Article inconnu",IF(H1989="","Désignation manquante",IF(OR(NOT(ISNUMBER(D1989)),N(D1989)&lt;=0),"Quantité invalide",IF(J1989="","Prix manquant",IF(OR(NOT(ISNUMBER(J1989)),N(J1989)&lt;0),"Prix invalide",IF(OR(AND(F1989&lt;&gt;"",NOT(ISNUMBER(F1989))),N(F1989)&lt;0,N(F1989)&gt;1),"Remise invalide",IF(K1989="","Taux de TVA manquant",IF(NOT(ISNUMBER(K1989)),"Taux de TVA invalide",IF(COUNTIF(p_rates,K1989)=0,"Taux de TVA hors liste (Paramètres)",IF(N(O1989)&gt;25,"Au-delà de 25 lignes : non imprimée","OK")))))))))))))</f>
        <v/>
      </c>
      <c r="O1989" s="59" t="str">
        <f>IF(A1989="","",COUNTIF($A$6:A1989,A1989))</f>
        <v/>
      </c>
      <c r="P1989" s="62" t="str">
        <f>IF(A1989="","",A1989&amp;"|"&amp;O1989)</f>
        <v/>
      </c>
    </row>
    <row r="1990">
      <c r="A1990" s="60" t="n"/>
      <c r="B1990" s="63" t="n"/>
      <c r="C1990" s="63" t="n"/>
      <c r="D1990" s="67" t="n"/>
      <c r="E1990" s="68" t="n"/>
      <c r="F1990" s="69" t="n"/>
      <c r="G1990" s="70" t="n"/>
      <c r="H1990" s="62" t="str">
        <f>IF(COUNTA(A1990:G1990)=0,"",IF(C1990&lt;&gt;"",C1990,IF(B1990="","",IFERROR(INDEX(pr_des,MATCH(B1990,pr_code,0))&amp;"",""))))</f>
        <v/>
      </c>
      <c r="I1990" s="59" t="str">
        <f>IF(B1990="","",IFERROR(INDEX(pr_unit,MATCH(B1990,pr_code,0))&amp;"",""))</f>
        <v/>
      </c>
      <c r="J1990" s="65" t="str">
        <f>IF(COUNTA(A1990:G1990)=0,"",IF(E1990&lt;&gt;"",E1990,IF(B1990="","",IFERROR(IF(INDEX(pr_price,MATCH(B1990,pr_code,0))="","",INDEX(pr_price,MATCH(B1990,pr_code,0))),""))))</f>
        <v/>
      </c>
      <c r="K1990" s="71" t="str">
        <f>IF(COUNTA(A1990:G1990)=0,"",IF(G1990&lt;&gt;"",G1990,IF(B1990="","",IFERROR(IF(INDEX(pr_rate,MATCH(B1990,pr_code,0))="","",INDEX(pr_rate,MATCH(B1990,pr_code,0))),""))))</f>
        <v/>
      </c>
      <c r="L1990" s="65" t="str">
        <f>IF(COUNTA(A1990:G1990)=0,"",IF(AND(ISNUMBER(D1990),ISNUMBER(J1990)),ROUND(D1990*J1990*(1-N(F1990)),2),0))</f>
        <v/>
      </c>
      <c r="M1990" s="62" t="str">
        <f>IF(A1990="","",IFERROR(INDEX(fa_cname,MATCH(A1990,fa_num,0))&amp;"",""))</f>
        <v/>
      </c>
      <c r="N1990" s="59" t="str">
        <f>IF(COUNTA(A1990:G1990)=0,"",IF(A1990="","N° facture manquant",IF(ISNA(MATCH(A1990,fa_num,0)),"Facture inconnue",IF(AND(B1990&lt;&gt;"",ISNA(MATCH(B1990,pr_code,0))),"Article inconnu",IF(H1990="","Désignation manquante",IF(OR(NOT(ISNUMBER(D1990)),N(D1990)&lt;=0),"Quantité invalide",IF(J1990="","Prix manquant",IF(OR(NOT(ISNUMBER(J1990)),N(J1990)&lt;0),"Prix invalide",IF(OR(AND(F1990&lt;&gt;"",NOT(ISNUMBER(F1990))),N(F1990)&lt;0,N(F1990)&gt;1),"Remise invalide",IF(K1990="","Taux de TVA manquant",IF(NOT(ISNUMBER(K1990)),"Taux de TVA invalide",IF(COUNTIF(p_rates,K1990)=0,"Taux de TVA hors liste (Paramètres)",IF(N(O1990)&gt;25,"Au-delà de 25 lignes : non imprimée","OK")))))))))))))</f>
        <v/>
      </c>
      <c r="O1990" s="59" t="str">
        <f>IF(A1990="","",COUNTIF($A$6:A1990,A1990))</f>
        <v/>
      </c>
      <c r="P1990" s="62" t="str">
        <f>IF(A1990="","",A1990&amp;"|"&amp;O1990)</f>
        <v/>
      </c>
    </row>
    <row r="1991">
      <c r="A1991" s="60" t="n"/>
      <c r="B1991" s="63" t="n"/>
      <c r="C1991" s="63" t="n"/>
      <c r="D1991" s="67" t="n"/>
      <c r="E1991" s="68" t="n"/>
      <c r="F1991" s="69" t="n"/>
      <c r="G1991" s="70" t="n"/>
      <c r="H1991" s="62" t="str">
        <f>IF(COUNTA(A1991:G1991)=0,"",IF(C1991&lt;&gt;"",C1991,IF(B1991="","",IFERROR(INDEX(pr_des,MATCH(B1991,pr_code,0))&amp;"",""))))</f>
        <v/>
      </c>
      <c r="I1991" s="59" t="str">
        <f>IF(B1991="","",IFERROR(INDEX(pr_unit,MATCH(B1991,pr_code,0))&amp;"",""))</f>
        <v/>
      </c>
      <c r="J1991" s="65" t="str">
        <f>IF(COUNTA(A1991:G1991)=0,"",IF(E1991&lt;&gt;"",E1991,IF(B1991="","",IFERROR(IF(INDEX(pr_price,MATCH(B1991,pr_code,0))="","",INDEX(pr_price,MATCH(B1991,pr_code,0))),""))))</f>
        <v/>
      </c>
      <c r="K1991" s="71" t="str">
        <f>IF(COUNTA(A1991:G1991)=0,"",IF(G1991&lt;&gt;"",G1991,IF(B1991="","",IFERROR(IF(INDEX(pr_rate,MATCH(B1991,pr_code,0))="","",INDEX(pr_rate,MATCH(B1991,pr_code,0))),""))))</f>
        <v/>
      </c>
      <c r="L1991" s="65" t="str">
        <f>IF(COUNTA(A1991:G1991)=0,"",IF(AND(ISNUMBER(D1991),ISNUMBER(J1991)),ROUND(D1991*J1991*(1-N(F1991)),2),0))</f>
        <v/>
      </c>
      <c r="M1991" s="62" t="str">
        <f>IF(A1991="","",IFERROR(INDEX(fa_cname,MATCH(A1991,fa_num,0))&amp;"",""))</f>
        <v/>
      </c>
      <c r="N1991" s="59" t="str">
        <f>IF(COUNTA(A1991:G1991)=0,"",IF(A1991="","N° facture manquant",IF(ISNA(MATCH(A1991,fa_num,0)),"Facture inconnue",IF(AND(B1991&lt;&gt;"",ISNA(MATCH(B1991,pr_code,0))),"Article inconnu",IF(H1991="","Désignation manquante",IF(OR(NOT(ISNUMBER(D1991)),N(D1991)&lt;=0),"Quantité invalide",IF(J1991="","Prix manquant",IF(OR(NOT(ISNUMBER(J1991)),N(J1991)&lt;0),"Prix invalide",IF(OR(AND(F1991&lt;&gt;"",NOT(ISNUMBER(F1991))),N(F1991)&lt;0,N(F1991)&gt;1),"Remise invalide",IF(K1991="","Taux de TVA manquant",IF(NOT(ISNUMBER(K1991)),"Taux de TVA invalide",IF(COUNTIF(p_rates,K1991)=0,"Taux de TVA hors liste (Paramètres)",IF(N(O1991)&gt;25,"Au-delà de 25 lignes : non imprimée","OK")))))))))))))</f>
        <v/>
      </c>
      <c r="O1991" s="59" t="str">
        <f>IF(A1991="","",COUNTIF($A$6:A1991,A1991))</f>
        <v/>
      </c>
      <c r="P1991" s="62" t="str">
        <f>IF(A1991="","",A1991&amp;"|"&amp;O1991)</f>
        <v/>
      </c>
    </row>
    <row r="1992">
      <c r="A1992" s="60" t="n"/>
      <c r="B1992" s="63" t="n"/>
      <c r="C1992" s="63" t="n"/>
      <c r="D1992" s="67" t="n"/>
      <c r="E1992" s="68" t="n"/>
      <c r="F1992" s="69" t="n"/>
      <c r="G1992" s="70" t="n"/>
      <c r="H1992" s="62" t="str">
        <f>IF(COUNTA(A1992:G1992)=0,"",IF(C1992&lt;&gt;"",C1992,IF(B1992="","",IFERROR(INDEX(pr_des,MATCH(B1992,pr_code,0))&amp;"",""))))</f>
        <v/>
      </c>
      <c r="I1992" s="59" t="str">
        <f>IF(B1992="","",IFERROR(INDEX(pr_unit,MATCH(B1992,pr_code,0))&amp;"",""))</f>
        <v/>
      </c>
      <c r="J1992" s="65" t="str">
        <f>IF(COUNTA(A1992:G1992)=0,"",IF(E1992&lt;&gt;"",E1992,IF(B1992="","",IFERROR(IF(INDEX(pr_price,MATCH(B1992,pr_code,0))="","",INDEX(pr_price,MATCH(B1992,pr_code,0))),""))))</f>
        <v/>
      </c>
      <c r="K1992" s="71" t="str">
        <f>IF(COUNTA(A1992:G1992)=0,"",IF(G1992&lt;&gt;"",G1992,IF(B1992="","",IFERROR(IF(INDEX(pr_rate,MATCH(B1992,pr_code,0))="","",INDEX(pr_rate,MATCH(B1992,pr_code,0))),""))))</f>
        <v/>
      </c>
      <c r="L1992" s="65" t="str">
        <f>IF(COUNTA(A1992:G1992)=0,"",IF(AND(ISNUMBER(D1992),ISNUMBER(J1992)),ROUND(D1992*J1992*(1-N(F1992)),2),0))</f>
        <v/>
      </c>
      <c r="M1992" s="62" t="str">
        <f>IF(A1992="","",IFERROR(INDEX(fa_cname,MATCH(A1992,fa_num,0))&amp;"",""))</f>
        <v/>
      </c>
      <c r="N1992" s="59" t="str">
        <f>IF(COUNTA(A1992:G1992)=0,"",IF(A1992="","N° facture manquant",IF(ISNA(MATCH(A1992,fa_num,0)),"Facture inconnue",IF(AND(B1992&lt;&gt;"",ISNA(MATCH(B1992,pr_code,0))),"Article inconnu",IF(H1992="","Désignation manquante",IF(OR(NOT(ISNUMBER(D1992)),N(D1992)&lt;=0),"Quantité invalide",IF(J1992="","Prix manquant",IF(OR(NOT(ISNUMBER(J1992)),N(J1992)&lt;0),"Prix invalide",IF(OR(AND(F1992&lt;&gt;"",NOT(ISNUMBER(F1992))),N(F1992)&lt;0,N(F1992)&gt;1),"Remise invalide",IF(K1992="","Taux de TVA manquant",IF(NOT(ISNUMBER(K1992)),"Taux de TVA invalide",IF(COUNTIF(p_rates,K1992)=0,"Taux de TVA hors liste (Paramètres)",IF(N(O1992)&gt;25,"Au-delà de 25 lignes : non imprimée","OK")))))))))))))</f>
        <v/>
      </c>
      <c r="O1992" s="59" t="str">
        <f>IF(A1992="","",COUNTIF($A$6:A1992,A1992))</f>
        <v/>
      </c>
      <c r="P1992" s="62" t="str">
        <f>IF(A1992="","",A1992&amp;"|"&amp;O1992)</f>
        <v/>
      </c>
    </row>
    <row r="1993">
      <c r="A1993" s="60" t="n"/>
      <c r="B1993" s="63" t="n"/>
      <c r="C1993" s="63" t="n"/>
      <c r="D1993" s="67" t="n"/>
      <c r="E1993" s="68" t="n"/>
      <c r="F1993" s="69" t="n"/>
      <c r="G1993" s="70" t="n"/>
      <c r="H1993" s="62" t="str">
        <f>IF(COUNTA(A1993:G1993)=0,"",IF(C1993&lt;&gt;"",C1993,IF(B1993="","",IFERROR(INDEX(pr_des,MATCH(B1993,pr_code,0))&amp;"",""))))</f>
        <v/>
      </c>
      <c r="I1993" s="59" t="str">
        <f>IF(B1993="","",IFERROR(INDEX(pr_unit,MATCH(B1993,pr_code,0))&amp;"",""))</f>
        <v/>
      </c>
      <c r="J1993" s="65" t="str">
        <f>IF(COUNTA(A1993:G1993)=0,"",IF(E1993&lt;&gt;"",E1993,IF(B1993="","",IFERROR(IF(INDEX(pr_price,MATCH(B1993,pr_code,0))="","",INDEX(pr_price,MATCH(B1993,pr_code,0))),""))))</f>
        <v/>
      </c>
      <c r="K1993" s="71" t="str">
        <f>IF(COUNTA(A1993:G1993)=0,"",IF(G1993&lt;&gt;"",G1993,IF(B1993="","",IFERROR(IF(INDEX(pr_rate,MATCH(B1993,pr_code,0))="","",INDEX(pr_rate,MATCH(B1993,pr_code,0))),""))))</f>
        <v/>
      </c>
      <c r="L1993" s="65" t="str">
        <f>IF(COUNTA(A1993:G1993)=0,"",IF(AND(ISNUMBER(D1993),ISNUMBER(J1993)),ROUND(D1993*J1993*(1-N(F1993)),2),0))</f>
        <v/>
      </c>
      <c r="M1993" s="62" t="str">
        <f>IF(A1993="","",IFERROR(INDEX(fa_cname,MATCH(A1993,fa_num,0))&amp;"",""))</f>
        <v/>
      </c>
      <c r="N1993" s="59" t="str">
        <f>IF(COUNTA(A1993:G1993)=0,"",IF(A1993="","N° facture manquant",IF(ISNA(MATCH(A1993,fa_num,0)),"Facture inconnue",IF(AND(B1993&lt;&gt;"",ISNA(MATCH(B1993,pr_code,0))),"Article inconnu",IF(H1993="","Désignation manquante",IF(OR(NOT(ISNUMBER(D1993)),N(D1993)&lt;=0),"Quantité invalide",IF(J1993="","Prix manquant",IF(OR(NOT(ISNUMBER(J1993)),N(J1993)&lt;0),"Prix invalide",IF(OR(AND(F1993&lt;&gt;"",NOT(ISNUMBER(F1993))),N(F1993)&lt;0,N(F1993)&gt;1),"Remise invalide",IF(K1993="","Taux de TVA manquant",IF(NOT(ISNUMBER(K1993)),"Taux de TVA invalide",IF(COUNTIF(p_rates,K1993)=0,"Taux de TVA hors liste (Paramètres)",IF(N(O1993)&gt;25,"Au-delà de 25 lignes : non imprimée","OK")))))))))))))</f>
        <v/>
      </c>
      <c r="O1993" s="59" t="str">
        <f>IF(A1993="","",COUNTIF($A$6:A1993,A1993))</f>
        <v/>
      </c>
      <c r="P1993" s="62" t="str">
        <f>IF(A1993="","",A1993&amp;"|"&amp;O1993)</f>
        <v/>
      </c>
    </row>
    <row r="1994">
      <c r="A1994" s="60" t="n"/>
      <c r="B1994" s="63" t="n"/>
      <c r="C1994" s="63" t="n"/>
      <c r="D1994" s="67" t="n"/>
      <c r="E1994" s="68" t="n"/>
      <c r="F1994" s="69" t="n"/>
      <c r="G1994" s="70" t="n"/>
      <c r="H1994" s="62" t="str">
        <f>IF(COUNTA(A1994:G1994)=0,"",IF(C1994&lt;&gt;"",C1994,IF(B1994="","",IFERROR(INDEX(pr_des,MATCH(B1994,pr_code,0))&amp;"",""))))</f>
        <v/>
      </c>
      <c r="I1994" s="59" t="str">
        <f>IF(B1994="","",IFERROR(INDEX(pr_unit,MATCH(B1994,pr_code,0))&amp;"",""))</f>
        <v/>
      </c>
      <c r="J1994" s="65" t="str">
        <f>IF(COUNTA(A1994:G1994)=0,"",IF(E1994&lt;&gt;"",E1994,IF(B1994="","",IFERROR(IF(INDEX(pr_price,MATCH(B1994,pr_code,0))="","",INDEX(pr_price,MATCH(B1994,pr_code,0))),""))))</f>
        <v/>
      </c>
      <c r="K1994" s="71" t="str">
        <f>IF(COUNTA(A1994:G1994)=0,"",IF(G1994&lt;&gt;"",G1994,IF(B1994="","",IFERROR(IF(INDEX(pr_rate,MATCH(B1994,pr_code,0))="","",INDEX(pr_rate,MATCH(B1994,pr_code,0))),""))))</f>
        <v/>
      </c>
      <c r="L1994" s="65" t="str">
        <f>IF(COUNTA(A1994:G1994)=0,"",IF(AND(ISNUMBER(D1994),ISNUMBER(J1994)),ROUND(D1994*J1994*(1-N(F1994)),2),0))</f>
        <v/>
      </c>
      <c r="M1994" s="62" t="str">
        <f>IF(A1994="","",IFERROR(INDEX(fa_cname,MATCH(A1994,fa_num,0))&amp;"",""))</f>
        <v/>
      </c>
      <c r="N1994" s="59" t="str">
        <f>IF(COUNTA(A1994:G1994)=0,"",IF(A1994="","N° facture manquant",IF(ISNA(MATCH(A1994,fa_num,0)),"Facture inconnue",IF(AND(B1994&lt;&gt;"",ISNA(MATCH(B1994,pr_code,0))),"Article inconnu",IF(H1994="","Désignation manquante",IF(OR(NOT(ISNUMBER(D1994)),N(D1994)&lt;=0),"Quantité invalide",IF(J1994="","Prix manquant",IF(OR(NOT(ISNUMBER(J1994)),N(J1994)&lt;0),"Prix invalide",IF(OR(AND(F1994&lt;&gt;"",NOT(ISNUMBER(F1994))),N(F1994)&lt;0,N(F1994)&gt;1),"Remise invalide",IF(K1994="","Taux de TVA manquant",IF(NOT(ISNUMBER(K1994)),"Taux de TVA invalide",IF(COUNTIF(p_rates,K1994)=0,"Taux de TVA hors liste (Paramètres)",IF(N(O1994)&gt;25,"Au-delà de 25 lignes : non imprimée","OK")))))))))))))</f>
        <v/>
      </c>
      <c r="O1994" s="59" t="str">
        <f>IF(A1994="","",COUNTIF($A$6:A1994,A1994))</f>
        <v/>
      </c>
      <c r="P1994" s="62" t="str">
        <f>IF(A1994="","",A1994&amp;"|"&amp;O1994)</f>
        <v/>
      </c>
    </row>
    <row r="1995">
      <c r="A1995" s="60" t="n"/>
      <c r="B1995" s="63" t="n"/>
      <c r="C1995" s="63" t="n"/>
      <c r="D1995" s="67" t="n"/>
      <c r="E1995" s="68" t="n"/>
      <c r="F1995" s="69" t="n"/>
      <c r="G1995" s="70" t="n"/>
      <c r="H1995" s="62" t="str">
        <f>IF(COUNTA(A1995:G1995)=0,"",IF(C1995&lt;&gt;"",C1995,IF(B1995="","",IFERROR(INDEX(pr_des,MATCH(B1995,pr_code,0))&amp;"",""))))</f>
        <v/>
      </c>
      <c r="I1995" s="59" t="str">
        <f>IF(B1995="","",IFERROR(INDEX(pr_unit,MATCH(B1995,pr_code,0))&amp;"",""))</f>
        <v/>
      </c>
      <c r="J1995" s="65" t="str">
        <f>IF(COUNTA(A1995:G1995)=0,"",IF(E1995&lt;&gt;"",E1995,IF(B1995="","",IFERROR(IF(INDEX(pr_price,MATCH(B1995,pr_code,0))="","",INDEX(pr_price,MATCH(B1995,pr_code,0))),""))))</f>
        <v/>
      </c>
      <c r="K1995" s="71" t="str">
        <f>IF(COUNTA(A1995:G1995)=0,"",IF(G1995&lt;&gt;"",G1995,IF(B1995="","",IFERROR(IF(INDEX(pr_rate,MATCH(B1995,pr_code,0))="","",INDEX(pr_rate,MATCH(B1995,pr_code,0))),""))))</f>
        <v/>
      </c>
      <c r="L1995" s="65" t="str">
        <f>IF(COUNTA(A1995:G1995)=0,"",IF(AND(ISNUMBER(D1995),ISNUMBER(J1995)),ROUND(D1995*J1995*(1-N(F1995)),2),0))</f>
        <v/>
      </c>
      <c r="M1995" s="62" t="str">
        <f>IF(A1995="","",IFERROR(INDEX(fa_cname,MATCH(A1995,fa_num,0))&amp;"",""))</f>
        <v/>
      </c>
      <c r="N1995" s="59" t="str">
        <f>IF(COUNTA(A1995:G1995)=0,"",IF(A1995="","N° facture manquant",IF(ISNA(MATCH(A1995,fa_num,0)),"Facture inconnue",IF(AND(B1995&lt;&gt;"",ISNA(MATCH(B1995,pr_code,0))),"Article inconnu",IF(H1995="","Désignation manquante",IF(OR(NOT(ISNUMBER(D1995)),N(D1995)&lt;=0),"Quantité invalide",IF(J1995="","Prix manquant",IF(OR(NOT(ISNUMBER(J1995)),N(J1995)&lt;0),"Prix invalide",IF(OR(AND(F1995&lt;&gt;"",NOT(ISNUMBER(F1995))),N(F1995)&lt;0,N(F1995)&gt;1),"Remise invalide",IF(K1995="","Taux de TVA manquant",IF(NOT(ISNUMBER(K1995)),"Taux de TVA invalide",IF(COUNTIF(p_rates,K1995)=0,"Taux de TVA hors liste (Paramètres)",IF(N(O1995)&gt;25,"Au-delà de 25 lignes : non imprimée","OK")))))))))))))</f>
        <v/>
      </c>
      <c r="O1995" s="59" t="str">
        <f>IF(A1995="","",COUNTIF($A$6:A1995,A1995))</f>
        <v/>
      </c>
      <c r="P1995" s="62" t="str">
        <f>IF(A1995="","",A1995&amp;"|"&amp;O1995)</f>
        <v/>
      </c>
    </row>
    <row r="1996">
      <c r="A1996" s="60" t="n"/>
      <c r="B1996" s="63" t="n"/>
      <c r="C1996" s="63" t="n"/>
      <c r="D1996" s="67" t="n"/>
      <c r="E1996" s="68" t="n"/>
      <c r="F1996" s="69" t="n"/>
      <c r="G1996" s="70" t="n"/>
      <c r="H1996" s="62" t="str">
        <f>IF(COUNTA(A1996:G1996)=0,"",IF(C1996&lt;&gt;"",C1996,IF(B1996="","",IFERROR(INDEX(pr_des,MATCH(B1996,pr_code,0))&amp;"",""))))</f>
        <v/>
      </c>
      <c r="I1996" s="59" t="str">
        <f>IF(B1996="","",IFERROR(INDEX(pr_unit,MATCH(B1996,pr_code,0))&amp;"",""))</f>
        <v/>
      </c>
      <c r="J1996" s="65" t="str">
        <f>IF(COUNTA(A1996:G1996)=0,"",IF(E1996&lt;&gt;"",E1996,IF(B1996="","",IFERROR(IF(INDEX(pr_price,MATCH(B1996,pr_code,0))="","",INDEX(pr_price,MATCH(B1996,pr_code,0))),""))))</f>
        <v/>
      </c>
      <c r="K1996" s="71" t="str">
        <f>IF(COUNTA(A1996:G1996)=0,"",IF(G1996&lt;&gt;"",G1996,IF(B1996="","",IFERROR(IF(INDEX(pr_rate,MATCH(B1996,pr_code,0))="","",INDEX(pr_rate,MATCH(B1996,pr_code,0))),""))))</f>
        <v/>
      </c>
      <c r="L1996" s="65" t="str">
        <f>IF(COUNTA(A1996:G1996)=0,"",IF(AND(ISNUMBER(D1996),ISNUMBER(J1996)),ROUND(D1996*J1996*(1-N(F1996)),2),0))</f>
        <v/>
      </c>
      <c r="M1996" s="62" t="str">
        <f>IF(A1996="","",IFERROR(INDEX(fa_cname,MATCH(A1996,fa_num,0))&amp;"",""))</f>
        <v/>
      </c>
      <c r="N1996" s="59" t="str">
        <f>IF(COUNTA(A1996:G1996)=0,"",IF(A1996="","N° facture manquant",IF(ISNA(MATCH(A1996,fa_num,0)),"Facture inconnue",IF(AND(B1996&lt;&gt;"",ISNA(MATCH(B1996,pr_code,0))),"Article inconnu",IF(H1996="","Désignation manquante",IF(OR(NOT(ISNUMBER(D1996)),N(D1996)&lt;=0),"Quantité invalide",IF(J1996="","Prix manquant",IF(OR(NOT(ISNUMBER(J1996)),N(J1996)&lt;0),"Prix invalide",IF(OR(AND(F1996&lt;&gt;"",NOT(ISNUMBER(F1996))),N(F1996)&lt;0,N(F1996)&gt;1),"Remise invalide",IF(K1996="","Taux de TVA manquant",IF(NOT(ISNUMBER(K1996)),"Taux de TVA invalide",IF(COUNTIF(p_rates,K1996)=0,"Taux de TVA hors liste (Paramètres)",IF(N(O1996)&gt;25,"Au-delà de 25 lignes : non imprimée","OK")))))))))))))</f>
        <v/>
      </c>
      <c r="O1996" s="59" t="str">
        <f>IF(A1996="","",COUNTIF($A$6:A1996,A1996))</f>
        <v/>
      </c>
      <c r="P1996" s="62" t="str">
        <f>IF(A1996="","",A1996&amp;"|"&amp;O1996)</f>
        <v/>
      </c>
    </row>
    <row r="1997">
      <c r="A1997" s="60" t="n"/>
      <c r="B1997" s="63" t="n"/>
      <c r="C1997" s="63" t="n"/>
      <c r="D1997" s="67" t="n"/>
      <c r="E1997" s="68" t="n"/>
      <c r="F1997" s="69" t="n"/>
      <c r="G1997" s="70" t="n"/>
      <c r="H1997" s="62" t="str">
        <f>IF(COUNTA(A1997:G1997)=0,"",IF(C1997&lt;&gt;"",C1997,IF(B1997="","",IFERROR(INDEX(pr_des,MATCH(B1997,pr_code,0))&amp;"",""))))</f>
        <v/>
      </c>
      <c r="I1997" s="59" t="str">
        <f>IF(B1997="","",IFERROR(INDEX(pr_unit,MATCH(B1997,pr_code,0))&amp;"",""))</f>
        <v/>
      </c>
      <c r="J1997" s="65" t="str">
        <f>IF(COUNTA(A1997:G1997)=0,"",IF(E1997&lt;&gt;"",E1997,IF(B1997="","",IFERROR(IF(INDEX(pr_price,MATCH(B1997,pr_code,0))="","",INDEX(pr_price,MATCH(B1997,pr_code,0))),""))))</f>
        <v/>
      </c>
      <c r="K1997" s="71" t="str">
        <f>IF(COUNTA(A1997:G1997)=0,"",IF(G1997&lt;&gt;"",G1997,IF(B1997="","",IFERROR(IF(INDEX(pr_rate,MATCH(B1997,pr_code,0))="","",INDEX(pr_rate,MATCH(B1997,pr_code,0))),""))))</f>
        <v/>
      </c>
      <c r="L1997" s="65" t="str">
        <f>IF(COUNTA(A1997:G1997)=0,"",IF(AND(ISNUMBER(D1997),ISNUMBER(J1997)),ROUND(D1997*J1997*(1-N(F1997)),2),0))</f>
        <v/>
      </c>
      <c r="M1997" s="62" t="str">
        <f>IF(A1997="","",IFERROR(INDEX(fa_cname,MATCH(A1997,fa_num,0))&amp;"",""))</f>
        <v/>
      </c>
      <c r="N1997" s="59" t="str">
        <f>IF(COUNTA(A1997:G1997)=0,"",IF(A1997="","N° facture manquant",IF(ISNA(MATCH(A1997,fa_num,0)),"Facture inconnue",IF(AND(B1997&lt;&gt;"",ISNA(MATCH(B1997,pr_code,0))),"Article inconnu",IF(H1997="","Désignation manquante",IF(OR(NOT(ISNUMBER(D1997)),N(D1997)&lt;=0),"Quantité invalide",IF(J1997="","Prix manquant",IF(OR(NOT(ISNUMBER(J1997)),N(J1997)&lt;0),"Prix invalide",IF(OR(AND(F1997&lt;&gt;"",NOT(ISNUMBER(F1997))),N(F1997)&lt;0,N(F1997)&gt;1),"Remise invalide",IF(K1997="","Taux de TVA manquant",IF(NOT(ISNUMBER(K1997)),"Taux de TVA invalide",IF(COUNTIF(p_rates,K1997)=0,"Taux de TVA hors liste (Paramètres)",IF(N(O1997)&gt;25,"Au-delà de 25 lignes : non imprimée","OK")))))))))))))</f>
        <v/>
      </c>
      <c r="O1997" s="59" t="str">
        <f>IF(A1997="","",COUNTIF($A$6:A1997,A1997))</f>
        <v/>
      </c>
      <c r="P1997" s="62" t="str">
        <f>IF(A1997="","",A1997&amp;"|"&amp;O1997)</f>
        <v/>
      </c>
    </row>
    <row r="1998">
      <c r="A1998" s="60" t="n"/>
      <c r="B1998" s="63" t="n"/>
      <c r="C1998" s="63" t="n"/>
      <c r="D1998" s="67" t="n"/>
      <c r="E1998" s="68" t="n"/>
      <c r="F1998" s="69" t="n"/>
      <c r="G1998" s="70" t="n"/>
      <c r="H1998" s="62" t="str">
        <f>IF(COUNTA(A1998:G1998)=0,"",IF(C1998&lt;&gt;"",C1998,IF(B1998="","",IFERROR(INDEX(pr_des,MATCH(B1998,pr_code,0))&amp;"",""))))</f>
        <v/>
      </c>
      <c r="I1998" s="59" t="str">
        <f>IF(B1998="","",IFERROR(INDEX(pr_unit,MATCH(B1998,pr_code,0))&amp;"",""))</f>
        <v/>
      </c>
      <c r="J1998" s="65" t="str">
        <f>IF(COUNTA(A1998:G1998)=0,"",IF(E1998&lt;&gt;"",E1998,IF(B1998="","",IFERROR(IF(INDEX(pr_price,MATCH(B1998,pr_code,0))="","",INDEX(pr_price,MATCH(B1998,pr_code,0))),""))))</f>
        <v/>
      </c>
      <c r="K1998" s="71" t="str">
        <f>IF(COUNTA(A1998:G1998)=0,"",IF(G1998&lt;&gt;"",G1998,IF(B1998="","",IFERROR(IF(INDEX(pr_rate,MATCH(B1998,pr_code,0))="","",INDEX(pr_rate,MATCH(B1998,pr_code,0))),""))))</f>
        <v/>
      </c>
      <c r="L1998" s="65" t="str">
        <f>IF(COUNTA(A1998:G1998)=0,"",IF(AND(ISNUMBER(D1998),ISNUMBER(J1998)),ROUND(D1998*J1998*(1-N(F1998)),2),0))</f>
        <v/>
      </c>
      <c r="M1998" s="62" t="str">
        <f>IF(A1998="","",IFERROR(INDEX(fa_cname,MATCH(A1998,fa_num,0))&amp;"",""))</f>
        <v/>
      </c>
      <c r="N1998" s="59" t="str">
        <f>IF(COUNTA(A1998:G1998)=0,"",IF(A1998="","N° facture manquant",IF(ISNA(MATCH(A1998,fa_num,0)),"Facture inconnue",IF(AND(B1998&lt;&gt;"",ISNA(MATCH(B1998,pr_code,0))),"Article inconnu",IF(H1998="","Désignation manquante",IF(OR(NOT(ISNUMBER(D1998)),N(D1998)&lt;=0),"Quantité invalide",IF(J1998="","Prix manquant",IF(OR(NOT(ISNUMBER(J1998)),N(J1998)&lt;0),"Prix invalide",IF(OR(AND(F1998&lt;&gt;"",NOT(ISNUMBER(F1998))),N(F1998)&lt;0,N(F1998)&gt;1),"Remise invalide",IF(K1998="","Taux de TVA manquant",IF(NOT(ISNUMBER(K1998)),"Taux de TVA invalide",IF(COUNTIF(p_rates,K1998)=0,"Taux de TVA hors liste (Paramètres)",IF(N(O1998)&gt;25,"Au-delà de 25 lignes : non imprimée","OK")))))))))))))</f>
        <v/>
      </c>
      <c r="O1998" s="59" t="str">
        <f>IF(A1998="","",COUNTIF($A$6:A1998,A1998))</f>
        <v/>
      </c>
      <c r="P1998" s="62" t="str">
        <f>IF(A1998="","",A1998&amp;"|"&amp;O1998)</f>
        <v/>
      </c>
    </row>
    <row r="1999">
      <c r="A1999" s="60" t="n"/>
      <c r="B1999" s="63" t="n"/>
      <c r="C1999" s="63" t="n"/>
      <c r="D1999" s="67" t="n"/>
      <c r="E1999" s="68" t="n"/>
      <c r="F1999" s="69" t="n"/>
      <c r="G1999" s="70" t="n"/>
      <c r="H1999" s="62" t="str">
        <f>IF(COUNTA(A1999:G1999)=0,"",IF(C1999&lt;&gt;"",C1999,IF(B1999="","",IFERROR(INDEX(pr_des,MATCH(B1999,pr_code,0))&amp;"",""))))</f>
        <v/>
      </c>
      <c r="I1999" s="59" t="str">
        <f>IF(B1999="","",IFERROR(INDEX(pr_unit,MATCH(B1999,pr_code,0))&amp;"",""))</f>
        <v/>
      </c>
      <c r="J1999" s="65" t="str">
        <f>IF(COUNTA(A1999:G1999)=0,"",IF(E1999&lt;&gt;"",E1999,IF(B1999="","",IFERROR(IF(INDEX(pr_price,MATCH(B1999,pr_code,0))="","",INDEX(pr_price,MATCH(B1999,pr_code,0))),""))))</f>
        <v/>
      </c>
      <c r="K1999" s="71" t="str">
        <f>IF(COUNTA(A1999:G1999)=0,"",IF(G1999&lt;&gt;"",G1999,IF(B1999="","",IFERROR(IF(INDEX(pr_rate,MATCH(B1999,pr_code,0))="","",INDEX(pr_rate,MATCH(B1999,pr_code,0))),""))))</f>
        <v/>
      </c>
      <c r="L1999" s="65" t="str">
        <f>IF(COUNTA(A1999:G1999)=0,"",IF(AND(ISNUMBER(D1999),ISNUMBER(J1999)),ROUND(D1999*J1999*(1-N(F1999)),2),0))</f>
        <v/>
      </c>
      <c r="M1999" s="62" t="str">
        <f>IF(A1999="","",IFERROR(INDEX(fa_cname,MATCH(A1999,fa_num,0))&amp;"",""))</f>
        <v/>
      </c>
      <c r="N1999" s="59" t="str">
        <f>IF(COUNTA(A1999:G1999)=0,"",IF(A1999="","N° facture manquant",IF(ISNA(MATCH(A1999,fa_num,0)),"Facture inconnue",IF(AND(B1999&lt;&gt;"",ISNA(MATCH(B1999,pr_code,0))),"Article inconnu",IF(H1999="","Désignation manquante",IF(OR(NOT(ISNUMBER(D1999)),N(D1999)&lt;=0),"Quantité invalide",IF(J1999="","Prix manquant",IF(OR(NOT(ISNUMBER(J1999)),N(J1999)&lt;0),"Prix invalide",IF(OR(AND(F1999&lt;&gt;"",NOT(ISNUMBER(F1999))),N(F1999)&lt;0,N(F1999)&gt;1),"Remise invalide",IF(K1999="","Taux de TVA manquant",IF(NOT(ISNUMBER(K1999)),"Taux de TVA invalide",IF(COUNTIF(p_rates,K1999)=0,"Taux de TVA hors liste (Paramètres)",IF(N(O1999)&gt;25,"Au-delà de 25 lignes : non imprimée","OK")))))))))))))</f>
        <v/>
      </c>
      <c r="O1999" s="59" t="str">
        <f>IF(A1999="","",COUNTIF($A$6:A1999,A1999))</f>
        <v/>
      </c>
      <c r="P1999" s="62" t="str">
        <f>IF(A1999="","",A1999&amp;"|"&amp;O1999)</f>
        <v/>
      </c>
    </row>
    <row r="2000">
      <c r="A2000" s="60" t="n"/>
      <c r="B2000" s="63" t="n"/>
      <c r="C2000" s="63" t="n"/>
      <c r="D2000" s="67" t="n"/>
      <c r="E2000" s="68" t="n"/>
      <c r="F2000" s="69" t="n"/>
      <c r="G2000" s="70" t="n"/>
      <c r="H2000" s="62" t="str">
        <f>IF(COUNTA(A2000:G2000)=0,"",IF(C2000&lt;&gt;"",C2000,IF(B2000="","",IFERROR(INDEX(pr_des,MATCH(B2000,pr_code,0))&amp;"",""))))</f>
        <v/>
      </c>
      <c r="I2000" s="59" t="str">
        <f>IF(B2000="","",IFERROR(INDEX(pr_unit,MATCH(B2000,pr_code,0))&amp;"",""))</f>
        <v/>
      </c>
      <c r="J2000" s="65" t="str">
        <f>IF(COUNTA(A2000:G2000)=0,"",IF(E2000&lt;&gt;"",E2000,IF(B2000="","",IFERROR(IF(INDEX(pr_price,MATCH(B2000,pr_code,0))="","",INDEX(pr_price,MATCH(B2000,pr_code,0))),""))))</f>
        <v/>
      </c>
      <c r="K2000" s="71" t="str">
        <f>IF(COUNTA(A2000:G2000)=0,"",IF(G2000&lt;&gt;"",G2000,IF(B2000="","",IFERROR(IF(INDEX(pr_rate,MATCH(B2000,pr_code,0))="","",INDEX(pr_rate,MATCH(B2000,pr_code,0))),""))))</f>
        <v/>
      </c>
      <c r="L2000" s="65" t="str">
        <f>IF(COUNTA(A2000:G2000)=0,"",IF(AND(ISNUMBER(D2000),ISNUMBER(J2000)),ROUND(D2000*J2000*(1-N(F2000)),2),0))</f>
        <v/>
      </c>
      <c r="M2000" s="62" t="str">
        <f>IF(A2000="","",IFERROR(INDEX(fa_cname,MATCH(A2000,fa_num,0))&amp;"",""))</f>
        <v/>
      </c>
      <c r="N2000" s="59" t="str">
        <f>IF(COUNTA(A2000:G2000)=0,"",IF(A2000="","N° facture manquant",IF(ISNA(MATCH(A2000,fa_num,0)),"Facture inconnue",IF(AND(B2000&lt;&gt;"",ISNA(MATCH(B2000,pr_code,0))),"Article inconnu",IF(H2000="","Désignation manquante",IF(OR(NOT(ISNUMBER(D2000)),N(D2000)&lt;=0),"Quantité invalide",IF(J2000="","Prix manquant",IF(OR(NOT(ISNUMBER(J2000)),N(J2000)&lt;0),"Prix invalide",IF(OR(AND(F2000&lt;&gt;"",NOT(ISNUMBER(F2000))),N(F2000)&lt;0,N(F2000)&gt;1),"Remise invalide",IF(K2000="","Taux de TVA manquant",IF(NOT(ISNUMBER(K2000)),"Taux de TVA invalide",IF(COUNTIF(p_rates,K2000)=0,"Taux de TVA hors liste (Paramètres)",IF(N(O2000)&gt;25,"Au-delà de 25 lignes : non imprimée","OK")))))))))))))</f>
        <v/>
      </c>
      <c r="O2000" s="59" t="str">
        <f>IF(A2000="","",COUNTIF($A$6:A2000,A2000))</f>
        <v/>
      </c>
      <c r="P2000" s="62" t="str">
        <f>IF(A2000="","",A2000&amp;"|"&amp;O2000)</f>
        <v/>
      </c>
    </row>
    <row r="2001">
      <c r="A2001" s="60" t="n"/>
      <c r="B2001" s="63" t="n"/>
      <c r="C2001" s="63" t="n"/>
      <c r="D2001" s="67" t="n"/>
      <c r="E2001" s="68" t="n"/>
      <c r="F2001" s="69" t="n"/>
      <c r="G2001" s="70" t="n"/>
      <c r="H2001" s="62" t="str">
        <f>IF(COUNTA(A2001:G2001)=0,"",IF(C2001&lt;&gt;"",C2001,IF(B2001="","",IFERROR(INDEX(pr_des,MATCH(B2001,pr_code,0))&amp;"",""))))</f>
        <v/>
      </c>
      <c r="I2001" s="59" t="str">
        <f>IF(B2001="","",IFERROR(INDEX(pr_unit,MATCH(B2001,pr_code,0))&amp;"",""))</f>
        <v/>
      </c>
      <c r="J2001" s="65" t="str">
        <f>IF(COUNTA(A2001:G2001)=0,"",IF(E2001&lt;&gt;"",E2001,IF(B2001="","",IFERROR(IF(INDEX(pr_price,MATCH(B2001,pr_code,0))="","",INDEX(pr_price,MATCH(B2001,pr_code,0))),""))))</f>
        <v/>
      </c>
      <c r="K2001" s="71" t="str">
        <f>IF(COUNTA(A2001:G2001)=0,"",IF(G2001&lt;&gt;"",G2001,IF(B2001="","",IFERROR(IF(INDEX(pr_rate,MATCH(B2001,pr_code,0))="","",INDEX(pr_rate,MATCH(B2001,pr_code,0))),""))))</f>
        <v/>
      </c>
      <c r="L2001" s="65" t="str">
        <f>IF(COUNTA(A2001:G2001)=0,"",IF(AND(ISNUMBER(D2001),ISNUMBER(J2001)),ROUND(D2001*J2001*(1-N(F2001)),2),0))</f>
        <v/>
      </c>
      <c r="M2001" s="62" t="str">
        <f>IF(A2001="","",IFERROR(INDEX(fa_cname,MATCH(A2001,fa_num,0))&amp;"",""))</f>
        <v/>
      </c>
      <c r="N2001" s="59" t="str">
        <f>IF(COUNTA(A2001:G2001)=0,"",IF(A2001="","N° facture manquant",IF(ISNA(MATCH(A2001,fa_num,0)),"Facture inconnue",IF(AND(B2001&lt;&gt;"",ISNA(MATCH(B2001,pr_code,0))),"Article inconnu",IF(H2001="","Désignation manquante",IF(OR(NOT(ISNUMBER(D2001)),N(D2001)&lt;=0),"Quantité invalide",IF(J2001="","Prix manquant",IF(OR(NOT(ISNUMBER(J2001)),N(J2001)&lt;0),"Prix invalide",IF(OR(AND(F2001&lt;&gt;"",NOT(ISNUMBER(F2001))),N(F2001)&lt;0,N(F2001)&gt;1),"Remise invalide",IF(K2001="","Taux de TVA manquant",IF(NOT(ISNUMBER(K2001)),"Taux de TVA invalide",IF(COUNTIF(p_rates,K2001)=0,"Taux de TVA hors liste (Paramètres)",IF(N(O2001)&gt;25,"Au-delà de 25 lignes : non imprimée","OK")))))))))))))</f>
        <v/>
      </c>
      <c r="O2001" s="59" t="str">
        <f>IF(A2001="","",COUNTIF($A$6:A2001,A2001))</f>
        <v/>
      </c>
      <c r="P2001" s="62" t="str">
        <f>IF(A2001="","",A2001&amp;"|"&amp;O2001)</f>
        <v/>
      </c>
    </row>
    <row r="2002">
      <c r="A2002" s="60" t="n"/>
      <c r="B2002" s="63" t="n"/>
      <c r="C2002" s="63" t="n"/>
      <c r="D2002" s="67" t="n"/>
      <c r="E2002" s="68" t="n"/>
      <c r="F2002" s="69" t="n"/>
      <c r="G2002" s="70" t="n"/>
      <c r="H2002" s="62" t="str">
        <f>IF(COUNTA(A2002:G2002)=0,"",IF(C2002&lt;&gt;"",C2002,IF(B2002="","",IFERROR(INDEX(pr_des,MATCH(B2002,pr_code,0))&amp;"",""))))</f>
        <v/>
      </c>
      <c r="I2002" s="59" t="str">
        <f>IF(B2002="","",IFERROR(INDEX(pr_unit,MATCH(B2002,pr_code,0))&amp;"",""))</f>
        <v/>
      </c>
      <c r="J2002" s="65" t="str">
        <f>IF(COUNTA(A2002:G2002)=0,"",IF(E2002&lt;&gt;"",E2002,IF(B2002="","",IFERROR(IF(INDEX(pr_price,MATCH(B2002,pr_code,0))="","",INDEX(pr_price,MATCH(B2002,pr_code,0))),""))))</f>
        <v/>
      </c>
      <c r="K2002" s="71" t="str">
        <f>IF(COUNTA(A2002:G2002)=0,"",IF(G2002&lt;&gt;"",G2002,IF(B2002="","",IFERROR(IF(INDEX(pr_rate,MATCH(B2002,pr_code,0))="","",INDEX(pr_rate,MATCH(B2002,pr_code,0))),""))))</f>
        <v/>
      </c>
      <c r="L2002" s="65" t="str">
        <f>IF(COUNTA(A2002:G2002)=0,"",IF(AND(ISNUMBER(D2002),ISNUMBER(J2002)),ROUND(D2002*J2002*(1-N(F2002)),2),0))</f>
        <v/>
      </c>
      <c r="M2002" s="62" t="str">
        <f>IF(A2002="","",IFERROR(INDEX(fa_cname,MATCH(A2002,fa_num,0))&amp;"",""))</f>
        <v/>
      </c>
      <c r="N2002" s="59" t="str">
        <f>IF(COUNTA(A2002:G2002)=0,"",IF(A2002="","N° facture manquant",IF(ISNA(MATCH(A2002,fa_num,0)),"Facture inconnue",IF(AND(B2002&lt;&gt;"",ISNA(MATCH(B2002,pr_code,0))),"Article inconnu",IF(H2002="","Désignation manquante",IF(OR(NOT(ISNUMBER(D2002)),N(D2002)&lt;=0),"Quantité invalide",IF(J2002="","Prix manquant",IF(OR(NOT(ISNUMBER(J2002)),N(J2002)&lt;0),"Prix invalide",IF(OR(AND(F2002&lt;&gt;"",NOT(ISNUMBER(F2002))),N(F2002)&lt;0,N(F2002)&gt;1),"Remise invalide",IF(K2002="","Taux de TVA manquant",IF(NOT(ISNUMBER(K2002)),"Taux de TVA invalide",IF(COUNTIF(p_rates,K2002)=0,"Taux de TVA hors liste (Paramètres)",IF(N(O2002)&gt;25,"Au-delà de 25 lignes : non imprimée","OK")))))))))))))</f>
        <v/>
      </c>
      <c r="O2002" s="59" t="str">
        <f>IF(A2002="","",COUNTIF($A$6:A2002,A2002))</f>
        <v/>
      </c>
      <c r="P2002" s="62" t="str">
        <f>IF(A2002="","",A2002&amp;"|"&amp;O2002)</f>
        <v/>
      </c>
    </row>
    <row r="2003">
      <c r="A2003" s="60" t="n"/>
      <c r="B2003" s="63" t="n"/>
      <c r="C2003" s="63" t="n"/>
      <c r="D2003" s="67" t="n"/>
      <c r="E2003" s="68" t="n"/>
      <c r="F2003" s="69" t="n"/>
      <c r="G2003" s="70" t="n"/>
      <c r="H2003" s="62" t="str">
        <f>IF(COUNTA(A2003:G2003)=0,"",IF(C2003&lt;&gt;"",C2003,IF(B2003="","",IFERROR(INDEX(pr_des,MATCH(B2003,pr_code,0))&amp;"",""))))</f>
        <v/>
      </c>
      <c r="I2003" s="59" t="str">
        <f>IF(B2003="","",IFERROR(INDEX(pr_unit,MATCH(B2003,pr_code,0))&amp;"",""))</f>
        <v/>
      </c>
      <c r="J2003" s="65" t="str">
        <f>IF(COUNTA(A2003:G2003)=0,"",IF(E2003&lt;&gt;"",E2003,IF(B2003="","",IFERROR(IF(INDEX(pr_price,MATCH(B2003,pr_code,0))="","",INDEX(pr_price,MATCH(B2003,pr_code,0))),""))))</f>
        <v/>
      </c>
      <c r="K2003" s="71" t="str">
        <f>IF(COUNTA(A2003:G2003)=0,"",IF(G2003&lt;&gt;"",G2003,IF(B2003="","",IFERROR(IF(INDEX(pr_rate,MATCH(B2003,pr_code,0))="","",INDEX(pr_rate,MATCH(B2003,pr_code,0))),""))))</f>
        <v/>
      </c>
      <c r="L2003" s="65" t="str">
        <f>IF(COUNTA(A2003:G2003)=0,"",IF(AND(ISNUMBER(D2003),ISNUMBER(J2003)),ROUND(D2003*J2003*(1-N(F2003)),2),0))</f>
        <v/>
      </c>
      <c r="M2003" s="62" t="str">
        <f>IF(A2003="","",IFERROR(INDEX(fa_cname,MATCH(A2003,fa_num,0))&amp;"",""))</f>
        <v/>
      </c>
      <c r="N2003" s="59" t="str">
        <f>IF(COUNTA(A2003:G2003)=0,"",IF(A2003="","N° facture manquant",IF(ISNA(MATCH(A2003,fa_num,0)),"Facture inconnue",IF(AND(B2003&lt;&gt;"",ISNA(MATCH(B2003,pr_code,0))),"Article inconnu",IF(H2003="","Désignation manquante",IF(OR(NOT(ISNUMBER(D2003)),N(D2003)&lt;=0),"Quantité invalide",IF(J2003="","Prix manquant",IF(OR(NOT(ISNUMBER(J2003)),N(J2003)&lt;0),"Prix invalide",IF(OR(AND(F2003&lt;&gt;"",NOT(ISNUMBER(F2003))),N(F2003)&lt;0,N(F2003)&gt;1),"Remise invalide",IF(K2003="","Taux de TVA manquant",IF(NOT(ISNUMBER(K2003)),"Taux de TVA invalide",IF(COUNTIF(p_rates,K2003)=0,"Taux de TVA hors liste (Paramètres)",IF(N(O2003)&gt;25,"Au-delà de 25 lignes : non imprimée","OK")))))))))))))</f>
        <v/>
      </c>
      <c r="O2003" s="59" t="str">
        <f>IF(A2003="","",COUNTIF($A$6:A2003,A2003))</f>
        <v/>
      </c>
      <c r="P2003" s="62" t="str">
        <f>IF(A2003="","",A2003&amp;"|"&amp;O2003)</f>
        <v/>
      </c>
    </row>
    <row r="2004">
      <c r="A2004" s="60" t="n"/>
      <c r="B2004" s="63" t="n"/>
      <c r="C2004" s="63" t="n"/>
      <c r="D2004" s="67" t="n"/>
      <c r="E2004" s="68" t="n"/>
      <c r="F2004" s="69" t="n"/>
      <c r="G2004" s="70" t="n"/>
      <c r="H2004" s="62" t="str">
        <f>IF(COUNTA(A2004:G2004)=0,"",IF(C2004&lt;&gt;"",C2004,IF(B2004="","",IFERROR(INDEX(pr_des,MATCH(B2004,pr_code,0))&amp;"",""))))</f>
        <v/>
      </c>
      <c r="I2004" s="59" t="str">
        <f>IF(B2004="","",IFERROR(INDEX(pr_unit,MATCH(B2004,pr_code,0))&amp;"",""))</f>
        <v/>
      </c>
      <c r="J2004" s="65" t="str">
        <f>IF(COUNTA(A2004:G2004)=0,"",IF(E2004&lt;&gt;"",E2004,IF(B2004="","",IFERROR(IF(INDEX(pr_price,MATCH(B2004,pr_code,0))="","",INDEX(pr_price,MATCH(B2004,pr_code,0))),""))))</f>
        <v/>
      </c>
      <c r="K2004" s="71" t="str">
        <f>IF(COUNTA(A2004:G2004)=0,"",IF(G2004&lt;&gt;"",G2004,IF(B2004="","",IFERROR(IF(INDEX(pr_rate,MATCH(B2004,pr_code,0))="","",INDEX(pr_rate,MATCH(B2004,pr_code,0))),""))))</f>
        <v/>
      </c>
      <c r="L2004" s="65" t="str">
        <f>IF(COUNTA(A2004:G2004)=0,"",IF(AND(ISNUMBER(D2004),ISNUMBER(J2004)),ROUND(D2004*J2004*(1-N(F2004)),2),0))</f>
        <v/>
      </c>
      <c r="M2004" s="62" t="str">
        <f>IF(A2004="","",IFERROR(INDEX(fa_cname,MATCH(A2004,fa_num,0))&amp;"",""))</f>
        <v/>
      </c>
      <c r="N2004" s="59" t="str">
        <f>IF(COUNTA(A2004:G2004)=0,"",IF(A2004="","N° facture manquant",IF(ISNA(MATCH(A2004,fa_num,0)),"Facture inconnue",IF(AND(B2004&lt;&gt;"",ISNA(MATCH(B2004,pr_code,0))),"Article inconnu",IF(H2004="","Désignation manquante",IF(OR(NOT(ISNUMBER(D2004)),N(D2004)&lt;=0),"Quantité invalide",IF(J2004="","Prix manquant",IF(OR(NOT(ISNUMBER(J2004)),N(J2004)&lt;0),"Prix invalide",IF(OR(AND(F2004&lt;&gt;"",NOT(ISNUMBER(F2004))),N(F2004)&lt;0,N(F2004)&gt;1),"Remise invalide",IF(K2004="","Taux de TVA manquant",IF(NOT(ISNUMBER(K2004)),"Taux de TVA invalide",IF(COUNTIF(p_rates,K2004)=0,"Taux de TVA hors liste (Paramètres)",IF(N(O2004)&gt;25,"Au-delà de 25 lignes : non imprimée","OK")))))))))))))</f>
        <v/>
      </c>
      <c r="O2004" s="59" t="str">
        <f>IF(A2004="","",COUNTIF($A$6:A2004,A2004))</f>
        <v/>
      </c>
      <c r="P2004" s="62" t="str">
        <f>IF(A2004="","",A2004&amp;"|"&amp;O2004)</f>
        <v/>
      </c>
    </row>
    <row r="2005">
      <c r="A2005" s="60" t="n"/>
      <c r="B2005" s="63" t="n"/>
      <c r="C2005" s="63" t="n"/>
      <c r="D2005" s="67" t="n"/>
      <c r="E2005" s="68" t="n"/>
      <c r="F2005" s="69" t="n"/>
      <c r="G2005" s="70" t="n"/>
      <c r="H2005" s="62" t="str">
        <f>IF(COUNTA(A2005:G2005)=0,"",IF(C2005&lt;&gt;"",C2005,IF(B2005="","",IFERROR(INDEX(pr_des,MATCH(B2005,pr_code,0))&amp;"",""))))</f>
        <v/>
      </c>
      <c r="I2005" s="59" t="str">
        <f>IF(B2005="","",IFERROR(INDEX(pr_unit,MATCH(B2005,pr_code,0))&amp;"",""))</f>
        <v/>
      </c>
      <c r="J2005" s="65" t="str">
        <f>IF(COUNTA(A2005:G2005)=0,"",IF(E2005&lt;&gt;"",E2005,IF(B2005="","",IFERROR(IF(INDEX(pr_price,MATCH(B2005,pr_code,0))="","",INDEX(pr_price,MATCH(B2005,pr_code,0))),""))))</f>
        <v/>
      </c>
      <c r="K2005" s="71" t="str">
        <f>IF(COUNTA(A2005:G2005)=0,"",IF(G2005&lt;&gt;"",G2005,IF(B2005="","",IFERROR(IF(INDEX(pr_rate,MATCH(B2005,pr_code,0))="","",INDEX(pr_rate,MATCH(B2005,pr_code,0))),""))))</f>
        <v/>
      </c>
      <c r="L2005" s="65" t="str">
        <f>IF(COUNTA(A2005:G2005)=0,"",IF(AND(ISNUMBER(D2005),ISNUMBER(J2005)),ROUND(D2005*J2005*(1-N(F2005)),2),0))</f>
        <v/>
      </c>
      <c r="M2005" s="62" t="str">
        <f>IF(A2005="","",IFERROR(INDEX(fa_cname,MATCH(A2005,fa_num,0))&amp;"",""))</f>
        <v/>
      </c>
      <c r="N2005" s="59" t="str">
        <f>IF(COUNTA(A2005:G2005)=0,"",IF(A2005="","N° facture manquant",IF(ISNA(MATCH(A2005,fa_num,0)),"Facture inconnue",IF(AND(B2005&lt;&gt;"",ISNA(MATCH(B2005,pr_code,0))),"Article inconnu",IF(H2005="","Désignation manquante",IF(OR(NOT(ISNUMBER(D2005)),N(D2005)&lt;=0),"Quantité invalide",IF(J2005="","Prix manquant",IF(OR(NOT(ISNUMBER(J2005)),N(J2005)&lt;0),"Prix invalide",IF(OR(AND(F2005&lt;&gt;"",NOT(ISNUMBER(F2005))),N(F2005)&lt;0,N(F2005)&gt;1),"Remise invalide",IF(K2005="","Taux de TVA manquant",IF(NOT(ISNUMBER(K2005)),"Taux de TVA invalide",IF(COUNTIF(p_rates,K2005)=0,"Taux de TVA hors liste (Paramètres)",IF(N(O2005)&gt;25,"Au-delà de 25 lignes : non imprimée","OK")))))))))))))</f>
        <v/>
      </c>
      <c r="O2005" s="59" t="str">
        <f>IF(A2005="","",COUNTIF($A$6:A2005,A2005))</f>
        <v/>
      </c>
      <c r="P2005" s="62" t="str">
        <f>IF(A2005="","",A2005&amp;"|"&amp;O2005)</f>
        <v/>
      </c>
    </row>
    <row r="2006">
      <c r="A2006" s="60" t="n"/>
      <c r="B2006" s="63" t="n"/>
      <c r="C2006" s="63" t="n"/>
      <c r="D2006" s="67" t="n"/>
      <c r="E2006" s="68" t="n"/>
      <c r="F2006" s="69" t="n"/>
      <c r="G2006" s="70" t="n"/>
      <c r="H2006" s="62" t="str">
        <f>IF(COUNTA(A2006:G2006)=0,"",IF(C2006&lt;&gt;"",C2006,IF(B2006="","",IFERROR(INDEX(pr_des,MATCH(B2006,pr_code,0))&amp;"",""))))</f>
        <v/>
      </c>
      <c r="I2006" s="59" t="str">
        <f>IF(B2006="","",IFERROR(INDEX(pr_unit,MATCH(B2006,pr_code,0))&amp;"",""))</f>
        <v/>
      </c>
      <c r="J2006" s="65" t="str">
        <f>IF(COUNTA(A2006:G2006)=0,"",IF(E2006&lt;&gt;"",E2006,IF(B2006="","",IFERROR(IF(INDEX(pr_price,MATCH(B2006,pr_code,0))="","",INDEX(pr_price,MATCH(B2006,pr_code,0))),""))))</f>
        <v/>
      </c>
      <c r="K2006" s="71" t="str">
        <f>IF(COUNTA(A2006:G2006)=0,"",IF(G2006&lt;&gt;"",G2006,IF(B2006="","",IFERROR(IF(INDEX(pr_rate,MATCH(B2006,pr_code,0))="","",INDEX(pr_rate,MATCH(B2006,pr_code,0))),""))))</f>
        <v/>
      </c>
      <c r="L2006" s="65" t="str">
        <f>IF(COUNTA(A2006:G2006)=0,"",IF(AND(ISNUMBER(D2006),ISNUMBER(J2006)),ROUND(D2006*J2006*(1-N(F2006)),2),0))</f>
        <v/>
      </c>
      <c r="M2006" s="62" t="str">
        <f>IF(A2006="","",IFERROR(INDEX(fa_cname,MATCH(A2006,fa_num,0))&amp;"",""))</f>
        <v/>
      </c>
      <c r="N2006" s="59" t="str">
        <f>IF(COUNTA(A2006:G2006)=0,"",IF(A2006="","N° facture manquant",IF(ISNA(MATCH(A2006,fa_num,0)),"Facture inconnue",IF(AND(B2006&lt;&gt;"",ISNA(MATCH(B2006,pr_code,0))),"Article inconnu",IF(H2006="","Désignation manquante",IF(OR(NOT(ISNUMBER(D2006)),N(D2006)&lt;=0),"Quantité invalide",IF(J2006="","Prix manquant",IF(OR(NOT(ISNUMBER(J2006)),N(J2006)&lt;0),"Prix invalide",IF(OR(AND(F2006&lt;&gt;"",NOT(ISNUMBER(F2006))),N(F2006)&lt;0,N(F2006)&gt;1),"Remise invalide",IF(K2006="","Taux de TVA manquant",IF(NOT(ISNUMBER(K2006)),"Taux de TVA invalide",IF(COUNTIF(p_rates,K2006)=0,"Taux de TVA hors liste (Paramètres)",IF(N(O2006)&gt;25,"Au-delà de 25 lignes : non imprimée","OK")))))))))))))</f>
        <v/>
      </c>
      <c r="O2006" s="59" t="str">
        <f>IF(A2006="","",COUNTIF($A$6:A2006,A2006))</f>
        <v/>
      </c>
      <c r="P2006" s="62" t="str">
        <f>IF(A2006="","",A2006&amp;"|"&amp;O2006)</f>
        <v/>
      </c>
    </row>
    <row r="2007">
      <c r="A2007" s="60" t="n"/>
      <c r="B2007" s="63" t="n"/>
      <c r="C2007" s="63" t="n"/>
      <c r="D2007" s="67" t="n"/>
      <c r="E2007" s="68" t="n"/>
      <c r="F2007" s="69" t="n"/>
      <c r="G2007" s="70" t="n"/>
      <c r="H2007" s="62" t="str">
        <f>IF(COUNTA(A2007:G2007)=0,"",IF(C2007&lt;&gt;"",C2007,IF(B2007="","",IFERROR(INDEX(pr_des,MATCH(B2007,pr_code,0))&amp;"",""))))</f>
        <v/>
      </c>
      <c r="I2007" s="59" t="str">
        <f>IF(B2007="","",IFERROR(INDEX(pr_unit,MATCH(B2007,pr_code,0))&amp;"",""))</f>
        <v/>
      </c>
      <c r="J2007" s="65" t="str">
        <f>IF(COUNTA(A2007:G2007)=0,"",IF(E2007&lt;&gt;"",E2007,IF(B2007="","",IFERROR(IF(INDEX(pr_price,MATCH(B2007,pr_code,0))="","",INDEX(pr_price,MATCH(B2007,pr_code,0))),""))))</f>
        <v/>
      </c>
      <c r="K2007" s="71" t="str">
        <f>IF(COUNTA(A2007:G2007)=0,"",IF(G2007&lt;&gt;"",G2007,IF(B2007="","",IFERROR(IF(INDEX(pr_rate,MATCH(B2007,pr_code,0))="","",INDEX(pr_rate,MATCH(B2007,pr_code,0))),""))))</f>
        <v/>
      </c>
      <c r="L2007" s="65" t="str">
        <f>IF(COUNTA(A2007:G2007)=0,"",IF(AND(ISNUMBER(D2007),ISNUMBER(J2007)),ROUND(D2007*J2007*(1-N(F2007)),2),0))</f>
        <v/>
      </c>
      <c r="M2007" s="62" t="str">
        <f>IF(A2007="","",IFERROR(INDEX(fa_cname,MATCH(A2007,fa_num,0))&amp;"",""))</f>
        <v/>
      </c>
      <c r="N2007" s="59" t="str">
        <f>IF(COUNTA(A2007:G2007)=0,"",IF(A2007="","N° facture manquant",IF(ISNA(MATCH(A2007,fa_num,0)),"Facture inconnue",IF(AND(B2007&lt;&gt;"",ISNA(MATCH(B2007,pr_code,0))),"Article inconnu",IF(H2007="","Désignation manquante",IF(OR(NOT(ISNUMBER(D2007)),N(D2007)&lt;=0),"Quantité invalide",IF(J2007="","Prix manquant",IF(OR(NOT(ISNUMBER(J2007)),N(J2007)&lt;0),"Prix invalide",IF(OR(AND(F2007&lt;&gt;"",NOT(ISNUMBER(F2007))),N(F2007)&lt;0,N(F2007)&gt;1),"Remise invalide",IF(K2007="","Taux de TVA manquant",IF(NOT(ISNUMBER(K2007)),"Taux de TVA invalide",IF(COUNTIF(p_rates,K2007)=0,"Taux de TVA hors liste (Paramètres)",IF(N(O2007)&gt;25,"Au-delà de 25 lignes : non imprimée","OK")))))))))))))</f>
        <v/>
      </c>
      <c r="O2007" s="59" t="str">
        <f>IF(A2007="","",COUNTIF($A$6:A2007,A2007))</f>
        <v/>
      </c>
      <c r="P2007" s="62" t="str">
        <f>IF(A2007="","",A2007&amp;"|"&amp;O2007)</f>
        <v/>
      </c>
    </row>
    <row r="2008">
      <c r="A2008" s="60" t="n"/>
      <c r="B2008" s="63" t="n"/>
      <c r="C2008" s="63" t="n"/>
      <c r="D2008" s="67" t="n"/>
      <c r="E2008" s="68" t="n"/>
      <c r="F2008" s="69" t="n"/>
      <c r="G2008" s="70" t="n"/>
      <c r="H2008" s="62" t="str">
        <f>IF(COUNTA(A2008:G2008)=0,"",IF(C2008&lt;&gt;"",C2008,IF(B2008="","",IFERROR(INDEX(pr_des,MATCH(B2008,pr_code,0))&amp;"",""))))</f>
        <v/>
      </c>
      <c r="I2008" s="59" t="str">
        <f>IF(B2008="","",IFERROR(INDEX(pr_unit,MATCH(B2008,pr_code,0))&amp;"",""))</f>
        <v/>
      </c>
      <c r="J2008" s="65" t="str">
        <f>IF(COUNTA(A2008:G2008)=0,"",IF(E2008&lt;&gt;"",E2008,IF(B2008="","",IFERROR(IF(INDEX(pr_price,MATCH(B2008,pr_code,0))="","",INDEX(pr_price,MATCH(B2008,pr_code,0))),""))))</f>
        <v/>
      </c>
      <c r="K2008" s="71" t="str">
        <f>IF(COUNTA(A2008:G2008)=0,"",IF(G2008&lt;&gt;"",G2008,IF(B2008="","",IFERROR(IF(INDEX(pr_rate,MATCH(B2008,pr_code,0))="","",INDEX(pr_rate,MATCH(B2008,pr_code,0))),""))))</f>
        <v/>
      </c>
      <c r="L2008" s="65" t="str">
        <f>IF(COUNTA(A2008:G2008)=0,"",IF(AND(ISNUMBER(D2008),ISNUMBER(J2008)),ROUND(D2008*J2008*(1-N(F2008)),2),0))</f>
        <v/>
      </c>
      <c r="M2008" s="62" t="str">
        <f>IF(A2008="","",IFERROR(INDEX(fa_cname,MATCH(A2008,fa_num,0))&amp;"",""))</f>
        <v/>
      </c>
      <c r="N2008" s="59" t="str">
        <f>IF(COUNTA(A2008:G2008)=0,"",IF(A2008="","N° facture manquant",IF(ISNA(MATCH(A2008,fa_num,0)),"Facture inconnue",IF(AND(B2008&lt;&gt;"",ISNA(MATCH(B2008,pr_code,0))),"Article inconnu",IF(H2008="","Désignation manquante",IF(OR(NOT(ISNUMBER(D2008)),N(D2008)&lt;=0),"Quantité invalide",IF(J2008="","Prix manquant",IF(OR(NOT(ISNUMBER(J2008)),N(J2008)&lt;0),"Prix invalide",IF(OR(AND(F2008&lt;&gt;"",NOT(ISNUMBER(F2008))),N(F2008)&lt;0,N(F2008)&gt;1),"Remise invalide",IF(K2008="","Taux de TVA manquant",IF(NOT(ISNUMBER(K2008)),"Taux de TVA invalide",IF(COUNTIF(p_rates,K2008)=0,"Taux de TVA hors liste (Paramètres)",IF(N(O2008)&gt;25,"Au-delà de 25 lignes : non imprimée","OK")))))))))))))</f>
        <v/>
      </c>
      <c r="O2008" s="59" t="str">
        <f>IF(A2008="","",COUNTIF($A$6:A2008,A2008))</f>
        <v/>
      </c>
      <c r="P2008" s="62" t="str">
        <f>IF(A2008="","",A2008&amp;"|"&amp;O2008)</f>
        <v/>
      </c>
    </row>
    <row r="2009">
      <c r="A2009" s="60" t="n"/>
      <c r="B2009" s="63" t="n"/>
      <c r="C2009" s="63" t="n"/>
      <c r="D2009" s="67" t="n"/>
      <c r="E2009" s="68" t="n"/>
      <c r="F2009" s="69" t="n"/>
      <c r="G2009" s="70" t="n"/>
      <c r="H2009" s="62" t="str">
        <f>IF(COUNTA(A2009:G2009)=0,"",IF(C2009&lt;&gt;"",C2009,IF(B2009="","",IFERROR(INDEX(pr_des,MATCH(B2009,pr_code,0))&amp;"",""))))</f>
        <v/>
      </c>
      <c r="I2009" s="59" t="str">
        <f>IF(B2009="","",IFERROR(INDEX(pr_unit,MATCH(B2009,pr_code,0))&amp;"",""))</f>
        <v/>
      </c>
      <c r="J2009" s="65" t="str">
        <f>IF(COUNTA(A2009:G2009)=0,"",IF(E2009&lt;&gt;"",E2009,IF(B2009="","",IFERROR(IF(INDEX(pr_price,MATCH(B2009,pr_code,0))="","",INDEX(pr_price,MATCH(B2009,pr_code,0))),""))))</f>
        <v/>
      </c>
      <c r="K2009" s="71" t="str">
        <f>IF(COUNTA(A2009:G2009)=0,"",IF(G2009&lt;&gt;"",G2009,IF(B2009="","",IFERROR(IF(INDEX(pr_rate,MATCH(B2009,pr_code,0))="","",INDEX(pr_rate,MATCH(B2009,pr_code,0))),""))))</f>
        <v/>
      </c>
      <c r="L2009" s="65" t="str">
        <f>IF(COUNTA(A2009:G2009)=0,"",IF(AND(ISNUMBER(D2009),ISNUMBER(J2009)),ROUND(D2009*J2009*(1-N(F2009)),2),0))</f>
        <v/>
      </c>
      <c r="M2009" s="62" t="str">
        <f>IF(A2009="","",IFERROR(INDEX(fa_cname,MATCH(A2009,fa_num,0))&amp;"",""))</f>
        <v/>
      </c>
      <c r="N2009" s="59" t="str">
        <f>IF(COUNTA(A2009:G2009)=0,"",IF(A2009="","N° facture manquant",IF(ISNA(MATCH(A2009,fa_num,0)),"Facture inconnue",IF(AND(B2009&lt;&gt;"",ISNA(MATCH(B2009,pr_code,0))),"Article inconnu",IF(H2009="","Désignation manquante",IF(OR(NOT(ISNUMBER(D2009)),N(D2009)&lt;=0),"Quantité invalide",IF(J2009="","Prix manquant",IF(OR(NOT(ISNUMBER(J2009)),N(J2009)&lt;0),"Prix invalide",IF(OR(AND(F2009&lt;&gt;"",NOT(ISNUMBER(F2009))),N(F2009)&lt;0,N(F2009)&gt;1),"Remise invalide",IF(K2009="","Taux de TVA manquant",IF(NOT(ISNUMBER(K2009)),"Taux de TVA invalide",IF(COUNTIF(p_rates,K2009)=0,"Taux de TVA hors liste (Paramètres)",IF(N(O2009)&gt;25,"Au-delà de 25 lignes : non imprimée","OK")))))))))))))</f>
        <v/>
      </c>
      <c r="O2009" s="59" t="str">
        <f>IF(A2009="","",COUNTIF($A$6:A2009,A2009))</f>
        <v/>
      </c>
      <c r="P2009" s="62" t="str">
        <f>IF(A2009="","",A2009&amp;"|"&amp;O2009)</f>
        <v/>
      </c>
    </row>
    <row r="2010">
      <c r="A2010" s="60" t="n"/>
      <c r="B2010" s="63" t="n"/>
      <c r="C2010" s="63" t="n"/>
      <c r="D2010" s="67" t="n"/>
      <c r="E2010" s="68" t="n"/>
      <c r="F2010" s="69" t="n"/>
      <c r="G2010" s="70" t="n"/>
      <c r="H2010" s="62" t="str">
        <f>IF(COUNTA(A2010:G2010)=0,"",IF(C2010&lt;&gt;"",C2010,IF(B2010="","",IFERROR(INDEX(pr_des,MATCH(B2010,pr_code,0))&amp;"",""))))</f>
        <v/>
      </c>
      <c r="I2010" s="59" t="str">
        <f>IF(B2010="","",IFERROR(INDEX(pr_unit,MATCH(B2010,pr_code,0))&amp;"",""))</f>
        <v/>
      </c>
      <c r="J2010" s="65" t="str">
        <f>IF(COUNTA(A2010:G2010)=0,"",IF(E2010&lt;&gt;"",E2010,IF(B2010="","",IFERROR(IF(INDEX(pr_price,MATCH(B2010,pr_code,0))="","",INDEX(pr_price,MATCH(B2010,pr_code,0))),""))))</f>
        <v/>
      </c>
      <c r="K2010" s="71" t="str">
        <f>IF(COUNTA(A2010:G2010)=0,"",IF(G2010&lt;&gt;"",G2010,IF(B2010="","",IFERROR(IF(INDEX(pr_rate,MATCH(B2010,pr_code,0))="","",INDEX(pr_rate,MATCH(B2010,pr_code,0))),""))))</f>
        <v/>
      </c>
      <c r="L2010" s="65" t="str">
        <f>IF(COUNTA(A2010:G2010)=0,"",IF(AND(ISNUMBER(D2010),ISNUMBER(J2010)),ROUND(D2010*J2010*(1-N(F2010)),2),0))</f>
        <v/>
      </c>
      <c r="M2010" s="62" t="str">
        <f>IF(A2010="","",IFERROR(INDEX(fa_cname,MATCH(A2010,fa_num,0))&amp;"",""))</f>
        <v/>
      </c>
      <c r="N2010" s="59" t="str">
        <f>IF(COUNTA(A2010:G2010)=0,"",IF(A2010="","N° facture manquant",IF(ISNA(MATCH(A2010,fa_num,0)),"Facture inconnue",IF(AND(B2010&lt;&gt;"",ISNA(MATCH(B2010,pr_code,0))),"Article inconnu",IF(H2010="","Désignation manquante",IF(OR(NOT(ISNUMBER(D2010)),N(D2010)&lt;=0),"Quantité invalide",IF(J2010="","Prix manquant",IF(OR(NOT(ISNUMBER(J2010)),N(J2010)&lt;0),"Prix invalide",IF(OR(AND(F2010&lt;&gt;"",NOT(ISNUMBER(F2010))),N(F2010)&lt;0,N(F2010)&gt;1),"Remise invalide",IF(K2010="","Taux de TVA manquant",IF(NOT(ISNUMBER(K2010)),"Taux de TVA invalide",IF(COUNTIF(p_rates,K2010)=0,"Taux de TVA hors liste (Paramètres)",IF(N(O2010)&gt;25,"Au-delà de 25 lignes : non imprimée","OK")))))))))))))</f>
        <v/>
      </c>
      <c r="O2010" s="59" t="str">
        <f>IF(A2010="","",COUNTIF($A$6:A2010,A2010))</f>
        <v/>
      </c>
      <c r="P2010" s="62" t="str">
        <f>IF(A2010="","",A2010&amp;"|"&amp;O2010)</f>
        <v/>
      </c>
    </row>
    <row r="2011">
      <c r="A2011" s="60" t="n"/>
      <c r="B2011" s="63" t="n"/>
      <c r="C2011" s="63" t="n"/>
      <c r="D2011" s="67" t="n"/>
      <c r="E2011" s="68" t="n"/>
      <c r="F2011" s="69" t="n"/>
      <c r="G2011" s="70" t="n"/>
      <c r="H2011" s="62" t="str">
        <f>IF(COUNTA(A2011:G2011)=0,"",IF(C2011&lt;&gt;"",C2011,IF(B2011="","",IFERROR(INDEX(pr_des,MATCH(B2011,pr_code,0))&amp;"",""))))</f>
        <v/>
      </c>
      <c r="I2011" s="59" t="str">
        <f>IF(B2011="","",IFERROR(INDEX(pr_unit,MATCH(B2011,pr_code,0))&amp;"",""))</f>
        <v/>
      </c>
      <c r="J2011" s="65" t="str">
        <f>IF(COUNTA(A2011:G2011)=0,"",IF(E2011&lt;&gt;"",E2011,IF(B2011="","",IFERROR(IF(INDEX(pr_price,MATCH(B2011,pr_code,0))="","",INDEX(pr_price,MATCH(B2011,pr_code,0))),""))))</f>
        <v/>
      </c>
      <c r="K2011" s="71" t="str">
        <f>IF(COUNTA(A2011:G2011)=0,"",IF(G2011&lt;&gt;"",G2011,IF(B2011="","",IFERROR(IF(INDEX(pr_rate,MATCH(B2011,pr_code,0))="","",INDEX(pr_rate,MATCH(B2011,pr_code,0))),""))))</f>
        <v/>
      </c>
      <c r="L2011" s="65" t="str">
        <f>IF(COUNTA(A2011:G2011)=0,"",IF(AND(ISNUMBER(D2011),ISNUMBER(J2011)),ROUND(D2011*J2011*(1-N(F2011)),2),0))</f>
        <v/>
      </c>
      <c r="M2011" s="62" t="str">
        <f>IF(A2011="","",IFERROR(INDEX(fa_cname,MATCH(A2011,fa_num,0))&amp;"",""))</f>
        <v/>
      </c>
      <c r="N2011" s="59" t="str">
        <f>IF(COUNTA(A2011:G2011)=0,"",IF(A2011="","N° facture manquant",IF(ISNA(MATCH(A2011,fa_num,0)),"Facture inconnue",IF(AND(B2011&lt;&gt;"",ISNA(MATCH(B2011,pr_code,0))),"Article inconnu",IF(H2011="","Désignation manquante",IF(OR(NOT(ISNUMBER(D2011)),N(D2011)&lt;=0),"Quantité invalide",IF(J2011="","Prix manquant",IF(OR(NOT(ISNUMBER(J2011)),N(J2011)&lt;0),"Prix invalide",IF(OR(AND(F2011&lt;&gt;"",NOT(ISNUMBER(F2011))),N(F2011)&lt;0,N(F2011)&gt;1),"Remise invalide",IF(K2011="","Taux de TVA manquant",IF(NOT(ISNUMBER(K2011)),"Taux de TVA invalide",IF(COUNTIF(p_rates,K2011)=0,"Taux de TVA hors liste (Paramètres)",IF(N(O2011)&gt;25,"Au-delà de 25 lignes : non imprimée","OK")))))))))))))</f>
        <v/>
      </c>
      <c r="O2011" s="59" t="str">
        <f>IF(A2011="","",COUNTIF($A$6:A2011,A2011))</f>
        <v/>
      </c>
      <c r="P2011" s="62" t="str">
        <f>IF(A2011="","",A2011&amp;"|"&amp;O2011)</f>
        <v/>
      </c>
    </row>
    <row r="2012">
      <c r="A2012" s="60" t="n"/>
      <c r="B2012" s="63" t="n"/>
      <c r="C2012" s="63" t="n"/>
      <c r="D2012" s="67" t="n"/>
      <c r="E2012" s="68" t="n"/>
      <c r="F2012" s="69" t="n"/>
      <c r="G2012" s="70" t="n"/>
      <c r="H2012" s="62" t="str">
        <f>IF(COUNTA(A2012:G2012)=0,"",IF(C2012&lt;&gt;"",C2012,IF(B2012="","",IFERROR(INDEX(pr_des,MATCH(B2012,pr_code,0))&amp;"",""))))</f>
        <v/>
      </c>
      <c r="I2012" s="59" t="str">
        <f>IF(B2012="","",IFERROR(INDEX(pr_unit,MATCH(B2012,pr_code,0))&amp;"",""))</f>
        <v/>
      </c>
      <c r="J2012" s="65" t="str">
        <f>IF(COUNTA(A2012:G2012)=0,"",IF(E2012&lt;&gt;"",E2012,IF(B2012="","",IFERROR(IF(INDEX(pr_price,MATCH(B2012,pr_code,0))="","",INDEX(pr_price,MATCH(B2012,pr_code,0))),""))))</f>
        <v/>
      </c>
      <c r="K2012" s="71" t="str">
        <f>IF(COUNTA(A2012:G2012)=0,"",IF(G2012&lt;&gt;"",G2012,IF(B2012="","",IFERROR(IF(INDEX(pr_rate,MATCH(B2012,pr_code,0))="","",INDEX(pr_rate,MATCH(B2012,pr_code,0))),""))))</f>
        <v/>
      </c>
      <c r="L2012" s="65" t="str">
        <f>IF(COUNTA(A2012:G2012)=0,"",IF(AND(ISNUMBER(D2012),ISNUMBER(J2012)),ROUND(D2012*J2012*(1-N(F2012)),2),0))</f>
        <v/>
      </c>
      <c r="M2012" s="62" t="str">
        <f>IF(A2012="","",IFERROR(INDEX(fa_cname,MATCH(A2012,fa_num,0))&amp;"",""))</f>
        <v/>
      </c>
      <c r="N2012" s="59" t="str">
        <f>IF(COUNTA(A2012:G2012)=0,"",IF(A2012="","N° facture manquant",IF(ISNA(MATCH(A2012,fa_num,0)),"Facture inconnue",IF(AND(B2012&lt;&gt;"",ISNA(MATCH(B2012,pr_code,0))),"Article inconnu",IF(H2012="","Désignation manquante",IF(OR(NOT(ISNUMBER(D2012)),N(D2012)&lt;=0),"Quantité invalide",IF(J2012="","Prix manquant",IF(OR(NOT(ISNUMBER(J2012)),N(J2012)&lt;0),"Prix invalide",IF(OR(AND(F2012&lt;&gt;"",NOT(ISNUMBER(F2012))),N(F2012)&lt;0,N(F2012)&gt;1),"Remise invalide",IF(K2012="","Taux de TVA manquant",IF(NOT(ISNUMBER(K2012)),"Taux de TVA invalide",IF(COUNTIF(p_rates,K2012)=0,"Taux de TVA hors liste (Paramètres)",IF(N(O2012)&gt;25,"Au-delà de 25 lignes : non imprimée","OK")))))))))))))</f>
        <v/>
      </c>
      <c r="O2012" s="59" t="str">
        <f>IF(A2012="","",COUNTIF($A$6:A2012,A2012))</f>
        <v/>
      </c>
      <c r="P2012" s="62" t="str">
        <f>IF(A2012="","",A2012&amp;"|"&amp;O2012)</f>
        <v/>
      </c>
    </row>
    <row r="2013">
      <c r="A2013" s="60" t="n"/>
      <c r="B2013" s="63" t="n"/>
      <c r="C2013" s="63" t="n"/>
      <c r="D2013" s="67" t="n"/>
      <c r="E2013" s="68" t="n"/>
      <c r="F2013" s="69" t="n"/>
      <c r="G2013" s="70" t="n"/>
      <c r="H2013" s="62" t="str">
        <f>IF(COUNTA(A2013:G2013)=0,"",IF(C2013&lt;&gt;"",C2013,IF(B2013="","",IFERROR(INDEX(pr_des,MATCH(B2013,pr_code,0))&amp;"",""))))</f>
        <v/>
      </c>
      <c r="I2013" s="59" t="str">
        <f>IF(B2013="","",IFERROR(INDEX(pr_unit,MATCH(B2013,pr_code,0))&amp;"",""))</f>
        <v/>
      </c>
      <c r="J2013" s="65" t="str">
        <f>IF(COUNTA(A2013:G2013)=0,"",IF(E2013&lt;&gt;"",E2013,IF(B2013="","",IFERROR(IF(INDEX(pr_price,MATCH(B2013,pr_code,0))="","",INDEX(pr_price,MATCH(B2013,pr_code,0))),""))))</f>
        <v/>
      </c>
      <c r="K2013" s="71" t="str">
        <f>IF(COUNTA(A2013:G2013)=0,"",IF(G2013&lt;&gt;"",G2013,IF(B2013="","",IFERROR(IF(INDEX(pr_rate,MATCH(B2013,pr_code,0))="","",INDEX(pr_rate,MATCH(B2013,pr_code,0))),""))))</f>
        <v/>
      </c>
      <c r="L2013" s="65" t="str">
        <f>IF(COUNTA(A2013:G2013)=0,"",IF(AND(ISNUMBER(D2013),ISNUMBER(J2013)),ROUND(D2013*J2013*(1-N(F2013)),2),0))</f>
        <v/>
      </c>
      <c r="M2013" s="62" t="str">
        <f>IF(A2013="","",IFERROR(INDEX(fa_cname,MATCH(A2013,fa_num,0))&amp;"",""))</f>
        <v/>
      </c>
      <c r="N2013" s="59" t="str">
        <f>IF(COUNTA(A2013:G2013)=0,"",IF(A2013="","N° facture manquant",IF(ISNA(MATCH(A2013,fa_num,0)),"Facture inconnue",IF(AND(B2013&lt;&gt;"",ISNA(MATCH(B2013,pr_code,0))),"Article inconnu",IF(H2013="","Désignation manquante",IF(OR(NOT(ISNUMBER(D2013)),N(D2013)&lt;=0),"Quantité invalide",IF(J2013="","Prix manquant",IF(OR(NOT(ISNUMBER(J2013)),N(J2013)&lt;0),"Prix invalide",IF(OR(AND(F2013&lt;&gt;"",NOT(ISNUMBER(F2013))),N(F2013)&lt;0,N(F2013)&gt;1),"Remise invalide",IF(K2013="","Taux de TVA manquant",IF(NOT(ISNUMBER(K2013)),"Taux de TVA invalide",IF(COUNTIF(p_rates,K2013)=0,"Taux de TVA hors liste (Paramètres)",IF(N(O2013)&gt;25,"Au-delà de 25 lignes : non imprimée","OK")))))))))))))</f>
        <v/>
      </c>
      <c r="O2013" s="59" t="str">
        <f>IF(A2013="","",COUNTIF($A$6:A2013,A2013))</f>
        <v/>
      </c>
      <c r="P2013" s="62" t="str">
        <f>IF(A2013="","",A2013&amp;"|"&amp;O2013)</f>
        <v/>
      </c>
    </row>
    <row r="2014">
      <c r="A2014" s="60" t="n"/>
      <c r="B2014" s="63" t="n"/>
      <c r="C2014" s="63" t="n"/>
      <c r="D2014" s="67" t="n"/>
      <c r="E2014" s="68" t="n"/>
      <c r="F2014" s="69" t="n"/>
      <c r="G2014" s="70" t="n"/>
      <c r="H2014" s="62" t="str">
        <f>IF(COUNTA(A2014:G2014)=0,"",IF(C2014&lt;&gt;"",C2014,IF(B2014="","",IFERROR(INDEX(pr_des,MATCH(B2014,pr_code,0))&amp;"",""))))</f>
        <v/>
      </c>
      <c r="I2014" s="59" t="str">
        <f>IF(B2014="","",IFERROR(INDEX(pr_unit,MATCH(B2014,pr_code,0))&amp;"",""))</f>
        <v/>
      </c>
      <c r="J2014" s="65" t="str">
        <f>IF(COUNTA(A2014:G2014)=0,"",IF(E2014&lt;&gt;"",E2014,IF(B2014="","",IFERROR(IF(INDEX(pr_price,MATCH(B2014,pr_code,0))="","",INDEX(pr_price,MATCH(B2014,pr_code,0))),""))))</f>
        <v/>
      </c>
      <c r="K2014" s="71" t="str">
        <f>IF(COUNTA(A2014:G2014)=0,"",IF(G2014&lt;&gt;"",G2014,IF(B2014="","",IFERROR(IF(INDEX(pr_rate,MATCH(B2014,pr_code,0))="","",INDEX(pr_rate,MATCH(B2014,pr_code,0))),""))))</f>
        <v/>
      </c>
      <c r="L2014" s="65" t="str">
        <f>IF(COUNTA(A2014:G2014)=0,"",IF(AND(ISNUMBER(D2014),ISNUMBER(J2014)),ROUND(D2014*J2014*(1-N(F2014)),2),0))</f>
        <v/>
      </c>
      <c r="M2014" s="62" t="str">
        <f>IF(A2014="","",IFERROR(INDEX(fa_cname,MATCH(A2014,fa_num,0))&amp;"",""))</f>
        <v/>
      </c>
      <c r="N2014" s="59" t="str">
        <f>IF(COUNTA(A2014:G2014)=0,"",IF(A2014="","N° facture manquant",IF(ISNA(MATCH(A2014,fa_num,0)),"Facture inconnue",IF(AND(B2014&lt;&gt;"",ISNA(MATCH(B2014,pr_code,0))),"Article inconnu",IF(H2014="","Désignation manquante",IF(OR(NOT(ISNUMBER(D2014)),N(D2014)&lt;=0),"Quantité invalide",IF(J2014="","Prix manquant",IF(OR(NOT(ISNUMBER(J2014)),N(J2014)&lt;0),"Prix invalide",IF(OR(AND(F2014&lt;&gt;"",NOT(ISNUMBER(F2014))),N(F2014)&lt;0,N(F2014)&gt;1),"Remise invalide",IF(K2014="","Taux de TVA manquant",IF(NOT(ISNUMBER(K2014)),"Taux de TVA invalide",IF(COUNTIF(p_rates,K2014)=0,"Taux de TVA hors liste (Paramètres)",IF(N(O2014)&gt;25,"Au-delà de 25 lignes : non imprimée","OK")))))))))))))</f>
        <v/>
      </c>
      <c r="O2014" s="59" t="str">
        <f>IF(A2014="","",COUNTIF($A$6:A2014,A2014))</f>
        <v/>
      </c>
      <c r="P2014" s="62" t="str">
        <f>IF(A2014="","",A2014&amp;"|"&amp;O2014)</f>
        <v/>
      </c>
    </row>
    <row r="2015">
      <c r="A2015" s="60" t="n"/>
      <c r="B2015" s="63" t="n"/>
      <c r="C2015" s="63" t="n"/>
      <c r="D2015" s="67" t="n"/>
      <c r="E2015" s="68" t="n"/>
      <c r="F2015" s="69" t="n"/>
      <c r="G2015" s="70" t="n"/>
      <c r="H2015" s="62" t="str">
        <f>IF(COUNTA(A2015:G2015)=0,"",IF(C2015&lt;&gt;"",C2015,IF(B2015="","",IFERROR(INDEX(pr_des,MATCH(B2015,pr_code,0))&amp;"",""))))</f>
        <v/>
      </c>
      <c r="I2015" s="59" t="str">
        <f>IF(B2015="","",IFERROR(INDEX(pr_unit,MATCH(B2015,pr_code,0))&amp;"",""))</f>
        <v/>
      </c>
      <c r="J2015" s="65" t="str">
        <f>IF(COUNTA(A2015:G2015)=0,"",IF(E2015&lt;&gt;"",E2015,IF(B2015="","",IFERROR(IF(INDEX(pr_price,MATCH(B2015,pr_code,0))="","",INDEX(pr_price,MATCH(B2015,pr_code,0))),""))))</f>
        <v/>
      </c>
      <c r="K2015" s="71" t="str">
        <f>IF(COUNTA(A2015:G2015)=0,"",IF(G2015&lt;&gt;"",G2015,IF(B2015="","",IFERROR(IF(INDEX(pr_rate,MATCH(B2015,pr_code,0))="","",INDEX(pr_rate,MATCH(B2015,pr_code,0))),""))))</f>
        <v/>
      </c>
      <c r="L2015" s="65" t="str">
        <f>IF(COUNTA(A2015:G2015)=0,"",IF(AND(ISNUMBER(D2015),ISNUMBER(J2015)),ROUND(D2015*J2015*(1-N(F2015)),2),0))</f>
        <v/>
      </c>
      <c r="M2015" s="62" t="str">
        <f>IF(A2015="","",IFERROR(INDEX(fa_cname,MATCH(A2015,fa_num,0))&amp;"",""))</f>
        <v/>
      </c>
      <c r="N2015" s="59" t="str">
        <f>IF(COUNTA(A2015:G2015)=0,"",IF(A2015="","N° facture manquant",IF(ISNA(MATCH(A2015,fa_num,0)),"Facture inconnue",IF(AND(B2015&lt;&gt;"",ISNA(MATCH(B2015,pr_code,0))),"Article inconnu",IF(H2015="","Désignation manquante",IF(OR(NOT(ISNUMBER(D2015)),N(D2015)&lt;=0),"Quantité invalide",IF(J2015="","Prix manquant",IF(OR(NOT(ISNUMBER(J2015)),N(J2015)&lt;0),"Prix invalide",IF(OR(AND(F2015&lt;&gt;"",NOT(ISNUMBER(F2015))),N(F2015)&lt;0,N(F2015)&gt;1),"Remise invalide",IF(K2015="","Taux de TVA manquant",IF(NOT(ISNUMBER(K2015)),"Taux de TVA invalide",IF(COUNTIF(p_rates,K2015)=0,"Taux de TVA hors liste (Paramètres)",IF(N(O2015)&gt;25,"Au-delà de 25 lignes : non imprimée","OK")))))))))))))</f>
        <v/>
      </c>
      <c r="O2015" s="59" t="str">
        <f>IF(A2015="","",COUNTIF($A$6:A2015,A2015))</f>
        <v/>
      </c>
      <c r="P2015" s="62" t="str">
        <f>IF(A2015="","",A2015&amp;"|"&amp;O2015)</f>
        <v/>
      </c>
    </row>
    <row r="2016">
      <c r="A2016" s="60" t="n"/>
      <c r="B2016" s="63" t="n"/>
      <c r="C2016" s="63" t="n"/>
      <c r="D2016" s="67" t="n"/>
      <c r="E2016" s="68" t="n"/>
      <c r="F2016" s="69" t="n"/>
      <c r="G2016" s="70" t="n"/>
      <c r="H2016" s="62" t="str">
        <f>IF(COUNTA(A2016:G2016)=0,"",IF(C2016&lt;&gt;"",C2016,IF(B2016="","",IFERROR(INDEX(pr_des,MATCH(B2016,pr_code,0))&amp;"",""))))</f>
        <v/>
      </c>
      <c r="I2016" s="59" t="str">
        <f>IF(B2016="","",IFERROR(INDEX(pr_unit,MATCH(B2016,pr_code,0))&amp;"",""))</f>
        <v/>
      </c>
      <c r="J2016" s="65" t="str">
        <f>IF(COUNTA(A2016:G2016)=0,"",IF(E2016&lt;&gt;"",E2016,IF(B2016="","",IFERROR(IF(INDEX(pr_price,MATCH(B2016,pr_code,0))="","",INDEX(pr_price,MATCH(B2016,pr_code,0))),""))))</f>
        <v/>
      </c>
      <c r="K2016" s="71" t="str">
        <f>IF(COUNTA(A2016:G2016)=0,"",IF(G2016&lt;&gt;"",G2016,IF(B2016="","",IFERROR(IF(INDEX(pr_rate,MATCH(B2016,pr_code,0))="","",INDEX(pr_rate,MATCH(B2016,pr_code,0))),""))))</f>
        <v/>
      </c>
      <c r="L2016" s="65" t="str">
        <f>IF(COUNTA(A2016:G2016)=0,"",IF(AND(ISNUMBER(D2016),ISNUMBER(J2016)),ROUND(D2016*J2016*(1-N(F2016)),2),0))</f>
        <v/>
      </c>
      <c r="M2016" s="62" t="str">
        <f>IF(A2016="","",IFERROR(INDEX(fa_cname,MATCH(A2016,fa_num,0))&amp;"",""))</f>
        <v/>
      </c>
      <c r="N2016" s="59" t="str">
        <f>IF(COUNTA(A2016:G2016)=0,"",IF(A2016="","N° facture manquant",IF(ISNA(MATCH(A2016,fa_num,0)),"Facture inconnue",IF(AND(B2016&lt;&gt;"",ISNA(MATCH(B2016,pr_code,0))),"Article inconnu",IF(H2016="","Désignation manquante",IF(OR(NOT(ISNUMBER(D2016)),N(D2016)&lt;=0),"Quantité invalide",IF(J2016="","Prix manquant",IF(OR(NOT(ISNUMBER(J2016)),N(J2016)&lt;0),"Prix invalide",IF(OR(AND(F2016&lt;&gt;"",NOT(ISNUMBER(F2016))),N(F2016)&lt;0,N(F2016)&gt;1),"Remise invalide",IF(K2016="","Taux de TVA manquant",IF(NOT(ISNUMBER(K2016)),"Taux de TVA invalide",IF(COUNTIF(p_rates,K2016)=0,"Taux de TVA hors liste (Paramètres)",IF(N(O2016)&gt;25,"Au-delà de 25 lignes : non imprimée","OK")))))))))))))</f>
        <v/>
      </c>
      <c r="O2016" s="59" t="str">
        <f>IF(A2016="","",COUNTIF($A$6:A2016,A2016))</f>
        <v/>
      </c>
      <c r="P2016" s="62" t="str">
        <f>IF(A2016="","",A2016&amp;"|"&amp;O2016)</f>
        <v/>
      </c>
    </row>
    <row r="2017">
      <c r="A2017" s="60" t="n"/>
      <c r="B2017" s="63" t="n"/>
      <c r="C2017" s="63" t="n"/>
      <c r="D2017" s="67" t="n"/>
      <c r="E2017" s="68" t="n"/>
      <c r="F2017" s="69" t="n"/>
      <c r="G2017" s="70" t="n"/>
      <c r="H2017" s="62" t="str">
        <f>IF(COUNTA(A2017:G2017)=0,"",IF(C2017&lt;&gt;"",C2017,IF(B2017="","",IFERROR(INDEX(pr_des,MATCH(B2017,pr_code,0))&amp;"",""))))</f>
        <v/>
      </c>
      <c r="I2017" s="59" t="str">
        <f>IF(B2017="","",IFERROR(INDEX(pr_unit,MATCH(B2017,pr_code,0))&amp;"",""))</f>
        <v/>
      </c>
      <c r="J2017" s="65" t="str">
        <f>IF(COUNTA(A2017:G2017)=0,"",IF(E2017&lt;&gt;"",E2017,IF(B2017="","",IFERROR(IF(INDEX(pr_price,MATCH(B2017,pr_code,0))="","",INDEX(pr_price,MATCH(B2017,pr_code,0))),""))))</f>
        <v/>
      </c>
      <c r="K2017" s="71" t="str">
        <f>IF(COUNTA(A2017:G2017)=0,"",IF(G2017&lt;&gt;"",G2017,IF(B2017="","",IFERROR(IF(INDEX(pr_rate,MATCH(B2017,pr_code,0))="","",INDEX(pr_rate,MATCH(B2017,pr_code,0))),""))))</f>
        <v/>
      </c>
      <c r="L2017" s="65" t="str">
        <f>IF(COUNTA(A2017:G2017)=0,"",IF(AND(ISNUMBER(D2017),ISNUMBER(J2017)),ROUND(D2017*J2017*(1-N(F2017)),2),0))</f>
        <v/>
      </c>
      <c r="M2017" s="62" t="str">
        <f>IF(A2017="","",IFERROR(INDEX(fa_cname,MATCH(A2017,fa_num,0))&amp;"",""))</f>
        <v/>
      </c>
      <c r="N2017" s="59" t="str">
        <f>IF(COUNTA(A2017:G2017)=0,"",IF(A2017="","N° facture manquant",IF(ISNA(MATCH(A2017,fa_num,0)),"Facture inconnue",IF(AND(B2017&lt;&gt;"",ISNA(MATCH(B2017,pr_code,0))),"Article inconnu",IF(H2017="","Désignation manquante",IF(OR(NOT(ISNUMBER(D2017)),N(D2017)&lt;=0),"Quantité invalide",IF(J2017="","Prix manquant",IF(OR(NOT(ISNUMBER(J2017)),N(J2017)&lt;0),"Prix invalide",IF(OR(AND(F2017&lt;&gt;"",NOT(ISNUMBER(F2017))),N(F2017)&lt;0,N(F2017)&gt;1),"Remise invalide",IF(K2017="","Taux de TVA manquant",IF(NOT(ISNUMBER(K2017)),"Taux de TVA invalide",IF(COUNTIF(p_rates,K2017)=0,"Taux de TVA hors liste (Paramètres)",IF(N(O2017)&gt;25,"Au-delà de 25 lignes : non imprimée","OK")))))))))))))</f>
        <v/>
      </c>
      <c r="O2017" s="59" t="str">
        <f>IF(A2017="","",COUNTIF($A$6:A2017,A2017))</f>
        <v/>
      </c>
      <c r="P2017" s="62" t="str">
        <f>IF(A2017="","",A2017&amp;"|"&amp;O2017)</f>
        <v/>
      </c>
    </row>
    <row r="2018">
      <c r="A2018" s="60" t="n"/>
      <c r="B2018" s="63" t="n"/>
      <c r="C2018" s="63" t="n"/>
      <c r="D2018" s="67" t="n"/>
      <c r="E2018" s="68" t="n"/>
      <c r="F2018" s="69" t="n"/>
      <c r="G2018" s="70" t="n"/>
      <c r="H2018" s="62" t="str">
        <f>IF(COUNTA(A2018:G2018)=0,"",IF(C2018&lt;&gt;"",C2018,IF(B2018="","",IFERROR(INDEX(pr_des,MATCH(B2018,pr_code,0))&amp;"",""))))</f>
        <v/>
      </c>
      <c r="I2018" s="59" t="str">
        <f>IF(B2018="","",IFERROR(INDEX(pr_unit,MATCH(B2018,pr_code,0))&amp;"",""))</f>
        <v/>
      </c>
      <c r="J2018" s="65" t="str">
        <f>IF(COUNTA(A2018:G2018)=0,"",IF(E2018&lt;&gt;"",E2018,IF(B2018="","",IFERROR(IF(INDEX(pr_price,MATCH(B2018,pr_code,0))="","",INDEX(pr_price,MATCH(B2018,pr_code,0))),""))))</f>
        <v/>
      </c>
      <c r="K2018" s="71" t="str">
        <f>IF(COUNTA(A2018:G2018)=0,"",IF(G2018&lt;&gt;"",G2018,IF(B2018="","",IFERROR(IF(INDEX(pr_rate,MATCH(B2018,pr_code,0))="","",INDEX(pr_rate,MATCH(B2018,pr_code,0))),""))))</f>
        <v/>
      </c>
      <c r="L2018" s="65" t="str">
        <f>IF(COUNTA(A2018:G2018)=0,"",IF(AND(ISNUMBER(D2018),ISNUMBER(J2018)),ROUND(D2018*J2018*(1-N(F2018)),2),0))</f>
        <v/>
      </c>
      <c r="M2018" s="62" t="str">
        <f>IF(A2018="","",IFERROR(INDEX(fa_cname,MATCH(A2018,fa_num,0))&amp;"",""))</f>
        <v/>
      </c>
      <c r="N2018" s="59" t="str">
        <f>IF(COUNTA(A2018:G2018)=0,"",IF(A2018="","N° facture manquant",IF(ISNA(MATCH(A2018,fa_num,0)),"Facture inconnue",IF(AND(B2018&lt;&gt;"",ISNA(MATCH(B2018,pr_code,0))),"Article inconnu",IF(H2018="","Désignation manquante",IF(OR(NOT(ISNUMBER(D2018)),N(D2018)&lt;=0),"Quantité invalide",IF(J2018="","Prix manquant",IF(OR(NOT(ISNUMBER(J2018)),N(J2018)&lt;0),"Prix invalide",IF(OR(AND(F2018&lt;&gt;"",NOT(ISNUMBER(F2018))),N(F2018)&lt;0,N(F2018)&gt;1),"Remise invalide",IF(K2018="","Taux de TVA manquant",IF(NOT(ISNUMBER(K2018)),"Taux de TVA invalide",IF(COUNTIF(p_rates,K2018)=0,"Taux de TVA hors liste (Paramètres)",IF(N(O2018)&gt;25,"Au-delà de 25 lignes : non imprimée","OK")))))))))))))</f>
        <v/>
      </c>
      <c r="O2018" s="59" t="str">
        <f>IF(A2018="","",COUNTIF($A$6:A2018,A2018))</f>
        <v/>
      </c>
      <c r="P2018" s="62" t="str">
        <f>IF(A2018="","",A2018&amp;"|"&amp;O2018)</f>
        <v/>
      </c>
    </row>
    <row r="2019">
      <c r="A2019" s="60" t="n"/>
      <c r="B2019" s="63" t="n"/>
      <c r="C2019" s="63" t="n"/>
      <c r="D2019" s="67" t="n"/>
      <c r="E2019" s="68" t="n"/>
      <c r="F2019" s="69" t="n"/>
      <c r="G2019" s="70" t="n"/>
      <c r="H2019" s="62" t="str">
        <f>IF(COUNTA(A2019:G2019)=0,"",IF(C2019&lt;&gt;"",C2019,IF(B2019="","",IFERROR(INDEX(pr_des,MATCH(B2019,pr_code,0))&amp;"",""))))</f>
        <v/>
      </c>
      <c r="I2019" s="59" t="str">
        <f>IF(B2019="","",IFERROR(INDEX(pr_unit,MATCH(B2019,pr_code,0))&amp;"",""))</f>
        <v/>
      </c>
      <c r="J2019" s="65" t="str">
        <f>IF(COUNTA(A2019:G2019)=0,"",IF(E2019&lt;&gt;"",E2019,IF(B2019="","",IFERROR(IF(INDEX(pr_price,MATCH(B2019,pr_code,0))="","",INDEX(pr_price,MATCH(B2019,pr_code,0))),""))))</f>
        <v/>
      </c>
      <c r="K2019" s="71" t="str">
        <f>IF(COUNTA(A2019:G2019)=0,"",IF(G2019&lt;&gt;"",G2019,IF(B2019="","",IFERROR(IF(INDEX(pr_rate,MATCH(B2019,pr_code,0))="","",INDEX(pr_rate,MATCH(B2019,pr_code,0))),""))))</f>
        <v/>
      </c>
      <c r="L2019" s="65" t="str">
        <f>IF(COUNTA(A2019:G2019)=0,"",IF(AND(ISNUMBER(D2019),ISNUMBER(J2019)),ROUND(D2019*J2019*(1-N(F2019)),2),0))</f>
        <v/>
      </c>
      <c r="M2019" s="62" t="str">
        <f>IF(A2019="","",IFERROR(INDEX(fa_cname,MATCH(A2019,fa_num,0))&amp;"",""))</f>
        <v/>
      </c>
      <c r="N2019" s="59" t="str">
        <f>IF(COUNTA(A2019:G2019)=0,"",IF(A2019="","N° facture manquant",IF(ISNA(MATCH(A2019,fa_num,0)),"Facture inconnue",IF(AND(B2019&lt;&gt;"",ISNA(MATCH(B2019,pr_code,0))),"Article inconnu",IF(H2019="","Désignation manquante",IF(OR(NOT(ISNUMBER(D2019)),N(D2019)&lt;=0),"Quantité invalide",IF(J2019="","Prix manquant",IF(OR(NOT(ISNUMBER(J2019)),N(J2019)&lt;0),"Prix invalide",IF(OR(AND(F2019&lt;&gt;"",NOT(ISNUMBER(F2019))),N(F2019)&lt;0,N(F2019)&gt;1),"Remise invalide",IF(K2019="","Taux de TVA manquant",IF(NOT(ISNUMBER(K2019)),"Taux de TVA invalide",IF(COUNTIF(p_rates,K2019)=0,"Taux de TVA hors liste (Paramètres)",IF(N(O2019)&gt;25,"Au-delà de 25 lignes : non imprimée","OK")))))))))))))</f>
        <v/>
      </c>
      <c r="O2019" s="59" t="str">
        <f>IF(A2019="","",COUNTIF($A$6:A2019,A2019))</f>
        <v/>
      </c>
      <c r="P2019" s="62" t="str">
        <f>IF(A2019="","",A2019&amp;"|"&amp;O2019)</f>
        <v/>
      </c>
    </row>
    <row r="2020">
      <c r="A2020" s="60" t="n"/>
      <c r="B2020" s="63" t="n"/>
      <c r="C2020" s="63" t="n"/>
      <c r="D2020" s="67" t="n"/>
      <c r="E2020" s="68" t="n"/>
      <c r="F2020" s="69" t="n"/>
      <c r="G2020" s="70" t="n"/>
      <c r="H2020" s="62" t="str">
        <f>IF(COUNTA(A2020:G2020)=0,"",IF(C2020&lt;&gt;"",C2020,IF(B2020="","",IFERROR(INDEX(pr_des,MATCH(B2020,pr_code,0))&amp;"",""))))</f>
        <v/>
      </c>
      <c r="I2020" s="59" t="str">
        <f>IF(B2020="","",IFERROR(INDEX(pr_unit,MATCH(B2020,pr_code,0))&amp;"",""))</f>
        <v/>
      </c>
      <c r="J2020" s="65" t="str">
        <f>IF(COUNTA(A2020:G2020)=0,"",IF(E2020&lt;&gt;"",E2020,IF(B2020="","",IFERROR(IF(INDEX(pr_price,MATCH(B2020,pr_code,0))="","",INDEX(pr_price,MATCH(B2020,pr_code,0))),""))))</f>
        <v/>
      </c>
      <c r="K2020" s="71" t="str">
        <f>IF(COUNTA(A2020:G2020)=0,"",IF(G2020&lt;&gt;"",G2020,IF(B2020="","",IFERROR(IF(INDEX(pr_rate,MATCH(B2020,pr_code,0))="","",INDEX(pr_rate,MATCH(B2020,pr_code,0))),""))))</f>
        <v/>
      </c>
      <c r="L2020" s="65" t="str">
        <f>IF(COUNTA(A2020:G2020)=0,"",IF(AND(ISNUMBER(D2020),ISNUMBER(J2020)),ROUND(D2020*J2020*(1-N(F2020)),2),0))</f>
        <v/>
      </c>
      <c r="M2020" s="62" t="str">
        <f>IF(A2020="","",IFERROR(INDEX(fa_cname,MATCH(A2020,fa_num,0))&amp;"",""))</f>
        <v/>
      </c>
      <c r="N2020" s="59" t="str">
        <f>IF(COUNTA(A2020:G2020)=0,"",IF(A2020="","N° facture manquant",IF(ISNA(MATCH(A2020,fa_num,0)),"Facture inconnue",IF(AND(B2020&lt;&gt;"",ISNA(MATCH(B2020,pr_code,0))),"Article inconnu",IF(H2020="","Désignation manquante",IF(OR(NOT(ISNUMBER(D2020)),N(D2020)&lt;=0),"Quantité invalide",IF(J2020="","Prix manquant",IF(OR(NOT(ISNUMBER(J2020)),N(J2020)&lt;0),"Prix invalide",IF(OR(AND(F2020&lt;&gt;"",NOT(ISNUMBER(F2020))),N(F2020)&lt;0,N(F2020)&gt;1),"Remise invalide",IF(K2020="","Taux de TVA manquant",IF(NOT(ISNUMBER(K2020)),"Taux de TVA invalide",IF(COUNTIF(p_rates,K2020)=0,"Taux de TVA hors liste (Paramètres)",IF(N(O2020)&gt;25,"Au-delà de 25 lignes : non imprimée","OK")))))))))))))</f>
        <v/>
      </c>
      <c r="O2020" s="59" t="str">
        <f>IF(A2020="","",COUNTIF($A$6:A2020,A2020))</f>
        <v/>
      </c>
      <c r="P2020" s="62" t="str">
        <f>IF(A2020="","",A2020&amp;"|"&amp;O2020)</f>
        <v/>
      </c>
    </row>
    <row r="2021">
      <c r="A2021" s="60" t="n"/>
      <c r="B2021" s="63" t="n"/>
      <c r="C2021" s="63" t="n"/>
      <c r="D2021" s="67" t="n"/>
      <c r="E2021" s="68" t="n"/>
      <c r="F2021" s="69" t="n"/>
      <c r="G2021" s="70" t="n"/>
      <c r="H2021" s="62" t="str">
        <f>IF(COUNTA(A2021:G2021)=0,"",IF(C2021&lt;&gt;"",C2021,IF(B2021="","",IFERROR(INDEX(pr_des,MATCH(B2021,pr_code,0))&amp;"",""))))</f>
        <v/>
      </c>
      <c r="I2021" s="59" t="str">
        <f>IF(B2021="","",IFERROR(INDEX(pr_unit,MATCH(B2021,pr_code,0))&amp;"",""))</f>
        <v/>
      </c>
      <c r="J2021" s="65" t="str">
        <f>IF(COUNTA(A2021:G2021)=0,"",IF(E2021&lt;&gt;"",E2021,IF(B2021="","",IFERROR(IF(INDEX(pr_price,MATCH(B2021,pr_code,0))="","",INDEX(pr_price,MATCH(B2021,pr_code,0))),""))))</f>
        <v/>
      </c>
      <c r="K2021" s="71" t="str">
        <f>IF(COUNTA(A2021:G2021)=0,"",IF(G2021&lt;&gt;"",G2021,IF(B2021="","",IFERROR(IF(INDEX(pr_rate,MATCH(B2021,pr_code,0))="","",INDEX(pr_rate,MATCH(B2021,pr_code,0))),""))))</f>
        <v/>
      </c>
      <c r="L2021" s="65" t="str">
        <f>IF(COUNTA(A2021:G2021)=0,"",IF(AND(ISNUMBER(D2021),ISNUMBER(J2021)),ROUND(D2021*J2021*(1-N(F2021)),2),0))</f>
        <v/>
      </c>
      <c r="M2021" s="62" t="str">
        <f>IF(A2021="","",IFERROR(INDEX(fa_cname,MATCH(A2021,fa_num,0))&amp;"",""))</f>
        <v/>
      </c>
      <c r="N2021" s="59" t="str">
        <f>IF(COUNTA(A2021:G2021)=0,"",IF(A2021="","N° facture manquant",IF(ISNA(MATCH(A2021,fa_num,0)),"Facture inconnue",IF(AND(B2021&lt;&gt;"",ISNA(MATCH(B2021,pr_code,0))),"Article inconnu",IF(H2021="","Désignation manquante",IF(OR(NOT(ISNUMBER(D2021)),N(D2021)&lt;=0),"Quantité invalide",IF(J2021="","Prix manquant",IF(OR(NOT(ISNUMBER(J2021)),N(J2021)&lt;0),"Prix invalide",IF(OR(AND(F2021&lt;&gt;"",NOT(ISNUMBER(F2021))),N(F2021)&lt;0,N(F2021)&gt;1),"Remise invalide",IF(K2021="","Taux de TVA manquant",IF(NOT(ISNUMBER(K2021)),"Taux de TVA invalide",IF(COUNTIF(p_rates,K2021)=0,"Taux de TVA hors liste (Paramètres)",IF(N(O2021)&gt;25,"Au-delà de 25 lignes : non imprimée","OK")))))))))))))</f>
        <v/>
      </c>
      <c r="O2021" s="59" t="str">
        <f>IF(A2021="","",COUNTIF($A$6:A2021,A2021))</f>
        <v/>
      </c>
      <c r="P2021" s="62" t="str">
        <f>IF(A2021="","",A2021&amp;"|"&amp;O2021)</f>
        <v/>
      </c>
    </row>
    <row r="2022">
      <c r="A2022" s="60" t="n"/>
      <c r="B2022" s="63" t="n"/>
      <c r="C2022" s="63" t="n"/>
      <c r="D2022" s="67" t="n"/>
      <c r="E2022" s="68" t="n"/>
      <c r="F2022" s="69" t="n"/>
      <c r="G2022" s="70" t="n"/>
      <c r="H2022" s="62" t="str">
        <f>IF(COUNTA(A2022:G2022)=0,"",IF(C2022&lt;&gt;"",C2022,IF(B2022="","",IFERROR(INDEX(pr_des,MATCH(B2022,pr_code,0))&amp;"",""))))</f>
        <v/>
      </c>
      <c r="I2022" s="59" t="str">
        <f>IF(B2022="","",IFERROR(INDEX(pr_unit,MATCH(B2022,pr_code,0))&amp;"",""))</f>
        <v/>
      </c>
      <c r="J2022" s="65" t="str">
        <f>IF(COUNTA(A2022:G2022)=0,"",IF(E2022&lt;&gt;"",E2022,IF(B2022="","",IFERROR(IF(INDEX(pr_price,MATCH(B2022,pr_code,0))="","",INDEX(pr_price,MATCH(B2022,pr_code,0))),""))))</f>
        <v/>
      </c>
      <c r="K2022" s="71" t="str">
        <f>IF(COUNTA(A2022:G2022)=0,"",IF(G2022&lt;&gt;"",G2022,IF(B2022="","",IFERROR(IF(INDEX(pr_rate,MATCH(B2022,pr_code,0))="","",INDEX(pr_rate,MATCH(B2022,pr_code,0))),""))))</f>
        <v/>
      </c>
      <c r="L2022" s="65" t="str">
        <f>IF(COUNTA(A2022:G2022)=0,"",IF(AND(ISNUMBER(D2022),ISNUMBER(J2022)),ROUND(D2022*J2022*(1-N(F2022)),2),0))</f>
        <v/>
      </c>
      <c r="M2022" s="62" t="str">
        <f>IF(A2022="","",IFERROR(INDEX(fa_cname,MATCH(A2022,fa_num,0))&amp;"",""))</f>
        <v/>
      </c>
      <c r="N2022" s="59" t="str">
        <f>IF(COUNTA(A2022:G2022)=0,"",IF(A2022="","N° facture manquant",IF(ISNA(MATCH(A2022,fa_num,0)),"Facture inconnue",IF(AND(B2022&lt;&gt;"",ISNA(MATCH(B2022,pr_code,0))),"Article inconnu",IF(H2022="","Désignation manquante",IF(OR(NOT(ISNUMBER(D2022)),N(D2022)&lt;=0),"Quantité invalide",IF(J2022="","Prix manquant",IF(OR(NOT(ISNUMBER(J2022)),N(J2022)&lt;0),"Prix invalide",IF(OR(AND(F2022&lt;&gt;"",NOT(ISNUMBER(F2022))),N(F2022)&lt;0,N(F2022)&gt;1),"Remise invalide",IF(K2022="","Taux de TVA manquant",IF(NOT(ISNUMBER(K2022)),"Taux de TVA invalide",IF(COUNTIF(p_rates,K2022)=0,"Taux de TVA hors liste (Paramètres)",IF(N(O2022)&gt;25,"Au-delà de 25 lignes : non imprimée","OK")))))))))))))</f>
        <v/>
      </c>
      <c r="O2022" s="59" t="str">
        <f>IF(A2022="","",COUNTIF($A$6:A2022,A2022))</f>
        <v/>
      </c>
      <c r="P2022" s="62" t="str">
        <f>IF(A2022="","",A2022&amp;"|"&amp;O2022)</f>
        <v/>
      </c>
    </row>
    <row r="2023">
      <c r="A2023" s="60" t="n"/>
      <c r="B2023" s="63" t="n"/>
      <c r="C2023" s="63" t="n"/>
      <c r="D2023" s="67" t="n"/>
      <c r="E2023" s="68" t="n"/>
      <c r="F2023" s="69" t="n"/>
      <c r="G2023" s="70" t="n"/>
      <c r="H2023" s="62" t="str">
        <f>IF(COUNTA(A2023:G2023)=0,"",IF(C2023&lt;&gt;"",C2023,IF(B2023="","",IFERROR(INDEX(pr_des,MATCH(B2023,pr_code,0))&amp;"",""))))</f>
        <v/>
      </c>
      <c r="I2023" s="59" t="str">
        <f>IF(B2023="","",IFERROR(INDEX(pr_unit,MATCH(B2023,pr_code,0))&amp;"",""))</f>
        <v/>
      </c>
      <c r="J2023" s="65" t="str">
        <f>IF(COUNTA(A2023:G2023)=0,"",IF(E2023&lt;&gt;"",E2023,IF(B2023="","",IFERROR(IF(INDEX(pr_price,MATCH(B2023,pr_code,0))="","",INDEX(pr_price,MATCH(B2023,pr_code,0))),""))))</f>
        <v/>
      </c>
      <c r="K2023" s="71" t="str">
        <f>IF(COUNTA(A2023:G2023)=0,"",IF(G2023&lt;&gt;"",G2023,IF(B2023="","",IFERROR(IF(INDEX(pr_rate,MATCH(B2023,pr_code,0))="","",INDEX(pr_rate,MATCH(B2023,pr_code,0))),""))))</f>
        <v/>
      </c>
      <c r="L2023" s="65" t="str">
        <f>IF(COUNTA(A2023:G2023)=0,"",IF(AND(ISNUMBER(D2023),ISNUMBER(J2023)),ROUND(D2023*J2023*(1-N(F2023)),2),0))</f>
        <v/>
      </c>
      <c r="M2023" s="62" t="str">
        <f>IF(A2023="","",IFERROR(INDEX(fa_cname,MATCH(A2023,fa_num,0))&amp;"",""))</f>
        <v/>
      </c>
      <c r="N2023" s="59" t="str">
        <f>IF(COUNTA(A2023:G2023)=0,"",IF(A2023="","N° facture manquant",IF(ISNA(MATCH(A2023,fa_num,0)),"Facture inconnue",IF(AND(B2023&lt;&gt;"",ISNA(MATCH(B2023,pr_code,0))),"Article inconnu",IF(H2023="","Désignation manquante",IF(OR(NOT(ISNUMBER(D2023)),N(D2023)&lt;=0),"Quantité invalide",IF(J2023="","Prix manquant",IF(OR(NOT(ISNUMBER(J2023)),N(J2023)&lt;0),"Prix invalide",IF(OR(AND(F2023&lt;&gt;"",NOT(ISNUMBER(F2023))),N(F2023)&lt;0,N(F2023)&gt;1),"Remise invalide",IF(K2023="","Taux de TVA manquant",IF(NOT(ISNUMBER(K2023)),"Taux de TVA invalide",IF(COUNTIF(p_rates,K2023)=0,"Taux de TVA hors liste (Paramètres)",IF(N(O2023)&gt;25,"Au-delà de 25 lignes : non imprimée","OK")))))))))))))</f>
        <v/>
      </c>
      <c r="O2023" s="59" t="str">
        <f>IF(A2023="","",COUNTIF($A$6:A2023,A2023))</f>
        <v/>
      </c>
      <c r="P2023" s="62" t="str">
        <f>IF(A2023="","",A2023&amp;"|"&amp;O2023)</f>
        <v/>
      </c>
    </row>
    <row r="2024">
      <c r="A2024" s="60" t="n"/>
      <c r="B2024" s="63" t="n"/>
      <c r="C2024" s="63" t="n"/>
      <c r="D2024" s="67" t="n"/>
      <c r="E2024" s="68" t="n"/>
      <c r="F2024" s="69" t="n"/>
      <c r="G2024" s="70" t="n"/>
      <c r="H2024" s="62" t="str">
        <f>IF(COUNTA(A2024:G2024)=0,"",IF(C2024&lt;&gt;"",C2024,IF(B2024="","",IFERROR(INDEX(pr_des,MATCH(B2024,pr_code,0))&amp;"",""))))</f>
        <v/>
      </c>
      <c r="I2024" s="59" t="str">
        <f>IF(B2024="","",IFERROR(INDEX(pr_unit,MATCH(B2024,pr_code,0))&amp;"",""))</f>
        <v/>
      </c>
      <c r="J2024" s="65" t="str">
        <f>IF(COUNTA(A2024:G2024)=0,"",IF(E2024&lt;&gt;"",E2024,IF(B2024="","",IFERROR(IF(INDEX(pr_price,MATCH(B2024,pr_code,0))="","",INDEX(pr_price,MATCH(B2024,pr_code,0))),""))))</f>
        <v/>
      </c>
      <c r="K2024" s="71" t="str">
        <f>IF(COUNTA(A2024:G2024)=0,"",IF(G2024&lt;&gt;"",G2024,IF(B2024="","",IFERROR(IF(INDEX(pr_rate,MATCH(B2024,pr_code,0))="","",INDEX(pr_rate,MATCH(B2024,pr_code,0))),""))))</f>
        <v/>
      </c>
      <c r="L2024" s="65" t="str">
        <f>IF(COUNTA(A2024:G2024)=0,"",IF(AND(ISNUMBER(D2024),ISNUMBER(J2024)),ROUND(D2024*J2024*(1-N(F2024)),2),0))</f>
        <v/>
      </c>
      <c r="M2024" s="62" t="str">
        <f>IF(A2024="","",IFERROR(INDEX(fa_cname,MATCH(A2024,fa_num,0))&amp;"",""))</f>
        <v/>
      </c>
      <c r="N2024" s="59" t="str">
        <f>IF(COUNTA(A2024:G2024)=0,"",IF(A2024="","N° facture manquant",IF(ISNA(MATCH(A2024,fa_num,0)),"Facture inconnue",IF(AND(B2024&lt;&gt;"",ISNA(MATCH(B2024,pr_code,0))),"Article inconnu",IF(H2024="","Désignation manquante",IF(OR(NOT(ISNUMBER(D2024)),N(D2024)&lt;=0),"Quantité invalide",IF(J2024="","Prix manquant",IF(OR(NOT(ISNUMBER(J2024)),N(J2024)&lt;0),"Prix invalide",IF(OR(AND(F2024&lt;&gt;"",NOT(ISNUMBER(F2024))),N(F2024)&lt;0,N(F2024)&gt;1),"Remise invalide",IF(K2024="","Taux de TVA manquant",IF(NOT(ISNUMBER(K2024)),"Taux de TVA invalide",IF(COUNTIF(p_rates,K2024)=0,"Taux de TVA hors liste (Paramètres)",IF(N(O2024)&gt;25,"Au-delà de 25 lignes : non imprimée","OK")))))))))))))</f>
        <v/>
      </c>
      <c r="O2024" s="59" t="str">
        <f>IF(A2024="","",COUNTIF($A$6:A2024,A2024))</f>
        <v/>
      </c>
      <c r="P2024" s="62" t="str">
        <f>IF(A2024="","",A2024&amp;"|"&amp;O2024)</f>
        <v/>
      </c>
    </row>
    <row r="2025">
      <c r="A2025" s="60" t="n"/>
      <c r="B2025" s="63" t="n"/>
      <c r="C2025" s="63" t="n"/>
      <c r="D2025" s="67" t="n"/>
      <c r="E2025" s="68" t="n"/>
      <c r="F2025" s="69" t="n"/>
      <c r="G2025" s="70" t="n"/>
      <c r="H2025" s="62" t="str">
        <f>IF(COUNTA(A2025:G2025)=0,"",IF(C2025&lt;&gt;"",C2025,IF(B2025="","",IFERROR(INDEX(pr_des,MATCH(B2025,pr_code,0))&amp;"",""))))</f>
        <v/>
      </c>
      <c r="I2025" s="59" t="str">
        <f>IF(B2025="","",IFERROR(INDEX(pr_unit,MATCH(B2025,pr_code,0))&amp;"",""))</f>
        <v/>
      </c>
      <c r="J2025" s="65" t="str">
        <f>IF(COUNTA(A2025:G2025)=0,"",IF(E2025&lt;&gt;"",E2025,IF(B2025="","",IFERROR(IF(INDEX(pr_price,MATCH(B2025,pr_code,0))="","",INDEX(pr_price,MATCH(B2025,pr_code,0))),""))))</f>
        <v/>
      </c>
      <c r="K2025" s="71" t="str">
        <f>IF(COUNTA(A2025:G2025)=0,"",IF(G2025&lt;&gt;"",G2025,IF(B2025="","",IFERROR(IF(INDEX(pr_rate,MATCH(B2025,pr_code,0))="","",INDEX(pr_rate,MATCH(B2025,pr_code,0))),""))))</f>
        <v/>
      </c>
      <c r="L2025" s="65" t="str">
        <f>IF(COUNTA(A2025:G2025)=0,"",IF(AND(ISNUMBER(D2025),ISNUMBER(J2025)),ROUND(D2025*J2025*(1-N(F2025)),2),0))</f>
        <v/>
      </c>
      <c r="M2025" s="62" t="str">
        <f>IF(A2025="","",IFERROR(INDEX(fa_cname,MATCH(A2025,fa_num,0))&amp;"",""))</f>
        <v/>
      </c>
      <c r="N2025" s="59" t="str">
        <f>IF(COUNTA(A2025:G2025)=0,"",IF(A2025="","N° facture manquant",IF(ISNA(MATCH(A2025,fa_num,0)),"Facture inconnue",IF(AND(B2025&lt;&gt;"",ISNA(MATCH(B2025,pr_code,0))),"Article inconnu",IF(H2025="","Désignation manquante",IF(OR(NOT(ISNUMBER(D2025)),N(D2025)&lt;=0),"Quantité invalide",IF(J2025="","Prix manquant",IF(OR(NOT(ISNUMBER(J2025)),N(J2025)&lt;0),"Prix invalide",IF(OR(AND(F2025&lt;&gt;"",NOT(ISNUMBER(F2025))),N(F2025)&lt;0,N(F2025)&gt;1),"Remise invalide",IF(K2025="","Taux de TVA manquant",IF(NOT(ISNUMBER(K2025)),"Taux de TVA invalide",IF(COUNTIF(p_rates,K2025)=0,"Taux de TVA hors liste (Paramètres)",IF(N(O2025)&gt;25,"Au-delà de 25 lignes : non imprimée","OK")))))))))))))</f>
        <v/>
      </c>
      <c r="O2025" s="59" t="str">
        <f>IF(A2025="","",COUNTIF($A$6:A2025,A2025))</f>
        <v/>
      </c>
      <c r="P2025" s="62" t="str">
        <f>IF(A2025="","",A2025&amp;"|"&amp;O2025)</f>
        <v/>
      </c>
    </row>
    <row r="2026">
      <c r="A2026" s="60" t="n"/>
      <c r="B2026" s="63" t="n"/>
      <c r="C2026" s="63" t="n"/>
      <c r="D2026" s="67" t="n"/>
      <c r="E2026" s="68" t="n"/>
      <c r="F2026" s="69" t="n"/>
      <c r="G2026" s="70" t="n"/>
      <c r="H2026" s="62" t="str">
        <f>IF(COUNTA(A2026:G2026)=0,"",IF(C2026&lt;&gt;"",C2026,IF(B2026="","",IFERROR(INDEX(pr_des,MATCH(B2026,pr_code,0))&amp;"",""))))</f>
        <v/>
      </c>
      <c r="I2026" s="59" t="str">
        <f>IF(B2026="","",IFERROR(INDEX(pr_unit,MATCH(B2026,pr_code,0))&amp;"",""))</f>
        <v/>
      </c>
      <c r="J2026" s="65" t="str">
        <f>IF(COUNTA(A2026:G2026)=0,"",IF(E2026&lt;&gt;"",E2026,IF(B2026="","",IFERROR(IF(INDEX(pr_price,MATCH(B2026,pr_code,0))="","",INDEX(pr_price,MATCH(B2026,pr_code,0))),""))))</f>
        <v/>
      </c>
      <c r="K2026" s="71" t="str">
        <f>IF(COUNTA(A2026:G2026)=0,"",IF(G2026&lt;&gt;"",G2026,IF(B2026="","",IFERROR(IF(INDEX(pr_rate,MATCH(B2026,pr_code,0))="","",INDEX(pr_rate,MATCH(B2026,pr_code,0))),""))))</f>
        <v/>
      </c>
      <c r="L2026" s="65" t="str">
        <f>IF(COUNTA(A2026:G2026)=0,"",IF(AND(ISNUMBER(D2026),ISNUMBER(J2026)),ROUND(D2026*J2026*(1-N(F2026)),2),0))</f>
        <v/>
      </c>
      <c r="M2026" s="62" t="str">
        <f>IF(A2026="","",IFERROR(INDEX(fa_cname,MATCH(A2026,fa_num,0))&amp;"",""))</f>
        <v/>
      </c>
      <c r="N2026" s="59" t="str">
        <f>IF(COUNTA(A2026:G2026)=0,"",IF(A2026="","N° facture manquant",IF(ISNA(MATCH(A2026,fa_num,0)),"Facture inconnue",IF(AND(B2026&lt;&gt;"",ISNA(MATCH(B2026,pr_code,0))),"Article inconnu",IF(H2026="","Désignation manquante",IF(OR(NOT(ISNUMBER(D2026)),N(D2026)&lt;=0),"Quantité invalide",IF(J2026="","Prix manquant",IF(OR(NOT(ISNUMBER(J2026)),N(J2026)&lt;0),"Prix invalide",IF(OR(AND(F2026&lt;&gt;"",NOT(ISNUMBER(F2026))),N(F2026)&lt;0,N(F2026)&gt;1),"Remise invalide",IF(K2026="","Taux de TVA manquant",IF(NOT(ISNUMBER(K2026)),"Taux de TVA invalide",IF(COUNTIF(p_rates,K2026)=0,"Taux de TVA hors liste (Paramètres)",IF(N(O2026)&gt;25,"Au-delà de 25 lignes : non imprimée","OK")))))))))))))</f>
        <v/>
      </c>
      <c r="O2026" s="59" t="str">
        <f>IF(A2026="","",COUNTIF($A$6:A2026,A2026))</f>
        <v/>
      </c>
      <c r="P2026" s="62" t="str">
        <f>IF(A2026="","",A2026&amp;"|"&amp;O2026)</f>
        <v/>
      </c>
    </row>
    <row r="2027">
      <c r="A2027" s="60" t="n"/>
      <c r="B2027" s="63" t="n"/>
      <c r="C2027" s="63" t="n"/>
      <c r="D2027" s="67" t="n"/>
      <c r="E2027" s="68" t="n"/>
      <c r="F2027" s="69" t="n"/>
      <c r="G2027" s="70" t="n"/>
      <c r="H2027" s="62" t="str">
        <f>IF(COUNTA(A2027:G2027)=0,"",IF(C2027&lt;&gt;"",C2027,IF(B2027="","",IFERROR(INDEX(pr_des,MATCH(B2027,pr_code,0))&amp;"",""))))</f>
        <v/>
      </c>
      <c r="I2027" s="59" t="str">
        <f>IF(B2027="","",IFERROR(INDEX(pr_unit,MATCH(B2027,pr_code,0))&amp;"",""))</f>
        <v/>
      </c>
      <c r="J2027" s="65" t="str">
        <f>IF(COUNTA(A2027:G2027)=0,"",IF(E2027&lt;&gt;"",E2027,IF(B2027="","",IFERROR(IF(INDEX(pr_price,MATCH(B2027,pr_code,0))="","",INDEX(pr_price,MATCH(B2027,pr_code,0))),""))))</f>
        <v/>
      </c>
      <c r="K2027" s="71" t="str">
        <f>IF(COUNTA(A2027:G2027)=0,"",IF(G2027&lt;&gt;"",G2027,IF(B2027="","",IFERROR(IF(INDEX(pr_rate,MATCH(B2027,pr_code,0))="","",INDEX(pr_rate,MATCH(B2027,pr_code,0))),""))))</f>
        <v/>
      </c>
      <c r="L2027" s="65" t="str">
        <f>IF(COUNTA(A2027:G2027)=0,"",IF(AND(ISNUMBER(D2027),ISNUMBER(J2027)),ROUND(D2027*J2027*(1-N(F2027)),2),0))</f>
        <v/>
      </c>
      <c r="M2027" s="62" t="str">
        <f>IF(A2027="","",IFERROR(INDEX(fa_cname,MATCH(A2027,fa_num,0))&amp;"",""))</f>
        <v/>
      </c>
      <c r="N2027" s="59" t="str">
        <f>IF(COUNTA(A2027:G2027)=0,"",IF(A2027="","N° facture manquant",IF(ISNA(MATCH(A2027,fa_num,0)),"Facture inconnue",IF(AND(B2027&lt;&gt;"",ISNA(MATCH(B2027,pr_code,0))),"Article inconnu",IF(H2027="","Désignation manquante",IF(OR(NOT(ISNUMBER(D2027)),N(D2027)&lt;=0),"Quantité invalide",IF(J2027="","Prix manquant",IF(OR(NOT(ISNUMBER(J2027)),N(J2027)&lt;0),"Prix invalide",IF(OR(AND(F2027&lt;&gt;"",NOT(ISNUMBER(F2027))),N(F2027)&lt;0,N(F2027)&gt;1),"Remise invalide",IF(K2027="","Taux de TVA manquant",IF(NOT(ISNUMBER(K2027)),"Taux de TVA invalide",IF(COUNTIF(p_rates,K2027)=0,"Taux de TVA hors liste (Paramètres)",IF(N(O2027)&gt;25,"Au-delà de 25 lignes : non imprimée","OK")))))))))))))</f>
        <v/>
      </c>
      <c r="O2027" s="59" t="str">
        <f>IF(A2027="","",COUNTIF($A$6:A2027,A2027))</f>
        <v/>
      </c>
      <c r="P2027" s="62" t="str">
        <f>IF(A2027="","",A2027&amp;"|"&amp;O2027)</f>
        <v/>
      </c>
    </row>
    <row r="2028">
      <c r="A2028" s="60" t="n"/>
      <c r="B2028" s="63" t="n"/>
      <c r="C2028" s="63" t="n"/>
      <c r="D2028" s="67" t="n"/>
      <c r="E2028" s="68" t="n"/>
      <c r="F2028" s="69" t="n"/>
      <c r="G2028" s="70" t="n"/>
      <c r="H2028" s="62" t="str">
        <f>IF(COUNTA(A2028:G2028)=0,"",IF(C2028&lt;&gt;"",C2028,IF(B2028="","",IFERROR(INDEX(pr_des,MATCH(B2028,pr_code,0))&amp;"",""))))</f>
        <v/>
      </c>
      <c r="I2028" s="59" t="str">
        <f>IF(B2028="","",IFERROR(INDEX(pr_unit,MATCH(B2028,pr_code,0))&amp;"",""))</f>
        <v/>
      </c>
      <c r="J2028" s="65" t="str">
        <f>IF(COUNTA(A2028:G2028)=0,"",IF(E2028&lt;&gt;"",E2028,IF(B2028="","",IFERROR(IF(INDEX(pr_price,MATCH(B2028,pr_code,0))="","",INDEX(pr_price,MATCH(B2028,pr_code,0))),""))))</f>
        <v/>
      </c>
      <c r="K2028" s="71" t="str">
        <f>IF(COUNTA(A2028:G2028)=0,"",IF(G2028&lt;&gt;"",G2028,IF(B2028="","",IFERROR(IF(INDEX(pr_rate,MATCH(B2028,pr_code,0))="","",INDEX(pr_rate,MATCH(B2028,pr_code,0))),""))))</f>
        <v/>
      </c>
      <c r="L2028" s="65" t="str">
        <f>IF(COUNTA(A2028:G2028)=0,"",IF(AND(ISNUMBER(D2028),ISNUMBER(J2028)),ROUND(D2028*J2028*(1-N(F2028)),2),0))</f>
        <v/>
      </c>
      <c r="M2028" s="62" t="str">
        <f>IF(A2028="","",IFERROR(INDEX(fa_cname,MATCH(A2028,fa_num,0))&amp;"",""))</f>
        <v/>
      </c>
      <c r="N2028" s="59" t="str">
        <f>IF(COUNTA(A2028:G2028)=0,"",IF(A2028="","N° facture manquant",IF(ISNA(MATCH(A2028,fa_num,0)),"Facture inconnue",IF(AND(B2028&lt;&gt;"",ISNA(MATCH(B2028,pr_code,0))),"Article inconnu",IF(H2028="","Désignation manquante",IF(OR(NOT(ISNUMBER(D2028)),N(D2028)&lt;=0),"Quantité invalide",IF(J2028="","Prix manquant",IF(OR(NOT(ISNUMBER(J2028)),N(J2028)&lt;0),"Prix invalide",IF(OR(AND(F2028&lt;&gt;"",NOT(ISNUMBER(F2028))),N(F2028)&lt;0,N(F2028)&gt;1),"Remise invalide",IF(K2028="","Taux de TVA manquant",IF(NOT(ISNUMBER(K2028)),"Taux de TVA invalide",IF(COUNTIF(p_rates,K2028)=0,"Taux de TVA hors liste (Paramètres)",IF(N(O2028)&gt;25,"Au-delà de 25 lignes : non imprimée","OK")))))))))))))</f>
        <v/>
      </c>
      <c r="O2028" s="59" t="str">
        <f>IF(A2028="","",COUNTIF($A$6:A2028,A2028))</f>
        <v/>
      </c>
      <c r="P2028" s="62" t="str">
        <f>IF(A2028="","",A2028&amp;"|"&amp;O2028)</f>
        <v/>
      </c>
    </row>
    <row r="2029">
      <c r="A2029" s="60" t="n"/>
      <c r="B2029" s="63" t="n"/>
      <c r="C2029" s="63" t="n"/>
      <c r="D2029" s="67" t="n"/>
      <c r="E2029" s="68" t="n"/>
      <c r="F2029" s="69" t="n"/>
      <c r="G2029" s="70" t="n"/>
      <c r="H2029" s="62" t="str">
        <f>IF(COUNTA(A2029:G2029)=0,"",IF(C2029&lt;&gt;"",C2029,IF(B2029="","",IFERROR(INDEX(pr_des,MATCH(B2029,pr_code,0))&amp;"",""))))</f>
        <v/>
      </c>
      <c r="I2029" s="59" t="str">
        <f>IF(B2029="","",IFERROR(INDEX(pr_unit,MATCH(B2029,pr_code,0))&amp;"",""))</f>
        <v/>
      </c>
      <c r="J2029" s="65" t="str">
        <f>IF(COUNTA(A2029:G2029)=0,"",IF(E2029&lt;&gt;"",E2029,IF(B2029="","",IFERROR(IF(INDEX(pr_price,MATCH(B2029,pr_code,0))="","",INDEX(pr_price,MATCH(B2029,pr_code,0))),""))))</f>
        <v/>
      </c>
      <c r="K2029" s="71" t="str">
        <f>IF(COUNTA(A2029:G2029)=0,"",IF(G2029&lt;&gt;"",G2029,IF(B2029="","",IFERROR(IF(INDEX(pr_rate,MATCH(B2029,pr_code,0))="","",INDEX(pr_rate,MATCH(B2029,pr_code,0))),""))))</f>
        <v/>
      </c>
      <c r="L2029" s="65" t="str">
        <f>IF(COUNTA(A2029:G2029)=0,"",IF(AND(ISNUMBER(D2029),ISNUMBER(J2029)),ROUND(D2029*J2029*(1-N(F2029)),2),0))</f>
        <v/>
      </c>
      <c r="M2029" s="62" t="str">
        <f>IF(A2029="","",IFERROR(INDEX(fa_cname,MATCH(A2029,fa_num,0))&amp;"",""))</f>
        <v/>
      </c>
      <c r="N2029" s="59" t="str">
        <f>IF(COUNTA(A2029:G2029)=0,"",IF(A2029="","N° facture manquant",IF(ISNA(MATCH(A2029,fa_num,0)),"Facture inconnue",IF(AND(B2029&lt;&gt;"",ISNA(MATCH(B2029,pr_code,0))),"Article inconnu",IF(H2029="","Désignation manquante",IF(OR(NOT(ISNUMBER(D2029)),N(D2029)&lt;=0),"Quantité invalide",IF(J2029="","Prix manquant",IF(OR(NOT(ISNUMBER(J2029)),N(J2029)&lt;0),"Prix invalide",IF(OR(AND(F2029&lt;&gt;"",NOT(ISNUMBER(F2029))),N(F2029)&lt;0,N(F2029)&gt;1),"Remise invalide",IF(K2029="","Taux de TVA manquant",IF(NOT(ISNUMBER(K2029)),"Taux de TVA invalide",IF(COUNTIF(p_rates,K2029)=0,"Taux de TVA hors liste (Paramètres)",IF(N(O2029)&gt;25,"Au-delà de 25 lignes : non imprimée","OK")))))))))))))</f>
        <v/>
      </c>
      <c r="O2029" s="59" t="str">
        <f>IF(A2029="","",COUNTIF($A$6:A2029,A2029))</f>
        <v/>
      </c>
      <c r="P2029" s="62" t="str">
        <f>IF(A2029="","",A2029&amp;"|"&amp;O2029)</f>
        <v/>
      </c>
    </row>
    <row r="2030">
      <c r="A2030" s="60" t="n"/>
      <c r="B2030" s="63" t="n"/>
      <c r="C2030" s="63" t="n"/>
      <c r="D2030" s="67" t="n"/>
      <c r="E2030" s="68" t="n"/>
      <c r="F2030" s="69" t="n"/>
      <c r="G2030" s="70" t="n"/>
      <c r="H2030" s="62" t="str">
        <f>IF(COUNTA(A2030:G2030)=0,"",IF(C2030&lt;&gt;"",C2030,IF(B2030="","",IFERROR(INDEX(pr_des,MATCH(B2030,pr_code,0))&amp;"",""))))</f>
        <v/>
      </c>
      <c r="I2030" s="59" t="str">
        <f>IF(B2030="","",IFERROR(INDEX(pr_unit,MATCH(B2030,pr_code,0))&amp;"",""))</f>
        <v/>
      </c>
      <c r="J2030" s="65" t="str">
        <f>IF(COUNTA(A2030:G2030)=0,"",IF(E2030&lt;&gt;"",E2030,IF(B2030="","",IFERROR(IF(INDEX(pr_price,MATCH(B2030,pr_code,0))="","",INDEX(pr_price,MATCH(B2030,pr_code,0))),""))))</f>
        <v/>
      </c>
      <c r="K2030" s="71" t="str">
        <f>IF(COUNTA(A2030:G2030)=0,"",IF(G2030&lt;&gt;"",G2030,IF(B2030="","",IFERROR(IF(INDEX(pr_rate,MATCH(B2030,pr_code,0))="","",INDEX(pr_rate,MATCH(B2030,pr_code,0))),""))))</f>
        <v/>
      </c>
      <c r="L2030" s="65" t="str">
        <f>IF(COUNTA(A2030:G2030)=0,"",IF(AND(ISNUMBER(D2030),ISNUMBER(J2030)),ROUND(D2030*J2030*(1-N(F2030)),2),0))</f>
        <v/>
      </c>
      <c r="M2030" s="62" t="str">
        <f>IF(A2030="","",IFERROR(INDEX(fa_cname,MATCH(A2030,fa_num,0))&amp;"",""))</f>
        <v/>
      </c>
      <c r="N2030" s="59" t="str">
        <f>IF(COUNTA(A2030:G2030)=0,"",IF(A2030="","N° facture manquant",IF(ISNA(MATCH(A2030,fa_num,0)),"Facture inconnue",IF(AND(B2030&lt;&gt;"",ISNA(MATCH(B2030,pr_code,0))),"Article inconnu",IF(H2030="","Désignation manquante",IF(OR(NOT(ISNUMBER(D2030)),N(D2030)&lt;=0),"Quantité invalide",IF(J2030="","Prix manquant",IF(OR(NOT(ISNUMBER(J2030)),N(J2030)&lt;0),"Prix invalide",IF(OR(AND(F2030&lt;&gt;"",NOT(ISNUMBER(F2030))),N(F2030)&lt;0,N(F2030)&gt;1),"Remise invalide",IF(K2030="","Taux de TVA manquant",IF(NOT(ISNUMBER(K2030)),"Taux de TVA invalide",IF(COUNTIF(p_rates,K2030)=0,"Taux de TVA hors liste (Paramètres)",IF(N(O2030)&gt;25,"Au-delà de 25 lignes : non imprimée","OK")))))))))))))</f>
        <v/>
      </c>
      <c r="O2030" s="59" t="str">
        <f>IF(A2030="","",COUNTIF($A$6:A2030,A2030))</f>
        <v/>
      </c>
      <c r="P2030" s="62" t="str">
        <f>IF(A2030="","",A2030&amp;"|"&amp;O2030)</f>
        <v/>
      </c>
    </row>
    <row r="2031">
      <c r="A2031" s="60" t="n"/>
      <c r="B2031" s="63" t="n"/>
      <c r="C2031" s="63" t="n"/>
      <c r="D2031" s="67" t="n"/>
      <c r="E2031" s="68" t="n"/>
      <c r="F2031" s="69" t="n"/>
      <c r="G2031" s="70" t="n"/>
      <c r="H2031" s="62" t="str">
        <f>IF(COUNTA(A2031:G2031)=0,"",IF(C2031&lt;&gt;"",C2031,IF(B2031="","",IFERROR(INDEX(pr_des,MATCH(B2031,pr_code,0))&amp;"",""))))</f>
        <v/>
      </c>
      <c r="I2031" s="59" t="str">
        <f>IF(B2031="","",IFERROR(INDEX(pr_unit,MATCH(B2031,pr_code,0))&amp;"",""))</f>
        <v/>
      </c>
      <c r="J2031" s="65" t="str">
        <f>IF(COUNTA(A2031:G2031)=0,"",IF(E2031&lt;&gt;"",E2031,IF(B2031="","",IFERROR(IF(INDEX(pr_price,MATCH(B2031,pr_code,0))="","",INDEX(pr_price,MATCH(B2031,pr_code,0))),""))))</f>
        <v/>
      </c>
      <c r="K2031" s="71" t="str">
        <f>IF(COUNTA(A2031:G2031)=0,"",IF(G2031&lt;&gt;"",G2031,IF(B2031="","",IFERROR(IF(INDEX(pr_rate,MATCH(B2031,pr_code,0))="","",INDEX(pr_rate,MATCH(B2031,pr_code,0))),""))))</f>
        <v/>
      </c>
      <c r="L2031" s="65" t="str">
        <f>IF(COUNTA(A2031:G2031)=0,"",IF(AND(ISNUMBER(D2031),ISNUMBER(J2031)),ROUND(D2031*J2031*(1-N(F2031)),2),0))</f>
        <v/>
      </c>
      <c r="M2031" s="62" t="str">
        <f>IF(A2031="","",IFERROR(INDEX(fa_cname,MATCH(A2031,fa_num,0))&amp;"",""))</f>
        <v/>
      </c>
      <c r="N2031" s="59" t="str">
        <f>IF(COUNTA(A2031:G2031)=0,"",IF(A2031="","N° facture manquant",IF(ISNA(MATCH(A2031,fa_num,0)),"Facture inconnue",IF(AND(B2031&lt;&gt;"",ISNA(MATCH(B2031,pr_code,0))),"Article inconnu",IF(H2031="","Désignation manquante",IF(OR(NOT(ISNUMBER(D2031)),N(D2031)&lt;=0),"Quantité invalide",IF(J2031="","Prix manquant",IF(OR(NOT(ISNUMBER(J2031)),N(J2031)&lt;0),"Prix invalide",IF(OR(AND(F2031&lt;&gt;"",NOT(ISNUMBER(F2031))),N(F2031)&lt;0,N(F2031)&gt;1),"Remise invalide",IF(K2031="","Taux de TVA manquant",IF(NOT(ISNUMBER(K2031)),"Taux de TVA invalide",IF(COUNTIF(p_rates,K2031)=0,"Taux de TVA hors liste (Paramètres)",IF(N(O2031)&gt;25,"Au-delà de 25 lignes : non imprimée","OK")))))))))))))</f>
        <v/>
      </c>
      <c r="O2031" s="59" t="str">
        <f>IF(A2031="","",COUNTIF($A$6:A2031,A2031))</f>
        <v/>
      </c>
      <c r="P2031" s="62" t="str">
        <f>IF(A2031="","",A2031&amp;"|"&amp;O2031)</f>
        <v/>
      </c>
    </row>
    <row r="2032">
      <c r="A2032" s="60" t="n"/>
      <c r="B2032" s="63" t="n"/>
      <c r="C2032" s="63" t="n"/>
      <c r="D2032" s="67" t="n"/>
      <c r="E2032" s="68" t="n"/>
      <c r="F2032" s="69" t="n"/>
      <c r="G2032" s="70" t="n"/>
      <c r="H2032" s="62" t="str">
        <f>IF(COUNTA(A2032:G2032)=0,"",IF(C2032&lt;&gt;"",C2032,IF(B2032="","",IFERROR(INDEX(pr_des,MATCH(B2032,pr_code,0))&amp;"",""))))</f>
        <v/>
      </c>
      <c r="I2032" s="59" t="str">
        <f>IF(B2032="","",IFERROR(INDEX(pr_unit,MATCH(B2032,pr_code,0))&amp;"",""))</f>
        <v/>
      </c>
      <c r="J2032" s="65" t="str">
        <f>IF(COUNTA(A2032:G2032)=0,"",IF(E2032&lt;&gt;"",E2032,IF(B2032="","",IFERROR(IF(INDEX(pr_price,MATCH(B2032,pr_code,0))="","",INDEX(pr_price,MATCH(B2032,pr_code,0))),""))))</f>
        <v/>
      </c>
      <c r="K2032" s="71" t="str">
        <f>IF(COUNTA(A2032:G2032)=0,"",IF(G2032&lt;&gt;"",G2032,IF(B2032="","",IFERROR(IF(INDEX(pr_rate,MATCH(B2032,pr_code,0))="","",INDEX(pr_rate,MATCH(B2032,pr_code,0))),""))))</f>
        <v/>
      </c>
      <c r="L2032" s="65" t="str">
        <f>IF(COUNTA(A2032:G2032)=0,"",IF(AND(ISNUMBER(D2032),ISNUMBER(J2032)),ROUND(D2032*J2032*(1-N(F2032)),2),0))</f>
        <v/>
      </c>
      <c r="M2032" s="62" t="str">
        <f>IF(A2032="","",IFERROR(INDEX(fa_cname,MATCH(A2032,fa_num,0))&amp;"",""))</f>
        <v/>
      </c>
      <c r="N2032" s="59" t="str">
        <f>IF(COUNTA(A2032:G2032)=0,"",IF(A2032="","N° facture manquant",IF(ISNA(MATCH(A2032,fa_num,0)),"Facture inconnue",IF(AND(B2032&lt;&gt;"",ISNA(MATCH(B2032,pr_code,0))),"Article inconnu",IF(H2032="","Désignation manquante",IF(OR(NOT(ISNUMBER(D2032)),N(D2032)&lt;=0),"Quantité invalide",IF(J2032="","Prix manquant",IF(OR(NOT(ISNUMBER(J2032)),N(J2032)&lt;0),"Prix invalide",IF(OR(AND(F2032&lt;&gt;"",NOT(ISNUMBER(F2032))),N(F2032)&lt;0,N(F2032)&gt;1),"Remise invalide",IF(K2032="","Taux de TVA manquant",IF(NOT(ISNUMBER(K2032)),"Taux de TVA invalide",IF(COUNTIF(p_rates,K2032)=0,"Taux de TVA hors liste (Paramètres)",IF(N(O2032)&gt;25,"Au-delà de 25 lignes : non imprimée","OK")))))))))))))</f>
        <v/>
      </c>
      <c r="O2032" s="59" t="str">
        <f>IF(A2032="","",COUNTIF($A$6:A2032,A2032))</f>
        <v/>
      </c>
      <c r="P2032" s="62" t="str">
        <f>IF(A2032="","",A2032&amp;"|"&amp;O2032)</f>
        <v/>
      </c>
    </row>
    <row r="2033">
      <c r="A2033" s="60" t="n"/>
      <c r="B2033" s="63" t="n"/>
      <c r="C2033" s="63" t="n"/>
      <c r="D2033" s="67" t="n"/>
      <c r="E2033" s="68" t="n"/>
      <c r="F2033" s="69" t="n"/>
      <c r="G2033" s="70" t="n"/>
      <c r="H2033" s="62" t="str">
        <f>IF(COUNTA(A2033:G2033)=0,"",IF(C2033&lt;&gt;"",C2033,IF(B2033="","",IFERROR(INDEX(pr_des,MATCH(B2033,pr_code,0))&amp;"",""))))</f>
        <v/>
      </c>
      <c r="I2033" s="59" t="str">
        <f>IF(B2033="","",IFERROR(INDEX(pr_unit,MATCH(B2033,pr_code,0))&amp;"",""))</f>
        <v/>
      </c>
      <c r="J2033" s="65" t="str">
        <f>IF(COUNTA(A2033:G2033)=0,"",IF(E2033&lt;&gt;"",E2033,IF(B2033="","",IFERROR(IF(INDEX(pr_price,MATCH(B2033,pr_code,0))="","",INDEX(pr_price,MATCH(B2033,pr_code,0))),""))))</f>
        <v/>
      </c>
      <c r="K2033" s="71" t="str">
        <f>IF(COUNTA(A2033:G2033)=0,"",IF(G2033&lt;&gt;"",G2033,IF(B2033="","",IFERROR(IF(INDEX(pr_rate,MATCH(B2033,pr_code,0))="","",INDEX(pr_rate,MATCH(B2033,pr_code,0))),""))))</f>
        <v/>
      </c>
      <c r="L2033" s="65" t="str">
        <f>IF(COUNTA(A2033:G2033)=0,"",IF(AND(ISNUMBER(D2033),ISNUMBER(J2033)),ROUND(D2033*J2033*(1-N(F2033)),2),0))</f>
        <v/>
      </c>
      <c r="M2033" s="62" t="str">
        <f>IF(A2033="","",IFERROR(INDEX(fa_cname,MATCH(A2033,fa_num,0))&amp;"",""))</f>
        <v/>
      </c>
      <c r="N2033" s="59" t="str">
        <f>IF(COUNTA(A2033:G2033)=0,"",IF(A2033="","N° facture manquant",IF(ISNA(MATCH(A2033,fa_num,0)),"Facture inconnue",IF(AND(B2033&lt;&gt;"",ISNA(MATCH(B2033,pr_code,0))),"Article inconnu",IF(H2033="","Désignation manquante",IF(OR(NOT(ISNUMBER(D2033)),N(D2033)&lt;=0),"Quantité invalide",IF(J2033="","Prix manquant",IF(OR(NOT(ISNUMBER(J2033)),N(J2033)&lt;0),"Prix invalide",IF(OR(AND(F2033&lt;&gt;"",NOT(ISNUMBER(F2033))),N(F2033)&lt;0,N(F2033)&gt;1),"Remise invalide",IF(K2033="","Taux de TVA manquant",IF(NOT(ISNUMBER(K2033)),"Taux de TVA invalide",IF(COUNTIF(p_rates,K2033)=0,"Taux de TVA hors liste (Paramètres)",IF(N(O2033)&gt;25,"Au-delà de 25 lignes : non imprimée","OK")))))))))))))</f>
        <v/>
      </c>
      <c r="O2033" s="59" t="str">
        <f>IF(A2033="","",COUNTIF($A$6:A2033,A2033))</f>
        <v/>
      </c>
      <c r="P2033" s="62" t="str">
        <f>IF(A2033="","",A2033&amp;"|"&amp;O2033)</f>
        <v/>
      </c>
    </row>
    <row r="2034">
      <c r="A2034" s="60" t="n"/>
      <c r="B2034" s="63" t="n"/>
      <c r="C2034" s="63" t="n"/>
      <c r="D2034" s="67" t="n"/>
      <c r="E2034" s="68" t="n"/>
      <c r="F2034" s="69" t="n"/>
      <c r="G2034" s="70" t="n"/>
      <c r="H2034" s="62" t="str">
        <f>IF(COUNTA(A2034:G2034)=0,"",IF(C2034&lt;&gt;"",C2034,IF(B2034="","",IFERROR(INDEX(pr_des,MATCH(B2034,pr_code,0))&amp;"",""))))</f>
        <v/>
      </c>
      <c r="I2034" s="59" t="str">
        <f>IF(B2034="","",IFERROR(INDEX(pr_unit,MATCH(B2034,pr_code,0))&amp;"",""))</f>
        <v/>
      </c>
      <c r="J2034" s="65" t="str">
        <f>IF(COUNTA(A2034:G2034)=0,"",IF(E2034&lt;&gt;"",E2034,IF(B2034="","",IFERROR(IF(INDEX(pr_price,MATCH(B2034,pr_code,0))="","",INDEX(pr_price,MATCH(B2034,pr_code,0))),""))))</f>
        <v/>
      </c>
      <c r="K2034" s="71" t="str">
        <f>IF(COUNTA(A2034:G2034)=0,"",IF(G2034&lt;&gt;"",G2034,IF(B2034="","",IFERROR(IF(INDEX(pr_rate,MATCH(B2034,pr_code,0))="","",INDEX(pr_rate,MATCH(B2034,pr_code,0))),""))))</f>
        <v/>
      </c>
      <c r="L2034" s="65" t="str">
        <f>IF(COUNTA(A2034:G2034)=0,"",IF(AND(ISNUMBER(D2034),ISNUMBER(J2034)),ROUND(D2034*J2034*(1-N(F2034)),2),0))</f>
        <v/>
      </c>
      <c r="M2034" s="62" t="str">
        <f>IF(A2034="","",IFERROR(INDEX(fa_cname,MATCH(A2034,fa_num,0))&amp;"",""))</f>
        <v/>
      </c>
      <c r="N2034" s="59" t="str">
        <f>IF(COUNTA(A2034:G2034)=0,"",IF(A2034="","N° facture manquant",IF(ISNA(MATCH(A2034,fa_num,0)),"Facture inconnue",IF(AND(B2034&lt;&gt;"",ISNA(MATCH(B2034,pr_code,0))),"Article inconnu",IF(H2034="","Désignation manquante",IF(OR(NOT(ISNUMBER(D2034)),N(D2034)&lt;=0),"Quantité invalide",IF(J2034="","Prix manquant",IF(OR(NOT(ISNUMBER(J2034)),N(J2034)&lt;0),"Prix invalide",IF(OR(AND(F2034&lt;&gt;"",NOT(ISNUMBER(F2034))),N(F2034)&lt;0,N(F2034)&gt;1),"Remise invalide",IF(K2034="","Taux de TVA manquant",IF(NOT(ISNUMBER(K2034)),"Taux de TVA invalide",IF(COUNTIF(p_rates,K2034)=0,"Taux de TVA hors liste (Paramètres)",IF(N(O2034)&gt;25,"Au-delà de 25 lignes : non imprimée","OK")))))))))))))</f>
        <v/>
      </c>
      <c r="O2034" s="59" t="str">
        <f>IF(A2034="","",COUNTIF($A$6:A2034,A2034))</f>
        <v/>
      </c>
      <c r="P2034" s="62" t="str">
        <f>IF(A2034="","",A2034&amp;"|"&amp;O2034)</f>
        <v/>
      </c>
    </row>
    <row r="2035">
      <c r="A2035" s="60" t="n"/>
      <c r="B2035" s="63" t="n"/>
      <c r="C2035" s="63" t="n"/>
      <c r="D2035" s="67" t="n"/>
      <c r="E2035" s="68" t="n"/>
      <c r="F2035" s="69" t="n"/>
      <c r="G2035" s="70" t="n"/>
      <c r="H2035" s="62" t="str">
        <f>IF(COUNTA(A2035:G2035)=0,"",IF(C2035&lt;&gt;"",C2035,IF(B2035="","",IFERROR(INDEX(pr_des,MATCH(B2035,pr_code,0))&amp;"",""))))</f>
        <v/>
      </c>
      <c r="I2035" s="59" t="str">
        <f>IF(B2035="","",IFERROR(INDEX(pr_unit,MATCH(B2035,pr_code,0))&amp;"",""))</f>
        <v/>
      </c>
      <c r="J2035" s="65" t="str">
        <f>IF(COUNTA(A2035:G2035)=0,"",IF(E2035&lt;&gt;"",E2035,IF(B2035="","",IFERROR(IF(INDEX(pr_price,MATCH(B2035,pr_code,0))="","",INDEX(pr_price,MATCH(B2035,pr_code,0))),""))))</f>
        <v/>
      </c>
      <c r="K2035" s="71" t="str">
        <f>IF(COUNTA(A2035:G2035)=0,"",IF(G2035&lt;&gt;"",G2035,IF(B2035="","",IFERROR(IF(INDEX(pr_rate,MATCH(B2035,pr_code,0))="","",INDEX(pr_rate,MATCH(B2035,pr_code,0))),""))))</f>
        <v/>
      </c>
      <c r="L2035" s="65" t="str">
        <f>IF(COUNTA(A2035:G2035)=0,"",IF(AND(ISNUMBER(D2035),ISNUMBER(J2035)),ROUND(D2035*J2035*(1-N(F2035)),2),0))</f>
        <v/>
      </c>
      <c r="M2035" s="62" t="str">
        <f>IF(A2035="","",IFERROR(INDEX(fa_cname,MATCH(A2035,fa_num,0))&amp;"",""))</f>
        <v/>
      </c>
      <c r="N2035" s="59" t="str">
        <f>IF(COUNTA(A2035:G2035)=0,"",IF(A2035="","N° facture manquant",IF(ISNA(MATCH(A2035,fa_num,0)),"Facture inconnue",IF(AND(B2035&lt;&gt;"",ISNA(MATCH(B2035,pr_code,0))),"Article inconnu",IF(H2035="","Désignation manquante",IF(OR(NOT(ISNUMBER(D2035)),N(D2035)&lt;=0),"Quantité invalide",IF(J2035="","Prix manquant",IF(OR(NOT(ISNUMBER(J2035)),N(J2035)&lt;0),"Prix invalide",IF(OR(AND(F2035&lt;&gt;"",NOT(ISNUMBER(F2035))),N(F2035)&lt;0,N(F2035)&gt;1),"Remise invalide",IF(K2035="","Taux de TVA manquant",IF(NOT(ISNUMBER(K2035)),"Taux de TVA invalide",IF(COUNTIF(p_rates,K2035)=0,"Taux de TVA hors liste (Paramètres)",IF(N(O2035)&gt;25,"Au-delà de 25 lignes : non imprimée","OK")))))))))))))</f>
        <v/>
      </c>
      <c r="O2035" s="59" t="str">
        <f>IF(A2035="","",COUNTIF($A$6:A2035,A2035))</f>
        <v/>
      </c>
      <c r="P2035" s="62" t="str">
        <f>IF(A2035="","",A2035&amp;"|"&amp;O2035)</f>
        <v/>
      </c>
    </row>
    <row r="2036">
      <c r="A2036" s="60" t="n"/>
      <c r="B2036" s="63" t="n"/>
      <c r="C2036" s="63" t="n"/>
      <c r="D2036" s="67" t="n"/>
      <c r="E2036" s="68" t="n"/>
      <c r="F2036" s="69" t="n"/>
      <c r="G2036" s="70" t="n"/>
      <c r="H2036" s="62" t="str">
        <f>IF(COUNTA(A2036:G2036)=0,"",IF(C2036&lt;&gt;"",C2036,IF(B2036="","",IFERROR(INDEX(pr_des,MATCH(B2036,pr_code,0))&amp;"",""))))</f>
        <v/>
      </c>
      <c r="I2036" s="59" t="str">
        <f>IF(B2036="","",IFERROR(INDEX(pr_unit,MATCH(B2036,pr_code,0))&amp;"",""))</f>
        <v/>
      </c>
      <c r="J2036" s="65" t="str">
        <f>IF(COUNTA(A2036:G2036)=0,"",IF(E2036&lt;&gt;"",E2036,IF(B2036="","",IFERROR(IF(INDEX(pr_price,MATCH(B2036,pr_code,0))="","",INDEX(pr_price,MATCH(B2036,pr_code,0))),""))))</f>
        <v/>
      </c>
      <c r="K2036" s="71" t="str">
        <f>IF(COUNTA(A2036:G2036)=0,"",IF(G2036&lt;&gt;"",G2036,IF(B2036="","",IFERROR(IF(INDEX(pr_rate,MATCH(B2036,pr_code,0))="","",INDEX(pr_rate,MATCH(B2036,pr_code,0))),""))))</f>
        <v/>
      </c>
      <c r="L2036" s="65" t="str">
        <f>IF(COUNTA(A2036:G2036)=0,"",IF(AND(ISNUMBER(D2036),ISNUMBER(J2036)),ROUND(D2036*J2036*(1-N(F2036)),2),0))</f>
        <v/>
      </c>
      <c r="M2036" s="62" t="str">
        <f>IF(A2036="","",IFERROR(INDEX(fa_cname,MATCH(A2036,fa_num,0))&amp;"",""))</f>
        <v/>
      </c>
      <c r="N2036" s="59" t="str">
        <f>IF(COUNTA(A2036:G2036)=0,"",IF(A2036="","N° facture manquant",IF(ISNA(MATCH(A2036,fa_num,0)),"Facture inconnue",IF(AND(B2036&lt;&gt;"",ISNA(MATCH(B2036,pr_code,0))),"Article inconnu",IF(H2036="","Désignation manquante",IF(OR(NOT(ISNUMBER(D2036)),N(D2036)&lt;=0),"Quantité invalide",IF(J2036="","Prix manquant",IF(OR(NOT(ISNUMBER(J2036)),N(J2036)&lt;0),"Prix invalide",IF(OR(AND(F2036&lt;&gt;"",NOT(ISNUMBER(F2036))),N(F2036)&lt;0,N(F2036)&gt;1),"Remise invalide",IF(K2036="","Taux de TVA manquant",IF(NOT(ISNUMBER(K2036)),"Taux de TVA invalide",IF(COUNTIF(p_rates,K2036)=0,"Taux de TVA hors liste (Paramètres)",IF(N(O2036)&gt;25,"Au-delà de 25 lignes : non imprimée","OK")))))))))))))</f>
        <v/>
      </c>
      <c r="O2036" s="59" t="str">
        <f>IF(A2036="","",COUNTIF($A$6:A2036,A2036))</f>
        <v/>
      </c>
      <c r="P2036" s="62" t="str">
        <f>IF(A2036="","",A2036&amp;"|"&amp;O2036)</f>
        <v/>
      </c>
    </row>
    <row r="2037">
      <c r="A2037" s="60" t="n"/>
      <c r="B2037" s="63" t="n"/>
      <c r="C2037" s="63" t="n"/>
      <c r="D2037" s="67" t="n"/>
      <c r="E2037" s="68" t="n"/>
      <c r="F2037" s="69" t="n"/>
      <c r="G2037" s="70" t="n"/>
      <c r="H2037" s="62" t="str">
        <f>IF(COUNTA(A2037:G2037)=0,"",IF(C2037&lt;&gt;"",C2037,IF(B2037="","",IFERROR(INDEX(pr_des,MATCH(B2037,pr_code,0))&amp;"",""))))</f>
        <v/>
      </c>
      <c r="I2037" s="59" t="str">
        <f>IF(B2037="","",IFERROR(INDEX(pr_unit,MATCH(B2037,pr_code,0))&amp;"",""))</f>
        <v/>
      </c>
      <c r="J2037" s="65" t="str">
        <f>IF(COUNTA(A2037:G2037)=0,"",IF(E2037&lt;&gt;"",E2037,IF(B2037="","",IFERROR(IF(INDEX(pr_price,MATCH(B2037,pr_code,0))="","",INDEX(pr_price,MATCH(B2037,pr_code,0))),""))))</f>
        <v/>
      </c>
      <c r="K2037" s="71" t="str">
        <f>IF(COUNTA(A2037:G2037)=0,"",IF(G2037&lt;&gt;"",G2037,IF(B2037="","",IFERROR(IF(INDEX(pr_rate,MATCH(B2037,pr_code,0))="","",INDEX(pr_rate,MATCH(B2037,pr_code,0))),""))))</f>
        <v/>
      </c>
      <c r="L2037" s="65" t="str">
        <f>IF(COUNTA(A2037:G2037)=0,"",IF(AND(ISNUMBER(D2037),ISNUMBER(J2037)),ROUND(D2037*J2037*(1-N(F2037)),2),0))</f>
        <v/>
      </c>
      <c r="M2037" s="62" t="str">
        <f>IF(A2037="","",IFERROR(INDEX(fa_cname,MATCH(A2037,fa_num,0))&amp;"",""))</f>
        <v/>
      </c>
      <c r="N2037" s="59" t="str">
        <f>IF(COUNTA(A2037:G2037)=0,"",IF(A2037="","N° facture manquant",IF(ISNA(MATCH(A2037,fa_num,0)),"Facture inconnue",IF(AND(B2037&lt;&gt;"",ISNA(MATCH(B2037,pr_code,0))),"Article inconnu",IF(H2037="","Désignation manquante",IF(OR(NOT(ISNUMBER(D2037)),N(D2037)&lt;=0),"Quantité invalide",IF(J2037="","Prix manquant",IF(OR(NOT(ISNUMBER(J2037)),N(J2037)&lt;0),"Prix invalide",IF(OR(AND(F2037&lt;&gt;"",NOT(ISNUMBER(F2037))),N(F2037)&lt;0,N(F2037)&gt;1),"Remise invalide",IF(K2037="","Taux de TVA manquant",IF(NOT(ISNUMBER(K2037)),"Taux de TVA invalide",IF(COUNTIF(p_rates,K2037)=0,"Taux de TVA hors liste (Paramètres)",IF(N(O2037)&gt;25,"Au-delà de 25 lignes : non imprimée","OK")))))))))))))</f>
        <v/>
      </c>
      <c r="O2037" s="59" t="str">
        <f>IF(A2037="","",COUNTIF($A$6:A2037,A2037))</f>
        <v/>
      </c>
      <c r="P2037" s="62" t="str">
        <f>IF(A2037="","",A2037&amp;"|"&amp;O2037)</f>
        <v/>
      </c>
    </row>
    <row r="2038">
      <c r="A2038" s="60" t="n"/>
      <c r="B2038" s="63" t="n"/>
      <c r="C2038" s="63" t="n"/>
      <c r="D2038" s="67" t="n"/>
      <c r="E2038" s="68" t="n"/>
      <c r="F2038" s="69" t="n"/>
      <c r="G2038" s="70" t="n"/>
      <c r="H2038" s="62" t="str">
        <f>IF(COUNTA(A2038:G2038)=0,"",IF(C2038&lt;&gt;"",C2038,IF(B2038="","",IFERROR(INDEX(pr_des,MATCH(B2038,pr_code,0))&amp;"",""))))</f>
        <v/>
      </c>
      <c r="I2038" s="59" t="str">
        <f>IF(B2038="","",IFERROR(INDEX(pr_unit,MATCH(B2038,pr_code,0))&amp;"",""))</f>
        <v/>
      </c>
      <c r="J2038" s="65" t="str">
        <f>IF(COUNTA(A2038:G2038)=0,"",IF(E2038&lt;&gt;"",E2038,IF(B2038="","",IFERROR(IF(INDEX(pr_price,MATCH(B2038,pr_code,0))="","",INDEX(pr_price,MATCH(B2038,pr_code,0))),""))))</f>
        <v/>
      </c>
      <c r="K2038" s="71" t="str">
        <f>IF(COUNTA(A2038:G2038)=0,"",IF(G2038&lt;&gt;"",G2038,IF(B2038="","",IFERROR(IF(INDEX(pr_rate,MATCH(B2038,pr_code,0))="","",INDEX(pr_rate,MATCH(B2038,pr_code,0))),""))))</f>
        <v/>
      </c>
      <c r="L2038" s="65" t="str">
        <f>IF(COUNTA(A2038:G2038)=0,"",IF(AND(ISNUMBER(D2038),ISNUMBER(J2038)),ROUND(D2038*J2038*(1-N(F2038)),2),0))</f>
        <v/>
      </c>
      <c r="M2038" s="62" t="str">
        <f>IF(A2038="","",IFERROR(INDEX(fa_cname,MATCH(A2038,fa_num,0))&amp;"",""))</f>
        <v/>
      </c>
      <c r="N2038" s="59" t="str">
        <f>IF(COUNTA(A2038:G2038)=0,"",IF(A2038="","N° facture manquant",IF(ISNA(MATCH(A2038,fa_num,0)),"Facture inconnue",IF(AND(B2038&lt;&gt;"",ISNA(MATCH(B2038,pr_code,0))),"Article inconnu",IF(H2038="","Désignation manquante",IF(OR(NOT(ISNUMBER(D2038)),N(D2038)&lt;=0),"Quantité invalide",IF(J2038="","Prix manquant",IF(OR(NOT(ISNUMBER(J2038)),N(J2038)&lt;0),"Prix invalide",IF(OR(AND(F2038&lt;&gt;"",NOT(ISNUMBER(F2038))),N(F2038)&lt;0,N(F2038)&gt;1),"Remise invalide",IF(K2038="","Taux de TVA manquant",IF(NOT(ISNUMBER(K2038)),"Taux de TVA invalide",IF(COUNTIF(p_rates,K2038)=0,"Taux de TVA hors liste (Paramètres)",IF(N(O2038)&gt;25,"Au-delà de 25 lignes : non imprimée","OK")))))))))))))</f>
        <v/>
      </c>
      <c r="O2038" s="59" t="str">
        <f>IF(A2038="","",COUNTIF($A$6:A2038,A2038))</f>
        <v/>
      </c>
      <c r="P2038" s="62" t="str">
        <f>IF(A2038="","",A2038&amp;"|"&amp;O2038)</f>
        <v/>
      </c>
    </row>
    <row r="2039">
      <c r="A2039" s="60" t="n"/>
      <c r="B2039" s="63" t="n"/>
      <c r="C2039" s="63" t="n"/>
      <c r="D2039" s="67" t="n"/>
      <c r="E2039" s="68" t="n"/>
      <c r="F2039" s="69" t="n"/>
      <c r="G2039" s="70" t="n"/>
      <c r="H2039" s="62" t="str">
        <f>IF(COUNTA(A2039:G2039)=0,"",IF(C2039&lt;&gt;"",C2039,IF(B2039="","",IFERROR(INDEX(pr_des,MATCH(B2039,pr_code,0))&amp;"",""))))</f>
        <v/>
      </c>
      <c r="I2039" s="59" t="str">
        <f>IF(B2039="","",IFERROR(INDEX(pr_unit,MATCH(B2039,pr_code,0))&amp;"",""))</f>
        <v/>
      </c>
      <c r="J2039" s="65" t="str">
        <f>IF(COUNTA(A2039:G2039)=0,"",IF(E2039&lt;&gt;"",E2039,IF(B2039="","",IFERROR(IF(INDEX(pr_price,MATCH(B2039,pr_code,0))="","",INDEX(pr_price,MATCH(B2039,pr_code,0))),""))))</f>
        <v/>
      </c>
      <c r="K2039" s="71" t="str">
        <f>IF(COUNTA(A2039:G2039)=0,"",IF(G2039&lt;&gt;"",G2039,IF(B2039="","",IFERROR(IF(INDEX(pr_rate,MATCH(B2039,pr_code,0))="","",INDEX(pr_rate,MATCH(B2039,pr_code,0))),""))))</f>
        <v/>
      </c>
      <c r="L2039" s="65" t="str">
        <f>IF(COUNTA(A2039:G2039)=0,"",IF(AND(ISNUMBER(D2039),ISNUMBER(J2039)),ROUND(D2039*J2039*(1-N(F2039)),2),0))</f>
        <v/>
      </c>
      <c r="M2039" s="62" t="str">
        <f>IF(A2039="","",IFERROR(INDEX(fa_cname,MATCH(A2039,fa_num,0))&amp;"",""))</f>
        <v/>
      </c>
      <c r="N2039" s="59" t="str">
        <f>IF(COUNTA(A2039:G2039)=0,"",IF(A2039="","N° facture manquant",IF(ISNA(MATCH(A2039,fa_num,0)),"Facture inconnue",IF(AND(B2039&lt;&gt;"",ISNA(MATCH(B2039,pr_code,0))),"Article inconnu",IF(H2039="","Désignation manquante",IF(OR(NOT(ISNUMBER(D2039)),N(D2039)&lt;=0),"Quantité invalide",IF(J2039="","Prix manquant",IF(OR(NOT(ISNUMBER(J2039)),N(J2039)&lt;0),"Prix invalide",IF(OR(AND(F2039&lt;&gt;"",NOT(ISNUMBER(F2039))),N(F2039)&lt;0,N(F2039)&gt;1),"Remise invalide",IF(K2039="","Taux de TVA manquant",IF(NOT(ISNUMBER(K2039)),"Taux de TVA invalide",IF(COUNTIF(p_rates,K2039)=0,"Taux de TVA hors liste (Paramètres)",IF(N(O2039)&gt;25,"Au-delà de 25 lignes : non imprimée","OK")))))))))))))</f>
        <v/>
      </c>
      <c r="O2039" s="59" t="str">
        <f>IF(A2039="","",COUNTIF($A$6:A2039,A2039))</f>
        <v/>
      </c>
      <c r="P2039" s="62" t="str">
        <f>IF(A2039="","",A2039&amp;"|"&amp;O2039)</f>
        <v/>
      </c>
    </row>
    <row r="2040">
      <c r="A2040" s="60" t="n"/>
      <c r="B2040" s="63" t="n"/>
      <c r="C2040" s="63" t="n"/>
      <c r="D2040" s="67" t="n"/>
      <c r="E2040" s="68" t="n"/>
      <c r="F2040" s="69" t="n"/>
      <c r="G2040" s="70" t="n"/>
      <c r="H2040" s="62" t="str">
        <f>IF(COUNTA(A2040:G2040)=0,"",IF(C2040&lt;&gt;"",C2040,IF(B2040="","",IFERROR(INDEX(pr_des,MATCH(B2040,pr_code,0))&amp;"",""))))</f>
        <v/>
      </c>
      <c r="I2040" s="59" t="str">
        <f>IF(B2040="","",IFERROR(INDEX(pr_unit,MATCH(B2040,pr_code,0))&amp;"",""))</f>
        <v/>
      </c>
      <c r="J2040" s="65" t="str">
        <f>IF(COUNTA(A2040:G2040)=0,"",IF(E2040&lt;&gt;"",E2040,IF(B2040="","",IFERROR(IF(INDEX(pr_price,MATCH(B2040,pr_code,0))="","",INDEX(pr_price,MATCH(B2040,pr_code,0))),""))))</f>
        <v/>
      </c>
      <c r="K2040" s="71" t="str">
        <f>IF(COUNTA(A2040:G2040)=0,"",IF(G2040&lt;&gt;"",G2040,IF(B2040="","",IFERROR(IF(INDEX(pr_rate,MATCH(B2040,pr_code,0))="","",INDEX(pr_rate,MATCH(B2040,pr_code,0))),""))))</f>
        <v/>
      </c>
      <c r="L2040" s="65" t="str">
        <f>IF(COUNTA(A2040:G2040)=0,"",IF(AND(ISNUMBER(D2040),ISNUMBER(J2040)),ROUND(D2040*J2040*(1-N(F2040)),2),0))</f>
        <v/>
      </c>
      <c r="M2040" s="62" t="str">
        <f>IF(A2040="","",IFERROR(INDEX(fa_cname,MATCH(A2040,fa_num,0))&amp;"",""))</f>
        <v/>
      </c>
      <c r="N2040" s="59" t="str">
        <f>IF(COUNTA(A2040:G2040)=0,"",IF(A2040="","N° facture manquant",IF(ISNA(MATCH(A2040,fa_num,0)),"Facture inconnue",IF(AND(B2040&lt;&gt;"",ISNA(MATCH(B2040,pr_code,0))),"Article inconnu",IF(H2040="","Désignation manquante",IF(OR(NOT(ISNUMBER(D2040)),N(D2040)&lt;=0),"Quantité invalide",IF(J2040="","Prix manquant",IF(OR(NOT(ISNUMBER(J2040)),N(J2040)&lt;0),"Prix invalide",IF(OR(AND(F2040&lt;&gt;"",NOT(ISNUMBER(F2040))),N(F2040)&lt;0,N(F2040)&gt;1),"Remise invalide",IF(K2040="","Taux de TVA manquant",IF(NOT(ISNUMBER(K2040)),"Taux de TVA invalide",IF(COUNTIF(p_rates,K2040)=0,"Taux de TVA hors liste (Paramètres)",IF(N(O2040)&gt;25,"Au-delà de 25 lignes : non imprimée","OK")))))))))))))</f>
        <v/>
      </c>
      <c r="O2040" s="59" t="str">
        <f>IF(A2040="","",COUNTIF($A$6:A2040,A2040))</f>
        <v/>
      </c>
      <c r="P2040" s="62" t="str">
        <f>IF(A2040="","",A2040&amp;"|"&amp;O2040)</f>
        <v/>
      </c>
    </row>
    <row r="2041">
      <c r="A2041" s="60" t="n"/>
      <c r="B2041" s="63" t="n"/>
      <c r="C2041" s="63" t="n"/>
      <c r="D2041" s="67" t="n"/>
      <c r="E2041" s="68" t="n"/>
      <c r="F2041" s="69" t="n"/>
      <c r="G2041" s="70" t="n"/>
      <c r="H2041" s="62" t="str">
        <f>IF(COUNTA(A2041:G2041)=0,"",IF(C2041&lt;&gt;"",C2041,IF(B2041="","",IFERROR(INDEX(pr_des,MATCH(B2041,pr_code,0))&amp;"",""))))</f>
        <v/>
      </c>
      <c r="I2041" s="59" t="str">
        <f>IF(B2041="","",IFERROR(INDEX(pr_unit,MATCH(B2041,pr_code,0))&amp;"",""))</f>
        <v/>
      </c>
      <c r="J2041" s="65" t="str">
        <f>IF(COUNTA(A2041:G2041)=0,"",IF(E2041&lt;&gt;"",E2041,IF(B2041="","",IFERROR(IF(INDEX(pr_price,MATCH(B2041,pr_code,0))="","",INDEX(pr_price,MATCH(B2041,pr_code,0))),""))))</f>
        <v/>
      </c>
      <c r="K2041" s="71" t="str">
        <f>IF(COUNTA(A2041:G2041)=0,"",IF(G2041&lt;&gt;"",G2041,IF(B2041="","",IFERROR(IF(INDEX(pr_rate,MATCH(B2041,pr_code,0))="","",INDEX(pr_rate,MATCH(B2041,pr_code,0))),""))))</f>
        <v/>
      </c>
      <c r="L2041" s="65" t="str">
        <f>IF(COUNTA(A2041:G2041)=0,"",IF(AND(ISNUMBER(D2041),ISNUMBER(J2041)),ROUND(D2041*J2041*(1-N(F2041)),2),0))</f>
        <v/>
      </c>
      <c r="M2041" s="62" t="str">
        <f>IF(A2041="","",IFERROR(INDEX(fa_cname,MATCH(A2041,fa_num,0))&amp;"",""))</f>
        <v/>
      </c>
      <c r="N2041" s="59" t="str">
        <f>IF(COUNTA(A2041:G2041)=0,"",IF(A2041="","N° facture manquant",IF(ISNA(MATCH(A2041,fa_num,0)),"Facture inconnue",IF(AND(B2041&lt;&gt;"",ISNA(MATCH(B2041,pr_code,0))),"Article inconnu",IF(H2041="","Désignation manquante",IF(OR(NOT(ISNUMBER(D2041)),N(D2041)&lt;=0),"Quantité invalide",IF(J2041="","Prix manquant",IF(OR(NOT(ISNUMBER(J2041)),N(J2041)&lt;0),"Prix invalide",IF(OR(AND(F2041&lt;&gt;"",NOT(ISNUMBER(F2041))),N(F2041)&lt;0,N(F2041)&gt;1),"Remise invalide",IF(K2041="","Taux de TVA manquant",IF(NOT(ISNUMBER(K2041)),"Taux de TVA invalide",IF(COUNTIF(p_rates,K2041)=0,"Taux de TVA hors liste (Paramètres)",IF(N(O2041)&gt;25,"Au-delà de 25 lignes : non imprimée","OK")))))))))))))</f>
        <v/>
      </c>
      <c r="O2041" s="59" t="str">
        <f>IF(A2041="","",COUNTIF($A$6:A2041,A2041))</f>
        <v/>
      </c>
      <c r="P2041" s="62" t="str">
        <f>IF(A2041="","",A2041&amp;"|"&amp;O2041)</f>
        <v/>
      </c>
    </row>
    <row r="2042">
      <c r="A2042" s="60" t="n"/>
      <c r="B2042" s="63" t="n"/>
      <c r="C2042" s="63" t="n"/>
      <c r="D2042" s="67" t="n"/>
      <c r="E2042" s="68" t="n"/>
      <c r="F2042" s="69" t="n"/>
      <c r="G2042" s="70" t="n"/>
      <c r="H2042" s="62" t="str">
        <f>IF(COUNTA(A2042:G2042)=0,"",IF(C2042&lt;&gt;"",C2042,IF(B2042="","",IFERROR(INDEX(pr_des,MATCH(B2042,pr_code,0))&amp;"",""))))</f>
        <v/>
      </c>
      <c r="I2042" s="59" t="str">
        <f>IF(B2042="","",IFERROR(INDEX(pr_unit,MATCH(B2042,pr_code,0))&amp;"",""))</f>
        <v/>
      </c>
      <c r="J2042" s="65" t="str">
        <f>IF(COUNTA(A2042:G2042)=0,"",IF(E2042&lt;&gt;"",E2042,IF(B2042="","",IFERROR(IF(INDEX(pr_price,MATCH(B2042,pr_code,0))="","",INDEX(pr_price,MATCH(B2042,pr_code,0))),""))))</f>
        <v/>
      </c>
      <c r="K2042" s="71" t="str">
        <f>IF(COUNTA(A2042:G2042)=0,"",IF(G2042&lt;&gt;"",G2042,IF(B2042="","",IFERROR(IF(INDEX(pr_rate,MATCH(B2042,pr_code,0))="","",INDEX(pr_rate,MATCH(B2042,pr_code,0))),""))))</f>
        <v/>
      </c>
      <c r="L2042" s="65" t="str">
        <f>IF(COUNTA(A2042:G2042)=0,"",IF(AND(ISNUMBER(D2042),ISNUMBER(J2042)),ROUND(D2042*J2042*(1-N(F2042)),2),0))</f>
        <v/>
      </c>
      <c r="M2042" s="62" t="str">
        <f>IF(A2042="","",IFERROR(INDEX(fa_cname,MATCH(A2042,fa_num,0))&amp;"",""))</f>
        <v/>
      </c>
      <c r="N2042" s="59" t="str">
        <f>IF(COUNTA(A2042:G2042)=0,"",IF(A2042="","N° facture manquant",IF(ISNA(MATCH(A2042,fa_num,0)),"Facture inconnue",IF(AND(B2042&lt;&gt;"",ISNA(MATCH(B2042,pr_code,0))),"Article inconnu",IF(H2042="","Désignation manquante",IF(OR(NOT(ISNUMBER(D2042)),N(D2042)&lt;=0),"Quantité invalide",IF(J2042="","Prix manquant",IF(OR(NOT(ISNUMBER(J2042)),N(J2042)&lt;0),"Prix invalide",IF(OR(AND(F2042&lt;&gt;"",NOT(ISNUMBER(F2042))),N(F2042)&lt;0,N(F2042)&gt;1),"Remise invalide",IF(K2042="","Taux de TVA manquant",IF(NOT(ISNUMBER(K2042)),"Taux de TVA invalide",IF(COUNTIF(p_rates,K2042)=0,"Taux de TVA hors liste (Paramètres)",IF(N(O2042)&gt;25,"Au-delà de 25 lignes : non imprimée","OK")))))))))))))</f>
        <v/>
      </c>
      <c r="O2042" s="59" t="str">
        <f>IF(A2042="","",COUNTIF($A$6:A2042,A2042))</f>
        <v/>
      </c>
      <c r="P2042" s="62" t="str">
        <f>IF(A2042="","",A2042&amp;"|"&amp;O2042)</f>
        <v/>
      </c>
    </row>
    <row r="2043">
      <c r="A2043" s="60" t="n"/>
      <c r="B2043" s="63" t="n"/>
      <c r="C2043" s="63" t="n"/>
      <c r="D2043" s="67" t="n"/>
      <c r="E2043" s="68" t="n"/>
      <c r="F2043" s="69" t="n"/>
      <c r="G2043" s="70" t="n"/>
      <c r="H2043" s="62" t="str">
        <f>IF(COUNTA(A2043:G2043)=0,"",IF(C2043&lt;&gt;"",C2043,IF(B2043="","",IFERROR(INDEX(pr_des,MATCH(B2043,pr_code,0))&amp;"",""))))</f>
        <v/>
      </c>
      <c r="I2043" s="59" t="str">
        <f>IF(B2043="","",IFERROR(INDEX(pr_unit,MATCH(B2043,pr_code,0))&amp;"",""))</f>
        <v/>
      </c>
      <c r="J2043" s="65" t="str">
        <f>IF(COUNTA(A2043:G2043)=0,"",IF(E2043&lt;&gt;"",E2043,IF(B2043="","",IFERROR(IF(INDEX(pr_price,MATCH(B2043,pr_code,0))="","",INDEX(pr_price,MATCH(B2043,pr_code,0))),""))))</f>
        <v/>
      </c>
      <c r="K2043" s="71" t="str">
        <f>IF(COUNTA(A2043:G2043)=0,"",IF(G2043&lt;&gt;"",G2043,IF(B2043="","",IFERROR(IF(INDEX(pr_rate,MATCH(B2043,pr_code,0))="","",INDEX(pr_rate,MATCH(B2043,pr_code,0))),""))))</f>
        <v/>
      </c>
      <c r="L2043" s="65" t="str">
        <f>IF(COUNTA(A2043:G2043)=0,"",IF(AND(ISNUMBER(D2043),ISNUMBER(J2043)),ROUND(D2043*J2043*(1-N(F2043)),2),0))</f>
        <v/>
      </c>
      <c r="M2043" s="62" t="str">
        <f>IF(A2043="","",IFERROR(INDEX(fa_cname,MATCH(A2043,fa_num,0))&amp;"",""))</f>
        <v/>
      </c>
      <c r="N2043" s="59" t="str">
        <f>IF(COUNTA(A2043:G2043)=0,"",IF(A2043="","N° facture manquant",IF(ISNA(MATCH(A2043,fa_num,0)),"Facture inconnue",IF(AND(B2043&lt;&gt;"",ISNA(MATCH(B2043,pr_code,0))),"Article inconnu",IF(H2043="","Désignation manquante",IF(OR(NOT(ISNUMBER(D2043)),N(D2043)&lt;=0),"Quantité invalide",IF(J2043="","Prix manquant",IF(OR(NOT(ISNUMBER(J2043)),N(J2043)&lt;0),"Prix invalide",IF(OR(AND(F2043&lt;&gt;"",NOT(ISNUMBER(F2043))),N(F2043)&lt;0,N(F2043)&gt;1),"Remise invalide",IF(K2043="","Taux de TVA manquant",IF(NOT(ISNUMBER(K2043)),"Taux de TVA invalide",IF(COUNTIF(p_rates,K2043)=0,"Taux de TVA hors liste (Paramètres)",IF(N(O2043)&gt;25,"Au-delà de 25 lignes : non imprimée","OK")))))))))))))</f>
        <v/>
      </c>
      <c r="O2043" s="59" t="str">
        <f>IF(A2043="","",COUNTIF($A$6:A2043,A2043))</f>
        <v/>
      </c>
      <c r="P2043" s="62" t="str">
        <f>IF(A2043="","",A2043&amp;"|"&amp;O2043)</f>
        <v/>
      </c>
    </row>
    <row r="2044">
      <c r="A2044" s="60" t="n"/>
      <c r="B2044" s="63" t="n"/>
      <c r="C2044" s="63" t="n"/>
      <c r="D2044" s="67" t="n"/>
      <c r="E2044" s="68" t="n"/>
      <c r="F2044" s="69" t="n"/>
      <c r="G2044" s="70" t="n"/>
      <c r="H2044" s="62" t="str">
        <f>IF(COUNTA(A2044:G2044)=0,"",IF(C2044&lt;&gt;"",C2044,IF(B2044="","",IFERROR(INDEX(pr_des,MATCH(B2044,pr_code,0))&amp;"",""))))</f>
        <v/>
      </c>
      <c r="I2044" s="59" t="str">
        <f>IF(B2044="","",IFERROR(INDEX(pr_unit,MATCH(B2044,pr_code,0))&amp;"",""))</f>
        <v/>
      </c>
      <c r="J2044" s="65" t="str">
        <f>IF(COUNTA(A2044:G2044)=0,"",IF(E2044&lt;&gt;"",E2044,IF(B2044="","",IFERROR(IF(INDEX(pr_price,MATCH(B2044,pr_code,0))="","",INDEX(pr_price,MATCH(B2044,pr_code,0))),""))))</f>
        <v/>
      </c>
      <c r="K2044" s="71" t="str">
        <f>IF(COUNTA(A2044:G2044)=0,"",IF(G2044&lt;&gt;"",G2044,IF(B2044="","",IFERROR(IF(INDEX(pr_rate,MATCH(B2044,pr_code,0))="","",INDEX(pr_rate,MATCH(B2044,pr_code,0))),""))))</f>
        <v/>
      </c>
      <c r="L2044" s="65" t="str">
        <f>IF(COUNTA(A2044:G2044)=0,"",IF(AND(ISNUMBER(D2044),ISNUMBER(J2044)),ROUND(D2044*J2044*(1-N(F2044)),2),0))</f>
        <v/>
      </c>
      <c r="M2044" s="62" t="str">
        <f>IF(A2044="","",IFERROR(INDEX(fa_cname,MATCH(A2044,fa_num,0))&amp;"",""))</f>
        <v/>
      </c>
      <c r="N2044" s="59" t="str">
        <f>IF(COUNTA(A2044:G2044)=0,"",IF(A2044="","N° facture manquant",IF(ISNA(MATCH(A2044,fa_num,0)),"Facture inconnue",IF(AND(B2044&lt;&gt;"",ISNA(MATCH(B2044,pr_code,0))),"Article inconnu",IF(H2044="","Désignation manquante",IF(OR(NOT(ISNUMBER(D2044)),N(D2044)&lt;=0),"Quantité invalide",IF(J2044="","Prix manquant",IF(OR(NOT(ISNUMBER(J2044)),N(J2044)&lt;0),"Prix invalide",IF(OR(AND(F2044&lt;&gt;"",NOT(ISNUMBER(F2044))),N(F2044)&lt;0,N(F2044)&gt;1),"Remise invalide",IF(K2044="","Taux de TVA manquant",IF(NOT(ISNUMBER(K2044)),"Taux de TVA invalide",IF(COUNTIF(p_rates,K2044)=0,"Taux de TVA hors liste (Paramètres)",IF(N(O2044)&gt;25,"Au-delà de 25 lignes : non imprimée","OK")))))))))))))</f>
        <v/>
      </c>
      <c r="O2044" s="59" t="str">
        <f>IF(A2044="","",COUNTIF($A$6:A2044,A2044))</f>
        <v/>
      </c>
      <c r="P2044" s="62" t="str">
        <f>IF(A2044="","",A2044&amp;"|"&amp;O2044)</f>
        <v/>
      </c>
    </row>
    <row r="2045">
      <c r="A2045" s="60" t="n"/>
      <c r="B2045" s="63" t="n"/>
      <c r="C2045" s="63" t="n"/>
      <c r="D2045" s="67" t="n"/>
      <c r="E2045" s="68" t="n"/>
      <c r="F2045" s="69" t="n"/>
      <c r="G2045" s="70" t="n"/>
      <c r="H2045" s="62" t="str">
        <f>IF(COUNTA(A2045:G2045)=0,"",IF(C2045&lt;&gt;"",C2045,IF(B2045="","",IFERROR(INDEX(pr_des,MATCH(B2045,pr_code,0))&amp;"",""))))</f>
        <v/>
      </c>
      <c r="I2045" s="59" t="str">
        <f>IF(B2045="","",IFERROR(INDEX(pr_unit,MATCH(B2045,pr_code,0))&amp;"",""))</f>
        <v/>
      </c>
      <c r="J2045" s="65" t="str">
        <f>IF(COUNTA(A2045:G2045)=0,"",IF(E2045&lt;&gt;"",E2045,IF(B2045="","",IFERROR(IF(INDEX(pr_price,MATCH(B2045,pr_code,0))="","",INDEX(pr_price,MATCH(B2045,pr_code,0))),""))))</f>
        <v/>
      </c>
      <c r="K2045" s="71" t="str">
        <f>IF(COUNTA(A2045:G2045)=0,"",IF(G2045&lt;&gt;"",G2045,IF(B2045="","",IFERROR(IF(INDEX(pr_rate,MATCH(B2045,pr_code,0))="","",INDEX(pr_rate,MATCH(B2045,pr_code,0))),""))))</f>
        <v/>
      </c>
      <c r="L2045" s="65" t="str">
        <f>IF(COUNTA(A2045:G2045)=0,"",IF(AND(ISNUMBER(D2045),ISNUMBER(J2045)),ROUND(D2045*J2045*(1-N(F2045)),2),0))</f>
        <v/>
      </c>
      <c r="M2045" s="62" t="str">
        <f>IF(A2045="","",IFERROR(INDEX(fa_cname,MATCH(A2045,fa_num,0))&amp;"",""))</f>
        <v/>
      </c>
      <c r="N2045" s="59" t="str">
        <f>IF(COUNTA(A2045:G2045)=0,"",IF(A2045="","N° facture manquant",IF(ISNA(MATCH(A2045,fa_num,0)),"Facture inconnue",IF(AND(B2045&lt;&gt;"",ISNA(MATCH(B2045,pr_code,0))),"Article inconnu",IF(H2045="","Désignation manquante",IF(OR(NOT(ISNUMBER(D2045)),N(D2045)&lt;=0),"Quantité invalide",IF(J2045="","Prix manquant",IF(OR(NOT(ISNUMBER(J2045)),N(J2045)&lt;0),"Prix invalide",IF(OR(AND(F2045&lt;&gt;"",NOT(ISNUMBER(F2045))),N(F2045)&lt;0,N(F2045)&gt;1),"Remise invalide",IF(K2045="","Taux de TVA manquant",IF(NOT(ISNUMBER(K2045)),"Taux de TVA invalide",IF(COUNTIF(p_rates,K2045)=0,"Taux de TVA hors liste (Paramètres)",IF(N(O2045)&gt;25,"Au-delà de 25 lignes : non imprimée","OK")))))))))))))</f>
        <v/>
      </c>
      <c r="O2045" s="59" t="str">
        <f>IF(A2045="","",COUNTIF($A$6:A2045,A2045))</f>
        <v/>
      </c>
      <c r="P2045" s="62" t="str">
        <f>IF(A2045="","",A2045&amp;"|"&amp;O2045)</f>
        <v/>
      </c>
    </row>
    <row r="2046">
      <c r="A2046" s="60" t="n"/>
      <c r="B2046" s="63" t="n"/>
      <c r="C2046" s="63" t="n"/>
      <c r="D2046" s="67" t="n"/>
      <c r="E2046" s="68" t="n"/>
      <c r="F2046" s="69" t="n"/>
      <c r="G2046" s="70" t="n"/>
      <c r="H2046" s="62" t="str">
        <f>IF(COUNTA(A2046:G2046)=0,"",IF(C2046&lt;&gt;"",C2046,IF(B2046="","",IFERROR(INDEX(pr_des,MATCH(B2046,pr_code,0))&amp;"",""))))</f>
        <v/>
      </c>
      <c r="I2046" s="59" t="str">
        <f>IF(B2046="","",IFERROR(INDEX(pr_unit,MATCH(B2046,pr_code,0))&amp;"",""))</f>
        <v/>
      </c>
      <c r="J2046" s="65" t="str">
        <f>IF(COUNTA(A2046:G2046)=0,"",IF(E2046&lt;&gt;"",E2046,IF(B2046="","",IFERROR(IF(INDEX(pr_price,MATCH(B2046,pr_code,0))="","",INDEX(pr_price,MATCH(B2046,pr_code,0))),""))))</f>
        <v/>
      </c>
      <c r="K2046" s="71" t="str">
        <f>IF(COUNTA(A2046:G2046)=0,"",IF(G2046&lt;&gt;"",G2046,IF(B2046="","",IFERROR(IF(INDEX(pr_rate,MATCH(B2046,pr_code,0))="","",INDEX(pr_rate,MATCH(B2046,pr_code,0))),""))))</f>
        <v/>
      </c>
      <c r="L2046" s="65" t="str">
        <f>IF(COUNTA(A2046:G2046)=0,"",IF(AND(ISNUMBER(D2046),ISNUMBER(J2046)),ROUND(D2046*J2046*(1-N(F2046)),2),0))</f>
        <v/>
      </c>
      <c r="M2046" s="62" t="str">
        <f>IF(A2046="","",IFERROR(INDEX(fa_cname,MATCH(A2046,fa_num,0))&amp;"",""))</f>
        <v/>
      </c>
      <c r="N2046" s="59" t="str">
        <f>IF(COUNTA(A2046:G2046)=0,"",IF(A2046="","N° facture manquant",IF(ISNA(MATCH(A2046,fa_num,0)),"Facture inconnue",IF(AND(B2046&lt;&gt;"",ISNA(MATCH(B2046,pr_code,0))),"Article inconnu",IF(H2046="","Désignation manquante",IF(OR(NOT(ISNUMBER(D2046)),N(D2046)&lt;=0),"Quantité invalide",IF(J2046="","Prix manquant",IF(OR(NOT(ISNUMBER(J2046)),N(J2046)&lt;0),"Prix invalide",IF(OR(AND(F2046&lt;&gt;"",NOT(ISNUMBER(F2046))),N(F2046)&lt;0,N(F2046)&gt;1),"Remise invalide",IF(K2046="","Taux de TVA manquant",IF(NOT(ISNUMBER(K2046)),"Taux de TVA invalide",IF(COUNTIF(p_rates,K2046)=0,"Taux de TVA hors liste (Paramètres)",IF(N(O2046)&gt;25,"Au-delà de 25 lignes : non imprimée","OK")))))))))))))</f>
        <v/>
      </c>
      <c r="O2046" s="59" t="str">
        <f>IF(A2046="","",COUNTIF($A$6:A2046,A2046))</f>
        <v/>
      </c>
      <c r="P2046" s="62" t="str">
        <f>IF(A2046="","",A2046&amp;"|"&amp;O2046)</f>
        <v/>
      </c>
    </row>
    <row r="2047">
      <c r="A2047" s="60" t="n"/>
      <c r="B2047" s="63" t="n"/>
      <c r="C2047" s="63" t="n"/>
      <c r="D2047" s="67" t="n"/>
      <c r="E2047" s="68" t="n"/>
      <c r="F2047" s="69" t="n"/>
      <c r="G2047" s="70" t="n"/>
      <c r="H2047" s="62" t="str">
        <f>IF(COUNTA(A2047:G2047)=0,"",IF(C2047&lt;&gt;"",C2047,IF(B2047="","",IFERROR(INDEX(pr_des,MATCH(B2047,pr_code,0))&amp;"",""))))</f>
        <v/>
      </c>
      <c r="I2047" s="59" t="str">
        <f>IF(B2047="","",IFERROR(INDEX(pr_unit,MATCH(B2047,pr_code,0))&amp;"",""))</f>
        <v/>
      </c>
      <c r="J2047" s="65" t="str">
        <f>IF(COUNTA(A2047:G2047)=0,"",IF(E2047&lt;&gt;"",E2047,IF(B2047="","",IFERROR(IF(INDEX(pr_price,MATCH(B2047,pr_code,0))="","",INDEX(pr_price,MATCH(B2047,pr_code,0))),""))))</f>
        <v/>
      </c>
      <c r="K2047" s="71" t="str">
        <f>IF(COUNTA(A2047:G2047)=0,"",IF(G2047&lt;&gt;"",G2047,IF(B2047="","",IFERROR(IF(INDEX(pr_rate,MATCH(B2047,pr_code,0))="","",INDEX(pr_rate,MATCH(B2047,pr_code,0))),""))))</f>
        <v/>
      </c>
      <c r="L2047" s="65" t="str">
        <f>IF(COUNTA(A2047:G2047)=0,"",IF(AND(ISNUMBER(D2047),ISNUMBER(J2047)),ROUND(D2047*J2047*(1-N(F2047)),2),0))</f>
        <v/>
      </c>
      <c r="M2047" s="62" t="str">
        <f>IF(A2047="","",IFERROR(INDEX(fa_cname,MATCH(A2047,fa_num,0))&amp;"",""))</f>
        <v/>
      </c>
      <c r="N2047" s="59" t="str">
        <f>IF(COUNTA(A2047:G2047)=0,"",IF(A2047="","N° facture manquant",IF(ISNA(MATCH(A2047,fa_num,0)),"Facture inconnue",IF(AND(B2047&lt;&gt;"",ISNA(MATCH(B2047,pr_code,0))),"Article inconnu",IF(H2047="","Désignation manquante",IF(OR(NOT(ISNUMBER(D2047)),N(D2047)&lt;=0),"Quantité invalide",IF(J2047="","Prix manquant",IF(OR(NOT(ISNUMBER(J2047)),N(J2047)&lt;0),"Prix invalide",IF(OR(AND(F2047&lt;&gt;"",NOT(ISNUMBER(F2047))),N(F2047)&lt;0,N(F2047)&gt;1),"Remise invalide",IF(K2047="","Taux de TVA manquant",IF(NOT(ISNUMBER(K2047)),"Taux de TVA invalide",IF(COUNTIF(p_rates,K2047)=0,"Taux de TVA hors liste (Paramètres)",IF(N(O2047)&gt;25,"Au-delà de 25 lignes : non imprimée","OK")))))))))))))</f>
        <v/>
      </c>
      <c r="O2047" s="59" t="str">
        <f>IF(A2047="","",COUNTIF($A$6:A2047,A2047))</f>
        <v/>
      </c>
      <c r="P2047" s="62" t="str">
        <f>IF(A2047="","",A2047&amp;"|"&amp;O2047)</f>
        <v/>
      </c>
    </row>
    <row r="2048">
      <c r="A2048" s="60" t="n"/>
      <c r="B2048" s="63" t="n"/>
      <c r="C2048" s="63" t="n"/>
      <c r="D2048" s="67" t="n"/>
      <c r="E2048" s="68" t="n"/>
      <c r="F2048" s="69" t="n"/>
      <c r="G2048" s="70" t="n"/>
      <c r="H2048" s="62" t="str">
        <f>IF(COUNTA(A2048:G2048)=0,"",IF(C2048&lt;&gt;"",C2048,IF(B2048="","",IFERROR(INDEX(pr_des,MATCH(B2048,pr_code,0))&amp;"",""))))</f>
        <v/>
      </c>
      <c r="I2048" s="59" t="str">
        <f>IF(B2048="","",IFERROR(INDEX(pr_unit,MATCH(B2048,pr_code,0))&amp;"",""))</f>
        <v/>
      </c>
      <c r="J2048" s="65" t="str">
        <f>IF(COUNTA(A2048:G2048)=0,"",IF(E2048&lt;&gt;"",E2048,IF(B2048="","",IFERROR(IF(INDEX(pr_price,MATCH(B2048,pr_code,0))="","",INDEX(pr_price,MATCH(B2048,pr_code,0))),""))))</f>
        <v/>
      </c>
      <c r="K2048" s="71" t="str">
        <f>IF(COUNTA(A2048:G2048)=0,"",IF(G2048&lt;&gt;"",G2048,IF(B2048="","",IFERROR(IF(INDEX(pr_rate,MATCH(B2048,pr_code,0))="","",INDEX(pr_rate,MATCH(B2048,pr_code,0))),""))))</f>
        <v/>
      </c>
      <c r="L2048" s="65" t="str">
        <f>IF(COUNTA(A2048:G2048)=0,"",IF(AND(ISNUMBER(D2048),ISNUMBER(J2048)),ROUND(D2048*J2048*(1-N(F2048)),2),0))</f>
        <v/>
      </c>
      <c r="M2048" s="62" t="str">
        <f>IF(A2048="","",IFERROR(INDEX(fa_cname,MATCH(A2048,fa_num,0))&amp;"",""))</f>
        <v/>
      </c>
      <c r="N2048" s="59" t="str">
        <f>IF(COUNTA(A2048:G2048)=0,"",IF(A2048="","N° facture manquant",IF(ISNA(MATCH(A2048,fa_num,0)),"Facture inconnue",IF(AND(B2048&lt;&gt;"",ISNA(MATCH(B2048,pr_code,0))),"Article inconnu",IF(H2048="","Désignation manquante",IF(OR(NOT(ISNUMBER(D2048)),N(D2048)&lt;=0),"Quantité invalide",IF(J2048="","Prix manquant",IF(OR(NOT(ISNUMBER(J2048)),N(J2048)&lt;0),"Prix invalide",IF(OR(AND(F2048&lt;&gt;"",NOT(ISNUMBER(F2048))),N(F2048)&lt;0,N(F2048)&gt;1),"Remise invalide",IF(K2048="","Taux de TVA manquant",IF(NOT(ISNUMBER(K2048)),"Taux de TVA invalide",IF(COUNTIF(p_rates,K2048)=0,"Taux de TVA hors liste (Paramètres)",IF(N(O2048)&gt;25,"Au-delà de 25 lignes : non imprimée","OK")))))))))))))</f>
        <v/>
      </c>
      <c r="O2048" s="59" t="str">
        <f>IF(A2048="","",COUNTIF($A$6:A2048,A2048))</f>
        <v/>
      </c>
      <c r="P2048" s="62" t="str">
        <f>IF(A2048="","",A2048&amp;"|"&amp;O2048)</f>
        <v/>
      </c>
    </row>
    <row r="2049">
      <c r="A2049" s="60" t="n"/>
      <c r="B2049" s="63" t="n"/>
      <c r="C2049" s="63" t="n"/>
      <c r="D2049" s="67" t="n"/>
      <c r="E2049" s="68" t="n"/>
      <c r="F2049" s="69" t="n"/>
      <c r="G2049" s="70" t="n"/>
      <c r="H2049" s="62" t="str">
        <f>IF(COUNTA(A2049:G2049)=0,"",IF(C2049&lt;&gt;"",C2049,IF(B2049="","",IFERROR(INDEX(pr_des,MATCH(B2049,pr_code,0))&amp;"",""))))</f>
        <v/>
      </c>
      <c r="I2049" s="59" t="str">
        <f>IF(B2049="","",IFERROR(INDEX(pr_unit,MATCH(B2049,pr_code,0))&amp;"",""))</f>
        <v/>
      </c>
      <c r="J2049" s="65" t="str">
        <f>IF(COUNTA(A2049:G2049)=0,"",IF(E2049&lt;&gt;"",E2049,IF(B2049="","",IFERROR(IF(INDEX(pr_price,MATCH(B2049,pr_code,0))="","",INDEX(pr_price,MATCH(B2049,pr_code,0))),""))))</f>
        <v/>
      </c>
      <c r="K2049" s="71" t="str">
        <f>IF(COUNTA(A2049:G2049)=0,"",IF(G2049&lt;&gt;"",G2049,IF(B2049="","",IFERROR(IF(INDEX(pr_rate,MATCH(B2049,pr_code,0))="","",INDEX(pr_rate,MATCH(B2049,pr_code,0))),""))))</f>
        <v/>
      </c>
      <c r="L2049" s="65" t="str">
        <f>IF(COUNTA(A2049:G2049)=0,"",IF(AND(ISNUMBER(D2049),ISNUMBER(J2049)),ROUND(D2049*J2049*(1-N(F2049)),2),0))</f>
        <v/>
      </c>
      <c r="M2049" s="62" t="str">
        <f>IF(A2049="","",IFERROR(INDEX(fa_cname,MATCH(A2049,fa_num,0))&amp;"",""))</f>
        <v/>
      </c>
      <c r="N2049" s="59" t="str">
        <f>IF(COUNTA(A2049:G2049)=0,"",IF(A2049="","N° facture manquant",IF(ISNA(MATCH(A2049,fa_num,0)),"Facture inconnue",IF(AND(B2049&lt;&gt;"",ISNA(MATCH(B2049,pr_code,0))),"Article inconnu",IF(H2049="","Désignation manquante",IF(OR(NOT(ISNUMBER(D2049)),N(D2049)&lt;=0),"Quantité invalide",IF(J2049="","Prix manquant",IF(OR(NOT(ISNUMBER(J2049)),N(J2049)&lt;0),"Prix invalide",IF(OR(AND(F2049&lt;&gt;"",NOT(ISNUMBER(F2049))),N(F2049)&lt;0,N(F2049)&gt;1),"Remise invalide",IF(K2049="","Taux de TVA manquant",IF(NOT(ISNUMBER(K2049)),"Taux de TVA invalide",IF(COUNTIF(p_rates,K2049)=0,"Taux de TVA hors liste (Paramètres)",IF(N(O2049)&gt;25,"Au-delà de 25 lignes : non imprimée","OK")))))))))))))</f>
        <v/>
      </c>
      <c r="O2049" s="59" t="str">
        <f>IF(A2049="","",COUNTIF($A$6:A2049,A2049))</f>
        <v/>
      </c>
      <c r="P2049" s="62" t="str">
        <f>IF(A2049="","",A2049&amp;"|"&amp;O2049)</f>
        <v/>
      </c>
    </row>
    <row r="2050">
      <c r="A2050" s="60" t="n"/>
      <c r="B2050" s="63" t="n"/>
      <c r="C2050" s="63" t="n"/>
      <c r="D2050" s="67" t="n"/>
      <c r="E2050" s="68" t="n"/>
      <c r="F2050" s="69" t="n"/>
      <c r="G2050" s="70" t="n"/>
      <c r="H2050" s="62" t="str">
        <f>IF(COUNTA(A2050:G2050)=0,"",IF(C2050&lt;&gt;"",C2050,IF(B2050="","",IFERROR(INDEX(pr_des,MATCH(B2050,pr_code,0))&amp;"",""))))</f>
        <v/>
      </c>
      <c r="I2050" s="59" t="str">
        <f>IF(B2050="","",IFERROR(INDEX(pr_unit,MATCH(B2050,pr_code,0))&amp;"",""))</f>
        <v/>
      </c>
      <c r="J2050" s="65" t="str">
        <f>IF(COUNTA(A2050:G2050)=0,"",IF(E2050&lt;&gt;"",E2050,IF(B2050="","",IFERROR(IF(INDEX(pr_price,MATCH(B2050,pr_code,0))="","",INDEX(pr_price,MATCH(B2050,pr_code,0))),""))))</f>
        <v/>
      </c>
      <c r="K2050" s="71" t="str">
        <f>IF(COUNTA(A2050:G2050)=0,"",IF(G2050&lt;&gt;"",G2050,IF(B2050="","",IFERROR(IF(INDEX(pr_rate,MATCH(B2050,pr_code,0))="","",INDEX(pr_rate,MATCH(B2050,pr_code,0))),""))))</f>
        <v/>
      </c>
      <c r="L2050" s="65" t="str">
        <f>IF(COUNTA(A2050:G2050)=0,"",IF(AND(ISNUMBER(D2050),ISNUMBER(J2050)),ROUND(D2050*J2050*(1-N(F2050)),2),0))</f>
        <v/>
      </c>
      <c r="M2050" s="62" t="str">
        <f>IF(A2050="","",IFERROR(INDEX(fa_cname,MATCH(A2050,fa_num,0))&amp;"",""))</f>
        <v/>
      </c>
      <c r="N2050" s="59" t="str">
        <f>IF(COUNTA(A2050:G2050)=0,"",IF(A2050="","N° facture manquant",IF(ISNA(MATCH(A2050,fa_num,0)),"Facture inconnue",IF(AND(B2050&lt;&gt;"",ISNA(MATCH(B2050,pr_code,0))),"Article inconnu",IF(H2050="","Désignation manquante",IF(OR(NOT(ISNUMBER(D2050)),N(D2050)&lt;=0),"Quantité invalide",IF(J2050="","Prix manquant",IF(OR(NOT(ISNUMBER(J2050)),N(J2050)&lt;0),"Prix invalide",IF(OR(AND(F2050&lt;&gt;"",NOT(ISNUMBER(F2050))),N(F2050)&lt;0,N(F2050)&gt;1),"Remise invalide",IF(K2050="","Taux de TVA manquant",IF(NOT(ISNUMBER(K2050)),"Taux de TVA invalide",IF(COUNTIF(p_rates,K2050)=0,"Taux de TVA hors liste (Paramètres)",IF(N(O2050)&gt;25,"Au-delà de 25 lignes : non imprimée","OK")))))))))))))</f>
        <v/>
      </c>
      <c r="O2050" s="59" t="str">
        <f>IF(A2050="","",COUNTIF($A$6:A2050,A2050))</f>
        <v/>
      </c>
      <c r="P2050" s="62" t="str">
        <f>IF(A2050="","",A2050&amp;"|"&amp;O2050)</f>
        <v/>
      </c>
    </row>
    <row r="2051">
      <c r="A2051" s="60" t="n"/>
      <c r="B2051" s="63" t="n"/>
      <c r="C2051" s="63" t="n"/>
      <c r="D2051" s="67" t="n"/>
      <c r="E2051" s="68" t="n"/>
      <c r="F2051" s="69" t="n"/>
      <c r="G2051" s="70" t="n"/>
      <c r="H2051" s="62" t="str">
        <f>IF(COUNTA(A2051:G2051)=0,"",IF(C2051&lt;&gt;"",C2051,IF(B2051="","",IFERROR(INDEX(pr_des,MATCH(B2051,pr_code,0))&amp;"",""))))</f>
        <v/>
      </c>
      <c r="I2051" s="59" t="str">
        <f>IF(B2051="","",IFERROR(INDEX(pr_unit,MATCH(B2051,pr_code,0))&amp;"",""))</f>
        <v/>
      </c>
      <c r="J2051" s="65" t="str">
        <f>IF(COUNTA(A2051:G2051)=0,"",IF(E2051&lt;&gt;"",E2051,IF(B2051="","",IFERROR(IF(INDEX(pr_price,MATCH(B2051,pr_code,0))="","",INDEX(pr_price,MATCH(B2051,pr_code,0))),""))))</f>
        <v/>
      </c>
      <c r="K2051" s="71" t="str">
        <f>IF(COUNTA(A2051:G2051)=0,"",IF(G2051&lt;&gt;"",G2051,IF(B2051="","",IFERROR(IF(INDEX(pr_rate,MATCH(B2051,pr_code,0))="","",INDEX(pr_rate,MATCH(B2051,pr_code,0))),""))))</f>
        <v/>
      </c>
      <c r="L2051" s="65" t="str">
        <f>IF(COUNTA(A2051:G2051)=0,"",IF(AND(ISNUMBER(D2051),ISNUMBER(J2051)),ROUND(D2051*J2051*(1-N(F2051)),2),0))</f>
        <v/>
      </c>
      <c r="M2051" s="62" t="str">
        <f>IF(A2051="","",IFERROR(INDEX(fa_cname,MATCH(A2051,fa_num,0))&amp;"",""))</f>
        <v/>
      </c>
      <c r="N2051" s="59" t="str">
        <f>IF(COUNTA(A2051:G2051)=0,"",IF(A2051="","N° facture manquant",IF(ISNA(MATCH(A2051,fa_num,0)),"Facture inconnue",IF(AND(B2051&lt;&gt;"",ISNA(MATCH(B2051,pr_code,0))),"Article inconnu",IF(H2051="","Désignation manquante",IF(OR(NOT(ISNUMBER(D2051)),N(D2051)&lt;=0),"Quantité invalide",IF(J2051="","Prix manquant",IF(OR(NOT(ISNUMBER(J2051)),N(J2051)&lt;0),"Prix invalide",IF(OR(AND(F2051&lt;&gt;"",NOT(ISNUMBER(F2051))),N(F2051)&lt;0,N(F2051)&gt;1),"Remise invalide",IF(K2051="","Taux de TVA manquant",IF(NOT(ISNUMBER(K2051)),"Taux de TVA invalide",IF(COUNTIF(p_rates,K2051)=0,"Taux de TVA hors liste (Paramètres)",IF(N(O2051)&gt;25,"Au-delà de 25 lignes : non imprimée","OK")))))))))))))</f>
        <v/>
      </c>
      <c r="O2051" s="59" t="str">
        <f>IF(A2051="","",COUNTIF($A$6:A2051,A2051))</f>
        <v/>
      </c>
      <c r="P2051" s="62" t="str">
        <f>IF(A2051="","",A2051&amp;"|"&amp;O2051)</f>
        <v/>
      </c>
    </row>
    <row r="2052">
      <c r="A2052" s="60" t="n"/>
      <c r="B2052" s="63" t="n"/>
      <c r="C2052" s="63" t="n"/>
      <c r="D2052" s="67" t="n"/>
      <c r="E2052" s="68" t="n"/>
      <c r="F2052" s="69" t="n"/>
      <c r="G2052" s="70" t="n"/>
      <c r="H2052" s="62" t="str">
        <f>IF(COUNTA(A2052:G2052)=0,"",IF(C2052&lt;&gt;"",C2052,IF(B2052="","",IFERROR(INDEX(pr_des,MATCH(B2052,pr_code,0))&amp;"",""))))</f>
        <v/>
      </c>
      <c r="I2052" s="59" t="str">
        <f>IF(B2052="","",IFERROR(INDEX(pr_unit,MATCH(B2052,pr_code,0))&amp;"",""))</f>
        <v/>
      </c>
      <c r="J2052" s="65" t="str">
        <f>IF(COUNTA(A2052:G2052)=0,"",IF(E2052&lt;&gt;"",E2052,IF(B2052="","",IFERROR(IF(INDEX(pr_price,MATCH(B2052,pr_code,0))="","",INDEX(pr_price,MATCH(B2052,pr_code,0))),""))))</f>
        <v/>
      </c>
      <c r="K2052" s="71" t="str">
        <f>IF(COUNTA(A2052:G2052)=0,"",IF(G2052&lt;&gt;"",G2052,IF(B2052="","",IFERROR(IF(INDEX(pr_rate,MATCH(B2052,pr_code,0))="","",INDEX(pr_rate,MATCH(B2052,pr_code,0))),""))))</f>
        <v/>
      </c>
      <c r="L2052" s="65" t="str">
        <f>IF(COUNTA(A2052:G2052)=0,"",IF(AND(ISNUMBER(D2052),ISNUMBER(J2052)),ROUND(D2052*J2052*(1-N(F2052)),2),0))</f>
        <v/>
      </c>
      <c r="M2052" s="62" t="str">
        <f>IF(A2052="","",IFERROR(INDEX(fa_cname,MATCH(A2052,fa_num,0))&amp;"",""))</f>
        <v/>
      </c>
      <c r="N2052" s="59" t="str">
        <f>IF(COUNTA(A2052:G2052)=0,"",IF(A2052="","N° facture manquant",IF(ISNA(MATCH(A2052,fa_num,0)),"Facture inconnue",IF(AND(B2052&lt;&gt;"",ISNA(MATCH(B2052,pr_code,0))),"Article inconnu",IF(H2052="","Désignation manquante",IF(OR(NOT(ISNUMBER(D2052)),N(D2052)&lt;=0),"Quantité invalide",IF(J2052="","Prix manquant",IF(OR(NOT(ISNUMBER(J2052)),N(J2052)&lt;0),"Prix invalide",IF(OR(AND(F2052&lt;&gt;"",NOT(ISNUMBER(F2052))),N(F2052)&lt;0,N(F2052)&gt;1),"Remise invalide",IF(K2052="","Taux de TVA manquant",IF(NOT(ISNUMBER(K2052)),"Taux de TVA invalide",IF(COUNTIF(p_rates,K2052)=0,"Taux de TVA hors liste (Paramètres)",IF(N(O2052)&gt;25,"Au-delà de 25 lignes : non imprimée","OK")))))))))))))</f>
        <v/>
      </c>
      <c r="O2052" s="59" t="str">
        <f>IF(A2052="","",COUNTIF($A$6:A2052,A2052))</f>
        <v/>
      </c>
      <c r="P2052" s="62" t="str">
        <f>IF(A2052="","",A2052&amp;"|"&amp;O2052)</f>
        <v/>
      </c>
    </row>
    <row r="2053">
      <c r="A2053" s="60" t="n"/>
      <c r="B2053" s="63" t="n"/>
      <c r="C2053" s="63" t="n"/>
      <c r="D2053" s="67" t="n"/>
      <c r="E2053" s="68" t="n"/>
      <c r="F2053" s="69" t="n"/>
      <c r="G2053" s="70" t="n"/>
      <c r="H2053" s="62" t="str">
        <f>IF(COUNTA(A2053:G2053)=0,"",IF(C2053&lt;&gt;"",C2053,IF(B2053="","",IFERROR(INDEX(pr_des,MATCH(B2053,pr_code,0))&amp;"",""))))</f>
        <v/>
      </c>
      <c r="I2053" s="59" t="str">
        <f>IF(B2053="","",IFERROR(INDEX(pr_unit,MATCH(B2053,pr_code,0))&amp;"",""))</f>
        <v/>
      </c>
      <c r="J2053" s="65" t="str">
        <f>IF(COUNTA(A2053:G2053)=0,"",IF(E2053&lt;&gt;"",E2053,IF(B2053="","",IFERROR(IF(INDEX(pr_price,MATCH(B2053,pr_code,0))="","",INDEX(pr_price,MATCH(B2053,pr_code,0))),""))))</f>
        <v/>
      </c>
      <c r="K2053" s="71" t="str">
        <f>IF(COUNTA(A2053:G2053)=0,"",IF(G2053&lt;&gt;"",G2053,IF(B2053="","",IFERROR(IF(INDEX(pr_rate,MATCH(B2053,pr_code,0))="","",INDEX(pr_rate,MATCH(B2053,pr_code,0))),""))))</f>
        <v/>
      </c>
      <c r="L2053" s="65" t="str">
        <f>IF(COUNTA(A2053:G2053)=0,"",IF(AND(ISNUMBER(D2053),ISNUMBER(J2053)),ROUND(D2053*J2053*(1-N(F2053)),2),0))</f>
        <v/>
      </c>
      <c r="M2053" s="62" t="str">
        <f>IF(A2053="","",IFERROR(INDEX(fa_cname,MATCH(A2053,fa_num,0))&amp;"",""))</f>
        <v/>
      </c>
      <c r="N2053" s="59" t="str">
        <f>IF(COUNTA(A2053:G2053)=0,"",IF(A2053="","N° facture manquant",IF(ISNA(MATCH(A2053,fa_num,0)),"Facture inconnue",IF(AND(B2053&lt;&gt;"",ISNA(MATCH(B2053,pr_code,0))),"Article inconnu",IF(H2053="","Désignation manquante",IF(OR(NOT(ISNUMBER(D2053)),N(D2053)&lt;=0),"Quantité invalide",IF(J2053="","Prix manquant",IF(OR(NOT(ISNUMBER(J2053)),N(J2053)&lt;0),"Prix invalide",IF(OR(AND(F2053&lt;&gt;"",NOT(ISNUMBER(F2053))),N(F2053)&lt;0,N(F2053)&gt;1),"Remise invalide",IF(K2053="","Taux de TVA manquant",IF(NOT(ISNUMBER(K2053)),"Taux de TVA invalide",IF(COUNTIF(p_rates,K2053)=0,"Taux de TVA hors liste (Paramètres)",IF(N(O2053)&gt;25,"Au-delà de 25 lignes : non imprimée","OK")))))))))))))</f>
        <v/>
      </c>
      <c r="O2053" s="59" t="str">
        <f>IF(A2053="","",COUNTIF($A$6:A2053,A2053))</f>
        <v/>
      </c>
      <c r="P2053" s="62" t="str">
        <f>IF(A2053="","",A2053&amp;"|"&amp;O2053)</f>
        <v/>
      </c>
    </row>
    <row r="2054">
      <c r="A2054" s="60" t="n"/>
      <c r="B2054" s="63" t="n"/>
      <c r="C2054" s="63" t="n"/>
      <c r="D2054" s="67" t="n"/>
      <c r="E2054" s="68" t="n"/>
      <c r="F2054" s="69" t="n"/>
      <c r="G2054" s="70" t="n"/>
      <c r="H2054" s="62" t="str">
        <f>IF(COUNTA(A2054:G2054)=0,"",IF(C2054&lt;&gt;"",C2054,IF(B2054="","",IFERROR(INDEX(pr_des,MATCH(B2054,pr_code,0))&amp;"",""))))</f>
        <v/>
      </c>
      <c r="I2054" s="59" t="str">
        <f>IF(B2054="","",IFERROR(INDEX(pr_unit,MATCH(B2054,pr_code,0))&amp;"",""))</f>
        <v/>
      </c>
      <c r="J2054" s="65" t="str">
        <f>IF(COUNTA(A2054:G2054)=0,"",IF(E2054&lt;&gt;"",E2054,IF(B2054="","",IFERROR(IF(INDEX(pr_price,MATCH(B2054,pr_code,0))="","",INDEX(pr_price,MATCH(B2054,pr_code,0))),""))))</f>
        <v/>
      </c>
      <c r="K2054" s="71" t="str">
        <f>IF(COUNTA(A2054:G2054)=0,"",IF(G2054&lt;&gt;"",G2054,IF(B2054="","",IFERROR(IF(INDEX(pr_rate,MATCH(B2054,pr_code,0))="","",INDEX(pr_rate,MATCH(B2054,pr_code,0))),""))))</f>
        <v/>
      </c>
      <c r="L2054" s="65" t="str">
        <f>IF(COUNTA(A2054:G2054)=0,"",IF(AND(ISNUMBER(D2054),ISNUMBER(J2054)),ROUND(D2054*J2054*(1-N(F2054)),2),0))</f>
        <v/>
      </c>
      <c r="M2054" s="62" t="str">
        <f>IF(A2054="","",IFERROR(INDEX(fa_cname,MATCH(A2054,fa_num,0))&amp;"",""))</f>
        <v/>
      </c>
      <c r="N2054" s="59" t="str">
        <f>IF(COUNTA(A2054:G2054)=0,"",IF(A2054="","N° facture manquant",IF(ISNA(MATCH(A2054,fa_num,0)),"Facture inconnue",IF(AND(B2054&lt;&gt;"",ISNA(MATCH(B2054,pr_code,0))),"Article inconnu",IF(H2054="","Désignation manquante",IF(OR(NOT(ISNUMBER(D2054)),N(D2054)&lt;=0),"Quantité invalide",IF(J2054="","Prix manquant",IF(OR(NOT(ISNUMBER(J2054)),N(J2054)&lt;0),"Prix invalide",IF(OR(AND(F2054&lt;&gt;"",NOT(ISNUMBER(F2054))),N(F2054)&lt;0,N(F2054)&gt;1),"Remise invalide",IF(K2054="","Taux de TVA manquant",IF(NOT(ISNUMBER(K2054)),"Taux de TVA invalide",IF(COUNTIF(p_rates,K2054)=0,"Taux de TVA hors liste (Paramètres)",IF(N(O2054)&gt;25,"Au-delà de 25 lignes : non imprimée","OK")))))))))))))</f>
        <v/>
      </c>
      <c r="O2054" s="59" t="str">
        <f>IF(A2054="","",COUNTIF($A$6:A2054,A2054))</f>
        <v/>
      </c>
      <c r="P2054" s="62" t="str">
        <f>IF(A2054="","",A2054&amp;"|"&amp;O2054)</f>
        <v/>
      </c>
    </row>
    <row r="2055">
      <c r="A2055" s="60" t="n"/>
      <c r="B2055" s="63" t="n"/>
      <c r="C2055" s="63" t="n"/>
      <c r="D2055" s="67" t="n"/>
      <c r="E2055" s="68" t="n"/>
      <c r="F2055" s="69" t="n"/>
      <c r="G2055" s="70" t="n"/>
      <c r="H2055" s="62" t="str">
        <f>IF(COUNTA(A2055:G2055)=0,"",IF(C2055&lt;&gt;"",C2055,IF(B2055="","",IFERROR(INDEX(pr_des,MATCH(B2055,pr_code,0))&amp;"",""))))</f>
        <v/>
      </c>
      <c r="I2055" s="59" t="str">
        <f>IF(B2055="","",IFERROR(INDEX(pr_unit,MATCH(B2055,pr_code,0))&amp;"",""))</f>
        <v/>
      </c>
      <c r="J2055" s="65" t="str">
        <f>IF(COUNTA(A2055:G2055)=0,"",IF(E2055&lt;&gt;"",E2055,IF(B2055="","",IFERROR(IF(INDEX(pr_price,MATCH(B2055,pr_code,0))="","",INDEX(pr_price,MATCH(B2055,pr_code,0))),""))))</f>
        <v/>
      </c>
      <c r="K2055" s="71" t="str">
        <f>IF(COUNTA(A2055:G2055)=0,"",IF(G2055&lt;&gt;"",G2055,IF(B2055="","",IFERROR(IF(INDEX(pr_rate,MATCH(B2055,pr_code,0))="","",INDEX(pr_rate,MATCH(B2055,pr_code,0))),""))))</f>
        <v/>
      </c>
      <c r="L2055" s="65" t="str">
        <f>IF(COUNTA(A2055:G2055)=0,"",IF(AND(ISNUMBER(D2055),ISNUMBER(J2055)),ROUND(D2055*J2055*(1-N(F2055)),2),0))</f>
        <v/>
      </c>
      <c r="M2055" s="62" t="str">
        <f>IF(A2055="","",IFERROR(INDEX(fa_cname,MATCH(A2055,fa_num,0))&amp;"",""))</f>
        <v/>
      </c>
      <c r="N2055" s="59" t="str">
        <f>IF(COUNTA(A2055:G2055)=0,"",IF(A2055="","N° facture manquant",IF(ISNA(MATCH(A2055,fa_num,0)),"Facture inconnue",IF(AND(B2055&lt;&gt;"",ISNA(MATCH(B2055,pr_code,0))),"Article inconnu",IF(H2055="","Désignation manquante",IF(OR(NOT(ISNUMBER(D2055)),N(D2055)&lt;=0),"Quantité invalide",IF(J2055="","Prix manquant",IF(OR(NOT(ISNUMBER(J2055)),N(J2055)&lt;0),"Prix invalide",IF(OR(AND(F2055&lt;&gt;"",NOT(ISNUMBER(F2055))),N(F2055)&lt;0,N(F2055)&gt;1),"Remise invalide",IF(K2055="","Taux de TVA manquant",IF(NOT(ISNUMBER(K2055)),"Taux de TVA invalide",IF(COUNTIF(p_rates,K2055)=0,"Taux de TVA hors liste (Paramètres)",IF(N(O2055)&gt;25,"Au-delà de 25 lignes : non imprimée","OK")))))))))))))</f>
        <v/>
      </c>
      <c r="O2055" s="59" t="str">
        <f>IF(A2055="","",COUNTIF($A$6:A2055,A2055))</f>
        <v/>
      </c>
      <c r="P2055" s="62" t="str">
        <f>IF(A2055="","",A2055&amp;"|"&amp;O2055)</f>
        <v/>
      </c>
    </row>
    <row r="2056">
      <c r="A2056" s="60" t="n"/>
      <c r="B2056" s="63" t="n"/>
      <c r="C2056" s="63" t="n"/>
      <c r="D2056" s="67" t="n"/>
      <c r="E2056" s="68" t="n"/>
      <c r="F2056" s="69" t="n"/>
      <c r="G2056" s="70" t="n"/>
      <c r="H2056" s="62" t="str">
        <f>IF(COUNTA(A2056:G2056)=0,"",IF(C2056&lt;&gt;"",C2056,IF(B2056="","",IFERROR(INDEX(pr_des,MATCH(B2056,pr_code,0))&amp;"",""))))</f>
        <v/>
      </c>
      <c r="I2056" s="59" t="str">
        <f>IF(B2056="","",IFERROR(INDEX(pr_unit,MATCH(B2056,pr_code,0))&amp;"",""))</f>
        <v/>
      </c>
      <c r="J2056" s="65" t="str">
        <f>IF(COUNTA(A2056:G2056)=0,"",IF(E2056&lt;&gt;"",E2056,IF(B2056="","",IFERROR(IF(INDEX(pr_price,MATCH(B2056,pr_code,0))="","",INDEX(pr_price,MATCH(B2056,pr_code,0))),""))))</f>
        <v/>
      </c>
      <c r="K2056" s="71" t="str">
        <f>IF(COUNTA(A2056:G2056)=0,"",IF(G2056&lt;&gt;"",G2056,IF(B2056="","",IFERROR(IF(INDEX(pr_rate,MATCH(B2056,pr_code,0))="","",INDEX(pr_rate,MATCH(B2056,pr_code,0))),""))))</f>
        <v/>
      </c>
      <c r="L2056" s="65" t="str">
        <f>IF(COUNTA(A2056:G2056)=0,"",IF(AND(ISNUMBER(D2056),ISNUMBER(J2056)),ROUND(D2056*J2056*(1-N(F2056)),2),0))</f>
        <v/>
      </c>
      <c r="M2056" s="62" t="str">
        <f>IF(A2056="","",IFERROR(INDEX(fa_cname,MATCH(A2056,fa_num,0))&amp;"",""))</f>
        <v/>
      </c>
      <c r="N2056" s="59" t="str">
        <f>IF(COUNTA(A2056:G2056)=0,"",IF(A2056="","N° facture manquant",IF(ISNA(MATCH(A2056,fa_num,0)),"Facture inconnue",IF(AND(B2056&lt;&gt;"",ISNA(MATCH(B2056,pr_code,0))),"Article inconnu",IF(H2056="","Désignation manquante",IF(OR(NOT(ISNUMBER(D2056)),N(D2056)&lt;=0),"Quantité invalide",IF(J2056="","Prix manquant",IF(OR(NOT(ISNUMBER(J2056)),N(J2056)&lt;0),"Prix invalide",IF(OR(AND(F2056&lt;&gt;"",NOT(ISNUMBER(F2056))),N(F2056)&lt;0,N(F2056)&gt;1),"Remise invalide",IF(K2056="","Taux de TVA manquant",IF(NOT(ISNUMBER(K2056)),"Taux de TVA invalide",IF(COUNTIF(p_rates,K2056)=0,"Taux de TVA hors liste (Paramètres)",IF(N(O2056)&gt;25,"Au-delà de 25 lignes : non imprimée","OK")))))))))))))</f>
        <v/>
      </c>
      <c r="O2056" s="59" t="str">
        <f>IF(A2056="","",COUNTIF($A$6:A2056,A2056))</f>
        <v/>
      </c>
      <c r="P2056" s="62" t="str">
        <f>IF(A2056="","",A2056&amp;"|"&amp;O2056)</f>
        <v/>
      </c>
    </row>
    <row r="2057">
      <c r="A2057" s="60" t="n"/>
      <c r="B2057" s="63" t="n"/>
      <c r="C2057" s="63" t="n"/>
      <c r="D2057" s="67" t="n"/>
      <c r="E2057" s="68" t="n"/>
      <c r="F2057" s="69" t="n"/>
      <c r="G2057" s="70" t="n"/>
      <c r="H2057" s="62" t="str">
        <f>IF(COUNTA(A2057:G2057)=0,"",IF(C2057&lt;&gt;"",C2057,IF(B2057="","",IFERROR(INDEX(pr_des,MATCH(B2057,pr_code,0))&amp;"",""))))</f>
        <v/>
      </c>
      <c r="I2057" s="59" t="str">
        <f>IF(B2057="","",IFERROR(INDEX(pr_unit,MATCH(B2057,pr_code,0))&amp;"",""))</f>
        <v/>
      </c>
      <c r="J2057" s="65" t="str">
        <f>IF(COUNTA(A2057:G2057)=0,"",IF(E2057&lt;&gt;"",E2057,IF(B2057="","",IFERROR(IF(INDEX(pr_price,MATCH(B2057,pr_code,0))="","",INDEX(pr_price,MATCH(B2057,pr_code,0))),""))))</f>
        <v/>
      </c>
      <c r="K2057" s="71" t="str">
        <f>IF(COUNTA(A2057:G2057)=0,"",IF(G2057&lt;&gt;"",G2057,IF(B2057="","",IFERROR(IF(INDEX(pr_rate,MATCH(B2057,pr_code,0))="","",INDEX(pr_rate,MATCH(B2057,pr_code,0))),""))))</f>
        <v/>
      </c>
      <c r="L2057" s="65" t="str">
        <f>IF(COUNTA(A2057:G2057)=0,"",IF(AND(ISNUMBER(D2057),ISNUMBER(J2057)),ROUND(D2057*J2057*(1-N(F2057)),2),0))</f>
        <v/>
      </c>
      <c r="M2057" s="62" t="str">
        <f>IF(A2057="","",IFERROR(INDEX(fa_cname,MATCH(A2057,fa_num,0))&amp;"",""))</f>
        <v/>
      </c>
      <c r="N2057" s="59" t="str">
        <f>IF(COUNTA(A2057:G2057)=0,"",IF(A2057="","N° facture manquant",IF(ISNA(MATCH(A2057,fa_num,0)),"Facture inconnue",IF(AND(B2057&lt;&gt;"",ISNA(MATCH(B2057,pr_code,0))),"Article inconnu",IF(H2057="","Désignation manquante",IF(OR(NOT(ISNUMBER(D2057)),N(D2057)&lt;=0),"Quantité invalide",IF(J2057="","Prix manquant",IF(OR(NOT(ISNUMBER(J2057)),N(J2057)&lt;0),"Prix invalide",IF(OR(AND(F2057&lt;&gt;"",NOT(ISNUMBER(F2057))),N(F2057)&lt;0,N(F2057)&gt;1),"Remise invalide",IF(K2057="","Taux de TVA manquant",IF(NOT(ISNUMBER(K2057)),"Taux de TVA invalide",IF(COUNTIF(p_rates,K2057)=0,"Taux de TVA hors liste (Paramètres)",IF(N(O2057)&gt;25,"Au-delà de 25 lignes : non imprimée","OK")))))))))))))</f>
        <v/>
      </c>
      <c r="O2057" s="59" t="str">
        <f>IF(A2057="","",COUNTIF($A$6:A2057,A2057))</f>
        <v/>
      </c>
      <c r="P2057" s="62" t="str">
        <f>IF(A2057="","",A2057&amp;"|"&amp;O2057)</f>
        <v/>
      </c>
    </row>
    <row r="2058">
      <c r="A2058" s="60" t="n"/>
      <c r="B2058" s="63" t="n"/>
      <c r="C2058" s="63" t="n"/>
      <c r="D2058" s="67" t="n"/>
      <c r="E2058" s="68" t="n"/>
      <c r="F2058" s="69" t="n"/>
      <c r="G2058" s="70" t="n"/>
      <c r="H2058" s="62" t="str">
        <f>IF(COUNTA(A2058:G2058)=0,"",IF(C2058&lt;&gt;"",C2058,IF(B2058="","",IFERROR(INDEX(pr_des,MATCH(B2058,pr_code,0))&amp;"",""))))</f>
        <v/>
      </c>
      <c r="I2058" s="59" t="str">
        <f>IF(B2058="","",IFERROR(INDEX(pr_unit,MATCH(B2058,pr_code,0))&amp;"",""))</f>
        <v/>
      </c>
      <c r="J2058" s="65" t="str">
        <f>IF(COUNTA(A2058:G2058)=0,"",IF(E2058&lt;&gt;"",E2058,IF(B2058="","",IFERROR(IF(INDEX(pr_price,MATCH(B2058,pr_code,0))="","",INDEX(pr_price,MATCH(B2058,pr_code,0))),""))))</f>
        <v/>
      </c>
      <c r="K2058" s="71" t="str">
        <f>IF(COUNTA(A2058:G2058)=0,"",IF(G2058&lt;&gt;"",G2058,IF(B2058="","",IFERROR(IF(INDEX(pr_rate,MATCH(B2058,pr_code,0))="","",INDEX(pr_rate,MATCH(B2058,pr_code,0))),""))))</f>
        <v/>
      </c>
      <c r="L2058" s="65" t="str">
        <f>IF(COUNTA(A2058:G2058)=0,"",IF(AND(ISNUMBER(D2058),ISNUMBER(J2058)),ROUND(D2058*J2058*(1-N(F2058)),2),0))</f>
        <v/>
      </c>
      <c r="M2058" s="62" t="str">
        <f>IF(A2058="","",IFERROR(INDEX(fa_cname,MATCH(A2058,fa_num,0))&amp;"",""))</f>
        <v/>
      </c>
      <c r="N2058" s="59" t="str">
        <f>IF(COUNTA(A2058:G2058)=0,"",IF(A2058="","N° facture manquant",IF(ISNA(MATCH(A2058,fa_num,0)),"Facture inconnue",IF(AND(B2058&lt;&gt;"",ISNA(MATCH(B2058,pr_code,0))),"Article inconnu",IF(H2058="","Désignation manquante",IF(OR(NOT(ISNUMBER(D2058)),N(D2058)&lt;=0),"Quantité invalide",IF(J2058="","Prix manquant",IF(OR(NOT(ISNUMBER(J2058)),N(J2058)&lt;0),"Prix invalide",IF(OR(AND(F2058&lt;&gt;"",NOT(ISNUMBER(F2058))),N(F2058)&lt;0,N(F2058)&gt;1),"Remise invalide",IF(K2058="","Taux de TVA manquant",IF(NOT(ISNUMBER(K2058)),"Taux de TVA invalide",IF(COUNTIF(p_rates,K2058)=0,"Taux de TVA hors liste (Paramètres)",IF(N(O2058)&gt;25,"Au-delà de 25 lignes : non imprimée","OK")))))))))))))</f>
        <v/>
      </c>
      <c r="O2058" s="59" t="str">
        <f>IF(A2058="","",COUNTIF($A$6:A2058,A2058))</f>
        <v/>
      </c>
      <c r="P2058" s="62" t="str">
        <f>IF(A2058="","",A2058&amp;"|"&amp;O2058)</f>
        <v/>
      </c>
    </row>
    <row r="2059">
      <c r="A2059" s="60" t="n"/>
      <c r="B2059" s="63" t="n"/>
      <c r="C2059" s="63" t="n"/>
      <c r="D2059" s="67" t="n"/>
      <c r="E2059" s="68" t="n"/>
      <c r="F2059" s="69" t="n"/>
      <c r="G2059" s="70" t="n"/>
      <c r="H2059" s="62" t="str">
        <f>IF(COUNTA(A2059:G2059)=0,"",IF(C2059&lt;&gt;"",C2059,IF(B2059="","",IFERROR(INDEX(pr_des,MATCH(B2059,pr_code,0))&amp;"",""))))</f>
        <v/>
      </c>
      <c r="I2059" s="59" t="str">
        <f>IF(B2059="","",IFERROR(INDEX(pr_unit,MATCH(B2059,pr_code,0))&amp;"",""))</f>
        <v/>
      </c>
      <c r="J2059" s="65" t="str">
        <f>IF(COUNTA(A2059:G2059)=0,"",IF(E2059&lt;&gt;"",E2059,IF(B2059="","",IFERROR(IF(INDEX(pr_price,MATCH(B2059,pr_code,0))="","",INDEX(pr_price,MATCH(B2059,pr_code,0))),""))))</f>
        <v/>
      </c>
      <c r="K2059" s="71" t="str">
        <f>IF(COUNTA(A2059:G2059)=0,"",IF(G2059&lt;&gt;"",G2059,IF(B2059="","",IFERROR(IF(INDEX(pr_rate,MATCH(B2059,pr_code,0))="","",INDEX(pr_rate,MATCH(B2059,pr_code,0))),""))))</f>
        <v/>
      </c>
      <c r="L2059" s="65" t="str">
        <f>IF(COUNTA(A2059:G2059)=0,"",IF(AND(ISNUMBER(D2059),ISNUMBER(J2059)),ROUND(D2059*J2059*(1-N(F2059)),2),0))</f>
        <v/>
      </c>
      <c r="M2059" s="62" t="str">
        <f>IF(A2059="","",IFERROR(INDEX(fa_cname,MATCH(A2059,fa_num,0))&amp;"",""))</f>
        <v/>
      </c>
      <c r="N2059" s="59" t="str">
        <f>IF(COUNTA(A2059:G2059)=0,"",IF(A2059="","N° facture manquant",IF(ISNA(MATCH(A2059,fa_num,0)),"Facture inconnue",IF(AND(B2059&lt;&gt;"",ISNA(MATCH(B2059,pr_code,0))),"Article inconnu",IF(H2059="","Désignation manquante",IF(OR(NOT(ISNUMBER(D2059)),N(D2059)&lt;=0),"Quantité invalide",IF(J2059="","Prix manquant",IF(OR(NOT(ISNUMBER(J2059)),N(J2059)&lt;0),"Prix invalide",IF(OR(AND(F2059&lt;&gt;"",NOT(ISNUMBER(F2059))),N(F2059)&lt;0,N(F2059)&gt;1),"Remise invalide",IF(K2059="","Taux de TVA manquant",IF(NOT(ISNUMBER(K2059)),"Taux de TVA invalide",IF(COUNTIF(p_rates,K2059)=0,"Taux de TVA hors liste (Paramètres)",IF(N(O2059)&gt;25,"Au-delà de 25 lignes : non imprimée","OK")))))))))))))</f>
        <v/>
      </c>
      <c r="O2059" s="59" t="str">
        <f>IF(A2059="","",COUNTIF($A$6:A2059,A2059))</f>
        <v/>
      </c>
      <c r="P2059" s="62" t="str">
        <f>IF(A2059="","",A2059&amp;"|"&amp;O2059)</f>
        <v/>
      </c>
    </row>
    <row r="2060">
      <c r="A2060" s="60" t="n"/>
      <c r="B2060" s="63" t="n"/>
      <c r="C2060" s="63" t="n"/>
      <c r="D2060" s="67" t="n"/>
      <c r="E2060" s="68" t="n"/>
      <c r="F2060" s="69" t="n"/>
      <c r="G2060" s="70" t="n"/>
      <c r="H2060" s="62" t="str">
        <f>IF(COUNTA(A2060:G2060)=0,"",IF(C2060&lt;&gt;"",C2060,IF(B2060="","",IFERROR(INDEX(pr_des,MATCH(B2060,pr_code,0))&amp;"",""))))</f>
        <v/>
      </c>
      <c r="I2060" s="59" t="str">
        <f>IF(B2060="","",IFERROR(INDEX(pr_unit,MATCH(B2060,pr_code,0))&amp;"",""))</f>
        <v/>
      </c>
      <c r="J2060" s="65" t="str">
        <f>IF(COUNTA(A2060:G2060)=0,"",IF(E2060&lt;&gt;"",E2060,IF(B2060="","",IFERROR(IF(INDEX(pr_price,MATCH(B2060,pr_code,0))="","",INDEX(pr_price,MATCH(B2060,pr_code,0))),""))))</f>
        <v/>
      </c>
      <c r="K2060" s="71" t="str">
        <f>IF(COUNTA(A2060:G2060)=0,"",IF(G2060&lt;&gt;"",G2060,IF(B2060="","",IFERROR(IF(INDEX(pr_rate,MATCH(B2060,pr_code,0))="","",INDEX(pr_rate,MATCH(B2060,pr_code,0))),""))))</f>
        <v/>
      </c>
      <c r="L2060" s="65" t="str">
        <f>IF(COUNTA(A2060:G2060)=0,"",IF(AND(ISNUMBER(D2060),ISNUMBER(J2060)),ROUND(D2060*J2060*(1-N(F2060)),2),0))</f>
        <v/>
      </c>
      <c r="M2060" s="62" t="str">
        <f>IF(A2060="","",IFERROR(INDEX(fa_cname,MATCH(A2060,fa_num,0))&amp;"",""))</f>
        <v/>
      </c>
      <c r="N2060" s="59" t="str">
        <f>IF(COUNTA(A2060:G2060)=0,"",IF(A2060="","N° facture manquant",IF(ISNA(MATCH(A2060,fa_num,0)),"Facture inconnue",IF(AND(B2060&lt;&gt;"",ISNA(MATCH(B2060,pr_code,0))),"Article inconnu",IF(H2060="","Désignation manquante",IF(OR(NOT(ISNUMBER(D2060)),N(D2060)&lt;=0),"Quantité invalide",IF(J2060="","Prix manquant",IF(OR(NOT(ISNUMBER(J2060)),N(J2060)&lt;0),"Prix invalide",IF(OR(AND(F2060&lt;&gt;"",NOT(ISNUMBER(F2060))),N(F2060)&lt;0,N(F2060)&gt;1),"Remise invalide",IF(K2060="","Taux de TVA manquant",IF(NOT(ISNUMBER(K2060)),"Taux de TVA invalide",IF(COUNTIF(p_rates,K2060)=0,"Taux de TVA hors liste (Paramètres)",IF(N(O2060)&gt;25,"Au-delà de 25 lignes : non imprimée","OK")))))))))))))</f>
        <v/>
      </c>
      <c r="O2060" s="59" t="str">
        <f>IF(A2060="","",COUNTIF($A$6:A2060,A2060))</f>
        <v/>
      </c>
      <c r="P2060" s="62" t="str">
        <f>IF(A2060="","",A2060&amp;"|"&amp;O2060)</f>
        <v/>
      </c>
    </row>
    <row r="2061">
      <c r="A2061" s="60" t="n"/>
      <c r="B2061" s="63" t="n"/>
      <c r="C2061" s="63" t="n"/>
      <c r="D2061" s="67" t="n"/>
      <c r="E2061" s="68" t="n"/>
      <c r="F2061" s="69" t="n"/>
      <c r="G2061" s="70" t="n"/>
      <c r="H2061" s="62" t="str">
        <f>IF(COUNTA(A2061:G2061)=0,"",IF(C2061&lt;&gt;"",C2061,IF(B2061="","",IFERROR(INDEX(pr_des,MATCH(B2061,pr_code,0))&amp;"",""))))</f>
        <v/>
      </c>
      <c r="I2061" s="59" t="str">
        <f>IF(B2061="","",IFERROR(INDEX(pr_unit,MATCH(B2061,pr_code,0))&amp;"",""))</f>
        <v/>
      </c>
      <c r="J2061" s="65" t="str">
        <f>IF(COUNTA(A2061:G2061)=0,"",IF(E2061&lt;&gt;"",E2061,IF(B2061="","",IFERROR(IF(INDEX(pr_price,MATCH(B2061,pr_code,0))="","",INDEX(pr_price,MATCH(B2061,pr_code,0))),""))))</f>
        <v/>
      </c>
      <c r="K2061" s="71" t="str">
        <f>IF(COUNTA(A2061:G2061)=0,"",IF(G2061&lt;&gt;"",G2061,IF(B2061="","",IFERROR(IF(INDEX(pr_rate,MATCH(B2061,pr_code,0))="","",INDEX(pr_rate,MATCH(B2061,pr_code,0))),""))))</f>
        <v/>
      </c>
      <c r="L2061" s="65" t="str">
        <f>IF(COUNTA(A2061:G2061)=0,"",IF(AND(ISNUMBER(D2061),ISNUMBER(J2061)),ROUND(D2061*J2061*(1-N(F2061)),2),0))</f>
        <v/>
      </c>
      <c r="M2061" s="62" t="str">
        <f>IF(A2061="","",IFERROR(INDEX(fa_cname,MATCH(A2061,fa_num,0))&amp;"",""))</f>
        <v/>
      </c>
      <c r="N2061" s="59" t="str">
        <f>IF(COUNTA(A2061:G2061)=0,"",IF(A2061="","N° facture manquant",IF(ISNA(MATCH(A2061,fa_num,0)),"Facture inconnue",IF(AND(B2061&lt;&gt;"",ISNA(MATCH(B2061,pr_code,0))),"Article inconnu",IF(H2061="","Désignation manquante",IF(OR(NOT(ISNUMBER(D2061)),N(D2061)&lt;=0),"Quantité invalide",IF(J2061="","Prix manquant",IF(OR(NOT(ISNUMBER(J2061)),N(J2061)&lt;0),"Prix invalide",IF(OR(AND(F2061&lt;&gt;"",NOT(ISNUMBER(F2061))),N(F2061)&lt;0,N(F2061)&gt;1),"Remise invalide",IF(K2061="","Taux de TVA manquant",IF(NOT(ISNUMBER(K2061)),"Taux de TVA invalide",IF(COUNTIF(p_rates,K2061)=0,"Taux de TVA hors liste (Paramètres)",IF(N(O2061)&gt;25,"Au-delà de 25 lignes : non imprimée","OK")))))))))))))</f>
        <v/>
      </c>
      <c r="O2061" s="59" t="str">
        <f>IF(A2061="","",COUNTIF($A$6:A2061,A2061))</f>
        <v/>
      </c>
      <c r="P2061" s="62" t="str">
        <f>IF(A2061="","",A2061&amp;"|"&amp;O2061)</f>
        <v/>
      </c>
    </row>
    <row r="2062">
      <c r="A2062" s="60" t="n"/>
      <c r="B2062" s="63" t="n"/>
      <c r="C2062" s="63" t="n"/>
      <c r="D2062" s="67" t="n"/>
      <c r="E2062" s="68" t="n"/>
      <c r="F2062" s="69" t="n"/>
      <c r="G2062" s="70" t="n"/>
      <c r="H2062" s="62" t="str">
        <f>IF(COUNTA(A2062:G2062)=0,"",IF(C2062&lt;&gt;"",C2062,IF(B2062="","",IFERROR(INDEX(pr_des,MATCH(B2062,pr_code,0))&amp;"",""))))</f>
        <v/>
      </c>
      <c r="I2062" s="59" t="str">
        <f>IF(B2062="","",IFERROR(INDEX(pr_unit,MATCH(B2062,pr_code,0))&amp;"",""))</f>
        <v/>
      </c>
      <c r="J2062" s="65" t="str">
        <f>IF(COUNTA(A2062:G2062)=0,"",IF(E2062&lt;&gt;"",E2062,IF(B2062="","",IFERROR(IF(INDEX(pr_price,MATCH(B2062,pr_code,0))="","",INDEX(pr_price,MATCH(B2062,pr_code,0))),""))))</f>
        <v/>
      </c>
      <c r="K2062" s="71" t="str">
        <f>IF(COUNTA(A2062:G2062)=0,"",IF(G2062&lt;&gt;"",G2062,IF(B2062="","",IFERROR(IF(INDEX(pr_rate,MATCH(B2062,pr_code,0))="","",INDEX(pr_rate,MATCH(B2062,pr_code,0))),""))))</f>
        <v/>
      </c>
      <c r="L2062" s="65" t="str">
        <f>IF(COUNTA(A2062:G2062)=0,"",IF(AND(ISNUMBER(D2062),ISNUMBER(J2062)),ROUND(D2062*J2062*(1-N(F2062)),2),0))</f>
        <v/>
      </c>
      <c r="M2062" s="62" t="str">
        <f>IF(A2062="","",IFERROR(INDEX(fa_cname,MATCH(A2062,fa_num,0))&amp;"",""))</f>
        <v/>
      </c>
      <c r="N2062" s="59" t="str">
        <f>IF(COUNTA(A2062:G2062)=0,"",IF(A2062="","N° facture manquant",IF(ISNA(MATCH(A2062,fa_num,0)),"Facture inconnue",IF(AND(B2062&lt;&gt;"",ISNA(MATCH(B2062,pr_code,0))),"Article inconnu",IF(H2062="","Désignation manquante",IF(OR(NOT(ISNUMBER(D2062)),N(D2062)&lt;=0),"Quantité invalide",IF(J2062="","Prix manquant",IF(OR(NOT(ISNUMBER(J2062)),N(J2062)&lt;0),"Prix invalide",IF(OR(AND(F2062&lt;&gt;"",NOT(ISNUMBER(F2062))),N(F2062)&lt;0,N(F2062)&gt;1),"Remise invalide",IF(K2062="","Taux de TVA manquant",IF(NOT(ISNUMBER(K2062)),"Taux de TVA invalide",IF(COUNTIF(p_rates,K2062)=0,"Taux de TVA hors liste (Paramètres)",IF(N(O2062)&gt;25,"Au-delà de 25 lignes : non imprimée","OK")))))))))))))</f>
        <v/>
      </c>
      <c r="O2062" s="59" t="str">
        <f>IF(A2062="","",COUNTIF($A$6:A2062,A2062))</f>
        <v/>
      </c>
      <c r="P2062" s="62" t="str">
        <f>IF(A2062="","",A2062&amp;"|"&amp;O2062)</f>
        <v/>
      </c>
    </row>
    <row r="2063">
      <c r="A2063" s="60" t="n"/>
      <c r="B2063" s="63" t="n"/>
      <c r="C2063" s="63" t="n"/>
      <c r="D2063" s="67" t="n"/>
      <c r="E2063" s="68" t="n"/>
      <c r="F2063" s="69" t="n"/>
      <c r="G2063" s="70" t="n"/>
      <c r="H2063" s="62" t="str">
        <f>IF(COUNTA(A2063:G2063)=0,"",IF(C2063&lt;&gt;"",C2063,IF(B2063="","",IFERROR(INDEX(pr_des,MATCH(B2063,pr_code,0))&amp;"",""))))</f>
        <v/>
      </c>
      <c r="I2063" s="59" t="str">
        <f>IF(B2063="","",IFERROR(INDEX(pr_unit,MATCH(B2063,pr_code,0))&amp;"",""))</f>
        <v/>
      </c>
      <c r="J2063" s="65" t="str">
        <f>IF(COUNTA(A2063:G2063)=0,"",IF(E2063&lt;&gt;"",E2063,IF(B2063="","",IFERROR(IF(INDEX(pr_price,MATCH(B2063,pr_code,0))="","",INDEX(pr_price,MATCH(B2063,pr_code,0))),""))))</f>
        <v/>
      </c>
      <c r="K2063" s="71" t="str">
        <f>IF(COUNTA(A2063:G2063)=0,"",IF(G2063&lt;&gt;"",G2063,IF(B2063="","",IFERROR(IF(INDEX(pr_rate,MATCH(B2063,pr_code,0))="","",INDEX(pr_rate,MATCH(B2063,pr_code,0))),""))))</f>
        <v/>
      </c>
      <c r="L2063" s="65" t="str">
        <f>IF(COUNTA(A2063:G2063)=0,"",IF(AND(ISNUMBER(D2063),ISNUMBER(J2063)),ROUND(D2063*J2063*(1-N(F2063)),2),0))</f>
        <v/>
      </c>
      <c r="M2063" s="62" t="str">
        <f>IF(A2063="","",IFERROR(INDEX(fa_cname,MATCH(A2063,fa_num,0))&amp;"",""))</f>
        <v/>
      </c>
      <c r="N2063" s="59" t="str">
        <f>IF(COUNTA(A2063:G2063)=0,"",IF(A2063="","N° facture manquant",IF(ISNA(MATCH(A2063,fa_num,0)),"Facture inconnue",IF(AND(B2063&lt;&gt;"",ISNA(MATCH(B2063,pr_code,0))),"Article inconnu",IF(H2063="","Désignation manquante",IF(OR(NOT(ISNUMBER(D2063)),N(D2063)&lt;=0),"Quantité invalide",IF(J2063="","Prix manquant",IF(OR(NOT(ISNUMBER(J2063)),N(J2063)&lt;0),"Prix invalide",IF(OR(AND(F2063&lt;&gt;"",NOT(ISNUMBER(F2063))),N(F2063)&lt;0,N(F2063)&gt;1),"Remise invalide",IF(K2063="","Taux de TVA manquant",IF(NOT(ISNUMBER(K2063)),"Taux de TVA invalide",IF(COUNTIF(p_rates,K2063)=0,"Taux de TVA hors liste (Paramètres)",IF(N(O2063)&gt;25,"Au-delà de 25 lignes : non imprimée","OK")))))))))))))</f>
        <v/>
      </c>
      <c r="O2063" s="59" t="str">
        <f>IF(A2063="","",COUNTIF($A$6:A2063,A2063))</f>
        <v/>
      </c>
      <c r="P2063" s="62" t="str">
        <f>IF(A2063="","",A2063&amp;"|"&amp;O2063)</f>
        <v/>
      </c>
    </row>
    <row r="2064">
      <c r="A2064" s="60" t="n"/>
      <c r="B2064" s="63" t="n"/>
      <c r="C2064" s="63" t="n"/>
      <c r="D2064" s="67" t="n"/>
      <c r="E2064" s="68" t="n"/>
      <c r="F2064" s="69" t="n"/>
      <c r="G2064" s="70" t="n"/>
      <c r="H2064" s="62" t="str">
        <f>IF(COUNTA(A2064:G2064)=0,"",IF(C2064&lt;&gt;"",C2064,IF(B2064="","",IFERROR(INDEX(pr_des,MATCH(B2064,pr_code,0))&amp;"",""))))</f>
        <v/>
      </c>
      <c r="I2064" s="59" t="str">
        <f>IF(B2064="","",IFERROR(INDEX(pr_unit,MATCH(B2064,pr_code,0))&amp;"",""))</f>
        <v/>
      </c>
      <c r="J2064" s="65" t="str">
        <f>IF(COUNTA(A2064:G2064)=0,"",IF(E2064&lt;&gt;"",E2064,IF(B2064="","",IFERROR(IF(INDEX(pr_price,MATCH(B2064,pr_code,0))="","",INDEX(pr_price,MATCH(B2064,pr_code,0))),""))))</f>
        <v/>
      </c>
      <c r="K2064" s="71" t="str">
        <f>IF(COUNTA(A2064:G2064)=0,"",IF(G2064&lt;&gt;"",G2064,IF(B2064="","",IFERROR(IF(INDEX(pr_rate,MATCH(B2064,pr_code,0))="","",INDEX(pr_rate,MATCH(B2064,pr_code,0))),""))))</f>
        <v/>
      </c>
      <c r="L2064" s="65" t="str">
        <f>IF(COUNTA(A2064:G2064)=0,"",IF(AND(ISNUMBER(D2064),ISNUMBER(J2064)),ROUND(D2064*J2064*(1-N(F2064)),2),0))</f>
        <v/>
      </c>
      <c r="M2064" s="62" t="str">
        <f>IF(A2064="","",IFERROR(INDEX(fa_cname,MATCH(A2064,fa_num,0))&amp;"",""))</f>
        <v/>
      </c>
      <c r="N2064" s="59" t="str">
        <f>IF(COUNTA(A2064:G2064)=0,"",IF(A2064="","N° facture manquant",IF(ISNA(MATCH(A2064,fa_num,0)),"Facture inconnue",IF(AND(B2064&lt;&gt;"",ISNA(MATCH(B2064,pr_code,0))),"Article inconnu",IF(H2064="","Désignation manquante",IF(OR(NOT(ISNUMBER(D2064)),N(D2064)&lt;=0),"Quantité invalide",IF(J2064="","Prix manquant",IF(OR(NOT(ISNUMBER(J2064)),N(J2064)&lt;0),"Prix invalide",IF(OR(AND(F2064&lt;&gt;"",NOT(ISNUMBER(F2064))),N(F2064)&lt;0,N(F2064)&gt;1),"Remise invalide",IF(K2064="","Taux de TVA manquant",IF(NOT(ISNUMBER(K2064)),"Taux de TVA invalide",IF(COUNTIF(p_rates,K2064)=0,"Taux de TVA hors liste (Paramètres)",IF(N(O2064)&gt;25,"Au-delà de 25 lignes : non imprimée","OK")))))))))))))</f>
        <v/>
      </c>
      <c r="O2064" s="59" t="str">
        <f>IF(A2064="","",COUNTIF($A$6:A2064,A2064))</f>
        <v/>
      </c>
      <c r="P2064" s="62" t="str">
        <f>IF(A2064="","",A2064&amp;"|"&amp;O2064)</f>
        <v/>
      </c>
    </row>
    <row r="2065">
      <c r="A2065" s="60" t="n"/>
      <c r="B2065" s="63" t="n"/>
      <c r="C2065" s="63" t="n"/>
      <c r="D2065" s="67" t="n"/>
      <c r="E2065" s="68" t="n"/>
      <c r="F2065" s="69" t="n"/>
      <c r="G2065" s="70" t="n"/>
      <c r="H2065" s="62" t="str">
        <f>IF(COUNTA(A2065:G2065)=0,"",IF(C2065&lt;&gt;"",C2065,IF(B2065="","",IFERROR(INDEX(pr_des,MATCH(B2065,pr_code,0))&amp;"",""))))</f>
        <v/>
      </c>
      <c r="I2065" s="59" t="str">
        <f>IF(B2065="","",IFERROR(INDEX(pr_unit,MATCH(B2065,pr_code,0))&amp;"",""))</f>
        <v/>
      </c>
      <c r="J2065" s="65" t="str">
        <f>IF(COUNTA(A2065:G2065)=0,"",IF(E2065&lt;&gt;"",E2065,IF(B2065="","",IFERROR(IF(INDEX(pr_price,MATCH(B2065,pr_code,0))="","",INDEX(pr_price,MATCH(B2065,pr_code,0))),""))))</f>
        <v/>
      </c>
      <c r="K2065" s="71" t="str">
        <f>IF(COUNTA(A2065:G2065)=0,"",IF(G2065&lt;&gt;"",G2065,IF(B2065="","",IFERROR(IF(INDEX(pr_rate,MATCH(B2065,pr_code,0))="","",INDEX(pr_rate,MATCH(B2065,pr_code,0))),""))))</f>
        <v/>
      </c>
      <c r="L2065" s="65" t="str">
        <f>IF(COUNTA(A2065:G2065)=0,"",IF(AND(ISNUMBER(D2065),ISNUMBER(J2065)),ROUND(D2065*J2065*(1-N(F2065)),2),0))</f>
        <v/>
      </c>
      <c r="M2065" s="62" t="str">
        <f>IF(A2065="","",IFERROR(INDEX(fa_cname,MATCH(A2065,fa_num,0))&amp;"",""))</f>
        <v/>
      </c>
      <c r="N2065" s="59" t="str">
        <f>IF(COUNTA(A2065:G2065)=0,"",IF(A2065="","N° facture manquant",IF(ISNA(MATCH(A2065,fa_num,0)),"Facture inconnue",IF(AND(B2065&lt;&gt;"",ISNA(MATCH(B2065,pr_code,0))),"Article inconnu",IF(H2065="","Désignation manquante",IF(OR(NOT(ISNUMBER(D2065)),N(D2065)&lt;=0),"Quantité invalide",IF(J2065="","Prix manquant",IF(OR(NOT(ISNUMBER(J2065)),N(J2065)&lt;0),"Prix invalide",IF(OR(AND(F2065&lt;&gt;"",NOT(ISNUMBER(F2065))),N(F2065)&lt;0,N(F2065)&gt;1),"Remise invalide",IF(K2065="","Taux de TVA manquant",IF(NOT(ISNUMBER(K2065)),"Taux de TVA invalide",IF(COUNTIF(p_rates,K2065)=0,"Taux de TVA hors liste (Paramètres)",IF(N(O2065)&gt;25,"Au-delà de 25 lignes : non imprimée","OK")))))))))))))</f>
        <v/>
      </c>
      <c r="O2065" s="59" t="str">
        <f>IF(A2065="","",COUNTIF($A$6:A2065,A2065))</f>
        <v/>
      </c>
      <c r="P2065" s="62" t="str">
        <f>IF(A2065="","",A2065&amp;"|"&amp;O2065)</f>
        <v/>
      </c>
    </row>
    <row r="2066">
      <c r="A2066" s="60" t="n"/>
      <c r="B2066" s="63" t="n"/>
      <c r="C2066" s="63" t="n"/>
      <c r="D2066" s="67" t="n"/>
      <c r="E2066" s="68" t="n"/>
      <c r="F2066" s="69" t="n"/>
      <c r="G2066" s="70" t="n"/>
      <c r="H2066" s="62" t="str">
        <f>IF(COUNTA(A2066:G2066)=0,"",IF(C2066&lt;&gt;"",C2066,IF(B2066="","",IFERROR(INDEX(pr_des,MATCH(B2066,pr_code,0))&amp;"",""))))</f>
        <v/>
      </c>
      <c r="I2066" s="59" t="str">
        <f>IF(B2066="","",IFERROR(INDEX(pr_unit,MATCH(B2066,pr_code,0))&amp;"",""))</f>
        <v/>
      </c>
      <c r="J2066" s="65" t="str">
        <f>IF(COUNTA(A2066:G2066)=0,"",IF(E2066&lt;&gt;"",E2066,IF(B2066="","",IFERROR(IF(INDEX(pr_price,MATCH(B2066,pr_code,0))="","",INDEX(pr_price,MATCH(B2066,pr_code,0))),""))))</f>
        <v/>
      </c>
      <c r="K2066" s="71" t="str">
        <f>IF(COUNTA(A2066:G2066)=0,"",IF(G2066&lt;&gt;"",G2066,IF(B2066="","",IFERROR(IF(INDEX(pr_rate,MATCH(B2066,pr_code,0))="","",INDEX(pr_rate,MATCH(B2066,pr_code,0))),""))))</f>
        <v/>
      </c>
      <c r="L2066" s="65" t="str">
        <f>IF(COUNTA(A2066:G2066)=0,"",IF(AND(ISNUMBER(D2066),ISNUMBER(J2066)),ROUND(D2066*J2066*(1-N(F2066)),2),0))</f>
        <v/>
      </c>
      <c r="M2066" s="62" t="str">
        <f>IF(A2066="","",IFERROR(INDEX(fa_cname,MATCH(A2066,fa_num,0))&amp;"",""))</f>
        <v/>
      </c>
      <c r="N2066" s="59" t="str">
        <f>IF(COUNTA(A2066:G2066)=0,"",IF(A2066="","N° facture manquant",IF(ISNA(MATCH(A2066,fa_num,0)),"Facture inconnue",IF(AND(B2066&lt;&gt;"",ISNA(MATCH(B2066,pr_code,0))),"Article inconnu",IF(H2066="","Désignation manquante",IF(OR(NOT(ISNUMBER(D2066)),N(D2066)&lt;=0),"Quantité invalide",IF(J2066="","Prix manquant",IF(OR(NOT(ISNUMBER(J2066)),N(J2066)&lt;0),"Prix invalide",IF(OR(AND(F2066&lt;&gt;"",NOT(ISNUMBER(F2066))),N(F2066)&lt;0,N(F2066)&gt;1),"Remise invalide",IF(K2066="","Taux de TVA manquant",IF(NOT(ISNUMBER(K2066)),"Taux de TVA invalide",IF(COUNTIF(p_rates,K2066)=0,"Taux de TVA hors liste (Paramètres)",IF(N(O2066)&gt;25,"Au-delà de 25 lignes : non imprimée","OK")))))))))))))</f>
        <v/>
      </c>
      <c r="O2066" s="59" t="str">
        <f>IF(A2066="","",COUNTIF($A$6:A2066,A2066))</f>
        <v/>
      </c>
      <c r="P2066" s="62" t="str">
        <f>IF(A2066="","",A2066&amp;"|"&amp;O2066)</f>
        <v/>
      </c>
    </row>
    <row r="2067">
      <c r="A2067" s="60" t="n"/>
      <c r="B2067" s="63" t="n"/>
      <c r="C2067" s="63" t="n"/>
      <c r="D2067" s="67" t="n"/>
      <c r="E2067" s="68" t="n"/>
      <c r="F2067" s="69" t="n"/>
      <c r="G2067" s="70" t="n"/>
      <c r="H2067" s="62" t="str">
        <f>IF(COUNTA(A2067:G2067)=0,"",IF(C2067&lt;&gt;"",C2067,IF(B2067="","",IFERROR(INDEX(pr_des,MATCH(B2067,pr_code,0))&amp;"",""))))</f>
        <v/>
      </c>
      <c r="I2067" s="59" t="str">
        <f>IF(B2067="","",IFERROR(INDEX(pr_unit,MATCH(B2067,pr_code,0))&amp;"",""))</f>
        <v/>
      </c>
      <c r="J2067" s="65" t="str">
        <f>IF(COUNTA(A2067:G2067)=0,"",IF(E2067&lt;&gt;"",E2067,IF(B2067="","",IFERROR(IF(INDEX(pr_price,MATCH(B2067,pr_code,0))="","",INDEX(pr_price,MATCH(B2067,pr_code,0))),""))))</f>
        <v/>
      </c>
      <c r="K2067" s="71" t="str">
        <f>IF(COUNTA(A2067:G2067)=0,"",IF(G2067&lt;&gt;"",G2067,IF(B2067="","",IFERROR(IF(INDEX(pr_rate,MATCH(B2067,pr_code,0))="","",INDEX(pr_rate,MATCH(B2067,pr_code,0))),""))))</f>
        <v/>
      </c>
      <c r="L2067" s="65" t="str">
        <f>IF(COUNTA(A2067:G2067)=0,"",IF(AND(ISNUMBER(D2067),ISNUMBER(J2067)),ROUND(D2067*J2067*(1-N(F2067)),2),0))</f>
        <v/>
      </c>
      <c r="M2067" s="62" t="str">
        <f>IF(A2067="","",IFERROR(INDEX(fa_cname,MATCH(A2067,fa_num,0))&amp;"",""))</f>
        <v/>
      </c>
      <c r="N2067" s="59" t="str">
        <f>IF(COUNTA(A2067:G2067)=0,"",IF(A2067="","N° facture manquant",IF(ISNA(MATCH(A2067,fa_num,0)),"Facture inconnue",IF(AND(B2067&lt;&gt;"",ISNA(MATCH(B2067,pr_code,0))),"Article inconnu",IF(H2067="","Désignation manquante",IF(OR(NOT(ISNUMBER(D2067)),N(D2067)&lt;=0),"Quantité invalide",IF(J2067="","Prix manquant",IF(OR(NOT(ISNUMBER(J2067)),N(J2067)&lt;0),"Prix invalide",IF(OR(AND(F2067&lt;&gt;"",NOT(ISNUMBER(F2067))),N(F2067)&lt;0,N(F2067)&gt;1),"Remise invalide",IF(K2067="","Taux de TVA manquant",IF(NOT(ISNUMBER(K2067)),"Taux de TVA invalide",IF(COUNTIF(p_rates,K2067)=0,"Taux de TVA hors liste (Paramètres)",IF(N(O2067)&gt;25,"Au-delà de 25 lignes : non imprimée","OK")))))))))))))</f>
        <v/>
      </c>
      <c r="O2067" s="59" t="str">
        <f>IF(A2067="","",COUNTIF($A$6:A2067,A2067))</f>
        <v/>
      </c>
      <c r="P2067" s="62" t="str">
        <f>IF(A2067="","",A2067&amp;"|"&amp;O2067)</f>
        <v/>
      </c>
    </row>
    <row r="2068">
      <c r="A2068" s="60" t="n"/>
      <c r="B2068" s="63" t="n"/>
      <c r="C2068" s="63" t="n"/>
      <c r="D2068" s="67" t="n"/>
      <c r="E2068" s="68" t="n"/>
      <c r="F2068" s="69" t="n"/>
      <c r="G2068" s="70" t="n"/>
      <c r="H2068" s="62" t="str">
        <f>IF(COUNTA(A2068:G2068)=0,"",IF(C2068&lt;&gt;"",C2068,IF(B2068="","",IFERROR(INDEX(pr_des,MATCH(B2068,pr_code,0))&amp;"",""))))</f>
        <v/>
      </c>
      <c r="I2068" s="59" t="str">
        <f>IF(B2068="","",IFERROR(INDEX(pr_unit,MATCH(B2068,pr_code,0))&amp;"",""))</f>
        <v/>
      </c>
      <c r="J2068" s="65" t="str">
        <f>IF(COUNTA(A2068:G2068)=0,"",IF(E2068&lt;&gt;"",E2068,IF(B2068="","",IFERROR(IF(INDEX(pr_price,MATCH(B2068,pr_code,0))="","",INDEX(pr_price,MATCH(B2068,pr_code,0))),""))))</f>
        <v/>
      </c>
      <c r="K2068" s="71" t="str">
        <f>IF(COUNTA(A2068:G2068)=0,"",IF(G2068&lt;&gt;"",G2068,IF(B2068="","",IFERROR(IF(INDEX(pr_rate,MATCH(B2068,pr_code,0))="","",INDEX(pr_rate,MATCH(B2068,pr_code,0))),""))))</f>
        <v/>
      </c>
      <c r="L2068" s="65" t="str">
        <f>IF(COUNTA(A2068:G2068)=0,"",IF(AND(ISNUMBER(D2068),ISNUMBER(J2068)),ROUND(D2068*J2068*(1-N(F2068)),2),0))</f>
        <v/>
      </c>
      <c r="M2068" s="62" t="str">
        <f>IF(A2068="","",IFERROR(INDEX(fa_cname,MATCH(A2068,fa_num,0))&amp;"",""))</f>
        <v/>
      </c>
      <c r="N2068" s="59" t="str">
        <f>IF(COUNTA(A2068:G2068)=0,"",IF(A2068="","N° facture manquant",IF(ISNA(MATCH(A2068,fa_num,0)),"Facture inconnue",IF(AND(B2068&lt;&gt;"",ISNA(MATCH(B2068,pr_code,0))),"Article inconnu",IF(H2068="","Désignation manquante",IF(OR(NOT(ISNUMBER(D2068)),N(D2068)&lt;=0),"Quantité invalide",IF(J2068="","Prix manquant",IF(OR(NOT(ISNUMBER(J2068)),N(J2068)&lt;0),"Prix invalide",IF(OR(AND(F2068&lt;&gt;"",NOT(ISNUMBER(F2068))),N(F2068)&lt;0,N(F2068)&gt;1),"Remise invalide",IF(K2068="","Taux de TVA manquant",IF(NOT(ISNUMBER(K2068)),"Taux de TVA invalide",IF(COUNTIF(p_rates,K2068)=0,"Taux de TVA hors liste (Paramètres)",IF(N(O2068)&gt;25,"Au-delà de 25 lignes : non imprimée","OK")))))))))))))</f>
        <v/>
      </c>
      <c r="O2068" s="59" t="str">
        <f>IF(A2068="","",COUNTIF($A$6:A2068,A2068))</f>
        <v/>
      </c>
      <c r="P2068" s="62" t="str">
        <f>IF(A2068="","",A2068&amp;"|"&amp;O2068)</f>
        <v/>
      </c>
    </row>
    <row r="2069">
      <c r="A2069" s="60" t="n"/>
      <c r="B2069" s="63" t="n"/>
      <c r="C2069" s="63" t="n"/>
      <c r="D2069" s="67" t="n"/>
      <c r="E2069" s="68" t="n"/>
      <c r="F2069" s="69" t="n"/>
      <c r="G2069" s="70" t="n"/>
      <c r="H2069" s="62" t="str">
        <f>IF(COUNTA(A2069:G2069)=0,"",IF(C2069&lt;&gt;"",C2069,IF(B2069="","",IFERROR(INDEX(pr_des,MATCH(B2069,pr_code,0))&amp;"",""))))</f>
        <v/>
      </c>
      <c r="I2069" s="59" t="str">
        <f>IF(B2069="","",IFERROR(INDEX(pr_unit,MATCH(B2069,pr_code,0))&amp;"",""))</f>
        <v/>
      </c>
      <c r="J2069" s="65" t="str">
        <f>IF(COUNTA(A2069:G2069)=0,"",IF(E2069&lt;&gt;"",E2069,IF(B2069="","",IFERROR(IF(INDEX(pr_price,MATCH(B2069,pr_code,0))="","",INDEX(pr_price,MATCH(B2069,pr_code,0))),""))))</f>
        <v/>
      </c>
      <c r="K2069" s="71" t="str">
        <f>IF(COUNTA(A2069:G2069)=0,"",IF(G2069&lt;&gt;"",G2069,IF(B2069="","",IFERROR(IF(INDEX(pr_rate,MATCH(B2069,pr_code,0))="","",INDEX(pr_rate,MATCH(B2069,pr_code,0))),""))))</f>
        <v/>
      </c>
      <c r="L2069" s="65" t="str">
        <f>IF(COUNTA(A2069:G2069)=0,"",IF(AND(ISNUMBER(D2069),ISNUMBER(J2069)),ROUND(D2069*J2069*(1-N(F2069)),2),0))</f>
        <v/>
      </c>
      <c r="M2069" s="62" t="str">
        <f>IF(A2069="","",IFERROR(INDEX(fa_cname,MATCH(A2069,fa_num,0))&amp;"",""))</f>
        <v/>
      </c>
      <c r="N2069" s="59" t="str">
        <f>IF(COUNTA(A2069:G2069)=0,"",IF(A2069="","N° facture manquant",IF(ISNA(MATCH(A2069,fa_num,0)),"Facture inconnue",IF(AND(B2069&lt;&gt;"",ISNA(MATCH(B2069,pr_code,0))),"Article inconnu",IF(H2069="","Désignation manquante",IF(OR(NOT(ISNUMBER(D2069)),N(D2069)&lt;=0),"Quantité invalide",IF(J2069="","Prix manquant",IF(OR(NOT(ISNUMBER(J2069)),N(J2069)&lt;0),"Prix invalide",IF(OR(AND(F2069&lt;&gt;"",NOT(ISNUMBER(F2069))),N(F2069)&lt;0,N(F2069)&gt;1),"Remise invalide",IF(K2069="","Taux de TVA manquant",IF(NOT(ISNUMBER(K2069)),"Taux de TVA invalide",IF(COUNTIF(p_rates,K2069)=0,"Taux de TVA hors liste (Paramètres)",IF(N(O2069)&gt;25,"Au-delà de 25 lignes : non imprimée","OK")))))))))))))</f>
        <v/>
      </c>
      <c r="O2069" s="59" t="str">
        <f>IF(A2069="","",COUNTIF($A$6:A2069,A2069))</f>
        <v/>
      </c>
      <c r="P2069" s="62" t="str">
        <f>IF(A2069="","",A2069&amp;"|"&amp;O2069)</f>
        <v/>
      </c>
    </row>
    <row r="2070">
      <c r="A2070" s="60" t="n"/>
      <c r="B2070" s="63" t="n"/>
      <c r="C2070" s="63" t="n"/>
      <c r="D2070" s="67" t="n"/>
      <c r="E2070" s="68" t="n"/>
      <c r="F2070" s="69" t="n"/>
      <c r="G2070" s="70" t="n"/>
      <c r="H2070" s="62" t="str">
        <f>IF(COUNTA(A2070:G2070)=0,"",IF(C2070&lt;&gt;"",C2070,IF(B2070="","",IFERROR(INDEX(pr_des,MATCH(B2070,pr_code,0))&amp;"",""))))</f>
        <v/>
      </c>
      <c r="I2070" s="59" t="str">
        <f>IF(B2070="","",IFERROR(INDEX(pr_unit,MATCH(B2070,pr_code,0))&amp;"",""))</f>
        <v/>
      </c>
      <c r="J2070" s="65" t="str">
        <f>IF(COUNTA(A2070:G2070)=0,"",IF(E2070&lt;&gt;"",E2070,IF(B2070="","",IFERROR(IF(INDEX(pr_price,MATCH(B2070,pr_code,0))="","",INDEX(pr_price,MATCH(B2070,pr_code,0))),""))))</f>
        <v/>
      </c>
      <c r="K2070" s="71" t="str">
        <f>IF(COUNTA(A2070:G2070)=0,"",IF(G2070&lt;&gt;"",G2070,IF(B2070="","",IFERROR(IF(INDEX(pr_rate,MATCH(B2070,pr_code,0))="","",INDEX(pr_rate,MATCH(B2070,pr_code,0))),""))))</f>
        <v/>
      </c>
      <c r="L2070" s="65" t="str">
        <f>IF(COUNTA(A2070:G2070)=0,"",IF(AND(ISNUMBER(D2070),ISNUMBER(J2070)),ROUND(D2070*J2070*(1-N(F2070)),2),0))</f>
        <v/>
      </c>
      <c r="M2070" s="62" t="str">
        <f>IF(A2070="","",IFERROR(INDEX(fa_cname,MATCH(A2070,fa_num,0))&amp;"",""))</f>
        <v/>
      </c>
      <c r="N2070" s="59" t="str">
        <f>IF(COUNTA(A2070:G2070)=0,"",IF(A2070="","N° facture manquant",IF(ISNA(MATCH(A2070,fa_num,0)),"Facture inconnue",IF(AND(B2070&lt;&gt;"",ISNA(MATCH(B2070,pr_code,0))),"Article inconnu",IF(H2070="","Désignation manquante",IF(OR(NOT(ISNUMBER(D2070)),N(D2070)&lt;=0),"Quantité invalide",IF(J2070="","Prix manquant",IF(OR(NOT(ISNUMBER(J2070)),N(J2070)&lt;0),"Prix invalide",IF(OR(AND(F2070&lt;&gt;"",NOT(ISNUMBER(F2070))),N(F2070)&lt;0,N(F2070)&gt;1),"Remise invalide",IF(K2070="","Taux de TVA manquant",IF(NOT(ISNUMBER(K2070)),"Taux de TVA invalide",IF(COUNTIF(p_rates,K2070)=0,"Taux de TVA hors liste (Paramètres)",IF(N(O2070)&gt;25,"Au-delà de 25 lignes : non imprimée","OK")))))))))))))</f>
        <v/>
      </c>
      <c r="O2070" s="59" t="str">
        <f>IF(A2070="","",COUNTIF($A$6:A2070,A2070))</f>
        <v/>
      </c>
      <c r="P2070" s="62" t="str">
        <f>IF(A2070="","",A2070&amp;"|"&amp;O2070)</f>
        <v/>
      </c>
    </row>
    <row r="2071">
      <c r="A2071" s="60" t="n"/>
      <c r="B2071" s="63" t="n"/>
      <c r="C2071" s="63" t="n"/>
      <c r="D2071" s="67" t="n"/>
      <c r="E2071" s="68" t="n"/>
      <c r="F2071" s="69" t="n"/>
      <c r="G2071" s="70" t="n"/>
      <c r="H2071" s="62" t="str">
        <f>IF(COUNTA(A2071:G2071)=0,"",IF(C2071&lt;&gt;"",C2071,IF(B2071="","",IFERROR(INDEX(pr_des,MATCH(B2071,pr_code,0))&amp;"",""))))</f>
        <v/>
      </c>
      <c r="I2071" s="59" t="str">
        <f>IF(B2071="","",IFERROR(INDEX(pr_unit,MATCH(B2071,pr_code,0))&amp;"",""))</f>
        <v/>
      </c>
      <c r="J2071" s="65" t="str">
        <f>IF(COUNTA(A2071:G2071)=0,"",IF(E2071&lt;&gt;"",E2071,IF(B2071="","",IFERROR(IF(INDEX(pr_price,MATCH(B2071,pr_code,0))="","",INDEX(pr_price,MATCH(B2071,pr_code,0))),""))))</f>
        <v/>
      </c>
      <c r="K2071" s="71" t="str">
        <f>IF(COUNTA(A2071:G2071)=0,"",IF(G2071&lt;&gt;"",G2071,IF(B2071="","",IFERROR(IF(INDEX(pr_rate,MATCH(B2071,pr_code,0))="","",INDEX(pr_rate,MATCH(B2071,pr_code,0))),""))))</f>
        <v/>
      </c>
      <c r="L2071" s="65" t="str">
        <f>IF(COUNTA(A2071:G2071)=0,"",IF(AND(ISNUMBER(D2071),ISNUMBER(J2071)),ROUND(D2071*J2071*(1-N(F2071)),2),0))</f>
        <v/>
      </c>
      <c r="M2071" s="62" t="str">
        <f>IF(A2071="","",IFERROR(INDEX(fa_cname,MATCH(A2071,fa_num,0))&amp;"",""))</f>
        <v/>
      </c>
      <c r="N2071" s="59" t="str">
        <f>IF(COUNTA(A2071:G2071)=0,"",IF(A2071="","N° facture manquant",IF(ISNA(MATCH(A2071,fa_num,0)),"Facture inconnue",IF(AND(B2071&lt;&gt;"",ISNA(MATCH(B2071,pr_code,0))),"Article inconnu",IF(H2071="","Désignation manquante",IF(OR(NOT(ISNUMBER(D2071)),N(D2071)&lt;=0),"Quantité invalide",IF(J2071="","Prix manquant",IF(OR(NOT(ISNUMBER(J2071)),N(J2071)&lt;0),"Prix invalide",IF(OR(AND(F2071&lt;&gt;"",NOT(ISNUMBER(F2071))),N(F2071)&lt;0,N(F2071)&gt;1),"Remise invalide",IF(K2071="","Taux de TVA manquant",IF(NOT(ISNUMBER(K2071)),"Taux de TVA invalide",IF(COUNTIF(p_rates,K2071)=0,"Taux de TVA hors liste (Paramètres)",IF(N(O2071)&gt;25,"Au-delà de 25 lignes : non imprimée","OK")))))))))))))</f>
        <v/>
      </c>
      <c r="O2071" s="59" t="str">
        <f>IF(A2071="","",COUNTIF($A$6:A2071,A2071))</f>
        <v/>
      </c>
      <c r="P2071" s="62" t="str">
        <f>IF(A2071="","",A2071&amp;"|"&amp;O2071)</f>
        <v/>
      </c>
    </row>
    <row r="2072">
      <c r="A2072" s="60" t="n"/>
      <c r="B2072" s="63" t="n"/>
      <c r="C2072" s="63" t="n"/>
      <c r="D2072" s="67" t="n"/>
      <c r="E2072" s="68" t="n"/>
      <c r="F2072" s="69" t="n"/>
      <c r="G2072" s="70" t="n"/>
      <c r="H2072" s="62" t="str">
        <f>IF(COUNTA(A2072:G2072)=0,"",IF(C2072&lt;&gt;"",C2072,IF(B2072="","",IFERROR(INDEX(pr_des,MATCH(B2072,pr_code,0))&amp;"",""))))</f>
        <v/>
      </c>
      <c r="I2072" s="59" t="str">
        <f>IF(B2072="","",IFERROR(INDEX(pr_unit,MATCH(B2072,pr_code,0))&amp;"",""))</f>
        <v/>
      </c>
      <c r="J2072" s="65" t="str">
        <f>IF(COUNTA(A2072:G2072)=0,"",IF(E2072&lt;&gt;"",E2072,IF(B2072="","",IFERROR(IF(INDEX(pr_price,MATCH(B2072,pr_code,0))="","",INDEX(pr_price,MATCH(B2072,pr_code,0))),""))))</f>
        <v/>
      </c>
      <c r="K2072" s="71" t="str">
        <f>IF(COUNTA(A2072:G2072)=0,"",IF(G2072&lt;&gt;"",G2072,IF(B2072="","",IFERROR(IF(INDEX(pr_rate,MATCH(B2072,pr_code,0))="","",INDEX(pr_rate,MATCH(B2072,pr_code,0))),""))))</f>
        <v/>
      </c>
      <c r="L2072" s="65" t="str">
        <f>IF(COUNTA(A2072:G2072)=0,"",IF(AND(ISNUMBER(D2072),ISNUMBER(J2072)),ROUND(D2072*J2072*(1-N(F2072)),2),0))</f>
        <v/>
      </c>
      <c r="M2072" s="62" t="str">
        <f>IF(A2072="","",IFERROR(INDEX(fa_cname,MATCH(A2072,fa_num,0))&amp;"",""))</f>
        <v/>
      </c>
      <c r="N2072" s="59" t="str">
        <f>IF(COUNTA(A2072:G2072)=0,"",IF(A2072="","N° facture manquant",IF(ISNA(MATCH(A2072,fa_num,0)),"Facture inconnue",IF(AND(B2072&lt;&gt;"",ISNA(MATCH(B2072,pr_code,0))),"Article inconnu",IF(H2072="","Désignation manquante",IF(OR(NOT(ISNUMBER(D2072)),N(D2072)&lt;=0),"Quantité invalide",IF(J2072="","Prix manquant",IF(OR(NOT(ISNUMBER(J2072)),N(J2072)&lt;0),"Prix invalide",IF(OR(AND(F2072&lt;&gt;"",NOT(ISNUMBER(F2072))),N(F2072)&lt;0,N(F2072)&gt;1),"Remise invalide",IF(K2072="","Taux de TVA manquant",IF(NOT(ISNUMBER(K2072)),"Taux de TVA invalide",IF(COUNTIF(p_rates,K2072)=0,"Taux de TVA hors liste (Paramètres)",IF(N(O2072)&gt;25,"Au-delà de 25 lignes : non imprimée","OK")))))))))))))</f>
        <v/>
      </c>
      <c r="O2072" s="59" t="str">
        <f>IF(A2072="","",COUNTIF($A$6:A2072,A2072))</f>
        <v/>
      </c>
      <c r="P2072" s="62" t="str">
        <f>IF(A2072="","",A2072&amp;"|"&amp;O2072)</f>
        <v/>
      </c>
    </row>
    <row r="2073">
      <c r="A2073" s="60" t="n"/>
      <c r="B2073" s="63" t="n"/>
      <c r="C2073" s="63" t="n"/>
      <c r="D2073" s="67" t="n"/>
      <c r="E2073" s="68" t="n"/>
      <c r="F2073" s="69" t="n"/>
      <c r="G2073" s="70" t="n"/>
      <c r="H2073" s="62" t="str">
        <f>IF(COUNTA(A2073:G2073)=0,"",IF(C2073&lt;&gt;"",C2073,IF(B2073="","",IFERROR(INDEX(pr_des,MATCH(B2073,pr_code,0))&amp;"",""))))</f>
        <v/>
      </c>
      <c r="I2073" s="59" t="str">
        <f>IF(B2073="","",IFERROR(INDEX(pr_unit,MATCH(B2073,pr_code,0))&amp;"",""))</f>
        <v/>
      </c>
      <c r="J2073" s="65" t="str">
        <f>IF(COUNTA(A2073:G2073)=0,"",IF(E2073&lt;&gt;"",E2073,IF(B2073="","",IFERROR(IF(INDEX(pr_price,MATCH(B2073,pr_code,0))="","",INDEX(pr_price,MATCH(B2073,pr_code,0))),""))))</f>
        <v/>
      </c>
      <c r="K2073" s="71" t="str">
        <f>IF(COUNTA(A2073:G2073)=0,"",IF(G2073&lt;&gt;"",G2073,IF(B2073="","",IFERROR(IF(INDEX(pr_rate,MATCH(B2073,pr_code,0))="","",INDEX(pr_rate,MATCH(B2073,pr_code,0))),""))))</f>
        <v/>
      </c>
      <c r="L2073" s="65" t="str">
        <f>IF(COUNTA(A2073:G2073)=0,"",IF(AND(ISNUMBER(D2073),ISNUMBER(J2073)),ROUND(D2073*J2073*(1-N(F2073)),2),0))</f>
        <v/>
      </c>
      <c r="M2073" s="62" t="str">
        <f>IF(A2073="","",IFERROR(INDEX(fa_cname,MATCH(A2073,fa_num,0))&amp;"",""))</f>
        <v/>
      </c>
      <c r="N2073" s="59" t="str">
        <f>IF(COUNTA(A2073:G2073)=0,"",IF(A2073="","N° facture manquant",IF(ISNA(MATCH(A2073,fa_num,0)),"Facture inconnue",IF(AND(B2073&lt;&gt;"",ISNA(MATCH(B2073,pr_code,0))),"Article inconnu",IF(H2073="","Désignation manquante",IF(OR(NOT(ISNUMBER(D2073)),N(D2073)&lt;=0),"Quantité invalide",IF(J2073="","Prix manquant",IF(OR(NOT(ISNUMBER(J2073)),N(J2073)&lt;0),"Prix invalide",IF(OR(AND(F2073&lt;&gt;"",NOT(ISNUMBER(F2073))),N(F2073)&lt;0,N(F2073)&gt;1),"Remise invalide",IF(K2073="","Taux de TVA manquant",IF(NOT(ISNUMBER(K2073)),"Taux de TVA invalide",IF(COUNTIF(p_rates,K2073)=0,"Taux de TVA hors liste (Paramètres)",IF(N(O2073)&gt;25,"Au-delà de 25 lignes : non imprimée","OK")))))))))))))</f>
        <v/>
      </c>
      <c r="O2073" s="59" t="str">
        <f>IF(A2073="","",COUNTIF($A$6:A2073,A2073))</f>
        <v/>
      </c>
      <c r="P2073" s="62" t="str">
        <f>IF(A2073="","",A2073&amp;"|"&amp;O2073)</f>
        <v/>
      </c>
    </row>
    <row r="2074">
      <c r="A2074" s="60" t="n"/>
      <c r="B2074" s="63" t="n"/>
      <c r="C2074" s="63" t="n"/>
      <c r="D2074" s="67" t="n"/>
      <c r="E2074" s="68" t="n"/>
      <c r="F2074" s="69" t="n"/>
      <c r="G2074" s="70" t="n"/>
      <c r="H2074" s="62" t="str">
        <f>IF(COUNTA(A2074:G2074)=0,"",IF(C2074&lt;&gt;"",C2074,IF(B2074="","",IFERROR(INDEX(pr_des,MATCH(B2074,pr_code,0))&amp;"",""))))</f>
        <v/>
      </c>
      <c r="I2074" s="59" t="str">
        <f>IF(B2074="","",IFERROR(INDEX(pr_unit,MATCH(B2074,pr_code,0))&amp;"",""))</f>
        <v/>
      </c>
      <c r="J2074" s="65" t="str">
        <f>IF(COUNTA(A2074:G2074)=0,"",IF(E2074&lt;&gt;"",E2074,IF(B2074="","",IFERROR(IF(INDEX(pr_price,MATCH(B2074,pr_code,0))="","",INDEX(pr_price,MATCH(B2074,pr_code,0))),""))))</f>
        <v/>
      </c>
      <c r="K2074" s="71" t="str">
        <f>IF(COUNTA(A2074:G2074)=0,"",IF(G2074&lt;&gt;"",G2074,IF(B2074="","",IFERROR(IF(INDEX(pr_rate,MATCH(B2074,pr_code,0))="","",INDEX(pr_rate,MATCH(B2074,pr_code,0))),""))))</f>
        <v/>
      </c>
      <c r="L2074" s="65" t="str">
        <f>IF(COUNTA(A2074:G2074)=0,"",IF(AND(ISNUMBER(D2074),ISNUMBER(J2074)),ROUND(D2074*J2074*(1-N(F2074)),2),0))</f>
        <v/>
      </c>
      <c r="M2074" s="62" t="str">
        <f>IF(A2074="","",IFERROR(INDEX(fa_cname,MATCH(A2074,fa_num,0))&amp;"",""))</f>
        <v/>
      </c>
      <c r="N2074" s="59" t="str">
        <f>IF(COUNTA(A2074:G2074)=0,"",IF(A2074="","N° facture manquant",IF(ISNA(MATCH(A2074,fa_num,0)),"Facture inconnue",IF(AND(B2074&lt;&gt;"",ISNA(MATCH(B2074,pr_code,0))),"Article inconnu",IF(H2074="","Désignation manquante",IF(OR(NOT(ISNUMBER(D2074)),N(D2074)&lt;=0),"Quantité invalide",IF(J2074="","Prix manquant",IF(OR(NOT(ISNUMBER(J2074)),N(J2074)&lt;0),"Prix invalide",IF(OR(AND(F2074&lt;&gt;"",NOT(ISNUMBER(F2074))),N(F2074)&lt;0,N(F2074)&gt;1),"Remise invalide",IF(K2074="","Taux de TVA manquant",IF(NOT(ISNUMBER(K2074)),"Taux de TVA invalide",IF(COUNTIF(p_rates,K2074)=0,"Taux de TVA hors liste (Paramètres)",IF(N(O2074)&gt;25,"Au-delà de 25 lignes : non imprimée","OK")))))))))))))</f>
        <v/>
      </c>
      <c r="O2074" s="59" t="str">
        <f>IF(A2074="","",COUNTIF($A$6:A2074,A2074))</f>
        <v/>
      </c>
      <c r="P2074" s="62" t="str">
        <f>IF(A2074="","",A2074&amp;"|"&amp;O2074)</f>
        <v/>
      </c>
    </row>
    <row r="2075">
      <c r="A2075" s="60" t="n"/>
      <c r="B2075" s="63" t="n"/>
      <c r="C2075" s="63" t="n"/>
      <c r="D2075" s="67" t="n"/>
      <c r="E2075" s="68" t="n"/>
      <c r="F2075" s="69" t="n"/>
      <c r="G2075" s="70" t="n"/>
      <c r="H2075" s="62" t="str">
        <f>IF(COUNTA(A2075:G2075)=0,"",IF(C2075&lt;&gt;"",C2075,IF(B2075="","",IFERROR(INDEX(pr_des,MATCH(B2075,pr_code,0))&amp;"",""))))</f>
        <v/>
      </c>
      <c r="I2075" s="59" t="str">
        <f>IF(B2075="","",IFERROR(INDEX(pr_unit,MATCH(B2075,pr_code,0))&amp;"",""))</f>
        <v/>
      </c>
      <c r="J2075" s="65" t="str">
        <f>IF(COUNTA(A2075:G2075)=0,"",IF(E2075&lt;&gt;"",E2075,IF(B2075="","",IFERROR(IF(INDEX(pr_price,MATCH(B2075,pr_code,0))="","",INDEX(pr_price,MATCH(B2075,pr_code,0))),""))))</f>
        <v/>
      </c>
      <c r="K2075" s="71" t="str">
        <f>IF(COUNTA(A2075:G2075)=0,"",IF(G2075&lt;&gt;"",G2075,IF(B2075="","",IFERROR(IF(INDEX(pr_rate,MATCH(B2075,pr_code,0))="","",INDEX(pr_rate,MATCH(B2075,pr_code,0))),""))))</f>
        <v/>
      </c>
      <c r="L2075" s="65" t="str">
        <f>IF(COUNTA(A2075:G2075)=0,"",IF(AND(ISNUMBER(D2075),ISNUMBER(J2075)),ROUND(D2075*J2075*(1-N(F2075)),2),0))</f>
        <v/>
      </c>
      <c r="M2075" s="62" t="str">
        <f>IF(A2075="","",IFERROR(INDEX(fa_cname,MATCH(A2075,fa_num,0))&amp;"",""))</f>
        <v/>
      </c>
      <c r="N2075" s="59" t="str">
        <f>IF(COUNTA(A2075:G2075)=0,"",IF(A2075="","N° facture manquant",IF(ISNA(MATCH(A2075,fa_num,0)),"Facture inconnue",IF(AND(B2075&lt;&gt;"",ISNA(MATCH(B2075,pr_code,0))),"Article inconnu",IF(H2075="","Désignation manquante",IF(OR(NOT(ISNUMBER(D2075)),N(D2075)&lt;=0),"Quantité invalide",IF(J2075="","Prix manquant",IF(OR(NOT(ISNUMBER(J2075)),N(J2075)&lt;0),"Prix invalide",IF(OR(AND(F2075&lt;&gt;"",NOT(ISNUMBER(F2075))),N(F2075)&lt;0,N(F2075)&gt;1),"Remise invalide",IF(K2075="","Taux de TVA manquant",IF(NOT(ISNUMBER(K2075)),"Taux de TVA invalide",IF(COUNTIF(p_rates,K2075)=0,"Taux de TVA hors liste (Paramètres)",IF(N(O2075)&gt;25,"Au-delà de 25 lignes : non imprimée","OK")))))))))))))</f>
        <v/>
      </c>
      <c r="O2075" s="59" t="str">
        <f>IF(A2075="","",COUNTIF($A$6:A2075,A2075))</f>
        <v/>
      </c>
      <c r="P2075" s="62" t="str">
        <f>IF(A2075="","",A2075&amp;"|"&amp;O2075)</f>
        <v/>
      </c>
    </row>
    <row r="2076">
      <c r="A2076" s="60" t="n"/>
      <c r="B2076" s="63" t="n"/>
      <c r="C2076" s="63" t="n"/>
      <c r="D2076" s="67" t="n"/>
      <c r="E2076" s="68" t="n"/>
      <c r="F2076" s="69" t="n"/>
      <c r="G2076" s="70" t="n"/>
      <c r="H2076" s="62" t="str">
        <f>IF(COUNTA(A2076:G2076)=0,"",IF(C2076&lt;&gt;"",C2076,IF(B2076="","",IFERROR(INDEX(pr_des,MATCH(B2076,pr_code,0))&amp;"",""))))</f>
        <v/>
      </c>
      <c r="I2076" s="59" t="str">
        <f>IF(B2076="","",IFERROR(INDEX(pr_unit,MATCH(B2076,pr_code,0))&amp;"",""))</f>
        <v/>
      </c>
      <c r="J2076" s="65" t="str">
        <f>IF(COUNTA(A2076:G2076)=0,"",IF(E2076&lt;&gt;"",E2076,IF(B2076="","",IFERROR(IF(INDEX(pr_price,MATCH(B2076,pr_code,0))="","",INDEX(pr_price,MATCH(B2076,pr_code,0))),""))))</f>
        <v/>
      </c>
      <c r="K2076" s="71" t="str">
        <f>IF(COUNTA(A2076:G2076)=0,"",IF(G2076&lt;&gt;"",G2076,IF(B2076="","",IFERROR(IF(INDEX(pr_rate,MATCH(B2076,pr_code,0))="","",INDEX(pr_rate,MATCH(B2076,pr_code,0))),""))))</f>
        <v/>
      </c>
      <c r="L2076" s="65" t="str">
        <f>IF(COUNTA(A2076:G2076)=0,"",IF(AND(ISNUMBER(D2076),ISNUMBER(J2076)),ROUND(D2076*J2076*(1-N(F2076)),2),0))</f>
        <v/>
      </c>
      <c r="M2076" s="62" t="str">
        <f>IF(A2076="","",IFERROR(INDEX(fa_cname,MATCH(A2076,fa_num,0))&amp;"",""))</f>
        <v/>
      </c>
      <c r="N2076" s="59" t="str">
        <f>IF(COUNTA(A2076:G2076)=0,"",IF(A2076="","N° facture manquant",IF(ISNA(MATCH(A2076,fa_num,0)),"Facture inconnue",IF(AND(B2076&lt;&gt;"",ISNA(MATCH(B2076,pr_code,0))),"Article inconnu",IF(H2076="","Désignation manquante",IF(OR(NOT(ISNUMBER(D2076)),N(D2076)&lt;=0),"Quantité invalide",IF(J2076="","Prix manquant",IF(OR(NOT(ISNUMBER(J2076)),N(J2076)&lt;0),"Prix invalide",IF(OR(AND(F2076&lt;&gt;"",NOT(ISNUMBER(F2076))),N(F2076)&lt;0,N(F2076)&gt;1),"Remise invalide",IF(K2076="","Taux de TVA manquant",IF(NOT(ISNUMBER(K2076)),"Taux de TVA invalide",IF(COUNTIF(p_rates,K2076)=0,"Taux de TVA hors liste (Paramètres)",IF(N(O2076)&gt;25,"Au-delà de 25 lignes : non imprimée","OK")))))))))))))</f>
        <v/>
      </c>
      <c r="O2076" s="59" t="str">
        <f>IF(A2076="","",COUNTIF($A$6:A2076,A2076))</f>
        <v/>
      </c>
      <c r="P2076" s="62" t="str">
        <f>IF(A2076="","",A2076&amp;"|"&amp;O2076)</f>
        <v/>
      </c>
    </row>
    <row r="2077">
      <c r="A2077" s="60" t="n"/>
      <c r="B2077" s="63" t="n"/>
      <c r="C2077" s="63" t="n"/>
      <c r="D2077" s="67" t="n"/>
      <c r="E2077" s="68" t="n"/>
      <c r="F2077" s="69" t="n"/>
      <c r="G2077" s="70" t="n"/>
      <c r="H2077" s="62" t="str">
        <f>IF(COUNTA(A2077:G2077)=0,"",IF(C2077&lt;&gt;"",C2077,IF(B2077="","",IFERROR(INDEX(pr_des,MATCH(B2077,pr_code,0))&amp;"",""))))</f>
        <v/>
      </c>
      <c r="I2077" s="59" t="str">
        <f>IF(B2077="","",IFERROR(INDEX(pr_unit,MATCH(B2077,pr_code,0))&amp;"",""))</f>
        <v/>
      </c>
      <c r="J2077" s="65" t="str">
        <f>IF(COUNTA(A2077:G2077)=0,"",IF(E2077&lt;&gt;"",E2077,IF(B2077="","",IFERROR(IF(INDEX(pr_price,MATCH(B2077,pr_code,0))="","",INDEX(pr_price,MATCH(B2077,pr_code,0))),""))))</f>
        <v/>
      </c>
      <c r="K2077" s="71" t="str">
        <f>IF(COUNTA(A2077:G2077)=0,"",IF(G2077&lt;&gt;"",G2077,IF(B2077="","",IFERROR(IF(INDEX(pr_rate,MATCH(B2077,pr_code,0))="","",INDEX(pr_rate,MATCH(B2077,pr_code,0))),""))))</f>
        <v/>
      </c>
      <c r="L2077" s="65" t="str">
        <f>IF(COUNTA(A2077:G2077)=0,"",IF(AND(ISNUMBER(D2077),ISNUMBER(J2077)),ROUND(D2077*J2077*(1-N(F2077)),2),0))</f>
        <v/>
      </c>
      <c r="M2077" s="62" t="str">
        <f>IF(A2077="","",IFERROR(INDEX(fa_cname,MATCH(A2077,fa_num,0))&amp;"",""))</f>
        <v/>
      </c>
      <c r="N2077" s="59" t="str">
        <f>IF(COUNTA(A2077:G2077)=0,"",IF(A2077="","N° facture manquant",IF(ISNA(MATCH(A2077,fa_num,0)),"Facture inconnue",IF(AND(B2077&lt;&gt;"",ISNA(MATCH(B2077,pr_code,0))),"Article inconnu",IF(H2077="","Désignation manquante",IF(OR(NOT(ISNUMBER(D2077)),N(D2077)&lt;=0),"Quantité invalide",IF(J2077="","Prix manquant",IF(OR(NOT(ISNUMBER(J2077)),N(J2077)&lt;0),"Prix invalide",IF(OR(AND(F2077&lt;&gt;"",NOT(ISNUMBER(F2077))),N(F2077)&lt;0,N(F2077)&gt;1),"Remise invalide",IF(K2077="","Taux de TVA manquant",IF(NOT(ISNUMBER(K2077)),"Taux de TVA invalide",IF(COUNTIF(p_rates,K2077)=0,"Taux de TVA hors liste (Paramètres)",IF(N(O2077)&gt;25,"Au-delà de 25 lignes : non imprimée","OK")))))))))))))</f>
        <v/>
      </c>
      <c r="O2077" s="59" t="str">
        <f>IF(A2077="","",COUNTIF($A$6:A2077,A2077))</f>
        <v/>
      </c>
      <c r="P2077" s="62" t="str">
        <f>IF(A2077="","",A2077&amp;"|"&amp;O2077)</f>
        <v/>
      </c>
    </row>
    <row r="2078">
      <c r="A2078" s="60" t="n"/>
      <c r="B2078" s="63" t="n"/>
      <c r="C2078" s="63" t="n"/>
      <c r="D2078" s="67" t="n"/>
      <c r="E2078" s="68" t="n"/>
      <c r="F2078" s="69" t="n"/>
      <c r="G2078" s="70" t="n"/>
      <c r="H2078" s="62" t="str">
        <f>IF(COUNTA(A2078:G2078)=0,"",IF(C2078&lt;&gt;"",C2078,IF(B2078="","",IFERROR(INDEX(pr_des,MATCH(B2078,pr_code,0))&amp;"",""))))</f>
        <v/>
      </c>
      <c r="I2078" s="59" t="str">
        <f>IF(B2078="","",IFERROR(INDEX(pr_unit,MATCH(B2078,pr_code,0))&amp;"",""))</f>
        <v/>
      </c>
      <c r="J2078" s="65" t="str">
        <f>IF(COUNTA(A2078:G2078)=0,"",IF(E2078&lt;&gt;"",E2078,IF(B2078="","",IFERROR(IF(INDEX(pr_price,MATCH(B2078,pr_code,0))="","",INDEX(pr_price,MATCH(B2078,pr_code,0))),""))))</f>
        <v/>
      </c>
      <c r="K2078" s="71" t="str">
        <f>IF(COUNTA(A2078:G2078)=0,"",IF(G2078&lt;&gt;"",G2078,IF(B2078="","",IFERROR(IF(INDEX(pr_rate,MATCH(B2078,pr_code,0))="","",INDEX(pr_rate,MATCH(B2078,pr_code,0))),""))))</f>
        <v/>
      </c>
      <c r="L2078" s="65" t="str">
        <f>IF(COUNTA(A2078:G2078)=0,"",IF(AND(ISNUMBER(D2078),ISNUMBER(J2078)),ROUND(D2078*J2078*(1-N(F2078)),2),0))</f>
        <v/>
      </c>
      <c r="M2078" s="62" t="str">
        <f>IF(A2078="","",IFERROR(INDEX(fa_cname,MATCH(A2078,fa_num,0))&amp;"",""))</f>
        <v/>
      </c>
      <c r="N2078" s="59" t="str">
        <f>IF(COUNTA(A2078:G2078)=0,"",IF(A2078="","N° facture manquant",IF(ISNA(MATCH(A2078,fa_num,0)),"Facture inconnue",IF(AND(B2078&lt;&gt;"",ISNA(MATCH(B2078,pr_code,0))),"Article inconnu",IF(H2078="","Désignation manquante",IF(OR(NOT(ISNUMBER(D2078)),N(D2078)&lt;=0),"Quantité invalide",IF(J2078="","Prix manquant",IF(OR(NOT(ISNUMBER(J2078)),N(J2078)&lt;0),"Prix invalide",IF(OR(AND(F2078&lt;&gt;"",NOT(ISNUMBER(F2078))),N(F2078)&lt;0,N(F2078)&gt;1),"Remise invalide",IF(K2078="","Taux de TVA manquant",IF(NOT(ISNUMBER(K2078)),"Taux de TVA invalide",IF(COUNTIF(p_rates,K2078)=0,"Taux de TVA hors liste (Paramètres)",IF(N(O2078)&gt;25,"Au-delà de 25 lignes : non imprimée","OK")))))))))))))</f>
        <v/>
      </c>
      <c r="O2078" s="59" t="str">
        <f>IF(A2078="","",COUNTIF($A$6:A2078,A2078))</f>
        <v/>
      </c>
      <c r="P2078" s="62" t="str">
        <f>IF(A2078="","",A2078&amp;"|"&amp;O2078)</f>
        <v/>
      </c>
    </row>
    <row r="2079">
      <c r="A2079" s="60" t="n"/>
      <c r="B2079" s="63" t="n"/>
      <c r="C2079" s="63" t="n"/>
      <c r="D2079" s="67" t="n"/>
      <c r="E2079" s="68" t="n"/>
      <c r="F2079" s="69" t="n"/>
      <c r="G2079" s="70" t="n"/>
      <c r="H2079" s="62" t="str">
        <f>IF(COUNTA(A2079:G2079)=0,"",IF(C2079&lt;&gt;"",C2079,IF(B2079="","",IFERROR(INDEX(pr_des,MATCH(B2079,pr_code,0))&amp;"",""))))</f>
        <v/>
      </c>
      <c r="I2079" s="59" t="str">
        <f>IF(B2079="","",IFERROR(INDEX(pr_unit,MATCH(B2079,pr_code,0))&amp;"",""))</f>
        <v/>
      </c>
      <c r="J2079" s="65" t="str">
        <f>IF(COUNTA(A2079:G2079)=0,"",IF(E2079&lt;&gt;"",E2079,IF(B2079="","",IFERROR(IF(INDEX(pr_price,MATCH(B2079,pr_code,0))="","",INDEX(pr_price,MATCH(B2079,pr_code,0))),""))))</f>
        <v/>
      </c>
      <c r="K2079" s="71" t="str">
        <f>IF(COUNTA(A2079:G2079)=0,"",IF(G2079&lt;&gt;"",G2079,IF(B2079="","",IFERROR(IF(INDEX(pr_rate,MATCH(B2079,pr_code,0))="","",INDEX(pr_rate,MATCH(B2079,pr_code,0))),""))))</f>
        <v/>
      </c>
      <c r="L2079" s="65" t="str">
        <f>IF(COUNTA(A2079:G2079)=0,"",IF(AND(ISNUMBER(D2079),ISNUMBER(J2079)),ROUND(D2079*J2079*(1-N(F2079)),2),0))</f>
        <v/>
      </c>
      <c r="M2079" s="62" t="str">
        <f>IF(A2079="","",IFERROR(INDEX(fa_cname,MATCH(A2079,fa_num,0))&amp;"",""))</f>
        <v/>
      </c>
      <c r="N2079" s="59" t="str">
        <f>IF(COUNTA(A2079:G2079)=0,"",IF(A2079="","N° facture manquant",IF(ISNA(MATCH(A2079,fa_num,0)),"Facture inconnue",IF(AND(B2079&lt;&gt;"",ISNA(MATCH(B2079,pr_code,0))),"Article inconnu",IF(H2079="","Désignation manquante",IF(OR(NOT(ISNUMBER(D2079)),N(D2079)&lt;=0),"Quantité invalide",IF(J2079="","Prix manquant",IF(OR(NOT(ISNUMBER(J2079)),N(J2079)&lt;0),"Prix invalide",IF(OR(AND(F2079&lt;&gt;"",NOT(ISNUMBER(F2079))),N(F2079)&lt;0,N(F2079)&gt;1),"Remise invalide",IF(K2079="","Taux de TVA manquant",IF(NOT(ISNUMBER(K2079)),"Taux de TVA invalide",IF(COUNTIF(p_rates,K2079)=0,"Taux de TVA hors liste (Paramètres)",IF(N(O2079)&gt;25,"Au-delà de 25 lignes : non imprimée","OK")))))))))))))</f>
        <v/>
      </c>
      <c r="O2079" s="59" t="str">
        <f>IF(A2079="","",COUNTIF($A$6:A2079,A2079))</f>
        <v/>
      </c>
      <c r="P2079" s="62" t="str">
        <f>IF(A2079="","",A2079&amp;"|"&amp;O2079)</f>
        <v/>
      </c>
    </row>
    <row r="2080">
      <c r="A2080" s="60" t="n"/>
      <c r="B2080" s="63" t="n"/>
      <c r="C2080" s="63" t="n"/>
      <c r="D2080" s="67" t="n"/>
      <c r="E2080" s="68" t="n"/>
      <c r="F2080" s="69" t="n"/>
      <c r="G2080" s="70" t="n"/>
      <c r="H2080" s="62" t="str">
        <f>IF(COUNTA(A2080:G2080)=0,"",IF(C2080&lt;&gt;"",C2080,IF(B2080="","",IFERROR(INDEX(pr_des,MATCH(B2080,pr_code,0))&amp;"",""))))</f>
        <v/>
      </c>
      <c r="I2080" s="59" t="str">
        <f>IF(B2080="","",IFERROR(INDEX(pr_unit,MATCH(B2080,pr_code,0))&amp;"",""))</f>
        <v/>
      </c>
      <c r="J2080" s="65" t="str">
        <f>IF(COUNTA(A2080:G2080)=0,"",IF(E2080&lt;&gt;"",E2080,IF(B2080="","",IFERROR(IF(INDEX(pr_price,MATCH(B2080,pr_code,0))="","",INDEX(pr_price,MATCH(B2080,pr_code,0))),""))))</f>
        <v/>
      </c>
      <c r="K2080" s="71" t="str">
        <f>IF(COUNTA(A2080:G2080)=0,"",IF(G2080&lt;&gt;"",G2080,IF(B2080="","",IFERROR(IF(INDEX(pr_rate,MATCH(B2080,pr_code,0))="","",INDEX(pr_rate,MATCH(B2080,pr_code,0))),""))))</f>
        <v/>
      </c>
      <c r="L2080" s="65" t="str">
        <f>IF(COUNTA(A2080:G2080)=0,"",IF(AND(ISNUMBER(D2080),ISNUMBER(J2080)),ROUND(D2080*J2080*(1-N(F2080)),2),0))</f>
        <v/>
      </c>
      <c r="M2080" s="62" t="str">
        <f>IF(A2080="","",IFERROR(INDEX(fa_cname,MATCH(A2080,fa_num,0))&amp;"",""))</f>
        <v/>
      </c>
      <c r="N2080" s="59" t="str">
        <f>IF(COUNTA(A2080:G2080)=0,"",IF(A2080="","N° facture manquant",IF(ISNA(MATCH(A2080,fa_num,0)),"Facture inconnue",IF(AND(B2080&lt;&gt;"",ISNA(MATCH(B2080,pr_code,0))),"Article inconnu",IF(H2080="","Désignation manquante",IF(OR(NOT(ISNUMBER(D2080)),N(D2080)&lt;=0),"Quantité invalide",IF(J2080="","Prix manquant",IF(OR(NOT(ISNUMBER(J2080)),N(J2080)&lt;0),"Prix invalide",IF(OR(AND(F2080&lt;&gt;"",NOT(ISNUMBER(F2080))),N(F2080)&lt;0,N(F2080)&gt;1),"Remise invalide",IF(K2080="","Taux de TVA manquant",IF(NOT(ISNUMBER(K2080)),"Taux de TVA invalide",IF(COUNTIF(p_rates,K2080)=0,"Taux de TVA hors liste (Paramètres)",IF(N(O2080)&gt;25,"Au-delà de 25 lignes : non imprimée","OK")))))))))))))</f>
        <v/>
      </c>
      <c r="O2080" s="59" t="str">
        <f>IF(A2080="","",COUNTIF($A$6:A2080,A2080))</f>
        <v/>
      </c>
      <c r="P2080" s="62" t="str">
        <f>IF(A2080="","",A2080&amp;"|"&amp;O2080)</f>
        <v/>
      </c>
    </row>
    <row r="2081">
      <c r="A2081" s="60" t="n"/>
      <c r="B2081" s="63" t="n"/>
      <c r="C2081" s="63" t="n"/>
      <c r="D2081" s="67" t="n"/>
      <c r="E2081" s="68" t="n"/>
      <c r="F2081" s="69" t="n"/>
      <c r="G2081" s="70" t="n"/>
      <c r="H2081" s="62" t="str">
        <f>IF(COUNTA(A2081:G2081)=0,"",IF(C2081&lt;&gt;"",C2081,IF(B2081="","",IFERROR(INDEX(pr_des,MATCH(B2081,pr_code,0))&amp;"",""))))</f>
        <v/>
      </c>
      <c r="I2081" s="59" t="str">
        <f>IF(B2081="","",IFERROR(INDEX(pr_unit,MATCH(B2081,pr_code,0))&amp;"",""))</f>
        <v/>
      </c>
      <c r="J2081" s="65" t="str">
        <f>IF(COUNTA(A2081:G2081)=0,"",IF(E2081&lt;&gt;"",E2081,IF(B2081="","",IFERROR(IF(INDEX(pr_price,MATCH(B2081,pr_code,0))="","",INDEX(pr_price,MATCH(B2081,pr_code,0))),""))))</f>
        <v/>
      </c>
      <c r="K2081" s="71" t="str">
        <f>IF(COUNTA(A2081:G2081)=0,"",IF(G2081&lt;&gt;"",G2081,IF(B2081="","",IFERROR(IF(INDEX(pr_rate,MATCH(B2081,pr_code,0))="","",INDEX(pr_rate,MATCH(B2081,pr_code,0))),""))))</f>
        <v/>
      </c>
      <c r="L2081" s="65" t="str">
        <f>IF(COUNTA(A2081:G2081)=0,"",IF(AND(ISNUMBER(D2081),ISNUMBER(J2081)),ROUND(D2081*J2081*(1-N(F2081)),2),0))</f>
        <v/>
      </c>
      <c r="M2081" s="62" t="str">
        <f>IF(A2081="","",IFERROR(INDEX(fa_cname,MATCH(A2081,fa_num,0))&amp;"",""))</f>
        <v/>
      </c>
      <c r="N2081" s="59" t="str">
        <f>IF(COUNTA(A2081:G2081)=0,"",IF(A2081="","N° facture manquant",IF(ISNA(MATCH(A2081,fa_num,0)),"Facture inconnue",IF(AND(B2081&lt;&gt;"",ISNA(MATCH(B2081,pr_code,0))),"Article inconnu",IF(H2081="","Désignation manquante",IF(OR(NOT(ISNUMBER(D2081)),N(D2081)&lt;=0),"Quantité invalide",IF(J2081="","Prix manquant",IF(OR(NOT(ISNUMBER(J2081)),N(J2081)&lt;0),"Prix invalide",IF(OR(AND(F2081&lt;&gt;"",NOT(ISNUMBER(F2081))),N(F2081)&lt;0,N(F2081)&gt;1),"Remise invalide",IF(K2081="","Taux de TVA manquant",IF(NOT(ISNUMBER(K2081)),"Taux de TVA invalide",IF(COUNTIF(p_rates,K2081)=0,"Taux de TVA hors liste (Paramètres)",IF(N(O2081)&gt;25,"Au-delà de 25 lignes : non imprimée","OK")))))))))))))</f>
        <v/>
      </c>
      <c r="O2081" s="59" t="str">
        <f>IF(A2081="","",COUNTIF($A$6:A2081,A2081))</f>
        <v/>
      </c>
      <c r="P2081" s="62" t="str">
        <f>IF(A2081="","",A2081&amp;"|"&amp;O2081)</f>
        <v/>
      </c>
    </row>
    <row r="2082">
      <c r="A2082" s="60" t="n"/>
      <c r="B2082" s="63" t="n"/>
      <c r="C2082" s="63" t="n"/>
      <c r="D2082" s="67" t="n"/>
      <c r="E2082" s="68" t="n"/>
      <c r="F2082" s="69" t="n"/>
      <c r="G2082" s="70" t="n"/>
      <c r="H2082" s="62" t="str">
        <f>IF(COUNTA(A2082:G2082)=0,"",IF(C2082&lt;&gt;"",C2082,IF(B2082="","",IFERROR(INDEX(pr_des,MATCH(B2082,pr_code,0))&amp;"",""))))</f>
        <v/>
      </c>
      <c r="I2082" s="59" t="str">
        <f>IF(B2082="","",IFERROR(INDEX(pr_unit,MATCH(B2082,pr_code,0))&amp;"",""))</f>
        <v/>
      </c>
      <c r="J2082" s="65" t="str">
        <f>IF(COUNTA(A2082:G2082)=0,"",IF(E2082&lt;&gt;"",E2082,IF(B2082="","",IFERROR(IF(INDEX(pr_price,MATCH(B2082,pr_code,0))="","",INDEX(pr_price,MATCH(B2082,pr_code,0))),""))))</f>
        <v/>
      </c>
      <c r="K2082" s="71" t="str">
        <f>IF(COUNTA(A2082:G2082)=0,"",IF(G2082&lt;&gt;"",G2082,IF(B2082="","",IFERROR(IF(INDEX(pr_rate,MATCH(B2082,pr_code,0))="","",INDEX(pr_rate,MATCH(B2082,pr_code,0))),""))))</f>
        <v/>
      </c>
      <c r="L2082" s="65" t="str">
        <f>IF(COUNTA(A2082:G2082)=0,"",IF(AND(ISNUMBER(D2082),ISNUMBER(J2082)),ROUND(D2082*J2082*(1-N(F2082)),2),0))</f>
        <v/>
      </c>
      <c r="M2082" s="62" t="str">
        <f>IF(A2082="","",IFERROR(INDEX(fa_cname,MATCH(A2082,fa_num,0))&amp;"",""))</f>
        <v/>
      </c>
      <c r="N2082" s="59" t="str">
        <f>IF(COUNTA(A2082:G2082)=0,"",IF(A2082="","N° facture manquant",IF(ISNA(MATCH(A2082,fa_num,0)),"Facture inconnue",IF(AND(B2082&lt;&gt;"",ISNA(MATCH(B2082,pr_code,0))),"Article inconnu",IF(H2082="","Désignation manquante",IF(OR(NOT(ISNUMBER(D2082)),N(D2082)&lt;=0),"Quantité invalide",IF(J2082="","Prix manquant",IF(OR(NOT(ISNUMBER(J2082)),N(J2082)&lt;0),"Prix invalide",IF(OR(AND(F2082&lt;&gt;"",NOT(ISNUMBER(F2082))),N(F2082)&lt;0,N(F2082)&gt;1),"Remise invalide",IF(K2082="","Taux de TVA manquant",IF(NOT(ISNUMBER(K2082)),"Taux de TVA invalide",IF(COUNTIF(p_rates,K2082)=0,"Taux de TVA hors liste (Paramètres)",IF(N(O2082)&gt;25,"Au-delà de 25 lignes : non imprimée","OK")))))))))))))</f>
        <v/>
      </c>
      <c r="O2082" s="59" t="str">
        <f>IF(A2082="","",COUNTIF($A$6:A2082,A2082))</f>
        <v/>
      </c>
      <c r="P2082" s="62" t="str">
        <f>IF(A2082="","",A2082&amp;"|"&amp;O2082)</f>
        <v/>
      </c>
    </row>
    <row r="2083">
      <c r="A2083" s="60" t="n"/>
      <c r="B2083" s="63" t="n"/>
      <c r="C2083" s="63" t="n"/>
      <c r="D2083" s="67" t="n"/>
      <c r="E2083" s="68" t="n"/>
      <c r="F2083" s="69" t="n"/>
      <c r="G2083" s="70" t="n"/>
      <c r="H2083" s="62" t="str">
        <f>IF(COUNTA(A2083:G2083)=0,"",IF(C2083&lt;&gt;"",C2083,IF(B2083="","",IFERROR(INDEX(pr_des,MATCH(B2083,pr_code,0))&amp;"",""))))</f>
        <v/>
      </c>
      <c r="I2083" s="59" t="str">
        <f>IF(B2083="","",IFERROR(INDEX(pr_unit,MATCH(B2083,pr_code,0))&amp;"",""))</f>
        <v/>
      </c>
      <c r="J2083" s="65" t="str">
        <f>IF(COUNTA(A2083:G2083)=0,"",IF(E2083&lt;&gt;"",E2083,IF(B2083="","",IFERROR(IF(INDEX(pr_price,MATCH(B2083,pr_code,0))="","",INDEX(pr_price,MATCH(B2083,pr_code,0))),""))))</f>
        <v/>
      </c>
      <c r="K2083" s="71" t="str">
        <f>IF(COUNTA(A2083:G2083)=0,"",IF(G2083&lt;&gt;"",G2083,IF(B2083="","",IFERROR(IF(INDEX(pr_rate,MATCH(B2083,pr_code,0))="","",INDEX(pr_rate,MATCH(B2083,pr_code,0))),""))))</f>
        <v/>
      </c>
      <c r="L2083" s="65" t="str">
        <f>IF(COUNTA(A2083:G2083)=0,"",IF(AND(ISNUMBER(D2083),ISNUMBER(J2083)),ROUND(D2083*J2083*(1-N(F2083)),2),0))</f>
        <v/>
      </c>
      <c r="M2083" s="62" t="str">
        <f>IF(A2083="","",IFERROR(INDEX(fa_cname,MATCH(A2083,fa_num,0))&amp;"",""))</f>
        <v/>
      </c>
      <c r="N2083" s="59" t="str">
        <f>IF(COUNTA(A2083:G2083)=0,"",IF(A2083="","N° facture manquant",IF(ISNA(MATCH(A2083,fa_num,0)),"Facture inconnue",IF(AND(B2083&lt;&gt;"",ISNA(MATCH(B2083,pr_code,0))),"Article inconnu",IF(H2083="","Désignation manquante",IF(OR(NOT(ISNUMBER(D2083)),N(D2083)&lt;=0),"Quantité invalide",IF(J2083="","Prix manquant",IF(OR(NOT(ISNUMBER(J2083)),N(J2083)&lt;0),"Prix invalide",IF(OR(AND(F2083&lt;&gt;"",NOT(ISNUMBER(F2083))),N(F2083)&lt;0,N(F2083)&gt;1),"Remise invalide",IF(K2083="","Taux de TVA manquant",IF(NOT(ISNUMBER(K2083)),"Taux de TVA invalide",IF(COUNTIF(p_rates,K2083)=0,"Taux de TVA hors liste (Paramètres)",IF(N(O2083)&gt;25,"Au-delà de 25 lignes : non imprimée","OK")))))))))))))</f>
        <v/>
      </c>
      <c r="O2083" s="59" t="str">
        <f>IF(A2083="","",COUNTIF($A$6:A2083,A2083))</f>
        <v/>
      </c>
      <c r="P2083" s="62" t="str">
        <f>IF(A2083="","",A2083&amp;"|"&amp;O2083)</f>
        <v/>
      </c>
    </row>
    <row r="2084">
      <c r="A2084" s="60" t="n"/>
      <c r="B2084" s="63" t="n"/>
      <c r="C2084" s="63" t="n"/>
      <c r="D2084" s="67" t="n"/>
      <c r="E2084" s="68" t="n"/>
      <c r="F2084" s="69" t="n"/>
      <c r="G2084" s="70" t="n"/>
      <c r="H2084" s="62" t="str">
        <f>IF(COUNTA(A2084:G2084)=0,"",IF(C2084&lt;&gt;"",C2084,IF(B2084="","",IFERROR(INDEX(pr_des,MATCH(B2084,pr_code,0))&amp;"",""))))</f>
        <v/>
      </c>
      <c r="I2084" s="59" t="str">
        <f>IF(B2084="","",IFERROR(INDEX(pr_unit,MATCH(B2084,pr_code,0))&amp;"",""))</f>
        <v/>
      </c>
      <c r="J2084" s="65" t="str">
        <f>IF(COUNTA(A2084:G2084)=0,"",IF(E2084&lt;&gt;"",E2084,IF(B2084="","",IFERROR(IF(INDEX(pr_price,MATCH(B2084,pr_code,0))="","",INDEX(pr_price,MATCH(B2084,pr_code,0))),""))))</f>
        <v/>
      </c>
      <c r="K2084" s="71" t="str">
        <f>IF(COUNTA(A2084:G2084)=0,"",IF(G2084&lt;&gt;"",G2084,IF(B2084="","",IFERROR(IF(INDEX(pr_rate,MATCH(B2084,pr_code,0))="","",INDEX(pr_rate,MATCH(B2084,pr_code,0))),""))))</f>
        <v/>
      </c>
      <c r="L2084" s="65" t="str">
        <f>IF(COUNTA(A2084:G2084)=0,"",IF(AND(ISNUMBER(D2084),ISNUMBER(J2084)),ROUND(D2084*J2084*(1-N(F2084)),2),0))</f>
        <v/>
      </c>
      <c r="M2084" s="62" t="str">
        <f>IF(A2084="","",IFERROR(INDEX(fa_cname,MATCH(A2084,fa_num,0))&amp;"",""))</f>
        <v/>
      </c>
      <c r="N2084" s="59" t="str">
        <f>IF(COUNTA(A2084:G2084)=0,"",IF(A2084="","N° facture manquant",IF(ISNA(MATCH(A2084,fa_num,0)),"Facture inconnue",IF(AND(B2084&lt;&gt;"",ISNA(MATCH(B2084,pr_code,0))),"Article inconnu",IF(H2084="","Désignation manquante",IF(OR(NOT(ISNUMBER(D2084)),N(D2084)&lt;=0),"Quantité invalide",IF(J2084="","Prix manquant",IF(OR(NOT(ISNUMBER(J2084)),N(J2084)&lt;0),"Prix invalide",IF(OR(AND(F2084&lt;&gt;"",NOT(ISNUMBER(F2084))),N(F2084)&lt;0,N(F2084)&gt;1),"Remise invalide",IF(K2084="","Taux de TVA manquant",IF(NOT(ISNUMBER(K2084)),"Taux de TVA invalide",IF(COUNTIF(p_rates,K2084)=0,"Taux de TVA hors liste (Paramètres)",IF(N(O2084)&gt;25,"Au-delà de 25 lignes : non imprimée","OK")))))))))))))</f>
        <v/>
      </c>
      <c r="O2084" s="59" t="str">
        <f>IF(A2084="","",COUNTIF($A$6:A2084,A2084))</f>
        <v/>
      </c>
      <c r="P2084" s="62" t="str">
        <f>IF(A2084="","",A2084&amp;"|"&amp;O2084)</f>
        <v/>
      </c>
    </row>
    <row r="2085">
      <c r="A2085" s="60" t="n"/>
      <c r="B2085" s="63" t="n"/>
      <c r="C2085" s="63" t="n"/>
      <c r="D2085" s="67" t="n"/>
      <c r="E2085" s="68" t="n"/>
      <c r="F2085" s="69" t="n"/>
      <c r="G2085" s="70" t="n"/>
      <c r="H2085" s="62" t="str">
        <f>IF(COUNTA(A2085:G2085)=0,"",IF(C2085&lt;&gt;"",C2085,IF(B2085="","",IFERROR(INDEX(pr_des,MATCH(B2085,pr_code,0))&amp;"",""))))</f>
        <v/>
      </c>
      <c r="I2085" s="59" t="str">
        <f>IF(B2085="","",IFERROR(INDEX(pr_unit,MATCH(B2085,pr_code,0))&amp;"",""))</f>
        <v/>
      </c>
      <c r="J2085" s="65" t="str">
        <f>IF(COUNTA(A2085:G2085)=0,"",IF(E2085&lt;&gt;"",E2085,IF(B2085="","",IFERROR(IF(INDEX(pr_price,MATCH(B2085,pr_code,0))="","",INDEX(pr_price,MATCH(B2085,pr_code,0))),""))))</f>
        <v/>
      </c>
      <c r="K2085" s="71" t="str">
        <f>IF(COUNTA(A2085:G2085)=0,"",IF(G2085&lt;&gt;"",G2085,IF(B2085="","",IFERROR(IF(INDEX(pr_rate,MATCH(B2085,pr_code,0))="","",INDEX(pr_rate,MATCH(B2085,pr_code,0))),""))))</f>
        <v/>
      </c>
      <c r="L2085" s="65" t="str">
        <f>IF(COUNTA(A2085:G2085)=0,"",IF(AND(ISNUMBER(D2085),ISNUMBER(J2085)),ROUND(D2085*J2085*(1-N(F2085)),2),0))</f>
        <v/>
      </c>
      <c r="M2085" s="62" t="str">
        <f>IF(A2085="","",IFERROR(INDEX(fa_cname,MATCH(A2085,fa_num,0))&amp;"",""))</f>
        <v/>
      </c>
      <c r="N2085" s="59" t="str">
        <f>IF(COUNTA(A2085:G2085)=0,"",IF(A2085="","N° facture manquant",IF(ISNA(MATCH(A2085,fa_num,0)),"Facture inconnue",IF(AND(B2085&lt;&gt;"",ISNA(MATCH(B2085,pr_code,0))),"Article inconnu",IF(H2085="","Désignation manquante",IF(OR(NOT(ISNUMBER(D2085)),N(D2085)&lt;=0),"Quantité invalide",IF(J2085="","Prix manquant",IF(OR(NOT(ISNUMBER(J2085)),N(J2085)&lt;0),"Prix invalide",IF(OR(AND(F2085&lt;&gt;"",NOT(ISNUMBER(F2085))),N(F2085)&lt;0,N(F2085)&gt;1),"Remise invalide",IF(K2085="","Taux de TVA manquant",IF(NOT(ISNUMBER(K2085)),"Taux de TVA invalide",IF(COUNTIF(p_rates,K2085)=0,"Taux de TVA hors liste (Paramètres)",IF(N(O2085)&gt;25,"Au-delà de 25 lignes : non imprimée","OK")))))))))))))</f>
        <v/>
      </c>
      <c r="O2085" s="59" t="str">
        <f>IF(A2085="","",COUNTIF($A$6:A2085,A2085))</f>
        <v/>
      </c>
      <c r="P2085" s="62" t="str">
        <f>IF(A2085="","",A2085&amp;"|"&amp;O2085)</f>
        <v/>
      </c>
    </row>
    <row r="2086">
      <c r="A2086" s="60" t="n"/>
      <c r="B2086" s="63" t="n"/>
      <c r="C2086" s="63" t="n"/>
      <c r="D2086" s="67" t="n"/>
      <c r="E2086" s="68" t="n"/>
      <c r="F2086" s="69" t="n"/>
      <c r="G2086" s="70" t="n"/>
      <c r="H2086" s="62" t="str">
        <f>IF(COUNTA(A2086:G2086)=0,"",IF(C2086&lt;&gt;"",C2086,IF(B2086="","",IFERROR(INDEX(pr_des,MATCH(B2086,pr_code,0))&amp;"",""))))</f>
        <v/>
      </c>
      <c r="I2086" s="59" t="str">
        <f>IF(B2086="","",IFERROR(INDEX(pr_unit,MATCH(B2086,pr_code,0))&amp;"",""))</f>
        <v/>
      </c>
      <c r="J2086" s="65" t="str">
        <f>IF(COUNTA(A2086:G2086)=0,"",IF(E2086&lt;&gt;"",E2086,IF(B2086="","",IFERROR(IF(INDEX(pr_price,MATCH(B2086,pr_code,0))="","",INDEX(pr_price,MATCH(B2086,pr_code,0))),""))))</f>
        <v/>
      </c>
      <c r="K2086" s="71" t="str">
        <f>IF(COUNTA(A2086:G2086)=0,"",IF(G2086&lt;&gt;"",G2086,IF(B2086="","",IFERROR(IF(INDEX(pr_rate,MATCH(B2086,pr_code,0))="","",INDEX(pr_rate,MATCH(B2086,pr_code,0))),""))))</f>
        <v/>
      </c>
      <c r="L2086" s="65" t="str">
        <f>IF(COUNTA(A2086:G2086)=0,"",IF(AND(ISNUMBER(D2086),ISNUMBER(J2086)),ROUND(D2086*J2086*(1-N(F2086)),2),0))</f>
        <v/>
      </c>
      <c r="M2086" s="62" t="str">
        <f>IF(A2086="","",IFERROR(INDEX(fa_cname,MATCH(A2086,fa_num,0))&amp;"",""))</f>
        <v/>
      </c>
      <c r="N2086" s="59" t="str">
        <f>IF(COUNTA(A2086:G2086)=0,"",IF(A2086="","N° facture manquant",IF(ISNA(MATCH(A2086,fa_num,0)),"Facture inconnue",IF(AND(B2086&lt;&gt;"",ISNA(MATCH(B2086,pr_code,0))),"Article inconnu",IF(H2086="","Désignation manquante",IF(OR(NOT(ISNUMBER(D2086)),N(D2086)&lt;=0),"Quantité invalide",IF(J2086="","Prix manquant",IF(OR(NOT(ISNUMBER(J2086)),N(J2086)&lt;0),"Prix invalide",IF(OR(AND(F2086&lt;&gt;"",NOT(ISNUMBER(F2086))),N(F2086)&lt;0,N(F2086)&gt;1),"Remise invalide",IF(K2086="","Taux de TVA manquant",IF(NOT(ISNUMBER(K2086)),"Taux de TVA invalide",IF(COUNTIF(p_rates,K2086)=0,"Taux de TVA hors liste (Paramètres)",IF(N(O2086)&gt;25,"Au-delà de 25 lignes : non imprimée","OK")))))))))))))</f>
        <v/>
      </c>
      <c r="O2086" s="59" t="str">
        <f>IF(A2086="","",COUNTIF($A$6:A2086,A2086))</f>
        <v/>
      </c>
      <c r="P2086" s="62" t="str">
        <f>IF(A2086="","",A2086&amp;"|"&amp;O2086)</f>
        <v/>
      </c>
    </row>
    <row r="2087">
      <c r="A2087" s="60" t="n"/>
      <c r="B2087" s="63" t="n"/>
      <c r="C2087" s="63" t="n"/>
      <c r="D2087" s="67" t="n"/>
      <c r="E2087" s="68" t="n"/>
      <c r="F2087" s="69" t="n"/>
      <c r="G2087" s="70" t="n"/>
      <c r="H2087" s="62" t="str">
        <f>IF(COUNTA(A2087:G2087)=0,"",IF(C2087&lt;&gt;"",C2087,IF(B2087="","",IFERROR(INDEX(pr_des,MATCH(B2087,pr_code,0))&amp;"",""))))</f>
        <v/>
      </c>
      <c r="I2087" s="59" t="str">
        <f>IF(B2087="","",IFERROR(INDEX(pr_unit,MATCH(B2087,pr_code,0))&amp;"",""))</f>
        <v/>
      </c>
      <c r="J2087" s="65" t="str">
        <f>IF(COUNTA(A2087:G2087)=0,"",IF(E2087&lt;&gt;"",E2087,IF(B2087="","",IFERROR(IF(INDEX(pr_price,MATCH(B2087,pr_code,0))="","",INDEX(pr_price,MATCH(B2087,pr_code,0))),""))))</f>
        <v/>
      </c>
      <c r="K2087" s="71" t="str">
        <f>IF(COUNTA(A2087:G2087)=0,"",IF(G2087&lt;&gt;"",G2087,IF(B2087="","",IFERROR(IF(INDEX(pr_rate,MATCH(B2087,pr_code,0))="","",INDEX(pr_rate,MATCH(B2087,pr_code,0))),""))))</f>
        <v/>
      </c>
      <c r="L2087" s="65" t="str">
        <f>IF(COUNTA(A2087:G2087)=0,"",IF(AND(ISNUMBER(D2087),ISNUMBER(J2087)),ROUND(D2087*J2087*(1-N(F2087)),2),0))</f>
        <v/>
      </c>
      <c r="M2087" s="62" t="str">
        <f>IF(A2087="","",IFERROR(INDEX(fa_cname,MATCH(A2087,fa_num,0))&amp;"",""))</f>
        <v/>
      </c>
      <c r="N2087" s="59" t="str">
        <f>IF(COUNTA(A2087:G2087)=0,"",IF(A2087="","N° facture manquant",IF(ISNA(MATCH(A2087,fa_num,0)),"Facture inconnue",IF(AND(B2087&lt;&gt;"",ISNA(MATCH(B2087,pr_code,0))),"Article inconnu",IF(H2087="","Désignation manquante",IF(OR(NOT(ISNUMBER(D2087)),N(D2087)&lt;=0),"Quantité invalide",IF(J2087="","Prix manquant",IF(OR(NOT(ISNUMBER(J2087)),N(J2087)&lt;0),"Prix invalide",IF(OR(AND(F2087&lt;&gt;"",NOT(ISNUMBER(F2087))),N(F2087)&lt;0,N(F2087)&gt;1),"Remise invalide",IF(K2087="","Taux de TVA manquant",IF(NOT(ISNUMBER(K2087)),"Taux de TVA invalide",IF(COUNTIF(p_rates,K2087)=0,"Taux de TVA hors liste (Paramètres)",IF(N(O2087)&gt;25,"Au-delà de 25 lignes : non imprimée","OK")))))))))))))</f>
        <v/>
      </c>
      <c r="O2087" s="59" t="str">
        <f>IF(A2087="","",COUNTIF($A$6:A2087,A2087))</f>
        <v/>
      </c>
      <c r="P2087" s="62" t="str">
        <f>IF(A2087="","",A2087&amp;"|"&amp;O2087)</f>
        <v/>
      </c>
    </row>
    <row r="2088">
      <c r="A2088" s="60" t="n"/>
      <c r="B2088" s="63" t="n"/>
      <c r="C2088" s="63" t="n"/>
      <c r="D2088" s="67" t="n"/>
      <c r="E2088" s="68" t="n"/>
      <c r="F2088" s="69" t="n"/>
      <c r="G2088" s="70" t="n"/>
      <c r="H2088" s="62" t="str">
        <f>IF(COUNTA(A2088:G2088)=0,"",IF(C2088&lt;&gt;"",C2088,IF(B2088="","",IFERROR(INDEX(pr_des,MATCH(B2088,pr_code,0))&amp;"",""))))</f>
        <v/>
      </c>
      <c r="I2088" s="59" t="str">
        <f>IF(B2088="","",IFERROR(INDEX(pr_unit,MATCH(B2088,pr_code,0))&amp;"",""))</f>
        <v/>
      </c>
      <c r="J2088" s="65" t="str">
        <f>IF(COUNTA(A2088:G2088)=0,"",IF(E2088&lt;&gt;"",E2088,IF(B2088="","",IFERROR(IF(INDEX(pr_price,MATCH(B2088,pr_code,0))="","",INDEX(pr_price,MATCH(B2088,pr_code,0))),""))))</f>
        <v/>
      </c>
      <c r="K2088" s="71" t="str">
        <f>IF(COUNTA(A2088:G2088)=0,"",IF(G2088&lt;&gt;"",G2088,IF(B2088="","",IFERROR(IF(INDEX(pr_rate,MATCH(B2088,pr_code,0))="","",INDEX(pr_rate,MATCH(B2088,pr_code,0))),""))))</f>
        <v/>
      </c>
      <c r="L2088" s="65" t="str">
        <f>IF(COUNTA(A2088:G2088)=0,"",IF(AND(ISNUMBER(D2088),ISNUMBER(J2088)),ROUND(D2088*J2088*(1-N(F2088)),2),0))</f>
        <v/>
      </c>
      <c r="M2088" s="62" t="str">
        <f>IF(A2088="","",IFERROR(INDEX(fa_cname,MATCH(A2088,fa_num,0))&amp;"",""))</f>
        <v/>
      </c>
      <c r="N2088" s="59" t="str">
        <f>IF(COUNTA(A2088:G2088)=0,"",IF(A2088="","N° facture manquant",IF(ISNA(MATCH(A2088,fa_num,0)),"Facture inconnue",IF(AND(B2088&lt;&gt;"",ISNA(MATCH(B2088,pr_code,0))),"Article inconnu",IF(H2088="","Désignation manquante",IF(OR(NOT(ISNUMBER(D2088)),N(D2088)&lt;=0),"Quantité invalide",IF(J2088="","Prix manquant",IF(OR(NOT(ISNUMBER(J2088)),N(J2088)&lt;0),"Prix invalide",IF(OR(AND(F2088&lt;&gt;"",NOT(ISNUMBER(F2088))),N(F2088)&lt;0,N(F2088)&gt;1),"Remise invalide",IF(K2088="","Taux de TVA manquant",IF(NOT(ISNUMBER(K2088)),"Taux de TVA invalide",IF(COUNTIF(p_rates,K2088)=0,"Taux de TVA hors liste (Paramètres)",IF(N(O2088)&gt;25,"Au-delà de 25 lignes : non imprimée","OK")))))))))))))</f>
        <v/>
      </c>
      <c r="O2088" s="59" t="str">
        <f>IF(A2088="","",COUNTIF($A$6:A2088,A2088))</f>
        <v/>
      </c>
      <c r="P2088" s="62" t="str">
        <f>IF(A2088="","",A2088&amp;"|"&amp;O2088)</f>
        <v/>
      </c>
    </row>
    <row r="2089">
      <c r="A2089" s="60" t="n"/>
      <c r="B2089" s="63" t="n"/>
      <c r="C2089" s="63" t="n"/>
      <c r="D2089" s="67" t="n"/>
      <c r="E2089" s="68" t="n"/>
      <c r="F2089" s="69" t="n"/>
      <c r="G2089" s="70" t="n"/>
      <c r="H2089" s="62" t="str">
        <f>IF(COUNTA(A2089:G2089)=0,"",IF(C2089&lt;&gt;"",C2089,IF(B2089="","",IFERROR(INDEX(pr_des,MATCH(B2089,pr_code,0))&amp;"",""))))</f>
        <v/>
      </c>
      <c r="I2089" s="59" t="str">
        <f>IF(B2089="","",IFERROR(INDEX(pr_unit,MATCH(B2089,pr_code,0))&amp;"",""))</f>
        <v/>
      </c>
      <c r="J2089" s="65" t="str">
        <f>IF(COUNTA(A2089:G2089)=0,"",IF(E2089&lt;&gt;"",E2089,IF(B2089="","",IFERROR(IF(INDEX(pr_price,MATCH(B2089,pr_code,0))="","",INDEX(pr_price,MATCH(B2089,pr_code,0))),""))))</f>
        <v/>
      </c>
      <c r="K2089" s="71" t="str">
        <f>IF(COUNTA(A2089:G2089)=0,"",IF(G2089&lt;&gt;"",G2089,IF(B2089="","",IFERROR(IF(INDEX(pr_rate,MATCH(B2089,pr_code,0))="","",INDEX(pr_rate,MATCH(B2089,pr_code,0))),""))))</f>
        <v/>
      </c>
      <c r="L2089" s="65" t="str">
        <f>IF(COUNTA(A2089:G2089)=0,"",IF(AND(ISNUMBER(D2089),ISNUMBER(J2089)),ROUND(D2089*J2089*(1-N(F2089)),2),0))</f>
        <v/>
      </c>
      <c r="M2089" s="62" t="str">
        <f>IF(A2089="","",IFERROR(INDEX(fa_cname,MATCH(A2089,fa_num,0))&amp;"",""))</f>
        <v/>
      </c>
      <c r="N2089" s="59" t="str">
        <f>IF(COUNTA(A2089:G2089)=0,"",IF(A2089="","N° facture manquant",IF(ISNA(MATCH(A2089,fa_num,0)),"Facture inconnue",IF(AND(B2089&lt;&gt;"",ISNA(MATCH(B2089,pr_code,0))),"Article inconnu",IF(H2089="","Désignation manquante",IF(OR(NOT(ISNUMBER(D2089)),N(D2089)&lt;=0),"Quantité invalide",IF(J2089="","Prix manquant",IF(OR(NOT(ISNUMBER(J2089)),N(J2089)&lt;0),"Prix invalide",IF(OR(AND(F2089&lt;&gt;"",NOT(ISNUMBER(F2089))),N(F2089)&lt;0,N(F2089)&gt;1),"Remise invalide",IF(K2089="","Taux de TVA manquant",IF(NOT(ISNUMBER(K2089)),"Taux de TVA invalide",IF(COUNTIF(p_rates,K2089)=0,"Taux de TVA hors liste (Paramètres)",IF(N(O2089)&gt;25,"Au-delà de 25 lignes : non imprimée","OK")))))))))))))</f>
        <v/>
      </c>
      <c r="O2089" s="59" t="str">
        <f>IF(A2089="","",COUNTIF($A$6:A2089,A2089))</f>
        <v/>
      </c>
      <c r="P2089" s="62" t="str">
        <f>IF(A2089="","",A2089&amp;"|"&amp;O2089)</f>
        <v/>
      </c>
    </row>
    <row r="2090">
      <c r="A2090" s="60" t="n"/>
      <c r="B2090" s="63" t="n"/>
      <c r="C2090" s="63" t="n"/>
      <c r="D2090" s="67" t="n"/>
      <c r="E2090" s="68" t="n"/>
      <c r="F2090" s="69" t="n"/>
      <c r="G2090" s="70" t="n"/>
      <c r="H2090" s="62" t="str">
        <f>IF(COUNTA(A2090:G2090)=0,"",IF(C2090&lt;&gt;"",C2090,IF(B2090="","",IFERROR(INDEX(pr_des,MATCH(B2090,pr_code,0))&amp;"",""))))</f>
        <v/>
      </c>
      <c r="I2090" s="59" t="str">
        <f>IF(B2090="","",IFERROR(INDEX(pr_unit,MATCH(B2090,pr_code,0))&amp;"",""))</f>
        <v/>
      </c>
      <c r="J2090" s="65" t="str">
        <f>IF(COUNTA(A2090:G2090)=0,"",IF(E2090&lt;&gt;"",E2090,IF(B2090="","",IFERROR(IF(INDEX(pr_price,MATCH(B2090,pr_code,0))="","",INDEX(pr_price,MATCH(B2090,pr_code,0))),""))))</f>
        <v/>
      </c>
      <c r="K2090" s="71" t="str">
        <f>IF(COUNTA(A2090:G2090)=0,"",IF(G2090&lt;&gt;"",G2090,IF(B2090="","",IFERROR(IF(INDEX(pr_rate,MATCH(B2090,pr_code,0))="","",INDEX(pr_rate,MATCH(B2090,pr_code,0))),""))))</f>
        <v/>
      </c>
      <c r="L2090" s="65" t="str">
        <f>IF(COUNTA(A2090:G2090)=0,"",IF(AND(ISNUMBER(D2090),ISNUMBER(J2090)),ROUND(D2090*J2090*(1-N(F2090)),2),0))</f>
        <v/>
      </c>
      <c r="M2090" s="62" t="str">
        <f>IF(A2090="","",IFERROR(INDEX(fa_cname,MATCH(A2090,fa_num,0))&amp;"",""))</f>
        <v/>
      </c>
      <c r="N2090" s="59" t="str">
        <f>IF(COUNTA(A2090:G2090)=0,"",IF(A2090="","N° facture manquant",IF(ISNA(MATCH(A2090,fa_num,0)),"Facture inconnue",IF(AND(B2090&lt;&gt;"",ISNA(MATCH(B2090,pr_code,0))),"Article inconnu",IF(H2090="","Désignation manquante",IF(OR(NOT(ISNUMBER(D2090)),N(D2090)&lt;=0),"Quantité invalide",IF(J2090="","Prix manquant",IF(OR(NOT(ISNUMBER(J2090)),N(J2090)&lt;0),"Prix invalide",IF(OR(AND(F2090&lt;&gt;"",NOT(ISNUMBER(F2090))),N(F2090)&lt;0,N(F2090)&gt;1),"Remise invalide",IF(K2090="","Taux de TVA manquant",IF(NOT(ISNUMBER(K2090)),"Taux de TVA invalide",IF(COUNTIF(p_rates,K2090)=0,"Taux de TVA hors liste (Paramètres)",IF(N(O2090)&gt;25,"Au-delà de 25 lignes : non imprimée","OK")))))))))))))</f>
        <v/>
      </c>
      <c r="O2090" s="59" t="str">
        <f>IF(A2090="","",COUNTIF($A$6:A2090,A2090))</f>
        <v/>
      </c>
      <c r="P2090" s="62" t="str">
        <f>IF(A2090="","",A2090&amp;"|"&amp;O2090)</f>
        <v/>
      </c>
    </row>
    <row r="2091">
      <c r="A2091" s="60" t="n"/>
      <c r="B2091" s="63" t="n"/>
      <c r="C2091" s="63" t="n"/>
      <c r="D2091" s="67" t="n"/>
      <c r="E2091" s="68" t="n"/>
      <c r="F2091" s="69" t="n"/>
      <c r="G2091" s="70" t="n"/>
      <c r="H2091" s="62" t="str">
        <f>IF(COUNTA(A2091:G2091)=0,"",IF(C2091&lt;&gt;"",C2091,IF(B2091="","",IFERROR(INDEX(pr_des,MATCH(B2091,pr_code,0))&amp;"",""))))</f>
        <v/>
      </c>
      <c r="I2091" s="59" t="str">
        <f>IF(B2091="","",IFERROR(INDEX(pr_unit,MATCH(B2091,pr_code,0))&amp;"",""))</f>
        <v/>
      </c>
      <c r="J2091" s="65" t="str">
        <f>IF(COUNTA(A2091:G2091)=0,"",IF(E2091&lt;&gt;"",E2091,IF(B2091="","",IFERROR(IF(INDEX(pr_price,MATCH(B2091,pr_code,0))="","",INDEX(pr_price,MATCH(B2091,pr_code,0))),""))))</f>
        <v/>
      </c>
      <c r="K2091" s="71" t="str">
        <f>IF(COUNTA(A2091:G2091)=0,"",IF(G2091&lt;&gt;"",G2091,IF(B2091="","",IFERROR(IF(INDEX(pr_rate,MATCH(B2091,pr_code,0))="","",INDEX(pr_rate,MATCH(B2091,pr_code,0))),""))))</f>
        <v/>
      </c>
      <c r="L2091" s="65" t="str">
        <f>IF(COUNTA(A2091:G2091)=0,"",IF(AND(ISNUMBER(D2091),ISNUMBER(J2091)),ROUND(D2091*J2091*(1-N(F2091)),2),0))</f>
        <v/>
      </c>
      <c r="M2091" s="62" t="str">
        <f>IF(A2091="","",IFERROR(INDEX(fa_cname,MATCH(A2091,fa_num,0))&amp;"",""))</f>
        <v/>
      </c>
      <c r="N2091" s="59" t="str">
        <f>IF(COUNTA(A2091:G2091)=0,"",IF(A2091="","N° facture manquant",IF(ISNA(MATCH(A2091,fa_num,0)),"Facture inconnue",IF(AND(B2091&lt;&gt;"",ISNA(MATCH(B2091,pr_code,0))),"Article inconnu",IF(H2091="","Désignation manquante",IF(OR(NOT(ISNUMBER(D2091)),N(D2091)&lt;=0),"Quantité invalide",IF(J2091="","Prix manquant",IF(OR(NOT(ISNUMBER(J2091)),N(J2091)&lt;0),"Prix invalide",IF(OR(AND(F2091&lt;&gt;"",NOT(ISNUMBER(F2091))),N(F2091)&lt;0,N(F2091)&gt;1),"Remise invalide",IF(K2091="","Taux de TVA manquant",IF(NOT(ISNUMBER(K2091)),"Taux de TVA invalide",IF(COUNTIF(p_rates,K2091)=0,"Taux de TVA hors liste (Paramètres)",IF(N(O2091)&gt;25,"Au-delà de 25 lignes : non imprimée","OK")))))))))))))</f>
        <v/>
      </c>
      <c r="O2091" s="59" t="str">
        <f>IF(A2091="","",COUNTIF($A$6:A2091,A2091))</f>
        <v/>
      </c>
      <c r="P2091" s="62" t="str">
        <f>IF(A2091="","",A2091&amp;"|"&amp;O2091)</f>
        <v/>
      </c>
    </row>
    <row r="2092">
      <c r="A2092" s="60" t="n"/>
      <c r="B2092" s="63" t="n"/>
      <c r="C2092" s="63" t="n"/>
      <c r="D2092" s="67" t="n"/>
      <c r="E2092" s="68" t="n"/>
      <c r="F2092" s="69" t="n"/>
      <c r="G2092" s="70" t="n"/>
      <c r="H2092" s="62" t="str">
        <f>IF(COUNTA(A2092:G2092)=0,"",IF(C2092&lt;&gt;"",C2092,IF(B2092="","",IFERROR(INDEX(pr_des,MATCH(B2092,pr_code,0))&amp;"",""))))</f>
        <v/>
      </c>
      <c r="I2092" s="59" t="str">
        <f>IF(B2092="","",IFERROR(INDEX(pr_unit,MATCH(B2092,pr_code,0))&amp;"",""))</f>
        <v/>
      </c>
      <c r="J2092" s="65" t="str">
        <f>IF(COUNTA(A2092:G2092)=0,"",IF(E2092&lt;&gt;"",E2092,IF(B2092="","",IFERROR(IF(INDEX(pr_price,MATCH(B2092,pr_code,0))="","",INDEX(pr_price,MATCH(B2092,pr_code,0))),""))))</f>
        <v/>
      </c>
      <c r="K2092" s="71" t="str">
        <f>IF(COUNTA(A2092:G2092)=0,"",IF(G2092&lt;&gt;"",G2092,IF(B2092="","",IFERROR(IF(INDEX(pr_rate,MATCH(B2092,pr_code,0))="","",INDEX(pr_rate,MATCH(B2092,pr_code,0))),""))))</f>
        <v/>
      </c>
      <c r="L2092" s="65" t="str">
        <f>IF(COUNTA(A2092:G2092)=0,"",IF(AND(ISNUMBER(D2092),ISNUMBER(J2092)),ROUND(D2092*J2092*(1-N(F2092)),2),0))</f>
        <v/>
      </c>
      <c r="M2092" s="62" t="str">
        <f>IF(A2092="","",IFERROR(INDEX(fa_cname,MATCH(A2092,fa_num,0))&amp;"",""))</f>
        <v/>
      </c>
      <c r="N2092" s="59" t="str">
        <f>IF(COUNTA(A2092:G2092)=0,"",IF(A2092="","N° facture manquant",IF(ISNA(MATCH(A2092,fa_num,0)),"Facture inconnue",IF(AND(B2092&lt;&gt;"",ISNA(MATCH(B2092,pr_code,0))),"Article inconnu",IF(H2092="","Désignation manquante",IF(OR(NOT(ISNUMBER(D2092)),N(D2092)&lt;=0),"Quantité invalide",IF(J2092="","Prix manquant",IF(OR(NOT(ISNUMBER(J2092)),N(J2092)&lt;0),"Prix invalide",IF(OR(AND(F2092&lt;&gt;"",NOT(ISNUMBER(F2092))),N(F2092)&lt;0,N(F2092)&gt;1),"Remise invalide",IF(K2092="","Taux de TVA manquant",IF(NOT(ISNUMBER(K2092)),"Taux de TVA invalide",IF(COUNTIF(p_rates,K2092)=0,"Taux de TVA hors liste (Paramètres)",IF(N(O2092)&gt;25,"Au-delà de 25 lignes : non imprimée","OK")))))))))))))</f>
        <v/>
      </c>
      <c r="O2092" s="59" t="str">
        <f>IF(A2092="","",COUNTIF($A$6:A2092,A2092))</f>
        <v/>
      </c>
      <c r="P2092" s="62" t="str">
        <f>IF(A2092="","",A2092&amp;"|"&amp;O2092)</f>
        <v/>
      </c>
    </row>
    <row r="2093">
      <c r="A2093" s="60" t="n"/>
      <c r="B2093" s="63" t="n"/>
      <c r="C2093" s="63" t="n"/>
      <c r="D2093" s="67" t="n"/>
      <c r="E2093" s="68" t="n"/>
      <c r="F2093" s="69" t="n"/>
      <c r="G2093" s="70" t="n"/>
      <c r="H2093" s="62" t="str">
        <f>IF(COUNTA(A2093:G2093)=0,"",IF(C2093&lt;&gt;"",C2093,IF(B2093="","",IFERROR(INDEX(pr_des,MATCH(B2093,pr_code,0))&amp;"",""))))</f>
        <v/>
      </c>
      <c r="I2093" s="59" t="str">
        <f>IF(B2093="","",IFERROR(INDEX(pr_unit,MATCH(B2093,pr_code,0))&amp;"",""))</f>
        <v/>
      </c>
      <c r="J2093" s="65" t="str">
        <f>IF(COUNTA(A2093:G2093)=0,"",IF(E2093&lt;&gt;"",E2093,IF(B2093="","",IFERROR(IF(INDEX(pr_price,MATCH(B2093,pr_code,0))="","",INDEX(pr_price,MATCH(B2093,pr_code,0))),""))))</f>
        <v/>
      </c>
      <c r="K2093" s="71" t="str">
        <f>IF(COUNTA(A2093:G2093)=0,"",IF(G2093&lt;&gt;"",G2093,IF(B2093="","",IFERROR(IF(INDEX(pr_rate,MATCH(B2093,pr_code,0))="","",INDEX(pr_rate,MATCH(B2093,pr_code,0))),""))))</f>
        <v/>
      </c>
      <c r="L2093" s="65" t="str">
        <f>IF(COUNTA(A2093:G2093)=0,"",IF(AND(ISNUMBER(D2093),ISNUMBER(J2093)),ROUND(D2093*J2093*(1-N(F2093)),2),0))</f>
        <v/>
      </c>
      <c r="M2093" s="62" t="str">
        <f>IF(A2093="","",IFERROR(INDEX(fa_cname,MATCH(A2093,fa_num,0))&amp;"",""))</f>
        <v/>
      </c>
      <c r="N2093" s="59" t="str">
        <f>IF(COUNTA(A2093:G2093)=0,"",IF(A2093="","N° facture manquant",IF(ISNA(MATCH(A2093,fa_num,0)),"Facture inconnue",IF(AND(B2093&lt;&gt;"",ISNA(MATCH(B2093,pr_code,0))),"Article inconnu",IF(H2093="","Désignation manquante",IF(OR(NOT(ISNUMBER(D2093)),N(D2093)&lt;=0),"Quantité invalide",IF(J2093="","Prix manquant",IF(OR(NOT(ISNUMBER(J2093)),N(J2093)&lt;0),"Prix invalide",IF(OR(AND(F2093&lt;&gt;"",NOT(ISNUMBER(F2093))),N(F2093)&lt;0,N(F2093)&gt;1),"Remise invalide",IF(K2093="","Taux de TVA manquant",IF(NOT(ISNUMBER(K2093)),"Taux de TVA invalide",IF(COUNTIF(p_rates,K2093)=0,"Taux de TVA hors liste (Paramètres)",IF(N(O2093)&gt;25,"Au-delà de 25 lignes : non imprimée","OK")))))))))))))</f>
        <v/>
      </c>
      <c r="O2093" s="59" t="str">
        <f>IF(A2093="","",COUNTIF($A$6:A2093,A2093))</f>
        <v/>
      </c>
      <c r="P2093" s="62" t="str">
        <f>IF(A2093="","",A2093&amp;"|"&amp;O2093)</f>
        <v/>
      </c>
    </row>
    <row r="2094">
      <c r="A2094" s="60" t="n"/>
      <c r="B2094" s="63" t="n"/>
      <c r="C2094" s="63" t="n"/>
      <c r="D2094" s="67" t="n"/>
      <c r="E2094" s="68" t="n"/>
      <c r="F2094" s="69" t="n"/>
      <c r="G2094" s="70" t="n"/>
      <c r="H2094" s="62" t="str">
        <f>IF(COUNTA(A2094:G2094)=0,"",IF(C2094&lt;&gt;"",C2094,IF(B2094="","",IFERROR(INDEX(pr_des,MATCH(B2094,pr_code,0))&amp;"",""))))</f>
        <v/>
      </c>
      <c r="I2094" s="59" t="str">
        <f>IF(B2094="","",IFERROR(INDEX(pr_unit,MATCH(B2094,pr_code,0))&amp;"",""))</f>
        <v/>
      </c>
      <c r="J2094" s="65" t="str">
        <f>IF(COUNTA(A2094:G2094)=0,"",IF(E2094&lt;&gt;"",E2094,IF(B2094="","",IFERROR(IF(INDEX(pr_price,MATCH(B2094,pr_code,0))="","",INDEX(pr_price,MATCH(B2094,pr_code,0))),""))))</f>
        <v/>
      </c>
      <c r="K2094" s="71" t="str">
        <f>IF(COUNTA(A2094:G2094)=0,"",IF(G2094&lt;&gt;"",G2094,IF(B2094="","",IFERROR(IF(INDEX(pr_rate,MATCH(B2094,pr_code,0))="","",INDEX(pr_rate,MATCH(B2094,pr_code,0))),""))))</f>
        <v/>
      </c>
      <c r="L2094" s="65" t="str">
        <f>IF(COUNTA(A2094:G2094)=0,"",IF(AND(ISNUMBER(D2094),ISNUMBER(J2094)),ROUND(D2094*J2094*(1-N(F2094)),2),0))</f>
        <v/>
      </c>
      <c r="M2094" s="62" t="str">
        <f>IF(A2094="","",IFERROR(INDEX(fa_cname,MATCH(A2094,fa_num,0))&amp;"",""))</f>
        <v/>
      </c>
      <c r="N2094" s="59" t="str">
        <f>IF(COUNTA(A2094:G2094)=0,"",IF(A2094="","N° facture manquant",IF(ISNA(MATCH(A2094,fa_num,0)),"Facture inconnue",IF(AND(B2094&lt;&gt;"",ISNA(MATCH(B2094,pr_code,0))),"Article inconnu",IF(H2094="","Désignation manquante",IF(OR(NOT(ISNUMBER(D2094)),N(D2094)&lt;=0),"Quantité invalide",IF(J2094="","Prix manquant",IF(OR(NOT(ISNUMBER(J2094)),N(J2094)&lt;0),"Prix invalide",IF(OR(AND(F2094&lt;&gt;"",NOT(ISNUMBER(F2094))),N(F2094)&lt;0,N(F2094)&gt;1),"Remise invalide",IF(K2094="","Taux de TVA manquant",IF(NOT(ISNUMBER(K2094)),"Taux de TVA invalide",IF(COUNTIF(p_rates,K2094)=0,"Taux de TVA hors liste (Paramètres)",IF(N(O2094)&gt;25,"Au-delà de 25 lignes : non imprimée","OK")))))))))))))</f>
        <v/>
      </c>
      <c r="O2094" s="59" t="str">
        <f>IF(A2094="","",COUNTIF($A$6:A2094,A2094))</f>
        <v/>
      </c>
      <c r="P2094" s="62" t="str">
        <f>IF(A2094="","",A2094&amp;"|"&amp;O2094)</f>
        <v/>
      </c>
    </row>
    <row r="2095">
      <c r="A2095" s="60" t="n"/>
      <c r="B2095" s="63" t="n"/>
      <c r="C2095" s="63" t="n"/>
      <c r="D2095" s="67" t="n"/>
      <c r="E2095" s="68" t="n"/>
      <c r="F2095" s="69" t="n"/>
      <c r="G2095" s="70" t="n"/>
      <c r="H2095" s="62" t="str">
        <f>IF(COUNTA(A2095:G2095)=0,"",IF(C2095&lt;&gt;"",C2095,IF(B2095="","",IFERROR(INDEX(pr_des,MATCH(B2095,pr_code,0))&amp;"",""))))</f>
        <v/>
      </c>
      <c r="I2095" s="59" t="str">
        <f>IF(B2095="","",IFERROR(INDEX(pr_unit,MATCH(B2095,pr_code,0))&amp;"",""))</f>
        <v/>
      </c>
      <c r="J2095" s="65" t="str">
        <f>IF(COUNTA(A2095:G2095)=0,"",IF(E2095&lt;&gt;"",E2095,IF(B2095="","",IFERROR(IF(INDEX(pr_price,MATCH(B2095,pr_code,0))="","",INDEX(pr_price,MATCH(B2095,pr_code,0))),""))))</f>
        <v/>
      </c>
      <c r="K2095" s="71" t="str">
        <f>IF(COUNTA(A2095:G2095)=0,"",IF(G2095&lt;&gt;"",G2095,IF(B2095="","",IFERROR(IF(INDEX(pr_rate,MATCH(B2095,pr_code,0))="","",INDEX(pr_rate,MATCH(B2095,pr_code,0))),""))))</f>
        <v/>
      </c>
      <c r="L2095" s="65" t="str">
        <f>IF(COUNTA(A2095:G2095)=0,"",IF(AND(ISNUMBER(D2095),ISNUMBER(J2095)),ROUND(D2095*J2095*(1-N(F2095)),2),0))</f>
        <v/>
      </c>
      <c r="M2095" s="62" t="str">
        <f>IF(A2095="","",IFERROR(INDEX(fa_cname,MATCH(A2095,fa_num,0))&amp;"",""))</f>
        <v/>
      </c>
      <c r="N2095" s="59" t="str">
        <f>IF(COUNTA(A2095:G2095)=0,"",IF(A2095="","N° facture manquant",IF(ISNA(MATCH(A2095,fa_num,0)),"Facture inconnue",IF(AND(B2095&lt;&gt;"",ISNA(MATCH(B2095,pr_code,0))),"Article inconnu",IF(H2095="","Désignation manquante",IF(OR(NOT(ISNUMBER(D2095)),N(D2095)&lt;=0),"Quantité invalide",IF(J2095="","Prix manquant",IF(OR(NOT(ISNUMBER(J2095)),N(J2095)&lt;0),"Prix invalide",IF(OR(AND(F2095&lt;&gt;"",NOT(ISNUMBER(F2095))),N(F2095)&lt;0,N(F2095)&gt;1),"Remise invalide",IF(K2095="","Taux de TVA manquant",IF(NOT(ISNUMBER(K2095)),"Taux de TVA invalide",IF(COUNTIF(p_rates,K2095)=0,"Taux de TVA hors liste (Paramètres)",IF(N(O2095)&gt;25,"Au-delà de 25 lignes : non imprimée","OK")))))))))))))</f>
        <v/>
      </c>
      <c r="O2095" s="59" t="str">
        <f>IF(A2095="","",COUNTIF($A$6:A2095,A2095))</f>
        <v/>
      </c>
      <c r="P2095" s="62" t="str">
        <f>IF(A2095="","",A2095&amp;"|"&amp;O2095)</f>
        <v/>
      </c>
    </row>
    <row r="2096">
      <c r="A2096" s="60" t="n"/>
      <c r="B2096" s="63" t="n"/>
      <c r="C2096" s="63" t="n"/>
      <c r="D2096" s="67" t="n"/>
      <c r="E2096" s="68" t="n"/>
      <c r="F2096" s="69" t="n"/>
      <c r="G2096" s="70" t="n"/>
      <c r="H2096" s="62" t="str">
        <f>IF(COUNTA(A2096:G2096)=0,"",IF(C2096&lt;&gt;"",C2096,IF(B2096="","",IFERROR(INDEX(pr_des,MATCH(B2096,pr_code,0))&amp;"",""))))</f>
        <v/>
      </c>
      <c r="I2096" s="59" t="str">
        <f>IF(B2096="","",IFERROR(INDEX(pr_unit,MATCH(B2096,pr_code,0))&amp;"",""))</f>
        <v/>
      </c>
      <c r="J2096" s="65" t="str">
        <f>IF(COUNTA(A2096:G2096)=0,"",IF(E2096&lt;&gt;"",E2096,IF(B2096="","",IFERROR(IF(INDEX(pr_price,MATCH(B2096,pr_code,0))="","",INDEX(pr_price,MATCH(B2096,pr_code,0))),""))))</f>
        <v/>
      </c>
      <c r="K2096" s="71" t="str">
        <f>IF(COUNTA(A2096:G2096)=0,"",IF(G2096&lt;&gt;"",G2096,IF(B2096="","",IFERROR(IF(INDEX(pr_rate,MATCH(B2096,pr_code,0))="","",INDEX(pr_rate,MATCH(B2096,pr_code,0))),""))))</f>
        <v/>
      </c>
      <c r="L2096" s="65" t="str">
        <f>IF(COUNTA(A2096:G2096)=0,"",IF(AND(ISNUMBER(D2096),ISNUMBER(J2096)),ROUND(D2096*J2096*(1-N(F2096)),2),0))</f>
        <v/>
      </c>
      <c r="M2096" s="62" t="str">
        <f>IF(A2096="","",IFERROR(INDEX(fa_cname,MATCH(A2096,fa_num,0))&amp;"",""))</f>
        <v/>
      </c>
      <c r="N2096" s="59" t="str">
        <f>IF(COUNTA(A2096:G2096)=0,"",IF(A2096="","N° facture manquant",IF(ISNA(MATCH(A2096,fa_num,0)),"Facture inconnue",IF(AND(B2096&lt;&gt;"",ISNA(MATCH(B2096,pr_code,0))),"Article inconnu",IF(H2096="","Désignation manquante",IF(OR(NOT(ISNUMBER(D2096)),N(D2096)&lt;=0),"Quantité invalide",IF(J2096="","Prix manquant",IF(OR(NOT(ISNUMBER(J2096)),N(J2096)&lt;0),"Prix invalide",IF(OR(AND(F2096&lt;&gt;"",NOT(ISNUMBER(F2096))),N(F2096)&lt;0,N(F2096)&gt;1),"Remise invalide",IF(K2096="","Taux de TVA manquant",IF(NOT(ISNUMBER(K2096)),"Taux de TVA invalide",IF(COUNTIF(p_rates,K2096)=0,"Taux de TVA hors liste (Paramètres)",IF(N(O2096)&gt;25,"Au-delà de 25 lignes : non imprimée","OK")))))))))))))</f>
        <v/>
      </c>
      <c r="O2096" s="59" t="str">
        <f>IF(A2096="","",COUNTIF($A$6:A2096,A2096))</f>
        <v/>
      </c>
      <c r="P2096" s="62" t="str">
        <f>IF(A2096="","",A2096&amp;"|"&amp;O2096)</f>
        <v/>
      </c>
    </row>
    <row r="2097">
      <c r="A2097" s="60" t="n"/>
      <c r="B2097" s="63" t="n"/>
      <c r="C2097" s="63" t="n"/>
      <c r="D2097" s="67" t="n"/>
      <c r="E2097" s="68" t="n"/>
      <c r="F2097" s="69" t="n"/>
      <c r="G2097" s="70" t="n"/>
      <c r="H2097" s="62" t="str">
        <f>IF(COUNTA(A2097:G2097)=0,"",IF(C2097&lt;&gt;"",C2097,IF(B2097="","",IFERROR(INDEX(pr_des,MATCH(B2097,pr_code,0))&amp;"",""))))</f>
        <v/>
      </c>
      <c r="I2097" s="59" t="str">
        <f>IF(B2097="","",IFERROR(INDEX(pr_unit,MATCH(B2097,pr_code,0))&amp;"",""))</f>
        <v/>
      </c>
      <c r="J2097" s="65" t="str">
        <f>IF(COUNTA(A2097:G2097)=0,"",IF(E2097&lt;&gt;"",E2097,IF(B2097="","",IFERROR(IF(INDEX(pr_price,MATCH(B2097,pr_code,0))="","",INDEX(pr_price,MATCH(B2097,pr_code,0))),""))))</f>
        <v/>
      </c>
      <c r="K2097" s="71" t="str">
        <f>IF(COUNTA(A2097:G2097)=0,"",IF(G2097&lt;&gt;"",G2097,IF(B2097="","",IFERROR(IF(INDEX(pr_rate,MATCH(B2097,pr_code,0))="","",INDEX(pr_rate,MATCH(B2097,pr_code,0))),""))))</f>
        <v/>
      </c>
      <c r="L2097" s="65" t="str">
        <f>IF(COUNTA(A2097:G2097)=0,"",IF(AND(ISNUMBER(D2097),ISNUMBER(J2097)),ROUND(D2097*J2097*(1-N(F2097)),2),0))</f>
        <v/>
      </c>
      <c r="M2097" s="62" t="str">
        <f>IF(A2097="","",IFERROR(INDEX(fa_cname,MATCH(A2097,fa_num,0))&amp;"",""))</f>
        <v/>
      </c>
      <c r="N2097" s="59" t="str">
        <f>IF(COUNTA(A2097:G2097)=0,"",IF(A2097="","N° facture manquant",IF(ISNA(MATCH(A2097,fa_num,0)),"Facture inconnue",IF(AND(B2097&lt;&gt;"",ISNA(MATCH(B2097,pr_code,0))),"Article inconnu",IF(H2097="","Désignation manquante",IF(OR(NOT(ISNUMBER(D2097)),N(D2097)&lt;=0),"Quantité invalide",IF(J2097="","Prix manquant",IF(OR(NOT(ISNUMBER(J2097)),N(J2097)&lt;0),"Prix invalide",IF(OR(AND(F2097&lt;&gt;"",NOT(ISNUMBER(F2097))),N(F2097)&lt;0,N(F2097)&gt;1),"Remise invalide",IF(K2097="","Taux de TVA manquant",IF(NOT(ISNUMBER(K2097)),"Taux de TVA invalide",IF(COUNTIF(p_rates,K2097)=0,"Taux de TVA hors liste (Paramètres)",IF(N(O2097)&gt;25,"Au-delà de 25 lignes : non imprimée","OK")))))))))))))</f>
        <v/>
      </c>
      <c r="O2097" s="59" t="str">
        <f>IF(A2097="","",COUNTIF($A$6:A2097,A2097))</f>
        <v/>
      </c>
      <c r="P2097" s="62" t="str">
        <f>IF(A2097="","",A2097&amp;"|"&amp;O2097)</f>
        <v/>
      </c>
    </row>
    <row r="2098">
      <c r="A2098" s="60" t="n"/>
      <c r="B2098" s="63" t="n"/>
      <c r="C2098" s="63" t="n"/>
      <c r="D2098" s="67" t="n"/>
      <c r="E2098" s="68" t="n"/>
      <c r="F2098" s="69" t="n"/>
      <c r="G2098" s="70" t="n"/>
      <c r="H2098" s="62" t="str">
        <f>IF(COUNTA(A2098:G2098)=0,"",IF(C2098&lt;&gt;"",C2098,IF(B2098="","",IFERROR(INDEX(pr_des,MATCH(B2098,pr_code,0))&amp;"",""))))</f>
        <v/>
      </c>
      <c r="I2098" s="59" t="str">
        <f>IF(B2098="","",IFERROR(INDEX(pr_unit,MATCH(B2098,pr_code,0))&amp;"",""))</f>
        <v/>
      </c>
      <c r="J2098" s="65" t="str">
        <f>IF(COUNTA(A2098:G2098)=0,"",IF(E2098&lt;&gt;"",E2098,IF(B2098="","",IFERROR(IF(INDEX(pr_price,MATCH(B2098,pr_code,0))="","",INDEX(pr_price,MATCH(B2098,pr_code,0))),""))))</f>
        <v/>
      </c>
      <c r="K2098" s="71" t="str">
        <f>IF(COUNTA(A2098:G2098)=0,"",IF(G2098&lt;&gt;"",G2098,IF(B2098="","",IFERROR(IF(INDEX(pr_rate,MATCH(B2098,pr_code,0))="","",INDEX(pr_rate,MATCH(B2098,pr_code,0))),""))))</f>
        <v/>
      </c>
      <c r="L2098" s="65" t="str">
        <f>IF(COUNTA(A2098:G2098)=0,"",IF(AND(ISNUMBER(D2098),ISNUMBER(J2098)),ROUND(D2098*J2098*(1-N(F2098)),2),0))</f>
        <v/>
      </c>
      <c r="M2098" s="62" t="str">
        <f>IF(A2098="","",IFERROR(INDEX(fa_cname,MATCH(A2098,fa_num,0))&amp;"",""))</f>
        <v/>
      </c>
      <c r="N2098" s="59" t="str">
        <f>IF(COUNTA(A2098:G2098)=0,"",IF(A2098="","N° facture manquant",IF(ISNA(MATCH(A2098,fa_num,0)),"Facture inconnue",IF(AND(B2098&lt;&gt;"",ISNA(MATCH(B2098,pr_code,0))),"Article inconnu",IF(H2098="","Désignation manquante",IF(OR(NOT(ISNUMBER(D2098)),N(D2098)&lt;=0),"Quantité invalide",IF(J2098="","Prix manquant",IF(OR(NOT(ISNUMBER(J2098)),N(J2098)&lt;0),"Prix invalide",IF(OR(AND(F2098&lt;&gt;"",NOT(ISNUMBER(F2098))),N(F2098)&lt;0,N(F2098)&gt;1),"Remise invalide",IF(K2098="","Taux de TVA manquant",IF(NOT(ISNUMBER(K2098)),"Taux de TVA invalide",IF(COUNTIF(p_rates,K2098)=0,"Taux de TVA hors liste (Paramètres)",IF(N(O2098)&gt;25,"Au-delà de 25 lignes : non imprimée","OK")))))))))))))</f>
        <v/>
      </c>
      <c r="O2098" s="59" t="str">
        <f>IF(A2098="","",COUNTIF($A$6:A2098,A2098))</f>
        <v/>
      </c>
      <c r="P2098" s="62" t="str">
        <f>IF(A2098="","",A2098&amp;"|"&amp;O2098)</f>
        <v/>
      </c>
    </row>
    <row r="2099">
      <c r="A2099" s="60" t="n"/>
      <c r="B2099" s="63" t="n"/>
      <c r="C2099" s="63" t="n"/>
      <c r="D2099" s="67" t="n"/>
      <c r="E2099" s="68" t="n"/>
      <c r="F2099" s="69" t="n"/>
      <c r="G2099" s="70" t="n"/>
      <c r="H2099" s="62" t="str">
        <f>IF(COUNTA(A2099:G2099)=0,"",IF(C2099&lt;&gt;"",C2099,IF(B2099="","",IFERROR(INDEX(pr_des,MATCH(B2099,pr_code,0))&amp;"",""))))</f>
        <v/>
      </c>
      <c r="I2099" s="59" t="str">
        <f>IF(B2099="","",IFERROR(INDEX(pr_unit,MATCH(B2099,pr_code,0))&amp;"",""))</f>
        <v/>
      </c>
      <c r="J2099" s="65" t="str">
        <f>IF(COUNTA(A2099:G2099)=0,"",IF(E2099&lt;&gt;"",E2099,IF(B2099="","",IFERROR(IF(INDEX(pr_price,MATCH(B2099,pr_code,0))="","",INDEX(pr_price,MATCH(B2099,pr_code,0))),""))))</f>
        <v/>
      </c>
      <c r="K2099" s="71" t="str">
        <f>IF(COUNTA(A2099:G2099)=0,"",IF(G2099&lt;&gt;"",G2099,IF(B2099="","",IFERROR(IF(INDEX(pr_rate,MATCH(B2099,pr_code,0))="","",INDEX(pr_rate,MATCH(B2099,pr_code,0))),""))))</f>
        <v/>
      </c>
      <c r="L2099" s="65" t="str">
        <f>IF(COUNTA(A2099:G2099)=0,"",IF(AND(ISNUMBER(D2099),ISNUMBER(J2099)),ROUND(D2099*J2099*(1-N(F2099)),2),0))</f>
        <v/>
      </c>
      <c r="M2099" s="62" t="str">
        <f>IF(A2099="","",IFERROR(INDEX(fa_cname,MATCH(A2099,fa_num,0))&amp;"",""))</f>
        <v/>
      </c>
      <c r="N2099" s="59" t="str">
        <f>IF(COUNTA(A2099:G2099)=0,"",IF(A2099="","N° facture manquant",IF(ISNA(MATCH(A2099,fa_num,0)),"Facture inconnue",IF(AND(B2099&lt;&gt;"",ISNA(MATCH(B2099,pr_code,0))),"Article inconnu",IF(H2099="","Désignation manquante",IF(OR(NOT(ISNUMBER(D2099)),N(D2099)&lt;=0),"Quantité invalide",IF(J2099="","Prix manquant",IF(OR(NOT(ISNUMBER(J2099)),N(J2099)&lt;0),"Prix invalide",IF(OR(AND(F2099&lt;&gt;"",NOT(ISNUMBER(F2099))),N(F2099)&lt;0,N(F2099)&gt;1),"Remise invalide",IF(K2099="","Taux de TVA manquant",IF(NOT(ISNUMBER(K2099)),"Taux de TVA invalide",IF(COUNTIF(p_rates,K2099)=0,"Taux de TVA hors liste (Paramètres)",IF(N(O2099)&gt;25,"Au-delà de 25 lignes : non imprimée","OK")))))))))))))</f>
        <v/>
      </c>
      <c r="O2099" s="59" t="str">
        <f>IF(A2099="","",COUNTIF($A$6:A2099,A2099))</f>
        <v/>
      </c>
      <c r="P2099" s="62" t="str">
        <f>IF(A2099="","",A2099&amp;"|"&amp;O2099)</f>
        <v/>
      </c>
    </row>
    <row r="2100">
      <c r="A2100" s="60" t="n"/>
      <c r="B2100" s="63" t="n"/>
      <c r="C2100" s="63" t="n"/>
      <c r="D2100" s="67" t="n"/>
      <c r="E2100" s="68" t="n"/>
      <c r="F2100" s="69" t="n"/>
      <c r="G2100" s="70" t="n"/>
      <c r="H2100" s="62" t="str">
        <f>IF(COUNTA(A2100:G2100)=0,"",IF(C2100&lt;&gt;"",C2100,IF(B2100="","",IFERROR(INDEX(pr_des,MATCH(B2100,pr_code,0))&amp;"",""))))</f>
        <v/>
      </c>
      <c r="I2100" s="59" t="str">
        <f>IF(B2100="","",IFERROR(INDEX(pr_unit,MATCH(B2100,pr_code,0))&amp;"",""))</f>
        <v/>
      </c>
      <c r="J2100" s="65" t="str">
        <f>IF(COUNTA(A2100:G2100)=0,"",IF(E2100&lt;&gt;"",E2100,IF(B2100="","",IFERROR(IF(INDEX(pr_price,MATCH(B2100,pr_code,0))="","",INDEX(pr_price,MATCH(B2100,pr_code,0))),""))))</f>
        <v/>
      </c>
      <c r="K2100" s="71" t="str">
        <f>IF(COUNTA(A2100:G2100)=0,"",IF(G2100&lt;&gt;"",G2100,IF(B2100="","",IFERROR(IF(INDEX(pr_rate,MATCH(B2100,pr_code,0))="","",INDEX(pr_rate,MATCH(B2100,pr_code,0))),""))))</f>
        <v/>
      </c>
      <c r="L2100" s="65" t="str">
        <f>IF(COUNTA(A2100:G2100)=0,"",IF(AND(ISNUMBER(D2100),ISNUMBER(J2100)),ROUND(D2100*J2100*(1-N(F2100)),2),0))</f>
        <v/>
      </c>
      <c r="M2100" s="62" t="str">
        <f>IF(A2100="","",IFERROR(INDEX(fa_cname,MATCH(A2100,fa_num,0))&amp;"",""))</f>
        <v/>
      </c>
      <c r="N2100" s="59" t="str">
        <f>IF(COUNTA(A2100:G2100)=0,"",IF(A2100="","N° facture manquant",IF(ISNA(MATCH(A2100,fa_num,0)),"Facture inconnue",IF(AND(B2100&lt;&gt;"",ISNA(MATCH(B2100,pr_code,0))),"Article inconnu",IF(H2100="","Désignation manquante",IF(OR(NOT(ISNUMBER(D2100)),N(D2100)&lt;=0),"Quantité invalide",IF(J2100="","Prix manquant",IF(OR(NOT(ISNUMBER(J2100)),N(J2100)&lt;0),"Prix invalide",IF(OR(AND(F2100&lt;&gt;"",NOT(ISNUMBER(F2100))),N(F2100)&lt;0,N(F2100)&gt;1),"Remise invalide",IF(K2100="","Taux de TVA manquant",IF(NOT(ISNUMBER(K2100)),"Taux de TVA invalide",IF(COUNTIF(p_rates,K2100)=0,"Taux de TVA hors liste (Paramètres)",IF(N(O2100)&gt;25,"Au-delà de 25 lignes : non imprimée","OK")))))))))))))</f>
        <v/>
      </c>
      <c r="O2100" s="59" t="str">
        <f>IF(A2100="","",COUNTIF($A$6:A2100,A2100))</f>
        <v/>
      </c>
      <c r="P2100" s="62" t="str">
        <f>IF(A2100="","",A2100&amp;"|"&amp;O2100)</f>
        <v/>
      </c>
    </row>
    <row r="2101">
      <c r="A2101" s="60" t="n"/>
      <c r="B2101" s="63" t="n"/>
      <c r="C2101" s="63" t="n"/>
      <c r="D2101" s="67" t="n"/>
      <c r="E2101" s="68" t="n"/>
      <c r="F2101" s="69" t="n"/>
      <c r="G2101" s="70" t="n"/>
      <c r="H2101" s="62" t="str">
        <f>IF(COUNTA(A2101:G2101)=0,"",IF(C2101&lt;&gt;"",C2101,IF(B2101="","",IFERROR(INDEX(pr_des,MATCH(B2101,pr_code,0))&amp;"",""))))</f>
        <v/>
      </c>
      <c r="I2101" s="59" t="str">
        <f>IF(B2101="","",IFERROR(INDEX(pr_unit,MATCH(B2101,pr_code,0))&amp;"",""))</f>
        <v/>
      </c>
      <c r="J2101" s="65" t="str">
        <f>IF(COUNTA(A2101:G2101)=0,"",IF(E2101&lt;&gt;"",E2101,IF(B2101="","",IFERROR(IF(INDEX(pr_price,MATCH(B2101,pr_code,0))="","",INDEX(pr_price,MATCH(B2101,pr_code,0))),""))))</f>
        <v/>
      </c>
      <c r="K2101" s="71" t="str">
        <f>IF(COUNTA(A2101:G2101)=0,"",IF(G2101&lt;&gt;"",G2101,IF(B2101="","",IFERROR(IF(INDEX(pr_rate,MATCH(B2101,pr_code,0))="","",INDEX(pr_rate,MATCH(B2101,pr_code,0))),""))))</f>
        <v/>
      </c>
      <c r="L2101" s="65" t="str">
        <f>IF(COUNTA(A2101:G2101)=0,"",IF(AND(ISNUMBER(D2101),ISNUMBER(J2101)),ROUND(D2101*J2101*(1-N(F2101)),2),0))</f>
        <v/>
      </c>
      <c r="M2101" s="62" t="str">
        <f>IF(A2101="","",IFERROR(INDEX(fa_cname,MATCH(A2101,fa_num,0))&amp;"",""))</f>
        <v/>
      </c>
      <c r="N2101" s="59" t="str">
        <f>IF(COUNTA(A2101:G2101)=0,"",IF(A2101="","N° facture manquant",IF(ISNA(MATCH(A2101,fa_num,0)),"Facture inconnue",IF(AND(B2101&lt;&gt;"",ISNA(MATCH(B2101,pr_code,0))),"Article inconnu",IF(H2101="","Désignation manquante",IF(OR(NOT(ISNUMBER(D2101)),N(D2101)&lt;=0),"Quantité invalide",IF(J2101="","Prix manquant",IF(OR(NOT(ISNUMBER(J2101)),N(J2101)&lt;0),"Prix invalide",IF(OR(AND(F2101&lt;&gt;"",NOT(ISNUMBER(F2101))),N(F2101)&lt;0,N(F2101)&gt;1),"Remise invalide",IF(K2101="","Taux de TVA manquant",IF(NOT(ISNUMBER(K2101)),"Taux de TVA invalide",IF(COUNTIF(p_rates,K2101)=0,"Taux de TVA hors liste (Paramètres)",IF(N(O2101)&gt;25,"Au-delà de 25 lignes : non imprimée","OK")))))))))))))</f>
        <v/>
      </c>
      <c r="O2101" s="59" t="str">
        <f>IF(A2101="","",COUNTIF($A$6:A2101,A2101))</f>
        <v/>
      </c>
      <c r="P2101" s="62" t="str">
        <f>IF(A2101="","",A2101&amp;"|"&amp;O2101)</f>
        <v/>
      </c>
    </row>
    <row r="2102">
      <c r="A2102" s="60" t="n"/>
      <c r="B2102" s="63" t="n"/>
      <c r="C2102" s="63" t="n"/>
      <c r="D2102" s="67" t="n"/>
      <c r="E2102" s="68" t="n"/>
      <c r="F2102" s="69" t="n"/>
      <c r="G2102" s="70" t="n"/>
      <c r="H2102" s="62" t="str">
        <f>IF(COUNTA(A2102:G2102)=0,"",IF(C2102&lt;&gt;"",C2102,IF(B2102="","",IFERROR(INDEX(pr_des,MATCH(B2102,pr_code,0))&amp;"",""))))</f>
        <v/>
      </c>
      <c r="I2102" s="59" t="str">
        <f>IF(B2102="","",IFERROR(INDEX(pr_unit,MATCH(B2102,pr_code,0))&amp;"",""))</f>
        <v/>
      </c>
      <c r="J2102" s="65" t="str">
        <f>IF(COUNTA(A2102:G2102)=0,"",IF(E2102&lt;&gt;"",E2102,IF(B2102="","",IFERROR(IF(INDEX(pr_price,MATCH(B2102,pr_code,0))="","",INDEX(pr_price,MATCH(B2102,pr_code,0))),""))))</f>
        <v/>
      </c>
      <c r="K2102" s="71" t="str">
        <f>IF(COUNTA(A2102:G2102)=0,"",IF(G2102&lt;&gt;"",G2102,IF(B2102="","",IFERROR(IF(INDEX(pr_rate,MATCH(B2102,pr_code,0))="","",INDEX(pr_rate,MATCH(B2102,pr_code,0))),""))))</f>
        <v/>
      </c>
      <c r="L2102" s="65" t="str">
        <f>IF(COUNTA(A2102:G2102)=0,"",IF(AND(ISNUMBER(D2102),ISNUMBER(J2102)),ROUND(D2102*J2102*(1-N(F2102)),2),0))</f>
        <v/>
      </c>
      <c r="M2102" s="62" t="str">
        <f>IF(A2102="","",IFERROR(INDEX(fa_cname,MATCH(A2102,fa_num,0))&amp;"",""))</f>
        <v/>
      </c>
      <c r="N2102" s="59" t="str">
        <f>IF(COUNTA(A2102:G2102)=0,"",IF(A2102="","N° facture manquant",IF(ISNA(MATCH(A2102,fa_num,0)),"Facture inconnue",IF(AND(B2102&lt;&gt;"",ISNA(MATCH(B2102,pr_code,0))),"Article inconnu",IF(H2102="","Désignation manquante",IF(OR(NOT(ISNUMBER(D2102)),N(D2102)&lt;=0),"Quantité invalide",IF(J2102="","Prix manquant",IF(OR(NOT(ISNUMBER(J2102)),N(J2102)&lt;0),"Prix invalide",IF(OR(AND(F2102&lt;&gt;"",NOT(ISNUMBER(F2102))),N(F2102)&lt;0,N(F2102)&gt;1),"Remise invalide",IF(K2102="","Taux de TVA manquant",IF(NOT(ISNUMBER(K2102)),"Taux de TVA invalide",IF(COUNTIF(p_rates,K2102)=0,"Taux de TVA hors liste (Paramètres)",IF(N(O2102)&gt;25,"Au-delà de 25 lignes : non imprimée","OK")))))))))))))</f>
        <v/>
      </c>
      <c r="O2102" s="59" t="str">
        <f>IF(A2102="","",COUNTIF($A$6:A2102,A2102))</f>
        <v/>
      </c>
      <c r="P2102" s="62" t="str">
        <f>IF(A2102="","",A2102&amp;"|"&amp;O2102)</f>
        <v/>
      </c>
    </row>
    <row r="2103">
      <c r="A2103" s="60" t="n"/>
      <c r="B2103" s="63" t="n"/>
      <c r="C2103" s="63" t="n"/>
      <c r="D2103" s="67" t="n"/>
      <c r="E2103" s="68" t="n"/>
      <c r="F2103" s="69" t="n"/>
      <c r="G2103" s="70" t="n"/>
      <c r="H2103" s="62" t="str">
        <f>IF(COUNTA(A2103:G2103)=0,"",IF(C2103&lt;&gt;"",C2103,IF(B2103="","",IFERROR(INDEX(pr_des,MATCH(B2103,pr_code,0))&amp;"",""))))</f>
        <v/>
      </c>
      <c r="I2103" s="59" t="str">
        <f>IF(B2103="","",IFERROR(INDEX(pr_unit,MATCH(B2103,pr_code,0))&amp;"",""))</f>
        <v/>
      </c>
      <c r="J2103" s="65" t="str">
        <f>IF(COUNTA(A2103:G2103)=0,"",IF(E2103&lt;&gt;"",E2103,IF(B2103="","",IFERROR(IF(INDEX(pr_price,MATCH(B2103,pr_code,0))="","",INDEX(pr_price,MATCH(B2103,pr_code,0))),""))))</f>
        <v/>
      </c>
      <c r="K2103" s="71" t="str">
        <f>IF(COUNTA(A2103:G2103)=0,"",IF(G2103&lt;&gt;"",G2103,IF(B2103="","",IFERROR(IF(INDEX(pr_rate,MATCH(B2103,pr_code,0))="","",INDEX(pr_rate,MATCH(B2103,pr_code,0))),""))))</f>
        <v/>
      </c>
      <c r="L2103" s="65" t="str">
        <f>IF(COUNTA(A2103:G2103)=0,"",IF(AND(ISNUMBER(D2103),ISNUMBER(J2103)),ROUND(D2103*J2103*(1-N(F2103)),2),0))</f>
        <v/>
      </c>
      <c r="M2103" s="62" t="str">
        <f>IF(A2103="","",IFERROR(INDEX(fa_cname,MATCH(A2103,fa_num,0))&amp;"",""))</f>
        <v/>
      </c>
      <c r="N2103" s="59" t="str">
        <f>IF(COUNTA(A2103:G2103)=0,"",IF(A2103="","N° facture manquant",IF(ISNA(MATCH(A2103,fa_num,0)),"Facture inconnue",IF(AND(B2103&lt;&gt;"",ISNA(MATCH(B2103,pr_code,0))),"Article inconnu",IF(H2103="","Désignation manquante",IF(OR(NOT(ISNUMBER(D2103)),N(D2103)&lt;=0),"Quantité invalide",IF(J2103="","Prix manquant",IF(OR(NOT(ISNUMBER(J2103)),N(J2103)&lt;0),"Prix invalide",IF(OR(AND(F2103&lt;&gt;"",NOT(ISNUMBER(F2103))),N(F2103)&lt;0,N(F2103)&gt;1),"Remise invalide",IF(K2103="","Taux de TVA manquant",IF(NOT(ISNUMBER(K2103)),"Taux de TVA invalide",IF(COUNTIF(p_rates,K2103)=0,"Taux de TVA hors liste (Paramètres)",IF(N(O2103)&gt;25,"Au-delà de 25 lignes : non imprimée","OK")))))))))))))</f>
        <v/>
      </c>
      <c r="O2103" s="59" t="str">
        <f>IF(A2103="","",COUNTIF($A$6:A2103,A2103))</f>
        <v/>
      </c>
      <c r="P2103" s="62" t="str">
        <f>IF(A2103="","",A2103&amp;"|"&amp;O2103)</f>
        <v/>
      </c>
    </row>
    <row r="2104">
      <c r="A2104" s="60" t="n"/>
      <c r="B2104" s="63" t="n"/>
      <c r="C2104" s="63" t="n"/>
      <c r="D2104" s="67" t="n"/>
      <c r="E2104" s="68" t="n"/>
      <c r="F2104" s="69" t="n"/>
      <c r="G2104" s="70" t="n"/>
      <c r="H2104" s="62" t="str">
        <f>IF(COUNTA(A2104:G2104)=0,"",IF(C2104&lt;&gt;"",C2104,IF(B2104="","",IFERROR(INDEX(pr_des,MATCH(B2104,pr_code,0))&amp;"",""))))</f>
        <v/>
      </c>
      <c r="I2104" s="59" t="str">
        <f>IF(B2104="","",IFERROR(INDEX(pr_unit,MATCH(B2104,pr_code,0))&amp;"",""))</f>
        <v/>
      </c>
      <c r="J2104" s="65" t="str">
        <f>IF(COUNTA(A2104:G2104)=0,"",IF(E2104&lt;&gt;"",E2104,IF(B2104="","",IFERROR(IF(INDEX(pr_price,MATCH(B2104,pr_code,0))="","",INDEX(pr_price,MATCH(B2104,pr_code,0))),""))))</f>
        <v/>
      </c>
      <c r="K2104" s="71" t="str">
        <f>IF(COUNTA(A2104:G2104)=0,"",IF(G2104&lt;&gt;"",G2104,IF(B2104="","",IFERROR(IF(INDEX(pr_rate,MATCH(B2104,pr_code,0))="","",INDEX(pr_rate,MATCH(B2104,pr_code,0))),""))))</f>
        <v/>
      </c>
      <c r="L2104" s="65" t="str">
        <f>IF(COUNTA(A2104:G2104)=0,"",IF(AND(ISNUMBER(D2104),ISNUMBER(J2104)),ROUND(D2104*J2104*(1-N(F2104)),2),0))</f>
        <v/>
      </c>
      <c r="M2104" s="62" t="str">
        <f>IF(A2104="","",IFERROR(INDEX(fa_cname,MATCH(A2104,fa_num,0))&amp;"",""))</f>
        <v/>
      </c>
      <c r="N2104" s="59" t="str">
        <f>IF(COUNTA(A2104:G2104)=0,"",IF(A2104="","N° facture manquant",IF(ISNA(MATCH(A2104,fa_num,0)),"Facture inconnue",IF(AND(B2104&lt;&gt;"",ISNA(MATCH(B2104,pr_code,0))),"Article inconnu",IF(H2104="","Désignation manquante",IF(OR(NOT(ISNUMBER(D2104)),N(D2104)&lt;=0),"Quantité invalide",IF(J2104="","Prix manquant",IF(OR(NOT(ISNUMBER(J2104)),N(J2104)&lt;0),"Prix invalide",IF(OR(AND(F2104&lt;&gt;"",NOT(ISNUMBER(F2104))),N(F2104)&lt;0,N(F2104)&gt;1),"Remise invalide",IF(K2104="","Taux de TVA manquant",IF(NOT(ISNUMBER(K2104)),"Taux de TVA invalide",IF(COUNTIF(p_rates,K2104)=0,"Taux de TVA hors liste (Paramètres)",IF(N(O2104)&gt;25,"Au-delà de 25 lignes : non imprimée","OK")))))))))))))</f>
        <v/>
      </c>
      <c r="O2104" s="59" t="str">
        <f>IF(A2104="","",COUNTIF($A$6:A2104,A2104))</f>
        <v/>
      </c>
      <c r="P2104" s="62" t="str">
        <f>IF(A2104="","",A2104&amp;"|"&amp;O2104)</f>
        <v/>
      </c>
    </row>
    <row r="2105">
      <c r="A2105" s="60" t="n"/>
      <c r="B2105" s="63" t="n"/>
      <c r="C2105" s="63" t="n"/>
      <c r="D2105" s="67" t="n"/>
      <c r="E2105" s="68" t="n"/>
      <c r="F2105" s="69" t="n"/>
      <c r="G2105" s="70" t="n"/>
      <c r="H2105" s="62" t="str">
        <f>IF(COUNTA(A2105:G2105)=0,"",IF(C2105&lt;&gt;"",C2105,IF(B2105="","",IFERROR(INDEX(pr_des,MATCH(B2105,pr_code,0))&amp;"",""))))</f>
        <v/>
      </c>
      <c r="I2105" s="59" t="str">
        <f>IF(B2105="","",IFERROR(INDEX(pr_unit,MATCH(B2105,pr_code,0))&amp;"",""))</f>
        <v/>
      </c>
      <c r="J2105" s="65" t="str">
        <f>IF(COUNTA(A2105:G2105)=0,"",IF(E2105&lt;&gt;"",E2105,IF(B2105="","",IFERROR(IF(INDEX(pr_price,MATCH(B2105,pr_code,0))="","",INDEX(pr_price,MATCH(B2105,pr_code,0))),""))))</f>
        <v/>
      </c>
      <c r="K2105" s="71" t="str">
        <f>IF(COUNTA(A2105:G2105)=0,"",IF(G2105&lt;&gt;"",G2105,IF(B2105="","",IFERROR(IF(INDEX(pr_rate,MATCH(B2105,pr_code,0))="","",INDEX(pr_rate,MATCH(B2105,pr_code,0))),""))))</f>
        <v/>
      </c>
      <c r="L2105" s="65" t="str">
        <f>IF(COUNTA(A2105:G2105)=0,"",IF(AND(ISNUMBER(D2105),ISNUMBER(J2105)),ROUND(D2105*J2105*(1-N(F2105)),2),0))</f>
        <v/>
      </c>
      <c r="M2105" s="62" t="str">
        <f>IF(A2105="","",IFERROR(INDEX(fa_cname,MATCH(A2105,fa_num,0))&amp;"",""))</f>
        <v/>
      </c>
      <c r="N2105" s="59" t="str">
        <f>IF(COUNTA(A2105:G2105)=0,"",IF(A2105="","N° facture manquant",IF(ISNA(MATCH(A2105,fa_num,0)),"Facture inconnue",IF(AND(B2105&lt;&gt;"",ISNA(MATCH(B2105,pr_code,0))),"Article inconnu",IF(H2105="","Désignation manquante",IF(OR(NOT(ISNUMBER(D2105)),N(D2105)&lt;=0),"Quantité invalide",IF(J2105="","Prix manquant",IF(OR(NOT(ISNUMBER(J2105)),N(J2105)&lt;0),"Prix invalide",IF(OR(AND(F2105&lt;&gt;"",NOT(ISNUMBER(F2105))),N(F2105)&lt;0,N(F2105)&gt;1),"Remise invalide",IF(K2105="","Taux de TVA manquant",IF(NOT(ISNUMBER(K2105)),"Taux de TVA invalide",IF(COUNTIF(p_rates,K2105)=0,"Taux de TVA hors liste (Paramètres)",IF(N(O2105)&gt;25,"Au-delà de 25 lignes : non imprimée","OK")))))))))))))</f>
        <v/>
      </c>
      <c r="O2105" s="59" t="str">
        <f>IF(A2105="","",COUNTIF($A$6:A2105,A2105))</f>
        <v/>
      </c>
      <c r="P2105" s="62" t="str">
        <f>IF(A2105="","",A2105&amp;"|"&amp;O2105)</f>
        <v/>
      </c>
    </row>
    <row r="2106">
      <c r="A2106" s="60" t="n"/>
      <c r="B2106" s="63" t="n"/>
      <c r="C2106" s="63" t="n"/>
      <c r="D2106" s="67" t="n"/>
      <c r="E2106" s="68" t="n"/>
      <c r="F2106" s="69" t="n"/>
      <c r="G2106" s="70" t="n"/>
      <c r="H2106" s="62" t="str">
        <f>IF(COUNTA(A2106:G2106)=0,"",IF(C2106&lt;&gt;"",C2106,IF(B2106="","",IFERROR(INDEX(pr_des,MATCH(B2106,pr_code,0))&amp;"",""))))</f>
        <v/>
      </c>
      <c r="I2106" s="59" t="str">
        <f>IF(B2106="","",IFERROR(INDEX(pr_unit,MATCH(B2106,pr_code,0))&amp;"",""))</f>
        <v/>
      </c>
      <c r="J2106" s="65" t="str">
        <f>IF(COUNTA(A2106:G2106)=0,"",IF(E2106&lt;&gt;"",E2106,IF(B2106="","",IFERROR(IF(INDEX(pr_price,MATCH(B2106,pr_code,0))="","",INDEX(pr_price,MATCH(B2106,pr_code,0))),""))))</f>
        <v/>
      </c>
      <c r="K2106" s="71" t="str">
        <f>IF(COUNTA(A2106:G2106)=0,"",IF(G2106&lt;&gt;"",G2106,IF(B2106="","",IFERROR(IF(INDEX(pr_rate,MATCH(B2106,pr_code,0))="","",INDEX(pr_rate,MATCH(B2106,pr_code,0))),""))))</f>
        <v/>
      </c>
      <c r="L2106" s="65" t="str">
        <f>IF(COUNTA(A2106:G2106)=0,"",IF(AND(ISNUMBER(D2106),ISNUMBER(J2106)),ROUND(D2106*J2106*(1-N(F2106)),2),0))</f>
        <v/>
      </c>
      <c r="M2106" s="62" t="str">
        <f>IF(A2106="","",IFERROR(INDEX(fa_cname,MATCH(A2106,fa_num,0))&amp;"",""))</f>
        <v/>
      </c>
      <c r="N2106" s="59" t="str">
        <f>IF(COUNTA(A2106:G2106)=0,"",IF(A2106="","N° facture manquant",IF(ISNA(MATCH(A2106,fa_num,0)),"Facture inconnue",IF(AND(B2106&lt;&gt;"",ISNA(MATCH(B2106,pr_code,0))),"Article inconnu",IF(H2106="","Désignation manquante",IF(OR(NOT(ISNUMBER(D2106)),N(D2106)&lt;=0),"Quantité invalide",IF(J2106="","Prix manquant",IF(OR(NOT(ISNUMBER(J2106)),N(J2106)&lt;0),"Prix invalide",IF(OR(AND(F2106&lt;&gt;"",NOT(ISNUMBER(F2106))),N(F2106)&lt;0,N(F2106)&gt;1),"Remise invalide",IF(K2106="","Taux de TVA manquant",IF(NOT(ISNUMBER(K2106)),"Taux de TVA invalide",IF(COUNTIF(p_rates,K2106)=0,"Taux de TVA hors liste (Paramètres)",IF(N(O2106)&gt;25,"Au-delà de 25 lignes : non imprimée","OK")))))))))))))</f>
        <v/>
      </c>
      <c r="O2106" s="59" t="str">
        <f>IF(A2106="","",COUNTIF($A$6:A2106,A2106))</f>
        <v/>
      </c>
      <c r="P2106" s="62" t="str">
        <f>IF(A2106="","",A2106&amp;"|"&amp;O2106)</f>
        <v/>
      </c>
    </row>
    <row r="2107">
      <c r="A2107" s="60" t="n"/>
      <c r="B2107" s="63" t="n"/>
      <c r="C2107" s="63" t="n"/>
      <c r="D2107" s="67" t="n"/>
      <c r="E2107" s="68" t="n"/>
      <c r="F2107" s="69" t="n"/>
      <c r="G2107" s="70" t="n"/>
      <c r="H2107" s="62" t="str">
        <f>IF(COUNTA(A2107:G2107)=0,"",IF(C2107&lt;&gt;"",C2107,IF(B2107="","",IFERROR(INDEX(pr_des,MATCH(B2107,pr_code,0))&amp;"",""))))</f>
        <v/>
      </c>
      <c r="I2107" s="59" t="str">
        <f>IF(B2107="","",IFERROR(INDEX(pr_unit,MATCH(B2107,pr_code,0))&amp;"",""))</f>
        <v/>
      </c>
      <c r="J2107" s="65" t="str">
        <f>IF(COUNTA(A2107:G2107)=0,"",IF(E2107&lt;&gt;"",E2107,IF(B2107="","",IFERROR(IF(INDEX(pr_price,MATCH(B2107,pr_code,0))="","",INDEX(pr_price,MATCH(B2107,pr_code,0))),""))))</f>
        <v/>
      </c>
      <c r="K2107" s="71" t="str">
        <f>IF(COUNTA(A2107:G2107)=0,"",IF(G2107&lt;&gt;"",G2107,IF(B2107="","",IFERROR(IF(INDEX(pr_rate,MATCH(B2107,pr_code,0))="","",INDEX(pr_rate,MATCH(B2107,pr_code,0))),""))))</f>
        <v/>
      </c>
      <c r="L2107" s="65" t="str">
        <f>IF(COUNTA(A2107:G2107)=0,"",IF(AND(ISNUMBER(D2107),ISNUMBER(J2107)),ROUND(D2107*J2107*(1-N(F2107)),2),0))</f>
        <v/>
      </c>
      <c r="M2107" s="62" t="str">
        <f>IF(A2107="","",IFERROR(INDEX(fa_cname,MATCH(A2107,fa_num,0))&amp;"",""))</f>
        <v/>
      </c>
      <c r="N2107" s="59" t="str">
        <f>IF(COUNTA(A2107:G2107)=0,"",IF(A2107="","N° facture manquant",IF(ISNA(MATCH(A2107,fa_num,0)),"Facture inconnue",IF(AND(B2107&lt;&gt;"",ISNA(MATCH(B2107,pr_code,0))),"Article inconnu",IF(H2107="","Désignation manquante",IF(OR(NOT(ISNUMBER(D2107)),N(D2107)&lt;=0),"Quantité invalide",IF(J2107="","Prix manquant",IF(OR(NOT(ISNUMBER(J2107)),N(J2107)&lt;0),"Prix invalide",IF(OR(AND(F2107&lt;&gt;"",NOT(ISNUMBER(F2107))),N(F2107)&lt;0,N(F2107)&gt;1),"Remise invalide",IF(K2107="","Taux de TVA manquant",IF(NOT(ISNUMBER(K2107)),"Taux de TVA invalide",IF(COUNTIF(p_rates,K2107)=0,"Taux de TVA hors liste (Paramètres)",IF(N(O2107)&gt;25,"Au-delà de 25 lignes : non imprimée","OK")))))))))))))</f>
        <v/>
      </c>
      <c r="O2107" s="59" t="str">
        <f>IF(A2107="","",COUNTIF($A$6:A2107,A2107))</f>
        <v/>
      </c>
      <c r="P2107" s="62" t="str">
        <f>IF(A2107="","",A2107&amp;"|"&amp;O2107)</f>
        <v/>
      </c>
    </row>
    <row r="2108">
      <c r="A2108" s="60" t="n"/>
      <c r="B2108" s="63" t="n"/>
      <c r="C2108" s="63" t="n"/>
      <c r="D2108" s="67" t="n"/>
      <c r="E2108" s="68" t="n"/>
      <c r="F2108" s="69" t="n"/>
      <c r="G2108" s="70" t="n"/>
      <c r="H2108" s="62" t="str">
        <f>IF(COUNTA(A2108:G2108)=0,"",IF(C2108&lt;&gt;"",C2108,IF(B2108="","",IFERROR(INDEX(pr_des,MATCH(B2108,pr_code,0))&amp;"",""))))</f>
        <v/>
      </c>
      <c r="I2108" s="59" t="str">
        <f>IF(B2108="","",IFERROR(INDEX(pr_unit,MATCH(B2108,pr_code,0))&amp;"",""))</f>
        <v/>
      </c>
      <c r="J2108" s="65" t="str">
        <f>IF(COUNTA(A2108:G2108)=0,"",IF(E2108&lt;&gt;"",E2108,IF(B2108="","",IFERROR(IF(INDEX(pr_price,MATCH(B2108,pr_code,0))="","",INDEX(pr_price,MATCH(B2108,pr_code,0))),""))))</f>
        <v/>
      </c>
      <c r="K2108" s="71" t="str">
        <f>IF(COUNTA(A2108:G2108)=0,"",IF(G2108&lt;&gt;"",G2108,IF(B2108="","",IFERROR(IF(INDEX(pr_rate,MATCH(B2108,pr_code,0))="","",INDEX(pr_rate,MATCH(B2108,pr_code,0))),""))))</f>
        <v/>
      </c>
      <c r="L2108" s="65" t="str">
        <f>IF(COUNTA(A2108:G2108)=0,"",IF(AND(ISNUMBER(D2108),ISNUMBER(J2108)),ROUND(D2108*J2108*(1-N(F2108)),2),0))</f>
        <v/>
      </c>
      <c r="M2108" s="62" t="str">
        <f>IF(A2108="","",IFERROR(INDEX(fa_cname,MATCH(A2108,fa_num,0))&amp;"",""))</f>
        <v/>
      </c>
      <c r="N2108" s="59" t="str">
        <f>IF(COUNTA(A2108:G2108)=0,"",IF(A2108="","N° facture manquant",IF(ISNA(MATCH(A2108,fa_num,0)),"Facture inconnue",IF(AND(B2108&lt;&gt;"",ISNA(MATCH(B2108,pr_code,0))),"Article inconnu",IF(H2108="","Désignation manquante",IF(OR(NOT(ISNUMBER(D2108)),N(D2108)&lt;=0),"Quantité invalide",IF(J2108="","Prix manquant",IF(OR(NOT(ISNUMBER(J2108)),N(J2108)&lt;0),"Prix invalide",IF(OR(AND(F2108&lt;&gt;"",NOT(ISNUMBER(F2108))),N(F2108)&lt;0,N(F2108)&gt;1),"Remise invalide",IF(K2108="","Taux de TVA manquant",IF(NOT(ISNUMBER(K2108)),"Taux de TVA invalide",IF(COUNTIF(p_rates,K2108)=0,"Taux de TVA hors liste (Paramètres)",IF(N(O2108)&gt;25,"Au-delà de 25 lignes : non imprimée","OK")))))))))))))</f>
        <v/>
      </c>
      <c r="O2108" s="59" t="str">
        <f>IF(A2108="","",COUNTIF($A$6:A2108,A2108))</f>
        <v/>
      </c>
      <c r="P2108" s="62" t="str">
        <f>IF(A2108="","",A2108&amp;"|"&amp;O2108)</f>
        <v/>
      </c>
    </row>
    <row r="2109">
      <c r="A2109" s="60" t="n"/>
      <c r="B2109" s="63" t="n"/>
      <c r="C2109" s="63" t="n"/>
      <c r="D2109" s="67" t="n"/>
      <c r="E2109" s="68" t="n"/>
      <c r="F2109" s="69" t="n"/>
      <c r="G2109" s="70" t="n"/>
      <c r="H2109" s="62" t="str">
        <f>IF(COUNTA(A2109:G2109)=0,"",IF(C2109&lt;&gt;"",C2109,IF(B2109="","",IFERROR(INDEX(pr_des,MATCH(B2109,pr_code,0))&amp;"",""))))</f>
        <v/>
      </c>
      <c r="I2109" s="59" t="str">
        <f>IF(B2109="","",IFERROR(INDEX(pr_unit,MATCH(B2109,pr_code,0))&amp;"",""))</f>
        <v/>
      </c>
      <c r="J2109" s="65" t="str">
        <f>IF(COUNTA(A2109:G2109)=0,"",IF(E2109&lt;&gt;"",E2109,IF(B2109="","",IFERROR(IF(INDEX(pr_price,MATCH(B2109,pr_code,0))="","",INDEX(pr_price,MATCH(B2109,pr_code,0))),""))))</f>
        <v/>
      </c>
      <c r="K2109" s="71" t="str">
        <f>IF(COUNTA(A2109:G2109)=0,"",IF(G2109&lt;&gt;"",G2109,IF(B2109="","",IFERROR(IF(INDEX(pr_rate,MATCH(B2109,pr_code,0))="","",INDEX(pr_rate,MATCH(B2109,pr_code,0))),""))))</f>
        <v/>
      </c>
      <c r="L2109" s="65" t="str">
        <f>IF(COUNTA(A2109:G2109)=0,"",IF(AND(ISNUMBER(D2109),ISNUMBER(J2109)),ROUND(D2109*J2109*(1-N(F2109)),2),0))</f>
        <v/>
      </c>
      <c r="M2109" s="62" t="str">
        <f>IF(A2109="","",IFERROR(INDEX(fa_cname,MATCH(A2109,fa_num,0))&amp;"",""))</f>
        <v/>
      </c>
      <c r="N2109" s="59" t="str">
        <f>IF(COUNTA(A2109:G2109)=0,"",IF(A2109="","N° facture manquant",IF(ISNA(MATCH(A2109,fa_num,0)),"Facture inconnue",IF(AND(B2109&lt;&gt;"",ISNA(MATCH(B2109,pr_code,0))),"Article inconnu",IF(H2109="","Désignation manquante",IF(OR(NOT(ISNUMBER(D2109)),N(D2109)&lt;=0),"Quantité invalide",IF(J2109="","Prix manquant",IF(OR(NOT(ISNUMBER(J2109)),N(J2109)&lt;0),"Prix invalide",IF(OR(AND(F2109&lt;&gt;"",NOT(ISNUMBER(F2109))),N(F2109)&lt;0,N(F2109)&gt;1),"Remise invalide",IF(K2109="","Taux de TVA manquant",IF(NOT(ISNUMBER(K2109)),"Taux de TVA invalide",IF(COUNTIF(p_rates,K2109)=0,"Taux de TVA hors liste (Paramètres)",IF(N(O2109)&gt;25,"Au-delà de 25 lignes : non imprimée","OK")))))))))))))</f>
        <v/>
      </c>
      <c r="O2109" s="59" t="str">
        <f>IF(A2109="","",COUNTIF($A$6:A2109,A2109))</f>
        <v/>
      </c>
      <c r="P2109" s="62" t="str">
        <f>IF(A2109="","",A2109&amp;"|"&amp;O2109)</f>
        <v/>
      </c>
    </row>
    <row r="2110">
      <c r="A2110" s="60" t="n"/>
      <c r="B2110" s="63" t="n"/>
      <c r="C2110" s="63" t="n"/>
      <c r="D2110" s="67" t="n"/>
      <c r="E2110" s="68" t="n"/>
      <c r="F2110" s="69" t="n"/>
      <c r="G2110" s="70" t="n"/>
      <c r="H2110" s="62" t="str">
        <f>IF(COUNTA(A2110:G2110)=0,"",IF(C2110&lt;&gt;"",C2110,IF(B2110="","",IFERROR(INDEX(pr_des,MATCH(B2110,pr_code,0))&amp;"",""))))</f>
        <v/>
      </c>
      <c r="I2110" s="59" t="str">
        <f>IF(B2110="","",IFERROR(INDEX(pr_unit,MATCH(B2110,pr_code,0))&amp;"",""))</f>
        <v/>
      </c>
      <c r="J2110" s="65" t="str">
        <f>IF(COUNTA(A2110:G2110)=0,"",IF(E2110&lt;&gt;"",E2110,IF(B2110="","",IFERROR(IF(INDEX(pr_price,MATCH(B2110,pr_code,0))="","",INDEX(pr_price,MATCH(B2110,pr_code,0))),""))))</f>
        <v/>
      </c>
      <c r="K2110" s="71" t="str">
        <f>IF(COUNTA(A2110:G2110)=0,"",IF(G2110&lt;&gt;"",G2110,IF(B2110="","",IFERROR(IF(INDEX(pr_rate,MATCH(B2110,pr_code,0))="","",INDEX(pr_rate,MATCH(B2110,pr_code,0))),""))))</f>
        <v/>
      </c>
      <c r="L2110" s="65" t="str">
        <f>IF(COUNTA(A2110:G2110)=0,"",IF(AND(ISNUMBER(D2110),ISNUMBER(J2110)),ROUND(D2110*J2110*(1-N(F2110)),2),0))</f>
        <v/>
      </c>
      <c r="M2110" s="62" t="str">
        <f>IF(A2110="","",IFERROR(INDEX(fa_cname,MATCH(A2110,fa_num,0))&amp;"",""))</f>
        <v/>
      </c>
      <c r="N2110" s="59" t="str">
        <f>IF(COUNTA(A2110:G2110)=0,"",IF(A2110="","N° facture manquant",IF(ISNA(MATCH(A2110,fa_num,0)),"Facture inconnue",IF(AND(B2110&lt;&gt;"",ISNA(MATCH(B2110,pr_code,0))),"Article inconnu",IF(H2110="","Désignation manquante",IF(OR(NOT(ISNUMBER(D2110)),N(D2110)&lt;=0),"Quantité invalide",IF(J2110="","Prix manquant",IF(OR(NOT(ISNUMBER(J2110)),N(J2110)&lt;0),"Prix invalide",IF(OR(AND(F2110&lt;&gt;"",NOT(ISNUMBER(F2110))),N(F2110)&lt;0,N(F2110)&gt;1),"Remise invalide",IF(K2110="","Taux de TVA manquant",IF(NOT(ISNUMBER(K2110)),"Taux de TVA invalide",IF(COUNTIF(p_rates,K2110)=0,"Taux de TVA hors liste (Paramètres)",IF(N(O2110)&gt;25,"Au-delà de 25 lignes : non imprimée","OK")))))))))))))</f>
        <v/>
      </c>
      <c r="O2110" s="59" t="str">
        <f>IF(A2110="","",COUNTIF($A$6:A2110,A2110))</f>
        <v/>
      </c>
      <c r="P2110" s="62" t="str">
        <f>IF(A2110="","",A2110&amp;"|"&amp;O2110)</f>
        <v/>
      </c>
    </row>
    <row r="2111">
      <c r="A2111" s="60" t="n"/>
      <c r="B2111" s="63" t="n"/>
      <c r="C2111" s="63" t="n"/>
      <c r="D2111" s="67" t="n"/>
      <c r="E2111" s="68" t="n"/>
      <c r="F2111" s="69" t="n"/>
      <c r="G2111" s="70" t="n"/>
      <c r="H2111" s="62" t="str">
        <f>IF(COUNTA(A2111:G2111)=0,"",IF(C2111&lt;&gt;"",C2111,IF(B2111="","",IFERROR(INDEX(pr_des,MATCH(B2111,pr_code,0))&amp;"",""))))</f>
        <v/>
      </c>
      <c r="I2111" s="59" t="str">
        <f>IF(B2111="","",IFERROR(INDEX(pr_unit,MATCH(B2111,pr_code,0))&amp;"",""))</f>
        <v/>
      </c>
      <c r="J2111" s="65" t="str">
        <f>IF(COUNTA(A2111:G2111)=0,"",IF(E2111&lt;&gt;"",E2111,IF(B2111="","",IFERROR(IF(INDEX(pr_price,MATCH(B2111,pr_code,0))="","",INDEX(pr_price,MATCH(B2111,pr_code,0))),""))))</f>
        <v/>
      </c>
      <c r="K2111" s="71" t="str">
        <f>IF(COUNTA(A2111:G2111)=0,"",IF(G2111&lt;&gt;"",G2111,IF(B2111="","",IFERROR(IF(INDEX(pr_rate,MATCH(B2111,pr_code,0))="","",INDEX(pr_rate,MATCH(B2111,pr_code,0))),""))))</f>
        <v/>
      </c>
      <c r="L2111" s="65" t="str">
        <f>IF(COUNTA(A2111:G2111)=0,"",IF(AND(ISNUMBER(D2111),ISNUMBER(J2111)),ROUND(D2111*J2111*(1-N(F2111)),2),0))</f>
        <v/>
      </c>
      <c r="M2111" s="62" t="str">
        <f>IF(A2111="","",IFERROR(INDEX(fa_cname,MATCH(A2111,fa_num,0))&amp;"",""))</f>
        <v/>
      </c>
      <c r="N2111" s="59" t="str">
        <f>IF(COUNTA(A2111:G2111)=0,"",IF(A2111="","N° facture manquant",IF(ISNA(MATCH(A2111,fa_num,0)),"Facture inconnue",IF(AND(B2111&lt;&gt;"",ISNA(MATCH(B2111,pr_code,0))),"Article inconnu",IF(H2111="","Désignation manquante",IF(OR(NOT(ISNUMBER(D2111)),N(D2111)&lt;=0),"Quantité invalide",IF(J2111="","Prix manquant",IF(OR(NOT(ISNUMBER(J2111)),N(J2111)&lt;0),"Prix invalide",IF(OR(AND(F2111&lt;&gt;"",NOT(ISNUMBER(F2111))),N(F2111)&lt;0,N(F2111)&gt;1),"Remise invalide",IF(K2111="","Taux de TVA manquant",IF(NOT(ISNUMBER(K2111)),"Taux de TVA invalide",IF(COUNTIF(p_rates,K2111)=0,"Taux de TVA hors liste (Paramètres)",IF(N(O2111)&gt;25,"Au-delà de 25 lignes : non imprimée","OK")))))))))))))</f>
        <v/>
      </c>
      <c r="O2111" s="59" t="str">
        <f>IF(A2111="","",COUNTIF($A$6:A2111,A2111))</f>
        <v/>
      </c>
      <c r="P2111" s="62" t="str">
        <f>IF(A2111="","",A2111&amp;"|"&amp;O2111)</f>
        <v/>
      </c>
    </row>
    <row r="2112">
      <c r="A2112" s="60" t="n"/>
      <c r="B2112" s="63" t="n"/>
      <c r="C2112" s="63" t="n"/>
      <c r="D2112" s="67" t="n"/>
      <c r="E2112" s="68" t="n"/>
      <c r="F2112" s="69" t="n"/>
      <c r="G2112" s="70" t="n"/>
      <c r="H2112" s="62" t="str">
        <f>IF(COUNTA(A2112:G2112)=0,"",IF(C2112&lt;&gt;"",C2112,IF(B2112="","",IFERROR(INDEX(pr_des,MATCH(B2112,pr_code,0))&amp;"",""))))</f>
        <v/>
      </c>
      <c r="I2112" s="59" t="str">
        <f>IF(B2112="","",IFERROR(INDEX(pr_unit,MATCH(B2112,pr_code,0))&amp;"",""))</f>
        <v/>
      </c>
      <c r="J2112" s="65" t="str">
        <f>IF(COUNTA(A2112:G2112)=0,"",IF(E2112&lt;&gt;"",E2112,IF(B2112="","",IFERROR(IF(INDEX(pr_price,MATCH(B2112,pr_code,0))="","",INDEX(pr_price,MATCH(B2112,pr_code,0))),""))))</f>
        <v/>
      </c>
      <c r="K2112" s="71" t="str">
        <f>IF(COUNTA(A2112:G2112)=0,"",IF(G2112&lt;&gt;"",G2112,IF(B2112="","",IFERROR(IF(INDEX(pr_rate,MATCH(B2112,pr_code,0))="","",INDEX(pr_rate,MATCH(B2112,pr_code,0))),""))))</f>
        <v/>
      </c>
      <c r="L2112" s="65" t="str">
        <f>IF(COUNTA(A2112:G2112)=0,"",IF(AND(ISNUMBER(D2112),ISNUMBER(J2112)),ROUND(D2112*J2112*(1-N(F2112)),2),0))</f>
        <v/>
      </c>
      <c r="M2112" s="62" t="str">
        <f>IF(A2112="","",IFERROR(INDEX(fa_cname,MATCH(A2112,fa_num,0))&amp;"",""))</f>
        <v/>
      </c>
      <c r="N2112" s="59" t="str">
        <f>IF(COUNTA(A2112:G2112)=0,"",IF(A2112="","N° facture manquant",IF(ISNA(MATCH(A2112,fa_num,0)),"Facture inconnue",IF(AND(B2112&lt;&gt;"",ISNA(MATCH(B2112,pr_code,0))),"Article inconnu",IF(H2112="","Désignation manquante",IF(OR(NOT(ISNUMBER(D2112)),N(D2112)&lt;=0),"Quantité invalide",IF(J2112="","Prix manquant",IF(OR(NOT(ISNUMBER(J2112)),N(J2112)&lt;0),"Prix invalide",IF(OR(AND(F2112&lt;&gt;"",NOT(ISNUMBER(F2112))),N(F2112)&lt;0,N(F2112)&gt;1),"Remise invalide",IF(K2112="","Taux de TVA manquant",IF(NOT(ISNUMBER(K2112)),"Taux de TVA invalide",IF(COUNTIF(p_rates,K2112)=0,"Taux de TVA hors liste (Paramètres)",IF(N(O2112)&gt;25,"Au-delà de 25 lignes : non imprimée","OK")))))))))))))</f>
        <v/>
      </c>
      <c r="O2112" s="59" t="str">
        <f>IF(A2112="","",COUNTIF($A$6:A2112,A2112))</f>
        <v/>
      </c>
      <c r="P2112" s="62" t="str">
        <f>IF(A2112="","",A2112&amp;"|"&amp;O2112)</f>
        <v/>
      </c>
    </row>
    <row r="2113">
      <c r="A2113" s="60" t="n"/>
      <c r="B2113" s="63" t="n"/>
      <c r="C2113" s="63" t="n"/>
      <c r="D2113" s="67" t="n"/>
      <c r="E2113" s="68" t="n"/>
      <c r="F2113" s="69" t="n"/>
      <c r="G2113" s="70" t="n"/>
      <c r="H2113" s="62" t="str">
        <f>IF(COUNTA(A2113:G2113)=0,"",IF(C2113&lt;&gt;"",C2113,IF(B2113="","",IFERROR(INDEX(pr_des,MATCH(B2113,pr_code,0))&amp;"",""))))</f>
        <v/>
      </c>
      <c r="I2113" s="59" t="str">
        <f>IF(B2113="","",IFERROR(INDEX(pr_unit,MATCH(B2113,pr_code,0))&amp;"",""))</f>
        <v/>
      </c>
      <c r="J2113" s="65" t="str">
        <f>IF(COUNTA(A2113:G2113)=0,"",IF(E2113&lt;&gt;"",E2113,IF(B2113="","",IFERROR(IF(INDEX(pr_price,MATCH(B2113,pr_code,0))="","",INDEX(pr_price,MATCH(B2113,pr_code,0))),""))))</f>
        <v/>
      </c>
      <c r="K2113" s="71" t="str">
        <f>IF(COUNTA(A2113:G2113)=0,"",IF(G2113&lt;&gt;"",G2113,IF(B2113="","",IFERROR(IF(INDEX(pr_rate,MATCH(B2113,pr_code,0))="","",INDEX(pr_rate,MATCH(B2113,pr_code,0))),""))))</f>
        <v/>
      </c>
      <c r="L2113" s="65" t="str">
        <f>IF(COUNTA(A2113:G2113)=0,"",IF(AND(ISNUMBER(D2113),ISNUMBER(J2113)),ROUND(D2113*J2113*(1-N(F2113)),2),0))</f>
        <v/>
      </c>
      <c r="M2113" s="62" t="str">
        <f>IF(A2113="","",IFERROR(INDEX(fa_cname,MATCH(A2113,fa_num,0))&amp;"",""))</f>
        <v/>
      </c>
      <c r="N2113" s="59" t="str">
        <f>IF(COUNTA(A2113:G2113)=0,"",IF(A2113="","N° facture manquant",IF(ISNA(MATCH(A2113,fa_num,0)),"Facture inconnue",IF(AND(B2113&lt;&gt;"",ISNA(MATCH(B2113,pr_code,0))),"Article inconnu",IF(H2113="","Désignation manquante",IF(OR(NOT(ISNUMBER(D2113)),N(D2113)&lt;=0),"Quantité invalide",IF(J2113="","Prix manquant",IF(OR(NOT(ISNUMBER(J2113)),N(J2113)&lt;0),"Prix invalide",IF(OR(AND(F2113&lt;&gt;"",NOT(ISNUMBER(F2113))),N(F2113)&lt;0,N(F2113)&gt;1),"Remise invalide",IF(K2113="","Taux de TVA manquant",IF(NOT(ISNUMBER(K2113)),"Taux de TVA invalide",IF(COUNTIF(p_rates,K2113)=0,"Taux de TVA hors liste (Paramètres)",IF(N(O2113)&gt;25,"Au-delà de 25 lignes : non imprimée","OK")))))))))))))</f>
        <v/>
      </c>
      <c r="O2113" s="59" t="str">
        <f>IF(A2113="","",COUNTIF($A$6:A2113,A2113))</f>
        <v/>
      </c>
      <c r="P2113" s="62" t="str">
        <f>IF(A2113="","",A2113&amp;"|"&amp;O2113)</f>
        <v/>
      </c>
    </row>
    <row r="2114">
      <c r="A2114" s="60" t="n"/>
      <c r="B2114" s="63" t="n"/>
      <c r="C2114" s="63" t="n"/>
      <c r="D2114" s="67" t="n"/>
      <c r="E2114" s="68" t="n"/>
      <c r="F2114" s="69" t="n"/>
      <c r="G2114" s="70" t="n"/>
      <c r="H2114" s="62" t="str">
        <f>IF(COUNTA(A2114:G2114)=0,"",IF(C2114&lt;&gt;"",C2114,IF(B2114="","",IFERROR(INDEX(pr_des,MATCH(B2114,pr_code,0))&amp;"",""))))</f>
        <v/>
      </c>
      <c r="I2114" s="59" t="str">
        <f>IF(B2114="","",IFERROR(INDEX(pr_unit,MATCH(B2114,pr_code,0))&amp;"",""))</f>
        <v/>
      </c>
      <c r="J2114" s="65" t="str">
        <f>IF(COUNTA(A2114:G2114)=0,"",IF(E2114&lt;&gt;"",E2114,IF(B2114="","",IFERROR(IF(INDEX(pr_price,MATCH(B2114,pr_code,0))="","",INDEX(pr_price,MATCH(B2114,pr_code,0))),""))))</f>
        <v/>
      </c>
      <c r="K2114" s="71" t="str">
        <f>IF(COUNTA(A2114:G2114)=0,"",IF(G2114&lt;&gt;"",G2114,IF(B2114="","",IFERROR(IF(INDEX(pr_rate,MATCH(B2114,pr_code,0))="","",INDEX(pr_rate,MATCH(B2114,pr_code,0))),""))))</f>
        <v/>
      </c>
      <c r="L2114" s="65" t="str">
        <f>IF(COUNTA(A2114:G2114)=0,"",IF(AND(ISNUMBER(D2114),ISNUMBER(J2114)),ROUND(D2114*J2114*(1-N(F2114)),2),0))</f>
        <v/>
      </c>
      <c r="M2114" s="62" t="str">
        <f>IF(A2114="","",IFERROR(INDEX(fa_cname,MATCH(A2114,fa_num,0))&amp;"",""))</f>
        <v/>
      </c>
      <c r="N2114" s="59" t="str">
        <f>IF(COUNTA(A2114:G2114)=0,"",IF(A2114="","N° facture manquant",IF(ISNA(MATCH(A2114,fa_num,0)),"Facture inconnue",IF(AND(B2114&lt;&gt;"",ISNA(MATCH(B2114,pr_code,0))),"Article inconnu",IF(H2114="","Désignation manquante",IF(OR(NOT(ISNUMBER(D2114)),N(D2114)&lt;=0),"Quantité invalide",IF(J2114="","Prix manquant",IF(OR(NOT(ISNUMBER(J2114)),N(J2114)&lt;0),"Prix invalide",IF(OR(AND(F2114&lt;&gt;"",NOT(ISNUMBER(F2114))),N(F2114)&lt;0,N(F2114)&gt;1),"Remise invalide",IF(K2114="","Taux de TVA manquant",IF(NOT(ISNUMBER(K2114)),"Taux de TVA invalide",IF(COUNTIF(p_rates,K2114)=0,"Taux de TVA hors liste (Paramètres)",IF(N(O2114)&gt;25,"Au-delà de 25 lignes : non imprimée","OK")))))))))))))</f>
        <v/>
      </c>
      <c r="O2114" s="59" t="str">
        <f>IF(A2114="","",COUNTIF($A$6:A2114,A2114))</f>
        <v/>
      </c>
      <c r="P2114" s="62" t="str">
        <f>IF(A2114="","",A2114&amp;"|"&amp;O2114)</f>
        <v/>
      </c>
    </row>
    <row r="2115">
      <c r="A2115" s="60" t="n"/>
      <c r="B2115" s="63" t="n"/>
      <c r="C2115" s="63" t="n"/>
      <c r="D2115" s="67" t="n"/>
      <c r="E2115" s="68" t="n"/>
      <c r="F2115" s="69" t="n"/>
      <c r="G2115" s="70" t="n"/>
      <c r="H2115" s="62" t="str">
        <f>IF(COUNTA(A2115:G2115)=0,"",IF(C2115&lt;&gt;"",C2115,IF(B2115="","",IFERROR(INDEX(pr_des,MATCH(B2115,pr_code,0))&amp;"",""))))</f>
        <v/>
      </c>
      <c r="I2115" s="59" t="str">
        <f>IF(B2115="","",IFERROR(INDEX(pr_unit,MATCH(B2115,pr_code,0))&amp;"",""))</f>
        <v/>
      </c>
      <c r="J2115" s="65" t="str">
        <f>IF(COUNTA(A2115:G2115)=0,"",IF(E2115&lt;&gt;"",E2115,IF(B2115="","",IFERROR(IF(INDEX(pr_price,MATCH(B2115,pr_code,0))="","",INDEX(pr_price,MATCH(B2115,pr_code,0))),""))))</f>
        <v/>
      </c>
      <c r="K2115" s="71" t="str">
        <f>IF(COUNTA(A2115:G2115)=0,"",IF(G2115&lt;&gt;"",G2115,IF(B2115="","",IFERROR(IF(INDEX(pr_rate,MATCH(B2115,pr_code,0))="","",INDEX(pr_rate,MATCH(B2115,pr_code,0))),""))))</f>
        <v/>
      </c>
      <c r="L2115" s="65" t="str">
        <f>IF(COUNTA(A2115:G2115)=0,"",IF(AND(ISNUMBER(D2115),ISNUMBER(J2115)),ROUND(D2115*J2115*(1-N(F2115)),2),0))</f>
        <v/>
      </c>
      <c r="M2115" s="62" t="str">
        <f>IF(A2115="","",IFERROR(INDEX(fa_cname,MATCH(A2115,fa_num,0))&amp;"",""))</f>
        <v/>
      </c>
      <c r="N2115" s="59" t="str">
        <f>IF(COUNTA(A2115:G2115)=0,"",IF(A2115="","N° facture manquant",IF(ISNA(MATCH(A2115,fa_num,0)),"Facture inconnue",IF(AND(B2115&lt;&gt;"",ISNA(MATCH(B2115,pr_code,0))),"Article inconnu",IF(H2115="","Désignation manquante",IF(OR(NOT(ISNUMBER(D2115)),N(D2115)&lt;=0),"Quantité invalide",IF(J2115="","Prix manquant",IF(OR(NOT(ISNUMBER(J2115)),N(J2115)&lt;0),"Prix invalide",IF(OR(AND(F2115&lt;&gt;"",NOT(ISNUMBER(F2115))),N(F2115)&lt;0,N(F2115)&gt;1),"Remise invalide",IF(K2115="","Taux de TVA manquant",IF(NOT(ISNUMBER(K2115)),"Taux de TVA invalide",IF(COUNTIF(p_rates,K2115)=0,"Taux de TVA hors liste (Paramètres)",IF(N(O2115)&gt;25,"Au-delà de 25 lignes : non imprimée","OK")))))))))))))</f>
        <v/>
      </c>
      <c r="O2115" s="59" t="str">
        <f>IF(A2115="","",COUNTIF($A$6:A2115,A2115))</f>
        <v/>
      </c>
      <c r="P2115" s="62" t="str">
        <f>IF(A2115="","",A2115&amp;"|"&amp;O2115)</f>
        <v/>
      </c>
    </row>
    <row r="2116">
      <c r="A2116" s="60" t="n"/>
      <c r="B2116" s="63" t="n"/>
      <c r="C2116" s="63" t="n"/>
      <c r="D2116" s="67" t="n"/>
      <c r="E2116" s="68" t="n"/>
      <c r="F2116" s="69" t="n"/>
      <c r="G2116" s="70" t="n"/>
      <c r="H2116" s="62" t="str">
        <f>IF(COUNTA(A2116:G2116)=0,"",IF(C2116&lt;&gt;"",C2116,IF(B2116="","",IFERROR(INDEX(pr_des,MATCH(B2116,pr_code,0))&amp;"",""))))</f>
        <v/>
      </c>
      <c r="I2116" s="59" t="str">
        <f>IF(B2116="","",IFERROR(INDEX(pr_unit,MATCH(B2116,pr_code,0))&amp;"",""))</f>
        <v/>
      </c>
      <c r="J2116" s="65" t="str">
        <f>IF(COUNTA(A2116:G2116)=0,"",IF(E2116&lt;&gt;"",E2116,IF(B2116="","",IFERROR(IF(INDEX(pr_price,MATCH(B2116,pr_code,0))="","",INDEX(pr_price,MATCH(B2116,pr_code,0))),""))))</f>
        <v/>
      </c>
      <c r="K2116" s="71" t="str">
        <f>IF(COUNTA(A2116:G2116)=0,"",IF(G2116&lt;&gt;"",G2116,IF(B2116="","",IFERROR(IF(INDEX(pr_rate,MATCH(B2116,pr_code,0))="","",INDEX(pr_rate,MATCH(B2116,pr_code,0))),""))))</f>
        <v/>
      </c>
      <c r="L2116" s="65" t="str">
        <f>IF(COUNTA(A2116:G2116)=0,"",IF(AND(ISNUMBER(D2116),ISNUMBER(J2116)),ROUND(D2116*J2116*(1-N(F2116)),2),0))</f>
        <v/>
      </c>
      <c r="M2116" s="62" t="str">
        <f>IF(A2116="","",IFERROR(INDEX(fa_cname,MATCH(A2116,fa_num,0))&amp;"",""))</f>
        <v/>
      </c>
      <c r="N2116" s="59" t="str">
        <f>IF(COUNTA(A2116:G2116)=0,"",IF(A2116="","N° facture manquant",IF(ISNA(MATCH(A2116,fa_num,0)),"Facture inconnue",IF(AND(B2116&lt;&gt;"",ISNA(MATCH(B2116,pr_code,0))),"Article inconnu",IF(H2116="","Désignation manquante",IF(OR(NOT(ISNUMBER(D2116)),N(D2116)&lt;=0),"Quantité invalide",IF(J2116="","Prix manquant",IF(OR(NOT(ISNUMBER(J2116)),N(J2116)&lt;0),"Prix invalide",IF(OR(AND(F2116&lt;&gt;"",NOT(ISNUMBER(F2116))),N(F2116)&lt;0,N(F2116)&gt;1),"Remise invalide",IF(K2116="","Taux de TVA manquant",IF(NOT(ISNUMBER(K2116)),"Taux de TVA invalide",IF(COUNTIF(p_rates,K2116)=0,"Taux de TVA hors liste (Paramètres)",IF(N(O2116)&gt;25,"Au-delà de 25 lignes : non imprimée","OK")))))))))))))</f>
        <v/>
      </c>
      <c r="O2116" s="59" t="str">
        <f>IF(A2116="","",COUNTIF($A$6:A2116,A2116))</f>
        <v/>
      </c>
      <c r="P2116" s="62" t="str">
        <f>IF(A2116="","",A2116&amp;"|"&amp;O2116)</f>
        <v/>
      </c>
    </row>
    <row r="2117">
      <c r="A2117" s="60" t="n"/>
      <c r="B2117" s="63" t="n"/>
      <c r="C2117" s="63" t="n"/>
      <c r="D2117" s="67" t="n"/>
      <c r="E2117" s="68" t="n"/>
      <c r="F2117" s="69" t="n"/>
      <c r="G2117" s="70" t="n"/>
      <c r="H2117" s="62" t="str">
        <f>IF(COUNTA(A2117:G2117)=0,"",IF(C2117&lt;&gt;"",C2117,IF(B2117="","",IFERROR(INDEX(pr_des,MATCH(B2117,pr_code,0))&amp;"",""))))</f>
        <v/>
      </c>
      <c r="I2117" s="59" t="str">
        <f>IF(B2117="","",IFERROR(INDEX(pr_unit,MATCH(B2117,pr_code,0))&amp;"",""))</f>
        <v/>
      </c>
      <c r="J2117" s="65" t="str">
        <f>IF(COUNTA(A2117:G2117)=0,"",IF(E2117&lt;&gt;"",E2117,IF(B2117="","",IFERROR(IF(INDEX(pr_price,MATCH(B2117,pr_code,0))="","",INDEX(pr_price,MATCH(B2117,pr_code,0))),""))))</f>
        <v/>
      </c>
      <c r="K2117" s="71" t="str">
        <f>IF(COUNTA(A2117:G2117)=0,"",IF(G2117&lt;&gt;"",G2117,IF(B2117="","",IFERROR(IF(INDEX(pr_rate,MATCH(B2117,pr_code,0))="","",INDEX(pr_rate,MATCH(B2117,pr_code,0))),""))))</f>
        <v/>
      </c>
      <c r="L2117" s="65" t="str">
        <f>IF(COUNTA(A2117:G2117)=0,"",IF(AND(ISNUMBER(D2117),ISNUMBER(J2117)),ROUND(D2117*J2117*(1-N(F2117)),2),0))</f>
        <v/>
      </c>
      <c r="M2117" s="62" t="str">
        <f>IF(A2117="","",IFERROR(INDEX(fa_cname,MATCH(A2117,fa_num,0))&amp;"",""))</f>
        <v/>
      </c>
      <c r="N2117" s="59" t="str">
        <f>IF(COUNTA(A2117:G2117)=0,"",IF(A2117="","N° facture manquant",IF(ISNA(MATCH(A2117,fa_num,0)),"Facture inconnue",IF(AND(B2117&lt;&gt;"",ISNA(MATCH(B2117,pr_code,0))),"Article inconnu",IF(H2117="","Désignation manquante",IF(OR(NOT(ISNUMBER(D2117)),N(D2117)&lt;=0),"Quantité invalide",IF(J2117="","Prix manquant",IF(OR(NOT(ISNUMBER(J2117)),N(J2117)&lt;0),"Prix invalide",IF(OR(AND(F2117&lt;&gt;"",NOT(ISNUMBER(F2117))),N(F2117)&lt;0,N(F2117)&gt;1),"Remise invalide",IF(K2117="","Taux de TVA manquant",IF(NOT(ISNUMBER(K2117)),"Taux de TVA invalide",IF(COUNTIF(p_rates,K2117)=0,"Taux de TVA hors liste (Paramètres)",IF(N(O2117)&gt;25,"Au-delà de 25 lignes : non imprimée","OK")))))))))))))</f>
        <v/>
      </c>
      <c r="O2117" s="59" t="str">
        <f>IF(A2117="","",COUNTIF($A$6:A2117,A2117))</f>
        <v/>
      </c>
      <c r="P2117" s="62" t="str">
        <f>IF(A2117="","",A2117&amp;"|"&amp;O2117)</f>
        <v/>
      </c>
    </row>
    <row r="2118">
      <c r="A2118" s="60" t="n"/>
      <c r="B2118" s="63" t="n"/>
      <c r="C2118" s="63" t="n"/>
      <c r="D2118" s="67" t="n"/>
      <c r="E2118" s="68" t="n"/>
      <c r="F2118" s="69" t="n"/>
      <c r="G2118" s="70" t="n"/>
      <c r="H2118" s="62" t="str">
        <f>IF(COUNTA(A2118:G2118)=0,"",IF(C2118&lt;&gt;"",C2118,IF(B2118="","",IFERROR(INDEX(pr_des,MATCH(B2118,pr_code,0))&amp;"",""))))</f>
        <v/>
      </c>
      <c r="I2118" s="59" t="str">
        <f>IF(B2118="","",IFERROR(INDEX(pr_unit,MATCH(B2118,pr_code,0))&amp;"",""))</f>
        <v/>
      </c>
      <c r="J2118" s="65" t="str">
        <f>IF(COUNTA(A2118:G2118)=0,"",IF(E2118&lt;&gt;"",E2118,IF(B2118="","",IFERROR(IF(INDEX(pr_price,MATCH(B2118,pr_code,0))="","",INDEX(pr_price,MATCH(B2118,pr_code,0))),""))))</f>
        <v/>
      </c>
      <c r="K2118" s="71" t="str">
        <f>IF(COUNTA(A2118:G2118)=0,"",IF(G2118&lt;&gt;"",G2118,IF(B2118="","",IFERROR(IF(INDEX(pr_rate,MATCH(B2118,pr_code,0))="","",INDEX(pr_rate,MATCH(B2118,pr_code,0))),""))))</f>
        <v/>
      </c>
      <c r="L2118" s="65" t="str">
        <f>IF(COUNTA(A2118:G2118)=0,"",IF(AND(ISNUMBER(D2118),ISNUMBER(J2118)),ROUND(D2118*J2118*(1-N(F2118)),2),0))</f>
        <v/>
      </c>
      <c r="M2118" s="62" t="str">
        <f>IF(A2118="","",IFERROR(INDEX(fa_cname,MATCH(A2118,fa_num,0))&amp;"",""))</f>
        <v/>
      </c>
      <c r="N2118" s="59" t="str">
        <f>IF(COUNTA(A2118:G2118)=0,"",IF(A2118="","N° facture manquant",IF(ISNA(MATCH(A2118,fa_num,0)),"Facture inconnue",IF(AND(B2118&lt;&gt;"",ISNA(MATCH(B2118,pr_code,0))),"Article inconnu",IF(H2118="","Désignation manquante",IF(OR(NOT(ISNUMBER(D2118)),N(D2118)&lt;=0),"Quantité invalide",IF(J2118="","Prix manquant",IF(OR(NOT(ISNUMBER(J2118)),N(J2118)&lt;0),"Prix invalide",IF(OR(AND(F2118&lt;&gt;"",NOT(ISNUMBER(F2118))),N(F2118)&lt;0,N(F2118)&gt;1),"Remise invalide",IF(K2118="","Taux de TVA manquant",IF(NOT(ISNUMBER(K2118)),"Taux de TVA invalide",IF(COUNTIF(p_rates,K2118)=0,"Taux de TVA hors liste (Paramètres)",IF(N(O2118)&gt;25,"Au-delà de 25 lignes : non imprimée","OK")))))))))))))</f>
        <v/>
      </c>
      <c r="O2118" s="59" t="str">
        <f>IF(A2118="","",COUNTIF($A$6:A2118,A2118))</f>
        <v/>
      </c>
      <c r="P2118" s="62" t="str">
        <f>IF(A2118="","",A2118&amp;"|"&amp;O2118)</f>
        <v/>
      </c>
    </row>
    <row r="2119">
      <c r="A2119" s="60" t="n"/>
      <c r="B2119" s="63" t="n"/>
      <c r="C2119" s="63" t="n"/>
      <c r="D2119" s="67" t="n"/>
      <c r="E2119" s="68" t="n"/>
      <c r="F2119" s="69" t="n"/>
      <c r="G2119" s="70" t="n"/>
      <c r="H2119" s="62" t="str">
        <f>IF(COUNTA(A2119:G2119)=0,"",IF(C2119&lt;&gt;"",C2119,IF(B2119="","",IFERROR(INDEX(pr_des,MATCH(B2119,pr_code,0))&amp;"",""))))</f>
        <v/>
      </c>
      <c r="I2119" s="59" t="str">
        <f>IF(B2119="","",IFERROR(INDEX(pr_unit,MATCH(B2119,pr_code,0))&amp;"",""))</f>
        <v/>
      </c>
      <c r="J2119" s="65" t="str">
        <f>IF(COUNTA(A2119:G2119)=0,"",IF(E2119&lt;&gt;"",E2119,IF(B2119="","",IFERROR(IF(INDEX(pr_price,MATCH(B2119,pr_code,0))="","",INDEX(pr_price,MATCH(B2119,pr_code,0))),""))))</f>
        <v/>
      </c>
      <c r="K2119" s="71" t="str">
        <f>IF(COUNTA(A2119:G2119)=0,"",IF(G2119&lt;&gt;"",G2119,IF(B2119="","",IFERROR(IF(INDEX(pr_rate,MATCH(B2119,pr_code,0))="","",INDEX(pr_rate,MATCH(B2119,pr_code,0))),""))))</f>
        <v/>
      </c>
      <c r="L2119" s="65" t="str">
        <f>IF(COUNTA(A2119:G2119)=0,"",IF(AND(ISNUMBER(D2119),ISNUMBER(J2119)),ROUND(D2119*J2119*(1-N(F2119)),2),0))</f>
        <v/>
      </c>
      <c r="M2119" s="62" t="str">
        <f>IF(A2119="","",IFERROR(INDEX(fa_cname,MATCH(A2119,fa_num,0))&amp;"",""))</f>
        <v/>
      </c>
      <c r="N2119" s="59" t="str">
        <f>IF(COUNTA(A2119:G2119)=0,"",IF(A2119="","N° facture manquant",IF(ISNA(MATCH(A2119,fa_num,0)),"Facture inconnue",IF(AND(B2119&lt;&gt;"",ISNA(MATCH(B2119,pr_code,0))),"Article inconnu",IF(H2119="","Désignation manquante",IF(OR(NOT(ISNUMBER(D2119)),N(D2119)&lt;=0),"Quantité invalide",IF(J2119="","Prix manquant",IF(OR(NOT(ISNUMBER(J2119)),N(J2119)&lt;0),"Prix invalide",IF(OR(AND(F2119&lt;&gt;"",NOT(ISNUMBER(F2119))),N(F2119)&lt;0,N(F2119)&gt;1),"Remise invalide",IF(K2119="","Taux de TVA manquant",IF(NOT(ISNUMBER(K2119)),"Taux de TVA invalide",IF(COUNTIF(p_rates,K2119)=0,"Taux de TVA hors liste (Paramètres)",IF(N(O2119)&gt;25,"Au-delà de 25 lignes : non imprimée","OK")))))))))))))</f>
        <v/>
      </c>
      <c r="O2119" s="59" t="str">
        <f>IF(A2119="","",COUNTIF($A$6:A2119,A2119))</f>
        <v/>
      </c>
      <c r="P2119" s="62" t="str">
        <f>IF(A2119="","",A2119&amp;"|"&amp;O2119)</f>
        <v/>
      </c>
    </row>
    <row r="2120">
      <c r="A2120" s="60" t="n"/>
      <c r="B2120" s="63" t="n"/>
      <c r="C2120" s="63" t="n"/>
      <c r="D2120" s="67" t="n"/>
      <c r="E2120" s="68" t="n"/>
      <c r="F2120" s="69" t="n"/>
      <c r="G2120" s="70" t="n"/>
      <c r="H2120" s="62" t="str">
        <f>IF(COUNTA(A2120:G2120)=0,"",IF(C2120&lt;&gt;"",C2120,IF(B2120="","",IFERROR(INDEX(pr_des,MATCH(B2120,pr_code,0))&amp;"",""))))</f>
        <v/>
      </c>
      <c r="I2120" s="59" t="str">
        <f>IF(B2120="","",IFERROR(INDEX(pr_unit,MATCH(B2120,pr_code,0))&amp;"",""))</f>
        <v/>
      </c>
      <c r="J2120" s="65" t="str">
        <f>IF(COUNTA(A2120:G2120)=0,"",IF(E2120&lt;&gt;"",E2120,IF(B2120="","",IFERROR(IF(INDEX(pr_price,MATCH(B2120,pr_code,0))="","",INDEX(pr_price,MATCH(B2120,pr_code,0))),""))))</f>
        <v/>
      </c>
      <c r="K2120" s="71" t="str">
        <f>IF(COUNTA(A2120:G2120)=0,"",IF(G2120&lt;&gt;"",G2120,IF(B2120="","",IFERROR(IF(INDEX(pr_rate,MATCH(B2120,pr_code,0))="","",INDEX(pr_rate,MATCH(B2120,pr_code,0))),""))))</f>
        <v/>
      </c>
      <c r="L2120" s="65" t="str">
        <f>IF(COUNTA(A2120:G2120)=0,"",IF(AND(ISNUMBER(D2120),ISNUMBER(J2120)),ROUND(D2120*J2120*(1-N(F2120)),2),0))</f>
        <v/>
      </c>
      <c r="M2120" s="62" t="str">
        <f>IF(A2120="","",IFERROR(INDEX(fa_cname,MATCH(A2120,fa_num,0))&amp;"",""))</f>
        <v/>
      </c>
      <c r="N2120" s="59" t="str">
        <f>IF(COUNTA(A2120:G2120)=0,"",IF(A2120="","N° facture manquant",IF(ISNA(MATCH(A2120,fa_num,0)),"Facture inconnue",IF(AND(B2120&lt;&gt;"",ISNA(MATCH(B2120,pr_code,0))),"Article inconnu",IF(H2120="","Désignation manquante",IF(OR(NOT(ISNUMBER(D2120)),N(D2120)&lt;=0),"Quantité invalide",IF(J2120="","Prix manquant",IF(OR(NOT(ISNUMBER(J2120)),N(J2120)&lt;0),"Prix invalide",IF(OR(AND(F2120&lt;&gt;"",NOT(ISNUMBER(F2120))),N(F2120)&lt;0,N(F2120)&gt;1),"Remise invalide",IF(K2120="","Taux de TVA manquant",IF(NOT(ISNUMBER(K2120)),"Taux de TVA invalide",IF(COUNTIF(p_rates,K2120)=0,"Taux de TVA hors liste (Paramètres)",IF(N(O2120)&gt;25,"Au-delà de 25 lignes : non imprimée","OK")))))))))))))</f>
        <v/>
      </c>
      <c r="O2120" s="59" t="str">
        <f>IF(A2120="","",COUNTIF($A$6:A2120,A2120))</f>
        <v/>
      </c>
      <c r="P2120" s="62" t="str">
        <f>IF(A2120="","",A2120&amp;"|"&amp;O2120)</f>
        <v/>
      </c>
    </row>
    <row r="2121">
      <c r="A2121" s="60" t="n"/>
      <c r="B2121" s="63" t="n"/>
      <c r="C2121" s="63" t="n"/>
      <c r="D2121" s="67" t="n"/>
      <c r="E2121" s="68" t="n"/>
      <c r="F2121" s="69" t="n"/>
      <c r="G2121" s="70" t="n"/>
      <c r="H2121" s="62" t="str">
        <f>IF(COUNTA(A2121:G2121)=0,"",IF(C2121&lt;&gt;"",C2121,IF(B2121="","",IFERROR(INDEX(pr_des,MATCH(B2121,pr_code,0))&amp;"",""))))</f>
        <v/>
      </c>
      <c r="I2121" s="59" t="str">
        <f>IF(B2121="","",IFERROR(INDEX(pr_unit,MATCH(B2121,pr_code,0))&amp;"",""))</f>
        <v/>
      </c>
      <c r="J2121" s="65" t="str">
        <f>IF(COUNTA(A2121:G2121)=0,"",IF(E2121&lt;&gt;"",E2121,IF(B2121="","",IFERROR(IF(INDEX(pr_price,MATCH(B2121,pr_code,0))="","",INDEX(pr_price,MATCH(B2121,pr_code,0))),""))))</f>
        <v/>
      </c>
      <c r="K2121" s="71" t="str">
        <f>IF(COUNTA(A2121:G2121)=0,"",IF(G2121&lt;&gt;"",G2121,IF(B2121="","",IFERROR(IF(INDEX(pr_rate,MATCH(B2121,pr_code,0))="","",INDEX(pr_rate,MATCH(B2121,pr_code,0))),""))))</f>
        <v/>
      </c>
      <c r="L2121" s="65" t="str">
        <f>IF(COUNTA(A2121:G2121)=0,"",IF(AND(ISNUMBER(D2121),ISNUMBER(J2121)),ROUND(D2121*J2121*(1-N(F2121)),2),0))</f>
        <v/>
      </c>
      <c r="M2121" s="62" t="str">
        <f>IF(A2121="","",IFERROR(INDEX(fa_cname,MATCH(A2121,fa_num,0))&amp;"",""))</f>
        <v/>
      </c>
      <c r="N2121" s="59" t="str">
        <f>IF(COUNTA(A2121:G2121)=0,"",IF(A2121="","N° facture manquant",IF(ISNA(MATCH(A2121,fa_num,0)),"Facture inconnue",IF(AND(B2121&lt;&gt;"",ISNA(MATCH(B2121,pr_code,0))),"Article inconnu",IF(H2121="","Désignation manquante",IF(OR(NOT(ISNUMBER(D2121)),N(D2121)&lt;=0),"Quantité invalide",IF(J2121="","Prix manquant",IF(OR(NOT(ISNUMBER(J2121)),N(J2121)&lt;0),"Prix invalide",IF(OR(AND(F2121&lt;&gt;"",NOT(ISNUMBER(F2121))),N(F2121)&lt;0,N(F2121)&gt;1),"Remise invalide",IF(K2121="","Taux de TVA manquant",IF(NOT(ISNUMBER(K2121)),"Taux de TVA invalide",IF(COUNTIF(p_rates,K2121)=0,"Taux de TVA hors liste (Paramètres)",IF(N(O2121)&gt;25,"Au-delà de 25 lignes : non imprimée","OK")))))))))))))</f>
        <v/>
      </c>
      <c r="O2121" s="59" t="str">
        <f>IF(A2121="","",COUNTIF($A$6:A2121,A2121))</f>
        <v/>
      </c>
      <c r="P2121" s="62" t="str">
        <f>IF(A2121="","",A2121&amp;"|"&amp;O2121)</f>
        <v/>
      </c>
    </row>
    <row r="2122">
      <c r="A2122" s="60" t="n"/>
      <c r="B2122" s="63" t="n"/>
      <c r="C2122" s="63" t="n"/>
      <c r="D2122" s="67" t="n"/>
      <c r="E2122" s="68" t="n"/>
      <c r="F2122" s="69" t="n"/>
      <c r="G2122" s="70" t="n"/>
      <c r="H2122" s="62" t="str">
        <f>IF(COUNTA(A2122:G2122)=0,"",IF(C2122&lt;&gt;"",C2122,IF(B2122="","",IFERROR(INDEX(pr_des,MATCH(B2122,pr_code,0))&amp;"",""))))</f>
        <v/>
      </c>
      <c r="I2122" s="59" t="str">
        <f>IF(B2122="","",IFERROR(INDEX(pr_unit,MATCH(B2122,pr_code,0))&amp;"",""))</f>
        <v/>
      </c>
      <c r="J2122" s="65" t="str">
        <f>IF(COUNTA(A2122:G2122)=0,"",IF(E2122&lt;&gt;"",E2122,IF(B2122="","",IFERROR(IF(INDEX(pr_price,MATCH(B2122,pr_code,0))="","",INDEX(pr_price,MATCH(B2122,pr_code,0))),""))))</f>
        <v/>
      </c>
      <c r="K2122" s="71" t="str">
        <f>IF(COUNTA(A2122:G2122)=0,"",IF(G2122&lt;&gt;"",G2122,IF(B2122="","",IFERROR(IF(INDEX(pr_rate,MATCH(B2122,pr_code,0))="","",INDEX(pr_rate,MATCH(B2122,pr_code,0))),""))))</f>
        <v/>
      </c>
      <c r="L2122" s="65" t="str">
        <f>IF(COUNTA(A2122:G2122)=0,"",IF(AND(ISNUMBER(D2122),ISNUMBER(J2122)),ROUND(D2122*J2122*(1-N(F2122)),2),0))</f>
        <v/>
      </c>
      <c r="M2122" s="62" t="str">
        <f>IF(A2122="","",IFERROR(INDEX(fa_cname,MATCH(A2122,fa_num,0))&amp;"",""))</f>
        <v/>
      </c>
      <c r="N2122" s="59" t="str">
        <f>IF(COUNTA(A2122:G2122)=0,"",IF(A2122="","N° facture manquant",IF(ISNA(MATCH(A2122,fa_num,0)),"Facture inconnue",IF(AND(B2122&lt;&gt;"",ISNA(MATCH(B2122,pr_code,0))),"Article inconnu",IF(H2122="","Désignation manquante",IF(OR(NOT(ISNUMBER(D2122)),N(D2122)&lt;=0),"Quantité invalide",IF(J2122="","Prix manquant",IF(OR(NOT(ISNUMBER(J2122)),N(J2122)&lt;0),"Prix invalide",IF(OR(AND(F2122&lt;&gt;"",NOT(ISNUMBER(F2122))),N(F2122)&lt;0,N(F2122)&gt;1),"Remise invalide",IF(K2122="","Taux de TVA manquant",IF(NOT(ISNUMBER(K2122)),"Taux de TVA invalide",IF(COUNTIF(p_rates,K2122)=0,"Taux de TVA hors liste (Paramètres)",IF(N(O2122)&gt;25,"Au-delà de 25 lignes : non imprimée","OK")))))))))))))</f>
        <v/>
      </c>
      <c r="O2122" s="59" t="str">
        <f>IF(A2122="","",COUNTIF($A$6:A2122,A2122))</f>
        <v/>
      </c>
      <c r="P2122" s="62" t="str">
        <f>IF(A2122="","",A2122&amp;"|"&amp;O2122)</f>
        <v/>
      </c>
    </row>
    <row r="2123">
      <c r="A2123" s="60" t="n"/>
      <c r="B2123" s="63" t="n"/>
      <c r="C2123" s="63" t="n"/>
      <c r="D2123" s="67" t="n"/>
      <c r="E2123" s="68" t="n"/>
      <c r="F2123" s="69" t="n"/>
      <c r="G2123" s="70" t="n"/>
      <c r="H2123" s="62" t="str">
        <f>IF(COUNTA(A2123:G2123)=0,"",IF(C2123&lt;&gt;"",C2123,IF(B2123="","",IFERROR(INDEX(pr_des,MATCH(B2123,pr_code,0))&amp;"",""))))</f>
        <v/>
      </c>
      <c r="I2123" s="59" t="str">
        <f>IF(B2123="","",IFERROR(INDEX(pr_unit,MATCH(B2123,pr_code,0))&amp;"",""))</f>
        <v/>
      </c>
      <c r="J2123" s="65" t="str">
        <f>IF(COUNTA(A2123:G2123)=0,"",IF(E2123&lt;&gt;"",E2123,IF(B2123="","",IFERROR(IF(INDEX(pr_price,MATCH(B2123,pr_code,0))="","",INDEX(pr_price,MATCH(B2123,pr_code,0))),""))))</f>
        <v/>
      </c>
      <c r="K2123" s="71" t="str">
        <f>IF(COUNTA(A2123:G2123)=0,"",IF(G2123&lt;&gt;"",G2123,IF(B2123="","",IFERROR(IF(INDEX(pr_rate,MATCH(B2123,pr_code,0))="","",INDEX(pr_rate,MATCH(B2123,pr_code,0))),""))))</f>
        <v/>
      </c>
      <c r="L2123" s="65" t="str">
        <f>IF(COUNTA(A2123:G2123)=0,"",IF(AND(ISNUMBER(D2123),ISNUMBER(J2123)),ROUND(D2123*J2123*(1-N(F2123)),2),0))</f>
        <v/>
      </c>
      <c r="M2123" s="62" t="str">
        <f>IF(A2123="","",IFERROR(INDEX(fa_cname,MATCH(A2123,fa_num,0))&amp;"",""))</f>
        <v/>
      </c>
      <c r="N2123" s="59" t="str">
        <f>IF(COUNTA(A2123:G2123)=0,"",IF(A2123="","N° facture manquant",IF(ISNA(MATCH(A2123,fa_num,0)),"Facture inconnue",IF(AND(B2123&lt;&gt;"",ISNA(MATCH(B2123,pr_code,0))),"Article inconnu",IF(H2123="","Désignation manquante",IF(OR(NOT(ISNUMBER(D2123)),N(D2123)&lt;=0),"Quantité invalide",IF(J2123="","Prix manquant",IF(OR(NOT(ISNUMBER(J2123)),N(J2123)&lt;0),"Prix invalide",IF(OR(AND(F2123&lt;&gt;"",NOT(ISNUMBER(F2123))),N(F2123)&lt;0,N(F2123)&gt;1),"Remise invalide",IF(K2123="","Taux de TVA manquant",IF(NOT(ISNUMBER(K2123)),"Taux de TVA invalide",IF(COUNTIF(p_rates,K2123)=0,"Taux de TVA hors liste (Paramètres)",IF(N(O2123)&gt;25,"Au-delà de 25 lignes : non imprimée","OK")))))))))))))</f>
        <v/>
      </c>
      <c r="O2123" s="59" t="str">
        <f>IF(A2123="","",COUNTIF($A$6:A2123,A2123))</f>
        <v/>
      </c>
      <c r="P2123" s="62" t="str">
        <f>IF(A2123="","",A2123&amp;"|"&amp;O2123)</f>
        <v/>
      </c>
    </row>
    <row r="2124">
      <c r="A2124" s="60" t="n"/>
      <c r="B2124" s="63" t="n"/>
      <c r="C2124" s="63" t="n"/>
      <c r="D2124" s="67" t="n"/>
      <c r="E2124" s="68" t="n"/>
      <c r="F2124" s="69" t="n"/>
      <c r="G2124" s="70" t="n"/>
      <c r="H2124" s="62" t="str">
        <f>IF(COUNTA(A2124:G2124)=0,"",IF(C2124&lt;&gt;"",C2124,IF(B2124="","",IFERROR(INDEX(pr_des,MATCH(B2124,pr_code,0))&amp;"",""))))</f>
        <v/>
      </c>
      <c r="I2124" s="59" t="str">
        <f>IF(B2124="","",IFERROR(INDEX(pr_unit,MATCH(B2124,pr_code,0))&amp;"",""))</f>
        <v/>
      </c>
      <c r="J2124" s="65" t="str">
        <f>IF(COUNTA(A2124:G2124)=0,"",IF(E2124&lt;&gt;"",E2124,IF(B2124="","",IFERROR(IF(INDEX(pr_price,MATCH(B2124,pr_code,0))="","",INDEX(pr_price,MATCH(B2124,pr_code,0))),""))))</f>
        <v/>
      </c>
      <c r="K2124" s="71" t="str">
        <f>IF(COUNTA(A2124:G2124)=0,"",IF(G2124&lt;&gt;"",G2124,IF(B2124="","",IFERROR(IF(INDEX(pr_rate,MATCH(B2124,pr_code,0))="","",INDEX(pr_rate,MATCH(B2124,pr_code,0))),""))))</f>
        <v/>
      </c>
      <c r="L2124" s="65" t="str">
        <f>IF(COUNTA(A2124:G2124)=0,"",IF(AND(ISNUMBER(D2124),ISNUMBER(J2124)),ROUND(D2124*J2124*(1-N(F2124)),2),0))</f>
        <v/>
      </c>
      <c r="M2124" s="62" t="str">
        <f>IF(A2124="","",IFERROR(INDEX(fa_cname,MATCH(A2124,fa_num,0))&amp;"",""))</f>
        <v/>
      </c>
      <c r="N2124" s="59" t="str">
        <f>IF(COUNTA(A2124:G2124)=0,"",IF(A2124="","N° facture manquant",IF(ISNA(MATCH(A2124,fa_num,0)),"Facture inconnue",IF(AND(B2124&lt;&gt;"",ISNA(MATCH(B2124,pr_code,0))),"Article inconnu",IF(H2124="","Désignation manquante",IF(OR(NOT(ISNUMBER(D2124)),N(D2124)&lt;=0),"Quantité invalide",IF(J2124="","Prix manquant",IF(OR(NOT(ISNUMBER(J2124)),N(J2124)&lt;0),"Prix invalide",IF(OR(AND(F2124&lt;&gt;"",NOT(ISNUMBER(F2124))),N(F2124)&lt;0,N(F2124)&gt;1),"Remise invalide",IF(K2124="","Taux de TVA manquant",IF(NOT(ISNUMBER(K2124)),"Taux de TVA invalide",IF(COUNTIF(p_rates,K2124)=0,"Taux de TVA hors liste (Paramètres)",IF(N(O2124)&gt;25,"Au-delà de 25 lignes : non imprimée","OK")))))))))))))</f>
        <v/>
      </c>
      <c r="O2124" s="59" t="str">
        <f>IF(A2124="","",COUNTIF($A$6:A2124,A2124))</f>
        <v/>
      </c>
      <c r="P2124" s="62" t="str">
        <f>IF(A2124="","",A2124&amp;"|"&amp;O2124)</f>
        <v/>
      </c>
    </row>
    <row r="2125">
      <c r="A2125" s="60" t="n"/>
      <c r="B2125" s="63" t="n"/>
      <c r="C2125" s="63" t="n"/>
      <c r="D2125" s="67" t="n"/>
      <c r="E2125" s="68" t="n"/>
      <c r="F2125" s="69" t="n"/>
      <c r="G2125" s="70" t="n"/>
      <c r="H2125" s="62" t="str">
        <f>IF(COUNTA(A2125:G2125)=0,"",IF(C2125&lt;&gt;"",C2125,IF(B2125="","",IFERROR(INDEX(pr_des,MATCH(B2125,pr_code,0))&amp;"",""))))</f>
        <v/>
      </c>
      <c r="I2125" s="59" t="str">
        <f>IF(B2125="","",IFERROR(INDEX(pr_unit,MATCH(B2125,pr_code,0))&amp;"",""))</f>
        <v/>
      </c>
      <c r="J2125" s="65" t="str">
        <f>IF(COUNTA(A2125:G2125)=0,"",IF(E2125&lt;&gt;"",E2125,IF(B2125="","",IFERROR(IF(INDEX(pr_price,MATCH(B2125,pr_code,0))="","",INDEX(pr_price,MATCH(B2125,pr_code,0))),""))))</f>
        <v/>
      </c>
      <c r="K2125" s="71" t="str">
        <f>IF(COUNTA(A2125:G2125)=0,"",IF(G2125&lt;&gt;"",G2125,IF(B2125="","",IFERROR(IF(INDEX(pr_rate,MATCH(B2125,pr_code,0))="","",INDEX(pr_rate,MATCH(B2125,pr_code,0))),""))))</f>
        <v/>
      </c>
      <c r="L2125" s="65" t="str">
        <f>IF(COUNTA(A2125:G2125)=0,"",IF(AND(ISNUMBER(D2125),ISNUMBER(J2125)),ROUND(D2125*J2125*(1-N(F2125)),2),0))</f>
        <v/>
      </c>
      <c r="M2125" s="62" t="str">
        <f>IF(A2125="","",IFERROR(INDEX(fa_cname,MATCH(A2125,fa_num,0))&amp;"",""))</f>
        <v/>
      </c>
      <c r="N2125" s="59" t="str">
        <f>IF(COUNTA(A2125:G2125)=0,"",IF(A2125="","N° facture manquant",IF(ISNA(MATCH(A2125,fa_num,0)),"Facture inconnue",IF(AND(B2125&lt;&gt;"",ISNA(MATCH(B2125,pr_code,0))),"Article inconnu",IF(H2125="","Désignation manquante",IF(OR(NOT(ISNUMBER(D2125)),N(D2125)&lt;=0),"Quantité invalide",IF(J2125="","Prix manquant",IF(OR(NOT(ISNUMBER(J2125)),N(J2125)&lt;0),"Prix invalide",IF(OR(AND(F2125&lt;&gt;"",NOT(ISNUMBER(F2125))),N(F2125)&lt;0,N(F2125)&gt;1),"Remise invalide",IF(K2125="","Taux de TVA manquant",IF(NOT(ISNUMBER(K2125)),"Taux de TVA invalide",IF(COUNTIF(p_rates,K2125)=0,"Taux de TVA hors liste (Paramètres)",IF(N(O2125)&gt;25,"Au-delà de 25 lignes : non imprimée","OK")))))))))))))</f>
        <v/>
      </c>
      <c r="O2125" s="59" t="str">
        <f>IF(A2125="","",COUNTIF($A$6:A2125,A2125))</f>
        <v/>
      </c>
      <c r="P2125" s="62" t="str">
        <f>IF(A2125="","",A2125&amp;"|"&amp;O2125)</f>
        <v/>
      </c>
    </row>
    <row r="2126">
      <c r="A2126" s="60" t="n"/>
      <c r="B2126" s="63" t="n"/>
      <c r="C2126" s="63" t="n"/>
      <c r="D2126" s="67" t="n"/>
      <c r="E2126" s="68" t="n"/>
      <c r="F2126" s="69" t="n"/>
      <c r="G2126" s="70" t="n"/>
      <c r="H2126" s="62" t="str">
        <f>IF(COUNTA(A2126:G2126)=0,"",IF(C2126&lt;&gt;"",C2126,IF(B2126="","",IFERROR(INDEX(pr_des,MATCH(B2126,pr_code,0))&amp;"",""))))</f>
        <v/>
      </c>
      <c r="I2126" s="59" t="str">
        <f>IF(B2126="","",IFERROR(INDEX(pr_unit,MATCH(B2126,pr_code,0))&amp;"",""))</f>
        <v/>
      </c>
      <c r="J2126" s="65" t="str">
        <f>IF(COUNTA(A2126:G2126)=0,"",IF(E2126&lt;&gt;"",E2126,IF(B2126="","",IFERROR(IF(INDEX(pr_price,MATCH(B2126,pr_code,0))="","",INDEX(pr_price,MATCH(B2126,pr_code,0))),""))))</f>
        <v/>
      </c>
      <c r="K2126" s="71" t="str">
        <f>IF(COUNTA(A2126:G2126)=0,"",IF(G2126&lt;&gt;"",G2126,IF(B2126="","",IFERROR(IF(INDEX(pr_rate,MATCH(B2126,pr_code,0))="","",INDEX(pr_rate,MATCH(B2126,pr_code,0))),""))))</f>
        <v/>
      </c>
      <c r="L2126" s="65" t="str">
        <f>IF(COUNTA(A2126:G2126)=0,"",IF(AND(ISNUMBER(D2126),ISNUMBER(J2126)),ROUND(D2126*J2126*(1-N(F2126)),2),0))</f>
        <v/>
      </c>
      <c r="M2126" s="62" t="str">
        <f>IF(A2126="","",IFERROR(INDEX(fa_cname,MATCH(A2126,fa_num,0))&amp;"",""))</f>
        <v/>
      </c>
      <c r="N2126" s="59" t="str">
        <f>IF(COUNTA(A2126:G2126)=0,"",IF(A2126="","N° facture manquant",IF(ISNA(MATCH(A2126,fa_num,0)),"Facture inconnue",IF(AND(B2126&lt;&gt;"",ISNA(MATCH(B2126,pr_code,0))),"Article inconnu",IF(H2126="","Désignation manquante",IF(OR(NOT(ISNUMBER(D2126)),N(D2126)&lt;=0),"Quantité invalide",IF(J2126="","Prix manquant",IF(OR(NOT(ISNUMBER(J2126)),N(J2126)&lt;0),"Prix invalide",IF(OR(AND(F2126&lt;&gt;"",NOT(ISNUMBER(F2126))),N(F2126)&lt;0,N(F2126)&gt;1),"Remise invalide",IF(K2126="","Taux de TVA manquant",IF(NOT(ISNUMBER(K2126)),"Taux de TVA invalide",IF(COUNTIF(p_rates,K2126)=0,"Taux de TVA hors liste (Paramètres)",IF(N(O2126)&gt;25,"Au-delà de 25 lignes : non imprimée","OK")))))))))))))</f>
        <v/>
      </c>
      <c r="O2126" s="59" t="str">
        <f>IF(A2126="","",COUNTIF($A$6:A2126,A2126))</f>
        <v/>
      </c>
      <c r="P2126" s="62" t="str">
        <f>IF(A2126="","",A2126&amp;"|"&amp;O2126)</f>
        <v/>
      </c>
    </row>
    <row r="2127">
      <c r="A2127" s="60" t="n"/>
      <c r="B2127" s="63" t="n"/>
      <c r="C2127" s="63" t="n"/>
      <c r="D2127" s="67" t="n"/>
      <c r="E2127" s="68" t="n"/>
      <c r="F2127" s="69" t="n"/>
      <c r="G2127" s="70" t="n"/>
      <c r="H2127" s="62" t="str">
        <f>IF(COUNTA(A2127:G2127)=0,"",IF(C2127&lt;&gt;"",C2127,IF(B2127="","",IFERROR(INDEX(pr_des,MATCH(B2127,pr_code,0))&amp;"",""))))</f>
        <v/>
      </c>
      <c r="I2127" s="59" t="str">
        <f>IF(B2127="","",IFERROR(INDEX(pr_unit,MATCH(B2127,pr_code,0))&amp;"",""))</f>
        <v/>
      </c>
      <c r="J2127" s="65" t="str">
        <f>IF(COUNTA(A2127:G2127)=0,"",IF(E2127&lt;&gt;"",E2127,IF(B2127="","",IFERROR(IF(INDEX(pr_price,MATCH(B2127,pr_code,0))="","",INDEX(pr_price,MATCH(B2127,pr_code,0))),""))))</f>
        <v/>
      </c>
      <c r="K2127" s="71" t="str">
        <f>IF(COUNTA(A2127:G2127)=0,"",IF(G2127&lt;&gt;"",G2127,IF(B2127="","",IFERROR(IF(INDEX(pr_rate,MATCH(B2127,pr_code,0))="","",INDEX(pr_rate,MATCH(B2127,pr_code,0))),""))))</f>
        <v/>
      </c>
      <c r="L2127" s="65" t="str">
        <f>IF(COUNTA(A2127:G2127)=0,"",IF(AND(ISNUMBER(D2127),ISNUMBER(J2127)),ROUND(D2127*J2127*(1-N(F2127)),2),0))</f>
        <v/>
      </c>
      <c r="M2127" s="62" t="str">
        <f>IF(A2127="","",IFERROR(INDEX(fa_cname,MATCH(A2127,fa_num,0))&amp;"",""))</f>
        <v/>
      </c>
      <c r="N2127" s="59" t="str">
        <f>IF(COUNTA(A2127:G2127)=0,"",IF(A2127="","N° facture manquant",IF(ISNA(MATCH(A2127,fa_num,0)),"Facture inconnue",IF(AND(B2127&lt;&gt;"",ISNA(MATCH(B2127,pr_code,0))),"Article inconnu",IF(H2127="","Désignation manquante",IF(OR(NOT(ISNUMBER(D2127)),N(D2127)&lt;=0),"Quantité invalide",IF(J2127="","Prix manquant",IF(OR(NOT(ISNUMBER(J2127)),N(J2127)&lt;0),"Prix invalide",IF(OR(AND(F2127&lt;&gt;"",NOT(ISNUMBER(F2127))),N(F2127)&lt;0,N(F2127)&gt;1),"Remise invalide",IF(K2127="","Taux de TVA manquant",IF(NOT(ISNUMBER(K2127)),"Taux de TVA invalide",IF(COUNTIF(p_rates,K2127)=0,"Taux de TVA hors liste (Paramètres)",IF(N(O2127)&gt;25,"Au-delà de 25 lignes : non imprimée","OK")))))))))))))</f>
        <v/>
      </c>
      <c r="O2127" s="59" t="str">
        <f>IF(A2127="","",COUNTIF($A$6:A2127,A2127))</f>
        <v/>
      </c>
      <c r="P2127" s="62" t="str">
        <f>IF(A2127="","",A2127&amp;"|"&amp;O2127)</f>
        <v/>
      </c>
    </row>
    <row r="2128">
      <c r="A2128" s="60" t="n"/>
      <c r="B2128" s="63" t="n"/>
      <c r="C2128" s="63" t="n"/>
      <c r="D2128" s="67" t="n"/>
      <c r="E2128" s="68" t="n"/>
      <c r="F2128" s="69" t="n"/>
      <c r="G2128" s="70" t="n"/>
      <c r="H2128" s="62" t="str">
        <f>IF(COUNTA(A2128:G2128)=0,"",IF(C2128&lt;&gt;"",C2128,IF(B2128="","",IFERROR(INDEX(pr_des,MATCH(B2128,pr_code,0))&amp;"",""))))</f>
        <v/>
      </c>
      <c r="I2128" s="59" t="str">
        <f>IF(B2128="","",IFERROR(INDEX(pr_unit,MATCH(B2128,pr_code,0))&amp;"",""))</f>
        <v/>
      </c>
      <c r="J2128" s="65" t="str">
        <f>IF(COUNTA(A2128:G2128)=0,"",IF(E2128&lt;&gt;"",E2128,IF(B2128="","",IFERROR(IF(INDEX(pr_price,MATCH(B2128,pr_code,0))="","",INDEX(pr_price,MATCH(B2128,pr_code,0))),""))))</f>
        <v/>
      </c>
      <c r="K2128" s="71" t="str">
        <f>IF(COUNTA(A2128:G2128)=0,"",IF(G2128&lt;&gt;"",G2128,IF(B2128="","",IFERROR(IF(INDEX(pr_rate,MATCH(B2128,pr_code,0))="","",INDEX(pr_rate,MATCH(B2128,pr_code,0))),""))))</f>
        <v/>
      </c>
      <c r="L2128" s="65" t="str">
        <f>IF(COUNTA(A2128:G2128)=0,"",IF(AND(ISNUMBER(D2128),ISNUMBER(J2128)),ROUND(D2128*J2128*(1-N(F2128)),2),0))</f>
        <v/>
      </c>
      <c r="M2128" s="62" t="str">
        <f>IF(A2128="","",IFERROR(INDEX(fa_cname,MATCH(A2128,fa_num,0))&amp;"",""))</f>
        <v/>
      </c>
      <c r="N2128" s="59" t="str">
        <f>IF(COUNTA(A2128:G2128)=0,"",IF(A2128="","N° facture manquant",IF(ISNA(MATCH(A2128,fa_num,0)),"Facture inconnue",IF(AND(B2128&lt;&gt;"",ISNA(MATCH(B2128,pr_code,0))),"Article inconnu",IF(H2128="","Désignation manquante",IF(OR(NOT(ISNUMBER(D2128)),N(D2128)&lt;=0),"Quantité invalide",IF(J2128="","Prix manquant",IF(OR(NOT(ISNUMBER(J2128)),N(J2128)&lt;0),"Prix invalide",IF(OR(AND(F2128&lt;&gt;"",NOT(ISNUMBER(F2128))),N(F2128)&lt;0,N(F2128)&gt;1),"Remise invalide",IF(K2128="","Taux de TVA manquant",IF(NOT(ISNUMBER(K2128)),"Taux de TVA invalide",IF(COUNTIF(p_rates,K2128)=0,"Taux de TVA hors liste (Paramètres)",IF(N(O2128)&gt;25,"Au-delà de 25 lignes : non imprimée","OK")))))))))))))</f>
        <v/>
      </c>
      <c r="O2128" s="59" t="str">
        <f>IF(A2128="","",COUNTIF($A$6:A2128,A2128))</f>
        <v/>
      </c>
      <c r="P2128" s="62" t="str">
        <f>IF(A2128="","",A2128&amp;"|"&amp;O2128)</f>
        <v/>
      </c>
    </row>
    <row r="2129">
      <c r="A2129" s="60" t="n"/>
      <c r="B2129" s="63" t="n"/>
      <c r="C2129" s="63" t="n"/>
      <c r="D2129" s="67" t="n"/>
      <c r="E2129" s="68" t="n"/>
      <c r="F2129" s="69" t="n"/>
      <c r="G2129" s="70" t="n"/>
      <c r="H2129" s="62" t="str">
        <f>IF(COUNTA(A2129:G2129)=0,"",IF(C2129&lt;&gt;"",C2129,IF(B2129="","",IFERROR(INDEX(pr_des,MATCH(B2129,pr_code,0))&amp;"",""))))</f>
        <v/>
      </c>
      <c r="I2129" s="59" t="str">
        <f>IF(B2129="","",IFERROR(INDEX(pr_unit,MATCH(B2129,pr_code,0))&amp;"",""))</f>
        <v/>
      </c>
      <c r="J2129" s="65" t="str">
        <f>IF(COUNTA(A2129:G2129)=0,"",IF(E2129&lt;&gt;"",E2129,IF(B2129="","",IFERROR(IF(INDEX(pr_price,MATCH(B2129,pr_code,0))="","",INDEX(pr_price,MATCH(B2129,pr_code,0))),""))))</f>
        <v/>
      </c>
      <c r="K2129" s="71" t="str">
        <f>IF(COUNTA(A2129:G2129)=0,"",IF(G2129&lt;&gt;"",G2129,IF(B2129="","",IFERROR(IF(INDEX(pr_rate,MATCH(B2129,pr_code,0))="","",INDEX(pr_rate,MATCH(B2129,pr_code,0))),""))))</f>
        <v/>
      </c>
      <c r="L2129" s="65" t="str">
        <f>IF(COUNTA(A2129:G2129)=0,"",IF(AND(ISNUMBER(D2129),ISNUMBER(J2129)),ROUND(D2129*J2129*(1-N(F2129)),2),0))</f>
        <v/>
      </c>
      <c r="M2129" s="62" t="str">
        <f>IF(A2129="","",IFERROR(INDEX(fa_cname,MATCH(A2129,fa_num,0))&amp;"",""))</f>
        <v/>
      </c>
      <c r="N2129" s="59" t="str">
        <f>IF(COUNTA(A2129:G2129)=0,"",IF(A2129="","N° facture manquant",IF(ISNA(MATCH(A2129,fa_num,0)),"Facture inconnue",IF(AND(B2129&lt;&gt;"",ISNA(MATCH(B2129,pr_code,0))),"Article inconnu",IF(H2129="","Désignation manquante",IF(OR(NOT(ISNUMBER(D2129)),N(D2129)&lt;=0),"Quantité invalide",IF(J2129="","Prix manquant",IF(OR(NOT(ISNUMBER(J2129)),N(J2129)&lt;0),"Prix invalide",IF(OR(AND(F2129&lt;&gt;"",NOT(ISNUMBER(F2129))),N(F2129)&lt;0,N(F2129)&gt;1),"Remise invalide",IF(K2129="","Taux de TVA manquant",IF(NOT(ISNUMBER(K2129)),"Taux de TVA invalide",IF(COUNTIF(p_rates,K2129)=0,"Taux de TVA hors liste (Paramètres)",IF(N(O2129)&gt;25,"Au-delà de 25 lignes : non imprimée","OK")))))))))))))</f>
        <v/>
      </c>
      <c r="O2129" s="59" t="str">
        <f>IF(A2129="","",COUNTIF($A$6:A2129,A2129))</f>
        <v/>
      </c>
      <c r="P2129" s="62" t="str">
        <f>IF(A2129="","",A2129&amp;"|"&amp;O2129)</f>
        <v/>
      </c>
    </row>
    <row r="2130">
      <c r="A2130" s="60" t="n"/>
      <c r="B2130" s="63" t="n"/>
      <c r="C2130" s="63" t="n"/>
      <c r="D2130" s="67" t="n"/>
      <c r="E2130" s="68" t="n"/>
      <c r="F2130" s="69" t="n"/>
      <c r="G2130" s="70" t="n"/>
      <c r="H2130" s="62" t="str">
        <f>IF(COUNTA(A2130:G2130)=0,"",IF(C2130&lt;&gt;"",C2130,IF(B2130="","",IFERROR(INDEX(pr_des,MATCH(B2130,pr_code,0))&amp;"",""))))</f>
        <v/>
      </c>
      <c r="I2130" s="59" t="str">
        <f>IF(B2130="","",IFERROR(INDEX(pr_unit,MATCH(B2130,pr_code,0))&amp;"",""))</f>
        <v/>
      </c>
      <c r="J2130" s="65" t="str">
        <f>IF(COUNTA(A2130:G2130)=0,"",IF(E2130&lt;&gt;"",E2130,IF(B2130="","",IFERROR(IF(INDEX(pr_price,MATCH(B2130,pr_code,0))="","",INDEX(pr_price,MATCH(B2130,pr_code,0))),""))))</f>
        <v/>
      </c>
      <c r="K2130" s="71" t="str">
        <f>IF(COUNTA(A2130:G2130)=0,"",IF(G2130&lt;&gt;"",G2130,IF(B2130="","",IFERROR(IF(INDEX(pr_rate,MATCH(B2130,pr_code,0))="","",INDEX(pr_rate,MATCH(B2130,pr_code,0))),""))))</f>
        <v/>
      </c>
      <c r="L2130" s="65" t="str">
        <f>IF(COUNTA(A2130:G2130)=0,"",IF(AND(ISNUMBER(D2130),ISNUMBER(J2130)),ROUND(D2130*J2130*(1-N(F2130)),2),0))</f>
        <v/>
      </c>
      <c r="M2130" s="62" t="str">
        <f>IF(A2130="","",IFERROR(INDEX(fa_cname,MATCH(A2130,fa_num,0))&amp;"",""))</f>
        <v/>
      </c>
      <c r="N2130" s="59" t="str">
        <f>IF(COUNTA(A2130:G2130)=0,"",IF(A2130="","N° facture manquant",IF(ISNA(MATCH(A2130,fa_num,0)),"Facture inconnue",IF(AND(B2130&lt;&gt;"",ISNA(MATCH(B2130,pr_code,0))),"Article inconnu",IF(H2130="","Désignation manquante",IF(OR(NOT(ISNUMBER(D2130)),N(D2130)&lt;=0),"Quantité invalide",IF(J2130="","Prix manquant",IF(OR(NOT(ISNUMBER(J2130)),N(J2130)&lt;0),"Prix invalide",IF(OR(AND(F2130&lt;&gt;"",NOT(ISNUMBER(F2130))),N(F2130)&lt;0,N(F2130)&gt;1),"Remise invalide",IF(K2130="","Taux de TVA manquant",IF(NOT(ISNUMBER(K2130)),"Taux de TVA invalide",IF(COUNTIF(p_rates,K2130)=0,"Taux de TVA hors liste (Paramètres)",IF(N(O2130)&gt;25,"Au-delà de 25 lignes : non imprimée","OK")))))))))))))</f>
        <v/>
      </c>
      <c r="O2130" s="59" t="str">
        <f>IF(A2130="","",COUNTIF($A$6:A2130,A2130))</f>
        <v/>
      </c>
      <c r="P2130" s="62" t="str">
        <f>IF(A2130="","",A2130&amp;"|"&amp;O2130)</f>
        <v/>
      </c>
    </row>
    <row r="2131">
      <c r="A2131" s="60" t="n"/>
      <c r="B2131" s="63" t="n"/>
      <c r="C2131" s="63" t="n"/>
      <c r="D2131" s="67" t="n"/>
      <c r="E2131" s="68" t="n"/>
      <c r="F2131" s="69" t="n"/>
      <c r="G2131" s="70" t="n"/>
      <c r="H2131" s="62" t="str">
        <f>IF(COUNTA(A2131:G2131)=0,"",IF(C2131&lt;&gt;"",C2131,IF(B2131="","",IFERROR(INDEX(pr_des,MATCH(B2131,pr_code,0))&amp;"",""))))</f>
        <v/>
      </c>
      <c r="I2131" s="59" t="str">
        <f>IF(B2131="","",IFERROR(INDEX(pr_unit,MATCH(B2131,pr_code,0))&amp;"",""))</f>
        <v/>
      </c>
      <c r="J2131" s="65" t="str">
        <f>IF(COUNTA(A2131:G2131)=0,"",IF(E2131&lt;&gt;"",E2131,IF(B2131="","",IFERROR(IF(INDEX(pr_price,MATCH(B2131,pr_code,0))="","",INDEX(pr_price,MATCH(B2131,pr_code,0))),""))))</f>
        <v/>
      </c>
      <c r="K2131" s="71" t="str">
        <f>IF(COUNTA(A2131:G2131)=0,"",IF(G2131&lt;&gt;"",G2131,IF(B2131="","",IFERROR(IF(INDEX(pr_rate,MATCH(B2131,pr_code,0))="","",INDEX(pr_rate,MATCH(B2131,pr_code,0))),""))))</f>
        <v/>
      </c>
      <c r="L2131" s="65" t="str">
        <f>IF(COUNTA(A2131:G2131)=0,"",IF(AND(ISNUMBER(D2131),ISNUMBER(J2131)),ROUND(D2131*J2131*(1-N(F2131)),2),0))</f>
        <v/>
      </c>
      <c r="M2131" s="62" t="str">
        <f>IF(A2131="","",IFERROR(INDEX(fa_cname,MATCH(A2131,fa_num,0))&amp;"",""))</f>
        <v/>
      </c>
      <c r="N2131" s="59" t="str">
        <f>IF(COUNTA(A2131:G2131)=0,"",IF(A2131="","N° facture manquant",IF(ISNA(MATCH(A2131,fa_num,0)),"Facture inconnue",IF(AND(B2131&lt;&gt;"",ISNA(MATCH(B2131,pr_code,0))),"Article inconnu",IF(H2131="","Désignation manquante",IF(OR(NOT(ISNUMBER(D2131)),N(D2131)&lt;=0),"Quantité invalide",IF(J2131="","Prix manquant",IF(OR(NOT(ISNUMBER(J2131)),N(J2131)&lt;0),"Prix invalide",IF(OR(AND(F2131&lt;&gt;"",NOT(ISNUMBER(F2131))),N(F2131)&lt;0,N(F2131)&gt;1),"Remise invalide",IF(K2131="","Taux de TVA manquant",IF(NOT(ISNUMBER(K2131)),"Taux de TVA invalide",IF(COUNTIF(p_rates,K2131)=0,"Taux de TVA hors liste (Paramètres)",IF(N(O2131)&gt;25,"Au-delà de 25 lignes : non imprimée","OK")))))))))))))</f>
        <v/>
      </c>
      <c r="O2131" s="59" t="str">
        <f>IF(A2131="","",COUNTIF($A$6:A2131,A2131))</f>
        <v/>
      </c>
      <c r="P2131" s="62" t="str">
        <f>IF(A2131="","",A2131&amp;"|"&amp;O2131)</f>
        <v/>
      </c>
    </row>
    <row r="2132">
      <c r="A2132" s="60" t="n"/>
      <c r="B2132" s="63" t="n"/>
      <c r="C2132" s="63" t="n"/>
      <c r="D2132" s="67" t="n"/>
      <c r="E2132" s="68" t="n"/>
      <c r="F2132" s="69" t="n"/>
      <c r="G2132" s="70" t="n"/>
      <c r="H2132" s="62" t="str">
        <f>IF(COUNTA(A2132:G2132)=0,"",IF(C2132&lt;&gt;"",C2132,IF(B2132="","",IFERROR(INDEX(pr_des,MATCH(B2132,pr_code,0))&amp;"",""))))</f>
        <v/>
      </c>
      <c r="I2132" s="59" t="str">
        <f>IF(B2132="","",IFERROR(INDEX(pr_unit,MATCH(B2132,pr_code,0))&amp;"",""))</f>
        <v/>
      </c>
      <c r="J2132" s="65" t="str">
        <f>IF(COUNTA(A2132:G2132)=0,"",IF(E2132&lt;&gt;"",E2132,IF(B2132="","",IFERROR(IF(INDEX(pr_price,MATCH(B2132,pr_code,0))="","",INDEX(pr_price,MATCH(B2132,pr_code,0))),""))))</f>
        <v/>
      </c>
      <c r="K2132" s="71" t="str">
        <f>IF(COUNTA(A2132:G2132)=0,"",IF(G2132&lt;&gt;"",G2132,IF(B2132="","",IFERROR(IF(INDEX(pr_rate,MATCH(B2132,pr_code,0))="","",INDEX(pr_rate,MATCH(B2132,pr_code,0))),""))))</f>
        <v/>
      </c>
      <c r="L2132" s="65" t="str">
        <f>IF(COUNTA(A2132:G2132)=0,"",IF(AND(ISNUMBER(D2132),ISNUMBER(J2132)),ROUND(D2132*J2132*(1-N(F2132)),2),0))</f>
        <v/>
      </c>
      <c r="M2132" s="62" t="str">
        <f>IF(A2132="","",IFERROR(INDEX(fa_cname,MATCH(A2132,fa_num,0))&amp;"",""))</f>
        <v/>
      </c>
      <c r="N2132" s="59" t="str">
        <f>IF(COUNTA(A2132:G2132)=0,"",IF(A2132="","N° facture manquant",IF(ISNA(MATCH(A2132,fa_num,0)),"Facture inconnue",IF(AND(B2132&lt;&gt;"",ISNA(MATCH(B2132,pr_code,0))),"Article inconnu",IF(H2132="","Désignation manquante",IF(OR(NOT(ISNUMBER(D2132)),N(D2132)&lt;=0),"Quantité invalide",IF(J2132="","Prix manquant",IF(OR(NOT(ISNUMBER(J2132)),N(J2132)&lt;0),"Prix invalide",IF(OR(AND(F2132&lt;&gt;"",NOT(ISNUMBER(F2132))),N(F2132)&lt;0,N(F2132)&gt;1),"Remise invalide",IF(K2132="","Taux de TVA manquant",IF(NOT(ISNUMBER(K2132)),"Taux de TVA invalide",IF(COUNTIF(p_rates,K2132)=0,"Taux de TVA hors liste (Paramètres)",IF(N(O2132)&gt;25,"Au-delà de 25 lignes : non imprimée","OK")))))))))))))</f>
        <v/>
      </c>
      <c r="O2132" s="59" t="str">
        <f>IF(A2132="","",COUNTIF($A$6:A2132,A2132))</f>
        <v/>
      </c>
      <c r="P2132" s="62" t="str">
        <f>IF(A2132="","",A2132&amp;"|"&amp;O2132)</f>
        <v/>
      </c>
    </row>
    <row r="2133">
      <c r="A2133" s="60" t="n"/>
      <c r="B2133" s="63" t="n"/>
      <c r="C2133" s="63" t="n"/>
      <c r="D2133" s="67" t="n"/>
      <c r="E2133" s="68" t="n"/>
      <c r="F2133" s="69" t="n"/>
      <c r="G2133" s="70" t="n"/>
      <c r="H2133" s="62" t="str">
        <f>IF(COUNTA(A2133:G2133)=0,"",IF(C2133&lt;&gt;"",C2133,IF(B2133="","",IFERROR(INDEX(pr_des,MATCH(B2133,pr_code,0))&amp;"",""))))</f>
        <v/>
      </c>
      <c r="I2133" s="59" t="str">
        <f>IF(B2133="","",IFERROR(INDEX(pr_unit,MATCH(B2133,pr_code,0))&amp;"",""))</f>
        <v/>
      </c>
      <c r="J2133" s="65" t="str">
        <f>IF(COUNTA(A2133:G2133)=0,"",IF(E2133&lt;&gt;"",E2133,IF(B2133="","",IFERROR(IF(INDEX(pr_price,MATCH(B2133,pr_code,0))="","",INDEX(pr_price,MATCH(B2133,pr_code,0))),""))))</f>
        <v/>
      </c>
      <c r="K2133" s="71" t="str">
        <f>IF(COUNTA(A2133:G2133)=0,"",IF(G2133&lt;&gt;"",G2133,IF(B2133="","",IFERROR(IF(INDEX(pr_rate,MATCH(B2133,pr_code,0))="","",INDEX(pr_rate,MATCH(B2133,pr_code,0))),""))))</f>
        <v/>
      </c>
      <c r="L2133" s="65" t="str">
        <f>IF(COUNTA(A2133:G2133)=0,"",IF(AND(ISNUMBER(D2133),ISNUMBER(J2133)),ROUND(D2133*J2133*(1-N(F2133)),2),0))</f>
        <v/>
      </c>
      <c r="M2133" s="62" t="str">
        <f>IF(A2133="","",IFERROR(INDEX(fa_cname,MATCH(A2133,fa_num,0))&amp;"",""))</f>
        <v/>
      </c>
      <c r="N2133" s="59" t="str">
        <f>IF(COUNTA(A2133:G2133)=0,"",IF(A2133="","N° facture manquant",IF(ISNA(MATCH(A2133,fa_num,0)),"Facture inconnue",IF(AND(B2133&lt;&gt;"",ISNA(MATCH(B2133,pr_code,0))),"Article inconnu",IF(H2133="","Désignation manquante",IF(OR(NOT(ISNUMBER(D2133)),N(D2133)&lt;=0),"Quantité invalide",IF(J2133="","Prix manquant",IF(OR(NOT(ISNUMBER(J2133)),N(J2133)&lt;0),"Prix invalide",IF(OR(AND(F2133&lt;&gt;"",NOT(ISNUMBER(F2133))),N(F2133)&lt;0,N(F2133)&gt;1),"Remise invalide",IF(K2133="","Taux de TVA manquant",IF(NOT(ISNUMBER(K2133)),"Taux de TVA invalide",IF(COUNTIF(p_rates,K2133)=0,"Taux de TVA hors liste (Paramètres)",IF(N(O2133)&gt;25,"Au-delà de 25 lignes : non imprimée","OK")))))))))))))</f>
        <v/>
      </c>
      <c r="O2133" s="59" t="str">
        <f>IF(A2133="","",COUNTIF($A$6:A2133,A2133))</f>
        <v/>
      </c>
      <c r="P2133" s="62" t="str">
        <f>IF(A2133="","",A2133&amp;"|"&amp;O2133)</f>
        <v/>
      </c>
    </row>
    <row r="2134">
      <c r="A2134" s="60" t="n"/>
      <c r="B2134" s="63" t="n"/>
      <c r="C2134" s="63" t="n"/>
      <c r="D2134" s="67" t="n"/>
      <c r="E2134" s="68" t="n"/>
      <c r="F2134" s="69" t="n"/>
      <c r="G2134" s="70" t="n"/>
      <c r="H2134" s="62" t="str">
        <f>IF(COUNTA(A2134:G2134)=0,"",IF(C2134&lt;&gt;"",C2134,IF(B2134="","",IFERROR(INDEX(pr_des,MATCH(B2134,pr_code,0))&amp;"",""))))</f>
        <v/>
      </c>
      <c r="I2134" s="59" t="str">
        <f>IF(B2134="","",IFERROR(INDEX(pr_unit,MATCH(B2134,pr_code,0))&amp;"",""))</f>
        <v/>
      </c>
      <c r="J2134" s="65" t="str">
        <f>IF(COUNTA(A2134:G2134)=0,"",IF(E2134&lt;&gt;"",E2134,IF(B2134="","",IFERROR(IF(INDEX(pr_price,MATCH(B2134,pr_code,0))="","",INDEX(pr_price,MATCH(B2134,pr_code,0))),""))))</f>
        <v/>
      </c>
      <c r="K2134" s="71" t="str">
        <f>IF(COUNTA(A2134:G2134)=0,"",IF(G2134&lt;&gt;"",G2134,IF(B2134="","",IFERROR(IF(INDEX(pr_rate,MATCH(B2134,pr_code,0))="","",INDEX(pr_rate,MATCH(B2134,pr_code,0))),""))))</f>
        <v/>
      </c>
      <c r="L2134" s="65" t="str">
        <f>IF(COUNTA(A2134:G2134)=0,"",IF(AND(ISNUMBER(D2134),ISNUMBER(J2134)),ROUND(D2134*J2134*(1-N(F2134)),2),0))</f>
        <v/>
      </c>
      <c r="M2134" s="62" t="str">
        <f>IF(A2134="","",IFERROR(INDEX(fa_cname,MATCH(A2134,fa_num,0))&amp;"",""))</f>
        <v/>
      </c>
      <c r="N2134" s="59" t="str">
        <f>IF(COUNTA(A2134:G2134)=0,"",IF(A2134="","N° facture manquant",IF(ISNA(MATCH(A2134,fa_num,0)),"Facture inconnue",IF(AND(B2134&lt;&gt;"",ISNA(MATCH(B2134,pr_code,0))),"Article inconnu",IF(H2134="","Désignation manquante",IF(OR(NOT(ISNUMBER(D2134)),N(D2134)&lt;=0),"Quantité invalide",IF(J2134="","Prix manquant",IF(OR(NOT(ISNUMBER(J2134)),N(J2134)&lt;0),"Prix invalide",IF(OR(AND(F2134&lt;&gt;"",NOT(ISNUMBER(F2134))),N(F2134)&lt;0,N(F2134)&gt;1),"Remise invalide",IF(K2134="","Taux de TVA manquant",IF(NOT(ISNUMBER(K2134)),"Taux de TVA invalide",IF(COUNTIF(p_rates,K2134)=0,"Taux de TVA hors liste (Paramètres)",IF(N(O2134)&gt;25,"Au-delà de 25 lignes : non imprimée","OK")))))))))))))</f>
        <v/>
      </c>
      <c r="O2134" s="59" t="str">
        <f>IF(A2134="","",COUNTIF($A$6:A2134,A2134))</f>
        <v/>
      </c>
      <c r="P2134" s="62" t="str">
        <f>IF(A2134="","",A2134&amp;"|"&amp;O2134)</f>
        <v/>
      </c>
    </row>
    <row r="2135">
      <c r="A2135" s="60" t="n"/>
      <c r="B2135" s="63" t="n"/>
      <c r="C2135" s="63" t="n"/>
      <c r="D2135" s="67" t="n"/>
      <c r="E2135" s="68" t="n"/>
      <c r="F2135" s="69" t="n"/>
      <c r="G2135" s="70" t="n"/>
      <c r="H2135" s="62" t="str">
        <f>IF(COUNTA(A2135:G2135)=0,"",IF(C2135&lt;&gt;"",C2135,IF(B2135="","",IFERROR(INDEX(pr_des,MATCH(B2135,pr_code,0))&amp;"",""))))</f>
        <v/>
      </c>
      <c r="I2135" s="59" t="str">
        <f>IF(B2135="","",IFERROR(INDEX(pr_unit,MATCH(B2135,pr_code,0))&amp;"",""))</f>
        <v/>
      </c>
      <c r="J2135" s="65" t="str">
        <f>IF(COUNTA(A2135:G2135)=0,"",IF(E2135&lt;&gt;"",E2135,IF(B2135="","",IFERROR(IF(INDEX(pr_price,MATCH(B2135,pr_code,0))="","",INDEX(pr_price,MATCH(B2135,pr_code,0))),""))))</f>
        <v/>
      </c>
      <c r="K2135" s="71" t="str">
        <f>IF(COUNTA(A2135:G2135)=0,"",IF(G2135&lt;&gt;"",G2135,IF(B2135="","",IFERROR(IF(INDEX(pr_rate,MATCH(B2135,pr_code,0))="","",INDEX(pr_rate,MATCH(B2135,pr_code,0))),""))))</f>
        <v/>
      </c>
      <c r="L2135" s="65" t="str">
        <f>IF(COUNTA(A2135:G2135)=0,"",IF(AND(ISNUMBER(D2135),ISNUMBER(J2135)),ROUND(D2135*J2135*(1-N(F2135)),2),0))</f>
        <v/>
      </c>
      <c r="M2135" s="62" t="str">
        <f>IF(A2135="","",IFERROR(INDEX(fa_cname,MATCH(A2135,fa_num,0))&amp;"",""))</f>
        <v/>
      </c>
      <c r="N2135" s="59" t="str">
        <f>IF(COUNTA(A2135:G2135)=0,"",IF(A2135="","N° facture manquant",IF(ISNA(MATCH(A2135,fa_num,0)),"Facture inconnue",IF(AND(B2135&lt;&gt;"",ISNA(MATCH(B2135,pr_code,0))),"Article inconnu",IF(H2135="","Désignation manquante",IF(OR(NOT(ISNUMBER(D2135)),N(D2135)&lt;=0),"Quantité invalide",IF(J2135="","Prix manquant",IF(OR(NOT(ISNUMBER(J2135)),N(J2135)&lt;0),"Prix invalide",IF(OR(AND(F2135&lt;&gt;"",NOT(ISNUMBER(F2135))),N(F2135)&lt;0,N(F2135)&gt;1),"Remise invalide",IF(K2135="","Taux de TVA manquant",IF(NOT(ISNUMBER(K2135)),"Taux de TVA invalide",IF(COUNTIF(p_rates,K2135)=0,"Taux de TVA hors liste (Paramètres)",IF(N(O2135)&gt;25,"Au-delà de 25 lignes : non imprimée","OK")))))))))))))</f>
        <v/>
      </c>
      <c r="O2135" s="59" t="str">
        <f>IF(A2135="","",COUNTIF($A$6:A2135,A2135))</f>
        <v/>
      </c>
      <c r="P2135" s="62" t="str">
        <f>IF(A2135="","",A2135&amp;"|"&amp;O2135)</f>
        <v/>
      </c>
    </row>
    <row r="2136">
      <c r="A2136" s="60" t="n"/>
      <c r="B2136" s="63" t="n"/>
      <c r="C2136" s="63" t="n"/>
      <c r="D2136" s="67" t="n"/>
      <c r="E2136" s="68" t="n"/>
      <c r="F2136" s="69" t="n"/>
      <c r="G2136" s="70" t="n"/>
      <c r="H2136" s="62" t="str">
        <f>IF(COUNTA(A2136:G2136)=0,"",IF(C2136&lt;&gt;"",C2136,IF(B2136="","",IFERROR(INDEX(pr_des,MATCH(B2136,pr_code,0))&amp;"",""))))</f>
        <v/>
      </c>
      <c r="I2136" s="59" t="str">
        <f>IF(B2136="","",IFERROR(INDEX(pr_unit,MATCH(B2136,pr_code,0))&amp;"",""))</f>
        <v/>
      </c>
      <c r="J2136" s="65" t="str">
        <f>IF(COUNTA(A2136:G2136)=0,"",IF(E2136&lt;&gt;"",E2136,IF(B2136="","",IFERROR(IF(INDEX(pr_price,MATCH(B2136,pr_code,0))="","",INDEX(pr_price,MATCH(B2136,pr_code,0))),""))))</f>
        <v/>
      </c>
      <c r="K2136" s="71" t="str">
        <f>IF(COUNTA(A2136:G2136)=0,"",IF(G2136&lt;&gt;"",G2136,IF(B2136="","",IFERROR(IF(INDEX(pr_rate,MATCH(B2136,pr_code,0))="","",INDEX(pr_rate,MATCH(B2136,pr_code,0))),""))))</f>
        <v/>
      </c>
      <c r="L2136" s="65" t="str">
        <f>IF(COUNTA(A2136:G2136)=0,"",IF(AND(ISNUMBER(D2136),ISNUMBER(J2136)),ROUND(D2136*J2136*(1-N(F2136)),2),0))</f>
        <v/>
      </c>
      <c r="M2136" s="62" t="str">
        <f>IF(A2136="","",IFERROR(INDEX(fa_cname,MATCH(A2136,fa_num,0))&amp;"",""))</f>
        <v/>
      </c>
      <c r="N2136" s="59" t="str">
        <f>IF(COUNTA(A2136:G2136)=0,"",IF(A2136="","N° facture manquant",IF(ISNA(MATCH(A2136,fa_num,0)),"Facture inconnue",IF(AND(B2136&lt;&gt;"",ISNA(MATCH(B2136,pr_code,0))),"Article inconnu",IF(H2136="","Désignation manquante",IF(OR(NOT(ISNUMBER(D2136)),N(D2136)&lt;=0),"Quantité invalide",IF(J2136="","Prix manquant",IF(OR(NOT(ISNUMBER(J2136)),N(J2136)&lt;0),"Prix invalide",IF(OR(AND(F2136&lt;&gt;"",NOT(ISNUMBER(F2136))),N(F2136)&lt;0,N(F2136)&gt;1),"Remise invalide",IF(K2136="","Taux de TVA manquant",IF(NOT(ISNUMBER(K2136)),"Taux de TVA invalide",IF(COUNTIF(p_rates,K2136)=0,"Taux de TVA hors liste (Paramètres)",IF(N(O2136)&gt;25,"Au-delà de 25 lignes : non imprimée","OK")))))))))))))</f>
        <v/>
      </c>
      <c r="O2136" s="59" t="str">
        <f>IF(A2136="","",COUNTIF($A$6:A2136,A2136))</f>
        <v/>
      </c>
      <c r="P2136" s="62" t="str">
        <f>IF(A2136="","",A2136&amp;"|"&amp;O2136)</f>
        <v/>
      </c>
    </row>
    <row r="2137">
      <c r="A2137" s="60" t="n"/>
      <c r="B2137" s="63" t="n"/>
      <c r="C2137" s="63" t="n"/>
      <c r="D2137" s="67" t="n"/>
      <c r="E2137" s="68" t="n"/>
      <c r="F2137" s="69" t="n"/>
      <c r="G2137" s="70" t="n"/>
      <c r="H2137" s="62" t="str">
        <f>IF(COUNTA(A2137:G2137)=0,"",IF(C2137&lt;&gt;"",C2137,IF(B2137="","",IFERROR(INDEX(pr_des,MATCH(B2137,pr_code,0))&amp;"",""))))</f>
        <v/>
      </c>
      <c r="I2137" s="59" t="str">
        <f>IF(B2137="","",IFERROR(INDEX(pr_unit,MATCH(B2137,pr_code,0))&amp;"",""))</f>
        <v/>
      </c>
      <c r="J2137" s="65" t="str">
        <f>IF(COUNTA(A2137:G2137)=0,"",IF(E2137&lt;&gt;"",E2137,IF(B2137="","",IFERROR(IF(INDEX(pr_price,MATCH(B2137,pr_code,0))="","",INDEX(pr_price,MATCH(B2137,pr_code,0))),""))))</f>
        <v/>
      </c>
      <c r="K2137" s="71" t="str">
        <f>IF(COUNTA(A2137:G2137)=0,"",IF(G2137&lt;&gt;"",G2137,IF(B2137="","",IFERROR(IF(INDEX(pr_rate,MATCH(B2137,pr_code,0))="","",INDEX(pr_rate,MATCH(B2137,pr_code,0))),""))))</f>
        <v/>
      </c>
      <c r="L2137" s="65" t="str">
        <f>IF(COUNTA(A2137:G2137)=0,"",IF(AND(ISNUMBER(D2137),ISNUMBER(J2137)),ROUND(D2137*J2137*(1-N(F2137)),2),0))</f>
        <v/>
      </c>
      <c r="M2137" s="62" t="str">
        <f>IF(A2137="","",IFERROR(INDEX(fa_cname,MATCH(A2137,fa_num,0))&amp;"",""))</f>
        <v/>
      </c>
      <c r="N2137" s="59" t="str">
        <f>IF(COUNTA(A2137:G2137)=0,"",IF(A2137="","N° facture manquant",IF(ISNA(MATCH(A2137,fa_num,0)),"Facture inconnue",IF(AND(B2137&lt;&gt;"",ISNA(MATCH(B2137,pr_code,0))),"Article inconnu",IF(H2137="","Désignation manquante",IF(OR(NOT(ISNUMBER(D2137)),N(D2137)&lt;=0),"Quantité invalide",IF(J2137="","Prix manquant",IF(OR(NOT(ISNUMBER(J2137)),N(J2137)&lt;0),"Prix invalide",IF(OR(AND(F2137&lt;&gt;"",NOT(ISNUMBER(F2137))),N(F2137)&lt;0,N(F2137)&gt;1),"Remise invalide",IF(K2137="","Taux de TVA manquant",IF(NOT(ISNUMBER(K2137)),"Taux de TVA invalide",IF(COUNTIF(p_rates,K2137)=0,"Taux de TVA hors liste (Paramètres)",IF(N(O2137)&gt;25,"Au-delà de 25 lignes : non imprimée","OK")))))))))))))</f>
        <v/>
      </c>
      <c r="O2137" s="59" t="str">
        <f>IF(A2137="","",COUNTIF($A$6:A2137,A2137))</f>
        <v/>
      </c>
      <c r="P2137" s="62" t="str">
        <f>IF(A2137="","",A2137&amp;"|"&amp;O2137)</f>
        <v/>
      </c>
    </row>
    <row r="2138">
      <c r="A2138" s="60" t="n"/>
      <c r="B2138" s="63" t="n"/>
      <c r="C2138" s="63" t="n"/>
      <c r="D2138" s="67" t="n"/>
      <c r="E2138" s="68" t="n"/>
      <c r="F2138" s="69" t="n"/>
      <c r="G2138" s="70" t="n"/>
      <c r="H2138" s="62" t="str">
        <f>IF(COUNTA(A2138:G2138)=0,"",IF(C2138&lt;&gt;"",C2138,IF(B2138="","",IFERROR(INDEX(pr_des,MATCH(B2138,pr_code,0))&amp;"",""))))</f>
        <v/>
      </c>
      <c r="I2138" s="59" t="str">
        <f>IF(B2138="","",IFERROR(INDEX(pr_unit,MATCH(B2138,pr_code,0))&amp;"",""))</f>
        <v/>
      </c>
      <c r="J2138" s="65" t="str">
        <f>IF(COUNTA(A2138:G2138)=0,"",IF(E2138&lt;&gt;"",E2138,IF(B2138="","",IFERROR(IF(INDEX(pr_price,MATCH(B2138,pr_code,0))="","",INDEX(pr_price,MATCH(B2138,pr_code,0))),""))))</f>
        <v/>
      </c>
      <c r="K2138" s="71" t="str">
        <f>IF(COUNTA(A2138:G2138)=0,"",IF(G2138&lt;&gt;"",G2138,IF(B2138="","",IFERROR(IF(INDEX(pr_rate,MATCH(B2138,pr_code,0))="","",INDEX(pr_rate,MATCH(B2138,pr_code,0))),""))))</f>
        <v/>
      </c>
      <c r="L2138" s="65" t="str">
        <f>IF(COUNTA(A2138:G2138)=0,"",IF(AND(ISNUMBER(D2138),ISNUMBER(J2138)),ROUND(D2138*J2138*(1-N(F2138)),2),0))</f>
        <v/>
      </c>
      <c r="M2138" s="62" t="str">
        <f>IF(A2138="","",IFERROR(INDEX(fa_cname,MATCH(A2138,fa_num,0))&amp;"",""))</f>
        <v/>
      </c>
      <c r="N2138" s="59" t="str">
        <f>IF(COUNTA(A2138:G2138)=0,"",IF(A2138="","N° facture manquant",IF(ISNA(MATCH(A2138,fa_num,0)),"Facture inconnue",IF(AND(B2138&lt;&gt;"",ISNA(MATCH(B2138,pr_code,0))),"Article inconnu",IF(H2138="","Désignation manquante",IF(OR(NOT(ISNUMBER(D2138)),N(D2138)&lt;=0),"Quantité invalide",IF(J2138="","Prix manquant",IF(OR(NOT(ISNUMBER(J2138)),N(J2138)&lt;0),"Prix invalide",IF(OR(AND(F2138&lt;&gt;"",NOT(ISNUMBER(F2138))),N(F2138)&lt;0,N(F2138)&gt;1),"Remise invalide",IF(K2138="","Taux de TVA manquant",IF(NOT(ISNUMBER(K2138)),"Taux de TVA invalide",IF(COUNTIF(p_rates,K2138)=0,"Taux de TVA hors liste (Paramètres)",IF(N(O2138)&gt;25,"Au-delà de 25 lignes : non imprimée","OK")))))))))))))</f>
        <v/>
      </c>
      <c r="O2138" s="59" t="str">
        <f>IF(A2138="","",COUNTIF($A$6:A2138,A2138))</f>
        <v/>
      </c>
      <c r="P2138" s="62" t="str">
        <f>IF(A2138="","",A2138&amp;"|"&amp;O2138)</f>
        <v/>
      </c>
    </row>
    <row r="2139">
      <c r="A2139" s="60" t="n"/>
      <c r="B2139" s="63" t="n"/>
      <c r="C2139" s="63" t="n"/>
      <c r="D2139" s="67" t="n"/>
      <c r="E2139" s="68" t="n"/>
      <c r="F2139" s="69" t="n"/>
      <c r="G2139" s="70" t="n"/>
      <c r="H2139" s="62" t="str">
        <f>IF(COUNTA(A2139:G2139)=0,"",IF(C2139&lt;&gt;"",C2139,IF(B2139="","",IFERROR(INDEX(pr_des,MATCH(B2139,pr_code,0))&amp;"",""))))</f>
        <v/>
      </c>
      <c r="I2139" s="59" t="str">
        <f>IF(B2139="","",IFERROR(INDEX(pr_unit,MATCH(B2139,pr_code,0))&amp;"",""))</f>
        <v/>
      </c>
      <c r="J2139" s="65" t="str">
        <f>IF(COUNTA(A2139:G2139)=0,"",IF(E2139&lt;&gt;"",E2139,IF(B2139="","",IFERROR(IF(INDEX(pr_price,MATCH(B2139,pr_code,0))="","",INDEX(pr_price,MATCH(B2139,pr_code,0))),""))))</f>
        <v/>
      </c>
      <c r="K2139" s="71" t="str">
        <f>IF(COUNTA(A2139:G2139)=0,"",IF(G2139&lt;&gt;"",G2139,IF(B2139="","",IFERROR(IF(INDEX(pr_rate,MATCH(B2139,pr_code,0))="","",INDEX(pr_rate,MATCH(B2139,pr_code,0))),""))))</f>
        <v/>
      </c>
      <c r="L2139" s="65" t="str">
        <f>IF(COUNTA(A2139:G2139)=0,"",IF(AND(ISNUMBER(D2139),ISNUMBER(J2139)),ROUND(D2139*J2139*(1-N(F2139)),2),0))</f>
        <v/>
      </c>
      <c r="M2139" s="62" t="str">
        <f>IF(A2139="","",IFERROR(INDEX(fa_cname,MATCH(A2139,fa_num,0))&amp;"",""))</f>
        <v/>
      </c>
      <c r="N2139" s="59" t="str">
        <f>IF(COUNTA(A2139:G2139)=0,"",IF(A2139="","N° facture manquant",IF(ISNA(MATCH(A2139,fa_num,0)),"Facture inconnue",IF(AND(B2139&lt;&gt;"",ISNA(MATCH(B2139,pr_code,0))),"Article inconnu",IF(H2139="","Désignation manquante",IF(OR(NOT(ISNUMBER(D2139)),N(D2139)&lt;=0),"Quantité invalide",IF(J2139="","Prix manquant",IF(OR(NOT(ISNUMBER(J2139)),N(J2139)&lt;0),"Prix invalide",IF(OR(AND(F2139&lt;&gt;"",NOT(ISNUMBER(F2139))),N(F2139)&lt;0,N(F2139)&gt;1),"Remise invalide",IF(K2139="","Taux de TVA manquant",IF(NOT(ISNUMBER(K2139)),"Taux de TVA invalide",IF(COUNTIF(p_rates,K2139)=0,"Taux de TVA hors liste (Paramètres)",IF(N(O2139)&gt;25,"Au-delà de 25 lignes : non imprimée","OK")))))))))))))</f>
        <v/>
      </c>
      <c r="O2139" s="59" t="str">
        <f>IF(A2139="","",COUNTIF($A$6:A2139,A2139))</f>
        <v/>
      </c>
      <c r="P2139" s="62" t="str">
        <f>IF(A2139="","",A2139&amp;"|"&amp;O2139)</f>
        <v/>
      </c>
    </row>
    <row r="2140">
      <c r="A2140" s="60" t="n"/>
      <c r="B2140" s="63" t="n"/>
      <c r="C2140" s="63" t="n"/>
      <c r="D2140" s="67" t="n"/>
      <c r="E2140" s="68" t="n"/>
      <c r="F2140" s="69" t="n"/>
      <c r="G2140" s="70" t="n"/>
      <c r="H2140" s="62" t="str">
        <f>IF(COUNTA(A2140:G2140)=0,"",IF(C2140&lt;&gt;"",C2140,IF(B2140="","",IFERROR(INDEX(pr_des,MATCH(B2140,pr_code,0))&amp;"",""))))</f>
        <v/>
      </c>
      <c r="I2140" s="59" t="str">
        <f>IF(B2140="","",IFERROR(INDEX(pr_unit,MATCH(B2140,pr_code,0))&amp;"",""))</f>
        <v/>
      </c>
      <c r="J2140" s="65" t="str">
        <f>IF(COUNTA(A2140:G2140)=0,"",IF(E2140&lt;&gt;"",E2140,IF(B2140="","",IFERROR(IF(INDEX(pr_price,MATCH(B2140,pr_code,0))="","",INDEX(pr_price,MATCH(B2140,pr_code,0))),""))))</f>
        <v/>
      </c>
      <c r="K2140" s="71" t="str">
        <f>IF(COUNTA(A2140:G2140)=0,"",IF(G2140&lt;&gt;"",G2140,IF(B2140="","",IFERROR(IF(INDEX(pr_rate,MATCH(B2140,pr_code,0))="","",INDEX(pr_rate,MATCH(B2140,pr_code,0))),""))))</f>
        <v/>
      </c>
      <c r="L2140" s="65" t="str">
        <f>IF(COUNTA(A2140:G2140)=0,"",IF(AND(ISNUMBER(D2140),ISNUMBER(J2140)),ROUND(D2140*J2140*(1-N(F2140)),2),0))</f>
        <v/>
      </c>
      <c r="M2140" s="62" t="str">
        <f>IF(A2140="","",IFERROR(INDEX(fa_cname,MATCH(A2140,fa_num,0))&amp;"",""))</f>
        <v/>
      </c>
      <c r="N2140" s="59" t="str">
        <f>IF(COUNTA(A2140:G2140)=0,"",IF(A2140="","N° facture manquant",IF(ISNA(MATCH(A2140,fa_num,0)),"Facture inconnue",IF(AND(B2140&lt;&gt;"",ISNA(MATCH(B2140,pr_code,0))),"Article inconnu",IF(H2140="","Désignation manquante",IF(OR(NOT(ISNUMBER(D2140)),N(D2140)&lt;=0),"Quantité invalide",IF(J2140="","Prix manquant",IF(OR(NOT(ISNUMBER(J2140)),N(J2140)&lt;0),"Prix invalide",IF(OR(AND(F2140&lt;&gt;"",NOT(ISNUMBER(F2140))),N(F2140)&lt;0,N(F2140)&gt;1),"Remise invalide",IF(K2140="","Taux de TVA manquant",IF(NOT(ISNUMBER(K2140)),"Taux de TVA invalide",IF(COUNTIF(p_rates,K2140)=0,"Taux de TVA hors liste (Paramètres)",IF(N(O2140)&gt;25,"Au-delà de 25 lignes : non imprimée","OK")))))))))))))</f>
        <v/>
      </c>
      <c r="O2140" s="59" t="str">
        <f>IF(A2140="","",COUNTIF($A$6:A2140,A2140))</f>
        <v/>
      </c>
      <c r="P2140" s="62" t="str">
        <f>IF(A2140="","",A2140&amp;"|"&amp;O2140)</f>
        <v/>
      </c>
    </row>
    <row r="2141">
      <c r="A2141" s="60" t="n"/>
      <c r="B2141" s="63" t="n"/>
      <c r="C2141" s="63" t="n"/>
      <c r="D2141" s="67" t="n"/>
      <c r="E2141" s="68" t="n"/>
      <c r="F2141" s="69" t="n"/>
      <c r="G2141" s="70" t="n"/>
      <c r="H2141" s="62" t="str">
        <f>IF(COUNTA(A2141:G2141)=0,"",IF(C2141&lt;&gt;"",C2141,IF(B2141="","",IFERROR(INDEX(pr_des,MATCH(B2141,pr_code,0))&amp;"",""))))</f>
        <v/>
      </c>
      <c r="I2141" s="59" t="str">
        <f>IF(B2141="","",IFERROR(INDEX(pr_unit,MATCH(B2141,pr_code,0))&amp;"",""))</f>
        <v/>
      </c>
      <c r="J2141" s="65" t="str">
        <f>IF(COUNTA(A2141:G2141)=0,"",IF(E2141&lt;&gt;"",E2141,IF(B2141="","",IFERROR(IF(INDEX(pr_price,MATCH(B2141,pr_code,0))="","",INDEX(pr_price,MATCH(B2141,pr_code,0))),""))))</f>
        <v/>
      </c>
      <c r="K2141" s="71" t="str">
        <f>IF(COUNTA(A2141:G2141)=0,"",IF(G2141&lt;&gt;"",G2141,IF(B2141="","",IFERROR(IF(INDEX(pr_rate,MATCH(B2141,pr_code,0))="","",INDEX(pr_rate,MATCH(B2141,pr_code,0))),""))))</f>
        <v/>
      </c>
      <c r="L2141" s="65" t="str">
        <f>IF(COUNTA(A2141:G2141)=0,"",IF(AND(ISNUMBER(D2141),ISNUMBER(J2141)),ROUND(D2141*J2141*(1-N(F2141)),2),0))</f>
        <v/>
      </c>
      <c r="M2141" s="62" t="str">
        <f>IF(A2141="","",IFERROR(INDEX(fa_cname,MATCH(A2141,fa_num,0))&amp;"",""))</f>
        <v/>
      </c>
      <c r="N2141" s="59" t="str">
        <f>IF(COUNTA(A2141:G2141)=0,"",IF(A2141="","N° facture manquant",IF(ISNA(MATCH(A2141,fa_num,0)),"Facture inconnue",IF(AND(B2141&lt;&gt;"",ISNA(MATCH(B2141,pr_code,0))),"Article inconnu",IF(H2141="","Désignation manquante",IF(OR(NOT(ISNUMBER(D2141)),N(D2141)&lt;=0),"Quantité invalide",IF(J2141="","Prix manquant",IF(OR(NOT(ISNUMBER(J2141)),N(J2141)&lt;0),"Prix invalide",IF(OR(AND(F2141&lt;&gt;"",NOT(ISNUMBER(F2141))),N(F2141)&lt;0,N(F2141)&gt;1),"Remise invalide",IF(K2141="","Taux de TVA manquant",IF(NOT(ISNUMBER(K2141)),"Taux de TVA invalide",IF(COUNTIF(p_rates,K2141)=0,"Taux de TVA hors liste (Paramètres)",IF(N(O2141)&gt;25,"Au-delà de 25 lignes : non imprimée","OK")))))))))))))</f>
        <v/>
      </c>
      <c r="O2141" s="59" t="str">
        <f>IF(A2141="","",COUNTIF($A$6:A2141,A2141))</f>
        <v/>
      </c>
      <c r="P2141" s="62" t="str">
        <f>IF(A2141="","",A2141&amp;"|"&amp;O2141)</f>
        <v/>
      </c>
    </row>
    <row r="2142">
      <c r="A2142" s="60" t="n"/>
      <c r="B2142" s="63" t="n"/>
      <c r="C2142" s="63" t="n"/>
      <c r="D2142" s="67" t="n"/>
      <c r="E2142" s="68" t="n"/>
      <c r="F2142" s="69" t="n"/>
      <c r="G2142" s="70" t="n"/>
      <c r="H2142" s="62" t="str">
        <f>IF(COUNTA(A2142:G2142)=0,"",IF(C2142&lt;&gt;"",C2142,IF(B2142="","",IFERROR(INDEX(pr_des,MATCH(B2142,pr_code,0))&amp;"",""))))</f>
        <v/>
      </c>
      <c r="I2142" s="59" t="str">
        <f>IF(B2142="","",IFERROR(INDEX(pr_unit,MATCH(B2142,pr_code,0))&amp;"",""))</f>
        <v/>
      </c>
      <c r="J2142" s="65" t="str">
        <f>IF(COUNTA(A2142:G2142)=0,"",IF(E2142&lt;&gt;"",E2142,IF(B2142="","",IFERROR(IF(INDEX(pr_price,MATCH(B2142,pr_code,0))="","",INDEX(pr_price,MATCH(B2142,pr_code,0))),""))))</f>
        <v/>
      </c>
      <c r="K2142" s="71" t="str">
        <f>IF(COUNTA(A2142:G2142)=0,"",IF(G2142&lt;&gt;"",G2142,IF(B2142="","",IFERROR(IF(INDEX(pr_rate,MATCH(B2142,pr_code,0))="","",INDEX(pr_rate,MATCH(B2142,pr_code,0))),""))))</f>
        <v/>
      </c>
      <c r="L2142" s="65" t="str">
        <f>IF(COUNTA(A2142:G2142)=0,"",IF(AND(ISNUMBER(D2142),ISNUMBER(J2142)),ROUND(D2142*J2142*(1-N(F2142)),2),0))</f>
        <v/>
      </c>
      <c r="M2142" s="62" t="str">
        <f>IF(A2142="","",IFERROR(INDEX(fa_cname,MATCH(A2142,fa_num,0))&amp;"",""))</f>
        <v/>
      </c>
      <c r="N2142" s="59" t="str">
        <f>IF(COUNTA(A2142:G2142)=0,"",IF(A2142="","N° facture manquant",IF(ISNA(MATCH(A2142,fa_num,0)),"Facture inconnue",IF(AND(B2142&lt;&gt;"",ISNA(MATCH(B2142,pr_code,0))),"Article inconnu",IF(H2142="","Désignation manquante",IF(OR(NOT(ISNUMBER(D2142)),N(D2142)&lt;=0),"Quantité invalide",IF(J2142="","Prix manquant",IF(OR(NOT(ISNUMBER(J2142)),N(J2142)&lt;0),"Prix invalide",IF(OR(AND(F2142&lt;&gt;"",NOT(ISNUMBER(F2142))),N(F2142)&lt;0,N(F2142)&gt;1),"Remise invalide",IF(K2142="","Taux de TVA manquant",IF(NOT(ISNUMBER(K2142)),"Taux de TVA invalide",IF(COUNTIF(p_rates,K2142)=0,"Taux de TVA hors liste (Paramètres)",IF(N(O2142)&gt;25,"Au-delà de 25 lignes : non imprimée","OK")))))))))))))</f>
        <v/>
      </c>
      <c r="O2142" s="59" t="str">
        <f>IF(A2142="","",COUNTIF($A$6:A2142,A2142))</f>
        <v/>
      </c>
      <c r="P2142" s="62" t="str">
        <f>IF(A2142="","",A2142&amp;"|"&amp;O2142)</f>
        <v/>
      </c>
    </row>
    <row r="2143">
      <c r="A2143" s="60" t="n"/>
      <c r="B2143" s="63" t="n"/>
      <c r="C2143" s="63" t="n"/>
      <c r="D2143" s="67" t="n"/>
      <c r="E2143" s="68" t="n"/>
      <c r="F2143" s="69" t="n"/>
      <c r="G2143" s="70" t="n"/>
      <c r="H2143" s="62" t="str">
        <f>IF(COUNTA(A2143:G2143)=0,"",IF(C2143&lt;&gt;"",C2143,IF(B2143="","",IFERROR(INDEX(pr_des,MATCH(B2143,pr_code,0))&amp;"",""))))</f>
        <v/>
      </c>
      <c r="I2143" s="59" t="str">
        <f>IF(B2143="","",IFERROR(INDEX(pr_unit,MATCH(B2143,pr_code,0))&amp;"",""))</f>
        <v/>
      </c>
      <c r="J2143" s="65" t="str">
        <f>IF(COUNTA(A2143:G2143)=0,"",IF(E2143&lt;&gt;"",E2143,IF(B2143="","",IFERROR(IF(INDEX(pr_price,MATCH(B2143,pr_code,0))="","",INDEX(pr_price,MATCH(B2143,pr_code,0))),""))))</f>
        <v/>
      </c>
      <c r="K2143" s="71" t="str">
        <f>IF(COUNTA(A2143:G2143)=0,"",IF(G2143&lt;&gt;"",G2143,IF(B2143="","",IFERROR(IF(INDEX(pr_rate,MATCH(B2143,pr_code,0))="","",INDEX(pr_rate,MATCH(B2143,pr_code,0))),""))))</f>
        <v/>
      </c>
      <c r="L2143" s="65" t="str">
        <f>IF(COUNTA(A2143:G2143)=0,"",IF(AND(ISNUMBER(D2143),ISNUMBER(J2143)),ROUND(D2143*J2143*(1-N(F2143)),2),0))</f>
        <v/>
      </c>
      <c r="M2143" s="62" t="str">
        <f>IF(A2143="","",IFERROR(INDEX(fa_cname,MATCH(A2143,fa_num,0))&amp;"",""))</f>
        <v/>
      </c>
      <c r="N2143" s="59" t="str">
        <f>IF(COUNTA(A2143:G2143)=0,"",IF(A2143="","N° facture manquant",IF(ISNA(MATCH(A2143,fa_num,0)),"Facture inconnue",IF(AND(B2143&lt;&gt;"",ISNA(MATCH(B2143,pr_code,0))),"Article inconnu",IF(H2143="","Désignation manquante",IF(OR(NOT(ISNUMBER(D2143)),N(D2143)&lt;=0),"Quantité invalide",IF(J2143="","Prix manquant",IF(OR(NOT(ISNUMBER(J2143)),N(J2143)&lt;0),"Prix invalide",IF(OR(AND(F2143&lt;&gt;"",NOT(ISNUMBER(F2143))),N(F2143)&lt;0,N(F2143)&gt;1),"Remise invalide",IF(K2143="","Taux de TVA manquant",IF(NOT(ISNUMBER(K2143)),"Taux de TVA invalide",IF(COUNTIF(p_rates,K2143)=0,"Taux de TVA hors liste (Paramètres)",IF(N(O2143)&gt;25,"Au-delà de 25 lignes : non imprimée","OK")))))))))))))</f>
        <v/>
      </c>
      <c r="O2143" s="59" t="str">
        <f>IF(A2143="","",COUNTIF($A$6:A2143,A2143))</f>
        <v/>
      </c>
      <c r="P2143" s="62" t="str">
        <f>IF(A2143="","",A2143&amp;"|"&amp;O2143)</f>
        <v/>
      </c>
    </row>
    <row r="2144">
      <c r="A2144" s="60" t="n"/>
      <c r="B2144" s="63" t="n"/>
      <c r="C2144" s="63" t="n"/>
      <c r="D2144" s="67" t="n"/>
      <c r="E2144" s="68" t="n"/>
      <c r="F2144" s="69" t="n"/>
      <c r="G2144" s="70" t="n"/>
      <c r="H2144" s="62" t="str">
        <f>IF(COUNTA(A2144:G2144)=0,"",IF(C2144&lt;&gt;"",C2144,IF(B2144="","",IFERROR(INDEX(pr_des,MATCH(B2144,pr_code,0))&amp;"",""))))</f>
        <v/>
      </c>
      <c r="I2144" s="59" t="str">
        <f>IF(B2144="","",IFERROR(INDEX(pr_unit,MATCH(B2144,pr_code,0))&amp;"",""))</f>
        <v/>
      </c>
      <c r="J2144" s="65" t="str">
        <f>IF(COUNTA(A2144:G2144)=0,"",IF(E2144&lt;&gt;"",E2144,IF(B2144="","",IFERROR(IF(INDEX(pr_price,MATCH(B2144,pr_code,0))="","",INDEX(pr_price,MATCH(B2144,pr_code,0))),""))))</f>
        <v/>
      </c>
      <c r="K2144" s="71" t="str">
        <f>IF(COUNTA(A2144:G2144)=0,"",IF(G2144&lt;&gt;"",G2144,IF(B2144="","",IFERROR(IF(INDEX(pr_rate,MATCH(B2144,pr_code,0))="","",INDEX(pr_rate,MATCH(B2144,pr_code,0))),""))))</f>
        <v/>
      </c>
      <c r="L2144" s="65" t="str">
        <f>IF(COUNTA(A2144:G2144)=0,"",IF(AND(ISNUMBER(D2144),ISNUMBER(J2144)),ROUND(D2144*J2144*(1-N(F2144)),2),0))</f>
        <v/>
      </c>
      <c r="M2144" s="62" t="str">
        <f>IF(A2144="","",IFERROR(INDEX(fa_cname,MATCH(A2144,fa_num,0))&amp;"",""))</f>
        <v/>
      </c>
      <c r="N2144" s="59" t="str">
        <f>IF(COUNTA(A2144:G2144)=0,"",IF(A2144="","N° facture manquant",IF(ISNA(MATCH(A2144,fa_num,0)),"Facture inconnue",IF(AND(B2144&lt;&gt;"",ISNA(MATCH(B2144,pr_code,0))),"Article inconnu",IF(H2144="","Désignation manquante",IF(OR(NOT(ISNUMBER(D2144)),N(D2144)&lt;=0),"Quantité invalide",IF(J2144="","Prix manquant",IF(OR(NOT(ISNUMBER(J2144)),N(J2144)&lt;0),"Prix invalide",IF(OR(AND(F2144&lt;&gt;"",NOT(ISNUMBER(F2144))),N(F2144)&lt;0,N(F2144)&gt;1),"Remise invalide",IF(K2144="","Taux de TVA manquant",IF(NOT(ISNUMBER(K2144)),"Taux de TVA invalide",IF(COUNTIF(p_rates,K2144)=0,"Taux de TVA hors liste (Paramètres)",IF(N(O2144)&gt;25,"Au-delà de 25 lignes : non imprimée","OK")))))))))))))</f>
        <v/>
      </c>
      <c r="O2144" s="59" t="str">
        <f>IF(A2144="","",COUNTIF($A$6:A2144,A2144))</f>
        <v/>
      </c>
      <c r="P2144" s="62" t="str">
        <f>IF(A2144="","",A2144&amp;"|"&amp;O2144)</f>
        <v/>
      </c>
    </row>
    <row r="2145">
      <c r="A2145" s="60" t="n"/>
      <c r="B2145" s="63" t="n"/>
      <c r="C2145" s="63" t="n"/>
      <c r="D2145" s="67" t="n"/>
      <c r="E2145" s="68" t="n"/>
      <c r="F2145" s="69" t="n"/>
      <c r="G2145" s="70" t="n"/>
      <c r="H2145" s="62" t="str">
        <f>IF(COUNTA(A2145:G2145)=0,"",IF(C2145&lt;&gt;"",C2145,IF(B2145="","",IFERROR(INDEX(pr_des,MATCH(B2145,pr_code,0))&amp;"",""))))</f>
        <v/>
      </c>
      <c r="I2145" s="59" t="str">
        <f>IF(B2145="","",IFERROR(INDEX(pr_unit,MATCH(B2145,pr_code,0))&amp;"",""))</f>
        <v/>
      </c>
      <c r="J2145" s="65" t="str">
        <f>IF(COUNTA(A2145:G2145)=0,"",IF(E2145&lt;&gt;"",E2145,IF(B2145="","",IFERROR(IF(INDEX(pr_price,MATCH(B2145,pr_code,0))="","",INDEX(pr_price,MATCH(B2145,pr_code,0))),""))))</f>
        <v/>
      </c>
      <c r="K2145" s="71" t="str">
        <f>IF(COUNTA(A2145:G2145)=0,"",IF(G2145&lt;&gt;"",G2145,IF(B2145="","",IFERROR(IF(INDEX(pr_rate,MATCH(B2145,pr_code,0))="","",INDEX(pr_rate,MATCH(B2145,pr_code,0))),""))))</f>
        <v/>
      </c>
      <c r="L2145" s="65" t="str">
        <f>IF(COUNTA(A2145:G2145)=0,"",IF(AND(ISNUMBER(D2145),ISNUMBER(J2145)),ROUND(D2145*J2145*(1-N(F2145)),2),0))</f>
        <v/>
      </c>
      <c r="M2145" s="62" t="str">
        <f>IF(A2145="","",IFERROR(INDEX(fa_cname,MATCH(A2145,fa_num,0))&amp;"",""))</f>
        <v/>
      </c>
      <c r="N2145" s="59" t="str">
        <f>IF(COUNTA(A2145:G2145)=0,"",IF(A2145="","N° facture manquant",IF(ISNA(MATCH(A2145,fa_num,0)),"Facture inconnue",IF(AND(B2145&lt;&gt;"",ISNA(MATCH(B2145,pr_code,0))),"Article inconnu",IF(H2145="","Désignation manquante",IF(OR(NOT(ISNUMBER(D2145)),N(D2145)&lt;=0),"Quantité invalide",IF(J2145="","Prix manquant",IF(OR(NOT(ISNUMBER(J2145)),N(J2145)&lt;0),"Prix invalide",IF(OR(AND(F2145&lt;&gt;"",NOT(ISNUMBER(F2145))),N(F2145)&lt;0,N(F2145)&gt;1),"Remise invalide",IF(K2145="","Taux de TVA manquant",IF(NOT(ISNUMBER(K2145)),"Taux de TVA invalide",IF(COUNTIF(p_rates,K2145)=0,"Taux de TVA hors liste (Paramètres)",IF(N(O2145)&gt;25,"Au-delà de 25 lignes : non imprimée","OK")))))))))))))</f>
        <v/>
      </c>
      <c r="O2145" s="59" t="str">
        <f>IF(A2145="","",COUNTIF($A$6:A2145,A2145))</f>
        <v/>
      </c>
      <c r="P2145" s="62" t="str">
        <f>IF(A2145="","",A2145&amp;"|"&amp;O2145)</f>
        <v/>
      </c>
    </row>
    <row r="2146">
      <c r="A2146" s="60" t="n"/>
      <c r="B2146" s="63" t="n"/>
      <c r="C2146" s="63" t="n"/>
      <c r="D2146" s="67" t="n"/>
      <c r="E2146" s="68" t="n"/>
      <c r="F2146" s="69" t="n"/>
      <c r="G2146" s="70" t="n"/>
      <c r="H2146" s="62" t="str">
        <f>IF(COUNTA(A2146:G2146)=0,"",IF(C2146&lt;&gt;"",C2146,IF(B2146="","",IFERROR(INDEX(pr_des,MATCH(B2146,pr_code,0))&amp;"",""))))</f>
        <v/>
      </c>
      <c r="I2146" s="59" t="str">
        <f>IF(B2146="","",IFERROR(INDEX(pr_unit,MATCH(B2146,pr_code,0))&amp;"",""))</f>
        <v/>
      </c>
      <c r="J2146" s="65" t="str">
        <f>IF(COUNTA(A2146:G2146)=0,"",IF(E2146&lt;&gt;"",E2146,IF(B2146="","",IFERROR(IF(INDEX(pr_price,MATCH(B2146,pr_code,0))="","",INDEX(pr_price,MATCH(B2146,pr_code,0))),""))))</f>
        <v/>
      </c>
      <c r="K2146" s="71" t="str">
        <f>IF(COUNTA(A2146:G2146)=0,"",IF(G2146&lt;&gt;"",G2146,IF(B2146="","",IFERROR(IF(INDEX(pr_rate,MATCH(B2146,pr_code,0))="","",INDEX(pr_rate,MATCH(B2146,pr_code,0))),""))))</f>
        <v/>
      </c>
      <c r="L2146" s="65" t="str">
        <f>IF(COUNTA(A2146:G2146)=0,"",IF(AND(ISNUMBER(D2146),ISNUMBER(J2146)),ROUND(D2146*J2146*(1-N(F2146)),2),0))</f>
        <v/>
      </c>
      <c r="M2146" s="62" t="str">
        <f>IF(A2146="","",IFERROR(INDEX(fa_cname,MATCH(A2146,fa_num,0))&amp;"",""))</f>
        <v/>
      </c>
      <c r="N2146" s="59" t="str">
        <f>IF(COUNTA(A2146:G2146)=0,"",IF(A2146="","N° facture manquant",IF(ISNA(MATCH(A2146,fa_num,0)),"Facture inconnue",IF(AND(B2146&lt;&gt;"",ISNA(MATCH(B2146,pr_code,0))),"Article inconnu",IF(H2146="","Désignation manquante",IF(OR(NOT(ISNUMBER(D2146)),N(D2146)&lt;=0),"Quantité invalide",IF(J2146="","Prix manquant",IF(OR(NOT(ISNUMBER(J2146)),N(J2146)&lt;0),"Prix invalide",IF(OR(AND(F2146&lt;&gt;"",NOT(ISNUMBER(F2146))),N(F2146)&lt;0,N(F2146)&gt;1),"Remise invalide",IF(K2146="","Taux de TVA manquant",IF(NOT(ISNUMBER(K2146)),"Taux de TVA invalide",IF(COUNTIF(p_rates,K2146)=0,"Taux de TVA hors liste (Paramètres)",IF(N(O2146)&gt;25,"Au-delà de 25 lignes : non imprimée","OK")))))))))))))</f>
        <v/>
      </c>
      <c r="O2146" s="59" t="str">
        <f>IF(A2146="","",COUNTIF($A$6:A2146,A2146))</f>
        <v/>
      </c>
      <c r="P2146" s="62" t="str">
        <f>IF(A2146="","",A2146&amp;"|"&amp;O2146)</f>
        <v/>
      </c>
    </row>
    <row r="2147">
      <c r="A2147" s="60" t="n"/>
      <c r="B2147" s="63" t="n"/>
      <c r="C2147" s="63" t="n"/>
      <c r="D2147" s="67" t="n"/>
      <c r="E2147" s="68" t="n"/>
      <c r="F2147" s="69" t="n"/>
      <c r="G2147" s="70" t="n"/>
      <c r="H2147" s="62" t="str">
        <f>IF(COUNTA(A2147:G2147)=0,"",IF(C2147&lt;&gt;"",C2147,IF(B2147="","",IFERROR(INDEX(pr_des,MATCH(B2147,pr_code,0))&amp;"",""))))</f>
        <v/>
      </c>
      <c r="I2147" s="59" t="str">
        <f>IF(B2147="","",IFERROR(INDEX(pr_unit,MATCH(B2147,pr_code,0))&amp;"",""))</f>
        <v/>
      </c>
      <c r="J2147" s="65" t="str">
        <f>IF(COUNTA(A2147:G2147)=0,"",IF(E2147&lt;&gt;"",E2147,IF(B2147="","",IFERROR(IF(INDEX(pr_price,MATCH(B2147,pr_code,0))="","",INDEX(pr_price,MATCH(B2147,pr_code,0))),""))))</f>
        <v/>
      </c>
      <c r="K2147" s="71" t="str">
        <f>IF(COUNTA(A2147:G2147)=0,"",IF(G2147&lt;&gt;"",G2147,IF(B2147="","",IFERROR(IF(INDEX(pr_rate,MATCH(B2147,pr_code,0))="","",INDEX(pr_rate,MATCH(B2147,pr_code,0))),""))))</f>
        <v/>
      </c>
      <c r="L2147" s="65" t="str">
        <f>IF(COUNTA(A2147:G2147)=0,"",IF(AND(ISNUMBER(D2147),ISNUMBER(J2147)),ROUND(D2147*J2147*(1-N(F2147)),2),0))</f>
        <v/>
      </c>
      <c r="M2147" s="62" t="str">
        <f>IF(A2147="","",IFERROR(INDEX(fa_cname,MATCH(A2147,fa_num,0))&amp;"",""))</f>
        <v/>
      </c>
      <c r="N2147" s="59" t="str">
        <f>IF(COUNTA(A2147:G2147)=0,"",IF(A2147="","N° facture manquant",IF(ISNA(MATCH(A2147,fa_num,0)),"Facture inconnue",IF(AND(B2147&lt;&gt;"",ISNA(MATCH(B2147,pr_code,0))),"Article inconnu",IF(H2147="","Désignation manquante",IF(OR(NOT(ISNUMBER(D2147)),N(D2147)&lt;=0),"Quantité invalide",IF(J2147="","Prix manquant",IF(OR(NOT(ISNUMBER(J2147)),N(J2147)&lt;0),"Prix invalide",IF(OR(AND(F2147&lt;&gt;"",NOT(ISNUMBER(F2147))),N(F2147)&lt;0,N(F2147)&gt;1),"Remise invalide",IF(K2147="","Taux de TVA manquant",IF(NOT(ISNUMBER(K2147)),"Taux de TVA invalide",IF(COUNTIF(p_rates,K2147)=0,"Taux de TVA hors liste (Paramètres)",IF(N(O2147)&gt;25,"Au-delà de 25 lignes : non imprimée","OK")))))))))))))</f>
        <v/>
      </c>
      <c r="O2147" s="59" t="str">
        <f>IF(A2147="","",COUNTIF($A$6:A2147,A2147))</f>
        <v/>
      </c>
      <c r="P2147" s="62" t="str">
        <f>IF(A2147="","",A2147&amp;"|"&amp;O2147)</f>
        <v/>
      </c>
    </row>
    <row r="2148">
      <c r="A2148" s="60" t="n"/>
      <c r="B2148" s="63" t="n"/>
      <c r="C2148" s="63" t="n"/>
      <c r="D2148" s="67" t="n"/>
      <c r="E2148" s="68" t="n"/>
      <c r="F2148" s="69" t="n"/>
      <c r="G2148" s="70" t="n"/>
      <c r="H2148" s="62" t="str">
        <f>IF(COUNTA(A2148:G2148)=0,"",IF(C2148&lt;&gt;"",C2148,IF(B2148="","",IFERROR(INDEX(pr_des,MATCH(B2148,pr_code,0))&amp;"",""))))</f>
        <v/>
      </c>
      <c r="I2148" s="59" t="str">
        <f>IF(B2148="","",IFERROR(INDEX(pr_unit,MATCH(B2148,pr_code,0))&amp;"",""))</f>
        <v/>
      </c>
      <c r="J2148" s="65" t="str">
        <f>IF(COUNTA(A2148:G2148)=0,"",IF(E2148&lt;&gt;"",E2148,IF(B2148="","",IFERROR(IF(INDEX(pr_price,MATCH(B2148,pr_code,0))="","",INDEX(pr_price,MATCH(B2148,pr_code,0))),""))))</f>
        <v/>
      </c>
      <c r="K2148" s="71" t="str">
        <f>IF(COUNTA(A2148:G2148)=0,"",IF(G2148&lt;&gt;"",G2148,IF(B2148="","",IFERROR(IF(INDEX(pr_rate,MATCH(B2148,pr_code,0))="","",INDEX(pr_rate,MATCH(B2148,pr_code,0))),""))))</f>
        <v/>
      </c>
      <c r="L2148" s="65" t="str">
        <f>IF(COUNTA(A2148:G2148)=0,"",IF(AND(ISNUMBER(D2148),ISNUMBER(J2148)),ROUND(D2148*J2148*(1-N(F2148)),2),0))</f>
        <v/>
      </c>
      <c r="M2148" s="62" t="str">
        <f>IF(A2148="","",IFERROR(INDEX(fa_cname,MATCH(A2148,fa_num,0))&amp;"",""))</f>
        <v/>
      </c>
      <c r="N2148" s="59" t="str">
        <f>IF(COUNTA(A2148:G2148)=0,"",IF(A2148="","N° facture manquant",IF(ISNA(MATCH(A2148,fa_num,0)),"Facture inconnue",IF(AND(B2148&lt;&gt;"",ISNA(MATCH(B2148,pr_code,0))),"Article inconnu",IF(H2148="","Désignation manquante",IF(OR(NOT(ISNUMBER(D2148)),N(D2148)&lt;=0),"Quantité invalide",IF(J2148="","Prix manquant",IF(OR(NOT(ISNUMBER(J2148)),N(J2148)&lt;0),"Prix invalide",IF(OR(AND(F2148&lt;&gt;"",NOT(ISNUMBER(F2148))),N(F2148)&lt;0,N(F2148)&gt;1),"Remise invalide",IF(K2148="","Taux de TVA manquant",IF(NOT(ISNUMBER(K2148)),"Taux de TVA invalide",IF(COUNTIF(p_rates,K2148)=0,"Taux de TVA hors liste (Paramètres)",IF(N(O2148)&gt;25,"Au-delà de 25 lignes : non imprimée","OK")))))))))))))</f>
        <v/>
      </c>
      <c r="O2148" s="59" t="str">
        <f>IF(A2148="","",COUNTIF($A$6:A2148,A2148))</f>
        <v/>
      </c>
      <c r="P2148" s="62" t="str">
        <f>IF(A2148="","",A2148&amp;"|"&amp;O2148)</f>
        <v/>
      </c>
    </row>
    <row r="2149">
      <c r="A2149" s="60" t="n"/>
      <c r="B2149" s="63" t="n"/>
      <c r="C2149" s="63" t="n"/>
      <c r="D2149" s="67" t="n"/>
      <c r="E2149" s="68" t="n"/>
      <c r="F2149" s="69" t="n"/>
      <c r="G2149" s="70" t="n"/>
      <c r="H2149" s="62" t="str">
        <f>IF(COUNTA(A2149:G2149)=0,"",IF(C2149&lt;&gt;"",C2149,IF(B2149="","",IFERROR(INDEX(pr_des,MATCH(B2149,pr_code,0))&amp;"",""))))</f>
        <v/>
      </c>
      <c r="I2149" s="59" t="str">
        <f>IF(B2149="","",IFERROR(INDEX(pr_unit,MATCH(B2149,pr_code,0))&amp;"",""))</f>
        <v/>
      </c>
      <c r="J2149" s="65" t="str">
        <f>IF(COUNTA(A2149:G2149)=0,"",IF(E2149&lt;&gt;"",E2149,IF(B2149="","",IFERROR(IF(INDEX(pr_price,MATCH(B2149,pr_code,0))="","",INDEX(pr_price,MATCH(B2149,pr_code,0))),""))))</f>
        <v/>
      </c>
      <c r="K2149" s="71" t="str">
        <f>IF(COUNTA(A2149:G2149)=0,"",IF(G2149&lt;&gt;"",G2149,IF(B2149="","",IFERROR(IF(INDEX(pr_rate,MATCH(B2149,pr_code,0))="","",INDEX(pr_rate,MATCH(B2149,pr_code,0))),""))))</f>
        <v/>
      </c>
      <c r="L2149" s="65" t="str">
        <f>IF(COUNTA(A2149:G2149)=0,"",IF(AND(ISNUMBER(D2149),ISNUMBER(J2149)),ROUND(D2149*J2149*(1-N(F2149)),2),0))</f>
        <v/>
      </c>
      <c r="M2149" s="62" t="str">
        <f>IF(A2149="","",IFERROR(INDEX(fa_cname,MATCH(A2149,fa_num,0))&amp;"",""))</f>
        <v/>
      </c>
      <c r="N2149" s="59" t="str">
        <f>IF(COUNTA(A2149:G2149)=0,"",IF(A2149="","N° facture manquant",IF(ISNA(MATCH(A2149,fa_num,0)),"Facture inconnue",IF(AND(B2149&lt;&gt;"",ISNA(MATCH(B2149,pr_code,0))),"Article inconnu",IF(H2149="","Désignation manquante",IF(OR(NOT(ISNUMBER(D2149)),N(D2149)&lt;=0),"Quantité invalide",IF(J2149="","Prix manquant",IF(OR(NOT(ISNUMBER(J2149)),N(J2149)&lt;0),"Prix invalide",IF(OR(AND(F2149&lt;&gt;"",NOT(ISNUMBER(F2149))),N(F2149)&lt;0,N(F2149)&gt;1),"Remise invalide",IF(K2149="","Taux de TVA manquant",IF(NOT(ISNUMBER(K2149)),"Taux de TVA invalide",IF(COUNTIF(p_rates,K2149)=0,"Taux de TVA hors liste (Paramètres)",IF(N(O2149)&gt;25,"Au-delà de 25 lignes : non imprimée","OK")))))))))))))</f>
        <v/>
      </c>
      <c r="O2149" s="59" t="str">
        <f>IF(A2149="","",COUNTIF($A$6:A2149,A2149))</f>
        <v/>
      </c>
      <c r="P2149" s="62" t="str">
        <f>IF(A2149="","",A2149&amp;"|"&amp;O2149)</f>
        <v/>
      </c>
    </row>
    <row r="2150">
      <c r="A2150" s="60" t="n"/>
      <c r="B2150" s="63" t="n"/>
      <c r="C2150" s="63" t="n"/>
      <c r="D2150" s="67" t="n"/>
      <c r="E2150" s="68" t="n"/>
      <c r="F2150" s="69" t="n"/>
      <c r="G2150" s="70" t="n"/>
      <c r="H2150" s="62" t="str">
        <f>IF(COUNTA(A2150:G2150)=0,"",IF(C2150&lt;&gt;"",C2150,IF(B2150="","",IFERROR(INDEX(pr_des,MATCH(B2150,pr_code,0))&amp;"",""))))</f>
        <v/>
      </c>
      <c r="I2150" s="59" t="str">
        <f>IF(B2150="","",IFERROR(INDEX(pr_unit,MATCH(B2150,pr_code,0))&amp;"",""))</f>
        <v/>
      </c>
      <c r="J2150" s="65" t="str">
        <f>IF(COUNTA(A2150:G2150)=0,"",IF(E2150&lt;&gt;"",E2150,IF(B2150="","",IFERROR(IF(INDEX(pr_price,MATCH(B2150,pr_code,0))="","",INDEX(pr_price,MATCH(B2150,pr_code,0))),""))))</f>
        <v/>
      </c>
      <c r="K2150" s="71" t="str">
        <f>IF(COUNTA(A2150:G2150)=0,"",IF(G2150&lt;&gt;"",G2150,IF(B2150="","",IFERROR(IF(INDEX(pr_rate,MATCH(B2150,pr_code,0))="","",INDEX(pr_rate,MATCH(B2150,pr_code,0))),""))))</f>
        <v/>
      </c>
      <c r="L2150" s="65" t="str">
        <f>IF(COUNTA(A2150:G2150)=0,"",IF(AND(ISNUMBER(D2150),ISNUMBER(J2150)),ROUND(D2150*J2150*(1-N(F2150)),2),0))</f>
        <v/>
      </c>
      <c r="M2150" s="62" t="str">
        <f>IF(A2150="","",IFERROR(INDEX(fa_cname,MATCH(A2150,fa_num,0))&amp;"",""))</f>
        <v/>
      </c>
      <c r="N2150" s="59" t="str">
        <f>IF(COUNTA(A2150:G2150)=0,"",IF(A2150="","N° facture manquant",IF(ISNA(MATCH(A2150,fa_num,0)),"Facture inconnue",IF(AND(B2150&lt;&gt;"",ISNA(MATCH(B2150,pr_code,0))),"Article inconnu",IF(H2150="","Désignation manquante",IF(OR(NOT(ISNUMBER(D2150)),N(D2150)&lt;=0),"Quantité invalide",IF(J2150="","Prix manquant",IF(OR(NOT(ISNUMBER(J2150)),N(J2150)&lt;0),"Prix invalide",IF(OR(AND(F2150&lt;&gt;"",NOT(ISNUMBER(F2150))),N(F2150)&lt;0,N(F2150)&gt;1),"Remise invalide",IF(K2150="","Taux de TVA manquant",IF(NOT(ISNUMBER(K2150)),"Taux de TVA invalide",IF(COUNTIF(p_rates,K2150)=0,"Taux de TVA hors liste (Paramètres)",IF(N(O2150)&gt;25,"Au-delà de 25 lignes : non imprimée","OK")))))))))))))</f>
        <v/>
      </c>
      <c r="O2150" s="59" t="str">
        <f>IF(A2150="","",COUNTIF($A$6:A2150,A2150))</f>
        <v/>
      </c>
      <c r="P2150" s="62" t="str">
        <f>IF(A2150="","",A2150&amp;"|"&amp;O2150)</f>
        <v/>
      </c>
    </row>
    <row r="2151">
      <c r="A2151" s="60" t="n"/>
      <c r="B2151" s="63" t="n"/>
      <c r="C2151" s="63" t="n"/>
      <c r="D2151" s="67" t="n"/>
      <c r="E2151" s="68" t="n"/>
      <c r="F2151" s="69" t="n"/>
      <c r="G2151" s="70" t="n"/>
      <c r="H2151" s="62" t="str">
        <f>IF(COUNTA(A2151:G2151)=0,"",IF(C2151&lt;&gt;"",C2151,IF(B2151="","",IFERROR(INDEX(pr_des,MATCH(B2151,pr_code,0))&amp;"",""))))</f>
        <v/>
      </c>
      <c r="I2151" s="59" t="str">
        <f>IF(B2151="","",IFERROR(INDEX(pr_unit,MATCH(B2151,pr_code,0))&amp;"",""))</f>
        <v/>
      </c>
      <c r="J2151" s="65" t="str">
        <f>IF(COUNTA(A2151:G2151)=0,"",IF(E2151&lt;&gt;"",E2151,IF(B2151="","",IFERROR(IF(INDEX(pr_price,MATCH(B2151,pr_code,0))="","",INDEX(pr_price,MATCH(B2151,pr_code,0))),""))))</f>
        <v/>
      </c>
      <c r="K2151" s="71" t="str">
        <f>IF(COUNTA(A2151:G2151)=0,"",IF(G2151&lt;&gt;"",G2151,IF(B2151="","",IFERROR(IF(INDEX(pr_rate,MATCH(B2151,pr_code,0))="","",INDEX(pr_rate,MATCH(B2151,pr_code,0))),""))))</f>
        <v/>
      </c>
      <c r="L2151" s="65" t="str">
        <f>IF(COUNTA(A2151:G2151)=0,"",IF(AND(ISNUMBER(D2151),ISNUMBER(J2151)),ROUND(D2151*J2151*(1-N(F2151)),2),0))</f>
        <v/>
      </c>
      <c r="M2151" s="62" t="str">
        <f>IF(A2151="","",IFERROR(INDEX(fa_cname,MATCH(A2151,fa_num,0))&amp;"",""))</f>
        <v/>
      </c>
      <c r="N2151" s="59" t="str">
        <f>IF(COUNTA(A2151:G2151)=0,"",IF(A2151="","N° facture manquant",IF(ISNA(MATCH(A2151,fa_num,0)),"Facture inconnue",IF(AND(B2151&lt;&gt;"",ISNA(MATCH(B2151,pr_code,0))),"Article inconnu",IF(H2151="","Désignation manquante",IF(OR(NOT(ISNUMBER(D2151)),N(D2151)&lt;=0),"Quantité invalide",IF(J2151="","Prix manquant",IF(OR(NOT(ISNUMBER(J2151)),N(J2151)&lt;0),"Prix invalide",IF(OR(AND(F2151&lt;&gt;"",NOT(ISNUMBER(F2151))),N(F2151)&lt;0,N(F2151)&gt;1),"Remise invalide",IF(K2151="","Taux de TVA manquant",IF(NOT(ISNUMBER(K2151)),"Taux de TVA invalide",IF(COUNTIF(p_rates,K2151)=0,"Taux de TVA hors liste (Paramètres)",IF(N(O2151)&gt;25,"Au-delà de 25 lignes : non imprimée","OK")))))))))))))</f>
        <v/>
      </c>
      <c r="O2151" s="59" t="str">
        <f>IF(A2151="","",COUNTIF($A$6:A2151,A2151))</f>
        <v/>
      </c>
      <c r="P2151" s="62" t="str">
        <f>IF(A2151="","",A2151&amp;"|"&amp;O2151)</f>
        <v/>
      </c>
    </row>
    <row r="2152">
      <c r="A2152" s="60" t="n"/>
      <c r="B2152" s="63" t="n"/>
      <c r="C2152" s="63" t="n"/>
      <c r="D2152" s="67" t="n"/>
      <c r="E2152" s="68" t="n"/>
      <c r="F2152" s="69" t="n"/>
      <c r="G2152" s="70" t="n"/>
      <c r="H2152" s="62" t="str">
        <f>IF(COUNTA(A2152:G2152)=0,"",IF(C2152&lt;&gt;"",C2152,IF(B2152="","",IFERROR(INDEX(pr_des,MATCH(B2152,pr_code,0))&amp;"",""))))</f>
        <v/>
      </c>
      <c r="I2152" s="59" t="str">
        <f>IF(B2152="","",IFERROR(INDEX(pr_unit,MATCH(B2152,pr_code,0))&amp;"",""))</f>
        <v/>
      </c>
      <c r="J2152" s="65" t="str">
        <f>IF(COUNTA(A2152:G2152)=0,"",IF(E2152&lt;&gt;"",E2152,IF(B2152="","",IFERROR(IF(INDEX(pr_price,MATCH(B2152,pr_code,0))="","",INDEX(pr_price,MATCH(B2152,pr_code,0))),""))))</f>
        <v/>
      </c>
      <c r="K2152" s="71" t="str">
        <f>IF(COUNTA(A2152:G2152)=0,"",IF(G2152&lt;&gt;"",G2152,IF(B2152="","",IFERROR(IF(INDEX(pr_rate,MATCH(B2152,pr_code,0))="","",INDEX(pr_rate,MATCH(B2152,pr_code,0))),""))))</f>
        <v/>
      </c>
      <c r="L2152" s="65" t="str">
        <f>IF(COUNTA(A2152:G2152)=0,"",IF(AND(ISNUMBER(D2152),ISNUMBER(J2152)),ROUND(D2152*J2152*(1-N(F2152)),2),0))</f>
        <v/>
      </c>
      <c r="M2152" s="62" t="str">
        <f>IF(A2152="","",IFERROR(INDEX(fa_cname,MATCH(A2152,fa_num,0))&amp;"",""))</f>
        <v/>
      </c>
      <c r="N2152" s="59" t="str">
        <f>IF(COUNTA(A2152:G2152)=0,"",IF(A2152="","N° facture manquant",IF(ISNA(MATCH(A2152,fa_num,0)),"Facture inconnue",IF(AND(B2152&lt;&gt;"",ISNA(MATCH(B2152,pr_code,0))),"Article inconnu",IF(H2152="","Désignation manquante",IF(OR(NOT(ISNUMBER(D2152)),N(D2152)&lt;=0),"Quantité invalide",IF(J2152="","Prix manquant",IF(OR(NOT(ISNUMBER(J2152)),N(J2152)&lt;0),"Prix invalide",IF(OR(AND(F2152&lt;&gt;"",NOT(ISNUMBER(F2152))),N(F2152)&lt;0,N(F2152)&gt;1),"Remise invalide",IF(K2152="","Taux de TVA manquant",IF(NOT(ISNUMBER(K2152)),"Taux de TVA invalide",IF(COUNTIF(p_rates,K2152)=0,"Taux de TVA hors liste (Paramètres)",IF(N(O2152)&gt;25,"Au-delà de 25 lignes : non imprimée","OK")))))))))))))</f>
        <v/>
      </c>
      <c r="O2152" s="59" t="str">
        <f>IF(A2152="","",COUNTIF($A$6:A2152,A2152))</f>
        <v/>
      </c>
      <c r="P2152" s="62" t="str">
        <f>IF(A2152="","",A2152&amp;"|"&amp;O2152)</f>
        <v/>
      </c>
    </row>
    <row r="2153">
      <c r="A2153" s="60" t="n"/>
      <c r="B2153" s="63" t="n"/>
      <c r="C2153" s="63" t="n"/>
      <c r="D2153" s="67" t="n"/>
      <c r="E2153" s="68" t="n"/>
      <c r="F2153" s="69" t="n"/>
      <c r="G2153" s="70" t="n"/>
      <c r="H2153" s="62" t="str">
        <f>IF(COUNTA(A2153:G2153)=0,"",IF(C2153&lt;&gt;"",C2153,IF(B2153="","",IFERROR(INDEX(pr_des,MATCH(B2153,pr_code,0))&amp;"",""))))</f>
        <v/>
      </c>
      <c r="I2153" s="59" t="str">
        <f>IF(B2153="","",IFERROR(INDEX(pr_unit,MATCH(B2153,pr_code,0))&amp;"",""))</f>
        <v/>
      </c>
      <c r="J2153" s="65" t="str">
        <f>IF(COUNTA(A2153:G2153)=0,"",IF(E2153&lt;&gt;"",E2153,IF(B2153="","",IFERROR(IF(INDEX(pr_price,MATCH(B2153,pr_code,0))="","",INDEX(pr_price,MATCH(B2153,pr_code,0))),""))))</f>
        <v/>
      </c>
      <c r="K2153" s="71" t="str">
        <f>IF(COUNTA(A2153:G2153)=0,"",IF(G2153&lt;&gt;"",G2153,IF(B2153="","",IFERROR(IF(INDEX(pr_rate,MATCH(B2153,pr_code,0))="","",INDEX(pr_rate,MATCH(B2153,pr_code,0))),""))))</f>
        <v/>
      </c>
      <c r="L2153" s="65" t="str">
        <f>IF(COUNTA(A2153:G2153)=0,"",IF(AND(ISNUMBER(D2153),ISNUMBER(J2153)),ROUND(D2153*J2153*(1-N(F2153)),2),0))</f>
        <v/>
      </c>
      <c r="M2153" s="62" t="str">
        <f>IF(A2153="","",IFERROR(INDEX(fa_cname,MATCH(A2153,fa_num,0))&amp;"",""))</f>
        <v/>
      </c>
      <c r="N2153" s="59" t="str">
        <f>IF(COUNTA(A2153:G2153)=0,"",IF(A2153="","N° facture manquant",IF(ISNA(MATCH(A2153,fa_num,0)),"Facture inconnue",IF(AND(B2153&lt;&gt;"",ISNA(MATCH(B2153,pr_code,0))),"Article inconnu",IF(H2153="","Désignation manquante",IF(OR(NOT(ISNUMBER(D2153)),N(D2153)&lt;=0),"Quantité invalide",IF(J2153="","Prix manquant",IF(OR(NOT(ISNUMBER(J2153)),N(J2153)&lt;0),"Prix invalide",IF(OR(AND(F2153&lt;&gt;"",NOT(ISNUMBER(F2153))),N(F2153)&lt;0,N(F2153)&gt;1),"Remise invalide",IF(K2153="","Taux de TVA manquant",IF(NOT(ISNUMBER(K2153)),"Taux de TVA invalide",IF(COUNTIF(p_rates,K2153)=0,"Taux de TVA hors liste (Paramètres)",IF(N(O2153)&gt;25,"Au-delà de 25 lignes : non imprimée","OK")))))))))))))</f>
        <v/>
      </c>
      <c r="O2153" s="59" t="str">
        <f>IF(A2153="","",COUNTIF($A$6:A2153,A2153))</f>
        <v/>
      </c>
      <c r="P2153" s="62" t="str">
        <f>IF(A2153="","",A2153&amp;"|"&amp;O2153)</f>
        <v/>
      </c>
    </row>
    <row r="2154">
      <c r="A2154" s="60" t="n"/>
      <c r="B2154" s="63" t="n"/>
      <c r="C2154" s="63" t="n"/>
      <c r="D2154" s="67" t="n"/>
      <c r="E2154" s="68" t="n"/>
      <c r="F2154" s="69" t="n"/>
      <c r="G2154" s="70" t="n"/>
      <c r="H2154" s="62" t="str">
        <f>IF(COUNTA(A2154:G2154)=0,"",IF(C2154&lt;&gt;"",C2154,IF(B2154="","",IFERROR(INDEX(pr_des,MATCH(B2154,pr_code,0))&amp;"",""))))</f>
        <v/>
      </c>
      <c r="I2154" s="59" t="str">
        <f>IF(B2154="","",IFERROR(INDEX(pr_unit,MATCH(B2154,pr_code,0))&amp;"",""))</f>
        <v/>
      </c>
      <c r="J2154" s="65" t="str">
        <f>IF(COUNTA(A2154:G2154)=0,"",IF(E2154&lt;&gt;"",E2154,IF(B2154="","",IFERROR(IF(INDEX(pr_price,MATCH(B2154,pr_code,0))="","",INDEX(pr_price,MATCH(B2154,pr_code,0))),""))))</f>
        <v/>
      </c>
      <c r="K2154" s="71" t="str">
        <f>IF(COUNTA(A2154:G2154)=0,"",IF(G2154&lt;&gt;"",G2154,IF(B2154="","",IFERROR(IF(INDEX(pr_rate,MATCH(B2154,pr_code,0))="","",INDEX(pr_rate,MATCH(B2154,pr_code,0))),""))))</f>
        <v/>
      </c>
      <c r="L2154" s="65" t="str">
        <f>IF(COUNTA(A2154:G2154)=0,"",IF(AND(ISNUMBER(D2154),ISNUMBER(J2154)),ROUND(D2154*J2154*(1-N(F2154)),2),0))</f>
        <v/>
      </c>
      <c r="M2154" s="62" t="str">
        <f>IF(A2154="","",IFERROR(INDEX(fa_cname,MATCH(A2154,fa_num,0))&amp;"",""))</f>
        <v/>
      </c>
      <c r="N2154" s="59" t="str">
        <f>IF(COUNTA(A2154:G2154)=0,"",IF(A2154="","N° facture manquant",IF(ISNA(MATCH(A2154,fa_num,0)),"Facture inconnue",IF(AND(B2154&lt;&gt;"",ISNA(MATCH(B2154,pr_code,0))),"Article inconnu",IF(H2154="","Désignation manquante",IF(OR(NOT(ISNUMBER(D2154)),N(D2154)&lt;=0),"Quantité invalide",IF(J2154="","Prix manquant",IF(OR(NOT(ISNUMBER(J2154)),N(J2154)&lt;0),"Prix invalide",IF(OR(AND(F2154&lt;&gt;"",NOT(ISNUMBER(F2154))),N(F2154)&lt;0,N(F2154)&gt;1),"Remise invalide",IF(K2154="","Taux de TVA manquant",IF(NOT(ISNUMBER(K2154)),"Taux de TVA invalide",IF(COUNTIF(p_rates,K2154)=0,"Taux de TVA hors liste (Paramètres)",IF(N(O2154)&gt;25,"Au-delà de 25 lignes : non imprimée","OK")))))))))))))</f>
        <v/>
      </c>
      <c r="O2154" s="59" t="str">
        <f>IF(A2154="","",COUNTIF($A$6:A2154,A2154))</f>
        <v/>
      </c>
      <c r="P2154" s="62" t="str">
        <f>IF(A2154="","",A2154&amp;"|"&amp;O2154)</f>
        <v/>
      </c>
    </row>
    <row r="2155">
      <c r="A2155" s="60" t="n"/>
      <c r="B2155" s="63" t="n"/>
      <c r="C2155" s="63" t="n"/>
      <c r="D2155" s="67" t="n"/>
      <c r="E2155" s="68" t="n"/>
      <c r="F2155" s="69" t="n"/>
      <c r="G2155" s="70" t="n"/>
      <c r="H2155" s="62" t="str">
        <f>IF(COUNTA(A2155:G2155)=0,"",IF(C2155&lt;&gt;"",C2155,IF(B2155="","",IFERROR(INDEX(pr_des,MATCH(B2155,pr_code,0))&amp;"",""))))</f>
        <v/>
      </c>
      <c r="I2155" s="59" t="str">
        <f>IF(B2155="","",IFERROR(INDEX(pr_unit,MATCH(B2155,pr_code,0))&amp;"",""))</f>
        <v/>
      </c>
      <c r="J2155" s="65" t="str">
        <f>IF(COUNTA(A2155:G2155)=0,"",IF(E2155&lt;&gt;"",E2155,IF(B2155="","",IFERROR(IF(INDEX(pr_price,MATCH(B2155,pr_code,0))="","",INDEX(pr_price,MATCH(B2155,pr_code,0))),""))))</f>
        <v/>
      </c>
      <c r="K2155" s="71" t="str">
        <f>IF(COUNTA(A2155:G2155)=0,"",IF(G2155&lt;&gt;"",G2155,IF(B2155="","",IFERROR(IF(INDEX(pr_rate,MATCH(B2155,pr_code,0))="","",INDEX(pr_rate,MATCH(B2155,pr_code,0))),""))))</f>
        <v/>
      </c>
      <c r="L2155" s="65" t="str">
        <f>IF(COUNTA(A2155:G2155)=0,"",IF(AND(ISNUMBER(D2155),ISNUMBER(J2155)),ROUND(D2155*J2155*(1-N(F2155)),2),0))</f>
        <v/>
      </c>
      <c r="M2155" s="62" t="str">
        <f>IF(A2155="","",IFERROR(INDEX(fa_cname,MATCH(A2155,fa_num,0))&amp;"",""))</f>
        <v/>
      </c>
      <c r="N2155" s="59" t="str">
        <f>IF(COUNTA(A2155:G2155)=0,"",IF(A2155="","N° facture manquant",IF(ISNA(MATCH(A2155,fa_num,0)),"Facture inconnue",IF(AND(B2155&lt;&gt;"",ISNA(MATCH(B2155,pr_code,0))),"Article inconnu",IF(H2155="","Désignation manquante",IF(OR(NOT(ISNUMBER(D2155)),N(D2155)&lt;=0),"Quantité invalide",IF(J2155="","Prix manquant",IF(OR(NOT(ISNUMBER(J2155)),N(J2155)&lt;0),"Prix invalide",IF(OR(AND(F2155&lt;&gt;"",NOT(ISNUMBER(F2155))),N(F2155)&lt;0,N(F2155)&gt;1),"Remise invalide",IF(K2155="","Taux de TVA manquant",IF(NOT(ISNUMBER(K2155)),"Taux de TVA invalide",IF(COUNTIF(p_rates,K2155)=0,"Taux de TVA hors liste (Paramètres)",IF(N(O2155)&gt;25,"Au-delà de 25 lignes : non imprimée","OK")))))))))))))</f>
        <v/>
      </c>
      <c r="O2155" s="59" t="str">
        <f>IF(A2155="","",COUNTIF($A$6:A2155,A2155))</f>
        <v/>
      </c>
      <c r="P2155" s="62" t="str">
        <f>IF(A2155="","",A2155&amp;"|"&amp;O2155)</f>
        <v/>
      </c>
    </row>
    <row r="2156">
      <c r="A2156" s="60" t="n"/>
      <c r="B2156" s="63" t="n"/>
      <c r="C2156" s="63" t="n"/>
      <c r="D2156" s="67" t="n"/>
      <c r="E2156" s="68" t="n"/>
      <c r="F2156" s="69" t="n"/>
      <c r="G2156" s="70" t="n"/>
      <c r="H2156" s="62" t="str">
        <f>IF(COUNTA(A2156:G2156)=0,"",IF(C2156&lt;&gt;"",C2156,IF(B2156="","",IFERROR(INDEX(pr_des,MATCH(B2156,pr_code,0))&amp;"",""))))</f>
        <v/>
      </c>
      <c r="I2156" s="59" t="str">
        <f>IF(B2156="","",IFERROR(INDEX(pr_unit,MATCH(B2156,pr_code,0))&amp;"",""))</f>
        <v/>
      </c>
      <c r="J2156" s="65" t="str">
        <f>IF(COUNTA(A2156:G2156)=0,"",IF(E2156&lt;&gt;"",E2156,IF(B2156="","",IFERROR(IF(INDEX(pr_price,MATCH(B2156,pr_code,0))="","",INDEX(pr_price,MATCH(B2156,pr_code,0))),""))))</f>
        <v/>
      </c>
      <c r="K2156" s="71" t="str">
        <f>IF(COUNTA(A2156:G2156)=0,"",IF(G2156&lt;&gt;"",G2156,IF(B2156="","",IFERROR(IF(INDEX(pr_rate,MATCH(B2156,pr_code,0))="","",INDEX(pr_rate,MATCH(B2156,pr_code,0))),""))))</f>
        <v/>
      </c>
      <c r="L2156" s="65" t="str">
        <f>IF(COUNTA(A2156:G2156)=0,"",IF(AND(ISNUMBER(D2156),ISNUMBER(J2156)),ROUND(D2156*J2156*(1-N(F2156)),2),0))</f>
        <v/>
      </c>
      <c r="M2156" s="62" t="str">
        <f>IF(A2156="","",IFERROR(INDEX(fa_cname,MATCH(A2156,fa_num,0))&amp;"",""))</f>
        <v/>
      </c>
      <c r="N2156" s="59" t="str">
        <f>IF(COUNTA(A2156:G2156)=0,"",IF(A2156="","N° facture manquant",IF(ISNA(MATCH(A2156,fa_num,0)),"Facture inconnue",IF(AND(B2156&lt;&gt;"",ISNA(MATCH(B2156,pr_code,0))),"Article inconnu",IF(H2156="","Désignation manquante",IF(OR(NOT(ISNUMBER(D2156)),N(D2156)&lt;=0),"Quantité invalide",IF(J2156="","Prix manquant",IF(OR(NOT(ISNUMBER(J2156)),N(J2156)&lt;0),"Prix invalide",IF(OR(AND(F2156&lt;&gt;"",NOT(ISNUMBER(F2156))),N(F2156)&lt;0,N(F2156)&gt;1),"Remise invalide",IF(K2156="","Taux de TVA manquant",IF(NOT(ISNUMBER(K2156)),"Taux de TVA invalide",IF(COUNTIF(p_rates,K2156)=0,"Taux de TVA hors liste (Paramètres)",IF(N(O2156)&gt;25,"Au-delà de 25 lignes : non imprimée","OK")))))))))))))</f>
        <v/>
      </c>
      <c r="O2156" s="59" t="str">
        <f>IF(A2156="","",COUNTIF($A$6:A2156,A2156))</f>
        <v/>
      </c>
      <c r="P2156" s="62" t="str">
        <f>IF(A2156="","",A2156&amp;"|"&amp;O2156)</f>
        <v/>
      </c>
    </row>
    <row r="2157">
      <c r="A2157" s="60" t="n"/>
      <c r="B2157" s="63" t="n"/>
      <c r="C2157" s="63" t="n"/>
      <c r="D2157" s="67" t="n"/>
      <c r="E2157" s="68" t="n"/>
      <c r="F2157" s="69" t="n"/>
      <c r="G2157" s="70" t="n"/>
      <c r="H2157" s="62" t="str">
        <f>IF(COUNTA(A2157:G2157)=0,"",IF(C2157&lt;&gt;"",C2157,IF(B2157="","",IFERROR(INDEX(pr_des,MATCH(B2157,pr_code,0))&amp;"",""))))</f>
        <v/>
      </c>
      <c r="I2157" s="59" t="str">
        <f>IF(B2157="","",IFERROR(INDEX(pr_unit,MATCH(B2157,pr_code,0))&amp;"",""))</f>
        <v/>
      </c>
      <c r="J2157" s="65" t="str">
        <f>IF(COUNTA(A2157:G2157)=0,"",IF(E2157&lt;&gt;"",E2157,IF(B2157="","",IFERROR(IF(INDEX(pr_price,MATCH(B2157,pr_code,0))="","",INDEX(pr_price,MATCH(B2157,pr_code,0))),""))))</f>
        <v/>
      </c>
      <c r="K2157" s="71" t="str">
        <f>IF(COUNTA(A2157:G2157)=0,"",IF(G2157&lt;&gt;"",G2157,IF(B2157="","",IFERROR(IF(INDEX(pr_rate,MATCH(B2157,pr_code,0))="","",INDEX(pr_rate,MATCH(B2157,pr_code,0))),""))))</f>
        <v/>
      </c>
      <c r="L2157" s="65" t="str">
        <f>IF(COUNTA(A2157:G2157)=0,"",IF(AND(ISNUMBER(D2157),ISNUMBER(J2157)),ROUND(D2157*J2157*(1-N(F2157)),2),0))</f>
        <v/>
      </c>
      <c r="M2157" s="62" t="str">
        <f>IF(A2157="","",IFERROR(INDEX(fa_cname,MATCH(A2157,fa_num,0))&amp;"",""))</f>
        <v/>
      </c>
      <c r="N2157" s="59" t="str">
        <f>IF(COUNTA(A2157:G2157)=0,"",IF(A2157="","N° facture manquant",IF(ISNA(MATCH(A2157,fa_num,0)),"Facture inconnue",IF(AND(B2157&lt;&gt;"",ISNA(MATCH(B2157,pr_code,0))),"Article inconnu",IF(H2157="","Désignation manquante",IF(OR(NOT(ISNUMBER(D2157)),N(D2157)&lt;=0),"Quantité invalide",IF(J2157="","Prix manquant",IF(OR(NOT(ISNUMBER(J2157)),N(J2157)&lt;0),"Prix invalide",IF(OR(AND(F2157&lt;&gt;"",NOT(ISNUMBER(F2157))),N(F2157)&lt;0,N(F2157)&gt;1),"Remise invalide",IF(K2157="","Taux de TVA manquant",IF(NOT(ISNUMBER(K2157)),"Taux de TVA invalide",IF(COUNTIF(p_rates,K2157)=0,"Taux de TVA hors liste (Paramètres)",IF(N(O2157)&gt;25,"Au-delà de 25 lignes : non imprimée","OK")))))))))))))</f>
        <v/>
      </c>
      <c r="O2157" s="59" t="str">
        <f>IF(A2157="","",COUNTIF($A$6:A2157,A2157))</f>
        <v/>
      </c>
      <c r="P2157" s="62" t="str">
        <f>IF(A2157="","",A2157&amp;"|"&amp;O2157)</f>
        <v/>
      </c>
    </row>
    <row r="2158">
      <c r="A2158" s="60" t="n"/>
      <c r="B2158" s="63" t="n"/>
      <c r="C2158" s="63" t="n"/>
      <c r="D2158" s="67" t="n"/>
      <c r="E2158" s="68" t="n"/>
      <c r="F2158" s="69" t="n"/>
      <c r="G2158" s="70" t="n"/>
      <c r="H2158" s="62" t="str">
        <f>IF(COUNTA(A2158:G2158)=0,"",IF(C2158&lt;&gt;"",C2158,IF(B2158="","",IFERROR(INDEX(pr_des,MATCH(B2158,pr_code,0))&amp;"",""))))</f>
        <v/>
      </c>
      <c r="I2158" s="59" t="str">
        <f>IF(B2158="","",IFERROR(INDEX(pr_unit,MATCH(B2158,pr_code,0))&amp;"",""))</f>
        <v/>
      </c>
      <c r="J2158" s="65" t="str">
        <f>IF(COUNTA(A2158:G2158)=0,"",IF(E2158&lt;&gt;"",E2158,IF(B2158="","",IFERROR(IF(INDEX(pr_price,MATCH(B2158,pr_code,0))="","",INDEX(pr_price,MATCH(B2158,pr_code,0))),""))))</f>
        <v/>
      </c>
      <c r="K2158" s="71" t="str">
        <f>IF(COUNTA(A2158:G2158)=0,"",IF(G2158&lt;&gt;"",G2158,IF(B2158="","",IFERROR(IF(INDEX(pr_rate,MATCH(B2158,pr_code,0))="","",INDEX(pr_rate,MATCH(B2158,pr_code,0))),""))))</f>
        <v/>
      </c>
      <c r="L2158" s="65" t="str">
        <f>IF(COUNTA(A2158:G2158)=0,"",IF(AND(ISNUMBER(D2158),ISNUMBER(J2158)),ROUND(D2158*J2158*(1-N(F2158)),2),0))</f>
        <v/>
      </c>
      <c r="M2158" s="62" t="str">
        <f>IF(A2158="","",IFERROR(INDEX(fa_cname,MATCH(A2158,fa_num,0))&amp;"",""))</f>
        <v/>
      </c>
      <c r="N2158" s="59" t="str">
        <f>IF(COUNTA(A2158:G2158)=0,"",IF(A2158="","N° facture manquant",IF(ISNA(MATCH(A2158,fa_num,0)),"Facture inconnue",IF(AND(B2158&lt;&gt;"",ISNA(MATCH(B2158,pr_code,0))),"Article inconnu",IF(H2158="","Désignation manquante",IF(OR(NOT(ISNUMBER(D2158)),N(D2158)&lt;=0),"Quantité invalide",IF(J2158="","Prix manquant",IF(OR(NOT(ISNUMBER(J2158)),N(J2158)&lt;0),"Prix invalide",IF(OR(AND(F2158&lt;&gt;"",NOT(ISNUMBER(F2158))),N(F2158)&lt;0,N(F2158)&gt;1),"Remise invalide",IF(K2158="","Taux de TVA manquant",IF(NOT(ISNUMBER(K2158)),"Taux de TVA invalide",IF(COUNTIF(p_rates,K2158)=0,"Taux de TVA hors liste (Paramètres)",IF(N(O2158)&gt;25,"Au-delà de 25 lignes : non imprimée","OK")))))))))))))</f>
        <v/>
      </c>
      <c r="O2158" s="59" t="str">
        <f>IF(A2158="","",COUNTIF($A$6:A2158,A2158))</f>
        <v/>
      </c>
      <c r="P2158" s="62" t="str">
        <f>IF(A2158="","",A2158&amp;"|"&amp;O2158)</f>
        <v/>
      </c>
    </row>
    <row r="2159">
      <c r="A2159" s="60" t="n"/>
      <c r="B2159" s="63" t="n"/>
      <c r="C2159" s="63" t="n"/>
      <c r="D2159" s="67" t="n"/>
      <c r="E2159" s="68" t="n"/>
      <c r="F2159" s="69" t="n"/>
      <c r="G2159" s="70" t="n"/>
      <c r="H2159" s="62" t="str">
        <f>IF(COUNTA(A2159:G2159)=0,"",IF(C2159&lt;&gt;"",C2159,IF(B2159="","",IFERROR(INDEX(pr_des,MATCH(B2159,pr_code,0))&amp;"",""))))</f>
        <v/>
      </c>
      <c r="I2159" s="59" t="str">
        <f>IF(B2159="","",IFERROR(INDEX(pr_unit,MATCH(B2159,pr_code,0))&amp;"",""))</f>
        <v/>
      </c>
      <c r="J2159" s="65" t="str">
        <f>IF(COUNTA(A2159:G2159)=0,"",IF(E2159&lt;&gt;"",E2159,IF(B2159="","",IFERROR(IF(INDEX(pr_price,MATCH(B2159,pr_code,0))="","",INDEX(pr_price,MATCH(B2159,pr_code,0))),""))))</f>
        <v/>
      </c>
      <c r="K2159" s="71" t="str">
        <f>IF(COUNTA(A2159:G2159)=0,"",IF(G2159&lt;&gt;"",G2159,IF(B2159="","",IFERROR(IF(INDEX(pr_rate,MATCH(B2159,pr_code,0))="","",INDEX(pr_rate,MATCH(B2159,pr_code,0))),""))))</f>
        <v/>
      </c>
      <c r="L2159" s="65" t="str">
        <f>IF(COUNTA(A2159:G2159)=0,"",IF(AND(ISNUMBER(D2159),ISNUMBER(J2159)),ROUND(D2159*J2159*(1-N(F2159)),2),0))</f>
        <v/>
      </c>
      <c r="M2159" s="62" t="str">
        <f>IF(A2159="","",IFERROR(INDEX(fa_cname,MATCH(A2159,fa_num,0))&amp;"",""))</f>
        <v/>
      </c>
      <c r="N2159" s="59" t="str">
        <f>IF(COUNTA(A2159:G2159)=0,"",IF(A2159="","N° facture manquant",IF(ISNA(MATCH(A2159,fa_num,0)),"Facture inconnue",IF(AND(B2159&lt;&gt;"",ISNA(MATCH(B2159,pr_code,0))),"Article inconnu",IF(H2159="","Désignation manquante",IF(OR(NOT(ISNUMBER(D2159)),N(D2159)&lt;=0),"Quantité invalide",IF(J2159="","Prix manquant",IF(OR(NOT(ISNUMBER(J2159)),N(J2159)&lt;0),"Prix invalide",IF(OR(AND(F2159&lt;&gt;"",NOT(ISNUMBER(F2159))),N(F2159)&lt;0,N(F2159)&gt;1),"Remise invalide",IF(K2159="","Taux de TVA manquant",IF(NOT(ISNUMBER(K2159)),"Taux de TVA invalide",IF(COUNTIF(p_rates,K2159)=0,"Taux de TVA hors liste (Paramètres)",IF(N(O2159)&gt;25,"Au-delà de 25 lignes : non imprimée","OK")))))))))))))</f>
        <v/>
      </c>
      <c r="O2159" s="59" t="str">
        <f>IF(A2159="","",COUNTIF($A$6:A2159,A2159))</f>
        <v/>
      </c>
      <c r="P2159" s="62" t="str">
        <f>IF(A2159="","",A2159&amp;"|"&amp;O2159)</f>
        <v/>
      </c>
    </row>
    <row r="2160">
      <c r="A2160" s="60" t="n"/>
      <c r="B2160" s="63" t="n"/>
      <c r="C2160" s="63" t="n"/>
      <c r="D2160" s="67" t="n"/>
      <c r="E2160" s="68" t="n"/>
      <c r="F2160" s="69" t="n"/>
      <c r="G2160" s="70" t="n"/>
      <c r="H2160" s="62" t="str">
        <f>IF(COUNTA(A2160:G2160)=0,"",IF(C2160&lt;&gt;"",C2160,IF(B2160="","",IFERROR(INDEX(pr_des,MATCH(B2160,pr_code,0))&amp;"",""))))</f>
        <v/>
      </c>
      <c r="I2160" s="59" t="str">
        <f>IF(B2160="","",IFERROR(INDEX(pr_unit,MATCH(B2160,pr_code,0))&amp;"",""))</f>
        <v/>
      </c>
      <c r="J2160" s="65" t="str">
        <f>IF(COUNTA(A2160:G2160)=0,"",IF(E2160&lt;&gt;"",E2160,IF(B2160="","",IFERROR(IF(INDEX(pr_price,MATCH(B2160,pr_code,0))="","",INDEX(pr_price,MATCH(B2160,pr_code,0))),""))))</f>
        <v/>
      </c>
      <c r="K2160" s="71" t="str">
        <f>IF(COUNTA(A2160:G2160)=0,"",IF(G2160&lt;&gt;"",G2160,IF(B2160="","",IFERROR(IF(INDEX(pr_rate,MATCH(B2160,pr_code,0))="","",INDEX(pr_rate,MATCH(B2160,pr_code,0))),""))))</f>
        <v/>
      </c>
      <c r="L2160" s="65" t="str">
        <f>IF(COUNTA(A2160:G2160)=0,"",IF(AND(ISNUMBER(D2160),ISNUMBER(J2160)),ROUND(D2160*J2160*(1-N(F2160)),2),0))</f>
        <v/>
      </c>
      <c r="M2160" s="62" t="str">
        <f>IF(A2160="","",IFERROR(INDEX(fa_cname,MATCH(A2160,fa_num,0))&amp;"",""))</f>
        <v/>
      </c>
      <c r="N2160" s="59" t="str">
        <f>IF(COUNTA(A2160:G2160)=0,"",IF(A2160="","N° facture manquant",IF(ISNA(MATCH(A2160,fa_num,0)),"Facture inconnue",IF(AND(B2160&lt;&gt;"",ISNA(MATCH(B2160,pr_code,0))),"Article inconnu",IF(H2160="","Désignation manquante",IF(OR(NOT(ISNUMBER(D2160)),N(D2160)&lt;=0),"Quantité invalide",IF(J2160="","Prix manquant",IF(OR(NOT(ISNUMBER(J2160)),N(J2160)&lt;0),"Prix invalide",IF(OR(AND(F2160&lt;&gt;"",NOT(ISNUMBER(F2160))),N(F2160)&lt;0,N(F2160)&gt;1),"Remise invalide",IF(K2160="","Taux de TVA manquant",IF(NOT(ISNUMBER(K2160)),"Taux de TVA invalide",IF(COUNTIF(p_rates,K2160)=0,"Taux de TVA hors liste (Paramètres)",IF(N(O2160)&gt;25,"Au-delà de 25 lignes : non imprimée","OK")))))))))))))</f>
        <v/>
      </c>
      <c r="O2160" s="59" t="str">
        <f>IF(A2160="","",COUNTIF($A$6:A2160,A2160))</f>
        <v/>
      </c>
      <c r="P2160" s="62" t="str">
        <f>IF(A2160="","",A2160&amp;"|"&amp;O2160)</f>
        <v/>
      </c>
    </row>
    <row r="2161">
      <c r="A2161" s="60" t="n"/>
      <c r="B2161" s="63" t="n"/>
      <c r="C2161" s="63" t="n"/>
      <c r="D2161" s="67" t="n"/>
      <c r="E2161" s="68" t="n"/>
      <c r="F2161" s="69" t="n"/>
      <c r="G2161" s="70" t="n"/>
      <c r="H2161" s="62" t="str">
        <f>IF(COUNTA(A2161:G2161)=0,"",IF(C2161&lt;&gt;"",C2161,IF(B2161="","",IFERROR(INDEX(pr_des,MATCH(B2161,pr_code,0))&amp;"",""))))</f>
        <v/>
      </c>
      <c r="I2161" s="59" t="str">
        <f>IF(B2161="","",IFERROR(INDEX(pr_unit,MATCH(B2161,pr_code,0))&amp;"",""))</f>
        <v/>
      </c>
      <c r="J2161" s="65" t="str">
        <f>IF(COUNTA(A2161:G2161)=0,"",IF(E2161&lt;&gt;"",E2161,IF(B2161="","",IFERROR(IF(INDEX(pr_price,MATCH(B2161,pr_code,0))="","",INDEX(pr_price,MATCH(B2161,pr_code,0))),""))))</f>
        <v/>
      </c>
      <c r="K2161" s="71" t="str">
        <f>IF(COUNTA(A2161:G2161)=0,"",IF(G2161&lt;&gt;"",G2161,IF(B2161="","",IFERROR(IF(INDEX(pr_rate,MATCH(B2161,pr_code,0))="","",INDEX(pr_rate,MATCH(B2161,pr_code,0))),""))))</f>
        <v/>
      </c>
      <c r="L2161" s="65" t="str">
        <f>IF(COUNTA(A2161:G2161)=0,"",IF(AND(ISNUMBER(D2161),ISNUMBER(J2161)),ROUND(D2161*J2161*(1-N(F2161)),2),0))</f>
        <v/>
      </c>
      <c r="M2161" s="62" t="str">
        <f>IF(A2161="","",IFERROR(INDEX(fa_cname,MATCH(A2161,fa_num,0))&amp;"",""))</f>
        <v/>
      </c>
      <c r="N2161" s="59" t="str">
        <f>IF(COUNTA(A2161:G2161)=0,"",IF(A2161="","N° facture manquant",IF(ISNA(MATCH(A2161,fa_num,0)),"Facture inconnue",IF(AND(B2161&lt;&gt;"",ISNA(MATCH(B2161,pr_code,0))),"Article inconnu",IF(H2161="","Désignation manquante",IF(OR(NOT(ISNUMBER(D2161)),N(D2161)&lt;=0),"Quantité invalide",IF(J2161="","Prix manquant",IF(OR(NOT(ISNUMBER(J2161)),N(J2161)&lt;0),"Prix invalide",IF(OR(AND(F2161&lt;&gt;"",NOT(ISNUMBER(F2161))),N(F2161)&lt;0,N(F2161)&gt;1),"Remise invalide",IF(K2161="","Taux de TVA manquant",IF(NOT(ISNUMBER(K2161)),"Taux de TVA invalide",IF(COUNTIF(p_rates,K2161)=0,"Taux de TVA hors liste (Paramètres)",IF(N(O2161)&gt;25,"Au-delà de 25 lignes : non imprimée","OK")))))))))))))</f>
        <v/>
      </c>
      <c r="O2161" s="59" t="str">
        <f>IF(A2161="","",COUNTIF($A$6:A2161,A2161))</f>
        <v/>
      </c>
      <c r="P2161" s="62" t="str">
        <f>IF(A2161="","",A2161&amp;"|"&amp;O2161)</f>
        <v/>
      </c>
    </row>
    <row r="2162">
      <c r="A2162" s="60" t="n"/>
      <c r="B2162" s="63" t="n"/>
      <c r="C2162" s="63" t="n"/>
      <c r="D2162" s="67" t="n"/>
      <c r="E2162" s="68" t="n"/>
      <c r="F2162" s="69" t="n"/>
      <c r="G2162" s="70" t="n"/>
      <c r="H2162" s="62" t="str">
        <f>IF(COUNTA(A2162:G2162)=0,"",IF(C2162&lt;&gt;"",C2162,IF(B2162="","",IFERROR(INDEX(pr_des,MATCH(B2162,pr_code,0))&amp;"",""))))</f>
        <v/>
      </c>
      <c r="I2162" s="59" t="str">
        <f>IF(B2162="","",IFERROR(INDEX(pr_unit,MATCH(B2162,pr_code,0))&amp;"",""))</f>
        <v/>
      </c>
      <c r="J2162" s="65" t="str">
        <f>IF(COUNTA(A2162:G2162)=0,"",IF(E2162&lt;&gt;"",E2162,IF(B2162="","",IFERROR(IF(INDEX(pr_price,MATCH(B2162,pr_code,0))="","",INDEX(pr_price,MATCH(B2162,pr_code,0))),""))))</f>
        <v/>
      </c>
      <c r="K2162" s="71" t="str">
        <f>IF(COUNTA(A2162:G2162)=0,"",IF(G2162&lt;&gt;"",G2162,IF(B2162="","",IFERROR(IF(INDEX(pr_rate,MATCH(B2162,pr_code,0))="","",INDEX(pr_rate,MATCH(B2162,pr_code,0))),""))))</f>
        <v/>
      </c>
      <c r="L2162" s="65" t="str">
        <f>IF(COUNTA(A2162:G2162)=0,"",IF(AND(ISNUMBER(D2162),ISNUMBER(J2162)),ROUND(D2162*J2162*(1-N(F2162)),2),0))</f>
        <v/>
      </c>
      <c r="M2162" s="62" t="str">
        <f>IF(A2162="","",IFERROR(INDEX(fa_cname,MATCH(A2162,fa_num,0))&amp;"",""))</f>
        <v/>
      </c>
      <c r="N2162" s="59" t="str">
        <f>IF(COUNTA(A2162:G2162)=0,"",IF(A2162="","N° facture manquant",IF(ISNA(MATCH(A2162,fa_num,0)),"Facture inconnue",IF(AND(B2162&lt;&gt;"",ISNA(MATCH(B2162,pr_code,0))),"Article inconnu",IF(H2162="","Désignation manquante",IF(OR(NOT(ISNUMBER(D2162)),N(D2162)&lt;=0),"Quantité invalide",IF(J2162="","Prix manquant",IF(OR(NOT(ISNUMBER(J2162)),N(J2162)&lt;0),"Prix invalide",IF(OR(AND(F2162&lt;&gt;"",NOT(ISNUMBER(F2162))),N(F2162)&lt;0,N(F2162)&gt;1),"Remise invalide",IF(K2162="","Taux de TVA manquant",IF(NOT(ISNUMBER(K2162)),"Taux de TVA invalide",IF(COUNTIF(p_rates,K2162)=0,"Taux de TVA hors liste (Paramètres)",IF(N(O2162)&gt;25,"Au-delà de 25 lignes : non imprimée","OK")))))))))))))</f>
        <v/>
      </c>
      <c r="O2162" s="59" t="str">
        <f>IF(A2162="","",COUNTIF($A$6:A2162,A2162))</f>
        <v/>
      </c>
      <c r="P2162" s="62" t="str">
        <f>IF(A2162="","",A2162&amp;"|"&amp;O2162)</f>
        <v/>
      </c>
    </row>
    <row r="2163">
      <c r="A2163" s="60" t="n"/>
      <c r="B2163" s="63" t="n"/>
      <c r="C2163" s="63" t="n"/>
      <c r="D2163" s="67" t="n"/>
      <c r="E2163" s="68" t="n"/>
      <c r="F2163" s="69" t="n"/>
      <c r="G2163" s="70" t="n"/>
      <c r="H2163" s="62" t="str">
        <f>IF(COUNTA(A2163:G2163)=0,"",IF(C2163&lt;&gt;"",C2163,IF(B2163="","",IFERROR(INDEX(pr_des,MATCH(B2163,pr_code,0))&amp;"",""))))</f>
        <v/>
      </c>
      <c r="I2163" s="59" t="str">
        <f>IF(B2163="","",IFERROR(INDEX(pr_unit,MATCH(B2163,pr_code,0))&amp;"",""))</f>
        <v/>
      </c>
      <c r="J2163" s="65" t="str">
        <f>IF(COUNTA(A2163:G2163)=0,"",IF(E2163&lt;&gt;"",E2163,IF(B2163="","",IFERROR(IF(INDEX(pr_price,MATCH(B2163,pr_code,0))="","",INDEX(pr_price,MATCH(B2163,pr_code,0))),""))))</f>
        <v/>
      </c>
      <c r="K2163" s="71" t="str">
        <f>IF(COUNTA(A2163:G2163)=0,"",IF(G2163&lt;&gt;"",G2163,IF(B2163="","",IFERROR(IF(INDEX(pr_rate,MATCH(B2163,pr_code,0))="","",INDEX(pr_rate,MATCH(B2163,pr_code,0))),""))))</f>
        <v/>
      </c>
      <c r="L2163" s="65" t="str">
        <f>IF(COUNTA(A2163:G2163)=0,"",IF(AND(ISNUMBER(D2163),ISNUMBER(J2163)),ROUND(D2163*J2163*(1-N(F2163)),2),0))</f>
        <v/>
      </c>
      <c r="M2163" s="62" t="str">
        <f>IF(A2163="","",IFERROR(INDEX(fa_cname,MATCH(A2163,fa_num,0))&amp;"",""))</f>
        <v/>
      </c>
      <c r="N2163" s="59" t="str">
        <f>IF(COUNTA(A2163:G2163)=0,"",IF(A2163="","N° facture manquant",IF(ISNA(MATCH(A2163,fa_num,0)),"Facture inconnue",IF(AND(B2163&lt;&gt;"",ISNA(MATCH(B2163,pr_code,0))),"Article inconnu",IF(H2163="","Désignation manquante",IF(OR(NOT(ISNUMBER(D2163)),N(D2163)&lt;=0),"Quantité invalide",IF(J2163="","Prix manquant",IF(OR(NOT(ISNUMBER(J2163)),N(J2163)&lt;0),"Prix invalide",IF(OR(AND(F2163&lt;&gt;"",NOT(ISNUMBER(F2163))),N(F2163)&lt;0,N(F2163)&gt;1),"Remise invalide",IF(K2163="","Taux de TVA manquant",IF(NOT(ISNUMBER(K2163)),"Taux de TVA invalide",IF(COUNTIF(p_rates,K2163)=0,"Taux de TVA hors liste (Paramètres)",IF(N(O2163)&gt;25,"Au-delà de 25 lignes : non imprimée","OK")))))))))))))</f>
        <v/>
      </c>
      <c r="O2163" s="59" t="str">
        <f>IF(A2163="","",COUNTIF($A$6:A2163,A2163))</f>
        <v/>
      </c>
      <c r="P2163" s="62" t="str">
        <f>IF(A2163="","",A2163&amp;"|"&amp;O2163)</f>
        <v/>
      </c>
    </row>
    <row r="2164">
      <c r="A2164" s="60" t="n"/>
      <c r="B2164" s="63" t="n"/>
      <c r="C2164" s="63" t="n"/>
      <c r="D2164" s="67" t="n"/>
      <c r="E2164" s="68" t="n"/>
      <c r="F2164" s="69" t="n"/>
      <c r="G2164" s="70" t="n"/>
      <c r="H2164" s="62" t="str">
        <f>IF(COUNTA(A2164:G2164)=0,"",IF(C2164&lt;&gt;"",C2164,IF(B2164="","",IFERROR(INDEX(pr_des,MATCH(B2164,pr_code,0))&amp;"",""))))</f>
        <v/>
      </c>
      <c r="I2164" s="59" t="str">
        <f>IF(B2164="","",IFERROR(INDEX(pr_unit,MATCH(B2164,pr_code,0))&amp;"",""))</f>
        <v/>
      </c>
      <c r="J2164" s="65" t="str">
        <f>IF(COUNTA(A2164:G2164)=0,"",IF(E2164&lt;&gt;"",E2164,IF(B2164="","",IFERROR(IF(INDEX(pr_price,MATCH(B2164,pr_code,0))="","",INDEX(pr_price,MATCH(B2164,pr_code,0))),""))))</f>
        <v/>
      </c>
      <c r="K2164" s="71" t="str">
        <f>IF(COUNTA(A2164:G2164)=0,"",IF(G2164&lt;&gt;"",G2164,IF(B2164="","",IFERROR(IF(INDEX(pr_rate,MATCH(B2164,pr_code,0))="","",INDEX(pr_rate,MATCH(B2164,pr_code,0))),""))))</f>
        <v/>
      </c>
      <c r="L2164" s="65" t="str">
        <f>IF(COUNTA(A2164:G2164)=0,"",IF(AND(ISNUMBER(D2164),ISNUMBER(J2164)),ROUND(D2164*J2164*(1-N(F2164)),2),0))</f>
        <v/>
      </c>
      <c r="M2164" s="62" t="str">
        <f>IF(A2164="","",IFERROR(INDEX(fa_cname,MATCH(A2164,fa_num,0))&amp;"",""))</f>
        <v/>
      </c>
      <c r="N2164" s="59" t="str">
        <f>IF(COUNTA(A2164:G2164)=0,"",IF(A2164="","N° facture manquant",IF(ISNA(MATCH(A2164,fa_num,0)),"Facture inconnue",IF(AND(B2164&lt;&gt;"",ISNA(MATCH(B2164,pr_code,0))),"Article inconnu",IF(H2164="","Désignation manquante",IF(OR(NOT(ISNUMBER(D2164)),N(D2164)&lt;=0),"Quantité invalide",IF(J2164="","Prix manquant",IF(OR(NOT(ISNUMBER(J2164)),N(J2164)&lt;0),"Prix invalide",IF(OR(AND(F2164&lt;&gt;"",NOT(ISNUMBER(F2164))),N(F2164)&lt;0,N(F2164)&gt;1),"Remise invalide",IF(K2164="","Taux de TVA manquant",IF(NOT(ISNUMBER(K2164)),"Taux de TVA invalide",IF(COUNTIF(p_rates,K2164)=0,"Taux de TVA hors liste (Paramètres)",IF(N(O2164)&gt;25,"Au-delà de 25 lignes : non imprimée","OK")))))))))))))</f>
        <v/>
      </c>
      <c r="O2164" s="59" t="str">
        <f>IF(A2164="","",COUNTIF($A$6:A2164,A2164))</f>
        <v/>
      </c>
      <c r="P2164" s="62" t="str">
        <f>IF(A2164="","",A2164&amp;"|"&amp;O2164)</f>
        <v/>
      </c>
    </row>
    <row r="2165">
      <c r="A2165" s="60" t="n"/>
      <c r="B2165" s="63" t="n"/>
      <c r="C2165" s="63" t="n"/>
      <c r="D2165" s="67" t="n"/>
      <c r="E2165" s="68" t="n"/>
      <c r="F2165" s="69" t="n"/>
      <c r="G2165" s="70" t="n"/>
      <c r="H2165" s="62" t="str">
        <f>IF(COUNTA(A2165:G2165)=0,"",IF(C2165&lt;&gt;"",C2165,IF(B2165="","",IFERROR(INDEX(pr_des,MATCH(B2165,pr_code,0))&amp;"",""))))</f>
        <v/>
      </c>
      <c r="I2165" s="59" t="str">
        <f>IF(B2165="","",IFERROR(INDEX(pr_unit,MATCH(B2165,pr_code,0))&amp;"",""))</f>
        <v/>
      </c>
      <c r="J2165" s="65" t="str">
        <f>IF(COUNTA(A2165:G2165)=0,"",IF(E2165&lt;&gt;"",E2165,IF(B2165="","",IFERROR(IF(INDEX(pr_price,MATCH(B2165,pr_code,0))="","",INDEX(pr_price,MATCH(B2165,pr_code,0))),""))))</f>
        <v/>
      </c>
      <c r="K2165" s="71" t="str">
        <f>IF(COUNTA(A2165:G2165)=0,"",IF(G2165&lt;&gt;"",G2165,IF(B2165="","",IFERROR(IF(INDEX(pr_rate,MATCH(B2165,pr_code,0))="","",INDEX(pr_rate,MATCH(B2165,pr_code,0))),""))))</f>
        <v/>
      </c>
      <c r="L2165" s="65" t="str">
        <f>IF(COUNTA(A2165:G2165)=0,"",IF(AND(ISNUMBER(D2165),ISNUMBER(J2165)),ROUND(D2165*J2165*(1-N(F2165)),2),0))</f>
        <v/>
      </c>
      <c r="M2165" s="62" t="str">
        <f>IF(A2165="","",IFERROR(INDEX(fa_cname,MATCH(A2165,fa_num,0))&amp;"",""))</f>
        <v/>
      </c>
      <c r="N2165" s="59" t="str">
        <f>IF(COUNTA(A2165:G2165)=0,"",IF(A2165="","N° facture manquant",IF(ISNA(MATCH(A2165,fa_num,0)),"Facture inconnue",IF(AND(B2165&lt;&gt;"",ISNA(MATCH(B2165,pr_code,0))),"Article inconnu",IF(H2165="","Désignation manquante",IF(OR(NOT(ISNUMBER(D2165)),N(D2165)&lt;=0),"Quantité invalide",IF(J2165="","Prix manquant",IF(OR(NOT(ISNUMBER(J2165)),N(J2165)&lt;0),"Prix invalide",IF(OR(AND(F2165&lt;&gt;"",NOT(ISNUMBER(F2165))),N(F2165)&lt;0,N(F2165)&gt;1),"Remise invalide",IF(K2165="","Taux de TVA manquant",IF(NOT(ISNUMBER(K2165)),"Taux de TVA invalide",IF(COUNTIF(p_rates,K2165)=0,"Taux de TVA hors liste (Paramètres)",IF(N(O2165)&gt;25,"Au-delà de 25 lignes : non imprimée","OK")))))))))))))</f>
        <v/>
      </c>
      <c r="O2165" s="59" t="str">
        <f>IF(A2165="","",COUNTIF($A$6:A2165,A2165))</f>
        <v/>
      </c>
      <c r="P2165" s="62" t="str">
        <f>IF(A2165="","",A2165&amp;"|"&amp;O2165)</f>
        <v/>
      </c>
    </row>
    <row r="2166">
      <c r="A2166" s="60" t="n"/>
      <c r="B2166" s="63" t="n"/>
      <c r="C2166" s="63" t="n"/>
      <c r="D2166" s="67" t="n"/>
      <c r="E2166" s="68" t="n"/>
      <c r="F2166" s="69" t="n"/>
      <c r="G2166" s="70" t="n"/>
      <c r="H2166" s="62" t="str">
        <f>IF(COUNTA(A2166:G2166)=0,"",IF(C2166&lt;&gt;"",C2166,IF(B2166="","",IFERROR(INDEX(pr_des,MATCH(B2166,pr_code,0))&amp;"",""))))</f>
        <v/>
      </c>
      <c r="I2166" s="59" t="str">
        <f>IF(B2166="","",IFERROR(INDEX(pr_unit,MATCH(B2166,pr_code,0))&amp;"",""))</f>
        <v/>
      </c>
      <c r="J2166" s="65" t="str">
        <f>IF(COUNTA(A2166:G2166)=0,"",IF(E2166&lt;&gt;"",E2166,IF(B2166="","",IFERROR(IF(INDEX(pr_price,MATCH(B2166,pr_code,0))="","",INDEX(pr_price,MATCH(B2166,pr_code,0))),""))))</f>
        <v/>
      </c>
      <c r="K2166" s="71" t="str">
        <f>IF(COUNTA(A2166:G2166)=0,"",IF(G2166&lt;&gt;"",G2166,IF(B2166="","",IFERROR(IF(INDEX(pr_rate,MATCH(B2166,pr_code,0))="","",INDEX(pr_rate,MATCH(B2166,pr_code,0))),""))))</f>
        <v/>
      </c>
      <c r="L2166" s="65" t="str">
        <f>IF(COUNTA(A2166:G2166)=0,"",IF(AND(ISNUMBER(D2166),ISNUMBER(J2166)),ROUND(D2166*J2166*(1-N(F2166)),2),0))</f>
        <v/>
      </c>
      <c r="M2166" s="62" t="str">
        <f>IF(A2166="","",IFERROR(INDEX(fa_cname,MATCH(A2166,fa_num,0))&amp;"",""))</f>
        <v/>
      </c>
      <c r="N2166" s="59" t="str">
        <f>IF(COUNTA(A2166:G2166)=0,"",IF(A2166="","N° facture manquant",IF(ISNA(MATCH(A2166,fa_num,0)),"Facture inconnue",IF(AND(B2166&lt;&gt;"",ISNA(MATCH(B2166,pr_code,0))),"Article inconnu",IF(H2166="","Désignation manquante",IF(OR(NOT(ISNUMBER(D2166)),N(D2166)&lt;=0),"Quantité invalide",IF(J2166="","Prix manquant",IF(OR(NOT(ISNUMBER(J2166)),N(J2166)&lt;0),"Prix invalide",IF(OR(AND(F2166&lt;&gt;"",NOT(ISNUMBER(F2166))),N(F2166)&lt;0,N(F2166)&gt;1),"Remise invalide",IF(K2166="","Taux de TVA manquant",IF(NOT(ISNUMBER(K2166)),"Taux de TVA invalide",IF(COUNTIF(p_rates,K2166)=0,"Taux de TVA hors liste (Paramètres)",IF(N(O2166)&gt;25,"Au-delà de 25 lignes : non imprimée","OK")))))))))))))</f>
        <v/>
      </c>
      <c r="O2166" s="59" t="str">
        <f>IF(A2166="","",COUNTIF($A$6:A2166,A2166))</f>
        <v/>
      </c>
      <c r="P2166" s="62" t="str">
        <f>IF(A2166="","",A2166&amp;"|"&amp;O2166)</f>
        <v/>
      </c>
    </row>
    <row r="2167">
      <c r="A2167" s="60" t="n"/>
      <c r="B2167" s="63" t="n"/>
      <c r="C2167" s="63" t="n"/>
      <c r="D2167" s="67" t="n"/>
      <c r="E2167" s="68" t="n"/>
      <c r="F2167" s="69" t="n"/>
      <c r="G2167" s="70" t="n"/>
      <c r="H2167" s="62" t="str">
        <f>IF(COUNTA(A2167:G2167)=0,"",IF(C2167&lt;&gt;"",C2167,IF(B2167="","",IFERROR(INDEX(pr_des,MATCH(B2167,pr_code,0))&amp;"",""))))</f>
        <v/>
      </c>
      <c r="I2167" s="59" t="str">
        <f>IF(B2167="","",IFERROR(INDEX(pr_unit,MATCH(B2167,pr_code,0))&amp;"",""))</f>
        <v/>
      </c>
      <c r="J2167" s="65" t="str">
        <f>IF(COUNTA(A2167:G2167)=0,"",IF(E2167&lt;&gt;"",E2167,IF(B2167="","",IFERROR(IF(INDEX(pr_price,MATCH(B2167,pr_code,0))="","",INDEX(pr_price,MATCH(B2167,pr_code,0))),""))))</f>
        <v/>
      </c>
      <c r="K2167" s="71" t="str">
        <f>IF(COUNTA(A2167:G2167)=0,"",IF(G2167&lt;&gt;"",G2167,IF(B2167="","",IFERROR(IF(INDEX(pr_rate,MATCH(B2167,pr_code,0))="","",INDEX(pr_rate,MATCH(B2167,pr_code,0))),""))))</f>
        <v/>
      </c>
      <c r="L2167" s="65" t="str">
        <f>IF(COUNTA(A2167:G2167)=0,"",IF(AND(ISNUMBER(D2167),ISNUMBER(J2167)),ROUND(D2167*J2167*(1-N(F2167)),2),0))</f>
        <v/>
      </c>
      <c r="M2167" s="62" t="str">
        <f>IF(A2167="","",IFERROR(INDEX(fa_cname,MATCH(A2167,fa_num,0))&amp;"",""))</f>
        <v/>
      </c>
      <c r="N2167" s="59" t="str">
        <f>IF(COUNTA(A2167:G2167)=0,"",IF(A2167="","N° facture manquant",IF(ISNA(MATCH(A2167,fa_num,0)),"Facture inconnue",IF(AND(B2167&lt;&gt;"",ISNA(MATCH(B2167,pr_code,0))),"Article inconnu",IF(H2167="","Désignation manquante",IF(OR(NOT(ISNUMBER(D2167)),N(D2167)&lt;=0),"Quantité invalide",IF(J2167="","Prix manquant",IF(OR(NOT(ISNUMBER(J2167)),N(J2167)&lt;0),"Prix invalide",IF(OR(AND(F2167&lt;&gt;"",NOT(ISNUMBER(F2167))),N(F2167)&lt;0,N(F2167)&gt;1),"Remise invalide",IF(K2167="","Taux de TVA manquant",IF(NOT(ISNUMBER(K2167)),"Taux de TVA invalide",IF(COUNTIF(p_rates,K2167)=0,"Taux de TVA hors liste (Paramètres)",IF(N(O2167)&gt;25,"Au-delà de 25 lignes : non imprimée","OK")))))))))))))</f>
        <v/>
      </c>
      <c r="O2167" s="59" t="str">
        <f>IF(A2167="","",COUNTIF($A$6:A2167,A2167))</f>
        <v/>
      </c>
      <c r="P2167" s="62" t="str">
        <f>IF(A2167="","",A2167&amp;"|"&amp;O2167)</f>
        <v/>
      </c>
    </row>
    <row r="2168">
      <c r="A2168" s="60" t="n"/>
      <c r="B2168" s="63" t="n"/>
      <c r="C2168" s="63" t="n"/>
      <c r="D2168" s="67" t="n"/>
      <c r="E2168" s="68" t="n"/>
      <c r="F2168" s="69" t="n"/>
      <c r="G2168" s="70" t="n"/>
      <c r="H2168" s="62" t="str">
        <f>IF(COUNTA(A2168:G2168)=0,"",IF(C2168&lt;&gt;"",C2168,IF(B2168="","",IFERROR(INDEX(pr_des,MATCH(B2168,pr_code,0))&amp;"",""))))</f>
        <v/>
      </c>
      <c r="I2168" s="59" t="str">
        <f>IF(B2168="","",IFERROR(INDEX(pr_unit,MATCH(B2168,pr_code,0))&amp;"",""))</f>
        <v/>
      </c>
      <c r="J2168" s="65" t="str">
        <f>IF(COUNTA(A2168:G2168)=0,"",IF(E2168&lt;&gt;"",E2168,IF(B2168="","",IFERROR(IF(INDEX(pr_price,MATCH(B2168,pr_code,0))="","",INDEX(pr_price,MATCH(B2168,pr_code,0))),""))))</f>
        <v/>
      </c>
      <c r="K2168" s="71" t="str">
        <f>IF(COUNTA(A2168:G2168)=0,"",IF(G2168&lt;&gt;"",G2168,IF(B2168="","",IFERROR(IF(INDEX(pr_rate,MATCH(B2168,pr_code,0))="","",INDEX(pr_rate,MATCH(B2168,pr_code,0))),""))))</f>
        <v/>
      </c>
      <c r="L2168" s="65" t="str">
        <f>IF(COUNTA(A2168:G2168)=0,"",IF(AND(ISNUMBER(D2168),ISNUMBER(J2168)),ROUND(D2168*J2168*(1-N(F2168)),2),0))</f>
        <v/>
      </c>
      <c r="M2168" s="62" t="str">
        <f>IF(A2168="","",IFERROR(INDEX(fa_cname,MATCH(A2168,fa_num,0))&amp;"",""))</f>
        <v/>
      </c>
      <c r="N2168" s="59" t="str">
        <f>IF(COUNTA(A2168:G2168)=0,"",IF(A2168="","N° facture manquant",IF(ISNA(MATCH(A2168,fa_num,0)),"Facture inconnue",IF(AND(B2168&lt;&gt;"",ISNA(MATCH(B2168,pr_code,0))),"Article inconnu",IF(H2168="","Désignation manquante",IF(OR(NOT(ISNUMBER(D2168)),N(D2168)&lt;=0),"Quantité invalide",IF(J2168="","Prix manquant",IF(OR(NOT(ISNUMBER(J2168)),N(J2168)&lt;0),"Prix invalide",IF(OR(AND(F2168&lt;&gt;"",NOT(ISNUMBER(F2168))),N(F2168)&lt;0,N(F2168)&gt;1),"Remise invalide",IF(K2168="","Taux de TVA manquant",IF(NOT(ISNUMBER(K2168)),"Taux de TVA invalide",IF(COUNTIF(p_rates,K2168)=0,"Taux de TVA hors liste (Paramètres)",IF(N(O2168)&gt;25,"Au-delà de 25 lignes : non imprimée","OK")))))))))))))</f>
        <v/>
      </c>
      <c r="O2168" s="59" t="str">
        <f>IF(A2168="","",COUNTIF($A$6:A2168,A2168))</f>
        <v/>
      </c>
      <c r="P2168" s="62" t="str">
        <f>IF(A2168="","",A2168&amp;"|"&amp;O2168)</f>
        <v/>
      </c>
    </row>
    <row r="2169">
      <c r="A2169" s="60" t="n"/>
      <c r="B2169" s="63" t="n"/>
      <c r="C2169" s="63" t="n"/>
      <c r="D2169" s="67" t="n"/>
      <c r="E2169" s="68" t="n"/>
      <c r="F2169" s="69" t="n"/>
      <c r="G2169" s="70" t="n"/>
      <c r="H2169" s="62" t="str">
        <f>IF(COUNTA(A2169:G2169)=0,"",IF(C2169&lt;&gt;"",C2169,IF(B2169="","",IFERROR(INDEX(pr_des,MATCH(B2169,pr_code,0))&amp;"",""))))</f>
        <v/>
      </c>
      <c r="I2169" s="59" t="str">
        <f>IF(B2169="","",IFERROR(INDEX(pr_unit,MATCH(B2169,pr_code,0))&amp;"",""))</f>
        <v/>
      </c>
      <c r="J2169" s="65" t="str">
        <f>IF(COUNTA(A2169:G2169)=0,"",IF(E2169&lt;&gt;"",E2169,IF(B2169="","",IFERROR(IF(INDEX(pr_price,MATCH(B2169,pr_code,0))="","",INDEX(pr_price,MATCH(B2169,pr_code,0))),""))))</f>
        <v/>
      </c>
      <c r="K2169" s="71" t="str">
        <f>IF(COUNTA(A2169:G2169)=0,"",IF(G2169&lt;&gt;"",G2169,IF(B2169="","",IFERROR(IF(INDEX(pr_rate,MATCH(B2169,pr_code,0))="","",INDEX(pr_rate,MATCH(B2169,pr_code,0))),""))))</f>
        <v/>
      </c>
      <c r="L2169" s="65" t="str">
        <f>IF(COUNTA(A2169:G2169)=0,"",IF(AND(ISNUMBER(D2169),ISNUMBER(J2169)),ROUND(D2169*J2169*(1-N(F2169)),2),0))</f>
        <v/>
      </c>
      <c r="M2169" s="62" t="str">
        <f>IF(A2169="","",IFERROR(INDEX(fa_cname,MATCH(A2169,fa_num,0))&amp;"",""))</f>
        <v/>
      </c>
      <c r="N2169" s="59" t="str">
        <f>IF(COUNTA(A2169:G2169)=0,"",IF(A2169="","N° facture manquant",IF(ISNA(MATCH(A2169,fa_num,0)),"Facture inconnue",IF(AND(B2169&lt;&gt;"",ISNA(MATCH(B2169,pr_code,0))),"Article inconnu",IF(H2169="","Désignation manquante",IF(OR(NOT(ISNUMBER(D2169)),N(D2169)&lt;=0),"Quantité invalide",IF(J2169="","Prix manquant",IF(OR(NOT(ISNUMBER(J2169)),N(J2169)&lt;0),"Prix invalide",IF(OR(AND(F2169&lt;&gt;"",NOT(ISNUMBER(F2169))),N(F2169)&lt;0,N(F2169)&gt;1),"Remise invalide",IF(K2169="","Taux de TVA manquant",IF(NOT(ISNUMBER(K2169)),"Taux de TVA invalide",IF(COUNTIF(p_rates,K2169)=0,"Taux de TVA hors liste (Paramètres)",IF(N(O2169)&gt;25,"Au-delà de 25 lignes : non imprimée","OK")))))))))))))</f>
        <v/>
      </c>
      <c r="O2169" s="59" t="str">
        <f>IF(A2169="","",COUNTIF($A$6:A2169,A2169))</f>
        <v/>
      </c>
      <c r="P2169" s="62" t="str">
        <f>IF(A2169="","",A2169&amp;"|"&amp;O2169)</f>
        <v/>
      </c>
    </row>
    <row r="2170">
      <c r="A2170" s="60" t="n"/>
      <c r="B2170" s="63" t="n"/>
      <c r="C2170" s="63" t="n"/>
      <c r="D2170" s="67" t="n"/>
      <c r="E2170" s="68" t="n"/>
      <c r="F2170" s="69" t="n"/>
      <c r="G2170" s="70" t="n"/>
      <c r="H2170" s="62" t="str">
        <f>IF(COUNTA(A2170:G2170)=0,"",IF(C2170&lt;&gt;"",C2170,IF(B2170="","",IFERROR(INDEX(pr_des,MATCH(B2170,pr_code,0))&amp;"",""))))</f>
        <v/>
      </c>
      <c r="I2170" s="59" t="str">
        <f>IF(B2170="","",IFERROR(INDEX(pr_unit,MATCH(B2170,pr_code,0))&amp;"",""))</f>
        <v/>
      </c>
      <c r="J2170" s="65" t="str">
        <f>IF(COUNTA(A2170:G2170)=0,"",IF(E2170&lt;&gt;"",E2170,IF(B2170="","",IFERROR(IF(INDEX(pr_price,MATCH(B2170,pr_code,0))="","",INDEX(pr_price,MATCH(B2170,pr_code,0))),""))))</f>
        <v/>
      </c>
      <c r="K2170" s="71" t="str">
        <f>IF(COUNTA(A2170:G2170)=0,"",IF(G2170&lt;&gt;"",G2170,IF(B2170="","",IFERROR(IF(INDEX(pr_rate,MATCH(B2170,pr_code,0))="","",INDEX(pr_rate,MATCH(B2170,pr_code,0))),""))))</f>
        <v/>
      </c>
      <c r="L2170" s="65" t="str">
        <f>IF(COUNTA(A2170:G2170)=0,"",IF(AND(ISNUMBER(D2170),ISNUMBER(J2170)),ROUND(D2170*J2170*(1-N(F2170)),2),0))</f>
        <v/>
      </c>
      <c r="M2170" s="62" t="str">
        <f>IF(A2170="","",IFERROR(INDEX(fa_cname,MATCH(A2170,fa_num,0))&amp;"",""))</f>
        <v/>
      </c>
      <c r="N2170" s="59" t="str">
        <f>IF(COUNTA(A2170:G2170)=0,"",IF(A2170="","N° facture manquant",IF(ISNA(MATCH(A2170,fa_num,0)),"Facture inconnue",IF(AND(B2170&lt;&gt;"",ISNA(MATCH(B2170,pr_code,0))),"Article inconnu",IF(H2170="","Désignation manquante",IF(OR(NOT(ISNUMBER(D2170)),N(D2170)&lt;=0),"Quantité invalide",IF(J2170="","Prix manquant",IF(OR(NOT(ISNUMBER(J2170)),N(J2170)&lt;0),"Prix invalide",IF(OR(AND(F2170&lt;&gt;"",NOT(ISNUMBER(F2170))),N(F2170)&lt;0,N(F2170)&gt;1),"Remise invalide",IF(K2170="","Taux de TVA manquant",IF(NOT(ISNUMBER(K2170)),"Taux de TVA invalide",IF(COUNTIF(p_rates,K2170)=0,"Taux de TVA hors liste (Paramètres)",IF(N(O2170)&gt;25,"Au-delà de 25 lignes : non imprimée","OK")))))))))))))</f>
        <v/>
      </c>
      <c r="O2170" s="59" t="str">
        <f>IF(A2170="","",COUNTIF($A$6:A2170,A2170))</f>
        <v/>
      </c>
      <c r="P2170" s="62" t="str">
        <f>IF(A2170="","",A2170&amp;"|"&amp;O2170)</f>
        <v/>
      </c>
    </row>
    <row r="2171">
      <c r="A2171" s="60" t="n"/>
      <c r="B2171" s="63" t="n"/>
      <c r="C2171" s="63" t="n"/>
      <c r="D2171" s="67" t="n"/>
      <c r="E2171" s="68" t="n"/>
      <c r="F2171" s="69" t="n"/>
      <c r="G2171" s="70" t="n"/>
      <c r="H2171" s="62" t="str">
        <f>IF(COUNTA(A2171:G2171)=0,"",IF(C2171&lt;&gt;"",C2171,IF(B2171="","",IFERROR(INDEX(pr_des,MATCH(B2171,pr_code,0))&amp;"",""))))</f>
        <v/>
      </c>
      <c r="I2171" s="59" t="str">
        <f>IF(B2171="","",IFERROR(INDEX(pr_unit,MATCH(B2171,pr_code,0))&amp;"",""))</f>
        <v/>
      </c>
      <c r="J2171" s="65" t="str">
        <f>IF(COUNTA(A2171:G2171)=0,"",IF(E2171&lt;&gt;"",E2171,IF(B2171="","",IFERROR(IF(INDEX(pr_price,MATCH(B2171,pr_code,0))="","",INDEX(pr_price,MATCH(B2171,pr_code,0))),""))))</f>
        <v/>
      </c>
      <c r="K2171" s="71" t="str">
        <f>IF(COUNTA(A2171:G2171)=0,"",IF(G2171&lt;&gt;"",G2171,IF(B2171="","",IFERROR(IF(INDEX(pr_rate,MATCH(B2171,pr_code,0))="","",INDEX(pr_rate,MATCH(B2171,pr_code,0))),""))))</f>
        <v/>
      </c>
      <c r="L2171" s="65" t="str">
        <f>IF(COUNTA(A2171:G2171)=0,"",IF(AND(ISNUMBER(D2171),ISNUMBER(J2171)),ROUND(D2171*J2171*(1-N(F2171)),2),0))</f>
        <v/>
      </c>
      <c r="M2171" s="62" t="str">
        <f>IF(A2171="","",IFERROR(INDEX(fa_cname,MATCH(A2171,fa_num,0))&amp;"",""))</f>
        <v/>
      </c>
      <c r="N2171" s="59" t="str">
        <f>IF(COUNTA(A2171:G2171)=0,"",IF(A2171="","N° facture manquant",IF(ISNA(MATCH(A2171,fa_num,0)),"Facture inconnue",IF(AND(B2171&lt;&gt;"",ISNA(MATCH(B2171,pr_code,0))),"Article inconnu",IF(H2171="","Désignation manquante",IF(OR(NOT(ISNUMBER(D2171)),N(D2171)&lt;=0),"Quantité invalide",IF(J2171="","Prix manquant",IF(OR(NOT(ISNUMBER(J2171)),N(J2171)&lt;0),"Prix invalide",IF(OR(AND(F2171&lt;&gt;"",NOT(ISNUMBER(F2171))),N(F2171)&lt;0,N(F2171)&gt;1),"Remise invalide",IF(K2171="","Taux de TVA manquant",IF(NOT(ISNUMBER(K2171)),"Taux de TVA invalide",IF(COUNTIF(p_rates,K2171)=0,"Taux de TVA hors liste (Paramètres)",IF(N(O2171)&gt;25,"Au-delà de 25 lignes : non imprimée","OK")))))))))))))</f>
        <v/>
      </c>
      <c r="O2171" s="59" t="str">
        <f>IF(A2171="","",COUNTIF($A$6:A2171,A2171))</f>
        <v/>
      </c>
      <c r="P2171" s="62" t="str">
        <f>IF(A2171="","",A2171&amp;"|"&amp;O2171)</f>
        <v/>
      </c>
    </row>
    <row r="2172">
      <c r="A2172" s="60" t="n"/>
      <c r="B2172" s="63" t="n"/>
      <c r="C2172" s="63" t="n"/>
      <c r="D2172" s="67" t="n"/>
      <c r="E2172" s="68" t="n"/>
      <c r="F2172" s="69" t="n"/>
      <c r="G2172" s="70" t="n"/>
      <c r="H2172" s="62" t="str">
        <f>IF(COUNTA(A2172:G2172)=0,"",IF(C2172&lt;&gt;"",C2172,IF(B2172="","",IFERROR(INDEX(pr_des,MATCH(B2172,pr_code,0))&amp;"",""))))</f>
        <v/>
      </c>
      <c r="I2172" s="59" t="str">
        <f>IF(B2172="","",IFERROR(INDEX(pr_unit,MATCH(B2172,pr_code,0))&amp;"",""))</f>
        <v/>
      </c>
      <c r="J2172" s="65" t="str">
        <f>IF(COUNTA(A2172:G2172)=0,"",IF(E2172&lt;&gt;"",E2172,IF(B2172="","",IFERROR(IF(INDEX(pr_price,MATCH(B2172,pr_code,0))="","",INDEX(pr_price,MATCH(B2172,pr_code,0))),""))))</f>
        <v/>
      </c>
      <c r="K2172" s="71" t="str">
        <f>IF(COUNTA(A2172:G2172)=0,"",IF(G2172&lt;&gt;"",G2172,IF(B2172="","",IFERROR(IF(INDEX(pr_rate,MATCH(B2172,pr_code,0))="","",INDEX(pr_rate,MATCH(B2172,pr_code,0))),""))))</f>
        <v/>
      </c>
      <c r="L2172" s="65" t="str">
        <f>IF(COUNTA(A2172:G2172)=0,"",IF(AND(ISNUMBER(D2172),ISNUMBER(J2172)),ROUND(D2172*J2172*(1-N(F2172)),2),0))</f>
        <v/>
      </c>
      <c r="M2172" s="62" t="str">
        <f>IF(A2172="","",IFERROR(INDEX(fa_cname,MATCH(A2172,fa_num,0))&amp;"",""))</f>
        <v/>
      </c>
      <c r="N2172" s="59" t="str">
        <f>IF(COUNTA(A2172:G2172)=0,"",IF(A2172="","N° facture manquant",IF(ISNA(MATCH(A2172,fa_num,0)),"Facture inconnue",IF(AND(B2172&lt;&gt;"",ISNA(MATCH(B2172,pr_code,0))),"Article inconnu",IF(H2172="","Désignation manquante",IF(OR(NOT(ISNUMBER(D2172)),N(D2172)&lt;=0),"Quantité invalide",IF(J2172="","Prix manquant",IF(OR(NOT(ISNUMBER(J2172)),N(J2172)&lt;0),"Prix invalide",IF(OR(AND(F2172&lt;&gt;"",NOT(ISNUMBER(F2172))),N(F2172)&lt;0,N(F2172)&gt;1),"Remise invalide",IF(K2172="","Taux de TVA manquant",IF(NOT(ISNUMBER(K2172)),"Taux de TVA invalide",IF(COUNTIF(p_rates,K2172)=0,"Taux de TVA hors liste (Paramètres)",IF(N(O2172)&gt;25,"Au-delà de 25 lignes : non imprimée","OK")))))))))))))</f>
        <v/>
      </c>
      <c r="O2172" s="59" t="str">
        <f>IF(A2172="","",COUNTIF($A$6:A2172,A2172))</f>
        <v/>
      </c>
      <c r="P2172" s="62" t="str">
        <f>IF(A2172="","",A2172&amp;"|"&amp;O2172)</f>
        <v/>
      </c>
    </row>
    <row r="2173">
      <c r="A2173" s="60" t="n"/>
      <c r="B2173" s="63" t="n"/>
      <c r="C2173" s="63" t="n"/>
      <c r="D2173" s="67" t="n"/>
      <c r="E2173" s="68" t="n"/>
      <c r="F2173" s="69" t="n"/>
      <c r="G2173" s="70" t="n"/>
      <c r="H2173" s="62" t="str">
        <f>IF(COUNTA(A2173:G2173)=0,"",IF(C2173&lt;&gt;"",C2173,IF(B2173="","",IFERROR(INDEX(pr_des,MATCH(B2173,pr_code,0))&amp;"",""))))</f>
        <v/>
      </c>
      <c r="I2173" s="59" t="str">
        <f>IF(B2173="","",IFERROR(INDEX(pr_unit,MATCH(B2173,pr_code,0))&amp;"",""))</f>
        <v/>
      </c>
      <c r="J2173" s="65" t="str">
        <f>IF(COUNTA(A2173:G2173)=0,"",IF(E2173&lt;&gt;"",E2173,IF(B2173="","",IFERROR(IF(INDEX(pr_price,MATCH(B2173,pr_code,0))="","",INDEX(pr_price,MATCH(B2173,pr_code,0))),""))))</f>
        <v/>
      </c>
      <c r="K2173" s="71" t="str">
        <f>IF(COUNTA(A2173:G2173)=0,"",IF(G2173&lt;&gt;"",G2173,IF(B2173="","",IFERROR(IF(INDEX(pr_rate,MATCH(B2173,pr_code,0))="","",INDEX(pr_rate,MATCH(B2173,pr_code,0))),""))))</f>
        <v/>
      </c>
      <c r="L2173" s="65" t="str">
        <f>IF(COUNTA(A2173:G2173)=0,"",IF(AND(ISNUMBER(D2173),ISNUMBER(J2173)),ROUND(D2173*J2173*(1-N(F2173)),2),0))</f>
        <v/>
      </c>
      <c r="M2173" s="62" t="str">
        <f>IF(A2173="","",IFERROR(INDEX(fa_cname,MATCH(A2173,fa_num,0))&amp;"",""))</f>
        <v/>
      </c>
      <c r="N2173" s="59" t="str">
        <f>IF(COUNTA(A2173:G2173)=0,"",IF(A2173="","N° facture manquant",IF(ISNA(MATCH(A2173,fa_num,0)),"Facture inconnue",IF(AND(B2173&lt;&gt;"",ISNA(MATCH(B2173,pr_code,0))),"Article inconnu",IF(H2173="","Désignation manquante",IF(OR(NOT(ISNUMBER(D2173)),N(D2173)&lt;=0),"Quantité invalide",IF(J2173="","Prix manquant",IF(OR(NOT(ISNUMBER(J2173)),N(J2173)&lt;0),"Prix invalide",IF(OR(AND(F2173&lt;&gt;"",NOT(ISNUMBER(F2173))),N(F2173)&lt;0,N(F2173)&gt;1),"Remise invalide",IF(K2173="","Taux de TVA manquant",IF(NOT(ISNUMBER(K2173)),"Taux de TVA invalide",IF(COUNTIF(p_rates,K2173)=0,"Taux de TVA hors liste (Paramètres)",IF(N(O2173)&gt;25,"Au-delà de 25 lignes : non imprimée","OK")))))))))))))</f>
        <v/>
      </c>
      <c r="O2173" s="59" t="str">
        <f>IF(A2173="","",COUNTIF($A$6:A2173,A2173))</f>
        <v/>
      </c>
      <c r="P2173" s="62" t="str">
        <f>IF(A2173="","",A2173&amp;"|"&amp;O2173)</f>
        <v/>
      </c>
    </row>
    <row r="2174">
      <c r="A2174" s="60" t="n"/>
      <c r="B2174" s="63" t="n"/>
      <c r="C2174" s="63" t="n"/>
      <c r="D2174" s="67" t="n"/>
      <c r="E2174" s="68" t="n"/>
      <c r="F2174" s="69" t="n"/>
      <c r="G2174" s="70" t="n"/>
      <c r="H2174" s="62" t="str">
        <f>IF(COUNTA(A2174:G2174)=0,"",IF(C2174&lt;&gt;"",C2174,IF(B2174="","",IFERROR(INDEX(pr_des,MATCH(B2174,pr_code,0))&amp;"",""))))</f>
        <v/>
      </c>
      <c r="I2174" s="59" t="str">
        <f>IF(B2174="","",IFERROR(INDEX(pr_unit,MATCH(B2174,pr_code,0))&amp;"",""))</f>
        <v/>
      </c>
      <c r="J2174" s="65" t="str">
        <f>IF(COUNTA(A2174:G2174)=0,"",IF(E2174&lt;&gt;"",E2174,IF(B2174="","",IFERROR(IF(INDEX(pr_price,MATCH(B2174,pr_code,0))="","",INDEX(pr_price,MATCH(B2174,pr_code,0))),""))))</f>
        <v/>
      </c>
      <c r="K2174" s="71" t="str">
        <f>IF(COUNTA(A2174:G2174)=0,"",IF(G2174&lt;&gt;"",G2174,IF(B2174="","",IFERROR(IF(INDEX(pr_rate,MATCH(B2174,pr_code,0))="","",INDEX(pr_rate,MATCH(B2174,pr_code,0))),""))))</f>
        <v/>
      </c>
      <c r="L2174" s="65" t="str">
        <f>IF(COUNTA(A2174:G2174)=0,"",IF(AND(ISNUMBER(D2174),ISNUMBER(J2174)),ROUND(D2174*J2174*(1-N(F2174)),2),0))</f>
        <v/>
      </c>
      <c r="M2174" s="62" t="str">
        <f>IF(A2174="","",IFERROR(INDEX(fa_cname,MATCH(A2174,fa_num,0))&amp;"",""))</f>
        <v/>
      </c>
      <c r="N2174" s="59" t="str">
        <f>IF(COUNTA(A2174:G2174)=0,"",IF(A2174="","N° facture manquant",IF(ISNA(MATCH(A2174,fa_num,0)),"Facture inconnue",IF(AND(B2174&lt;&gt;"",ISNA(MATCH(B2174,pr_code,0))),"Article inconnu",IF(H2174="","Désignation manquante",IF(OR(NOT(ISNUMBER(D2174)),N(D2174)&lt;=0),"Quantité invalide",IF(J2174="","Prix manquant",IF(OR(NOT(ISNUMBER(J2174)),N(J2174)&lt;0),"Prix invalide",IF(OR(AND(F2174&lt;&gt;"",NOT(ISNUMBER(F2174))),N(F2174)&lt;0,N(F2174)&gt;1),"Remise invalide",IF(K2174="","Taux de TVA manquant",IF(NOT(ISNUMBER(K2174)),"Taux de TVA invalide",IF(COUNTIF(p_rates,K2174)=0,"Taux de TVA hors liste (Paramètres)",IF(N(O2174)&gt;25,"Au-delà de 25 lignes : non imprimée","OK")))))))))))))</f>
        <v/>
      </c>
      <c r="O2174" s="59" t="str">
        <f>IF(A2174="","",COUNTIF($A$6:A2174,A2174))</f>
        <v/>
      </c>
      <c r="P2174" s="62" t="str">
        <f>IF(A2174="","",A2174&amp;"|"&amp;O2174)</f>
        <v/>
      </c>
    </row>
    <row r="2175">
      <c r="A2175" s="60" t="n"/>
      <c r="B2175" s="63" t="n"/>
      <c r="C2175" s="63" t="n"/>
      <c r="D2175" s="67" t="n"/>
      <c r="E2175" s="68" t="n"/>
      <c r="F2175" s="69" t="n"/>
      <c r="G2175" s="70" t="n"/>
      <c r="H2175" s="62" t="str">
        <f>IF(COUNTA(A2175:G2175)=0,"",IF(C2175&lt;&gt;"",C2175,IF(B2175="","",IFERROR(INDEX(pr_des,MATCH(B2175,pr_code,0))&amp;"",""))))</f>
        <v/>
      </c>
      <c r="I2175" s="59" t="str">
        <f>IF(B2175="","",IFERROR(INDEX(pr_unit,MATCH(B2175,pr_code,0))&amp;"",""))</f>
        <v/>
      </c>
      <c r="J2175" s="65" t="str">
        <f>IF(COUNTA(A2175:G2175)=0,"",IF(E2175&lt;&gt;"",E2175,IF(B2175="","",IFERROR(IF(INDEX(pr_price,MATCH(B2175,pr_code,0))="","",INDEX(pr_price,MATCH(B2175,pr_code,0))),""))))</f>
        <v/>
      </c>
      <c r="K2175" s="71" t="str">
        <f>IF(COUNTA(A2175:G2175)=0,"",IF(G2175&lt;&gt;"",G2175,IF(B2175="","",IFERROR(IF(INDEX(pr_rate,MATCH(B2175,pr_code,0))="","",INDEX(pr_rate,MATCH(B2175,pr_code,0))),""))))</f>
        <v/>
      </c>
      <c r="L2175" s="65" t="str">
        <f>IF(COUNTA(A2175:G2175)=0,"",IF(AND(ISNUMBER(D2175),ISNUMBER(J2175)),ROUND(D2175*J2175*(1-N(F2175)),2),0))</f>
        <v/>
      </c>
      <c r="M2175" s="62" t="str">
        <f>IF(A2175="","",IFERROR(INDEX(fa_cname,MATCH(A2175,fa_num,0))&amp;"",""))</f>
        <v/>
      </c>
      <c r="N2175" s="59" t="str">
        <f>IF(COUNTA(A2175:G2175)=0,"",IF(A2175="","N° facture manquant",IF(ISNA(MATCH(A2175,fa_num,0)),"Facture inconnue",IF(AND(B2175&lt;&gt;"",ISNA(MATCH(B2175,pr_code,0))),"Article inconnu",IF(H2175="","Désignation manquante",IF(OR(NOT(ISNUMBER(D2175)),N(D2175)&lt;=0),"Quantité invalide",IF(J2175="","Prix manquant",IF(OR(NOT(ISNUMBER(J2175)),N(J2175)&lt;0),"Prix invalide",IF(OR(AND(F2175&lt;&gt;"",NOT(ISNUMBER(F2175))),N(F2175)&lt;0,N(F2175)&gt;1),"Remise invalide",IF(K2175="","Taux de TVA manquant",IF(NOT(ISNUMBER(K2175)),"Taux de TVA invalide",IF(COUNTIF(p_rates,K2175)=0,"Taux de TVA hors liste (Paramètres)",IF(N(O2175)&gt;25,"Au-delà de 25 lignes : non imprimée","OK")))))))))))))</f>
        <v/>
      </c>
      <c r="O2175" s="59" t="str">
        <f>IF(A2175="","",COUNTIF($A$6:A2175,A2175))</f>
        <v/>
      </c>
      <c r="P2175" s="62" t="str">
        <f>IF(A2175="","",A2175&amp;"|"&amp;O2175)</f>
        <v/>
      </c>
    </row>
    <row r="2176">
      <c r="A2176" s="60" t="n"/>
      <c r="B2176" s="63" t="n"/>
      <c r="C2176" s="63" t="n"/>
      <c r="D2176" s="67" t="n"/>
      <c r="E2176" s="68" t="n"/>
      <c r="F2176" s="69" t="n"/>
      <c r="G2176" s="70" t="n"/>
      <c r="H2176" s="62" t="str">
        <f>IF(COUNTA(A2176:G2176)=0,"",IF(C2176&lt;&gt;"",C2176,IF(B2176="","",IFERROR(INDEX(pr_des,MATCH(B2176,pr_code,0))&amp;"",""))))</f>
        <v/>
      </c>
      <c r="I2176" s="59" t="str">
        <f>IF(B2176="","",IFERROR(INDEX(pr_unit,MATCH(B2176,pr_code,0))&amp;"",""))</f>
        <v/>
      </c>
      <c r="J2176" s="65" t="str">
        <f>IF(COUNTA(A2176:G2176)=0,"",IF(E2176&lt;&gt;"",E2176,IF(B2176="","",IFERROR(IF(INDEX(pr_price,MATCH(B2176,pr_code,0))="","",INDEX(pr_price,MATCH(B2176,pr_code,0))),""))))</f>
        <v/>
      </c>
      <c r="K2176" s="71" t="str">
        <f>IF(COUNTA(A2176:G2176)=0,"",IF(G2176&lt;&gt;"",G2176,IF(B2176="","",IFERROR(IF(INDEX(pr_rate,MATCH(B2176,pr_code,0))="","",INDEX(pr_rate,MATCH(B2176,pr_code,0))),""))))</f>
        <v/>
      </c>
      <c r="L2176" s="65" t="str">
        <f>IF(COUNTA(A2176:G2176)=0,"",IF(AND(ISNUMBER(D2176),ISNUMBER(J2176)),ROUND(D2176*J2176*(1-N(F2176)),2),0))</f>
        <v/>
      </c>
      <c r="M2176" s="62" t="str">
        <f>IF(A2176="","",IFERROR(INDEX(fa_cname,MATCH(A2176,fa_num,0))&amp;"",""))</f>
        <v/>
      </c>
      <c r="N2176" s="59" t="str">
        <f>IF(COUNTA(A2176:G2176)=0,"",IF(A2176="","N° facture manquant",IF(ISNA(MATCH(A2176,fa_num,0)),"Facture inconnue",IF(AND(B2176&lt;&gt;"",ISNA(MATCH(B2176,pr_code,0))),"Article inconnu",IF(H2176="","Désignation manquante",IF(OR(NOT(ISNUMBER(D2176)),N(D2176)&lt;=0),"Quantité invalide",IF(J2176="","Prix manquant",IF(OR(NOT(ISNUMBER(J2176)),N(J2176)&lt;0),"Prix invalide",IF(OR(AND(F2176&lt;&gt;"",NOT(ISNUMBER(F2176))),N(F2176)&lt;0,N(F2176)&gt;1),"Remise invalide",IF(K2176="","Taux de TVA manquant",IF(NOT(ISNUMBER(K2176)),"Taux de TVA invalide",IF(COUNTIF(p_rates,K2176)=0,"Taux de TVA hors liste (Paramètres)",IF(N(O2176)&gt;25,"Au-delà de 25 lignes : non imprimée","OK")))))))))))))</f>
        <v/>
      </c>
      <c r="O2176" s="59" t="str">
        <f>IF(A2176="","",COUNTIF($A$6:A2176,A2176))</f>
        <v/>
      </c>
      <c r="P2176" s="62" t="str">
        <f>IF(A2176="","",A2176&amp;"|"&amp;O2176)</f>
        <v/>
      </c>
    </row>
    <row r="2177">
      <c r="A2177" s="60" t="n"/>
      <c r="B2177" s="63" t="n"/>
      <c r="C2177" s="63" t="n"/>
      <c r="D2177" s="67" t="n"/>
      <c r="E2177" s="68" t="n"/>
      <c r="F2177" s="69" t="n"/>
      <c r="G2177" s="70" t="n"/>
      <c r="H2177" s="62" t="str">
        <f>IF(COUNTA(A2177:G2177)=0,"",IF(C2177&lt;&gt;"",C2177,IF(B2177="","",IFERROR(INDEX(pr_des,MATCH(B2177,pr_code,0))&amp;"",""))))</f>
        <v/>
      </c>
      <c r="I2177" s="59" t="str">
        <f>IF(B2177="","",IFERROR(INDEX(pr_unit,MATCH(B2177,pr_code,0))&amp;"",""))</f>
        <v/>
      </c>
      <c r="J2177" s="65" t="str">
        <f>IF(COUNTA(A2177:G2177)=0,"",IF(E2177&lt;&gt;"",E2177,IF(B2177="","",IFERROR(IF(INDEX(pr_price,MATCH(B2177,pr_code,0))="","",INDEX(pr_price,MATCH(B2177,pr_code,0))),""))))</f>
        <v/>
      </c>
      <c r="K2177" s="71" t="str">
        <f>IF(COUNTA(A2177:G2177)=0,"",IF(G2177&lt;&gt;"",G2177,IF(B2177="","",IFERROR(IF(INDEX(pr_rate,MATCH(B2177,pr_code,0))="","",INDEX(pr_rate,MATCH(B2177,pr_code,0))),""))))</f>
        <v/>
      </c>
      <c r="L2177" s="65" t="str">
        <f>IF(COUNTA(A2177:G2177)=0,"",IF(AND(ISNUMBER(D2177),ISNUMBER(J2177)),ROUND(D2177*J2177*(1-N(F2177)),2),0))</f>
        <v/>
      </c>
      <c r="M2177" s="62" t="str">
        <f>IF(A2177="","",IFERROR(INDEX(fa_cname,MATCH(A2177,fa_num,0))&amp;"",""))</f>
        <v/>
      </c>
      <c r="N2177" s="59" t="str">
        <f>IF(COUNTA(A2177:G2177)=0,"",IF(A2177="","N° facture manquant",IF(ISNA(MATCH(A2177,fa_num,0)),"Facture inconnue",IF(AND(B2177&lt;&gt;"",ISNA(MATCH(B2177,pr_code,0))),"Article inconnu",IF(H2177="","Désignation manquante",IF(OR(NOT(ISNUMBER(D2177)),N(D2177)&lt;=0),"Quantité invalide",IF(J2177="","Prix manquant",IF(OR(NOT(ISNUMBER(J2177)),N(J2177)&lt;0),"Prix invalide",IF(OR(AND(F2177&lt;&gt;"",NOT(ISNUMBER(F2177))),N(F2177)&lt;0,N(F2177)&gt;1),"Remise invalide",IF(K2177="","Taux de TVA manquant",IF(NOT(ISNUMBER(K2177)),"Taux de TVA invalide",IF(COUNTIF(p_rates,K2177)=0,"Taux de TVA hors liste (Paramètres)",IF(N(O2177)&gt;25,"Au-delà de 25 lignes : non imprimée","OK")))))))))))))</f>
        <v/>
      </c>
      <c r="O2177" s="59" t="str">
        <f>IF(A2177="","",COUNTIF($A$6:A2177,A2177))</f>
        <v/>
      </c>
      <c r="P2177" s="62" t="str">
        <f>IF(A2177="","",A2177&amp;"|"&amp;O2177)</f>
        <v/>
      </c>
    </row>
    <row r="2178">
      <c r="A2178" s="60" t="n"/>
      <c r="B2178" s="63" t="n"/>
      <c r="C2178" s="63" t="n"/>
      <c r="D2178" s="67" t="n"/>
      <c r="E2178" s="68" t="n"/>
      <c r="F2178" s="69" t="n"/>
      <c r="G2178" s="70" t="n"/>
      <c r="H2178" s="62" t="str">
        <f>IF(COUNTA(A2178:G2178)=0,"",IF(C2178&lt;&gt;"",C2178,IF(B2178="","",IFERROR(INDEX(pr_des,MATCH(B2178,pr_code,0))&amp;"",""))))</f>
        <v/>
      </c>
      <c r="I2178" s="59" t="str">
        <f>IF(B2178="","",IFERROR(INDEX(pr_unit,MATCH(B2178,pr_code,0))&amp;"",""))</f>
        <v/>
      </c>
      <c r="J2178" s="65" t="str">
        <f>IF(COUNTA(A2178:G2178)=0,"",IF(E2178&lt;&gt;"",E2178,IF(B2178="","",IFERROR(IF(INDEX(pr_price,MATCH(B2178,pr_code,0))="","",INDEX(pr_price,MATCH(B2178,pr_code,0))),""))))</f>
        <v/>
      </c>
      <c r="K2178" s="71" t="str">
        <f>IF(COUNTA(A2178:G2178)=0,"",IF(G2178&lt;&gt;"",G2178,IF(B2178="","",IFERROR(IF(INDEX(pr_rate,MATCH(B2178,pr_code,0))="","",INDEX(pr_rate,MATCH(B2178,pr_code,0))),""))))</f>
        <v/>
      </c>
      <c r="L2178" s="65" t="str">
        <f>IF(COUNTA(A2178:G2178)=0,"",IF(AND(ISNUMBER(D2178),ISNUMBER(J2178)),ROUND(D2178*J2178*(1-N(F2178)),2),0))</f>
        <v/>
      </c>
      <c r="M2178" s="62" t="str">
        <f>IF(A2178="","",IFERROR(INDEX(fa_cname,MATCH(A2178,fa_num,0))&amp;"",""))</f>
        <v/>
      </c>
      <c r="N2178" s="59" t="str">
        <f>IF(COUNTA(A2178:G2178)=0,"",IF(A2178="","N° facture manquant",IF(ISNA(MATCH(A2178,fa_num,0)),"Facture inconnue",IF(AND(B2178&lt;&gt;"",ISNA(MATCH(B2178,pr_code,0))),"Article inconnu",IF(H2178="","Désignation manquante",IF(OR(NOT(ISNUMBER(D2178)),N(D2178)&lt;=0),"Quantité invalide",IF(J2178="","Prix manquant",IF(OR(NOT(ISNUMBER(J2178)),N(J2178)&lt;0),"Prix invalide",IF(OR(AND(F2178&lt;&gt;"",NOT(ISNUMBER(F2178))),N(F2178)&lt;0,N(F2178)&gt;1),"Remise invalide",IF(K2178="","Taux de TVA manquant",IF(NOT(ISNUMBER(K2178)),"Taux de TVA invalide",IF(COUNTIF(p_rates,K2178)=0,"Taux de TVA hors liste (Paramètres)",IF(N(O2178)&gt;25,"Au-delà de 25 lignes : non imprimée","OK")))))))))))))</f>
        <v/>
      </c>
      <c r="O2178" s="59" t="str">
        <f>IF(A2178="","",COUNTIF($A$6:A2178,A2178))</f>
        <v/>
      </c>
      <c r="P2178" s="62" t="str">
        <f>IF(A2178="","",A2178&amp;"|"&amp;O2178)</f>
        <v/>
      </c>
    </row>
    <row r="2179">
      <c r="A2179" s="60" t="n"/>
      <c r="B2179" s="63" t="n"/>
      <c r="C2179" s="63" t="n"/>
      <c r="D2179" s="67" t="n"/>
      <c r="E2179" s="68" t="n"/>
      <c r="F2179" s="69" t="n"/>
      <c r="G2179" s="70" t="n"/>
      <c r="H2179" s="62" t="str">
        <f>IF(COUNTA(A2179:G2179)=0,"",IF(C2179&lt;&gt;"",C2179,IF(B2179="","",IFERROR(INDEX(pr_des,MATCH(B2179,pr_code,0))&amp;"",""))))</f>
        <v/>
      </c>
      <c r="I2179" s="59" t="str">
        <f>IF(B2179="","",IFERROR(INDEX(pr_unit,MATCH(B2179,pr_code,0))&amp;"",""))</f>
        <v/>
      </c>
      <c r="J2179" s="65" t="str">
        <f>IF(COUNTA(A2179:G2179)=0,"",IF(E2179&lt;&gt;"",E2179,IF(B2179="","",IFERROR(IF(INDEX(pr_price,MATCH(B2179,pr_code,0))="","",INDEX(pr_price,MATCH(B2179,pr_code,0))),""))))</f>
        <v/>
      </c>
      <c r="K2179" s="71" t="str">
        <f>IF(COUNTA(A2179:G2179)=0,"",IF(G2179&lt;&gt;"",G2179,IF(B2179="","",IFERROR(IF(INDEX(pr_rate,MATCH(B2179,pr_code,0))="","",INDEX(pr_rate,MATCH(B2179,pr_code,0))),""))))</f>
        <v/>
      </c>
      <c r="L2179" s="65" t="str">
        <f>IF(COUNTA(A2179:G2179)=0,"",IF(AND(ISNUMBER(D2179),ISNUMBER(J2179)),ROUND(D2179*J2179*(1-N(F2179)),2),0))</f>
        <v/>
      </c>
      <c r="M2179" s="62" t="str">
        <f>IF(A2179="","",IFERROR(INDEX(fa_cname,MATCH(A2179,fa_num,0))&amp;"",""))</f>
        <v/>
      </c>
      <c r="N2179" s="59" t="str">
        <f>IF(COUNTA(A2179:G2179)=0,"",IF(A2179="","N° facture manquant",IF(ISNA(MATCH(A2179,fa_num,0)),"Facture inconnue",IF(AND(B2179&lt;&gt;"",ISNA(MATCH(B2179,pr_code,0))),"Article inconnu",IF(H2179="","Désignation manquante",IF(OR(NOT(ISNUMBER(D2179)),N(D2179)&lt;=0),"Quantité invalide",IF(J2179="","Prix manquant",IF(OR(NOT(ISNUMBER(J2179)),N(J2179)&lt;0),"Prix invalide",IF(OR(AND(F2179&lt;&gt;"",NOT(ISNUMBER(F2179))),N(F2179)&lt;0,N(F2179)&gt;1),"Remise invalide",IF(K2179="","Taux de TVA manquant",IF(NOT(ISNUMBER(K2179)),"Taux de TVA invalide",IF(COUNTIF(p_rates,K2179)=0,"Taux de TVA hors liste (Paramètres)",IF(N(O2179)&gt;25,"Au-delà de 25 lignes : non imprimée","OK")))))))))))))</f>
        <v/>
      </c>
      <c r="O2179" s="59" t="str">
        <f>IF(A2179="","",COUNTIF($A$6:A2179,A2179))</f>
        <v/>
      </c>
      <c r="P2179" s="62" t="str">
        <f>IF(A2179="","",A2179&amp;"|"&amp;O2179)</f>
        <v/>
      </c>
    </row>
    <row r="2180">
      <c r="A2180" s="60" t="n"/>
      <c r="B2180" s="63" t="n"/>
      <c r="C2180" s="63" t="n"/>
      <c r="D2180" s="67" t="n"/>
      <c r="E2180" s="68" t="n"/>
      <c r="F2180" s="69" t="n"/>
      <c r="G2180" s="70" t="n"/>
      <c r="H2180" s="62" t="str">
        <f>IF(COUNTA(A2180:G2180)=0,"",IF(C2180&lt;&gt;"",C2180,IF(B2180="","",IFERROR(INDEX(pr_des,MATCH(B2180,pr_code,0))&amp;"",""))))</f>
        <v/>
      </c>
      <c r="I2180" s="59" t="str">
        <f>IF(B2180="","",IFERROR(INDEX(pr_unit,MATCH(B2180,pr_code,0))&amp;"",""))</f>
        <v/>
      </c>
      <c r="J2180" s="65" t="str">
        <f>IF(COUNTA(A2180:G2180)=0,"",IF(E2180&lt;&gt;"",E2180,IF(B2180="","",IFERROR(IF(INDEX(pr_price,MATCH(B2180,pr_code,0))="","",INDEX(pr_price,MATCH(B2180,pr_code,0))),""))))</f>
        <v/>
      </c>
      <c r="K2180" s="71" t="str">
        <f>IF(COUNTA(A2180:G2180)=0,"",IF(G2180&lt;&gt;"",G2180,IF(B2180="","",IFERROR(IF(INDEX(pr_rate,MATCH(B2180,pr_code,0))="","",INDEX(pr_rate,MATCH(B2180,pr_code,0))),""))))</f>
        <v/>
      </c>
      <c r="L2180" s="65" t="str">
        <f>IF(COUNTA(A2180:G2180)=0,"",IF(AND(ISNUMBER(D2180),ISNUMBER(J2180)),ROUND(D2180*J2180*(1-N(F2180)),2),0))</f>
        <v/>
      </c>
      <c r="M2180" s="62" t="str">
        <f>IF(A2180="","",IFERROR(INDEX(fa_cname,MATCH(A2180,fa_num,0))&amp;"",""))</f>
        <v/>
      </c>
      <c r="N2180" s="59" t="str">
        <f>IF(COUNTA(A2180:G2180)=0,"",IF(A2180="","N° facture manquant",IF(ISNA(MATCH(A2180,fa_num,0)),"Facture inconnue",IF(AND(B2180&lt;&gt;"",ISNA(MATCH(B2180,pr_code,0))),"Article inconnu",IF(H2180="","Désignation manquante",IF(OR(NOT(ISNUMBER(D2180)),N(D2180)&lt;=0),"Quantité invalide",IF(J2180="","Prix manquant",IF(OR(NOT(ISNUMBER(J2180)),N(J2180)&lt;0),"Prix invalide",IF(OR(AND(F2180&lt;&gt;"",NOT(ISNUMBER(F2180))),N(F2180)&lt;0,N(F2180)&gt;1),"Remise invalide",IF(K2180="","Taux de TVA manquant",IF(NOT(ISNUMBER(K2180)),"Taux de TVA invalide",IF(COUNTIF(p_rates,K2180)=0,"Taux de TVA hors liste (Paramètres)",IF(N(O2180)&gt;25,"Au-delà de 25 lignes : non imprimée","OK")))))))))))))</f>
        <v/>
      </c>
      <c r="O2180" s="59" t="str">
        <f>IF(A2180="","",COUNTIF($A$6:A2180,A2180))</f>
        <v/>
      </c>
      <c r="P2180" s="62" t="str">
        <f>IF(A2180="","",A2180&amp;"|"&amp;O2180)</f>
        <v/>
      </c>
    </row>
    <row r="2181">
      <c r="A2181" s="60" t="n"/>
      <c r="B2181" s="63" t="n"/>
      <c r="C2181" s="63" t="n"/>
      <c r="D2181" s="67" t="n"/>
      <c r="E2181" s="68" t="n"/>
      <c r="F2181" s="69" t="n"/>
      <c r="G2181" s="70" t="n"/>
      <c r="H2181" s="62" t="str">
        <f>IF(COUNTA(A2181:G2181)=0,"",IF(C2181&lt;&gt;"",C2181,IF(B2181="","",IFERROR(INDEX(pr_des,MATCH(B2181,pr_code,0))&amp;"",""))))</f>
        <v/>
      </c>
      <c r="I2181" s="59" t="str">
        <f>IF(B2181="","",IFERROR(INDEX(pr_unit,MATCH(B2181,pr_code,0))&amp;"",""))</f>
        <v/>
      </c>
      <c r="J2181" s="65" t="str">
        <f>IF(COUNTA(A2181:G2181)=0,"",IF(E2181&lt;&gt;"",E2181,IF(B2181="","",IFERROR(IF(INDEX(pr_price,MATCH(B2181,pr_code,0))="","",INDEX(pr_price,MATCH(B2181,pr_code,0))),""))))</f>
        <v/>
      </c>
      <c r="K2181" s="71" t="str">
        <f>IF(COUNTA(A2181:G2181)=0,"",IF(G2181&lt;&gt;"",G2181,IF(B2181="","",IFERROR(IF(INDEX(pr_rate,MATCH(B2181,pr_code,0))="","",INDEX(pr_rate,MATCH(B2181,pr_code,0))),""))))</f>
        <v/>
      </c>
      <c r="L2181" s="65" t="str">
        <f>IF(COUNTA(A2181:G2181)=0,"",IF(AND(ISNUMBER(D2181),ISNUMBER(J2181)),ROUND(D2181*J2181*(1-N(F2181)),2),0))</f>
        <v/>
      </c>
      <c r="M2181" s="62" t="str">
        <f>IF(A2181="","",IFERROR(INDEX(fa_cname,MATCH(A2181,fa_num,0))&amp;"",""))</f>
        <v/>
      </c>
      <c r="N2181" s="59" t="str">
        <f>IF(COUNTA(A2181:G2181)=0,"",IF(A2181="","N° facture manquant",IF(ISNA(MATCH(A2181,fa_num,0)),"Facture inconnue",IF(AND(B2181&lt;&gt;"",ISNA(MATCH(B2181,pr_code,0))),"Article inconnu",IF(H2181="","Désignation manquante",IF(OR(NOT(ISNUMBER(D2181)),N(D2181)&lt;=0),"Quantité invalide",IF(J2181="","Prix manquant",IF(OR(NOT(ISNUMBER(J2181)),N(J2181)&lt;0),"Prix invalide",IF(OR(AND(F2181&lt;&gt;"",NOT(ISNUMBER(F2181))),N(F2181)&lt;0,N(F2181)&gt;1),"Remise invalide",IF(K2181="","Taux de TVA manquant",IF(NOT(ISNUMBER(K2181)),"Taux de TVA invalide",IF(COUNTIF(p_rates,K2181)=0,"Taux de TVA hors liste (Paramètres)",IF(N(O2181)&gt;25,"Au-delà de 25 lignes : non imprimée","OK")))))))))))))</f>
        <v/>
      </c>
      <c r="O2181" s="59" t="str">
        <f>IF(A2181="","",COUNTIF($A$6:A2181,A2181))</f>
        <v/>
      </c>
      <c r="P2181" s="62" t="str">
        <f>IF(A2181="","",A2181&amp;"|"&amp;O2181)</f>
        <v/>
      </c>
    </row>
    <row r="2182">
      <c r="A2182" s="60" t="n"/>
      <c r="B2182" s="63" t="n"/>
      <c r="C2182" s="63" t="n"/>
      <c r="D2182" s="67" t="n"/>
      <c r="E2182" s="68" t="n"/>
      <c r="F2182" s="69" t="n"/>
      <c r="G2182" s="70" t="n"/>
      <c r="H2182" s="62" t="str">
        <f>IF(COUNTA(A2182:G2182)=0,"",IF(C2182&lt;&gt;"",C2182,IF(B2182="","",IFERROR(INDEX(pr_des,MATCH(B2182,pr_code,0))&amp;"",""))))</f>
        <v/>
      </c>
      <c r="I2182" s="59" t="str">
        <f>IF(B2182="","",IFERROR(INDEX(pr_unit,MATCH(B2182,pr_code,0))&amp;"",""))</f>
        <v/>
      </c>
      <c r="J2182" s="65" t="str">
        <f>IF(COUNTA(A2182:G2182)=0,"",IF(E2182&lt;&gt;"",E2182,IF(B2182="","",IFERROR(IF(INDEX(pr_price,MATCH(B2182,pr_code,0))="","",INDEX(pr_price,MATCH(B2182,pr_code,0))),""))))</f>
        <v/>
      </c>
      <c r="K2182" s="71" t="str">
        <f>IF(COUNTA(A2182:G2182)=0,"",IF(G2182&lt;&gt;"",G2182,IF(B2182="","",IFERROR(IF(INDEX(pr_rate,MATCH(B2182,pr_code,0))="","",INDEX(pr_rate,MATCH(B2182,pr_code,0))),""))))</f>
        <v/>
      </c>
      <c r="L2182" s="65" t="str">
        <f>IF(COUNTA(A2182:G2182)=0,"",IF(AND(ISNUMBER(D2182),ISNUMBER(J2182)),ROUND(D2182*J2182*(1-N(F2182)),2),0))</f>
        <v/>
      </c>
      <c r="M2182" s="62" t="str">
        <f>IF(A2182="","",IFERROR(INDEX(fa_cname,MATCH(A2182,fa_num,0))&amp;"",""))</f>
        <v/>
      </c>
      <c r="N2182" s="59" t="str">
        <f>IF(COUNTA(A2182:G2182)=0,"",IF(A2182="","N° facture manquant",IF(ISNA(MATCH(A2182,fa_num,0)),"Facture inconnue",IF(AND(B2182&lt;&gt;"",ISNA(MATCH(B2182,pr_code,0))),"Article inconnu",IF(H2182="","Désignation manquante",IF(OR(NOT(ISNUMBER(D2182)),N(D2182)&lt;=0),"Quantité invalide",IF(J2182="","Prix manquant",IF(OR(NOT(ISNUMBER(J2182)),N(J2182)&lt;0),"Prix invalide",IF(OR(AND(F2182&lt;&gt;"",NOT(ISNUMBER(F2182))),N(F2182)&lt;0,N(F2182)&gt;1),"Remise invalide",IF(K2182="","Taux de TVA manquant",IF(NOT(ISNUMBER(K2182)),"Taux de TVA invalide",IF(COUNTIF(p_rates,K2182)=0,"Taux de TVA hors liste (Paramètres)",IF(N(O2182)&gt;25,"Au-delà de 25 lignes : non imprimée","OK")))))))))))))</f>
        <v/>
      </c>
      <c r="O2182" s="59" t="str">
        <f>IF(A2182="","",COUNTIF($A$6:A2182,A2182))</f>
        <v/>
      </c>
      <c r="P2182" s="62" t="str">
        <f>IF(A2182="","",A2182&amp;"|"&amp;O2182)</f>
        <v/>
      </c>
    </row>
    <row r="2183">
      <c r="A2183" s="60" t="n"/>
      <c r="B2183" s="63" t="n"/>
      <c r="C2183" s="63" t="n"/>
      <c r="D2183" s="67" t="n"/>
      <c r="E2183" s="68" t="n"/>
      <c r="F2183" s="69" t="n"/>
      <c r="G2183" s="70" t="n"/>
      <c r="H2183" s="62" t="str">
        <f>IF(COUNTA(A2183:G2183)=0,"",IF(C2183&lt;&gt;"",C2183,IF(B2183="","",IFERROR(INDEX(pr_des,MATCH(B2183,pr_code,0))&amp;"",""))))</f>
        <v/>
      </c>
      <c r="I2183" s="59" t="str">
        <f>IF(B2183="","",IFERROR(INDEX(pr_unit,MATCH(B2183,pr_code,0))&amp;"",""))</f>
        <v/>
      </c>
      <c r="J2183" s="65" t="str">
        <f>IF(COUNTA(A2183:G2183)=0,"",IF(E2183&lt;&gt;"",E2183,IF(B2183="","",IFERROR(IF(INDEX(pr_price,MATCH(B2183,pr_code,0))="","",INDEX(pr_price,MATCH(B2183,pr_code,0))),""))))</f>
        <v/>
      </c>
      <c r="K2183" s="71" t="str">
        <f>IF(COUNTA(A2183:G2183)=0,"",IF(G2183&lt;&gt;"",G2183,IF(B2183="","",IFERROR(IF(INDEX(pr_rate,MATCH(B2183,pr_code,0))="","",INDEX(pr_rate,MATCH(B2183,pr_code,0))),""))))</f>
        <v/>
      </c>
      <c r="L2183" s="65" t="str">
        <f>IF(COUNTA(A2183:G2183)=0,"",IF(AND(ISNUMBER(D2183),ISNUMBER(J2183)),ROUND(D2183*J2183*(1-N(F2183)),2),0))</f>
        <v/>
      </c>
      <c r="M2183" s="62" t="str">
        <f>IF(A2183="","",IFERROR(INDEX(fa_cname,MATCH(A2183,fa_num,0))&amp;"",""))</f>
        <v/>
      </c>
      <c r="N2183" s="59" t="str">
        <f>IF(COUNTA(A2183:G2183)=0,"",IF(A2183="","N° facture manquant",IF(ISNA(MATCH(A2183,fa_num,0)),"Facture inconnue",IF(AND(B2183&lt;&gt;"",ISNA(MATCH(B2183,pr_code,0))),"Article inconnu",IF(H2183="","Désignation manquante",IF(OR(NOT(ISNUMBER(D2183)),N(D2183)&lt;=0),"Quantité invalide",IF(J2183="","Prix manquant",IF(OR(NOT(ISNUMBER(J2183)),N(J2183)&lt;0),"Prix invalide",IF(OR(AND(F2183&lt;&gt;"",NOT(ISNUMBER(F2183))),N(F2183)&lt;0,N(F2183)&gt;1),"Remise invalide",IF(K2183="","Taux de TVA manquant",IF(NOT(ISNUMBER(K2183)),"Taux de TVA invalide",IF(COUNTIF(p_rates,K2183)=0,"Taux de TVA hors liste (Paramètres)",IF(N(O2183)&gt;25,"Au-delà de 25 lignes : non imprimée","OK")))))))))))))</f>
        <v/>
      </c>
      <c r="O2183" s="59" t="str">
        <f>IF(A2183="","",COUNTIF($A$6:A2183,A2183))</f>
        <v/>
      </c>
      <c r="P2183" s="62" t="str">
        <f>IF(A2183="","",A2183&amp;"|"&amp;O2183)</f>
        <v/>
      </c>
    </row>
    <row r="2184">
      <c r="A2184" s="60" t="n"/>
      <c r="B2184" s="63" t="n"/>
      <c r="C2184" s="63" t="n"/>
      <c r="D2184" s="67" t="n"/>
      <c r="E2184" s="68" t="n"/>
      <c r="F2184" s="69" t="n"/>
      <c r="G2184" s="70" t="n"/>
      <c r="H2184" s="62" t="str">
        <f>IF(COUNTA(A2184:G2184)=0,"",IF(C2184&lt;&gt;"",C2184,IF(B2184="","",IFERROR(INDEX(pr_des,MATCH(B2184,pr_code,0))&amp;"",""))))</f>
        <v/>
      </c>
      <c r="I2184" s="59" t="str">
        <f>IF(B2184="","",IFERROR(INDEX(pr_unit,MATCH(B2184,pr_code,0))&amp;"",""))</f>
        <v/>
      </c>
      <c r="J2184" s="65" t="str">
        <f>IF(COUNTA(A2184:G2184)=0,"",IF(E2184&lt;&gt;"",E2184,IF(B2184="","",IFERROR(IF(INDEX(pr_price,MATCH(B2184,pr_code,0))="","",INDEX(pr_price,MATCH(B2184,pr_code,0))),""))))</f>
        <v/>
      </c>
      <c r="K2184" s="71" t="str">
        <f>IF(COUNTA(A2184:G2184)=0,"",IF(G2184&lt;&gt;"",G2184,IF(B2184="","",IFERROR(IF(INDEX(pr_rate,MATCH(B2184,pr_code,0))="","",INDEX(pr_rate,MATCH(B2184,pr_code,0))),""))))</f>
        <v/>
      </c>
      <c r="L2184" s="65" t="str">
        <f>IF(COUNTA(A2184:G2184)=0,"",IF(AND(ISNUMBER(D2184),ISNUMBER(J2184)),ROUND(D2184*J2184*(1-N(F2184)),2),0))</f>
        <v/>
      </c>
      <c r="M2184" s="62" t="str">
        <f>IF(A2184="","",IFERROR(INDEX(fa_cname,MATCH(A2184,fa_num,0))&amp;"",""))</f>
        <v/>
      </c>
      <c r="N2184" s="59" t="str">
        <f>IF(COUNTA(A2184:G2184)=0,"",IF(A2184="","N° facture manquant",IF(ISNA(MATCH(A2184,fa_num,0)),"Facture inconnue",IF(AND(B2184&lt;&gt;"",ISNA(MATCH(B2184,pr_code,0))),"Article inconnu",IF(H2184="","Désignation manquante",IF(OR(NOT(ISNUMBER(D2184)),N(D2184)&lt;=0),"Quantité invalide",IF(J2184="","Prix manquant",IF(OR(NOT(ISNUMBER(J2184)),N(J2184)&lt;0),"Prix invalide",IF(OR(AND(F2184&lt;&gt;"",NOT(ISNUMBER(F2184))),N(F2184)&lt;0,N(F2184)&gt;1),"Remise invalide",IF(K2184="","Taux de TVA manquant",IF(NOT(ISNUMBER(K2184)),"Taux de TVA invalide",IF(COUNTIF(p_rates,K2184)=0,"Taux de TVA hors liste (Paramètres)",IF(N(O2184)&gt;25,"Au-delà de 25 lignes : non imprimée","OK")))))))))))))</f>
        <v/>
      </c>
      <c r="O2184" s="59" t="str">
        <f>IF(A2184="","",COUNTIF($A$6:A2184,A2184))</f>
        <v/>
      </c>
      <c r="P2184" s="62" t="str">
        <f>IF(A2184="","",A2184&amp;"|"&amp;O2184)</f>
        <v/>
      </c>
    </row>
    <row r="2185">
      <c r="A2185" s="60" t="n"/>
      <c r="B2185" s="63" t="n"/>
      <c r="C2185" s="63" t="n"/>
      <c r="D2185" s="67" t="n"/>
      <c r="E2185" s="68" t="n"/>
      <c r="F2185" s="69" t="n"/>
      <c r="G2185" s="70" t="n"/>
      <c r="H2185" s="62" t="str">
        <f>IF(COUNTA(A2185:G2185)=0,"",IF(C2185&lt;&gt;"",C2185,IF(B2185="","",IFERROR(INDEX(pr_des,MATCH(B2185,pr_code,0))&amp;"",""))))</f>
        <v/>
      </c>
      <c r="I2185" s="59" t="str">
        <f>IF(B2185="","",IFERROR(INDEX(pr_unit,MATCH(B2185,pr_code,0))&amp;"",""))</f>
        <v/>
      </c>
      <c r="J2185" s="65" t="str">
        <f>IF(COUNTA(A2185:G2185)=0,"",IF(E2185&lt;&gt;"",E2185,IF(B2185="","",IFERROR(IF(INDEX(pr_price,MATCH(B2185,pr_code,0))="","",INDEX(pr_price,MATCH(B2185,pr_code,0))),""))))</f>
        <v/>
      </c>
      <c r="K2185" s="71" t="str">
        <f>IF(COUNTA(A2185:G2185)=0,"",IF(G2185&lt;&gt;"",G2185,IF(B2185="","",IFERROR(IF(INDEX(pr_rate,MATCH(B2185,pr_code,0))="","",INDEX(pr_rate,MATCH(B2185,pr_code,0))),""))))</f>
        <v/>
      </c>
      <c r="L2185" s="65" t="str">
        <f>IF(COUNTA(A2185:G2185)=0,"",IF(AND(ISNUMBER(D2185),ISNUMBER(J2185)),ROUND(D2185*J2185*(1-N(F2185)),2),0))</f>
        <v/>
      </c>
      <c r="M2185" s="62" t="str">
        <f>IF(A2185="","",IFERROR(INDEX(fa_cname,MATCH(A2185,fa_num,0))&amp;"",""))</f>
        <v/>
      </c>
      <c r="N2185" s="59" t="str">
        <f>IF(COUNTA(A2185:G2185)=0,"",IF(A2185="","N° facture manquant",IF(ISNA(MATCH(A2185,fa_num,0)),"Facture inconnue",IF(AND(B2185&lt;&gt;"",ISNA(MATCH(B2185,pr_code,0))),"Article inconnu",IF(H2185="","Désignation manquante",IF(OR(NOT(ISNUMBER(D2185)),N(D2185)&lt;=0),"Quantité invalide",IF(J2185="","Prix manquant",IF(OR(NOT(ISNUMBER(J2185)),N(J2185)&lt;0),"Prix invalide",IF(OR(AND(F2185&lt;&gt;"",NOT(ISNUMBER(F2185))),N(F2185)&lt;0,N(F2185)&gt;1),"Remise invalide",IF(K2185="","Taux de TVA manquant",IF(NOT(ISNUMBER(K2185)),"Taux de TVA invalide",IF(COUNTIF(p_rates,K2185)=0,"Taux de TVA hors liste (Paramètres)",IF(N(O2185)&gt;25,"Au-delà de 25 lignes : non imprimée","OK")))))))))))))</f>
        <v/>
      </c>
      <c r="O2185" s="59" t="str">
        <f>IF(A2185="","",COUNTIF($A$6:A2185,A2185))</f>
        <v/>
      </c>
      <c r="P2185" s="62" t="str">
        <f>IF(A2185="","",A2185&amp;"|"&amp;O2185)</f>
        <v/>
      </c>
    </row>
    <row r="2186">
      <c r="A2186" s="60" t="n"/>
      <c r="B2186" s="63" t="n"/>
      <c r="C2186" s="63" t="n"/>
      <c r="D2186" s="67" t="n"/>
      <c r="E2186" s="68" t="n"/>
      <c r="F2186" s="69" t="n"/>
      <c r="G2186" s="70" t="n"/>
      <c r="H2186" s="62" t="str">
        <f>IF(COUNTA(A2186:G2186)=0,"",IF(C2186&lt;&gt;"",C2186,IF(B2186="","",IFERROR(INDEX(pr_des,MATCH(B2186,pr_code,0))&amp;"",""))))</f>
        <v/>
      </c>
      <c r="I2186" s="59" t="str">
        <f>IF(B2186="","",IFERROR(INDEX(pr_unit,MATCH(B2186,pr_code,0))&amp;"",""))</f>
        <v/>
      </c>
      <c r="J2186" s="65" t="str">
        <f>IF(COUNTA(A2186:G2186)=0,"",IF(E2186&lt;&gt;"",E2186,IF(B2186="","",IFERROR(IF(INDEX(pr_price,MATCH(B2186,pr_code,0))="","",INDEX(pr_price,MATCH(B2186,pr_code,0))),""))))</f>
        <v/>
      </c>
      <c r="K2186" s="71" t="str">
        <f>IF(COUNTA(A2186:G2186)=0,"",IF(G2186&lt;&gt;"",G2186,IF(B2186="","",IFERROR(IF(INDEX(pr_rate,MATCH(B2186,pr_code,0))="","",INDEX(pr_rate,MATCH(B2186,pr_code,0))),""))))</f>
        <v/>
      </c>
      <c r="L2186" s="65" t="str">
        <f>IF(COUNTA(A2186:G2186)=0,"",IF(AND(ISNUMBER(D2186),ISNUMBER(J2186)),ROUND(D2186*J2186*(1-N(F2186)),2),0))</f>
        <v/>
      </c>
      <c r="M2186" s="62" t="str">
        <f>IF(A2186="","",IFERROR(INDEX(fa_cname,MATCH(A2186,fa_num,0))&amp;"",""))</f>
        <v/>
      </c>
      <c r="N2186" s="59" t="str">
        <f>IF(COUNTA(A2186:G2186)=0,"",IF(A2186="","N° facture manquant",IF(ISNA(MATCH(A2186,fa_num,0)),"Facture inconnue",IF(AND(B2186&lt;&gt;"",ISNA(MATCH(B2186,pr_code,0))),"Article inconnu",IF(H2186="","Désignation manquante",IF(OR(NOT(ISNUMBER(D2186)),N(D2186)&lt;=0),"Quantité invalide",IF(J2186="","Prix manquant",IF(OR(NOT(ISNUMBER(J2186)),N(J2186)&lt;0),"Prix invalide",IF(OR(AND(F2186&lt;&gt;"",NOT(ISNUMBER(F2186))),N(F2186)&lt;0,N(F2186)&gt;1),"Remise invalide",IF(K2186="","Taux de TVA manquant",IF(NOT(ISNUMBER(K2186)),"Taux de TVA invalide",IF(COUNTIF(p_rates,K2186)=0,"Taux de TVA hors liste (Paramètres)",IF(N(O2186)&gt;25,"Au-delà de 25 lignes : non imprimée","OK")))))))))))))</f>
        <v/>
      </c>
      <c r="O2186" s="59" t="str">
        <f>IF(A2186="","",COUNTIF($A$6:A2186,A2186))</f>
        <v/>
      </c>
      <c r="P2186" s="62" t="str">
        <f>IF(A2186="","",A2186&amp;"|"&amp;O2186)</f>
        <v/>
      </c>
    </row>
    <row r="2187">
      <c r="A2187" s="60" t="n"/>
      <c r="B2187" s="63" t="n"/>
      <c r="C2187" s="63" t="n"/>
      <c r="D2187" s="67" t="n"/>
      <c r="E2187" s="68" t="n"/>
      <c r="F2187" s="69" t="n"/>
      <c r="G2187" s="70" t="n"/>
      <c r="H2187" s="62" t="str">
        <f>IF(COUNTA(A2187:G2187)=0,"",IF(C2187&lt;&gt;"",C2187,IF(B2187="","",IFERROR(INDEX(pr_des,MATCH(B2187,pr_code,0))&amp;"",""))))</f>
        <v/>
      </c>
      <c r="I2187" s="59" t="str">
        <f>IF(B2187="","",IFERROR(INDEX(pr_unit,MATCH(B2187,pr_code,0))&amp;"",""))</f>
        <v/>
      </c>
      <c r="J2187" s="65" t="str">
        <f>IF(COUNTA(A2187:G2187)=0,"",IF(E2187&lt;&gt;"",E2187,IF(B2187="","",IFERROR(IF(INDEX(pr_price,MATCH(B2187,pr_code,0))="","",INDEX(pr_price,MATCH(B2187,pr_code,0))),""))))</f>
        <v/>
      </c>
      <c r="K2187" s="71" t="str">
        <f>IF(COUNTA(A2187:G2187)=0,"",IF(G2187&lt;&gt;"",G2187,IF(B2187="","",IFERROR(IF(INDEX(pr_rate,MATCH(B2187,pr_code,0))="","",INDEX(pr_rate,MATCH(B2187,pr_code,0))),""))))</f>
        <v/>
      </c>
      <c r="L2187" s="65" t="str">
        <f>IF(COUNTA(A2187:G2187)=0,"",IF(AND(ISNUMBER(D2187),ISNUMBER(J2187)),ROUND(D2187*J2187*(1-N(F2187)),2),0))</f>
        <v/>
      </c>
      <c r="M2187" s="62" t="str">
        <f>IF(A2187="","",IFERROR(INDEX(fa_cname,MATCH(A2187,fa_num,0))&amp;"",""))</f>
        <v/>
      </c>
      <c r="N2187" s="59" t="str">
        <f>IF(COUNTA(A2187:G2187)=0,"",IF(A2187="","N° facture manquant",IF(ISNA(MATCH(A2187,fa_num,0)),"Facture inconnue",IF(AND(B2187&lt;&gt;"",ISNA(MATCH(B2187,pr_code,0))),"Article inconnu",IF(H2187="","Désignation manquante",IF(OR(NOT(ISNUMBER(D2187)),N(D2187)&lt;=0),"Quantité invalide",IF(J2187="","Prix manquant",IF(OR(NOT(ISNUMBER(J2187)),N(J2187)&lt;0),"Prix invalide",IF(OR(AND(F2187&lt;&gt;"",NOT(ISNUMBER(F2187))),N(F2187)&lt;0,N(F2187)&gt;1),"Remise invalide",IF(K2187="","Taux de TVA manquant",IF(NOT(ISNUMBER(K2187)),"Taux de TVA invalide",IF(COUNTIF(p_rates,K2187)=0,"Taux de TVA hors liste (Paramètres)",IF(N(O2187)&gt;25,"Au-delà de 25 lignes : non imprimée","OK")))))))))))))</f>
        <v/>
      </c>
      <c r="O2187" s="59" t="str">
        <f>IF(A2187="","",COUNTIF($A$6:A2187,A2187))</f>
        <v/>
      </c>
      <c r="P2187" s="62" t="str">
        <f>IF(A2187="","",A2187&amp;"|"&amp;O2187)</f>
        <v/>
      </c>
    </row>
    <row r="2188">
      <c r="A2188" s="60" t="n"/>
      <c r="B2188" s="63" t="n"/>
      <c r="C2188" s="63" t="n"/>
      <c r="D2188" s="67" t="n"/>
      <c r="E2188" s="68" t="n"/>
      <c r="F2188" s="69" t="n"/>
      <c r="G2188" s="70" t="n"/>
      <c r="H2188" s="62" t="str">
        <f>IF(COUNTA(A2188:G2188)=0,"",IF(C2188&lt;&gt;"",C2188,IF(B2188="","",IFERROR(INDEX(pr_des,MATCH(B2188,pr_code,0))&amp;"",""))))</f>
        <v/>
      </c>
      <c r="I2188" s="59" t="str">
        <f>IF(B2188="","",IFERROR(INDEX(pr_unit,MATCH(B2188,pr_code,0))&amp;"",""))</f>
        <v/>
      </c>
      <c r="J2188" s="65" t="str">
        <f>IF(COUNTA(A2188:G2188)=0,"",IF(E2188&lt;&gt;"",E2188,IF(B2188="","",IFERROR(IF(INDEX(pr_price,MATCH(B2188,pr_code,0))="","",INDEX(pr_price,MATCH(B2188,pr_code,0))),""))))</f>
        <v/>
      </c>
      <c r="K2188" s="71" t="str">
        <f>IF(COUNTA(A2188:G2188)=0,"",IF(G2188&lt;&gt;"",G2188,IF(B2188="","",IFERROR(IF(INDEX(pr_rate,MATCH(B2188,pr_code,0))="","",INDEX(pr_rate,MATCH(B2188,pr_code,0))),""))))</f>
        <v/>
      </c>
      <c r="L2188" s="65" t="str">
        <f>IF(COUNTA(A2188:G2188)=0,"",IF(AND(ISNUMBER(D2188),ISNUMBER(J2188)),ROUND(D2188*J2188*(1-N(F2188)),2),0))</f>
        <v/>
      </c>
      <c r="M2188" s="62" t="str">
        <f>IF(A2188="","",IFERROR(INDEX(fa_cname,MATCH(A2188,fa_num,0))&amp;"",""))</f>
        <v/>
      </c>
      <c r="N2188" s="59" t="str">
        <f>IF(COUNTA(A2188:G2188)=0,"",IF(A2188="","N° facture manquant",IF(ISNA(MATCH(A2188,fa_num,0)),"Facture inconnue",IF(AND(B2188&lt;&gt;"",ISNA(MATCH(B2188,pr_code,0))),"Article inconnu",IF(H2188="","Désignation manquante",IF(OR(NOT(ISNUMBER(D2188)),N(D2188)&lt;=0),"Quantité invalide",IF(J2188="","Prix manquant",IF(OR(NOT(ISNUMBER(J2188)),N(J2188)&lt;0),"Prix invalide",IF(OR(AND(F2188&lt;&gt;"",NOT(ISNUMBER(F2188))),N(F2188)&lt;0,N(F2188)&gt;1),"Remise invalide",IF(K2188="","Taux de TVA manquant",IF(NOT(ISNUMBER(K2188)),"Taux de TVA invalide",IF(COUNTIF(p_rates,K2188)=0,"Taux de TVA hors liste (Paramètres)",IF(N(O2188)&gt;25,"Au-delà de 25 lignes : non imprimée","OK")))))))))))))</f>
        <v/>
      </c>
      <c r="O2188" s="59" t="str">
        <f>IF(A2188="","",COUNTIF($A$6:A2188,A2188))</f>
        <v/>
      </c>
      <c r="P2188" s="62" t="str">
        <f>IF(A2188="","",A2188&amp;"|"&amp;O2188)</f>
        <v/>
      </c>
    </row>
    <row r="2189">
      <c r="A2189" s="60" t="n"/>
      <c r="B2189" s="63" t="n"/>
      <c r="C2189" s="63" t="n"/>
      <c r="D2189" s="67" t="n"/>
      <c r="E2189" s="68" t="n"/>
      <c r="F2189" s="69" t="n"/>
      <c r="G2189" s="70" t="n"/>
      <c r="H2189" s="62" t="str">
        <f>IF(COUNTA(A2189:G2189)=0,"",IF(C2189&lt;&gt;"",C2189,IF(B2189="","",IFERROR(INDEX(pr_des,MATCH(B2189,pr_code,0))&amp;"",""))))</f>
        <v/>
      </c>
      <c r="I2189" s="59" t="str">
        <f>IF(B2189="","",IFERROR(INDEX(pr_unit,MATCH(B2189,pr_code,0))&amp;"",""))</f>
        <v/>
      </c>
      <c r="J2189" s="65" t="str">
        <f>IF(COUNTA(A2189:G2189)=0,"",IF(E2189&lt;&gt;"",E2189,IF(B2189="","",IFERROR(IF(INDEX(pr_price,MATCH(B2189,pr_code,0))="","",INDEX(pr_price,MATCH(B2189,pr_code,0))),""))))</f>
        <v/>
      </c>
      <c r="K2189" s="71" t="str">
        <f>IF(COUNTA(A2189:G2189)=0,"",IF(G2189&lt;&gt;"",G2189,IF(B2189="","",IFERROR(IF(INDEX(pr_rate,MATCH(B2189,pr_code,0))="","",INDEX(pr_rate,MATCH(B2189,pr_code,0))),""))))</f>
        <v/>
      </c>
      <c r="L2189" s="65" t="str">
        <f>IF(COUNTA(A2189:G2189)=0,"",IF(AND(ISNUMBER(D2189),ISNUMBER(J2189)),ROUND(D2189*J2189*(1-N(F2189)),2),0))</f>
        <v/>
      </c>
      <c r="M2189" s="62" t="str">
        <f>IF(A2189="","",IFERROR(INDEX(fa_cname,MATCH(A2189,fa_num,0))&amp;"",""))</f>
        <v/>
      </c>
      <c r="N2189" s="59" t="str">
        <f>IF(COUNTA(A2189:G2189)=0,"",IF(A2189="","N° facture manquant",IF(ISNA(MATCH(A2189,fa_num,0)),"Facture inconnue",IF(AND(B2189&lt;&gt;"",ISNA(MATCH(B2189,pr_code,0))),"Article inconnu",IF(H2189="","Désignation manquante",IF(OR(NOT(ISNUMBER(D2189)),N(D2189)&lt;=0),"Quantité invalide",IF(J2189="","Prix manquant",IF(OR(NOT(ISNUMBER(J2189)),N(J2189)&lt;0),"Prix invalide",IF(OR(AND(F2189&lt;&gt;"",NOT(ISNUMBER(F2189))),N(F2189)&lt;0,N(F2189)&gt;1),"Remise invalide",IF(K2189="","Taux de TVA manquant",IF(NOT(ISNUMBER(K2189)),"Taux de TVA invalide",IF(COUNTIF(p_rates,K2189)=0,"Taux de TVA hors liste (Paramètres)",IF(N(O2189)&gt;25,"Au-delà de 25 lignes : non imprimée","OK")))))))))))))</f>
        <v/>
      </c>
      <c r="O2189" s="59" t="str">
        <f>IF(A2189="","",COUNTIF($A$6:A2189,A2189))</f>
        <v/>
      </c>
      <c r="P2189" s="62" t="str">
        <f>IF(A2189="","",A2189&amp;"|"&amp;O2189)</f>
        <v/>
      </c>
    </row>
    <row r="2190">
      <c r="A2190" s="60" t="n"/>
      <c r="B2190" s="63" t="n"/>
      <c r="C2190" s="63" t="n"/>
      <c r="D2190" s="67" t="n"/>
      <c r="E2190" s="68" t="n"/>
      <c r="F2190" s="69" t="n"/>
      <c r="G2190" s="70" t="n"/>
      <c r="H2190" s="62" t="str">
        <f>IF(COUNTA(A2190:G2190)=0,"",IF(C2190&lt;&gt;"",C2190,IF(B2190="","",IFERROR(INDEX(pr_des,MATCH(B2190,pr_code,0))&amp;"",""))))</f>
        <v/>
      </c>
      <c r="I2190" s="59" t="str">
        <f>IF(B2190="","",IFERROR(INDEX(pr_unit,MATCH(B2190,pr_code,0))&amp;"",""))</f>
        <v/>
      </c>
      <c r="J2190" s="65" t="str">
        <f>IF(COUNTA(A2190:G2190)=0,"",IF(E2190&lt;&gt;"",E2190,IF(B2190="","",IFERROR(IF(INDEX(pr_price,MATCH(B2190,pr_code,0))="","",INDEX(pr_price,MATCH(B2190,pr_code,0))),""))))</f>
        <v/>
      </c>
      <c r="K2190" s="71" t="str">
        <f>IF(COUNTA(A2190:G2190)=0,"",IF(G2190&lt;&gt;"",G2190,IF(B2190="","",IFERROR(IF(INDEX(pr_rate,MATCH(B2190,pr_code,0))="","",INDEX(pr_rate,MATCH(B2190,pr_code,0))),""))))</f>
        <v/>
      </c>
      <c r="L2190" s="65" t="str">
        <f>IF(COUNTA(A2190:G2190)=0,"",IF(AND(ISNUMBER(D2190),ISNUMBER(J2190)),ROUND(D2190*J2190*(1-N(F2190)),2),0))</f>
        <v/>
      </c>
      <c r="M2190" s="62" t="str">
        <f>IF(A2190="","",IFERROR(INDEX(fa_cname,MATCH(A2190,fa_num,0))&amp;"",""))</f>
        <v/>
      </c>
      <c r="N2190" s="59" t="str">
        <f>IF(COUNTA(A2190:G2190)=0,"",IF(A2190="","N° facture manquant",IF(ISNA(MATCH(A2190,fa_num,0)),"Facture inconnue",IF(AND(B2190&lt;&gt;"",ISNA(MATCH(B2190,pr_code,0))),"Article inconnu",IF(H2190="","Désignation manquante",IF(OR(NOT(ISNUMBER(D2190)),N(D2190)&lt;=0),"Quantité invalide",IF(J2190="","Prix manquant",IF(OR(NOT(ISNUMBER(J2190)),N(J2190)&lt;0),"Prix invalide",IF(OR(AND(F2190&lt;&gt;"",NOT(ISNUMBER(F2190))),N(F2190)&lt;0,N(F2190)&gt;1),"Remise invalide",IF(K2190="","Taux de TVA manquant",IF(NOT(ISNUMBER(K2190)),"Taux de TVA invalide",IF(COUNTIF(p_rates,K2190)=0,"Taux de TVA hors liste (Paramètres)",IF(N(O2190)&gt;25,"Au-delà de 25 lignes : non imprimée","OK")))))))))))))</f>
        <v/>
      </c>
      <c r="O2190" s="59" t="str">
        <f>IF(A2190="","",COUNTIF($A$6:A2190,A2190))</f>
        <v/>
      </c>
      <c r="P2190" s="62" t="str">
        <f>IF(A2190="","",A2190&amp;"|"&amp;O2190)</f>
        <v/>
      </c>
    </row>
    <row r="2191">
      <c r="A2191" s="60" t="n"/>
      <c r="B2191" s="63" t="n"/>
      <c r="C2191" s="63" t="n"/>
      <c r="D2191" s="67" t="n"/>
      <c r="E2191" s="68" t="n"/>
      <c r="F2191" s="69" t="n"/>
      <c r="G2191" s="70" t="n"/>
      <c r="H2191" s="62" t="str">
        <f>IF(COUNTA(A2191:G2191)=0,"",IF(C2191&lt;&gt;"",C2191,IF(B2191="","",IFERROR(INDEX(pr_des,MATCH(B2191,pr_code,0))&amp;"",""))))</f>
        <v/>
      </c>
      <c r="I2191" s="59" t="str">
        <f>IF(B2191="","",IFERROR(INDEX(pr_unit,MATCH(B2191,pr_code,0))&amp;"",""))</f>
        <v/>
      </c>
      <c r="J2191" s="65" t="str">
        <f>IF(COUNTA(A2191:G2191)=0,"",IF(E2191&lt;&gt;"",E2191,IF(B2191="","",IFERROR(IF(INDEX(pr_price,MATCH(B2191,pr_code,0))="","",INDEX(pr_price,MATCH(B2191,pr_code,0))),""))))</f>
        <v/>
      </c>
      <c r="K2191" s="71" t="str">
        <f>IF(COUNTA(A2191:G2191)=0,"",IF(G2191&lt;&gt;"",G2191,IF(B2191="","",IFERROR(IF(INDEX(pr_rate,MATCH(B2191,pr_code,0))="","",INDEX(pr_rate,MATCH(B2191,pr_code,0))),""))))</f>
        <v/>
      </c>
      <c r="L2191" s="65" t="str">
        <f>IF(COUNTA(A2191:G2191)=0,"",IF(AND(ISNUMBER(D2191),ISNUMBER(J2191)),ROUND(D2191*J2191*(1-N(F2191)),2),0))</f>
        <v/>
      </c>
      <c r="M2191" s="62" t="str">
        <f>IF(A2191="","",IFERROR(INDEX(fa_cname,MATCH(A2191,fa_num,0))&amp;"",""))</f>
        <v/>
      </c>
      <c r="N2191" s="59" t="str">
        <f>IF(COUNTA(A2191:G2191)=0,"",IF(A2191="","N° facture manquant",IF(ISNA(MATCH(A2191,fa_num,0)),"Facture inconnue",IF(AND(B2191&lt;&gt;"",ISNA(MATCH(B2191,pr_code,0))),"Article inconnu",IF(H2191="","Désignation manquante",IF(OR(NOT(ISNUMBER(D2191)),N(D2191)&lt;=0),"Quantité invalide",IF(J2191="","Prix manquant",IF(OR(NOT(ISNUMBER(J2191)),N(J2191)&lt;0),"Prix invalide",IF(OR(AND(F2191&lt;&gt;"",NOT(ISNUMBER(F2191))),N(F2191)&lt;0,N(F2191)&gt;1),"Remise invalide",IF(K2191="","Taux de TVA manquant",IF(NOT(ISNUMBER(K2191)),"Taux de TVA invalide",IF(COUNTIF(p_rates,K2191)=0,"Taux de TVA hors liste (Paramètres)",IF(N(O2191)&gt;25,"Au-delà de 25 lignes : non imprimée","OK")))))))))))))</f>
        <v/>
      </c>
      <c r="O2191" s="59" t="str">
        <f>IF(A2191="","",COUNTIF($A$6:A2191,A2191))</f>
        <v/>
      </c>
      <c r="P2191" s="62" t="str">
        <f>IF(A2191="","",A2191&amp;"|"&amp;O2191)</f>
        <v/>
      </c>
    </row>
    <row r="2192">
      <c r="A2192" s="60" t="n"/>
      <c r="B2192" s="63" t="n"/>
      <c r="C2192" s="63" t="n"/>
      <c r="D2192" s="67" t="n"/>
      <c r="E2192" s="68" t="n"/>
      <c r="F2192" s="69" t="n"/>
      <c r="G2192" s="70" t="n"/>
      <c r="H2192" s="62" t="str">
        <f>IF(COUNTA(A2192:G2192)=0,"",IF(C2192&lt;&gt;"",C2192,IF(B2192="","",IFERROR(INDEX(pr_des,MATCH(B2192,pr_code,0))&amp;"",""))))</f>
        <v/>
      </c>
      <c r="I2192" s="59" t="str">
        <f>IF(B2192="","",IFERROR(INDEX(pr_unit,MATCH(B2192,pr_code,0))&amp;"",""))</f>
        <v/>
      </c>
      <c r="J2192" s="65" t="str">
        <f>IF(COUNTA(A2192:G2192)=0,"",IF(E2192&lt;&gt;"",E2192,IF(B2192="","",IFERROR(IF(INDEX(pr_price,MATCH(B2192,pr_code,0))="","",INDEX(pr_price,MATCH(B2192,pr_code,0))),""))))</f>
        <v/>
      </c>
      <c r="K2192" s="71" t="str">
        <f>IF(COUNTA(A2192:G2192)=0,"",IF(G2192&lt;&gt;"",G2192,IF(B2192="","",IFERROR(IF(INDEX(pr_rate,MATCH(B2192,pr_code,0))="","",INDEX(pr_rate,MATCH(B2192,pr_code,0))),""))))</f>
        <v/>
      </c>
      <c r="L2192" s="65" t="str">
        <f>IF(COUNTA(A2192:G2192)=0,"",IF(AND(ISNUMBER(D2192),ISNUMBER(J2192)),ROUND(D2192*J2192*(1-N(F2192)),2),0))</f>
        <v/>
      </c>
      <c r="M2192" s="62" t="str">
        <f>IF(A2192="","",IFERROR(INDEX(fa_cname,MATCH(A2192,fa_num,0))&amp;"",""))</f>
        <v/>
      </c>
      <c r="N2192" s="59" t="str">
        <f>IF(COUNTA(A2192:G2192)=0,"",IF(A2192="","N° facture manquant",IF(ISNA(MATCH(A2192,fa_num,0)),"Facture inconnue",IF(AND(B2192&lt;&gt;"",ISNA(MATCH(B2192,pr_code,0))),"Article inconnu",IF(H2192="","Désignation manquante",IF(OR(NOT(ISNUMBER(D2192)),N(D2192)&lt;=0),"Quantité invalide",IF(J2192="","Prix manquant",IF(OR(NOT(ISNUMBER(J2192)),N(J2192)&lt;0),"Prix invalide",IF(OR(AND(F2192&lt;&gt;"",NOT(ISNUMBER(F2192))),N(F2192)&lt;0,N(F2192)&gt;1),"Remise invalide",IF(K2192="","Taux de TVA manquant",IF(NOT(ISNUMBER(K2192)),"Taux de TVA invalide",IF(COUNTIF(p_rates,K2192)=0,"Taux de TVA hors liste (Paramètres)",IF(N(O2192)&gt;25,"Au-delà de 25 lignes : non imprimée","OK")))))))))))))</f>
        <v/>
      </c>
      <c r="O2192" s="59" t="str">
        <f>IF(A2192="","",COUNTIF($A$6:A2192,A2192))</f>
        <v/>
      </c>
      <c r="P2192" s="62" t="str">
        <f>IF(A2192="","",A2192&amp;"|"&amp;O2192)</f>
        <v/>
      </c>
    </row>
    <row r="2193">
      <c r="A2193" s="60" t="n"/>
      <c r="B2193" s="63" t="n"/>
      <c r="C2193" s="63" t="n"/>
      <c r="D2193" s="67" t="n"/>
      <c r="E2193" s="68" t="n"/>
      <c r="F2193" s="69" t="n"/>
      <c r="G2193" s="70" t="n"/>
      <c r="H2193" s="62" t="str">
        <f>IF(COUNTA(A2193:G2193)=0,"",IF(C2193&lt;&gt;"",C2193,IF(B2193="","",IFERROR(INDEX(pr_des,MATCH(B2193,pr_code,0))&amp;"",""))))</f>
        <v/>
      </c>
      <c r="I2193" s="59" t="str">
        <f>IF(B2193="","",IFERROR(INDEX(pr_unit,MATCH(B2193,pr_code,0))&amp;"",""))</f>
        <v/>
      </c>
      <c r="J2193" s="65" t="str">
        <f>IF(COUNTA(A2193:G2193)=0,"",IF(E2193&lt;&gt;"",E2193,IF(B2193="","",IFERROR(IF(INDEX(pr_price,MATCH(B2193,pr_code,0))="","",INDEX(pr_price,MATCH(B2193,pr_code,0))),""))))</f>
        <v/>
      </c>
      <c r="K2193" s="71" t="str">
        <f>IF(COUNTA(A2193:G2193)=0,"",IF(G2193&lt;&gt;"",G2193,IF(B2193="","",IFERROR(IF(INDEX(pr_rate,MATCH(B2193,pr_code,0))="","",INDEX(pr_rate,MATCH(B2193,pr_code,0))),""))))</f>
        <v/>
      </c>
      <c r="L2193" s="65" t="str">
        <f>IF(COUNTA(A2193:G2193)=0,"",IF(AND(ISNUMBER(D2193),ISNUMBER(J2193)),ROUND(D2193*J2193*(1-N(F2193)),2),0))</f>
        <v/>
      </c>
      <c r="M2193" s="62" t="str">
        <f>IF(A2193="","",IFERROR(INDEX(fa_cname,MATCH(A2193,fa_num,0))&amp;"",""))</f>
        <v/>
      </c>
      <c r="N2193" s="59" t="str">
        <f>IF(COUNTA(A2193:G2193)=0,"",IF(A2193="","N° facture manquant",IF(ISNA(MATCH(A2193,fa_num,0)),"Facture inconnue",IF(AND(B2193&lt;&gt;"",ISNA(MATCH(B2193,pr_code,0))),"Article inconnu",IF(H2193="","Désignation manquante",IF(OR(NOT(ISNUMBER(D2193)),N(D2193)&lt;=0),"Quantité invalide",IF(J2193="","Prix manquant",IF(OR(NOT(ISNUMBER(J2193)),N(J2193)&lt;0),"Prix invalide",IF(OR(AND(F2193&lt;&gt;"",NOT(ISNUMBER(F2193))),N(F2193)&lt;0,N(F2193)&gt;1),"Remise invalide",IF(K2193="","Taux de TVA manquant",IF(NOT(ISNUMBER(K2193)),"Taux de TVA invalide",IF(COUNTIF(p_rates,K2193)=0,"Taux de TVA hors liste (Paramètres)",IF(N(O2193)&gt;25,"Au-delà de 25 lignes : non imprimée","OK")))))))))))))</f>
        <v/>
      </c>
      <c r="O2193" s="59" t="str">
        <f>IF(A2193="","",COUNTIF($A$6:A2193,A2193))</f>
        <v/>
      </c>
      <c r="P2193" s="62" t="str">
        <f>IF(A2193="","",A2193&amp;"|"&amp;O2193)</f>
        <v/>
      </c>
    </row>
    <row r="2194">
      <c r="A2194" s="60" t="n"/>
      <c r="B2194" s="63" t="n"/>
      <c r="C2194" s="63" t="n"/>
      <c r="D2194" s="67" t="n"/>
      <c r="E2194" s="68" t="n"/>
      <c r="F2194" s="69" t="n"/>
      <c r="G2194" s="70" t="n"/>
      <c r="H2194" s="62" t="str">
        <f>IF(COUNTA(A2194:G2194)=0,"",IF(C2194&lt;&gt;"",C2194,IF(B2194="","",IFERROR(INDEX(pr_des,MATCH(B2194,pr_code,0))&amp;"",""))))</f>
        <v/>
      </c>
      <c r="I2194" s="59" t="str">
        <f>IF(B2194="","",IFERROR(INDEX(pr_unit,MATCH(B2194,pr_code,0))&amp;"",""))</f>
        <v/>
      </c>
      <c r="J2194" s="65" t="str">
        <f>IF(COUNTA(A2194:G2194)=0,"",IF(E2194&lt;&gt;"",E2194,IF(B2194="","",IFERROR(IF(INDEX(pr_price,MATCH(B2194,pr_code,0))="","",INDEX(pr_price,MATCH(B2194,pr_code,0))),""))))</f>
        <v/>
      </c>
      <c r="K2194" s="71" t="str">
        <f>IF(COUNTA(A2194:G2194)=0,"",IF(G2194&lt;&gt;"",G2194,IF(B2194="","",IFERROR(IF(INDEX(pr_rate,MATCH(B2194,pr_code,0))="","",INDEX(pr_rate,MATCH(B2194,pr_code,0))),""))))</f>
        <v/>
      </c>
      <c r="L2194" s="65" t="str">
        <f>IF(COUNTA(A2194:G2194)=0,"",IF(AND(ISNUMBER(D2194),ISNUMBER(J2194)),ROUND(D2194*J2194*(1-N(F2194)),2),0))</f>
        <v/>
      </c>
      <c r="M2194" s="62" t="str">
        <f>IF(A2194="","",IFERROR(INDEX(fa_cname,MATCH(A2194,fa_num,0))&amp;"",""))</f>
        <v/>
      </c>
      <c r="N2194" s="59" t="str">
        <f>IF(COUNTA(A2194:G2194)=0,"",IF(A2194="","N° facture manquant",IF(ISNA(MATCH(A2194,fa_num,0)),"Facture inconnue",IF(AND(B2194&lt;&gt;"",ISNA(MATCH(B2194,pr_code,0))),"Article inconnu",IF(H2194="","Désignation manquante",IF(OR(NOT(ISNUMBER(D2194)),N(D2194)&lt;=0),"Quantité invalide",IF(J2194="","Prix manquant",IF(OR(NOT(ISNUMBER(J2194)),N(J2194)&lt;0),"Prix invalide",IF(OR(AND(F2194&lt;&gt;"",NOT(ISNUMBER(F2194))),N(F2194)&lt;0,N(F2194)&gt;1),"Remise invalide",IF(K2194="","Taux de TVA manquant",IF(NOT(ISNUMBER(K2194)),"Taux de TVA invalide",IF(COUNTIF(p_rates,K2194)=0,"Taux de TVA hors liste (Paramètres)",IF(N(O2194)&gt;25,"Au-delà de 25 lignes : non imprimée","OK")))))))))))))</f>
        <v/>
      </c>
      <c r="O2194" s="59" t="str">
        <f>IF(A2194="","",COUNTIF($A$6:A2194,A2194))</f>
        <v/>
      </c>
      <c r="P2194" s="62" t="str">
        <f>IF(A2194="","",A2194&amp;"|"&amp;O2194)</f>
        <v/>
      </c>
    </row>
    <row r="2195">
      <c r="A2195" s="60" t="n"/>
      <c r="B2195" s="63" t="n"/>
      <c r="C2195" s="63" t="n"/>
      <c r="D2195" s="67" t="n"/>
      <c r="E2195" s="68" t="n"/>
      <c r="F2195" s="69" t="n"/>
      <c r="G2195" s="70" t="n"/>
      <c r="H2195" s="62" t="str">
        <f>IF(COUNTA(A2195:G2195)=0,"",IF(C2195&lt;&gt;"",C2195,IF(B2195="","",IFERROR(INDEX(pr_des,MATCH(B2195,pr_code,0))&amp;"",""))))</f>
        <v/>
      </c>
      <c r="I2195" s="59" t="str">
        <f>IF(B2195="","",IFERROR(INDEX(pr_unit,MATCH(B2195,pr_code,0))&amp;"",""))</f>
        <v/>
      </c>
      <c r="J2195" s="65" t="str">
        <f>IF(COUNTA(A2195:G2195)=0,"",IF(E2195&lt;&gt;"",E2195,IF(B2195="","",IFERROR(IF(INDEX(pr_price,MATCH(B2195,pr_code,0))="","",INDEX(pr_price,MATCH(B2195,pr_code,0))),""))))</f>
        <v/>
      </c>
      <c r="K2195" s="71" t="str">
        <f>IF(COUNTA(A2195:G2195)=0,"",IF(G2195&lt;&gt;"",G2195,IF(B2195="","",IFERROR(IF(INDEX(pr_rate,MATCH(B2195,pr_code,0))="","",INDEX(pr_rate,MATCH(B2195,pr_code,0))),""))))</f>
        <v/>
      </c>
      <c r="L2195" s="65" t="str">
        <f>IF(COUNTA(A2195:G2195)=0,"",IF(AND(ISNUMBER(D2195),ISNUMBER(J2195)),ROUND(D2195*J2195*(1-N(F2195)),2),0))</f>
        <v/>
      </c>
      <c r="M2195" s="62" t="str">
        <f>IF(A2195="","",IFERROR(INDEX(fa_cname,MATCH(A2195,fa_num,0))&amp;"",""))</f>
        <v/>
      </c>
      <c r="N2195" s="59" t="str">
        <f>IF(COUNTA(A2195:G2195)=0,"",IF(A2195="","N° facture manquant",IF(ISNA(MATCH(A2195,fa_num,0)),"Facture inconnue",IF(AND(B2195&lt;&gt;"",ISNA(MATCH(B2195,pr_code,0))),"Article inconnu",IF(H2195="","Désignation manquante",IF(OR(NOT(ISNUMBER(D2195)),N(D2195)&lt;=0),"Quantité invalide",IF(J2195="","Prix manquant",IF(OR(NOT(ISNUMBER(J2195)),N(J2195)&lt;0),"Prix invalide",IF(OR(AND(F2195&lt;&gt;"",NOT(ISNUMBER(F2195))),N(F2195)&lt;0,N(F2195)&gt;1),"Remise invalide",IF(K2195="","Taux de TVA manquant",IF(NOT(ISNUMBER(K2195)),"Taux de TVA invalide",IF(COUNTIF(p_rates,K2195)=0,"Taux de TVA hors liste (Paramètres)",IF(N(O2195)&gt;25,"Au-delà de 25 lignes : non imprimée","OK")))))))))))))</f>
        <v/>
      </c>
      <c r="O2195" s="59" t="str">
        <f>IF(A2195="","",COUNTIF($A$6:A2195,A2195))</f>
        <v/>
      </c>
      <c r="P2195" s="62" t="str">
        <f>IF(A2195="","",A2195&amp;"|"&amp;O2195)</f>
        <v/>
      </c>
    </row>
    <row r="2196">
      <c r="A2196" s="60" t="n"/>
      <c r="B2196" s="63" t="n"/>
      <c r="C2196" s="63" t="n"/>
      <c r="D2196" s="67" t="n"/>
      <c r="E2196" s="68" t="n"/>
      <c r="F2196" s="69" t="n"/>
      <c r="G2196" s="70" t="n"/>
      <c r="H2196" s="62" t="str">
        <f>IF(COUNTA(A2196:G2196)=0,"",IF(C2196&lt;&gt;"",C2196,IF(B2196="","",IFERROR(INDEX(pr_des,MATCH(B2196,pr_code,0))&amp;"",""))))</f>
        <v/>
      </c>
      <c r="I2196" s="59" t="str">
        <f>IF(B2196="","",IFERROR(INDEX(pr_unit,MATCH(B2196,pr_code,0))&amp;"",""))</f>
        <v/>
      </c>
      <c r="J2196" s="65" t="str">
        <f>IF(COUNTA(A2196:G2196)=0,"",IF(E2196&lt;&gt;"",E2196,IF(B2196="","",IFERROR(IF(INDEX(pr_price,MATCH(B2196,pr_code,0))="","",INDEX(pr_price,MATCH(B2196,pr_code,0))),""))))</f>
        <v/>
      </c>
      <c r="K2196" s="71" t="str">
        <f>IF(COUNTA(A2196:G2196)=0,"",IF(G2196&lt;&gt;"",G2196,IF(B2196="","",IFERROR(IF(INDEX(pr_rate,MATCH(B2196,pr_code,0))="","",INDEX(pr_rate,MATCH(B2196,pr_code,0))),""))))</f>
        <v/>
      </c>
      <c r="L2196" s="65" t="str">
        <f>IF(COUNTA(A2196:G2196)=0,"",IF(AND(ISNUMBER(D2196),ISNUMBER(J2196)),ROUND(D2196*J2196*(1-N(F2196)),2),0))</f>
        <v/>
      </c>
      <c r="M2196" s="62" t="str">
        <f>IF(A2196="","",IFERROR(INDEX(fa_cname,MATCH(A2196,fa_num,0))&amp;"",""))</f>
        <v/>
      </c>
      <c r="N2196" s="59" t="str">
        <f>IF(COUNTA(A2196:G2196)=0,"",IF(A2196="","N° facture manquant",IF(ISNA(MATCH(A2196,fa_num,0)),"Facture inconnue",IF(AND(B2196&lt;&gt;"",ISNA(MATCH(B2196,pr_code,0))),"Article inconnu",IF(H2196="","Désignation manquante",IF(OR(NOT(ISNUMBER(D2196)),N(D2196)&lt;=0),"Quantité invalide",IF(J2196="","Prix manquant",IF(OR(NOT(ISNUMBER(J2196)),N(J2196)&lt;0),"Prix invalide",IF(OR(AND(F2196&lt;&gt;"",NOT(ISNUMBER(F2196))),N(F2196)&lt;0,N(F2196)&gt;1),"Remise invalide",IF(K2196="","Taux de TVA manquant",IF(NOT(ISNUMBER(K2196)),"Taux de TVA invalide",IF(COUNTIF(p_rates,K2196)=0,"Taux de TVA hors liste (Paramètres)",IF(N(O2196)&gt;25,"Au-delà de 25 lignes : non imprimée","OK")))))))))))))</f>
        <v/>
      </c>
      <c r="O2196" s="59" t="str">
        <f>IF(A2196="","",COUNTIF($A$6:A2196,A2196))</f>
        <v/>
      </c>
      <c r="P2196" s="62" t="str">
        <f>IF(A2196="","",A2196&amp;"|"&amp;O2196)</f>
        <v/>
      </c>
    </row>
    <row r="2197">
      <c r="A2197" s="60" t="n"/>
      <c r="B2197" s="63" t="n"/>
      <c r="C2197" s="63" t="n"/>
      <c r="D2197" s="67" t="n"/>
      <c r="E2197" s="68" t="n"/>
      <c r="F2197" s="69" t="n"/>
      <c r="G2197" s="70" t="n"/>
      <c r="H2197" s="62" t="str">
        <f>IF(COUNTA(A2197:G2197)=0,"",IF(C2197&lt;&gt;"",C2197,IF(B2197="","",IFERROR(INDEX(pr_des,MATCH(B2197,pr_code,0))&amp;"",""))))</f>
        <v/>
      </c>
      <c r="I2197" s="59" t="str">
        <f>IF(B2197="","",IFERROR(INDEX(pr_unit,MATCH(B2197,pr_code,0))&amp;"",""))</f>
        <v/>
      </c>
      <c r="J2197" s="65" t="str">
        <f>IF(COUNTA(A2197:G2197)=0,"",IF(E2197&lt;&gt;"",E2197,IF(B2197="","",IFERROR(IF(INDEX(pr_price,MATCH(B2197,pr_code,0))="","",INDEX(pr_price,MATCH(B2197,pr_code,0))),""))))</f>
        <v/>
      </c>
      <c r="K2197" s="71" t="str">
        <f>IF(COUNTA(A2197:G2197)=0,"",IF(G2197&lt;&gt;"",G2197,IF(B2197="","",IFERROR(IF(INDEX(pr_rate,MATCH(B2197,pr_code,0))="","",INDEX(pr_rate,MATCH(B2197,pr_code,0))),""))))</f>
        <v/>
      </c>
      <c r="L2197" s="65" t="str">
        <f>IF(COUNTA(A2197:G2197)=0,"",IF(AND(ISNUMBER(D2197),ISNUMBER(J2197)),ROUND(D2197*J2197*(1-N(F2197)),2),0))</f>
        <v/>
      </c>
      <c r="M2197" s="62" t="str">
        <f>IF(A2197="","",IFERROR(INDEX(fa_cname,MATCH(A2197,fa_num,0))&amp;"",""))</f>
        <v/>
      </c>
      <c r="N2197" s="59" t="str">
        <f>IF(COUNTA(A2197:G2197)=0,"",IF(A2197="","N° facture manquant",IF(ISNA(MATCH(A2197,fa_num,0)),"Facture inconnue",IF(AND(B2197&lt;&gt;"",ISNA(MATCH(B2197,pr_code,0))),"Article inconnu",IF(H2197="","Désignation manquante",IF(OR(NOT(ISNUMBER(D2197)),N(D2197)&lt;=0),"Quantité invalide",IF(J2197="","Prix manquant",IF(OR(NOT(ISNUMBER(J2197)),N(J2197)&lt;0),"Prix invalide",IF(OR(AND(F2197&lt;&gt;"",NOT(ISNUMBER(F2197))),N(F2197)&lt;0,N(F2197)&gt;1),"Remise invalide",IF(K2197="","Taux de TVA manquant",IF(NOT(ISNUMBER(K2197)),"Taux de TVA invalide",IF(COUNTIF(p_rates,K2197)=0,"Taux de TVA hors liste (Paramètres)",IF(N(O2197)&gt;25,"Au-delà de 25 lignes : non imprimée","OK")))))))))))))</f>
        <v/>
      </c>
      <c r="O2197" s="59" t="str">
        <f>IF(A2197="","",COUNTIF($A$6:A2197,A2197))</f>
        <v/>
      </c>
      <c r="P2197" s="62" t="str">
        <f>IF(A2197="","",A2197&amp;"|"&amp;O2197)</f>
        <v/>
      </c>
    </row>
    <row r="2198">
      <c r="A2198" s="60" t="n"/>
      <c r="B2198" s="63" t="n"/>
      <c r="C2198" s="63" t="n"/>
      <c r="D2198" s="67" t="n"/>
      <c r="E2198" s="68" t="n"/>
      <c r="F2198" s="69" t="n"/>
      <c r="G2198" s="70" t="n"/>
      <c r="H2198" s="62" t="str">
        <f>IF(COUNTA(A2198:G2198)=0,"",IF(C2198&lt;&gt;"",C2198,IF(B2198="","",IFERROR(INDEX(pr_des,MATCH(B2198,pr_code,0))&amp;"",""))))</f>
        <v/>
      </c>
      <c r="I2198" s="59" t="str">
        <f>IF(B2198="","",IFERROR(INDEX(pr_unit,MATCH(B2198,pr_code,0))&amp;"",""))</f>
        <v/>
      </c>
      <c r="J2198" s="65" t="str">
        <f>IF(COUNTA(A2198:G2198)=0,"",IF(E2198&lt;&gt;"",E2198,IF(B2198="","",IFERROR(IF(INDEX(pr_price,MATCH(B2198,pr_code,0))="","",INDEX(pr_price,MATCH(B2198,pr_code,0))),""))))</f>
        <v/>
      </c>
      <c r="K2198" s="71" t="str">
        <f>IF(COUNTA(A2198:G2198)=0,"",IF(G2198&lt;&gt;"",G2198,IF(B2198="","",IFERROR(IF(INDEX(pr_rate,MATCH(B2198,pr_code,0))="","",INDEX(pr_rate,MATCH(B2198,pr_code,0))),""))))</f>
        <v/>
      </c>
      <c r="L2198" s="65" t="str">
        <f>IF(COUNTA(A2198:G2198)=0,"",IF(AND(ISNUMBER(D2198),ISNUMBER(J2198)),ROUND(D2198*J2198*(1-N(F2198)),2),0))</f>
        <v/>
      </c>
      <c r="M2198" s="62" t="str">
        <f>IF(A2198="","",IFERROR(INDEX(fa_cname,MATCH(A2198,fa_num,0))&amp;"",""))</f>
        <v/>
      </c>
      <c r="N2198" s="59" t="str">
        <f>IF(COUNTA(A2198:G2198)=0,"",IF(A2198="","N° facture manquant",IF(ISNA(MATCH(A2198,fa_num,0)),"Facture inconnue",IF(AND(B2198&lt;&gt;"",ISNA(MATCH(B2198,pr_code,0))),"Article inconnu",IF(H2198="","Désignation manquante",IF(OR(NOT(ISNUMBER(D2198)),N(D2198)&lt;=0),"Quantité invalide",IF(J2198="","Prix manquant",IF(OR(NOT(ISNUMBER(J2198)),N(J2198)&lt;0),"Prix invalide",IF(OR(AND(F2198&lt;&gt;"",NOT(ISNUMBER(F2198))),N(F2198)&lt;0,N(F2198)&gt;1),"Remise invalide",IF(K2198="","Taux de TVA manquant",IF(NOT(ISNUMBER(K2198)),"Taux de TVA invalide",IF(COUNTIF(p_rates,K2198)=0,"Taux de TVA hors liste (Paramètres)",IF(N(O2198)&gt;25,"Au-delà de 25 lignes : non imprimée","OK")))))))))))))</f>
        <v/>
      </c>
      <c r="O2198" s="59" t="str">
        <f>IF(A2198="","",COUNTIF($A$6:A2198,A2198))</f>
        <v/>
      </c>
      <c r="P2198" s="62" t="str">
        <f>IF(A2198="","",A2198&amp;"|"&amp;O2198)</f>
        <v/>
      </c>
    </row>
    <row r="2199">
      <c r="A2199" s="60" t="n"/>
      <c r="B2199" s="63" t="n"/>
      <c r="C2199" s="63" t="n"/>
      <c r="D2199" s="67" t="n"/>
      <c r="E2199" s="68" t="n"/>
      <c r="F2199" s="69" t="n"/>
      <c r="G2199" s="70" t="n"/>
      <c r="H2199" s="62" t="str">
        <f>IF(COUNTA(A2199:G2199)=0,"",IF(C2199&lt;&gt;"",C2199,IF(B2199="","",IFERROR(INDEX(pr_des,MATCH(B2199,pr_code,0))&amp;"",""))))</f>
        <v/>
      </c>
      <c r="I2199" s="59" t="str">
        <f>IF(B2199="","",IFERROR(INDEX(pr_unit,MATCH(B2199,pr_code,0))&amp;"",""))</f>
        <v/>
      </c>
      <c r="J2199" s="65" t="str">
        <f>IF(COUNTA(A2199:G2199)=0,"",IF(E2199&lt;&gt;"",E2199,IF(B2199="","",IFERROR(IF(INDEX(pr_price,MATCH(B2199,pr_code,0))="","",INDEX(pr_price,MATCH(B2199,pr_code,0))),""))))</f>
        <v/>
      </c>
      <c r="K2199" s="71" t="str">
        <f>IF(COUNTA(A2199:G2199)=0,"",IF(G2199&lt;&gt;"",G2199,IF(B2199="","",IFERROR(IF(INDEX(pr_rate,MATCH(B2199,pr_code,0))="","",INDEX(pr_rate,MATCH(B2199,pr_code,0))),""))))</f>
        <v/>
      </c>
      <c r="L2199" s="65" t="str">
        <f>IF(COUNTA(A2199:G2199)=0,"",IF(AND(ISNUMBER(D2199),ISNUMBER(J2199)),ROUND(D2199*J2199*(1-N(F2199)),2),0))</f>
        <v/>
      </c>
      <c r="M2199" s="62" t="str">
        <f>IF(A2199="","",IFERROR(INDEX(fa_cname,MATCH(A2199,fa_num,0))&amp;"",""))</f>
        <v/>
      </c>
      <c r="N2199" s="59" t="str">
        <f>IF(COUNTA(A2199:G2199)=0,"",IF(A2199="","N° facture manquant",IF(ISNA(MATCH(A2199,fa_num,0)),"Facture inconnue",IF(AND(B2199&lt;&gt;"",ISNA(MATCH(B2199,pr_code,0))),"Article inconnu",IF(H2199="","Désignation manquante",IF(OR(NOT(ISNUMBER(D2199)),N(D2199)&lt;=0),"Quantité invalide",IF(J2199="","Prix manquant",IF(OR(NOT(ISNUMBER(J2199)),N(J2199)&lt;0),"Prix invalide",IF(OR(AND(F2199&lt;&gt;"",NOT(ISNUMBER(F2199))),N(F2199)&lt;0,N(F2199)&gt;1),"Remise invalide",IF(K2199="","Taux de TVA manquant",IF(NOT(ISNUMBER(K2199)),"Taux de TVA invalide",IF(COUNTIF(p_rates,K2199)=0,"Taux de TVA hors liste (Paramètres)",IF(N(O2199)&gt;25,"Au-delà de 25 lignes : non imprimée","OK")))))))))))))</f>
        <v/>
      </c>
      <c r="O2199" s="59" t="str">
        <f>IF(A2199="","",COUNTIF($A$6:A2199,A2199))</f>
        <v/>
      </c>
      <c r="P2199" s="62" t="str">
        <f>IF(A2199="","",A2199&amp;"|"&amp;O2199)</f>
        <v/>
      </c>
    </row>
    <row r="2200">
      <c r="A2200" s="60" t="n"/>
      <c r="B2200" s="63" t="n"/>
      <c r="C2200" s="63" t="n"/>
      <c r="D2200" s="67" t="n"/>
      <c r="E2200" s="68" t="n"/>
      <c r="F2200" s="69" t="n"/>
      <c r="G2200" s="70" t="n"/>
      <c r="H2200" s="62" t="str">
        <f>IF(COUNTA(A2200:G2200)=0,"",IF(C2200&lt;&gt;"",C2200,IF(B2200="","",IFERROR(INDEX(pr_des,MATCH(B2200,pr_code,0))&amp;"",""))))</f>
        <v/>
      </c>
      <c r="I2200" s="59" t="str">
        <f>IF(B2200="","",IFERROR(INDEX(pr_unit,MATCH(B2200,pr_code,0))&amp;"",""))</f>
        <v/>
      </c>
      <c r="J2200" s="65" t="str">
        <f>IF(COUNTA(A2200:G2200)=0,"",IF(E2200&lt;&gt;"",E2200,IF(B2200="","",IFERROR(IF(INDEX(pr_price,MATCH(B2200,pr_code,0))="","",INDEX(pr_price,MATCH(B2200,pr_code,0))),""))))</f>
        <v/>
      </c>
      <c r="K2200" s="71" t="str">
        <f>IF(COUNTA(A2200:G2200)=0,"",IF(G2200&lt;&gt;"",G2200,IF(B2200="","",IFERROR(IF(INDEX(pr_rate,MATCH(B2200,pr_code,0))="","",INDEX(pr_rate,MATCH(B2200,pr_code,0))),""))))</f>
        <v/>
      </c>
      <c r="L2200" s="65" t="str">
        <f>IF(COUNTA(A2200:G2200)=0,"",IF(AND(ISNUMBER(D2200),ISNUMBER(J2200)),ROUND(D2200*J2200*(1-N(F2200)),2),0))</f>
        <v/>
      </c>
      <c r="M2200" s="62" t="str">
        <f>IF(A2200="","",IFERROR(INDEX(fa_cname,MATCH(A2200,fa_num,0))&amp;"",""))</f>
        <v/>
      </c>
      <c r="N2200" s="59" t="str">
        <f>IF(COUNTA(A2200:G2200)=0,"",IF(A2200="","N° facture manquant",IF(ISNA(MATCH(A2200,fa_num,0)),"Facture inconnue",IF(AND(B2200&lt;&gt;"",ISNA(MATCH(B2200,pr_code,0))),"Article inconnu",IF(H2200="","Désignation manquante",IF(OR(NOT(ISNUMBER(D2200)),N(D2200)&lt;=0),"Quantité invalide",IF(J2200="","Prix manquant",IF(OR(NOT(ISNUMBER(J2200)),N(J2200)&lt;0),"Prix invalide",IF(OR(AND(F2200&lt;&gt;"",NOT(ISNUMBER(F2200))),N(F2200)&lt;0,N(F2200)&gt;1),"Remise invalide",IF(K2200="","Taux de TVA manquant",IF(NOT(ISNUMBER(K2200)),"Taux de TVA invalide",IF(COUNTIF(p_rates,K2200)=0,"Taux de TVA hors liste (Paramètres)",IF(N(O2200)&gt;25,"Au-delà de 25 lignes : non imprimée","OK")))))))))))))</f>
        <v/>
      </c>
      <c r="O2200" s="59" t="str">
        <f>IF(A2200="","",COUNTIF($A$6:A2200,A2200))</f>
        <v/>
      </c>
      <c r="P2200" s="62" t="str">
        <f>IF(A2200="","",A2200&amp;"|"&amp;O2200)</f>
        <v/>
      </c>
    </row>
    <row r="2201">
      <c r="A2201" s="60" t="n"/>
      <c r="B2201" s="63" t="n"/>
      <c r="C2201" s="63" t="n"/>
      <c r="D2201" s="67" t="n"/>
      <c r="E2201" s="68" t="n"/>
      <c r="F2201" s="69" t="n"/>
      <c r="G2201" s="70" t="n"/>
      <c r="H2201" s="62" t="str">
        <f>IF(COUNTA(A2201:G2201)=0,"",IF(C2201&lt;&gt;"",C2201,IF(B2201="","",IFERROR(INDEX(pr_des,MATCH(B2201,pr_code,0))&amp;"",""))))</f>
        <v/>
      </c>
      <c r="I2201" s="59" t="str">
        <f>IF(B2201="","",IFERROR(INDEX(pr_unit,MATCH(B2201,pr_code,0))&amp;"",""))</f>
        <v/>
      </c>
      <c r="J2201" s="65" t="str">
        <f>IF(COUNTA(A2201:G2201)=0,"",IF(E2201&lt;&gt;"",E2201,IF(B2201="","",IFERROR(IF(INDEX(pr_price,MATCH(B2201,pr_code,0))="","",INDEX(pr_price,MATCH(B2201,pr_code,0))),""))))</f>
        <v/>
      </c>
      <c r="K2201" s="71" t="str">
        <f>IF(COUNTA(A2201:G2201)=0,"",IF(G2201&lt;&gt;"",G2201,IF(B2201="","",IFERROR(IF(INDEX(pr_rate,MATCH(B2201,pr_code,0))="","",INDEX(pr_rate,MATCH(B2201,pr_code,0))),""))))</f>
        <v/>
      </c>
      <c r="L2201" s="65" t="str">
        <f>IF(COUNTA(A2201:G2201)=0,"",IF(AND(ISNUMBER(D2201),ISNUMBER(J2201)),ROUND(D2201*J2201*(1-N(F2201)),2),0))</f>
        <v/>
      </c>
      <c r="M2201" s="62" t="str">
        <f>IF(A2201="","",IFERROR(INDEX(fa_cname,MATCH(A2201,fa_num,0))&amp;"",""))</f>
        <v/>
      </c>
      <c r="N2201" s="59" t="str">
        <f>IF(COUNTA(A2201:G2201)=0,"",IF(A2201="","N° facture manquant",IF(ISNA(MATCH(A2201,fa_num,0)),"Facture inconnue",IF(AND(B2201&lt;&gt;"",ISNA(MATCH(B2201,pr_code,0))),"Article inconnu",IF(H2201="","Désignation manquante",IF(OR(NOT(ISNUMBER(D2201)),N(D2201)&lt;=0),"Quantité invalide",IF(J2201="","Prix manquant",IF(OR(NOT(ISNUMBER(J2201)),N(J2201)&lt;0),"Prix invalide",IF(OR(AND(F2201&lt;&gt;"",NOT(ISNUMBER(F2201))),N(F2201)&lt;0,N(F2201)&gt;1),"Remise invalide",IF(K2201="","Taux de TVA manquant",IF(NOT(ISNUMBER(K2201)),"Taux de TVA invalide",IF(COUNTIF(p_rates,K2201)=0,"Taux de TVA hors liste (Paramètres)",IF(N(O2201)&gt;25,"Au-delà de 25 lignes : non imprimée","OK")))))))))))))</f>
        <v/>
      </c>
      <c r="O2201" s="59" t="str">
        <f>IF(A2201="","",COUNTIF($A$6:A2201,A2201))</f>
        <v/>
      </c>
      <c r="P2201" s="62" t="str">
        <f>IF(A2201="","",A2201&amp;"|"&amp;O2201)</f>
        <v/>
      </c>
    </row>
    <row r="2202">
      <c r="A2202" s="60" t="n"/>
      <c r="B2202" s="63" t="n"/>
      <c r="C2202" s="63" t="n"/>
      <c r="D2202" s="67" t="n"/>
      <c r="E2202" s="68" t="n"/>
      <c r="F2202" s="69" t="n"/>
      <c r="G2202" s="70" t="n"/>
      <c r="H2202" s="62" t="str">
        <f>IF(COUNTA(A2202:G2202)=0,"",IF(C2202&lt;&gt;"",C2202,IF(B2202="","",IFERROR(INDEX(pr_des,MATCH(B2202,pr_code,0))&amp;"",""))))</f>
        <v/>
      </c>
      <c r="I2202" s="59" t="str">
        <f>IF(B2202="","",IFERROR(INDEX(pr_unit,MATCH(B2202,pr_code,0))&amp;"",""))</f>
        <v/>
      </c>
      <c r="J2202" s="65" t="str">
        <f>IF(COUNTA(A2202:G2202)=0,"",IF(E2202&lt;&gt;"",E2202,IF(B2202="","",IFERROR(IF(INDEX(pr_price,MATCH(B2202,pr_code,0))="","",INDEX(pr_price,MATCH(B2202,pr_code,0))),""))))</f>
        <v/>
      </c>
      <c r="K2202" s="71" t="str">
        <f>IF(COUNTA(A2202:G2202)=0,"",IF(G2202&lt;&gt;"",G2202,IF(B2202="","",IFERROR(IF(INDEX(pr_rate,MATCH(B2202,pr_code,0))="","",INDEX(pr_rate,MATCH(B2202,pr_code,0))),""))))</f>
        <v/>
      </c>
      <c r="L2202" s="65" t="str">
        <f>IF(COUNTA(A2202:G2202)=0,"",IF(AND(ISNUMBER(D2202),ISNUMBER(J2202)),ROUND(D2202*J2202*(1-N(F2202)),2),0))</f>
        <v/>
      </c>
      <c r="M2202" s="62" t="str">
        <f>IF(A2202="","",IFERROR(INDEX(fa_cname,MATCH(A2202,fa_num,0))&amp;"",""))</f>
        <v/>
      </c>
      <c r="N2202" s="59" t="str">
        <f>IF(COUNTA(A2202:G2202)=0,"",IF(A2202="","N° facture manquant",IF(ISNA(MATCH(A2202,fa_num,0)),"Facture inconnue",IF(AND(B2202&lt;&gt;"",ISNA(MATCH(B2202,pr_code,0))),"Article inconnu",IF(H2202="","Désignation manquante",IF(OR(NOT(ISNUMBER(D2202)),N(D2202)&lt;=0),"Quantité invalide",IF(J2202="","Prix manquant",IF(OR(NOT(ISNUMBER(J2202)),N(J2202)&lt;0),"Prix invalide",IF(OR(AND(F2202&lt;&gt;"",NOT(ISNUMBER(F2202))),N(F2202)&lt;0,N(F2202)&gt;1),"Remise invalide",IF(K2202="","Taux de TVA manquant",IF(NOT(ISNUMBER(K2202)),"Taux de TVA invalide",IF(COUNTIF(p_rates,K2202)=0,"Taux de TVA hors liste (Paramètres)",IF(N(O2202)&gt;25,"Au-delà de 25 lignes : non imprimée","OK")))))))))))))</f>
        <v/>
      </c>
      <c r="O2202" s="59" t="str">
        <f>IF(A2202="","",COUNTIF($A$6:A2202,A2202))</f>
        <v/>
      </c>
      <c r="P2202" s="62" t="str">
        <f>IF(A2202="","",A2202&amp;"|"&amp;O2202)</f>
        <v/>
      </c>
    </row>
    <row r="2203">
      <c r="A2203" s="60" t="n"/>
      <c r="B2203" s="63" t="n"/>
      <c r="C2203" s="63" t="n"/>
      <c r="D2203" s="67" t="n"/>
      <c r="E2203" s="68" t="n"/>
      <c r="F2203" s="69" t="n"/>
      <c r="G2203" s="70" t="n"/>
      <c r="H2203" s="62" t="str">
        <f>IF(COUNTA(A2203:G2203)=0,"",IF(C2203&lt;&gt;"",C2203,IF(B2203="","",IFERROR(INDEX(pr_des,MATCH(B2203,pr_code,0))&amp;"",""))))</f>
        <v/>
      </c>
      <c r="I2203" s="59" t="str">
        <f>IF(B2203="","",IFERROR(INDEX(pr_unit,MATCH(B2203,pr_code,0))&amp;"",""))</f>
        <v/>
      </c>
      <c r="J2203" s="65" t="str">
        <f>IF(COUNTA(A2203:G2203)=0,"",IF(E2203&lt;&gt;"",E2203,IF(B2203="","",IFERROR(IF(INDEX(pr_price,MATCH(B2203,pr_code,0))="","",INDEX(pr_price,MATCH(B2203,pr_code,0))),""))))</f>
        <v/>
      </c>
      <c r="K2203" s="71" t="str">
        <f>IF(COUNTA(A2203:G2203)=0,"",IF(G2203&lt;&gt;"",G2203,IF(B2203="","",IFERROR(IF(INDEX(pr_rate,MATCH(B2203,pr_code,0))="","",INDEX(pr_rate,MATCH(B2203,pr_code,0))),""))))</f>
        <v/>
      </c>
      <c r="L2203" s="65" t="str">
        <f>IF(COUNTA(A2203:G2203)=0,"",IF(AND(ISNUMBER(D2203),ISNUMBER(J2203)),ROUND(D2203*J2203*(1-N(F2203)),2),0))</f>
        <v/>
      </c>
      <c r="M2203" s="62" t="str">
        <f>IF(A2203="","",IFERROR(INDEX(fa_cname,MATCH(A2203,fa_num,0))&amp;"",""))</f>
        <v/>
      </c>
      <c r="N2203" s="59" t="str">
        <f>IF(COUNTA(A2203:G2203)=0,"",IF(A2203="","N° facture manquant",IF(ISNA(MATCH(A2203,fa_num,0)),"Facture inconnue",IF(AND(B2203&lt;&gt;"",ISNA(MATCH(B2203,pr_code,0))),"Article inconnu",IF(H2203="","Désignation manquante",IF(OR(NOT(ISNUMBER(D2203)),N(D2203)&lt;=0),"Quantité invalide",IF(J2203="","Prix manquant",IF(OR(NOT(ISNUMBER(J2203)),N(J2203)&lt;0),"Prix invalide",IF(OR(AND(F2203&lt;&gt;"",NOT(ISNUMBER(F2203))),N(F2203)&lt;0,N(F2203)&gt;1),"Remise invalide",IF(K2203="","Taux de TVA manquant",IF(NOT(ISNUMBER(K2203)),"Taux de TVA invalide",IF(COUNTIF(p_rates,K2203)=0,"Taux de TVA hors liste (Paramètres)",IF(N(O2203)&gt;25,"Au-delà de 25 lignes : non imprimée","OK")))))))))))))</f>
        <v/>
      </c>
      <c r="O2203" s="59" t="str">
        <f>IF(A2203="","",COUNTIF($A$6:A2203,A2203))</f>
        <v/>
      </c>
      <c r="P2203" s="62" t="str">
        <f>IF(A2203="","",A2203&amp;"|"&amp;O2203)</f>
        <v/>
      </c>
    </row>
    <row r="2204">
      <c r="A2204" s="60" t="n"/>
      <c r="B2204" s="63" t="n"/>
      <c r="C2204" s="63" t="n"/>
      <c r="D2204" s="67" t="n"/>
      <c r="E2204" s="68" t="n"/>
      <c r="F2204" s="69" t="n"/>
      <c r="G2204" s="70" t="n"/>
      <c r="H2204" s="62" t="str">
        <f>IF(COUNTA(A2204:G2204)=0,"",IF(C2204&lt;&gt;"",C2204,IF(B2204="","",IFERROR(INDEX(pr_des,MATCH(B2204,pr_code,0))&amp;"",""))))</f>
        <v/>
      </c>
      <c r="I2204" s="59" t="str">
        <f>IF(B2204="","",IFERROR(INDEX(pr_unit,MATCH(B2204,pr_code,0))&amp;"",""))</f>
        <v/>
      </c>
      <c r="J2204" s="65" t="str">
        <f>IF(COUNTA(A2204:G2204)=0,"",IF(E2204&lt;&gt;"",E2204,IF(B2204="","",IFERROR(IF(INDEX(pr_price,MATCH(B2204,pr_code,0))="","",INDEX(pr_price,MATCH(B2204,pr_code,0))),""))))</f>
        <v/>
      </c>
      <c r="K2204" s="71" t="str">
        <f>IF(COUNTA(A2204:G2204)=0,"",IF(G2204&lt;&gt;"",G2204,IF(B2204="","",IFERROR(IF(INDEX(pr_rate,MATCH(B2204,pr_code,0))="","",INDEX(pr_rate,MATCH(B2204,pr_code,0))),""))))</f>
        <v/>
      </c>
      <c r="L2204" s="65" t="str">
        <f>IF(COUNTA(A2204:G2204)=0,"",IF(AND(ISNUMBER(D2204),ISNUMBER(J2204)),ROUND(D2204*J2204*(1-N(F2204)),2),0))</f>
        <v/>
      </c>
      <c r="M2204" s="62" t="str">
        <f>IF(A2204="","",IFERROR(INDEX(fa_cname,MATCH(A2204,fa_num,0))&amp;"",""))</f>
        <v/>
      </c>
      <c r="N2204" s="59" t="str">
        <f>IF(COUNTA(A2204:G2204)=0,"",IF(A2204="","N° facture manquant",IF(ISNA(MATCH(A2204,fa_num,0)),"Facture inconnue",IF(AND(B2204&lt;&gt;"",ISNA(MATCH(B2204,pr_code,0))),"Article inconnu",IF(H2204="","Désignation manquante",IF(OR(NOT(ISNUMBER(D2204)),N(D2204)&lt;=0),"Quantité invalide",IF(J2204="","Prix manquant",IF(OR(NOT(ISNUMBER(J2204)),N(J2204)&lt;0),"Prix invalide",IF(OR(AND(F2204&lt;&gt;"",NOT(ISNUMBER(F2204))),N(F2204)&lt;0,N(F2204)&gt;1),"Remise invalide",IF(K2204="","Taux de TVA manquant",IF(NOT(ISNUMBER(K2204)),"Taux de TVA invalide",IF(COUNTIF(p_rates,K2204)=0,"Taux de TVA hors liste (Paramètres)",IF(N(O2204)&gt;25,"Au-delà de 25 lignes : non imprimée","OK")))))))))))))</f>
        <v/>
      </c>
      <c r="O2204" s="59" t="str">
        <f>IF(A2204="","",COUNTIF($A$6:A2204,A2204))</f>
        <v/>
      </c>
      <c r="P2204" s="62" t="str">
        <f>IF(A2204="","",A2204&amp;"|"&amp;O2204)</f>
        <v/>
      </c>
    </row>
    <row r="2205">
      <c r="A2205" s="60" t="n"/>
      <c r="B2205" s="63" t="n"/>
      <c r="C2205" s="63" t="n"/>
      <c r="D2205" s="67" t="n"/>
      <c r="E2205" s="68" t="n"/>
      <c r="F2205" s="69" t="n"/>
      <c r="G2205" s="70" t="n"/>
      <c r="H2205" s="62" t="str">
        <f>IF(COUNTA(A2205:G2205)=0,"",IF(C2205&lt;&gt;"",C2205,IF(B2205="","",IFERROR(INDEX(pr_des,MATCH(B2205,pr_code,0))&amp;"",""))))</f>
        <v/>
      </c>
      <c r="I2205" s="59" t="str">
        <f>IF(B2205="","",IFERROR(INDEX(pr_unit,MATCH(B2205,pr_code,0))&amp;"",""))</f>
        <v/>
      </c>
      <c r="J2205" s="65" t="str">
        <f>IF(COUNTA(A2205:G2205)=0,"",IF(E2205&lt;&gt;"",E2205,IF(B2205="","",IFERROR(IF(INDEX(pr_price,MATCH(B2205,pr_code,0))="","",INDEX(pr_price,MATCH(B2205,pr_code,0))),""))))</f>
        <v/>
      </c>
      <c r="K2205" s="71" t="str">
        <f>IF(COUNTA(A2205:G2205)=0,"",IF(G2205&lt;&gt;"",G2205,IF(B2205="","",IFERROR(IF(INDEX(pr_rate,MATCH(B2205,pr_code,0))="","",INDEX(pr_rate,MATCH(B2205,pr_code,0))),""))))</f>
        <v/>
      </c>
      <c r="L2205" s="65" t="str">
        <f>IF(COUNTA(A2205:G2205)=0,"",IF(AND(ISNUMBER(D2205),ISNUMBER(J2205)),ROUND(D2205*J2205*(1-N(F2205)),2),0))</f>
        <v/>
      </c>
      <c r="M2205" s="62" t="str">
        <f>IF(A2205="","",IFERROR(INDEX(fa_cname,MATCH(A2205,fa_num,0))&amp;"",""))</f>
        <v/>
      </c>
      <c r="N2205" s="59" t="str">
        <f>IF(COUNTA(A2205:G2205)=0,"",IF(A2205="","N° facture manquant",IF(ISNA(MATCH(A2205,fa_num,0)),"Facture inconnue",IF(AND(B2205&lt;&gt;"",ISNA(MATCH(B2205,pr_code,0))),"Article inconnu",IF(H2205="","Désignation manquante",IF(OR(NOT(ISNUMBER(D2205)),N(D2205)&lt;=0),"Quantité invalide",IF(J2205="","Prix manquant",IF(OR(NOT(ISNUMBER(J2205)),N(J2205)&lt;0),"Prix invalide",IF(OR(AND(F2205&lt;&gt;"",NOT(ISNUMBER(F2205))),N(F2205)&lt;0,N(F2205)&gt;1),"Remise invalide",IF(K2205="","Taux de TVA manquant",IF(NOT(ISNUMBER(K2205)),"Taux de TVA invalide",IF(COUNTIF(p_rates,K2205)=0,"Taux de TVA hors liste (Paramètres)",IF(N(O2205)&gt;25,"Au-delà de 25 lignes : non imprimée","OK")))))))))))))</f>
        <v/>
      </c>
      <c r="O2205" s="59" t="str">
        <f>IF(A2205="","",COUNTIF($A$6:A2205,A2205))</f>
        <v/>
      </c>
      <c r="P2205" s="62" t="str">
        <f>IF(A2205="","",A2205&amp;"|"&amp;O2205)</f>
        <v/>
      </c>
    </row>
    <row r="2206">
      <c r="A2206" s="60" t="n"/>
      <c r="B2206" s="63" t="n"/>
      <c r="C2206" s="63" t="n"/>
      <c r="D2206" s="67" t="n"/>
      <c r="E2206" s="68" t="n"/>
      <c r="F2206" s="69" t="n"/>
      <c r="G2206" s="70" t="n"/>
      <c r="H2206" s="62" t="str">
        <f>IF(COUNTA(A2206:G2206)=0,"",IF(C2206&lt;&gt;"",C2206,IF(B2206="","",IFERROR(INDEX(pr_des,MATCH(B2206,pr_code,0))&amp;"",""))))</f>
        <v/>
      </c>
      <c r="I2206" s="59" t="str">
        <f>IF(B2206="","",IFERROR(INDEX(pr_unit,MATCH(B2206,pr_code,0))&amp;"",""))</f>
        <v/>
      </c>
      <c r="J2206" s="65" t="str">
        <f>IF(COUNTA(A2206:G2206)=0,"",IF(E2206&lt;&gt;"",E2206,IF(B2206="","",IFERROR(IF(INDEX(pr_price,MATCH(B2206,pr_code,0))="","",INDEX(pr_price,MATCH(B2206,pr_code,0))),""))))</f>
        <v/>
      </c>
      <c r="K2206" s="71" t="str">
        <f>IF(COUNTA(A2206:G2206)=0,"",IF(G2206&lt;&gt;"",G2206,IF(B2206="","",IFERROR(IF(INDEX(pr_rate,MATCH(B2206,pr_code,0))="","",INDEX(pr_rate,MATCH(B2206,pr_code,0))),""))))</f>
        <v/>
      </c>
      <c r="L2206" s="65" t="str">
        <f>IF(COUNTA(A2206:G2206)=0,"",IF(AND(ISNUMBER(D2206),ISNUMBER(J2206)),ROUND(D2206*J2206*(1-N(F2206)),2),0))</f>
        <v/>
      </c>
      <c r="M2206" s="62" t="str">
        <f>IF(A2206="","",IFERROR(INDEX(fa_cname,MATCH(A2206,fa_num,0))&amp;"",""))</f>
        <v/>
      </c>
      <c r="N2206" s="59" t="str">
        <f>IF(COUNTA(A2206:G2206)=0,"",IF(A2206="","N° facture manquant",IF(ISNA(MATCH(A2206,fa_num,0)),"Facture inconnue",IF(AND(B2206&lt;&gt;"",ISNA(MATCH(B2206,pr_code,0))),"Article inconnu",IF(H2206="","Désignation manquante",IF(OR(NOT(ISNUMBER(D2206)),N(D2206)&lt;=0),"Quantité invalide",IF(J2206="","Prix manquant",IF(OR(NOT(ISNUMBER(J2206)),N(J2206)&lt;0),"Prix invalide",IF(OR(AND(F2206&lt;&gt;"",NOT(ISNUMBER(F2206))),N(F2206)&lt;0,N(F2206)&gt;1),"Remise invalide",IF(K2206="","Taux de TVA manquant",IF(NOT(ISNUMBER(K2206)),"Taux de TVA invalide",IF(COUNTIF(p_rates,K2206)=0,"Taux de TVA hors liste (Paramètres)",IF(N(O2206)&gt;25,"Au-delà de 25 lignes : non imprimée","OK")))))))))))))</f>
        <v/>
      </c>
      <c r="O2206" s="59" t="str">
        <f>IF(A2206="","",COUNTIF($A$6:A2206,A2206))</f>
        <v/>
      </c>
      <c r="P2206" s="62" t="str">
        <f>IF(A2206="","",A2206&amp;"|"&amp;O2206)</f>
        <v/>
      </c>
    </row>
    <row r="2207">
      <c r="A2207" s="60" t="n"/>
      <c r="B2207" s="63" t="n"/>
      <c r="C2207" s="63" t="n"/>
      <c r="D2207" s="67" t="n"/>
      <c r="E2207" s="68" t="n"/>
      <c r="F2207" s="69" t="n"/>
      <c r="G2207" s="70" t="n"/>
      <c r="H2207" s="62" t="str">
        <f>IF(COUNTA(A2207:G2207)=0,"",IF(C2207&lt;&gt;"",C2207,IF(B2207="","",IFERROR(INDEX(pr_des,MATCH(B2207,pr_code,0))&amp;"",""))))</f>
        <v/>
      </c>
      <c r="I2207" s="59" t="str">
        <f>IF(B2207="","",IFERROR(INDEX(pr_unit,MATCH(B2207,pr_code,0))&amp;"",""))</f>
        <v/>
      </c>
      <c r="J2207" s="65" t="str">
        <f>IF(COUNTA(A2207:G2207)=0,"",IF(E2207&lt;&gt;"",E2207,IF(B2207="","",IFERROR(IF(INDEX(pr_price,MATCH(B2207,pr_code,0))="","",INDEX(pr_price,MATCH(B2207,pr_code,0))),""))))</f>
        <v/>
      </c>
      <c r="K2207" s="71" t="str">
        <f>IF(COUNTA(A2207:G2207)=0,"",IF(G2207&lt;&gt;"",G2207,IF(B2207="","",IFERROR(IF(INDEX(pr_rate,MATCH(B2207,pr_code,0))="","",INDEX(pr_rate,MATCH(B2207,pr_code,0))),""))))</f>
        <v/>
      </c>
      <c r="L2207" s="65" t="str">
        <f>IF(COUNTA(A2207:G2207)=0,"",IF(AND(ISNUMBER(D2207),ISNUMBER(J2207)),ROUND(D2207*J2207*(1-N(F2207)),2),0))</f>
        <v/>
      </c>
      <c r="M2207" s="62" t="str">
        <f>IF(A2207="","",IFERROR(INDEX(fa_cname,MATCH(A2207,fa_num,0))&amp;"",""))</f>
        <v/>
      </c>
      <c r="N2207" s="59" t="str">
        <f>IF(COUNTA(A2207:G2207)=0,"",IF(A2207="","N° facture manquant",IF(ISNA(MATCH(A2207,fa_num,0)),"Facture inconnue",IF(AND(B2207&lt;&gt;"",ISNA(MATCH(B2207,pr_code,0))),"Article inconnu",IF(H2207="","Désignation manquante",IF(OR(NOT(ISNUMBER(D2207)),N(D2207)&lt;=0),"Quantité invalide",IF(J2207="","Prix manquant",IF(OR(NOT(ISNUMBER(J2207)),N(J2207)&lt;0),"Prix invalide",IF(OR(AND(F2207&lt;&gt;"",NOT(ISNUMBER(F2207))),N(F2207)&lt;0,N(F2207)&gt;1),"Remise invalide",IF(K2207="","Taux de TVA manquant",IF(NOT(ISNUMBER(K2207)),"Taux de TVA invalide",IF(COUNTIF(p_rates,K2207)=0,"Taux de TVA hors liste (Paramètres)",IF(N(O2207)&gt;25,"Au-delà de 25 lignes : non imprimée","OK")))))))))))))</f>
        <v/>
      </c>
      <c r="O2207" s="59" t="str">
        <f>IF(A2207="","",COUNTIF($A$6:A2207,A2207))</f>
        <v/>
      </c>
      <c r="P2207" s="62" t="str">
        <f>IF(A2207="","",A2207&amp;"|"&amp;O2207)</f>
        <v/>
      </c>
    </row>
    <row r="2208">
      <c r="A2208" s="60" t="n"/>
      <c r="B2208" s="63" t="n"/>
      <c r="C2208" s="63" t="n"/>
      <c r="D2208" s="67" t="n"/>
      <c r="E2208" s="68" t="n"/>
      <c r="F2208" s="69" t="n"/>
      <c r="G2208" s="70" t="n"/>
      <c r="H2208" s="62" t="str">
        <f>IF(COUNTA(A2208:G2208)=0,"",IF(C2208&lt;&gt;"",C2208,IF(B2208="","",IFERROR(INDEX(pr_des,MATCH(B2208,pr_code,0))&amp;"",""))))</f>
        <v/>
      </c>
      <c r="I2208" s="59" t="str">
        <f>IF(B2208="","",IFERROR(INDEX(pr_unit,MATCH(B2208,pr_code,0))&amp;"",""))</f>
        <v/>
      </c>
      <c r="J2208" s="65" t="str">
        <f>IF(COUNTA(A2208:G2208)=0,"",IF(E2208&lt;&gt;"",E2208,IF(B2208="","",IFERROR(IF(INDEX(pr_price,MATCH(B2208,pr_code,0))="","",INDEX(pr_price,MATCH(B2208,pr_code,0))),""))))</f>
        <v/>
      </c>
      <c r="K2208" s="71" t="str">
        <f>IF(COUNTA(A2208:G2208)=0,"",IF(G2208&lt;&gt;"",G2208,IF(B2208="","",IFERROR(IF(INDEX(pr_rate,MATCH(B2208,pr_code,0))="","",INDEX(pr_rate,MATCH(B2208,pr_code,0))),""))))</f>
        <v/>
      </c>
      <c r="L2208" s="65" t="str">
        <f>IF(COUNTA(A2208:G2208)=0,"",IF(AND(ISNUMBER(D2208),ISNUMBER(J2208)),ROUND(D2208*J2208*(1-N(F2208)),2),0))</f>
        <v/>
      </c>
      <c r="M2208" s="62" t="str">
        <f>IF(A2208="","",IFERROR(INDEX(fa_cname,MATCH(A2208,fa_num,0))&amp;"",""))</f>
        <v/>
      </c>
      <c r="N2208" s="59" t="str">
        <f>IF(COUNTA(A2208:G2208)=0,"",IF(A2208="","N° facture manquant",IF(ISNA(MATCH(A2208,fa_num,0)),"Facture inconnue",IF(AND(B2208&lt;&gt;"",ISNA(MATCH(B2208,pr_code,0))),"Article inconnu",IF(H2208="","Désignation manquante",IF(OR(NOT(ISNUMBER(D2208)),N(D2208)&lt;=0),"Quantité invalide",IF(J2208="","Prix manquant",IF(OR(NOT(ISNUMBER(J2208)),N(J2208)&lt;0),"Prix invalide",IF(OR(AND(F2208&lt;&gt;"",NOT(ISNUMBER(F2208))),N(F2208)&lt;0,N(F2208)&gt;1),"Remise invalide",IF(K2208="","Taux de TVA manquant",IF(NOT(ISNUMBER(K2208)),"Taux de TVA invalide",IF(COUNTIF(p_rates,K2208)=0,"Taux de TVA hors liste (Paramètres)",IF(N(O2208)&gt;25,"Au-delà de 25 lignes : non imprimée","OK")))))))))))))</f>
        <v/>
      </c>
      <c r="O2208" s="59" t="str">
        <f>IF(A2208="","",COUNTIF($A$6:A2208,A2208))</f>
        <v/>
      </c>
      <c r="P2208" s="62" t="str">
        <f>IF(A2208="","",A2208&amp;"|"&amp;O2208)</f>
        <v/>
      </c>
    </row>
    <row r="2209">
      <c r="A2209" s="60" t="n"/>
      <c r="B2209" s="63" t="n"/>
      <c r="C2209" s="63" t="n"/>
      <c r="D2209" s="67" t="n"/>
      <c r="E2209" s="68" t="n"/>
      <c r="F2209" s="69" t="n"/>
      <c r="G2209" s="70" t="n"/>
      <c r="H2209" s="62" t="str">
        <f>IF(COUNTA(A2209:G2209)=0,"",IF(C2209&lt;&gt;"",C2209,IF(B2209="","",IFERROR(INDEX(pr_des,MATCH(B2209,pr_code,0))&amp;"",""))))</f>
        <v/>
      </c>
      <c r="I2209" s="59" t="str">
        <f>IF(B2209="","",IFERROR(INDEX(pr_unit,MATCH(B2209,pr_code,0))&amp;"",""))</f>
        <v/>
      </c>
      <c r="J2209" s="65" t="str">
        <f>IF(COUNTA(A2209:G2209)=0,"",IF(E2209&lt;&gt;"",E2209,IF(B2209="","",IFERROR(IF(INDEX(pr_price,MATCH(B2209,pr_code,0))="","",INDEX(pr_price,MATCH(B2209,pr_code,0))),""))))</f>
        <v/>
      </c>
      <c r="K2209" s="71" t="str">
        <f>IF(COUNTA(A2209:G2209)=0,"",IF(G2209&lt;&gt;"",G2209,IF(B2209="","",IFERROR(IF(INDEX(pr_rate,MATCH(B2209,pr_code,0))="","",INDEX(pr_rate,MATCH(B2209,pr_code,0))),""))))</f>
        <v/>
      </c>
      <c r="L2209" s="65" t="str">
        <f>IF(COUNTA(A2209:G2209)=0,"",IF(AND(ISNUMBER(D2209),ISNUMBER(J2209)),ROUND(D2209*J2209*(1-N(F2209)),2),0))</f>
        <v/>
      </c>
      <c r="M2209" s="62" t="str">
        <f>IF(A2209="","",IFERROR(INDEX(fa_cname,MATCH(A2209,fa_num,0))&amp;"",""))</f>
        <v/>
      </c>
      <c r="N2209" s="59" t="str">
        <f>IF(COUNTA(A2209:G2209)=0,"",IF(A2209="","N° facture manquant",IF(ISNA(MATCH(A2209,fa_num,0)),"Facture inconnue",IF(AND(B2209&lt;&gt;"",ISNA(MATCH(B2209,pr_code,0))),"Article inconnu",IF(H2209="","Désignation manquante",IF(OR(NOT(ISNUMBER(D2209)),N(D2209)&lt;=0),"Quantité invalide",IF(J2209="","Prix manquant",IF(OR(NOT(ISNUMBER(J2209)),N(J2209)&lt;0),"Prix invalide",IF(OR(AND(F2209&lt;&gt;"",NOT(ISNUMBER(F2209))),N(F2209)&lt;0,N(F2209)&gt;1),"Remise invalide",IF(K2209="","Taux de TVA manquant",IF(NOT(ISNUMBER(K2209)),"Taux de TVA invalide",IF(COUNTIF(p_rates,K2209)=0,"Taux de TVA hors liste (Paramètres)",IF(N(O2209)&gt;25,"Au-delà de 25 lignes : non imprimée","OK")))))))))))))</f>
        <v/>
      </c>
      <c r="O2209" s="59" t="str">
        <f>IF(A2209="","",COUNTIF($A$6:A2209,A2209))</f>
        <v/>
      </c>
      <c r="P2209" s="62" t="str">
        <f>IF(A2209="","",A2209&amp;"|"&amp;O2209)</f>
        <v/>
      </c>
    </row>
    <row r="2210">
      <c r="A2210" s="60" t="n"/>
      <c r="B2210" s="63" t="n"/>
      <c r="C2210" s="63" t="n"/>
      <c r="D2210" s="67" t="n"/>
      <c r="E2210" s="68" t="n"/>
      <c r="F2210" s="69" t="n"/>
      <c r="G2210" s="70" t="n"/>
      <c r="H2210" s="62" t="str">
        <f>IF(COUNTA(A2210:G2210)=0,"",IF(C2210&lt;&gt;"",C2210,IF(B2210="","",IFERROR(INDEX(pr_des,MATCH(B2210,pr_code,0))&amp;"",""))))</f>
        <v/>
      </c>
      <c r="I2210" s="59" t="str">
        <f>IF(B2210="","",IFERROR(INDEX(pr_unit,MATCH(B2210,pr_code,0))&amp;"",""))</f>
        <v/>
      </c>
      <c r="J2210" s="65" t="str">
        <f>IF(COUNTA(A2210:G2210)=0,"",IF(E2210&lt;&gt;"",E2210,IF(B2210="","",IFERROR(IF(INDEX(pr_price,MATCH(B2210,pr_code,0))="","",INDEX(pr_price,MATCH(B2210,pr_code,0))),""))))</f>
        <v/>
      </c>
      <c r="K2210" s="71" t="str">
        <f>IF(COUNTA(A2210:G2210)=0,"",IF(G2210&lt;&gt;"",G2210,IF(B2210="","",IFERROR(IF(INDEX(pr_rate,MATCH(B2210,pr_code,0))="","",INDEX(pr_rate,MATCH(B2210,pr_code,0))),""))))</f>
        <v/>
      </c>
      <c r="L2210" s="65" t="str">
        <f>IF(COUNTA(A2210:G2210)=0,"",IF(AND(ISNUMBER(D2210),ISNUMBER(J2210)),ROUND(D2210*J2210*(1-N(F2210)),2),0))</f>
        <v/>
      </c>
      <c r="M2210" s="62" t="str">
        <f>IF(A2210="","",IFERROR(INDEX(fa_cname,MATCH(A2210,fa_num,0))&amp;"",""))</f>
        <v/>
      </c>
      <c r="N2210" s="59" t="str">
        <f>IF(COUNTA(A2210:G2210)=0,"",IF(A2210="","N° facture manquant",IF(ISNA(MATCH(A2210,fa_num,0)),"Facture inconnue",IF(AND(B2210&lt;&gt;"",ISNA(MATCH(B2210,pr_code,0))),"Article inconnu",IF(H2210="","Désignation manquante",IF(OR(NOT(ISNUMBER(D2210)),N(D2210)&lt;=0),"Quantité invalide",IF(J2210="","Prix manquant",IF(OR(NOT(ISNUMBER(J2210)),N(J2210)&lt;0),"Prix invalide",IF(OR(AND(F2210&lt;&gt;"",NOT(ISNUMBER(F2210))),N(F2210)&lt;0,N(F2210)&gt;1),"Remise invalide",IF(K2210="","Taux de TVA manquant",IF(NOT(ISNUMBER(K2210)),"Taux de TVA invalide",IF(COUNTIF(p_rates,K2210)=0,"Taux de TVA hors liste (Paramètres)",IF(N(O2210)&gt;25,"Au-delà de 25 lignes : non imprimée","OK")))))))))))))</f>
        <v/>
      </c>
      <c r="O2210" s="59" t="str">
        <f>IF(A2210="","",COUNTIF($A$6:A2210,A2210))</f>
        <v/>
      </c>
      <c r="P2210" s="62" t="str">
        <f>IF(A2210="","",A2210&amp;"|"&amp;O2210)</f>
        <v/>
      </c>
    </row>
    <row r="2211">
      <c r="A2211" s="60" t="n"/>
      <c r="B2211" s="63" t="n"/>
      <c r="C2211" s="63" t="n"/>
      <c r="D2211" s="67" t="n"/>
      <c r="E2211" s="68" t="n"/>
      <c r="F2211" s="69" t="n"/>
      <c r="G2211" s="70" t="n"/>
      <c r="H2211" s="62" t="str">
        <f>IF(COUNTA(A2211:G2211)=0,"",IF(C2211&lt;&gt;"",C2211,IF(B2211="","",IFERROR(INDEX(pr_des,MATCH(B2211,pr_code,0))&amp;"",""))))</f>
        <v/>
      </c>
      <c r="I2211" s="59" t="str">
        <f>IF(B2211="","",IFERROR(INDEX(pr_unit,MATCH(B2211,pr_code,0))&amp;"",""))</f>
        <v/>
      </c>
      <c r="J2211" s="65" t="str">
        <f>IF(COUNTA(A2211:G2211)=0,"",IF(E2211&lt;&gt;"",E2211,IF(B2211="","",IFERROR(IF(INDEX(pr_price,MATCH(B2211,pr_code,0))="","",INDEX(pr_price,MATCH(B2211,pr_code,0))),""))))</f>
        <v/>
      </c>
      <c r="K2211" s="71" t="str">
        <f>IF(COUNTA(A2211:G2211)=0,"",IF(G2211&lt;&gt;"",G2211,IF(B2211="","",IFERROR(IF(INDEX(pr_rate,MATCH(B2211,pr_code,0))="","",INDEX(pr_rate,MATCH(B2211,pr_code,0))),""))))</f>
        <v/>
      </c>
      <c r="L2211" s="65" t="str">
        <f>IF(COUNTA(A2211:G2211)=0,"",IF(AND(ISNUMBER(D2211),ISNUMBER(J2211)),ROUND(D2211*J2211*(1-N(F2211)),2),0))</f>
        <v/>
      </c>
      <c r="M2211" s="62" t="str">
        <f>IF(A2211="","",IFERROR(INDEX(fa_cname,MATCH(A2211,fa_num,0))&amp;"",""))</f>
        <v/>
      </c>
      <c r="N2211" s="59" t="str">
        <f>IF(COUNTA(A2211:G2211)=0,"",IF(A2211="","N° facture manquant",IF(ISNA(MATCH(A2211,fa_num,0)),"Facture inconnue",IF(AND(B2211&lt;&gt;"",ISNA(MATCH(B2211,pr_code,0))),"Article inconnu",IF(H2211="","Désignation manquante",IF(OR(NOT(ISNUMBER(D2211)),N(D2211)&lt;=0),"Quantité invalide",IF(J2211="","Prix manquant",IF(OR(NOT(ISNUMBER(J2211)),N(J2211)&lt;0),"Prix invalide",IF(OR(AND(F2211&lt;&gt;"",NOT(ISNUMBER(F2211))),N(F2211)&lt;0,N(F2211)&gt;1),"Remise invalide",IF(K2211="","Taux de TVA manquant",IF(NOT(ISNUMBER(K2211)),"Taux de TVA invalide",IF(COUNTIF(p_rates,K2211)=0,"Taux de TVA hors liste (Paramètres)",IF(N(O2211)&gt;25,"Au-delà de 25 lignes : non imprimée","OK")))))))))))))</f>
        <v/>
      </c>
      <c r="O2211" s="59" t="str">
        <f>IF(A2211="","",COUNTIF($A$6:A2211,A2211))</f>
        <v/>
      </c>
      <c r="P2211" s="62" t="str">
        <f>IF(A2211="","",A2211&amp;"|"&amp;O2211)</f>
        <v/>
      </c>
    </row>
    <row r="2212">
      <c r="A2212" s="60" t="n"/>
      <c r="B2212" s="63" t="n"/>
      <c r="C2212" s="63" t="n"/>
      <c r="D2212" s="67" t="n"/>
      <c r="E2212" s="68" t="n"/>
      <c r="F2212" s="69" t="n"/>
      <c r="G2212" s="70" t="n"/>
      <c r="H2212" s="62" t="str">
        <f>IF(COUNTA(A2212:G2212)=0,"",IF(C2212&lt;&gt;"",C2212,IF(B2212="","",IFERROR(INDEX(pr_des,MATCH(B2212,pr_code,0))&amp;"",""))))</f>
        <v/>
      </c>
      <c r="I2212" s="59" t="str">
        <f>IF(B2212="","",IFERROR(INDEX(pr_unit,MATCH(B2212,pr_code,0))&amp;"",""))</f>
        <v/>
      </c>
      <c r="J2212" s="65" t="str">
        <f>IF(COUNTA(A2212:G2212)=0,"",IF(E2212&lt;&gt;"",E2212,IF(B2212="","",IFERROR(IF(INDEX(pr_price,MATCH(B2212,pr_code,0))="","",INDEX(pr_price,MATCH(B2212,pr_code,0))),""))))</f>
        <v/>
      </c>
      <c r="K2212" s="71" t="str">
        <f>IF(COUNTA(A2212:G2212)=0,"",IF(G2212&lt;&gt;"",G2212,IF(B2212="","",IFERROR(IF(INDEX(pr_rate,MATCH(B2212,pr_code,0))="","",INDEX(pr_rate,MATCH(B2212,pr_code,0))),""))))</f>
        <v/>
      </c>
      <c r="L2212" s="65" t="str">
        <f>IF(COUNTA(A2212:G2212)=0,"",IF(AND(ISNUMBER(D2212),ISNUMBER(J2212)),ROUND(D2212*J2212*(1-N(F2212)),2),0))</f>
        <v/>
      </c>
      <c r="M2212" s="62" t="str">
        <f>IF(A2212="","",IFERROR(INDEX(fa_cname,MATCH(A2212,fa_num,0))&amp;"",""))</f>
        <v/>
      </c>
      <c r="N2212" s="59" t="str">
        <f>IF(COUNTA(A2212:G2212)=0,"",IF(A2212="","N° facture manquant",IF(ISNA(MATCH(A2212,fa_num,0)),"Facture inconnue",IF(AND(B2212&lt;&gt;"",ISNA(MATCH(B2212,pr_code,0))),"Article inconnu",IF(H2212="","Désignation manquante",IF(OR(NOT(ISNUMBER(D2212)),N(D2212)&lt;=0),"Quantité invalide",IF(J2212="","Prix manquant",IF(OR(NOT(ISNUMBER(J2212)),N(J2212)&lt;0),"Prix invalide",IF(OR(AND(F2212&lt;&gt;"",NOT(ISNUMBER(F2212))),N(F2212)&lt;0,N(F2212)&gt;1),"Remise invalide",IF(K2212="","Taux de TVA manquant",IF(NOT(ISNUMBER(K2212)),"Taux de TVA invalide",IF(COUNTIF(p_rates,K2212)=0,"Taux de TVA hors liste (Paramètres)",IF(N(O2212)&gt;25,"Au-delà de 25 lignes : non imprimée","OK")))))))))))))</f>
        <v/>
      </c>
      <c r="O2212" s="59" t="str">
        <f>IF(A2212="","",COUNTIF($A$6:A2212,A2212))</f>
        <v/>
      </c>
      <c r="P2212" s="62" t="str">
        <f>IF(A2212="","",A2212&amp;"|"&amp;O2212)</f>
        <v/>
      </c>
    </row>
    <row r="2213">
      <c r="A2213" s="60" t="n"/>
      <c r="B2213" s="63" t="n"/>
      <c r="C2213" s="63" t="n"/>
      <c r="D2213" s="67" t="n"/>
      <c r="E2213" s="68" t="n"/>
      <c r="F2213" s="69" t="n"/>
      <c r="G2213" s="70" t="n"/>
      <c r="H2213" s="62" t="str">
        <f>IF(COUNTA(A2213:G2213)=0,"",IF(C2213&lt;&gt;"",C2213,IF(B2213="","",IFERROR(INDEX(pr_des,MATCH(B2213,pr_code,0))&amp;"",""))))</f>
        <v/>
      </c>
      <c r="I2213" s="59" t="str">
        <f>IF(B2213="","",IFERROR(INDEX(pr_unit,MATCH(B2213,pr_code,0))&amp;"",""))</f>
        <v/>
      </c>
      <c r="J2213" s="65" t="str">
        <f>IF(COUNTA(A2213:G2213)=0,"",IF(E2213&lt;&gt;"",E2213,IF(B2213="","",IFERROR(IF(INDEX(pr_price,MATCH(B2213,pr_code,0))="","",INDEX(pr_price,MATCH(B2213,pr_code,0))),""))))</f>
        <v/>
      </c>
      <c r="K2213" s="71" t="str">
        <f>IF(COUNTA(A2213:G2213)=0,"",IF(G2213&lt;&gt;"",G2213,IF(B2213="","",IFERROR(IF(INDEX(pr_rate,MATCH(B2213,pr_code,0))="","",INDEX(pr_rate,MATCH(B2213,pr_code,0))),""))))</f>
        <v/>
      </c>
      <c r="L2213" s="65" t="str">
        <f>IF(COUNTA(A2213:G2213)=0,"",IF(AND(ISNUMBER(D2213),ISNUMBER(J2213)),ROUND(D2213*J2213*(1-N(F2213)),2),0))</f>
        <v/>
      </c>
      <c r="M2213" s="62" t="str">
        <f>IF(A2213="","",IFERROR(INDEX(fa_cname,MATCH(A2213,fa_num,0))&amp;"",""))</f>
        <v/>
      </c>
      <c r="N2213" s="59" t="str">
        <f>IF(COUNTA(A2213:G2213)=0,"",IF(A2213="","N° facture manquant",IF(ISNA(MATCH(A2213,fa_num,0)),"Facture inconnue",IF(AND(B2213&lt;&gt;"",ISNA(MATCH(B2213,pr_code,0))),"Article inconnu",IF(H2213="","Désignation manquante",IF(OR(NOT(ISNUMBER(D2213)),N(D2213)&lt;=0),"Quantité invalide",IF(J2213="","Prix manquant",IF(OR(NOT(ISNUMBER(J2213)),N(J2213)&lt;0),"Prix invalide",IF(OR(AND(F2213&lt;&gt;"",NOT(ISNUMBER(F2213))),N(F2213)&lt;0,N(F2213)&gt;1),"Remise invalide",IF(K2213="","Taux de TVA manquant",IF(NOT(ISNUMBER(K2213)),"Taux de TVA invalide",IF(COUNTIF(p_rates,K2213)=0,"Taux de TVA hors liste (Paramètres)",IF(N(O2213)&gt;25,"Au-delà de 25 lignes : non imprimée","OK")))))))))))))</f>
        <v/>
      </c>
      <c r="O2213" s="59" t="str">
        <f>IF(A2213="","",COUNTIF($A$6:A2213,A2213))</f>
        <v/>
      </c>
      <c r="P2213" s="62" t="str">
        <f>IF(A2213="","",A2213&amp;"|"&amp;O2213)</f>
        <v/>
      </c>
    </row>
    <row r="2214">
      <c r="A2214" s="60" t="n"/>
      <c r="B2214" s="63" t="n"/>
      <c r="C2214" s="63" t="n"/>
      <c r="D2214" s="67" t="n"/>
      <c r="E2214" s="68" t="n"/>
      <c r="F2214" s="69" t="n"/>
      <c r="G2214" s="70" t="n"/>
      <c r="H2214" s="62" t="str">
        <f>IF(COUNTA(A2214:G2214)=0,"",IF(C2214&lt;&gt;"",C2214,IF(B2214="","",IFERROR(INDEX(pr_des,MATCH(B2214,pr_code,0))&amp;"",""))))</f>
        <v/>
      </c>
      <c r="I2214" s="59" t="str">
        <f>IF(B2214="","",IFERROR(INDEX(pr_unit,MATCH(B2214,pr_code,0))&amp;"",""))</f>
        <v/>
      </c>
      <c r="J2214" s="65" t="str">
        <f>IF(COUNTA(A2214:G2214)=0,"",IF(E2214&lt;&gt;"",E2214,IF(B2214="","",IFERROR(IF(INDEX(pr_price,MATCH(B2214,pr_code,0))="","",INDEX(pr_price,MATCH(B2214,pr_code,0))),""))))</f>
        <v/>
      </c>
      <c r="K2214" s="71" t="str">
        <f>IF(COUNTA(A2214:G2214)=0,"",IF(G2214&lt;&gt;"",G2214,IF(B2214="","",IFERROR(IF(INDEX(pr_rate,MATCH(B2214,pr_code,0))="","",INDEX(pr_rate,MATCH(B2214,pr_code,0))),""))))</f>
        <v/>
      </c>
      <c r="L2214" s="65" t="str">
        <f>IF(COUNTA(A2214:G2214)=0,"",IF(AND(ISNUMBER(D2214),ISNUMBER(J2214)),ROUND(D2214*J2214*(1-N(F2214)),2),0))</f>
        <v/>
      </c>
      <c r="M2214" s="62" t="str">
        <f>IF(A2214="","",IFERROR(INDEX(fa_cname,MATCH(A2214,fa_num,0))&amp;"",""))</f>
        <v/>
      </c>
      <c r="N2214" s="59" t="str">
        <f>IF(COUNTA(A2214:G2214)=0,"",IF(A2214="","N° facture manquant",IF(ISNA(MATCH(A2214,fa_num,0)),"Facture inconnue",IF(AND(B2214&lt;&gt;"",ISNA(MATCH(B2214,pr_code,0))),"Article inconnu",IF(H2214="","Désignation manquante",IF(OR(NOT(ISNUMBER(D2214)),N(D2214)&lt;=0),"Quantité invalide",IF(J2214="","Prix manquant",IF(OR(NOT(ISNUMBER(J2214)),N(J2214)&lt;0),"Prix invalide",IF(OR(AND(F2214&lt;&gt;"",NOT(ISNUMBER(F2214))),N(F2214)&lt;0,N(F2214)&gt;1),"Remise invalide",IF(K2214="","Taux de TVA manquant",IF(NOT(ISNUMBER(K2214)),"Taux de TVA invalide",IF(COUNTIF(p_rates,K2214)=0,"Taux de TVA hors liste (Paramètres)",IF(N(O2214)&gt;25,"Au-delà de 25 lignes : non imprimée","OK")))))))))))))</f>
        <v/>
      </c>
      <c r="O2214" s="59" t="str">
        <f>IF(A2214="","",COUNTIF($A$6:A2214,A2214))</f>
        <v/>
      </c>
      <c r="P2214" s="62" t="str">
        <f>IF(A2214="","",A2214&amp;"|"&amp;O2214)</f>
        <v/>
      </c>
    </row>
    <row r="2215">
      <c r="A2215" s="60" t="n"/>
      <c r="B2215" s="63" t="n"/>
      <c r="C2215" s="63" t="n"/>
      <c r="D2215" s="67" t="n"/>
      <c r="E2215" s="68" t="n"/>
      <c r="F2215" s="69" t="n"/>
      <c r="G2215" s="70" t="n"/>
      <c r="H2215" s="62" t="str">
        <f>IF(COUNTA(A2215:G2215)=0,"",IF(C2215&lt;&gt;"",C2215,IF(B2215="","",IFERROR(INDEX(pr_des,MATCH(B2215,pr_code,0))&amp;"",""))))</f>
        <v/>
      </c>
      <c r="I2215" s="59" t="str">
        <f>IF(B2215="","",IFERROR(INDEX(pr_unit,MATCH(B2215,pr_code,0))&amp;"",""))</f>
        <v/>
      </c>
      <c r="J2215" s="65" t="str">
        <f>IF(COUNTA(A2215:G2215)=0,"",IF(E2215&lt;&gt;"",E2215,IF(B2215="","",IFERROR(IF(INDEX(pr_price,MATCH(B2215,pr_code,0))="","",INDEX(pr_price,MATCH(B2215,pr_code,0))),""))))</f>
        <v/>
      </c>
      <c r="K2215" s="71" t="str">
        <f>IF(COUNTA(A2215:G2215)=0,"",IF(G2215&lt;&gt;"",G2215,IF(B2215="","",IFERROR(IF(INDEX(pr_rate,MATCH(B2215,pr_code,0))="","",INDEX(pr_rate,MATCH(B2215,pr_code,0))),""))))</f>
        <v/>
      </c>
      <c r="L2215" s="65" t="str">
        <f>IF(COUNTA(A2215:G2215)=0,"",IF(AND(ISNUMBER(D2215),ISNUMBER(J2215)),ROUND(D2215*J2215*(1-N(F2215)),2),0))</f>
        <v/>
      </c>
      <c r="M2215" s="62" t="str">
        <f>IF(A2215="","",IFERROR(INDEX(fa_cname,MATCH(A2215,fa_num,0))&amp;"",""))</f>
        <v/>
      </c>
      <c r="N2215" s="59" t="str">
        <f>IF(COUNTA(A2215:G2215)=0,"",IF(A2215="","N° facture manquant",IF(ISNA(MATCH(A2215,fa_num,0)),"Facture inconnue",IF(AND(B2215&lt;&gt;"",ISNA(MATCH(B2215,pr_code,0))),"Article inconnu",IF(H2215="","Désignation manquante",IF(OR(NOT(ISNUMBER(D2215)),N(D2215)&lt;=0),"Quantité invalide",IF(J2215="","Prix manquant",IF(OR(NOT(ISNUMBER(J2215)),N(J2215)&lt;0),"Prix invalide",IF(OR(AND(F2215&lt;&gt;"",NOT(ISNUMBER(F2215))),N(F2215)&lt;0,N(F2215)&gt;1),"Remise invalide",IF(K2215="","Taux de TVA manquant",IF(NOT(ISNUMBER(K2215)),"Taux de TVA invalide",IF(COUNTIF(p_rates,K2215)=0,"Taux de TVA hors liste (Paramètres)",IF(N(O2215)&gt;25,"Au-delà de 25 lignes : non imprimée","OK")))))))))))))</f>
        <v/>
      </c>
      <c r="O2215" s="59" t="str">
        <f>IF(A2215="","",COUNTIF($A$6:A2215,A2215))</f>
        <v/>
      </c>
      <c r="P2215" s="62" t="str">
        <f>IF(A2215="","",A2215&amp;"|"&amp;O2215)</f>
        <v/>
      </c>
    </row>
    <row r="2216">
      <c r="A2216" s="60" t="n"/>
      <c r="B2216" s="63" t="n"/>
      <c r="C2216" s="63" t="n"/>
      <c r="D2216" s="67" t="n"/>
      <c r="E2216" s="68" t="n"/>
      <c r="F2216" s="69" t="n"/>
      <c r="G2216" s="70" t="n"/>
      <c r="H2216" s="62" t="str">
        <f>IF(COUNTA(A2216:G2216)=0,"",IF(C2216&lt;&gt;"",C2216,IF(B2216="","",IFERROR(INDEX(pr_des,MATCH(B2216,pr_code,0))&amp;"",""))))</f>
        <v/>
      </c>
      <c r="I2216" s="59" t="str">
        <f>IF(B2216="","",IFERROR(INDEX(pr_unit,MATCH(B2216,pr_code,0))&amp;"",""))</f>
        <v/>
      </c>
      <c r="J2216" s="65" t="str">
        <f>IF(COUNTA(A2216:G2216)=0,"",IF(E2216&lt;&gt;"",E2216,IF(B2216="","",IFERROR(IF(INDEX(pr_price,MATCH(B2216,pr_code,0))="","",INDEX(pr_price,MATCH(B2216,pr_code,0))),""))))</f>
        <v/>
      </c>
      <c r="K2216" s="71" t="str">
        <f>IF(COUNTA(A2216:G2216)=0,"",IF(G2216&lt;&gt;"",G2216,IF(B2216="","",IFERROR(IF(INDEX(pr_rate,MATCH(B2216,pr_code,0))="","",INDEX(pr_rate,MATCH(B2216,pr_code,0))),""))))</f>
        <v/>
      </c>
      <c r="L2216" s="65" t="str">
        <f>IF(COUNTA(A2216:G2216)=0,"",IF(AND(ISNUMBER(D2216),ISNUMBER(J2216)),ROUND(D2216*J2216*(1-N(F2216)),2),0))</f>
        <v/>
      </c>
      <c r="M2216" s="62" t="str">
        <f>IF(A2216="","",IFERROR(INDEX(fa_cname,MATCH(A2216,fa_num,0))&amp;"",""))</f>
        <v/>
      </c>
      <c r="N2216" s="59" t="str">
        <f>IF(COUNTA(A2216:G2216)=0,"",IF(A2216="","N° facture manquant",IF(ISNA(MATCH(A2216,fa_num,0)),"Facture inconnue",IF(AND(B2216&lt;&gt;"",ISNA(MATCH(B2216,pr_code,0))),"Article inconnu",IF(H2216="","Désignation manquante",IF(OR(NOT(ISNUMBER(D2216)),N(D2216)&lt;=0),"Quantité invalide",IF(J2216="","Prix manquant",IF(OR(NOT(ISNUMBER(J2216)),N(J2216)&lt;0),"Prix invalide",IF(OR(AND(F2216&lt;&gt;"",NOT(ISNUMBER(F2216))),N(F2216)&lt;0,N(F2216)&gt;1),"Remise invalide",IF(K2216="","Taux de TVA manquant",IF(NOT(ISNUMBER(K2216)),"Taux de TVA invalide",IF(COUNTIF(p_rates,K2216)=0,"Taux de TVA hors liste (Paramètres)",IF(N(O2216)&gt;25,"Au-delà de 25 lignes : non imprimée","OK")))))))))))))</f>
        <v/>
      </c>
      <c r="O2216" s="59" t="str">
        <f>IF(A2216="","",COUNTIF($A$6:A2216,A2216))</f>
        <v/>
      </c>
      <c r="P2216" s="62" t="str">
        <f>IF(A2216="","",A2216&amp;"|"&amp;O2216)</f>
        <v/>
      </c>
    </row>
    <row r="2217">
      <c r="A2217" s="60" t="n"/>
      <c r="B2217" s="63" t="n"/>
      <c r="C2217" s="63" t="n"/>
      <c r="D2217" s="67" t="n"/>
      <c r="E2217" s="68" t="n"/>
      <c r="F2217" s="69" t="n"/>
      <c r="G2217" s="70" t="n"/>
      <c r="H2217" s="62" t="str">
        <f>IF(COUNTA(A2217:G2217)=0,"",IF(C2217&lt;&gt;"",C2217,IF(B2217="","",IFERROR(INDEX(pr_des,MATCH(B2217,pr_code,0))&amp;"",""))))</f>
        <v/>
      </c>
      <c r="I2217" s="59" t="str">
        <f>IF(B2217="","",IFERROR(INDEX(pr_unit,MATCH(B2217,pr_code,0))&amp;"",""))</f>
        <v/>
      </c>
      <c r="J2217" s="65" t="str">
        <f>IF(COUNTA(A2217:G2217)=0,"",IF(E2217&lt;&gt;"",E2217,IF(B2217="","",IFERROR(IF(INDEX(pr_price,MATCH(B2217,pr_code,0))="","",INDEX(pr_price,MATCH(B2217,pr_code,0))),""))))</f>
        <v/>
      </c>
      <c r="K2217" s="71" t="str">
        <f>IF(COUNTA(A2217:G2217)=0,"",IF(G2217&lt;&gt;"",G2217,IF(B2217="","",IFERROR(IF(INDEX(pr_rate,MATCH(B2217,pr_code,0))="","",INDEX(pr_rate,MATCH(B2217,pr_code,0))),""))))</f>
        <v/>
      </c>
      <c r="L2217" s="65" t="str">
        <f>IF(COUNTA(A2217:G2217)=0,"",IF(AND(ISNUMBER(D2217),ISNUMBER(J2217)),ROUND(D2217*J2217*(1-N(F2217)),2),0))</f>
        <v/>
      </c>
      <c r="M2217" s="62" t="str">
        <f>IF(A2217="","",IFERROR(INDEX(fa_cname,MATCH(A2217,fa_num,0))&amp;"",""))</f>
        <v/>
      </c>
      <c r="N2217" s="59" t="str">
        <f>IF(COUNTA(A2217:G2217)=0,"",IF(A2217="","N° facture manquant",IF(ISNA(MATCH(A2217,fa_num,0)),"Facture inconnue",IF(AND(B2217&lt;&gt;"",ISNA(MATCH(B2217,pr_code,0))),"Article inconnu",IF(H2217="","Désignation manquante",IF(OR(NOT(ISNUMBER(D2217)),N(D2217)&lt;=0),"Quantité invalide",IF(J2217="","Prix manquant",IF(OR(NOT(ISNUMBER(J2217)),N(J2217)&lt;0),"Prix invalide",IF(OR(AND(F2217&lt;&gt;"",NOT(ISNUMBER(F2217))),N(F2217)&lt;0,N(F2217)&gt;1),"Remise invalide",IF(K2217="","Taux de TVA manquant",IF(NOT(ISNUMBER(K2217)),"Taux de TVA invalide",IF(COUNTIF(p_rates,K2217)=0,"Taux de TVA hors liste (Paramètres)",IF(N(O2217)&gt;25,"Au-delà de 25 lignes : non imprimée","OK")))))))))))))</f>
        <v/>
      </c>
      <c r="O2217" s="59" t="str">
        <f>IF(A2217="","",COUNTIF($A$6:A2217,A2217))</f>
        <v/>
      </c>
      <c r="P2217" s="62" t="str">
        <f>IF(A2217="","",A2217&amp;"|"&amp;O2217)</f>
        <v/>
      </c>
    </row>
    <row r="2218">
      <c r="A2218" s="60" t="n"/>
      <c r="B2218" s="63" t="n"/>
      <c r="C2218" s="63" t="n"/>
      <c r="D2218" s="67" t="n"/>
      <c r="E2218" s="68" t="n"/>
      <c r="F2218" s="69" t="n"/>
      <c r="G2218" s="70" t="n"/>
      <c r="H2218" s="62" t="str">
        <f>IF(COUNTA(A2218:G2218)=0,"",IF(C2218&lt;&gt;"",C2218,IF(B2218="","",IFERROR(INDEX(pr_des,MATCH(B2218,pr_code,0))&amp;"",""))))</f>
        <v/>
      </c>
      <c r="I2218" s="59" t="str">
        <f>IF(B2218="","",IFERROR(INDEX(pr_unit,MATCH(B2218,pr_code,0))&amp;"",""))</f>
        <v/>
      </c>
      <c r="J2218" s="65" t="str">
        <f>IF(COUNTA(A2218:G2218)=0,"",IF(E2218&lt;&gt;"",E2218,IF(B2218="","",IFERROR(IF(INDEX(pr_price,MATCH(B2218,pr_code,0))="","",INDEX(pr_price,MATCH(B2218,pr_code,0))),""))))</f>
        <v/>
      </c>
      <c r="K2218" s="71" t="str">
        <f>IF(COUNTA(A2218:G2218)=0,"",IF(G2218&lt;&gt;"",G2218,IF(B2218="","",IFERROR(IF(INDEX(pr_rate,MATCH(B2218,pr_code,0))="","",INDEX(pr_rate,MATCH(B2218,pr_code,0))),""))))</f>
        <v/>
      </c>
      <c r="L2218" s="65" t="str">
        <f>IF(COUNTA(A2218:G2218)=0,"",IF(AND(ISNUMBER(D2218),ISNUMBER(J2218)),ROUND(D2218*J2218*(1-N(F2218)),2),0))</f>
        <v/>
      </c>
      <c r="M2218" s="62" t="str">
        <f>IF(A2218="","",IFERROR(INDEX(fa_cname,MATCH(A2218,fa_num,0))&amp;"",""))</f>
        <v/>
      </c>
      <c r="N2218" s="59" t="str">
        <f>IF(COUNTA(A2218:G2218)=0,"",IF(A2218="","N° facture manquant",IF(ISNA(MATCH(A2218,fa_num,0)),"Facture inconnue",IF(AND(B2218&lt;&gt;"",ISNA(MATCH(B2218,pr_code,0))),"Article inconnu",IF(H2218="","Désignation manquante",IF(OR(NOT(ISNUMBER(D2218)),N(D2218)&lt;=0),"Quantité invalide",IF(J2218="","Prix manquant",IF(OR(NOT(ISNUMBER(J2218)),N(J2218)&lt;0),"Prix invalide",IF(OR(AND(F2218&lt;&gt;"",NOT(ISNUMBER(F2218))),N(F2218)&lt;0,N(F2218)&gt;1),"Remise invalide",IF(K2218="","Taux de TVA manquant",IF(NOT(ISNUMBER(K2218)),"Taux de TVA invalide",IF(COUNTIF(p_rates,K2218)=0,"Taux de TVA hors liste (Paramètres)",IF(N(O2218)&gt;25,"Au-delà de 25 lignes : non imprimée","OK")))))))))))))</f>
        <v/>
      </c>
      <c r="O2218" s="59" t="str">
        <f>IF(A2218="","",COUNTIF($A$6:A2218,A2218))</f>
        <v/>
      </c>
      <c r="P2218" s="62" t="str">
        <f>IF(A2218="","",A2218&amp;"|"&amp;O2218)</f>
        <v/>
      </c>
    </row>
    <row r="2219">
      <c r="A2219" s="60" t="n"/>
      <c r="B2219" s="63" t="n"/>
      <c r="C2219" s="63" t="n"/>
      <c r="D2219" s="67" t="n"/>
      <c r="E2219" s="68" t="n"/>
      <c r="F2219" s="69" t="n"/>
      <c r="G2219" s="70" t="n"/>
      <c r="H2219" s="62" t="str">
        <f>IF(COUNTA(A2219:G2219)=0,"",IF(C2219&lt;&gt;"",C2219,IF(B2219="","",IFERROR(INDEX(pr_des,MATCH(B2219,pr_code,0))&amp;"",""))))</f>
        <v/>
      </c>
      <c r="I2219" s="59" t="str">
        <f>IF(B2219="","",IFERROR(INDEX(pr_unit,MATCH(B2219,pr_code,0))&amp;"",""))</f>
        <v/>
      </c>
      <c r="J2219" s="65" t="str">
        <f>IF(COUNTA(A2219:G2219)=0,"",IF(E2219&lt;&gt;"",E2219,IF(B2219="","",IFERROR(IF(INDEX(pr_price,MATCH(B2219,pr_code,0))="","",INDEX(pr_price,MATCH(B2219,pr_code,0))),""))))</f>
        <v/>
      </c>
      <c r="K2219" s="71" t="str">
        <f>IF(COUNTA(A2219:G2219)=0,"",IF(G2219&lt;&gt;"",G2219,IF(B2219="","",IFERROR(IF(INDEX(pr_rate,MATCH(B2219,pr_code,0))="","",INDEX(pr_rate,MATCH(B2219,pr_code,0))),""))))</f>
        <v/>
      </c>
      <c r="L2219" s="65" t="str">
        <f>IF(COUNTA(A2219:G2219)=0,"",IF(AND(ISNUMBER(D2219),ISNUMBER(J2219)),ROUND(D2219*J2219*(1-N(F2219)),2),0))</f>
        <v/>
      </c>
      <c r="M2219" s="62" t="str">
        <f>IF(A2219="","",IFERROR(INDEX(fa_cname,MATCH(A2219,fa_num,0))&amp;"",""))</f>
        <v/>
      </c>
      <c r="N2219" s="59" t="str">
        <f>IF(COUNTA(A2219:G2219)=0,"",IF(A2219="","N° facture manquant",IF(ISNA(MATCH(A2219,fa_num,0)),"Facture inconnue",IF(AND(B2219&lt;&gt;"",ISNA(MATCH(B2219,pr_code,0))),"Article inconnu",IF(H2219="","Désignation manquante",IF(OR(NOT(ISNUMBER(D2219)),N(D2219)&lt;=0),"Quantité invalide",IF(J2219="","Prix manquant",IF(OR(NOT(ISNUMBER(J2219)),N(J2219)&lt;0),"Prix invalide",IF(OR(AND(F2219&lt;&gt;"",NOT(ISNUMBER(F2219))),N(F2219)&lt;0,N(F2219)&gt;1),"Remise invalide",IF(K2219="","Taux de TVA manquant",IF(NOT(ISNUMBER(K2219)),"Taux de TVA invalide",IF(COUNTIF(p_rates,K2219)=0,"Taux de TVA hors liste (Paramètres)",IF(N(O2219)&gt;25,"Au-delà de 25 lignes : non imprimée","OK")))))))))))))</f>
        <v/>
      </c>
      <c r="O2219" s="59" t="str">
        <f>IF(A2219="","",COUNTIF($A$6:A2219,A2219))</f>
        <v/>
      </c>
      <c r="P2219" s="62" t="str">
        <f>IF(A2219="","",A2219&amp;"|"&amp;O2219)</f>
        <v/>
      </c>
    </row>
    <row r="2220">
      <c r="A2220" s="60" t="n"/>
      <c r="B2220" s="63" t="n"/>
      <c r="C2220" s="63" t="n"/>
      <c r="D2220" s="67" t="n"/>
      <c r="E2220" s="68" t="n"/>
      <c r="F2220" s="69" t="n"/>
      <c r="G2220" s="70" t="n"/>
      <c r="H2220" s="62" t="str">
        <f>IF(COUNTA(A2220:G2220)=0,"",IF(C2220&lt;&gt;"",C2220,IF(B2220="","",IFERROR(INDEX(pr_des,MATCH(B2220,pr_code,0))&amp;"",""))))</f>
        <v/>
      </c>
      <c r="I2220" s="59" t="str">
        <f>IF(B2220="","",IFERROR(INDEX(pr_unit,MATCH(B2220,pr_code,0))&amp;"",""))</f>
        <v/>
      </c>
      <c r="J2220" s="65" t="str">
        <f>IF(COUNTA(A2220:G2220)=0,"",IF(E2220&lt;&gt;"",E2220,IF(B2220="","",IFERROR(IF(INDEX(pr_price,MATCH(B2220,pr_code,0))="","",INDEX(pr_price,MATCH(B2220,pr_code,0))),""))))</f>
        <v/>
      </c>
      <c r="K2220" s="71" t="str">
        <f>IF(COUNTA(A2220:G2220)=0,"",IF(G2220&lt;&gt;"",G2220,IF(B2220="","",IFERROR(IF(INDEX(pr_rate,MATCH(B2220,pr_code,0))="","",INDEX(pr_rate,MATCH(B2220,pr_code,0))),""))))</f>
        <v/>
      </c>
      <c r="L2220" s="65" t="str">
        <f>IF(COUNTA(A2220:G2220)=0,"",IF(AND(ISNUMBER(D2220),ISNUMBER(J2220)),ROUND(D2220*J2220*(1-N(F2220)),2),0))</f>
        <v/>
      </c>
      <c r="M2220" s="62" t="str">
        <f>IF(A2220="","",IFERROR(INDEX(fa_cname,MATCH(A2220,fa_num,0))&amp;"",""))</f>
        <v/>
      </c>
      <c r="N2220" s="59" t="str">
        <f>IF(COUNTA(A2220:G2220)=0,"",IF(A2220="","N° facture manquant",IF(ISNA(MATCH(A2220,fa_num,0)),"Facture inconnue",IF(AND(B2220&lt;&gt;"",ISNA(MATCH(B2220,pr_code,0))),"Article inconnu",IF(H2220="","Désignation manquante",IF(OR(NOT(ISNUMBER(D2220)),N(D2220)&lt;=0),"Quantité invalide",IF(J2220="","Prix manquant",IF(OR(NOT(ISNUMBER(J2220)),N(J2220)&lt;0),"Prix invalide",IF(OR(AND(F2220&lt;&gt;"",NOT(ISNUMBER(F2220))),N(F2220)&lt;0,N(F2220)&gt;1),"Remise invalide",IF(K2220="","Taux de TVA manquant",IF(NOT(ISNUMBER(K2220)),"Taux de TVA invalide",IF(COUNTIF(p_rates,K2220)=0,"Taux de TVA hors liste (Paramètres)",IF(N(O2220)&gt;25,"Au-delà de 25 lignes : non imprimée","OK")))))))))))))</f>
        <v/>
      </c>
      <c r="O2220" s="59" t="str">
        <f>IF(A2220="","",COUNTIF($A$6:A2220,A2220))</f>
        <v/>
      </c>
      <c r="P2220" s="62" t="str">
        <f>IF(A2220="","",A2220&amp;"|"&amp;O2220)</f>
        <v/>
      </c>
    </row>
    <row r="2221">
      <c r="A2221" s="60" t="n"/>
      <c r="B2221" s="63" t="n"/>
      <c r="C2221" s="63" t="n"/>
      <c r="D2221" s="67" t="n"/>
      <c r="E2221" s="68" t="n"/>
      <c r="F2221" s="69" t="n"/>
      <c r="G2221" s="70" t="n"/>
      <c r="H2221" s="62" t="str">
        <f>IF(COUNTA(A2221:G2221)=0,"",IF(C2221&lt;&gt;"",C2221,IF(B2221="","",IFERROR(INDEX(pr_des,MATCH(B2221,pr_code,0))&amp;"",""))))</f>
        <v/>
      </c>
      <c r="I2221" s="59" t="str">
        <f>IF(B2221="","",IFERROR(INDEX(pr_unit,MATCH(B2221,pr_code,0))&amp;"",""))</f>
        <v/>
      </c>
      <c r="J2221" s="65" t="str">
        <f>IF(COUNTA(A2221:G2221)=0,"",IF(E2221&lt;&gt;"",E2221,IF(B2221="","",IFERROR(IF(INDEX(pr_price,MATCH(B2221,pr_code,0))="","",INDEX(pr_price,MATCH(B2221,pr_code,0))),""))))</f>
        <v/>
      </c>
      <c r="K2221" s="71" t="str">
        <f>IF(COUNTA(A2221:G2221)=0,"",IF(G2221&lt;&gt;"",G2221,IF(B2221="","",IFERROR(IF(INDEX(pr_rate,MATCH(B2221,pr_code,0))="","",INDEX(pr_rate,MATCH(B2221,pr_code,0))),""))))</f>
        <v/>
      </c>
      <c r="L2221" s="65" t="str">
        <f>IF(COUNTA(A2221:G2221)=0,"",IF(AND(ISNUMBER(D2221),ISNUMBER(J2221)),ROUND(D2221*J2221*(1-N(F2221)),2),0))</f>
        <v/>
      </c>
      <c r="M2221" s="62" t="str">
        <f>IF(A2221="","",IFERROR(INDEX(fa_cname,MATCH(A2221,fa_num,0))&amp;"",""))</f>
        <v/>
      </c>
      <c r="N2221" s="59" t="str">
        <f>IF(COUNTA(A2221:G2221)=0,"",IF(A2221="","N° facture manquant",IF(ISNA(MATCH(A2221,fa_num,0)),"Facture inconnue",IF(AND(B2221&lt;&gt;"",ISNA(MATCH(B2221,pr_code,0))),"Article inconnu",IF(H2221="","Désignation manquante",IF(OR(NOT(ISNUMBER(D2221)),N(D2221)&lt;=0),"Quantité invalide",IF(J2221="","Prix manquant",IF(OR(NOT(ISNUMBER(J2221)),N(J2221)&lt;0),"Prix invalide",IF(OR(AND(F2221&lt;&gt;"",NOT(ISNUMBER(F2221))),N(F2221)&lt;0,N(F2221)&gt;1),"Remise invalide",IF(K2221="","Taux de TVA manquant",IF(NOT(ISNUMBER(K2221)),"Taux de TVA invalide",IF(COUNTIF(p_rates,K2221)=0,"Taux de TVA hors liste (Paramètres)",IF(N(O2221)&gt;25,"Au-delà de 25 lignes : non imprimée","OK")))))))))))))</f>
        <v/>
      </c>
      <c r="O2221" s="59" t="str">
        <f>IF(A2221="","",COUNTIF($A$6:A2221,A2221))</f>
        <v/>
      </c>
      <c r="P2221" s="62" t="str">
        <f>IF(A2221="","",A2221&amp;"|"&amp;O2221)</f>
        <v/>
      </c>
    </row>
    <row r="2222">
      <c r="A2222" s="60" t="n"/>
      <c r="B2222" s="63" t="n"/>
      <c r="C2222" s="63" t="n"/>
      <c r="D2222" s="67" t="n"/>
      <c r="E2222" s="68" t="n"/>
      <c r="F2222" s="69" t="n"/>
      <c r="G2222" s="70" t="n"/>
      <c r="H2222" s="62" t="str">
        <f>IF(COUNTA(A2222:G2222)=0,"",IF(C2222&lt;&gt;"",C2222,IF(B2222="","",IFERROR(INDEX(pr_des,MATCH(B2222,pr_code,0))&amp;"",""))))</f>
        <v/>
      </c>
      <c r="I2222" s="59" t="str">
        <f>IF(B2222="","",IFERROR(INDEX(pr_unit,MATCH(B2222,pr_code,0))&amp;"",""))</f>
        <v/>
      </c>
      <c r="J2222" s="65" t="str">
        <f>IF(COUNTA(A2222:G2222)=0,"",IF(E2222&lt;&gt;"",E2222,IF(B2222="","",IFERROR(IF(INDEX(pr_price,MATCH(B2222,pr_code,0))="","",INDEX(pr_price,MATCH(B2222,pr_code,0))),""))))</f>
        <v/>
      </c>
      <c r="K2222" s="71" t="str">
        <f>IF(COUNTA(A2222:G2222)=0,"",IF(G2222&lt;&gt;"",G2222,IF(B2222="","",IFERROR(IF(INDEX(pr_rate,MATCH(B2222,pr_code,0))="","",INDEX(pr_rate,MATCH(B2222,pr_code,0))),""))))</f>
        <v/>
      </c>
      <c r="L2222" s="65" t="str">
        <f>IF(COUNTA(A2222:G2222)=0,"",IF(AND(ISNUMBER(D2222),ISNUMBER(J2222)),ROUND(D2222*J2222*(1-N(F2222)),2),0))</f>
        <v/>
      </c>
      <c r="M2222" s="62" t="str">
        <f>IF(A2222="","",IFERROR(INDEX(fa_cname,MATCH(A2222,fa_num,0))&amp;"",""))</f>
        <v/>
      </c>
      <c r="N2222" s="59" t="str">
        <f>IF(COUNTA(A2222:G2222)=0,"",IF(A2222="","N° facture manquant",IF(ISNA(MATCH(A2222,fa_num,0)),"Facture inconnue",IF(AND(B2222&lt;&gt;"",ISNA(MATCH(B2222,pr_code,0))),"Article inconnu",IF(H2222="","Désignation manquante",IF(OR(NOT(ISNUMBER(D2222)),N(D2222)&lt;=0),"Quantité invalide",IF(J2222="","Prix manquant",IF(OR(NOT(ISNUMBER(J2222)),N(J2222)&lt;0),"Prix invalide",IF(OR(AND(F2222&lt;&gt;"",NOT(ISNUMBER(F2222))),N(F2222)&lt;0,N(F2222)&gt;1),"Remise invalide",IF(K2222="","Taux de TVA manquant",IF(NOT(ISNUMBER(K2222)),"Taux de TVA invalide",IF(COUNTIF(p_rates,K2222)=0,"Taux de TVA hors liste (Paramètres)",IF(N(O2222)&gt;25,"Au-delà de 25 lignes : non imprimée","OK")))))))))))))</f>
        <v/>
      </c>
      <c r="O2222" s="59" t="str">
        <f>IF(A2222="","",COUNTIF($A$6:A2222,A2222))</f>
        <v/>
      </c>
      <c r="P2222" s="62" t="str">
        <f>IF(A2222="","",A2222&amp;"|"&amp;O2222)</f>
        <v/>
      </c>
    </row>
    <row r="2223">
      <c r="A2223" s="60" t="n"/>
      <c r="B2223" s="63" t="n"/>
      <c r="C2223" s="63" t="n"/>
      <c r="D2223" s="67" t="n"/>
      <c r="E2223" s="68" t="n"/>
      <c r="F2223" s="69" t="n"/>
      <c r="G2223" s="70" t="n"/>
      <c r="H2223" s="62" t="str">
        <f>IF(COUNTA(A2223:G2223)=0,"",IF(C2223&lt;&gt;"",C2223,IF(B2223="","",IFERROR(INDEX(pr_des,MATCH(B2223,pr_code,0))&amp;"",""))))</f>
        <v/>
      </c>
      <c r="I2223" s="59" t="str">
        <f>IF(B2223="","",IFERROR(INDEX(pr_unit,MATCH(B2223,pr_code,0))&amp;"",""))</f>
        <v/>
      </c>
      <c r="J2223" s="65" t="str">
        <f>IF(COUNTA(A2223:G2223)=0,"",IF(E2223&lt;&gt;"",E2223,IF(B2223="","",IFERROR(IF(INDEX(pr_price,MATCH(B2223,pr_code,0))="","",INDEX(pr_price,MATCH(B2223,pr_code,0))),""))))</f>
        <v/>
      </c>
      <c r="K2223" s="71" t="str">
        <f>IF(COUNTA(A2223:G2223)=0,"",IF(G2223&lt;&gt;"",G2223,IF(B2223="","",IFERROR(IF(INDEX(pr_rate,MATCH(B2223,pr_code,0))="","",INDEX(pr_rate,MATCH(B2223,pr_code,0))),""))))</f>
        <v/>
      </c>
      <c r="L2223" s="65" t="str">
        <f>IF(COUNTA(A2223:G2223)=0,"",IF(AND(ISNUMBER(D2223),ISNUMBER(J2223)),ROUND(D2223*J2223*(1-N(F2223)),2),0))</f>
        <v/>
      </c>
      <c r="M2223" s="62" t="str">
        <f>IF(A2223="","",IFERROR(INDEX(fa_cname,MATCH(A2223,fa_num,0))&amp;"",""))</f>
        <v/>
      </c>
      <c r="N2223" s="59" t="str">
        <f>IF(COUNTA(A2223:G2223)=0,"",IF(A2223="","N° facture manquant",IF(ISNA(MATCH(A2223,fa_num,0)),"Facture inconnue",IF(AND(B2223&lt;&gt;"",ISNA(MATCH(B2223,pr_code,0))),"Article inconnu",IF(H2223="","Désignation manquante",IF(OR(NOT(ISNUMBER(D2223)),N(D2223)&lt;=0),"Quantité invalide",IF(J2223="","Prix manquant",IF(OR(NOT(ISNUMBER(J2223)),N(J2223)&lt;0),"Prix invalide",IF(OR(AND(F2223&lt;&gt;"",NOT(ISNUMBER(F2223))),N(F2223)&lt;0,N(F2223)&gt;1),"Remise invalide",IF(K2223="","Taux de TVA manquant",IF(NOT(ISNUMBER(K2223)),"Taux de TVA invalide",IF(COUNTIF(p_rates,K2223)=0,"Taux de TVA hors liste (Paramètres)",IF(N(O2223)&gt;25,"Au-delà de 25 lignes : non imprimée","OK")))))))))))))</f>
        <v/>
      </c>
      <c r="O2223" s="59" t="str">
        <f>IF(A2223="","",COUNTIF($A$6:A2223,A2223))</f>
        <v/>
      </c>
      <c r="P2223" s="62" t="str">
        <f>IF(A2223="","",A2223&amp;"|"&amp;O2223)</f>
        <v/>
      </c>
    </row>
    <row r="2224">
      <c r="A2224" s="60" t="n"/>
      <c r="B2224" s="63" t="n"/>
      <c r="C2224" s="63" t="n"/>
      <c r="D2224" s="67" t="n"/>
      <c r="E2224" s="68" t="n"/>
      <c r="F2224" s="69" t="n"/>
      <c r="G2224" s="70" t="n"/>
      <c r="H2224" s="62" t="str">
        <f>IF(COUNTA(A2224:G2224)=0,"",IF(C2224&lt;&gt;"",C2224,IF(B2224="","",IFERROR(INDEX(pr_des,MATCH(B2224,pr_code,0))&amp;"",""))))</f>
        <v/>
      </c>
      <c r="I2224" s="59" t="str">
        <f>IF(B2224="","",IFERROR(INDEX(pr_unit,MATCH(B2224,pr_code,0))&amp;"",""))</f>
        <v/>
      </c>
      <c r="J2224" s="65" t="str">
        <f>IF(COUNTA(A2224:G2224)=0,"",IF(E2224&lt;&gt;"",E2224,IF(B2224="","",IFERROR(IF(INDEX(pr_price,MATCH(B2224,pr_code,0))="","",INDEX(pr_price,MATCH(B2224,pr_code,0))),""))))</f>
        <v/>
      </c>
      <c r="K2224" s="71" t="str">
        <f>IF(COUNTA(A2224:G2224)=0,"",IF(G2224&lt;&gt;"",G2224,IF(B2224="","",IFERROR(IF(INDEX(pr_rate,MATCH(B2224,pr_code,0))="","",INDEX(pr_rate,MATCH(B2224,pr_code,0))),""))))</f>
        <v/>
      </c>
      <c r="L2224" s="65" t="str">
        <f>IF(COUNTA(A2224:G2224)=0,"",IF(AND(ISNUMBER(D2224),ISNUMBER(J2224)),ROUND(D2224*J2224*(1-N(F2224)),2),0))</f>
        <v/>
      </c>
      <c r="M2224" s="62" t="str">
        <f>IF(A2224="","",IFERROR(INDEX(fa_cname,MATCH(A2224,fa_num,0))&amp;"",""))</f>
        <v/>
      </c>
      <c r="N2224" s="59" t="str">
        <f>IF(COUNTA(A2224:G2224)=0,"",IF(A2224="","N° facture manquant",IF(ISNA(MATCH(A2224,fa_num,0)),"Facture inconnue",IF(AND(B2224&lt;&gt;"",ISNA(MATCH(B2224,pr_code,0))),"Article inconnu",IF(H2224="","Désignation manquante",IF(OR(NOT(ISNUMBER(D2224)),N(D2224)&lt;=0),"Quantité invalide",IF(J2224="","Prix manquant",IF(OR(NOT(ISNUMBER(J2224)),N(J2224)&lt;0),"Prix invalide",IF(OR(AND(F2224&lt;&gt;"",NOT(ISNUMBER(F2224))),N(F2224)&lt;0,N(F2224)&gt;1),"Remise invalide",IF(K2224="","Taux de TVA manquant",IF(NOT(ISNUMBER(K2224)),"Taux de TVA invalide",IF(COUNTIF(p_rates,K2224)=0,"Taux de TVA hors liste (Paramètres)",IF(N(O2224)&gt;25,"Au-delà de 25 lignes : non imprimée","OK")))))))))))))</f>
        <v/>
      </c>
      <c r="O2224" s="59" t="str">
        <f>IF(A2224="","",COUNTIF($A$6:A2224,A2224))</f>
        <v/>
      </c>
      <c r="P2224" s="62" t="str">
        <f>IF(A2224="","",A2224&amp;"|"&amp;O2224)</f>
        <v/>
      </c>
    </row>
    <row r="2225">
      <c r="A2225" s="60" t="n"/>
      <c r="B2225" s="63" t="n"/>
      <c r="C2225" s="63" t="n"/>
      <c r="D2225" s="67" t="n"/>
      <c r="E2225" s="68" t="n"/>
      <c r="F2225" s="69" t="n"/>
      <c r="G2225" s="70" t="n"/>
      <c r="H2225" s="62" t="str">
        <f>IF(COUNTA(A2225:G2225)=0,"",IF(C2225&lt;&gt;"",C2225,IF(B2225="","",IFERROR(INDEX(pr_des,MATCH(B2225,pr_code,0))&amp;"",""))))</f>
        <v/>
      </c>
      <c r="I2225" s="59" t="str">
        <f>IF(B2225="","",IFERROR(INDEX(pr_unit,MATCH(B2225,pr_code,0))&amp;"",""))</f>
        <v/>
      </c>
      <c r="J2225" s="65" t="str">
        <f>IF(COUNTA(A2225:G2225)=0,"",IF(E2225&lt;&gt;"",E2225,IF(B2225="","",IFERROR(IF(INDEX(pr_price,MATCH(B2225,pr_code,0))="","",INDEX(pr_price,MATCH(B2225,pr_code,0))),""))))</f>
        <v/>
      </c>
      <c r="K2225" s="71" t="str">
        <f>IF(COUNTA(A2225:G2225)=0,"",IF(G2225&lt;&gt;"",G2225,IF(B2225="","",IFERROR(IF(INDEX(pr_rate,MATCH(B2225,pr_code,0))="","",INDEX(pr_rate,MATCH(B2225,pr_code,0))),""))))</f>
        <v/>
      </c>
      <c r="L2225" s="65" t="str">
        <f>IF(COUNTA(A2225:G2225)=0,"",IF(AND(ISNUMBER(D2225),ISNUMBER(J2225)),ROUND(D2225*J2225*(1-N(F2225)),2),0))</f>
        <v/>
      </c>
      <c r="M2225" s="62" t="str">
        <f>IF(A2225="","",IFERROR(INDEX(fa_cname,MATCH(A2225,fa_num,0))&amp;"",""))</f>
        <v/>
      </c>
      <c r="N2225" s="59" t="str">
        <f>IF(COUNTA(A2225:G2225)=0,"",IF(A2225="","N° facture manquant",IF(ISNA(MATCH(A2225,fa_num,0)),"Facture inconnue",IF(AND(B2225&lt;&gt;"",ISNA(MATCH(B2225,pr_code,0))),"Article inconnu",IF(H2225="","Désignation manquante",IF(OR(NOT(ISNUMBER(D2225)),N(D2225)&lt;=0),"Quantité invalide",IF(J2225="","Prix manquant",IF(OR(NOT(ISNUMBER(J2225)),N(J2225)&lt;0),"Prix invalide",IF(OR(AND(F2225&lt;&gt;"",NOT(ISNUMBER(F2225))),N(F2225)&lt;0,N(F2225)&gt;1),"Remise invalide",IF(K2225="","Taux de TVA manquant",IF(NOT(ISNUMBER(K2225)),"Taux de TVA invalide",IF(COUNTIF(p_rates,K2225)=0,"Taux de TVA hors liste (Paramètres)",IF(N(O2225)&gt;25,"Au-delà de 25 lignes : non imprimée","OK")))))))))))))</f>
        <v/>
      </c>
      <c r="O2225" s="59" t="str">
        <f>IF(A2225="","",COUNTIF($A$6:A2225,A2225))</f>
        <v/>
      </c>
      <c r="P2225" s="62" t="str">
        <f>IF(A2225="","",A2225&amp;"|"&amp;O2225)</f>
        <v/>
      </c>
    </row>
    <row r="2226">
      <c r="A2226" s="60" t="n"/>
      <c r="B2226" s="63" t="n"/>
      <c r="C2226" s="63" t="n"/>
      <c r="D2226" s="67" t="n"/>
      <c r="E2226" s="68" t="n"/>
      <c r="F2226" s="69" t="n"/>
      <c r="G2226" s="70" t="n"/>
      <c r="H2226" s="62" t="str">
        <f>IF(COUNTA(A2226:G2226)=0,"",IF(C2226&lt;&gt;"",C2226,IF(B2226="","",IFERROR(INDEX(pr_des,MATCH(B2226,pr_code,0))&amp;"",""))))</f>
        <v/>
      </c>
      <c r="I2226" s="59" t="str">
        <f>IF(B2226="","",IFERROR(INDEX(pr_unit,MATCH(B2226,pr_code,0))&amp;"",""))</f>
        <v/>
      </c>
      <c r="J2226" s="65" t="str">
        <f>IF(COUNTA(A2226:G2226)=0,"",IF(E2226&lt;&gt;"",E2226,IF(B2226="","",IFERROR(IF(INDEX(pr_price,MATCH(B2226,pr_code,0))="","",INDEX(pr_price,MATCH(B2226,pr_code,0))),""))))</f>
        <v/>
      </c>
      <c r="K2226" s="71" t="str">
        <f>IF(COUNTA(A2226:G2226)=0,"",IF(G2226&lt;&gt;"",G2226,IF(B2226="","",IFERROR(IF(INDEX(pr_rate,MATCH(B2226,pr_code,0))="","",INDEX(pr_rate,MATCH(B2226,pr_code,0))),""))))</f>
        <v/>
      </c>
      <c r="L2226" s="65" t="str">
        <f>IF(COUNTA(A2226:G2226)=0,"",IF(AND(ISNUMBER(D2226),ISNUMBER(J2226)),ROUND(D2226*J2226*(1-N(F2226)),2),0))</f>
        <v/>
      </c>
      <c r="M2226" s="62" t="str">
        <f>IF(A2226="","",IFERROR(INDEX(fa_cname,MATCH(A2226,fa_num,0))&amp;"",""))</f>
        <v/>
      </c>
      <c r="N2226" s="59" t="str">
        <f>IF(COUNTA(A2226:G2226)=0,"",IF(A2226="","N° facture manquant",IF(ISNA(MATCH(A2226,fa_num,0)),"Facture inconnue",IF(AND(B2226&lt;&gt;"",ISNA(MATCH(B2226,pr_code,0))),"Article inconnu",IF(H2226="","Désignation manquante",IF(OR(NOT(ISNUMBER(D2226)),N(D2226)&lt;=0),"Quantité invalide",IF(J2226="","Prix manquant",IF(OR(NOT(ISNUMBER(J2226)),N(J2226)&lt;0),"Prix invalide",IF(OR(AND(F2226&lt;&gt;"",NOT(ISNUMBER(F2226))),N(F2226)&lt;0,N(F2226)&gt;1),"Remise invalide",IF(K2226="","Taux de TVA manquant",IF(NOT(ISNUMBER(K2226)),"Taux de TVA invalide",IF(COUNTIF(p_rates,K2226)=0,"Taux de TVA hors liste (Paramètres)",IF(N(O2226)&gt;25,"Au-delà de 25 lignes : non imprimée","OK")))))))))))))</f>
        <v/>
      </c>
      <c r="O2226" s="59" t="str">
        <f>IF(A2226="","",COUNTIF($A$6:A2226,A2226))</f>
        <v/>
      </c>
      <c r="P2226" s="62" t="str">
        <f>IF(A2226="","",A2226&amp;"|"&amp;O2226)</f>
        <v/>
      </c>
    </row>
    <row r="2227">
      <c r="A2227" s="60" t="n"/>
      <c r="B2227" s="63" t="n"/>
      <c r="C2227" s="63" t="n"/>
      <c r="D2227" s="67" t="n"/>
      <c r="E2227" s="68" t="n"/>
      <c r="F2227" s="69" t="n"/>
      <c r="G2227" s="70" t="n"/>
      <c r="H2227" s="62" t="str">
        <f>IF(COUNTA(A2227:G2227)=0,"",IF(C2227&lt;&gt;"",C2227,IF(B2227="","",IFERROR(INDEX(pr_des,MATCH(B2227,pr_code,0))&amp;"",""))))</f>
        <v/>
      </c>
      <c r="I2227" s="59" t="str">
        <f>IF(B2227="","",IFERROR(INDEX(pr_unit,MATCH(B2227,pr_code,0))&amp;"",""))</f>
        <v/>
      </c>
      <c r="J2227" s="65" t="str">
        <f>IF(COUNTA(A2227:G2227)=0,"",IF(E2227&lt;&gt;"",E2227,IF(B2227="","",IFERROR(IF(INDEX(pr_price,MATCH(B2227,pr_code,0))="","",INDEX(pr_price,MATCH(B2227,pr_code,0))),""))))</f>
        <v/>
      </c>
      <c r="K2227" s="71" t="str">
        <f>IF(COUNTA(A2227:G2227)=0,"",IF(G2227&lt;&gt;"",G2227,IF(B2227="","",IFERROR(IF(INDEX(pr_rate,MATCH(B2227,pr_code,0))="","",INDEX(pr_rate,MATCH(B2227,pr_code,0))),""))))</f>
        <v/>
      </c>
      <c r="L2227" s="65" t="str">
        <f>IF(COUNTA(A2227:G2227)=0,"",IF(AND(ISNUMBER(D2227),ISNUMBER(J2227)),ROUND(D2227*J2227*(1-N(F2227)),2),0))</f>
        <v/>
      </c>
      <c r="M2227" s="62" t="str">
        <f>IF(A2227="","",IFERROR(INDEX(fa_cname,MATCH(A2227,fa_num,0))&amp;"",""))</f>
        <v/>
      </c>
      <c r="N2227" s="59" t="str">
        <f>IF(COUNTA(A2227:G2227)=0,"",IF(A2227="","N° facture manquant",IF(ISNA(MATCH(A2227,fa_num,0)),"Facture inconnue",IF(AND(B2227&lt;&gt;"",ISNA(MATCH(B2227,pr_code,0))),"Article inconnu",IF(H2227="","Désignation manquante",IF(OR(NOT(ISNUMBER(D2227)),N(D2227)&lt;=0),"Quantité invalide",IF(J2227="","Prix manquant",IF(OR(NOT(ISNUMBER(J2227)),N(J2227)&lt;0),"Prix invalide",IF(OR(AND(F2227&lt;&gt;"",NOT(ISNUMBER(F2227))),N(F2227)&lt;0,N(F2227)&gt;1),"Remise invalide",IF(K2227="","Taux de TVA manquant",IF(NOT(ISNUMBER(K2227)),"Taux de TVA invalide",IF(COUNTIF(p_rates,K2227)=0,"Taux de TVA hors liste (Paramètres)",IF(N(O2227)&gt;25,"Au-delà de 25 lignes : non imprimée","OK")))))))))))))</f>
        <v/>
      </c>
      <c r="O2227" s="59" t="str">
        <f>IF(A2227="","",COUNTIF($A$6:A2227,A2227))</f>
        <v/>
      </c>
      <c r="P2227" s="62" t="str">
        <f>IF(A2227="","",A2227&amp;"|"&amp;O2227)</f>
        <v/>
      </c>
    </row>
    <row r="2228">
      <c r="A2228" s="60" t="n"/>
      <c r="B2228" s="63" t="n"/>
      <c r="C2228" s="63" t="n"/>
      <c r="D2228" s="67" t="n"/>
      <c r="E2228" s="68" t="n"/>
      <c r="F2228" s="69" t="n"/>
      <c r="G2228" s="70" t="n"/>
      <c r="H2228" s="62" t="str">
        <f>IF(COUNTA(A2228:G2228)=0,"",IF(C2228&lt;&gt;"",C2228,IF(B2228="","",IFERROR(INDEX(pr_des,MATCH(B2228,pr_code,0))&amp;"",""))))</f>
        <v/>
      </c>
      <c r="I2228" s="59" t="str">
        <f>IF(B2228="","",IFERROR(INDEX(pr_unit,MATCH(B2228,pr_code,0))&amp;"",""))</f>
        <v/>
      </c>
      <c r="J2228" s="65" t="str">
        <f>IF(COUNTA(A2228:G2228)=0,"",IF(E2228&lt;&gt;"",E2228,IF(B2228="","",IFERROR(IF(INDEX(pr_price,MATCH(B2228,pr_code,0))="","",INDEX(pr_price,MATCH(B2228,pr_code,0))),""))))</f>
        <v/>
      </c>
      <c r="K2228" s="71" t="str">
        <f>IF(COUNTA(A2228:G2228)=0,"",IF(G2228&lt;&gt;"",G2228,IF(B2228="","",IFERROR(IF(INDEX(pr_rate,MATCH(B2228,pr_code,0))="","",INDEX(pr_rate,MATCH(B2228,pr_code,0))),""))))</f>
        <v/>
      </c>
      <c r="L2228" s="65" t="str">
        <f>IF(COUNTA(A2228:G2228)=0,"",IF(AND(ISNUMBER(D2228),ISNUMBER(J2228)),ROUND(D2228*J2228*(1-N(F2228)),2),0))</f>
        <v/>
      </c>
      <c r="M2228" s="62" t="str">
        <f>IF(A2228="","",IFERROR(INDEX(fa_cname,MATCH(A2228,fa_num,0))&amp;"",""))</f>
        <v/>
      </c>
      <c r="N2228" s="59" t="str">
        <f>IF(COUNTA(A2228:G2228)=0,"",IF(A2228="","N° facture manquant",IF(ISNA(MATCH(A2228,fa_num,0)),"Facture inconnue",IF(AND(B2228&lt;&gt;"",ISNA(MATCH(B2228,pr_code,0))),"Article inconnu",IF(H2228="","Désignation manquante",IF(OR(NOT(ISNUMBER(D2228)),N(D2228)&lt;=0),"Quantité invalide",IF(J2228="","Prix manquant",IF(OR(NOT(ISNUMBER(J2228)),N(J2228)&lt;0),"Prix invalide",IF(OR(AND(F2228&lt;&gt;"",NOT(ISNUMBER(F2228))),N(F2228)&lt;0,N(F2228)&gt;1),"Remise invalide",IF(K2228="","Taux de TVA manquant",IF(NOT(ISNUMBER(K2228)),"Taux de TVA invalide",IF(COUNTIF(p_rates,K2228)=0,"Taux de TVA hors liste (Paramètres)",IF(N(O2228)&gt;25,"Au-delà de 25 lignes : non imprimée","OK")))))))))))))</f>
        <v/>
      </c>
      <c r="O2228" s="59" t="str">
        <f>IF(A2228="","",COUNTIF($A$6:A2228,A2228))</f>
        <v/>
      </c>
      <c r="P2228" s="62" t="str">
        <f>IF(A2228="","",A2228&amp;"|"&amp;O2228)</f>
        <v/>
      </c>
    </row>
    <row r="2229">
      <c r="A2229" s="60" t="n"/>
      <c r="B2229" s="63" t="n"/>
      <c r="C2229" s="63" t="n"/>
      <c r="D2229" s="67" t="n"/>
      <c r="E2229" s="68" t="n"/>
      <c r="F2229" s="69" t="n"/>
      <c r="G2229" s="70" t="n"/>
      <c r="H2229" s="62" t="str">
        <f>IF(COUNTA(A2229:G2229)=0,"",IF(C2229&lt;&gt;"",C2229,IF(B2229="","",IFERROR(INDEX(pr_des,MATCH(B2229,pr_code,0))&amp;"",""))))</f>
        <v/>
      </c>
      <c r="I2229" s="59" t="str">
        <f>IF(B2229="","",IFERROR(INDEX(pr_unit,MATCH(B2229,pr_code,0))&amp;"",""))</f>
        <v/>
      </c>
      <c r="J2229" s="65" t="str">
        <f>IF(COUNTA(A2229:G2229)=0,"",IF(E2229&lt;&gt;"",E2229,IF(B2229="","",IFERROR(IF(INDEX(pr_price,MATCH(B2229,pr_code,0))="","",INDEX(pr_price,MATCH(B2229,pr_code,0))),""))))</f>
        <v/>
      </c>
      <c r="K2229" s="71" t="str">
        <f>IF(COUNTA(A2229:G2229)=0,"",IF(G2229&lt;&gt;"",G2229,IF(B2229="","",IFERROR(IF(INDEX(pr_rate,MATCH(B2229,pr_code,0))="","",INDEX(pr_rate,MATCH(B2229,pr_code,0))),""))))</f>
        <v/>
      </c>
      <c r="L2229" s="65" t="str">
        <f>IF(COUNTA(A2229:G2229)=0,"",IF(AND(ISNUMBER(D2229),ISNUMBER(J2229)),ROUND(D2229*J2229*(1-N(F2229)),2),0))</f>
        <v/>
      </c>
      <c r="M2229" s="62" t="str">
        <f>IF(A2229="","",IFERROR(INDEX(fa_cname,MATCH(A2229,fa_num,0))&amp;"",""))</f>
        <v/>
      </c>
      <c r="N2229" s="59" t="str">
        <f>IF(COUNTA(A2229:G2229)=0,"",IF(A2229="","N° facture manquant",IF(ISNA(MATCH(A2229,fa_num,0)),"Facture inconnue",IF(AND(B2229&lt;&gt;"",ISNA(MATCH(B2229,pr_code,0))),"Article inconnu",IF(H2229="","Désignation manquante",IF(OR(NOT(ISNUMBER(D2229)),N(D2229)&lt;=0),"Quantité invalide",IF(J2229="","Prix manquant",IF(OR(NOT(ISNUMBER(J2229)),N(J2229)&lt;0),"Prix invalide",IF(OR(AND(F2229&lt;&gt;"",NOT(ISNUMBER(F2229))),N(F2229)&lt;0,N(F2229)&gt;1),"Remise invalide",IF(K2229="","Taux de TVA manquant",IF(NOT(ISNUMBER(K2229)),"Taux de TVA invalide",IF(COUNTIF(p_rates,K2229)=0,"Taux de TVA hors liste (Paramètres)",IF(N(O2229)&gt;25,"Au-delà de 25 lignes : non imprimée","OK")))))))))))))</f>
        <v/>
      </c>
      <c r="O2229" s="59" t="str">
        <f>IF(A2229="","",COUNTIF($A$6:A2229,A2229))</f>
        <v/>
      </c>
      <c r="P2229" s="62" t="str">
        <f>IF(A2229="","",A2229&amp;"|"&amp;O2229)</f>
        <v/>
      </c>
    </row>
    <row r="2230">
      <c r="A2230" s="60" t="n"/>
      <c r="B2230" s="63" t="n"/>
      <c r="C2230" s="63" t="n"/>
      <c r="D2230" s="67" t="n"/>
      <c r="E2230" s="68" t="n"/>
      <c r="F2230" s="69" t="n"/>
      <c r="G2230" s="70" t="n"/>
      <c r="H2230" s="62" t="str">
        <f>IF(COUNTA(A2230:G2230)=0,"",IF(C2230&lt;&gt;"",C2230,IF(B2230="","",IFERROR(INDEX(pr_des,MATCH(B2230,pr_code,0))&amp;"",""))))</f>
        <v/>
      </c>
      <c r="I2230" s="59" t="str">
        <f>IF(B2230="","",IFERROR(INDEX(pr_unit,MATCH(B2230,pr_code,0))&amp;"",""))</f>
        <v/>
      </c>
      <c r="J2230" s="65" t="str">
        <f>IF(COUNTA(A2230:G2230)=0,"",IF(E2230&lt;&gt;"",E2230,IF(B2230="","",IFERROR(IF(INDEX(pr_price,MATCH(B2230,pr_code,0))="","",INDEX(pr_price,MATCH(B2230,pr_code,0))),""))))</f>
        <v/>
      </c>
      <c r="K2230" s="71" t="str">
        <f>IF(COUNTA(A2230:G2230)=0,"",IF(G2230&lt;&gt;"",G2230,IF(B2230="","",IFERROR(IF(INDEX(pr_rate,MATCH(B2230,pr_code,0))="","",INDEX(pr_rate,MATCH(B2230,pr_code,0))),""))))</f>
        <v/>
      </c>
      <c r="L2230" s="65" t="str">
        <f>IF(COUNTA(A2230:G2230)=0,"",IF(AND(ISNUMBER(D2230),ISNUMBER(J2230)),ROUND(D2230*J2230*(1-N(F2230)),2),0))</f>
        <v/>
      </c>
      <c r="M2230" s="62" t="str">
        <f>IF(A2230="","",IFERROR(INDEX(fa_cname,MATCH(A2230,fa_num,0))&amp;"",""))</f>
        <v/>
      </c>
      <c r="N2230" s="59" t="str">
        <f>IF(COUNTA(A2230:G2230)=0,"",IF(A2230="","N° facture manquant",IF(ISNA(MATCH(A2230,fa_num,0)),"Facture inconnue",IF(AND(B2230&lt;&gt;"",ISNA(MATCH(B2230,pr_code,0))),"Article inconnu",IF(H2230="","Désignation manquante",IF(OR(NOT(ISNUMBER(D2230)),N(D2230)&lt;=0),"Quantité invalide",IF(J2230="","Prix manquant",IF(OR(NOT(ISNUMBER(J2230)),N(J2230)&lt;0),"Prix invalide",IF(OR(AND(F2230&lt;&gt;"",NOT(ISNUMBER(F2230))),N(F2230)&lt;0,N(F2230)&gt;1),"Remise invalide",IF(K2230="","Taux de TVA manquant",IF(NOT(ISNUMBER(K2230)),"Taux de TVA invalide",IF(COUNTIF(p_rates,K2230)=0,"Taux de TVA hors liste (Paramètres)",IF(N(O2230)&gt;25,"Au-delà de 25 lignes : non imprimée","OK")))))))))))))</f>
        <v/>
      </c>
      <c r="O2230" s="59" t="str">
        <f>IF(A2230="","",COUNTIF($A$6:A2230,A2230))</f>
        <v/>
      </c>
      <c r="P2230" s="62" t="str">
        <f>IF(A2230="","",A2230&amp;"|"&amp;O2230)</f>
        <v/>
      </c>
    </row>
    <row r="2231">
      <c r="A2231" s="60" t="n"/>
      <c r="B2231" s="63" t="n"/>
      <c r="C2231" s="63" t="n"/>
      <c r="D2231" s="67" t="n"/>
      <c r="E2231" s="68" t="n"/>
      <c r="F2231" s="69" t="n"/>
      <c r="G2231" s="70" t="n"/>
      <c r="H2231" s="62" t="str">
        <f>IF(COUNTA(A2231:G2231)=0,"",IF(C2231&lt;&gt;"",C2231,IF(B2231="","",IFERROR(INDEX(pr_des,MATCH(B2231,pr_code,0))&amp;"",""))))</f>
        <v/>
      </c>
      <c r="I2231" s="59" t="str">
        <f>IF(B2231="","",IFERROR(INDEX(pr_unit,MATCH(B2231,pr_code,0))&amp;"",""))</f>
        <v/>
      </c>
      <c r="J2231" s="65" t="str">
        <f>IF(COUNTA(A2231:G2231)=0,"",IF(E2231&lt;&gt;"",E2231,IF(B2231="","",IFERROR(IF(INDEX(pr_price,MATCH(B2231,pr_code,0))="","",INDEX(pr_price,MATCH(B2231,pr_code,0))),""))))</f>
        <v/>
      </c>
      <c r="K2231" s="71" t="str">
        <f>IF(COUNTA(A2231:G2231)=0,"",IF(G2231&lt;&gt;"",G2231,IF(B2231="","",IFERROR(IF(INDEX(pr_rate,MATCH(B2231,pr_code,0))="","",INDEX(pr_rate,MATCH(B2231,pr_code,0))),""))))</f>
        <v/>
      </c>
      <c r="L2231" s="65" t="str">
        <f>IF(COUNTA(A2231:G2231)=0,"",IF(AND(ISNUMBER(D2231),ISNUMBER(J2231)),ROUND(D2231*J2231*(1-N(F2231)),2),0))</f>
        <v/>
      </c>
      <c r="M2231" s="62" t="str">
        <f>IF(A2231="","",IFERROR(INDEX(fa_cname,MATCH(A2231,fa_num,0))&amp;"",""))</f>
        <v/>
      </c>
      <c r="N2231" s="59" t="str">
        <f>IF(COUNTA(A2231:G2231)=0,"",IF(A2231="","N° facture manquant",IF(ISNA(MATCH(A2231,fa_num,0)),"Facture inconnue",IF(AND(B2231&lt;&gt;"",ISNA(MATCH(B2231,pr_code,0))),"Article inconnu",IF(H2231="","Désignation manquante",IF(OR(NOT(ISNUMBER(D2231)),N(D2231)&lt;=0),"Quantité invalide",IF(J2231="","Prix manquant",IF(OR(NOT(ISNUMBER(J2231)),N(J2231)&lt;0),"Prix invalide",IF(OR(AND(F2231&lt;&gt;"",NOT(ISNUMBER(F2231))),N(F2231)&lt;0,N(F2231)&gt;1),"Remise invalide",IF(K2231="","Taux de TVA manquant",IF(NOT(ISNUMBER(K2231)),"Taux de TVA invalide",IF(COUNTIF(p_rates,K2231)=0,"Taux de TVA hors liste (Paramètres)",IF(N(O2231)&gt;25,"Au-delà de 25 lignes : non imprimée","OK")))))))))))))</f>
        <v/>
      </c>
      <c r="O2231" s="59" t="str">
        <f>IF(A2231="","",COUNTIF($A$6:A2231,A2231))</f>
        <v/>
      </c>
      <c r="P2231" s="62" t="str">
        <f>IF(A2231="","",A2231&amp;"|"&amp;O2231)</f>
        <v/>
      </c>
    </row>
    <row r="2232">
      <c r="A2232" s="60" t="n"/>
      <c r="B2232" s="63" t="n"/>
      <c r="C2232" s="63" t="n"/>
      <c r="D2232" s="67" t="n"/>
      <c r="E2232" s="68" t="n"/>
      <c r="F2232" s="69" t="n"/>
      <c r="G2232" s="70" t="n"/>
      <c r="H2232" s="62" t="str">
        <f>IF(COUNTA(A2232:G2232)=0,"",IF(C2232&lt;&gt;"",C2232,IF(B2232="","",IFERROR(INDEX(pr_des,MATCH(B2232,pr_code,0))&amp;"",""))))</f>
        <v/>
      </c>
      <c r="I2232" s="59" t="str">
        <f>IF(B2232="","",IFERROR(INDEX(pr_unit,MATCH(B2232,pr_code,0))&amp;"",""))</f>
        <v/>
      </c>
      <c r="J2232" s="65" t="str">
        <f>IF(COUNTA(A2232:G2232)=0,"",IF(E2232&lt;&gt;"",E2232,IF(B2232="","",IFERROR(IF(INDEX(pr_price,MATCH(B2232,pr_code,0))="","",INDEX(pr_price,MATCH(B2232,pr_code,0))),""))))</f>
        <v/>
      </c>
      <c r="K2232" s="71" t="str">
        <f>IF(COUNTA(A2232:G2232)=0,"",IF(G2232&lt;&gt;"",G2232,IF(B2232="","",IFERROR(IF(INDEX(pr_rate,MATCH(B2232,pr_code,0))="","",INDEX(pr_rate,MATCH(B2232,pr_code,0))),""))))</f>
        <v/>
      </c>
      <c r="L2232" s="65" t="str">
        <f>IF(COUNTA(A2232:G2232)=0,"",IF(AND(ISNUMBER(D2232),ISNUMBER(J2232)),ROUND(D2232*J2232*(1-N(F2232)),2),0))</f>
        <v/>
      </c>
      <c r="M2232" s="62" t="str">
        <f>IF(A2232="","",IFERROR(INDEX(fa_cname,MATCH(A2232,fa_num,0))&amp;"",""))</f>
        <v/>
      </c>
      <c r="N2232" s="59" t="str">
        <f>IF(COUNTA(A2232:G2232)=0,"",IF(A2232="","N° facture manquant",IF(ISNA(MATCH(A2232,fa_num,0)),"Facture inconnue",IF(AND(B2232&lt;&gt;"",ISNA(MATCH(B2232,pr_code,0))),"Article inconnu",IF(H2232="","Désignation manquante",IF(OR(NOT(ISNUMBER(D2232)),N(D2232)&lt;=0),"Quantité invalide",IF(J2232="","Prix manquant",IF(OR(NOT(ISNUMBER(J2232)),N(J2232)&lt;0),"Prix invalide",IF(OR(AND(F2232&lt;&gt;"",NOT(ISNUMBER(F2232))),N(F2232)&lt;0,N(F2232)&gt;1),"Remise invalide",IF(K2232="","Taux de TVA manquant",IF(NOT(ISNUMBER(K2232)),"Taux de TVA invalide",IF(COUNTIF(p_rates,K2232)=0,"Taux de TVA hors liste (Paramètres)",IF(N(O2232)&gt;25,"Au-delà de 25 lignes : non imprimée","OK")))))))))))))</f>
        <v/>
      </c>
      <c r="O2232" s="59" t="str">
        <f>IF(A2232="","",COUNTIF($A$6:A2232,A2232))</f>
        <v/>
      </c>
      <c r="P2232" s="62" t="str">
        <f>IF(A2232="","",A2232&amp;"|"&amp;O2232)</f>
        <v/>
      </c>
    </row>
    <row r="2233">
      <c r="A2233" s="60" t="n"/>
      <c r="B2233" s="63" t="n"/>
      <c r="C2233" s="63" t="n"/>
      <c r="D2233" s="67" t="n"/>
      <c r="E2233" s="68" t="n"/>
      <c r="F2233" s="69" t="n"/>
      <c r="G2233" s="70" t="n"/>
      <c r="H2233" s="62" t="str">
        <f>IF(COUNTA(A2233:G2233)=0,"",IF(C2233&lt;&gt;"",C2233,IF(B2233="","",IFERROR(INDEX(pr_des,MATCH(B2233,pr_code,0))&amp;"",""))))</f>
        <v/>
      </c>
      <c r="I2233" s="59" t="str">
        <f>IF(B2233="","",IFERROR(INDEX(pr_unit,MATCH(B2233,pr_code,0))&amp;"",""))</f>
        <v/>
      </c>
      <c r="J2233" s="65" t="str">
        <f>IF(COUNTA(A2233:G2233)=0,"",IF(E2233&lt;&gt;"",E2233,IF(B2233="","",IFERROR(IF(INDEX(pr_price,MATCH(B2233,pr_code,0))="","",INDEX(pr_price,MATCH(B2233,pr_code,0))),""))))</f>
        <v/>
      </c>
      <c r="K2233" s="71" t="str">
        <f>IF(COUNTA(A2233:G2233)=0,"",IF(G2233&lt;&gt;"",G2233,IF(B2233="","",IFERROR(IF(INDEX(pr_rate,MATCH(B2233,pr_code,0))="","",INDEX(pr_rate,MATCH(B2233,pr_code,0))),""))))</f>
        <v/>
      </c>
      <c r="L2233" s="65" t="str">
        <f>IF(COUNTA(A2233:G2233)=0,"",IF(AND(ISNUMBER(D2233),ISNUMBER(J2233)),ROUND(D2233*J2233*(1-N(F2233)),2),0))</f>
        <v/>
      </c>
      <c r="M2233" s="62" t="str">
        <f>IF(A2233="","",IFERROR(INDEX(fa_cname,MATCH(A2233,fa_num,0))&amp;"",""))</f>
        <v/>
      </c>
      <c r="N2233" s="59" t="str">
        <f>IF(COUNTA(A2233:G2233)=0,"",IF(A2233="","N° facture manquant",IF(ISNA(MATCH(A2233,fa_num,0)),"Facture inconnue",IF(AND(B2233&lt;&gt;"",ISNA(MATCH(B2233,pr_code,0))),"Article inconnu",IF(H2233="","Désignation manquante",IF(OR(NOT(ISNUMBER(D2233)),N(D2233)&lt;=0),"Quantité invalide",IF(J2233="","Prix manquant",IF(OR(NOT(ISNUMBER(J2233)),N(J2233)&lt;0),"Prix invalide",IF(OR(AND(F2233&lt;&gt;"",NOT(ISNUMBER(F2233))),N(F2233)&lt;0,N(F2233)&gt;1),"Remise invalide",IF(K2233="","Taux de TVA manquant",IF(NOT(ISNUMBER(K2233)),"Taux de TVA invalide",IF(COUNTIF(p_rates,K2233)=0,"Taux de TVA hors liste (Paramètres)",IF(N(O2233)&gt;25,"Au-delà de 25 lignes : non imprimée","OK")))))))))))))</f>
        <v/>
      </c>
      <c r="O2233" s="59" t="str">
        <f>IF(A2233="","",COUNTIF($A$6:A2233,A2233))</f>
        <v/>
      </c>
      <c r="P2233" s="62" t="str">
        <f>IF(A2233="","",A2233&amp;"|"&amp;O2233)</f>
        <v/>
      </c>
    </row>
    <row r="2234">
      <c r="A2234" s="60" t="n"/>
      <c r="B2234" s="63" t="n"/>
      <c r="C2234" s="63" t="n"/>
      <c r="D2234" s="67" t="n"/>
      <c r="E2234" s="68" t="n"/>
      <c r="F2234" s="69" t="n"/>
      <c r="G2234" s="70" t="n"/>
      <c r="H2234" s="62" t="str">
        <f>IF(COUNTA(A2234:G2234)=0,"",IF(C2234&lt;&gt;"",C2234,IF(B2234="","",IFERROR(INDEX(pr_des,MATCH(B2234,pr_code,0))&amp;"",""))))</f>
        <v/>
      </c>
      <c r="I2234" s="59" t="str">
        <f>IF(B2234="","",IFERROR(INDEX(pr_unit,MATCH(B2234,pr_code,0))&amp;"",""))</f>
        <v/>
      </c>
      <c r="J2234" s="65" t="str">
        <f>IF(COUNTA(A2234:G2234)=0,"",IF(E2234&lt;&gt;"",E2234,IF(B2234="","",IFERROR(IF(INDEX(pr_price,MATCH(B2234,pr_code,0))="","",INDEX(pr_price,MATCH(B2234,pr_code,0))),""))))</f>
        <v/>
      </c>
      <c r="K2234" s="71" t="str">
        <f>IF(COUNTA(A2234:G2234)=0,"",IF(G2234&lt;&gt;"",G2234,IF(B2234="","",IFERROR(IF(INDEX(pr_rate,MATCH(B2234,pr_code,0))="","",INDEX(pr_rate,MATCH(B2234,pr_code,0))),""))))</f>
        <v/>
      </c>
      <c r="L2234" s="65" t="str">
        <f>IF(COUNTA(A2234:G2234)=0,"",IF(AND(ISNUMBER(D2234),ISNUMBER(J2234)),ROUND(D2234*J2234*(1-N(F2234)),2),0))</f>
        <v/>
      </c>
      <c r="M2234" s="62" t="str">
        <f>IF(A2234="","",IFERROR(INDEX(fa_cname,MATCH(A2234,fa_num,0))&amp;"",""))</f>
        <v/>
      </c>
      <c r="N2234" s="59" t="str">
        <f>IF(COUNTA(A2234:G2234)=0,"",IF(A2234="","N° facture manquant",IF(ISNA(MATCH(A2234,fa_num,0)),"Facture inconnue",IF(AND(B2234&lt;&gt;"",ISNA(MATCH(B2234,pr_code,0))),"Article inconnu",IF(H2234="","Désignation manquante",IF(OR(NOT(ISNUMBER(D2234)),N(D2234)&lt;=0),"Quantité invalide",IF(J2234="","Prix manquant",IF(OR(NOT(ISNUMBER(J2234)),N(J2234)&lt;0),"Prix invalide",IF(OR(AND(F2234&lt;&gt;"",NOT(ISNUMBER(F2234))),N(F2234)&lt;0,N(F2234)&gt;1),"Remise invalide",IF(K2234="","Taux de TVA manquant",IF(NOT(ISNUMBER(K2234)),"Taux de TVA invalide",IF(COUNTIF(p_rates,K2234)=0,"Taux de TVA hors liste (Paramètres)",IF(N(O2234)&gt;25,"Au-delà de 25 lignes : non imprimée","OK")))))))))))))</f>
        <v/>
      </c>
      <c r="O2234" s="59" t="str">
        <f>IF(A2234="","",COUNTIF($A$6:A2234,A2234))</f>
        <v/>
      </c>
      <c r="P2234" s="62" t="str">
        <f>IF(A2234="","",A2234&amp;"|"&amp;O2234)</f>
        <v/>
      </c>
    </row>
    <row r="2235">
      <c r="A2235" s="60" t="n"/>
      <c r="B2235" s="63" t="n"/>
      <c r="C2235" s="63" t="n"/>
      <c r="D2235" s="67" t="n"/>
      <c r="E2235" s="68" t="n"/>
      <c r="F2235" s="69" t="n"/>
      <c r="G2235" s="70" t="n"/>
      <c r="H2235" s="62" t="str">
        <f>IF(COUNTA(A2235:G2235)=0,"",IF(C2235&lt;&gt;"",C2235,IF(B2235="","",IFERROR(INDEX(pr_des,MATCH(B2235,pr_code,0))&amp;"",""))))</f>
        <v/>
      </c>
      <c r="I2235" s="59" t="str">
        <f>IF(B2235="","",IFERROR(INDEX(pr_unit,MATCH(B2235,pr_code,0))&amp;"",""))</f>
        <v/>
      </c>
      <c r="J2235" s="65" t="str">
        <f>IF(COUNTA(A2235:G2235)=0,"",IF(E2235&lt;&gt;"",E2235,IF(B2235="","",IFERROR(IF(INDEX(pr_price,MATCH(B2235,pr_code,0))="","",INDEX(pr_price,MATCH(B2235,pr_code,0))),""))))</f>
        <v/>
      </c>
      <c r="K2235" s="71" t="str">
        <f>IF(COUNTA(A2235:G2235)=0,"",IF(G2235&lt;&gt;"",G2235,IF(B2235="","",IFERROR(IF(INDEX(pr_rate,MATCH(B2235,pr_code,0))="","",INDEX(pr_rate,MATCH(B2235,pr_code,0))),""))))</f>
        <v/>
      </c>
      <c r="L2235" s="65" t="str">
        <f>IF(COUNTA(A2235:G2235)=0,"",IF(AND(ISNUMBER(D2235),ISNUMBER(J2235)),ROUND(D2235*J2235*(1-N(F2235)),2),0))</f>
        <v/>
      </c>
      <c r="M2235" s="62" t="str">
        <f>IF(A2235="","",IFERROR(INDEX(fa_cname,MATCH(A2235,fa_num,0))&amp;"",""))</f>
        <v/>
      </c>
      <c r="N2235" s="59" t="str">
        <f>IF(COUNTA(A2235:G2235)=0,"",IF(A2235="","N° facture manquant",IF(ISNA(MATCH(A2235,fa_num,0)),"Facture inconnue",IF(AND(B2235&lt;&gt;"",ISNA(MATCH(B2235,pr_code,0))),"Article inconnu",IF(H2235="","Désignation manquante",IF(OR(NOT(ISNUMBER(D2235)),N(D2235)&lt;=0),"Quantité invalide",IF(J2235="","Prix manquant",IF(OR(NOT(ISNUMBER(J2235)),N(J2235)&lt;0),"Prix invalide",IF(OR(AND(F2235&lt;&gt;"",NOT(ISNUMBER(F2235))),N(F2235)&lt;0,N(F2235)&gt;1),"Remise invalide",IF(K2235="","Taux de TVA manquant",IF(NOT(ISNUMBER(K2235)),"Taux de TVA invalide",IF(COUNTIF(p_rates,K2235)=0,"Taux de TVA hors liste (Paramètres)",IF(N(O2235)&gt;25,"Au-delà de 25 lignes : non imprimée","OK")))))))))))))</f>
        <v/>
      </c>
      <c r="O2235" s="59" t="str">
        <f>IF(A2235="","",COUNTIF($A$6:A2235,A2235))</f>
        <v/>
      </c>
      <c r="P2235" s="62" t="str">
        <f>IF(A2235="","",A2235&amp;"|"&amp;O2235)</f>
        <v/>
      </c>
    </row>
    <row r="2236">
      <c r="A2236" s="60" t="n"/>
      <c r="B2236" s="63" t="n"/>
      <c r="C2236" s="63" t="n"/>
      <c r="D2236" s="67" t="n"/>
      <c r="E2236" s="68" t="n"/>
      <c r="F2236" s="69" t="n"/>
      <c r="G2236" s="70" t="n"/>
      <c r="H2236" s="62" t="str">
        <f>IF(COUNTA(A2236:G2236)=0,"",IF(C2236&lt;&gt;"",C2236,IF(B2236="","",IFERROR(INDEX(pr_des,MATCH(B2236,pr_code,0))&amp;"",""))))</f>
        <v/>
      </c>
      <c r="I2236" s="59" t="str">
        <f>IF(B2236="","",IFERROR(INDEX(pr_unit,MATCH(B2236,pr_code,0))&amp;"",""))</f>
        <v/>
      </c>
      <c r="J2236" s="65" t="str">
        <f>IF(COUNTA(A2236:G2236)=0,"",IF(E2236&lt;&gt;"",E2236,IF(B2236="","",IFERROR(IF(INDEX(pr_price,MATCH(B2236,pr_code,0))="","",INDEX(pr_price,MATCH(B2236,pr_code,0))),""))))</f>
        <v/>
      </c>
      <c r="K2236" s="71" t="str">
        <f>IF(COUNTA(A2236:G2236)=0,"",IF(G2236&lt;&gt;"",G2236,IF(B2236="","",IFERROR(IF(INDEX(pr_rate,MATCH(B2236,pr_code,0))="","",INDEX(pr_rate,MATCH(B2236,pr_code,0))),""))))</f>
        <v/>
      </c>
      <c r="L2236" s="65" t="str">
        <f>IF(COUNTA(A2236:G2236)=0,"",IF(AND(ISNUMBER(D2236),ISNUMBER(J2236)),ROUND(D2236*J2236*(1-N(F2236)),2),0))</f>
        <v/>
      </c>
      <c r="M2236" s="62" t="str">
        <f>IF(A2236="","",IFERROR(INDEX(fa_cname,MATCH(A2236,fa_num,0))&amp;"",""))</f>
        <v/>
      </c>
      <c r="N2236" s="59" t="str">
        <f>IF(COUNTA(A2236:G2236)=0,"",IF(A2236="","N° facture manquant",IF(ISNA(MATCH(A2236,fa_num,0)),"Facture inconnue",IF(AND(B2236&lt;&gt;"",ISNA(MATCH(B2236,pr_code,0))),"Article inconnu",IF(H2236="","Désignation manquante",IF(OR(NOT(ISNUMBER(D2236)),N(D2236)&lt;=0),"Quantité invalide",IF(J2236="","Prix manquant",IF(OR(NOT(ISNUMBER(J2236)),N(J2236)&lt;0),"Prix invalide",IF(OR(AND(F2236&lt;&gt;"",NOT(ISNUMBER(F2236))),N(F2236)&lt;0,N(F2236)&gt;1),"Remise invalide",IF(K2236="","Taux de TVA manquant",IF(NOT(ISNUMBER(K2236)),"Taux de TVA invalide",IF(COUNTIF(p_rates,K2236)=0,"Taux de TVA hors liste (Paramètres)",IF(N(O2236)&gt;25,"Au-delà de 25 lignes : non imprimée","OK")))))))))))))</f>
        <v/>
      </c>
      <c r="O2236" s="59" t="str">
        <f>IF(A2236="","",COUNTIF($A$6:A2236,A2236))</f>
        <v/>
      </c>
      <c r="P2236" s="62" t="str">
        <f>IF(A2236="","",A2236&amp;"|"&amp;O2236)</f>
        <v/>
      </c>
    </row>
    <row r="2237">
      <c r="A2237" s="60" t="n"/>
      <c r="B2237" s="63" t="n"/>
      <c r="C2237" s="63" t="n"/>
      <c r="D2237" s="67" t="n"/>
      <c r="E2237" s="68" t="n"/>
      <c r="F2237" s="69" t="n"/>
      <c r="G2237" s="70" t="n"/>
      <c r="H2237" s="62" t="str">
        <f>IF(COUNTA(A2237:G2237)=0,"",IF(C2237&lt;&gt;"",C2237,IF(B2237="","",IFERROR(INDEX(pr_des,MATCH(B2237,pr_code,0))&amp;"",""))))</f>
        <v/>
      </c>
      <c r="I2237" s="59" t="str">
        <f>IF(B2237="","",IFERROR(INDEX(pr_unit,MATCH(B2237,pr_code,0))&amp;"",""))</f>
        <v/>
      </c>
      <c r="J2237" s="65" t="str">
        <f>IF(COUNTA(A2237:G2237)=0,"",IF(E2237&lt;&gt;"",E2237,IF(B2237="","",IFERROR(IF(INDEX(pr_price,MATCH(B2237,pr_code,0))="","",INDEX(pr_price,MATCH(B2237,pr_code,0))),""))))</f>
        <v/>
      </c>
      <c r="K2237" s="71" t="str">
        <f>IF(COUNTA(A2237:G2237)=0,"",IF(G2237&lt;&gt;"",G2237,IF(B2237="","",IFERROR(IF(INDEX(pr_rate,MATCH(B2237,pr_code,0))="","",INDEX(pr_rate,MATCH(B2237,pr_code,0))),""))))</f>
        <v/>
      </c>
      <c r="L2237" s="65" t="str">
        <f>IF(COUNTA(A2237:G2237)=0,"",IF(AND(ISNUMBER(D2237),ISNUMBER(J2237)),ROUND(D2237*J2237*(1-N(F2237)),2),0))</f>
        <v/>
      </c>
      <c r="M2237" s="62" t="str">
        <f>IF(A2237="","",IFERROR(INDEX(fa_cname,MATCH(A2237,fa_num,0))&amp;"",""))</f>
        <v/>
      </c>
      <c r="N2237" s="59" t="str">
        <f>IF(COUNTA(A2237:G2237)=0,"",IF(A2237="","N° facture manquant",IF(ISNA(MATCH(A2237,fa_num,0)),"Facture inconnue",IF(AND(B2237&lt;&gt;"",ISNA(MATCH(B2237,pr_code,0))),"Article inconnu",IF(H2237="","Désignation manquante",IF(OR(NOT(ISNUMBER(D2237)),N(D2237)&lt;=0),"Quantité invalide",IF(J2237="","Prix manquant",IF(OR(NOT(ISNUMBER(J2237)),N(J2237)&lt;0),"Prix invalide",IF(OR(AND(F2237&lt;&gt;"",NOT(ISNUMBER(F2237))),N(F2237)&lt;0,N(F2237)&gt;1),"Remise invalide",IF(K2237="","Taux de TVA manquant",IF(NOT(ISNUMBER(K2237)),"Taux de TVA invalide",IF(COUNTIF(p_rates,K2237)=0,"Taux de TVA hors liste (Paramètres)",IF(N(O2237)&gt;25,"Au-delà de 25 lignes : non imprimée","OK")))))))))))))</f>
        <v/>
      </c>
      <c r="O2237" s="59" t="str">
        <f>IF(A2237="","",COUNTIF($A$6:A2237,A2237))</f>
        <v/>
      </c>
      <c r="P2237" s="62" t="str">
        <f>IF(A2237="","",A2237&amp;"|"&amp;O2237)</f>
        <v/>
      </c>
    </row>
    <row r="2238">
      <c r="A2238" s="60" t="n"/>
      <c r="B2238" s="63" t="n"/>
      <c r="C2238" s="63" t="n"/>
      <c r="D2238" s="67" t="n"/>
      <c r="E2238" s="68" t="n"/>
      <c r="F2238" s="69" t="n"/>
      <c r="G2238" s="70" t="n"/>
      <c r="H2238" s="62" t="str">
        <f>IF(COUNTA(A2238:G2238)=0,"",IF(C2238&lt;&gt;"",C2238,IF(B2238="","",IFERROR(INDEX(pr_des,MATCH(B2238,pr_code,0))&amp;"",""))))</f>
        <v/>
      </c>
      <c r="I2238" s="59" t="str">
        <f>IF(B2238="","",IFERROR(INDEX(pr_unit,MATCH(B2238,pr_code,0))&amp;"",""))</f>
        <v/>
      </c>
      <c r="J2238" s="65" t="str">
        <f>IF(COUNTA(A2238:G2238)=0,"",IF(E2238&lt;&gt;"",E2238,IF(B2238="","",IFERROR(IF(INDEX(pr_price,MATCH(B2238,pr_code,0))="","",INDEX(pr_price,MATCH(B2238,pr_code,0))),""))))</f>
        <v/>
      </c>
      <c r="K2238" s="71" t="str">
        <f>IF(COUNTA(A2238:G2238)=0,"",IF(G2238&lt;&gt;"",G2238,IF(B2238="","",IFERROR(IF(INDEX(pr_rate,MATCH(B2238,pr_code,0))="","",INDEX(pr_rate,MATCH(B2238,pr_code,0))),""))))</f>
        <v/>
      </c>
      <c r="L2238" s="65" t="str">
        <f>IF(COUNTA(A2238:G2238)=0,"",IF(AND(ISNUMBER(D2238),ISNUMBER(J2238)),ROUND(D2238*J2238*(1-N(F2238)),2),0))</f>
        <v/>
      </c>
      <c r="M2238" s="62" t="str">
        <f>IF(A2238="","",IFERROR(INDEX(fa_cname,MATCH(A2238,fa_num,0))&amp;"",""))</f>
        <v/>
      </c>
      <c r="N2238" s="59" t="str">
        <f>IF(COUNTA(A2238:G2238)=0,"",IF(A2238="","N° facture manquant",IF(ISNA(MATCH(A2238,fa_num,0)),"Facture inconnue",IF(AND(B2238&lt;&gt;"",ISNA(MATCH(B2238,pr_code,0))),"Article inconnu",IF(H2238="","Désignation manquante",IF(OR(NOT(ISNUMBER(D2238)),N(D2238)&lt;=0),"Quantité invalide",IF(J2238="","Prix manquant",IF(OR(NOT(ISNUMBER(J2238)),N(J2238)&lt;0),"Prix invalide",IF(OR(AND(F2238&lt;&gt;"",NOT(ISNUMBER(F2238))),N(F2238)&lt;0,N(F2238)&gt;1),"Remise invalide",IF(K2238="","Taux de TVA manquant",IF(NOT(ISNUMBER(K2238)),"Taux de TVA invalide",IF(COUNTIF(p_rates,K2238)=0,"Taux de TVA hors liste (Paramètres)",IF(N(O2238)&gt;25,"Au-delà de 25 lignes : non imprimée","OK")))))))))))))</f>
        <v/>
      </c>
      <c r="O2238" s="59" t="str">
        <f>IF(A2238="","",COUNTIF($A$6:A2238,A2238))</f>
        <v/>
      </c>
      <c r="P2238" s="62" t="str">
        <f>IF(A2238="","",A2238&amp;"|"&amp;O2238)</f>
        <v/>
      </c>
    </row>
    <row r="2239">
      <c r="A2239" s="60" t="n"/>
      <c r="B2239" s="63" t="n"/>
      <c r="C2239" s="63" t="n"/>
      <c r="D2239" s="67" t="n"/>
      <c r="E2239" s="68" t="n"/>
      <c r="F2239" s="69" t="n"/>
      <c r="G2239" s="70" t="n"/>
      <c r="H2239" s="62" t="str">
        <f>IF(COUNTA(A2239:G2239)=0,"",IF(C2239&lt;&gt;"",C2239,IF(B2239="","",IFERROR(INDEX(pr_des,MATCH(B2239,pr_code,0))&amp;"",""))))</f>
        <v/>
      </c>
      <c r="I2239" s="59" t="str">
        <f>IF(B2239="","",IFERROR(INDEX(pr_unit,MATCH(B2239,pr_code,0))&amp;"",""))</f>
        <v/>
      </c>
      <c r="J2239" s="65" t="str">
        <f>IF(COUNTA(A2239:G2239)=0,"",IF(E2239&lt;&gt;"",E2239,IF(B2239="","",IFERROR(IF(INDEX(pr_price,MATCH(B2239,pr_code,0))="","",INDEX(pr_price,MATCH(B2239,pr_code,0))),""))))</f>
        <v/>
      </c>
      <c r="K2239" s="71" t="str">
        <f>IF(COUNTA(A2239:G2239)=0,"",IF(G2239&lt;&gt;"",G2239,IF(B2239="","",IFERROR(IF(INDEX(pr_rate,MATCH(B2239,pr_code,0))="","",INDEX(pr_rate,MATCH(B2239,pr_code,0))),""))))</f>
        <v/>
      </c>
      <c r="L2239" s="65" t="str">
        <f>IF(COUNTA(A2239:G2239)=0,"",IF(AND(ISNUMBER(D2239),ISNUMBER(J2239)),ROUND(D2239*J2239*(1-N(F2239)),2),0))</f>
        <v/>
      </c>
      <c r="M2239" s="62" t="str">
        <f>IF(A2239="","",IFERROR(INDEX(fa_cname,MATCH(A2239,fa_num,0))&amp;"",""))</f>
        <v/>
      </c>
      <c r="N2239" s="59" t="str">
        <f>IF(COUNTA(A2239:G2239)=0,"",IF(A2239="","N° facture manquant",IF(ISNA(MATCH(A2239,fa_num,0)),"Facture inconnue",IF(AND(B2239&lt;&gt;"",ISNA(MATCH(B2239,pr_code,0))),"Article inconnu",IF(H2239="","Désignation manquante",IF(OR(NOT(ISNUMBER(D2239)),N(D2239)&lt;=0),"Quantité invalide",IF(J2239="","Prix manquant",IF(OR(NOT(ISNUMBER(J2239)),N(J2239)&lt;0),"Prix invalide",IF(OR(AND(F2239&lt;&gt;"",NOT(ISNUMBER(F2239))),N(F2239)&lt;0,N(F2239)&gt;1),"Remise invalide",IF(K2239="","Taux de TVA manquant",IF(NOT(ISNUMBER(K2239)),"Taux de TVA invalide",IF(COUNTIF(p_rates,K2239)=0,"Taux de TVA hors liste (Paramètres)",IF(N(O2239)&gt;25,"Au-delà de 25 lignes : non imprimée","OK")))))))))))))</f>
        <v/>
      </c>
      <c r="O2239" s="59" t="str">
        <f>IF(A2239="","",COUNTIF($A$6:A2239,A2239))</f>
        <v/>
      </c>
      <c r="P2239" s="62" t="str">
        <f>IF(A2239="","",A2239&amp;"|"&amp;O2239)</f>
        <v/>
      </c>
    </row>
    <row r="2240">
      <c r="A2240" s="60" t="n"/>
      <c r="B2240" s="63" t="n"/>
      <c r="C2240" s="63" t="n"/>
      <c r="D2240" s="67" t="n"/>
      <c r="E2240" s="68" t="n"/>
      <c r="F2240" s="69" t="n"/>
      <c r="G2240" s="70" t="n"/>
      <c r="H2240" s="62" t="str">
        <f>IF(COUNTA(A2240:G2240)=0,"",IF(C2240&lt;&gt;"",C2240,IF(B2240="","",IFERROR(INDEX(pr_des,MATCH(B2240,pr_code,0))&amp;"",""))))</f>
        <v/>
      </c>
      <c r="I2240" s="59" t="str">
        <f>IF(B2240="","",IFERROR(INDEX(pr_unit,MATCH(B2240,pr_code,0))&amp;"",""))</f>
        <v/>
      </c>
      <c r="J2240" s="65" t="str">
        <f>IF(COUNTA(A2240:G2240)=0,"",IF(E2240&lt;&gt;"",E2240,IF(B2240="","",IFERROR(IF(INDEX(pr_price,MATCH(B2240,pr_code,0))="","",INDEX(pr_price,MATCH(B2240,pr_code,0))),""))))</f>
        <v/>
      </c>
      <c r="K2240" s="71" t="str">
        <f>IF(COUNTA(A2240:G2240)=0,"",IF(G2240&lt;&gt;"",G2240,IF(B2240="","",IFERROR(IF(INDEX(pr_rate,MATCH(B2240,pr_code,0))="","",INDEX(pr_rate,MATCH(B2240,pr_code,0))),""))))</f>
        <v/>
      </c>
      <c r="L2240" s="65" t="str">
        <f>IF(COUNTA(A2240:G2240)=0,"",IF(AND(ISNUMBER(D2240),ISNUMBER(J2240)),ROUND(D2240*J2240*(1-N(F2240)),2),0))</f>
        <v/>
      </c>
      <c r="M2240" s="62" t="str">
        <f>IF(A2240="","",IFERROR(INDEX(fa_cname,MATCH(A2240,fa_num,0))&amp;"",""))</f>
        <v/>
      </c>
      <c r="N2240" s="59" t="str">
        <f>IF(COUNTA(A2240:G2240)=0,"",IF(A2240="","N° facture manquant",IF(ISNA(MATCH(A2240,fa_num,0)),"Facture inconnue",IF(AND(B2240&lt;&gt;"",ISNA(MATCH(B2240,pr_code,0))),"Article inconnu",IF(H2240="","Désignation manquante",IF(OR(NOT(ISNUMBER(D2240)),N(D2240)&lt;=0),"Quantité invalide",IF(J2240="","Prix manquant",IF(OR(NOT(ISNUMBER(J2240)),N(J2240)&lt;0),"Prix invalide",IF(OR(AND(F2240&lt;&gt;"",NOT(ISNUMBER(F2240))),N(F2240)&lt;0,N(F2240)&gt;1),"Remise invalide",IF(K2240="","Taux de TVA manquant",IF(NOT(ISNUMBER(K2240)),"Taux de TVA invalide",IF(COUNTIF(p_rates,K2240)=0,"Taux de TVA hors liste (Paramètres)",IF(N(O2240)&gt;25,"Au-delà de 25 lignes : non imprimée","OK")))))))))))))</f>
        <v/>
      </c>
      <c r="O2240" s="59" t="str">
        <f>IF(A2240="","",COUNTIF($A$6:A2240,A2240))</f>
        <v/>
      </c>
      <c r="P2240" s="62" t="str">
        <f>IF(A2240="","",A2240&amp;"|"&amp;O2240)</f>
        <v/>
      </c>
    </row>
    <row r="2241">
      <c r="A2241" s="60" t="n"/>
      <c r="B2241" s="63" t="n"/>
      <c r="C2241" s="63" t="n"/>
      <c r="D2241" s="67" t="n"/>
      <c r="E2241" s="68" t="n"/>
      <c r="F2241" s="69" t="n"/>
      <c r="G2241" s="70" t="n"/>
      <c r="H2241" s="62" t="str">
        <f>IF(COUNTA(A2241:G2241)=0,"",IF(C2241&lt;&gt;"",C2241,IF(B2241="","",IFERROR(INDEX(pr_des,MATCH(B2241,pr_code,0))&amp;"",""))))</f>
        <v/>
      </c>
      <c r="I2241" s="59" t="str">
        <f>IF(B2241="","",IFERROR(INDEX(pr_unit,MATCH(B2241,pr_code,0))&amp;"",""))</f>
        <v/>
      </c>
      <c r="J2241" s="65" t="str">
        <f>IF(COUNTA(A2241:G2241)=0,"",IF(E2241&lt;&gt;"",E2241,IF(B2241="","",IFERROR(IF(INDEX(pr_price,MATCH(B2241,pr_code,0))="","",INDEX(pr_price,MATCH(B2241,pr_code,0))),""))))</f>
        <v/>
      </c>
      <c r="K2241" s="71" t="str">
        <f>IF(COUNTA(A2241:G2241)=0,"",IF(G2241&lt;&gt;"",G2241,IF(B2241="","",IFERROR(IF(INDEX(pr_rate,MATCH(B2241,pr_code,0))="","",INDEX(pr_rate,MATCH(B2241,pr_code,0))),""))))</f>
        <v/>
      </c>
      <c r="L2241" s="65" t="str">
        <f>IF(COUNTA(A2241:G2241)=0,"",IF(AND(ISNUMBER(D2241),ISNUMBER(J2241)),ROUND(D2241*J2241*(1-N(F2241)),2),0))</f>
        <v/>
      </c>
      <c r="M2241" s="62" t="str">
        <f>IF(A2241="","",IFERROR(INDEX(fa_cname,MATCH(A2241,fa_num,0))&amp;"",""))</f>
        <v/>
      </c>
      <c r="N2241" s="59" t="str">
        <f>IF(COUNTA(A2241:G2241)=0,"",IF(A2241="","N° facture manquant",IF(ISNA(MATCH(A2241,fa_num,0)),"Facture inconnue",IF(AND(B2241&lt;&gt;"",ISNA(MATCH(B2241,pr_code,0))),"Article inconnu",IF(H2241="","Désignation manquante",IF(OR(NOT(ISNUMBER(D2241)),N(D2241)&lt;=0),"Quantité invalide",IF(J2241="","Prix manquant",IF(OR(NOT(ISNUMBER(J2241)),N(J2241)&lt;0),"Prix invalide",IF(OR(AND(F2241&lt;&gt;"",NOT(ISNUMBER(F2241))),N(F2241)&lt;0,N(F2241)&gt;1),"Remise invalide",IF(K2241="","Taux de TVA manquant",IF(NOT(ISNUMBER(K2241)),"Taux de TVA invalide",IF(COUNTIF(p_rates,K2241)=0,"Taux de TVA hors liste (Paramètres)",IF(N(O2241)&gt;25,"Au-delà de 25 lignes : non imprimée","OK")))))))))))))</f>
        <v/>
      </c>
      <c r="O2241" s="59" t="str">
        <f>IF(A2241="","",COUNTIF($A$6:A2241,A2241))</f>
        <v/>
      </c>
      <c r="P2241" s="62" t="str">
        <f>IF(A2241="","",A2241&amp;"|"&amp;O2241)</f>
        <v/>
      </c>
    </row>
    <row r="2242">
      <c r="A2242" s="60" t="n"/>
      <c r="B2242" s="63" t="n"/>
      <c r="C2242" s="63" t="n"/>
      <c r="D2242" s="67" t="n"/>
      <c r="E2242" s="68" t="n"/>
      <c r="F2242" s="69" t="n"/>
      <c r="G2242" s="70" t="n"/>
      <c r="H2242" s="62" t="str">
        <f>IF(COUNTA(A2242:G2242)=0,"",IF(C2242&lt;&gt;"",C2242,IF(B2242="","",IFERROR(INDEX(pr_des,MATCH(B2242,pr_code,0))&amp;"",""))))</f>
        <v/>
      </c>
      <c r="I2242" s="59" t="str">
        <f>IF(B2242="","",IFERROR(INDEX(pr_unit,MATCH(B2242,pr_code,0))&amp;"",""))</f>
        <v/>
      </c>
      <c r="J2242" s="65" t="str">
        <f>IF(COUNTA(A2242:G2242)=0,"",IF(E2242&lt;&gt;"",E2242,IF(B2242="","",IFERROR(IF(INDEX(pr_price,MATCH(B2242,pr_code,0))="","",INDEX(pr_price,MATCH(B2242,pr_code,0))),""))))</f>
        <v/>
      </c>
      <c r="K2242" s="71" t="str">
        <f>IF(COUNTA(A2242:G2242)=0,"",IF(G2242&lt;&gt;"",G2242,IF(B2242="","",IFERROR(IF(INDEX(pr_rate,MATCH(B2242,pr_code,0))="","",INDEX(pr_rate,MATCH(B2242,pr_code,0))),""))))</f>
        <v/>
      </c>
      <c r="L2242" s="65" t="str">
        <f>IF(COUNTA(A2242:G2242)=0,"",IF(AND(ISNUMBER(D2242),ISNUMBER(J2242)),ROUND(D2242*J2242*(1-N(F2242)),2),0))</f>
        <v/>
      </c>
      <c r="M2242" s="62" t="str">
        <f>IF(A2242="","",IFERROR(INDEX(fa_cname,MATCH(A2242,fa_num,0))&amp;"",""))</f>
        <v/>
      </c>
      <c r="N2242" s="59" t="str">
        <f>IF(COUNTA(A2242:G2242)=0,"",IF(A2242="","N° facture manquant",IF(ISNA(MATCH(A2242,fa_num,0)),"Facture inconnue",IF(AND(B2242&lt;&gt;"",ISNA(MATCH(B2242,pr_code,0))),"Article inconnu",IF(H2242="","Désignation manquante",IF(OR(NOT(ISNUMBER(D2242)),N(D2242)&lt;=0),"Quantité invalide",IF(J2242="","Prix manquant",IF(OR(NOT(ISNUMBER(J2242)),N(J2242)&lt;0),"Prix invalide",IF(OR(AND(F2242&lt;&gt;"",NOT(ISNUMBER(F2242))),N(F2242)&lt;0,N(F2242)&gt;1),"Remise invalide",IF(K2242="","Taux de TVA manquant",IF(NOT(ISNUMBER(K2242)),"Taux de TVA invalide",IF(COUNTIF(p_rates,K2242)=0,"Taux de TVA hors liste (Paramètres)",IF(N(O2242)&gt;25,"Au-delà de 25 lignes : non imprimée","OK")))))))))))))</f>
        <v/>
      </c>
      <c r="O2242" s="59" t="str">
        <f>IF(A2242="","",COUNTIF($A$6:A2242,A2242))</f>
        <v/>
      </c>
      <c r="P2242" s="62" t="str">
        <f>IF(A2242="","",A2242&amp;"|"&amp;O2242)</f>
        <v/>
      </c>
    </row>
    <row r="2243">
      <c r="A2243" s="60" t="n"/>
      <c r="B2243" s="63" t="n"/>
      <c r="C2243" s="63" t="n"/>
      <c r="D2243" s="67" t="n"/>
      <c r="E2243" s="68" t="n"/>
      <c r="F2243" s="69" t="n"/>
      <c r="G2243" s="70" t="n"/>
      <c r="H2243" s="62" t="str">
        <f>IF(COUNTA(A2243:G2243)=0,"",IF(C2243&lt;&gt;"",C2243,IF(B2243="","",IFERROR(INDEX(pr_des,MATCH(B2243,pr_code,0))&amp;"",""))))</f>
        <v/>
      </c>
      <c r="I2243" s="59" t="str">
        <f>IF(B2243="","",IFERROR(INDEX(pr_unit,MATCH(B2243,pr_code,0))&amp;"",""))</f>
        <v/>
      </c>
      <c r="J2243" s="65" t="str">
        <f>IF(COUNTA(A2243:G2243)=0,"",IF(E2243&lt;&gt;"",E2243,IF(B2243="","",IFERROR(IF(INDEX(pr_price,MATCH(B2243,pr_code,0))="","",INDEX(pr_price,MATCH(B2243,pr_code,0))),""))))</f>
        <v/>
      </c>
      <c r="K2243" s="71" t="str">
        <f>IF(COUNTA(A2243:G2243)=0,"",IF(G2243&lt;&gt;"",G2243,IF(B2243="","",IFERROR(IF(INDEX(pr_rate,MATCH(B2243,pr_code,0))="","",INDEX(pr_rate,MATCH(B2243,pr_code,0))),""))))</f>
        <v/>
      </c>
      <c r="L2243" s="65" t="str">
        <f>IF(COUNTA(A2243:G2243)=0,"",IF(AND(ISNUMBER(D2243),ISNUMBER(J2243)),ROUND(D2243*J2243*(1-N(F2243)),2),0))</f>
        <v/>
      </c>
      <c r="M2243" s="62" t="str">
        <f>IF(A2243="","",IFERROR(INDEX(fa_cname,MATCH(A2243,fa_num,0))&amp;"",""))</f>
        <v/>
      </c>
      <c r="N2243" s="59" t="str">
        <f>IF(COUNTA(A2243:G2243)=0,"",IF(A2243="","N° facture manquant",IF(ISNA(MATCH(A2243,fa_num,0)),"Facture inconnue",IF(AND(B2243&lt;&gt;"",ISNA(MATCH(B2243,pr_code,0))),"Article inconnu",IF(H2243="","Désignation manquante",IF(OR(NOT(ISNUMBER(D2243)),N(D2243)&lt;=0),"Quantité invalide",IF(J2243="","Prix manquant",IF(OR(NOT(ISNUMBER(J2243)),N(J2243)&lt;0),"Prix invalide",IF(OR(AND(F2243&lt;&gt;"",NOT(ISNUMBER(F2243))),N(F2243)&lt;0,N(F2243)&gt;1),"Remise invalide",IF(K2243="","Taux de TVA manquant",IF(NOT(ISNUMBER(K2243)),"Taux de TVA invalide",IF(COUNTIF(p_rates,K2243)=0,"Taux de TVA hors liste (Paramètres)",IF(N(O2243)&gt;25,"Au-delà de 25 lignes : non imprimée","OK")))))))))))))</f>
        <v/>
      </c>
      <c r="O2243" s="59" t="str">
        <f>IF(A2243="","",COUNTIF($A$6:A2243,A2243))</f>
        <v/>
      </c>
      <c r="P2243" s="62" t="str">
        <f>IF(A2243="","",A2243&amp;"|"&amp;O2243)</f>
        <v/>
      </c>
    </row>
    <row r="2244">
      <c r="A2244" s="60" t="n"/>
      <c r="B2244" s="63" t="n"/>
      <c r="C2244" s="63" t="n"/>
      <c r="D2244" s="67" t="n"/>
      <c r="E2244" s="68" t="n"/>
      <c r="F2244" s="69" t="n"/>
      <c r="G2244" s="70" t="n"/>
      <c r="H2244" s="62" t="str">
        <f>IF(COUNTA(A2244:G2244)=0,"",IF(C2244&lt;&gt;"",C2244,IF(B2244="","",IFERROR(INDEX(pr_des,MATCH(B2244,pr_code,0))&amp;"",""))))</f>
        <v/>
      </c>
      <c r="I2244" s="59" t="str">
        <f>IF(B2244="","",IFERROR(INDEX(pr_unit,MATCH(B2244,pr_code,0))&amp;"",""))</f>
        <v/>
      </c>
      <c r="J2244" s="65" t="str">
        <f>IF(COUNTA(A2244:G2244)=0,"",IF(E2244&lt;&gt;"",E2244,IF(B2244="","",IFERROR(IF(INDEX(pr_price,MATCH(B2244,pr_code,0))="","",INDEX(pr_price,MATCH(B2244,pr_code,0))),""))))</f>
        <v/>
      </c>
      <c r="K2244" s="71" t="str">
        <f>IF(COUNTA(A2244:G2244)=0,"",IF(G2244&lt;&gt;"",G2244,IF(B2244="","",IFERROR(IF(INDEX(pr_rate,MATCH(B2244,pr_code,0))="","",INDEX(pr_rate,MATCH(B2244,pr_code,0))),""))))</f>
        <v/>
      </c>
      <c r="L2244" s="65" t="str">
        <f>IF(COUNTA(A2244:G2244)=0,"",IF(AND(ISNUMBER(D2244),ISNUMBER(J2244)),ROUND(D2244*J2244*(1-N(F2244)),2),0))</f>
        <v/>
      </c>
      <c r="M2244" s="62" t="str">
        <f>IF(A2244="","",IFERROR(INDEX(fa_cname,MATCH(A2244,fa_num,0))&amp;"",""))</f>
        <v/>
      </c>
      <c r="N2244" s="59" t="str">
        <f>IF(COUNTA(A2244:G2244)=0,"",IF(A2244="","N° facture manquant",IF(ISNA(MATCH(A2244,fa_num,0)),"Facture inconnue",IF(AND(B2244&lt;&gt;"",ISNA(MATCH(B2244,pr_code,0))),"Article inconnu",IF(H2244="","Désignation manquante",IF(OR(NOT(ISNUMBER(D2244)),N(D2244)&lt;=0),"Quantité invalide",IF(J2244="","Prix manquant",IF(OR(NOT(ISNUMBER(J2244)),N(J2244)&lt;0),"Prix invalide",IF(OR(AND(F2244&lt;&gt;"",NOT(ISNUMBER(F2244))),N(F2244)&lt;0,N(F2244)&gt;1),"Remise invalide",IF(K2244="","Taux de TVA manquant",IF(NOT(ISNUMBER(K2244)),"Taux de TVA invalide",IF(COUNTIF(p_rates,K2244)=0,"Taux de TVA hors liste (Paramètres)",IF(N(O2244)&gt;25,"Au-delà de 25 lignes : non imprimée","OK")))))))))))))</f>
        <v/>
      </c>
      <c r="O2244" s="59" t="str">
        <f>IF(A2244="","",COUNTIF($A$6:A2244,A2244))</f>
        <v/>
      </c>
      <c r="P2244" s="62" t="str">
        <f>IF(A2244="","",A2244&amp;"|"&amp;O2244)</f>
        <v/>
      </c>
    </row>
    <row r="2245">
      <c r="A2245" s="60" t="n"/>
      <c r="B2245" s="63" t="n"/>
      <c r="C2245" s="63" t="n"/>
      <c r="D2245" s="67" t="n"/>
      <c r="E2245" s="68" t="n"/>
      <c r="F2245" s="69" t="n"/>
      <c r="G2245" s="70" t="n"/>
      <c r="H2245" s="62" t="str">
        <f>IF(COUNTA(A2245:G2245)=0,"",IF(C2245&lt;&gt;"",C2245,IF(B2245="","",IFERROR(INDEX(pr_des,MATCH(B2245,pr_code,0))&amp;"",""))))</f>
        <v/>
      </c>
      <c r="I2245" s="59" t="str">
        <f>IF(B2245="","",IFERROR(INDEX(pr_unit,MATCH(B2245,pr_code,0))&amp;"",""))</f>
        <v/>
      </c>
      <c r="J2245" s="65" t="str">
        <f>IF(COUNTA(A2245:G2245)=0,"",IF(E2245&lt;&gt;"",E2245,IF(B2245="","",IFERROR(IF(INDEX(pr_price,MATCH(B2245,pr_code,0))="","",INDEX(pr_price,MATCH(B2245,pr_code,0))),""))))</f>
        <v/>
      </c>
      <c r="K2245" s="71" t="str">
        <f>IF(COUNTA(A2245:G2245)=0,"",IF(G2245&lt;&gt;"",G2245,IF(B2245="","",IFERROR(IF(INDEX(pr_rate,MATCH(B2245,pr_code,0))="","",INDEX(pr_rate,MATCH(B2245,pr_code,0))),""))))</f>
        <v/>
      </c>
      <c r="L2245" s="65" t="str">
        <f>IF(COUNTA(A2245:G2245)=0,"",IF(AND(ISNUMBER(D2245),ISNUMBER(J2245)),ROUND(D2245*J2245*(1-N(F2245)),2),0))</f>
        <v/>
      </c>
      <c r="M2245" s="62" t="str">
        <f>IF(A2245="","",IFERROR(INDEX(fa_cname,MATCH(A2245,fa_num,0))&amp;"",""))</f>
        <v/>
      </c>
      <c r="N2245" s="59" t="str">
        <f>IF(COUNTA(A2245:G2245)=0,"",IF(A2245="","N° facture manquant",IF(ISNA(MATCH(A2245,fa_num,0)),"Facture inconnue",IF(AND(B2245&lt;&gt;"",ISNA(MATCH(B2245,pr_code,0))),"Article inconnu",IF(H2245="","Désignation manquante",IF(OR(NOT(ISNUMBER(D2245)),N(D2245)&lt;=0),"Quantité invalide",IF(J2245="","Prix manquant",IF(OR(NOT(ISNUMBER(J2245)),N(J2245)&lt;0),"Prix invalide",IF(OR(AND(F2245&lt;&gt;"",NOT(ISNUMBER(F2245))),N(F2245)&lt;0,N(F2245)&gt;1),"Remise invalide",IF(K2245="","Taux de TVA manquant",IF(NOT(ISNUMBER(K2245)),"Taux de TVA invalide",IF(COUNTIF(p_rates,K2245)=0,"Taux de TVA hors liste (Paramètres)",IF(N(O2245)&gt;25,"Au-delà de 25 lignes : non imprimée","OK")))))))))))))</f>
        <v/>
      </c>
      <c r="O2245" s="59" t="str">
        <f>IF(A2245="","",COUNTIF($A$6:A2245,A2245))</f>
        <v/>
      </c>
      <c r="P2245" s="62" t="str">
        <f>IF(A2245="","",A2245&amp;"|"&amp;O2245)</f>
        <v/>
      </c>
    </row>
    <row r="2246">
      <c r="A2246" s="60" t="n"/>
      <c r="B2246" s="63" t="n"/>
      <c r="C2246" s="63" t="n"/>
      <c r="D2246" s="67" t="n"/>
      <c r="E2246" s="68" t="n"/>
      <c r="F2246" s="69" t="n"/>
      <c r="G2246" s="70" t="n"/>
      <c r="H2246" s="62" t="str">
        <f>IF(COUNTA(A2246:G2246)=0,"",IF(C2246&lt;&gt;"",C2246,IF(B2246="","",IFERROR(INDEX(pr_des,MATCH(B2246,pr_code,0))&amp;"",""))))</f>
        <v/>
      </c>
      <c r="I2246" s="59" t="str">
        <f>IF(B2246="","",IFERROR(INDEX(pr_unit,MATCH(B2246,pr_code,0))&amp;"",""))</f>
        <v/>
      </c>
      <c r="J2246" s="65" t="str">
        <f>IF(COUNTA(A2246:G2246)=0,"",IF(E2246&lt;&gt;"",E2246,IF(B2246="","",IFERROR(IF(INDEX(pr_price,MATCH(B2246,pr_code,0))="","",INDEX(pr_price,MATCH(B2246,pr_code,0))),""))))</f>
        <v/>
      </c>
      <c r="K2246" s="71" t="str">
        <f>IF(COUNTA(A2246:G2246)=0,"",IF(G2246&lt;&gt;"",G2246,IF(B2246="","",IFERROR(IF(INDEX(pr_rate,MATCH(B2246,pr_code,0))="","",INDEX(pr_rate,MATCH(B2246,pr_code,0))),""))))</f>
        <v/>
      </c>
      <c r="L2246" s="65" t="str">
        <f>IF(COUNTA(A2246:G2246)=0,"",IF(AND(ISNUMBER(D2246),ISNUMBER(J2246)),ROUND(D2246*J2246*(1-N(F2246)),2),0))</f>
        <v/>
      </c>
      <c r="M2246" s="62" t="str">
        <f>IF(A2246="","",IFERROR(INDEX(fa_cname,MATCH(A2246,fa_num,0))&amp;"",""))</f>
        <v/>
      </c>
      <c r="N2246" s="59" t="str">
        <f>IF(COUNTA(A2246:G2246)=0,"",IF(A2246="","N° facture manquant",IF(ISNA(MATCH(A2246,fa_num,0)),"Facture inconnue",IF(AND(B2246&lt;&gt;"",ISNA(MATCH(B2246,pr_code,0))),"Article inconnu",IF(H2246="","Désignation manquante",IF(OR(NOT(ISNUMBER(D2246)),N(D2246)&lt;=0),"Quantité invalide",IF(J2246="","Prix manquant",IF(OR(NOT(ISNUMBER(J2246)),N(J2246)&lt;0),"Prix invalide",IF(OR(AND(F2246&lt;&gt;"",NOT(ISNUMBER(F2246))),N(F2246)&lt;0,N(F2246)&gt;1),"Remise invalide",IF(K2246="","Taux de TVA manquant",IF(NOT(ISNUMBER(K2246)),"Taux de TVA invalide",IF(COUNTIF(p_rates,K2246)=0,"Taux de TVA hors liste (Paramètres)",IF(N(O2246)&gt;25,"Au-delà de 25 lignes : non imprimée","OK")))))))))))))</f>
        <v/>
      </c>
      <c r="O2246" s="59" t="str">
        <f>IF(A2246="","",COUNTIF($A$6:A2246,A2246))</f>
        <v/>
      </c>
      <c r="P2246" s="62" t="str">
        <f>IF(A2246="","",A2246&amp;"|"&amp;O2246)</f>
        <v/>
      </c>
    </row>
    <row r="2247">
      <c r="A2247" s="60" t="n"/>
      <c r="B2247" s="63" t="n"/>
      <c r="C2247" s="63" t="n"/>
      <c r="D2247" s="67" t="n"/>
      <c r="E2247" s="68" t="n"/>
      <c r="F2247" s="69" t="n"/>
      <c r="G2247" s="70" t="n"/>
      <c r="H2247" s="62" t="str">
        <f>IF(COUNTA(A2247:G2247)=0,"",IF(C2247&lt;&gt;"",C2247,IF(B2247="","",IFERROR(INDEX(pr_des,MATCH(B2247,pr_code,0))&amp;"",""))))</f>
        <v/>
      </c>
      <c r="I2247" s="59" t="str">
        <f>IF(B2247="","",IFERROR(INDEX(pr_unit,MATCH(B2247,pr_code,0))&amp;"",""))</f>
        <v/>
      </c>
      <c r="J2247" s="65" t="str">
        <f>IF(COUNTA(A2247:G2247)=0,"",IF(E2247&lt;&gt;"",E2247,IF(B2247="","",IFERROR(IF(INDEX(pr_price,MATCH(B2247,pr_code,0))="","",INDEX(pr_price,MATCH(B2247,pr_code,0))),""))))</f>
        <v/>
      </c>
      <c r="K2247" s="71" t="str">
        <f>IF(COUNTA(A2247:G2247)=0,"",IF(G2247&lt;&gt;"",G2247,IF(B2247="","",IFERROR(IF(INDEX(pr_rate,MATCH(B2247,pr_code,0))="","",INDEX(pr_rate,MATCH(B2247,pr_code,0))),""))))</f>
        <v/>
      </c>
      <c r="L2247" s="65" t="str">
        <f>IF(COUNTA(A2247:G2247)=0,"",IF(AND(ISNUMBER(D2247),ISNUMBER(J2247)),ROUND(D2247*J2247*(1-N(F2247)),2),0))</f>
        <v/>
      </c>
      <c r="M2247" s="62" t="str">
        <f>IF(A2247="","",IFERROR(INDEX(fa_cname,MATCH(A2247,fa_num,0))&amp;"",""))</f>
        <v/>
      </c>
      <c r="N2247" s="59" t="str">
        <f>IF(COUNTA(A2247:G2247)=0,"",IF(A2247="","N° facture manquant",IF(ISNA(MATCH(A2247,fa_num,0)),"Facture inconnue",IF(AND(B2247&lt;&gt;"",ISNA(MATCH(B2247,pr_code,0))),"Article inconnu",IF(H2247="","Désignation manquante",IF(OR(NOT(ISNUMBER(D2247)),N(D2247)&lt;=0),"Quantité invalide",IF(J2247="","Prix manquant",IF(OR(NOT(ISNUMBER(J2247)),N(J2247)&lt;0),"Prix invalide",IF(OR(AND(F2247&lt;&gt;"",NOT(ISNUMBER(F2247))),N(F2247)&lt;0,N(F2247)&gt;1),"Remise invalide",IF(K2247="","Taux de TVA manquant",IF(NOT(ISNUMBER(K2247)),"Taux de TVA invalide",IF(COUNTIF(p_rates,K2247)=0,"Taux de TVA hors liste (Paramètres)",IF(N(O2247)&gt;25,"Au-delà de 25 lignes : non imprimée","OK")))))))))))))</f>
        <v/>
      </c>
      <c r="O2247" s="59" t="str">
        <f>IF(A2247="","",COUNTIF($A$6:A2247,A2247))</f>
        <v/>
      </c>
      <c r="P2247" s="62" t="str">
        <f>IF(A2247="","",A2247&amp;"|"&amp;O2247)</f>
        <v/>
      </c>
    </row>
    <row r="2248">
      <c r="A2248" s="60" t="n"/>
      <c r="B2248" s="63" t="n"/>
      <c r="C2248" s="63" t="n"/>
      <c r="D2248" s="67" t="n"/>
      <c r="E2248" s="68" t="n"/>
      <c r="F2248" s="69" t="n"/>
      <c r="G2248" s="70" t="n"/>
      <c r="H2248" s="62" t="str">
        <f>IF(COUNTA(A2248:G2248)=0,"",IF(C2248&lt;&gt;"",C2248,IF(B2248="","",IFERROR(INDEX(pr_des,MATCH(B2248,pr_code,0))&amp;"",""))))</f>
        <v/>
      </c>
      <c r="I2248" s="59" t="str">
        <f>IF(B2248="","",IFERROR(INDEX(pr_unit,MATCH(B2248,pr_code,0))&amp;"",""))</f>
        <v/>
      </c>
      <c r="J2248" s="65" t="str">
        <f>IF(COUNTA(A2248:G2248)=0,"",IF(E2248&lt;&gt;"",E2248,IF(B2248="","",IFERROR(IF(INDEX(pr_price,MATCH(B2248,pr_code,0))="","",INDEX(pr_price,MATCH(B2248,pr_code,0))),""))))</f>
        <v/>
      </c>
      <c r="K2248" s="71" t="str">
        <f>IF(COUNTA(A2248:G2248)=0,"",IF(G2248&lt;&gt;"",G2248,IF(B2248="","",IFERROR(IF(INDEX(pr_rate,MATCH(B2248,pr_code,0))="","",INDEX(pr_rate,MATCH(B2248,pr_code,0))),""))))</f>
        <v/>
      </c>
      <c r="L2248" s="65" t="str">
        <f>IF(COUNTA(A2248:G2248)=0,"",IF(AND(ISNUMBER(D2248),ISNUMBER(J2248)),ROUND(D2248*J2248*(1-N(F2248)),2),0))</f>
        <v/>
      </c>
      <c r="M2248" s="62" t="str">
        <f>IF(A2248="","",IFERROR(INDEX(fa_cname,MATCH(A2248,fa_num,0))&amp;"",""))</f>
        <v/>
      </c>
      <c r="N2248" s="59" t="str">
        <f>IF(COUNTA(A2248:G2248)=0,"",IF(A2248="","N° facture manquant",IF(ISNA(MATCH(A2248,fa_num,0)),"Facture inconnue",IF(AND(B2248&lt;&gt;"",ISNA(MATCH(B2248,pr_code,0))),"Article inconnu",IF(H2248="","Désignation manquante",IF(OR(NOT(ISNUMBER(D2248)),N(D2248)&lt;=0),"Quantité invalide",IF(J2248="","Prix manquant",IF(OR(NOT(ISNUMBER(J2248)),N(J2248)&lt;0),"Prix invalide",IF(OR(AND(F2248&lt;&gt;"",NOT(ISNUMBER(F2248))),N(F2248)&lt;0,N(F2248)&gt;1),"Remise invalide",IF(K2248="","Taux de TVA manquant",IF(NOT(ISNUMBER(K2248)),"Taux de TVA invalide",IF(COUNTIF(p_rates,K2248)=0,"Taux de TVA hors liste (Paramètres)",IF(N(O2248)&gt;25,"Au-delà de 25 lignes : non imprimée","OK")))))))))))))</f>
        <v/>
      </c>
      <c r="O2248" s="59" t="str">
        <f>IF(A2248="","",COUNTIF($A$6:A2248,A2248))</f>
        <v/>
      </c>
      <c r="P2248" s="62" t="str">
        <f>IF(A2248="","",A2248&amp;"|"&amp;O2248)</f>
        <v/>
      </c>
    </row>
    <row r="2249">
      <c r="A2249" s="60" t="n"/>
      <c r="B2249" s="63" t="n"/>
      <c r="C2249" s="63" t="n"/>
      <c r="D2249" s="67" t="n"/>
      <c r="E2249" s="68" t="n"/>
      <c r="F2249" s="69" t="n"/>
      <c r="G2249" s="70" t="n"/>
      <c r="H2249" s="62" t="str">
        <f>IF(COUNTA(A2249:G2249)=0,"",IF(C2249&lt;&gt;"",C2249,IF(B2249="","",IFERROR(INDEX(pr_des,MATCH(B2249,pr_code,0))&amp;"",""))))</f>
        <v/>
      </c>
      <c r="I2249" s="59" t="str">
        <f>IF(B2249="","",IFERROR(INDEX(pr_unit,MATCH(B2249,pr_code,0))&amp;"",""))</f>
        <v/>
      </c>
      <c r="J2249" s="65" t="str">
        <f>IF(COUNTA(A2249:G2249)=0,"",IF(E2249&lt;&gt;"",E2249,IF(B2249="","",IFERROR(IF(INDEX(pr_price,MATCH(B2249,pr_code,0))="","",INDEX(pr_price,MATCH(B2249,pr_code,0))),""))))</f>
        <v/>
      </c>
      <c r="K2249" s="71" t="str">
        <f>IF(COUNTA(A2249:G2249)=0,"",IF(G2249&lt;&gt;"",G2249,IF(B2249="","",IFERROR(IF(INDEX(pr_rate,MATCH(B2249,pr_code,0))="","",INDEX(pr_rate,MATCH(B2249,pr_code,0))),""))))</f>
        <v/>
      </c>
      <c r="L2249" s="65" t="str">
        <f>IF(COUNTA(A2249:G2249)=0,"",IF(AND(ISNUMBER(D2249),ISNUMBER(J2249)),ROUND(D2249*J2249*(1-N(F2249)),2),0))</f>
        <v/>
      </c>
      <c r="M2249" s="62" t="str">
        <f>IF(A2249="","",IFERROR(INDEX(fa_cname,MATCH(A2249,fa_num,0))&amp;"",""))</f>
        <v/>
      </c>
      <c r="N2249" s="59" t="str">
        <f>IF(COUNTA(A2249:G2249)=0,"",IF(A2249="","N° facture manquant",IF(ISNA(MATCH(A2249,fa_num,0)),"Facture inconnue",IF(AND(B2249&lt;&gt;"",ISNA(MATCH(B2249,pr_code,0))),"Article inconnu",IF(H2249="","Désignation manquante",IF(OR(NOT(ISNUMBER(D2249)),N(D2249)&lt;=0),"Quantité invalide",IF(J2249="","Prix manquant",IF(OR(NOT(ISNUMBER(J2249)),N(J2249)&lt;0),"Prix invalide",IF(OR(AND(F2249&lt;&gt;"",NOT(ISNUMBER(F2249))),N(F2249)&lt;0,N(F2249)&gt;1),"Remise invalide",IF(K2249="","Taux de TVA manquant",IF(NOT(ISNUMBER(K2249)),"Taux de TVA invalide",IF(COUNTIF(p_rates,K2249)=0,"Taux de TVA hors liste (Paramètres)",IF(N(O2249)&gt;25,"Au-delà de 25 lignes : non imprimée","OK")))))))))))))</f>
        <v/>
      </c>
      <c r="O2249" s="59" t="str">
        <f>IF(A2249="","",COUNTIF($A$6:A2249,A2249))</f>
        <v/>
      </c>
      <c r="P2249" s="62" t="str">
        <f>IF(A2249="","",A2249&amp;"|"&amp;O2249)</f>
        <v/>
      </c>
    </row>
    <row r="2250">
      <c r="A2250" s="60" t="n"/>
      <c r="B2250" s="63" t="n"/>
      <c r="C2250" s="63" t="n"/>
      <c r="D2250" s="67" t="n"/>
      <c r="E2250" s="68" t="n"/>
      <c r="F2250" s="69" t="n"/>
      <c r="G2250" s="70" t="n"/>
      <c r="H2250" s="62" t="str">
        <f>IF(COUNTA(A2250:G2250)=0,"",IF(C2250&lt;&gt;"",C2250,IF(B2250="","",IFERROR(INDEX(pr_des,MATCH(B2250,pr_code,0))&amp;"",""))))</f>
        <v/>
      </c>
      <c r="I2250" s="59" t="str">
        <f>IF(B2250="","",IFERROR(INDEX(pr_unit,MATCH(B2250,pr_code,0))&amp;"",""))</f>
        <v/>
      </c>
      <c r="J2250" s="65" t="str">
        <f>IF(COUNTA(A2250:G2250)=0,"",IF(E2250&lt;&gt;"",E2250,IF(B2250="","",IFERROR(IF(INDEX(pr_price,MATCH(B2250,pr_code,0))="","",INDEX(pr_price,MATCH(B2250,pr_code,0))),""))))</f>
        <v/>
      </c>
      <c r="K2250" s="71" t="str">
        <f>IF(COUNTA(A2250:G2250)=0,"",IF(G2250&lt;&gt;"",G2250,IF(B2250="","",IFERROR(IF(INDEX(pr_rate,MATCH(B2250,pr_code,0))="","",INDEX(pr_rate,MATCH(B2250,pr_code,0))),""))))</f>
        <v/>
      </c>
      <c r="L2250" s="65" t="str">
        <f>IF(COUNTA(A2250:G2250)=0,"",IF(AND(ISNUMBER(D2250),ISNUMBER(J2250)),ROUND(D2250*J2250*(1-N(F2250)),2),0))</f>
        <v/>
      </c>
      <c r="M2250" s="62" t="str">
        <f>IF(A2250="","",IFERROR(INDEX(fa_cname,MATCH(A2250,fa_num,0))&amp;"",""))</f>
        <v/>
      </c>
      <c r="N2250" s="59" t="str">
        <f>IF(COUNTA(A2250:G2250)=0,"",IF(A2250="","N° facture manquant",IF(ISNA(MATCH(A2250,fa_num,0)),"Facture inconnue",IF(AND(B2250&lt;&gt;"",ISNA(MATCH(B2250,pr_code,0))),"Article inconnu",IF(H2250="","Désignation manquante",IF(OR(NOT(ISNUMBER(D2250)),N(D2250)&lt;=0),"Quantité invalide",IF(J2250="","Prix manquant",IF(OR(NOT(ISNUMBER(J2250)),N(J2250)&lt;0),"Prix invalide",IF(OR(AND(F2250&lt;&gt;"",NOT(ISNUMBER(F2250))),N(F2250)&lt;0,N(F2250)&gt;1),"Remise invalide",IF(K2250="","Taux de TVA manquant",IF(NOT(ISNUMBER(K2250)),"Taux de TVA invalide",IF(COUNTIF(p_rates,K2250)=0,"Taux de TVA hors liste (Paramètres)",IF(N(O2250)&gt;25,"Au-delà de 25 lignes : non imprimée","OK")))))))))))))</f>
        <v/>
      </c>
      <c r="O2250" s="59" t="str">
        <f>IF(A2250="","",COUNTIF($A$6:A2250,A2250))</f>
        <v/>
      </c>
      <c r="P2250" s="62" t="str">
        <f>IF(A2250="","",A2250&amp;"|"&amp;O2250)</f>
        <v/>
      </c>
    </row>
    <row r="2251">
      <c r="A2251" s="60" t="n"/>
      <c r="B2251" s="63" t="n"/>
      <c r="C2251" s="63" t="n"/>
      <c r="D2251" s="67" t="n"/>
      <c r="E2251" s="68" t="n"/>
      <c r="F2251" s="69" t="n"/>
      <c r="G2251" s="70" t="n"/>
      <c r="H2251" s="62" t="str">
        <f>IF(COUNTA(A2251:G2251)=0,"",IF(C2251&lt;&gt;"",C2251,IF(B2251="","",IFERROR(INDEX(pr_des,MATCH(B2251,pr_code,0))&amp;"",""))))</f>
        <v/>
      </c>
      <c r="I2251" s="59" t="str">
        <f>IF(B2251="","",IFERROR(INDEX(pr_unit,MATCH(B2251,pr_code,0))&amp;"",""))</f>
        <v/>
      </c>
      <c r="J2251" s="65" t="str">
        <f>IF(COUNTA(A2251:G2251)=0,"",IF(E2251&lt;&gt;"",E2251,IF(B2251="","",IFERROR(IF(INDEX(pr_price,MATCH(B2251,pr_code,0))="","",INDEX(pr_price,MATCH(B2251,pr_code,0))),""))))</f>
        <v/>
      </c>
      <c r="K2251" s="71" t="str">
        <f>IF(COUNTA(A2251:G2251)=0,"",IF(G2251&lt;&gt;"",G2251,IF(B2251="","",IFERROR(IF(INDEX(pr_rate,MATCH(B2251,pr_code,0))="","",INDEX(pr_rate,MATCH(B2251,pr_code,0))),""))))</f>
        <v/>
      </c>
      <c r="L2251" s="65" t="str">
        <f>IF(COUNTA(A2251:G2251)=0,"",IF(AND(ISNUMBER(D2251),ISNUMBER(J2251)),ROUND(D2251*J2251*(1-N(F2251)),2),0))</f>
        <v/>
      </c>
      <c r="M2251" s="62" t="str">
        <f>IF(A2251="","",IFERROR(INDEX(fa_cname,MATCH(A2251,fa_num,0))&amp;"",""))</f>
        <v/>
      </c>
      <c r="N2251" s="59" t="str">
        <f>IF(COUNTA(A2251:G2251)=0,"",IF(A2251="","N° facture manquant",IF(ISNA(MATCH(A2251,fa_num,0)),"Facture inconnue",IF(AND(B2251&lt;&gt;"",ISNA(MATCH(B2251,pr_code,0))),"Article inconnu",IF(H2251="","Désignation manquante",IF(OR(NOT(ISNUMBER(D2251)),N(D2251)&lt;=0),"Quantité invalide",IF(J2251="","Prix manquant",IF(OR(NOT(ISNUMBER(J2251)),N(J2251)&lt;0),"Prix invalide",IF(OR(AND(F2251&lt;&gt;"",NOT(ISNUMBER(F2251))),N(F2251)&lt;0,N(F2251)&gt;1),"Remise invalide",IF(K2251="","Taux de TVA manquant",IF(NOT(ISNUMBER(K2251)),"Taux de TVA invalide",IF(COUNTIF(p_rates,K2251)=0,"Taux de TVA hors liste (Paramètres)",IF(N(O2251)&gt;25,"Au-delà de 25 lignes : non imprimée","OK")))))))))))))</f>
        <v/>
      </c>
      <c r="O2251" s="59" t="str">
        <f>IF(A2251="","",COUNTIF($A$6:A2251,A2251))</f>
        <v/>
      </c>
      <c r="P2251" s="62" t="str">
        <f>IF(A2251="","",A2251&amp;"|"&amp;O2251)</f>
        <v/>
      </c>
    </row>
    <row r="2252">
      <c r="A2252" s="60" t="n"/>
      <c r="B2252" s="63" t="n"/>
      <c r="C2252" s="63" t="n"/>
      <c r="D2252" s="67" t="n"/>
      <c r="E2252" s="68" t="n"/>
      <c r="F2252" s="69" t="n"/>
      <c r="G2252" s="70" t="n"/>
      <c r="H2252" s="62" t="str">
        <f>IF(COUNTA(A2252:G2252)=0,"",IF(C2252&lt;&gt;"",C2252,IF(B2252="","",IFERROR(INDEX(pr_des,MATCH(B2252,pr_code,0))&amp;"",""))))</f>
        <v/>
      </c>
      <c r="I2252" s="59" t="str">
        <f>IF(B2252="","",IFERROR(INDEX(pr_unit,MATCH(B2252,pr_code,0))&amp;"",""))</f>
        <v/>
      </c>
      <c r="J2252" s="65" t="str">
        <f>IF(COUNTA(A2252:G2252)=0,"",IF(E2252&lt;&gt;"",E2252,IF(B2252="","",IFERROR(IF(INDEX(pr_price,MATCH(B2252,pr_code,0))="","",INDEX(pr_price,MATCH(B2252,pr_code,0))),""))))</f>
        <v/>
      </c>
      <c r="K2252" s="71" t="str">
        <f>IF(COUNTA(A2252:G2252)=0,"",IF(G2252&lt;&gt;"",G2252,IF(B2252="","",IFERROR(IF(INDEX(pr_rate,MATCH(B2252,pr_code,0))="","",INDEX(pr_rate,MATCH(B2252,pr_code,0))),""))))</f>
        <v/>
      </c>
      <c r="L2252" s="65" t="str">
        <f>IF(COUNTA(A2252:G2252)=0,"",IF(AND(ISNUMBER(D2252),ISNUMBER(J2252)),ROUND(D2252*J2252*(1-N(F2252)),2),0))</f>
        <v/>
      </c>
      <c r="M2252" s="62" t="str">
        <f>IF(A2252="","",IFERROR(INDEX(fa_cname,MATCH(A2252,fa_num,0))&amp;"",""))</f>
        <v/>
      </c>
      <c r="N2252" s="59" t="str">
        <f>IF(COUNTA(A2252:G2252)=0,"",IF(A2252="","N° facture manquant",IF(ISNA(MATCH(A2252,fa_num,0)),"Facture inconnue",IF(AND(B2252&lt;&gt;"",ISNA(MATCH(B2252,pr_code,0))),"Article inconnu",IF(H2252="","Désignation manquante",IF(OR(NOT(ISNUMBER(D2252)),N(D2252)&lt;=0),"Quantité invalide",IF(J2252="","Prix manquant",IF(OR(NOT(ISNUMBER(J2252)),N(J2252)&lt;0),"Prix invalide",IF(OR(AND(F2252&lt;&gt;"",NOT(ISNUMBER(F2252))),N(F2252)&lt;0,N(F2252)&gt;1),"Remise invalide",IF(K2252="","Taux de TVA manquant",IF(NOT(ISNUMBER(K2252)),"Taux de TVA invalide",IF(COUNTIF(p_rates,K2252)=0,"Taux de TVA hors liste (Paramètres)",IF(N(O2252)&gt;25,"Au-delà de 25 lignes : non imprimée","OK")))))))))))))</f>
        <v/>
      </c>
      <c r="O2252" s="59" t="str">
        <f>IF(A2252="","",COUNTIF($A$6:A2252,A2252))</f>
        <v/>
      </c>
      <c r="P2252" s="62" t="str">
        <f>IF(A2252="","",A2252&amp;"|"&amp;O2252)</f>
        <v/>
      </c>
    </row>
    <row r="2253">
      <c r="A2253" s="60" t="n"/>
      <c r="B2253" s="63" t="n"/>
      <c r="C2253" s="63" t="n"/>
      <c r="D2253" s="67" t="n"/>
      <c r="E2253" s="68" t="n"/>
      <c r="F2253" s="69" t="n"/>
      <c r="G2253" s="70" t="n"/>
      <c r="H2253" s="62" t="str">
        <f>IF(COUNTA(A2253:G2253)=0,"",IF(C2253&lt;&gt;"",C2253,IF(B2253="","",IFERROR(INDEX(pr_des,MATCH(B2253,pr_code,0))&amp;"",""))))</f>
        <v/>
      </c>
      <c r="I2253" s="59" t="str">
        <f>IF(B2253="","",IFERROR(INDEX(pr_unit,MATCH(B2253,pr_code,0))&amp;"",""))</f>
        <v/>
      </c>
      <c r="J2253" s="65" t="str">
        <f>IF(COUNTA(A2253:G2253)=0,"",IF(E2253&lt;&gt;"",E2253,IF(B2253="","",IFERROR(IF(INDEX(pr_price,MATCH(B2253,pr_code,0))="","",INDEX(pr_price,MATCH(B2253,pr_code,0))),""))))</f>
        <v/>
      </c>
      <c r="K2253" s="71" t="str">
        <f>IF(COUNTA(A2253:G2253)=0,"",IF(G2253&lt;&gt;"",G2253,IF(B2253="","",IFERROR(IF(INDEX(pr_rate,MATCH(B2253,pr_code,0))="","",INDEX(pr_rate,MATCH(B2253,pr_code,0))),""))))</f>
        <v/>
      </c>
      <c r="L2253" s="65" t="str">
        <f>IF(COUNTA(A2253:G2253)=0,"",IF(AND(ISNUMBER(D2253),ISNUMBER(J2253)),ROUND(D2253*J2253*(1-N(F2253)),2),0))</f>
        <v/>
      </c>
      <c r="M2253" s="62" t="str">
        <f>IF(A2253="","",IFERROR(INDEX(fa_cname,MATCH(A2253,fa_num,0))&amp;"",""))</f>
        <v/>
      </c>
      <c r="N2253" s="59" t="str">
        <f>IF(COUNTA(A2253:G2253)=0,"",IF(A2253="","N° facture manquant",IF(ISNA(MATCH(A2253,fa_num,0)),"Facture inconnue",IF(AND(B2253&lt;&gt;"",ISNA(MATCH(B2253,pr_code,0))),"Article inconnu",IF(H2253="","Désignation manquante",IF(OR(NOT(ISNUMBER(D2253)),N(D2253)&lt;=0),"Quantité invalide",IF(J2253="","Prix manquant",IF(OR(NOT(ISNUMBER(J2253)),N(J2253)&lt;0),"Prix invalide",IF(OR(AND(F2253&lt;&gt;"",NOT(ISNUMBER(F2253))),N(F2253)&lt;0,N(F2253)&gt;1),"Remise invalide",IF(K2253="","Taux de TVA manquant",IF(NOT(ISNUMBER(K2253)),"Taux de TVA invalide",IF(COUNTIF(p_rates,K2253)=0,"Taux de TVA hors liste (Paramètres)",IF(N(O2253)&gt;25,"Au-delà de 25 lignes : non imprimée","OK")))))))))))))</f>
        <v/>
      </c>
      <c r="O2253" s="59" t="str">
        <f>IF(A2253="","",COUNTIF($A$6:A2253,A2253))</f>
        <v/>
      </c>
      <c r="P2253" s="62" t="str">
        <f>IF(A2253="","",A2253&amp;"|"&amp;O2253)</f>
        <v/>
      </c>
    </row>
    <row r="2254">
      <c r="A2254" s="60" t="n"/>
      <c r="B2254" s="63" t="n"/>
      <c r="C2254" s="63" t="n"/>
      <c r="D2254" s="67" t="n"/>
      <c r="E2254" s="68" t="n"/>
      <c r="F2254" s="69" t="n"/>
      <c r="G2254" s="70" t="n"/>
      <c r="H2254" s="62" t="str">
        <f>IF(COUNTA(A2254:G2254)=0,"",IF(C2254&lt;&gt;"",C2254,IF(B2254="","",IFERROR(INDEX(pr_des,MATCH(B2254,pr_code,0))&amp;"",""))))</f>
        <v/>
      </c>
      <c r="I2254" s="59" t="str">
        <f>IF(B2254="","",IFERROR(INDEX(pr_unit,MATCH(B2254,pr_code,0))&amp;"",""))</f>
        <v/>
      </c>
      <c r="J2254" s="65" t="str">
        <f>IF(COUNTA(A2254:G2254)=0,"",IF(E2254&lt;&gt;"",E2254,IF(B2254="","",IFERROR(IF(INDEX(pr_price,MATCH(B2254,pr_code,0))="","",INDEX(pr_price,MATCH(B2254,pr_code,0))),""))))</f>
        <v/>
      </c>
      <c r="K2254" s="71" t="str">
        <f>IF(COUNTA(A2254:G2254)=0,"",IF(G2254&lt;&gt;"",G2254,IF(B2254="","",IFERROR(IF(INDEX(pr_rate,MATCH(B2254,pr_code,0))="","",INDEX(pr_rate,MATCH(B2254,pr_code,0))),""))))</f>
        <v/>
      </c>
      <c r="L2254" s="65" t="str">
        <f>IF(COUNTA(A2254:G2254)=0,"",IF(AND(ISNUMBER(D2254),ISNUMBER(J2254)),ROUND(D2254*J2254*(1-N(F2254)),2),0))</f>
        <v/>
      </c>
      <c r="M2254" s="62" t="str">
        <f>IF(A2254="","",IFERROR(INDEX(fa_cname,MATCH(A2254,fa_num,0))&amp;"",""))</f>
        <v/>
      </c>
      <c r="N2254" s="59" t="str">
        <f>IF(COUNTA(A2254:G2254)=0,"",IF(A2254="","N° facture manquant",IF(ISNA(MATCH(A2254,fa_num,0)),"Facture inconnue",IF(AND(B2254&lt;&gt;"",ISNA(MATCH(B2254,pr_code,0))),"Article inconnu",IF(H2254="","Désignation manquante",IF(OR(NOT(ISNUMBER(D2254)),N(D2254)&lt;=0),"Quantité invalide",IF(J2254="","Prix manquant",IF(OR(NOT(ISNUMBER(J2254)),N(J2254)&lt;0),"Prix invalide",IF(OR(AND(F2254&lt;&gt;"",NOT(ISNUMBER(F2254))),N(F2254)&lt;0,N(F2254)&gt;1),"Remise invalide",IF(K2254="","Taux de TVA manquant",IF(NOT(ISNUMBER(K2254)),"Taux de TVA invalide",IF(COUNTIF(p_rates,K2254)=0,"Taux de TVA hors liste (Paramètres)",IF(N(O2254)&gt;25,"Au-delà de 25 lignes : non imprimée","OK")))))))))))))</f>
        <v/>
      </c>
      <c r="O2254" s="59" t="str">
        <f>IF(A2254="","",COUNTIF($A$6:A2254,A2254))</f>
        <v/>
      </c>
      <c r="P2254" s="62" t="str">
        <f>IF(A2254="","",A2254&amp;"|"&amp;O2254)</f>
        <v/>
      </c>
    </row>
    <row r="2255">
      <c r="A2255" s="60" t="n"/>
      <c r="B2255" s="63" t="n"/>
      <c r="C2255" s="63" t="n"/>
      <c r="D2255" s="67" t="n"/>
      <c r="E2255" s="68" t="n"/>
      <c r="F2255" s="69" t="n"/>
      <c r="G2255" s="70" t="n"/>
      <c r="H2255" s="62" t="str">
        <f>IF(COUNTA(A2255:G2255)=0,"",IF(C2255&lt;&gt;"",C2255,IF(B2255="","",IFERROR(INDEX(pr_des,MATCH(B2255,pr_code,0))&amp;"",""))))</f>
        <v/>
      </c>
      <c r="I2255" s="59" t="str">
        <f>IF(B2255="","",IFERROR(INDEX(pr_unit,MATCH(B2255,pr_code,0))&amp;"",""))</f>
        <v/>
      </c>
      <c r="J2255" s="65" t="str">
        <f>IF(COUNTA(A2255:G2255)=0,"",IF(E2255&lt;&gt;"",E2255,IF(B2255="","",IFERROR(IF(INDEX(pr_price,MATCH(B2255,pr_code,0))="","",INDEX(pr_price,MATCH(B2255,pr_code,0))),""))))</f>
        <v/>
      </c>
      <c r="K2255" s="71" t="str">
        <f>IF(COUNTA(A2255:G2255)=0,"",IF(G2255&lt;&gt;"",G2255,IF(B2255="","",IFERROR(IF(INDEX(pr_rate,MATCH(B2255,pr_code,0))="","",INDEX(pr_rate,MATCH(B2255,pr_code,0))),""))))</f>
        <v/>
      </c>
      <c r="L2255" s="65" t="str">
        <f>IF(COUNTA(A2255:G2255)=0,"",IF(AND(ISNUMBER(D2255),ISNUMBER(J2255)),ROUND(D2255*J2255*(1-N(F2255)),2),0))</f>
        <v/>
      </c>
      <c r="M2255" s="62" t="str">
        <f>IF(A2255="","",IFERROR(INDEX(fa_cname,MATCH(A2255,fa_num,0))&amp;"",""))</f>
        <v/>
      </c>
      <c r="N2255" s="59" t="str">
        <f>IF(COUNTA(A2255:G2255)=0,"",IF(A2255="","N° facture manquant",IF(ISNA(MATCH(A2255,fa_num,0)),"Facture inconnue",IF(AND(B2255&lt;&gt;"",ISNA(MATCH(B2255,pr_code,0))),"Article inconnu",IF(H2255="","Désignation manquante",IF(OR(NOT(ISNUMBER(D2255)),N(D2255)&lt;=0),"Quantité invalide",IF(J2255="","Prix manquant",IF(OR(NOT(ISNUMBER(J2255)),N(J2255)&lt;0),"Prix invalide",IF(OR(AND(F2255&lt;&gt;"",NOT(ISNUMBER(F2255))),N(F2255)&lt;0,N(F2255)&gt;1),"Remise invalide",IF(K2255="","Taux de TVA manquant",IF(NOT(ISNUMBER(K2255)),"Taux de TVA invalide",IF(COUNTIF(p_rates,K2255)=0,"Taux de TVA hors liste (Paramètres)",IF(N(O2255)&gt;25,"Au-delà de 25 lignes : non imprimée","OK")))))))))))))</f>
        <v/>
      </c>
      <c r="O2255" s="59" t="str">
        <f>IF(A2255="","",COUNTIF($A$6:A2255,A2255))</f>
        <v/>
      </c>
      <c r="P2255" s="62" t="str">
        <f>IF(A2255="","",A2255&amp;"|"&amp;O2255)</f>
        <v/>
      </c>
    </row>
    <row r="2256">
      <c r="A2256" s="60" t="n"/>
      <c r="B2256" s="63" t="n"/>
      <c r="C2256" s="63" t="n"/>
      <c r="D2256" s="67" t="n"/>
      <c r="E2256" s="68" t="n"/>
      <c r="F2256" s="69" t="n"/>
      <c r="G2256" s="70" t="n"/>
      <c r="H2256" s="62" t="str">
        <f>IF(COUNTA(A2256:G2256)=0,"",IF(C2256&lt;&gt;"",C2256,IF(B2256="","",IFERROR(INDEX(pr_des,MATCH(B2256,pr_code,0))&amp;"",""))))</f>
        <v/>
      </c>
      <c r="I2256" s="59" t="str">
        <f>IF(B2256="","",IFERROR(INDEX(pr_unit,MATCH(B2256,pr_code,0))&amp;"",""))</f>
        <v/>
      </c>
      <c r="J2256" s="65" t="str">
        <f>IF(COUNTA(A2256:G2256)=0,"",IF(E2256&lt;&gt;"",E2256,IF(B2256="","",IFERROR(IF(INDEX(pr_price,MATCH(B2256,pr_code,0))="","",INDEX(pr_price,MATCH(B2256,pr_code,0))),""))))</f>
        <v/>
      </c>
      <c r="K2256" s="71" t="str">
        <f>IF(COUNTA(A2256:G2256)=0,"",IF(G2256&lt;&gt;"",G2256,IF(B2256="","",IFERROR(IF(INDEX(pr_rate,MATCH(B2256,pr_code,0))="","",INDEX(pr_rate,MATCH(B2256,pr_code,0))),""))))</f>
        <v/>
      </c>
      <c r="L2256" s="65" t="str">
        <f>IF(COUNTA(A2256:G2256)=0,"",IF(AND(ISNUMBER(D2256),ISNUMBER(J2256)),ROUND(D2256*J2256*(1-N(F2256)),2),0))</f>
        <v/>
      </c>
      <c r="M2256" s="62" t="str">
        <f>IF(A2256="","",IFERROR(INDEX(fa_cname,MATCH(A2256,fa_num,0))&amp;"",""))</f>
        <v/>
      </c>
      <c r="N2256" s="59" t="str">
        <f>IF(COUNTA(A2256:G2256)=0,"",IF(A2256="","N° facture manquant",IF(ISNA(MATCH(A2256,fa_num,0)),"Facture inconnue",IF(AND(B2256&lt;&gt;"",ISNA(MATCH(B2256,pr_code,0))),"Article inconnu",IF(H2256="","Désignation manquante",IF(OR(NOT(ISNUMBER(D2256)),N(D2256)&lt;=0),"Quantité invalide",IF(J2256="","Prix manquant",IF(OR(NOT(ISNUMBER(J2256)),N(J2256)&lt;0),"Prix invalide",IF(OR(AND(F2256&lt;&gt;"",NOT(ISNUMBER(F2256))),N(F2256)&lt;0,N(F2256)&gt;1),"Remise invalide",IF(K2256="","Taux de TVA manquant",IF(NOT(ISNUMBER(K2256)),"Taux de TVA invalide",IF(COUNTIF(p_rates,K2256)=0,"Taux de TVA hors liste (Paramètres)",IF(N(O2256)&gt;25,"Au-delà de 25 lignes : non imprimée","OK")))))))))))))</f>
        <v/>
      </c>
      <c r="O2256" s="59" t="str">
        <f>IF(A2256="","",COUNTIF($A$6:A2256,A2256))</f>
        <v/>
      </c>
      <c r="P2256" s="62" t="str">
        <f>IF(A2256="","",A2256&amp;"|"&amp;O2256)</f>
        <v/>
      </c>
    </row>
    <row r="2257">
      <c r="A2257" s="60" t="n"/>
      <c r="B2257" s="63" t="n"/>
      <c r="C2257" s="63" t="n"/>
      <c r="D2257" s="67" t="n"/>
      <c r="E2257" s="68" t="n"/>
      <c r="F2257" s="69" t="n"/>
      <c r="G2257" s="70" t="n"/>
      <c r="H2257" s="62" t="str">
        <f>IF(COUNTA(A2257:G2257)=0,"",IF(C2257&lt;&gt;"",C2257,IF(B2257="","",IFERROR(INDEX(pr_des,MATCH(B2257,pr_code,0))&amp;"",""))))</f>
        <v/>
      </c>
      <c r="I2257" s="59" t="str">
        <f>IF(B2257="","",IFERROR(INDEX(pr_unit,MATCH(B2257,pr_code,0))&amp;"",""))</f>
        <v/>
      </c>
      <c r="J2257" s="65" t="str">
        <f>IF(COUNTA(A2257:G2257)=0,"",IF(E2257&lt;&gt;"",E2257,IF(B2257="","",IFERROR(IF(INDEX(pr_price,MATCH(B2257,pr_code,0))="","",INDEX(pr_price,MATCH(B2257,pr_code,0))),""))))</f>
        <v/>
      </c>
      <c r="K2257" s="71" t="str">
        <f>IF(COUNTA(A2257:G2257)=0,"",IF(G2257&lt;&gt;"",G2257,IF(B2257="","",IFERROR(IF(INDEX(pr_rate,MATCH(B2257,pr_code,0))="","",INDEX(pr_rate,MATCH(B2257,pr_code,0))),""))))</f>
        <v/>
      </c>
      <c r="L2257" s="65" t="str">
        <f>IF(COUNTA(A2257:G2257)=0,"",IF(AND(ISNUMBER(D2257),ISNUMBER(J2257)),ROUND(D2257*J2257*(1-N(F2257)),2),0))</f>
        <v/>
      </c>
      <c r="M2257" s="62" t="str">
        <f>IF(A2257="","",IFERROR(INDEX(fa_cname,MATCH(A2257,fa_num,0))&amp;"",""))</f>
        <v/>
      </c>
      <c r="N2257" s="59" t="str">
        <f>IF(COUNTA(A2257:G2257)=0,"",IF(A2257="","N° facture manquant",IF(ISNA(MATCH(A2257,fa_num,0)),"Facture inconnue",IF(AND(B2257&lt;&gt;"",ISNA(MATCH(B2257,pr_code,0))),"Article inconnu",IF(H2257="","Désignation manquante",IF(OR(NOT(ISNUMBER(D2257)),N(D2257)&lt;=0),"Quantité invalide",IF(J2257="","Prix manquant",IF(OR(NOT(ISNUMBER(J2257)),N(J2257)&lt;0),"Prix invalide",IF(OR(AND(F2257&lt;&gt;"",NOT(ISNUMBER(F2257))),N(F2257)&lt;0,N(F2257)&gt;1),"Remise invalide",IF(K2257="","Taux de TVA manquant",IF(NOT(ISNUMBER(K2257)),"Taux de TVA invalide",IF(COUNTIF(p_rates,K2257)=0,"Taux de TVA hors liste (Paramètres)",IF(N(O2257)&gt;25,"Au-delà de 25 lignes : non imprimée","OK")))))))))))))</f>
        <v/>
      </c>
      <c r="O2257" s="59" t="str">
        <f>IF(A2257="","",COUNTIF($A$6:A2257,A2257))</f>
        <v/>
      </c>
      <c r="P2257" s="62" t="str">
        <f>IF(A2257="","",A2257&amp;"|"&amp;O2257)</f>
        <v/>
      </c>
    </row>
    <row r="2258">
      <c r="A2258" s="60" t="n"/>
      <c r="B2258" s="63" t="n"/>
      <c r="C2258" s="63" t="n"/>
      <c r="D2258" s="67" t="n"/>
      <c r="E2258" s="68" t="n"/>
      <c r="F2258" s="69" t="n"/>
      <c r="G2258" s="70" t="n"/>
      <c r="H2258" s="62" t="str">
        <f>IF(COUNTA(A2258:G2258)=0,"",IF(C2258&lt;&gt;"",C2258,IF(B2258="","",IFERROR(INDEX(pr_des,MATCH(B2258,pr_code,0))&amp;"",""))))</f>
        <v/>
      </c>
      <c r="I2258" s="59" t="str">
        <f>IF(B2258="","",IFERROR(INDEX(pr_unit,MATCH(B2258,pr_code,0))&amp;"",""))</f>
        <v/>
      </c>
      <c r="J2258" s="65" t="str">
        <f>IF(COUNTA(A2258:G2258)=0,"",IF(E2258&lt;&gt;"",E2258,IF(B2258="","",IFERROR(IF(INDEX(pr_price,MATCH(B2258,pr_code,0))="","",INDEX(pr_price,MATCH(B2258,pr_code,0))),""))))</f>
        <v/>
      </c>
      <c r="K2258" s="71" t="str">
        <f>IF(COUNTA(A2258:G2258)=0,"",IF(G2258&lt;&gt;"",G2258,IF(B2258="","",IFERROR(IF(INDEX(pr_rate,MATCH(B2258,pr_code,0))="","",INDEX(pr_rate,MATCH(B2258,pr_code,0))),""))))</f>
        <v/>
      </c>
      <c r="L2258" s="65" t="str">
        <f>IF(COUNTA(A2258:G2258)=0,"",IF(AND(ISNUMBER(D2258),ISNUMBER(J2258)),ROUND(D2258*J2258*(1-N(F2258)),2),0))</f>
        <v/>
      </c>
      <c r="M2258" s="62" t="str">
        <f>IF(A2258="","",IFERROR(INDEX(fa_cname,MATCH(A2258,fa_num,0))&amp;"",""))</f>
        <v/>
      </c>
      <c r="N2258" s="59" t="str">
        <f>IF(COUNTA(A2258:G2258)=0,"",IF(A2258="","N° facture manquant",IF(ISNA(MATCH(A2258,fa_num,0)),"Facture inconnue",IF(AND(B2258&lt;&gt;"",ISNA(MATCH(B2258,pr_code,0))),"Article inconnu",IF(H2258="","Désignation manquante",IF(OR(NOT(ISNUMBER(D2258)),N(D2258)&lt;=0),"Quantité invalide",IF(J2258="","Prix manquant",IF(OR(NOT(ISNUMBER(J2258)),N(J2258)&lt;0),"Prix invalide",IF(OR(AND(F2258&lt;&gt;"",NOT(ISNUMBER(F2258))),N(F2258)&lt;0,N(F2258)&gt;1),"Remise invalide",IF(K2258="","Taux de TVA manquant",IF(NOT(ISNUMBER(K2258)),"Taux de TVA invalide",IF(COUNTIF(p_rates,K2258)=0,"Taux de TVA hors liste (Paramètres)",IF(N(O2258)&gt;25,"Au-delà de 25 lignes : non imprimée","OK")))))))))))))</f>
        <v/>
      </c>
      <c r="O2258" s="59" t="str">
        <f>IF(A2258="","",COUNTIF($A$6:A2258,A2258))</f>
        <v/>
      </c>
      <c r="P2258" s="62" t="str">
        <f>IF(A2258="","",A2258&amp;"|"&amp;O2258)</f>
        <v/>
      </c>
    </row>
    <row r="2259">
      <c r="A2259" s="60" t="n"/>
      <c r="B2259" s="63" t="n"/>
      <c r="C2259" s="63" t="n"/>
      <c r="D2259" s="67" t="n"/>
      <c r="E2259" s="68" t="n"/>
      <c r="F2259" s="69" t="n"/>
      <c r="G2259" s="70" t="n"/>
      <c r="H2259" s="62" t="str">
        <f>IF(COUNTA(A2259:G2259)=0,"",IF(C2259&lt;&gt;"",C2259,IF(B2259="","",IFERROR(INDEX(pr_des,MATCH(B2259,pr_code,0))&amp;"",""))))</f>
        <v/>
      </c>
      <c r="I2259" s="59" t="str">
        <f>IF(B2259="","",IFERROR(INDEX(pr_unit,MATCH(B2259,pr_code,0))&amp;"",""))</f>
        <v/>
      </c>
      <c r="J2259" s="65" t="str">
        <f>IF(COUNTA(A2259:G2259)=0,"",IF(E2259&lt;&gt;"",E2259,IF(B2259="","",IFERROR(IF(INDEX(pr_price,MATCH(B2259,pr_code,0))="","",INDEX(pr_price,MATCH(B2259,pr_code,0))),""))))</f>
        <v/>
      </c>
      <c r="K2259" s="71" t="str">
        <f>IF(COUNTA(A2259:G2259)=0,"",IF(G2259&lt;&gt;"",G2259,IF(B2259="","",IFERROR(IF(INDEX(pr_rate,MATCH(B2259,pr_code,0))="","",INDEX(pr_rate,MATCH(B2259,pr_code,0))),""))))</f>
        <v/>
      </c>
      <c r="L2259" s="65" t="str">
        <f>IF(COUNTA(A2259:G2259)=0,"",IF(AND(ISNUMBER(D2259),ISNUMBER(J2259)),ROUND(D2259*J2259*(1-N(F2259)),2),0))</f>
        <v/>
      </c>
      <c r="M2259" s="62" t="str">
        <f>IF(A2259="","",IFERROR(INDEX(fa_cname,MATCH(A2259,fa_num,0))&amp;"",""))</f>
        <v/>
      </c>
      <c r="N2259" s="59" t="str">
        <f>IF(COUNTA(A2259:G2259)=0,"",IF(A2259="","N° facture manquant",IF(ISNA(MATCH(A2259,fa_num,0)),"Facture inconnue",IF(AND(B2259&lt;&gt;"",ISNA(MATCH(B2259,pr_code,0))),"Article inconnu",IF(H2259="","Désignation manquante",IF(OR(NOT(ISNUMBER(D2259)),N(D2259)&lt;=0),"Quantité invalide",IF(J2259="","Prix manquant",IF(OR(NOT(ISNUMBER(J2259)),N(J2259)&lt;0),"Prix invalide",IF(OR(AND(F2259&lt;&gt;"",NOT(ISNUMBER(F2259))),N(F2259)&lt;0,N(F2259)&gt;1),"Remise invalide",IF(K2259="","Taux de TVA manquant",IF(NOT(ISNUMBER(K2259)),"Taux de TVA invalide",IF(COUNTIF(p_rates,K2259)=0,"Taux de TVA hors liste (Paramètres)",IF(N(O2259)&gt;25,"Au-delà de 25 lignes : non imprimée","OK")))))))))))))</f>
        <v/>
      </c>
      <c r="O2259" s="59" t="str">
        <f>IF(A2259="","",COUNTIF($A$6:A2259,A2259))</f>
        <v/>
      </c>
      <c r="P2259" s="62" t="str">
        <f>IF(A2259="","",A2259&amp;"|"&amp;O2259)</f>
        <v/>
      </c>
    </row>
    <row r="2260">
      <c r="A2260" s="60" t="n"/>
      <c r="B2260" s="63" t="n"/>
      <c r="C2260" s="63" t="n"/>
      <c r="D2260" s="67" t="n"/>
      <c r="E2260" s="68" t="n"/>
      <c r="F2260" s="69" t="n"/>
      <c r="G2260" s="70" t="n"/>
      <c r="H2260" s="62" t="str">
        <f>IF(COUNTA(A2260:G2260)=0,"",IF(C2260&lt;&gt;"",C2260,IF(B2260="","",IFERROR(INDEX(pr_des,MATCH(B2260,pr_code,0))&amp;"",""))))</f>
        <v/>
      </c>
      <c r="I2260" s="59" t="str">
        <f>IF(B2260="","",IFERROR(INDEX(pr_unit,MATCH(B2260,pr_code,0))&amp;"",""))</f>
        <v/>
      </c>
      <c r="J2260" s="65" t="str">
        <f>IF(COUNTA(A2260:G2260)=0,"",IF(E2260&lt;&gt;"",E2260,IF(B2260="","",IFERROR(IF(INDEX(pr_price,MATCH(B2260,pr_code,0))="","",INDEX(pr_price,MATCH(B2260,pr_code,0))),""))))</f>
        <v/>
      </c>
      <c r="K2260" s="71" t="str">
        <f>IF(COUNTA(A2260:G2260)=0,"",IF(G2260&lt;&gt;"",G2260,IF(B2260="","",IFERROR(IF(INDEX(pr_rate,MATCH(B2260,pr_code,0))="","",INDEX(pr_rate,MATCH(B2260,pr_code,0))),""))))</f>
        <v/>
      </c>
      <c r="L2260" s="65" t="str">
        <f>IF(COUNTA(A2260:G2260)=0,"",IF(AND(ISNUMBER(D2260),ISNUMBER(J2260)),ROUND(D2260*J2260*(1-N(F2260)),2),0))</f>
        <v/>
      </c>
      <c r="M2260" s="62" t="str">
        <f>IF(A2260="","",IFERROR(INDEX(fa_cname,MATCH(A2260,fa_num,0))&amp;"",""))</f>
        <v/>
      </c>
      <c r="N2260" s="59" t="str">
        <f>IF(COUNTA(A2260:G2260)=0,"",IF(A2260="","N° facture manquant",IF(ISNA(MATCH(A2260,fa_num,0)),"Facture inconnue",IF(AND(B2260&lt;&gt;"",ISNA(MATCH(B2260,pr_code,0))),"Article inconnu",IF(H2260="","Désignation manquante",IF(OR(NOT(ISNUMBER(D2260)),N(D2260)&lt;=0),"Quantité invalide",IF(J2260="","Prix manquant",IF(OR(NOT(ISNUMBER(J2260)),N(J2260)&lt;0),"Prix invalide",IF(OR(AND(F2260&lt;&gt;"",NOT(ISNUMBER(F2260))),N(F2260)&lt;0,N(F2260)&gt;1),"Remise invalide",IF(K2260="","Taux de TVA manquant",IF(NOT(ISNUMBER(K2260)),"Taux de TVA invalide",IF(COUNTIF(p_rates,K2260)=0,"Taux de TVA hors liste (Paramètres)",IF(N(O2260)&gt;25,"Au-delà de 25 lignes : non imprimée","OK")))))))))))))</f>
        <v/>
      </c>
      <c r="O2260" s="59" t="str">
        <f>IF(A2260="","",COUNTIF($A$6:A2260,A2260))</f>
        <v/>
      </c>
      <c r="P2260" s="62" t="str">
        <f>IF(A2260="","",A2260&amp;"|"&amp;O2260)</f>
        <v/>
      </c>
    </row>
    <row r="2261">
      <c r="A2261" s="60" t="n"/>
      <c r="B2261" s="63" t="n"/>
      <c r="C2261" s="63" t="n"/>
      <c r="D2261" s="67" t="n"/>
      <c r="E2261" s="68" t="n"/>
      <c r="F2261" s="69" t="n"/>
      <c r="G2261" s="70" t="n"/>
      <c r="H2261" s="62" t="str">
        <f>IF(COUNTA(A2261:G2261)=0,"",IF(C2261&lt;&gt;"",C2261,IF(B2261="","",IFERROR(INDEX(pr_des,MATCH(B2261,pr_code,0))&amp;"",""))))</f>
        <v/>
      </c>
      <c r="I2261" s="59" t="str">
        <f>IF(B2261="","",IFERROR(INDEX(pr_unit,MATCH(B2261,pr_code,0))&amp;"",""))</f>
        <v/>
      </c>
      <c r="J2261" s="65" t="str">
        <f>IF(COUNTA(A2261:G2261)=0,"",IF(E2261&lt;&gt;"",E2261,IF(B2261="","",IFERROR(IF(INDEX(pr_price,MATCH(B2261,pr_code,0))="","",INDEX(pr_price,MATCH(B2261,pr_code,0))),""))))</f>
        <v/>
      </c>
      <c r="K2261" s="71" t="str">
        <f>IF(COUNTA(A2261:G2261)=0,"",IF(G2261&lt;&gt;"",G2261,IF(B2261="","",IFERROR(IF(INDEX(pr_rate,MATCH(B2261,pr_code,0))="","",INDEX(pr_rate,MATCH(B2261,pr_code,0))),""))))</f>
        <v/>
      </c>
      <c r="L2261" s="65" t="str">
        <f>IF(COUNTA(A2261:G2261)=0,"",IF(AND(ISNUMBER(D2261),ISNUMBER(J2261)),ROUND(D2261*J2261*(1-N(F2261)),2),0))</f>
        <v/>
      </c>
      <c r="M2261" s="62" t="str">
        <f>IF(A2261="","",IFERROR(INDEX(fa_cname,MATCH(A2261,fa_num,0))&amp;"",""))</f>
        <v/>
      </c>
      <c r="N2261" s="59" t="str">
        <f>IF(COUNTA(A2261:G2261)=0,"",IF(A2261="","N° facture manquant",IF(ISNA(MATCH(A2261,fa_num,0)),"Facture inconnue",IF(AND(B2261&lt;&gt;"",ISNA(MATCH(B2261,pr_code,0))),"Article inconnu",IF(H2261="","Désignation manquante",IF(OR(NOT(ISNUMBER(D2261)),N(D2261)&lt;=0),"Quantité invalide",IF(J2261="","Prix manquant",IF(OR(NOT(ISNUMBER(J2261)),N(J2261)&lt;0),"Prix invalide",IF(OR(AND(F2261&lt;&gt;"",NOT(ISNUMBER(F2261))),N(F2261)&lt;0,N(F2261)&gt;1),"Remise invalide",IF(K2261="","Taux de TVA manquant",IF(NOT(ISNUMBER(K2261)),"Taux de TVA invalide",IF(COUNTIF(p_rates,K2261)=0,"Taux de TVA hors liste (Paramètres)",IF(N(O2261)&gt;25,"Au-delà de 25 lignes : non imprimée","OK")))))))))))))</f>
        <v/>
      </c>
      <c r="O2261" s="59" t="str">
        <f>IF(A2261="","",COUNTIF($A$6:A2261,A2261))</f>
        <v/>
      </c>
      <c r="P2261" s="62" t="str">
        <f>IF(A2261="","",A2261&amp;"|"&amp;O2261)</f>
        <v/>
      </c>
    </row>
    <row r="2262">
      <c r="A2262" s="60" t="n"/>
      <c r="B2262" s="63" t="n"/>
      <c r="C2262" s="63" t="n"/>
      <c r="D2262" s="67" t="n"/>
      <c r="E2262" s="68" t="n"/>
      <c r="F2262" s="69" t="n"/>
      <c r="G2262" s="70" t="n"/>
      <c r="H2262" s="62" t="str">
        <f>IF(COUNTA(A2262:G2262)=0,"",IF(C2262&lt;&gt;"",C2262,IF(B2262="","",IFERROR(INDEX(pr_des,MATCH(B2262,pr_code,0))&amp;"",""))))</f>
        <v/>
      </c>
      <c r="I2262" s="59" t="str">
        <f>IF(B2262="","",IFERROR(INDEX(pr_unit,MATCH(B2262,pr_code,0))&amp;"",""))</f>
        <v/>
      </c>
      <c r="J2262" s="65" t="str">
        <f>IF(COUNTA(A2262:G2262)=0,"",IF(E2262&lt;&gt;"",E2262,IF(B2262="","",IFERROR(IF(INDEX(pr_price,MATCH(B2262,pr_code,0))="","",INDEX(pr_price,MATCH(B2262,pr_code,0))),""))))</f>
        <v/>
      </c>
      <c r="K2262" s="71" t="str">
        <f>IF(COUNTA(A2262:G2262)=0,"",IF(G2262&lt;&gt;"",G2262,IF(B2262="","",IFERROR(IF(INDEX(pr_rate,MATCH(B2262,pr_code,0))="","",INDEX(pr_rate,MATCH(B2262,pr_code,0))),""))))</f>
        <v/>
      </c>
      <c r="L2262" s="65" t="str">
        <f>IF(COUNTA(A2262:G2262)=0,"",IF(AND(ISNUMBER(D2262),ISNUMBER(J2262)),ROUND(D2262*J2262*(1-N(F2262)),2),0))</f>
        <v/>
      </c>
      <c r="M2262" s="62" t="str">
        <f>IF(A2262="","",IFERROR(INDEX(fa_cname,MATCH(A2262,fa_num,0))&amp;"",""))</f>
        <v/>
      </c>
      <c r="N2262" s="59" t="str">
        <f>IF(COUNTA(A2262:G2262)=0,"",IF(A2262="","N° facture manquant",IF(ISNA(MATCH(A2262,fa_num,0)),"Facture inconnue",IF(AND(B2262&lt;&gt;"",ISNA(MATCH(B2262,pr_code,0))),"Article inconnu",IF(H2262="","Désignation manquante",IF(OR(NOT(ISNUMBER(D2262)),N(D2262)&lt;=0),"Quantité invalide",IF(J2262="","Prix manquant",IF(OR(NOT(ISNUMBER(J2262)),N(J2262)&lt;0),"Prix invalide",IF(OR(AND(F2262&lt;&gt;"",NOT(ISNUMBER(F2262))),N(F2262)&lt;0,N(F2262)&gt;1),"Remise invalide",IF(K2262="","Taux de TVA manquant",IF(NOT(ISNUMBER(K2262)),"Taux de TVA invalide",IF(COUNTIF(p_rates,K2262)=0,"Taux de TVA hors liste (Paramètres)",IF(N(O2262)&gt;25,"Au-delà de 25 lignes : non imprimée","OK")))))))))))))</f>
        <v/>
      </c>
      <c r="O2262" s="59" t="str">
        <f>IF(A2262="","",COUNTIF($A$6:A2262,A2262))</f>
        <v/>
      </c>
      <c r="P2262" s="62" t="str">
        <f>IF(A2262="","",A2262&amp;"|"&amp;O2262)</f>
        <v/>
      </c>
    </row>
    <row r="2263">
      <c r="A2263" s="60" t="n"/>
      <c r="B2263" s="63" t="n"/>
      <c r="C2263" s="63" t="n"/>
      <c r="D2263" s="67" t="n"/>
      <c r="E2263" s="68" t="n"/>
      <c r="F2263" s="69" t="n"/>
      <c r="G2263" s="70" t="n"/>
      <c r="H2263" s="62" t="str">
        <f>IF(COUNTA(A2263:G2263)=0,"",IF(C2263&lt;&gt;"",C2263,IF(B2263="","",IFERROR(INDEX(pr_des,MATCH(B2263,pr_code,0))&amp;"",""))))</f>
        <v/>
      </c>
      <c r="I2263" s="59" t="str">
        <f>IF(B2263="","",IFERROR(INDEX(pr_unit,MATCH(B2263,pr_code,0))&amp;"",""))</f>
        <v/>
      </c>
      <c r="J2263" s="65" t="str">
        <f>IF(COUNTA(A2263:G2263)=0,"",IF(E2263&lt;&gt;"",E2263,IF(B2263="","",IFERROR(IF(INDEX(pr_price,MATCH(B2263,pr_code,0))="","",INDEX(pr_price,MATCH(B2263,pr_code,0))),""))))</f>
        <v/>
      </c>
      <c r="K2263" s="71" t="str">
        <f>IF(COUNTA(A2263:G2263)=0,"",IF(G2263&lt;&gt;"",G2263,IF(B2263="","",IFERROR(IF(INDEX(pr_rate,MATCH(B2263,pr_code,0))="","",INDEX(pr_rate,MATCH(B2263,pr_code,0))),""))))</f>
        <v/>
      </c>
      <c r="L2263" s="65" t="str">
        <f>IF(COUNTA(A2263:G2263)=0,"",IF(AND(ISNUMBER(D2263),ISNUMBER(J2263)),ROUND(D2263*J2263*(1-N(F2263)),2),0))</f>
        <v/>
      </c>
      <c r="M2263" s="62" t="str">
        <f>IF(A2263="","",IFERROR(INDEX(fa_cname,MATCH(A2263,fa_num,0))&amp;"",""))</f>
        <v/>
      </c>
      <c r="N2263" s="59" t="str">
        <f>IF(COUNTA(A2263:G2263)=0,"",IF(A2263="","N° facture manquant",IF(ISNA(MATCH(A2263,fa_num,0)),"Facture inconnue",IF(AND(B2263&lt;&gt;"",ISNA(MATCH(B2263,pr_code,0))),"Article inconnu",IF(H2263="","Désignation manquante",IF(OR(NOT(ISNUMBER(D2263)),N(D2263)&lt;=0),"Quantité invalide",IF(J2263="","Prix manquant",IF(OR(NOT(ISNUMBER(J2263)),N(J2263)&lt;0),"Prix invalide",IF(OR(AND(F2263&lt;&gt;"",NOT(ISNUMBER(F2263))),N(F2263)&lt;0,N(F2263)&gt;1),"Remise invalide",IF(K2263="","Taux de TVA manquant",IF(NOT(ISNUMBER(K2263)),"Taux de TVA invalide",IF(COUNTIF(p_rates,K2263)=0,"Taux de TVA hors liste (Paramètres)",IF(N(O2263)&gt;25,"Au-delà de 25 lignes : non imprimée","OK")))))))))))))</f>
        <v/>
      </c>
      <c r="O2263" s="59" t="str">
        <f>IF(A2263="","",COUNTIF($A$6:A2263,A2263))</f>
        <v/>
      </c>
      <c r="P2263" s="62" t="str">
        <f>IF(A2263="","",A2263&amp;"|"&amp;O2263)</f>
        <v/>
      </c>
    </row>
    <row r="2264">
      <c r="A2264" s="60" t="n"/>
      <c r="B2264" s="63" t="n"/>
      <c r="C2264" s="63" t="n"/>
      <c r="D2264" s="67" t="n"/>
      <c r="E2264" s="68" t="n"/>
      <c r="F2264" s="69" t="n"/>
      <c r="G2264" s="70" t="n"/>
      <c r="H2264" s="62" t="str">
        <f>IF(COUNTA(A2264:G2264)=0,"",IF(C2264&lt;&gt;"",C2264,IF(B2264="","",IFERROR(INDEX(pr_des,MATCH(B2264,pr_code,0))&amp;"",""))))</f>
        <v/>
      </c>
      <c r="I2264" s="59" t="str">
        <f>IF(B2264="","",IFERROR(INDEX(pr_unit,MATCH(B2264,pr_code,0))&amp;"",""))</f>
        <v/>
      </c>
      <c r="J2264" s="65" t="str">
        <f>IF(COUNTA(A2264:G2264)=0,"",IF(E2264&lt;&gt;"",E2264,IF(B2264="","",IFERROR(IF(INDEX(pr_price,MATCH(B2264,pr_code,0))="","",INDEX(pr_price,MATCH(B2264,pr_code,0))),""))))</f>
        <v/>
      </c>
      <c r="K2264" s="71" t="str">
        <f>IF(COUNTA(A2264:G2264)=0,"",IF(G2264&lt;&gt;"",G2264,IF(B2264="","",IFERROR(IF(INDEX(pr_rate,MATCH(B2264,pr_code,0))="","",INDEX(pr_rate,MATCH(B2264,pr_code,0))),""))))</f>
        <v/>
      </c>
      <c r="L2264" s="65" t="str">
        <f>IF(COUNTA(A2264:G2264)=0,"",IF(AND(ISNUMBER(D2264),ISNUMBER(J2264)),ROUND(D2264*J2264*(1-N(F2264)),2),0))</f>
        <v/>
      </c>
      <c r="M2264" s="62" t="str">
        <f>IF(A2264="","",IFERROR(INDEX(fa_cname,MATCH(A2264,fa_num,0))&amp;"",""))</f>
        <v/>
      </c>
      <c r="N2264" s="59" t="str">
        <f>IF(COUNTA(A2264:G2264)=0,"",IF(A2264="","N° facture manquant",IF(ISNA(MATCH(A2264,fa_num,0)),"Facture inconnue",IF(AND(B2264&lt;&gt;"",ISNA(MATCH(B2264,pr_code,0))),"Article inconnu",IF(H2264="","Désignation manquante",IF(OR(NOT(ISNUMBER(D2264)),N(D2264)&lt;=0),"Quantité invalide",IF(J2264="","Prix manquant",IF(OR(NOT(ISNUMBER(J2264)),N(J2264)&lt;0),"Prix invalide",IF(OR(AND(F2264&lt;&gt;"",NOT(ISNUMBER(F2264))),N(F2264)&lt;0,N(F2264)&gt;1),"Remise invalide",IF(K2264="","Taux de TVA manquant",IF(NOT(ISNUMBER(K2264)),"Taux de TVA invalide",IF(COUNTIF(p_rates,K2264)=0,"Taux de TVA hors liste (Paramètres)",IF(N(O2264)&gt;25,"Au-delà de 25 lignes : non imprimée","OK")))))))))))))</f>
        <v/>
      </c>
      <c r="O2264" s="59" t="str">
        <f>IF(A2264="","",COUNTIF($A$6:A2264,A2264))</f>
        <v/>
      </c>
      <c r="P2264" s="62" t="str">
        <f>IF(A2264="","",A2264&amp;"|"&amp;O2264)</f>
        <v/>
      </c>
    </row>
    <row r="2265">
      <c r="A2265" s="60" t="n"/>
      <c r="B2265" s="63" t="n"/>
      <c r="C2265" s="63" t="n"/>
      <c r="D2265" s="67" t="n"/>
      <c r="E2265" s="68" t="n"/>
      <c r="F2265" s="69" t="n"/>
      <c r="G2265" s="70" t="n"/>
      <c r="H2265" s="62" t="str">
        <f>IF(COUNTA(A2265:G2265)=0,"",IF(C2265&lt;&gt;"",C2265,IF(B2265="","",IFERROR(INDEX(pr_des,MATCH(B2265,pr_code,0))&amp;"",""))))</f>
        <v/>
      </c>
      <c r="I2265" s="59" t="str">
        <f>IF(B2265="","",IFERROR(INDEX(pr_unit,MATCH(B2265,pr_code,0))&amp;"",""))</f>
        <v/>
      </c>
      <c r="J2265" s="65" t="str">
        <f>IF(COUNTA(A2265:G2265)=0,"",IF(E2265&lt;&gt;"",E2265,IF(B2265="","",IFERROR(IF(INDEX(pr_price,MATCH(B2265,pr_code,0))="","",INDEX(pr_price,MATCH(B2265,pr_code,0))),""))))</f>
        <v/>
      </c>
      <c r="K2265" s="71" t="str">
        <f>IF(COUNTA(A2265:G2265)=0,"",IF(G2265&lt;&gt;"",G2265,IF(B2265="","",IFERROR(IF(INDEX(pr_rate,MATCH(B2265,pr_code,0))="","",INDEX(pr_rate,MATCH(B2265,pr_code,0))),""))))</f>
        <v/>
      </c>
      <c r="L2265" s="65" t="str">
        <f>IF(COUNTA(A2265:G2265)=0,"",IF(AND(ISNUMBER(D2265),ISNUMBER(J2265)),ROUND(D2265*J2265*(1-N(F2265)),2),0))</f>
        <v/>
      </c>
      <c r="M2265" s="62" t="str">
        <f>IF(A2265="","",IFERROR(INDEX(fa_cname,MATCH(A2265,fa_num,0))&amp;"",""))</f>
        <v/>
      </c>
      <c r="N2265" s="59" t="str">
        <f>IF(COUNTA(A2265:G2265)=0,"",IF(A2265="","N° facture manquant",IF(ISNA(MATCH(A2265,fa_num,0)),"Facture inconnue",IF(AND(B2265&lt;&gt;"",ISNA(MATCH(B2265,pr_code,0))),"Article inconnu",IF(H2265="","Désignation manquante",IF(OR(NOT(ISNUMBER(D2265)),N(D2265)&lt;=0),"Quantité invalide",IF(J2265="","Prix manquant",IF(OR(NOT(ISNUMBER(J2265)),N(J2265)&lt;0),"Prix invalide",IF(OR(AND(F2265&lt;&gt;"",NOT(ISNUMBER(F2265))),N(F2265)&lt;0,N(F2265)&gt;1),"Remise invalide",IF(K2265="","Taux de TVA manquant",IF(NOT(ISNUMBER(K2265)),"Taux de TVA invalide",IF(COUNTIF(p_rates,K2265)=0,"Taux de TVA hors liste (Paramètres)",IF(N(O2265)&gt;25,"Au-delà de 25 lignes : non imprimée","OK")))))))))))))</f>
        <v/>
      </c>
      <c r="O2265" s="59" t="str">
        <f>IF(A2265="","",COUNTIF($A$6:A2265,A2265))</f>
        <v/>
      </c>
      <c r="P2265" s="62" t="str">
        <f>IF(A2265="","",A2265&amp;"|"&amp;O2265)</f>
        <v/>
      </c>
    </row>
    <row r="2266">
      <c r="A2266" s="60" t="n"/>
      <c r="B2266" s="63" t="n"/>
      <c r="C2266" s="63" t="n"/>
      <c r="D2266" s="67" t="n"/>
      <c r="E2266" s="68" t="n"/>
      <c r="F2266" s="69" t="n"/>
      <c r="G2266" s="70" t="n"/>
      <c r="H2266" s="62" t="str">
        <f>IF(COUNTA(A2266:G2266)=0,"",IF(C2266&lt;&gt;"",C2266,IF(B2266="","",IFERROR(INDEX(pr_des,MATCH(B2266,pr_code,0))&amp;"",""))))</f>
        <v/>
      </c>
      <c r="I2266" s="59" t="str">
        <f>IF(B2266="","",IFERROR(INDEX(pr_unit,MATCH(B2266,pr_code,0))&amp;"",""))</f>
        <v/>
      </c>
      <c r="J2266" s="65" t="str">
        <f>IF(COUNTA(A2266:G2266)=0,"",IF(E2266&lt;&gt;"",E2266,IF(B2266="","",IFERROR(IF(INDEX(pr_price,MATCH(B2266,pr_code,0))="","",INDEX(pr_price,MATCH(B2266,pr_code,0))),""))))</f>
        <v/>
      </c>
      <c r="K2266" s="71" t="str">
        <f>IF(COUNTA(A2266:G2266)=0,"",IF(G2266&lt;&gt;"",G2266,IF(B2266="","",IFERROR(IF(INDEX(pr_rate,MATCH(B2266,pr_code,0))="","",INDEX(pr_rate,MATCH(B2266,pr_code,0))),""))))</f>
        <v/>
      </c>
      <c r="L2266" s="65" t="str">
        <f>IF(COUNTA(A2266:G2266)=0,"",IF(AND(ISNUMBER(D2266),ISNUMBER(J2266)),ROUND(D2266*J2266*(1-N(F2266)),2),0))</f>
        <v/>
      </c>
      <c r="M2266" s="62" t="str">
        <f>IF(A2266="","",IFERROR(INDEX(fa_cname,MATCH(A2266,fa_num,0))&amp;"",""))</f>
        <v/>
      </c>
      <c r="N2266" s="59" t="str">
        <f>IF(COUNTA(A2266:G2266)=0,"",IF(A2266="","N° facture manquant",IF(ISNA(MATCH(A2266,fa_num,0)),"Facture inconnue",IF(AND(B2266&lt;&gt;"",ISNA(MATCH(B2266,pr_code,0))),"Article inconnu",IF(H2266="","Désignation manquante",IF(OR(NOT(ISNUMBER(D2266)),N(D2266)&lt;=0),"Quantité invalide",IF(J2266="","Prix manquant",IF(OR(NOT(ISNUMBER(J2266)),N(J2266)&lt;0),"Prix invalide",IF(OR(AND(F2266&lt;&gt;"",NOT(ISNUMBER(F2266))),N(F2266)&lt;0,N(F2266)&gt;1),"Remise invalide",IF(K2266="","Taux de TVA manquant",IF(NOT(ISNUMBER(K2266)),"Taux de TVA invalide",IF(COUNTIF(p_rates,K2266)=0,"Taux de TVA hors liste (Paramètres)",IF(N(O2266)&gt;25,"Au-delà de 25 lignes : non imprimée","OK")))))))))))))</f>
        <v/>
      </c>
      <c r="O2266" s="59" t="str">
        <f>IF(A2266="","",COUNTIF($A$6:A2266,A2266))</f>
        <v/>
      </c>
      <c r="P2266" s="62" t="str">
        <f>IF(A2266="","",A2266&amp;"|"&amp;O2266)</f>
        <v/>
      </c>
    </row>
    <row r="2267">
      <c r="A2267" s="60" t="n"/>
      <c r="B2267" s="63" t="n"/>
      <c r="C2267" s="63" t="n"/>
      <c r="D2267" s="67" t="n"/>
      <c r="E2267" s="68" t="n"/>
      <c r="F2267" s="69" t="n"/>
      <c r="G2267" s="70" t="n"/>
      <c r="H2267" s="62" t="str">
        <f>IF(COUNTA(A2267:G2267)=0,"",IF(C2267&lt;&gt;"",C2267,IF(B2267="","",IFERROR(INDEX(pr_des,MATCH(B2267,pr_code,0))&amp;"",""))))</f>
        <v/>
      </c>
      <c r="I2267" s="59" t="str">
        <f>IF(B2267="","",IFERROR(INDEX(pr_unit,MATCH(B2267,pr_code,0))&amp;"",""))</f>
        <v/>
      </c>
      <c r="J2267" s="65" t="str">
        <f>IF(COUNTA(A2267:G2267)=0,"",IF(E2267&lt;&gt;"",E2267,IF(B2267="","",IFERROR(IF(INDEX(pr_price,MATCH(B2267,pr_code,0))="","",INDEX(pr_price,MATCH(B2267,pr_code,0))),""))))</f>
        <v/>
      </c>
      <c r="K2267" s="71" t="str">
        <f>IF(COUNTA(A2267:G2267)=0,"",IF(G2267&lt;&gt;"",G2267,IF(B2267="","",IFERROR(IF(INDEX(pr_rate,MATCH(B2267,pr_code,0))="","",INDEX(pr_rate,MATCH(B2267,pr_code,0))),""))))</f>
        <v/>
      </c>
      <c r="L2267" s="65" t="str">
        <f>IF(COUNTA(A2267:G2267)=0,"",IF(AND(ISNUMBER(D2267),ISNUMBER(J2267)),ROUND(D2267*J2267*(1-N(F2267)),2),0))</f>
        <v/>
      </c>
      <c r="M2267" s="62" t="str">
        <f>IF(A2267="","",IFERROR(INDEX(fa_cname,MATCH(A2267,fa_num,0))&amp;"",""))</f>
        <v/>
      </c>
      <c r="N2267" s="59" t="str">
        <f>IF(COUNTA(A2267:G2267)=0,"",IF(A2267="","N° facture manquant",IF(ISNA(MATCH(A2267,fa_num,0)),"Facture inconnue",IF(AND(B2267&lt;&gt;"",ISNA(MATCH(B2267,pr_code,0))),"Article inconnu",IF(H2267="","Désignation manquante",IF(OR(NOT(ISNUMBER(D2267)),N(D2267)&lt;=0),"Quantité invalide",IF(J2267="","Prix manquant",IF(OR(NOT(ISNUMBER(J2267)),N(J2267)&lt;0),"Prix invalide",IF(OR(AND(F2267&lt;&gt;"",NOT(ISNUMBER(F2267))),N(F2267)&lt;0,N(F2267)&gt;1),"Remise invalide",IF(K2267="","Taux de TVA manquant",IF(NOT(ISNUMBER(K2267)),"Taux de TVA invalide",IF(COUNTIF(p_rates,K2267)=0,"Taux de TVA hors liste (Paramètres)",IF(N(O2267)&gt;25,"Au-delà de 25 lignes : non imprimée","OK")))))))))))))</f>
        <v/>
      </c>
      <c r="O2267" s="59" t="str">
        <f>IF(A2267="","",COUNTIF($A$6:A2267,A2267))</f>
        <v/>
      </c>
      <c r="P2267" s="62" t="str">
        <f>IF(A2267="","",A2267&amp;"|"&amp;O2267)</f>
        <v/>
      </c>
    </row>
    <row r="2268">
      <c r="A2268" s="60" t="n"/>
      <c r="B2268" s="63" t="n"/>
      <c r="C2268" s="63" t="n"/>
      <c r="D2268" s="67" t="n"/>
      <c r="E2268" s="68" t="n"/>
      <c r="F2268" s="69" t="n"/>
      <c r="G2268" s="70" t="n"/>
      <c r="H2268" s="62" t="str">
        <f>IF(COUNTA(A2268:G2268)=0,"",IF(C2268&lt;&gt;"",C2268,IF(B2268="","",IFERROR(INDEX(pr_des,MATCH(B2268,pr_code,0))&amp;"",""))))</f>
        <v/>
      </c>
      <c r="I2268" s="59" t="str">
        <f>IF(B2268="","",IFERROR(INDEX(pr_unit,MATCH(B2268,pr_code,0))&amp;"",""))</f>
        <v/>
      </c>
      <c r="J2268" s="65" t="str">
        <f>IF(COUNTA(A2268:G2268)=0,"",IF(E2268&lt;&gt;"",E2268,IF(B2268="","",IFERROR(IF(INDEX(pr_price,MATCH(B2268,pr_code,0))="","",INDEX(pr_price,MATCH(B2268,pr_code,0))),""))))</f>
        <v/>
      </c>
      <c r="K2268" s="71" t="str">
        <f>IF(COUNTA(A2268:G2268)=0,"",IF(G2268&lt;&gt;"",G2268,IF(B2268="","",IFERROR(IF(INDEX(pr_rate,MATCH(B2268,pr_code,0))="","",INDEX(pr_rate,MATCH(B2268,pr_code,0))),""))))</f>
        <v/>
      </c>
      <c r="L2268" s="65" t="str">
        <f>IF(COUNTA(A2268:G2268)=0,"",IF(AND(ISNUMBER(D2268),ISNUMBER(J2268)),ROUND(D2268*J2268*(1-N(F2268)),2),0))</f>
        <v/>
      </c>
      <c r="M2268" s="62" t="str">
        <f>IF(A2268="","",IFERROR(INDEX(fa_cname,MATCH(A2268,fa_num,0))&amp;"",""))</f>
        <v/>
      </c>
      <c r="N2268" s="59" t="str">
        <f>IF(COUNTA(A2268:G2268)=0,"",IF(A2268="","N° facture manquant",IF(ISNA(MATCH(A2268,fa_num,0)),"Facture inconnue",IF(AND(B2268&lt;&gt;"",ISNA(MATCH(B2268,pr_code,0))),"Article inconnu",IF(H2268="","Désignation manquante",IF(OR(NOT(ISNUMBER(D2268)),N(D2268)&lt;=0),"Quantité invalide",IF(J2268="","Prix manquant",IF(OR(NOT(ISNUMBER(J2268)),N(J2268)&lt;0),"Prix invalide",IF(OR(AND(F2268&lt;&gt;"",NOT(ISNUMBER(F2268))),N(F2268)&lt;0,N(F2268)&gt;1),"Remise invalide",IF(K2268="","Taux de TVA manquant",IF(NOT(ISNUMBER(K2268)),"Taux de TVA invalide",IF(COUNTIF(p_rates,K2268)=0,"Taux de TVA hors liste (Paramètres)",IF(N(O2268)&gt;25,"Au-delà de 25 lignes : non imprimée","OK")))))))))))))</f>
        <v/>
      </c>
      <c r="O2268" s="59" t="str">
        <f>IF(A2268="","",COUNTIF($A$6:A2268,A2268))</f>
        <v/>
      </c>
      <c r="P2268" s="62" t="str">
        <f>IF(A2268="","",A2268&amp;"|"&amp;O2268)</f>
        <v/>
      </c>
    </row>
    <row r="2269">
      <c r="A2269" s="60" t="n"/>
      <c r="B2269" s="63" t="n"/>
      <c r="C2269" s="63" t="n"/>
      <c r="D2269" s="67" t="n"/>
      <c r="E2269" s="68" t="n"/>
      <c r="F2269" s="69" t="n"/>
      <c r="G2269" s="70" t="n"/>
      <c r="H2269" s="62" t="str">
        <f>IF(COUNTA(A2269:G2269)=0,"",IF(C2269&lt;&gt;"",C2269,IF(B2269="","",IFERROR(INDEX(pr_des,MATCH(B2269,pr_code,0))&amp;"",""))))</f>
        <v/>
      </c>
      <c r="I2269" s="59" t="str">
        <f>IF(B2269="","",IFERROR(INDEX(pr_unit,MATCH(B2269,pr_code,0))&amp;"",""))</f>
        <v/>
      </c>
      <c r="J2269" s="65" t="str">
        <f>IF(COUNTA(A2269:G2269)=0,"",IF(E2269&lt;&gt;"",E2269,IF(B2269="","",IFERROR(IF(INDEX(pr_price,MATCH(B2269,pr_code,0))="","",INDEX(pr_price,MATCH(B2269,pr_code,0))),""))))</f>
        <v/>
      </c>
      <c r="K2269" s="71" t="str">
        <f>IF(COUNTA(A2269:G2269)=0,"",IF(G2269&lt;&gt;"",G2269,IF(B2269="","",IFERROR(IF(INDEX(pr_rate,MATCH(B2269,pr_code,0))="","",INDEX(pr_rate,MATCH(B2269,pr_code,0))),""))))</f>
        <v/>
      </c>
      <c r="L2269" s="65" t="str">
        <f>IF(COUNTA(A2269:G2269)=0,"",IF(AND(ISNUMBER(D2269),ISNUMBER(J2269)),ROUND(D2269*J2269*(1-N(F2269)),2),0))</f>
        <v/>
      </c>
      <c r="M2269" s="62" t="str">
        <f>IF(A2269="","",IFERROR(INDEX(fa_cname,MATCH(A2269,fa_num,0))&amp;"",""))</f>
        <v/>
      </c>
      <c r="N2269" s="59" t="str">
        <f>IF(COUNTA(A2269:G2269)=0,"",IF(A2269="","N° facture manquant",IF(ISNA(MATCH(A2269,fa_num,0)),"Facture inconnue",IF(AND(B2269&lt;&gt;"",ISNA(MATCH(B2269,pr_code,0))),"Article inconnu",IF(H2269="","Désignation manquante",IF(OR(NOT(ISNUMBER(D2269)),N(D2269)&lt;=0),"Quantité invalide",IF(J2269="","Prix manquant",IF(OR(NOT(ISNUMBER(J2269)),N(J2269)&lt;0),"Prix invalide",IF(OR(AND(F2269&lt;&gt;"",NOT(ISNUMBER(F2269))),N(F2269)&lt;0,N(F2269)&gt;1),"Remise invalide",IF(K2269="","Taux de TVA manquant",IF(NOT(ISNUMBER(K2269)),"Taux de TVA invalide",IF(COUNTIF(p_rates,K2269)=0,"Taux de TVA hors liste (Paramètres)",IF(N(O2269)&gt;25,"Au-delà de 25 lignes : non imprimée","OK")))))))))))))</f>
        <v/>
      </c>
      <c r="O2269" s="59" t="str">
        <f>IF(A2269="","",COUNTIF($A$6:A2269,A2269))</f>
        <v/>
      </c>
      <c r="P2269" s="62" t="str">
        <f>IF(A2269="","",A2269&amp;"|"&amp;O2269)</f>
        <v/>
      </c>
    </row>
    <row r="2270">
      <c r="A2270" s="60" t="n"/>
      <c r="B2270" s="63" t="n"/>
      <c r="C2270" s="63" t="n"/>
      <c r="D2270" s="67" t="n"/>
      <c r="E2270" s="68" t="n"/>
      <c r="F2270" s="69" t="n"/>
      <c r="G2270" s="70" t="n"/>
      <c r="H2270" s="62" t="str">
        <f>IF(COUNTA(A2270:G2270)=0,"",IF(C2270&lt;&gt;"",C2270,IF(B2270="","",IFERROR(INDEX(pr_des,MATCH(B2270,pr_code,0))&amp;"",""))))</f>
        <v/>
      </c>
      <c r="I2270" s="59" t="str">
        <f>IF(B2270="","",IFERROR(INDEX(pr_unit,MATCH(B2270,pr_code,0))&amp;"",""))</f>
        <v/>
      </c>
      <c r="J2270" s="65" t="str">
        <f>IF(COUNTA(A2270:G2270)=0,"",IF(E2270&lt;&gt;"",E2270,IF(B2270="","",IFERROR(IF(INDEX(pr_price,MATCH(B2270,pr_code,0))="","",INDEX(pr_price,MATCH(B2270,pr_code,0))),""))))</f>
        <v/>
      </c>
      <c r="K2270" s="71" t="str">
        <f>IF(COUNTA(A2270:G2270)=0,"",IF(G2270&lt;&gt;"",G2270,IF(B2270="","",IFERROR(IF(INDEX(pr_rate,MATCH(B2270,pr_code,0))="","",INDEX(pr_rate,MATCH(B2270,pr_code,0))),""))))</f>
        <v/>
      </c>
      <c r="L2270" s="65" t="str">
        <f>IF(COUNTA(A2270:G2270)=0,"",IF(AND(ISNUMBER(D2270),ISNUMBER(J2270)),ROUND(D2270*J2270*(1-N(F2270)),2),0))</f>
        <v/>
      </c>
      <c r="M2270" s="62" t="str">
        <f>IF(A2270="","",IFERROR(INDEX(fa_cname,MATCH(A2270,fa_num,0))&amp;"",""))</f>
        <v/>
      </c>
      <c r="N2270" s="59" t="str">
        <f>IF(COUNTA(A2270:G2270)=0,"",IF(A2270="","N° facture manquant",IF(ISNA(MATCH(A2270,fa_num,0)),"Facture inconnue",IF(AND(B2270&lt;&gt;"",ISNA(MATCH(B2270,pr_code,0))),"Article inconnu",IF(H2270="","Désignation manquante",IF(OR(NOT(ISNUMBER(D2270)),N(D2270)&lt;=0),"Quantité invalide",IF(J2270="","Prix manquant",IF(OR(NOT(ISNUMBER(J2270)),N(J2270)&lt;0),"Prix invalide",IF(OR(AND(F2270&lt;&gt;"",NOT(ISNUMBER(F2270))),N(F2270)&lt;0,N(F2270)&gt;1),"Remise invalide",IF(K2270="","Taux de TVA manquant",IF(NOT(ISNUMBER(K2270)),"Taux de TVA invalide",IF(COUNTIF(p_rates,K2270)=0,"Taux de TVA hors liste (Paramètres)",IF(N(O2270)&gt;25,"Au-delà de 25 lignes : non imprimée","OK")))))))))))))</f>
        <v/>
      </c>
      <c r="O2270" s="59" t="str">
        <f>IF(A2270="","",COUNTIF($A$6:A2270,A2270))</f>
        <v/>
      </c>
      <c r="P2270" s="62" t="str">
        <f>IF(A2270="","",A2270&amp;"|"&amp;O2270)</f>
        <v/>
      </c>
    </row>
    <row r="2271">
      <c r="A2271" s="60" t="n"/>
      <c r="B2271" s="63" t="n"/>
      <c r="C2271" s="63" t="n"/>
      <c r="D2271" s="67" t="n"/>
      <c r="E2271" s="68" t="n"/>
      <c r="F2271" s="69" t="n"/>
      <c r="G2271" s="70" t="n"/>
      <c r="H2271" s="62" t="str">
        <f>IF(COUNTA(A2271:G2271)=0,"",IF(C2271&lt;&gt;"",C2271,IF(B2271="","",IFERROR(INDEX(pr_des,MATCH(B2271,pr_code,0))&amp;"",""))))</f>
        <v/>
      </c>
      <c r="I2271" s="59" t="str">
        <f>IF(B2271="","",IFERROR(INDEX(pr_unit,MATCH(B2271,pr_code,0))&amp;"",""))</f>
        <v/>
      </c>
      <c r="J2271" s="65" t="str">
        <f>IF(COUNTA(A2271:G2271)=0,"",IF(E2271&lt;&gt;"",E2271,IF(B2271="","",IFERROR(IF(INDEX(pr_price,MATCH(B2271,pr_code,0))="","",INDEX(pr_price,MATCH(B2271,pr_code,0))),""))))</f>
        <v/>
      </c>
      <c r="K2271" s="71" t="str">
        <f>IF(COUNTA(A2271:G2271)=0,"",IF(G2271&lt;&gt;"",G2271,IF(B2271="","",IFERROR(IF(INDEX(pr_rate,MATCH(B2271,pr_code,0))="","",INDEX(pr_rate,MATCH(B2271,pr_code,0))),""))))</f>
        <v/>
      </c>
      <c r="L2271" s="65" t="str">
        <f>IF(COUNTA(A2271:G2271)=0,"",IF(AND(ISNUMBER(D2271),ISNUMBER(J2271)),ROUND(D2271*J2271*(1-N(F2271)),2),0))</f>
        <v/>
      </c>
      <c r="M2271" s="62" t="str">
        <f>IF(A2271="","",IFERROR(INDEX(fa_cname,MATCH(A2271,fa_num,0))&amp;"",""))</f>
        <v/>
      </c>
      <c r="N2271" s="59" t="str">
        <f>IF(COUNTA(A2271:G2271)=0,"",IF(A2271="","N° facture manquant",IF(ISNA(MATCH(A2271,fa_num,0)),"Facture inconnue",IF(AND(B2271&lt;&gt;"",ISNA(MATCH(B2271,pr_code,0))),"Article inconnu",IF(H2271="","Désignation manquante",IF(OR(NOT(ISNUMBER(D2271)),N(D2271)&lt;=0),"Quantité invalide",IF(J2271="","Prix manquant",IF(OR(NOT(ISNUMBER(J2271)),N(J2271)&lt;0),"Prix invalide",IF(OR(AND(F2271&lt;&gt;"",NOT(ISNUMBER(F2271))),N(F2271)&lt;0,N(F2271)&gt;1),"Remise invalide",IF(K2271="","Taux de TVA manquant",IF(NOT(ISNUMBER(K2271)),"Taux de TVA invalide",IF(COUNTIF(p_rates,K2271)=0,"Taux de TVA hors liste (Paramètres)",IF(N(O2271)&gt;25,"Au-delà de 25 lignes : non imprimée","OK")))))))))))))</f>
        <v/>
      </c>
      <c r="O2271" s="59" t="str">
        <f>IF(A2271="","",COUNTIF($A$6:A2271,A2271))</f>
        <v/>
      </c>
      <c r="P2271" s="62" t="str">
        <f>IF(A2271="","",A2271&amp;"|"&amp;O2271)</f>
        <v/>
      </c>
    </row>
    <row r="2272">
      <c r="A2272" s="60" t="n"/>
      <c r="B2272" s="63" t="n"/>
      <c r="C2272" s="63" t="n"/>
      <c r="D2272" s="67" t="n"/>
      <c r="E2272" s="68" t="n"/>
      <c r="F2272" s="69" t="n"/>
      <c r="G2272" s="70" t="n"/>
      <c r="H2272" s="62" t="str">
        <f>IF(COUNTA(A2272:G2272)=0,"",IF(C2272&lt;&gt;"",C2272,IF(B2272="","",IFERROR(INDEX(pr_des,MATCH(B2272,pr_code,0))&amp;"",""))))</f>
        <v/>
      </c>
      <c r="I2272" s="59" t="str">
        <f>IF(B2272="","",IFERROR(INDEX(pr_unit,MATCH(B2272,pr_code,0))&amp;"",""))</f>
        <v/>
      </c>
      <c r="J2272" s="65" t="str">
        <f>IF(COUNTA(A2272:G2272)=0,"",IF(E2272&lt;&gt;"",E2272,IF(B2272="","",IFERROR(IF(INDEX(pr_price,MATCH(B2272,pr_code,0))="","",INDEX(pr_price,MATCH(B2272,pr_code,0))),""))))</f>
        <v/>
      </c>
      <c r="K2272" s="71" t="str">
        <f>IF(COUNTA(A2272:G2272)=0,"",IF(G2272&lt;&gt;"",G2272,IF(B2272="","",IFERROR(IF(INDEX(pr_rate,MATCH(B2272,pr_code,0))="","",INDEX(pr_rate,MATCH(B2272,pr_code,0))),""))))</f>
        <v/>
      </c>
      <c r="L2272" s="65" t="str">
        <f>IF(COUNTA(A2272:G2272)=0,"",IF(AND(ISNUMBER(D2272),ISNUMBER(J2272)),ROUND(D2272*J2272*(1-N(F2272)),2),0))</f>
        <v/>
      </c>
      <c r="M2272" s="62" t="str">
        <f>IF(A2272="","",IFERROR(INDEX(fa_cname,MATCH(A2272,fa_num,0))&amp;"",""))</f>
        <v/>
      </c>
      <c r="N2272" s="59" t="str">
        <f>IF(COUNTA(A2272:G2272)=0,"",IF(A2272="","N° facture manquant",IF(ISNA(MATCH(A2272,fa_num,0)),"Facture inconnue",IF(AND(B2272&lt;&gt;"",ISNA(MATCH(B2272,pr_code,0))),"Article inconnu",IF(H2272="","Désignation manquante",IF(OR(NOT(ISNUMBER(D2272)),N(D2272)&lt;=0),"Quantité invalide",IF(J2272="","Prix manquant",IF(OR(NOT(ISNUMBER(J2272)),N(J2272)&lt;0),"Prix invalide",IF(OR(AND(F2272&lt;&gt;"",NOT(ISNUMBER(F2272))),N(F2272)&lt;0,N(F2272)&gt;1),"Remise invalide",IF(K2272="","Taux de TVA manquant",IF(NOT(ISNUMBER(K2272)),"Taux de TVA invalide",IF(COUNTIF(p_rates,K2272)=0,"Taux de TVA hors liste (Paramètres)",IF(N(O2272)&gt;25,"Au-delà de 25 lignes : non imprimée","OK")))))))))))))</f>
        <v/>
      </c>
      <c r="O2272" s="59" t="str">
        <f>IF(A2272="","",COUNTIF($A$6:A2272,A2272))</f>
        <v/>
      </c>
      <c r="P2272" s="62" t="str">
        <f>IF(A2272="","",A2272&amp;"|"&amp;O2272)</f>
        <v/>
      </c>
    </row>
    <row r="2273">
      <c r="A2273" s="60" t="n"/>
      <c r="B2273" s="63" t="n"/>
      <c r="C2273" s="63" t="n"/>
      <c r="D2273" s="67" t="n"/>
      <c r="E2273" s="68" t="n"/>
      <c r="F2273" s="69" t="n"/>
      <c r="G2273" s="70" t="n"/>
      <c r="H2273" s="62" t="str">
        <f>IF(COUNTA(A2273:G2273)=0,"",IF(C2273&lt;&gt;"",C2273,IF(B2273="","",IFERROR(INDEX(pr_des,MATCH(B2273,pr_code,0))&amp;"",""))))</f>
        <v/>
      </c>
      <c r="I2273" s="59" t="str">
        <f>IF(B2273="","",IFERROR(INDEX(pr_unit,MATCH(B2273,pr_code,0))&amp;"",""))</f>
        <v/>
      </c>
      <c r="J2273" s="65" t="str">
        <f>IF(COUNTA(A2273:G2273)=0,"",IF(E2273&lt;&gt;"",E2273,IF(B2273="","",IFERROR(IF(INDEX(pr_price,MATCH(B2273,pr_code,0))="","",INDEX(pr_price,MATCH(B2273,pr_code,0))),""))))</f>
        <v/>
      </c>
      <c r="K2273" s="71" t="str">
        <f>IF(COUNTA(A2273:G2273)=0,"",IF(G2273&lt;&gt;"",G2273,IF(B2273="","",IFERROR(IF(INDEX(pr_rate,MATCH(B2273,pr_code,0))="","",INDEX(pr_rate,MATCH(B2273,pr_code,0))),""))))</f>
        <v/>
      </c>
      <c r="L2273" s="65" t="str">
        <f>IF(COUNTA(A2273:G2273)=0,"",IF(AND(ISNUMBER(D2273),ISNUMBER(J2273)),ROUND(D2273*J2273*(1-N(F2273)),2),0))</f>
        <v/>
      </c>
      <c r="M2273" s="62" t="str">
        <f>IF(A2273="","",IFERROR(INDEX(fa_cname,MATCH(A2273,fa_num,0))&amp;"",""))</f>
        <v/>
      </c>
      <c r="N2273" s="59" t="str">
        <f>IF(COUNTA(A2273:G2273)=0,"",IF(A2273="","N° facture manquant",IF(ISNA(MATCH(A2273,fa_num,0)),"Facture inconnue",IF(AND(B2273&lt;&gt;"",ISNA(MATCH(B2273,pr_code,0))),"Article inconnu",IF(H2273="","Désignation manquante",IF(OR(NOT(ISNUMBER(D2273)),N(D2273)&lt;=0),"Quantité invalide",IF(J2273="","Prix manquant",IF(OR(NOT(ISNUMBER(J2273)),N(J2273)&lt;0),"Prix invalide",IF(OR(AND(F2273&lt;&gt;"",NOT(ISNUMBER(F2273))),N(F2273)&lt;0,N(F2273)&gt;1),"Remise invalide",IF(K2273="","Taux de TVA manquant",IF(NOT(ISNUMBER(K2273)),"Taux de TVA invalide",IF(COUNTIF(p_rates,K2273)=0,"Taux de TVA hors liste (Paramètres)",IF(N(O2273)&gt;25,"Au-delà de 25 lignes : non imprimée","OK")))))))))))))</f>
        <v/>
      </c>
      <c r="O2273" s="59" t="str">
        <f>IF(A2273="","",COUNTIF($A$6:A2273,A2273))</f>
        <v/>
      </c>
      <c r="P2273" s="62" t="str">
        <f>IF(A2273="","",A2273&amp;"|"&amp;O2273)</f>
        <v/>
      </c>
    </row>
    <row r="2274">
      <c r="A2274" s="60" t="n"/>
      <c r="B2274" s="63" t="n"/>
      <c r="C2274" s="63" t="n"/>
      <c r="D2274" s="67" t="n"/>
      <c r="E2274" s="68" t="n"/>
      <c r="F2274" s="69" t="n"/>
      <c r="G2274" s="70" t="n"/>
      <c r="H2274" s="62" t="str">
        <f>IF(COUNTA(A2274:G2274)=0,"",IF(C2274&lt;&gt;"",C2274,IF(B2274="","",IFERROR(INDEX(pr_des,MATCH(B2274,pr_code,0))&amp;"",""))))</f>
        <v/>
      </c>
      <c r="I2274" s="59" t="str">
        <f>IF(B2274="","",IFERROR(INDEX(pr_unit,MATCH(B2274,pr_code,0))&amp;"",""))</f>
        <v/>
      </c>
      <c r="J2274" s="65" t="str">
        <f>IF(COUNTA(A2274:G2274)=0,"",IF(E2274&lt;&gt;"",E2274,IF(B2274="","",IFERROR(IF(INDEX(pr_price,MATCH(B2274,pr_code,0))="","",INDEX(pr_price,MATCH(B2274,pr_code,0))),""))))</f>
        <v/>
      </c>
      <c r="K2274" s="71" t="str">
        <f>IF(COUNTA(A2274:G2274)=0,"",IF(G2274&lt;&gt;"",G2274,IF(B2274="","",IFERROR(IF(INDEX(pr_rate,MATCH(B2274,pr_code,0))="","",INDEX(pr_rate,MATCH(B2274,pr_code,0))),""))))</f>
        <v/>
      </c>
      <c r="L2274" s="65" t="str">
        <f>IF(COUNTA(A2274:G2274)=0,"",IF(AND(ISNUMBER(D2274),ISNUMBER(J2274)),ROUND(D2274*J2274*(1-N(F2274)),2),0))</f>
        <v/>
      </c>
      <c r="M2274" s="62" t="str">
        <f>IF(A2274="","",IFERROR(INDEX(fa_cname,MATCH(A2274,fa_num,0))&amp;"",""))</f>
        <v/>
      </c>
      <c r="N2274" s="59" t="str">
        <f>IF(COUNTA(A2274:G2274)=0,"",IF(A2274="","N° facture manquant",IF(ISNA(MATCH(A2274,fa_num,0)),"Facture inconnue",IF(AND(B2274&lt;&gt;"",ISNA(MATCH(B2274,pr_code,0))),"Article inconnu",IF(H2274="","Désignation manquante",IF(OR(NOT(ISNUMBER(D2274)),N(D2274)&lt;=0),"Quantité invalide",IF(J2274="","Prix manquant",IF(OR(NOT(ISNUMBER(J2274)),N(J2274)&lt;0),"Prix invalide",IF(OR(AND(F2274&lt;&gt;"",NOT(ISNUMBER(F2274))),N(F2274)&lt;0,N(F2274)&gt;1),"Remise invalide",IF(K2274="","Taux de TVA manquant",IF(NOT(ISNUMBER(K2274)),"Taux de TVA invalide",IF(COUNTIF(p_rates,K2274)=0,"Taux de TVA hors liste (Paramètres)",IF(N(O2274)&gt;25,"Au-delà de 25 lignes : non imprimée","OK")))))))))))))</f>
        <v/>
      </c>
      <c r="O2274" s="59" t="str">
        <f>IF(A2274="","",COUNTIF($A$6:A2274,A2274))</f>
        <v/>
      </c>
      <c r="P2274" s="62" t="str">
        <f>IF(A2274="","",A2274&amp;"|"&amp;O2274)</f>
        <v/>
      </c>
    </row>
    <row r="2275">
      <c r="A2275" s="60" t="n"/>
      <c r="B2275" s="63" t="n"/>
      <c r="C2275" s="63" t="n"/>
      <c r="D2275" s="67" t="n"/>
      <c r="E2275" s="68" t="n"/>
      <c r="F2275" s="69" t="n"/>
      <c r="G2275" s="70" t="n"/>
      <c r="H2275" s="62" t="str">
        <f>IF(COUNTA(A2275:G2275)=0,"",IF(C2275&lt;&gt;"",C2275,IF(B2275="","",IFERROR(INDEX(pr_des,MATCH(B2275,pr_code,0))&amp;"",""))))</f>
        <v/>
      </c>
      <c r="I2275" s="59" t="str">
        <f>IF(B2275="","",IFERROR(INDEX(pr_unit,MATCH(B2275,pr_code,0))&amp;"",""))</f>
        <v/>
      </c>
      <c r="J2275" s="65" t="str">
        <f>IF(COUNTA(A2275:G2275)=0,"",IF(E2275&lt;&gt;"",E2275,IF(B2275="","",IFERROR(IF(INDEX(pr_price,MATCH(B2275,pr_code,0))="","",INDEX(pr_price,MATCH(B2275,pr_code,0))),""))))</f>
        <v/>
      </c>
      <c r="K2275" s="71" t="str">
        <f>IF(COUNTA(A2275:G2275)=0,"",IF(G2275&lt;&gt;"",G2275,IF(B2275="","",IFERROR(IF(INDEX(pr_rate,MATCH(B2275,pr_code,0))="","",INDEX(pr_rate,MATCH(B2275,pr_code,0))),""))))</f>
        <v/>
      </c>
      <c r="L2275" s="65" t="str">
        <f>IF(COUNTA(A2275:G2275)=0,"",IF(AND(ISNUMBER(D2275),ISNUMBER(J2275)),ROUND(D2275*J2275*(1-N(F2275)),2),0))</f>
        <v/>
      </c>
      <c r="M2275" s="62" t="str">
        <f>IF(A2275="","",IFERROR(INDEX(fa_cname,MATCH(A2275,fa_num,0))&amp;"",""))</f>
        <v/>
      </c>
      <c r="N2275" s="59" t="str">
        <f>IF(COUNTA(A2275:G2275)=0,"",IF(A2275="","N° facture manquant",IF(ISNA(MATCH(A2275,fa_num,0)),"Facture inconnue",IF(AND(B2275&lt;&gt;"",ISNA(MATCH(B2275,pr_code,0))),"Article inconnu",IF(H2275="","Désignation manquante",IF(OR(NOT(ISNUMBER(D2275)),N(D2275)&lt;=0),"Quantité invalide",IF(J2275="","Prix manquant",IF(OR(NOT(ISNUMBER(J2275)),N(J2275)&lt;0),"Prix invalide",IF(OR(AND(F2275&lt;&gt;"",NOT(ISNUMBER(F2275))),N(F2275)&lt;0,N(F2275)&gt;1),"Remise invalide",IF(K2275="","Taux de TVA manquant",IF(NOT(ISNUMBER(K2275)),"Taux de TVA invalide",IF(COUNTIF(p_rates,K2275)=0,"Taux de TVA hors liste (Paramètres)",IF(N(O2275)&gt;25,"Au-delà de 25 lignes : non imprimée","OK")))))))))))))</f>
        <v/>
      </c>
      <c r="O2275" s="59" t="str">
        <f>IF(A2275="","",COUNTIF($A$6:A2275,A2275))</f>
        <v/>
      </c>
      <c r="P2275" s="62" t="str">
        <f>IF(A2275="","",A2275&amp;"|"&amp;O2275)</f>
        <v/>
      </c>
    </row>
    <row r="2276">
      <c r="A2276" s="60" t="n"/>
      <c r="B2276" s="63" t="n"/>
      <c r="C2276" s="63" t="n"/>
      <c r="D2276" s="67" t="n"/>
      <c r="E2276" s="68" t="n"/>
      <c r="F2276" s="69" t="n"/>
      <c r="G2276" s="70" t="n"/>
      <c r="H2276" s="62" t="str">
        <f>IF(COUNTA(A2276:G2276)=0,"",IF(C2276&lt;&gt;"",C2276,IF(B2276="","",IFERROR(INDEX(pr_des,MATCH(B2276,pr_code,0))&amp;"",""))))</f>
        <v/>
      </c>
      <c r="I2276" s="59" t="str">
        <f>IF(B2276="","",IFERROR(INDEX(pr_unit,MATCH(B2276,pr_code,0))&amp;"",""))</f>
        <v/>
      </c>
      <c r="J2276" s="65" t="str">
        <f>IF(COUNTA(A2276:G2276)=0,"",IF(E2276&lt;&gt;"",E2276,IF(B2276="","",IFERROR(IF(INDEX(pr_price,MATCH(B2276,pr_code,0))="","",INDEX(pr_price,MATCH(B2276,pr_code,0))),""))))</f>
        <v/>
      </c>
      <c r="K2276" s="71" t="str">
        <f>IF(COUNTA(A2276:G2276)=0,"",IF(G2276&lt;&gt;"",G2276,IF(B2276="","",IFERROR(IF(INDEX(pr_rate,MATCH(B2276,pr_code,0))="","",INDEX(pr_rate,MATCH(B2276,pr_code,0))),""))))</f>
        <v/>
      </c>
      <c r="L2276" s="65" t="str">
        <f>IF(COUNTA(A2276:G2276)=0,"",IF(AND(ISNUMBER(D2276),ISNUMBER(J2276)),ROUND(D2276*J2276*(1-N(F2276)),2),0))</f>
        <v/>
      </c>
      <c r="M2276" s="62" t="str">
        <f>IF(A2276="","",IFERROR(INDEX(fa_cname,MATCH(A2276,fa_num,0))&amp;"",""))</f>
        <v/>
      </c>
      <c r="N2276" s="59" t="str">
        <f>IF(COUNTA(A2276:G2276)=0,"",IF(A2276="","N° facture manquant",IF(ISNA(MATCH(A2276,fa_num,0)),"Facture inconnue",IF(AND(B2276&lt;&gt;"",ISNA(MATCH(B2276,pr_code,0))),"Article inconnu",IF(H2276="","Désignation manquante",IF(OR(NOT(ISNUMBER(D2276)),N(D2276)&lt;=0),"Quantité invalide",IF(J2276="","Prix manquant",IF(OR(NOT(ISNUMBER(J2276)),N(J2276)&lt;0),"Prix invalide",IF(OR(AND(F2276&lt;&gt;"",NOT(ISNUMBER(F2276))),N(F2276)&lt;0,N(F2276)&gt;1),"Remise invalide",IF(K2276="","Taux de TVA manquant",IF(NOT(ISNUMBER(K2276)),"Taux de TVA invalide",IF(COUNTIF(p_rates,K2276)=0,"Taux de TVA hors liste (Paramètres)",IF(N(O2276)&gt;25,"Au-delà de 25 lignes : non imprimée","OK")))))))))))))</f>
        <v/>
      </c>
      <c r="O2276" s="59" t="str">
        <f>IF(A2276="","",COUNTIF($A$6:A2276,A2276))</f>
        <v/>
      </c>
      <c r="P2276" s="62" t="str">
        <f>IF(A2276="","",A2276&amp;"|"&amp;O2276)</f>
        <v/>
      </c>
    </row>
    <row r="2277">
      <c r="A2277" s="60" t="n"/>
      <c r="B2277" s="63" t="n"/>
      <c r="C2277" s="63" t="n"/>
      <c r="D2277" s="67" t="n"/>
      <c r="E2277" s="68" t="n"/>
      <c r="F2277" s="69" t="n"/>
      <c r="G2277" s="70" t="n"/>
      <c r="H2277" s="62" t="str">
        <f>IF(COUNTA(A2277:G2277)=0,"",IF(C2277&lt;&gt;"",C2277,IF(B2277="","",IFERROR(INDEX(pr_des,MATCH(B2277,pr_code,0))&amp;"",""))))</f>
        <v/>
      </c>
      <c r="I2277" s="59" t="str">
        <f>IF(B2277="","",IFERROR(INDEX(pr_unit,MATCH(B2277,pr_code,0))&amp;"",""))</f>
        <v/>
      </c>
      <c r="J2277" s="65" t="str">
        <f>IF(COUNTA(A2277:G2277)=0,"",IF(E2277&lt;&gt;"",E2277,IF(B2277="","",IFERROR(IF(INDEX(pr_price,MATCH(B2277,pr_code,0))="","",INDEX(pr_price,MATCH(B2277,pr_code,0))),""))))</f>
        <v/>
      </c>
      <c r="K2277" s="71" t="str">
        <f>IF(COUNTA(A2277:G2277)=0,"",IF(G2277&lt;&gt;"",G2277,IF(B2277="","",IFERROR(IF(INDEX(pr_rate,MATCH(B2277,pr_code,0))="","",INDEX(pr_rate,MATCH(B2277,pr_code,0))),""))))</f>
        <v/>
      </c>
      <c r="L2277" s="65" t="str">
        <f>IF(COUNTA(A2277:G2277)=0,"",IF(AND(ISNUMBER(D2277),ISNUMBER(J2277)),ROUND(D2277*J2277*(1-N(F2277)),2),0))</f>
        <v/>
      </c>
      <c r="M2277" s="62" t="str">
        <f>IF(A2277="","",IFERROR(INDEX(fa_cname,MATCH(A2277,fa_num,0))&amp;"",""))</f>
        <v/>
      </c>
      <c r="N2277" s="59" t="str">
        <f>IF(COUNTA(A2277:G2277)=0,"",IF(A2277="","N° facture manquant",IF(ISNA(MATCH(A2277,fa_num,0)),"Facture inconnue",IF(AND(B2277&lt;&gt;"",ISNA(MATCH(B2277,pr_code,0))),"Article inconnu",IF(H2277="","Désignation manquante",IF(OR(NOT(ISNUMBER(D2277)),N(D2277)&lt;=0),"Quantité invalide",IF(J2277="","Prix manquant",IF(OR(NOT(ISNUMBER(J2277)),N(J2277)&lt;0),"Prix invalide",IF(OR(AND(F2277&lt;&gt;"",NOT(ISNUMBER(F2277))),N(F2277)&lt;0,N(F2277)&gt;1),"Remise invalide",IF(K2277="","Taux de TVA manquant",IF(NOT(ISNUMBER(K2277)),"Taux de TVA invalide",IF(COUNTIF(p_rates,K2277)=0,"Taux de TVA hors liste (Paramètres)",IF(N(O2277)&gt;25,"Au-delà de 25 lignes : non imprimée","OK")))))))))))))</f>
        <v/>
      </c>
      <c r="O2277" s="59" t="str">
        <f>IF(A2277="","",COUNTIF($A$6:A2277,A2277))</f>
        <v/>
      </c>
      <c r="P2277" s="62" t="str">
        <f>IF(A2277="","",A2277&amp;"|"&amp;O2277)</f>
        <v/>
      </c>
    </row>
    <row r="2278">
      <c r="A2278" s="60" t="n"/>
      <c r="B2278" s="63" t="n"/>
      <c r="C2278" s="63" t="n"/>
      <c r="D2278" s="67" t="n"/>
      <c r="E2278" s="68" t="n"/>
      <c r="F2278" s="69" t="n"/>
      <c r="G2278" s="70" t="n"/>
      <c r="H2278" s="62" t="str">
        <f>IF(COUNTA(A2278:G2278)=0,"",IF(C2278&lt;&gt;"",C2278,IF(B2278="","",IFERROR(INDEX(pr_des,MATCH(B2278,pr_code,0))&amp;"",""))))</f>
        <v/>
      </c>
      <c r="I2278" s="59" t="str">
        <f>IF(B2278="","",IFERROR(INDEX(pr_unit,MATCH(B2278,pr_code,0))&amp;"",""))</f>
        <v/>
      </c>
      <c r="J2278" s="65" t="str">
        <f>IF(COUNTA(A2278:G2278)=0,"",IF(E2278&lt;&gt;"",E2278,IF(B2278="","",IFERROR(IF(INDEX(pr_price,MATCH(B2278,pr_code,0))="","",INDEX(pr_price,MATCH(B2278,pr_code,0))),""))))</f>
        <v/>
      </c>
      <c r="K2278" s="71" t="str">
        <f>IF(COUNTA(A2278:G2278)=0,"",IF(G2278&lt;&gt;"",G2278,IF(B2278="","",IFERROR(IF(INDEX(pr_rate,MATCH(B2278,pr_code,0))="","",INDEX(pr_rate,MATCH(B2278,pr_code,0))),""))))</f>
        <v/>
      </c>
      <c r="L2278" s="65" t="str">
        <f>IF(COUNTA(A2278:G2278)=0,"",IF(AND(ISNUMBER(D2278),ISNUMBER(J2278)),ROUND(D2278*J2278*(1-N(F2278)),2),0))</f>
        <v/>
      </c>
      <c r="M2278" s="62" t="str">
        <f>IF(A2278="","",IFERROR(INDEX(fa_cname,MATCH(A2278,fa_num,0))&amp;"",""))</f>
        <v/>
      </c>
      <c r="N2278" s="59" t="str">
        <f>IF(COUNTA(A2278:G2278)=0,"",IF(A2278="","N° facture manquant",IF(ISNA(MATCH(A2278,fa_num,0)),"Facture inconnue",IF(AND(B2278&lt;&gt;"",ISNA(MATCH(B2278,pr_code,0))),"Article inconnu",IF(H2278="","Désignation manquante",IF(OR(NOT(ISNUMBER(D2278)),N(D2278)&lt;=0),"Quantité invalide",IF(J2278="","Prix manquant",IF(OR(NOT(ISNUMBER(J2278)),N(J2278)&lt;0),"Prix invalide",IF(OR(AND(F2278&lt;&gt;"",NOT(ISNUMBER(F2278))),N(F2278)&lt;0,N(F2278)&gt;1),"Remise invalide",IF(K2278="","Taux de TVA manquant",IF(NOT(ISNUMBER(K2278)),"Taux de TVA invalide",IF(COUNTIF(p_rates,K2278)=0,"Taux de TVA hors liste (Paramètres)",IF(N(O2278)&gt;25,"Au-delà de 25 lignes : non imprimée","OK")))))))))))))</f>
        <v/>
      </c>
      <c r="O2278" s="59" t="str">
        <f>IF(A2278="","",COUNTIF($A$6:A2278,A2278))</f>
        <v/>
      </c>
      <c r="P2278" s="62" t="str">
        <f>IF(A2278="","",A2278&amp;"|"&amp;O2278)</f>
        <v/>
      </c>
    </row>
    <row r="2279">
      <c r="A2279" s="60" t="n"/>
      <c r="B2279" s="63" t="n"/>
      <c r="C2279" s="63" t="n"/>
      <c r="D2279" s="67" t="n"/>
      <c r="E2279" s="68" t="n"/>
      <c r="F2279" s="69" t="n"/>
      <c r="G2279" s="70" t="n"/>
      <c r="H2279" s="62" t="str">
        <f>IF(COUNTA(A2279:G2279)=0,"",IF(C2279&lt;&gt;"",C2279,IF(B2279="","",IFERROR(INDEX(pr_des,MATCH(B2279,pr_code,0))&amp;"",""))))</f>
        <v/>
      </c>
      <c r="I2279" s="59" t="str">
        <f>IF(B2279="","",IFERROR(INDEX(pr_unit,MATCH(B2279,pr_code,0))&amp;"",""))</f>
        <v/>
      </c>
      <c r="J2279" s="65" t="str">
        <f>IF(COUNTA(A2279:G2279)=0,"",IF(E2279&lt;&gt;"",E2279,IF(B2279="","",IFERROR(IF(INDEX(pr_price,MATCH(B2279,pr_code,0))="","",INDEX(pr_price,MATCH(B2279,pr_code,0))),""))))</f>
        <v/>
      </c>
      <c r="K2279" s="71" t="str">
        <f>IF(COUNTA(A2279:G2279)=0,"",IF(G2279&lt;&gt;"",G2279,IF(B2279="","",IFERROR(IF(INDEX(pr_rate,MATCH(B2279,pr_code,0))="","",INDEX(pr_rate,MATCH(B2279,pr_code,0))),""))))</f>
        <v/>
      </c>
      <c r="L2279" s="65" t="str">
        <f>IF(COUNTA(A2279:G2279)=0,"",IF(AND(ISNUMBER(D2279),ISNUMBER(J2279)),ROUND(D2279*J2279*(1-N(F2279)),2),0))</f>
        <v/>
      </c>
      <c r="M2279" s="62" t="str">
        <f>IF(A2279="","",IFERROR(INDEX(fa_cname,MATCH(A2279,fa_num,0))&amp;"",""))</f>
        <v/>
      </c>
      <c r="N2279" s="59" t="str">
        <f>IF(COUNTA(A2279:G2279)=0,"",IF(A2279="","N° facture manquant",IF(ISNA(MATCH(A2279,fa_num,0)),"Facture inconnue",IF(AND(B2279&lt;&gt;"",ISNA(MATCH(B2279,pr_code,0))),"Article inconnu",IF(H2279="","Désignation manquante",IF(OR(NOT(ISNUMBER(D2279)),N(D2279)&lt;=0),"Quantité invalide",IF(J2279="","Prix manquant",IF(OR(NOT(ISNUMBER(J2279)),N(J2279)&lt;0),"Prix invalide",IF(OR(AND(F2279&lt;&gt;"",NOT(ISNUMBER(F2279))),N(F2279)&lt;0,N(F2279)&gt;1),"Remise invalide",IF(K2279="","Taux de TVA manquant",IF(NOT(ISNUMBER(K2279)),"Taux de TVA invalide",IF(COUNTIF(p_rates,K2279)=0,"Taux de TVA hors liste (Paramètres)",IF(N(O2279)&gt;25,"Au-delà de 25 lignes : non imprimée","OK")))))))))))))</f>
        <v/>
      </c>
      <c r="O2279" s="59" t="str">
        <f>IF(A2279="","",COUNTIF($A$6:A2279,A2279))</f>
        <v/>
      </c>
      <c r="P2279" s="62" t="str">
        <f>IF(A2279="","",A2279&amp;"|"&amp;O2279)</f>
        <v/>
      </c>
    </row>
    <row r="2280">
      <c r="A2280" s="60" t="n"/>
      <c r="B2280" s="63" t="n"/>
      <c r="C2280" s="63" t="n"/>
      <c r="D2280" s="67" t="n"/>
      <c r="E2280" s="68" t="n"/>
      <c r="F2280" s="69" t="n"/>
      <c r="G2280" s="70" t="n"/>
      <c r="H2280" s="62" t="str">
        <f>IF(COUNTA(A2280:G2280)=0,"",IF(C2280&lt;&gt;"",C2280,IF(B2280="","",IFERROR(INDEX(pr_des,MATCH(B2280,pr_code,0))&amp;"",""))))</f>
        <v/>
      </c>
      <c r="I2280" s="59" t="str">
        <f>IF(B2280="","",IFERROR(INDEX(pr_unit,MATCH(B2280,pr_code,0))&amp;"",""))</f>
        <v/>
      </c>
      <c r="J2280" s="65" t="str">
        <f>IF(COUNTA(A2280:G2280)=0,"",IF(E2280&lt;&gt;"",E2280,IF(B2280="","",IFERROR(IF(INDEX(pr_price,MATCH(B2280,pr_code,0))="","",INDEX(pr_price,MATCH(B2280,pr_code,0))),""))))</f>
        <v/>
      </c>
      <c r="K2280" s="71" t="str">
        <f>IF(COUNTA(A2280:G2280)=0,"",IF(G2280&lt;&gt;"",G2280,IF(B2280="","",IFERROR(IF(INDEX(pr_rate,MATCH(B2280,pr_code,0))="","",INDEX(pr_rate,MATCH(B2280,pr_code,0))),""))))</f>
        <v/>
      </c>
      <c r="L2280" s="65" t="str">
        <f>IF(COUNTA(A2280:G2280)=0,"",IF(AND(ISNUMBER(D2280),ISNUMBER(J2280)),ROUND(D2280*J2280*(1-N(F2280)),2),0))</f>
        <v/>
      </c>
      <c r="M2280" s="62" t="str">
        <f>IF(A2280="","",IFERROR(INDEX(fa_cname,MATCH(A2280,fa_num,0))&amp;"",""))</f>
        <v/>
      </c>
      <c r="N2280" s="59" t="str">
        <f>IF(COUNTA(A2280:G2280)=0,"",IF(A2280="","N° facture manquant",IF(ISNA(MATCH(A2280,fa_num,0)),"Facture inconnue",IF(AND(B2280&lt;&gt;"",ISNA(MATCH(B2280,pr_code,0))),"Article inconnu",IF(H2280="","Désignation manquante",IF(OR(NOT(ISNUMBER(D2280)),N(D2280)&lt;=0),"Quantité invalide",IF(J2280="","Prix manquant",IF(OR(NOT(ISNUMBER(J2280)),N(J2280)&lt;0),"Prix invalide",IF(OR(AND(F2280&lt;&gt;"",NOT(ISNUMBER(F2280))),N(F2280)&lt;0,N(F2280)&gt;1),"Remise invalide",IF(K2280="","Taux de TVA manquant",IF(NOT(ISNUMBER(K2280)),"Taux de TVA invalide",IF(COUNTIF(p_rates,K2280)=0,"Taux de TVA hors liste (Paramètres)",IF(N(O2280)&gt;25,"Au-delà de 25 lignes : non imprimée","OK")))))))))))))</f>
        <v/>
      </c>
      <c r="O2280" s="59" t="str">
        <f>IF(A2280="","",COUNTIF($A$6:A2280,A2280))</f>
        <v/>
      </c>
      <c r="P2280" s="62" t="str">
        <f>IF(A2280="","",A2280&amp;"|"&amp;O2280)</f>
        <v/>
      </c>
    </row>
    <row r="2281">
      <c r="A2281" s="60" t="n"/>
      <c r="B2281" s="63" t="n"/>
      <c r="C2281" s="63" t="n"/>
      <c r="D2281" s="67" t="n"/>
      <c r="E2281" s="68" t="n"/>
      <c r="F2281" s="69" t="n"/>
      <c r="G2281" s="70" t="n"/>
      <c r="H2281" s="62" t="str">
        <f>IF(COUNTA(A2281:G2281)=0,"",IF(C2281&lt;&gt;"",C2281,IF(B2281="","",IFERROR(INDEX(pr_des,MATCH(B2281,pr_code,0))&amp;"",""))))</f>
        <v/>
      </c>
      <c r="I2281" s="59" t="str">
        <f>IF(B2281="","",IFERROR(INDEX(pr_unit,MATCH(B2281,pr_code,0))&amp;"",""))</f>
        <v/>
      </c>
      <c r="J2281" s="65" t="str">
        <f>IF(COUNTA(A2281:G2281)=0,"",IF(E2281&lt;&gt;"",E2281,IF(B2281="","",IFERROR(IF(INDEX(pr_price,MATCH(B2281,pr_code,0))="","",INDEX(pr_price,MATCH(B2281,pr_code,0))),""))))</f>
        <v/>
      </c>
      <c r="K2281" s="71" t="str">
        <f>IF(COUNTA(A2281:G2281)=0,"",IF(G2281&lt;&gt;"",G2281,IF(B2281="","",IFERROR(IF(INDEX(pr_rate,MATCH(B2281,pr_code,0))="","",INDEX(pr_rate,MATCH(B2281,pr_code,0))),""))))</f>
        <v/>
      </c>
      <c r="L2281" s="65" t="str">
        <f>IF(COUNTA(A2281:G2281)=0,"",IF(AND(ISNUMBER(D2281),ISNUMBER(J2281)),ROUND(D2281*J2281*(1-N(F2281)),2),0))</f>
        <v/>
      </c>
      <c r="M2281" s="62" t="str">
        <f>IF(A2281="","",IFERROR(INDEX(fa_cname,MATCH(A2281,fa_num,0))&amp;"",""))</f>
        <v/>
      </c>
      <c r="N2281" s="59" t="str">
        <f>IF(COUNTA(A2281:G2281)=0,"",IF(A2281="","N° facture manquant",IF(ISNA(MATCH(A2281,fa_num,0)),"Facture inconnue",IF(AND(B2281&lt;&gt;"",ISNA(MATCH(B2281,pr_code,0))),"Article inconnu",IF(H2281="","Désignation manquante",IF(OR(NOT(ISNUMBER(D2281)),N(D2281)&lt;=0),"Quantité invalide",IF(J2281="","Prix manquant",IF(OR(NOT(ISNUMBER(J2281)),N(J2281)&lt;0),"Prix invalide",IF(OR(AND(F2281&lt;&gt;"",NOT(ISNUMBER(F2281))),N(F2281)&lt;0,N(F2281)&gt;1),"Remise invalide",IF(K2281="","Taux de TVA manquant",IF(NOT(ISNUMBER(K2281)),"Taux de TVA invalide",IF(COUNTIF(p_rates,K2281)=0,"Taux de TVA hors liste (Paramètres)",IF(N(O2281)&gt;25,"Au-delà de 25 lignes : non imprimée","OK")))))))))))))</f>
        <v/>
      </c>
      <c r="O2281" s="59" t="str">
        <f>IF(A2281="","",COUNTIF($A$6:A2281,A2281))</f>
        <v/>
      </c>
      <c r="P2281" s="62" t="str">
        <f>IF(A2281="","",A2281&amp;"|"&amp;O2281)</f>
        <v/>
      </c>
    </row>
    <row r="2282">
      <c r="A2282" s="60" t="n"/>
      <c r="B2282" s="63" t="n"/>
      <c r="C2282" s="63" t="n"/>
      <c r="D2282" s="67" t="n"/>
      <c r="E2282" s="68" t="n"/>
      <c r="F2282" s="69" t="n"/>
      <c r="G2282" s="70" t="n"/>
      <c r="H2282" s="62" t="str">
        <f>IF(COUNTA(A2282:G2282)=0,"",IF(C2282&lt;&gt;"",C2282,IF(B2282="","",IFERROR(INDEX(pr_des,MATCH(B2282,pr_code,0))&amp;"",""))))</f>
        <v/>
      </c>
      <c r="I2282" s="59" t="str">
        <f>IF(B2282="","",IFERROR(INDEX(pr_unit,MATCH(B2282,pr_code,0))&amp;"",""))</f>
        <v/>
      </c>
      <c r="J2282" s="65" t="str">
        <f>IF(COUNTA(A2282:G2282)=0,"",IF(E2282&lt;&gt;"",E2282,IF(B2282="","",IFERROR(IF(INDEX(pr_price,MATCH(B2282,pr_code,0))="","",INDEX(pr_price,MATCH(B2282,pr_code,0))),""))))</f>
        <v/>
      </c>
      <c r="K2282" s="71" t="str">
        <f>IF(COUNTA(A2282:G2282)=0,"",IF(G2282&lt;&gt;"",G2282,IF(B2282="","",IFERROR(IF(INDEX(pr_rate,MATCH(B2282,pr_code,0))="","",INDEX(pr_rate,MATCH(B2282,pr_code,0))),""))))</f>
        <v/>
      </c>
      <c r="L2282" s="65" t="str">
        <f>IF(COUNTA(A2282:G2282)=0,"",IF(AND(ISNUMBER(D2282),ISNUMBER(J2282)),ROUND(D2282*J2282*(1-N(F2282)),2),0))</f>
        <v/>
      </c>
      <c r="M2282" s="62" t="str">
        <f>IF(A2282="","",IFERROR(INDEX(fa_cname,MATCH(A2282,fa_num,0))&amp;"",""))</f>
        <v/>
      </c>
      <c r="N2282" s="59" t="str">
        <f>IF(COUNTA(A2282:G2282)=0,"",IF(A2282="","N° facture manquant",IF(ISNA(MATCH(A2282,fa_num,0)),"Facture inconnue",IF(AND(B2282&lt;&gt;"",ISNA(MATCH(B2282,pr_code,0))),"Article inconnu",IF(H2282="","Désignation manquante",IF(OR(NOT(ISNUMBER(D2282)),N(D2282)&lt;=0),"Quantité invalide",IF(J2282="","Prix manquant",IF(OR(NOT(ISNUMBER(J2282)),N(J2282)&lt;0),"Prix invalide",IF(OR(AND(F2282&lt;&gt;"",NOT(ISNUMBER(F2282))),N(F2282)&lt;0,N(F2282)&gt;1),"Remise invalide",IF(K2282="","Taux de TVA manquant",IF(NOT(ISNUMBER(K2282)),"Taux de TVA invalide",IF(COUNTIF(p_rates,K2282)=0,"Taux de TVA hors liste (Paramètres)",IF(N(O2282)&gt;25,"Au-delà de 25 lignes : non imprimée","OK")))))))))))))</f>
        <v/>
      </c>
      <c r="O2282" s="59" t="str">
        <f>IF(A2282="","",COUNTIF($A$6:A2282,A2282))</f>
        <v/>
      </c>
      <c r="P2282" s="62" t="str">
        <f>IF(A2282="","",A2282&amp;"|"&amp;O2282)</f>
        <v/>
      </c>
    </row>
    <row r="2283">
      <c r="A2283" s="60" t="n"/>
      <c r="B2283" s="63" t="n"/>
      <c r="C2283" s="63" t="n"/>
      <c r="D2283" s="67" t="n"/>
      <c r="E2283" s="68" t="n"/>
      <c r="F2283" s="69" t="n"/>
      <c r="G2283" s="70" t="n"/>
      <c r="H2283" s="62" t="str">
        <f>IF(COUNTA(A2283:G2283)=0,"",IF(C2283&lt;&gt;"",C2283,IF(B2283="","",IFERROR(INDEX(pr_des,MATCH(B2283,pr_code,0))&amp;"",""))))</f>
        <v/>
      </c>
      <c r="I2283" s="59" t="str">
        <f>IF(B2283="","",IFERROR(INDEX(pr_unit,MATCH(B2283,pr_code,0))&amp;"",""))</f>
        <v/>
      </c>
      <c r="J2283" s="65" t="str">
        <f>IF(COUNTA(A2283:G2283)=0,"",IF(E2283&lt;&gt;"",E2283,IF(B2283="","",IFERROR(IF(INDEX(pr_price,MATCH(B2283,pr_code,0))="","",INDEX(pr_price,MATCH(B2283,pr_code,0))),""))))</f>
        <v/>
      </c>
      <c r="K2283" s="71" t="str">
        <f>IF(COUNTA(A2283:G2283)=0,"",IF(G2283&lt;&gt;"",G2283,IF(B2283="","",IFERROR(IF(INDEX(pr_rate,MATCH(B2283,pr_code,0))="","",INDEX(pr_rate,MATCH(B2283,pr_code,0))),""))))</f>
        <v/>
      </c>
      <c r="L2283" s="65" t="str">
        <f>IF(COUNTA(A2283:G2283)=0,"",IF(AND(ISNUMBER(D2283),ISNUMBER(J2283)),ROUND(D2283*J2283*(1-N(F2283)),2),0))</f>
        <v/>
      </c>
      <c r="M2283" s="62" t="str">
        <f>IF(A2283="","",IFERROR(INDEX(fa_cname,MATCH(A2283,fa_num,0))&amp;"",""))</f>
        <v/>
      </c>
      <c r="N2283" s="59" t="str">
        <f>IF(COUNTA(A2283:G2283)=0,"",IF(A2283="","N° facture manquant",IF(ISNA(MATCH(A2283,fa_num,0)),"Facture inconnue",IF(AND(B2283&lt;&gt;"",ISNA(MATCH(B2283,pr_code,0))),"Article inconnu",IF(H2283="","Désignation manquante",IF(OR(NOT(ISNUMBER(D2283)),N(D2283)&lt;=0),"Quantité invalide",IF(J2283="","Prix manquant",IF(OR(NOT(ISNUMBER(J2283)),N(J2283)&lt;0),"Prix invalide",IF(OR(AND(F2283&lt;&gt;"",NOT(ISNUMBER(F2283))),N(F2283)&lt;0,N(F2283)&gt;1),"Remise invalide",IF(K2283="","Taux de TVA manquant",IF(NOT(ISNUMBER(K2283)),"Taux de TVA invalide",IF(COUNTIF(p_rates,K2283)=0,"Taux de TVA hors liste (Paramètres)",IF(N(O2283)&gt;25,"Au-delà de 25 lignes : non imprimée","OK")))))))))))))</f>
        <v/>
      </c>
      <c r="O2283" s="59" t="str">
        <f>IF(A2283="","",COUNTIF($A$6:A2283,A2283))</f>
        <v/>
      </c>
      <c r="P2283" s="62" t="str">
        <f>IF(A2283="","",A2283&amp;"|"&amp;O2283)</f>
        <v/>
      </c>
    </row>
    <row r="2284">
      <c r="A2284" s="60" t="n"/>
      <c r="B2284" s="63" t="n"/>
      <c r="C2284" s="63" t="n"/>
      <c r="D2284" s="67" t="n"/>
      <c r="E2284" s="68" t="n"/>
      <c r="F2284" s="69" t="n"/>
      <c r="G2284" s="70" t="n"/>
      <c r="H2284" s="62" t="str">
        <f>IF(COUNTA(A2284:G2284)=0,"",IF(C2284&lt;&gt;"",C2284,IF(B2284="","",IFERROR(INDEX(pr_des,MATCH(B2284,pr_code,0))&amp;"",""))))</f>
        <v/>
      </c>
      <c r="I2284" s="59" t="str">
        <f>IF(B2284="","",IFERROR(INDEX(pr_unit,MATCH(B2284,pr_code,0))&amp;"",""))</f>
        <v/>
      </c>
      <c r="J2284" s="65" t="str">
        <f>IF(COUNTA(A2284:G2284)=0,"",IF(E2284&lt;&gt;"",E2284,IF(B2284="","",IFERROR(IF(INDEX(pr_price,MATCH(B2284,pr_code,0))="","",INDEX(pr_price,MATCH(B2284,pr_code,0))),""))))</f>
        <v/>
      </c>
      <c r="K2284" s="71" t="str">
        <f>IF(COUNTA(A2284:G2284)=0,"",IF(G2284&lt;&gt;"",G2284,IF(B2284="","",IFERROR(IF(INDEX(pr_rate,MATCH(B2284,pr_code,0))="","",INDEX(pr_rate,MATCH(B2284,pr_code,0))),""))))</f>
        <v/>
      </c>
      <c r="L2284" s="65" t="str">
        <f>IF(COUNTA(A2284:G2284)=0,"",IF(AND(ISNUMBER(D2284),ISNUMBER(J2284)),ROUND(D2284*J2284*(1-N(F2284)),2),0))</f>
        <v/>
      </c>
      <c r="M2284" s="62" t="str">
        <f>IF(A2284="","",IFERROR(INDEX(fa_cname,MATCH(A2284,fa_num,0))&amp;"",""))</f>
        <v/>
      </c>
      <c r="N2284" s="59" t="str">
        <f>IF(COUNTA(A2284:G2284)=0,"",IF(A2284="","N° facture manquant",IF(ISNA(MATCH(A2284,fa_num,0)),"Facture inconnue",IF(AND(B2284&lt;&gt;"",ISNA(MATCH(B2284,pr_code,0))),"Article inconnu",IF(H2284="","Désignation manquante",IF(OR(NOT(ISNUMBER(D2284)),N(D2284)&lt;=0),"Quantité invalide",IF(J2284="","Prix manquant",IF(OR(NOT(ISNUMBER(J2284)),N(J2284)&lt;0),"Prix invalide",IF(OR(AND(F2284&lt;&gt;"",NOT(ISNUMBER(F2284))),N(F2284)&lt;0,N(F2284)&gt;1),"Remise invalide",IF(K2284="","Taux de TVA manquant",IF(NOT(ISNUMBER(K2284)),"Taux de TVA invalide",IF(COUNTIF(p_rates,K2284)=0,"Taux de TVA hors liste (Paramètres)",IF(N(O2284)&gt;25,"Au-delà de 25 lignes : non imprimée","OK")))))))))))))</f>
        <v/>
      </c>
      <c r="O2284" s="59" t="str">
        <f>IF(A2284="","",COUNTIF($A$6:A2284,A2284))</f>
        <v/>
      </c>
      <c r="P2284" s="62" t="str">
        <f>IF(A2284="","",A2284&amp;"|"&amp;O2284)</f>
        <v/>
      </c>
    </row>
    <row r="2285">
      <c r="A2285" s="60" t="n"/>
      <c r="B2285" s="63" t="n"/>
      <c r="C2285" s="63" t="n"/>
      <c r="D2285" s="67" t="n"/>
      <c r="E2285" s="68" t="n"/>
      <c r="F2285" s="69" t="n"/>
      <c r="G2285" s="70" t="n"/>
      <c r="H2285" s="62" t="str">
        <f>IF(COUNTA(A2285:G2285)=0,"",IF(C2285&lt;&gt;"",C2285,IF(B2285="","",IFERROR(INDEX(pr_des,MATCH(B2285,pr_code,0))&amp;"",""))))</f>
        <v/>
      </c>
      <c r="I2285" s="59" t="str">
        <f>IF(B2285="","",IFERROR(INDEX(pr_unit,MATCH(B2285,pr_code,0))&amp;"",""))</f>
        <v/>
      </c>
      <c r="J2285" s="65" t="str">
        <f>IF(COUNTA(A2285:G2285)=0,"",IF(E2285&lt;&gt;"",E2285,IF(B2285="","",IFERROR(IF(INDEX(pr_price,MATCH(B2285,pr_code,0))="","",INDEX(pr_price,MATCH(B2285,pr_code,0))),""))))</f>
        <v/>
      </c>
      <c r="K2285" s="71" t="str">
        <f>IF(COUNTA(A2285:G2285)=0,"",IF(G2285&lt;&gt;"",G2285,IF(B2285="","",IFERROR(IF(INDEX(pr_rate,MATCH(B2285,pr_code,0))="","",INDEX(pr_rate,MATCH(B2285,pr_code,0))),""))))</f>
        <v/>
      </c>
      <c r="L2285" s="65" t="str">
        <f>IF(COUNTA(A2285:G2285)=0,"",IF(AND(ISNUMBER(D2285),ISNUMBER(J2285)),ROUND(D2285*J2285*(1-N(F2285)),2),0))</f>
        <v/>
      </c>
      <c r="M2285" s="62" t="str">
        <f>IF(A2285="","",IFERROR(INDEX(fa_cname,MATCH(A2285,fa_num,0))&amp;"",""))</f>
        <v/>
      </c>
      <c r="N2285" s="59" t="str">
        <f>IF(COUNTA(A2285:G2285)=0,"",IF(A2285="","N° facture manquant",IF(ISNA(MATCH(A2285,fa_num,0)),"Facture inconnue",IF(AND(B2285&lt;&gt;"",ISNA(MATCH(B2285,pr_code,0))),"Article inconnu",IF(H2285="","Désignation manquante",IF(OR(NOT(ISNUMBER(D2285)),N(D2285)&lt;=0),"Quantité invalide",IF(J2285="","Prix manquant",IF(OR(NOT(ISNUMBER(J2285)),N(J2285)&lt;0),"Prix invalide",IF(OR(AND(F2285&lt;&gt;"",NOT(ISNUMBER(F2285))),N(F2285)&lt;0,N(F2285)&gt;1),"Remise invalide",IF(K2285="","Taux de TVA manquant",IF(NOT(ISNUMBER(K2285)),"Taux de TVA invalide",IF(COUNTIF(p_rates,K2285)=0,"Taux de TVA hors liste (Paramètres)",IF(N(O2285)&gt;25,"Au-delà de 25 lignes : non imprimée","OK")))))))))))))</f>
        <v/>
      </c>
      <c r="O2285" s="59" t="str">
        <f>IF(A2285="","",COUNTIF($A$6:A2285,A2285))</f>
        <v/>
      </c>
      <c r="P2285" s="62" t="str">
        <f>IF(A2285="","",A2285&amp;"|"&amp;O2285)</f>
        <v/>
      </c>
    </row>
    <row r="2286">
      <c r="A2286" s="60" t="n"/>
      <c r="B2286" s="63" t="n"/>
      <c r="C2286" s="63" t="n"/>
      <c r="D2286" s="67" t="n"/>
      <c r="E2286" s="68" t="n"/>
      <c r="F2286" s="69" t="n"/>
      <c r="G2286" s="70" t="n"/>
      <c r="H2286" s="62" t="str">
        <f>IF(COUNTA(A2286:G2286)=0,"",IF(C2286&lt;&gt;"",C2286,IF(B2286="","",IFERROR(INDEX(pr_des,MATCH(B2286,pr_code,0))&amp;"",""))))</f>
        <v/>
      </c>
      <c r="I2286" s="59" t="str">
        <f>IF(B2286="","",IFERROR(INDEX(pr_unit,MATCH(B2286,pr_code,0))&amp;"",""))</f>
        <v/>
      </c>
      <c r="J2286" s="65" t="str">
        <f>IF(COUNTA(A2286:G2286)=0,"",IF(E2286&lt;&gt;"",E2286,IF(B2286="","",IFERROR(IF(INDEX(pr_price,MATCH(B2286,pr_code,0))="","",INDEX(pr_price,MATCH(B2286,pr_code,0))),""))))</f>
        <v/>
      </c>
      <c r="K2286" s="71" t="str">
        <f>IF(COUNTA(A2286:G2286)=0,"",IF(G2286&lt;&gt;"",G2286,IF(B2286="","",IFERROR(IF(INDEX(pr_rate,MATCH(B2286,pr_code,0))="","",INDEX(pr_rate,MATCH(B2286,pr_code,0))),""))))</f>
        <v/>
      </c>
      <c r="L2286" s="65" t="str">
        <f>IF(COUNTA(A2286:G2286)=0,"",IF(AND(ISNUMBER(D2286),ISNUMBER(J2286)),ROUND(D2286*J2286*(1-N(F2286)),2),0))</f>
        <v/>
      </c>
      <c r="M2286" s="62" t="str">
        <f>IF(A2286="","",IFERROR(INDEX(fa_cname,MATCH(A2286,fa_num,0))&amp;"",""))</f>
        <v/>
      </c>
      <c r="N2286" s="59" t="str">
        <f>IF(COUNTA(A2286:G2286)=0,"",IF(A2286="","N° facture manquant",IF(ISNA(MATCH(A2286,fa_num,0)),"Facture inconnue",IF(AND(B2286&lt;&gt;"",ISNA(MATCH(B2286,pr_code,0))),"Article inconnu",IF(H2286="","Désignation manquante",IF(OR(NOT(ISNUMBER(D2286)),N(D2286)&lt;=0),"Quantité invalide",IF(J2286="","Prix manquant",IF(OR(NOT(ISNUMBER(J2286)),N(J2286)&lt;0),"Prix invalide",IF(OR(AND(F2286&lt;&gt;"",NOT(ISNUMBER(F2286))),N(F2286)&lt;0,N(F2286)&gt;1),"Remise invalide",IF(K2286="","Taux de TVA manquant",IF(NOT(ISNUMBER(K2286)),"Taux de TVA invalide",IF(COUNTIF(p_rates,K2286)=0,"Taux de TVA hors liste (Paramètres)",IF(N(O2286)&gt;25,"Au-delà de 25 lignes : non imprimée","OK")))))))))))))</f>
        <v/>
      </c>
      <c r="O2286" s="59" t="str">
        <f>IF(A2286="","",COUNTIF($A$6:A2286,A2286))</f>
        <v/>
      </c>
      <c r="P2286" s="62" t="str">
        <f>IF(A2286="","",A2286&amp;"|"&amp;O2286)</f>
        <v/>
      </c>
    </row>
    <row r="2287">
      <c r="A2287" s="60" t="n"/>
      <c r="B2287" s="63" t="n"/>
      <c r="C2287" s="63" t="n"/>
      <c r="D2287" s="67" t="n"/>
      <c r="E2287" s="68" t="n"/>
      <c r="F2287" s="69" t="n"/>
      <c r="G2287" s="70" t="n"/>
      <c r="H2287" s="62" t="str">
        <f>IF(COUNTA(A2287:G2287)=0,"",IF(C2287&lt;&gt;"",C2287,IF(B2287="","",IFERROR(INDEX(pr_des,MATCH(B2287,pr_code,0))&amp;"",""))))</f>
        <v/>
      </c>
      <c r="I2287" s="59" t="str">
        <f>IF(B2287="","",IFERROR(INDEX(pr_unit,MATCH(B2287,pr_code,0))&amp;"",""))</f>
        <v/>
      </c>
      <c r="J2287" s="65" t="str">
        <f>IF(COUNTA(A2287:G2287)=0,"",IF(E2287&lt;&gt;"",E2287,IF(B2287="","",IFERROR(IF(INDEX(pr_price,MATCH(B2287,pr_code,0))="","",INDEX(pr_price,MATCH(B2287,pr_code,0))),""))))</f>
        <v/>
      </c>
      <c r="K2287" s="71" t="str">
        <f>IF(COUNTA(A2287:G2287)=0,"",IF(G2287&lt;&gt;"",G2287,IF(B2287="","",IFERROR(IF(INDEX(pr_rate,MATCH(B2287,pr_code,0))="","",INDEX(pr_rate,MATCH(B2287,pr_code,0))),""))))</f>
        <v/>
      </c>
      <c r="L2287" s="65" t="str">
        <f>IF(COUNTA(A2287:G2287)=0,"",IF(AND(ISNUMBER(D2287),ISNUMBER(J2287)),ROUND(D2287*J2287*(1-N(F2287)),2),0))</f>
        <v/>
      </c>
      <c r="M2287" s="62" t="str">
        <f>IF(A2287="","",IFERROR(INDEX(fa_cname,MATCH(A2287,fa_num,0))&amp;"",""))</f>
        <v/>
      </c>
      <c r="N2287" s="59" t="str">
        <f>IF(COUNTA(A2287:G2287)=0,"",IF(A2287="","N° facture manquant",IF(ISNA(MATCH(A2287,fa_num,0)),"Facture inconnue",IF(AND(B2287&lt;&gt;"",ISNA(MATCH(B2287,pr_code,0))),"Article inconnu",IF(H2287="","Désignation manquante",IF(OR(NOT(ISNUMBER(D2287)),N(D2287)&lt;=0),"Quantité invalide",IF(J2287="","Prix manquant",IF(OR(NOT(ISNUMBER(J2287)),N(J2287)&lt;0),"Prix invalide",IF(OR(AND(F2287&lt;&gt;"",NOT(ISNUMBER(F2287))),N(F2287)&lt;0,N(F2287)&gt;1),"Remise invalide",IF(K2287="","Taux de TVA manquant",IF(NOT(ISNUMBER(K2287)),"Taux de TVA invalide",IF(COUNTIF(p_rates,K2287)=0,"Taux de TVA hors liste (Paramètres)",IF(N(O2287)&gt;25,"Au-delà de 25 lignes : non imprimée","OK")))))))))))))</f>
        <v/>
      </c>
      <c r="O2287" s="59" t="str">
        <f>IF(A2287="","",COUNTIF($A$6:A2287,A2287))</f>
        <v/>
      </c>
      <c r="P2287" s="62" t="str">
        <f>IF(A2287="","",A2287&amp;"|"&amp;O2287)</f>
        <v/>
      </c>
    </row>
    <row r="2288">
      <c r="A2288" s="60" t="n"/>
      <c r="B2288" s="63" t="n"/>
      <c r="C2288" s="63" t="n"/>
      <c r="D2288" s="67" t="n"/>
      <c r="E2288" s="68" t="n"/>
      <c r="F2288" s="69" t="n"/>
      <c r="G2288" s="70" t="n"/>
      <c r="H2288" s="62" t="str">
        <f>IF(COUNTA(A2288:G2288)=0,"",IF(C2288&lt;&gt;"",C2288,IF(B2288="","",IFERROR(INDEX(pr_des,MATCH(B2288,pr_code,0))&amp;"",""))))</f>
        <v/>
      </c>
      <c r="I2288" s="59" t="str">
        <f>IF(B2288="","",IFERROR(INDEX(pr_unit,MATCH(B2288,pr_code,0))&amp;"",""))</f>
        <v/>
      </c>
      <c r="J2288" s="65" t="str">
        <f>IF(COUNTA(A2288:G2288)=0,"",IF(E2288&lt;&gt;"",E2288,IF(B2288="","",IFERROR(IF(INDEX(pr_price,MATCH(B2288,pr_code,0))="","",INDEX(pr_price,MATCH(B2288,pr_code,0))),""))))</f>
        <v/>
      </c>
      <c r="K2288" s="71" t="str">
        <f>IF(COUNTA(A2288:G2288)=0,"",IF(G2288&lt;&gt;"",G2288,IF(B2288="","",IFERROR(IF(INDEX(pr_rate,MATCH(B2288,pr_code,0))="","",INDEX(pr_rate,MATCH(B2288,pr_code,0))),""))))</f>
        <v/>
      </c>
      <c r="L2288" s="65" t="str">
        <f>IF(COUNTA(A2288:G2288)=0,"",IF(AND(ISNUMBER(D2288),ISNUMBER(J2288)),ROUND(D2288*J2288*(1-N(F2288)),2),0))</f>
        <v/>
      </c>
      <c r="M2288" s="62" t="str">
        <f>IF(A2288="","",IFERROR(INDEX(fa_cname,MATCH(A2288,fa_num,0))&amp;"",""))</f>
        <v/>
      </c>
      <c r="N2288" s="59" t="str">
        <f>IF(COUNTA(A2288:G2288)=0,"",IF(A2288="","N° facture manquant",IF(ISNA(MATCH(A2288,fa_num,0)),"Facture inconnue",IF(AND(B2288&lt;&gt;"",ISNA(MATCH(B2288,pr_code,0))),"Article inconnu",IF(H2288="","Désignation manquante",IF(OR(NOT(ISNUMBER(D2288)),N(D2288)&lt;=0),"Quantité invalide",IF(J2288="","Prix manquant",IF(OR(NOT(ISNUMBER(J2288)),N(J2288)&lt;0),"Prix invalide",IF(OR(AND(F2288&lt;&gt;"",NOT(ISNUMBER(F2288))),N(F2288)&lt;0,N(F2288)&gt;1),"Remise invalide",IF(K2288="","Taux de TVA manquant",IF(NOT(ISNUMBER(K2288)),"Taux de TVA invalide",IF(COUNTIF(p_rates,K2288)=0,"Taux de TVA hors liste (Paramètres)",IF(N(O2288)&gt;25,"Au-delà de 25 lignes : non imprimée","OK")))))))))))))</f>
        <v/>
      </c>
      <c r="O2288" s="59" t="str">
        <f>IF(A2288="","",COUNTIF($A$6:A2288,A2288))</f>
        <v/>
      </c>
      <c r="P2288" s="62" t="str">
        <f>IF(A2288="","",A2288&amp;"|"&amp;O2288)</f>
        <v/>
      </c>
    </row>
    <row r="2289">
      <c r="A2289" s="60" t="n"/>
      <c r="B2289" s="63" t="n"/>
      <c r="C2289" s="63" t="n"/>
      <c r="D2289" s="67" t="n"/>
      <c r="E2289" s="68" t="n"/>
      <c r="F2289" s="69" t="n"/>
      <c r="G2289" s="70" t="n"/>
      <c r="H2289" s="62" t="str">
        <f>IF(COUNTA(A2289:G2289)=0,"",IF(C2289&lt;&gt;"",C2289,IF(B2289="","",IFERROR(INDEX(pr_des,MATCH(B2289,pr_code,0))&amp;"",""))))</f>
        <v/>
      </c>
      <c r="I2289" s="59" t="str">
        <f>IF(B2289="","",IFERROR(INDEX(pr_unit,MATCH(B2289,pr_code,0))&amp;"",""))</f>
        <v/>
      </c>
      <c r="J2289" s="65" t="str">
        <f>IF(COUNTA(A2289:G2289)=0,"",IF(E2289&lt;&gt;"",E2289,IF(B2289="","",IFERROR(IF(INDEX(pr_price,MATCH(B2289,pr_code,0))="","",INDEX(pr_price,MATCH(B2289,pr_code,0))),""))))</f>
        <v/>
      </c>
      <c r="K2289" s="71" t="str">
        <f>IF(COUNTA(A2289:G2289)=0,"",IF(G2289&lt;&gt;"",G2289,IF(B2289="","",IFERROR(IF(INDEX(pr_rate,MATCH(B2289,pr_code,0))="","",INDEX(pr_rate,MATCH(B2289,pr_code,0))),""))))</f>
        <v/>
      </c>
      <c r="L2289" s="65" t="str">
        <f>IF(COUNTA(A2289:G2289)=0,"",IF(AND(ISNUMBER(D2289),ISNUMBER(J2289)),ROUND(D2289*J2289*(1-N(F2289)),2),0))</f>
        <v/>
      </c>
      <c r="M2289" s="62" t="str">
        <f>IF(A2289="","",IFERROR(INDEX(fa_cname,MATCH(A2289,fa_num,0))&amp;"",""))</f>
        <v/>
      </c>
      <c r="N2289" s="59" t="str">
        <f>IF(COUNTA(A2289:G2289)=0,"",IF(A2289="","N° facture manquant",IF(ISNA(MATCH(A2289,fa_num,0)),"Facture inconnue",IF(AND(B2289&lt;&gt;"",ISNA(MATCH(B2289,pr_code,0))),"Article inconnu",IF(H2289="","Désignation manquante",IF(OR(NOT(ISNUMBER(D2289)),N(D2289)&lt;=0),"Quantité invalide",IF(J2289="","Prix manquant",IF(OR(NOT(ISNUMBER(J2289)),N(J2289)&lt;0),"Prix invalide",IF(OR(AND(F2289&lt;&gt;"",NOT(ISNUMBER(F2289))),N(F2289)&lt;0,N(F2289)&gt;1),"Remise invalide",IF(K2289="","Taux de TVA manquant",IF(NOT(ISNUMBER(K2289)),"Taux de TVA invalide",IF(COUNTIF(p_rates,K2289)=0,"Taux de TVA hors liste (Paramètres)",IF(N(O2289)&gt;25,"Au-delà de 25 lignes : non imprimée","OK")))))))))))))</f>
        <v/>
      </c>
      <c r="O2289" s="59" t="str">
        <f>IF(A2289="","",COUNTIF($A$6:A2289,A2289))</f>
        <v/>
      </c>
      <c r="P2289" s="62" t="str">
        <f>IF(A2289="","",A2289&amp;"|"&amp;O2289)</f>
        <v/>
      </c>
    </row>
    <row r="2290">
      <c r="A2290" s="60" t="n"/>
      <c r="B2290" s="63" t="n"/>
      <c r="C2290" s="63" t="n"/>
      <c r="D2290" s="67" t="n"/>
      <c r="E2290" s="68" t="n"/>
      <c r="F2290" s="69" t="n"/>
      <c r="G2290" s="70" t="n"/>
      <c r="H2290" s="62" t="str">
        <f>IF(COUNTA(A2290:G2290)=0,"",IF(C2290&lt;&gt;"",C2290,IF(B2290="","",IFERROR(INDEX(pr_des,MATCH(B2290,pr_code,0))&amp;"",""))))</f>
        <v/>
      </c>
      <c r="I2290" s="59" t="str">
        <f>IF(B2290="","",IFERROR(INDEX(pr_unit,MATCH(B2290,pr_code,0))&amp;"",""))</f>
        <v/>
      </c>
      <c r="J2290" s="65" t="str">
        <f>IF(COUNTA(A2290:G2290)=0,"",IF(E2290&lt;&gt;"",E2290,IF(B2290="","",IFERROR(IF(INDEX(pr_price,MATCH(B2290,pr_code,0))="","",INDEX(pr_price,MATCH(B2290,pr_code,0))),""))))</f>
        <v/>
      </c>
      <c r="K2290" s="71" t="str">
        <f>IF(COUNTA(A2290:G2290)=0,"",IF(G2290&lt;&gt;"",G2290,IF(B2290="","",IFERROR(IF(INDEX(pr_rate,MATCH(B2290,pr_code,0))="","",INDEX(pr_rate,MATCH(B2290,pr_code,0))),""))))</f>
        <v/>
      </c>
      <c r="L2290" s="65" t="str">
        <f>IF(COUNTA(A2290:G2290)=0,"",IF(AND(ISNUMBER(D2290),ISNUMBER(J2290)),ROUND(D2290*J2290*(1-N(F2290)),2),0))</f>
        <v/>
      </c>
      <c r="M2290" s="62" t="str">
        <f>IF(A2290="","",IFERROR(INDEX(fa_cname,MATCH(A2290,fa_num,0))&amp;"",""))</f>
        <v/>
      </c>
      <c r="N2290" s="59" t="str">
        <f>IF(COUNTA(A2290:G2290)=0,"",IF(A2290="","N° facture manquant",IF(ISNA(MATCH(A2290,fa_num,0)),"Facture inconnue",IF(AND(B2290&lt;&gt;"",ISNA(MATCH(B2290,pr_code,0))),"Article inconnu",IF(H2290="","Désignation manquante",IF(OR(NOT(ISNUMBER(D2290)),N(D2290)&lt;=0),"Quantité invalide",IF(J2290="","Prix manquant",IF(OR(NOT(ISNUMBER(J2290)),N(J2290)&lt;0),"Prix invalide",IF(OR(AND(F2290&lt;&gt;"",NOT(ISNUMBER(F2290))),N(F2290)&lt;0,N(F2290)&gt;1),"Remise invalide",IF(K2290="","Taux de TVA manquant",IF(NOT(ISNUMBER(K2290)),"Taux de TVA invalide",IF(COUNTIF(p_rates,K2290)=0,"Taux de TVA hors liste (Paramètres)",IF(N(O2290)&gt;25,"Au-delà de 25 lignes : non imprimée","OK")))))))))))))</f>
        <v/>
      </c>
      <c r="O2290" s="59" t="str">
        <f>IF(A2290="","",COUNTIF($A$6:A2290,A2290))</f>
        <v/>
      </c>
      <c r="P2290" s="62" t="str">
        <f>IF(A2290="","",A2290&amp;"|"&amp;O2290)</f>
        <v/>
      </c>
    </row>
    <row r="2291">
      <c r="A2291" s="60" t="n"/>
      <c r="B2291" s="63" t="n"/>
      <c r="C2291" s="63" t="n"/>
      <c r="D2291" s="67" t="n"/>
      <c r="E2291" s="68" t="n"/>
      <c r="F2291" s="69" t="n"/>
      <c r="G2291" s="70" t="n"/>
      <c r="H2291" s="62" t="str">
        <f>IF(COUNTA(A2291:G2291)=0,"",IF(C2291&lt;&gt;"",C2291,IF(B2291="","",IFERROR(INDEX(pr_des,MATCH(B2291,pr_code,0))&amp;"",""))))</f>
        <v/>
      </c>
      <c r="I2291" s="59" t="str">
        <f>IF(B2291="","",IFERROR(INDEX(pr_unit,MATCH(B2291,pr_code,0))&amp;"",""))</f>
        <v/>
      </c>
      <c r="J2291" s="65" t="str">
        <f>IF(COUNTA(A2291:G2291)=0,"",IF(E2291&lt;&gt;"",E2291,IF(B2291="","",IFERROR(IF(INDEX(pr_price,MATCH(B2291,pr_code,0))="","",INDEX(pr_price,MATCH(B2291,pr_code,0))),""))))</f>
        <v/>
      </c>
      <c r="K2291" s="71" t="str">
        <f>IF(COUNTA(A2291:G2291)=0,"",IF(G2291&lt;&gt;"",G2291,IF(B2291="","",IFERROR(IF(INDEX(pr_rate,MATCH(B2291,pr_code,0))="","",INDEX(pr_rate,MATCH(B2291,pr_code,0))),""))))</f>
        <v/>
      </c>
      <c r="L2291" s="65" t="str">
        <f>IF(COUNTA(A2291:G2291)=0,"",IF(AND(ISNUMBER(D2291),ISNUMBER(J2291)),ROUND(D2291*J2291*(1-N(F2291)),2),0))</f>
        <v/>
      </c>
      <c r="M2291" s="62" t="str">
        <f>IF(A2291="","",IFERROR(INDEX(fa_cname,MATCH(A2291,fa_num,0))&amp;"",""))</f>
        <v/>
      </c>
      <c r="N2291" s="59" t="str">
        <f>IF(COUNTA(A2291:G2291)=0,"",IF(A2291="","N° facture manquant",IF(ISNA(MATCH(A2291,fa_num,0)),"Facture inconnue",IF(AND(B2291&lt;&gt;"",ISNA(MATCH(B2291,pr_code,0))),"Article inconnu",IF(H2291="","Désignation manquante",IF(OR(NOT(ISNUMBER(D2291)),N(D2291)&lt;=0),"Quantité invalide",IF(J2291="","Prix manquant",IF(OR(NOT(ISNUMBER(J2291)),N(J2291)&lt;0),"Prix invalide",IF(OR(AND(F2291&lt;&gt;"",NOT(ISNUMBER(F2291))),N(F2291)&lt;0,N(F2291)&gt;1),"Remise invalide",IF(K2291="","Taux de TVA manquant",IF(NOT(ISNUMBER(K2291)),"Taux de TVA invalide",IF(COUNTIF(p_rates,K2291)=0,"Taux de TVA hors liste (Paramètres)",IF(N(O2291)&gt;25,"Au-delà de 25 lignes : non imprimée","OK")))))))))))))</f>
        <v/>
      </c>
      <c r="O2291" s="59" t="str">
        <f>IF(A2291="","",COUNTIF($A$6:A2291,A2291))</f>
        <v/>
      </c>
      <c r="P2291" s="62" t="str">
        <f>IF(A2291="","",A2291&amp;"|"&amp;O2291)</f>
        <v/>
      </c>
    </row>
    <row r="2292">
      <c r="A2292" s="60" t="n"/>
      <c r="B2292" s="63" t="n"/>
      <c r="C2292" s="63" t="n"/>
      <c r="D2292" s="67" t="n"/>
      <c r="E2292" s="68" t="n"/>
      <c r="F2292" s="69" t="n"/>
      <c r="G2292" s="70" t="n"/>
      <c r="H2292" s="62" t="str">
        <f>IF(COUNTA(A2292:G2292)=0,"",IF(C2292&lt;&gt;"",C2292,IF(B2292="","",IFERROR(INDEX(pr_des,MATCH(B2292,pr_code,0))&amp;"",""))))</f>
        <v/>
      </c>
      <c r="I2292" s="59" t="str">
        <f>IF(B2292="","",IFERROR(INDEX(pr_unit,MATCH(B2292,pr_code,0))&amp;"",""))</f>
        <v/>
      </c>
      <c r="J2292" s="65" t="str">
        <f>IF(COUNTA(A2292:G2292)=0,"",IF(E2292&lt;&gt;"",E2292,IF(B2292="","",IFERROR(IF(INDEX(pr_price,MATCH(B2292,pr_code,0))="","",INDEX(pr_price,MATCH(B2292,pr_code,0))),""))))</f>
        <v/>
      </c>
      <c r="K2292" s="71" t="str">
        <f>IF(COUNTA(A2292:G2292)=0,"",IF(G2292&lt;&gt;"",G2292,IF(B2292="","",IFERROR(IF(INDEX(pr_rate,MATCH(B2292,pr_code,0))="","",INDEX(pr_rate,MATCH(B2292,pr_code,0))),""))))</f>
        <v/>
      </c>
      <c r="L2292" s="65" t="str">
        <f>IF(COUNTA(A2292:G2292)=0,"",IF(AND(ISNUMBER(D2292),ISNUMBER(J2292)),ROUND(D2292*J2292*(1-N(F2292)),2),0))</f>
        <v/>
      </c>
      <c r="M2292" s="62" t="str">
        <f>IF(A2292="","",IFERROR(INDEX(fa_cname,MATCH(A2292,fa_num,0))&amp;"",""))</f>
        <v/>
      </c>
      <c r="N2292" s="59" t="str">
        <f>IF(COUNTA(A2292:G2292)=0,"",IF(A2292="","N° facture manquant",IF(ISNA(MATCH(A2292,fa_num,0)),"Facture inconnue",IF(AND(B2292&lt;&gt;"",ISNA(MATCH(B2292,pr_code,0))),"Article inconnu",IF(H2292="","Désignation manquante",IF(OR(NOT(ISNUMBER(D2292)),N(D2292)&lt;=0),"Quantité invalide",IF(J2292="","Prix manquant",IF(OR(NOT(ISNUMBER(J2292)),N(J2292)&lt;0),"Prix invalide",IF(OR(AND(F2292&lt;&gt;"",NOT(ISNUMBER(F2292))),N(F2292)&lt;0,N(F2292)&gt;1),"Remise invalide",IF(K2292="","Taux de TVA manquant",IF(NOT(ISNUMBER(K2292)),"Taux de TVA invalide",IF(COUNTIF(p_rates,K2292)=0,"Taux de TVA hors liste (Paramètres)",IF(N(O2292)&gt;25,"Au-delà de 25 lignes : non imprimée","OK")))))))))))))</f>
        <v/>
      </c>
      <c r="O2292" s="59" t="str">
        <f>IF(A2292="","",COUNTIF($A$6:A2292,A2292))</f>
        <v/>
      </c>
      <c r="P2292" s="62" t="str">
        <f>IF(A2292="","",A2292&amp;"|"&amp;O2292)</f>
        <v/>
      </c>
    </row>
    <row r="2293">
      <c r="A2293" s="60" t="n"/>
      <c r="B2293" s="63" t="n"/>
      <c r="C2293" s="63" t="n"/>
      <c r="D2293" s="67" t="n"/>
      <c r="E2293" s="68" t="n"/>
      <c r="F2293" s="69" t="n"/>
      <c r="G2293" s="70" t="n"/>
      <c r="H2293" s="62" t="str">
        <f>IF(COUNTA(A2293:G2293)=0,"",IF(C2293&lt;&gt;"",C2293,IF(B2293="","",IFERROR(INDEX(pr_des,MATCH(B2293,pr_code,0))&amp;"",""))))</f>
        <v/>
      </c>
      <c r="I2293" s="59" t="str">
        <f>IF(B2293="","",IFERROR(INDEX(pr_unit,MATCH(B2293,pr_code,0))&amp;"",""))</f>
        <v/>
      </c>
      <c r="J2293" s="65" t="str">
        <f>IF(COUNTA(A2293:G2293)=0,"",IF(E2293&lt;&gt;"",E2293,IF(B2293="","",IFERROR(IF(INDEX(pr_price,MATCH(B2293,pr_code,0))="","",INDEX(pr_price,MATCH(B2293,pr_code,0))),""))))</f>
        <v/>
      </c>
      <c r="K2293" s="71" t="str">
        <f>IF(COUNTA(A2293:G2293)=0,"",IF(G2293&lt;&gt;"",G2293,IF(B2293="","",IFERROR(IF(INDEX(pr_rate,MATCH(B2293,pr_code,0))="","",INDEX(pr_rate,MATCH(B2293,pr_code,0))),""))))</f>
        <v/>
      </c>
      <c r="L2293" s="65" t="str">
        <f>IF(COUNTA(A2293:G2293)=0,"",IF(AND(ISNUMBER(D2293),ISNUMBER(J2293)),ROUND(D2293*J2293*(1-N(F2293)),2),0))</f>
        <v/>
      </c>
      <c r="M2293" s="62" t="str">
        <f>IF(A2293="","",IFERROR(INDEX(fa_cname,MATCH(A2293,fa_num,0))&amp;"",""))</f>
        <v/>
      </c>
      <c r="N2293" s="59" t="str">
        <f>IF(COUNTA(A2293:G2293)=0,"",IF(A2293="","N° facture manquant",IF(ISNA(MATCH(A2293,fa_num,0)),"Facture inconnue",IF(AND(B2293&lt;&gt;"",ISNA(MATCH(B2293,pr_code,0))),"Article inconnu",IF(H2293="","Désignation manquante",IF(OR(NOT(ISNUMBER(D2293)),N(D2293)&lt;=0),"Quantité invalide",IF(J2293="","Prix manquant",IF(OR(NOT(ISNUMBER(J2293)),N(J2293)&lt;0),"Prix invalide",IF(OR(AND(F2293&lt;&gt;"",NOT(ISNUMBER(F2293))),N(F2293)&lt;0,N(F2293)&gt;1),"Remise invalide",IF(K2293="","Taux de TVA manquant",IF(NOT(ISNUMBER(K2293)),"Taux de TVA invalide",IF(COUNTIF(p_rates,K2293)=0,"Taux de TVA hors liste (Paramètres)",IF(N(O2293)&gt;25,"Au-delà de 25 lignes : non imprimée","OK")))))))))))))</f>
        <v/>
      </c>
      <c r="O2293" s="59" t="str">
        <f>IF(A2293="","",COUNTIF($A$6:A2293,A2293))</f>
        <v/>
      </c>
      <c r="P2293" s="62" t="str">
        <f>IF(A2293="","",A2293&amp;"|"&amp;O2293)</f>
        <v/>
      </c>
    </row>
    <row r="2294">
      <c r="A2294" s="60" t="n"/>
      <c r="B2294" s="63" t="n"/>
      <c r="C2294" s="63" t="n"/>
      <c r="D2294" s="67" t="n"/>
      <c r="E2294" s="68" t="n"/>
      <c r="F2294" s="69" t="n"/>
      <c r="G2294" s="70" t="n"/>
      <c r="H2294" s="62" t="str">
        <f>IF(COUNTA(A2294:G2294)=0,"",IF(C2294&lt;&gt;"",C2294,IF(B2294="","",IFERROR(INDEX(pr_des,MATCH(B2294,pr_code,0))&amp;"",""))))</f>
        <v/>
      </c>
      <c r="I2294" s="59" t="str">
        <f>IF(B2294="","",IFERROR(INDEX(pr_unit,MATCH(B2294,pr_code,0))&amp;"",""))</f>
        <v/>
      </c>
      <c r="J2294" s="65" t="str">
        <f>IF(COUNTA(A2294:G2294)=0,"",IF(E2294&lt;&gt;"",E2294,IF(B2294="","",IFERROR(IF(INDEX(pr_price,MATCH(B2294,pr_code,0))="","",INDEX(pr_price,MATCH(B2294,pr_code,0))),""))))</f>
        <v/>
      </c>
      <c r="K2294" s="71" t="str">
        <f>IF(COUNTA(A2294:G2294)=0,"",IF(G2294&lt;&gt;"",G2294,IF(B2294="","",IFERROR(IF(INDEX(pr_rate,MATCH(B2294,pr_code,0))="","",INDEX(pr_rate,MATCH(B2294,pr_code,0))),""))))</f>
        <v/>
      </c>
      <c r="L2294" s="65" t="str">
        <f>IF(COUNTA(A2294:G2294)=0,"",IF(AND(ISNUMBER(D2294),ISNUMBER(J2294)),ROUND(D2294*J2294*(1-N(F2294)),2),0))</f>
        <v/>
      </c>
      <c r="M2294" s="62" t="str">
        <f>IF(A2294="","",IFERROR(INDEX(fa_cname,MATCH(A2294,fa_num,0))&amp;"",""))</f>
        <v/>
      </c>
      <c r="N2294" s="59" t="str">
        <f>IF(COUNTA(A2294:G2294)=0,"",IF(A2294="","N° facture manquant",IF(ISNA(MATCH(A2294,fa_num,0)),"Facture inconnue",IF(AND(B2294&lt;&gt;"",ISNA(MATCH(B2294,pr_code,0))),"Article inconnu",IF(H2294="","Désignation manquante",IF(OR(NOT(ISNUMBER(D2294)),N(D2294)&lt;=0),"Quantité invalide",IF(J2294="","Prix manquant",IF(OR(NOT(ISNUMBER(J2294)),N(J2294)&lt;0),"Prix invalide",IF(OR(AND(F2294&lt;&gt;"",NOT(ISNUMBER(F2294))),N(F2294)&lt;0,N(F2294)&gt;1),"Remise invalide",IF(K2294="","Taux de TVA manquant",IF(NOT(ISNUMBER(K2294)),"Taux de TVA invalide",IF(COUNTIF(p_rates,K2294)=0,"Taux de TVA hors liste (Paramètres)",IF(N(O2294)&gt;25,"Au-delà de 25 lignes : non imprimée","OK")))))))))))))</f>
        <v/>
      </c>
      <c r="O2294" s="59" t="str">
        <f>IF(A2294="","",COUNTIF($A$6:A2294,A2294))</f>
        <v/>
      </c>
      <c r="P2294" s="62" t="str">
        <f>IF(A2294="","",A2294&amp;"|"&amp;O2294)</f>
        <v/>
      </c>
    </row>
    <row r="2295">
      <c r="A2295" s="60" t="n"/>
      <c r="B2295" s="63" t="n"/>
      <c r="C2295" s="63" t="n"/>
      <c r="D2295" s="67" t="n"/>
      <c r="E2295" s="68" t="n"/>
      <c r="F2295" s="69" t="n"/>
      <c r="G2295" s="70" t="n"/>
      <c r="H2295" s="62" t="str">
        <f>IF(COUNTA(A2295:G2295)=0,"",IF(C2295&lt;&gt;"",C2295,IF(B2295="","",IFERROR(INDEX(pr_des,MATCH(B2295,pr_code,0))&amp;"",""))))</f>
        <v/>
      </c>
      <c r="I2295" s="59" t="str">
        <f>IF(B2295="","",IFERROR(INDEX(pr_unit,MATCH(B2295,pr_code,0))&amp;"",""))</f>
        <v/>
      </c>
      <c r="J2295" s="65" t="str">
        <f>IF(COUNTA(A2295:G2295)=0,"",IF(E2295&lt;&gt;"",E2295,IF(B2295="","",IFERROR(IF(INDEX(pr_price,MATCH(B2295,pr_code,0))="","",INDEX(pr_price,MATCH(B2295,pr_code,0))),""))))</f>
        <v/>
      </c>
      <c r="K2295" s="71" t="str">
        <f>IF(COUNTA(A2295:G2295)=0,"",IF(G2295&lt;&gt;"",G2295,IF(B2295="","",IFERROR(IF(INDEX(pr_rate,MATCH(B2295,pr_code,0))="","",INDEX(pr_rate,MATCH(B2295,pr_code,0))),""))))</f>
        <v/>
      </c>
      <c r="L2295" s="65" t="str">
        <f>IF(COUNTA(A2295:G2295)=0,"",IF(AND(ISNUMBER(D2295),ISNUMBER(J2295)),ROUND(D2295*J2295*(1-N(F2295)),2),0))</f>
        <v/>
      </c>
      <c r="M2295" s="62" t="str">
        <f>IF(A2295="","",IFERROR(INDEX(fa_cname,MATCH(A2295,fa_num,0))&amp;"",""))</f>
        <v/>
      </c>
      <c r="N2295" s="59" t="str">
        <f>IF(COUNTA(A2295:G2295)=0,"",IF(A2295="","N° facture manquant",IF(ISNA(MATCH(A2295,fa_num,0)),"Facture inconnue",IF(AND(B2295&lt;&gt;"",ISNA(MATCH(B2295,pr_code,0))),"Article inconnu",IF(H2295="","Désignation manquante",IF(OR(NOT(ISNUMBER(D2295)),N(D2295)&lt;=0),"Quantité invalide",IF(J2295="","Prix manquant",IF(OR(NOT(ISNUMBER(J2295)),N(J2295)&lt;0),"Prix invalide",IF(OR(AND(F2295&lt;&gt;"",NOT(ISNUMBER(F2295))),N(F2295)&lt;0,N(F2295)&gt;1),"Remise invalide",IF(K2295="","Taux de TVA manquant",IF(NOT(ISNUMBER(K2295)),"Taux de TVA invalide",IF(COUNTIF(p_rates,K2295)=0,"Taux de TVA hors liste (Paramètres)",IF(N(O2295)&gt;25,"Au-delà de 25 lignes : non imprimée","OK")))))))))))))</f>
        <v/>
      </c>
      <c r="O2295" s="59" t="str">
        <f>IF(A2295="","",COUNTIF($A$6:A2295,A2295))</f>
        <v/>
      </c>
      <c r="P2295" s="62" t="str">
        <f>IF(A2295="","",A2295&amp;"|"&amp;O2295)</f>
        <v/>
      </c>
    </row>
    <row r="2296">
      <c r="A2296" s="60" t="n"/>
      <c r="B2296" s="63" t="n"/>
      <c r="C2296" s="63" t="n"/>
      <c r="D2296" s="67" t="n"/>
      <c r="E2296" s="68" t="n"/>
      <c r="F2296" s="69" t="n"/>
      <c r="G2296" s="70" t="n"/>
      <c r="H2296" s="62" t="str">
        <f>IF(COUNTA(A2296:G2296)=0,"",IF(C2296&lt;&gt;"",C2296,IF(B2296="","",IFERROR(INDEX(pr_des,MATCH(B2296,pr_code,0))&amp;"",""))))</f>
        <v/>
      </c>
      <c r="I2296" s="59" t="str">
        <f>IF(B2296="","",IFERROR(INDEX(pr_unit,MATCH(B2296,pr_code,0))&amp;"",""))</f>
        <v/>
      </c>
      <c r="J2296" s="65" t="str">
        <f>IF(COUNTA(A2296:G2296)=0,"",IF(E2296&lt;&gt;"",E2296,IF(B2296="","",IFERROR(IF(INDEX(pr_price,MATCH(B2296,pr_code,0))="","",INDEX(pr_price,MATCH(B2296,pr_code,0))),""))))</f>
        <v/>
      </c>
      <c r="K2296" s="71" t="str">
        <f>IF(COUNTA(A2296:G2296)=0,"",IF(G2296&lt;&gt;"",G2296,IF(B2296="","",IFERROR(IF(INDEX(pr_rate,MATCH(B2296,pr_code,0))="","",INDEX(pr_rate,MATCH(B2296,pr_code,0))),""))))</f>
        <v/>
      </c>
      <c r="L2296" s="65" t="str">
        <f>IF(COUNTA(A2296:G2296)=0,"",IF(AND(ISNUMBER(D2296),ISNUMBER(J2296)),ROUND(D2296*J2296*(1-N(F2296)),2),0))</f>
        <v/>
      </c>
      <c r="M2296" s="62" t="str">
        <f>IF(A2296="","",IFERROR(INDEX(fa_cname,MATCH(A2296,fa_num,0))&amp;"",""))</f>
        <v/>
      </c>
      <c r="N2296" s="59" t="str">
        <f>IF(COUNTA(A2296:G2296)=0,"",IF(A2296="","N° facture manquant",IF(ISNA(MATCH(A2296,fa_num,0)),"Facture inconnue",IF(AND(B2296&lt;&gt;"",ISNA(MATCH(B2296,pr_code,0))),"Article inconnu",IF(H2296="","Désignation manquante",IF(OR(NOT(ISNUMBER(D2296)),N(D2296)&lt;=0),"Quantité invalide",IF(J2296="","Prix manquant",IF(OR(NOT(ISNUMBER(J2296)),N(J2296)&lt;0),"Prix invalide",IF(OR(AND(F2296&lt;&gt;"",NOT(ISNUMBER(F2296))),N(F2296)&lt;0,N(F2296)&gt;1),"Remise invalide",IF(K2296="","Taux de TVA manquant",IF(NOT(ISNUMBER(K2296)),"Taux de TVA invalide",IF(COUNTIF(p_rates,K2296)=0,"Taux de TVA hors liste (Paramètres)",IF(N(O2296)&gt;25,"Au-delà de 25 lignes : non imprimée","OK")))))))))))))</f>
        <v/>
      </c>
      <c r="O2296" s="59" t="str">
        <f>IF(A2296="","",COUNTIF($A$6:A2296,A2296))</f>
        <v/>
      </c>
      <c r="P2296" s="62" t="str">
        <f>IF(A2296="","",A2296&amp;"|"&amp;O2296)</f>
        <v/>
      </c>
    </row>
    <row r="2297">
      <c r="A2297" s="60" t="n"/>
      <c r="B2297" s="63" t="n"/>
      <c r="C2297" s="63" t="n"/>
      <c r="D2297" s="67" t="n"/>
      <c r="E2297" s="68" t="n"/>
      <c r="F2297" s="69" t="n"/>
      <c r="G2297" s="70" t="n"/>
      <c r="H2297" s="62" t="str">
        <f>IF(COUNTA(A2297:G2297)=0,"",IF(C2297&lt;&gt;"",C2297,IF(B2297="","",IFERROR(INDEX(pr_des,MATCH(B2297,pr_code,0))&amp;"",""))))</f>
        <v/>
      </c>
      <c r="I2297" s="59" t="str">
        <f>IF(B2297="","",IFERROR(INDEX(pr_unit,MATCH(B2297,pr_code,0))&amp;"",""))</f>
        <v/>
      </c>
      <c r="J2297" s="65" t="str">
        <f>IF(COUNTA(A2297:G2297)=0,"",IF(E2297&lt;&gt;"",E2297,IF(B2297="","",IFERROR(IF(INDEX(pr_price,MATCH(B2297,pr_code,0))="","",INDEX(pr_price,MATCH(B2297,pr_code,0))),""))))</f>
        <v/>
      </c>
      <c r="K2297" s="71" t="str">
        <f>IF(COUNTA(A2297:G2297)=0,"",IF(G2297&lt;&gt;"",G2297,IF(B2297="","",IFERROR(IF(INDEX(pr_rate,MATCH(B2297,pr_code,0))="","",INDEX(pr_rate,MATCH(B2297,pr_code,0))),""))))</f>
        <v/>
      </c>
      <c r="L2297" s="65" t="str">
        <f>IF(COUNTA(A2297:G2297)=0,"",IF(AND(ISNUMBER(D2297),ISNUMBER(J2297)),ROUND(D2297*J2297*(1-N(F2297)),2),0))</f>
        <v/>
      </c>
      <c r="M2297" s="62" t="str">
        <f>IF(A2297="","",IFERROR(INDEX(fa_cname,MATCH(A2297,fa_num,0))&amp;"",""))</f>
        <v/>
      </c>
      <c r="N2297" s="59" t="str">
        <f>IF(COUNTA(A2297:G2297)=0,"",IF(A2297="","N° facture manquant",IF(ISNA(MATCH(A2297,fa_num,0)),"Facture inconnue",IF(AND(B2297&lt;&gt;"",ISNA(MATCH(B2297,pr_code,0))),"Article inconnu",IF(H2297="","Désignation manquante",IF(OR(NOT(ISNUMBER(D2297)),N(D2297)&lt;=0),"Quantité invalide",IF(J2297="","Prix manquant",IF(OR(NOT(ISNUMBER(J2297)),N(J2297)&lt;0),"Prix invalide",IF(OR(AND(F2297&lt;&gt;"",NOT(ISNUMBER(F2297))),N(F2297)&lt;0,N(F2297)&gt;1),"Remise invalide",IF(K2297="","Taux de TVA manquant",IF(NOT(ISNUMBER(K2297)),"Taux de TVA invalide",IF(COUNTIF(p_rates,K2297)=0,"Taux de TVA hors liste (Paramètres)",IF(N(O2297)&gt;25,"Au-delà de 25 lignes : non imprimée","OK")))))))))))))</f>
        <v/>
      </c>
      <c r="O2297" s="59" t="str">
        <f>IF(A2297="","",COUNTIF($A$6:A2297,A2297))</f>
        <v/>
      </c>
      <c r="P2297" s="62" t="str">
        <f>IF(A2297="","",A2297&amp;"|"&amp;O2297)</f>
        <v/>
      </c>
    </row>
    <row r="2298">
      <c r="A2298" s="60" t="n"/>
      <c r="B2298" s="63" t="n"/>
      <c r="C2298" s="63" t="n"/>
      <c r="D2298" s="67" t="n"/>
      <c r="E2298" s="68" t="n"/>
      <c r="F2298" s="69" t="n"/>
      <c r="G2298" s="70" t="n"/>
      <c r="H2298" s="62" t="str">
        <f>IF(COUNTA(A2298:G2298)=0,"",IF(C2298&lt;&gt;"",C2298,IF(B2298="","",IFERROR(INDEX(pr_des,MATCH(B2298,pr_code,0))&amp;"",""))))</f>
        <v/>
      </c>
      <c r="I2298" s="59" t="str">
        <f>IF(B2298="","",IFERROR(INDEX(pr_unit,MATCH(B2298,pr_code,0))&amp;"",""))</f>
        <v/>
      </c>
      <c r="J2298" s="65" t="str">
        <f>IF(COUNTA(A2298:G2298)=0,"",IF(E2298&lt;&gt;"",E2298,IF(B2298="","",IFERROR(IF(INDEX(pr_price,MATCH(B2298,pr_code,0))="","",INDEX(pr_price,MATCH(B2298,pr_code,0))),""))))</f>
        <v/>
      </c>
      <c r="K2298" s="71" t="str">
        <f>IF(COUNTA(A2298:G2298)=0,"",IF(G2298&lt;&gt;"",G2298,IF(B2298="","",IFERROR(IF(INDEX(pr_rate,MATCH(B2298,pr_code,0))="","",INDEX(pr_rate,MATCH(B2298,pr_code,0))),""))))</f>
        <v/>
      </c>
      <c r="L2298" s="65" t="str">
        <f>IF(COUNTA(A2298:G2298)=0,"",IF(AND(ISNUMBER(D2298),ISNUMBER(J2298)),ROUND(D2298*J2298*(1-N(F2298)),2),0))</f>
        <v/>
      </c>
      <c r="M2298" s="62" t="str">
        <f>IF(A2298="","",IFERROR(INDEX(fa_cname,MATCH(A2298,fa_num,0))&amp;"",""))</f>
        <v/>
      </c>
      <c r="N2298" s="59" t="str">
        <f>IF(COUNTA(A2298:G2298)=0,"",IF(A2298="","N° facture manquant",IF(ISNA(MATCH(A2298,fa_num,0)),"Facture inconnue",IF(AND(B2298&lt;&gt;"",ISNA(MATCH(B2298,pr_code,0))),"Article inconnu",IF(H2298="","Désignation manquante",IF(OR(NOT(ISNUMBER(D2298)),N(D2298)&lt;=0),"Quantité invalide",IF(J2298="","Prix manquant",IF(OR(NOT(ISNUMBER(J2298)),N(J2298)&lt;0),"Prix invalide",IF(OR(AND(F2298&lt;&gt;"",NOT(ISNUMBER(F2298))),N(F2298)&lt;0,N(F2298)&gt;1),"Remise invalide",IF(K2298="","Taux de TVA manquant",IF(NOT(ISNUMBER(K2298)),"Taux de TVA invalide",IF(COUNTIF(p_rates,K2298)=0,"Taux de TVA hors liste (Paramètres)",IF(N(O2298)&gt;25,"Au-delà de 25 lignes : non imprimée","OK")))))))))))))</f>
        <v/>
      </c>
      <c r="O2298" s="59" t="str">
        <f>IF(A2298="","",COUNTIF($A$6:A2298,A2298))</f>
        <v/>
      </c>
      <c r="P2298" s="62" t="str">
        <f>IF(A2298="","",A2298&amp;"|"&amp;O2298)</f>
        <v/>
      </c>
    </row>
    <row r="2299">
      <c r="A2299" s="60" t="n"/>
      <c r="B2299" s="63" t="n"/>
      <c r="C2299" s="63" t="n"/>
      <c r="D2299" s="67" t="n"/>
      <c r="E2299" s="68" t="n"/>
      <c r="F2299" s="69" t="n"/>
      <c r="G2299" s="70" t="n"/>
      <c r="H2299" s="62" t="str">
        <f>IF(COUNTA(A2299:G2299)=0,"",IF(C2299&lt;&gt;"",C2299,IF(B2299="","",IFERROR(INDEX(pr_des,MATCH(B2299,pr_code,0))&amp;"",""))))</f>
        <v/>
      </c>
      <c r="I2299" s="59" t="str">
        <f>IF(B2299="","",IFERROR(INDEX(pr_unit,MATCH(B2299,pr_code,0))&amp;"",""))</f>
        <v/>
      </c>
      <c r="J2299" s="65" t="str">
        <f>IF(COUNTA(A2299:G2299)=0,"",IF(E2299&lt;&gt;"",E2299,IF(B2299="","",IFERROR(IF(INDEX(pr_price,MATCH(B2299,pr_code,0))="","",INDEX(pr_price,MATCH(B2299,pr_code,0))),""))))</f>
        <v/>
      </c>
      <c r="K2299" s="71" t="str">
        <f>IF(COUNTA(A2299:G2299)=0,"",IF(G2299&lt;&gt;"",G2299,IF(B2299="","",IFERROR(IF(INDEX(pr_rate,MATCH(B2299,pr_code,0))="","",INDEX(pr_rate,MATCH(B2299,pr_code,0))),""))))</f>
        <v/>
      </c>
      <c r="L2299" s="65" t="str">
        <f>IF(COUNTA(A2299:G2299)=0,"",IF(AND(ISNUMBER(D2299),ISNUMBER(J2299)),ROUND(D2299*J2299*(1-N(F2299)),2),0))</f>
        <v/>
      </c>
      <c r="M2299" s="62" t="str">
        <f>IF(A2299="","",IFERROR(INDEX(fa_cname,MATCH(A2299,fa_num,0))&amp;"",""))</f>
        <v/>
      </c>
      <c r="N2299" s="59" t="str">
        <f>IF(COUNTA(A2299:G2299)=0,"",IF(A2299="","N° facture manquant",IF(ISNA(MATCH(A2299,fa_num,0)),"Facture inconnue",IF(AND(B2299&lt;&gt;"",ISNA(MATCH(B2299,pr_code,0))),"Article inconnu",IF(H2299="","Désignation manquante",IF(OR(NOT(ISNUMBER(D2299)),N(D2299)&lt;=0),"Quantité invalide",IF(J2299="","Prix manquant",IF(OR(NOT(ISNUMBER(J2299)),N(J2299)&lt;0),"Prix invalide",IF(OR(AND(F2299&lt;&gt;"",NOT(ISNUMBER(F2299))),N(F2299)&lt;0,N(F2299)&gt;1),"Remise invalide",IF(K2299="","Taux de TVA manquant",IF(NOT(ISNUMBER(K2299)),"Taux de TVA invalide",IF(COUNTIF(p_rates,K2299)=0,"Taux de TVA hors liste (Paramètres)",IF(N(O2299)&gt;25,"Au-delà de 25 lignes : non imprimée","OK")))))))))))))</f>
        <v/>
      </c>
      <c r="O2299" s="59" t="str">
        <f>IF(A2299="","",COUNTIF($A$6:A2299,A2299))</f>
        <v/>
      </c>
      <c r="P2299" s="62" t="str">
        <f>IF(A2299="","",A2299&amp;"|"&amp;O2299)</f>
        <v/>
      </c>
    </row>
    <row r="2300">
      <c r="A2300" s="60" t="n"/>
      <c r="B2300" s="63" t="n"/>
      <c r="C2300" s="63" t="n"/>
      <c r="D2300" s="67" t="n"/>
      <c r="E2300" s="68" t="n"/>
      <c r="F2300" s="69" t="n"/>
      <c r="G2300" s="70" t="n"/>
      <c r="H2300" s="62" t="str">
        <f>IF(COUNTA(A2300:G2300)=0,"",IF(C2300&lt;&gt;"",C2300,IF(B2300="","",IFERROR(INDEX(pr_des,MATCH(B2300,pr_code,0))&amp;"",""))))</f>
        <v/>
      </c>
      <c r="I2300" s="59" t="str">
        <f>IF(B2300="","",IFERROR(INDEX(pr_unit,MATCH(B2300,pr_code,0))&amp;"",""))</f>
        <v/>
      </c>
      <c r="J2300" s="65" t="str">
        <f>IF(COUNTA(A2300:G2300)=0,"",IF(E2300&lt;&gt;"",E2300,IF(B2300="","",IFERROR(IF(INDEX(pr_price,MATCH(B2300,pr_code,0))="","",INDEX(pr_price,MATCH(B2300,pr_code,0))),""))))</f>
        <v/>
      </c>
      <c r="K2300" s="71" t="str">
        <f>IF(COUNTA(A2300:G2300)=0,"",IF(G2300&lt;&gt;"",G2300,IF(B2300="","",IFERROR(IF(INDEX(pr_rate,MATCH(B2300,pr_code,0))="","",INDEX(pr_rate,MATCH(B2300,pr_code,0))),""))))</f>
        <v/>
      </c>
      <c r="L2300" s="65" t="str">
        <f>IF(COUNTA(A2300:G2300)=0,"",IF(AND(ISNUMBER(D2300),ISNUMBER(J2300)),ROUND(D2300*J2300*(1-N(F2300)),2),0))</f>
        <v/>
      </c>
      <c r="M2300" s="62" t="str">
        <f>IF(A2300="","",IFERROR(INDEX(fa_cname,MATCH(A2300,fa_num,0))&amp;"",""))</f>
        <v/>
      </c>
      <c r="N2300" s="59" t="str">
        <f>IF(COUNTA(A2300:G2300)=0,"",IF(A2300="","N° facture manquant",IF(ISNA(MATCH(A2300,fa_num,0)),"Facture inconnue",IF(AND(B2300&lt;&gt;"",ISNA(MATCH(B2300,pr_code,0))),"Article inconnu",IF(H2300="","Désignation manquante",IF(OR(NOT(ISNUMBER(D2300)),N(D2300)&lt;=0),"Quantité invalide",IF(J2300="","Prix manquant",IF(OR(NOT(ISNUMBER(J2300)),N(J2300)&lt;0),"Prix invalide",IF(OR(AND(F2300&lt;&gt;"",NOT(ISNUMBER(F2300))),N(F2300)&lt;0,N(F2300)&gt;1),"Remise invalide",IF(K2300="","Taux de TVA manquant",IF(NOT(ISNUMBER(K2300)),"Taux de TVA invalide",IF(COUNTIF(p_rates,K2300)=0,"Taux de TVA hors liste (Paramètres)",IF(N(O2300)&gt;25,"Au-delà de 25 lignes : non imprimée","OK")))))))))))))</f>
        <v/>
      </c>
      <c r="O2300" s="59" t="str">
        <f>IF(A2300="","",COUNTIF($A$6:A2300,A2300))</f>
        <v/>
      </c>
      <c r="P2300" s="62" t="str">
        <f>IF(A2300="","",A2300&amp;"|"&amp;O2300)</f>
        <v/>
      </c>
    </row>
    <row r="2301">
      <c r="A2301" s="60" t="n"/>
      <c r="B2301" s="63" t="n"/>
      <c r="C2301" s="63" t="n"/>
      <c r="D2301" s="67" t="n"/>
      <c r="E2301" s="68" t="n"/>
      <c r="F2301" s="69" t="n"/>
      <c r="G2301" s="70" t="n"/>
      <c r="H2301" s="62" t="str">
        <f>IF(COUNTA(A2301:G2301)=0,"",IF(C2301&lt;&gt;"",C2301,IF(B2301="","",IFERROR(INDEX(pr_des,MATCH(B2301,pr_code,0))&amp;"",""))))</f>
        <v/>
      </c>
      <c r="I2301" s="59" t="str">
        <f>IF(B2301="","",IFERROR(INDEX(pr_unit,MATCH(B2301,pr_code,0))&amp;"",""))</f>
        <v/>
      </c>
      <c r="J2301" s="65" t="str">
        <f>IF(COUNTA(A2301:G2301)=0,"",IF(E2301&lt;&gt;"",E2301,IF(B2301="","",IFERROR(IF(INDEX(pr_price,MATCH(B2301,pr_code,0))="","",INDEX(pr_price,MATCH(B2301,pr_code,0))),""))))</f>
        <v/>
      </c>
      <c r="K2301" s="71" t="str">
        <f>IF(COUNTA(A2301:G2301)=0,"",IF(G2301&lt;&gt;"",G2301,IF(B2301="","",IFERROR(IF(INDEX(pr_rate,MATCH(B2301,pr_code,0))="","",INDEX(pr_rate,MATCH(B2301,pr_code,0))),""))))</f>
        <v/>
      </c>
      <c r="L2301" s="65" t="str">
        <f>IF(COUNTA(A2301:G2301)=0,"",IF(AND(ISNUMBER(D2301),ISNUMBER(J2301)),ROUND(D2301*J2301*(1-N(F2301)),2),0))</f>
        <v/>
      </c>
      <c r="M2301" s="62" t="str">
        <f>IF(A2301="","",IFERROR(INDEX(fa_cname,MATCH(A2301,fa_num,0))&amp;"",""))</f>
        <v/>
      </c>
      <c r="N2301" s="59" t="str">
        <f>IF(COUNTA(A2301:G2301)=0,"",IF(A2301="","N° facture manquant",IF(ISNA(MATCH(A2301,fa_num,0)),"Facture inconnue",IF(AND(B2301&lt;&gt;"",ISNA(MATCH(B2301,pr_code,0))),"Article inconnu",IF(H2301="","Désignation manquante",IF(OR(NOT(ISNUMBER(D2301)),N(D2301)&lt;=0),"Quantité invalide",IF(J2301="","Prix manquant",IF(OR(NOT(ISNUMBER(J2301)),N(J2301)&lt;0),"Prix invalide",IF(OR(AND(F2301&lt;&gt;"",NOT(ISNUMBER(F2301))),N(F2301)&lt;0,N(F2301)&gt;1),"Remise invalide",IF(K2301="","Taux de TVA manquant",IF(NOT(ISNUMBER(K2301)),"Taux de TVA invalide",IF(COUNTIF(p_rates,K2301)=0,"Taux de TVA hors liste (Paramètres)",IF(N(O2301)&gt;25,"Au-delà de 25 lignes : non imprimée","OK")))))))))))))</f>
        <v/>
      </c>
      <c r="O2301" s="59" t="str">
        <f>IF(A2301="","",COUNTIF($A$6:A2301,A2301))</f>
        <v/>
      </c>
      <c r="P2301" s="62" t="str">
        <f>IF(A2301="","",A2301&amp;"|"&amp;O2301)</f>
        <v/>
      </c>
    </row>
    <row r="2302">
      <c r="A2302" s="60" t="n"/>
      <c r="B2302" s="63" t="n"/>
      <c r="C2302" s="63" t="n"/>
      <c r="D2302" s="67" t="n"/>
      <c r="E2302" s="68" t="n"/>
      <c r="F2302" s="69" t="n"/>
      <c r="G2302" s="70" t="n"/>
      <c r="H2302" s="62" t="str">
        <f>IF(COUNTA(A2302:G2302)=0,"",IF(C2302&lt;&gt;"",C2302,IF(B2302="","",IFERROR(INDEX(pr_des,MATCH(B2302,pr_code,0))&amp;"",""))))</f>
        <v/>
      </c>
      <c r="I2302" s="59" t="str">
        <f>IF(B2302="","",IFERROR(INDEX(pr_unit,MATCH(B2302,pr_code,0))&amp;"",""))</f>
        <v/>
      </c>
      <c r="J2302" s="65" t="str">
        <f>IF(COUNTA(A2302:G2302)=0,"",IF(E2302&lt;&gt;"",E2302,IF(B2302="","",IFERROR(IF(INDEX(pr_price,MATCH(B2302,pr_code,0))="","",INDEX(pr_price,MATCH(B2302,pr_code,0))),""))))</f>
        <v/>
      </c>
      <c r="K2302" s="71" t="str">
        <f>IF(COUNTA(A2302:G2302)=0,"",IF(G2302&lt;&gt;"",G2302,IF(B2302="","",IFERROR(IF(INDEX(pr_rate,MATCH(B2302,pr_code,0))="","",INDEX(pr_rate,MATCH(B2302,pr_code,0))),""))))</f>
        <v/>
      </c>
      <c r="L2302" s="65" t="str">
        <f>IF(COUNTA(A2302:G2302)=0,"",IF(AND(ISNUMBER(D2302),ISNUMBER(J2302)),ROUND(D2302*J2302*(1-N(F2302)),2),0))</f>
        <v/>
      </c>
      <c r="M2302" s="62" t="str">
        <f>IF(A2302="","",IFERROR(INDEX(fa_cname,MATCH(A2302,fa_num,0))&amp;"",""))</f>
        <v/>
      </c>
      <c r="N2302" s="59" t="str">
        <f>IF(COUNTA(A2302:G2302)=0,"",IF(A2302="","N° facture manquant",IF(ISNA(MATCH(A2302,fa_num,0)),"Facture inconnue",IF(AND(B2302&lt;&gt;"",ISNA(MATCH(B2302,pr_code,0))),"Article inconnu",IF(H2302="","Désignation manquante",IF(OR(NOT(ISNUMBER(D2302)),N(D2302)&lt;=0),"Quantité invalide",IF(J2302="","Prix manquant",IF(OR(NOT(ISNUMBER(J2302)),N(J2302)&lt;0),"Prix invalide",IF(OR(AND(F2302&lt;&gt;"",NOT(ISNUMBER(F2302))),N(F2302)&lt;0,N(F2302)&gt;1),"Remise invalide",IF(K2302="","Taux de TVA manquant",IF(NOT(ISNUMBER(K2302)),"Taux de TVA invalide",IF(COUNTIF(p_rates,K2302)=0,"Taux de TVA hors liste (Paramètres)",IF(N(O2302)&gt;25,"Au-delà de 25 lignes : non imprimée","OK")))))))))))))</f>
        <v/>
      </c>
      <c r="O2302" s="59" t="str">
        <f>IF(A2302="","",COUNTIF($A$6:A2302,A2302))</f>
        <v/>
      </c>
      <c r="P2302" s="62" t="str">
        <f>IF(A2302="","",A2302&amp;"|"&amp;O2302)</f>
        <v/>
      </c>
    </row>
    <row r="2303">
      <c r="A2303" s="60" t="n"/>
      <c r="B2303" s="63" t="n"/>
      <c r="C2303" s="63" t="n"/>
      <c r="D2303" s="67" t="n"/>
      <c r="E2303" s="68" t="n"/>
      <c r="F2303" s="69" t="n"/>
      <c r="G2303" s="70" t="n"/>
      <c r="H2303" s="62" t="str">
        <f>IF(COUNTA(A2303:G2303)=0,"",IF(C2303&lt;&gt;"",C2303,IF(B2303="","",IFERROR(INDEX(pr_des,MATCH(B2303,pr_code,0))&amp;"",""))))</f>
        <v/>
      </c>
      <c r="I2303" s="59" t="str">
        <f>IF(B2303="","",IFERROR(INDEX(pr_unit,MATCH(B2303,pr_code,0))&amp;"",""))</f>
        <v/>
      </c>
      <c r="J2303" s="65" t="str">
        <f>IF(COUNTA(A2303:G2303)=0,"",IF(E2303&lt;&gt;"",E2303,IF(B2303="","",IFERROR(IF(INDEX(pr_price,MATCH(B2303,pr_code,0))="","",INDEX(pr_price,MATCH(B2303,pr_code,0))),""))))</f>
        <v/>
      </c>
      <c r="K2303" s="71" t="str">
        <f>IF(COUNTA(A2303:G2303)=0,"",IF(G2303&lt;&gt;"",G2303,IF(B2303="","",IFERROR(IF(INDEX(pr_rate,MATCH(B2303,pr_code,0))="","",INDEX(pr_rate,MATCH(B2303,pr_code,0))),""))))</f>
        <v/>
      </c>
      <c r="L2303" s="65" t="str">
        <f>IF(COUNTA(A2303:G2303)=0,"",IF(AND(ISNUMBER(D2303),ISNUMBER(J2303)),ROUND(D2303*J2303*(1-N(F2303)),2),0))</f>
        <v/>
      </c>
      <c r="M2303" s="62" t="str">
        <f>IF(A2303="","",IFERROR(INDEX(fa_cname,MATCH(A2303,fa_num,0))&amp;"",""))</f>
        <v/>
      </c>
      <c r="N2303" s="59" t="str">
        <f>IF(COUNTA(A2303:G2303)=0,"",IF(A2303="","N° facture manquant",IF(ISNA(MATCH(A2303,fa_num,0)),"Facture inconnue",IF(AND(B2303&lt;&gt;"",ISNA(MATCH(B2303,pr_code,0))),"Article inconnu",IF(H2303="","Désignation manquante",IF(OR(NOT(ISNUMBER(D2303)),N(D2303)&lt;=0),"Quantité invalide",IF(J2303="","Prix manquant",IF(OR(NOT(ISNUMBER(J2303)),N(J2303)&lt;0),"Prix invalide",IF(OR(AND(F2303&lt;&gt;"",NOT(ISNUMBER(F2303))),N(F2303)&lt;0,N(F2303)&gt;1),"Remise invalide",IF(K2303="","Taux de TVA manquant",IF(NOT(ISNUMBER(K2303)),"Taux de TVA invalide",IF(COUNTIF(p_rates,K2303)=0,"Taux de TVA hors liste (Paramètres)",IF(N(O2303)&gt;25,"Au-delà de 25 lignes : non imprimée","OK")))))))))))))</f>
        <v/>
      </c>
      <c r="O2303" s="59" t="str">
        <f>IF(A2303="","",COUNTIF($A$6:A2303,A2303))</f>
        <v/>
      </c>
      <c r="P2303" s="62" t="str">
        <f>IF(A2303="","",A2303&amp;"|"&amp;O2303)</f>
        <v/>
      </c>
    </row>
    <row r="2304">
      <c r="A2304" s="60" t="n"/>
      <c r="B2304" s="63" t="n"/>
      <c r="C2304" s="63" t="n"/>
      <c r="D2304" s="67" t="n"/>
      <c r="E2304" s="68" t="n"/>
      <c r="F2304" s="69" t="n"/>
      <c r="G2304" s="70" t="n"/>
      <c r="H2304" s="62" t="str">
        <f>IF(COUNTA(A2304:G2304)=0,"",IF(C2304&lt;&gt;"",C2304,IF(B2304="","",IFERROR(INDEX(pr_des,MATCH(B2304,pr_code,0))&amp;"",""))))</f>
        <v/>
      </c>
      <c r="I2304" s="59" t="str">
        <f>IF(B2304="","",IFERROR(INDEX(pr_unit,MATCH(B2304,pr_code,0))&amp;"",""))</f>
        <v/>
      </c>
      <c r="J2304" s="65" t="str">
        <f>IF(COUNTA(A2304:G2304)=0,"",IF(E2304&lt;&gt;"",E2304,IF(B2304="","",IFERROR(IF(INDEX(pr_price,MATCH(B2304,pr_code,0))="","",INDEX(pr_price,MATCH(B2304,pr_code,0))),""))))</f>
        <v/>
      </c>
      <c r="K2304" s="71" t="str">
        <f>IF(COUNTA(A2304:G2304)=0,"",IF(G2304&lt;&gt;"",G2304,IF(B2304="","",IFERROR(IF(INDEX(pr_rate,MATCH(B2304,pr_code,0))="","",INDEX(pr_rate,MATCH(B2304,pr_code,0))),""))))</f>
        <v/>
      </c>
      <c r="L2304" s="65" t="str">
        <f>IF(COUNTA(A2304:G2304)=0,"",IF(AND(ISNUMBER(D2304),ISNUMBER(J2304)),ROUND(D2304*J2304*(1-N(F2304)),2),0))</f>
        <v/>
      </c>
      <c r="M2304" s="62" t="str">
        <f>IF(A2304="","",IFERROR(INDEX(fa_cname,MATCH(A2304,fa_num,0))&amp;"",""))</f>
        <v/>
      </c>
      <c r="N2304" s="59" t="str">
        <f>IF(COUNTA(A2304:G2304)=0,"",IF(A2304="","N° facture manquant",IF(ISNA(MATCH(A2304,fa_num,0)),"Facture inconnue",IF(AND(B2304&lt;&gt;"",ISNA(MATCH(B2304,pr_code,0))),"Article inconnu",IF(H2304="","Désignation manquante",IF(OR(NOT(ISNUMBER(D2304)),N(D2304)&lt;=0),"Quantité invalide",IF(J2304="","Prix manquant",IF(OR(NOT(ISNUMBER(J2304)),N(J2304)&lt;0),"Prix invalide",IF(OR(AND(F2304&lt;&gt;"",NOT(ISNUMBER(F2304))),N(F2304)&lt;0,N(F2304)&gt;1),"Remise invalide",IF(K2304="","Taux de TVA manquant",IF(NOT(ISNUMBER(K2304)),"Taux de TVA invalide",IF(COUNTIF(p_rates,K2304)=0,"Taux de TVA hors liste (Paramètres)",IF(N(O2304)&gt;25,"Au-delà de 25 lignes : non imprimée","OK")))))))))))))</f>
        <v/>
      </c>
      <c r="O2304" s="59" t="str">
        <f>IF(A2304="","",COUNTIF($A$6:A2304,A2304))</f>
        <v/>
      </c>
      <c r="P2304" s="62" t="str">
        <f>IF(A2304="","",A2304&amp;"|"&amp;O2304)</f>
        <v/>
      </c>
    </row>
    <row r="2305">
      <c r="A2305" s="60" t="n"/>
      <c r="B2305" s="63" t="n"/>
      <c r="C2305" s="63" t="n"/>
      <c r="D2305" s="67" t="n"/>
      <c r="E2305" s="68" t="n"/>
      <c r="F2305" s="69" t="n"/>
      <c r="G2305" s="70" t="n"/>
      <c r="H2305" s="62" t="str">
        <f>IF(COUNTA(A2305:G2305)=0,"",IF(C2305&lt;&gt;"",C2305,IF(B2305="","",IFERROR(INDEX(pr_des,MATCH(B2305,pr_code,0))&amp;"",""))))</f>
        <v/>
      </c>
      <c r="I2305" s="59" t="str">
        <f>IF(B2305="","",IFERROR(INDEX(pr_unit,MATCH(B2305,pr_code,0))&amp;"",""))</f>
        <v/>
      </c>
      <c r="J2305" s="65" t="str">
        <f>IF(COUNTA(A2305:G2305)=0,"",IF(E2305&lt;&gt;"",E2305,IF(B2305="","",IFERROR(IF(INDEX(pr_price,MATCH(B2305,pr_code,0))="","",INDEX(pr_price,MATCH(B2305,pr_code,0))),""))))</f>
        <v/>
      </c>
      <c r="K2305" s="71" t="str">
        <f>IF(COUNTA(A2305:G2305)=0,"",IF(G2305&lt;&gt;"",G2305,IF(B2305="","",IFERROR(IF(INDEX(pr_rate,MATCH(B2305,pr_code,0))="","",INDEX(pr_rate,MATCH(B2305,pr_code,0))),""))))</f>
        <v/>
      </c>
      <c r="L2305" s="65" t="str">
        <f>IF(COUNTA(A2305:G2305)=0,"",IF(AND(ISNUMBER(D2305),ISNUMBER(J2305)),ROUND(D2305*J2305*(1-N(F2305)),2),0))</f>
        <v/>
      </c>
      <c r="M2305" s="62" t="str">
        <f>IF(A2305="","",IFERROR(INDEX(fa_cname,MATCH(A2305,fa_num,0))&amp;"",""))</f>
        <v/>
      </c>
      <c r="N2305" s="59" t="str">
        <f>IF(COUNTA(A2305:G2305)=0,"",IF(A2305="","N° facture manquant",IF(ISNA(MATCH(A2305,fa_num,0)),"Facture inconnue",IF(AND(B2305&lt;&gt;"",ISNA(MATCH(B2305,pr_code,0))),"Article inconnu",IF(H2305="","Désignation manquante",IF(OR(NOT(ISNUMBER(D2305)),N(D2305)&lt;=0),"Quantité invalide",IF(J2305="","Prix manquant",IF(OR(NOT(ISNUMBER(J2305)),N(J2305)&lt;0),"Prix invalide",IF(OR(AND(F2305&lt;&gt;"",NOT(ISNUMBER(F2305))),N(F2305)&lt;0,N(F2305)&gt;1),"Remise invalide",IF(K2305="","Taux de TVA manquant",IF(NOT(ISNUMBER(K2305)),"Taux de TVA invalide",IF(COUNTIF(p_rates,K2305)=0,"Taux de TVA hors liste (Paramètres)",IF(N(O2305)&gt;25,"Au-delà de 25 lignes : non imprimée","OK")))))))))))))</f>
        <v/>
      </c>
      <c r="O2305" s="59" t="str">
        <f>IF(A2305="","",COUNTIF($A$6:A2305,A2305))</f>
        <v/>
      </c>
      <c r="P2305" s="62" t="str">
        <f>IF(A2305="","",A2305&amp;"|"&amp;O2305)</f>
        <v/>
      </c>
    </row>
    <row r="2306">
      <c r="A2306" s="60" t="n"/>
      <c r="B2306" s="63" t="n"/>
      <c r="C2306" s="63" t="n"/>
      <c r="D2306" s="67" t="n"/>
      <c r="E2306" s="68" t="n"/>
      <c r="F2306" s="69" t="n"/>
      <c r="G2306" s="70" t="n"/>
      <c r="H2306" s="62" t="str">
        <f>IF(COUNTA(A2306:G2306)=0,"",IF(C2306&lt;&gt;"",C2306,IF(B2306="","",IFERROR(INDEX(pr_des,MATCH(B2306,pr_code,0))&amp;"",""))))</f>
        <v/>
      </c>
      <c r="I2306" s="59" t="str">
        <f>IF(B2306="","",IFERROR(INDEX(pr_unit,MATCH(B2306,pr_code,0))&amp;"",""))</f>
        <v/>
      </c>
      <c r="J2306" s="65" t="str">
        <f>IF(COUNTA(A2306:G2306)=0,"",IF(E2306&lt;&gt;"",E2306,IF(B2306="","",IFERROR(IF(INDEX(pr_price,MATCH(B2306,pr_code,0))="","",INDEX(pr_price,MATCH(B2306,pr_code,0))),""))))</f>
        <v/>
      </c>
      <c r="K2306" s="71" t="str">
        <f>IF(COUNTA(A2306:G2306)=0,"",IF(G2306&lt;&gt;"",G2306,IF(B2306="","",IFERROR(IF(INDEX(pr_rate,MATCH(B2306,pr_code,0))="","",INDEX(pr_rate,MATCH(B2306,pr_code,0))),""))))</f>
        <v/>
      </c>
      <c r="L2306" s="65" t="str">
        <f>IF(COUNTA(A2306:G2306)=0,"",IF(AND(ISNUMBER(D2306),ISNUMBER(J2306)),ROUND(D2306*J2306*(1-N(F2306)),2),0))</f>
        <v/>
      </c>
      <c r="M2306" s="62" t="str">
        <f>IF(A2306="","",IFERROR(INDEX(fa_cname,MATCH(A2306,fa_num,0))&amp;"",""))</f>
        <v/>
      </c>
      <c r="N2306" s="59" t="str">
        <f>IF(COUNTA(A2306:G2306)=0,"",IF(A2306="","N° facture manquant",IF(ISNA(MATCH(A2306,fa_num,0)),"Facture inconnue",IF(AND(B2306&lt;&gt;"",ISNA(MATCH(B2306,pr_code,0))),"Article inconnu",IF(H2306="","Désignation manquante",IF(OR(NOT(ISNUMBER(D2306)),N(D2306)&lt;=0),"Quantité invalide",IF(J2306="","Prix manquant",IF(OR(NOT(ISNUMBER(J2306)),N(J2306)&lt;0),"Prix invalide",IF(OR(AND(F2306&lt;&gt;"",NOT(ISNUMBER(F2306))),N(F2306)&lt;0,N(F2306)&gt;1),"Remise invalide",IF(K2306="","Taux de TVA manquant",IF(NOT(ISNUMBER(K2306)),"Taux de TVA invalide",IF(COUNTIF(p_rates,K2306)=0,"Taux de TVA hors liste (Paramètres)",IF(N(O2306)&gt;25,"Au-delà de 25 lignes : non imprimée","OK")))))))))))))</f>
        <v/>
      </c>
      <c r="O2306" s="59" t="str">
        <f>IF(A2306="","",COUNTIF($A$6:A2306,A2306))</f>
        <v/>
      </c>
      <c r="P2306" s="62" t="str">
        <f>IF(A2306="","",A2306&amp;"|"&amp;O2306)</f>
        <v/>
      </c>
    </row>
    <row r="2307">
      <c r="A2307" s="60" t="n"/>
      <c r="B2307" s="63" t="n"/>
      <c r="C2307" s="63" t="n"/>
      <c r="D2307" s="67" t="n"/>
      <c r="E2307" s="68" t="n"/>
      <c r="F2307" s="69" t="n"/>
      <c r="G2307" s="70" t="n"/>
      <c r="H2307" s="62" t="str">
        <f>IF(COUNTA(A2307:G2307)=0,"",IF(C2307&lt;&gt;"",C2307,IF(B2307="","",IFERROR(INDEX(pr_des,MATCH(B2307,pr_code,0))&amp;"",""))))</f>
        <v/>
      </c>
      <c r="I2307" s="59" t="str">
        <f>IF(B2307="","",IFERROR(INDEX(pr_unit,MATCH(B2307,pr_code,0))&amp;"",""))</f>
        <v/>
      </c>
      <c r="J2307" s="65" t="str">
        <f>IF(COUNTA(A2307:G2307)=0,"",IF(E2307&lt;&gt;"",E2307,IF(B2307="","",IFERROR(IF(INDEX(pr_price,MATCH(B2307,pr_code,0))="","",INDEX(pr_price,MATCH(B2307,pr_code,0))),""))))</f>
        <v/>
      </c>
      <c r="K2307" s="71" t="str">
        <f>IF(COUNTA(A2307:G2307)=0,"",IF(G2307&lt;&gt;"",G2307,IF(B2307="","",IFERROR(IF(INDEX(pr_rate,MATCH(B2307,pr_code,0))="","",INDEX(pr_rate,MATCH(B2307,pr_code,0))),""))))</f>
        <v/>
      </c>
      <c r="L2307" s="65" t="str">
        <f>IF(COUNTA(A2307:G2307)=0,"",IF(AND(ISNUMBER(D2307),ISNUMBER(J2307)),ROUND(D2307*J2307*(1-N(F2307)),2),0))</f>
        <v/>
      </c>
      <c r="M2307" s="62" t="str">
        <f>IF(A2307="","",IFERROR(INDEX(fa_cname,MATCH(A2307,fa_num,0))&amp;"",""))</f>
        <v/>
      </c>
      <c r="N2307" s="59" t="str">
        <f>IF(COUNTA(A2307:G2307)=0,"",IF(A2307="","N° facture manquant",IF(ISNA(MATCH(A2307,fa_num,0)),"Facture inconnue",IF(AND(B2307&lt;&gt;"",ISNA(MATCH(B2307,pr_code,0))),"Article inconnu",IF(H2307="","Désignation manquante",IF(OR(NOT(ISNUMBER(D2307)),N(D2307)&lt;=0),"Quantité invalide",IF(J2307="","Prix manquant",IF(OR(NOT(ISNUMBER(J2307)),N(J2307)&lt;0),"Prix invalide",IF(OR(AND(F2307&lt;&gt;"",NOT(ISNUMBER(F2307))),N(F2307)&lt;0,N(F2307)&gt;1),"Remise invalide",IF(K2307="","Taux de TVA manquant",IF(NOT(ISNUMBER(K2307)),"Taux de TVA invalide",IF(COUNTIF(p_rates,K2307)=0,"Taux de TVA hors liste (Paramètres)",IF(N(O2307)&gt;25,"Au-delà de 25 lignes : non imprimée","OK")))))))))))))</f>
        <v/>
      </c>
      <c r="O2307" s="59" t="str">
        <f>IF(A2307="","",COUNTIF($A$6:A2307,A2307))</f>
        <v/>
      </c>
      <c r="P2307" s="62" t="str">
        <f>IF(A2307="","",A2307&amp;"|"&amp;O2307)</f>
        <v/>
      </c>
    </row>
    <row r="2308">
      <c r="A2308" s="60" t="n"/>
      <c r="B2308" s="63" t="n"/>
      <c r="C2308" s="63" t="n"/>
      <c r="D2308" s="67" t="n"/>
      <c r="E2308" s="68" t="n"/>
      <c r="F2308" s="69" t="n"/>
      <c r="G2308" s="70" t="n"/>
      <c r="H2308" s="62" t="str">
        <f>IF(COUNTA(A2308:G2308)=0,"",IF(C2308&lt;&gt;"",C2308,IF(B2308="","",IFERROR(INDEX(pr_des,MATCH(B2308,pr_code,0))&amp;"",""))))</f>
        <v/>
      </c>
      <c r="I2308" s="59" t="str">
        <f>IF(B2308="","",IFERROR(INDEX(pr_unit,MATCH(B2308,pr_code,0))&amp;"",""))</f>
        <v/>
      </c>
      <c r="J2308" s="65" t="str">
        <f>IF(COUNTA(A2308:G2308)=0,"",IF(E2308&lt;&gt;"",E2308,IF(B2308="","",IFERROR(IF(INDEX(pr_price,MATCH(B2308,pr_code,0))="","",INDEX(pr_price,MATCH(B2308,pr_code,0))),""))))</f>
        <v/>
      </c>
      <c r="K2308" s="71" t="str">
        <f>IF(COUNTA(A2308:G2308)=0,"",IF(G2308&lt;&gt;"",G2308,IF(B2308="","",IFERROR(IF(INDEX(pr_rate,MATCH(B2308,pr_code,0))="","",INDEX(pr_rate,MATCH(B2308,pr_code,0))),""))))</f>
        <v/>
      </c>
      <c r="L2308" s="65" t="str">
        <f>IF(COUNTA(A2308:G2308)=0,"",IF(AND(ISNUMBER(D2308),ISNUMBER(J2308)),ROUND(D2308*J2308*(1-N(F2308)),2),0))</f>
        <v/>
      </c>
      <c r="M2308" s="62" t="str">
        <f>IF(A2308="","",IFERROR(INDEX(fa_cname,MATCH(A2308,fa_num,0))&amp;"",""))</f>
        <v/>
      </c>
      <c r="N2308" s="59" t="str">
        <f>IF(COUNTA(A2308:G2308)=0,"",IF(A2308="","N° facture manquant",IF(ISNA(MATCH(A2308,fa_num,0)),"Facture inconnue",IF(AND(B2308&lt;&gt;"",ISNA(MATCH(B2308,pr_code,0))),"Article inconnu",IF(H2308="","Désignation manquante",IF(OR(NOT(ISNUMBER(D2308)),N(D2308)&lt;=0),"Quantité invalide",IF(J2308="","Prix manquant",IF(OR(NOT(ISNUMBER(J2308)),N(J2308)&lt;0),"Prix invalide",IF(OR(AND(F2308&lt;&gt;"",NOT(ISNUMBER(F2308))),N(F2308)&lt;0,N(F2308)&gt;1),"Remise invalide",IF(K2308="","Taux de TVA manquant",IF(NOT(ISNUMBER(K2308)),"Taux de TVA invalide",IF(COUNTIF(p_rates,K2308)=0,"Taux de TVA hors liste (Paramètres)",IF(N(O2308)&gt;25,"Au-delà de 25 lignes : non imprimée","OK")))))))))))))</f>
        <v/>
      </c>
      <c r="O2308" s="59" t="str">
        <f>IF(A2308="","",COUNTIF($A$6:A2308,A2308))</f>
        <v/>
      </c>
      <c r="P2308" s="62" t="str">
        <f>IF(A2308="","",A2308&amp;"|"&amp;O2308)</f>
        <v/>
      </c>
    </row>
    <row r="2309">
      <c r="A2309" s="60" t="n"/>
      <c r="B2309" s="63" t="n"/>
      <c r="C2309" s="63" t="n"/>
      <c r="D2309" s="67" t="n"/>
      <c r="E2309" s="68" t="n"/>
      <c r="F2309" s="69" t="n"/>
      <c r="G2309" s="70" t="n"/>
      <c r="H2309" s="62" t="str">
        <f>IF(COUNTA(A2309:G2309)=0,"",IF(C2309&lt;&gt;"",C2309,IF(B2309="","",IFERROR(INDEX(pr_des,MATCH(B2309,pr_code,0))&amp;"",""))))</f>
        <v/>
      </c>
      <c r="I2309" s="59" t="str">
        <f>IF(B2309="","",IFERROR(INDEX(pr_unit,MATCH(B2309,pr_code,0))&amp;"",""))</f>
        <v/>
      </c>
      <c r="J2309" s="65" t="str">
        <f>IF(COUNTA(A2309:G2309)=0,"",IF(E2309&lt;&gt;"",E2309,IF(B2309="","",IFERROR(IF(INDEX(pr_price,MATCH(B2309,pr_code,0))="","",INDEX(pr_price,MATCH(B2309,pr_code,0))),""))))</f>
        <v/>
      </c>
      <c r="K2309" s="71" t="str">
        <f>IF(COUNTA(A2309:G2309)=0,"",IF(G2309&lt;&gt;"",G2309,IF(B2309="","",IFERROR(IF(INDEX(pr_rate,MATCH(B2309,pr_code,0))="","",INDEX(pr_rate,MATCH(B2309,pr_code,0))),""))))</f>
        <v/>
      </c>
      <c r="L2309" s="65" t="str">
        <f>IF(COUNTA(A2309:G2309)=0,"",IF(AND(ISNUMBER(D2309),ISNUMBER(J2309)),ROUND(D2309*J2309*(1-N(F2309)),2),0))</f>
        <v/>
      </c>
      <c r="M2309" s="62" t="str">
        <f>IF(A2309="","",IFERROR(INDEX(fa_cname,MATCH(A2309,fa_num,0))&amp;"",""))</f>
        <v/>
      </c>
      <c r="N2309" s="59" t="str">
        <f>IF(COUNTA(A2309:G2309)=0,"",IF(A2309="","N° facture manquant",IF(ISNA(MATCH(A2309,fa_num,0)),"Facture inconnue",IF(AND(B2309&lt;&gt;"",ISNA(MATCH(B2309,pr_code,0))),"Article inconnu",IF(H2309="","Désignation manquante",IF(OR(NOT(ISNUMBER(D2309)),N(D2309)&lt;=0),"Quantité invalide",IF(J2309="","Prix manquant",IF(OR(NOT(ISNUMBER(J2309)),N(J2309)&lt;0),"Prix invalide",IF(OR(AND(F2309&lt;&gt;"",NOT(ISNUMBER(F2309))),N(F2309)&lt;0,N(F2309)&gt;1),"Remise invalide",IF(K2309="","Taux de TVA manquant",IF(NOT(ISNUMBER(K2309)),"Taux de TVA invalide",IF(COUNTIF(p_rates,K2309)=0,"Taux de TVA hors liste (Paramètres)",IF(N(O2309)&gt;25,"Au-delà de 25 lignes : non imprimée","OK")))))))))))))</f>
        <v/>
      </c>
      <c r="O2309" s="59" t="str">
        <f>IF(A2309="","",COUNTIF($A$6:A2309,A2309))</f>
        <v/>
      </c>
      <c r="P2309" s="62" t="str">
        <f>IF(A2309="","",A2309&amp;"|"&amp;O2309)</f>
        <v/>
      </c>
    </row>
    <row r="2310">
      <c r="A2310" s="60" t="n"/>
      <c r="B2310" s="63" t="n"/>
      <c r="C2310" s="63" t="n"/>
      <c r="D2310" s="67" t="n"/>
      <c r="E2310" s="68" t="n"/>
      <c r="F2310" s="69" t="n"/>
      <c r="G2310" s="70" t="n"/>
      <c r="H2310" s="62" t="str">
        <f>IF(COUNTA(A2310:G2310)=0,"",IF(C2310&lt;&gt;"",C2310,IF(B2310="","",IFERROR(INDEX(pr_des,MATCH(B2310,pr_code,0))&amp;"",""))))</f>
        <v/>
      </c>
      <c r="I2310" s="59" t="str">
        <f>IF(B2310="","",IFERROR(INDEX(pr_unit,MATCH(B2310,pr_code,0))&amp;"",""))</f>
        <v/>
      </c>
      <c r="J2310" s="65" t="str">
        <f>IF(COUNTA(A2310:G2310)=0,"",IF(E2310&lt;&gt;"",E2310,IF(B2310="","",IFERROR(IF(INDEX(pr_price,MATCH(B2310,pr_code,0))="","",INDEX(pr_price,MATCH(B2310,pr_code,0))),""))))</f>
        <v/>
      </c>
      <c r="K2310" s="71" t="str">
        <f>IF(COUNTA(A2310:G2310)=0,"",IF(G2310&lt;&gt;"",G2310,IF(B2310="","",IFERROR(IF(INDEX(pr_rate,MATCH(B2310,pr_code,0))="","",INDEX(pr_rate,MATCH(B2310,pr_code,0))),""))))</f>
        <v/>
      </c>
      <c r="L2310" s="65" t="str">
        <f>IF(COUNTA(A2310:G2310)=0,"",IF(AND(ISNUMBER(D2310),ISNUMBER(J2310)),ROUND(D2310*J2310*(1-N(F2310)),2),0))</f>
        <v/>
      </c>
      <c r="M2310" s="62" t="str">
        <f>IF(A2310="","",IFERROR(INDEX(fa_cname,MATCH(A2310,fa_num,0))&amp;"",""))</f>
        <v/>
      </c>
      <c r="N2310" s="59" t="str">
        <f>IF(COUNTA(A2310:G2310)=0,"",IF(A2310="","N° facture manquant",IF(ISNA(MATCH(A2310,fa_num,0)),"Facture inconnue",IF(AND(B2310&lt;&gt;"",ISNA(MATCH(B2310,pr_code,0))),"Article inconnu",IF(H2310="","Désignation manquante",IF(OR(NOT(ISNUMBER(D2310)),N(D2310)&lt;=0),"Quantité invalide",IF(J2310="","Prix manquant",IF(OR(NOT(ISNUMBER(J2310)),N(J2310)&lt;0),"Prix invalide",IF(OR(AND(F2310&lt;&gt;"",NOT(ISNUMBER(F2310))),N(F2310)&lt;0,N(F2310)&gt;1),"Remise invalide",IF(K2310="","Taux de TVA manquant",IF(NOT(ISNUMBER(K2310)),"Taux de TVA invalide",IF(COUNTIF(p_rates,K2310)=0,"Taux de TVA hors liste (Paramètres)",IF(N(O2310)&gt;25,"Au-delà de 25 lignes : non imprimée","OK")))))))))))))</f>
        <v/>
      </c>
      <c r="O2310" s="59" t="str">
        <f>IF(A2310="","",COUNTIF($A$6:A2310,A2310))</f>
        <v/>
      </c>
      <c r="P2310" s="62" t="str">
        <f>IF(A2310="","",A2310&amp;"|"&amp;O2310)</f>
        <v/>
      </c>
    </row>
    <row r="2311">
      <c r="A2311" s="60" t="n"/>
      <c r="B2311" s="63" t="n"/>
      <c r="C2311" s="63" t="n"/>
      <c r="D2311" s="67" t="n"/>
      <c r="E2311" s="68" t="n"/>
      <c r="F2311" s="69" t="n"/>
      <c r="G2311" s="70" t="n"/>
      <c r="H2311" s="62" t="str">
        <f>IF(COUNTA(A2311:G2311)=0,"",IF(C2311&lt;&gt;"",C2311,IF(B2311="","",IFERROR(INDEX(pr_des,MATCH(B2311,pr_code,0))&amp;"",""))))</f>
        <v/>
      </c>
      <c r="I2311" s="59" t="str">
        <f>IF(B2311="","",IFERROR(INDEX(pr_unit,MATCH(B2311,pr_code,0))&amp;"",""))</f>
        <v/>
      </c>
      <c r="J2311" s="65" t="str">
        <f>IF(COUNTA(A2311:G2311)=0,"",IF(E2311&lt;&gt;"",E2311,IF(B2311="","",IFERROR(IF(INDEX(pr_price,MATCH(B2311,pr_code,0))="","",INDEX(pr_price,MATCH(B2311,pr_code,0))),""))))</f>
        <v/>
      </c>
      <c r="K2311" s="71" t="str">
        <f>IF(COUNTA(A2311:G2311)=0,"",IF(G2311&lt;&gt;"",G2311,IF(B2311="","",IFERROR(IF(INDEX(pr_rate,MATCH(B2311,pr_code,0))="","",INDEX(pr_rate,MATCH(B2311,pr_code,0))),""))))</f>
        <v/>
      </c>
      <c r="L2311" s="65" t="str">
        <f>IF(COUNTA(A2311:G2311)=0,"",IF(AND(ISNUMBER(D2311),ISNUMBER(J2311)),ROUND(D2311*J2311*(1-N(F2311)),2),0))</f>
        <v/>
      </c>
      <c r="M2311" s="62" t="str">
        <f>IF(A2311="","",IFERROR(INDEX(fa_cname,MATCH(A2311,fa_num,0))&amp;"",""))</f>
        <v/>
      </c>
      <c r="N2311" s="59" t="str">
        <f>IF(COUNTA(A2311:G2311)=0,"",IF(A2311="","N° facture manquant",IF(ISNA(MATCH(A2311,fa_num,0)),"Facture inconnue",IF(AND(B2311&lt;&gt;"",ISNA(MATCH(B2311,pr_code,0))),"Article inconnu",IF(H2311="","Désignation manquante",IF(OR(NOT(ISNUMBER(D2311)),N(D2311)&lt;=0),"Quantité invalide",IF(J2311="","Prix manquant",IF(OR(NOT(ISNUMBER(J2311)),N(J2311)&lt;0),"Prix invalide",IF(OR(AND(F2311&lt;&gt;"",NOT(ISNUMBER(F2311))),N(F2311)&lt;0,N(F2311)&gt;1),"Remise invalide",IF(K2311="","Taux de TVA manquant",IF(NOT(ISNUMBER(K2311)),"Taux de TVA invalide",IF(COUNTIF(p_rates,K2311)=0,"Taux de TVA hors liste (Paramètres)",IF(N(O2311)&gt;25,"Au-delà de 25 lignes : non imprimée","OK")))))))))))))</f>
        <v/>
      </c>
      <c r="O2311" s="59" t="str">
        <f>IF(A2311="","",COUNTIF($A$6:A2311,A2311))</f>
        <v/>
      </c>
      <c r="P2311" s="62" t="str">
        <f>IF(A2311="","",A2311&amp;"|"&amp;O2311)</f>
        <v/>
      </c>
    </row>
    <row r="2312">
      <c r="A2312" s="60" t="n"/>
      <c r="B2312" s="63" t="n"/>
      <c r="C2312" s="63" t="n"/>
      <c r="D2312" s="67" t="n"/>
      <c r="E2312" s="68" t="n"/>
      <c r="F2312" s="69" t="n"/>
      <c r="G2312" s="70" t="n"/>
      <c r="H2312" s="62" t="str">
        <f>IF(COUNTA(A2312:G2312)=0,"",IF(C2312&lt;&gt;"",C2312,IF(B2312="","",IFERROR(INDEX(pr_des,MATCH(B2312,pr_code,0))&amp;"",""))))</f>
        <v/>
      </c>
      <c r="I2312" s="59" t="str">
        <f>IF(B2312="","",IFERROR(INDEX(pr_unit,MATCH(B2312,pr_code,0))&amp;"",""))</f>
        <v/>
      </c>
      <c r="J2312" s="65" t="str">
        <f>IF(COUNTA(A2312:G2312)=0,"",IF(E2312&lt;&gt;"",E2312,IF(B2312="","",IFERROR(IF(INDEX(pr_price,MATCH(B2312,pr_code,0))="","",INDEX(pr_price,MATCH(B2312,pr_code,0))),""))))</f>
        <v/>
      </c>
      <c r="K2312" s="71" t="str">
        <f>IF(COUNTA(A2312:G2312)=0,"",IF(G2312&lt;&gt;"",G2312,IF(B2312="","",IFERROR(IF(INDEX(pr_rate,MATCH(B2312,pr_code,0))="","",INDEX(pr_rate,MATCH(B2312,pr_code,0))),""))))</f>
        <v/>
      </c>
      <c r="L2312" s="65" t="str">
        <f>IF(COUNTA(A2312:G2312)=0,"",IF(AND(ISNUMBER(D2312),ISNUMBER(J2312)),ROUND(D2312*J2312*(1-N(F2312)),2),0))</f>
        <v/>
      </c>
      <c r="M2312" s="62" t="str">
        <f>IF(A2312="","",IFERROR(INDEX(fa_cname,MATCH(A2312,fa_num,0))&amp;"",""))</f>
        <v/>
      </c>
      <c r="N2312" s="59" t="str">
        <f>IF(COUNTA(A2312:G2312)=0,"",IF(A2312="","N° facture manquant",IF(ISNA(MATCH(A2312,fa_num,0)),"Facture inconnue",IF(AND(B2312&lt;&gt;"",ISNA(MATCH(B2312,pr_code,0))),"Article inconnu",IF(H2312="","Désignation manquante",IF(OR(NOT(ISNUMBER(D2312)),N(D2312)&lt;=0),"Quantité invalide",IF(J2312="","Prix manquant",IF(OR(NOT(ISNUMBER(J2312)),N(J2312)&lt;0),"Prix invalide",IF(OR(AND(F2312&lt;&gt;"",NOT(ISNUMBER(F2312))),N(F2312)&lt;0,N(F2312)&gt;1),"Remise invalide",IF(K2312="","Taux de TVA manquant",IF(NOT(ISNUMBER(K2312)),"Taux de TVA invalide",IF(COUNTIF(p_rates,K2312)=0,"Taux de TVA hors liste (Paramètres)",IF(N(O2312)&gt;25,"Au-delà de 25 lignes : non imprimée","OK")))))))))))))</f>
        <v/>
      </c>
      <c r="O2312" s="59" t="str">
        <f>IF(A2312="","",COUNTIF($A$6:A2312,A2312))</f>
        <v/>
      </c>
      <c r="P2312" s="62" t="str">
        <f>IF(A2312="","",A2312&amp;"|"&amp;O2312)</f>
        <v/>
      </c>
    </row>
    <row r="2313">
      <c r="A2313" s="60" t="n"/>
      <c r="B2313" s="63" t="n"/>
      <c r="C2313" s="63" t="n"/>
      <c r="D2313" s="67" t="n"/>
      <c r="E2313" s="68" t="n"/>
      <c r="F2313" s="69" t="n"/>
      <c r="G2313" s="70" t="n"/>
      <c r="H2313" s="62" t="str">
        <f>IF(COUNTA(A2313:G2313)=0,"",IF(C2313&lt;&gt;"",C2313,IF(B2313="","",IFERROR(INDEX(pr_des,MATCH(B2313,pr_code,0))&amp;"",""))))</f>
        <v/>
      </c>
      <c r="I2313" s="59" t="str">
        <f>IF(B2313="","",IFERROR(INDEX(pr_unit,MATCH(B2313,pr_code,0))&amp;"",""))</f>
        <v/>
      </c>
      <c r="J2313" s="65" t="str">
        <f>IF(COUNTA(A2313:G2313)=0,"",IF(E2313&lt;&gt;"",E2313,IF(B2313="","",IFERROR(IF(INDEX(pr_price,MATCH(B2313,pr_code,0))="","",INDEX(pr_price,MATCH(B2313,pr_code,0))),""))))</f>
        <v/>
      </c>
      <c r="K2313" s="71" t="str">
        <f>IF(COUNTA(A2313:G2313)=0,"",IF(G2313&lt;&gt;"",G2313,IF(B2313="","",IFERROR(IF(INDEX(pr_rate,MATCH(B2313,pr_code,0))="","",INDEX(pr_rate,MATCH(B2313,pr_code,0))),""))))</f>
        <v/>
      </c>
      <c r="L2313" s="65" t="str">
        <f>IF(COUNTA(A2313:G2313)=0,"",IF(AND(ISNUMBER(D2313),ISNUMBER(J2313)),ROUND(D2313*J2313*(1-N(F2313)),2),0))</f>
        <v/>
      </c>
      <c r="M2313" s="62" t="str">
        <f>IF(A2313="","",IFERROR(INDEX(fa_cname,MATCH(A2313,fa_num,0))&amp;"",""))</f>
        <v/>
      </c>
      <c r="N2313" s="59" t="str">
        <f>IF(COUNTA(A2313:G2313)=0,"",IF(A2313="","N° facture manquant",IF(ISNA(MATCH(A2313,fa_num,0)),"Facture inconnue",IF(AND(B2313&lt;&gt;"",ISNA(MATCH(B2313,pr_code,0))),"Article inconnu",IF(H2313="","Désignation manquante",IF(OR(NOT(ISNUMBER(D2313)),N(D2313)&lt;=0),"Quantité invalide",IF(J2313="","Prix manquant",IF(OR(NOT(ISNUMBER(J2313)),N(J2313)&lt;0),"Prix invalide",IF(OR(AND(F2313&lt;&gt;"",NOT(ISNUMBER(F2313))),N(F2313)&lt;0,N(F2313)&gt;1),"Remise invalide",IF(K2313="","Taux de TVA manquant",IF(NOT(ISNUMBER(K2313)),"Taux de TVA invalide",IF(COUNTIF(p_rates,K2313)=0,"Taux de TVA hors liste (Paramètres)",IF(N(O2313)&gt;25,"Au-delà de 25 lignes : non imprimée","OK")))))))))))))</f>
        <v/>
      </c>
      <c r="O2313" s="59" t="str">
        <f>IF(A2313="","",COUNTIF($A$6:A2313,A2313))</f>
        <v/>
      </c>
      <c r="P2313" s="62" t="str">
        <f>IF(A2313="","",A2313&amp;"|"&amp;O2313)</f>
        <v/>
      </c>
    </row>
    <row r="2314">
      <c r="A2314" s="60" t="n"/>
      <c r="B2314" s="63" t="n"/>
      <c r="C2314" s="63" t="n"/>
      <c r="D2314" s="67" t="n"/>
      <c r="E2314" s="68" t="n"/>
      <c r="F2314" s="69" t="n"/>
      <c r="G2314" s="70" t="n"/>
      <c r="H2314" s="62" t="str">
        <f>IF(COUNTA(A2314:G2314)=0,"",IF(C2314&lt;&gt;"",C2314,IF(B2314="","",IFERROR(INDEX(pr_des,MATCH(B2314,pr_code,0))&amp;"",""))))</f>
        <v/>
      </c>
      <c r="I2314" s="59" t="str">
        <f>IF(B2314="","",IFERROR(INDEX(pr_unit,MATCH(B2314,pr_code,0))&amp;"",""))</f>
        <v/>
      </c>
      <c r="J2314" s="65" t="str">
        <f>IF(COUNTA(A2314:G2314)=0,"",IF(E2314&lt;&gt;"",E2314,IF(B2314="","",IFERROR(IF(INDEX(pr_price,MATCH(B2314,pr_code,0))="","",INDEX(pr_price,MATCH(B2314,pr_code,0))),""))))</f>
        <v/>
      </c>
      <c r="K2314" s="71" t="str">
        <f>IF(COUNTA(A2314:G2314)=0,"",IF(G2314&lt;&gt;"",G2314,IF(B2314="","",IFERROR(IF(INDEX(pr_rate,MATCH(B2314,pr_code,0))="","",INDEX(pr_rate,MATCH(B2314,pr_code,0))),""))))</f>
        <v/>
      </c>
      <c r="L2314" s="65" t="str">
        <f>IF(COUNTA(A2314:G2314)=0,"",IF(AND(ISNUMBER(D2314),ISNUMBER(J2314)),ROUND(D2314*J2314*(1-N(F2314)),2),0))</f>
        <v/>
      </c>
      <c r="M2314" s="62" t="str">
        <f>IF(A2314="","",IFERROR(INDEX(fa_cname,MATCH(A2314,fa_num,0))&amp;"",""))</f>
        <v/>
      </c>
      <c r="N2314" s="59" t="str">
        <f>IF(COUNTA(A2314:G2314)=0,"",IF(A2314="","N° facture manquant",IF(ISNA(MATCH(A2314,fa_num,0)),"Facture inconnue",IF(AND(B2314&lt;&gt;"",ISNA(MATCH(B2314,pr_code,0))),"Article inconnu",IF(H2314="","Désignation manquante",IF(OR(NOT(ISNUMBER(D2314)),N(D2314)&lt;=0),"Quantité invalide",IF(J2314="","Prix manquant",IF(OR(NOT(ISNUMBER(J2314)),N(J2314)&lt;0),"Prix invalide",IF(OR(AND(F2314&lt;&gt;"",NOT(ISNUMBER(F2314))),N(F2314)&lt;0,N(F2314)&gt;1),"Remise invalide",IF(K2314="","Taux de TVA manquant",IF(NOT(ISNUMBER(K2314)),"Taux de TVA invalide",IF(COUNTIF(p_rates,K2314)=0,"Taux de TVA hors liste (Paramètres)",IF(N(O2314)&gt;25,"Au-delà de 25 lignes : non imprimée","OK")))))))))))))</f>
        <v/>
      </c>
      <c r="O2314" s="59" t="str">
        <f>IF(A2314="","",COUNTIF($A$6:A2314,A2314))</f>
        <v/>
      </c>
      <c r="P2314" s="62" t="str">
        <f>IF(A2314="","",A2314&amp;"|"&amp;O2314)</f>
        <v/>
      </c>
    </row>
    <row r="2315">
      <c r="A2315" s="60" t="n"/>
      <c r="B2315" s="63" t="n"/>
      <c r="C2315" s="63" t="n"/>
      <c r="D2315" s="67" t="n"/>
      <c r="E2315" s="68" t="n"/>
      <c r="F2315" s="69" t="n"/>
      <c r="G2315" s="70" t="n"/>
      <c r="H2315" s="62" t="str">
        <f>IF(COUNTA(A2315:G2315)=0,"",IF(C2315&lt;&gt;"",C2315,IF(B2315="","",IFERROR(INDEX(pr_des,MATCH(B2315,pr_code,0))&amp;"",""))))</f>
        <v/>
      </c>
      <c r="I2315" s="59" t="str">
        <f>IF(B2315="","",IFERROR(INDEX(pr_unit,MATCH(B2315,pr_code,0))&amp;"",""))</f>
        <v/>
      </c>
      <c r="J2315" s="65" t="str">
        <f>IF(COUNTA(A2315:G2315)=0,"",IF(E2315&lt;&gt;"",E2315,IF(B2315="","",IFERROR(IF(INDEX(pr_price,MATCH(B2315,pr_code,0))="","",INDEX(pr_price,MATCH(B2315,pr_code,0))),""))))</f>
        <v/>
      </c>
      <c r="K2315" s="71" t="str">
        <f>IF(COUNTA(A2315:G2315)=0,"",IF(G2315&lt;&gt;"",G2315,IF(B2315="","",IFERROR(IF(INDEX(pr_rate,MATCH(B2315,pr_code,0))="","",INDEX(pr_rate,MATCH(B2315,pr_code,0))),""))))</f>
        <v/>
      </c>
      <c r="L2315" s="65" t="str">
        <f>IF(COUNTA(A2315:G2315)=0,"",IF(AND(ISNUMBER(D2315),ISNUMBER(J2315)),ROUND(D2315*J2315*(1-N(F2315)),2),0))</f>
        <v/>
      </c>
      <c r="M2315" s="62" t="str">
        <f>IF(A2315="","",IFERROR(INDEX(fa_cname,MATCH(A2315,fa_num,0))&amp;"",""))</f>
        <v/>
      </c>
      <c r="N2315" s="59" t="str">
        <f>IF(COUNTA(A2315:G2315)=0,"",IF(A2315="","N° facture manquant",IF(ISNA(MATCH(A2315,fa_num,0)),"Facture inconnue",IF(AND(B2315&lt;&gt;"",ISNA(MATCH(B2315,pr_code,0))),"Article inconnu",IF(H2315="","Désignation manquante",IF(OR(NOT(ISNUMBER(D2315)),N(D2315)&lt;=0),"Quantité invalide",IF(J2315="","Prix manquant",IF(OR(NOT(ISNUMBER(J2315)),N(J2315)&lt;0),"Prix invalide",IF(OR(AND(F2315&lt;&gt;"",NOT(ISNUMBER(F2315))),N(F2315)&lt;0,N(F2315)&gt;1),"Remise invalide",IF(K2315="","Taux de TVA manquant",IF(NOT(ISNUMBER(K2315)),"Taux de TVA invalide",IF(COUNTIF(p_rates,K2315)=0,"Taux de TVA hors liste (Paramètres)",IF(N(O2315)&gt;25,"Au-delà de 25 lignes : non imprimée","OK")))))))))))))</f>
        <v/>
      </c>
      <c r="O2315" s="59" t="str">
        <f>IF(A2315="","",COUNTIF($A$6:A2315,A2315))</f>
        <v/>
      </c>
      <c r="P2315" s="62" t="str">
        <f>IF(A2315="","",A2315&amp;"|"&amp;O2315)</f>
        <v/>
      </c>
    </row>
    <row r="2316">
      <c r="A2316" s="60" t="n"/>
      <c r="B2316" s="63" t="n"/>
      <c r="C2316" s="63" t="n"/>
      <c r="D2316" s="67" t="n"/>
      <c r="E2316" s="68" t="n"/>
      <c r="F2316" s="69" t="n"/>
      <c r="G2316" s="70" t="n"/>
      <c r="H2316" s="62" t="str">
        <f>IF(COUNTA(A2316:G2316)=0,"",IF(C2316&lt;&gt;"",C2316,IF(B2316="","",IFERROR(INDEX(pr_des,MATCH(B2316,pr_code,0))&amp;"",""))))</f>
        <v/>
      </c>
      <c r="I2316" s="59" t="str">
        <f>IF(B2316="","",IFERROR(INDEX(pr_unit,MATCH(B2316,pr_code,0))&amp;"",""))</f>
        <v/>
      </c>
      <c r="J2316" s="65" t="str">
        <f>IF(COUNTA(A2316:G2316)=0,"",IF(E2316&lt;&gt;"",E2316,IF(B2316="","",IFERROR(IF(INDEX(pr_price,MATCH(B2316,pr_code,0))="","",INDEX(pr_price,MATCH(B2316,pr_code,0))),""))))</f>
        <v/>
      </c>
      <c r="K2316" s="71" t="str">
        <f>IF(COUNTA(A2316:G2316)=0,"",IF(G2316&lt;&gt;"",G2316,IF(B2316="","",IFERROR(IF(INDEX(pr_rate,MATCH(B2316,pr_code,0))="","",INDEX(pr_rate,MATCH(B2316,pr_code,0))),""))))</f>
        <v/>
      </c>
      <c r="L2316" s="65" t="str">
        <f>IF(COUNTA(A2316:G2316)=0,"",IF(AND(ISNUMBER(D2316),ISNUMBER(J2316)),ROUND(D2316*J2316*(1-N(F2316)),2),0))</f>
        <v/>
      </c>
      <c r="M2316" s="62" t="str">
        <f>IF(A2316="","",IFERROR(INDEX(fa_cname,MATCH(A2316,fa_num,0))&amp;"",""))</f>
        <v/>
      </c>
      <c r="N2316" s="59" t="str">
        <f>IF(COUNTA(A2316:G2316)=0,"",IF(A2316="","N° facture manquant",IF(ISNA(MATCH(A2316,fa_num,0)),"Facture inconnue",IF(AND(B2316&lt;&gt;"",ISNA(MATCH(B2316,pr_code,0))),"Article inconnu",IF(H2316="","Désignation manquante",IF(OR(NOT(ISNUMBER(D2316)),N(D2316)&lt;=0),"Quantité invalide",IF(J2316="","Prix manquant",IF(OR(NOT(ISNUMBER(J2316)),N(J2316)&lt;0),"Prix invalide",IF(OR(AND(F2316&lt;&gt;"",NOT(ISNUMBER(F2316))),N(F2316)&lt;0,N(F2316)&gt;1),"Remise invalide",IF(K2316="","Taux de TVA manquant",IF(NOT(ISNUMBER(K2316)),"Taux de TVA invalide",IF(COUNTIF(p_rates,K2316)=0,"Taux de TVA hors liste (Paramètres)",IF(N(O2316)&gt;25,"Au-delà de 25 lignes : non imprimée","OK")))))))))))))</f>
        <v/>
      </c>
      <c r="O2316" s="59" t="str">
        <f>IF(A2316="","",COUNTIF($A$6:A2316,A2316))</f>
        <v/>
      </c>
      <c r="P2316" s="62" t="str">
        <f>IF(A2316="","",A2316&amp;"|"&amp;O2316)</f>
        <v/>
      </c>
    </row>
    <row r="2317">
      <c r="A2317" s="60" t="n"/>
      <c r="B2317" s="63" t="n"/>
      <c r="C2317" s="63" t="n"/>
      <c r="D2317" s="67" t="n"/>
      <c r="E2317" s="68" t="n"/>
      <c r="F2317" s="69" t="n"/>
      <c r="G2317" s="70" t="n"/>
      <c r="H2317" s="62" t="str">
        <f>IF(COUNTA(A2317:G2317)=0,"",IF(C2317&lt;&gt;"",C2317,IF(B2317="","",IFERROR(INDEX(pr_des,MATCH(B2317,pr_code,0))&amp;"",""))))</f>
        <v/>
      </c>
      <c r="I2317" s="59" t="str">
        <f>IF(B2317="","",IFERROR(INDEX(pr_unit,MATCH(B2317,pr_code,0))&amp;"",""))</f>
        <v/>
      </c>
      <c r="J2317" s="65" t="str">
        <f>IF(COUNTA(A2317:G2317)=0,"",IF(E2317&lt;&gt;"",E2317,IF(B2317="","",IFERROR(IF(INDEX(pr_price,MATCH(B2317,pr_code,0))="","",INDEX(pr_price,MATCH(B2317,pr_code,0))),""))))</f>
        <v/>
      </c>
      <c r="K2317" s="71" t="str">
        <f>IF(COUNTA(A2317:G2317)=0,"",IF(G2317&lt;&gt;"",G2317,IF(B2317="","",IFERROR(IF(INDEX(pr_rate,MATCH(B2317,pr_code,0))="","",INDEX(pr_rate,MATCH(B2317,pr_code,0))),""))))</f>
        <v/>
      </c>
      <c r="L2317" s="65" t="str">
        <f>IF(COUNTA(A2317:G2317)=0,"",IF(AND(ISNUMBER(D2317),ISNUMBER(J2317)),ROUND(D2317*J2317*(1-N(F2317)),2),0))</f>
        <v/>
      </c>
      <c r="M2317" s="62" t="str">
        <f>IF(A2317="","",IFERROR(INDEX(fa_cname,MATCH(A2317,fa_num,0))&amp;"",""))</f>
        <v/>
      </c>
      <c r="N2317" s="59" t="str">
        <f>IF(COUNTA(A2317:G2317)=0,"",IF(A2317="","N° facture manquant",IF(ISNA(MATCH(A2317,fa_num,0)),"Facture inconnue",IF(AND(B2317&lt;&gt;"",ISNA(MATCH(B2317,pr_code,0))),"Article inconnu",IF(H2317="","Désignation manquante",IF(OR(NOT(ISNUMBER(D2317)),N(D2317)&lt;=0),"Quantité invalide",IF(J2317="","Prix manquant",IF(OR(NOT(ISNUMBER(J2317)),N(J2317)&lt;0),"Prix invalide",IF(OR(AND(F2317&lt;&gt;"",NOT(ISNUMBER(F2317))),N(F2317)&lt;0,N(F2317)&gt;1),"Remise invalide",IF(K2317="","Taux de TVA manquant",IF(NOT(ISNUMBER(K2317)),"Taux de TVA invalide",IF(COUNTIF(p_rates,K2317)=0,"Taux de TVA hors liste (Paramètres)",IF(N(O2317)&gt;25,"Au-delà de 25 lignes : non imprimée","OK")))))))))))))</f>
        <v/>
      </c>
      <c r="O2317" s="59" t="str">
        <f>IF(A2317="","",COUNTIF($A$6:A2317,A2317))</f>
        <v/>
      </c>
      <c r="P2317" s="62" t="str">
        <f>IF(A2317="","",A2317&amp;"|"&amp;O2317)</f>
        <v/>
      </c>
    </row>
    <row r="2318">
      <c r="A2318" s="60" t="n"/>
      <c r="B2318" s="63" t="n"/>
      <c r="C2318" s="63" t="n"/>
      <c r="D2318" s="67" t="n"/>
      <c r="E2318" s="68" t="n"/>
      <c r="F2318" s="69" t="n"/>
      <c r="G2318" s="70" t="n"/>
      <c r="H2318" s="62" t="str">
        <f>IF(COUNTA(A2318:G2318)=0,"",IF(C2318&lt;&gt;"",C2318,IF(B2318="","",IFERROR(INDEX(pr_des,MATCH(B2318,pr_code,0))&amp;"",""))))</f>
        <v/>
      </c>
      <c r="I2318" s="59" t="str">
        <f>IF(B2318="","",IFERROR(INDEX(pr_unit,MATCH(B2318,pr_code,0))&amp;"",""))</f>
        <v/>
      </c>
      <c r="J2318" s="65" t="str">
        <f>IF(COUNTA(A2318:G2318)=0,"",IF(E2318&lt;&gt;"",E2318,IF(B2318="","",IFERROR(IF(INDEX(pr_price,MATCH(B2318,pr_code,0))="","",INDEX(pr_price,MATCH(B2318,pr_code,0))),""))))</f>
        <v/>
      </c>
      <c r="K2318" s="71" t="str">
        <f>IF(COUNTA(A2318:G2318)=0,"",IF(G2318&lt;&gt;"",G2318,IF(B2318="","",IFERROR(IF(INDEX(pr_rate,MATCH(B2318,pr_code,0))="","",INDEX(pr_rate,MATCH(B2318,pr_code,0))),""))))</f>
        <v/>
      </c>
      <c r="L2318" s="65" t="str">
        <f>IF(COUNTA(A2318:G2318)=0,"",IF(AND(ISNUMBER(D2318),ISNUMBER(J2318)),ROUND(D2318*J2318*(1-N(F2318)),2),0))</f>
        <v/>
      </c>
      <c r="M2318" s="62" t="str">
        <f>IF(A2318="","",IFERROR(INDEX(fa_cname,MATCH(A2318,fa_num,0))&amp;"",""))</f>
        <v/>
      </c>
      <c r="N2318" s="59" t="str">
        <f>IF(COUNTA(A2318:G2318)=0,"",IF(A2318="","N° facture manquant",IF(ISNA(MATCH(A2318,fa_num,0)),"Facture inconnue",IF(AND(B2318&lt;&gt;"",ISNA(MATCH(B2318,pr_code,0))),"Article inconnu",IF(H2318="","Désignation manquante",IF(OR(NOT(ISNUMBER(D2318)),N(D2318)&lt;=0),"Quantité invalide",IF(J2318="","Prix manquant",IF(OR(NOT(ISNUMBER(J2318)),N(J2318)&lt;0),"Prix invalide",IF(OR(AND(F2318&lt;&gt;"",NOT(ISNUMBER(F2318))),N(F2318)&lt;0,N(F2318)&gt;1),"Remise invalide",IF(K2318="","Taux de TVA manquant",IF(NOT(ISNUMBER(K2318)),"Taux de TVA invalide",IF(COUNTIF(p_rates,K2318)=0,"Taux de TVA hors liste (Paramètres)",IF(N(O2318)&gt;25,"Au-delà de 25 lignes : non imprimée","OK")))))))))))))</f>
        <v/>
      </c>
      <c r="O2318" s="59" t="str">
        <f>IF(A2318="","",COUNTIF($A$6:A2318,A2318))</f>
        <v/>
      </c>
      <c r="P2318" s="62" t="str">
        <f>IF(A2318="","",A2318&amp;"|"&amp;O2318)</f>
        <v/>
      </c>
    </row>
    <row r="2319">
      <c r="A2319" s="60" t="n"/>
      <c r="B2319" s="63" t="n"/>
      <c r="C2319" s="63" t="n"/>
      <c r="D2319" s="67" t="n"/>
      <c r="E2319" s="68" t="n"/>
      <c r="F2319" s="69" t="n"/>
      <c r="G2319" s="70" t="n"/>
      <c r="H2319" s="62" t="str">
        <f>IF(COUNTA(A2319:G2319)=0,"",IF(C2319&lt;&gt;"",C2319,IF(B2319="","",IFERROR(INDEX(pr_des,MATCH(B2319,pr_code,0))&amp;"",""))))</f>
        <v/>
      </c>
      <c r="I2319" s="59" t="str">
        <f>IF(B2319="","",IFERROR(INDEX(pr_unit,MATCH(B2319,pr_code,0))&amp;"",""))</f>
        <v/>
      </c>
      <c r="J2319" s="65" t="str">
        <f>IF(COUNTA(A2319:G2319)=0,"",IF(E2319&lt;&gt;"",E2319,IF(B2319="","",IFERROR(IF(INDEX(pr_price,MATCH(B2319,pr_code,0))="","",INDEX(pr_price,MATCH(B2319,pr_code,0))),""))))</f>
        <v/>
      </c>
      <c r="K2319" s="71" t="str">
        <f>IF(COUNTA(A2319:G2319)=0,"",IF(G2319&lt;&gt;"",G2319,IF(B2319="","",IFERROR(IF(INDEX(pr_rate,MATCH(B2319,pr_code,0))="","",INDEX(pr_rate,MATCH(B2319,pr_code,0))),""))))</f>
        <v/>
      </c>
      <c r="L2319" s="65" t="str">
        <f>IF(COUNTA(A2319:G2319)=0,"",IF(AND(ISNUMBER(D2319),ISNUMBER(J2319)),ROUND(D2319*J2319*(1-N(F2319)),2),0))</f>
        <v/>
      </c>
      <c r="M2319" s="62" t="str">
        <f>IF(A2319="","",IFERROR(INDEX(fa_cname,MATCH(A2319,fa_num,0))&amp;"",""))</f>
        <v/>
      </c>
      <c r="N2319" s="59" t="str">
        <f>IF(COUNTA(A2319:G2319)=0,"",IF(A2319="","N° facture manquant",IF(ISNA(MATCH(A2319,fa_num,0)),"Facture inconnue",IF(AND(B2319&lt;&gt;"",ISNA(MATCH(B2319,pr_code,0))),"Article inconnu",IF(H2319="","Désignation manquante",IF(OR(NOT(ISNUMBER(D2319)),N(D2319)&lt;=0),"Quantité invalide",IF(J2319="","Prix manquant",IF(OR(NOT(ISNUMBER(J2319)),N(J2319)&lt;0),"Prix invalide",IF(OR(AND(F2319&lt;&gt;"",NOT(ISNUMBER(F2319))),N(F2319)&lt;0,N(F2319)&gt;1),"Remise invalide",IF(K2319="","Taux de TVA manquant",IF(NOT(ISNUMBER(K2319)),"Taux de TVA invalide",IF(COUNTIF(p_rates,K2319)=0,"Taux de TVA hors liste (Paramètres)",IF(N(O2319)&gt;25,"Au-delà de 25 lignes : non imprimée","OK")))))))))))))</f>
        <v/>
      </c>
      <c r="O2319" s="59" t="str">
        <f>IF(A2319="","",COUNTIF($A$6:A2319,A2319))</f>
        <v/>
      </c>
      <c r="P2319" s="62" t="str">
        <f>IF(A2319="","",A2319&amp;"|"&amp;O2319)</f>
        <v/>
      </c>
    </row>
    <row r="2320">
      <c r="A2320" s="60" t="n"/>
      <c r="B2320" s="63" t="n"/>
      <c r="C2320" s="63" t="n"/>
      <c r="D2320" s="67" t="n"/>
      <c r="E2320" s="68" t="n"/>
      <c r="F2320" s="69" t="n"/>
      <c r="G2320" s="70" t="n"/>
      <c r="H2320" s="62" t="str">
        <f>IF(COUNTA(A2320:G2320)=0,"",IF(C2320&lt;&gt;"",C2320,IF(B2320="","",IFERROR(INDEX(pr_des,MATCH(B2320,pr_code,0))&amp;"",""))))</f>
        <v/>
      </c>
      <c r="I2320" s="59" t="str">
        <f>IF(B2320="","",IFERROR(INDEX(pr_unit,MATCH(B2320,pr_code,0))&amp;"",""))</f>
        <v/>
      </c>
      <c r="J2320" s="65" t="str">
        <f>IF(COUNTA(A2320:G2320)=0,"",IF(E2320&lt;&gt;"",E2320,IF(B2320="","",IFERROR(IF(INDEX(pr_price,MATCH(B2320,pr_code,0))="","",INDEX(pr_price,MATCH(B2320,pr_code,0))),""))))</f>
        <v/>
      </c>
      <c r="K2320" s="71" t="str">
        <f>IF(COUNTA(A2320:G2320)=0,"",IF(G2320&lt;&gt;"",G2320,IF(B2320="","",IFERROR(IF(INDEX(pr_rate,MATCH(B2320,pr_code,0))="","",INDEX(pr_rate,MATCH(B2320,pr_code,0))),""))))</f>
        <v/>
      </c>
      <c r="L2320" s="65" t="str">
        <f>IF(COUNTA(A2320:G2320)=0,"",IF(AND(ISNUMBER(D2320),ISNUMBER(J2320)),ROUND(D2320*J2320*(1-N(F2320)),2),0))</f>
        <v/>
      </c>
      <c r="M2320" s="62" t="str">
        <f>IF(A2320="","",IFERROR(INDEX(fa_cname,MATCH(A2320,fa_num,0))&amp;"",""))</f>
        <v/>
      </c>
      <c r="N2320" s="59" t="str">
        <f>IF(COUNTA(A2320:G2320)=0,"",IF(A2320="","N° facture manquant",IF(ISNA(MATCH(A2320,fa_num,0)),"Facture inconnue",IF(AND(B2320&lt;&gt;"",ISNA(MATCH(B2320,pr_code,0))),"Article inconnu",IF(H2320="","Désignation manquante",IF(OR(NOT(ISNUMBER(D2320)),N(D2320)&lt;=0),"Quantité invalide",IF(J2320="","Prix manquant",IF(OR(NOT(ISNUMBER(J2320)),N(J2320)&lt;0),"Prix invalide",IF(OR(AND(F2320&lt;&gt;"",NOT(ISNUMBER(F2320))),N(F2320)&lt;0,N(F2320)&gt;1),"Remise invalide",IF(K2320="","Taux de TVA manquant",IF(NOT(ISNUMBER(K2320)),"Taux de TVA invalide",IF(COUNTIF(p_rates,K2320)=0,"Taux de TVA hors liste (Paramètres)",IF(N(O2320)&gt;25,"Au-delà de 25 lignes : non imprimée","OK")))))))))))))</f>
        <v/>
      </c>
      <c r="O2320" s="59" t="str">
        <f>IF(A2320="","",COUNTIF($A$6:A2320,A2320))</f>
        <v/>
      </c>
      <c r="P2320" s="62" t="str">
        <f>IF(A2320="","",A2320&amp;"|"&amp;O2320)</f>
        <v/>
      </c>
    </row>
    <row r="2321">
      <c r="A2321" s="60" t="n"/>
      <c r="B2321" s="63" t="n"/>
      <c r="C2321" s="63" t="n"/>
      <c r="D2321" s="67" t="n"/>
      <c r="E2321" s="68" t="n"/>
      <c r="F2321" s="69" t="n"/>
      <c r="G2321" s="70" t="n"/>
      <c r="H2321" s="62" t="str">
        <f>IF(COUNTA(A2321:G2321)=0,"",IF(C2321&lt;&gt;"",C2321,IF(B2321="","",IFERROR(INDEX(pr_des,MATCH(B2321,pr_code,0))&amp;"",""))))</f>
        <v/>
      </c>
      <c r="I2321" s="59" t="str">
        <f>IF(B2321="","",IFERROR(INDEX(pr_unit,MATCH(B2321,pr_code,0))&amp;"",""))</f>
        <v/>
      </c>
      <c r="J2321" s="65" t="str">
        <f>IF(COUNTA(A2321:G2321)=0,"",IF(E2321&lt;&gt;"",E2321,IF(B2321="","",IFERROR(IF(INDEX(pr_price,MATCH(B2321,pr_code,0))="","",INDEX(pr_price,MATCH(B2321,pr_code,0))),""))))</f>
        <v/>
      </c>
      <c r="K2321" s="71" t="str">
        <f>IF(COUNTA(A2321:G2321)=0,"",IF(G2321&lt;&gt;"",G2321,IF(B2321="","",IFERROR(IF(INDEX(pr_rate,MATCH(B2321,pr_code,0))="","",INDEX(pr_rate,MATCH(B2321,pr_code,0))),""))))</f>
        <v/>
      </c>
      <c r="L2321" s="65" t="str">
        <f>IF(COUNTA(A2321:G2321)=0,"",IF(AND(ISNUMBER(D2321),ISNUMBER(J2321)),ROUND(D2321*J2321*(1-N(F2321)),2),0))</f>
        <v/>
      </c>
      <c r="M2321" s="62" t="str">
        <f>IF(A2321="","",IFERROR(INDEX(fa_cname,MATCH(A2321,fa_num,0))&amp;"",""))</f>
        <v/>
      </c>
      <c r="N2321" s="59" t="str">
        <f>IF(COUNTA(A2321:G2321)=0,"",IF(A2321="","N° facture manquant",IF(ISNA(MATCH(A2321,fa_num,0)),"Facture inconnue",IF(AND(B2321&lt;&gt;"",ISNA(MATCH(B2321,pr_code,0))),"Article inconnu",IF(H2321="","Désignation manquante",IF(OR(NOT(ISNUMBER(D2321)),N(D2321)&lt;=0),"Quantité invalide",IF(J2321="","Prix manquant",IF(OR(NOT(ISNUMBER(J2321)),N(J2321)&lt;0),"Prix invalide",IF(OR(AND(F2321&lt;&gt;"",NOT(ISNUMBER(F2321))),N(F2321)&lt;0,N(F2321)&gt;1),"Remise invalide",IF(K2321="","Taux de TVA manquant",IF(NOT(ISNUMBER(K2321)),"Taux de TVA invalide",IF(COUNTIF(p_rates,K2321)=0,"Taux de TVA hors liste (Paramètres)",IF(N(O2321)&gt;25,"Au-delà de 25 lignes : non imprimée","OK")))))))))))))</f>
        <v/>
      </c>
      <c r="O2321" s="59" t="str">
        <f>IF(A2321="","",COUNTIF($A$6:A2321,A2321))</f>
        <v/>
      </c>
      <c r="P2321" s="62" t="str">
        <f>IF(A2321="","",A2321&amp;"|"&amp;O2321)</f>
        <v/>
      </c>
    </row>
    <row r="2322">
      <c r="A2322" s="60" t="n"/>
      <c r="B2322" s="63" t="n"/>
      <c r="C2322" s="63" t="n"/>
      <c r="D2322" s="67" t="n"/>
      <c r="E2322" s="68" t="n"/>
      <c r="F2322" s="69" t="n"/>
      <c r="G2322" s="70" t="n"/>
      <c r="H2322" s="62" t="str">
        <f>IF(COUNTA(A2322:G2322)=0,"",IF(C2322&lt;&gt;"",C2322,IF(B2322="","",IFERROR(INDEX(pr_des,MATCH(B2322,pr_code,0))&amp;"",""))))</f>
        <v/>
      </c>
      <c r="I2322" s="59" t="str">
        <f>IF(B2322="","",IFERROR(INDEX(pr_unit,MATCH(B2322,pr_code,0))&amp;"",""))</f>
        <v/>
      </c>
      <c r="J2322" s="65" t="str">
        <f>IF(COUNTA(A2322:G2322)=0,"",IF(E2322&lt;&gt;"",E2322,IF(B2322="","",IFERROR(IF(INDEX(pr_price,MATCH(B2322,pr_code,0))="","",INDEX(pr_price,MATCH(B2322,pr_code,0))),""))))</f>
        <v/>
      </c>
      <c r="K2322" s="71" t="str">
        <f>IF(COUNTA(A2322:G2322)=0,"",IF(G2322&lt;&gt;"",G2322,IF(B2322="","",IFERROR(IF(INDEX(pr_rate,MATCH(B2322,pr_code,0))="","",INDEX(pr_rate,MATCH(B2322,pr_code,0))),""))))</f>
        <v/>
      </c>
      <c r="L2322" s="65" t="str">
        <f>IF(COUNTA(A2322:G2322)=0,"",IF(AND(ISNUMBER(D2322),ISNUMBER(J2322)),ROUND(D2322*J2322*(1-N(F2322)),2),0))</f>
        <v/>
      </c>
      <c r="M2322" s="62" t="str">
        <f>IF(A2322="","",IFERROR(INDEX(fa_cname,MATCH(A2322,fa_num,0))&amp;"",""))</f>
        <v/>
      </c>
      <c r="N2322" s="59" t="str">
        <f>IF(COUNTA(A2322:G2322)=0,"",IF(A2322="","N° facture manquant",IF(ISNA(MATCH(A2322,fa_num,0)),"Facture inconnue",IF(AND(B2322&lt;&gt;"",ISNA(MATCH(B2322,pr_code,0))),"Article inconnu",IF(H2322="","Désignation manquante",IF(OR(NOT(ISNUMBER(D2322)),N(D2322)&lt;=0),"Quantité invalide",IF(J2322="","Prix manquant",IF(OR(NOT(ISNUMBER(J2322)),N(J2322)&lt;0),"Prix invalide",IF(OR(AND(F2322&lt;&gt;"",NOT(ISNUMBER(F2322))),N(F2322)&lt;0,N(F2322)&gt;1),"Remise invalide",IF(K2322="","Taux de TVA manquant",IF(NOT(ISNUMBER(K2322)),"Taux de TVA invalide",IF(COUNTIF(p_rates,K2322)=0,"Taux de TVA hors liste (Paramètres)",IF(N(O2322)&gt;25,"Au-delà de 25 lignes : non imprimée","OK")))))))))))))</f>
        <v/>
      </c>
      <c r="O2322" s="59" t="str">
        <f>IF(A2322="","",COUNTIF($A$6:A2322,A2322))</f>
        <v/>
      </c>
      <c r="P2322" s="62" t="str">
        <f>IF(A2322="","",A2322&amp;"|"&amp;O2322)</f>
        <v/>
      </c>
    </row>
    <row r="2323">
      <c r="A2323" s="60" t="n"/>
      <c r="B2323" s="63" t="n"/>
      <c r="C2323" s="63" t="n"/>
      <c r="D2323" s="67" t="n"/>
      <c r="E2323" s="68" t="n"/>
      <c r="F2323" s="69" t="n"/>
      <c r="G2323" s="70" t="n"/>
      <c r="H2323" s="62" t="str">
        <f>IF(COUNTA(A2323:G2323)=0,"",IF(C2323&lt;&gt;"",C2323,IF(B2323="","",IFERROR(INDEX(pr_des,MATCH(B2323,pr_code,0))&amp;"",""))))</f>
        <v/>
      </c>
      <c r="I2323" s="59" t="str">
        <f>IF(B2323="","",IFERROR(INDEX(pr_unit,MATCH(B2323,pr_code,0))&amp;"",""))</f>
        <v/>
      </c>
      <c r="J2323" s="65" t="str">
        <f>IF(COUNTA(A2323:G2323)=0,"",IF(E2323&lt;&gt;"",E2323,IF(B2323="","",IFERROR(IF(INDEX(pr_price,MATCH(B2323,pr_code,0))="","",INDEX(pr_price,MATCH(B2323,pr_code,0))),""))))</f>
        <v/>
      </c>
      <c r="K2323" s="71" t="str">
        <f>IF(COUNTA(A2323:G2323)=0,"",IF(G2323&lt;&gt;"",G2323,IF(B2323="","",IFERROR(IF(INDEX(pr_rate,MATCH(B2323,pr_code,0))="","",INDEX(pr_rate,MATCH(B2323,pr_code,0))),""))))</f>
        <v/>
      </c>
      <c r="L2323" s="65" t="str">
        <f>IF(COUNTA(A2323:G2323)=0,"",IF(AND(ISNUMBER(D2323),ISNUMBER(J2323)),ROUND(D2323*J2323*(1-N(F2323)),2),0))</f>
        <v/>
      </c>
      <c r="M2323" s="62" t="str">
        <f>IF(A2323="","",IFERROR(INDEX(fa_cname,MATCH(A2323,fa_num,0))&amp;"",""))</f>
        <v/>
      </c>
      <c r="N2323" s="59" t="str">
        <f>IF(COUNTA(A2323:G2323)=0,"",IF(A2323="","N° facture manquant",IF(ISNA(MATCH(A2323,fa_num,0)),"Facture inconnue",IF(AND(B2323&lt;&gt;"",ISNA(MATCH(B2323,pr_code,0))),"Article inconnu",IF(H2323="","Désignation manquante",IF(OR(NOT(ISNUMBER(D2323)),N(D2323)&lt;=0),"Quantité invalide",IF(J2323="","Prix manquant",IF(OR(NOT(ISNUMBER(J2323)),N(J2323)&lt;0),"Prix invalide",IF(OR(AND(F2323&lt;&gt;"",NOT(ISNUMBER(F2323))),N(F2323)&lt;0,N(F2323)&gt;1),"Remise invalide",IF(K2323="","Taux de TVA manquant",IF(NOT(ISNUMBER(K2323)),"Taux de TVA invalide",IF(COUNTIF(p_rates,K2323)=0,"Taux de TVA hors liste (Paramètres)",IF(N(O2323)&gt;25,"Au-delà de 25 lignes : non imprimée","OK")))))))))))))</f>
        <v/>
      </c>
      <c r="O2323" s="59" t="str">
        <f>IF(A2323="","",COUNTIF($A$6:A2323,A2323))</f>
        <v/>
      </c>
      <c r="P2323" s="62" t="str">
        <f>IF(A2323="","",A2323&amp;"|"&amp;O2323)</f>
        <v/>
      </c>
    </row>
    <row r="2324">
      <c r="A2324" s="60" t="n"/>
      <c r="B2324" s="63" t="n"/>
      <c r="C2324" s="63" t="n"/>
      <c r="D2324" s="67" t="n"/>
      <c r="E2324" s="68" t="n"/>
      <c r="F2324" s="69" t="n"/>
      <c r="G2324" s="70" t="n"/>
      <c r="H2324" s="62" t="str">
        <f>IF(COUNTA(A2324:G2324)=0,"",IF(C2324&lt;&gt;"",C2324,IF(B2324="","",IFERROR(INDEX(pr_des,MATCH(B2324,pr_code,0))&amp;"",""))))</f>
        <v/>
      </c>
      <c r="I2324" s="59" t="str">
        <f>IF(B2324="","",IFERROR(INDEX(pr_unit,MATCH(B2324,pr_code,0))&amp;"",""))</f>
        <v/>
      </c>
      <c r="J2324" s="65" t="str">
        <f>IF(COUNTA(A2324:G2324)=0,"",IF(E2324&lt;&gt;"",E2324,IF(B2324="","",IFERROR(IF(INDEX(pr_price,MATCH(B2324,pr_code,0))="","",INDEX(pr_price,MATCH(B2324,pr_code,0))),""))))</f>
        <v/>
      </c>
      <c r="K2324" s="71" t="str">
        <f>IF(COUNTA(A2324:G2324)=0,"",IF(G2324&lt;&gt;"",G2324,IF(B2324="","",IFERROR(IF(INDEX(pr_rate,MATCH(B2324,pr_code,0))="","",INDEX(pr_rate,MATCH(B2324,pr_code,0))),""))))</f>
        <v/>
      </c>
      <c r="L2324" s="65" t="str">
        <f>IF(COUNTA(A2324:G2324)=0,"",IF(AND(ISNUMBER(D2324),ISNUMBER(J2324)),ROUND(D2324*J2324*(1-N(F2324)),2),0))</f>
        <v/>
      </c>
      <c r="M2324" s="62" t="str">
        <f>IF(A2324="","",IFERROR(INDEX(fa_cname,MATCH(A2324,fa_num,0))&amp;"",""))</f>
        <v/>
      </c>
      <c r="N2324" s="59" t="str">
        <f>IF(COUNTA(A2324:G2324)=0,"",IF(A2324="","N° facture manquant",IF(ISNA(MATCH(A2324,fa_num,0)),"Facture inconnue",IF(AND(B2324&lt;&gt;"",ISNA(MATCH(B2324,pr_code,0))),"Article inconnu",IF(H2324="","Désignation manquante",IF(OR(NOT(ISNUMBER(D2324)),N(D2324)&lt;=0),"Quantité invalide",IF(J2324="","Prix manquant",IF(OR(NOT(ISNUMBER(J2324)),N(J2324)&lt;0),"Prix invalide",IF(OR(AND(F2324&lt;&gt;"",NOT(ISNUMBER(F2324))),N(F2324)&lt;0,N(F2324)&gt;1),"Remise invalide",IF(K2324="","Taux de TVA manquant",IF(NOT(ISNUMBER(K2324)),"Taux de TVA invalide",IF(COUNTIF(p_rates,K2324)=0,"Taux de TVA hors liste (Paramètres)",IF(N(O2324)&gt;25,"Au-delà de 25 lignes : non imprimée","OK")))))))))))))</f>
        <v/>
      </c>
      <c r="O2324" s="59" t="str">
        <f>IF(A2324="","",COUNTIF($A$6:A2324,A2324))</f>
        <v/>
      </c>
      <c r="P2324" s="62" t="str">
        <f>IF(A2324="","",A2324&amp;"|"&amp;O2324)</f>
        <v/>
      </c>
    </row>
    <row r="2325">
      <c r="A2325" s="60" t="n"/>
      <c r="B2325" s="63" t="n"/>
      <c r="C2325" s="63" t="n"/>
      <c r="D2325" s="67" t="n"/>
      <c r="E2325" s="68" t="n"/>
      <c r="F2325" s="69" t="n"/>
      <c r="G2325" s="70" t="n"/>
      <c r="H2325" s="62" t="str">
        <f>IF(COUNTA(A2325:G2325)=0,"",IF(C2325&lt;&gt;"",C2325,IF(B2325="","",IFERROR(INDEX(pr_des,MATCH(B2325,pr_code,0))&amp;"",""))))</f>
        <v/>
      </c>
      <c r="I2325" s="59" t="str">
        <f>IF(B2325="","",IFERROR(INDEX(pr_unit,MATCH(B2325,pr_code,0))&amp;"",""))</f>
        <v/>
      </c>
      <c r="J2325" s="65" t="str">
        <f>IF(COUNTA(A2325:G2325)=0,"",IF(E2325&lt;&gt;"",E2325,IF(B2325="","",IFERROR(IF(INDEX(pr_price,MATCH(B2325,pr_code,0))="","",INDEX(pr_price,MATCH(B2325,pr_code,0))),""))))</f>
        <v/>
      </c>
      <c r="K2325" s="71" t="str">
        <f>IF(COUNTA(A2325:G2325)=0,"",IF(G2325&lt;&gt;"",G2325,IF(B2325="","",IFERROR(IF(INDEX(pr_rate,MATCH(B2325,pr_code,0))="","",INDEX(pr_rate,MATCH(B2325,pr_code,0))),""))))</f>
        <v/>
      </c>
      <c r="L2325" s="65" t="str">
        <f>IF(COUNTA(A2325:G2325)=0,"",IF(AND(ISNUMBER(D2325),ISNUMBER(J2325)),ROUND(D2325*J2325*(1-N(F2325)),2),0))</f>
        <v/>
      </c>
      <c r="M2325" s="62" t="str">
        <f>IF(A2325="","",IFERROR(INDEX(fa_cname,MATCH(A2325,fa_num,0))&amp;"",""))</f>
        <v/>
      </c>
      <c r="N2325" s="59" t="str">
        <f>IF(COUNTA(A2325:G2325)=0,"",IF(A2325="","N° facture manquant",IF(ISNA(MATCH(A2325,fa_num,0)),"Facture inconnue",IF(AND(B2325&lt;&gt;"",ISNA(MATCH(B2325,pr_code,0))),"Article inconnu",IF(H2325="","Désignation manquante",IF(OR(NOT(ISNUMBER(D2325)),N(D2325)&lt;=0),"Quantité invalide",IF(J2325="","Prix manquant",IF(OR(NOT(ISNUMBER(J2325)),N(J2325)&lt;0),"Prix invalide",IF(OR(AND(F2325&lt;&gt;"",NOT(ISNUMBER(F2325))),N(F2325)&lt;0,N(F2325)&gt;1),"Remise invalide",IF(K2325="","Taux de TVA manquant",IF(NOT(ISNUMBER(K2325)),"Taux de TVA invalide",IF(COUNTIF(p_rates,K2325)=0,"Taux de TVA hors liste (Paramètres)",IF(N(O2325)&gt;25,"Au-delà de 25 lignes : non imprimée","OK")))))))))))))</f>
        <v/>
      </c>
      <c r="O2325" s="59" t="str">
        <f>IF(A2325="","",COUNTIF($A$6:A2325,A2325))</f>
        <v/>
      </c>
      <c r="P2325" s="62" t="str">
        <f>IF(A2325="","",A2325&amp;"|"&amp;O2325)</f>
        <v/>
      </c>
    </row>
    <row r="2326">
      <c r="A2326" s="60" t="n"/>
      <c r="B2326" s="63" t="n"/>
      <c r="C2326" s="63" t="n"/>
      <c r="D2326" s="67" t="n"/>
      <c r="E2326" s="68" t="n"/>
      <c r="F2326" s="69" t="n"/>
      <c r="G2326" s="70" t="n"/>
      <c r="H2326" s="62" t="str">
        <f>IF(COUNTA(A2326:G2326)=0,"",IF(C2326&lt;&gt;"",C2326,IF(B2326="","",IFERROR(INDEX(pr_des,MATCH(B2326,pr_code,0))&amp;"",""))))</f>
        <v/>
      </c>
      <c r="I2326" s="59" t="str">
        <f>IF(B2326="","",IFERROR(INDEX(pr_unit,MATCH(B2326,pr_code,0))&amp;"",""))</f>
        <v/>
      </c>
      <c r="J2326" s="65" t="str">
        <f>IF(COUNTA(A2326:G2326)=0,"",IF(E2326&lt;&gt;"",E2326,IF(B2326="","",IFERROR(IF(INDEX(pr_price,MATCH(B2326,pr_code,0))="","",INDEX(pr_price,MATCH(B2326,pr_code,0))),""))))</f>
        <v/>
      </c>
      <c r="K2326" s="71" t="str">
        <f>IF(COUNTA(A2326:G2326)=0,"",IF(G2326&lt;&gt;"",G2326,IF(B2326="","",IFERROR(IF(INDEX(pr_rate,MATCH(B2326,pr_code,0))="","",INDEX(pr_rate,MATCH(B2326,pr_code,0))),""))))</f>
        <v/>
      </c>
      <c r="L2326" s="65" t="str">
        <f>IF(COUNTA(A2326:G2326)=0,"",IF(AND(ISNUMBER(D2326),ISNUMBER(J2326)),ROUND(D2326*J2326*(1-N(F2326)),2),0))</f>
        <v/>
      </c>
      <c r="M2326" s="62" t="str">
        <f>IF(A2326="","",IFERROR(INDEX(fa_cname,MATCH(A2326,fa_num,0))&amp;"",""))</f>
        <v/>
      </c>
      <c r="N2326" s="59" t="str">
        <f>IF(COUNTA(A2326:G2326)=0,"",IF(A2326="","N° facture manquant",IF(ISNA(MATCH(A2326,fa_num,0)),"Facture inconnue",IF(AND(B2326&lt;&gt;"",ISNA(MATCH(B2326,pr_code,0))),"Article inconnu",IF(H2326="","Désignation manquante",IF(OR(NOT(ISNUMBER(D2326)),N(D2326)&lt;=0),"Quantité invalide",IF(J2326="","Prix manquant",IF(OR(NOT(ISNUMBER(J2326)),N(J2326)&lt;0),"Prix invalide",IF(OR(AND(F2326&lt;&gt;"",NOT(ISNUMBER(F2326))),N(F2326)&lt;0,N(F2326)&gt;1),"Remise invalide",IF(K2326="","Taux de TVA manquant",IF(NOT(ISNUMBER(K2326)),"Taux de TVA invalide",IF(COUNTIF(p_rates,K2326)=0,"Taux de TVA hors liste (Paramètres)",IF(N(O2326)&gt;25,"Au-delà de 25 lignes : non imprimée","OK")))))))))))))</f>
        <v/>
      </c>
      <c r="O2326" s="59" t="str">
        <f>IF(A2326="","",COUNTIF($A$6:A2326,A2326))</f>
        <v/>
      </c>
      <c r="P2326" s="62" t="str">
        <f>IF(A2326="","",A2326&amp;"|"&amp;O2326)</f>
        <v/>
      </c>
    </row>
    <row r="2327">
      <c r="A2327" s="60" t="n"/>
      <c r="B2327" s="63" t="n"/>
      <c r="C2327" s="63" t="n"/>
      <c r="D2327" s="67" t="n"/>
      <c r="E2327" s="68" t="n"/>
      <c r="F2327" s="69" t="n"/>
      <c r="G2327" s="70" t="n"/>
      <c r="H2327" s="62" t="str">
        <f>IF(COUNTA(A2327:G2327)=0,"",IF(C2327&lt;&gt;"",C2327,IF(B2327="","",IFERROR(INDEX(pr_des,MATCH(B2327,pr_code,0))&amp;"",""))))</f>
        <v/>
      </c>
      <c r="I2327" s="59" t="str">
        <f>IF(B2327="","",IFERROR(INDEX(pr_unit,MATCH(B2327,pr_code,0))&amp;"",""))</f>
        <v/>
      </c>
      <c r="J2327" s="65" t="str">
        <f>IF(COUNTA(A2327:G2327)=0,"",IF(E2327&lt;&gt;"",E2327,IF(B2327="","",IFERROR(IF(INDEX(pr_price,MATCH(B2327,pr_code,0))="","",INDEX(pr_price,MATCH(B2327,pr_code,0))),""))))</f>
        <v/>
      </c>
      <c r="K2327" s="71" t="str">
        <f>IF(COUNTA(A2327:G2327)=0,"",IF(G2327&lt;&gt;"",G2327,IF(B2327="","",IFERROR(IF(INDEX(pr_rate,MATCH(B2327,pr_code,0))="","",INDEX(pr_rate,MATCH(B2327,pr_code,0))),""))))</f>
        <v/>
      </c>
      <c r="L2327" s="65" t="str">
        <f>IF(COUNTA(A2327:G2327)=0,"",IF(AND(ISNUMBER(D2327),ISNUMBER(J2327)),ROUND(D2327*J2327*(1-N(F2327)),2),0))</f>
        <v/>
      </c>
      <c r="M2327" s="62" t="str">
        <f>IF(A2327="","",IFERROR(INDEX(fa_cname,MATCH(A2327,fa_num,0))&amp;"",""))</f>
        <v/>
      </c>
      <c r="N2327" s="59" t="str">
        <f>IF(COUNTA(A2327:G2327)=0,"",IF(A2327="","N° facture manquant",IF(ISNA(MATCH(A2327,fa_num,0)),"Facture inconnue",IF(AND(B2327&lt;&gt;"",ISNA(MATCH(B2327,pr_code,0))),"Article inconnu",IF(H2327="","Désignation manquante",IF(OR(NOT(ISNUMBER(D2327)),N(D2327)&lt;=0),"Quantité invalide",IF(J2327="","Prix manquant",IF(OR(NOT(ISNUMBER(J2327)),N(J2327)&lt;0),"Prix invalide",IF(OR(AND(F2327&lt;&gt;"",NOT(ISNUMBER(F2327))),N(F2327)&lt;0,N(F2327)&gt;1),"Remise invalide",IF(K2327="","Taux de TVA manquant",IF(NOT(ISNUMBER(K2327)),"Taux de TVA invalide",IF(COUNTIF(p_rates,K2327)=0,"Taux de TVA hors liste (Paramètres)",IF(N(O2327)&gt;25,"Au-delà de 25 lignes : non imprimée","OK")))))))))))))</f>
        <v/>
      </c>
      <c r="O2327" s="59" t="str">
        <f>IF(A2327="","",COUNTIF($A$6:A2327,A2327))</f>
        <v/>
      </c>
      <c r="P2327" s="62" t="str">
        <f>IF(A2327="","",A2327&amp;"|"&amp;O2327)</f>
        <v/>
      </c>
    </row>
    <row r="2328">
      <c r="A2328" s="60" t="n"/>
      <c r="B2328" s="63" t="n"/>
      <c r="C2328" s="63" t="n"/>
      <c r="D2328" s="67" t="n"/>
      <c r="E2328" s="68" t="n"/>
      <c r="F2328" s="69" t="n"/>
      <c r="G2328" s="70" t="n"/>
      <c r="H2328" s="62" t="str">
        <f>IF(COUNTA(A2328:G2328)=0,"",IF(C2328&lt;&gt;"",C2328,IF(B2328="","",IFERROR(INDEX(pr_des,MATCH(B2328,pr_code,0))&amp;"",""))))</f>
        <v/>
      </c>
      <c r="I2328" s="59" t="str">
        <f>IF(B2328="","",IFERROR(INDEX(pr_unit,MATCH(B2328,pr_code,0))&amp;"",""))</f>
        <v/>
      </c>
      <c r="J2328" s="65" t="str">
        <f>IF(COUNTA(A2328:G2328)=0,"",IF(E2328&lt;&gt;"",E2328,IF(B2328="","",IFERROR(IF(INDEX(pr_price,MATCH(B2328,pr_code,0))="","",INDEX(pr_price,MATCH(B2328,pr_code,0))),""))))</f>
        <v/>
      </c>
      <c r="K2328" s="71" t="str">
        <f>IF(COUNTA(A2328:G2328)=0,"",IF(G2328&lt;&gt;"",G2328,IF(B2328="","",IFERROR(IF(INDEX(pr_rate,MATCH(B2328,pr_code,0))="","",INDEX(pr_rate,MATCH(B2328,pr_code,0))),""))))</f>
        <v/>
      </c>
      <c r="L2328" s="65" t="str">
        <f>IF(COUNTA(A2328:G2328)=0,"",IF(AND(ISNUMBER(D2328),ISNUMBER(J2328)),ROUND(D2328*J2328*(1-N(F2328)),2),0))</f>
        <v/>
      </c>
      <c r="M2328" s="62" t="str">
        <f>IF(A2328="","",IFERROR(INDEX(fa_cname,MATCH(A2328,fa_num,0))&amp;"",""))</f>
        <v/>
      </c>
      <c r="N2328" s="59" t="str">
        <f>IF(COUNTA(A2328:G2328)=0,"",IF(A2328="","N° facture manquant",IF(ISNA(MATCH(A2328,fa_num,0)),"Facture inconnue",IF(AND(B2328&lt;&gt;"",ISNA(MATCH(B2328,pr_code,0))),"Article inconnu",IF(H2328="","Désignation manquante",IF(OR(NOT(ISNUMBER(D2328)),N(D2328)&lt;=0),"Quantité invalide",IF(J2328="","Prix manquant",IF(OR(NOT(ISNUMBER(J2328)),N(J2328)&lt;0),"Prix invalide",IF(OR(AND(F2328&lt;&gt;"",NOT(ISNUMBER(F2328))),N(F2328)&lt;0,N(F2328)&gt;1),"Remise invalide",IF(K2328="","Taux de TVA manquant",IF(NOT(ISNUMBER(K2328)),"Taux de TVA invalide",IF(COUNTIF(p_rates,K2328)=0,"Taux de TVA hors liste (Paramètres)",IF(N(O2328)&gt;25,"Au-delà de 25 lignes : non imprimée","OK")))))))))))))</f>
        <v/>
      </c>
      <c r="O2328" s="59" t="str">
        <f>IF(A2328="","",COUNTIF($A$6:A2328,A2328))</f>
        <v/>
      </c>
      <c r="P2328" s="62" t="str">
        <f>IF(A2328="","",A2328&amp;"|"&amp;O2328)</f>
        <v/>
      </c>
    </row>
    <row r="2329">
      <c r="A2329" s="60" t="n"/>
      <c r="B2329" s="63" t="n"/>
      <c r="C2329" s="63" t="n"/>
      <c r="D2329" s="67" t="n"/>
      <c r="E2329" s="68" t="n"/>
      <c r="F2329" s="69" t="n"/>
      <c r="G2329" s="70" t="n"/>
      <c r="H2329" s="62" t="str">
        <f>IF(COUNTA(A2329:G2329)=0,"",IF(C2329&lt;&gt;"",C2329,IF(B2329="","",IFERROR(INDEX(pr_des,MATCH(B2329,pr_code,0))&amp;"",""))))</f>
        <v/>
      </c>
      <c r="I2329" s="59" t="str">
        <f>IF(B2329="","",IFERROR(INDEX(pr_unit,MATCH(B2329,pr_code,0))&amp;"",""))</f>
        <v/>
      </c>
      <c r="J2329" s="65" t="str">
        <f>IF(COUNTA(A2329:G2329)=0,"",IF(E2329&lt;&gt;"",E2329,IF(B2329="","",IFERROR(IF(INDEX(pr_price,MATCH(B2329,pr_code,0))="","",INDEX(pr_price,MATCH(B2329,pr_code,0))),""))))</f>
        <v/>
      </c>
      <c r="K2329" s="71" t="str">
        <f>IF(COUNTA(A2329:G2329)=0,"",IF(G2329&lt;&gt;"",G2329,IF(B2329="","",IFERROR(IF(INDEX(pr_rate,MATCH(B2329,pr_code,0))="","",INDEX(pr_rate,MATCH(B2329,pr_code,0))),""))))</f>
        <v/>
      </c>
      <c r="L2329" s="65" t="str">
        <f>IF(COUNTA(A2329:G2329)=0,"",IF(AND(ISNUMBER(D2329),ISNUMBER(J2329)),ROUND(D2329*J2329*(1-N(F2329)),2),0))</f>
        <v/>
      </c>
      <c r="M2329" s="62" t="str">
        <f>IF(A2329="","",IFERROR(INDEX(fa_cname,MATCH(A2329,fa_num,0))&amp;"",""))</f>
        <v/>
      </c>
      <c r="N2329" s="59" t="str">
        <f>IF(COUNTA(A2329:G2329)=0,"",IF(A2329="","N° facture manquant",IF(ISNA(MATCH(A2329,fa_num,0)),"Facture inconnue",IF(AND(B2329&lt;&gt;"",ISNA(MATCH(B2329,pr_code,0))),"Article inconnu",IF(H2329="","Désignation manquante",IF(OR(NOT(ISNUMBER(D2329)),N(D2329)&lt;=0),"Quantité invalide",IF(J2329="","Prix manquant",IF(OR(NOT(ISNUMBER(J2329)),N(J2329)&lt;0),"Prix invalide",IF(OR(AND(F2329&lt;&gt;"",NOT(ISNUMBER(F2329))),N(F2329)&lt;0,N(F2329)&gt;1),"Remise invalide",IF(K2329="","Taux de TVA manquant",IF(NOT(ISNUMBER(K2329)),"Taux de TVA invalide",IF(COUNTIF(p_rates,K2329)=0,"Taux de TVA hors liste (Paramètres)",IF(N(O2329)&gt;25,"Au-delà de 25 lignes : non imprimée","OK")))))))))))))</f>
        <v/>
      </c>
      <c r="O2329" s="59" t="str">
        <f>IF(A2329="","",COUNTIF($A$6:A2329,A2329))</f>
        <v/>
      </c>
      <c r="P2329" s="62" t="str">
        <f>IF(A2329="","",A2329&amp;"|"&amp;O2329)</f>
        <v/>
      </c>
    </row>
    <row r="2330">
      <c r="A2330" s="60" t="n"/>
      <c r="B2330" s="63" t="n"/>
      <c r="C2330" s="63" t="n"/>
      <c r="D2330" s="67" t="n"/>
      <c r="E2330" s="68" t="n"/>
      <c r="F2330" s="69" t="n"/>
      <c r="G2330" s="70" t="n"/>
      <c r="H2330" s="62" t="str">
        <f>IF(COUNTA(A2330:G2330)=0,"",IF(C2330&lt;&gt;"",C2330,IF(B2330="","",IFERROR(INDEX(pr_des,MATCH(B2330,pr_code,0))&amp;"",""))))</f>
        <v/>
      </c>
      <c r="I2330" s="59" t="str">
        <f>IF(B2330="","",IFERROR(INDEX(pr_unit,MATCH(B2330,pr_code,0))&amp;"",""))</f>
        <v/>
      </c>
      <c r="J2330" s="65" t="str">
        <f>IF(COUNTA(A2330:G2330)=0,"",IF(E2330&lt;&gt;"",E2330,IF(B2330="","",IFERROR(IF(INDEX(pr_price,MATCH(B2330,pr_code,0))="","",INDEX(pr_price,MATCH(B2330,pr_code,0))),""))))</f>
        <v/>
      </c>
      <c r="K2330" s="71" t="str">
        <f>IF(COUNTA(A2330:G2330)=0,"",IF(G2330&lt;&gt;"",G2330,IF(B2330="","",IFERROR(IF(INDEX(pr_rate,MATCH(B2330,pr_code,0))="","",INDEX(pr_rate,MATCH(B2330,pr_code,0))),""))))</f>
        <v/>
      </c>
      <c r="L2330" s="65" t="str">
        <f>IF(COUNTA(A2330:G2330)=0,"",IF(AND(ISNUMBER(D2330),ISNUMBER(J2330)),ROUND(D2330*J2330*(1-N(F2330)),2),0))</f>
        <v/>
      </c>
      <c r="M2330" s="62" t="str">
        <f>IF(A2330="","",IFERROR(INDEX(fa_cname,MATCH(A2330,fa_num,0))&amp;"",""))</f>
        <v/>
      </c>
      <c r="N2330" s="59" t="str">
        <f>IF(COUNTA(A2330:G2330)=0,"",IF(A2330="","N° facture manquant",IF(ISNA(MATCH(A2330,fa_num,0)),"Facture inconnue",IF(AND(B2330&lt;&gt;"",ISNA(MATCH(B2330,pr_code,0))),"Article inconnu",IF(H2330="","Désignation manquante",IF(OR(NOT(ISNUMBER(D2330)),N(D2330)&lt;=0),"Quantité invalide",IF(J2330="","Prix manquant",IF(OR(NOT(ISNUMBER(J2330)),N(J2330)&lt;0),"Prix invalide",IF(OR(AND(F2330&lt;&gt;"",NOT(ISNUMBER(F2330))),N(F2330)&lt;0,N(F2330)&gt;1),"Remise invalide",IF(K2330="","Taux de TVA manquant",IF(NOT(ISNUMBER(K2330)),"Taux de TVA invalide",IF(COUNTIF(p_rates,K2330)=0,"Taux de TVA hors liste (Paramètres)",IF(N(O2330)&gt;25,"Au-delà de 25 lignes : non imprimée","OK")))))))))))))</f>
        <v/>
      </c>
      <c r="O2330" s="59" t="str">
        <f>IF(A2330="","",COUNTIF($A$6:A2330,A2330))</f>
        <v/>
      </c>
      <c r="P2330" s="62" t="str">
        <f>IF(A2330="","",A2330&amp;"|"&amp;O2330)</f>
        <v/>
      </c>
    </row>
    <row r="2331">
      <c r="A2331" s="60" t="n"/>
      <c r="B2331" s="63" t="n"/>
      <c r="C2331" s="63" t="n"/>
      <c r="D2331" s="67" t="n"/>
      <c r="E2331" s="68" t="n"/>
      <c r="F2331" s="69" t="n"/>
      <c r="G2331" s="70" t="n"/>
      <c r="H2331" s="62" t="str">
        <f>IF(COUNTA(A2331:G2331)=0,"",IF(C2331&lt;&gt;"",C2331,IF(B2331="","",IFERROR(INDEX(pr_des,MATCH(B2331,pr_code,0))&amp;"",""))))</f>
        <v/>
      </c>
      <c r="I2331" s="59" t="str">
        <f>IF(B2331="","",IFERROR(INDEX(pr_unit,MATCH(B2331,pr_code,0))&amp;"",""))</f>
        <v/>
      </c>
      <c r="J2331" s="65" t="str">
        <f>IF(COUNTA(A2331:G2331)=0,"",IF(E2331&lt;&gt;"",E2331,IF(B2331="","",IFERROR(IF(INDEX(pr_price,MATCH(B2331,pr_code,0))="","",INDEX(pr_price,MATCH(B2331,pr_code,0))),""))))</f>
        <v/>
      </c>
      <c r="K2331" s="71" t="str">
        <f>IF(COUNTA(A2331:G2331)=0,"",IF(G2331&lt;&gt;"",G2331,IF(B2331="","",IFERROR(IF(INDEX(pr_rate,MATCH(B2331,pr_code,0))="","",INDEX(pr_rate,MATCH(B2331,pr_code,0))),""))))</f>
        <v/>
      </c>
      <c r="L2331" s="65" t="str">
        <f>IF(COUNTA(A2331:G2331)=0,"",IF(AND(ISNUMBER(D2331),ISNUMBER(J2331)),ROUND(D2331*J2331*(1-N(F2331)),2),0))</f>
        <v/>
      </c>
      <c r="M2331" s="62" t="str">
        <f>IF(A2331="","",IFERROR(INDEX(fa_cname,MATCH(A2331,fa_num,0))&amp;"",""))</f>
        <v/>
      </c>
      <c r="N2331" s="59" t="str">
        <f>IF(COUNTA(A2331:G2331)=0,"",IF(A2331="","N° facture manquant",IF(ISNA(MATCH(A2331,fa_num,0)),"Facture inconnue",IF(AND(B2331&lt;&gt;"",ISNA(MATCH(B2331,pr_code,0))),"Article inconnu",IF(H2331="","Désignation manquante",IF(OR(NOT(ISNUMBER(D2331)),N(D2331)&lt;=0),"Quantité invalide",IF(J2331="","Prix manquant",IF(OR(NOT(ISNUMBER(J2331)),N(J2331)&lt;0),"Prix invalide",IF(OR(AND(F2331&lt;&gt;"",NOT(ISNUMBER(F2331))),N(F2331)&lt;0,N(F2331)&gt;1),"Remise invalide",IF(K2331="","Taux de TVA manquant",IF(NOT(ISNUMBER(K2331)),"Taux de TVA invalide",IF(COUNTIF(p_rates,K2331)=0,"Taux de TVA hors liste (Paramètres)",IF(N(O2331)&gt;25,"Au-delà de 25 lignes : non imprimée","OK")))))))))))))</f>
        <v/>
      </c>
      <c r="O2331" s="59" t="str">
        <f>IF(A2331="","",COUNTIF($A$6:A2331,A2331))</f>
        <v/>
      </c>
      <c r="P2331" s="62" t="str">
        <f>IF(A2331="","",A2331&amp;"|"&amp;O2331)</f>
        <v/>
      </c>
    </row>
    <row r="2332">
      <c r="A2332" s="60" t="n"/>
      <c r="B2332" s="63" t="n"/>
      <c r="C2332" s="63" t="n"/>
      <c r="D2332" s="67" t="n"/>
      <c r="E2332" s="68" t="n"/>
      <c r="F2332" s="69" t="n"/>
      <c r="G2332" s="70" t="n"/>
      <c r="H2332" s="62" t="str">
        <f>IF(COUNTA(A2332:G2332)=0,"",IF(C2332&lt;&gt;"",C2332,IF(B2332="","",IFERROR(INDEX(pr_des,MATCH(B2332,pr_code,0))&amp;"",""))))</f>
        <v/>
      </c>
      <c r="I2332" s="59" t="str">
        <f>IF(B2332="","",IFERROR(INDEX(pr_unit,MATCH(B2332,pr_code,0))&amp;"",""))</f>
        <v/>
      </c>
      <c r="J2332" s="65" t="str">
        <f>IF(COUNTA(A2332:G2332)=0,"",IF(E2332&lt;&gt;"",E2332,IF(B2332="","",IFERROR(IF(INDEX(pr_price,MATCH(B2332,pr_code,0))="","",INDEX(pr_price,MATCH(B2332,pr_code,0))),""))))</f>
        <v/>
      </c>
      <c r="K2332" s="71" t="str">
        <f>IF(COUNTA(A2332:G2332)=0,"",IF(G2332&lt;&gt;"",G2332,IF(B2332="","",IFERROR(IF(INDEX(pr_rate,MATCH(B2332,pr_code,0))="","",INDEX(pr_rate,MATCH(B2332,pr_code,0))),""))))</f>
        <v/>
      </c>
      <c r="L2332" s="65" t="str">
        <f>IF(COUNTA(A2332:G2332)=0,"",IF(AND(ISNUMBER(D2332),ISNUMBER(J2332)),ROUND(D2332*J2332*(1-N(F2332)),2),0))</f>
        <v/>
      </c>
      <c r="M2332" s="62" t="str">
        <f>IF(A2332="","",IFERROR(INDEX(fa_cname,MATCH(A2332,fa_num,0))&amp;"",""))</f>
        <v/>
      </c>
      <c r="N2332" s="59" t="str">
        <f>IF(COUNTA(A2332:G2332)=0,"",IF(A2332="","N° facture manquant",IF(ISNA(MATCH(A2332,fa_num,0)),"Facture inconnue",IF(AND(B2332&lt;&gt;"",ISNA(MATCH(B2332,pr_code,0))),"Article inconnu",IF(H2332="","Désignation manquante",IF(OR(NOT(ISNUMBER(D2332)),N(D2332)&lt;=0),"Quantité invalide",IF(J2332="","Prix manquant",IF(OR(NOT(ISNUMBER(J2332)),N(J2332)&lt;0),"Prix invalide",IF(OR(AND(F2332&lt;&gt;"",NOT(ISNUMBER(F2332))),N(F2332)&lt;0,N(F2332)&gt;1),"Remise invalide",IF(K2332="","Taux de TVA manquant",IF(NOT(ISNUMBER(K2332)),"Taux de TVA invalide",IF(COUNTIF(p_rates,K2332)=0,"Taux de TVA hors liste (Paramètres)",IF(N(O2332)&gt;25,"Au-delà de 25 lignes : non imprimée","OK")))))))))))))</f>
        <v/>
      </c>
      <c r="O2332" s="59" t="str">
        <f>IF(A2332="","",COUNTIF($A$6:A2332,A2332))</f>
        <v/>
      </c>
      <c r="P2332" s="62" t="str">
        <f>IF(A2332="","",A2332&amp;"|"&amp;O2332)</f>
        <v/>
      </c>
    </row>
    <row r="2333">
      <c r="A2333" s="60" t="n"/>
      <c r="B2333" s="63" t="n"/>
      <c r="C2333" s="63" t="n"/>
      <c r="D2333" s="67" t="n"/>
      <c r="E2333" s="68" t="n"/>
      <c r="F2333" s="69" t="n"/>
      <c r="G2333" s="70" t="n"/>
      <c r="H2333" s="62" t="str">
        <f>IF(COUNTA(A2333:G2333)=0,"",IF(C2333&lt;&gt;"",C2333,IF(B2333="","",IFERROR(INDEX(pr_des,MATCH(B2333,pr_code,0))&amp;"",""))))</f>
        <v/>
      </c>
      <c r="I2333" s="59" t="str">
        <f>IF(B2333="","",IFERROR(INDEX(pr_unit,MATCH(B2333,pr_code,0))&amp;"",""))</f>
        <v/>
      </c>
      <c r="J2333" s="65" t="str">
        <f>IF(COUNTA(A2333:G2333)=0,"",IF(E2333&lt;&gt;"",E2333,IF(B2333="","",IFERROR(IF(INDEX(pr_price,MATCH(B2333,pr_code,0))="","",INDEX(pr_price,MATCH(B2333,pr_code,0))),""))))</f>
        <v/>
      </c>
      <c r="K2333" s="71" t="str">
        <f>IF(COUNTA(A2333:G2333)=0,"",IF(G2333&lt;&gt;"",G2333,IF(B2333="","",IFERROR(IF(INDEX(pr_rate,MATCH(B2333,pr_code,0))="","",INDEX(pr_rate,MATCH(B2333,pr_code,0))),""))))</f>
        <v/>
      </c>
      <c r="L2333" s="65" t="str">
        <f>IF(COUNTA(A2333:G2333)=0,"",IF(AND(ISNUMBER(D2333),ISNUMBER(J2333)),ROUND(D2333*J2333*(1-N(F2333)),2),0))</f>
        <v/>
      </c>
      <c r="M2333" s="62" t="str">
        <f>IF(A2333="","",IFERROR(INDEX(fa_cname,MATCH(A2333,fa_num,0))&amp;"",""))</f>
        <v/>
      </c>
      <c r="N2333" s="59" t="str">
        <f>IF(COUNTA(A2333:G2333)=0,"",IF(A2333="","N° facture manquant",IF(ISNA(MATCH(A2333,fa_num,0)),"Facture inconnue",IF(AND(B2333&lt;&gt;"",ISNA(MATCH(B2333,pr_code,0))),"Article inconnu",IF(H2333="","Désignation manquante",IF(OR(NOT(ISNUMBER(D2333)),N(D2333)&lt;=0),"Quantité invalide",IF(J2333="","Prix manquant",IF(OR(NOT(ISNUMBER(J2333)),N(J2333)&lt;0),"Prix invalide",IF(OR(AND(F2333&lt;&gt;"",NOT(ISNUMBER(F2333))),N(F2333)&lt;0,N(F2333)&gt;1),"Remise invalide",IF(K2333="","Taux de TVA manquant",IF(NOT(ISNUMBER(K2333)),"Taux de TVA invalide",IF(COUNTIF(p_rates,K2333)=0,"Taux de TVA hors liste (Paramètres)",IF(N(O2333)&gt;25,"Au-delà de 25 lignes : non imprimée","OK")))))))))))))</f>
        <v/>
      </c>
      <c r="O2333" s="59" t="str">
        <f>IF(A2333="","",COUNTIF($A$6:A2333,A2333))</f>
        <v/>
      </c>
      <c r="P2333" s="62" t="str">
        <f>IF(A2333="","",A2333&amp;"|"&amp;O2333)</f>
        <v/>
      </c>
    </row>
    <row r="2334">
      <c r="A2334" s="60" t="n"/>
      <c r="B2334" s="63" t="n"/>
      <c r="C2334" s="63" t="n"/>
      <c r="D2334" s="67" t="n"/>
      <c r="E2334" s="68" t="n"/>
      <c r="F2334" s="69" t="n"/>
      <c r="G2334" s="70" t="n"/>
      <c r="H2334" s="62" t="str">
        <f>IF(COUNTA(A2334:G2334)=0,"",IF(C2334&lt;&gt;"",C2334,IF(B2334="","",IFERROR(INDEX(pr_des,MATCH(B2334,pr_code,0))&amp;"",""))))</f>
        <v/>
      </c>
      <c r="I2334" s="59" t="str">
        <f>IF(B2334="","",IFERROR(INDEX(pr_unit,MATCH(B2334,pr_code,0))&amp;"",""))</f>
        <v/>
      </c>
      <c r="J2334" s="65" t="str">
        <f>IF(COUNTA(A2334:G2334)=0,"",IF(E2334&lt;&gt;"",E2334,IF(B2334="","",IFERROR(IF(INDEX(pr_price,MATCH(B2334,pr_code,0))="","",INDEX(pr_price,MATCH(B2334,pr_code,0))),""))))</f>
        <v/>
      </c>
      <c r="K2334" s="71" t="str">
        <f>IF(COUNTA(A2334:G2334)=0,"",IF(G2334&lt;&gt;"",G2334,IF(B2334="","",IFERROR(IF(INDEX(pr_rate,MATCH(B2334,pr_code,0))="","",INDEX(pr_rate,MATCH(B2334,pr_code,0))),""))))</f>
        <v/>
      </c>
      <c r="L2334" s="65" t="str">
        <f>IF(COUNTA(A2334:G2334)=0,"",IF(AND(ISNUMBER(D2334),ISNUMBER(J2334)),ROUND(D2334*J2334*(1-N(F2334)),2),0))</f>
        <v/>
      </c>
      <c r="M2334" s="62" t="str">
        <f>IF(A2334="","",IFERROR(INDEX(fa_cname,MATCH(A2334,fa_num,0))&amp;"",""))</f>
        <v/>
      </c>
      <c r="N2334" s="59" t="str">
        <f>IF(COUNTA(A2334:G2334)=0,"",IF(A2334="","N° facture manquant",IF(ISNA(MATCH(A2334,fa_num,0)),"Facture inconnue",IF(AND(B2334&lt;&gt;"",ISNA(MATCH(B2334,pr_code,0))),"Article inconnu",IF(H2334="","Désignation manquante",IF(OR(NOT(ISNUMBER(D2334)),N(D2334)&lt;=0),"Quantité invalide",IF(J2334="","Prix manquant",IF(OR(NOT(ISNUMBER(J2334)),N(J2334)&lt;0),"Prix invalide",IF(OR(AND(F2334&lt;&gt;"",NOT(ISNUMBER(F2334))),N(F2334)&lt;0,N(F2334)&gt;1),"Remise invalide",IF(K2334="","Taux de TVA manquant",IF(NOT(ISNUMBER(K2334)),"Taux de TVA invalide",IF(COUNTIF(p_rates,K2334)=0,"Taux de TVA hors liste (Paramètres)",IF(N(O2334)&gt;25,"Au-delà de 25 lignes : non imprimée","OK")))))))))))))</f>
        <v/>
      </c>
      <c r="O2334" s="59" t="str">
        <f>IF(A2334="","",COUNTIF($A$6:A2334,A2334))</f>
        <v/>
      </c>
      <c r="P2334" s="62" t="str">
        <f>IF(A2334="","",A2334&amp;"|"&amp;O2334)</f>
        <v/>
      </c>
    </row>
    <row r="2335">
      <c r="A2335" s="60" t="n"/>
      <c r="B2335" s="63" t="n"/>
      <c r="C2335" s="63" t="n"/>
      <c r="D2335" s="67" t="n"/>
      <c r="E2335" s="68" t="n"/>
      <c r="F2335" s="69" t="n"/>
      <c r="G2335" s="70" t="n"/>
      <c r="H2335" s="62" t="str">
        <f>IF(COUNTA(A2335:G2335)=0,"",IF(C2335&lt;&gt;"",C2335,IF(B2335="","",IFERROR(INDEX(pr_des,MATCH(B2335,pr_code,0))&amp;"",""))))</f>
        <v/>
      </c>
      <c r="I2335" s="59" t="str">
        <f>IF(B2335="","",IFERROR(INDEX(pr_unit,MATCH(B2335,pr_code,0))&amp;"",""))</f>
        <v/>
      </c>
      <c r="J2335" s="65" t="str">
        <f>IF(COUNTA(A2335:G2335)=0,"",IF(E2335&lt;&gt;"",E2335,IF(B2335="","",IFERROR(IF(INDEX(pr_price,MATCH(B2335,pr_code,0))="","",INDEX(pr_price,MATCH(B2335,pr_code,0))),""))))</f>
        <v/>
      </c>
      <c r="K2335" s="71" t="str">
        <f>IF(COUNTA(A2335:G2335)=0,"",IF(G2335&lt;&gt;"",G2335,IF(B2335="","",IFERROR(IF(INDEX(pr_rate,MATCH(B2335,pr_code,0))="","",INDEX(pr_rate,MATCH(B2335,pr_code,0))),""))))</f>
        <v/>
      </c>
      <c r="L2335" s="65" t="str">
        <f>IF(COUNTA(A2335:G2335)=0,"",IF(AND(ISNUMBER(D2335),ISNUMBER(J2335)),ROUND(D2335*J2335*(1-N(F2335)),2),0))</f>
        <v/>
      </c>
      <c r="M2335" s="62" t="str">
        <f>IF(A2335="","",IFERROR(INDEX(fa_cname,MATCH(A2335,fa_num,0))&amp;"",""))</f>
        <v/>
      </c>
      <c r="N2335" s="59" t="str">
        <f>IF(COUNTA(A2335:G2335)=0,"",IF(A2335="","N° facture manquant",IF(ISNA(MATCH(A2335,fa_num,0)),"Facture inconnue",IF(AND(B2335&lt;&gt;"",ISNA(MATCH(B2335,pr_code,0))),"Article inconnu",IF(H2335="","Désignation manquante",IF(OR(NOT(ISNUMBER(D2335)),N(D2335)&lt;=0),"Quantité invalide",IF(J2335="","Prix manquant",IF(OR(NOT(ISNUMBER(J2335)),N(J2335)&lt;0),"Prix invalide",IF(OR(AND(F2335&lt;&gt;"",NOT(ISNUMBER(F2335))),N(F2335)&lt;0,N(F2335)&gt;1),"Remise invalide",IF(K2335="","Taux de TVA manquant",IF(NOT(ISNUMBER(K2335)),"Taux de TVA invalide",IF(COUNTIF(p_rates,K2335)=0,"Taux de TVA hors liste (Paramètres)",IF(N(O2335)&gt;25,"Au-delà de 25 lignes : non imprimée","OK")))))))))))))</f>
        <v/>
      </c>
      <c r="O2335" s="59" t="str">
        <f>IF(A2335="","",COUNTIF($A$6:A2335,A2335))</f>
        <v/>
      </c>
      <c r="P2335" s="62" t="str">
        <f>IF(A2335="","",A2335&amp;"|"&amp;O2335)</f>
        <v/>
      </c>
    </row>
    <row r="2336">
      <c r="A2336" s="60" t="n"/>
      <c r="B2336" s="63" t="n"/>
      <c r="C2336" s="63" t="n"/>
      <c r="D2336" s="67" t="n"/>
      <c r="E2336" s="68" t="n"/>
      <c r="F2336" s="69" t="n"/>
      <c r="G2336" s="70" t="n"/>
      <c r="H2336" s="62" t="str">
        <f>IF(COUNTA(A2336:G2336)=0,"",IF(C2336&lt;&gt;"",C2336,IF(B2336="","",IFERROR(INDEX(pr_des,MATCH(B2336,pr_code,0))&amp;"",""))))</f>
        <v/>
      </c>
      <c r="I2336" s="59" t="str">
        <f>IF(B2336="","",IFERROR(INDEX(pr_unit,MATCH(B2336,pr_code,0))&amp;"",""))</f>
        <v/>
      </c>
      <c r="J2336" s="65" t="str">
        <f>IF(COUNTA(A2336:G2336)=0,"",IF(E2336&lt;&gt;"",E2336,IF(B2336="","",IFERROR(IF(INDEX(pr_price,MATCH(B2336,pr_code,0))="","",INDEX(pr_price,MATCH(B2336,pr_code,0))),""))))</f>
        <v/>
      </c>
      <c r="K2336" s="71" t="str">
        <f>IF(COUNTA(A2336:G2336)=0,"",IF(G2336&lt;&gt;"",G2336,IF(B2336="","",IFERROR(IF(INDEX(pr_rate,MATCH(B2336,pr_code,0))="","",INDEX(pr_rate,MATCH(B2336,pr_code,0))),""))))</f>
        <v/>
      </c>
      <c r="L2336" s="65" t="str">
        <f>IF(COUNTA(A2336:G2336)=0,"",IF(AND(ISNUMBER(D2336),ISNUMBER(J2336)),ROUND(D2336*J2336*(1-N(F2336)),2),0))</f>
        <v/>
      </c>
      <c r="M2336" s="62" t="str">
        <f>IF(A2336="","",IFERROR(INDEX(fa_cname,MATCH(A2336,fa_num,0))&amp;"",""))</f>
        <v/>
      </c>
      <c r="N2336" s="59" t="str">
        <f>IF(COUNTA(A2336:G2336)=0,"",IF(A2336="","N° facture manquant",IF(ISNA(MATCH(A2336,fa_num,0)),"Facture inconnue",IF(AND(B2336&lt;&gt;"",ISNA(MATCH(B2336,pr_code,0))),"Article inconnu",IF(H2336="","Désignation manquante",IF(OR(NOT(ISNUMBER(D2336)),N(D2336)&lt;=0),"Quantité invalide",IF(J2336="","Prix manquant",IF(OR(NOT(ISNUMBER(J2336)),N(J2336)&lt;0),"Prix invalide",IF(OR(AND(F2336&lt;&gt;"",NOT(ISNUMBER(F2336))),N(F2336)&lt;0,N(F2336)&gt;1),"Remise invalide",IF(K2336="","Taux de TVA manquant",IF(NOT(ISNUMBER(K2336)),"Taux de TVA invalide",IF(COUNTIF(p_rates,K2336)=0,"Taux de TVA hors liste (Paramètres)",IF(N(O2336)&gt;25,"Au-delà de 25 lignes : non imprimée","OK")))))))))))))</f>
        <v/>
      </c>
      <c r="O2336" s="59" t="str">
        <f>IF(A2336="","",COUNTIF($A$6:A2336,A2336))</f>
        <v/>
      </c>
      <c r="P2336" s="62" t="str">
        <f>IF(A2336="","",A2336&amp;"|"&amp;O2336)</f>
        <v/>
      </c>
    </row>
    <row r="2337">
      <c r="A2337" s="60" t="n"/>
      <c r="B2337" s="63" t="n"/>
      <c r="C2337" s="63" t="n"/>
      <c r="D2337" s="67" t="n"/>
      <c r="E2337" s="68" t="n"/>
      <c r="F2337" s="69" t="n"/>
      <c r="G2337" s="70" t="n"/>
      <c r="H2337" s="62" t="str">
        <f>IF(COUNTA(A2337:G2337)=0,"",IF(C2337&lt;&gt;"",C2337,IF(B2337="","",IFERROR(INDEX(pr_des,MATCH(B2337,pr_code,0))&amp;"",""))))</f>
        <v/>
      </c>
      <c r="I2337" s="59" t="str">
        <f>IF(B2337="","",IFERROR(INDEX(pr_unit,MATCH(B2337,pr_code,0))&amp;"",""))</f>
        <v/>
      </c>
      <c r="J2337" s="65" t="str">
        <f>IF(COUNTA(A2337:G2337)=0,"",IF(E2337&lt;&gt;"",E2337,IF(B2337="","",IFERROR(IF(INDEX(pr_price,MATCH(B2337,pr_code,0))="","",INDEX(pr_price,MATCH(B2337,pr_code,0))),""))))</f>
        <v/>
      </c>
      <c r="K2337" s="71" t="str">
        <f>IF(COUNTA(A2337:G2337)=0,"",IF(G2337&lt;&gt;"",G2337,IF(B2337="","",IFERROR(IF(INDEX(pr_rate,MATCH(B2337,pr_code,0))="","",INDEX(pr_rate,MATCH(B2337,pr_code,0))),""))))</f>
        <v/>
      </c>
      <c r="L2337" s="65" t="str">
        <f>IF(COUNTA(A2337:G2337)=0,"",IF(AND(ISNUMBER(D2337),ISNUMBER(J2337)),ROUND(D2337*J2337*(1-N(F2337)),2),0))</f>
        <v/>
      </c>
      <c r="M2337" s="62" t="str">
        <f>IF(A2337="","",IFERROR(INDEX(fa_cname,MATCH(A2337,fa_num,0))&amp;"",""))</f>
        <v/>
      </c>
      <c r="N2337" s="59" t="str">
        <f>IF(COUNTA(A2337:G2337)=0,"",IF(A2337="","N° facture manquant",IF(ISNA(MATCH(A2337,fa_num,0)),"Facture inconnue",IF(AND(B2337&lt;&gt;"",ISNA(MATCH(B2337,pr_code,0))),"Article inconnu",IF(H2337="","Désignation manquante",IF(OR(NOT(ISNUMBER(D2337)),N(D2337)&lt;=0),"Quantité invalide",IF(J2337="","Prix manquant",IF(OR(NOT(ISNUMBER(J2337)),N(J2337)&lt;0),"Prix invalide",IF(OR(AND(F2337&lt;&gt;"",NOT(ISNUMBER(F2337))),N(F2337)&lt;0,N(F2337)&gt;1),"Remise invalide",IF(K2337="","Taux de TVA manquant",IF(NOT(ISNUMBER(K2337)),"Taux de TVA invalide",IF(COUNTIF(p_rates,K2337)=0,"Taux de TVA hors liste (Paramètres)",IF(N(O2337)&gt;25,"Au-delà de 25 lignes : non imprimée","OK")))))))))))))</f>
        <v/>
      </c>
      <c r="O2337" s="59" t="str">
        <f>IF(A2337="","",COUNTIF($A$6:A2337,A2337))</f>
        <v/>
      </c>
      <c r="P2337" s="62" t="str">
        <f>IF(A2337="","",A2337&amp;"|"&amp;O2337)</f>
        <v/>
      </c>
    </row>
    <row r="2338">
      <c r="A2338" s="60" t="n"/>
      <c r="B2338" s="63" t="n"/>
      <c r="C2338" s="63" t="n"/>
      <c r="D2338" s="67" t="n"/>
      <c r="E2338" s="68" t="n"/>
      <c r="F2338" s="69" t="n"/>
      <c r="G2338" s="70" t="n"/>
      <c r="H2338" s="62" t="str">
        <f>IF(COUNTA(A2338:G2338)=0,"",IF(C2338&lt;&gt;"",C2338,IF(B2338="","",IFERROR(INDEX(pr_des,MATCH(B2338,pr_code,0))&amp;"",""))))</f>
        <v/>
      </c>
      <c r="I2338" s="59" t="str">
        <f>IF(B2338="","",IFERROR(INDEX(pr_unit,MATCH(B2338,pr_code,0))&amp;"",""))</f>
        <v/>
      </c>
      <c r="J2338" s="65" t="str">
        <f>IF(COUNTA(A2338:G2338)=0,"",IF(E2338&lt;&gt;"",E2338,IF(B2338="","",IFERROR(IF(INDEX(pr_price,MATCH(B2338,pr_code,0))="","",INDEX(pr_price,MATCH(B2338,pr_code,0))),""))))</f>
        <v/>
      </c>
      <c r="K2338" s="71" t="str">
        <f>IF(COUNTA(A2338:G2338)=0,"",IF(G2338&lt;&gt;"",G2338,IF(B2338="","",IFERROR(IF(INDEX(pr_rate,MATCH(B2338,pr_code,0))="","",INDEX(pr_rate,MATCH(B2338,pr_code,0))),""))))</f>
        <v/>
      </c>
      <c r="L2338" s="65" t="str">
        <f>IF(COUNTA(A2338:G2338)=0,"",IF(AND(ISNUMBER(D2338),ISNUMBER(J2338)),ROUND(D2338*J2338*(1-N(F2338)),2),0))</f>
        <v/>
      </c>
      <c r="M2338" s="62" t="str">
        <f>IF(A2338="","",IFERROR(INDEX(fa_cname,MATCH(A2338,fa_num,0))&amp;"",""))</f>
        <v/>
      </c>
      <c r="N2338" s="59" t="str">
        <f>IF(COUNTA(A2338:G2338)=0,"",IF(A2338="","N° facture manquant",IF(ISNA(MATCH(A2338,fa_num,0)),"Facture inconnue",IF(AND(B2338&lt;&gt;"",ISNA(MATCH(B2338,pr_code,0))),"Article inconnu",IF(H2338="","Désignation manquante",IF(OR(NOT(ISNUMBER(D2338)),N(D2338)&lt;=0),"Quantité invalide",IF(J2338="","Prix manquant",IF(OR(NOT(ISNUMBER(J2338)),N(J2338)&lt;0),"Prix invalide",IF(OR(AND(F2338&lt;&gt;"",NOT(ISNUMBER(F2338))),N(F2338)&lt;0,N(F2338)&gt;1),"Remise invalide",IF(K2338="","Taux de TVA manquant",IF(NOT(ISNUMBER(K2338)),"Taux de TVA invalide",IF(COUNTIF(p_rates,K2338)=0,"Taux de TVA hors liste (Paramètres)",IF(N(O2338)&gt;25,"Au-delà de 25 lignes : non imprimée","OK")))))))))))))</f>
        <v/>
      </c>
      <c r="O2338" s="59" t="str">
        <f>IF(A2338="","",COUNTIF($A$6:A2338,A2338))</f>
        <v/>
      </c>
      <c r="P2338" s="62" t="str">
        <f>IF(A2338="","",A2338&amp;"|"&amp;O2338)</f>
        <v/>
      </c>
    </row>
    <row r="2339">
      <c r="A2339" s="60" t="n"/>
      <c r="B2339" s="63" t="n"/>
      <c r="C2339" s="63" t="n"/>
      <c r="D2339" s="67" t="n"/>
      <c r="E2339" s="68" t="n"/>
      <c r="F2339" s="69" t="n"/>
      <c r="G2339" s="70" t="n"/>
      <c r="H2339" s="62" t="str">
        <f>IF(COUNTA(A2339:G2339)=0,"",IF(C2339&lt;&gt;"",C2339,IF(B2339="","",IFERROR(INDEX(pr_des,MATCH(B2339,pr_code,0))&amp;"",""))))</f>
        <v/>
      </c>
      <c r="I2339" s="59" t="str">
        <f>IF(B2339="","",IFERROR(INDEX(pr_unit,MATCH(B2339,pr_code,0))&amp;"",""))</f>
        <v/>
      </c>
      <c r="J2339" s="65" t="str">
        <f>IF(COUNTA(A2339:G2339)=0,"",IF(E2339&lt;&gt;"",E2339,IF(B2339="","",IFERROR(IF(INDEX(pr_price,MATCH(B2339,pr_code,0))="","",INDEX(pr_price,MATCH(B2339,pr_code,0))),""))))</f>
        <v/>
      </c>
      <c r="K2339" s="71" t="str">
        <f>IF(COUNTA(A2339:G2339)=0,"",IF(G2339&lt;&gt;"",G2339,IF(B2339="","",IFERROR(IF(INDEX(pr_rate,MATCH(B2339,pr_code,0))="","",INDEX(pr_rate,MATCH(B2339,pr_code,0))),""))))</f>
        <v/>
      </c>
      <c r="L2339" s="65" t="str">
        <f>IF(COUNTA(A2339:G2339)=0,"",IF(AND(ISNUMBER(D2339),ISNUMBER(J2339)),ROUND(D2339*J2339*(1-N(F2339)),2),0))</f>
        <v/>
      </c>
      <c r="M2339" s="62" t="str">
        <f>IF(A2339="","",IFERROR(INDEX(fa_cname,MATCH(A2339,fa_num,0))&amp;"",""))</f>
        <v/>
      </c>
      <c r="N2339" s="59" t="str">
        <f>IF(COUNTA(A2339:G2339)=0,"",IF(A2339="","N° facture manquant",IF(ISNA(MATCH(A2339,fa_num,0)),"Facture inconnue",IF(AND(B2339&lt;&gt;"",ISNA(MATCH(B2339,pr_code,0))),"Article inconnu",IF(H2339="","Désignation manquante",IF(OR(NOT(ISNUMBER(D2339)),N(D2339)&lt;=0),"Quantité invalide",IF(J2339="","Prix manquant",IF(OR(NOT(ISNUMBER(J2339)),N(J2339)&lt;0),"Prix invalide",IF(OR(AND(F2339&lt;&gt;"",NOT(ISNUMBER(F2339))),N(F2339)&lt;0,N(F2339)&gt;1),"Remise invalide",IF(K2339="","Taux de TVA manquant",IF(NOT(ISNUMBER(K2339)),"Taux de TVA invalide",IF(COUNTIF(p_rates,K2339)=0,"Taux de TVA hors liste (Paramètres)",IF(N(O2339)&gt;25,"Au-delà de 25 lignes : non imprimée","OK")))))))))))))</f>
        <v/>
      </c>
      <c r="O2339" s="59" t="str">
        <f>IF(A2339="","",COUNTIF($A$6:A2339,A2339))</f>
        <v/>
      </c>
      <c r="P2339" s="62" t="str">
        <f>IF(A2339="","",A2339&amp;"|"&amp;O2339)</f>
        <v/>
      </c>
    </row>
    <row r="2340">
      <c r="A2340" s="60" t="n"/>
      <c r="B2340" s="63" t="n"/>
      <c r="C2340" s="63" t="n"/>
      <c r="D2340" s="67" t="n"/>
      <c r="E2340" s="68" t="n"/>
      <c r="F2340" s="69" t="n"/>
      <c r="G2340" s="70" t="n"/>
      <c r="H2340" s="62" t="str">
        <f>IF(COUNTA(A2340:G2340)=0,"",IF(C2340&lt;&gt;"",C2340,IF(B2340="","",IFERROR(INDEX(pr_des,MATCH(B2340,pr_code,0))&amp;"",""))))</f>
        <v/>
      </c>
      <c r="I2340" s="59" t="str">
        <f>IF(B2340="","",IFERROR(INDEX(pr_unit,MATCH(B2340,pr_code,0))&amp;"",""))</f>
        <v/>
      </c>
      <c r="J2340" s="65" t="str">
        <f>IF(COUNTA(A2340:G2340)=0,"",IF(E2340&lt;&gt;"",E2340,IF(B2340="","",IFERROR(IF(INDEX(pr_price,MATCH(B2340,pr_code,0))="","",INDEX(pr_price,MATCH(B2340,pr_code,0))),""))))</f>
        <v/>
      </c>
      <c r="K2340" s="71" t="str">
        <f>IF(COUNTA(A2340:G2340)=0,"",IF(G2340&lt;&gt;"",G2340,IF(B2340="","",IFERROR(IF(INDEX(pr_rate,MATCH(B2340,pr_code,0))="","",INDEX(pr_rate,MATCH(B2340,pr_code,0))),""))))</f>
        <v/>
      </c>
      <c r="L2340" s="65" t="str">
        <f>IF(COUNTA(A2340:G2340)=0,"",IF(AND(ISNUMBER(D2340),ISNUMBER(J2340)),ROUND(D2340*J2340*(1-N(F2340)),2),0))</f>
        <v/>
      </c>
      <c r="M2340" s="62" t="str">
        <f>IF(A2340="","",IFERROR(INDEX(fa_cname,MATCH(A2340,fa_num,0))&amp;"",""))</f>
        <v/>
      </c>
      <c r="N2340" s="59" t="str">
        <f>IF(COUNTA(A2340:G2340)=0,"",IF(A2340="","N° facture manquant",IF(ISNA(MATCH(A2340,fa_num,0)),"Facture inconnue",IF(AND(B2340&lt;&gt;"",ISNA(MATCH(B2340,pr_code,0))),"Article inconnu",IF(H2340="","Désignation manquante",IF(OR(NOT(ISNUMBER(D2340)),N(D2340)&lt;=0),"Quantité invalide",IF(J2340="","Prix manquant",IF(OR(NOT(ISNUMBER(J2340)),N(J2340)&lt;0),"Prix invalide",IF(OR(AND(F2340&lt;&gt;"",NOT(ISNUMBER(F2340))),N(F2340)&lt;0,N(F2340)&gt;1),"Remise invalide",IF(K2340="","Taux de TVA manquant",IF(NOT(ISNUMBER(K2340)),"Taux de TVA invalide",IF(COUNTIF(p_rates,K2340)=0,"Taux de TVA hors liste (Paramètres)",IF(N(O2340)&gt;25,"Au-delà de 25 lignes : non imprimée","OK")))))))))))))</f>
        <v/>
      </c>
      <c r="O2340" s="59" t="str">
        <f>IF(A2340="","",COUNTIF($A$6:A2340,A2340))</f>
        <v/>
      </c>
      <c r="P2340" s="62" t="str">
        <f>IF(A2340="","",A2340&amp;"|"&amp;O2340)</f>
        <v/>
      </c>
    </row>
    <row r="2341">
      <c r="A2341" s="60" t="n"/>
      <c r="B2341" s="63" t="n"/>
      <c r="C2341" s="63" t="n"/>
      <c r="D2341" s="67" t="n"/>
      <c r="E2341" s="68" t="n"/>
      <c r="F2341" s="69" t="n"/>
      <c r="G2341" s="70" t="n"/>
      <c r="H2341" s="62" t="str">
        <f>IF(COUNTA(A2341:G2341)=0,"",IF(C2341&lt;&gt;"",C2341,IF(B2341="","",IFERROR(INDEX(pr_des,MATCH(B2341,pr_code,0))&amp;"",""))))</f>
        <v/>
      </c>
      <c r="I2341" s="59" t="str">
        <f>IF(B2341="","",IFERROR(INDEX(pr_unit,MATCH(B2341,pr_code,0))&amp;"",""))</f>
        <v/>
      </c>
      <c r="J2341" s="65" t="str">
        <f>IF(COUNTA(A2341:G2341)=0,"",IF(E2341&lt;&gt;"",E2341,IF(B2341="","",IFERROR(IF(INDEX(pr_price,MATCH(B2341,pr_code,0))="","",INDEX(pr_price,MATCH(B2341,pr_code,0))),""))))</f>
        <v/>
      </c>
      <c r="K2341" s="71" t="str">
        <f>IF(COUNTA(A2341:G2341)=0,"",IF(G2341&lt;&gt;"",G2341,IF(B2341="","",IFERROR(IF(INDEX(pr_rate,MATCH(B2341,pr_code,0))="","",INDEX(pr_rate,MATCH(B2341,pr_code,0))),""))))</f>
        <v/>
      </c>
      <c r="L2341" s="65" t="str">
        <f>IF(COUNTA(A2341:G2341)=0,"",IF(AND(ISNUMBER(D2341),ISNUMBER(J2341)),ROUND(D2341*J2341*(1-N(F2341)),2),0))</f>
        <v/>
      </c>
      <c r="M2341" s="62" t="str">
        <f>IF(A2341="","",IFERROR(INDEX(fa_cname,MATCH(A2341,fa_num,0))&amp;"",""))</f>
        <v/>
      </c>
      <c r="N2341" s="59" t="str">
        <f>IF(COUNTA(A2341:G2341)=0,"",IF(A2341="","N° facture manquant",IF(ISNA(MATCH(A2341,fa_num,0)),"Facture inconnue",IF(AND(B2341&lt;&gt;"",ISNA(MATCH(B2341,pr_code,0))),"Article inconnu",IF(H2341="","Désignation manquante",IF(OR(NOT(ISNUMBER(D2341)),N(D2341)&lt;=0),"Quantité invalide",IF(J2341="","Prix manquant",IF(OR(NOT(ISNUMBER(J2341)),N(J2341)&lt;0),"Prix invalide",IF(OR(AND(F2341&lt;&gt;"",NOT(ISNUMBER(F2341))),N(F2341)&lt;0,N(F2341)&gt;1),"Remise invalide",IF(K2341="","Taux de TVA manquant",IF(NOT(ISNUMBER(K2341)),"Taux de TVA invalide",IF(COUNTIF(p_rates,K2341)=0,"Taux de TVA hors liste (Paramètres)",IF(N(O2341)&gt;25,"Au-delà de 25 lignes : non imprimée","OK")))))))))))))</f>
        <v/>
      </c>
      <c r="O2341" s="59" t="str">
        <f>IF(A2341="","",COUNTIF($A$6:A2341,A2341))</f>
        <v/>
      </c>
      <c r="P2341" s="62" t="str">
        <f>IF(A2341="","",A2341&amp;"|"&amp;O2341)</f>
        <v/>
      </c>
    </row>
    <row r="2342">
      <c r="A2342" s="60" t="n"/>
      <c r="B2342" s="63" t="n"/>
      <c r="C2342" s="63" t="n"/>
      <c r="D2342" s="67" t="n"/>
      <c r="E2342" s="68" t="n"/>
      <c r="F2342" s="69" t="n"/>
      <c r="G2342" s="70" t="n"/>
      <c r="H2342" s="62" t="str">
        <f>IF(COUNTA(A2342:G2342)=0,"",IF(C2342&lt;&gt;"",C2342,IF(B2342="","",IFERROR(INDEX(pr_des,MATCH(B2342,pr_code,0))&amp;"",""))))</f>
        <v/>
      </c>
      <c r="I2342" s="59" t="str">
        <f>IF(B2342="","",IFERROR(INDEX(pr_unit,MATCH(B2342,pr_code,0))&amp;"",""))</f>
        <v/>
      </c>
      <c r="J2342" s="65" t="str">
        <f>IF(COUNTA(A2342:G2342)=0,"",IF(E2342&lt;&gt;"",E2342,IF(B2342="","",IFERROR(IF(INDEX(pr_price,MATCH(B2342,pr_code,0))="","",INDEX(pr_price,MATCH(B2342,pr_code,0))),""))))</f>
        <v/>
      </c>
      <c r="K2342" s="71" t="str">
        <f>IF(COUNTA(A2342:G2342)=0,"",IF(G2342&lt;&gt;"",G2342,IF(B2342="","",IFERROR(IF(INDEX(pr_rate,MATCH(B2342,pr_code,0))="","",INDEX(pr_rate,MATCH(B2342,pr_code,0))),""))))</f>
        <v/>
      </c>
      <c r="L2342" s="65" t="str">
        <f>IF(COUNTA(A2342:G2342)=0,"",IF(AND(ISNUMBER(D2342),ISNUMBER(J2342)),ROUND(D2342*J2342*(1-N(F2342)),2),0))</f>
        <v/>
      </c>
      <c r="M2342" s="62" t="str">
        <f>IF(A2342="","",IFERROR(INDEX(fa_cname,MATCH(A2342,fa_num,0))&amp;"",""))</f>
        <v/>
      </c>
      <c r="N2342" s="59" t="str">
        <f>IF(COUNTA(A2342:G2342)=0,"",IF(A2342="","N° facture manquant",IF(ISNA(MATCH(A2342,fa_num,0)),"Facture inconnue",IF(AND(B2342&lt;&gt;"",ISNA(MATCH(B2342,pr_code,0))),"Article inconnu",IF(H2342="","Désignation manquante",IF(OR(NOT(ISNUMBER(D2342)),N(D2342)&lt;=0),"Quantité invalide",IF(J2342="","Prix manquant",IF(OR(NOT(ISNUMBER(J2342)),N(J2342)&lt;0),"Prix invalide",IF(OR(AND(F2342&lt;&gt;"",NOT(ISNUMBER(F2342))),N(F2342)&lt;0,N(F2342)&gt;1),"Remise invalide",IF(K2342="","Taux de TVA manquant",IF(NOT(ISNUMBER(K2342)),"Taux de TVA invalide",IF(COUNTIF(p_rates,K2342)=0,"Taux de TVA hors liste (Paramètres)",IF(N(O2342)&gt;25,"Au-delà de 25 lignes : non imprimée","OK")))))))))))))</f>
        <v/>
      </c>
      <c r="O2342" s="59" t="str">
        <f>IF(A2342="","",COUNTIF($A$6:A2342,A2342))</f>
        <v/>
      </c>
      <c r="P2342" s="62" t="str">
        <f>IF(A2342="","",A2342&amp;"|"&amp;O2342)</f>
        <v/>
      </c>
    </row>
    <row r="2343">
      <c r="A2343" s="60" t="n"/>
      <c r="B2343" s="63" t="n"/>
      <c r="C2343" s="63" t="n"/>
      <c r="D2343" s="67" t="n"/>
      <c r="E2343" s="68" t="n"/>
      <c r="F2343" s="69" t="n"/>
      <c r="G2343" s="70" t="n"/>
      <c r="H2343" s="62" t="str">
        <f>IF(COUNTA(A2343:G2343)=0,"",IF(C2343&lt;&gt;"",C2343,IF(B2343="","",IFERROR(INDEX(pr_des,MATCH(B2343,pr_code,0))&amp;"",""))))</f>
        <v/>
      </c>
      <c r="I2343" s="59" t="str">
        <f>IF(B2343="","",IFERROR(INDEX(pr_unit,MATCH(B2343,pr_code,0))&amp;"",""))</f>
        <v/>
      </c>
      <c r="J2343" s="65" t="str">
        <f>IF(COUNTA(A2343:G2343)=0,"",IF(E2343&lt;&gt;"",E2343,IF(B2343="","",IFERROR(IF(INDEX(pr_price,MATCH(B2343,pr_code,0))="","",INDEX(pr_price,MATCH(B2343,pr_code,0))),""))))</f>
        <v/>
      </c>
      <c r="K2343" s="71" t="str">
        <f>IF(COUNTA(A2343:G2343)=0,"",IF(G2343&lt;&gt;"",G2343,IF(B2343="","",IFERROR(IF(INDEX(pr_rate,MATCH(B2343,pr_code,0))="","",INDEX(pr_rate,MATCH(B2343,pr_code,0))),""))))</f>
        <v/>
      </c>
      <c r="L2343" s="65" t="str">
        <f>IF(COUNTA(A2343:G2343)=0,"",IF(AND(ISNUMBER(D2343),ISNUMBER(J2343)),ROUND(D2343*J2343*(1-N(F2343)),2),0))</f>
        <v/>
      </c>
      <c r="M2343" s="62" t="str">
        <f>IF(A2343="","",IFERROR(INDEX(fa_cname,MATCH(A2343,fa_num,0))&amp;"",""))</f>
        <v/>
      </c>
      <c r="N2343" s="59" t="str">
        <f>IF(COUNTA(A2343:G2343)=0,"",IF(A2343="","N° facture manquant",IF(ISNA(MATCH(A2343,fa_num,0)),"Facture inconnue",IF(AND(B2343&lt;&gt;"",ISNA(MATCH(B2343,pr_code,0))),"Article inconnu",IF(H2343="","Désignation manquante",IF(OR(NOT(ISNUMBER(D2343)),N(D2343)&lt;=0),"Quantité invalide",IF(J2343="","Prix manquant",IF(OR(NOT(ISNUMBER(J2343)),N(J2343)&lt;0),"Prix invalide",IF(OR(AND(F2343&lt;&gt;"",NOT(ISNUMBER(F2343))),N(F2343)&lt;0,N(F2343)&gt;1),"Remise invalide",IF(K2343="","Taux de TVA manquant",IF(NOT(ISNUMBER(K2343)),"Taux de TVA invalide",IF(COUNTIF(p_rates,K2343)=0,"Taux de TVA hors liste (Paramètres)",IF(N(O2343)&gt;25,"Au-delà de 25 lignes : non imprimée","OK")))))))))))))</f>
        <v/>
      </c>
      <c r="O2343" s="59" t="str">
        <f>IF(A2343="","",COUNTIF($A$6:A2343,A2343))</f>
        <v/>
      </c>
      <c r="P2343" s="62" t="str">
        <f>IF(A2343="","",A2343&amp;"|"&amp;O2343)</f>
        <v/>
      </c>
    </row>
    <row r="2344">
      <c r="A2344" s="60" t="n"/>
      <c r="B2344" s="63" t="n"/>
      <c r="C2344" s="63" t="n"/>
      <c r="D2344" s="67" t="n"/>
      <c r="E2344" s="68" t="n"/>
      <c r="F2344" s="69" t="n"/>
      <c r="G2344" s="70" t="n"/>
      <c r="H2344" s="62" t="str">
        <f>IF(COUNTA(A2344:G2344)=0,"",IF(C2344&lt;&gt;"",C2344,IF(B2344="","",IFERROR(INDEX(pr_des,MATCH(B2344,pr_code,0))&amp;"",""))))</f>
        <v/>
      </c>
      <c r="I2344" s="59" t="str">
        <f>IF(B2344="","",IFERROR(INDEX(pr_unit,MATCH(B2344,pr_code,0))&amp;"",""))</f>
        <v/>
      </c>
      <c r="J2344" s="65" t="str">
        <f>IF(COUNTA(A2344:G2344)=0,"",IF(E2344&lt;&gt;"",E2344,IF(B2344="","",IFERROR(IF(INDEX(pr_price,MATCH(B2344,pr_code,0))="","",INDEX(pr_price,MATCH(B2344,pr_code,0))),""))))</f>
        <v/>
      </c>
      <c r="K2344" s="71" t="str">
        <f>IF(COUNTA(A2344:G2344)=0,"",IF(G2344&lt;&gt;"",G2344,IF(B2344="","",IFERROR(IF(INDEX(pr_rate,MATCH(B2344,pr_code,0))="","",INDEX(pr_rate,MATCH(B2344,pr_code,0))),""))))</f>
        <v/>
      </c>
      <c r="L2344" s="65" t="str">
        <f>IF(COUNTA(A2344:G2344)=0,"",IF(AND(ISNUMBER(D2344),ISNUMBER(J2344)),ROUND(D2344*J2344*(1-N(F2344)),2),0))</f>
        <v/>
      </c>
      <c r="M2344" s="62" t="str">
        <f>IF(A2344="","",IFERROR(INDEX(fa_cname,MATCH(A2344,fa_num,0))&amp;"",""))</f>
        <v/>
      </c>
      <c r="N2344" s="59" t="str">
        <f>IF(COUNTA(A2344:G2344)=0,"",IF(A2344="","N° facture manquant",IF(ISNA(MATCH(A2344,fa_num,0)),"Facture inconnue",IF(AND(B2344&lt;&gt;"",ISNA(MATCH(B2344,pr_code,0))),"Article inconnu",IF(H2344="","Désignation manquante",IF(OR(NOT(ISNUMBER(D2344)),N(D2344)&lt;=0),"Quantité invalide",IF(J2344="","Prix manquant",IF(OR(NOT(ISNUMBER(J2344)),N(J2344)&lt;0),"Prix invalide",IF(OR(AND(F2344&lt;&gt;"",NOT(ISNUMBER(F2344))),N(F2344)&lt;0,N(F2344)&gt;1),"Remise invalide",IF(K2344="","Taux de TVA manquant",IF(NOT(ISNUMBER(K2344)),"Taux de TVA invalide",IF(COUNTIF(p_rates,K2344)=0,"Taux de TVA hors liste (Paramètres)",IF(N(O2344)&gt;25,"Au-delà de 25 lignes : non imprimée","OK")))))))))))))</f>
        <v/>
      </c>
      <c r="O2344" s="59" t="str">
        <f>IF(A2344="","",COUNTIF($A$6:A2344,A2344))</f>
        <v/>
      </c>
      <c r="P2344" s="62" t="str">
        <f>IF(A2344="","",A2344&amp;"|"&amp;O2344)</f>
        <v/>
      </c>
    </row>
    <row r="2345">
      <c r="A2345" s="60" t="n"/>
      <c r="B2345" s="63" t="n"/>
      <c r="C2345" s="63" t="n"/>
      <c r="D2345" s="67" t="n"/>
      <c r="E2345" s="68" t="n"/>
      <c r="F2345" s="69" t="n"/>
      <c r="G2345" s="70" t="n"/>
      <c r="H2345" s="62" t="str">
        <f>IF(COUNTA(A2345:G2345)=0,"",IF(C2345&lt;&gt;"",C2345,IF(B2345="","",IFERROR(INDEX(pr_des,MATCH(B2345,pr_code,0))&amp;"",""))))</f>
        <v/>
      </c>
      <c r="I2345" s="59" t="str">
        <f>IF(B2345="","",IFERROR(INDEX(pr_unit,MATCH(B2345,pr_code,0))&amp;"",""))</f>
        <v/>
      </c>
      <c r="J2345" s="65" t="str">
        <f>IF(COUNTA(A2345:G2345)=0,"",IF(E2345&lt;&gt;"",E2345,IF(B2345="","",IFERROR(IF(INDEX(pr_price,MATCH(B2345,pr_code,0))="","",INDEX(pr_price,MATCH(B2345,pr_code,0))),""))))</f>
        <v/>
      </c>
      <c r="K2345" s="71" t="str">
        <f>IF(COUNTA(A2345:G2345)=0,"",IF(G2345&lt;&gt;"",G2345,IF(B2345="","",IFERROR(IF(INDEX(pr_rate,MATCH(B2345,pr_code,0))="","",INDEX(pr_rate,MATCH(B2345,pr_code,0))),""))))</f>
        <v/>
      </c>
      <c r="L2345" s="65" t="str">
        <f>IF(COUNTA(A2345:G2345)=0,"",IF(AND(ISNUMBER(D2345),ISNUMBER(J2345)),ROUND(D2345*J2345*(1-N(F2345)),2),0))</f>
        <v/>
      </c>
      <c r="M2345" s="62" t="str">
        <f>IF(A2345="","",IFERROR(INDEX(fa_cname,MATCH(A2345,fa_num,0))&amp;"",""))</f>
        <v/>
      </c>
      <c r="N2345" s="59" t="str">
        <f>IF(COUNTA(A2345:G2345)=0,"",IF(A2345="","N° facture manquant",IF(ISNA(MATCH(A2345,fa_num,0)),"Facture inconnue",IF(AND(B2345&lt;&gt;"",ISNA(MATCH(B2345,pr_code,0))),"Article inconnu",IF(H2345="","Désignation manquante",IF(OR(NOT(ISNUMBER(D2345)),N(D2345)&lt;=0),"Quantité invalide",IF(J2345="","Prix manquant",IF(OR(NOT(ISNUMBER(J2345)),N(J2345)&lt;0),"Prix invalide",IF(OR(AND(F2345&lt;&gt;"",NOT(ISNUMBER(F2345))),N(F2345)&lt;0,N(F2345)&gt;1),"Remise invalide",IF(K2345="","Taux de TVA manquant",IF(NOT(ISNUMBER(K2345)),"Taux de TVA invalide",IF(COUNTIF(p_rates,K2345)=0,"Taux de TVA hors liste (Paramètres)",IF(N(O2345)&gt;25,"Au-delà de 25 lignes : non imprimée","OK")))))))))))))</f>
        <v/>
      </c>
      <c r="O2345" s="59" t="str">
        <f>IF(A2345="","",COUNTIF($A$6:A2345,A2345))</f>
        <v/>
      </c>
      <c r="P2345" s="62" t="str">
        <f>IF(A2345="","",A2345&amp;"|"&amp;O2345)</f>
        <v/>
      </c>
    </row>
    <row r="2346">
      <c r="A2346" s="60" t="n"/>
      <c r="B2346" s="63" t="n"/>
      <c r="C2346" s="63" t="n"/>
      <c r="D2346" s="67" t="n"/>
      <c r="E2346" s="68" t="n"/>
      <c r="F2346" s="69" t="n"/>
      <c r="G2346" s="70" t="n"/>
      <c r="H2346" s="62" t="str">
        <f>IF(COUNTA(A2346:G2346)=0,"",IF(C2346&lt;&gt;"",C2346,IF(B2346="","",IFERROR(INDEX(pr_des,MATCH(B2346,pr_code,0))&amp;"",""))))</f>
        <v/>
      </c>
      <c r="I2346" s="59" t="str">
        <f>IF(B2346="","",IFERROR(INDEX(pr_unit,MATCH(B2346,pr_code,0))&amp;"",""))</f>
        <v/>
      </c>
      <c r="J2346" s="65" t="str">
        <f>IF(COUNTA(A2346:G2346)=0,"",IF(E2346&lt;&gt;"",E2346,IF(B2346="","",IFERROR(IF(INDEX(pr_price,MATCH(B2346,pr_code,0))="","",INDEX(pr_price,MATCH(B2346,pr_code,0))),""))))</f>
        <v/>
      </c>
      <c r="K2346" s="71" t="str">
        <f>IF(COUNTA(A2346:G2346)=0,"",IF(G2346&lt;&gt;"",G2346,IF(B2346="","",IFERROR(IF(INDEX(pr_rate,MATCH(B2346,pr_code,0))="","",INDEX(pr_rate,MATCH(B2346,pr_code,0))),""))))</f>
        <v/>
      </c>
      <c r="L2346" s="65" t="str">
        <f>IF(COUNTA(A2346:G2346)=0,"",IF(AND(ISNUMBER(D2346),ISNUMBER(J2346)),ROUND(D2346*J2346*(1-N(F2346)),2),0))</f>
        <v/>
      </c>
      <c r="M2346" s="62" t="str">
        <f>IF(A2346="","",IFERROR(INDEX(fa_cname,MATCH(A2346,fa_num,0))&amp;"",""))</f>
        <v/>
      </c>
      <c r="N2346" s="59" t="str">
        <f>IF(COUNTA(A2346:G2346)=0,"",IF(A2346="","N° facture manquant",IF(ISNA(MATCH(A2346,fa_num,0)),"Facture inconnue",IF(AND(B2346&lt;&gt;"",ISNA(MATCH(B2346,pr_code,0))),"Article inconnu",IF(H2346="","Désignation manquante",IF(OR(NOT(ISNUMBER(D2346)),N(D2346)&lt;=0),"Quantité invalide",IF(J2346="","Prix manquant",IF(OR(NOT(ISNUMBER(J2346)),N(J2346)&lt;0),"Prix invalide",IF(OR(AND(F2346&lt;&gt;"",NOT(ISNUMBER(F2346))),N(F2346)&lt;0,N(F2346)&gt;1),"Remise invalide",IF(K2346="","Taux de TVA manquant",IF(NOT(ISNUMBER(K2346)),"Taux de TVA invalide",IF(COUNTIF(p_rates,K2346)=0,"Taux de TVA hors liste (Paramètres)",IF(N(O2346)&gt;25,"Au-delà de 25 lignes : non imprimée","OK")))))))))))))</f>
        <v/>
      </c>
      <c r="O2346" s="59" t="str">
        <f>IF(A2346="","",COUNTIF($A$6:A2346,A2346))</f>
        <v/>
      </c>
      <c r="P2346" s="62" t="str">
        <f>IF(A2346="","",A2346&amp;"|"&amp;O2346)</f>
        <v/>
      </c>
    </row>
    <row r="2347">
      <c r="A2347" s="60" t="n"/>
      <c r="B2347" s="63" t="n"/>
      <c r="C2347" s="63" t="n"/>
      <c r="D2347" s="67" t="n"/>
      <c r="E2347" s="68" t="n"/>
      <c r="F2347" s="69" t="n"/>
      <c r="G2347" s="70" t="n"/>
      <c r="H2347" s="62" t="str">
        <f>IF(COUNTA(A2347:G2347)=0,"",IF(C2347&lt;&gt;"",C2347,IF(B2347="","",IFERROR(INDEX(pr_des,MATCH(B2347,pr_code,0))&amp;"",""))))</f>
        <v/>
      </c>
      <c r="I2347" s="59" t="str">
        <f>IF(B2347="","",IFERROR(INDEX(pr_unit,MATCH(B2347,pr_code,0))&amp;"",""))</f>
        <v/>
      </c>
      <c r="J2347" s="65" t="str">
        <f>IF(COUNTA(A2347:G2347)=0,"",IF(E2347&lt;&gt;"",E2347,IF(B2347="","",IFERROR(IF(INDEX(pr_price,MATCH(B2347,pr_code,0))="","",INDEX(pr_price,MATCH(B2347,pr_code,0))),""))))</f>
        <v/>
      </c>
      <c r="K2347" s="71" t="str">
        <f>IF(COUNTA(A2347:G2347)=0,"",IF(G2347&lt;&gt;"",G2347,IF(B2347="","",IFERROR(IF(INDEX(pr_rate,MATCH(B2347,pr_code,0))="","",INDEX(pr_rate,MATCH(B2347,pr_code,0))),""))))</f>
        <v/>
      </c>
      <c r="L2347" s="65" t="str">
        <f>IF(COUNTA(A2347:G2347)=0,"",IF(AND(ISNUMBER(D2347),ISNUMBER(J2347)),ROUND(D2347*J2347*(1-N(F2347)),2),0))</f>
        <v/>
      </c>
      <c r="M2347" s="62" t="str">
        <f>IF(A2347="","",IFERROR(INDEX(fa_cname,MATCH(A2347,fa_num,0))&amp;"",""))</f>
        <v/>
      </c>
      <c r="N2347" s="59" t="str">
        <f>IF(COUNTA(A2347:G2347)=0,"",IF(A2347="","N° facture manquant",IF(ISNA(MATCH(A2347,fa_num,0)),"Facture inconnue",IF(AND(B2347&lt;&gt;"",ISNA(MATCH(B2347,pr_code,0))),"Article inconnu",IF(H2347="","Désignation manquante",IF(OR(NOT(ISNUMBER(D2347)),N(D2347)&lt;=0),"Quantité invalide",IF(J2347="","Prix manquant",IF(OR(NOT(ISNUMBER(J2347)),N(J2347)&lt;0),"Prix invalide",IF(OR(AND(F2347&lt;&gt;"",NOT(ISNUMBER(F2347))),N(F2347)&lt;0,N(F2347)&gt;1),"Remise invalide",IF(K2347="","Taux de TVA manquant",IF(NOT(ISNUMBER(K2347)),"Taux de TVA invalide",IF(COUNTIF(p_rates,K2347)=0,"Taux de TVA hors liste (Paramètres)",IF(N(O2347)&gt;25,"Au-delà de 25 lignes : non imprimée","OK")))))))))))))</f>
        <v/>
      </c>
      <c r="O2347" s="59" t="str">
        <f>IF(A2347="","",COUNTIF($A$6:A2347,A2347))</f>
        <v/>
      </c>
      <c r="P2347" s="62" t="str">
        <f>IF(A2347="","",A2347&amp;"|"&amp;O2347)</f>
        <v/>
      </c>
    </row>
    <row r="2348">
      <c r="A2348" s="60" t="n"/>
      <c r="B2348" s="63" t="n"/>
      <c r="C2348" s="63" t="n"/>
      <c r="D2348" s="67" t="n"/>
      <c r="E2348" s="68" t="n"/>
      <c r="F2348" s="69" t="n"/>
      <c r="G2348" s="70" t="n"/>
      <c r="H2348" s="62" t="str">
        <f>IF(COUNTA(A2348:G2348)=0,"",IF(C2348&lt;&gt;"",C2348,IF(B2348="","",IFERROR(INDEX(pr_des,MATCH(B2348,pr_code,0))&amp;"",""))))</f>
        <v/>
      </c>
      <c r="I2348" s="59" t="str">
        <f>IF(B2348="","",IFERROR(INDEX(pr_unit,MATCH(B2348,pr_code,0))&amp;"",""))</f>
        <v/>
      </c>
      <c r="J2348" s="65" t="str">
        <f>IF(COUNTA(A2348:G2348)=0,"",IF(E2348&lt;&gt;"",E2348,IF(B2348="","",IFERROR(IF(INDEX(pr_price,MATCH(B2348,pr_code,0))="","",INDEX(pr_price,MATCH(B2348,pr_code,0))),""))))</f>
        <v/>
      </c>
      <c r="K2348" s="71" t="str">
        <f>IF(COUNTA(A2348:G2348)=0,"",IF(G2348&lt;&gt;"",G2348,IF(B2348="","",IFERROR(IF(INDEX(pr_rate,MATCH(B2348,pr_code,0))="","",INDEX(pr_rate,MATCH(B2348,pr_code,0))),""))))</f>
        <v/>
      </c>
      <c r="L2348" s="65" t="str">
        <f>IF(COUNTA(A2348:G2348)=0,"",IF(AND(ISNUMBER(D2348),ISNUMBER(J2348)),ROUND(D2348*J2348*(1-N(F2348)),2),0))</f>
        <v/>
      </c>
      <c r="M2348" s="62" t="str">
        <f>IF(A2348="","",IFERROR(INDEX(fa_cname,MATCH(A2348,fa_num,0))&amp;"",""))</f>
        <v/>
      </c>
      <c r="N2348" s="59" t="str">
        <f>IF(COUNTA(A2348:G2348)=0,"",IF(A2348="","N° facture manquant",IF(ISNA(MATCH(A2348,fa_num,0)),"Facture inconnue",IF(AND(B2348&lt;&gt;"",ISNA(MATCH(B2348,pr_code,0))),"Article inconnu",IF(H2348="","Désignation manquante",IF(OR(NOT(ISNUMBER(D2348)),N(D2348)&lt;=0),"Quantité invalide",IF(J2348="","Prix manquant",IF(OR(NOT(ISNUMBER(J2348)),N(J2348)&lt;0),"Prix invalide",IF(OR(AND(F2348&lt;&gt;"",NOT(ISNUMBER(F2348))),N(F2348)&lt;0,N(F2348)&gt;1),"Remise invalide",IF(K2348="","Taux de TVA manquant",IF(NOT(ISNUMBER(K2348)),"Taux de TVA invalide",IF(COUNTIF(p_rates,K2348)=0,"Taux de TVA hors liste (Paramètres)",IF(N(O2348)&gt;25,"Au-delà de 25 lignes : non imprimée","OK")))))))))))))</f>
        <v/>
      </c>
      <c r="O2348" s="59" t="str">
        <f>IF(A2348="","",COUNTIF($A$6:A2348,A2348))</f>
        <v/>
      </c>
      <c r="P2348" s="62" t="str">
        <f>IF(A2348="","",A2348&amp;"|"&amp;O2348)</f>
        <v/>
      </c>
    </row>
    <row r="2349">
      <c r="A2349" s="60" t="n"/>
      <c r="B2349" s="63" t="n"/>
      <c r="C2349" s="63" t="n"/>
      <c r="D2349" s="67" t="n"/>
      <c r="E2349" s="68" t="n"/>
      <c r="F2349" s="69" t="n"/>
      <c r="G2349" s="70" t="n"/>
      <c r="H2349" s="62" t="str">
        <f>IF(COUNTA(A2349:G2349)=0,"",IF(C2349&lt;&gt;"",C2349,IF(B2349="","",IFERROR(INDEX(pr_des,MATCH(B2349,pr_code,0))&amp;"",""))))</f>
        <v/>
      </c>
      <c r="I2349" s="59" t="str">
        <f>IF(B2349="","",IFERROR(INDEX(pr_unit,MATCH(B2349,pr_code,0))&amp;"",""))</f>
        <v/>
      </c>
      <c r="J2349" s="65" t="str">
        <f>IF(COUNTA(A2349:G2349)=0,"",IF(E2349&lt;&gt;"",E2349,IF(B2349="","",IFERROR(IF(INDEX(pr_price,MATCH(B2349,pr_code,0))="","",INDEX(pr_price,MATCH(B2349,pr_code,0))),""))))</f>
        <v/>
      </c>
      <c r="K2349" s="71" t="str">
        <f>IF(COUNTA(A2349:G2349)=0,"",IF(G2349&lt;&gt;"",G2349,IF(B2349="","",IFERROR(IF(INDEX(pr_rate,MATCH(B2349,pr_code,0))="","",INDEX(pr_rate,MATCH(B2349,pr_code,0))),""))))</f>
        <v/>
      </c>
      <c r="L2349" s="65" t="str">
        <f>IF(COUNTA(A2349:G2349)=0,"",IF(AND(ISNUMBER(D2349),ISNUMBER(J2349)),ROUND(D2349*J2349*(1-N(F2349)),2),0))</f>
        <v/>
      </c>
      <c r="M2349" s="62" t="str">
        <f>IF(A2349="","",IFERROR(INDEX(fa_cname,MATCH(A2349,fa_num,0))&amp;"",""))</f>
        <v/>
      </c>
      <c r="N2349" s="59" t="str">
        <f>IF(COUNTA(A2349:G2349)=0,"",IF(A2349="","N° facture manquant",IF(ISNA(MATCH(A2349,fa_num,0)),"Facture inconnue",IF(AND(B2349&lt;&gt;"",ISNA(MATCH(B2349,pr_code,0))),"Article inconnu",IF(H2349="","Désignation manquante",IF(OR(NOT(ISNUMBER(D2349)),N(D2349)&lt;=0),"Quantité invalide",IF(J2349="","Prix manquant",IF(OR(NOT(ISNUMBER(J2349)),N(J2349)&lt;0),"Prix invalide",IF(OR(AND(F2349&lt;&gt;"",NOT(ISNUMBER(F2349))),N(F2349)&lt;0,N(F2349)&gt;1),"Remise invalide",IF(K2349="","Taux de TVA manquant",IF(NOT(ISNUMBER(K2349)),"Taux de TVA invalide",IF(COUNTIF(p_rates,K2349)=0,"Taux de TVA hors liste (Paramètres)",IF(N(O2349)&gt;25,"Au-delà de 25 lignes : non imprimée","OK")))))))))))))</f>
        <v/>
      </c>
      <c r="O2349" s="59" t="str">
        <f>IF(A2349="","",COUNTIF($A$6:A2349,A2349))</f>
        <v/>
      </c>
      <c r="P2349" s="62" t="str">
        <f>IF(A2349="","",A2349&amp;"|"&amp;O2349)</f>
        <v/>
      </c>
    </row>
    <row r="2350">
      <c r="A2350" s="60" t="n"/>
      <c r="B2350" s="63" t="n"/>
      <c r="C2350" s="63" t="n"/>
      <c r="D2350" s="67" t="n"/>
      <c r="E2350" s="68" t="n"/>
      <c r="F2350" s="69" t="n"/>
      <c r="G2350" s="70" t="n"/>
      <c r="H2350" s="62" t="str">
        <f>IF(COUNTA(A2350:G2350)=0,"",IF(C2350&lt;&gt;"",C2350,IF(B2350="","",IFERROR(INDEX(pr_des,MATCH(B2350,pr_code,0))&amp;"",""))))</f>
        <v/>
      </c>
      <c r="I2350" s="59" t="str">
        <f>IF(B2350="","",IFERROR(INDEX(pr_unit,MATCH(B2350,pr_code,0))&amp;"",""))</f>
        <v/>
      </c>
      <c r="J2350" s="65" t="str">
        <f>IF(COUNTA(A2350:G2350)=0,"",IF(E2350&lt;&gt;"",E2350,IF(B2350="","",IFERROR(IF(INDEX(pr_price,MATCH(B2350,pr_code,0))="","",INDEX(pr_price,MATCH(B2350,pr_code,0))),""))))</f>
        <v/>
      </c>
      <c r="K2350" s="71" t="str">
        <f>IF(COUNTA(A2350:G2350)=0,"",IF(G2350&lt;&gt;"",G2350,IF(B2350="","",IFERROR(IF(INDEX(pr_rate,MATCH(B2350,pr_code,0))="","",INDEX(pr_rate,MATCH(B2350,pr_code,0))),""))))</f>
        <v/>
      </c>
      <c r="L2350" s="65" t="str">
        <f>IF(COUNTA(A2350:G2350)=0,"",IF(AND(ISNUMBER(D2350),ISNUMBER(J2350)),ROUND(D2350*J2350*(1-N(F2350)),2),0))</f>
        <v/>
      </c>
      <c r="M2350" s="62" t="str">
        <f>IF(A2350="","",IFERROR(INDEX(fa_cname,MATCH(A2350,fa_num,0))&amp;"",""))</f>
        <v/>
      </c>
      <c r="N2350" s="59" t="str">
        <f>IF(COUNTA(A2350:G2350)=0,"",IF(A2350="","N° facture manquant",IF(ISNA(MATCH(A2350,fa_num,0)),"Facture inconnue",IF(AND(B2350&lt;&gt;"",ISNA(MATCH(B2350,pr_code,0))),"Article inconnu",IF(H2350="","Désignation manquante",IF(OR(NOT(ISNUMBER(D2350)),N(D2350)&lt;=0),"Quantité invalide",IF(J2350="","Prix manquant",IF(OR(NOT(ISNUMBER(J2350)),N(J2350)&lt;0),"Prix invalide",IF(OR(AND(F2350&lt;&gt;"",NOT(ISNUMBER(F2350))),N(F2350)&lt;0,N(F2350)&gt;1),"Remise invalide",IF(K2350="","Taux de TVA manquant",IF(NOT(ISNUMBER(K2350)),"Taux de TVA invalide",IF(COUNTIF(p_rates,K2350)=0,"Taux de TVA hors liste (Paramètres)",IF(N(O2350)&gt;25,"Au-delà de 25 lignes : non imprimée","OK")))))))))))))</f>
        <v/>
      </c>
      <c r="O2350" s="59" t="str">
        <f>IF(A2350="","",COUNTIF($A$6:A2350,A2350))</f>
        <v/>
      </c>
      <c r="P2350" s="62" t="str">
        <f>IF(A2350="","",A2350&amp;"|"&amp;O2350)</f>
        <v/>
      </c>
    </row>
    <row r="2351">
      <c r="A2351" s="60" t="n"/>
      <c r="B2351" s="63" t="n"/>
      <c r="C2351" s="63" t="n"/>
      <c r="D2351" s="67" t="n"/>
      <c r="E2351" s="68" t="n"/>
      <c r="F2351" s="69" t="n"/>
      <c r="G2351" s="70" t="n"/>
      <c r="H2351" s="62" t="str">
        <f>IF(COUNTA(A2351:G2351)=0,"",IF(C2351&lt;&gt;"",C2351,IF(B2351="","",IFERROR(INDEX(pr_des,MATCH(B2351,pr_code,0))&amp;"",""))))</f>
        <v/>
      </c>
      <c r="I2351" s="59" t="str">
        <f>IF(B2351="","",IFERROR(INDEX(pr_unit,MATCH(B2351,pr_code,0))&amp;"",""))</f>
        <v/>
      </c>
      <c r="J2351" s="65" t="str">
        <f>IF(COUNTA(A2351:G2351)=0,"",IF(E2351&lt;&gt;"",E2351,IF(B2351="","",IFERROR(IF(INDEX(pr_price,MATCH(B2351,pr_code,0))="","",INDEX(pr_price,MATCH(B2351,pr_code,0))),""))))</f>
        <v/>
      </c>
      <c r="K2351" s="71" t="str">
        <f>IF(COUNTA(A2351:G2351)=0,"",IF(G2351&lt;&gt;"",G2351,IF(B2351="","",IFERROR(IF(INDEX(pr_rate,MATCH(B2351,pr_code,0))="","",INDEX(pr_rate,MATCH(B2351,pr_code,0))),""))))</f>
        <v/>
      </c>
      <c r="L2351" s="65" t="str">
        <f>IF(COUNTA(A2351:G2351)=0,"",IF(AND(ISNUMBER(D2351),ISNUMBER(J2351)),ROUND(D2351*J2351*(1-N(F2351)),2),0))</f>
        <v/>
      </c>
      <c r="M2351" s="62" t="str">
        <f>IF(A2351="","",IFERROR(INDEX(fa_cname,MATCH(A2351,fa_num,0))&amp;"",""))</f>
        <v/>
      </c>
      <c r="N2351" s="59" t="str">
        <f>IF(COUNTA(A2351:G2351)=0,"",IF(A2351="","N° facture manquant",IF(ISNA(MATCH(A2351,fa_num,0)),"Facture inconnue",IF(AND(B2351&lt;&gt;"",ISNA(MATCH(B2351,pr_code,0))),"Article inconnu",IF(H2351="","Désignation manquante",IF(OR(NOT(ISNUMBER(D2351)),N(D2351)&lt;=0),"Quantité invalide",IF(J2351="","Prix manquant",IF(OR(NOT(ISNUMBER(J2351)),N(J2351)&lt;0),"Prix invalide",IF(OR(AND(F2351&lt;&gt;"",NOT(ISNUMBER(F2351))),N(F2351)&lt;0,N(F2351)&gt;1),"Remise invalide",IF(K2351="","Taux de TVA manquant",IF(NOT(ISNUMBER(K2351)),"Taux de TVA invalide",IF(COUNTIF(p_rates,K2351)=0,"Taux de TVA hors liste (Paramètres)",IF(N(O2351)&gt;25,"Au-delà de 25 lignes : non imprimée","OK")))))))))))))</f>
        <v/>
      </c>
      <c r="O2351" s="59" t="str">
        <f>IF(A2351="","",COUNTIF($A$6:A2351,A2351))</f>
        <v/>
      </c>
      <c r="P2351" s="62" t="str">
        <f>IF(A2351="","",A2351&amp;"|"&amp;O2351)</f>
        <v/>
      </c>
    </row>
    <row r="2352">
      <c r="A2352" s="60" t="n"/>
      <c r="B2352" s="63" t="n"/>
      <c r="C2352" s="63" t="n"/>
      <c r="D2352" s="67" t="n"/>
      <c r="E2352" s="68" t="n"/>
      <c r="F2352" s="69" t="n"/>
      <c r="G2352" s="70" t="n"/>
      <c r="H2352" s="62" t="str">
        <f>IF(COUNTA(A2352:G2352)=0,"",IF(C2352&lt;&gt;"",C2352,IF(B2352="","",IFERROR(INDEX(pr_des,MATCH(B2352,pr_code,0))&amp;"",""))))</f>
        <v/>
      </c>
      <c r="I2352" s="59" t="str">
        <f>IF(B2352="","",IFERROR(INDEX(pr_unit,MATCH(B2352,pr_code,0))&amp;"",""))</f>
        <v/>
      </c>
      <c r="J2352" s="65" t="str">
        <f>IF(COUNTA(A2352:G2352)=0,"",IF(E2352&lt;&gt;"",E2352,IF(B2352="","",IFERROR(IF(INDEX(pr_price,MATCH(B2352,pr_code,0))="","",INDEX(pr_price,MATCH(B2352,pr_code,0))),""))))</f>
        <v/>
      </c>
      <c r="K2352" s="71" t="str">
        <f>IF(COUNTA(A2352:G2352)=0,"",IF(G2352&lt;&gt;"",G2352,IF(B2352="","",IFERROR(IF(INDEX(pr_rate,MATCH(B2352,pr_code,0))="","",INDEX(pr_rate,MATCH(B2352,pr_code,0))),""))))</f>
        <v/>
      </c>
      <c r="L2352" s="65" t="str">
        <f>IF(COUNTA(A2352:G2352)=0,"",IF(AND(ISNUMBER(D2352),ISNUMBER(J2352)),ROUND(D2352*J2352*(1-N(F2352)),2),0))</f>
        <v/>
      </c>
      <c r="M2352" s="62" t="str">
        <f>IF(A2352="","",IFERROR(INDEX(fa_cname,MATCH(A2352,fa_num,0))&amp;"",""))</f>
        <v/>
      </c>
      <c r="N2352" s="59" t="str">
        <f>IF(COUNTA(A2352:G2352)=0,"",IF(A2352="","N° facture manquant",IF(ISNA(MATCH(A2352,fa_num,0)),"Facture inconnue",IF(AND(B2352&lt;&gt;"",ISNA(MATCH(B2352,pr_code,0))),"Article inconnu",IF(H2352="","Désignation manquante",IF(OR(NOT(ISNUMBER(D2352)),N(D2352)&lt;=0),"Quantité invalide",IF(J2352="","Prix manquant",IF(OR(NOT(ISNUMBER(J2352)),N(J2352)&lt;0),"Prix invalide",IF(OR(AND(F2352&lt;&gt;"",NOT(ISNUMBER(F2352))),N(F2352)&lt;0,N(F2352)&gt;1),"Remise invalide",IF(K2352="","Taux de TVA manquant",IF(NOT(ISNUMBER(K2352)),"Taux de TVA invalide",IF(COUNTIF(p_rates,K2352)=0,"Taux de TVA hors liste (Paramètres)",IF(N(O2352)&gt;25,"Au-delà de 25 lignes : non imprimée","OK")))))))))))))</f>
        <v/>
      </c>
      <c r="O2352" s="59" t="str">
        <f>IF(A2352="","",COUNTIF($A$6:A2352,A2352))</f>
        <v/>
      </c>
      <c r="P2352" s="62" t="str">
        <f>IF(A2352="","",A2352&amp;"|"&amp;O2352)</f>
        <v/>
      </c>
    </row>
    <row r="2353">
      <c r="A2353" s="60" t="n"/>
      <c r="B2353" s="63" t="n"/>
      <c r="C2353" s="63" t="n"/>
      <c r="D2353" s="67" t="n"/>
      <c r="E2353" s="68" t="n"/>
      <c r="F2353" s="69" t="n"/>
      <c r="G2353" s="70" t="n"/>
      <c r="H2353" s="62" t="str">
        <f>IF(COUNTA(A2353:G2353)=0,"",IF(C2353&lt;&gt;"",C2353,IF(B2353="","",IFERROR(INDEX(pr_des,MATCH(B2353,pr_code,0))&amp;"",""))))</f>
        <v/>
      </c>
      <c r="I2353" s="59" t="str">
        <f>IF(B2353="","",IFERROR(INDEX(pr_unit,MATCH(B2353,pr_code,0))&amp;"",""))</f>
        <v/>
      </c>
      <c r="J2353" s="65" t="str">
        <f>IF(COUNTA(A2353:G2353)=0,"",IF(E2353&lt;&gt;"",E2353,IF(B2353="","",IFERROR(IF(INDEX(pr_price,MATCH(B2353,pr_code,0))="","",INDEX(pr_price,MATCH(B2353,pr_code,0))),""))))</f>
        <v/>
      </c>
      <c r="K2353" s="71" t="str">
        <f>IF(COUNTA(A2353:G2353)=0,"",IF(G2353&lt;&gt;"",G2353,IF(B2353="","",IFERROR(IF(INDEX(pr_rate,MATCH(B2353,pr_code,0))="","",INDEX(pr_rate,MATCH(B2353,pr_code,0))),""))))</f>
        <v/>
      </c>
      <c r="L2353" s="65" t="str">
        <f>IF(COUNTA(A2353:G2353)=0,"",IF(AND(ISNUMBER(D2353),ISNUMBER(J2353)),ROUND(D2353*J2353*(1-N(F2353)),2),0))</f>
        <v/>
      </c>
      <c r="M2353" s="62" t="str">
        <f>IF(A2353="","",IFERROR(INDEX(fa_cname,MATCH(A2353,fa_num,0))&amp;"",""))</f>
        <v/>
      </c>
      <c r="N2353" s="59" t="str">
        <f>IF(COUNTA(A2353:G2353)=0,"",IF(A2353="","N° facture manquant",IF(ISNA(MATCH(A2353,fa_num,0)),"Facture inconnue",IF(AND(B2353&lt;&gt;"",ISNA(MATCH(B2353,pr_code,0))),"Article inconnu",IF(H2353="","Désignation manquante",IF(OR(NOT(ISNUMBER(D2353)),N(D2353)&lt;=0),"Quantité invalide",IF(J2353="","Prix manquant",IF(OR(NOT(ISNUMBER(J2353)),N(J2353)&lt;0),"Prix invalide",IF(OR(AND(F2353&lt;&gt;"",NOT(ISNUMBER(F2353))),N(F2353)&lt;0,N(F2353)&gt;1),"Remise invalide",IF(K2353="","Taux de TVA manquant",IF(NOT(ISNUMBER(K2353)),"Taux de TVA invalide",IF(COUNTIF(p_rates,K2353)=0,"Taux de TVA hors liste (Paramètres)",IF(N(O2353)&gt;25,"Au-delà de 25 lignes : non imprimée","OK")))))))))))))</f>
        <v/>
      </c>
      <c r="O2353" s="59" t="str">
        <f>IF(A2353="","",COUNTIF($A$6:A2353,A2353))</f>
        <v/>
      </c>
      <c r="P2353" s="62" t="str">
        <f>IF(A2353="","",A2353&amp;"|"&amp;O2353)</f>
        <v/>
      </c>
    </row>
    <row r="2354">
      <c r="A2354" s="60" t="n"/>
      <c r="B2354" s="63" t="n"/>
      <c r="C2354" s="63" t="n"/>
      <c r="D2354" s="67" t="n"/>
      <c r="E2354" s="68" t="n"/>
      <c r="F2354" s="69" t="n"/>
      <c r="G2354" s="70" t="n"/>
      <c r="H2354" s="62" t="str">
        <f>IF(COUNTA(A2354:G2354)=0,"",IF(C2354&lt;&gt;"",C2354,IF(B2354="","",IFERROR(INDEX(pr_des,MATCH(B2354,pr_code,0))&amp;"",""))))</f>
        <v/>
      </c>
      <c r="I2354" s="59" t="str">
        <f>IF(B2354="","",IFERROR(INDEX(pr_unit,MATCH(B2354,pr_code,0))&amp;"",""))</f>
        <v/>
      </c>
      <c r="J2354" s="65" t="str">
        <f>IF(COUNTA(A2354:G2354)=0,"",IF(E2354&lt;&gt;"",E2354,IF(B2354="","",IFERROR(IF(INDEX(pr_price,MATCH(B2354,pr_code,0))="","",INDEX(pr_price,MATCH(B2354,pr_code,0))),""))))</f>
        <v/>
      </c>
      <c r="K2354" s="71" t="str">
        <f>IF(COUNTA(A2354:G2354)=0,"",IF(G2354&lt;&gt;"",G2354,IF(B2354="","",IFERROR(IF(INDEX(pr_rate,MATCH(B2354,pr_code,0))="","",INDEX(pr_rate,MATCH(B2354,pr_code,0))),""))))</f>
        <v/>
      </c>
      <c r="L2354" s="65" t="str">
        <f>IF(COUNTA(A2354:G2354)=0,"",IF(AND(ISNUMBER(D2354),ISNUMBER(J2354)),ROUND(D2354*J2354*(1-N(F2354)),2),0))</f>
        <v/>
      </c>
      <c r="M2354" s="62" t="str">
        <f>IF(A2354="","",IFERROR(INDEX(fa_cname,MATCH(A2354,fa_num,0))&amp;"",""))</f>
        <v/>
      </c>
      <c r="N2354" s="59" t="str">
        <f>IF(COUNTA(A2354:G2354)=0,"",IF(A2354="","N° facture manquant",IF(ISNA(MATCH(A2354,fa_num,0)),"Facture inconnue",IF(AND(B2354&lt;&gt;"",ISNA(MATCH(B2354,pr_code,0))),"Article inconnu",IF(H2354="","Désignation manquante",IF(OR(NOT(ISNUMBER(D2354)),N(D2354)&lt;=0),"Quantité invalide",IF(J2354="","Prix manquant",IF(OR(NOT(ISNUMBER(J2354)),N(J2354)&lt;0),"Prix invalide",IF(OR(AND(F2354&lt;&gt;"",NOT(ISNUMBER(F2354))),N(F2354)&lt;0,N(F2354)&gt;1),"Remise invalide",IF(K2354="","Taux de TVA manquant",IF(NOT(ISNUMBER(K2354)),"Taux de TVA invalide",IF(COUNTIF(p_rates,K2354)=0,"Taux de TVA hors liste (Paramètres)",IF(N(O2354)&gt;25,"Au-delà de 25 lignes : non imprimée","OK")))))))))))))</f>
        <v/>
      </c>
      <c r="O2354" s="59" t="str">
        <f>IF(A2354="","",COUNTIF($A$6:A2354,A2354))</f>
        <v/>
      </c>
      <c r="P2354" s="62" t="str">
        <f>IF(A2354="","",A2354&amp;"|"&amp;O2354)</f>
        <v/>
      </c>
    </row>
    <row r="2355">
      <c r="A2355" s="60" t="n"/>
      <c r="B2355" s="63" t="n"/>
      <c r="C2355" s="63" t="n"/>
      <c r="D2355" s="67" t="n"/>
      <c r="E2355" s="68" t="n"/>
      <c r="F2355" s="69" t="n"/>
      <c r="G2355" s="70" t="n"/>
      <c r="H2355" s="62" t="str">
        <f>IF(COUNTA(A2355:G2355)=0,"",IF(C2355&lt;&gt;"",C2355,IF(B2355="","",IFERROR(INDEX(pr_des,MATCH(B2355,pr_code,0))&amp;"",""))))</f>
        <v/>
      </c>
      <c r="I2355" s="59" t="str">
        <f>IF(B2355="","",IFERROR(INDEX(pr_unit,MATCH(B2355,pr_code,0))&amp;"",""))</f>
        <v/>
      </c>
      <c r="J2355" s="65" t="str">
        <f>IF(COUNTA(A2355:G2355)=0,"",IF(E2355&lt;&gt;"",E2355,IF(B2355="","",IFERROR(IF(INDEX(pr_price,MATCH(B2355,pr_code,0))="","",INDEX(pr_price,MATCH(B2355,pr_code,0))),""))))</f>
        <v/>
      </c>
      <c r="K2355" s="71" t="str">
        <f>IF(COUNTA(A2355:G2355)=0,"",IF(G2355&lt;&gt;"",G2355,IF(B2355="","",IFERROR(IF(INDEX(pr_rate,MATCH(B2355,pr_code,0))="","",INDEX(pr_rate,MATCH(B2355,pr_code,0))),""))))</f>
        <v/>
      </c>
      <c r="L2355" s="65" t="str">
        <f>IF(COUNTA(A2355:G2355)=0,"",IF(AND(ISNUMBER(D2355),ISNUMBER(J2355)),ROUND(D2355*J2355*(1-N(F2355)),2),0))</f>
        <v/>
      </c>
      <c r="M2355" s="62" t="str">
        <f>IF(A2355="","",IFERROR(INDEX(fa_cname,MATCH(A2355,fa_num,0))&amp;"",""))</f>
        <v/>
      </c>
      <c r="N2355" s="59" t="str">
        <f>IF(COUNTA(A2355:G2355)=0,"",IF(A2355="","N° facture manquant",IF(ISNA(MATCH(A2355,fa_num,0)),"Facture inconnue",IF(AND(B2355&lt;&gt;"",ISNA(MATCH(B2355,pr_code,0))),"Article inconnu",IF(H2355="","Désignation manquante",IF(OR(NOT(ISNUMBER(D2355)),N(D2355)&lt;=0),"Quantité invalide",IF(J2355="","Prix manquant",IF(OR(NOT(ISNUMBER(J2355)),N(J2355)&lt;0),"Prix invalide",IF(OR(AND(F2355&lt;&gt;"",NOT(ISNUMBER(F2355))),N(F2355)&lt;0,N(F2355)&gt;1),"Remise invalide",IF(K2355="","Taux de TVA manquant",IF(NOT(ISNUMBER(K2355)),"Taux de TVA invalide",IF(COUNTIF(p_rates,K2355)=0,"Taux de TVA hors liste (Paramètres)",IF(N(O2355)&gt;25,"Au-delà de 25 lignes : non imprimée","OK")))))))))))))</f>
        <v/>
      </c>
      <c r="O2355" s="59" t="str">
        <f>IF(A2355="","",COUNTIF($A$6:A2355,A2355))</f>
        <v/>
      </c>
      <c r="P2355" s="62" t="str">
        <f>IF(A2355="","",A2355&amp;"|"&amp;O2355)</f>
        <v/>
      </c>
    </row>
    <row r="2356">
      <c r="A2356" s="60" t="n"/>
      <c r="B2356" s="63" t="n"/>
      <c r="C2356" s="63" t="n"/>
      <c r="D2356" s="67" t="n"/>
      <c r="E2356" s="68" t="n"/>
      <c r="F2356" s="69" t="n"/>
      <c r="G2356" s="70" t="n"/>
      <c r="H2356" s="62" t="str">
        <f>IF(COUNTA(A2356:G2356)=0,"",IF(C2356&lt;&gt;"",C2356,IF(B2356="","",IFERROR(INDEX(pr_des,MATCH(B2356,pr_code,0))&amp;"",""))))</f>
        <v/>
      </c>
      <c r="I2356" s="59" t="str">
        <f>IF(B2356="","",IFERROR(INDEX(pr_unit,MATCH(B2356,pr_code,0))&amp;"",""))</f>
        <v/>
      </c>
      <c r="J2356" s="65" t="str">
        <f>IF(COUNTA(A2356:G2356)=0,"",IF(E2356&lt;&gt;"",E2356,IF(B2356="","",IFERROR(IF(INDEX(pr_price,MATCH(B2356,pr_code,0))="","",INDEX(pr_price,MATCH(B2356,pr_code,0))),""))))</f>
        <v/>
      </c>
      <c r="K2356" s="71" t="str">
        <f>IF(COUNTA(A2356:G2356)=0,"",IF(G2356&lt;&gt;"",G2356,IF(B2356="","",IFERROR(IF(INDEX(pr_rate,MATCH(B2356,pr_code,0))="","",INDEX(pr_rate,MATCH(B2356,pr_code,0))),""))))</f>
        <v/>
      </c>
      <c r="L2356" s="65" t="str">
        <f>IF(COUNTA(A2356:G2356)=0,"",IF(AND(ISNUMBER(D2356),ISNUMBER(J2356)),ROUND(D2356*J2356*(1-N(F2356)),2),0))</f>
        <v/>
      </c>
      <c r="M2356" s="62" t="str">
        <f>IF(A2356="","",IFERROR(INDEX(fa_cname,MATCH(A2356,fa_num,0))&amp;"",""))</f>
        <v/>
      </c>
      <c r="N2356" s="59" t="str">
        <f>IF(COUNTA(A2356:G2356)=0,"",IF(A2356="","N° facture manquant",IF(ISNA(MATCH(A2356,fa_num,0)),"Facture inconnue",IF(AND(B2356&lt;&gt;"",ISNA(MATCH(B2356,pr_code,0))),"Article inconnu",IF(H2356="","Désignation manquante",IF(OR(NOT(ISNUMBER(D2356)),N(D2356)&lt;=0),"Quantité invalide",IF(J2356="","Prix manquant",IF(OR(NOT(ISNUMBER(J2356)),N(J2356)&lt;0),"Prix invalide",IF(OR(AND(F2356&lt;&gt;"",NOT(ISNUMBER(F2356))),N(F2356)&lt;0,N(F2356)&gt;1),"Remise invalide",IF(K2356="","Taux de TVA manquant",IF(NOT(ISNUMBER(K2356)),"Taux de TVA invalide",IF(COUNTIF(p_rates,K2356)=0,"Taux de TVA hors liste (Paramètres)",IF(N(O2356)&gt;25,"Au-delà de 25 lignes : non imprimée","OK")))))))))))))</f>
        <v/>
      </c>
      <c r="O2356" s="59" t="str">
        <f>IF(A2356="","",COUNTIF($A$6:A2356,A2356))</f>
        <v/>
      </c>
      <c r="P2356" s="62" t="str">
        <f>IF(A2356="","",A2356&amp;"|"&amp;O2356)</f>
        <v/>
      </c>
    </row>
    <row r="2357">
      <c r="A2357" s="60" t="n"/>
      <c r="B2357" s="63" t="n"/>
      <c r="C2357" s="63" t="n"/>
      <c r="D2357" s="67" t="n"/>
      <c r="E2357" s="68" t="n"/>
      <c r="F2357" s="69" t="n"/>
      <c r="G2357" s="70" t="n"/>
      <c r="H2357" s="62" t="str">
        <f>IF(COUNTA(A2357:G2357)=0,"",IF(C2357&lt;&gt;"",C2357,IF(B2357="","",IFERROR(INDEX(pr_des,MATCH(B2357,pr_code,0))&amp;"",""))))</f>
        <v/>
      </c>
      <c r="I2357" s="59" t="str">
        <f>IF(B2357="","",IFERROR(INDEX(pr_unit,MATCH(B2357,pr_code,0))&amp;"",""))</f>
        <v/>
      </c>
      <c r="J2357" s="65" t="str">
        <f>IF(COUNTA(A2357:G2357)=0,"",IF(E2357&lt;&gt;"",E2357,IF(B2357="","",IFERROR(IF(INDEX(pr_price,MATCH(B2357,pr_code,0))="","",INDEX(pr_price,MATCH(B2357,pr_code,0))),""))))</f>
        <v/>
      </c>
      <c r="K2357" s="71" t="str">
        <f>IF(COUNTA(A2357:G2357)=0,"",IF(G2357&lt;&gt;"",G2357,IF(B2357="","",IFERROR(IF(INDEX(pr_rate,MATCH(B2357,pr_code,0))="","",INDEX(pr_rate,MATCH(B2357,pr_code,0))),""))))</f>
        <v/>
      </c>
      <c r="L2357" s="65" t="str">
        <f>IF(COUNTA(A2357:G2357)=0,"",IF(AND(ISNUMBER(D2357),ISNUMBER(J2357)),ROUND(D2357*J2357*(1-N(F2357)),2),0))</f>
        <v/>
      </c>
      <c r="M2357" s="62" t="str">
        <f>IF(A2357="","",IFERROR(INDEX(fa_cname,MATCH(A2357,fa_num,0))&amp;"",""))</f>
        <v/>
      </c>
      <c r="N2357" s="59" t="str">
        <f>IF(COUNTA(A2357:G2357)=0,"",IF(A2357="","N° facture manquant",IF(ISNA(MATCH(A2357,fa_num,0)),"Facture inconnue",IF(AND(B2357&lt;&gt;"",ISNA(MATCH(B2357,pr_code,0))),"Article inconnu",IF(H2357="","Désignation manquante",IF(OR(NOT(ISNUMBER(D2357)),N(D2357)&lt;=0),"Quantité invalide",IF(J2357="","Prix manquant",IF(OR(NOT(ISNUMBER(J2357)),N(J2357)&lt;0),"Prix invalide",IF(OR(AND(F2357&lt;&gt;"",NOT(ISNUMBER(F2357))),N(F2357)&lt;0,N(F2357)&gt;1),"Remise invalide",IF(K2357="","Taux de TVA manquant",IF(NOT(ISNUMBER(K2357)),"Taux de TVA invalide",IF(COUNTIF(p_rates,K2357)=0,"Taux de TVA hors liste (Paramètres)",IF(N(O2357)&gt;25,"Au-delà de 25 lignes : non imprimée","OK")))))))))))))</f>
        <v/>
      </c>
      <c r="O2357" s="59" t="str">
        <f>IF(A2357="","",COUNTIF($A$6:A2357,A2357))</f>
        <v/>
      </c>
      <c r="P2357" s="62" t="str">
        <f>IF(A2357="","",A2357&amp;"|"&amp;O2357)</f>
        <v/>
      </c>
    </row>
    <row r="2358">
      <c r="A2358" s="60" t="n"/>
      <c r="B2358" s="63" t="n"/>
      <c r="C2358" s="63" t="n"/>
      <c r="D2358" s="67" t="n"/>
      <c r="E2358" s="68" t="n"/>
      <c r="F2358" s="69" t="n"/>
      <c r="G2358" s="70" t="n"/>
      <c r="H2358" s="62" t="str">
        <f>IF(COUNTA(A2358:G2358)=0,"",IF(C2358&lt;&gt;"",C2358,IF(B2358="","",IFERROR(INDEX(pr_des,MATCH(B2358,pr_code,0))&amp;"",""))))</f>
        <v/>
      </c>
      <c r="I2358" s="59" t="str">
        <f>IF(B2358="","",IFERROR(INDEX(pr_unit,MATCH(B2358,pr_code,0))&amp;"",""))</f>
        <v/>
      </c>
      <c r="J2358" s="65" t="str">
        <f>IF(COUNTA(A2358:G2358)=0,"",IF(E2358&lt;&gt;"",E2358,IF(B2358="","",IFERROR(IF(INDEX(pr_price,MATCH(B2358,pr_code,0))="","",INDEX(pr_price,MATCH(B2358,pr_code,0))),""))))</f>
        <v/>
      </c>
      <c r="K2358" s="71" t="str">
        <f>IF(COUNTA(A2358:G2358)=0,"",IF(G2358&lt;&gt;"",G2358,IF(B2358="","",IFERROR(IF(INDEX(pr_rate,MATCH(B2358,pr_code,0))="","",INDEX(pr_rate,MATCH(B2358,pr_code,0))),""))))</f>
        <v/>
      </c>
      <c r="L2358" s="65" t="str">
        <f>IF(COUNTA(A2358:G2358)=0,"",IF(AND(ISNUMBER(D2358),ISNUMBER(J2358)),ROUND(D2358*J2358*(1-N(F2358)),2),0))</f>
        <v/>
      </c>
      <c r="M2358" s="62" t="str">
        <f>IF(A2358="","",IFERROR(INDEX(fa_cname,MATCH(A2358,fa_num,0))&amp;"",""))</f>
        <v/>
      </c>
      <c r="N2358" s="59" t="str">
        <f>IF(COUNTA(A2358:G2358)=0,"",IF(A2358="","N° facture manquant",IF(ISNA(MATCH(A2358,fa_num,0)),"Facture inconnue",IF(AND(B2358&lt;&gt;"",ISNA(MATCH(B2358,pr_code,0))),"Article inconnu",IF(H2358="","Désignation manquante",IF(OR(NOT(ISNUMBER(D2358)),N(D2358)&lt;=0),"Quantité invalide",IF(J2358="","Prix manquant",IF(OR(NOT(ISNUMBER(J2358)),N(J2358)&lt;0),"Prix invalide",IF(OR(AND(F2358&lt;&gt;"",NOT(ISNUMBER(F2358))),N(F2358)&lt;0,N(F2358)&gt;1),"Remise invalide",IF(K2358="","Taux de TVA manquant",IF(NOT(ISNUMBER(K2358)),"Taux de TVA invalide",IF(COUNTIF(p_rates,K2358)=0,"Taux de TVA hors liste (Paramètres)",IF(N(O2358)&gt;25,"Au-delà de 25 lignes : non imprimée","OK")))))))))))))</f>
        <v/>
      </c>
      <c r="O2358" s="59" t="str">
        <f>IF(A2358="","",COUNTIF($A$6:A2358,A2358))</f>
        <v/>
      </c>
      <c r="P2358" s="62" t="str">
        <f>IF(A2358="","",A2358&amp;"|"&amp;O2358)</f>
        <v/>
      </c>
    </row>
    <row r="2359">
      <c r="A2359" s="60" t="n"/>
      <c r="B2359" s="63" t="n"/>
      <c r="C2359" s="63" t="n"/>
      <c r="D2359" s="67" t="n"/>
      <c r="E2359" s="68" t="n"/>
      <c r="F2359" s="69" t="n"/>
      <c r="G2359" s="70" t="n"/>
      <c r="H2359" s="62" t="str">
        <f>IF(COUNTA(A2359:G2359)=0,"",IF(C2359&lt;&gt;"",C2359,IF(B2359="","",IFERROR(INDEX(pr_des,MATCH(B2359,pr_code,0))&amp;"",""))))</f>
        <v/>
      </c>
      <c r="I2359" s="59" t="str">
        <f>IF(B2359="","",IFERROR(INDEX(pr_unit,MATCH(B2359,pr_code,0))&amp;"",""))</f>
        <v/>
      </c>
      <c r="J2359" s="65" t="str">
        <f>IF(COUNTA(A2359:G2359)=0,"",IF(E2359&lt;&gt;"",E2359,IF(B2359="","",IFERROR(IF(INDEX(pr_price,MATCH(B2359,pr_code,0))="","",INDEX(pr_price,MATCH(B2359,pr_code,0))),""))))</f>
        <v/>
      </c>
      <c r="K2359" s="71" t="str">
        <f>IF(COUNTA(A2359:G2359)=0,"",IF(G2359&lt;&gt;"",G2359,IF(B2359="","",IFERROR(IF(INDEX(pr_rate,MATCH(B2359,pr_code,0))="","",INDEX(pr_rate,MATCH(B2359,pr_code,0))),""))))</f>
        <v/>
      </c>
      <c r="L2359" s="65" t="str">
        <f>IF(COUNTA(A2359:G2359)=0,"",IF(AND(ISNUMBER(D2359),ISNUMBER(J2359)),ROUND(D2359*J2359*(1-N(F2359)),2),0))</f>
        <v/>
      </c>
      <c r="M2359" s="62" t="str">
        <f>IF(A2359="","",IFERROR(INDEX(fa_cname,MATCH(A2359,fa_num,0))&amp;"",""))</f>
        <v/>
      </c>
      <c r="N2359" s="59" t="str">
        <f>IF(COUNTA(A2359:G2359)=0,"",IF(A2359="","N° facture manquant",IF(ISNA(MATCH(A2359,fa_num,0)),"Facture inconnue",IF(AND(B2359&lt;&gt;"",ISNA(MATCH(B2359,pr_code,0))),"Article inconnu",IF(H2359="","Désignation manquante",IF(OR(NOT(ISNUMBER(D2359)),N(D2359)&lt;=0),"Quantité invalide",IF(J2359="","Prix manquant",IF(OR(NOT(ISNUMBER(J2359)),N(J2359)&lt;0),"Prix invalide",IF(OR(AND(F2359&lt;&gt;"",NOT(ISNUMBER(F2359))),N(F2359)&lt;0,N(F2359)&gt;1),"Remise invalide",IF(K2359="","Taux de TVA manquant",IF(NOT(ISNUMBER(K2359)),"Taux de TVA invalide",IF(COUNTIF(p_rates,K2359)=0,"Taux de TVA hors liste (Paramètres)",IF(N(O2359)&gt;25,"Au-delà de 25 lignes : non imprimée","OK")))))))))))))</f>
        <v/>
      </c>
      <c r="O2359" s="59" t="str">
        <f>IF(A2359="","",COUNTIF($A$6:A2359,A2359))</f>
        <v/>
      </c>
      <c r="P2359" s="62" t="str">
        <f>IF(A2359="","",A2359&amp;"|"&amp;O2359)</f>
        <v/>
      </c>
    </row>
    <row r="2360">
      <c r="A2360" s="60" t="n"/>
      <c r="B2360" s="63" t="n"/>
      <c r="C2360" s="63" t="n"/>
      <c r="D2360" s="67" t="n"/>
      <c r="E2360" s="68" t="n"/>
      <c r="F2360" s="69" t="n"/>
      <c r="G2360" s="70" t="n"/>
      <c r="H2360" s="62" t="str">
        <f>IF(COUNTA(A2360:G2360)=0,"",IF(C2360&lt;&gt;"",C2360,IF(B2360="","",IFERROR(INDEX(pr_des,MATCH(B2360,pr_code,0))&amp;"",""))))</f>
        <v/>
      </c>
      <c r="I2360" s="59" t="str">
        <f>IF(B2360="","",IFERROR(INDEX(pr_unit,MATCH(B2360,pr_code,0))&amp;"",""))</f>
        <v/>
      </c>
      <c r="J2360" s="65" t="str">
        <f>IF(COUNTA(A2360:G2360)=0,"",IF(E2360&lt;&gt;"",E2360,IF(B2360="","",IFERROR(IF(INDEX(pr_price,MATCH(B2360,pr_code,0))="","",INDEX(pr_price,MATCH(B2360,pr_code,0))),""))))</f>
        <v/>
      </c>
      <c r="K2360" s="71" t="str">
        <f>IF(COUNTA(A2360:G2360)=0,"",IF(G2360&lt;&gt;"",G2360,IF(B2360="","",IFERROR(IF(INDEX(pr_rate,MATCH(B2360,pr_code,0))="","",INDEX(pr_rate,MATCH(B2360,pr_code,0))),""))))</f>
        <v/>
      </c>
      <c r="L2360" s="65" t="str">
        <f>IF(COUNTA(A2360:G2360)=0,"",IF(AND(ISNUMBER(D2360),ISNUMBER(J2360)),ROUND(D2360*J2360*(1-N(F2360)),2),0))</f>
        <v/>
      </c>
      <c r="M2360" s="62" t="str">
        <f>IF(A2360="","",IFERROR(INDEX(fa_cname,MATCH(A2360,fa_num,0))&amp;"",""))</f>
        <v/>
      </c>
      <c r="N2360" s="59" t="str">
        <f>IF(COUNTA(A2360:G2360)=0,"",IF(A2360="","N° facture manquant",IF(ISNA(MATCH(A2360,fa_num,0)),"Facture inconnue",IF(AND(B2360&lt;&gt;"",ISNA(MATCH(B2360,pr_code,0))),"Article inconnu",IF(H2360="","Désignation manquante",IF(OR(NOT(ISNUMBER(D2360)),N(D2360)&lt;=0),"Quantité invalide",IF(J2360="","Prix manquant",IF(OR(NOT(ISNUMBER(J2360)),N(J2360)&lt;0),"Prix invalide",IF(OR(AND(F2360&lt;&gt;"",NOT(ISNUMBER(F2360))),N(F2360)&lt;0,N(F2360)&gt;1),"Remise invalide",IF(K2360="","Taux de TVA manquant",IF(NOT(ISNUMBER(K2360)),"Taux de TVA invalide",IF(COUNTIF(p_rates,K2360)=0,"Taux de TVA hors liste (Paramètres)",IF(N(O2360)&gt;25,"Au-delà de 25 lignes : non imprimée","OK")))))))))))))</f>
        <v/>
      </c>
      <c r="O2360" s="59" t="str">
        <f>IF(A2360="","",COUNTIF($A$6:A2360,A2360))</f>
        <v/>
      </c>
      <c r="P2360" s="62" t="str">
        <f>IF(A2360="","",A2360&amp;"|"&amp;O2360)</f>
        <v/>
      </c>
    </row>
    <row r="2361">
      <c r="A2361" s="60" t="n"/>
      <c r="B2361" s="63" t="n"/>
      <c r="C2361" s="63" t="n"/>
      <c r="D2361" s="67" t="n"/>
      <c r="E2361" s="68" t="n"/>
      <c r="F2361" s="69" t="n"/>
      <c r="G2361" s="70" t="n"/>
      <c r="H2361" s="62" t="str">
        <f>IF(COUNTA(A2361:G2361)=0,"",IF(C2361&lt;&gt;"",C2361,IF(B2361="","",IFERROR(INDEX(pr_des,MATCH(B2361,pr_code,0))&amp;"",""))))</f>
        <v/>
      </c>
      <c r="I2361" s="59" t="str">
        <f>IF(B2361="","",IFERROR(INDEX(pr_unit,MATCH(B2361,pr_code,0))&amp;"",""))</f>
        <v/>
      </c>
      <c r="J2361" s="65" t="str">
        <f>IF(COUNTA(A2361:G2361)=0,"",IF(E2361&lt;&gt;"",E2361,IF(B2361="","",IFERROR(IF(INDEX(pr_price,MATCH(B2361,pr_code,0))="","",INDEX(pr_price,MATCH(B2361,pr_code,0))),""))))</f>
        <v/>
      </c>
      <c r="K2361" s="71" t="str">
        <f>IF(COUNTA(A2361:G2361)=0,"",IF(G2361&lt;&gt;"",G2361,IF(B2361="","",IFERROR(IF(INDEX(pr_rate,MATCH(B2361,pr_code,0))="","",INDEX(pr_rate,MATCH(B2361,pr_code,0))),""))))</f>
        <v/>
      </c>
      <c r="L2361" s="65" t="str">
        <f>IF(COUNTA(A2361:G2361)=0,"",IF(AND(ISNUMBER(D2361),ISNUMBER(J2361)),ROUND(D2361*J2361*(1-N(F2361)),2),0))</f>
        <v/>
      </c>
      <c r="M2361" s="62" t="str">
        <f>IF(A2361="","",IFERROR(INDEX(fa_cname,MATCH(A2361,fa_num,0))&amp;"",""))</f>
        <v/>
      </c>
      <c r="N2361" s="59" t="str">
        <f>IF(COUNTA(A2361:G2361)=0,"",IF(A2361="","N° facture manquant",IF(ISNA(MATCH(A2361,fa_num,0)),"Facture inconnue",IF(AND(B2361&lt;&gt;"",ISNA(MATCH(B2361,pr_code,0))),"Article inconnu",IF(H2361="","Désignation manquante",IF(OR(NOT(ISNUMBER(D2361)),N(D2361)&lt;=0),"Quantité invalide",IF(J2361="","Prix manquant",IF(OR(NOT(ISNUMBER(J2361)),N(J2361)&lt;0),"Prix invalide",IF(OR(AND(F2361&lt;&gt;"",NOT(ISNUMBER(F2361))),N(F2361)&lt;0,N(F2361)&gt;1),"Remise invalide",IF(K2361="","Taux de TVA manquant",IF(NOT(ISNUMBER(K2361)),"Taux de TVA invalide",IF(COUNTIF(p_rates,K2361)=0,"Taux de TVA hors liste (Paramètres)",IF(N(O2361)&gt;25,"Au-delà de 25 lignes : non imprimée","OK")))))))))))))</f>
        <v/>
      </c>
      <c r="O2361" s="59" t="str">
        <f>IF(A2361="","",COUNTIF($A$6:A2361,A2361))</f>
        <v/>
      </c>
      <c r="P2361" s="62" t="str">
        <f>IF(A2361="","",A2361&amp;"|"&amp;O2361)</f>
        <v/>
      </c>
    </row>
    <row r="2362">
      <c r="A2362" s="60" t="n"/>
      <c r="B2362" s="63" t="n"/>
      <c r="C2362" s="63" t="n"/>
      <c r="D2362" s="67" t="n"/>
      <c r="E2362" s="68" t="n"/>
      <c r="F2362" s="69" t="n"/>
      <c r="G2362" s="70" t="n"/>
      <c r="H2362" s="62" t="str">
        <f>IF(COUNTA(A2362:G2362)=0,"",IF(C2362&lt;&gt;"",C2362,IF(B2362="","",IFERROR(INDEX(pr_des,MATCH(B2362,pr_code,0))&amp;"",""))))</f>
        <v/>
      </c>
      <c r="I2362" s="59" t="str">
        <f>IF(B2362="","",IFERROR(INDEX(pr_unit,MATCH(B2362,pr_code,0))&amp;"",""))</f>
        <v/>
      </c>
      <c r="J2362" s="65" t="str">
        <f>IF(COUNTA(A2362:G2362)=0,"",IF(E2362&lt;&gt;"",E2362,IF(B2362="","",IFERROR(IF(INDEX(pr_price,MATCH(B2362,pr_code,0))="","",INDEX(pr_price,MATCH(B2362,pr_code,0))),""))))</f>
        <v/>
      </c>
      <c r="K2362" s="71" t="str">
        <f>IF(COUNTA(A2362:G2362)=0,"",IF(G2362&lt;&gt;"",G2362,IF(B2362="","",IFERROR(IF(INDEX(pr_rate,MATCH(B2362,pr_code,0))="","",INDEX(pr_rate,MATCH(B2362,pr_code,0))),""))))</f>
        <v/>
      </c>
      <c r="L2362" s="65" t="str">
        <f>IF(COUNTA(A2362:G2362)=0,"",IF(AND(ISNUMBER(D2362),ISNUMBER(J2362)),ROUND(D2362*J2362*(1-N(F2362)),2),0))</f>
        <v/>
      </c>
      <c r="M2362" s="62" t="str">
        <f>IF(A2362="","",IFERROR(INDEX(fa_cname,MATCH(A2362,fa_num,0))&amp;"",""))</f>
        <v/>
      </c>
      <c r="N2362" s="59" t="str">
        <f>IF(COUNTA(A2362:G2362)=0,"",IF(A2362="","N° facture manquant",IF(ISNA(MATCH(A2362,fa_num,0)),"Facture inconnue",IF(AND(B2362&lt;&gt;"",ISNA(MATCH(B2362,pr_code,0))),"Article inconnu",IF(H2362="","Désignation manquante",IF(OR(NOT(ISNUMBER(D2362)),N(D2362)&lt;=0),"Quantité invalide",IF(J2362="","Prix manquant",IF(OR(NOT(ISNUMBER(J2362)),N(J2362)&lt;0),"Prix invalide",IF(OR(AND(F2362&lt;&gt;"",NOT(ISNUMBER(F2362))),N(F2362)&lt;0,N(F2362)&gt;1),"Remise invalide",IF(K2362="","Taux de TVA manquant",IF(NOT(ISNUMBER(K2362)),"Taux de TVA invalide",IF(COUNTIF(p_rates,K2362)=0,"Taux de TVA hors liste (Paramètres)",IF(N(O2362)&gt;25,"Au-delà de 25 lignes : non imprimée","OK")))))))))))))</f>
        <v/>
      </c>
      <c r="O2362" s="59" t="str">
        <f>IF(A2362="","",COUNTIF($A$6:A2362,A2362))</f>
        <v/>
      </c>
      <c r="P2362" s="62" t="str">
        <f>IF(A2362="","",A2362&amp;"|"&amp;O2362)</f>
        <v/>
      </c>
    </row>
    <row r="2363">
      <c r="A2363" s="60" t="n"/>
      <c r="B2363" s="63" t="n"/>
      <c r="C2363" s="63" t="n"/>
      <c r="D2363" s="67" t="n"/>
      <c r="E2363" s="68" t="n"/>
      <c r="F2363" s="69" t="n"/>
      <c r="G2363" s="70" t="n"/>
      <c r="H2363" s="62" t="str">
        <f>IF(COUNTA(A2363:G2363)=0,"",IF(C2363&lt;&gt;"",C2363,IF(B2363="","",IFERROR(INDEX(pr_des,MATCH(B2363,pr_code,0))&amp;"",""))))</f>
        <v/>
      </c>
      <c r="I2363" s="59" t="str">
        <f>IF(B2363="","",IFERROR(INDEX(pr_unit,MATCH(B2363,pr_code,0))&amp;"",""))</f>
        <v/>
      </c>
      <c r="J2363" s="65" t="str">
        <f>IF(COUNTA(A2363:G2363)=0,"",IF(E2363&lt;&gt;"",E2363,IF(B2363="","",IFERROR(IF(INDEX(pr_price,MATCH(B2363,pr_code,0))="","",INDEX(pr_price,MATCH(B2363,pr_code,0))),""))))</f>
        <v/>
      </c>
      <c r="K2363" s="71" t="str">
        <f>IF(COUNTA(A2363:G2363)=0,"",IF(G2363&lt;&gt;"",G2363,IF(B2363="","",IFERROR(IF(INDEX(pr_rate,MATCH(B2363,pr_code,0))="","",INDEX(pr_rate,MATCH(B2363,pr_code,0))),""))))</f>
        <v/>
      </c>
      <c r="L2363" s="65" t="str">
        <f>IF(COUNTA(A2363:G2363)=0,"",IF(AND(ISNUMBER(D2363),ISNUMBER(J2363)),ROUND(D2363*J2363*(1-N(F2363)),2),0))</f>
        <v/>
      </c>
      <c r="M2363" s="62" t="str">
        <f>IF(A2363="","",IFERROR(INDEX(fa_cname,MATCH(A2363,fa_num,0))&amp;"",""))</f>
        <v/>
      </c>
      <c r="N2363" s="59" t="str">
        <f>IF(COUNTA(A2363:G2363)=0,"",IF(A2363="","N° facture manquant",IF(ISNA(MATCH(A2363,fa_num,0)),"Facture inconnue",IF(AND(B2363&lt;&gt;"",ISNA(MATCH(B2363,pr_code,0))),"Article inconnu",IF(H2363="","Désignation manquante",IF(OR(NOT(ISNUMBER(D2363)),N(D2363)&lt;=0),"Quantité invalide",IF(J2363="","Prix manquant",IF(OR(NOT(ISNUMBER(J2363)),N(J2363)&lt;0),"Prix invalide",IF(OR(AND(F2363&lt;&gt;"",NOT(ISNUMBER(F2363))),N(F2363)&lt;0,N(F2363)&gt;1),"Remise invalide",IF(K2363="","Taux de TVA manquant",IF(NOT(ISNUMBER(K2363)),"Taux de TVA invalide",IF(COUNTIF(p_rates,K2363)=0,"Taux de TVA hors liste (Paramètres)",IF(N(O2363)&gt;25,"Au-delà de 25 lignes : non imprimée","OK")))))))))))))</f>
        <v/>
      </c>
      <c r="O2363" s="59" t="str">
        <f>IF(A2363="","",COUNTIF($A$6:A2363,A2363))</f>
        <v/>
      </c>
      <c r="P2363" s="62" t="str">
        <f>IF(A2363="","",A2363&amp;"|"&amp;O2363)</f>
        <v/>
      </c>
    </row>
    <row r="2364">
      <c r="A2364" s="60" t="n"/>
      <c r="B2364" s="63" t="n"/>
      <c r="C2364" s="63" t="n"/>
      <c r="D2364" s="67" t="n"/>
      <c r="E2364" s="68" t="n"/>
      <c r="F2364" s="69" t="n"/>
      <c r="G2364" s="70" t="n"/>
      <c r="H2364" s="62" t="str">
        <f>IF(COUNTA(A2364:G2364)=0,"",IF(C2364&lt;&gt;"",C2364,IF(B2364="","",IFERROR(INDEX(pr_des,MATCH(B2364,pr_code,0))&amp;"",""))))</f>
        <v/>
      </c>
      <c r="I2364" s="59" t="str">
        <f>IF(B2364="","",IFERROR(INDEX(pr_unit,MATCH(B2364,pr_code,0))&amp;"",""))</f>
        <v/>
      </c>
      <c r="J2364" s="65" t="str">
        <f>IF(COUNTA(A2364:G2364)=0,"",IF(E2364&lt;&gt;"",E2364,IF(B2364="","",IFERROR(IF(INDEX(pr_price,MATCH(B2364,pr_code,0))="","",INDEX(pr_price,MATCH(B2364,pr_code,0))),""))))</f>
        <v/>
      </c>
      <c r="K2364" s="71" t="str">
        <f>IF(COUNTA(A2364:G2364)=0,"",IF(G2364&lt;&gt;"",G2364,IF(B2364="","",IFERROR(IF(INDEX(pr_rate,MATCH(B2364,pr_code,0))="","",INDEX(pr_rate,MATCH(B2364,pr_code,0))),""))))</f>
        <v/>
      </c>
      <c r="L2364" s="65" t="str">
        <f>IF(COUNTA(A2364:G2364)=0,"",IF(AND(ISNUMBER(D2364),ISNUMBER(J2364)),ROUND(D2364*J2364*(1-N(F2364)),2),0))</f>
        <v/>
      </c>
      <c r="M2364" s="62" t="str">
        <f>IF(A2364="","",IFERROR(INDEX(fa_cname,MATCH(A2364,fa_num,0))&amp;"",""))</f>
        <v/>
      </c>
      <c r="N2364" s="59" t="str">
        <f>IF(COUNTA(A2364:G2364)=0,"",IF(A2364="","N° facture manquant",IF(ISNA(MATCH(A2364,fa_num,0)),"Facture inconnue",IF(AND(B2364&lt;&gt;"",ISNA(MATCH(B2364,pr_code,0))),"Article inconnu",IF(H2364="","Désignation manquante",IF(OR(NOT(ISNUMBER(D2364)),N(D2364)&lt;=0),"Quantité invalide",IF(J2364="","Prix manquant",IF(OR(NOT(ISNUMBER(J2364)),N(J2364)&lt;0),"Prix invalide",IF(OR(AND(F2364&lt;&gt;"",NOT(ISNUMBER(F2364))),N(F2364)&lt;0,N(F2364)&gt;1),"Remise invalide",IF(K2364="","Taux de TVA manquant",IF(NOT(ISNUMBER(K2364)),"Taux de TVA invalide",IF(COUNTIF(p_rates,K2364)=0,"Taux de TVA hors liste (Paramètres)",IF(N(O2364)&gt;25,"Au-delà de 25 lignes : non imprimée","OK")))))))))))))</f>
        <v/>
      </c>
      <c r="O2364" s="59" t="str">
        <f>IF(A2364="","",COUNTIF($A$6:A2364,A2364))</f>
        <v/>
      </c>
      <c r="P2364" s="62" t="str">
        <f>IF(A2364="","",A2364&amp;"|"&amp;O2364)</f>
        <v/>
      </c>
    </row>
    <row r="2365">
      <c r="A2365" s="60" t="n"/>
      <c r="B2365" s="63" t="n"/>
      <c r="C2365" s="63" t="n"/>
      <c r="D2365" s="67" t="n"/>
      <c r="E2365" s="68" t="n"/>
      <c r="F2365" s="69" t="n"/>
      <c r="G2365" s="70" t="n"/>
      <c r="H2365" s="62" t="str">
        <f>IF(COUNTA(A2365:G2365)=0,"",IF(C2365&lt;&gt;"",C2365,IF(B2365="","",IFERROR(INDEX(pr_des,MATCH(B2365,pr_code,0))&amp;"",""))))</f>
        <v/>
      </c>
      <c r="I2365" s="59" t="str">
        <f>IF(B2365="","",IFERROR(INDEX(pr_unit,MATCH(B2365,pr_code,0))&amp;"",""))</f>
        <v/>
      </c>
      <c r="J2365" s="65" t="str">
        <f>IF(COUNTA(A2365:G2365)=0,"",IF(E2365&lt;&gt;"",E2365,IF(B2365="","",IFERROR(IF(INDEX(pr_price,MATCH(B2365,pr_code,0))="","",INDEX(pr_price,MATCH(B2365,pr_code,0))),""))))</f>
        <v/>
      </c>
      <c r="K2365" s="71" t="str">
        <f>IF(COUNTA(A2365:G2365)=0,"",IF(G2365&lt;&gt;"",G2365,IF(B2365="","",IFERROR(IF(INDEX(pr_rate,MATCH(B2365,pr_code,0))="","",INDEX(pr_rate,MATCH(B2365,pr_code,0))),""))))</f>
        <v/>
      </c>
      <c r="L2365" s="65" t="str">
        <f>IF(COUNTA(A2365:G2365)=0,"",IF(AND(ISNUMBER(D2365),ISNUMBER(J2365)),ROUND(D2365*J2365*(1-N(F2365)),2),0))</f>
        <v/>
      </c>
      <c r="M2365" s="62" t="str">
        <f>IF(A2365="","",IFERROR(INDEX(fa_cname,MATCH(A2365,fa_num,0))&amp;"",""))</f>
        <v/>
      </c>
      <c r="N2365" s="59" t="str">
        <f>IF(COUNTA(A2365:G2365)=0,"",IF(A2365="","N° facture manquant",IF(ISNA(MATCH(A2365,fa_num,0)),"Facture inconnue",IF(AND(B2365&lt;&gt;"",ISNA(MATCH(B2365,pr_code,0))),"Article inconnu",IF(H2365="","Désignation manquante",IF(OR(NOT(ISNUMBER(D2365)),N(D2365)&lt;=0),"Quantité invalide",IF(J2365="","Prix manquant",IF(OR(NOT(ISNUMBER(J2365)),N(J2365)&lt;0),"Prix invalide",IF(OR(AND(F2365&lt;&gt;"",NOT(ISNUMBER(F2365))),N(F2365)&lt;0,N(F2365)&gt;1),"Remise invalide",IF(K2365="","Taux de TVA manquant",IF(NOT(ISNUMBER(K2365)),"Taux de TVA invalide",IF(COUNTIF(p_rates,K2365)=0,"Taux de TVA hors liste (Paramètres)",IF(N(O2365)&gt;25,"Au-delà de 25 lignes : non imprimée","OK")))))))))))))</f>
        <v/>
      </c>
      <c r="O2365" s="59" t="str">
        <f>IF(A2365="","",COUNTIF($A$6:A2365,A2365))</f>
        <v/>
      </c>
      <c r="P2365" s="62" t="str">
        <f>IF(A2365="","",A2365&amp;"|"&amp;O2365)</f>
        <v/>
      </c>
    </row>
    <row r="2366">
      <c r="A2366" s="60" t="n"/>
      <c r="B2366" s="63" t="n"/>
      <c r="C2366" s="63" t="n"/>
      <c r="D2366" s="67" t="n"/>
      <c r="E2366" s="68" t="n"/>
      <c r="F2366" s="69" t="n"/>
      <c r="G2366" s="70" t="n"/>
      <c r="H2366" s="62" t="str">
        <f>IF(COUNTA(A2366:G2366)=0,"",IF(C2366&lt;&gt;"",C2366,IF(B2366="","",IFERROR(INDEX(pr_des,MATCH(B2366,pr_code,0))&amp;"",""))))</f>
        <v/>
      </c>
      <c r="I2366" s="59" t="str">
        <f>IF(B2366="","",IFERROR(INDEX(pr_unit,MATCH(B2366,pr_code,0))&amp;"",""))</f>
        <v/>
      </c>
      <c r="J2366" s="65" t="str">
        <f>IF(COUNTA(A2366:G2366)=0,"",IF(E2366&lt;&gt;"",E2366,IF(B2366="","",IFERROR(IF(INDEX(pr_price,MATCH(B2366,pr_code,0))="","",INDEX(pr_price,MATCH(B2366,pr_code,0))),""))))</f>
        <v/>
      </c>
      <c r="K2366" s="71" t="str">
        <f>IF(COUNTA(A2366:G2366)=0,"",IF(G2366&lt;&gt;"",G2366,IF(B2366="","",IFERROR(IF(INDEX(pr_rate,MATCH(B2366,pr_code,0))="","",INDEX(pr_rate,MATCH(B2366,pr_code,0))),""))))</f>
        <v/>
      </c>
      <c r="L2366" s="65" t="str">
        <f>IF(COUNTA(A2366:G2366)=0,"",IF(AND(ISNUMBER(D2366),ISNUMBER(J2366)),ROUND(D2366*J2366*(1-N(F2366)),2),0))</f>
        <v/>
      </c>
      <c r="M2366" s="62" t="str">
        <f>IF(A2366="","",IFERROR(INDEX(fa_cname,MATCH(A2366,fa_num,0))&amp;"",""))</f>
        <v/>
      </c>
      <c r="N2366" s="59" t="str">
        <f>IF(COUNTA(A2366:G2366)=0,"",IF(A2366="","N° facture manquant",IF(ISNA(MATCH(A2366,fa_num,0)),"Facture inconnue",IF(AND(B2366&lt;&gt;"",ISNA(MATCH(B2366,pr_code,0))),"Article inconnu",IF(H2366="","Désignation manquante",IF(OR(NOT(ISNUMBER(D2366)),N(D2366)&lt;=0),"Quantité invalide",IF(J2366="","Prix manquant",IF(OR(NOT(ISNUMBER(J2366)),N(J2366)&lt;0),"Prix invalide",IF(OR(AND(F2366&lt;&gt;"",NOT(ISNUMBER(F2366))),N(F2366)&lt;0,N(F2366)&gt;1),"Remise invalide",IF(K2366="","Taux de TVA manquant",IF(NOT(ISNUMBER(K2366)),"Taux de TVA invalide",IF(COUNTIF(p_rates,K2366)=0,"Taux de TVA hors liste (Paramètres)",IF(N(O2366)&gt;25,"Au-delà de 25 lignes : non imprimée","OK")))))))))))))</f>
        <v/>
      </c>
      <c r="O2366" s="59" t="str">
        <f>IF(A2366="","",COUNTIF($A$6:A2366,A2366))</f>
        <v/>
      </c>
      <c r="P2366" s="62" t="str">
        <f>IF(A2366="","",A2366&amp;"|"&amp;O2366)</f>
        <v/>
      </c>
    </row>
    <row r="2367">
      <c r="A2367" s="60" t="n"/>
      <c r="B2367" s="63" t="n"/>
      <c r="C2367" s="63" t="n"/>
      <c r="D2367" s="67" t="n"/>
      <c r="E2367" s="68" t="n"/>
      <c r="F2367" s="69" t="n"/>
      <c r="G2367" s="70" t="n"/>
      <c r="H2367" s="62" t="str">
        <f>IF(COUNTA(A2367:G2367)=0,"",IF(C2367&lt;&gt;"",C2367,IF(B2367="","",IFERROR(INDEX(pr_des,MATCH(B2367,pr_code,0))&amp;"",""))))</f>
        <v/>
      </c>
      <c r="I2367" s="59" t="str">
        <f>IF(B2367="","",IFERROR(INDEX(pr_unit,MATCH(B2367,pr_code,0))&amp;"",""))</f>
        <v/>
      </c>
      <c r="J2367" s="65" t="str">
        <f>IF(COUNTA(A2367:G2367)=0,"",IF(E2367&lt;&gt;"",E2367,IF(B2367="","",IFERROR(IF(INDEX(pr_price,MATCH(B2367,pr_code,0))="","",INDEX(pr_price,MATCH(B2367,pr_code,0))),""))))</f>
        <v/>
      </c>
      <c r="K2367" s="71" t="str">
        <f>IF(COUNTA(A2367:G2367)=0,"",IF(G2367&lt;&gt;"",G2367,IF(B2367="","",IFERROR(IF(INDEX(pr_rate,MATCH(B2367,pr_code,0))="","",INDEX(pr_rate,MATCH(B2367,pr_code,0))),""))))</f>
        <v/>
      </c>
      <c r="L2367" s="65" t="str">
        <f>IF(COUNTA(A2367:G2367)=0,"",IF(AND(ISNUMBER(D2367),ISNUMBER(J2367)),ROUND(D2367*J2367*(1-N(F2367)),2),0))</f>
        <v/>
      </c>
      <c r="M2367" s="62" t="str">
        <f>IF(A2367="","",IFERROR(INDEX(fa_cname,MATCH(A2367,fa_num,0))&amp;"",""))</f>
        <v/>
      </c>
      <c r="N2367" s="59" t="str">
        <f>IF(COUNTA(A2367:G2367)=0,"",IF(A2367="","N° facture manquant",IF(ISNA(MATCH(A2367,fa_num,0)),"Facture inconnue",IF(AND(B2367&lt;&gt;"",ISNA(MATCH(B2367,pr_code,0))),"Article inconnu",IF(H2367="","Désignation manquante",IF(OR(NOT(ISNUMBER(D2367)),N(D2367)&lt;=0),"Quantité invalide",IF(J2367="","Prix manquant",IF(OR(NOT(ISNUMBER(J2367)),N(J2367)&lt;0),"Prix invalide",IF(OR(AND(F2367&lt;&gt;"",NOT(ISNUMBER(F2367))),N(F2367)&lt;0,N(F2367)&gt;1),"Remise invalide",IF(K2367="","Taux de TVA manquant",IF(NOT(ISNUMBER(K2367)),"Taux de TVA invalide",IF(COUNTIF(p_rates,K2367)=0,"Taux de TVA hors liste (Paramètres)",IF(N(O2367)&gt;25,"Au-delà de 25 lignes : non imprimée","OK")))))))))))))</f>
        <v/>
      </c>
      <c r="O2367" s="59" t="str">
        <f>IF(A2367="","",COUNTIF($A$6:A2367,A2367))</f>
        <v/>
      </c>
      <c r="P2367" s="62" t="str">
        <f>IF(A2367="","",A2367&amp;"|"&amp;O2367)</f>
        <v/>
      </c>
    </row>
    <row r="2368">
      <c r="A2368" s="60" t="n"/>
      <c r="B2368" s="63" t="n"/>
      <c r="C2368" s="63" t="n"/>
      <c r="D2368" s="67" t="n"/>
      <c r="E2368" s="68" t="n"/>
      <c r="F2368" s="69" t="n"/>
      <c r="G2368" s="70" t="n"/>
      <c r="H2368" s="62" t="str">
        <f>IF(COUNTA(A2368:G2368)=0,"",IF(C2368&lt;&gt;"",C2368,IF(B2368="","",IFERROR(INDEX(pr_des,MATCH(B2368,pr_code,0))&amp;"",""))))</f>
        <v/>
      </c>
      <c r="I2368" s="59" t="str">
        <f>IF(B2368="","",IFERROR(INDEX(pr_unit,MATCH(B2368,pr_code,0))&amp;"",""))</f>
        <v/>
      </c>
      <c r="J2368" s="65" t="str">
        <f>IF(COUNTA(A2368:G2368)=0,"",IF(E2368&lt;&gt;"",E2368,IF(B2368="","",IFERROR(IF(INDEX(pr_price,MATCH(B2368,pr_code,0))="","",INDEX(pr_price,MATCH(B2368,pr_code,0))),""))))</f>
        <v/>
      </c>
      <c r="K2368" s="71" t="str">
        <f>IF(COUNTA(A2368:G2368)=0,"",IF(G2368&lt;&gt;"",G2368,IF(B2368="","",IFERROR(IF(INDEX(pr_rate,MATCH(B2368,pr_code,0))="","",INDEX(pr_rate,MATCH(B2368,pr_code,0))),""))))</f>
        <v/>
      </c>
      <c r="L2368" s="65" t="str">
        <f>IF(COUNTA(A2368:G2368)=0,"",IF(AND(ISNUMBER(D2368),ISNUMBER(J2368)),ROUND(D2368*J2368*(1-N(F2368)),2),0))</f>
        <v/>
      </c>
      <c r="M2368" s="62" t="str">
        <f>IF(A2368="","",IFERROR(INDEX(fa_cname,MATCH(A2368,fa_num,0))&amp;"",""))</f>
        <v/>
      </c>
      <c r="N2368" s="59" t="str">
        <f>IF(COUNTA(A2368:G2368)=0,"",IF(A2368="","N° facture manquant",IF(ISNA(MATCH(A2368,fa_num,0)),"Facture inconnue",IF(AND(B2368&lt;&gt;"",ISNA(MATCH(B2368,pr_code,0))),"Article inconnu",IF(H2368="","Désignation manquante",IF(OR(NOT(ISNUMBER(D2368)),N(D2368)&lt;=0),"Quantité invalide",IF(J2368="","Prix manquant",IF(OR(NOT(ISNUMBER(J2368)),N(J2368)&lt;0),"Prix invalide",IF(OR(AND(F2368&lt;&gt;"",NOT(ISNUMBER(F2368))),N(F2368)&lt;0,N(F2368)&gt;1),"Remise invalide",IF(K2368="","Taux de TVA manquant",IF(NOT(ISNUMBER(K2368)),"Taux de TVA invalide",IF(COUNTIF(p_rates,K2368)=0,"Taux de TVA hors liste (Paramètres)",IF(N(O2368)&gt;25,"Au-delà de 25 lignes : non imprimée","OK")))))))))))))</f>
        <v/>
      </c>
      <c r="O2368" s="59" t="str">
        <f>IF(A2368="","",COUNTIF($A$6:A2368,A2368))</f>
        <v/>
      </c>
      <c r="P2368" s="62" t="str">
        <f>IF(A2368="","",A2368&amp;"|"&amp;O2368)</f>
        <v/>
      </c>
    </row>
    <row r="2369">
      <c r="A2369" s="60" t="n"/>
      <c r="B2369" s="63" t="n"/>
      <c r="C2369" s="63" t="n"/>
      <c r="D2369" s="67" t="n"/>
      <c r="E2369" s="68" t="n"/>
      <c r="F2369" s="69" t="n"/>
      <c r="G2369" s="70" t="n"/>
      <c r="H2369" s="62" t="str">
        <f>IF(COUNTA(A2369:G2369)=0,"",IF(C2369&lt;&gt;"",C2369,IF(B2369="","",IFERROR(INDEX(pr_des,MATCH(B2369,pr_code,0))&amp;"",""))))</f>
        <v/>
      </c>
      <c r="I2369" s="59" t="str">
        <f>IF(B2369="","",IFERROR(INDEX(pr_unit,MATCH(B2369,pr_code,0))&amp;"",""))</f>
        <v/>
      </c>
      <c r="J2369" s="65" t="str">
        <f>IF(COUNTA(A2369:G2369)=0,"",IF(E2369&lt;&gt;"",E2369,IF(B2369="","",IFERROR(IF(INDEX(pr_price,MATCH(B2369,pr_code,0))="","",INDEX(pr_price,MATCH(B2369,pr_code,0))),""))))</f>
        <v/>
      </c>
      <c r="K2369" s="71" t="str">
        <f>IF(COUNTA(A2369:G2369)=0,"",IF(G2369&lt;&gt;"",G2369,IF(B2369="","",IFERROR(IF(INDEX(pr_rate,MATCH(B2369,pr_code,0))="","",INDEX(pr_rate,MATCH(B2369,pr_code,0))),""))))</f>
        <v/>
      </c>
      <c r="L2369" s="65" t="str">
        <f>IF(COUNTA(A2369:G2369)=0,"",IF(AND(ISNUMBER(D2369),ISNUMBER(J2369)),ROUND(D2369*J2369*(1-N(F2369)),2),0))</f>
        <v/>
      </c>
      <c r="M2369" s="62" t="str">
        <f>IF(A2369="","",IFERROR(INDEX(fa_cname,MATCH(A2369,fa_num,0))&amp;"",""))</f>
        <v/>
      </c>
      <c r="N2369" s="59" t="str">
        <f>IF(COUNTA(A2369:G2369)=0,"",IF(A2369="","N° facture manquant",IF(ISNA(MATCH(A2369,fa_num,0)),"Facture inconnue",IF(AND(B2369&lt;&gt;"",ISNA(MATCH(B2369,pr_code,0))),"Article inconnu",IF(H2369="","Désignation manquante",IF(OR(NOT(ISNUMBER(D2369)),N(D2369)&lt;=0),"Quantité invalide",IF(J2369="","Prix manquant",IF(OR(NOT(ISNUMBER(J2369)),N(J2369)&lt;0),"Prix invalide",IF(OR(AND(F2369&lt;&gt;"",NOT(ISNUMBER(F2369))),N(F2369)&lt;0,N(F2369)&gt;1),"Remise invalide",IF(K2369="","Taux de TVA manquant",IF(NOT(ISNUMBER(K2369)),"Taux de TVA invalide",IF(COUNTIF(p_rates,K2369)=0,"Taux de TVA hors liste (Paramètres)",IF(N(O2369)&gt;25,"Au-delà de 25 lignes : non imprimée","OK")))))))))))))</f>
        <v/>
      </c>
      <c r="O2369" s="59" t="str">
        <f>IF(A2369="","",COUNTIF($A$6:A2369,A2369))</f>
        <v/>
      </c>
      <c r="P2369" s="62" t="str">
        <f>IF(A2369="","",A2369&amp;"|"&amp;O2369)</f>
        <v/>
      </c>
    </row>
    <row r="2370">
      <c r="A2370" s="60" t="n"/>
      <c r="B2370" s="63" t="n"/>
      <c r="C2370" s="63" t="n"/>
      <c r="D2370" s="67" t="n"/>
      <c r="E2370" s="68" t="n"/>
      <c r="F2370" s="69" t="n"/>
      <c r="G2370" s="70" t="n"/>
      <c r="H2370" s="62" t="str">
        <f>IF(COUNTA(A2370:G2370)=0,"",IF(C2370&lt;&gt;"",C2370,IF(B2370="","",IFERROR(INDEX(pr_des,MATCH(B2370,pr_code,0))&amp;"",""))))</f>
        <v/>
      </c>
      <c r="I2370" s="59" t="str">
        <f>IF(B2370="","",IFERROR(INDEX(pr_unit,MATCH(B2370,pr_code,0))&amp;"",""))</f>
        <v/>
      </c>
      <c r="J2370" s="65" t="str">
        <f>IF(COUNTA(A2370:G2370)=0,"",IF(E2370&lt;&gt;"",E2370,IF(B2370="","",IFERROR(IF(INDEX(pr_price,MATCH(B2370,pr_code,0))="","",INDEX(pr_price,MATCH(B2370,pr_code,0))),""))))</f>
        <v/>
      </c>
      <c r="K2370" s="71" t="str">
        <f>IF(COUNTA(A2370:G2370)=0,"",IF(G2370&lt;&gt;"",G2370,IF(B2370="","",IFERROR(IF(INDEX(pr_rate,MATCH(B2370,pr_code,0))="","",INDEX(pr_rate,MATCH(B2370,pr_code,0))),""))))</f>
        <v/>
      </c>
      <c r="L2370" s="65" t="str">
        <f>IF(COUNTA(A2370:G2370)=0,"",IF(AND(ISNUMBER(D2370),ISNUMBER(J2370)),ROUND(D2370*J2370*(1-N(F2370)),2),0))</f>
        <v/>
      </c>
      <c r="M2370" s="62" t="str">
        <f>IF(A2370="","",IFERROR(INDEX(fa_cname,MATCH(A2370,fa_num,0))&amp;"",""))</f>
        <v/>
      </c>
      <c r="N2370" s="59" t="str">
        <f>IF(COUNTA(A2370:G2370)=0,"",IF(A2370="","N° facture manquant",IF(ISNA(MATCH(A2370,fa_num,0)),"Facture inconnue",IF(AND(B2370&lt;&gt;"",ISNA(MATCH(B2370,pr_code,0))),"Article inconnu",IF(H2370="","Désignation manquante",IF(OR(NOT(ISNUMBER(D2370)),N(D2370)&lt;=0),"Quantité invalide",IF(J2370="","Prix manquant",IF(OR(NOT(ISNUMBER(J2370)),N(J2370)&lt;0),"Prix invalide",IF(OR(AND(F2370&lt;&gt;"",NOT(ISNUMBER(F2370))),N(F2370)&lt;0,N(F2370)&gt;1),"Remise invalide",IF(K2370="","Taux de TVA manquant",IF(NOT(ISNUMBER(K2370)),"Taux de TVA invalide",IF(COUNTIF(p_rates,K2370)=0,"Taux de TVA hors liste (Paramètres)",IF(N(O2370)&gt;25,"Au-delà de 25 lignes : non imprimée","OK")))))))))))))</f>
        <v/>
      </c>
      <c r="O2370" s="59" t="str">
        <f>IF(A2370="","",COUNTIF($A$6:A2370,A2370))</f>
        <v/>
      </c>
      <c r="P2370" s="62" t="str">
        <f>IF(A2370="","",A2370&amp;"|"&amp;O2370)</f>
        <v/>
      </c>
    </row>
    <row r="2371">
      <c r="A2371" s="60" t="n"/>
      <c r="B2371" s="63" t="n"/>
      <c r="C2371" s="63" t="n"/>
      <c r="D2371" s="67" t="n"/>
      <c r="E2371" s="68" t="n"/>
      <c r="F2371" s="69" t="n"/>
      <c r="G2371" s="70" t="n"/>
      <c r="H2371" s="62" t="str">
        <f>IF(COUNTA(A2371:G2371)=0,"",IF(C2371&lt;&gt;"",C2371,IF(B2371="","",IFERROR(INDEX(pr_des,MATCH(B2371,pr_code,0))&amp;"",""))))</f>
        <v/>
      </c>
      <c r="I2371" s="59" t="str">
        <f>IF(B2371="","",IFERROR(INDEX(pr_unit,MATCH(B2371,pr_code,0))&amp;"",""))</f>
        <v/>
      </c>
      <c r="J2371" s="65" t="str">
        <f>IF(COUNTA(A2371:G2371)=0,"",IF(E2371&lt;&gt;"",E2371,IF(B2371="","",IFERROR(IF(INDEX(pr_price,MATCH(B2371,pr_code,0))="","",INDEX(pr_price,MATCH(B2371,pr_code,0))),""))))</f>
        <v/>
      </c>
      <c r="K2371" s="71" t="str">
        <f>IF(COUNTA(A2371:G2371)=0,"",IF(G2371&lt;&gt;"",G2371,IF(B2371="","",IFERROR(IF(INDEX(pr_rate,MATCH(B2371,pr_code,0))="","",INDEX(pr_rate,MATCH(B2371,pr_code,0))),""))))</f>
        <v/>
      </c>
      <c r="L2371" s="65" t="str">
        <f>IF(COUNTA(A2371:G2371)=0,"",IF(AND(ISNUMBER(D2371),ISNUMBER(J2371)),ROUND(D2371*J2371*(1-N(F2371)),2),0))</f>
        <v/>
      </c>
      <c r="M2371" s="62" t="str">
        <f>IF(A2371="","",IFERROR(INDEX(fa_cname,MATCH(A2371,fa_num,0))&amp;"",""))</f>
        <v/>
      </c>
      <c r="N2371" s="59" t="str">
        <f>IF(COUNTA(A2371:G2371)=0,"",IF(A2371="","N° facture manquant",IF(ISNA(MATCH(A2371,fa_num,0)),"Facture inconnue",IF(AND(B2371&lt;&gt;"",ISNA(MATCH(B2371,pr_code,0))),"Article inconnu",IF(H2371="","Désignation manquante",IF(OR(NOT(ISNUMBER(D2371)),N(D2371)&lt;=0),"Quantité invalide",IF(J2371="","Prix manquant",IF(OR(NOT(ISNUMBER(J2371)),N(J2371)&lt;0),"Prix invalide",IF(OR(AND(F2371&lt;&gt;"",NOT(ISNUMBER(F2371))),N(F2371)&lt;0,N(F2371)&gt;1),"Remise invalide",IF(K2371="","Taux de TVA manquant",IF(NOT(ISNUMBER(K2371)),"Taux de TVA invalide",IF(COUNTIF(p_rates,K2371)=0,"Taux de TVA hors liste (Paramètres)",IF(N(O2371)&gt;25,"Au-delà de 25 lignes : non imprimée","OK")))))))))))))</f>
        <v/>
      </c>
      <c r="O2371" s="59" t="str">
        <f>IF(A2371="","",COUNTIF($A$6:A2371,A2371))</f>
        <v/>
      </c>
      <c r="P2371" s="62" t="str">
        <f>IF(A2371="","",A2371&amp;"|"&amp;O2371)</f>
        <v/>
      </c>
    </row>
    <row r="2372">
      <c r="A2372" s="60" t="n"/>
      <c r="B2372" s="63" t="n"/>
      <c r="C2372" s="63" t="n"/>
      <c r="D2372" s="67" t="n"/>
      <c r="E2372" s="68" t="n"/>
      <c r="F2372" s="69" t="n"/>
      <c r="G2372" s="70" t="n"/>
      <c r="H2372" s="62" t="str">
        <f>IF(COUNTA(A2372:G2372)=0,"",IF(C2372&lt;&gt;"",C2372,IF(B2372="","",IFERROR(INDEX(pr_des,MATCH(B2372,pr_code,0))&amp;"",""))))</f>
        <v/>
      </c>
      <c r="I2372" s="59" t="str">
        <f>IF(B2372="","",IFERROR(INDEX(pr_unit,MATCH(B2372,pr_code,0))&amp;"",""))</f>
        <v/>
      </c>
      <c r="J2372" s="65" t="str">
        <f>IF(COUNTA(A2372:G2372)=0,"",IF(E2372&lt;&gt;"",E2372,IF(B2372="","",IFERROR(IF(INDEX(pr_price,MATCH(B2372,pr_code,0))="","",INDEX(pr_price,MATCH(B2372,pr_code,0))),""))))</f>
        <v/>
      </c>
      <c r="K2372" s="71" t="str">
        <f>IF(COUNTA(A2372:G2372)=0,"",IF(G2372&lt;&gt;"",G2372,IF(B2372="","",IFERROR(IF(INDEX(pr_rate,MATCH(B2372,pr_code,0))="","",INDEX(pr_rate,MATCH(B2372,pr_code,0))),""))))</f>
        <v/>
      </c>
      <c r="L2372" s="65" t="str">
        <f>IF(COUNTA(A2372:G2372)=0,"",IF(AND(ISNUMBER(D2372),ISNUMBER(J2372)),ROUND(D2372*J2372*(1-N(F2372)),2),0))</f>
        <v/>
      </c>
      <c r="M2372" s="62" t="str">
        <f>IF(A2372="","",IFERROR(INDEX(fa_cname,MATCH(A2372,fa_num,0))&amp;"",""))</f>
        <v/>
      </c>
      <c r="N2372" s="59" t="str">
        <f>IF(COUNTA(A2372:G2372)=0,"",IF(A2372="","N° facture manquant",IF(ISNA(MATCH(A2372,fa_num,0)),"Facture inconnue",IF(AND(B2372&lt;&gt;"",ISNA(MATCH(B2372,pr_code,0))),"Article inconnu",IF(H2372="","Désignation manquante",IF(OR(NOT(ISNUMBER(D2372)),N(D2372)&lt;=0),"Quantité invalide",IF(J2372="","Prix manquant",IF(OR(NOT(ISNUMBER(J2372)),N(J2372)&lt;0),"Prix invalide",IF(OR(AND(F2372&lt;&gt;"",NOT(ISNUMBER(F2372))),N(F2372)&lt;0,N(F2372)&gt;1),"Remise invalide",IF(K2372="","Taux de TVA manquant",IF(NOT(ISNUMBER(K2372)),"Taux de TVA invalide",IF(COUNTIF(p_rates,K2372)=0,"Taux de TVA hors liste (Paramètres)",IF(N(O2372)&gt;25,"Au-delà de 25 lignes : non imprimée","OK")))))))))))))</f>
        <v/>
      </c>
      <c r="O2372" s="59" t="str">
        <f>IF(A2372="","",COUNTIF($A$6:A2372,A2372))</f>
        <v/>
      </c>
      <c r="P2372" s="62" t="str">
        <f>IF(A2372="","",A2372&amp;"|"&amp;O2372)</f>
        <v/>
      </c>
    </row>
    <row r="2373">
      <c r="A2373" s="60" t="n"/>
      <c r="B2373" s="63" t="n"/>
      <c r="C2373" s="63" t="n"/>
      <c r="D2373" s="67" t="n"/>
      <c r="E2373" s="68" t="n"/>
      <c r="F2373" s="69" t="n"/>
      <c r="G2373" s="70" t="n"/>
      <c r="H2373" s="62" t="str">
        <f>IF(COUNTA(A2373:G2373)=0,"",IF(C2373&lt;&gt;"",C2373,IF(B2373="","",IFERROR(INDEX(pr_des,MATCH(B2373,pr_code,0))&amp;"",""))))</f>
        <v/>
      </c>
      <c r="I2373" s="59" t="str">
        <f>IF(B2373="","",IFERROR(INDEX(pr_unit,MATCH(B2373,pr_code,0))&amp;"",""))</f>
        <v/>
      </c>
      <c r="J2373" s="65" t="str">
        <f>IF(COUNTA(A2373:G2373)=0,"",IF(E2373&lt;&gt;"",E2373,IF(B2373="","",IFERROR(IF(INDEX(pr_price,MATCH(B2373,pr_code,0))="","",INDEX(pr_price,MATCH(B2373,pr_code,0))),""))))</f>
        <v/>
      </c>
      <c r="K2373" s="71" t="str">
        <f>IF(COUNTA(A2373:G2373)=0,"",IF(G2373&lt;&gt;"",G2373,IF(B2373="","",IFERROR(IF(INDEX(pr_rate,MATCH(B2373,pr_code,0))="","",INDEX(pr_rate,MATCH(B2373,pr_code,0))),""))))</f>
        <v/>
      </c>
      <c r="L2373" s="65" t="str">
        <f>IF(COUNTA(A2373:G2373)=0,"",IF(AND(ISNUMBER(D2373),ISNUMBER(J2373)),ROUND(D2373*J2373*(1-N(F2373)),2),0))</f>
        <v/>
      </c>
      <c r="M2373" s="62" t="str">
        <f>IF(A2373="","",IFERROR(INDEX(fa_cname,MATCH(A2373,fa_num,0))&amp;"",""))</f>
        <v/>
      </c>
      <c r="N2373" s="59" t="str">
        <f>IF(COUNTA(A2373:G2373)=0,"",IF(A2373="","N° facture manquant",IF(ISNA(MATCH(A2373,fa_num,0)),"Facture inconnue",IF(AND(B2373&lt;&gt;"",ISNA(MATCH(B2373,pr_code,0))),"Article inconnu",IF(H2373="","Désignation manquante",IF(OR(NOT(ISNUMBER(D2373)),N(D2373)&lt;=0),"Quantité invalide",IF(J2373="","Prix manquant",IF(OR(NOT(ISNUMBER(J2373)),N(J2373)&lt;0),"Prix invalide",IF(OR(AND(F2373&lt;&gt;"",NOT(ISNUMBER(F2373))),N(F2373)&lt;0,N(F2373)&gt;1),"Remise invalide",IF(K2373="","Taux de TVA manquant",IF(NOT(ISNUMBER(K2373)),"Taux de TVA invalide",IF(COUNTIF(p_rates,K2373)=0,"Taux de TVA hors liste (Paramètres)",IF(N(O2373)&gt;25,"Au-delà de 25 lignes : non imprimée","OK")))))))))))))</f>
        <v/>
      </c>
      <c r="O2373" s="59" t="str">
        <f>IF(A2373="","",COUNTIF($A$6:A2373,A2373))</f>
        <v/>
      </c>
      <c r="P2373" s="62" t="str">
        <f>IF(A2373="","",A2373&amp;"|"&amp;O2373)</f>
        <v/>
      </c>
    </row>
    <row r="2374">
      <c r="A2374" s="60" t="n"/>
      <c r="B2374" s="63" t="n"/>
      <c r="C2374" s="63" t="n"/>
      <c r="D2374" s="67" t="n"/>
      <c r="E2374" s="68" t="n"/>
      <c r="F2374" s="69" t="n"/>
      <c r="G2374" s="70" t="n"/>
      <c r="H2374" s="62" t="str">
        <f>IF(COUNTA(A2374:G2374)=0,"",IF(C2374&lt;&gt;"",C2374,IF(B2374="","",IFERROR(INDEX(pr_des,MATCH(B2374,pr_code,0))&amp;"",""))))</f>
        <v/>
      </c>
      <c r="I2374" s="59" t="str">
        <f>IF(B2374="","",IFERROR(INDEX(pr_unit,MATCH(B2374,pr_code,0))&amp;"",""))</f>
        <v/>
      </c>
      <c r="J2374" s="65" t="str">
        <f>IF(COUNTA(A2374:G2374)=0,"",IF(E2374&lt;&gt;"",E2374,IF(B2374="","",IFERROR(IF(INDEX(pr_price,MATCH(B2374,pr_code,0))="","",INDEX(pr_price,MATCH(B2374,pr_code,0))),""))))</f>
        <v/>
      </c>
      <c r="K2374" s="71" t="str">
        <f>IF(COUNTA(A2374:G2374)=0,"",IF(G2374&lt;&gt;"",G2374,IF(B2374="","",IFERROR(IF(INDEX(pr_rate,MATCH(B2374,pr_code,0))="","",INDEX(pr_rate,MATCH(B2374,pr_code,0))),""))))</f>
        <v/>
      </c>
      <c r="L2374" s="65" t="str">
        <f>IF(COUNTA(A2374:G2374)=0,"",IF(AND(ISNUMBER(D2374),ISNUMBER(J2374)),ROUND(D2374*J2374*(1-N(F2374)),2),0))</f>
        <v/>
      </c>
      <c r="M2374" s="62" t="str">
        <f>IF(A2374="","",IFERROR(INDEX(fa_cname,MATCH(A2374,fa_num,0))&amp;"",""))</f>
        <v/>
      </c>
      <c r="N2374" s="59" t="str">
        <f>IF(COUNTA(A2374:G2374)=0,"",IF(A2374="","N° facture manquant",IF(ISNA(MATCH(A2374,fa_num,0)),"Facture inconnue",IF(AND(B2374&lt;&gt;"",ISNA(MATCH(B2374,pr_code,0))),"Article inconnu",IF(H2374="","Désignation manquante",IF(OR(NOT(ISNUMBER(D2374)),N(D2374)&lt;=0),"Quantité invalide",IF(J2374="","Prix manquant",IF(OR(NOT(ISNUMBER(J2374)),N(J2374)&lt;0),"Prix invalide",IF(OR(AND(F2374&lt;&gt;"",NOT(ISNUMBER(F2374))),N(F2374)&lt;0,N(F2374)&gt;1),"Remise invalide",IF(K2374="","Taux de TVA manquant",IF(NOT(ISNUMBER(K2374)),"Taux de TVA invalide",IF(COUNTIF(p_rates,K2374)=0,"Taux de TVA hors liste (Paramètres)",IF(N(O2374)&gt;25,"Au-delà de 25 lignes : non imprimée","OK")))))))))))))</f>
        <v/>
      </c>
      <c r="O2374" s="59" t="str">
        <f>IF(A2374="","",COUNTIF($A$6:A2374,A2374))</f>
        <v/>
      </c>
      <c r="P2374" s="62" t="str">
        <f>IF(A2374="","",A2374&amp;"|"&amp;O2374)</f>
        <v/>
      </c>
    </row>
    <row r="2375">
      <c r="A2375" s="60" t="n"/>
      <c r="B2375" s="63" t="n"/>
      <c r="C2375" s="63" t="n"/>
      <c r="D2375" s="67" t="n"/>
      <c r="E2375" s="68" t="n"/>
      <c r="F2375" s="69" t="n"/>
      <c r="G2375" s="70" t="n"/>
      <c r="H2375" s="62" t="str">
        <f>IF(COUNTA(A2375:G2375)=0,"",IF(C2375&lt;&gt;"",C2375,IF(B2375="","",IFERROR(INDEX(pr_des,MATCH(B2375,pr_code,0))&amp;"",""))))</f>
        <v/>
      </c>
      <c r="I2375" s="59" t="str">
        <f>IF(B2375="","",IFERROR(INDEX(pr_unit,MATCH(B2375,pr_code,0))&amp;"",""))</f>
        <v/>
      </c>
      <c r="J2375" s="65" t="str">
        <f>IF(COUNTA(A2375:G2375)=0,"",IF(E2375&lt;&gt;"",E2375,IF(B2375="","",IFERROR(IF(INDEX(pr_price,MATCH(B2375,pr_code,0))="","",INDEX(pr_price,MATCH(B2375,pr_code,0))),""))))</f>
        <v/>
      </c>
      <c r="K2375" s="71" t="str">
        <f>IF(COUNTA(A2375:G2375)=0,"",IF(G2375&lt;&gt;"",G2375,IF(B2375="","",IFERROR(IF(INDEX(pr_rate,MATCH(B2375,pr_code,0))="","",INDEX(pr_rate,MATCH(B2375,pr_code,0))),""))))</f>
        <v/>
      </c>
      <c r="L2375" s="65" t="str">
        <f>IF(COUNTA(A2375:G2375)=0,"",IF(AND(ISNUMBER(D2375),ISNUMBER(J2375)),ROUND(D2375*J2375*(1-N(F2375)),2),0))</f>
        <v/>
      </c>
      <c r="M2375" s="62" t="str">
        <f>IF(A2375="","",IFERROR(INDEX(fa_cname,MATCH(A2375,fa_num,0))&amp;"",""))</f>
        <v/>
      </c>
      <c r="N2375" s="59" t="str">
        <f>IF(COUNTA(A2375:G2375)=0,"",IF(A2375="","N° facture manquant",IF(ISNA(MATCH(A2375,fa_num,0)),"Facture inconnue",IF(AND(B2375&lt;&gt;"",ISNA(MATCH(B2375,pr_code,0))),"Article inconnu",IF(H2375="","Désignation manquante",IF(OR(NOT(ISNUMBER(D2375)),N(D2375)&lt;=0),"Quantité invalide",IF(J2375="","Prix manquant",IF(OR(NOT(ISNUMBER(J2375)),N(J2375)&lt;0),"Prix invalide",IF(OR(AND(F2375&lt;&gt;"",NOT(ISNUMBER(F2375))),N(F2375)&lt;0,N(F2375)&gt;1),"Remise invalide",IF(K2375="","Taux de TVA manquant",IF(NOT(ISNUMBER(K2375)),"Taux de TVA invalide",IF(COUNTIF(p_rates,K2375)=0,"Taux de TVA hors liste (Paramètres)",IF(N(O2375)&gt;25,"Au-delà de 25 lignes : non imprimée","OK")))))))))))))</f>
        <v/>
      </c>
      <c r="O2375" s="59" t="str">
        <f>IF(A2375="","",COUNTIF($A$6:A2375,A2375))</f>
        <v/>
      </c>
      <c r="P2375" s="62" t="str">
        <f>IF(A2375="","",A2375&amp;"|"&amp;O2375)</f>
        <v/>
      </c>
    </row>
    <row r="2376">
      <c r="A2376" s="60" t="n"/>
      <c r="B2376" s="63" t="n"/>
      <c r="C2376" s="63" t="n"/>
      <c r="D2376" s="67" t="n"/>
      <c r="E2376" s="68" t="n"/>
      <c r="F2376" s="69" t="n"/>
      <c r="G2376" s="70" t="n"/>
      <c r="H2376" s="62" t="str">
        <f>IF(COUNTA(A2376:G2376)=0,"",IF(C2376&lt;&gt;"",C2376,IF(B2376="","",IFERROR(INDEX(pr_des,MATCH(B2376,pr_code,0))&amp;"",""))))</f>
        <v/>
      </c>
      <c r="I2376" s="59" t="str">
        <f>IF(B2376="","",IFERROR(INDEX(pr_unit,MATCH(B2376,pr_code,0))&amp;"",""))</f>
        <v/>
      </c>
      <c r="J2376" s="65" t="str">
        <f>IF(COUNTA(A2376:G2376)=0,"",IF(E2376&lt;&gt;"",E2376,IF(B2376="","",IFERROR(IF(INDEX(pr_price,MATCH(B2376,pr_code,0))="","",INDEX(pr_price,MATCH(B2376,pr_code,0))),""))))</f>
        <v/>
      </c>
      <c r="K2376" s="71" t="str">
        <f>IF(COUNTA(A2376:G2376)=0,"",IF(G2376&lt;&gt;"",G2376,IF(B2376="","",IFERROR(IF(INDEX(pr_rate,MATCH(B2376,pr_code,0))="","",INDEX(pr_rate,MATCH(B2376,pr_code,0))),""))))</f>
        <v/>
      </c>
      <c r="L2376" s="65" t="str">
        <f>IF(COUNTA(A2376:G2376)=0,"",IF(AND(ISNUMBER(D2376),ISNUMBER(J2376)),ROUND(D2376*J2376*(1-N(F2376)),2),0))</f>
        <v/>
      </c>
      <c r="M2376" s="62" t="str">
        <f>IF(A2376="","",IFERROR(INDEX(fa_cname,MATCH(A2376,fa_num,0))&amp;"",""))</f>
        <v/>
      </c>
      <c r="N2376" s="59" t="str">
        <f>IF(COUNTA(A2376:G2376)=0,"",IF(A2376="","N° facture manquant",IF(ISNA(MATCH(A2376,fa_num,0)),"Facture inconnue",IF(AND(B2376&lt;&gt;"",ISNA(MATCH(B2376,pr_code,0))),"Article inconnu",IF(H2376="","Désignation manquante",IF(OR(NOT(ISNUMBER(D2376)),N(D2376)&lt;=0),"Quantité invalide",IF(J2376="","Prix manquant",IF(OR(NOT(ISNUMBER(J2376)),N(J2376)&lt;0),"Prix invalide",IF(OR(AND(F2376&lt;&gt;"",NOT(ISNUMBER(F2376))),N(F2376)&lt;0,N(F2376)&gt;1),"Remise invalide",IF(K2376="","Taux de TVA manquant",IF(NOT(ISNUMBER(K2376)),"Taux de TVA invalide",IF(COUNTIF(p_rates,K2376)=0,"Taux de TVA hors liste (Paramètres)",IF(N(O2376)&gt;25,"Au-delà de 25 lignes : non imprimée","OK")))))))))))))</f>
        <v/>
      </c>
      <c r="O2376" s="59" t="str">
        <f>IF(A2376="","",COUNTIF($A$6:A2376,A2376))</f>
        <v/>
      </c>
      <c r="P2376" s="62" t="str">
        <f>IF(A2376="","",A2376&amp;"|"&amp;O2376)</f>
        <v/>
      </c>
    </row>
    <row r="2377">
      <c r="A2377" s="60" t="n"/>
      <c r="B2377" s="63" t="n"/>
      <c r="C2377" s="63" t="n"/>
      <c r="D2377" s="67" t="n"/>
      <c r="E2377" s="68" t="n"/>
      <c r="F2377" s="69" t="n"/>
      <c r="G2377" s="70" t="n"/>
      <c r="H2377" s="62" t="str">
        <f>IF(COUNTA(A2377:G2377)=0,"",IF(C2377&lt;&gt;"",C2377,IF(B2377="","",IFERROR(INDEX(pr_des,MATCH(B2377,pr_code,0))&amp;"",""))))</f>
        <v/>
      </c>
      <c r="I2377" s="59" t="str">
        <f>IF(B2377="","",IFERROR(INDEX(pr_unit,MATCH(B2377,pr_code,0))&amp;"",""))</f>
        <v/>
      </c>
      <c r="J2377" s="65" t="str">
        <f>IF(COUNTA(A2377:G2377)=0,"",IF(E2377&lt;&gt;"",E2377,IF(B2377="","",IFERROR(IF(INDEX(pr_price,MATCH(B2377,pr_code,0))="","",INDEX(pr_price,MATCH(B2377,pr_code,0))),""))))</f>
        <v/>
      </c>
      <c r="K2377" s="71" t="str">
        <f>IF(COUNTA(A2377:G2377)=0,"",IF(G2377&lt;&gt;"",G2377,IF(B2377="","",IFERROR(IF(INDEX(pr_rate,MATCH(B2377,pr_code,0))="","",INDEX(pr_rate,MATCH(B2377,pr_code,0))),""))))</f>
        <v/>
      </c>
      <c r="L2377" s="65" t="str">
        <f>IF(COUNTA(A2377:G2377)=0,"",IF(AND(ISNUMBER(D2377),ISNUMBER(J2377)),ROUND(D2377*J2377*(1-N(F2377)),2),0))</f>
        <v/>
      </c>
      <c r="M2377" s="62" t="str">
        <f>IF(A2377="","",IFERROR(INDEX(fa_cname,MATCH(A2377,fa_num,0))&amp;"",""))</f>
        <v/>
      </c>
      <c r="N2377" s="59" t="str">
        <f>IF(COUNTA(A2377:G2377)=0,"",IF(A2377="","N° facture manquant",IF(ISNA(MATCH(A2377,fa_num,0)),"Facture inconnue",IF(AND(B2377&lt;&gt;"",ISNA(MATCH(B2377,pr_code,0))),"Article inconnu",IF(H2377="","Désignation manquante",IF(OR(NOT(ISNUMBER(D2377)),N(D2377)&lt;=0),"Quantité invalide",IF(J2377="","Prix manquant",IF(OR(NOT(ISNUMBER(J2377)),N(J2377)&lt;0),"Prix invalide",IF(OR(AND(F2377&lt;&gt;"",NOT(ISNUMBER(F2377))),N(F2377)&lt;0,N(F2377)&gt;1),"Remise invalide",IF(K2377="","Taux de TVA manquant",IF(NOT(ISNUMBER(K2377)),"Taux de TVA invalide",IF(COUNTIF(p_rates,K2377)=0,"Taux de TVA hors liste (Paramètres)",IF(N(O2377)&gt;25,"Au-delà de 25 lignes : non imprimée","OK")))))))))))))</f>
        <v/>
      </c>
      <c r="O2377" s="59" t="str">
        <f>IF(A2377="","",COUNTIF($A$6:A2377,A2377))</f>
        <v/>
      </c>
      <c r="P2377" s="62" t="str">
        <f>IF(A2377="","",A2377&amp;"|"&amp;O2377)</f>
        <v/>
      </c>
    </row>
    <row r="2378">
      <c r="A2378" s="60" t="n"/>
      <c r="B2378" s="63" t="n"/>
      <c r="C2378" s="63" t="n"/>
      <c r="D2378" s="67" t="n"/>
      <c r="E2378" s="68" t="n"/>
      <c r="F2378" s="69" t="n"/>
      <c r="G2378" s="70" t="n"/>
      <c r="H2378" s="62" t="str">
        <f>IF(COUNTA(A2378:G2378)=0,"",IF(C2378&lt;&gt;"",C2378,IF(B2378="","",IFERROR(INDEX(pr_des,MATCH(B2378,pr_code,0))&amp;"",""))))</f>
        <v/>
      </c>
      <c r="I2378" s="59" t="str">
        <f>IF(B2378="","",IFERROR(INDEX(pr_unit,MATCH(B2378,pr_code,0))&amp;"",""))</f>
        <v/>
      </c>
      <c r="J2378" s="65" t="str">
        <f>IF(COUNTA(A2378:G2378)=0,"",IF(E2378&lt;&gt;"",E2378,IF(B2378="","",IFERROR(IF(INDEX(pr_price,MATCH(B2378,pr_code,0))="","",INDEX(pr_price,MATCH(B2378,pr_code,0))),""))))</f>
        <v/>
      </c>
      <c r="K2378" s="71" t="str">
        <f>IF(COUNTA(A2378:G2378)=0,"",IF(G2378&lt;&gt;"",G2378,IF(B2378="","",IFERROR(IF(INDEX(pr_rate,MATCH(B2378,pr_code,0))="","",INDEX(pr_rate,MATCH(B2378,pr_code,0))),""))))</f>
        <v/>
      </c>
      <c r="L2378" s="65" t="str">
        <f>IF(COUNTA(A2378:G2378)=0,"",IF(AND(ISNUMBER(D2378),ISNUMBER(J2378)),ROUND(D2378*J2378*(1-N(F2378)),2),0))</f>
        <v/>
      </c>
      <c r="M2378" s="62" t="str">
        <f>IF(A2378="","",IFERROR(INDEX(fa_cname,MATCH(A2378,fa_num,0))&amp;"",""))</f>
        <v/>
      </c>
      <c r="N2378" s="59" t="str">
        <f>IF(COUNTA(A2378:G2378)=0,"",IF(A2378="","N° facture manquant",IF(ISNA(MATCH(A2378,fa_num,0)),"Facture inconnue",IF(AND(B2378&lt;&gt;"",ISNA(MATCH(B2378,pr_code,0))),"Article inconnu",IF(H2378="","Désignation manquante",IF(OR(NOT(ISNUMBER(D2378)),N(D2378)&lt;=0),"Quantité invalide",IF(J2378="","Prix manquant",IF(OR(NOT(ISNUMBER(J2378)),N(J2378)&lt;0),"Prix invalide",IF(OR(AND(F2378&lt;&gt;"",NOT(ISNUMBER(F2378))),N(F2378)&lt;0,N(F2378)&gt;1),"Remise invalide",IF(K2378="","Taux de TVA manquant",IF(NOT(ISNUMBER(K2378)),"Taux de TVA invalide",IF(COUNTIF(p_rates,K2378)=0,"Taux de TVA hors liste (Paramètres)",IF(N(O2378)&gt;25,"Au-delà de 25 lignes : non imprimée","OK")))))))))))))</f>
        <v/>
      </c>
      <c r="O2378" s="59" t="str">
        <f>IF(A2378="","",COUNTIF($A$6:A2378,A2378))</f>
        <v/>
      </c>
      <c r="P2378" s="62" t="str">
        <f>IF(A2378="","",A2378&amp;"|"&amp;O2378)</f>
        <v/>
      </c>
    </row>
    <row r="2379">
      <c r="A2379" s="60" t="n"/>
      <c r="B2379" s="63" t="n"/>
      <c r="C2379" s="63" t="n"/>
      <c r="D2379" s="67" t="n"/>
      <c r="E2379" s="68" t="n"/>
      <c r="F2379" s="69" t="n"/>
      <c r="G2379" s="70" t="n"/>
      <c r="H2379" s="62" t="str">
        <f>IF(COUNTA(A2379:G2379)=0,"",IF(C2379&lt;&gt;"",C2379,IF(B2379="","",IFERROR(INDEX(pr_des,MATCH(B2379,pr_code,0))&amp;"",""))))</f>
        <v/>
      </c>
      <c r="I2379" s="59" t="str">
        <f>IF(B2379="","",IFERROR(INDEX(pr_unit,MATCH(B2379,pr_code,0))&amp;"",""))</f>
        <v/>
      </c>
      <c r="J2379" s="65" t="str">
        <f>IF(COUNTA(A2379:G2379)=0,"",IF(E2379&lt;&gt;"",E2379,IF(B2379="","",IFERROR(IF(INDEX(pr_price,MATCH(B2379,pr_code,0))="","",INDEX(pr_price,MATCH(B2379,pr_code,0))),""))))</f>
        <v/>
      </c>
      <c r="K2379" s="71" t="str">
        <f>IF(COUNTA(A2379:G2379)=0,"",IF(G2379&lt;&gt;"",G2379,IF(B2379="","",IFERROR(IF(INDEX(pr_rate,MATCH(B2379,pr_code,0))="","",INDEX(pr_rate,MATCH(B2379,pr_code,0))),""))))</f>
        <v/>
      </c>
      <c r="L2379" s="65" t="str">
        <f>IF(COUNTA(A2379:G2379)=0,"",IF(AND(ISNUMBER(D2379),ISNUMBER(J2379)),ROUND(D2379*J2379*(1-N(F2379)),2),0))</f>
        <v/>
      </c>
      <c r="M2379" s="62" t="str">
        <f>IF(A2379="","",IFERROR(INDEX(fa_cname,MATCH(A2379,fa_num,0))&amp;"",""))</f>
        <v/>
      </c>
      <c r="N2379" s="59" t="str">
        <f>IF(COUNTA(A2379:G2379)=0,"",IF(A2379="","N° facture manquant",IF(ISNA(MATCH(A2379,fa_num,0)),"Facture inconnue",IF(AND(B2379&lt;&gt;"",ISNA(MATCH(B2379,pr_code,0))),"Article inconnu",IF(H2379="","Désignation manquante",IF(OR(NOT(ISNUMBER(D2379)),N(D2379)&lt;=0),"Quantité invalide",IF(J2379="","Prix manquant",IF(OR(NOT(ISNUMBER(J2379)),N(J2379)&lt;0),"Prix invalide",IF(OR(AND(F2379&lt;&gt;"",NOT(ISNUMBER(F2379))),N(F2379)&lt;0,N(F2379)&gt;1),"Remise invalide",IF(K2379="","Taux de TVA manquant",IF(NOT(ISNUMBER(K2379)),"Taux de TVA invalide",IF(COUNTIF(p_rates,K2379)=0,"Taux de TVA hors liste (Paramètres)",IF(N(O2379)&gt;25,"Au-delà de 25 lignes : non imprimée","OK")))))))))))))</f>
        <v/>
      </c>
      <c r="O2379" s="59" t="str">
        <f>IF(A2379="","",COUNTIF($A$6:A2379,A2379))</f>
        <v/>
      </c>
      <c r="P2379" s="62" t="str">
        <f>IF(A2379="","",A2379&amp;"|"&amp;O2379)</f>
        <v/>
      </c>
    </row>
    <row r="2380">
      <c r="A2380" s="60" t="n"/>
      <c r="B2380" s="63" t="n"/>
      <c r="C2380" s="63" t="n"/>
      <c r="D2380" s="67" t="n"/>
      <c r="E2380" s="68" t="n"/>
      <c r="F2380" s="69" t="n"/>
      <c r="G2380" s="70" t="n"/>
      <c r="H2380" s="62" t="str">
        <f>IF(COUNTA(A2380:G2380)=0,"",IF(C2380&lt;&gt;"",C2380,IF(B2380="","",IFERROR(INDEX(pr_des,MATCH(B2380,pr_code,0))&amp;"",""))))</f>
        <v/>
      </c>
      <c r="I2380" s="59" t="str">
        <f>IF(B2380="","",IFERROR(INDEX(pr_unit,MATCH(B2380,pr_code,0))&amp;"",""))</f>
        <v/>
      </c>
      <c r="J2380" s="65" t="str">
        <f>IF(COUNTA(A2380:G2380)=0,"",IF(E2380&lt;&gt;"",E2380,IF(B2380="","",IFERROR(IF(INDEX(pr_price,MATCH(B2380,pr_code,0))="","",INDEX(pr_price,MATCH(B2380,pr_code,0))),""))))</f>
        <v/>
      </c>
      <c r="K2380" s="71" t="str">
        <f>IF(COUNTA(A2380:G2380)=0,"",IF(G2380&lt;&gt;"",G2380,IF(B2380="","",IFERROR(IF(INDEX(pr_rate,MATCH(B2380,pr_code,0))="","",INDEX(pr_rate,MATCH(B2380,pr_code,0))),""))))</f>
        <v/>
      </c>
      <c r="L2380" s="65" t="str">
        <f>IF(COUNTA(A2380:G2380)=0,"",IF(AND(ISNUMBER(D2380),ISNUMBER(J2380)),ROUND(D2380*J2380*(1-N(F2380)),2),0))</f>
        <v/>
      </c>
      <c r="M2380" s="62" t="str">
        <f>IF(A2380="","",IFERROR(INDEX(fa_cname,MATCH(A2380,fa_num,0))&amp;"",""))</f>
        <v/>
      </c>
      <c r="N2380" s="59" t="str">
        <f>IF(COUNTA(A2380:G2380)=0,"",IF(A2380="","N° facture manquant",IF(ISNA(MATCH(A2380,fa_num,0)),"Facture inconnue",IF(AND(B2380&lt;&gt;"",ISNA(MATCH(B2380,pr_code,0))),"Article inconnu",IF(H2380="","Désignation manquante",IF(OR(NOT(ISNUMBER(D2380)),N(D2380)&lt;=0),"Quantité invalide",IF(J2380="","Prix manquant",IF(OR(NOT(ISNUMBER(J2380)),N(J2380)&lt;0),"Prix invalide",IF(OR(AND(F2380&lt;&gt;"",NOT(ISNUMBER(F2380))),N(F2380)&lt;0,N(F2380)&gt;1),"Remise invalide",IF(K2380="","Taux de TVA manquant",IF(NOT(ISNUMBER(K2380)),"Taux de TVA invalide",IF(COUNTIF(p_rates,K2380)=0,"Taux de TVA hors liste (Paramètres)",IF(N(O2380)&gt;25,"Au-delà de 25 lignes : non imprimée","OK")))))))))))))</f>
        <v/>
      </c>
      <c r="O2380" s="59" t="str">
        <f>IF(A2380="","",COUNTIF($A$6:A2380,A2380))</f>
        <v/>
      </c>
      <c r="P2380" s="62" t="str">
        <f>IF(A2380="","",A2380&amp;"|"&amp;O2380)</f>
        <v/>
      </c>
    </row>
    <row r="2381">
      <c r="A2381" s="60" t="n"/>
      <c r="B2381" s="63" t="n"/>
      <c r="C2381" s="63" t="n"/>
      <c r="D2381" s="67" t="n"/>
      <c r="E2381" s="68" t="n"/>
      <c r="F2381" s="69" t="n"/>
      <c r="G2381" s="70" t="n"/>
      <c r="H2381" s="62" t="str">
        <f>IF(COUNTA(A2381:G2381)=0,"",IF(C2381&lt;&gt;"",C2381,IF(B2381="","",IFERROR(INDEX(pr_des,MATCH(B2381,pr_code,0))&amp;"",""))))</f>
        <v/>
      </c>
      <c r="I2381" s="59" t="str">
        <f>IF(B2381="","",IFERROR(INDEX(pr_unit,MATCH(B2381,pr_code,0))&amp;"",""))</f>
        <v/>
      </c>
      <c r="J2381" s="65" t="str">
        <f>IF(COUNTA(A2381:G2381)=0,"",IF(E2381&lt;&gt;"",E2381,IF(B2381="","",IFERROR(IF(INDEX(pr_price,MATCH(B2381,pr_code,0))="","",INDEX(pr_price,MATCH(B2381,pr_code,0))),""))))</f>
        <v/>
      </c>
      <c r="K2381" s="71" t="str">
        <f>IF(COUNTA(A2381:G2381)=0,"",IF(G2381&lt;&gt;"",G2381,IF(B2381="","",IFERROR(IF(INDEX(pr_rate,MATCH(B2381,pr_code,0))="","",INDEX(pr_rate,MATCH(B2381,pr_code,0))),""))))</f>
        <v/>
      </c>
      <c r="L2381" s="65" t="str">
        <f>IF(COUNTA(A2381:G2381)=0,"",IF(AND(ISNUMBER(D2381),ISNUMBER(J2381)),ROUND(D2381*J2381*(1-N(F2381)),2),0))</f>
        <v/>
      </c>
      <c r="M2381" s="62" t="str">
        <f>IF(A2381="","",IFERROR(INDEX(fa_cname,MATCH(A2381,fa_num,0))&amp;"",""))</f>
        <v/>
      </c>
      <c r="N2381" s="59" t="str">
        <f>IF(COUNTA(A2381:G2381)=0,"",IF(A2381="","N° facture manquant",IF(ISNA(MATCH(A2381,fa_num,0)),"Facture inconnue",IF(AND(B2381&lt;&gt;"",ISNA(MATCH(B2381,pr_code,0))),"Article inconnu",IF(H2381="","Désignation manquante",IF(OR(NOT(ISNUMBER(D2381)),N(D2381)&lt;=0),"Quantité invalide",IF(J2381="","Prix manquant",IF(OR(NOT(ISNUMBER(J2381)),N(J2381)&lt;0),"Prix invalide",IF(OR(AND(F2381&lt;&gt;"",NOT(ISNUMBER(F2381))),N(F2381)&lt;0,N(F2381)&gt;1),"Remise invalide",IF(K2381="","Taux de TVA manquant",IF(NOT(ISNUMBER(K2381)),"Taux de TVA invalide",IF(COUNTIF(p_rates,K2381)=0,"Taux de TVA hors liste (Paramètres)",IF(N(O2381)&gt;25,"Au-delà de 25 lignes : non imprimée","OK")))))))))))))</f>
        <v/>
      </c>
      <c r="O2381" s="59" t="str">
        <f>IF(A2381="","",COUNTIF($A$6:A2381,A2381))</f>
        <v/>
      </c>
      <c r="P2381" s="62" t="str">
        <f>IF(A2381="","",A2381&amp;"|"&amp;O2381)</f>
        <v/>
      </c>
    </row>
    <row r="2382">
      <c r="A2382" s="60" t="n"/>
      <c r="B2382" s="63" t="n"/>
      <c r="C2382" s="63" t="n"/>
      <c r="D2382" s="67" t="n"/>
      <c r="E2382" s="68" t="n"/>
      <c r="F2382" s="69" t="n"/>
      <c r="G2382" s="70" t="n"/>
      <c r="H2382" s="62" t="str">
        <f>IF(COUNTA(A2382:G2382)=0,"",IF(C2382&lt;&gt;"",C2382,IF(B2382="","",IFERROR(INDEX(pr_des,MATCH(B2382,pr_code,0))&amp;"",""))))</f>
        <v/>
      </c>
      <c r="I2382" s="59" t="str">
        <f>IF(B2382="","",IFERROR(INDEX(pr_unit,MATCH(B2382,pr_code,0))&amp;"",""))</f>
        <v/>
      </c>
      <c r="J2382" s="65" t="str">
        <f>IF(COUNTA(A2382:G2382)=0,"",IF(E2382&lt;&gt;"",E2382,IF(B2382="","",IFERROR(IF(INDEX(pr_price,MATCH(B2382,pr_code,0))="","",INDEX(pr_price,MATCH(B2382,pr_code,0))),""))))</f>
        <v/>
      </c>
      <c r="K2382" s="71" t="str">
        <f>IF(COUNTA(A2382:G2382)=0,"",IF(G2382&lt;&gt;"",G2382,IF(B2382="","",IFERROR(IF(INDEX(pr_rate,MATCH(B2382,pr_code,0))="","",INDEX(pr_rate,MATCH(B2382,pr_code,0))),""))))</f>
        <v/>
      </c>
      <c r="L2382" s="65" t="str">
        <f>IF(COUNTA(A2382:G2382)=0,"",IF(AND(ISNUMBER(D2382),ISNUMBER(J2382)),ROUND(D2382*J2382*(1-N(F2382)),2),0))</f>
        <v/>
      </c>
      <c r="M2382" s="62" t="str">
        <f>IF(A2382="","",IFERROR(INDEX(fa_cname,MATCH(A2382,fa_num,0))&amp;"",""))</f>
        <v/>
      </c>
      <c r="N2382" s="59" t="str">
        <f>IF(COUNTA(A2382:G2382)=0,"",IF(A2382="","N° facture manquant",IF(ISNA(MATCH(A2382,fa_num,0)),"Facture inconnue",IF(AND(B2382&lt;&gt;"",ISNA(MATCH(B2382,pr_code,0))),"Article inconnu",IF(H2382="","Désignation manquante",IF(OR(NOT(ISNUMBER(D2382)),N(D2382)&lt;=0),"Quantité invalide",IF(J2382="","Prix manquant",IF(OR(NOT(ISNUMBER(J2382)),N(J2382)&lt;0),"Prix invalide",IF(OR(AND(F2382&lt;&gt;"",NOT(ISNUMBER(F2382))),N(F2382)&lt;0,N(F2382)&gt;1),"Remise invalide",IF(K2382="","Taux de TVA manquant",IF(NOT(ISNUMBER(K2382)),"Taux de TVA invalide",IF(COUNTIF(p_rates,K2382)=0,"Taux de TVA hors liste (Paramètres)",IF(N(O2382)&gt;25,"Au-delà de 25 lignes : non imprimée","OK")))))))))))))</f>
        <v/>
      </c>
      <c r="O2382" s="59" t="str">
        <f>IF(A2382="","",COUNTIF($A$6:A2382,A2382))</f>
        <v/>
      </c>
      <c r="P2382" s="62" t="str">
        <f>IF(A2382="","",A2382&amp;"|"&amp;O2382)</f>
        <v/>
      </c>
    </row>
    <row r="2383">
      <c r="A2383" s="60" t="n"/>
      <c r="B2383" s="63" t="n"/>
      <c r="C2383" s="63" t="n"/>
      <c r="D2383" s="67" t="n"/>
      <c r="E2383" s="68" t="n"/>
      <c r="F2383" s="69" t="n"/>
      <c r="G2383" s="70" t="n"/>
      <c r="H2383" s="62" t="str">
        <f>IF(COUNTA(A2383:G2383)=0,"",IF(C2383&lt;&gt;"",C2383,IF(B2383="","",IFERROR(INDEX(pr_des,MATCH(B2383,pr_code,0))&amp;"",""))))</f>
        <v/>
      </c>
      <c r="I2383" s="59" t="str">
        <f>IF(B2383="","",IFERROR(INDEX(pr_unit,MATCH(B2383,pr_code,0))&amp;"",""))</f>
        <v/>
      </c>
      <c r="J2383" s="65" t="str">
        <f>IF(COUNTA(A2383:G2383)=0,"",IF(E2383&lt;&gt;"",E2383,IF(B2383="","",IFERROR(IF(INDEX(pr_price,MATCH(B2383,pr_code,0))="","",INDEX(pr_price,MATCH(B2383,pr_code,0))),""))))</f>
        <v/>
      </c>
      <c r="K2383" s="71" t="str">
        <f>IF(COUNTA(A2383:G2383)=0,"",IF(G2383&lt;&gt;"",G2383,IF(B2383="","",IFERROR(IF(INDEX(pr_rate,MATCH(B2383,pr_code,0))="","",INDEX(pr_rate,MATCH(B2383,pr_code,0))),""))))</f>
        <v/>
      </c>
      <c r="L2383" s="65" t="str">
        <f>IF(COUNTA(A2383:G2383)=0,"",IF(AND(ISNUMBER(D2383),ISNUMBER(J2383)),ROUND(D2383*J2383*(1-N(F2383)),2),0))</f>
        <v/>
      </c>
      <c r="M2383" s="62" t="str">
        <f>IF(A2383="","",IFERROR(INDEX(fa_cname,MATCH(A2383,fa_num,0))&amp;"",""))</f>
        <v/>
      </c>
      <c r="N2383" s="59" t="str">
        <f>IF(COUNTA(A2383:G2383)=0,"",IF(A2383="","N° facture manquant",IF(ISNA(MATCH(A2383,fa_num,0)),"Facture inconnue",IF(AND(B2383&lt;&gt;"",ISNA(MATCH(B2383,pr_code,0))),"Article inconnu",IF(H2383="","Désignation manquante",IF(OR(NOT(ISNUMBER(D2383)),N(D2383)&lt;=0),"Quantité invalide",IF(J2383="","Prix manquant",IF(OR(NOT(ISNUMBER(J2383)),N(J2383)&lt;0),"Prix invalide",IF(OR(AND(F2383&lt;&gt;"",NOT(ISNUMBER(F2383))),N(F2383)&lt;0,N(F2383)&gt;1),"Remise invalide",IF(K2383="","Taux de TVA manquant",IF(NOT(ISNUMBER(K2383)),"Taux de TVA invalide",IF(COUNTIF(p_rates,K2383)=0,"Taux de TVA hors liste (Paramètres)",IF(N(O2383)&gt;25,"Au-delà de 25 lignes : non imprimée","OK")))))))))))))</f>
        <v/>
      </c>
      <c r="O2383" s="59" t="str">
        <f>IF(A2383="","",COUNTIF($A$6:A2383,A2383))</f>
        <v/>
      </c>
      <c r="P2383" s="62" t="str">
        <f>IF(A2383="","",A2383&amp;"|"&amp;O2383)</f>
        <v/>
      </c>
    </row>
    <row r="2384">
      <c r="A2384" s="60" t="n"/>
      <c r="B2384" s="63" t="n"/>
      <c r="C2384" s="63" t="n"/>
      <c r="D2384" s="67" t="n"/>
      <c r="E2384" s="68" t="n"/>
      <c r="F2384" s="69" t="n"/>
      <c r="G2384" s="70" t="n"/>
      <c r="H2384" s="62" t="str">
        <f>IF(COUNTA(A2384:G2384)=0,"",IF(C2384&lt;&gt;"",C2384,IF(B2384="","",IFERROR(INDEX(pr_des,MATCH(B2384,pr_code,0))&amp;"",""))))</f>
        <v/>
      </c>
      <c r="I2384" s="59" t="str">
        <f>IF(B2384="","",IFERROR(INDEX(pr_unit,MATCH(B2384,pr_code,0))&amp;"",""))</f>
        <v/>
      </c>
      <c r="J2384" s="65" t="str">
        <f>IF(COUNTA(A2384:G2384)=0,"",IF(E2384&lt;&gt;"",E2384,IF(B2384="","",IFERROR(IF(INDEX(pr_price,MATCH(B2384,pr_code,0))="","",INDEX(pr_price,MATCH(B2384,pr_code,0))),""))))</f>
        <v/>
      </c>
      <c r="K2384" s="71" t="str">
        <f>IF(COUNTA(A2384:G2384)=0,"",IF(G2384&lt;&gt;"",G2384,IF(B2384="","",IFERROR(IF(INDEX(pr_rate,MATCH(B2384,pr_code,0))="","",INDEX(pr_rate,MATCH(B2384,pr_code,0))),""))))</f>
        <v/>
      </c>
      <c r="L2384" s="65" t="str">
        <f>IF(COUNTA(A2384:G2384)=0,"",IF(AND(ISNUMBER(D2384),ISNUMBER(J2384)),ROUND(D2384*J2384*(1-N(F2384)),2),0))</f>
        <v/>
      </c>
      <c r="M2384" s="62" t="str">
        <f>IF(A2384="","",IFERROR(INDEX(fa_cname,MATCH(A2384,fa_num,0))&amp;"",""))</f>
        <v/>
      </c>
      <c r="N2384" s="59" t="str">
        <f>IF(COUNTA(A2384:G2384)=0,"",IF(A2384="","N° facture manquant",IF(ISNA(MATCH(A2384,fa_num,0)),"Facture inconnue",IF(AND(B2384&lt;&gt;"",ISNA(MATCH(B2384,pr_code,0))),"Article inconnu",IF(H2384="","Désignation manquante",IF(OR(NOT(ISNUMBER(D2384)),N(D2384)&lt;=0),"Quantité invalide",IF(J2384="","Prix manquant",IF(OR(NOT(ISNUMBER(J2384)),N(J2384)&lt;0),"Prix invalide",IF(OR(AND(F2384&lt;&gt;"",NOT(ISNUMBER(F2384))),N(F2384)&lt;0,N(F2384)&gt;1),"Remise invalide",IF(K2384="","Taux de TVA manquant",IF(NOT(ISNUMBER(K2384)),"Taux de TVA invalide",IF(COUNTIF(p_rates,K2384)=0,"Taux de TVA hors liste (Paramètres)",IF(N(O2384)&gt;25,"Au-delà de 25 lignes : non imprimée","OK")))))))))))))</f>
        <v/>
      </c>
      <c r="O2384" s="59" t="str">
        <f>IF(A2384="","",COUNTIF($A$6:A2384,A2384))</f>
        <v/>
      </c>
      <c r="P2384" s="62" t="str">
        <f>IF(A2384="","",A2384&amp;"|"&amp;O2384)</f>
        <v/>
      </c>
    </row>
    <row r="2385">
      <c r="A2385" s="60" t="n"/>
      <c r="B2385" s="63" t="n"/>
      <c r="C2385" s="63" t="n"/>
      <c r="D2385" s="67" t="n"/>
      <c r="E2385" s="68" t="n"/>
      <c r="F2385" s="69" t="n"/>
      <c r="G2385" s="70" t="n"/>
      <c r="H2385" s="62" t="str">
        <f>IF(COUNTA(A2385:G2385)=0,"",IF(C2385&lt;&gt;"",C2385,IF(B2385="","",IFERROR(INDEX(pr_des,MATCH(B2385,pr_code,0))&amp;"",""))))</f>
        <v/>
      </c>
      <c r="I2385" s="59" t="str">
        <f>IF(B2385="","",IFERROR(INDEX(pr_unit,MATCH(B2385,pr_code,0))&amp;"",""))</f>
        <v/>
      </c>
      <c r="J2385" s="65" t="str">
        <f>IF(COUNTA(A2385:G2385)=0,"",IF(E2385&lt;&gt;"",E2385,IF(B2385="","",IFERROR(IF(INDEX(pr_price,MATCH(B2385,pr_code,0))="","",INDEX(pr_price,MATCH(B2385,pr_code,0))),""))))</f>
        <v/>
      </c>
      <c r="K2385" s="71" t="str">
        <f>IF(COUNTA(A2385:G2385)=0,"",IF(G2385&lt;&gt;"",G2385,IF(B2385="","",IFERROR(IF(INDEX(pr_rate,MATCH(B2385,pr_code,0))="","",INDEX(pr_rate,MATCH(B2385,pr_code,0))),""))))</f>
        <v/>
      </c>
      <c r="L2385" s="65" t="str">
        <f>IF(COUNTA(A2385:G2385)=0,"",IF(AND(ISNUMBER(D2385),ISNUMBER(J2385)),ROUND(D2385*J2385*(1-N(F2385)),2),0))</f>
        <v/>
      </c>
      <c r="M2385" s="62" t="str">
        <f>IF(A2385="","",IFERROR(INDEX(fa_cname,MATCH(A2385,fa_num,0))&amp;"",""))</f>
        <v/>
      </c>
      <c r="N2385" s="59" t="str">
        <f>IF(COUNTA(A2385:G2385)=0,"",IF(A2385="","N° facture manquant",IF(ISNA(MATCH(A2385,fa_num,0)),"Facture inconnue",IF(AND(B2385&lt;&gt;"",ISNA(MATCH(B2385,pr_code,0))),"Article inconnu",IF(H2385="","Désignation manquante",IF(OR(NOT(ISNUMBER(D2385)),N(D2385)&lt;=0),"Quantité invalide",IF(J2385="","Prix manquant",IF(OR(NOT(ISNUMBER(J2385)),N(J2385)&lt;0),"Prix invalide",IF(OR(AND(F2385&lt;&gt;"",NOT(ISNUMBER(F2385))),N(F2385)&lt;0,N(F2385)&gt;1),"Remise invalide",IF(K2385="","Taux de TVA manquant",IF(NOT(ISNUMBER(K2385)),"Taux de TVA invalide",IF(COUNTIF(p_rates,K2385)=0,"Taux de TVA hors liste (Paramètres)",IF(N(O2385)&gt;25,"Au-delà de 25 lignes : non imprimée","OK")))))))))))))</f>
        <v/>
      </c>
      <c r="O2385" s="59" t="str">
        <f>IF(A2385="","",COUNTIF($A$6:A2385,A2385))</f>
        <v/>
      </c>
      <c r="P2385" s="62" t="str">
        <f>IF(A2385="","",A2385&amp;"|"&amp;O2385)</f>
        <v/>
      </c>
    </row>
    <row r="2386">
      <c r="A2386" s="60" t="n"/>
      <c r="B2386" s="63" t="n"/>
      <c r="C2386" s="63" t="n"/>
      <c r="D2386" s="67" t="n"/>
      <c r="E2386" s="68" t="n"/>
      <c r="F2386" s="69" t="n"/>
      <c r="G2386" s="70" t="n"/>
      <c r="H2386" s="62" t="str">
        <f>IF(COUNTA(A2386:G2386)=0,"",IF(C2386&lt;&gt;"",C2386,IF(B2386="","",IFERROR(INDEX(pr_des,MATCH(B2386,pr_code,0))&amp;"",""))))</f>
        <v/>
      </c>
      <c r="I2386" s="59" t="str">
        <f>IF(B2386="","",IFERROR(INDEX(pr_unit,MATCH(B2386,pr_code,0))&amp;"",""))</f>
        <v/>
      </c>
      <c r="J2386" s="65" t="str">
        <f>IF(COUNTA(A2386:G2386)=0,"",IF(E2386&lt;&gt;"",E2386,IF(B2386="","",IFERROR(IF(INDEX(pr_price,MATCH(B2386,pr_code,0))="","",INDEX(pr_price,MATCH(B2386,pr_code,0))),""))))</f>
        <v/>
      </c>
      <c r="K2386" s="71" t="str">
        <f>IF(COUNTA(A2386:G2386)=0,"",IF(G2386&lt;&gt;"",G2386,IF(B2386="","",IFERROR(IF(INDEX(pr_rate,MATCH(B2386,pr_code,0))="","",INDEX(pr_rate,MATCH(B2386,pr_code,0))),""))))</f>
        <v/>
      </c>
      <c r="L2386" s="65" t="str">
        <f>IF(COUNTA(A2386:G2386)=0,"",IF(AND(ISNUMBER(D2386),ISNUMBER(J2386)),ROUND(D2386*J2386*(1-N(F2386)),2),0))</f>
        <v/>
      </c>
      <c r="M2386" s="62" t="str">
        <f>IF(A2386="","",IFERROR(INDEX(fa_cname,MATCH(A2386,fa_num,0))&amp;"",""))</f>
        <v/>
      </c>
      <c r="N2386" s="59" t="str">
        <f>IF(COUNTA(A2386:G2386)=0,"",IF(A2386="","N° facture manquant",IF(ISNA(MATCH(A2386,fa_num,0)),"Facture inconnue",IF(AND(B2386&lt;&gt;"",ISNA(MATCH(B2386,pr_code,0))),"Article inconnu",IF(H2386="","Désignation manquante",IF(OR(NOT(ISNUMBER(D2386)),N(D2386)&lt;=0),"Quantité invalide",IF(J2386="","Prix manquant",IF(OR(NOT(ISNUMBER(J2386)),N(J2386)&lt;0),"Prix invalide",IF(OR(AND(F2386&lt;&gt;"",NOT(ISNUMBER(F2386))),N(F2386)&lt;0,N(F2386)&gt;1),"Remise invalide",IF(K2386="","Taux de TVA manquant",IF(NOT(ISNUMBER(K2386)),"Taux de TVA invalide",IF(COUNTIF(p_rates,K2386)=0,"Taux de TVA hors liste (Paramètres)",IF(N(O2386)&gt;25,"Au-delà de 25 lignes : non imprimée","OK")))))))))))))</f>
        <v/>
      </c>
      <c r="O2386" s="59" t="str">
        <f>IF(A2386="","",COUNTIF($A$6:A2386,A2386))</f>
        <v/>
      </c>
      <c r="P2386" s="62" t="str">
        <f>IF(A2386="","",A2386&amp;"|"&amp;O2386)</f>
        <v/>
      </c>
    </row>
    <row r="2387">
      <c r="A2387" s="60" t="n"/>
      <c r="B2387" s="63" t="n"/>
      <c r="C2387" s="63" t="n"/>
      <c r="D2387" s="67" t="n"/>
      <c r="E2387" s="68" t="n"/>
      <c r="F2387" s="69" t="n"/>
      <c r="G2387" s="70" t="n"/>
      <c r="H2387" s="62" t="str">
        <f>IF(COUNTA(A2387:G2387)=0,"",IF(C2387&lt;&gt;"",C2387,IF(B2387="","",IFERROR(INDEX(pr_des,MATCH(B2387,pr_code,0))&amp;"",""))))</f>
        <v/>
      </c>
      <c r="I2387" s="59" t="str">
        <f>IF(B2387="","",IFERROR(INDEX(pr_unit,MATCH(B2387,pr_code,0))&amp;"",""))</f>
        <v/>
      </c>
      <c r="J2387" s="65" t="str">
        <f>IF(COUNTA(A2387:G2387)=0,"",IF(E2387&lt;&gt;"",E2387,IF(B2387="","",IFERROR(IF(INDEX(pr_price,MATCH(B2387,pr_code,0))="","",INDEX(pr_price,MATCH(B2387,pr_code,0))),""))))</f>
        <v/>
      </c>
      <c r="K2387" s="71" t="str">
        <f>IF(COUNTA(A2387:G2387)=0,"",IF(G2387&lt;&gt;"",G2387,IF(B2387="","",IFERROR(IF(INDEX(pr_rate,MATCH(B2387,pr_code,0))="","",INDEX(pr_rate,MATCH(B2387,pr_code,0))),""))))</f>
        <v/>
      </c>
      <c r="L2387" s="65" t="str">
        <f>IF(COUNTA(A2387:G2387)=0,"",IF(AND(ISNUMBER(D2387),ISNUMBER(J2387)),ROUND(D2387*J2387*(1-N(F2387)),2),0))</f>
        <v/>
      </c>
      <c r="M2387" s="62" t="str">
        <f>IF(A2387="","",IFERROR(INDEX(fa_cname,MATCH(A2387,fa_num,0))&amp;"",""))</f>
        <v/>
      </c>
      <c r="N2387" s="59" t="str">
        <f>IF(COUNTA(A2387:G2387)=0,"",IF(A2387="","N° facture manquant",IF(ISNA(MATCH(A2387,fa_num,0)),"Facture inconnue",IF(AND(B2387&lt;&gt;"",ISNA(MATCH(B2387,pr_code,0))),"Article inconnu",IF(H2387="","Désignation manquante",IF(OR(NOT(ISNUMBER(D2387)),N(D2387)&lt;=0),"Quantité invalide",IF(J2387="","Prix manquant",IF(OR(NOT(ISNUMBER(J2387)),N(J2387)&lt;0),"Prix invalide",IF(OR(AND(F2387&lt;&gt;"",NOT(ISNUMBER(F2387))),N(F2387)&lt;0,N(F2387)&gt;1),"Remise invalide",IF(K2387="","Taux de TVA manquant",IF(NOT(ISNUMBER(K2387)),"Taux de TVA invalide",IF(COUNTIF(p_rates,K2387)=0,"Taux de TVA hors liste (Paramètres)",IF(N(O2387)&gt;25,"Au-delà de 25 lignes : non imprimée","OK")))))))))))))</f>
        <v/>
      </c>
      <c r="O2387" s="59" t="str">
        <f>IF(A2387="","",COUNTIF($A$6:A2387,A2387))</f>
        <v/>
      </c>
      <c r="P2387" s="62" t="str">
        <f>IF(A2387="","",A2387&amp;"|"&amp;O2387)</f>
        <v/>
      </c>
    </row>
    <row r="2388">
      <c r="A2388" s="60" t="n"/>
      <c r="B2388" s="63" t="n"/>
      <c r="C2388" s="63" t="n"/>
      <c r="D2388" s="67" t="n"/>
      <c r="E2388" s="68" t="n"/>
      <c r="F2388" s="69" t="n"/>
      <c r="G2388" s="70" t="n"/>
      <c r="H2388" s="62" t="str">
        <f>IF(COUNTA(A2388:G2388)=0,"",IF(C2388&lt;&gt;"",C2388,IF(B2388="","",IFERROR(INDEX(pr_des,MATCH(B2388,pr_code,0))&amp;"",""))))</f>
        <v/>
      </c>
      <c r="I2388" s="59" t="str">
        <f>IF(B2388="","",IFERROR(INDEX(pr_unit,MATCH(B2388,pr_code,0))&amp;"",""))</f>
        <v/>
      </c>
      <c r="J2388" s="65" t="str">
        <f>IF(COUNTA(A2388:G2388)=0,"",IF(E2388&lt;&gt;"",E2388,IF(B2388="","",IFERROR(IF(INDEX(pr_price,MATCH(B2388,pr_code,0))="","",INDEX(pr_price,MATCH(B2388,pr_code,0))),""))))</f>
        <v/>
      </c>
      <c r="K2388" s="71" t="str">
        <f>IF(COUNTA(A2388:G2388)=0,"",IF(G2388&lt;&gt;"",G2388,IF(B2388="","",IFERROR(IF(INDEX(pr_rate,MATCH(B2388,pr_code,0))="","",INDEX(pr_rate,MATCH(B2388,pr_code,0))),""))))</f>
        <v/>
      </c>
      <c r="L2388" s="65" t="str">
        <f>IF(COUNTA(A2388:G2388)=0,"",IF(AND(ISNUMBER(D2388),ISNUMBER(J2388)),ROUND(D2388*J2388*(1-N(F2388)),2),0))</f>
        <v/>
      </c>
      <c r="M2388" s="62" t="str">
        <f>IF(A2388="","",IFERROR(INDEX(fa_cname,MATCH(A2388,fa_num,0))&amp;"",""))</f>
        <v/>
      </c>
      <c r="N2388" s="59" t="str">
        <f>IF(COUNTA(A2388:G2388)=0,"",IF(A2388="","N° facture manquant",IF(ISNA(MATCH(A2388,fa_num,0)),"Facture inconnue",IF(AND(B2388&lt;&gt;"",ISNA(MATCH(B2388,pr_code,0))),"Article inconnu",IF(H2388="","Désignation manquante",IF(OR(NOT(ISNUMBER(D2388)),N(D2388)&lt;=0),"Quantité invalide",IF(J2388="","Prix manquant",IF(OR(NOT(ISNUMBER(J2388)),N(J2388)&lt;0),"Prix invalide",IF(OR(AND(F2388&lt;&gt;"",NOT(ISNUMBER(F2388))),N(F2388)&lt;0,N(F2388)&gt;1),"Remise invalide",IF(K2388="","Taux de TVA manquant",IF(NOT(ISNUMBER(K2388)),"Taux de TVA invalide",IF(COUNTIF(p_rates,K2388)=0,"Taux de TVA hors liste (Paramètres)",IF(N(O2388)&gt;25,"Au-delà de 25 lignes : non imprimée","OK")))))))))))))</f>
        <v/>
      </c>
      <c r="O2388" s="59" t="str">
        <f>IF(A2388="","",COUNTIF($A$6:A2388,A2388))</f>
        <v/>
      </c>
      <c r="P2388" s="62" t="str">
        <f>IF(A2388="","",A2388&amp;"|"&amp;O2388)</f>
        <v/>
      </c>
    </row>
    <row r="2389">
      <c r="A2389" s="60" t="n"/>
      <c r="B2389" s="63" t="n"/>
      <c r="C2389" s="63" t="n"/>
      <c r="D2389" s="67" t="n"/>
      <c r="E2389" s="68" t="n"/>
      <c r="F2389" s="69" t="n"/>
      <c r="G2389" s="70" t="n"/>
      <c r="H2389" s="62" t="str">
        <f>IF(COUNTA(A2389:G2389)=0,"",IF(C2389&lt;&gt;"",C2389,IF(B2389="","",IFERROR(INDEX(pr_des,MATCH(B2389,pr_code,0))&amp;"",""))))</f>
        <v/>
      </c>
      <c r="I2389" s="59" t="str">
        <f>IF(B2389="","",IFERROR(INDEX(pr_unit,MATCH(B2389,pr_code,0))&amp;"",""))</f>
        <v/>
      </c>
      <c r="J2389" s="65" t="str">
        <f>IF(COUNTA(A2389:G2389)=0,"",IF(E2389&lt;&gt;"",E2389,IF(B2389="","",IFERROR(IF(INDEX(pr_price,MATCH(B2389,pr_code,0))="","",INDEX(pr_price,MATCH(B2389,pr_code,0))),""))))</f>
        <v/>
      </c>
      <c r="K2389" s="71" t="str">
        <f>IF(COUNTA(A2389:G2389)=0,"",IF(G2389&lt;&gt;"",G2389,IF(B2389="","",IFERROR(IF(INDEX(pr_rate,MATCH(B2389,pr_code,0))="","",INDEX(pr_rate,MATCH(B2389,pr_code,0))),""))))</f>
        <v/>
      </c>
      <c r="L2389" s="65" t="str">
        <f>IF(COUNTA(A2389:G2389)=0,"",IF(AND(ISNUMBER(D2389),ISNUMBER(J2389)),ROUND(D2389*J2389*(1-N(F2389)),2),0))</f>
        <v/>
      </c>
      <c r="M2389" s="62" t="str">
        <f>IF(A2389="","",IFERROR(INDEX(fa_cname,MATCH(A2389,fa_num,0))&amp;"",""))</f>
        <v/>
      </c>
      <c r="N2389" s="59" t="str">
        <f>IF(COUNTA(A2389:G2389)=0,"",IF(A2389="","N° facture manquant",IF(ISNA(MATCH(A2389,fa_num,0)),"Facture inconnue",IF(AND(B2389&lt;&gt;"",ISNA(MATCH(B2389,pr_code,0))),"Article inconnu",IF(H2389="","Désignation manquante",IF(OR(NOT(ISNUMBER(D2389)),N(D2389)&lt;=0),"Quantité invalide",IF(J2389="","Prix manquant",IF(OR(NOT(ISNUMBER(J2389)),N(J2389)&lt;0),"Prix invalide",IF(OR(AND(F2389&lt;&gt;"",NOT(ISNUMBER(F2389))),N(F2389)&lt;0,N(F2389)&gt;1),"Remise invalide",IF(K2389="","Taux de TVA manquant",IF(NOT(ISNUMBER(K2389)),"Taux de TVA invalide",IF(COUNTIF(p_rates,K2389)=0,"Taux de TVA hors liste (Paramètres)",IF(N(O2389)&gt;25,"Au-delà de 25 lignes : non imprimée","OK")))))))))))))</f>
        <v/>
      </c>
      <c r="O2389" s="59" t="str">
        <f>IF(A2389="","",COUNTIF($A$6:A2389,A2389))</f>
        <v/>
      </c>
      <c r="P2389" s="62" t="str">
        <f>IF(A2389="","",A2389&amp;"|"&amp;O2389)</f>
        <v/>
      </c>
    </row>
    <row r="2390">
      <c r="A2390" s="60" t="n"/>
      <c r="B2390" s="63" t="n"/>
      <c r="C2390" s="63" t="n"/>
      <c r="D2390" s="67" t="n"/>
      <c r="E2390" s="68" t="n"/>
      <c r="F2390" s="69" t="n"/>
      <c r="G2390" s="70" t="n"/>
      <c r="H2390" s="62" t="str">
        <f>IF(COUNTA(A2390:G2390)=0,"",IF(C2390&lt;&gt;"",C2390,IF(B2390="","",IFERROR(INDEX(pr_des,MATCH(B2390,pr_code,0))&amp;"",""))))</f>
        <v/>
      </c>
      <c r="I2390" s="59" t="str">
        <f>IF(B2390="","",IFERROR(INDEX(pr_unit,MATCH(B2390,pr_code,0))&amp;"",""))</f>
        <v/>
      </c>
      <c r="J2390" s="65" t="str">
        <f>IF(COUNTA(A2390:G2390)=0,"",IF(E2390&lt;&gt;"",E2390,IF(B2390="","",IFERROR(IF(INDEX(pr_price,MATCH(B2390,pr_code,0))="","",INDEX(pr_price,MATCH(B2390,pr_code,0))),""))))</f>
        <v/>
      </c>
      <c r="K2390" s="71" t="str">
        <f>IF(COUNTA(A2390:G2390)=0,"",IF(G2390&lt;&gt;"",G2390,IF(B2390="","",IFERROR(IF(INDEX(pr_rate,MATCH(B2390,pr_code,0))="","",INDEX(pr_rate,MATCH(B2390,pr_code,0))),""))))</f>
        <v/>
      </c>
      <c r="L2390" s="65" t="str">
        <f>IF(COUNTA(A2390:G2390)=0,"",IF(AND(ISNUMBER(D2390),ISNUMBER(J2390)),ROUND(D2390*J2390*(1-N(F2390)),2),0))</f>
        <v/>
      </c>
      <c r="M2390" s="62" t="str">
        <f>IF(A2390="","",IFERROR(INDEX(fa_cname,MATCH(A2390,fa_num,0))&amp;"",""))</f>
        <v/>
      </c>
      <c r="N2390" s="59" t="str">
        <f>IF(COUNTA(A2390:G2390)=0,"",IF(A2390="","N° facture manquant",IF(ISNA(MATCH(A2390,fa_num,0)),"Facture inconnue",IF(AND(B2390&lt;&gt;"",ISNA(MATCH(B2390,pr_code,0))),"Article inconnu",IF(H2390="","Désignation manquante",IF(OR(NOT(ISNUMBER(D2390)),N(D2390)&lt;=0),"Quantité invalide",IF(J2390="","Prix manquant",IF(OR(NOT(ISNUMBER(J2390)),N(J2390)&lt;0),"Prix invalide",IF(OR(AND(F2390&lt;&gt;"",NOT(ISNUMBER(F2390))),N(F2390)&lt;0,N(F2390)&gt;1),"Remise invalide",IF(K2390="","Taux de TVA manquant",IF(NOT(ISNUMBER(K2390)),"Taux de TVA invalide",IF(COUNTIF(p_rates,K2390)=0,"Taux de TVA hors liste (Paramètres)",IF(N(O2390)&gt;25,"Au-delà de 25 lignes : non imprimée","OK")))))))))))))</f>
        <v/>
      </c>
      <c r="O2390" s="59" t="str">
        <f>IF(A2390="","",COUNTIF($A$6:A2390,A2390))</f>
        <v/>
      </c>
      <c r="P2390" s="62" t="str">
        <f>IF(A2390="","",A2390&amp;"|"&amp;O2390)</f>
        <v/>
      </c>
    </row>
    <row r="2391">
      <c r="A2391" s="60" t="n"/>
      <c r="B2391" s="63" t="n"/>
      <c r="C2391" s="63" t="n"/>
      <c r="D2391" s="67" t="n"/>
      <c r="E2391" s="68" t="n"/>
      <c r="F2391" s="69" t="n"/>
      <c r="G2391" s="70" t="n"/>
      <c r="H2391" s="62" t="str">
        <f>IF(COUNTA(A2391:G2391)=0,"",IF(C2391&lt;&gt;"",C2391,IF(B2391="","",IFERROR(INDEX(pr_des,MATCH(B2391,pr_code,0))&amp;"",""))))</f>
        <v/>
      </c>
      <c r="I2391" s="59" t="str">
        <f>IF(B2391="","",IFERROR(INDEX(pr_unit,MATCH(B2391,pr_code,0))&amp;"",""))</f>
        <v/>
      </c>
      <c r="J2391" s="65" t="str">
        <f>IF(COUNTA(A2391:G2391)=0,"",IF(E2391&lt;&gt;"",E2391,IF(B2391="","",IFERROR(IF(INDEX(pr_price,MATCH(B2391,pr_code,0))="","",INDEX(pr_price,MATCH(B2391,pr_code,0))),""))))</f>
        <v/>
      </c>
      <c r="K2391" s="71" t="str">
        <f>IF(COUNTA(A2391:G2391)=0,"",IF(G2391&lt;&gt;"",G2391,IF(B2391="","",IFERROR(IF(INDEX(pr_rate,MATCH(B2391,pr_code,0))="","",INDEX(pr_rate,MATCH(B2391,pr_code,0))),""))))</f>
        <v/>
      </c>
      <c r="L2391" s="65" t="str">
        <f>IF(COUNTA(A2391:G2391)=0,"",IF(AND(ISNUMBER(D2391),ISNUMBER(J2391)),ROUND(D2391*J2391*(1-N(F2391)),2),0))</f>
        <v/>
      </c>
      <c r="M2391" s="62" t="str">
        <f>IF(A2391="","",IFERROR(INDEX(fa_cname,MATCH(A2391,fa_num,0))&amp;"",""))</f>
        <v/>
      </c>
      <c r="N2391" s="59" t="str">
        <f>IF(COUNTA(A2391:G2391)=0,"",IF(A2391="","N° facture manquant",IF(ISNA(MATCH(A2391,fa_num,0)),"Facture inconnue",IF(AND(B2391&lt;&gt;"",ISNA(MATCH(B2391,pr_code,0))),"Article inconnu",IF(H2391="","Désignation manquante",IF(OR(NOT(ISNUMBER(D2391)),N(D2391)&lt;=0),"Quantité invalide",IF(J2391="","Prix manquant",IF(OR(NOT(ISNUMBER(J2391)),N(J2391)&lt;0),"Prix invalide",IF(OR(AND(F2391&lt;&gt;"",NOT(ISNUMBER(F2391))),N(F2391)&lt;0,N(F2391)&gt;1),"Remise invalide",IF(K2391="","Taux de TVA manquant",IF(NOT(ISNUMBER(K2391)),"Taux de TVA invalide",IF(COUNTIF(p_rates,K2391)=0,"Taux de TVA hors liste (Paramètres)",IF(N(O2391)&gt;25,"Au-delà de 25 lignes : non imprimée","OK")))))))))))))</f>
        <v/>
      </c>
      <c r="O2391" s="59" t="str">
        <f>IF(A2391="","",COUNTIF($A$6:A2391,A2391))</f>
        <v/>
      </c>
      <c r="P2391" s="62" t="str">
        <f>IF(A2391="","",A2391&amp;"|"&amp;O2391)</f>
        <v/>
      </c>
    </row>
    <row r="2392">
      <c r="A2392" s="60" t="n"/>
      <c r="B2392" s="63" t="n"/>
      <c r="C2392" s="63" t="n"/>
      <c r="D2392" s="67" t="n"/>
      <c r="E2392" s="68" t="n"/>
      <c r="F2392" s="69" t="n"/>
      <c r="G2392" s="70" t="n"/>
      <c r="H2392" s="62" t="str">
        <f>IF(COUNTA(A2392:G2392)=0,"",IF(C2392&lt;&gt;"",C2392,IF(B2392="","",IFERROR(INDEX(pr_des,MATCH(B2392,pr_code,0))&amp;"",""))))</f>
        <v/>
      </c>
      <c r="I2392" s="59" t="str">
        <f>IF(B2392="","",IFERROR(INDEX(pr_unit,MATCH(B2392,pr_code,0))&amp;"",""))</f>
        <v/>
      </c>
      <c r="J2392" s="65" t="str">
        <f>IF(COUNTA(A2392:G2392)=0,"",IF(E2392&lt;&gt;"",E2392,IF(B2392="","",IFERROR(IF(INDEX(pr_price,MATCH(B2392,pr_code,0))="","",INDEX(pr_price,MATCH(B2392,pr_code,0))),""))))</f>
        <v/>
      </c>
      <c r="K2392" s="71" t="str">
        <f>IF(COUNTA(A2392:G2392)=0,"",IF(G2392&lt;&gt;"",G2392,IF(B2392="","",IFERROR(IF(INDEX(pr_rate,MATCH(B2392,pr_code,0))="","",INDEX(pr_rate,MATCH(B2392,pr_code,0))),""))))</f>
        <v/>
      </c>
      <c r="L2392" s="65" t="str">
        <f>IF(COUNTA(A2392:G2392)=0,"",IF(AND(ISNUMBER(D2392),ISNUMBER(J2392)),ROUND(D2392*J2392*(1-N(F2392)),2),0))</f>
        <v/>
      </c>
      <c r="M2392" s="62" t="str">
        <f>IF(A2392="","",IFERROR(INDEX(fa_cname,MATCH(A2392,fa_num,0))&amp;"",""))</f>
        <v/>
      </c>
      <c r="N2392" s="59" t="str">
        <f>IF(COUNTA(A2392:G2392)=0,"",IF(A2392="","N° facture manquant",IF(ISNA(MATCH(A2392,fa_num,0)),"Facture inconnue",IF(AND(B2392&lt;&gt;"",ISNA(MATCH(B2392,pr_code,0))),"Article inconnu",IF(H2392="","Désignation manquante",IF(OR(NOT(ISNUMBER(D2392)),N(D2392)&lt;=0),"Quantité invalide",IF(J2392="","Prix manquant",IF(OR(NOT(ISNUMBER(J2392)),N(J2392)&lt;0),"Prix invalide",IF(OR(AND(F2392&lt;&gt;"",NOT(ISNUMBER(F2392))),N(F2392)&lt;0,N(F2392)&gt;1),"Remise invalide",IF(K2392="","Taux de TVA manquant",IF(NOT(ISNUMBER(K2392)),"Taux de TVA invalide",IF(COUNTIF(p_rates,K2392)=0,"Taux de TVA hors liste (Paramètres)",IF(N(O2392)&gt;25,"Au-delà de 25 lignes : non imprimée","OK")))))))))))))</f>
        <v/>
      </c>
      <c r="O2392" s="59" t="str">
        <f>IF(A2392="","",COUNTIF($A$6:A2392,A2392))</f>
        <v/>
      </c>
      <c r="P2392" s="62" t="str">
        <f>IF(A2392="","",A2392&amp;"|"&amp;O2392)</f>
        <v/>
      </c>
    </row>
    <row r="2393">
      <c r="A2393" s="60" t="n"/>
      <c r="B2393" s="63" t="n"/>
      <c r="C2393" s="63" t="n"/>
      <c r="D2393" s="67" t="n"/>
      <c r="E2393" s="68" t="n"/>
      <c r="F2393" s="69" t="n"/>
      <c r="G2393" s="70" t="n"/>
      <c r="H2393" s="62" t="str">
        <f>IF(COUNTA(A2393:G2393)=0,"",IF(C2393&lt;&gt;"",C2393,IF(B2393="","",IFERROR(INDEX(pr_des,MATCH(B2393,pr_code,0))&amp;"",""))))</f>
        <v/>
      </c>
      <c r="I2393" s="59" t="str">
        <f>IF(B2393="","",IFERROR(INDEX(pr_unit,MATCH(B2393,pr_code,0))&amp;"",""))</f>
        <v/>
      </c>
      <c r="J2393" s="65" t="str">
        <f>IF(COUNTA(A2393:G2393)=0,"",IF(E2393&lt;&gt;"",E2393,IF(B2393="","",IFERROR(IF(INDEX(pr_price,MATCH(B2393,pr_code,0))="","",INDEX(pr_price,MATCH(B2393,pr_code,0))),""))))</f>
        <v/>
      </c>
      <c r="K2393" s="71" t="str">
        <f>IF(COUNTA(A2393:G2393)=0,"",IF(G2393&lt;&gt;"",G2393,IF(B2393="","",IFERROR(IF(INDEX(pr_rate,MATCH(B2393,pr_code,0))="","",INDEX(pr_rate,MATCH(B2393,pr_code,0))),""))))</f>
        <v/>
      </c>
      <c r="L2393" s="65" t="str">
        <f>IF(COUNTA(A2393:G2393)=0,"",IF(AND(ISNUMBER(D2393),ISNUMBER(J2393)),ROUND(D2393*J2393*(1-N(F2393)),2),0))</f>
        <v/>
      </c>
      <c r="M2393" s="62" t="str">
        <f>IF(A2393="","",IFERROR(INDEX(fa_cname,MATCH(A2393,fa_num,0))&amp;"",""))</f>
        <v/>
      </c>
      <c r="N2393" s="59" t="str">
        <f>IF(COUNTA(A2393:G2393)=0,"",IF(A2393="","N° facture manquant",IF(ISNA(MATCH(A2393,fa_num,0)),"Facture inconnue",IF(AND(B2393&lt;&gt;"",ISNA(MATCH(B2393,pr_code,0))),"Article inconnu",IF(H2393="","Désignation manquante",IF(OR(NOT(ISNUMBER(D2393)),N(D2393)&lt;=0),"Quantité invalide",IF(J2393="","Prix manquant",IF(OR(NOT(ISNUMBER(J2393)),N(J2393)&lt;0),"Prix invalide",IF(OR(AND(F2393&lt;&gt;"",NOT(ISNUMBER(F2393))),N(F2393)&lt;0,N(F2393)&gt;1),"Remise invalide",IF(K2393="","Taux de TVA manquant",IF(NOT(ISNUMBER(K2393)),"Taux de TVA invalide",IF(COUNTIF(p_rates,K2393)=0,"Taux de TVA hors liste (Paramètres)",IF(N(O2393)&gt;25,"Au-delà de 25 lignes : non imprimée","OK")))))))))))))</f>
        <v/>
      </c>
      <c r="O2393" s="59" t="str">
        <f>IF(A2393="","",COUNTIF($A$6:A2393,A2393))</f>
        <v/>
      </c>
      <c r="P2393" s="62" t="str">
        <f>IF(A2393="","",A2393&amp;"|"&amp;O2393)</f>
        <v/>
      </c>
    </row>
    <row r="2394">
      <c r="A2394" s="60" t="n"/>
      <c r="B2394" s="63" t="n"/>
      <c r="C2394" s="63" t="n"/>
      <c r="D2394" s="67" t="n"/>
      <c r="E2394" s="68" t="n"/>
      <c r="F2394" s="69" t="n"/>
      <c r="G2394" s="70" t="n"/>
      <c r="H2394" s="62" t="str">
        <f>IF(COUNTA(A2394:G2394)=0,"",IF(C2394&lt;&gt;"",C2394,IF(B2394="","",IFERROR(INDEX(pr_des,MATCH(B2394,pr_code,0))&amp;"",""))))</f>
        <v/>
      </c>
      <c r="I2394" s="59" t="str">
        <f>IF(B2394="","",IFERROR(INDEX(pr_unit,MATCH(B2394,pr_code,0))&amp;"",""))</f>
        <v/>
      </c>
      <c r="J2394" s="65" t="str">
        <f>IF(COUNTA(A2394:G2394)=0,"",IF(E2394&lt;&gt;"",E2394,IF(B2394="","",IFERROR(IF(INDEX(pr_price,MATCH(B2394,pr_code,0))="","",INDEX(pr_price,MATCH(B2394,pr_code,0))),""))))</f>
        <v/>
      </c>
      <c r="K2394" s="71" t="str">
        <f>IF(COUNTA(A2394:G2394)=0,"",IF(G2394&lt;&gt;"",G2394,IF(B2394="","",IFERROR(IF(INDEX(pr_rate,MATCH(B2394,pr_code,0))="","",INDEX(pr_rate,MATCH(B2394,pr_code,0))),""))))</f>
        <v/>
      </c>
      <c r="L2394" s="65" t="str">
        <f>IF(COUNTA(A2394:G2394)=0,"",IF(AND(ISNUMBER(D2394),ISNUMBER(J2394)),ROUND(D2394*J2394*(1-N(F2394)),2),0))</f>
        <v/>
      </c>
      <c r="M2394" s="62" t="str">
        <f>IF(A2394="","",IFERROR(INDEX(fa_cname,MATCH(A2394,fa_num,0))&amp;"",""))</f>
        <v/>
      </c>
      <c r="N2394" s="59" t="str">
        <f>IF(COUNTA(A2394:G2394)=0,"",IF(A2394="","N° facture manquant",IF(ISNA(MATCH(A2394,fa_num,0)),"Facture inconnue",IF(AND(B2394&lt;&gt;"",ISNA(MATCH(B2394,pr_code,0))),"Article inconnu",IF(H2394="","Désignation manquante",IF(OR(NOT(ISNUMBER(D2394)),N(D2394)&lt;=0),"Quantité invalide",IF(J2394="","Prix manquant",IF(OR(NOT(ISNUMBER(J2394)),N(J2394)&lt;0),"Prix invalide",IF(OR(AND(F2394&lt;&gt;"",NOT(ISNUMBER(F2394))),N(F2394)&lt;0,N(F2394)&gt;1),"Remise invalide",IF(K2394="","Taux de TVA manquant",IF(NOT(ISNUMBER(K2394)),"Taux de TVA invalide",IF(COUNTIF(p_rates,K2394)=0,"Taux de TVA hors liste (Paramètres)",IF(N(O2394)&gt;25,"Au-delà de 25 lignes : non imprimée","OK")))))))))))))</f>
        <v/>
      </c>
      <c r="O2394" s="59" t="str">
        <f>IF(A2394="","",COUNTIF($A$6:A2394,A2394))</f>
        <v/>
      </c>
      <c r="P2394" s="62" t="str">
        <f>IF(A2394="","",A2394&amp;"|"&amp;O2394)</f>
        <v/>
      </c>
    </row>
    <row r="2395">
      <c r="A2395" s="60" t="n"/>
      <c r="B2395" s="63" t="n"/>
      <c r="C2395" s="63" t="n"/>
      <c r="D2395" s="67" t="n"/>
      <c r="E2395" s="68" t="n"/>
      <c r="F2395" s="69" t="n"/>
      <c r="G2395" s="70" t="n"/>
      <c r="H2395" s="62" t="str">
        <f>IF(COUNTA(A2395:G2395)=0,"",IF(C2395&lt;&gt;"",C2395,IF(B2395="","",IFERROR(INDEX(pr_des,MATCH(B2395,pr_code,0))&amp;"",""))))</f>
        <v/>
      </c>
      <c r="I2395" s="59" t="str">
        <f>IF(B2395="","",IFERROR(INDEX(pr_unit,MATCH(B2395,pr_code,0))&amp;"",""))</f>
        <v/>
      </c>
      <c r="J2395" s="65" t="str">
        <f>IF(COUNTA(A2395:G2395)=0,"",IF(E2395&lt;&gt;"",E2395,IF(B2395="","",IFERROR(IF(INDEX(pr_price,MATCH(B2395,pr_code,0))="","",INDEX(pr_price,MATCH(B2395,pr_code,0))),""))))</f>
        <v/>
      </c>
      <c r="K2395" s="71" t="str">
        <f>IF(COUNTA(A2395:G2395)=0,"",IF(G2395&lt;&gt;"",G2395,IF(B2395="","",IFERROR(IF(INDEX(pr_rate,MATCH(B2395,pr_code,0))="","",INDEX(pr_rate,MATCH(B2395,pr_code,0))),""))))</f>
        <v/>
      </c>
      <c r="L2395" s="65" t="str">
        <f>IF(COUNTA(A2395:G2395)=0,"",IF(AND(ISNUMBER(D2395),ISNUMBER(J2395)),ROUND(D2395*J2395*(1-N(F2395)),2),0))</f>
        <v/>
      </c>
      <c r="M2395" s="62" t="str">
        <f>IF(A2395="","",IFERROR(INDEX(fa_cname,MATCH(A2395,fa_num,0))&amp;"",""))</f>
        <v/>
      </c>
      <c r="N2395" s="59" t="str">
        <f>IF(COUNTA(A2395:G2395)=0,"",IF(A2395="","N° facture manquant",IF(ISNA(MATCH(A2395,fa_num,0)),"Facture inconnue",IF(AND(B2395&lt;&gt;"",ISNA(MATCH(B2395,pr_code,0))),"Article inconnu",IF(H2395="","Désignation manquante",IF(OR(NOT(ISNUMBER(D2395)),N(D2395)&lt;=0),"Quantité invalide",IF(J2395="","Prix manquant",IF(OR(NOT(ISNUMBER(J2395)),N(J2395)&lt;0),"Prix invalide",IF(OR(AND(F2395&lt;&gt;"",NOT(ISNUMBER(F2395))),N(F2395)&lt;0,N(F2395)&gt;1),"Remise invalide",IF(K2395="","Taux de TVA manquant",IF(NOT(ISNUMBER(K2395)),"Taux de TVA invalide",IF(COUNTIF(p_rates,K2395)=0,"Taux de TVA hors liste (Paramètres)",IF(N(O2395)&gt;25,"Au-delà de 25 lignes : non imprimée","OK")))))))))))))</f>
        <v/>
      </c>
      <c r="O2395" s="59" t="str">
        <f>IF(A2395="","",COUNTIF($A$6:A2395,A2395))</f>
        <v/>
      </c>
      <c r="P2395" s="62" t="str">
        <f>IF(A2395="","",A2395&amp;"|"&amp;O2395)</f>
        <v/>
      </c>
    </row>
    <row r="2396">
      <c r="A2396" s="60" t="n"/>
      <c r="B2396" s="63" t="n"/>
      <c r="C2396" s="63" t="n"/>
      <c r="D2396" s="67" t="n"/>
      <c r="E2396" s="68" t="n"/>
      <c r="F2396" s="69" t="n"/>
      <c r="G2396" s="70" t="n"/>
      <c r="H2396" s="62" t="str">
        <f>IF(COUNTA(A2396:G2396)=0,"",IF(C2396&lt;&gt;"",C2396,IF(B2396="","",IFERROR(INDEX(pr_des,MATCH(B2396,pr_code,0))&amp;"",""))))</f>
        <v/>
      </c>
      <c r="I2396" s="59" t="str">
        <f>IF(B2396="","",IFERROR(INDEX(pr_unit,MATCH(B2396,pr_code,0))&amp;"",""))</f>
        <v/>
      </c>
      <c r="J2396" s="65" t="str">
        <f>IF(COUNTA(A2396:G2396)=0,"",IF(E2396&lt;&gt;"",E2396,IF(B2396="","",IFERROR(IF(INDEX(pr_price,MATCH(B2396,pr_code,0))="","",INDEX(pr_price,MATCH(B2396,pr_code,0))),""))))</f>
        <v/>
      </c>
      <c r="K2396" s="71" t="str">
        <f>IF(COUNTA(A2396:G2396)=0,"",IF(G2396&lt;&gt;"",G2396,IF(B2396="","",IFERROR(IF(INDEX(pr_rate,MATCH(B2396,pr_code,0))="","",INDEX(pr_rate,MATCH(B2396,pr_code,0))),""))))</f>
        <v/>
      </c>
      <c r="L2396" s="65" t="str">
        <f>IF(COUNTA(A2396:G2396)=0,"",IF(AND(ISNUMBER(D2396),ISNUMBER(J2396)),ROUND(D2396*J2396*(1-N(F2396)),2),0))</f>
        <v/>
      </c>
      <c r="M2396" s="62" t="str">
        <f>IF(A2396="","",IFERROR(INDEX(fa_cname,MATCH(A2396,fa_num,0))&amp;"",""))</f>
        <v/>
      </c>
      <c r="N2396" s="59" t="str">
        <f>IF(COUNTA(A2396:G2396)=0,"",IF(A2396="","N° facture manquant",IF(ISNA(MATCH(A2396,fa_num,0)),"Facture inconnue",IF(AND(B2396&lt;&gt;"",ISNA(MATCH(B2396,pr_code,0))),"Article inconnu",IF(H2396="","Désignation manquante",IF(OR(NOT(ISNUMBER(D2396)),N(D2396)&lt;=0),"Quantité invalide",IF(J2396="","Prix manquant",IF(OR(NOT(ISNUMBER(J2396)),N(J2396)&lt;0),"Prix invalide",IF(OR(AND(F2396&lt;&gt;"",NOT(ISNUMBER(F2396))),N(F2396)&lt;0,N(F2396)&gt;1),"Remise invalide",IF(K2396="","Taux de TVA manquant",IF(NOT(ISNUMBER(K2396)),"Taux de TVA invalide",IF(COUNTIF(p_rates,K2396)=0,"Taux de TVA hors liste (Paramètres)",IF(N(O2396)&gt;25,"Au-delà de 25 lignes : non imprimée","OK")))))))))))))</f>
        <v/>
      </c>
      <c r="O2396" s="59" t="str">
        <f>IF(A2396="","",COUNTIF($A$6:A2396,A2396))</f>
        <v/>
      </c>
      <c r="P2396" s="62" t="str">
        <f>IF(A2396="","",A2396&amp;"|"&amp;O2396)</f>
        <v/>
      </c>
    </row>
    <row r="2397">
      <c r="A2397" s="60" t="n"/>
      <c r="B2397" s="63" t="n"/>
      <c r="C2397" s="63" t="n"/>
      <c r="D2397" s="67" t="n"/>
      <c r="E2397" s="68" t="n"/>
      <c r="F2397" s="69" t="n"/>
      <c r="G2397" s="70" t="n"/>
      <c r="H2397" s="62" t="str">
        <f>IF(COUNTA(A2397:G2397)=0,"",IF(C2397&lt;&gt;"",C2397,IF(B2397="","",IFERROR(INDEX(pr_des,MATCH(B2397,pr_code,0))&amp;"",""))))</f>
        <v/>
      </c>
      <c r="I2397" s="59" t="str">
        <f>IF(B2397="","",IFERROR(INDEX(pr_unit,MATCH(B2397,pr_code,0))&amp;"",""))</f>
        <v/>
      </c>
      <c r="J2397" s="65" t="str">
        <f>IF(COUNTA(A2397:G2397)=0,"",IF(E2397&lt;&gt;"",E2397,IF(B2397="","",IFERROR(IF(INDEX(pr_price,MATCH(B2397,pr_code,0))="","",INDEX(pr_price,MATCH(B2397,pr_code,0))),""))))</f>
        <v/>
      </c>
      <c r="K2397" s="71" t="str">
        <f>IF(COUNTA(A2397:G2397)=0,"",IF(G2397&lt;&gt;"",G2397,IF(B2397="","",IFERROR(IF(INDEX(pr_rate,MATCH(B2397,pr_code,0))="","",INDEX(pr_rate,MATCH(B2397,pr_code,0))),""))))</f>
        <v/>
      </c>
      <c r="L2397" s="65" t="str">
        <f>IF(COUNTA(A2397:G2397)=0,"",IF(AND(ISNUMBER(D2397),ISNUMBER(J2397)),ROUND(D2397*J2397*(1-N(F2397)),2),0))</f>
        <v/>
      </c>
      <c r="M2397" s="62" t="str">
        <f>IF(A2397="","",IFERROR(INDEX(fa_cname,MATCH(A2397,fa_num,0))&amp;"",""))</f>
        <v/>
      </c>
      <c r="N2397" s="59" t="str">
        <f>IF(COUNTA(A2397:G2397)=0,"",IF(A2397="","N° facture manquant",IF(ISNA(MATCH(A2397,fa_num,0)),"Facture inconnue",IF(AND(B2397&lt;&gt;"",ISNA(MATCH(B2397,pr_code,0))),"Article inconnu",IF(H2397="","Désignation manquante",IF(OR(NOT(ISNUMBER(D2397)),N(D2397)&lt;=0),"Quantité invalide",IF(J2397="","Prix manquant",IF(OR(NOT(ISNUMBER(J2397)),N(J2397)&lt;0),"Prix invalide",IF(OR(AND(F2397&lt;&gt;"",NOT(ISNUMBER(F2397))),N(F2397)&lt;0,N(F2397)&gt;1),"Remise invalide",IF(K2397="","Taux de TVA manquant",IF(NOT(ISNUMBER(K2397)),"Taux de TVA invalide",IF(COUNTIF(p_rates,K2397)=0,"Taux de TVA hors liste (Paramètres)",IF(N(O2397)&gt;25,"Au-delà de 25 lignes : non imprimée","OK")))))))))))))</f>
        <v/>
      </c>
      <c r="O2397" s="59" t="str">
        <f>IF(A2397="","",COUNTIF($A$6:A2397,A2397))</f>
        <v/>
      </c>
      <c r="P2397" s="62" t="str">
        <f>IF(A2397="","",A2397&amp;"|"&amp;O2397)</f>
        <v/>
      </c>
    </row>
    <row r="2398">
      <c r="A2398" s="60" t="n"/>
      <c r="B2398" s="63" t="n"/>
      <c r="C2398" s="63" t="n"/>
      <c r="D2398" s="67" t="n"/>
      <c r="E2398" s="68" t="n"/>
      <c r="F2398" s="69" t="n"/>
      <c r="G2398" s="70" t="n"/>
      <c r="H2398" s="62" t="str">
        <f>IF(COUNTA(A2398:G2398)=0,"",IF(C2398&lt;&gt;"",C2398,IF(B2398="","",IFERROR(INDEX(pr_des,MATCH(B2398,pr_code,0))&amp;"",""))))</f>
        <v/>
      </c>
      <c r="I2398" s="59" t="str">
        <f>IF(B2398="","",IFERROR(INDEX(pr_unit,MATCH(B2398,pr_code,0))&amp;"",""))</f>
        <v/>
      </c>
      <c r="J2398" s="65" t="str">
        <f>IF(COUNTA(A2398:G2398)=0,"",IF(E2398&lt;&gt;"",E2398,IF(B2398="","",IFERROR(IF(INDEX(pr_price,MATCH(B2398,pr_code,0))="","",INDEX(pr_price,MATCH(B2398,pr_code,0))),""))))</f>
        <v/>
      </c>
      <c r="K2398" s="71" t="str">
        <f>IF(COUNTA(A2398:G2398)=0,"",IF(G2398&lt;&gt;"",G2398,IF(B2398="","",IFERROR(IF(INDEX(pr_rate,MATCH(B2398,pr_code,0))="","",INDEX(pr_rate,MATCH(B2398,pr_code,0))),""))))</f>
        <v/>
      </c>
      <c r="L2398" s="65" t="str">
        <f>IF(COUNTA(A2398:G2398)=0,"",IF(AND(ISNUMBER(D2398),ISNUMBER(J2398)),ROUND(D2398*J2398*(1-N(F2398)),2),0))</f>
        <v/>
      </c>
      <c r="M2398" s="62" t="str">
        <f>IF(A2398="","",IFERROR(INDEX(fa_cname,MATCH(A2398,fa_num,0))&amp;"",""))</f>
        <v/>
      </c>
      <c r="N2398" s="59" t="str">
        <f>IF(COUNTA(A2398:G2398)=0,"",IF(A2398="","N° facture manquant",IF(ISNA(MATCH(A2398,fa_num,0)),"Facture inconnue",IF(AND(B2398&lt;&gt;"",ISNA(MATCH(B2398,pr_code,0))),"Article inconnu",IF(H2398="","Désignation manquante",IF(OR(NOT(ISNUMBER(D2398)),N(D2398)&lt;=0),"Quantité invalide",IF(J2398="","Prix manquant",IF(OR(NOT(ISNUMBER(J2398)),N(J2398)&lt;0),"Prix invalide",IF(OR(AND(F2398&lt;&gt;"",NOT(ISNUMBER(F2398))),N(F2398)&lt;0,N(F2398)&gt;1),"Remise invalide",IF(K2398="","Taux de TVA manquant",IF(NOT(ISNUMBER(K2398)),"Taux de TVA invalide",IF(COUNTIF(p_rates,K2398)=0,"Taux de TVA hors liste (Paramètres)",IF(N(O2398)&gt;25,"Au-delà de 25 lignes : non imprimée","OK")))))))))))))</f>
        <v/>
      </c>
      <c r="O2398" s="59" t="str">
        <f>IF(A2398="","",COUNTIF($A$6:A2398,A2398))</f>
        <v/>
      </c>
      <c r="P2398" s="62" t="str">
        <f>IF(A2398="","",A2398&amp;"|"&amp;O2398)</f>
        <v/>
      </c>
    </row>
    <row r="2399">
      <c r="A2399" s="60" t="n"/>
      <c r="B2399" s="63" t="n"/>
      <c r="C2399" s="63" t="n"/>
      <c r="D2399" s="67" t="n"/>
      <c r="E2399" s="68" t="n"/>
      <c r="F2399" s="69" t="n"/>
      <c r="G2399" s="70" t="n"/>
      <c r="H2399" s="62" t="str">
        <f>IF(COUNTA(A2399:G2399)=0,"",IF(C2399&lt;&gt;"",C2399,IF(B2399="","",IFERROR(INDEX(pr_des,MATCH(B2399,pr_code,0))&amp;"",""))))</f>
        <v/>
      </c>
      <c r="I2399" s="59" t="str">
        <f>IF(B2399="","",IFERROR(INDEX(pr_unit,MATCH(B2399,pr_code,0))&amp;"",""))</f>
        <v/>
      </c>
      <c r="J2399" s="65" t="str">
        <f>IF(COUNTA(A2399:G2399)=0,"",IF(E2399&lt;&gt;"",E2399,IF(B2399="","",IFERROR(IF(INDEX(pr_price,MATCH(B2399,pr_code,0))="","",INDEX(pr_price,MATCH(B2399,pr_code,0))),""))))</f>
        <v/>
      </c>
      <c r="K2399" s="71" t="str">
        <f>IF(COUNTA(A2399:G2399)=0,"",IF(G2399&lt;&gt;"",G2399,IF(B2399="","",IFERROR(IF(INDEX(pr_rate,MATCH(B2399,pr_code,0))="","",INDEX(pr_rate,MATCH(B2399,pr_code,0))),""))))</f>
        <v/>
      </c>
      <c r="L2399" s="65" t="str">
        <f>IF(COUNTA(A2399:G2399)=0,"",IF(AND(ISNUMBER(D2399),ISNUMBER(J2399)),ROUND(D2399*J2399*(1-N(F2399)),2),0))</f>
        <v/>
      </c>
      <c r="M2399" s="62" t="str">
        <f>IF(A2399="","",IFERROR(INDEX(fa_cname,MATCH(A2399,fa_num,0))&amp;"",""))</f>
        <v/>
      </c>
      <c r="N2399" s="59" t="str">
        <f>IF(COUNTA(A2399:G2399)=0,"",IF(A2399="","N° facture manquant",IF(ISNA(MATCH(A2399,fa_num,0)),"Facture inconnue",IF(AND(B2399&lt;&gt;"",ISNA(MATCH(B2399,pr_code,0))),"Article inconnu",IF(H2399="","Désignation manquante",IF(OR(NOT(ISNUMBER(D2399)),N(D2399)&lt;=0),"Quantité invalide",IF(J2399="","Prix manquant",IF(OR(NOT(ISNUMBER(J2399)),N(J2399)&lt;0),"Prix invalide",IF(OR(AND(F2399&lt;&gt;"",NOT(ISNUMBER(F2399))),N(F2399)&lt;0,N(F2399)&gt;1),"Remise invalide",IF(K2399="","Taux de TVA manquant",IF(NOT(ISNUMBER(K2399)),"Taux de TVA invalide",IF(COUNTIF(p_rates,K2399)=0,"Taux de TVA hors liste (Paramètres)",IF(N(O2399)&gt;25,"Au-delà de 25 lignes : non imprimée","OK")))))))))))))</f>
        <v/>
      </c>
      <c r="O2399" s="59" t="str">
        <f>IF(A2399="","",COUNTIF($A$6:A2399,A2399))</f>
        <v/>
      </c>
      <c r="P2399" s="62" t="str">
        <f>IF(A2399="","",A2399&amp;"|"&amp;O2399)</f>
        <v/>
      </c>
    </row>
    <row r="2400">
      <c r="A2400" s="60" t="n"/>
      <c r="B2400" s="63" t="n"/>
      <c r="C2400" s="63" t="n"/>
      <c r="D2400" s="67" t="n"/>
      <c r="E2400" s="68" t="n"/>
      <c r="F2400" s="69" t="n"/>
      <c r="G2400" s="70" t="n"/>
      <c r="H2400" s="62" t="str">
        <f>IF(COUNTA(A2400:G2400)=0,"",IF(C2400&lt;&gt;"",C2400,IF(B2400="","",IFERROR(INDEX(pr_des,MATCH(B2400,pr_code,0))&amp;"",""))))</f>
        <v/>
      </c>
      <c r="I2400" s="59" t="str">
        <f>IF(B2400="","",IFERROR(INDEX(pr_unit,MATCH(B2400,pr_code,0))&amp;"",""))</f>
        <v/>
      </c>
      <c r="J2400" s="65" t="str">
        <f>IF(COUNTA(A2400:G2400)=0,"",IF(E2400&lt;&gt;"",E2400,IF(B2400="","",IFERROR(IF(INDEX(pr_price,MATCH(B2400,pr_code,0))="","",INDEX(pr_price,MATCH(B2400,pr_code,0))),""))))</f>
        <v/>
      </c>
      <c r="K2400" s="71" t="str">
        <f>IF(COUNTA(A2400:G2400)=0,"",IF(G2400&lt;&gt;"",G2400,IF(B2400="","",IFERROR(IF(INDEX(pr_rate,MATCH(B2400,pr_code,0))="","",INDEX(pr_rate,MATCH(B2400,pr_code,0))),""))))</f>
        <v/>
      </c>
      <c r="L2400" s="65" t="str">
        <f>IF(COUNTA(A2400:G2400)=0,"",IF(AND(ISNUMBER(D2400),ISNUMBER(J2400)),ROUND(D2400*J2400*(1-N(F2400)),2),0))</f>
        <v/>
      </c>
      <c r="M2400" s="62" t="str">
        <f>IF(A2400="","",IFERROR(INDEX(fa_cname,MATCH(A2400,fa_num,0))&amp;"",""))</f>
        <v/>
      </c>
      <c r="N2400" s="59" t="str">
        <f>IF(COUNTA(A2400:G2400)=0,"",IF(A2400="","N° facture manquant",IF(ISNA(MATCH(A2400,fa_num,0)),"Facture inconnue",IF(AND(B2400&lt;&gt;"",ISNA(MATCH(B2400,pr_code,0))),"Article inconnu",IF(H2400="","Désignation manquante",IF(OR(NOT(ISNUMBER(D2400)),N(D2400)&lt;=0),"Quantité invalide",IF(J2400="","Prix manquant",IF(OR(NOT(ISNUMBER(J2400)),N(J2400)&lt;0),"Prix invalide",IF(OR(AND(F2400&lt;&gt;"",NOT(ISNUMBER(F2400))),N(F2400)&lt;0,N(F2400)&gt;1),"Remise invalide",IF(K2400="","Taux de TVA manquant",IF(NOT(ISNUMBER(K2400)),"Taux de TVA invalide",IF(COUNTIF(p_rates,K2400)=0,"Taux de TVA hors liste (Paramètres)",IF(N(O2400)&gt;25,"Au-delà de 25 lignes : non imprimée","OK")))))))))))))</f>
        <v/>
      </c>
      <c r="O2400" s="59" t="str">
        <f>IF(A2400="","",COUNTIF($A$6:A2400,A2400))</f>
        <v/>
      </c>
      <c r="P2400" s="62" t="str">
        <f>IF(A2400="","",A2400&amp;"|"&amp;O2400)</f>
        <v/>
      </c>
    </row>
    <row r="2401">
      <c r="A2401" s="60" t="n"/>
      <c r="B2401" s="63" t="n"/>
      <c r="C2401" s="63" t="n"/>
      <c r="D2401" s="67" t="n"/>
      <c r="E2401" s="68" t="n"/>
      <c r="F2401" s="69" t="n"/>
      <c r="G2401" s="70" t="n"/>
      <c r="H2401" s="62" t="str">
        <f>IF(COUNTA(A2401:G2401)=0,"",IF(C2401&lt;&gt;"",C2401,IF(B2401="","",IFERROR(INDEX(pr_des,MATCH(B2401,pr_code,0))&amp;"",""))))</f>
        <v/>
      </c>
      <c r="I2401" s="59" t="str">
        <f>IF(B2401="","",IFERROR(INDEX(pr_unit,MATCH(B2401,pr_code,0))&amp;"",""))</f>
        <v/>
      </c>
      <c r="J2401" s="65" t="str">
        <f>IF(COUNTA(A2401:G2401)=0,"",IF(E2401&lt;&gt;"",E2401,IF(B2401="","",IFERROR(IF(INDEX(pr_price,MATCH(B2401,pr_code,0))="","",INDEX(pr_price,MATCH(B2401,pr_code,0))),""))))</f>
        <v/>
      </c>
      <c r="K2401" s="71" t="str">
        <f>IF(COUNTA(A2401:G2401)=0,"",IF(G2401&lt;&gt;"",G2401,IF(B2401="","",IFERROR(IF(INDEX(pr_rate,MATCH(B2401,pr_code,0))="","",INDEX(pr_rate,MATCH(B2401,pr_code,0))),""))))</f>
        <v/>
      </c>
      <c r="L2401" s="65" t="str">
        <f>IF(COUNTA(A2401:G2401)=0,"",IF(AND(ISNUMBER(D2401),ISNUMBER(J2401)),ROUND(D2401*J2401*(1-N(F2401)),2),0))</f>
        <v/>
      </c>
      <c r="M2401" s="62" t="str">
        <f>IF(A2401="","",IFERROR(INDEX(fa_cname,MATCH(A2401,fa_num,0))&amp;"",""))</f>
        <v/>
      </c>
      <c r="N2401" s="59" t="str">
        <f>IF(COUNTA(A2401:G2401)=0,"",IF(A2401="","N° facture manquant",IF(ISNA(MATCH(A2401,fa_num,0)),"Facture inconnue",IF(AND(B2401&lt;&gt;"",ISNA(MATCH(B2401,pr_code,0))),"Article inconnu",IF(H2401="","Désignation manquante",IF(OR(NOT(ISNUMBER(D2401)),N(D2401)&lt;=0),"Quantité invalide",IF(J2401="","Prix manquant",IF(OR(NOT(ISNUMBER(J2401)),N(J2401)&lt;0),"Prix invalide",IF(OR(AND(F2401&lt;&gt;"",NOT(ISNUMBER(F2401))),N(F2401)&lt;0,N(F2401)&gt;1),"Remise invalide",IF(K2401="","Taux de TVA manquant",IF(NOT(ISNUMBER(K2401)),"Taux de TVA invalide",IF(COUNTIF(p_rates,K2401)=0,"Taux de TVA hors liste (Paramètres)",IF(N(O2401)&gt;25,"Au-delà de 25 lignes : non imprimée","OK")))))))))))))</f>
        <v/>
      </c>
      <c r="O2401" s="59" t="str">
        <f>IF(A2401="","",COUNTIF($A$6:A2401,A2401))</f>
        <v/>
      </c>
      <c r="P2401" s="62" t="str">
        <f>IF(A2401="","",A2401&amp;"|"&amp;O2401)</f>
        <v/>
      </c>
    </row>
    <row r="2402">
      <c r="A2402" s="60" t="n"/>
      <c r="B2402" s="63" t="n"/>
      <c r="C2402" s="63" t="n"/>
      <c r="D2402" s="67" t="n"/>
      <c r="E2402" s="68" t="n"/>
      <c r="F2402" s="69" t="n"/>
      <c r="G2402" s="70" t="n"/>
      <c r="H2402" s="62" t="str">
        <f>IF(COUNTA(A2402:G2402)=0,"",IF(C2402&lt;&gt;"",C2402,IF(B2402="","",IFERROR(INDEX(pr_des,MATCH(B2402,pr_code,0))&amp;"",""))))</f>
        <v/>
      </c>
      <c r="I2402" s="59" t="str">
        <f>IF(B2402="","",IFERROR(INDEX(pr_unit,MATCH(B2402,pr_code,0))&amp;"",""))</f>
        <v/>
      </c>
      <c r="J2402" s="65" t="str">
        <f>IF(COUNTA(A2402:G2402)=0,"",IF(E2402&lt;&gt;"",E2402,IF(B2402="","",IFERROR(IF(INDEX(pr_price,MATCH(B2402,pr_code,0))="","",INDEX(pr_price,MATCH(B2402,pr_code,0))),""))))</f>
        <v/>
      </c>
      <c r="K2402" s="71" t="str">
        <f>IF(COUNTA(A2402:G2402)=0,"",IF(G2402&lt;&gt;"",G2402,IF(B2402="","",IFERROR(IF(INDEX(pr_rate,MATCH(B2402,pr_code,0))="","",INDEX(pr_rate,MATCH(B2402,pr_code,0))),""))))</f>
        <v/>
      </c>
      <c r="L2402" s="65" t="str">
        <f>IF(COUNTA(A2402:G2402)=0,"",IF(AND(ISNUMBER(D2402),ISNUMBER(J2402)),ROUND(D2402*J2402*(1-N(F2402)),2),0))</f>
        <v/>
      </c>
      <c r="M2402" s="62" t="str">
        <f>IF(A2402="","",IFERROR(INDEX(fa_cname,MATCH(A2402,fa_num,0))&amp;"",""))</f>
        <v/>
      </c>
      <c r="N2402" s="59" t="str">
        <f>IF(COUNTA(A2402:G2402)=0,"",IF(A2402="","N° facture manquant",IF(ISNA(MATCH(A2402,fa_num,0)),"Facture inconnue",IF(AND(B2402&lt;&gt;"",ISNA(MATCH(B2402,pr_code,0))),"Article inconnu",IF(H2402="","Désignation manquante",IF(OR(NOT(ISNUMBER(D2402)),N(D2402)&lt;=0),"Quantité invalide",IF(J2402="","Prix manquant",IF(OR(NOT(ISNUMBER(J2402)),N(J2402)&lt;0),"Prix invalide",IF(OR(AND(F2402&lt;&gt;"",NOT(ISNUMBER(F2402))),N(F2402)&lt;0,N(F2402)&gt;1),"Remise invalide",IF(K2402="","Taux de TVA manquant",IF(NOT(ISNUMBER(K2402)),"Taux de TVA invalide",IF(COUNTIF(p_rates,K2402)=0,"Taux de TVA hors liste (Paramètres)",IF(N(O2402)&gt;25,"Au-delà de 25 lignes : non imprimée","OK")))))))))))))</f>
        <v/>
      </c>
      <c r="O2402" s="59" t="str">
        <f>IF(A2402="","",COUNTIF($A$6:A2402,A2402))</f>
        <v/>
      </c>
      <c r="P2402" s="62" t="str">
        <f>IF(A2402="","",A2402&amp;"|"&amp;O2402)</f>
        <v/>
      </c>
    </row>
    <row r="2403">
      <c r="A2403" s="60" t="n"/>
      <c r="B2403" s="63" t="n"/>
      <c r="C2403" s="63" t="n"/>
      <c r="D2403" s="67" t="n"/>
      <c r="E2403" s="68" t="n"/>
      <c r="F2403" s="69" t="n"/>
      <c r="G2403" s="70" t="n"/>
      <c r="H2403" s="62" t="str">
        <f>IF(COUNTA(A2403:G2403)=0,"",IF(C2403&lt;&gt;"",C2403,IF(B2403="","",IFERROR(INDEX(pr_des,MATCH(B2403,pr_code,0))&amp;"",""))))</f>
        <v/>
      </c>
      <c r="I2403" s="59" t="str">
        <f>IF(B2403="","",IFERROR(INDEX(pr_unit,MATCH(B2403,pr_code,0))&amp;"",""))</f>
        <v/>
      </c>
      <c r="J2403" s="65" t="str">
        <f>IF(COUNTA(A2403:G2403)=0,"",IF(E2403&lt;&gt;"",E2403,IF(B2403="","",IFERROR(IF(INDEX(pr_price,MATCH(B2403,pr_code,0))="","",INDEX(pr_price,MATCH(B2403,pr_code,0))),""))))</f>
        <v/>
      </c>
      <c r="K2403" s="71" t="str">
        <f>IF(COUNTA(A2403:G2403)=0,"",IF(G2403&lt;&gt;"",G2403,IF(B2403="","",IFERROR(IF(INDEX(pr_rate,MATCH(B2403,pr_code,0))="","",INDEX(pr_rate,MATCH(B2403,pr_code,0))),""))))</f>
        <v/>
      </c>
      <c r="L2403" s="65" t="str">
        <f>IF(COUNTA(A2403:G2403)=0,"",IF(AND(ISNUMBER(D2403),ISNUMBER(J2403)),ROUND(D2403*J2403*(1-N(F2403)),2),0))</f>
        <v/>
      </c>
      <c r="M2403" s="62" t="str">
        <f>IF(A2403="","",IFERROR(INDEX(fa_cname,MATCH(A2403,fa_num,0))&amp;"",""))</f>
        <v/>
      </c>
      <c r="N2403" s="59" t="str">
        <f>IF(COUNTA(A2403:G2403)=0,"",IF(A2403="","N° facture manquant",IF(ISNA(MATCH(A2403,fa_num,0)),"Facture inconnue",IF(AND(B2403&lt;&gt;"",ISNA(MATCH(B2403,pr_code,0))),"Article inconnu",IF(H2403="","Désignation manquante",IF(OR(NOT(ISNUMBER(D2403)),N(D2403)&lt;=0),"Quantité invalide",IF(J2403="","Prix manquant",IF(OR(NOT(ISNUMBER(J2403)),N(J2403)&lt;0),"Prix invalide",IF(OR(AND(F2403&lt;&gt;"",NOT(ISNUMBER(F2403))),N(F2403)&lt;0,N(F2403)&gt;1),"Remise invalide",IF(K2403="","Taux de TVA manquant",IF(NOT(ISNUMBER(K2403)),"Taux de TVA invalide",IF(COUNTIF(p_rates,K2403)=0,"Taux de TVA hors liste (Paramètres)",IF(N(O2403)&gt;25,"Au-delà de 25 lignes : non imprimée","OK")))))))))))))</f>
        <v/>
      </c>
      <c r="O2403" s="59" t="str">
        <f>IF(A2403="","",COUNTIF($A$6:A2403,A2403))</f>
        <v/>
      </c>
      <c r="P2403" s="62" t="str">
        <f>IF(A2403="","",A2403&amp;"|"&amp;O2403)</f>
        <v/>
      </c>
    </row>
    <row r="2404">
      <c r="A2404" s="60" t="n"/>
      <c r="B2404" s="63" t="n"/>
      <c r="C2404" s="63" t="n"/>
      <c r="D2404" s="67" t="n"/>
      <c r="E2404" s="68" t="n"/>
      <c r="F2404" s="69" t="n"/>
      <c r="G2404" s="70" t="n"/>
      <c r="H2404" s="62" t="str">
        <f>IF(COUNTA(A2404:G2404)=0,"",IF(C2404&lt;&gt;"",C2404,IF(B2404="","",IFERROR(INDEX(pr_des,MATCH(B2404,pr_code,0))&amp;"",""))))</f>
        <v/>
      </c>
      <c r="I2404" s="59" t="str">
        <f>IF(B2404="","",IFERROR(INDEX(pr_unit,MATCH(B2404,pr_code,0))&amp;"",""))</f>
        <v/>
      </c>
      <c r="J2404" s="65" t="str">
        <f>IF(COUNTA(A2404:G2404)=0,"",IF(E2404&lt;&gt;"",E2404,IF(B2404="","",IFERROR(IF(INDEX(pr_price,MATCH(B2404,pr_code,0))="","",INDEX(pr_price,MATCH(B2404,pr_code,0))),""))))</f>
        <v/>
      </c>
      <c r="K2404" s="71" t="str">
        <f>IF(COUNTA(A2404:G2404)=0,"",IF(G2404&lt;&gt;"",G2404,IF(B2404="","",IFERROR(IF(INDEX(pr_rate,MATCH(B2404,pr_code,0))="","",INDEX(pr_rate,MATCH(B2404,pr_code,0))),""))))</f>
        <v/>
      </c>
      <c r="L2404" s="65" t="str">
        <f>IF(COUNTA(A2404:G2404)=0,"",IF(AND(ISNUMBER(D2404),ISNUMBER(J2404)),ROUND(D2404*J2404*(1-N(F2404)),2),0))</f>
        <v/>
      </c>
      <c r="M2404" s="62" t="str">
        <f>IF(A2404="","",IFERROR(INDEX(fa_cname,MATCH(A2404,fa_num,0))&amp;"",""))</f>
        <v/>
      </c>
      <c r="N2404" s="59" t="str">
        <f>IF(COUNTA(A2404:G2404)=0,"",IF(A2404="","N° facture manquant",IF(ISNA(MATCH(A2404,fa_num,0)),"Facture inconnue",IF(AND(B2404&lt;&gt;"",ISNA(MATCH(B2404,pr_code,0))),"Article inconnu",IF(H2404="","Désignation manquante",IF(OR(NOT(ISNUMBER(D2404)),N(D2404)&lt;=0),"Quantité invalide",IF(J2404="","Prix manquant",IF(OR(NOT(ISNUMBER(J2404)),N(J2404)&lt;0),"Prix invalide",IF(OR(AND(F2404&lt;&gt;"",NOT(ISNUMBER(F2404))),N(F2404)&lt;0,N(F2404)&gt;1),"Remise invalide",IF(K2404="","Taux de TVA manquant",IF(NOT(ISNUMBER(K2404)),"Taux de TVA invalide",IF(COUNTIF(p_rates,K2404)=0,"Taux de TVA hors liste (Paramètres)",IF(N(O2404)&gt;25,"Au-delà de 25 lignes : non imprimée","OK")))))))))))))</f>
        <v/>
      </c>
      <c r="O2404" s="59" t="str">
        <f>IF(A2404="","",COUNTIF($A$6:A2404,A2404))</f>
        <v/>
      </c>
      <c r="P2404" s="62" t="str">
        <f>IF(A2404="","",A2404&amp;"|"&amp;O2404)</f>
        <v/>
      </c>
    </row>
    <row r="2405">
      <c r="A2405" s="60" t="n"/>
      <c r="B2405" s="63" t="n"/>
      <c r="C2405" s="63" t="n"/>
      <c r="D2405" s="67" t="n"/>
      <c r="E2405" s="68" t="n"/>
      <c r="F2405" s="69" t="n"/>
      <c r="G2405" s="70" t="n"/>
      <c r="H2405" s="62" t="str">
        <f>IF(COUNTA(A2405:G2405)=0,"",IF(C2405&lt;&gt;"",C2405,IF(B2405="","",IFERROR(INDEX(pr_des,MATCH(B2405,pr_code,0))&amp;"",""))))</f>
        <v/>
      </c>
      <c r="I2405" s="59" t="str">
        <f>IF(B2405="","",IFERROR(INDEX(pr_unit,MATCH(B2405,pr_code,0))&amp;"",""))</f>
        <v/>
      </c>
      <c r="J2405" s="65" t="str">
        <f>IF(COUNTA(A2405:G2405)=0,"",IF(E2405&lt;&gt;"",E2405,IF(B2405="","",IFERROR(IF(INDEX(pr_price,MATCH(B2405,pr_code,0))="","",INDEX(pr_price,MATCH(B2405,pr_code,0))),""))))</f>
        <v/>
      </c>
      <c r="K2405" s="71" t="str">
        <f>IF(COUNTA(A2405:G2405)=0,"",IF(G2405&lt;&gt;"",G2405,IF(B2405="","",IFERROR(IF(INDEX(pr_rate,MATCH(B2405,pr_code,0))="","",INDEX(pr_rate,MATCH(B2405,pr_code,0))),""))))</f>
        <v/>
      </c>
      <c r="L2405" s="65" t="str">
        <f>IF(COUNTA(A2405:G2405)=0,"",IF(AND(ISNUMBER(D2405),ISNUMBER(J2405)),ROUND(D2405*J2405*(1-N(F2405)),2),0))</f>
        <v/>
      </c>
      <c r="M2405" s="62" t="str">
        <f>IF(A2405="","",IFERROR(INDEX(fa_cname,MATCH(A2405,fa_num,0))&amp;"",""))</f>
        <v/>
      </c>
      <c r="N2405" s="59" t="str">
        <f>IF(COUNTA(A2405:G2405)=0,"",IF(A2405="","N° facture manquant",IF(ISNA(MATCH(A2405,fa_num,0)),"Facture inconnue",IF(AND(B2405&lt;&gt;"",ISNA(MATCH(B2405,pr_code,0))),"Article inconnu",IF(H2405="","Désignation manquante",IF(OR(NOT(ISNUMBER(D2405)),N(D2405)&lt;=0),"Quantité invalide",IF(J2405="","Prix manquant",IF(OR(NOT(ISNUMBER(J2405)),N(J2405)&lt;0),"Prix invalide",IF(OR(AND(F2405&lt;&gt;"",NOT(ISNUMBER(F2405))),N(F2405)&lt;0,N(F2405)&gt;1),"Remise invalide",IF(K2405="","Taux de TVA manquant",IF(NOT(ISNUMBER(K2405)),"Taux de TVA invalide",IF(COUNTIF(p_rates,K2405)=0,"Taux de TVA hors liste (Paramètres)",IF(N(O2405)&gt;25,"Au-delà de 25 lignes : non imprimée","OK")))))))))))))</f>
        <v/>
      </c>
      <c r="O2405" s="59" t="str">
        <f>IF(A2405="","",COUNTIF($A$6:A2405,A2405))</f>
        <v/>
      </c>
      <c r="P2405" s="62" t="str">
        <f>IF(A2405="","",A2405&amp;"|"&amp;O2405)</f>
        <v/>
      </c>
    </row>
    <row r="2406">
      <c r="A2406" s="60" t="n"/>
      <c r="B2406" s="63" t="n"/>
      <c r="C2406" s="63" t="n"/>
      <c r="D2406" s="67" t="n"/>
      <c r="E2406" s="68" t="n"/>
      <c r="F2406" s="69" t="n"/>
      <c r="G2406" s="70" t="n"/>
      <c r="H2406" s="62" t="str">
        <f>IF(COUNTA(A2406:G2406)=0,"",IF(C2406&lt;&gt;"",C2406,IF(B2406="","",IFERROR(INDEX(pr_des,MATCH(B2406,pr_code,0))&amp;"",""))))</f>
        <v/>
      </c>
      <c r="I2406" s="59" t="str">
        <f>IF(B2406="","",IFERROR(INDEX(pr_unit,MATCH(B2406,pr_code,0))&amp;"",""))</f>
        <v/>
      </c>
      <c r="J2406" s="65" t="str">
        <f>IF(COUNTA(A2406:G2406)=0,"",IF(E2406&lt;&gt;"",E2406,IF(B2406="","",IFERROR(IF(INDEX(pr_price,MATCH(B2406,pr_code,0))="","",INDEX(pr_price,MATCH(B2406,pr_code,0))),""))))</f>
        <v/>
      </c>
      <c r="K2406" s="71" t="str">
        <f>IF(COUNTA(A2406:G2406)=0,"",IF(G2406&lt;&gt;"",G2406,IF(B2406="","",IFERROR(IF(INDEX(pr_rate,MATCH(B2406,pr_code,0))="","",INDEX(pr_rate,MATCH(B2406,pr_code,0))),""))))</f>
        <v/>
      </c>
      <c r="L2406" s="65" t="str">
        <f>IF(COUNTA(A2406:G2406)=0,"",IF(AND(ISNUMBER(D2406),ISNUMBER(J2406)),ROUND(D2406*J2406*(1-N(F2406)),2),0))</f>
        <v/>
      </c>
      <c r="M2406" s="62" t="str">
        <f>IF(A2406="","",IFERROR(INDEX(fa_cname,MATCH(A2406,fa_num,0))&amp;"",""))</f>
        <v/>
      </c>
      <c r="N2406" s="59" t="str">
        <f>IF(COUNTA(A2406:G2406)=0,"",IF(A2406="","N° facture manquant",IF(ISNA(MATCH(A2406,fa_num,0)),"Facture inconnue",IF(AND(B2406&lt;&gt;"",ISNA(MATCH(B2406,pr_code,0))),"Article inconnu",IF(H2406="","Désignation manquante",IF(OR(NOT(ISNUMBER(D2406)),N(D2406)&lt;=0),"Quantité invalide",IF(J2406="","Prix manquant",IF(OR(NOT(ISNUMBER(J2406)),N(J2406)&lt;0),"Prix invalide",IF(OR(AND(F2406&lt;&gt;"",NOT(ISNUMBER(F2406))),N(F2406)&lt;0,N(F2406)&gt;1),"Remise invalide",IF(K2406="","Taux de TVA manquant",IF(NOT(ISNUMBER(K2406)),"Taux de TVA invalide",IF(COUNTIF(p_rates,K2406)=0,"Taux de TVA hors liste (Paramètres)",IF(N(O2406)&gt;25,"Au-delà de 25 lignes : non imprimée","OK")))))))))))))</f>
        <v/>
      </c>
      <c r="O2406" s="59" t="str">
        <f>IF(A2406="","",COUNTIF($A$6:A2406,A2406))</f>
        <v/>
      </c>
      <c r="P2406" s="62" t="str">
        <f>IF(A2406="","",A2406&amp;"|"&amp;O2406)</f>
        <v/>
      </c>
    </row>
    <row r="2407">
      <c r="A2407" s="60" t="n"/>
      <c r="B2407" s="63" t="n"/>
      <c r="C2407" s="63" t="n"/>
      <c r="D2407" s="67" t="n"/>
      <c r="E2407" s="68" t="n"/>
      <c r="F2407" s="69" t="n"/>
      <c r="G2407" s="70" t="n"/>
      <c r="H2407" s="62" t="str">
        <f>IF(COUNTA(A2407:G2407)=0,"",IF(C2407&lt;&gt;"",C2407,IF(B2407="","",IFERROR(INDEX(pr_des,MATCH(B2407,pr_code,0))&amp;"",""))))</f>
        <v/>
      </c>
      <c r="I2407" s="59" t="str">
        <f>IF(B2407="","",IFERROR(INDEX(pr_unit,MATCH(B2407,pr_code,0))&amp;"",""))</f>
        <v/>
      </c>
      <c r="J2407" s="65" t="str">
        <f>IF(COUNTA(A2407:G2407)=0,"",IF(E2407&lt;&gt;"",E2407,IF(B2407="","",IFERROR(IF(INDEX(pr_price,MATCH(B2407,pr_code,0))="","",INDEX(pr_price,MATCH(B2407,pr_code,0))),""))))</f>
        <v/>
      </c>
      <c r="K2407" s="71" t="str">
        <f>IF(COUNTA(A2407:G2407)=0,"",IF(G2407&lt;&gt;"",G2407,IF(B2407="","",IFERROR(IF(INDEX(pr_rate,MATCH(B2407,pr_code,0))="","",INDEX(pr_rate,MATCH(B2407,pr_code,0))),""))))</f>
        <v/>
      </c>
      <c r="L2407" s="65" t="str">
        <f>IF(COUNTA(A2407:G2407)=0,"",IF(AND(ISNUMBER(D2407),ISNUMBER(J2407)),ROUND(D2407*J2407*(1-N(F2407)),2),0))</f>
        <v/>
      </c>
      <c r="M2407" s="62" t="str">
        <f>IF(A2407="","",IFERROR(INDEX(fa_cname,MATCH(A2407,fa_num,0))&amp;"",""))</f>
        <v/>
      </c>
      <c r="N2407" s="59" t="str">
        <f>IF(COUNTA(A2407:G2407)=0,"",IF(A2407="","N° facture manquant",IF(ISNA(MATCH(A2407,fa_num,0)),"Facture inconnue",IF(AND(B2407&lt;&gt;"",ISNA(MATCH(B2407,pr_code,0))),"Article inconnu",IF(H2407="","Désignation manquante",IF(OR(NOT(ISNUMBER(D2407)),N(D2407)&lt;=0),"Quantité invalide",IF(J2407="","Prix manquant",IF(OR(NOT(ISNUMBER(J2407)),N(J2407)&lt;0),"Prix invalide",IF(OR(AND(F2407&lt;&gt;"",NOT(ISNUMBER(F2407))),N(F2407)&lt;0,N(F2407)&gt;1),"Remise invalide",IF(K2407="","Taux de TVA manquant",IF(NOT(ISNUMBER(K2407)),"Taux de TVA invalide",IF(COUNTIF(p_rates,K2407)=0,"Taux de TVA hors liste (Paramètres)",IF(N(O2407)&gt;25,"Au-delà de 25 lignes : non imprimée","OK")))))))))))))</f>
        <v/>
      </c>
      <c r="O2407" s="59" t="str">
        <f>IF(A2407="","",COUNTIF($A$6:A2407,A2407))</f>
        <v/>
      </c>
      <c r="P2407" s="62" t="str">
        <f>IF(A2407="","",A2407&amp;"|"&amp;O2407)</f>
        <v/>
      </c>
    </row>
    <row r="2408">
      <c r="A2408" s="60" t="n"/>
      <c r="B2408" s="63" t="n"/>
      <c r="C2408" s="63" t="n"/>
      <c r="D2408" s="67" t="n"/>
      <c r="E2408" s="68" t="n"/>
      <c r="F2408" s="69" t="n"/>
      <c r="G2408" s="70" t="n"/>
      <c r="H2408" s="62" t="str">
        <f>IF(COUNTA(A2408:G2408)=0,"",IF(C2408&lt;&gt;"",C2408,IF(B2408="","",IFERROR(INDEX(pr_des,MATCH(B2408,pr_code,0))&amp;"",""))))</f>
        <v/>
      </c>
      <c r="I2408" s="59" t="str">
        <f>IF(B2408="","",IFERROR(INDEX(pr_unit,MATCH(B2408,pr_code,0))&amp;"",""))</f>
        <v/>
      </c>
      <c r="J2408" s="65" t="str">
        <f>IF(COUNTA(A2408:G2408)=0,"",IF(E2408&lt;&gt;"",E2408,IF(B2408="","",IFERROR(IF(INDEX(pr_price,MATCH(B2408,pr_code,0))="","",INDEX(pr_price,MATCH(B2408,pr_code,0))),""))))</f>
        <v/>
      </c>
      <c r="K2408" s="71" t="str">
        <f>IF(COUNTA(A2408:G2408)=0,"",IF(G2408&lt;&gt;"",G2408,IF(B2408="","",IFERROR(IF(INDEX(pr_rate,MATCH(B2408,pr_code,0))="","",INDEX(pr_rate,MATCH(B2408,pr_code,0))),""))))</f>
        <v/>
      </c>
      <c r="L2408" s="65" t="str">
        <f>IF(COUNTA(A2408:G2408)=0,"",IF(AND(ISNUMBER(D2408),ISNUMBER(J2408)),ROUND(D2408*J2408*(1-N(F2408)),2),0))</f>
        <v/>
      </c>
      <c r="M2408" s="62" t="str">
        <f>IF(A2408="","",IFERROR(INDEX(fa_cname,MATCH(A2408,fa_num,0))&amp;"",""))</f>
        <v/>
      </c>
      <c r="N2408" s="59" t="str">
        <f>IF(COUNTA(A2408:G2408)=0,"",IF(A2408="","N° facture manquant",IF(ISNA(MATCH(A2408,fa_num,0)),"Facture inconnue",IF(AND(B2408&lt;&gt;"",ISNA(MATCH(B2408,pr_code,0))),"Article inconnu",IF(H2408="","Désignation manquante",IF(OR(NOT(ISNUMBER(D2408)),N(D2408)&lt;=0),"Quantité invalide",IF(J2408="","Prix manquant",IF(OR(NOT(ISNUMBER(J2408)),N(J2408)&lt;0),"Prix invalide",IF(OR(AND(F2408&lt;&gt;"",NOT(ISNUMBER(F2408))),N(F2408)&lt;0,N(F2408)&gt;1),"Remise invalide",IF(K2408="","Taux de TVA manquant",IF(NOT(ISNUMBER(K2408)),"Taux de TVA invalide",IF(COUNTIF(p_rates,K2408)=0,"Taux de TVA hors liste (Paramètres)",IF(N(O2408)&gt;25,"Au-delà de 25 lignes : non imprimée","OK")))))))))))))</f>
        <v/>
      </c>
      <c r="O2408" s="59" t="str">
        <f>IF(A2408="","",COUNTIF($A$6:A2408,A2408))</f>
        <v/>
      </c>
      <c r="P2408" s="62" t="str">
        <f>IF(A2408="","",A2408&amp;"|"&amp;O2408)</f>
        <v/>
      </c>
    </row>
    <row r="2409">
      <c r="A2409" s="60" t="n"/>
      <c r="B2409" s="63" t="n"/>
      <c r="C2409" s="63" t="n"/>
      <c r="D2409" s="67" t="n"/>
      <c r="E2409" s="68" t="n"/>
      <c r="F2409" s="69" t="n"/>
      <c r="G2409" s="70" t="n"/>
      <c r="H2409" s="62" t="str">
        <f>IF(COUNTA(A2409:G2409)=0,"",IF(C2409&lt;&gt;"",C2409,IF(B2409="","",IFERROR(INDEX(pr_des,MATCH(B2409,pr_code,0))&amp;"",""))))</f>
        <v/>
      </c>
      <c r="I2409" s="59" t="str">
        <f>IF(B2409="","",IFERROR(INDEX(pr_unit,MATCH(B2409,pr_code,0))&amp;"",""))</f>
        <v/>
      </c>
      <c r="J2409" s="65" t="str">
        <f>IF(COUNTA(A2409:G2409)=0,"",IF(E2409&lt;&gt;"",E2409,IF(B2409="","",IFERROR(IF(INDEX(pr_price,MATCH(B2409,pr_code,0))="","",INDEX(pr_price,MATCH(B2409,pr_code,0))),""))))</f>
        <v/>
      </c>
      <c r="K2409" s="71" t="str">
        <f>IF(COUNTA(A2409:G2409)=0,"",IF(G2409&lt;&gt;"",G2409,IF(B2409="","",IFERROR(IF(INDEX(pr_rate,MATCH(B2409,pr_code,0))="","",INDEX(pr_rate,MATCH(B2409,pr_code,0))),""))))</f>
        <v/>
      </c>
      <c r="L2409" s="65" t="str">
        <f>IF(COUNTA(A2409:G2409)=0,"",IF(AND(ISNUMBER(D2409),ISNUMBER(J2409)),ROUND(D2409*J2409*(1-N(F2409)),2),0))</f>
        <v/>
      </c>
      <c r="M2409" s="62" t="str">
        <f>IF(A2409="","",IFERROR(INDEX(fa_cname,MATCH(A2409,fa_num,0))&amp;"",""))</f>
        <v/>
      </c>
      <c r="N2409" s="59" t="str">
        <f>IF(COUNTA(A2409:G2409)=0,"",IF(A2409="","N° facture manquant",IF(ISNA(MATCH(A2409,fa_num,0)),"Facture inconnue",IF(AND(B2409&lt;&gt;"",ISNA(MATCH(B2409,pr_code,0))),"Article inconnu",IF(H2409="","Désignation manquante",IF(OR(NOT(ISNUMBER(D2409)),N(D2409)&lt;=0),"Quantité invalide",IF(J2409="","Prix manquant",IF(OR(NOT(ISNUMBER(J2409)),N(J2409)&lt;0),"Prix invalide",IF(OR(AND(F2409&lt;&gt;"",NOT(ISNUMBER(F2409))),N(F2409)&lt;0,N(F2409)&gt;1),"Remise invalide",IF(K2409="","Taux de TVA manquant",IF(NOT(ISNUMBER(K2409)),"Taux de TVA invalide",IF(COUNTIF(p_rates,K2409)=0,"Taux de TVA hors liste (Paramètres)",IF(N(O2409)&gt;25,"Au-delà de 25 lignes : non imprimée","OK")))))))))))))</f>
        <v/>
      </c>
      <c r="O2409" s="59" t="str">
        <f>IF(A2409="","",COUNTIF($A$6:A2409,A2409))</f>
        <v/>
      </c>
      <c r="P2409" s="62" t="str">
        <f>IF(A2409="","",A2409&amp;"|"&amp;O2409)</f>
        <v/>
      </c>
    </row>
    <row r="2410">
      <c r="A2410" s="60" t="n"/>
      <c r="B2410" s="63" t="n"/>
      <c r="C2410" s="63" t="n"/>
      <c r="D2410" s="67" t="n"/>
      <c r="E2410" s="68" t="n"/>
      <c r="F2410" s="69" t="n"/>
      <c r="G2410" s="70" t="n"/>
      <c r="H2410" s="62" t="str">
        <f>IF(COUNTA(A2410:G2410)=0,"",IF(C2410&lt;&gt;"",C2410,IF(B2410="","",IFERROR(INDEX(pr_des,MATCH(B2410,pr_code,0))&amp;"",""))))</f>
        <v/>
      </c>
      <c r="I2410" s="59" t="str">
        <f>IF(B2410="","",IFERROR(INDEX(pr_unit,MATCH(B2410,pr_code,0))&amp;"",""))</f>
        <v/>
      </c>
      <c r="J2410" s="65" t="str">
        <f>IF(COUNTA(A2410:G2410)=0,"",IF(E2410&lt;&gt;"",E2410,IF(B2410="","",IFERROR(IF(INDEX(pr_price,MATCH(B2410,pr_code,0))="","",INDEX(pr_price,MATCH(B2410,pr_code,0))),""))))</f>
        <v/>
      </c>
      <c r="K2410" s="71" t="str">
        <f>IF(COUNTA(A2410:G2410)=0,"",IF(G2410&lt;&gt;"",G2410,IF(B2410="","",IFERROR(IF(INDEX(pr_rate,MATCH(B2410,pr_code,0))="","",INDEX(pr_rate,MATCH(B2410,pr_code,0))),""))))</f>
        <v/>
      </c>
      <c r="L2410" s="65" t="str">
        <f>IF(COUNTA(A2410:G2410)=0,"",IF(AND(ISNUMBER(D2410),ISNUMBER(J2410)),ROUND(D2410*J2410*(1-N(F2410)),2),0))</f>
        <v/>
      </c>
      <c r="M2410" s="62" t="str">
        <f>IF(A2410="","",IFERROR(INDEX(fa_cname,MATCH(A2410,fa_num,0))&amp;"",""))</f>
        <v/>
      </c>
      <c r="N2410" s="59" t="str">
        <f>IF(COUNTA(A2410:G2410)=0,"",IF(A2410="","N° facture manquant",IF(ISNA(MATCH(A2410,fa_num,0)),"Facture inconnue",IF(AND(B2410&lt;&gt;"",ISNA(MATCH(B2410,pr_code,0))),"Article inconnu",IF(H2410="","Désignation manquante",IF(OR(NOT(ISNUMBER(D2410)),N(D2410)&lt;=0),"Quantité invalide",IF(J2410="","Prix manquant",IF(OR(NOT(ISNUMBER(J2410)),N(J2410)&lt;0),"Prix invalide",IF(OR(AND(F2410&lt;&gt;"",NOT(ISNUMBER(F2410))),N(F2410)&lt;0,N(F2410)&gt;1),"Remise invalide",IF(K2410="","Taux de TVA manquant",IF(NOT(ISNUMBER(K2410)),"Taux de TVA invalide",IF(COUNTIF(p_rates,K2410)=0,"Taux de TVA hors liste (Paramètres)",IF(N(O2410)&gt;25,"Au-delà de 25 lignes : non imprimée","OK")))))))))))))</f>
        <v/>
      </c>
      <c r="O2410" s="59" t="str">
        <f>IF(A2410="","",COUNTIF($A$6:A2410,A2410))</f>
        <v/>
      </c>
      <c r="P2410" s="62" t="str">
        <f>IF(A2410="","",A2410&amp;"|"&amp;O2410)</f>
        <v/>
      </c>
    </row>
    <row r="2411">
      <c r="A2411" s="60" t="n"/>
      <c r="B2411" s="63" t="n"/>
      <c r="C2411" s="63" t="n"/>
      <c r="D2411" s="67" t="n"/>
      <c r="E2411" s="68" t="n"/>
      <c r="F2411" s="69" t="n"/>
      <c r="G2411" s="70" t="n"/>
      <c r="H2411" s="62" t="str">
        <f>IF(COUNTA(A2411:G2411)=0,"",IF(C2411&lt;&gt;"",C2411,IF(B2411="","",IFERROR(INDEX(pr_des,MATCH(B2411,pr_code,0))&amp;"",""))))</f>
        <v/>
      </c>
      <c r="I2411" s="59" t="str">
        <f>IF(B2411="","",IFERROR(INDEX(pr_unit,MATCH(B2411,pr_code,0))&amp;"",""))</f>
        <v/>
      </c>
      <c r="J2411" s="65" t="str">
        <f>IF(COUNTA(A2411:G2411)=0,"",IF(E2411&lt;&gt;"",E2411,IF(B2411="","",IFERROR(IF(INDEX(pr_price,MATCH(B2411,pr_code,0))="","",INDEX(pr_price,MATCH(B2411,pr_code,0))),""))))</f>
        <v/>
      </c>
      <c r="K2411" s="71" t="str">
        <f>IF(COUNTA(A2411:G2411)=0,"",IF(G2411&lt;&gt;"",G2411,IF(B2411="","",IFERROR(IF(INDEX(pr_rate,MATCH(B2411,pr_code,0))="","",INDEX(pr_rate,MATCH(B2411,pr_code,0))),""))))</f>
        <v/>
      </c>
      <c r="L2411" s="65" t="str">
        <f>IF(COUNTA(A2411:G2411)=0,"",IF(AND(ISNUMBER(D2411),ISNUMBER(J2411)),ROUND(D2411*J2411*(1-N(F2411)),2),0))</f>
        <v/>
      </c>
      <c r="M2411" s="62" t="str">
        <f>IF(A2411="","",IFERROR(INDEX(fa_cname,MATCH(A2411,fa_num,0))&amp;"",""))</f>
        <v/>
      </c>
      <c r="N2411" s="59" t="str">
        <f>IF(COUNTA(A2411:G2411)=0,"",IF(A2411="","N° facture manquant",IF(ISNA(MATCH(A2411,fa_num,0)),"Facture inconnue",IF(AND(B2411&lt;&gt;"",ISNA(MATCH(B2411,pr_code,0))),"Article inconnu",IF(H2411="","Désignation manquante",IF(OR(NOT(ISNUMBER(D2411)),N(D2411)&lt;=0),"Quantité invalide",IF(J2411="","Prix manquant",IF(OR(NOT(ISNUMBER(J2411)),N(J2411)&lt;0),"Prix invalide",IF(OR(AND(F2411&lt;&gt;"",NOT(ISNUMBER(F2411))),N(F2411)&lt;0,N(F2411)&gt;1),"Remise invalide",IF(K2411="","Taux de TVA manquant",IF(NOT(ISNUMBER(K2411)),"Taux de TVA invalide",IF(COUNTIF(p_rates,K2411)=0,"Taux de TVA hors liste (Paramètres)",IF(N(O2411)&gt;25,"Au-delà de 25 lignes : non imprimée","OK")))))))))))))</f>
        <v/>
      </c>
      <c r="O2411" s="59" t="str">
        <f>IF(A2411="","",COUNTIF($A$6:A2411,A2411))</f>
        <v/>
      </c>
      <c r="P2411" s="62" t="str">
        <f>IF(A2411="","",A2411&amp;"|"&amp;O2411)</f>
        <v/>
      </c>
    </row>
    <row r="2412">
      <c r="A2412" s="60" t="n"/>
      <c r="B2412" s="63" t="n"/>
      <c r="C2412" s="63" t="n"/>
      <c r="D2412" s="67" t="n"/>
      <c r="E2412" s="68" t="n"/>
      <c r="F2412" s="69" t="n"/>
      <c r="G2412" s="70" t="n"/>
      <c r="H2412" s="62" t="str">
        <f>IF(COUNTA(A2412:G2412)=0,"",IF(C2412&lt;&gt;"",C2412,IF(B2412="","",IFERROR(INDEX(pr_des,MATCH(B2412,pr_code,0))&amp;"",""))))</f>
        <v/>
      </c>
      <c r="I2412" s="59" t="str">
        <f>IF(B2412="","",IFERROR(INDEX(pr_unit,MATCH(B2412,pr_code,0))&amp;"",""))</f>
        <v/>
      </c>
      <c r="J2412" s="65" t="str">
        <f>IF(COUNTA(A2412:G2412)=0,"",IF(E2412&lt;&gt;"",E2412,IF(B2412="","",IFERROR(IF(INDEX(pr_price,MATCH(B2412,pr_code,0))="","",INDEX(pr_price,MATCH(B2412,pr_code,0))),""))))</f>
        <v/>
      </c>
      <c r="K2412" s="71" t="str">
        <f>IF(COUNTA(A2412:G2412)=0,"",IF(G2412&lt;&gt;"",G2412,IF(B2412="","",IFERROR(IF(INDEX(pr_rate,MATCH(B2412,pr_code,0))="","",INDEX(pr_rate,MATCH(B2412,pr_code,0))),""))))</f>
        <v/>
      </c>
      <c r="L2412" s="65" t="str">
        <f>IF(COUNTA(A2412:G2412)=0,"",IF(AND(ISNUMBER(D2412),ISNUMBER(J2412)),ROUND(D2412*J2412*(1-N(F2412)),2),0))</f>
        <v/>
      </c>
      <c r="M2412" s="62" t="str">
        <f>IF(A2412="","",IFERROR(INDEX(fa_cname,MATCH(A2412,fa_num,0))&amp;"",""))</f>
        <v/>
      </c>
      <c r="N2412" s="59" t="str">
        <f>IF(COUNTA(A2412:G2412)=0,"",IF(A2412="","N° facture manquant",IF(ISNA(MATCH(A2412,fa_num,0)),"Facture inconnue",IF(AND(B2412&lt;&gt;"",ISNA(MATCH(B2412,pr_code,0))),"Article inconnu",IF(H2412="","Désignation manquante",IF(OR(NOT(ISNUMBER(D2412)),N(D2412)&lt;=0),"Quantité invalide",IF(J2412="","Prix manquant",IF(OR(NOT(ISNUMBER(J2412)),N(J2412)&lt;0),"Prix invalide",IF(OR(AND(F2412&lt;&gt;"",NOT(ISNUMBER(F2412))),N(F2412)&lt;0,N(F2412)&gt;1),"Remise invalide",IF(K2412="","Taux de TVA manquant",IF(NOT(ISNUMBER(K2412)),"Taux de TVA invalide",IF(COUNTIF(p_rates,K2412)=0,"Taux de TVA hors liste (Paramètres)",IF(N(O2412)&gt;25,"Au-delà de 25 lignes : non imprimée","OK")))))))))))))</f>
        <v/>
      </c>
      <c r="O2412" s="59" t="str">
        <f>IF(A2412="","",COUNTIF($A$6:A2412,A2412))</f>
        <v/>
      </c>
      <c r="P2412" s="62" t="str">
        <f>IF(A2412="","",A2412&amp;"|"&amp;O2412)</f>
        <v/>
      </c>
    </row>
    <row r="2413">
      <c r="A2413" s="60" t="n"/>
      <c r="B2413" s="63" t="n"/>
      <c r="C2413" s="63" t="n"/>
      <c r="D2413" s="67" t="n"/>
      <c r="E2413" s="68" t="n"/>
      <c r="F2413" s="69" t="n"/>
      <c r="G2413" s="70" t="n"/>
      <c r="H2413" s="62" t="str">
        <f>IF(COUNTA(A2413:G2413)=0,"",IF(C2413&lt;&gt;"",C2413,IF(B2413="","",IFERROR(INDEX(pr_des,MATCH(B2413,pr_code,0))&amp;"",""))))</f>
        <v/>
      </c>
      <c r="I2413" s="59" t="str">
        <f>IF(B2413="","",IFERROR(INDEX(pr_unit,MATCH(B2413,pr_code,0))&amp;"",""))</f>
        <v/>
      </c>
      <c r="J2413" s="65" t="str">
        <f>IF(COUNTA(A2413:G2413)=0,"",IF(E2413&lt;&gt;"",E2413,IF(B2413="","",IFERROR(IF(INDEX(pr_price,MATCH(B2413,pr_code,0))="","",INDEX(pr_price,MATCH(B2413,pr_code,0))),""))))</f>
        <v/>
      </c>
      <c r="K2413" s="71" t="str">
        <f>IF(COUNTA(A2413:G2413)=0,"",IF(G2413&lt;&gt;"",G2413,IF(B2413="","",IFERROR(IF(INDEX(pr_rate,MATCH(B2413,pr_code,0))="","",INDEX(pr_rate,MATCH(B2413,pr_code,0))),""))))</f>
        <v/>
      </c>
      <c r="L2413" s="65" t="str">
        <f>IF(COUNTA(A2413:G2413)=0,"",IF(AND(ISNUMBER(D2413),ISNUMBER(J2413)),ROUND(D2413*J2413*(1-N(F2413)),2),0))</f>
        <v/>
      </c>
      <c r="M2413" s="62" t="str">
        <f>IF(A2413="","",IFERROR(INDEX(fa_cname,MATCH(A2413,fa_num,0))&amp;"",""))</f>
        <v/>
      </c>
      <c r="N2413" s="59" t="str">
        <f>IF(COUNTA(A2413:G2413)=0,"",IF(A2413="","N° facture manquant",IF(ISNA(MATCH(A2413,fa_num,0)),"Facture inconnue",IF(AND(B2413&lt;&gt;"",ISNA(MATCH(B2413,pr_code,0))),"Article inconnu",IF(H2413="","Désignation manquante",IF(OR(NOT(ISNUMBER(D2413)),N(D2413)&lt;=0),"Quantité invalide",IF(J2413="","Prix manquant",IF(OR(NOT(ISNUMBER(J2413)),N(J2413)&lt;0),"Prix invalide",IF(OR(AND(F2413&lt;&gt;"",NOT(ISNUMBER(F2413))),N(F2413)&lt;0,N(F2413)&gt;1),"Remise invalide",IF(K2413="","Taux de TVA manquant",IF(NOT(ISNUMBER(K2413)),"Taux de TVA invalide",IF(COUNTIF(p_rates,K2413)=0,"Taux de TVA hors liste (Paramètres)",IF(N(O2413)&gt;25,"Au-delà de 25 lignes : non imprimée","OK")))))))))))))</f>
        <v/>
      </c>
      <c r="O2413" s="59" t="str">
        <f>IF(A2413="","",COUNTIF($A$6:A2413,A2413))</f>
        <v/>
      </c>
      <c r="P2413" s="62" t="str">
        <f>IF(A2413="","",A2413&amp;"|"&amp;O2413)</f>
        <v/>
      </c>
    </row>
    <row r="2414">
      <c r="A2414" s="60" t="n"/>
      <c r="B2414" s="63" t="n"/>
      <c r="C2414" s="63" t="n"/>
      <c r="D2414" s="67" t="n"/>
      <c r="E2414" s="68" t="n"/>
      <c r="F2414" s="69" t="n"/>
      <c r="G2414" s="70" t="n"/>
      <c r="H2414" s="62" t="str">
        <f>IF(COUNTA(A2414:G2414)=0,"",IF(C2414&lt;&gt;"",C2414,IF(B2414="","",IFERROR(INDEX(pr_des,MATCH(B2414,pr_code,0))&amp;"",""))))</f>
        <v/>
      </c>
      <c r="I2414" s="59" t="str">
        <f>IF(B2414="","",IFERROR(INDEX(pr_unit,MATCH(B2414,pr_code,0))&amp;"",""))</f>
        <v/>
      </c>
      <c r="J2414" s="65" t="str">
        <f>IF(COUNTA(A2414:G2414)=0,"",IF(E2414&lt;&gt;"",E2414,IF(B2414="","",IFERROR(IF(INDEX(pr_price,MATCH(B2414,pr_code,0))="","",INDEX(pr_price,MATCH(B2414,pr_code,0))),""))))</f>
        <v/>
      </c>
      <c r="K2414" s="71" t="str">
        <f>IF(COUNTA(A2414:G2414)=0,"",IF(G2414&lt;&gt;"",G2414,IF(B2414="","",IFERROR(IF(INDEX(pr_rate,MATCH(B2414,pr_code,0))="","",INDEX(pr_rate,MATCH(B2414,pr_code,0))),""))))</f>
        <v/>
      </c>
      <c r="L2414" s="65" t="str">
        <f>IF(COUNTA(A2414:G2414)=0,"",IF(AND(ISNUMBER(D2414),ISNUMBER(J2414)),ROUND(D2414*J2414*(1-N(F2414)),2),0))</f>
        <v/>
      </c>
      <c r="M2414" s="62" t="str">
        <f>IF(A2414="","",IFERROR(INDEX(fa_cname,MATCH(A2414,fa_num,0))&amp;"",""))</f>
        <v/>
      </c>
      <c r="N2414" s="59" t="str">
        <f>IF(COUNTA(A2414:G2414)=0,"",IF(A2414="","N° facture manquant",IF(ISNA(MATCH(A2414,fa_num,0)),"Facture inconnue",IF(AND(B2414&lt;&gt;"",ISNA(MATCH(B2414,pr_code,0))),"Article inconnu",IF(H2414="","Désignation manquante",IF(OR(NOT(ISNUMBER(D2414)),N(D2414)&lt;=0),"Quantité invalide",IF(J2414="","Prix manquant",IF(OR(NOT(ISNUMBER(J2414)),N(J2414)&lt;0),"Prix invalide",IF(OR(AND(F2414&lt;&gt;"",NOT(ISNUMBER(F2414))),N(F2414)&lt;0,N(F2414)&gt;1),"Remise invalide",IF(K2414="","Taux de TVA manquant",IF(NOT(ISNUMBER(K2414)),"Taux de TVA invalide",IF(COUNTIF(p_rates,K2414)=0,"Taux de TVA hors liste (Paramètres)",IF(N(O2414)&gt;25,"Au-delà de 25 lignes : non imprimée","OK")))))))))))))</f>
        <v/>
      </c>
      <c r="O2414" s="59" t="str">
        <f>IF(A2414="","",COUNTIF($A$6:A2414,A2414))</f>
        <v/>
      </c>
      <c r="P2414" s="62" t="str">
        <f>IF(A2414="","",A2414&amp;"|"&amp;O2414)</f>
        <v/>
      </c>
    </row>
    <row r="2415">
      <c r="A2415" s="60" t="n"/>
      <c r="B2415" s="63" t="n"/>
      <c r="C2415" s="63" t="n"/>
      <c r="D2415" s="67" t="n"/>
      <c r="E2415" s="68" t="n"/>
      <c r="F2415" s="69" t="n"/>
      <c r="G2415" s="70" t="n"/>
      <c r="H2415" s="62" t="str">
        <f>IF(COUNTA(A2415:G2415)=0,"",IF(C2415&lt;&gt;"",C2415,IF(B2415="","",IFERROR(INDEX(pr_des,MATCH(B2415,pr_code,0))&amp;"",""))))</f>
        <v/>
      </c>
      <c r="I2415" s="59" t="str">
        <f>IF(B2415="","",IFERROR(INDEX(pr_unit,MATCH(B2415,pr_code,0))&amp;"",""))</f>
        <v/>
      </c>
      <c r="J2415" s="65" t="str">
        <f>IF(COUNTA(A2415:G2415)=0,"",IF(E2415&lt;&gt;"",E2415,IF(B2415="","",IFERROR(IF(INDEX(pr_price,MATCH(B2415,pr_code,0))="","",INDEX(pr_price,MATCH(B2415,pr_code,0))),""))))</f>
        <v/>
      </c>
      <c r="K2415" s="71" t="str">
        <f>IF(COUNTA(A2415:G2415)=0,"",IF(G2415&lt;&gt;"",G2415,IF(B2415="","",IFERROR(IF(INDEX(pr_rate,MATCH(B2415,pr_code,0))="","",INDEX(pr_rate,MATCH(B2415,pr_code,0))),""))))</f>
        <v/>
      </c>
      <c r="L2415" s="65" t="str">
        <f>IF(COUNTA(A2415:G2415)=0,"",IF(AND(ISNUMBER(D2415),ISNUMBER(J2415)),ROUND(D2415*J2415*(1-N(F2415)),2),0))</f>
        <v/>
      </c>
      <c r="M2415" s="62" t="str">
        <f>IF(A2415="","",IFERROR(INDEX(fa_cname,MATCH(A2415,fa_num,0))&amp;"",""))</f>
        <v/>
      </c>
      <c r="N2415" s="59" t="str">
        <f>IF(COUNTA(A2415:G2415)=0,"",IF(A2415="","N° facture manquant",IF(ISNA(MATCH(A2415,fa_num,0)),"Facture inconnue",IF(AND(B2415&lt;&gt;"",ISNA(MATCH(B2415,pr_code,0))),"Article inconnu",IF(H2415="","Désignation manquante",IF(OR(NOT(ISNUMBER(D2415)),N(D2415)&lt;=0),"Quantité invalide",IF(J2415="","Prix manquant",IF(OR(NOT(ISNUMBER(J2415)),N(J2415)&lt;0),"Prix invalide",IF(OR(AND(F2415&lt;&gt;"",NOT(ISNUMBER(F2415))),N(F2415)&lt;0,N(F2415)&gt;1),"Remise invalide",IF(K2415="","Taux de TVA manquant",IF(NOT(ISNUMBER(K2415)),"Taux de TVA invalide",IF(COUNTIF(p_rates,K2415)=0,"Taux de TVA hors liste (Paramètres)",IF(N(O2415)&gt;25,"Au-delà de 25 lignes : non imprimée","OK")))))))))))))</f>
        <v/>
      </c>
      <c r="O2415" s="59" t="str">
        <f>IF(A2415="","",COUNTIF($A$6:A2415,A2415))</f>
        <v/>
      </c>
      <c r="P2415" s="62" t="str">
        <f>IF(A2415="","",A2415&amp;"|"&amp;O2415)</f>
        <v/>
      </c>
    </row>
    <row r="2416">
      <c r="A2416" s="60" t="n"/>
      <c r="B2416" s="63" t="n"/>
      <c r="C2416" s="63" t="n"/>
      <c r="D2416" s="67" t="n"/>
      <c r="E2416" s="68" t="n"/>
      <c r="F2416" s="69" t="n"/>
      <c r="G2416" s="70" t="n"/>
      <c r="H2416" s="62" t="str">
        <f>IF(COUNTA(A2416:G2416)=0,"",IF(C2416&lt;&gt;"",C2416,IF(B2416="","",IFERROR(INDEX(pr_des,MATCH(B2416,pr_code,0))&amp;"",""))))</f>
        <v/>
      </c>
      <c r="I2416" s="59" t="str">
        <f>IF(B2416="","",IFERROR(INDEX(pr_unit,MATCH(B2416,pr_code,0))&amp;"",""))</f>
        <v/>
      </c>
      <c r="J2416" s="65" t="str">
        <f>IF(COUNTA(A2416:G2416)=0,"",IF(E2416&lt;&gt;"",E2416,IF(B2416="","",IFERROR(IF(INDEX(pr_price,MATCH(B2416,pr_code,0))="","",INDEX(pr_price,MATCH(B2416,pr_code,0))),""))))</f>
        <v/>
      </c>
      <c r="K2416" s="71" t="str">
        <f>IF(COUNTA(A2416:G2416)=0,"",IF(G2416&lt;&gt;"",G2416,IF(B2416="","",IFERROR(IF(INDEX(pr_rate,MATCH(B2416,pr_code,0))="","",INDEX(pr_rate,MATCH(B2416,pr_code,0))),""))))</f>
        <v/>
      </c>
      <c r="L2416" s="65" t="str">
        <f>IF(COUNTA(A2416:G2416)=0,"",IF(AND(ISNUMBER(D2416),ISNUMBER(J2416)),ROUND(D2416*J2416*(1-N(F2416)),2),0))</f>
        <v/>
      </c>
      <c r="M2416" s="62" t="str">
        <f>IF(A2416="","",IFERROR(INDEX(fa_cname,MATCH(A2416,fa_num,0))&amp;"",""))</f>
        <v/>
      </c>
      <c r="N2416" s="59" t="str">
        <f>IF(COUNTA(A2416:G2416)=0,"",IF(A2416="","N° facture manquant",IF(ISNA(MATCH(A2416,fa_num,0)),"Facture inconnue",IF(AND(B2416&lt;&gt;"",ISNA(MATCH(B2416,pr_code,0))),"Article inconnu",IF(H2416="","Désignation manquante",IF(OR(NOT(ISNUMBER(D2416)),N(D2416)&lt;=0),"Quantité invalide",IF(J2416="","Prix manquant",IF(OR(NOT(ISNUMBER(J2416)),N(J2416)&lt;0),"Prix invalide",IF(OR(AND(F2416&lt;&gt;"",NOT(ISNUMBER(F2416))),N(F2416)&lt;0,N(F2416)&gt;1),"Remise invalide",IF(K2416="","Taux de TVA manquant",IF(NOT(ISNUMBER(K2416)),"Taux de TVA invalide",IF(COUNTIF(p_rates,K2416)=0,"Taux de TVA hors liste (Paramètres)",IF(N(O2416)&gt;25,"Au-delà de 25 lignes : non imprimée","OK")))))))))))))</f>
        <v/>
      </c>
      <c r="O2416" s="59" t="str">
        <f>IF(A2416="","",COUNTIF($A$6:A2416,A2416))</f>
        <v/>
      </c>
      <c r="P2416" s="62" t="str">
        <f>IF(A2416="","",A2416&amp;"|"&amp;O2416)</f>
        <v/>
      </c>
    </row>
    <row r="2417">
      <c r="A2417" s="60" t="n"/>
      <c r="B2417" s="63" t="n"/>
      <c r="C2417" s="63" t="n"/>
      <c r="D2417" s="67" t="n"/>
      <c r="E2417" s="68" t="n"/>
      <c r="F2417" s="69" t="n"/>
      <c r="G2417" s="70" t="n"/>
      <c r="H2417" s="62" t="str">
        <f>IF(COUNTA(A2417:G2417)=0,"",IF(C2417&lt;&gt;"",C2417,IF(B2417="","",IFERROR(INDEX(pr_des,MATCH(B2417,pr_code,0))&amp;"",""))))</f>
        <v/>
      </c>
      <c r="I2417" s="59" t="str">
        <f>IF(B2417="","",IFERROR(INDEX(pr_unit,MATCH(B2417,pr_code,0))&amp;"",""))</f>
        <v/>
      </c>
      <c r="J2417" s="65" t="str">
        <f>IF(COUNTA(A2417:G2417)=0,"",IF(E2417&lt;&gt;"",E2417,IF(B2417="","",IFERROR(IF(INDEX(pr_price,MATCH(B2417,pr_code,0))="","",INDEX(pr_price,MATCH(B2417,pr_code,0))),""))))</f>
        <v/>
      </c>
      <c r="K2417" s="71" t="str">
        <f>IF(COUNTA(A2417:G2417)=0,"",IF(G2417&lt;&gt;"",G2417,IF(B2417="","",IFERROR(IF(INDEX(pr_rate,MATCH(B2417,pr_code,0))="","",INDEX(pr_rate,MATCH(B2417,pr_code,0))),""))))</f>
        <v/>
      </c>
      <c r="L2417" s="65" t="str">
        <f>IF(COUNTA(A2417:G2417)=0,"",IF(AND(ISNUMBER(D2417),ISNUMBER(J2417)),ROUND(D2417*J2417*(1-N(F2417)),2),0))</f>
        <v/>
      </c>
      <c r="M2417" s="62" t="str">
        <f>IF(A2417="","",IFERROR(INDEX(fa_cname,MATCH(A2417,fa_num,0))&amp;"",""))</f>
        <v/>
      </c>
      <c r="N2417" s="59" t="str">
        <f>IF(COUNTA(A2417:G2417)=0,"",IF(A2417="","N° facture manquant",IF(ISNA(MATCH(A2417,fa_num,0)),"Facture inconnue",IF(AND(B2417&lt;&gt;"",ISNA(MATCH(B2417,pr_code,0))),"Article inconnu",IF(H2417="","Désignation manquante",IF(OR(NOT(ISNUMBER(D2417)),N(D2417)&lt;=0),"Quantité invalide",IF(J2417="","Prix manquant",IF(OR(NOT(ISNUMBER(J2417)),N(J2417)&lt;0),"Prix invalide",IF(OR(AND(F2417&lt;&gt;"",NOT(ISNUMBER(F2417))),N(F2417)&lt;0,N(F2417)&gt;1),"Remise invalide",IF(K2417="","Taux de TVA manquant",IF(NOT(ISNUMBER(K2417)),"Taux de TVA invalide",IF(COUNTIF(p_rates,K2417)=0,"Taux de TVA hors liste (Paramètres)",IF(N(O2417)&gt;25,"Au-delà de 25 lignes : non imprimée","OK")))))))))))))</f>
        <v/>
      </c>
      <c r="O2417" s="59" t="str">
        <f>IF(A2417="","",COUNTIF($A$6:A2417,A2417))</f>
        <v/>
      </c>
      <c r="P2417" s="62" t="str">
        <f>IF(A2417="","",A2417&amp;"|"&amp;O2417)</f>
        <v/>
      </c>
    </row>
    <row r="2418">
      <c r="A2418" s="60" t="n"/>
      <c r="B2418" s="63" t="n"/>
      <c r="C2418" s="63" t="n"/>
      <c r="D2418" s="67" t="n"/>
      <c r="E2418" s="68" t="n"/>
      <c r="F2418" s="69" t="n"/>
      <c r="G2418" s="70" t="n"/>
      <c r="H2418" s="62" t="str">
        <f>IF(COUNTA(A2418:G2418)=0,"",IF(C2418&lt;&gt;"",C2418,IF(B2418="","",IFERROR(INDEX(pr_des,MATCH(B2418,pr_code,0))&amp;"",""))))</f>
        <v/>
      </c>
      <c r="I2418" s="59" t="str">
        <f>IF(B2418="","",IFERROR(INDEX(pr_unit,MATCH(B2418,pr_code,0))&amp;"",""))</f>
        <v/>
      </c>
      <c r="J2418" s="65" t="str">
        <f>IF(COUNTA(A2418:G2418)=0,"",IF(E2418&lt;&gt;"",E2418,IF(B2418="","",IFERROR(IF(INDEX(pr_price,MATCH(B2418,pr_code,0))="","",INDEX(pr_price,MATCH(B2418,pr_code,0))),""))))</f>
        <v/>
      </c>
      <c r="K2418" s="71" t="str">
        <f>IF(COUNTA(A2418:G2418)=0,"",IF(G2418&lt;&gt;"",G2418,IF(B2418="","",IFERROR(IF(INDEX(pr_rate,MATCH(B2418,pr_code,0))="","",INDEX(pr_rate,MATCH(B2418,pr_code,0))),""))))</f>
        <v/>
      </c>
      <c r="L2418" s="65" t="str">
        <f>IF(COUNTA(A2418:G2418)=0,"",IF(AND(ISNUMBER(D2418),ISNUMBER(J2418)),ROUND(D2418*J2418*(1-N(F2418)),2),0))</f>
        <v/>
      </c>
      <c r="M2418" s="62" t="str">
        <f>IF(A2418="","",IFERROR(INDEX(fa_cname,MATCH(A2418,fa_num,0))&amp;"",""))</f>
        <v/>
      </c>
      <c r="N2418" s="59" t="str">
        <f>IF(COUNTA(A2418:G2418)=0,"",IF(A2418="","N° facture manquant",IF(ISNA(MATCH(A2418,fa_num,0)),"Facture inconnue",IF(AND(B2418&lt;&gt;"",ISNA(MATCH(B2418,pr_code,0))),"Article inconnu",IF(H2418="","Désignation manquante",IF(OR(NOT(ISNUMBER(D2418)),N(D2418)&lt;=0),"Quantité invalide",IF(J2418="","Prix manquant",IF(OR(NOT(ISNUMBER(J2418)),N(J2418)&lt;0),"Prix invalide",IF(OR(AND(F2418&lt;&gt;"",NOT(ISNUMBER(F2418))),N(F2418)&lt;0,N(F2418)&gt;1),"Remise invalide",IF(K2418="","Taux de TVA manquant",IF(NOT(ISNUMBER(K2418)),"Taux de TVA invalide",IF(COUNTIF(p_rates,K2418)=0,"Taux de TVA hors liste (Paramètres)",IF(N(O2418)&gt;25,"Au-delà de 25 lignes : non imprimée","OK")))))))))))))</f>
        <v/>
      </c>
      <c r="O2418" s="59" t="str">
        <f>IF(A2418="","",COUNTIF($A$6:A2418,A2418))</f>
        <v/>
      </c>
      <c r="P2418" s="62" t="str">
        <f>IF(A2418="","",A2418&amp;"|"&amp;O2418)</f>
        <v/>
      </c>
    </row>
    <row r="2419">
      <c r="A2419" s="60" t="n"/>
      <c r="B2419" s="63" t="n"/>
      <c r="C2419" s="63" t="n"/>
      <c r="D2419" s="67" t="n"/>
      <c r="E2419" s="68" t="n"/>
      <c r="F2419" s="69" t="n"/>
      <c r="G2419" s="70" t="n"/>
      <c r="H2419" s="62" t="str">
        <f>IF(COUNTA(A2419:G2419)=0,"",IF(C2419&lt;&gt;"",C2419,IF(B2419="","",IFERROR(INDEX(pr_des,MATCH(B2419,pr_code,0))&amp;"",""))))</f>
        <v/>
      </c>
      <c r="I2419" s="59" t="str">
        <f>IF(B2419="","",IFERROR(INDEX(pr_unit,MATCH(B2419,pr_code,0))&amp;"",""))</f>
        <v/>
      </c>
      <c r="J2419" s="65" t="str">
        <f>IF(COUNTA(A2419:G2419)=0,"",IF(E2419&lt;&gt;"",E2419,IF(B2419="","",IFERROR(IF(INDEX(pr_price,MATCH(B2419,pr_code,0))="","",INDEX(pr_price,MATCH(B2419,pr_code,0))),""))))</f>
        <v/>
      </c>
      <c r="K2419" s="71" t="str">
        <f>IF(COUNTA(A2419:G2419)=0,"",IF(G2419&lt;&gt;"",G2419,IF(B2419="","",IFERROR(IF(INDEX(pr_rate,MATCH(B2419,pr_code,0))="","",INDEX(pr_rate,MATCH(B2419,pr_code,0))),""))))</f>
        <v/>
      </c>
      <c r="L2419" s="65" t="str">
        <f>IF(COUNTA(A2419:G2419)=0,"",IF(AND(ISNUMBER(D2419),ISNUMBER(J2419)),ROUND(D2419*J2419*(1-N(F2419)),2),0))</f>
        <v/>
      </c>
      <c r="M2419" s="62" t="str">
        <f>IF(A2419="","",IFERROR(INDEX(fa_cname,MATCH(A2419,fa_num,0))&amp;"",""))</f>
        <v/>
      </c>
      <c r="N2419" s="59" t="str">
        <f>IF(COUNTA(A2419:G2419)=0,"",IF(A2419="","N° facture manquant",IF(ISNA(MATCH(A2419,fa_num,0)),"Facture inconnue",IF(AND(B2419&lt;&gt;"",ISNA(MATCH(B2419,pr_code,0))),"Article inconnu",IF(H2419="","Désignation manquante",IF(OR(NOT(ISNUMBER(D2419)),N(D2419)&lt;=0),"Quantité invalide",IF(J2419="","Prix manquant",IF(OR(NOT(ISNUMBER(J2419)),N(J2419)&lt;0),"Prix invalide",IF(OR(AND(F2419&lt;&gt;"",NOT(ISNUMBER(F2419))),N(F2419)&lt;0,N(F2419)&gt;1),"Remise invalide",IF(K2419="","Taux de TVA manquant",IF(NOT(ISNUMBER(K2419)),"Taux de TVA invalide",IF(COUNTIF(p_rates,K2419)=0,"Taux de TVA hors liste (Paramètres)",IF(N(O2419)&gt;25,"Au-delà de 25 lignes : non imprimée","OK")))))))))))))</f>
        <v/>
      </c>
      <c r="O2419" s="59" t="str">
        <f>IF(A2419="","",COUNTIF($A$6:A2419,A2419))</f>
        <v/>
      </c>
      <c r="P2419" s="62" t="str">
        <f>IF(A2419="","",A2419&amp;"|"&amp;O2419)</f>
        <v/>
      </c>
    </row>
    <row r="2420">
      <c r="A2420" s="60" t="n"/>
      <c r="B2420" s="63" t="n"/>
      <c r="C2420" s="63" t="n"/>
      <c r="D2420" s="67" t="n"/>
      <c r="E2420" s="68" t="n"/>
      <c r="F2420" s="69" t="n"/>
      <c r="G2420" s="70" t="n"/>
      <c r="H2420" s="62" t="str">
        <f>IF(COUNTA(A2420:G2420)=0,"",IF(C2420&lt;&gt;"",C2420,IF(B2420="","",IFERROR(INDEX(pr_des,MATCH(B2420,pr_code,0))&amp;"",""))))</f>
        <v/>
      </c>
      <c r="I2420" s="59" t="str">
        <f>IF(B2420="","",IFERROR(INDEX(pr_unit,MATCH(B2420,pr_code,0))&amp;"",""))</f>
        <v/>
      </c>
      <c r="J2420" s="65" t="str">
        <f>IF(COUNTA(A2420:G2420)=0,"",IF(E2420&lt;&gt;"",E2420,IF(B2420="","",IFERROR(IF(INDEX(pr_price,MATCH(B2420,pr_code,0))="","",INDEX(pr_price,MATCH(B2420,pr_code,0))),""))))</f>
        <v/>
      </c>
      <c r="K2420" s="71" t="str">
        <f>IF(COUNTA(A2420:G2420)=0,"",IF(G2420&lt;&gt;"",G2420,IF(B2420="","",IFERROR(IF(INDEX(pr_rate,MATCH(B2420,pr_code,0))="","",INDEX(pr_rate,MATCH(B2420,pr_code,0))),""))))</f>
        <v/>
      </c>
      <c r="L2420" s="65" t="str">
        <f>IF(COUNTA(A2420:G2420)=0,"",IF(AND(ISNUMBER(D2420),ISNUMBER(J2420)),ROUND(D2420*J2420*(1-N(F2420)),2),0))</f>
        <v/>
      </c>
      <c r="M2420" s="62" t="str">
        <f>IF(A2420="","",IFERROR(INDEX(fa_cname,MATCH(A2420,fa_num,0))&amp;"",""))</f>
        <v/>
      </c>
      <c r="N2420" s="59" t="str">
        <f>IF(COUNTA(A2420:G2420)=0,"",IF(A2420="","N° facture manquant",IF(ISNA(MATCH(A2420,fa_num,0)),"Facture inconnue",IF(AND(B2420&lt;&gt;"",ISNA(MATCH(B2420,pr_code,0))),"Article inconnu",IF(H2420="","Désignation manquante",IF(OR(NOT(ISNUMBER(D2420)),N(D2420)&lt;=0),"Quantité invalide",IF(J2420="","Prix manquant",IF(OR(NOT(ISNUMBER(J2420)),N(J2420)&lt;0),"Prix invalide",IF(OR(AND(F2420&lt;&gt;"",NOT(ISNUMBER(F2420))),N(F2420)&lt;0,N(F2420)&gt;1),"Remise invalide",IF(K2420="","Taux de TVA manquant",IF(NOT(ISNUMBER(K2420)),"Taux de TVA invalide",IF(COUNTIF(p_rates,K2420)=0,"Taux de TVA hors liste (Paramètres)",IF(N(O2420)&gt;25,"Au-delà de 25 lignes : non imprimée","OK")))))))))))))</f>
        <v/>
      </c>
      <c r="O2420" s="59" t="str">
        <f>IF(A2420="","",COUNTIF($A$6:A2420,A2420))</f>
        <v/>
      </c>
      <c r="P2420" s="62" t="str">
        <f>IF(A2420="","",A2420&amp;"|"&amp;O2420)</f>
        <v/>
      </c>
    </row>
    <row r="2421">
      <c r="A2421" s="60" t="n"/>
      <c r="B2421" s="63" t="n"/>
      <c r="C2421" s="63" t="n"/>
      <c r="D2421" s="67" t="n"/>
      <c r="E2421" s="68" t="n"/>
      <c r="F2421" s="69" t="n"/>
      <c r="G2421" s="70" t="n"/>
      <c r="H2421" s="62" t="str">
        <f>IF(COUNTA(A2421:G2421)=0,"",IF(C2421&lt;&gt;"",C2421,IF(B2421="","",IFERROR(INDEX(pr_des,MATCH(B2421,pr_code,0))&amp;"",""))))</f>
        <v/>
      </c>
      <c r="I2421" s="59" t="str">
        <f>IF(B2421="","",IFERROR(INDEX(pr_unit,MATCH(B2421,pr_code,0))&amp;"",""))</f>
        <v/>
      </c>
      <c r="J2421" s="65" t="str">
        <f>IF(COUNTA(A2421:G2421)=0,"",IF(E2421&lt;&gt;"",E2421,IF(B2421="","",IFERROR(IF(INDEX(pr_price,MATCH(B2421,pr_code,0))="","",INDEX(pr_price,MATCH(B2421,pr_code,0))),""))))</f>
        <v/>
      </c>
      <c r="K2421" s="71" t="str">
        <f>IF(COUNTA(A2421:G2421)=0,"",IF(G2421&lt;&gt;"",G2421,IF(B2421="","",IFERROR(IF(INDEX(pr_rate,MATCH(B2421,pr_code,0))="","",INDEX(pr_rate,MATCH(B2421,pr_code,0))),""))))</f>
        <v/>
      </c>
      <c r="L2421" s="65" t="str">
        <f>IF(COUNTA(A2421:G2421)=0,"",IF(AND(ISNUMBER(D2421),ISNUMBER(J2421)),ROUND(D2421*J2421*(1-N(F2421)),2),0))</f>
        <v/>
      </c>
      <c r="M2421" s="62" t="str">
        <f>IF(A2421="","",IFERROR(INDEX(fa_cname,MATCH(A2421,fa_num,0))&amp;"",""))</f>
        <v/>
      </c>
      <c r="N2421" s="59" t="str">
        <f>IF(COUNTA(A2421:G2421)=0,"",IF(A2421="","N° facture manquant",IF(ISNA(MATCH(A2421,fa_num,0)),"Facture inconnue",IF(AND(B2421&lt;&gt;"",ISNA(MATCH(B2421,pr_code,0))),"Article inconnu",IF(H2421="","Désignation manquante",IF(OR(NOT(ISNUMBER(D2421)),N(D2421)&lt;=0),"Quantité invalide",IF(J2421="","Prix manquant",IF(OR(NOT(ISNUMBER(J2421)),N(J2421)&lt;0),"Prix invalide",IF(OR(AND(F2421&lt;&gt;"",NOT(ISNUMBER(F2421))),N(F2421)&lt;0,N(F2421)&gt;1),"Remise invalide",IF(K2421="","Taux de TVA manquant",IF(NOT(ISNUMBER(K2421)),"Taux de TVA invalide",IF(COUNTIF(p_rates,K2421)=0,"Taux de TVA hors liste (Paramètres)",IF(N(O2421)&gt;25,"Au-delà de 25 lignes : non imprimée","OK")))))))))))))</f>
        <v/>
      </c>
      <c r="O2421" s="59" t="str">
        <f>IF(A2421="","",COUNTIF($A$6:A2421,A2421))</f>
        <v/>
      </c>
      <c r="P2421" s="62" t="str">
        <f>IF(A2421="","",A2421&amp;"|"&amp;O2421)</f>
        <v/>
      </c>
    </row>
    <row r="2422">
      <c r="A2422" s="60" t="n"/>
      <c r="B2422" s="63" t="n"/>
      <c r="C2422" s="63" t="n"/>
      <c r="D2422" s="67" t="n"/>
      <c r="E2422" s="68" t="n"/>
      <c r="F2422" s="69" t="n"/>
      <c r="G2422" s="70" t="n"/>
      <c r="H2422" s="62" t="str">
        <f>IF(COUNTA(A2422:G2422)=0,"",IF(C2422&lt;&gt;"",C2422,IF(B2422="","",IFERROR(INDEX(pr_des,MATCH(B2422,pr_code,0))&amp;"",""))))</f>
        <v/>
      </c>
      <c r="I2422" s="59" t="str">
        <f>IF(B2422="","",IFERROR(INDEX(pr_unit,MATCH(B2422,pr_code,0))&amp;"",""))</f>
        <v/>
      </c>
      <c r="J2422" s="65" t="str">
        <f>IF(COUNTA(A2422:G2422)=0,"",IF(E2422&lt;&gt;"",E2422,IF(B2422="","",IFERROR(IF(INDEX(pr_price,MATCH(B2422,pr_code,0))="","",INDEX(pr_price,MATCH(B2422,pr_code,0))),""))))</f>
        <v/>
      </c>
      <c r="K2422" s="71" t="str">
        <f>IF(COUNTA(A2422:G2422)=0,"",IF(G2422&lt;&gt;"",G2422,IF(B2422="","",IFERROR(IF(INDEX(pr_rate,MATCH(B2422,pr_code,0))="","",INDEX(pr_rate,MATCH(B2422,pr_code,0))),""))))</f>
        <v/>
      </c>
      <c r="L2422" s="65" t="str">
        <f>IF(COUNTA(A2422:G2422)=0,"",IF(AND(ISNUMBER(D2422),ISNUMBER(J2422)),ROUND(D2422*J2422*(1-N(F2422)),2),0))</f>
        <v/>
      </c>
      <c r="M2422" s="62" t="str">
        <f>IF(A2422="","",IFERROR(INDEX(fa_cname,MATCH(A2422,fa_num,0))&amp;"",""))</f>
        <v/>
      </c>
      <c r="N2422" s="59" t="str">
        <f>IF(COUNTA(A2422:G2422)=0,"",IF(A2422="","N° facture manquant",IF(ISNA(MATCH(A2422,fa_num,0)),"Facture inconnue",IF(AND(B2422&lt;&gt;"",ISNA(MATCH(B2422,pr_code,0))),"Article inconnu",IF(H2422="","Désignation manquante",IF(OR(NOT(ISNUMBER(D2422)),N(D2422)&lt;=0),"Quantité invalide",IF(J2422="","Prix manquant",IF(OR(NOT(ISNUMBER(J2422)),N(J2422)&lt;0),"Prix invalide",IF(OR(AND(F2422&lt;&gt;"",NOT(ISNUMBER(F2422))),N(F2422)&lt;0,N(F2422)&gt;1),"Remise invalide",IF(K2422="","Taux de TVA manquant",IF(NOT(ISNUMBER(K2422)),"Taux de TVA invalide",IF(COUNTIF(p_rates,K2422)=0,"Taux de TVA hors liste (Paramètres)",IF(N(O2422)&gt;25,"Au-delà de 25 lignes : non imprimée","OK")))))))))))))</f>
        <v/>
      </c>
      <c r="O2422" s="59" t="str">
        <f>IF(A2422="","",COUNTIF($A$6:A2422,A2422))</f>
        <v/>
      </c>
      <c r="P2422" s="62" t="str">
        <f>IF(A2422="","",A2422&amp;"|"&amp;O2422)</f>
        <v/>
      </c>
    </row>
    <row r="2423">
      <c r="A2423" s="60" t="n"/>
      <c r="B2423" s="63" t="n"/>
      <c r="C2423" s="63" t="n"/>
      <c r="D2423" s="67" t="n"/>
      <c r="E2423" s="68" t="n"/>
      <c r="F2423" s="69" t="n"/>
      <c r="G2423" s="70" t="n"/>
      <c r="H2423" s="62" t="str">
        <f>IF(COUNTA(A2423:G2423)=0,"",IF(C2423&lt;&gt;"",C2423,IF(B2423="","",IFERROR(INDEX(pr_des,MATCH(B2423,pr_code,0))&amp;"",""))))</f>
        <v/>
      </c>
      <c r="I2423" s="59" t="str">
        <f>IF(B2423="","",IFERROR(INDEX(pr_unit,MATCH(B2423,pr_code,0))&amp;"",""))</f>
        <v/>
      </c>
      <c r="J2423" s="65" t="str">
        <f>IF(COUNTA(A2423:G2423)=0,"",IF(E2423&lt;&gt;"",E2423,IF(B2423="","",IFERROR(IF(INDEX(pr_price,MATCH(B2423,pr_code,0))="","",INDEX(pr_price,MATCH(B2423,pr_code,0))),""))))</f>
        <v/>
      </c>
      <c r="K2423" s="71" t="str">
        <f>IF(COUNTA(A2423:G2423)=0,"",IF(G2423&lt;&gt;"",G2423,IF(B2423="","",IFERROR(IF(INDEX(pr_rate,MATCH(B2423,pr_code,0))="","",INDEX(pr_rate,MATCH(B2423,pr_code,0))),""))))</f>
        <v/>
      </c>
      <c r="L2423" s="65" t="str">
        <f>IF(COUNTA(A2423:G2423)=0,"",IF(AND(ISNUMBER(D2423),ISNUMBER(J2423)),ROUND(D2423*J2423*(1-N(F2423)),2),0))</f>
        <v/>
      </c>
      <c r="M2423" s="62" t="str">
        <f>IF(A2423="","",IFERROR(INDEX(fa_cname,MATCH(A2423,fa_num,0))&amp;"",""))</f>
        <v/>
      </c>
      <c r="N2423" s="59" t="str">
        <f>IF(COUNTA(A2423:G2423)=0,"",IF(A2423="","N° facture manquant",IF(ISNA(MATCH(A2423,fa_num,0)),"Facture inconnue",IF(AND(B2423&lt;&gt;"",ISNA(MATCH(B2423,pr_code,0))),"Article inconnu",IF(H2423="","Désignation manquante",IF(OR(NOT(ISNUMBER(D2423)),N(D2423)&lt;=0),"Quantité invalide",IF(J2423="","Prix manquant",IF(OR(NOT(ISNUMBER(J2423)),N(J2423)&lt;0),"Prix invalide",IF(OR(AND(F2423&lt;&gt;"",NOT(ISNUMBER(F2423))),N(F2423)&lt;0,N(F2423)&gt;1),"Remise invalide",IF(K2423="","Taux de TVA manquant",IF(NOT(ISNUMBER(K2423)),"Taux de TVA invalide",IF(COUNTIF(p_rates,K2423)=0,"Taux de TVA hors liste (Paramètres)",IF(N(O2423)&gt;25,"Au-delà de 25 lignes : non imprimée","OK")))))))))))))</f>
        <v/>
      </c>
      <c r="O2423" s="59" t="str">
        <f>IF(A2423="","",COUNTIF($A$6:A2423,A2423))</f>
        <v/>
      </c>
      <c r="P2423" s="62" t="str">
        <f>IF(A2423="","",A2423&amp;"|"&amp;O2423)</f>
        <v/>
      </c>
    </row>
    <row r="2424">
      <c r="A2424" s="60" t="n"/>
      <c r="B2424" s="63" t="n"/>
      <c r="C2424" s="63" t="n"/>
      <c r="D2424" s="67" t="n"/>
      <c r="E2424" s="68" t="n"/>
      <c r="F2424" s="69" t="n"/>
      <c r="G2424" s="70" t="n"/>
      <c r="H2424" s="62" t="str">
        <f>IF(COUNTA(A2424:G2424)=0,"",IF(C2424&lt;&gt;"",C2424,IF(B2424="","",IFERROR(INDEX(pr_des,MATCH(B2424,pr_code,0))&amp;"",""))))</f>
        <v/>
      </c>
      <c r="I2424" s="59" t="str">
        <f>IF(B2424="","",IFERROR(INDEX(pr_unit,MATCH(B2424,pr_code,0))&amp;"",""))</f>
        <v/>
      </c>
      <c r="J2424" s="65" t="str">
        <f>IF(COUNTA(A2424:G2424)=0,"",IF(E2424&lt;&gt;"",E2424,IF(B2424="","",IFERROR(IF(INDEX(pr_price,MATCH(B2424,pr_code,0))="","",INDEX(pr_price,MATCH(B2424,pr_code,0))),""))))</f>
        <v/>
      </c>
      <c r="K2424" s="71" t="str">
        <f>IF(COUNTA(A2424:G2424)=0,"",IF(G2424&lt;&gt;"",G2424,IF(B2424="","",IFERROR(IF(INDEX(pr_rate,MATCH(B2424,pr_code,0))="","",INDEX(pr_rate,MATCH(B2424,pr_code,0))),""))))</f>
        <v/>
      </c>
      <c r="L2424" s="65" t="str">
        <f>IF(COUNTA(A2424:G2424)=0,"",IF(AND(ISNUMBER(D2424),ISNUMBER(J2424)),ROUND(D2424*J2424*(1-N(F2424)),2),0))</f>
        <v/>
      </c>
      <c r="M2424" s="62" t="str">
        <f>IF(A2424="","",IFERROR(INDEX(fa_cname,MATCH(A2424,fa_num,0))&amp;"",""))</f>
        <v/>
      </c>
      <c r="N2424" s="59" t="str">
        <f>IF(COUNTA(A2424:G2424)=0,"",IF(A2424="","N° facture manquant",IF(ISNA(MATCH(A2424,fa_num,0)),"Facture inconnue",IF(AND(B2424&lt;&gt;"",ISNA(MATCH(B2424,pr_code,0))),"Article inconnu",IF(H2424="","Désignation manquante",IF(OR(NOT(ISNUMBER(D2424)),N(D2424)&lt;=0),"Quantité invalide",IF(J2424="","Prix manquant",IF(OR(NOT(ISNUMBER(J2424)),N(J2424)&lt;0),"Prix invalide",IF(OR(AND(F2424&lt;&gt;"",NOT(ISNUMBER(F2424))),N(F2424)&lt;0,N(F2424)&gt;1),"Remise invalide",IF(K2424="","Taux de TVA manquant",IF(NOT(ISNUMBER(K2424)),"Taux de TVA invalide",IF(COUNTIF(p_rates,K2424)=0,"Taux de TVA hors liste (Paramètres)",IF(N(O2424)&gt;25,"Au-delà de 25 lignes : non imprimée","OK")))))))))))))</f>
        <v/>
      </c>
      <c r="O2424" s="59" t="str">
        <f>IF(A2424="","",COUNTIF($A$6:A2424,A2424))</f>
        <v/>
      </c>
      <c r="P2424" s="62" t="str">
        <f>IF(A2424="","",A2424&amp;"|"&amp;O2424)</f>
        <v/>
      </c>
    </row>
    <row r="2425">
      <c r="A2425" s="60" t="n"/>
      <c r="B2425" s="63" t="n"/>
      <c r="C2425" s="63" t="n"/>
      <c r="D2425" s="67" t="n"/>
      <c r="E2425" s="68" t="n"/>
      <c r="F2425" s="69" t="n"/>
      <c r="G2425" s="70" t="n"/>
      <c r="H2425" s="62" t="str">
        <f>IF(COUNTA(A2425:G2425)=0,"",IF(C2425&lt;&gt;"",C2425,IF(B2425="","",IFERROR(INDEX(pr_des,MATCH(B2425,pr_code,0))&amp;"",""))))</f>
        <v/>
      </c>
      <c r="I2425" s="59" t="str">
        <f>IF(B2425="","",IFERROR(INDEX(pr_unit,MATCH(B2425,pr_code,0))&amp;"",""))</f>
        <v/>
      </c>
      <c r="J2425" s="65" t="str">
        <f>IF(COUNTA(A2425:G2425)=0,"",IF(E2425&lt;&gt;"",E2425,IF(B2425="","",IFERROR(IF(INDEX(pr_price,MATCH(B2425,pr_code,0))="","",INDEX(pr_price,MATCH(B2425,pr_code,0))),""))))</f>
        <v/>
      </c>
      <c r="K2425" s="71" t="str">
        <f>IF(COUNTA(A2425:G2425)=0,"",IF(G2425&lt;&gt;"",G2425,IF(B2425="","",IFERROR(IF(INDEX(pr_rate,MATCH(B2425,pr_code,0))="","",INDEX(pr_rate,MATCH(B2425,pr_code,0))),""))))</f>
        <v/>
      </c>
      <c r="L2425" s="65" t="str">
        <f>IF(COUNTA(A2425:G2425)=0,"",IF(AND(ISNUMBER(D2425),ISNUMBER(J2425)),ROUND(D2425*J2425*(1-N(F2425)),2),0))</f>
        <v/>
      </c>
      <c r="M2425" s="62" t="str">
        <f>IF(A2425="","",IFERROR(INDEX(fa_cname,MATCH(A2425,fa_num,0))&amp;"",""))</f>
        <v/>
      </c>
      <c r="N2425" s="59" t="str">
        <f>IF(COUNTA(A2425:G2425)=0,"",IF(A2425="","N° facture manquant",IF(ISNA(MATCH(A2425,fa_num,0)),"Facture inconnue",IF(AND(B2425&lt;&gt;"",ISNA(MATCH(B2425,pr_code,0))),"Article inconnu",IF(H2425="","Désignation manquante",IF(OR(NOT(ISNUMBER(D2425)),N(D2425)&lt;=0),"Quantité invalide",IF(J2425="","Prix manquant",IF(OR(NOT(ISNUMBER(J2425)),N(J2425)&lt;0),"Prix invalide",IF(OR(AND(F2425&lt;&gt;"",NOT(ISNUMBER(F2425))),N(F2425)&lt;0,N(F2425)&gt;1),"Remise invalide",IF(K2425="","Taux de TVA manquant",IF(NOT(ISNUMBER(K2425)),"Taux de TVA invalide",IF(COUNTIF(p_rates,K2425)=0,"Taux de TVA hors liste (Paramètres)",IF(N(O2425)&gt;25,"Au-delà de 25 lignes : non imprimée","OK")))))))))))))</f>
        <v/>
      </c>
      <c r="O2425" s="59" t="str">
        <f>IF(A2425="","",COUNTIF($A$6:A2425,A2425))</f>
        <v/>
      </c>
      <c r="P2425" s="62" t="str">
        <f>IF(A2425="","",A2425&amp;"|"&amp;O2425)</f>
        <v/>
      </c>
    </row>
    <row r="2426">
      <c r="A2426" s="60" t="n"/>
      <c r="B2426" s="63" t="n"/>
      <c r="C2426" s="63" t="n"/>
      <c r="D2426" s="67" t="n"/>
      <c r="E2426" s="68" t="n"/>
      <c r="F2426" s="69" t="n"/>
      <c r="G2426" s="70" t="n"/>
      <c r="H2426" s="62" t="str">
        <f>IF(COUNTA(A2426:G2426)=0,"",IF(C2426&lt;&gt;"",C2426,IF(B2426="","",IFERROR(INDEX(pr_des,MATCH(B2426,pr_code,0))&amp;"",""))))</f>
        <v/>
      </c>
      <c r="I2426" s="59" t="str">
        <f>IF(B2426="","",IFERROR(INDEX(pr_unit,MATCH(B2426,pr_code,0))&amp;"",""))</f>
        <v/>
      </c>
      <c r="J2426" s="65" t="str">
        <f>IF(COUNTA(A2426:G2426)=0,"",IF(E2426&lt;&gt;"",E2426,IF(B2426="","",IFERROR(IF(INDEX(pr_price,MATCH(B2426,pr_code,0))="","",INDEX(pr_price,MATCH(B2426,pr_code,0))),""))))</f>
        <v/>
      </c>
      <c r="K2426" s="71" t="str">
        <f>IF(COUNTA(A2426:G2426)=0,"",IF(G2426&lt;&gt;"",G2426,IF(B2426="","",IFERROR(IF(INDEX(pr_rate,MATCH(B2426,pr_code,0))="","",INDEX(pr_rate,MATCH(B2426,pr_code,0))),""))))</f>
        <v/>
      </c>
      <c r="L2426" s="65" t="str">
        <f>IF(COUNTA(A2426:G2426)=0,"",IF(AND(ISNUMBER(D2426),ISNUMBER(J2426)),ROUND(D2426*J2426*(1-N(F2426)),2),0))</f>
        <v/>
      </c>
      <c r="M2426" s="62" t="str">
        <f>IF(A2426="","",IFERROR(INDEX(fa_cname,MATCH(A2426,fa_num,0))&amp;"",""))</f>
        <v/>
      </c>
      <c r="N2426" s="59" t="str">
        <f>IF(COUNTA(A2426:G2426)=0,"",IF(A2426="","N° facture manquant",IF(ISNA(MATCH(A2426,fa_num,0)),"Facture inconnue",IF(AND(B2426&lt;&gt;"",ISNA(MATCH(B2426,pr_code,0))),"Article inconnu",IF(H2426="","Désignation manquante",IF(OR(NOT(ISNUMBER(D2426)),N(D2426)&lt;=0),"Quantité invalide",IF(J2426="","Prix manquant",IF(OR(NOT(ISNUMBER(J2426)),N(J2426)&lt;0),"Prix invalide",IF(OR(AND(F2426&lt;&gt;"",NOT(ISNUMBER(F2426))),N(F2426)&lt;0,N(F2426)&gt;1),"Remise invalide",IF(K2426="","Taux de TVA manquant",IF(NOT(ISNUMBER(K2426)),"Taux de TVA invalide",IF(COUNTIF(p_rates,K2426)=0,"Taux de TVA hors liste (Paramètres)",IF(N(O2426)&gt;25,"Au-delà de 25 lignes : non imprimée","OK")))))))))))))</f>
        <v/>
      </c>
      <c r="O2426" s="59" t="str">
        <f>IF(A2426="","",COUNTIF($A$6:A2426,A2426))</f>
        <v/>
      </c>
      <c r="P2426" s="62" t="str">
        <f>IF(A2426="","",A2426&amp;"|"&amp;O2426)</f>
        <v/>
      </c>
    </row>
    <row r="2427">
      <c r="A2427" s="60" t="n"/>
      <c r="B2427" s="63" t="n"/>
      <c r="C2427" s="63" t="n"/>
      <c r="D2427" s="67" t="n"/>
      <c r="E2427" s="68" t="n"/>
      <c r="F2427" s="69" t="n"/>
      <c r="G2427" s="70" t="n"/>
      <c r="H2427" s="62" t="str">
        <f>IF(COUNTA(A2427:G2427)=0,"",IF(C2427&lt;&gt;"",C2427,IF(B2427="","",IFERROR(INDEX(pr_des,MATCH(B2427,pr_code,0))&amp;"",""))))</f>
        <v/>
      </c>
      <c r="I2427" s="59" t="str">
        <f>IF(B2427="","",IFERROR(INDEX(pr_unit,MATCH(B2427,pr_code,0))&amp;"",""))</f>
        <v/>
      </c>
      <c r="J2427" s="65" t="str">
        <f>IF(COUNTA(A2427:G2427)=0,"",IF(E2427&lt;&gt;"",E2427,IF(B2427="","",IFERROR(IF(INDEX(pr_price,MATCH(B2427,pr_code,0))="","",INDEX(pr_price,MATCH(B2427,pr_code,0))),""))))</f>
        <v/>
      </c>
      <c r="K2427" s="71" t="str">
        <f>IF(COUNTA(A2427:G2427)=0,"",IF(G2427&lt;&gt;"",G2427,IF(B2427="","",IFERROR(IF(INDEX(pr_rate,MATCH(B2427,pr_code,0))="","",INDEX(pr_rate,MATCH(B2427,pr_code,0))),""))))</f>
        <v/>
      </c>
      <c r="L2427" s="65" t="str">
        <f>IF(COUNTA(A2427:G2427)=0,"",IF(AND(ISNUMBER(D2427),ISNUMBER(J2427)),ROUND(D2427*J2427*(1-N(F2427)),2),0))</f>
        <v/>
      </c>
      <c r="M2427" s="62" t="str">
        <f>IF(A2427="","",IFERROR(INDEX(fa_cname,MATCH(A2427,fa_num,0))&amp;"",""))</f>
        <v/>
      </c>
      <c r="N2427" s="59" t="str">
        <f>IF(COUNTA(A2427:G2427)=0,"",IF(A2427="","N° facture manquant",IF(ISNA(MATCH(A2427,fa_num,0)),"Facture inconnue",IF(AND(B2427&lt;&gt;"",ISNA(MATCH(B2427,pr_code,0))),"Article inconnu",IF(H2427="","Désignation manquante",IF(OR(NOT(ISNUMBER(D2427)),N(D2427)&lt;=0),"Quantité invalide",IF(J2427="","Prix manquant",IF(OR(NOT(ISNUMBER(J2427)),N(J2427)&lt;0),"Prix invalide",IF(OR(AND(F2427&lt;&gt;"",NOT(ISNUMBER(F2427))),N(F2427)&lt;0,N(F2427)&gt;1),"Remise invalide",IF(K2427="","Taux de TVA manquant",IF(NOT(ISNUMBER(K2427)),"Taux de TVA invalide",IF(COUNTIF(p_rates,K2427)=0,"Taux de TVA hors liste (Paramètres)",IF(N(O2427)&gt;25,"Au-delà de 25 lignes : non imprimée","OK")))))))))))))</f>
        <v/>
      </c>
      <c r="O2427" s="59" t="str">
        <f>IF(A2427="","",COUNTIF($A$6:A2427,A2427))</f>
        <v/>
      </c>
      <c r="P2427" s="62" t="str">
        <f>IF(A2427="","",A2427&amp;"|"&amp;O2427)</f>
        <v/>
      </c>
    </row>
    <row r="2428">
      <c r="A2428" s="60" t="n"/>
      <c r="B2428" s="63" t="n"/>
      <c r="C2428" s="63" t="n"/>
      <c r="D2428" s="67" t="n"/>
      <c r="E2428" s="68" t="n"/>
      <c r="F2428" s="69" t="n"/>
      <c r="G2428" s="70" t="n"/>
      <c r="H2428" s="62" t="str">
        <f>IF(COUNTA(A2428:G2428)=0,"",IF(C2428&lt;&gt;"",C2428,IF(B2428="","",IFERROR(INDEX(pr_des,MATCH(B2428,pr_code,0))&amp;"",""))))</f>
        <v/>
      </c>
      <c r="I2428" s="59" t="str">
        <f>IF(B2428="","",IFERROR(INDEX(pr_unit,MATCH(B2428,pr_code,0))&amp;"",""))</f>
        <v/>
      </c>
      <c r="J2428" s="65" t="str">
        <f>IF(COUNTA(A2428:G2428)=0,"",IF(E2428&lt;&gt;"",E2428,IF(B2428="","",IFERROR(IF(INDEX(pr_price,MATCH(B2428,pr_code,0))="","",INDEX(pr_price,MATCH(B2428,pr_code,0))),""))))</f>
        <v/>
      </c>
      <c r="K2428" s="71" t="str">
        <f>IF(COUNTA(A2428:G2428)=0,"",IF(G2428&lt;&gt;"",G2428,IF(B2428="","",IFERROR(IF(INDEX(pr_rate,MATCH(B2428,pr_code,0))="","",INDEX(pr_rate,MATCH(B2428,pr_code,0))),""))))</f>
        <v/>
      </c>
      <c r="L2428" s="65" t="str">
        <f>IF(COUNTA(A2428:G2428)=0,"",IF(AND(ISNUMBER(D2428),ISNUMBER(J2428)),ROUND(D2428*J2428*(1-N(F2428)),2),0))</f>
        <v/>
      </c>
      <c r="M2428" s="62" t="str">
        <f>IF(A2428="","",IFERROR(INDEX(fa_cname,MATCH(A2428,fa_num,0))&amp;"",""))</f>
        <v/>
      </c>
      <c r="N2428" s="59" t="str">
        <f>IF(COUNTA(A2428:G2428)=0,"",IF(A2428="","N° facture manquant",IF(ISNA(MATCH(A2428,fa_num,0)),"Facture inconnue",IF(AND(B2428&lt;&gt;"",ISNA(MATCH(B2428,pr_code,0))),"Article inconnu",IF(H2428="","Désignation manquante",IF(OR(NOT(ISNUMBER(D2428)),N(D2428)&lt;=0),"Quantité invalide",IF(J2428="","Prix manquant",IF(OR(NOT(ISNUMBER(J2428)),N(J2428)&lt;0),"Prix invalide",IF(OR(AND(F2428&lt;&gt;"",NOT(ISNUMBER(F2428))),N(F2428)&lt;0,N(F2428)&gt;1),"Remise invalide",IF(K2428="","Taux de TVA manquant",IF(NOT(ISNUMBER(K2428)),"Taux de TVA invalide",IF(COUNTIF(p_rates,K2428)=0,"Taux de TVA hors liste (Paramètres)",IF(N(O2428)&gt;25,"Au-delà de 25 lignes : non imprimée","OK")))))))))))))</f>
        <v/>
      </c>
      <c r="O2428" s="59" t="str">
        <f>IF(A2428="","",COUNTIF($A$6:A2428,A2428))</f>
        <v/>
      </c>
      <c r="P2428" s="62" t="str">
        <f>IF(A2428="","",A2428&amp;"|"&amp;O2428)</f>
        <v/>
      </c>
    </row>
    <row r="2429">
      <c r="A2429" s="60" t="n"/>
      <c r="B2429" s="63" t="n"/>
      <c r="C2429" s="63" t="n"/>
      <c r="D2429" s="67" t="n"/>
      <c r="E2429" s="68" t="n"/>
      <c r="F2429" s="69" t="n"/>
      <c r="G2429" s="70" t="n"/>
      <c r="H2429" s="62" t="str">
        <f>IF(COUNTA(A2429:G2429)=0,"",IF(C2429&lt;&gt;"",C2429,IF(B2429="","",IFERROR(INDEX(pr_des,MATCH(B2429,pr_code,0))&amp;"",""))))</f>
        <v/>
      </c>
      <c r="I2429" s="59" t="str">
        <f>IF(B2429="","",IFERROR(INDEX(pr_unit,MATCH(B2429,pr_code,0))&amp;"",""))</f>
        <v/>
      </c>
      <c r="J2429" s="65" t="str">
        <f>IF(COUNTA(A2429:G2429)=0,"",IF(E2429&lt;&gt;"",E2429,IF(B2429="","",IFERROR(IF(INDEX(pr_price,MATCH(B2429,pr_code,0))="","",INDEX(pr_price,MATCH(B2429,pr_code,0))),""))))</f>
        <v/>
      </c>
      <c r="K2429" s="71" t="str">
        <f>IF(COUNTA(A2429:G2429)=0,"",IF(G2429&lt;&gt;"",G2429,IF(B2429="","",IFERROR(IF(INDEX(pr_rate,MATCH(B2429,pr_code,0))="","",INDEX(pr_rate,MATCH(B2429,pr_code,0))),""))))</f>
        <v/>
      </c>
      <c r="L2429" s="65" t="str">
        <f>IF(COUNTA(A2429:G2429)=0,"",IF(AND(ISNUMBER(D2429),ISNUMBER(J2429)),ROUND(D2429*J2429*(1-N(F2429)),2),0))</f>
        <v/>
      </c>
      <c r="M2429" s="62" t="str">
        <f>IF(A2429="","",IFERROR(INDEX(fa_cname,MATCH(A2429,fa_num,0))&amp;"",""))</f>
        <v/>
      </c>
      <c r="N2429" s="59" t="str">
        <f>IF(COUNTA(A2429:G2429)=0,"",IF(A2429="","N° facture manquant",IF(ISNA(MATCH(A2429,fa_num,0)),"Facture inconnue",IF(AND(B2429&lt;&gt;"",ISNA(MATCH(B2429,pr_code,0))),"Article inconnu",IF(H2429="","Désignation manquante",IF(OR(NOT(ISNUMBER(D2429)),N(D2429)&lt;=0),"Quantité invalide",IF(J2429="","Prix manquant",IF(OR(NOT(ISNUMBER(J2429)),N(J2429)&lt;0),"Prix invalide",IF(OR(AND(F2429&lt;&gt;"",NOT(ISNUMBER(F2429))),N(F2429)&lt;0,N(F2429)&gt;1),"Remise invalide",IF(K2429="","Taux de TVA manquant",IF(NOT(ISNUMBER(K2429)),"Taux de TVA invalide",IF(COUNTIF(p_rates,K2429)=0,"Taux de TVA hors liste (Paramètres)",IF(N(O2429)&gt;25,"Au-delà de 25 lignes : non imprimée","OK")))))))))))))</f>
        <v/>
      </c>
      <c r="O2429" s="59" t="str">
        <f>IF(A2429="","",COUNTIF($A$6:A2429,A2429))</f>
        <v/>
      </c>
      <c r="P2429" s="62" t="str">
        <f>IF(A2429="","",A2429&amp;"|"&amp;O2429)</f>
        <v/>
      </c>
    </row>
    <row r="2430">
      <c r="A2430" s="60" t="n"/>
      <c r="B2430" s="63" t="n"/>
      <c r="C2430" s="63" t="n"/>
      <c r="D2430" s="67" t="n"/>
      <c r="E2430" s="68" t="n"/>
      <c r="F2430" s="69" t="n"/>
      <c r="G2430" s="70" t="n"/>
      <c r="H2430" s="62" t="str">
        <f>IF(COUNTA(A2430:G2430)=0,"",IF(C2430&lt;&gt;"",C2430,IF(B2430="","",IFERROR(INDEX(pr_des,MATCH(B2430,pr_code,0))&amp;"",""))))</f>
        <v/>
      </c>
      <c r="I2430" s="59" t="str">
        <f>IF(B2430="","",IFERROR(INDEX(pr_unit,MATCH(B2430,pr_code,0))&amp;"",""))</f>
        <v/>
      </c>
      <c r="J2430" s="65" t="str">
        <f>IF(COUNTA(A2430:G2430)=0,"",IF(E2430&lt;&gt;"",E2430,IF(B2430="","",IFERROR(IF(INDEX(pr_price,MATCH(B2430,pr_code,0))="","",INDEX(pr_price,MATCH(B2430,pr_code,0))),""))))</f>
        <v/>
      </c>
      <c r="K2430" s="71" t="str">
        <f>IF(COUNTA(A2430:G2430)=0,"",IF(G2430&lt;&gt;"",G2430,IF(B2430="","",IFERROR(IF(INDEX(pr_rate,MATCH(B2430,pr_code,0))="","",INDEX(pr_rate,MATCH(B2430,pr_code,0))),""))))</f>
        <v/>
      </c>
      <c r="L2430" s="65" t="str">
        <f>IF(COUNTA(A2430:G2430)=0,"",IF(AND(ISNUMBER(D2430),ISNUMBER(J2430)),ROUND(D2430*J2430*(1-N(F2430)),2),0))</f>
        <v/>
      </c>
      <c r="M2430" s="62" t="str">
        <f>IF(A2430="","",IFERROR(INDEX(fa_cname,MATCH(A2430,fa_num,0))&amp;"",""))</f>
        <v/>
      </c>
      <c r="N2430" s="59" t="str">
        <f>IF(COUNTA(A2430:G2430)=0,"",IF(A2430="","N° facture manquant",IF(ISNA(MATCH(A2430,fa_num,0)),"Facture inconnue",IF(AND(B2430&lt;&gt;"",ISNA(MATCH(B2430,pr_code,0))),"Article inconnu",IF(H2430="","Désignation manquante",IF(OR(NOT(ISNUMBER(D2430)),N(D2430)&lt;=0),"Quantité invalide",IF(J2430="","Prix manquant",IF(OR(NOT(ISNUMBER(J2430)),N(J2430)&lt;0),"Prix invalide",IF(OR(AND(F2430&lt;&gt;"",NOT(ISNUMBER(F2430))),N(F2430)&lt;0,N(F2430)&gt;1),"Remise invalide",IF(K2430="","Taux de TVA manquant",IF(NOT(ISNUMBER(K2430)),"Taux de TVA invalide",IF(COUNTIF(p_rates,K2430)=0,"Taux de TVA hors liste (Paramètres)",IF(N(O2430)&gt;25,"Au-delà de 25 lignes : non imprimée","OK")))))))))))))</f>
        <v/>
      </c>
      <c r="O2430" s="59" t="str">
        <f>IF(A2430="","",COUNTIF($A$6:A2430,A2430))</f>
        <v/>
      </c>
      <c r="P2430" s="62" t="str">
        <f>IF(A2430="","",A2430&amp;"|"&amp;O2430)</f>
        <v/>
      </c>
    </row>
    <row r="2431">
      <c r="A2431" s="60" t="n"/>
      <c r="B2431" s="63" t="n"/>
      <c r="C2431" s="63" t="n"/>
      <c r="D2431" s="67" t="n"/>
      <c r="E2431" s="68" t="n"/>
      <c r="F2431" s="69" t="n"/>
      <c r="G2431" s="70" t="n"/>
      <c r="H2431" s="62" t="str">
        <f>IF(COUNTA(A2431:G2431)=0,"",IF(C2431&lt;&gt;"",C2431,IF(B2431="","",IFERROR(INDEX(pr_des,MATCH(B2431,pr_code,0))&amp;"",""))))</f>
        <v/>
      </c>
      <c r="I2431" s="59" t="str">
        <f>IF(B2431="","",IFERROR(INDEX(pr_unit,MATCH(B2431,pr_code,0))&amp;"",""))</f>
        <v/>
      </c>
      <c r="J2431" s="65" t="str">
        <f>IF(COUNTA(A2431:G2431)=0,"",IF(E2431&lt;&gt;"",E2431,IF(B2431="","",IFERROR(IF(INDEX(pr_price,MATCH(B2431,pr_code,0))="","",INDEX(pr_price,MATCH(B2431,pr_code,0))),""))))</f>
        <v/>
      </c>
      <c r="K2431" s="71" t="str">
        <f>IF(COUNTA(A2431:G2431)=0,"",IF(G2431&lt;&gt;"",G2431,IF(B2431="","",IFERROR(IF(INDEX(pr_rate,MATCH(B2431,pr_code,0))="","",INDEX(pr_rate,MATCH(B2431,pr_code,0))),""))))</f>
        <v/>
      </c>
      <c r="L2431" s="65" t="str">
        <f>IF(COUNTA(A2431:G2431)=0,"",IF(AND(ISNUMBER(D2431),ISNUMBER(J2431)),ROUND(D2431*J2431*(1-N(F2431)),2),0))</f>
        <v/>
      </c>
      <c r="M2431" s="62" t="str">
        <f>IF(A2431="","",IFERROR(INDEX(fa_cname,MATCH(A2431,fa_num,0))&amp;"",""))</f>
        <v/>
      </c>
      <c r="N2431" s="59" t="str">
        <f>IF(COUNTA(A2431:G2431)=0,"",IF(A2431="","N° facture manquant",IF(ISNA(MATCH(A2431,fa_num,0)),"Facture inconnue",IF(AND(B2431&lt;&gt;"",ISNA(MATCH(B2431,pr_code,0))),"Article inconnu",IF(H2431="","Désignation manquante",IF(OR(NOT(ISNUMBER(D2431)),N(D2431)&lt;=0),"Quantité invalide",IF(J2431="","Prix manquant",IF(OR(NOT(ISNUMBER(J2431)),N(J2431)&lt;0),"Prix invalide",IF(OR(AND(F2431&lt;&gt;"",NOT(ISNUMBER(F2431))),N(F2431)&lt;0,N(F2431)&gt;1),"Remise invalide",IF(K2431="","Taux de TVA manquant",IF(NOT(ISNUMBER(K2431)),"Taux de TVA invalide",IF(COUNTIF(p_rates,K2431)=0,"Taux de TVA hors liste (Paramètres)",IF(N(O2431)&gt;25,"Au-delà de 25 lignes : non imprimée","OK")))))))))))))</f>
        <v/>
      </c>
      <c r="O2431" s="59" t="str">
        <f>IF(A2431="","",COUNTIF($A$6:A2431,A2431))</f>
        <v/>
      </c>
      <c r="P2431" s="62" t="str">
        <f>IF(A2431="","",A2431&amp;"|"&amp;O2431)</f>
        <v/>
      </c>
    </row>
    <row r="2432">
      <c r="A2432" s="60" t="n"/>
      <c r="B2432" s="63" t="n"/>
      <c r="C2432" s="63" t="n"/>
      <c r="D2432" s="67" t="n"/>
      <c r="E2432" s="68" t="n"/>
      <c r="F2432" s="69" t="n"/>
      <c r="G2432" s="70" t="n"/>
      <c r="H2432" s="62" t="str">
        <f>IF(COUNTA(A2432:G2432)=0,"",IF(C2432&lt;&gt;"",C2432,IF(B2432="","",IFERROR(INDEX(pr_des,MATCH(B2432,pr_code,0))&amp;"",""))))</f>
        <v/>
      </c>
      <c r="I2432" s="59" t="str">
        <f>IF(B2432="","",IFERROR(INDEX(pr_unit,MATCH(B2432,pr_code,0))&amp;"",""))</f>
        <v/>
      </c>
      <c r="J2432" s="65" t="str">
        <f>IF(COUNTA(A2432:G2432)=0,"",IF(E2432&lt;&gt;"",E2432,IF(B2432="","",IFERROR(IF(INDEX(pr_price,MATCH(B2432,pr_code,0))="","",INDEX(pr_price,MATCH(B2432,pr_code,0))),""))))</f>
        <v/>
      </c>
      <c r="K2432" s="71" t="str">
        <f>IF(COUNTA(A2432:G2432)=0,"",IF(G2432&lt;&gt;"",G2432,IF(B2432="","",IFERROR(IF(INDEX(pr_rate,MATCH(B2432,pr_code,0))="","",INDEX(pr_rate,MATCH(B2432,pr_code,0))),""))))</f>
        <v/>
      </c>
      <c r="L2432" s="65" t="str">
        <f>IF(COUNTA(A2432:G2432)=0,"",IF(AND(ISNUMBER(D2432),ISNUMBER(J2432)),ROUND(D2432*J2432*(1-N(F2432)),2),0))</f>
        <v/>
      </c>
      <c r="M2432" s="62" t="str">
        <f>IF(A2432="","",IFERROR(INDEX(fa_cname,MATCH(A2432,fa_num,0))&amp;"",""))</f>
        <v/>
      </c>
      <c r="N2432" s="59" t="str">
        <f>IF(COUNTA(A2432:G2432)=0,"",IF(A2432="","N° facture manquant",IF(ISNA(MATCH(A2432,fa_num,0)),"Facture inconnue",IF(AND(B2432&lt;&gt;"",ISNA(MATCH(B2432,pr_code,0))),"Article inconnu",IF(H2432="","Désignation manquante",IF(OR(NOT(ISNUMBER(D2432)),N(D2432)&lt;=0),"Quantité invalide",IF(J2432="","Prix manquant",IF(OR(NOT(ISNUMBER(J2432)),N(J2432)&lt;0),"Prix invalide",IF(OR(AND(F2432&lt;&gt;"",NOT(ISNUMBER(F2432))),N(F2432)&lt;0,N(F2432)&gt;1),"Remise invalide",IF(K2432="","Taux de TVA manquant",IF(NOT(ISNUMBER(K2432)),"Taux de TVA invalide",IF(COUNTIF(p_rates,K2432)=0,"Taux de TVA hors liste (Paramètres)",IF(N(O2432)&gt;25,"Au-delà de 25 lignes : non imprimée","OK")))))))))))))</f>
        <v/>
      </c>
      <c r="O2432" s="59" t="str">
        <f>IF(A2432="","",COUNTIF($A$6:A2432,A2432))</f>
        <v/>
      </c>
      <c r="P2432" s="62" t="str">
        <f>IF(A2432="","",A2432&amp;"|"&amp;O2432)</f>
        <v/>
      </c>
    </row>
    <row r="2433">
      <c r="A2433" s="60" t="n"/>
      <c r="B2433" s="63" t="n"/>
      <c r="C2433" s="63" t="n"/>
      <c r="D2433" s="67" t="n"/>
      <c r="E2433" s="68" t="n"/>
      <c r="F2433" s="69" t="n"/>
      <c r="G2433" s="70" t="n"/>
      <c r="H2433" s="62" t="str">
        <f>IF(COUNTA(A2433:G2433)=0,"",IF(C2433&lt;&gt;"",C2433,IF(B2433="","",IFERROR(INDEX(pr_des,MATCH(B2433,pr_code,0))&amp;"",""))))</f>
        <v/>
      </c>
      <c r="I2433" s="59" t="str">
        <f>IF(B2433="","",IFERROR(INDEX(pr_unit,MATCH(B2433,pr_code,0))&amp;"",""))</f>
        <v/>
      </c>
      <c r="J2433" s="65" t="str">
        <f>IF(COUNTA(A2433:G2433)=0,"",IF(E2433&lt;&gt;"",E2433,IF(B2433="","",IFERROR(IF(INDEX(pr_price,MATCH(B2433,pr_code,0))="","",INDEX(pr_price,MATCH(B2433,pr_code,0))),""))))</f>
        <v/>
      </c>
      <c r="K2433" s="71" t="str">
        <f>IF(COUNTA(A2433:G2433)=0,"",IF(G2433&lt;&gt;"",G2433,IF(B2433="","",IFERROR(IF(INDEX(pr_rate,MATCH(B2433,pr_code,0))="","",INDEX(pr_rate,MATCH(B2433,pr_code,0))),""))))</f>
        <v/>
      </c>
      <c r="L2433" s="65" t="str">
        <f>IF(COUNTA(A2433:G2433)=0,"",IF(AND(ISNUMBER(D2433),ISNUMBER(J2433)),ROUND(D2433*J2433*(1-N(F2433)),2),0))</f>
        <v/>
      </c>
      <c r="M2433" s="62" t="str">
        <f>IF(A2433="","",IFERROR(INDEX(fa_cname,MATCH(A2433,fa_num,0))&amp;"",""))</f>
        <v/>
      </c>
      <c r="N2433" s="59" t="str">
        <f>IF(COUNTA(A2433:G2433)=0,"",IF(A2433="","N° facture manquant",IF(ISNA(MATCH(A2433,fa_num,0)),"Facture inconnue",IF(AND(B2433&lt;&gt;"",ISNA(MATCH(B2433,pr_code,0))),"Article inconnu",IF(H2433="","Désignation manquante",IF(OR(NOT(ISNUMBER(D2433)),N(D2433)&lt;=0),"Quantité invalide",IF(J2433="","Prix manquant",IF(OR(NOT(ISNUMBER(J2433)),N(J2433)&lt;0),"Prix invalide",IF(OR(AND(F2433&lt;&gt;"",NOT(ISNUMBER(F2433))),N(F2433)&lt;0,N(F2433)&gt;1),"Remise invalide",IF(K2433="","Taux de TVA manquant",IF(NOT(ISNUMBER(K2433)),"Taux de TVA invalide",IF(COUNTIF(p_rates,K2433)=0,"Taux de TVA hors liste (Paramètres)",IF(N(O2433)&gt;25,"Au-delà de 25 lignes : non imprimée","OK")))))))))))))</f>
        <v/>
      </c>
      <c r="O2433" s="59" t="str">
        <f>IF(A2433="","",COUNTIF($A$6:A2433,A2433))</f>
        <v/>
      </c>
      <c r="P2433" s="62" t="str">
        <f>IF(A2433="","",A2433&amp;"|"&amp;O2433)</f>
        <v/>
      </c>
    </row>
    <row r="2434">
      <c r="A2434" s="60" t="n"/>
      <c r="B2434" s="63" t="n"/>
      <c r="C2434" s="63" t="n"/>
      <c r="D2434" s="67" t="n"/>
      <c r="E2434" s="68" t="n"/>
      <c r="F2434" s="69" t="n"/>
      <c r="G2434" s="70" t="n"/>
      <c r="H2434" s="62" t="str">
        <f>IF(COUNTA(A2434:G2434)=0,"",IF(C2434&lt;&gt;"",C2434,IF(B2434="","",IFERROR(INDEX(pr_des,MATCH(B2434,pr_code,0))&amp;"",""))))</f>
        <v/>
      </c>
      <c r="I2434" s="59" t="str">
        <f>IF(B2434="","",IFERROR(INDEX(pr_unit,MATCH(B2434,pr_code,0))&amp;"",""))</f>
        <v/>
      </c>
      <c r="J2434" s="65" t="str">
        <f>IF(COUNTA(A2434:G2434)=0,"",IF(E2434&lt;&gt;"",E2434,IF(B2434="","",IFERROR(IF(INDEX(pr_price,MATCH(B2434,pr_code,0))="","",INDEX(pr_price,MATCH(B2434,pr_code,0))),""))))</f>
        <v/>
      </c>
      <c r="K2434" s="71" t="str">
        <f>IF(COUNTA(A2434:G2434)=0,"",IF(G2434&lt;&gt;"",G2434,IF(B2434="","",IFERROR(IF(INDEX(pr_rate,MATCH(B2434,pr_code,0))="","",INDEX(pr_rate,MATCH(B2434,pr_code,0))),""))))</f>
        <v/>
      </c>
      <c r="L2434" s="65" t="str">
        <f>IF(COUNTA(A2434:G2434)=0,"",IF(AND(ISNUMBER(D2434),ISNUMBER(J2434)),ROUND(D2434*J2434*(1-N(F2434)),2),0))</f>
        <v/>
      </c>
      <c r="M2434" s="62" t="str">
        <f>IF(A2434="","",IFERROR(INDEX(fa_cname,MATCH(A2434,fa_num,0))&amp;"",""))</f>
        <v/>
      </c>
      <c r="N2434" s="59" t="str">
        <f>IF(COUNTA(A2434:G2434)=0,"",IF(A2434="","N° facture manquant",IF(ISNA(MATCH(A2434,fa_num,0)),"Facture inconnue",IF(AND(B2434&lt;&gt;"",ISNA(MATCH(B2434,pr_code,0))),"Article inconnu",IF(H2434="","Désignation manquante",IF(OR(NOT(ISNUMBER(D2434)),N(D2434)&lt;=0),"Quantité invalide",IF(J2434="","Prix manquant",IF(OR(NOT(ISNUMBER(J2434)),N(J2434)&lt;0),"Prix invalide",IF(OR(AND(F2434&lt;&gt;"",NOT(ISNUMBER(F2434))),N(F2434)&lt;0,N(F2434)&gt;1),"Remise invalide",IF(K2434="","Taux de TVA manquant",IF(NOT(ISNUMBER(K2434)),"Taux de TVA invalide",IF(COUNTIF(p_rates,K2434)=0,"Taux de TVA hors liste (Paramètres)",IF(N(O2434)&gt;25,"Au-delà de 25 lignes : non imprimée","OK")))))))))))))</f>
        <v/>
      </c>
      <c r="O2434" s="59" t="str">
        <f>IF(A2434="","",COUNTIF($A$6:A2434,A2434))</f>
        <v/>
      </c>
      <c r="P2434" s="62" t="str">
        <f>IF(A2434="","",A2434&amp;"|"&amp;O2434)</f>
        <v/>
      </c>
    </row>
    <row r="2435">
      <c r="A2435" s="60" t="n"/>
      <c r="B2435" s="63" t="n"/>
      <c r="C2435" s="63" t="n"/>
      <c r="D2435" s="67" t="n"/>
      <c r="E2435" s="68" t="n"/>
      <c r="F2435" s="69" t="n"/>
      <c r="G2435" s="70" t="n"/>
      <c r="H2435" s="62" t="str">
        <f>IF(COUNTA(A2435:G2435)=0,"",IF(C2435&lt;&gt;"",C2435,IF(B2435="","",IFERROR(INDEX(pr_des,MATCH(B2435,pr_code,0))&amp;"",""))))</f>
        <v/>
      </c>
      <c r="I2435" s="59" t="str">
        <f>IF(B2435="","",IFERROR(INDEX(pr_unit,MATCH(B2435,pr_code,0))&amp;"",""))</f>
        <v/>
      </c>
      <c r="J2435" s="65" t="str">
        <f>IF(COUNTA(A2435:G2435)=0,"",IF(E2435&lt;&gt;"",E2435,IF(B2435="","",IFERROR(IF(INDEX(pr_price,MATCH(B2435,pr_code,0))="","",INDEX(pr_price,MATCH(B2435,pr_code,0))),""))))</f>
        <v/>
      </c>
      <c r="K2435" s="71" t="str">
        <f>IF(COUNTA(A2435:G2435)=0,"",IF(G2435&lt;&gt;"",G2435,IF(B2435="","",IFERROR(IF(INDEX(pr_rate,MATCH(B2435,pr_code,0))="","",INDEX(pr_rate,MATCH(B2435,pr_code,0))),""))))</f>
        <v/>
      </c>
      <c r="L2435" s="65" t="str">
        <f>IF(COUNTA(A2435:G2435)=0,"",IF(AND(ISNUMBER(D2435),ISNUMBER(J2435)),ROUND(D2435*J2435*(1-N(F2435)),2),0))</f>
        <v/>
      </c>
      <c r="M2435" s="62" t="str">
        <f>IF(A2435="","",IFERROR(INDEX(fa_cname,MATCH(A2435,fa_num,0))&amp;"",""))</f>
        <v/>
      </c>
      <c r="N2435" s="59" t="str">
        <f>IF(COUNTA(A2435:G2435)=0,"",IF(A2435="","N° facture manquant",IF(ISNA(MATCH(A2435,fa_num,0)),"Facture inconnue",IF(AND(B2435&lt;&gt;"",ISNA(MATCH(B2435,pr_code,0))),"Article inconnu",IF(H2435="","Désignation manquante",IF(OR(NOT(ISNUMBER(D2435)),N(D2435)&lt;=0),"Quantité invalide",IF(J2435="","Prix manquant",IF(OR(NOT(ISNUMBER(J2435)),N(J2435)&lt;0),"Prix invalide",IF(OR(AND(F2435&lt;&gt;"",NOT(ISNUMBER(F2435))),N(F2435)&lt;0,N(F2435)&gt;1),"Remise invalide",IF(K2435="","Taux de TVA manquant",IF(NOT(ISNUMBER(K2435)),"Taux de TVA invalide",IF(COUNTIF(p_rates,K2435)=0,"Taux de TVA hors liste (Paramètres)",IF(N(O2435)&gt;25,"Au-delà de 25 lignes : non imprimée","OK")))))))))))))</f>
        <v/>
      </c>
      <c r="O2435" s="59" t="str">
        <f>IF(A2435="","",COUNTIF($A$6:A2435,A2435))</f>
        <v/>
      </c>
      <c r="P2435" s="62" t="str">
        <f>IF(A2435="","",A2435&amp;"|"&amp;O2435)</f>
        <v/>
      </c>
    </row>
    <row r="2436">
      <c r="A2436" s="60" t="n"/>
      <c r="B2436" s="63" t="n"/>
      <c r="C2436" s="63" t="n"/>
      <c r="D2436" s="67" t="n"/>
      <c r="E2436" s="68" t="n"/>
      <c r="F2436" s="69" t="n"/>
      <c r="G2436" s="70" t="n"/>
      <c r="H2436" s="62" t="str">
        <f>IF(COUNTA(A2436:G2436)=0,"",IF(C2436&lt;&gt;"",C2436,IF(B2436="","",IFERROR(INDEX(pr_des,MATCH(B2436,pr_code,0))&amp;"",""))))</f>
        <v/>
      </c>
      <c r="I2436" s="59" t="str">
        <f>IF(B2436="","",IFERROR(INDEX(pr_unit,MATCH(B2436,pr_code,0))&amp;"",""))</f>
        <v/>
      </c>
      <c r="J2436" s="65" t="str">
        <f>IF(COUNTA(A2436:G2436)=0,"",IF(E2436&lt;&gt;"",E2436,IF(B2436="","",IFERROR(IF(INDEX(pr_price,MATCH(B2436,pr_code,0))="","",INDEX(pr_price,MATCH(B2436,pr_code,0))),""))))</f>
        <v/>
      </c>
      <c r="K2436" s="71" t="str">
        <f>IF(COUNTA(A2436:G2436)=0,"",IF(G2436&lt;&gt;"",G2436,IF(B2436="","",IFERROR(IF(INDEX(pr_rate,MATCH(B2436,pr_code,0))="","",INDEX(pr_rate,MATCH(B2436,pr_code,0))),""))))</f>
        <v/>
      </c>
      <c r="L2436" s="65" t="str">
        <f>IF(COUNTA(A2436:G2436)=0,"",IF(AND(ISNUMBER(D2436),ISNUMBER(J2436)),ROUND(D2436*J2436*(1-N(F2436)),2),0))</f>
        <v/>
      </c>
      <c r="M2436" s="62" t="str">
        <f>IF(A2436="","",IFERROR(INDEX(fa_cname,MATCH(A2436,fa_num,0))&amp;"",""))</f>
        <v/>
      </c>
      <c r="N2436" s="59" t="str">
        <f>IF(COUNTA(A2436:G2436)=0,"",IF(A2436="","N° facture manquant",IF(ISNA(MATCH(A2436,fa_num,0)),"Facture inconnue",IF(AND(B2436&lt;&gt;"",ISNA(MATCH(B2436,pr_code,0))),"Article inconnu",IF(H2436="","Désignation manquante",IF(OR(NOT(ISNUMBER(D2436)),N(D2436)&lt;=0),"Quantité invalide",IF(J2436="","Prix manquant",IF(OR(NOT(ISNUMBER(J2436)),N(J2436)&lt;0),"Prix invalide",IF(OR(AND(F2436&lt;&gt;"",NOT(ISNUMBER(F2436))),N(F2436)&lt;0,N(F2436)&gt;1),"Remise invalide",IF(K2436="","Taux de TVA manquant",IF(NOT(ISNUMBER(K2436)),"Taux de TVA invalide",IF(COUNTIF(p_rates,K2436)=0,"Taux de TVA hors liste (Paramètres)",IF(N(O2436)&gt;25,"Au-delà de 25 lignes : non imprimée","OK")))))))))))))</f>
        <v/>
      </c>
      <c r="O2436" s="59" t="str">
        <f>IF(A2436="","",COUNTIF($A$6:A2436,A2436))</f>
        <v/>
      </c>
      <c r="P2436" s="62" t="str">
        <f>IF(A2436="","",A2436&amp;"|"&amp;O2436)</f>
        <v/>
      </c>
    </row>
    <row r="2437">
      <c r="A2437" s="60" t="n"/>
      <c r="B2437" s="63" t="n"/>
      <c r="C2437" s="63" t="n"/>
      <c r="D2437" s="67" t="n"/>
      <c r="E2437" s="68" t="n"/>
      <c r="F2437" s="69" t="n"/>
      <c r="G2437" s="70" t="n"/>
      <c r="H2437" s="62" t="str">
        <f>IF(COUNTA(A2437:G2437)=0,"",IF(C2437&lt;&gt;"",C2437,IF(B2437="","",IFERROR(INDEX(pr_des,MATCH(B2437,pr_code,0))&amp;"",""))))</f>
        <v/>
      </c>
      <c r="I2437" s="59" t="str">
        <f>IF(B2437="","",IFERROR(INDEX(pr_unit,MATCH(B2437,pr_code,0))&amp;"",""))</f>
        <v/>
      </c>
      <c r="J2437" s="65" t="str">
        <f>IF(COUNTA(A2437:G2437)=0,"",IF(E2437&lt;&gt;"",E2437,IF(B2437="","",IFERROR(IF(INDEX(pr_price,MATCH(B2437,pr_code,0))="","",INDEX(pr_price,MATCH(B2437,pr_code,0))),""))))</f>
        <v/>
      </c>
      <c r="K2437" s="71" t="str">
        <f>IF(COUNTA(A2437:G2437)=0,"",IF(G2437&lt;&gt;"",G2437,IF(B2437="","",IFERROR(IF(INDEX(pr_rate,MATCH(B2437,pr_code,0))="","",INDEX(pr_rate,MATCH(B2437,pr_code,0))),""))))</f>
        <v/>
      </c>
      <c r="L2437" s="65" t="str">
        <f>IF(COUNTA(A2437:G2437)=0,"",IF(AND(ISNUMBER(D2437),ISNUMBER(J2437)),ROUND(D2437*J2437*(1-N(F2437)),2),0))</f>
        <v/>
      </c>
      <c r="M2437" s="62" t="str">
        <f>IF(A2437="","",IFERROR(INDEX(fa_cname,MATCH(A2437,fa_num,0))&amp;"",""))</f>
        <v/>
      </c>
      <c r="N2437" s="59" t="str">
        <f>IF(COUNTA(A2437:G2437)=0,"",IF(A2437="","N° facture manquant",IF(ISNA(MATCH(A2437,fa_num,0)),"Facture inconnue",IF(AND(B2437&lt;&gt;"",ISNA(MATCH(B2437,pr_code,0))),"Article inconnu",IF(H2437="","Désignation manquante",IF(OR(NOT(ISNUMBER(D2437)),N(D2437)&lt;=0),"Quantité invalide",IF(J2437="","Prix manquant",IF(OR(NOT(ISNUMBER(J2437)),N(J2437)&lt;0),"Prix invalide",IF(OR(AND(F2437&lt;&gt;"",NOT(ISNUMBER(F2437))),N(F2437)&lt;0,N(F2437)&gt;1),"Remise invalide",IF(K2437="","Taux de TVA manquant",IF(NOT(ISNUMBER(K2437)),"Taux de TVA invalide",IF(COUNTIF(p_rates,K2437)=0,"Taux de TVA hors liste (Paramètres)",IF(N(O2437)&gt;25,"Au-delà de 25 lignes : non imprimée","OK")))))))))))))</f>
        <v/>
      </c>
      <c r="O2437" s="59" t="str">
        <f>IF(A2437="","",COUNTIF($A$6:A2437,A2437))</f>
        <v/>
      </c>
      <c r="P2437" s="62" t="str">
        <f>IF(A2437="","",A2437&amp;"|"&amp;O2437)</f>
        <v/>
      </c>
    </row>
    <row r="2438">
      <c r="A2438" s="60" t="n"/>
      <c r="B2438" s="63" t="n"/>
      <c r="C2438" s="63" t="n"/>
      <c r="D2438" s="67" t="n"/>
      <c r="E2438" s="68" t="n"/>
      <c r="F2438" s="69" t="n"/>
      <c r="G2438" s="70" t="n"/>
      <c r="H2438" s="62" t="str">
        <f>IF(COUNTA(A2438:G2438)=0,"",IF(C2438&lt;&gt;"",C2438,IF(B2438="","",IFERROR(INDEX(pr_des,MATCH(B2438,pr_code,0))&amp;"",""))))</f>
        <v/>
      </c>
      <c r="I2438" s="59" t="str">
        <f>IF(B2438="","",IFERROR(INDEX(pr_unit,MATCH(B2438,pr_code,0))&amp;"",""))</f>
        <v/>
      </c>
      <c r="J2438" s="65" t="str">
        <f>IF(COUNTA(A2438:G2438)=0,"",IF(E2438&lt;&gt;"",E2438,IF(B2438="","",IFERROR(IF(INDEX(pr_price,MATCH(B2438,pr_code,0))="","",INDEX(pr_price,MATCH(B2438,pr_code,0))),""))))</f>
        <v/>
      </c>
      <c r="K2438" s="71" t="str">
        <f>IF(COUNTA(A2438:G2438)=0,"",IF(G2438&lt;&gt;"",G2438,IF(B2438="","",IFERROR(IF(INDEX(pr_rate,MATCH(B2438,pr_code,0))="","",INDEX(pr_rate,MATCH(B2438,pr_code,0))),""))))</f>
        <v/>
      </c>
      <c r="L2438" s="65" t="str">
        <f>IF(COUNTA(A2438:G2438)=0,"",IF(AND(ISNUMBER(D2438),ISNUMBER(J2438)),ROUND(D2438*J2438*(1-N(F2438)),2),0))</f>
        <v/>
      </c>
      <c r="M2438" s="62" t="str">
        <f>IF(A2438="","",IFERROR(INDEX(fa_cname,MATCH(A2438,fa_num,0))&amp;"",""))</f>
        <v/>
      </c>
      <c r="N2438" s="59" t="str">
        <f>IF(COUNTA(A2438:G2438)=0,"",IF(A2438="","N° facture manquant",IF(ISNA(MATCH(A2438,fa_num,0)),"Facture inconnue",IF(AND(B2438&lt;&gt;"",ISNA(MATCH(B2438,pr_code,0))),"Article inconnu",IF(H2438="","Désignation manquante",IF(OR(NOT(ISNUMBER(D2438)),N(D2438)&lt;=0),"Quantité invalide",IF(J2438="","Prix manquant",IF(OR(NOT(ISNUMBER(J2438)),N(J2438)&lt;0),"Prix invalide",IF(OR(AND(F2438&lt;&gt;"",NOT(ISNUMBER(F2438))),N(F2438)&lt;0,N(F2438)&gt;1),"Remise invalide",IF(K2438="","Taux de TVA manquant",IF(NOT(ISNUMBER(K2438)),"Taux de TVA invalide",IF(COUNTIF(p_rates,K2438)=0,"Taux de TVA hors liste (Paramètres)",IF(N(O2438)&gt;25,"Au-delà de 25 lignes : non imprimée","OK")))))))))))))</f>
        <v/>
      </c>
      <c r="O2438" s="59" t="str">
        <f>IF(A2438="","",COUNTIF($A$6:A2438,A2438))</f>
        <v/>
      </c>
      <c r="P2438" s="62" t="str">
        <f>IF(A2438="","",A2438&amp;"|"&amp;O2438)</f>
        <v/>
      </c>
    </row>
    <row r="2439">
      <c r="A2439" s="60" t="n"/>
      <c r="B2439" s="63" t="n"/>
      <c r="C2439" s="63" t="n"/>
      <c r="D2439" s="67" t="n"/>
      <c r="E2439" s="68" t="n"/>
      <c r="F2439" s="69" t="n"/>
      <c r="G2439" s="70" t="n"/>
      <c r="H2439" s="62" t="str">
        <f>IF(COUNTA(A2439:G2439)=0,"",IF(C2439&lt;&gt;"",C2439,IF(B2439="","",IFERROR(INDEX(pr_des,MATCH(B2439,pr_code,0))&amp;"",""))))</f>
        <v/>
      </c>
      <c r="I2439" s="59" t="str">
        <f>IF(B2439="","",IFERROR(INDEX(pr_unit,MATCH(B2439,pr_code,0))&amp;"",""))</f>
        <v/>
      </c>
      <c r="J2439" s="65" t="str">
        <f>IF(COUNTA(A2439:G2439)=0,"",IF(E2439&lt;&gt;"",E2439,IF(B2439="","",IFERROR(IF(INDEX(pr_price,MATCH(B2439,pr_code,0))="","",INDEX(pr_price,MATCH(B2439,pr_code,0))),""))))</f>
        <v/>
      </c>
      <c r="K2439" s="71" t="str">
        <f>IF(COUNTA(A2439:G2439)=0,"",IF(G2439&lt;&gt;"",G2439,IF(B2439="","",IFERROR(IF(INDEX(pr_rate,MATCH(B2439,pr_code,0))="","",INDEX(pr_rate,MATCH(B2439,pr_code,0))),""))))</f>
        <v/>
      </c>
      <c r="L2439" s="65" t="str">
        <f>IF(COUNTA(A2439:G2439)=0,"",IF(AND(ISNUMBER(D2439),ISNUMBER(J2439)),ROUND(D2439*J2439*(1-N(F2439)),2),0))</f>
        <v/>
      </c>
      <c r="M2439" s="62" t="str">
        <f>IF(A2439="","",IFERROR(INDEX(fa_cname,MATCH(A2439,fa_num,0))&amp;"",""))</f>
        <v/>
      </c>
      <c r="N2439" s="59" t="str">
        <f>IF(COUNTA(A2439:G2439)=0,"",IF(A2439="","N° facture manquant",IF(ISNA(MATCH(A2439,fa_num,0)),"Facture inconnue",IF(AND(B2439&lt;&gt;"",ISNA(MATCH(B2439,pr_code,0))),"Article inconnu",IF(H2439="","Désignation manquante",IF(OR(NOT(ISNUMBER(D2439)),N(D2439)&lt;=0),"Quantité invalide",IF(J2439="","Prix manquant",IF(OR(NOT(ISNUMBER(J2439)),N(J2439)&lt;0),"Prix invalide",IF(OR(AND(F2439&lt;&gt;"",NOT(ISNUMBER(F2439))),N(F2439)&lt;0,N(F2439)&gt;1),"Remise invalide",IF(K2439="","Taux de TVA manquant",IF(NOT(ISNUMBER(K2439)),"Taux de TVA invalide",IF(COUNTIF(p_rates,K2439)=0,"Taux de TVA hors liste (Paramètres)",IF(N(O2439)&gt;25,"Au-delà de 25 lignes : non imprimée","OK")))))))))))))</f>
        <v/>
      </c>
      <c r="O2439" s="59" t="str">
        <f>IF(A2439="","",COUNTIF($A$6:A2439,A2439))</f>
        <v/>
      </c>
      <c r="P2439" s="62" t="str">
        <f>IF(A2439="","",A2439&amp;"|"&amp;O2439)</f>
        <v/>
      </c>
    </row>
    <row r="2440">
      <c r="A2440" s="60" t="n"/>
      <c r="B2440" s="63" t="n"/>
      <c r="C2440" s="63" t="n"/>
      <c r="D2440" s="67" t="n"/>
      <c r="E2440" s="68" t="n"/>
      <c r="F2440" s="69" t="n"/>
      <c r="G2440" s="70" t="n"/>
      <c r="H2440" s="62" t="str">
        <f>IF(COUNTA(A2440:G2440)=0,"",IF(C2440&lt;&gt;"",C2440,IF(B2440="","",IFERROR(INDEX(pr_des,MATCH(B2440,pr_code,0))&amp;"",""))))</f>
        <v/>
      </c>
      <c r="I2440" s="59" t="str">
        <f>IF(B2440="","",IFERROR(INDEX(pr_unit,MATCH(B2440,pr_code,0))&amp;"",""))</f>
        <v/>
      </c>
      <c r="J2440" s="65" t="str">
        <f>IF(COUNTA(A2440:G2440)=0,"",IF(E2440&lt;&gt;"",E2440,IF(B2440="","",IFERROR(IF(INDEX(pr_price,MATCH(B2440,pr_code,0))="","",INDEX(pr_price,MATCH(B2440,pr_code,0))),""))))</f>
        <v/>
      </c>
      <c r="K2440" s="71" t="str">
        <f>IF(COUNTA(A2440:G2440)=0,"",IF(G2440&lt;&gt;"",G2440,IF(B2440="","",IFERROR(IF(INDEX(pr_rate,MATCH(B2440,pr_code,0))="","",INDEX(pr_rate,MATCH(B2440,pr_code,0))),""))))</f>
        <v/>
      </c>
      <c r="L2440" s="65" t="str">
        <f>IF(COUNTA(A2440:G2440)=0,"",IF(AND(ISNUMBER(D2440),ISNUMBER(J2440)),ROUND(D2440*J2440*(1-N(F2440)),2),0))</f>
        <v/>
      </c>
      <c r="M2440" s="62" t="str">
        <f>IF(A2440="","",IFERROR(INDEX(fa_cname,MATCH(A2440,fa_num,0))&amp;"",""))</f>
        <v/>
      </c>
      <c r="N2440" s="59" t="str">
        <f>IF(COUNTA(A2440:G2440)=0,"",IF(A2440="","N° facture manquant",IF(ISNA(MATCH(A2440,fa_num,0)),"Facture inconnue",IF(AND(B2440&lt;&gt;"",ISNA(MATCH(B2440,pr_code,0))),"Article inconnu",IF(H2440="","Désignation manquante",IF(OR(NOT(ISNUMBER(D2440)),N(D2440)&lt;=0),"Quantité invalide",IF(J2440="","Prix manquant",IF(OR(NOT(ISNUMBER(J2440)),N(J2440)&lt;0),"Prix invalide",IF(OR(AND(F2440&lt;&gt;"",NOT(ISNUMBER(F2440))),N(F2440)&lt;0,N(F2440)&gt;1),"Remise invalide",IF(K2440="","Taux de TVA manquant",IF(NOT(ISNUMBER(K2440)),"Taux de TVA invalide",IF(COUNTIF(p_rates,K2440)=0,"Taux de TVA hors liste (Paramètres)",IF(N(O2440)&gt;25,"Au-delà de 25 lignes : non imprimée","OK")))))))))))))</f>
        <v/>
      </c>
      <c r="O2440" s="59" t="str">
        <f>IF(A2440="","",COUNTIF($A$6:A2440,A2440))</f>
        <v/>
      </c>
      <c r="P2440" s="62" t="str">
        <f>IF(A2440="","",A2440&amp;"|"&amp;O2440)</f>
        <v/>
      </c>
    </row>
    <row r="2441">
      <c r="A2441" s="60" t="n"/>
      <c r="B2441" s="63" t="n"/>
      <c r="C2441" s="63" t="n"/>
      <c r="D2441" s="67" t="n"/>
      <c r="E2441" s="68" t="n"/>
      <c r="F2441" s="69" t="n"/>
      <c r="G2441" s="70" t="n"/>
      <c r="H2441" s="62" t="str">
        <f>IF(COUNTA(A2441:G2441)=0,"",IF(C2441&lt;&gt;"",C2441,IF(B2441="","",IFERROR(INDEX(pr_des,MATCH(B2441,pr_code,0))&amp;"",""))))</f>
        <v/>
      </c>
      <c r="I2441" s="59" t="str">
        <f>IF(B2441="","",IFERROR(INDEX(pr_unit,MATCH(B2441,pr_code,0))&amp;"",""))</f>
        <v/>
      </c>
      <c r="J2441" s="65" t="str">
        <f>IF(COUNTA(A2441:G2441)=0,"",IF(E2441&lt;&gt;"",E2441,IF(B2441="","",IFERROR(IF(INDEX(pr_price,MATCH(B2441,pr_code,0))="","",INDEX(pr_price,MATCH(B2441,pr_code,0))),""))))</f>
        <v/>
      </c>
      <c r="K2441" s="71" t="str">
        <f>IF(COUNTA(A2441:G2441)=0,"",IF(G2441&lt;&gt;"",G2441,IF(B2441="","",IFERROR(IF(INDEX(pr_rate,MATCH(B2441,pr_code,0))="","",INDEX(pr_rate,MATCH(B2441,pr_code,0))),""))))</f>
        <v/>
      </c>
      <c r="L2441" s="65" t="str">
        <f>IF(COUNTA(A2441:G2441)=0,"",IF(AND(ISNUMBER(D2441),ISNUMBER(J2441)),ROUND(D2441*J2441*(1-N(F2441)),2),0))</f>
        <v/>
      </c>
      <c r="M2441" s="62" t="str">
        <f>IF(A2441="","",IFERROR(INDEX(fa_cname,MATCH(A2441,fa_num,0))&amp;"",""))</f>
        <v/>
      </c>
      <c r="N2441" s="59" t="str">
        <f>IF(COUNTA(A2441:G2441)=0,"",IF(A2441="","N° facture manquant",IF(ISNA(MATCH(A2441,fa_num,0)),"Facture inconnue",IF(AND(B2441&lt;&gt;"",ISNA(MATCH(B2441,pr_code,0))),"Article inconnu",IF(H2441="","Désignation manquante",IF(OR(NOT(ISNUMBER(D2441)),N(D2441)&lt;=0),"Quantité invalide",IF(J2441="","Prix manquant",IF(OR(NOT(ISNUMBER(J2441)),N(J2441)&lt;0),"Prix invalide",IF(OR(AND(F2441&lt;&gt;"",NOT(ISNUMBER(F2441))),N(F2441)&lt;0,N(F2441)&gt;1),"Remise invalide",IF(K2441="","Taux de TVA manquant",IF(NOT(ISNUMBER(K2441)),"Taux de TVA invalide",IF(COUNTIF(p_rates,K2441)=0,"Taux de TVA hors liste (Paramètres)",IF(N(O2441)&gt;25,"Au-delà de 25 lignes : non imprimée","OK")))))))))))))</f>
        <v/>
      </c>
      <c r="O2441" s="59" t="str">
        <f>IF(A2441="","",COUNTIF($A$6:A2441,A2441))</f>
        <v/>
      </c>
      <c r="P2441" s="62" t="str">
        <f>IF(A2441="","",A2441&amp;"|"&amp;O2441)</f>
        <v/>
      </c>
    </row>
    <row r="2442">
      <c r="A2442" s="60" t="n"/>
      <c r="B2442" s="63" t="n"/>
      <c r="C2442" s="63" t="n"/>
      <c r="D2442" s="67" t="n"/>
      <c r="E2442" s="68" t="n"/>
      <c r="F2442" s="69" t="n"/>
      <c r="G2442" s="70" t="n"/>
      <c r="H2442" s="62" t="str">
        <f>IF(COUNTA(A2442:G2442)=0,"",IF(C2442&lt;&gt;"",C2442,IF(B2442="","",IFERROR(INDEX(pr_des,MATCH(B2442,pr_code,0))&amp;"",""))))</f>
        <v/>
      </c>
      <c r="I2442" s="59" t="str">
        <f>IF(B2442="","",IFERROR(INDEX(pr_unit,MATCH(B2442,pr_code,0))&amp;"",""))</f>
        <v/>
      </c>
      <c r="J2442" s="65" t="str">
        <f>IF(COUNTA(A2442:G2442)=0,"",IF(E2442&lt;&gt;"",E2442,IF(B2442="","",IFERROR(IF(INDEX(pr_price,MATCH(B2442,pr_code,0))="","",INDEX(pr_price,MATCH(B2442,pr_code,0))),""))))</f>
        <v/>
      </c>
      <c r="K2442" s="71" t="str">
        <f>IF(COUNTA(A2442:G2442)=0,"",IF(G2442&lt;&gt;"",G2442,IF(B2442="","",IFERROR(IF(INDEX(pr_rate,MATCH(B2442,pr_code,0))="","",INDEX(pr_rate,MATCH(B2442,pr_code,0))),""))))</f>
        <v/>
      </c>
      <c r="L2442" s="65" t="str">
        <f>IF(COUNTA(A2442:G2442)=0,"",IF(AND(ISNUMBER(D2442),ISNUMBER(J2442)),ROUND(D2442*J2442*(1-N(F2442)),2),0))</f>
        <v/>
      </c>
      <c r="M2442" s="62" t="str">
        <f>IF(A2442="","",IFERROR(INDEX(fa_cname,MATCH(A2442,fa_num,0))&amp;"",""))</f>
        <v/>
      </c>
      <c r="N2442" s="59" t="str">
        <f>IF(COUNTA(A2442:G2442)=0,"",IF(A2442="","N° facture manquant",IF(ISNA(MATCH(A2442,fa_num,0)),"Facture inconnue",IF(AND(B2442&lt;&gt;"",ISNA(MATCH(B2442,pr_code,0))),"Article inconnu",IF(H2442="","Désignation manquante",IF(OR(NOT(ISNUMBER(D2442)),N(D2442)&lt;=0),"Quantité invalide",IF(J2442="","Prix manquant",IF(OR(NOT(ISNUMBER(J2442)),N(J2442)&lt;0),"Prix invalide",IF(OR(AND(F2442&lt;&gt;"",NOT(ISNUMBER(F2442))),N(F2442)&lt;0,N(F2442)&gt;1),"Remise invalide",IF(K2442="","Taux de TVA manquant",IF(NOT(ISNUMBER(K2442)),"Taux de TVA invalide",IF(COUNTIF(p_rates,K2442)=0,"Taux de TVA hors liste (Paramètres)",IF(N(O2442)&gt;25,"Au-delà de 25 lignes : non imprimée","OK")))))))))))))</f>
        <v/>
      </c>
      <c r="O2442" s="59" t="str">
        <f>IF(A2442="","",COUNTIF($A$6:A2442,A2442))</f>
        <v/>
      </c>
      <c r="P2442" s="62" t="str">
        <f>IF(A2442="","",A2442&amp;"|"&amp;O2442)</f>
        <v/>
      </c>
    </row>
    <row r="2443">
      <c r="A2443" s="60" t="n"/>
      <c r="B2443" s="63" t="n"/>
      <c r="C2443" s="63" t="n"/>
      <c r="D2443" s="67" t="n"/>
      <c r="E2443" s="68" t="n"/>
      <c r="F2443" s="69" t="n"/>
      <c r="G2443" s="70" t="n"/>
      <c r="H2443" s="62" t="str">
        <f>IF(COUNTA(A2443:G2443)=0,"",IF(C2443&lt;&gt;"",C2443,IF(B2443="","",IFERROR(INDEX(pr_des,MATCH(B2443,pr_code,0))&amp;"",""))))</f>
        <v/>
      </c>
      <c r="I2443" s="59" t="str">
        <f>IF(B2443="","",IFERROR(INDEX(pr_unit,MATCH(B2443,pr_code,0))&amp;"",""))</f>
        <v/>
      </c>
      <c r="J2443" s="65" t="str">
        <f>IF(COUNTA(A2443:G2443)=0,"",IF(E2443&lt;&gt;"",E2443,IF(B2443="","",IFERROR(IF(INDEX(pr_price,MATCH(B2443,pr_code,0))="","",INDEX(pr_price,MATCH(B2443,pr_code,0))),""))))</f>
        <v/>
      </c>
      <c r="K2443" s="71" t="str">
        <f>IF(COUNTA(A2443:G2443)=0,"",IF(G2443&lt;&gt;"",G2443,IF(B2443="","",IFERROR(IF(INDEX(pr_rate,MATCH(B2443,pr_code,0))="","",INDEX(pr_rate,MATCH(B2443,pr_code,0))),""))))</f>
        <v/>
      </c>
      <c r="L2443" s="65" t="str">
        <f>IF(COUNTA(A2443:G2443)=0,"",IF(AND(ISNUMBER(D2443),ISNUMBER(J2443)),ROUND(D2443*J2443*(1-N(F2443)),2),0))</f>
        <v/>
      </c>
      <c r="M2443" s="62" t="str">
        <f>IF(A2443="","",IFERROR(INDEX(fa_cname,MATCH(A2443,fa_num,0))&amp;"",""))</f>
        <v/>
      </c>
      <c r="N2443" s="59" t="str">
        <f>IF(COUNTA(A2443:G2443)=0,"",IF(A2443="","N° facture manquant",IF(ISNA(MATCH(A2443,fa_num,0)),"Facture inconnue",IF(AND(B2443&lt;&gt;"",ISNA(MATCH(B2443,pr_code,0))),"Article inconnu",IF(H2443="","Désignation manquante",IF(OR(NOT(ISNUMBER(D2443)),N(D2443)&lt;=0),"Quantité invalide",IF(J2443="","Prix manquant",IF(OR(NOT(ISNUMBER(J2443)),N(J2443)&lt;0),"Prix invalide",IF(OR(AND(F2443&lt;&gt;"",NOT(ISNUMBER(F2443))),N(F2443)&lt;0,N(F2443)&gt;1),"Remise invalide",IF(K2443="","Taux de TVA manquant",IF(NOT(ISNUMBER(K2443)),"Taux de TVA invalide",IF(COUNTIF(p_rates,K2443)=0,"Taux de TVA hors liste (Paramètres)",IF(N(O2443)&gt;25,"Au-delà de 25 lignes : non imprimée","OK")))))))))))))</f>
        <v/>
      </c>
      <c r="O2443" s="59" t="str">
        <f>IF(A2443="","",COUNTIF($A$6:A2443,A2443))</f>
        <v/>
      </c>
      <c r="P2443" s="62" t="str">
        <f>IF(A2443="","",A2443&amp;"|"&amp;O2443)</f>
        <v/>
      </c>
    </row>
    <row r="2444">
      <c r="A2444" s="60" t="n"/>
      <c r="B2444" s="63" t="n"/>
      <c r="C2444" s="63" t="n"/>
      <c r="D2444" s="67" t="n"/>
      <c r="E2444" s="68" t="n"/>
      <c r="F2444" s="69" t="n"/>
      <c r="G2444" s="70" t="n"/>
      <c r="H2444" s="62" t="str">
        <f>IF(COUNTA(A2444:G2444)=0,"",IF(C2444&lt;&gt;"",C2444,IF(B2444="","",IFERROR(INDEX(pr_des,MATCH(B2444,pr_code,0))&amp;"",""))))</f>
        <v/>
      </c>
      <c r="I2444" s="59" t="str">
        <f>IF(B2444="","",IFERROR(INDEX(pr_unit,MATCH(B2444,pr_code,0))&amp;"",""))</f>
        <v/>
      </c>
      <c r="J2444" s="65" t="str">
        <f>IF(COUNTA(A2444:G2444)=0,"",IF(E2444&lt;&gt;"",E2444,IF(B2444="","",IFERROR(IF(INDEX(pr_price,MATCH(B2444,pr_code,0))="","",INDEX(pr_price,MATCH(B2444,pr_code,0))),""))))</f>
        <v/>
      </c>
      <c r="K2444" s="71" t="str">
        <f>IF(COUNTA(A2444:G2444)=0,"",IF(G2444&lt;&gt;"",G2444,IF(B2444="","",IFERROR(IF(INDEX(pr_rate,MATCH(B2444,pr_code,0))="","",INDEX(pr_rate,MATCH(B2444,pr_code,0))),""))))</f>
        <v/>
      </c>
      <c r="L2444" s="65" t="str">
        <f>IF(COUNTA(A2444:G2444)=0,"",IF(AND(ISNUMBER(D2444),ISNUMBER(J2444)),ROUND(D2444*J2444*(1-N(F2444)),2),0))</f>
        <v/>
      </c>
      <c r="M2444" s="62" t="str">
        <f>IF(A2444="","",IFERROR(INDEX(fa_cname,MATCH(A2444,fa_num,0))&amp;"",""))</f>
        <v/>
      </c>
      <c r="N2444" s="59" t="str">
        <f>IF(COUNTA(A2444:G2444)=0,"",IF(A2444="","N° facture manquant",IF(ISNA(MATCH(A2444,fa_num,0)),"Facture inconnue",IF(AND(B2444&lt;&gt;"",ISNA(MATCH(B2444,pr_code,0))),"Article inconnu",IF(H2444="","Désignation manquante",IF(OR(NOT(ISNUMBER(D2444)),N(D2444)&lt;=0),"Quantité invalide",IF(J2444="","Prix manquant",IF(OR(NOT(ISNUMBER(J2444)),N(J2444)&lt;0),"Prix invalide",IF(OR(AND(F2444&lt;&gt;"",NOT(ISNUMBER(F2444))),N(F2444)&lt;0,N(F2444)&gt;1),"Remise invalide",IF(K2444="","Taux de TVA manquant",IF(NOT(ISNUMBER(K2444)),"Taux de TVA invalide",IF(COUNTIF(p_rates,K2444)=0,"Taux de TVA hors liste (Paramètres)",IF(N(O2444)&gt;25,"Au-delà de 25 lignes : non imprimée","OK")))))))))))))</f>
        <v/>
      </c>
      <c r="O2444" s="59" t="str">
        <f>IF(A2444="","",COUNTIF($A$6:A2444,A2444))</f>
        <v/>
      </c>
      <c r="P2444" s="62" t="str">
        <f>IF(A2444="","",A2444&amp;"|"&amp;O2444)</f>
        <v/>
      </c>
    </row>
    <row r="2445">
      <c r="A2445" s="60" t="n"/>
      <c r="B2445" s="63" t="n"/>
      <c r="C2445" s="63" t="n"/>
      <c r="D2445" s="67" t="n"/>
      <c r="E2445" s="68" t="n"/>
      <c r="F2445" s="69" t="n"/>
      <c r="G2445" s="70" t="n"/>
      <c r="H2445" s="62" t="str">
        <f>IF(COUNTA(A2445:G2445)=0,"",IF(C2445&lt;&gt;"",C2445,IF(B2445="","",IFERROR(INDEX(pr_des,MATCH(B2445,pr_code,0))&amp;"",""))))</f>
        <v/>
      </c>
      <c r="I2445" s="59" t="str">
        <f>IF(B2445="","",IFERROR(INDEX(pr_unit,MATCH(B2445,pr_code,0))&amp;"",""))</f>
        <v/>
      </c>
      <c r="J2445" s="65" t="str">
        <f>IF(COUNTA(A2445:G2445)=0,"",IF(E2445&lt;&gt;"",E2445,IF(B2445="","",IFERROR(IF(INDEX(pr_price,MATCH(B2445,pr_code,0))="","",INDEX(pr_price,MATCH(B2445,pr_code,0))),""))))</f>
        <v/>
      </c>
      <c r="K2445" s="71" t="str">
        <f>IF(COUNTA(A2445:G2445)=0,"",IF(G2445&lt;&gt;"",G2445,IF(B2445="","",IFERROR(IF(INDEX(pr_rate,MATCH(B2445,pr_code,0))="","",INDEX(pr_rate,MATCH(B2445,pr_code,0))),""))))</f>
        <v/>
      </c>
      <c r="L2445" s="65" t="str">
        <f>IF(COUNTA(A2445:G2445)=0,"",IF(AND(ISNUMBER(D2445),ISNUMBER(J2445)),ROUND(D2445*J2445*(1-N(F2445)),2),0))</f>
        <v/>
      </c>
      <c r="M2445" s="62" t="str">
        <f>IF(A2445="","",IFERROR(INDEX(fa_cname,MATCH(A2445,fa_num,0))&amp;"",""))</f>
        <v/>
      </c>
      <c r="N2445" s="59" t="str">
        <f>IF(COUNTA(A2445:G2445)=0,"",IF(A2445="","N° facture manquant",IF(ISNA(MATCH(A2445,fa_num,0)),"Facture inconnue",IF(AND(B2445&lt;&gt;"",ISNA(MATCH(B2445,pr_code,0))),"Article inconnu",IF(H2445="","Désignation manquante",IF(OR(NOT(ISNUMBER(D2445)),N(D2445)&lt;=0),"Quantité invalide",IF(J2445="","Prix manquant",IF(OR(NOT(ISNUMBER(J2445)),N(J2445)&lt;0),"Prix invalide",IF(OR(AND(F2445&lt;&gt;"",NOT(ISNUMBER(F2445))),N(F2445)&lt;0,N(F2445)&gt;1),"Remise invalide",IF(K2445="","Taux de TVA manquant",IF(NOT(ISNUMBER(K2445)),"Taux de TVA invalide",IF(COUNTIF(p_rates,K2445)=0,"Taux de TVA hors liste (Paramètres)",IF(N(O2445)&gt;25,"Au-delà de 25 lignes : non imprimée","OK")))))))))))))</f>
        <v/>
      </c>
      <c r="O2445" s="59" t="str">
        <f>IF(A2445="","",COUNTIF($A$6:A2445,A2445))</f>
        <v/>
      </c>
      <c r="P2445" s="62" t="str">
        <f>IF(A2445="","",A2445&amp;"|"&amp;O2445)</f>
        <v/>
      </c>
    </row>
    <row r="2446">
      <c r="A2446" s="60" t="n"/>
      <c r="B2446" s="63" t="n"/>
      <c r="C2446" s="63" t="n"/>
      <c r="D2446" s="67" t="n"/>
      <c r="E2446" s="68" t="n"/>
      <c r="F2446" s="69" t="n"/>
      <c r="G2446" s="70" t="n"/>
      <c r="H2446" s="62" t="str">
        <f>IF(COUNTA(A2446:G2446)=0,"",IF(C2446&lt;&gt;"",C2446,IF(B2446="","",IFERROR(INDEX(pr_des,MATCH(B2446,pr_code,0))&amp;"",""))))</f>
        <v/>
      </c>
      <c r="I2446" s="59" t="str">
        <f>IF(B2446="","",IFERROR(INDEX(pr_unit,MATCH(B2446,pr_code,0))&amp;"",""))</f>
        <v/>
      </c>
      <c r="J2446" s="65" t="str">
        <f>IF(COUNTA(A2446:G2446)=0,"",IF(E2446&lt;&gt;"",E2446,IF(B2446="","",IFERROR(IF(INDEX(pr_price,MATCH(B2446,pr_code,0))="","",INDEX(pr_price,MATCH(B2446,pr_code,0))),""))))</f>
        <v/>
      </c>
      <c r="K2446" s="71" t="str">
        <f>IF(COUNTA(A2446:G2446)=0,"",IF(G2446&lt;&gt;"",G2446,IF(B2446="","",IFERROR(IF(INDEX(pr_rate,MATCH(B2446,pr_code,0))="","",INDEX(pr_rate,MATCH(B2446,pr_code,0))),""))))</f>
        <v/>
      </c>
      <c r="L2446" s="65" t="str">
        <f>IF(COUNTA(A2446:G2446)=0,"",IF(AND(ISNUMBER(D2446),ISNUMBER(J2446)),ROUND(D2446*J2446*(1-N(F2446)),2),0))</f>
        <v/>
      </c>
      <c r="M2446" s="62" t="str">
        <f>IF(A2446="","",IFERROR(INDEX(fa_cname,MATCH(A2446,fa_num,0))&amp;"",""))</f>
        <v/>
      </c>
      <c r="N2446" s="59" t="str">
        <f>IF(COUNTA(A2446:G2446)=0,"",IF(A2446="","N° facture manquant",IF(ISNA(MATCH(A2446,fa_num,0)),"Facture inconnue",IF(AND(B2446&lt;&gt;"",ISNA(MATCH(B2446,pr_code,0))),"Article inconnu",IF(H2446="","Désignation manquante",IF(OR(NOT(ISNUMBER(D2446)),N(D2446)&lt;=0),"Quantité invalide",IF(J2446="","Prix manquant",IF(OR(NOT(ISNUMBER(J2446)),N(J2446)&lt;0),"Prix invalide",IF(OR(AND(F2446&lt;&gt;"",NOT(ISNUMBER(F2446))),N(F2446)&lt;0,N(F2446)&gt;1),"Remise invalide",IF(K2446="","Taux de TVA manquant",IF(NOT(ISNUMBER(K2446)),"Taux de TVA invalide",IF(COUNTIF(p_rates,K2446)=0,"Taux de TVA hors liste (Paramètres)",IF(N(O2446)&gt;25,"Au-delà de 25 lignes : non imprimée","OK")))))))))))))</f>
        <v/>
      </c>
      <c r="O2446" s="59" t="str">
        <f>IF(A2446="","",COUNTIF($A$6:A2446,A2446))</f>
        <v/>
      </c>
      <c r="P2446" s="62" t="str">
        <f>IF(A2446="","",A2446&amp;"|"&amp;O2446)</f>
        <v/>
      </c>
    </row>
    <row r="2447">
      <c r="A2447" s="60" t="n"/>
      <c r="B2447" s="63" t="n"/>
      <c r="C2447" s="63" t="n"/>
      <c r="D2447" s="67" t="n"/>
      <c r="E2447" s="68" t="n"/>
      <c r="F2447" s="69" t="n"/>
      <c r="G2447" s="70" t="n"/>
      <c r="H2447" s="62" t="str">
        <f>IF(COUNTA(A2447:G2447)=0,"",IF(C2447&lt;&gt;"",C2447,IF(B2447="","",IFERROR(INDEX(pr_des,MATCH(B2447,pr_code,0))&amp;"",""))))</f>
        <v/>
      </c>
      <c r="I2447" s="59" t="str">
        <f>IF(B2447="","",IFERROR(INDEX(pr_unit,MATCH(B2447,pr_code,0))&amp;"",""))</f>
        <v/>
      </c>
      <c r="J2447" s="65" t="str">
        <f>IF(COUNTA(A2447:G2447)=0,"",IF(E2447&lt;&gt;"",E2447,IF(B2447="","",IFERROR(IF(INDEX(pr_price,MATCH(B2447,pr_code,0))="","",INDEX(pr_price,MATCH(B2447,pr_code,0))),""))))</f>
        <v/>
      </c>
      <c r="K2447" s="71" t="str">
        <f>IF(COUNTA(A2447:G2447)=0,"",IF(G2447&lt;&gt;"",G2447,IF(B2447="","",IFERROR(IF(INDEX(pr_rate,MATCH(B2447,pr_code,0))="","",INDEX(pr_rate,MATCH(B2447,pr_code,0))),""))))</f>
        <v/>
      </c>
      <c r="L2447" s="65" t="str">
        <f>IF(COUNTA(A2447:G2447)=0,"",IF(AND(ISNUMBER(D2447),ISNUMBER(J2447)),ROUND(D2447*J2447*(1-N(F2447)),2),0))</f>
        <v/>
      </c>
      <c r="M2447" s="62" t="str">
        <f>IF(A2447="","",IFERROR(INDEX(fa_cname,MATCH(A2447,fa_num,0))&amp;"",""))</f>
        <v/>
      </c>
      <c r="N2447" s="59" t="str">
        <f>IF(COUNTA(A2447:G2447)=0,"",IF(A2447="","N° facture manquant",IF(ISNA(MATCH(A2447,fa_num,0)),"Facture inconnue",IF(AND(B2447&lt;&gt;"",ISNA(MATCH(B2447,pr_code,0))),"Article inconnu",IF(H2447="","Désignation manquante",IF(OR(NOT(ISNUMBER(D2447)),N(D2447)&lt;=0),"Quantité invalide",IF(J2447="","Prix manquant",IF(OR(NOT(ISNUMBER(J2447)),N(J2447)&lt;0),"Prix invalide",IF(OR(AND(F2447&lt;&gt;"",NOT(ISNUMBER(F2447))),N(F2447)&lt;0,N(F2447)&gt;1),"Remise invalide",IF(K2447="","Taux de TVA manquant",IF(NOT(ISNUMBER(K2447)),"Taux de TVA invalide",IF(COUNTIF(p_rates,K2447)=0,"Taux de TVA hors liste (Paramètres)",IF(N(O2447)&gt;25,"Au-delà de 25 lignes : non imprimée","OK")))))))))))))</f>
        <v/>
      </c>
      <c r="O2447" s="59" t="str">
        <f>IF(A2447="","",COUNTIF($A$6:A2447,A2447))</f>
        <v/>
      </c>
      <c r="P2447" s="62" t="str">
        <f>IF(A2447="","",A2447&amp;"|"&amp;O2447)</f>
        <v/>
      </c>
    </row>
    <row r="2448">
      <c r="A2448" s="60" t="n"/>
      <c r="B2448" s="63" t="n"/>
      <c r="C2448" s="63" t="n"/>
      <c r="D2448" s="67" t="n"/>
      <c r="E2448" s="68" t="n"/>
      <c r="F2448" s="69" t="n"/>
      <c r="G2448" s="70" t="n"/>
      <c r="H2448" s="62" t="str">
        <f>IF(COUNTA(A2448:G2448)=0,"",IF(C2448&lt;&gt;"",C2448,IF(B2448="","",IFERROR(INDEX(pr_des,MATCH(B2448,pr_code,0))&amp;"",""))))</f>
        <v/>
      </c>
      <c r="I2448" s="59" t="str">
        <f>IF(B2448="","",IFERROR(INDEX(pr_unit,MATCH(B2448,pr_code,0))&amp;"",""))</f>
        <v/>
      </c>
      <c r="J2448" s="65" t="str">
        <f>IF(COUNTA(A2448:G2448)=0,"",IF(E2448&lt;&gt;"",E2448,IF(B2448="","",IFERROR(IF(INDEX(pr_price,MATCH(B2448,pr_code,0))="","",INDEX(pr_price,MATCH(B2448,pr_code,0))),""))))</f>
        <v/>
      </c>
      <c r="K2448" s="71" t="str">
        <f>IF(COUNTA(A2448:G2448)=0,"",IF(G2448&lt;&gt;"",G2448,IF(B2448="","",IFERROR(IF(INDEX(pr_rate,MATCH(B2448,pr_code,0))="","",INDEX(pr_rate,MATCH(B2448,pr_code,0))),""))))</f>
        <v/>
      </c>
      <c r="L2448" s="65" t="str">
        <f>IF(COUNTA(A2448:G2448)=0,"",IF(AND(ISNUMBER(D2448),ISNUMBER(J2448)),ROUND(D2448*J2448*(1-N(F2448)),2),0))</f>
        <v/>
      </c>
      <c r="M2448" s="62" t="str">
        <f>IF(A2448="","",IFERROR(INDEX(fa_cname,MATCH(A2448,fa_num,0))&amp;"",""))</f>
        <v/>
      </c>
      <c r="N2448" s="59" t="str">
        <f>IF(COUNTA(A2448:G2448)=0,"",IF(A2448="","N° facture manquant",IF(ISNA(MATCH(A2448,fa_num,0)),"Facture inconnue",IF(AND(B2448&lt;&gt;"",ISNA(MATCH(B2448,pr_code,0))),"Article inconnu",IF(H2448="","Désignation manquante",IF(OR(NOT(ISNUMBER(D2448)),N(D2448)&lt;=0),"Quantité invalide",IF(J2448="","Prix manquant",IF(OR(NOT(ISNUMBER(J2448)),N(J2448)&lt;0),"Prix invalide",IF(OR(AND(F2448&lt;&gt;"",NOT(ISNUMBER(F2448))),N(F2448)&lt;0,N(F2448)&gt;1),"Remise invalide",IF(K2448="","Taux de TVA manquant",IF(NOT(ISNUMBER(K2448)),"Taux de TVA invalide",IF(COUNTIF(p_rates,K2448)=0,"Taux de TVA hors liste (Paramètres)",IF(N(O2448)&gt;25,"Au-delà de 25 lignes : non imprimée","OK")))))))))))))</f>
        <v/>
      </c>
      <c r="O2448" s="59" t="str">
        <f>IF(A2448="","",COUNTIF($A$6:A2448,A2448))</f>
        <v/>
      </c>
      <c r="P2448" s="62" t="str">
        <f>IF(A2448="","",A2448&amp;"|"&amp;O2448)</f>
        <v/>
      </c>
    </row>
    <row r="2449">
      <c r="A2449" s="60" t="n"/>
      <c r="B2449" s="63" t="n"/>
      <c r="C2449" s="63" t="n"/>
      <c r="D2449" s="67" t="n"/>
      <c r="E2449" s="68" t="n"/>
      <c r="F2449" s="69" t="n"/>
      <c r="G2449" s="70" t="n"/>
      <c r="H2449" s="62" t="str">
        <f>IF(COUNTA(A2449:G2449)=0,"",IF(C2449&lt;&gt;"",C2449,IF(B2449="","",IFERROR(INDEX(pr_des,MATCH(B2449,pr_code,0))&amp;"",""))))</f>
        <v/>
      </c>
      <c r="I2449" s="59" t="str">
        <f>IF(B2449="","",IFERROR(INDEX(pr_unit,MATCH(B2449,pr_code,0))&amp;"",""))</f>
        <v/>
      </c>
      <c r="J2449" s="65" t="str">
        <f>IF(COUNTA(A2449:G2449)=0,"",IF(E2449&lt;&gt;"",E2449,IF(B2449="","",IFERROR(IF(INDEX(pr_price,MATCH(B2449,pr_code,0))="","",INDEX(pr_price,MATCH(B2449,pr_code,0))),""))))</f>
        <v/>
      </c>
      <c r="K2449" s="71" t="str">
        <f>IF(COUNTA(A2449:G2449)=0,"",IF(G2449&lt;&gt;"",G2449,IF(B2449="","",IFERROR(IF(INDEX(pr_rate,MATCH(B2449,pr_code,0))="","",INDEX(pr_rate,MATCH(B2449,pr_code,0))),""))))</f>
        <v/>
      </c>
      <c r="L2449" s="65" t="str">
        <f>IF(COUNTA(A2449:G2449)=0,"",IF(AND(ISNUMBER(D2449),ISNUMBER(J2449)),ROUND(D2449*J2449*(1-N(F2449)),2),0))</f>
        <v/>
      </c>
      <c r="M2449" s="62" t="str">
        <f>IF(A2449="","",IFERROR(INDEX(fa_cname,MATCH(A2449,fa_num,0))&amp;"",""))</f>
        <v/>
      </c>
      <c r="N2449" s="59" t="str">
        <f>IF(COUNTA(A2449:G2449)=0,"",IF(A2449="","N° facture manquant",IF(ISNA(MATCH(A2449,fa_num,0)),"Facture inconnue",IF(AND(B2449&lt;&gt;"",ISNA(MATCH(B2449,pr_code,0))),"Article inconnu",IF(H2449="","Désignation manquante",IF(OR(NOT(ISNUMBER(D2449)),N(D2449)&lt;=0),"Quantité invalide",IF(J2449="","Prix manquant",IF(OR(NOT(ISNUMBER(J2449)),N(J2449)&lt;0),"Prix invalide",IF(OR(AND(F2449&lt;&gt;"",NOT(ISNUMBER(F2449))),N(F2449)&lt;0,N(F2449)&gt;1),"Remise invalide",IF(K2449="","Taux de TVA manquant",IF(NOT(ISNUMBER(K2449)),"Taux de TVA invalide",IF(COUNTIF(p_rates,K2449)=0,"Taux de TVA hors liste (Paramètres)",IF(N(O2449)&gt;25,"Au-delà de 25 lignes : non imprimée","OK")))))))))))))</f>
        <v/>
      </c>
      <c r="O2449" s="59" t="str">
        <f>IF(A2449="","",COUNTIF($A$6:A2449,A2449))</f>
        <v/>
      </c>
      <c r="P2449" s="62" t="str">
        <f>IF(A2449="","",A2449&amp;"|"&amp;O2449)</f>
        <v/>
      </c>
    </row>
    <row r="2450">
      <c r="A2450" s="60" t="n"/>
      <c r="B2450" s="63" t="n"/>
      <c r="C2450" s="63" t="n"/>
      <c r="D2450" s="67" t="n"/>
      <c r="E2450" s="68" t="n"/>
      <c r="F2450" s="69" t="n"/>
      <c r="G2450" s="70" t="n"/>
      <c r="H2450" s="62" t="str">
        <f>IF(COUNTA(A2450:G2450)=0,"",IF(C2450&lt;&gt;"",C2450,IF(B2450="","",IFERROR(INDEX(pr_des,MATCH(B2450,pr_code,0))&amp;"",""))))</f>
        <v/>
      </c>
      <c r="I2450" s="59" t="str">
        <f>IF(B2450="","",IFERROR(INDEX(pr_unit,MATCH(B2450,pr_code,0))&amp;"",""))</f>
        <v/>
      </c>
      <c r="J2450" s="65" t="str">
        <f>IF(COUNTA(A2450:G2450)=0,"",IF(E2450&lt;&gt;"",E2450,IF(B2450="","",IFERROR(IF(INDEX(pr_price,MATCH(B2450,pr_code,0))="","",INDEX(pr_price,MATCH(B2450,pr_code,0))),""))))</f>
        <v/>
      </c>
      <c r="K2450" s="71" t="str">
        <f>IF(COUNTA(A2450:G2450)=0,"",IF(G2450&lt;&gt;"",G2450,IF(B2450="","",IFERROR(IF(INDEX(pr_rate,MATCH(B2450,pr_code,0))="","",INDEX(pr_rate,MATCH(B2450,pr_code,0))),""))))</f>
        <v/>
      </c>
      <c r="L2450" s="65" t="str">
        <f>IF(COUNTA(A2450:G2450)=0,"",IF(AND(ISNUMBER(D2450),ISNUMBER(J2450)),ROUND(D2450*J2450*(1-N(F2450)),2),0))</f>
        <v/>
      </c>
      <c r="M2450" s="62" t="str">
        <f>IF(A2450="","",IFERROR(INDEX(fa_cname,MATCH(A2450,fa_num,0))&amp;"",""))</f>
        <v/>
      </c>
      <c r="N2450" s="59" t="str">
        <f>IF(COUNTA(A2450:G2450)=0,"",IF(A2450="","N° facture manquant",IF(ISNA(MATCH(A2450,fa_num,0)),"Facture inconnue",IF(AND(B2450&lt;&gt;"",ISNA(MATCH(B2450,pr_code,0))),"Article inconnu",IF(H2450="","Désignation manquante",IF(OR(NOT(ISNUMBER(D2450)),N(D2450)&lt;=0),"Quantité invalide",IF(J2450="","Prix manquant",IF(OR(NOT(ISNUMBER(J2450)),N(J2450)&lt;0),"Prix invalide",IF(OR(AND(F2450&lt;&gt;"",NOT(ISNUMBER(F2450))),N(F2450)&lt;0,N(F2450)&gt;1),"Remise invalide",IF(K2450="","Taux de TVA manquant",IF(NOT(ISNUMBER(K2450)),"Taux de TVA invalide",IF(COUNTIF(p_rates,K2450)=0,"Taux de TVA hors liste (Paramètres)",IF(N(O2450)&gt;25,"Au-delà de 25 lignes : non imprimée","OK")))))))))))))</f>
        <v/>
      </c>
      <c r="O2450" s="59" t="str">
        <f>IF(A2450="","",COUNTIF($A$6:A2450,A2450))</f>
        <v/>
      </c>
      <c r="P2450" s="62" t="str">
        <f>IF(A2450="","",A2450&amp;"|"&amp;O2450)</f>
        <v/>
      </c>
    </row>
    <row r="2451">
      <c r="A2451" s="60" t="n"/>
      <c r="B2451" s="63" t="n"/>
      <c r="C2451" s="63" t="n"/>
      <c r="D2451" s="67" t="n"/>
      <c r="E2451" s="68" t="n"/>
      <c r="F2451" s="69" t="n"/>
      <c r="G2451" s="70" t="n"/>
      <c r="H2451" s="62" t="str">
        <f>IF(COUNTA(A2451:G2451)=0,"",IF(C2451&lt;&gt;"",C2451,IF(B2451="","",IFERROR(INDEX(pr_des,MATCH(B2451,pr_code,0))&amp;"",""))))</f>
        <v/>
      </c>
      <c r="I2451" s="59" t="str">
        <f>IF(B2451="","",IFERROR(INDEX(pr_unit,MATCH(B2451,pr_code,0))&amp;"",""))</f>
        <v/>
      </c>
      <c r="J2451" s="65" t="str">
        <f>IF(COUNTA(A2451:G2451)=0,"",IF(E2451&lt;&gt;"",E2451,IF(B2451="","",IFERROR(IF(INDEX(pr_price,MATCH(B2451,pr_code,0))="","",INDEX(pr_price,MATCH(B2451,pr_code,0))),""))))</f>
        <v/>
      </c>
      <c r="K2451" s="71" t="str">
        <f>IF(COUNTA(A2451:G2451)=0,"",IF(G2451&lt;&gt;"",G2451,IF(B2451="","",IFERROR(IF(INDEX(pr_rate,MATCH(B2451,pr_code,0))="","",INDEX(pr_rate,MATCH(B2451,pr_code,0))),""))))</f>
        <v/>
      </c>
      <c r="L2451" s="65" t="str">
        <f>IF(COUNTA(A2451:G2451)=0,"",IF(AND(ISNUMBER(D2451),ISNUMBER(J2451)),ROUND(D2451*J2451*(1-N(F2451)),2),0))</f>
        <v/>
      </c>
      <c r="M2451" s="62" t="str">
        <f>IF(A2451="","",IFERROR(INDEX(fa_cname,MATCH(A2451,fa_num,0))&amp;"",""))</f>
        <v/>
      </c>
      <c r="N2451" s="59" t="str">
        <f>IF(COUNTA(A2451:G2451)=0,"",IF(A2451="","N° facture manquant",IF(ISNA(MATCH(A2451,fa_num,0)),"Facture inconnue",IF(AND(B2451&lt;&gt;"",ISNA(MATCH(B2451,pr_code,0))),"Article inconnu",IF(H2451="","Désignation manquante",IF(OR(NOT(ISNUMBER(D2451)),N(D2451)&lt;=0),"Quantité invalide",IF(J2451="","Prix manquant",IF(OR(NOT(ISNUMBER(J2451)),N(J2451)&lt;0),"Prix invalide",IF(OR(AND(F2451&lt;&gt;"",NOT(ISNUMBER(F2451))),N(F2451)&lt;0,N(F2451)&gt;1),"Remise invalide",IF(K2451="","Taux de TVA manquant",IF(NOT(ISNUMBER(K2451)),"Taux de TVA invalide",IF(COUNTIF(p_rates,K2451)=0,"Taux de TVA hors liste (Paramètres)",IF(N(O2451)&gt;25,"Au-delà de 25 lignes : non imprimée","OK")))))))))))))</f>
        <v/>
      </c>
      <c r="O2451" s="59" t="str">
        <f>IF(A2451="","",COUNTIF($A$6:A2451,A2451))</f>
        <v/>
      </c>
      <c r="P2451" s="62" t="str">
        <f>IF(A2451="","",A2451&amp;"|"&amp;O2451)</f>
        <v/>
      </c>
    </row>
    <row r="2452">
      <c r="A2452" s="60" t="n"/>
      <c r="B2452" s="63" t="n"/>
      <c r="C2452" s="63" t="n"/>
      <c r="D2452" s="67" t="n"/>
      <c r="E2452" s="68" t="n"/>
      <c r="F2452" s="69" t="n"/>
      <c r="G2452" s="70" t="n"/>
      <c r="H2452" s="62" t="str">
        <f>IF(COUNTA(A2452:G2452)=0,"",IF(C2452&lt;&gt;"",C2452,IF(B2452="","",IFERROR(INDEX(pr_des,MATCH(B2452,pr_code,0))&amp;"",""))))</f>
        <v/>
      </c>
      <c r="I2452" s="59" t="str">
        <f>IF(B2452="","",IFERROR(INDEX(pr_unit,MATCH(B2452,pr_code,0))&amp;"",""))</f>
        <v/>
      </c>
      <c r="J2452" s="65" t="str">
        <f>IF(COUNTA(A2452:G2452)=0,"",IF(E2452&lt;&gt;"",E2452,IF(B2452="","",IFERROR(IF(INDEX(pr_price,MATCH(B2452,pr_code,0))="","",INDEX(pr_price,MATCH(B2452,pr_code,0))),""))))</f>
        <v/>
      </c>
      <c r="K2452" s="71" t="str">
        <f>IF(COUNTA(A2452:G2452)=0,"",IF(G2452&lt;&gt;"",G2452,IF(B2452="","",IFERROR(IF(INDEX(pr_rate,MATCH(B2452,pr_code,0))="","",INDEX(pr_rate,MATCH(B2452,pr_code,0))),""))))</f>
        <v/>
      </c>
      <c r="L2452" s="65" t="str">
        <f>IF(COUNTA(A2452:G2452)=0,"",IF(AND(ISNUMBER(D2452),ISNUMBER(J2452)),ROUND(D2452*J2452*(1-N(F2452)),2),0))</f>
        <v/>
      </c>
      <c r="M2452" s="62" t="str">
        <f>IF(A2452="","",IFERROR(INDEX(fa_cname,MATCH(A2452,fa_num,0))&amp;"",""))</f>
        <v/>
      </c>
      <c r="N2452" s="59" t="str">
        <f>IF(COUNTA(A2452:G2452)=0,"",IF(A2452="","N° facture manquant",IF(ISNA(MATCH(A2452,fa_num,0)),"Facture inconnue",IF(AND(B2452&lt;&gt;"",ISNA(MATCH(B2452,pr_code,0))),"Article inconnu",IF(H2452="","Désignation manquante",IF(OR(NOT(ISNUMBER(D2452)),N(D2452)&lt;=0),"Quantité invalide",IF(J2452="","Prix manquant",IF(OR(NOT(ISNUMBER(J2452)),N(J2452)&lt;0),"Prix invalide",IF(OR(AND(F2452&lt;&gt;"",NOT(ISNUMBER(F2452))),N(F2452)&lt;0,N(F2452)&gt;1),"Remise invalide",IF(K2452="","Taux de TVA manquant",IF(NOT(ISNUMBER(K2452)),"Taux de TVA invalide",IF(COUNTIF(p_rates,K2452)=0,"Taux de TVA hors liste (Paramètres)",IF(N(O2452)&gt;25,"Au-delà de 25 lignes : non imprimée","OK")))))))))))))</f>
        <v/>
      </c>
      <c r="O2452" s="59" t="str">
        <f>IF(A2452="","",COUNTIF($A$6:A2452,A2452))</f>
        <v/>
      </c>
      <c r="P2452" s="62" t="str">
        <f>IF(A2452="","",A2452&amp;"|"&amp;O2452)</f>
        <v/>
      </c>
    </row>
    <row r="2453">
      <c r="A2453" s="60" t="n"/>
      <c r="B2453" s="63" t="n"/>
      <c r="C2453" s="63" t="n"/>
      <c r="D2453" s="67" t="n"/>
      <c r="E2453" s="68" t="n"/>
      <c r="F2453" s="69" t="n"/>
      <c r="G2453" s="70" t="n"/>
      <c r="H2453" s="62" t="str">
        <f>IF(COUNTA(A2453:G2453)=0,"",IF(C2453&lt;&gt;"",C2453,IF(B2453="","",IFERROR(INDEX(pr_des,MATCH(B2453,pr_code,0))&amp;"",""))))</f>
        <v/>
      </c>
      <c r="I2453" s="59" t="str">
        <f>IF(B2453="","",IFERROR(INDEX(pr_unit,MATCH(B2453,pr_code,0))&amp;"",""))</f>
        <v/>
      </c>
      <c r="J2453" s="65" t="str">
        <f>IF(COUNTA(A2453:G2453)=0,"",IF(E2453&lt;&gt;"",E2453,IF(B2453="","",IFERROR(IF(INDEX(pr_price,MATCH(B2453,pr_code,0))="","",INDEX(pr_price,MATCH(B2453,pr_code,0))),""))))</f>
        <v/>
      </c>
      <c r="K2453" s="71" t="str">
        <f>IF(COUNTA(A2453:G2453)=0,"",IF(G2453&lt;&gt;"",G2453,IF(B2453="","",IFERROR(IF(INDEX(pr_rate,MATCH(B2453,pr_code,0))="","",INDEX(pr_rate,MATCH(B2453,pr_code,0))),""))))</f>
        <v/>
      </c>
      <c r="L2453" s="65" t="str">
        <f>IF(COUNTA(A2453:G2453)=0,"",IF(AND(ISNUMBER(D2453),ISNUMBER(J2453)),ROUND(D2453*J2453*(1-N(F2453)),2),0))</f>
        <v/>
      </c>
      <c r="M2453" s="62" t="str">
        <f>IF(A2453="","",IFERROR(INDEX(fa_cname,MATCH(A2453,fa_num,0))&amp;"",""))</f>
        <v/>
      </c>
      <c r="N2453" s="59" t="str">
        <f>IF(COUNTA(A2453:G2453)=0,"",IF(A2453="","N° facture manquant",IF(ISNA(MATCH(A2453,fa_num,0)),"Facture inconnue",IF(AND(B2453&lt;&gt;"",ISNA(MATCH(B2453,pr_code,0))),"Article inconnu",IF(H2453="","Désignation manquante",IF(OR(NOT(ISNUMBER(D2453)),N(D2453)&lt;=0),"Quantité invalide",IF(J2453="","Prix manquant",IF(OR(NOT(ISNUMBER(J2453)),N(J2453)&lt;0),"Prix invalide",IF(OR(AND(F2453&lt;&gt;"",NOT(ISNUMBER(F2453))),N(F2453)&lt;0,N(F2453)&gt;1),"Remise invalide",IF(K2453="","Taux de TVA manquant",IF(NOT(ISNUMBER(K2453)),"Taux de TVA invalide",IF(COUNTIF(p_rates,K2453)=0,"Taux de TVA hors liste (Paramètres)",IF(N(O2453)&gt;25,"Au-delà de 25 lignes : non imprimée","OK")))))))))))))</f>
        <v/>
      </c>
      <c r="O2453" s="59" t="str">
        <f>IF(A2453="","",COUNTIF($A$6:A2453,A2453))</f>
        <v/>
      </c>
      <c r="P2453" s="62" t="str">
        <f>IF(A2453="","",A2453&amp;"|"&amp;O2453)</f>
        <v/>
      </c>
    </row>
    <row r="2454">
      <c r="A2454" s="60" t="n"/>
      <c r="B2454" s="63" t="n"/>
      <c r="C2454" s="63" t="n"/>
      <c r="D2454" s="67" t="n"/>
      <c r="E2454" s="68" t="n"/>
      <c r="F2454" s="69" t="n"/>
      <c r="G2454" s="70" t="n"/>
      <c r="H2454" s="62" t="str">
        <f>IF(COUNTA(A2454:G2454)=0,"",IF(C2454&lt;&gt;"",C2454,IF(B2454="","",IFERROR(INDEX(pr_des,MATCH(B2454,pr_code,0))&amp;"",""))))</f>
        <v/>
      </c>
      <c r="I2454" s="59" t="str">
        <f>IF(B2454="","",IFERROR(INDEX(pr_unit,MATCH(B2454,pr_code,0))&amp;"",""))</f>
        <v/>
      </c>
      <c r="J2454" s="65" t="str">
        <f>IF(COUNTA(A2454:G2454)=0,"",IF(E2454&lt;&gt;"",E2454,IF(B2454="","",IFERROR(IF(INDEX(pr_price,MATCH(B2454,pr_code,0))="","",INDEX(pr_price,MATCH(B2454,pr_code,0))),""))))</f>
        <v/>
      </c>
      <c r="K2454" s="71" t="str">
        <f>IF(COUNTA(A2454:G2454)=0,"",IF(G2454&lt;&gt;"",G2454,IF(B2454="","",IFERROR(IF(INDEX(pr_rate,MATCH(B2454,pr_code,0))="","",INDEX(pr_rate,MATCH(B2454,pr_code,0))),""))))</f>
        <v/>
      </c>
      <c r="L2454" s="65" t="str">
        <f>IF(COUNTA(A2454:G2454)=0,"",IF(AND(ISNUMBER(D2454),ISNUMBER(J2454)),ROUND(D2454*J2454*(1-N(F2454)),2),0))</f>
        <v/>
      </c>
      <c r="M2454" s="62" t="str">
        <f>IF(A2454="","",IFERROR(INDEX(fa_cname,MATCH(A2454,fa_num,0))&amp;"",""))</f>
        <v/>
      </c>
      <c r="N2454" s="59" t="str">
        <f>IF(COUNTA(A2454:G2454)=0,"",IF(A2454="","N° facture manquant",IF(ISNA(MATCH(A2454,fa_num,0)),"Facture inconnue",IF(AND(B2454&lt;&gt;"",ISNA(MATCH(B2454,pr_code,0))),"Article inconnu",IF(H2454="","Désignation manquante",IF(OR(NOT(ISNUMBER(D2454)),N(D2454)&lt;=0),"Quantité invalide",IF(J2454="","Prix manquant",IF(OR(NOT(ISNUMBER(J2454)),N(J2454)&lt;0),"Prix invalide",IF(OR(AND(F2454&lt;&gt;"",NOT(ISNUMBER(F2454))),N(F2454)&lt;0,N(F2454)&gt;1),"Remise invalide",IF(K2454="","Taux de TVA manquant",IF(NOT(ISNUMBER(K2454)),"Taux de TVA invalide",IF(COUNTIF(p_rates,K2454)=0,"Taux de TVA hors liste (Paramètres)",IF(N(O2454)&gt;25,"Au-delà de 25 lignes : non imprimée","OK")))))))))))))</f>
        <v/>
      </c>
      <c r="O2454" s="59" t="str">
        <f>IF(A2454="","",COUNTIF($A$6:A2454,A2454))</f>
        <v/>
      </c>
      <c r="P2454" s="62" t="str">
        <f>IF(A2454="","",A2454&amp;"|"&amp;O2454)</f>
        <v/>
      </c>
    </row>
    <row r="2455">
      <c r="A2455" s="60" t="n"/>
      <c r="B2455" s="63" t="n"/>
      <c r="C2455" s="63" t="n"/>
      <c r="D2455" s="67" t="n"/>
      <c r="E2455" s="68" t="n"/>
      <c r="F2455" s="69" t="n"/>
      <c r="G2455" s="70" t="n"/>
      <c r="H2455" s="62" t="str">
        <f>IF(COUNTA(A2455:G2455)=0,"",IF(C2455&lt;&gt;"",C2455,IF(B2455="","",IFERROR(INDEX(pr_des,MATCH(B2455,pr_code,0))&amp;"",""))))</f>
        <v/>
      </c>
      <c r="I2455" s="59" t="str">
        <f>IF(B2455="","",IFERROR(INDEX(pr_unit,MATCH(B2455,pr_code,0))&amp;"",""))</f>
        <v/>
      </c>
      <c r="J2455" s="65" t="str">
        <f>IF(COUNTA(A2455:G2455)=0,"",IF(E2455&lt;&gt;"",E2455,IF(B2455="","",IFERROR(IF(INDEX(pr_price,MATCH(B2455,pr_code,0))="","",INDEX(pr_price,MATCH(B2455,pr_code,0))),""))))</f>
        <v/>
      </c>
      <c r="K2455" s="71" t="str">
        <f>IF(COUNTA(A2455:G2455)=0,"",IF(G2455&lt;&gt;"",G2455,IF(B2455="","",IFERROR(IF(INDEX(pr_rate,MATCH(B2455,pr_code,0))="","",INDEX(pr_rate,MATCH(B2455,pr_code,0))),""))))</f>
        <v/>
      </c>
      <c r="L2455" s="65" t="str">
        <f>IF(COUNTA(A2455:G2455)=0,"",IF(AND(ISNUMBER(D2455),ISNUMBER(J2455)),ROUND(D2455*J2455*(1-N(F2455)),2),0))</f>
        <v/>
      </c>
      <c r="M2455" s="62" t="str">
        <f>IF(A2455="","",IFERROR(INDEX(fa_cname,MATCH(A2455,fa_num,0))&amp;"",""))</f>
        <v/>
      </c>
      <c r="N2455" s="59" t="str">
        <f>IF(COUNTA(A2455:G2455)=0,"",IF(A2455="","N° facture manquant",IF(ISNA(MATCH(A2455,fa_num,0)),"Facture inconnue",IF(AND(B2455&lt;&gt;"",ISNA(MATCH(B2455,pr_code,0))),"Article inconnu",IF(H2455="","Désignation manquante",IF(OR(NOT(ISNUMBER(D2455)),N(D2455)&lt;=0),"Quantité invalide",IF(J2455="","Prix manquant",IF(OR(NOT(ISNUMBER(J2455)),N(J2455)&lt;0),"Prix invalide",IF(OR(AND(F2455&lt;&gt;"",NOT(ISNUMBER(F2455))),N(F2455)&lt;0,N(F2455)&gt;1),"Remise invalide",IF(K2455="","Taux de TVA manquant",IF(NOT(ISNUMBER(K2455)),"Taux de TVA invalide",IF(COUNTIF(p_rates,K2455)=0,"Taux de TVA hors liste (Paramètres)",IF(N(O2455)&gt;25,"Au-delà de 25 lignes : non imprimée","OK")))))))))))))</f>
        <v/>
      </c>
      <c r="O2455" s="59" t="str">
        <f>IF(A2455="","",COUNTIF($A$6:A2455,A2455))</f>
        <v/>
      </c>
      <c r="P2455" s="62" t="str">
        <f>IF(A2455="","",A2455&amp;"|"&amp;O2455)</f>
        <v/>
      </c>
    </row>
    <row r="2456">
      <c r="A2456" s="60" t="n"/>
      <c r="B2456" s="63" t="n"/>
      <c r="C2456" s="63" t="n"/>
      <c r="D2456" s="67" t="n"/>
      <c r="E2456" s="68" t="n"/>
      <c r="F2456" s="69" t="n"/>
      <c r="G2456" s="70" t="n"/>
      <c r="H2456" s="62" t="str">
        <f>IF(COUNTA(A2456:G2456)=0,"",IF(C2456&lt;&gt;"",C2456,IF(B2456="","",IFERROR(INDEX(pr_des,MATCH(B2456,pr_code,0))&amp;"",""))))</f>
        <v/>
      </c>
      <c r="I2456" s="59" t="str">
        <f>IF(B2456="","",IFERROR(INDEX(pr_unit,MATCH(B2456,pr_code,0))&amp;"",""))</f>
        <v/>
      </c>
      <c r="J2456" s="65" t="str">
        <f>IF(COUNTA(A2456:G2456)=0,"",IF(E2456&lt;&gt;"",E2456,IF(B2456="","",IFERROR(IF(INDEX(pr_price,MATCH(B2456,pr_code,0))="","",INDEX(pr_price,MATCH(B2456,pr_code,0))),""))))</f>
        <v/>
      </c>
      <c r="K2456" s="71" t="str">
        <f>IF(COUNTA(A2456:G2456)=0,"",IF(G2456&lt;&gt;"",G2456,IF(B2456="","",IFERROR(IF(INDEX(pr_rate,MATCH(B2456,pr_code,0))="","",INDEX(pr_rate,MATCH(B2456,pr_code,0))),""))))</f>
        <v/>
      </c>
      <c r="L2456" s="65" t="str">
        <f>IF(COUNTA(A2456:G2456)=0,"",IF(AND(ISNUMBER(D2456),ISNUMBER(J2456)),ROUND(D2456*J2456*(1-N(F2456)),2),0))</f>
        <v/>
      </c>
      <c r="M2456" s="62" t="str">
        <f>IF(A2456="","",IFERROR(INDEX(fa_cname,MATCH(A2456,fa_num,0))&amp;"",""))</f>
        <v/>
      </c>
      <c r="N2456" s="59" t="str">
        <f>IF(COUNTA(A2456:G2456)=0,"",IF(A2456="","N° facture manquant",IF(ISNA(MATCH(A2456,fa_num,0)),"Facture inconnue",IF(AND(B2456&lt;&gt;"",ISNA(MATCH(B2456,pr_code,0))),"Article inconnu",IF(H2456="","Désignation manquante",IF(OR(NOT(ISNUMBER(D2456)),N(D2456)&lt;=0),"Quantité invalide",IF(J2456="","Prix manquant",IF(OR(NOT(ISNUMBER(J2456)),N(J2456)&lt;0),"Prix invalide",IF(OR(AND(F2456&lt;&gt;"",NOT(ISNUMBER(F2456))),N(F2456)&lt;0,N(F2456)&gt;1),"Remise invalide",IF(K2456="","Taux de TVA manquant",IF(NOT(ISNUMBER(K2456)),"Taux de TVA invalide",IF(COUNTIF(p_rates,K2456)=0,"Taux de TVA hors liste (Paramètres)",IF(N(O2456)&gt;25,"Au-delà de 25 lignes : non imprimée","OK")))))))))))))</f>
        <v/>
      </c>
      <c r="O2456" s="59" t="str">
        <f>IF(A2456="","",COUNTIF($A$6:A2456,A2456))</f>
        <v/>
      </c>
      <c r="P2456" s="62" t="str">
        <f>IF(A2456="","",A2456&amp;"|"&amp;O2456)</f>
        <v/>
      </c>
    </row>
    <row r="2457">
      <c r="A2457" s="60" t="n"/>
      <c r="B2457" s="63" t="n"/>
      <c r="C2457" s="63" t="n"/>
      <c r="D2457" s="67" t="n"/>
      <c r="E2457" s="68" t="n"/>
      <c r="F2457" s="69" t="n"/>
      <c r="G2457" s="70" t="n"/>
      <c r="H2457" s="62" t="str">
        <f>IF(COUNTA(A2457:G2457)=0,"",IF(C2457&lt;&gt;"",C2457,IF(B2457="","",IFERROR(INDEX(pr_des,MATCH(B2457,pr_code,0))&amp;"",""))))</f>
        <v/>
      </c>
      <c r="I2457" s="59" t="str">
        <f>IF(B2457="","",IFERROR(INDEX(pr_unit,MATCH(B2457,pr_code,0))&amp;"",""))</f>
        <v/>
      </c>
      <c r="J2457" s="65" t="str">
        <f>IF(COUNTA(A2457:G2457)=0,"",IF(E2457&lt;&gt;"",E2457,IF(B2457="","",IFERROR(IF(INDEX(pr_price,MATCH(B2457,pr_code,0))="","",INDEX(pr_price,MATCH(B2457,pr_code,0))),""))))</f>
        <v/>
      </c>
      <c r="K2457" s="71" t="str">
        <f>IF(COUNTA(A2457:G2457)=0,"",IF(G2457&lt;&gt;"",G2457,IF(B2457="","",IFERROR(IF(INDEX(pr_rate,MATCH(B2457,pr_code,0))="","",INDEX(pr_rate,MATCH(B2457,pr_code,0))),""))))</f>
        <v/>
      </c>
      <c r="L2457" s="65" t="str">
        <f>IF(COUNTA(A2457:G2457)=0,"",IF(AND(ISNUMBER(D2457),ISNUMBER(J2457)),ROUND(D2457*J2457*(1-N(F2457)),2),0))</f>
        <v/>
      </c>
      <c r="M2457" s="62" t="str">
        <f>IF(A2457="","",IFERROR(INDEX(fa_cname,MATCH(A2457,fa_num,0))&amp;"",""))</f>
        <v/>
      </c>
      <c r="N2457" s="59" t="str">
        <f>IF(COUNTA(A2457:G2457)=0,"",IF(A2457="","N° facture manquant",IF(ISNA(MATCH(A2457,fa_num,0)),"Facture inconnue",IF(AND(B2457&lt;&gt;"",ISNA(MATCH(B2457,pr_code,0))),"Article inconnu",IF(H2457="","Désignation manquante",IF(OR(NOT(ISNUMBER(D2457)),N(D2457)&lt;=0),"Quantité invalide",IF(J2457="","Prix manquant",IF(OR(NOT(ISNUMBER(J2457)),N(J2457)&lt;0),"Prix invalide",IF(OR(AND(F2457&lt;&gt;"",NOT(ISNUMBER(F2457))),N(F2457)&lt;0,N(F2457)&gt;1),"Remise invalide",IF(K2457="","Taux de TVA manquant",IF(NOT(ISNUMBER(K2457)),"Taux de TVA invalide",IF(COUNTIF(p_rates,K2457)=0,"Taux de TVA hors liste (Paramètres)",IF(N(O2457)&gt;25,"Au-delà de 25 lignes : non imprimée","OK")))))))))))))</f>
        <v/>
      </c>
      <c r="O2457" s="59" t="str">
        <f>IF(A2457="","",COUNTIF($A$6:A2457,A2457))</f>
        <v/>
      </c>
      <c r="P2457" s="62" t="str">
        <f>IF(A2457="","",A2457&amp;"|"&amp;O2457)</f>
        <v/>
      </c>
    </row>
    <row r="2458">
      <c r="A2458" s="60" t="n"/>
      <c r="B2458" s="63" t="n"/>
      <c r="C2458" s="63" t="n"/>
      <c r="D2458" s="67" t="n"/>
      <c r="E2458" s="68" t="n"/>
      <c r="F2458" s="69" t="n"/>
      <c r="G2458" s="70" t="n"/>
      <c r="H2458" s="62" t="str">
        <f>IF(COUNTA(A2458:G2458)=0,"",IF(C2458&lt;&gt;"",C2458,IF(B2458="","",IFERROR(INDEX(pr_des,MATCH(B2458,pr_code,0))&amp;"",""))))</f>
        <v/>
      </c>
      <c r="I2458" s="59" t="str">
        <f>IF(B2458="","",IFERROR(INDEX(pr_unit,MATCH(B2458,pr_code,0))&amp;"",""))</f>
        <v/>
      </c>
      <c r="J2458" s="65" t="str">
        <f>IF(COUNTA(A2458:G2458)=0,"",IF(E2458&lt;&gt;"",E2458,IF(B2458="","",IFERROR(IF(INDEX(pr_price,MATCH(B2458,pr_code,0))="","",INDEX(pr_price,MATCH(B2458,pr_code,0))),""))))</f>
        <v/>
      </c>
      <c r="K2458" s="71" t="str">
        <f>IF(COUNTA(A2458:G2458)=0,"",IF(G2458&lt;&gt;"",G2458,IF(B2458="","",IFERROR(IF(INDEX(pr_rate,MATCH(B2458,pr_code,0))="","",INDEX(pr_rate,MATCH(B2458,pr_code,0))),""))))</f>
        <v/>
      </c>
      <c r="L2458" s="65" t="str">
        <f>IF(COUNTA(A2458:G2458)=0,"",IF(AND(ISNUMBER(D2458),ISNUMBER(J2458)),ROUND(D2458*J2458*(1-N(F2458)),2),0))</f>
        <v/>
      </c>
      <c r="M2458" s="62" t="str">
        <f>IF(A2458="","",IFERROR(INDEX(fa_cname,MATCH(A2458,fa_num,0))&amp;"",""))</f>
        <v/>
      </c>
      <c r="N2458" s="59" t="str">
        <f>IF(COUNTA(A2458:G2458)=0,"",IF(A2458="","N° facture manquant",IF(ISNA(MATCH(A2458,fa_num,0)),"Facture inconnue",IF(AND(B2458&lt;&gt;"",ISNA(MATCH(B2458,pr_code,0))),"Article inconnu",IF(H2458="","Désignation manquante",IF(OR(NOT(ISNUMBER(D2458)),N(D2458)&lt;=0),"Quantité invalide",IF(J2458="","Prix manquant",IF(OR(NOT(ISNUMBER(J2458)),N(J2458)&lt;0),"Prix invalide",IF(OR(AND(F2458&lt;&gt;"",NOT(ISNUMBER(F2458))),N(F2458)&lt;0,N(F2458)&gt;1),"Remise invalide",IF(K2458="","Taux de TVA manquant",IF(NOT(ISNUMBER(K2458)),"Taux de TVA invalide",IF(COUNTIF(p_rates,K2458)=0,"Taux de TVA hors liste (Paramètres)",IF(N(O2458)&gt;25,"Au-delà de 25 lignes : non imprimée","OK")))))))))))))</f>
        <v/>
      </c>
      <c r="O2458" s="59" t="str">
        <f>IF(A2458="","",COUNTIF($A$6:A2458,A2458))</f>
        <v/>
      </c>
      <c r="P2458" s="62" t="str">
        <f>IF(A2458="","",A2458&amp;"|"&amp;O2458)</f>
        <v/>
      </c>
    </row>
    <row r="2459">
      <c r="A2459" s="60" t="n"/>
      <c r="B2459" s="63" t="n"/>
      <c r="C2459" s="63" t="n"/>
      <c r="D2459" s="67" t="n"/>
      <c r="E2459" s="68" t="n"/>
      <c r="F2459" s="69" t="n"/>
      <c r="G2459" s="70" t="n"/>
      <c r="H2459" s="62" t="str">
        <f>IF(COUNTA(A2459:G2459)=0,"",IF(C2459&lt;&gt;"",C2459,IF(B2459="","",IFERROR(INDEX(pr_des,MATCH(B2459,pr_code,0))&amp;"",""))))</f>
        <v/>
      </c>
      <c r="I2459" s="59" t="str">
        <f>IF(B2459="","",IFERROR(INDEX(pr_unit,MATCH(B2459,pr_code,0))&amp;"",""))</f>
        <v/>
      </c>
      <c r="J2459" s="65" t="str">
        <f>IF(COUNTA(A2459:G2459)=0,"",IF(E2459&lt;&gt;"",E2459,IF(B2459="","",IFERROR(IF(INDEX(pr_price,MATCH(B2459,pr_code,0))="","",INDEX(pr_price,MATCH(B2459,pr_code,0))),""))))</f>
        <v/>
      </c>
      <c r="K2459" s="71" t="str">
        <f>IF(COUNTA(A2459:G2459)=0,"",IF(G2459&lt;&gt;"",G2459,IF(B2459="","",IFERROR(IF(INDEX(pr_rate,MATCH(B2459,pr_code,0))="","",INDEX(pr_rate,MATCH(B2459,pr_code,0))),""))))</f>
        <v/>
      </c>
      <c r="L2459" s="65" t="str">
        <f>IF(COUNTA(A2459:G2459)=0,"",IF(AND(ISNUMBER(D2459),ISNUMBER(J2459)),ROUND(D2459*J2459*(1-N(F2459)),2),0))</f>
        <v/>
      </c>
      <c r="M2459" s="62" t="str">
        <f>IF(A2459="","",IFERROR(INDEX(fa_cname,MATCH(A2459,fa_num,0))&amp;"",""))</f>
        <v/>
      </c>
      <c r="N2459" s="59" t="str">
        <f>IF(COUNTA(A2459:G2459)=0,"",IF(A2459="","N° facture manquant",IF(ISNA(MATCH(A2459,fa_num,0)),"Facture inconnue",IF(AND(B2459&lt;&gt;"",ISNA(MATCH(B2459,pr_code,0))),"Article inconnu",IF(H2459="","Désignation manquante",IF(OR(NOT(ISNUMBER(D2459)),N(D2459)&lt;=0),"Quantité invalide",IF(J2459="","Prix manquant",IF(OR(NOT(ISNUMBER(J2459)),N(J2459)&lt;0),"Prix invalide",IF(OR(AND(F2459&lt;&gt;"",NOT(ISNUMBER(F2459))),N(F2459)&lt;0,N(F2459)&gt;1),"Remise invalide",IF(K2459="","Taux de TVA manquant",IF(NOT(ISNUMBER(K2459)),"Taux de TVA invalide",IF(COUNTIF(p_rates,K2459)=0,"Taux de TVA hors liste (Paramètres)",IF(N(O2459)&gt;25,"Au-delà de 25 lignes : non imprimée","OK")))))))))))))</f>
        <v/>
      </c>
      <c r="O2459" s="59" t="str">
        <f>IF(A2459="","",COUNTIF($A$6:A2459,A2459))</f>
        <v/>
      </c>
      <c r="P2459" s="62" t="str">
        <f>IF(A2459="","",A2459&amp;"|"&amp;O2459)</f>
        <v/>
      </c>
    </row>
    <row r="2460">
      <c r="A2460" s="60" t="n"/>
      <c r="B2460" s="63" t="n"/>
      <c r="C2460" s="63" t="n"/>
      <c r="D2460" s="67" t="n"/>
      <c r="E2460" s="68" t="n"/>
      <c r="F2460" s="69" t="n"/>
      <c r="G2460" s="70" t="n"/>
      <c r="H2460" s="62" t="str">
        <f>IF(COUNTA(A2460:G2460)=0,"",IF(C2460&lt;&gt;"",C2460,IF(B2460="","",IFERROR(INDEX(pr_des,MATCH(B2460,pr_code,0))&amp;"",""))))</f>
        <v/>
      </c>
      <c r="I2460" s="59" t="str">
        <f>IF(B2460="","",IFERROR(INDEX(pr_unit,MATCH(B2460,pr_code,0))&amp;"",""))</f>
        <v/>
      </c>
      <c r="J2460" s="65" t="str">
        <f>IF(COUNTA(A2460:G2460)=0,"",IF(E2460&lt;&gt;"",E2460,IF(B2460="","",IFERROR(IF(INDEX(pr_price,MATCH(B2460,pr_code,0))="","",INDEX(pr_price,MATCH(B2460,pr_code,0))),""))))</f>
        <v/>
      </c>
      <c r="K2460" s="71" t="str">
        <f>IF(COUNTA(A2460:G2460)=0,"",IF(G2460&lt;&gt;"",G2460,IF(B2460="","",IFERROR(IF(INDEX(pr_rate,MATCH(B2460,pr_code,0))="","",INDEX(pr_rate,MATCH(B2460,pr_code,0))),""))))</f>
        <v/>
      </c>
      <c r="L2460" s="65" t="str">
        <f>IF(COUNTA(A2460:G2460)=0,"",IF(AND(ISNUMBER(D2460),ISNUMBER(J2460)),ROUND(D2460*J2460*(1-N(F2460)),2),0))</f>
        <v/>
      </c>
      <c r="M2460" s="62" t="str">
        <f>IF(A2460="","",IFERROR(INDEX(fa_cname,MATCH(A2460,fa_num,0))&amp;"",""))</f>
        <v/>
      </c>
      <c r="N2460" s="59" t="str">
        <f>IF(COUNTA(A2460:G2460)=0,"",IF(A2460="","N° facture manquant",IF(ISNA(MATCH(A2460,fa_num,0)),"Facture inconnue",IF(AND(B2460&lt;&gt;"",ISNA(MATCH(B2460,pr_code,0))),"Article inconnu",IF(H2460="","Désignation manquante",IF(OR(NOT(ISNUMBER(D2460)),N(D2460)&lt;=0),"Quantité invalide",IF(J2460="","Prix manquant",IF(OR(NOT(ISNUMBER(J2460)),N(J2460)&lt;0),"Prix invalide",IF(OR(AND(F2460&lt;&gt;"",NOT(ISNUMBER(F2460))),N(F2460)&lt;0,N(F2460)&gt;1),"Remise invalide",IF(K2460="","Taux de TVA manquant",IF(NOT(ISNUMBER(K2460)),"Taux de TVA invalide",IF(COUNTIF(p_rates,K2460)=0,"Taux de TVA hors liste (Paramètres)",IF(N(O2460)&gt;25,"Au-delà de 25 lignes : non imprimée","OK")))))))))))))</f>
        <v/>
      </c>
      <c r="O2460" s="59" t="str">
        <f>IF(A2460="","",COUNTIF($A$6:A2460,A2460))</f>
        <v/>
      </c>
      <c r="P2460" s="62" t="str">
        <f>IF(A2460="","",A2460&amp;"|"&amp;O2460)</f>
        <v/>
      </c>
    </row>
    <row r="2461">
      <c r="A2461" s="60" t="n"/>
      <c r="B2461" s="63" t="n"/>
      <c r="C2461" s="63" t="n"/>
      <c r="D2461" s="67" t="n"/>
      <c r="E2461" s="68" t="n"/>
      <c r="F2461" s="69" t="n"/>
      <c r="G2461" s="70" t="n"/>
      <c r="H2461" s="62" t="str">
        <f>IF(COUNTA(A2461:G2461)=0,"",IF(C2461&lt;&gt;"",C2461,IF(B2461="","",IFERROR(INDEX(pr_des,MATCH(B2461,pr_code,0))&amp;"",""))))</f>
        <v/>
      </c>
      <c r="I2461" s="59" t="str">
        <f>IF(B2461="","",IFERROR(INDEX(pr_unit,MATCH(B2461,pr_code,0))&amp;"",""))</f>
        <v/>
      </c>
      <c r="J2461" s="65" t="str">
        <f>IF(COUNTA(A2461:G2461)=0,"",IF(E2461&lt;&gt;"",E2461,IF(B2461="","",IFERROR(IF(INDEX(pr_price,MATCH(B2461,pr_code,0))="","",INDEX(pr_price,MATCH(B2461,pr_code,0))),""))))</f>
        <v/>
      </c>
      <c r="K2461" s="71" t="str">
        <f>IF(COUNTA(A2461:G2461)=0,"",IF(G2461&lt;&gt;"",G2461,IF(B2461="","",IFERROR(IF(INDEX(pr_rate,MATCH(B2461,pr_code,0))="","",INDEX(pr_rate,MATCH(B2461,pr_code,0))),""))))</f>
        <v/>
      </c>
      <c r="L2461" s="65" t="str">
        <f>IF(COUNTA(A2461:G2461)=0,"",IF(AND(ISNUMBER(D2461),ISNUMBER(J2461)),ROUND(D2461*J2461*(1-N(F2461)),2),0))</f>
        <v/>
      </c>
      <c r="M2461" s="62" t="str">
        <f>IF(A2461="","",IFERROR(INDEX(fa_cname,MATCH(A2461,fa_num,0))&amp;"",""))</f>
        <v/>
      </c>
      <c r="N2461" s="59" t="str">
        <f>IF(COUNTA(A2461:G2461)=0,"",IF(A2461="","N° facture manquant",IF(ISNA(MATCH(A2461,fa_num,0)),"Facture inconnue",IF(AND(B2461&lt;&gt;"",ISNA(MATCH(B2461,pr_code,0))),"Article inconnu",IF(H2461="","Désignation manquante",IF(OR(NOT(ISNUMBER(D2461)),N(D2461)&lt;=0),"Quantité invalide",IF(J2461="","Prix manquant",IF(OR(NOT(ISNUMBER(J2461)),N(J2461)&lt;0),"Prix invalide",IF(OR(AND(F2461&lt;&gt;"",NOT(ISNUMBER(F2461))),N(F2461)&lt;0,N(F2461)&gt;1),"Remise invalide",IF(K2461="","Taux de TVA manquant",IF(NOT(ISNUMBER(K2461)),"Taux de TVA invalide",IF(COUNTIF(p_rates,K2461)=0,"Taux de TVA hors liste (Paramètres)",IF(N(O2461)&gt;25,"Au-delà de 25 lignes : non imprimée","OK")))))))))))))</f>
        <v/>
      </c>
      <c r="O2461" s="59" t="str">
        <f>IF(A2461="","",COUNTIF($A$6:A2461,A2461))</f>
        <v/>
      </c>
      <c r="P2461" s="62" t="str">
        <f>IF(A2461="","",A2461&amp;"|"&amp;O2461)</f>
        <v/>
      </c>
    </row>
    <row r="2462">
      <c r="A2462" s="60" t="n"/>
      <c r="B2462" s="63" t="n"/>
      <c r="C2462" s="63" t="n"/>
      <c r="D2462" s="67" t="n"/>
      <c r="E2462" s="68" t="n"/>
      <c r="F2462" s="69" t="n"/>
      <c r="G2462" s="70" t="n"/>
      <c r="H2462" s="62" t="str">
        <f>IF(COUNTA(A2462:G2462)=0,"",IF(C2462&lt;&gt;"",C2462,IF(B2462="","",IFERROR(INDEX(pr_des,MATCH(B2462,pr_code,0))&amp;"",""))))</f>
        <v/>
      </c>
      <c r="I2462" s="59" t="str">
        <f>IF(B2462="","",IFERROR(INDEX(pr_unit,MATCH(B2462,pr_code,0))&amp;"",""))</f>
        <v/>
      </c>
      <c r="J2462" s="65" t="str">
        <f>IF(COUNTA(A2462:G2462)=0,"",IF(E2462&lt;&gt;"",E2462,IF(B2462="","",IFERROR(IF(INDEX(pr_price,MATCH(B2462,pr_code,0))="","",INDEX(pr_price,MATCH(B2462,pr_code,0))),""))))</f>
        <v/>
      </c>
      <c r="K2462" s="71" t="str">
        <f>IF(COUNTA(A2462:G2462)=0,"",IF(G2462&lt;&gt;"",G2462,IF(B2462="","",IFERROR(IF(INDEX(pr_rate,MATCH(B2462,pr_code,0))="","",INDEX(pr_rate,MATCH(B2462,pr_code,0))),""))))</f>
        <v/>
      </c>
      <c r="L2462" s="65" t="str">
        <f>IF(COUNTA(A2462:G2462)=0,"",IF(AND(ISNUMBER(D2462),ISNUMBER(J2462)),ROUND(D2462*J2462*(1-N(F2462)),2),0))</f>
        <v/>
      </c>
      <c r="M2462" s="62" t="str">
        <f>IF(A2462="","",IFERROR(INDEX(fa_cname,MATCH(A2462,fa_num,0))&amp;"",""))</f>
        <v/>
      </c>
      <c r="N2462" s="59" t="str">
        <f>IF(COUNTA(A2462:G2462)=0,"",IF(A2462="","N° facture manquant",IF(ISNA(MATCH(A2462,fa_num,0)),"Facture inconnue",IF(AND(B2462&lt;&gt;"",ISNA(MATCH(B2462,pr_code,0))),"Article inconnu",IF(H2462="","Désignation manquante",IF(OR(NOT(ISNUMBER(D2462)),N(D2462)&lt;=0),"Quantité invalide",IF(J2462="","Prix manquant",IF(OR(NOT(ISNUMBER(J2462)),N(J2462)&lt;0),"Prix invalide",IF(OR(AND(F2462&lt;&gt;"",NOT(ISNUMBER(F2462))),N(F2462)&lt;0,N(F2462)&gt;1),"Remise invalide",IF(K2462="","Taux de TVA manquant",IF(NOT(ISNUMBER(K2462)),"Taux de TVA invalide",IF(COUNTIF(p_rates,K2462)=0,"Taux de TVA hors liste (Paramètres)",IF(N(O2462)&gt;25,"Au-delà de 25 lignes : non imprimée","OK")))))))))))))</f>
        <v/>
      </c>
      <c r="O2462" s="59" t="str">
        <f>IF(A2462="","",COUNTIF($A$6:A2462,A2462))</f>
        <v/>
      </c>
      <c r="P2462" s="62" t="str">
        <f>IF(A2462="","",A2462&amp;"|"&amp;O2462)</f>
        <v/>
      </c>
    </row>
    <row r="2463">
      <c r="A2463" s="60" t="n"/>
      <c r="B2463" s="63" t="n"/>
      <c r="C2463" s="63" t="n"/>
      <c r="D2463" s="67" t="n"/>
      <c r="E2463" s="68" t="n"/>
      <c r="F2463" s="69" t="n"/>
      <c r="G2463" s="70" t="n"/>
      <c r="H2463" s="62" t="str">
        <f>IF(COUNTA(A2463:G2463)=0,"",IF(C2463&lt;&gt;"",C2463,IF(B2463="","",IFERROR(INDEX(pr_des,MATCH(B2463,pr_code,0))&amp;"",""))))</f>
        <v/>
      </c>
      <c r="I2463" s="59" t="str">
        <f>IF(B2463="","",IFERROR(INDEX(pr_unit,MATCH(B2463,pr_code,0))&amp;"",""))</f>
        <v/>
      </c>
      <c r="J2463" s="65" t="str">
        <f>IF(COUNTA(A2463:G2463)=0,"",IF(E2463&lt;&gt;"",E2463,IF(B2463="","",IFERROR(IF(INDEX(pr_price,MATCH(B2463,pr_code,0))="","",INDEX(pr_price,MATCH(B2463,pr_code,0))),""))))</f>
        <v/>
      </c>
      <c r="K2463" s="71" t="str">
        <f>IF(COUNTA(A2463:G2463)=0,"",IF(G2463&lt;&gt;"",G2463,IF(B2463="","",IFERROR(IF(INDEX(pr_rate,MATCH(B2463,pr_code,0))="","",INDEX(pr_rate,MATCH(B2463,pr_code,0))),""))))</f>
        <v/>
      </c>
      <c r="L2463" s="65" t="str">
        <f>IF(COUNTA(A2463:G2463)=0,"",IF(AND(ISNUMBER(D2463),ISNUMBER(J2463)),ROUND(D2463*J2463*(1-N(F2463)),2),0))</f>
        <v/>
      </c>
      <c r="M2463" s="62" t="str">
        <f>IF(A2463="","",IFERROR(INDEX(fa_cname,MATCH(A2463,fa_num,0))&amp;"",""))</f>
        <v/>
      </c>
      <c r="N2463" s="59" t="str">
        <f>IF(COUNTA(A2463:G2463)=0,"",IF(A2463="","N° facture manquant",IF(ISNA(MATCH(A2463,fa_num,0)),"Facture inconnue",IF(AND(B2463&lt;&gt;"",ISNA(MATCH(B2463,pr_code,0))),"Article inconnu",IF(H2463="","Désignation manquante",IF(OR(NOT(ISNUMBER(D2463)),N(D2463)&lt;=0),"Quantité invalide",IF(J2463="","Prix manquant",IF(OR(NOT(ISNUMBER(J2463)),N(J2463)&lt;0),"Prix invalide",IF(OR(AND(F2463&lt;&gt;"",NOT(ISNUMBER(F2463))),N(F2463)&lt;0,N(F2463)&gt;1),"Remise invalide",IF(K2463="","Taux de TVA manquant",IF(NOT(ISNUMBER(K2463)),"Taux de TVA invalide",IF(COUNTIF(p_rates,K2463)=0,"Taux de TVA hors liste (Paramètres)",IF(N(O2463)&gt;25,"Au-delà de 25 lignes : non imprimée","OK")))))))))))))</f>
        <v/>
      </c>
      <c r="O2463" s="59" t="str">
        <f>IF(A2463="","",COUNTIF($A$6:A2463,A2463))</f>
        <v/>
      </c>
      <c r="P2463" s="62" t="str">
        <f>IF(A2463="","",A2463&amp;"|"&amp;O2463)</f>
        <v/>
      </c>
    </row>
    <row r="2464">
      <c r="A2464" s="60" t="n"/>
      <c r="B2464" s="63" t="n"/>
      <c r="C2464" s="63" t="n"/>
      <c r="D2464" s="67" t="n"/>
      <c r="E2464" s="68" t="n"/>
      <c r="F2464" s="69" t="n"/>
      <c r="G2464" s="70" t="n"/>
      <c r="H2464" s="62" t="str">
        <f>IF(COUNTA(A2464:G2464)=0,"",IF(C2464&lt;&gt;"",C2464,IF(B2464="","",IFERROR(INDEX(pr_des,MATCH(B2464,pr_code,0))&amp;"",""))))</f>
        <v/>
      </c>
      <c r="I2464" s="59" t="str">
        <f>IF(B2464="","",IFERROR(INDEX(pr_unit,MATCH(B2464,pr_code,0))&amp;"",""))</f>
        <v/>
      </c>
      <c r="J2464" s="65" t="str">
        <f>IF(COUNTA(A2464:G2464)=0,"",IF(E2464&lt;&gt;"",E2464,IF(B2464="","",IFERROR(IF(INDEX(pr_price,MATCH(B2464,pr_code,0))="","",INDEX(pr_price,MATCH(B2464,pr_code,0))),""))))</f>
        <v/>
      </c>
      <c r="K2464" s="71" t="str">
        <f>IF(COUNTA(A2464:G2464)=0,"",IF(G2464&lt;&gt;"",G2464,IF(B2464="","",IFERROR(IF(INDEX(pr_rate,MATCH(B2464,pr_code,0))="","",INDEX(pr_rate,MATCH(B2464,pr_code,0))),""))))</f>
        <v/>
      </c>
      <c r="L2464" s="65" t="str">
        <f>IF(COUNTA(A2464:G2464)=0,"",IF(AND(ISNUMBER(D2464),ISNUMBER(J2464)),ROUND(D2464*J2464*(1-N(F2464)),2),0))</f>
        <v/>
      </c>
      <c r="M2464" s="62" t="str">
        <f>IF(A2464="","",IFERROR(INDEX(fa_cname,MATCH(A2464,fa_num,0))&amp;"",""))</f>
        <v/>
      </c>
      <c r="N2464" s="59" t="str">
        <f>IF(COUNTA(A2464:G2464)=0,"",IF(A2464="","N° facture manquant",IF(ISNA(MATCH(A2464,fa_num,0)),"Facture inconnue",IF(AND(B2464&lt;&gt;"",ISNA(MATCH(B2464,pr_code,0))),"Article inconnu",IF(H2464="","Désignation manquante",IF(OR(NOT(ISNUMBER(D2464)),N(D2464)&lt;=0),"Quantité invalide",IF(J2464="","Prix manquant",IF(OR(NOT(ISNUMBER(J2464)),N(J2464)&lt;0),"Prix invalide",IF(OR(AND(F2464&lt;&gt;"",NOT(ISNUMBER(F2464))),N(F2464)&lt;0,N(F2464)&gt;1),"Remise invalide",IF(K2464="","Taux de TVA manquant",IF(NOT(ISNUMBER(K2464)),"Taux de TVA invalide",IF(COUNTIF(p_rates,K2464)=0,"Taux de TVA hors liste (Paramètres)",IF(N(O2464)&gt;25,"Au-delà de 25 lignes : non imprimée","OK")))))))))))))</f>
        <v/>
      </c>
      <c r="O2464" s="59" t="str">
        <f>IF(A2464="","",COUNTIF($A$6:A2464,A2464))</f>
        <v/>
      </c>
      <c r="P2464" s="62" t="str">
        <f>IF(A2464="","",A2464&amp;"|"&amp;O2464)</f>
        <v/>
      </c>
    </row>
    <row r="2465">
      <c r="A2465" s="60" t="n"/>
      <c r="B2465" s="63" t="n"/>
      <c r="C2465" s="63" t="n"/>
      <c r="D2465" s="67" t="n"/>
      <c r="E2465" s="68" t="n"/>
      <c r="F2465" s="69" t="n"/>
      <c r="G2465" s="70" t="n"/>
      <c r="H2465" s="62" t="str">
        <f>IF(COUNTA(A2465:G2465)=0,"",IF(C2465&lt;&gt;"",C2465,IF(B2465="","",IFERROR(INDEX(pr_des,MATCH(B2465,pr_code,0))&amp;"",""))))</f>
        <v/>
      </c>
      <c r="I2465" s="59" t="str">
        <f>IF(B2465="","",IFERROR(INDEX(pr_unit,MATCH(B2465,pr_code,0))&amp;"",""))</f>
        <v/>
      </c>
      <c r="J2465" s="65" t="str">
        <f>IF(COUNTA(A2465:G2465)=0,"",IF(E2465&lt;&gt;"",E2465,IF(B2465="","",IFERROR(IF(INDEX(pr_price,MATCH(B2465,pr_code,0))="","",INDEX(pr_price,MATCH(B2465,pr_code,0))),""))))</f>
        <v/>
      </c>
      <c r="K2465" s="71" t="str">
        <f>IF(COUNTA(A2465:G2465)=0,"",IF(G2465&lt;&gt;"",G2465,IF(B2465="","",IFERROR(IF(INDEX(pr_rate,MATCH(B2465,pr_code,0))="","",INDEX(pr_rate,MATCH(B2465,pr_code,0))),""))))</f>
        <v/>
      </c>
      <c r="L2465" s="65" t="str">
        <f>IF(COUNTA(A2465:G2465)=0,"",IF(AND(ISNUMBER(D2465),ISNUMBER(J2465)),ROUND(D2465*J2465*(1-N(F2465)),2),0))</f>
        <v/>
      </c>
      <c r="M2465" s="62" t="str">
        <f>IF(A2465="","",IFERROR(INDEX(fa_cname,MATCH(A2465,fa_num,0))&amp;"",""))</f>
        <v/>
      </c>
      <c r="N2465" s="59" t="str">
        <f>IF(COUNTA(A2465:G2465)=0,"",IF(A2465="","N° facture manquant",IF(ISNA(MATCH(A2465,fa_num,0)),"Facture inconnue",IF(AND(B2465&lt;&gt;"",ISNA(MATCH(B2465,pr_code,0))),"Article inconnu",IF(H2465="","Désignation manquante",IF(OR(NOT(ISNUMBER(D2465)),N(D2465)&lt;=0),"Quantité invalide",IF(J2465="","Prix manquant",IF(OR(NOT(ISNUMBER(J2465)),N(J2465)&lt;0),"Prix invalide",IF(OR(AND(F2465&lt;&gt;"",NOT(ISNUMBER(F2465))),N(F2465)&lt;0,N(F2465)&gt;1),"Remise invalide",IF(K2465="","Taux de TVA manquant",IF(NOT(ISNUMBER(K2465)),"Taux de TVA invalide",IF(COUNTIF(p_rates,K2465)=0,"Taux de TVA hors liste (Paramètres)",IF(N(O2465)&gt;25,"Au-delà de 25 lignes : non imprimée","OK")))))))))))))</f>
        <v/>
      </c>
      <c r="O2465" s="59" t="str">
        <f>IF(A2465="","",COUNTIF($A$6:A2465,A2465))</f>
        <v/>
      </c>
      <c r="P2465" s="62" t="str">
        <f>IF(A2465="","",A2465&amp;"|"&amp;O2465)</f>
        <v/>
      </c>
    </row>
    <row r="2466">
      <c r="A2466" s="60" t="n"/>
      <c r="B2466" s="63" t="n"/>
      <c r="C2466" s="63" t="n"/>
      <c r="D2466" s="67" t="n"/>
      <c r="E2466" s="68" t="n"/>
      <c r="F2466" s="69" t="n"/>
      <c r="G2466" s="70" t="n"/>
      <c r="H2466" s="62" t="str">
        <f>IF(COUNTA(A2466:G2466)=0,"",IF(C2466&lt;&gt;"",C2466,IF(B2466="","",IFERROR(INDEX(pr_des,MATCH(B2466,pr_code,0))&amp;"",""))))</f>
        <v/>
      </c>
      <c r="I2466" s="59" t="str">
        <f>IF(B2466="","",IFERROR(INDEX(pr_unit,MATCH(B2466,pr_code,0))&amp;"",""))</f>
        <v/>
      </c>
      <c r="J2466" s="65" t="str">
        <f>IF(COUNTA(A2466:G2466)=0,"",IF(E2466&lt;&gt;"",E2466,IF(B2466="","",IFERROR(IF(INDEX(pr_price,MATCH(B2466,pr_code,0))="","",INDEX(pr_price,MATCH(B2466,pr_code,0))),""))))</f>
        <v/>
      </c>
      <c r="K2466" s="71" t="str">
        <f>IF(COUNTA(A2466:G2466)=0,"",IF(G2466&lt;&gt;"",G2466,IF(B2466="","",IFERROR(IF(INDEX(pr_rate,MATCH(B2466,pr_code,0))="","",INDEX(pr_rate,MATCH(B2466,pr_code,0))),""))))</f>
        <v/>
      </c>
      <c r="L2466" s="65" t="str">
        <f>IF(COUNTA(A2466:G2466)=0,"",IF(AND(ISNUMBER(D2466),ISNUMBER(J2466)),ROUND(D2466*J2466*(1-N(F2466)),2),0))</f>
        <v/>
      </c>
      <c r="M2466" s="62" t="str">
        <f>IF(A2466="","",IFERROR(INDEX(fa_cname,MATCH(A2466,fa_num,0))&amp;"",""))</f>
        <v/>
      </c>
      <c r="N2466" s="59" t="str">
        <f>IF(COUNTA(A2466:G2466)=0,"",IF(A2466="","N° facture manquant",IF(ISNA(MATCH(A2466,fa_num,0)),"Facture inconnue",IF(AND(B2466&lt;&gt;"",ISNA(MATCH(B2466,pr_code,0))),"Article inconnu",IF(H2466="","Désignation manquante",IF(OR(NOT(ISNUMBER(D2466)),N(D2466)&lt;=0),"Quantité invalide",IF(J2466="","Prix manquant",IF(OR(NOT(ISNUMBER(J2466)),N(J2466)&lt;0),"Prix invalide",IF(OR(AND(F2466&lt;&gt;"",NOT(ISNUMBER(F2466))),N(F2466)&lt;0,N(F2466)&gt;1),"Remise invalide",IF(K2466="","Taux de TVA manquant",IF(NOT(ISNUMBER(K2466)),"Taux de TVA invalide",IF(COUNTIF(p_rates,K2466)=0,"Taux de TVA hors liste (Paramètres)",IF(N(O2466)&gt;25,"Au-delà de 25 lignes : non imprimée","OK")))))))))))))</f>
        <v/>
      </c>
      <c r="O2466" s="59" t="str">
        <f>IF(A2466="","",COUNTIF($A$6:A2466,A2466))</f>
        <v/>
      </c>
      <c r="P2466" s="62" t="str">
        <f>IF(A2466="","",A2466&amp;"|"&amp;O2466)</f>
        <v/>
      </c>
    </row>
    <row r="2467">
      <c r="A2467" s="60" t="n"/>
      <c r="B2467" s="63" t="n"/>
      <c r="C2467" s="63" t="n"/>
      <c r="D2467" s="67" t="n"/>
      <c r="E2467" s="68" t="n"/>
      <c r="F2467" s="69" t="n"/>
      <c r="G2467" s="70" t="n"/>
      <c r="H2467" s="62" t="str">
        <f>IF(COUNTA(A2467:G2467)=0,"",IF(C2467&lt;&gt;"",C2467,IF(B2467="","",IFERROR(INDEX(pr_des,MATCH(B2467,pr_code,0))&amp;"",""))))</f>
        <v/>
      </c>
      <c r="I2467" s="59" t="str">
        <f>IF(B2467="","",IFERROR(INDEX(pr_unit,MATCH(B2467,pr_code,0))&amp;"",""))</f>
        <v/>
      </c>
      <c r="J2467" s="65" t="str">
        <f>IF(COUNTA(A2467:G2467)=0,"",IF(E2467&lt;&gt;"",E2467,IF(B2467="","",IFERROR(IF(INDEX(pr_price,MATCH(B2467,pr_code,0))="","",INDEX(pr_price,MATCH(B2467,pr_code,0))),""))))</f>
        <v/>
      </c>
      <c r="K2467" s="71" t="str">
        <f>IF(COUNTA(A2467:G2467)=0,"",IF(G2467&lt;&gt;"",G2467,IF(B2467="","",IFERROR(IF(INDEX(pr_rate,MATCH(B2467,pr_code,0))="","",INDEX(pr_rate,MATCH(B2467,pr_code,0))),""))))</f>
        <v/>
      </c>
      <c r="L2467" s="65" t="str">
        <f>IF(COUNTA(A2467:G2467)=0,"",IF(AND(ISNUMBER(D2467),ISNUMBER(J2467)),ROUND(D2467*J2467*(1-N(F2467)),2),0))</f>
        <v/>
      </c>
      <c r="M2467" s="62" t="str">
        <f>IF(A2467="","",IFERROR(INDEX(fa_cname,MATCH(A2467,fa_num,0))&amp;"",""))</f>
        <v/>
      </c>
      <c r="N2467" s="59" t="str">
        <f>IF(COUNTA(A2467:G2467)=0,"",IF(A2467="","N° facture manquant",IF(ISNA(MATCH(A2467,fa_num,0)),"Facture inconnue",IF(AND(B2467&lt;&gt;"",ISNA(MATCH(B2467,pr_code,0))),"Article inconnu",IF(H2467="","Désignation manquante",IF(OR(NOT(ISNUMBER(D2467)),N(D2467)&lt;=0),"Quantité invalide",IF(J2467="","Prix manquant",IF(OR(NOT(ISNUMBER(J2467)),N(J2467)&lt;0),"Prix invalide",IF(OR(AND(F2467&lt;&gt;"",NOT(ISNUMBER(F2467))),N(F2467)&lt;0,N(F2467)&gt;1),"Remise invalide",IF(K2467="","Taux de TVA manquant",IF(NOT(ISNUMBER(K2467)),"Taux de TVA invalide",IF(COUNTIF(p_rates,K2467)=0,"Taux de TVA hors liste (Paramètres)",IF(N(O2467)&gt;25,"Au-delà de 25 lignes : non imprimée","OK")))))))))))))</f>
        <v/>
      </c>
      <c r="O2467" s="59" t="str">
        <f>IF(A2467="","",COUNTIF($A$6:A2467,A2467))</f>
        <v/>
      </c>
      <c r="P2467" s="62" t="str">
        <f>IF(A2467="","",A2467&amp;"|"&amp;O2467)</f>
        <v/>
      </c>
    </row>
    <row r="2468">
      <c r="A2468" s="60" t="n"/>
      <c r="B2468" s="63" t="n"/>
      <c r="C2468" s="63" t="n"/>
      <c r="D2468" s="67" t="n"/>
      <c r="E2468" s="68" t="n"/>
      <c r="F2468" s="69" t="n"/>
      <c r="G2468" s="70" t="n"/>
      <c r="H2468" s="62" t="str">
        <f>IF(COUNTA(A2468:G2468)=0,"",IF(C2468&lt;&gt;"",C2468,IF(B2468="","",IFERROR(INDEX(pr_des,MATCH(B2468,pr_code,0))&amp;"",""))))</f>
        <v/>
      </c>
      <c r="I2468" s="59" t="str">
        <f>IF(B2468="","",IFERROR(INDEX(pr_unit,MATCH(B2468,pr_code,0))&amp;"",""))</f>
        <v/>
      </c>
      <c r="J2468" s="65" t="str">
        <f>IF(COUNTA(A2468:G2468)=0,"",IF(E2468&lt;&gt;"",E2468,IF(B2468="","",IFERROR(IF(INDEX(pr_price,MATCH(B2468,pr_code,0))="","",INDEX(pr_price,MATCH(B2468,pr_code,0))),""))))</f>
        <v/>
      </c>
      <c r="K2468" s="71" t="str">
        <f>IF(COUNTA(A2468:G2468)=0,"",IF(G2468&lt;&gt;"",G2468,IF(B2468="","",IFERROR(IF(INDEX(pr_rate,MATCH(B2468,pr_code,0))="","",INDEX(pr_rate,MATCH(B2468,pr_code,0))),""))))</f>
        <v/>
      </c>
      <c r="L2468" s="65" t="str">
        <f>IF(COUNTA(A2468:G2468)=0,"",IF(AND(ISNUMBER(D2468),ISNUMBER(J2468)),ROUND(D2468*J2468*(1-N(F2468)),2),0))</f>
        <v/>
      </c>
      <c r="M2468" s="62" t="str">
        <f>IF(A2468="","",IFERROR(INDEX(fa_cname,MATCH(A2468,fa_num,0))&amp;"",""))</f>
        <v/>
      </c>
      <c r="N2468" s="59" t="str">
        <f>IF(COUNTA(A2468:G2468)=0,"",IF(A2468="","N° facture manquant",IF(ISNA(MATCH(A2468,fa_num,0)),"Facture inconnue",IF(AND(B2468&lt;&gt;"",ISNA(MATCH(B2468,pr_code,0))),"Article inconnu",IF(H2468="","Désignation manquante",IF(OR(NOT(ISNUMBER(D2468)),N(D2468)&lt;=0),"Quantité invalide",IF(J2468="","Prix manquant",IF(OR(NOT(ISNUMBER(J2468)),N(J2468)&lt;0),"Prix invalide",IF(OR(AND(F2468&lt;&gt;"",NOT(ISNUMBER(F2468))),N(F2468)&lt;0,N(F2468)&gt;1),"Remise invalide",IF(K2468="","Taux de TVA manquant",IF(NOT(ISNUMBER(K2468)),"Taux de TVA invalide",IF(COUNTIF(p_rates,K2468)=0,"Taux de TVA hors liste (Paramètres)",IF(N(O2468)&gt;25,"Au-delà de 25 lignes : non imprimée","OK")))))))))))))</f>
        <v/>
      </c>
      <c r="O2468" s="59" t="str">
        <f>IF(A2468="","",COUNTIF($A$6:A2468,A2468))</f>
        <v/>
      </c>
      <c r="P2468" s="62" t="str">
        <f>IF(A2468="","",A2468&amp;"|"&amp;O2468)</f>
        <v/>
      </c>
    </row>
    <row r="2469">
      <c r="A2469" s="60" t="n"/>
      <c r="B2469" s="63" t="n"/>
      <c r="C2469" s="63" t="n"/>
      <c r="D2469" s="67" t="n"/>
      <c r="E2469" s="68" t="n"/>
      <c r="F2469" s="69" t="n"/>
      <c r="G2469" s="70" t="n"/>
      <c r="H2469" s="62" t="str">
        <f>IF(COUNTA(A2469:G2469)=0,"",IF(C2469&lt;&gt;"",C2469,IF(B2469="","",IFERROR(INDEX(pr_des,MATCH(B2469,pr_code,0))&amp;"",""))))</f>
        <v/>
      </c>
      <c r="I2469" s="59" t="str">
        <f>IF(B2469="","",IFERROR(INDEX(pr_unit,MATCH(B2469,pr_code,0))&amp;"",""))</f>
        <v/>
      </c>
      <c r="J2469" s="65" t="str">
        <f>IF(COUNTA(A2469:G2469)=0,"",IF(E2469&lt;&gt;"",E2469,IF(B2469="","",IFERROR(IF(INDEX(pr_price,MATCH(B2469,pr_code,0))="","",INDEX(pr_price,MATCH(B2469,pr_code,0))),""))))</f>
        <v/>
      </c>
      <c r="K2469" s="71" t="str">
        <f>IF(COUNTA(A2469:G2469)=0,"",IF(G2469&lt;&gt;"",G2469,IF(B2469="","",IFERROR(IF(INDEX(pr_rate,MATCH(B2469,pr_code,0))="","",INDEX(pr_rate,MATCH(B2469,pr_code,0))),""))))</f>
        <v/>
      </c>
      <c r="L2469" s="65" t="str">
        <f>IF(COUNTA(A2469:G2469)=0,"",IF(AND(ISNUMBER(D2469),ISNUMBER(J2469)),ROUND(D2469*J2469*(1-N(F2469)),2),0))</f>
        <v/>
      </c>
      <c r="M2469" s="62" t="str">
        <f>IF(A2469="","",IFERROR(INDEX(fa_cname,MATCH(A2469,fa_num,0))&amp;"",""))</f>
        <v/>
      </c>
      <c r="N2469" s="59" t="str">
        <f>IF(COUNTA(A2469:G2469)=0,"",IF(A2469="","N° facture manquant",IF(ISNA(MATCH(A2469,fa_num,0)),"Facture inconnue",IF(AND(B2469&lt;&gt;"",ISNA(MATCH(B2469,pr_code,0))),"Article inconnu",IF(H2469="","Désignation manquante",IF(OR(NOT(ISNUMBER(D2469)),N(D2469)&lt;=0),"Quantité invalide",IF(J2469="","Prix manquant",IF(OR(NOT(ISNUMBER(J2469)),N(J2469)&lt;0),"Prix invalide",IF(OR(AND(F2469&lt;&gt;"",NOT(ISNUMBER(F2469))),N(F2469)&lt;0,N(F2469)&gt;1),"Remise invalide",IF(K2469="","Taux de TVA manquant",IF(NOT(ISNUMBER(K2469)),"Taux de TVA invalide",IF(COUNTIF(p_rates,K2469)=0,"Taux de TVA hors liste (Paramètres)",IF(N(O2469)&gt;25,"Au-delà de 25 lignes : non imprimée","OK")))))))))))))</f>
        <v/>
      </c>
      <c r="O2469" s="59" t="str">
        <f>IF(A2469="","",COUNTIF($A$6:A2469,A2469))</f>
        <v/>
      </c>
      <c r="P2469" s="62" t="str">
        <f>IF(A2469="","",A2469&amp;"|"&amp;O2469)</f>
        <v/>
      </c>
    </row>
    <row r="2470">
      <c r="A2470" s="60" t="n"/>
      <c r="B2470" s="63" t="n"/>
      <c r="C2470" s="63" t="n"/>
      <c r="D2470" s="67" t="n"/>
      <c r="E2470" s="68" t="n"/>
      <c r="F2470" s="69" t="n"/>
      <c r="G2470" s="70" t="n"/>
      <c r="H2470" s="62" t="str">
        <f>IF(COUNTA(A2470:G2470)=0,"",IF(C2470&lt;&gt;"",C2470,IF(B2470="","",IFERROR(INDEX(pr_des,MATCH(B2470,pr_code,0))&amp;"",""))))</f>
        <v/>
      </c>
      <c r="I2470" s="59" t="str">
        <f>IF(B2470="","",IFERROR(INDEX(pr_unit,MATCH(B2470,pr_code,0))&amp;"",""))</f>
        <v/>
      </c>
      <c r="J2470" s="65" t="str">
        <f>IF(COUNTA(A2470:G2470)=0,"",IF(E2470&lt;&gt;"",E2470,IF(B2470="","",IFERROR(IF(INDEX(pr_price,MATCH(B2470,pr_code,0))="","",INDEX(pr_price,MATCH(B2470,pr_code,0))),""))))</f>
        <v/>
      </c>
      <c r="K2470" s="71" t="str">
        <f>IF(COUNTA(A2470:G2470)=0,"",IF(G2470&lt;&gt;"",G2470,IF(B2470="","",IFERROR(IF(INDEX(pr_rate,MATCH(B2470,pr_code,0))="","",INDEX(pr_rate,MATCH(B2470,pr_code,0))),""))))</f>
        <v/>
      </c>
      <c r="L2470" s="65" t="str">
        <f>IF(COUNTA(A2470:G2470)=0,"",IF(AND(ISNUMBER(D2470),ISNUMBER(J2470)),ROUND(D2470*J2470*(1-N(F2470)),2),0))</f>
        <v/>
      </c>
      <c r="M2470" s="62" t="str">
        <f>IF(A2470="","",IFERROR(INDEX(fa_cname,MATCH(A2470,fa_num,0))&amp;"",""))</f>
        <v/>
      </c>
      <c r="N2470" s="59" t="str">
        <f>IF(COUNTA(A2470:G2470)=0,"",IF(A2470="","N° facture manquant",IF(ISNA(MATCH(A2470,fa_num,0)),"Facture inconnue",IF(AND(B2470&lt;&gt;"",ISNA(MATCH(B2470,pr_code,0))),"Article inconnu",IF(H2470="","Désignation manquante",IF(OR(NOT(ISNUMBER(D2470)),N(D2470)&lt;=0),"Quantité invalide",IF(J2470="","Prix manquant",IF(OR(NOT(ISNUMBER(J2470)),N(J2470)&lt;0),"Prix invalide",IF(OR(AND(F2470&lt;&gt;"",NOT(ISNUMBER(F2470))),N(F2470)&lt;0,N(F2470)&gt;1),"Remise invalide",IF(K2470="","Taux de TVA manquant",IF(NOT(ISNUMBER(K2470)),"Taux de TVA invalide",IF(COUNTIF(p_rates,K2470)=0,"Taux de TVA hors liste (Paramètres)",IF(N(O2470)&gt;25,"Au-delà de 25 lignes : non imprimée","OK")))))))))))))</f>
        <v/>
      </c>
      <c r="O2470" s="59" t="str">
        <f>IF(A2470="","",COUNTIF($A$6:A2470,A2470))</f>
        <v/>
      </c>
      <c r="P2470" s="62" t="str">
        <f>IF(A2470="","",A2470&amp;"|"&amp;O2470)</f>
        <v/>
      </c>
    </row>
    <row r="2471">
      <c r="A2471" s="60" t="n"/>
      <c r="B2471" s="63" t="n"/>
      <c r="C2471" s="63" t="n"/>
      <c r="D2471" s="67" t="n"/>
      <c r="E2471" s="68" t="n"/>
      <c r="F2471" s="69" t="n"/>
      <c r="G2471" s="70" t="n"/>
      <c r="H2471" s="62" t="str">
        <f>IF(COUNTA(A2471:G2471)=0,"",IF(C2471&lt;&gt;"",C2471,IF(B2471="","",IFERROR(INDEX(pr_des,MATCH(B2471,pr_code,0))&amp;"",""))))</f>
        <v/>
      </c>
      <c r="I2471" s="59" t="str">
        <f>IF(B2471="","",IFERROR(INDEX(pr_unit,MATCH(B2471,pr_code,0))&amp;"",""))</f>
        <v/>
      </c>
      <c r="J2471" s="65" t="str">
        <f>IF(COUNTA(A2471:G2471)=0,"",IF(E2471&lt;&gt;"",E2471,IF(B2471="","",IFERROR(IF(INDEX(pr_price,MATCH(B2471,pr_code,0))="","",INDEX(pr_price,MATCH(B2471,pr_code,0))),""))))</f>
        <v/>
      </c>
      <c r="K2471" s="71" t="str">
        <f>IF(COUNTA(A2471:G2471)=0,"",IF(G2471&lt;&gt;"",G2471,IF(B2471="","",IFERROR(IF(INDEX(pr_rate,MATCH(B2471,pr_code,0))="","",INDEX(pr_rate,MATCH(B2471,pr_code,0))),""))))</f>
        <v/>
      </c>
      <c r="L2471" s="65" t="str">
        <f>IF(COUNTA(A2471:G2471)=0,"",IF(AND(ISNUMBER(D2471),ISNUMBER(J2471)),ROUND(D2471*J2471*(1-N(F2471)),2),0))</f>
        <v/>
      </c>
      <c r="M2471" s="62" t="str">
        <f>IF(A2471="","",IFERROR(INDEX(fa_cname,MATCH(A2471,fa_num,0))&amp;"",""))</f>
        <v/>
      </c>
      <c r="N2471" s="59" t="str">
        <f>IF(COUNTA(A2471:G2471)=0,"",IF(A2471="","N° facture manquant",IF(ISNA(MATCH(A2471,fa_num,0)),"Facture inconnue",IF(AND(B2471&lt;&gt;"",ISNA(MATCH(B2471,pr_code,0))),"Article inconnu",IF(H2471="","Désignation manquante",IF(OR(NOT(ISNUMBER(D2471)),N(D2471)&lt;=0),"Quantité invalide",IF(J2471="","Prix manquant",IF(OR(NOT(ISNUMBER(J2471)),N(J2471)&lt;0),"Prix invalide",IF(OR(AND(F2471&lt;&gt;"",NOT(ISNUMBER(F2471))),N(F2471)&lt;0,N(F2471)&gt;1),"Remise invalide",IF(K2471="","Taux de TVA manquant",IF(NOT(ISNUMBER(K2471)),"Taux de TVA invalide",IF(COUNTIF(p_rates,K2471)=0,"Taux de TVA hors liste (Paramètres)",IF(N(O2471)&gt;25,"Au-delà de 25 lignes : non imprimée","OK")))))))))))))</f>
        <v/>
      </c>
      <c r="O2471" s="59" t="str">
        <f>IF(A2471="","",COUNTIF($A$6:A2471,A2471))</f>
        <v/>
      </c>
      <c r="P2471" s="62" t="str">
        <f>IF(A2471="","",A2471&amp;"|"&amp;O2471)</f>
        <v/>
      </c>
    </row>
    <row r="2472">
      <c r="A2472" s="60" t="n"/>
      <c r="B2472" s="63" t="n"/>
      <c r="C2472" s="63" t="n"/>
      <c r="D2472" s="67" t="n"/>
      <c r="E2472" s="68" t="n"/>
      <c r="F2472" s="69" t="n"/>
      <c r="G2472" s="70" t="n"/>
      <c r="H2472" s="62" t="str">
        <f>IF(COUNTA(A2472:G2472)=0,"",IF(C2472&lt;&gt;"",C2472,IF(B2472="","",IFERROR(INDEX(pr_des,MATCH(B2472,pr_code,0))&amp;"",""))))</f>
        <v/>
      </c>
      <c r="I2472" s="59" t="str">
        <f>IF(B2472="","",IFERROR(INDEX(pr_unit,MATCH(B2472,pr_code,0))&amp;"",""))</f>
        <v/>
      </c>
      <c r="J2472" s="65" t="str">
        <f>IF(COUNTA(A2472:G2472)=0,"",IF(E2472&lt;&gt;"",E2472,IF(B2472="","",IFERROR(IF(INDEX(pr_price,MATCH(B2472,pr_code,0))="","",INDEX(pr_price,MATCH(B2472,pr_code,0))),""))))</f>
        <v/>
      </c>
      <c r="K2472" s="71" t="str">
        <f>IF(COUNTA(A2472:G2472)=0,"",IF(G2472&lt;&gt;"",G2472,IF(B2472="","",IFERROR(IF(INDEX(pr_rate,MATCH(B2472,pr_code,0))="","",INDEX(pr_rate,MATCH(B2472,pr_code,0))),""))))</f>
        <v/>
      </c>
      <c r="L2472" s="65" t="str">
        <f>IF(COUNTA(A2472:G2472)=0,"",IF(AND(ISNUMBER(D2472),ISNUMBER(J2472)),ROUND(D2472*J2472*(1-N(F2472)),2),0))</f>
        <v/>
      </c>
      <c r="M2472" s="62" t="str">
        <f>IF(A2472="","",IFERROR(INDEX(fa_cname,MATCH(A2472,fa_num,0))&amp;"",""))</f>
        <v/>
      </c>
      <c r="N2472" s="59" t="str">
        <f>IF(COUNTA(A2472:G2472)=0,"",IF(A2472="","N° facture manquant",IF(ISNA(MATCH(A2472,fa_num,0)),"Facture inconnue",IF(AND(B2472&lt;&gt;"",ISNA(MATCH(B2472,pr_code,0))),"Article inconnu",IF(H2472="","Désignation manquante",IF(OR(NOT(ISNUMBER(D2472)),N(D2472)&lt;=0),"Quantité invalide",IF(J2472="","Prix manquant",IF(OR(NOT(ISNUMBER(J2472)),N(J2472)&lt;0),"Prix invalide",IF(OR(AND(F2472&lt;&gt;"",NOT(ISNUMBER(F2472))),N(F2472)&lt;0,N(F2472)&gt;1),"Remise invalide",IF(K2472="","Taux de TVA manquant",IF(NOT(ISNUMBER(K2472)),"Taux de TVA invalide",IF(COUNTIF(p_rates,K2472)=0,"Taux de TVA hors liste (Paramètres)",IF(N(O2472)&gt;25,"Au-delà de 25 lignes : non imprimée","OK")))))))))))))</f>
        <v/>
      </c>
      <c r="O2472" s="59" t="str">
        <f>IF(A2472="","",COUNTIF($A$6:A2472,A2472))</f>
        <v/>
      </c>
      <c r="P2472" s="62" t="str">
        <f>IF(A2472="","",A2472&amp;"|"&amp;O2472)</f>
        <v/>
      </c>
    </row>
    <row r="2473">
      <c r="A2473" s="60" t="n"/>
      <c r="B2473" s="63" t="n"/>
      <c r="C2473" s="63" t="n"/>
      <c r="D2473" s="67" t="n"/>
      <c r="E2473" s="68" t="n"/>
      <c r="F2473" s="69" t="n"/>
      <c r="G2473" s="70" t="n"/>
      <c r="H2473" s="62" t="str">
        <f>IF(COUNTA(A2473:G2473)=0,"",IF(C2473&lt;&gt;"",C2473,IF(B2473="","",IFERROR(INDEX(pr_des,MATCH(B2473,pr_code,0))&amp;"",""))))</f>
        <v/>
      </c>
      <c r="I2473" s="59" t="str">
        <f>IF(B2473="","",IFERROR(INDEX(pr_unit,MATCH(B2473,pr_code,0))&amp;"",""))</f>
        <v/>
      </c>
      <c r="J2473" s="65" t="str">
        <f>IF(COUNTA(A2473:G2473)=0,"",IF(E2473&lt;&gt;"",E2473,IF(B2473="","",IFERROR(IF(INDEX(pr_price,MATCH(B2473,pr_code,0))="","",INDEX(pr_price,MATCH(B2473,pr_code,0))),""))))</f>
        <v/>
      </c>
      <c r="K2473" s="71" t="str">
        <f>IF(COUNTA(A2473:G2473)=0,"",IF(G2473&lt;&gt;"",G2473,IF(B2473="","",IFERROR(IF(INDEX(pr_rate,MATCH(B2473,pr_code,0))="","",INDEX(pr_rate,MATCH(B2473,pr_code,0))),""))))</f>
        <v/>
      </c>
      <c r="L2473" s="65" t="str">
        <f>IF(COUNTA(A2473:G2473)=0,"",IF(AND(ISNUMBER(D2473),ISNUMBER(J2473)),ROUND(D2473*J2473*(1-N(F2473)),2),0))</f>
        <v/>
      </c>
      <c r="M2473" s="62" t="str">
        <f>IF(A2473="","",IFERROR(INDEX(fa_cname,MATCH(A2473,fa_num,0))&amp;"",""))</f>
        <v/>
      </c>
      <c r="N2473" s="59" t="str">
        <f>IF(COUNTA(A2473:G2473)=0,"",IF(A2473="","N° facture manquant",IF(ISNA(MATCH(A2473,fa_num,0)),"Facture inconnue",IF(AND(B2473&lt;&gt;"",ISNA(MATCH(B2473,pr_code,0))),"Article inconnu",IF(H2473="","Désignation manquante",IF(OR(NOT(ISNUMBER(D2473)),N(D2473)&lt;=0),"Quantité invalide",IF(J2473="","Prix manquant",IF(OR(NOT(ISNUMBER(J2473)),N(J2473)&lt;0),"Prix invalide",IF(OR(AND(F2473&lt;&gt;"",NOT(ISNUMBER(F2473))),N(F2473)&lt;0,N(F2473)&gt;1),"Remise invalide",IF(K2473="","Taux de TVA manquant",IF(NOT(ISNUMBER(K2473)),"Taux de TVA invalide",IF(COUNTIF(p_rates,K2473)=0,"Taux de TVA hors liste (Paramètres)",IF(N(O2473)&gt;25,"Au-delà de 25 lignes : non imprimée","OK")))))))))))))</f>
        <v/>
      </c>
      <c r="O2473" s="59" t="str">
        <f>IF(A2473="","",COUNTIF($A$6:A2473,A2473))</f>
        <v/>
      </c>
      <c r="P2473" s="62" t="str">
        <f>IF(A2473="","",A2473&amp;"|"&amp;O2473)</f>
        <v/>
      </c>
    </row>
    <row r="2474">
      <c r="A2474" s="60" t="n"/>
      <c r="B2474" s="63" t="n"/>
      <c r="C2474" s="63" t="n"/>
      <c r="D2474" s="67" t="n"/>
      <c r="E2474" s="68" t="n"/>
      <c r="F2474" s="69" t="n"/>
      <c r="G2474" s="70" t="n"/>
      <c r="H2474" s="62" t="str">
        <f>IF(COUNTA(A2474:G2474)=0,"",IF(C2474&lt;&gt;"",C2474,IF(B2474="","",IFERROR(INDEX(pr_des,MATCH(B2474,pr_code,0))&amp;"",""))))</f>
        <v/>
      </c>
      <c r="I2474" s="59" t="str">
        <f>IF(B2474="","",IFERROR(INDEX(pr_unit,MATCH(B2474,pr_code,0))&amp;"",""))</f>
        <v/>
      </c>
      <c r="J2474" s="65" t="str">
        <f>IF(COUNTA(A2474:G2474)=0,"",IF(E2474&lt;&gt;"",E2474,IF(B2474="","",IFERROR(IF(INDEX(pr_price,MATCH(B2474,pr_code,0))="","",INDEX(pr_price,MATCH(B2474,pr_code,0))),""))))</f>
        <v/>
      </c>
      <c r="K2474" s="71" t="str">
        <f>IF(COUNTA(A2474:G2474)=0,"",IF(G2474&lt;&gt;"",G2474,IF(B2474="","",IFERROR(IF(INDEX(pr_rate,MATCH(B2474,pr_code,0))="","",INDEX(pr_rate,MATCH(B2474,pr_code,0))),""))))</f>
        <v/>
      </c>
      <c r="L2474" s="65" t="str">
        <f>IF(COUNTA(A2474:G2474)=0,"",IF(AND(ISNUMBER(D2474),ISNUMBER(J2474)),ROUND(D2474*J2474*(1-N(F2474)),2),0))</f>
        <v/>
      </c>
      <c r="M2474" s="62" t="str">
        <f>IF(A2474="","",IFERROR(INDEX(fa_cname,MATCH(A2474,fa_num,0))&amp;"",""))</f>
        <v/>
      </c>
      <c r="N2474" s="59" t="str">
        <f>IF(COUNTA(A2474:G2474)=0,"",IF(A2474="","N° facture manquant",IF(ISNA(MATCH(A2474,fa_num,0)),"Facture inconnue",IF(AND(B2474&lt;&gt;"",ISNA(MATCH(B2474,pr_code,0))),"Article inconnu",IF(H2474="","Désignation manquante",IF(OR(NOT(ISNUMBER(D2474)),N(D2474)&lt;=0),"Quantité invalide",IF(J2474="","Prix manquant",IF(OR(NOT(ISNUMBER(J2474)),N(J2474)&lt;0),"Prix invalide",IF(OR(AND(F2474&lt;&gt;"",NOT(ISNUMBER(F2474))),N(F2474)&lt;0,N(F2474)&gt;1),"Remise invalide",IF(K2474="","Taux de TVA manquant",IF(NOT(ISNUMBER(K2474)),"Taux de TVA invalide",IF(COUNTIF(p_rates,K2474)=0,"Taux de TVA hors liste (Paramètres)",IF(N(O2474)&gt;25,"Au-delà de 25 lignes : non imprimée","OK")))))))))))))</f>
        <v/>
      </c>
      <c r="O2474" s="59" t="str">
        <f>IF(A2474="","",COUNTIF($A$6:A2474,A2474))</f>
        <v/>
      </c>
      <c r="P2474" s="62" t="str">
        <f>IF(A2474="","",A2474&amp;"|"&amp;O2474)</f>
        <v/>
      </c>
    </row>
    <row r="2475">
      <c r="A2475" s="60" t="n"/>
      <c r="B2475" s="63" t="n"/>
      <c r="C2475" s="63" t="n"/>
      <c r="D2475" s="67" t="n"/>
      <c r="E2475" s="68" t="n"/>
      <c r="F2475" s="69" t="n"/>
      <c r="G2475" s="70" t="n"/>
      <c r="H2475" s="62" t="str">
        <f>IF(COUNTA(A2475:G2475)=0,"",IF(C2475&lt;&gt;"",C2475,IF(B2475="","",IFERROR(INDEX(pr_des,MATCH(B2475,pr_code,0))&amp;"",""))))</f>
        <v/>
      </c>
      <c r="I2475" s="59" t="str">
        <f>IF(B2475="","",IFERROR(INDEX(pr_unit,MATCH(B2475,pr_code,0))&amp;"",""))</f>
        <v/>
      </c>
      <c r="J2475" s="65" t="str">
        <f>IF(COUNTA(A2475:G2475)=0,"",IF(E2475&lt;&gt;"",E2475,IF(B2475="","",IFERROR(IF(INDEX(pr_price,MATCH(B2475,pr_code,0))="","",INDEX(pr_price,MATCH(B2475,pr_code,0))),""))))</f>
        <v/>
      </c>
      <c r="K2475" s="71" t="str">
        <f>IF(COUNTA(A2475:G2475)=0,"",IF(G2475&lt;&gt;"",G2475,IF(B2475="","",IFERROR(IF(INDEX(pr_rate,MATCH(B2475,pr_code,0))="","",INDEX(pr_rate,MATCH(B2475,pr_code,0))),""))))</f>
        <v/>
      </c>
      <c r="L2475" s="65" t="str">
        <f>IF(COUNTA(A2475:G2475)=0,"",IF(AND(ISNUMBER(D2475),ISNUMBER(J2475)),ROUND(D2475*J2475*(1-N(F2475)),2),0))</f>
        <v/>
      </c>
      <c r="M2475" s="62" t="str">
        <f>IF(A2475="","",IFERROR(INDEX(fa_cname,MATCH(A2475,fa_num,0))&amp;"",""))</f>
        <v/>
      </c>
      <c r="N2475" s="59" t="str">
        <f>IF(COUNTA(A2475:G2475)=0,"",IF(A2475="","N° facture manquant",IF(ISNA(MATCH(A2475,fa_num,0)),"Facture inconnue",IF(AND(B2475&lt;&gt;"",ISNA(MATCH(B2475,pr_code,0))),"Article inconnu",IF(H2475="","Désignation manquante",IF(OR(NOT(ISNUMBER(D2475)),N(D2475)&lt;=0),"Quantité invalide",IF(J2475="","Prix manquant",IF(OR(NOT(ISNUMBER(J2475)),N(J2475)&lt;0),"Prix invalide",IF(OR(AND(F2475&lt;&gt;"",NOT(ISNUMBER(F2475))),N(F2475)&lt;0,N(F2475)&gt;1),"Remise invalide",IF(K2475="","Taux de TVA manquant",IF(NOT(ISNUMBER(K2475)),"Taux de TVA invalide",IF(COUNTIF(p_rates,K2475)=0,"Taux de TVA hors liste (Paramètres)",IF(N(O2475)&gt;25,"Au-delà de 25 lignes : non imprimée","OK")))))))))))))</f>
        <v/>
      </c>
      <c r="O2475" s="59" t="str">
        <f>IF(A2475="","",COUNTIF($A$6:A2475,A2475))</f>
        <v/>
      </c>
      <c r="P2475" s="62" t="str">
        <f>IF(A2475="","",A2475&amp;"|"&amp;O2475)</f>
        <v/>
      </c>
    </row>
    <row r="2476">
      <c r="A2476" s="60" t="n"/>
      <c r="B2476" s="63" t="n"/>
      <c r="C2476" s="63" t="n"/>
      <c r="D2476" s="67" t="n"/>
      <c r="E2476" s="68" t="n"/>
      <c r="F2476" s="69" t="n"/>
      <c r="G2476" s="70" t="n"/>
      <c r="H2476" s="62" t="str">
        <f>IF(COUNTA(A2476:G2476)=0,"",IF(C2476&lt;&gt;"",C2476,IF(B2476="","",IFERROR(INDEX(pr_des,MATCH(B2476,pr_code,0))&amp;"",""))))</f>
        <v/>
      </c>
      <c r="I2476" s="59" t="str">
        <f>IF(B2476="","",IFERROR(INDEX(pr_unit,MATCH(B2476,pr_code,0))&amp;"",""))</f>
        <v/>
      </c>
      <c r="J2476" s="65" t="str">
        <f>IF(COUNTA(A2476:G2476)=0,"",IF(E2476&lt;&gt;"",E2476,IF(B2476="","",IFERROR(IF(INDEX(pr_price,MATCH(B2476,pr_code,0))="","",INDEX(pr_price,MATCH(B2476,pr_code,0))),""))))</f>
        <v/>
      </c>
      <c r="K2476" s="71" t="str">
        <f>IF(COUNTA(A2476:G2476)=0,"",IF(G2476&lt;&gt;"",G2476,IF(B2476="","",IFERROR(IF(INDEX(pr_rate,MATCH(B2476,pr_code,0))="","",INDEX(pr_rate,MATCH(B2476,pr_code,0))),""))))</f>
        <v/>
      </c>
      <c r="L2476" s="65" t="str">
        <f>IF(COUNTA(A2476:G2476)=0,"",IF(AND(ISNUMBER(D2476),ISNUMBER(J2476)),ROUND(D2476*J2476*(1-N(F2476)),2),0))</f>
        <v/>
      </c>
      <c r="M2476" s="62" t="str">
        <f>IF(A2476="","",IFERROR(INDEX(fa_cname,MATCH(A2476,fa_num,0))&amp;"",""))</f>
        <v/>
      </c>
      <c r="N2476" s="59" t="str">
        <f>IF(COUNTA(A2476:G2476)=0,"",IF(A2476="","N° facture manquant",IF(ISNA(MATCH(A2476,fa_num,0)),"Facture inconnue",IF(AND(B2476&lt;&gt;"",ISNA(MATCH(B2476,pr_code,0))),"Article inconnu",IF(H2476="","Désignation manquante",IF(OR(NOT(ISNUMBER(D2476)),N(D2476)&lt;=0),"Quantité invalide",IF(J2476="","Prix manquant",IF(OR(NOT(ISNUMBER(J2476)),N(J2476)&lt;0),"Prix invalide",IF(OR(AND(F2476&lt;&gt;"",NOT(ISNUMBER(F2476))),N(F2476)&lt;0,N(F2476)&gt;1),"Remise invalide",IF(K2476="","Taux de TVA manquant",IF(NOT(ISNUMBER(K2476)),"Taux de TVA invalide",IF(COUNTIF(p_rates,K2476)=0,"Taux de TVA hors liste (Paramètres)",IF(N(O2476)&gt;25,"Au-delà de 25 lignes : non imprimée","OK")))))))))))))</f>
        <v/>
      </c>
      <c r="O2476" s="59" t="str">
        <f>IF(A2476="","",COUNTIF($A$6:A2476,A2476))</f>
        <v/>
      </c>
      <c r="P2476" s="62" t="str">
        <f>IF(A2476="","",A2476&amp;"|"&amp;O2476)</f>
        <v/>
      </c>
    </row>
    <row r="2477">
      <c r="A2477" s="60" t="n"/>
      <c r="B2477" s="63" t="n"/>
      <c r="C2477" s="63" t="n"/>
      <c r="D2477" s="67" t="n"/>
      <c r="E2477" s="68" t="n"/>
      <c r="F2477" s="69" t="n"/>
      <c r="G2477" s="70" t="n"/>
      <c r="H2477" s="62" t="str">
        <f>IF(COUNTA(A2477:G2477)=0,"",IF(C2477&lt;&gt;"",C2477,IF(B2477="","",IFERROR(INDEX(pr_des,MATCH(B2477,pr_code,0))&amp;"",""))))</f>
        <v/>
      </c>
      <c r="I2477" s="59" t="str">
        <f>IF(B2477="","",IFERROR(INDEX(pr_unit,MATCH(B2477,pr_code,0))&amp;"",""))</f>
        <v/>
      </c>
      <c r="J2477" s="65" t="str">
        <f>IF(COUNTA(A2477:G2477)=0,"",IF(E2477&lt;&gt;"",E2477,IF(B2477="","",IFERROR(IF(INDEX(pr_price,MATCH(B2477,pr_code,0))="","",INDEX(pr_price,MATCH(B2477,pr_code,0))),""))))</f>
        <v/>
      </c>
      <c r="K2477" s="71" t="str">
        <f>IF(COUNTA(A2477:G2477)=0,"",IF(G2477&lt;&gt;"",G2477,IF(B2477="","",IFERROR(IF(INDEX(pr_rate,MATCH(B2477,pr_code,0))="","",INDEX(pr_rate,MATCH(B2477,pr_code,0))),""))))</f>
        <v/>
      </c>
      <c r="L2477" s="65" t="str">
        <f>IF(COUNTA(A2477:G2477)=0,"",IF(AND(ISNUMBER(D2477),ISNUMBER(J2477)),ROUND(D2477*J2477*(1-N(F2477)),2),0))</f>
        <v/>
      </c>
      <c r="M2477" s="62" t="str">
        <f>IF(A2477="","",IFERROR(INDEX(fa_cname,MATCH(A2477,fa_num,0))&amp;"",""))</f>
        <v/>
      </c>
      <c r="N2477" s="59" t="str">
        <f>IF(COUNTA(A2477:G2477)=0,"",IF(A2477="","N° facture manquant",IF(ISNA(MATCH(A2477,fa_num,0)),"Facture inconnue",IF(AND(B2477&lt;&gt;"",ISNA(MATCH(B2477,pr_code,0))),"Article inconnu",IF(H2477="","Désignation manquante",IF(OR(NOT(ISNUMBER(D2477)),N(D2477)&lt;=0),"Quantité invalide",IF(J2477="","Prix manquant",IF(OR(NOT(ISNUMBER(J2477)),N(J2477)&lt;0),"Prix invalide",IF(OR(AND(F2477&lt;&gt;"",NOT(ISNUMBER(F2477))),N(F2477)&lt;0,N(F2477)&gt;1),"Remise invalide",IF(K2477="","Taux de TVA manquant",IF(NOT(ISNUMBER(K2477)),"Taux de TVA invalide",IF(COUNTIF(p_rates,K2477)=0,"Taux de TVA hors liste (Paramètres)",IF(N(O2477)&gt;25,"Au-delà de 25 lignes : non imprimée","OK")))))))))))))</f>
        <v/>
      </c>
      <c r="O2477" s="59" t="str">
        <f>IF(A2477="","",COUNTIF($A$6:A2477,A2477))</f>
        <v/>
      </c>
      <c r="P2477" s="62" t="str">
        <f>IF(A2477="","",A2477&amp;"|"&amp;O2477)</f>
        <v/>
      </c>
    </row>
    <row r="2478">
      <c r="A2478" s="60" t="n"/>
      <c r="B2478" s="63" t="n"/>
      <c r="C2478" s="63" t="n"/>
      <c r="D2478" s="67" t="n"/>
      <c r="E2478" s="68" t="n"/>
      <c r="F2478" s="69" t="n"/>
      <c r="G2478" s="70" t="n"/>
      <c r="H2478" s="62" t="str">
        <f>IF(COUNTA(A2478:G2478)=0,"",IF(C2478&lt;&gt;"",C2478,IF(B2478="","",IFERROR(INDEX(pr_des,MATCH(B2478,pr_code,0))&amp;"",""))))</f>
        <v/>
      </c>
      <c r="I2478" s="59" t="str">
        <f>IF(B2478="","",IFERROR(INDEX(pr_unit,MATCH(B2478,pr_code,0))&amp;"",""))</f>
        <v/>
      </c>
      <c r="J2478" s="65" t="str">
        <f>IF(COUNTA(A2478:G2478)=0,"",IF(E2478&lt;&gt;"",E2478,IF(B2478="","",IFERROR(IF(INDEX(pr_price,MATCH(B2478,pr_code,0))="","",INDEX(pr_price,MATCH(B2478,pr_code,0))),""))))</f>
        <v/>
      </c>
      <c r="K2478" s="71" t="str">
        <f>IF(COUNTA(A2478:G2478)=0,"",IF(G2478&lt;&gt;"",G2478,IF(B2478="","",IFERROR(IF(INDEX(pr_rate,MATCH(B2478,pr_code,0))="","",INDEX(pr_rate,MATCH(B2478,pr_code,0))),""))))</f>
        <v/>
      </c>
      <c r="L2478" s="65" t="str">
        <f>IF(COUNTA(A2478:G2478)=0,"",IF(AND(ISNUMBER(D2478),ISNUMBER(J2478)),ROUND(D2478*J2478*(1-N(F2478)),2),0))</f>
        <v/>
      </c>
      <c r="M2478" s="62" t="str">
        <f>IF(A2478="","",IFERROR(INDEX(fa_cname,MATCH(A2478,fa_num,0))&amp;"",""))</f>
        <v/>
      </c>
      <c r="N2478" s="59" t="str">
        <f>IF(COUNTA(A2478:G2478)=0,"",IF(A2478="","N° facture manquant",IF(ISNA(MATCH(A2478,fa_num,0)),"Facture inconnue",IF(AND(B2478&lt;&gt;"",ISNA(MATCH(B2478,pr_code,0))),"Article inconnu",IF(H2478="","Désignation manquante",IF(OR(NOT(ISNUMBER(D2478)),N(D2478)&lt;=0),"Quantité invalide",IF(J2478="","Prix manquant",IF(OR(NOT(ISNUMBER(J2478)),N(J2478)&lt;0),"Prix invalide",IF(OR(AND(F2478&lt;&gt;"",NOT(ISNUMBER(F2478))),N(F2478)&lt;0,N(F2478)&gt;1),"Remise invalide",IF(K2478="","Taux de TVA manquant",IF(NOT(ISNUMBER(K2478)),"Taux de TVA invalide",IF(COUNTIF(p_rates,K2478)=0,"Taux de TVA hors liste (Paramètres)",IF(N(O2478)&gt;25,"Au-delà de 25 lignes : non imprimée","OK")))))))))))))</f>
        <v/>
      </c>
      <c r="O2478" s="59" t="str">
        <f>IF(A2478="","",COUNTIF($A$6:A2478,A2478))</f>
        <v/>
      </c>
      <c r="P2478" s="62" t="str">
        <f>IF(A2478="","",A2478&amp;"|"&amp;O2478)</f>
        <v/>
      </c>
    </row>
    <row r="2479">
      <c r="A2479" s="60" t="n"/>
      <c r="B2479" s="63" t="n"/>
      <c r="C2479" s="63" t="n"/>
      <c r="D2479" s="67" t="n"/>
      <c r="E2479" s="68" t="n"/>
      <c r="F2479" s="69" t="n"/>
      <c r="G2479" s="70" t="n"/>
      <c r="H2479" s="62" t="str">
        <f>IF(COUNTA(A2479:G2479)=0,"",IF(C2479&lt;&gt;"",C2479,IF(B2479="","",IFERROR(INDEX(pr_des,MATCH(B2479,pr_code,0))&amp;"",""))))</f>
        <v/>
      </c>
      <c r="I2479" s="59" t="str">
        <f>IF(B2479="","",IFERROR(INDEX(pr_unit,MATCH(B2479,pr_code,0))&amp;"",""))</f>
        <v/>
      </c>
      <c r="J2479" s="65" t="str">
        <f>IF(COUNTA(A2479:G2479)=0,"",IF(E2479&lt;&gt;"",E2479,IF(B2479="","",IFERROR(IF(INDEX(pr_price,MATCH(B2479,pr_code,0))="","",INDEX(pr_price,MATCH(B2479,pr_code,0))),""))))</f>
        <v/>
      </c>
      <c r="K2479" s="71" t="str">
        <f>IF(COUNTA(A2479:G2479)=0,"",IF(G2479&lt;&gt;"",G2479,IF(B2479="","",IFERROR(IF(INDEX(pr_rate,MATCH(B2479,pr_code,0))="","",INDEX(pr_rate,MATCH(B2479,pr_code,0))),""))))</f>
        <v/>
      </c>
      <c r="L2479" s="65" t="str">
        <f>IF(COUNTA(A2479:G2479)=0,"",IF(AND(ISNUMBER(D2479),ISNUMBER(J2479)),ROUND(D2479*J2479*(1-N(F2479)),2),0))</f>
        <v/>
      </c>
      <c r="M2479" s="62" t="str">
        <f>IF(A2479="","",IFERROR(INDEX(fa_cname,MATCH(A2479,fa_num,0))&amp;"",""))</f>
        <v/>
      </c>
      <c r="N2479" s="59" t="str">
        <f>IF(COUNTA(A2479:G2479)=0,"",IF(A2479="","N° facture manquant",IF(ISNA(MATCH(A2479,fa_num,0)),"Facture inconnue",IF(AND(B2479&lt;&gt;"",ISNA(MATCH(B2479,pr_code,0))),"Article inconnu",IF(H2479="","Désignation manquante",IF(OR(NOT(ISNUMBER(D2479)),N(D2479)&lt;=0),"Quantité invalide",IF(J2479="","Prix manquant",IF(OR(NOT(ISNUMBER(J2479)),N(J2479)&lt;0),"Prix invalide",IF(OR(AND(F2479&lt;&gt;"",NOT(ISNUMBER(F2479))),N(F2479)&lt;0,N(F2479)&gt;1),"Remise invalide",IF(K2479="","Taux de TVA manquant",IF(NOT(ISNUMBER(K2479)),"Taux de TVA invalide",IF(COUNTIF(p_rates,K2479)=0,"Taux de TVA hors liste (Paramètres)",IF(N(O2479)&gt;25,"Au-delà de 25 lignes : non imprimée","OK")))))))))))))</f>
        <v/>
      </c>
      <c r="O2479" s="59" t="str">
        <f>IF(A2479="","",COUNTIF($A$6:A2479,A2479))</f>
        <v/>
      </c>
      <c r="P2479" s="62" t="str">
        <f>IF(A2479="","",A2479&amp;"|"&amp;O2479)</f>
        <v/>
      </c>
    </row>
    <row r="2480">
      <c r="A2480" s="60" t="n"/>
      <c r="B2480" s="63" t="n"/>
      <c r="C2480" s="63" t="n"/>
      <c r="D2480" s="67" t="n"/>
      <c r="E2480" s="68" t="n"/>
      <c r="F2480" s="69" t="n"/>
      <c r="G2480" s="70" t="n"/>
      <c r="H2480" s="62" t="str">
        <f>IF(COUNTA(A2480:G2480)=0,"",IF(C2480&lt;&gt;"",C2480,IF(B2480="","",IFERROR(INDEX(pr_des,MATCH(B2480,pr_code,0))&amp;"",""))))</f>
        <v/>
      </c>
      <c r="I2480" s="59" t="str">
        <f>IF(B2480="","",IFERROR(INDEX(pr_unit,MATCH(B2480,pr_code,0))&amp;"",""))</f>
        <v/>
      </c>
      <c r="J2480" s="65" t="str">
        <f>IF(COUNTA(A2480:G2480)=0,"",IF(E2480&lt;&gt;"",E2480,IF(B2480="","",IFERROR(IF(INDEX(pr_price,MATCH(B2480,pr_code,0))="","",INDEX(pr_price,MATCH(B2480,pr_code,0))),""))))</f>
        <v/>
      </c>
      <c r="K2480" s="71" t="str">
        <f>IF(COUNTA(A2480:G2480)=0,"",IF(G2480&lt;&gt;"",G2480,IF(B2480="","",IFERROR(IF(INDEX(pr_rate,MATCH(B2480,pr_code,0))="","",INDEX(pr_rate,MATCH(B2480,pr_code,0))),""))))</f>
        <v/>
      </c>
      <c r="L2480" s="65" t="str">
        <f>IF(COUNTA(A2480:G2480)=0,"",IF(AND(ISNUMBER(D2480),ISNUMBER(J2480)),ROUND(D2480*J2480*(1-N(F2480)),2),0))</f>
        <v/>
      </c>
      <c r="M2480" s="62" t="str">
        <f>IF(A2480="","",IFERROR(INDEX(fa_cname,MATCH(A2480,fa_num,0))&amp;"",""))</f>
        <v/>
      </c>
      <c r="N2480" s="59" t="str">
        <f>IF(COUNTA(A2480:G2480)=0,"",IF(A2480="","N° facture manquant",IF(ISNA(MATCH(A2480,fa_num,0)),"Facture inconnue",IF(AND(B2480&lt;&gt;"",ISNA(MATCH(B2480,pr_code,0))),"Article inconnu",IF(H2480="","Désignation manquante",IF(OR(NOT(ISNUMBER(D2480)),N(D2480)&lt;=0),"Quantité invalide",IF(J2480="","Prix manquant",IF(OR(NOT(ISNUMBER(J2480)),N(J2480)&lt;0),"Prix invalide",IF(OR(AND(F2480&lt;&gt;"",NOT(ISNUMBER(F2480))),N(F2480)&lt;0,N(F2480)&gt;1),"Remise invalide",IF(K2480="","Taux de TVA manquant",IF(NOT(ISNUMBER(K2480)),"Taux de TVA invalide",IF(COUNTIF(p_rates,K2480)=0,"Taux de TVA hors liste (Paramètres)",IF(N(O2480)&gt;25,"Au-delà de 25 lignes : non imprimée","OK")))))))))))))</f>
        <v/>
      </c>
      <c r="O2480" s="59" t="str">
        <f>IF(A2480="","",COUNTIF($A$6:A2480,A2480))</f>
        <v/>
      </c>
      <c r="P2480" s="62" t="str">
        <f>IF(A2480="","",A2480&amp;"|"&amp;O2480)</f>
        <v/>
      </c>
    </row>
    <row r="2481">
      <c r="A2481" s="60" t="n"/>
      <c r="B2481" s="63" t="n"/>
      <c r="C2481" s="63" t="n"/>
      <c r="D2481" s="67" t="n"/>
      <c r="E2481" s="68" t="n"/>
      <c r="F2481" s="69" t="n"/>
      <c r="G2481" s="70" t="n"/>
      <c r="H2481" s="62" t="str">
        <f>IF(COUNTA(A2481:G2481)=0,"",IF(C2481&lt;&gt;"",C2481,IF(B2481="","",IFERROR(INDEX(pr_des,MATCH(B2481,pr_code,0))&amp;"",""))))</f>
        <v/>
      </c>
      <c r="I2481" s="59" t="str">
        <f>IF(B2481="","",IFERROR(INDEX(pr_unit,MATCH(B2481,pr_code,0))&amp;"",""))</f>
        <v/>
      </c>
      <c r="J2481" s="65" t="str">
        <f>IF(COUNTA(A2481:G2481)=0,"",IF(E2481&lt;&gt;"",E2481,IF(B2481="","",IFERROR(IF(INDEX(pr_price,MATCH(B2481,pr_code,0))="","",INDEX(pr_price,MATCH(B2481,pr_code,0))),""))))</f>
        <v/>
      </c>
      <c r="K2481" s="71" t="str">
        <f>IF(COUNTA(A2481:G2481)=0,"",IF(G2481&lt;&gt;"",G2481,IF(B2481="","",IFERROR(IF(INDEX(pr_rate,MATCH(B2481,pr_code,0))="","",INDEX(pr_rate,MATCH(B2481,pr_code,0))),""))))</f>
        <v/>
      </c>
      <c r="L2481" s="65" t="str">
        <f>IF(COUNTA(A2481:G2481)=0,"",IF(AND(ISNUMBER(D2481),ISNUMBER(J2481)),ROUND(D2481*J2481*(1-N(F2481)),2),0))</f>
        <v/>
      </c>
      <c r="M2481" s="62" t="str">
        <f>IF(A2481="","",IFERROR(INDEX(fa_cname,MATCH(A2481,fa_num,0))&amp;"",""))</f>
        <v/>
      </c>
      <c r="N2481" s="59" t="str">
        <f>IF(COUNTA(A2481:G2481)=0,"",IF(A2481="","N° facture manquant",IF(ISNA(MATCH(A2481,fa_num,0)),"Facture inconnue",IF(AND(B2481&lt;&gt;"",ISNA(MATCH(B2481,pr_code,0))),"Article inconnu",IF(H2481="","Désignation manquante",IF(OR(NOT(ISNUMBER(D2481)),N(D2481)&lt;=0),"Quantité invalide",IF(J2481="","Prix manquant",IF(OR(NOT(ISNUMBER(J2481)),N(J2481)&lt;0),"Prix invalide",IF(OR(AND(F2481&lt;&gt;"",NOT(ISNUMBER(F2481))),N(F2481)&lt;0,N(F2481)&gt;1),"Remise invalide",IF(K2481="","Taux de TVA manquant",IF(NOT(ISNUMBER(K2481)),"Taux de TVA invalide",IF(COUNTIF(p_rates,K2481)=0,"Taux de TVA hors liste (Paramètres)",IF(N(O2481)&gt;25,"Au-delà de 25 lignes : non imprimée","OK")))))))))))))</f>
        <v/>
      </c>
      <c r="O2481" s="59" t="str">
        <f>IF(A2481="","",COUNTIF($A$6:A2481,A2481))</f>
        <v/>
      </c>
      <c r="P2481" s="62" t="str">
        <f>IF(A2481="","",A2481&amp;"|"&amp;O2481)</f>
        <v/>
      </c>
    </row>
    <row r="2482">
      <c r="A2482" s="60" t="n"/>
      <c r="B2482" s="63" t="n"/>
      <c r="C2482" s="63" t="n"/>
      <c r="D2482" s="67" t="n"/>
      <c r="E2482" s="68" t="n"/>
      <c r="F2482" s="69" t="n"/>
      <c r="G2482" s="70" t="n"/>
      <c r="H2482" s="62" t="str">
        <f>IF(COUNTA(A2482:G2482)=0,"",IF(C2482&lt;&gt;"",C2482,IF(B2482="","",IFERROR(INDEX(pr_des,MATCH(B2482,pr_code,0))&amp;"",""))))</f>
        <v/>
      </c>
      <c r="I2482" s="59" t="str">
        <f>IF(B2482="","",IFERROR(INDEX(pr_unit,MATCH(B2482,pr_code,0))&amp;"",""))</f>
        <v/>
      </c>
      <c r="J2482" s="65" t="str">
        <f>IF(COUNTA(A2482:G2482)=0,"",IF(E2482&lt;&gt;"",E2482,IF(B2482="","",IFERROR(IF(INDEX(pr_price,MATCH(B2482,pr_code,0))="","",INDEX(pr_price,MATCH(B2482,pr_code,0))),""))))</f>
        <v/>
      </c>
      <c r="K2482" s="71" t="str">
        <f>IF(COUNTA(A2482:G2482)=0,"",IF(G2482&lt;&gt;"",G2482,IF(B2482="","",IFERROR(IF(INDEX(pr_rate,MATCH(B2482,pr_code,0))="","",INDEX(pr_rate,MATCH(B2482,pr_code,0))),""))))</f>
        <v/>
      </c>
      <c r="L2482" s="65" t="str">
        <f>IF(COUNTA(A2482:G2482)=0,"",IF(AND(ISNUMBER(D2482),ISNUMBER(J2482)),ROUND(D2482*J2482*(1-N(F2482)),2),0))</f>
        <v/>
      </c>
      <c r="M2482" s="62" t="str">
        <f>IF(A2482="","",IFERROR(INDEX(fa_cname,MATCH(A2482,fa_num,0))&amp;"",""))</f>
        <v/>
      </c>
      <c r="N2482" s="59" t="str">
        <f>IF(COUNTA(A2482:G2482)=0,"",IF(A2482="","N° facture manquant",IF(ISNA(MATCH(A2482,fa_num,0)),"Facture inconnue",IF(AND(B2482&lt;&gt;"",ISNA(MATCH(B2482,pr_code,0))),"Article inconnu",IF(H2482="","Désignation manquante",IF(OR(NOT(ISNUMBER(D2482)),N(D2482)&lt;=0),"Quantité invalide",IF(J2482="","Prix manquant",IF(OR(NOT(ISNUMBER(J2482)),N(J2482)&lt;0),"Prix invalide",IF(OR(AND(F2482&lt;&gt;"",NOT(ISNUMBER(F2482))),N(F2482)&lt;0,N(F2482)&gt;1),"Remise invalide",IF(K2482="","Taux de TVA manquant",IF(NOT(ISNUMBER(K2482)),"Taux de TVA invalide",IF(COUNTIF(p_rates,K2482)=0,"Taux de TVA hors liste (Paramètres)",IF(N(O2482)&gt;25,"Au-delà de 25 lignes : non imprimée","OK")))))))))))))</f>
        <v/>
      </c>
      <c r="O2482" s="59" t="str">
        <f>IF(A2482="","",COUNTIF($A$6:A2482,A2482))</f>
        <v/>
      </c>
      <c r="P2482" s="62" t="str">
        <f>IF(A2482="","",A2482&amp;"|"&amp;O2482)</f>
        <v/>
      </c>
    </row>
    <row r="2483">
      <c r="A2483" s="60" t="n"/>
      <c r="B2483" s="63" t="n"/>
      <c r="C2483" s="63" t="n"/>
      <c r="D2483" s="67" t="n"/>
      <c r="E2483" s="68" t="n"/>
      <c r="F2483" s="69" t="n"/>
      <c r="G2483" s="70" t="n"/>
      <c r="H2483" s="62" t="str">
        <f>IF(COUNTA(A2483:G2483)=0,"",IF(C2483&lt;&gt;"",C2483,IF(B2483="","",IFERROR(INDEX(pr_des,MATCH(B2483,pr_code,0))&amp;"",""))))</f>
        <v/>
      </c>
      <c r="I2483" s="59" t="str">
        <f>IF(B2483="","",IFERROR(INDEX(pr_unit,MATCH(B2483,pr_code,0))&amp;"",""))</f>
        <v/>
      </c>
      <c r="J2483" s="65" t="str">
        <f>IF(COUNTA(A2483:G2483)=0,"",IF(E2483&lt;&gt;"",E2483,IF(B2483="","",IFERROR(IF(INDEX(pr_price,MATCH(B2483,pr_code,0))="","",INDEX(pr_price,MATCH(B2483,pr_code,0))),""))))</f>
        <v/>
      </c>
      <c r="K2483" s="71" t="str">
        <f>IF(COUNTA(A2483:G2483)=0,"",IF(G2483&lt;&gt;"",G2483,IF(B2483="","",IFERROR(IF(INDEX(pr_rate,MATCH(B2483,pr_code,0))="","",INDEX(pr_rate,MATCH(B2483,pr_code,0))),""))))</f>
        <v/>
      </c>
      <c r="L2483" s="65" t="str">
        <f>IF(COUNTA(A2483:G2483)=0,"",IF(AND(ISNUMBER(D2483),ISNUMBER(J2483)),ROUND(D2483*J2483*(1-N(F2483)),2),0))</f>
        <v/>
      </c>
      <c r="M2483" s="62" t="str">
        <f>IF(A2483="","",IFERROR(INDEX(fa_cname,MATCH(A2483,fa_num,0))&amp;"",""))</f>
        <v/>
      </c>
      <c r="N2483" s="59" t="str">
        <f>IF(COUNTA(A2483:G2483)=0,"",IF(A2483="","N° facture manquant",IF(ISNA(MATCH(A2483,fa_num,0)),"Facture inconnue",IF(AND(B2483&lt;&gt;"",ISNA(MATCH(B2483,pr_code,0))),"Article inconnu",IF(H2483="","Désignation manquante",IF(OR(NOT(ISNUMBER(D2483)),N(D2483)&lt;=0),"Quantité invalide",IF(J2483="","Prix manquant",IF(OR(NOT(ISNUMBER(J2483)),N(J2483)&lt;0),"Prix invalide",IF(OR(AND(F2483&lt;&gt;"",NOT(ISNUMBER(F2483))),N(F2483)&lt;0,N(F2483)&gt;1),"Remise invalide",IF(K2483="","Taux de TVA manquant",IF(NOT(ISNUMBER(K2483)),"Taux de TVA invalide",IF(COUNTIF(p_rates,K2483)=0,"Taux de TVA hors liste (Paramètres)",IF(N(O2483)&gt;25,"Au-delà de 25 lignes : non imprimée","OK")))))))))))))</f>
        <v/>
      </c>
      <c r="O2483" s="59" t="str">
        <f>IF(A2483="","",COUNTIF($A$6:A2483,A2483))</f>
        <v/>
      </c>
      <c r="P2483" s="62" t="str">
        <f>IF(A2483="","",A2483&amp;"|"&amp;O2483)</f>
        <v/>
      </c>
    </row>
    <row r="2484">
      <c r="A2484" s="60" t="n"/>
      <c r="B2484" s="63" t="n"/>
      <c r="C2484" s="63" t="n"/>
      <c r="D2484" s="67" t="n"/>
      <c r="E2484" s="68" t="n"/>
      <c r="F2484" s="69" t="n"/>
      <c r="G2484" s="70" t="n"/>
      <c r="H2484" s="62" t="str">
        <f>IF(COUNTA(A2484:G2484)=0,"",IF(C2484&lt;&gt;"",C2484,IF(B2484="","",IFERROR(INDEX(pr_des,MATCH(B2484,pr_code,0))&amp;"",""))))</f>
        <v/>
      </c>
      <c r="I2484" s="59" t="str">
        <f>IF(B2484="","",IFERROR(INDEX(pr_unit,MATCH(B2484,pr_code,0))&amp;"",""))</f>
        <v/>
      </c>
      <c r="J2484" s="65" t="str">
        <f>IF(COUNTA(A2484:G2484)=0,"",IF(E2484&lt;&gt;"",E2484,IF(B2484="","",IFERROR(IF(INDEX(pr_price,MATCH(B2484,pr_code,0))="","",INDEX(pr_price,MATCH(B2484,pr_code,0))),""))))</f>
        <v/>
      </c>
      <c r="K2484" s="71" t="str">
        <f>IF(COUNTA(A2484:G2484)=0,"",IF(G2484&lt;&gt;"",G2484,IF(B2484="","",IFERROR(IF(INDEX(pr_rate,MATCH(B2484,pr_code,0))="","",INDEX(pr_rate,MATCH(B2484,pr_code,0))),""))))</f>
        <v/>
      </c>
      <c r="L2484" s="65" t="str">
        <f>IF(COUNTA(A2484:G2484)=0,"",IF(AND(ISNUMBER(D2484),ISNUMBER(J2484)),ROUND(D2484*J2484*(1-N(F2484)),2),0))</f>
        <v/>
      </c>
      <c r="M2484" s="62" t="str">
        <f>IF(A2484="","",IFERROR(INDEX(fa_cname,MATCH(A2484,fa_num,0))&amp;"",""))</f>
        <v/>
      </c>
      <c r="N2484" s="59" t="str">
        <f>IF(COUNTA(A2484:G2484)=0,"",IF(A2484="","N° facture manquant",IF(ISNA(MATCH(A2484,fa_num,0)),"Facture inconnue",IF(AND(B2484&lt;&gt;"",ISNA(MATCH(B2484,pr_code,0))),"Article inconnu",IF(H2484="","Désignation manquante",IF(OR(NOT(ISNUMBER(D2484)),N(D2484)&lt;=0),"Quantité invalide",IF(J2484="","Prix manquant",IF(OR(NOT(ISNUMBER(J2484)),N(J2484)&lt;0),"Prix invalide",IF(OR(AND(F2484&lt;&gt;"",NOT(ISNUMBER(F2484))),N(F2484)&lt;0,N(F2484)&gt;1),"Remise invalide",IF(K2484="","Taux de TVA manquant",IF(NOT(ISNUMBER(K2484)),"Taux de TVA invalide",IF(COUNTIF(p_rates,K2484)=0,"Taux de TVA hors liste (Paramètres)",IF(N(O2484)&gt;25,"Au-delà de 25 lignes : non imprimée","OK")))))))))))))</f>
        <v/>
      </c>
      <c r="O2484" s="59" t="str">
        <f>IF(A2484="","",COUNTIF($A$6:A2484,A2484))</f>
        <v/>
      </c>
      <c r="P2484" s="62" t="str">
        <f>IF(A2484="","",A2484&amp;"|"&amp;O2484)</f>
        <v/>
      </c>
    </row>
    <row r="2485">
      <c r="A2485" s="60" t="n"/>
      <c r="B2485" s="63" t="n"/>
      <c r="C2485" s="63" t="n"/>
      <c r="D2485" s="67" t="n"/>
      <c r="E2485" s="68" t="n"/>
      <c r="F2485" s="69" t="n"/>
      <c r="G2485" s="70" t="n"/>
      <c r="H2485" s="62" t="str">
        <f>IF(COUNTA(A2485:G2485)=0,"",IF(C2485&lt;&gt;"",C2485,IF(B2485="","",IFERROR(INDEX(pr_des,MATCH(B2485,pr_code,0))&amp;"",""))))</f>
        <v/>
      </c>
      <c r="I2485" s="59" t="str">
        <f>IF(B2485="","",IFERROR(INDEX(pr_unit,MATCH(B2485,pr_code,0))&amp;"",""))</f>
        <v/>
      </c>
      <c r="J2485" s="65" t="str">
        <f>IF(COUNTA(A2485:G2485)=0,"",IF(E2485&lt;&gt;"",E2485,IF(B2485="","",IFERROR(IF(INDEX(pr_price,MATCH(B2485,pr_code,0))="","",INDEX(pr_price,MATCH(B2485,pr_code,0))),""))))</f>
        <v/>
      </c>
      <c r="K2485" s="71" t="str">
        <f>IF(COUNTA(A2485:G2485)=0,"",IF(G2485&lt;&gt;"",G2485,IF(B2485="","",IFERROR(IF(INDEX(pr_rate,MATCH(B2485,pr_code,0))="","",INDEX(pr_rate,MATCH(B2485,pr_code,0))),""))))</f>
        <v/>
      </c>
      <c r="L2485" s="65" t="str">
        <f>IF(COUNTA(A2485:G2485)=0,"",IF(AND(ISNUMBER(D2485),ISNUMBER(J2485)),ROUND(D2485*J2485*(1-N(F2485)),2),0))</f>
        <v/>
      </c>
      <c r="M2485" s="62" t="str">
        <f>IF(A2485="","",IFERROR(INDEX(fa_cname,MATCH(A2485,fa_num,0))&amp;"",""))</f>
        <v/>
      </c>
      <c r="N2485" s="59" t="str">
        <f>IF(COUNTA(A2485:G2485)=0,"",IF(A2485="","N° facture manquant",IF(ISNA(MATCH(A2485,fa_num,0)),"Facture inconnue",IF(AND(B2485&lt;&gt;"",ISNA(MATCH(B2485,pr_code,0))),"Article inconnu",IF(H2485="","Désignation manquante",IF(OR(NOT(ISNUMBER(D2485)),N(D2485)&lt;=0),"Quantité invalide",IF(J2485="","Prix manquant",IF(OR(NOT(ISNUMBER(J2485)),N(J2485)&lt;0),"Prix invalide",IF(OR(AND(F2485&lt;&gt;"",NOT(ISNUMBER(F2485))),N(F2485)&lt;0,N(F2485)&gt;1),"Remise invalide",IF(K2485="","Taux de TVA manquant",IF(NOT(ISNUMBER(K2485)),"Taux de TVA invalide",IF(COUNTIF(p_rates,K2485)=0,"Taux de TVA hors liste (Paramètres)",IF(N(O2485)&gt;25,"Au-delà de 25 lignes : non imprimée","OK")))))))))))))</f>
        <v/>
      </c>
      <c r="O2485" s="59" t="str">
        <f>IF(A2485="","",COUNTIF($A$6:A2485,A2485))</f>
        <v/>
      </c>
      <c r="P2485" s="62" t="str">
        <f>IF(A2485="","",A2485&amp;"|"&amp;O2485)</f>
        <v/>
      </c>
    </row>
    <row r="2486">
      <c r="A2486" s="60" t="n"/>
      <c r="B2486" s="63" t="n"/>
      <c r="C2486" s="63" t="n"/>
      <c r="D2486" s="67" t="n"/>
      <c r="E2486" s="68" t="n"/>
      <c r="F2486" s="69" t="n"/>
      <c r="G2486" s="70" t="n"/>
      <c r="H2486" s="62" t="str">
        <f>IF(COUNTA(A2486:G2486)=0,"",IF(C2486&lt;&gt;"",C2486,IF(B2486="","",IFERROR(INDEX(pr_des,MATCH(B2486,pr_code,0))&amp;"",""))))</f>
        <v/>
      </c>
      <c r="I2486" s="59" t="str">
        <f>IF(B2486="","",IFERROR(INDEX(pr_unit,MATCH(B2486,pr_code,0))&amp;"",""))</f>
        <v/>
      </c>
      <c r="J2486" s="65" t="str">
        <f>IF(COUNTA(A2486:G2486)=0,"",IF(E2486&lt;&gt;"",E2486,IF(B2486="","",IFERROR(IF(INDEX(pr_price,MATCH(B2486,pr_code,0))="","",INDEX(pr_price,MATCH(B2486,pr_code,0))),""))))</f>
        <v/>
      </c>
      <c r="K2486" s="71" t="str">
        <f>IF(COUNTA(A2486:G2486)=0,"",IF(G2486&lt;&gt;"",G2486,IF(B2486="","",IFERROR(IF(INDEX(pr_rate,MATCH(B2486,pr_code,0))="","",INDEX(pr_rate,MATCH(B2486,pr_code,0))),""))))</f>
        <v/>
      </c>
      <c r="L2486" s="65" t="str">
        <f>IF(COUNTA(A2486:G2486)=0,"",IF(AND(ISNUMBER(D2486),ISNUMBER(J2486)),ROUND(D2486*J2486*(1-N(F2486)),2),0))</f>
        <v/>
      </c>
      <c r="M2486" s="62" t="str">
        <f>IF(A2486="","",IFERROR(INDEX(fa_cname,MATCH(A2486,fa_num,0))&amp;"",""))</f>
        <v/>
      </c>
      <c r="N2486" s="59" t="str">
        <f>IF(COUNTA(A2486:G2486)=0,"",IF(A2486="","N° facture manquant",IF(ISNA(MATCH(A2486,fa_num,0)),"Facture inconnue",IF(AND(B2486&lt;&gt;"",ISNA(MATCH(B2486,pr_code,0))),"Article inconnu",IF(H2486="","Désignation manquante",IF(OR(NOT(ISNUMBER(D2486)),N(D2486)&lt;=0),"Quantité invalide",IF(J2486="","Prix manquant",IF(OR(NOT(ISNUMBER(J2486)),N(J2486)&lt;0),"Prix invalide",IF(OR(AND(F2486&lt;&gt;"",NOT(ISNUMBER(F2486))),N(F2486)&lt;0,N(F2486)&gt;1),"Remise invalide",IF(K2486="","Taux de TVA manquant",IF(NOT(ISNUMBER(K2486)),"Taux de TVA invalide",IF(COUNTIF(p_rates,K2486)=0,"Taux de TVA hors liste (Paramètres)",IF(N(O2486)&gt;25,"Au-delà de 25 lignes : non imprimée","OK")))))))))))))</f>
        <v/>
      </c>
      <c r="O2486" s="59" t="str">
        <f>IF(A2486="","",COUNTIF($A$6:A2486,A2486))</f>
        <v/>
      </c>
      <c r="P2486" s="62" t="str">
        <f>IF(A2486="","",A2486&amp;"|"&amp;O2486)</f>
        <v/>
      </c>
    </row>
    <row r="2487">
      <c r="A2487" s="60" t="n"/>
      <c r="B2487" s="63" t="n"/>
      <c r="C2487" s="63" t="n"/>
      <c r="D2487" s="67" t="n"/>
      <c r="E2487" s="68" t="n"/>
      <c r="F2487" s="69" t="n"/>
      <c r="G2487" s="70" t="n"/>
      <c r="H2487" s="62" t="str">
        <f>IF(COUNTA(A2487:G2487)=0,"",IF(C2487&lt;&gt;"",C2487,IF(B2487="","",IFERROR(INDEX(pr_des,MATCH(B2487,pr_code,0))&amp;"",""))))</f>
        <v/>
      </c>
      <c r="I2487" s="59" t="str">
        <f>IF(B2487="","",IFERROR(INDEX(pr_unit,MATCH(B2487,pr_code,0))&amp;"",""))</f>
        <v/>
      </c>
      <c r="J2487" s="65" t="str">
        <f>IF(COUNTA(A2487:G2487)=0,"",IF(E2487&lt;&gt;"",E2487,IF(B2487="","",IFERROR(IF(INDEX(pr_price,MATCH(B2487,pr_code,0))="","",INDEX(pr_price,MATCH(B2487,pr_code,0))),""))))</f>
        <v/>
      </c>
      <c r="K2487" s="71" t="str">
        <f>IF(COUNTA(A2487:G2487)=0,"",IF(G2487&lt;&gt;"",G2487,IF(B2487="","",IFERROR(IF(INDEX(pr_rate,MATCH(B2487,pr_code,0))="","",INDEX(pr_rate,MATCH(B2487,pr_code,0))),""))))</f>
        <v/>
      </c>
      <c r="L2487" s="65" t="str">
        <f>IF(COUNTA(A2487:G2487)=0,"",IF(AND(ISNUMBER(D2487),ISNUMBER(J2487)),ROUND(D2487*J2487*(1-N(F2487)),2),0))</f>
        <v/>
      </c>
      <c r="M2487" s="62" t="str">
        <f>IF(A2487="","",IFERROR(INDEX(fa_cname,MATCH(A2487,fa_num,0))&amp;"",""))</f>
        <v/>
      </c>
      <c r="N2487" s="59" t="str">
        <f>IF(COUNTA(A2487:G2487)=0,"",IF(A2487="","N° facture manquant",IF(ISNA(MATCH(A2487,fa_num,0)),"Facture inconnue",IF(AND(B2487&lt;&gt;"",ISNA(MATCH(B2487,pr_code,0))),"Article inconnu",IF(H2487="","Désignation manquante",IF(OR(NOT(ISNUMBER(D2487)),N(D2487)&lt;=0),"Quantité invalide",IF(J2487="","Prix manquant",IF(OR(NOT(ISNUMBER(J2487)),N(J2487)&lt;0),"Prix invalide",IF(OR(AND(F2487&lt;&gt;"",NOT(ISNUMBER(F2487))),N(F2487)&lt;0,N(F2487)&gt;1),"Remise invalide",IF(K2487="","Taux de TVA manquant",IF(NOT(ISNUMBER(K2487)),"Taux de TVA invalide",IF(COUNTIF(p_rates,K2487)=0,"Taux de TVA hors liste (Paramètres)",IF(N(O2487)&gt;25,"Au-delà de 25 lignes : non imprimée","OK")))))))))))))</f>
        <v/>
      </c>
      <c r="O2487" s="59" t="str">
        <f>IF(A2487="","",COUNTIF($A$6:A2487,A2487))</f>
        <v/>
      </c>
      <c r="P2487" s="62" t="str">
        <f>IF(A2487="","",A2487&amp;"|"&amp;O2487)</f>
        <v/>
      </c>
    </row>
    <row r="2488">
      <c r="A2488" s="60" t="n"/>
      <c r="B2488" s="63" t="n"/>
      <c r="C2488" s="63" t="n"/>
      <c r="D2488" s="67" t="n"/>
      <c r="E2488" s="68" t="n"/>
      <c r="F2488" s="69" t="n"/>
      <c r="G2488" s="70" t="n"/>
      <c r="H2488" s="62" t="str">
        <f>IF(COUNTA(A2488:G2488)=0,"",IF(C2488&lt;&gt;"",C2488,IF(B2488="","",IFERROR(INDEX(pr_des,MATCH(B2488,pr_code,0))&amp;"",""))))</f>
        <v/>
      </c>
      <c r="I2488" s="59" t="str">
        <f>IF(B2488="","",IFERROR(INDEX(pr_unit,MATCH(B2488,pr_code,0))&amp;"",""))</f>
        <v/>
      </c>
      <c r="J2488" s="65" t="str">
        <f>IF(COUNTA(A2488:G2488)=0,"",IF(E2488&lt;&gt;"",E2488,IF(B2488="","",IFERROR(IF(INDEX(pr_price,MATCH(B2488,pr_code,0))="","",INDEX(pr_price,MATCH(B2488,pr_code,0))),""))))</f>
        <v/>
      </c>
      <c r="K2488" s="71" t="str">
        <f>IF(COUNTA(A2488:G2488)=0,"",IF(G2488&lt;&gt;"",G2488,IF(B2488="","",IFERROR(IF(INDEX(pr_rate,MATCH(B2488,pr_code,0))="","",INDEX(pr_rate,MATCH(B2488,pr_code,0))),""))))</f>
        <v/>
      </c>
      <c r="L2488" s="65" t="str">
        <f>IF(COUNTA(A2488:G2488)=0,"",IF(AND(ISNUMBER(D2488),ISNUMBER(J2488)),ROUND(D2488*J2488*(1-N(F2488)),2),0))</f>
        <v/>
      </c>
      <c r="M2488" s="62" t="str">
        <f>IF(A2488="","",IFERROR(INDEX(fa_cname,MATCH(A2488,fa_num,0))&amp;"",""))</f>
        <v/>
      </c>
      <c r="N2488" s="59" t="str">
        <f>IF(COUNTA(A2488:G2488)=0,"",IF(A2488="","N° facture manquant",IF(ISNA(MATCH(A2488,fa_num,0)),"Facture inconnue",IF(AND(B2488&lt;&gt;"",ISNA(MATCH(B2488,pr_code,0))),"Article inconnu",IF(H2488="","Désignation manquante",IF(OR(NOT(ISNUMBER(D2488)),N(D2488)&lt;=0),"Quantité invalide",IF(J2488="","Prix manquant",IF(OR(NOT(ISNUMBER(J2488)),N(J2488)&lt;0),"Prix invalide",IF(OR(AND(F2488&lt;&gt;"",NOT(ISNUMBER(F2488))),N(F2488)&lt;0,N(F2488)&gt;1),"Remise invalide",IF(K2488="","Taux de TVA manquant",IF(NOT(ISNUMBER(K2488)),"Taux de TVA invalide",IF(COUNTIF(p_rates,K2488)=0,"Taux de TVA hors liste (Paramètres)",IF(N(O2488)&gt;25,"Au-delà de 25 lignes : non imprimée","OK")))))))))))))</f>
        <v/>
      </c>
      <c r="O2488" s="59" t="str">
        <f>IF(A2488="","",COUNTIF($A$6:A2488,A2488))</f>
        <v/>
      </c>
      <c r="P2488" s="62" t="str">
        <f>IF(A2488="","",A2488&amp;"|"&amp;O2488)</f>
        <v/>
      </c>
    </row>
    <row r="2489">
      <c r="A2489" s="60" t="n"/>
      <c r="B2489" s="63" t="n"/>
      <c r="C2489" s="63" t="n"/>
      <c r="D2489" s="67" t="n"/>
      <c r="E2489" s="68" t="n"/>
      <c r="F2489" s="69" t="n"/>
      <c r="G2489" s="70" t="n"/>
      <c r="H2489" s="62" t="str">
        <f>IF(COUNTA(A2489:G2489)=0,"",IF(C2489&lt;&gt;"",C2489,IF(B2489="","",IFERROR(INDEX(pr_des,MATCH(B2489,pr_code,0))&amp;"",""))))</f>
        <v/>
      </c>
      <c r="I2489" s="59" t="str">
        <f>IF(B2489="","",IFERROR(INDEX(pr_unit,MATCH(B2489,pr_code,0))&amp;"",""))</f>
        <v/>
      </c>
      <c r="J2489" s="65" t="str">
        <f>IF(COUNTA(A2489:G2489)=0,"",IF(E2489&lt;&gt;"",E2489,IF(B2489="","",IFERROR(IF(INDEX(pr_price,MATCH(B2489,pr_code,0))="","",INDEX(pr_price,MATCH(B2489,pr_code,0))),""))))</f>
        <v/>
      </c>
      <c r="K2489" s="71" t="str">
        <f>IF(COUNTA(A2489:G2489)=0,"",IF(G2489&lt;&gt;"",G2489,IF(B2489="","",IFERROR(IF(INDEX(pr_rate,MATCH(B2489,pr_code,0))="","",INDEX(pr_rate,MATCH(B2489,pr_code,0))),""))))</f>
        <v/>
      </c>
      <c r="L2489" s="65" t="str">
        <f>IF(COUNTA(A2489:G2489)=0,"",IF(AND(ISNUMBER(D2489),ISNUMBER(J2489)),ROUND(D2489*J2489*(1-N(F2489)),2),0))</f>
        <v/>
      </c>
      <c r="M2489" s="62" t="str">
        <f>IF(A2489="","",IFERROR(INDEX(fa_cname,MATCH(A2489,fa_num,0))&amp;"",""))</f>
        <v/>
      </c>
      <c r="N2489" s="59" t="str">
        <f>IF(COUNTA(A2489:G2489)=0,"",IF(A2489="","N° facture manquant",IF(ISNA(MATCH(A2489,fa_num,0)),"Facture inconnue",IF(AND(B2489&lt;&gt;"",ISNA(MATCH(B2489,pr_code,0))),"Article inconnu",IF(H2489="","Désignation manquante",IF(OR(NOT(ISNUMBER(D2489)),N(D2489)&lt;=0),"Quantité invalide",IF(J2489="","Prix manquant",IF(OR(NOT(ISNUMBER(J2489)),N(J2489)&lt;0),"Prix invalide",IF(OR(AND(F2489&lt;&gt;"",NOT(ISNUMBER(F2489))),N(F2489)&lt;0,N(F2489)&gt;1),"Remise invalide",IF(K2489="","Taux de TVA manquant",IF(NOT(ISNUMBER(K2489)),"Taux de TVA invalide",IF(COUNTIF(p_rates,K2489)=0,"Taux de TVA hors liste (Paramètres)",IF(N(O2489)&gt;25,"Au-delà de 25 lignes : non imprimée","OK")))))))))))))</f>
        <v/>
      </c>
      <c r="O2489" s="59" t="str">
        <f>IF(A2489="","",COUNTIF($A$6:A2489,A2489))</f>
        <v/>
      </c>
      <c r="P2489" s="62" t="str">
        <f>IF(A2489="","",A2489&amp;"|"&amp;O2489)</f>
        <v/>
      </c>
    </row>
    <row r="2490">
      <c r="A2490" s="60" t="n"/>
      <c r="B2490" s="63" t="n"/>
      <c r="C2490" s="63" t="n"/>
      <c r="D2490" s="67" t="n"/>
      <c r="E2490" s="68" t="n"/>
      <c r="F2490" s="69" t="n"/>
      <c r="G2490" s="70" t="n"/>
      <c r="H2490" s="62" t="str">
        <f>IF(COUNTA(A2490:G2490)=0,"",IF(C2490&lt;&gt;"",C2490,IF(B2490="","",IFERROR(INDEX(pr_des,MATCH(B2490,pr_code,0))&amp;"",""))))</f>
        <v/>
      </c>
      <c r="I2490" s="59" t="str">
        <f>IF(B2490="","",IFERROR(INDEX(pr_unit,MATCH(B2490,pr_code,0))&amp;"",""))</f>
        <v/>
      </c>
      <c r="J2490" s="65" t="str">
        <f>IF(COUNTA(A2490:G2490)=0,"",IF(E2490&lt;&gt;"",E2490,IF(B2490="","",IFERROR(IF(INDEX(pr_price,MATCH(B2490,pr_code,0))="","",INDEX(pr_price,MATCH(B2490,pr_code,0))),""))))</f>
        <v/>
      </c>
      <c r="K2490" s="71" t="str">
        <f>IF(COUNTA(A2490:G2490)=0,"",IF(G2490&lt;&gt;"",G2490,IF(B2490="","",IFERROR(IF(INDEX(pr_rate,MATCH(B2490,pr_code,0))="","",INDEX(pr_rate,MATCH(B2490,pr_code,0))),""))))</f>
        <v/>
      </c>
      <c r="L2490" s="65" t="str">
        <f>IF(COUNTA(A2490:G2490)=0,"",IF(AND(ISNUMBER(D2490),ISNUMBER(J2490)),ROUND(D2490*J2490*(1-N(F2490)),2),0))</f>
        <v/>
      </c>
      <c r="M2490" s="62" t="str">
        <f>IF(A2490="","",IFERROR(INDEX(fa_cname,MATCH(A2490,fa_num,0))&amp;"",""))</f>
        <v/>
      </c>
      <c r="N2490" s="59" t="str">
        <f>IF(COUNTA(A2490:G2490)=0,"",IF(A2490="","N° facture manquant",IF(ISNA(MATCH(A2490,fa_num,0)),"Facture inconnue",IF(AND(B2490&lt;&gt;"",ISNA(MATCH(B2490,pr_code,0))),"Article inconnu",IF(H2490="","Désignation manquante",IF(OR(NOT(ISNUMBER(D2490)),N(D2490)&lt;=0),"Quantité invalide",IF(J2490="","Prix manquant",IF(OR(NOT(ISNUMBER(J2490)),N(J2490)&lt;0),"Prix invalide",IF(OR(AND(F2490&lt;&gt;"",NOT(ISNUMBER(F2490))),N(F2490)&lt;0,N(F2490)&gt;1),"Remise invalide",IF(K2490="","Taux de TVA manquant",IF(NOT(ISNUMBER(K2490)),"Taux de TVA invalide",IF(COUNTIF(p_rates,K2490)=0,"Taux de TVA hors liste (Paramètres)",IF(N(O2490)&gt;25,"Au-delà de 25 lignes : non imprimée","OK")))))))))))))</f>
        <v/>
      </c>
      <c r="O2490" s="59" t="str">
        <f>IF(A2490="","",COUNTIF($A$6:A2490,A2490))</f>
        <v/>
      </c>
      <c r="P2490" s="62" t="str">
        <f>IF(A2490="","",A2490&amp;"|"&amp;O2490)</f>
        <v/>
      </c>
    </row>
    <row r="2491">
      <c r="A2491" s="60" t="n"/>
      <c r="B2491" s="63" t="n"/>
      <c r="C2491" s="63" t="n"/>
      <c r="D2491" s="67" t="n"/>
      <c r="E2491" s="68" t="n"/>
      <c r="F2491" s="69" t="n"/>
      <c r="G2491" s="70" t="n"/>
      <c r="H2491" s="62" t="str">
        <f>IF(COUNTA(A2491:G2491)=0,"",IF(C2491&lt;&gt;"",C2491,IF(B2491="","",IFERROR(INDEX(pr_des,MATCH(B2491,pr_code,0))&amp;"",""))))</f>
        <v/>
      </c>
      <c r="I2491" s="59" t="str">
        <f>IF(B2491="","",IFERROR(INDEX(pr_unit,MATCH(B2491,pr_code,0))&amp;"",""))</f>
        <v/>
      </c>
      <c r="J2491" s="65" t="str">
        <f>IF(COUNTA(A2491:G2491)=0,"",IF(E2491&lt;&gt;"",E2491,IF(B2491="","",IFERROR(IF(INDEX(pr_price,MATCH(B2491,pr_code,0))="","",INDEX(pr_price,MATCH(B2491,pr_code,0))),""))))</f>
        <v/>
      </c>
      <c r="K2491" s="71" t="str">
        <f>IF(COUNTA(A2491:G2491)=0,"",IF(G2491&lt;&gt;"",G2491,IF(B2491="","",IFERROR(IF(INDEX(pr_rate,MATCH(B2491,pr_code,0))="","",INDEX(pr_rate,MATCH(B2491,pr_code,0))),""))))</f>
        <v/>
      </c>
      <c r="L2491" s="65" t="str">
        <f>IF(COUNTA(A2491:G2491)=0,"",IF(AND(ISNUMBER(D2491),ISNUMBER(J2491)),ROUND(D2491*J2491*(1-N(F2491)),2),0))</f>
        <v/>
      </c>
      <c r="M2491" s="62" t="str">
        <f>IF(A2491="","",IFERROR(INDEX(fa_cname,MATCH(A2491,fa_num,0))&amp;"",""))</f>
        <v/>
      </c>
      <c r="N2491" s="59" t="str">
        <f>IF(COUNTA(A2491:G2491)=0,"",IF(A2491="","N° facture manquant",IF(ISNA(MATCH(A2491,fa_num,0)),"Facture inconnue",IF(AND(B2491&lt;&gt;"",ISNA(MATCH(B2491,pr_code,0))),"Article inconnu",IF(H2491="","Désignation manquante",IF(OR(NOT(ISNUMBER(D2491)),N(D2491)&lt;=0),"Quantité invalide",IF(J2491="","Prix manquant",IF(OR(NOT(ISNUMBER(J2491)),N(J2491)&lt;0),"Prix invalide",IF(OR(AND(F2491&lt;&gt;"",NOT(ISNUMBER(F2491))),N(F2491)&lt;0,N(F2491)&gt;1),"Remise invalide",IF(K2491="","Taux de TVA manquant",IF(NOT(ISNUMBER(K2491)),"Taux de TVA invalide",IF(COUNTIF(p_rates,K2491)=0,"Taux de TVA hors liste (Paramètres)",IF(N(O2491)&gt;25,"Au-delà de 25 lignes : non imprimée","OK")))))))))))))</f>
        <v/>
      </c>
      <c r="O2491" s="59" t="str">
        <f>IF(A2491="","",COUNTIF($A$6:A2491,A2491))</f>
        <v/>
      </c>
      <c r="P2491" s="62" t="str">
        <f>IF(A2491="","",A2491&amp;"|"&amp;O2491)</f>
        <v/>
      </c>
    </row>
    <row r="2492">
      <c r="A2492" s="60" t="n"/>
      <c r="B2492" s="63" t="n"/>
      <c r="C2492" s="63" t="n"/>
      <c r="D2492" s="67" t="n"/>
      <c r="E2492" s="68" t="n"/>
      <c r="F2492" s="69" t="n"/>
      <c r="G2492" s="70" t="n"/>
      <c r="H2492" s="62" t="str">
        <f>IF(COUNTA(A2492:G2492)=0,"",IF(C2492&lt;&gt;"",C2492,IF(B2492="","",IFERROR(INDEX(pr_des,MATCH(B2492,pr_code,0))&amp;"",""))))</f>
        <v/>
      </c>
      <c r="I2492" s="59" t="str">
        <f>IF(B2492="","",IFERROR(INDEX(pr_unit,MATCH(B2492,pr_code,0))&amp;"",""))</f>
        <v/>
      </c>
      <c r="J2492" s="65" t="str">
        <f>IF(COUNTA(A2492:G2492)=0,"",IF(E2492&lt;&gt;"",E2492,IF(B2492="","",IFERROR(IF(INDEX(pr_price,MATCH(B2492,pr_code,0))="","",INDEX(pr_price,MATCH(B2492,pr_code,0))),""))))</f>
        <v/>
      </c>
      <c r="K2492" s="71" t="str">
        <f>IF(COUNTA(A2492:G2492)=0,"",IF(G2492&lt;&gt;"",G2492,IF(B2492="","",IFERROR(IF(INDEX(pr_rate,MATCH(B2492,pr_code,0))="","",INDEX(pr_rate,MATCH(B2492,pr_code,0))),""))))</f>
        <v/>
      </c>
      <c r="L2492" s="65" t="str">
        <f>IF(COUNTA(A2492:G2492)=0,"",IF(AND(ISNUMBER(D2492),ISNUMBER(J2492)),ROUND(D2492*J2492*(1-N(F2492)),2),0))</f>
        <v/>
      </c>
      <c r="M2492" s="62" t="str">
        <f>IF(A2492="","",IFERROR(INDEX(fa_cname,MATCH(A2492,fa_num,0))&amp;"",""))</f>
        <v/>
      </c>
      <c r="N2492" s="59" t="str">
        <f>IF(COUNTA(A2492:G2492)=0,"",IF(A2492="","N° facture manquant",IF(ISNA(MATCH(A2492,fa_num,0)),"Facture inconnue",IF(AND(B2492&lt;&gt;"",ISNA(MATCH(B2492,pr_code,0))),"Article inconnu",IF(H2492="","Désignation manquante",IF(OR(NOT(ISNUMBER(D2492)),N(D2492)&lt;=0),"Quantité invalide",IF(J2492="","Prix manquant",IF(OR(NOT(ISNUMBER(J2492)),N(J2492)&lt;0),"Prix invalide",IF(OR(AND(F2492&lt;&gt;"",NOT(ISNUMBER(F2492))),N(F2492)&lt;0,N(F2492)&gt;1),"Remise invalide",IF(K2492="","Taux de TVA manquant",IF(NOT(ISNUMBER(K2492)),"Taux de TVA invalide",IF(COUNTIF(p_rates,K2492)=0,"Taux de TVA hors liste (Paramètres)",IF(N(O2492)&gt;25,"Au-delà de 25 lignes : non imprimée","OK")))))))))))))</f>
        <v/>
      </c>
      <c r="O2492" s="59" t="str">
        <f>IF(A2492="","",COUNTIF($A$6:A2492,A2492))</f>
        <v/>
      </c>
      <c r="P2492" s="62" t="str">
        <f>IF(A2492="","",A2492&amp;"|"&amp;O2492)</f>
        <v/>
      </c>
    </row>
    <row r="2493">
      <c r="A2493" s="60" t="n"/>
      <c r="B2493" s="63" t="n"/>
      <c r="C2493" s="63" t="n"/>
      <c r="D2493" s="67" t="n"/>
      <c r="E2493" s="68" t="n"/>
      <c r="F2493" s="69" t="n"/>
      <c r="G2493" s="70" t="n"/>
      <c r="H2493" s="62" t="str">
        <f>IF(COUNTA(A2493:G2493)=0,"",IF(C2493&lt;&gt;"",C2493,IF(B2493="","",IFERROR(INDEX(pr_des,MATCH(B2493,pr_code,0))&amp;"",""))))</f>
        <v/>
      </c>
      <c r="I2493" s="59" t="str">
        <f>IF(B2493="","",IFERROR(INDEX(pr_unit,MATCH(B2493,pr_code,0))&amp;"",""))</f>
        <v/>
      </c>
      <c r="J2493" s="65" t="str">
        <f>IF(COUNTA(A2493:G2493)=0,"",IF(E2493&lt;&gt;"",E2493,IF(B2493="","",IFERROR(IF(INDEX(pr_price,MATCH(B2493,pr_code,0))="","",INDEX(pr_price,MATCH(B2493,pr_code,0))),""))))</f>
        <v/>
      </c>
      <c r="K2493" s="71" t="str">
        <f>IF(COUNTA(A2493:G2493)=0,"",IF(G2493&lt;&gt;"",G2493,IF(B2493="","",IFERROR(IF(INDEX(pr_rate,MATCH(B2493,pr_code,0))="","",INDEX(pr_rate,MATCH(B2493,pr_code,0))),""))))</f>
        <v/>
      </c>
      <c r="L2493" s="65" t="str">
        <f>IF(COUNTA(A2493:G2493)=0,"",IF(AND(ISNUMBER(D2493),ISNUMBER(J2493)),ROUND(D2493*J2493*(1-N(F2493)),2),0))</f>
        <v/>
      </c>
      <c r="M2493" s="62" t="str">
        <f>IF(A2493="","",IFERROR(INDEX(fa_cname,MATCH(A2493,fa_num,0))&amp;"",""))</f>
        <v/>
      </c>
      <c r="N2493" s="59" t="str">
        <f>IF(COUNTA(A2493:G2493)=0,"",IF(A2493="","N° facture manquant",IF(ISNA(MATCH(A2493,fa_num,0)),"Facture inconnue",IF(AND(B2493&lt;&gt;"",ISNA(MATCH(B2493,pr_code,0))),"Article inconnu",IF(H2493="","Désignation manquante",IF(OR(NOT(ISNUMBER(D2493)),N(D2493)&lt;=0),"Quantité invalide",IF(J2493="","Prix manquant",IF(OR(NOT(ISNUMBER(J2493)),N(J2493)&lt;0),"Prix invalide",IF(OR(AND(F2493&lt;&gt;"",NOT(ISNUMBER(F2493))),N(F2493)&lt;0,N(F2493)&gt;1),"Remise invalide",IF(K2493="","Taux de TVA manquant",IF(NOT(ISNUMBER(K2493)),"Taux de TVA invalide",IF(COUNTIF(p_rates,K2493)=0,"Taux de TVA hors liste (Paramètres)",IF(N(O2493)&gt;25,"Au-delà de 25 lignes : non imprimée","OK")))))))))))))</f>
        <v/>
      </c>
      <c r="O2493" s="59" t="str">
        <f>IF(A2493="","",COUNTIF($A$6:A2493,A2493))</f>
        <v/>
      </c>
      <c r="P2493" s="62" t="str">
        <f>IF(A2493="","",A2493&amp;"|"&amp;O2493)</f>
        <v/>
      </c>
    </row>
    <row r="2494">
      <c r="A2494" s="60" t="n"/>
      <c r="B2494" s="63" t="n"/>
      <c r="C2494" s="63" t="n"/>
      <c r="D2494" s="67" t="n"/>
      <c r="E2494" s="68" t="n"/>
      <c r="F2494" s="69" t="n"/>
      <c r="G2494" s="70" t="n"/>
      <c r="H2494" s="62" t="str">
        <f>IF(COUNTA(A2494:G2494)=0,"",IF(C2494&lt;&gt;"",C2494,IF(B2494="","",IFERROR(INDEX(pr_des,MATCH(B2494,pr_code,0))&amp;"",""))))</f>
        <v/>
      </c>
      <c r="I2494" s="59" t="str">
        <f>IF(B2494="","",IFERROR(INDEX(pr_unit,MATCH(B2494,pr_code,0))&amp;"",""))</f>
        <v/>
      </c>
      <c r="J2494" s="65" t="str">
        <f>IF(COUNTA(A2494:G2494)=0,"",IF(E2494&lt;&gt;"",E2494,IF(B2494="","",IFERROR(IF(INDEX(pr_price,MATCH(B2494,pr_code,0))="","",INDEX(pr_price,MATCH(B2494,pr_code,0))),""))))</f>
        <v/>
      </c>
      <c r="K2494" s="71" t="str">
        <f>IF(COUNTA(A2494:G2494)=0,"",IF(G2494&lt;&gt;"",G2494,IF(B2494="","",IFERROR(IF(INDEX(pr_rate,MATCH(B2494,pr_code,0))="","",INDEX(pr_rate,MATCH(B2494,pr_code,0))),""))))</f>
        <v/>
      </c>
      <c r="L2494" s="65" t="str">
        <f>IF(COUNTA(A2494:G2494)=0,"",IF(AND(ISNUMBER(D2494),ISNUMBER(J2494)),ROUND(D2494*J2494*(1-N(F2494)),2),0))</f>
        <v/>
      </c>
      <c r="M2494" s="62" t="str">
        <f>IF(A2494="","",IFERROR(INDEX(fa_cname,MATCH(A2494,fa_num,0))&amp;"",""))</f>
        <v/>
      </c>
      <c r="N2494" s="59" t="str">
        <f>IF(COUNTA(A2494:G2494)=0,"",IF(A2494="","N° facture manquant",IF(ISNA(MATCH(A2494,fa_num,0)),"Facture inconnue",IF(AND(B2494&lt;&gt;"",ISNA(MATCH(B2494,pr_code,0))),"Article inconnu",IF(H2494="","Désignation manquante",IF(OR(NOT(ISNUMBER(D2494)),N(D2494)&lt;=0),"Quantité invalide",IF(J2494="","Prix manquant",IF(OR(NOT(ISNUMBER(J2494)),N(J2494)&lt;0),"Prix invalide",IF(OR(AND(F2494&lt;&gt;"",NOT(ISNUMBER(F2494))),N(F2494)&lt;0,N(F2494)&gt;1),"Remise invalide",IF(K2494="","Taux de TVA manquant",IF(NOT(ISNUMBER(K2494)),"Taux de TVA invalide",IF(COUNTIF(p_rates,K2494)=0,"Taux de TVA hors liste (Paramètres)",IF(N(O2494)&gt;25,"Au-delà de 25 lignes : non imprimée","OK")))))))))))))</f>
        <v/>
      </c>
      <c r="O2494" s="59" t="str">
        <f>IF(A2494="","",COUNTIF($A$6:A2494,A2494))</f>
        <v/>
      </c>
      <c r="P2494" s="62" t="str">
        <f>IF(A2494="","",A2494&amp;"|"&amp;O2494)</f>
        <v/>
      </c>
    </row>
    <row r="2495">
      <c r="A2495" s="60" t="n"/>
      <c r="B2495" s="63" t="n"/>
      <c r="C2495" s="63" t="n"/>
      <c r="D2495" s="67" t="n"/>
      <c r="E2495" s="68" t="n"/>
      <c r="F2495" s="69" t="n"/>
      <c r="G2495" s="70" t="n"/>
      <c r="H2495" s="62" t="str">
        <f>IF(COUNTA(A2495:G2495)=0,"",IF(C2495&lt;&gt;"",C2495,IF(B2495="","",IFERROR(INDEX(pr_des,MATCH(B2495,pr_code,0))&amp;"",""))))</f>
        <v/>
      </c>
      <c r="I2495" s="59" t="str">
        <f>IF(B2495="","",IFERROR(INDEX(pr_unit,MATCH(B2495,pr_code,0))&amp;"",""))</f>
        <v/>
      </c>
      <c r="J2495" s="65" t="str">
        <f>IF(COUNTA(A2495:G2495)=0,"",IF(E2495&lt;&gt;"",E2495,IF(B2495="","",IFERROR(IF(INDEX(pr_price,MATCH(B2495,pr_code,0))="","",INDEX(pr_price,MATCH(B2495,pr_code,0))),""))))</f>
        <v/>
      </c>
      <c r="K2495" s="71" t="str">
        <f>IF(COUNTA(A2495:G2495)=0,"",IF(G2495&lt;&gt;"",G2495,IF(B2495="","",IFERROR(IF(INDEX(pr_rate,MATCH(B2495,pr_code,0))="","",INDEX(pr_rate,MATCH(B2495,pr_code,0))),""))))</f>
        <v/>
      </c>
      <c r="L2495" s="65" t="str">
        <f>IF(COUNTA(A2495:G2495)=0,"",IF(AND(ISNUMBER(D2495),ISNUMBER(J2495)),ROUND(D2495*J2495*(1-N(F2495)),2),0))</f>
        <v/>
      </c>
      <c r="M2495" s="62" t="str">
        <f>IF(A2495="","",IFERROR(INDEX(fa_cname,MATCH(A2495,fa_num,0))&amp;"",""))</f>
        <v/>
      </c>
      <c r="N2495" s="59" t="str">
        <f>IF(COUNTA(A2495:G2495)=0,"",IF(A2495="","N° facture manquant",IF(ISNA(MATCH(A2495,fa_num,0)),"Facture inconnue",IF(AND(B2495&lt;&gt;"",ISNA(MATCH(B2495,pr_code,0))),"Article inconnu",IF(H2495="","Désignation manquante",IF(OR(NOT(ISNUMBER(D2495)),N(D2495)&lt;=0),"Quantité invalide",IF(J2495="","Prix manquant",IF(OR(NOT(ISNUMBER(J2495)),N(J2495)&lt;0),"Prix invalide",IF(OR(AND(F2495&lt;&gt;"",NOT(ISNUMBER(F2495))),N(F2495)&lt;0,N(F2495)&gt;1),"Remise invalide",IF(K2495="","Taux de TVA manquant",IF(NOT(ISNUMBER(K2495)),"Taux de TVA invalide",IF(COUNTIF(p_rates,K2495)=0,"Taux de TVA hors liste (Paramètres)",IF(N(O2495)&gt;25,"Au-delà de 25 lignes : non imprimée","OK")))))))))))))</f>
        <v/>
      </c>
      <c r="O2495" s="59" t="str">
        <f>IF(A2495="","",COUNTIF($A$6:A2495,A2495))</f>
        <v/>
      </c>
      <c r="P2495" s="62" t="str">
        <f>IF(A2495="","",A2495&amp;"|"&amp;O2495)</f>
        <v/>
      </c>
    </row>
    <row r="2496">
      <c r="A2496" s="60" t="n"/>
      <c r="B2496" s="63" t="n"/>
      <c r="C2496" s="63" t="n"/>
      <c r="D2496" s="67" t="n"/>
      <c r="E2496" s="68" t="n"/>
      <c r="F2496" s="69" t="n"/>
      <c r="G2496" s="70" t="n"/>
      <c r="H2496" s="62" t="str">
        <f>IF(COUNTA(A2496:G2496)=0,"",IF(C2496&lt;&gt;"",C2496,IF(B2496="","",IFERROR(INDEX(pr_des,MATCH(B2496,pr_code,0))&amp;"",""))))</f>
        <v/>
      </c>
      <c r="I2496" s="59" t="str">
        <f>IF(B2496="","",IFERROR(INDEX(pr_unit,MATCH(B2496,pr_code,0))&amp;"",""))</f>
        <v/>
      </c>
      <c r="J2496" s="65" t="str">
        <f>IF(COUNTA(A2496:G2496)=0,"",IF(E2496&lt;&gt;"",E2496,IF(B2496="","",IFERROR(IF(INDEX(pr_price,MATCH(B2496,pr_code,0))="","",INDEX(pr_price,MATCH(B2496,pr_code,0))),""))))</f>
        <v/>
      </c>
      <c r="K2496" s="71" t="str">
        <f>IF(COUNTA(A2496:G2496)=0,"",IF(G2496&lt;&gt;"",G2496,IF(B2496="","",IFERROR(IF(INDEX(pr_rate,MATCH(B2496,pr_code,0))="","",INDEX(pr_rate,MATCH(B2496,pr_code,0))),""))))</f>
        <v/>
      </c>
      <c r="L2496" s="65" t="str">
        <f>IF(COUNTA(A2496:G2496)=0,"",IF(AND(ISNUMBER(D2496),ISNUMBER(J2496)),ROUND(D2496*J2496*(1-N(F2496)),2),0))</f>
        <v/>
      </c>
      <c r="M2496" s="62" t="str">
        <f>IF(A2496="","",IFERROR(INDEX(fa_cname,MATCH(A2496,fa_num,0))&amp;"",""))</f>
        <v/>
      </c>
      <c r="N2496" s="59" t="str">
        <f>IF(COUNTA(A2496:G2496)=0,"",IF(A2496="","N° facture manquant",IF(ISNA(MATCH(A2496,fa_num,0)),"Facture inconnue",IF(AND(B2496&lt;&gt;"",ISNA(MATCH(B2496,pr_code,0))),"Article inconnu",IF(H2496="","Désignation manquante",IF(OR(NOT(ISNUMBER(D2496)),N(D2496)&lt;=0),"Quantité invalide",IF(J2496="","Prix manquant",IF(OR(NOT(ISNUMBER(J2496)),N(J2496)&lt;0),"Prix invalide",IF(OR(AND(F2496&lt;&gt;"",NOT(ISNUMBER(F2496))),N(F2496)&lt;0,N(F2496)&gt;1),"Remise invalide",IF(K2496="","Taux de TVA manquant",IF(NOT(ISNUMBER(K2496)),"Taux de TVA invalide",IF(COUNTIF(p_rates,K2496)=0,"Taux de TVA hors liste (Paramètres)",IF(N(O2496)&gt;25,"Au-delà de 25 lignes : non imprimée","OK")))))))))))))</f>
        <v/>
      </c>
      <c r="O2496" s="59" t="str">
        <f>IF(A2496="","",COUNTIF($A$6:A2496,A2496))</f>
        <v/>
      </c>
      <c r="P2496" s="62" t="str">
        <f>IF(A2496="","",A2496&amp;"|"&amp;O2496)</f>
        <v/>
      </c>
    </row>
    <row r="2497">
      <c r="A2497" s="60" t="n"/>
      <c r="B2497" s="63" t="n"/>
      <c r="C2497" s="63" t="n"/>
      <c r="D2497" s="67" t="n"/>
      <c r="E2497" s="68" t="n"/>
      <c r="F2497" s="69" t="n"/>
      <c r="G2497" s="70" t="n"/>
      <c r="H2497" s="62" t="str">
        <f>IF(COUNTA(A2497:G2497)=0,"",IF(C2497&lt;&gt;"",C2497,IF(B2497="","",IFERROR(INDEX(pr_des,MATCH(B2497,pr_code,0))&amp;"",""))))</f>
        <v/>
      </c>
      <c r="I2497" s="59" t="str">
        <f>IF(B2497="","",IFERROR(INDEX(pr_unit,MATCH(B2497,pr_code,0))&amp;"",""))</f>
        <v/>
      </c>
      <c r="J2497" s="65" t="str">
        <f>IF(COUNTA(A2497:G2497)=0,"",IF(E2497&lt;&gt;"",E2497,IF(B2497="","",IFERROR(IF(INDEX(pr_price,MATCH(B2497,pr_code,0))="","",INDEX(pr_price,MATCH(B2497,pr_code,0))),""))))</f>
        <v/>
      </c>
      <c r="K2497" s="71" t="str">
        <f>IF(COUNTA(A2497:G2497)=0,"",IF(G2497&lt;&gt;"",G2497,IF(B2497="","",IFERROR(IF(INDEX(pr_rate,MATCH(B2497,pr_code,0))="","",INDEX(pr_rate,MATCH(B2497,pr_code,0))),""))))</f>
        <v/>
      </c>
      <c r="L2497" s="65" t="str">
        <f>IF(COUNTA(A2497:G2497)=0,"",IF(AND(ISNUMBER(D2497),ISNUMBER(J2497)),ROUND(D2497*J2497*(1-N(F2497)),2),0))</f>
        <v/>
      </c>
      <c r="M2497" s="62" t="str">
        <f>IF(A2497="","",IFERROR(INDEX(fa_cname,MATCH(A2497,fa_num,0))&amp;"",""))</f>
        <v/>
      </c>
      <c r="N2497" s="59" t="str">
        <f>IF(COUNTA(A2497:G2497)=0,"",IF(A2497="","N° facture manquant",IF(ISNA(MATCH(A2497,fa_num,0)),"Facture inconnue",IF(AND(B2497&lt;&gt;"",ISNA(MATCH(B2497,pr_code,0))),"Article inconnu",IF(H2497="","Désignation manquante",IF(OR(NOT(ISNUMBER(D2497)),N(D2497)&lt;=0),"Quantité invalide",IF(J2497="","Prix manquant",IF(OR(NOT(ISNUMBER(J2497)),N(J2497)&lt;0),"Prix invalide",IF(OR(AND(F2497&lt;&gt;"",NOT(ISNUMBER(F2497))),N(F2497)&lt;0,N(F2497)&gt;1),"Remise invalide",IF(K2497="","Taux de TVA manquant",IF(NOT(ISNUMBER(K2497)),"Taux de TVA invalide",IF(COUNTIF(p_rates,K2497)=0,"Taux de TVA hors liste (Paramètres)",IF(N(O2497)&gt;25,"Au-delà de 25 lignes : non imprimée","OK")))))))))))))</f>
        <v/>
      </c>
      <c r="O2497" s="59" t="str">
        <f>IF(A2497="","",COUNTIF($A$6:A2497,A2497))</f>
        <v/>
      </c>
      <c r="P2497" s="62" t="str">
        <f>IF(A2497="","",A2497&amp;"|"&amp;O2497)</f>
        <v/>
      </c>
    </row>
    <row r="2498">
      <c r="A2498" s="60" t="n"/>
      <c r="B2498" s="63" t="n"/>
      <c r="C2498" s="63" t="n"/>
      <c r="D2498" s="67" t="n"/>
      <c r="E2498" s="68" t="n"/>
      <c r="F2498" s="69" t="n"/>
      <c r="G2498" s="70" t="n"/>
      <c r="H2498" s="62" t="str">
        <f>IF(COUNTA(A2498:G2498)=0,"",IF(C2498&lt;&gt;"",C2498,IF(B2498="","",IFERROR(INDEX(pr_des,MATCH(B2498,pr_code,0))&amp;"",""))))</f>
        <v/>
      </c>
      <c r="I2498" s="59" t="str">
        <f>IF(B2498="","",IFERROR(INDEX(pr_unit,MATCH(B2498,pr_code,0))&amp;"",""))</f>
        <v/>
      </c>
      <c r="J2498" s="65" t="str">
        <f>IF(COUNTA(A2498:G2498)=0,"",IF(E2498&lt;&gt;"",E2498,IF(B2498="","",IFERROR(IF(INDEX(pr_price,MATCH(B2498,pr_code,0))="","",INDEX(pr_price,MATCH(B2498,pr_code,0))),""))))</f>
        <v/>
      </c>
      <c r="K2498" s="71" t="str">
        <f>IF(COUNTA(A2498:G2498)=0,"",IF(G2498&lt;&gt;"",G2498,IF(B2498="","",IFERROR(IF(INDEX(pr_rate,MATCH(B2498,pr_code,0))="","",INDEX(pr_rate,MATCH(B2498,pr_code,0))),""))))</f>
        <v/>
      </c>
      <c r="L2498" s="65" t="str">
        <f>IF(COUNTA(A2498:G2498)=0,"",IF(AND(ISNUMBER(D2498),ISNUMBER(J2498)),ROUND(D2498*J2498*(1-N(F2498)),2),0))</f>
        <v/>
      </c>
      <c r="M2498" s="62" t="str">
        <f>IF(A2498="","",IFERROR(INDEX(fa_cname,MATCH(A2498,fa_num,0))&amp;"",""))</f>
        <v/>
      </c>
      <c r="N2498" s="59" t="str">
        <f>IF(COUNTA(A2498:G2498)=0,"",IF(A2498="","N° facture manquant",IF(ISNA(MATCH(A2498,fa_num,0)),"Facture inconnue",IF(AND(B2498&lt;&gt;"",ISNA(MATCH(B2498,pr_code,0))),"Article inconnu",IF(H2498="","Désignation manquante",IF(OR(NOT(ISNUMBER(D2498)),N(D2498)&lt;=0),"Quantité invalide",IF(J2498="","Prix manquant",IF(OR(NOT(ISNUMBER(J2498)),N(J2498)&lt;0),"Prix invalide",IF(OR(AND(F2498&lt;&gt;"",NOT(ISNUMBER(F2498))),N(F2498)&lt;0,N(F2498)&gt;1),"Remise invalide",IF(K2498="","Taux de TVA manquant",IF(NOT(ISNUMBER(K2498)),"Taux de TVA invalide",IF(COUNTIF(p_rates,K2498)=0,"Taux de TVA hors liste (Paramètres)",IF(N(O2498)&gt;25,"Au-delà de 25 lignes : non imprimée","OK")))))))))))))</f>
        <v/>
      </c>
      <c r="O2498" s="59" t="str">
        <f>IF(A2498="","",COUNTIF($A$6:A2498,A2498))</f>
        <v/>
      </c>
      <c r="P2498" s="62" t="str">
        <f>IF(A2498="","",A2498&amp;"|"&amp;O2498)</f>
        <v/>
      </c>
    </row>
    <row r="2499">
      <c r="A2499" s="60" t="n"/>
      <c r="B2499" s="63" t="n"/>
      <c r="C2499" s="63" t="n"/>
      <c r="D2499" s="67" t="n"/>
      <c r="E2499" s="68" t="n"/>
      <c r="F2499" s="69" t="n"/>
      <c r="G2499" s="70" t="n"/>
      <c r="H2499" s="62" t="str">
        <f>IF(COUNTA(A2499:G2499)=0,"",IF(C2499&lt;&gt;"",C2499,IF(B2499="","",IFERROR(INDEX(pr_des,MATCH(B2499,pr_code,0))&amp;"",""))))</f>
        <v/>
      </c>
      <c r="I2499" s="59" t="str">
        <f>IF(B2499="","",IFERROR(INDEX(pr_unit,MATCH(B2499,pr_code,0))&amp;"",""))</f>
        <v/>
      </c>
      <c r="J2499" s="65" t="str">
        <f>IF(COUNTA(A2499:G2499)=0,"",IF(E2499&lt;&gt;"",E2499,IF(B2499="","",IFERROR(IF(INDEX(pr_price,MATCH(B2499,pr_code,0))="","",INDEX(pr_price,MATCH(B2499,pr_code,0))),""))))</f>
        <v/>
      </c>
      <c r="K2499" s="71" t="str">
        <f>IF(COUNTA(A2499:G2499)=0,"",IF(G2499&lt;&gt;"",G2499,IF(B2499="","",IFERROR(IF(INDEX(pr_rate,MATCH(B2499,pr_code,0))="","",INDEX(pr_rate,MATCH(B2499,pr_code,0))),""))))</f>
        <v/>
      </c>
      <c r="L2499" s="65" t="str">
        <f>IF(COUNTA(A2499:G2499)=0,"",IF(AND(ISNUMBER(D2499),ISNUMBER(J2499)),ROUND(D2499*J2499*(1-N(F2499)),2),0))</f>
        <v/>
      </c>
      <c r="M2499" s="62" t="str">
        <f>IF(A2499="","",IFERROR(INDEX(fa_cname,MATCH(A2499,fa_num,0))&amp;"",""))</f>
        <v/>
      </c>
      <c r="N2499" s="59" t="str">
        <f>IF(COUNTA(A2499:G2499)=0,"",IF(A2499="","N° facture manquant",IF(ISNA(MATCH(A2499,fa_num,0)),"Facture inconnue",IF(AND(B2499&lt;&gt;"",ISNA(MATCH(B2499,pr_code,0))),"Article inconnu",IF(H2499="","Désignation manquante",IF(OR(NOT(ISNUMBER(D2499)),N(D2499)&lt;=0),"Quantité invalide",IF(J2499="","Prix manquant",IF(OR(NOT(ISNUMBER(J2499)),N(J2499)&lt;0),"Prix invalide",IF(OR(AND(F2499&lt;&gt;"",NOT(ISNUMBER(F2499))),N(F2499)&lt;0,N(F2499)&gt;1),"Remise invalide",IF(K2499="","Taux de TVA manquant",IF(NOT(ISNUMBER(K2499)),"Taux de TVA invalide",IF(COUNTIF(p_rates,K2499)=0,"Taux de TVA hors liste (Paramètres)",IF(N(O2499)&gt;25,"Au-delà de 25 lignes : non imprimée","OK")))))))))))))</f>
        <v/>
      </c>
      <c r="O2499" s="59" t="str">
        <f>IF(A2499="","",COUNTIF($A$6:A2499,A2499))</f>
        <v/>
      </c>
      <c r="P2499" s="62" t="str">
        <f>IF(A2499="","",A2499&amp;"|"&amp;O2499)</f>
        <v/>
      </c>
    </row>
    <row r="2500">
      <c r="A2500" s="60" t="n"/>
      <c r="B2500" s="63" t="n"/>
      <c r="C2500" s="63" t="n"/>
      <c r="D2500" s="67" t="n"/>
      <c r="E2500" s="68" t="n"/>
      <c r="F2500" s="69" t="n"/>
      <c r="G2500" s="70" t="n"/>
      <c r="H2500" s="62" t="str">
        <f>IF(COUNTA(A2500:G2500)=0,"",IF(C2500&lt;&gt;"",C2500,IF(B2500="","",IFERROR(INDEX(pr_des,MATCH(B2500,pr_code,0))&amp;"",""))))</f>
        <v/>
      </c>
      <c r="I2500" s="59" t="str">
        <f>IF(B2500="","",IFERROR(INDEX(pr_unit,MATCH(B2500,pr_code,0))&amp;"",""))</f>
        <v/>
      </c>
      <c r="J2500" s="65" t="str">
        <f>IF(COUNTA(A2500:G2500)=0,"",IF(E2500&lt;&gt;"",E2500,IF(B2500="","",IFERROR(IF(INDEX(pr_price,MATCH(B2500,pr_code,0))="","",INDEX(pr_price,MATCH(B2500,pr_code,0))),""))))</f>
        <v/>
      </c>
      <c r="K2500" s="71" t="str">
        <f>IF(COUNTA(A2500:G2500)=0,"",IF(G2500&lt;&gt;"",G2500,IF(B2500="","",IFERROR(IF(INDEX(pr_rate,MATCH(B2500,pr_code,0))="","",INDEX(pr_rate,MATCH(B2500,pr_code,0))),""))))</f>
        <v/>
      </c>
      <c r="L2500" s="65" t="str">
        <f>IF(COUNTA(A2500:G2500)=0,"",IF(AND(ISNUMBER(D2500),ISNUMBER(J2500)),ROUND(D2500*J2500*(1-N(F2500)),2),0))</f>
        <v/>
      </c>
      <c r="M2500" s="62" t="str">
        <f>IF(A2500="","",IFERROR(INDEX(fa_cname,MATCH(A2500,fa_num,0))&amp;"",""))</f>
        <v/>
      </c>
      <c r="N2500" s="59" t="str">
        <f>IF(COUNTA(A2500:G2500)=0,"",IF(A2500="","N° facture manquant",IF(ISNA(MATCH(A2500,fa_num,0)),"Facture inconnue",IF(AND(B2500&lt;&gt;"",ISNA(MATCH(B2500,pr_code,0))),"Article inconnu",IF(H2500="","Désignation manquante",IF(OR(NOT(ISNUMBER(D2500)),N(D2500)&lt;=0),"Quantité invalide",IF(J2500="","Prix manquant",IF(OR(NOT(ISNUMBER(J2500)),N(J2500)&lt;0),"Prix invalide",IF(OR(AND(F2500&lt;&gt;"",NOT(ISNUMBER(F2500))),N(F2500)&lt;0,N(F2500)&gt;1),"Remise invalide",IF(K2500="","Taux de TVA manquant",IF(NOT(ISNUMBER(K2500)),"Taux de TVA invalide",IF(COUNTIF(p_rates,K2500)=0,"Taux de TVA hors liste (Paramètres)",IF(N(O2500)&gt;25,"Au-delà de 25 lignes : non imprimée","OK")))))))))))))</f>
        <v/>
      </c>
      <c r="O2500" s="59" t="str">
        <f>IF(A2500="","",COUNTIF($A$6:A2500,A2500))</f>
        <v/>
      </c>
      <c r="P2500" s="62" t="str">
        <f>IF(A2500="","",A2500&amp;"|"&amp;O2500)</f>
        <v/>
      </c>
    </row>
    <row r="2501">
      <c r="A2501" s="60" t="n"/>
      <c r="B2501" s="63" t="n"/>
      <c r="C2501" s="63" t="n"/>
      <c r="D2501" s="67" t="n"/>
      <c r="E2501" s="68" t="n"/>
      <c r="F2501" s="69" t="n"/>
      <c r="G2501" s="70" t="n"/>
      <c r="H2501" s="62" t="str">
        <f>IF(COUNTA(A2501:G2501)=0,"",IF(C2501&lt;&gt;"",C2501,IF(B2501="","",IFERROR(INDEX(pr_des,MATCH(B2501,pr_code,0))&amp;"",""))))</f>
        <v/>
      </c>
      <c r="I2501" s="59" t="str">
        <f>IF(B2501="","",IFERROR(INDEX(pr_unit,MATCH(B2501,pr_code,0))&amp;"",""))</f>
        <v/>
      </c>
      <c r="J2501" s="65" t="str">
        <f>IF(COUNTA(A2501:G2501)=0,"",IF(E2501&lt;&gt;"",E2501,IF(B2501="","",IFERROR(IF(INDEX(pr_price,MATCH(B2501,pr_code,0))="","",INDEX(pr_price,MATCH(B2501,pr_code,0))),""))))</f>
        <v/>
      </c>
      <c r="K2501" s="71" t="str">
        <f>IF(COUNTA(A2501:G2501)=0,"",IF(G2501&lt;&gt;"",G2501,IF(B2501="","",IFERROR(IF(INDEX(pr_rate,MATCH(B2501,pr_code,0))="","",INDEX(pr_rate,MATCH(B2501,pr_code,0))),""))))</f>
        <v/>
      </c>
      <c r="L2501" s="65" t="str">
        <f>IF(COUNTA(A2501:G2501)=0,"",IF(AND(ISNUMBER(D2501),ISNUMBER(J2501)),ROUND(D2501*J2501*(1-N(F2501)),2),0))</f>
        <v/>
      </c>
      <c r="M2501" s="62" t="str">
        <f>IF(A2501="","",IFERROR(INDEX(fa_cname,MATCH(A2501,fa_num,0))&amp;"",""))</f>
        <v/>
      </c>
      <c r="N2501" s="59" t="str">
        <f>IF(COUNTA(A2501:G2501)=0,"",IF(A2501="","N° facture manquant",IF(ISNA(MATCH(A2501,fa_num,0)),"Facture inconnue",IF(AND(B2501&lt;&gt;"",ISNA(MATCH(B2501,pr_code,0))),"Article inconnu",IF(H2501="","Désignation manquante",IF(OR(NOT(ISNUMBER(D2501)),N(D2501)&lt;=0),"Quantité invalide",IF(J2501="","Prix manquant",IF(OR(NOT(ISNUMBER(J2501)),N(J2501)&lt;0),"Prix invalide",IF(OR(AND(F2501&lt;&gt;"",NOT(ISNUMBER(F2501))),N(F2501)&lt;0,N(F2501)&gt;1),"Remise invalide",IF(K2501="","Taux de TVA manquant",IF(NOT(ISNUMBER(K2501)),"Taux de TVA invalide",IF(COUNTIF(p_rates,K2501)=0,"Taux de TVA hors liste (Paramètres)",IF(N(O2501)&gt;25,"Au-delà de 25 lignes : non imprimée","OK")))))))))))))</f>
        <v/>
      </c>
      <c r="O2501" s="59" t="str">
        <f>IF(A2501="","",COUNTIF($A$6:A2501,A2501))</f>
        <v/>
      </c>
      <c r="P2501" s="62" t="str">
        <f>IF(A2501="","",A2501&amp;"|"&amp;O2501)</f>
        <v/>
      </c>
    </row>
    <row r="2502">
      <c r="A2502" s="60" t="n"/>
      <c r="B2502" s="63" t="n"/>
      <c r="C2502" s="63" t="n"/>
      <c r="D2502" s="67" t="n"/>
      <c r="E2502" s="68" t="n"/>
      <c r="F2502" s="69" t="n"/>
      <c r="G2502" s="70" t="n"/>
      <c r="H2502" s="62" t="str">
        <f>IF(COUNTA(A2502:G2502)=0,"",IF(C2502&lt;&gt;"",C2502,IF(B2502="","",IFERROR(INDEX(pr_des,MATCH(B2502,pr_code,0))&amp;"",""))))</f>
        <v/>
      </c>
      <c r="I2502" s="59" t="str">
        <f>IF(B2502="","",IFERROR(INDEX(pr_unit,MATCH(B2502,pr_code,0))&amp;"",""))</f>
        <v/>
      </c>
      <c r="J2502" s="65" t="str">
        <f>IF(COUNTA(A2502:G2502)=0,"",IF(E2502&lt;&gt;"",E2502,IF(B2502="","",IFERROR(IF(INDEX(pr_price,MATCH(B2502,pr_code,0))="","",INDEX(pr_price,MATCH(B2502,pr_code,0))),""))))</f>
        <v/>
      </c>
      <c r="K2502" s="71" t="str">
        <f>IF(COUNTA(A2502:G2502)=0,"",IF(G2502&lt;&gt;"",G2502,IF(B2502="","",IFERROR(IF(INDEX(pr_rate,MATCH(B2502,pr_code,0))="","",INDEX(pr_rate,MATCH(B2502,pr_code,0))),""))))</f>
        <v/>
      </c>
      <c r="L2502" s="65" t="str">
        <f>IF(COUNTA(A2502:G2502)=0,"",IF(AND(ISNUMBER(D2502),ISNUMBER(J2502)),ROUND(D2502*J2502*(1-N(F2502)),2),0))</f>
        <v/>
      </c>
      <c r="M2502" s="62" t="str">
        <f>IF(A2502="","",IFERROR(INDEX(fa_cname,MATCH(A2502,fa_num,0))&amp;"",""))</f>
        <v/>
      </c>
      <c r="N2502" s="59" t="str">
        <f>IF(COUNTA(A2502:G2502)=0,"",IF(A2502="","N° facture manquant",IF(ISNA(MATCH(A2502,fa_num,0)),"Facture inconnue",IF(AND(B2502&lt;&gt;"",ISNA(MATCH(B2502,pr_code,0))),"Article inconnu",IF(H2502="","Désignation manquante",IF(OR(NOT(ISNUMBER(D2502)),N(D2502)&lt;=0),"Quantité invalide",IF(J2502="","Prix manquant",IF(OR(NOT(ISNUMBER(J2502)),N(J2502)&lt;0),"Prix invalide",IF(OR(AND(F2502&lt;&gt;"",NOT(ISNUMBER(F2502))),N(F2502)&lt;0,N(F2502)&gt;1),"Remise invalide",IF(K2502="","Taux de TVA manquant",IF(NOT(ISNUMBER(K2502)),"Taux de TVA invalide",IF(COUNTIF(p_rates,K2502)=0,"Taux de TVA hors liste (Paramètres)",IF(N(O2502)&gt;25,"Au-delà de 25 lignes : non imprimée","OK")))))))))))))</f>
        <v/>
      </c>
      <c r="O2502" s="59" t="str">
        <f>IF(A2502="","",COUNTIF($A$6:A2502,A2502))</f>
        <v/>
      </c>
      <c r="P2502" s="62" t="str">
        <f>IF(A2502="","",A2502&amp;"|"&amp;O2502)</f>
        <v/>
      </c>
    </row>
    <row r="2503">
      <c r="A2503" s="60" t="n"/>
      <c r="B2503" s="63" t="n"/>
      <c r="C2503" s="63" t="n"/>
      <c r="D2503" s="67" t="n"/>
      <c r="E2503" s="68" t="n"/>
      <c r="F2503" s="69" t="n"/>
      <c r="G2503" s="70" t="n"/>
      <c r="H2503" s="62" t="str">
        <f>IF(COUNTA(A2503:G2503)=0,"",IF(C2503&lt;&gt;"",C2503,IF(B2503="","",IFERROR(INDEX(pr_des,MATCH(B2503,pr_code,0))&amp;"",""))))</f>
        <v/>
      </c>
      <c r="I2503" s="59" t="str">
        <f>IF(B2503="","",IFERROR(INDEX(pr_unit,MATCH(B2503,pr_code,0))&amp;"",""))</f>
        <v/>
      </c>
      <c r="J2503" s="65" t="str">
        <f>IF(COUNTA(A2503:G2503)=0,"",IF(E2503&lt;&gt;"",E2503,IF(B2503="","",IFERROR(IF(INDEX(pr_price,MATCH(B2503,pr_code,0))="","",INDEX(pr_price,MATCH(B2503,pr_code,0))),""))))</f>
        <v/>
      </c>
      <c r="K2503" s="71" t="str">
        <f>IF(COUNTA(A2503:G2503)=0,"",IF(G2503&lt;&gt;"",G2503,IF(B2503="","",IFERROR(IF(INDEX(pr_rate,MATCH(B2503,pr_code,0))="","",INDEX(pr_rate,MATCH(B2503,pr_code,0))),""))))</f>
        <v/>
      </c>
      <c r="L2503" s="65" t="str">
        <f>IF(COUNTA(A2503:G2503)=0,"",IF(AND(ISNUMBER(D2503),ISNUMBER(J2503)),ROUND(D2503*J2503*(1-N(F2503)),2),0))</f>
        <v/>
      </c>
      <c r="M2503" s="62" t="str">
        <f>IF(A2503="","",IFERROR(INDEX(fa_cname,MATCH(A2503,fa_num,0))&amp;"",""))</f>
        <v/>
      </c>
      <c r="N2503" s="59" t="str">
        <f>IF(COUNTA(A2503:G2503)=0,"",IF(A2503="","N° facture manquant",IF(ISNA(MATCH(A2503,fa_num,0)),"Facture inconnue",IF(AND(B2503&lt;&gt;"",ISNA(MATCH(B2503,pr_code,0))),"Article inconnu",IF(H2503="","Désignation manquante",IF(OR(NOT(ISNUMBER(D2503)),N(D2503)&lt;=0),"Quantité invalide",IF(J2503="","Prix manquant",IF(OR(NOT(ISNUMBER(J2503)),N(J2503)&lt;0),"Prix invalide",IF(OR(AND(F2503&lt;&gt;"",NOT(ISNUMBER(F2503))),N(F2503)&lt;0,N(F2503)&gt;1),"Remise invalide",IF(K2503="","Taux de TVA manquant",IF(NOT(ISNUMBER(K2503)),"Taux de TVA invalide",IF(COUNTIF(p_rates,K2503)=0,"Taux de TVA hors liste (Paramètres)",IF(N(O2503)&gt;25,"Au-delà de 25 lignes : non imprimée","OK")))))))))))))</f>
        <v/>
      </c>
      <c r="O2503" s="59" t="str">
        <f>IF(A2503="","",COUNTIF($A$6:A2503,A2503))</f>
        <v/>
      </c>
      <c r="P2503" s="62" t="str">
        <f>IF(A2503="","",A2503&amp;"|"&amp;O2503)</f>
        <v/>
      </c>
    </row>
    <row r="2504">
      <c r="A2504" s="60" t="n"/>
      <c r="B2504" s="63" t="n"/>
      <c r="C2504" s="63" t="n"/>
      <c r="D2504" s="67" t="n"/>
      <c r="E2504" s="68" t="n"/>
      <c r="F2504" s="69" t="n"/>
      <c r="G2504" s="70" t="n"/>
      <c r="H2504" s="62" t="str">
        <f>IF(COUNTA(A2504:G2504)=0,"",IF(C2504&lt;&gt;"",C2504,IF(B2504="","",IFERROR(INDEX(pr_des,MATCH(B2504,pr_code,0))&amp;"",""))))</f>
        <v/>
      </c>
      <c r="I2504" s="59" t="str">
        <f>IF(B2504="","",IFERROR(INDEX(pr_unit,MATCH(B2504,pr_code,0))&amp;"",""))</f>
        <v/>
      </c>
      <c r="J2504" s="65" t="str">
        <f>IF(COUNTA(A2504:G2504)=0,"",IF(E2504&lt;&gt;"",E2504,IF(B2504="","",IFERROR(IF(INDEX(pr_price,MATCH(B2504,pr_code,0))="","",INDEX(pr_price,MATCH(B2504,pr_code,0))),""))))</f>
        <v/>
      </c>
      <c r="K2504" s="71" t="str">
        <f>IF(COUNTA(A2504:G2504)=0,"",IF(G2504&lt;&gt;"",G2504,IF(B2504="","",IFERROR(IF(INDEX(pr_rate,MATCH(B2504,pr_code,0))="","",INDEX(pr_rate,MATCH(B2504,pr_code,0))),""))))</f>
        <v/>
      </c>
      <c r="L2504" s="65" t="str">
        <f>IF(COUNTA(A2504:G2504)=0,"",IF(AND(ISNUMBER(D2504),ISNUMBER(J2504)),ROUND(D2504*J2504*(1-N(F2504)),2),0))</f>
        <v/>
      </c>
      <c r="M2504" s="62" t="str">
        <f>IF(A2504="","",IFERROR(INDEX(fa_cname,MATCH(A2504,fa_num,0))&amp;"",""))</f>
        <v/>
      </c>
      <c r="N2504" s="59" t="str">
        <f>IF(COUNTA(A2504:G2504)=0,"",IF(A2504="","N° facture manquant",IF(ISNA(MATCH(A2504,fa_num,0)),"Facture inconnue",IF(AND(B2504&lt;&gt;"",ISNA(MATCH(B2504,pr_code,0))),"Article inconnu",IF(H2504="","Désignation manquante",IF(OR(NOT(ISNUMBER(D2504)),N(D2504)&lt;=0),"Quantité invalide",IF(J2504="","Prix manquant",IF(OR(NOT(ISNUMBER(J2504)),N(J2504)&lt;0),"Prix invalide",IF(OR(AND(F2504&lt;&gt;"",NOT(ISNUMBER(F2504))),N(F2504)&lt;0,N(F2504)&gt;1),"Remise invalide",IF(K2504="","Taux de TVA manquant",IF(NOT(ISNUMBER(K2504)),"Taux de TVA invalide",IF(COUNTIF(p_rates,K2504)=0,"Taux de TVA hors liste (Paramètres)",IF(N(O2504)&gt;25,"Au-delà de 25 lignes : non imprimée","OK")))))))))))))</f>
        <v/>
      </c>
      <c r="O2504" s="59" t="str">
        <f>IF(A2504="","",COUNTIF($A$6:A2504,A2504))</f>
        <v/>
      </c>
      <c r="P2504" s="62" t="str">
        <f>IF(A2504="","",A2504&amp;"|"&amp;O2504)</f>
        <v/>
      </c>
    </row>
    <row r="2505">
      <c r="A2505" s="60" t="n"/>
      <c r="B2505" s="63" t="n"/>
      <c r="C2505" s="63" t="n"/>
      <c r="D2505" s="67" t="n"/>
      <c r="E2505" s="68" t="n"/>
      <c r="F2505" s="69" t="n"/>
      <c r="G2505" s="70" t="n"/>
      <c r="H2505" s="62" t="str">
        <f>IF(COUNTA(A2505:G2505)=0,"",IF(C2505&lt;&gt;"",C2505,IF(B2505="","",IFERROR(INDEX(pr_des,MATCH(B2505,pr_code,0))&amp;"",""))))</f>
        <v/>
      </c>
      <c r="I2505" s="59" t="str">
        <f>IF(B2505="","",IFERROR(INDEX(pr_unit,MATCH(B2505,pr_code,0))&amp;"",""))</f>
        <v/>
      </c>
      <c r="J2505" s="65" t="str">
        <f>IF(COUNTA(A2505:G2505)=0,"",IF(E2505&lt;&gt;"",E2505,IF(B2505="","",IFERROR(IF(INDEX(pr_price,MATCH(B2505,pr_code,0))="","",INDEX(pr_price,MATCH(B2505,pr_code,0))),""))))</f>
        <v/>
      </c>
      <c r="K2505" s="71" t="str">
        <f>IF(COUNTA(A2505:G2505)=0,"",IF(G2505&lt;&gt;"",G2505,IF(B2505="","",IFERROR(IF(INDEX(pr_rate,MATCH(B2505,pr_code,0))="","",INDEX(pr_rate,MATCH(B2505,pr_code,0))),""))))</f>
        <v/>
      </c>
      <c r="L2505" s="65" t="str">
        <f>IF(COUNTA(A2505:G2505)=0,"",IF(AND(ISNUMBER(D2505),ISNUMBER(J2505)),ROUND(D2505*J2505*(1-N(F2505)),2),0))</f>
        <v/>
      </c>
      <c r="M2505" s="62" t="str">
        <f>IF(A2505="","",IFERROR(INDEX(fa_cname,MATCH(A2505,fa_num,0))&amp;"",""))</f>
        <v/>
      </c>
      <c r="N2505" s="59" t="str">
        <f>IF(COUNTA(A2505:G2505)=0,"",IF(A2505="","N° facture manquant",IF(ISNA(MATCH(A2505,fa_num,0)),"Facture inconnue",IF(AND(B2505&lt;&gt;"",ISNA(MATCH(B2505,pr_code,0))),"Article inconnu",IF(H2505="","Désignation manquante",IF(OR(NOT(ISNUMBER(D2505)),N(D2505)&lt;=0),"Quantité invalide",IF(J2505="","Prix manquant",IF(OR(NOT(ISNUMBER(J2505)),N(J2505)&lt;0),"Prix invalide",IF(OR(AND(F2505&lt;&gt;"",NOT(ISNUMBER(F2505))),N(F2505)&lt;0,N(F2505)&gt;1),"Remise invalide",IF(K2505="","Taux de TVA manquant",IF(NOT(ISNUMBER(K2505)),"Taux de TVA invalide",IF(COUNTIF(p_rates,K2505)=0,"Taux de TVA hors liste (Paramètres)",IF(N(O2505)&gt;25,"Au-delà de 25 lignes : non imprimée","OK")))))))))))))</f>
        <v/>
      </c>
      <c r="O2505" s="59" t="str">
        <f>IF(A2505="","",COUNTIF($A$6:A2505,A2505))</f>
        <v/>
      </c>
      <c r="P2505" s="62" t="str">
        <f>IF(A2505="","",A2505&amp;"|"&amp;O2505)</f>
        <v/>
      </c>
    </row>
    <row r="2506">
      <c r="A2506" s="60" t="n"/>
      <c r="B2506" s="63" t="n"/>
      <c r="C2506" s="63" t="n"/>
      <c r="D2506" s="67" t="n"/>
      <c r="E2506" s="68" t="n"/>
      <c r="F2506" s="69" t="n"/>
      <c r="G2506" s="70" t="n"/>
      <c r="H2506" s="62" t="str">
        <f>IF(COUNTA(A2506:G2506)=0,"",IF(C2506&lt;&gt;"",C2506,IF(B2506="","",IFERROR(INDEX(pr_des,MATCH(B2506,pr_code,0))&amp;"",""))))</f>
        <v/>
      </c>
      <c r="I2506" s="59" t="str">
        <f>IF(B2506="","",IFERROR(INDEX(pr_unit,MATCH(B2506,pr_code,0))&amp;"",""))</f>
        <v/>
      </c>
      <c r="J2506" s="65" t="str">
        <f>IF(COUNTA(A2506:G2506)=0,"",IF(E2506&lt;&gt;"",E2506,IF(B2506="","",IFERROR(IF(INDEX(pr_price,MATCH(B2506,pr_code,0))="","",INDEX(pr_price,MATCH(B2506,pr_code,0))),""))))</f>
        <v/>
      </c>
      <c r="K2506" s="71" t="str">
        <f>IF(COUNTA(A2506:G2506)=0,"",IF(G2506&lt;&gt;"",G2506,IF(B2506="","",IFERROR(IF(INDEX(pr_rate,MATCH(B2506,pr_code,0))="","",INDEX(pr_rate,MATCH(B2506,pr_code,0))),""))))</f>
        <v/>
      </c>
      <c r="L2506" s="65" t="str">
        <f>IF(COUNTA(A2506:G2506)=0,"",IF(AND(ISNUMBER(D2506),ISNUMBER(J2506)),ROUND(D2506*J2506*(1-N(F2506)),2),0))</f>
        <v/>
      </c>
      <c r="M2506" s="62" t="str">
        <f>IF(A2506="","",IFERROR(INDEX(fa_cname,MATCH(A2506,fa_num,0))&amp;"",""))</f>
        <v/>
      </c>
      <c r="N2506" s="59" t="str">
        <f>IF(COUNTA(A2506:G2506)=0,"",IF(A2506="","N° facture manquant",IF(ISNA(MATCH(A2506,fa_num,0)),"Facture inconnue",IF(AND(B2506&lt;&gt;"",ISNA(MATCH(B2506,pr_code,0))),"Article inconnu",IF(H2506="","Désignation manquante",IF(OR(NOT(ISNUMBER(D2506)),N(D2506)&lt;=0),"Quantité invalide",IF(J2506="","Prix manquant",IF(OR(NOT(ISNUMBER(J2506)),N(J2506)&lt;0),"Prix invalide",IF(OR(AND(F2506&lt;&gt;"",NOT(ISNUMBER(F2506))),N(F2506)&lt;0,N(F2506)&gt;1),"Remise invalide",IF(K2506="","Taux de TVA manquant",IF(NOT(ISNUMBER(K2506)),"Taux de TVA invalide",IF(COUNTIF(p_rates,K2506)=0,"Taux de TVA hors liste (Paramètres)",IF(N(O2506)&gt;25,"Au-delà de 25 lignes : non imprimée","OK")))))))))))))</f>
        <v/>
      </c>
      <c r="O2506" s="59" t="str">
        <f>IF(A2506="","",COUNTIF($A$6:A2506,A2506))</f>
        <v/>
      </c>
      <c r="P2506" s="62" t="str">
        <f>IF(A2506="","",A2506&amp;"|"&amp;O2506)</f>
        <v/>
      </c>
    </row>
    <row r="2507">
      <c r="A2507" s="60" t="n"/>
      <c r="B2507" s="63" t="n"/>
      <c r="C2507" s="63" t="n"/>
      <c r="D2507" s="67" t="n"/>
      <c r="E2507" s="68" t="n"/>
      <c r="F2507" s="69" t="n"/>
      <c r="G2507" s="70" t="n"/>
      <c r="H2507" s="62" t="str">
        <f>IF(COUNTA(A2507:G2507)=0,"",IF(C2507&lt;&gt;"",C2507,IF(B2507="","",IFERROR(INDEX(pr_des,MATCH(B2507,pr_code,0))&amp;"",""))))</f>
        <v/>
      </c>
      <c r="I2507" s="59" t="str">
        <f>IF(B2507="","",IFERROR(INDEX(pr_unit,MATCH(B2507,pr_code,0))&amp;"",""))</f>
        <v/>
      </c>
      <c r="J2507" s="65" t="str">
        <f>IF(COUNTA(A2507:G2507)=0,"",IF(E2507&lt;&gt;"",E2507,IF(B2507="","",IFERROR(IF(INDEX(pr_price,MATCH(B2507,pr_code,0))="","",INDEX(pr_price,MATCH(B2507,pr_code,0))),""))))</f>
        <v/>
      </c>
      <c r="K2507" s="71" t="str">
        <f>IF(COUNTA(A2507:G2507)=0,"",IF(G2507&lt;&gt;"",G2507,IF(B2507="","",IFERROR(IF(INDEX(pr_rate,MATCH(B2507,pr_code,0))="","",INDEX(pr_rate,MATCH(B2507,pr_code,0))),""))))</f>
        <v/>
      </c>
      <c r="L2507" s="65" t="str">
        <f>IF(COUNTA(A2507:G2507)=0,"",IF(AND(ISNUMBER(D2507),ISNUMBER(J2507)),ROUND(D2507*J2507*(1-N(F2507)),2),0))</f>
        <v/>
      </c>
      <c r="M2507" s="62" t="str">
        <f>IF(A2507="","",IFERROR(INDEX(fa_cname,MATCH(A2507,fa_num,0))&amp;"",""))</f>
        <v/>
      </c>
      <c r="N2507" s="59" t="str">
        <f>IF(COUNTA(A2507:G2507)=0,"",IF(A2507="","N° facture manquant",IF(ISNA(MATCH(A2507,fa_num,0)),"Facture inconnue",IF(AND(B2507&lt;&gt;"",ISNA(MATCH(B2507,pr_code,0))),"Article inconnu",IF(H2507="","Désignation manquante",IF(OR(NOT(ISNUMBER(D2507)),N(D2507)&lt;=0),"Quantité invalide",IF(J2507="","Prix manquant",IF(OR(NOT(ISNUMBER(J2507)),N(J2507)&lt;0),"Prix invalide",IF(OR(AND(F2507&lt;&gt;"",NOT(ISNUMBER(F2507))),N(F2507)&lt;0,N(F2507)&gt;1),"Remise invalide",IF(K2507="","Taux de TVA manquant",IF(NOT(ISNUMBER(K2507)),"Taux de TVA invalide",IF(COUNTIF(p_rates,K2507)=0,"Taux de TVA hors liste (Paramètres)",IF(N(O2507)&gt;25,"Au-delà de 25 lignes : non imprimée","OK")))))))))))))</f>
        <v/>
      </c>
      <c r="O2507" s="59" t="str">
        <f>IF(A2507="","",COUNTIF($A$6:A2507,A2507))</f>
        <v/>
      </c>
      <c r="P2507" s="62" t="str">
        <f>IF(A2507="","",A2507&amp;"|"&amp;O2507)</f>
        <v/>
      </c>
    </row>
    <row r="2508">
      <c r="A2508" s="60" t="n"/>
      <c r="B2508" s="63" t="n"/>
      <c r="C2508" s="63" t="n"/>
      <c r="D2508" s="67" t="n"/>
      <c r="E2508" s="68" t="n"/>
      <c r="F2508" s="69" t="n"/>
      <c r="G2508" s="70" t="n"/>
      <c r="H2508" s="62" t="str">
        <f>IF(COUNTA(A2508:G2508)=0,"",IF(C2508&lt;&gt;"",C2508,IF(B2508="","",IFERROR(INDEX(pr_des,MATCH(B2508,pr_code,0))&amp;"",""))))</f>
        <v/>
      </c>
      <c r="I2508" s="59" t="str">
        <f>IF(B2508="","",IFERROR(INDEX(pr_unit,MATCH(B2508,pr_code,0))&amp;"",""))</f>
        <v/>
      </c>
      <c r="J2508" s="65" t="str">
        <f>IF(COUNTA(A2508:G2508)=0,"",IF(E2508&lt;&gt;"",E2508,IF(B2508="","",IFERROR(IF(INDEX(pr_price,MATCH(B2508,pr_code,0))="","",INDEX(pr_price,MATCH(B2508,pr_code,0))),""))))</f>
        <v/>
      </c>
      <c r="K2508" s="71" t="str">
        <f>IF(COUNTA(A2508:G2508)=0,"",IF(G2508&lt;&gt;"",G2508,IF(B2508="","",IFERROR(IF(INDEX(pr_rate,MATCH(B2508,pr_code,0))="","",INDEX(pr_rate,MATCH(B2508,pr_code,0))),""))))</f>
        <v/>
      </c>
      <c r="L2508" s="65" t="str">
        <f>IF(COUNTA(A2508:G2508)=0,"",IF(AND(ISNUMBER(D2508),ISNUMBER(J2508)),ROUND(D2508*J2508*(1-N(F2508)),2),0))</f>
        <v/>
      </c>
      <c r="M2508" s="62" t="str">
        <f>IF(A2508="","",IFERROR(INDEX(fa_cname,MATCH(A2508,fa_num,0))&amp;"",""))</f>
        <v/>
      </c>
      <c r="N2508" s="59" t="str">
        <f>IF(COUNTA(A2508:G2508)=0,"",IF(A2508="","N° facture manquant",IF(ISNA(MATCH(A2508,fa_num,0)),"Facture inconnue",IF(AND(B2508&lt;&gt;"",ISNA(MATCH(B2508,pr_code,0))),"Article inconnu",IF(H2508="","Désignation manquante",IF(OR(NOT(ISNUMBER(D2508)),N(D2508)&lt;=0),"Quantité invalide",IF(J2508="","Prix manquant",IF(OR(NOT(ISNUMBER(J2508)),N(J2508)&lt;0),"Prix invalide",IF(OR(AND(F2508&lt;&gt;"",NOT(ISNUMBER(F2508))),N(F2508)&lt;0,N(F2508)&gt;1),"Remise invalide",IF(K2508="","Taux de TVA manquant",IF(NOT(ISNUMBER(K2508)),"Taux de TVA invalide",IF(COUNTIF(p_rates,K2508)=0,"Taux de TVA hors liste (Paramètres)",IF(N(O2508)&gt;25,"Au-delà de 25 lignes : non imprimée","OK")))))))))))))</f>
        <v/>
      </c>
      <c r="O2508" s="59" t="str">
        <f>IF(A2508="","",COUNTIF($A$6:A2508,A2508))</f>
        <v/>
      </c>
      <c r="P2508" s="62" t="str">
        <f>IF(A2508="","",A2508&amp;"|"&amp;O2508)</f>
        <v/>
      </c>
    </row>
    <row r="2509">
      <c r="A2509" s="60" t="n"/>
      <c r="B2509" s="63" t="n"/>
      <c r="C2509" s="63" t="n"/>
      <c r="D2509" s="67" t="n"/>
      <c r="E2509" s="68" t="n"/>
      <c r="F2509" s="69" t="n"/>
      <c r="G2509" s="70" t="n"/>
      <c r="H2509" s="62" t="str">
        <f>IF(COUNTA(A2509:G2509)=0,"",IF(C2509&lt;&gt;"",C2509,IF(B2509="","",IFERROR(INDEX(pr_des,MATCH(B2509,pr_code,0))&amp;"",""))))</f>
        <v/>
      </c>
      <c r="I2509" s="59" t="str">
        <f>IF(B2509="","",IFERROR(INDEX(pr_unit,MATCH(B2509,pr_code,0))&amp;"",""))</f>
        <v/>
      </c>
      <c r="J2509" s="65" t="str">
        <f>IF(COUNTA(A2509:G2509)=0,"",IF(E2509&lt;&gt;"",E2509,IF(B2509="","",IFERROR(IF(INDEX(pr_price,MATCH(B2509,pr_code,0))="","",INDEX(pr_price,MATCH(B2509,pr_code,0))),""))))</f>
        <v/>
      </c>
      <c r="K2509" s="71" t="str">
        <f>IF(COUNTA(A2509:G2509)=0,"",IF(G2509&lt;&gt;"",G2509,IF(B2509="","",IFERROR(IF(INDEX(pr_rate,MATCH(B2509,pr_code,0))="","",INDEX(pr_rate,MATCH(B2509,pr_code,0))),""))))</f>
        <v/>
      </c>
      <c r="L2509" s="65" t="str">
        <f>IF(COUNTA(A2509:G2509)=0,"",IF(AND(ISNUMBER(D2509),ISNUMBER(J2509)),ROUND(D2509*J2509*(1-N(F2509)),2),0))</f>
        <v/>
      </c>
      <c r="M2509" s="62" t="str">
        <f>IF(A2509="","",IFERROR(INDEX(fa_cname,MATCH(A2509,fa_num,0))&amp;"",""))</f>
        <v/>
      </c>
      <c r="N2509" s="59" t="str">
        <f>IF(COUNTA(A2509:G2509)=0,"",IF(A2509="","N° facture manquant",IF(ISNA(MATCH(A2509,fa_num,0)),"Facture inconnue",IF(AND(B2509&lt;&gt;"",ISNA(MATCH(B2509,pr_code,0))),"Article inconnu",IF(H2509="","Désignation manquante",IF(OR(NOT(ISNUMBER(D2509)),N(D2509)&lt;=0),"Quantité invalide",IF(J2509="","Prix manquant",IF(OR(NOT(ISNUMBER(J2509)),N(J2509)&lt;0),"Prix invalide",IF(OR(AND(F2509&lt;&gt;"",NOT(ISNUMBER(F2509))),N(F2509)&lt;0,N(F2509)&gt;1),"Remise invalide",IF(K2509="","Taux de TVA manquant",IF(NOT(ISNUMBER(K2509)),"Taux de TVA invalide",IF(COUNTIF(p_rates,K2509)=0,"Taux de TVA hors liste (Paramètres)",IF(N(O2509)&gt;25,"Au-delà de 25 lignes : non imprimée","OK")))))))))))))</f>
        <v/>
      </c>
      <c r="O2509" s="59" t="str">
        <f>IF(A2509="","",COUNTIF($A$6:A2509,A2509))</f>
        <v/>
      </c>
      <c r="P2509" s="62" t="str">
        <f>IF(A2509="","",A2509&amp;"|"&amp;O2509)</f>
        <v/>
      </c>
    </row>
    <row r="2510">
      <c r="A2510" s="60" t="n"/>
      <c r="B2510" s="63" t="n"/>
      <c r="C2510" s="63" t="n"/>
      <c r="D2510" s="67" t="n"/>
      <c r="E2510" s="68" t="n"/>
      <c r="F2510" s="69" t="n"/>
      <c r="G2510" s="70" t="n"/>
      <c r="H2510" s="62" t="str">
        <f>IF(COUNTA(A2510:G2510)=0,"",IF(C2510&lt;&gt;"",C2510,IF(B2510="","",IFERROR(INDEX(pr_des,MATCH(B2510,pr_code,0))&amp;"",""))))</f>
        <v/>
      </c>
      <c r="I2510" s="59" t="str">
        <f>IF(B2510="","",IFERROR(INDEX(pr_unit,MATCH(B2510,pr_code,0))&amp;"",""))</f>
        <v/>
      </c>
      <c r="J2510" s="65" t="str">
        <f>IF(COUNTA(A2510:G2510)=0,"",IF(E2510&lt;&gt;"",E2510,IF(B2510="","",IFERROR(IF(INDEX(pr_price,MATCH(B2510,pr_code,0))="","",INDEX(pr_price,MATCH(B2510,pr_code,0))),""))))</f>
        <v/>
      </c>
      <c r="K2510" s="71" t="str">
        <f>IF(COUNTA(A2510:G2510)=0,"",IF(G2510&lt;&gt;"",G2510,IF(B2510="","",IFERROR(IF(INDEX(pr_rate,MATCH(B2510,pr_code,0))="","",INDEX(pr_rate,MATCH(B2510,pr_code,0))),""))))</f>
        <v/>
      </c>
      <c r="L2510" s="65" t="str">
        <f>IF(COUNTA(A2510:G2510)=0,"",IF(AND(ISNUMBER(D2510),ISNUMBER(J2510)),ROUND(D2510*J2510*(1-N(F2510)),2),0))</f>
        <v/>
      </c>
      <c r="M2510" s="62" t="str">
        <f>IF(A2510="","",IFERROR(INDEX(fa_cname,MATCH(A2510,fa_num,0))&amp;"",""))</f>
        <v/>
      </c>
      <c r="N2510" s="59" t="str">
        <f>IF(COUNTA(A2510:G2510)=0,"",IF(A2510="","N° facture manquant",IF(ISNA(MATCH(A2510,fa_num,0)),"Facture inconnue",IF(AND(B2510&lt;&gt;"",ISNA(MATCH(B2510,pr_code,0))),"Article inconnu",IF(H2510="","Désignation manquante",IF(OR(NOT(ISNUMBER(D2510)),N(D2510)&lt;=0),"Quantité invalide",IF(J2510="","Prix manquant",IF(OR(NOT(ISNUMBER(J2510)),N(J2510)&lt;0),"Prix invalide",IF(OR(AND(F2510&lt;&gt;"",NOT(ISNUMBER(F2510))),N(F2510)&lt;0,N(F2510)&gt;1),"Remise invalide",IF(K2510="","Taux de TVA manquant",IF(NOT(ISNUMBER(K2510)),"Taux de TVA invalide",IF(COUNTIF(p_rates,K2510)=0,"Taux de TVA hors liste (Paramètres)",IF(N(O2510)&gt;25,"Au-delà de 25 lignes : non imprimée","OK")))))))))))))</f>
        <v/>
      </c>
      <c r="O2510" s="59" t="str">
        <f>IF(A2510="","",COUNTIF($A$6:A2510,A2510))</f>
        <v/>
      </c>
      <c r="P2510" s="62" t="str">
        <f>IF(A2510="","",A2510&amp;"|"&amp;O2510)</f>
        <v/>
      </c>
    </row>
    <row r="2511">
      <c r="A2511" s="60" t="n"/>
      <c r="B2511" s="63" t="n"/>
      <c r="C2511" s="63" t="n"/>
      <c r="D2511" s="67" t="n"/>
      <c r="E2511" s="68" t="n"/>
      <c r="F2511" s="69" t="n"/>
      <c r="G2511" s="70" t="n"/>
      <c r="H2511" s="62" t="str">
        <f>IF(COUNTA(A2511:G2511)=0,"",IF(C2511&lt;&gt;"",C2511,IF(B2511="","",IFERROR(INDEX(pr_des,MATCH(B2511,pr_code,0))&amp;"",""))))</f>
        <v/>
      </c>
      <c r="I2511" s="59" t="str">
        <f>IF(B2511="","",IFERROR(INDEX(pr_unit,MATCH(B2511,pr_code,0))&amp;"",""))</f>
        <v/>
      </c>
      <c r="J2511" s="65" t="str">
        <f>IF(COUNTA(A2511:G2511)=0,"",IF(E2511&lt;&gt;"",E2511,IF(B2511="","",IFERROR(IF(INDEX(pr_price,MATCH(B2511,pr_code,0))="","",INDEX(pr_price,MATCH(B2511,pr_code,0))),""))))</f>
        <v/>
      </c>
      <c r="K2511" s="71" t="str">
        <f>IF(COUNTA(A2511:G2511)=0,"",IF(G2511&lt;&gt;"",G2511,IF(B2511="","",IFERROR(IF(INDEX(pr_rate,MATCH(B2511,pr_code,0))="","",INDEX(pr_rate,MATCH(B2511,pr_code,0))),""))))</f>
        <v/>
      </c>
      <c r="L2511" s="65" t="str">
        <f>IF(COUNTA(A2511:G2511)=0,"",IF(AND(ISNUMBER(D2511),ISNUMBER(J2511)),ROUND(D2511*J2511*(1-N(F2511)),2),0))</f>
        <v/>
      </c>
      <c r="M2511" s="62" t="str">
        <f>IF(A2511="","",IFERROR(INDEX(fa_cname,MATCH(A2511,fa_num,0))&amp;"",""))</f>
        <v/>
      </c>
      <c r="N2511" s="59" t="str">
        <f>IF(COUNTA(A2511:G2511)=0,"",IF(A2511="","N° facture manquant",IF(ISNA(MATCH(A2511,fa_num,0)),"Facture inconnue",IF(AND(B2511&lt;&gt;"",ISNA(MATCH(B2511,pr_code,0))),"Article inconnu",IF(H2511="","Désignation manquante",IF(OR(NOT(ISNUMBER(D2511)),N(D2511)&lt;=0),"Quantité invalide",IF(J2511="","Prix manquant",IF(OR(NOT(ISNUMBER(J2511)),N(J2511)&lt;0),"Prix invalide",IF(OR(AND(F2511&lt;&gt;"",NOT(ISNUMBER(F2511))),N(F2511)&lt;0,N(F2511)&gt;1),"Remise invalide",IF(K2511="","Taux de TVA manquant",IF(NOT(ISNUMBER(K2511)),"Taux de TVA invalide",IF(COUNTIF(p_rates,K2511)=0,"Taux de TVA hors liste (Paramètres)",IF(N(O2511)&gt;25,"Au-delà de 25 lignes : non imprimée","OK")))))))))))))</f>
        <v/>
      </c>
      <c r="O2511" s="59" t="str">
        <f>IF(A2511="","",COUNTIF($A$6:A2511,A2511))</f>
        <v/>
      </c>
      <c r="P2511" s="62" t="str">
        <f>IF(A2511="","",A2511&amp;"|"&amp;O2511)</f>
        <v/>
      </c>
    </row>
    <row r="2512">
      <c r="A2512" s="60" t="n"/>
      <c r="B2512" s="63" t="n"/>
      <c r="C2512" s="63" t="n"/>
      <c r="D2512" s="67" t="n"/>
      <c r="E2512" s="68" t="n"/>
      <c r="F2512" s="69" t="n"/>
      <c r="G2512" s="70" t="n"/>
      <c r="H2512" s="62" t="str">
        <f>IF(COUNTA(A2512:G2512)=0,"",IF(C2512&lt;&gt;"",C2512,IF(B2512="","",IFERROR(INDEX(pr_des,MATCH(B2512,pr_code,0))&amp;"",""))))</f>
        <v/>
      </c>
      <c r="I2512" s="59" t="str">
        <f>IF(B2512="","",IFERROR(INDEX(pr_unit,MATCH(B2512,pr_code,0))&amp;"",""))</f>
        <v/>
      </c>
      <c r="J2512" s="65" t="str">
        <f>IF(COUNTA(A2512:G2512)=0,"",IF(E2512&lt;&gt;"",E2512,IF(B2512="","",IFERROR(IF(INDEX(pr_price,MATCH(B2512,pr_code,0))="","",INDEX(pr_price,MATCH(B2512,pr_code,0))),""))))</f>
        <v/>
      </c>
      <c r="K2512" s="71" t="str">
        <f>IF(COUNTA(A2512:G2512)=0,"",IF(G2512&lt;&gt;"",G2512,IF(B2512="","",IFERROR(IF(INDEX(pr_rate,MATCH(B2512,pr_code,0))="","",INDEX(pr_rate,MATCH(B2512,pr_code,0))),""))))</f>
        <v/>
      </c>
      <c r="L2512" s="65" t="str">
        <f>IF(COUNTA(A2512:G2512)=0,"",IF(AND(ISNUMBER(D2512),ISNUMBER(J2512)),ROUND(D2512*J2512*(1-N(F2512)),2),0))</f>
        <v/>
      </c>
      <c r="M2512" s="62" t="str">
        <f>IF(A2512="","",IFERROR(INDEX(fa_cname,MATCH(A2512,fa_num,0))&amp;"",""))</f>
        <v/>
      </c>
      <c r="N2512" s="59" t="str">
        <f>IF(COUNTA(A2512:G2512)=0,"",IF(A2512="","N° facture manquant",IF(ISNA(MATCH(A2512,fa_num,0)),"Facture inconnue",IF(AND(B2512&lt;&gt;"",ISNA(MATCH(B2512,pr_code,0))),"Article inconnu",IF(H2512="","Désignation manquante",IF(OR(NOT(ISNUMBER(D2512)),N(D2512)&lt;=0),"Quantité invalide",IF(J2512="","Prix manquant",IF(OR(NOT(ISNUMBER(J2512)),N(J2512)&lt;0),"Prix invalide",IF(OR(AND(F2512&lt;&gt;"",NOT(ISNUMBER(F2512))),N(F2512)&lt;0,N(F2512)&gt;1),"Remise invalide",IF(K2512="","Taux de TVA manquant",IF(NOT(ISNUMBER(K2512)),"Taux de TVA invalide",IF(COUNTIF(p_rates,K2512)=0,"Taux de TVA hors liste (Paramètres)",IF(N(O2512)&gt;25,"Au-delà de 25 lignes : non imprimée","OK")))))))))))))</f>
        <v/>
      </c>
      <c r="O2512" s="59" t="str">
        <f>IF(A2512="","",COUNTIF($A$6:A2512,A2512))</f>
        <v/>
      </c>
      <c r="P2512" s="62" t="str">
        <f>IF(A2512="","",A2512&amp;"|"&amp;O2512)</f>
        <v/>
      </c>
    </row>
    <row r="2513">
      <c r="A2513" s="60" t="n"/>
      <c r="B2513" s="63" t="n"/>
      <c r="C2513" s="63" t="n"/>
      <c r="D2513" s="67" t="n"/>
      <c r="E2513" s="68" t="n"/>
      <c r="F2513" s="69" t="n"/>
      <c r="G2513" s="70" t="n"/>
      <c r="H2513" s="62" t="str">
        <f>IF(COUNTA(A2513:G2513)=0,"",IF(C2513&lt;&gt;"",C2513,IF(B2513="","",IFERROR(INDEX(pr_des,MATCH(B2513,pr_code,0))&amp;"",""))))</f>
        <v/>
      </c>
      <c r="I2513" s="59" t="str">
        <f>IF(B2513="","",IFERROR(INDEX(pr_unit,MATCH(B2513,pr_code,0))&amp;"",""))</f>
        <v/>
      </c>
      <c r="J2513" s="65" t="str">
        <f>IF(COUNTA(A2513:G2513)=0,"",IF(E2513&lt;&gt;"",E2513,IF(B2513="","",IFERROR(IF(INDEX(pr_price,MATCH(B2513,pr_code,0))="","",INDEX(pr_price,MATCH(B2513,pr_code,0))),""))))</f>
        <v/>
      </c>
      <c r="K2513" s="71" t="str">
        <f>IF(COUNTA(A2513:G2513)=0,"",IF(G2513&lt;&gt;"",G2513,IF(B2513="","",IFERROR(IF(INDEX(pr_rate,MATCH(B2513,pr_code,0))="","",INDEX(pr_rate,MATCH(B2513,pr_code,0))),""))))</f>
        <v/>
      </c>
      <c r="L2513" s="65" t="str">
        <f>IF(COUNTA(A2513:G2513)=0,"",IF(AND(ISNUMBER(D2513),ISNUMBER(J2513)),ROUND(D2513*J2513*(1-N(F2513)),2),0))</f>
        <v/>
      </c>
      <c r="M2513" s="62" t="str">
        <f>IF(A2513="","",IFERROR(INDEX(fa_cname,MATCH(A2513,fa_num,0))&amp;"",""))</f>
        <v/>
      </c>
      <c r="N2513" s="59" t="str">
        <f>IF(COUNTA(A2513:G2513)=0,"",IF(A2513="","N° facture manquant",IF(ISNA(MATCH(A2513,fa_num,0)),"Facture inconnue",IF(AND(B2513&lt;&gt;"",ISNA(MATCH(B2513,pr_code,0))),"Article inconnu",IF(H2513="","Désignation manquante",IF(OR(NOT(ISNUMBER(D2513)),N(D2513)&lt;=0),"Quantité invalide",IF(J2513="","Prix manquant",IF(OR(NOT(ISNUMBER(J2513)),N(J2513)&lt;0),"Prix invalide",IF(OR(AND(F2513&lt;&gt;"",NOT(ISNUMBER(F2513))),N(F2513)&lt;0,N(F2513)&gt;1),"Remise invalide",IF(K2513="","Taux de TVA manquant",IF(NOT(ISNUMBER(K2513)),"Taux de TVA invalide",IF(COUNTIF(p_rates,K2513)=0,"Taux de TVA hors liste (Paramètres)",IF(N(O2513)&gt;25,"Au-delà de 25 lignes : non imprimée","OK")))))))))))))</f>
        <v/>
      </c>
      <c r="O2513" s="59" t="str">
        <f>IF(A2513="","",COUNTIF($A$6:A2513,A2513))</f>
        <v/>
      </c>
      <c r="P2513" s="62" t="str">
        <f>IF(A2513="","",A2513&amp;"|"&amp;O2513)</f>
        <v/>
      </c>
    </row>
    <row r="2514">
      <c r="A2514" s="60" t="n"/>
      <c r="B2514" s="63" t="n"/>
      <c r="C2514" s="63" t="n"/>
      <c r="D2514" s="67" t="n"/>
      <c r="E2514" s="68" t="n"/>
      <c r="F2514" s="69" t="n"/>
      <c r="G2514" s="70" t="n"/>
      <c r="H2514" s="62" t="str">
        <f>IF(COUNTA(A2514:G2514)=0,"",IF(C2514&lt;&gt;"",C2514,IF(B2514="","",IFERROR(INDEX(pr_des,MATCH(B2514,pr_code,0))&amp;"",""))))</f>
        <v/>
      </c>
      <c r="I2514" s="59" t="str">
        <f>IF(B2514="","",IFERROR(INDEX(pr_unit,MATCH(B2514,pr_code,0))&amp;"",""))</f>
        <v/>
      </c>
      <c r="J2514" s="65" t="str">
        <f>IF(COUNTA(A2514:G2514)=0,"",IF(E2514&lt;&gt;"",E2514,IF(B2514="","",IFERROR(IF(INDEX(pr_price,MATCH(B2514,pr_code,0))="","",INDEX(pr_price,MATCH(B2514,pr_code,0))),""))))</f>
        <v/>
      </c>
      <c r="K2514" s="71" t="str">
        <f>IF(COUNTA(A2514:G2514)=0,"",IF(G2514&lt;&gt;"",G2514,IF(B2514="","",IFERROR(IF(INDEX(pr_rate,MATCH(B2514,pr_code,0))="","",INDEX(pr_rate,MATCH(B2514,pr_code,0))),""))))</f>
        <v/>
      </c>
      <c r="L2514" s="65" t="str">
        <f>IF(COUNTA(A2514:G2514)=0,"",IF(AND(ISNUMBER(D2514),ISNUMBER(J2514)),ROUND(D2514*J2514*(1-N(F2514)),2),0))</f>
        <v/>
      </c>
      <c r="M2514" s="62" t="str">
        <f>IF(A2514="","",IFERROR(INDEX(fa_cname,MATCH(A2514,fa_num,0))&amp;"",""))</f>
        <v/>
      </c>
      <c r="N2514" s="59" t="str">
        <f>IF(COUNTA(A2514:G2514)=0,"",IF(A2514="","N° facture manquant",IF(ISNA(MATCH(A2514,fa_num,0)),"Facture inconnue",IF(AND(B2514&lt;&gt;"",ISNA(MATCH(B2514,pr_code,0))),"Article inconnu",IF(H2514="","Désignation manquante",IF(OR(NOT(ISNUMBER(D2514)),N(D2514)&lt;=0),"Quantité invalide",IF(J2514="","Prix manquant",IF(OR(NOT(ISNUMBER(J2514)),N(J2514)&lt;0),"Prix invalide",IF(OR(AND(F2514&lt;&gt;"",NOT(ISNUMBER(F2514))),N(F2514)&lt;0,N(F2514)&gt;1),"Remise invalide",IF(K2514="","Taux de TVA manquant",IF(NOT(ISNUMBER(K2514)),"Taux de TVA invalide",IF(COUNTIF(p_rates,K2514)=0,"Taux de TVA hors liste (Paramètres)",IF(N(O2514)&gt;25,"Au-delà de 25 lignes : non imprimée","OK")))))))))))))</f>
        <v/>
      </c>
      <c r="O2514" s="59" t="str">
        <f>IF(A2514="","",COUNTIF($A$6:A2514,A2514))</f>
        <v/>
      </c>
      <c r="P2514" s="62" t="str">
        <f>IF(A2514="","",A2514&amp;"|"&amp;O2514)</f>
        <v/>
      </c>
    </row>
    <row r="2515">
      <c r="A2515" s="60" t="n"/>
      <c r="B2515" s="63" t="n"/>
      <c r="C2515" s="63" t="n"/>
      <c r="D2515" s="67" t="n"/>
      <c r="E2515" s="68" t="n"/>
      <c r="F2515" s="69" t="n"/>
      <c r="G2515" s="70" t="n"/>
      <c r="H2515" s="62" t="str">
        <f>IF(COUNTA(A2515:G2515)=0,"",IF(C2515&lt;&gt;"",C2515,IF(B2515="","",IFERROR(INDEX(pr_des,MATCH(B2515,pr_code,0))&amp;"",""))))</f>
        <v/>
      </c>
      <c r="I2515" s="59" t="str">
        <f>IF(B2515="","",IFERROR(INDEX(pr_unit,MATCH(B2515,pr_code,0))&amp;"",""))</f>
        <v/>
      </c>
      <c r="J2515" s="65" t="str">
        <f>IF(COUNTA(A2515:G2515)=0,"",IF(E2515&lt;&gt;"",E2515,IF(B2515="","",IFERROR(IF(INDEX(pr_price,MATCH(B2515,pr_code,0))="","",INDEX(pr_price,MATCH(B2515,pr_code,0))),""))))</f>
        <v/>
      </c>
      <c r="K2515" s="71" t="str">
        <f>IF(COUNTA(A2515:G2515)=0,"",IF(G2515&lt;&gt;"",G2515,IF(B2515="","",IFERROR(IF(INDEX(pr_rate,MATCH(B2515,pr_code,0))="","",INDEX(pr_rate,MATCH(B2515,pr_code,0))),""))))</f>
        <v/>
      </c>
      <c r="L2515" s="65" t="str">
        <f>IF(COUNTA(A2515:G2515)=0,"",IF(AND(ISNUMBER(D2515),ISNUMBER(J2515)),ROUND(D2515*J2515*(1-N(F2515)),2),0))</f>
        <v/>
      </c>
      <c r="M2515" s="62" t="str">
        <f>IF(A2515="","",IFERROR(INDEX(fa_cname,MATCH(A2515,fa_num,0))&amp;"",""))</f>
        <v/>
      </c>
      <c r="N2515" s="59" t="str">
        <f>IF(COUNTA(A2515:G2515)=0,"",IF(A2515="","N° facture manquant",IF(ISNA(MATCH(A2515,fa_num,0)),"Facture inconnue",IF(AND(B2515&lt;&gt;"",ISNA(MATCH(B2515,pr_code,0))),"Article inconnu",IF(H2515="","Désignation manquante",IF(OR(NOT(ISNUMBER(D2515)),N(D2515)&lt;=0),"Quantité invalide",IF(J2515="","Prix manquant",IF(OR(NOT(ISNUMBER(J2515)),N(J2515)&lt;0),"Prix invalide",IF(OR(AND(F2515&lt;&gt;"",NOT(ISNUMBER(F2515))),N(F2515)&lt;0,N(F2515)&gt;1),"Remise invalide",IF(K2515="","Taux de TVA manquant",IF(NOT(ISNUMBER(K2515)),"Taux de TVA invalide",IF(COUNTIF(p_rates,K2515)=0,"Taux de TVA hors liste (Paramètres)",IF(N(O2515)&gt;25,"Au-delà de 25 lignes : non imprimée","OK")))))))))))))</f>
        <v/>
      </c>
      <c r="O2515" s="59" t="str">
        <f>IF(A2515="","",COUNTIF($A$6:A2515,A2515))</f>
        <v/>
      </c>
      <c r="P2515" s="62" t="str">
        <f>IF(A2515="","",A2515&amp;"|"&amp;O2515)</f>
        <v/>
      </c>
    </row>
    <row r="2516">
      <c r="A2516" s="60" t="n"/>
      <c r="B2516" s="63" t="n"/>
      <c r="C2516" s="63" t="n"/>
      <c r="D2516" s="67" t="n"/>
      <c r="E2516" s="68" t="n"/>
      <c r="F2516" s="69" t="n"/>
      <c r="G2516" s="70" t="n"/>
      <c r="H2516" s="62" t="str">
        <f>IF(COUNTA(A2516:G2516)=0,"",IF(C2516&lt;&gt;"",C2516,IF(B2516="","",IFERROR(INDEX(pr_des,MATCH(B2516,pr_code,0))&amp;"",""))))</f>
        <v/>
      </c>
      <c r="I2516" s="59" t="str">
        <f>IF(B2516="","",IFERROR(INDEX(pr_unit,MATCH(B2516,pr_code,0))&amp;"",""))</f>
        <v/>
      </c>
      <c r="J2516" s="65" t="str">
        <f>IF(COUNTA(A2516:G2516)=0,"",IF(E2516&lt;&gt;"",E2516,IF(B2516="","",IFERROR(IF(INDEX(pr_price,MATCH(B2516,pr_code,0))="","",INDEX(pr_price,MATCH(B2516,pr_code,0))),""))))</f>
        <v/>
      </c>
      <c r="K2516" s="71" t="str">
        <f>IF(COUNTA(A2516:G2516)=0,"",IF(G2516&lt;&gt;"",G2516,IF(B2516="","",IFERROR(IF(INDEX(pr_rate,MATCH(B2516,pr_code,0))="","",INDEX(pr_rate,MATCH(B2516,pr_code,0))),""))))</f>
        <v/>
      </c>
      <c r="L2516" s="65" t="str">
        <f>IF(COUNTA(A2516:G2516)=0,"",IF(AND(ISNUMBER(D2516),ISNUMBER(J2516)),ROUND(D2516*J2516*(1-N(F2516)),2),0))</f>
        <v/>
      </c>
      <c r="M2516" s="62" t="str">
        <f>IF(A2516="","",IFERROR(INDEX(fa_cname,MATCH(A2516,fa_num,0))&amp;"",""))</f>
        <v/>
      </c>
      <c r="N2516" s="59" t="str">
        <f>IF(COUNTA(A2516:G2516)=0,"",IF(A2516="","N° facture manquant",IF(ISNA(MATCH(A2516,fa_num,0)),"Facture inconnue",IF(AND(B2516&lt;&gt;"",ISNA(MATCH(B2516,pr_code,0))),"Article inconnu",IF(H2516="","Désignation manquante",IF(OR(NOT(ISNUMBER(D2516)),N(D2516)&lt;=0),"Quantité invalide",IF(J2516="","Prix manquant",IF(OR(NOT(ISNUMBER(J2516)),N(J2516)&lt;0),"Prix invalide",IF(OR(AND(F2516&lt;&gt;"",NOT(ISNUMBER(F2516))),N(F2516)&lt;0,N(F2516)&gt;1),"Remise invalide",IF(K2516="","Taux de TVA manquant",IF(NOT(ISNUMBER(K2516)),"Taux de TVA invalide",IF(COUNTIF(p_rates,K2516)=0,"Taux de TVA hors liste (Paramètres)",IF(N(O2516)&gt;25,"Au-delà de 25 lignes : non imprimée","OK")))))))))))))</f>
        <v/>
      </c>
      <c r="O2516" s="59" t="str">
        <f>IF(A2516="","",COUNTIF($A$6:A2516,A2516))</f>
        <v/>
      </c>
      <c r="P2516" s="62" t="str">
        <f>IF(A2516="","",A2516&amp;"|"&amp;O2516)</f>
        <v/>
      </c>
    </row>
    <row r="2517">
      <c r="A2517" s="60" t="n"/>
      <c r="B2517" s="63" t="n"/>
      <c r="C2517" s="63" t="n"/>
      <c r="D2517" s="67" t="n"/>
      <c r="E2517" s="68" t="n"/>
      <c r="F2517" s="69" t="n"/>
      <c r="G2517" s="70" t="n"/>
      <c r="H2517" s="62" t="str">
        <f>IF(COUNTA(A2517:G2517)=0,"",IF(C2517&lt;&gt;"",C2517,IF(B2517="","",IFERROR(INDEX(pr_des,MATCH(B2517,pr_code,0))&amp;"",""))))</f>
        <v/>
      </c>
      <c r="I2517" s="59" t="str">
        <f>IF(B2517="","",IFERROR(INDEX(pr_unit,MATCH(B2517,pr_code,0))&amp;"",""))</f>
        <v/>
      </c>
      <c r="J2517" s="65" t="str">
        <f>IF(COUNTA(A2517:G2517)=0,"",IF(E2517&lt;&gt;"",E2517,IF(B2517="","",IFERROR(IF(INDEX(pr_price,MATCH(B2517,pr_code,0))="","",INDEX(pr_price,MATCH(B2517,pr_code,0))),""))))</f>
        <v/>
      </c>
      <c r="K2517" s="71" t="str">
        <f>IF(COUNTA(A2517:G2517)=0,"",IF(G2517&lt;&gt;"",G2517,IF(B2517="","",IFERROR(IF(INDEX(pr_rate,MATCH(B2517,pr_code,0))="","",INDEX(pr_rate,MATCH(B2517,pr_code,0))),""))))</f>
        <v/>
      </c>
      <c r="L2517" s="65" t="str">
        <f>IF(COUNTA(A2517:G2517)=0,"",IF(AND(ISNUMBER(D2517),ISNUMBER(J2517)),ROUND(D2517*J2517*(1-N(F2517)),2),0))</f>
        <v/>
      </c>
      <c r="M2517" s="62" t="str">
        <f>IF(A2517="","",IFERROR(INDEX(fa_cname,MATCH(A2517,fa_num,0))&amp;"",""))</f>
        <v/>
      </c>
      <c r="N2517" s="59" t="str">
        <f>IF(COUNTA(A2517:G2517)=0,"",IF(A2517="","N° facture manquant",IF(ISNA(MATCH(A2517,fa_num,0)),"Facture inconnue",IF(AND(B2517&lt;&gt;"",ISNA(MATCH(B2517,pr_code,0))),"Article inconnu",IF(H2517="","Désignation manquante",IF(OR(NOT(ISNUMBER(D2517)),N(D2517)&lt;=0),"Quantité invalide",IF(J2517="","Prix manquant",IF(OR(NOT(ISNUMBER(J2517)),N(J2517)&lt;0),"Prix invalide",IF(OR(AND(F2517&lt;&gt;"",NOT(ISNUMBER(F2517))),N(F2517)&lt;0,N(F2517)&gt;1),"Remise invalide",IF(K2517="","Taux de TVA manquant",IF(NOT(ISNUMBER(K2517)),"Taux de TVA invalide",IF(COUNTIF(p_rates,K2517)=0,"Taux de TVA hors liste (Paramètres)",IF(N(O2517)&gt;25,"Au-delà de 25 lignes : non imprimée","OK")))))))))))))</f>
        <v/>
      </c>
      <c r="O2517" s="59" t="str">
        <f>IF(A2517="","",COUNTIF($A$6:A2517,A2517))</f>
        <v/>
      </c>
      <c r="P2517" s="62" t="str">
        <f>IF(A2517="","",A2517&amp;"|"&amp;O2517)</f>
        <v/>
      </c>
    </row>
    <row r="2518">
      <c r="A2518" s="60" t="n"/>
      <c r="B2518" s="63" t="n"/>
      <c r="C2518" s="63" t="n"/>
      <c r="D2518" s="67" t="n"/>
      <c r="E2518" s="68" t="n"/>
      <c r="F2518" s="69" t="n"/>
      <c r="G2518" s="70" t="n"/>
      <c r="H2518" s="62" t="str">
        <f>IF(COUNTA(A2518:G2518)=0,"",IF(C2518&lt;&gt;"",C2518,IF(B2518="","",IFERROR(INDEX(pr_des,MATCH(B2518,pr_code,0))&amp;"",""))))</f>
        <v/>
      </c>
      <c r="I2518" s="59" t="str">
        <f>IF(B2518="","",IFERROR(INDEX(pr_unit,MATCH(B2518,pr_code,0))&amp;"",""))</f>
        <v/>
      </c>
      <c r="J2518" s="65" t="str">
        <f>IF(COUNTA(A2518:G2518)=0,"",IF(E2518&lt;&gt;"",E2518,IF(B2518="","",IFERROR(IF(INDEX(pr_price,MATCH(B2518,pr_code,0))="","",INDEX(pr_price,MATCH(B2518,pr_code,0))),""))))</f>
        <v/>
      </c>
      <c r="K2518" s="71" t="str">
        <f>IF(COUNTA(A2518:G2518)=0,"",IF(G2518&lt;&gt;"",G2518,IF(B2518="","",IFERROR(IF(INDEX(pr_rate,MATCH(B2518,pr_code,0))="","",INDEX(pr_rate,MATCH(B2518,pr_code,0))),""))))</f>
        <v/>
      </c>
      <c r="L2518" s="65" t="str">
        <f>IF(COUNTA(A2518:G2518)=0,"",IF(AND(ISNUMBER(D2518),ISNUMBER(J2518)),ROUND(D2518*J2518*(1-N(F2518)),2),0))</f>
        <v/>
      </c>
      <c r="M2518" s="62" t="str">
        <f>IF(A2518="","",IFERROR(INDEX(fa_cname,MATCH(A2518,fa_num,0))&amp;"",""))</f>
        <v/>
      </c>
      <c r="N2518" s="59" t="str">
        <f>IF(COUNTA(A2518:G2518)=0,"",IF(A2518="","N° facture manquant",IF(ISNA(MATCH(A2518,fa_num,0)),"Facture inconnue",IF(AND(B2518&lt;&gt;"",ISNA(MATCH(B2518,pr_code,0))),"Article inconnu",IF(H2518="","Désignation manquante",IF(OR(NOT(ISNUMBER(D2518)),N(D2518)&lt;=0),"Quantité invalide",IF(J2518="","Prix manquant",IF(OR(NOT(ISNUMBER(J2518)),N(J2518)&lt;0),"Prix invalide",IF(OR(AND(F2518&lt;&gt;"",NOT(ISNUMBER(F2518))),N(F2518)&lt;0,N(F2518)&gt;1),"Remise invalide",IF(K2518="","Taux de TVA manquant",IF(NOT(ISNUMBER(K2518)),"Taux de TVA invalide",IF(COUNTIF(p_rates,K2518)=0,"Taux de TVA hors liste (Paramètres)",IF(N(O2518)&gt;25,"Au-delà de 25 lignes : non imprimée","OK")))))))))))))</f>
        <v/>
      </c>
      <c r="O2518" s="59" t="str">
        <f>IF(A2518="","",COUNTIF($A$6:A2518,A2518))</f>
        <v/>
      </c>
      <c r="P2518" s="62" t="str">
        <f>IF(A2518="","",A2518&amp;"|"&amp;O2518)</f>
        <v/>
      </c>
    </row>
    <row r="2519">
      <c r="A2519" s="60" t="n"/>
      <c r="B2519" s="63" t="n"/>
      <c r="C2519" s="63" t="n"/>
      <c r="D2519" s="67" t="n"/>
      <c r="E2519" s="68" t="n"/>
      <c r="F2519" s="69" t="n"/>
      <c r="G2519" s="70" t="n"/>
      <c r="H2519" s="62" t="str">
        <f>IF(COUNTA(A2519:G2519)=0,"",IF(C2519&lt;&gt;"",C2519,IF(B2519="","",IFERROR(INDEX(pr_des,MATCH(B2519,pr_code,0))&amp;"",""))))</f>
        <v/>
      </c>
      <c r="I2519" s="59" t="str">
        <f>IF(B2519="","",IFERROR(INDEX(pr_unit,MATCH(B2519,pr_code,0))&amp;"",""))</f>
        <v/>
      </c>
      <c r="J2519" s="65" t="str">
        <f>IF(COUNTA(A2519:G2519)=0,"",IF(E2519&lt;&gt;"",E2519,IF(B2519="","",IFERROR(IF(INDEX(pr_price,MATCH(B2519,pr_code,0))="","",INDEX(pr_price,MATCH(B2519,pr_code,0))),""))))</f>
        <v/>
      </c>
      <c r="K2519" s="71" t="str">
        <f>IF(COUNTA(A2519:G2519)=0,"",IF(G2519&lt;&gt;"",G2519,IF(B2519="","",IFERROR(IF(INDEX(pr_rate,MATCH(B2519,pr_code,0))="","",INDEX(pr_rate,MATCH(B2519,pr_code,0))),""))))</f>
        <v/>
      </c>
      <c r="L2519" s="65" t="str">
        <f>IF(COUNTA(A2519:G2519)=0,"",IF(AND(ISNUMBER(D2519),ISNUMBER(J2519)),ROUND(D2519*J2519*(1-N(F2519)),2),0))</f>
        <v/>
      </c>
      <c r="M2519" s="62" t="str">
        <f>IF(A2519="","",IFERROR(INDEX(fa_cname,MATCH(A2519,fa_num,0))&amp;"",""))</f>
        <v/>
      </c>
      <c r="N2519" s="59" t="str">
        <f>IF(COUNTA(A2519:G2519)=0,"",IF(A2519="","N° facture manquant",IF(ISNA(MATCH(A2519,fa_num,0)),"Facture inconnue",IF(AND(B2519&lt;&gt;"",ISNA(MATCH(B2519,pr_code,0))),"Article inconnu",IF(H2519="","Désignation manquante",IF(OR(NOT(ISNUMBER(D2519)),N(D2519)&lt;=0),"Quantité invalide",IF(J2519="","Prix manquant",IF(OR(NOT(ISNUMBER(J2519)),N(J2519)&lt;0),"Prix invalide",IF(OR(AND(F2519&lt;&gt;"",NOT(ISNUMBER(F2519))),N(F2519)&lt;0,N(F2519)&gt;1),"Remise invalide",IF(K2519="","Taux de TVA manquant",IF(NOT(ISNUMBER(K2519)),"Taux de TVA invalide",IF(COUNTIF(p_rates,K2519)=0,"Taux de TVA hors liste (Paramètres)",IF(N(O2519)&gt;25,"Au-delà de 25 lignes : non imprimée","OK")))))))))))))</f>
        <v/>
      </c>
      <c r="O2519" s="59" t="str">
        <f>IF(A2519="","",COUNTIF($A$6:A2519,A2519))</f>
        <v/>
      </c>
      <c r="P2519" s="62" t="str">
        <f>IF(A2519="","",A2519&amp;"|"&amp;O2519)</f>
        <v/>
      </c>
    </row>
    <row r="2520">
      <c r="A2520" s="60" t="n"/>
      <c r="B2520" s="63" t="n"/>
      <c r="C2520" s="63" t="n"/>
      <c r="D2520" s="67" t="n"/>
      <c r="E2520" s="68" t="n"/>
      <c r="F2520" s="69" t="n"/>
      <c r="G2520" s="70" t="n"/>
      <c r="H2520" s="62" t="str">
        <f>IF(COUNTA(A2520:G2520)=0,"",IF(C2520&lt;&gt;"",C2520,IF(B2520="","",IFERROR(INDEX(pr_des,MATCH(B2520,pr_code,0))&amp;"",""))))</f>
        <v/>
      </c>
      <c r="I2520" s="59" t="str">
        <f>IF(B2520="","",IFERROR(INDEX(pr_unit,MATCH(B2520,pr_code,0))&amp;"",""))</f>
        <v/>
      </c>
      <c r="J2520" s="65" t="str">
        <f>IF(COUNTA(A2520:G2520)=0,"",IF(E2520&lt;&gt;"",E2520,IF(B2520="","",IFERROR(IF(INDEX(pr_price,MATCH(B2520,pr_code,0))="","",INDEX(pr_price,MATCH(B2520,pr_code,0))),""))))</f>
        <v/>
      </c>
      <c r="K2520" s="71" t="str">
        <f>IF(COUNTA(A2520:G2520)=0,"",IF(G2520&lt;&gt;"",G2520,IF(B2520="","",IFERROR(IF(INDEX(pr_rate,MATCH(B2520,pr_code,0))="","",INDEX(pr_rate,MATCH(B2520,pr_code,0))),""))))</f>
        <v/>
      </c>
      <c r="L2520" s="65" t="str">
        <f>IF(COUNTA(A2520:G2520)=0,"",IF(AND(ISNUMBER(D2520),ISNUMBER(J2520)),ROUND(D2520*J2520*(1-N(F2520)),2),0))</f>
        <v/>
      </c>
      <c r="M2520" s="62" t="str">
        <f>IF(A2520="","",IFERROR(INDEX(fa_cname,MATCH(A2520,fa_num,0))&amp;"",""))</f>
        <v/>
      </c>
      <c r="N2520" s="59" t="str">
        <f>IF(COUNTA(A2520:G2520)=0,"",IF(A2520="","N° facture manquant",IF(ISNA(MATCH(A2520,fa_num,0)),"Facture inconnue",IF(AND(B2520&lt;&gt;"",ISNA(MATCH(B2520,pr_code,0))),"Article inconnu",IF(H2520="","Désignation manquante",IF(OR(NOT(ISNUMBER(D2520)),N(D2520)&lt;=0),"Quantité invalide",IF(J2520="","Prix manquant",IF(OR(NOT(ISNUMBER(J2520)),N(J2520)&lt;0),"Prix invalide",IF(OR(AND(F2520&lt;&gt;"",NOT(ISNUMBER(F2520))),N(F2520)&lt;0,N(F2520)&gt;1),"Remise invalide",IF(K2520="","Taux de TVA manquant",IF(NOT(ISNUMBER(K2520)),"Taux de TVA invalide",IF(COUNTIF(p_rates,K2520)=0,"Taux de TVA hors liste (Paramètres)",IF(N(O2520)&gt;25,"Au-delà de 25 lignes : non imprimée","OK")))))))))))))</f>
        <v/>
      </c>
      <c r="O2520" s="59" t="str">
        <f>IF(A2520="","",COUNTIF($A$6:A2520,A2520))</f>
        <v/>
      </c>
      <c r="P2520" s="62" t="str">
        <f>IF(A2520="","",A2520&amp;"|"&amp;O2520)</f>
        <v/>
      </c>
    </row>
    <row r="2521">
      <c r="A2521" s="60" t="n"/>
      <c r="B2521" s="63" t="n"/>
      <c r="C2521" s="63" t="n"/>
      <c r="D2521" s="67" t="n"/>
      <c r="E2521" s="68" t="n"/>
      <c r="F2521" s="69" t="n"/>
      <c r="G2521" s="70" t="n"/>
      <c r="H2521" s="62" t="str">
        <f>IF(COUNTA(A2521:G2521)=0,"",IF(C2521&lt;&gt;"",C2521,IF(B2521="","",IFERROR(INDEX(pr_des,MATCH(B2521,pr_code,0))&amp;"",""))))</f>
        <v/>
      </c>
      <c r="I2521" s="59" t="str">
        <f>IF(B2521="","",IFERROR(INDEX(pr_unit,MATCH(B2521,pr_code,0))&amp;"",""))</f>
        <v/>
      </c>
      <c r="J2521" s="65" t="str">
        <f>IF(COUNTA(A2521:G2521)=0,"",IF(E2521&lt;&gt;"",E2521,IF(B2521="","",IFERROR(IF(INDEX(pr_price,MATCH(B2521,pr_code,0))="","",INDEX(pr_price,MATCH(B2521,pr_code,0))),""))))</f>
        <v/>
      </c>
      <c r="K2521" s="71" t="str">
        <f>IF(COUNTA(A2521:G2521)=0,"",IF(G2521&lt;&gt;"",G2521,IF(B2521="","",IFERROR(IF(INDEX(pr_rate,MATCH(B2521,pr_code,0))="","",INDEX(pr_rate,MATCH(B2521,pr_code,0))),""))))</f>
        <v/>
      </c>
      <c r="L2521" s="65" t="str">
        <f>IF(COUNTA(A2521:G2521)=0,"",IF(AND(ISNUMBER(D2521),ISNUMBER(J2521)),ROUND(D2521*J2521*(1-N(F2521)),2),0))</f>
        <v/>
      </c>
      <c r="M2521" s="62" t="str">
        <f>IF(A2521="","",IFERROR(INDEX(fa_cname,MATCH(A2521,fa_num,0))&amp;"",""))</f>
        <v/>
      </c>
      <c r="N2521" s="59" t="str">
        <f>IF(COUNTA(A2521:G2521)=0,"",IF(A2521="","N° facture manquant",IF(ISNA(MATCH(A2521,fa_num,0)),"Facture inconnue",IF(AND(B2521&lt;&gt;"",ISNA(MATCH(B2521,pr_code,0))),"Article inconnu",IF(H2521="","Désignation manquante",IF(OR(NOT(ISNUMBER(D2521)),N(D2521)&lt;=0),"Quantité invalide",IF(J2521="","Prix manquant",IF(OR(NOT(ISNUMBER(J2521)),N(J2521)&lt;0),"Prix invalide",IF(OR(AND(F2521&lt;&gt;"",NOT(ISNUMBER(F2521))),N(F2521)&lt;0,N(F2521)&gt;1),"Remise invalide",IF(K2521="","Taux de TVA manquant",IF(NOT(ISNUMBER(K2521)),"Taux de TVA invalide",IF(COUNTIF(p_rates,K2521)=0,"Taux de TVA hors liste (Paramètres)",IF(N(O2521)&gt;25,"Au-delà de 25 lignes : non imprimée","OK")))))))))))))</f>
        <v/>
      </c>
      <c r="O2521" s="59" t="str">
        <f>IF(A2521="","",COUNTIF($A$6:A2521,A2521))</f>
        <v/>
      </c>
      <c r="P2521" s="62" t="str">
        <f>IF(A2521="","",A2521&amp;"|"&amp;O2521)</f>
        <v/>
      </c>
    </row>
    <row r="2522">
      <c r="A2522" s="60" t="n"/>
      <c r="B2522" s="63" t="n"/>
      <c r="C2522" s="63" t="n"/>
      <c r="D2522" s="67" t="n"/>
      <c r="E2522" s="68" t="n"/>
      <c r="F2522" s="69" t="n"/>
      <c r="G2522" s="70" t="n"/>
      <c r="H2522" s="62" t="str">
        <f>IF(COUNTA(A2522:G2522)=0,"",IF(C2522&lt;&gt;"",C2522,IF(B2522="","",IFERROR(INDEX(pr_des,MATCH(B2522,pr_code,0))&amp;"",""))))</f>
        <v/>
      </c>
      <c r="I2522" s="59" t="str">
        <f>IF(B2522="","",IFERROR(INDEX(pr_unit,MATCH(B2522,pr_code,0))&amp;"",""))</f>
        <v/>
      </c>
      <c r="J2522" s="65" t="str">
        <f>IF(COUNTA(A2522:G2522)=0,"",IF(E2522&lt;&gt;"",E2522,IF(B2522="","",IFERROR(IF(INDEX(pr_price,MATCH(B2522,pr_code,0))="","",INDEX(pr_price,MATCH(B2522,pr_code,0))),""))))</f>
        <v/>
      </c>
      <c r="K2522" s="71" t="str">
        <f>IF(COUNTA(A2522:G2522)=0,"",IF(G2522&lt;&gt;"",G2522,IF(B2522="","",IFERROR(IF(INDEX(pr_rate,MATCH(B2522,pr_code,0))="","",INDEX(pr_rate,MATCH(B2522,pr_code,0))),""))))</f>
        <v/>
      </c>
      <c r="L2522" s="65" t="str">
        <f>IF(COUNTA(A2522:G2522)=0,"",IF(AND(ISNUMBER(D2522),ISNUMBER(J2522)),ROUND(D2522*J2522*(1-N(F2522)),2),0))</f>
        <v/>
      </c>
      <c r="M2522" s="62" t="str">
        <f>IF(A2522="","",IFERROR(INDEX(fa_cname,MATCH(A2522,fa_num,0))&amp;"",""))</f>
        <v/>
      </c>
      <c r="N2522" s="59" t="str">
        <f>IF(COUNTA(A2522:G2522)=0,"",IF(A2522="","N° facture manquant",IF(ISNA(MATCH(A2522,fa_num,0)),"Facture inconnue",IF(AND(B2522&lt;&gt;"",ISNA(MATCH(B2522,pr_code,0))),"Article inconnu",IF(H2522="","Désignation manquante",IF(OR(NOT(ISNUMBER(D2522)),N(D2522)&lt;=0),"Quantité invalide",IF(J2522="","Prix manquant",IF(OR(NOT(ISNUMBER(J2522)),N(J2522)&lt;0),"Prix invalide",IF(OR(AND(F2522&lt;&gt;"",NOT(ISNUMBER(F2522))),N(F2522)&lt;0,N(F2522)&gt;1),"Remise invalide",IF(K2522="","Taux de TVA manquant",IF(NOT(ISNUMBER(K2522)),"Taux de TVA invalide",IF(COUNTIF(p_rates,K2522)=0,"Taux de TVA hors liste (Paramètres)",IF(N(O2522)&gt;25,"Au-delà de 25 lignes : non imprimée","OK")))))))))))))</f>
        <v/>
      </c>
      <c r="O2522" s="59" t="str">
        <f>IF(A2522="","",COUNTIF($A$6:A2522,A2522))</f>
        <v/>
      </c>
      <c r="P2522" s="62" t="str">
        <f>IF(A2522="","",A2522&amp;"|"&amp;O2522)</f>
        <v/>
      </c>
    </row>
    <row r="2523">
      <c r="A2523" s="60" t="n"/>
      <c r="B2523" s="63" t="n"/>
      <c r="C2523" s="63" t="n"/>
      <c r="D2523" s="67" t="n"/>
      <c r="E2523" s="68" t="n"/>
      <c r="F2523" s="69" t="n"/>
      <c r="G2523" s="70" t="n"/>
      <c r="H2523" s="62" t="str">
        <f>IF(COUNTA(A2523:G2523)=0,"",IF(C2523&lt;&gt;"",C2523,IF(B2523="","",IFERROR(INDEX(pr_des,MATCH(B2523,pr_code,0))&amp;"",""))))</f>
        <v/>
      </c>
      <c r="I2523" s="59" t="str">
        <f>IF(B2523="","",IFERROR(INDEX(pr_unit,MATCH(B2523,pr_code,0))&amp;"",""))</f>
        <v/>
      </c>
      <c r="J2523" s="65" t="str">
        <f>IF(COUNTA(A2523:G2523)=0,"",IF(E2523&lt;&gt;"",E2523,IF(B2523="","",IFERROR(IF(INDEX(pr_price,MATCH(B2523,pr_code,0))="","",INDEX(pr_price,MATCH(B2523,pr_code,0))),""))))</f>
        <v/>
      </c>
      <c r="K2523" s="71" t="str">
        <f>IF(COUNTA(A2523:G2523)=0,"",IF(G2523&lt;&gt;"",G2523,IF(B2523="","",IFERROR(IF(INDEX(pr_rate,MATCH(B2523,pr_code,0))="","",INDEX(pr_rate,MATCH(B2523,pr_code,0))),""))))</f>
        <v/>
      </c>
      <c r="L2523" s="65" t="str">
        <f>IF(COUNTA(A2523:G2523)=0,"",IF(AND(ISNUMBER(D2523),ISNUMBER(J2523)),ROUND(D2523*J2523*(1-N(F2523)),2),0))</f>
        <v/>
      </c>
      <c r="M2523" s="62" t="str">
        <f>IF(A2523="","",IFERROR(INDEX(fa_cname,MATCH(A2523,fa_num,0))&amp;"",""))</f>
        <v/>
      </c>
      <c r="N2523" s="59" t="str">
        <f>IF(COUNTA(A2523:G2523)=0,"",IF(A2523="","N° facture manquant",IF(ISNA(MATCH(A2523,fa_num,0)),"Facture inconnue",IF(AND(B2523&lt;&gt;"",ISNA(MATCH(B2523,pr_code,0))),"Article inconnu",IF(H2523="","Désignation manquante",IF(OR(NOT(ISNUMBER(D2523)),N(D2523)&lt;=0),"Quantité invalide",IF(J2523="","Prix manquant",IF(OR(NOT(ISNUMBER(J2523)),N(J2523)&lt;0),"Prix invalide",IF(OR(AND(F2523&lt;&gt;"",NOT(ISNUMBER(F2523))),N(F2523)&lt;0,N(F2523)&gt;1),"Remise invalide",IF(K2523="","Taux de TVA manquant",IF(NOT(ISNUMBER(K2523)),"Taux de TVA invalide",IF(COUNTIF(p_rates,K2523)=0,"Taux de TVA hors liste (Paramètres)",IF(N(O2523)&gt;25,"Au-delà de 25 lignes : non imprimée","OK")))))))))))))</f>
        <v/>
      </c>
      <c r="O2523" s="59" t="str">
        <f>IF(A2523="","",COUNTIF($A$6:A2523,A2523))</f>
        <v/>
      </c>
      <c r="P2523" s="62" t="str">
        <f>IF(A2523="","",A2523&amp;"|"&amp;O2523)</f>
        <v/>
      </c>
    </row>
    <row r="2524">
      <c r="A2524" s="60" t="n"/>
      <c r="B2524" s="63" t="n"/>
      <c r="C2524" s="63" t="n"/>
      <c r="D2524" s="67" t="n"/>
      <c r="E2524" s="68" t="n"/>
      <c r="F2524" s="69" t="n"/>
      <c r="G2524" s="70" t="n"/>
      <c r="H2524" s="62" t="str">
        <f>IF(COUNTA(A2524:G2524)=0,"",IF(C2524&lt;&gt;"",C2524,IF(B2524="","",IFERROR(INDEX(pr_des,MATCH(B2524,pr_code,0))&amp;"",""))))</f>
        <v/>
      </c>
      <c r="I2524" s="59" t="str">
        <f>IF(B2524="","",IFERROR(INDEX(pr_unit,MATCH(B2524,pr_code,0))&amp;"",""))</f>
        <v/>
      </c>
      <c r="J2524" s="65" t="str">
        <f>IF(COUNTA(A2524:G2524)=0,"",IF(E2524&lt;&gt;"",E2524,IF(B2524="","",IFERROR(IF(INDEX(pr_price,MATCH(B2524,pr_code,0))="","",INDEX(pr_price,MATCH(B2524,pr_code,0))),""))))</f>
        <v/>
      </c>
      <c r="K2524" s="71" t="str">
        <f>IF(COUNTA(A2524:G2524)=0,"",IF(G2524&lt;&gt;"",G2524,IF(B2524="","",IFERROR(IF(INDEX(pr_rate,MATCH(B2524,pr_code,0))="","",INDEX(pr_rate,MATCH(B2524,pr_code,0))),""))))</f>
        <v/>
      </c>
      <c r="L2524" s="65" t="str">
        <f>IF(COUNTA(A2524:G2524)=0,"",IF(AND(ISNUMBER(D2524),ISNUMBER(J2524)),ROUND(D2524*J2524*(1-N(F2524)),2),0))</f>
        <v/>
      </c>
      <c r="M2524" s="62" t="str">
        <f>IF(A2524="","",IFERROR(INDEX(fa_cname,MATCH(A2524,fa_num,0))&amp;"",""))</f>
        <v/>
      </c>
      <c r="N2524" s="59" t="str">
        <f>IF(COUNTA(A2524:G2524)=0,"",IF(A2524="","N° facture manquant",IF(ISNA(MATCH(A2524,fa_num,0)),"Facture inconnue",IF(AND(B2524&lt;&gt;"",ISNA(MATCH(B2524,pr_code,0))),"Article inconnu",IF(H2524="","Désignation manquante",IF(OR(NOT(ISNUMBER(D2524)),N(D2524)&lt;=0),"Quantité invalide",IF(J2524="","Prix manquant",IF(OR(NOT(ISNUMBER(J2524)),N(J2524)&lt;0),"Prix invalide",IF(OR(AND(F2524&lt;&gt;"",NOT(ISNUMBER(F2524))),N(F2524)&lt;0,N(F2524)&gt;1),"Remise invalide",IF(K2524="","Taux de TVA manquant",IF(NOT(ISNUMBER(K2524)),"Taux de TVA invalide",IF(COUNTIF(p_rates,K2524)=0,"Taux de TVA hors liste (Paramètres)",IF(N(O2524)&gt;25,"Au-delà de 25 lignes : non imprimée","OK")))))))))))))</f>
        <v/>
      </c>
      <c r="O2524" s="59" t="str">
        <f>IF(A2524="","",COUNTIF($A$6:A2524,A2524))</f>
        <v/>
      </c>
      <c r="P2524" s="62" t="str">
        <f>IF(A2524="","",A2524&amp;"|"&amp;O2524)</f>
        <v/>
      </c>
    </row>
    <row r="2525">
      <c r="A2525" s="60" t="n"/>
      <c r="B2525" s="63" t="n"/>
      <c r="C2525" s="63" t="n"/>
      <c r="D2525" s="67" t="n"/>
      <c r="E2525" s="68" t="n"/>
      <c r="F2525" s="69" t="n"/>
      <c r="G2525" s="70" t="n"/>
      <c r="H2525" s="62" t="str">
        <f>IF(COUNTA(A2525:G2525)=0,"",IF(C2525&lt;&gt;"",C2525,IF(B2525="","",IFERROR(INDEX(pr_des,MATCH(B2525,pr_code,0))&amp;"",""))))</f>
        <v/>
      </c>
      <c r="I2525" s="59" t="str">
        <f>IF(B2525="","",IFERROR(INDEX(pr_unit,MATCH(B2525,pr_code,0))&amp;"",""))</f>
        <v/>
      </c>
      <c r="J2525" s="65" t="str">
        <f>IF(COUNTA(A2525:G2525)=0,"",IF(E2525&lt;&gt;"",E2525,IF(B2525="","",IFERROR(IF(INDEX(pr_price,MATCH(B2525,pr_code,0))="","",INDEX(pr_price,MATCH(B2525,pr_code,0))),""))))</f>
        <v/>
      </c>
      <c r="K2525" s="71" t="str">
        <f>IF(COUNTA(A2525:G2525)=0,"",IF(G2525&lt;&gt;"",G2525,IF(B2525="","",IFERROR(IF(INDEX(pr_rate,MATCH(B2525,pr_code,0))="","",INDEX(pr_rate,MATCH(B2525,pr_code,0))),""))))</f>
        <v/>
      </c>
      <c r="L2525" s="65" t="str">
        <f>IF(COUNTA(A2525:G2525)=0,"",IF(AND(ISNUMBER(D2525),ISNUMBER(J2525)),ROUND(D2525*J2525*(1-N(F2525)),2),0))</f>
        <v/>
      </c>
      <c r="M2525" s="62" t="str">
        <f>IF(A2525="","",IFERROR(INDEX(fa_cname,MATCH(A2525,fa_num,0))&amp;"",""))</f>
        <v/>
      </c>
      <c r="N2525" s="59" t="str">
        <f>IF(COUNTA(A2525:G2525)=0,"",IF(A2525="","N° facture manquant",IF(ISNA(MATCH(A2525,fa_num,0)),"Facture inconnue",IF(AND(B2525&lt;&gt;"",ISNA(MATCH(B2525,pr_code,0))),"Article inconnu",IF(H2525="","Désignation manquante",IF(OR(NOT(ISNUMBER(D2525)),N(D2525)&lt;=0),"Quantité invalide",IF(J2525="","Prix manquant",IF(OR(NOT(ISNUMBER(J2525)),N(J2525)&lt;0),"Prix invalide",IF(OR(AND(F2525&lt;&gt;"",NOT(ISNUMBER(F2525))),N(F2525)&lt;0,N(F2525)&gt;1),"Remise invalide",IF(K2525="","Taux de TVA manquant",IF(NOT(ISNUMBER(K2525)),"Taux de TVA invalide",IF(COUNTIF(p_rates,K2525)=0,"Taux de TVA hors liste (Paramètres)",IF(N(O2525)&gt;25,"Au-delà de 25 lignes : non imprimée","OK")))))))))))))</f>
        <v/>
      </c>
      <c r="O2525" s="59" t="str">
        <f>IF(A2525="","",COUNTIF($A$6:A2525,A2525))</f>
        <v/>
      </c>
      <c r="P2525" s="62" t="str">
        <f>IF(A2525="","",A2525&amp;"|"&amp;O2525)</f>
        <v/>
      </c>
    </row>
    <row r="2526">
      <c r="A2526" s="60" t="n"/>
      <c r="B2526" s="63" t="n"/>
      <c r="C2526" s="63" t="n"/>
      <c r="D2526" s="67" t="n"/>
      <c r="E2526" s="68" t="n"/>
      <c r="F2526" s="69" t="n"/>
      <c r="G2526" s="70" t="n"/>
      <c r="H2526" s="62" t="str">
        <f>IF(COUNTA(A2526:G2526)=0,"",IF(C2526&lt;&gt;"",C2526,IF(B2526="","",IFERROR(INDEX(pr_des,MATCH(B2526,pr_code,0))&amp;"",""))))</f>
        <v/>
      </c>
      <c r="I2526" s="59" t="str">
        <f>IF(B2526="","",IFERROR(INDEX(pr_unit,MATCH(B2526,pr_code,0))&amp;"",""))</f>
        <v/>
      </c>
      <c r="J2526" s="65" t="str">
        <f>IF(COUNTA(A2526:G2526)=0,"",IF(E2526&lt;&gt;"",E2526,IF(B2526="","",IFERROR(IF(INDEX(pr_price,MATCH(B2526,pr_code,0))="","",INDEX(pr_price,MATCH(B2526,pr_code,0))),""))))</f>
        <v/>
      </c>
      <c r="K2526" s="71" t="str">
        <f>IF(COUNTA(A2526:G2526)=0,"",IF(G2526&lt;&gt;"",G2526,IF(B2526="","",IFERROR(IF(INDEX(pr_rate,MATCH(B2526,pr_code,0))="","",INDEX(pr_rate,MATCH(B2526,pr_code,0))),""))))</f>
        <v/>
      </c>
      <c r="L2526" s="65" t="str">
        <f>IF(COUNTA(A2526:G2526)=0,"",IF(AND(ISNUMBER(D2526),ISNUMBER(J2526)),ROUND(D2526*J2526*(1-N(F2526)),2),0))</f>
        <v/>
      </c>
      <c r="M2526" s="62" t="str">
        <f>IF(A2526="","",IFERROR(INDEX(fa_cname,MATCH(A2526,fa_num,0))&amp;"",""))</f>
        <v/>
      </c>
      <c r="N2526" s="59" t="str">
        <f>IF(COUNTA(A2526:G2526)=0,"",IF(A2526="","N° facture manquant",IF(ISNA(MATCH(A2526,fa_num,0)),"Facture inconnue",IF(AND(B2526&lt;&gt;"",ISNA(MATCH(B2526,pr_code,0))),"Article inconnu",IF(H2526="","Désignation manquante",IF(OR(NOT(ISNUMBER(D2526)),N(D2526)&lt;=0),"Quantité invalide",IF(J2526="","Prix manquant",IF(OR(NOT(ISNUMBER(J2526)),N(J2526)&lt;0),"Prix invalide",IF(OR(AND(F2526&lt;&gt;"",NOT(ISNUMBER(F2526))),N(F2526)&lt;0,N(F2526)&gt;1),"Remise invalide",IF(K2526="","Taux de TVA manquant",IF(NOT(ISNUMBER(K2526)),"Taux de TVA invalide",IF(COUNTIF(p_rates,K2526)=0,"Taux de TVA hors liste (Paramètres)",IF(N(O2526)&gt;25,"Au-delà de 25 lignes : non imprimée","OK")))))))))))))</f>
        <v/>
      </c>
      <c r="O2526" s="59" t="str">
        <f>IF(A2526="","",COUNTIF($A$6:A2526,A2526))</f>
        <v/>
      </c>
      <c r="P2526" s="62" t="str">
        <f>IF(A2526="","",A2526&amp;"|"&amp;O2526)</f>
        <v/>
      </c>
    </row>
    <row r="2527">
      <c r="A2527" s="60" t="n"/>
      <c r="B2527" s="63" t="n"/>
      <c r="C2527" s="63" t="n"/>
      <c r="D2527" s="67" t="n"/>
      <c r="E2527" s="68" t="n"/>
      <c r="F2527" s="69" t="n"/>
      <c r="G2527" s="70" t="n"/>
      <c r="H2527" s="62" t="str">
        <f>IF(COUNTA(A2527:G2527)=0,"",IF(C2527&lt;&gt;"",C2527,IF(B2527="","",IFERROR(INDEX(pr_des,MATCH(B2527,pr_code,0))&amp;"",""))))</f>
        <v/>
      </c>
      <c r="I2527" s="59" t="str">
        <f>IF(B2527="","",IFERROR(INDEX(pr_unit,MATCH(B2527,pr_code,0))&amp;"",""))</f>
        <v/>
      </c>
      <c r="J2527" s="65" t="str">
        <f>IF(COUNTA(A2527:G2527)=0,"",IF(E2527&lt;&gt;"",E2527,IF(B2527="","",IFERROR(IF(INDEX(pr_price,MATCH(B2527,pr_code,0))="","",INDEX(pr_price,MATCH(B2527,pr_code,0))),""))))</f>
        <v/>
      </c>
      <c r="K2527" s="71" t="str">
        <f>IF(COUNTA(A2527:G2527)=0,"",IF(G2527&lt;&gt;"",G2527,IF(B2527="","",IFERROR(IF(INDEX(pr_rate,MATCH(B2527,pr_code,0))="","",INDEX(pr_rate,MATCH(B2527,pr_code,0))),""))))</f>
        <v/>
      </c>
      <c r="L2527" s="65" t="str">
        <f>IF(COUNTA(A2527:G2527)=0,"",IF(AND(ISNUMBER(D2527),ISNUMBER(J2527)),ROUND(D2527*J2527*(1-N(F2527)),2),0))</f>
        <v/>
      </c>
      <c r="M2527" s="62" t="str">
        <f>IF(A2527="","",IFERROR(INDEX(fa_cname,MATCH(A2527,fa_num,0))&amp;"",""))</f>
        <v/>
      </c>
      <c r="N2527" s="59" t="str">
        <f>IF(COUNTA(A2527:G2527)=0,"",IF(A2527="","N° facture manquant",IF(ISNA(MATCH(A2527,fa_num,0)),"Facture inconnue",IF(AND(B2527&lt;&gt;"",ISNA(MATCH(B2527,pr_code,0))),"Article inconnu",IF(H2527="","Désignation manquante",IF(OR(NOT(ISNUMBER(D2527)),N(D2527)&lt;=0),"Quantité invalide",IF(J2527="","Prix manquant",IF(OR(NOT(ISNUMBER(J2527)),N(J2527)&lt;0),"Prix invalide",IF(OR(AND(F2527&lt;&gt;"",NOT(ISNUMBER(F2527))),N(F2527)&lt;0,N(F2527)&gt;1),"Remise invalide",IF(K2527="","Taux de TVA manquant",IF(NOT(ISNUMBER(K2527)),"Taux de TVA invalide",IF(COUNTIF(p_rates,K2527)=0,"Taux de TVA hors liste (Paramètres)",IF(N(O2527)&gt;25,"Au-delà de 25 lignes : non imprimée","OK")))))))))))))</f>
        <v/>
      </c>
      <c r="O2527" s="59" t="str">
        <f>IF(A2527="","",COUNTIF($A$6:A2527,A2527))</f>
        <v/>
      </c>
      <c r="P2527" s="62" t="str">
        <f>IF(A2527="","",A2527&amp;"|"&amp;O2527)</f>
        <v/>
      </c>
    </row>
    <row r="2528">
      <c r="A2528" s="60" t="n"/>
      <c r="B2528" s="63" t="n"/>
      <c r="C2528" s="63" t="n"/>
      <c r="D2528" s="67" t="n"/>
      <c r="E2528" s="68" t="n"/>
      <c r="F2528" s="69" t="n"/>
      <c r="G2528" s="70" t="n"/>
      <c r="H2528" s="62" t="str">
        <f>IF(COUNTA(A2528:G2528)=0,"",IF(C2528&lt;&gt;"",C2528,IF(B2528="","",IFERROR(INDEX(pr_des,MATCH(B2528,pr_code,0))&amp;"",""))))</f>
        <v/>
      </c>
      <c r="I2528" s="59" t="str">
        <f>IF(B2528="","",IFERROR(INDEX(pr_unit,MATCH(B2528,pr_code,0))&amp;"",""))</f>
        <v/>
      </c>
      <c r="J2528" s="65" t="str">
        <f>IF(COUNTA(A2528:G2528)=0,"",IF(E2528&lt;&gt;"",E2528,IF(B2528="","",IFERROR(IF(INDEX(pr_price,MATCH(B2528,pr_code,0))="","",INDEX(pr_price,MATCH(B2528,pr_code,0))),""))))</f>
        <v/>
      </c>
      <c r="K2528" s="71" t="str">
        <f>IF(COUNTA(A2528:G2528)=0,"",IF(G2528&lt;&gt;"",G2528,IF(B2528="","",IFERROR(IF(INDEX(pr_rate,MATCH(B2528,pr_code,0))="","",INDEX(pr_rate,MATCH(B2528,pr_code,0))),""))))</f>
        <v/>
      </c>
      <c r="L2528" s="65" t="str">
        <f>IF(COUNTA(A2528:G2528)=0,"",IF(AND(ISNUMBER(D2528),ISNUMBER(J2528)),ROUND(D2528*J2528*(1-N(F2528)),2),0))</f>
        <v/>
      </c>
      <c r="M2528" s="62" t="str">
        <f>IF(A2528="","",IFERROR(INDEX(fa_cname,MATCH(A2528,fa_num,0))&amp;"",""))</f>
        <v/>
      </c>
      <c r="N2528" s="59" t="str">
        <f>IF(COUNTA(A2528:G2528)=0,"",IF(A2528="","N° facture manquant",IF(ISNA(MATCH(A2528,fa_num,0)),"Facture inconnue",IF(AND(B2528&lt;&gt;"",ISNA(MATCH(B2528,pr_code,0))),"Article inconnu",IF(H2528="","Désignation manquante",IF(OR(NOT(ISNUMBER(D2528)),N(D2528)&lt;=0),"Quantité invalide",IF(J2528="","Prix manquant",IF(OR(NOT(ISNUMBER(J2528)),N(J2528)&lt;0),"Prix invalide",IF(OR(AND(F2528&lt;&gt;"",NOT(ISNUMBER(F2528))),N(F2528)&lt;0,N(F2528)&gt;1),"Remise invalide",IF(K2528="","Taux de TVA manquant",IF(NOT(ISNUMBER(K2528)),"Taux de TVA invalide",IF(COUNTIF(p_rates,K2528)=0,"Taux de TVA hors liste (Paramètres)",IF(N(O2528)&gt;25,"Au-delà de 25 lignes : non imprimée","OK")))))))))))))</f>
        <v/>
      </c>
      <c r="O2528" s="59" t="str">
        <f>IF(A2528="","",COUNTIF($A$6:A2528,A2528))</f>
        <v/>
      </c>
      <c r="P2528" s="62" t="str">
        <f>IF(A2528="","",A2528&amp;"|"&amp;O2528)</f>
        <v/>
      </c>
    </row>
    <row r="2529">
      <c r="A2529" s="60" t="n"/>
      <c r="B2529" s="63" t="n"/>
      <c r="C2529" s="63" t="n"/>
      <c r="D2529" s="67" t="n"/>
      <c r="E2529" s="68" t="n"/>
      <c r="F2529" s="69" t="n"/>
      <c r="G2529" s="70" t="n"/>
      <c r="H2529" s="62" t="str">
        <f>IF(COUNTA(A2529:G2529)=0,"",IF(C2529&lt;&gt;"",C2529,IF(B2529="","",IFERROR(INDEX(pr_des,MATCH(B2529,pr_code,0))&amp;"",""))))</f>
        <v/>
      </c>
      <c r="I2529" s="59" t="str">
        <f>IF(B2529="","",IFERROR(INDEX(pr_unit,MATCH(B2529,pr_code,0))&amp;"",""))</f>
        <v/>
      </c>
      <c r="J2529" s="65" t="str">
        <f>IF(COUNTA(A2529:G2529)=0,"",IF(E2529&lt;&gt;"",E2529,IF(B2529="","",IFERROR(IF(INDEX(pr_price,MATCH(B2529,pr_code,0))="","",INDEX(pr_price,MATCH(B2529,pr_code,0))),""))))</f>
        <v/>
      </c>
      <c r="K2529" s="71" t="str">
        <f>IF(COUNTA(A2529:G2529)=0,"",IF(G2529&lt;&gt;"",G2529,IF(B2529="","",IFERROR(IF(INDEX(pr_rate,MATCH(B2529,pr_code,0))="","",INDEX(pr_rate,MATCH(B2529,pr_code,0))),""))))</f>
        <v/>
      </c>
      <c r="L2529" s="65" t="str">
        <f>IF(COUNTA(A2529:G2529)=0,"",IF(AND(ISNUMBER(D2529),ISNUMBER(J2529)),ROUND(D2529*J2529*(1-N(F2529)),2),0))</f>
        <v/>
      </c>
      <c r="M2529" s="62" t="str">
        <f>IF(A2529="","",IFERROR(INDEX(fa_cname,MATCH(A2529,fa_num,0))&amp;"",""))</f>
        <v/>
      </c>
      <c r="N2529" s="59" t="str">
        <f>IF(COUNTA(A2529:G2529)=0,"",IF(A2529="","N° facture manquant",IF(ISNA(MATCH(A2529,fa_num,0)),"Facture inconnue",IF(AND(B2529&lt;&gt;"",ISNA(MATCH(B2529,pr_code,0))),"Article inconnu",IF(H2529="","Désignation manquante",IF(OR(NOT(ISNUMBER(D2529)),N(D2529)&lt;=0),"Quantité invalide",IF(J2529="","Prix manquant",IF(OR(NOT(ISNUMBER(J2529)),N(J2529)&lt;0),"Prix invalide",IF(OR(AND(F2529&lt;&gt;"",NOT(ISNUMBER(F2529))),N(F2529)&lt;0,N(F2529)&gt;1),"Remise invalide",IF(K2529="","Taux de TVA manquant",IF(NOT(ISNUMBER(K2529)),"Taux de TVA invalide",IF(COUNTIF(p_rates,K2529)=0,"Taux de TVA hors liste (Paramètres)",IF(N(O2529)&gt;25,"Au-delà de 25 lignes : non imprimée","OK")))))))))))))</f>
        <v/>
      </c>
      <c r="O2529" s="59" t="str">
        <f>IF(A2529="","",COUNTIF($A$6:A2529,A2529))</f>
        <v/>
      </c>
      <c r="P2529" s="62" t="str">
        <f>IF(A2529="","",A2529&amp;"|"&amp;O2529)</f>
        <v/>
      </c>
    </row>
    <row r="2530">
      <c r="A2530" s="60" t="n"/>
      <c r="B2530" s="63" t="n"/>
      <c r="C2530" s="63" t="n"/>
      <c r="D2530" s="67" t="n"/>
      <c r="E2530" s="68" t="n"/>
      <c r="F2530" s="69" t="n"/>
      <c r="G2530" s="70" t="n"/>
      <c r="H2530" s="62" t="str">
        <f>IF(COUNTA(A2530:G2530)=0,"",IF(C2530&lt;&gt;"",C2530,IF(B2530="","",IFERROR(INDEX(pr_des,MATCH(B2530,pr_code,0))&amp;"",""))))</f>
        <v/>
      </c>
      <c r="I2530" s="59" t="str">
        <f>IF(B2530="","",IFERROR(INDEX(pr_unit,MATCH(B2530,pr_code,0))&amp;"",""))</f>
        <v/>
      </c>
      <c r="J2530" s="65" t="str">
        <f>IF(COUNTA(A2530:G2530)=0,"",IF(E2530&lt;&gt;"",E2530,IF(B2530="","",IFERROR(IF(INDEX(pr_price,MATCH(B2530,pr_code,0))="","",INDEX(pr_price,MATCH(B2530,pr_code,0))),""))))</f>
        <v/>
      </c>
      <c r="K2530" s="71" t="str">
        <f>IF(COUNTA(A2530:G2530)=0,"",IF(G2530&lt;&gt;"",G2530,IF(B2530="","",IFERROR(IF(INDEX(pr_rate,MATCH(B2530,pr_code,0))="","",INDEX(pr_rate,MATCH(B2530,pr_code,0))),""))))</f>
        <v/>
      </c>
      <c r="L2530" s="65" t="str">
        <f>IF(COUNTA(A2530:G2530)=0,"",IF(AND(ISNUMBER(D2530),ISNUMBER(J2530)),ROUND(D2530*J2530*(1-N(F2530)),2),0))</f>
        <v/>
      </c>
      <c r="M2530" s="62" t="str">
        <f>IF(A2530="","",IFERROR(INDEX(fa_cname,MATCH(A2530,fa_num,0))&amp;"",""))</f>
        <v/>
      </c>
      <c r="N2530" s="59" t="str">
        <f>IF(COUNTA(A2530:G2530)=0,"",IF(A2530="","N° facture manquant",IF(ISNA(MATCH(A2530,fa_num,0)),"Facture inconnue",IF(AND(B2530&lt;&gt;"",ISNA(MATCH(B2530,pr_code,0))),"Article inconnu",IF(H2530="","Désignation manquante",IF(OR(NOT(ISNUMBER(D2530)),N(D2530)&lt;=0),"Quantité invalide",IF(J2530="","Prix manquant",IF(OR(NOT(ISNUMBER(J2530)),N(J2530)&lt;0),"Prix invalide",IF(OR(AND(F2530&lt;&gt;"",NOT(ISNUMBER(F2530))),N(F2530)&lt;0,N(F2530)&gt;1),"Remise invalide",IF(K2530="","Taux de TVA manquant",IF(NOT(ISNUMBER(K2530)),"Taux de TVA invalide",IF(COUNTIF(p_rates,K2530)=0,"Taux de TVA hors liste (Paramètres)",IF(N(O2530)&gt;25,"Au-delà de 25 lignes : non imprimée","OK")))))))))))))</f>
        <v/>
      </c>
      <c r="O2530" s="59" t="str">
        <f>IF(A2530="","",COUNTIF($A$6:A2530,A2530))</f>
        <v/>
      </c>
      <c r="P2530" s="62" t="str">
        <f>IF(A2530="","",A2530&amp;"|"&amp;O2530)</f>
        <v/>
      </c>
    </row>
    <row r="2531">
      <c r="A2531" s="60" t="n"/>
      <c r="B2531" s="63" t="n"/>
      <c r="C2531" s="63" t="n"/>
      <c r="D2531" s="67" t="n"/>
      <c r="E2531" s="68" t="n"/>
      <c r="F2531" s="69" t="n"/>
      <c r="G2531" s="70" t="n"/>
      <c r="H2531" s="62" t="str">
        <f>IF(COUNTA(A2531:G2531)=0,"",IF(C2531&lt;&gt;"",C2531,IF(B2531="","",IFERROR(INDEX(pr_des,MATCH(B2531,pr_code,0))&amp;"",""))))</f>
        <v/>
      </c>
      <c r="I2531" s="59" t="str">
        <f>IF(B2531="","",IFERROR(INDEX(pr_unit,MATCH(B2531,pr_code,0))&amp;"",""))</f>
        <v/>
      </c>
      <c r="J2531" s="65" t="str">
        <f>IF(COUNTA(A2531:G2531)=0,"",IF(E2531&lt;&gt;"",E2531,IF(B2531="","",IFERROR(IF(INDEX(pr_price,MATCH(B2531,pr_code,0))="","",INDEX(pr_price,MATCH(B2531,pr_code,0))),""))))</f>
        <v/>
      </c>
      <c r="K2531" s="71" t="str">
        <f>IF(COUNTA(A2531:G2531)=0,"",IF(G2531&lt;&gt;"",G2531,IF(B2531="","",IFERROR(IF(INDEX(pr_rate,MATCH(B2531,pr_code,0))="","",INDEX(pr_rate,MATCH(B2531,pr_code,0))),""))))</f>
        <v/>
      </c>
      <c r="L2531" s="65" t="str">
        <f>IF(COUNTA(A2531:G2531)=0,"",IF(AND(ISNUMBER(D2531),ISNUMBER(J2531)),ROUND(D2531*J2531*(1-N(F2531)),2),0))</f>
        <v/>
      </c>
      <c r="M2531" s="62" t="str">
        <f>IF(A2531="","",IFERROR(INDEX(fa_cname,MATCH(A2531,fa_num,0))&amp;"",""))</f>
        <v/>
      </c>
      <c r="N2531" s="59" t="str">
        <f>IF(COUNTA(A2531:G2531)=0,"",IF(A2531="","N° facture manquant",IF(ISNA(MATCH(A2531,fa_num,0)),"Facture inconnue",IF(AND(B2531&lt;&gt;"",ISNA(MATCH(B2531,pr_code,0))),"Article inconnu",IF(H2531="","Désignation manquante",IF(OR(NOT(ISNUMBER(D2531)),N(D2531)&lt;=0),"Quantité invalide",IF(J2531="","Prix manquant",IF(OR(NOT(ISNUMBER(J2531)),N(J2531)&lt;0),"Prix invalide",IF(OR(AND(F2531&lt;&gt;"",NOT(ISNUMBER(F2531))),N(F2531)&lt;0,N(F2531)&gt;1),"Remise invalide",IF(K2531="","Taux de TVA manquant",IF(NOT(ISNUMBER(K2531)),"Taux de TVA invalide",IF(COUNTIF(p_rates,K2531)=0,"Taux de TVA hors liste (Paramètres)",IF(N(O2531)&gt;25,"Au-delà de 25 lignes : non imprimée","OK")))))))))))))</f>
        <v/>
      </c>
      <c r="O2531" s="59" t="str">
        <f>IF(A2531="","",COUNTIF($A$6:A2531,A2531))</f>
        <v/>
      </c>
      <c r="P2531" s="62" t="str">
        <f>IF(A2531="","",A2531&amp;"|"&amp;O2531)</f>
        <v/>
      </c>
    </row>
    <row r="2532">
      <c r="A2532" s="60" t="n"/>
      <c r="B2532" s="63" t="n"/>
      <c r="C2532" s="63" t="n"/>
      <c r="D2532" s="67" t="n"/>
      <c r="E2532" s="68" t="n"/>
      <c r="F2532" s="69" t="n"/>
      <c r="G2532" s="70" t="n"/>
      <c r="H2532" s="62" t="str">
        <f>IF(COUNTA(A2532:G2532)=0,"",IF(C2532&lt;&gt;"",C2532,IF(B2532="","",IFERROR(INDEX(pr_des,MATCH(B2532,pr_code,0))&amp;"",""))))</f>
        <v/>
      </c>
      <c r="I2532" s="59" t="str">
        <f>IF(B2532="","",IFERROR(INDEX(pr_unit,MATCH(B2532,pr_code,0))&amp;"",""))</f>
        <v/>
      </c>
      <c r="J2532" s="65" t="str">
        <f>IF(COUNTA(A2532:G2532)=0,"",IF(E2532&lt;&gt;"",E2532,IF(B2532="","",IFERROR(IF(INDEX(pr_price,MATCH(B2532,pr_code,0))="","",INDEX(pr_price,MATCH(B2532,pr_code,0))),""))))</f>
        <v/>
      </c>
      <c r="K2532" s="71" t="str">
        <f>IF(COUNTA(A2532:G2532)=0,"",IF(G2532&lt;&gt;"",G2532,IF(B2532="","",IFERROR(IF(INDEX(pr_rate,MATCH(B2532,pr_code,0))="","",INDEX(pr_rate,MATCH(B2532,pr_code,0))),""))))</f>
        <v/>
      </c>
      <c r="L2532" s="65" t="str">
        <f>IF(COUNTA(A2532:G2532)=0,"",IF(AND(ISNUMBER(D2532),ISNUMBER(J2532)),ROUND(D2532*J2532*(1-N(F2532)),2),0))</f>
        <v/>
      </c>
      <c r="M2532" s="62" t="str">
        <f>IF(A2532="","",IFERROR(INDEX(fa_cname,MATCH(A2532,fa_num,0))&amp;"",""))</f>
        <v/>
      </c>
      <c r="N2532" s="59" t="str">
        <f>IF(COUNTA(A2532:G2532)=0,"",IF(A2532="","N° facture manquant",IF(ISNA(MATCH(A2532,fa_num,0)),"Facture inconnue",IF(AND(B2532&lt;&gt;"",ISNA(MATCH(B2532,pr_code,0))),"Article inconnu",IF(H2532="","Désignation manquante",IF(OR(NOT(ISNUMBER(D2532)),N(D2532)&lt;=0),"Quantité invalide",IF(J2532="","Prix manquant",IF(OR(NOT(ISNUMBER(J2532)),N(J2532)&lt;0),"Prix invalide",IF(OR(AND(F2532&lt;&gt;"",NOT(ISNUMBER(F2532))),N(F2532)&lt;0,N(F2532)&gt;1),"Remise invalide",IF(K2532="","Taux de TVA manquant",IF(NOT(ISNUMBER(K2532)),"Taux de TVA invalide",IF(COUNTIF(p_rates,K2532)=0,"Taux de TVA hors liste (Paramètres)",IF(N(O2532)&gt;25,"Au-delà de 25 lignes : non imprimée","OK")))))))))))))</f>
        <v/>
      </c>
      <c r="O2532" s="59" t="str">
        <f>IF(A2532="","",COUNTIF($A$6:A2532,A2532))</f>
        <v/>
      </c>
      <c r="P2532" s="62" t="str">
        <f>IF(A2532="","",A2532&amp;"|"&amp;O2532)</f>
        <v/>
      </c>
    </row>
    <row r="2533">
      <c r="A2533" s="60" t="n"/>
      <c r="B2533" s="63" t="n"/>
      <c r="C2533" s="63" t="n"/>
      <c r="D2533" s="67" t="n"/>
      <c r="E2533" s="68" t="n"/>
      <c r="F2533" s="69" t="n"/>
      <c r="G2533" s="70" t="n"/>
      <c r="H2533" s="62" t="str">
        <f>IF(COUNTA(A2533:G2533)=0,"",IF(C2533&lt;&gt;"",C2533,IF(B2533="","",IFERROR(INDEX(pr_des,MATCH(B2533,pr_code,0))&amp;"",""))))</f>
        <v/>
      </c>
      <c r="I2533" s="59" t="str">
        <f>IF(B2533="","",IFERROR(INDEX(pr_unit,MATCH(B2533,pr_code,0))&amp;"",""))</f>
        <v/>
      </c>
      <c r="J2533" s="65" t="str">
        <f>IF(COUNTA(A2533:G2533)=0,"",IF(E2533&lt;&gt;"",E2533,IF(B2533="","",IFERROR(IF(INDEX(pr_price,MATCH(B2533,pr_code,0))="","",INDEX(pr_price,MATCH(B2533,pr_code,0))),""))))</f>
        <v/>
      </c>
      <c r="K2533" s="71" t="str">
        <f>IF(COUNTA(A2533:G2533)=0,"",IF(G2533&lt;&gt;"",G2533,IF(B2533="","",IFERROR(IF(INDEX(pr_rate,MATCH(B2533,pr_code,0))="","",INDEX(pr_rate,MATCH(B2533,pr_code,0))),""))))</f>
        <v/>
      </c>
      <c r="L2533" s="65" t="str">
        <f>IF(COUNTA(A2533:G2533)=0,"",IF(AND(ISNUMBER(D2533),ISNUMBER(J2533)),ROUND(D2533*J2533*(1-N(F2533)),2),0))</f>
        <v/>
      </c>
      <c r="M2533" s="62" t="str">
        <f>IF(A2533="","",IFERROR(INDEX(fa_cname,MATCH(A2533,fa_num,0))&amp;"",""))</f>
        <v/>
      </c>
      <c r="N2533" s="59" t="str">
        <f>IF(COUNTA(A2533:G2533)=0,"",IF(A2533="","N° facture manquant",IF(ISNA(MATCH(A2533,fa_num,0)),"Facture inconnue",IF(AND(B2533&lt;&gt;"",ISNA(MATCH(B2533,pr_code,0))),"Article inconnu",IF(H2533="","Désignation manquante",IF(OR(NOT(ISNUMBER(D2533)),N(D2533)&lt;=0),"Quantité invalide",IF(J2533="","Prix manquant",IF(OR(NOT(ISNUMBER(J2533)),N(J2533)&lt;0),"Prix invalide",IF(OR(AND(F2533&lt;&gt;"",NOT(ISNUMBER(F2533))),N(F2533)&lt;0,N(F2533)&gt;1),"Remise invalide",IF(K2533="","Taux de TVA manquant",IF(NOT(ISNUMBER(K2533)),"Taux de TVA invalide",IF(COUNTIF(p_rates,K2533)=0,"Taux de TVA hors liste (Paramètres)",IF(N(O2533)&gt;25,"Au-delà de 25 lignes : non imprimée","OK")))))))))))))</f>
        <v/>
      </c>
      <c r="O2533" s="59" t="str">
        <f>IF(A2533="","",COUNTIF($A$6:A2533,A2533))</f>
        <v/>
      </c>
      <c r="P2533" s="62" t="str">
        <f>IF(A2533="","",A2533&amp;"|"&amp;O2533)</f>
        <v/>
      </c>
    </row>
    <row r="2534">
      <c r="A2534" s="60" t="n"/>
      <c r="B2534" s="63" t="n"/>
      <c r="C2534" s="63" t="n"/>
      <c r="D2534" s="67" t="n"/>
      <c r="E2534" s="68" t="n"/>
      <c r="F2534" s="69" t="n"/>
      <c r="G2534" s="70" t="n"/>
      <c r="H2534" s="62" t="str">
        <f>IF(COUNTA(A2534:G2534)=0,"",IF(C2534&lt;&gt;"",C2534,IF(B2534="","",IFERROR(INDEX(pr_des,MATCH(B2534,pr_code,0))&amp;"",""))))</f>
        <v/>
      </c>
      <c r="I2534" s="59" t="str">
        <f>IF(B2534="","",IFERROR(INDEX(pr_unit,MATCH(B2534,pr_code,0))&amp;"",""))</f>
        <v/>
      </c>
      <c r="J2534" s="65" t="str">
        <f>IF(COUNTA(A2534:G2534)=0,"",IF(E2534&lt;&gt;"",E2534,IF(B2534="","",IFERROR(IF(INDEX(pr_price,MATCH(B2534,pr_code,0))="","",INDEX(pr_price,MATCH(B2534,pr_code,0))),""))))</f>
        <v/>
      </c>
      <c r="K2534" s="71" t="str">
        <f>IF(COUNTA(A2534:G2534)=0,"",IF(G2534&lt;&gt;"",G2534,IF(B2534="","",IFERROR(IF(INDEX(pr_rate,MATCH(B2534,pr_code,0))="","",INDEX(pr_rate,MATCH(B2534,pr_code,0))),""))))</f>
        <v/>
      </c>
      <c r="L2534" s="65" t="str">
        <f>IF(COUNTA(A2534:G2534)=0,"",IF(AND(ISNUMBER(D2534),ISNUMBER(J2534)),ROUND(D2534*J2534*(1-N(F2534)),2),0))</f>
        <v/>
      </c>
      <c r="M2534" s="62" t="str">
        <f>IF(A2534="","",IFERROR(INDEX(fa_cname,MATCH(A2534,fa_num,0))&amp;"",""))</f>
        <v/>
      </c>
      <c r="N2534" s="59" t="str">
        <f>IF(COUNTA(A2534:G2534)=0,"",IF(A2534="","N° facture manquant",IF(ISNA(MATCH(A2534,fa_num,0)),"Facture inconnue",IF(AND(B2534&lt;&gt;"",ISNA(MATCH(B2534,pr_code,0))),"Article inconnu",IF(H2534="","Désignation manquante",IF(OR(NOT(ISNUMBER(D2534)),N(D2534)&lt;=0),"Quantité invalide",IF(J2534="","Prix manquant",IF(OR(NOT(ISNUMBER(J2534)),N(J2534)&lt;0),"Prix invalide",IF(OR(AND(F2534&lt;&gt;"",NOT(ISNUMBER(F2534))),N(F2534)&lt;0,N(F2534)&gt;1),"Remise invalide",IF(K2534="","Taux de TVA manquant",IF(NOT(ISNUMBER(K2534)),"Taux de TVA invalide",IF(COUNTIF(p_rates,K2534)=0,"Taux de TVA hors liste (Paramètres)",IF(N(O2534)&gt;25,"Au-delà de 25 lignes : non imprimée","OK")))))))))))))</f>
        <v/>
      </c>
      <c r="O2534" s="59" t="str">
        <f>IF(A2534="","",COUNTIF($A$6:A2534,A2534))</f>
        <v/>
      </c>
      <c r="P2534" s="62" t="str">
        <f>IF(A2534="","",A2534&amp;"|"&amp;O2534)</f>
        <v/>
      </c>
    </row>
    <row r="2535">
      <c r="A2535" s="60" t="n"/>
      <c r="B2535" s="63" t="n"/>
      <c r="C2535" s="63" t="n"/>
      <c r="D2535" s="67" t="n"/>
      <c r="E2535" s="68" t="n"/>
      <c r="F2535" s="69" t="n"/>
      <c r="G2535" s="70" t="n"/>
      <c r="H2535" s="62" t="str">
        <f>IF(COUNTA(A2535:G2535)=0,"",IF(C2535&lt;&gt;"",C2535,IF(B2535="","",IFERROR(INDEX(pr_des,MATCH(B2535,pr_code,0))&amp;"",""))))</f>
        <v/>
      </c>
      <c r="I2535" s="59" t="str">
        <f>IF(B2535="","",IFERROR(INDEX(pr_unit,MATCH(B2535,pr_code,0))&amp;"",""))</f>
        <v/>
      </c>
      <c r="J2535" s="65" t="str">
        <f>IF(COUNTA(A2535:G2535)=0,"",IF(E2535&lt;&gt;"",E2535,IF(B2535="","",IFERROR(IF(INDEX(pr_price,MATCH(B2535,pr_code,0))="","",INDEX(pr_price,MATCH(B2535,pr_code,0))),""))))</f>
        <v/>
      </c>
      <c r="K2535" s="71" t="str">
        <f>IF(COUNTA(A2535:G2535)=0,"",IF(G2535&lt;&gt;"",G2535,IF(B2535="","",IFERROR(IF(INDEX(pr_rate,MATCH(B2535,pr_code,0))="","",INDEX(pr_rate,MATCH(B2535,pr_code,0))),""))))</f>
        <v/>
      </c>
      <c r="L2535" s="65" t="str">
        <f>IF(COUNTA(A2535:G2535)=0,"",IF(AND(ISNUMBER(D2535),ISNUMBER(J2535)),ROUND(D2535*J2535*(1-N(F2535)),2),0))</f>
        <v/>
      </c>
      <c r="M2535" s="62" t="str">
        <f>IF(A2535="","",IFERROR(INDEX(fa_cname,MATCH(A2535,fa_num,0))&amp;"",""))</f>
        <v/>
      </c>
      <c r="N2535" s="59" t="str">
        <f>IF(COUNTA(A2535:G2535)=0,"",IF(A2535="","N° facture manquant",IF(ISNA(MATCH(A2535,fa_num,0)),"Facture inconnue",IF(AND(B2535&lt;&gt;"",ISNA(MATCH(B2535,pr_code,0))),"Article inconnu",IF(H2535="","Désignation manquante",IF(OR(NOT(ISNUMBER(D2535)),N(D2535)&lt;=0),"Quantité invalide",IF(J2535="","Prix manquant",IF(OR(NOT(ISNUMBER(J2535)),N(J2535)&lt;0),"Prix invalide",IF(OR(AND(F2535&lt;&gt;"",NOT(ISNUMBER(F2535))),N(F2535)&lt;0,N(F2535)&gt;1),"Remise invalide",IF(K2535="","Taux de TVA manquant",IF(NOT(ISNUMBER(K2535)),"Taux de TVA invalide",IF(COUNTIF(p_rates,K2535)=0,"Taux de TVA hors liste (Paramètres)",IF(N(O2535)&gt;25,"Au-delà de 25 lignes : non imprimée","OK")))))))))))))</f>
        <v/>
      </c>
      <c r="O2535" s="59" t="str">
        <f>IF(A2535="","",COUNTIF($A$6:A2535,A2535))</f>
        <v/>
      </c>
      <c r="P2535" s="62" t="str">
        <f>IF(A2535="","",A2535&amp;"|"&amp;O2535)</f>
        <v/>
      </c>
    </row>
    <row r="2536">
      <c r="A2536" s="60" t="n"/>
      <c r="B2536" s="63" t="n"/>
      <c r="C2536" s="63" t="n"/>
      <c r="D2536" s="67" t="n"/>
      <c r="E2536" s="68" t="n"/>
      <c r="F2536" s="69" t="n"/>
      <c r="G2536" s="70" t="n"/>
      <c r="H2536" s="62" t="str">
        <f>IF(COUNTA(A2536:G2536)=0,"",IF(C2536&lt;&gt;"",C2536,IF(B2536="","",IFERROR(INDEX(pr_des,MATCH(B2536,pr_code,0))&amp;"",""))))</f>
        <v/>
      </c>
      <c r="I2536" s="59" t="str">
        <f>IF(B2536="","",IFERROR(INDEX(pr_unit,MATCH(B2536,pr_code,0))&amp;"",""))</f>
        <v/>
      </c>
      <c r="J2536" s="65" t="str">
        <f>IF(COUNTA(A2536:G2536)=0,"",IF(E2536&lt;&gt;"",E2536,IF(B2536="","",IFERROR(IF(INDEX(pr_price,MATCH(B2536,pr_code,0))="","",INDEX(pr_price,MATCH(B2536,pr_code,0))),""))))</f>
        <v/>
      </c>
      <c r="K2536" s="71" t="str">
        <f>IF(COUNTA(A2536:G2536)=0,"",IF(G2536&lt;&gt;"",G2536,IF(B2536="","",IFERROR(IF(INDEX(pr_rate,MATCH(B2536,pr_code,0))="","",INDEX(pr_rate,MATCH(B2536,pr_code,0))),""))))</f>
        <v/>
      </c>
      <c r="L2536" s="65" t="str">
        <f>IF(COUNTA(A2536:G2536)=0,"",IF(AND(ISNUMBER(D2536),ISNUMBER(J2536)),ROUND(D2536*J2536*(1-N(F2536)),2),0))</f>
        <v/>
      </c>
      <c r="M2536" s="62" t="str">
        <f>IF(A2536="","",IFERROR(INDEX(fa_cname,MATCH(A2536,fa_num,0))&amp;"",""))</f>
        <v/>
      </c>
      <c r="N2536" s="59" t="str">
        <f>IF(COUNTA(A2536:G2536)=0,"",IF(A2536="","N° facture manquant",IF(ISNA(MATCH(A2536,fa_num,0)),"Facture inconnue",IF(AND(B2536&lt;&gt;"",ISNA(MATCH(B2536,pr_code,0))),"Article inconnu",IF(H2536="","Désignation manquante",IF(OR(NOT(ISNUMBER(D2536)),N(D2536)&lt;=0),"Quantité invalide",IF(J2536="","Prix manquant",IF(OR(NOT(ISNUMBER(J2536)),N(J2536)&lt;0),"Prix invalide",IF(OR(AND(F2536&lt;&gt;"",NOT(ISNUMBER(F2536))),N(F2536)&lt;0,N(F2536)&gt;1),"Remise invalide",IF(K2536="","Taux de TVA manquant",IF(NOT(ISNUMBER(K2536)),"Taux de TVA invalide",IF(COUNTIF(p_rates,K2536)=0,"Taux de TVA hors liste (Paramètres)",IF(N(O2536)&gt;25,"Au-delà de 25 lignes : non imprimée","OK")))))))))))))</f>
        <v/>
      </c>
      <c r="O2536" s="59" t="str">
        <f>IF(A2536="","",COUNTIF($A$6:A2536,A2536))</f>
        <v/>
      </c>
      <c r="P2536" s="62" t="str">
        <f>IF(A2536="","",A2536&amp;"|"&amp;O2536)</f>
        <v/>
      </c>
    </row>
    <row r="2537">
      <c r="A2537" s="60" t="n"/>
      <c r="B2537" s="63" t="n"/>
      <c r="C2537" s="63" t="n"/>
      <c r="D2537" s="67" t="n"/>
      <c r="E2537" s="68" t="n"/>
      <c r="F2537" s="69" t="n"/>
      <c r="G2537" s="70" t="n"/>
      <c r="H2537" s="62" t="str">
        <f>IF(COUNTA(A2537:G2537)=0,"",IF(C2537&lt;&gt;"",C2537,IF(B2537="","",IFERROR(INDEX(pr_des,MATCH(B2537,pr_code,0))&amp;"",""))))</f>
        <v/>
      </c>
      <c r="I2537" s="59" t="str">
        <f>IF(B2537="","",IFERROR(INDEX(pr_unit,MATCH(B2537,pr_code,0))&amp;"",""))</f>
        <v/>
      </c>
      <c r="J2537" s="65" t="str">
        <f>IF(COUNTA(A2537:G2537)=0,"",IF(E2537&lt;&gt;"",E2537,IF(B2537="","",IFERROR(IF(INDEX(pr_price,MATCH(B2537,pr_code,0))="","",INDEX(pr_price,MATCH(B2537,pr_code,0))),""))))</f>
        <v/>
      </c>
      <c r="K2537" s="71" t="str">
        <f>IF(COUNTA(A2537:G2537)=0,"",IF(G2537&lt;&gt;"",G2537,IF(B2537="","",IFERROR(IF(INDEX(pr_rate,MATCH(B2537,pr_code,0))="","",INDEX(pr_rate,MATCH(B2537,pr_code,0))),""))))</f>
        <v/>
      </c>
      <c r="L2537" s="65" t="str">
        <f>IF(COUNTA(A2537:G2537)=0,"",IF(AND(ISNUMBER(D2537),ISNUMBER(J2537)),ROUND(D2537*J2537*(1-N(F2537)),2),0))</f>
        <v/>
      </c>
      <c r="M2537" s="62" t="str">
        <f>IF(A2537="","",IFERROR(INDEX(fa_cname,MATCH(A2537,fa_num,0))&amp;"",""))</f>
        <v/>
      </c>
      <c r="N2537" s="59" t="str">
        <f>IF(COUNTA(A2537:G2537)=0,"",IF(A2537="","N° facture manquant",IF(ISNA(MATCH(A2537,fa_num,0)),"Facture inconnue",IF(AND(B2537&lt;&gt;"",ISNA(MATCH(B2537,pr_code,0))),"Article inconnu",IF(H2537="","Désignation manquante",IF(OR(NOT(ISNUMBER(D2537)),N(D2537)&lt;=0),"Quantité invalide",IF(J2537="","Prix manquant",IF(OR(NOT(ISNUMBER(J2537)),N(J2537)&lt;0),"Prix invalide",IF(OR(AND(F2537&lt;&gt;"",NOT(ISNUMBER(F2537))),N(F2537)&lt;0,N(F2537)&gt;1),"Remise invalide",IF(K2537="","Taux de TVA manquant",IF(NOT(ISNUMBER(K2537)),"Taux de TVA invalide",IF(COUNTIF(p_rates,K2537)=0,"Taux de TVA hors liste (Paramètres)",IF(N(O2537)&gt;25,"Au-delà de 25 lignes : non imprimée","OK")))))))))))))</f>
        <v/>
      </c>
      <c r="O2537" s="59" t="str">
        <f>IF(A2537="","",COUNTIF($A$6:A2537,A2537))</f>
        <v/>
      </c>
      <c r="P2537" s="62" t="str">
        <f>IF(A2537="","",A2537&amp;"|"&amp;O2537)</f>
        <v/>
      </c>
    </row>
    <row r="2538">
      <c r="A2538" s="60" t="n"/>
      <c r="B2538" s="63" t="n"/>
      <c r="C2538" s="63" t="n"/>
      <c r="D2538" s="67" t="n"/>
      <c r="E2538" s="68" t="n"/>
      <c r="F2538" s="69" t="n"/>
      <c r="G2538" s="70" t="n"/>
      <c r="H2538" s="62" t="str">
        <f>IF(COUNTA(A2538:G2538)=0,"",IF(C2538&lt;&gt;"",C2538,IF(B2538="","",IFERROR(INDEX(pr_des,MATCH(B2538,pr_code,0))&amp;"",""))))</f>
        <v/>
      </c>
      <c r="I2538" s="59" t="str">
        <f>IF(B2538="","",IFERROR(INDEX(pr_unit,MATCH(B2538,pr_code,0))&amp;"",""))</f>
        <v/>
      </c>
      <c r="J2538" s="65" t="str">
        <f>IF(COUNTA(A2538:G2538)=0,"",IF(E2538&lt;&gt;"",E2538,IF(B2538="","",IFERROR(IF(INDEX(pr_price,MATCH(B2538,pr_code,0))="","",INDEX(pr_price,MATCH(B2538,pr_code,0))),""))))</f>
        <v/>
      </c>
      <c r="K2538" s="71" t="str">
        <f>IF(COUNTA(A2538:G2538)=0,"",IF(G2538&lt;&gt;"",G2538,IF(B2538="","",IFERROR(IF(INDEX(pr_rate,MATCH(B2538,pr_code,0))="","",INDEX(pr_rate,MATCH(B2538,pr_code,0))),""))))</f>
        <v/>
      </c>
      <c r="L2538" s="65" t="str">
        <f>IF(COUNTA(A2538:G2538)=0,"",IF(AND(ISNUMBER(D2538),ISNUMBER(J2538)),ROUND(D2538*J2538*(1-N(F2538)),2),0))</f>
        <v/>
      </c>
      <c r="M2538" s="62" t="str">
        <f>IF(A2538="","",IFERROR(INDEX(fa_cname,MATCH(A2538,fa_num,0))&amp;"",""))</f>
        <v/>
      </c>
      <c r="N2538" s="59" t="str">
        <f>IF(COUNTA(A2538:G2538)=0,"",IF(A2538="","N° facture manquant",IF(ISNA(MATCH(A2538,fa_num,0)),"Facture inconnue",IF(AND(B2538&lt;&gt;"",ISNA(MATCH(B2538,pr_code,0))),"Article inconnu",IF(H2538="","Désignation manquante",IF(OR(NOT(ISNUMBER(D2538)),N(D2538)&lt;=0),"Quantité invalide",IF(J2538="","Prix manquant",IF(OR(NOT(ISNUMBER(J2538)),N(J2538)&lt;0),"Prix invalide",IF(OR(AND(F2538&lt;&gt;"",NOT(ISNUMBER(F2538))),N(F2538)&lt;0,N(F2538)&gt;1),"Remise invalide",IF(K2538="","Taux de TVA manquant",IF(NOT(ISNUMBER(K2538)),"Taux de TVA invalide",IF(COUNTIF(p_rates,K2538)=0,"Taux de TVA hors liste (Paramètres)",IF(N(O2538)&gt;25,"Au-delà de 25 lignes : non imprimée","OK")))))))))))))</f>
        <v/>
      </c>
      <c r="O2538" s="59" t="str">
        <f>IF(A2538="","",COUNTIF($A$6:A2538,A2538))</f>
        <v/>
      </c>
      <c r="P2538" s="62" t="str">
        <f>IF(A2538="","",A2538&amp;"|"&amp;O2538)</f>
        <v/>
      </c>
    </row>
    <row r="2539">
      <c r="A2539" s="60" t="n"/>
      <c r="B2539" s="63" t="n"/>
      <c r="C2539" s="63" t="n"/>
      <c r="D2539" s="67" t="n"/>
      <c r="E2539" s="68" t="n"/>
      <c r="F2539" s="69" t="n"/>
      <c r="G2539" s="70" t="n"/>
      <c r="H2539" s="62" t="str">
        <f>IF(COUNTA(A2539:G2539)=0,"",IF(C2539&lt;&gt;"",C2539,IF(B2539="","",IFERROR(INDEX(pr_des,MATCH(B2539,pr_code,0))&amp;"",""))))</f>
        <v/>
      </c>
      <c r="I2539" s="59" t="str">
        <f>IF(B2539="","",IFERROR(INDEX(pr_unit,MATCH(B2539,pr_code,0))&amp;"",""))</f>
        <v/>
      </c>
      <c r="J2539" s="65" t="str">
        <f>IF(COUNTA(A2539:G2539)=0,"",IF(E2539&lt;&gt;"",E2539,IF(B2539="","",IFERROR(IF(INDEX(pr_price,MATCH(B2539,pr_code,0))="","",INDEX(pr_price,MATCH(B2539,pr_code,0))),""))))</f>
        <v/>
      </c>
      <c r="K2539" s="71" t="str">
        <f>IF(COUNTA(A2539:G2539)=0,"",IF(G2539&lt;&gt;"",G2539,IF(B2539="","",IFERROR(IF(INDEX(pr_rate,MATCH(B2539,pr_code,0))="","",INDEX(pr_rate,MATCH(B2539,pr_code,0))),""))))</f>
        <v/>
      </c>
      <c r="L2539" s="65" t="str">
        <f>IF(COUNTA(A2539:G2539)=0,"",IF(AND(ISNUMBER(D2539),ISNUMBER(J2539)),ROUND(D2539*J2539*(1-N(F2539)),2),0))</f>
        <v/>
      </c>
      <c r="M2539" s="62" t="str">
        <f>IF(A2539="","",IFERROR(INDEX(fa_cname,MATCH(A2539,fa_num,0))&amp;"",""))</f>
        <v/>
      </c>
      <c r="N2539" s="59" t="str">
        <f>IF(COUNTA(A2539:G2539)=0,"",IF(A2539="","N° facture manquant",IF(ISNA(MATCH(A2539,fa_num,0)),"Facture inconnue",IF(AND(B2539&lt;&gt;"",ISNA(MATCH(B2539,pr_code,0))),"Article inconnu",IF(H2539="","Désignation manquante",IF(OR(NOT(ISNUMBER(D2539)),N(D2539)&lt;=0),"Quantité invalide",IF(J2539="","Prix manquant",IF(OR(NOT(ISNUMBER(J2539)),N(J2539)&lt;0),"Prix invalide",IF(OR(AND(F2539&lt;&gt;"",NOT(ISNUMBER(F2539))),N(F2539)&lt;0,N(F2539)&gt;1),"Remise invalide",IF(K2539="","Taux de TVA manquant",IF(NOT(ISNUMBER(K2539)),"Taux de TVA invalide",IF(COUNTIF(p_rates,K2539)=0,"Taux de TVA hors liste (Paramètres)",IF(N(O2539)&gt;25,"Au-delà de 25 lignes : non imprimée","OK")))))))))))))</f>
        <v/>
      </c>
      <c r="O2539" s="59" t="str">
        <f>IF(A2539="","",COUNTIF($A$6:A2539,A2539))</f>
        <v/>
      </c>
      <c r="P2539" s="62" t="str">
        <f>IF(A2539="","",A2539&amp;"|"&amp;O2539)</f>
        <v/>
      </c>
    </row>
    <row r="2540">
      <c r="A2540" s="60" t="n"/>
      <c r="B2540" s="63" t="n"/>
      <c r="C2540" s="63" t="n"/>
      <c r="D2540" s="67" t="n"/>
      <c r="E2540" s="68" t="n"/>
      <c r="F2540" s="69" t="n"/>
      <c r="G2540" s="70" t="n"/>
      <c r="H2540" s="62" t="str">
        <f>IF(COUNTA(A2540:G2540)=0,"",IF(C2540&lt;&gt;"",C2540,IF(B2540="","",IFERROR(INDEX(pr_des,MATCH(B2540,pr_code,0))&amp;"",""))))</f>
        <v/>
      </c>
      <c r="I2540" s="59" t="str">
        <f>IF(B2540="","",IFERROR(INDEX(pr_unit,MATCH(B2540,pr_code,0))&amp;"",""))</f>
        <v/>
      </c>
      <c r="J2540" s="65" t="str">
        <f>IF(COUNTA(A2540:G2540)=0,"",IF(E2540&lt;&gt;"",E2540,IF(B2540="","",IFERROR(IF(INDEX(pr_price,MATCH(B2540,pr_code,0))="","",INDEX(pr_price,MATCH(B2540,pr_code,0))),""))))</f>
        <v/>
      </c>
      <c r="K2540" s="71" t="str">
        <f>IF(COUNTA(A2540:G2540)=0,"",IF(G2540&lt;&gt;"",G2540,IF(B2540="","",IFERROR(IF(INDEX(pr_rate,MATCH(B2540,pr_code,0))="","",INDEX(pr_rate,MATCH(B2540,pr_code,0))),""))))</f>
        <v/>
      </c>
      <c r="L2540" s="65" t="str">
        <f>IF(COUNTA(A2540:G2540)=0,"",IF(AND(ISNUMBER(D2540),ISNUMBER(J2540)),ROUND(D2540*J2540*(1-N(F2540)),2),0))</f>
        <v/>
      </c>
      <c r="M2540" s="62" t="str">
        <f>IF(A2540="","",IFERROR(INDEX(fa_cname,MATCH(A2540,fa_num,0))&amp;"",""))</f>
        <v/>
      </c>
      <c r="N2540" s="59" t="str">
        <f>IF(COUNTA(A2540:G2540)=0,"",IF(A2540="","N° facture manquant",IF(ISNA(MATCH(A2540,fa_num,0)),"Facture inconnue",IF(AND(B2540&lt;&gt;"",ISNA(MATCH(B2540,pr_code,0))),"Article inconnu",IF(H2540="","Désignation manquante",IF(OR(NOT(ISNUMBER(D2540)),N(D2540)&lt;=0),"Quantité invalide",IF(J2540="","Prix manquant",IF(OR(NOT(ISNUMBER(J2540)),N(J2540)&lt;0),"Prix invalide",IF(OR(AND(F2540&lt;&gt;"",NOT(ISNUMBER(F2540))),N(F2540)&lt;0,N(F2540)&gt;1),"Remise invalide",IF(K2540="","Taux de TVA manquant",IF(NOT(ISNUMBER(K2540)),"Taux de TVA invalide",IF(COUNTIF(p_rates,K2540)=0,"Taux de TVA hors liste (Paramètres)",IF(N(O2540)&gt;25,"Au-delà de 25 lignes : non imprimée","OK")))))))))))))</f>
        <v/>
      </c>
      <c r="O2540" s="59" t="str">
        <f>IF(A2540="","",COUNTIF($A$6:A2540,A2540))</f>
        <v/>
      </c>
      <c r="P2540" s="62" t="str">
        <f>IF(A2540="","",A2540&amp;"|"&amp;O2540)</f>
        <v/>
      </c>
    </row>
    <row r="2541">
      <c r="A2541" s="60" t="n"/>
      <c r="B2541" s="63" t="n"/>
      <c r="C2541" s="63" t="n"/>
      <c r="D2541" s="67" t="n"/>
      <c r="E2541" s="68" t="n"/>
      <c r="F2541" s="69" t="n"/>
      <c r="G2541" s="70" t="n"/>
      <c r="H2541" s="62" t="str">
        <f>IF(COUNTA(A2541:G2541)=0,"",IF(C2541&lt;&gt;"",C2541,IF(B2541="","",IFERROR(INDEX(pr_des,MATCH(B2541,pr_code,0))&amp;"",""))))</f>
        <v/>
      </c>
      <c r="I2541" s="59" t="str">
        <f>IF(B2541="","",IFERROR(INDEX(pr_unit,MATCH(B2541,pr_code,0))&amp;"",""))</f>
        <v/>
      </c>
      <c r="J2541" s="65" t="str">
        <f>IF(COUNTA(A2541:G2541)=0,"",IF(E2541&lt;&gt;"",E2541,IF(B2541="","",IFERROR(IF(INDEX(pr_price,MATCH(B2541,pr_code,0))="","",INDEX(pr_price,MATCH(B2541,pr_code,0))),""))))</f>
        <v/>
      </c>
      <c r="K2541" s="71" t="str">
        <f>IF(COUNTA(A2541:G2541)=0,"",IF(G2541&lt;&gt;"",G2541,IF(B2541="","",IFERROR(IF(INDEX(pr_rate,MATCH(B2541,pr_code,0))="","",INDEX(pr_rate,MATCH(B2541,pr_code,0))),""))))</f>
        <v/>
      </c>
      <c r="L2541" s="65" t="str">
        <f>IF(COUNTA(A2541:G2541)=0,"",IF(AND(ISNUMBER(D2541),ISNUMBER(J2541)),ROUND(D2541*J2541*(1-N(F2541)),2),0))</f>
        <v/>
      </c>
      <c r="M2541" s="62" t="str">
        <f>IF(A2541="","",IFERROR(INDEX(fa_cname,MATCH(A2541,fa_num,0))&amp;"",""))</f>
        <v/>
      </c>
      <c r="N2541" s="59" t="str">
        <f>IF(COUNTA(A2541:G2541)=0,"",IF(A2541="","N° facture manquant",IF(ISNA(MATCH(A2541,fa_num,0)),"Facture inconnue",IF(AND(B2541&lt;&gt;"",ISNA(MATCH(B2541,pr_code,0))),"Article inconnu",IF(H2541="","Désignation manquante",IF(OR(NOT(ISNUMBER(D2541)),N(D2541)&lt;=0),"Quantité invalide",IF(J2541="","Prix manquant",IF(OR(NOT(ISNUMBER(J2541)),N(J2541)&lt;0),"Prix invalide",IF(OR(AND(F2541&lt;&gt;"",NOT(ISNUMBER(F2541))),N(F2541)&lt;0,N(F2541)&gt;1),"Remise invalide",IF(K2541="","Taux de TVA manquant",IF(NOT(ISNUMBER(K2541)),"Taux de TVA invalide",IF(COUNTIF(p_rates,K2541)=0,"Taux de TVA hors liste (Paramètres)",IF(N(O2541)&gt;25,"Au-delà de 25 lignes : non imprimée","OK")))))))))))))</f>
        <v/>
      </c>
      <c r="O2541" s="59" t="str">
        <f>IF(A2541="","",COUNTIF($A$6:A2541,A2541))</f>
        <v/>
      </c>
      <c r="P2541" s="62" t="str">
        <f>IF(A2541="","",A2541&amp;"|"&amp;O2541)</f>
        <v/>
      </c>
    </row>
    <row r="2542">
      <c r="A2542" s="60" t="n"/>
      <c r="B2542" s="63" t="n"/>
      <c r="C2542" s="63" t="n"/>
      <c r="D2542" s="67" t="n"/>
      <c r="E2542" s="68" t="n"/>
      <c r="F2542" s="69" t="n"/>
      <c r="G2542" s="70" t="n"/>
      <c r="H2542" s="62" t="str">
        <f>IF(COUNTA(A2542:G2542)=0,"",IF(C2542&lt;&gt;"",C2542,IF(B2542="","",IFERROR(INDEX(pr_des,MATCH(B2542,pr_code,0))&amp;"",""))))</f>
        <v/>
      </c>
      <c r="I2542" s="59" t="str">
        <f>IF(B2542="","",IFERROR(INDEX(pr_unit,MATCH(B2542,pr_code,0))&amp;"",""))</f>
        <v/>
      </c>
      <c r="J2542" s="65" t="str">
        <f>IF(COUNTA(A2542:G2542)=0,"",IF(E2542&lt;&gt;"",E2542,IF(B2542="","",IFERROR(IF(INDEX(pr_price,MATCH(B2542,pr_code,0))="","",INDEX(pr_price,MATCH(B2542,pr_code,0))),""))))</f>
        <v/>
      </c>
      <c r="K2542" s="71" t="str">
        <f>IF(COUNTA(A2542:G2542)=0,"",IF(G2542&lt;&gt;"",G2542,IF(B2542="","",IFERROR(IF(INDEX(pr_rate,MATCH(B2542,pr_code,0))="","",INDEX(pr_rate,MATCH(B2542,pr_code,0))),""))))</f>
        <v/>
      </c>
      <c r="L2542" s="65" t="str">
        <f>IF(COUNTA(A2542:G2542)=0,"",IF(AND(ISNUMBER(D2542),ISNUMBER(J2542)),ROUND(D2542*J2542*(1-N(F2542)),2),0))</f>
        <v/>
      </c>
      <c r="M2542" s="62" t="str">
        <f>IF(A2542="","",IFERROR(INDEX(fa_cname,MATCH(A2542,fa_num,0))&amp;"",""))</f>
        <v/>
      </c>
      <c r="N2542" s="59" t="str">
        <f>IF(COUNTA(A2542:G2542)=0,"",IF(A2542="","N° facture manquant",IF(ISNA(MATCH(A2542,fa_num,0)),"Facture inconnue",IF(AND(B2542&lt;&gt;"",ISNA(MATCH(B2542,pr_code,0))),"Article inconnu",IF(H2542="","Désignation manquante",IF(OR(NOT(ISNUMBER(D2542)),N(D2542)&lt;=0),"Quantité invalide",IF(J2542="","Prix manquant",IF(OR(NOT(ISNUMBER(J2542)),N(J2542)&lt;0),"Prix invalide",IF(OR(AND(F2542&lt;&gt;"",NOT(ISNUMBER(F2542))),N(F2542)&lt;0,N(F2542)&gt;1),"Remise invalide",IF(K2542="","Taux de TVA manquant",IF(NOT(ISNUMBER(K2542)),"Taux de TVA invalide",IF(COUNTIF(p_rates,K2542)=0,"Taux de TVA hors liste (Paramètres)",IF(N(O2542)&gt;25,"Au-delà de 25 lignes : non imprimée","OK")))))))))))))</f>
        <v/>
      </c>
      <c r="O2542" s="59" t="str">
        <f>IF(A2542="","",COUNTIF($A$6:A2542,A2542))</f>
        <v/>
      </c>
      <c r="P2542" s="62" t="str">
        <f>IF(A2542="","",A2542&amp;"|"&amp;O2542)</f>
        <v/>
      </c>
    </row>
    <row r="2543">
      <c r="A2543" s="60" t="n"/>
      <c r="B2543" s="63" t="n"/>
      <c r="C2543" s="63" t="n"/>
      <c r="D2543" s="67" t="n"/>
      <c r="E2543" s="68" t="n"/>
      <c r="F2543" s="69" t="n"/>
      <c r="G2543" s="70" t="n"/>
      <c r="H2543" s="62" t="str">
        <f>IF(COUNTA(A2543:G2543)=0,"",IF(C2543&lt;&gt;"",C2543,IF(B2543="","",IFERROR(INDEX(pr_des,MATCH(B2543,pr_code,0))&amp;"",""))))</f>
        <v/>
      </c>
      <c r="I2543" s="59" t="str">
        <f>IF(B2543="","",IFERROR(INDEX(pr_unit,MATCH(B2543,pr_code,0))&amp;"",""))</f>
        <v/>
      </c>
      <c r="J2543" s="65" t="str">
        <f>IF(COUNTA(A2543:G2543)=0,"",IF(E2543&lt;&gt;"",E2543,IF(B2543="","",IFERROR(IF(INDEX(pr_price,MATCH(B2543,pr_code,0))="","",INDEX(pr_price,MATCH(B2543,pr_code,0))),""))))</f>
        <v/>
      </c>
      <c r="K2543" s="71" t="str">
        <f>IF(COUNTA(A2543:G2543)=0,"",IF(G2543&lt;&gt;"",G2543,IF(B2543="","",IFERROR(IF(INDEX(pr_rate,MATCH(B2543,pr_code,0))="","",INDEX(pr_rate,MATCH(B2543,pr_code,0))),""))))</f>
        <v/>
      </c>
      <c r="L2543" s="65" t="str">
        <f>IF(COUNTA(A2543:G2543)=0,"",IF(AND(ISNUMBER(D2543),ISNUMBER(J2543)),ROUND(D2543*J2543*(1-N(F2543)),2),0))</f>
        <v/>
      </c>
      <c r="M2543" s="62" t="str">
        <f>IF(A2543="","",IFERROR(INDEX(fa_cname,MATCH(A2543,fa_num,0))&amp;"",""))</f>
        <v/>
      </c>
      <c r="N2543" s="59" t="str">
        <f>IF(COUNTA(A2543:G2543)=0,"",IF(A2543="","N° facture manquant",IF(ISNA(MATCH(A2543,fa_num,0)),"Facture inconnue",IF(AND(B2543&lt;&gt;"",ISNA(MATCH(B2543,pr_code,0))),"Article inconnu",IF(H2543="","Désignation manquante",IF(OR(NOT(ISNUMBER(D2543)),N(D2543)&lt;=0),"Quantité invalide",IF(J2543="","Prix manquant",IF(OR(NOT(ISNUMBER(J2543)),N(J2543)&lt;0),"Prix invalide",IF(OR(AND(F2543&lt;&gt;"",NOT(ISNUMBER(F2543))),N(F2543)&lt;0,N(F2543)&gt;1),"Remise invalide",IF(K2543="","Taux de TVA manquant",IF(NOT(ISNUMBER(K2543)),"Taux de TVA invalide",IF(COUNTIF(p_rates,K2543)=0,"Taux de TVA hors liste (Paramètres)",IF(N(O2543)&gt;25,"Au-delà de 25 lignes : non imprimée","OK")))))))))))))</f>
        <v/>
      </c>
      <c r="O2543" s="59" t="str">
        <f>IF(A2543="","",COUNTIF($A$6:A2543,A2543))</f>
        <v/>
      </c>
      <c r="P2543" s="62" t="str">
        <f>IF(A2543="","",A2543&amp;"|"&amp;O2543)</f>
        <v/>
      </c>
    </row>
    <row r="2544">
      <c r="A2544" s="60" t="n"/>
      <c r="B2544" s="63" t="n"/>
      <c r="C2544" s="63" t="n"/>
      <c r="D2544" s="67" t="n"/>
      <c r="E2544" s="68" t="n"/>
      <c r="F2544" s="69" t="n"/>
      <c r="G2544" s="70" t="n"/>
      <c r="H2544" s="62" t="str">
        <f>IF(COUNTA(A2544:G2544)=0,"",IF(C2544&lt;&gt;"",C2544,IF(B2544="","",IFERROR(INDEX(pr_des,MATCH(B2544,pr_code,0))&amp;"",""))))</f>
        <v/>
      </c>
      <c r="I2544" s="59" t="str">
        <f>IF(B2544="","",IFERROR(INDEX(pr_unit,MATCH(B2544,pr_code,0))&amp;"",""))</f>
        <v/>
      </c>
      <c r="J2544" s="65" t="str">
        <f>IF(COUNTA(A2544:G2544)=0,"",IF(E2544&lt;&gt;"",E2544,IF(B2544="","",IFERROR(IF(INDEX(pr_price,MATCH(B2544,pr_code,0))="","",INDEX(pr_price,MATCH(B2544,pr_code,0))),""))))</f>
        <v/>
      </c>
      <c r="K2544" s="71" t="str">
        <f>IF(COUNTA(A2544:G2544)=0,"",IF(G2544&lt;&gt;"",G2544,IF(B2544="","",IFERROR(IF(INDEX(pr_rate,MATCH(B2544,pr_code,0))="","",INDEX(pr_rate,MATCH(B2544,pr_code,0))),""))))</f>
        <v/>
      </c>
      <c r="L2544" s="65" t="str">
        <f>IF(COUNTA(A2544:G2544)=0,"",IF(AND(ISNUMBER(D2544),ISNUMBER(J2544)),ROUND(D2544*J2544*(1-N(F2544)),2),0))</f>
        <v/>
      </c>
      <c r="M2544" s="62" t="str">
        <f>IF(A2544="","",IFERROR(INDEX(fa_cname,MATCH(A2544,fa_num,0))&amp;"",""))</f>
        <v/>
      </c>
      <c r="N2544" s="59" t="str">
        <f>IF(COUNTA(A2544:G2544)=0,"",IF(A2544="","N° facture manquant",IF(ISNA(MATCH(A2544,fa_num,0)),"Facture inconnue",IF(AND(B2544&lt;&gt;"",ISNA(MATCH(B2544,pr_code,0))),"Article inconnu",IF(H2544="","Désignation manquante",IF(OR(NOT(ISNUMBER(D2544)),N(D2544)&lt;=0),"Quantité invalide",IF(J2544="","Prix manquant",IF(OR(NOT(ISNUMBER(J2544)),N(J2544)&lt;0),"Prix invalide",IF(OR(AND(F2544&lt;&gt;"",NOT(ISNUMBER(F2544))),N(F2544)&lt;0,N(F2544)&gt;1),"Remise invalide",IF(K2544="","Taux de TVA manquant",IF(NOT(ISNUMBER(K2544)),"Taux de TVA invalide",IF(COUNTIF(p_rates,K2544)=0,"Taux de TVA hors liste (Paramètres)",IF(N(O2544)&gt;25,"Au-delà de 25 lignes : non imprimée","OK")))))))))))))</f>
        <v/>
      </c>
      <c r="O2544" s="59" t="str">
        <f>IF(A2544="","",COUNTIF($A$6:A2544,A2544))</f>
        <v/>
      </c>
      <c r="P2544" s="62" t="str">
        <f>IF(A2544="","",A2544&amp;"|"&amp;O2544)</f>
        <v/>
      </c>
    </row>
    <row r="2545">
      <c r="A2545" s="60" t="n"/>
      <c r="B2545" s="63" t="n"/>
      <c r="C2545" s="63" t="n"/>
      <c r="D2545" s="67" t="n"/>
      <c r="E2545" s="68" t="n"/>
      <c r="F2545" s="69" t="n"/>
      <c r="G2545" s="70" t="n"/>
      <c r="H2545" s="62" t="str">
        <f>IF(COUNTA(A2545:G2545)=0,"",IF(C2545&lt;&gt;"",C2545,IF(B2545="","",IFERROR(INDEX(pr_des,MATCH(B2545,pr_code,0))&amp;"",""))))</f>
        <v/>
      </c>
      <c r="I2545" s="59" t="str">
        <f>IF(B2545="","",IFERROR(INDEX(pr_unit,MATCH(B2545,pr_code,0))&amp;"",""))</f>
        <v/>
      </c>
      <c r="J2545" s="65" t="str">
        <f>IF(COUNTA(A2545:G2545)=0,"",IF(E2545&lt;&gt;"",E2545,IF(B2545="","",IFERROR(IF(INDEX(pr_price,MATCH(B2545,pr_code,0))="","",INDEX(pr_price,MATCH(B2545,pr_code,0))),""))))</f>
        <v/>
      </c>
      <c r="K2545" s="71" t="str">
        <f>IF(COUNTA(A2545:G2545)=0,"",IF(G2545&lt;&gt;"",G2545,IF(B2545="","",IFERROR(IF(INDEX(pr_rate,MATCH(B2545,pr_code,0))="","",INDEX(pr_rate,MATCH(B2545,pr_code,0))),""))))</f>
        <v/>
      </c>
      <c r="L2545" s="65" t="str">
        <f>IF(COUNTA(A2545:G2545)=0,"",IF(AND(ISNUMBER(D2545),ISNUMBER(J2545)),ROUND(D2545*J2545*(1-N(F2545)),2),0))</f>
        <v/>
      </c>
      <c r="M2545" s="62" t="str">
        <f>IF(A2545="","",IFERROR(INDEX(fa_cname,MATCH(A2545,fa_num,0))&amp;"",""))</f>
        <v/>
      </c>
      <c r="N2545" s="59" t="str">
        <f>IF(COUNTA(A2545:G2545)=0,"",IF(A2545="","N° facture manquant",IF(ISNA(MATCH(A2545,fa_num,0)),"Facture inconnue",IF(AND(B2545&lt;&gt;"",ISNA(MATCH(B2545,pr_code,0))),"Article inconnu",IF(H2545="","Désignation manquante",IF(OR(NOT(ISNUMBER(D2545)),N(D2545)&lt;=0),"Quantité invalide",IF(J2545="","Prix manquant",IF(OR(NOT(ISNUMBER(J2545)),N(J2545)&lt;0),"Prix invalide",IF(OR(AND(F2545&lt;&gt;"",NOT(ISNUMBER(F2545))),N(F2545)&lt;0,N(F2545)&gt;1),"Remise invalide",IF(K2545="","Taux de TVA manquant",IF(NOT(ISNUMBER(K2545)),"Taux de TVA invalide",IF(COUNTIF(p_rates,K2545)=0,"Taux de TVA hors liste (Paramètres)",IF(N(O2545)&gt;25,"Au-delà de 25 lignes : non imprimée","OK")))))))))))))</f>
        <v/>
      </c>
      <c r="O2545" s="59" t="str">
        <f>IF(A2545="","",COUNTIF($A$6:A2545,A2545))</f>
        <v/>
      </c>
      <c r="P2545" s="62" t="str">
        <f>IF(A2545="","",A2545&amp;"|"&amp;O2545)</f>
        <v/>
      </c>
    </row>
    <row r="2546">
      <c r="A2546" s="60" t="n"/>
      <c r="B2546" s="63" t="n"/>
      <c r="C2546" s="63" t="n"/>
      <c r="D2546" s="67" t="n"/>
      <c r="E2546" s="68" t="n"/>
      <c r="F2546" s="69" t="n"/>
      <c r="G2546" s="70" t="n"/>
      <c r="H2546" s="62" t="str">
        <f>IF(COUNTA(A2546:G2546)=0,"",IF(C2546&lt;&gt;"",C2546,IF(B2546="","",IFERROR(INDEX(pr_des,MATCH(B2546,pr_code,0))&amp;"",""))))</f>
        <v/>
      </c>
      <c r="I2546" s="59" t="str">
        <f>IF(B2546="","",IFERROR(INDEX(pr_unit,MATCH(B2546,pr_code,0))&amp;"",""))</f>
        <v/>
      </c>
      <c r="J2546" s="65" t="str">
        <f>IF(COUNTA(A2546:G2546)=0,"",IF(E2546&lt;&gt;"",E2546,IF(B2546="","",IFERROR(IF(INDEX(pr_price,MATCH(B2546,pr_code,0))="","",INDEX(pr_price,MATCH(B2546,pr_code,0))),""))))</f>
        <v/>
      </c>
      <c r="K2546" s="71" t="str">
        <f>IF(COUNTA(A2546:G2546)=0,"",IF(G2546&lt;&gt;"",G2546,IF(B2546="","",IFERROR(IF(INDEX(pr_rate,MATCH(B2546,pr_code,0))="","",INDEX(pr_rate,MATCH(B2546,pr_code,0))),""))))</f>
        <v/>
      </c>
      <c r="L2546" s="65" t="str">
        <f>IF(COUNTA(A2546:G2546)=0,"",IF(AND(ISNUMBER(D2546),ISNUMBER(J2546)),ROUND(D2546*J2546*(1-N(F2546)),2),0))</f>
        <v/>
      </c>
      <c r="M2546" s="62" t="str">
        <f>IF(A2546="","",IFERROR(INDEX(fa_cname,MATCH(A2546,fa_num,0))&amp;"",""))</f>
        <v/>
      </c>
      <c r="N2546" s="59" t="str">
        <f>IF(COUNTA(A2546:G2546)=0,"",IF(A2546="","N° facture manquant",IF(ISNA(MATCH(A2546,fa_num,0)),"Facture inconnue",IF(AND(B2546&lt;&gt;"",ISNA(MATCH(B2546,pr_code,0))),"Article inconnu",IF(H2546="","Désignation manquante",IF(OR(NOT(ISNUMBER(D2546)),N(D2546)&lt;=0),"Quantité invalide",IF(J2546="","Prix manquant",IF(OR(NOT(ISNUMBER(J2546)),N(J2546)&lt;0),"Prix invalide",IF(OR(AND(F2546&lt;&gt;"",NOT(ISNUMBER(F2546))),N(F2546)&lt;0,N(F2546)&gt;1),"Remise invalide",IF(K2546="","Taux de TVA manquant",IF(NOT(ISNUMBER(K2546)),"Taux de TVA invalide",IF(COUNTIF(p_rates,K2546)=0,"Taux de TVA hors liste (Paramètres)",IF(N(O2546)&gt;25,"Au-delà de 25 lignes : non imprimée","OK")))))))))))))</f>
        <v/>
      </c>
      <c r="O2546" s="59" t="str">
        <f>IF(A2546="","",COUNTIF($A$6:A2546,A2546))</f>
        <v/>
      </c>
      <c r="P2546" s="62" t="str">
        <f>IF(A2546="","",A2546&amp;"|"&amp;O2546)</f>
        <v/>
      </c>
    </row>
    <row r="2547">
      <c r="A2547" s="60" t="n"/>
      <c r="B2547" s="63" t="n"/>
      <c r="C2547" s="63" t="n"/>
      <c r="D2547" s="67" t="n"/>
      <c r="E2547" s="68" t="n"/>
      <c r="F2547" s="69" t="n"/>
      <c r="G2547" s="70" t="n"/>
      <c r="H2547" s="62" t="str">
        <f>IF(COUNTA(A2547:G2547)=0,"",IF(C2547&lt;&gt;"",C2547,IF(B2547="","",IFERROR(INDEX(pr_des,MATCH(B2547,pr_code,0))&amp;"",""))))</f>
        <v/>
      </c>
      <c r="I2547" s="59" t="str">
        <f>IF(B2547="","",IFERROR(INDEX(pr_unit,MATCH(B2547,pr_code,0))&amp;"",""))</f>
        <v/>
      </c>
      <c r="J2547" s="65" t="str">
        <f>IF(COUNTA(A2547:G2547)=0,"",IF(E2547&lt;&gt;"",E2547,IF(B2547="","",IFERROR(IF(INDEX(pr_price,MATCH(B2547,pr_code,0))="","",INDEX(pr_price,MATCH(B2547,pr_code,0))),""))))</f>
        <v/>
      </c>
      <c r="K2547" s="71" t="str">
        <f>IF(COUNTA(A2547:G2547)=0,"",IF(G2547&lt;&gt;"",G2547,IF(B2547="","",IFERROR(IF(INDEX(pr_rate,MATCH(B2547,pr_code,0))="","",INDEX(pr_rate,MATCH(B2547,pr_code,0))),""))))</f>
        <v/>
      </c>
      <c r="L2547" s="65" t="str">
        <f>IF(COUNTA(A2547:G2547)=0,"",IF(AND(ISNUMBER(D2547),ISNUMBER(J2547)),ROUND(D2547*J2547*(1-N(F2547)),2),0))</f>
        <v/>
      </c>
      <c r="M2547" s="62" t="str">
        <f>IF(A2547="","",IFERROR(INDEX(fa_cname,MATCH(A2547,fa_num,0))&amp;"",""))</f>
        <v/>
      </c>
      <c r="N2547" s="59" t="str">
        <f>IF(COUNTA(A2547:G2547)=0,"",IF(A2547="","N° facture manquant",IF(ISNA(MATCH(A2547,fa_num,0)),"Facture inconnue",IF(AND(B2547&lt;&gt;"",ISNA(MATCH(B2547,pr_code,0))),"Article inconnu",IF(H2547="","Désignation manquante",IF(OR(NOT(ISNUMBER(D2547)),N(D2547)&lt;=0),"Quantité invalide",IF(J2547="","Prix manquant",IF(OR(NOT(ISNUMBER(J2547)),N(J2547)&lt;0),"Prix invalide",IF(OR(AND(F2547&lt;&gt;"",NOT(ISNUMBER(F2547))),N(F2547)&lt;0,N(F2547)&gt;1),"Remise invalide",IF(K2547="","Taux de TVA manquant",IF(NOT(ISNUMBER(K2547)),"Taux de TVA invalide",IF(COUNTIF(p_rates,K2547)=0,"Taux de TVA hors liste (Paramètres)",IF(N(O2547)&gt;25,"Au-delà de 25 lignes : non imprimée","OK")))))))))))))</f>
        <v/>
      </c>
      <c r="O2547" s="59" t="str">
        <f>IF(A2547="","",COUNTIF($A$6:A2547,A2547))</f>
        <v/>
      </c>
      <c r="P2547" s="62" t="str">
        <f>IF(A2547="","",A2547&amp;"|"&amp;O2547)</f>
        <v/>
      </c>
    </row>
    <row r="2548">
      <c r="A2548" s="60" t="n"/>
      <c r="B2548" s="63" t="n"/>
      <c r="C2548" s="63" t="n"/>
      <c r="D2548" s="67" t="n"/>
      <c r="E2548" s="68" t="n"/>
      <c r="F2548" s="69" t="n"/>
      <c r="G2548" s="70" t="n"/>
      <c r="H2548" s="62" t="str">
        <f>IF(COUNTA(A2548:G2548)=0,"",IF(C2548&lt;&gt;"",C2548,IF(B2548="","",IFERROR(INDEX(pr_des,MATCH(B2548,pr_code,0))&amp;"",""))))</f>
        <v/>
      </c>
      <c r="I2548" s="59" t="str">
        <f>IF(B2548="","",IFERROR(INDEX(pr_unit,MATCH(B2548,pr_code,0))&amp;"",""))</f>
        <v/>
      </c>
      <c r="J2548" s="65" t="str">
        <f>IF(COUNTA(A2548:G2548)=0,"",IF(E2548&lt;&gt;"",E2548,IF(B2548="","",IFERROR(IF(INDEX(pr_price,MATCH(B2548,pr_code,0))="","",INDEX(pr_price,MATCH(B2548,pr_code,0))),""))))</f>
        <v/>
      </c>
      <c r="K2548" s="71" t="str">
        <f>IF(COUNTA(A2548:G2548)=0,"",IF(G2548&lt;&gt;"",G2548,IF(B2548="","",IFERROR(IF(INDEX(pr_rate,MATCH(B2548,pr_code,0))="","",INDEX(pr_rate,MATCH(B2548,pr_code,0))),""))))</f>
        <v/>
      </c>
      <c r="L2548" s="65" t="str">
        <f>IF(COUNTA(A2548:G2548)=0,"",IF(AND(ISNUMBER(D2548),ISNUMBER(J2548)),ROUND(D2548*J2548*(1-N(F2548)),2),0))</f>
        <v/>
      </c>
      <c r="M2548" s="62" t="str">
        <f>IF(A2548="","",IFERROR(INDEX(fa_cname,MATCH(A2548,fa_num,0))&amp;"",""))</f>
        <v/>
      </c>
      <c r="N2548" s="59" t="str">
        <f>IF(COUNTA(A2548:G2548)=0,"",IF(A2548="","N° facture manquant",IF(ISNA(MATCH(A2548,fa_num,0)),"Facture inconnue",IF(AND(B2548&lt;&gt;"",ISNA(MATCH(B2548,pr_code,0))),"Article inconnu",IF(H2548="","Désignation manquante",IF(OR(NOT(ISNUMBER(D2548)),N(D2548)&lt;=0),"Quantité invalide",IF(J2548="","Prix manquant",IF(OR(NOT(ISNUMBER(J2548)),N(J2548)&lt;0),"Prix invalide",IF(OR(AND(F2548&lt;&gt;"",NOT(ISNUMBER(F2548))),N(F2548)&lt;0,N(F2548)&gt;1),"Remise invalide",IF(K2548="","Taux de TVA manquant",IF(NOT(ISNUMBER(K2548)),"Taux de TVA invalide",IF(COUNTIF(p_rates,K2548)=0,"Taux de TVA hors liste (Paramètres)",IF(N(O2548)&gt;25,"Au-delà de 25 lignes : non imprimée","OK")))))))))))))</f>
        <v/>
      </c>
      <c r="O2548" s="59" t="str">
        <f>IF(A2548="","",COUNTIF($A$6:A2548,A2548))</f>
        <v/>
      </c>
      <c r="P2548" s="62" t="str">
        <f>IF(A2548="","",A2548&amp;"|"&amp;O2548)</f>
        <v/>
      </c>
    </row>
    <row r="2549">
      <c r="A2549" s="60" t="n"/>
      <c r="B2549" s="63" t="n"/>
      <c r="C2549" s="63" t="n"/>
      <c r="D2549" s="67" t="n"/>
      <c r="E2549" s="68" t="n"/>
      <c r="F2549" s="69" t="n"/>
      <c r="G2549" s="70" t="n"/>
      <c r="H2549" s="62" t="str">
        <f>IF(COUNTA(A2549:G2549)=0,"",IF(C2549&lt;&gt;"",C2549,IF(B2549="","",IFERROR(INDEX(pr_des,MATCH(B2549,pr_code,0))&amp;"",""))))</f>
        <v/>
      </c>
      <c r="I2549" s="59" t="str">
        <f>IF(B2549="","",IFERROR(INDEX(pr_unit,MATCH(B2549,pr_code,0))&amp;"",""))</f>
        <v/>
      </c>
      <c r="J2549" s="65" t="str">
        <f>IF(COUNTA(A2549:G2549)=0,"",IF(E2549&lt;&gt;"",E2549,IF(B2549="","",IFERROR(IF(INDEX(pr_price,MATCH(B2549,pr_code,0))="","",INDEX(pr_price,MATCH(B2549,pr_code,0))),""))))</f>
        <v/>
      </c>
      <c r="K2549" s="71" t="str">
        <f>IF(COUNTA(A2549:G2549)=0,"",IF(G2549&lt;&gt;"",G2549,IF(B2549="","",IFERROR(IF(INDEX(pr_rate,MATCH(B2549,pr_code,0))="","",INDEX(pr_rate,MATCH(B2549,pr_code,0))),""))))</f>
        <v/>
      </c>
      <c r="L2549" s="65" t="str">
        <f>IF(COUNTA(A2549:G2549)=0,"",IF(AND(ISNUMBER(D2549),ISNUMBER(J2549)),ROUND(D2549*J2549*(1-N(F2549)),2),0))</f>
        <v/>
      </c>
      <c r="M2549" s="62" t="str">
        <f>IF(A2549="","",IFERROR(INDEX(fa_cname,MATCH(A2549,fa_num,0))&amp;"",""))</f>
        <v/>
      </c>
      <c r="N2549" s="59" t="str">
        <f>IF(COUNTA(A2549:G2549)=0,"",IF(A2549="","N° facture manquant",IF(ISNA(MATCH(A2549,fa_num,0)),"Facture inconnue",IF(AND(B2549&lt;&gt;"",ISNA(MATCH(B2549,pr_code,0))),"Article inconnu",IF(H2549="","Désignation manquante",IF(OR(NOT(ISNUMBER(D2549)),N(D2549)&lt;=0),"Quantité invalide",IF(J2549="","Prix manquant",IF(OR(NOT(ISNUMBER(J2549)),N(J2549)&lt;0),"Prix invalide",IF(OR(AND(F2549&lt;&gt;"",NOT(ISNUMBER(F2549))),N(F2549)&lt;0,N(F2549)&gt;1),"Remise invalide",IF(K2549="","Taux de TVA manquant",IF(NOT(ISNUMBER(K2549)),"Taux de TVA invalide",IF(COUNTIF(p_rates,K2549)=0,"Taux de TVA hors liste (Paramètres)",IF(N(O2549)&gt;25,"Au-delà de 25 lignes : non imprimée","OK")))))))))))))</f>
        <v/>
      </c>
      <c r="O2549" s="59" t="str">
        <f>IF(A2549="","",COUNTIF($A$6:A2549,A2549))</f>
        <v/>
      </c>
      <c r="P2549" s="62" t="str">
        <f>IF(A2549="","",A2549&amp;"|"&amp;O2549)</f>
        <v/>
      </c>
    </row>
    <row r="2550">
      <c r="A2550" s="60" t="n"/>
      <c r="B2550" s="63" t="n"/>
      <c r="C2550" s="63" t="n"/>
      <c r="D2550" s="67" t="n"/>
      <c r="E2550" s="68" t="n"/>
      <c r="F2550" s="69" t="n"/>
      <c r="G2550" s="70" t="n"/>
      <c r="H2550" s="62" t="str">
        <f>IF(COUNTA(A2550:G2550)=0,"",IF(C2550&lt;&gt;"",C2550,IF(B2550="","",IFERROR(INDEX(pr_des,MATCH(B2550,pr_code,0))&amp;"",""))))</f>
        <v/>
      </c>
      <c r="I2550" s="59" t="str">
        <f>IF(B2550="","",IFERROR(INDEX(pr_unit,MATCH(B2550,pr_code,0))&amp;"",""))</f>
        <v/>
      </c>
      <c r="J2550" s="65" t="str">
        <f>IF(COUNTA(A2550:G2550)=0,"",IF(E2550&lt;&gt;"",E2550,IF(B2550="","",IFERROR(IF(INDEX(pr_price,MATCH(B2550,pr_code,0))="","",INDEX(pr_price,MATCH(B2550,pr_code,0))),""))))</f>
        <v/>
      </c>
      <c r="K2550" s="71" t="str">
        <f>IF(COUNTA(A2550:G2550)=0,"",IF(G2550&lt;&gt;"",G2550,IF(B2550="","",IFERROR(IF(INDEX(pr_rate,MATCH(B2550,pr_code,0))="","",INDEX(pr_rate,MATCH(B2550,pr_code,0))),""))))</f>
        <v/>
      </c>
      <c r="L2550" s="65" t="str">
        <f>IF(COUNTA(A2550:G2550)=0,"",IF(AND(ISNUMBER(D2550),ISNUMBER(J2550)),ROUND(D2550*J2550*(1-N(F2550)),2),0))</f>
        <v/>
      </c>
      <c r="M2550" s="62" t="str">
        <f>IF(A2550="","",IFERROR(INDEX(fa_cname,MATCH(A2550,fa_num,0))&amp;"",""))</f>
        <v/>
      </c>
      <c r="N2550" s="59" t="str">
        <f>IF(COUNTA(A2550:G2550)=0,"",IF(A2550="","N° facture manquant",IF(ISNA(MATCH(A2550,fa_num,0)),"Facture inconnue",IF(AND(B2550&lt;&gt;"",ISNA(MATCH(B2550,pr_code,0))),"Article inconnu",IF(H2550="","Désignation manquante",IF(OR(NOT(ISNUMBER(D2550)),N(D2550)&lt;=0),"Quantité invalide",IF(J2550="","Prix manquant",IF(OR(NOT(ISNUMBER(J2550)),N(J2550)&lt;0),"Prix invalide",IF(OR(AND(F2550&lt;&gt;"",NOT(ISNUMBER(F2550))),N(F2550)&lt;0,N(F2550)&gt;1),"Remise invalide",IF(K2550="","Taux de TVA manquant",IF(NOT(ISNUMBER(K2550)),"Taux de TVA invalide",IF(COUNTIF(p_rates,K2550)=0,"Taux de TVA hors liste (Paramètres)",IF(N(O2550)&gt;25,"Au-delà de 25 lignes : non imprimée","OK")))))))))))))</f>
        <v/>
      </c>
      <c r="O2550" s="59" t="str">
        <f>IF(A2550="","",COUNTIF($A$6:A2550,A2550))</f>
        <v/>
      </c>
      <c r="P2550" s="62" t="str">
        <f>IF(A2550="","",A2550&amp;"|"&amp;O2550)</f>
        <v/>
      </c>
    </row>
    <row r="2551">
      <c r="A2551" s="60" t="n"/>
      <c r="B2551" s="63" t="n"/>
      <c r="C2551" s="63" t="n"/>
      <c r="D2551" s="67" t="n"/>
      <c r="E2551" s="68" t="n"/>
      <c r="F2551" s="69" t="n"/>
      <c r="G2551" s="70" t="n"/>
      <c r="H2551" s="62" t="str">
        <f>IF(COUNTA(A2551:G2551)=0,"",IF(C2551&lt;&gt;"",C2551,IF(B2551="","",IFERROR(INDEX(pr_des,MATCH(B2551,pr_code,0))&amp;"",""))))</f>
        <v/>
      </c>
      <c r="I2551" s="59" t="str">
        <f>IF(B2551="","",IFERROR(INDEX(pr_unit,MATCH(B2551,pr_code,0))&amp;"",""))</f>
        <v/>
      </c>
      <c r="J2551" s="65" t="str">
        <f>IF(COUNTA(A2551:G2551)=0,"",IF(E2551&lt;&gt;"",E2551,IF(B2551="","",IFERROR(IF(INDEX(pr_price,MATCH(B2551,pr_code,0))="","",INDEX(pr_price,MATCH(B2551,pr_code,0))),""))))</f>
        <v/>
      </c>
      <c r="K2551" s="71" t="str">
        <f>IF(COUNTA(A2551:G2551)=0,"",IF(G2551&lt;&gt;"",G2551,IF(B2551="","",IFERROR(IF(INDEX(pr_rate,MATCH(B2551,pr_code,0))="","",INDEX(pr_rate,MATCH(B2551,pr_code,0))),""))))</f>
        <v/>
      </c>
      <c r="L2551" s="65" t="str">
        <f>IF(COUNTA(A2551:G2551)=0,"",IF(AND(ISNUMBER(D2551),ISNUMBER(J2551)),ROUND(D2551*J2551*(1-N(F2551)),2),0))</f>
        <v/>
      </c>
      <c r="M2551" s="62" t="str">
        <f>IF(A2551="","",IFERROR(INDEX(fa_cname,MATCH(A2551,fa_num,0))&amp;"",""))</f>
        <v/>
      </c>
      <c r="N2551" s="59" t="str">
        <f>IF(COUNTA(A2551:G2551)=0,"",IF(A2551="","N° facture manquant",IF(ISNA(MATCH(A2551,fa_num,0)),"Facture inconnue",IF(AND(B2551&lt;&gt;"",ISNA(MATCH(B2551,pr_code,0))),"Article inconnu",IF(H2551="","Désignation manquante",IF(OR(NOT(ISNUMBER(D2551)),N(D2551)&lt;=0),"Quantité invalide",IF(J2551="","Prix manquant",IF(OR(NOT(ISNUMBER(J2551)),N(J2551)&lt;0),"Prix invalide",IF(OR(AND(F2551&lt;&gt;"",NOT(ISNUMBER(F2551))),N(F2551)&lt;0,N(F2551)&gt;1),"Remise invalide",IF(K2551="","Taux de TVA manquant",IF(NOT(ISNUMBER(K2551)),"Taux de TVA invalide",IF(COUNTIF(p_rates,K2551)=0,"Taux de TVA hors liste (Paramètres)",IF(N(O2551)&gt;25,"Au-delà de 25 lignes : non imprimée","OK")))))))))))))</f>
        <v/>
      </c>
      <c r="O2551" s="59" t="str">
        <f>IF(A2551="","",COUNTIF($A$6:A2551,A2551))</f>
        <v/>
      </c>
      <c r="P2551" s="62" t="str">
        <f>IF(A2551="","",A2551&amp;"|"&amp;O2551)</f>
        <v/>
      </c>
    </row>
    <row r="2552">
      <c r="A2552" s="60" t="n"/>
      <c r="B2552" s="63" t="n"/>
      <c r="C2552" s="63" t="n"/>
      <c r="D2552" s="67" t="n"/>
      <c r="E2552" s="68" t="n"/>
      <c r="F2552" s="69" t="n"/>
      <c r="G2552" s="70" t="n"/>
      <c r="H2552" s="62" t="str">
        <f>IF(COUNTA(A2552:G2552)=0,"",IF(C2552&lt;&gt;"",C2552,IF(B2552="","",IFERROR(INDEX(pr_des,MATCH(B2552,pr_code,0))&amp;"",""))))</f>
        <v/>
      </c>
      <c r="I2552" s="59" t="str">
        <f>IF(B2552="","",IFERROR(INDEX(pr_unit,MATCH(B2552,pr_code,0))&amp;"",""))</f>
        <v/>
      </c>
      <c r="J2552" s="65" t="str">
        <f>IF(COUNTA(A2552:G2552)=0,"",IF(E2552&lt;&gt;"",E2552,IF(B2552="","",IFERROR(IF(INDEX(pr_price,MATCH(B2552,pr_code,0))="","",INDEX(pr_price,MATCH(B2552,pr_code,0))),""))))</f>
        <v/>
      </c>
      <c r="K2552" s="71" t="str">
        <f>IF(COUNTA(A2552:G2552)=0,"",IF(G2552&lt;&gt;"",G2552,IF(B2552="","",IFERROR(IF(INDEX(pr_rate,MATCH(B2552,pr_code,0))="","",INDEX(pr_rate,MATCH(B2552,pr_code,0))),""))))</f>
        <v/>
      </c>
      <c r="L2552" s="65" t="str">
        <f>IF(COUNTA(A2552:G2552)=0,"",IF(AND(ISNUMBER(D2552),ISNUMBER(J2552)),ROUND(D2552*J2552*(1-N(F2552)),2),0))</f>
        <v/>
      </c>
      <c r="M2552" s="62" t="str">
        <f>IF(A2552="","",IFERROR(INDEX(fa_cname,MATCH(A2552,fa_num,0))&amp;"",""))</f>
        <v/>
      </c>
      <c r="N2552" s="59" t="str">
        <f>IF(COUNTA(A2552:G2552)=0,"",IF(A2552="","N° facture manquant",IF(ISNA(MATCH(A2552,fa_num,0)),"Facture inconnue",IF(AND(B2552&lt;&gt;"",ISNA(MATCH(B2552,pr_code,0))),"Article inconnu",IF(H2552="","Désignation manquante",IF(OR(NOT(ISNUMBER(D2552)),N(D2552)&lt;=0),"Quantité invalide",IF(J2552="","Prix manquant",IF(OR(NOT(ISNUMBER(J2552)),N(J2552)&lt;0),"Prix invalide",IF(OR(AND(F2552&lt;&gt;"",NOT(ISNUMBER(F2552))),N(F2552)&lt;0,N(F2552)&gt;1),"Remise invalide",IF(K2552="","Taux de TVA manquant",IF(NOT(ISNUMBER(K2552)),"Taux de TVA invalide",IF(COUNTIF(p_rates,K2552)=0,"Taux de TVA hors liste (Paramètres)",IF(N(O2552)&gt;25,"Au-delà de 25 lignes : non imprimée","OK")))))))))))))</f>
        <v/>
      </c>
      <c r="O2552" s="59" t="str">
        <f>IF(A2552="","",COUNTIF($A$6:A2552,A2552))</f>
        <v/>
      </c>
      <c r="P2552" s="62" t="str">
        <f>IF(A2552="","",A2552&amp;"|"&amp;O2552)</f>
        <v/>
      </c>
    </row>
    <row r="2553">
      <c r="A2553" s="60" t="n"/>
      <c r="B2553" s="63" t="n"/>
      <c r="C2553" s="63" t="n"/>
      <c r="D2553" s="67" t="n"/>
      <c r="E2553" s="68" t="n"/>
      <c r="F2553" s="69" t="n"/>
      <c r="G2553" s="70" t="n"/>
      <c r="H2553" s="62" t="str">
        <f>IF(COUNTA(A2553:G2553)=0,"",IF(C2553&lt;&gt;"",C2553,IF(B2553="","",IFERROR(INDEX(pr_des,MATCH(B2553,pr_code,0))&amp;"",""))))</f>
        <v/>
      </c>
      <c r="I2553" s="59" t="str">
        <f>IF(B2553="","",IFERROR(INDEX(pr_unit,MATCH(B2553,pr_code,0))&amp;"",""))</f>
        <v/>
      </c>
      <c r="J2553" s="65" t="str">
        <f>IF(COUNTA(A2553:G2553)=0,"",IF(E2553&lt;&gt;"",E2553,IF(B2553="","",IFERROR(IF(INDEX(pr_price,MATCH(B2553,pr_code,0))="","",INDEX(pr_price,MATCH(B2553,pr_code,0))),""))))</f>
        <v/>
      </c>
      <c r="K2553" s="71" t="str">
        <f>IF(COUNTA(A2553:G2553)=0,"",IF(G2553&lt;&gt;"",G2553,IF(B2553="","",IFERROR(IF(INDEX(pr_rate,MATCH(B2553,pr_code,0))="","",INDEX(pr_rate,MATCH(B2553,pr_code,0))),""))))</f>
        <v/>
      </c>
      <c r="L2553" s="65" t="str">
        <f>IF(COUNTA(A2553:G2553)=0,"",IF(AND(ISNUMBER(D2553),ISNUMBER(J2553)),ROUND(D2553*J2553*(1-N(F2553)),2),0))</f>
        <v/>
      </c>
      <c r="M2553" s="62" t="str">
        <f>IF(A2553="","",IFERROR(INDEX(fa_cname,MATCH(A2553,fa_num,0))&amp;"",""))</f>
        <v/>
      </c>
      <c r="N2553" s="59" t="str">
        <f>IF(COUNTA(A2553:G2553)=0,"",IF(A2553="","N° facture manquant",IF(ISNA(MATCH(A2553,fa_num,0)),"Facture inconnue",IF(AND(B2553&lt;&gt;"",ISNA(MATCH(B2553,pr_code,0))),"Article inconnu",IF(H2553="","Désignation manquante",IF(OR(NOT(ISNUMBER(D2553)),N(D2553)&lt;=0),"Quantité invalide",IF(J2553="","Prix manquant",IF(OR(NOT(ISNUMBER(J2553)),N(J2553)&lt;0),"Prix invalide",IF(OR(AND(F2553&lt;&gt;"",NOT(ISNUMBER(F2553))),N(F2553)&lt;0,N(F2553)&gt;1),"Remise invalide",IF(K2553="","Taux de TVA manquant",IF(NOT(ISNUMBER(K2553)),"Taux de TVA invalide",IF(COUNTIF(p_rates,K2553)=0,"Taux de TVA hors liste (Paramètres)",IF(N(O2553)&gt;25,"Au-delà de 25 lignes : non imprimée","OK")))))))))))))</f>
        <v/>
      </c>
      <c r="O2553" s="59" t="str">
        <f>IF(A2553="","",COUNTIF($A$6:A2553,A2553))</f>
        <v/>
      </c>
      <c r="P2553" s="62" t="str">
        <f>IF(A2553="","",A2553&amp;"|"&amp;O2553)</f>
        <v/>
      </c>
    </row>
    <row r="2554">
      <c r="A2554" s="60" t="n"/>
      <c r="B2554" s="63" t="n"/>
      <c r="C2554" s="63" t="n"/>
      <c r="D2554" s="67" t="n"/>
      <c r="E2554" s="68" t="n"/>
      <c r="F2554" s="69" t="n"/>
      <c r="G2554" s="70" t="n"/>
      <c r="H2554" s="62" t="str">
        <f>IF(COUNTA(A2554:G2554)=0,"",IF(C2554&lt;&gt;"",C2554,IF(B2554="","",IFERROR(INDEX(pr_des,MATCH(B2554,pr_code,0))&amp;"",""))))</f>
        <v/>
      </c>
      <c r="I2554" s="59" t="str">
        <f>IF(B2554="","",IFERROR(INDEX(pr_unit,MATCH(B2554,pr_code,0))&amp;"",""))</f>
        <v/>
      </c>
      <c r="J2554" s="65" t="str">
        <f>IF(COUNTA(A2554:G2554)=0,"",IF(E2554&lt;&gt;"",E2554,IF(B2554="","",IFERROR(IF(INDEX(pr_price,MATCH(B2554,pr_code,0))="","",INDEX(pr_price,MATCH(B2554,pr_code,0))),""))))</f>
        <v/>
      </c>
      <c r="K2554" s="71" t="str">
        <f>IF(COUNTA(A2554:G2554)=0,"",IF(G2554&lt;&gt;"",G2554,IF(B2554="","",IFERROR(IF(INDEX(pr_rate,MATCH(B2554,pr_code,0))="","",INDEX(pr_rate,MATCH(B2554,pr_code,0))),""))))</f>
        <v/>
      </c>
      <c r="L2554" s="65" t="str">
        <f>IF(COUNTA(A2554:G2554)=0,"",IF(AND(ISNUMBER(D2554),ISNUMBER(J2554)),ROUND(D2554*J2554*(1-N(F2554)),2),0))</f>
        <v/>
      </c>
      <c r="M2554" s="62" t="str">
        <f>IF(A2554="","",IFERROR(INDEX(fa_cname,MATCH(A2554,fa_num,0))&amp;"",""))</f>
        <v/>
      </c>
      <c r="N2554" s="59" t="str">
        <f>IF(COUNTA(A2554:G2554)=0,"",IF(A2554="","N° facture manquant",IF(ISNA(MATCH(A2554,fa_num,0)),"Facture inconnue",IF(AND(B2554&lt;&gt;"",ISNA(MATCH(B2554,pr_code,0))),"Article inconnu",IF(H2554="","Désignation manquante",IF(OR(NOT(ISNUMBER(D2554)),N(D2554)&lt;=0),"Quantité invalide",IF(J2554="","Prix manquant",IF(OR(NOT(ISNUMBER(J2554)),N(J2554)&lt;0),"Prix invalide",IF(OR(AND(F2554&lt;&gt;"",NOT(ISNUMBER(F2554))),N(F2554)&lt;0,N(F2554)&gt;1),"Remise invalide",IF(K2554="","Taux de TVA manquant",IF(NOT(ISNUMBER(K2554)),"Taux de TVA invalide",IF(COUNTIF(p_rates,K2554)=0,"Taux de TVA hors liste (Paramètres)",IF(N(O2554)&gt;25,"Au-delà de 25 lignes : non imprimée","OK")))))))))))))</f>
        <v/>
      </c>
      <c r="O2554" s="59" t="str">
        <f>IF(A2554="","",COUNTIF($A$6:A2554,A2554))</f>
        <v/>
      </c>
      <c r="P2554" s="62" t="str">
        <f>IF(A2554="","",A2554&amp;"|"&amp;O2554)</f>
        <v/>
      </c>
    </row>
    <row r="2555">
      <c r="A2555" s="60" t="n"/>
      <c r="B2555" s="63" t="n"/>
      <c r="C2555" s="63" t="n"/>
      <c r="D2555" s="67" t="n"/>
      <c r="E2555" s="68" t="n"/>
      <c r="F2555" s="69" t="n"/>
      <c r="G2555" s="70" t="n"/>
      <c r="H2555" s="62" t="str">
        <f>IF(COUNTA(A2555:G2555)=0,"",IF(C2555&lt;&gt;"",C2555,IF(B2555="","",IFERROR(INDEX(pr_des,MATCH(B2555,pr_code,0))&amp;"",""))))</f>
        <v/>
      </c>
      <c r="I2555" s="59" t="str">
        <f>IF(B2555="","",IFERROR(INDEX(pr_unit,MATCH(B2555,pr_code,0))&amp;"",""))</f>
        <v/>
      </c>
      <c r="J2555" s="65" t="str">
        <f>IF(COUNTA(A2555:G2555)=0,"",IF(E2555&lt;&gt;"",E2555,IF(B2555="","",IFERROR(IF(INDEX(pr_price,MATCH(B2555,pr_code,0))="","",INDEX(pr_price,MATCH(B2555,pr_code,0))),""))))</f>
        <v/>
      </c>
      <c r="K2555" s="71" t="str">
        <f>IF(COUNTA(A2555:G2555)=0,"",IF(G2555&lt;&gt;"",G2555,IF(B2555="","",IFERROR(IF(INDEX(pr_rate,MATCH(B2555,pr_code,0))="","",INDEX(pr_rate,MATCH(B2555,pr_code,0))),""))))</f>
        <v/>
      </c>
      <c r="L2555" s="65" t="str">
        <f>IF(COUNTA(A2555:G2555)=0,"",IF(AND(ISNUMBER(D2555),ISNUMBER(J2555)),ROUND(D2555*J2555*(1-N(F2555)),2),0))</f>
        <v/>
      </c>
      <c r="M2555" s="62" t="str">
        <f>IF(A2555="","",IFERROR(INDEX(fa_cname,MATCH(A2555,fa_num,0))&amp;"",""))</f>
        <v/>
      </c>
      <c r="N2555" s="59" t="str">
        <f>IF(COUNTA(A2555:G2555)=0,"",IF(A2555="","N° facture manquant",IF(ISNA(MATCH(A2555,fa_num,0)),"Facture inconnue",IF(AND(B2555&lt;&gt;"",ISNA(MATCH(B2555,pr_code,0))),"Article inconnu",IF(H2555="","Désignation manquante",IF(OR(NOT(ISNUMBER(D2555)),N(D2555)&lt;=0),"Quantité invalide",IF(J2555="","Prix manquant",IF(OR(NOT(ISNUMBER(J2555)),N(J2555)&lt;0),"Prix invalide",IF(OR(AND(F2555&lt;&gt;"",NOT(ISNUMBER(F2555))),N(F2555)&lt;0,N(F2555)&gt;1),"Remise invalide",IF(K2555="","Taux de TVA manquant",IF(NOT(ISNUMBER(K2555)),"Taux de TVA invalide",IF(COUNTIF(p_rates,K2555)=0,"Taux de TVA hors liste (Paramètres)",IF(N(O2555)&gt;25,"Au-delà de 25 lignes : non imprimée","OK")))))))))))))</f>
        <v/>
      </c>
      <c r="O2555" s="59" t="str">
        <f>IF(A2555="","",COUNTIF($A$6:A2555,A2555))</f>
        <v/>
      </c>
      <c r="P2555" s="62" t="str">
        <f>IF(A2555="","",A2555&amp;"|"&amp;O2555)</f>
        <v/>
      </c>
    </row>
    <row r="2556">
      <c r="A2556" s="60" t="n"/>
      <c r="B2556" s="63" t="n"/>
      <c r="C2556" s="63" t="n"/>
      <c r="D2556" s="67" t="n"/>
      <c r="E2556" s="68" t="n"/>
      <c r="F2556" s="69" t="n"/>
      <c r="G2556" s="70" t="n"/>
      <c r="H2556" s="62" t="str">
        <f>IF(COUNTA(A2556:G2556)=0,"",IF(C2556&lt;&gt;"",C2556,IF(B2556="","",IFERROR(INDEX(pr_des,MATCH(B2556,pr_code,0))&amp;"",""))))</f>
        <v/>
      </c>
      <c r="I2556" s="59" t="str">
        <f>IF(B2556="","",IFERROR(INDEX(pr_unit,MATCH(B2556,pr_code,0))&amp;"",""))</f>
        <v/>
      </c>
      <c r="J2556" s="65" t="str">
        <f>IF(COUNTA(A2556:G2556)=0,"",IF(E2556&lt;&gt;"",E2556,IF(B2556="","",IFERROR(IF(INDEX(pr_price,MATCH(B2556,pr_code,0))="","",INDEX(pr_price,MATCH(B2556,pr_code,0))),""))))</f>
        <v/>
      </c>
      <c r="K2556" s="71" t="str">
        <f>IF(COUNTA(A2556:G2556)=0,"",IF(G2556&lt;&gt;"",G2556,IF(B2556="","",IFERROR(IF(INDEX(pr_rate,MATCH(B2556,pr_code,0))="","",INDEX(pr_rate,MATCH(B2556,pr_code,0))),""))))</f>
        <v/>
      </c>
      <c r="L2556" s="65" t="str">
        <f>IF(COUNTA(A2556:G2556)=0,"",IF(AND(ISNUMBER(D2556),ISNUMBER(J2556)),ROUND(D2556*J2556*(1-N(F2556)),2),0))</f>
        <v/>
      </c>
      <c r="M2556" s="62" t="str">
        <f>IF(A2556="","",IFERROR(INDEX(fa_cname,MATCH(A2556,fa_num,0))&amp;"",""))</f>
        <v/>
      </c>
      <c r="N2556" s="59" t="str">
        <f>IF(COUNTA(A2556:G2556)=0,"",IF(A2556="","N° facture manquant",IF(ISNA(MATCH(A2556,fa_num,0)),"Facture inconnue",IF(AND(B2556&lt;&gt;"",ISNA(MATCH(B2556,pr_code,0))),"Article inconnu",IF(H2556="","Désignation manquante",IF(OR(NOT(ISNUMBER(D2556)),N(D2556)&lt;=0),"Quantité invalide",IF(J2556="","Prix manquant",IF(OR(NOT(ISNUMBER(J2556)),N(J2556)&lt;0),"Prix invalide",IF(OR(AND(F2556&lt;&gt;"",NOT(ISNUMBER(F2556))),N(F2556)&lt;0,N(F2556)&gt;1),"Remise invalide",IF(K2556="","Taux de TVA manquant",IF(NOT(ISNUMBER(K2556)),"Taux de TVA invalide",IF(COUNTIF(p_rates,K2556)=0,"Taux de TVA hors liste (Paramètres)",IF(N(O2556)&gt;25,"Au-delà de 25 lignes : non imprimée","OK")))))))))))))</f>
        <v/>
      </c>
      <c r="O2556" s="59" t="str">
        <f>IF(A2556="","",COUNTIF($A$6:A2556,A2556))</f>
        <v/>
      </c>
      <c r="P2556" s="62" t="str">
        <f>IF(A2556="","",A2556&amp;"|"&amp;O2556)</f>
        <v/>
      </c>
    </row>
    <row r="2557">
      <c r="A2557" s="60" t="n"/>
      <c r="B2557" s="63" t="n"/>
      <c r="C2557" s="63" t="n"/>
      <c r="D2557" s="67" t="n"/>
      <c r="E2557" s="68" t="n"/>
      <c r="F2557" s="69" t="n"/>
      <c r="G2557" s="70" t="n"/>
      <c r="H2557" s="62" t="str">
        <f>IF(COUNTA(A2557:G2557)=0,"",IF(C2557&lt;&gt;"",C2557,IF(B2557="","",IFERROR(INDEX(pr_des,MATCH(B2557,pr_code,0))&amp;"",""))))</f>
        <v/>
      </c>
      <c r="I2557" s="59" t="str">
        <f>IF(B2557="","",IFERROR(INDEX(pr_unit,MATCH(B2557,pr_code,0))&amp;"",""))</f>
        <v/>
      </c>
      <c r="J2557" s="65" t="str">
        <f>IF(COUNTA(A2557:G2557)=0,"",IF(E2557&lt;&gt;"",E2557,IF(B2557="","",IFERROR(IF(INDEX(pr_price,MATCH(B2557,pr_code,0))="","",INDEX(pr_price,MATCH(B2557,pr_code,0))),""))))</f>
        <v/>
      </c>
      <c r="K2557" s="71" t="str">
        <f>IF(COUNTA(A2557:G2557)=0,"",IF(G2557&lt;&gt;"",G2557,IF(B2557="","",IFERROR(IF(INDEX(pr_rate,MATCH(B2557,pr_code,0))="","",INDEX(pr_rate,MATCH(B2557,pr_code,0))),""))))</f>
        <v/>
      </c>
      <c r="L2557" s="65" t="str">
        <f>IF(COUNTA(A2557:G2557)=0,"",IF(AND(ISNUMBER(D2557),ISNUMBER(J2557)),ROUND(D2557*J2557*(1-N(F2557)),2),0))</f>
        <v/>
      </c>
      <c r="M2557" s="62" t="str">
        <f>IF(A2557="","",IFERROR(INDEX(fa_cname,MATCH(A2557,fa_num,0))&amp;"",""))</f>
        <v/>
      </c>
      <c r="N2557" s="59" t="str">
        <f>IF(COUNTA(A2557:G2557)=0,"",IF(A2557="","N° facture manquant",IF(ISNA(MATCH(A2557,fa_num,0)),"Facture inconnue",IF(AND(B2557&lt;&gt;"",ISNA(MATCH(B2557,pr_code,0))),"Article inconnu",IF(H2557="","Désignation manquante",IF(OR(NOT(ISNUMBER(D2557)),N(D2557)&lt;=0),"Quantité invalide",IF(J2557="","Prix manquant",IF(OR(NOT(ISNUMBER(J2557)),N(J2557)&lt;0),"Prix invalide",IF(OR(AND(F2557&lt;&gt;"",NOT(ISNUMBER(F2557))),N(F2557)&lt;0,N(F2557)&gt;1),"Remise invalide",IF(K2557="","Taux de TVA manquant",IF(NOT(ISNUMBER(K2557)),"Taux de TVA invalide",IF(COUNTIF(p_rates,K2557)=0,"Taux de TVA hors liste (Paramètres)",IF(N(O2557)&gt;25,"Au-delà de 25 lignes : non imprimée","OK")))))))))))))</f>
        <v/>
      </c>
      <c r="O2557" s="59" t="str">
        <f>IF(A2557="","",COUNTIF($A$6:A2557,A2557))</f>
        <v/>
      </c>
      <c r="P2557" s="62" t="str">
        <f>IF(A2557="","",A2557&amp;"|"&amp;O2557)</f>
        <v/>
      </c>
    </row>
    <row r="2558">
      <c r="A2558" s="60" t="n"/>
      <c r="B2558" s="63" t="n"/>
      <c r="C2558" s="63" t="n"/>
      <c r="D2558" s="67" t="n"/>
      <c r="E2558" s="68" t="n"/>
      <c r="F2558" s="69" t="n"/>
      <c r="G2558" s="70" t="n"/>
      <c r="H2558" s="62" t="str">
        <f>IF(COUNTA(A2558:G2558)=0,"",IF(C2558&lt;&gt;"",C2558,IF(B2558="","",IFERROR(INDEX(pr_des,MATCH(B2558,pr_code,0))&amp;"",""))))</f>
        <v/>
      </c>
      <c r="I2558" s="59" t="str">
        <f>IF(B2558="","",IFERROR(INDEX(pr_unit,MATCH(B2558,pr_code,0))&amp;"",""))</f>
        <v/>
      </c>
      <c r="J2558" s="65" t="str">
        <f>IF(COUNTA(A2558:G2558)=0,"",IF(E2558&lt;&gt;"",E2558,IF(B2558="","",IFERROR(IF(INDEX(pr_price,MATCH(B2558,pr_code,0))="","",INDEX(pr_price,MATCH(B2558,pr_code,0))),""))))</f>
        <v/>
      </c>
      <c r="K2558" s="71" t="str">
        <f>IF(COUNTA(A2558:G2558)=0,"",IF(G2558&lt;&gt;"",G2558,IF(B2558="","",IFERROR(IF(INDEX(pr_rate,MATCH(B2558,pr_code,0))="","",INDEX(pr_rate,MATCH(B2558,pr_code,0))),""))))</f>
        <v/>
      </c>
      <c r="L2558" s="65" t="str">
        <f>IF(COUNTA(A2558:G2558)=0,"",IF(AND(ISNUMBER(D2558),ISNUMBER(J2558)),ROUND(D2558*J2558*(1-N(F2558)),2),0))</f>
        <v/>
      </c>
      <c r="M2558" s="62" t="str">
        <f>IF(A2558="","",IFERROR(INDEX(fa_cname,MATCH(A2558,fa_num,0))&amp;"",""))</f>
        <v/>
      </c>
      <c r="N2558" s="59" t="str">
        <f>IF(COUNTA(A2558:G2558)=0,"",IF(A2558="","N° facture manquant",IF(ISNA(MATCH(A2558,fa_num,0)),"Facture inconnue",IF(AND(B2558&lt;&gt;"",ISNA(MATCH(B2558,pr_code,0))),"Article inconnu",IF(H2558="","Désignation manquante",IF(OR(NOT(ISNUMBER(D2558)),N(D2558)&lt;=0),"Quantité invalide",IF(J2558="","Prix manquant",IF(OR(NOT(ISNUMBER(J2558)),N(J2558)&lt;0),"Prix invalide",IF(OR(AND(F2558&lt;&gt;"",NOT(ISNUMBER(F2558))),N(F2558)&lt;0,N(F2558)&gt;1),"Remise invalide",IF(K2558="","Taux de TVA manquant",IF(NOT(ISNUMBER(K2558)),"Taux de TVA invalide",IF(COUNTIF(p_rates,K2558)=0,"Taux de TVA hors liste (Paramètres)",IF(N(O2558)&gt;25,"Au-delà de 25 lignes : non imprimée","OK")))))))))))))</f>
        <v/>
      </c>
      <c r="O2558" s="59" t="str">
        <f>IF(A2558="","",COUNTIF($A$6:A2558,A2558))</f>
        <v/>
      </c>
      <c r="P2558" s="62" t="str">
        <f>IF(A2558="","",A2558&amp;"|"&amp;O2558)</f>
        <v/>
      </c>
    </row>
    <row r="2559">
      <c r="A2559" s="60" t="n"/>
      <c r="B2559" s="63" t="n"/>
      <c r="C2559" s="63" t="n"/>
      <c r="D2559" s="67" t="n"/>
      <c r="E2559" s="68" t="n"/>
      <c r="F2559" s="69" t="n"/>
      <c r="G2559" s="70" t="n"/>
      <c r="H2559" s="62" t="str">
        <f>IF(COUNTA(A2559:G2559)=0,"",IF(C2559&lt;&gt;"",C2559,IF(B2559="","",IFERROR(INDEX(pr_des,MATCH(B2559,pr_code,0))&amp;"",""))))</f>
        <v/>
      </c>
      <c r="I2559" s="59" t="str">
        <f>IF(B2559="","",IFERROR(INDEX(pr_unit,MATCH(B2559,pr_code,0))&amp;"",""))</f>
        <v/>
      </c>
      <c r="J2559" s="65" t="str">
        <f>IF(COUNTA(A2559:G2559)=0,"",IF(E2559&lt;&gt;"",E2559,IF(B2559="","",IFERROR(IF(INDEX(pr_price,MATCH(B2559,pr_code,0))="","",INDEX(pr_price,MATCH(B2559,pr_code,0))),""))))</f>
        <v/>
      </c>
      <c r="K2559" s="71" t="str">
        <f>IF(COUNTA(A2559:G2559)=0,"",IF(G2559&lt;&gt;"",G2559,IF(B2559="","",IFERROR(IF(INDEX(pr_rate,MATCH(B2559,pr_code,0))="","",INDEX(pr_rate,MATCH(B2559,pr_code,0))),""))))</f>
        <v/>
      </c>
      <c r="L2559" s="65" t="str">
        <f>IF(COUNTA(A2559:G2559)=0,"",IF(AND(ISNUMBER(D2559),ISNUMBER(J2559)),ROUND(D2559*J2559*(1-N(F2559)),2),0))</f>
        <v/>
      </c>
      <c r="M2559" s="62" t="str">
        <f>IF(A2559="","",IFERROR(INDEX(fa_cname,MATCH(A2559,fa_num,0))&amp;"",""))</f>
        <v/>
      </c>
      <c r="N2559" s="59" t="str">
        <f>IF(COUNTA(A2559:G2559)=0,"",IF(A2559="","N° facture manquant",IF(ISNA(MATCH(A2559,fa_num,0)),"Facture inconnue",IF(AND(B2559&lt;&gt;"",ISNA(MATCH(B2559,pr_code,0))),"Article inconnu",IF(H2559="","Désignation manquante",IF(OR(NOT(ISNUMBER(D2559)),N(D2559)&lt;=0),"Quantité invalide",IF(J2559="","Prix manquant",IF(OR(NOT(ISNUMBER(J2559)),N(J2559)&lt;0),"Prix invalide",IF(OR(AND(F2559&lt;&gt;"",NOT(ISNUMBER(F2559))),N(F2559)&lt;0,N(F2559)&gt;1),"Remise invalide",IF(K2559="","Taux de TVA manquant",IF(NOT(ISNUMBER(K2559)),"Taux de TVA invalide",IF(COUNTIF(p_rates,K2559)=0,"Taux de TVA hors liste (Paramètres)",IF(N(O2559)&gt;25,"Au-delà de 25 lignes : non imprimée","OK")))))))))))))</f>
        <v/>
      </c>
      <c r="O2559" s="59" t="str">
        <f>IF(A2559="","",COUNTIF($A$6:A2559,A2559))</f>
        <v/>
      </c>
      <c r="P2559" s="62" t="str">
        <f>IF(A2559="","",A2559&amp;"|"&amp;O2559)</f>
        <v/>
      </c>
    </row>
    <row r="2560">
      <c r="A2560" s="60" t="n"/>
      <c r="B2560" s="63" t="n"/>
      <c r="C2560" s="63" t="n"/>
      <c r="D2560" s="67" t="n"/>
      <c r="E2560" s="68" t="n"/>
      <c r="F2560" s="69" t="n"/>
      <c r="G2560" s="70" t="n"/>
      <c r="H2560" s="62" t="str">
        <f>IF(COUNTA(A2560:G2560)=0,"",IF(C2560&lt;&gt;"",C2560,IF(B2560="","",IFERROR(INDEX(pr_des,MATCH(B2560,pr_code,0))&amp;"",""))))</f>
        <v/>
      </c>
      <c r="I2560" s="59" t="str">
        <f>IF(B2560="","",IFERROR(INDEX(pr_unit,MATCH(B2560,pr_code,0))&amp;"",""))</f>
        <v/>
      </c>
      <c r="J2560" s="65" t="str">
        <f>IF(COUNTA(A2560:G2560)=0,"",IF(E2560&lt;&gt;"",E2560,IF(B2560="","",IFERROR(IF(INDEX(pr_price,MATCH(B2560,pr_code,0))="","",INDEX(pr_price,MATCH(B2560,pr_code,0))),""))))</f>
        <v/>
      </c>
      <c r="K2560" s="71" t="str">
        <f>IF(COUNTA(A2560:G2560)=0,"",IF(G2560&lt;&gt;"",G2560,IF(B2560="","",IFERROR(IF(INDEX(pr_rate,MATCH(B2560,pr_code,0))="","",INDEX(pr_rate,MATCH(B2560,pr_code,0))),""))))</f>
        <v/>
      </c>
      <c r="L2560" s="65" t="str">
        <f>IF(COUNTA(A2560:G2560)=0,"",IF(AND(ISNUMBER(D2560),ISNUMBER(J2560)),ROUND(D2560*J2560*(1-N(F2560)),2),0))</f>
        <v/>
      </c>
      <c r="M2560" s="62" t="str">
        <f>IF(A2560="","",IFERROR(INDEX(fa_cname,MATCH(A2560,fa_num,0))&amp;"",""))</f>
        <v/>
      </c>
      <c r="N2560" s="59" t="str">
        <f>IF(COUNTA(A2560:G2560)=0,"",IF(A2560="","N° facture manquant",IF(ISNA(MATCH(A2560,fa_num,0)),"Facture inconnue",IF(AND(B2560&lt;&gt;"",ISNA(MATCH(B2560,pr_code,0))),"Article inconnu",IF(H2560="","Désignation manquante",IF(OR(NOT(ISNUMBER(D2560)),N(D2560)&lt;=0),"Quantité invalide",IF(J2560="","Prix manquant",IF(OR(NOT(ISNUMBER(J2560)),N(J2560)&lt;0),"Prix invalide",IF(OR(AND(F2560&lt;&gt;"",NOT(ISNUMBER(F2560))),N(F2560)&lt;0,N(F2560)&gt;1),"Remise invalide",IF(K2560="","Taux de TVA manquant",IF(NOT(ISNUMBER(K2560)),"Taux de TVA invalide",IF(COUNTIF(p_rates,K2560)=0,"Taux de TVA hors liste (Paramètres)",IF(N(O2560)&gt;25,"Au-delà de 25 lignes : non imprimée","OK")))))))))))))</f>
        <v/>
      </c>
      <c r="O2560" s="59" t="str">
        <f>IF(A2560="","",COUNTIF($A$6:A2560,A2560))</f>
        <v/>
      </c>
      <c r="P2560" s="62" t="str">
        <f>IF(A2560="","",A2560&amp;"|"&amp;O2560)</f>
        <v/>
      </c>
    </row>
    <row r="2561">
      <c r="A2561" s="60" t="n"/>
      <c r="B2561" s="63" t="n"/>
      <c r="C2561" s="63" t="n"/>
      <c r="D2561" s="67" t="n"/>
      <c r="E2561" s="68" t="n"/>
      <c r="F2561" s="69" t="n"/>
      <c r="G2561" s="70" t="n"/>
      <c r="H2561" s="62" t="str">
        <f>IF(COUNTA(A2561:G2561)=0,"",IF(C2561&lt;&gt;"",C2561,IF(B2561="","",IFERROR(INDEX(pr_des,MATCH(B2561,pr_code,0))&amp;"",""))))</f>
        <v/>
      </c>
      <c r="I2561" s="59" t="str">
        <f>IF(B2561="","",IFERROR(INDEX(pr_unit,MATCH(B2561,pr_code,0))&amp;"",""))</f>
        <v/>
      </c>
      <c r="J2561" s="65" t="str">
        <f>IF(COUNTA(A2561:G2561)=0,"",IF(E2561&lt;&gt;"",E2561,IF(B2561="","",IFERROR(IF(INDEX(pr_price,MATCH(B2561,pr_code,0))="","",INDEX(pr_price,MATCH(B2561,pr_code,0))),""))))</f>
        <v/>
      </c>
      <c r="K2561" s="71" t="str">
        <f>IF(COUNTA(A2561:G2561)=0,"",IF(G2561&lt;&gt;"",G2561,IF(B2561="","",IFERROR(IF(INDEX(pr_rate,MATCH(B2561,pr_code,0))="","",INDEX(pr_rate,MATCH(B2561,pr_code,0))),""))))</f>
        <v/>
      </c>
      <c r="L2561" s="65" t="str">
        <f>IF(COUNTA(A2561:G2561)=0,"",IF(AND(ISNUMBER(D2561),ISNUMBER(J2561)),ROUND(D2561*J2561*(1-N(F2561)),2),0))</f>
        <v/>
      </c>
      <c r="M2561" s="62" t="str">
        <f>IF(A2561="","",IFERROR(INDEX(fa_cname,MATCH(A2561,fa_num,0))&amp;"",""))</f>
        <v/>
      </c>
      <c r="N2561" s="59" t="str">
        <f>IF(COUNTA(A2561:G2561)=0,"",IF(A2561="","N° facture manquant",IF(ISNA(MATCH(A2561,fa_num,0)),"Facture inconnue",IF(AND(B2561&lt;&gt;"",ISNA(MATCH(B2561,pr_code,0))),"Article inconnu",IF(H2561="","Désignation manquante",IF(OR(NOT(ISNUMBER(D2561)),N(D2561)&lt;=0),"Quantité invalide",IF(J2561="","Prix manquant",IF(OR(NOT(ISNUMBER(J2561)),N(J2561)&lt;0),"Prix invalide",IF(OR(AND(F2561&lt;&gt;"",NOT(ISNUMBER(F2561))),N(F2561)&lt;0,N(F2561)&gt;1),"Remise invalide",IF(K2561="","Taux de TVA manquant",IF(NOT(ISNUMBER(K2561)),"Taux de TVA invalide",IF(COUNTIF(p_rates,K2561)=0,"Taux de TVA hors liste (Paramètres)",IF(N(O2561)&gt;25,"Au-delà de 25 lignes : non imprimée","OK")))))))))))))</f>
        <v/>
      </c>
      <c r="O2561" s="59" t="str">
        <f>IF(A2561="","",COUNTIF($A$6:A2561,A2561))</f>
        <v/>
      </c>
      <c r="P2561" s="62" t="str">
        <f>IF(A2561="","",A2561&amp;"|"&amp;O2561)</f>
        <v/>
      </c>
    </row>
    <row r="2562">
      <c r="A2562" s="60" t="n"/>
      <c r="B2562" s="63" t="n"/>
      <c r="C2562" s="63" t="n"/>
      <c r="D2562" s="67" t="n"/>
      <c r="E2562" s="68" t="n"/>
      <c r="F2562" s="69" t="n"/>
      <c r="G2562" s="70" t="n"/>
      <c r="H2562" s="62" t="str">
        <f>IF(COUNTA(A2562:G2562)=0,"",IF(C2562&lt;&gt;"",C2562,IF(B2562="","",IFERROR(INDEX(pr_des,MATCH(B2562,pr_code,0))&amp;"",""))))</f>
        <v/>
      </c>
      <c r="I2562" s="59" t="str">
        <f>IF(B2562="","",IFERROR(INDEX(pr_unit,MATCH(B2562,pr_code,0))&amp;"",""))</f>
        <v/>
      </c>
      <c r="J2562" s="65" t="str">
        <f>IF(COUNTA(A2562:G2562)=0,"",IF(E2562&lt;&gt;"",E2562,IF(B2562="","",IFERROR(IF(INDEX(pr_price,MATCH(B2562,pr_code,0))="","",INDEX(pr_price,MATCH(B2562,pr_code,0))),""))))</f>
        <v/>
      </c>
      <c r="K2562" s="71" t="str">
        <f>IF(COUNTA(A2562:G2562)=0,"",IF(G2562&lt;&gt;"",G2562,IF(B2562="","",IFERROR(IF(INDEX(pr_rate,MATCH(B2562,pr_code,0))="","",INDEX(pr_rate,MATCH(B2562,pr_code,0))),""))))</f>
        <v/>
      </c>
      <c r="L2562" s="65" t="str">
        <f>IF(COUNTA(A2562:G2562)=0,"",IF(AND(ISNUMBER(D2562),ISNUMBER(J2562)),ROUND(D2562*J2562*(1-N(F2562)),2),0))</f>
        <v/>
      </c>
      <c r="M2562" s="62" t="str">
        <f>IF(A2562="","",IFERROR(INDEX(fa_cname,MATCH(A2562,fa_num,0))&amp;"",""))</f>
        <v/>
      </c>
      <c r="N2562" s="59" t="str">
        <f>IF(COUNTA(A2562:G2562)=0,"",IF(A2562="","N° facture manquant",IF(ISNA(MATCH(A2562,fa_num,0)),"Facture inconnue",IF(AND(B2562&lt;&gt;"",ISNA(MATCH(B2562,pr_code,0))),"Article inconnu",IF(H2562="","Désignation manquante",IF(OR(NOT(ISNUMBER(D2562)),N(D2562)&lt;=0),"Quantité invalide",IF(J2562="","Prix manquant",IF(OR(NOT(ISNUMBER(J2562)),N(J2562)&lt;0),"Prix invalide",IF(OR(AND(F2562&lt;&gt;"",NOT(ISNUMBER(F2562))),N(F2562)&lt;0,N(F2562)&gt;1),"Remise invalide",IF(K2562="","Taux de TVA manquant",IF(NOT(ISNUMBER(K2562)),"Taux de TVA invalide",IF(COUNTIF(p_rates,K2562)=0,"Taux de TVA hors liste (Paramètres)",IF(N(O2562)&gt;25,"Au-delà de 25 lignes : non imprimée","OK")))))))))))))</f>
        <v/>
      </c>
      <c r="O2562" s="59" t="str">
        <f>IF(A2562="","",COUNTIF($A$6:A2562,A2562))</f>
        <v/>
      </c>
      <c r="P2562" s="62" t="str">
        <f>IF(A2562="","",A2562&amp;"|"&amp;O2562)</f>
        <v/>
      </c>
    </row>
    <row r="2563">
      <c r="A2563" s="60" t="n"/>
      <c r="B2563" s="63" t="n"/>
      <c r="C2563" s="63" t="n"/>
      <c r="D2563" s="67" t="n"/>
      <c r="E2563" s="68" t="n"/>
      <c r="F2563" s="69" t="n"/>
      <c r="G2563" s="70" t="n"/>
      <c r="H2563" s="62" t="str">
        <f>IF(COUNTA(A2563:G2563)=0,"",IF(C2563&lt;&gt;"",C2563,IF(B2563="","",IFERROR(INDEX(pr_des,MATCH(B2563,pr_code,0))&amp;"",""))))</f>
        <v/>
      </c>
      <c r="I2563" s="59" t="str">
        <f>IF(B2563="","",IFERROR(INDEX(pr_unit,MATCH(B2563,pr_code,0))&amp;"",""))</f>
        <v/>
      </c>
      <c r="J2563" s="65" t="str">
        <f>IF(COUNTA(A2563:G2563)=0,"",IF(E2563&lt;&gt;"",E2563,IF(B2563="","",IFERROR(IF(INDEX(pr_price,MATCH(B2563,pr_code,0))="","",INDEX(pr_price,MATCH(B2563,pr_code,0))),""))))</f>
        <v/>
      </c>
      <c r="K2563" s="71" t="str">
        <f>IF(COUNTA(A2563:G2563)=0,"",IF(G2563&lt;&gt;"",G2563,IF(B2563="","",IFERROR(IF(INDEX(pr_rate,MATCH(B2563,pr_code,0))="","",INDEX(pr_rate,MATCH(B2563,pr_code,0))),""))))</f>
        <v/>
      </c>
      <c r="L2563" s="65" t="str">
        <f>IF(COUNTA(A2563:G2563)=0,"",IF(AND(ISNUMBER(D2563),ISNUMBER(J2563)),ROUND(D2563*J2563*(1-N(F2563)),2),0))</f>
        <v/>
      </c>
      <c r="M2563" s="62" t="str">
        <f>IF(A2563="","",IFERROR(INDEX(fa_cname,MATCH(A2563,fa_num,0))&amp;"",""))</f>
        <v/>
      </c>
      <c r="N2563" s="59" t="str">
        <f>IF(COUNTA(A2563:G2563)=0,"",IF(A2563="","N° facture manquant",IF(ISNA(MATCH(A2563,fa_num,0)),"Facture inconnue",IF(AND(B2563&lt;&gt;"",ISNA(MATCH(B2563,pr_code,0))),"Article inconnu",IF(H2563="","Désignation manquante",IF(OR(NOT(ISNUMBER(D2563)),N(D2563)&lt;=0),"Quantité invalide",IF(J2563="","Prix manquant",IF(OR(NOT(ISNUMBER(J2563)),N(J2563)&lt;0),"Prix invalide",IF(OR(AND(F2563&lt;&gt;"",NOT(ISNUMBER(F2563))),N(F2563)&lt;0,N(F2563)&gt;1),"Remise invalide",IF(K2563="","Taux de TVA manquant",IF(NOT(ISNUMBER(K2563)),"Taux de TVA invalide",IF(COUNTIF(p_rates,K2563)=0,"Taux de TVA hors liste (Paramètres)",IF(N(O2563)&gt;25,"Au-delà de 25 lignes : non imprimée","OK")))))))))))))</f>
        <v/>
      </c>
      <c r="O2563" s="59" t="str">
        <f>IF(A2563="","",COUNTIF($A$6:A2563,A2563))</f>
        <v/>
      </c>
      <c r="P2563" s="62" t="str">
        <f>IF(A2563="","",A2563&amp;"|"&amp;O2563)</f>
        <v/>
      </c>
    </row>
    <row r="2564">
      <c r="A2564" s="60" t="n"/>
      <c r="B2564" s="63" t="n"/>
      <c r="C2564" s="63" t="n"/>
      <c r="D2564" s="67" t="n"/>
      <c r="E2564" s="68" t="n"/>
      <c r="F2564" s="69" t="n"/>
      <c r="G2564" s="70" t="n"/>
      <c r="H2564" s="62" t="str">
        <f>IF(COUNTA(A2564:G2564)=0,"",IF(C2564&lt;&gt;"",C2564,IF(B2564="","",IFERROR(INDEX(pr_des,MATCH(B2564,pr_code,0))&amp;"",""))))</f>
        <v/>
      </c>
      <c r="I2564" s="59" t="str">
        <f>IF(B2564="","",IFERROR(INDEX(pr_unit,MATCH(B2564,pr_code,0))&amp;"",""))</f>
        <v/>
      </c>
      <c r="J2564" s="65" t="str">
        <f>IF(COUNTA(A2564:G2564)=0,"",IF(E2564&lt;&gt;"",E2564,IF(B2564="","",IFERROR(IF(INDEX(pr_price,MATCH(B2564,pr_code,0))="","",INDEX(pr_price,MATCH(B2564,pr_code,0))),""))))</f>
        <v/>
      </c>
      <c r="K2564" s="71" t="str">
        <f>IF(COUNTA(A2564:G2564)=0,"",IF(G2564&lt;&gt;"",G2564,IF(B2564="","",IFERROR(IF(INDEX(pr_rate,MATCH(B2564,pr_code,0))="","",INDEX(pr_rate,MATCH(B2564,pr_code,0))),""))))</f>
        <v/>
      </c>
      <c r="L2564" s="65" t="str">
        <f>IF(COUNTA(A2564:G2564)=0,"",IF(AND(ISNUMBER(D2564),ISNUMBER(J2564)),ROUND(D2564*J2564*(1-N(F2564)),2),0))</f>
        <v/>
      </c>
      <c r="M2564" s="62" t="str">
        <f>IF(A2564="","",IFERROR(INDEX(fa_cname,MATCH(A2564,fa_num,0))&amp;"",""))</f>
        <v/>
      </c>
      <c r="N2564" s="59" t="str">
        <f>IF(COUNTA(A2564:G2564)=0,"",IF(A2564="","N° facture manquant",IF(ISNA(MATCH(A2564,fa_num,0)),"Facture inconnue",IF(AND(B2564&lt;&gt;"",ISNA(MATCH(B2564,pr_code,0))),"Article inconnu",IF(H2564="","Désignation manquante",IF(OR(NOT(ISNUMBER(D2564)),N(D2564)&lt;=0),"Quantité invalide",IF(J2564="","Prix manquant",IF(OR(NOT(ISNUMBER(J2564)),N(J2564)&lt;0),"Prix invalide",IF(OR(AND(F2564&lt;&gt;"",NOT(ISNUMBER(F2564))),N(F2564)&lt;0,N(F2564)&gt;1),"Remise invalide",IF(K2564="","Taux de TVA manquant",IF(NOT(ISNUMBER(K2564)),"Taux de TVA invalide",IF(COUNTIF(p_rates,K2564)=0,"Taux de TVA hors liste (Paramètres)",IF(N(O2564)&gt;25,"Au-delà de 25 lignes : non imprimée","OK")))))))))))))</f>
        <v/>
      </c>
      <c r="O2564" s="59" t="str">
        <f>IF(A2564="","",COUNTIF($A$6:A2564,A2564))</f>
        <v/>
      </c>
      <c r="P2564" s="62" t="str">
        <f>IF(A2564="","",A2564&amp;"|"&amp;O2564)</f>
        <v/>
      </c>
    </row>
    <row r="2565">
      <c r="A2565" s="60" t="n"/>
      <c r="B2565" s="63" t="n"/>
      <c r="C2565" s="63" t="n"/>
      <c r="D2565" s="67" t="n"/>
      <c r="E2565" s="68" t="n"/>
      <c r="F2565" s="69" t="n"/>
      <c r="G2565" s="70" t="n"/>
      <c r="H2565" s="62" t="str">
        <f>IF(COUNTA(A2565:G2565)=0,"",IF(C2565&lt;&gt;"",C2565,IF(B2565="","",IFERROR(INDEX(pr_des,MATCH(B2565,pr_code,0))&amp;"",""))))</f>
        <v/>
      </c>
      <c r="I2565" s="59" t="str">
        <f>IF(B2565="","",IFERROR(INDEX(pr_unit,MATCH(B2565,pr_code,0))&amp;"",""))</f>
        <v/>
      </c>
      <c r="J2565" s="65" t="str">
        <f>IF(COUNTA(A2565:G2565)=0,"",IF(E2565&lt;&gt;"",E2565,IF(B2565="","",IFERROR(IF(INDEX(pr_price,MATCH(B2565,pr_code,0))="","",INDEX(pr_price,MATCH(B2565,pr_code,0))),""))))</f>
        <v/>
      </c>
      <c r="K2565" s="71" t="str">
        <f>IF(COUNTA(A2565:G2565)=0,"",IF(G2565&lt;&gt;"",G2565,IF(B2565="","",IFERROR(IF(INDEX(pr_rate,MATCH(B2565,pr_code,0))="","",INDEX(pr_rate,MATCH(B2565,pr_code,0))),""))))</f>
        <v/>
      </c>
      <c r="L2565" s="65" t="str">
        <f>IF(COUNTA(A2565:G2565)=0,"",IF(AND(ISNUMBER(D2565),ISNUMBER(J2565)),ROUND(D2565*J2565*(1-N(F2565)),2),0))</f>
        <v/>
      </c>
      <c r="M2565" s="62" t="str">
        <f>IF(A2565="","",IFERROR(INDEX(fa_cname,MATCH(A2565,fa_num,0))&amp;"",""))</f>
        <v/>
      </c>
      <c r="N2565" s="59" t="str">
        <f>IF(COUNTA(A2565:G2565)=0,"",IF(A2565="","N° facture manquant",IF(ISNA(MATCH(A2565,fa_num,0)),"Facture inconnue",IF(AND(B2565&lt;&gt;"",ISNA(MATCH(B2565,pr_code,0))),"Article inconnu",IF(H2565="","Désignation manquante",IF(OR(NOT(ISNUMBER(D2565)),N(D2565)&lt;=0),"Quantité invalide",IF(J2565="","Prix manquant",IF(OR(NOT(ISNUMBER(J2565)),N(J2565)&lt;0),"Prix invalide",IF(OR(AND(F2565&lt;&gt;"",NOT(ISNUMBER(F2565))),N(F2565)&lt;0,N(F2565)&gt;1),"Remise invalide",IF(K2565="","Taux de TVA manquant",IF(NOT(ISNUMBER(K2565)),"Taux de TVA invalide",IF(COUNTIF(p_rates,K2565)=0,"Taux de TVA hors liste (Paramètres)",IF(N(O2565)&gt;25,"Au-delà de 25 lignes : non imprimée","OK")))))))))))))</f>
        <v/>
      </c>
      <c r="O2565" s="59" t="str">
        <f>IF(A2565="","",COUNTIF($A$6:A2565,A2565))</f>
        <v/>
      </c>
      <c r="P2565" s="62" t="str">
        <f>IF(A2565="","",A2565&amp;"|"&amp;O2565)</f>
        <v/>
      </c>
    </row>
    <row r="2566">
      <c r="A2566" s="60" t="n"/>
      <c r="B2566" s="63" t="n"/>
      <c r="C2566" s="63" t="n"/>
      <c r="D2566" s="67" t="n"/>
      <c r="E2566" s="68" t="n"/>
      <c r="F2566" s="69" t="n"/>
      <c r="G2566" s="70" t="n"/>
      <c r="H2566" s="62" t="str">
        <f>IF(COUNTA(A2566:G2566)=0,"",IF(C2566&lt;&gt;"",C2566,IF(B2566="","",IFERROR(INDEX(pr_des,MATCH(B2566,pr_code,0))&amp;"",""))))</f>
        <v/>
      </c>
      <c r="I2566" s="59" t="str">
        <f>IF(B2566="","",IFERROR(INDEX(pr_unit,MATCH(B2566,pr_code,0))&amp;"",""))</f>
        <v/>
      </c>
      <c r="J2566" s="65" t="str">
        <f>IF(COUNTA(A2566:G2566)=0,"",IF(E2566&lt;&gt;"",E2566,IF(B2566="","",IFERROR(IF(INDEX(pr_price,MATCH(B2566,pr_code,0))="","",INDEX(pr_price,MATCH(B2566,pr_code,0))),""))))</f>
        <v/>
      </c>
      <c r="K2566" s="71" t="str">
        <f>IF(COUNTA(A2566:G2566)=0,"",IF(G2566&lt;&gt;"",G2566,IF(B2566="","",IFERROR(IF(INDEX(pr_rate,MATCH(B2566,pr_code,0))="","",INDEX(pr_rate,MATCH(B2566,pr_code,0))),""))))</f>
        <v/>
      </c>
      <c r="L2566" s="65" t="str">
        <f>IF(COUNTA(A2566:G2566)=0,"",IF(AND(ISNUMBER(D2566),ISNUMBER(J2566)),ROUND(D2566*J2566*(1-N(F2566)),2),0))</f>
        <v/>
      </c>
      <c r="M2566" s="62" t="str">
        <f>IF(A2566="","",IFERROR(INDEX(fa_cname,MATCH(A2566,fa_num,0))&amp;"",""))</f>
        <v/>
      </c>
      <c r="N2566" s="59" t="str">
        <f>IF(COUNTA(A2566:G2566)=0,"",IF(A2566="","N° facture manquant",IF(ISNA(MATCH(A2566,fa_num,0)),"Facture inconnue",IF(AND(B2566&lt;&gt;"",ISNA(MATCH(B2566,pr_code,0))),"Article inconnu",IF(H2566="","Désignation manquante",IF(OR(NOT(ISNUMBER(D2566)),N(D2566)&lt;=0),"Quantité invalide",IF(J2566="","Prix manquant",IF(OR(NOT(ISNUMBER(J2566)),N(J2566)&lt;0),"Prix invalide",IF(OR(AND(F2566&lt;&gt;"",NOT(ISNUMBER(F2566))),N(F2566)&lt;0,N(F2566)&gt;1),"Remise invalide",IF(K2566="","Taux de TVA manquant",IF(NOT(ISNUMBER(K2566)),"Taux de TVA invalide",IF(COUNTIF(p_rates,K2566)=0,"Taux de TVA hors liste (Paramètres)",IF(N(O2566)&gt;25,"Au-delà de 25 lignes : non imprimée","OK")))))))))))))</f>
        <v/>
      </c>
      <c r="O2566" s="59" t="str">
        <f>IF(A2566="","",COUNTIF($A$6:A2566,A2566))</f>
        <v/>
      </c>
      <c r="P2566" s="62" t="str">
        <f>IF(A2566="","",A2566&amp;"|"&amp;O2566)</f>
        <v/>
      </c>
    </row>
    <row r="2567">
      <c r="A2567" s="60" t="n"/>
      <c r="B2567" s="63" t="n"/>
      <c r="C2567" s="63" t="n"/>
      <c r="D2567" s="67" t="n"/>
      <c r="E2567" s="68" t="n"/>
      <c r="F2567" s="69" t="n"/>
      <c r="G2567" s="70" t="n"/>
      <c r="H2567" s="62" t="str">
        <f>IF(COUNTA(A2567:G2567)=0,"",IF(C2567&lt;&gt;"",C2567,IF(B2567="","",IFERROR(INDEX(pr_des,MATCH(B2567,pr_code,0))&amp;"",""))))</f>
        <v/>
      </c>
      <c r="I2567" s="59" t="str">
        <f>IF(B2567="","",IFERROR(INDEX(pr_unit,MATCH(B2567,pr_code,0))&amp;"",""))</f>
        <v/>
      </c>
      <c r="J2567" s="65" t="str">
        <f>IF(COUNTA(A2567:G2567)=0,"",IF(E2567&lt;&gt;"",E2567,IF(B2567="","",IFERROR(IF(INDEX(pr_price,MATCH(B2567,pr_code,0))="","",INDEX(pr_price,MATCH(B2567,pr_code,0))),""))))</f>
        <v/>
      </c>
      <c r="K2567" s="71" t="str">
        <f>IF(COUNTA(A2567:G2567)=0,"",IF(G2567&lt;&gt;"",G2567,IF(B2567="","",IFERROR(IF(INDEX(pr_rate,MATCH(B2567,pr_code,0))="","",INDEX(pr_rate,MATCH(B2567,pr_code,0))),""))))</f>
        <v/>
      </c>
      <c r="L2567" s="65" t="str">
        <f>IF(COUNTA(A2567:G2567)=0,"",IF(AND(ISNUMBER(D2567),ISNUMBER(J2567)),ROUND(D2567*J2567*(1-N(F2567)),2),0))</f>
        <v/>
      </c>
      <c r="M2567" s="62" t="str">
        <f>IF(A2567="","",IFERROR(INDEX(fa_cname,MATCH(A2567,fa_num,0))&amp;"",""))</f>
        <v/>
      </c>
      <c r="N2567" s="59" t="str">
        <f>IF(COUNTA(A2567:G2567)=0,"",IF(A2567="","N° facture manquant",IF(ISNA(MATCH(A2567,fa_num,0)),"Facture inconnue",IF(AND(B2567&lt;&gt;"",ISNA(MATCH(B2567,pr_code,0))),"Article inconnu",IF(H2567="","Désignation manquante",IF(OR(NOT(ISNUMBER(D2567)),N(D2567)&lt;=0),"Quantité invalide",IF(J2567="","Prix manquant",IF(OR(NOT(ISNUMBER(J2567)),N(J2567)&lt;0),"Prix invalide",IF(OR(AND(F2567&lt;&gt;"",NOT(ISNUMBER(F2567))),N(F2567)&lt;0,N(F2567)&gt;1),"Remise invalide",IF(K2567="","Taux de TVA manquant",IF(NOT(ISNUMBER(K2567)),"Taux de TVA invalide",IF(COUNTIF(p_rates,K2567)=0,"Taux de TVA hors liste (Paramètres)",IF(N(O2567)&gt;25,"Au-delà de 25 lignes : non imprimée","OK")))))))))))))</f>
        <v/>
      </c>
      <c r="O2567" s="59" t="str">
        <f>IF(A2567="","",COUNTIF($A$6:A2567,A2567))</f>
        <v/>
      </c>
      <c r="P2567" s="62" t="str">
        <f>IF(A2567="","",A2567&amp;"|"&amp;O2567)</f>
        <v/>
      </c>
    </row>
    <row r="2568">
      <c r="A2568" s="60" t="n"/>
      <c r="B2568" s="63" t="n"/>
      <c r="C2568" s="63" t="n"/>
      <c r="D2568" s="67" t="n"/>
      <c r="E2568" s="68" t="n"/>
      <c r="F2568" s="69" t="n"/>
      <c r="G2568" s="70" t="n"/>
      <c r="H2568" s="62" t="str">
        <f>IF(COUNTA(A2568:G2568)=0,"",IF(C2568&lt;&gt;"",C2568,IF(B2568="","",IFERROR(INDEX(pr_des,MATCH(B2568,pr_code,0))&amp;"",""))))</f>
        <v/>
      </c>
      <c r="I2568" s="59" t="str">
        <f>IF(B2568="","",IFERROR(INDEX(pr_unit,MATCH(B2568,pr_code,0))&amp;"",""))</f>
        <v/>
      </c>
      <c r="J2568" s="65" t="str">
        <f>IF(COUNTA(A2568:G2568)=0,"",IF(E2568&lt;&gt;"",E2568,IF(B2568="","",IFERROR(IF(INDEX(pr_price,MATCH(B2568,pr_code,0))="","",INDEX(pr_price,MATCH(B2568,pr_code,0))),""))))</f>
        <v/>
      </c>
      <c r="K2568" s="71" t="str">
        <f>IF(COUNTA(A2568:G2568)=0,"",IF(G2568&lt;&gt;"",G2568,IF(B2568="","",IFERROR(IF(INDEX(pr_rate,MATCH(B2568,pr_code,0))="","",INDEX(pr_rate,MATCH(B2568,pr_code,0))),""))))</f>
        <v/>
      </c>
      <c r="L2568" s="65" t="str">
        <f>IF(COUNTA(A2568:G2568)=0,"",IF(AND(ISNUMBER(D2568),ISNUMBER(J2568)),ROUND(D2568*J2568*(1-N(F2568)),2),0))</f>
        <v/>
      </c>
      <c r="M2568" s="62" t="str">
        <f>IF(A2568="","",IFERROR(INDEX(fa_cname,MATCH(A2568,fa_num,0))&amp;"",""))</f>
        <v/>
      </c>
      <c r="N2568" s="59" t="str">
        <f>IF(COUNTA(A2568:G2568)=0,"",IF(A2568="","N° facture manquant",IF(ISNA(MATCH(A2568,fa_num,0)),"Facture inconnue",IF(AND(B2568&lt;&gt;"",ISNA(MATCH(B2568,pr_code,0))),"Article inconnu",IF(H2568="","Désignation manquante",IF(OR(NOT(ISNUMBER(D2568)),N(D2568)&lt;=0),"Quantité invalide",IF(J2568="","Prix manquant",IF(OR(NOT(ISNUMBER(J2568)),N(J2568)&lt;0),"Prix invalide",IF(OR(AND(F2568&lt;&gt;"",NOT(ISNUMBER(F2568))),N(F2568)&lt;0,N(F2568)&gt;1),"Remise invalide",IF(K2568="","Taux de TVA manquant",IF(NOT(ISNUMBER(K2568)),"Taux de TVA invalide",IF(COUNTIF(p_rates,K2568)=0,"Taux de TVA hors liste (Paramètres)",IF(N(O2568)&gt;25,"Au-delà de 25 lignes : non imprimée","OK")))))))))))))</f>
        <v/>
      </c>
      <c r="O2568" s="59" t="str">
        <f>IF(A2568="","",COUNTIF($A$6:A2568,A2568))</f>
        <v/>
      </c>
      <c r="P2568" s="62" t="str">
        <f>IF(A2568="","",A2568&amp;"|"&amp;O2568)</f>
        <v/>
      </c>
    </row>
    <row r="2569">
      <c r="A2569" s="60" t="n"/>
      <c r="B2569" s="63" t="n"/>
      <c r="C2569" s="63" t="n"/>
      <c r="D2569" s="67" t="n"/>
      <c r="E2569" s="68" t="n"/>
      <c r="F2569" s="69" t="n"/>
      <c r="G2569" s="70" t="n"/>
      <c r="H2569" s="62" t="str">
        <f>IF(COUNTA(A2569:G2569)=0,"",IF(C2569&lt;&gt;"",C2569,IF(B2569="","",IFERROR(INDEX(pr_des,MATCH(B2569,pr_code,0))&amp;"",""))))</f>
        <v/>
      </c>
      <c r="I2569" s="59" t="str">
        <f>IF(B2569="","",IFERROR(INDEX(pr_unit,MATCH(B2569,pr_code,0))&amp;"",""))</f>
        <v/>
      </c>
      <c r="J2569" s="65" t="str">
        <f>IF(COUNTA(A2569:G2569)=0,"",IF(E2569&lt;&gt;"",E2569,IF(B2569="","",IFERROR(IF(INDEX(pr_price,MATCH(B2569,pr_code,0))="","",INDEX(pr_price,MATCH(B2569,pr_code,0))),""))))</f>
        <v/>
      </c>
      <c r="K2569" s="71" t="str">
        <f>IF(COUNTA(A2569:G2569)=0,"",IF(G2569&lt;&gt;"",G2569,IF(B2569="","",IFERROR(IF(INDEX(pr_rate,MATCH(B2569,pr_code,0))="","",INDEX(pr_rate,MATCH(B2569,pr_code,0))),""))))</f>
        <v/>
      </c>
      <c r="L2569" s="65" t="str">
        <f>IF(COUNTA(A2569:G2569)=0,"",IF(AND(ISNUMBER(D2569),ISNUMBER(J2569)),ROUND(D2569*J2569*(1-N(F2569)),2),0))</f>
        <v/>
      </c>
      <c r="M2569" s="62" t="str">
        <f>IF(A2569="","",IFERROR(INDEX(fa_cname,MATCH(A2569,fa_num,0))&amp;"",""))</f>
        <v/>
      </c>
      <c r="N2569" s="59" t="str">
        <f>IF(COUNTA(A2569:G2569)=0,"",IF(A2569="","N° facture manquant",IF(ISNA(MATCH(A2569,fa_num,0)),"Facture inconnue",IF(AND(B2569&lt;&gt;"",ISNA(MATCH(B2569,pr_code,0))),"Article inconnu",IF(H2569="","Désignation manquante",IF(OR(NOT(ISNUMBER(D2569)),N(D2569)&lt;=0),"Quantité invalide",IF(J2569="","Prix manquant",IF(OR(NOT(ISNUMBER(J2569)),N(J2569)&lt;0),"Prix invalide",IF(OR(AND(F2569&lt;&gt;"",NOT(ISNUMBER(F2569))),N(F2569)&lt;0,N(F2569)&gt;1),"Remise invalide",IF(K2569="","Taux de TVA manquant",IF(NOT(ISNUMBER(K2569)),"Taux de TVA invalide",IF(COUNTIF(p_rates,K2569)=0,"Taux de TVA hors liste (Paramètres)",IF(N(O2569)&gt;25,"Au-delà de 25 lignes : non imprimée","OK")))))))))))))</f>
        <v/>
      </c>
      <c r="O2569" s="59" t="str">
        <f>IF(A2569="","",COUNTIF($A$6:A2569,A2569))</f>
        <v/>
      </c>
      <c r="P2569" s="62" t="str">
        <f>IF(A2569="","",A2569&amp;"|"&amp;O2569)</f>
        <v/>
      </c>
    </row>
    <row r="2570">
      <c r="A2570" s="60" t="n"/>
      <c r="B2570" s="63" t="n"/>
      <c r="C2570" s="63" t="n"/>
      <c r="D2570" s="67" t="n"/>
      <c r="E2570" s="68" t="n"/>
      <c r="F2570" s="69" t="n"/>
      <c r="G2570" s="70" t="n"/>
      <c r="H2570" s="62" t="str">
        <f>IF(COUNTA(A2570:G2570)=0,"",IF(C2570&lt;&gt;"",C2570,IF(B2570="","",IFERROR(INDEX(pr_des,MATCH(B2570,pr_code,0))&amp;"",""))))</f>
        <v/>
      </c>
      <c r="I2570" s="59" t="str">
        <f>IF(B2570="","",IFERROR(INDEX(pr_unit,MATCH(B2570,pr_code,0))&amp;"",""))</f>
        <v/>
      </c>
      <c r="J2570" s="65" t="str">
        <f>IF(COUNTA(A2570:G2570)=0,"",IF(E2570&lt;&gt;"",E2570,IF(B2570="","",IFERROR(IF(INDEX(pr_price,MATCH(B2570,pr_code,0))="","",INDEX(pr_price,MATCH(B2570,pr_code,0))),""))))</f>
        <v/>
      </c>
      <c r="K2570" s="71" t="str">
        <f>IF(COUNTA(A2570:G2570)=0,"",IF(G2570&lt;&gt;"",G2570,IF(B2570="","",IFERROR(IF(INDEX(pr_rate,MATCH(B2570,pr_code,0))="","",INDEX(pr_rate,MATCH(B2570,pr_code,0))),""))))</f>
        <v/>
      </c>
      <c r="L2570" s="65" t="str">
        <f>IF(COUNTA(A2570:G2570)=0,"",IF(AND(ISNUMBER(D2570),ISNUMBER(J2570)),ROUND(D2570*J2570*(1-N(F2570)),2),0))</f>
        <v/>
      </c>
      <c r="M2570" s="62" t="str">
        <f>IF(A2570="","",IFERROR(INDEX(fa_cname,MATCH(A2570,fa_num,0))&amp;"",""))</f>
        <v/>
      </c>
      <c r="N2570" s="59" t="str">
        <f>IF(COUNTA(A2570:G2570)=0,"",IF(A2570="","N° facture manquant",IF(ISNA(MATCH(A2570,fa_num,0)),"Facture inconnue",IF(AND(B2570&lt;&gt;"",ISNA(MATCH(B2570,pr_code,0))),"Article inconnu",IF(H2570="","Désignation manquante",IF(OR(NOT(ISNUMBER(D2570)),N(D2570)&lt;=0),"Quantité invalide",IF(J2570="","Prix manquant",IF(OR(NOT(ISNUMBER(J2570)),N(J2570)&lt;0),"Prix invalide",IF(OR(AND(F2570&lt;&gt;"",NOT(ISNUMBER(F2570))),N(F2570)&lt;0,N(F2570)&gt;1),"Remise invalide",IF(K2570="","Taux de TVA manquant",IF(NOT(ISNUMBER(K2570)),"Taux de TVA invalide",IF(COUNTIF(p_rates,K2570)=0,"Taux de TVA hors liste (Paramètres)",IF(N(O2570)&gt;25,"Au-delà de 25 lignes : non imprimée","OK")))))))))))))</f>
        <v/>
      </c>
      <c r="O2570" s="59" t="str">
        <f>IF(A2570="","",COUNTIF($A$6:A2570,A2570))</f>
        <v/>
      </c>
      <c r="P2570" s="62" t="str">
        <f>IF(A2570="","",A2570&amp;"|"&amp;O2570)</f>
        <v/>
      </c>
    </row>
    <row r="2571">
      <c r="A2571" s="60" t="n"/>
      <c r="B2571" s="63" t="n"/>
      <c r="C2571" s="63" t="n"/>
      <c r="D2571" s="67" t="n"/>
      <c r="E2571" s="68" t="n"/>
      <c r="F2571" s="69" t="n"/>
      <c r="G2571" s="70" t="n"/>
      <c r="H2571" s="62" t="str">
        <f>IF(COUNTA(A2571:G2571)=0,"",IF(C2571&lt;&gt;"",C2571,IF(B2571="","",IFERROR(INDEX(pr_des,MATCH(B2571,pr_code,0))&amp;"",""))))</f>
        <v/>
      </c>
      <c r="I2571" s="59" t="str">
        <f>IF(B2571="","",IFERROR(INDEX(pr_unit,MATCH(B2571,pr_code,0))&amp;"",""))</f>
        <v/>
      </c>
      <c r="J2571" s="65" t="str">
        <f>IF(COUNTA(A2571:G2571)=0,"",IF(E2571&lt;&gt;"",E2571,IF(B2571="","",IFERROR(IF(INDEX(pr_price,MATCH(B2571,pr_code,0))="","",INDEX(pr_price,MATCH(B2571,pr_code,0))),""))))</f>
        <v/>
      </c>
      <c r="K2571" s="71" t="str">
        <f>IF(COUNTA(A2571:G2571)=0,"",IF(G2571&lt;&gt;"",G2571,IF(B2571="","",IFERROR(IF(INDEX(pr_rate,MATCH(B2571,pr_code,0))="","",INDEX(pr_rate,MATCH(B2571,pr_code,0))),""))))</f>
        <v/>
      </c>
      <c r="L2571" s="65" t="str">
        <f>IF(COUNTA(A2571:G2571)=0,"",IF(AND(ISNUMBER(D2571),ISNUMBER(J2571)),ROUND(D2571*J2571*(1-N(F2571)),2),0))</f>
        <v/>
      </c>
      <c r="M2571" s="62" t="str">
        <f>IF(A2571="","",IFERROR(INDEX(fa_cname,MATCH(A2571,fa_num,0))&amp;"",""))</f>
        <v/>
      </c>
      <c r="N2571" s="59" t="str">
        <f>IF(COUNTA(A2571:G2571)=0,"",IF(A2571="","N° facture manquant",IF(ISNA(MATCH(A2571,fa_num,0)),"Facture inconnue",IF(AND(B2571&lt;&gt;"",ISNA(MATCH(B2571,pr_code,0))),"Article inconnu",IF(H2571="","Désignation manquante",IF(OR(NOT(ISNUMBER(D2571)),N(D2571)&lt;=0),"Quantité invalide",IF(J2571="","Prix manquant",IF(OR(NOT(ISNUMBER(J2571)),N(J2571)&lt;0),"Prix invalide",IF(OR(AND(F2571&lt;&gt;"",NOT(ISNUMBER(F2571))),N(F2571)&lt;0,N(F2571)&gt;1),"Remise invalide",IF(K2571="","Taux de TVA manquant",IF(NOT(ISNUMBER(K2571)),"Taux de TVA invalide",IF(COUNTIF(p_rates,K2571)=0,"Taux de TVA hors liste (Paramètres)",IF(N(O2571)&gt;25,"Au-delà de 25 lignes : non imprimée","OK")))))))))))))</f>
        <v/>
      </c>
      <c r="O2571" s="59" t="str">
        <f>IF(A2571="","",COUNTIF($A$6:A2571,A2571))</f>
        <v/>
      </c>
      <c r="P2571" s="62" t="str">
        <f>IF(A2571="","",A2571&amp;"|"&amp;O2571)</f>
        <v/>
      </c>
    </row>
    <row r="2572">
      <c r="A2572" s="60" t="n"/>
      <c r="B2572" s="63" t="n"/>
      <c r="C2572" s="63" t="n"/>
      <c r="D2572" s="67" t="n"/>
      <c r="E2572" s="68" t="n"/>
      <c r="F2572" s="69" t="n"/>
      <c r="G2572" s="70" t="n"/>
      <c r="H2572" s="62" t="str">
        <f>IF(COUNTA(A2572:G2572)=0,"",IF(C2572&lt;&gt;"",C2572,IF(B2572="","",IFERROR(INDEX(pr_des,MATCH(B2572,pr_code,0))&amp;"",""))))</f>
        <v/>
      </c>
      <c r="I2572" s="59" t="str">
        <f>IF(B2572="","",IFERROR(INDEX(pr_unit,MATCH(B2572,pr_code,0))&amp;"",""))</f>
        <v/>
      </c>
      <c r="J2572" s="65" t="str">
        <f>IF(COUNTA(A2572:G2572)=0,"",IF(E2572&lt;&gt;"",E2572,IF(B2572="","",IFERROR(IF(INDEX(pr_price,MATCH(B2572,pr_code,0))="","",INDEX(pr_price,MATCH(B2572,pr_code,0))),""))))</f>
        <v/>
      </c>
      <c r="K2572" s="71" t="str">
        <f>IF(COUNTA(A2572:G2572)=0,"",IF(G2572&lt;&gt;"",G2572,IF(B2572="","",IFERROR(IF(INDEX(pr_rate,MATCH(B2572,pr_code,0))="","",INDEX(pr_rate,MATCH(B2572,pr_code,0))),""))))</f>
        <v/>
      </c>
      <c r="L2572" s="65" t="str">
        <f>IF(COUNTA(A2572:G2572)=0,"",IF(AND(ISNUMBER(D2572),ISNUMBER(J2572)),ROUND(D2572*J2572*(1-N(F2572)),2),0))</f>
        <v/>
      </c>
      <c r="M2572" s="62" t="str">
        <f>IF(A2572="","",IFERROR(INDEX(fa_cname,MATCH(A2572,fa_num,0))&amp;"",""))</f>
        <v/>
      </c>
      <c r="N2572" s="59" t="str">
        <f>IF(COUNTA(A2572:G2572)=0,"",IF(A2572="","N° facture manquant",IF(ISNA(MATCH(A2572,fa_num,0)),"Facture inconnue",IF(AND(B2572&lt;&gt;"",ISNA(MATCH(B2572,pr_code,0))),"Article inconnu",IF(H2572="","Désignation manquante",IF(OR(NOT(ISNUMBER(D2572)),N(D2572)&lt;=0),"Quantité invalide",IF(J2572="","Prix manquant",IF(OR(NOT(ISNUMBER(J2572)),N(J2572)&lt;0),"Prix invalide",IF(OR(AND(F2572&lt;&gt;"",NOT(ISNUMBER(F2572))),N(F2572)&lt;0,N(F2572)&gt;1),"Remise invalide",IF(K2572="","Taux de TVA manquant",IF(NOT(ISNUMBER(K2572)),"Taux de TVA invalide",IF(COUNTIF(p_rates,K2572)=0,"Taux de TVA hors liste (Paramètres)",IF(N(O2572)&gt;25,"Au-delà de 25 lignes : non imprimée","OK")))))))))))))</f>
        <v/>
      </c>
      <c r="O2572" s="59" t="str">
        <f>IF(A2572="","",COUNTIF($A$6:A2572,A2572))</f>
        <v/>
      </c>
      <c r="P2572" s="62" t="str">
        <f>IF(A2572="","",A2572&amp;"|"&amp;O2572)</f>
        <v/>
      </c>
    </row>
    <row r="2573">
      <c r="A2573" s="60" t="n"/>
      <c r="B2573" s="63" t="n"/>
      <c r="C2573" s="63" t="n"/>
      <c r="D2573" s="67" t="n"/>
      <c r="E2573" s="68" t="n"/>
      <c r="F2573" s="69" t="n"/>
      <c r="G2573" s="70" t="n"/>
      <c r="H2573" s="62" t="str">
        <f>IF(COUNTA(A2573:G2573)=0,"",IF(C2573&lt;&gt;"",C2573,IF(B2573="","",IFERROR(INDEX(pr_des,MATCH(B2573,pr_code,0))&amp;"",""))))</f>
        <v/>
      </c>
      <c r="I2573" s="59" t="str">
        <f>IF(B2573="","",IFERROR(INDEX(pr_unit,MATCH(B2573,pr_code,0))&amp;"",""))</f>
        <v/>
      </c>
      <c r="J2573" s="65" t="str">
        <f>IF(COUNTA(A2573:G2573)=0,"",IF(E2573&lt;&gt;"",E2573,IF(B2573="","",IFERROR(IF(INDEX(pr_price,MATCH(B2573,pr_code,0))="","",INDEX(pr_price,MATCH(B2573,pr_code,0))),""))))</f>
        <v/>
      </c>
      <c r="K2573" s="71" t="str">
        <f>IF(COUNTA(A2573:G2573)=0,"",IF(G2573&lt;&gt;"",G2573,IF(B2573="","",IFERROR(IF(INDEX(pr_rate,MATCH(B2573,pr_code,0))="","",INDEX(pr_rate,MATCH(B2573,pr_code,0))),""))))</f>
        <v/>
      </c>
      <c r="L2573" s="65" t="str">
        <f>IF(COUNTA(A2573:G2573)=0,"",IF(AND(ISNUMBER(D2573),ISNUMBER(J2573)),ROUND(D2573*J2573*(1-N(F2573)),2),0))</f>
        <v/>
      </c>
      <c r="M2573" s="62" t="str">
        <f>IF(A2573="","",IFERROR(INDEX(fa_cname,MATCH(A2573,fa_num,0))&amp;"",""))</f>
        <v/>
      </c>
      <c r="N2573" s="59" t="str">
        <f>IF(COUNTA(A2573:G2573)=0,"",IF(A2573="","N° facture manquant",IF(ISNA(MATCH(A2573,fa_num,0)),"Facture inconnue",IF(AND(B2573&lt;&gt;"",ISNA(MATCH(B2573,pr_code,0))),"Article inconnu",IF(H2573="","Désignation manquante",IF(OR(NOT(ISNUMBER(D2573)),N(D2573)&lt;=0),"Quantité invalide",IF(J2573="","Prix manquant",IF(OR(NOT(ISNUMBER(J2573)),N(J2573)&lt;0),"Prix invalide",IF(OR(AND(F2573&lt;&gt;"",NOT(ISNUMBER(F2573))),N(F2573)&lt;0,N(F2573)&gt;1),"Remise invalide",IF(K2573="","Taux de TVA manquant",IF(NOT(ISNUMBER(K2573)),"Taux de TVA invalide",IF(COUNTIF(p_rates,K2573)=0,"Taux de TVA hors liste (Paramètres)",IF(N(O2573)&gt;25,"Au-delà de 25 lignes : non imprimée","OK")))))))))))))</f>
        <v/>
      </c>
      <c r="O2573" s="59" t="str">
        <f>IF(A2573="","",COUNTIF($A$6:A2573,A2573))</f>
        <v/>
      </c>
      <c r="P2573" s="62" t="str">
        <f>IF(A2573="","",A2573&amp;"|"&amp;O2573)</f>
        <v/>
      </c>
    </row>
    <row r="2574">
      <c r="A2574" s="60" t="n"/>
      <c r="B2574" s="63" t="n"/>
      <c r="C2574" s="63" t="n"/>
      <c r="D2574" s="67" t="n"/>
      <c r="E2574" s="68" t="n"/>
      <c r="F2574" s="69" t="n"/>
      <c r="G2574" s="70" t="n"/>
      <c r="H2574" s="62" t="str">
        <f>IF(COUNTA(A2574:G2574)=0,"",IF(C2574&lt;&gt;"",C2574,IF(B2574="","",IFERROR(INDEX(pr_des,MATCH(B2574,pr_code,0))&amp;"",""))))</f>
        <v/>
      </c>
      <c r="I2574" s="59" t="str">
        <f>IF(B2574="","",IFERROR(INDEX(pr_unit,MATCH(B2574,pr_code,0))&amp;"",""))</f>
        <v/>
      </c>
      <c r="J2574" s="65" t="str">
        <f>IF(COUNTA(A2574:G2574)=0,"",IF(E2574&lt;&gt;"",E2574,IF(B2574="","",IFERROR(IF(INDEX(pr_price,MATCH(B2574,pr_code,0))="","",INDEX(pr_price,MATCH(B2574,pr_code,0))),""))))</f>
        <v/>
      </c>
      <c r="K2574" s="71" t="str">
        <f>IF(COUNTA(A2574:G2574)=0,"",IF(G2574&lt;&gt;"",G2574,IF(B2574="","",IFERROR(IF(INDEX(pr_rate,MATCH(B2574,pr_code,0))="","",INDEX(pr_rate,MATCH(B2574,pr_code,0))),""))))</f>
        <v/>
      </c>
      <c r="L2574" s="65" t="str">
        <f>IF(COUNTA(A2574:G2574)=0,"",IF(AND(ISNUMBER(D2574),ISNUMBER(J2574)),ROUND(D2574*J2574*(1-N(F2574)),2),0))</f>
        <v/>
      </c>
      <c r="M2574" s="62" t="str">
        <f>IF(A2574="","",IFERROR(INDEX(fa_cname,MATCH(A2574,fa_num,0))&amp;"",""))</f>
        <v/>
      </c>
      <c r="N2574" s="59" t="str">
        <f>IF(COUNTA(A2574:G2574)=0,"",IF(A2574="","N° facture manquant",IF(ISNA(MATCH(A2574,fa_num,0)),"Facture inconnue",IF(AND(B2574&lt;&gt;"",ISNA(MATCH(B2574,pr_code,0))),"Article inconnu",IF(H2574="","Désignation manquante",IF(OR(NOT(ISNUMBER(D2574)),N(D2574)&lt;=0),"Quantité invalide",IF(J2574="","Prix manquant",IF(OR(NOT(ISNUMBER(J2574)),N(J2574)&lt;0),"Prix invalide",IF(OR(AND(F2574&lt;&gt;"",NOT(ISNUMBER(F2574))),N(F2574)&lt;0,N(F2574)&gt;1),"Remise invalide",IF(K2574="","Taux de TVA manquant",IF(NOT(ISNUMBER(K2574)),"Taux de TVA invalide",IF(COUNTIF(p_rates,K2574)=0,"Taux de TVA hors liste (Paramètres)",IF(N(O2574)&gt;25,"Au-delà de 25 lignes : non imprimée","OK")))))))))))))</f>
        <v/>
      </c>
      <c r="O2574" s="59" t="str">
        <f>IF(A2574="","",COUNTIF($A$6:A2574,A2574))</f>
        <v/>
      </c>
      <c r="P2574" s="62" t="str">
        <f>IF(A2574="","",A2574&amp;"|"&amp;O2574)</f>
        <v/>
      </c>
    </row>
    <row r="2575">
      <c r="A2575" s="60" t="n"/>
      <c r="B2575" s="63" t="n"/>
      <c r="C2575" s="63" t="n"/>
      <c r="D2575" s="67" t="n"/>
      <c r="E2575" s="68" t="n"/>
      <c r="F2575" s="69" t="n"/>
      <c r="G2575" s="70" t="n"/>
      <c r="H2575" s="62" t="str">
        <f>IF(COUNTA(A2575:G2575)=0,"",IF(C2575&lt;&gt;"",C2575,IF(B2575="","",IFERROR(INDEX(pr_des,MATCH(B2575,pr_code,0))&amp;"",""))))</f>
        <v/>
      </c>
      <c r="I2575" s="59" t="str">
        <f>IF(B2575="","",IFERROR(INDEX(pr_unit,MATCH(B2575,pr_code,0))&amp;"",""))</f>
        <v/>
      </c>
      <c r="J2575" s="65" t="str">
        <f>IF(COUNTA(A2575:G2575)=0,"",IF(E2575&lt;&gt;"",E2575,IF(B2575="","",IFERROR(IF(INDEX(pr_price,MATCH(B2575,pr_code,0))="","",INDEX(pr_price,MATCH(B2575,pr_code,0))),""))))</f>
        <v/>
      </c>
      <c r="K2575" s="71" t="str">
        <f>IF(COUNTA(A2575:G2575)=0,"",IF(G2575&lt;&gt;"",G2575,IF(B2575="","",IFERROR(IF(INDEX(pr_rate,MATCH(B2575,pr_code,0))="","",INDEX(pr_rate,MATCH(B2575,pr_code,0))),""))))</f>
        <v/>
      </c>
      <c r="L2575" s="65" t="str">
        <f>IF(COUNTA(A2575:G2575)=0,"",IF(AND(ISNUMBER(D2575),ISNUMBER(J2575)),ROUND(D2575*J2575*(1-N(F2575)),2),0))</f>
        <v/>
      </c>
      <c r="M2575" s="62" t="str">
        <f>IF(A2575="","",IFERROR(INDEX(fa_cname,MATCH(A2575,fa_num,0))&amp;"",""))</f>
        <v/>
      </c>
      <c r="N2575" s="59" t="str">
        <f>IF(COUNTA(A2575:G2575)=0,"",IF(A2575="","N° facture manquant",IF(ISNA(MATCH(A2575,fa_num,0)),"Facture inconnue",IF(AND(B2575&lt;&gt;"",ISNA(MATCH(B2575,pr_code,0))),"Article inconnu",IF(H2575="","Désignation manquante",IF(OR(NOT(ISNUMBER(D2575)),N(D2575)&lt;=0),"Quantité invalide",IF(J2575="","Prix manquant",IF(OR(NOT(ISNUMBER(J2575)),N(J2575)&lt;0),"Prix invalide",IF(OR(AND(F2575&lt;&gt;"",NOT(ISNUMBER(F2575))),N(F2575)&lt;0,N(F2575)&gt;1),"Remise invalide",IF(K2575="","Taux de TVA manquant",IF(NOT(ISNUMBER(K2575)),"Taux de TVA invalide",IF(COUNTIF(p_rates,K2575)=0,"Taux de TVA hors liste (Paramètres)",IF(N(O2575)&gt;25,"Au-delà de 25 lignes : non imprimée","OK")))))))))))))</f>
        <v/>
      </c>
      <c r="O2575" s="59" t="str">
        <f>IF(A2575="","",COUNTIF($A$6:A2575,A2575))</f>
        <v/>
      </c>
      <c r="P2575" s="62" t="str">
        <f>IF(A2575="","",A2575&amp;"|"&amp;O2575)</f>
        <v/>
      </c>
    </row>
    <row r="2576">
      <c r="A2576" s="60" t="n"/>
      <c r="B2576" s="63" t="n"/>
      <c r="C2576" s="63" t="n"/>
      <c r="D2576" s="67" t="n"/>
      <c r="E2576" s="68" t="n"/>
      <c r="F2576" s="69" t="n"/>
      <c r="G2576" s="70" t="n"/>
      <c r="H2576" s="62" t="str">
        <f>IF(COUNTA(A2576:G2576)=0,"",IF(C2576&lt;&gt;"",C2576,IF(B2576="","",IFERROR(INDEX(pr_des,MATCH(B2576,pr_code,0))&amp;"",""))))</f>
        <v/>
      </c>
      <c r="I2576" s="59" t="str">
        <f>IF(B2576="","",IFERROR(INDEX(pr_unit,MATCH(B2576,pr_code,0))&amp;"",""))</f>
        <v/>
      </c>
      <c r="J2576" s="65" t="str">
        <f>IF(COUNTA(A2576:G2576)=0,"",IF(E2576&lt;&gt;"",E2576,IF(B2576="","",IFERROR(IF(INDEX(pr_price,MATCH(B2576,pr_code,0))="","",INDEX(pr_price,MATCH(B2576,pr_code,0))),""))))</f>
        <v/>
      </c>
      <c r="K2576" s="71" t="str">
        <f>IF(COUNTA(A2576:G2576)=0,"",IF(G2576&lt;&gt;"",G2576,IF(B2576="","",IFERROR(IF(INDEX(pr_rate,MATCH(B2576,pr_code,0))="","",INDEX(pr_rate,MATCH(B2576,pr_code,0))),""))))</f>
        <v/>
      </c>
      <c r="L2576" s="65" t="str">
        <f>IF(COUNTA(A2576:G2576)=0,"",IF(AND(ISNUMBER(D2576),ISNUMBER(J2576)),ROUND(D2576*J2576*(1-N(F2576)),2),0))</f>
        <v/>
      </c>
      <c r="M2576" s="62" t="str">
        <f>IF(A2576="","",IFERROR(INDEX(fa_cname,MATCH(A2576,fa_num,0))&amp;"",""))</f>
        <v/>
      </c>
      <c r="N2576" s="59" t="str">
        <f>IF(COUNTA(A2576:G2576)=0,"",IF(A2576="","N° facture manquant",IF(ISNA(MATCH(A2576,fa_num,0)),"Facture inconnue",IF(AND(B2576&lt;&gt;"",ISNA(MATCH(B2576,pr_code,0))),"Article inconnu",IF(H2576="","Désignation manquante",IF(OR(NOT(ISNUMBER(D2576)),N(D2576)&lt;=0),"Quantité invalide",IF(J2576="","Prix manquant",IF(OR(NOT(ISNUMBER(J2576)),N(J2576)&lt;0),"Prix invalide",IF(OR(AND(F2576&lt;&gt;"",NOT(ISNUMBER(F2576))),N(F2576)&lt;0,N(F2576)&gt;1),"Remise invalide",IF(K2576="","Taux de TVA manquant",IF(NOT(ISNUMBER(K2576)),"Taux de TVA invalide",IF(COUNTIF(p_rates,K2576)=0,"Taux de TVA hors liste (Paramètres)",IF(N(O2576)&gt;25,"Au-delà de 25 lignes : non imprimée","OK")))))))))))))</f>
        <v/>
      </c>
      <c r="O2576" s="59" t="str">
        <f>IF(A2576="","",COUNTIF($A$6:A2576,A2576))</f>
        <v/>
      </c>
      <c r="P2576" s="62" t="str">
        <f>IF(A2576="","",A2576&amp;"|"&amp;O2576)</f>
        <v/>
      </c>
    </row>
    <row r="2577">
      <c r="A2577" s="60" t="n"/>
      <c r="B2577" s="63" t="n"/>
      <c r="C2577" s="63" t="n"/>
      <c r="D2577" s="67" t="n"/>
      <c r="E2577" s="68" t="n"/>
      <c r="F2577" s="69" t="n"/>
      <c r="G2577" s="70" t="n"/>
      <c r="H2577" s="62" t="str">
        <f>IF(COUNTA(A2577:G2577)=0,"",IF(C2577&lt;&gt;"",C2577,IF(B2577="","",IFERROR(INDEX(pr_des,MATCH(B2577,pr_code,0))&amp;"",""))))</f>
        <v/>
      </c>
      <c r="I2577" s="59" t="str">
        <f>IF(B2577="","",IFERROR(INDEX(pr_unit,MATCH(B2577,pr_code,0))&amp;"",""))</f>
        <v/>
      </c>
      <c r="J2577" s="65" t="str">
        <f>IF(COUNTA(A2577:G2577)=0,"",IF(E2577&lt;&gt;"",E2577,IF(B2577="","",IFERROR(IF(INDEX(pr_price,MATCH(B2577,pr_code,0))="","",INDEX(pr_price,MATCH(B2577,pr_code,0))),""))))</f>
        <v/>
      </c>
      <c r="K2577" s="71" t="str">
        <f>IF(COUNTA(A2577:G2577)=0,"",IF(G2577&lt;&gt;"",G2577,IF(B2577="","",IFERROR(IF(INDEX(pr_rate,MATCH(B2577,pr_code,0))="","",INDEX(pr_rate,MATCH(B2577,pr_code,0))),""))))</f>
        <v/>
      </c>
      <c r="L2577" s="65" t="str">
        <f>IF(COUNTA(A2577:G2577)=0,"",IF(AND(ISNUMBER(D2577),ISNUMBER(J2577)),ROUND(D2577*J2577*(1-N(F2577)),2),0))</f>
        <v/>
      </c>
      <c r="M2577" s="62" t="str">
        <f>IF(A2577="","",IFERROR(INDEX(fa_cname,MATCH(A2577,fa_num,0))&amp;"",""))</f>
        <v/>
      </c>
      <c r="N2577" s="59" t="str">
        <f>IF(COUNTA(A2577:G2577)=0,"",IF(A2577="","N° facture manquant",IF(ISNA(MATCH(A2577,fa_num,0)),"Facture inconnue",IF(AND(B2577&lt;&gt;"",ISNA(MATCH(B2577,pr_code,0))),"Article inconnu",IF(H2577="","Désignation manquante",IF(OR(NOT(ISNUMBER(D2577)),N(D2577)&lt;=0),"Quantité invalide",IF(J2577="","Prix manquant",IF(OR(NOT(ISNUMBER(J2577)),N(J2577)&lt;0),"Prix invalide",IF(OR(AND(F2577&lt;&gt;"",NOT(ISNUMBER(F2577))),N(F2577)&lt;0,N(F2577)&gt;1),"Remise invalide",IF(K2577="","Taux de TVA manquant",IF(NOT(ISNUMBER(K2577)),"Taux de TVA invalide",IF(COUNTIF(p_rates,K2577)=0,"Taux de TVA hors liste (Paramètres)",IF(N(O2577)&gt;25,"Au-delà de 25 lignes : non imprimée","OK")))))))))))))</f>
        <v/>
      </c>
      <c r="O2577" s="59" t="str">
        <f>IF(A2577="","",COUNTIF($A$6:A2577,A2577))</f>
        <v/>
      </c>
      <c r="P2577" s="62" t="str">
        <f>IF(A2577="","",A2577&amp;"|"&amp;O2577)</f>
        <v/>
      </c>
    </row>
    <row r="2578">
      <c r="A2578" s="60" t="n"/>
      <c r="B2578" s="63" t="n"/>
      <c r="C2578" s="63" t="n"/>
      <c r="D2578" s="67" t="n"/>
      <c r="E2578" s="68" t="n"/>
      <c r="F2578" s="69" t="n"/>
      <c r="G2578" s="70" t="n"/>
      <c r="H2578" s="62" t="str">
        <f>IF(COUNTA(A2578:G2578)=0,"",IF(C2578&lt;&gt;"",C2578,IF(B2578="","",IFERROR(INDEX(pr_des,MATCH(B2578,pr_code,0))&amp;"",""))))</f>
        <v/>
      </c>
      <c r="I2578" s="59" t="str">
        <f>IF(B2578="","",IFERROR(INDEX(pr_unit,MATCH(B2578,pr_code,0))&amp;"",""))</f>
        <v/>
      </c>
      <c r="J2578" s="65" t="str">
        <f>IF(COUNTA(A2578:G2578)=0,"",IF(E2578&lt;&gt;"",E2578,IF(B2578="","",IFERROR(IF(INDEX(pr_price,MATCH(B2578,pr_code,0))="","",INDEX(pr_price,MATCH(B2578,pr_code,0))),""))))</f>
        <v/>
      </c>
      <c r="K2578" s="71" t="str">
        <f>IF(COUNTA(A2578:G2578)=0,"",IF(G2578&lt;&gt;"",G2578,IF(B2578="","",IFERROR(IF(INDEX(pr_rate,MATCH(B2578,pr_code,0))="","",INDEX(pr_rate,MATCH(B2578,pr_code,0))),""))))</f>
        <v/>
      </c>
      <c r="L2578" s="65" t="str">
        <f>IF(COUNTA(A2578:G2578)=0,"",IF(AND(ISNUMBER(D2578),ISNUMBER(J2578)),ROUND(D2578*J2578*(1-N(F2578)),2),0))</f>
        <v/>
      </c>
      <c r="M2578" s="62" t="str">
        <f>IF(A2578="","",IFERROR(INDEX(fa_cname,MATCH(A2578,fa_num,0))&amp;"",""))</f>
        <v/>
      </c>
      <c r="N2578" s="59" t="str">
        <f>IF(COUNTA(A2578:G2578)=0,"",IF(A2578="","N° facture manquant",IF(ISNA(MATCH(A2578,fa_num,0)),"Facture inconnue",IF(AND(B2578&lt;&gt;"",ISNA(MATCH(B2578,pr_code,0))),"Article inconnu",IF(H2578="","Désignation manquante",IF(OR(NOT(ISNUMBER(D2578)),N(D2578)&lt;=0),"Quantité invalide",IF(J2578="","Prix manquant",IF(OR(NOT(ISNUMBER(J2578)),N(J2578)&lt;0),"Prix invalide",IF(OR(AND(F2578&lt;&gt;"",NOT(ISNUMBER(F2578))),N(F2578)&lt;0,N(F2578)&gt;1),"Remise invalide",IF(K2578="","Taux de TVA manquant",IF(NOT(ISNUMBER(K2578)),"Taux de TVA invalide",IF(COUNTIF(p_rates,K2578)=0,"Taux de TVA hors liste (Paramètres)",IF(N(O2578)&gt;25,"Au-delà de 25 lignes : non imprimée","OK")))))))))))))</f>
        <v/>
      </c>
      <c r="O2578" s="59" t="str">
        <f>IF(A2578="","",COUNTIF($A$6:A2578,A2578))</f>
        <v/>
      </c>
      <c r="P2578" s="62" t="str">
        <f>IF(A2578="","",A2578&amp;"|"&amp;O2578)</f>
        <v/>
      </c>
    </row>
    <row r="2579">
      <c r="A2579" s="60" t="n"/>
      <c r="B2579" s="63" t="n"/>
      <c r="C2579" s="63" t="n"/>
      <c r="D2579" s="67" t="n"/>
      <c r="E2579" s="68" t="n"/>
      <c r="F2579" s="69" t="n"/>
      <c r="G2579" s="70" t="n"/>
      <c r="H2579" s="62" t="str">
        <f>IF(COUNTA(A2579:G2579)=0,"",IF(C2579&lt;&gt;"",C2579,IF(B2579="","",IFERROR(INDEX(pr_des,MATCH(B2579,pr_code,0))&amp;"",""))))</f>
        <v/>
      </c>
      <c r="I2579" s="59" t="str">
        <f>IF(B2579="","",IFERROR(INDEX(pr_unit,MATCH(B2579,pr_code,0))&amp;"",""))</f>
        <v/>
      </c>
      <c r="J2579" s="65" t="str">
        <f>IF(COUNTA(A2579:G2579)=0,"",IF(E2579&lt;&gt;"",E2579,IF(B2579="","",IFERROR(IF(INDEX(pr_price,MATCH(B2579,pr_code,0))="","",INDEX(pr_price,MATCH(B2579,pr_code,0))),""))))</f>
        <v/>
      </c>
      <c r="K2579" s="71" t="str">
        <f>IF(COUNTA(A2579:G2579)=0,"",IF(G2579&lt;&gt;"",G2579,IF(B2579="","",IFERROR(IF(INDEX(pr_rate,MATCH(B2579,pr_code,0))="","",INDEX(pr_rate,MATCH(B2579,pr_code,0))),""))))</f>
        <v/>
      </c>
      <c r="L2579" s="65" t="str">
        <f>IF(COUNTA(A2579:G2579)=0,"",IF(AND(ISNUMBER(D2579),ISNUMBER(J2579)),ROUND(D2579*J2579*(1-N(F2579)),2),0))</f>
        <v/>
      </c>
      <c r="M2579" s="62" t="str">
        <f>IF(A2579="","",IFERROR(INDEX(fa_cname,MATCH(A2579,fa_num,0))&amp;"",""))</f>
        <v/>
      </c>
      <c r="N2579" s="59" t="str">
        <f>IF(COUNTA(A2579:G2579)=0,"",IF(A2579="","N° facture manquant",IF(ISNA(MATCH(A2579,fa_num,0)),"Facture inconnue",IF(AND(B2579&lt;&gt;"",ISNA(MATCH(B2579,pr_code,0))),"Article inconnu",IF(H2579="","Désignation manquante",IF(OR(NOT(ISNUMBER(D2579)),N(D2579)&lt;=0),"Quantité invalide",IF(J2579="","Prix manquant",IF(OR(NOT(ISNUMBER(J2579)),N(J2579)&lt;0),"Prix invalide",IF(OR(AND(F2579&lt;&gt;"",NOT(ISNUMBER(F2579))),N(F2579)&lt;0,N(F2579)&gt;1),"Remise invalide",IF(K2579="","Taux de TVA manquant",IF(NOT(ISNUMBER(K2579)),"Taux de TVA invalide",IF(COUNTIF(p_rates,K2579)=0,"Taux de TVA hors liste (Paramètres)",IF(N(O2579)&gt;25,"Au-delà de 25 lignes : non imprimée","OK")))))))))))))</f>
        <v/>
      </c>
      <c r="O2579" s="59" t="str">
        <f>IF(A2579="","",COUNTIF($A$6:A2579,A2579))</f>
        <v/>
      </c>
      <c r="P2579" s="62" t="str">
        <f>IF(A2579="","",A2579&amp;"|"&amp;O2579)</f>
        <v/>
      </c>
    </row>
    <row r="2580">
      <c r="A2580" s="60" t="n"/>
      <c r="B2580" s="63" t="n"/>
      <c r="C2580" s="63" t="n"/>
      <c r="D2580" s="67" t="n"/>
      <c r="E2580" s="68" t="n"/>
      <c r="F2580" s="69" t="n"/>
      <c r="G2580" s="70" t="n"/>
      <c r="H2580" s="62" t="str">
        <f>IF(COUNTA(A2580:G2580)=0,"",IF(C2580&lt;&gt;"",C2580,IF(B2580="","",IFERROR(INDEX(pr_des,MATCH(B2580,pr_code,0))&amp;"",""))))</f>
        <v/>
      </c>
      <c r="I2580" s="59" t="str">
        <f>IF(B2580="","",IFERROR(INDEX(pr_unit,MATCH(B2580,pr_code,0))&amp;"",""))</f>
        <v/>
      </c>
      <c r="J2580" s="65" t="str">
        <f>IF(COUNTA(A2580:G2580)=0,"",IF(E2580&lt;&gt;"",E2580,IF(B2580="","",IFERROR(IF(INDEX(pr_price,MATCH(B2580,pr_code,0))="","",INDEX(pr_price,MATCH(B2580,pr_code,0))),""))))</f>
        <v/>
      </c>
      <c r="K2580" s="71" t="str">
        <f>IF(COUNTA(A2580:G2580)=0,"",IF(G2580&lt;&gt;"",G2580,IF(B2580="","",IFERROR(IF(INDEX(pr_rate,MATCH(B2580,pr_code,0))="","",INDEX(pr_rate,MATCH(B2580,pr_code,0))),""))))</f>
        <v/>
      </c>
      <c r="L2580" s="65" t="str">
        <f>IF(COUNTA(A2580:G2580)=0,"",IF(AND(ISNUMBER(D2580),ISNUMBER(J2580)),ROUND(D2580*J2580*(1-N(F2580)),2),0))</f>
        <v/>
      </c>
      <c r="M2580" s="62" t="str">
        <f>IF(A2580="","",IFERROR(INDEX(fa_cname,MATCH(A2580,fa_num,0))&amp;"",""))</f>
        <v/>
      </c>
      <c r="N2580" s="59" t="str">
        <f>IF(COUNTA(A2580:G2580)=0,"",IF(A2580="","N° facture manquant",IF(ISNA(MATCH(A2580,fa_num,0)),"Facture inconnue",IF(AND(B2580&lt;&gt;"",ISNA(MATCH(B2580,pr_code,0))),"Article inconnu",IF(H2580="","Désignation manquante",IF(OR(NOT(ISNUMBER(D2580)),N(D2580)&lt;=0),"Quantité invalide",IF(J2580="","Prix manquant",IF(OR(NOT(ISNUMBER(J2580)),N(J2580)&lt;0),"Prix invalide",IF(OR(AND(F2580&lt;&gt;"",NOT(ISNUMBER(F2580))),N(F2580)&lt;0,N(F2580)&gt;1),"Remise invalide",IF(K2580="","Taux de TVA manquant",IF(NOT(ISNUMBER(K2580)),"Taux de TVA invalide",IF(COUNTIF(p_rates,K2580)=0,"Taux de TVA hors liste (Paramètres)",IF(N(O2580)&gt;25,"Au-delà de 25 lignes : non imprimée","OK")))))))))))))</f>
        <v/>
      </c>
      <c r="O2580" s="59" t="str">
        <f>IF(A2580="","",COUNTIF($A$6:A2580,A2580))</f>
        <v/>
      </c>
      <c r="P2580" s="62" t="str">
        <f>IF(A2580="","",A2580&amp;"|"&amp;O2580)</f>
        <v/>
      </c>
    </row>
    <row r="2581">
      <c r="A2581" s="60" t="n"/>
      <c r="B2581" s="63" t="n"/>
      <c r="C2581" s="63" t="n"/>
      <c r="D2581" s="67" t="n"/>
      <c r="E2581" s="68" t="n"/>
      <c r="F2581" s="69" t="n"/>
      <c r="G2581" s="70" t="n"/>
      <c r="H2581" s="62" t="str">
        <f>IF(COUNTA(A2581:G2581)=0,"",IF(C2581&lt;&gt;"",C2581,IF(B2581="","",IFERROR(INDEX(pr_des,MATCH(B2581,pr_code,0))&amp;"",""))))</f>
        <v/>
      </c>
      <c r="I2581" s="59" t="str">
        <f>IF(B2581="","",IFERROR(INDEX(pr_unit,MATCH(B2581,pr_code,0))&amp;"",""))</f>
        <v/>
      </c>
      <c r="J2581" s="65" t="str">
        <f>IF(COUNTA(A2581:G2581)=0,"",IF(E2581&lt;&gt;"",E2581,IF(B2581="","",IFERROR(IF(INDEX(pr_price,MATCH(B2581,pr_code,0))="","",INDEX(pr_price,MATCH(B2581,pr_code,0))),""))))</f>
        <v/>
      </c>
      <c r="K2581" s="71" t="str">
        <f>IF(COUNTA(A2581:G2581)=0,"",IF(G2581&lt;&gt;"",G2581,IF(B2581="","",IFERROR(IF(INDEX(pr_rate,MATCH(B2581,pr_code,0))="","",INDEX(pr_rate,MATCH(B2581,pr_code,0))),""))))</f>
        <v/>
      </c>
      <c r="L2581" s="65" t="str">
        <f>IF(COUNTA(A2581:G2581)=0,"",IF(AND(ISNUMBER(D2581),ISNUMBER(J2581)),ROUND(D2581*J2581*(1-N(F2581)),2),0))</f>
        <v/>
      </c>
      <c r="M2581" s="62" t="str">
        <f>IF(A2581="","",IFERROR(INDEX(fa_cname,MATCH(A2581,fa_num,0))&amp;"",""))</f>
        <v/>
      </c>
      <c r="N2581" s="59" t="str">
        <f>IF(COUNTA(A2581:G2581)=0,"",IF(A2581="","N° facture manquant",IF(ISNA(MATCH(A2581,fa_num,0)),"Facture inconnue",IF(AND(B2581&lt;&gt;"",ISNA(MATCH(B2581,pr_code,0))),"Article inconnu",IF(H2581="","Désignation manquante",IF(OR(NOT(ISNUMBER(D2581)),N(D2581)&lt;=0),"Quantité invalide",IF(J2581="","Prix manquant",IF(OR(NOT(ISNUMBER(J2581)),N(J2581)&lt;0),"Prix invalide",IF(OR(AND(F2581&lt;&gt;"",NOT(ISNUMBER(F2581))),N(F2581)&lt;0,N(F2581)&gt;1),"Remise invalide",IF(K2581="","Taux de TVA manquant",IF(NOT(ISNUMBER(K2581)),"Taux de TVA invalide",IF(COUNTIF(p_rates,K2581)=0,"Taux de TVA hors liste (Paramètres)",IF(N(O2581)&gt;25,"Au-delà de 25 lignes : non imprimée","OK")))))))))))))</f>
        <v/>
      </c>
      <c r="O2581" s="59" t="str">
        <f>IF(A2581="","",COUNTIF($A$6:A2581,A2581))</f>
        <v/>
      </c>
      <c r="P2581" s="62" t="str">
        <f>IF(A2581="","",A2581&amp;"|"&amp;O2581)</f>
        <v/>
      </c>
    </row>
    <row r="2582">
      <c r="A2582" s="60" t="n"/>
      <c r="B2582" s="63" t="n"/>
      <c r="C2582" s="63" t="n"/>
      <c r="D2582" s="67" t="n"/>
      <c r="E2582" s="68" t="n"/>
      <c r="F2582" s="69" t="n"/>
      <c r="G2582" s="70" t="n"/>
      <c r="H2582" s="62" t="str">
        <f>IF(COUNTA(A2582:G2582)=0,"",IF(C2582&lt;&gt;"",C2582,IF(B2582="","",IFERROR(INDEX(pr_des,MATCH(B2582,pr_code,0))&amp;"",""))))</f>
        <v/>
      </c>
      <c r="I2582" s="59" t="str">
        <f>IF(B2582="","",IFERROR(INDEX(pr_unit,MATCH(B2582,pr_code,0))&amp;"",""))</f>
        <v/>
      </c>
      <c r="J2582" s="65" t="str">
        <f>IF(COUNTA(A2582:G2582)=0,"",IF(E2582&lt;&gt;"",E2582,IF(B2582="","",IFERROR(IF(INDEX(pr_price,MATCH(B2582,pr_code,0))="","",INDEX(pr_price,MATCH(B2582,pr_code,0))),""))))</f>
        <v/>
      </c>
      <c r="K2582" s="71" t="str">
        <f>IF(COUNTA(A2582:G2582)=0,"",IF(G2582&lt;&gt;"",G2582,IF(B2582="","",IFERROR(IF(INDEX(pr_rate,MATCH(B2582,pr_code,0))="","",INDEX(pr_rate,MATCH(B2582,pr_code,0))),""))))</f>
        <v/>
      </c>
      <c r="L2582" s="65" t="str">
        <f>IF(COUNTA(A2582:G2582)=0,"",IF(AND(ISNUMBER(D2582),ISNUMBER(J2582)),ROUND(D2582*J2582*(1-N(F2582)),2),0))</f>
        <v/>
      </c>
      <c r="M2582" s="62" t="str">
        <f>IF(A2582="","",IFERROR(INDEX(fa_cname,MATCH(A2582,fa_num,0))&amp;"",""))</f>
        <v/>
      </c>
      <c r="N2582" s="59" t="str">
        <f>IF(COUNTA(A2582:G2582)=0,"",IF(A2582="","N° facture manquant",IF(ISNA(MATCH(A2582,fa_num,0)),"Facture inconnue",IF(AND(B2582&lt;&gt;"",ISNA(MATCH(B2582,pr_code,0))),"Article inconnu",IF(H2582="","Désignation manquante",IF(OR(NOT(ISNUMBER(D2582)),N(D2582)&lt;=0),"Quantité invalide",IF(J2582="","Prix manquant",IF(OR(NOT(ISNUMBER(J2582)),N(J2582)&lt;0),"Prix invalide",IF(OR(AND(F2582&lt;&gt;"",NOT(ISNUMBER(F2582))),N(F2582)&lt;0,N(F2582)&gt;1),"Remise invalide",IF(K2582="","Taux de TVA manquant",IF(NOT(ISNUMBER(K2582)),"Taux de TVA invalide",IF(COUNTIF(p_rates,K2582)=0,"Taux de TVA hors liste (Paramètres)",IF(N(O2582)&gt;25,"Au-delà de 25 lignes : non imprimée","OK")))))))))))))</f>
        <v/>
      </c>
      <c r="O2582" s="59" t="str">
        <f>IF(A2582="","",COUNTIF($A$6:A2582,A2582))</f>
        <v/>
      </c>
      <c r="P2582" s="62" t="str">
        <f>IF(A2582="","",A2582&amp;"|"&amp;O2582)</f>
        <v/>
      </c>
    </row>
    <row r="2583">
      <c r="A2583" s="60" t="n"/>
      <c r="B2583" s="63" t="n"/>
      <c r="C2583" s="63" t="n"/>
      <c r="D2583" s="67" t="n"/>
      <c r="E2583" s="68" t="n"/>
      <c r="F2583" s="69" t="n"/>
      <c r="G2583" s="70" t="n"/>
      <c r="H2583" s="62" t="str">
        <f>IF(COUNTA(A2583:G2583)=0,"",IF(C2583&lt;&gt;"",C2583,IF(B2583="","",IFERROR(INDEX(pr_des,MATCH(B2583,pr_code,0))&amp;"",""))))</f>
        <v/>
      </c>
      <c r="I2583" s="59" t="str">
        <f>IF(B2583="","",IFERROR(INDEX(pr_unit,MATCH(B2583,pr_code,0))&amp;"",""))</f>
        <v/>
      </c>
      <c r="J2583" s="65" t="str">
        <f>IF(COUNTA(A2583:G2583)=0,"",IF(E2583&lt;&gt;"",E2583,IF(B2583="","",IFERROR(IF(INDEX(pr_price,MATCH(B2583,pr_code,0))="","",INDEX(pr_price,MATCH(B2583,pr_code,0))),""))))</f>
        <v/>
      </c>
      <c r="K2583" s="71" t="str">
        <f>IF(COUNTA(A2583:G2583)=0,"",IF(G2583&lt;&gt;"",G2583,IF(B2583="","",IFERROR(IF(INDEX(pr_rate,MATCH(B2583,pr_code,0))="","",INDEX(pr_rate,MATCH(B2583,pr_code,0))),""))))</f>
        <v/>
      </c>
      <c r="L2583" s="65" t="str">
        <f>IF(COUNTA(A2583:G2583)=0,"",IF(AND(ISNUMBER(D2583),ISNUMBER(J2583)),ROUND(D2583*J2583*(1-N(F2583)),2),0))</f>
        <v/>
      </c>
      <c r="M2583" s="62" t="str">
        <f>IF(A2583="","",IFERROR(INDEX(fa_cname,MATCH(A2583,fa_num,0))&amp;"",""))</f>
        <v/>
      </c>
      <c r="N2583" s="59" t="str">
        <f>IF(COUNTA(A2583:G2583)=0,"",IF(A2583="","N° facture manquant",IF(ISNA(MATCH(A2583,fa_num,0)),"Facture inconnue",IF(AND(B2583&lt;&gt;"",ISNA(MATCH(B2583,pr_code,0))),"Article inconnu",IF(H2583="","Désignation manquante",IF(OR(NOT(ISNUMBER(D2583)),N(D2583)&lt;=0),"Quantité invalide",IF(J2583="","Prix manquant",IF(OR(NOT(ISNUMBER(J2583)),N(J2583)&lt;0),"Prix invalide",IF(OR(AND(F2583&lt;&gt;"",NOT(ISNUMBER(F2583))),N(F2583)&lt;0,N(F2583)&gt;1),"Remise invalide",IF(K2583="","Taux de TVA manquant",IF(NOT(ISNUMBER(K2583)),"Taux de TVA invalide",IF(COUNTIF(p_rates,K2583)=0,"Taux de TVA hors liste (Paramètres)",IF(N(O2583)&gt;25,"Au-delà de 25 lignes : non imprimée","OK")))))))))))))</f>
        <v/>
      </c>
      <c r="O2583" s="59" t="str">
        <f>IF(A2583="","",COUNTIF($A$6:A2583,A2583))</f>
        <v/>
      </c>
      <c r="P2583" s="62" t="str">
        <f>IF(A2583="","",A2583&amp;"|"&amp;O2583)</f>
        <v/>
      </c>
    </row>
    <row r="2584">
      <c r="A2584" s="60" t="n"/>
      <c r="B2584" s="63" t="n"/>
      <c r="C2584" s="63" t="n"/>
      <c r="D2584" s="67" t="n"/>
      <c r="E2584" s="68" t="n"/>
      <c r="F2584" s="69" t="n"/>
      <c r="G2584" s="70" t="n"/>
      <c r="H2584" s="62" t="str">
        <f>IF(COUNTA(A2584:G2584)=0,"",IF(C2584&lt;&gt;"",C2584,IF(B2584="","",IFERROR(INDEX(pr_des,MATCH(B2584,pr_code,0))&amp;"",""))))</f>
        <v/>
      </c>
      <c r="I2584" s="59" t="str">
        <f>IF(B2584="","",IFERROR(INDEX(pr_unit,MATCH(B2584,pr_code,0))&amp;"",""))</f>
        <v/>
      </c>
      <c r="J2584" s="65" t="str">
        <f>IF(COUNTA(A2584:G2584)=0,"",IF(E2584&lt;&gt;"",E2584,IF(B2584="","",IFERROR(IF(INDEX(pr_price,MATCH(B2584,pr_code,0))="","",INDEX(pr_price,MATCH(B2584,pr_code,0))),""))))</f>
        <v/>
      </c>
      <c r="K2584" s="71" t="str">
        <f>IF(COUNTA(A2584:G2584)=0,"",IF(G2584&lt;&gt;"",G2584,IF(B2584="","",IFERROR(IF(INDEX(pr_rate,MATCH(B2584,pr_code,0))="","",INDEX(pr_rate,MATCH(B2584,pr_code,0))),""))))</f>
        <v/>
      </c>
      <c r="L2584" s="65" t="str">
        <f>IF(COUNTA(A2584:G2584)=0,"",IF(AND(ISNUMBER(D2584),ISNUMBER(J2584)),ROUND(D2584*J2584*(1-N(F2584)),2),0))</f>
        <v/>
      </c>
      <c r="M2584" s="62" t="str">
        <f>IF(A2584="","",IFERROR(INDEX(fa_cname,MATCH(A2584,fa_num,0))&amp;"",""))</f>
        <v/>
      </c>
      <c r="N2584" s="59" t="str">
        <f>IF(COUNTA(A2584:G2584)=0,"",IF(A2584="","N° facture manquant",IF(ISNA(MATCH(A2584,fa_num,0)),"Facture inconnue",IF(AND(B2584&lt;&gt;"",ISNA(MATCH(B2584,pr_code,0))),"Article inconnu",IF(H2584="","Désignation manquante",IF(OR(NOT(ISNUMBER(D2584)),N(D2584)&lt;=0),"Quantité invalide",IF(J2584="","Prix manquant",IF(OR(NOT(ISNUMBER(J2584)),N(J2584)&lt;0),"Prix invalide",IF(OR(AND(F2584&lt;&gt;"",NOT(ISNUMBER(F2584))),N(F2584)&lt;0,N(F2584)&gt;1),"Remise invalide",IF(K2584="","Taux de TVA manquant",IF(NOT(ISNUMBER(K2584)),"Taux de TVA invalide",IF(COUNTIF(p_rates,K2584)=0,"Taux de TVA hors liste (Paramètres)",IF(N(O2584)&gt;25,"Au-delà de 25 lignes : non imprimée","OK")))))))))))))</f>
        <v/>
      </c>
      <c r="O2584" s="59" t="str">
        <f>IF(A2584="","",COUNTIF($A$6:A2584,A2584))</f>
        <v/>
      </c>
      <c r="P2584" s="62" t="str">
        <f>IF(A2584="","",A2584&amp;"|"&amp;O2584)</f>
        <v/>
      </c>
    </row>
    <row r="2585">
      <c r="A2585" s="60" t="n"/>
      <c r="B2585" s="63" t="n"/>
      <c r="C2585" s="63" t="n"/>
      <c r="D2585" s="67" t="n"/>
      <c r="E2585" s="68" t="n"/>
      <c r="F2585" s="69" t="n"/>
      <c r="G2585" s="70" t="n"/>
      <c r="H2585" s="62" t="str">
        <f>IF(COUNTA(A2585:G2585)=0,"",IF(C2585&lt;&gt;"",C2585,IF(B2585="","",IFERROR(INDEX(pr_des,MATCH(B2585,pr_code,0))&amp;"",""))))</f>
        <v/>
      </c>
      <c r="I2585" s="59" t="str">
        <f>IF(B2585="","",IFERROR(INDEX(pr_unit,MATCH(B2585,pr_code,0))&amp;"",""))</f>
        <v/>
      </c>
      <c r="J2585" s="65" t="str">
        <f>IF(COUNTA(A2585:G2585)=0,"",IF(E2585&lt;&gt;"",E2585,IF(B2585="","",IFERROR(IF(INDEX(pr_price,MATCH(B2585,pr_code,0))="","",INDEX(pr_price,MATCH(B2585,pr_code,0))),""))))</f>
        <v/>
      </c>
      <c r="K2585" s="71" t="str">
        <f>IF(COUNTA(A2585:G2585)=0,"",IF(G2585&lt;&gt;"",G2585,IF(B2585="","",IFERROR(IF(INDEX(pr_rate,MATCH(B2585,pr_code,0))="","",INDEX(pr_rate,MATCH(B2585,pr_code,0))),""))))</f>
        <v/>
      </c>
      <c r="L2585" s="65" t="str">
        <f>IF(COUNTA(A2585:G2585)=0,"",IF(AND(ISNUMBER(D2585),ISNUMBER(J2585)),ROUND(D2585*J2585*(1-N(F2585)),2),0))</f>
        <v/>
      </c>
      <c r="M2585" s="62" t="str">
        <f>IF(A2585="","",IFERROR(INDEX(fa_cname,MATCH(A2585,fa_num,0))&amp;"",""))</f>
        <v/>
      </c>
      <c r="N2585" s="59" t="str">
        <f>IF(COUNTA(A2585:G2585)=0,"",IF(A2585="","N° facture manquant",IF(ISNA(MATCH(A2585,fa_num,0)),"Facture inconnue",IF(AND(B2585&lt;&gt;"",ISNA(MATCH(B2585,pr_code,0))),"Article inconnu",IF(H2585="","Désignation manquante",IF(OR(NOT(ISNUMBER(D2585)),N(D2585)&lt;=0),"Quantité invalide",IF(J2585="","Prix manquant",IF(OR(NOT(ISNUMBER(J2585)),N(J2585)&lt;0),"Prix invalide",IF(OR(AND(F2585&lt;&gt;"",NOT(ISNUMBER(F2585))),N(F2585)&lt;0,N(F2585)&gt;1),"Remise invalide",IF(K2585="","Taux de TVA manquant",IF(NOT(ISNUMBER(K2585)),"Taux de TVA invalide",IF(COUNTIF(p_rates,K2585)=0,"Taux de TVA hors liste (Paramètres)",IF(N(O2585)&gt;25,"Au-delà de 25 lignes : non imprimée","OK")))))))))))))</f>
        <v/>
      </c>
      <c r="O2585" s="59" t="str">
        <f>IF(A2585="","",COUNTIF($A$6:A2585,A2585))</f>
        <v/>
      </c>
      <c r="P2585" s="62" t="str">
        <f>IF(A2585="","",A2585&amp;"|"&amp;O2585)</f>
        <v/>
      </c>
    </row>
    <row r="2586">
      <c r="A2586" s="60" t="n"/>
      <c r="B2586" s="63" t="n"/>
      <c r="C2586" s="63" t="n"/>
      <c r="D2586" s="67" t="n"/>
      <c r="E2586" s="68" t="n"/>
      <c r="F2586" s="69" t="n"/>
      <c r="G2586" s="70" t="n"/>
      <c r="H2586" s="62" t="str">
        <f>IF(COUNTA(A2586:G2586)=0,"",IF(C2586&lt;&gt;"",C2586,IF(B2586="","",IFERROR(INDEX(pr_des,MATCH(B2586,pr_code,0))&amp;"",""))))</f>
        <v/>
      </c>
      <c r="I2586" s="59" t="str">
        <f>IF(B2586="","",IFERROR(INDEX(pr_unit,MATCH(B2586,pr_code,0))&amp;"",""))</f>
        <v/>
      </c>
      <c r="J2586" s="65" t="str">
        <f>IF(COUNTA(A2586:G2586)=0,"",IF(E2586&lt;&gt;"",E2586,IF(B2586="","",IFERROR(IF(INDEX(pr_price,MATCH(B2586,pr_code,0))="","",INDEX(pr_price,MATCH(B2586,pr_code,0))),""))))</f>
        <v/>
      </c>
      <c r="K2586" s="71" t="str">
        <f>IF(COUNTA(A2586:G2586)=0,"",IF(G2586&lt;&gt;"",G2586,IF(B2586="","",IFERROR(IF(INDEX(pr_rate,MATCH(B2586,pr_code,0))="","",INDEX(pr_rate,MATCH(B2586,pr_code,0))),""))))</f>
        <v/>
      </c>
      <c r="L2586" s="65" t="str">
        <f>IF(COUNTA(A2586:G2586)=0,"",IF(AND(ISNUMBER(D2586),ISNUMBER(J2586)),ROUND(D2586*J2586*(1-N(F2586)),2),0))</f>
        <v/>
      </c>
      <c r="M2586" s="62" t="str">
        <f>IF(A2586="","",IFERROR(INDEX(fa_cname,MATCH(A2586,fa_num,0))&amp;"",""))</f>
        <v/>
      </c>
      <c r="N2586" s="59" t="str">
        <f>IF(COUNTA(A2586:G2586)=0,"",IF(A2586="","N° facture manquant",IF(ISNA(MATCH(A2586,fa_num,0)),"Facture inconnue",IF(AND(B2586&lt;&gt;"",ISNA(MATCH(B2586,pr_code,0))),"Article inconnu",IF(H2586="","Désignation manquante",IF(OR(NOT(ISNUMBER(D2586)),N(D2586)&lt;=0),"Quantité invalide",IF(J2586="","Prix manquant",IF(OR(NOT(ISNUMBER(J2586)),N(J2586)&lt;0),"Prix invalide",IF(OR(AND(F2586&lt;&gt;"",NOT(ISNUMBER(F2586))),N(F2586)&lt;0,N(F2586)&gt;1),"Remise invalide",IF(K2586="","Taux de TVA manquant",IF(NOT(ISNUMBER(K2586)),"Taux de TVA invalide",IF(COUNTIF(p_rates,K2586)=0,"Taux de TVA hors liste (Paramètres)",IF(N(O2586)&gt;25,"Au-delà de 25 lignes : non imprimée","OK")))))))))))))</f>
        <v/>
      </c>
      <c r="O2586" s="59" t="str">
        <f>IF(A2586="","",COUNTIF($A$6:A2586,A2586))</f>
        <v/>
      </c>
      <c r="P2586" s="62" t="str">
        <f>IF(A2586="","",A2586&amp;"|"&amp;O2586)</f>
        <v/>
      </c>
    </row>
    <row r="2587">
      <c r="A2587" s="60" t="n"/>
      <c r="B2587" s="63" t="n"/>
      <c r="C2587" s="63" t="n"/>
      <c r="D2587" s="67" t="n"/>
      <c r="E2587" s="68" t="n"/>
      <c r="F2587" s="69" t="n"/>
      <c r="G2587" s="70" t="n"/>
      <c r="H2587" s="62" t="str">
        <f>IF(COUNTA(A2587:G2587)=0,"",IF(C2587&lt;&gt;"",C2587,IF(B2587="","",IFERROR(INDEX(pr_des,MATCH(B2587,pr_code,0))&amp;"",""))))</f>
        <v/>
      </c>
      <c r="I2587" s="59" t="str">
        <f>IF(B2587="","",IFERROR(INDEX(pr_unit,MATCH(B2587,pr_code,0))&amp;"",""))</f>
        <v/>
      </c>
      <c r="J2587" s="65" t="str">
        <f>IF(COUNTA(A2587:G2587)=0,"",IF(E2587&lt;&gt;"",E2587,IF(B2587="","",IFERROR(IF(INDEX(pr_price,MATCH(B2587,pr_code,0))="","",INDEX(pr_price,MATCH(B2587,pr_code,0))),""))))</f>
        <v/>
      </c>
      <c r="K2587" s="71" t="str">
        <f>IF(COUNTA(A2587:G2587)=0,"",IF(G2587&lt;&gt;"",G2587,IF(B2587="","",IFERROR(IF(INDEX(pr_rate,MATCH(B2587,pr_code,0))="","",INDEX(pr_rate,MATCH(B2587,pr_code,0))),""))))</f>
        <v/>
      </c>
      <c r="L2587" s="65" t="str">
        <f>IF(COUNTA(A2587:G2587)=0,"",IF(AND(ISNUMBER(D2587),ISNUMBER(J2587)),ROUND(D2587*J2587*(1-N(F2587)),2),0))</f>
        <v/>
      </c>
      <c r="M2587" s="62" t="str">
        <f>IF(A2587="","",IFERROR(INDEX(fa_cname,MATCH(A2587,fa_num,0))&amp;"",""))</f>
        <v/>
      </c>
      <c r="N2587" s="59" t="str">
        <f>IF(COUNTA(A2587:G2587)=0,"",IF(A2587="","N° facture manquant",IF(ISNA(MATCH(A2587,fa_num,0)),"Facture inconnue",IF(AND(B2587&lt;&gt;"",ISNA(MATCH(B2587,pr_code,0))),"Article inconnu",IF(H2587="","Désignation manquante",IF(OR(NOT(ISNUMBER(D2587)),N(D2587)&lt;=0),"Quantité invalide",IF(J2587="","Prix manquant",IF(OR(NOT(ISNUMBER(J2587)),N(J2587)&lt;0),"Prix invalide",IF(OR(AND(F2587&lt;&gt;"",NOT(ISNUMBER(F2587))),N(F2587)&lt;0,N(F2587)&gt;1),"Remise invalide",IF(K2587="","Taux de TVA manquant",IF(NOT(ISNUMBER(K2587)),"Taux de TVA invalide",IF(COUNTIF(p_rates,K2587)=0,"Taux de TVA hors liste (Paramètres)",IF(N(O2587)&gt;25,"Au-delà de 25 lignes : non imprimée","OK")))))))))))))</f>
        <v/>
      </c>
      <c r="O2587" s="59" t="str">
        <f>IF(A2587="","",COUNTIF($A$6:A2587,A2587))</f>
        <v/>
      </c>
      <c r="P2587" s="62" t="str">
        <f>IF(A2587="","",A2587&amp;"|"&amp;O2587)</f>
        <v/>
      </c>
    </row>
    <row r="2588">
      <c r="A2588" s="60" t="n"/>
      <c r="B2588" s="63" t="n"/>
      <c r="C2588" s="63" t="n"/>
      <c r="D2588" s="67" t="n"/>
      <c r="E2588" s="68" t="n"/>
      <c r="F2588" s="69" t="n"/>
      <c r="G2588" s="70" t="n"/>
      <c r="H2588" s="62" t="str">
        <f>IF(COUNTA(A2588:G2588)=0,"",IF(C2588&lt;&gt;"",C2588,IF(B2588="","",IFERROR(INDEX(pr_des,MATCH(B2588,pr_code,0))&amp;"",""))))</f>
        <v/>
      </c>
      <c r="I2588" s="59" t="str">
        <f>IF(B2588="","",IFERROR(INDEX(pr_unit,MATCH(B2588,pr_code,0))&amp;"",""))</f>
        <v/>
      </c>
      <c r="J2588" s="65" t="str">
        <f>IF(COUNTA(A2588:G2588)=0,"",IF(E2588&lt;&gt;"",E2588,IF(B2588="","",IFERROR(IF(INDEX(pr_price,MATCH(B2588,pr_code,0))="","",INDEX(pr_price,MATCH(B2588,pr_code,0))),""))))</f>
        <v/>
      </c>
      <c r="K2588" s="71" t="str">
        <f>IF(COUNTA(A2588:G2588)=0,"",IF(G2588&lt;&gt;"",G2588,IF(B2588="","",IFERROR(IF(INDEX(pr_rate,MATCH(B2588,pr_code,0))="","",INDEX(pr_rate,MATCH(B2588,pr_code,0))),""))))</f>
        <v/>
      </c>
      <c r="L2588" s="65" t="str">
        <f>IF(COUNTA(A2588:G2588)=0,"",IF(AND(ISNUMBER(D2588),ISNUMBER(J2588)),ROUND(D2588*J2588*(1-N(F2588)),2),0))</f>
        <v/>
      </c>
      <c r="M2588" s="62" t="str">
        <f>IF(A2588="","",IFERROR(INDEX(fa_cname,MATCH(A2588,fa_num,0))&amp;"",""))</f>
        <v/>
      </c>
      <c r="N2588" s="59" t="str">
        <f>IF(COUNTA(A2588:G2588)=0,"",IF(A2588="","N° facture manquant",IF(ISNA(MATCH(A2588,fa_num,0)),"Facture inconnue",IF(AND(B2588&lt;&gt;"",ISNA(MATCH(B2588,pr_code,0))),"Article inconnu",IF(H2588="","Désignation manquante",IF(OR(NOT(ISNUMBER(D2588)),N(D2588)&lt;=0),"Quantité invalide",IF(J2588="","Prix manquant",IF(OR(NOT(ISNUMBER(J2588)),N(J2588)&lt;0),"Prix invalide",IF(OR(AND(F2588&lt;&gt;"",NOT(ISNUMBER(F2588))),N(F2588)&lt;0,N(F2588)&gt;1),"Remise invalide",IF(K2588="","Taux de TVA manquant",IF(NOT(ISNUMBER(K2588)),"Taux de TVA invalide",IF(COUNTIF(p_rates,K2588)=0,"Taux de TVA hors liste (Paramètres)",IF(N(O2588)&gt;25,"Au-delà de 25 lignes : non imprimée","OK")))))))))))))</f>
        <v/>
      </c>
      <c r="O2588" s="59" t="str">
        <f>IF(A2588="","",COUNTIF($A$6:A2588,A2588))</f>
        <v/>
      </c>
      <c r="P2588" s="62" t="str">
        <f>IF(A2588="","",A2588&amp;"|"&amp;O2588)</f>
        <v/>
      </c>
    </row>
    <row r="2589">
      <c r="A2589" s="60" t="n"/>
      <c r="B2589" s="63" t="n"/>
      <c r="C2589" s="63" t="n"/>
      <c r="D2589" s="67" t="n"/>
      <c r="E2589" s="68" t="n"/>
      <c r="F2589" s="69" t="n"/>
      <c r="G2589" s="70" t="n"/>
      <c r="H2589" s="62" t="str">
        <f>IF(COUNTA(A2589:G2589)=0,"",IF(C2589&lt;&gt;"",C2589,IF(B2589="","",IFERROR(INDEX(pr_des,MATCH(B2589,pr_code,0))&amp;"",""))))</f>
        <v/>
      </c>
      <c r="I2589" s="59" t="str">
        <f>IF(B2589="","",IFERROR(INDEX(pr_unit,MATCH(B2589,pr_code,0))&amp;"",""))</f>
        <v/>
      </c>
      <c r="J2589" s="65" t="str">
        <f>IF(COUNTA(A2589:G2589)=0,"",IF(E2589&lt;&gt;"",E2589,IF(B2589="","",IFERROR(IF(INDEX(pr_price,MATCH(B2589,pr_code,0))="","",INDEX(pr_price,MATCH(B2589,pr_code,0))),""))))</f>
        <v/>
      </c>
      <c r="K2589" s="71" t="str">
        <f>IF(COUNTA(A2589:G2589)=0,"",IF(G2589&lt;&gt;"",G2589,IF(B2589="","",IFERROR(IF(INDEX(pr_rate,MATCH(B2589,pr_code,0))="","",INDEX(pr_rate,MATCH(B2589,pr_code,0))),""))))</f>
        <v/>
      </c>
      <c r="L2589" s="65" t="str">
        <f>IF(COUNTA(A2589:G2589)=0,"",IF(AND(ISNUMBER(D2589),ISNUMBER(J2589)),ROUND(D2589*J2589*(1-N(F2589)),2),0))</f>
        <v/>
      </c>
      <c r="M2589" s="62" t="str">
        <f>IF(A2589="","",IFERROR(INDEX(fa_cname,MATCH(A2589,fa_num,0))&amp;"",""))</f>
        <v/>
      </c>
      <c r="N2589" s="59" t="str">
        <f>IF(COUNTA(A2589:G2589)=0,"",IF(A2589="","N° facture manquant",IF(ISNA(MATCH(A2589,fa_num,0)),"Facture inconnue",IF(AND(B2589&lt;&gt;"",ISNA(MATCH(B2589,pr_code,0))),"Article inconnu",IF(H2589="","Désignation manquante",IF(OR(NOT(ISNUMBER(D2589)),N(D2589)&lt;=0),"Quantité invalide",IF(J2589="","Prix manquant",IF(OR(NOT(ISNUMBER(J2589)),N(J2589)&lt;0),"Prix invalide",IF(OR(AND(F2589&lt;&gt;"",NOT(ISNUMBER(F2589))),N(F2589)&lt;0,N(F2589)&gt;1),"Remise invalide",IF(K2589="","Taux de TVA manquant",IF(NOT(ISNUMBER(K2589)),"Taux de TVA invalide",IF(COUNTIF(p_rates,K2589)=0,"Taux de TVA hors liste (Paramètres)",IF(N(O2589)&gt;25,"Au-delà de 25 lignes : non imprimée","OK")))))))))))))</f>
        <v/>
      </c>
      <c r="O2589" s="59" t="str">
        <f>IF(A2589="","",COUNTIF($A$6:A2589,A2589))</f>
        <v/>
      </c>
      <c r="P2589" s="62" t="str">
        <f>IF(A2589="","",A2589&amp;"|"&amp;O2589)</f>
        <v/>
      </c>
    </row>
    <row r="2590">
      <c r="A2590" s="60" t="n"/>
      <c r="B2590" s="63" t="n"/>
      <c r="C2590" s="63" t="n"/>
      <c r="D2590" s="67" t="n"/>
      <c r="E2590" s="68" t="n"/>
      <c r="F2590" s="69" t="n"/>
      <c r="G2590" s="70" t="n"/>
      <c r="H2590" s="62" t="str">
        <f>IF(COUNTA(A2590:G2590)=0,"",IF(C2590&lt;&gt;"",C2590,IF(B2590="","",IFERROR(INDEX(pr_des,MATCH(B2590,pr_code,0))&amp;"",""))))</f>
        <v/>
      </c>
      <c r="I2590" s="59" t="str">
        <f>IF(B2590="","",IFERROR(INDEX(pr_unit,MATCH(B2590,pr_code,0))&amp;"",""))</f>
        <v/>
      </c>
      <c r="J2590" s="65" t="str">
        <f>IF(COUNTA(A2590:G2590)=0,"",IF(E2590&lt;&gt;"",E2590,IF(B2590="","",IFERROR(IF(INDEX(pr_price,MATCH(B2590,pr_code,0))="","",INDEX(pr_price,MATCH(B2590,pr_code,0))),""))))</f>
        <v/>
      </c>
      <c r="K2590" s="71" t="str">
        <f>IF(COUNTA(A2590:G2590)=0,"",IF(G2590&lt;&gt;"",G2590,IF(B2590="","",IFERROR(IF(INDEX(pr_rate,MATCH(B2590,pr_code,0))="","",INDEX(pr_rate,MATCH(B2590,pr_code,0))),""))))</f>
        <v/>
      </c>
      <c r="L2590" s="65" t="str">
        <f>IF(COUNTA(A2590:G2590)=0,"",IF(AND(ISNUMBER(D2590),ISNUMBER(J2590)),ROUND(D2590*J2590*(1-N(F2590)),2),0))</f>
        <v/>
      </c>
      <c r="M2590" s="62" t="str">
        <f>IF(A2590="","",IFERROR(INDEX(fa_cname,MATCH(A2590,fa_num,0))&amp;"",""))</f>
        <v/>
      </c>
      <c r="N2590" s="59" t="str">
        <f>IF(COUNTA(A2590:G2590)=0,"",IF(A2590="","N° facture manquant",IF(ISNA(MATCH(A2590,fa_num,0)),"Facture inconnue",IF(AND(B2590&lt;&gt;"",ISNA(MATCH(B2590,pr_code,0))),"Article inconnu",IF(H2590="","Désignation manquante",IF(OR(NOT(ISNUMBER(D2590)),N(D2590)&lt;=0),"Quantité invalide",IF(J2590="","Prix manquant",IF(OR(NOT(ISNUMBER(J2590)),N(J2590)&lt;0),"Prix invalide",IF(OR(AND(F2590&lt;&gt;"",NOT(ISNUMBER(F2590))),N(F2590)&lt;0,N(F2590)&gt;1),"Remise invalide",IF(K2590="","Taux de TVA manquant",IF(NOT(ISNUMBER(K2590)),"Taux de TVA invalide",IF(COUNTIF(p_rates,K2590)=0,"Taux de TVA hors liste (Paramètres)",IF(N(O2590)&gt;25,"Au-delà de 25 lignes : non imprimée","OK")))))))))))))</f>
        <v/>
      </c>
      <c r="O2590" s="59" t="str">
        <f>IF(A2590="","",COUNTIF($A$6:A2590,A2590))</f>
        <v/>
      </c>
      <c r="P2590" s="62" t="str">
        <f>IF(A2590="","",A2590&amp;"|"&amp;O2590)</f>
        <v/>
      </c>
    </row>
    <row r="2591">
      <c r="A2591" s="60" t="n"/>
      <c r="B2591" s="63" t="n"/>
      <c r="C2591" s="63" t="n"/>
      <c r="D2591" s="67" t="n"/>
      <c r="E2591" s="68" t="n"/>
      <c r="F2591" s="69" t="n"/>
      <c r="G2591" s="70" t="n"/>
      <c r="H2591" s="62" t="str">
        <f>IF(COUNTA(A2591:G2591)=0,"",IF(C2591&lt;&gt;"",C2591,IF(B2591="","",IFERROR(INDEX(pr_des,MATCH(B2591,pr_code,0))&amp;"",""))))</f>
        <v/>
      </c>
      <c r="I2591" s="59" t="str">
        <f>IF(B2591="","",IFERROR(INDEX(pr_unit,MATCH(B2591,pr_code,0))&amp;"",""))</f>
        <v/>
      </c>
      <c r="J2591" s="65" t="str">
        <f>IF(COUNTA(A2591:G2591)=0,"",IF(E2591&lt;&gt;"",E2591,IF(B2591="","",IFERROR(IF(INDEX(pr_price,MATCH(B2591,pr_code,0))="","",INDEX(pr_price,MATCH(B2591,pr_code,0))),""))))</f>
        <v/>
      </c>
      <c r="K2591" s="71" t="str">
        <f>IF(COUNTA(A2591:G2591)=0,"",IF(G2591&lt;&gt;"",G2591,IF(B2591="","",IFERROR(IF(INDEX(pr_rate,MATCH(B2591,pr_code,0))="","",INDEX(pr_rate,MATCH(B2591,pr_code,0))),""))))</f>
        <v/>
      </c>
      <c r="L2591" s="65" t="str">
        <f>IF(COUNTA(A2591:G2591)=0,"",IF(AND(ISNUMBER(D2591),ISNUMBER(J2591)),ROUND(D2591*J2591*(1-N(F2591)),2),0))</f>
        <v/>
      </c>
      <c r="M2591" s="62" t="str">
        <f>IF(A2591="","",IFERROR(INDEX(fa_cname,MATCH(A2591,fa_num,0))&amp;"",""))</f>
        <v/>
      </c>
      <c r="N2591" s="59" t="str">
        <f>IF(COUNTA(A2591:G2591)=0,"",IF(A2591="","N° facture manquant",IF(ISNA(MATCH(A2591,fa_num,0)),"Facture inconnue",IF(AND(B2591&lt;&gt;"",ISNA(MATCH(B2591,pr_code,0))),"Article inconnu",IF(H2591="","Désignation manquante",IF(OR(NOT(ISNUMBER(D2591)),N(D2591)&lt;=0),"Quantité invalide",IF(J2591="","Prix manquant",IF(OR(NOT(ISNUMBER(J2591)),N(J2591)&lt;0),"Prix invalide",IF(OR(AND(F2591&lt;&gt;"",NOT(ISNUMBER(F2591))),N(F2591)&lt;0,N(F2591)&gt;1),"Remise invalide",IF(K2591="","Taux de TVA manquant",IF(NOT(ISNUMBER(K2591)),"Taux de TVA invalide",IF(COUNTIF(p_rates,K2591)=0,"Taux de TVA hors liste (Paramètres)",IF(N(O2591)&gt;25,"Au-delà de 25 lignes : non imprimée","OK")))))))))))))</f>
        <v/>
      </c>
      <c r="O2591" s="59" t="str">
        <f>IF(A2591="","",COUNTIF($A$6:A2591,A2591))</f>
        <v/>
      </c>
      <c r="P2591" s="62" t="str">
        <f>IF(A2591="","",A2591&amp;"|"&amp;O2591)</f>
        <v/>
      </c>
    </row>
    <row r="2592">
      <c r="A2592" s="60" t="n"/>
      <c r="B2592" s="63" t="n"/>
      <c r="C2592" s="63" t="n"/>
      <c r="D2592" s="67" t="n"/>
      <c r="E2592" s="68" t="n"/>
      <c r="F2592" s="69" t="n"/>
      <c r="G2592" s="70" t="n"/>
      <c r="H2592" s="62" t="str">
        <f>IF(COUNTA(A2592:G2592)=0,"",IF(C2592&lt;&gt;"",C2592,IF(B2592="","",IFERROR(INDEX(pr_des,MATCH(B2592,pr_code,0))&amp;"",""))))</f>
        <v/>
      </c>
      <c r="I2592" s="59" t="str">
        <f>IF(B2592="","",IFERROR(INDEX(pr_unit,MATCH(B2592,pr_code,0))&amp;"",""))</f>
        <v/>
      </c>
      <c r="J2592" s="65" t="str">
        <f>IF(COUNTA(A2592:G2592)=0,"",IF(E2592&lt;&gt;"",E2592,IF(B2592="","",IFERROR(IF(INDEX(pr_price,MATCH(B2592,pr_code,0))="","",INDEX(pr_price,MATCH(B2592,pr_code,0))),""))))</f>
        <v/>
      </c>
      <c r="K2592" s="71" t="str">
        <f>IF(COUNTA(A2592:G2592)=0,"",IF(G2592&lt;&gt;"",G2592,IF(B2592="","",IFERROR(IF(INDEX(pr_rate,MATCH(B2592,pr_code,0))="","",INDEX(pr_rate,MATCH(B2592,pr_code,0))),""))))</f>
        <v/>
      </c>
      <c r="L2592" s="65" t="str">
        <f>IF(COUNTA(A2592:G2592)=0,"",IF(AND(ISNUMBER(D2592),ISNUMBER(J2592)),ROUND(D2592*J2592*(1-N(F2592)),2),0))</f>
        <v/>
      </c>
      <c r="M2592" s="62" t="str">
        <f>IF(A2592="","",IFERROR(INDEX(fa_cname,MATCH(A2592,fa_num,0))&amp;"",""))</f>
        <v/>
      </c>
      <c r="N2592" s="59" t="str">
        <f>IF(COUNTA(A2592:G2592)=0,"",IF(A2592="","N° facture manquant",IF(ISNA(MATCH(A2592,fa_num,0)),"Facture inconnue",IF(AND(B2592&lt;&gt;"",ISNA(MATCH(B2592,pr_code,0))),"Article inconnu",IF(H2592="","Désignation manquante",IF(OR(NOT(ISNUMBER(D2592)),N(D2592)&lt;=0),"Quantité invalide",IF(J2592="","Prix manquant",IF(OR(NOT(ISNUMBER(J2592)),N(J2592)&lt;0),"Prix invalide",IF(OR(AND(F2592&lt;&gt;"",NOT(ISNUMBER(F2592))),N(F2592)&lt;0,N(F2592)&gt;1),"Remise invalide",IF(K2592="","Taux de TVA manquant",IF(NOT(ISNUMBER(K2592)),"Taux de TVA invalide",IF(COUNTIF(p_rates,K2592)=0,"Taux de TVA hors liste (Paramètres)",IF(N(O2592)&gt;25,"Au-delà de 25 lignes : non imprimée","OK")))))))))))))</f>
        <v/>
      </c>
      <c r="O2592" s="59" t="str">
        <f>IF(A2592="","",COUNTIF($A$6:A2592,A2592))</f>
        <v/>
      </c>
      <c r="P2592" s="62" t="str">
        <f>IF(A2592="","",A2592&amp;"|"&amp;O2592)</f>
        <v/>
      </c>
    </row>
    <row r="2593">
      <c r="A2593" s="60" t="n"/>
      <c r="B2593" s="63" t="n"/>
      <c r="C2593" s="63" t="n"/>
      <c r="D2593" s="67" t="n"/>
      <c r="E2593" s="68" t="n"/>
      <c r="F2593" s="69" t="n"/>
      <c r="G2593" s="70" t="n"/>
      <c r="H2593" s="62" t="str">
        <f>IF(COUNTA(A2593:G2593)=0,"",IF(C2593&lt;&gt;"",C2593,IF(B2593="","",IFERROR(INDEX(pr_des,MATCH(B2593,pr_code,0))&amp;"",""))))</f>
        <v/>
      </c>
      <c r="I2593" s="59" t="str">
        <f>IF(B2593="","",IFERROR(INDEX(pr_unit,MATCH(B2593,pr_code,0))&amp;"",""))</f>
        <v/>
      </c>
      <c r="J2593" s="65" t="str">
        <f>IF(COUNTA(A2593:G2593)=0,"",IF(E2593&lt;&gt;"",E2593,IF(B2593="","",IFERROR(IF(INDEX(pr_price,MATCH(B2593,pr_code,0))="","",INDEX(pr_price,MATCH(B2593,pr_code,0))),""))))</f>
        <v/>
      </c>
      <c r="K2593" s="71" t="str">
        <f>IF(COUNTA(A2593:G2593)=0,"",IF(G2593&lt;&gt;"",G2593,IF(B2593="","",IFERROR(IF(INDEX(pr_rate,MATCH(B2593,pr_code,0))="","",INDEX(pr_rate,MATCH(B2593,pr_code,0))),""))))</f>
        <v/>
      </c>
      <c r="L2593" s="65" t="str">
        <f>IF(COUNTA(A2593:G2593)=0,"",IF(AND(ISNUMBER(D2593),ISNUMBER(J2593)),ROUND(D2593*J2593*(1-N(F2593)),2),0))</f>
        <v/>
      </c>
      <c r="M2593" s="62" t="str">
        <f>IF(A2593="","",IFERROR(INDEX(fa_cname,MATCH(A2593,fa_num,0))&amp;"",""))</f>
        <v/>
      </c>
      <c r="N2593" s="59" t="str">
        <f>IF(COUNTA(A2593:G2593)=0,"",IF(A2593="","N° facture manquant",IF(ISNA(MATCH(A2593,fa_num,0)),"Facture inconnue",IF(AND(B2593&lt;&gt;"",ISNA(MATCH(B2593,pr_code,0))),"Article inconnu",IF(H2593="","Désignation manquante",IF(OR(NOT(ISNUMBER(D2593)),N(D2593)&lt;=0),"Quantité invalide",IF(J2593="","Prix manquant",IF(OR(NOT(ISNUMBER(J2593)),N(J2593)&lt;0),"Prix invalide",IF(OR(AND(F2593&lt;&gt;"",NOT(ISNUMBER(F2593))),N(F2593)&lt;0,N(F2593)&gt;1),"Remise invalide",IF(K2593="","Taux de TVA manquant",IF(NOT(ISNUMBER(K2593)),"Taux de TVA invalide",IF(COUNTIF(p_rates,K2593)=0,"Taux de TVA hors liste (Paramètres)",IF(N(O2593)&gt;25,"Au-delà de 25 lignes : non imprimée","OK")))))))))))))</f>
        <v/>
      </c>
      <c r="O2593" s="59" t="str">
        <f>IF(A2593="","",COUNTIF($A$6:A2593,A2593))</f>
        <v/>
      </c>
      <c r="P2593" s="62" t="str">
        <f>IF(A2593="","",A2593&amp;"|"&amp;O2593)</f>
        <v/>
      </c>
    </row>
    <row r="2594">
      <c r="A2594" s="60" t="n"/>
      <c r="B2594" s="63" t="n"/>
      <c r="C2594" s="63" t="n"/>
      <c r="D2594" s="67" t="n"/>
      <c r="E2594" s="68" t="n"/>
      <c r="F2594" s="69" t="n"/>
      <c r="G2594" s="70" t="n"/>
      <c r="H2594" s="62" t="str">
        <f>IF(COUNTA(A2594:G2594)=0,"",IF(C2594&lt;&gt;"",C2594,IF(B2594="","",IFERROR(INDEX(pr_des,MATCH(B2594,pr_code,0))&amp;"",""))))</f>
        <v/>
      </c>
      <c r="I2594" s="59" t="str">
        <f>IF(B2594="","",IFERROR(INDEX(pr_unit,MATCH(B2594,pr_code,0))&amp;"",""))</f>
        <v/>
      </c>
      <c r="J2594" s="65" t="str">
        <f>IF(COUNTA(A2594:G2594)=0,"",IF(E2594&lt;&gt;"",E2594,IF(B2594="","",IFERROR(IF(INDEX(pr_price,MATCH(B2594,pr_code,0))="","",INDEX(pr_price,MATCH(B2594,pr_code,0))),""))))</f>
        <v/>
      </c>
      <c r="K2594" s="71" t="str">
        <f>IF(COUNTA(A2594:G2594)=0,"",IF(G2594&lt;&gt;"",G2594,IF(B2594="","",IFERROR(IF(INDEX(pr_rate,MATCH(B2594,pr_code,0))="","",INDEX(pr_rate,MATCH(B2594,pr_code,0))),""))))</f>
        <v/>
      </c>
      <c r="L2594" s="65" t="str">
        <f>IF(COUNTA(A2594:G2594)=0,"",IF(AND(ISNUMBER(D2594),ISNUMBER(J2594)),ROUND(D2594*J2594*(1-N(F2594)),2),0))</f>
        <v/>
      </c>
      <c r="M2594" s="62" t="str">
        <f>IF(A2594="","",IFERROR(INDEX(fa_cname,MATCH(A2594,fa_num,0))&amp;"",""))</f>
        <v/>
      </c>
      <c r="N2594" s="59" t="str">
        <f>IF(COUNTA(A2594:G2594)=0,"",IF(A2594="","N° facture manquant",IF(ISNA(MATCH(A2594,fa_num,0)),"Facture inconnue",IF(AND(B2594&lt;&gt;"",ISNA(MATCH(B2594,pr_code,0))),"Article inconnu",IF(H2594="","Désignation manquante",IF(OR(NOT(ISNUMBER(D2594)),N(D2594)&lt;=0),"Quantité invalide",IF(J2594="","Prix manquant",IF(OR(NOT(ISNUMBER(J2594)),N(J2594)&lt;0),"Prix invalide",IF(OR(AND(F2594&lt;&gt;"",NOT(ISNUMBER(F2594))),N(F2594)&lt;0,N(F2594)&gt;1),"Remise invalide",IF(K2594="","Taux de TVA manquant",IF(NOT(ISNUMBER(K2594)),"Taux de TVA invalide",IF(COUNTIF(p_rates,K2594)=0,"Taux de TVA hors liste (Paramètres)",IF(N(O2594)&gt;25,"Au-delà de 25 lignes : non imprimée","OK")))))))))))))</f>
        <v/>
      </c>
      <c r="O2594" s="59" t="str">
        <f>IF(A2594="","",COUNTIF($A$6:A2594,A2594))</f>
        <v/>
      </c>
      <c r="P2594" s="62" t="str">
        <f>IF(A2594="","",A2594&amp;"|"&amp;O2594)</f>
        <v/>
      </c>
    </row>
    <row r="2595">
      <c r="A2595" s="60" t="n"/>
      <c r="B2595" s="63" t="n"/>
      <c r="C2595" s="63" t="n"/>
      <c r="D2595" s="67" t="n"/>
      <c r="E2595" s="68" t="n"/>
      <c r="F2595" s="69" t="n"/>
      <c r="G2595" s="70" t="n"/>
      <c r="H2595" s="62" t="str">
        <f>IF(COUNTA(A2595:G2595)=0,"",IF(C2595&lt;&gt;"",C2595,IF(B2595="","",IFERROR(INDEX(pr_des,MATCH(B2595,pr_code,0))&amp;"",""))))</f>
        <v/>
      </c>
      <c r="I2595" s="59" t="str">
        <f>IF(B2595="","",IFERROR(INDEX(pr_unit,MATCH(B2595,pr_code,0))&amp;"",""))</f>
        <v/>
      </c>
      <c r="J2595" s="65" t="str">
        <f>IF(COUNTA(A2595:G2595)=0,"",IF(E2595&lt;&gt;"",E2595,IF(B2595="","",IFERROR(IF(INDEX(pr_price,MATCH(B2595,pr_code,0))="","",INDEX(pr_price,MATCH(B2595,pr_code,0))),""))))</f>
        <v/>
      </c>
      <c r="K2595" s="71" t="str">
        <f>IF(COUNTA(A2595:G2595)=0,"",IF(G2595&lt;&gt;"",G2595,IF(B2595="","",IFERROR(IF(INDEX(pr_rate,MATCH(B2595,pr_code,0))="","",INDEX(pr_rate,MATCH(B2595,pr_code,0))),""))))</f>
        <v/>
      </c>
      <c r="L2595" s="65" t="str">
        <f>IF(COUNTA(A2595:G2595)=0,"",IF(AND(ISNUMBER(D2595),ISNUMBER(J2595)),ROUND(D2595*J2595*(1-N(F2595)),2),0))</f>
        <v/>
      </c>
      <c r="M2595" s="62" t="str">
        <f>IF(A2595="","",IFERROR(INDEX(fa_cname,MATCH(A2595,fa_num,0))&amp;"",""))</f>
        <v/>
      </c>
      <c r="N2595" s="59" t="str">
        <f>IF(COUNTA(A2595:G2595)=0,"",IF(A2595="","N° facture manquant",IF(ISNA(MATCH(A2595,fa_num,0)),"Facture inconnue",IF(AND(B2595&lt;&gt;"",ISNA(MATCH(B2595,pr_code,0))),"Article inconnu",IF(H2595="","Désignation manquante",IF(OR(NOT(ISNUMBER(D2595)),N(D2595)&lt;=0),"Quantité invalide",IF(J2595="","Prix manquant",IF(OR(NOT(ISNUMBER(J2595)),N(J2595)&lt;0),"Prix invalide",IF(OR(AND(F2595&lt;&gt;"",NOT(ISNUMBER(F2595))),N(F2595)&lt;0,N(F2595)&gt;1),"Remise invalide",IF(K2595="","Taux de TVA manquant",IF(NOT(ISNUMBER(K2595)),"Taux de TVA invalide",IF(COUNTIF(p_rates,K2595)=0,"Taux de TVA hors liste (Paramètres)",IF(N(O2595)&gt;25,"Au-delà de 25 lignes : non imprimée","OK")))))))))))))</f>
        <v/>
      </c>
      <c r="O2595" s="59" t="str">
        <f>IF(A2595="","",COUNTIF($A$6:A2595,A2595))</f>
        <v/>
      </c>
      <c r="P2595" s="62" t="str">
        <f>IF(A2595="","",A2595&amp;"|"&amp;O2595)</f>
        <v/>
      </c>
    </row>
    <row r="2596">
      <c r="A2596" s="60" t="n"/>
      <c r="B2596" s="63" t="n"/>
      <c r="C2596" s="63" t="n"/>
      <c r="D2596" s="67" t="n"/>
      <c r="E2596" s="68" t="n"/>
      <c r="F2596" s="69" t="n"/>
      <c r="G2596" s="70" t="n"/>
      <c r="H2596" s="62" t="str">
        <f>IF(COUNTA(A2596:G2596)=0,"",IF(C2596&lt;&gt;"",C2596,IF(B2596="","",IFERROR(INDEX(pr_des,MATCH(B2596,pr_code,0))&amp;"",""))))</f>
        <v/>
      </c>
      <c r="I2596" s="59" t="str">
        <f>IF(B2596="","",IFERROR(INDEX(pr_unit,MATCH(B2596,pr_code,0))&amp;"",""))</f>
        <v/>
      </c>
      <c r="J2596" s="65" t="str">
        <f>IF(COUNTA(A2596:G2596)=0,"",IF(E2596&lt;&gt;"",E2596,IF(B2596="","",IFERROR(IF(INDEX(pr_price,MATCH(B2596,pr_code,0))="","",INDEX(pr_price,MATCH(B2596,pr_code,0))),""))))</f>
        <v/>
      </c>
      <c r="K2596" s="71" t="str">
        <f>IF(COUNTA(A2596:G2596)=0,"",IF(G2596&lt;&gt;"",G2596,IF(B2596="","",IFERROR(IF(INDEX(pr_rate,MATCH(B2596,pr_code,0))="","",INDEX(pr_rate,MATCH(B2596,pr_code,0))),""))))</f>
        <v/>
      </c>
      <c r="L2596" s="65" t="str">
        <f>IF(COUNTA(A2596:G2596)=0,"",IF(AND(ISNUMBER(D2596),ISNUMBER(J2596)),ROUND(D2596*J2596*(1-N(F2596)),2),0))</f>
        <v/>
      </c>
      <c r="M2596" s="62" t="str">
        <f>IF(A2596="","",IFERROR(INDEX(fa_cname,MATCH(A2596,fa_num,0))&amp;"",""))</f>
        <v/>
      </c>
      <c r="N2596" s="59" t="str">
        <f>IF(COUNTA(A2596:G2596)=0,"",IF(A2596="","N° facture manquant",IF(ISNA(MATCH(A2596,fa_num,0)),"Facture inconnue",IF(AND(B2596&lt;&gt;"",ISNA(MATCH(B2596,pr_code,0))),"Article inconnu",IF(H2596="","Désignation manquante",IF(OR(NOT(ISNUMBER(D2596)),N(D2596)&lt;=0),"Quantité invalide",IF(J2596="","Prix manquant",IF(OR(NOT(ISNUMBER(J2596)),N(J2596)&lt;0),"Prix invalide",IF(OR(AND(F2596&lt;&gt;"",NOT(ISNUMBER(F2596))),N(F2596)&lt;0,N(F2596)&gt;1),"Remise invalide",IF(K2596="","Taux de TVA manquant",IF(NOT(ISNUMBER(K2596)),"Taux de TVA invalide",IF(COUNTIF(p_rates,K2596)=0,"Taux de TVA hors liste (Paramètres)",IF(N(O2596)&gt;25,"Au-delà de 25 lignes : non imprimée","OK")))))))))))))</f>
        <v/>
      </c>
      <c r="O2596" s="59" t="str">
        <f>IF(A2596="","",COUNTIF($A$6:A2596,A2596))</f>
        <v/>
      </c>
      <c r="P2596" s="62" t="str">
        <f>IF(A2596="","",A2596&amp;"|"&amp;O2596)</f>
        <v/>
      </c>
    </row>
    <row r="2597">
      <c r="A2597" s="60" t="n"/>
      <c r="B2597" s="63" t="n"/>
      <c r="C2597" s="63" t="n"/>
      <c r="D2597" s="67" t="n"/>
      <c r="E2597" s="68" t="n"/>
      <c r="F2597" s="69" t="n"/>
      <c r="G2597" s="70" t="n"/>
      <c r="H2597" s="62" t="str">
        <f>IF(COUNTA(A2597:G2597)=0,"",IF(C2597&lt;&gt;"",C2597,IF(B2597="","",IFERROR(INDEX(pr_des,MATCH(B2597,pr_code,0))&amp;"",""))))</f>
        <v/>
      </c>
      <c r="I2597" s="59" t="str">
        <f>IF(B2597="","",IFERROR(INDEX(pr_unit,MATCH(B2597,pr_code,0))&amp;"",""))</f>
        <v/>
      </c>
      <c r="J2597" s="65" t="str">
        <f>IF(COUNTA(A2597:G2597)=0,"",IF(E2597&lt;&gt;"",E2597,IF(B2597="","",IFERROR(IF(INDEX(pr_price,MATCH(B2597,pr_code,0))="","",INDEX(pr_price,MATCH(B2597,pr_code,0))),""))))</f>
        <v/>
      </c>
      <c r="K2597" s="71" t="str">
        <f>IF(COUNTA(A2597:G2597)=0,"",IF(G2597&lt;&gt;"",G2597,IF(B2597="","",IFERROR(IF(INDEX(pr_rate,MATCH(B2597,pr_code,0))="","",INDEX(pr_rate,MATCH(B2597,pr_code,0))),""))))</f>
        <v/>
      </c>
      <c r="L2597" s="65" t="str">
        <f>IF(COUNTA(A2597:G2597)=0,"",IF(AND(ISNUMBER(D2597),ISNUMBER(J2597)),ROUND(D2597*J2597*(1-N(F2597)),2),0))</f>
        <v/>
      </c>
      <c r="M2597" s="62" t="str">
        <f>IF(A2597="","",IFERROR(INDEX(fa_cname,MATCH(A2597,fa_num,0))&amp;"",""))</f>
        <v/>
      </c>
      <c r="N2597" s="59" t="str">
        <f>IF(COUNTA(A2597:G2597)=0,"",IF(A2597="","N° facture manquant",IF(ISNA(MATCH(A2597,fa_num,0)),"Facture inconnue",IF(AND(B2597&lt;&gt;"",ISNA(MATCH(B2597,pr_code,0))),"Article inconnu",IF(H2597="","Désignation manquante",IF(OR(NOT(ISNUMBER(D2597)),N(D2597)&lt;=0),"Quantité invalide",IF(J2597="","Prix manquant",IF(OR(NOT(ISNUMBER(J2597)),N(J2597)&lt;0),"Prix invalide",IF(OR(AND(F2597&lt;&gt;"",NOT(ISNUMBER(F2597))),N(F2597)&lt;0,N(F2597)&gt;1),"Remise invalide",IF(K2597="","Taux de TVA manquant",IF(NOT(ISNUMBER(K2597)),"Taux de TVA invalide",IF(COUNTIF(p_rates,K2597)=0,"Taux de TVA hors liste (Paramètres)",IF(N(O2597)&gt;25,"Au-delà de 25 lignes : non imprimée","OK")))))))))))))</f>
        <v/>
      </c>
      <c r="O2597" s="59" t="str">
        <f>IF(A2597="","",COUNTIF($A$6:A2597,A2597))</f>
        <v/>
      </c>
      <c r="P2597" s="62" t="str">
        <f>IF(A2597="","",A2597&amp;"|"&amp;O2597)</f>
        <v/>
      </c>
    </row>
    <row r="2598">
      <c r="A2598" s="60" t="n"/>
      <c r="B2598" s="63" t="n"/>
      <c r="C2598" s="63" t="n"/>
      <c r="D2598" s="67" t="n"/>
      <c r="E2598" s="68" t="n"/>
      <c r="F2598" s="69" t="n"/>
      <c r="G2598" s="70" t="n"/>
      <c r="H2598" s="62" t="str">
        <f>IF(COUNTA(A2598:G2598)=0,"",IF(C2598&lt;&gt;"",C2598,IF(B2598="","",IFERROR(INDEX(pr_des,MATCH(B2598,pr_code,0))&amp;"",""))))</f>
        <v/>
      </c>
      <c r="I2598" s="59" t="str">
        <f>IF(B2598="","",IFERROR(INDEX(pr_unit,MATCH(B2598,pr_code,0))&amp;"",""))</f>
        <v/>
      </c>
      <c r="J2598" s="65" t="str">
        <f>IF(COUNTA(A2598:G2598)=0,"",IF(E2598&lt;&gt;"",E2598,IF(B2598="","",IFERROR(IF(INDEX(pr_price,MATCH(B2598,pr_code,0))="","",INDEX(pr_price,MATCH(B2598,pr_code,0))),""))))</f>
        <v/>
      </c>
      <c r="K2598" s="71" t="str">
        <f>IF(COUNTA(A2598:G2598)=0,"",IF(G2598&lt;&gt;"",G2598,IF(B2598="","",IFERROR(IF(INDEX(pr_rate,MATCH(B2598,pr_code,0))="","",INDEX(pr_rate,MATCH(B2598,pr_code,0))),""))))</f>
        <v/>
      </c>
      <c r="L2598" s="65" t="str">
        <f>IF(COUNTA(A2598:G2598)=0,"",IF(AND(ISNUMBER(D2598),ISNUMBER(J2598)),ROUND(D2598*J2598*(1-N(F2598)),2),0))</f>
        <v/>
      </c>
      <c r="M2598" s="62" t="str">
        <f>IF(A2598="","",IFERROR(INDEX(fa_cname,MATCH(A2598,fa_num,0))&amp;"",""))</f>
        <v/>
      </c>
      <c r="N2598" s="59" t="str">
        <f>IF(COUNTA(A2598:G2598)=0,"",IF(A2598="","N° facture manquant",IF(ISNA(MATCH(A2598,fa_num,0)),"Facture inconnue",IF(AND(B2598&lt;&gt;"",ISNA(MATCH(B2598,pr_code,0))),"Article inconnu",IF(H2598="","Désignation manquante",IF(OR(NOT(ISNUMBER(D2598)),N(D2598)&lt;=0),"Quantité invalide",IF(J2598="","Prix manquant",IF(OR(NOT(ISNUMBER(J2598)),N(J2598)&lt;0),"Prix invalide",IF(OR(AND(F2598&lt;&gt;"",NOT(ISNUMBER(F2598))),N(F2598)&lt;0,N(F2598)&gt;1),"Remise invalide",IF(K2598="","Taux de TVA manquant",IF(NOT(ISNUMBER(K2598)),"Taux de TVA invalide",IF(COUNTIF(p_rates,K2598)=0,"Taux de TVA hors liste (Paramètres)",IF(N(O2598)&gt;25,"Au-delà de 25 lignes : non imprimée","OK")))))))))))))</f>
        <v/>
      </c>
      <c r="O2598" s="59" t="str">
        <f>IF(A2598="","",COUNTIF($A$6:A2598,A2598))</f>
        <v/>
      </c>
      <c r="P2598" s="62" t="str">
        <f>IF(A2598="","",A2598&amp;"|"&amp;O2598)</f>
        <v/>
      </c>
    </row>
    <row r="2599">
      <c r="A2599" s="60" t="n"/>
      <c r="B2599" s="63" t="n"/>
      <c r="C2599" s="63" t="n"/>
      <c r="D2599" s="67" t="n"/>
      <c r="E2599" s="68" t="n"/>
      <c r="F2599" s="69" t="n"/>
      <c r="G2599" s="70" t="n"/>
      <c r="H2599" s="62" t="str">
        <f>IF(COUNTA(A2599:G2599)=0,"",IF(C2599&lt;&gt;"",C2599,IF(B2599="","",IFERROR(INDEX(pr_des,MATCH(B2599,pr_code,0))&amp;"",""))))</f>
        <v/>
      </c>
      <c r="I2599" s="59" t="str">
        <f>IF(B2599="","",IFERROR(INDEX(pr_unit,MATCH(B2599,pr_code,0))&amp;"",""))</f>
        <v/>
      </c>
      <c r="J2599" s="65" t="str">
        <f>IF(COUNTA(A2599:G2599)=0,"",IF(E2599&lt;&gt;"",E2599,IF(B2599="","",IFERROR(IF(INDEX(pr_price,MATCH(B2599,pr_code,0))="","",INDEX(pr_price,MATCH(B2599,pr_code,0))),""))))</f>
        <v/>
      </c>
      <c r="K2599" s="71" t="str">
        <f>IF(COUNTA(A2599:G2599)=0,"",IF(G2599&lt;&gt;"",G2599,IF(B2599="","",IFERROR(IF(INDEX(pr_rate,MATCH(B2599,pr_code,0))="","",INDEX(pr_rate,MATCH(B2599,pr_code,0))),""))))</f>
        <v/>
      </c>
      <c r="L2599" s="65" t="str">
        <f>IF(COUNTA(A2599:G2599)=0,"",IF(AND(ISNUMBER(D2599),ISNUMBER(J2599)),ROUND(D2599*J2599*(1-N(F2599)),2),0))</f>
        <v/>
      </c>
      <c r="M2599" s="62" t="str">
        <f>IF(A2599="","",IFERROR(INDEX(fa_cname,MATCH(A2599,fa_num,0))&amp;"",""))</f>
        <v/>
      </c>
      <c r="N2599" s="59" t="str">
        <f>IF(COUNTA(A2599:G2599)=0,"",IF(A2599="","N° facture manquant",IF(ISNA(MATCH(A2599,fa_num,0)),"Facture inconnue",IF(AND(B2599&lt;&gt;"",ISNA(MATCH(B2599,pr_code,0))),"Article inconnu",IF(H2599="","Désignation manquante",IF(OR(NOT(ISNUMBER(D2599)),N(D2599)&lt;=0),"Quantité invalide",IF(J2599="","Prix manquant",IF(OR(NOT(ISNUMBER(J2599)),N(J2599)&lt;0),"Prix invalide",IF(OR(AND(F2599&lt;&gt;"",NOT(ISNUMBER(F2599))),N(F2599)&lt;0,N(F2599)&gt;1),"Remise invalide",IF(K2599="","Taux de TVA manquant",IF(NOT(ISNUMBER(K2599)),"Taux de TVA invalide",IF(COUNTIF(p_rates,K2599)=0,"Taux de TVA hors liste (Paramètres)",IF(N(O2599)&gt;25,"Au-delà de 25 lignes : non imprimée","OK")))))))))))))</f>
        <v/>
      </c>
      <c r="O2599" s="59" t="str">
        <f>IF(A2599="","",COUNTIF($A$6:A2599,A2599))</f>
        <v/>
      </c>
      <c r="P2599" s="62" t="str">
        <f>IF(A2599="","",A2599&amp;"|"&amp;O2599)</f>
        <v/>
      </c>
    </row>
    <row r="2600">
      <c r="A2600" s="60" t="n"/>
      <c r="B2600" s="63" t="n"/>
      <c r="C2600" s="63" t="n"/>
      <c r="D2600" s="67" t="n"/>
      <c r="E2600" s="68" t="n"/>
      <c r="F2600" s="69" t="n"/>
      <c r="G2600" s="70" t="n"/>
      <c r="H2600" s="62" t="str">
        <f>IF(COUNTA(A2600:G2600)=0,"",IF(C2600&lt;&gt;"",C2600,IF(B2600="","",IFERROR(INDEX(pr_des,MATCH(B2600,pr_code,0))&amp;"",""))))</f>
        <v/>
      </c>
      <c r="I2600" s="59" t="str">
        <f>IF(B2600="","",IFERROR(INDEX(pr_unit,MATCH(B2600,pr_code,0))&amp;"",""))</f>
        <v/>
      </c>
      <c r="J2600" s="65" t="str">
        <f>IF(COUNTA(A2600:G2600)=0,"",IF(E2600&lt;&gt;"",E2600,IF(B2600="","",IFERROR(IF(INDEX(pr_price,MATCH(B2600,pr_code,0))="","",INDEX(pr_price,MATCH(B2600,pr_code,0))),""))))</f>
        <v/>
      </c>
      <c r="K2600" s="71" t="str">
        <f>IF(COUNTA(A2600:G2600)=0,"",IF(G2600&lt;&gt;"",G2600,IF(B2600="","",IFERROR(IF(INDEX(pr_rate,MATCH(B2600,pr_code,0))="","",INDEX(pr_rate,MATCH(B2600,pr_code,0))),""))))</f>
        <v/>
      </c>
      <c r="L2600" s="65" t="str">
        <f>IF(COUNTA(A2600:G2600)=0,"",IF(AND(ISNUMBER(D2600),ISNUMBER(J2600)),ROUND(D2600*J2600*(1-N(F2600)),2),0))</f>
        <v/>
      </c>
      <c r="M2600" s="62" t="str">
        <f>IF(A2600="","",IFERROR(INDEX(fa_cname,MATCH(A2600,fa_num,0))&amp;"",""))</f>
        <v/>
      </c>
      <c r="N2600" s="59" t="str">
        <f>IF(COUNTA(A2600:G2600)=0,"",IF(A2600="","N° facture manquant",IF(ISNA(MATCH(A2600,fa_num,0)),"Facture inconnue",IF(AND(B2600&lt;&gt;"",ISNA(MATCH(B2600,pr_code,0))),"Article inconnu",IF(H2600="","Désignation manquante",IF(OR(NOT(ISNUMBER(D2600)),N(D2600)&lt;=0),"Quantité invalide",IF(J2600="","Prix manquant",IF(OR(NOT(ISNUMBER(J2600)),N(J2600)&lt;0),"Prix invalide",IF(OR(AND(F2600&lt;&gt;"",NOT(ISNUMBER(F2600))),N(F2600)&lt;0,N(F2600)&gt;1),"Remise invalide",IF(K2600="","Taux de TVA manquant",IF(NOT(ISNUMBER(K2600)),"Taux de TVA invalide",IF(COUNTIF(p_rates,K2600)=0,"Taux de TVA hors liste (Paramètres)",IF(N(O2600)&gt;25,"Au-delà de 25 lignes : non imprimée","OK")))))))))))))</f>
        <v/>
      </c>
      <c r="O2600" s="59" t="str">
        <f>IF(A2600="","",COUNTIF($A$6:A2600,A2600))</f>
        <v/>
      </c>
      <c r="P2600" s="62" t="str">
        <f>IF(A2600="","",A2600&amp;"|"&amp;O2600)</f>
        <v/>
      </c>
    </row>
    <row r="2601">
      <c r="A2601" s="60" t="n"/>
      <c r="B2601" s="63" t="n"/>
      <c r="C2601" s="63" t="n"/>
      <c r="D2601" s="67" t="n"/>
      <c r="E2601" s="68" t="n"/>
      <c r="F2601" s="69" t="n"/>
      <c r="G2601" s="70" t="n"/>
      <c r="H2601" s="62" t="str">
        <f>IF(COUNTA(A2601:G2601)=0,"",IF(C2601&lt;&gt;"",C2601,IF(B2601="","",IFERROR(INDEX(pr_des,MATCH(B2601,pr_code,0))&amp;"",""))))</f>
        <v/>
      </c>
      <c r="I2601" s="59" t="str">
        <f>IF(B2601="","",IFERROR(INDEX(pr_unit,MATCH(B2601,pr_code,0))&amp;"",""))</f>
        <v/>
      </c>
      <c r="J2601" s="65" t="str">
        <f>IF(COUNTA(A2601:G2601)=0,"",IF(E2601&lt;&gt;"",E2601,IF(B2601="","",IFERROR(IF(INDEX(pr_price,MATCH(B2601,pr_code,0))="","",INDEX(pr_price,MATCH(B2601,pr_code,0))),""))))</f>
        <v/>
      </c>
      <c r="K2601" s="71" t="str">
        <f>IF(COUNTA(A2601:G2601)=0,"",IF(G2601&lt;&gt;"",G2601,IF(B2601="","",IFERROR(IF(INDEX(pr_rate,MATCH(B2601,pr_code,0))="","",INDEX(pr_rate,MATCH(B2601,pr_code,0))),""))))</f>
        <v/>
      </c>
      <c r="L2601" s="65" t="str">
        <f>IF(COUNTA(A2601:G2601)=0,"",IF(AND(ISNUMBER(D2601),ISNUMBER(J2601)),ROUND(D2601*J2601*(1-N(F2601)),2),0))</f>
        <v/>
      </c>
      <c r="M2601" s="62" t="str">
        <f>IF(A2601="","",IFERROR(INDEX(fa_cname,MATCH(A2601,fa_num,0))&amp;"",""))</f>
        <v/>
      </c>
      <c r="N2601" s="59" t="str">
        <f>IF(COUNTA(A2601:G2601)=0,"",IF(A2601="","N° facture manquant",IF(ISNA(MATCH(A2601,fa_num,0)),"Facture inconnue",IF(AND(B2601&lt;&gt;"",ISNA(MATCH(B2601,pr_code,0))),"Article inconnu",IF(H2601="","Désignation manquante",IF(OR(NOT(ISNUMBER(D2601)),N(D2601)&lt;=0),"Quantité invalide",IF(J2601="","Prix manquant",IF(OR(NOT(ISNUMBER(J2601)),N(J2601)&lt;0),"Prix invalide",IF(OR(AND(F2601&lt;&gt;"",NOT(ISNUMBER(F2601))),N(F2601)&lt;0,N(F2601)&gt;1),"Remise invalide",IF(K2601="","Taux de TVA manquant",IF(NOT(ISNUMBER(K2601)),"Taux de TVA invalide",IF(COUNTIF(p_rates,K2601)=0,"Taux de TVA hors liste (Paramètres)",IF(N(O2601)&gt;25,"Au-delà de 25 lignes : non imprimée","OK")))))))))))))</f>
        <v/>
      </c>
      <c r="O2601" s="59" t="str">
        <f>IF(A2601="","",COUNTIF($A$6:A2601,A2601))</f>
        <v/>
      </c>
      <c r="P2601" s="62" t="str">
        <f>IF(A2601="","",A2601&amp;"|"&amp;O2601)</f>
        <v/>
      </c>
    </row>
    <row r="2602">
      <c r="A2602" s="60" t="n"/>
      <c r="B2602" s="63" t="n"/>
      <c r="C2602" s="63" t="n"/>
      <c r="D2602" s="67" t="n"/>
      <c r="E2602" s="68" t="n"/>
      <c r="F2602" s="69" t="n"/>
      <c r="G2602" s="70" t="n"/>
      <c r="H2602" s="62" t="str">
        <f>IF(COUNTA(A2602:G2602)=0,"",IF(C2602&lt;&gt;"",C2602,IF(B2602="","",IFERROR(INDEX(pr_des,MATCH(B2602,pr_code,0))&amp;"",""))))</f>
        <v/>
      </c>
      <c r="I2602" s="59" t="str">
        <f>IF(B2602="","",IFERROR(INDEX(pr_unit,MATCH(B2602,pr_code,0))&amp;"",""))</f>
        <v/>
      </c>
      <c r="J2602" s="65" t="str">
        <f>IF(COUNTA(A2602:G2602)=0,"",IF(E2602&lt;&gt;"",E2602,IF(B2602="","",IFERROR(IF(INDEX(pr_price,MATCH(B2602,pr_code,0))="","",INDEX(pr_price,MATCH(B2602,pr_code,0))),""))))</f>
        <v/>
      </c>
      <c r="K2602" s="71" t="str">
        <f>IF(COUNTA(A2602:G2602)=0,"",IF(G2602&lt;&gt;"",G2602,IF(B2602="","",IFERROR(IF(INDEX(pr_rate,MATCH(B2602,pr_code,0))="","",INDEX(pr_rate,MATCH(B2602,pr_code,0))),""))))</f>
        <v/>
      </c>
      <c r="L2602" s="65" t="str">
        <f>IF(COUNTA(A2602:G2602)=0,"",IF(AND(ISNUMBER(D2602),ISNUMBER(J2602)),ROUND(D2602*J2602*(1-N(F2602)),2),0))</f>
        <v/>
      </c>
      <c r="M2602" s="62" t="str">
        <f>IF(A2602="","",IFERROR(INDEX(fa_cname,MATCH(A2602,fa_num,0))&amp;"",""))</f>
        <v/>
      </c>
      <c r="N2602" s="59" t="str">
        <f>IF(COUNTA(A2602:G2602)=0,"",IF(A2602="","N° facture manquant",IF(ISNA(MATCH(A2602,fa_num,0)),"Facture inconnue",IF(AND(B2602&lt;&gt;"",ISNA(MATCH(B2602,pr_code,0))),"Article inconnu",IF(H2602="","Désignation manquante",IF(OR(NOT(ISNUMBER(D2602)),N(D2602)&lt;=0),"Quantité invalide",IF(J2602="","Prix manquant",IF(OR(NOT(ISNUMBER(J2602)),N(J2602)&lt;0),"Prix invalide",IF(OR(AND(F2602&lt;&gt;"",NOT(ISNUMBER(F2602))),N(F2602)&lt;0,N(F2602)&gt;1),"Remise invalide",IF(K2602="","Taux de TVA manquant",IF(NOT(ISNUMBER(K2602)),"Taux de TVA invalide",IF(COUNTIF(p_rates,K2602)=0,"Taux de TVA hors liste (Paramètres)",IF(N(O2602)&gt;25,"Au-delà de 25 lignes : non imprimée","OK")))))))))))))</f>
        <v/>
      </c>
      <c r="O2602" s="59" t="str">
        <f>IF(A2602="","",COUNTIF($A$6:A2602,A2602))</f>
        <v/>
      </c>
      <c r="P2602" s="62" t="str">
        <f>IF(A2602="","",A2602&amp;"|"&amp;O2602)</f>
        <v/>
      </c>
    </row>
    <row r="2603">
      <c r="A2603" s="60" t="n"/>
      <c r="B2603" s="63" t="n"/>
      <c r="C2603" s="63" t="n"/>
      <c r="D2603" s="67" t="n"/>
      <c r="E2603" s="68" t="n"/>
      <c r="F2603" s="69" t="n"/>
      <c r="G2603" s="70" t="n"/>
      <c r="H2603" s="62" t="str">
        <f>IF(COUNTA(A2603:G2603)=0,"",IF(C2603&lt;&gt;"",C2603,IF(B2603="","",IFERROR(INDEX(pr_des,MATCH(B2603,pr_code,0))&amp;"",""))))</f>
        <v/>
      </c>
      <c r="I2603" s="59" t="str">
        <f>IF(B2603="","",IFERROR(INDEX(pr_unit,MATCH(B2603,pr_code,0))&amp;"",""))</f>
        <v/>
      </c>
      <c r="J2603" s="65" t="str">
        <f>IF(COUNTA(A2603:G2603)=0,"",IF(E2603&lt;&gt;"",E2603,IF(B2603="","",IFERROR(IF(INDEX(pr_price,MATCH(B2603,pr_code,0))="","",INDEX(pr_price,MATCH(B2603,pr_code,0))),""))))</f>
        <v/>
      </c>
      <c r="K2603" s="71" t="str">
        <f>IF(COUNTA(A2603:G2603)=0,"",IF(G2603&lt;&gt;"",G2603,IF(B2603="","",IFERROR(IF(INDEX(pr_rate,MATCH(B2603,pr_code,0))="","",INDEX(pr_rate,MATCH(B2603,pr_code,0))),""))))</f>
        <v/>
      </c>
      <c r="L2603" s="65" t="str">
        <f>IF(COUNTA(A2603:G2603)=0,"",IF(AND(ISNUMBER(D2603),ISNUMBER(J2603)),ROUND(D2603*J2603*(1-N(F2603)),2),0))</f>
        <v/>
      </c>
      <c r="M2603" s="62" t="str">
        <f>IF(A2603="","",IFERROR(INDEX(fa_cname,MATCH(A2603,fa_num,0))&amp;"",""))</f>
        <v/>
      </c>
      <c r="N2603" s="59" t="str">
        <f>IF(COUNTA(A2603:G2603)=0,"",IF(A2603="","N° facture manquant",IF(ISNA(MATCH(A2603,fa_num,0)),"Facture inconnue",IF(AND(B2603&lt;&gt;"",ISNA(MATCH(B2603,pr_code,0))),"Article inconnu",IF(H2603="","Désignation manquante",IF(OR(NOT(ISNUMBER(D2603)),N(D2603)&lt;=0),"Quantité invalide",IF(J2603="","Prix manquant",IF(OR(NOT(ISNUMBER(J2603)),N(J2603)&lt;0),"Prix invalide",IF(OR(AND(F2603&lt;&gt;"",NOT(ISNUMBER(F2603))),N(F2603)&lt;0,N(F2603)&gt;1),"Remise invalide",IF(K2603="","Taux de TVA manquant",IF(NOT(ISNUMBER(K2603)),"Taux de TVA invalide",IF(COUNTIF(p_rates,K2603)=0,"Taux de TVA hors liste (Paramètres)",IF(N(O2603)&gt;25,"Au-delà de 25 lignes : non imprimée","OK")))))))))))))</f>
        <v/>
      </c>
      <c r="O2603" s="59" t="str">
        <f>IF(A2603="","",COUNTIF($A$6:A2603,A2603))</f>
        <v/>
      </c>
      <c r="P2603" s="62" t="str">
        <f>IF(A2603="","",A2603&amp;"|"&amp;O2603)</f>
        <v/>
      </c>
    </row>
    <row r="2604">
      <c r="A2604" s="60" t="n"/>
      <c r="B2604" s="63" t="n"/>
      <c r="C2604" s="63" t="n"/>
      <c r="D2604" s="67" t="n"/>
      <c r="E2604" s="68" t="n"/>
      <c r="F2604" s="69" t="n"/>
      <c r="G2604" s="70" t="n"/>
      <c r="H2604" s="62" t="str">
        <f>IF(COUNTA(A2604:G2604)=0,"",IF(C2604&lt;&gt;"",C2604,IF(B2604="","",IFERROR(INDEX(pr_des,MATCH(B2604,pr_code,0))&amp;"",""))))</f>
        <v/>
      </c>
      <c r="I2604" s="59" t="str">
        <f>IF(B2604="","",IFERROR(INDEX(pr_unit,MATCH(B2604,pr_code,0))&amp;"",""))</f>
        <v/>
      </c>
      <c r="J2604" s="65" t="str">
        <f>IF(COUNTA(A2604:G2604)=0,"",IF(E2604&lt;&gt;"",E2604,IF(B2604="","",IFERROR(IF(INDEX(pr_price,MATCH(B2604,pr_code,0))="","",INDEX(pr_price,MATCH(B2604,pr_code,0))),""))))</f>
        <v/>
      </c>
      <c r="K2604" s="71" t="str">
        <f>IF(COUNTA(A2604:G2604)=0,"",IF(G2604&lt;&gt;"",G2604,IF(B2604="","",IFERROR(IF(INDEX(pr_rate,MATCH(B2604,pr_code,0))="","",INDEX(pr_rate,MATCH(B2604,pr_code,0))),""))))</f>
        <v/>
      </c>
      <c r="L2604" s="65" t="str">
        <f>IF(COUNTA(A2604:G2604)=0,"",IF(AND(ISNUMBER(D2604),ISNUMBER(J2604)),ROUND(D2604*J2604*(1-N(F2604)),2),0))</f>
        <v/>
      </c>
      <c r="M2604" s="62" t="str">
        <f>IF(A2604="","",IFERROR(INDEX(fa_cname,MATCH(A2604,fa_num,0))&amp;"",""))</f>
        <v/>
      </c>
      <c r="N2604" s="59" t="str">
        <f>IF(COUNTA(A2604:G2604)=0,"",IF(A2604="","N° facture manquant",IF(ISNA(MATCH(A2604,fa_num,0)),"Facture inconnue",IF(AND(B2604&lt;&gt;"",ISNA(MATCH(B2604,pr_code,0))),"Article inconnu",IF(H2604="","Désignation manquante",IF(OR(NOT(ISNUMBER(D2604)),N(D2604)&lt;=0),"Quantité invalide",IF(J2604="","Prix manquant",IF(OR(NOT(ISNUMBER(J2604)),N(J2604)&lt;0),"Prix invalide",IF(OR(AND(F2604&lt;&gt;"",NOT(ISNUMBER(F2604))),N(F2604)&lt;0,N(F2604)&gt;1),"Remise invalide",IF(K2604="","Taux de TVA manquant",IF(NOT(ISNUMBER(K2604)),"Taux de TVA invalide",IF(COUNTIF(p_rates,K2604)=0,"Taux de TVA hors liste (Paramètres)",IF(N(O2604)&gt;25,"Au-delà de 25 lignes : non imprimée","OK")))))))))))))</f>
        <v/>
      </c>
      <c r="O2604" s="59" t="str">
        <f>IF(A2604="","",COUNTIF($A$6:A2604,A2604))</f>
        <v/>
      </c>
      <c r="P2604" s="62" t="str">
        <f>IF(A2604="","",A2604&amp;"|"&amp;O2604)</f>
        <v/>
      </c>
    </row>
    <row r="2605">
      <c r="A2605" s="60" t="n"/>
      <c r="B2605" s="63" t="n"/>
      <c r="C2605" s="63" t="n"/>
      <c r="D2605" s="67" t="n"/>
      <c r="E2605" s="68" t="n"/>
      <c r="F2605" s="69" t="n"/>
      <c r="G2605" s="70" t="n"/>
      <c r="H2605" s="62" t="str">
        <f>IF(COUNTA(A2605:G2605)=0,"",IF(C2605&lt;&gt;"",C2605,IF(B2605="","",IFERROR(INDEX(pr_des,MATCH(B2605,pr_code,0))&amp;"",""))))</f>
        <v/>
      </c>
      <c r="I2605" s="59" t="str">
        <f>IF(B2605="","",IFERROR(INDEX(pr_unit,MATCH(B2605,pr_code,0))&amp;"",""))</f>
        <v/>
      </c>
      <c r="J2605" s="65" t="str">
        <f>IF(COUNTA(A2605:G2605)=0,"",IF(E2605&lt;&gt;"",E2605,IF(B2605="","",IFERROR(IF(INDEX(pr_price,MATCH(B2605,pr_code,0))="","",INDEX(pr_price,MATCH(B2605,pr_code,0))),""))))</f>
        <v/>
      </c>
      <c r="K2605" s="71" t="str">
        <f>IF(COUNTA(A2605:G2605)=0,"",IF(G2605&lt;&gt;"",G2605,IF(B2605="","",IFERROR(IF(INDEX(pr_rate,MATCH(B2605,pr_code,0))="","",INDEX(pr_rate,MATCH(B2605,pr_code,0))),""))))</f>
        <v/>
      </c>
      <c r="L2605" s="65" t="str">
        <f>IF(COUNTA(A2605:G2605)=0,"",IF(AND(ISNUMBER(D2605),ISNUMBER(J2605)),ROUND(D2605*J2605*(1-N(F2605)),2),0))</f>
        <v/>
      </c>
      <c r="M2605" s="62" t="str">
        <f>IF(A2605="","",IFERROR(INDEX(fa_cname,MATCH(A2605,fa_num,0))&amp;"",""))</f>
        <v/>
      </c>
      <c r="N2605" s="59" t="str">
        <f>IF(COUNTA(A2605:G2605)=0,"",IF(A2605="","N° facture manquant",IF(ISNA(MATCH(A2605,fa_num,0)),"Facture inconnue",IF(AND(B2605&lt;&gt;"",ISNA(MATCH(B2605,pr_code,0))),"Article inconnu",IF(H2605="","Désignation manquante",IF(OR(NOT(ISNUMBER(D2605)),N(D2605)&lt;=0),"Quantité invalide",IF(J2605="","Prix manquant",IF(OR(NOT(ISNUMBER(J2605)),N(J2605)&lt;0),"Prix invalide",IF(OR(AND(F2605&lt;&gt;"",NOT(ISNUMBER(F2605))),N(F2605)&lt;0,N(F2605)&gt;1),"Remise invalide",IF(K2605="","Taux de TVA manquant",IF(NOT(ISNUMBER(K2605)),"Taux de TVA invalide",IF(COUNTIF(p_rates,K2605)=0,"Taux de TVA hors liste (Paramètres)",IF(N(O2605)&gt;25,"Au-delà de 25 lignes : non imprimée","OK")))))))))))))</f>
        <v/>
      </c>
      <c r="O2605" s="59" t="str">
        <f>IF(A2605="","",COUNTIF($A$6:A2605,A2605))</f>
        <v/>
      </c>
      <c r="P2605" s="62" t="str">
        <f>IF(A2605="","",A2605&amp;"|"&amp;O2605)</f>
        <v/>
      </c>
    </row>
    <row r="2606">
      <c r="A2606" s="60" t="n"/>
      <c r="B2606" s="63" t="n"/>
      <c r="C2606" s="63" t="n"/>
      <c r="D2606" s="67" t="n"/>
      <c r="E2606" s="68" t="n"/>
      <c r="F2606" s="69" t="n"/>
      <c r="G2606" s="70" t="n"/>
      <c r="H2606" s="62" t="str">
        <f>IF(COUNTA(A2606:G2606)=0,"",IF(C2606&lt;&gt;"",C2606,IF(B2606="","",IFERROR(INDEX(pr_des,MATCH(B2606,pr_code,0))&amp;"",""))))</f>
        <v/>
      </c>
      <c r="I2606" s="59" t="str">
        <f>IF(B2606="","",IFERROR(INDEX(pr_unit,MATCH(B2606,pr_code,0))&amp;"",""))</f>
        <v/>
      </c>
      <c r="J2606" s="65" t="str">
        <f>IF(COUNTA(A2606:G2606)=0,"",IF(E2606&lt;&gt;"",E2606,IF(B2606="","",IFERROR(IF(INDEX(pr_price,MATCH(B2606,pr_code,0))="","",INDEX(pr_price,MATCH(B2606,pr_code,0))),""))))</f>
        <v/>
      </c>
      <c r="K2606" s="71" t="str">
        <f>IF(COUNTA(A2606:G2606)=0,"",IF(G2606&lt;&gt;"",G2606,IF(B2606="","",IFERROR(IF(INDEX(pr_rate,MATCH(B2606,pr_code,0))="","",INDEX(pr_rate,MATCH(B2606,pr_code,0))),""))))</f>
        <v/>
      </c>
      <c r="L2606" s="65" t="str">
        <f>IF(COUNTA(A2606:G2606)=0,"",IF(AND(ISNUMBER(D2606),ISNUMBER(J2606)),ROUND(D2606*J2606*(1-N(F2606)),2),0))</f>
        <v/>
      </c>
      <c r="M2606" s="62" t="str">
        <f>IF(A2606="","",IFERROR(INDEX(fa_cname,MATCH(A2606,fa_num,0))&amp;"",""))</f>
        <v/>
      </c>
      <c r="N2606" s="59" t="str">
        <f>IF(COUNTA(A2606:G2606)=0,"",IF(A2606="","N° facture manquant",IF(ISNA(MATCH(A2606,fa_num,0)),"Facture inconnue",IF(AND(B2606&lt;&gt;"",ISNA(MATCH(B2606,pr_code,0))),"Article inconnu",IF(H2606="","Désignation manquante",IF(OR(NOT(ISNUMBER(D2606)),N(D2606)&lt;=0),"Quantité invalide",IF(J2606="","Prix manquant",IF(OR(NOT(ISNUMBER(J2606)),N(J2606)&lt;0),"Prix invalide",IF(OR(AND(F2606&lt;&gt;"",NOT(ISNUMBER(F2606))),N(F2606)&lt;0,N(F2606)&gt;1),"Remise invalide",IF(K2606="","Taux de TVA manquant",IF(NOT(ISNUMBER(K2606)),"Taux de TVA invalide",IF(COUNTIF(p_rates,K2606)=0,"Taux de TVA hors liste (Paramètres)",IF(N(O2606)&gt;25,"Au-delà de 25 lignes : non imprimée","OK")))))))))))))</f>
        <v/>
      </c>
      <c r="O2606" s="59" t="str">
        <f>IF(A2606="","",COUNTIF($A$6:A2606,A2606))</f>
        <v/>
      </c>
      <c r="P2606" s="62" t="str">
        <f>IF(A2606="","",A2606&amp;"|"&amp;O2606)</f>
        <v/>
      </c>
    </row>
    <row r="2607">
      <c r="A2607" s="60" t="n"/>
      <c r="B2607" s="63" t="n"/>
      <c r="C2607" s="63" t="n"/>
      <c r="D2607" s="67" t="n"/>
      <c r="E2607" s="68" t="n"/>
      <c r="F2607" s="69" t="n"/>
      <c r="G2607" s="70" t="n"/>
      <c r="H2607" s="62" t="str">
        <f>IF(COUNTA(A2607:G2607)=0,"",IF(C2607&lt;&gt;"",C2607,IF(B2607="","",IFERROR(INDEX(pr_des,MATCH(B2607,pr_code,0))&amp;"",""))))</f>
        <v/>
      </c>
      <c r="I2607" s="59" t="str">
        <f>IF(B2607="","",IFERROR(INDEX(pr_unit,MATCH(B2607,pr_code,0))&amp;"",""))</f>
        <v/>
      </c>
      <c r="J2607" s="65" t="str">
        <f>IF(COUNTA(A2607:G2607)=0,"",IF(E2607&lt;&gt;"",E2607,IF(B2607="","",IFERROR(IF(INDEX(pr_price,MATCH(B2607,pr_code,0))="","",INDEX(pr_price,MATCH(B2607,pr_code,0))),""))))</f>
        <v/>
      </c>
      <c r="K2607" s="71" t="str">
        <f>IF(COUNTA(A2607:G2607)=0,"",IF(G2607&lt;&gt;"",G2607,IF(B2607="","",IFERROR(IF(INDEX(pr_rate,MATCH(B2607,pr_code,0))="","",INDEX(pr_rate,MATCH(B2607,pr_code,0))),""))))</f>
        <v/>
      </c>
      <c r="L2607" s="65" t="str">
        <f>IF(COUNTA(A2607:G2607)=0,"",IF(AND(ISNUMBER(D2607),ISNUMBER(J2607)),ROUND(D2607*J2607*(1-N(F2607)),2),0))</f>
        <v/>
      </c>
      <c r="M2607" s="62" t="str">
        <f>IF(A2607="","",IFERROR(INDEX(fa_cname,MATCH(A2607,fa_num,0))&amp;"",""))</f>
        <v/>
      </c>
      <c r="N2607" s="59" t="str">
        <f>IF(COUNTA(A2607:G2607)=0,"",IF(A2607="","N° facture manquant",IF(ISNA(MATCH(A2607,fa_num,0)),"Facture inconnue",IF(AND(B2607&lt;&gt;"",ISNA(MATCH(B2607,pr_code,0))),"Article inconnu",IF(H2607="","Désignation manquante",IF(OR(NOT(ISNUMBER(D2607)),N(D2607)&lt;=0),"Quantité invalide",IF(J2607="","Prix manquant",IF(OR(NOT(ISNUMBER(J2607)),N(J2607)&lt;0),"Prix invalide",IF(OR(AND(F2607&lt;&gt;"",NOT(ISNUMBER(F2607))),N(F2607)&lt;0,N(F2607)&gt;1),"Remise invalide",IF(K2607="","Taux de TVA manquant",IF(NOT(ISNUMBER(K2607)),"Taux de TVA invalide",IF(COUNTIF(p_rates,K2607)=0,"Taux de TVA hors liste (Paramètres)",IF(N(O2607)&gt;25,"Au-delà de 25 lignes : non imprimée","OK")))))))))))))</f>
        <v/>
      </c>
      <c r="O2607" s="59" t="str">
        <f>IF(A2607="","",COUNTIF($A$6:A2607,A2607))</f>
        <v/>
      </c>
      <c r="P2607" s="62" t="str">
        <f>IF(A2607="","",A2607&amp;"|"&amp;O2607)</f>
        <v/>
      </c>
    </row>
    <row r="2608">
      <c r="A2608" s="60" t="n"/>
      <c r="B2608" s="63" t="n"/>
      <c r="C2608" s="63" t="n"/>
      <c r="D2608" s="67" t="n"/>
      <c r="E2608" s="68" t="n"/>
      <c r="F2608" s="69" t="n"/>
      <c r="G2608" s="70" t="n"/>
      <c r="H2608" s="62" t="str">
        <f>IF(COUNTA(A2608:G2608)=0,"",IF(C2608&lt;&gt;"",C2608,IF(B2608="","",IFERROR(INDEX(pr_des,MATCH(B2608,pr_code,0))&amp;"",""))))</f>
        <v/>
      </c>
      <c r="I2608" s="59" t="str">
        <f>IF(B2608="","",IFERROR(INDEX(pr_unit,MATCH(B2608,pr_code,0))&amp;"",""))</f>
        <v/>
      </c>
      <c r="J2608" s="65" t="str">
        <f>IF(COUNTA(A2608:G2608)=0,"",IF(E2608&lt;&gt;"",E2608,IF(B2608="","",IFERROR(IF(INDEX(pr_price,MATCH(B2608,pr_code,0))="","",INDEX(pr_price,MATCH(B2608,pr_code,0))),""))))</f>
        <v/>
      </c>
      <c r="K2608" s="71" t="str">
        <f>IF(COUNTA(A2608:G2608)=0,"",IF(G2608&lt;&gt;"",G2608,IF(B2608="","",IFERROR(IF(INDEX(pr_rate,MATCH(B2608,pr_code,0))="","",INDEX(pr_rate,MATCH(B2608,pr_code,0))),""))))</f>
        <v/>
      </c>
      <c r="L2608" s="65" t="str">
        <f>IF(COUNTA(A2608:G2608)=0,"",IF(AND(ISNUMBER(D2608),ISNUMBER(J2608)),ROUND(D2608*J2608*(1-N(F2608)),2),0))</f>
        <v/>
      </c>
      <c r="M2608" s="62" t="str">
        <f>IF(A2608="","",IFERROR(INDEX(fa_cname,MATCH(A2608,fa_num,0))&amp;"",""))</f>
        <v/>
      </c>
      <c r="N2608" s="59" t="str">
        <f>IF(COUNTA(A2608:G2608)=0,"",IF(A2608="","N° facture manquant",IF(ISNA(MATCH(A2608,fa_num,0)),"Facture inconnue",IF(AND(B2608&lt;&gt;"",ISNA(MATCH(B2608,pr_code,0))),"Article inconnu",IF(H2608="","Désignation manquante",IF(OR(NOT(ISNUMBER(D2608)),N(D2608)&lt;=0),"Quantité invalide",IF(J2608="","Prix manquant",IF(OR(NOT(ISNUMBER(J2608)),N(J2608)&lt;0),"Prix invalide",IF(OR(AND(F2608&lt;&gt;"",NOT(ISNUMBER(F2608))),N(F2608)&lt;0,N(F2608)&gt;1),"Remise invalide",IF(K2608="","Taux de TVA manquant",IF(NOT(ISNUMBER(K2608)),"Taux de TVA invalide",IF(COUNTIF(p_rates,K2608)=0,"Taux de TVA hors liste (Paramètres)",IF(N(O2608)&gt;25,"Au-delà de 25 lignes : non imprimée","OK")))))))))))))</f>
        <v/>
      </c>
      <c r="O2608" s="59" t="str">
        <f>IF(A2608="","",COUNTIF($A$6:A2608,A2608))</f>
        <v/>
      </c>
      <c r="P2608" s="62" t="str">
        <f>IF(A2608="","",A2608&amp;"|"&amp;O2608)</f>
        <v/>
      </c>
    </row>
    <row r="2609">
      <c r="A2609" s="60" t="n"/>
      <c r="B2609" s="63" t="n"/>
      <c r="C2609" s="63" t="n"/>
      <c r="D2609" s="67" t="n"/>
      <c r="E2609" s="68" t="n"/>
      <c r="F2609" s="69" t="n"/>
      <c r="G2609" s="70" t="n"/>
      <c r="H2609" s="62" t="str">
        <f>IF(COUNTA(A2609:G2609)=0,"",IF(C2609&lt;&gt;"",C2609,IF(B2609="","",IFERROR(INDEX(pr_des,MATCH(B2609,pr_code,0))&amp;"",""))))</f>
        <v/>
      </c>
      <c r="I2609" s="59" t="str">
        <f>IF(B2609="","",IFERROR(INDEX(pr_unit,MATCH(B2609,pr_code,0))&amp;"",""))</f>
        <v/>
      </c>
      <c r="J2609" s="65" t="str">
        <f>IF(COUNTA(A2609:G2609)=0,"",IF(E2609&lt;&gt;"",E2609,IF(B2609="","",IFERROR(IF(INDEX(pr_price,MATCH(B2609,pr_code,0))="","",INDEX(pr_price,MATCH(B2609,pr_code,0))),""))))</f>
        <v/>
      </c>
      <c r="K2609" s="71" t="str">
        <f>IF(COUNTA(A2609:G2609)=0,"",IF(G2609&lt;&gt;"",G2609,IF(B2609="","",IFERROR(IF(INDEX(pr_rate,MATCH(B2609,pr_code,0))="","",INDEX(pr_rate,MATCH(B2609,pr_code,0))),""))))</f>
        <v/>
      </c>
      <c r="L2609" s="65" t="str">
        <f>IF(COUNTA(A2609:G2609)=0,"",IF(AND(ISNUMBER(D2609),ISNUMBER(J2609)),ROUND(D2609*J2609*(1-N(F2609)),2),0))</f>
        <v/>
      </c>
      <c r="M2609" s="62" t="str">
        <f>IF(A2609="","",IFERROR(INDEX(fa_cname,MATCH(A2609,fa_num,0))&amp;"",""))</f>
        <v/>
      </c>
      <c r="N2609" s="59" t="str">
        <f>IF(COUNTA(A2609:G2609)=0,"",IF(A2609="","N° facture manquant",IF(ISNA(MATCH(A2609,fa_num,0)),"Facture inconnue",IF(AND(B2609&lt;&gt;"",ISNA(MATCH(B2609,pr_code,0))),"Article inconnu",IF(H2609="","Désignation manquante",IF(OR(NOT(ISNUMBER(D2609)),N(D2609)&lt;=0),"Quantité invalide",IF(J2609="","Prix manquant",IF(OR(NOT(ISNUMBER(J2609)),N(J2609)&lt;0),"Prix invalide",IF(OR(AND(F2609&lt;&gt;"",NOT(ISNUMBER(F2609))),N(F2609)&lt;0,N(F2609)&gt;1),"Remise invalide",IF(K2609="","Taux de TVA manquant",IF(NOT(ISNUMBER(K2609)),"Taux de TVA invalide",IF(COUNTIF(p_rates,K2609)=0,"Taux de TVA hors liste (Paramètres)",IF(N(O2609)&gt;25,"Au-delà de 25 lignes : non imprimée","OK")))))))))))))</f>
        <v/>
      </c>
      <c r="O2609" s="59" t="str">
        <f>IF(A2609="","",COUNTIF($A$6:A2609,A2609))</f>
        <v/>
      </c>
      <c r="P2609" s="62" t="str">
        <f>IF(A2609="","",A2609&amp;"|"&amp;O2609)</f>
        <v/>
      </c>
    </row>
    <row r="2610">
      <c r="A2610" s="60" t="n"/>
      <c r="B2610" s="63" t="n"/>
      <c r="C2610" s="63" t="n"/>
      <c r="D2610" s="67" t="n"/>
      <c r="E2610" s="68" t="n"/>
      <c r="F2610" s="69" t="n"/>
      <c r="G2610" s="70" t="n"/>
      <c r="H2610" s="62" t="str">
        <f>IF(COUNTA(A2610:G2610)=0,"",IF(C2610&lt;&gt;"",C2610,IF(B2610="","",IFERROR(INDEX(pr_des,MATCH(B2610,pr_code,0))&amp;"",""))))</f>
        <v/>
      </c>
      <c r="I2610" s="59" t="str">
        <f>IF(B2610="","",IFERROR(INDEX(pr_unit,MATCH(B2610,pr_code,0))&amp;"",""))</f>
        <v/>
      </c>
      <c r="J2610" s="65" t="str">
        <f>IF(COUNTA(A2610:G2610)=0,"",IF(E2610&lt;&gt;"",E2610,IF(B2610="","",IFERROR(IF(INDEX(pr_price,MATCH(B2610,pr_code,0))="","",INDEX(pr_price,MATCH(B2610,pr_code,0))),""))))</f>
        <v/>
      </c>
      <c r="K2610" s="71" t="str">
        <f>IF(COUNTA(A2610:G2610)=0,"",IF(G2610&lt;&gt;"",G2610,IF(B2610="","",IFERROR(IF(INDEX(pr_rate,MATCH(B2610,pr_code,0))="","",INDEX(pr_rate,MATCH(B2610,pr_code,0))),""))))</f>
        <v/>
      </c>
      <c r="L2610" s="65" t="str">
        <f>IF(COUNTA(A2610:G2610)=0,"",IF(AND(ISNUMBER(D2610),ISNUMBER(J2610)),ROUND(D2610*J2610*(1-N(F2610)),2),0))</f>
        <v/>
      </c>
      <c r="M2610" s="62" t="str">
        <f>IF(A2610="","",IFERROR(INDEX(fa_cname,MATCH(A2610,fa_num,0))&amp;"",""))</f>
        <v/>
      </c>
      <c r="N2610" s="59" t="str">
        <f>IF(COUNTA(A2610:G2610)=0,"",IF(A2610="","N° facture manquant",IF(ISNA(MATCH(A2610,fa_num,0)),"Facture inconnue",IF(AND(B2610&lt;&gt;"",ISNA(MATCH(B2610,pr_code,0))),"Article inconnu",IF(H2610="","Désignation manquante",IF(OR(NOT(ISNUMBER(D2610)),N(D2610)&lt;=0),"Quantité invalide",IF(J2610="","Prix manquant",IF(OR(NOT(ISNUMBER(J2610)),N(J2610)&lt;0),"Prix invalide",IF(OR(AND(F2610&lt;&gt;"",NOT(ISNUMBER(F2610))),N(F2610)&lt;0,N(F2610)&gt;1),"Remise invalide",IF(K2610="","Taux de TVA manquant",IF(NOT(ISNUMBER(K2610)),"Taux de TVA invalide",IF(COUNTIF(p_rates,K2610)=0,"Taux de TVA hors liste (Paramètres)",IF(N(O2610)&gt;25,"Au-delà de 25 lignes : non imprimée","OK")))))))))))))</f>
        <v/>
      </c>
      <c r="O2610" s="59" t="str">
        <f>IF(A2610="","",COUNTIF($A$6:A2610,A2610))</f>
        <v/>
      </c>
      <c r="P2610" s="62" t="str">
        <f>IF(A2610="","",A2610&amp;"|"&amp;O2610)</f>
        <v/>
      </c>
    </row>
    <row r="2611">
      <c r="A2611" s="60" t="n"/>
      <c r="B2611" s="63" t="n"/>
      <c r="C2611" s="63" t="n"/>
      <c r="D2611" s="67" t="n"/>
      <c r="E2611" s="68" t="n"/>
      <c r="F2611" s="69" t="n"/>
      <c r="G2611" s="70" t="n"/>
      <c r="H2611" s="62" t="str">
        <f>IF(COUNTA(A2611:G2611)=0,"",IF(C2611&lt;&gt;"",C2611,IF(B2611="","",IFERROR(INDEX(pr_des,MATCH(B2611,pr_code,0))&amp;"",""))))</f>
        <v/>
      </c>
      <c r="I2611" s="59" t="str">
        <f>IF(B2611="","",IFERROR(INDEX(pr_unit,MATCH(B2611,pr_code,0))&amp;"",""))</f>
        <v/>
      </c>
      <c r="J2611" s="65" t="str">
        <f>IF(COUNTA(A2611:G2611)=0,"",IF(E2611&lt;&gt;"",E2611,IF(B2611="","",IFERROR(IF(INDEX(pr_price,MATCH(B2611,pr_code,0))="","",INDEX(pr_price,MATCH(B2611,pr_code,0))),""))))</f>
        <v/>
      </c>
      <c r="K2611" s="71" t="str">
        <f>IF(COUNTA(A2611:G2611)=0,"",IF(G2611&lt;&gt;"",G2611,IF(B2611="","",IFERROR(IF(INDEX(pr_rate,MATCH(B2611,pr_code,0))="","",INDEX(pr_rate,MATCH(B2611,pr_code,0))),""))))</f>
        <v/>
      </c>
      <c r="L2611" s="65" t="str">
        <f>IF(COUNTA(A2611:G2611)=0,"",IF(AND(ISNUMBER(D2611),ISNUMBER(J2611)),ROUND(D2611*J2611*(1-N(F2611)),2),0))</f>
        <v/>
      </c>
      <c r="M2611" s="62" t="str">
        <f>IF(A2611="","",IFERROR(INDEX(fa_cname,MATCH(A2611,fa_num,0))&amp;"",""))</f>
        <v/>
      </c>
      <c r="N2611" s="59" t="str">
        <f>IF(COUNTA(A2611:G2611)=0,"",IF(A2611="","N° facture manquant",IF(ISNA(MATCH(A2611,fa_num,0)),"Facture inconnue",IF(AND(B2611&lt;&gt;"",ISNA(MATCH(B2611,pr_code,0))),"Article inconnu",IF(H2611="","Désignation manquante",IF(OR(NOT(ISNUMBER(D2611)),N(D2611)&lt;=0),"Quantité invalide",IF(J2611="","Prix manquant",IF(OR(NOT(ISNUMBER(J2611)),N(J2611)&lt;0),"Prix invalide",IF(OR(AND(F2611&lt;&gt;"",NOT(ISNUMBER(F2611))),N(F2611)&lt;0,N(F2611)&gt;1),"Remise invalide",IF(K2611="","Taux de TVA manquant",IF(NOT(ISNUMBER(K2611)),"Taux de TVA invalide",IF(COUNTIF(p_rates,K2611)=0,"Taux de TVA hors liste (Paramètres)",IF(N(O2611)&gt;25,"Au-delà de 25 lignes : non imprimée","OK")))))))))))))</f>
        <v/>
      </c>
      <c r="O2611" s="59" t="str">
        <f>IF(A2611="","",COUNTIF($A$6:A2611,A2611))</f>
        <v/>
      </c>
      <c r="P2611" s="62" t="str">
        <f>IF(A2611="","",A2611&amp;"|"&amp;O2611)</f>
        <v/>
      </c>
    </row>
    <row r="2612">
      <c r="A2612" s="60" t="n"/>
      <c r="B2612" s="63" t="n"/>
      <c r="C2612" s="63" t="n"/>
      <c r="D2612" s="67" t="n"/>
      <c r="E2612" s="68" t="n"/>
      <c r="F2612" s="69" t="n"/>
      <c r="G2612" s="70" t="n"/>
      <c r="H2612" s="62" t="str">
        <f>IF(COUNTA(A2612:G2612)=0,"",IF(C2612&lt;&gt;"",C2612,IF(B2612="","",IFERROR(INDEX(pr_des,MATCH(B2612,pr_code,0))&amp;"",""))))</f>
        <v/>
      </c>
      <c r="I2612" s="59" t="str">
        <f>IF(B2612="","",IFERROR(INDEX(pr_unit,MATCH(B2612,pr_code,0))&amp;"",""))</f>
        <v/>
      </c>
      <c r="J2612" s="65" t="str">
        <f>IF(COUNTA(A2612:G2612)=0,"",IF(E2612&lt;&gt;"",E2612,IF(B2612="","",IFERROR(IF(INDEX(pr_price,MATCH(B2612,pr_code,0))="","",INDEX(pr_price,MATCH(B2612,pr_code,0))),""))))</f>
        <v/>
      </c>
      <c r="K2612" s="71" t="str">
        <f>IF(COUNTA(A2612:G2612)=0,"",IF(G2612&lt;&gt;"",G2612,IF(B2612="","",IFERROR(IF(INDEX(pr_rate,MATCH(B2612,pr_code,0))="","",INDEX(pr_rate,MATCH(B2612,pr_code,0))),""))))</f>
        <v/>
      </c>
      <c r="L2612" s="65" t="str">
        <f>IF(COUNTA(A2612:G2612)=0,"",IF(AND(ISNUMBER(D2612),ISNUMBER(J2612)),ROUND(D2612*J2612*(1-N(F2612)),2),0))</f>
        <v/>
      </c>
      <c r="M2612" s="62" t="str">
        <f>IF(A2612="","",IFERROR(INDEX(fa_cname,MATCH(A2612,fa_num,0))&amp;"",""))</f>
        <v/>
      </c>
      <c r="N2612" s="59" t="str">
        <f>IF(COUNTA(A2612:G2612)=0,"",IF(A2612="","N° facture manquant",IF(ISNA(MATCH(A2612,fa_num,0)),"Facture inconnue",IF(AND(B2612&lt;&gt;"",ISNA(MATCH(B2612,pr_code,0))),"Article inconnu",IF(H2612="","Désignation manquante",IF(OR(NOT(ISNUMBER(D2612)),N(D2612)&lt;=0),"Quantité invalide",IF(J2612="","Prix manquant",IF(OR(NOT(ISNUMBER(J2612)),N(J2612)&lt;0),"Prix invalide",IF(OR(AND(F2612&lt;&gt;"",NOT(ISNUMBER(F2612))),N(F2612)&lt;0,N(F2612)&gt;1),"Remise invalide",IF(K2612="","Taux de TVA manquant",IF(NOT(ISNUMBER(K2612)),"Taux de TVA invalide",IF(COUNTIF(p_rates,K2612)=0,"Taux de TVA hors liste (Paramètres)",IF(N(O2612)&gt;25,"Au-delà de 25 lignes : non imprimée","OK")))))))))))))</f>
        <v/>
      </c>
      <c r="O2612" s="59" t="str">
        <f>IF(A2612="","",COUNTIF($A$6:A2612,A2612))</f>
        <v/>
      </c>
      <c r="P2612" s="62" t="str">
        <f>IF(A2612="","",A2612&amp;"|"&amp;O2612)</f>
        <v/>
      </c>
    </row>
    <row r="2613">
      <c r="A2613" s="60" t="n"/>
      <c r="B2613" s="63" t="n"/>
      <c r="C2613" s="63" t="n"/>
      <c r="D2613" s="67" t="n"/>
      <c r="E2613" s="68" t="n"/>
      <c r="F2613" s="69" t="n"/>
      <c r="G2613" s="70" t="n"/>
      <c r="H2613" s="62" t="str">
        <f>IF(COUNTA(A2613:G2613)=0,"",IF(C2613&lt;&gt;"",C2613,IF(B2613="","",IFERROR(INDEX(pr_des,MATCH(B2613,pr_code,0))&amp;"",""))))</f>
        <v/>
      </c>
      <c r="I2613" s="59" t="str">
        <f>IF(B2613="","",IFERROR(INDEX(pr_unit,MATCH(B2613,pr_code,0))&amp;"",""))</f>
        <v/>
      </c>
      <c r="J2613" s="65" t="str">
        <f>IF(COUNTA(A2613:G2613)=0,"",IF(E2613&lt;&gt;"",E2613,IF(B2613="","",IFERROR(IF(INDEX(pr_price,MATCH(B2613,pr_code,0))="","",INDEX(pr_price,MATCH(B2613,pr_code,0))),""))))</f>
        <v/>
      </c>
      <c r="K2613" s="71" t="str">
        <f>IF(COUNTA(A2613:G2613)=0,"",IF(G2613&lt;&gt;"",G2613,IF(B2613="","",IFERROR(IF(INDEX(pr_rate,MATCH(B2613,pr_code,0))="","",INDEX(pr_rate,MATCH(B2613,pr_code,0))),""))))</f>
        <v/>
      </c>
      <c r="L2613" s="65" t="str">
        <f>IF(COUNTA(A2613:G2613)=0,"",IF(AND(ISNUMBER(D2613),ISNUMBER(J2613)),ROUND(D2613*J2613*(1-N(F2613)),2),0))</f>
        <v/>
      </c>
      <c r="M2613" s="62" t="str">
        <f>IF(A2613="","",IFERROR(INDEX(fa_cname,MATCH(A2613,fa_num,0))&amp;"",""))</f>
        <v/>
      </c>
      <c r="N2613" s="59" t="str">
        <f>IF(COUNTA(A2613:G2613)=0,"",IF(A2613="","N° facture manquant",IF(ISNA(MATCH(A2613,fa_num,0)),"Facture inconnue",IF(AND(B2613&lt;&gt;"",ISNA(MATCH(B2613,pr_code,0))),"Article inconnu",IF(H2613="","Désignation manquante",IF(OR(NOT(ISNUMBER(D2613)),N(D2613)&lt;=0),"Quantité invalide",IF(J2613="","Prix manquant",IF(OR(NOT(ISNUMBER(J2613)),N(J2613)&lt;0),"Prix invalide",IF(OR(AND(F2613&lt;&gt;"",NOT(ISNUMBER(F2613))),N(F2613)&lt;0,N(F2613)&gt;1),"Remise invalide",IF(K2613="","Taux de TVA manquant",IF(NOT(ISNUMBER(K2613)),"Taux de TVA invalide",IF(COUNTIF(p_rates,K2613)=0,"Taux de TVA hors liste (Paramètres)",IF(N(O2613)&gt;25,"Au-delà de 25 lignes : non imprimée","OK")))))))))))))</f>
        <v/>
      </c>
      <c r="O2613" s="59" t="str">
        <f>IF(A2613="","",COUNTIF($A$6:A2613,A2613))</f>
        <v/>
      </c>
      <c r="P2613" s="62" t="str">
        <f>IF(A2613="","",A2613&amp;"|"&amp;O2613)</f>
        <v/>
      </c>
    </row>
    <row r="2614">
      <c r="A2614" s="60" t="n"/>
      <c r="B2614" s="63" t="n"/>
      <c r="C2614" s="63" t="n"/>
      <c r="D2614" s="67" t="n"/>
      <c r="E2614" s="68" t="n"/>
      <c r="F2614" s="69" t="n"/>
      <c r="G2614" s="70" t="n"/>
      <c r="H2614" s="62" t="str">
        <f>IF(COUNTA(A2614:G2614)=0,"",IF(C2614&lt;&gt;"",C2614,IF(B2614="","",IFERROR(INDEX(pr_des,MATCH(B2614,pr_code,0))&amp;"",""))))</f>
        <v/>
      </c>
      <c r="I2614" s="59" t="str">
        <f>IF(B2614="","",IFERROR(INDEX(pr_unit,MATCH(B2614,pr_code,0))&amp;"",""))</f>
        <v/>
      </c>
      <c r="J2614" s="65" t="str">
        <f>IF(COUNTA(A2614:G2614)=0,"",IF(E2614&lt;&gt;"",E2614,IF(B2614="","",IFERROR(IF(INDEX(pr_price,MATCH(B2614,pr_code,0))="","",INDEX(pr_price,MATCH(B2614,pr_code,0))),""))))</f>
        <v/>
      </c>
      <c r="K2614" s="71" t="str">
        <f>IF(COUNTA(A2614:G2614)=0,"",IF(G2614&lt;&gt;"",G2614,IF(B2614="","",IFERROR(IF(INDEX(pr_rate,MATCH(B2614,pr_code,0))="","",INDEX(pr_rate,MATCH(B2614,pr_code,0))),""))))</f>
        <v/>
      </c>
      <c r="L2614" s="65" t="str">
        <f>IF(COUNTA(A2614:G2614)=0,"",IF(AND(ISNUMBER(D2614),ISNUMBER(J2614)),ROUND(D2614*J2614*(1-N(F2614)),2),0))</f>
        <v/>
      </c>
      <c r="M2614" s="62" t="str">
        <f>IF(A2614="","",IFERROR(INDEX(fa_cname,MATCH(A2614,fa_num,0))&amp;"",""))</f>
        <v/>
      </c>
      <c r="N2614" s="59" t="str">
        <f>IF(COUNTA(A2614:G2614)=0,"",IF(A2614="","N° facture manquant",IF(ISNA(MATCH(A2614,fa_num,0)),"Facture inconnue",IF(AND(B2614&lt;&gt;"",ISNA(MATCH(B2614,pr_code,0))),"Article inconnu",IF(H2614="","Désignation manquante",IF(OR(NOT(ISNUMBER(D2614)),N(D2614)&lt;=0),"Quantité invalide",IF(J2614="","Prix manquant",IF(OR(NOT(ISNUMBER(J2614)),N(J2614)&lt;0),"Prix invalide",IF(OR(AND(F2614&lt;&gt;"",NOT(ISNUMBER(F2614))),N(F2614)&lt;0,N(F2614)&gt;1),"Remise invalide",IF(K2614="","Taux de TVA manquant",IF(NOT(ISNUMBER(K2614)),"Taux de TVA invalide",IF(COUNTIF(p_rates,K2614)=0,"Taux de TVA hors liste (Paramètres)",IF(N(O2614)&gt;25,"Au-delà de 25 lignes : non imprimée","OK")))))))))))))</f>
        <v/>
      </c>
      <c r="O2614" s="59" t="str">
        <f>IF(A2614="","",COUNTIF($A$6:A2614,A2614))</f>
        <v/>
      </c>
      <c r="P2614" s="62" t="str">
        <f>IF(A2614="","",A2614&amp;"|"&amp;O2614)</f>
        <v/>
      </c>
    </row>
    <row r="2615">
      <c r="A2615" s="60" t="n"/>
      <c r="B2615" s="63" t="n"/>
      <c r="C2615" s="63" t="n"/>
      <c r="D2615" s="67" t="n"/>
      <c r="E2615" s="68" t="n"/>
      <c r="F2615" s="69" t="n"/>
      <c r="G2615" s="70" t="n"/>
      <c r="H2615" s="62" t="str">
        <f>IF(COUNTA(A2615:G2615)=0,"",IF(C2615&lt;&gt;"",C2615,IF(B2615="","",IFERROR(INDEX(pr_des,MATCH(B2615,pr_code,0))&amp;"",""))))</f>
        <v/>
      </c>
      <c r="I2615" s="59" t="str">
        <f>IF(B2615="","",IFERROR(INDEX(pr_unit,MATCH(B2615,pr_code,0))&amp;"",""))</f>
        <v/>
      </c>
      <c r="J2615" s="65" t="str">
        <f>IF(COUNTA(A2615:G2615)=0,"",IF(E2615&lt;&gt;"",E2615,IF(B2615="","",IFERROR(IF(INDEX(pr_price,MATCH(B2615,pr_code,0))="","",INDEX(pr_price,MATCH(B2615,pr_code,0))),""))))</f>
        <v/>
      </c>
      <c r="K2615" s="71" t="str">
        <f>IF(COUNTA(A2615:G2615)=0,"",IF(G2615&lt;&gt;"",G2615,IF(B2615="","",IFERROR(IF(INDEX(pr_rate,MATCH(B2615,pr_code,0))="","",INDEX(pr_rate,MATCH(B2615,pr_code,0))),""))))</f>
        <v/>
      </c>
      <c r="L2615" s="65" t="str">
        <f>IF(COUNTA(A2615:G2615)=0,"",IF(AND(ISNUMBER(D2615),ISNUMBER(J2615)),ROUND(D2615*J2615*(1-N(F2615)),2),0))</f>
        <v/>
      </c>
      <c r="M2615" s="62" t="str">
        <f>IF(A2615="","",IFERROR(INDEX(fa_cname,MATCH(A2615,fa_num,0))&amp;"",""))</f>
        <v/>
      </c>
      <c r="N2615" s="59" t="str">
        <f>IF(COUNTA(A2615:G2615)=0,"",IF(A2615="","N° facture manquant",IF(ISNA(MATCH(A2615,fa_num,0)),"Facture inconnue",IF(AND(B2615&lt;&gt;"",ISNA(MATCH(B2615,pr_code,0))),"Article inconnu",IF(H2615="","Désignation manquante",IF(OR(NOT(ISNUMBER(D2615)),N(D2615)&lt;=0),"Quantité invalide",IF(J2615="","Prix manquant",IF(OR(NOT(ISNUMBER(J2615)),N(J2615)&lt;0),"Prix invalide",IF(OR(AND(F2615&lt;&gt;"",NOT(ISNUMBER(F2615))),N(F2615)&lt;0,N(F2615)&gt;1),"Remise invalide",IF(K2615="","Taux de TVA manquant",IF(NOT(ISNUMBER(K2615)),"Taux de TVA invalide",IF(COUNTIF(p_rates,K2615)=0,"Taux de TVA hors liste (Paramètres)",IF(N(O2615)&gt;25,"Au-delà de 25 lignes : non imprimée","OK")))))))))))))</f>
        <v/>
      </c>
      <c r="O2615" s="59" t="str">
        <f>IF(A2615="","",COUNTIF($A$6:A2615,A2615))</f>
        <v/>
      </c>
      <c r="P2615" s="62" t="str">
        <f>IF(A2615="","",A2615&amp;"|"&amp;O2615)</f>
        <v/>
      </c>
    </row>
    <row r="2616">
      <c r="A2616" s="60" t="n"/>
      <c r="B2616" s="63" t="n"/>
      <c r="C2616" s="63" t="n"/>
      <c r="D2616" s="67" t="n"/>
      <c r="E2616" s="68" t="n"/>
      <c r="F2616" s="69" t="n"/>
      <c r="G2616" s="70" t="n"/>
      <c r="H2616" s="62" t="str">
        <f>IF(COUNTA(A2616:G2616)=0,"",IF(C2616&lt;&gt;"",C2616,IF(B2616="","",IFERROR(INDEX(pr_des,MATCH(B2616,pr_code,0))&amp;"",""))))</f>
        <v/>
      </c>
      <c r="I2616" s="59" t="str">
        <f>IF(B2616="","",IFERROR(INDEX(pr_unit,MATCH(B2616,pr_code,0))&amp;"",""))</f>
        <v/>
      </c>
      <c r="J2616" s="65" t="str">
        <f>IF(COUNTA(A2616:G2616)=0,"",IF(E2616&lt;&gt;"",E2616,IF(B2616="","",IFERROR(IF(INDEX(pr_price,MATCH(B2616,pr_code,0))="","",INDEX(pr_price,MATCH(B2616,pr_code,0))),""))))</f>
        <v/>
      </c>
      <c r="K2616" s="71" t="str">
        <f>IF(COUNTA(A2616:G2616)=0,"",IF(G2616&lt;&gt;"",G2616,IF(B2616="","",IFERROR(IF(INDEX(pr_rate,MATCH(B2616,pr_code,0))="","",INDEX(pr_rate,MATCH(B2616,pr_code,0))),""))))</f>
        <v/>
      </c>
      <c r="L2616" s="65" t="str">
        <f>IF(COUNTA(A2616:G2616)=0,"",IF(AND(ISNUMBER(D2616),ISNUMBER(J2616)),ROUND(D2616*J2616*(1-N(F2616)),2),0))</f>
        <v/>
      </c>
      <c r="M2616" s="62" t="str">
        <f>IF(A2616="","",IFERROR(INDEX(fa_cname,MATCH(A2616,fa_num,0))&amp;"",""))</f>
        <v/>
      </c>
      <c r="N2616" s="59" t="str">
        <f>IF(COUNTA(A2616:G2616)=0,"",IF(A2616="","N° facture manquant",IF(ISNA(MATCH(A2616,fa_num,0)),"Facture inconnue",IF(AND(B2616&lt;&gt;"",ISNA(MATCH(B2616,pr_code,0))),"Article inconnu",IF(H2616="","Désignation manquante",IF(OR(NOT(ISNUMBER(D2616)),N(D2616)&lt;=0),"Quantité invalide",IF(J2616="","Prix manquant",IF(OR(NOT(ISNUMBER(J2616)),N(J2616)&lt;0),"Prix invalide",IF(OR(AND(F2616&lt;&gt;"",NOT(ISNUMBER(F2616))),N(F2616)&lt;0,N(F2616)&gt;1),"Remise invalide",IF(K2616="","Taux de TVA manquant",IF(NOT(ISNUMBER(K2616)),"Taux de TVA invalide",IF(COUNTIF(p_rates,K2616)=0,"Taux de TVA hors liste (Paramètres)",IF(N(O2616)&gt;25,"Au-delà de 25 lignes : non imprimée","OK")))))))))))))</f>
        <v/>
      </c>
      <c r="O2616" s="59" t="str">
        <f>IF(A2616="","",COUNTIF($A$6:A2616,A2616))</f>
        <v/>
      </c>
      <c r="P2616" s="62" t="str">
        <f>IF(A2616="","",A2616&amp;"|"&amp;O2616)</f>
        <v/>
      </c>
    </row>
    <row r="2617">
      <c r="A2617" s="60" t="n"/>
      <c r="B2617" s="63" t="n"/>
      <c r="C2617" s="63" t="n"/>
      <c r="D2617" s="67" t="n"/>
      <c r="E2617" s="68" t="n"/>
      <c r="F2617" s="69" t="n"/>
      <c r="G2617" s="70" t="n"/>
      <c r="H2617" s="62" t="str">
        <f>IF(COUNTA(A2617:G2617)=0,"",IF(C2617&lt;&gt;"",C2617,IF(B2617="","",IFERROR(INDEX(pr_des,MATCH(B2617,pr_code,0))&amp;"",""))))</f>
        <v/>
      </c>
      <c r="I2617" s="59" t="str">
        <f>IF(B2617="","",IFERROR(INDEX(pr_unit,MATCH(B2617,pr_code,0))&amp;"",""))</f>
        <v/>
      </c>
      <c r="J2617" s="65" t="str">
        <f>IF(COUNTA(A2617:G2617)=0,"",IF(E2617&lt;&gt;"",E2617,IF(B2617="","",IFERROR(IF(INDEX(pr_price,MATCH(B2617,pr_code,0))="","",INDEX(pr_price,MATCH(B2617,pr_code,0))),""))))</f>
        <v/>
      </c>
      <c r="K2617" s="71" t="str">
        <f>IF(COUNTA(A2617:G2617)=0,"",IF(G2617&lt;&gt;"",G2617,IF(B2617="","",IFERROR(IF(INDEX(pr_rate,MATCH(B2617,pr_code,0))="","",INDEX(pr_rate,MATCH(B2617,pr_code,0))),""))))</f>
        <v/>
      </c>
      <c r="L2617" s="65" t="str">
        <f>IF(COUNTA(A2617:G2617)=0,"",IF(AND(ISNUMBER(D2617),ISNUMBER(J2617)),ROUND(D2617*J2617*(1-N(F2617)),2),0))</f>
        <v/>
      </c>
      <c r="M2617" s="62" t="str">
        <f>IF(A2617="","",IFERROR(INDEX(fa_cname,MATCH(A2617,fa_num,0))&amp;"",""))</f>
        <v/>
      </c>
      <c r="N2617" s="59" t="str">
        <f>IF(COUNTA(A2617:G2617)=0,"",IF(A2617="","N° facture manquant",IF(ISNA(MATCH(A2617,fa_num,0)),"Facture inconnue",IF(AND(B2617&lt;&gt;"",ISNA(MATCH(B2617,pr_code,0))),"Article inconnu",IF(H2617="","Désignation manquante",IF(OR(NOT(ISNUMBER(D2617)),N(D2617)&lt;=0),"Quantité invalide",IF(J2617="","Prix manquant",IF(OR(NOT(ISNUMBER(J2617)),N(J2617)&lt;0),"Prix invalide",IF(OR(AND(F2617&lt;&gt;"",NOT(ISNUMBER(F2617))),N(F2617)&lt;0,N(F2617)&gt;1),"Remise invalide",IF(K2617="","Taux de TVA manquant",IF(NOT(ISNUMBER(K2617)),"Taux de TVA invalide",IF(COUNTIF(p_rates,K2617)=0,"Taux de TVA hors liste (Paramètres)",IF(N(O2617)&gt;25,"Au-delà de 25 lignes : non imprimée","OK")))))))))))))</f>
        <v/>
      </c>
      <c r="O2617" s="59" t="str">
        <f>IF(A2617="","",COUNTIF($A$6:A2617,A2617))</f>
        <v/>
      </c>
      <c r="P2617" s="62" t="str">
        <f>IF(A2617="","",A2617&amp;"|"&amp;O2617)</f>
        <v/>
      </c>
    </row>
    <row r="2618">
      <c r="A2618" s="60" t="n"/>
      <c r="B2618" s="63" t="n"/>
      <c r="C2618" s="63" t="n"/>
      <c r="D2618" s="67" t="n"/>
      <c r="E2618" s="68" t="n"/>
      <c r="F2618" s="69" t="n"/>
      <c r="G2618" s="70" t="n"/>
      <c r="H2618" s="62" t="str">
        <f>IF(COUNTA(A2618:G2618)=0,"",IF(C2618&lt;&gt;"",C2618,IF(B2618="","",IFERROR(INDEX(pr_des,MATCH(B2618,pr_code,0))&amp;"",""))))</f>
        <v/>
      </c>
      <c r="I2618" s="59" t="str">
        <f>IF(B2618="","",IFERROR(INDEX(pr_unit,MATCH(B2618,pr_code,0))&amp;"",""))</f>
        <v/>
      </c>
      <c r="J2618" s="65" t="str">
        <f>IF(COUNTA(A2618:G2618)=0,"",IF(E2618&lt;&gt;"",E2618,IF(B2618="","",IFERROR(IF(INDEX(pr_price,MATCH(B2618,pr_code,0))="","",INDEX(pr_price,MATCH(B2618,pr_code,0))),""))))</f>
        <v/>
      </c>
      <c r="K2618" s="71" t="str">
        <f>IF(COUNTA(A2618:G2618)=0,"",IF(G2618&lt;&gt;"",G2618,IF(B2618="","",IFERROR(IF(INDEX(pr_rate,MATCH(B2618,pr_code,0))="","",INDEX(pr_rate,MATCH(B2618,pr_code,0))),""))))</f>
        <v/>
      </c>
      <c r="L2618" s="65" t="str">
        <f>IF(COUNTA(A2618:G2618)=0,"",IF(AND(ISNUMBER(D2618),ISNUMBER(J2618)),ROUND(D2618*J2618*(1-N(F2618)),2),0))</f>
        <v/>
      </c>
      <c r="M2618" s="62" t="str">
        <f>IF(A2618="","",IFERROR(INDEX(fa_cname,MATCH(A2618,fa_num,0))&amp;"",""))</f>
        <v/>
      </c>
      <c r="N2618" s="59" t="str">
        <f>IF(COUNTA(A2618:G2618)=0,"",IF(A2618="","N° facture manquant",IF(ISNA(MATCH(A2618,fa_num,0)),"Facture inconnue",IF(AND(B2618&lt;&gt;"",ISNA(MATCH(B2618,pr_code,0))),"Article inconnu",IF(H2618="","Désignation manquante",IF(OR(NOT(ISNUMBER(D2618)),N(D2618)&lt;=0),"Quantité invalide",IF(J2618="","Prix manquant",IF(OR(NOT(ISNUMBER(J2618)),N(J2618)&lt;0),"Prix invalide",IF(OR(AND(F2618&lt;&gt;"",NOT(ISNUMBER(F2618))),N(F2618)&lt;0,N(F2618)&gt;1),"Remise invalide",IF(K2618="","Taux de TVA manquant",IF(NOT(ISNUMBER(K2618)),"Taux de TVA invalide",IF(COUNTIF(p_rates,K2618)=0,"Taux de TVA hors liste (Paramètres)",IF(N(O2618)&gt;25,"Au-delà de 25 lignes : non imprimée","OK")))))))))))))</f>
        <v/>
      </c>
      <c r="O2618" s="59" t="str">
        <f>IF(A2618="","",COUNTIF($A$6:A2618,A2618))</f>
        <v/>
      </c>
      <c r="P2618" s="62" t="str">
        <f>IF(A2618="","",A2618&amp;"|"&amp;O2618)</f>
        <v/>
      </c>
    </row>
    <row r="2619">
      <c r="A2619" s="60" t="n"/>
      <c r="B2619" s="63" t="n"/>
      <c r="C2619" s="63" t="n"/>
      <c r="D2619" s="67" t="n"/>
      <c r="E2619" s="68" t="n"/>
      <c r="F2619" s="69" t="n"/>
      <c r="G2619" s="70" t="n"/>
      <c r="H2619" s="62" t="str">
        <f>IF(COUNTA(A2619:G2619)=0,"",IF(C2619&lt;&gt;"",C2619,IF(B2619="","",IFERROR(INDEX(pr_des,MATCH(B2619,pr_code,0))&amp;"",""))))</f>
        <v/>
      </c>
      <c r="I2619" s="59" t="str">
        <f>IF(B2619="","",IFERROR(INDEX(pr_unit,MATCH(B2619,pr_code,0))&amp;"",""))</f>
        <v/>
      </c>
      <c r="J2619" s="65" t="str">
        <f>IF(COUNTA(A2619:G2619)=0,"",IF(E2619&lt;&gt;"",E2619,IF(B2619="","",IFERROR(IF(INDEX(pr_price,MATCH(B2619,pr_code,0))="","",INDEX(pr_price,MATCH(B2619,pr_code,0))),""))))</f>
        <v/>
      </c>
      <c r="K2619" s="71" t="str">
        <f>IF(COUNTA(A2619:G2619)=0,"",IF(G2619&lt;&gt;"",G2619,IF(B2619="","",IFERROR(IF(INDEX(pr_rate,MATCH(B2619,pr_code,0))="","",INDEX(pr_rate,MATCH(B2619,pr_code,0))),""))))</f>
        <v/>
      </c>
      <c r="L2619" s="65" t="str">
        <f>IF(COUNTA(A2619:G2619)=0,"",IF(AND(ISNUMBER(D2619),ISNUMBER(J2619)),ROUND(D2619*J2619*(1-N(F2619)),2),0))</f>
        <v/>
      </c>
      <c r="M2619" s="62" t="str">
        <f>IF(A2619="","",IFERROR(INDEX(fa_cname,MATCH(A2619,fa_num,0))&amp;"",""))</f>
        <v/>
      </c>
      <c r="N2619" s="59" t="str">
        <f>IF(COUNTA(A2619:G2619)=0,"",IF(A2619="","N° facture manquant",IF(ISNA(MATCH(A2619,fa_num,0)),"Facture inconnue",IF(AND(B2619&lt;&gt;"",ISNA(MATCH(B2619,pr_code,0))),"Article inconnu",IF(H2619="","Désignation manquante",IF(OR(NOT(ISNUMBER(D2619)),N(D2619)&lt;=0),"Quantité invalide",IF(J2619="","Prix manquant",IF(OR(NOT(ISNUMBER(J2619)),N(J2619)&lt;0),"Prix invalide",IF(OR(AND(F2619&lt;&gt;"",NOT(ISNUMBER(F2619))),N(F2619)&lt;0,N(F2619)&gt;1),"Remise invalide",IF(K2619="","Taux de TVA manquant",IF(NOT(ISNUMBER(K2619)),"Taux de TVA invalide",IF(COUNTIF(p_rates,K2619)=0,"Taux de TVA hors liste (Paramètres)",IF(N(O2619)&gt;25,"Au-delà de 25 lignes : non imprimée","OK")))))))))))))</f>
        <v/>
      </c>
      <c r="O2619" s="59" t="str">
        <f>IF(A2619="","",COUNTIF($A$6:A2619,A2619))</f>
        <v/>
      </c>
      <c r="P2619" s="62" t="str">
        <f>IF(A2619="","",A2619&amp;"|"&amp;O2619)</f>
        <v/>
      </c>
    </row>
    <row r="2620">
      <c r="A2620" s="60" t="n"/>
      <c r="B2620" s="63" t="n"/>
      <c r="C2620" s="63" t="n"/>
      <c r="D2620" s="67" t="n"/>
      <c r="E2620" s="68" t="n"/>
      <c r="F2620" s="69" t="n"/>
      <c r="G2620" s="70" t="n"/>
      <c r="H2620" s="62" t="str">
        <f>IF(COUNTA(A2620:G2620)=0,"",IF(C2620&lt;&gt;"",C2620,IF(B2620="","",IFERROR(INDEX(pr_des,MATCH(B2620,pr_code,0))&amp;"",""))))</f>
        <v/>
      </c>
      <c r="I2620" s="59" t="str">
        <f>IF(B2620="","",IFERROR(INDEX(pr_unit,MATCH(B2620,pr_code,0))&amp;"",""))</f>
        <v/>
      </c>
      <c r="J2620" s="65" t="str">
        <f>IF(COUNTA(A2620:G2620)=0,"",IF(E2620&lt;&gt;"",E2620,IF(B2620="","",IFERROR(IF(INDEX(pr_price,MATCH(B2620,pr_code,0))="","",INDEX(pr_price,MATCH(B2620,pr_code,0))),""))))</f>
        <v/>
      </c>
      <c r="K2620" s="71" t="str">
        <f>IF(COUNTA(A2620:G2620)=0,"",IF(G2620&lt;&gt;"",G2620,IF(B2620="","",IFERROR(IF(INDEX(pr_rate,MATCH(B2620,pr_code,0))="","",INDEX(pr_rate,MATCH(B2620,pr_code,0))),""))))</f>
        <v/>
      </c>
      <c r="L2620" s="65" t="str">
        <f>IF(COUNTA(A2620:G2620)=0,"",IF(AND(ISNUMBER(D2620),ISNUMBER(J2620)),ROUND(D2620*J2620*(1-N(F2620)),2),0))</f>
        <v/>
      </c>
      <c r="M2620" s="62" t="str">
        <f>IF(A2620="","",IFERROR(INDEX(fa_cname,MATCH(A2620,fa_num,0))&amp;"",""))</f>
        <v/>
      </c>
      <c r="N2620" s="59" t="str">
        <f>IF(COUNTA(A2620:G2620)=0,"",IF(A2620="","N° facture manquant",IF(ISNA(MATCH(A2620,fa_num,0)),"Facture inconnue",IF(AND(B2620&lt;&gt;"",ISNA(MATCH(B2620,pr_code,0))),"Article inconnu",IF(H2620="","Désignation manquante",IF(OR(NOT(ISNUMBER(D2620)),N(D2620)&lt;=0),"Quantité invalide",IF(J2620="","Prix manquant",IF(OR(NOT(ISNUMBER(J2620)),N(J2620)&lt;0),"Prix invalide",IF(OR(AND(F2620&lt;&gt;"",NOT(ISNUMBER(F2620))),N(F2620)&lt;0,N(F2620)&gt;1),"Remise invalide",IF(K2620="","Taux de TVA manquant",IF(NOT(ISNUMBER(K2620)),"Taux de TVA invalide",IF(COUNTIF(p_rates,K2620)=0,"Taux de TVA hors liste (Paramètres)",IF(N(O2620)&gt;25,"Au-delà de 25 lignes : non imprimée","OK")))))))))))))</f>
        <v/>
      </c>
      <c r="O2620" s="59" t="str">
        <f>IF(A2620="","",COUNTIF($A$6:A2620,A2620))</f>
        <v/>
      </c>
      <c r="P2620" s="62" t="str">
        <f>IF(A2620="","",A2620&amp;"|"&amp;O2620)</f>
        <v/>
      </c>
    </row>
    <row r="2621">
      <c r="A2621" s="60" t="n"/>
      <c r="B2621" s="63" t="n"/>
      <c r="C2621" s="63" t="n"/>
      <c r="D2621" s="67" t="n"/>
      <c r="E2621" s="68" t="n"/>
      <c r="F2621" s="69" t="n"/>
      <c r="G2621" s="70" t="n"/>
      <c r="H2621" s="62" t="str">
        <f>IF(COUNTA(A2621:G2621)=0,"",IF(C2621&lt;&gt;"",C2621,IF(B2621="","",IFERROR(INDEX(pr_des,MATCH(B2621,pr_code,0))&amp;"",""))))</f>
        <v/>
      </c>
      <c r="I2621" s="59" t="str">
        <f>IF(B2621="","",IFERROR(INDEX(pr_unit,MATCH(B2621,pr_code,0))&amp;"",""))</f>
        <v/>
      </c>
      <c r="J2621" s="65" t="str">
        <f>IF(COUNTA(A2621:G2621)=0,"",IF(E2621&lt;&gt;"",E2621,IF(B2621="","",IFERROR(IF(INDEX(pr_price,MATCH(B2621,pr_code,0))="","",INDEX(pr_price,MATCH(B2621,pr_code,0))),""))))</f>
        <v/>
      </c>
      <c r="K2621" s="71" t="str">
        <f>IF(COUNTA(A2621:G2621)=0,"",IF(G2621&lt;&gt;"",G2621,IF(B2621="","",IFERROR(IF(INDEX(pr_rate,MATCH(B2621,pr_code,0))="","",INDEX(pr_rate,MATCH(B2621,pr_code,0))),""))))</f>
        <v/>
      </c>
      <c r="L2621" s="65" t="str">
        <f>IF(COUNTA(A2621:G2621)=0,"",IF(AND(ISNUMBER(D2621),ISNUMBER(J2621)),ROUND(D2621*J2621*(1-N(F2621)),2),0))</f>
        <v/>
      </c>
      <c r="M2621" s="62" t="str">
        <f>IF(A2621="","",IFERROR(INDEX(fa_cname,MATCH(A2621,fa_num,0))&amp;"",""))</f>
        <v/>
      </c>
      <c r="N2621" s="59" t="str">
        <f>IF(COUNTA(A2621:G2621)=0,"",IF(A2621="","N° facture manquant",IF(ISNA(MATCH(A2621,fa_num,0)),"Facture inconnue",IF(AND(B2621&lt;&gt;"",ISNA(MATCH(B2621,pr_code,0))),"Article inconnu",IF(H2621="","Désignation manquante",IF(OR(NOT(ISNUMBER(D2621)),N(D2621)&lt;=0),"Quantité invalide",IF(J2621="","Prix manquant",IF(OR(NOT(ISNUMBER(J2621)),N(J2621)&lt;0),"Prix invalide",IF(OR(AND(F2621&lt;&gt;"",NOT(ISNUMBER(F2621))),N(F2621)&lt;0,N(F2621)&gt;1),"Remise invalide",IF(K2621="","Taux de TVA manquant",IF(NOT(ISNUMBER(K2621)),"Taux de TVA invalide",IF(COUNTIF(p_rates,K2621)=0,"Taux de TVA hors liste (Paramètres)",IF(N(O2621)&gt;25,"Au-delà de 25 lignes : non imprimée","OK")))))))))))))</f>
        <v/>
      </c>
      <c r="O2621" s="59" t="str">
        <f>IF(A2621="","",COUNTIF($A$6:A2621,A2621))</f>
        <v/>
      </c>
      <c r="P2621" s="62" t="str">
        <f>IF(A2621="","",A2621&amp;"|"&amp;O2621)</f>
        <v/>
      </c>
    </row>
    <row r="2622">
      <c r="A2622" s="60" t="n"/>
      <c r="B2622" s="63" t="n"/>
      <c r="C2622" s="63" t="n"/>
      <c r="D2622" s="67" t="n"/>
      <c r="E2622" s="68" t="n"/>
      <c r="F2622" s="69" t="n"/>
      <c r="G2622" s="70" t="n"/>
      <c r="H2622" s="62" t="str">
        <f>IF(COUNTA(A2622:G2622)=0,"",IF(C2622&lt;&gt;"",C2622,IF(B2622="","",IFERROR(INDEX(pr_des,MATCH(B2622,pr_code,0))&amp;"",""))))</f>
        <v/>
      </c>
      <c r="I2622" s="59" t="str">
        <f>IF(B2622="","",IFERROR(INDEX(pr_unit,MATCH(B2622,pr_code,0))&amp;"",""))</f>
        <v/>
      </c>
      <c r="J2622" s="65" t="str">
        <f>IF(COUNTA(A2622:G2622)=0,"",IF(E2622&lt;&gt;"",E2622,IF(B2622="","",IFERROR(IF(INDEX(pr_price,MATCH(B2622,pr_code,0))="","",INDEX(pr_price,MATCH(B2622,pr_code,0))),""))))</f>
        <v/>
      </c>
      <c r="K2622" s="71" t="str">
        <f>IF(COUNTA(A2622:G2622)=0,"",IF(G2622&lt;&gt;"",G2622,IF(B2622="","",IFERROR(IF(INDEX(pr_rate,MATCH(B2622,pr_code,0))="","",INDEX(pr_rate,MATCH(B2622,pr_code,0))),""))))</f>
        <v/>
      </c>
      <c r="L2622" s="65" t="str">
        <f>IF(COUNTA(A2622:G2622)=0,"",IF(AND(ISNUMBER(D2622),ISNUMBER(J2622)),ROUND(D2622*J2622*(1-N(F2622)),2),0))</f>
        <v/>
      </c>
      <c r="M2622" s="62" t="str">
        <f>IF(A2622="","",IFERROR(INDEX(fa_cname,MATCH(A2622,fa_num,0))&amp;"",""))</f>
        <v/>
      </c>
      <c r="N2622" s="59" t="str">
        <f>IF(COUNTA(A2622:G2622)=0,"",IF(A2622="","N° facture manquant",IF(ISNA(MATCH(A2622,fa_num,0)),"Facture inconnue",IF(AND(B2622&lt;&gt;"",ISNA(MATCH(B2622,pr_code,0))),"Article inconnu",IF(H2622="","Désignation manquante",IF(OR(NOT(ISNUMBER(D2622)),N(D2622)&lt;=0),"Quantité invalide",IF(J2622="","Prix manquant",IF(OR(NOT(ISNUMBER(J2622)),N(J2622)&lt;0),"Prix invalide",IF(OR(AND(F2622&lt;&gt;"",NOT(ISNUMBER(F2622))),N(F2622)&lt;0,N(F2622)&gt;1),"Remise invalide",IF(K2622="","Taux de TVA manquant",IF(NOT(ISNUMBER(K2622)),"Taux de TVA invalide",IF(COUNTIF(p_rates,K2622)=0,"Taux de TVA hors liste (Paramètres)",IF(N(O2622)&gt;25,"Au-delà de 25 lignes : non imprimée","OK")))))))))))))</f>
        <v/>
      </c>
      <c r="O2622" s="59" t="str">
        <f>IF(A2622="","",COUNTIF($A$6:A2622,A2622))</f>
        <v/>
      </c>
      <c r="P2622" s="62" t="str">
        <f>IF(A2622="","",A2622&amp;"|"&amp;O2622)</f>
        <v/>
      </c>
    </row>
    <row r="2623">
      <c r="A2623" s="60" t="n"/>
      <c r="B2623" s="63" t="n"/>
      <c r="C2623" s="63" t="n"/>
      <c r="D2623" s="67" t="n"/>
      <c r="E2623" s="68" t="n"/>
      <c r="F2623" s="69" t="n"/>
      <c r="G2623" s="70" t="n"/>
      <c r="H2623" s="62" t="str">
        <f>IF(COUNTA(A2623:G2623)=0,"",IF(C2623&lt;&gt;"",C2623,IF(B2623="","",IFERROR(INDEX(pr_des,MATCH(B2623,pr_code,0))&amp;"",""))))</f>
        <v/>
      </c>
      <c r="I2623" s="59" t="str">
        <f>IF(B2623="","",IFERROR(INDEX(pr_unit,MATCH(B2623,pr_code,0))&amp;"",""))</f>
        <v/>
      </c>
      <c r="J2623" s="65" t="str">
        <f>IF(COUNTA(A2623:G2623)=0,"",IF(E2623&lt;&gt;"",E2623,IF(B2623="","",IFERROR(IF(INDEX(pr_price,MATCH(B2623,pr_code,0))="","",INDEX(pr_price,MATCH(B2623,pr_code,0))),""))))</f>
        <v/>
      </c>
      <c r="K2623" s="71" t="str">
        <f>IF(COUNTA(A2623:G2623)=0,"",IF(G2623&lt;&gt;"",G2623,IF(B2623="","",IFERROR(IF(INDEX(pr_rate,MATCH(B2623,pr_code,0))="","",INDEX(pr_rate,MATCH(B2623,pr_code,0))),""))))</f>
        <v/>
      </c>
      <c r="L2623" s="65" t="str">
        <f>IF(COUNTA(A2623:G2623)=0,"",IF(AND(ISNUMBER(D2623),ISNUMBER(J2623)),ROUND(D2623*J2623*(1-N(F2623)),2),0))</f>
        <v/>
      </c>
      <c r="M2623" s="62" t="str">
        <f>IF(A2623="","",IFERROR(INDEX(fa_cname,MATCH(A2623,fa_num,0))&amp;"",""))</f>
        <v/>
      </c>
      <c r="N2623" s="59" t="str">
        <f>IF(COUNTA(A2623:G2623)=0,"",IF(A2623="","N° facture manquant",IF(ISNA(MATCH(A2623,fa_num,0)),"Facture inconnue",IF(AND(B2623&lt;&gt;"",ISNA(MATCH(B2623,pr_code,0))),"Article inconnu",IF(H2623="","Désignation manquante",IF(OR(NOT(ISNUMBER(D2623)),N(D2623)&lt;=0),"Quantité invalide",IF(J2623="","Prix manquant",IF(OR(NOT(ISNUMBER(J2623)),N(J2623)&lt;0),"Prix invalide",IF(OR(AND(F2623&lt;&gt;"",NOT(ISNUMBER(F2623))),N(F2623)&lt;0,N(F2623)&gt;1),"Remise invalide",IF(K2623="","Taux de TVA manquant",IF(NOT(ISNUMBER(K2623)),"Taux de TVA invalide",IF(COUNTIF(p_rates,K2623)=0,"Taux de TVA hors liste (Paramètres)",IF(N(O2623)&gt;25,"Au-delà de 25 lignes : non imprimée","OK")))))))))))))</f>
        <v/>
      </c>
      <c r="O2623" s="59" t="str">
        <f>IF(A2623="","",COUNTIF($A$6:A2623,A2623))</f>
        <v/>
      </c>
      <c r="P2623" s="62" t="str">
        <f>IF(A2623="","",A2623&amp;"|"&amp;O2623)</f>
        <v/>
      </c>
    </row>
    <row r="2624">
      <c r="A2624" s="60" t="n"/>
      <c r="B2624" s="63" t="n"/>
      <c r="C2624" s="63" t="n"/>
      <c r="D2624" s="67" t="n"/>
      <c r="E2624" s="68" t="n"/>
      <c r="F2624" s="69" t="n"/>
      <c r="G2624" s="70" t="n"/>
      <c r="H2624" s="62" t="str">
        <f>IF(COUNTA(A2624:G2624)=0,"",IF(C2624&lt;&gt;"",C2624,IF(B2624="","",IFERROR(INDEX(pr_des,MATCH(B2624,pr_code,0))&amp;"",""))))</f>
        <v/>
      </c>
      <c r="I2624" s="59" t="str">
        <f>IF(B2624="","",IFERROR(INDEX(pr_unit,MATCH(B2624,pr_code,0))&amp;"",""))</f>
        <v/>
      </c>
      <c r="J2624" s="65" t="str">
        <f>IF(COUNTA(A2624:G2624)=0,"",IF(E2624&lt;&gt;"",E2624,IF(B2624="","",IFERROR(IF(INDEX(pr_price,MATCH(B2624,pr_code,0))="","",INDEX(pr_price,MATCH(B2624,pr_code,0))),""))))</f>
        <v/>
      </c>
      <c r="K2624" s="71" t="str">
        <f>IF(COUNTA(A2624:G2624)=0,"",IF(G2624&lt;&gt;"",G2624,IF(B2624="","",IFERROR(IF(INDEX(pr_rate,MATCH(B2624,pr_code,0))="","",INDEX(pr_rate,MATCH(B2624,pr_code,0))),""))))</f>
        <v/>
      </c>
      <c r="L2624" s="65" t="str">
        <f>IF(COUNTA(A2624:G2624)=0,"",IF(AND(ISNUMBER(D2624),ISNUMBER(J2624)),ROUND(D2624*J2624*(1-N(F2624)),2),0))</f>
        <v/>
      </c>
      <c r="M2624" s="62" t="str">
        <f>IF(A2624="","",IFERROR(INDEX(fa_cname,MATCH(A2624,fa_num,0))&amp;"",""))</f>
        <v/>
      </c>
      <c r="N2624" s="59" t="str">
        <f>IF(COUNTA(A2624:G2624)=0,"",IF(A2624="","N° facture manquant",IF(ISNA(MATCH(A2624,fa_num,0)),"Facture inconnue",IF(AND(B2624&lt;&gt;"",ISNA(MATCH(B2624,pr_code,0))),"Article inconnu",IF(H2624="","Désignation manquante",IF(OR(NOT(ISNUMBER(D2624)),N(D2624)&lt;=0),"Quantité invalide",IF(J2624="","Prix manquant",IF(OR(NOT(ISNUMBER(J2624)),N(J2624)&lt;0),"Prix invalide",IF(OR(AND(F2624&lt;&gt;"",NOT(ISNUMBER(F2624))),N(F2624)&lt;0,N(F2624)&gt;1),"Remise invalide",IF(K2624="","Taux de TVA manquant",IF(NOT(ISNUMBER(K2624)),"Taux de TVA invalide",IF(COUNTIF(p_rates,K2624)=0,"Taux de TVA hors liste (Paramètres)",IF(N(O2624)&gt;25,"Au-delà de 25 lignes : non imprimée","OK")))))))))))))</f>
        <v/>
      </c>
      <c r="O2624" s="59" t="str">
        <f>IF(A2624="","",COUNTIF($A$6:A2624,A2624))</f>
        <v/>
      </c>
      <c r="P2624" s="62" t="str">
        <f>IF(A2624="","",A2624&amp;"|"&amp;O2624)</f>
        <v/>
      </c>
    </row>
    <row r="2625">
      <c r="A2625" s="60" t="n"/>
      <c r="B2625" s="63" t="n"/>
      <c r="C2625" s="63" t="n"/>
      <c r="D2625" s="67" t="n"/>
      <c r="E2625" s="68" t="n"/>
      <c r="F2625" s="69" t="n"/>
      <c r="G2625" s="70" t="n"/>
      <c r="H2625" s="62" t="str">
        <f>IF(COUNTA(A2625:G2625)=0,"",IF(C2625&lt;&gt;"",C2625,IF(B2625="","",IFERROR(INDEX(pr_des,MATCH(B2625,pr_code,0))&amp;"",""))))</f>
        <v/>
      </c>
      <c r="I2625" s="59" t="str">
        <f>IF(B2625="","",IFERROR(INDEX(pr_unit,MATCH(B2625,pr_code,0))&amp;"",""))</f>
        <v/>
      </c>
      <c r="J2625" s="65" t="str">
        <f>IF(COUNTA(A2625:G2625)=0,"",IF(E2625&lt;&gt;"",E2625,IF(B2625="","",IFERROR(IF(INDEX(pr_price,MATCH(B2625,pr_code,0))="","",INDEX(pr_price,MATCH(B2625,pr_code,0))),""))))</f>
        <v/>
      </c>
      <c r="K2625" s="71" t="str">
        <f>IF(COUNTA(A2625:G2625)=0,"",IF(G2625&lt;&gt;"",G2625,IF(B2625="","",IFERROR(IF(INDEX(pr_rate,MATCH(B2625,pr_code,0))="","",INDEX(pr_rate,MATCH(B2625,pr_code,0))),""))))</f>
        <v/>
      </c>
      <c r="L2625" s="65" t="str">
        <f>IF(COUNTA(A2625:G2625)=0,"",IF(AND(ISNUMBER(D2625),ISNUMBER(J2625)),ROUND(D2625*J2625*(1-N(F2625)),2),0))</f>
        <v/>
      </c>
      <c r="M2625" s="62" t="str">
        <f>IF(A2625="","",IFERROR(INDEX(fa_cname,MATCH(A2625,fa_num,0))&amp;"",""))</f>
        <v/>
      </c>
      <c r="N2625" s="59" t="str">
        <f>IF(COUNTA(A2625:G2625)=0,"",IF(A2625="","N° facture manquant",IF(ISNA(MATCH(A2625,fa_num,0)),"Facture inconnue",IF(AND(B2625&lt;&gt;"",ISNA(MATCH(B2625,pr_code,0))),"Article inconnu",IF(H2625="","Désignation manquante",IF(OR(NOT(ISNUMBER(D2625)),N(D2625)&lt;=0),"Quantité invalide",IF(J2625="","Prix manquant",IF(OR(NOT(ISNUMBER(J2625)),N(J2625)&lt;0),"Prix invalide",IF(OR(AND(F2625&lt;&gt;"",NOT(ISNUMBER(F2625))),N(F2625)&lt;0,N(F2625)&gt;1),"Remise invalide",IF(K2625="","Taux de TVA manquant",IF(NOT(ISNUMBER(K2625)),"Taux de TVA invalide",IF(COUNTIF(p_rates,K2625)=0,"Taux de TVA hors liste (Paramètres)",IF(N(O2625)&gt;25,"Au-delà de 25 lignes : non imprimée","OK")))))))))))))</f>
        <v/>
      </c>
      <c r="O2625" s="59" t="str">
        <f>IF(A2625="","",COUNTIF($A$6:A2625,A2625))</f>
        <v/>
      </c>
      <c r="P2625" s="62" t="str">
        <f>IF(A2625="","",A2625&amp;"|"&amp;O2625)</f>
        <v/>
      </c>
    </row>
    <row r="2626">
      <c r="A2626" s="60" t="n"/>
      <c r="B2626" s="63" t="n"/>
      <c r="C2626" s="63" t="n"/>
      <c r="D2626" s="67" t="n"/>
      <c r="E2626" s="68" t="n"/>
      <c r="F2626" s="69" t="n"/>
      <c r="G2626" s="70" t="n"/>
      <c r="H2626" s="62" t="str">
        <f>IF(COUNTA(A2626:G2626)=0,"",IF(C2626&lt;&gt;"",C2626,IF(B2626="","",IFERROR(INDEX(pr_des,MATCH(B2626,pr_code,0))&amp;"",""))))</f>
        <v/>
      </c>
      <c r="I2626" s="59" t="str">
        <f>IF(B2626="","",IFERROR(INDEX(pr_unit,MATCH(B2626,pr_code,0))&amp;"",""))</f>
        <v/>
      </c>
      <c r="J2626" s="65" t="str">
        <f>IF(COUNTA(A2626:G2626)=0,"",IF(E2626&lt;&gt;"",E2626,IF(B2626="","",IFERROR(IF(INDEX(pr_price,MATCH(B2626,pr_code,0))="","",INDEX(pr_price,MATCH(B2626,pr_code,0))),""))))</f>
        <v/>
      </c>
      <c r="K2626" s="71" t="str">
        <f>IF(COUNTA(A2626:G2626)=0,"",IF(G2626&lt;&gt;"",G2626,IF(B2626="","",IFERROR(IF(INDEX(pr_rate,MATCH(B2626,pr_code,0))="","",INDEX(pr_rate,MATCH(B2626,pr_code,0))),""))))</f>
        <v/>
      </c>
      <c r="L2626" s="65" t="str">
        <f>IF(COUNTA(A2626:G2626)=0,"",IF(AND(ISNUMBER(D2626),ISNUMBER(J2626)),ROUND(D2626*J2626*(1-N(F2626)),2),0))</f>
        <v/>
      </c>
      <c r="M2626" s="62" t="str">
        <f>IF(A2626="","",IFERROR(INDEX(fa_cname,MATCH(A2626,fa_num,0))&amp;"",""))</f>
        <v/>
      </c>
      <c r="N2626" s="59" t="str">
        <f>IF(COUNTA(A2626:G2626)=0,"",IF(A2626="","N° facture manquant",IF(ISNA(MATCH(A2626,fa_num,0)),"Facture inconnue",IF(AND(B2626&lt;&gt;"",ISNA(MATCH(B2626,pr_code,0))),"Article inconnu",IF(H2626="","Désignation manquante",IF(OR(NOT(ISNUMBER(D2626)),N(D2626)&lt;=0),"Quantité invalide",IF(J2626="","Prix manquant",IF(OR(NOT(ISNUMBER(J2626)),N(J2626)&lt;0),"Prix invalide",IF(OR(AND(F2626&lt;&gt;"",NOT(ISNUMBER(F2626))),N(F2626)&lt;0,N(F2626)&gt;1),"Remise invalide",IF(K2626="","Taux de TVA manquant",IF(NOT(ISNUMBER(K2626)),"Taux de TVA invalide",IF(COUNTIF(p_rates,K2626)=0,"Taux de TVA hors liste (Paramètres)",IF(N(O2626)&gt;25,"Au-delà de 25 lignes : non imprimée","OK")))))))))))))</f>
        <v/>
      </c>
      <c r="O2626" s="59" t="str">
        <f>IF(A2626="","",COUNTIF($A$6:A2626,A2626))</f>
        <v/>
      </c>
      <c r="P2626" s="62" t="str">
        <f>IF(A2626="","",A2626&amp;"|"&amp;O2626)</f>
        <v/>
      </c>
    </row>
    <row r="2627">
      <c r="A2627" s="60" t="n"/>
      <c r="B2627" s="63" t="n"/>
      <c r="C2627" s="63" t="n"/>
      <c r="D2627" s="67" t="n"/>
      <c r="E2627" s="68" t="n"/>
      <c r="F2627" s="69" t="n"/>
      <c r="G2627" s="70" t="n"/>
      <c r="H2627" s="62" t="str">
        <f>IF(COUNTA(A2627:G2627)=0,"",IF(C2627&lt;&gt;"",C2627,IF(B2627="","",IFERROR(INDEX(pr_des,MATCH(B2627,pr_code,0))&amp;"",""))))</f>
        <v/>
      </c>
      <c r="I2627" s="59" t="str">
        <f>IF(B2627="","",IFERROR(INDEX(pr_unit,MATCH(B2627,pr_code,0))&amp;"",""))</f>
        <v/>
      </c>
      <c r="J2627" s="65" t="str">
        <f>IF(COUNTA(A2627:G2627)=0,"",IF(E2627&lt;&gt;"",E2627,IF(B2627="","",IFERROR(IF(INDEX(pr_price,MATCH(B2627,pr_code,0))="","",INDEX(pr_price,MATCH(B2627,pr_code,0))),""))))</f>
        <v/>
      </c>
      <c r="K2627" s="71" t="str">
        <f>IF(COUNTA(A2627:G2627)=0,"",IF(G2627&lt;&gt;"",G2627,IF(B2627="","",IFERROR(IF(INDEX(pr_rate,MATCH(B2627,pr_code,0))="","",INDEX(pr_rate,MATCH(B2627,pr_code,0))),""))))</f>
        <v/>
      </c>
      <c r="L2627" s="65" t="str">
        <f>IF(COUNTA(A2627:G2627)=0,"",IF(AND(ISNUMBER(D2627),ISNUMBER(J2627)),ROUND(D2627*J2627*(1-N(F2627)),2),0))</f>
        <v/>
      </c>
      <c r="M2627" s="62" t="str">
        <f>IF(A2627="","",IFERROR(INDEX(fa_cname,MATCH(A2627,fa_num,0))&amp;"",""))</f>
        <v/>
      </c>
      <c r="N2627" s="59" t="str">
        <f>IF(COUNTA(A2627:G2627)=0,"",IF(A2627="","N° facture manquant",IF(ISNA(MATCH(A2627,fa_num,0)),"Facture inconnue",IF(AND(B2627&lt;&gt;"",ISNA(MATCH(B2627,pr_code,0))),"Article inconnu",IF(H2627="","Désignation manquante",IF(OR(NOT(ISNUMBER(D2627)),N(D2627)&lt;=0),"Quantité invalide",IF(J2627="","Prix manquant",IF(OR(NOT(ISNUMBER(J2627)),N(J2627)&lt;0),"Prix invalide",IF(OR(AND(F2627&lt;&gt;"",NOT(ISNUMBER(F2627))),N(F2627)&lt;0,N(F2627)&gt;1),"Remise invalide",IF(K2627="","Taux de TVA manquant",IF(NOT(ISNUMBER(K2627)),"Taux de TVA invalide",IF(COUNTIF(p_rates,K2627)=0,"Taux de TVA hors liste (Paramètres)",IF(N(O2627)&gt;25,"Au-delà de 25 lignes : non imprimée","OK")))))))))))))</f>
        <v/>
      </c>
      <c r="O2627" s="59" t="str">
        <f>IF(A2627="","",COUNTIF($A$6:A2627,A2627))</f>
        <v/>
      </c>
      <c r="P2627" s="62" t="str">
        <f>IF(A2627="","",A2627&amp;"|"&amp;O2627)</f>
        <v/>
      </c>
    </row>
    <row r="2628">
      <c r="A2628" s="60" t="n"/>
      <c r="B2628" s="63" t="n"/>
      <c r="C2628" s="63" t="n"/>
      <c r="D2628" s="67" t="n"/>
      <c r="E2628" s="68" t="n"/>
      <c r="F2628" s="69" t="n"/>
      <c r="G2628" s="70" t="n"/>
      <c r="H2628" s="62" t="str">
        <f>IF(COUNTA(A2628:G2628)=0,"",IF(C2628&lt;&gt;"",C2628,IF(B2628="","",IFERROR(INDEX(pr_des,MATCH(B2628,pr_code,0))&amp;"",""))))</f>
        <v/>
      </c>
      <c r="I2628" s="59" t="str">
        <f>IF(B2628="","",IFERROR(INDEX(pr_unit,MATCH(B2628,pr_code,0))&amp;"",""))</f>
        <v/>
      </c>
      <c r="J2628" s="65" t="str">
        <f>IF(COUNTA(A2628:G2628)=0,"",IF(E2628&lt;&gt;"",E2628,IF(B2628="","",IFERROR(IF(INDEX(pr_price,MATCH(B2628,pr_code,0))="","",INDEX(pr_price,MATCH(B2628,pr_code,0))),""))))</f>
        <v/>
      </c>
      <c r="K2628" s="71" t="str">
        <f>IF(COUNTA(A2628:G2628)=0,"",IF(G2628&lt;&gt;"",G2628,IF(B2628="","",IFERROR(IF(INDEX(pr_rate,MATCH(B2628,pr_code,0))="","",INDEX(pr_rate,MATCH(B2628,pr_code,0))),""))))</f>
        <v/>
      </c>
      <c r="L2628" s="65" t="str">
        <f>IF(COUNTA(A2628:G2628)=0,"",IF(AND(ISNUMBER(D2628),ISNUMBER(J2628)),ROUND(D2628*J2628*(1-N(F2628)),2),0))</f>
        <v/>
      </c>
      <c r="M2628" s="62" t="str">
        <f>IF(A2628="","",IFERROR(INDEX(fa_cname,MATCH(A2628,fa_num,0))&amp;"",""))</f>
        <v/>
      </c>
      <c r="N2628" s="59" t="str">
        <f>IF(COUNTA(A2628:G2628)=0,"",IF(A2628="","N° facture manquant",IF(ISNA(MATCH(A2628,fa_num,0)),"Facture inconnue",IF(AND(B2628&lt;&gt;"",ISNA(MATCH(B2628,pr_code,0))),"Article inconnu",IF(H2628="","Désignation manquante",IF(OR(NOT(ISNUMBER(D2628)),N(D2628)&lt;=0),"Quantité invalide",IF(J2628="","Prix manquant",IF(OR(NOT(ISNUMBER(J2628)),N(J2628)&lt;0),"Prix invalide",IF(OR(AND(F2628&lt;&gt;"",NOT(ISNUMBER(F2628))),N(F2628)&lt;0,N(F2628)&gt;1),"Remise invalide",IF(K2628="","Taux de TVA manquant",IF(NOT(ISNUMBER(K2628)),"Taux de TVA invalide",IF(COUNTIF(p_rates,K2628)=0,"Taux de TVA hors liste (Paramètres)",IF(N(O2628)&gt;25,"Au-delà de 25 lignes : non imprimée","OK")))))))))))))</f>
        <v/>
      </c>
      <c r="O2628" s="59" t="str">
        <f>IF(A2628="","",COUNTIF($A$6:A2628,A2628))</f>
        <v/>
      </c>
      <c r="P2628" s="62" t="str">
        <f>IF(A2628="","",A2628&amp;"|"&amp;O2628)</f>
        <v/>
      </c>
    </row>
    <row r="2629">
      <c r="A2629" s="60" t="n"/>
      <c r="B2629" s="63" t="n"/>
      <c r="C2629" s="63" t="n"/>
      <c r="D2629" s="67" t="n"/>
      <c r="E2629" s="68" t="n"/>
      <c r="F2629" s="69" t="n"/>
      <c r="G2629" s="70" t="n"/>
      <c r="H2629" s="62" t="str">
        <f>IF(COUNTA(A2629:G2629)=0,"",IF(C2629&lt;&gt;"",C2629,IF(B2629="","",IFERROR(INDEX(pr_des,MATCH(B2629,pr_code,0))&amp;"",""))))</f>
        <v/>
      </c>
      <c r="I2629" s="59" t="str">
        <f>IF(B2629="","",IFERROR(INDEX(pr_unit,MATCH(B2629,pr_code,0))&amp;"",""))</f>
        <v/>
      </c>
      <c r="J2629" s="65" t="str">
        <f>IF(COUNTA(A2629:G2629)=0,"",IF(E2629&lt;&gt;"",E2629,IF(B2629="","",IFERROR(IF(INDEX(pr_price,MATCH(B2629,pr_code,0))="","",INDEX(pr_price,MATCH(B2629,pr_code,0))),""))))</f>
        <v/>
      </c>
      <c r="K2629" s="71" t="str">
        <f>IF(COUNTA(A2629:G2629)=0,"",IF(G2629&lt;&gt;"",G2629,IF(B2629="","",IFERROR(IF(INDEX(pr_rate,MATCH(B2629,pr_code,0))="","",INDEX(pr_rate,MATCH(B2629,pr_code,0))),""))))</f>
        <v/>
      </c>
      <c r="L2629" s="65" t="str">
        <f>IF(COUNTA(A2629:G2629)=0,"",IF(AND(ISNUMBER(D2629),ISNUMBER(J2629)),ROUND(D2629*J2629*(1-N(F2629)),2),0))</f>
        <v/>
      </c>
      <c r="M2629" s="62" t="str">
        <f>IF(A2629="","",IFERROR(INDEX(fa_cname,MATCH(A2629,fa_num,0))&amp;"",""))</f>
        <v/>
      </c>
      <c r="N2629" s="59" t="str">
        <f>IF(COUNTA(A2629:G2629)=0,"",IF(A2629="","N° facture manquant",IF(ISNA(MATCH(A2629,fa_num,0)),"Facture inconnue",IF(AND(B2629&lt;&gt;"",ISNA(MATCH(B2629,pr_code,0))),"Article inconnu",IF(H2629="","Désignation manquante",IF(OR(NOT(ISNUMBER(D2629)),N(D2629)&lt;=0),"Quantité invalide",IF(J2629="","Prix manquant",IF(OR(NOT(ISNUMBER(J2629)),N(J2629)&lt;0),"Prix invalide",IF(OR(AND(F2629&lt;&gt;"",NOT(ISNUMBER(F2629))),N(F2629)&lt;0,N(F2629)&gt;1),"Remise invalide",IF(K2629="","Taux de TVA manquant",IF(NOT(ISNUMBER(K2629)),"Taux de TVA invalide",IF(COUNTIF(p_rates,K2629)=0,"Taux de TVA hors liste (Paramètres)",IF(N(O2629)&gt;25,"Au-delà de 25 lignes : non imprimée","OK")))))))))))))</f>
        <v/>
      </c>
      <c r="O2629" s="59" t="str">
        <f>IF(A2629="","",COUNTIF($A$6:A2629,A2629))</f>
        <v/>
      </c>
      <c r="P2629" s="62" t="str">
        <f>IF(A2629="","",A2629&amp;"|"&amp;O2629)</f>
        <v/>
      </c>
    </row>
    <row r="2630">
      <c r="A2630" s="60" t="n"/>
      <c r="B2630" s="63" t="n"/>
      <c r="C2630" s="63" t="n"/>
      <c r="D2630" s="67" t="n"/>
      <c r="E2630" s="68" t="n"/>
      <c r="F2630" s="69" t="n"/>
      <c r="G2630" s="70" t="n"/>
      <c r="H2630" s="62" t="str">
        <f>IF(COUNTA(A2630:G2630)=0,"",IF(C2630&lt;&gt;"",C2630,IF(B2630="","",IFERROR(INDEX(pr_des,MATCH(B2630,pr_code,0))&amp;"",""))))</f>
        <v/>
      </c>
      <c r="I2630" s="59" t="str">
        <f>IF(B2630="","",IFERROR(INDEX(pr_unit,MATCH(B2630,pr_code,0))&amp;"",""))</f>
        <v/>
      </c>
      <c r="J2630" s="65" t="str">
        <f>IF(COUNTA(A2630:G2630)=0,"",IF(E2630&lt;&gt;"",E2630,IF(B2630="","",IFERROR(IF(INDEX(pr_price,MATCH(B2630,pr_code,0))="","",INDEX(pr_price,MATCH(B2630,pr_code,0))),""))))</f>
        <v/>
      </c>
      <c r="K2630" s="71" t="str">
        <f>IF(COUNTA(A2630:G2630)=0,"",IF(G2630&lt;&gt;"",G2630,IF(B2630="","",IFERROR(IF(INDEX(pr_rate,MATCH(B2630,pr_code,0))="","",INDEX(pr_rate,MATCH(B2630,pr_code,0))),""))))</f>
        <v/>
      </c>
      <c r="L2630" s="65" t="str">
        <f>IF(COUNTA(A2630:G2630)=0,"",IF(AND(ISNUMBER(D2630),ISNUMBER(J2630)),ROUND(D2630*J2630*(1-N(F2630)),2),0))</f>
        <v/>
      </c>
      <c r="M2630" s="62" t="str">
        <f>IF(A2630="","",IFERROR(INDEX(fa_cname,MATCH(A2630,fa_num,0))&amp;"",""))</f>
        <v/>
      </c>
      <c r="N2630" s="59" t="str">
        <f>IF(COUNTA(A2630:G2630)=0,"",IF(A2630="","N° facture manquant",IF(ISNA(MATCH(A2630,fa_num,0)),"Facture inconnue",IF(AND(B2630&lt;&gt;"",ISNA(MATCH(B2630,pr_code,0))),"Article inconnu",IF(H2630="","Désignation manquante",IF(OR(NOT(ISNUMBER(D2630)),N(D2630)&lt;=0),"Quantité invalide",IF(J2630="","Prix manquant",IF(OR(NOT(ISNUMBER(J2630)),N(J2630)&lt;0),"Prix invalide",IF(OR(AND(F2630&lt;&gt;"",NOT(ISNUMBER(F2630))),N(F2630)&lt;0,N(F2630)&gt;1),"Remise invalide",IF(K2630="","Taux de TVA manquant",IF(NOT(ISNUMBER(K2630)),"Taux de TVA invalide",IF(COUNTIF(p_rates,K2630)=0,"Taux de TVA hors liste (Paramètres)",IF(N(O2630)&gt;25,"Au-delà de 25 lignes : non imprimée","OK")))))))))))))</f>
        <v/>
      </c>
      <c r="O2630" s="59" t="str">
        <f>IF(A2630="","",COUNTIF($A$6:A2630,A2630))</f>
        <v/>
      </c>
      <c r="P2630" s="62" t="str">
        <f>IF(A2630="","",A2630&amp;"|"&amp;O2630)</f>
        <v/>
      </c>
    </row>
    <row r="2631">
      <c r="A2631" s="60" t="n"/>
      <c r="B2631" s="63" t="n"/>
      <c r="C2631" s="63" t="n"/>
      <c r="D2631" s="67" t="n"/>
      <c r="E2631" s="68" t="n"/>
      <c r="F2631" s="69" t="n"/>
      <c r="G2631" s="70" t="n"/>
      <c r="H2631" s="62" t="str">
        <f>IF(COUNTA(A2631:G2631)=0,"",IF(C2631&lt;&gt;"",C2631,IF(B2631="","",IFERROR(INDEX(pr_des,MATCH(B2631,pr_code,0))&amp;"",""))))</f>
        <v/>
      </c>
      <c r="I2631" s="59" t="str">
        <f>IF(B2631="","",IFERROR(INDEX(pr_unit,MATCH(B2631,pr_code,0))&amp;"",""))</f>
        <v/>
      </c>
      <c r="J2631" s="65" t="str">
        <f>IF(COUNTA(A2631:G2631)=0,"",IF(E2631&lt;&gt;"",E2631,IF(B2631="","",IFERROR(IF(INDEX(pr_price,MATCH(B2631,pr_code,0))="","",INDEX(pr_price,MATCH(B2631,pr_code,0))),""))))</f>
        <v/>
      </c>
      <c r="K2631" s="71" t="str">
        <f>IF(COUNTA(A2631:G2631)=0,"",IF(G2631&lt;&gt;"",G2631,IF(B2631="","",IFERROR(IF(INDEX(pr_rate,MATCH(B2631,pr_code,0))="","",INDEX(pr_rate,MATCH(B2631,pr_code,0))),""))))</f>
        <v/>
      </c>
      <c r="L2631" s="65" t="str">
        <f>IF(COUNTA(A2631:G2631)=0,"",IF(AND(ISNUMBER(D2631),ISNUMBER(J2631)),ROUND(D2631*J2631*(1-N(F2631)),2),0))</f>
        <v/>
      </c>
      <c r="M2631" s="62" t="str">
        <f>IF(A2631="","",IFERROR(INDEX(fa_cname,MATCH(A2631,fa_num,0))&amp;"",""))</f>
        <v/>
      </c>
      <c r="N2631" s="59" t="str">
        <f>IF(COUNTA(A2631:G2631)=0,"",IF(A2631="","N° facture manquant",IF(ISNA(MATCH(A2631,fa_num,0)),"Facture inconnue",IF(AND(B2631&lt;&gt;"",ISNA(MATCH(B2631,pr_code,0))),"Article inconnu",IF(H2631="","Désignation manquante",IF(OR(NOT(ISNUMBER(D2631)),N(D2631)&lt;=0),"Quantité invalide",IF(J2631="","Prix manquant",IF(OR(NOT(ISNUMBER(J2631)),N(J2631)&lt;0),"Prix invalide",IF(OR(AND(F2631&lt;&gt;"",NOT(ISNUMBER(F2631))),N(F2631)&lt;0,N(F2631)&gt;1),"Remise invalide",IF(K2631="","Taux de TVA manquant",IF(NOT(ISNUMBER(K2631)),"Taux de TVA invalide",IF(COUNTIF(p_rates,K2631)=0,"Taux de TVA hors liste (Paramètres)",IF(N(O2631)&gt;25,"Au-delà de 25 lignes : non imprimée","OK")))))))))))))</f>
        <v/>
      </c>
      <c r="O2631" s="59" t="str">
        <f>IF(A2631="","",COUNTIF($A$6:A2631,A2631))</f>
        <v/>
      </c>
      <c r="P2631" s="62" t="str">
        <f>IF(A2631="","",A2631&amp;"|"&amp;O2631)</f>
        <v/>
      </c>
    </row>
    <row r="2632">
      <c r="A2632" s="60" t="n"/>
      <c r="B2632" s="63" t="n"/>
      <c r="C2632" s="63" t="n"/>
      <c r="D2632" s="67" t="n"/>
      <c r="E2632" s="68" t="n"/>
      <c r="F2632" s="69" t="n"/>
      <c r="G2632" s="70" t="n"/>
      <c r="H2632" s="62" t="str">
        <f>IF(COUNTA(A2632:G2632)=0,"",IF(C2632&lt;&gt;"",C2632,IF(B2632="","",IFERROR(INDEX(pr_des,MATCH(B2632,pr_code,0))&amp;"",""))))</f>
        <v/>
      </c>
      <c r="I2632" s="59" t="str">
        <f>IF(B2632="","",IFERROR(INDEX(pr_unit,MATCH(B2632,pr_code,0))&amp;"",""))</f>
        <v/>
      </c>
      <c r="J2632" s="65" t="str">
        <f>IF(COUNTA(A2632:G2632)=0,"",IF(E2632&lt;&gt;"",E2632,IF(B2632="","",IFERROR(IF(INDEX(pr_price,MATCH(B2632,pr_code,0))="","",INDEX(pr_price,MATCH(B2632,pr_code,0))),""))))</f>
        <v/>
      </c>
      <c r="K2632" s="71" t="str">
        <f>IF(COUNTA(A2632:G2632)=0,"",IF(G2632&lt;&gt;"",G2632,IF(B2632="","",IFERROR(IF(INDEX(pr_rate,MATCH(B2632,pr_code,0))="","",INDEX(pr_rate,MATCH(B2632,pr_code,0))),""))))</f>
        <v/>
      </c>
      <c r="L2632" s="65" t="str">
        <f>IF(COUNTA(A2632:G2632)=0,"",IF(AND(ISNUMBER(D2632),ISNUMBER(J2632)),ROUND(D2632*J2632*(1-N(F2632)),2),0))</f>
        <v/>
      </c>
      <c r="M2632" s="62" t="str">
        <f>IF(A2632="","",IFERROR(INDEX(fa_cname,MATCH(A2632,fa_num,0))&amp;"",""))</f>
        <v/>
      </c>
      <c r="N2632" s="59" t="str">
        <f>IF(COUNTA(A2632:G2632)=0,"",IF(A2632="","N° facture manquant",IF(ISNA(MATCH(A2632,fa_num,0)),"Facture inconnue",IF(AND(B2632&lt;&gt;"",ISNA(MATCH(B2632,pr_code,0))),"Article inconnu",IF(H2632="","Désignation manquante",IF(OR(NOT(ISNUMBER(D2632)),N(D2632)&lt;=0),"Quantité invalide",IF(J2632="","Prix manquant",IF(OR(NOT(ISNUMBER(J2632)),N(J2632)&lt;0),"Prix invalide",IF(OR(AND(F2632&lt;&gt;"",NOT(ISNUMBER(F2632))),N(F2632)&lt;0,N(F2632)&gt;1),"Remise invalide",IF(K2632="","Taux de TVA manquant",IF(NOT(ISNUMBER(K2632)),"Taux de TVA invalide",IF(COUNTIF(p_rates,K2632)=0,"Taux de TVA hors liste (Paramètres)",IF(N(O2632)&gt;25,"Au-delà de 25 lignes : non imprimée","OK")))))))))))))</f>
        <v/>
      </c>
      <c r="O2632" s="59" t="str">
        <f>IF(A2632="","",COUNTIF($A$6:A2632,A2632))</f>
        <v/>
      </c>
      <c r="P2632" s="62" t="str">
        <f>IF(A2632="","",A2632&amp;"|"&amp;O2632)</f>
        <v/>
      </c>
    </row>
    <row r="2633">
      <c r="A2633" s="60" t="n"/>
      <c r="B2633" s="63" t="n"/>
      <c r="C2633" s="63" t="n"/>
      <c r="D2633" s="67" t="n"/>
      <c r="E2633" s="68" t="n"/>
      <c r="F2633" s="69" t="n"/>
      <c r="G2633" s="70" t="n"/>
      <c r="H2633" s="62" t="str">
        <f>IF(COUNTA(A2633:G2633)=0,"",IF(C2633&lt;&gt;"",C2633,IF(B2633="","",IFERROR(INDEX(pr_des,MATCH(B2633,pr_code,0))&amp;"",""))))</f>
        <v/>
      </c>
      <c r="I2633" s="59" t="str">
        <f>IF(B2633="","",IFERROR(INDEX(pr_unit,MATCH(B2633,pr_code,0))&amp;"",""))</f>
        <v/>
      </c>
      <c r="J2633" s="65" t="str">
        <f>IF(COUNTA(A2633:G2633)=0,"",IF(E2633&lt;&gt;"",E2633,IF(B2633="","",IFERROR(IF(INDEX(pr_price,MATCH(B2633,pr_code,0))="","",INDEX(pr_price,MATCH(B2633,pr_code,0))),""))))</f>
        <v/>
      </c>
      <c r="K2633" s="71" t="str">
        <f>IF(COUNTA(A2633:G2633)=0,"",IF(G2633&lt;&gt;"",G2633,IF(B2633="","",IFERROR(IF(INDEX(pr_rate,MATCH(B2633,pr_code,0))="","",INDEX(pr_rate,MATCH(B2633,pr_code,0))),""))))</f>
        <v/>
      </c>
      <c r="L2633" s="65" t="str">
        <f>IF(COUNTA(A2633:G2633)=0,"",IF(AND(ISNUMBER(D2633),ISNUMBER(J2633)),ROUND(D2633*J2633*(1-N(F2633)),2),0))</f>
        <v/>
      </c>
      <c r="M2633" s="62" t="str">
        <f>IF(A2633="","",IFERROR(INDEX(fa_cname,MATCH(A2633,fa_num,0))&amp;"",""))</f>
        <v/>
      </c>
      <c r="N2633" s="59" t="str">
        <f>IF(COUNTA(A2633:G2633)=0,"",IF(A2633="","N° facture manquant",IF(ISNA(MATCH(A2633,fa_num,0)),"Facture inconnue",IF(AND(B2633&lt;&gt;"",ISNA(MATCH(B2633,pr_code,0))),"Article inconnu",IF(H2633="","Désignation manquante",IF(OR(NOT(ISNUMBER(D2633)),N(D2633)&lt;=0),"Quantité invalide",IF(J2633="","Prix manquant",IF(OR(NOT(ISNUMBER(J2633)),N(J2633)&lt;0),"Prix invalide",IF(OR(AND(F2633&lt;&gt;"",NOT(ISNUMBER(F2633))),N(F2633)&lt;0,N(F2633)&gt;1),"Remise invalide",IF(K2633="","Taux de TVA manquant",IF(NOT(ISNUMBER(K2633)),"Taux de TVA invalide",IF(COUNTIF(p_rates,K2633)=0,"Taux de TVA hors liste (Paramètres)",IF(N(O2633)&gt;25,"Au-delà de 25 lignes : non imprimée","OK")))))))))))))</f>
        <v/>
      </c>
      <c r="O2633" s="59" t="str">
        <f>IF(A2633="","",COUNTIF($A$6:A2633,A2633))</f>
        <v/>
      </c>
      <c r="P2633" s="62" t="str">
        <f>IF(A2633="","",A2633&amp;"|"&amp;O2633)</f>
        <v/>
      </c>
    </row>
    <row r="2634">
      <c r="A2634" s="60" t="n"/>
      <c r="B2634" s="63" t="n"/>
      <c r="C2634" s="63" t="n"/>
      <c r="D2634" s="67" t="n"/>
      <c r="E2634" s="68" t="n"/>
      <c r="F2634" s="69" t="n"/>
      <c r="G2634" s="70" t="n"/>
      <c r="H2634" s="62" t="str">
        <f>IF(COUNTA(A2634:G2634)=0,"",IF(C2634&lt;&gt;"",C2634,IF(B2634="","",IFERROR(INDEX(pr_des,MATCH(B2634,pr_code,0))&amp;"",""))))</f>
        <v/>
      </c>
      <c r="I2634" s="59" t="str">
        <f>IF(B2634="","",IFERROR(INDEX(pr_unit,MATCH(B2634,pr_code,0))&amp;"",""))</f>
        <v/>
      </c>
      <c r="J2634" s="65" t="str">
        <f>IF(COUNTA(A2634:G2634)=0,"",IF(E2634&lt;&gt;"",E2634,IF(B2634="","",IFERROR(IF(INDEX(pr_price,MATCH(B2634,pr_code,0))="","",INDEX(pr_price,MATCH(B2634,pr_code,0))),""))))</f>
        <v/>
      </c>
      <c r="K2634" s="71" t="str">
        <f>IF(COUNTA(A2634:G2634)=0,"",IF(G2634&lt;&gt;"",G2634,IF(B2634="","",IFERROR(IF(INDEX(pr_rate,MATCH(B2634,pr_code,0))="","",INDEX(pr_rate,MATCH(B2634,pr_code,0))),""))))</f>
        <v/>
      </c>
      <c r="L2634" s="65" t="str">
        <f>IF(COUNTA(A2634:G2634)=0,"",IF(AND(ISNUMBER(D2634),ISNUMBER(J2634)),ROUND(D2634*J2634*(1-N(F2634)),2),0))</f>
        <v/>
      </c>
      <c r="M2634" s="62" t="str">
        <f>IF(A2634="","",IFERROR(INDEX(fa_cname,MATCH(A2634,fa_num,0))&amp;"",""))</f>
        <v/>
      </c>
      <c r="N2634" s="59" t="str">
        <f>IF(COUNTA(A2634:G2634)=0,"",IF(A2634="","N° facture manquant",IF(ISNA(MATCH(A2634,fa_num,0)),"Facture inconnue",IF(AND(B2634&lt;&gt;"",ISNA(MATCH(B2634,pr_code,0))),"Article inconnu",IF(H2634="","Désignation manquante",IF(OR(NOT(ISNUMBER(D2634)),N(D2634)&lt;=0),"Quantité invalide",IF(J2634="","Prix manquant",IF(OR(NOT(ISNUMBER(J2634)),N(J2634)&lt;0),"Prix invalide",IF(OR(AND(F2634&lt;&gt;"",NOT(ISNUMBER(F2634))),N(F2634)&lt;0,N(F2634)&gt;1),"Remise invalide",IF(K2634="","Taux de TVA manquant",IF(NOT(ISNUMBER(K2634)),"Taux de TVA invalide",IF(COUNTIF(p_rates,K2634)=0,"Taux de TVA hors liste (Paramètres)",IF(N(O2634)&gt;25,"Au-delà de 25 lignes : non imprimée","OK")))))))))))))</f>
        <v/>
      </c>
      <c r="O2634" s="59" t="str">
        <f>IF(A2634="","",COUNTIF($A$6:A2634,A2634))</f>
        <v/>
      </c>
      <c r="P2634" s="62" t="str">
        <f>IF(A2634="","",A2634&amp;"|"&amp;O2634)</f>
        <v/>
      </c>
    </row>
    <row r="2635">
      <c r="A2635" s="60" t="n"/>
      <c r="B2635" s="63" t="n"/>
      <c r="C2635" s="63" t="n"/>
      <c r="D2635" s="67" t="n"/>
      <c r="E2635" s="68" t="n"/>
      <c r="F2635" s="69" t="n"/>
      <c r="G2635" s="70" t="n"/>
      <c r="H2635" s="62" t="str">
        <f>IF(COUNTA(A2635:G2635)=0,"",IF(C2635&lt;&gt;"",C2635,IF(B2635="","",IFERROR(INDEX(pr_des,MATCH(B2635,pr_code,0))&amp;"",""))))</f>
        <v/>
      </c>
      <c r="I2635" s="59" t="str">
        <f>IF(B2635="","",IFERROR(INDEX(pr_unit,MATCH(B2635,pr_code,0))&amp;"",""))</f>
        <v/>
      </c>
      <c r="J2635" s="65" t="str">
        <f>IF(COUNTA(A2635:G2635)=0,"",IF(E2635&lt;&gt;"",E2635,IF(B2635="","",IFERROR(IF(INDEX(pr_price,MATCH(B2635,pr_code,0))="","",INDEX(pr_price,MATCH(B2635,pr_code,0))),""))))</f>
        <v/>
      </c>
      <c r="K2635" s="71" t="str">
        <f>IF(COUNTA(A2635:G2635)=0,"",IF(G2635&lt;&gt;"",G2635,IF(B2635="","",IFERROR(IF(INDEX(pr_rate,MATCH(B2635,pr_code,0))="","",INDEX(pr_rate,MATCH(B2635,pr_code,0))),""))))</f>
        <v/>
      </c>
      <c r="L2635" s="65" t="str">
        <f>IF(COUNTA(A2635:G2635)=0,"",IF(AND(ISNUMBER(D2635),ISNUMBER(J2635)),ROUND(D2635*J2635*(1-N(F2635)),2),0))</f>
        <v/>
      </c>
      <c r="M2635" s="62" t="str">
        <f>IF(A2635="","",IFERROR(INDEX(fa_cname,MATCH(A2635,fa_num,0))&amp;"",""))</f>
        <v/>
      </c>
      <c r="N2635" s="59" t="str">
        <f>IF(COUNTA(A2635:G2635)=0,"",IF(A2635="","N° facture manquant",IF(ISNA(MATCH(A2635,fa_num,0)),"Facture inconnue",IF(AND(B2635&lt;&gt;"",ISNA(MATCH(B2635,pr_code,0))),"Article inconnu",IF(H2635="","Désignation manquante",IF(OR(NOT(ISNUMBER(D2635)),N(D2635)&lt;=0),"Quantité invalide",IF(J2635="","Prix manquant",IF(OR(NOT(ISNUMBER(J2635)),N(J2635)&lt;0),"Prix invalide",IF(OR(AND(F2635&lt;&gt;"",NOT(ISNUMBER(F2635))),N(F2635)&lt;0,N(F2635)&gt;1),"Remise invalide",IF(K2635="","Taux de TVA manquant",IF(NOT(ISNUMBER(K2635)),"Taux de TVA invalide",IF(COUNTIF(p_rates,K2635)=0,"Taux de TVA hors liste (Paramètres)",IF(N(O2635)&gt;25,"Au-delà de 25 lignes : non imprimée","OK")))))))))))))</f>
        <v/>
      </c>
      <c r="O2635" s="59" t="str">
        <f>IF(A2635="","",COUNTIF($A$6:A2635,A2635))</f>
        <v/>
      </c>
      <c r="P2635" s="62" t="str">
        <f>IF(A2635="","",A2635&amp;"|"&amp;O2635)</f>
        <v/>
      </c>
    </row>
    <row r="2636">
      <c r="A2636" s="60" t="n"/>
      <c r="B2636" s="63" t="n"/>
      <c r="C2636" s="63" t="n"/>
      <c r="D2636" s="67" t="n"/>
      <c r="E2636" s="68" t="n"/>
      <c r="F2636" s="69" t="n"/>
      <c r="G2636" s="70" t="n"/>
      <c r="H2636" s="62" t="str">
        <f>IF(COUNTA(A2636:G2636)=0,"",IF(C2636&lt;&gt;"",C2636,IF(B2636="","",IFERROR(INDEX(pr_des,MATCH(B2636,pr_code,0))&amp;"",""))))</f>
        <v/>
      </c>
      <c r="I2636" s="59" t="str">
        <f>IF(B2636="","",IFERROR(INDEX(pr_unit,MATCH(B2636,pr_code,0))&amp;"",""))</f>
        <v/>
      </c>
      <c r="J2636" s="65" t="str">
        <f>IF(COUNTA(A2636:G2636)=0,"",IF(E2636&lt;&gt;"",E2636,IF(B2636="","",IFERROR(IF(INDEX(pr_price,MATCH(B2636,pr_code,0))="","",INDEX(pr_price,MATCH(B2636,pr_code,0))),""))))</f>
        <v/>
      </c>
      <c r="K2636" s="71" t="str">
        <f>IF(COUNTA(A2636:G2636)=0,"",IF(G2636&lt;&gt;"",G2636,IF(B2636="","",IFERROR(IF(INDEX(pr_rate,MATCH(B2636,pr_code,0))="","",INDEX(pr_rate,MATCH(B2636,pr_code,0))),""))))</f>
        <v/>
      </c>
      <c r="L2636" s="65" t="str">
        <f>IF(COUNTA(A2636:G2636)=0,"",IF(AND(ISNUMBER(D2636),ISNUMBER(J2636)),ROUND(D2636*J2636*(1-N(F2636)),2),0))</f>
        <v/>
      </c>
      <c r="M2636" s="62" t="str">
        <f>IF(A2636="","",IFERROR(INDEX(fa_cname,MATCH(A2636,fa_num,0))&amp;"",""))</f>
        <v/>
      </c>
      <c r="N2636" s="59" t="str">
        <f>IF(COUNTA(A2636:G2636)=0,"",IF(A2636="","N° facture manquant",IF(ISNA(MATCH(A2636,fa_num,0)),"Facture inconnue",IF(AND(B2636&lt;&gt;"",ISNA(MATCH(B2636,pr_code,0))),"Article inconnu",IF(H2636="","Désignation manquante",IF(OR(NOT(ISNUMBER(D2636)),N(D2636)&lt;=0),"Quantité invalide",IF(J2636="","Prix manquant",IF(OR(NOT(ISNUMBER(J2636)),N(J2636)&lt;0),"Prix invalide",IF(OR(AND(F2636&lt;&gt;"",NOT(ISNUMBER(F2636))),N(F2636)&lt;0,N(F2636)&gt;1),"Remise invalide",IF(K2636="","Taux de TVA manquant",IF(NOT(ISNUMBER(K2636)),"Taux de TVA invalide",IF(COUNTIF(p_rates,K2636)=0,"Taux de TVA hors liste (Paramètres)",IF(N(O2636)&gt;25,"Au-delà de 25 lignes : non imprimée","OK")))))))))))))</f>
        <v/>
      </c>
      <c r="O2636" s="59" t="str">
        <f>IF(A2636="","",COUNTIF($A$6:A2636,A2636))</f>
        <v/>
      </c>
      <c r="P2636" s="62" t="str">
        <f>IF(A2636="","",A2636&amp;"|"&amp;O2636)</f>
        <v/>
      </c>
    </row>
    <row r="2637">
      <c r="A2637" s="60" t="n"/>
      <c r="B2637" s="63" t="n"/>
      <c r="C2637" s="63" t="n"/>
      <c r="D2637" s="67" t="n"/>
      <c r="E2637" s="68" t="n"/>
      <c r="F2637" s="69" t="n"/>
      <c r="G2637" s="70" t="n"/>
      <c r="H2637" s="62" t="str">
        <f>IF(COUNTA(A2637:G2637)=0,"",IF(C2637&lt;&gt;"",C2637,IF(B2637="","",IFERROR(INDEX(pr_des,MATCH(B2637,pr_code,0))&amp;"",""))))</f>
        <v/>
      </c>
      <c r="I2637" s="59" t="str">
        <f>IF(B2637="","",IFERROR(INDEX(pr_unit,MATCH(B2637,pr_code,0))&amp;"",""))</f>
        <v/>
      </c>
      <c r="J2637" s="65" t="str">
        <f>IF(COUNTA(A2637:G2637)=0,"",IF(E2637&lt;&gt;"",E2637,IF(B2637="","",IFERROR(IF(INDEX(pr_price,MATCH(B2637,pr_code,0))="","",INDEX(pr_price,MATCH(B2637,pr_code,0))),""))))</f>
        <v/>
      </c>
      <c r="K2637" s="71" t="str">
        <f>IF(COUNTA(A2637:G2637)=0,"",IF(G2637&lt;&gt;"",G2637,IF(B2637="","",IFERROR(IF(INDEX(pr_rate,MATCH(B2637,pr_code,0))="","",INDEX(pr_rate,MATCH(B2637,pr_code,0))),""))))</f>
        <v/>
      </c>
      <c r="L2637" s="65" t="str">
        <f>IF(COUNTA(A2637:G2637)=0,"",IF(AND(ISNUMBER(D2637),ISNUMBER(J2637)),ROUND(D2637*J2637*(1-N(F2637)),2),0))</f>
        <v/>
      </c>
      <c r="M2637" s="62" t="str">
        <f>IF(A2637="","",IFERROR(INDEX(fa_cname,MATCH(A2637,fa_num,0))&amp;"",""))</f>
        <v/>
      </c>
      <c r="N2637" s="59" t="str">
        <f>IF(COUNTA(A2637:G2637)=0,"",IF(A2637="","N° facture manquant",IF(ISNA(MATCH(A2637,fa_num,0)),"Facture inconnue",IF(AND(B2637&lt;&gt;"",ISNA(MATCH(B2637,pr_code,0))),"Article inconnu",IF(H2637="","Désignation manquante",IF(OR(NOT(ISNUMBER(D2637)),N(D2637)&lt;=0),"Quantité invalide",IF(J2637="","Prix manquant",IF(OR(NOT(ISNUMBER(J2637)),N(J2637)&lt;0),"Prix invalide",IF(OR(AND(F2637&lt;&gt;"",NOT(ISNUMBER(F2637))),N(F2637)&lt;0,N(F2637)&gt;1),"Remise invalide",IF(K2637="","Taux de TVA manquant",IF(NOT(ISNUMBER(K2637)),"Taux de TVA invalide",IF(COUNTIF(p_rates,K2637)=0,"Taux de TVA hors liste (Paramètres)",IF(N(O2637)&gt;25,"Au-delà de 25 lignes : non imprimée","OK")))))))))))))</f>
        <v/>
      </c>
      <c r="O2637" s="59" t="str">
        <f>IF(A2637="","",COUNTIF($A$6:A2637,A2637))</f>
        <v/>
      </c>
      <c r="P2637" s="62" t="str">
        <f>IF(A2637="","",A2637&amp;"|"&amp;O2637)</f>
        <v/>
      </c>
    </row>
    <row r="2638">
      <c r="A2638" s="60" t="n"/>
      <c r="B2638" s="63" t="n"/>
      <c r="C2638" s="63" t="n"/>
      <c r="D2638" s="67" t="n"/>
      <c r="E2638" s="68" t="n"/>
      <c r="F2638" s="69" t="n"/>
      <c r="G2638" s="70" t="n"/>
      <c r="H2638" s="62" t="str">
        <f>IF(COUNTA(A2638:G2638)=0,"",IF(C2638&lt;&gt;"",C2638,IF(B2638="","",IFERROR(INDEX(pr_des,MATCH(B2638,pr_code,0))&amp;"",""))))</f>
        <v/>
      </c>
      <c r="I2638" s="59" t="str">
        <f>IF(B2638="","",IFERROR(INDEX(pr_unit,MATCH(B2638,pr_code,0))&amp;"",""))</f>
        <v/>
      </c>
      <c r="J2638" s="65" t="str">
        <f>IF(COUNTA(A2638:G2638)=0,"",IF(E2638&lt;&gt;"",E2638,IF(B2638="","",IFERROR(IF(INDEX(pr_price,MATCH(B2638,pr_code,0))="","",INDEX(pr_price,MATCH(B2638,pr_code,0))),""))))</f>
        <v/>
      </c>
      <c r="K2638" s="71" t="str">
        <f>IF(COUNTA(A2638:G2638)=0,"",IF(G2638&lt;&gt;"",G2638,IF(B2638="","",IFERROR(IF(INDEX(pr_rate,MATCH(B2638,pr_code,0))="","",INDEX(pr_rate,MATCH(B2638,pr_code,0))),""))))</f>
        <v/>
      </c>
      <c r="L2638" s="65" t="str">
        <f>IF(COUNTA(A2638:G2638)=0,"",IF(AND(ISNUMBER(D2638),ISNUMBER(J2638)),ROUND(D2638*J2638*(1-N(F2638)),2),0))</f>
        <v/>
      </c>
      <c r="M2638" s="62" t="str">
        <f>IF(A2638="","",IFERROR(INDEX(fa_cname,MATCH(A2638,fa_num,0))&amp;"",""))</f>
        <v/>
      </c>
      <c r="N2638" s="59" t="str">
        <f>IF(COUNTA(A2638:G2638)=0,"",IF(A2638="","N° facture manquant",IF(ISNA(MATCH(A2638,fa_num,0)),"Facture inconnue",IF(AND(B2638&lt;&gt;"",ISNA(MATCH(B2638,pr_code,0))),"Article inconnu",IF(H2638="","Désignation manquante",IF(OR(NOT(ISNUMBER(D2638)),N(D2638)&lt;=0),"Quantité invalide",IF(J2638="","Prix manquant",IF(OR(NOT(ISNUMBER(J2638)),N(J2638)&lt;0),"Prix invalide",IF(OR(AND(F2638&lt;&gt;"",NOT(ISNUMBER(F2638))),N(F2638)&lt;0,N(F2638)&gt;1),"Remise invalide",IF(K2638="","Taux de TVA manquant",IF(NOT(ISNUMBER(K2638)),"Taux de TVA invalide",IF(COUNTIF(p_rates,K2638)=0,"Taux de TVA hors liste (Paramètres)",IF(N(O2638)&gt;25,"Au-delà de 25 lignes : non imprimée","OK")))))))))))))</f>
        <v/>
      </c>
      <c r="O2638" s="59" t="str">
        <f>IF(A2638="","",COUNTIF($A$6:A2638,A2638))</f>
        <v/>
      </c>
      <c r="P2638" s="62" t="str">
        <f>IF(A2638="","",A2638&amp;"|"&amp;O2638)</f>
        <v/>
      </c>
    </row>
    <row r="2639">
      <c r="A2639" s="60" t="n"/>
      <c r="B2639" s="63" t="n"/>
      <c r="C2639" s="63" t="n"/>
      <c r="D2639" s="67" t="n"/>
      <c r="E2639" s="68" t="n"/>
      <c r="F2639" s="69" t="n"/>
      <c r="G2639" s="70" t="n"/>
      <c r="H2639" s="62" t="str">
        <f>IF(COUNTA(A2639:G2639)=0,"",IF(C2639&lt;&gt;"",C2639,IF(B2639="","",IFERROR(INDEX(pr_des,MATCH(B2639,pr_code,0))&amp;"",""))))</f>
        <v/>
      </c>
      <c r="I2639" s="59" t="str">
        <f>IF(B2639="","",IFERROR(INDEX(pr_unit,MATCH(B2639,pr_code,0))&amp;"",""))</f>
        <v/>
      </c>
      <c r="J2639" s="65" t="str">
        <f>IF(COUNTA(A2639:G2639)=0,"",IF(E2639&lt;&gt;"",E2639,IF(B2639="","",IFERROR(IF(INDEX(pr_price,MATCH(B2639,pr_code,0))="","",INDEX(pr_price,MATCH(B2639,pr_code,0))),""))))</f>
        <v/>
      </c>
      <c r="K2639" s="71" t="str">
        <f>IF(COUNTA(A2639:G2639)=0,"",IF(G2639&lt;&gt;"",G2639,IF(B2639="","",IFERROR(IF(INDEX(pr_rate,MATCH(B2639,pr_code,0))="","",INDEX(pr_rate,MATCH(B2639,pr_code,0))),""))))</f>
        <v/>
      </c>
      <c r="L2639" s="65" t="str">
        <f>IF(COUNTA(A2639:G2639)=0,"",IF(AND(ISNUMBER(D2639),ISNUMBER(J2639)),ROUND(D2639*J2639*(1-N(F2639)),2),0))</f>
        <v/>
      </c>
      <c r="M2639" s="62" t="str">
        <f>IF(A2639="","",IFERROR(INDEX(fa_cname,MATCH(A2639,fa_num,0))&amp;"",""))</f>
        <v/>
      </c>
      <c r="N2639" s="59" t="str">
        <f>IF(COUNTA(A2639:G2639)=0,"",IF(A2639="","N° facture manquant",IF(ISNA(MATCH(A2639,fa_num,0)),"Facture inconnue",IF(AND(B2639&lt;&gt;"",ISNA(MATCH(B2639,pr_code,0))),"Article inconnu",IF(H2639="","Désignation manquante",IF(OR(NOT(ISNUMBER(D2639)),N(D2639)&lt;=0),"Quantité invalide",IF(J2639="","Prix manquant",IF(OR(NOT(ISNUMBER(J2639)),N(J2639)&lt;0),"Prix invalide",IF(OR(AND(F2639&lt;&gt;"",NOT(ISNUMBER(F2639))),N(F2639)&lt;0,N(F2639)&gt;1),"Remise invalide",IF(K2639="","Taux de TVA manquant",IF(NOT(ISNUMBER(K2639)),"Taux de TVA invalide",IF(COUNTIF(p_rates,K2639)=0,"Taux de TVA hors liste (Paramètres)",IF(N(O2639)&gt;25,"Au-delà de 25 lignes : non imprimée","OK")))))))))))))</f>
        <v/>
      </c>
      <c r="O2639" s="59" t="str">
        <f>IF(A2639="","",COUNTIF($A$6:A2639,A2639))</f>
        <v/>
      </c>
      <c r="P2639" s="62" t="str">
        <f>IF(A2639="","",A2639&amp;"|"&amp;O2639)</f>
        <v/>
      </c>
    </row>
    <row r="2640">
      <c r="A2640" s="60" t="n"/>
      <c r="B2640" s="63" t="n"/>
      <c r="C2640" s="63" t="n"/>
      <c r="D2640" s="67" t="n"/>
      <c r="E2640" s="68" t="n"/>
      <c r="F2640" s="69" t="n"/>
      <c r="G2640" s="70" t="n"/>
      <c r="H2640" s="62" t="str">
        <f>IF(COUNTA(A2640:G2640)=0,"",IF(C2640&lt;&gt;"",C2640,IF(B2640="","",IFERROR(INDEX(pr_des,MATCH(B2640,pr_code,0))&amp;"",""))))</f>
        <v/>
      </c>
      <c r="I2640" s="59" t="str">
        <f>IF(B2640="","",IFERROR(INDEX(pr_unit,MATCH(B2640,pr_code,0))&amp;"",""))</f>
        <v/>
      </c>
      <c r="J2640" s="65" t="str">
        <f>IF(COUNTA(A2640:G2640)=0,"",IF(E2640&lt;&gt;"",E2640,IF(B2640="","",IFERROR(IF(INDEX(pr_price,MATCH(B2640,pr_code,0))="","",INDEX(pr_price,MATCH(B2640,pr_code,0))),""))))</f>
        <v/>
      </c>
      <c r="K2640" s="71" t="str">
        <f>IF(COUNTA(A2640:G2640)=0,"",IF(G2640&lt;&gt;"",G2640,IF(B2640="","",IFERROR(IF(INDEX(pr_rate,MATCH(B2640,pr_code,0))="","",INDEX(pr_rate,MATCH(B2640,pr_code,0))),""))))</f>
        <v/>
      </c>
      <c r="L2640" s="65" t="str">
        <f>IF(COUNTA(A2640:G2640)=0,"",IF(AND(ISNUMBER(D2640),ISNUMBER(J2640)),ROUND(D2640*J2640*(1-N(F2640)),2),0))</f>
        <v/>
      </c>
      <c r="M2640" s="62" t="str">
        <f>IF(A2640="","",IFERROR(INDEX(fa_cname,MATCH(A2640,fa_num,0))&amp;"",""))</f>
        <v/>
      </c>
      <c r="N2640" s="59" t="str">
        <f>IF(COUNTA(A2640:G2640)=0,"",IF(A2640="","N° facture manquant",IF(ISNA(MATCH(A2640,fa_num,0)),"Facture inconnue",IF(AND(B2640&lt;&gt;"",ISNA(MATCH(B2640,pr_code,0))),"Article inconnu",IF(H2640="","Désignation manquante",IF(OR(NOT(ISNUMBER(D2640)),N(D2640)&lt;=0),"Quantité invalide",IF(J2640="","Prix manquant",IF(OR(NOT(ISNUMBER(J2640)),N(J2640)&lt;0),"Prix invalide",IF(OR(AND(F2640&lt;&gt;"",NOT(ISNUMBER(F2640))),N(F2640)&lt;0,N(F2640)&gt;1),"Remise invalide",IF(K2640="","Taux de TVA manquant",IF(NOT(ISNUMBER(K2640)),"Taux de TVA invalide",IF(COUNTIF(p_rates,K2640)=0,"Taux de TVA hors liste (Paramètres)",IF(N(O2640)&gt;25,"Au-delà de 25 lignes : non imprimée","OK")))))))))))))</f>
        <v/>
      </c>
      <c r="O2640" s="59" t="str">
        <f>IF(A2640="","",COUNTIF($A$6:A2640,A2640))</f>
        <v/>
      </c>
      <c r="P2640" s="62" t="str">
        <f>IF(A2640="","",A2640&amp;"|"&amp;O2640)</f>
        <v/>
      </c>
    </row>
    <row r="2641">
      <c r="A2641" s="60" t="n"/>
      <c r="B2641" s="63" t="n"/>
      <c r="C2641" s="63" t="n"/>
      <c r="D2641" s="67" t="n"/>
      <c r="E2641" s="68" t="n"/>
      <c r="F2641" s="69" t="n"/>
      <c r="G2641" s="70" t="n"/>
      <c r="H2641" s="62" t="str">
        <f>IF(COUNTA(A2641:G2641)=0,"",IF(C2641&lt;&gt;"",C2641,IF(B2641="","",IFERROR(INDEX(pr_des,MATCH(B2641,pr_code,0))&amp;"",""))))</f>
        <v/>
      </c>
      <c r="I2641" s="59" t="str">
        <f>IF(B2641="","",IFERROR(INDEX(pr_unit,MATCH(B2641,pr_code,0))&amp;"",""))</f>
        <v/>
      </c>
      <c r="J2641" s="65" t="str">
        <f>IF(COUNTA(A2641:G2641)=0,"",IF(E2641&lt;&gt;"",E2641,IF(B2641="","",IFERROR(IF(INDEX(pr_price,MATCH(B2641,pr_code,0))="","",INDEX(pr_price,MATCH(B2641,pr_code,0))),""))))</f>
        <v/>
      </c>
      <c r="K2641" s="71" t="str">
        <f>IF(COUNTA(A2641:G2641)=0,"",IF(G2641&lt;&gt;"",G2641,IF(B2641="","",IFERROR(IF(INDEX(pr_rate,MATCH(B2641,pr_code,0))="","",INDEX(pr_rate,MATCH(B2641,pr_code,0))),""))))</f>
        <v/>
      </c>
      <c r="L2641" s="65" t="str">
        <f>IF(COUNTA(A2641:G2641)=0,"",IF(AND(ISNUMBER(D2641),ISNUMBER(J2641)),ROUND(D2641*J2641*(1-N(F2641)),2),0))</f>
        <v/>
      </c>
      <c r="M2641" s="62" t="str">
        <f>IF(A2641="","",IFERROR(INDEX(fa_cname,MATCH(A2641,fa_num,0))&amp;"",""))</f>
        <v/>
      </c>
      <c r="N2641" s="59" t="str">
        <f>IF(COUNTA(A2641:G2641)=0,"",IF(A2641="","N° facture manquant",IF(ISNA(MATCH(A2641,fa_num,0)),"Facture inconnue",IF(AND(B2641&lt;&gt;"",ISNA(MATCH(B2641,pr_code,0))),"Article inconnu",IF(H2641="","Désignation manquante",IF(OR(NOT(ISNUMBER(D2641)),N(D2641)&lt;=0),"Quantité invalide",IF(J2641="","Prix manquant",IF(OR(NOT(ISNUMBER(J2641)),N(J2641)&lt;0),"Prix invalide",IF(OR(AND(F2641&lt;&gt;"",NOT(ISNUMBER(F2641))),N(F2641)&lt;0,N(F2641)&gt;1),"Remise invalide",IF(K2641="","Taux de TVA manquant",IF(NOT(ISNUMBER(K2641)),"Taux de TVA invalide",IF(COUNTIF(p_rates,K2641)=0,"Taux de TVA hors liste (Paramètres)",IF(N(O2641)&gt;25,"Au-delà de 25 lignes : non imprimée","OK")))))))))))))</f>
        <v/>
      </c>
      <c r="O2641" s="59" t="str">
        <f>IF(A2641="","",COUNTIF($A$6:A2641,A2641))</f>
        <v/>
      </c>
      <c r="P2641" s="62" t="str">
        <f>IF(A2641="","",A2641&amp;"|"&amp;O2641)</f>
        <v/>
      </c>
    </row>
    <row r="2642">
      <c r="A2642" s="60" t="n"/>
      <c r="B2642" s="63" t="n"/>
      <c r="C2642" s="63" t="n"/>
      <c r="D2642" s="67" t="n"/>
      <c r="E2642" s="68" t="n"/>
      <c r="F2642" s="69" t="n"/>
      <c r="G2642" s="70" t="n"/>
      <c r="H2642" s="62" t="str">
        <f>IF(COUNTA(A2642:G2642)=0,"",IF(C2642&lt;&gt;"",C2642,IF(B2642="","",IFERROR(INDEX(pr_des,MATCH(B2642,pr_code,0))&amp;"",""))))</f>
        <v/>
      </c>
      <c r="I2642" s="59" t="str">
        <f>IF(B2642="","",IFERROR(INDEX(pr_unit,MATCH(B2642,pr_code,0))&amp;"",""))</f>
        <v/>
      </c>
      <c r="J2642" s="65" t="str">
        <f>IF(COUNTA(A2642:G2642)=0,"",IF(E2642&lt;&gt;"",E2642,IF(B2642="","",IFERROR(IF(INDEX(pr_price,MATCH(B2642,pr_code,0))="","",INDEX(pr_price,MATCH(B2642,pr_code,0))),""))))</f>
        <v/>
      </c>
      <c r="K2642" s="71" t="str">
        <f>IF(COUNTA(A2642:G2642)=0,"",IF(G2642&lt;&gt;"",G2642,IF(B2642="","",IFERROR(IF(INDEX(pr_rate,MATCH(B2642,pr_code,0))="","",INDEX(pr_rate,MATCH(B2642,pr_code,0))),""))))</f>
        <v/>
      </c>
      <c r="L2642" s="65" t="str">
        <f>IF(COUNTA(A2642:G2642)=0,"",IF(AND(ISNUMBER(D2642),ISNUMBER(J2642)),ROUND(D2642*J2642*(1-N(F2642)),2),0))</f>
        <v/>
      </c>
      <c r="M2642" s="62" t="str">
        <f>IF(A2642="","",IFERROR(INDEX(fa_cname,MATCH(A2642,fa_num,0))&amp;"",""))</f>
        <v/>
      </c>
      <c r="N2642" s="59" t="str">
        <f>IF(COUNTA(A2642:G2642)=0,"",IF(A2642="","N° facture manquant",IF(ISNA(MATCH(A2642,fa_num,0)),"Facture inconnue",IF(AND(B2642&lt;&gt;"",ISNA(MATCH(B2642,pr_code,0))),"Article inconnu",IF(H2642="","Désignation manquante",IF(OR(NOT(ISNUMBER(D2642)),N(D2642)&lt;=0),"Quantité invalide",IF(J2642="","Prix manquant",IF(OR(NOT(ISNUMBER(J2642)),N(J2642)&lt;0),"Prix invalide",IF(OR(AND(F2642&lt;&gt;"",NOT(ISNUMBER(F2642))),N(F2642)&lt;0,N(F2642)&gt;1),"Remise invalide",IF(K2642="","Taux de TVA manquant",IF(NOT(ISNUMBER(K2642)),"Taux de TVA invalide",IF(COUNTIF(p_rates,K2642)=0,"Taux de TVA hors liste (Paramètres)",IF(N(O2642)&gt;25,"Au-delà de 25 lignes : non imprimée","OK")))))))))))))</f>
        <v/>
      </c>
      <c r="O2642" s="59" t="str">
        <f>IF(A2642="","",COUNTIF($A$6:A2642,A2642))</f>
        <v/>
      </c>
      <c r="P2642" s="62" t="str">
        <f>IF(A2642="","",A2642&amp;"|"&amp;O2642)</f>
        <v/>
      </c>
    </row>
    <row r="2643">
      <c r="A2643" s="60" t="n"/>
      <c r="B2643" s="63" t="n"/>
      <c r="C2643" s="63" t="n"/>
      <c r="D2643" s="67" t="n"/>
      <c r="E2643" s="68" t="n"/>
      <c r="F2643" s="69" t="n"/>
      <c r="G2643" s="70" t="n"/>
      <c r="H2643" s="62" t="str">
        <f>IF(COUNTA(A2643:G2643)=0,"",IF(C2643&lt;&gt;"",C2643,IF(B2643="","",IFERROR(INDEX(pr_des,MATCH(B2643,pr_code,0))&amp;"",""))))</f>
        <v/>
      </c>
      <c r="I2643" s="59" t="str">
        <f>IF(B2643="","",IFERROR(INDEX(pr_unit,MATCH(B2643,pr_code,0))&amp;"",""))</f>
        <v/>
      </c>
      <c r="J2643" s="65" t="str">
        <f>IF(COUNTA(A2643:G2643)=0,"",IF(E2643&lt;&gt;"",E2643,IF(B2643="","",IFERROR(IF(INDEX(pr_price,MATCH(B2643,pr_code,0))="","",INDEX(pr_price,MATCH(B2643,pr_code,0))),""))))</f>
        <v/>
      </c>
      <c r="K2643" s="71" t="str">
        <f>IF(COUNTA(A2643:G2643)=0,"",IF(G2643&lt;&gt;"",G2643,IF(B2643="","",IFERROR(IF(INDEX(pr_rate,MATCH(B2643,pr_code,0))="","",INDEX(pr_rate,MATCH(B2643,pr_code,0))),""))))</f>
        <v/>
      </c>
      <c r="L2643" s="65" t="str">
        <f>IF(COUNTA(A2643:G2643)=0,"",IF(AND(ISNUMBER(D2643),ISNUMBER(J2643)),ROUND(D2643*J2643*(1-N(F2643)),2),0))</f>
        <v/>
      </c>
      <c r="M2643" s="62" t="str">
        <f>IF(A2643="","",IFERROR(INDEX(fa_cname,MATCH(A2643,fa_num,0))&amp;"",""))</f>
        <v/>
      </c>
      <c r="N2643" s="59" t="str">
        <f>IF(COUNTA(A2643:G2643)=0,"",IF(A2643="","N° facture manquant",IF(ISNA(MATCH(A2643,fa_num,0)),"Facture inconnue",IF(AND(B2643&lt;&gt;"",ISNA(MATCH(B2643,pr_code,0))),"Article inconnu",IF(H2643="","Désignation manquante",IF(OR(NOT(ISNUMBER(D2643)),N(D2643)&lt;=0),"Quantité invalide",IF(J2643="","Prix manquant",IF(OR(NOT(ISNUMBER(J2643)),N(J2643)&lt;0),"Prix invalide",IF(OR(AND(F2643&lt;&gt;"",NOT(ISNUMBER(F2643))),N(F2643)&lt;0,N(F2643)&gt;1),"Remise invalide",IF(K2643="","Taux de TVA manquant",IF(NOT(ISNUMBER(K2643)),"Taux de TVA invalide",IF(COUNTIF(p_rates,K2643)=0,"Taux de TVA hors liste (Paramètres)",IF(N(O2643)&gt;25,"Au-delà de 25 lignes : non imprimée","OK")))))))))))))</f>
        <v/>
      </c>
      <c r="O2643" s="59" t="str">
        <f>IF(A2643="","",COUNTIF($A$6:A2643,A2643))</f>
        <v/>
      </c>
      <c r="P2643" s="62" t="str">
        <f>IF(A2643="","",A2643&amp;"|"&amp;O2643)</f>
        <v/>
      </c>
    </row>
    <row r="2644">
      <c r="A2644" s="60" t="n"/>
      <c r="B2644" s="63" t="n"/>
      <c r="C2644" s="63" t="n"/>
      <c r="D2644" s="67" t="n"/>
      <c r="E2644" s="68" t="n"/>
      <c r="F2644" s="69" t="n"/>
      <c r="G2644" s="70" t="n"/>
      <c r="H2644" s="62" t="str">
        <f>IF(COUNTA(A2644:G2644)=0,"",IF(C2644&lt;&gt;"",C2644,IF(B2644="","",IFERROR(INDEX(pr_des,MATCH(B2644,pr_code,0))&amp;"",""))))</f>
        <v/>
      </c>
      <c r="I2644" s="59" t="str">
        <f>IF(B2644="","",IFERROR(INDEX(pr_unit,MATCH(B2644,pr_code,0))&amp;"",""))</f>
        <v/>
      </c>
      <c r="J2644" s="65" t="str">
        <f>IF(COUNTA(A2644:G2644)=0,"",IF(E2644&lt;&gt;"",E2644,IF(B2644="","",IFERROR(IF(INDEX(pr_price,MATCH(B2644,pr_code,0))="","",INDEX(pr_price,MATCH(B2644,pr_code,0))),""))))</f>
        <v/>
      </c>
      <c r="K2644" s="71" t="str">
        <f>IF(COUNTA(A2644:G2644)=0,"",IF(G2644&lt;&gt;"",G2644,IF(B2644="","",IFERROR(IF(INDEX(pr_rate,MATCH(B2644,pr_code,0))="","",INDEX(pr_rate,MATCH(B2644,pr_code,0))),""))))</f>
        <v/>
      </c>
      <c r="L2644" s="65" t="str">
        <f>IF(COUNTA(A2644:G2644)=0,"",IF(AND(ISNUMBER(D2644),ISNUMBER(J2644)),ROUND(D2644*J2644*(1-N(F2644)),2),0))</f>
        <v/>
      </c>
      <c r="M2644" s="62" t="str">
        <f>IF(A2644="","",IFERROR(INDEX(fa_cname,MATCH(A2644,fa_num,0))&amp;"",""))</f>
        <v/>
      </c>
      <c r="N2644" s="59" t="str">
        <f>IF(COUNTA(A2644:G2644)=0,"",IF(A2644="","N° facture manquant",IF(ISNA(MATCH(A2644,fa_num,0)),"Facture inconnue",IF(AND(B2644&lt;&gt;"",ISNA(MATCH(B2644,pr_code,0))),"Article inconnu",IF(H2644="","Désignation manquante",IF(OR(NOT(ISNUMBER(D2644)),N(D2644)&lt;=0),"Quantité invalide",IF(J2644="","Prix manquant",IF(OR(NOT(ISNUMBER(J2644)),N(J2644)&lt;0),"Prix invalide",IF(OR(AND(F2644&lt;&gt;"",NOT(ISNUMBER(F2644))),N(F2644)&lt;0,N(F2644)&gt;1),"Remise invalide",IF(K2644="","Taux de TVA manquant",IF(NOT(ISNUMBER(K2644)),"Taux de TVA invalide",IF(COUNTIF(p_rates,K2644)=0,"Taux de TVA hors liste (Paramètres)",IF(N(O2644)&gt;25,"Au-delà de 25 lignes : non imprimée","OK")))))))))))))</f>
        <v/>
      </c>
      <c r="O2644" s="59" t="str">
        <f>IF(A2644="","",COUNTIF($A$6:A2644,A2644))</f>
        <v/>
      </c>
      <c r="P2644" s="62" t="str">
        <f>IF(A2644="","",A2644&amp;"|"&amp;O2644)</f>
        <v/>
      </c>
    </row>
    <row r="2645">
      <c r="A2645" s="60" t="n"/>
      <c r="B2645" s="63" t="n"/>
      <c r="C2645" s="63" t="n"/>
      <c r="D2645" s="67" t="n"/>
      <c r="E2645" s="68" t="n"/>
      <c r="F2645" s="69" t="n"/>
      <c r="G2645" s="70" t="n"/>
      <c r="H2645" s="62" t="str">
        <f>IF(COUNTA(A2645:G2645)=0,"",IF(C2645&lt;&gt;"",C2645,IF(B2645="","",IFERROR(INDEX(pr_des,MATCH(B2645,pr_code,0))&amp;"",""))))</f>
        <v/>
      </c>
      <c r="I2645" s="59" t="str">
        <f>IF(B2645="","",IFERROR(INDEX(pr_unit,MATCH(B2645,pr_code,0))&amp;"",""))</f>
        <v/>
      </c>
      <c r="J2645" s="65" t="str">
        <f>IF(COUNTA(A2645:G2645)=0,"",IF(E2645&lt;&gt;"",E2645,IF(B2645="","",IFERROR(IF(INDEX(pr_price,MATCH(B2645,pr_code,0))="","",INDEX(pr_price,MATCH(B2645,pr_code,0))),""))))</f>
        <v/>
      </c>
      <c r="K2645" s="71" t="str">
        <f>IF(COUNTA(A2645:G2645)=0,"",IF(G2645&lt;&gt;"",G2645,IF(B2645="","",IFERROR(IF(INDEX(pr_rate,MATCH(B2645,pr_code,0))="","",INDEX(pr_rate,MATCH(B2645,pr_code,0))),""))))</f>
        <v/>
      </c>
      <c r="L2645" s="65" t="str">
        <f>IF(COUNTA(A2645:G2645)=0,"",IF(AND(ISNUMBER(D2645),ISNUMBER(J2645)),ROUND(D2645*J2645*(1-N(F2645)),2),0))</f>
        <v/>
      </c>
      <c r="M2645" s="62" t="str">
        <f>IF(A2645="","",IFERROR(INDEX(fa_cname,MATCH(A2645,fa_num,0))&amp;"",""))</f>
        <v/>
      </c>
      <c r="N2645" s="59" t="str">
        <f>IF(COUNTA(A2645:G2645)=0,"",IF(A2645="","N° facture manquant",IF(ISNA(MATCH(A2645,fa_num,0)),"Facture inconnue",IF(AND(B2645&lt;&gt;"",ISNA(MATCH(B2645,pr_code,0))),"Article inconnu",IF(H2645="","Désignation manquante",IF(OR(NOT(ISNUMBER(D2645)),N(D2645)&lt;=0),"Quantité invalide",IF(J2645="","Prix manquant",IF(OR(NOT(ISNUMBER(J2645)),N(J2645)&lt;0),"Prix invalide",IF(OR(AND(F2645&lt;&gt;"",NOT(ISNUMBER(F2645))),N(F2645)&lt;0,N(F2645)&gt;1),"Remise invalide",IF(K2645="","Taux de TVA manquant",IF(NOT(ISNUMBER(K2645)),"Taux de TVA invalide",IF(COUNTIF(p_rates,K2645)=0,"Taux de TVA hors liste (Paramètres)",IF(N(O2645)&gt;25,"Au-delà de 25 lignes : non imprimée","OK")))))))))))))</f>
        <v/>
      </c>
      <c r="O2645" s="59" t="str">
        <f>IF(A2645="","",COUNTIF($A$6:A2645,A2645))</f>
        <v/>
      </c>
      <c r="P2645" s="62" t="str">
        <f>IF(A2645="","",A2645&amp;"|"&amp;O2645)</f>
        <v/>
      </c>
    </row>
    <row r="2646">
      <c r="A2646" s="60" t="n"/>
      <c r="B2646" s="63" t="n"/>
      <c r="C2646" s="63" t="n"/>
      <c r="D2646" s="67" t="n"/>
      <c r="E2646" s="68" t="n"/>
      <c r="F2646" s="69" t="n"/>
      <c r="G2646" s="70" t="n"/>
      <c r="H2646" s="62" t="str">
        <f>IF(COUNTA(A2646:G2646)=0,"",IF(C2646&lt;&gt;"",C2646,IF(B2646="","",IFERROR(INDEX(pr_des,MATCH(B2646,pr_code,0))&amp;"",""))))</f>
        <v/>
      </c>
      <c r="I2646" s="59" t="str">
        <f>IF(B2646="","",IFERROR(INDEX(pr_unit,MATCH(B2646,pr_code,0))&amp;"",""))</f>
        <v/>
      </c>
      <c r="J2646" s="65" t="str">
        <f>IF(COUNTA(A2646:G2646)=0,"",IF(E2646&lt;&gt;"",E2646,IF(B2646="","",IFERROR(IF(INDEX(pr_price,MATCH(B2646,pr_code,0))="","",INDEX(pr_price,MATCH(B2646,pr_code,0))),""))))</f>
        <v/>
      </c>
      <c r="K2646" s="71" t="str">
        <f>IF(COUNTA(A2646:G2646)=0,"",IF(G2646&lt;&gt;"",G2646,IF(B2646="","",IFERROR(IF(INDEX(pr_rate,MATCH(B2646,pr_code,0))="","",INDEX(pr_rate,MATCH(B2646,pr_code,0))),""))))</f>
        <v/>
      </c>
      <c r="L2646" s="65" t="str">
        <f>IF(COUNTA(A2646:G2646)=0,"",IF(AND(ISNUMBER(D2646),ISNUMBER(J2646)),ROUND(D2646*J2646*(1-N(F2646)),2),0))</f>
        <v/>
      </c>
      <c r="M2646" s="62" t="str">
        <f>IF(A2646="","",IFERROR(INDEX(fa_cname,MATCH(A2646,fa_num,0))&amp;"",""))</f>
        <v/>
      </c>
      <c r="N2646" s="59" t="str">
        <f>IF(COUNTA(A2646:G2646)=0,"",IF(A2646="","N° facture manquant",IF(ISNA(MATCH(A2646,fa_num,0)),"Facture inconnue",IF(AND(B2646&lt;&gt;"",ISNA(MATCH(B2646,pr_code,0))),"Article inconnu",IF(H2646="","Désignation manquante",IF(OR(NOT(ISNUMBER(D2646)),N(D2646)&lt;=0),"Quantité invalide",IF(J2646="","Prix manquant",IF(OR(NOT(ISNUMBER(J2646)),N(J2646)&lt;0),"Prix invalide",IF(OR(AND(F2646&lt;&gt;"",NOT(ISNUMBER(F2646))),N(F2646)&lt;0,N(F2646)&gt;1),"Remise invalide",IF(K2646="","Taux de TVA manquant",IF(NOT(ISNUMBER(K2646)),"Taux de TVA invalide",IF(COUNTIF(p_rates,K2646)=0,"Taux de TVA hors liste (Paramètres)",IF(N(O2646)&gt;25,"Au-delà de 25 lignes : non imprimée","OK")))))))))))))</f>
        <v/>
      </c>
      <c r="O2646" s="59" t="str">
        <f>IF(A2646="","",COUNTIF($A$6:A2646,A2646))</f>
        <v/>
      </c>
      <c r="P2646" s="62" t="str">
        <f>IF(A2646="","",A2646&amp;"|"&amp;O2646)</f>
        <v/>
      </c>
    </row>
    <row r="2647">
      <c r="A2647" s="60" t="n"/>
      <c r="B2647" s="63" t="n"/>
      <c r="C2647" s="63" t="n"/>
      <c r="D2647" s="67" t="n"/>
      <c r="E2647" s="68" t="n"/>
      <c r="F2647" s="69" t="n"/>
      <c r="G2647" s="70" t="n"/>
      <c r="H2647" s="62" t="str">
        <f>IF(COUNTA(A2647:G2647)=0,"",IF(C2647&lt;&gt;"",C2647,IF(B2647="","",IFERROR(INDEX(pr_des,MATCH(B2647,pr_code,0))&amp;"",""))))</f>
        <v/>
      </c>
      <c r="I2647" s="59" t="str">
        <f>IF(B2647="","",IFERROR(INDEX(pr_unit,MATCH(B2647,pr_code,0))&amp;"",""))</f>
        <v/>
      </c>
      <c r="J2647" s="65" t="str">
        <f>IF(COUNTA(A2647:G2647)=0,"",IF(E2647&lt;&gt;"",E2647,IF(B2647="","",IFERROR(IF(INDEX(pr_price,MATCH(B2647,pr_code,0))="","",INDEX(pr_price,MATCH(B2647,pr_code,0))),""))))</f>
        <v/>
      </c>
      <c r="K2647" s="71" t="str">
        <f>IF(COUNTA(A2647:G2647)=0,"",IF(G2647&lt;&gt;"",G2647,IF(B2647="","",IFERROR(IF(INDEX(pr_rate,MATCH(B2647,pr_code,0))="","",INDEX(pr_rate,MATCH(B2647,pr_code,0))),""))))</f>
        <v/>
      </c>
      <c r="L2647" s="65" t="str">
        <f>IF(COUNTA(A2647:G2647)=0,"",IF(AND(ISNUMBER(D2647),ISNUMBER(J2647)),ROUND(D2647*J2647*(1-N(F2647)),2),0))</f>
        <v/>
      </c>
      <c r="M2647" s="62" t="str">
        <f>IF(A2647="","",IFERROR(INDEX(fa_cname,MATCH(A2647,fa_num,0))&amp;"",""))</f>
        <v/>
      </c>
      <c r="N2647" s="59" t="str">
        <f>IF(COUNTA(A2647:G2647)=0,"",IF(A2647="","N° facture manquant",IF(ISNA(MATCH(A2647,fa_num,0)),"Facture inconnue",IF(AND(B2647&lt;&gt;"",ISNA(MATCH(B2647,pr_code,0))),"Article inconnu",IF(H2647="","Désignation manquante",IF(OR(NOT(ISNUMBER(D2647)),N(D2647)&lt;=0),"Quantité invalide",IF(J2647="","Prix manquant",IF(OR(NOT(ISNUMBER(J2647)),N(J2647)&lt;0),"Prix invalide",IF(OR(AND(F2647&lt;&gt;"",NOT(ISNUMBER(F2647))),N(F2647)&lt;0,N(F2647)&gt;1),"Remise invalide",IF(K2647="","Taux de TVA manquant",IF(NOT(ISNUMBER(K2647)),"Taux de TVA invalide",IF(COUNTIF(p_rates,K2647)=0,"Taux de TVA hors liste (Paramètres)",IF(N(O2647)&gt;25,"Au-delà de 25 lignes : non imprimée","OK")))))))))))))</f>
        <v/>
      </c>
      <c r="O2647" s="59" t="str">
        <f>IF(A2647="","",COUNTIF($A$6:A2647,A2647))</f>
        <v/>
      </c>
      <c r="P2647" s="62" t="str">
        <f>IF(A2647="","",A2647&amp;"|"&amp;O2647)</f>
        <v/>
      </c>
    </row>
    <row r="2648">
      <c r="A2648" s="60" t="n"/>
      <c r="B2648" s="63" t="n"/>
      <c r="C2648" s="63" t="n"/>
      <c r="D2648" s="67" t="n"/>
      <c r="E2648" s="68" t="n"/>
      <c r="F2648" s="69" t="n"/>
      <c r="G2648" s="70" t="n"/>
      <c r="H2648" s="62" t="str">
        <f>IF(COUNTA(A2648:G2648)=0,"",IF(C2648&lt;&gt;"",C2648,IF(B2648="","",IFERROR(INDEX(pr_des,MATCH(B2648,pr_code,0))&amp;"",""))))</f>
        <v/>
      </c>
      <c r="I2648" s="59" t="str">
        <f>IF(B2648="","",IFERROR(INDEX(pr_unit,MATCH(B2648,pr_code,0))&amp;"",""))</f>
        <v/>
      </c>
      <c r="J2648" s="65" t="str">
        <f>IF(COUNTA(A2648:G2648)=0,"",IF(E2648&lt;&gt;"",E2648,IF(B2648="","",IFERROR(IF(INDEX(pr_price,MATCH(B2648,pr_code,0))="","",INDEX(pr_price,MATCH(B2648,pr_code,0))),""))))</f>
        <v/>
      </c>
      <c r="K2648" s="71" t="str">
        <f>IF(COUNTA(A2648:G2648)=0,"",IF(G2648&lt;&gt;"",G2648,IF(B2648="","",IFERROR(IF(INDEX(pr_rate,MATCH(B2648,pr_code,0))="","",INDEX(pr_rate,MATCH(B2648,pr_code,0))),""))))</f>
        <v/>
      </c>
      <c r="L2648" s="65" t="str">
        <f>IF(COUNTA(A2648:G2648)=0,"",IF(AND(ISNUMBER(D2648),ISNUMBER(J2648)),ROUND(D2648*J2648*(1-N(F2648)),2),0))</f>
        <v/>
      </c>
      <c r="M2648" s="62" t="str">
        <f>IF(A2648="","",IFERROR(INDEX(fa_cname,MATCH(A2648,fa_num,0))&amp;"",""))</f>
        <v/>
      </c>
      <c r="N2648" s="59" t="str">
        <f>IF(COUNTA(A2648:G2648)=0,"",IF(A2648="","N° facture manquant",IF(ISNA(MATCH(A2648,fa_num,0)),"Facture inconnue",IF(AND(B2648&lt;&gt;"",ISNA(MATCH(B2648,pr_code,0))),"Article inconnu",IF(H2648="","Désignation manquante",IF(OR(NOT(ISNUMBER(D2648)),N(D2648)&lt;=0),"Quantité invalide",IF(J2648="","Prix manquant",IF(OR(NOT(ISNUMBER(J2648)),N(J2648)&lt;0),"Prix invalide",IF(OR(AND(F2648&lt;&gt;"",NOT(ISNUMBER(F2648))),N(F2648)&lt;0,N(F2648)&gt;1),"Remise invalide",IF(K2648="","Taux de TVA manquant",IF(NOT(ISNUMBER(K2648)),"Taux de TVA invalide",IF(COUNTIF(p_rates,K2648)=0,"Taux de TVA hors liste (Paramètres)",IF(N(O2648)&gt;25,"Au-delà de 25 lignes : non imprimée","OK")))))))))))))</f>
        <v/>
      </c>
      <c r="O2648" s="59" t="str">
        <f>IF(A2648="","",COUNTIF($A$6:A2648,A2648))</f>
        <v/>
      </c>
      <c r="P2648" s="62" t="str">
        <f>IF(A2648="","",A2648&amp;"|"&amp;O2648)</f>
        <v/>
      </c>
    </row>
    <row r="2649">
      <c r="A2649" s="60" t="n"/>
      <c r="B2649" s="63" t="n"/>
      <c r="C2649" s="63" t="n"/>
      <c r="D2649" s="67" t="n"/>
      <c r="E2649" s="68" t="n"/>
      <c r="F2649" s="69" t="n"/>
      <c r="G2649" s="70" t="n"/>
      <c r="H2649" s="62" t="str">
        <f>IF(COUNTA(A2649:G2649)=0,"",IF(C2649&lt;&gt;"",C2649,IF(B2649="","",IFERROR(INDEX(pr_des,MATCH(B2649,pr_code,0))&amp;"",""))))</f>
        <v/>
      </c>
      <c r="I2649" s="59" t="str">
        <f>IF(B2649="","",IFERROR(INDEX(pr_unit,MATCH(B2649,pr_code,0))&amp;"",""))</f>
        <v/>
      </c>
      <c r="J2649" s="65" t="str">
        <f>IF(COUNTA(A2649:G2649)=0,"",IF(E2649&lt;&gt;"",E2649,IF(B2649="","",IFERROR(IF(INDEX(pr_price,MATCH(B2649,pr_code,0))="","",INDEX(pr_price,MATCH(B2649,pr_code,0))),""))))</f>
        <v/>
      </c>
      <c r="K2649" s="71" t="str">
        <f>IF(COUNTA(A2649:G2649)=0,"",IF(G2649&lt;&gt;"",G2649,IF(B2649="","",IFERROR(IF(INDEX(pr_rate,MATCH(B2649,pr_code,0))="","",INDEX(pr_rate,MATCH(B2649,pr_code,0))),""))))</f>
        <v/>
      </c>
      <c r="L2649" s="65" t="str">
        <f>IF(COUNTA(A2649:G2649)=0,"",IF(AND(ISNUMBER(D2649),ISNUMBER(J2649)),ROUND(D2649*J2649*(1-N(F2649)),2),0))</f>
        <v/>
      </c>
      <c r="M2649" s="62" t="str">
        <f>IF(A2649="","",IFERROR(INDEX(fa_cname,MATCH(A2649,fa_num,0))&amp;"",""))</f>
        <v/>
      </c>
      <c r="N2649" s="59" t="str">
        <f>IF(COUNTA(A2649:G2649)=0,"",IF(A2649="","N° facture manquant",IF(ISNA(MATCH(A2649,fa_num,0)),"Facture inconnue",IF(AND(B2649&lt;&gt;"",ISNA(MATCH(B2649,pr_code,0))),"Article inconnu",IF(H2649="","Désignation manquante",IF(OR(NOT(ISNUMBER(D2649)),N(D2649)&lt;=0),"Quantité invalide",IF(J2649="","Prix manquant",IF(OR(NOT(ISNUMBER(J2649)),N(J2649)&lt;0),"Prix invalide",IF(OR(AND(F2649&lt;&gt;"",NOT(ISNUMBER(F2649))),N(F2649)&lt;0,N(F2649)&gt;1),"Remise invalide",IF(K2649="","Taux de TVA manquant",IF(NOT(ISNUMBER(K2649)),"Taux de TVA invalide",IF(COUNTIF(p_rates,K2649)=0,"Taux de TVA hors liste (Paramètres)",IF(N(O2649)&gt;25,"Au-delà de 25 lignes : non imprimée","OK")))))))))))))</f>
        <v/>
      </c>
      <c r="O2649" s="59" t="str">
        <f>IF(A2649="","",COUNTIF($A$6:A2649,A2649))</f>
        <v/>
      </c>
      <c r="P2649" s="62" t="str">
        <f>IF(A2649="","",A2649&amp;"|"&amp;O2649)</f>
        <v/>
      </c>
    </row>
    <row r="2650">
      <c r="A2650" s="60" t="n"/>
      <c r="B2650" s="63" t="n"/>
      <c r="C2650" s="63" t="n"/>
      <c r="D2650" s="67" t="n"/>
      <c r="E2650" s="68" t="n"/>
      <c r="F2650" s="69" t="n"/>
      <c r="G2650" s="70" t="n"/>
      <c r="H2650" s="62" t="str">
        <f>IF(COUNTA(A2650:G2650)=0,"",IF(C2650&lt;&gt;"",C2650,IF(B2650="","",IFERROR(INDEX(pr_des,MATCH(B2650,pr_code,0))&amp;"",""))))</f>
        <v/>
      </c>
      <c r="I2650" s="59" t="str">
        <f>IF(B2650="","",IFERROR(INDEX(pr_unit,MATCH(B2650,pr_code,0))&amp;"",""))</f>
        <v/>
      </c>
      <c r="J2650" s="65" t="str">
        <f>IF(COUNTA(A2650:G2650)=0,"",IF(E2650&lt;&gt;"",E2650,IF(B2650="","",IFERROR(IF(INDEX(pr_price,MATCH(B2650,pr_code,0))="","",INDEX(pr_price,MATCH(B2650,pr_code,0))),""))))</f>
        <v/>
      </c>
      <c r="K2650" s="71" t="str">
        <f>IF(COUNTA(A2650:G2650)=0,"",IF(G2650&lt;&gt;"",G2650,IF(B2650="","",IFERROR(IF(INDEX(pr_rate,MATCH(B2650,pr_code,0))="","",INDEX(pr_rate,MATCH(B2650,pr_code,0))),""))))</f>
        <v/>
      </c>
      <c r="L2650" s="65" t="str">
        <f>IF(COUNTA(A2650:G2650)=0,"",IF(AND(ISNUMBER(D2650),ISNUMBER(J2650)),ROUND(D2650*J2650*(1-N(F2650)),2),0))</f>
        <v/>
      </c>
      <c r="M2650" s="62" t="str">
        <f>IF(A2650="","",IFERROR(INDEX(fa_cname,MATCH(A2650,fa_num,0))&amp;"",""))</f>
        <v/>
      </c>
      <c r="N2650" s="59" t="str">
        <f>IF(COUNTA(A2650:G2650)=0,"",IF(A2650="","N° facture manquant",IF(ISNA(MATCH(A2650,fa_num,0)),"Facture inconnue",IF(AND(B2650&lt;&gt;"",ISNA(MATCH(B2650,pr_code,0))),"Article inconnu",IF(H2650="","Désignation manquante",IF(OR(NOT(ISNUMBER(D2650)),N(D2650)&lt;=0),"Quantité invalide",IF(J2650="","Prix manquant",IF(OR(NOT(ISNUMBER(J2650)),N(J2650)&lt;0),"Prix invalide",IF(OR(AND(F2650&lt;&gt;"",NOT(ISNUMBER(F2650))),N(F2650)&lt;0,N(F2650)&gt;1),"Remise invalide",IF(K2650="","Taux de TVA manquant",IF(NOT(ISNUMBER(K2650)),"Taux de TVA invalide",IF(COUNTIF(p_rates,K2650)=0,"Taux de TVA hors liste (Paramètres)",IF(N(O2650)&gt;25,"Au-delà de 25 lignes : non imprimée","OK")))))))))))))</f>
        <v/>
      </c>
      <c r="O2650" s="59" t="str">
        <f>IF(A2650="","",COUNTIF($A$6:A2650,A2650))</f>
        <v/>
      </c>
      <c r="P2650" s="62" t="str">
        <f>IF(A2650="","",A2650&amp;"|"&amp;O2650)</f>
        <v/>
      </c>
    </row>
    <row r="2651">
      <c r="A2651" s="60" t="n"/>
      <c r="B2651" s="63" t="n"/>
      <c r="C2651" s="63" t="n"/>
      <c r="D2651" s="67" t="n"/>
      <c r="E2651" s="68" t="n"/>
      <c r="F2651" s="69" t="n"/>
      <c r="G2651" s="70" t="n"/>
      <c r="H2651" s="62" t="str">
        <f>IF(COUNTA(A2651:G2651)=0,"",IF(C2651&lt;&gt;"",C2651,IF(B2651="","",IFERROR(INDEX(pr_des,MATCH(B2651,pr_code,0))&amp;"",""))))</f>
        <v/>
      </c>
      <c r="I2651" s="59" t="str">
        <f>IF(B2651="","",IFERROR(INDEX(pr_unit,MATCH(B2651,pr_code,0))&amp;"",""))</f>
        <v/>
      </c>
      <c r="J2651" s="65" t="str">
        <f>IF(COUNTA(A2651:G2651)=0,"",IF(E2651&lt;&gt;"",E2651,IF(B2651="","",IFERROR(IF(INDEX(pr_price,MATCH(B2651,pr_code,0))="","",INDEX(pr_price,MATCH(B2651,pr_code,0))),""))))</f>
        <v/>
      </c>
      <c r="K2651" s="71" t="str">
        <f>IF(COUNTA(A2651:G2651)=0,"",IF(G2651&lt;&gt;"",G2651,IF(B2651="","",IFERROR(IF(INDEX(pr_rate,MATCH(B2651,pr_code,0))="","",INDEX(pr_rate,MATCH(B2651,pr_code,0))),""))))</f>
        <v/>
      </c>
      <c r="L2651" s="65" t="str">
        <f>IF(COUNTA(A2651:G2651)=0,"",IF(AND(ISNUMBER(D2651),ISNUMBER(J2651)),ROUND(D2651*J2651*(1-N(F2651)),2),0))</f>
        <v/>
      </c>
      <c r="M2651" s="62" t="str">
        <f>IF(A2651="","",IFERROR(INDEX(fa_cname,MATCH(A2651,fa_num,0))&amp;"",""))</f>
        <v/>
      </c>
      <c r="N2651" s="59" t="str">
        <f>IF(COUNTA(A2651:G2651)=0,"",IF(A2651="","N° facture manquant",IF(ISNA(MATCH(A2651,fa_num,0)),"Facture inconnue",IF(AND(B2651&lt;&gt;"",ISNA(MATCH(B2651,pr_code,0))),"Article inconnu",IF(H2651="","Désignation manquante",IF(OR(NOT(ISNUMBER(D2651)),N(D2651)&lt;=0),"Quantité invalide",IF(J2651="","Prix manquant",IF(OR(NOT(ISNUMBER(J2651)),N(J2651)&lt;0),"Prix invalide",IF(OR(AND(F2651&lt;&gt;"",NOT(ISNUMBER(F2651))),N(F2651)&lt;0,N(F2651)&gt;1),"Remise invalide",IF(K2651="","Taux de TVA manquant",IF(NOT(ISNUMBER(K2651)),"Taux de TVA invalide",IF(COUNTIF(p_rates,K2651)=0,"Taux de TVA hors liste (Paramètres)",IF(N(O2651)&gt;25,"Au-delà de 25 lignes : non imprimée","OK")))))))))))))</f>
        <v/>
      </c>
      <c r="O2651" s="59" t="str">
        <f>IF(A2651="","",COUNTIF($A$6:A2651,A2651))</f>
        <v/>
      </c>
      <c r="P2651" s="62" t="str">
        <f>IF(A2651="","",A2651&amp;"|"&amp;O2651)</f>
        <v/>
      </c>
    </row>
    <row r="2652">
      <c r="A2652" s="60" t="n"/>
      <c r="B2652" s="63" t="n"/>
      <c r="C2652" s="63" t="n"/>
      <c r="D2652" s="67" t="n"/>
      <c r="E2652" s="68" t="n"/>
      <c r="F2652" s="69" t="n"/>
      <c r="G2652" s="70" t="n"/>
      <c r="H2652" s="62" t="str">
        <f>IF(COUNTA(A2652:G2652)=0,"",IF(C2652&lt;&gt;"",C2652,IF(B2652="","",IFERROR(INDEX(pr_des,MATCH(B2652,pr_code,0))&amp;"",""))))</f>
        <v/>
      </c>
      <c r="I2652" s="59" t="str">
        <f>IF(B2652="","",IFERROR(INDEX(pr_unit,MATCH(B2652,pr_code,0))&amp;"",""))</f>
        <v/>
      </c>
      <c r="J2652" s="65" t="str">
        <f>IF(COUNTA(A2652:G2652)=0,"",IF(E2652&lt;&gt;"",E2652,IF(B2652="","",IFERROR(IF(INDEX(pr_price,MATCH(B2652,pr_code,0))="","",INDEX(pr_price,MATCH(B2652,pr_code,0))),""))))</f>
        <v/>
      </c>
      <c r="K2652" s="71" t="str">
        <f>IF(COUNTA(A2652:G2652)=0,"",IF(G2652&lt;&gt;"",G2652,IF(B2652="","",IFERROR(IF(INDEX(pr_rate,MATCH(B2652,pr_code,0))="","",INDEX(pr_rate,MATCH(B2652,pr_code,0))),""))))</f>
        <v/>
      </c>
      <c r="L2652" s="65" t="str">
        <f>IF(COUNTA(A2652:G2652)=0,"",IF(AND(ISNUMBER(D2652),ISNUMBER(J2652)),ROUND(D2652*J2652*(1-N(F2652)),2),0))</f>
        <v/>
      </c>
      <c r="M2652" s="62" t="str">
        <f>IF(A2652="","",IFERROR(INDEX(fa_cname,MATCH(A2652,fa_num,0))&amp;"",""))</f>
        <v/>
      </c>
      <c r="N2652" s="59" t="str">
        <f>IF(COUNTA(A2652:G2652)=0,"",IF(A2652="","N° facture manquant",IF(ISNA(MATCH(A2652,fa_num,0)),"Facture inconnue",IF(AND(B2652&lt;&gt;"",ISNA(MATCH(B2652,pr_code,0))),"Article inconnu",IF(H2652="","Désignation manquante",IF(OR(NOT(ISNUMBER(D2652)),N(D2652)&lt;=0),"Quantité invalide",IF(J2652="","Prix manquant",IF(OR(NOT(ISNUMBER(J2652)),N(J2652)&lt;0),"Prix invalide",IF(OR(AND(F2652&lt;&gt;"",NOT(ISNUMBER(F2652))),N(F2652)&lt;0,N(F2652)&gt;1),"Remise invalide",IF(K2652="","Taux de TVA manquant",IF(NOT(ISNUMBER(K2652)),"Taux de TVA invalide",IF(COUNTIF(p_rates,K2652)=0,"Taux de TVA hors liste (Paramètres)",IF(N(O2652)&gt;25,"Au-delà de 25 lignes : non imprimée","OK")))))))))))))</f>
        <v/>
      </c>
      <c r="O2652" s="59" t="str">
        <f>IF(A2652="","",COUNTIF($A$6:A2652,A2652))</f>
        <v/>
      </c>
      <c r="P2652" s="62" t="str">
        <f>IF(A2652="","",A2652&amp;"|"&amp;O2652)</f>
        <v/>
      </c>
    </row>
    <row r="2653">
      <c r="A2653" s="60" t="n"/>
      <c r="B2653" s="63" t="n"/>
      <c r="C2653" s="63" t="n"/>
      <c r="D2653" s="67" t="n"/>
      <c r="E2653" s="68" t="n"/>
      <c r="F2653" s="69" t="n"/>
      <c r="G2653" s="70" t="n"/>
      <c r="H2653" s="62" t="str">
        <f>IF(COUNTA(A2653:G2653)=0,"",IF(C2653&lt;&gt;"",C2653,IF(B2653="","",IFERROR(INDEX(pr_des,MATCH(B2653,pr_code,0))&amp;"",""))))</f>
        <v/>
      </c>
      <c r="I2653" s="59" t="str">
        <f>IF(B2653="","",IFERROR(INDEX(pr_unit,MATCH(B2653,pr_code,0))&amp;"",""))</f>
        <v/>
      </c>
      <c r="J2653" s="65" t="str">
        <f>IF(COUNTA(A2653:G2653)=0,"",IF(E2653&lt;&gt;"",E2653,IF(B2653="","",IFERROR(IF(INDEX(pr_price,MATCH(B2653,pr_code,0))="","",INDEX(pr_price,MATCH(B2653,pr_code,0))),""))))</f>
        <v/>
      </c>
      <c r="K2653" s="71" t="str">
        <f>IF(COUNTA(A2653:G2653)=0,"",IF(G2653&lt;&gt;"",G2653,IF(B2653="","",IFERROR(IF(INDEX(pr_rate,MATCH(B2653,pr_code,0))="","",INDEX(pr_rate,MATCH(B2653,pr_code,0))),""))))</f>
        <v/>
      </c>
      <c r="L2653" s="65" t="str">
        <f>IF(COUNTA(A2653:G2653)=0,"",IF(AND(ISNUMBER(D2653),ISNUMBER(J2653)),ROUND(D2653*J2653*(1-N(F2653)),2),0))</f>
        <v/>
      </c>
      <c r="M2653" s="62" t="str">
        <f>IF(A2653="","",IFERROR(INDEX(fa_cname,MATCH(A2653,fa_num,0))&amp;"",""))</f>
        <v/>
      </c>
      <c r="N2653" s="59" t="str">
        <f>IF(COUNTA(A2653:G2653)=0,"",IF(A2653="","N° facture manquant",IF(ISNA(MATCH(A2653,fa_num,0)),"Facture inconnue",IF(AND(B2653&lt;&gt;"",ISNA(MATCH(B2653,pr_code,0))),"Article inconnu",IF(H2653="","Désignation manquante",IF(OR(NOT(ISNUMBER(D2653)),N(D2653)&lt;=0),"Quantité invalide",IF(J2653="","Prix manquant",IF(OR(NOT(ISNUMBER(J2653)),N(J2653)&lt;0),"Prix invalide",IF(OR(AND(F2653&lt;&gt;"",NOT(ISNUMBER(F2653))),N(F2653)&lt;0,N(F2653)&gt;1),"Remise invalide",IF(K2653="","Taux de TVA manquant",IF(NOT(ISNUMBER(K2653)),"Taux de TVA invalide",IF(COUNTIF(p_rates,K2653)=0,"Taux de TVA hors liste (Paramètres)",IF(N(O2653)&gt;25,"Au-delà de 25 lignes : non imprimée","OK")))))))))))))</f>
        <v/>
      </c>
      <c r="O2653" s="59" t="str">
        <f>IF(A2653="","",COUNTIF($A$6:A2653,A2653))</f>
        <v/>
      </c>
      <c r="P2653" s="62" t="str">
        <f>IF(A2653="","",A2653&amp;"|"&amp;O2653)</f>
        <v/>
      </c>
    </row>
    <row r="2654">
      <c r="A2654" s="60" t="n"/>
      <c r="B2654" s="63" t="n"/>
      <c r="C2654" s="63" t="n"/>
      <c r="D2654" s="67" t="n"/>
      <c r="E2654" s="68" t="n"/>
      <c r="F2654" s="69" t="n"/>
      <c r="G2654" s="70" t="n"/>
      <c r="H2654" s="62" t="str">
        <f>IF(COUNTA(A2654:G2654)=0,"",IF(C2654&lt;&gt;"",C2654,IF(B2654="","",IFERROR(INDEX(pr_des,MATCH(B2654,pr_code,0))&amp;"",""))))</f>
        <v/>
      </c>
      <c r="I2654" s="59" t="str">
        <f>IF(B2654="","",IFERROR(INDEX(pr_unit,MATCH(B2654,pr_code,0))&amp;"",""))</f>
        <v/>
      </c>
      <c r="J2654" s="65" t="str">
        <f>IF(COUNTA(A2654:G2654)=0,"",IF(E2654&lt;&gt;"",E2654,IF(B2654="","",IFERROR(IF(INDEX(pr_price,MATCH(B2654,pr_code,0))="","",INDEX(pr_price,MATCH(B2654,pr_code,0))),""))))</f>
        <v/>
      </c>
      <c r="K2654" s="71" t="str">
        <f>IF(COUNTA(A2654:G2654)=0,"",IF(G2654&lt;&gt;"",G2654,IF(B2654="","",IFERROR(IF(INDEX(pr_rate,MATCH(B2654,pr_code,0))="","",INDEX(pr_rate,MATCH(B2654,pr_code,0))),""))))</f>
        <v/>
      </c>
      <c r="L2654" s="65" t="str">
        <f>IF(COUNTA(A2654:G2654)=0,"",IF(AND(ISNUMBER(D2654),ISNUMBER(J2654)),ROUND(D2654*J2654*(1-N(F2654)),2),0))</f>
        <v/>
      </c>
      <c r="M2654" s="62" t="str">
        <f>IF(A2654="","",IFERROR(INDEX(fa_cname,MATCH(A2654,fa_num,0))&amp;"",""))</f>
        <v/>
      </c>
      <c r="N2654" s="59" t="str">
        <f>IF(COUNTA(A2654:G2654)=0,"",IF(A2654="","N° facture manquant",IF(ISNA(MATCH(A2654,fa_num,0)),"Facture inconnue",IF(AND(B2654&lt;&gt;"",ISNA(MATCH(B2654,pr_code,0))),"Article inconnu",IF(H2654="","Désignation manquante",IF(OR(NOT(ISNUMBER(D2654)),N(D2654)&lt;=0),"Quantité invalide",IF(J2654="","Prix manquant",IF(OR(NOT(ISNUMBER(J2654)),N(J2654)&lt;0),"Prix invalide",IF(OR(AND(F2654&lt;&gt;"",NOT(ISNUMBER(F2654))),N(F2654)&lt;0,N(F2654)&gt;1),"Remise invalide",IF(K2654="","Taux de TVA manquant",IF(NOT(ISNUMBER(K2654)),"Taux de TVA invalide",IF(COUNTIF(p_rates,K2654)=0,"Taux de TVA hors liste (Paramètres)",IF(N(O2654)&gt;25,"Au-delà de 25 lignes : non imprimée","OK")))))))))))))</f>
        <v/>
      </c>
      <c r="O2654" s="59" t="str">
        <f>IF(A2654="","",COUNTIF($A$6:A2654,A2654))</f>
        <v/>
      </c>
      <c r="P2654" s="62" t="str">
        <f>IF(A2654="","",A2654&amp;"|"&amp;O2654)</f>
        <v/>
      </c>
    </row>
    <row r="2655">
      <c r="A2655" s="60" t="n"/>
      <c r="B2655" s="63" t="n"/>
      <c r="C2655" s="63" t="n"/>
      <c r="D2655" s="67" t="n"/>
      <c r="E2655" s="68" t="n"/>
      <c r="F2655" s="69" t="n"/>
      <c r="G2655" s="70" t="n"/>
      <c r="H2655" s="62" t="str">
        <f>IF(COUNTA(A2655:G2655)=0,"",IF(C2655&lt;&gt;"",C2655,IF(B2655="","",IFERROR(INDEX(pr_des,MATCH(B2655,pr_code,0))&amp;"",""))))</f>
        <v/>
      </c>
      <c r="I2655" s="59" t="str">
        <f>IF(B2655="","",IFERROR(INDEX(pr_unit,MATCH(B2655,pr_code,0))&amp;"",""))</f>
        <v/>
      </c>
      <c r="J2655" s="65" t="str">
        <f>IF(COUNTA(A2655:G2655)=0,"",IF(E2655&lt;&gt;"",E2655,IF(B2655="","",IFERROR(IF(INDEX(pr_price,MATCH(B2655,pr_code,0))="","",INDEX(pr_price,MATCH(B2655,pr_code,0))),""))))</f>
        <v/>
      </c>
      <c r="K2655" s="71" t="str">
        <f>IF(COUNTA(A2655:G2655)=0,"",IF(G2655&lt;&gt;"",G2655,IF(B2655="","",IFERROR(IF(INDEX(pr_rate,MATCH(B2655,pr_code,0))="","",INDEX(pr_rate,MATCH(B2655,pr_code,0))),""))))</f>
        <v/>
      </c>
      <c r="L2655" s="65" t="str">
        <f>IF(COUNTA(A2655:G2655)=0,"",IF(AND(ISNUMBER(D2655),ISNUMBER(J2655)),ROUND(D2655*J2655*(1-N(F2655)),2),0))</f>
        <v/>
      </c>
      <c r="M2655" s="62" t="str">
        <f>IF(A2655="","",IFERROR(INDEX(fa_cname,MATCH(A2655,fa_num,0))&amp;"",""))</f>
        <v/>
      </c>
      <c r="N2655" s="59" t="str">
        <f>IF(COUNTA(A2655:G2655)=0,"",IF(A2655="","N° facture manquant",IF(ISNA(MATCH(A2655,fa_num,0)),"Facture inconnue",IF(AND(B2655&lt;&gt;"",ISNA(MATCH(B2655,pr_code,0))),"Article inconnu",IF(H2655="","Désignation manquante",IF(OR(NOT(ISNUMBER(D2655)),N(D2655)&lt;=0),"Quantité invalide",IF(J2655="","Prix manquant",IF(OR(NOT(ISNUMBER(J2655)),N(J2655)&lt;0),"Prix invalide",IF(OR(AND(F2655&lt;&gt;"",NOT(ISNUMBER(F2655))),N(F2655)&lt;0,N(F2655)&gt;1),"Remise invalide",IF(K2655="","Taux de TVA manquant",IF(NOT(ISNUMBER(K2655)),"Taux de TVA invalide",IF(COUNTIF(p_rates,K2655)=0,"Taux de TVA hors liste (Paramètres)",IF(N(O2655)&gt;25,"Au-delà de 25 lignes : non imprimée","OK")))))))))))))</f>
        <v/>
      </c>
      <c r="O2655" s="59" t="str">
        <f>IF(A2655="","",COUNTIF($A$6:A2655,A2655))</f>
        <v/>
      </c>
      <c r="P2655" s="62" t="str">
        <f>IF(A2655="","",A2655&amp;"|"&amp;O2655)</f>
        <v/>
      </c>
    </row>
    <row r="2656">
      <c r="A2656" s="60" t="n"/>
      <c r="B2656" s="63" t="n"/>
      <c r="C2656" s="63" t="n"/>
      <c r="D2656" s="67" t="n"/>
      <c r="E2656" s="68" t="n"/>
      <c r="F2656" s="69" t="n"/>
      <c r="G2656" s="70" t="n"/>
      <c r="H2656" s="62" t="str">
        <f>IF(COUNTA(A2656:G2656)=0,"",IF(C2656&lt;&gt;"",C2656,IF(B2656="","",IFERROR(INDEX(pr_des,MATCH(B2656,pr_code,0))&amp;"",""))))</f>
        <v/>
      </c>
      <c r="I2656" s="59" t="str">
        <f>IF(B2656="","",IFERROR(INDEX(pr_unit,MATCH(B2656,pr_code,0))&amp;"",""))</f>
        <v/>
      </c>
      <c r="J2656" s="65" t="str">
        <f>IF(COUNTA(A2656:G2656)=0,"",IF(E2656&lt;&gt;"",E2656,IF(B2656="","",IFERROR(IF(INDEX(pr_price,MATCH(B2656,pr_code,0))="","",INDEX(pr_price,MATCH(B2656,pr_code,0))),""))))</f>
        <v/>
      </c>
      <c r="K2656" s="71" t="str">
        <f>IF(COUNTA(A2656:G2656)=0,"",IF(G2656&lt;&gt;"",G2656,IF(B2656="","",IFERROR(IF(INDEX(pr_rate,MATCH(B2656,pr_code,0))="","",INDEX(pr_rate,MATCH(B2656,pr_code,0))),""))))</f>
        <v/>
      </c>
      <c r="L2656" s="65" t="str">
        <f>IF(COUNTA(A2656:G2656)=0,"",IF(AND(ISNUMBER(D2656),ISNUMBER(J2656)),ROUND(D2656*J2656*(1-N(F2656)),2),0))</f>
        <v/>
      </c>
      <c r="M2656" s="62" t="str">
        <f>IF(A2656="","",IFERROR(INDEX(fa_cname,MATCH(A2656,fa_num,0))&amp;"",""))</f>
        <v/>
      </c>
      <c r="N2656" s="59" t="str">
        <f>IF(COUNTA(A2656:G2656)=0,"",IF(A2656="","N° facture manquant",IF(ISNA(MATCH(A2656,fa_num,0)),"Facture inconnue",IF(AND(B2656&lt;&gt;"",ISNA(MATCH(B2656,pr_code,0))),"Article inconnu",IF(H2656="","Désignation manquante",IF(OR(NOT(ISNUMBER(D2656)),N(D2656)&lt;=0),"Quantité invalide",IF(J2656="","Prix manquant",IF(OR(NOT(ISNUMBER(J2656)),N(J2656)&lt;0),"Prix invalide",IF(OR(AND(F2656&lt;&gt;"",NOT(ISNUMBER(F2656))),N(F2656)&lt;0,N(F2656)&gt;1),"Remise invalide",IF(K2656="","Taux de TVA manquant",IF(NOT(ISNUMBER(K2656)),"Taux de TVA invalide",IF(COUNTIF(p_rates,K2656)=0,"Taux de TVA hors liste (Paramètres)",IF(N(O2656)&gt;25,"Au-delà de 25 lignes : non imprimée","OK")))))))))))))</f>
        <v/>
      </c>
      <c r="O2656" s="59" t="str">
        <f>IF(A2656="","",COUNTIF($A$6:A2656,A2656))</f>
        <v/>
      </c>
      <c r="P2656" s="62" t="str">
        <f>IF(A2656="","",A2656&amp;"|"&amp;O2656)</f>
        <v/>
      </c>
    </row>
    <row r="2657">
      <c r="A2657" s="60" t="n"/>
      <c r="B2657" s="63" t="n"/>
      <c r="C2657" s="63" t="n"/>
      <c r="D2657" s="67" t="n"/>
      <c r="E2657" s="68" t="n"/>
      <c r="F2657" s="69" t="n"/>
      <c r="G2657" s="70" t="n"/>
      <c r="H2657" s="62" t="str">
        <f>IF(COUNTA(A2657:G2657)=0,"",IF(C2657&lt;&gt;"",C2657,IF(B2657="","",IFERROR(INDEX(pr_des,MATCH(B2657,pr_code,0))&amp;"",""))))</f>
        <v/>
      </c>
      <c r="I2657" s="59" t="str">
        <f>IF(B2657="","",IFERROR(INDEX(pr_unit,MATCH(B2657,pr_code,0))&amp;"",""))</f>
        <v/>
      </c>
      <c r="J2657" s="65" t="str">
        <f>IF(COUNTA(A2657:G2657)=0,"",IF(E2657&lt;&gt;"",E2657,IF(B2657="","",IFERROR(IF(INDEX(pr_price,MATCH(B2657,pr_code,0))="","",INDEX(pr_price,MATCH(B2657,pr_code,0))),""))))</f>
        <v/>
      </c>
      <c r="K2657" s="71" t="str">
        <f>IF(COUNTA(A2657:G2657)=0,"",IF(G2657&lt;&gt;"",G2657,IF(B2657="","",IFERROR(IF(INDEX(pr_rate,MATCH(B2657,pr_code,0))="","",INDEX(pr_rate,MATCH(B2657,pr_code,0))),""))))</f>
        <v/>
      </c>
      <c r="L2657" s="65" t="str">
        <f>IF(COUNTA(A2657:G2657)=0,"",IF(AND(ISNUMBER(D2657),ISNUMBER(J2657)),ROUND(D2657*J2657*(1-N(F2657)),2),0))</f>
        <v/>
      </c>
      <c r="M2657" s="62" t="str">
        <f>IF(A2657="","",IFERROR(INDEX(fa_cname,MATCH(A2657,fa_num,0))&amp;"",""))</f>
        <v/>
      </c>
      <c r="N2657" s="59" t="str">
        <f>IF(COUNTA(A2657:G2657)=0,"",IF(A2657="","N° facture manquant",IF(ISNA(MATCH(A2657,fa_num,0)),"Facture inconnue",IF(AND(B2657&lt;&gt;"",ISNA(MATCH(B2657,pr_code,0))),"Article inconnu",IF(H2657="","Désignation manquante",IF(OR(NOT(ISNUMBER(D2657)),N(D2657)&lt;=0),"Quantité invalide",IF(J2657="","Prix manquant",IF(OR(NOT(ISNUMBER(J2657)),N(J2657)&lt;0),"Prix invalide",IF(OR(AND(F2657&lt;&gt;"",NOT(ISNUMBER(F2657))),N(F2657)&lt;0,N(F2657)&gt;1),"Remise invalide",IF(K2657="","Taux de TVA manquant",IF(NOT(ISNUMBER(K2657)),"Taux de TVA invalide",IF(COUNTIF(p_rates,K2657)=0,"Taux de TVA hors liste (Paramètres)",IF(N(O2657)&gt;25,"Au-delà de 25 lignes : non imprimée","OK")))))))))))))</f>
        <v/>
      </c>
      <c r="O2657" s="59" t="str">
        <f>IF(A2657="","",COUNTIF($A$6:A2657,A2657))</f>
        <v/>
      </c>
      <c r="P2657" s="62" t="str">
        <f>IF(A2657="","",A2657&amp;"|"&amp;O2657)</f>
        <v/>
      </c>
    </row>
    <row r="2658">
      <c r="A2658" s="60" t="n"/>
      <c r="B2658" s="63" t="n"/>
      <c r="C2658" s="63" t="n"/>
      <c r="D2658" s="67" t="n"/>
      <c r="E2658" s="68" t="n"/>
      <c r="F2658" s="69" t="n"/>
      <c r="G2658" s="70" t="n"/>
      <c r="H2658" s="62" t="str">
        <f>IF(COUNTA(A2658:G2658)=0,"",IF(C2658&lt;&gt;"",C2658,IF(B2658="","",IFERROR(INDEX(pr_des,MATCH(B2658,pr_code,0))&amp;"",""))))</f>
        <v/>
      </c>
      <c r="I2658" s="59" t="str">
        <f>IF(B2658="","",IFERROR(INDEX(pr_unit,MATCH(B2658,pr_code,0))&amp;"",""))</f>
        <v/>
      </c>
      <c r="J2658" s="65" t="str">
        <f>IF(COUNTA(A2658:G2658)=0,"",IF(E2658&lt;&gt;"",E2658,IF(B2658="","",IFERROR(IF(INDEX(pr_price,MATCH(B2658,pr_code,0))="","",INDEX(pr_price,MATCH(B2658,pr_code,0))),""))))</f>
        <v/>
      </c>
      <c r="K2658" s="71" t="str">
        <f>IF(COUNTA(A2658:G2658)=0,"",IF(G2658&lt;&gt;"",G2658,IF(B2658="","",IFERROR(IF(INDEX(pr_rate,MATCH(B2658,pr_code,0))="","",INDEX(pr_rate,MATCH(B2658,pr_code,0))),""))))</f>
        <v/>
      </c>
      <c r="L2658" s="65" t="str">
        <f>IF(COUNTA(A2658:G2658)=0,"",IF(AND(ISNUMBER(D2658),ISNUMBER(J2658)),ROUND(D2658*J2658*(1-N(F2658)),2),0))</f>
        <v/>
      </c>
      <c r="M2658" s="62" t="str">
        <f>IF(A2658="","",IFERROR(INDEX(fa_cname,MATCH(A2658,fa_num,0))&amp;"",""))</f>
        <v/>
      </c>
      <c r="N2658" s="59" t="str">
        <f>IF(COUNTA(A2658:G2658)=0,"",IF(A2658="","N° facture manquant",IF(ISNA(MATCH(A2658,fa_num,0)),"Facture inconnue",IF(AND(B2658&lt;&gt;"",ISNA(MATCH(B2658,pr_code,0))),"Article inconnu",IF(H2658="","Désignation manquante",IF(OR(NOT(ISNUMBER(D2658)),N(D2658)&lt;=0),"Quantité invalide",IF(J2658="","Prix manquant",IF(OR(NOT(ISNUMBER(J2658)),N(J2658)&lt;0),"Prix invalide",IF(OR(AND(F2658&lt;&gt;"",NOT(ISNUMBER(F2658))),N(F2658)&lt;0,N(F2658)&gt;1),"Remise invalide",IF(K2658="","Taux de TVA manquant",IF(NOT(ISNUMBER(K2658)),"Taux de TVA invalide",IF(COUNTIF(p_rates,K2658)=0,"Taux de TVA hors liste (Paramètres)",IF(N(O2658)&gt;25,"Au-delà de 25 lignes : non imprimée","OK")))))))))))))</f>
        <v/>
      </c>
      <c r="O2658" s="59" t="str">
        <f>IF(A2658="","",COUNTIF($A$6:A2658,A2658))</f>
        <v/>
      </c>
      <c r="P2658" s="62" t="str">
        <f>IF(A2658="","",A2658&amp;"|"&amp;O2658)</f>
        <v/>
      </c>
    </row>
    <row r="2659">
      <c r="A2659" s="60" t="n"/>
      <c r="B2659" s="63" t="n"/>
      <c r="C2659" s="63" t="n"/>
      <c r="D2659" s="67" t="n"/>
      <c r="E2659" s="68" t="n"/>
      <c r="F2659" s="69" t="n"/>
      <c r="G2659" s="70" t="n"/>
      <c r="H2659" s="62" t="str">
        <f>IF(COUNTA(A2659:G2659)=0,"",IF(C2659&lt;&gt;"",C2659,IF(B2659="","",IFERROR(INDEX(pr_des,MATCH(B2659,pr_code,0))&amp;"",""))))</f>
        <v/>
      </c>
      <c r="I2659" s="59" t="str">
        <f>IF(B2659="","",IFERROR(INDEX(pr_unit,MATCH(B2659,pr_code,0))&amp;"",""))</f>
        <v/>
      </c>
      <c r="J2659" s="65" t="str">
        <f>IF(COUNTA(A2659:G2659)=0,"",IF(E2659&lt;&gt;"",E2659,IF(B2659="","",IFERROR(IF(INDEX(pr_price,MATCH(B2659,pr_code,0))="","",INDEX(pr_price,MATCH(B2659,pr_code,0))),""))))</f>
        <v/>
      </c>
      <c r="K2659" s="71" t="str">
        <f>IF(COUNTA(A2659:G2659)=0,"",IF(G2659&lt;&gt;"",G2659,IF(B2659="","",IFERROR(IF(INDEX(pr_rate,MATCH(B2659,pr_code,0))="","",INDEX(pr_rate,MATCH(B2659,pr_code,0))),""))))</f>
        <v/>
      </c>
      <c r="L2659" s="65" t="str">
        <f>IF(COUNTA(A2659:G2659)=0,"",IF(AND(ISNUMBER(D2659),ISNUMBER(J2659)),ROUND(D2659*J2659*(1-N(F2659)),2),0))</f>
        <v/>
      </c>
      <c r="M2659" s="62" t="str">
        <f>IF(A2659="","",IFERROR(INDEX(fa_cname,MATCH(A2659,fa_num,0))&amp;"",""))</f>
        <v/>
      </c>
      <c r="N2659" s="59" t="str">
        <f>IF(COUNTA(A2659:G2659)=0,"",IF(A2659="","N° facture manquant",IF(ISNA(MATCH(A2659,fa_num,0)),"Facture inconnue",IF(AND(B2659&lt;&gt;"",ISNA(MATCH(B2659,pr_code,0))),"Article inconnu",IF(H2659="","Désignation manquante",IF(OR(NOT(ISNUMBER(D2659)),N(D2659)&lt;=0),"Quantité invalide",IF(J2659="","Prix manquant",IF(OR(NOT(ISNUMBER(J2659)),N(J2659)&lt;0),"Prix invalide",IF(OR(AND(F2659&lt;&gt;"",NOT(ISNUMBER(F2659))),N(F2659)&lt;0,N(F2659)&gt;1),"Remise invalide",IF(K2659="","Taux de TVA manquant",IF(NOT(ISNUMBER(K2659)),"Taux de TVA invalide",IF(COUNTIF(p_rates,K2659)=0,"Taux de TVA hors liste (Paramètres)",IF(N(O2659)&gt;25,"Au-delà de 25 lignes : non imprimée","OK")))))))))))))</f>
        <v/>
      </c>
      <c r="O2659" s="59" t="str">
        <f>IF(A2659="","",COUNTIF($A$6:A2659,A2659))</f>
        <v/>
      </c>
      <c r="P2659" s="62" t="str">
        <f>IF(A2659="","",A2659&amp;"|"&amp;O2659)</f>
        <v/>
      </c>
    </row>
    <row r="2660">
      <c r="A2660" s="60" t="n"/>
      <c r="B2660" s="63" t="n"/>
      <c r="C2660" s="63" t="n"/>
      <c r="D2660" s="67" t="n"/>
      <c r="E2660" s="68" t="n"/>
      <c r="F2660" s="69" t="n"/>
      <c r="G2660" s="70" t="n"/>
      <c r="H2660" s="62" t="str">
        <f>IF(COUNTA(A2660:G2660)=0,"",IF(C2660&lt;&gt;"",C2660,IF(B2660="","",IFERROR(INDEX(pr_des,MATCH(B2660,pr_code,0))&amp;"",""))))</f>
        <v/>
      </c>
      <c r="I2660" s="59" t="str">
        <f>IF(B2660="","",IFERROR(INDEX(pr_unit,MATCH(B2660,pr_code,0))&amp;"",""))</f>
        <v/>
      </c>
      <c r="J2660" s="65" t="str">
        <f>IF(COUNTA(A2660:G2660)=0,"",IF(E2660&lt;&gt;"",E2660,IF(B2660="","",IFERROR(IF(INDEX(pr_price,MATCH(B2660,pr_code,0))="","",INDEX(pr_price,MATCH(B2660,pr_code,0))),""))))</f>
        <v/>
      </c>
      <c r="K2660" s="71" t="str">
        <f>IF(COUNTA(A2660:G2660)=0,"",IF(G2660&lt;&gt;"",G2660,IF(B2660="","",IFERROR(IF(INDEX(pr_rate,MATCH(B2660,pr_code,0))="","",INDEX(pr_rate,MATCH(B2660,pr_code,0))),""))))</f>
        <v/>
      </c>
      <c r="L2660" s="65" t="str">
        <f>IF(COUNTA(A2660:G2660)=0,"",IF(AND(ISNUMBER(D2660),ISNUMBER(J2660)),ROUND(D2660*J2660*(1-N(F2660)),2),0))</f>
        <v/>
      </c>
      <c r="M2660" s="62" t="str">
        <f>IF(A2660="","",IFERROR(INDEX(fa_cname,MATCH(A2660,fa_num,0))&amp;"",""))</f>
        <v/>
      </c>
      <c r="N2660" s="59" t="str">
        <f>IF(COUNTA(A2660:G2660)=0,"",IF(A2660="","N° facture manquant",IF(ISNA(MATCH(A2660,fa_num,0)),"Facture inconnue",IF(AND(B2660&lt;&gt;"",ISNA(MATCH(B2660,pr_code,0))),"Article inconnu",IF(H2660="","Désignation manquante",IF(OR(NOT(ISNUMBER(D2660)),N(D2660)&lt;=0),"Quantité invalide",IF(J2660="","Prix manquant",IF(OR(NOT(ISNUMBER(J2660)),N(J2660)&lt;0),"Prix invalide",IF(OR(AND(F2660&lt;&gt;"",NOT(ISNUMBER(F2660))),N(F2660)&lt;0,N(F2660)&gt;1),"Remise invalide",IF(K2660="","Taux de TVA manquant",IF(NOT(ISNUMBER(K2660)),"Taux de TVA invalide",IF(COUNTIF(p_rates,K2660)=0,"Taux de TVA hors liste (Paramètres)",IF(N(O2660)&gt;25,"Au-delà de 25 lignes : non imprimée","OK")))))))))))))</f>
        <v/>
      </c>
      <c r="O2660" s="59" t="str">
        <f>IF(A2660="","",COUNTIF($A$6:A2660,A2660))</f>
        <v/>
      </c>
      <c r="P2660" s="62" t="str">
        <f>IF(A2660="","",A2660&amp;"|"&amp;O2660)</f>
        <v/>
      </c>
    </row>
    <row r="2661">
      <c r="A2661" s="60" t="n"/>
      <c r="B2661" s="63" t="n"/>
      <c r="C2661" s="63" t="n"/>
      <c r="D2661" s="67" t="n"/>
      <c r="E2661" s="68" t="n"/>
      <c r="F2661" s="69" t="n"/>
      <c r="G2661" s="70" t="n"/>
      <c r="H2661" s="62" t="str">
        <f>IF(COUNTA(A2661:G2661)=0,"",IF(C2661&lt;&gt;"",C2661,IF(B2661="","",IFERROR(INDEX(pr_des,MATCH(B2661,pr_code,0))&amp;"",""))))</f>
        <v/>
      </c>
      <c r="I2661" s="59" t="str">
        <f>IF(B2661="","",IFERROR(INDEX(pr_unit,MATCH(B2661,pr_code,0))&amp;"",""))</f>
        <v/>
      </c>
      <c r="J2661" s="65" t="str">
        <f>IF(COUNTA(A2661:G2661)=0,"",IF(E2661&lt;&gt;"",E2661,IF(B2661="","",IFERROR(IF(INDEX(pr_price,MATCH(B2661,pr_code,0))="","",INDEX(pr_price,MATCH(B2661,pr_code,0))),""))))</f>
        <v/>
      </c>
      <c r="K2661" s="71" t="str">
        <f>IF(COUNTA(A2661:G2661)=0,"",IF(G2661&lt;&gt;"",G2661,IF(B2661="","",IFERROR(IF(INDEX(pr_rate,MATCH(B2661,pr_code,0))="","",INDEX(pr_rate,MATCH(B2661,pr_code,0))),""))))</f>
        <v/>
      </c>
      <c r="L2661" s="65" t="str">
        <f>IF(COUNTA(A2661:G2661)=0,"",IF(AND(ISNUMBER(D2661),ISNUMBER(J2661)),ROUND(D2661*J2661*(1-N(F2661)),2),0))</f>
        <v/>
      </c>
      <c r="M2661" s="62" t="str">
        <f>IF(A2661="","",IFERROR(INDEX(fa_cname,MATCH(A2661,fa_num,0))&amp;"",""))</f>
        <v/>
      </c>
      <c r="N2661" s="59" t="str">
        <f>IF(COUNTA(A2661:G2661)=0,"",IF(A2661="","N° facture manquant",IF(ISNA(MATCH(A2661,fa_num,0)),"Facture inconnue",IF(AND(B2661&lt;&gt;"",ISNA(MATCH(B2661,pr_code,0))),"Article inconnu",IF(H2661="","Désignation manquante",IF(OR(NOT(ISNUMBER(D2661)),N(D2661)&lt;=0),"Quantité invalide",IF(J2661="","Prix manquant",IF(OR(NOT(ISNUMBER(J2661)),N(J2661)&lt;0),"Prix invalide",IF(OR(AND(F2661&lt;&gt;"",NOT(ISNUMBER(F2661))),N(F2661)&lt;0,N(F2661)&gt;1),"Remise invalide",IF(K2661="","Taux de TVA manquant",IF(NOT(ISNUMBER(K2661)),"Taux de TVA invalide",IF(COUNTIF(p_rates,K2661)=0,"Taux de TVA hors liste (Paramètres)",IF(N(O2661)&gt;25,"Au-delà de 25 lignes : non imprimée","OK")))))))))))))</f>
        <v/>
      </c>
      <c r="O2661" s="59" t="str">
        <f>IF(A2661="","",COUNTIF($A$6:A2661,A2661))</f>
        <v/>
      </c>
      <c r="P2661" s="62" t="str">
        <f>IF(A2661="","",A2661&amp;"|"&amp;O2661)</f>
        <v/>
      </c>
    </row>
    <row r="2662">
      <c r="A2662" s="60" t="n"/>
      <c r="B2662" s="63" t="n"/>
      <c r="C2662" s="63" t="n"/>
      <c r="D2662" s="67" t="n"/>
      <c r="E2662" s="68" t="n"/>
      <c r="F2662" s="69" t="n"/>
      <c r="G2662" s="70" t="n"/>
      <c r="H2662" s="62" t="str">
        <f>IF(COUNTA(A2662:G2662)=0,"",IF(C2662&lt;&gt;"",C2662,IF(B2662="","",IFERROR(INDEX(pr_des,MATCH(B2662,pr_code,0))&amp;"",""))))</f>
        <v/>
      </c>
      <c r="I2662" s="59" t="str">
        <f>IF(B2662="","",IFERROR(INDEX(pr_unit,MATCH(B2662,pr_code,0))&amp;"",""))</f>
        <v/>
      </c>
      <c r="J2662" s="65" t="str">
        <f>IF(COUNTA(A2662:G2662)=0,"",IF(E2662&lt;&gt;"",E2662,IF(B2662="","",IFERROR(IF(INDEX(pr_price,MATCH(B2662,pr_code,0))="","",INDEX(pr_price,MATCH(B2662,pr_code,0))),""))))</f>
        <v/>
      </c>
      <c r="K2662" s="71" t="str">
        <f>IF(COUNTA(A2662:G2662)=0,"",IF(G2662&lt;&gt;"",G2662,IF(B2662="","",IFERROR(IF(INDEX(pr_rate,MATCH(B2662,pr_code,0))="","",INDEX(pr_rate,MATCH(B2662,pr_code,0))),""))))</f>
        <v/>
      </c>
      <c r="L2662" s="65" t="str">
        <f>IF(COUNTA(A2662:G2662)=0,"",IF(AND(ISNUMBER(D2662),ISNUMBER(J2662)),ROUND(D2662*J2662*(1-N(F2662)),2),0))</f>
        <v/>
      </c>
      <c r="M2662" s="62" t="str">
        <f>IF(A2662="","",IFERROR(INDEX(fa_cname,MATCH(A2662,fa_num,0))&amp;"",""))</f>
        <v/>
      </c>
      <c r="N2662" s="59" t="str">
        <f>IF(COUNTA(A2662:G2662)=0,"",IF(A2662="","N° facture manquant",IF(ISNA(MATCH(A2662,fa_num,0)),"Facture inconnue",IF(AND(B2662&lt;&gt;"",ISNA(MATCH(B2662,pr_code,0))),"Article inconnu",IF(H2662="","Désignation manquante",IF(OR(NOT(ISNUMBER(D2662)),N(D2662)&lt;=0),"Quantité invalide",IF(J2662="","Prix manquant",IF(OR(NOT(ISNUMBER(J2662)),N(J2662)&lt;0),"Prix invalide",IF(OR(AND(F2662&lt;&gt;"",NOT(ISNUMBER(F2662))),N(F2662)&lt;0,N(F2662)&gt;1),"Remise invalide",IF(K2662="","Taux de TVA manquant",IF(NOT(ISNUMBER(K2662)),"Taux de TVA invalide",IF(COUNTIF(p_rates,K2662)=0,"Taux de TVA hors liste (Paramètres)",IF(N(O2662)&gt;25,"Au-delà de 25 lignes : non imprimée","OK")))))))))))))</f>
        <v/>
      </c>
      <c r="O2662" s="59" t="str">
        <f>IF(A2662="","",COUNTIF($A$6:A2662,A2662))</f>
        <v/>
      </c>
      <c r="P2662" s="62" t="str">
        <f>IF(A2662="","",A2662&amp;"|"&amp;O2662)</f>
        <v/>
      </c>
    </row>
    <row r="2663">
      <c r="A2663" s="60" t="n"/>
      <c r="B2663" s="63" t="n"/>
      <c r="C2663" s="63" t="n"/>
      <c r="D2663" s="67" t="n"/>
      <c r="E2663" s="68" t="n"/>
      <c r="F2663" s="69" t="n"/>
      <c r="G2663" s="70" t="n"/>
      <c r="H2663" s="62" t="str">
        <f>IF(COUNTA(A2663:G2663)=0,"",IF(C2663&lt;&gt;"",C2663,IF(B2663="","",IFERROR(INDEX(pr_des,MATCH(B2663,pr_code,0))&amp;"",""))))</f>
        <v/>
      </c>
      <c r="I2663" s="59" t="str">
        <f>IF(B2663="","",IFERROR(INDEX(pr_unit,MATCH(B2663,pr_code,0))&amp;"",""))</f>
        <v/>
      </c>
      <c r="J2663" s="65" t="str">
        <f>IF(COUNTA(A2663:G2663)=0,"",IF(E2663&lt;&gt;"",E2663,IF(B2663="","",IFERROR(IF(INDEX(pr_price,MATCH(B2663,pr_code,0))="","",INDEX(pr_price,MATCH(B2663,pr_code,0))),""))))</f>
        <v/>
      </c>
      <c r="K2663" s="71" t="str">
        <f>IF(COUNTA(A2663:G2663)=0,"",IF(G2663&lt;&gt;"",G2663,IF(B2663="","",IFERROR(IF(INDEX(pr_rate,MATCH(B2663,pr_code,0))="","",INDEX(pr_rate,MATCH(B2663,pr_code,0))),""))))</f>
        <v/>
      </c>
      <c r="L2663" s="65" t="str">
        <f>IF(COUNTA(A2663:G2663)=0,"",IF(AND(ISNUMBER(D2663),ISNUMBER(J2663)),ROUND(D2663*J2663*(1-N(F2663)),2),0))</f>
        <v/>
      </c>
      <c r="M2663" s="62" t="str">
        <f>IF(A2663="","",IFERROR(INDEX(fa_cname,MATCH(A2663,fa_num,0))&amp;"",""))</f>
        <v/>
      </c>
      <c r="N2663" s="59" t="str">
        <f>IF(COUNTA(A2663:G2663)=0,"",IF(A2663="","N° facture manquant",IF(ISNA(MATCH(A2663,fa_num,0)),"Facture inconnue",IF(AND(B2663&lt;&gt;"",ISNA(MATCH(B2663,pr_code,0))),"Article inconnu",IF(H2663="","Désignation manquante",IF(OR(NOT(ISNUMBER(D2663)),N(D2663)&lt;=0),"Quantité invalide",IF(J2663="","Prix manquant",IF(OR(NOT(ISNUMBER(J2663)),N(J2663)&lt;0),"Prix invalide",IF(OR(AND(F2663&lt;&gt;"",NOT(ISNUMBER(F2663))),N(F2663)&lt;0,N(F2663)&gt;1),"Remise invalide",IF(K2663="","Taux de TVA manquant",IF(NOT(ISNUMBER(K2663)),"Taux de TVA invalide",IF(COUNTIF(p_rates,K2663)=0,"Taux de TVA hors liste (Paramètres)",IF(N(O2663)&gt;25,"Au-delà de 25 lignes : non imprimée","OK")))))))))))))</f>
        <v/>
      </c>
      <c r="O2663" s="59" t="str">
        <f>IF(A2663="","",COUNTIF($A$6:A2663,A2663))</f>
        <v/>
      </c>
      <c r="P2663" s="62" t="str">
        <f>IF(A2663="","",A2663&amp;"|"&amp;O2663)</f>
        <v/>
      </c>
    </row>
    <row r="2664">
      <c r="A2664" s="60" t="n"/>
      <c r="B2664" s="63" t="n"/>
      <c r="C2664" s="63" t="n"/>
      <c r="D2664" s="67" t="n"/>
      <c r="E2664" s="68" t="n"/>
      <c r="F2664" s="69" t="n"/>
      <c r="G2664" s="70" t="n"/>
      <c r="H2664" s="62" t="str">
        <f>IF(COUNTA(A2664:G2664)=0,"",IF(C2664&lt;&gt;"",C2664,IF(B2664="","",IFERROR(INDEX(pr_des,MATCH(B2664,pr_code,0))&amp;"",""))))</f>
        <v/>
      </c>
      <c r="I2664" s="59" t="str">
        <f>IF(B2664="","",IFERROR(INDEX(pr_unit,MATCH(B2664,pr_code,0))&amp;"",""))</f>
        <v/>
      </c>
      <c r="J2664" s="65" t="str">
        <f>IF(COUNTA(A2664:G2664)=0,"",IF(E2664&lt;&gt;"",E2664,IF(B2664="","",IFERROR(IF(INDEX(pr_price,MATCH(B2664,pr_code,0))="","",INDEX(pr_price,MATCH(B2664,pr_code,0))),""))))</f>
        <v/>
      </c>
      <c r="K2664" s="71" t="str">
        <f>IF(COUNTA(A2664:G2664)=0,"",IF(G2664&lt;&gt;"",G2664,IF(B2664="","",IFERROR(IF(INDEX(pr_rate,MATCH(B2664,pr_code,0))="","",INDEX(pr_rate,MATCH(B2664,pr_code,0))),""))))</f>
        <v/>
      </c>
      <c r="L2664" s="65" t="str">
        <f>IF(COUNTA(A2664:G2664)=0,"",IF(AND(ISNUMBER(D2664),ISNUMBER(J2664)),ROUND(D2664*J2664*(1-N(F2664)),2),0))</f>
        <v/>
      </c>
      <c r="M2664" s="62" t="str">
        <f>IF(A2664="","",IFERROR(INDEX(fa_cname,MATCH(A2664,fa_num,0))&amp;"",""))</f>
        <v/>
      </c>
      <c r="N2664" s="59" t="str">
        <f>IF(COUNTA(A2664:G2664)=0,"",IF(A2664="","N° facture manquant",IF(ISNA(MATCH(A2664,fa_num,0)),"Facture inconnue",IF(AND(B2664&lt;&gt;"",ISNA(MATCH(B2664,pr_code,0))),"Article inconnu",IF(H2664="","Désignation manquante",IF(OR(NOT(ISNUMBER(D2664)),N(D2664)&lt;=0),"Quantité invalide",IF(J2664="","Prix manquant",IF(OR(NOT(ISNUMBER(J2664)),N(J2664)&lt;0),"Prix invalide",IF(OR(AND(F2664&lt;&gt;"",NOT(ISNUMBER(F2664))),N(F2664)&lt;0,N(F2664)&gt;1),"Remise invalide",IF(K2664="","Taux de TVA manquant",IF(NOT(ISNUMBER(K2664)),"Taux de TVA invalide",IF(COUNTIF(p_rates,K2664)=0,"Taux de TVA hors liste (Paramètres)",IF(N(O2664)&gt;25,"Au-delà de 25 lignes : non imprimée","OK")))))))))))))</f>
        <v/>
      </c>
      <c r="O2664" s="59" t="str">
        <f>IF(A2664="","",COUNTIF($A$6:A2664,A2664))</f>
        <v/>
      </c>
      <c r="P2664" s="62" t="str">
        <f>IF(A2664="","",A2664&amp;"|"&amp;O2664)</f>
        <v/>
      </c>
    </row>
    <row r="2665">
      <c r="A2665" s="60" t="n"/>
      <c r="B2665" s="63" t="n"/>
      <c r="C2665" s="63" t="n"/>
      <c r="D2665" s="67" t="n"/>
      <c r="E2665" s="68" t="n"/>
      <c r="F2665" s="69" t="n"/>
      <c r="G2665" s="70" t="n"/>
      <c r="H2665" s="62" t="str">
        <f>IF(COUNTA(A2665:G2665)=0,"",IF(C2665&lt;&gt;"",C2665,IF(B2665="","",IFERROR(INDEX(pr_des,MATCH(B2665,pr_code,0))&amp;"",""))))</f>
        <v/>
      </c>
      <c r="I2665" s="59" t="str">
        <f>IF(B2665="","",IFERROR(INDEX(pr_unit,MATCH(B2665,pr_code,0))&amp;"",""))</f>
        <v/>
      </c>
      <c r="J2665" s="65" t="str">
        <f>IF(COUNTA(A2665:G2665)=0,"",IF(E2665&lt;&gt;"",E2665,IF(B2665="","",IFERROR(IF(INDEX(pr_price,MATCH(B2665,pr_code,0))="","",INDEX(pr_price,MATCH(B2665,pr_code,0))),""))))</f>
        <v/>
      </c>
      <c r="K2665" s="71" t="str">
        <f>IF(COUNTA(A2665:G2665)=0,"",IF(G2665&lt;&gt;"",G2665,IF(B2665="","",IFERROR(IF(INDEX(pr_rate,MATCH(B2665,pr_code,0))="","",INDEX(pr_rate,MATCH(B2665,pr_code,0))),""))))</f>
        <v/>
      </c>
      <c r="L2665" s="65" t="str">
        <f>IF(COUNTA(A2665:G2665)=0,"",IF(AND(ISNUMBER(D2665),ISNUMBER(J2665)),ROUND(D2665*J2665*(1-N(F2665)),2),0))</f>
        <v/>
      </c>
      <c r="M2665" s="62" t="str">
        <f>IF(A2665="","",IFERROR(INDEX(fa_cname,MATCH(A2665,fa_num,0))&amp;"",""))</f>
        <v/>
      </c>
      <c r="N2665" s="59" t="str">
        <f>IF(COUNTA(A2665:G2665)=0,"",IF(A2665="","N° facture manquant",IF(ISNA(MATCH(A2665,fa_num,0)),"Facture inconnue",IF(AND(B2665&lt;&gt;"",ISNA(MATCH(B2665,pr_code,0))),"Article inconnu",IF(H2665="","Désignation manquante",IF(OR(NOT(ISNUMBER(D2665)),N(D2665)&lt;=0),"Quantité invalide",IF(J2665="","Prix manquant",IF(OR(NOT(ISNUMBER(J2665)),N(J2665)&lt;0),"Prix invalide",IF(OR(AND(F2665&lt;&gt;"",NOT(ISNUMBER(F2665))),N(F2665)&lt;0,N(F2665)&gt;1),"Remise invalide",IF(K2665="","Taux de TVA manquant",IF(NOT(ISNUMBER(K2665)),"Taux de TVA invalide",IF(COUNTIF(p_rates,K2665)=0,"Taux de TVA hors liste (Paramètres)",IF(N(O2665)&gt;25,"Au-delà de 25 lignes : non imprimée","OK")))))))))))))</f>
        <v/>
      </c>
      <c r="O2665" s="59" t="str">
        <f>IF(A2665="","",COUNTIF($A$6:A2665,A2665))</f>
        <v/>
      </c>
      <c r="P2665" s="62" t="str">
        <f>IF(A2665="","",A2665&amp;"|"&amp;O2665)</f>
        <v/>
      </c>
    </row>
    <row r="2666">
      <c r="A2666" s="60" t="n"/>
      <c r="B2666" s="63" t="n"/>
      <c r="C2666" s="63" t="n"/>
      <c r="D2666" s="67" t="n"/>
      <c r="E2666" s="68" t="n"/>
      <c r="F2666" s="69" t="n"/>
      <c r="G2666" s="70" t="n"/>
      <c r="H2666" s="62" t="str">
        <f>IF(COUNTA(A2666:G2666)=0,"",IF(C2666&lt;&gt;"",C2666,IF(B2666="","",IFERROR(INDEX(pr_des,MATCH(B2666,pr_code,0))&amp;"",""))))</f>
        <v/>
      </c>
      <c r="I2666" s="59" t="str">
        <f>IF(B2666="","",IFERROR(INDEX(pr_unit,MATCH(B2666,pr_code,0))&amp;"",""))</f>
        <v/>
      </c>
      <c r="J2666" s="65" t="str">
        <f>IF(COUNTA(A2666:G2666)=0,"",IF(E2666&lt;&gt;"",E2666,IF(B2666="","",IFERROR(IF(INDEX(pr_price,MATCH(B2666,pr_code,0))="","",INDEX(pr_price,MATCH(B2666,pr_code,0))),""))))</f>
        <v/>
      </c>
      <c r="K2666" s="71" t="str">
        <f>IF(COUNTA(A2666:G2666)=0,"",IF(G2666&lt;&gt;"",G2666,IF(B2666="","",IFERROR(IF(INDEX(pr_rate,MATCH(B2666,pr_code,0))="","",INDEX(pr_rate,MATCH(B2666,pr_code,0))),""))))</f>
        <v/>
      </c>
      <c r="L2666" s="65" t="str">
        <f>IF(COUNTA(A2666:G2666)=0,"",IF(AND(ISNUMBER(D2666),ISNUMBER(J2666)),ROUND(D2666*J2666*(1-N(F2666)),2),0))</f>
        <v/>
      </c>
      <c r="M2666" s="62" t="str">
        <f>IF(A2666="","",IFERROR(INDEX(fa_cname,MATCH(A2666,fa_num,0))&amp;"",""))</f>
        <v/>
      </c>
      <c r="N2666" s="59" t="str">
        <f>IF(COUNTA(A2666:G2666)=0,"",IF(A2666="","N° facture manquant",IF(ISNA(MATCH(A2666,fa_num,0)),"Facture inconnue",IF(AND(B2666&lt;&gt;"",ISNA(MATCH(B2666,pr_code,0))),"Article inconnu",IF(H2666="","Désignation manquante",IF(OR(NOT(ISNUMBER(D2666)),N(D2666)&lt;=0),"Quantité invalide",IF(J2666="","Prix manquant",IF(OR(NOT(ISNUMBER(J2666)),N(J2666)&lt;0),"Prix invalide",IF(OR(AND(F2666&lt;&gt;"",NOT(ISNUMBER(F2666))),N(F2666)&lt;0,N(F2666)&gt;1),"Remise invalide",IF(K2666="","Taux de TVA manquant",IF(NOT(ISNUMBER(K2666)),"Taux de TVA invalide",IF(COUNTIF(p_rates,K2666)=0,"Taux de TVA hors liste (Paramètres)",IF(N(O2666)&gt;25,"Au-delà de 25 lignes : non imprimée","OK")))))))))))))</f>
        <v/>
      </c>
      <c r="O2666" s="59" t="str">
        <f>IF(A2666="","",COUNTIF($A$6:A2666,A2666))</f>
        <v/>
      </c>
      <c r="P2666" s="62" t="str">
        <f>IF(A2666="","",A2666&amp;"|"&amp;O2666)</f>
        <v/>
      </c>
    </row>
    <row r="2667">
      <c r="A2667" s="60" t="n"/>
      <c r="B2667" s="63" t="n"/>
      <c r="C2667" s="63" t="n"/>
      <c r="D2667" s="67" t="n"/>
      <c r="E2667" s="68" t="n"/>
      <c r="F2667" s="69" t="n"/>
      <c r="G2667" s="70" t="n"/>
      <c r="H2667" s="62" t="str">
        <f>IF(COUNTA(A2667:G2667)=0,"",IF(C2667&lt;&gt;"",C2667,IF(B2667="","",IFERROR(INDEX(pr_des,MATCH(B2667,pr_code,0))&amp;"",""))))</f>
        <v/>
      </c>
      <c r="I2667" s="59" t="str">
        <f>IF(B2667="","",IFERROR(INDEX(pr_unit,MATCH(B2667,pr_code,0))&amp;"",""))</f>
        <v/>
      </c>
      <c r="J2667" s="65" t="str">
        <f>IF(COUNTA(A2667:G2667)=0,"",IF(E2667&lt;&gt;"",E2667,IF(B2667="","",IFERROR(IF(INDEX(pr_price,MATCH(B2667,pr_code,0))="","",INDEX(pr_price,MATCH(B2667,pr_code,0))),""))))</f>
        <v/>
      </c>
      <c r="K2667" s="71" t="str">
        <f>IF(COUNTA(A2667:G2667)=0,"",IF(G2667&lt;&gt;"",G2667,IF(B2667="","",IFERROR(IF(INDEX(pr_rate,MATCH(B2667,pr_code,0))="","",INDEX(pr_rate,MATCH(B2667,pr_code,0))),""))))</f>
        <v/>
      </c>
      <c r="L2667" s="65" t="str">
        <f>IF(COUNTA(A2667:G2667)=0,"",IF(AND(ISNUMBER(D2667),ISNUMBER(J2667)),ROUND(D2667*J2667*(1-N(F2667)),2),0))</f>
        <v/>
      </c>
      <c r="M2667" s="62" t="str">
        <f>IF(A2667="","",IFERROR(INDEX(fa_cname,MATCH(A2667,fa_num,0))&amp;"",""))</f>
        <v/>
      </c>
      <c r="N2667" s="59" t="str">
        <f>IF(COUNTA(A2667:G2667)=0,"",IF(A2667="","N° facture manquant",IF(ISNA(MATCH(A2667,fa_num,0)),"Facture inconnue",IF(AND(B2667&lt;&gt;"",ISNA(MATCH(B2667,pr_code,0))),"Article inconnu",IF(H2667="","Désignation manquante",IF(OR(NOT(ISNUMBER(D2667)),N(D2667)&lt;=0),"Quantité invalide",IF(J2667="","Prix manquant",IF(OR(NOT(ISNUMBER(J2667)),N(J2667)&lt;0),"Prix invalide",IF(OR(AND(F2667&lt;&gt;"",NOT(ISNUMBER(F2667))),N(F2667)&lt;0,N(F2667)&gt;1),"Remise invalide",IF(K2667="","Taux de TVA manquant",IF(NOT(ISNUMBER(K2667)),"Taux de TVA invalide",IF(COUNTIF(p_rates,K2667)=0,"Taux de TVA hors liste (Paramètres)",IF(N(O2667)&gt;25,"Au-delà de 25 lignes : non imprimée","OK")))))))))))))</f>
        <v/>
      </c>
      <c r="O2667" s="59" t="str">
        <f>IF(A2667="","",COUNTIF($A$6:A2667,A2667))</f>
        <v/>
      </c>
      <c r="P2667" s="62" t="str">
        <f>IF(A2667="","",A2667&amp;"|"&amp;O2667)</f>
        <v/>
      </c>
    </row>
    <row r="2668">
      <c r="A2668" s="60" t="n"/>
      <c r="B2668" s="63" t="n"/>
      <c r="C2668" s="63" t="n"/>
      <c r="D2668" s="67" t="n"/>
      <c r="E2668" s="68" t="n"/>
      <c r="F2668" s="69" t="n"/>
      <c r="G2668" s="70" t="n"/>
      <c r="H2668" s="62" t="str">
        <f>IF(COUNTA(A2668:G2668)=0,"",IF(C2668&lt;&gt;"",C2668,IF(B2668="","",IFERROR(INDEX(pr_des,MATCH(B2668,pr_code,0))&amp;"",""))))</f>
        <v/>
      </c>
      <c r="I2668" s="59" t="str">
        <f>IF(B2668="","",IFERROR(INDEX(pr_unit,MATCH(B2668,pr_code,0))&amp;"",""))</f>
        <v/>
      </c>
      <c r="J2668" s="65" t="str">
        <f>IF(COUNTA(A2668:G2668)=0,"",IF(E2668&lt;&gt;"",E2668,IF(B2668="","",IFERROR(IF(INDEX(pr_price,MATCH(B2668,pr_code,0))="","",INDEX(pr_price,MATCH(B2668,pr_code,0))),""))))</f>
        <v/>
      </c>
      <c r="K2668" s="71" t="str">
        <f>IF(COUNTA(A2668:G2668)=0,"",IF(G2668&lt;&gt;"",G2668,IF(B2668="","",IFERROR(IF(INDEX(pr_rate,MATCH(B2668,pr_code,0))="","",INDEX(pr_rate,MATCH(B2668,pr_code,0))),""))))</f>
        <v/>
      </c>
      <c r="L2668" s="65" t="str">
        <f>IF(COUNTA(A2668:G2668)=0,"",IF(AND(ISNUMBER(D2668),ISNUMBER(J2668)),ROUND(D2668*J2668*(1-N(F2668)),2),0))</f>
        <v/>
      </c>
      <c r="M2668" s="62" t="str">
        <f>IF(A2668="","",IFERROR(INDEX(fa_cname,MATCH(A2668,fa_num,0))&amp;"",""))</f>
        <v/>
      </c>
      <c r="N2668" s="59" t="str">
        <f>IF(COUNTA(A2668:G2668)=0,"",IF(A2668="","N° facture manquant",IF(ISNA(MATCH(A2668,fa_num,0)),"Facture inconnue",IF(AND(B2668&lt;&gt;"",ISNA(MATCH(B2668,pr_code,0))),"Article inconnu",IF(H2668="","Désignation manquante",IF(OR(NOT(ISNUMBER(D2668)),N(D2668)&lt;=0),"Quantité invalide",IF(J2668="","Prix manquant",IF(OR(NOT(ISNUMBER(J2668)),N(J2668)&lt;0),"Prix invalide",IF(OR(AND(F2668&lt;&gt;"",NOT(ISNUMBER(F2668))),N(F2668)&lt;0,N(F2668)&gt;1),"Remise invalide",IF(K2668="","Taux de TVA manquant",IF(NOT(ISNUMBER(K2668)),"Taux de TVA invalide",IF(COUNTIF(p_rates,K2668)=0,"Taux de TVA hors liste (Paramètres)",IF(N(O2668)&gt;25,"Au-delà de 25 lignes : non imprimée","OK")))))))))))))</f>
        <v/>
      </c>
      <c r="O2668" s="59" t="str">
        <f>IF(A2668="","",COUNTIF($A$6:A2668,A2668))</f>
        <v/>
      </c>
      <c r="P2668" s="62" t="str">
        <f>IF(A2668="","",A2668&amp;"|"&amp;O2668)</f>
        <v/>
      </c>
    </row>
    <row r="2669">
      <c r="A2669" s="60" t="n"/>
      <c r="B2669" s="63" t="n"/>
      <c r="C2669" s="63" t="n"/>
      <c r="D2669" s="67" t="n"/>
      <c r="E2669" s="68" t="n"/>
      <c r="F2669" s="69" t="n"/>
      <c r="G2669" s="70" t="n"/>
      <c r="H2669" s="62" t="str">
        <f>IF(COUNTA(A2669:G2669)=0,"",IF(C2669&lt;&gt;"",C2669,IF(B2669="","",IFERROR(INDEX(pr_des,MATCH(B2669,pr_code,0))&amp;"",""))))</f>
        <v/>
      </c>
      <c r="I2669" s="59" t="str">
        <f>IF(B2669="","",IFERROR(INDEX(pr_unit,MATCH(B2669,pr_code,0))&amp;"",""))</f>
        <v/>
      </c>
      <c r="J2669" s="65" t="str">
        <f>IF(COUNTA(A2669:G2669)=0,"",IF(E2669&lt;&gt;"",E2669,IF(B2669="","",IFERROR(IF(INDEX(pr_price,MATCH(B2669,pr_code,0))="","",INDEX(pr_price,MATCH(B2669,pr_code,0))),""))))</f>
        <v/>
      </c>
      <c r="K2669" s="71" t="str">
        <f>IF(COUNTA(A2669:G2669)=0,"",IF(G2669&lt;&gt;"",G2669,IF(B2669="","",IFERROR(IF(INDEX(pr_rate,MATCH(B2669,pr_code,0))="","",INDEX(pr_rate,MATCH(B2669,pr_code,0))),""))))</f>
        <v/>
      </c>
      <c r="L2669" s="65" t="str">
        <f>IF(COUNTA(A2669:G2669)=0,"",IF(AND(ISNUMBER(D2669),ISNUMBER(J2669)),ROUND(D2669*J2669*(1-N(F2669)),2),0))</f>
        <v/>
      </c>
      <c r="M2669" s="62" t="str">
        <f>IF(A2669="","",IFERROR(INDEX(fa_cname,MATCH(A2669,fa_num,0))&amp;"",""))</f>
        <v/>
      </c>
      <c r="N2669" s="59" t="str">
        <f>IF(COUNTA(A2669:G2669)=0,"",IF(A2669="","N° facture manquant",IF(ISNA(MATCH(A2669,fa_num,0)),"Facture inconnue",IF(AND(B2669&lt;&gt;"",ISNA(MATCH(B2669,pr_code,0))),"Article inconnu",IF(H2669="","Désignation manquante",IF(OR(NOT(ISNUMBER(D2669)),N(D2669)&lt;=0),"Quantité invalide",IF(J2669="","Prix manquant",IF(OR(NOT(ISNUMBER(J2669)),N(J2669)&lt;0),"Prix invalide",IF(OR(AND(F2669&lt;&gt;"",NOT(ISNUMBER(F2669))),N(F2669)&lt;0,N(F2669)&gt;1),"Remise invalide",IF(K2669="","Taux de TVA manquant",IF(NOT(ISNUMBER(K2669)),"Taux de TVA invalide",IF(COUNTIF(p_rates,K2669)=0,"Taux de TVA hors liste (Paramètres)",IF(N(O2669)&gt;25,"Au-delà de 25 lignes : non imprimée","OK")))))))))))))</f>
        <v/>
      </c>
      <c r="O2669" s="59" t="str">
        <f>IF(A2669="","",COUNTIF($A$6:A2669,A2669))</f>
        <v/>
      </c>
      <c r="P2669" s="62" t="str">
        <f>IF(A2669="","",A2669&amp;"|"&amp;O2669)</f>
        <v/>
      </c>
    </row>
    <row r="2670">
      <c r="A2670" s="60" t="n"/>
      <c r="B2670" s="63" t="n"/>
      <c r="C2670" s="63" t="n"/>
      <c r="D2670" s="67" t="n"/>
      <c r="E2670" s="68" t="n"/>
      <c r="F2670" s="69" t="n"/>
      <c r="G2670" s="70" t="n"/>
      <c r="H2670" s="62" t="str">
        <f>IF(COUNTA(A2670:G2670)=0,"",IF(C2670&lt;&gt;"",C2670,IF(B2670="","",IFERROR(INDEX(pr_des,MATCH(B2670,pr_code,0))&amp;"",""))))</f>
        <v/>
      </c>
      <c r="I2670" s="59" t="str">
        <f>IF(B2670="","",IFERROR(INDEX(pr_unit,MATCH(B2670,pr_code,0))&amp;"",""))</f>
        <v/>
      </c>
      <c r="J2670" s="65" t="str">
        <f>IF(COUNTA(A2670:G2670)=0,"",IF(E2670&lt;&gt;"",E2670,IF(B2670="","",IFERROR(IF(INDEX(pr_price,MATCH(B2670,pr_code,0))="","",INDEX(pr_price,MATCH(B2670,pr_code,0))),""))))</f>
        <v/>
      </c>
      <c r="K2670" s="71" t="str">
        <f>IF(COUNTA(A2670:G2670)=0,"",IF(G2670&lt;&gt;"",G2670,IF(B2670="","",IFERROR(IF(INDEX(pr_rate,MATCH(B2670,pr_code,0))="","",INDEX(pr_rate,MATCH(B2670,pr_code,0))),""))))</f>
        <v/>
      </c>
      <c r="L2670" s="65" t="str">
        <f>IF(COUNTA(A2670:G2670)=0,"",IF(AND(ISNUMBER(D2670),ISNUMBER(J2670)),ROUND(D2670*J2670*(1-N(F2670)),2),0))</f>
        <v/>
      </c>
      <c r="M2670" s="62" t="str">
        <f>IF(A2670="","",IFERROR(INDEX(fa_cname,MATCH(A2670,fa_num,0))&amp;"",""))</f>
        <v/>
      </c>
      <c r="N2670" s="59" t="str">
        <f>IF(COUNTA(A2670:G2670)=0,"",IF(A2670="","N° facture manquant",IF(ISNA(MATCH(A2670,fa_num,0)),"Facture inconnue",IF(AND(B2670&lt;&gt;"",ISNA(MATCH(B2670,pr_code,0))),"Article inconnu",IF(H2670="","Désignation manquante",IF(OR(NOT(ISNUMBER(D2670)),N(D2670)&lt;=0),"Quantité invalide",IF(J2670="","Prix manquant",IF(OR(NOT(ISNUMBER(J2670)),N(J2670)&lt;0),"Prix invalide",IF(OR(AND(F2670&lt;&gt;"",NOT(ISNUMBER(F2670))),N(F2670)&lt;0,N(F2670)&gt;1),"Remise invalide",IF(K2670="","Taux de TVA manquant",IF(NOT(ISNUMBER(K2670)),"Taux de TVA invalide",IF(COUNTIF(p_rates,K2670)=0,"Taux de TVA hors liste (Paramètres)",IF(N(O2670)&gt;25,"Au-delà de 25 lignes : non imprimée","OK")))))))))))))</f>
        <v/>
      </c>
      <c r="O2670" s="59" t="str">
        <f>IF(A2670="","",COUNTIF($A$6:A2670,A2670))</f>
        <v/>
      </c>
      <c r="P2670" s="62" t="str">
        <f>IF(A2670="","",A2670&amp;"|"&amp;O2670)</f>
        <v/>
      </c>
    </row>
    <row r="2671">
      <c r="A2671" s="60" t="n"/>
      <c r="B2671" s="63" t="n"/>
      <c r="C2671" s="63" t="n"/>
      <c r="D2671" s="67" t="n"/>
      <c r="E2671" s="68" t="n"/>
      <c r="F2671" s="69" t="n"/>
      <c r="G2671" s="70" t="n"/>
      <c r="H2671" s="62" t="str">
        <f>IF(COUNTA(A2671:G2671)=0,"",IF(C2671&lt;&gt;"",C2671,IF(B2671="","",IFERROR(INDEX(pr_des,MATCH(B2671,pr_code,0))&amp;"",""))))</f>
        <v/>
      </c>
      <c r="I2671" s="59" t="str">
        <f>IF(B2671="","",IFERROR(INDEX(pr_unit,MATCH(B2671,pr_code,0))&amp;"",""))</f>
        <v/>
      </c>
      <c r="J2671" s="65" t="str">
        <f>IF(COUNTA(A2671:G2671)=0,"",IF(E2671&lt;&gt;"",E2671,IF(B2671="","",IFERROR(IF(INDEX(pr_price,MATCH(B2671,pr_code,0))="","",INDEX(pr_price,MATCH(B2671,pr_code,0))),""))))</f>
        <v/>
      </c>
      <c r="K2671" s="71" t="str">
        <f>IF(COUNTA(A2671:G2671)=0,"",IF(G2671&lt;&gt;"",G2671,IF(B2671="","",IFERROR(IF(INDEX(pr_rate,MATCH(B2671,pr_code,0))="","",INDEX(pr_rate,MATCH(B2671,pr_code,0))),""))))</f>
        <v/>
      </c>
      <c r="L2671" s="65" t="str">
        <f>IF(COUNTA(A2671:G2671)=0,"",IF(AND(ISNUMBER(D2671),ISNUMBER(J2671)),ROUND(D2671*J2671*(1-N(F2671)),2),0))</f>
        <v/>
      </c>
      <c r="M2671" s="62" t="str">
        <f>IF(A2671="","",IFERROR(INDEX(fa_cname,MATCH(A2671,fa_num,0))&amp;"",""))</f>
        <v/>
      </c>
      <c r="N2671" s="59" t="str">
        <f>IF(COUNTA(A2671:G2671)=0,"",IF(A2671="","N° facture manquant",IF(ISNA(MATCH(A2671,fa_num,0)),"Facture inconnue",IF(AND(B2671&lt;&gt;"",ISNA(MATCH(B2671,pr_code,0))),"Article inconnu",IF(H2671="","Désignation manquante",IF(OR(NOT(ISNUMBER(D2671)),N(D2671)&lt;=0),"Quantité invalide",IF(J2671="","Prix manquant",IF(OR(NOT(ISNUMBER(J2671)),N(J2671)&lt;0),"Prix invalide",IF(OR(AND(F2671&lt;&gt;"",NOT(ISNUMBER(F2671))),N(F2671)&lt;0,N(F2671)&gt;1),"Remise invalide",IF(K2671="","Taux de TVA manquant",IF(NOT(ISNUMBER(K2671)),"Taux de TVA invalide",IF(COUNTIF(p_rates,K2671)=0,"Taux de TVA hors liste (Paramètres)",IF(N(O2671)&gt;25,"Au-delà de 25 lignes : non imprimée","OK")))))))))))))</f>
        <v/>
      </c>
      <c r="O2671" s="59" t="str">
        <f>IF(A2671="","",COUNTIF($A$6:A2671,A2671))</f>
        <v/>
      </c>
      <c r="P2671" s="62" t="str">
        <f>IF(A2671="","",A2671&amp;"|"&amp;O2671)</f>
        <v/>
      </c>
    </row>
    <row r="2672">
      <c r="A2672" s="60" t="n"/>
      <c r="B2672" s="63" t="n"/>
      <c r="C2672" s="63" t="n"/>
      <c r="D2672" s="67" t="n"/>
      <c r="E2672" s="68" t="n"/>
      <c r="F2672" s="69" t="n"/>
      <c r="G2672" s="70" t="n"/>
      <c r="H2672" s="62" t="str">
        <f>IF(COUNTA(A2672:G2672)=0,"",IF(C2672&lt;&gt;"",C2672,IF(B2672="","",IFERROR(INDEX(pr_des,MATCH(B2672,pr_code,0))&amp;"",""))))</f>
        <v/>
      </c>
      <c r="I2672" s="59" t="str">
        <f>IF(B2672="","",IFERROR(INDEX(pr_unit,MATCH(B2672,pr_code,0))&amp;"",""))</f>
        <v/>
      </c>
      <c r="J2672" s="65" t="str">
        <f>IF(COUNTA(A2672:G2672)=0,"",IF(E2672&lt;&gt;"",E2672,IF(B2672="","",IFERROR(IF(INDEX(pr_price,MATCH(B2672,pr_code,0))="","",INDEX(pr_price,MATCH(B2672,pr_code,0))),""))))</f>
        <v/>
      </c>
      <c r="K2672" s="71" t="str">
        <f>IF(COUNTA(A2672:G2672)=0,"",IF(G2672&lt;&gt;"",G2672,IF(B2672="","",IFERROR(IF(INDEX(pr_rate,MATCH(B2672,pr_code,0))="","",INDEX(pr_rate,MATCH(B2672,pr_code,0))),""))))</f>
        <v/>
      </c>
      <c r="L2672" s="65" t="str">
        <f>IF(COUNTA(A2672:G2672)=0,"",IF(AND(ISNUMBER(D2672),ISNUMBER(J2672)),ROUND(D2672*J2672*(1-N(F2672)),2),0))</f>
        <v/>
      </c>
      <c r="M2672" s="62" t="str">
        <f>IF(A2672="","",IFERROR(INDEX(fa_cname,MATCH(A2672,fa_num,0))&amp;"",""))</f>
        <v/>
      </c>
      <c r="N2672" s="59" t="str">
        <f>IF(COUNTA(A2672:G2672)=0,"",IF(A2672="","N° facture manquant",IF(ISNA(MATCH(A2672,fa_num,0)),"Facture inconnue",IF(AND(B2672&lt;&gt;"",ISNA(MATCH(B2672,pr_code,0))),"Article inconnu",IF(H2672="","Désignation manquante",IF(OR(NOT(ISNUMBER(D2672)),N(D2672)&lt;=0),"Quantité invalide",IF(J2672="","Prix manquant",IF(OR(NOT(ISNUMBER(J2672)),N(J2672)&lt;0),"Prix invalide",IF(OR(AND(F2672&lt;&gt;"",NOT(ISNUMBER(F2672))),N(F2672)&lt;0,N(F2672)&gt;1),"Remise invalide",IF(K2672="","Taux de TVA manquant",IF(NOT(ISNUMBER(K2672)),"Taux de TVA invalide",IF(COUNTIF(p_rates,K2672)=0,"Taux de TVA hors liste (Paramètres)",IF(N(O2672)&gt;25,"Au-delà de 25 lignes : non imprimée","OK")))))))))))))</f>
        <v/>
      </c>
      <c r="O2672" s="59" t="str">
        <f>IF(A2672="","",COUNTIF($A$6:A2672,A2672))</f>
        <v/>
      </c>
      <c r="P2672" s="62" t="str">
        <f>IF(A2672="","",A2672&amp;"|"&amp;O2672)</f>
        <v/>
      </c>
    </row>
    <row r="2673">
      <c r="A2673" s="60" t="n"/>
      <c r="B2673" s="63" t="n"/>
      <c r="C2673" s="63" t="n"/>
      <c r="D2673" s="67" t="n"/>
      <c r="E2673" s="68" t="n"/>
      <c r="F2673" s="69" t="n"/>
      <c r="G2673" s="70" t="n"/>
      <c r="H2673" s="62" t="str">
        <f>IF(COUNTA(A2673:G2673)=0,"",IF(C2673&lt;&gt;"",C2673,IF(B2673="","",IFERROR(INDEX(pr_des,MATCH(B2673,pr_code,0))&amp;"",""))))</f>
        <v/>
      </c>
      <c r="I2673" s="59" t="str">
        <f>IF(B2673="","",IFERROR(INDEX(pr_unit,MATCH(B2673,pr_code,0))&amp;"",""))</f>
        <v/>
      </c>
      <c r="J2673" s="65" t="str">
        <f>IF(COUNTA(A2673:G2673)=0,"",IF(E2673&lt;&gt;"",E2673,IF(B2673="","",IFERROR(IF(INDEX(pr_price,MATCH(B2673,pr_code,0))="","",INDEX(pr_price,MATCH(B2673,pr_code,0))),""))))</f>
        <v/>
      </c>
      <c r="K2673" s="71" t="str">
        <f>IF(COUNTA(A2673:G2673)=0,"",IF(G2673&lt;&gt;"",G2673,IF(B2673="","",IFERROR(IF(INDEX(pr_rate,MATCH(B2673,pr_code,0))="","",INDEX(pr_rate,MATCH(B2673,pr_code,0))),""))))</f>
        <v/>
      </c>
      <c r="L2673" s="65" t="str">
        <f>IF(COUNTA(A2673:G2673)=0,"",IF(AND(ISNUMBER(D2673),ISNUMBER(J2673)),ROUND(D2673*J2673*(1-N(F2673)),2),0))</f>
        <v/>
      </c>
      <c r="M2673" s="62" t="str">
        <f>IF(A2673="","",IFERROR(INDEX(fa_cname,MATCH(A2673,fa_num,0))&amp;"",""))</f>
        <v/>
      </c>
      <c r="N2673" s="59" t="str">
        <f>IF(COUNTA(A2673:G2673)=0,"",IF(A2673="","N° facture manquant",IF(ISNA(MATCH(A2673,fa_num,0)),"Facture inconnue",IF(AND(B2673&lt;&gt;"",ISNA(MATCH(B2673,pr_code,0))),"Article inconnu",IF(H2673="","Désignation manquante",IF(OR(NOT(ISNUMBER(D2673)),N(D2673)&lt;=0),"Quantité invalide",IF(J2673="","Prix manquant",IF(OR(NOT(ISNUMBER(J2673)),N(J2673)&lt;0),"Prix invalide",IF(OR(AND(F2673&lt;&gt;"",NOT(ISNUMBER(F2673))),N(F2673)&lt;0,N(F2673)&gt;1),"Remise invalide",IF(K2673="","Taux de TVA manquant",IF(NOT(ISNUMBER(K2673)),"Taux de TVA invalide",IF(COUNTIF(p_rates,K2673)=0,"Taux de TVA hors liste (Paramètres)",IF(N(O2673)&gt;25,"Au-delà de 25 lignes : non imprimée","OK")))))))))))))</f>
        <v/>
      </c>
      <c r="O2673" s="59" t="str">
        <f>IF(A2673="","",COUNTIF($A$6:A2673,A2673))</f>
        <v/>
      </c>
      <c r="P2673" s="62" t="str">
        <f>IF(A2673="","",A2673&amp;"|"&amp;O2673)</f>
        <v/>
      </c>
    </row>
    <row r="2674">
      <c r="A2674" s="60" t="n"/>
      <c r="B2674" s="63" t="n"/>
      <c r="C2674" s="63" t="n"/>
      <c r="D2674" s="67" t="n"/>
      <c r="E2674" s="68" t="n"/>
      <c r="F2674" s="69" t="n"/>
      <c r="G2674" s="70" t="n"/>
      <c r="H2674" s="62" t="str">
        <f>IF(COUNTA(A2674:G2674)=0,"",IF(C2674&lt;&gt;"",C2674,IF(B2674="","",IFERROR(INDEX(pr_des,MATCH(B2674,pr_code,0))&amp;"",""))))</f>
        <v/>
      </c>
      <c r="I2674" s="59" t="str">
        <f>IF(B2674="","",IFERROR(INDEX(pr_unit,MATCH(B2674,pr_code,0))&amp;"",""))</f>
        <v/>
      </c>
      <c r="J2674" s="65" t="str">
        <f>IF(COUNTA(A2674:G2674)=0,"",IF(E2674&lt;&gt;"",E2674,IF(B2674="","",IFERROR(IF(INDEX(pr_price,MATCH(B2674,pr_code,0))="","",INDEX(pr_price,MATCH(B2674,pr_code,0))),""))))</f>
        <v/>
      </c>
      <c r="K2674" s="71" t="str">
        <f>IF(COUNTA(A2674:G2674)=0,"",IF(G2674&lt;&gt;"",G2674,IF(B2674="","",IFERROR(IF(INDEX(pr_rate,MATCH(B2674,pr_code,0))="","",INDEX(pr_rate,MATCH(B2674,pr_code,0))),""))))</f>
        <v/>
      </c>
      <c r="L2674" s="65" t="str">
        <f>IF(COUNTA(A2674:G2674)=0,"",IF(AND(ISNUMBER(D2674),ISNUMBER(J2674)),ROUND(D2674*J2674*(1-N(F2674)),2),0))</f>
        <v/>
      </c>
      <c r="M2674" s="62" t="str">
        <f>IF(A2674="","",IFERROR(INDEX(fa_cname,MATCH(A2674,fa_num,0))&amp;"",""))</f>
        <v/>
      </c>
      <c r="N2674" s="59" t="str">
        <f>IF(COUNTA(A2674:G2674)=0,"",IF(A2674="","N° facture manquant",IF(ISNA(MATCH(A2674,fa_num,0)),"Facture inconnue",IF(AND(B2674&lt;&gt;"",ISNA(MATCH(B2674,pr_code,0))),"Article inconnu",IF(H2674="","Désignation manquante",IF(OR(NOT(ISNUMBER(D2674)),N(D2674)&lt;=0),"Quantité invalide",IF(J2674="","Prix manquant",IF(OR(NOT(ISNUMBER(J2674)),N(J2674)&lt;0),"Prix invalide",IF(OR(AND(F2674&lt;&gt;"",NOT(ISNUMBER(F2674))),N(F2674)&lt;0,N(F2674)&gt;1),"Remise invalide",IF(K2674="","Taux de TVA manquant",IF(NOT(ISNUMBER(K2674)),"Taux de TVA invalide",IF(COUNTIF(p_rates,K2674)=0,"Taux de TVA hors liste (Paramètres)",IF(N(O2674)&gt;25,"Au-delà de 25 lignes : non imprimée","OK")))))))))))))</f>
        <v/>
      </c>
      <c r="O2674" s="59" t="str">
        <f>IF(A2674="","",COUNTIF($A$6:A2674,A2674))</f>
        <v/>
      </c>
      <c r="P2674" s="62" t="str">
        <f>IF(A2674="","",A2674&amp;"|"&amp;O2674)</f>
        <v/>
      </c>
    </row>
    <row r="2675">
      <c r="A2675" s="60" t="n"/>
      <c r="B2675" s="63" t="n"/>
      <c r="C2675" s="63" t="n"/>
      <c r="D2675" s="67" t="n"/>
      <c r="E2675" s="68" t="n"/>
      <c r="F2675" s="69" t="n"/>
      <c r="G2675" s="70" t="n"/>
      <c r="H2675" s="62" t="str">
        <f>IF(COUNTA(A2675:G2675)=0,"",IF(C2675&lt;&gt;"",C2675,IF(B2675="","",IFERROR(INDEX(pr_des,MATCH(B2675,pr_code,0))&amp;"",""))))</f>
        <v/>
      </c>
      <c r="I2675" s="59" t="str">
        <f>IF(B2675="","",IFERROR(INDEX(pr_unit,MATCH(B2675,pr_code,0))&amp;"",""))</f>
        <v/>
      </c>
      <c r="J2675" s="65" t="str">
        <f>IF(COUNTA(A2675:G2675)=0,"",IF(E2675&lt;&gt;"",E2675,IF(B2675="","",IFERROR(IF(INDEX(pr_price,MATCH(B2675,pr_code,0))="","",INDEX(pr_price,MATCH(B2675,pr_code,0))),""))))</f>
        <v/>
      </c>
      <c r="K2675" s="71" t="str">
        <f>IF(COUNTA(A2675:G2675)=0,"",IF(G2675&lt;&gt;"",G2675,IF(B2675="","",IFERROR(IF(INDEX(pr_rate,MATCH(B2675,pr_code,0))="","",INDEX(pr_rate,MATCH(B2675,pr_code,0))),""))))</f>
        <v/>
      </c>
      <c r="L2675" s="65" t="str">
        <f>IF(COUNTA(A2675:G2675)=0,"",IF(AND(ISNUMBER(D2675),ISNUMBER(J2675)),ROUND(D2675*J2675*(1-N(F2675)),2),0))</f>
        <v/>
      </c>
      <c r="M2675" s="62" t="str">
        <f>IF(A2675="","",IFERROR(INDEX(fa_cname,MATCH(A2675,fa_num,0))&amp;"",""))</f>
        <v/>
      </c>
      <c r="N2675" s="59" t="str">
        <f>IF(COUNTA(A2675:G2675)=0,"",IF(A2675="","N° facture manquant",IF(ISNA(MATCH(A2675,fa_num,0)),"Facture inconnue",IF(AND(B2675&lt;&gt;"",ISNA(MATCH(B2675,pr_code,0))),"Article inconnu",IF(H2675="","Désignation manquante",IF(OR(NOT(ISNUMBER(D2675)),N(D2675)&lt;=0),"Quantité invalide",IF(J2675="","Prix manquant",IF(OR(NOT(ISNUMBER(J2675)),N(J2675)&lt;0),"Prix invalide",IF(OR(AND(F2675&lt;&gt;"",NOT(ISNUMBER(F2675))),N(F2675)&lt;0,N(F2675)&gt;1),"Remise invalide",IF(K2675="","Taux de TVA manquant",IF(NOT(ISNUMBER(K2675)),"Taux de TVA invalide",IF(COUNTIF(p_rates,K2675)=0,"Taux de TVA hors liste (Paramètres)",IF(N(O2675)&gt;25,"Au-delà de 25 lignes : non imprimée","OK")))))))))))))</f>
        <v/>
      </c>
      <c r="O2675" s="59" t="str">
        <f>IF(A2675="","",COUNTIF($A$6:A2675,A2675))</f>
        <v/>
      </c>
      <c r="P2675" s="62" t="str">
        <f>IF(A2675="","",A2675&amp;"|"&amp;O2675)</f>
        <v/>
      </c>
    </row>
    <row r="2676">
      <c r="A2676" s="60" t="n"/>
      <c r="B2676" s="63" t="n"/>
      <c r="C2676" s="63" t="n"/>
      <c r="D2676" s="67" t="n"/>
      <c r="E2676" s="68" t="n"/>
      <c r="F2676" s="69" t="n"/>
      <c r="G2676" s="70" t="n"/>
      <c r="H2676" s="62" t="str">
        <f>IF(COUNTA(A2676:G2676)=0,"",IF(C2676&lt;&gt;"",C2676,IF(B2676="","",IFERROR(INDEX(pr_des,MATCH(B2676,pr_code,0))&amp;"",""))))</f>
        <v/>
      </c>
      <c r="I2676" s="59" t="str">
        <f>IF(B2676="","",IFERROR(INDEX(pr_unit,MATCH(B2676,pr_code,0))&amp;"",""))</f>
        <v/>
      </c>
      <c r="J2676" s="65" t="str">
        <f>IF(COUNTA(A2676:G2676)=0,"",IF(E2676&lt;&gt;"",E2676,IF(B2676="","",IFERROR(IF(INDEX(pr_price,MATCH(B2676,pr_code,0))="","",INDEX(pr_price,MATCH(B2676,pr_code,0))),""))))</f>
        <v/>
      </c>
      <c r="K2676" s="71" t="str">
        <f>IF(COUNTA(A2676:G2676)=0,"",IF(G2676&lt;&gt;"",G2676,IF(B2676="","",IFERROR(IF(INDEX(pr_rate,MATCH(B2676,pr_code,0))="","",INDEX(pr_rate,MATCH(B2676,pr_code,0))),""))))</f>
        <v/>
      </c>
      <c r="L2676" s="65" t="str">
        <f>IF(COUNTA(A2676:G2676)=0,"",IF(AND(ISNUMBER(D2676),ISNUMBER(J2676)),ROUND(D2676*J2676*(1-N(F2676)),2),0))</f>
        <v/>
      </c>
      <c r="M2676" s="62" t="str">
        <f>IF(A2676="","",IFERROR(INDEX(fa_cname,MATCH(A2676,fa_num,0))&amp;"",""))</f>
        <v/>
      </c>
      <c r="N2676" s="59" t="str">
        <f>IF(COUNTA(A2676:G2676)=0,"",IF(A2676="","N° facture manquant",IF(ISNA(MATCH(A2676,fa_num,0)),"Facture inconnue",IF(AND(B2676&lt;&gt;"",ISNA(MATCH(B2676,pr_code,0))),"Article inconnu",IF(H2676="","Désignation manquante",IF(OR(NOT(ISNUMBER(D2676)),N(D2676)&lt;=0),"Quantité invalide",IF(J2676="","Prix manquant",IF(OR(NOT(ISNUMBER(J2676)),N(J2676)&lt;0),"Prix invalide",IF(OR(AND(F2676&lt;&gt;"",NOT(ISNUMBER(F2676))),N(F2676)&lt;0,N(F2676)&gt;1),"Remise invalide",IF(K2676="","Taux de TVA manquant",IF(NOT(ISNUMBER(K2676)),"Taux de TVA invalide",IF(COUNTIF(p_rates,K2676)=0,"Taux de TVA hors liste (Paramètres)",IF(N(O2676)&gt;25,"Au-delà de 25 lignes : non imprimée","OK")))))))))))))</f>
        <v/>
      </c>
      <c r="O2676" s="59" t="str">
        <f>IF(A2676="","",COUNTIF($A$6:A2676,A2676))</f>
        <v/>
      </c>
      <c r="P2676" s="62" t="str">
        <f>IF(A2676="","",A2676&amp;"|"&amp;O2676)</f>
        <v/>
      </c>
    </row>
    <row r="2677">
      <c r="A2677" s="60" t="n"/>
      <c r="B2677" s="63" t="n"/>
      <c r="C2677" s="63" t="n"/>
      <c r="D2677" s="67" t="n"/>
      <c r="E2677" s="68" t="n"/>
      <c r="F2677" s="69" t="n"/>
      <c r="G2677" s="70" t="n"/>
      <c r="H2677" s="62" t="str">
        <f>IF(COUNTA(A2677:G2677)=0,"",IF(C2677&lt;&gt;"",C2677,IF(B2677="","",IFERROR(INDEX(pr_des,MATCH(B2677,pr_code,0))&amp;"",""))))</f>
        <v/>
      </c>
      <c r="I2677" s="59" t="str">
        <f>IF(B2677="","",IFERROR(INDEX(pr_unit,MATCH(B2677,pr_code,0))&amp;"",""))</f>
        <v/>
      </c>
      <c r="J2677" s="65" t="str">
        <f>IF(COUNTA(A2677:G2677)=0,"",IF(E2677&lt;&gt;"",E2677,IF(B2677="","",IFERROR(IF(INDEX(pr_price,MATCH(B2677,pr_code,0))="","",INDEX(pr_price,MATCH(B2677,pr_code,0))),""))))</f>
        <v/>
      </c>
      <c r="K2677" s="71" t="str">
        <f>IF(COUNTA(A2677:G2677)=0,"",IF(G2677&lt;&gt;"",G2677,IF(B2677="","",IFERROR(IF(INDEX(pr_rate,MATCH(B2677,pr_code,0))="","",INDEX(pr_rate,MATCH(B2677,pr_code,0))),""))))</f>
        <v/>
      </c>
      <c r="L2677" s="65" t="str">
        <f>IF(COUNTA(A2677:G2677)=0,"",IF(AND(ISNUMBER(D2677),ISNUMBER(J2677)),ROUND(D2677*J2677*(1-N(F2677)),2),0))</f>
        <v/>
      </c>
      <c r="M2677" s="62" t="str">
        <f>IF(A2677="","",IFERROR(INDEX(fa_cname,MATCH(A2677,fa_num,0))&amp;"",""))</f>
        <v/>
      </c>
      <c r="N2677" s="59" t="str">
        <f>IF(COUNTA(A2677:G2677)=0,"",IF(A2677="","N° facture manquant",IF(ISNA(MATCH(A2677,fa_num,0)),"Facture inconnue",IF(AND(B2677&lt;&gt;"",ISNA(MATCH(B2677,pr_code,0))),"Article inconnu",IF(H2677="","Désignation manquante",IF(OR(NOT(ISNUMBER(D2677)),N(D2677)&lt;=0),"Quantité invalide",IF(J2677="","Prix manquant",IF(OR(NOT(ISNUMBER(J2677)),N(J2677)&lt;0),"Prix invalide",IF(OR(AND(F2677&lt;&gt;"",NOT(ISNUMBER(F2677))),N(F2677)&lt;0,N(F2677)&gt;1),"Remise invalide",IF(K2677="","Taux de TVA manquant",IF(NOT(ISNUMBER(K2677)),"Taux de TVA invalide",IF(COUNTIF(p_rates,K2677)=0,"Taux de TVA hors liste (Paramètres)",IF(N(O2677)&gt;25,"Au-delà de 25 lignes : non imprimée","OK")))))))))))))</f>
        <v/>
      </c>
      <c r="O2677" s="59" t="str">
        <f>IF(A2677="","",COUNTIF($A$6:A2677,A2677))</f>
        <v/>
      </c>
      <c r="P2677" s="62" t="str">
        <f>IF(A2677="","",A2677&amp;"|"&amp;O2677)</f>
        <v/>
      </c>
    </row>
    <row r="2678">
      <c r="A2678" s="60" t="n"/>
      <c r="B2678" s="63" t="n"/>
      <c r="C2678" s="63" t="n"/>
      <c r="D2678" s="67" t="n"/>
      <c r="E2678" s="68" t="n"/>
      <c r="F2678" s="69" t="n"/>
      <c r="G2678" s="70" t="n"/>
      <c r="H2678" s="62" t="str">
        <f>IF(COUNTA(A2678:G2678)=0,"",IF(C2678&lt;&gt;"",C2678,IF(B2678="","",IFERROR(INDEX(pr_des,MATCH(B2678,pr_code,0))&amp;"",""))))</f>
        <v/>
      </c>
      <c r="I2678" s="59" t="str">
        <f>IF(B2678="","",IFERROR(INDEX(pr_unit,MATCH(B2678,pr_code,0))&amp;"",""))</f>
        <v/>
      </c>
      <c r="J2678" s="65" t="str">
        <f>IF(COUNTA(A2678:G2678)=0,"",IF(E2678&lt;&gt;"",E2678,IF(B2678="","",IFERROR(IF(INDEX(pr_price,MATCH(B2678,pr_code,0))="","",INDEX(pr_price,MATCH(B2678,pr_code,0))),""))))</f>
        <v/>
      </c>
      <c r="K2678" s="71" t="str">
        <f>IF(COUNTA(A2678:G2678)=0,"",IF(G2678&lt;&gt;"",G2678,IF(B2678="","",IFERROR(IF(INDEX(pr_rate,MATCH(B2678,pr_code,0))="","",INDEX(pr_rate,MATCH(B2678,pr_code,0))),""))))</f>
        <v/>
      </c>
      <c r="L2678" s="65" t="str">
        <f>IF(COUNTA(A2678:G2678)=0,"",IF(AND(ISNUMBER(D2678),ISNUMBER(J2678)),ROUND(D2678*J2678*(1-N(F2678)),2),0))</f>
        <v/>
      </c>
      <c r="M2678" s="62" t="str">
        <f>IF(A2678="","",IFERROR(INDEX(fa_cname,MATCH(A2678,fa_num,0))&amp;"",""))</f>
        <v/>
      </c>
      <c r="N2678" s="59" t="str">
        <f>IF(COUNTA(A2678:G2678)=0,"",IF(A2678="","N° facture manquant",IF(ISNA(MATCH(A2678,fa_num,0)),"Facture inconnue",IF(AND(B2678&lt;&gt;"",ISNA(MATCH(B2678,pr_code,0))),"Article inconnu",IF(H2678="","Désignation manquante",IF(OR(NOT(ISNUMBER(D2678)),N(D2678)&lt;=0),"Quantité invalide",IF(J2678="","Prix manquant",IF(OR(NOT(ISNUMBER(J2678)),N(J2678)&lt;0),"Prix invalide",IF(OR(AND(F2678&lt;&gt;"",NOT(ISNUMBER(F2678))),N(F2678)&lt;0,N(F2678)&gt;1),"Remise invalide",IF(K2678="","Taux de TVA manquant",IF(NOT(ISNUMBER(K2678)),"Taux de TVA invalide",IF(COUNTIF(p_rates,K2678)=0,"Taux de TVA hors liste (Paramètres)",IF(N(O2678)&gt;25,"Au-delà de 25 lignes : non imprimée","OK")))))))))))))</f>
        <v/>
      </c>
      <c r="O2678" s="59" t="str">
        <f>IF(A2678="","",COUNTIF($A$6:A2678,A2678))</f>
        <v/>
      </c>
      <c r="P2678" s="62" t="str">
        <f>IF(A2678="","",A2678&amp;"|"&amp;O2678)</f>
        <v/>
      </c>
    </row>
    <row r="2679">
      <c r="A2679" s="60" t="n"/>
      <c r="B2679" s="63" t="n"/>
      <c r="C2679" s="63" t="n"/>
      <c r="D2679" s="67" t="n"/>
      <c r="E2679" s="68" t="n"/>
      <c r="F2679" s="69" t="n"/>
      <c r="G2679" s="70" t="n"/>
      <c r="H2679" s="62" t="str">
        <f>IF(COUNTA(A2679:G2679)=0,"",IF(C2679&lt;&gt;"",C2679,IF(B2679="","",IFERROR(INDEX(pr_des,MATCH(B2679,pr_code,0))&amp;"",""))))</f>
        <v/>
      </c>
      <c r="I2679" s="59" t="str">
        <f>IF(B2679="","",IFERROR(INDEX(pr_unit,MATCH(B2679,pr_code,0))&amp;"",""))</f>
        <v/>
      </c>
      <c r="J2679" s="65" t="str">
        <f>IF(COUNTA(A2679:G2679)=0,"",IF(E2679&lt;&gt;"",E2679,IF(B2679="","",IFERROR(IF(INDEX(pr_price,MATCH(B2679,pr_code,0))="","",INDEX(pr_price,MATCH(B2679,pr_code,0))),""))))</f>
        <v/>
      </c>
      <c r="K2679" s="71" t="str">
        <f>IF(COUNTA(A2679:G2679)=0,"",IF(G2679&lt;&gt;"",G2679,IF(B2679="","",IFERROR(IF(INDEX(pr_rate,MATCH(B2679,pr_code,0))="","",INDEX(pr_rate,MATCH(B2679,pr_code,0))),""))))</f>
        <v/>
      </c>
      <c r="L2679" s="65" t="str">
        <f>IF(COUNTA(A2679:G2679)=0,"",IF(AND(ISNUMBER(D2679),ISNUMBER(J2679)),ROUND(D2679*J2679*(1-N(F2679)),2),0))</f>
        <v/>
      </c>
      <c r="M2679" s="62" t="str">
        <f>IF(A2679="","",IFERROR(INDEX(fa_cname,MATCH(A2679,fa_num,0))&amp;"",""))</f>
        <v/>
      </c>
      <c r="N2679" s="59" t="str">
        <f>IF(COUNTA(A2679:G2679)=0,"",IF(A2679="","N° facture manquant",IF(ISNA(MATCH(A2679,fa_num,0)),"Facture inconnue",IF(AND(B2679&lt;&gt;"",ISNA(MATCH(B2679,pr_code,0))),"Article inconnu",IF(H2679="","Désignation manquante",IF(OR(NOT(ISNUMBER(D2679)),N(D2679)&lt;=0),"Quantité invalide",IF(J2679="","Prix manquant",IF(OR(NOT(ISNUMBER(J2679)),N(J2679)&lt;0),"Prix invalide",IF(OR(AND(F2679&lt;&gt;"",NOT(ISNUMBER(F2679))),N(F2679)&lt;0,N(F2679)&gt;1),"Remise invalide",IF(K2679="","Taux de TVA manquant",IF(NOT(ISNUMBER(K2679)),"Taux de TVA invalide",IF(COUNTIF(p_rates,K2679)=0,"Taux de TVA hors liste (Paramètres)",IF(N(O2679)&gt;25,"Au-delà de 25 lignes : non imprimée","OK")))))))))))))</f>
        <v/>
      </c>
      <c r="O2679" s="59" t="str">
        <f>IF(A2679="","",COUNTIF($A$6:A2679,A2679))</f>
        <v/>
      </c>
      <c r="P2679" s="62" t="str">
        <f>IF(A2679="","",A2679&amp;"|"&amp;O2679)</f>
        <v/>
      </c>
    </row>
    <row r="2680">
      <c r="A2680" s="60" t="n"/>
      <c r="B2680" s="63" t="n"/>
      <c r="C2680" s="63" t="n"/>
      <c r="D2680" s="67" t="n"/>
      <c r="E2680" s="68" t="n"/>
      <c r="F2680" s="69" t="n"/>
      <c r="G2680" s="70" t="n"/>
      <c r="H2680" s="62" t="str">
        <f>IF(COUNTA(A2680:G2680)=0,"",IF(C2680&lt;&gt;"",C2680,IF(B2680="","",IFERROR(INDEX(pr_des,MATCH(B2680,pr_code,0))&amp;"",""))))</f>
        <v/>
      </c>
      <c r="I2680" s="59" t="str">
        <f>IF(B2680="","",IFERROR(INDEX(pr_unit,MATCH(B2680,pr_code,0))&amp;"",""))</f>
        <v/>
      </c>
      <c r="J2680" s="65" t="str">
        <f>IF(COUNTA(A2680:G2680)=0,"",IF(E2680&lt;&gt;"",E2680,IF(B2680="","",IFERROR(IF(INDEX(pr_price,MATCH(B2680,pr_code,0))="","",INDEX(pr_price,MATCH(B2680,pr_code,0))),""))))</f>
        <v/>
      </c>
      <c r="K2680" s="71" t="str">
        <f>IF(COUNTA(A2680:G2680)=0,"",IF(G2680&lt;&gt;"",G2680,IF(B2680="","",IFERROR(IF(INDEX(pr_rate,MATCH(B2680,pr_code,0))="","",INDEX(pr_rate,MATCH(B2680,pr_code,0))),""))))</f>
        <v/>
      </c>
      <c r="L2680" s="65" t="str">
        <f>IF(COUNTA(A2680:G2680)=0,"",IF(AND(ISNUMBER(D2680),ISNUMBER(J2680)),ROUND(D2680*J2680*(1-N(F2680)),2),0))</f>
        <v/>
      </c>
      <c r="M2680" s="62" t="str">
        <f>IF(A2680="","",IFERROR(INDEX(fa_cname,MATCH(A2680,fa_num,0))&amp;"",""))</f>
        <v/>
      </c>
      <c r="N2680" s="59" t="str">
        <f>IF(COUNTA(A2680:G2680)=0,"",IF(A2680="","N° facture manquant",IF(ISNA(MATCH(A2680,fa_num,0)),"Facture inconnue",IF(AND(B2680&lt;&gt;"",ISNA(MATCH(B2680,pr_code,0))),"Article inconnu",IF(H2680="","Désignation manquante",IF(OR(NOT(ISNUMBER(D2680)),N(D2680)&lt;=0),"Quantité invalide",IF(J2680="","Prix manquant",IF(OR(NOT(ISNUMBER(J2680)),N(J2680)&lt;0),"Prix invalide",IF(OR(AND(F2680&lt;&gt;"",NOT(ISNUMBER(F2680))),N(F2680)&lt;0,N(F2680)&gt;1),"Remise invalide",IF(K2680="","Taux de TVA manquant",IF(NOT(ISNUMBER(K2680)),"Taux de TVA invalide",IF(COUNTIF(p_rates,K2680)=0,"Taux de TVA hors liste (Paramètres)",IF(N(O2680)&gt;25,"Au-delà de 25 lignes : non imprimée","OK")))))))))))))</f>
        <v/>
      </c>
      <c r="O2680" s="59" t="str">
        <f>IF(A2680="","",COUNTIF($A$6:A2680,A2680))</f>
        <v/>
      </c>
      <c r="P2680" s="62" t="str">
        <f>IF(A2680="","",A2680&amp;"|"&amp;O2680)</f>
        <v/>
      </c>
    </row>
    <row r="2681">
      <c r="A2681" s="60" t="n"/>
      <c r="B2681" s="63" t="n"/>
      <c r="C2681" s="63" t="n"/>
      <c r="D2681" s="67" t="n"/>
      <c r="E2681" s="68" t="n"/>
      <c r="F2681" s="69" t="n"/>
      <c r="G2681" s="70" t="n"/>
      <c r="H2681" s="62" t="str">
        <f>IF(COUNTA(A2681:G2681)=0,"",IF(C2681&lt;&gt;"",C2681,IF(B2681="","",IFERROR(INDEX(pr_des,MATCH(B2681,pr_code,0))&amp;"",""))))</f>
        <v/>
      </c>
      <c r="I2681" s="59" t="str">
        <f>IF(B2681="","",IFERROR(INDEX(pr_unit,MATCH(B2681,pr_code,0))&amp;"",""))</f>
        <v/>
      </c>
      <c r="J2681" s="65" t="str">
        <f>IF(COUNTA(A2681:G2681)=0,"",IF(E2681&lt;&gt;"",E2681,IF(B2681="","",IFERROR(IF(INDEX(pr_price,MATCH(B2681,pr_code,0))="","",INDEX(pr_price,MATCH(B2681,pr_code,0))),""))))</f>
        <v/>
      </c>
      <c r="K2681" s="71" t="str">
        <f>IF(COUNTA(A2681:G2681)=0,"",IF(G2681&lt;&gt;"",G2681,IF(B2681="","",IFERROR(IF(INDEX(pr_rate,MATCH(B2681,pr_code,0))="","",INDEX(pr_rate,MATCH(B2681,pr_code,0))),""))))</f>
        <v/>
      </c>
      <c r="L2681" s="65" t="str">
        <f>IF(COUNTA(A2681:G2681)=0,"",IF(AND(ISNUMBER(D2681),ISNUMBER(J2681)),ROUND(D2681*J2681*(1-N(F2681)),2),0))</f>
        <v/>
      </c>
      <c r="M2681" s="62" t="str">
        <f>IF(A2681="","",IFERROR(INDEX(fa_cname,MATCH(A2681,fa_num,0))&amp;"",""))</f>
        <v/>
      </c>
      <c r="N2681" s="59" t="str">
        <f>IF(COUNTA(A2681:G2681)=0,"",IF(A2681="","N° facture manquant",IF(ISNA(MATCH(A2681,fa_num,0)),"Facture inconnue",IF(AND(B2681&lt;&gt;"",ISNA(MATCH(B2681,pr_code,0))),"Article inconnu",IF(H2681="","Désignation manquante",IF(OR(NOT(ISNUMBER(D2681)),N(D2681)&lt;=0),"Quantité invalide",IF(J2681="","Prix manquant",IF(OR(NOT(ISNUMBER(J2681)),N(J2681)&lt;0),"Prix invalide",IF(OR(AND(F2681&lt;&gt;"",NOT(ISNUMBER(F2681))),N(F2681)&lt;0,N(F2681)&gt;1),"Remise invalide",IF(K2681="","Taux de TVA manquant",IF(NOT(ISNUMBER(K2681)),"Taux de TVA invalide",IF(COUNTIF(p_rates,K2681)=0,"Taux de TVA hors liste (Paramètres)",IF(N(O2681)&gt;25,"Au-delà de 25 lignes : non imprimée","OK")))))))))))))</f>
        <v/>
      </c>
      <c r="O2681" s="59" t="str">
        <f>IF(A2681="","",COUNTIF($A$6:A2681,A2681))</f>
        <v/>
      </c>
      <c r="P2681" s="62" t="str">
        <f>IF(A2681="","",A2681&amp;"|"&amp;O2681)</f>
        <v/>
      </c>
    </row>
    <row r="2682">
      <c r="A2682" s="60" t="n"/>
      <c r="B2682" s="63" t="n"/>
      <c r="C2682" s="63" t="n"/>
      <c r="D2682" s="67" t="n"/>
      <c r="E2682" s="68" t="n"/>
      <c r="F2682" s="69" t="n"/>
      <c r="G2682" s="70" t="n"/>
      <c r="H2682" s="62" t="str">
        <f>IF(COUNTA(A2682:G2682)=0,"",IF(C2682&lt;&gt;"",C2682,IF(B2682="","",IFERROR(INDEX(pr_des,MATCH(B2682,pr_code,0))&amp;"",""))))</f>
        <v/>
      </c>
      <c r="I2682" s="59" t="str">
        <f>IF(B2682="","",IFERROR(INDEX(pr_unit,MATCH(B2682,pr_code,0))&amp;"",""))</f>
        <v/>
      </c>
      <c r="J2682" s="65" t="str">
        <f>IF(COUNTA(A2682:G2682)=0,"",IF(E2682&lt;&gt;"",E2682,IF(B2682="","",IFERROR(IF(INDEX(pr_price,MATCH(B2682,pr_code,0))="","",INDEX(pr_price,MATCH(B2682,pr_code,0))),""))))</f>
        <v/>
      </c>
      <c r="K2682" s="71" t="str">
        <f>IF(COUNTA(A2682:G2682)=0,"",IF(G2682&lt;&gt;"",G2682,IF(B2682="","",IFERROR(IF(INDEX(pr_rate,MATCH(B2682,pr_code,0))="","",INDEX(pr_rate,MATCH(B2682,pr_code,0))),""))))</f>
        <v/>
      </c>
      <c r="L2682" s="65" t="str">
        <f>IF(COUNTA(A2682:G2682)=0,"",IF(AND(ISNUMBER(D2682),ISNUMBER(J2682)),ROUND(D2682*J2682*(1-N(F2682)),2),0))</f>
        <v/>
      </c>
      <c r="M2682" s="62" t="str">
        <f>IF(A2682="","",IFERROR(INDEX(fa_cname,MATCH(A2682,fa_num,0))&amp;"",""))</f>
        <v/>
      </c>
      <c r="N2682" s="59" t="str">
        <f>IF(COUNTA(A2682:G2682)=0,"",IF(A2682="","N° facture manquant",IF(ISNA(MATCH(A2682,fa_num,0)),"Facture inconnue",IF(AND(B2682&lt;&gt;"",ISNA(MATCH(B2682,pr_code,0))),"Article inconnu",IF(H2682="","Désignation manquante",IF(OR(NOT(ISNUMBER(D2682)),N(D2682)&lt;=0),"Quantité invalide",IF(J2682="","Prix manquant",IF(OR(NOT(ISNUMBER(J2682)),N(J2682)&lt;0),"Prix invalide",IF(OR(AND(F2682&lt;&gt;"",NOT(ISNUMBER(F2682))),N(F2682)&lt;0,N(F2682)&gt;1),"Remise invalide",IF(K2682="","Taux de TVA manquant",IF(NOT(ISNUMBER(K2682)),"Taux de TVA invalide",IF(COUNTIF(p_rates,K2682)=0,"Taux de TVA hors liste (Paramètres)",IF(N(O2682)&gt;25,"Au-delà de 25 lignes : non imprimée","OK")))))))))))))</f>
        <v/>
      </c>
      <c r="O2682" s="59" t="str">
        <f>IF(A2682="","",COUNTIF($A$6:A2682,A2682))</f>
        <v/>
      </c>
      <c r="P2682" s="62" t="str">
        <f>IF(A2682="","",A2682&amp;"|"&amp;O2682)</f>
        <v/>
      </c>
    </row>
    <row r="2683">
      <c r="A2683" s="60" t="n"/>
      <c r="B2683" s="63" t="n"/>
      <c r="C2683" s="63" t="n"/>
      <c r="D2683" s="67" t="n"/>
      <c r="E2683" s="68" t="n"/>
      <c r="F2683" s="69" t="n"/>
      <c r="G2683" s="70" t="n"/>
      <c r="H2683" s="62" t="str">
        <f>IF(COUNTA(A2683:G2683)=0,"",IF(C2683&lt;&gt;"",C2683,IF(B2683="","",IFERROR(INDEX(pr_des,MATCH(B2683,pr_code,0))&amp;"",""))))</f>
        <v/>
      </c>
      <c r="I2683" s="59" t="str">
        <f>IF(B2683="","",IFERROR(INDEX(pr_unit,MATCH(B2683,pr_code,0))&amp;"",""))</f>
        <v/>
      </c>
      <c r="J2683" s="65" t="str">
        <f>IF(COUNTA(A2683:G2683)=0,"",IF(E2683&lt;&gt;"",E2683,IF(B2683="","",IFERROR(IF(INDEX(pr_price,MATCH(B2683,pr_code,0))="","",INDEX(pr_price,MATCH(B2683,pr_code,0))),""))))</f>
        <v/>
      </c>
      <c r="K2683" s="71" t="str">
        <f>IF(COUNTA(A2683:G2683)=0,"",IF(G2683&lt;&gt;"",G2683,IF(B2683="","",IFERROR(IF(INDEX(pr_rate,MATCH(B2683,pr_code,0))="","",INDEX(pr_rate,MATCH(B2683,pr_code,0))),""))))</f>
        <v/>
      </c>
      <c r="L2683" s="65" t="str">
        <f>IF(COUNTA(A2683:G2683)=0,"",IF(AND(ISNUMBER(D2683),ISNUMBER(J2683)),ROUND(D2683*J2683*(1-N(F2683)),2),0))</f>
        <v/>
      </c>
      <c r="M2683" s="62" t="str">
        <f>IF(A2683="","",IFERROR(INDEX(fa_cname,MATCH(A2683,fa_num,0))&amp;"",""))</f>
        <v/>
      </c>
      <c r="N2683" s="59" t="str">
        <f>IF(COUNTA(A2683:G2683)=0,"",IF(A2683="","N° facture manquant",IF(ISNA(MATCH(A2683,fa_num,0)),"Facture inconnue",IF(AND(B2683&lt;&gt;"",ISNA(MATCH(B2683,pr_code,0))),"Article inconnu",IF(H2683="","Désignation manquante",IF(OR(NOT(ISNUMBER(D2683)),N(D2683)&lt;=0),"Quantité invalide",IF(J2683="","Prix manquant",IF(OR(NOT(ISNUMBER(J2683)),N(J2683)&lt;0),"Prix invalide",IF(OR(AND(F2683&lt;&gt;"",NOT(ISNUMBER(F2683))),N(F2683)&lt;0,N(F2683)&gt;1),"Remise invalide",IF(K2683="","Taux de TVA manquant",IF(NOT(ISNUMBER(K2683)),"Taux de TVA invalide",IF(COUNTIF(p_rates,K2683)=0,"Taux de TVA hors liste (Paramètres)",IF(N(O2683)&gt;25,"Au-delà de 25 lignes : non imprimée","OK")))))))))))))</f>
        <v/>
      </c>
      <c r="O2683" s="59" t="str">
        <f>IF(A2683="","",COUNTIF($A$6:A2683,A2683))</f>
        <v/>
      </c>
      <c r="P2683" s="62" t="str">
        <f>IF(A2683="","",A2683&amp;"|"&amp;O2683)</f>
        <v/>
      </c>
    </row>
    <row r="2684">
      <c r="A2684" s="60" t="n"/>
      <c r="B2684" s="63" t="n"/>
      <c r="C2684" s="63" t="n"/>
      <c r="D2684" s="67" t="n"/>
      <c r="E2684" s="68" t="n"/>
      <c r="F2684" s="69" t="n"/>
      <c r="G2684" s="70" t="n"/>
      <c r="H2684" s="62" t="str">
        <f>IF(COUNTA(A2684:G2684)=0,"",IF(C2684&lt;&gt;"",C2684,IF(B2684="","",IFERROR(INDEX(pr_des,MATCH(B2684,pr_code,0))&amp;"",""))))</f>
        <v/>
      </c>
      <c r="I2684" s="59" t="str">
        <f>IF(B2684="","",IFERROR(INDEX(pr_unit,MATCH(B2684,pr_code,0))&amp;"",""))</f>
        <v/>
      </c>
      <c r="J2684" s="65" t="str">
        <f>IF(COUNTA(A2684:G2684)=0,"",IF(E2684&lt;&gt;"",E2684,IF(B2684="","",IFERROR(IF(INDEX(pr_price,MATCH(B2684,pr_code,0))="","",INDEX(pr_price,MATCH(B2684,pr_code,0))),""))))</f>
        <v/>
      </c>
      <c r="K2684" s="71" t="str">
        <f>IF(COUNTA(A2684:G2684)=0,"",IF(G2684&lt;&gt;"",G2684,IF(B2684="","",IFERROR(IF(INDEX(pr_rate,MATCH(B2684,pr_code,0))="","",INDEX(pr_rate,MATCH(B2684,pr_code,0))),""))))</f>
        <v/>
      </c>
      <c r="L2684" s="65" t="str">
        <f>IF(COUNTA(A2684:G2684)=0,"",IF(AND(ISNUMBER(D2684),ISNUMBER(J2684)),ROUND(D2684*J2684*(1-N(F2684)),2),0))</f>
        <v/>
      </c>
      <c r="M2684" s="62" t="str">
        <f>IF(A2684="","",IFERROR(INDEX(fa_cname,MATCH(A2684,fa_num,0))&amp;"",""))</f>
        <v/>
      </c>
      <c r="N2684" s="59" t="str">
        <f>IF(COUNTA(A2684:G2684)=0,"",IF(A2684="","N° facture manquant",IF(ISNA(MATCH(A2684,fa_num,0)),"Facture inconnue",IF(AND(B2684&lt;&gt;"",ISNA(MATCH(B2684,pr_code,0))),"Article inconnu",IF(H2684="","Désignation manquante",IF(OR(NOT(ISNUMBER(D2684)),N(D2684)&lt;=0),"Quantité invalide",IF(J2684="","Prix manquant",IF(OR(NOT(ISNUMBER(J2684)),N(J2684)&lt;0),"Prix invalide",IF(OR(AND(F2684&lt;&gt;"",NOT(ISNUMBER(F2684))),N(F2684)&lt;0,N(F2684)&gt;1),"Remise invalide",IF(K2684="","Taux de TVA manquant",IF(NOT(ISNUMBER(K2684)),"Taux de TVA invalide",IF(COUNTIF(p_rates,K2684)=0,"Taux de TVA hors liste (Paramètres)",IF(N(O2684)&gt;25,"Au-delà de 25 lignes : non imprimée","OK")))))))))))))</f>
        <v/>
      </c>
      <c r="O2684" s="59" t="str">
        <f>IF(A2684="","",COUNTIF($A$6:A2684,A2684))</f>
        <v/>
      </c>
      <c r="P2684" s="62" t="str">
        <f>IF(A2684="","",A2684&amp;"|"&amp;O2684)</f>
        <v/>
      </c>
    </row>
    <row r="2685">
      <c r="A2685" s="60" t="n"/>
      <c r="B2685" s="63" t="n"/>
      <c r="C2685" s="63" t="n"/>
      <c r="D2685" s="67" t="n"/>
      <c r="E2685" s="68" t="n"/>
      <c r="F2685" s="69" t="n"/>
      <c r="G2685" s="70" t="n"/>
      <c r="H2685" s="62" t="str">
        <f>IF(COUNTA(A2685:G2685)=0,"",IF(C2685&lt;&gt;"",C2685,IF(B2685="","",IFERROR(INDEX(pr_des,MATCH(B2685,pr_code,0))&amp;"",""))))</f>
        <v/>
      </c>
      <c r="I2685" s="59" t="str">
        <f>IF(B2685="","",IFERROR(INDEX(pr_unit,MATCH(B2685,pr_code,0))&amp;"",""))</f>
        <v/>
      </c>
      <c r="J2685" s="65" t="str">
        <f>IF(COUNTA(A2685:G2685)=0,"",IF(E2685&lt;&gt;"",E2685,IF(B2685="","",IFERROR(IF(INDEX(pr_price,MATCH(B2685,pr_code,0))="","",INDEX(pr_price,MATCH(B2685,pr_code,0))),""))))</f>
        <v/>
      </c>
      <c r="K2685" s="71" t="str">
        <f>IF(COUNTA(A2685:G2685)=0,"",IF(G2685&lt;&gt;"",G2685,IF(B2685="","",IFERROR(IF(INDEX(pr_rate,MATCH(B2685,pr_code,0))="","",INDEX(pr_rate,MATCH(B2685,pr_code,0))),""))))</f>
        <v/>
      </c>
      <c r="L2685" s="65" t="str">
        <f>IF(COUNTA(A2685:G2685)=0,"",IF(AND(ISNUMBER(D2685),ISNUMBER(J2685)),ROUND(D2685*J2685*(1-N(F2685)),2),0))</f>
        <v/>
      </c>
      <c r="M2685" s="62" t="str">
        <f>IF(A2685="","",IFERROR(INDEX(fa_cname,MATCH(A2685,fa_num,0))&amp;"",""))</f>
        <v/>
      </c>
      <c r="N2685" s="59" t="str">
        <f>IF(COUNTA(A2685:G2685)=0,"",IF(A2685="","N° facture manquant",IF(ISNA(MATCH(A2685,fa_num,0)),"Facture inconnue",IF(AND(B2685&lt;&gt;"",ISNA(MATCH(B2685,pr_code,0))),"Article inconnu",IF(H2685="","Désignation manquante",IF(OR(NOT(ISNUMBER(D2685)),N(D2685)&lt;=0),"Quantité invalide",IF(J2685="","Prix manquant",IF(OR(NOT(ISNUMBER(J2685)),N(J2685)&lt;0),"Prix invalide",IF(OR(AND(F2685&lt;&gt;"",NOT(ISNUMBER(F2685))),N(F2685)&lt;0,N(F2685)&gt;1),"Remise invalide",IF(K2685="","Taux de TVA manquant",IF(NOT(ISNUMBER(K2685)),"Taux de TVA invalide",IF(COUNTIF(p_rates,K2685)=0,"Taux de TVA hors liste (Paramètres)",IF(N(O2685)&gt;25,"Au-delà de 25 lignes : non imprimée","OK")))))))))))))</f>
        <v/>
      </c>
      <c r="O2685" s="59" t="str">
        <f>IF(A2685="","",COUNTIF($A$6:A2685,A2685))</f>
        <v/>
      </c>
      <c r="P2685" s="62" t="str">
        <f>IF(A2685="","",A2685&amp;"|"&amp;O2685)</f>
        <v/>
      </c>
    </row>
    <row r="2686">
      <c r="A2686" s="60" t="n"/>
      <c r="B2686" s="63" t="n"/>
      <c r="C2686" s="63" t="n"/>
      <c r="D2686" s="67" t="n"/>
      <c r="E2686" s="68" t="n"/>
      <c r="F2686" s="69" t="n"/>
      <c r="G2686" s="70" t="n"/>
      <c r="H2686" s="62" t="str">
        <f>IF(COUNTA(A2686:G2686)=0,"",IF(C2686&lt;&gt;"",C2686,IF(B2686="","",IFERROR(INDEX(pr_des,MATCH(B2686,pr_code,0))&amp;"",""))))</f>
        <v/>
      </c>
      <c r="I2686" s="59" t="str">
        <f>IF(B2686="","",IFERROR(INDEX(pr_unit,MATCH(B2686,pr_code,0))&amp;"",""))</f>
        <v/>
      </c>
      <c r="J2686" s="65" t="str">
        <f>IF(COUNTA(A2686:G2686)=0,"",IF(E2686&lt;&gt;"",E2686,IF(B2686="","",IFERROR(IF(INDEX(pr_price,MATCH(B2686,pr_code,0))="","",INDEX(pr_price,MATCH(B2686,pr_code,0))),""))))</f>
        <v/>
      </c>
      <c r="K2686" s="71" t="str">
        <f>IF(COUNTA(A2686:G2686)=0,"",IF(G2686&lt;&gt;"",G2686,IF(B2686="","",IFERROR(IF(INDEX(pr_rate,MATCH(B2686,pr_code,0))="","",INDEX(pr_rate,MATCH(B2686,pr_code,0))),""))))</f>
        <v/>
      </c>
      <c r="L2686" s="65" t="str">
        <f>IF(COUNTA(A2686:G2686)=0,"",IF(AND(ISNUMBER(D2686),ISNUMBER(J2686)),ROUND(D2686*J2686*(1-N(F2686)),2),0))</f>
        <v/>
      </c>
      <c r="M2686" s="62" t="str">
        <f>IF(A2686="","",IFERROR(INDEX(fa_cname,MATCH(A2686,fa_num,0))&amp;"",""))</f>
        <v/>
      </c>
      <c r="N2686" s="59" t="str">
        <f>IF(COUNTA(A2686:G2686)=0,"",IF(A2686="","N° facture manquant",IF(ISNA(MATCH(A2686,fa_num,0)),"Facture inconnue",IF(AND(B2686&lt;&gt;"",ISNA(MATCH(B2686,pr_code,0))),"Article inconnu",IF(H2686="","Désignation manquante",IF(OR(NOT(ISNUMBER(D2686)),N(D2686)&lt;=0),"Quantité invalide",IF(J2686="","Prix manquant",IF(OR(NOT(ISNUMBER(J2686)),N(J2686)&lt;0),"Prix invalide",IF(OR(AND(F2686&lt;&gt;"",NOT(ISNUMBER(F2686))),N(F2686)&lt;0,N(F2686)&gt;1),"Remise invalide",IF(K2686="","Taux de TVA manquant",IF(NOT(ISNUMBER(K2686)),"Taux de TVA invalide",IF(COUNTIF(p_rates,K2686)=0,"Taux de TVA hors liste (Paramètres)",IF(N(O2686)&gt;25,"Au-delà de 25 lignes : non imprimée","OK")))))))))))))</f>
        <v/>
      </c>
      <c r="O2686" s="59" t="str">
        <f>IF(A2686="","",COUNTIF($A$6:A2686,A2686))</f>
        <v/>
      </c>
      <c r="P2686" s="62" t="str">
        <f>IF(A2686="","",A2686&amp;"|"&amp;O2686)</f>
        <v/>
      </c>
    </row>
    <row r="2687">
      <c r="A2687" s="60" t="n"/>
      <c r="B2687" s="63" t="n"/>
      <c r="C2687" s="63" t="n"/>
      <c r="D2687" s="67" t="n"/>
      <c r="E2687" s="68" t="n"/>
      <c r="F2687" s="69" t="n"/>
      <c r="G2687" s="70" t="n"/>
      <c r="H2687" s="62" t="str">
        <f>IF(COUNTA(A2687:G2687)=0,"",IF(C2687&lt;&gt;"",C2687,IF(B2687="","",IFERROR(INDEX(pr_des,MATCH(B2687,pr_code,0))&amp;"",""))))</f>
        <v/>
      </c>
      <c r="I2687" s="59" t="str">
        <f>IF(B2687="","",IFERROR(INDEX(pr_unit,MATCH(B2687,pr_code,0))&amp;"",""))</f>
        <v/>
      </c>
      <c r="J2687" s="65" t="str">
        <f>IF(COUNTA(A2687:G2687)=0,"",IF(E2687&lt;&gt;"",E2687,IF(B2687="","",IFERROR(IF(INDEX(pr_price,MATCH(B2687,pr_code,0))="","",INDEX(pr_price,MATCH(B2687,pr_code,0))),""))))</f>
        <v/>
      </c>
      <c r="K2687" s="71" t="str">
        <f>IF(COUNTA(A2687:G2687)=0,"",IF(G2687&lt;&gt;"",G2687,IF(B2687="","",IFERROR(IF(INDEX(pr_rate,MATCH(B2687,pr_code,0))="","",INDEX(pr_rate,MATCH(B2687,pr_code,0))),""))))</f>
        <v/>
      </c>
      <c r="L2687" s="65" t="str">
        <f>IF(COUNTA(A2687:G2687)=0,"",IF(AND(ISNUMBER(D2687),ISNUMBER(J2687)),ROUND(D2687*J2687*(1-N(F2687)),2),0))</f>
        <v/>
      </c>
      <c r="M2687" s="62" t="str">
        <f>IF(A2687="","",IFERROR(INDEX(fa_cname,MATCH(A2687,fa_num,0))&amp;"",""))</f>
        <v/>
      </c>
      <c r="N2687" s="59" t="str">
        <f>IF(COUNTA(A2687:G2687)=0,"",IF(A2687="","N° facture manquant",IF(ISNA(MATCH(A2687,fa_num,0)),"Facture inconnue",IF(AND(B2687&lt;&gt;"",ISNA(MATCH(B2687,pr_code,0))),"Article inconnu",IF(H2687="","Désignation manquante",IF(OR(NOT(ISNUMBER(D2687)),N(D2687)&lt;=0),"Quantité invalide",IF(J2687="","Prix manquant",IF(OR(NOT(ISNUMBER(J2687)),N(J2687)&lt;0),"Prix invalide",IF(OR(AND(F2687&lt;&gt;"",NOT(ISNUMBER(F2687))),N(F2687)&lt;0,N(F2687)&gt;1),"Remise invalide",IF(K2687="","Taux de TVA manquant",IF(NOT(ISNUMBER(K2687)),"Taux de TVA invalide",IF(COUNTIF(p_rates,K2687)=0,"Taux de TVA hors liste (Paramètres)",IF(N(O2687)&gt;25,"Au-delà de 25 lignes : non imprimée","OK")))))))))))))</f>
        <v/>
      </c>
      <c r="O2687" s="59" t="str">
        <f>IF(A2687="","",COUNTIF($A$6:A2687,A2687))</f>
        <v/>
      </c>
      <c r="P2687" s="62" t="str">
        <f>IF(A2687="","",A2687&amp;"|"&amp;O2687)</f>
        <v/>
      </c>
    </row>
    <row r="2688">
      <c r="A2688" s="60" t="n"/>
      <c r="B2688" s="63" t="n"/>
      <c r="C2688" s="63" t="n"/>
      <c r="D2688" s="67" t="n"/>
      <c r="E2688" s="68" t="n"/>
      <c r="F2688" s="69" t="n"/>
      <c r="G2688" s="70" t="n"/>
      <c r="H2688" s="62" t="str">
        <f>IF(COUNTA(A2688:G2688)=0,"",IF(C2688&lt;&gt;"",C2688,IF(B2688="","",IFERROR(INDEX(pr_des,MATCH(B2688,pr_code,0))&amp;"",""))))</f>
        <v/>
      </c>
      <c r="I2688" s="59" t="str">
        <f>IF(B2688="","",IFERROR(INDEX(pr_unit,MATCH(B2688,pr_code,0))&amp;"",""))</f>
        <v/>
      </c>
      <c r="J2688" s="65" t="str">
        <f>IF(COUNTA(A2688:G2688)=0,"",IF(E2688&lt;&gt;"",E2688,IF(B2688="","",IFERROR(IF(INDEX(pr_price,MATCH(B2688,pr_code,0))="","",INDEX(pr_price,MATCH(B2688,pr_code,0))),""))))</f>
        <v/>
      </c>
      <c r="K2688" s="71" t="str">
        <f>IF(COUNTA(A2688:G2688)=0,"",IF(G2688&lt;&gt;"",G2688,IF(B2688="","",IFERROR(IF(INDEX(pr_rate,MATCH(B2688,pr_code,0))="","",INDEX(pr_rate,MATCH(B2688,pr_code,0))),""))))</f>
        <v/>
      </c>
      <c r="L2688" s="65" t="str">
        <f>IF(COUNTA(A2688:G2688)=0,"",IF(AND(ISNUMBER(D2688),ISNUMBER(J2688)),ROUND(D2688*J2688*(1-N(F2688)),2),0))</f>
        <v/>
      </c>
      <c r="M2688" s="62" t="str">
        <f>IF(A2688="","",IFERROR(INDEX(fa_cname,MATCH(A2688,fa_num,0))&amp;"",""))</f>
        <v/>
      </c>
      <c r="N2688" s="59" t="str">
        <f>IF(COUNTA(A2688:G2688)=0,"",IF(A2688="","N° facture manquant",IF(ISNA(MATCH(A2688,fa_num,0)),"Facture inconnue",IF(AND(B2688&lt;&gt;"",ISNA(MATCH(B2688,pr_code,0))),"Article inconnu",IF(H2688="","Désignation manquante",IF(OR(NOT(ISNUMBER(D2688)),N(D2688)&lt;=0),"Quantité invalide",IF(J2688="","Prix manquant",IF(OR(NOT(ISNUMBER(J2688)),N(J2688)&lt;0),"Prix invalide",IF(OR(AND(F2688&lt;&gt;"",NOT(ISNUMBER(F2688))),N(F2688)&lt;0,N(F2688)&gt;1),"Remise invalide",IF(K2688="","Taux de TVA manquant",IF(NOT(ISNUMBER(K2688)),"Taux de TVA invalide",IF(COUNTIF(p_rates,K2688)=0,"Taux de TVA hors liste (Paramètres)",IF(N(O2688)&gt;25,"Au-delà de 25 lignes : non imprimée","OK")))))))))))))</f>
        <v/>
      </c>
      <c r="O2688" s="59" t="str">
        <f>IF(A2688="","",COUNTIF($A$6:A2688,A2688))</f>
        <v/>
      </c>
      <c r="P2688" s="62" t="str">
        <f>IF(A2688="","",A2688&amp;"|"&amp;O2688)</f>
        <v/>
      </c>
    </row>
    <row r="2689">
      <c r="A2689" s="60" t="n"/>
      <c r="B2689" s="63" t="n"/>
      <c r="C2689" s="63" t="n"/>
      <c r="D2689" s="67" t="n"/>
      <c r="E2689" s="68" t="n"/>
      <c r="F2689" s="69" t="n"/>
      <c r="G2689" s="70" t="n"/>
      <c r="H2689" s="62" t="str">
        <f>IF(COUNTA(A2689:G2689)=0,"",IF(C2689&lt;&gt;"",C2689,IF(B2689="","",IFERROR(INDEX(pr_des,MATCH(B2689,pr_code,0))&amp;"",""))))</f>
        <v/>
      </c>
      <c r="I2689" s="59" t="str">
        <f>IF(B2689="","",IFERROR(INDEX(pr_unit,MATCH(B2689,pr_code,0))&amp;"",""))</f>
        <v/>
      </c>
      <c r="J2689" s="65" t="str">
        <f>IF(COUNTA(A2689:G2689)=0,"",IF(E2689&lt;&gt;"",E2689,IF(B2689="","",IFERROR(IF(INDEX(pr_price,MATCH(B2689,pr_code,0))="","",INDEX(pr_price,MATCH(B2689,pr_code,0))),""))))</f>
        <v/>
      </c>
      <c r="K2689" s="71" t="str">
        <f>IF(COUNTA(A2689:G2689)=0,"",IF(G2689&lt;&gt;"",G2689,IF(B2689="","",IFERROR(IF(INDEX(pr_rate,MATCH(B2689,pr_code,0))="","",INDEX(pr_rate,MATCH(B2689,pr_code,0))),""))))</f>
        <v/>
      </c>
      <c r="L2689" s="65" t="str">
        <f>IF(COUNTA(A2689:G2689)=0,"",IF(AND(ISNUMBER(D2689),ISNUMBER(J2689)),ROUND(D2689*J2689*(1-N(F2689)),2),0))</f>
        <v/>
      </c>
      <c r="M2689" s="62" t="str">
        <f>IF(A2689="","",IFERROR(INDEX(fa_cname,MATCH(A2689,fa_num,0))&amp;"",""))</f>
        <v/>
      </c>
      <c r="N2689" s="59" t="str">
        <f>IF(COUNTA(A2689:G2689)=0,"",IF(A2689="","N° facture manquant",IF(ISNA(MATCH(A2689,fa_num,0)),"Facture inconnue",IF(AND(B2689&lt;&gt;"",ISNA(MATCH(B2689,pr_code,0))),"Article inconnu",IF(H2689="","Désignation manquante",IF(OR(NOT(ISNUMBER(D2689)),N(D2689)&lt;=0),"Quantité invalide",IF(J2689="","Prix manquant",IF(OR(NOT(ISNUMBER(J2689)),N(J2689)&lt;0),"Prix invalide",IF(OR(AND(F2689&lt;&gt;"",NOT(ISNUMBER(F2689))),N(F2689)&lt;0,N(F2689)&gt;1),"Remise invalide",IF(K2689="","Taux de TVA manquant",IF(NOT(ISNUMBER(K2689)),"Taux de TVA invalide",IF(COUNTIF(p_rates,K2689)=0,"Taux de TVA hors liste (Paramètres)",IF(N(O2689)&gt;25,"Au-delà de 25 lignes : non imprimée","OK")))))))))))))</f>
        <v/>
      </c>
      <c r="O2689" s="59" t="str">
        <f>IF(A2689="","",COUNTIF($A$6:A2689,A2689))</f>
        <v/>
      </c>
      <c r="P2689" s="62" t="str">
        <f>IF(A2689="","",A2689&amp;"|"&amp;O2689)</f>
        <v/>
      </c>
    </row>
    <row r="2690">
      <c r="A2690" s="60" t="n"/>
      <c r="B2690" s="63" t="n"/>
      <c r="C2690" s="63" t="n"/>
      <c r="D2690" s="67" t="n"/>
      <c r="E2690" s="68" t="n"/>
      <c r="F2690" s="69" t="n"/>
      <c r="G2690" s="70" t="n"/>
      <c r="H2690" s="62" t="str">
        <f>IF(COUNTA(A2690:G2690)=0,"",IF(C2690&lt;&gt;"",C2690,IF(B2690="","",IFERROR(INDEX(pr_des,MATCH(B2690,pr_code,0))&amp;"",""))))</f>
        <v/>
      </c>
      <c r="I2690" s="59" t="str">
        <f>IF(B2690="","",IFERROR(INDEX(pr_unit,MATCH(B2690,pr_code,0))&amp;"",""))</f>
        <v/>
      </c>
      <c r="J2690" s="65" t="str">
        <f>IF(COUNTA(A2690:G2690)=0,"",IF(E2690&lt;&gt;"",E2690,IF(B2690="","",IFERROR(IF(INDEX(pr_price,MATCH(B2690,pr_code,0))="","",INDEX(pr_price,MATCH(B2690,pr_code,0))),""))))</f>
        <v/>
      </c>
      <c r="K2690" s="71" t="str">
        <f>IF(COUNTA(A2690:G2690)=0,"",IF(G2690&lt;&gt;"",G2690,IF(B2690="","",IFERROR(IF(INDEX(pr_rate,MATCH(B2690,pr_code,0))="","",INDEX(pr_rate,MATCH(B2690,pr_code,0))),""))))</f>
        <v/>
      </c>
      <c r="L2690" s="65" t="str">
        <f>IF(COUNTA(A2690:G2690)=0,"",IF(AND(ISNUMBER(D2690),ISNUMBER(J2690)),ROUND(D2690*J2690*(1-N(F2690)),2),0))</f>
        <v/>
      </c>
      <c r="M2690" s="62" t="str">
        <f>IF(A2690="","",IFERROR(INDEX(fa_cname,MATCH(A2690,fa_num,0))&amp;"",""))</f>
        <v/>
      </c>
      <c r="N2690" s="59" t="str">
        <f>IF(COUNTA(A2690:G2690)=0,"",IF(A2690="","N° facture manquant",IF(ISNA(MATCH(A2690,fa_num,0)),"Facture inconnue",IF(AND(B2690&lt;&gt;"",ISNA(MATCH(B2690,pr_code,0))),"Article inconnu",IF(H2690="","Désignation manquante",IF(OR(NOT(ISNUMBER(D2690)),N(D2690)&lt;=0),"Quantité invalide",IF(J2690="","Prix manquant",IF(OR(NOT(ISNUMBER(J2690)),N(J2690)&lt;0),"Prix invalide",IF(OR(AND(F2690&lt;&gt;"",NOT(ISNUMBER(F2690))),N(F2690)&lt;0,N(F2690)&gt;1),"Remise invalide",IF(K2690="","Taux de TVA manquant",IF(NOT(ISNUMBER(K2690)),"Taux de TVA invalide",IF(COUNTIF(p_rates,K2690)=0,"Taux de TVA hors liste (Paramètres)",IF(N(O2690)&gt;25,"Au-delà de 25 lignes : non imprimée","OK")))))))))))))</f>
        <v/>
      </c>
      <c r="O2690" s="59" t="str">
        <f>IF(A2690="","",COUNTIF($A$6:A2690,A2690))</f>
        <v/>
      </c>
      <c r="P2690" s="62" t="str">
        <f>IF(A2690="","",A2690&amp;"|"&amp;O2690)</f>
        <v/>
      </c>
    </row>
    <row r="2691">
      <c r="A2691" s="60" t="n"/>
      <c r="B2691" s="63" t="n"/>
      <c r="C2691" s="63" t="n"/>
      <c r="D2691" s="67" t="n"/>
      <c r="E2691" s="68" t="n"/>
      <c r="F2691" s="69" t="n"/>
      <c r="G2691" s="70" t="n"/>
      <c r="H2691" s="62" t="str">
        <f>IF(COUNTA(A2691:G2691)=0,"",IF(C2691&lt;&gt;"",C2691,IF(B2691="","",IFERROR(INDEX(pr_des,MATCH(B2691,pr_code,0))&amp;"",""))))</f>
        <v/>
      </c>
      <c r="I2691" s="59" t="str">
        <f>IF(B2691="","",IFERROR(INDEX(pr_unit,MATCH(B2691,pr_code,0))&amp;"",""))</f>
        <v/>
      </c>
      <c r="J2691" s="65" t="str">
        <f>IF(COUNTA(A2691:G2691)=0,"",IF(E2691&lt;&gt;"",E2691,IF(B2691="","",IFERROR(IF(INDEX(pr_price,MATCH(B2691,pr_code,0))="","",INDEX(pr_price,MATCH(B2691,pr_code,0))),""))))</f>
        <v/>
      </c>
      <c r="K2691" s="71" t="str">
        <f>IF(COUNTA(A2691:G2691)=0,"",IF(G2691&lt;&gt;"",G2691,IF(B2691="","",IFERROR(IF(INDEX(pr_rate,MATCH(B2691,pr_code,0))="","",INDEX(pr_rate,MATCH(B2691,pr_code,0))),""))))</f>
        <v/>
      </c>
      <c r="L2691" s="65" t="str">
        <f>IF(COUNTA(A2691:G2691)=0,"",IF(AND(ISNUMBER(D2691),ISNUMBER(J2691)),ROUND(D2691*J2691*(1-N(F2691)),2),0))</f>
        <v/>
      </c>
      <c r="M2691" s="62" t="str">
        <f>IF(A2691="","",IFERROR(INDEX(fa_cname,MATCH(A2691,fa_num,0))&amp;"",""))</f>
        <v/>
      </c>
      <c r="N2691" s="59" t="str">
        <f>IF(COUNTA(A2691:G2691)=0,"",IF(A2691="","N° facture manquant",IF(ISNA(MATCH(A2691,fa_num,0)),"Facture inconnue",IF(AND(B2691&lt;&gt;"",ISNA(MATCH(B2691,pr_code,0))),"Article inconnu",IF(H2691="","Désignation manquante",IF(OR(NOT(ISNUMBER(D2691)),N(D2691)&lt;=0),"Quantité invalide",IF(J2691="","Prix manquant",IF(OR(NOT(ISNUMBER(J2691)),N(J2691)&lt;0),"Prix invalide",IF(OR(AND(F2691&lt;&gt;"",NOT(ISNUMBER(F2691))),N(F2691)&lt;0,N(F2691)&gt;1),"Remise invalide",IF(K2691="","Taux de TVA manquant",IF(NOT(ISNUMBER(K2691)),"Taux de TVA invalide",IF(COUNTIF(p_rates,K2691)=0,"Taux de TVA hors liste (Paramètres)",IF(N(O2691)&gt;25,"Au-delà de 25 lignes : non imprimée","OK")))))))))))))</f>
        <v/>
      </c>
      <c r="O2691" s="59" t="str">
        <f>IF(A2691="","",COUNTIF($A$6:A2691,A2691))</f>
        <v/>
      </c>
      <c r="P2691" s="62" t="str">
        <f>IF(A2691="","",A2691&amp;"|"&amp;O2691)</f>
        <v/>
      </c>
    </row>
    <row r="2692">
      <c r="A2692" s="60" t="n"/>
      <c r="B2692" s="63" t="n"/>
      <c r="C2692" s="63" t="n"/>
      <c r="D2692" s="67" t="n"/>
      <c r="E2692" s="68" t="n"/>
      <c r="F2692" s="69" t="n"/>
      <c r="G2692" s="70" t="n"/>
      <c r="H2692" s="62" t="str">
        <f>IF(COUNTA(A2692:G2692)=0,"",IF(C2692&lt;&gt;"",C2692,IF(B2692="","",IFERROR(INDEX(pr_des,MATCH(B2692,pr_code,0))&amp;"",""))))</f>
        <v/>
      </c>
      <c r="I2692" s="59" t="str">
        <f>IF(B2692="","",IFERROR(INDEX(pr_unit,MATCH(B2692,pr_code,0))&amp;"",""))</f>
        <v/>
      </c>
      <c r="J2692" s="65" t="str">
        <f>IF(COUNTA(A2692:G2692)=0,"",IF(E2692&lt;&gt;"",E2692,IF(B2692="","",IFERROR(IF(INDEX(pr_price,MATCH(B2692,pr_code,0))="","",INDEX(pr_price,MATCH(B2692,pr_code,0))),""))))</f>
        <v/>
      </c>
      <c r="K2692" s="71" t="str">
        <f>IF(COUNTA(A2692:G2692)=0,"",IF(G2692&lt;&gt;"",G2692,IF(B2692="","",IFERROR(IF(INDEX(pr_rate,MATCH(B2692,pr_code,0))="","",INDEX(pr_rate,MATCH(B2692,pr_code,0))),""))))</f>
        <v/>
      </c>
      <c r="L2692" s="65" t="str">
        <f>IF(COUNTA(A2692:G2692)=0,"",IF(AND(ISNUMBER(D2692),ISNUMBER(J2692)),ROUND(D2692*J2692*(1-N(F2692)),2),0))</f>
        <v/>
      </c>
      <c r="M2692" s="62" t="str">
        <f>IF(A2692="","",IFERROR(INDEX(fa_cname,MATCH(A2692,fa_num,0))&amp;"",""))</f>
        <v/>
      </c>
      <c r="N2692" s="59" t="str">
        <f>IF(COUNTA(A2692:G2692)=0,"",IF(A2692="","N° facture manquant",IF(ISNA(MATCH(A2692,fa_num,0)),"Facture inconnue",IF(AND(B2692&lt;&gt;"",ISNA(MATCH(B2692,pr_code,0))),"Article inconnu",IF(H2692="","Désignation manquante",IF(OR(NOT(ISNUMBER(D2692)),N(D2692)&lt;=0),"Quantité invalide",IF(J2692="","Prix manquant",IF(OR(NOT(ISNUMBER(J2692)),N(J2692)&lt;0),"Prix invalide",IF(OR(AND(F2692&lt;&gt;"",NOT(ISNUMBER(F2692))),N(F2692)&lt;0,N(F2692)&gt;1),"Remise invalide",IF(K2692="","Taux de TVA manquant",IF(NOT(ISNUMBER(K2692)),"Taux de TVA invalide",IF(COUNTIF(p_rates,K2692)=0,"Taux de TVA hors liste (Paramètres)",IF(N(O2692)&gt;25,"Au-delà de 25 lignes : non imprimée","OK")))))))))))))</f>
        <v/>
      </c>
      <c r="O2692" s="59" t="str">
        <f>IF(A2692="","",COUNTIF($A$6:A2692,A2692))</f>
        <v/>
      </c>
      <c r="P2692" s="62" t="str">
        <f>IF(A2692="","",A2692&amp;"|"&amp;O2692)</f>
        <v/>
      </c>
    </row>
    <row r="2693">
      <c r="A2693" s="60" t="n"/>
      <c r="B2693" s="63" t="n"/>
      <c r="C2693" s="63" t="n"/>
      <c r="D2693" s="67" t="n"/>
      <c r="E2693" s="68" t="n"/>
      <c r="F2693" s="69" t="n"/>
      <c r="G2693" s="70" t="n"/>
      <c r="H2693" s="62" t="str">
        <f>IF(COUNTA(A2693:G2693)=0,"",IF(C2693&lt;&gt;"",C2693,IF(B2693="","",IFERROR(INDEX(pr_des,MATCH(B2693,pr_code,0))&amp;"",""))))</f>
        <v/>
      </c>
      <c r="I2693" s="59" t="str">
        <f>IF(B2693="","",IFERROR(INDEX(pr_unit,MATCH(B2693,pr_code,0))&amp;"",""))</f>
        <v/>
      </c>
      <c r="J2693" s="65" t="str">
        <f>IF(COUNTA(A2693:G2693)=0,"",IF(E2693&lt;&gt;"",E2693,IF(B2693="","",IFERROR(IF(INDEX(pr_price,MATCH(B2693,pr_code,0))="","",INDEX(pr_price,MATCH(B2693,pr_code,0))),""))))</f>
        <v/>
      </c>
      <c r="K2693" s="71" t="str">
        <f>IF(COUNTA(A2693:G2693)=0,"",IF(G2693&lt;&gt;"",G2693,IF(B2693="","",IFERROR(IF(INDEX(pr_rate,MATCH(B2693,pr_code,0))="","",INDEX(pr_rate,MATCH(B2693,pr_code,0))),""))))</f>
        <v/>
      </c>
      <c r="L2693" s="65" t="str">
        <f>IF(COUNTA(A2693:G2693)=0,"",IF(AND(ISNUMBER(D2693),ISNUMBER(J2693)),ROUND(D2693*J2693*(1-N(F2693)),2),0))</f>
        <v/>
      </c>
      <c r="M2693" s="62" t="str">
        <f>IF(A2693="","",IFERROR(INDEX(fa_cname,MATCH(A2693,fa_num,0))&amp;"",""))</f>
        <v/>
      </c>
      <c r="N2693" s="59" t="str">
        <f>IF(COUNTA(A2693:G2693)=0,"",IF(A2693="","N° facture manquant",IF(ISNA(MATCH(A2693,fa_num,0)),"Facture inconnue",IF(AND(B2693&lt;&gt;"",ISNA(MATCH(B2693,pr_code,0))),"Article inconnu",IF(H2693="","Désignation manquante",IF(OR(NOT(ISNUMBER(D2693)),N(D2693)&lt;=0),"Quantité invalide",IF(J2693="","Prix manquant",IF(OR(NOT(ISNUMBER(J2693)),N(J2693)&lt;0),"Prix invalide",IF(OR(AND(F2693&lt;&gt;"",NOT(ISNUMBER(F2693))),N(F2693)&lt;0,N(F2693)&gt;1),"Remise invalide",IF(K2693="","Taux de TVA manquant",IF(NOT(ISNUMBER(K2693)),"Taux de TVA invalide",IF(COUNTIF(p_rates,K2693)=0,"Taux de TVA hors liste (Paramètres)",IF(N(O2693)&gt;25,"Au-delà de 25 lignes : non imprimée","OK")))))))))))))</f>
        <v/>
      </c>
      <c r="O2693" s="59" t="str">
        <f>IF(A2693="","",COUNTIF($A$6:A2693,A2693))</f>
        <v/>
      </c>
      <c r="P2693" s="62" t="str">
        <f>IF(A2693="","",A2693&amp;"|"&amp;O2693)</f>
        <v/>
      </c>
    </row>
    <row r="2694">
      <c r="A2694" s="60" t="n"/>
      <c r="B2694" s="63" t="n"/>
      <c r="C2694" s="63" t="n"/>
      <c r="D2694" s="67" t="n"/>
      <c r="E2694" s="68" t="n"/>
      <c r="F2694" s="69" t="n"/>
      <c r="G2694" s="70" t="n"/>
      <c r="H2694" s="62" t="str">
        <f>IF(COUNTA(A2694:G2694)=0,"",IF(C2694&lt;&gt;"",C2694,IF(B2694="","",IFERROR(INDEX(pr_des,MATCH(B2694,pr_code,0))&amp;"",""))))</f>
        <v/>
      </c>
      <c r="I2694" s="59" t="str">
        <f>IF(B2694="","",IFERROR(INDEX(pr_unit,MATCH(B2694,pr_code,0))&amp;"",""))</f>
        <v/>
      </c>
      <c r="J2694" s="65" t="str">
        <f>IF(COUNTA(A2694:G2694)=0,"",IF(E2694&lt;&gt;"",E2694,IF(B2694="","",IFERROR(IF(INDEX(pr_price,MATCH(B2694,pr_code,0))="","",INDEX(pr_price,MATCH(B2694,pr_code,0))),""))))</f>
        <v/>
      </c>
      <c r="K2694" s="71" t="str">
        <f>IF(COUNTA(A2694:G2694)=0,"",IF(G2694&lt;&gt;"",G2694,IF(B2694="","",IFERROR(IF(INDEX(pr_rate,MATCH(B2694,pr_code,0))="","",INDEX(pr_rate,MATCH(B2694,pr_code,0))),""))))</f>
        <v/>
      </c>
      <c r="L2694" s="65" t="str">
        <f>IF(COUNTA(A2694:G2694)=0,"",IF(AND(ISNUMBER(D2694),ISNUMBER(J2694)),ROUND(D2694*J2694*(1-N(F2694)),2),0))</f>
        <v/>
      </c>
      <c r="M2694" s="62" t="str">
        <f>IF(A2694="","",IFERROR(INDEX(fa_cname,MATCH(A2694,fa_num,0))&amp;"",""))</f>
        <v/>
      </c>
      <c r="N2694" s="59" t="str">
        <f>IF(COUNTA(A2694:G2694)=0,"",IF(A2694="","N° facture manquant",IF(ISNA(MATCH(A2694,fa_num,0)),"Facture inconnue",IF(AND(B2694&lt;&gt;"",ISNA(MATCH(B2694,pr_code,0))),"Article inconnu",IF(H2694="","Désignation manquante",IF(OR(NOT(ISNUMBER(D2694)),N(D2694)&lt;=0),"Quantité invalide",IF(J2694="","Prix manquant",IF(OR(NOT(ISNUMBER(J2694)),N(J2694)&lt;0),"Prix invalide",IF(OR(AND(F2694&lt;&gt;"",NOT(ISNUMBER(F2694))),N(F2694)&lt;0,N(F2694)&gt;1),"Remise invalide",IF(K2694="","Taux de TVA manquant",IF(NOT(ISNUMBER(K2694)),"Taux de TVA invalide",IF(COUNTIF(p_rates,K2694)=0,"Taux de TVA hors liste (Paramètres)",IF(N(O2694)&gt;25,"Au-delà de 25 lignes : non imprimée","OK")))))))))))))</f>
        <v/>
      </c>
      <c r="O2694" s="59" t="str">
        <f>IF(A2694="","",COUNTIF($A$6:A2694,A2694))</f>
        <v/>
      </c>
      <c r="P2694" s="62" t="str">
        <f>IF(A2694="","",A2694&amp;"|"&amp;O2694)</f>
        <v/>
      </c>
    </row>
    <row r="2695">
      <c r="A2695" s="60" t="n"/>
      <c r="B2695" s="63" t="n"/>
      <c r="C2695" s="63" t="n"/>
      <c r="D2695" s="67" t="n"/>
      <c r="E2695" s="68" t="n"/>
      <c r="F2695" s="69" t="n"/>
      <c r="G2695" s="70" t="n"/>
      <c r="H2695" s="62" t="str">
        <f>IF(COUNTA(A2695:G2695)=0,"",IF(C2695&lt;&gt;"",C2695,IF(B2695="","",IFERROR(INDEX(pr_des,MATCH(B2695,pr_code,0))&amp;"",""))))</f>
        <v/>
      </c>
      <c r="I2695" s="59" t="str">
        <f>IF(B2695="","",IFERROR(INDEX(pr_unit,MATCH(B2695,pr_code,0))&amp;"",""))</f>
        <v/>
      </c>
      <c r="J2695" s="65" t="str">
        <f>IF(COUNTA(A2695:G2695)=0,"",IF(E2695&lt;&gt;"",E2695,IF(B2695="","",IFERROR(IF(INDEX(pr_price,MATCH(B2695,pr_code,0))="","",INDEX(pr_price,MATCH(B2695,pr_code,0))),""))))</f>
        <v/>
      </c>
      <c r="K2695" s="71" t="str">
        <f>IF(COUNTA(A2695:G2695)=0,"",IF(G2695&lt;&gt;"",G2695,IF(B2695="","",IFERROR(IF(INDEX(pr_rate,MATCH(B2695,pr_code,0))="","",INDEX(pr_rate,MATCH(B2695,pr_code,0))),""))))</f>
        <v/>
      </c>
      <c r="L2695" s="65" t="str">
        <f>IF(COUNTA(A2695:G2695)=0,"",IF(AND(ISNUMBER(D2695),ISNUMBER(J2695)),ROUND(D2695*J2695*(1-N(F2695)),2),0))</f>
        <v/>
      </c>
      <c r="M2695" s="62" t="str">
        <f>IF(A2695="","",IFERROR(INDEX(fa_cname,MATCH(A2695,fa_num,0))&amp;"",""))</f>
        <v/>
      </c>
      <c r="N2695" s="59" t="str">
        <f>IF(COUNTA(A2695:G2695)=0,"",IF(A2695="","N° facture manquant",IF(ISNA(MATCH(A2695,fa_num,0)),"Facture inconnue",IF(AND(B2695&lt;&gt;"",ISNA(MATCH(B2695,pr_code,0))),"Article inconnu",IF(H2695="","Désignation manquante",IF(OR(NOT(ISNUMBER(D2695)),N(D2695)&lt;=0),"Quantité invalide",IF(J2695="","Prix manquant",IF(OR(NOT(ISNUMBER(J2695)),N(J2695)&lt;0),"Prix invalide",IF(OR(AND(F2695&lt;&gt;"",NOT(ISNUMBER(F2695))),N(F2695)&lt;0,N(F2695)&gt;1),"Remise invalide",IF(K2695="","Taux de TVA manquant",IF(NOT(ISNUMBER(K2695)),"Taux de TVA invalide",IF(COUNTIF(p_rates,K2695)=0,"Taux de TVA hors liste (Paramètres)",IF(N(O2695)&gt;25,"Au-delà de 25 lignes : non imprimée","OK")))))))))))))</f>
        <v/>
      </c>
      <c r="O2695" s="59" t="str">
        <f>IF(A2695="","",COUNTIF($A$6:A2695,A2695))</f>
        <v/>
      </c>
      <c r="P2695" s="62" t="str">
        <f>IF(A2695="","",A2695&amp;"|"&amp;O2695)</f>
        <v/>
      </c>
    </row>
    <row r="2696">
      <c r="A2696" s="60" t="n"/>
      <c r="B2696" s="63" t="n"/>
      <c r="C2696" s="63" t="n"/>
      <c r="D2696" s="67" t="n"/>
      <c r="E2696" s="68" t="n"/>
      <c r="F2696" s="69" t="n"/>
      <c r="G2696" s="70" t="n"/>
      <c r="H2696" s="62" t="str">
        <f>IF(COUNTA(A2696:G2696)=0,"",IF(C2696&lt;&gt;"",C2696,IF(B2696="","",IFERROR(INDEX(pr_des,MATCH(B2696,pr_code,0))&amp;"",""))))</f>
        <v/>
      </c>
      <c r="I2696" s="59" t="str">
        <f>IF(B2696="","",IFERROR(INDEX(pr_unit,MATCH(B2696,pr_code,0))&amp;"",""))</f>
        <v/>
      </c>
      <c r="J2696" s="65" t="str">
        <f>IF(COUNTA(A2696:G2696)=0,"",IF(E2696&lt;&gt;"",E2696,IF(B2696="","",IFERROR(IF(INDEX(pr_price,MATCH(B2696,pr_code,0))="","",INDEX(pr_price,MATCH(B2696,pr_code,0))),""))))</f>
        <v/>
      </c>
      <c r="K2696" s="71" t="str">
        <f>IF(COUNTA(A2696:G2696)=0,"",IF(G2696&lt;&gt;"",G2696,IF(B2696="","",IFERROR(IF(INDEX(pr_rate,MATCH(B2696,pr_code,0))="","",INDEX(pr_rate,MATCH(B2696,pr_code,0))),""))))</f>
        <v/>
      </c>
      <c r="L2696" s="65" t="str">
        <f>IF(COUNTA(A2696:G2696)=0,"",IF(AND(ISNUMBER(D2696),ISNUMBER(J2696)),ROUND(D2696*J2696*(1-N(F2696)),2),0))</f>
        <v/>
      </c>
      <c r="M2696" s="62" t="str">
        <f>IF(A2696="","",IFERROR(INDEX(fa_cname,MATCH(A2696,fa_num,0))&amp;"",""))</f>
        <v/>
      </c>
      <c r="N2696" s="59" t="str">
        <f>IF(COUNTA(A2696:G2696)=0,"",IF(A2696="","N° facture manquant",IF(ISNA(MATCH(A2696,fa_num,0)),"Facture inconnue",IF(AND(B2696&lt;&gt;"",ISNA(MATCH(B2696,pr_code,0))),"Article inconnu",IF(H2696="","Désignation manquante",IF(OR(NOT(ISNUMBER(D2696)),N(D2696)&lt;=0),"Quantité invalide",IF(J2696="","Prix manquant",IF(OR(NOT(ISNUMBER(J2696)),N(J2696)&lt;0),"Prix invalide",IF(OR(AND(F2696&lt;&gt;"",NOT(ISNUMBER(F2696))),N(F2696)&lt;0,N(F2696)&gt;1),"Remise invalide",IF(K2696="","Taux de TVA manquant",IF(NOT(ISNUMBER(K2696)),"Taux de TVA invalide",IF(COUNTIF(p_rates,K2696)=0,"Taux de TVA hors liste (Paramètres)",IF(N(O2696)&gt;25,"Au-delà de 25 lignes : non imprimée","OK")))))))))))))</f>
        <v/>
      </c>
      <c r="O2696" s="59" t="str">
        <f>IF(A2696="","",COUNTIF($A$6:A2696,A2696))</f>
        <v/>
      </c>
      <c r="P2696" s="62" t="str">
        <f>IF(A2696="","",A2696&amp;"|"&amp;O2696)</f>
        <v/>
      </c>
    </row>
    <row r="2697">
      <c r="A2697" s="60" t="n"/>
      <c r="B2697" s="63" t="n"/>
      <c r="C2697" s="63" t="n"/>
      <c r="D2697" s="67" t="n"/>
      <c r="E2697" s="68" t="n"/>
      <c r="F2697" s="69" t="n"/>
      <c r="G2697" s="70" t="n"/>
      <c r="H2697" s="62" t="str">
        <f>IF(COUNTA(A2697:G2697)=0,"",IF(C2697&lt;&gt;"",C2697,IF(B2697="","",IFERROR(INDEX(pr_des,MATCH(B2697,pr_code,0))&amp;"",""))))</f>
        <v/>
      </c>
      <c r="I2697" s="59" t="str">
        <f>IF(B2697="","",IFERROR(INDEX(pr_unit,MATCH(B2697,pr_code,0))&amp;"",""))</f>
        <v/>
      </c>
      <c r="J2697" s="65" t="str">
        <f>IF(COUNTA(A2697:G2697)=0,"",IF(E2697&lt;&gt;"",E2697,IF(B2697="","",IFERROR(IF(INDEX(pr_price,MATCH(B2697,pr_code,0))="","",INDEX(pr_price,MATCH(B2697,pr_code,0))),""))))</f>
        <v/>
      </c>
      <c r="K2697" s="71" t="str">
        <f>IF(COUNTA(A2697:G2697)=0,"",IF(G2697&lt;&gt;"",G2697,IF(B2697="","",IFERROR(IF(INDEX(pr_rate,MATCH(B2697,pr_code,0))="","",INDEX(pr_rate,MATCH(B2697,pr_code,0))),""))))</f>
        <v/>
      </c>
      <c r="L2697" s="65" t="str">
        <f>IF(COUNTA(A2697:G2697)=0,"",IF(AND(ISNUMBER(D2697),ISNUMBER(J2697)),ROUND(D2697*J2697*(1-N(F2697)),2),0))</f>
        <v/>
      </c>
      <c r="M2697" s="62" t="str">
        <f>IF(A2697="","",IFERROR(INDEX(fa_cname,MATCH(A2697,fa_num,0))&amp;"",""))</f>
        <v/>
      </c>
      <c r="N2697" s="59" t="str">
        <f>IF(COUNTA(A2697:G2697)=0,"",IF(A2697="","N° facture manquant",IF(ISNA(MATCH(A2697,fa_num,0)),"Facture inconnue",IF(AND(B2697&lt;&gt;"",ISNA(MATCH(B2697,pr_code,0))),"Article inconnu",IF(H2697="","Désignation manquante",IF(OR(NOT(ISNUMBER(D2697)),N(D2697)&lt;=0),"Quantité invalide",IF(J2697="","Prix manquant",IF(OR(NOT(ISNUMBER(J2697)),N(J2697)&lt;0),"Prix invalide",IF(OR(AND(F2697&lt;&gt;"",NOT(ISNUMBER(F2697))),N(F2697)&lt;0,N(F2697)&gt;1),"Remise invalide",IF(K2697="","Taux de TVA manquant",IF(NOT(ISNUMBER(K2697)),"Taux de TVA invalide",IF(COUNTIF(p_rates,K2697)=0,"Taux de TVA hors liste (Paramètres)",IF(N(O2697)&gt;25,"Au-delà de 25 lignes : non imprimée","OK")))))))))))))</f>
        <v/>
      </c>
      <c r="O2697" s="59" t="str">
        <f>IF(A2697="","",COUNTIF($A$6:A2697,A2697))</f>
        <v/>
      </c>
      <c r="P2697" s="62" t="str">
        <f>IF(A2697="","",A2697&amp;"|"&amp;O2697)</f>
        <v/>
      </c>
    </row>
    <row r="2698">
      <c r="A2698" s="60" t="n"/>
      <c r="B2698" s="63" t="n"/>
      <c r="C2698" s="63" t="n"/>
      <c r="D2698" s="67" t="n"/>
      <c r="E2698" s="68" t="n"/>
      <c r="F2698" s="69" t="n"/>
      <c r="G2698" s="70" t="n"/>
      <c r="H2698" s="62" t="str">
        <f>IF(COUNTA(A2698:G2698)=0,"",IF(C2698&lt;&gt;"",C2698,IF(B2698="","",IFERROR(INDEX(pr_des,MATCH(B2698,pr_code,0))&amp;"",""))))</f>
        <v/>
      </c>
      <c r="I2698" s="59" t="str">
        <f>IF(B2698="","",IFERROR(INDEX(pr_unit,MATCH(B2698,pr_code,0))&amp;"",""))</f>
        <v/>
      </c>
      <c r="J2698" s="65" t="str">
        <f>IF(COUNTA(A2698:G2698)=0,"",IF(E2698&lt;&gt;"",E2698,IF(B2698="","",IFERROR(IF(INDEX(pr_price,MATCH(B2698,pr_code,0))="","",INDEX(pr_price,MATCH(B2698,pr_code,0))),""))))</f>
        <v/>
      </c>
      <c r="K2698" s="71" t="str">
        <f>IF(COUNTA(A2698:G2698)=0,"",IF(G2698&lt;&gt;"",G2698,IF(B2698="","",IFERROR(IF(INDEX(pr_rate,MATCH(B2698,pr_code,0))="","",INDEX(pr_rate,MATCH(B2698,pr_code,0))),""))))</f>
        <v/>
      </c>
      <c r="L2698" s="65" t="str">
        <f>IF(COUNTA(A2698:G2698)=0,"",IF(AND(ISNUMBER(D2698),ISNUMBER(J2698)),ROUND(D2698*J2698*(1-N(F2698)),2),0))</f>
        <v/>
      </c>
      <c r="M2698" s="62" t="str">
        <f>IF(A2698="","",IFERROR(INDEX(fa_cname,MATCH(A2698,fa_num,0))&amp;"",""))</f>
        <v/>
      </c>
      <c r="N2698" s="59" t="str">
        <f>IF(COUNTA(A2698:G2698)=0,"",IF(A2698="","N° facture manquant",IF(ISNA(MATCH(A2698,fa_num,0)),"Facture inconnue",IF(AND(B2698&lt;&gt;"",ISNA(MATCH(B2698,pr_code,0))),"Article inconnu",IF(H2698="","Désignation manquante",IF(OR(NOT(ISNUMBER(D2698)),N(D2698)&lt;=0),"Quantité invalide",IF(J2698="","Prix manquant",IF(OR(NOT(ISNUMBER(J2698)),N(J2698)&lt;0),"Prix invalide",IF(OR(AND(F2698&lt;&gt;"",NOT(ISNUMBER(F2698))),N(F2698)&lt;0,N(F2698)&gt;1),"Remise invalide",IF(K2698="","Taux de TVA manquant",IF(NOT(ISNUMBER(K2698)),"Taux de TVA invalide",IF(COUNTIF(p_rates,K2698)=0,"Taux de TVA hors liste (Paramètres)",IF(N(O2698)&gt;25,"Au-delà de 25 lignes : non imprimée","OK")))))))))))))</f>
        <v/>
      </c>
      <c r="O2698" s="59" t="str">
        <f>IF(A2698="","",COUNTIF($A$6:A2698,A2698))</f>
        <v/>
      </c>
      <c r="P2698" s="62" t="str">
        <f>IF(A2698="","",A2698&amp;"|"&amp;O2698)</f>
        <v/>
      </c>
    </row>
    <row r="2699">
      <c r="A2699" s="60" t="n"/>
      <c r="B2699" s="63" t="n"/>
      <c r="C2699" s="63" t="n"/>
      <c r="D2699" s="67" t="n"/>
      <c r="E2699" s="68" t="n"/>
      <c r="F2699" s="69" t="n"/>
      <c r="G2699" s="70" t="n"/>
      <c r="H2699" s="62" t="str">
        <f>IF(COUNTA(A2699:G2699)=0,"",IF(C2699&lt;&gt;"",C2699,IF(B2699="","",IFERROR(INDEX(pr_des,MATCH(B2699,pr_code,0))&amp;"",""))))</f>
        <v/>
      </c>
      <c r="I2699" s="59" t="str">
        <f>IF(B2699="","",IFERROR(INDEX(pr_unit,MATCH(B2699,pr_code,0))&amp;"",""))</f>
        <v/>
      </c>
      <c r="J2699" s="65" t="str">
        <f>IF(COUNTA(A2699:G2699)=0,"",IF(E2699&lt;&gt;"",E2699,IF(B2699="","",IFERROR(IF(INDEX(pr_price,MATCH(B2699,pr_code,0))="","",INDEX(pr_price,MATCH(B2699,pr_code,0))),""))))</f>
        <v/>
      </c>
      <c r="K2699" s="71" t="str">
        <f>IF(COUNTA(A2699:G2699)=0,"",IF(G2699&lt;&gt;"",G2699,IF(B2699="","",IFERROR(IF(INDEX(pr_rate,MATCH(B2699,pr_code,0))="","",INDEX(pr_rate,MATCH(B2699,pr_code,0))),""))))</f>
        <v/>
      </c>
      <c r="L2699" s="65" t="str">
        <f>IF(COUNTA(A2699:G2699)=0,"",IF(AND(ISNUMBER(D2699),ISNUMBER(J2699)),ROUND(D2699*J2699*(1-N(F2699)),2),0))</f>
        <v/>
      </c>
      <c r="M2699" s="62" t="str">
        <f>IF(A2699="","",IFERROR(INDEX(fa_cname,MATCH(A2699,fa_num,0))&amp;"",""))</f>
        <v/>
      </c>
      <c r="N2699" s="59" t="str">
        <f>IF(COUNTA(A2699:G2699)=0,"",IF(A2699="","N° facture manquant",IF(ISNA(MATCH(A2699,fa_num,0)),"Facture inconnue",IF(AND(B2699&lt;&gt;"",ISNA(MATCH(B2699,pr_code,0))),"Article inconnu",IF(H2699="","Désignation manquante",IF(OR(NOT(ISNUMBER(D2699)),N(D2699)&lt;=0),"Quantité invalide",IF(J2699="","Prix manquant",IF(OR(NOT(ISNUMBER(J2699)),N(J2699)&lt;0),"Prix invalide",IF(OR(AND(F2699&lt;&gt;"",NOT(ISNUMBER(F2699))),N(F2699)&lt;0,N(F2699)&gt;1),"Remise invalide",IF(K2699="","Taux de TVA manquant",IF(NOT(ISNUMBER(K2699)),"Taux de TVA invalide",IF(COUNTIF(p_rates,K2699)=0,"Taux de TVA hors liste (Paramètres)",IF(N(O2699)&gt;25,"Au-delà de 25 lignes : non imprimée","OK")))))))))))))</f>
        <v/>
      </c>
      <c r="O2699" s="59" t="str">
        <f>IF(A2699="","",COUNTIF($A$6:A2699,A2699))</f>
        <v/>
      </c>
      <c r="P2699" s="62" t="str">
        <f>IF(A2699="","",A2699&amp;"|"&amp;O2699)</f>
        <v/>
      </c>
    </row>
    <row r="2700">
      <c r="A2700" s="60" t="n"/>
      <c r="B2700" s="63" t="n"/>
      <c r="C2700" s="63" t="n"/>
      <c r="D2700" s="67" t="n"/>
      <c r="E2700" s="68" t="n"/>
      <c r="F2700" s="69" t="n"/>
      <c r="G2700" s="70" t="n"/>
      <c r="H2700" s="62" t="str">
        <f>IF(COUNTA(A2700:G2700)=0,"",IF(C2700&lt;&gt;"",C2700,IF(B2700="","",IFERROR(INDEX(pr_des,MATCH(B2700,pr_code,0))&amp;"",""))))</f>
        <v/>
      </c>
      <c r="I2700" s="59" t="str">
        <f>IF(B2700="","",IFERROR(INDEX(pr_unit,MATCH(B2700,pr_code,0))&amp;"",""))</f>
        <v/>
      </c>
      <c r="J2700" s="65" t="str">
        <f>IF(COUNTA(A2700:G2700)=0,"",IF(E2700&lt;&gt;"",E2700,IF(B2700="","",IFERROR(IF(INDEX(pr_price,MATCH(B2700,pr_code,0))="","",INDEX(pr_price,MATCH(B2700,pr_code,0))),""))))</f>
        <v/>
      </c>
      <c r="K2700" s="71" t="str">
        <f>IF(COUNTA(A2700:G2700)=0,"",IF(G2700&lt;&gt;"",G2700,IF(B2700="","",IFERROR(IF(INDEX(pr_rate,MATCH(B2700,pr_code,0))="","",INDEX(pr_rate,MATCH(B2700,pr_code,0))),""))))</f>
        <v/>
      </c>
      <c r="L2700" s="65" t="str">
        <f>IF(COUNTA(A2700:G2700)=0,"",IF(AND(ISNUMBER(D2700),ISNUMBER(J2700)),ROUND(D2700*J2700*(1-N(F2700)),2),0))</f>
        <v/>
      </c>
      <c r="M2700" s="62" t="str">
        <f>IF(A2700="","",IFERROR(INDEX(fa_cname,MATCH(A2700,fa_num,0))&amp;"",""))</f>
        <v/>
      </c>
      <c r="N2700" s="59" t="str">
        <f>IF(COUNTA(A2700:G2700)=0,"",IF(A2700="","N° facture manquant",IF(ISNA(MATCH(A2700,fa_num,0)),"Facture inconnue",IF(AND(B2700&lt;&gt;"",ISNA(MATCH(B2700,pr_code,0))),"Article inconnu",IF(H2700="","Désignation manquante",IF(OR(NOT(ISNUMBER(D2700)),N(D2700)&lt;=0),"Quantité invalide",IF(J2700="","Prix manquant",IF(OR(NOT(ISNUMBER(J2700)),N(J2700)&lt;0),"Prix invalide",IF(OR(AND(F2700&lt;&gt;"",NOT(ISNUMBER(F2700))),N(F2700)&lt;0,N(F2700)&gt;1),"Remise invalide",IF(K2700="","Taux de TVA manquant",IF(NOT(ISNUMBER(K2700)),"Taux de TVA invalide",IF(COUNTIF(p_rates,K2700)=0,"Taux de TVA hors liste (Paramètres)",IF(N(O2700)&gt;25,"Au-delà de 25 lignes : non imprimée","OK")))))))))))))</f>
        <v/>
      </c>
      <c r="O2700" s="59" t="str">
        <f>IF(A2700="","",COUNTIF($A$6:A2700,A2700))</f>
        <v/>
      </c>
      <c r="P2700" s="62" t="str">
        <f>IF(A2700="","",A2700&amp;"|"&amp;O2700)</f>
        <v/>
      </c>
    </row>
    <row r="2701">
      <c r="A2701" s="60" t="n"/>
      <c r="B2701" s="63" t="n"/>
      <c r="C2701" s="63" t="n"/>
      <c r="D2701" s="67" t="n"/>
      <c r="E2701" s="68" t="n"/>
      <c r="F2701" s="69" t="n"/>
      <c r="G2701" s="70" t="n"/>
      <c r="H2701" s="62" t="str">
        <f>IF(COUNTA(A2701:G2701)=0,"",IF(C2701&lt;&gt;"",C2701,IF(B2701="","",IFERROR(INDEX(pr_des,MATCH(B2701,pr_code,0))&amp;"",""))))</f>
        <v/>
      </c>
      <c r="I2701" s="59" t="str">
        <f>IF(B2701="","",IFERROR(INDEX(pr_unit,MATCH(B2701,pr_code,0))&amp;"",""))</f>
        <v/>
      </c>
      <c r="J2701" s="65" t="str">
        <f>IF(COUNTA(A2701:G2701)=0,"",IF(E2701&lt;&gt;"",E2701,IF(B2701="","",IFERROR(IF(INDEX(pr_price,MATCH(B2701,pr_code,0))="","",INDEX(pr_price,MATCH(B2701,pr_code,0))),""))))</f>
        <v/>
      </c>
      <c r="K2701" s="71" t="str">
        <f>IF(COUNTA(A2701:G2701)=0,"",IF(G2701&lt;&gt;"",G2701,IF(B2701="","",IFERROR(IF(INDEX(pr_rate,MATCH(B2701,pr_code,0))="","",INDEX(pr_rate,MATCH(B2701,pr_code,0))),""))))</f>
        <v/>
      </c>
      <c r="L2701" s="65" t="str">
        <f>IF(COUNTA(A2701:G2701)=0,"",IF(AND(ISNUMBER(D2701),ISNUMBER(J2701)),ROUND(D2701*J2701*(1-N(F2701)),2),0))</f>
        <v/>
      </c>
      <c r="M2701" s="62" t="str">
        <f>IF(A2701="","",IFERROR(INDEX(fa_cname,MATCH(A2701,fa_num,0))&amp;"",""))</f>
        <v/>
      </c>
      <c r="N2701" s="59" t="str">
        <f>IF(COUNTA(A2701:G2701)=0,"",IF(A2701="","N° facture manquant",IF(ISNA(MATCH(A2701,fa_num,0)),"Facture inconnue",IF(AND(B2701&lt;&gt;"",ISNA(MATCH(B2701,pr_code,0))),"Article inconnu",IF(H2701="","Désignation manquante",IF(OR(NOT(ISNUMBER(D2701)),N(D2701)&lt;=0),"Quantité invalide",IF(J2701="","Prix manquant",IF(OR(NOT(ISNUMBER(J2701)),N(J2701)&lt;0),"Prix invalide",IF(OR(AND(F2701&lt;&gt;"",NOT(ISNUMBER(F2701))),N(F2701)&lt;0,N(F2701)&gt;1),"Remise invalide",IF(K2701="","Taux de TVA manquant",IF(NOT(ISNUMBER(K2701)),"Taux de TVA invalide",IF(COUNTIF(p_rates,K2701)=0,"Taux de TVA hors liste (Paramètres)",IF(N(O2701)&gt;25,"Au-delà de 25 lignes : non imprimée","OK")))))))))))))</f>
        <v/>
      </c>
      <c r="O2701" s="59" t="str">
        <f>IF(A2701="","",COUNTIF($A$6:A2701,A2701))</f>
        <v/>
      </c>
      <c r="P2701" s="62" t="str">
        <f>IF(A2701="","",A2701&amp;"|"&amp;O2701)</f>
        <v/>
      </c>
    </row>
    <row r="2702">
      <c r="A2702" s="60" t="n"/>
      <c r="B2702" s="63" t="n"/>
      <c r="C2702" s="63" t="n"/>
      <c r="D2702" s="67" t="n"/>
      <c r="E2702" s="68" t="n"/>
      <c r="F2702" s="69" t="n"/>
      <c r="G2702" s="70" t="n"/>
      <c r="H2702" s="62" t="str">
        <f>IF(COUNTA(A2702:G2702)=0,"",IF(C2702&lt;&gt;"",C2702,IF(B2702="","",IFERROR(INDEX(pr_des,MATCH(B2702,pr_code,0))&amp;"",""))))</f>
        <v/>
      </c>
      <c r="I2702" s="59" t="str">
        <f>IF(B2702="","",IFERROR(INDEX(pr_unit,MATCH(B2702,pr_code,0))&amp;"",""))</f>
        <v/>
      </c>
      <c r="J2702" s="65" t="str">
        <f>IF(COUNTA(A2702:G2702)=0,"",IF(E2702&lt;&gt;"",E2702,IF(B2702="","",IFERROR(IF(INDEX(pr_price,MATCH(B2702,pr_code,0))="","",INDEX(pr_price,MATCH(B2702,pr_code,0))),""))))</f>
        <v/>
      </c>
      <c r="K2702" s="71" t="str">
        <f>IF(COUNTA(A2702:G2702)=0,"",IF(G2702&lt;&gt;"",G2702,IF(B2702="","",IFERROR(IF(INDEX(pr_rate,MATCH(B2702,pr_code,0))="","",INDEX(pr_rate,MATCH(B2702,pr_code,0))),""))))</f>
        <v/>
      </c>
      <c r="L2702" s="65" t="str">
        <f>IF(COUNTA(A2702:G2702)=0,"",IF(AND(ISNUMBER(D2702),ISNUMBER(J2702)),ROUND(D2702*J2702*(1-N(F2702)),2),0))</f>
        <v/>
      </c>
      <c r="M2702" s="62" t="str">
        <f>IF(A2702="","",IFERROR(INDEX(fa_cname,MATCH(A2702,fa_num,0))&amp;"",""))</f>
        <v/>
      </c>
      <c r="N2702" s="59" t="str">
        <f>IF(COUNTA(A2702:G2702)=0,"",IF(A2702="","N° facture manquant",IF(ISNA(MATCH(A2702,fa_num,0)),"Facture inconnue",IF(AND(B2702&lt;&gt;"",ISNA(MATCH(B2702,pr_code,0))),"Article inconnu",IF(H2702="","Désignation manquante",IF(OR(NOT(ISNUMBER(D2702)),N(D2702)&lt;=0),"Quantité invalide",IF(J2702="","Prix manquant",IF(OR(NOT(ISNUMBER(J2702)),N(J2702)&lt;0),"Prix invalide",IF(OR(AND(F2702&lt;&gt;"",NOT(ISNUMBER(F2702))),N(F2702)&lt;0,N(F2702)&gt;1),"Remise invalide",IF(K2702="","Taux de TVA manquant",IF(NOT(ISNUMBER(K2702)),"Taux de TVA invalide",IF(COUNTIF(p_rates,K2702)=0,"Taux de TVA hors liste (Paramètres)",IF(N(O2702)&gt;25,"Au-delà de 25 lignes : non imprimée","OK")))))))))))))</f>
        <v/>
      </c>
      <c r="O2702" s="59" t="str">
        <f>IF(A2702="","",COUNTIF($A$6:A2702,A2702))</f>
        <v/>
      </c>
      <c r="P2702" s="62" t="str">
        <f>IF(A2702="","",A2702&amp;"|"&amp;O2702)</f>
        <v/>
      </c>
    </row>
    <row r="2703">
      <c r="A2703" s="60" t="n"/>
      <c r="B2703" s="63" t="n"/>
      <c r="C2703" s="63" t="n"/>
      <c r="D2703" s="67" t="n"/>
      <c r="E2703" s="68" t="n"/>
      <c r="F2703" s="69" t="n"/>
      <c r="G2703" s="70" t="n"/>
      <c r="H2703" s="62" t="str">
        <f>IF(COUNTA(A2703:G2703)=0,"",IF(C2703&lt;&gt;"",C2703,IF(B2703="","",IFERROR(INDEX(pr_des,MATCH(B2703,pr_code,0))&amp;"",""))))</f>
        <v/>
      </c>
      <c r="I2703" s="59" t="str">
        <f>IF(B2703="","",IFERROR(INDEX(pr_unit,MATCH(B2703,pr_code,0))&amp;"",""))</f>
        <v/>
      </c>
      <c r="J2703" s="65" t="str">
        <f>IF(COUNTA(A2703:G2703)=0,"",IF(E2703&lt;&gt;"",E2703,IF(B2703="","",IFERROR(IF(INDEX(pr_price,MATCH(B2703,pr_code,0))="","",INDEX(pr_price,MATCH(B2703,pr_code,0))),""))))</f>
        <v/>
      </c>
      <c r="K2703" s="71" t="str">
        <f>IF(COUNTA(A2703:G2703)=0,"",IF(G2703&lt;&gt;"",G2703,IF(B2703="","",IFERROR(IF(INDEX(pr_rate,MATCH(B2703,pr_code,0))="","",INDEX(pr_rate,MATCH(B2703,pr_code,0))),""))))</f>
        <v/>
      </c>
      <c r="L2703" s="65" t="str">
        <f>IF(COUNTA(A2703:G2703)=0,"",IF(AND(ISNUMBER(D2703),ISNUMBER(J2703)),ROUND(D2703*J2703*(1-N(F2703)),2),0))</f>
        <v/>
      </c>
      <c r="M2703" s="62" t="str">
        <f>IF(A2703="","",IFERROR(INDEX(fa_cname,MATCH(A2703,fa_num,0))&amp;"",""))</f>
        <v/>
      </c>
      <c r="N2703" s="59" t="str">
        <f>IF(COUNTA(A2703:G2703)=0,"",IF(A2703="","N° facture manquant",IF(ISNA(MATCH(A2703,fa_num,0)),"Facture inconnue",IF(AND(B2703&lt;&gt;"",ISNA(MATCH(B2703,pr_code,0))),"Article inconnu",IF(H2703="","Désignation manquante",IF(OR(NOT(ISNUMBER(D2703)),N(D2703)&lt;=0),"Quantité invalide",IF(J2703="","Prix manquant",IF(OR(NOT(ISNUMBER(J2703)),N(J2703)&lt;0),"Prix invalide",IF(OR(AND(F2703&lt;&gt;"",NOT(ISNUMBER(F2703))),N(F2703)&lt;0,N(F2703)&gt;1),"Remise invalide",IF(K2703="","Taux de TVA manquant",IF(NOT(ISNUMBER(K2703)),"Taux de TVA invalide",IF(COUNTIF(p_rates,K2703)=0,"Taux de TVA hors liste (Paramètres)",IF(N(O2703)&gt;25,"Au-delà de 25 lignes : non imprimée","OK")))))))))))))</f>
        <v/>
      </c>
      <c r="O2703" s="59" t="str">
        <f>IF(A2703="","",COUNTIF($A$6:A2703,A2703))</f>
        <v/>
      </c>
      <c r="P2703" s="62" t="str">
        <f>IF(A2703="","",A2703&amp;"|"&amp;O2703)</f>
        <v/>
      </c>
    </row>
    <row r="2704">
      <c r="A2704" s="60" t="n"/>
      <c r="B2704" s="63" t="n"/>
      <c r="C2704" s="63" t="n"/>
      <c r="D2704" s="67" t="n"/>
      <c r="E2704" s="68" t="n"/>
      <c r="F2704" s="69" t="n"/>
      <c r="G2704" s="70" t="n"/>
      <c r="H2704" s="62" t="str">
        <f>IF(COUNTA(A2704:G2704)=0,"",IF(C2704&lt;&gt;"",C2704,IF(B2704="","",IFERROR(INDEX(pr_des,MATCH(B2704,pr_code,0))&amp;"",""))))</f>
        <v/>
      </c>
      <c r="I2704" s="59" t="str">
        <f>IF(B2704="","",IFERROR(INDEX(pr_unit,MATCH(B2704,pr_code,0))&amp;"",""))</f>
        <v/>
      </c>
      <c r="J2704" s="65" t="str">
        <f>IF(COUNTA(A2704:G2704)=0,"",IF(E2704&lt;&gt;"",E2704,IF(B2704="","",IFERROR(IF(INDEX(pr_price,MATCH(B2704,pr_code,0))="","",INDEX(pr_price,MATCH(B2704,pr_code,0))),""))))</f>
        <v/>
      </c>
      <c r="K2704" s="71" t="str">
        <f>IF(COUNTA(A2704:G2704)=0,"",IF(G2704&lt;&gt;"",G2704,IF(B2704="","",IFERROR(IF(INDEX(pr_rate,MATCH(B2704,pr_code,0))="","",INDEX(pr_rate,MATCH(B2704,pr_code,0))),""))))</f>
        <v/>
      </c>
      <c r="L2704" s="65" t="str">
        <f>IF(COUNTA(A2704:G2704)=0,"",IF(AND(ISNUMBER(D2704),ISNUMBER(J2704)),ROUND(D2704*J2704*(1-N(F2704)),2),0))</f>
        <v/>
      </c>
      <c r="M2704" s="62" t="str">
        <f>IF(A2704="","",IFERROR(INDEX(fa_cname,MATCH(A2704,fa_num,0))&amp;"",""))</f>
        <v/>
      </c>
      <c r="N2704" s="59" t="str">
        <f>IF(COUNTA(A2704:G2704)=0,"",IF(A2704="","N° facture manquant",IF(ISNA(MATCH(A2704,fa_num,0)),"Facture inconnue",IF(AND(B2704&lt;&gt;"",ISNA(MATCH(B2704,pr_code,0))),"Article inconnu",IF(H2704="","Désignation manquante",IF(OR(NOT(ISNUMBER(D2704)),N(D2704)&lt;=0),"Quantité invalide",IF(J2704="","Prix manquant",IF(OR(NOT(ISNUMBER(J2704)),N(J2704)&lt;0),"Prix invalide",IF(OR(AND(F2704&lt;&gt;"",NOT(ISNUMBER(F2704))),N(F2704)&lt;0,N(F2704)&gt;1),"Remise invalide",IF(K2704="","Taux de TVA manquant",IF(NOT(ISNUMBER(K2704)),"Taux de TVA invalide",IF(COUNTIF(p_rates,K2704)=0,"Taux de TVA hors liste (Paramètres)",IF(N(O2704)&gt;25,"Au-delà de 25 lignes : non imprimée","OK")))))))))))))</f>
        <v/>
      </c>
      <c r="O2704" s="59" t="str">
        <f>IF(A2704="","",COUNTIF($A$6:A2704,A2704))</f>
        <v/>
      </c>
      <c r="P2704" s="62" t="str">
        <f>IF(A2704="","",A2704&amp;"|"&amp;O2704)</f>
        <v/>
      </c>
    </row>
    <row r="2705">
      <c r="A2705" s="60" t="n"/>
      <c r="B2705" s="63" t="n"/>
      <c r="C2705" s="63" t="n"/>
      <c r="D2705" s="67" t="n"/>
      <c r="E2705" s="68" t="n"/>
      <c r="F2705" s="69" t="n"/>
      <c r="G2705" s="70" t="n"/>
      <c r="H2705" s="62" t="str">
        <f>IF(COUNTA(A2705:G2705)=0,"",IF(C2705&lt;&gt;"",C2705,IF(B2705="","",IFERROR(INDEX(pr_des,MATCH(B2705,pr_code,0))&amp;"",""))))</f>
        <v/>
      </c>
      <c r="I2705" s="59" t="str">
        <f>IF(B2705="","",IFERROR(INDEX(pr_unit,MATCH(B2705,pr_code,0))&amp;"",""))</f>
        <v/>
      </c>
      <c r="J2705" s="65" t="str">
        <f>IF(COUNTA(A2705:G2705)=0,"",IF(E2705&lt;&gt;"",E2705,IF(B2705="","",IFERROR(IF(INDEX(pr_price,MATCH(B2705,pr_code,0))="","",INDEX(pr_price,MATCH(B2705,pr_code,0))),""))))</f>
        <v/>
      </c>
      <c r="K2705" s="71" t="str">
        <f>IF(COUNTA(A2705:G2705)=0,"",IF(G2705&lt;&gt;"",G2705,IF(B2705="","",IFERROR(IF(INDEX(pr_rate,MATCH(B2705,pr_code,0))="","",INDEX(pr_rate,MATCH(B2705,pr_code,0))),""))))</f>
        <v/>
      </c>
      <c r="L2705" s="65" t="str">
        <f>IF(COUNTA(A2705:G2705)=0,"",IF(AND(ISNUMBER(D2705),ISNUMBER(J2705)),ROUND(D2705*J2705*(1-N(F2705)),2),0))</f>
        <v/>
      </c>
      <c r="M2705" s="62" t="str">
        <f>IF(A2705="","",IFERROR(INDEX(fa_cname,MATCH(A2705,fa_num,0))&amp;"",""))</f>
        <v/>
      </c>
      <c r="N2705" s="59" t="str">
        <f>IF(COUNTA(A2705:G2705)=0,"",IF(A2705="","N° facture manquant",IF(ISNA(MATCH(A2705,fa_num,0)),"Facture inconnue",IF(AND(B2705&lt;&gt;"",ISNA(MATCH(B2705,pr_code,0))),"Article inconnu",IF(H2705="","Désignation manquante",IF(OR(NOT(ISNUMBER(D2705)),N(D2705)&lt;=0),"Quantité invalide",IF(J2705="","Prix manquant",IF(OR(NOT(ISNUMBER(J2705)),N(J2705)&lt;0),"Prix invalide",IF(OR(AND(F2705&lt;&gt;"",NOT(ISNUMBER(F2705))),N(F2705)&lt;0,N(F2705)&gt;1),"Remise invalide",IF(K2705="","Taux de TVA manquant",IF(NOT(ISNUMBER(K2705)),"Taux de TVA invalide",IF(COUNTIF(p_rates,K2705)=0,"Taux de TVA hors liste (Paramètres)",IF(N(O2705)&gt;25,"Au-delà de 25 lignes : non imprimée","OK")))))))))))))</f>
        <v/>
      </c>
      <c r="O2705" s="59" t="str">
        <f>IF(A2705="","",COUNTIF($A$6:A2705,A2705))</f>
        <v/>
      </c>
      <c r="P2705" s="62" t="str">
        <f>IF(A2705="","",A2705&amp;"|"&amp;O2705)</f>
        <v/>
      </c>
    </row>
    <row r="2706">
      <c r="A2706" s="60" t="n"/>
      <c r="B2706" s="63" t="n"/>
      <c r="C2706" s="63" t="n"/>
      <c r="D2706" s="67" t="n"/>
      <c r="E2706" s="68" t="n"/>
      <c r="F2706" s="69" t="n"/>
      <c r="G2706" s="70" t="n"/>
      <c r="H2706" s="62" t="str">
        <f>IF(COUNTA(A2706:G2706)=0,"",IF(C2706&lt;&gt;"",C2706,IF(B2706="","",IFERROR(INDEX(pr_des,MATCH(B2706,pr_code,0))&amp;"",""))))</f>
        <v/>
      </c>
      <c r="I2706" s="59" t="str">
        <f>IF(B2706="","",IFERROR(INDEX(pr_unit,MATCH(B2706,pr_code,0))&amp;"",""))</f>
        <v/>
      </c>
      <c r="J2706" s="65" t="str">
        <f>IF(COUNTA(A2706:G2706)=0,"",IF(E2706&lt;&gt;"",E2706,IF(B2706="","",IFERROR(IF(INDEX(pr_price,MATCH(B2706,pr_code,0))="","",INDEX(pr_price,MATCH(B2706,pr_code,0))),""))))</f>
        <v/>
      </c>
      <c r="K2706" s="71" t="str">
        <f>IF(COUNTA(A2706:G2706)=0,"",IF(G2706&lt;&gt;"",G2706,IF(B2706="","",IFERROR(IF(INDEX(pr_rate,MATCH(B2706,pr_code,0))="","",INDEX(pr_rate,MATCH(B2706,pr_code,0))),""))))</f>
        <v/>
      </c>
      <c r="L2706" s="65" t="str">
        <f>IF(COUNTA(A2706:G2706)=0,"",IF(AND(ISNUMBER(D2706),ISNUMBER(J2706)),ROUND(D2706*J2706*(1-N(F2706)),2),0))</f>
        <v/>
      </c>
      <c r="M2706" s="62" t="str">
        <f>IF(A2706="","",IFERROR(INDEX(fa_cname,MATCH(A2706,fa_num,0))&amp;"",""))</f>
        <v/>
      </c>
      <c r="N2706" s="59" t="str">
        <f>IF(COUNTA(A2706:G2706)=0,"",IF(A2706="","N° facture manquant",IF(ISNA(MATCH(A2706,fa_num,0)),"Facture inconnue",IF(AND(B2706&lt;&gt;"",ISNA(MATCH(B2706,pr_code,0))),"Article inconnu",IF(H2706="","Désignation manquante",IF(OR(NOT(ISNUMBER(D2706)),N(D2706)&lt;=0),"Quantité invalide",IF(J2706="","Prix manquant",IF(OR(NOT(ISNUMBER(J2706)),N(J2706)&lt;0),"Prix invalide",IF(OR(AND(F2706&lt;&gt;"",NOT(ISNUMBER(F2706))),N(F2706)&lt;0,N(F2706)&gt;1),"Remise invalide",IF(K2706="","Taux de TVA manquant",IF(NOT(ISNUMBER(K2706)),"Taux de TVA invalide",IF(COUNTIF(p_rates,K2706)=0,"Taux de TVA hors liste (Paramètres)",IF(N(O2706)&gt;25,"Au-delà de 25 lignes : non imprimée","OK")))))))))))))</f>
        <v/>
      </c>
      <c r="O2706" s="59" t="str">
        <f>IF(A2706="","",COUNTIF($A$6:A2706,A2706))</f>
        <v/>
      </c>
      <c r="P2706" s="62" t="str">
        <f>IF(A2706="","",A2706&amp;"|"&amp;O2706)</f>
        <v/>
      </c>
    </row>
    <row r="2707">
      <c r="A2707" s="60" t="n"/>
      <c r="B2707" s="63" t="n"/>
      <c r="C2707" s="63" t="n"/>
      <c r="D2707" s="67" t="n"/>
      <c r="E2707" s="68" t="n"/>
      <c r="F2707" s="69" t="n"/>
      <c r="G2707" s="70" t="n"/>
      <c r="H2707" s="62" t="str">
        <f>IF(COUNTA(A2707:G2707)=0,"",IF(C2707&lt;&gt;"",C2707,IF(B2707="","",IFERROR(INDEX(pr_des,MATCH(B2707,pr_code,0))&amp;"",""))))</f>
        <v/>
      </c>
      <c r="I2707" s="59" t="str">
        <f>IF(B2707="","",IFERROR(INDEX(pr_unit,MATCH(B2707,pr_code,0))&amp;"",""))</f>
        <v/>
      </c>
      <c r="J2707" s="65" t="str">
        <f>IF(COUNTA(A2707:G2707)=0,"",IF(E2707&lt;&gt;"",E2707,IF(B2707="","",IFERROR(IF(INDEX(pr_price,MATCH(B2707,pr_code,0))="","",INDEX(pr_price,MATCH(B2707,pr_code,0))),""))))</f>
        <v/>
      </c>
      <c r="K2707" s="71" t="str">
        <f>IF(COUNTA(A2707:G2707)=0,"",IF(G2707&lt;&gt;"",G2707,IF(B2707="","",IFERROR(IF(INDEX(pr_rate,MATCH(B2707,pr_code,0))="","",INDEX(pr_rate,MATCH(B2707,pr_code,0))),""))))</f>
        <v/>
      </c>
      <c r="L2707" s="65" t="str">
        <f>IF(COUNTA(A2707:G2707)=0,"",IF(AND(ISNUMBER(D2707),ISNUMBER(J2707)),ROUND(D2707*J2707*(1-N(F2707)),2),0))</f>
        <v/>
      </c>
      <c r="M2707" s="62" t="str">
        <f>IF(A2707="","",IFERROR(INDEX(fa_cname,MATCH(A2707,fa_num,0))&amp;"",""))</f>
        <v/>
      </c>
      <c r="N2707" s="59" t="str">
        <f>IF(COUNTA(A2707:G2707)=0,"",IF(A2707="","N° facture manquant",IF(ISNA(MATCH(A2707,fa_num,0)),"Facture inconnue",IF(AND(B2707&lt;&gt;"",ISNA(MATCH(B2707,pr_code,0))),"Article inconnu",IF(H2707="","Désignation manquante",IF(OR(NOT(ISNUMBER(D2707)),N(D2707)&lt;=0),"Quantité invalide",IF(J2707="","Prix manquant",IF(OR(NOT(ISNUMBER(J2707)),N(J2707)&lt;0),"Prix invalide",IF(OR(AND(F2707&lt;&gt;"",NOT(ISNUMBER(F2707))),N(F2707)&lt;0,N(F2707)&gt;1),"Remise invalide",IF(K2707="","Taux de TVA manquant",IF(NOT(ISNUMBER(K2707)),"Taux de TVA invalide",IF(COUNTIF(p_rates,K2707)=0,"Taux de TVA hors liste (Paramètres)",IF(N(O2707)&gt;25,"Au-delà de 25 lignes : non imprimée","OK")))))))))))))</f>
        <v/>
      </c>
      <c r="O2707" s="59" t="str">
        <f>IF(A2707="","",COUNTIF($A$6:A2707,A2707))</f>
        <v/>
      </c>
      <c r="P2707" s="62" t="str">
        <f>IF(A2707="","",A2707&amp;"|"&amp;O2707)</f>
        <v/>
      </c>
    </row>
    <row r="2708">
      <c r="A2708" s="60" t="n"/>
      <c r="B2708" s="63" t="n"/>
      <c r="C2708" s="63" t="n"/>
      <c r="D2708" s="67" t="n"/>
      <c r="E2708" s="68" t="n"/>
      <c r="F2708" s="69" t="n"/>
      <c r="G2708" s="70" t="n"/>
      <c r="H2708" s="62" t="str">
        <f>IF(COUNTA(A2708:G2708)=0,"",IF(C2708&lt;&gt;"",C2708,IF(B2708="","",IFERROR(INDEX(pr_des,MATCH(B2708,pr_code,0))&amp;"",""))))</f>
        <v/>
      </c>
      <c r="I2708" s="59" t="str">
        <f>IF(B2708="","",IFERROR(INDEX(pr_unit,MATCH(B2708,pr_code,0))&amp;"",""))</f>
        <v/>
      </c>
      <c r="J2708" s="65" t="str">
        <f>IF(COUNTA(A2708:G2708)=0,"",IF(E2708&lt;&gt;"",E2708,IF(B2708="","",IFERROR(IF(INDEX(pr_price,MATCH(B2708,pr_code,0))="","",INDEX(pr_price,MATCH(B2708,pr_code,0))),""))))</f>
        <v/>
      </c>
      <c r="K2708" s="71" t="str">
        <f>IF(COUNTA(A2708:G2708)=0,"",IF(G2708&lt;&gt;"",G2708,IF(B2708="","",IFERROR(IF(INDEX(pr_rate,MATCH(B2708,pr_code,0))="","",INDEX(pr_rate,MATCH(B2708,pr_code,0))),""))))</f>
        <v/>
      </c>
      <c r="L2708" s="65" t="str">
        <f>IF(COUNTA(A2708:G2708)=0,"",IF(AND(ISNUMBER(D2708),ISNUMBER(J2708)),ROUND(D2708*J2708*(1-N(F2708)),2),0))</f>
        <v/>
      </c>
      <c r="M2708" s="62" t="str">
        <f>IF(A2708="","",IFERROR(INDEX(fa_cname,MATCH(A2708,fa_num,0))&amp;"",""))</f>
        <v/>
      </c>
      <c r="N2708" s="59" t="str">
        <f>IF(COUNTA(A2708:G2708)=0,"",IF(A2708="","N° facture manquant",IF(ISNA(MATCH(A2708,fa_num,0)),"Facture inconnue",IF(AND(B2708&lt;&gt;"",ISNA(MATCH(B2708,pr_code,0))),"Article inconnu",IF(H2708="","Désignation manquante",IF(OR(NOT(ISNUMBER(D2708)),N(D2708)&lt;=0),"Quantité invalide",IF(J2708="","Prix manquant",IF(OR(NOT(ISNUMBER(J2708)),N(J2708)&lt;0),"Prix invalide",IF(OR(AND(F2708&lt;&gt;"",NOT(ISNUMBER(F2708))),N(F2708)&lt;0,N(F2708)&gt;1),"Remise invalide",IF(K2708="","Taux de TVA manquant",IF(NOT(ISNUMBER(K2708)),"Taux de TVA invalide",IF(COUNTIF(p_rates,K2708)=0,"Taux de TVA hors liste (Paramètres)",IF(N(O2708)&gt;25,"Au-delà de 25 lignes : non imprimée","OK")))))))))))))</f>
        <v/>
      </c>
      <c r="O2708" s="59" t="str">
        <f>IF(A2708="","",COUNTIF($A$6:A2708,A2708))</f>
        <v/>
      </c>
      <c r="P2708" s="62" t="str">
        <f>IF(A2708="","",A2708&amp;"|"&amp;O2708)</f>
        <v/>
      </c>
    </row>
    <row r="2709">
      <c r="A2709" s="60" t="n"/>
      <c r="B2709" s="63" t="n"/>
      <c r="C2709" s="63" t="n"/>
      <c r="D2709" s="67" t="n"/>
      <c r="E2709" s="68" t="n"/>
      <c r="F2709" s="69" t="n"/>
      <c r="G2709" s="70" t="n"/>
      <c r="H2709" s="62" t="str">
        <f>IF(COUNTA(A2709:G2709)=0,"",IF(C2709&lt;&gt;"",C2709,IF(B2709="","",IFERROR(INDEX(pr_des,MATCH(B2709,pr_code,0))&amp;"",""))))</f>
        <v/>
      </c>
      <c r="I2709" s="59" t="str">
        <f>IF(B2709="","",IFERROR(INDEX(pr_unit,MATCH(B2709,pr_code,0))&amp;"",""))</f>
        <v/>
      </c>
      <c r="J2709" s="65" t="str">
        <f>IF(COUNTA(A2709:G2709)=0,"",IF(E2709&lt;&gt;"",E2709,IF(B2709="","",IFERROR(IF(INDEX(pr_price,MATCH(B2709,pr_code,0))="","",INDEX(pr_price,MATCH(B2709,pr_code,0))),""))))</f>
        <v/>
      </c>
      <c r="K2709" s="71" t="str">
        <f>IF(COUNTA(A2709:G2709)=0,"",IF(G2709&lt;&gt;"",G2709,IF(B2709="","",IFERROR(IF(INDEX(pr_rate,MATCH(B2709,pr_code,0))="","",INDEX(pr_rate,MATCH(B2709,pr_code,0))),""))))</f>
        <v/>
      </c>
      <c r="L2709" s="65" t="str">
        <f>IF(COUNTA(A2709:G2709)=0,"",IF(AND(ISNUMBER(D2709),ISNUMBER(J2709)),ROUND(D2709*J2709*(1-N(F2709)),2),0))</f>
        <v/>
      </c>
      <c r="M2709" s="62" t="str">
        <f>IF(A2709="","",IFERROR(INDEX(fa_cname,MATCH(A2709,fa_num,0))&amp;"",""))</f>
        <v/>
      </c>
      <c r="N2709" s="59" t="str">
        <f>IF(COUNTA(A2709:G2709)=0,"",IF(A2709="","N° facture manquant",IF(ISNA(MATCH(A2709,fa_num,0)),"Facture inconnue",IF(AND(B2709&lt;&gt;"",ISNA(MATCH(B2709,pr_code,0))),"Article inconnu",IF(H2709="","Désignation manquante",IF(OR(NOT(ISNUMBER(D2709)),N(D2709)&lt;=0),"Quantité invalide",IF(J2709="","Prix manquant",IF(OR(NOT(ISNUMBER(J2709)),N(J2709)&lt;0),"Prix invalide",IF(OR(AND(F2709&lt;&gt;"",NOT(ISNUMBER(F2709))),N(F2709)&lt;0,N(F2709)&gt;1),"Remise invalide",IF(K2709="","Taux de TVA manquant",IF(NOT(ISNUMBER(K2709)),"Taux de TVA invalide",IF(COUNTIF(p_rates,K2709)=0,"Taux de TVA hors liste (Paramètres)",IF(N(O2709)&gt;25,"Au-delà de 25 lignes : non imprimée","OK")))))))))))))</f>
        <v/>
      </c>
      <c r="O2709" s="59" t="str">
        <f>IF(A2709="","",COUNTIF($A$6:A2709,A2709))</f>
        <v/>
      </c>
      <c r="P2709" s="62" t="str">
        <f>IF(A2709="","",A2709&amp;"|"&amp;O2709)</f>
        <v/>
      </c>
    </row>
    <row r="2710">
      <c r="A2710" s="60" t="n"/>
      <c r="B2710" s="63" t="n"/>
      <c r="C2710" s="63" t="n"/>
      <c r="D2710" s="67" t="n"/>
      <c r="E2710" s="68" t="n"/>
      <c r="F2710" s="69" t="n"/>
      <c r="G2710" s="70" t="n"/>
      <c r="H2710" s="62" t="str">
        <f>IF(COUNTA(A2710:G2710)=0,"",IF(C2710&lt;&gt;"",C2710,IF(B2710="","",IFERROR(INDEX(pr_des,MATCH(B2710,pr_code,0))&amp;"",""))))</f>
        <v/>
      </c>
      <c r="I2710" s="59" t="str">
        <f>IF(B2710="","",IFERROR(INDEX(pr_unit,MATCH(B2710,pr_code,0))&amp;"",""))</f>
        <v/>
      </c>
      <c r="J2710" s="65" t="str">
        <f>IF(COUNTA(A2710:G2710)=0,"",IF(E2710&lt;&gt;"",E2710,IF(B2710="","",IFERROR(IF(INDEX(pr_price,MATCH(B2710,pr_code,0))="","",INDEX(pr_price,MATCH(B2710,pr_code,0))),""))))</f>
        <v/>
      </c>
      <c r="K2710" s="71" t="str">
        <f>IF(COUNTA(A2710:G2710)=0,"",IF(G2710&lt;&gt;"",G2710,IF(B2710="","",IFERROR(IF(INDEX(pr_rate,MATCH(B2710,pr_code,0))="","",INDEX(pr_rate,MATCH(B2710,pr_code,0))),""))))</f>
        <v/>
      </c>
      <c r="L2710" s="65" t="str">
        <f>IF(COUNTA(A2710:G2710)=0,"",IF(AND(ISNUMBER(D2710),ISNUMBER(J2710)),ROUND(D2710*J2710*(1-N(F2710)),2),0))</f>
        <v/>
      </c>
      <c r="M2710" s="62" t="str">
        <f>IF(A2710="","",IFERROR(INDEX(fa_cname,MATCH(A2710,fa_num,0))&amp;"",""))</f>
        <v/>
      </c>
      <c r="N2710" s="59" t="str">
        <f>IF(COUNTA(A2710:G2710)=0,"",IF(A2710="","N° facture manquant",IF(ISNA(MATCH(A2710,fa_num,0)),"Facture inconnue",IF(AND(B2710&lt;&gt;"",ISNA(MATCH(B2710,pr_code,0))),"Article inconnu",IF(H2710="","Désignation manquante",IF(OR(NOT(ISNUMBER(D2710)),N(D2710)&lt;=0),"Quantité invalide",IF(J2710="","Prix manquant",IF(OR(NOT(ISNUMBER(J2710)),N(J2710)&lt;0),"Prix invalide",IF(OR(AND(F2710&lt;&gt;"",NOT(ISNUMBER(F2710))),N(F2710)&lt;0,N(F2710)&gt;1),"Remise invalide",IF(K2710="","Taux de TVA manquant",IF(NOT(ISNUMBER(K2710)),"Taux de TVA invalide",IF(COUNTIF(p_rates,K2710)=0,"Taux de TVA hors liste (Paramètres)",IF(N(O2710)&gt;25,"Au-delà de 25 lignes : non imprimée","OK")))))))))))))</f>
        <v/>
      </c>
      <c r="O2710" s="59" t="str">
        <f>IF(A2710="","",COUNTIF($A$6:A2710,A2710))</f>
        <v/>
      </c>
      <c r="P2710" s="62" t="str">
        <f>IF(A2710="","",A2710&amp;"|"&amp;O2710)</f>
        <v/>
      </c>
    </row>
    <row r="2711">
      <c r="A2711" s="60" t="n"/>
      <c r="B2711" s="63" t="n"/>
      <c r="C2711" s="63" t="n"/>
      <c r="D2711" s="67" t="n"/>
      <c r="E2711" s="68" t="n"/>
      <c r="F2711" s="69" t="n"/>
      <c r="G2711" s="70" t="n"/>
      <c r="H2711" s="62" t="str">
        <f>IF(COUNTA(A2711:G2711)=0,"",IF(C2711&lt;&gt;"",C2711,IF(B2711="","",IFERROR(INDEX(pr_des,MATCH(B2711,pr_code,0))&amp;"",""))))</f>
        <v/>
      </c>
      <c r="I2711" s="59" t="str">
        <f>IF(B2711="","",IFERROR(INDEX(pr_unit,MATCH(B2711,pr_code,0))&amp;"",""))</f>
        <v/>
      </c>
      <c r="J2711" s="65" t="str">
        <f>IF(COUNTA(A2711:G2711)=0,"",IF(E2711&lt;&gt;"",E2711,IF(B2711="","",IFERROR(IF(INDEX(pr_price,MATCH(B2711,pr_code,0))="","",INDEX(pr_price,MATCH(B2711,pr_code,0))),""))))</f>
        <v/>
      </c>
      <c r="K2711" s="71" t="str">
        <f>IF(COUNTA(A2711:G2711)=0,"",IF(G2711&lt;&gt;"",G2711,IF(B2711="","",IFERROR(IF(INDEX(pr_rate,MATCH(B2711,pr_code,0))="","",INDEX(pr_rate,MATCH(B2711,pr_code,0))),""))))</f>
        <v/>
      </c>
      <c r="L2711" s="65" t="str">
        <f>IF(COUNTA(A2711:G2711)=0,"",IF(AND(ISNUMBER(D2711),ISNUMBER(J2711)),ROUND(D2711*J2711*(1-N(F2711)),2),0))</f>
        <v/>
      </c>
      <c r="M2711" s="62" t="str">
        <f>IF(A2711="","",IFERROR(INDEX(fa_cname,MATCH(A2711,fa_num,0))&amp;"",""))</f>
        <v/>
      </c>
      <c r="N2711" s="59" t="str">
        <f>IF(COUNTA(A2711:G2711)=0,"",IF(A2711="","N° facture manquant",IF(ISNA(MATCH(A2711,fa_num,0)),"Facture inconnue",IF(AND(B2711&lt;&gt;"",ISNA(MATCH(B2711,pr_code,0))),"Article inconnu",IF(H2711="","Désignation manquante",IF(OR(NOT(ISNUMBER(D2711)),N(D2711)&lt;=0),"Quantité invalide",IF(J2711="","Prix manquant",IF(OR(NOT(ISNUMBER(J2711)),N(J2711)&lt;0),"Prix invalide",IF(OR(AND(F2711&lt;&gt;"",NOT(ISNUMBER(F2711))),N(F2711)&lt;0,N(F2711)&gt;1),"Remise invalide",IF(K2711="","Taux de TVA manquant",IF(NOT(ISNUMBER(K2711)),"Taux de TVA invalide",IF(COUNTIF(p_rates,K2711)=0,"Taux de TVA hors liste (Paramètres)",IF(N(O2711)&gt;25,"Au-delà de 25 lignes : non imprimée","OK")))))))))))))</f>
        <v/>
      </c>
      <c r="O2711" s="59" t="str">
        <f>IF(A2711="","",COUNTIF($A$6:A2711,A2711))</f>
        <v/>
      </c>
      <c r="P2711" s="62" t="str">
        <f>IF(A2711="","",A2711&amp;"|"&amp;O2711)</f>
        <v/>
      </c>
    </row>
    <row r="2712">
      <c r="A2712" s="60" t="n"/>
      <c r="B2712" s="63" t="n"/>
      <c r="C2712" s="63" t="n"/>
      <c r="D2712" s="67" t="n"/>
      <c r="E2712" s="68" t="n"/>
      <c r="F2712" s="69" t="n"/>
      <c r="G2712" s="70" t="n"/>
      <c r="H2712" s="62" t="str">
        <f>IF(COUNTA(A2712:G2712)=0,"",IF(C2712&lt;&gt;"",C2712,IF(B2712="","",IFERROR(INDEX(pr_des,MATCH(B2712,pr_code,0))&amp;"",""))))</f>
        <v/>
      </c>
      <c r="I2712" s="59" t="str">
        <f>IF(B2712="","",IFERROR(INDEX(pr_unit,MATCH(B2712,pr_code,0))&amp;"",""))</f>
        <v/>
      </c>
      <c r="J2712" s="65" t="str">
        <f>IF(COUNTA(A2712:G2712)=0,"",IF(E2712&lt;&gt;"",E2712,IF(B2712="","",IFERROR(IF(INDEX(pr_price,MATCH(B2712,pr_code,0))="","",INDEX(pr_price,MATCH(B2712,pr_code,0))),""))))</f>
        <v/>
      </c>
      <c r="K2712" s="71" t="str">
        <f>IF(COUNTA(A2712:G2712)=0,"",IF(G2712&lt;&gt;"",G2712,IF(B2712="","",IFERROR(IF(INDEX(pr_rate,MATCH(B2712,pr_code,0))="","",INDEX(pr_rate,MATCH(B2712,pr_code,0))),""))))</f>
        <v/>
      </c>
      <c r="L2712" s="65" t="str">
        <f>IF(COUNTA(A2712:G2712)=0,"",IF(AND(ISNUMBER(D2712),ISNUMBER(J2712)),ROUND(D2712*J2712*(1-N(F2712)),2),0))</f>
        <v/>
      </c>
      <c r="M2712" s="62" t="str">
        <f>IF(A2712="","",IFERROR(INDEX(fa_cname,MATCH(A2712,fa_num,0))&amp;"",""))</f>
        <v/>
      </c>
      <c r="N2712" s="59" t="str">
        <f>IF(COUNTA(A2712:G2712)=0,"",IF(A2712="","N° facture manquant",IF(ISNA(MATCH(A2712,fa_num,0)),"Facture inconnue",IF(AND(B2712&lt;&gt;"",ISNA(MATCH(B2712,pr_code,0))),"Article inconnu",IF(H2712="","Désignation manquante",IF(OR(NOT(ISNUMBER(D2712)),N(D2712)&lt;=0),"Quantité invalide",IF(J2712="","Prix manquant",IF(OR(NOT(ISNUMBER(J2712)),N(J2712)&lt;0),"Prix invalide",IF(OR(AND(F2712&lt;&gt;"",NOT(ISNUMBER(F2712))),N(F2712)&lt;0,N(F2712)&gt;1),"Remise invalide",IF(K2712="","Taux de TVA manquant",IF(NOT(ISNUMBER(K2712)),"Taux de TVA invalide",IF(COUNTIF(p_rates,K2712)=0,"Taux de TVA hors liste (Paramètres)",IF(N(O2712)&gt;25,"Au-delà de 25 lignes : non imprimée","OK")))))))))))))</f>
        <v/>
      </c>
      <c r="O2712" s="59" t="str">
        <f>IF(A2712="","",COUNTIF($A$6:A2712,A2712))</f>
        <v/>
      </c>
      <c r="P2712" s="62" t="str">
        <f>IF(A2712="","",A2712&amp;"|"&amp;O2712)</f>
        <v/>
      </c>
    </row>
    <row r="2713">
      <c r="A2713" s="60" t="n"/>
      <c r="B2713" s="63" t="n"/>
      <c r="C2713" s="63" t="n"/>
      <c r="D2713" s="67" t="n"/>
      <c r="E2713" s="68" t="n"/>
      <c r="F2713" s="69" t="n"/>
      <c r="G2713" s="70" t="n"/>
      <c r="H2713" s="62" t="str">
        <f>IF(COUNTA(A2713:G2713)=0,"",IF(C2713&lt;&gt;"",C2713,IF(B2713="","",IFERROR(INDEX(pr_des,MATCH(B2713,pr_code,0))&amp;"",""))))</f>
        <v/>
      </c>
      <c r="I2713" s="59" t="str">
        <f>IF(B2713="","",IFERROR(INDEX(pr_unit,MATCH(B2713,pr_code,0))&amp;"",""))</f>
        <v/>
      </c>
      <c r="J2713" s="65" t="str">
        <f>IF(COUNTA(A2713:G2713)=0,"",IF(E2713&lt;&gt;"",E2713,IF(B2713="","",IFERROR(IF(INDEX(pr_price,MATCH(B2713,pr_code,0))="","",INDEX(pr_price,MATCH(B2713,pr_code,0))),""))))</f>
        <v/>
      </c>
      <c r="K2713" s="71" t="str">
        <f>IF(COUNTA(A2713:G2713)=0,"",IF(G2713&lt;&gt;"",G2713,IF(B2713="","",IFERROR(IF(INDEX(pr_rate,MATCH(B2713,pr_code,0))="","",INDEX(pr_rate,MATCH(B2713,pr_code,0))),""))))</f>
        <v/>
      </c>
      <c r="L2713" s="65" t="str">
        <f>IF(COUNTA(A2713:G2713)=0,"",IF(AND(ISNUMBER(D2713),ISNUMBER(J2713)),ROUND(D2713*J2713*(1-N(F2713)),2),0))</f>
        <v/>
      </c>
      <c r="M2713" s="62" t="str">
        <f>IF(A2713="","",IFERROR(INDEX(fa_cname,MATCH(A2713,fa_num,0))&amp;"",""))</f>
        <v/>
      </c>
      <c r="N2713" s="59" t="str">
        <f>IF(COUNTA(A2713:G2713)=0,"",IF(A2713="","N° facture manquant",IF(ISNA(MATCH(A2713,fa_num,0)),"Facture inconnue",IF(AND(B2713&lt;&gt;"",ISNA(MATCH(B2713,pr_code,0))),"Article inconnu",IF(H2713="","Désignation manquante",IF(OR(NOT(ISNUMBER(D2713)),N(D2713)&lt;=0),"Quantité invalide",IF(J2713="","Prix manquant",IF(OR(NOT(ISNUMBER(J2713)),N(J2713)&lt;0),"Prix invalide",IF(OR(AND(F2713&lt;&gt;"",NOT(ISNUMBER(F2713))),N(F2713)&lt;0,N(F2713)&gt;1),"Remise invalide",IF(K2713="","Taux de TVA manquant",IF(NOT(ISNUMBER(K2713)),"Taux de TVA invalide",IF(COUNTIF(p_rates,K2713)=0,"Taux de TVA hors liste (Paramètres)",IF(N(O2713)&gt;25,"Au-delà de 25 lignes : non imprimée","OK")))))))))))))</f>
        <v/>
      </c>
      <c r="O2713" s="59" t="str">
        <f>IF(A2713="","",COUNTIF($A$6:A2713,A2713))</f>
        <v/>
      </c>
      <c r="P2713" s="62" t="str">
        <f>IF(A2713="","",A2713&amp;"|"&amp;O2713)</f>
        <v/>
      </c>
    </row>
    <row r="2714">
      <c r="A2714" s="60" t="n"/>
      <c r="B2714" s="63" t="n"/>
      <c r="C2714" s="63" t="n"/>
      <c r="D2714" s="67" t="n"/>
      <c r="E2714" s="68" t="n"/>
      <c r="F2714" s="69" t="n"/>
      <c r="G2714" s="70" t="n"/>
      <c r="H2714" s="62" t="str">
        <f>IF(COUNTA(A2714:G2714)=0,"",IF(C2714&lt;&gt;"",C2714,IF(B2714="","",IFERROR(INDEX(pr_des,MATCH(B2714,pr_code,0))&amp;"",""))))</f>
        <v/>
      </c>
      <c r="I2714" s="59" t="str">
        <f>IF(B2714="","",IFERROR(INDEX(pr_unit,MATCH(B2714,pr_code,0))&amp;"",""))</f>
        <v/>
      </c>
      <c r="J2714" s="65" t="str">
        <f>IF(COUNTA(A2714:G2714)=0,"",IF(E2714&lt;&gt;"",E2714,IF(B2714="","",IFERROR(IF(INDEX(pr_price,MATCH(B2714,pr_code,0))="","",INDEX(pr_price,MATCH(B2714,pr_code,0))),""))))</f>
        <v/>
      </c>
      <c r="K2714" s="71" t="str">
        <f>IF(COUNTA(A2714:G2714)=0,"",IF(G2714&lt;&gt;"",G2714,IF(B2714="","",IFERROR(IF(INDEX(pr_rate,MATCH(B2714,pr_code,0))="","",INDEX(pr_rate,MATCH(B2714,pr_code,0))),""))))</f>
        <v/>
      </c>
      <c r="L2714" s="65" t="str">
        <f>IF(COUNTA(A2714:G2714)=0,"",IF(AND(ISNUMBER(D2714),ISNUMBER(J2714)),ROUND(D2714*J2714*(1-N(F2714)),2),0))</f>
        <v/>
      </c>
      <c r="M2714" s="62" t="str">
        <f>IF(A2714="","",IFERROR(INDEX(fa_cname,MATCH(A2714,fa_num,0))&amp;"",""))</f>
        <v/>
      </c>
      <c r="N2714" s="59" t="str">
        <f>IF(COUNTA(A2714:G2714)=0,"",IF(A2714="","N° facture manquant",IF(ISNA(MATCH(A2714,fa_num,0)),"Facture inconnue",IF(AND(B2714&lt;&gt;"",ISNA(MATCH(B2714,pr_code,0))),"Article inconnu",IF(H2714="","Désignation manquante",IF(OR(NOT(ISNUMBER(D2714)),N(D2714)&lt;=0),"Quantité invalide",IF(J2714="","Prix manquant",IF(OR(NOT(ISNUMBER(J2714)),N(J2714)&lt;0),"Prix invalide",IF(OR(AND(F2714&lt;&gt;"",NOT(ISNUMBER(F2714))),N(F2714)&lt;0,N(F2714)&gt;1),"Remise invalide",IF(K2714="","Taux de TVA manquant",IF(NOT(ISNUMBER(K2714)),"Taux de TVA invalide",IF(COUNTIF(p_rates,K2714)=0,"Taux de TVA hors liste (Paramètres)",IF(N(O2714)&gt;25,"Au-delà de 25 lignes : non imprimée","OK")))))))))))))</f>
        <v/>
      </c>
      <c r="O2714" s="59" t="str">
        <f>IF(A2714="","",COUNTIF($A$6:A2714,A2714))</f>
        <v/>
      </c>
      <c r="P2714" s="62" t="str">
        <f>IF(A2714="","",A2714&amp;"|"&amp;O2714)</f>
        <v/>
      </c>
    </row>
    <row r="2715">
      <c r="A2715" s="60" t="n"/>
      <c r="B2715" s="63" t="n"/>
      <c r="C2715" s="63" t="n"/>
      <c r="D2715" s="67" t="n"/>
      <c r="E2715" s="68" t="n"/>
      <c r="F2715" s="69" t="n"/>
      <c r="G2715" s="70" t="n"/>
      <c r="H2715" s="62" t="str">
        <f>IF(COUNTA(A2715:G2715)=0,"",IF(C2715&lt;&gt;"",C2715,IF(B2715="","",IFERROR(INDEX(pr_des,MATCH(B2715,pr_code,0))&amp;"",""))))</f>
        <v/>
      </c>
      <c r="I2715" s="59" t="str">
        <f>IF(B2715="","",IFERROR(INDEX(pr_unit,MATCH(B2715,pr_code,0))&amp;"",""))</f>
        <v/>
      </c>
      <c r="J2715" s="65" t="str">
        <f>IF(COUNTA(A2715:G2715)=0,"",IF(E2715&lt;&gt;"",E2715,IF(B2715="","",IFERROR(IF(INDEX(pr_price,MATCH(B2715,pr_code,0))="","",INDEX(pr_price,MATCH(B2715,pr_code,0))),""))))</f>
        <v/>
      </c>
      <c r="K2715" s="71" t="str">
        <f>IF(COUNTA(A2715:G2715)=0,"",IF(G2715&lt;&gt;"",G2715,IF(B2715="","",IFERROR(IF(INDEX(pr_rate,MATCH(B2715,pr_code,0))="","",INDEX(pr_rate,MATCH(B2715,pr_code,0))),""))))</f>
        <v/>
      </c>
      <c r="L2715" s="65" t="str">
        <f>IF(COUNTA(A2715:G2715)=0,"",IF(AND(ISNUMBER(D2715),ISNUMBER(J2715)),ROUND(D2715*J2715*(1-N(F2715)),2),0))</f>
        <v/>
      </c>
      <c r="M2715" s="62" t="str">
        <f>IF(A2715="","",IFERROR(INDEX(fa_cname,MATCH(A2715,fa_num,0))&amp;"",""))</f>
        <v/>
      </c>
      <c r="N2715" s="59" t="str">
        <f>IF(COUNTA(A2715:G2715)=0,"",IF(A2715="","N° facture manquant",IF(ISNA(MATCH(A2715,fa_num,0)),"Facture inconnue",IF(AND(B2715&lt;&gt;"",ISNA(MATCH(B2715,pr_code,0))),"Article inconnu",IF(H2715="","Désignation manquante",IF(OR(NOT(ISNUMBER(D2715)),N(D2715)&lt;=0),"Quantité invalide",IF(J2715="","Prix manquant",IF(OR(NOT(ISNUMBER(J2715)),N(J2715)&lt;0),"Prix invalide",IF(OR(AND(F2715&lt;&gt;"",NOT(ISNUMBER(F2715))),N(F2715)&lt;0,N(F2715)&gt;1),"Remise invalide",IF(K2715="","Taux de TVA manquant",IF(NOT(ISNUMBER(K2715)),"Taux de TVA invalide",IF(COUNTIF(p_rates,K2715)=0,"Taux de TVA hors liste (Paramètres)",IF(N(O2715)&gt;25,"Au-delà de 25 lignes : non imprimée","OK")))))))))))))</f>
        <v/>
      </c>
      <c r="O2715" s="59" t="str">
        <f>IF(A2715="","",COUNTIF($A$6:A2715,A2715))</f>
        <v/>
      </c>
      <c r="P2715" s="62" t="str">
        <f>IF(A2715="","",A2715&amp;"|"&amp;O2715)</f>
        <v/>
      </c>
    </row>
    <row r="2716">
      <c r="A2716" s="60" t="n"/>
      <c r="B2716" s="63" t="n"/>
      <c r="C2716" s="63" t="n"/>
      <c r="D2716" s="67" t="n"/>
      <c r="E2716" s="68" t="n"/>
      <c r="F2716" s="69" t="n"/>
      <c r="G2716" s="70" t="n"/>
      <c r="H2716" s="62" t="str">
        <f>IF(COUNTA(A2716:G2716)=0,"",IF(C2716&lt;&gt;"",C2716,IF(B2716="","",IFERROR(INDEX(pr_des,MATCH(B2716,pr_code,0))&amp;"",""))))</f>
        <v/>
      </c>
      <c r="I2716" s="59" t="str">
        <f>IF(B2716="","",IFERROR(INDEX(pr_unit,MATCH(B2716,pr_code,0))&amp;"",""))</f>
        <v/>
      </c>
      <c r="J2716" s="65" t="str">
        <f>IF(COUNTA(A2716:G2716)=0,"",IF(E2716&lt;&gt;"",E2716,IF(B2716="","",IFERROR(IF(INDEX(pr_price,MATCH(B2716,pr_code,0))="","",INDEX(pr_price,MATCH(B2716,pr_code,0))),""))))</f>
        <v/>
      </c>
      <c r="K2716" s="71" t="str">
        <f>IF(COUNTA(A2716:G2716)=0,"",IF(G2716&lt;&gt;"",G2716,IF(B2716="","",IFERROR(IF(INDEX(pr_rate,MATCH(B2716,pr_code,0))="","",INDEX(pr_rate,MATCH(B2716,pr_code,0))),""))))</f>
        <v/>
      </c>
      <c r="L2716" s="65" t="str">
        <f>IF(COUNTA(A2716:G2716)=0,"",IF(AND(ISNUMBER(D2716),ISNUMBER(J2716)),ROUND(D2716*J2716*(1-N(F2716)),2),0))</f>
        <v/>
      </c>
      <c r="M2716" s="62" t="str">
        <f>IF(A2716="","",IFERROR(INDEX(fa_cname,MATCH(A2716,fa_num,0))&amp;"",""))</f>
        <v/>
      </c>
      <c r="N2716" s="59" t="str">
        <f>IF(COUNTA(A2716:G2716)=0,"",IF(A2716="","N° facture manquant",IF(ISNA(MATCH(A2716,fa_num,0)),"Facture inconnue",IF(AND(B2716&lt;&gt;"",ISNA(MATCH(B2716,pr_code,0))),"Article inconnu",IF(H2716="","Désignation manquante",IF(OR(NOT(ISNUMBER(D2716)),N(D2716)&lt;=0),"Quantité invalide",IF(J2716="","Prix manquant",IF(OR(NOT(ISNUMBER(J2716)),N(J2716)&lt;0),"Prix invalide",IF(OR(AND(F2716&lt;&gt;"",NOT(ISNUMBER(F2716))),N(F2716)&lt;0,N(F2716)&gt;1),"Remise invalide",IF(K2716="","Taux de TVA manquant",IF(NOT(ISNUMBER(K2716)),"Taux de TVA invalide",IF(COUNTIF(p_rates,K2716)=0,"Taux de TVA hors liste (Paramètres)",IF(N(O2716)&gt;25,"Au-delà de 25 lignes : non imprimée","OK")))))))))))))</f>
        <v/>
      </c>
      <c r="O2716" s="59" t="str">
        <f>IF(A2716="","",COUNTIF($A$6:A2716,A2716))</f>
        <v/>
      </c>
      <c r="P2716" s="62" t="str">
        <f>IF(A2716="","",A2716&amp;"|"&amp;O2716)</f>
        <v/>
      </c>
    </row>
    <row r="2717">
      <c r="A2717" s="60" t="n"/>
      <c r="B2717" s="63" t="n"/>
      <c r="C2717" s="63" t="n"/>
      <c r="D2717" s="67" t="n"/>
      <c r="E2717" s="68" t="n"/>
      <c r="F2717" s="69" t="n"/>
      <c r="G2717" s="70" t="n"/>
      <c r="H2717" s="62" t="str">
        <f>IF(COUNTA(A2717:G2717)=0,"",IF(C2717&lt;&gt;"",C2717,IF(B2717="","",IFERROR(INDEX(pr_des,MATCH(B2717,pr_code,0))&amp;"",""))))</f>
        <v/>
      </c>
      <c r="I2717" s="59" t="str">
        <f>IF(B2717="","",IFERROR(INDEX(pr_unit,MATCH(B2717,pr_code,0))&amp;"",""))</f>
        <v/>
      </c>
      <c r="J2717" s="65" t="str">
        <f>IF(COUNTA(A2717:G2717)=0,"",IF(E2717&lt;&gt;"",E2717,IF(B2717="","",IFERROR(IF(INDEX(pr_price,MATCH(B2717,pr_code,0))="","",INDEX(pr_price,MATCH(B2717,pr_code,0))),""))))</f>
        <v/>
      </c>
      <c r="K2717" s="71" t="str">
        <f>IF(COUNTA(A2717:G2717)=0,"",IF(G2717&lt;&gt;"",G2717,IF(B2717="","",IFERROR(IF(INDEX(pr_rate,MATCH(B2717,pr_code,0))="","",INDEX(pr_rate,MATCH(B2717,pr_code,0))),""))))</f>
        <v/>
      </c>
      <c r="L2717" s="65" t="str">
        <f>IF(COUNTA(A2717:G2717)=0,"",IF(AND(ISNUMBER(D2717),ISNUMBER(J2717)),ROUND(D2717*J2717*(1-N(F2717)),2),0))</f>
        <v/>
      </c>
      <c r="M2717" s="62" t="str">
        <f>IF(A2717="","",IFERROR(INDEX(fa_cname,MATCH(A2717,fa_num,0))&amp;"",""))</f>
        <v/>
      </c>
      <c r="N2717" s="59" t="str">
        <f>IF(COUNTA(A2717:G2717)=0,"",IF(A2717="","N° facture manquant",IF(ISNA(MATCH(A2717,fa_num,0)),"Facture inconnue",IF(AND(B2717&lt;&gt;"",ISNA(MATCH(B2717,pr_code,0))),"Article inconnu",IF(H2717="","Désignation manquante",IF(OR(NOT(ISNUMBER(D2717)),N(D2717)&lt;=0),"Quantité invalide",IF(J2717="","Prix manquant",IF(OR(NOT(ISNUMBER(J2717)),N(J2717)&lt;0),"Prix invalide",IF(OR(AND(F2717&lt;&gt;"",NOT(ISNUMBER(F2717))),N(F2717)&lt;0,N(F2717)&gt;1),"Remise invalide",IF(K2717="","Taux de TVA manquant",IF(NOT(ISNUMBER(K2717)),"Taux de TVA invalide",IF(COUNTIF(p_rates,K2717)=0,"Taux de TVA hors liste (Paramètres)",IF(N(O2717)&gt;25,"Au-delà de 25 lignes : non imprimée","OK")))))))))))))</f>
        <v/>
      </c>
      <c r="O2717" s="59" t="str">
        <f>IF(A2717="","",COUNTIF($A$6:A2717,A2717))</f>
        <v/>
      </c>
      <c r="P2717" s="62" t="str">
        <f>IF(A2717="","",A2717&amp;"|"&amp;O2717)</f>
        <v/>
      </c>
    </row>
    <row r="2718">
      <c r="A2718" s="60" t="n"/>
      <c r="B2718" s="63" t="n"/>
      <c r="C2718" s="63" t="n"/>
      <c r="D2718" s="67" t="n"/>
      <c r="E2718" s="68" t="n"/>
      <c r="F2718" s="69" t="n"/>
      <c r="G2718" s="70" t="n"/>
      <c r="H2718" s="62" t="str">
        <f>IF(COUNTA(A2718:G2718)=0,"",IF(C2718&lt;&gt;"",C2718,IF(B2718="","",IFERROR(INDEX(pr_des,MATCH(B2718,pr_code,0))&amp;"",""))))</f>
        <v/>
      </c>
      <c r="I2718" s="59" t="str">
        <f>IF(B2718="","",IFERROR(INDEX(pr_unit,MATCH(B2718,pr_code,0))&amp;"",""))</f>
        <v/>
      </c>
      <c r="J2718" s="65" t="str">
        <f>IF(COUNTA(A2718:G2718)=0,"",IF(E2718&lt;&gt;"",E2718,IF(B2718="","",IFERROR(IF(INDEX(pr_price,MATCH(B2718,pr_code,0))="","",INDEX(pr_price,MATCH(B2718,pr_code,0))),""))))</f>
        <v/>
      </c>
      <c r="K2718" s="71" t="str">
        <f>IF(COUNTA(A2718:G2718)=0,"",IF(G2718&lt;&gt;"",G2718,IF(B2718="","",IFERROR(IF(INDEX(pr_rate,MATCH(B2718,pr_code,0))="","",INDEX(pr_rate,MATCH(B2718,pr_code,0))),""))))</f>
        <v/>
      </c>
      <c r="L2718" s="65" t="str">
        <f>IF(COUNTA(A2718:G2718)=0,"",IF(AND(ISNUMBER(D2718),ISNUMBER(J2718)),ROUND(D2718*J2718*(1-N(F2718)),2),0))</f>
        <v/>
      </c>
      <c r="M2718" s="62" t="str">
        <f>IF(A2718="","",IFERROR(INDEX(fa_cname,MATCH(A2718,fa_num,0))&amp;"",""))</f>
        <v/>
      </c>
      <c r="N2718" s="59" t="str">
        <f>IF(COUNTA(A2718:G2718)=0,"",IF(A2718="","N° facture manquant",IF(ISNA(MATCH(A2718,fa_num,0)),"Facture inconnue",IF(AND(B2718&lt;&gt;"",ISNA(MATCH(B2718,pr_code,0))),"Article inconnu",IF(H2718="","Désignation manquante",IF(OR(NOT(ISNUMBER(D2718)),N(D2718)&lt;=0),"Quantité invalide",IF(J2718="","Prix manquant",IF(OR(NOT(ISNUMBER(J2718)),N(J2718)&lt;0),"Prix invalide",IF(OR(AND(F2718&lt;&gt;"",NOT(ISNUMBER(F2718))),N(F2718)&lt;0,N(F2718)&gt;1),"Remise invalide",IF(K2718="","Taux de TVA manquant",IF(NOT(ISNUMBER(K2718)),"Taux de TVA invalide",IF(COUNTIF(p_rates,K2718)=0,"Taux de TVA hors liste (Paramètres)",IF(N(O2718)&gt;25,"Au-delà de 25 lignes : non imprimée","OK")))))))))))))</f>
        <v/>
      </c>
      <c r="O2718" s="59" t="str">
        <f>IF(A2718="","",COUNTIF($A$6:A2718,A2718))</f>
        <v/>
      </c>
      <c r="P2718" s="62" t="str">
        <f>IF(A2718="","",A2718&amp;"|"&amp;O2718)</f>
        <v/>
      </c>
    </row>
    <row r="2719">
      <c r="A2719" s="60" t="n"/>
      <c r="B2719" s="63" t="n"/>
      <c r="C2719" s="63" t="n"/>
      <c r="D2719" s="67" t="n"/>
      <c r="E2719" s="68" t="n"/>
      <c r="F2719" s="69" t="n"/>
      <c r="G2719" s="70" t="n"/>
      <c r="H2719" s="62" t="str">
        <f>IF(COUNTA(A2719:G2719)=0,"",IF(C2719&lt;&gt;"",C2719,IF(B2719="","",IFERROR(INDEX(pr_des,MATCH(B2719,pr_code,0))&amp;"",""))))</f>
        <v/>
      </c>
      <c r="I2719" s="59" t="str">
        <f>IF(B2719="","",IFERROR(INDEX(pr_unit,MATCH(B2719,pr_code,0))&amp;"",""))</f>
        <v/>
      </c>
      <c r="J2719" s="65" t="str">
        <f>IF(COUNTA(A2719:G2719)=0,"",IF(E2719&lt;&gt;"",E2719,IF(B2719="","",IFERROR(IF(INDEX(pr_price,MATCH(B2719,pr_code,0))="","",INDEX(pr_price,MATCH(B2719,pr_code,0))),""))))</f>
        <v/>
      </c>
      <c r="K2719" s="71" t="str">
        <f>IF(COUNTA(A2719:G2719)=0,"",IF(G2719&lt;&gt;"",G2719,IF(B2719="","",IFERROR(IF(INDEX(pr_rate,MATCH(B2719,pr_code,0))="","",INDEX(pr_rate,MATCH(B2719,pr_code,0))),""))))</f>
        <v/>
      </c>
      <c r="L2719" s="65" t="str">
        <f>IF(COUNTA(A2719:G2719)=0,"",IF(AND(ISNUMBER(D2719),ISNUMBER(J2719)),ROUND(D2719*J2719*(1-N(F2719)),2),0))</f>
        <v/>
      </c>
      <c r="M2719" s="62" t="str">
        <f>IF(A2719="","",IFERROR(INDEX(fa_cname,MATCH(A2719,fa_num,0))&amp;"",""))</f>
        <v/>
      </c>
      <c r="N2719" s="59" t="str">
        <f>IF(COUNTA(A2719:G2719)=0,"",IF(A2719="","N° facture manquant",IF(ISNA(MATCH(A2719,fa_num,0)),"Facture inconnue",IF(AND(B2719&lt;&gt;"",ISNA(MATCH(B2719,pr_code,0))),"Article inconnu",IF(H2719="","Désignation manquante",IF(OR(NOT(ISNUMBER(D2719)),N(D2719)&lt;=0),"Quantité invalide",IF(J2719="","Prix manquant",IF(OR(NOT(ISNUMBER(J2719)),N(J2719)&lt;0),"Prix invalide",IF(OR(AND(F2719&lt;&gt;"",NOT(ISNUMBER(F2719))),N(F2719)&lt;0,N(F2719)&gt;1),"Remise invalide",IF(K2719="","Taux de TVA manquant",IF(NOT(ISNUMBER(K2719)),"Taux de TVA invalide",IF(COUNTIF(p_rates,K2719)=0,"Taux de TVA hors liste (Paramètres)",IF(N(O2719)&gt;25,"Au-delà de 25 lignes : non imprimée","OK")))))))))))))</f>
        <v/>
      </c>
      <c r="O2719" s="59" t="str">
        <f>IF(A2719="","",COUNTIF($A$6:A2719,A2719))</f>
        <v/>
      </c>
      <c r="P2719" s="62" t="str">
        <f>IF(A2719="","",A2719&amp;"|"&amp;O2719)</f>
        <v/>
      </c>
    </row>
    <row r="2720">
      <c r="A2720" s="60" t="n"/>
      <c r="B2720" s="63" t="n"/>
      <c r="C2720" s="63" t="n"/>
      <c r="D2720" s="67" t="n"/>
      <c r="E2720" s="68" t="n"/>
      <c r="F2720" s="69" t="n"/>
      <c r="G2720" s="70" t="n"/>
      <c r="H2720" s="62" t="str">
        <f>IF(COUNTA(A2720:G2720)=0,"",IF(C2720&lt;&gt;"",C2720,IF(B2720="","",IFERROR(INDEX(pr_des,MATCH(B2720,pr_code,0))&amp;"",""))))</f>
        <v/>
      </c>
      <c r="I2720" s="59" t="str">
        <f>IF(B2720="","",IFERROR(INDEX(pr_unit,MATCH(B2720,pr_code,0))&amp;"",""))</f>
        <v/>
      </c>
      <c r="J2720" s="65" t="str">
        <f>IF(COUNTA(A2720:G2720)=0,"",IF(E2720&lt;&gt;"",E2720,IF(B2720="","",IFERROR(IF(INDEX(pr_price,MATCH(B2720,pr_code,0))="","",INDEX(pr_price,MATCH(B2720,pr_code,0))),""))))</f>
        <v/>
      </c>
      <c r="K2720" s="71" t="str">
        <f>IF(COUNTA(A2720:G2720)=0,"",IF(G2720&lt;&gt;"",G2720,IF(B2720="","",IFERROR(IF(INDEX(pr_rate,MATCH(B2720,pr_code,0))="","",INDEX(pr_rate,MATCH(B2720,pr_code,0))),""))))</f>
        <v/>
      </c>
      <c r="L2720" s="65" t="str">
        <f>IF(COUNTA(A2720:G2720)=0,"",IF(AND(ISNUMBER(D2720),ISNUMBER(J2720)),ROUND(D2720*J2720*(1-N(F2720)),2),0))</f>
        <v/>
      </c>
      <c r="M2720" s="62" t="str">
        <f>IF(A2720="","",IFERROR(INDEX(fa_cname,MATCH(A2720,fa_num,0))&amp;"",""))</f>
        <v/>
      </c>
      <c r="N2720" s="59" t="str">
        <f>IF(COUNTA(A2720:G2720)=0,"",IF(A2720="","N° facture manquant",IF(ISNA(MATCH(A2720,fa_num,0)),"Facture inconnue",IF(AND(B2720&lt;&gt;"",ISNA(MATCH(B2720,pr_code,0))),"Article inconnu",IF(H2720="","Désignation manquante",IF(OR(NOT(ISNUMBER(D2720)),N(D2720)&lt;=0),"Quantité invalide",IF(J2720="","Prix manquant",IF(OR(NOT(ISNUMBER(J2720)),N(J2720)&lt;0),"Prix invalide",IF(OR(AND(F2720&lt;&gt;"",NOT(ISNUMBER(F2720))),N(F2720)&lt;0,N(F2720)&gt;1),"Remise invalide",IF(K2720="","Taux de TVA manquant",IF(NOT(ISNUMBER(K2720)),"Taux de TVA invalide",IF(COUNTIF(p_rates,K2720)=0,"Taux de TVA hors liste (Paramètres)",IF(N(O2720)&gt;25,"Au-delà de 25 lignes : non imprimée","OK")))))))))))))</f>
        <v/>
      </c>
      <c r="O2720" s="59" t="str">
        <f>IF(A2720="","",COUNTIF($A$6:A2720,A2720))</f>
        <v/>
      </c>
      <c r="P2720" s="62" t="str">
        <f>IF(A2720="","",A2720&amp;"|"&amp;O2720)</f>
        <v/>
      </c>
    </row>
    <row r="2721">
      <c r="A2721" s="60" t="n"/>
      <c r="B2721" s="63" t="n"/>
      <c r="C2721" s="63" t="n"/>
      <c r="D2721" s="67" t="n"/>
      <c r="E2721" s="68" t="n"/>
      <c r="F2721" s="69" t="n"/>
      <c r="G2721" s="70" t="n"/>
      <c r="H2721" s="62" t="str">
        <f>IF(COUNTA(A2721:G2721)=0,"",IF(C2721&lt;&gt;"",C2721,IF(B2721="","",IFERROR(INDEX(pr_des,MATCH(B2721,pr_code,0))&amp;"",""))))</f>
        <v/>
      </c>
      <c r="I2721" s="59" t="str">
        <f>IF(B2721="","",IFERROR(INDEX(pr_unit,MATCH(B2721,pr_code,0))&amp;"",""))</f>
        <v/>
      </c>
      <c r="J2721" s="65" t="str">
        <f>IF(COUNTA(A2721:G2721)=0,"",IF(E2721&lt;&gt;"",E2721,IF(B2721="","",IFERROR(IF(INDEX(pr_price,MATCH(B2721,pr_code,0))="","",INDEX(pr_price,MATCH(B2721,pr_code,0))),""))))</f>
        <v/>
      </c>
      <c r="K2721" s="71" t="str">
        <f>IF(COUNTA(A2721:G2721)=0,"",IF(G2721&lt;&gt;"",G2721,IF(B2721="","",IFERROR(IF(INDEX(pr_rate,MATCH(B2721,pr_code,0))="","",INDEX(pr_rate,MATCH(B2721,pr_code,0))),""))))</f>
        <v/>
      </c>
      <c r="L2721" s="65" t="str">
        <f>IF(COUNTA(A2721:G2721)=0,"",IF(AND(ISNUMBER(D2721),ISNUMBER(J2721)),ROUND(D2721*J2721*(1-N(F2721)),2),0))</f>
        <v/>
      </c>
      <c r="M2721" s="62" t="str">
        <f>IF(A2721="","",IFERROR(INDEX(fa_cname,MATCH(A2721,fa_num,0))&amp;"",""))</f>
        <v/>
      </c>
      <c r="N2721" s="59" t="str">
        <f>IF(COUNTA(A2721:G2721)=0,"",IF(A2721="","N° facture manquant",IF(ISNA(MATCH(A2721,fa_num,0)),"Facture inconnue",IF(AND(B2721&lt;&gt;"",ISNA(MATCH(B2721,pr_code,0))),"Article inconnu",IF(H2721="","Désignation manquante",IF(OR(NOT(ISNUMBER(D2721)),N(D2721)&lt;=0),"Quantité invalide",IF(J2721="","Prix manquant",IF(OR(NOT(ISNUMBER(J2721)),N(J2721)&lt;0),"Prix invalide",IF(OR(AND(F2721&lt;&gt;"",NOT(ISNUMBER(F2721))),N(F2721)&lt;0,N(F2721)&gt;1),"Remise invalide",IF(K2721="","Taux de TVA manquant",IF(NOT(ISNUMBER(K2721)),"Taux de TVA invalide",IF(COUNTIF(p_rates,K2721)=0,"Taux de TVA hors liste (Paramètres)",IF(N(O2721)&gt;25,"Au-delà de 25 lignes : non imprimée","OK")))))))))))))</f>
        <v/>
      </c>
      <c r="O2721" s="59" t="str">
        <f>IF(A2721="","",COUNTIF($A$6:A2721,A2721))</f>
        <v/>
      </c>
      <c r="P2721" s="62" t="str">
        <f>IF(A2721="","",A2721&amp;"|"&amp;O2721)</f>
        <v/>
      </c>
    </row>
    <row r="2722">
      <c r="A2722" s="60" t="n"/>
      <c r="B2722" s="63" t="n"/>
      <c r="C2722" s="63" t="n"/>
      <c r="D2722" s="67" t="n"/>
      <c r="E2722" s="68" t="n"/>
      <c r="F2722" s="69" t="n"/>
      <c r="G2722" s="70" t="n"/>
      <c r="H2722" s="62" t="str">
        <f>IF(COUNTA(A2722:G2722)=0,"",IF(C2722&lt;&gt;"",C2722,IF(B2722="","",IFERROR(INDEX(pr_des,MATCH(B2722,pr_code,0))&amp;"",""))))</f>
        <v/>
      </c>
      <c r="I2722" s="59" t="str">
        <f>IF(B2722="","",IFERROR(INDEX(pr_unit,MATCH(B2722,pr_code,0))&amp;"",""))</f>
        <v/>
      </c>
      <c r="J2722" s="65" t="str">
        <f>IF(COUNTA(A2722:G2722)=0,"",IF(E2722&lt;&gt;"",E2722,IF(B2722="","",IFERROR(IF(INDEX(pr_price,MATCH(B2722,pr_code,0))="","",INDEX(pr_price,MATCH(B2722,pr_code,0))),""))))</f>
        <v/>
      </c>
      <c r="K2722" s="71" t="str">
        <f>IF(COUNTA(A2722:G2722)=0,"",IF(G2722&lt;&gt;"",G2722,IF(B2722="","",IFERROR(IF(INDEX(pr_rate,MATCH(B2722,pr_code,0))="","",INDEX(pr_rate,MATCH(B2722,pr_code,0))),""))))</f>
        <v/>
      </c>
      <c r="L2722" s="65" t="str">
        <f>IF(COUNTA(A2722:G2722)=0,"",IF(AND(ISNUMBER(D2722),ISNUMBER(J2722)),ROUND(D2722*J2722*(1-N(F2722)),2),0))</f>
        <v/>
      </c>
      <c r="M2722" s="62" t="str">
        <f>IF(A2722="","",IFERROR(INDEX(fa_cname,MATCH(A2722,fa_num,0))&amp;"",""))</f>
        <v/>
      </c>
      <c r="N2722" s="59" t="str">
        <f>IF(COUNTA(A2722:G2722)=0,"",IF(A2722="","N° facture manquant",IF(ISNA(MATCH(A2722,fa_num,0)),"Facture inconnue",IF(AND(B2722&lt;&gt;"",ISNA(MATCH(B2722,pr_code,0))),"Article inconnu",IF(H2722="","Désignation manquante",IF(OR(NOT(ISNUMBER(D2722)),N(D2722)&lt;=0),"Quantité invalide",IF(J2722="","Prix manquant",IF(OR(NOT(ISNUMBER(J2722)),N(J2722)&lt;0),"Prix invalide",IF(OR(AND(F2722&lt;&gt;"",NOT(ISNUMBER(F2722))),N(F2722)&lt;0,N(F2722)&gt;1),"Remise invalide",IF(K2722="","Taux de TVA manquant",IF(NOT(ISNUMBER(K2722)),"Taux de TVA invalide",IF(COUNTIF(p_rates,K2722)=0,"Taux de TVA hors liste (Paramètres)",IF(N(O2722)&gt;25,"Au-delà de 25 lignes : non imprimée","OK")))))))))))))</f>
        <v/>
      </c>
      <c r="O2722" s="59" t="str">
        <f>IF(A2722="","",COUNTIF($A$6:A2722,A2722))</f>
        <v/>
      </c>
      <c r="P2722" s="62" t="str">
        <f>IF(A2722="","",A2722&amp;"|"&amp;O2722)</f>
        <v/>
      </c>
    </row>
    <row r="2723">
      <c r="A2723" s="60" t="n"/>
      <c r="B2723" s="63" t="n"/>
      <c r="C2723" s="63" t="n"/>
      <c r="D2723" s="67" t="n"/>
      <c r="E2723" s="68" t="n"/>
      <c r="F2723" s="69" t="n"/>
      <c r="G2723" s="70" t="n"/>
      <c r="H2723" s="62" t="str">
        <f>IF(COUNTA(A2723:G2723)=0,"",IF(C2723&lt;&gt;"",C2723,IF(B2723="","",IFERROR(INDEX(pr_des,MATCH(B2723,pr_code,0))&amp;"",""))))</f>
        <v/>
      </c>
      <c r="I2723" s="59" t="str">
        <f>IF(B2723="","",IFERROR(INDEX(pr_unit,MATCH(B2723,pr_code,0))&amp;"",""))</f>
        <v/>
      </c>
      <c r="J2723" s="65" t="str">
        <f>IF(COUNTA(A2723:G2723)=0,"",IF(E2723&lt;&gt;"",E2723,IF(B2723="","",IFERROR(IF(INDEX(pr_price,MATCH(B2723,pr_code,0))="","",INDEX(pr_price,MATCH(B2723,pr_code,0))),""))))</f>
        <v/>
      </c>
      <c r="K2723" s="71" t="str">
        <f>IF(COUNTA(A2723:G2723)=0,"",IF(G2723&lt;&gt;"",G2723,IF(B2723="","",IFERROR(IF(INDEX(pr_rate,MATCH(B2723,pr_code,0))="","",INDEX(pr_rate,MATCH(B2723,pr_code,0))),""))))</f>
        <v/>
      </c>
      <c r="L2723" s="65" t="str">
        <f>IF(COUNTA(A2723:G2723)=0,"",IF(AND(ISNUMBER(D2723),ISNUMBER(J2723)),ROUND(D2723*J2723*(1-N(F2723)),2),0))</f>
        <v/>
      </c>
      <c r="M2723" s="62" t="str">
        <f>IF(A2723="","",IFERROR(INDEX(fa_cname,MATCH(A2723,fa_num,0))&amp;"",""))</f>
        <v/>
      </c>
      <c r="N2723" s="59" t="str">
        <f>IF(COUNTA(A2723:G2723)=0,"",IF(A2723="","N° facture manquant",IF(ISNA(MATCH(A2723,fa_num,0)),"Facture inconnue",IF(AND(B2723&lt;&gt;"",ISNA(MATCH(B2723,pr_code,0))),"Article inconnu",IF(H2723="","Désignation manquante",IF(OR(NOT(ISNUMBER(D2723)),N(D2723)&lt;=0),"Quantité invalide",IF(J2723="","Prix manquant",IF(OR(NOT(ISNUMBER(J2723)),N(J2723)&lt;0),"Prix invalide",IF(OR(AND(F2723&lt;&gt;"",NOT(ISNUMBER(F2723))),N(F2723)&lt;0,N(F2723)&gt;1),"Remise invalide",IF(K2723="","Taux de TVA manquant",IF(NOT(ISNUMBER(K2723)),"Taux de TVA invalide",IF(COUNTIF(p_rates,K2723)=0,"Taux de TVA hors liste (Paramètres)",IF(N(O2723)&gt;25,"Au-delà de 25 lignes : non imprimée","OK")))))))))))))</f>
        <v/>
      </c>
      <c r="O2723" s="59" t="str">
        <f>IF(A2723="","",COUNTIF($A$6:A2723,A2723))</f>
        <v/>
      </c>
      <c r="P2723" s="62" t="str">
        <f>IF(A2723="","",A2723&amp;"|"&amp;O2723)</f>
        <v/>
      </c>
    </row>
    <row r="2724">
      <c r="A2724" s="60" t="n"/>
      <c r="B2724" s="63" t="n"/>
      <c r="C2724" s="63" t="n"/>
      <c r="D2724" s="67" t="n"/>
      <c r="E2724" s="68" t="n"/>
      <c r="F2724" s="69" t="n"/>
      <c r="G2724" s="70" t="n"/>
      <c r="H2724" s="62" t="str">
        <f>IF(COUNTA(A2724:G2724)=0,"",IF(C2724&lt;&gt;"",C2724,IF(B2724="","",IFERROR(INDEX(pr_des,MATCH(B2724,pr_code,0))&amp;"",""))))</f>
        <v/>
      </c>
      <c r="I2724" s="59" t="str">
        <f>IF(B2724="","",IFERROR(INDEX(pr_unit,MATCH(B2724,pr_code,0))&amp;"",""))</f>
        <v/>
      </c>
      <c r="J2724" s="65" t="str">
        <f>IF(COUNTA(A2724:G2724)=0,"",IF(E2724&lt;&gt;"",E2724,IF(B2724="","",IFERROR(IF(INDEX(pr_price,MATCH(B2724,pr_code,0))="","",INDEX(pr_price,MATCH(B2724,pr_code,0))),""))))</f>
        <v/>
      </c>
      <c r="K2724" s="71" t="str">
        <f>IF(COUNTA(A2724:G2724)=0,"",IF(G2724&lt;&gt;"",G2724,IF(B2724="","",IFERROR(IF(INDEX(pr_rate,MATCH(B2724,pr_code,0))="","",INDEX(pr_rate,MATCH(B2724,pr_code,0))),""))))</f>
        <v/>
      </c>
      <c r="L2724" s="65" t="str">
        <f>IF(COUNTA(A2724:G2724)=0,"",IF(AND(ISNUMBER(D2724),ISNUMBER(J2724)),ROUND(D2724*J2724*(1-N(F2724)),2),0))</f>
        <v/>
      </c>
      <c r="M2724" s="62" t="str">
        <f>IF(A2724="","",IFERROR(INDEX(fa_cname,MATCH(A2724,fa_num,0))&amp;"",""))</f>
        <v/>
      </c>
      <c r="N2724" s="59" t="str">
        <f>IF(COUNTA(A2724:G2724)=0,"",IF(A2724="","N° facture manquant",IF(ISNA(MATCH(A2724,fa_num,0)),"Facture inconnue",IF(AND(B2724&lt;&gt;"",ISNA(MATCH(B2724,pr_code,0))),"Article inconnu",IF(H2724="","Désignation manquante",IF(OR(NOT(ISNUMBER(D2724)),N(D2724)&lt;=0),"Quantité invalide",IF(J2724="","Prix manquant",IF(OR(NOT(ISNUMBER(J2724)),N(J2724)&lt;0),"Prix invalide",IF(OR(AND(F2724&lt;&gt;"",NOT(ISNUMBER(F2724))),N(F2724)&lt;0,N(F2724)&gt;1),"Remise invalide",IF(K2724="","Taux de TVA manquant",IF(NOT(ISNUMBER(K2724)),"Taux de TVA invalide",IF(COUNTIF(p_rates,K2724)=0,"Taux de TVA hors liste (Paramètres)",IF(N(O2724)&gt;25,"Au-delà de 25 lignes : non imprimée","OK")))))))))))))</f>
        <v/>
      </c>
      <c r="O2724" s="59" t="str">
        <f>IF(A2724="","",COUNTIF($A$6:A2724,A2724))</f>
        <v/>
      </c>
      <c r="P2724" s="62" t="str">
        <f>IF(A2724="","",A2724&amp;"|"&amp;O2724)</f>
        <v/>
      </c>
    </row>
    <row r="2725">
      <c r="A2725" s="60" t="n"/>
      <c r="B2725" s="63" t="n"/>
      <c r="C2725" s="63" t="n"/>
      <c r="D2725" s="67" t="n"/>
      <c r="E2725" s="68" t="n"/>
      <c r="F2725" s="69" t="n"/>
      <c r="G2725" s="70" t="n"/>
      <c r="H2725" s="62" t="str">
        <f>IF(COUNTA(A2725:G2725)=0,"",IF(C2725&lt;&gt;"",C2725,IF(B2725="","",IFERROR(INDEX(pr_des,MATCH(B2725,pr_code,0))&amp;"",""))))</f>
        <v/>
      </c>
      <c r="I2725" s="59" t="str">
        <f>IF(B2725="","",IFERROR(INDEX(pr_unit,MATCH(B2725,pr_code,0))&amp;"",""))</f>
        <v/>
      </c>
      <c r="J2725" s="65" t="str">
        <f>IF(COUNTA(A2725:G2725)=0,"",IF(E2725&lt;&gt;"",E2725,IF(B2725="","",IFERROR(IF(INDEX(pr_price,MATCH(B2725,pr_code,0))="","",INDEX(pr_price,MATCH(B2725,pr_code,0))),""))))</f>
        <v/>
      </c>
      <c r="K2725" s="71" t="str">
        <f>IF(COUNTA(A2725:G2725)=0,"",IF(G2725&lt;&gt;"",G2725,IF(B2725="","",IFERROR(IF(INDEX(pr_rate,MATCH(B2725,pr_code,0))="","",INDEX(pr_rate,MATCH(B2725,pr_code,0))),""))))</f>
        <v/>
      </c>
      <c r="L2725" s="65" t="str">
        <f>IF(COUNTA(A2725:G2725)=0,"",IF(AND(ISNUMBER(D2725),ISNUMBER(J2725)),ROUND(D2725*J2725*(1-N(F2725)),2),0))</f>
        <v/>
      </c>
      <c r="M2725" s="62" t="str">
        <f>IF(A2725="","",IFERROR(INDEX(fa_cname,MATCH(A2725,fa_num,0))&amp;"",""))</f>
        <v/>
      </c>
      <c r="N2725" s="59" t="str">
        <f>IF(COUNTA(A2725:G2725)=0,"",IF(A2725="","N° facture manquant",IF(ISNA(MATCH(A2725,fa_num,0)),"Facture inconnue",IF(AND(B2725&lt;&gt;"",ISNA(MATCH(B2725,pr_code,0))),"Article inconnu",IF(H2725="","Désignation manquante",IF(OR(NOT(ISNUMBER(D2725)),N(D2725)&lt;=0),"Quantité invalide",IF(J2725="","Prix manquant",IF(OR(NOT(ISNUMBER(J2725)),N(J2725)&lt;0),"Prix invalide",IF(OR(AND(F2725&lt;&gt;"",NOT(ISNUMBER(F2725))),N(F2725)&lt;0,N(F2725)&gt;1),"Remise invalide",IF(K2725="","Taux de TVA manquant",IF(NOT(ISNUMBER(K2725)),"Taux de TVA invalide",IF(COUNTIF(p_rates,K2725)=0,"Taux de TVA hors liste (Paramètres)",IF(N(O2725)&gt;25,"Au-delà de 25 lignes : non imprimée","OK")))))))))))))</f>
        <v/>
      </c>
      <c r="O2725" s="59" t="str">
        <f>IF(A2725="","",COUNTIF($A$6:A2725,A2725))</f>
        <v/>
      </c>
      <c r="P2725" s="62" t="str">
        <f>IF(A2725="","",A2725&amp;"|"&amp;O2725)</f>
        <v/>
      </c>
    </row>
    <row r="2726">
      <c r="A2726" s="60" t="n"/>
      <c r="B2726" s="63" t="n"/>
      <c r="C2726" s="63" t="n"/>
      <c r="D2726" s="67" t="n"/>
      <c r="E2726" s="68" t="n"/>
      <c r="F2726" s="69" t="n"/>
      <c r="G2726" s="70" t="n"/>
      <c r="H2726" s="62" t="str">
        <f>IF(COUNTA(A2726:G2726)=0,"",IF(C2726&lt;&gt;"",C2726,IF(B2726="","",IFERROR(INDEX(pr_des,MATCH(B2726,pr_code,0))&amp;"",""))))</f>
        <v/>
      </c>
      <c r="I2726" s="59" t="str">
        <f>IF(B2726="","",IFERROR(INDEX(pr_unit,MATCH(B2726,pr_code,0))&amp;"",""))</f>
        <v/>
      </c>
      <c r="J2726" s="65" t="str">
        <f>IF(COUNTA(A2726:G2726)=0,"",IF(E2726&lt;&gt;"",E2726,IF(B2726="","",IFERROR(IF(INDEX(pr_price,MATCH(B2726,pr_code,0))="","",INDEX(pr_price,MATCH(B2726,pr_code,0))),""))))</f>
        <v/>
      </c>
      <c r="K2726" s="71" t="str">
        <f>IF(COUNTA(A2726:G2726)=0,"",IF(G2726&lt;&gt;"",G2726,IF(B2726="","",IFERROR(IF(INDEX(pr_rate,MATCH(B2726,pr_code,0))="","",INDEX(pr_rate,MATCH(B2726,pr_code,0))),""))))</f>
        <v/>
      </c>
      <c r="L2726" s="65" t="str">
        <f>IF(COUNTA(A2726:G2726)=0,"",IF(AND(ISNUMBER(D2726),ISNUMBER(J2726)),ROUND(D2726*J2726*(1-N(F2726)),2),0))</f>
        <v/>
      </c>
      <c r="M2726" s="62" t="str">
        <f>IF(A2726="","",IFERROR(INDEX(fa_cname,MATCH(A2726,fa_num,0))&amp;"",""))</f>
        <v/>
      </c>
      <c r="N2726" s="59" t="str">
        <f>IF(COUNTA(A2726:G2726)=0,"",IF(A2726="","N° facture manquant",IF(ISNA(MATCH(A2726,fa_num,0)),"Facture inconnue",IF(AND(B2726&lt;&gt;"",ISNA(MATCH(B2726,pr_code,0))),"Article inconnu",IF(H2726="","Désignation manquante",IF(OR(NOT(ISNUMBER(D2726)),N(D2726)&lt;=0),"Quantité invalide",IF(J2726="","Prix manquant",IF(OR(NOT(ISNUMBER(J2726)),N(J2726)&lt;0),"Prix invalide",IF(OR(AND(F2726&lt;&gt;"",NOT(ISNUMBER(F2726))),N(F2726)&lt;0,N(F2726)&gt;1),"Remise invalide",IF(K2726="","Taux de TVA manquant",IF(NOT(ISNUMBER(K2726)),"Taux de TVA invalide",IF(COUNTIF(p_rates,K2726)=0,"Taux de TVA hors liste (Paramètres)",IF(N(O2726)&gt;25,"Au-delà de 25 lignes : non imprimée","OK")))))))))))))</f>
        <v/>
      </c>
      <c r="O2726" s="59" t="str">
        <f>IF(A2726="","",COUNTIF($A$6:A2726,A2726))</f>
        <v/>
      </c>
      <c r="P2726" s="62" t="str">
        <f>IF(A2726="","",A2726&amp;"|"&amp;O2726)</f>
        <v/>
      </c>
    </row>
    <row r="2727">
      <c r="A2727" s="60" t="n"/>
      <c r="B2727" s="63" t="n"/>
      <c r="C2727" s="63" t="n"/>
      <c r="D2727" s="67" t="n"/>
      <c r="E2727" s="68" t="n"/>
      <c r="F2727" s="69" t="n"/>
      <c r="G2727" s="70" t="n"/>
      <c r="H2727" s="62" t="str">
        <f>IF(COUNTA(A2727:G2727)=0,"",IF(C2727&lt;&gt;"",C2727,IF(B2727="","",IFERROR(INDEX(pr_des,MATCH(B2727,pr_code,0))&amp;"",""))))</f>
        <v/>
      </c>
      <c r="I2727" s="59" t="str">
        <f>IF(B2727="","",IFERROR(INDEX(pr_unit,MATCH(B2727,pr_code,0))&amp;"",""))</f>
        <v/>
      </c>
      <c r="J2727" s="65" t="str">
        <f>IF(COUNTA(A2727:G2727)=0,"",IF(E2727&lt;&gt;"",E2727,IF(B2727="","",IFERROR(IF(INDEX(pr_price,MATCH(B2727,pr_code,0))="","",INDEX(pr_price,MATCH(B2727,pr_code,0))),""))))</f>
        <v/>
      </c>
      <c r="K2727" s="71" t="str">
        <f>IF(COUNTA(A2727:G2727)=0,"",IF(G2727&lt;&gt;"",G2727,IF(B2727="","",IFERROR(IF(INDEX(pr_rate,MATCH(B2727,pr_code,0))="","",INDEX(pr_rate,MATCH(B2727,pr_code,0))),""))))</f>
        <v/>
      </c>
      <c r="L2727" s="65" t="str">
        <f>IF(COUNTA(A2727:G2727)=0,"",IF(AND(ISNUMBER(D2727),ISNUMBER(J2727)),ROUND(D2727*J2727*(1-N(F2727)),2),0))</f>
        <v/>
      </c>
      <c r="M2727" s="62" t="str">
        <f>IF(A2727="","",IFERROR(INDEX(fa_cname,MATCH(A2727,fa_num,0))&amp;"",""))</f>
        <v/>
      </c>
      <c r="N2727" s="59" t="str">
        <f>IF(COUNTA(A2727:G2727)=0,"",IF(A2727="","N° facture manquant",IF(ISNA(MATCH(A2727,fa_num,0)),"Facture inconnue",IF(AND(B2727&lt;&gt;"",ISNA(MATCH(B2727,pr_code,0))),"Article inconnu",IF(H2727="","Désignation manquante",IF(OR(NOT(ISNUMBER(D2727)),N(D2727)&lt;=0),"Quantité invalide",IF(J2727="","Prix manquant",IF(OR(NOT(ISNUMBER(J2727)),N(J2727)&lt;0),"Prix invalide",IF(OR(AND(F2727&lt;&gt;"",NOT(ISNUMBER(F2727))),N(F2727)&lt;0,N(F2727)&gt;1),"Remise invalide",IF(K2727="","Taux de TVA manquant",IF(NOT(ISNUMBER(K2727)),"Taux de TVA invalide",IF(COUNTIF(p_rates,K2727)=0,"Taux de TVA hors liste (Paramètres)",IF(N(O2727)&gt;25,"Au-delà de 25 lignes : non imprimée","OK")))))))))))))</f>
        <v/>
      </c>
      <c r="O2727" s="59" t="str">
        <f>IF(A2727="","",COUNTIF($A$6:A2727,A2727))</f>
        <v/>
      </c>
      <c r="P2727" s="62" t="str">
        <f>IF(A2727="","",A2727&amp;"|"&amp;O2727)</f>
        <v/>
      </c>
    </row>
    <row r="2728">
      <c r="A2728" s="60" t="n"/>
      <c r="B2728" s="63" t="n"/>
      <c r="C2728" s="63" t="n"/>
      <c r="D2728" s="67" t="n"/>
      <c r="E2728" s="68" t="n"/>
      <c r="F2728" s="69" t="n"/>
      <c r="G2728" s="70" t="n"/>
      <c r="H2728" s="62" t="str">
        <f>IF(COUNTA(A2728:G2728)=0,"",IF(C2728&lt;&gt;"",C2728,IF(B2728="","",IFERROR(INDEX(pr_des,MATCH(B2728,pr_code,0))&amp;"",""))))</f>
        <v/>
      </c>
      <c r="I2728" s="59" t="str">
        <f>IF(B2728="","",IFERROR(INDEX(pr_unit,MATCH(B2728,pr_code,0))&amp;"",""))</f>
        <v/>
      </c>
      <c r="J2728" s="65" t="str">
        <f>IF(COUNTA(A2728:G2728)=0,"",IF(E2728&lt;&gt;"",E2728,IF(B2728="","",IFERROR(IF(INDEX(pr_price,MATCH(B2728,pr_code,0))="","",INDEX(pr_price,MATCH(B2728,pr_code,0))),""))))</f>
        <v/>
      </c>
      <c r="K2728" s="71" t="str">
        <f>IF(COUNTA(A2728:G2728)=0,"",IF(G2728&lt;&gt;"",G2728,IF(B2728="","",IFERROR(IF(INDEX(pr_rate,MATCH(B2728,pr_code,0))="","",INDEX(pr_rate,MATCH(B2728,pr_code,0))),""))))</f>
        <v/>
      </c>
      <c r="L2728" s="65" t="str">
        <f>IF(COUNTA(A2728:G2728)=0,"",IF(AND(ISNUMBER(D2728),ISNUMBER(J2728)),ROUND(D2728*J2728*(1-N(F2728)),2),0))</f>
        <v/>
      </c>
      <c r="M2728" s="62" t="str">
        <f>IF(A2728="","",IFERROR(INDEX(fa_cname,MATCH(A2728,fa_num,0))&amp;"",""))</f>
        <v/>
      </c>
      <c r="N2728" s="59" t="str">
        <f>IF(COUNTA(A2728:G2728)=0,"",IF(A2728="","N° facture manquant",IF(ISNA(MATCH(A2728,fa_num,0)),"Facture inconnue",IF(AND(B2728&lt;&gt;"",ISNA(MATCH(B2728,pr_code,0))),"Article inconnu",IF(H2728="","Désignation manquante",IF(OR(NOT(ISNUMBER(D2728)),N(D2728)&lt;=0),"Quantité invalide",IF(J2728="","Prix manquant",IF(OR(NOT(ISNUMBER(J2728)),N(J2728)&lt;0),"Prix invalide",IF(OR(AND(F2728&lt;&gt;"",NOT(ISNUMBER(F2728))),N(F2728)&lt;0,N(F2728)&gt;1),"Remise invalide",IF(K2728="","Taux de TVA manquant",IF(NOT(ISNUMBER(K2728)),"Taux de TVA invalide",IF(COUNTIF(p_rates,K2728)=0,"Taux de TVA hors liste (Paramètres)",IF(N(O2728)&gt;25,"Au-delà de 25 lignes : non imprimée","OK")))))))))))))</f>
        <v/>
      </c>
      <c r="O2728" s="59" t="str">
        <f>IF(A2728="","",COUNTIF($A$6:A2728,A2728))</f>
        <v/>
      </c>
      <c r="P2728" s="62" t="str">
        <f>IF(A2728="","",A2728&amp;"|"&amp;O2728)</f>
        <v/>
      </c>
    </row>
    <row r="2729">
      <c r="A2729" s="60" t="n"/>
      <c r="B2729" s="63" t="n"/>
      <c r="C2729" s="63" t="n"/>
      <c r="D2729" s="67" t="n"/>
      <c r="E2729" s="68" t="n"/>
      <c r="F2729" s="69" t="n"/>
      <c r="G2729" s="70" t="n"/>
      <c r="H2729" s="62" t="str">
        <f>IF(COUNTA(A2729:G2729)=0,"",IF(C2729&lt;&gt;"",C2729,IF(B2729="","",IFERROR(INDEX(pr_des,MATCH(B2729,pr_code,0))&amp;"",""))))</f>
        <v/>
      </c>
      <c r="I2729" s="59" t="str">
        <f>IF(B2729="","",IFERROR(INDEX(pr_unit,MATCH(B2729,pr_code,0))&amp;"",""))</f>
        <v/>
      </c>
      <c r="J2729" s="65" t="str">
        <f>IF(COUNTA(A2729:G2729)=0,"",IF(E2729&lt;&gt;"",E2729,IF(B2729="","",IFERROR(IF(INDEX(pr_price,MATCH(B2729,pr_code,0))="","",INDEX(pr_price,MATCH(B2729,pr_code,0))),""))))</f>
        <v/>
      </c>
      <c r="K2729" s="71" t="str">
        <f>IF(COUNTA(A2729:G2729)=0,"",IF(G2729&lt;&gt;"",G2729,IF(B2729="","",IFERROR(IF(INDEX(pr_rate,MATCH(B2729,pr_code,0))="","",INDEX(pr_rate,MATCH(B2729,pr_code,0))),""))))</f>
        <v/>
      </c>
      <c r="L2729" s="65" t="str">
        <f>IF(COUNTA(A2729:G2729)=0,"",IF(AND(ISNUMBER(D2729),ISNUMBER(J2729)),ROUND(D2729*J2729*(1-N(F2729)),2),0))</f>
        <v/>
      </c>
      <c r="M2729" s="62" t="str">
        <f>IF(A2729="","",IFERROR(INDEX(fa_cname,MATCH(A2729,fa_num,0))&amp;"",""))</f>
        <v/>
      </c>
      <c r="N2729" s="59" t="str">
        <f>IF(COUNTA(A2729:G2729)=0,"",IF(A2729="","N° facture manquant",IF(ISNA(MATCH(A2729,fa_num,0)),"Facture inconnue",IF(AND(B2729&lt;&gt;"",ISNA(MATCH(B2729,pr_code,0))),"Article inconnu",IF(H2729="","Désignation manquante",IF(OR(NOT(ISNUMBER(D2729)),N(D2729)&lt;=0),"Quantité invalide",IF(J2729="","Prix manquant",IF(OR(NOT(ISNUMBER(J2729)),N(J2729)&lt;0),"Prix invalide",IF(OR(AND(F2729&lt;&gt;"",NOT(ISNUMBER(F2729))),N(F2729)&lt;0,N(F2729)&gt;1),"Remise invalide",IF(K2729="","Taux de TVA manquant",IF(NOT(ISNUMBER(K2729)),"Taux de TVA invalide",IF(COUNTIF(p_rates,K2729)=0,"Taux de TVA hors liste (Paramètres)",IF(N(O2729)&gt;25,"Au-delà de 25 lignes : non imprimée","OK")))))))))))))</f>
        <v/>
      </c>
      <c r="O2729" s="59" t="str">
        <f>IF(A2729="","",COUNTIF($A$6:A2729,A2729))</f>
        <v/>
      </c>
      <c r="P2729" s="62" t="str">
        <f>IF(A2729="","",A2729&amp;"|"&amp;O2729)</f>
        <v/>
      </c>
    </row>
    <row r="2730">
      <c r="A2730" s="60" t="n"/>
      <c r="B2730" s="63" t="n"/>
      <c r="C2730" s="63" t="n"/>
      <c r="D2730" s="67" t="n"/>
      <c r="E2730" s="68" t="n"/>
      <c r="F2730" s="69" t="n"/>
      <c r="G2730" s="70" t="n"/>
      <c r="H2730" s="62" t="str">
        <f>IF(COUNTA(A2730:G2730)=0,"",IF(C2730&lt;&gt;"",C2730,IF(B2730="","",IFERROR(INDEX(pr_des,MATCH(B2730,pr_code,0))&amp;"",""))))</f>
        <v/>
      </c>
      <c r="I2730" s="59" t="str">
        <f>IF(B2730="","",IFERROR(INDEX(pr_unit,MATCH(B2730,pr_code,0))&amp;"",""))</f>
        <v/>
      </c>
      <c r="J2730" s="65" t="str">
        <f>IF(COUNTA(A2730:G2730)=0,"",IF(E2730&lt;&gt;"",E2730,IF(B2730="","",IFERROR(IF(INDEX(pr_price,MATCH(B2730,pr_code,0))="","",INDEX(pr_price,MATCH(B2730,pr_code,0))),""))))</f>
        <v/>
      </c>
      <c r="K2730" s="71" t="str">
        <f>IF(COUNTA(A2730:G2730)=0,"",IF(G2730&lt;&gt;"",G2730,IF(B2730="","",IFERROR(IF(INDEX(pr_rate,MATCH(B2730,pr_code,0))="","",INDEX(pr_rate,MATCH(B2730,pr_code,0))),""))))</f>
        <v/>
      </c>
      <c r="L2730" s="65" t="str">
        <f>IF(COUNTA(A2730:G2730)=0,"",IF(AND(ISNUMBER(D2730),ISNUMBER(J2730)),ROUND(D2730*J2730*(1-N(F2730)),2),0))</f>
        <v/>
      </c>
      <c r="M2730" s="62" t="str">
        <f>IF(A2730="","",IFERROR(INDEX(fa_cname,MATCH(A2730,fa_num,0))&amp;"",""))</f>
        <v/>
      </c>
      <c r="N2730" s="59" t="str">
        <f>IF(COUNTA(A2730:G2730)=0,"",IF(A2730="","N° facture manquant",IF(ISNA(MATCH(A2730,fa_num,0)),"Facture inconnue",IF(AND(B2730&lt;&gt;"",ISNA(MATCH(B2730,pr_code,0))),"Article inconnu",IF(H2730="","Désignation manquante",IF(OR(NOT(ISNUMBER(D2730)),N(D2730)&lt;=0),"Quantité invalide",IF(J2730="","Prix manquant",IF(OR(NOT(ISNUMBER(J2730)),N(J2730)&lt;0),"Prix invalide",IF(OR(AND(F2730&lt;&gt;"",NOT(ISNUMBER(F2730))),N(F2730)&lt;0,N(F2730)&gt;1),"Remise invalide",IF(K2730="","Taux de TVA manquant",IF(NOT(ISNUMBER(K2730)),"Taux de TVA invalide",IF(COUNTIF(p_rates,K2730)=0,"Taux de TVA hors liste (Paramètres)",IF(N(O2730)&gt;25,"Au-delà de 25 lignes : non imprimée","OK")))))))))))))</f>
        <v/>
      </c>
      <c r="O2730" s="59" t="str">
        <f>IF(A2730="","",COUNTIF($A$6:A2730,A2730))</f>
        <v/>
      </c>
      <c r="P2730" s="62" t="str">
        <f>IF(A2730="","",A2730&amp;"|"&amp;O2730)</f>
        <v/>
      </c>
    </row>
    <row r="2731">
      <c r="A2731" s="60" t="n"/>
      <c r="B2731" s="63" t="n"/>
      <c r="C2731" s="63" t="n"/>
      <c r="D2731" s="67" t="n"/>
      <c r="E2731" s="68" t="n"/>
      <c r="F2731" s="69" t="n"/>
      <c r="G2731" s="70" t="n"/>
      <c r="H2731" s="62" t="str">
        <f>IF(COUNTA(A2731:G2731)=0,"",IF(C2731&lt;&gt;"",C2731,IF(B2731="","",IFERROR(INDEX(pr_des,MATCH(B2731,pr_code,0))&amp;"",""))))</f>
        <v/>
      </c>
      <c r="I2731" s="59" t="str">
        <f>IF(B2731="","",IFERROR(INDEX(pr_unit,MATCH(B2731,pr_code,0))&amp;"",""))</f>
        <v/>
      </c>
      <c r="J2731" s="65" t="str">
        <f>IF(COUNTA(A2731:G2731)=0,"",IF(E2731&lt;&gt;"",E2731,IF(B2731="","",IFERROR(IF(INDEX(pr_price,MATCH(B2731,pr_code,0))="","",INDEX(pr_price,MATCH(B2731,pr_code,0))),""))))</f>
        <v/>
      </c>
      <c r="K2731" s="71" t="str">
        <f>IF(COUNTA(A2731:G2731)=0,"",IF(G2731&lt;&gt;"",G2731,IF(B2731="","",IFERROR(IF(INDEX(pr_rate,MATCH(B2731,pr_code,0))="","",INDEX(pr_rate,MATCH(B2731,pr_code,0))),""))))</f>
        <v/>
      </c>
      <c r="L2731" s="65" t="str">
        <f>IF(COUNTA(A2731:G2731)=0,"",IF(AND(ISNUMBER(D2731),ISNUMBER(J2731)),ROUND(D2731*J2731*(1-N(F2731)),2),0))</f>
        <v/>
      </c>
      <c r="M2731" s="62" t="str">
        <f>IF(A2731="","",IFERROR(INDEX(fa_cname,MATCH(A2731,fa_num,0))&amp;"",""))</f>
        <v/>
      </c>
      <c r="N2731" s="59" t="str">
        <f>IF(COUNTA(A2731:G2731)=0,"",IF(A2731="","N° facture manquant",IF(ISNA(MATCH(A2731,fa_num,0)),"Facture inconnue",IF(AND(B2731&lt;&gt;"",ISNA(MATCH(B2731,pr_code,0))),"Article inconnu",IF(H2731="","Désignation manquante",IF(OR(NOT(ISNUMBER(D2731)),N(D2731)&lt;=0),"Quantité invalide",IF(J2731="","Prix manquant",IF(OR(NOT(ISNUMBER(J2731)),N(J2731)&lt;0),"Prix invalide",IF(OR(AND(F2731&lt;&gt;"",NOT(ISNUMBER(F2731))),N(F2731)&lt;0,N(F2731)&gt;1),"Remise invalide",IF(K2731="","Taux de TVA manquant",IF(NOT(ISNUMBER(K2731)),"Taux de TVA invalide",IF(COUNTIF(p_rates,K2731)=0,"Taux de TVA hors liste (Paramètres)",IF(N(O2731)&gt;25,"Au-delà de 25 lignes : non imprimée","OK")))))))))))))</f>
        <v/>
      </c>
      <c r="O2731" s="59" t="str">
        <f>IF(A2731="","",COUNTIF($A$6:A2731,A2731))</f>
        <v/>
      </c>
      <c r="P2731" s="62" t="str">
        <f>IF(A2731="","",A2731&amp;"|"&amp;O2731)</f>
        <v/>
      </c>
    </row>
    <row r="2732">
      <c r="A2732" s="60" t="n"/>
      <c r="B2732" s="63" t="n"/>
      <c r="C2732" s="63" t="n"/>
      <c r="D2732" s="67" t="n"/>
      <c r="E2732" s="68" t="n"/>
      <c r="F2732" s="69" t="n"/>
      <c r="G2732" s="70" t="n"/>
      <c r="H2732" s="62" t="str">
        <f>IF(COUNTA(A2732:G2732)=0,"",IF(C2732&lt;&gt;"",C2732,IF(B2732="","",IFERROR(INDEX(pr_des,MATCH(B2732,pr_code,0))&amp;"",""))))</f>
        <v/>
      </c>
      <c r="I2732" s="59" t="str">
        <f>IF(B2732="","",IFERROR(INDEX(pr_unit,MATCH(B2732,pr_code,0))&amp;"",""))</f>
        <v/>
      </c>
      <c r="J2732" s="65" t="str">
        <f>IF(COUNTA(A2732:G2732)=0,"",IF(E2732&lt;&gt;"",E2732,IF(B2732="","",IFERROR(IF(INDEX(pr_price,MATCH(B2732,pr_code,0))="","",INDEX(pr_price,MATCH(B2732,pr_code,0))),""))))</f>
        <v/>
      </c>
      <c r="K2732" s="71" t="str">
        <f>IF(COUNTA(A2732:G2732)=0,"",IF(G2732&lt;&gt;"",G2732,IF(B2732="","",IFERROR(IF(INDEX(pr_rate,MATCH(B2732,pr_code,0))="","",INDEX(pr_rate,MATCH(B2732,pr_code,0))),""))))</f>
        <v/>
      </c>
      <c r="L2732" s="65" t="str">
        <f>IF(COUNTA(A2732:G2732)=0,"",IF(AND(ISNUMBER(D2732),ISNUMBER(J2732)),ROUND(D2732*J2732*(1-N(F2732)),2),0))</f>
        <v/>
      </c>
      <c r="M2732" s="62" t="str">
        <f>IF(A2732="","",IFERROR(INDEX(fa_cname,MATCH(A2732,fa_num,0))&amp;"",""))</f>
        <v/>
      </c>
      <c r="N2732" s="59" t="str">
        <f>IF(COUNTA(A2732:G2732)=0,"",IF(A2732="","N° facture manquant",IF(ISNA(MATCH(A2732,fa_num,0)),"Facture inconnue",IF(AND(B2732&lt;&gt;"",ISNA(MATCH(B2732,pr_code,0))),"Article inconnu",IF(H2732="","Désignation manquante",IF(OR(NOT(ISNUMBER(D2732)),N(D2732)&lt;=0),"Quantité invalide",IF(J2732="","Prix manquant",IF(OR(NOT(ISNUMBER(J2732)),N(J2732)&lt;0),"Prix invalide",IF(OR(AND(F2732&lt;&gt;"",NOT(ISNUMBER(F2732))),N(F2732)&lt;0,N(F2732)&gt;1),"Remise invalide",IF(K2732="","Taux de TVA manquant",IF(NOT(ISNUMBER(K2732)),"Taux de TVA invalide",IF(COUNTIF(p_rates,K2732)=0,"Taux de TVA hors liste (Paramètres)",IF(N(O2732)&gt;25,"Au-delà de 25 lignes : non imprimée","OK")))))))))))))</f>
        <v/>
      </c>
      <c r="O2732" s="59" t="str">
        <f>IF(A2732="","",COUNTIF($A$6:A2732,A2732))</f>
        <v/>
      </c>
      <c r="P2732" s="62" t="str">
        <f>IF(A2732="","",A2732&amp;"|"&amp;O2732)</f>
        <v/>
      </c>
    </row>
    <row r="2733">
      <c r="A2733" s="60" t="n"/>
      <c r="B2733" s="63" t="n"/>
      <c r="C2733" s="63" t="n"/>
      <c r="D2733" s="67" t="n"/>
      <c r="E2733" s="68" t="n"/>
      <c r="F2733" s="69" t="n"/>
      <c r="G2733" s="70" t="n"/>
      <c r="H2733" s="62" t="str">
        <f>IF(COUNTA(A2733:G2733)=0,"",IF(C2733&lt;&gt;"",C2733,IF(B2733="","",IFERROR(INDEX(pr_des,MATCH(B2733,pr_code,0))&amp;"",""))))</f>
        <v/>
      </c>
      <c r="I2733" s="59" t="str">
        <f>IF(B2733="","",IFERROR(INDEX(pr_unit,MATCH(B2733,pr_code,0))&amp;"",""))</f>
        <v/>
      </c>
      <c r="J2733" s="65" t="str">
        <f>IF(COUNTA(A2733:G2733)=0,"",IF(E2733&lt;&gt;"",E2733,IF(B2733="","",IFERROR(IF(INDEX(pr_price,MATCH(B2733,pr_code,0))="","",INDEX(pr_price,MATCH(B2733,pr_code,0))),""))))</f>
        <v/>
      </c>
      <c r="K2733" s="71" t="str">
        <f>IF(COUNTA(A2733:G2733)=0,"",IF(G2733&lt;&gt;"",G2733,IF(B2733="","",IFERROR(IF(INDEX(pr_rate,MATCH(B2733,pr_code,0))="","",INDEX(pr_rate,MATCH(B2733,pr_code,0))),""))))</f>
        <v/>
      </c>
      <c r="L2733" s="65" t="str">
        <f>IF(COUNTA(A2733:G2733)=0,"",IF(AND(ISNUMBER(D2733),ISNUMBER(J2733)),ROUND(D2733*J2733*(1-N(F2733)),2),0))</f>
        <v/>
      </c>
      <c r="M2733" s="62" t="str">
        <f>IF(A2733="","",IFERROR(INDEX(fa_cname,MATCH(A2733,fa_num,0))&amp;"",""))</f>
        <v/>
      </c>
      <c r="N2733" s="59" t="str">
        <f>IF(COUNTA(A2733:G2733)=0,"",IF(A2733="","N° facture manquant",IF(ISNA(MATCH(A2733,fa_num,0)),"Facture inconnue",IF(AND(B2733&lt;&gt;"",ISNA(MATCH(B2733,pr_code,0))),"Article inconnu",IF(H2733="","Désignation manquante",IF(OR(NOT(ISNUMBER(D2733)),N(D2733)&lt;=0),"Quantité invalide",IF(J2733="","Prix manquant",IF(OR(NOT(ISNUMBER(J2733)),N(J2733)&lt;0),"Prix invalide",IF(OR(AND(F2733&lt;&gt;"",NOT(ISNUMBER(F2733))),N(F2733)&lt;0,N(F2733)&gt;1),"Remise invalide",IF(K2733="","Taux de TVA manquant",IF(NOT(ISNUMBER(K2733)),"Taux de TVA invalide",IF(COUNTIF(p_rates,K2733)=0,"Taux de TVA hors liste (Paramètres)",IF(N(O2733)&gt;25,"Au-delà de 25 lignes : non imprimée","OK")))))))))))))</f>
        <v/>
      </c>
      <c r="O2733" s="59" t="str">
        <f>IF(A2733="","",COUNTIF($A$6:A2733,A2733))</f>
        <v/>
      </c>
      <c r="P2733" s="62" t="str">
        <f>IF(A2733="","",A2733&amp;"|"&amp;O2733)</f>
        <v/>
      </c>
    </row>
    <row r="2734">
      <c r="A2734" s="60" t="n"/>
      <c r="B2734" s="63" t="n"/>
      <c r="C2734" s="63" t="n"/>
      <c r="D2734" s="67" t="n"/>
      <c r="E2734" s="68" t="n"/>
      <c r="F2734" s="69" t="n"/>
      <c r="G2734" s="70" t="n"/>
      <c r="H2734" s="62" t="str">
        <f>IF(COUNTA(A2734:G2734)=0,"",IF(C2734&lt;&gt;"",C2734,IF(B2734="","",IFERROR(INDEX(pr_des,MATCH(B2734,pr_code,0))&amp;"",""))))</f>
        <v/>
      </c>
      <c r="I2734" s="59" t="str">
        <f>IF(B2734="","",IFERROR(INDEX(pr_unit,MATCH(B2734,pr_code,0))&amp;"",""))</f>
        <v/>
      </c>
      <c r="J2734" s="65" t="str">
        <f>IF(COUNTA(A2734:G2734)=0,"",IF(E2734&lt;&gt;"",E2734,IF(B2734="","",IFERROR(IF(INDEX(pr_price,MATCH(B2734,pr_code,0))="","",INDEX(pr_price,MATCH(B2734,pr_code,0))),""))))</f>
        <v/>
      </c>
      <c r="K2734" s="71" t="str">
        <f>IF(COUNTA(A2734:G2734)=0,"",IF(G2734&lt;&gt;"",G2734,IF(B2734="","",IFERROR(IF(INDEX(pr_rate,MATCH(B2734,pr_code,0))="","",INDEX(pr_rate,MATCH(B2734,pr_code,0))),""))))</f>
        <v/>
      </c>
      <c r="L2734" s="65" t="str">
        <f>IF(COUNTA(A2734:G2734)=0,"",IF(AND(ISNUMBER(D2734),ISNUMBER(J2734)),ROUND(D2734*J2734*(1-N(F2734)),2),0))</f>
        <v/>
      </c>
      <c r="M2734" s="62" t="str">
        <f>IF(A2734="","",IFERROR(INDEX(fa_cname,MATCH(A2734,fa_num,0))&amp;"",""))</f>
        <v/>
      </c>
      <c r="N2734" s="59" t="str">
        <f>IF(COUNTA(A2734:G2734)=0,"",IF(A2734="","N° facture manquant",IF(ISNA(MATCH(A2734,fa_num,0)),"Facture inconnue",IF(AND(B2734&lt;&gt;"",ISNA(MATCH(B2734,pr_code,0))),"Article inconnu",IF(H2734="","Désignation manquante",IF(OR(NOT(ISNUMBER(D2734)),N(D2734)&lt;=0),"Quantité invalide",IF(J2734="","Prix manquant",IF(OR(NOT(ISNUMBER(J2734)),N(J2734)&lt;0),"Prix invalide",IF(OR(AND(F2734&lt;&gt;"",NOT(ISNUMBER(F2734))),N(F2734)&lt;0,N(F2734)&gt;1),"Remise invalide",IF(K2734="","Taux de TVA manquant",IF(NOT(ISNUMBER(K2734)),"Taux de TVA invalide",IF(COUNTIF(p_rates,K2734)=0,"Taux de TVA hors liste (Paramètres)",IF(N(O2734)&gt;25,"Au-delà de 25 lignes : non imprimée","OK")))))))))))))</f>
        <v/>
      </c>
      <c r="O2734" s="59" t="str">
        <f>IF(A2734="","",COUNTIF($A$6:A2734,A2734))</f>
        <v/>
      </c>
      <c r="P2734" s="62" t="str">
        <f>IF(A2734="","",A2734&amp;"|"&amp;O2734)</f>
        <v/>
      </c>
    </row>
    <row r="2735">
      <c r="A2735" s="60" t="n"/>
      <c r="B2735" s="63" t="n"/>
      <c r="C2735" s="63" t="n"/>
      <c r="D2735" s="67" t="n"/>
      <c r="E2735" s="68" t="n"/>
      <c r="F2735" s="69" t="n"/>
      <c r="G2735" s="70" t="n"/>
      <c r="H2735" s="62" t="str">
        <f>IF(COUNTA(A2735:G2735)=0,"",IF(C2735&lt;&gt;"",C2735,IF(B2735="","",IFERROR(INDEX(pr_des,MATCH(B2735,pr_code,0))&amp;"",""))))</f>
        <v/>
      </c>
      <c r="I2735" s="59" t="str">
        <f>IF(B2735="","",IFERROR(INDEX(pr_unit,MATCH(B2735,pr_code,0))&amp;"",""))</f>
        <v/>
      </c>
      <c r="J2735" s="65" t="str">
        <f>IF(COUNTA(A2735:G2735)=0,"",IF(E2735&lt;&gt;"",E2735,IF(B2735="","",IFERROR(IF(INDEX(pr_price,MATCH(B2735,pr_code,0))="","",INDEX(pr_price,MATCH(B2735,pr_code,0))),""))))</f>
        <v/>
      </c>
      <c r="K2735" s="71" t="str">
        <f>IF(COUNTA(A2735:G2735)=0,"",IF(G2735&lt;&gt;"",G2735,IF(B2735="","",IFERROR(IF(INDEX(pr_rate,MATCH(B2735,pr_code,0))="","",INDEX(pr_rate,MATCH(B2735,pr_code,0))),""))))</f>
        <v/>
      </c>
      <c r="L2735" s="65" t="str">
        <f>IF(COUNTA(A2735:G2735)=0,"",IF(AND(ISNUMBER(D2735),ISNUMBER(J2735)),ROUND(D2735*J2735*(1-N(F2735)),2),0))</f>
        <v/>
      </c>
      <c r="M2735" s="62" t="str">
        <f>IF(A2735="","",IFERROR(INDEX(fa_cname,MATCH(A2735,fa_num,0))&amp;"",""))</f>
        <v/>
      </c>
      <c r="N2735" s="59" t="str">
        <f>IF(COUNTA(A2735:G2735)=0,"",IF(A2735="","N° facture manquant",IF(ISNA(MATCH(A2735,fa_num,0)),"Facture inconnue",IF(AND(B2735&lt;&gt;"",ISNA(MATCH(B2735,pr_code,0))),"Article inconnu",IF(H2735="","Désignation manquante",IF(OR(NOT(ISNUMBER(D2735)),N(D2735)&lt;=0),"Quantité invalide",IF(J2735="","Prix manquant",IF(OR(NOT(ISNUMBER(J2735)),N(J2735)&lt;0),"Prix invalide",IF(OR(AND(F2735&lt;&gt;"",NOT(ISNUMBER(F2735))),N(F2735)&lt;0,N(F2735)&gt;1),"Remise invalide",IF(K2735="","Taux de TVA manquant",IF(NOT(ISNUMBER(K2735)),"Taux de TVA invalide",IF(COUNTIF(p_rates,K2735)=0,"Taux de TVA hors liste (Paramètres)",IF(N(O2735)&gt;25,"Au-delà de 25 lignes : non imprimée","OK")))))))))))))</f>
        <v/>
      </c>
      <c r="O2735" s="59" t="str">
        <f>IF(A2735="","",COUNTIF($A$6:A2735,A2735))</f>
        <v/>
      </c>
      <c r="P2735" s="62" t="str">
        <f>IF(A2735="","",A2735&amp;"|"&amp;O2735)</f>
        <v/>
      </c>
    </row>
    <row r="2736">
      <c r="A2736" s="60" t="n"/>
      <c r="B2736" s="63" t="n"/>
      <c r="C2736" s="63" t="n"/>
      <c r="D2736" s="67" t="n"/>
      <c r="E2736" s="68" t="n"/>
      <c r="F2736" s="69" t="n"/>
      <c r="G2736" s="70" t="n"/>
      <c r="H2736" s="62" t="str">
        <f>IF(COUNTA(A2736:G2736)=0,"",IF(C2736&lt;&gt;"",C2736,IF(B2736="","",IFERROR(INDEX(pr_des,MATCH(B2736,pr_code,0))&amp;"",""))))</f>
        <v/>
      </c>
      <c r="I2736" s="59" t="str">
        <f>IF(B2736="","",IFERROR(INDEX(pr_unit,MATCH(B2736,pr_code,0))&amp;"",""))</f>
        <v/>
      </c>
      <c r="J2736" s="65" t="str">
        <f>IF(COUNTA(A2736:G2736)=0,"",IF(E2736&lt;&gt;"",E2736,IF(B2736="","",IFERROR(IF(INDEX(pr_price,MATCH(B2736,pr_code,0))="","",INDEX(pr_price,MATCH(B2736,pr_code,0))),""))))</f>
        <v/>
      </c>
      <c r="K2736" s="71" t="str">
        <f>IF(COUNTA(A2736:G2736)=0,"",IF(G2736&lt;&gt;"",G2736,IF(B2736="","",IFERROR(IF(INDEX(pr_rate,MATCH(B2736,pr_code,0))="","",INDEX(pr_rate,MATCH(B2736,pr_code,0))),""))))</f>
        <v/>
      </c>
      <c r="L2736" s="65" t="str">
        <f>IF(COUNTA(A2736:G2736)=0,"",IF(AND(ISNUMBER(D2736),ISNUMBER(J2736)),ROUND(D2736*J2736*(1-N(F2736)),2),0))</f>
        <v/>
      </c>
      <c r="M2736" s="62" t="str">
        <f>IF(A2736="","",IFERROR(INDEX(fa_cname,MATCH(A2736,fa_num,0))&amp;"",""))</f>
        <v/>
      </c>
      <c r="N2736" s="59" t="str">
        <f>IF(COUNTA(A2736:G2736)=0,"",IF(A2736="","N° facture manquant",IF(ISNA(MATCH(A2736,fa_num,0)),"Facture inconnue",IF(AND(B2736&lt;&gt;"",ISNA(MATCH(B2736,pr_code,0))),"Article inconnu",IF(H2736="","Désignation manquante",IF(OR(NOT(ISNUMBER(D2736)),N(D2736)&lt;=0),"Quantité invalide",IF(J2736="","Prix manquant",IF(OR(NOT(ISNUMBER(J2736)),N(J2736)&lt;0),"Prix invalide",IF(OR(AND(F2736&lt;&gt;"",NOT(ISNUMBER(F2736))),N(F2736)&lt;0,N(F2736)&gt;1),"Remise invalide",IF(K2736="","Taux de TVA manquant",IF(NOT(ISNUMBER(K2736)),"Taux de TVA invalide",IF(COUNTIF(p_rates,K2736)=0,"Taux de TVA hors liste (Paramètres)",IF(N(O2736)&gt;25,"Au-delà de 25 lignes : non imprimée","OK")))))))))))))</f>
        <v/>
      </c>
      <c r="O2736" s="59" t="str">
        <f>IF(A2736="","",COUNTIF($A$6:A2736,A2736))</f>
        <v/>
      </c>
      <c r="P2736" s="62" t="str">
        <f>IF(A2736="","",A2736&amp;"|"&amp;O2736)</f>
        <v/>
      </c>
    </row>
    <row r="2737">
      <c r="A2737" s="60" t="n"/>
      <c r="B2737" s="63" t="n"/>
      <c r="C2737" s="63" t="n"/>
      <c r="D2737" s="67" t="n"/>
      <c r="E2737" s="68" t="n"/>
      <c r="F2737" s="69" t="n"/>
      <c r="G2737" s="70" t="n"/>
      <c r="H2737" s="62" t="str">
        <f>IF(COUNTA(A2737:G2737)=0,"",IF(C2737&lt;&gt;"",C2737,IF(B2737="","",IFERROR(INDEX(pr_des,MATCH(B2737,pr_code,0))&amp;"",""))))</f>
        <v/>
      </c>
      <c r="I2737" s="59" t="str">
        <f>IF(B2737="","",IFERROR(INDEX(pr_unit,MATCH(B2737,pr_code,0))&amp;"",""))</f>
        <v/>
      </c>
      <c r="J2737" s="65" t="str">
        <f>IF(COUNTA(A2737:G2737)=0,"",IF(E2737&lt;&gt;"",E2737,IF(B2737="","",IFERROR(IF(INDEX(pr_price,MATCH(B2737,pr_code,0))="","",INDEX(pr_price,MATCH(B2737,pr_code,0))),""))))</f>
        <v/>
      </c>
      <c r="K2737" s="71" t="str">
        <f>IF(COUNTA(A2737:G2737)=0,"",IF(G2737&lt;&gt;"",G2737,IF(B2737="","",IFERROR(IF(INDEX(pr_rate,MATCH(B2737,pr_code,0))="","",INDEX(pr_rate,MATCH(B2737,pr_code,0))),""))))</f>
        <v/>
      </c>
      <c r="L2737" s="65" t="str">
        <f>IF(COUNTA(A2737:G2737)=0,"",IF(AND(ISNUMBER(D2737),ISNUMBER(J2737)),ROUND(D2737*J2737*(1-N(F2737)),2),0))</f>
        <v/>
      </c>
      <c r="M2737" s="62" t="str">
        <f>IF(A2737="","",IFERROR(INDEX(fa_cname,MATCH(A2737,fa_num,0))&amp;"",""))</f>
        <v/>
      </c>
      <c r="N2737" s="59" t="str">
        <f>IF(COUNTA(A2737:G2737)=0,"",IF(A2737="","N° facture manquant",IF(ISNA(MATCH(A2737,fa_num,0)),"Facture inconnue",IF(AND(B2737&lt;&gt;"",ISNA(MATCH(B2737,pr_code,0))),"Article inconnu",IF(H2737="","Désignation manquante",IF(OR(NOT(ISNUMBER(D2737)),N(D2737)&lt;=0),"Quantité invalide",IF(J2737="","Prix manquant",IF(OR(NOT(ISNUMBER(J2737)),N(J2737)&lt;0),"Prix invalide",IF(OR(AND(F2737&lt;&gt;"",NOT(ISNUMBER(F2737))),N(F2737)&lt;0,N(F2737)&gt;1),"Remise invalide",IF(K2737="","Taux de TVA manquant",IF(NOT(ISNUMBER(K2737)),"Taux de TVA invalide",IF(COUNTIF(p_rates,K2737)=0,"Taux de TVA hors liste (Paramètres)",IF(N(O2737)&gt;25,"Au-delà de 25 lignes : non imprimée","OK")))))))))))))</f>
        <v/>
      </c>
      <c r="O2737" s="59" t="str">
        <f>IF(A2737="","",COUNTIF($A$6:A2737,A2737))</f>
        <v/>
      </c>
      <c r="P2737" s="62" t="str">
        <f>IF(A2737="","",A2737&amp;"|"&amp;O2737)</f>
        <v/>
      </c>
    </row>
    <row r="2738">
      <c r="A2738" s="60" t="n"/>
      <c r="B2738" s="63" t="n"/>
      <c r="C2738" s="63" t="n"/>
      <c r="D2738" s="67" t="n"/>
      <c r="E2738" s="68" t="n"/>
      <c r="F2738" s="69" t="n"/>
      <c r="G2738" s="70" t="n"/>
      <c r="H2738" s="62" t="str">
        <f>IF(COUNTA(A2738:G2738)=0,"",IF(C2738&lt;&gt;"",C2738,IF(B2738="","",IFERROR(INDEX(pr_des,MATCH(B2738,pr_code,0))&amp;"",""))))</f>
        <v/>
      </c>
      <c r="I2738" s="59" t="str">
        <f>IF(B2738="","",IFERROR(INDEX(pr_unit,MATCH(B2738,pr_code,0))&amp;"",""))</f>
        <v/>
      </c>
      <c r="J2738" s="65" t="str">
        <f>IF(COUNTA(A2738:G2738)=0,"",IF(E2738&lt;&gt;"",E2738,IF(B2738="","",IFERROR(IF(INDEX(pr_price,MATCH(B2738,pr_code,0))="","",INDEX(pr_price,MATCH(B2738,pr_code,0))),""))))</f>
        <v/>
      </c>
      <c r="K2738" s="71" t="str">
        <f>IF(COUNTA(A2738:G2738)=0,"",IF(G2738&lt;&gt;"",G2738,IF(B2738="","",IFERROR(IF(INDEX(pr_rate,MATCH(B2738,pr_code,0))="","",INDEX(pr_rate,MATCH(B2738,pr_code,0))),""))))</f>
        <v/>
      </c>
      <c r="L2738" s="65" t="str">
        <f>IF(COUNTA(A2738:G2738)=0,"",IF(AND(ISNUMBER(D2738),ISNUMBER(J2738)),ROUND(D2738*J2738*(1-N(F2738)),2),0))</f>
        <v/>
      </c>
      <c r="M2738" s="62" t="str">
        <f>IF(A2738="","",IFERROR(INDEX(fa_cname,MATCH(A2738,fa_num,0))&amp;"",""))</f>
        <v/>
      </c>
      <c r="N2738" s="59" t="str">
        <f>IF(COUNTA(A2738:G2738)=0,"",IF(A2738="","N° facture manquant",IF(ISNA(MATCH(A2738,fa_num,0)),"Facture inconnue",IF(AND(B2738&lt;&gt;"",ISNA(MATCH(B2738,pr_code,0))),"Article inconnu",IF(H2738="","Désignation manquante",IF(OR(NOT(ISNUMBER(D2738)),N(D2738)&lt;=0),"Quantité invalide",IF(J2738="","Prix manquant",IF(OR(NOT(ISNUMBER(J2738)),N(J2738)&lt;0),"Prix invalide",IF(OR(AND(F2738&lt;&gt;"",NOT(ISNUMBER(F2738))),N(F2738)&lt;0,N(F2738)&gt;1),"Remise invalide",IF(K2738="","Taux de TVA manquant",IF(NOT(ISNUMBER(K2738)),"Taux de TVA invalide",IF(COUNTIF(p_rates,K2738)=0,"Taux de TVA hors liste (Paramètres)",IF(N(O2738)&gt;25,"Au-delà de 25 lignes : non imprimée","OK")))))))))))))</f>
        <v/>
      </c>
      <c r="O2738" s="59" t="str">
        <f>IF(A2738="","",COUNTIF($A$6:A2738,A2738))</f>
        <v/>
      </c>
      <c r="P2738" s="62" t="str">
        <f>IF(A2738="","",A2738&amp;"|"&amp;O2738)</f>
        <v/>
      </c>
    </row>
    <row r="2739">
      <c r="A2739" s="60" t="n"/>
      <c r="B2739" s="63" t="n"/>
      <c r="C2739" s="63" t="n"/>
      <c r="D2739" s="67" t="n"/>
      <c r="E2739" s="68" t="n"/>
      <c r="F2739" s="69" t="n"/>
      <c r="G2739" s="70" t="n"/>
      <c r="H2739" s="62" t="str">
        <f>IF(COUNTA(A2739:G2739)=0,"",IF(C2739&lt;&gt;"",C2739,IF(B2739="","",IFERROR(INDEX(pr_des,MATCH(B2739,pr_code,0))&amp;"",""))))</f>
        <v/>
      </c>
      <c r="I2739" s="59" t="str">
        <f>IF(B2739="","",IFERROR(INDEX(pr_unit,MATCH(B2739,pr_code,0))&amp;"",""))</f>
        <v/>
      </c>
      <c r="J2739" s="65" t="str">
        <f>IF(COUNTA(A2739:G2739)=0,"",IF(E2739&lt;&gt;"",E2739,IF(B2739="","",IFERROR(IF(INDEX(pr_price,MATCH(B2739,pr_code,0))="","",INDEX(pr_price,MATCH(B2739,pr_code,0))),""))))</f>
        <v/>
      </c>
      <c r="K2739" s="71" t="str">
        <f>IF(COUNTA(A2739:G2739)=0,"",IF(G2739&lt;&gt;"",G2739,IF(B2739="","",IFERROR(IF(INDEX(pr_rate,MATCH(B2739,pr_code,0))="","",INDEX(pr_rate,MATCH(B2739,pr_code,0))),""))))</f>
        <v/>
      </c>
      <c r="L2739" s="65" t="str">
        <f>IF(COUNTA(A2739:G2739)=0,"",IF(AND(ISNUMBER(D2739),ISNUMBER(J2739)),ROUND(D2739*J2739*(1-N(F2739)),2),0))</f>
        <v/>
      </c>
      <c r="M2739" s="62" t="str">
        <f>IF(A2739="","",IFERROR(INDEX(fa_cname,MATCH(A2739,fa_num,0))&amp;"",""))</f>
        <v/>
      </c>
      <c r="N2739" s="59" t="str">
        <f>IF(COUNTA(A2739:G2739)=0,"",IF(A2739="","N° facture manquant",IF(ISNA(MATCH(A2739,fa_num,0)),"Facture inconnue",IF(AND(B2739&lt;&gt;"",ISNA(MATCH(B2739,pr_code,0))),"Article inconnu",IF(H2739="","Désignation manquante",IF(OR(NOT(ISNUMBER(D2739)),N(D2739)&lt;=0),"Quantité invalide",IF(J2739="","Prix manquant",IF(OR(NOT(ISNUMBER(J2739)),N(J2739)&lt;0),"Prix invalide",IF(OR(AND(F2739&lt;&gt;"",NOT(ISNUMBER(F2739))),N(F2739)&lt;0,N(F2739)&gt;1),"Remise invalide",IF(K2739="","Taux de TVA manquant",IF(NOT(ISNUMBER(K2739)),"Taux de TVA invalide",IF(COUNTIF(p_rates,K2739)=0,"Taux de TVA hors liste (Paramètres)",IF(N(O2739)&gt;25,"Au-delà de 25 lignes : non imprimée","OK")))))))))))))</f>
        <v/>
      </c>
      <c r="O2739" s="59" t="str">
        <f>IF(A2739="","",COUNTIF($A$6:A2739,A2739))</f>
        <v/>
      </c>
      <c r="P2739" s="62" t="str">
        <f>IF(A2739="","",A2739&amp;"|"&amp;O2739)</f>
        <v/>
      </c>
    </row>
    <row r="2740">
      <c r="A2740" s="60" t="n"/>
      <c r="B2740" s="63" t="n"/>
      <c r="C2740" s="63" t="n"/>
      <c r="D2740" s="67" t="n"/>
      <c r="E2740" s="68" t="n"/>
      <c r="F2740" s="69" t="n"/>
      <c r="G2740" s="70" t="n"/>
      <c r="H2740" s="62" t="str">
        <f>IF(COUNTA(A2740:G2740)=0,"",IF(C2740&lt;&gt;"",C2740,IF(B2740="","",IFERROR(INDEX(pr_des,MATCH(B2740,pr_code,0))&amp;"",""))))</f>
        <v/>
      </c>
      <c r="I2740" s="59" t="str">
        <f>IF(B2740="","",IFERROR(INDEX(pr_unit,MATCH(B2740,pr_code,0))&amp;"",""))</f>
        <v/>
      </c>
      <c r="J2740" s="65" t="str">
        <f>IF(COUNTA(A2740:G2740)=0,"",IF(E2740&lt;&gt;"",E2740,IF(B2740="","",IFERROR(IF(INDEX(pr_price,MATCH(B2740,pr_code,0))="","",INDEX(pr_price,MATCH(B2740,pr_code,0))),""))))</f>
        <v/>
      </c>
      <c r="K2740" s="71" t="str">
        <f>IF(COUNTA(A2740:G2740)=0,"",IF(G2740&lt;&gt;"",G2740,IF(B2740="","",IFERROR(IF(INDEX(pr_rate,MATCH(B2740,pr_code,0))="","",INDEX(pr_rate,MATCH(B2740,pr_code,0))),""))))</f>
        <v/>
      </c>
      <c r="L2740" s="65" t="str">
        <f>IF(COUNTA(A2740:G2740)=0,"",IF(AND(ISNUMBER(D2740),ISNUMBER(J2740)),ROUND(D2740*J2740*(1-N(F2740)),2),0))</f>
        <v/>
      </c>
      <c r="M2740" s="62" t="str">
        <f>IF(A2740="","",IFERROR(INDEX(fa_cname,MATCH(A2740,fa_num,0))&amp;"",""))</f>
        <v/>
      </c>
      <c r="N2740" s="59" t="str">
        <f>IF(COUNTA(A2740:G2740)=0,"",IF(A2740="","N° facture manquant",IF(ISNA(MATCH(A2740,fa_num,0)),"Facture inconnue",IF(AND(B2740&lt;&gt;"",ISNA(MATCH(B2740,pr_code,0))),"Article inconnu",IF(H2740="","Désignation manquante",IF(OR(NOT(ISNUMBER(D2740)),N(D2740)&lt;=0),"Quantité invalide",IF(J2740="","Prix manquant",IF(OR(NOT(ISNUMBER(J2740)),N(J2740)&lt;0),"Prix invalide",IF(OR(AND(F2740&lt;&gt;"",NOT(ISNUMBER(F2740))),N(F2740)&lt;0,N(F2740)&gt;1),"Remise invalide",IF(K2740="","Taux de TVA manquant",IF(NOT(ISNUMBER(K2740)),"Taux de TVA invalide",IF(COUNTIF(p_rates,K2740)=0,"Taux de TVA hors liste (Paramètres)",IF(N(O2740)&gt;25,"Au-delà de 25 lignes : non imprimée","OK")))))))))))))</f>
        <v/>
      </c>
      <c r="O2740" s="59" t="str">
        <f>IF(A2740="","",COUNTIF($A$6:A2740,A2740))</f>
        <v/>
      </c>
      <c r="P2740" s="62" t="str">
        <f>IF(A2740="","",A2740&amp;"|"&amp;O2740)</f>
        <v/>
      </c>
    </row>
    <row r="2741">
      <c r="A2741" s="60" t="n"/>
      <c r="B2741" s="63" t="n"/>
      <c r="C2741" s="63" t="n"/>
      <c r="D2741" s="67" t="n"/>
      <c r="E2741" s="68" t="n"/>
      <c r="F2741" s="69" t="n"/>
      <c r="G2741" s="70" t="n"/>
      <c r="H2741" s="62" t="str">
        <f>IF(COUNTA(A2741:G2741)=0,"",IF(C2741&lt;&gt;"",C2741,IF(B2741="","",IFERROR(INDEX(pr_des,MATCH(B2741,pr_code,0))&amp;"",""))))</f>
        <v/>
      </c>
      <c r="I2741" s="59" t="str">
        <f>IF(B2741="","",IFERROR(INDEX(pr_unit,MATCH(B2741,pr_code,0))&amp;"",""))</f>
        <v/>
      </c>
      <c r="J2741" s="65" t="str">
        <f>IF(COUNTA(A2741:G2741)=0,"",IF(E2741&lt;&gt;"",E2741,IF(B2741="","",IFERROR(IF(INDEX(pr_price,MATCH(B2741,pr_code,0))="","",INDEX(pr_price,MATCH(B2741,pr_code,0))),""))))</f>
        <v/>
      </c>
      <c r="K2741" s="71" t="str">
        <f>IF(COUNTA(A2741:G2741)=0,"",IF(G2741&lt;&gt;"",G2741,IF(B2741="","",IFERROR(IF(INDEX(pr_rate,MATCH(B2741,pr_code,0))="","",INDEX(pr_rate,MATCH(B2741,pr_code,0))),""))))</f>
        <v/>
      </c>
      <c r="L2741" s="65" t="str">
        <f>IF(COUNTA(A2741:G2741)=0,"",IF(AND(ISNUMBER(D2741),ISNUMBER(J2741)),ROUND(D2741*J2741*(1-N(F2741)),2),0))</f>
        <v/>
      </c>
      <c r="M2741" s="62" t="str">
        <f>IF(A2741="","",IFERROR(INDEX(fa_cname,MATCH(A2741,fa_num,0))&amp;"",""))</f>
        <v/>
      </c>
      <c r="N2741" s="59" t="str">
        <f>IF(COUNTA(A2741:G2741)=0,"",IF(A2741="","N° facture manquant",IF(ISNA(MATCH(A2741,fa_num,0)),"Facture inconnue",IF(AND(B2741&lt;&gt;"",ISNA(MATCH(B2741,pr_code,0))),"Article inconnu",IF(H2741="","Désignation manquante",IF(OR(NOT(ISNUMBER(D2741)),N(D2741)&lt;=0),"Quantité invalide",IF(J2741="","Prix manquant",IF(OR(NOT(ISNUMBER(J2741)),N(J2741)&lt;0),"Prix invalide",IF(OR(AND(F2741&lt;&gt;"",NOT(ISNUMBER(F2741))),N(F2741)&lt;0,N(F2741)&gt;1),"Remise invalide",IF(K2741="","Taux de TVA manquant",IF(NOT(ISNUMBER(K2741)),"Taux de TVA invalide",IF(COUNTIF(p_rates,K2741)=0,"Taux de TVA hors liste (Paramètres)",IF(N(O2741)&gt;25,"Au-delà de 25 lignes : non imprimée","OK")))))))))))))</f>
        <v/>
      </c>
      <c r="O2741" s="59" t="str">
        <f>IF(A2741="","",COUNTIF($A$6:A2741,A2741))</f>
        <v/>
      </c>
      <c r="P2741" s="62" t="str">
        <f>IF(A2741="","",A2741&amp;"|"&amp;O2741)</f>
        <v/>
      </c>
    </row>
    <row r="2742">
      <c r="A2742" s="60" t="n"/>
      <c r="B2742" s="63" t="n"/>
      <c r="C2742" s="63" t="n"/>
      <c r="D2742" s="67" t="n"/>
      <c r="E2742" s="68" t="n"/>
      <c r="F2742" s="69" t="n"/>
      <c r="G2742" s="70" t="n"/>
      <c r="H2742" s="62" t="str">
        <f>IF(COUNTA(A2742:G2742)=0,"",IF(C2742&lt;&gt;"",C2742,IF(B2742="","",IFERROR(INDEX(pr_des,MATCH(B2742,pr_code,0))&amp;"",""))))</f>
        <v/>
      </c>
      <c r="I2742" s="59" t="str">
        <f>IF(B2742="","",IFERROR(INDEX(pr_unit,MATCH(B2742,pr_code,0))&amp;"",""))</f>
        <v/>
      </c>
      <c r="J2742" s="65" t="str">
        <f>IF(COUNTA(A2742:G2742)=0,"",IF(E2742&lt;&gt;"",E2742,IF(B2742="","",IFERROR(IF(INDEX(pr_price,MATCH(B2742,pr_code,0))="","",INDEX(pr_price,MATCH(B2742,pr_code,0))),""))))</f>
        <v/>
      </c>
      <c r="K2742" s="71" t="str">
        <f>IF(COUNTA(A2742:G2742)=0,"",IF(G2742&lt;&gt;"",G2742,IF(B2742="","",IFERROR(IF(INDEX(pr_rate,MATCH(B2742,pr_code,0))="","",INDEX(pr_rate,MATCH(B2742,pr_code,0))),""))))</f>
        <v/>
      </c>
      <c r="L2742" s="65" t="str">
        <f>IF(COUNTA(A2742:G2742)=0,"",IF(AND(ISNUMBER(D2742),ISNUMBER(J2742)),ROUND(D2742*J2742*(1-N(F2742)),2),0))</f>
        <v/>
      </c>
      <c r="M2742" s="62" t="str">
        <f>IF(A2742="","",IFERROR(INDEX(fa_cname,MATCH(A2742,fa_num,0))&amp;"",""))</f>
        <v/>
      </c>
      <c r="N2742" s="59" t="str">
        <f>IF(COUNTA(A2742:G2742)=0,"",IF(A2742="","N° facture manquant",IF(ISNA(MATCH(A2742,fa_num,0)),"Facture inconnue",IF(AND(B2742&lt;&gt;"",ISNA(MATCH(B2742,pr_code,0))),"Article inconnu",IF(H2742="","Désignation manquante",IF(OR(NOT(ISNUMBER(D2742)),N(D2742)&lt;=0),"Quantité invalide",IF(J2742="","Prix manquant",IF(OR(NOT(ISNUMBER(J2742)),N(J2742)&lt;0),"Prix invalide",IF(OR(AND(F2742&lt;&gt;"",NOT(ISNUMBER(F2742))),N(F2742)&lt;0,N(F2742)&gt;1),"Remise invalide",IF(K2742="","Taux de TVA manquant",IF(NOT(ISNUMBER(K2742)),"Taux de TVA invalide",IF(COUNTIF(p_rates,K2742)=0,"Taux de TVA hors liste (Paramètres)",IF(N(O2742)&gt;25,"Au-delà de 25 lignes : non imprimée","OK")))))))))))))</f>
        <v/>
      </c>
      <c r="O2742" s="59" t="str">
        <f>IF(A2742="","",COUNTIF($A$6:A2742,A2742))</f>
        <v/>
      </c>
      <c r="P2742" s="62" t="str">
        <f>IF(A2742="","",A2742&amp;"|"&amp;O2742)</f>
        <v/>
      </c>
    </row>
    <row r="2743">
      <c r="A2743" s="60" t="n"/>
      <c r="B2743" s="63" t="n"/>
      <c r="C2743" s="63" t="n"/>
      <c r="D2743" s="67" t="n"/>
      <c r="E2743" s="68" t="n"/>
      <c r="F2743" s="69" t="n"/>
      <c r="G2743" s="70" t="n"/>
      <c r="H2743" s="62" t="str">
        <f>IF(COUNTA(A2743:G2743)=0,"",IF(C2743&lt;&gt;"",C2743,IF(B2743="","",IFERROR(INDEX(pr_des,MATCH(B2743,pr_code,0))&amp;"",""))))</f>
        <v/>
      </c>
      <c r="I2743" s="59" t="str">
        <f>IF(B2743="","",IFERROR(INDEX(pr_unit,MATCH(B2743,pr_code,0))&amp;"",""))</f>
        <v/>
      </c>
      <c r="J2743" s="65" t="str">
        <f>IF(COUNTA(A2743:G2743)=0,"",IF(E2743&lt;&gt;"",E2743,IF(B2743="","",IFERROR(IF(INDEX(pr_price,MATCH(B2743,pr_code,0))="","",INDEX(pr_price,MATCH(B2743,pr_code,0))),""))))</f>
        <v/>
      </c>
      <c r="K2743" s="71" t="str">
        <f>IF(COUNTA(A2743:G2743)=0,"",IF(G2743&lt;&gt;"",G2743,IF(B2743="","",IFERROR(IF(INDEX(pr_rate,MATCH(B2743,pr_code,0))="","",INDEX(pr_rate,MATCH(B2743,pr_code,0))),""))))</f>
        <v/>
      </c>
      <c r="L2743" s="65" t="str">
        <f>IF(COUNTA(A2743:G2743)=0,"",IF(AND(ISNUMBER(D2743),ISNUMBER(J2743)),ROUND(D2743*J2743*(1-N(F2743)),2),0))</f>
        <v/>
      </c>
      <c r="M2743" s="62" t="str">
        <f>IF(A2743="","",IFERROR(INDEX(fa_cname,MATCH(A2743,fa_num,0))&amp;"",""))</f>
        <v/>
      </c>
      <c r="N2743" s="59" t="str">
        <f>IF(COUNTA(A2743:G2743)=0,"",IF(A2743="","N° facture manquant",IF(ISNA(MATCH(A2743,fa_num,0)),"Facture inconnue",IF(AND(B2743&lt;&gt;"",ISNA(MATCH(B2743,pr_code,0))),"Article inconnu",IF(H2743="","Désignation manquante",IF(OR(NOT(ISNUMBER(D2743)),N(D2743)&lt;=0),"Quantité invalide",IF(J2743="","Prix manquant",IF(OR(NOT(ISNUMBER(J2743)),N(J2743)&lt;0),"Prix invalide",IF(OR(AND(F2743&lt;&gt;"",NOT(ISNUMBER(F2743))),N(F2743)&lt;0,N(F2743)&gt;1),"Remise invalide",IF(K2743="","Taux de TVA manquant",IF(NOT(ISNUMBER(K2743)),"Taux de TVA invalide",IF(COUNTIF(p_rates,K2743)=0,"Taux de TVA hors liste (Paramètres)",IF(N(O2743)&gt;25,"Au-delà de 25 lignes : non imprimée","OK")))))))))))))</f>
        <v/>
      </c>
      <c r="O2743" s="59" t="str">
        <f>IF(A2743="","",COUNTIF($A$6:A2743,A2743))</f>
        <v/>
      </c>
      <c r="P2743" s="62" t="str">
        <f>IF(A2743="","",A2743&amp;"|"&amp;O2743)</f>
        <v/>
      </c>
    </row>
    <row r="2744">
      <c r="A2744" s="60" t="n"/>
      <c r="B2744" s="63" t="n"/>
      <c r="C2744" s="63" t="n"/>
      <c r="D2744" s="67" t="n"/>
      <c r="E2744" s="68" t="n"/>
      <c r="F2744" s="69" t="n"/>
      <c r="G2744" s="70" t="n"/>
      <c r="H2744" s="62" t="str">
        <f>IF(COUNTA(A2744:G2744)=0,"",IF(C2744&lt;&gt;"",C2744,IF(B2744="","",IFERROR(INDEX(pr_des,MATCH(B2744,pr_code,0))&amp;"",""))))</f>
        <v/>
      </c>
      <c r="I2744" s="59" t="str">
        <f>IF(B2744="","",IFERROR(INDEX(pr_unit,MATCH(B2744,pr_code,0))&amp;"",""))</f>
        <v/>
      </c>
      <c r="J2744" s="65" t="str">
        <f>IF(COUNTA(A2744:G2744)=0,"",IF(E2744&lt;&gt;"",E2744,IF(B2744="","",IFERROR(IF(INDEX(pr_price,MATCH(B2744,pr_code,0))="","",INDEX(pr_price,MATCH(B2744,pr_code,0))),""))))</f>
        <v/>
      </c>
      <c r="K2744" s="71" t="str">
        <f>IF(COUNTA(A2744:G2744)=0,"",IF(G2744&lt;&gt;"",G2744,IF(B2744="","",IFERROR(IF(INDEX(pr_rate,MATCH(B2744,pr_code,0))="","",INDEX(pr_rate,MATCH(B2744,pr_code,0))),""))))</f>
        <v/>
      </c>
      <c r="L2744" s="65" t="str">
        <f>IF(COUNTA(A2744:G2744)=0,"",IF(AND(ISNUMBER(D2744),ISNUMBER(J2744)),ROUND(D2744*J2744*(1-N(F2744)),2),0))</f>
        <v/>
      </c>
      <c r="M2744" s="62" t="str">
        <f>IF(A2744="","",IFERROR(INDEX(fa_cname,MATCH(A2744,fa_num,0))&amp;"",""))</f>
        <v/>
      </c>
      <c r="N2744" s="59" t="str">
        <f>IF(COUNTA(A2744:G2744)=0,"",IF(A2744="","N° facture manquant",IF(ISNA(MATCH(A2744,fa_num,0)),"Facture inconnue",IF(AND(B2744&lt;&gt;"",ISNA(MATCH(B2744,pr_code,0))),"Article inconnu",IF(H2744="","Désignation manquante",IF(OR(NOT(ISNUMBER(D2744)),N(D2744)&lt;=0),"Quantité invalide",IF(J2744="","Prix manquant",IF(OR(NOT(ISNUMBER(J2744)),N(J2744)&lt;0),"Prix invalide",IF(OR(AND(F2744&lt;&gt;"",NOT(ISNUMBER(F2744))),N(F2744)&lt;0,N(F2744)&gt;1),"Remise invalide",IF(K2744="","Taux de TVA manquant",IF(NOT(ISNUMBER(K2744)),"Taux de TVA invalide",IF(COUNTIF(p_rates,K2744)=0,"Taux de TVA hors liste (Paramètres)",IF(N(O2744)&gt;25,"Au-delà de 25 lignes : non imprimée","OK")))))))))))))</f>
        <v/>
      </c>
      <c r="O2744" s="59" t="str">
        <f>IF(A2744="","",COUNTIF($A$6:A2744,A2744))</f>
        <v/>
      </c>
      <c r="P2744" s="62" t="str">
        <f>IF(A2744="","",A2744&amp;"|"&amp;O2744)</f>
        <v/>
      </c>
    </row>
    <row r="2745">
      <c r="A2745" s="60" t="n"/>
      <c r="B2745" s="63" t="n"/>
      <c r="C2745" s="63" t="n"/>
      <c r="D2745" s="67" t="n"/>
      <c r="E2745" s="68" t="n"/>
      <c r="F2745" s="69" t="n"/>
      <c r="G2745" s="70" t="n"/>
      <c r="H2745" s="62" t="str">
        <f>IF(COUNTA(A2745:G2745)=0,"",IF(C2745&lt;&gt;"",C2745,IF(B2745="","",IFERROR(INDEX(pr_des,MATCH(B2745,pr_code,0))&amp;"",""))))</f>
        <v/>
      </c>
      <c r="I2745" s="59" t="str">
        <f>IF(B2745="","",IFERROR(INDEX(pr_unit,MATCH(B2745,pr_code,0))&amp;"",""))</f>
        <v/>
      </c>
      <c r="J2745" s="65" t="str">
        <f>IF(COUNTA(A2745:G2745)=0,"",IF(E2745&lt;&gt;"",E2745,IF(B2745="","",IFERROR(IF(INDEX(pr_price,MATCH(B2745,pr_code,0))="","",INDEX(pr_price,MATCH(B2745,pr_code,0))),""))))</f>
        <v/>
      </c>
      <c r="K2745" s="71" t="str">
        <f>IF(COUNTA(A2745:G2745)=0,"",IF(G2745&lt;&gt;"",G2745,IF(B2745="","",IFERROR(IF(INDEX(pr_rate,MATCH(B2745,pr_code,0))="","",INDEX(pr_rate,MATCH(B2745,pr_code,0))),""))))</f>
        <v/>
      </c>
      <c r="L2745" s="65" t="str">
        <f>IF(COUNTA(A2745:G2745)=0,"",IF(AND(ISNUMBER(D2745),ISNUMBER(J2745)),ROUND(D2745*J2745*(1-N(F2745)),2),0))</f>
        <v/>
      </c>
      <c r="M2745" s="62" t="str">
        <f>IF(A2745="","",IFERROR(INDEX(fa_cname,MATCH(A2745,fa_num,0))&amp;"",""))</f>
        <v/>
      </c>
      <c r="N2745" s="59" t="str">
        <f>IF(COUNTA(A2745:G2745)=0,"",IF(A2745="","N° facture manquant",IF(ISNA(MATCH(A2745,fa_num,0)),"Facture inconnue",IF(AND(B2745&lt;&gt;"",ISNA(MATCH(B2745,pr_code,0))),"Article inconnu",IF(H2745="","Désignation manquante",IF(OR(NOT(ISNUMBER(D2745)),N(D2745)&lt;=0),"Quantité invalide",IF(J2745="","Prix manquant",IF(OR(NOT(ISNUMBER(J2745)),N(J2745)&lt;0),"Prix invalide",IF(OR(AND(F2745&lt;&gt;"",NOT(ISNUMBER(F2745))),N(F2745)&lt;0,N(F2745)&gt;1),"Remise invalide",IF(K2745="","Taux de TVA manquant",IF(NOT(ISNUMBER(K2745)),"Taux de TVA invalide",IF(COUNTIF(p_rates,K2745)=0,"Taux de TVA hors liste (Paramètres)",IF(N(O2745)&gt;25,"Au-delà de 25 lignes : non imprimée","OK")))))))))))))</f>
        <v/>
      </c>
      <c r="O2745" s="59" t="str">
        <f>IF(A2745="","",COUNTIF($A$6:A2745,A2745))</f>
        <v/>
      </c>
      <c r="P2745" s="62" t="str">
        <f>IF(A2745="","",A2745&amp;"|"&amp;O2745)</f>
        <v/>
      </c>
    </row>
    <row r="2746">
      <c r="A2746" s="60" t="n"/>
      <c r="B2746" s="63" t="n"/>
      <c r="C2746" s="63" t="n"/>
      <c r="D2746" s="67" t="n"/>
      <c r="E2746" s="68" t="n"/>
      <c r="F2746" s="69" t="n"/>
      <c r="G2746" s="70" t="n"/>
      <c r="H2746" s="62" t="str">
        <f>IF(COUNTA(A2746:G2746)=0,"",IF(C2746&lt;&gt;"",C2746,IF(B2746="","",IFERROR(INDEX(pr_des,MATCH(B2746,pr_code,0))&amp;"",""))))</f>
        <v/>
      </c>
      <c r="I2746" s="59" t="str">
        <f>IF(B2746="","",IFERROR(INDEX(pr_unit,MATCH(B2746,pr_code,0))&amp;"",""))</f>
        <v/>
      </c>
      <c r="J2746" s="65" t="str">
        <f>IF(COUNTA(A2746:G2746)=0,"",IF(E2746&lt;&gt;"",E2746,IF(B2746="","",IFERROR(IF(INDEX(pr_price,MATCH(B2746,pr_code,0))="","",INDEX(pr_price,MATCH(B2746,pr_code,0))),""))))</f>
        <v/>
      </c>
      <c r="K2746" s="71" t="str">
        <f>IF(COUNTA(A2746:G2746)=0,"",IF(G2746&lt;&gt;"",G2746,IF(B2746="","",IFERROR(IF(INDEX(pr_rate,MATCH(B2746,pr_code,0))="","",INDEX(pr_rate,MATCH(B2746,pr_code,0))),""))))</f>
        <v/>
      </c>
      <c r="L2746" s="65" t="str">
        <f>IF(COUNTA(A2746:G2746)=0,"",IF(AND(ISNUMBER(D2746),ISNUMBER(J2746)),ROUND(D2746*J2746*(1-N(F2746)),2),0))</f>
        <v/>
      </c>
      <c r="M2746" s="62" t="str">
        <f>IF(A2746="","",IFERROR(INDEX(fa_cname,MATCH(A2746,fa_num,0))&amp;"",""))</f>
        <v/>
      </c>
      <c r="N2746" s="59" t="str">
        <f>IF(COUNTA(A2746:G2746)=0,"",IF(A2746="","N° facture manquant",IF(ISNA(MATCH(A2746,fa_num,0)),"Facture inconnue",IF(AND(B2746&lt;&gt;"",ISNA(MATCH(B2746,pr_code,0))),"Article inconnu",IF(H2746="","Désignation manquante",IF(OR(NOT(ISNUMBER(D2746)),N(D2746)&lt;=0),"Quantité invalide",IF(J2746="","Prix manquant",IF(OR(NOT(ISNUMBER(J2746)),N(J2746)&lt;0),"Prix invalide",IF(OR(AND(F2746&lt;&gt;"",NOT(ISNUMBER(F2746))),N(F2746)&lt;0,N(F2746)&gt;1),"Remise invalide",IF(K2746="","Taux de TVA manquant",IF(NOT(ISNUMBER(K2746)),"Taux de TVA invalide",IF(COUNTIF(p_rates,K2746)=0,"Taux de TVA hors liste (Paramètres)",IF(N(O2746)&gt;25,"Au-delà de 25 lignes : non imprimée","OK")))))))))))))</f>
        <v/>
      </c>
      <c r="O2746" s="59" t="str">
        <f>IF(A2746="","",COUNTIF($A$6:A2746,A2746))</f>
        <v/>
      </c>
      <c r="P2746" s="62" t="str">
        <f>IF(A2746="","",A2746&amp;"|"&amp;O2746)</f>
        <v/>
      </c>
    </row>
    <row r="2747">
      <c r="A2747" s="60" t="n"/>
      <c r="B2747" s="63" t="n"/>
      <c r="C2747" s="63" t="n"/>
      <c r="D2747" s="67" t="n"/>
      <c r="E2747" s="68" t="n"/>
      <c r="F2747" s="69" t="n"/>
      <c r="G2747" s="70" t="n"/>
      <c r="H2747" s="62" t="str">
        <f>IF(COUNTA(A2747:G2747)=0,"",IF(C2747&lt;&gt;"",C2747,IF(B2747="","",IFERROR(INDEX(pr_des,MATCH(B2747,pr_code,0))&amp;"",""))))</f>
        <v/>
      </c>
      <c r="I2747" s="59" t="str">
        <f>IF(B2747="","",IFERROR(INDEX(pr_unit,MATCH(B2747,pr_code,0))&amp;"",""))</f>
        <v/>
      </c>
      <c r="J2747" s="65" t="str">
        <f>IF(COUNTA(A2747:G2747)=0,"",IF(E2747&lt;&gt;"",E2747,IF(B2747="","",IFERROR(IF(INDEX(pr_price,MATCH(B2747,pr_code,0))="","",INDEX(pr_price,MATCH(B2747,pr_code,0))),""))))</f>
        <v/>
      </c>
      <c r="K2747" s="71" t="str">
        <f>IF(COUNTA(A2747:G2747)=0,"",IF(G2747&lt;&gt;"",G2747,IF(B2747="","",IFERROR(IF(INDEX(pr_rate,MATCH(B2747,pr_code,0))="","",INDEX(pr_rate,MATCH(B2747,pr_code,0))),""))))</f>
        <v/>
      </c>
      <c r="L2747" s="65" t="str">
        <f>IF(COUNTA(A2747:G2747)=0,"",IF(AND(ISNUMBER(D2747),ISNUMBER(J2747)),ROUND(D2747*J2747*(1-N(F2747)),2),0))</f>
        <v/>
      </c>
      <c r="M2747" s="62" t="str">
        <f>IF(A2747="","",IFERROR(INDEX(fa_cname,MATCH(A2747,fa_num,0))&amp;"",""))</f>
        <v/>
      </c>
      <c r="N2747" s="59" t="str">
        <f>IF(COUNTA(A2747:G2747)=0,"",IF(A2747="","N° facture manquant",IF(ISNA(MATCH(A2747,fa_num,0)),"Facture inconnue",IF(AND(B2747&lt;&gt;"",ISNA(MATCH(B2747,pr_code,0))),"Article inconnu",IF(H2747="","Désignation manquante",IF(OR(NOT(ISNUMBER(D2747)),N(D2747)&lt;=0),"Quantité invalide",IF(J2747="","Prix manquant",IF(OR(NOT(ISNUMBER(J2747)),N(J2747)&lt;0),"Prix invalide",IF(OR(AND(F2747&lt;&gt;"",NOT(ISNUMBER(F2747))),N(F2747)&lt;0,N(F2747)&gt;1),"Remise invalide",IF(K2747="","Taux de TVA manquant",IF(NOT(ISNUMBER(K2747)),"Taux de TVA invalide",IF(COUNTIF(p_rates,K2747)=0,"Taux de TVA hors liste (Paramètres)",IF(N(O2747)&gt;25,"Au-delà de 25 lignes : non imprimée","OK")))))))))))))</f>
        <v/>
      </c>
      <c r="O2747" s="59" t="str">
        <f>IF(A2747="","",COUNTIF($A$6:A2747,A2747))</f>
        <v/>
      </c>
      <c r="P2747" s="62" t="str">
        <f>IF(A2747="","",A2747&amp;"|"&amp;O2747)</f>
        <v/>
      </c>
    </row>
    <row r="2748">
      <c r="A2748" s="60" t="n"/>
      <c r="B2748" s="63" t="n"/>
      <c r="C2748" s="63" t="n"/>
      <c r="D2748" s="67" t="n"/>
      <c r="E2748" s="68" t="n"/>
      <c r="F2748" s="69" t="n"/>
      <c r="G2748" s="70" t="n"/>
      <c r="H2748" s="62" t="str">
        <f>IF(COUNTA(A2748:G2748)=0,"",IF(C2748&lt;&gt;"",C2748,IF(B2748="","",IFERROR(INDEX(pr_des,MATCH(B2748,pr_code,0))&amp;"",""))))</f>
        <v/>
      </c>
      <c r="I2748" s="59" t="str">
        <f>IF(B2748="","",IFERROR(INDEX(pr_unit,MATCH(B2748,pr_code,0))&amp;"",""))</f>
        <v/>
      </c>
      <c r="J2748" s="65" t="str">
        <f>IF(COUNTA(A2748:G2748)=0,"",IF(E2748&lt;&gt;"",E2748,IF(B2748="","",IFERROR(IF(INDEX(pr_price,MATCH(B2748,pr_code,0))="","",INDEX(pr_price,MATCH(B2748,pr_code,0))),""))))</f>
        <v/>
      </c>
      <c r="K2748" s="71" t="str">
        <f>IF(COUNTA(A2748:G2748)=0,"",IF(G2748&lt;&gt;"",G2748,IF(B2748="","",IFERROR(IF(INDEX(pr_rate,MATCH(B2748,pr_code,0))="","",INDEX(pr_rate,MATCH(B2748,pr_code,0))),""))))</f>
        <v/>
      </c>
      <c r="L2748" s="65" t="str">
        <f>IF(COUNTA(A2748:G2748)=0,"",IF(AND(ISNUMBER(D2748),ISNUMBER(J2748)),ROUND(D2748*J2748*(1-N(F2748)),2),0))</f>
        <v/>
      </c>
      <c r="M2748" s="62" t="str">
        <f>IF(A2748="","",IFERROR(INDEX(fa_cname,MATCH(A2748,fa_num,0))&amp;"",""))</f>
        <v/>
      </c>
      <c r="N2748" s="59" t="str">
        <f>IF(COUNTA(A2748:G2748)=0,"",IF(A2748="","N° facture manquant",IF(ISNA(MATCH(A2748,fa_num,0)),"Facture inconnue",IF(AND(B2748&lt;&gt;"",ISNA(MATCH(B2748,pr_code,0))),"Article inconnu",IF(H2748="","Désignation manquante",IF(OR(NOT(ISNUMBER(D2748)),N(D2748)&lt;=0),"Quantité invalide",IF(J2748="","Prix manquant",IF(OR(NOT(ISNUMBER(J2748)),N(J2748)&lt;0),"Prix invalide",IF(OR(AND(F2748&lt;&gt;"",NOT(ISNUMBER(F2748))),N(F2748)&lt;0,N(F2748)&gt;1),"Remise invalide",IF(K2748="","Taux de TVA manquant",IF(NOT(ISNUMBER(K2748)),"Taux de TVA invalide",IF(COUNTIF(p_rates,K2748)=0,"Taux de TVA hors liste (Paramètres)",IF(N(O2748)&gt;25,"Au-delà de 25 lignes : non imprimée","OK")))))))))))))</f>
        <v/>
      </c>
      <c r="O2748" s="59" t="str">
        <f>IF(A2748="","",COUNTIF($A$6:A2748,A2748))</f>
        <v/>
      </c>
      <c r="P2748" s="62" t="str">
        <f>IF(A2748="","",A2748&amp;"|"&amp;O2748)</f>
        <v/>
      </c>
    </row>
    <row r="2749">
      <c r="A2749" s="60" t="n"/>
      <c r="B2749" s="63" t="n"/>
      <c r="C2749" s="63" t="n"/>
      <c r="D2749" s="67" t="n"/>
      <c r="E2749" s="68" t="n"/>
      <c r="F2749" s="69" t="n"/>
      <c r="G2749" s="70" t="n"/>
      <c r="H2749" s="62" t="str">
        <f>IF(COUNTA(A2749:G2749)=0,"",IF(C2749&lt;&gt;"",C2749,IF(B2749="","",IFERROR(INDEX(pr_des,MATCH(B2749,pr_code,0))&amp;"",""))))</f>
        <v/>
      </c>
      <c r="I2749" s="59" t="str">
        <f>IF(B2749="","",IFERROR(INDEX(pr_unit,MATCH(B2749,pr_code,0))&amp;"",""))</f>
        <v/>
      </c>
      <c r="J2749" s="65" t="str">
        <f>IF(COUNTA(A2749:G2749)=0,"",IF(E2749&lt;&gt;"",E2749,IF(B2749="","",IFERROR(IF(INDEX(pr_price,MATCH(B2749,pr_code,0))="","",INDEX(pr_price,MATCH(B2749,pr_code,0))),""))))</f>
        <v/>
      </c>
      <c r="K2749" s="71" t="str">
        <f>IF(COUNTA(A2749:G2749)=0,"",IF(G2749&lt;&gt;"",G2749,IF(B2749="","",IFERROR(IF(INDEX(pr_rate,MATCH(B2749,pr_code,0))="","",INDEX(pr_rate,MATCH(B2749,pr_code,0))),""))))</f>
        <v/>
      </c>
      <c r="L2749" s="65" t="str">
        <f>IF(COUNTA(A2749:G2749)=0,"",IF(AND(ISNUMBER(D2749),ISNUMBER(J2749)),ROUND(D2749*J2749*(1-N(F2749)),2),0))</f>
        <v/>
      </c>
      <c r="M2749" s="62" t="str">
        <f>IF(A2749="","",IFERROR(INDEX(fa_cname,MATCH(A2749,fa_num,0))&amp;"",""))</f>
        <v/>
      </c>
      <c r="N2749" s="59" t="str">
        <f>IF(COUNTA(A2749:G2749)=0,"",IF(A2749="","N° facture manquant",IF(ISNA(MATCH(A2749,fa_num,0)),"Facture inconnue",IF(AND(B2749&lt;&gt;"",ISNA(MATCH(B2749,pr_code,0))),"Article inconnu",IF(H2749="","Désignation manquante",IF(OR(NOT(ISNUMBER(D2749)),N(D2749)&lt;=0),"Quantité invalide",IF(J2749="","Prix manquant",IF(OR(NOT(ISNUMBER(J2749)),N(J2749)&lt;0),"Prix invalide",IF(OR(AND(F2749&lt;&gt;"",NOT(ISNUMBER(F2749))),N(F2749)&lt;0,N(F2749)&gt;1),"Remise invalide",IF(K2749="","Taux de TVA manquant",IF(NOT(ISNUMBER(K2749)),"Taux de TVA invalide",IF(COUNTIF(p_rates,K2749)=0,"Taux de TVA hors liste (Paramètres)",IF(N(O2749)&gt;25,"Au-delà de 25 lignes : non imprimée","OK")))))))))))))</f>
        <v/>
      </c>
      <c r="O2749" s="59" t="str">
        <f>IF(A2749="","",COUNTIF($A$6:A2749,A2749))</f>
        <v/>
      </c>
      <c r="P2749" s="62" t="str">
        <f>IF(A2749="","",A2749&amp;"|"&amp;O2749)</f>
        <v/>
      </c>
    </row>
    <row r="2750">
      <c r="A2750" s="60" t="n"/>
      <c r="B2750" s="63" t="n"/>
      <c r="C2750" s="63" t="n"/>
      <c r="D2750" s="67" t="n"/>
      <c r="E2750" s="68" t="n"/>
      <c r="F2750" s="69" t="n"/>
      <c r="G2750" s="70" t="n"/>
      <c r="H2750" s="62" t="str">
        <f>IF(COUNTA(A2750:G2750)=0,"",IF(C2750&lt;&gt;"",C2750,IF(B2750="","",IFERROR(INDEX(pr_des,MATCH(B2750,pr_code,0))&amp;"",""))))</f>
        <v/>
      </c>
      <c r="I2750" s="59" t="str">
        <f>IF(B2750="","",IFERROR(INDEX(pr_unit,MATCH(B2750,pr_code,0))&amp;"",""))</f>
        <v/>
      </c>
      <c r="J2750" s="65" t="str">
        <f>IF(COUNTA(A2750:G2750)=0,"",IF(E2750&lt;&gt;"",E2750,IF(B2750="","",IFERROR(IF(INDEX(pr_price,MATCH(B2750,pr_code,0))="","",INDEX(pr_price,MATCH(B2750,pr_code,0))),""))))</f>
        <v/>
      </c>
      <c r="K2750" s="71" t="str">
        <f>IF(COUNTA(A2750:G2750)=0,"",IF(G2750&lt;&gt;"",G2750,IF(B2750="","",IFERROR(IF(INDEX(pr_rate,MATCH(B2750,pr_code,0))="","",INDEX(pr_rate,MATCH(B2750,pr_code,0))),""))))</f>
        <v/>
      </c>
      <c r="L2750" s="65" t="str">
        <f>IF(COUNTA(A2750:G2750)=0,"",IF(AND(ISNUMBER(D2750),ISNUMBER(J2750)),ROUND(D2750*J2750*(1-N(F2750)),2),0))</f>
        <v/>
      </c>
      <c r="M2750" s="62" t="str">
        <f>IF(A2750="","",IFERROR(INDEX(fa_cname,MATCH(A2750,fa_num,0))&amp;"",""))</f>
        <v/>
      </c>
      <c r="N2750" s="59" t="str">
        <f>IF(COUNTA(A2750:G2750)=0,"",IF(A2750="","N° facture manquant",IF(ISNA(MATCH(A2750,fa_num,0)),"Facture inconnue",IF(AND(B2750&lt;&gt;"",ISNA(MATCH(B2750,pr_code,0))),"Article inconnu",IF(H2750="","Désignation manquante",IF(OR(NOT(ISNUMBER(D2750)),N(D2750)&lt;=0),"Quantité invalide",IF(J2750="","Prix manquant",IF(OR(NOT(ISNUMBER(J2750)),N(J2750)&lt;0),"Prix invalide",IF(OR(AND(F2750&lt;&gt;"",NOT(ISNUMBER(F2750))),N(F2750)&lt;0,N(F2750)&gt;1),"Remise invalide",IF(K2750="","Taux de TVA manquant",IF(NOT(ISNUMBER(K2750)),"Taux de TVA invalide",IF(COUNTIF(p_rates,K2750)=0,"Taux de TVA hors liste (Paramètres)",IF(N(O2750)&gt;25,"Au-delà de 25 lignes : non imprimée","OK")))))))))))))</f>
        <v/>
      </c>
      <c r="O2750" s="59" t="str">
        <f>IF(A2750="","",COUNTIF($A$6:A2750,A2750))</f>
        <v/>
      </c>
      <c r="P2750" s="62" t="str">
        <f>IF(A2750="","",A2750&amp;"|"&amp;O2750)</f>
        <v/>
      </c>
    </row>
    <row r="2751">
      <c r="A2751" s="60" t="n"/>
      <c r="B2751" s="63" t="n"/>
      <c r="C2751" s="63" t="n"/>
      <c r="D2751" s="67" t="n"/>
      <c r="E2751" s="68" t="n"/>
      <c r="F2751" s="69" t="n"/>
      <c r="G2751" s="70" t="n"/>
      <c r="H2751" s="62" t="str">
        <f>IF(COUNTA(A2751:G2751)=0,"",IF(C2751&lt;&gt;"",C2751,IF(B2751="","",IFERROR(INDEX(pr_des,MATCH(B2751,pr_code,0))&amp;"",""))))</f>
        <v/>
      </c>
      <c r="I2751" s="59" t="str">
        <f>IF(B2751="","",IFERROR(INDEX(pr_unit,MATCH(B2751,pr_code,0))&amp;"",""))</f>
        <v/>
      </c>
      <c r="J2751" s="65" t="str">
        <f>IF(COUNTA(A2751:G2751)=0,"",IF(E2751&lt;&gt;"",E2751,IF(B2751="","",IFERROR(IF(INDEX(pr_price,MATCH(B2751,pr_code,0))="","",INDEX(pr_price,MATCH(B2751,pr_code,0))),""))))</f>
        <v/>
      </c>
      <c r="K2751" s="71" t="str">
        <f>IF(COUNTA(A2751:G2751)=0,"",IF(G2751&lt;&gt;"",G2751,IF(B2751="","",IFERROR(IF(INDEX(pr_rate,MATCH(B2751,pr_code,0))="","",INDEX(pr_rate,MATCH(B2751,pr_code,0))),""))))</f>
        <v/>
      </c>
      <c r="L2751" s="65" t="str">
        <f>IF(COUNTA(A2751:G2751)=0,"",IF(AND(ISNUMBER(D2751),ISNUMBER(J2751)),ROUND(D2751*J2751*(1-N(F2751)),2),0))</f>
        <v/>
      </c>
      <c r="M2751" s="62" t="str">
        <f>IF(A2751="","",IFERROR(INDEX(fa_cname,MATCH(A2751,fa_num,0))&amp;"",""))</f>
        <v/>
      </c>
      <c r="N2751" s="59" t="str">
        <f>IF(COUNTA(A2751:G2751)=0,"",IF(A2751="","N° facture manquant",IF(ISNA(MATCH(A2751,fa_num,0)),"Facture inconnue",IF(AND(B2751&lt;&gt;"",ISNA(MATCH(B2751,pr_code,0))),"Article inconnu",IF(H2751="","Désignation manquante",IF(OR(NOT(ISNUMBER(D2751)),N(D2751)&lt;=0),"Quantité invalide",IF(J2751="","Prix manquant",IF(OR(NOT(ISNUMBER(J2751)),N(J2751)&lt;0),"Prix invalide",IF(OR(AND(F2751&lt;&gt;"",NOT(ISNUMBER(F2751))),N(F2751)&lt;0,N(F2751)&gt;1),"Remise invalide",IF(K2751="","Taux de TVA manquant",IF(NOT(ISNUMBER(K2751)),"Taux de TVA invalide",IF(COUNTIF(p_rates,K2751)=0,"Taux de TVA hors liste (Paramètres)",IF(N(O2751)&gt;25,"Au-delà de 25 lignes : non imprimée","OK")))))))))))))</f>
        <v/>
      </c>
      <c r="O2751" s="59" t="str">
        <f>IF(A2751="","",COUNTIF($A$6:A2751,A2751))</f>
        <v/>
      </c>
      <c r="P2751" s="62" t="str">
        <f>IF(A2751="","",A2751&amp;"|"&amp;O2751)</f>
        <v/>
      </c>
    </row>
    <row r="2752">
      <c r="A2752" s="60" t="n"/>
      <c r="B2752" s="63" t="n"/>
      <c r="C2752" s="63" t="n"/>
      <c r="D2752" s="67" t="n"/>
      <c r="E2752" s="68" t="n"/>
      <c r="F2752" s="69" t="n"/>
      <c r="G2752" s="70" t="n"/>
      <c r="H2752" s="62" t="str">
        <f>IF(COUNTA(A2752:G2752)=0,"",IF(C2752&lt;&gt;"",C2752,IF(B2752="","",IFERROR(INDEX(pr_des,MATCH(B2752,pr_code,0))&amp;"",""))))</f>
        <v/>
      </c>
      <c r="I2752" s="59" t="str">
        <f>IF(B2752="","",IFERROR(INDEX(pr_unit,MATCH(B2752,pr_code,0))&amp;"",""))</f>
        <v/>
      </c>
      <c r="J2752" s="65" t="str">
        <f>IF(COUNTA(A2752:G2752)=0,"",IF(E2752&lt;&gt;"",E2752,IF(B2752="","",IFERROR(IF(INDEX(pr_price,MATCH(B2752,pr_code,0))="","",INDEX(pr_price,MATCH(B2752,pr_code,0))),""))))</f>
        <v/>
      </c>
      <c r="K2752" s="71" t="str">
        <f>IF(COUNTA(A2752:G2752)=0,"",IF(G2752&lt;&gt;"",G2752,IF(B2752="","",IFERROR(IF(INDEX(pr_rate,MATCH(B2752,pr_code,0))="","",INDEX(pr_rate,MATCH(B2752,pr_code,0))),""))))</f>
        <v/>
      </c>
      <c r="L2752" s="65" t="str">
        <f>IF(COUNTA(A2752:G2752)=0,"",IF(AND(ISNUMBER(D2752),ISNUMBER(J2752)),ROUND(D2752*J2752*(1-N(F2752)),2),0))</f>
        <v/>
      </c>
      <c r="M2752" s="62" t="str">
        <f>IF(A2752="","",IFERROR(INDEX(fa_cname,MATCH(A2752,fa_num,0))&amp;"",""))</f>
        <v/>
      </c>
      <c r="N2752" s="59" t="str">
        <f>IF(COUNTA(A2752:G2752)=0,"",IF(A2752="","N° facture manquant",IF(ISNA(MATCH(A2752,fa_num,0)),"Facture inconnue",IF(AND(B2752&lt;&gt;"",ISNA(MATCH(B2752,pr_code,0))),"Article inconnu",IF(H2752="","Désignation manquante",IF(OR(NOT(ISNUMBER(D2752)),N(D2752)&lt;=0),"Quantité invalide",IF(J2752="","Prix manquant",IF(OR(NOT(ISNUMBER(J2752)),N(J2752)&lt;0),"Prix invalide",IF(OR(AND(F2752&lt;&gt;"",NOT(ISNUMBER(F2752))),N(F2752)&lt;0,N(F2752)&gt;1),"Remise invalide",IF(K2752="","Taux de TVA manquant",IF(NOT(ISNUMBER(K2752)),"Taux de TVA invalide",IF(COUNTIF(p_rates,K2752)=0,"Taux de TVA hors liste (Paramètres)",IF(N(O2752)&gt;25,"Au-delà de 25 lignes : non imprimée","OK")))))))))))))</f>
        <v/>
      </c>
      <c r="O2752" s="59" t="str">
        <f>IF(A2752="","",COUNTIF($A$6:A2752,A2752))</f>
        <v/>
      </c>
      <c r="P2752" s="62" t="str">
        <f>IF(A2752="","",A2752&amp;"|"&amp;O2752)</f>
        <v/>
      </c>
    </row>
    <row r="2753">
      <c r="A2753" s="60" t="n"/>
      <c r="B2753" s="63" t="n"/>
      <c r="C2753" s="63" t="n"/>
      <c r="D2753" s="67" t="n"/>
      <c r="E2753" s="68" t="n"/>
      <c r="F2753" s="69" t="n"/>
      <c r="G2753" s="70" t="n"/>
      <c r="H2753" s="62" t="str">
        <f>IF(COUNTA(A2753:G2753)=0,"",IF(C2753&lt;&gt;"",C2753,IF(B2753="","",IFERROR(INDEX(pr_des,MATCH(B2753,pr_code,0))&amp;"",""))))</f>
        <v/>
      </c>
      <c r="I2753" s="59" t="str">
        <f>IF(B2753="","",IFERROR(INDEX(pr_unit,MATCH(B2753,pr_code,0))&amp;"",""))</f>
        <v/>
      </c>
      <c r="J2753" s="65" t="str">
        <f>IF(COUNTA(A2753:G2753)=0,"",IF(E2753&lt;&gt;"",E2753,IF(B2753="","",IFERROR(IF(INDEX(pr_price,MATCH(B2753,pr_code,0))="","",INDEX(pr_price,MATCH(B2753,pr_code,0))),""))))</f>
        <v/>
      </c>
      <c r="K2753" s="71" t="str">
        <f>IF(COUNTA(A2753:G2753)=0,"",IF(G2753&lt;&gt;"",G2753,IF(B2753="","",IFERROR(IF(INDEX(pr_rate,MATCH(B2753,pr_code,0))="","",INDEX(pr_rate,MATCH(B2753,pr_code,0))),""))))</f>
        <v/>
      </c>
      <c r="L2753" s="65" t="str">
        <f>IF(COUNTA(A2753:G2753)=0,"",IF(AND(ISNUMBER(D2753),ISNUMBER(J2753)),ROUND(D2753*J2753*(1-N(F2753)),2),0))</f>
        <v/>
      </c>
      <c r="M2753" s="62" t="str">
        <f>IF(A2753="","",IFERROR(INDEX(fa_cname,MATCH(A2753,fa_num,0))&amp;"",""))</f>
        <v/>
      </c>
      <c r="N2753" s="59" t="str">
        <f>IF(COUNTA(A2753:G2753)=0,"",IF(A2753="","N° facture manquant",IF(ISNA(MATCH(A2753,fa_num,0)),"Facture inconnue",IF(AND(B2753&lt;&gt;"",ISNA(MATCH(B2753,pr_code,0))),"Article inconnu",IF(H2753="","Désignation manquante",IF(OR(NOT(ISNUMBER(D2753)),N(D2753)&lt;=0),"Quantité invalide",IF(J2753="","Prix manquant",IF(OR(NOT(ISNUMBER(J2753)),N(J2753)&lt;0),"Prix invalide",IF(OR(AND(F2753&lt;&gt;"",NOT(ISNUMBER(F2753))),N(F2753)&lt;0,N(F2753)&gt;1),"Remise invalide",IF(K2753="","Taux de TVA manquant",IF(NOT(ISNUMBER(K2753)),"Taux de TVA invalide",IF(COUNTIF(p_rates,K2753)=0,"Taux de TVA hors liste (Paramètres)",IF(N(O2753)&gt;25,"Au-delà de 25 lignes : non imprimée","OK")))))))))))))</f>
        <v/>
      </c>
      <c r="O2753" s="59" t="str">
        <f>IF(A2753="","",COUNTIF($A$6:A2753,A2753))</f>
        <v/>
      </c>
      <c r="P2753" s="62" t="str">
        <f>IF(A2753="","",A2753&amp;"|"&amp;O2753)</f>
        <v/>
      </c>
    </row>
    <row r="2754">
      <c r="A2754" s="60" t="n"/>
      <c r="B2754" s="63" t="n"/>
      <c r="C2754" s="63" t="n"/>
      <c r="D2754" s="67" t="n"/>
      <c r="E2754" s="68" t="n"/>
      <c r="F2754" s="69" t="n"/>
      <c r="G2754" s="70" t="n"/>
      <c r="H2754" s="62" t="str">
        <f>IF(COUNTA(A2754:G2754)=0,"",IF(C2754&lt;&gt;"",C2754,IF(B2754="","",IFERROR(INDEX(pr_des,MATCH(B2754,pr_code,0))&amp;"",""))))</f>
        <v/>
      </c>
      <c r="I2754" s="59" t="str">
        <f>IF(B2754="","",IFERROR(INDEX(pr_unit,MATCH(B2754,pr_code,0))&amp;"",""))</f>
        <v/>
      </c>
      <c r="J2754" s="65" t="str">
        <f>IF(COUNTA(A2754:G2754)=0,"",IF(E2754&lt;&gt;"",E2754,IF(B2754="","",IFERROR(IF(INDEX(pr_price,MATCH(B2754,pr_code,0))="","",INDEX(pr_price,MATCH(B2754,pr_code,0))),""))))</f>
        <v/>
      </c>
      <c r="K2754" s="71" t="str">
        <f>IF(COUNTA(A2754:G2754)=0,"",IF(G2754&lt;&gt;"",G2754,IF(B2754="","",IFERROR(IF(INDEX(pr_rate,MATCH(B2754,pr_code,0))="","",INDEX(pr_rate,MATCH(B2754,pr_code,0))),""))))</f>
        <v/>
      </c>
      <c r="L2754" s="65" t="str">
        <f>IF(COUNTA(A2754:G2754)=0,"",IF(AND(ISNUMBER(D2754),ISNUMBER(J2754)),ROUND(D2754*J2754*(1-N(F2754)),2),0))</f>
        <v/>
      </c>
      <c r="M2754" s="62" t="str">
        <f>IF(A2754="","",IFERROR(INDEX(fa_cname,MATCH(A2754,fa_num,0))&amp;"",""))</f>
        <v/>
      </c>
      <c r="N2754" s="59" t="str">
        <f>IF(COUNTA(A2754:G2754)=0,"",IF(A2754="","N° facture manquant",IF(ISNA(MATCH(A2754,fa_num,0)),"Facture inconnue",IF(AND(B2754&lt;&gt;"",ISNA(MATCH(B2754,pr_code,0))),"Article inconnu",IF(H2754="","Désignation manquante",IF(OR(NOT(ISNUMBER(D2754)),N(D2754)&lt;=0),"Quantité invalide",IF(J2754="","Prix manquant",IF(OR(NOT(ISNUMBER(J2754)),N(J2754)&lt;0),"Prix invalide",IF(OR(AND(F2754&lt;&gt;"",NOT(ISNUMBER(F2754))),N(F2754)&lt;0,N(F2754)&gt;1),"Remise invalide",IF(K2754="","Taux de TVA manquant",IF(NOT(ISNUMBER(K2754)),"Taux de TVA invalide",IF(COUNTIF(p_rates,K2754)=0,"Taux de TVA hors liste (Paramètres)",IF(N(O2754)&gt;25,"Au-delà de 25 lignes : non imprimée","OK")))))))))))))</f>
        <v/>
      </c>
      <c r="O2754" s="59" t="str">
        <f>IF(A2754="","",COUNTIF($A$6:A2754,A2754))</f>
        <v/>
      </c>
      <c r="P2754" s="62" t="str">
        <f>IF(A2754="","",A2754&amp;"|"&amp;O2754)</f>
        <v/>
      </c>
    </row>
    <row r="2755">
      <c r="A2755" s="60" t="n"/>
      <c r="B2755" s="63" t="n"/>
      <c r="C2755" s="63" t="n"/>
      <c r="D2755" s="67" t="n"/>
      <c r="E2755" s="68" t="n"/>
      <c r="F2755" s="69" t="n"/>
      <c r="G2755" s="70" t="n"/>
      <c r="H2755" s="62" t="str">
        <f>IF(COUNTA(A2755:G2755)=0,"",IF(C2755&lt;&gt;"",C2755,IF(B2755="","",IFERROR(INDEX(pr_des,MATCH(B2755,pr_code,0))&amp;"",""))))</f>
        <v/>
      </c>
      <c r="I2755" s="59" t="str">
        <f>IF(B2755="","",IFERROR(INDEX(pr_unit,MATCH(B2755,pr_code,0))&amp;"",""))</f>
        <v/>
      </c>
      <c r="J2755" s="65" t="str">
        <f>IF(COUNTA(A2755:G2755)=0,"",IF(E2755&lt;&gt;"",E2755,IF(B2755="","",IFERROR(IF(INDEX(pr_price,MATCH(B2755,pr_code,0))="","",INDEX(pr_price,MATCH(B2755,pr_code,0))),""))))</f>
        <v/>
      </c>
      <c r="K2755" s="71" t="str">
        <f>IF(COUNTA(A2755:G2755)=0,"",IF(G2755&lt;&gt;"",G2755,IF(B2755="","",IFERROR(IF(INDEX(pr_rate,MATCH(B2755,pr_code,0))="","",INDEX(pr_rate,MATCH(B2755,pr_code,0))),""))))</f>
        <v/>
      </c>
      <c r="L2755" s="65" t="str">
        <f>IF(COUNTA(A2755:G2755)=0,"",IF(AND(ISNUMBER(D2755),ISNUMBER(J2755)),ROUND(D2755*J2755*(1-N(F2755)),2),0))</f>
        <v/>
      </c>
      <c r="M2755" s="62" t="str">
        <f>IF(A2755="","",IFERROR(INDEX(fa_cname,MATCH(A2755,fa_num,0))&amp;"",""))</f>
        <v/>
      </c>
      <c r="N2755" s="59" t="str">
        <f>IF(COUNTA(A2755:G2755)=0,"",IF(A2755="","N° facture manquant",IF(ISNA(MATCH(A2755,fa_num,0)),"Facture inconnue",IF(AND(B2755&lt;&gt;"",ISNA(MATCH(B2755,pr_code,0))),"Article inconnu",IF(H2755="","Désignation manquante",IF(OR(NOT(ISNUMBER(D2755)),N(D2755)&lt;=0),"Quantité invalide",IF(J2755="","Prix manquant",IF(OR(NOT(ISNUMBER(J2755)),N(J2755)&lt;0),"Prix invalide",IF(OR(AND(F2755&lt;&gt;"",NOT(ISNUMBER(F2755))),N(F2755)&lt;0,N(F2755)&gt;1),"Remise invalide",IF(K2755="","Taux de TVA manquant",IF(NOT(ISNUMBER(K2755)),"Taux de TVA invalide",IF(COUNTIF(p_rates,K2755)=0,"Taux de TVA hors liste (Paramètres)",IF(N(O2755)&gt;25,"Au-delà de 25 lignes : non imprimée","OK")))))))))))))</f>
        <v/>
      </c>
      <c r="O2755" s="59" t="str">
        <f>IF(A2755="","",COUNTIF($A$6:A2755,A2755))</f>
        <v/>
      </c>
      <c r="P2755" s="62" t="str">
        <f>IF(A2755="","",A2755&amp;"|"&amp;O2755)</f>
        <v/>
      </c>
    </row>
    <row r="2756">
      <c r="A2756" s="60" t="n"/>
      <c r="B2756" s="63" t="n"/>
      <c r="C2756" s="63" t="n"/>
      <c r="D2756" s="67" t="n"/>
      <c r="E2756" s="68" t="n"/>
      <c r="F2756" s="69" t="n"/>
      <c r="G2756" s="70" t="n"/>
      <c r="H2756" s="62" t="str">
        <f>IF(COUNTA(A2756:G2756)=0,"",IF(C2756&lt;&gt;"",C2756,IF(B2756="","",IFERROR(INDEX(pr_des,MATCH(B2756,pr_code,0))&amp;"",""))))</f>
        <v/>
      </c>
      <c r="I2756" s="59" t="str">
        <f>IF(B2756="","",IFERROR(INDEX(pr_unit,MATCH(B2756,pr_code,0))&amp;"",""))</f>
        <v/>
      </c>
      <c r="J2756" s="65" t="str">
        <f>IF(COUNTA(A2756:G2756)=0,"",IF(E2756&lt;&gt;"",E2756,IF(B2756="","",IFERROR(IF(INDEX(pr_price,MATCH(B2756,pr_code,0))="","",INDEX(pr_price,MATCH(B2756,pr_code,0))),""))))</f>
        <v/>
      </c>
      <c r="K2756" s="71" t="str">
        <f>IF(COUNTA(A2756:G2756)=0,"",IF(G2756&lt;&gt;"",G2756,IF(B2756="","",IFERROR(IF(INDEX(pr_rate,MATCH(B2756,pr_code,0))="","",INDEX(pr_rate,MATCH(B2756,pr_code,0))),""))))</f>
        <v/>
      </c>
      <c r="L2756" s="65" t="str">
        <f>IF(COUNTA(A2756:G2756)=0,"",IF(AND(ISNUMBER(D2756),ISNUMBER(J2756)),ROUND(D2756*J2756*(1-N(F2756)),2),0))</f>
        <v/>
      </c>
      <c r="M2756" s="62" t="str">
        <f>IF(A2756="","",IFERROR(INDEX(fa_cname,MATCH(A2756,fa_num,0))&amp;"",""))</f>
        <v/>
      </c>
      <c r="N2756" s="59" t="str">
        <f>IF(COUNTA(A2756:G2756)=0,"",IF(A2756="","N° facture manquant",IF(ISNA(MATCH(A2756,fa_num,0)),"Facture inconnue",IF(AND(B2756&lt;&gt;"",ISNA(MATCH(B2756,pr_code,0))),"Article inconnu",IF(H2756="","Désignation manquante",IF(OR(NOT(ISNUMBER(D2756)),N(D2756)&lt;=0),"Quantité invalide",IF(J2756="","Prix manquant",IF(OR(NOT(ISNUMBER(J2756)),N(J2756)&lt;0),"Prix invalide",IF(OR(AND(F2756&lt;&gt;"",NOT(ISNUMBER(F2756))),N(F2756)&lt;0,N(F2756)&gt;1),"Remise invalide",IF(K2756="","Taux de TVA manquant",IF(NOT(ISNUMBER(K2756)),"Taux de TVA invalide",IF(COUNTIF(p_rates,K2756)=0,"Taux de TVA hors liste (Paramètres)",IF(N(O2756)&gt;25,"Au-delà de 25 lignes : non imprimée","OK")))))))))))))</f>
        <v/>
      </c>
      <c r="O2756" s="59" t="str">
        <f>IF(A2756="","",COUNTIF($A$6:A2756,A2756))</f>
        <v/>
      </c>
      <c r="P2756" s="62" t="str">
        <f>IF(A2756="","",A2756&amp;"|"&amp;O2756)</f>
        <v/>
      </c>
    </row>
    <row r="2757">
      <c r="A2757" s="60" t="n"/>
      <c r="B2757" s="63" t="n"/>
      <c r="C2757" s="63" t="n"/>
      <c r="D2757" s="67" t="n"/>
      <c r="E2757" s="68" t="n"/>
      <c r="F2757" s="69" t="n"/>
      <c r="G2757" s="70" t="n"/>
      <c r="H2757" s="62" t="str">
        <f>IF(COUNTA(A2757:G2757)=0,"",IF(C2757&lt;&gt;"",C2757,IF(B2757="","",IFERROR(INDEX(pr_des,MATCH(B2757,pr_code,0))&amp;"",""))))</f>
        <v/>
      </c>
      <c r="I2757" s="59" t="str">
        <f>IF(B2757="","",IFERROR(INDEX(pr_unit,MATCH(B2757,pr_code,0))&amp;"",""))</f>
        <v/>
      </c>
      <c r="J2757" s="65" t="str">
        <f>IF(COUNTA(A2757:G2757)=0,"",IF(E2757&lt;&gt;"",E2757,IF(B2757="","",IFERROR(IF(INDEX(pr_price,MATCH(B2757,pr_code,0))="","",INDEX(pr_price,MATCH(B2757,pr_code,0))),""))))</f>
        <v/>
      </c>
      <c r="K2757" s="71" t="str">
        <f>IF(COUNTA(A2757:G2757)=0,"",IF(G2757&lt;&gt;"",G2757,IF(B2757="","",IFERROR(IF(INDEX(pr_rate,MATCH(B2757,pr_code,0))="","",INDEX(pr_rate,MATCH(B2757,pr_code,0))),""))))</f>
        <v/>
      </c>
      <c r="L2757" s="65" t="str">
        <f>IF(COUNTA(A2757:G2757)=0,"",IF(AND(ISNUMBER(D2757),ISNUMBER(J2757)),ROUND(D2757*J2757*(1-N(F2757)),2),0))</f>
        <v/>
      </c>
      <c r="M2757" s="62" t="str">
        <f>IF(A2757="","",IFERROR(INDEX(fa_cname,MATCH(A2757,fa_num,0))&amp;"",""))</f>
        <v/>
      </c>
      <c r="N2757" s="59" t="str">
        <f>IF(COUNTA(A2757:G2757)=0,"",IF(A2757="","N° facture manquant",IF(ISNA(MATCH(A2757,fa_num,0)),"Facture inconnue",IF(AND(B2757&lt;&gt;"",ISNA(MATCH(B2757,pr_code,0))),"Article inconnu",IF(H2757="","Désignation manquante",IF(OR(NOT(ISNUMBER(D2757)),N(D2757)&lt;=0),"Quantité invalide",IF(J2757="","Prix manquant",IF(OR(NOT(ISNUMBER(J2757)),N(J2757)&lt;0),"Prix invalide",IF(OR(AND(F2757&lt;&gt;"",NOT(ISNUMBER(F2757))),N(F2757)&lt;0,N(F2757)&gt;1),"Remise invalide",IF(K2757="","Taux de TVA manquant",IF(NOT(ISNUMBER(K2757)),"Taux de TVA invalide",IF(COUNTIF(p_rates,K2757)=0,"Taux de TVA hors liste (Paramètres)",IF(N(O2757)&gt;25,"Au-delà de 25 lignes : non imprimée","OK")))))))))))))</f>
        <v/>
      </c>
      <c r="O2757" s="59" t="str">
        <f>IF(A2757="","",COUNTIF($A$6:A2757,A2757))</f>
        <v/>
      </c>
      <c r="P2757" s="62" t="str">
        <f>IF(A2757="","",A2757&amp;"|"&amp;O2757)</f>
        <v/>
      </c>
    </row>
    <row r="2758">
      <c r="A2758" s="60" t="n"/>
      <c r="B2758" s="63" t="n"/>
      <c r="C2758" s="63" t="n"/>
      <c r="D2758" s="67" t="n"/>
      <c r="E2758" s="68" t="n"/>
      <c r="F2758" s="69" t="n"/>
      <c r="G2758" s="70" t="n"/>
      <c r="H2758" s="62" t="str">
        <f>IF(COUNTA(A2758:G2758)=0,"",IF(C2758&lt;&gt;"",C2758,IF(B2758="","",IFERROR(INDEX(pr_des,MATCH(B2758,pr_code,0))&amp;"",""))))</f>
        <v/>
      </c>
      <c r="I2758" s="59" t="str">
        <f>IF(B2758="","",IFERROR(INDEX(pr_unit,MATCH(B2758,pr_code,0))&amp;"",""))</f>
        <v/>
      </c>
      <c r="J2758" s="65" t="str">
        <f>IF(COUNTA(A2758:G2758)=0,"",IF(E2758&lt;&gt;"",E2758,IF(B2758="","",IFERROR(IF(INDEX(pr_price,MATCH(B2758,pr_code,0))="","",INDEX(pr_price,MATCH(B2758,pr_code,0))),""))))</f>
        <v/>
      </c>
      <c r="K2758" s="71" t="str">
        <f>IF(COUNTA(A2758:G2758)=0,"",IF(G2758&lt;&gt;"",G2758,IF(B2758="","",IFERROR(IF(INDEX(pr_rate,MATCH(B2758,pr_code,0))="","",INDEX(pr_rate,MATCH(B2758,pr_code,0))),""))))</f>
        <v/>
      </c>
      <c r="L2758" s="65" t="str">
        <f>IF(COUNTA(A2758:G2758)=0,"",IF(AND(ISNUMBER(D2758),ISNUMBER(J2758)),ROUND(D2758*J2758*(1-N(F2758)),2),0))</f>
        <v/>
      </c>
      <c r="M2758" s="62" t="str">
        <f>IF(A2758="","",IFERROR(INDEX(fa_cname,MATCH(A2758,fa_num,0))&amp;"",""))</f>
        <v/>
      </c>
      <c r="N2758" s="59" t="str">
        <f>IF(COUNTA(A2758:G2758)=0,"",IF(A2758="","N° facture manquant",IF(ISNA(MATCH(A2758,fa_num,0)),"Facture inconnue",IF(AND(B2758&lt;&gt;"",ISNA(MATCH(B2758,pr_code,0))),"Article inconnu",IF(H2758="","Désignation manquante",IF(OR(NOT(ISNUMBER(D2758)),N(D2758)&lt;=0),"Quantité invalide",IF(J2758="","Prix manquant",IF(OR(NOT(ISNUMBER(J2758)),N(J2758)&lt;0),"Prix invalide",IF(OR(AND(F2758&lt;&gt;"",NOT(ISNUMBER(F2758))),N(F2758)&lt;0,N(F2758)&gt;1),"Remise invalide",IF(K2758="","Taux de TVA manquant",IF(NOT(ISNUMBER(K2758)),"Taux de TVA invalide",IF(COUNTIF(p_rates,K2758)=0,"Taux de TVA hors liste (Paramètres)",IF(N(O2758)&gt;25,"Au-delà de 25 lignes : non imprimée","OK")))))))))))))</f>
        <v/>
      </c>
      <c r="O2758" s="59" t="str">
        <f>IF(A2758="","",COUNTIF($A$6:A2758,A2758))</f>
        <v/>
      </c>
      <c r="P2758" s="62" t="str">
        <f>IF(A2758="","",A2758&amp;"|"&amp;O2758)</f>
        <v/>
      </c>
    </row>
    <row r="2759">
      <c r="A2759" s="60" t="n"/>
      <c r="B2759" s="63" t="n"/>
      <c r="C2759" s="63" t="n"/>
      <c r="D2759" s="67" t="n"/>
      <c r="E2759" s="68" t="n"/>
      <c r="F2759" s="69" t="n"/>
      <c r="G2759" s="70" t="n"/>
      <c r="H2759" s="62" t="str">
        <f>IF(COUNTA(A2759:G2759)=0,"",IF(C2759&lt;&gt;"",C2759,IF(B2759="","",IFERROR(INDEX(pr_des,MATCH(B2759,pr_code,0))&amp;"",""))))</f>
        <v/>
      </c>
      <c r="I2759" s="59" t="str">
        <f>IF(B2759="","",IFERROR(INDEX(pr_unit,MATCH(B2759,pr_code,0))&amp;"",""))</f>
        <v/>
      </c>
      <c r="J2759" s="65" t="str">
        <f>IF(COUNTA(A2759:G2759)=0,"",IF(E2759&lt;&gt;"",E2759,IF(B2759="","",IFERROR(IF(INDEX(pr_price,MATCH(B2759,pr_code,0))="","",INDEX(pr_price,MATCH(B2759,pr_code,0))),""))))</f>
        <v/>
      </c>
      <c r="K2759" s="71" t="str">
        <f>IF(COUNTA(A2759:G2759)=0,"",IF(G2759&lt;&gt;"",G2759,IF(B2759="","",IFERROR(IF(INDEX(pr_rate,MATCH(B2759,pr_code,0))="","",INDEX(pr_rate,MATCH(B2759,pr_code,0))),""))))</f>
        <v/>
      </c>
      <c r="L2759" s="65" t="str">
        <f>IF(COUNTA(A2759:G2759)=0,"",IF(AND(ISNUMBER(D2759),ISNUMBER(J2759)),ROUND(D2759*J2759*(1-N(F2759)),2),0))</f>
        <v/>
      </c>
      <c r="M2759" s="62" t="str">
        <f>IF(A2759="","",IFERROR(INDEX(fa_cname,MATCH(A2759,fa_num,0))&amp;"",""))</f>
        <v/>
      </c>
      <c r="N2759" s="59" t="str">
        <f>IF(COUNTA(A2759:G2759)=0,"",IF(A2759="","N° facture manquant",IF(ISNA(MATCH(A2759,fa_num,0)),"Facture inconnue",IF(AND(B2759&lt;&gt;"",ISNA(MATCH(B2759,pr_code,0))),"Article inconnu",IF(H2759="","Désignation manquante",IF(OR(NOT(ISNUMBER(D2759)),N(D2759)&lt;=0),"Quantité invalide",IF(J2759="","Prix manquant",IF(OR(NOT(ISNUMBER(J2759)),N(J2759)&lt;0),"Prix invalide",IF(OR(AND(F2759&lt;&gt;"",NOT(ISNUMBER(F2759))),N(F2759)&lt;0,N(F2759)&gt;1),"Remise invalide",IF(K2759="","Taux de TVA manquant",IF(NOT(ISNUMBER(K2759)),"Taux de TVA invalide",IF(COUNTIF(p_rates,K2759)=0,"Taux de TVA hors liste (Paramètres)",IF(N(O2759)&gt;25,"Au-delà de 25 lignes : non imprimée","OK")))))))))))))</f>
        <v/>
      </c>
      <c r="O2759" s="59" t="str">
        <f>IF(A2759="","",COUNTIF($A$6:A2759,A2759))</f>
        <v/>
      </c>
      <c r="P2759" s="62" t="str">
        <f>IF(A2759="","",A2759&amp;"|"&amp;O2759)</f>
        <v/>
      </c>
    </row>
    <row r="2760">
      <c r="A2760" s="60" t="n"/>
      <c r="B2760" s="63" t="n"/>
      <c r="C2760" s="63" t="n"/>
      <c r="D2760" s="67" t="n"/>
      <c r="E2760" s="68" t="n"/>
      <c r="F2760" s="69" t="n"/>
      <c r="G2760" s="70" t="n"/>
      <c r="H2760" s="62" t="str">
        <f>IF(COUNTA(A2760:G2760)=0,"",IF(C2760&lt;&gt;"",C2760,IF(B2760="","",IFERROR(INDEX(pr_des,MATCH(B2760,pr_code,0))&amp;"",""))))</f>
        <v/>
      </c>
      <c r="I2760" s="59" t="str">
        <f>IF(B2760="","",IFERROR(INDEX(pr_unit,MATCH(B2760,pr_code,0))&amp;"",""))</f>
        <v/>
      </c>
      <c r="J2760" s="65" t="str">
        <f>IF(COUNTA(A2760:G2760)=0,"",IF(E2760&lt;&gt;"",E2760,IF(B2760="","",IFERROR(IF(INDEX(pr_price,MATCH(B2760,pr_code,0))="","",INDEX(pr_price,MATCH(B2760,pr_code,0))),""))))</f>
        <v/>
      </c>
      <c r="K2760" s="71" t="str">
        <f>IF(COUNTA(A2760:G2760)=0,"",IF(G2760&lt;&gt;"",G2760,IF(B2760="","",IFERROR(IF(INDEX(pr_rate,MATCH(B2760,pr_code,0))="","",INDEX(pr_rate,MATCH(B2760,pr_code,0))),""))))</f>
        <v/>
      </c>
      <c r="L2760" s="65" t="str">
        <f>IF(COUNTA(A2760:G2760)=0,"",IF(AND(ISNUMBER(D2760),ISNUMBER(J2760)),ROUND(D2760*J2760*(1-N(F2760)),2),0))</f>
        <v/>
      </c>
      <c r="M2760" s="62" t="str">
        <f>IF(A2760="","",IFERROR(INDEX(fa_cname,MATCH(A2760,fa_num,0))&amp;"",""))</f>
        <v/>
      </c>
      <c r="N2760" s="59" t="str">
        <f>IF(COUNTA(A2760:G2760)=0,"",IF(A2760="","N° facture manquant",IF(ISNA(MATCH(A2760,fa_num,0)),"Facture inconnue",IF(AND(B2760&lt;&gt;"",ISNA(MATCH(B2760,pr_code,0))),"Article inconnu",IF(H2760="","Désignation manquante",IF(OR(NOT(ISNUMBER(D2760)),N(D2760)&lt;=0),"Quantité invalide",IF(J2760="","Prix manquant",IF(OR(NOT(ISNUMBER(J2760)),N(J2760)&lt;0),"Prix invalide",IF(OR(AND(F2760&lt;&gt;"",NOT(ISNUMBER(F2760))),N(F2760)&lt;0,N(F2760)&gt;1),"Remise invalide",IF(K2760="","Taux de TVA manquant",IF(NOT(ISNUMBER(K2760)),"Taux de TVA invalide",IF(COUNTIF(p_rates,K2760)=0,"Taux de TVA hors liste (Paramètres)",IF(N(O2760)&gt;25,"Au-delà de 25 lignes : non imprimée","OK")))))))))))))</f>
        <v/>
      </c>
      <c r="O2760" s="59" t="str">
        <f>IF(A2760="","",COUNTIF($A$6:A2760,A2760))</f>
        <v/>
      </c>
      <c r="P2760" s="62" t="str">
        <f>IF(A2760="","",A2760&amp;"|"&amp;O2760)</f>
        <v/>
      </c>
    </row>
    <row r="2761">
      <c r="A2761" s="60" t="n"/>
      <c r="B2761" s="63" t="n"/>
      <c r="C2761" s="63" t="n"/>
      <c r="D2761" s="67" t="n"/>
      <c r="E2761" s="68" t="n"/>
      <c r="F2761" s="69" t="n"/>
      <c r="G2761" s="70" t="n"/>
      <c r="H2761" s="62" t="str">
        <f>IF(COUNTA(A2761:G2761)=0,"",IF(C2761&lt;&gt;"",C2761,IF(B2761="","",IFERROR(INDEX(pr_des,MATCH(B2761,pr_code,0))&amp;"",""))))</f>
        <v/>
      </c>
      <c r="I2761" s="59" t="str">
        <f>IF(B2761="","",IFERROR(INDEX(pr_unit,MATCH(B2761,pr_code,0))&amp;"",""))</f>
        <v/>
      </c>
      <c r="J2761" s="65" t="str">
        <f>IF(COUNTA(A2761:G2761)=0,"",IF(E2761&lt;&gt;"",E2761,IF(B2761="","",IFERROR(IF(INDEX(pr_price,MATCH(B2761,pr_code,0))="","",INDEX(pr_price,MATCH(B2761,pr_code,0))),""))))</f>
        <v/>
      </c>
      <c r="K2761" s="71" t="str">
        <f>IF(COUNTA(A2761:G2761)=0,"",IF(G2761&lt;&gt;"",G2761,IF(B2761="","",IFERROR(IF(INDEX(pr_rate,MATCH(B2761,pr_code,0))="","",INDEX(pr_rate,MATCH(B2761,pr_code,0))),""))))</f>
        <v/>
      </c>
      <c r="L2761" s="65" t="str">
        <f>IF(COUNTA(A2761:G2761)=0,"",IF(AND(ISNUMBER(D2761),ISNUMBER(J2761)),ROUND(D2761*J2761*(1-N(F2761)),2),0))</f>
        <v/>
      </c>
      <c r="M2761" s="62" t="str">
        <f>IF(A2761="","",IFERROR(INDEX(fa_cname,MATCH(A2761,fa_num,0))&amp;"",""))</f>
        <v/>
      </c>
      <c r="N2761" s="59" t="str">
        <f>IF(COUNTA(A2761:G2761)=0,"",IF(A2761="","N° facture manquant",IF(ISNA(MATCH(A2761,fa_num,0)),"Facture inconnue",IF(AND(B2761&lt;&gt;"",ISNA(MATCH(B2761,pr_code,0))),"Article inconnu",IF(H2761="","Désignation manquante",IF(OR(NOT(ISNUMBER(D2761)),N(D2761)&lt;=0),"Quantité invalide",IF(J2761="","Prix manquant",IF(OR(NOT(ISNUMBER(J2761)),N(J2761)&lt;0),"Prix invalide",IF(OR(AND(F2761&lt;&gt;"",NOT(ISNUMBER(F2761))),N(F2761)&lt;0,N(F2761)&gt;1),"Remise invalide",IF(K2761="","Taux de TVA manquant",IF(NOT(ISNUMBER(K2761)),"Taux de TVA invalide",IF(COUNTIF(p_rates,K2761)=0,"Taux de TVA hors liste (Paramètres)",IF(N(O2761)&gt;25,"Au-delà de 25 lignes : non imprimée","OK")))))))))))))</f>
        <v/>
      </c>
      <c r="O2761" s="59" t="str">
        <f>IF(A2761="","",COUNTIF($A$6:A2761,A2761))</f>
        <v/>
      </c>
      <c r="P2761" s="62" t="str">
        <f>IF(A2761="","",A2761&amp;"|"&amp;O2761)</f>
        <v/>
      </c>
    </row>
    <row r="2762">
      <c r="A2762" s="60" t="n"/>
      <c r="B2762" s="63" t="n"/>
      <c r="C2762" s="63" t="n"/>
      <c r="D2762" s="67" t="n"/>
      <c r="E2762" s="68" t="n"/>
      <c r="F2762" s="69" t="n"/>
      <c r="G2762" s="70" t="n"/>
      <c r="H2762" s="62" t="str">
        <f>IF(COUNTA(A2762:G2762)=0,"",IF(C2762&lt;&gt;"",C2762,IF(B2762="","",IFERROR(INDEX(pr_des,MATCH(B2762,pr_code,0))&amp;"",""))))</f>
        <v/>
      </c>
      <c r="I2762" s="59" t="str">
        <f>IF(B2762="","",IFERROR(INDEX(pr_unit,MATCH(B2762,pr_code,0))&amp;"",""))</f>
        <v/>
      </c>
      <c r="J2762" s="65" t="str">
        <f>IF(COUNTA(A2762:G2762)=0,"",IF(E2762&lt;&gt;"",E2762,IF(B2762="","",IFERROR(IF(INDEX(pr_price,MATCH(B2762,pr_code,0))="","",INDEX(pr_price,MATCH(B2762,pr_code,0))),""))))</f>
        <v/>
      </c>
      <c r="K2762" s="71" t="str">
        <f>IF(COUNTA(A2762:G2762)=0,"",IF(G2762&lt;&gt;"",G2762,IF(B2762="","",IFERROR(IF(INDEX(pr_rate,MATCH(B2762,pr_code,0))="","",INDEX(pr_rate,MATCH(B2762,pr_code,0))),""))))</f>
        <v/>
      </c>
      <c r="L2762" s="65" t="str">
        <f>IF(COUNTA(A2762:G2762)=0,"",IF(AND(ISNUMBER(D2762),ISNUMBER(J2762)),ROUND(D2762*J2762*(1-N(F2762)),2),0))</f>
        <v/>
      </c>
      <c r="M2762" s="62" t="str">
        <f>IF(A2762="","",IFERROR(INDEX(fa_cname,MATCH(A2762,fa_num,0))&amp;"",""))</f>
        <v/>
      </c>
      <c r="N2762" s="59" t="str">
        <f>IF(COUNTA(A2762:G2762)=0,"",IF(A2762="","N° facture manquant",IF(ISNA(MATCH(A2762,fa_num,0)),"Facture inconnue",IF(AND(B2762&lt;&gt;"",ISNA(MATCH(B2762,pr_code,0))),"Article inconnu",IF(H2762="","Désignation manquante",IF(OR(NOT(ISNUMBER(D2762)),N(D2762)&lt;=0),"Quantité invalide",IF(J2762="","Prix manquant",IF(OR(NOT(ISNUMBER(J2762)),N(J2762)&lt;0),"Prix invalide",IF(OR(AND(F2762&lt;&gt;"",NOT(ISNUMBER(F2762))),N(F2762)&lt;0,N(F2762)&gt;1),"Remise invalide",IF(K2762="","Taux de TVA manquant",IF(NOT(ISNUMBER(K2762)),"Taux de TVA invalide",IF(COUNTIF(p_rates,K2762)=0,"Taux de TVA hors liste (Paramètres)",IF(N(O2762)&gt;25,"Au-delà de 25 lignes : non imprimée","OK")))))))))))))</f>
        <v/>
      </c>
      <c r="O2762" s="59" t="str">
        <f>IF(A2762="","",COUNTIF($A$6:A2762,A2762))</f>
        <v/>
      </c>
      <c r="P2762" s="62" t="str">
        <f>IF(A2762="","",A2762&amp;"|"&amp;O2762)</f>
        <v/>
      </c>
    </row>
    <row r="2763">
      <c r="A2763" s="60" t="n"/>
      <c r="B2763" s="63" t="n"/>
      <c r="C2763" s="63" t="n"/>
      <c r="D2763" s="67" t="n"/>
      <c r="E2763" s="68" t="n"/>
      <c r="F2763" s="69" t="n"/>
      <c r="G2763" s="70" t="n"/>
      <c r="H2763" s="62" t="str">
        <f>IF(COUNTA(A2763:G2763)=0,"",IF(C2763&lt;&gt;"",C2763,IF(B2763="","",IFERROR(INDEX(pr_des,MATCH(B2763,pr_code,0))&amp;"",""))))</f>
        <v/>
      </c>
      <c r="I2763" s="59" t="str">
        <f>IF(B2763="","",IFERROR(INDEX(pr_unit,MATCH(B2763,pr_code,0))&amp;"",""))</f>
        <v/>
      </c>
      <c r="J2763" s="65" t="str">
        <f>IF(COUNTA(A2763:G2763)=0,"",IF(E2763&lt;&gt;"",E2763,IF(B2763="","",IFERROR(IF(INDEX(pr_price,MATCH(B2763,pr_code,0))="","",INDEX(pr_price,MATCH(B2763,pr_code,0))),""))))</f>
        <v/>
      </c>
      <c r="K2763" s="71" t="str">
        <f>IF(COUNTA(A2763:G2763)=0,"",IF(G2763&lt;&gt;"",G2763,IF(B2763="","",IFERROR(IF(INDEX(pr_rate,MATCH(B2763,pr_code,0))="","",INDEX(pr_rate,MATCH(B2763,pr_code,0))),""))))</f>
        <v/>
      </c>
      <c r="L2763" s="65" t="str">
        <f>IF(COUNTA(A2763:G2763)=0,"",IF(AND(ISNUMBER(D2763),ISNUMBER(J2763)),ROUND(D2763*J2763*(1-N(F2763)),2),0))</f>
        <v/>
      </c>
      <c r="M2763" s="62" t="str">
        <f>IF(A2763="","",IFERROR(INDEX(fa_cname,MATCH(A2763,fa_num,0))&amp;"",""))</f>
        <v/>
      </c>
      <c r="N2763" s="59" t="str">
        <f>IF(COUNTA(A2763:G2763)=0,"",IF(A2763="","N° facture manquant",IF(ISNA(MATCH(A2763,fa_num,0)),"Facture inconnue",IF(AND(B2763&lt;&gt;"",ISNA(MATCH(B2763,pr_code,0))),"Article inconnu",IF(H2763="","Désignation manquante",IF(OR(NOT(ISNUMBER(D2763)),N(D2763)&lt;=0),"Quantité invalide",IF(J2763="","Prix manquant",IF(OR(NOT(ISNUMBER(J2763)),N(J2763)&lt;0),"Prix invalide",IF(OR(AND(F2763&lt;&gt;"",NOT(ISNUMBER(F2763))),N(F2763)&lt;0,N(F2763)&gt;1),"Remise invalide",IF(K2763="","Taux de TVA manquant",IF(NOT(ISNUMBER(K2763)),"Taux de TVA invalide",IF(COUNTIF(p_rates,K2763)=0,"Taux de TVA hors liste (Paramètres)",IF(N(O2763)&gt;25,"Au-delà de 25 lignes : non imprimée","OK")))))))))))))</f>
        <v/>
      </c>
      <c r="O2763" s="59" t="str">
        <f>IF(A2763="","",COUNTIF($A$6:A2763,A2763))</f>
        <v/>
      </c>
      <c r="P2763" s="62" t="str">
        <f>IF(A2763="","",A2763&amp;"|"&amp;O2763)</f>
        <v/>
      </c>
    </row>
    <row r="2764">
      <c r="A2764" s="60" t="n"/>
      <c r="B2764" s="63" t="n"/>
      <c r="C2764" s="63" t="n"/>
      <c r="D2764" s="67" t="n"/>
      <c r="E2764" s="68" t="n"/>
      <c r="F2764" s="69" t="n"/>
      <c r="G2764" s="70" t="n"/>
      <c r="H2764" s="62" t="str">
        <f>IF(COUNTA(A2764:G2764)=0,"",IF(C2764&lt;&gt;"",C2764,IF(B2764="","",IFERROR(INDEX(pr_des,MATCH(B2764,pr_code,0))&amp;"",""))))</f>
        <v/>
      </c>
      <c r="I2764" s="59" t="str">
        <f>IF(B2764="","",IFERROR(INDEX(pr_unit,MATCH(B2764,pr_code,0))&amp;"",""))</f>
        <v/>
      </c>
      <c r="J2764" s="65" t="str">
        <f>IF(COUNTA(A2764:G2764)=0,"",IF(E2764&lt;&gt;"",E2764,IF(B2764="","",IFERROR(IF(INDEX(pr_price,MATCH(B2764,pr_code,0))="","",INDEX(pr_price,MATCH(B2764,pr_code,0))),""))))</f>
        <v/>
      </c>
      <c r="K2764" s="71" t="str">
        <f>IF(COUNTA(A2764:G2764)=0,"",IF(G2764&lt;&gt;"",G2764,IF(B2764="","",IFERROR(IF(INDEX(pr_rate,MATCH(B2764,pr_code,0))="","",INDEX(pr_rate,MATCH(B2764,pr_code,0))),""))))</f>
        <v/>
      </c>
      <c r="L2764" s="65" t="str">
        <f>IF(COUNTA(A2764:G2764)=0,"",IF(AND(ISNUMBER(D2764),ISNUMBER(J2764)),ROUND(D2764*J2764*(1-N(F2764)),2),0))</f>
        <v/>
      </c>
      <c r="M2764" s="62" t="str">
        <f>IF(A2764="","",IFERROR(INDEX(fa_cname,MATCH(A2764,fa_num,0))&amp;"",""))</f>
        <v/>
      </c>
      <c r="N2764" s="59" t="str">
        <f>IF(COUNTA(A2764:G2764)=0,"",IF(A2764="","N° facture manquant",IF(ISNA(MATCH(A2764,fa_num,0)),"Facture inconnue",IF(AND(B2764&lt;&gt;"",ISNA(MATCH(B2764,pr_code,0))),"Article inconnu",IF(H2764="","Désignation manquante",IF(OR(NOT(ISNUMBER(D2764)),N(D2764)&lt;=0),"Quantité invalide",IF(J2764="","Prix manquant",IF(OR(NOT(ISNUMBER(J2764)),N(J2764)&lt;0),"Prix invalide",IF(OR(AND(F2764&lt;&gt;"",NOT(ISNUMBER(F2764))),N(F2764)&lt;0,N(F2764)&gt;1),"Remise invalide",IF(K2764="","Taux de TVA manquant",IF(NOT(ISNUMBER(K2764)),"Taux de TVA invalide",IF(COUNTIF(p_rates,K2764)=0,"Taux de TVA hors liste (Paramètres)",IF(N(O2764)&gt;25,"Au-delà de 25 lignes : non imprimée","OK")))))))))))))</f>
        <v/>
      </c>
      <c r="O2764" s="59" t="str">
        <f>IF(A2764="","",COUNTIF($A$6:A2764,A2764))</f>
        <v/>
      </c>
      <c r="P2764" s="62" t="str">
        <f>IF(A2764="","",A2764&amp;"|"&amp;O2764)</f>
        <v/>
      </c>
    </row>
    <row r="2765">
      <c r="A2765" s="60" t="n"/>
      <c r="B2765" s="63" t="n"/>
      <c r="C2765" s="63" t="n"/>
      <c r="D2765" s="67" t="n"/>
      <c r="E2765" s="68" t="n"/>
      <c r="F2765" s="69" t="n"/>
      <c r="G2765" s="70" t="n"/>
      <c r="H2765" s="62" t="str">
        <f>IF(COUNTA(A2765:G2765)=0,"",IF(C2765&lt;&gt;"",C2765,IF(B2765="","",IFERROR(INDEX(pr_des,MATCH(B2765,pr_code,0))&amp;"",""))))</f>
        <v/>
      </c>
      <c r="I2765" s="59" t="str">
        <f>IF(B2765="","",IFERROR(INDEX(pr_unit,MATCH(B2765,pr_code,0))&amp;"",""))</f>
        <v/>
      </c>
      <c r="J2765" s="65" t="str">
        <f>IF(COUNTA(A2765:G2765)=0,"",IF(E2765&lt;&gt;"",E2765,IF(B2765="","",IFERROR(IF(INDEX(pr_price,MATCH(B2765,pr_code,0))="","",INDEX(pr_price,MATCH(B2765,pr_code,0))),""))))</f>
        <v/>
      </c>
      <c r="K2765" s="71" t="str">
        <f>IF(COUNTA(A2765:G2765)=0,"",IF(G2765&lt;&gt;"",G2765,IF(B2765="","",IFERROR(IF(INDEX(pr_rate,MATCH(B2765,pr_code,0))="","",INDEX(pr_rate,MATCH(B2765,pr_code,0))),""))))</f>
        <v/>
      </c>
      <c r="L2765" s="65" t="str">
        <f>IF(COUNTA(A2765:G2765)=0,"",IF(AND(ISNUMBER(D2765),ISNUMBER(J2765)),ROUND(D2765*J2765*(1-N(F2765)),2),0))</f>
        <v/>
      </c>
      <c r="M2765" s="62" t="str">
        <f>IF(A2765="","",IFERROR(INDEX(fa_cname,MATCH(A2765,fa_num,0))&amp;"",""))</f>
        <v/>
      </c>
      <c r="N2765" s="59" t="str">
        <f>IF(COUNTA(A2765:G2765)=0,"",IF(A2765="","N° facture manquant",IF(ISNA(MATCH(A2765,fa_num,0)),"Facture inconnue",IF(AND(B2765&lt;&gt;"",ISNA(MATCH(B2765,pr_code,0))),"Article inconnu",IF(H2765="","Désignation manquante",IF(OR(NOT(ISNUMBER(D2765)),N(D2765)&lt;=0),"Quantité invalide",IF(J2765="","Prix manquant",IF(OR(NOT(ISNUMBER(J2765)),N(J2765)&lt;0),"Prix invalide",IF(OR(AND(F2765&lt;&gt;"",NOT(ISNUMBER(F2765))),N(F2765)&lt;0,N(F2765)&gt;1),"Remise invalide",IF(K2765="","Taux de TVA manquant",IF(NOT(ISNUMBER(K2765)),"Taux de TVA invalide",IF(COUNTIF(p_rates,K2765)=0,"Taux de TVA hors liste (Paramètres)",IF(N(O2765)&gt;25,"Au-delà de 25 lignes : non imprimée","OK")))))))))))))</f>
        <v/>
      </c>
      <c r="O2765" s="59" t="str">
        <f>IF(A2765="","",COUNTIF($A$6:A2765,A2765))</f>
        <v/>
      </c>
      <c r="P2765" s="62" t="str">
        <f>IF(A2765="","",A2765&amp;"|"&amp;O2765)</f>
        <v/>
      </c>
    </row>
    <row r="2766">
      <c r="A2766" s="60" t="n"/>
      <c r="B2766" s="63" t="n"/>
      <c r="C2766" s="63" t="n"/>
      <c r="D2766" s="67" t="n"/>
      <c r="E2766" s="68" t="n"/>
      <c r="F2766" s="69" t="n"/>
      <c r="G2766" s="70" t="n"/>
      <c r="H2766" s="62" t="str">
        <f>IF(COUNTA(A2766:G2766)=0,"",IF(C2766&lt;&gt;"",C2766,IF(B2766="","",IFERROR(INDEX(pr_des,MATCH(B2766,pr_code,0))&amp;"",""))))</f>
        <v/>
      </c>
      <c r="I2766" s="59" t="str">
        <f>IF(B2766="","",IFERROR(INDEX(pr_unit,MATCH(B2766,pr_code,0))&amp;"",""))</f>
        <v/>
      </c>
      <c r="J2766" s="65" t="str">
        <f>IF(COUNTA(A2766:G2766)=0,"",IF(E2766&lt;&gt;"",E2766,IF(B2766="","",IFERROR(IF(INDEX(pr_price,MATCH(B2766,pr_code,0))="","",INDEX(pr_price,MATCH(B2766,pr_code,0))),""))))</f>
        <v/>
      </c>
      <c r="K2766" s="71" t="str">
        <f>IF(COUNTA(A2766:G2766)=0,"",IF(G2766&lt;&gt;"",G2766,IF(B2766="","",IFERROR(IF(INDEX(pr_rate,MATCH(B2766,pr_code,0))="","",INDEX(pr_rate,MATCH(B2766,pr_code,0))),""))))</f>
        <v/>
      </c>
      <c r="L2766" s="65" t="str">
        <f>IF(COUNTA(A2766:G2766)=0,"",IF(AND(ISNUMBER(D2766),ISNUMBER(J2766)),ROUND(D2766*J2766*(1-N(F2766)),2),0))</f>
        <v/>
      </c>
      <c r="M2766" s="62" t="str">
        <f>IF(A2766="","",IFERROR(INDEX(fa_cname,MATCH(A2766,fa_num,0))&amp;"",""))</f>
        <v/>
      </c>
      <c r="N2766" s="59" t="str">
        <f>IF(COUNTA(A2766:G2766)=0,"",IF(A2766="","N° facture manquant",IF(ISNA(MATCH(A2766,fa_num,0)),"Facture inconnue",IF(AND(B2766&lt;&gt;"",ISNA(MATCH(B2766,pr_code,0))),"Article inconnu",IF(H2766="","Désignation manquante",IF(OR(NOT(ISNUMBER(D2766)),N(D2766)&lt;=0),"Quantité invalide",IF(J2766="","Prix manquant",IF(OR(NOT(ISNUMBER(J2766)),N(J2766)&lt;0),"Prix invalide",IF(OR(AND(F2766&lt;&gt;"",NOT(ISNUMBER(F2766))),N(F2766)&lt;0,N(F2766)&gt;1),"Remise invalide",IF(K2766="","Taux de TVA manquant",IF(NOT(ISNUMBER(K2766)),"Taux de TVA invalide",IF(COUNTIF(p_rates,K2766)=0,"Taux de TVA hors liste (Paramètres)",IF(N(O2766)&gt;25,"Au-delà de 25 lignes : non imprimée","OK")))))))))))))</f>
        <v/>
      </c>
      <c r="O2766" s="59" t="str">
        <f>IF(A2766="","",COUNTIF($A$6:A2766,A2766))</f>
        <v/>
      </c>
      <c r="P2766" s="62" t="str">
        <f>IF(A2766="","",A2766&amp;"|"&amp;O2766)</f>
        <v/>
      </c>
    </row>
    <row r="2767">
      <c r="A2767" s="60" t="n"/>
      <c r="B2767" s="63" t="n"/>
      <c r="C2767" s="63" t="n"/>
      <c r="D2767" s="67" t="n"/>
      <c r="E2767" s="68" t="n"/>
      <c r="F2767" s="69" t="n"/>
      <c r="G2767" s="70" t="n"/>
      <c r="H2767" s="62" t="str">
        <f>IF(COUNTA(A2767:G2767)=0,"",IF(C2767&lt;&gt;"",C2767,IF(B2767="","",IFERROR(INDEX(pr_des,MATCH(B2767,pr_code,0))&amp;"",""))))</f>
        <v/>
      </c>
      <c r="I2767" s="59" t="str">
        <f>IF(B2767="","",IFERROR(INDEX(pr_unit,MATCH(B2767,pr_code,0))&amp;"",""))</f>
        <v/>
      </c>
      <c r="J2767" s="65" t="str">
        <f>IF(COUNTA(A2767:G2767)=0,"",IF(E2767&lt;&gt;"",E2767,IF(B2767="","",IFERROR(IF(INDEX(pr_price,MATCH(B2767,pr_code,0))="","",INDEX(pr_price,MATCH(B2767,pr_code,0))),""))))</f>
        <v/>
      </c>
      <c r="K2767" s="71" t="str">
        <f>IF(COUNTA(A2767:G2767)=0,"",IF(G2767&lt;&gt;"",G2767,IF(B2767="","",IFERROR(IF(INDEX(pr_rate,MATCH(B2767,pr_code,0))="","",INDEX(pr_rate,MATCH(B2767,pr_code,0))),""))))</f>
        <v/>
      </c>
      <c r="L2767" s="65" t="str">
        <f>IF(COUNTA(A2767:G2767)=0,"",IF(AND(ISNUMBER(D2767),ISNUMBER(J2767)),ROUND(D2767*J2767*(1-N(F2767)),2),0))</f>
        <v/>
      </c>
      <c r="M2767" s="62" t="str">
        <f>IF(A2767="","",IFERROR(INDEX(fa_cname,MATCH(A2767,fa_num,0))&amp;"",""))</f>
        <v/>
      </c>
      <c r="N2767" s="59" t="str">
        <f>IF(COUNTA(A2767:G2767)=0,"",IF(A2767="","N° facture manquant",IF(ISNA(MATCH(A2767,fa_num,0)),"Facture inconnue",IF(AND(B2767&lt;&gt;"",ISNA(MATCH(B2767,pr_code,0))),"Article inconnu",IF(H2767="","Désignation manquante",IF(OR(NOT(ISNUMBER(D2767)),N(D2767)&lt;=0),"Quantité invalide",IF(J2767="","Prix manquant",IF(OR(NOT(ISNUMBER(J2767)),N(J2767)&lt;0),"Prix invalide",IF(OR(AND(F2767&lt;&gt;"",NOT(ISNUMBER(F2767))),N(F2767)&lt;0,N(F2767)&gt;1),"Remise invalide",IF(K2767="","Taux de TVA manquant",IF(NOT(ISNUMBER(K2767)),"Taux de TVA invalide",IF(COUNTIF(p_rates,K2767)=0,"Taux de TVA hors liste (Paramètres)",IF(N(O2767)&gt;25,"Au-delà de 25 lignes : non imprimée","OK")))))))))))))</f>
        <v/>
      </c>
      <c r="O2767" s="59" t="str">
        <f>IF(A2767="","",COUNTIF($A$6:A2767,A2767))</f>
        <v/>
      </c>
      <c r="P2767" s="62" t="str">
        <f>IF(A2767="","",A2767&amp;"|"&amp;O2767)</f>
        <v/>
      </c>
    </row>
    <row r="2768">
      <c r="A2768" s="60" t="n"/>
      <c r="B2768" s="63" t="n"/>
      <c r="C2768" s="63" t="n"/>
      <c r="D2768" s="67" t="n"/>
      <c r="E2768" s="68" t="n"/>
      <c r="F2768" s="69" t="n"/>
      <c r="G2768" s="70" t="n"/>
      <c r="H2768" s="62" t="str">
        <f>IF(COUNTA(A2768:G2768)=0,"",IF(C2768&lt;&gt;"",C2768,IF(B2768="","",IFERROR(INDEX(pr_des,MATCH(B2768,pr_code,0))&amp;"",""))))</f>
        <v/>
      </c>
      <c r="I2768" s="59" t="str">
        <f>IF(B2768="","",IFERROR(INDEX(pr_unit,MATCH(B2768,pr_code,0))&amp;"",""))</f>
        <v/>
      </c>
      <c r="J2768" s="65" t="str">
        <f>IF(COUNTA(A2768:G2768)=0,"",IF(E2768&lt;&gt;"",E2768,IF(B2768="","",IFERROR(IF(INDEX(pr_price,MATCH(B2768,pr_code,0))="","",INDEX(pr_price,MATCH(B2768,pr_code,0))),""))))</f>
        <v/>
      </c>
      <c r="K2768" s="71" t="str">
        <f>IF(COUNTA(A2768:G2768)=0,"",IF(G2768&lt;&gt;"",G2768,IF(B2768="","",IFERROR(IF(INDEX(pr_rate,MATCH(B2768,pr_code,0))="","",INDEX(pr_rate,MATCH(B2768,pr_code,0))),""))))</f>
        <v/>
      </c>
      <c r="L2768" s="65" t="str">
        <f>IF(COUNTA(A2768:G2768)=0,"",IF(AND(ISNUMBER(D2768),ISNUMBER(J2768)),ROUND(D2768*J2768*(1-N(F2768)),2),0))</f>
        <v/>
      </c>
      <c r="M2768" s="62" t="str">
        <f>IF(A2768="","",IFERROR(INDEX(fa_cname,MATCH(A2768,fa_num,0))&amp;"",""))</f>
        <v/>
      </c>
      <c r="N2768" s="59" t="str">
        <f>IF(COUNTA(A2768:G2768)=0,"",IF(A2768="","N° facture manquant",IF(ISNA(MATCH(A2768,fa_num,0)),"Facture inconnue",IF(AND(B2768&lt;&gt;"",ISNA(MATCH(B2768,pr_code,0))),"Article inconnu",IF(H2768="","Désignation manquante",IF(OR(NOT(ISNUMBER(D2768)),N(D2768)&lt;=0),"Quantité invalide",IF(J2768="","Prix manquant",IF(OR(NOT(ISNUMBER(J2768)),N(J2768)&lt;0),"Prix invalide",IF(OR(AND(F2768&lt;&gt;"",NOT(ISNUMBER(F2768))),N(F2768)&lt;0,N(F2768)&gt;1),"Remise invalide",IF(K2768="","Taux de TVA manquant",IF(NOT(ISNUMBER(K2768)),"Taux de TVA invalide",IF(COUNTIF(p_rates,K2768)=0,"Taux de TVA hors liste (Paramètres)",IF(N(O2768)&gt;25,"Au-delà de 25 lignes : non imprimée","OK")))))))))))))</f>
        <v/>
      </c>
      <c r="O2768" s="59" t="str">
        <f>IF(A2768="","",COUNTIF($A$6:A2768,A2768))</f>
        <v/>
      </c>
      <c r="P2768" s="62" t="str">
        <f>IF(A2768="","",A2768&amp;"|"&amp;O2768)</f>
        <v/>
      </c>
    </row>
    <row r="2769">
      <c r="A2769" s="60" t="n"/>
      <c r="B2769" s="63" t="n"/>
      <c r="C2769" s="63" t="n"/>
      <c r="D2769" s="67" t="n"/>
      <c r="E2769" s="68" t="n"/>
      <c r="F2769" s="69" t="n"/>
      <c r="G2769" s="70" t="n"/>
      <c r="H2769" s="62" t="str">
        <f>IF(COUNTA(A2769:G2769)=0,"",IF(C2769&lt;&gt;"",C2769,IF(B2769="","",IFERROR(INDEX(pr_des,MATCH(B2769,pr_code,0))&amp;"",""))))</f>
        <v/>
      </c>
      <c r="I2769" s="59" t="str">
        <f>IF(B2769="","",IFERROR(INDEX(pr_unit,MATCH(B2769,pr_code,0))&amp;"",""))</f>
        <v/>
      </c>
      <c r="J2769" s="65" t="str">
        <f>IF(COUNTA(A2769:G2769)=0,"",IF(E2769&lt;&gt;"",E2769,IF(B2769="","",IFERROR(IF(INDEX(pr_price,MATCH(B2769,pr_code,0))="","",INDEX(pr_price,MATCH(B2769,pr_code,0))),""))))</f>
        <v/>
      </c>
      <c r="K2769" s="71" t="str">
        <f>IF(COUNTA(A2769:G2769)=0,"",IF(G2769&lt;&gt;"",G2769,IF(B2769="","",IFERROR(IF(INDEX(pr_rate,MATCH(B2769,pr_code,0))="","",INDEX(pr_rate,MATCH(B2769,pr_code,0))),""))))</f>
        <v/>
      </c>
      <c r="L2769" s="65" t="str">
        <f>IF(COUNTA(A2769:G2769)=0,"",IF(AND(ISNUMBER(D2769),ISNUMBER(J2769)),ROUND(D2769*J2769*(1-N(F2769)),2),0))</f>
        <v/>
      </c>
      <c r="M2769" s="62" t="str">
        <f>IF(A2769="","",IFERROR(INDEX(fa_cname,MATCH(A2769,fa_num,0))&amp;"",""))</f>
        <v/>
      </c>
      <c r="N2769" s="59" t="str">
        <f>IF(COUNTA(A2769:G2769)=0,"",IF(A2769="","N° facture manquant",IF(ISNA(MATCH(A2769,fa_num,0)),"Facture inconnue",IF(AND(B2769&lt;&gt;"",ISNA(MATCH(B2769,pr_code,0))),"Article inconnu",IF(H2769="","Désignation manquante",IF(OR(NOT(ISNUMBER(D2769)),N(D2769)&lt;=0),"Quantité invalide",IF(J2769="","Prix manquant",IF(OR(NOT(ISNUMBER(J2769)),N(J2769)&lt;0),"Prix invalide",IF(OR(AND(F2769&lt;&gt;"",NOT(ISNUMBER(F2769))),N(F2769)&lt;0,N(F2769)&gt;1),"Remise invalide",IF(K2769="","Taux de TVA manquant",IF(NOT(ISNUMBER(K2769)),"Taux de TVA invalide",IF(COUNTIF(p_rates,K2769)=0,"Taux de TVA hors liste (Paramètres)",IF(N(O2769)&gt;25,"Au-delà de 25 lignes : non imprimée","OK")))))))))))))</f>
        <v/>
      </c>
      <c r="O2769" s="59" t="str">
        <f>IF(A2769="","",COUNTIF($A$6:A2769,A2769))</f>
        <v/>
      </c>
      <c r="P2769" s="62" t="str">
        <f>IF(A2769="","",A2769&amp;"|"&amp;O2769)</f>
        <v/>
      </c>
    </row>
    <row r="2770">
      <c r="A2770" s="60" t="n"/>
      <c r="B2770" s="63" t="n"/>
      <c r="C2770" s="63" t="n"/>
      <c r="D2770" s="67" t="n"/>
      <c r="E2770" s="68" t="n"/>
      <c r="F2770" s="69" t="n"/>
      <c r="G2770" s="70" t="n"/>
      <c r="H2770" s="62" t="str">
        <f>IF(COUNTA(A2770:G2770)=0,"",IF(C2770&lt;&gt;"",C2770,IF(B2770="","",IFERROR(INDEX(pr_des,MATCH(B2770,pr_code,0))&amp;"",""))))</f>
        <v/>
      </c>
      <c r="I2770" s="59" t="str">
        <f>IF(B2770="","",IFERROR(INDEX(pr_unit,MATCH(B2770,pr_code,0))&amp;"",""))</f>
        <v/>
      </c>
      <c r="J2770" s="65" t="str">
        <f>IF(COUNTA(A2770:G2770)=0,"",IF(E2770&lt;&gt;"",E2770,IF(B2770="","",IFERROR(IF(INDEX(pr_price,MATCH(B2770,pr_code,0))="","",INDEX(pr_price,MATCH(B2770,pr_code,0))),""))))</f>
        <v/>
      </c>
      <c r="K2770" s="71" t="str">
        <f>IF(COUNTA(A2770:G2770)=0,"",IF(G2770&lt;&gt;"",G2770,IF(B2770="","",IFERROR(IF(INDEX(pr_rate,MATCH(B2770,pr_code,0))="","",INDEX(pr_rate,MATCH(B2770,pr_code,0))),""))))</f>
        <v/>
      </c>
      <c r="L2770" s="65" t="str">
        <f>IF(COUNTA(A2770:G2770)=0,"",IF(AND(ISNUMBER(D2770),ISNUMBER(J2770)),ROUND(D2770*J2770*(1-N(F2770)),2),0))</f>
        <v/>
      </c>
      <c r="M2770" s="62" t="str">
        <f>IF(A2770="","",IFERROR(INDEX(fa_cname,MATCH(A2770,fa_num,0))&amp;"",""))</f>
        <v/>
      </c>
      <c r="N2770" s="59" t="str">
        <f>IF(COUNTA(A2770:G2770)=0,"",IF(A2770="","N° facture manquant",IF(ISNA(MATCH(A2770,fa_num,0)),"Facture inconnue",IF(AND(B2770&lt;&gt;"",ISNA(MATCH(B2770,pr_code,0))),"Article inconnu",IF(H2770="","Désignation manquante",IF(OR(NOT(ISNUMBER(D2770)),N(D2770)&lt;=0),"Quantité invalide",IF(J2770="","Prix manquant",IF(OR(NOT(ISNUMBER(J2770)),N(J2770)&lt;0),"Prix invalide",IF(OR(AND(F2770&lt;&gt;"",NOT(ISNUMBER(F2770))),N(F2770)&lt;0,N(F2770)&gt;1),"Remise invalide",IF(K2770="","Taux de TVA manquant",IF(NOT(ISNUMBER(K2770)),"Taux de TVA invalide",IF(COUNTIF(p_rates,K2770)=0,"Taux de TVA hors liste (Paramètres)",IF(N(O2770)&gt;25,"Au-delà de 25 lignes : non imprimée","OK")))))))))))))</f>
        <v/>
      </c>
      <c r="O2770" s="59" t="str">
        <f>IF(A2770="","",COUNTIF($A$6:A2770,A2770))</f>
        <v/>
      </c>
      <c r="P2770" s="62" t="str">
        <f>IF(A2770="","",A2770&amp;"|"&amp;O2770)</f>
        <v/>
      </c>
    </row>
    <row r="2771">
      <c r="A2771" s="60" t="n"/>
      <c r="B2771" s="63" t="n"/>
      <c r="C2771" s="63" t="n"/>
      <c r="D2771" s="67" t="n"/>
      <c r="E2771" s="68" t="n"/>
      <c r="F2771" s="69" t="n"/>
      <c r="G2771" s="70" t="n"/>
      <c r="H2771" s="62" t="str">
        <f>IF(COUNTA(A2771:G2771)=0,"",IF(C2771&lt;&gt;"",C2771,IF(B2771="","",IFERROR(INDEX(pr_des,MATCH(B2771,pr_code,0))&amp;"",""))))</f>
        <v/>
      </c>
      <c r="I2771" s="59" t="str">
        <f>IF(B2771="","",IFERROR(INDEX(pr_unit,MATCH(B2771,pr_code,0))&amp;"",""))</f>
        <v/>
      </c>
      <c r="J2771" s="65" t="str">
        <f>IF(COUNTA(A2771:G2771)=0,"",IF(E2771&lt;&gt;"",E2771,IF(B2771="","",IFERROR(IF(INDEX(pr_price,MATCH(B2771,pr_code,0))="","",INDEX(pr_price,MATCH(B2771,pr_code,0))),""))))</f>
        <v/>
      </c>
      <c r="K2771" s="71" t="str">
        <f>IF(COUNTA(A2771:G2771)=0,"",IF(G2771&lt;&gt;"",G2771,IF(B2771="","",IFERROR(IF(INDEX(pr_rate,MATCH(B2771,pr_code,0))="","",INDEX(pr_rate,MATCH(B2771,pr_code,0))),""))))</f>
        <v/>
      </c>
      <c r="L2771" s="65" t="str">
        <f>IF(COUNTA(A2771:G2771)=0,"",IF(AND(ISNUMBER(D2771),ISNUMBER(J2771)),ROUND(D2771*J2771*(1-N(F2771)),2),0))</f>
        <v/>
      </c>
      <c r="M2771" s="62" t="str">
        <f>IF(A2771="","",IFERROR(INDEX(fa_cname,MATCH(A2771,fa_num,0))&amp;"",""))</f>
        <v/>
      </c>
      <c r="N2771" s="59" t="str">
        <f>IF(COUNTA(A2771:G2771)=0,"",IF(A2771="","N° facture manquant",IF(ISNA(MATCH(A2771,fa_num,0)),"Facture inconnue",IF(AND(B2771&lt;&gt;"",ISNA(MATCH(B2771,pr_code,0))),"Article inconnu",IF(H2771="","Désignation manquante",IF(OR(NOT(ISNUMBER(D2771)),N(D2771)&lt;=0),"Quantité invalide",IF(J2771="","Prix manquant",IF(OR(NOT(ISNUMBER(J2771)),N(J2771)&lt;0),"Prix invalide",IF(OR(AND(F2771&lt;&gt;"",NOT(ISNUMBER(F2771))),N(F2771)&lt;0,N(F2771)&gt;1),"Remise invalide",IF(K2771="","Taux de TVA manquant",IF(NOT(ISNUMBER(K2771)),"Taux de TVA invalide",IF(COUNTIF(p_rates,K2771)=0,"Taux de TVA hors liste (Paramètres)",IF(N(O2771)&gt;25,"Au-delà de 25 lignes : non imprimée","OK")))))))))))))</f>
        <v/>
      </c>
      <c r="O2771" s="59" t="str">
        <f>IF(A2771="","",COUNTIF($A$6:A2771,A2771))</f>
        <v/>
      </c>
      <c r="P2771" s="62" t="str">
        <f>IF(A2771="","",A2771&amp;"|"&amp;O2771)</f>
        <v/>
      </c>
    </row>
    <row r="2772">
      <c r="A2772" s="60" t="n"/>
      <c r="B2772" s="63" t="n"/>
      <c r="C2772" s="63" t="n"/>
      <c r="D2772" s="67" t="n"/>
      <c r="E2772" s="68" t="n"/>
      <c r="F2772" s="69" t="n"/>
      <c r="G2772" s="70" t="n"/>
      <c r="H2772" s="62" t="str">
        <f>IF(COUNTA(A2772:G2772)=0,"",IF(C2772&lt;&gt;"",C2772,IF(B2772="","",IFERROR(INDEX(pr_des,MATCH(B2772,pr_code,0))&amp;"",""))))</f>
        <v/>
      </c>
      <c r="I2772" s="59" t="str">
        <f>IF(B2772="","",IFERROR(INDEX(pr_unit,MATCH(B2772,pr_code,0))&amp;"",""))</f>
        <v/>
      </c>
      <c r="J2772" s="65" t="str">
        <f>IF(COUNTA(A2772:G2772)=0,"",IF(E2772&lt;&gt;"",E2772,IF(B2772="","",IFERROR(IF(INDEX(pr_price,MATCH(B2772,pr_code,0))="","",INDEX(pr_price,MATCH(B2772,pr_code,0))),""))))</f>
        <v/>
      </c>
      <c r="K2772" s="71" t="str">
        <f>IF(COUNTA(A2772:G2772)=0,"",IF(G2772&lt;&gt;"",G2772,IF(B2772="","",IFERROR(IF(INDEX(pr_rate,MATCH(B2772,pr_code,0))="","",INDEX(pr_rate,MATCH(B2772,pr_code,0))),""))))</f>
        <v/>
      </c>
      <c r="L2772" s="65" t="str">
        <f>IF(COUNTA(A2772:G2772)=0,"",IF(AND(ISNUMBER(D2772),ISNUMBER(J2772)),ROUND(D2772*J2772*(1-N(F2772)),2),0))</f>
        <v/>
      </c>
      <c r="M2772" s="62" t="str">
        <f>IF(A2772="","",IFERROR(INDEX(fa_cname,MATCH(A2772,fa_num,0))&amp;"",""))</f>
        <v/>
      </c>
      <c r="N2772" s="59" t="str">
        <f>IF(COUNTA(A2772:G2772)=0,"",IF(A2772="","N° facture manquant",IF(ISNA(MATCH(A2772,fa_num,0)),"Facture inconnue",IF(AND(B2772&lt;&gt;"",ISNA(MATCH(B2772,pr_code,0))),"Article inconnu",IF(H2772="","Désignation manquante",IF(OR(NOT(ISNUMBER(D2772)),N(D2772)&lt;=0),"Quantité invalide",IF(J2772="","Prix manquant",IF(OR(NOT(ISNUMBER(J2772)),N(J2772)&lt;0),"Prix invalide",IF(OR(AND(F2772&lt;&gt;"",NOT(ISNUMBER(F2772))),N(F2772)&lt;0,N(F2772)&gt;1),"Remise invalide",IF(K2772="","Taux de TVA manquant",IF(NOT(ISNUMBER(K2772)),"Taux de TVA invalide",IF(COUNTIF(p_rates,K2772)=0,"Taux de TVA hors liste (Paramètres)",IF(N(O2772)&gt;25,"Au-delà de 25 lignes : non imprimée","OK")))))))))))))</f>
        <v/>
      </c>
      <c r="O2772" s="59" t="str">
        <f>IF(A2772="","",COUNTIF($A$6:A2772,A2772))</f>
        <v/>
      </c>
      <c r="P2772" s="62" t="str">
        <f>IF(A2772="","",A2772&amp;"|"&amp;O2772)</f>
        <v/>
      </c>
    </row>
    <row r="2773">
      <c r="A2773" s="60" t="n"/>
      <c r="B2773" s="63" t="n"/>
      <c r="C2773" s="63" t="n"/>
      <c r="D2773" s="67" t="n"/>
      <c r="E2773" s="68" t="n"/>
      <c r="F2773" s="69" t="n"/>
      <c r="G2773" s="70" t="n"/>
      <c r="H2773" s="62" t="str">
        <f>IF(COUNTA(A2773:G2773)=0,"",IF(C2773&lt;&gt;"",C2773,IF(B2773="","",IFERROR(INDEX(pr_des,MATCH(B2773,pr_code,0))&amp;"",""))))</f>
        <v/>
      </c>
      <c r="I2773" s="59" t="str">
        <f>IF(B2773="","",IFERROR(INDEX(pr_unit,MATCH(B2773,pr_code,0))&amp;"",""))</f>
        <v/>
      </c>
      <c r="J2773" s="65" t="str">
        <f>IF(COUNTA(A2773:G2773)=0,"",IF(E2773&lt;&gt;"",E2773,IF(B2773="","",IFERROR(IF(INDEX(pr_price,MATCH(B2773,pr_code,0))="","",INDEX(pr_price,MATCH(B2773,pr_code,0))),""))))</f>
        <v/>
      </c>
      <c r="K2773" s="71" t="str">
        <f>IF(COUNTA(A2773:G2773)=0,"",IF(G2773&lt;&gt;"",G2773,IF(B2773="","",IFERROR(IF(INDEX(pr_rate,MATCH(B2773,pr_code,0))="","",INDEX(pr_rate,MATCH(B2773,pr_code,0))),""))))</f>
        <v/>
      </c>
      <c r="L2773" s="65" t="str">
        <f>IF(COUNTA(A2773:G2773)=0,"",IF(AND(ISNUMBER(D2773),ISNUMBER(J2773)),ROUND(D2773*J2773*(1-N(F2773)),2),0))</f>
        <v/>
      </c>
      <c r="M2773" s="62" t="str">
        <f>IF(A2773="","",IFERROR(INDEX(fa_cname,MATCH(A2773,fa_num,0))&amp;"",""))</f>
        <v/>
      </c>
      <c r="N2773" s="59" t="str">
        <f>IF(COUNTA(A2773:G2773)=0,"",IF(A2773="","N° facture manquant",IF(ISNA(MATCH(A2773,fa_num,0)),"Facture inconnue",IF(AND(B2773&lt;&gt;"",ISNA(MATCH(B2773,pr_code,0))),"Article inconnu",IF(H2773="","Désignation manquante",IF(OR(NOT(ISNUMBER(D2773)),N(D2773)&lt;=0),"Quantité invalide",IF(J2773="","Prix manquant",IF(OR(NOT(ISNUMBER(J2773)),N(J2773)&lt;0),"Prix invalide",IF(OR(AND(F2773&lt;&gt;"",NOT(ISNUMBER(F2773))),N(F2773)&lt;0,N(F2773)&gt;1),"Remise invalide",IF(K2773="","Taux de TVA manquant",IF(NOT(ISNUMBER(K2773)),"Taux de TVA invalide",IF(COUNTIF(p_rates,K2773)=0,"Taux de TVA hors liste (Paramètres)",IF(N(O2773)&gt;25,"Au-delà de 25 lignes : non imprimée","OK")))))))))))))</f>
        <v/>
      </c>
      <c r="O2773" s="59" t="str">
        <f>IF(A2773="","",COUNTIF($A$6:A2773,A2773))</f>
        <v/>
      </c>
      <c r="P2773" s="62" t="str">
        <f>IF(A2773="","",A2773&amp;"|"&amp;O2773)</f>
        <v/>
      </c>
    </row>
    <row r="2774">
      <c r="A2774" s="60" t="n"/>
      <c r="B2774" s="63" t="n"/>
      <c r="C2774" s="63" t="n"/>
      <c r="D2774" s="67" t="n"/>
      <c r="E2774" s="68" t="n"/>
      <c r="F2774" s="69" t="n"/>
      <c r="G2774" s="70" t="n"/>
      <c r="H2774" s="62" t="str">
        <f>IF(COUNTA(A2774:G2774)=0,"",IF(C2774&lt;&gt;"",C2774,IF(B2774="","",IFERROR(INDEX(pr_des,MATCH(B2774,pr_code,0))&amp;"",""))))</f>
        <v/>
      </c>
      <c r="I2774" s="59" t="str">
        <f>IF(B2774="","",IFERROR(INDEX(pr_unit,MATCH(B2774,pr_code,0))&amp;"",""))</f>
        <v/>
      </c>
      <c r="J2774" s="65" t="str">
        <f>IF(COUNTA(A2774:G2774)=0,"",IF(E2774&lt;&gt;"",E2774,IF(B2774="","",IFERROR(IF(INDEX(pr_price,MATCH(B2774,pr_code,0))="","",INDEX(pr_price,MATCH(B2774,pr_code,0))),""))))</f>
        <v/>
      </c>
      <c r="K2774" s="71" t="str">
        <f>IF(COUNTA(A2774:G2774)=0,"",IF(G2774&lt;&gt;"",G2774,IF(B2774="","",IFERROR(IF(INDEX(pr_rate,MATCH(B2774,pr_code,0))="","",INDEX(pr_rate,MATCH(B2774,pr_code,0))),""))))</f>
        <v/>
      </c>
      <c r="L2774" s="65" t="str">
        <f>IF(COUNTA(A2774:G2774)=0,"",IF(AND(ISNUMBER(D2774),ISNUMBER(J2774)),ROUND(D2774*J2774*(1-N(F2774)),2),0))</f>
        <v/>
      </c>
      <c r="M2774" s="62" t="str">
        <f>IF(A2774="","",IFERROR(INDEX(fa_cname,MATCH(A2774,fa_num,0))&amp;"",""))</f>
        <v/>
      </c>
      <c r="N2774" s="59" t="str">
        <f>IF(COUNTA(A2774:G2774)=0,"",IF(A2774="","N° facture manquant",IF(ISNA(MATCH(A2774,fa_num,0)),"Facture inconnue",IF(AND(B2774&lt;&gt;"",ISNA(MATCH(B2774,pr_code,0))),"Article inconnu",IF(H2774="","Désignation manquante",IF(OR(NOT(ISNUMBER(D2774)),N(D2774)&lt;=0),"Quantité invalide",IF(J2774="","Prix manquant",IF(OR(NOT(ISNUMBER(J2774)),N(J2774)&lt;0),"Prix invalide",IF(OR(AND(F2774&lt;&gt;"",NOT(ISNUMBER(F2774))),N(F2774)&lt;0,N(F2774)&gt;1),"Remise invalide",IF(K2774="","Taux de TVA manquant",IF(NOT(ISNUMBER(K2774)),"Taux de TVA invalide",IF(COUNTIF(p_rates,K2774)=0,"Taux de TVA hors liste (Paramètres)",IF(N(O2774)&gt;25,"Au-delà de 25 lignes : non imprimée","OK")))))))))))))</f>
        <v/>
      </c>
      <c r="O2774" s="59" t="str">
        <f>IF(A2774="","",COUNTIF($A$6:A2774,A2774))</f>
        <v/>
      </c>
      <c r="P2774" s="62" t="str">
        <f>IF(A2774="","",A2774&amp;"|"&amp;O2774)</f>
        <v/>
      </c>
    </row>
    <row r="2775">
      <c r="A2775" s="60" t="n"/>
      <c r="B2775" s="63" t="n"/>
      <c r="C2775" s="63" t="n"/>
      <c r="D2775" s="67" t="n"/>
      <c r="E2775" s="68" t="n"/>
      <c r="F2775" s="69" t="n"/>
      <c r="G2775" s="70" t="n"/>
      <c r="H2775" s="62" t="str">
        <f>IF(COUNTA(A2775:G2775)=0,"",IF(C2775&lt;&gt;"",C2775,IF(B2775="","",IFERROR(INDEX(pr_des,MATCH(B2775,pr_code,0))&amp;"",""))))</f>
        <v/>
      </c>
      <c r="I2775" s="59" t="str">
        <f>IF(B2775="","",IFERROR(INDEX(pr_unit,MATCH(B2775,pr_code,0))&amp;"",""))</f>
        <v/>
      </c>
      <c r="J2775" s="65" t="str">
        <f>IF(COUNTA(A2775:G2775)=0,"",IF(E2775&lt;&gt;"",E2775,IF(B2775="","",IFERROR(IF(INDEX(pr_price,MATCH(B2775,pr_code,0))="","",INDEX(pr_price,MATCH(B2775,pr_code,0))),""))))</f>
        <v/>
      </c>
      <c r="K2775" s="71" t="str">
        <f>IF(COUNTA(A2775:G2775)=0,"",IF(G2775&lt;&gt;"",G2775,IF(B2775="","",IFERROR(IF(INDEX(pr_rate,MATCH(B2775,pr_code,0))="","",INDEX(pr_rate,MATCH(B2775,pr_code,0))),""))))</f>
        <v/>
      </c>
      <c r="L2775" s="65" t="str">
        <f>IF(COUNTA(A2775:G2775)=0,"",IF(AND(ISNUMBER(D2775),ISNUMBER(J2775)),ROUND(D2775*J2775*(1-N(F2775)),2),0))</f>
        <v/>
      </c>
      <c r="M2775" s="62" t="str">
        <f>IF(A2775="","",IFERROR(INDEX(fa_cname,MATCH(A2775,fa_num,0))&amp;"",""))</f>
        <v/>
      </c>
      <c r="N2775" s="59" t="str">
        <f>IF(COUNTA(A2775:G2775)=0,"",IF(A2775="","N° facture manquant",IF(ISNA(MATCH(A2775,fa_num,0)),"Facture inconnue",IF(AND(B2775&lt;&gt;"",ISNA(MATCH(B2775,pr_code,0))),"Article inconnu",IF(H2775="","Désignation manquante",IF(OR(NOT(ISNUMBER(D2775)),N(D2775)&lt;=0),"Quantité invalide",IF(J2775="","Prix manquant",IF(OR(NOT(ISNUMBER(J2775)),N(J2775)&lt;0),"Prix invalide",IF(OR(AND(F2775&lt;&gt;"",NOT(ISNUMBER(F2775))),N(F2775)&lt;0,N(F2775)&gt;1),"Remise invalide",IF(K2775="","Taux de TVA manquant",IF(NOT(ISNUMBER(K2775)),"Taux de TVA invalide",IF(COUNTIF(p_rates,K2775)=0,"Taux de TVA hors liste (Paramètres)",IF(N(O2775)&gt;25,"Au-delà de 25 lignes : non imprimée","OK")))))))))))))</f>
        <v/>
      </c>
      <c r="O2775" s="59" t="str">
        <f>IF(A2775="","",COUNTIF($A$6:A2775,A2775))</f>
        <v/>
      </c>
      <c r="P2775" s="62" t="str">
        <f>IF(A2775="","",A2775&amp;"|"&amp;O2775)</f>
        <v/>
      </c>
    </row>
    <row r="2776">
      <c r="A2776" s="60" t="n"/>
      <c r="B2776" s="63" t="n"/>
      <c r="C2776" s="63" t="n"/>
      <c r="D2776" s="67" t="n"/>
      <c r="E2776" s="68" t="n"/>
      <c r="F2776" s="69" t="n"/>
      <c r="G2776" s="70" t="n"/>
      <c r="H2776" s="62" t="str">
        <f>IF(COUNTA(A2776:G2776)=0,"",IF(C2776&lt;&gt;"",C2776,IF(B2776="","",IFERROR(INDEX(pr_des,MATCH(B2776,pr_code,0))&amp;"",""))))</f>
        <v/>
      </c>
      <c r="I2776" s="59" t="str">
        <f>IF(B2776="","",IFERROR(INDEX(pr_unit,MATCH(B2776,pr_code,0))&amp;"",""))</f>
        <v/>
      </c>
      <c r="J2776" s="65" t="str">
        <f>IF(COUNTA(A2776:G2776)=0,"",IF(E2776&lt;&gt;"",E2776,IF(B2776="","",IFERROR(IF(INDEX(pr_price,MATCH(B2776,pr_code,0))="","",INDEX(pr_price,MATCH(B2776,pr_code,0))),""))))</f>
        <v/>
      </c>
      <c r="K2776" s="71" t="str">
        <f>IF(COUNTA(A2776:G2776)=0,"",IF(G2776&lt;&gt;"",G2776,IF(B2776="","",IFERROR(IF(INDEX(pr_rate,MATCH(B2776,pr_code,0))="","",INDEX(pr_rate,MATCH(B2776,pr_code,0))),""))))</f>
        <v/>
      </c>
      <c r="L2776" s="65" t="str">
        <f>IF(COUNTA(A2776:G2776)=0,"",IF(AND(ISNUMBER(D2776),ISNUMBER(J2776)),ROUND(D2776*J2776*(1-N(F2776)),2),0))</f>
        <v/>
      </c>
      <c r="M2776" s="62" t="str">
        <f>IF(A2776="","",IFERROR(INDEX(fa_cname,MATCH(A2776,fa_num,0))&amp;"",""))</f>
        <v/>
      </c>
      <c r="N2776" s="59" t="str">
        <f>IF(COUNTA(A2776:G2776)=0,"",IF(A2776="","N° facture manquant",IF(ISNA(MATCH(A2776,fa_num,0)),"Facture inconnue",IF(AND(B2776&lt;&gt;"",ISNA(MATCH(B2776,pr_code,0))),"Article inconnu",IF(H2776="","Désignation manquante",IF(OR(NOT(ISNUMBER(D2776)),N(D2776)&lt;=0),"Quantité invalide",IF(J2776="","Prix manquant",IF(OR(NOT(ISNUMBER(J2776)),N(J2776)&lt;0),"Prix invalide",IF(OR(AND(F2776&lt;&gt;"",NOT(ISNUMBER(F2776))),N(F2776)&lt;0,N(F2776)&gt;1),"Remise invalide",IF(K2776="","Taux de TVA manquant",IF(NOT(ISNUMBER(K2776)),"Taux de TVA invalide",IF(COUNTIF(p_rates,K2776)=0,"Taux de TVA hors liste (Paramètres)",IF(N(O2776)&gt;25,"Au-delà de 25 lignes : non imprimée","OK")))))))))))))</f>
        <v/>
      </c>
      <c r="O2776" s="59" t="str">
        <f>IF(A2776="","",COUNTIF($A$6:A2776,A2776))</f>
        <v/>
      </c>
      <c r="P2776" s="62" t="str">
        <f>IF(A2776="","",A2776&amp;"|"&amp;O2776)</f>
        <v/>
      </c>
    </row>
    <row r="2777">
      <c r="A2777" s="60" t="n"/>
      <c r="B2777" s="63" t="n"/>
      <c r="C2777" s="63" t="n"/>
      <c r="D2777" s="67" t="n"/>
      <c r="E2777" s="68" t="n"/>
      <c r="F2777" s="69" t="n"/>
      <c r="G2777" s="70" t="n"/>
      <c r="H2777" s="62" t="str">
        <f>IF(COUNTA(A2777:G2777)=0,"",IF(C2777&lt;&gt;"",C2777,IF(B2777="","",IFERROR(INDEX(pr_des,MATCH(B2777,pr_code,0))&amp;"",""))))</f>
        <v/>
      </c>
      <c r="I2777" s="59" t="str">
        <f>IF(B2777="","",IFERROR(INDEX(pr_unit,MATCH(B2777,pr_code,0))&amp;"",""))</f>
        <v/>
      </c>
      <c r="J2777" s="65" t="str">
        <f>IF(COUNTA(A2777:G2777)=0,"",IF(E2777&lt;&gt;"",E2777,IF(B2777="","",IFERROR(IF(INDEX(pr_price,MATCH(B2777,pr_code,0))="","",INDEX(pr_price,MATCH(B2777,pr_code,0))),""))))</f>
        <v/>
      </c>
      <c r="K2777" s="71" t="str">
        <f>IF(COUNTA(A2777:G2777)=0,"",IF(G2777&lt;&gt;"",G2777,IF(B2777="","",IFERROR(IF(INDEX(pr_rate,MATCH(B2777,pr_code,0))="","",INDEX(pr_rate,MATCH(B2777,pr_code,0))),""))))</f>
        <v/>
      </c>
      <c r="L2777" s="65" t="str">
        <f>IF(COUNTA(A2777:G2777)=0,"",IF(AND(ISNUMBER(D2777),ISNUMBER(J2777)),ROUND(D2777*J2777*(1-N(F2777)),2),0))</f>
        <v/>
      </c>
      <c r="M2777" s="62" t="str">
        <f>IF(A2777="","",IFERROR(INDEX(fa_cname,MATCH(A2777,fa_num,0))&amp;"",""))</f>
        <v/>
      </c>
      <c r="N2777" s="59" t="str">
        <f>IF(COUNTA(A2777:G2777)=0,"",IF(A2777="","N° facture manquant",IF(ISNA(MATCH(A2777,fa_num,0)),"Facture inconnue",IF(AND(B2777&lt;&gt;"",ISNA(MATCH(B2777,pr_code,0))),"Article inconnu",IF(H2777="","Désignation manquante",IF(OR(NOT(ISNUMBER(D2777)),N(D2777)&lt;=0),"Quantité invalide",IF(J2777="","Prix manquant",IF(OR(NOT(ISNUMBER(J2777)),N(J2777)&lt;0),"Prix invalide",IF(OR(AND(F2777&lt;&gt;"",NOT(ISNUMBER(F2777))),N(F2777)&lt;0,N(F2777)&gt;1),"Remise invalide",IF(K2777="","Taux de TVA manquant",IF(NOT(ISNUMBER(K2777)),"Taux de TVA invalide",IF(COUNTIF(p_rates,K2777)=0,"Taux de TVA hors liste (Paramètres)",IF(N(O2777)&gt;25,"Au-delà de 25 lignes : non imprimée","OK")))))))))))))</f>
        <v/>
      </c>
      <c r="O2777" s="59" t="str">
        <f>IF(A2777="","",COUNTIF($A$6:A2777,A2777))</f>
        <v/>
      </c>
      <c r="P2777" s="62" t="str">
        <f>IF(A2777="","",A2777&amp;"|"&amp;O2777)</f>
        <v/>
      </c>
    </row>
    <row r="2778">
      <c r="A2778" s="60" t="n"/>
      <c r="B2778" s="63" t="n"/>
      <c r="C2778" s="63" t="n"/>
      <c r="D2778" s="67" t="n"/>
      <c r="E2778" s="68" t="n"/>
      <c r="F2778" s="69" t="n"/>
      <c r="G2778" s="70" t="n"/>
      <c r="H2778" s="62" t="str">
        <f>IF(COUNTA(A2778:G2778)=0,"",IF(C2778&lt;&gt;"",C2778,IF(B2778="","",IFERROR(INDEX(pr_des,MATCH(B2778,pr_code,0))&amp;"",""))))</f>
        <v/>
      </c>
      <c r="I2778" s="59" t="str">
        <f>IF(B2778="","",IFERROR(INDEX(pr_unit,MATCH(B2778,pr_code,0))&amp;"",""))</f>
        <v/>
      </c>
      <c r="J2778" s="65" t="str">
        <f>IF(COUNTA(A2778:G2778)=0,"",IF(E2778&lt;&gt;"",E2778,IF(B2778="","",IFERROR(IF(INDEX(pr_price,MATCH(B2778,pr_code,0))="","",INDEX(pr_price,MATCH(B2778,pr_code,0))),""))))</f>
        <v/>
      </c>
      <c r="K2778" s="71" t="str">
        <f>IF(COUNTA(A2778:G2778)=0,"",IF(G2778&lt;&gt;"",G2778,IF(B2778="","",IFERROR(IF(INDEX(pr_rate,MATCH(B2778,pr_code,0))="","",INDEX(pr_rate,MATCH(B2778,pr_code,0))),""))))</f>
        <v/>
      </c>
      <c r="L2778" s="65" t="str">
        <f>IF(COUNTA(A2778:G2778)=0,"",IF(AND(ISNUMBER(D2778),ISNUMBER(J2778)),ROUND(D2778*J2778*(1-N(F2778)),2),0))</f>
        <v/>
      </c>
      <c r="M2778" s="62" t="str">
        <f>IF(A2778="","",IFERROR(INDEX(fa_cname,MATCH(A2778,fa_num,0))&amp;"",""))</f>
        <v/>
      </c>
      <c r="N2778" s="59" t="str">
        <f>IF(COUNTA(A2778:G2778)=0,"",IF(A2778="","N° facture manquant",IF(ISNA(MATCH(A2778,fa_num,0)),"Facture inconnue",IF(AND(B2778&lt;&gt;"",ISNA(MATCH(B2778,pr_code,0))),"Article inconnu",IF(H2778="","Désignation manquante",IF(OR(NOT(ISNUMBER(D2778)),N(D2778)&lt;=0),"Quantité invalide",IF(J2778="","Prix manquant",IF(OR(NOT(ISNUMBER(J2778)),N(J2778)&lt;0),"Prix invalide",IF(OR(AND(F2778&lt;&gt;"",NOT(ISNUMBER(F2778))),N(F2778)&lt;0,N(F2778)&gt;1),"Remise invalide",IF(K2778="","Taux de TVA manquant",IF(NOT(ISNUMBER(K2778)),"Taux de TVA invalide",IF(COUNTIF(p_rates,K2778)=0,"Taux de TVA hors liste (Paramètres)",IF(N(O2778)&gt;25,"Au-delà de 25 lignes : non imprimée","OK")))))))))))))</f>
        <v/>
      </c>
      <c r="O2778" s="59" t="str">
        <f>IF(A2778="","",COUNTIF($A$6:A2778,A2778))</f>
        <v/>
      </c>
      <c r="P2778" s="62" t="str">
        <f>IF(A2778="","",A2778&amp;"|"&amp;O2778)</f>
        <v/>
      </c>
    </row>
    <row r="2779">
      <c r="A2779" s="60" t="n"/>
      <c r="B2779" s="63" t="n"/>
      <c r="C2779" s="63" t="n"/>
      <c r="D2779" s="67" t="n"/>
      <c r="E2779" s="68" t="n"/>
      <c r="F2779" s="69" t="n"/>
      <c r="G2779" s="70" t="n"/>
      <c r="H2779" s="62" t="str">
        <f>IF(COUNTA(A2779:G2779)=0,"",IF(C2779&lt;&gt;"",C2779,IF(B2779="","",IFERROR(INDEX(pr_des,MATCH(B2779,pr_code,0))&amp;"",""))))</f>
        <v/>
      </c>
      <c r="I2779" s="59" t="str">
        <f>IF(B2779="","",IFERROR(INDEX(pr_unit,MATCH(B2779,pr_code,0))&amp;"",""))</f>
        <v/>
      </c>
      <c r="J2779" s="65" t="str">
        <f>IF(COUNTA(A2779:G2779)=0,"",IF(E2779&lt;&gt;"",E2779,IF(B2779="","",IFERROR(IF(INDEX(pr_price,MATCH(B2779,pr_code,0))="","",INDEX(pr_price,MATCH(B2779,pr_code,0))),""))))</f>
        <v/>
      </c>
      <c r="K2779" s="71" t="str">
        <f>IF(COUNTA(A2779:G2779)=0,"",IF(G2779&lt;&gt;"",G2779,IF(B2779="","",IFERROR(IF(INDEX(pr_rate,MATCH(B2779,pr_code,0))="","",INDEX(pr_rate,MATCH(B2779,pr_code,0))),""))))</f>
        <v/>
      </c>
      <c r="L2779" s="65" t="str">
        <f>IF(COUNTA(A2779:G2779)=0,"",IF(AND(ISNUMBER(D2779),ISNUMBER(J2779)),ROUND(D2779*J2779*(1-N(F2779)),2),0))</f>
        <v/>
      </c>
      <c r="M2779" s="62" t="str">
        <f>IF(A2779="","",IFERROR(INDEX(fa_cname,MATCH(A2779,fa_num,0))&amp;"",""))</f>
        <v/>
      </c>
      <c r="N2779" s="59" t="str">
        <f>IF(COUNTA(A2779:G2779)=0,"",IF(A2779="","N° facture manquant",IF(ISNA(MATCH(A2779,fa_num,0)),"Facture inconnue",IF(AND(B2779&lt;&gt;"",ISNA(MATCH(B2779,pr_code,0))),"Article inconnu",IF(H2779="","Désignation manquante",IF(OR(NOT(ISNUMBER(D2779)),N(D2779)&lt;=0),"Quantité invalide",IF(J2779="","Prix manquant",IF(OR(NOT(ISNUMBER(J2779)),N(J2779)&lt;0),"Prix invalide",IF(OR(AND(F2779&lt;&gt;"",NOT(ISNUMBER(F2779))),N(F2779)&lt;0,N(F2779)&gt;1),"Remise invalide",IF(K2779="","Taux de TVA manquant",IF(NOT(ISNUMBER(K2779)),"Taux de TVA invalide",IF(COUNTIF(p_rates,K2779)=0,"Taux de TVA hors liste (Paramètres)",IF(N(O2779)&gt;25,"Au-delà de 25 lignes : non imprimée","OK")))))))))))))</f>
        <v/>
      </c>
      <c r="O2779" s="59" t="str">
        <f>IF(A2779="","",COUNTIF($A$6:A2779,A2779))</f>
        <v/>
      </c>
      <c r="P2779" s="62" t="str">
        <f>IF(A2779="","",A2779&amp;"|"&amp;O2779)</f>
        <v/>
      </c>
    </row>
    <row r="2780">
      <c r="A2780" s="60" t="n"/>
      <c r="B2780" s="63" t="n"/>
      <c r="C2780" s="63" t="n"/>
      <c r="D2780" s="67" t="n"/>
      <c r="E2780" s="68" t="n"/>
      <c r="F2780" s="69" t="n"/>
      <c r="G2780" s="70" t="n"/>
      <c r="H2780" s="62" t="str">
        <f>IF(COUNTA(A2780:G2780)=0,"",IF(C2780&lt;&gt;"",C2780,IF(B2780="","",IFERROR(INDEX(pr_des,MATCH(B2780,pr_code,0))&amp;"",""))))</f>
        <v/>
      </c>
      <c r="I2780" s="59" t="str">
        <f>IF(B2780="","",IFERROR(INDEX(pr_unit,MATCH(B2780,pr_code,0))&amp;"",""))</f>
        <v/>
      </c>
      <c r="J2780" s="65" t="str">
        <f>IF(COUNTA(A2780:G2780)=0,"",IF(E2780&lt;&gt;"",E2780,IF(B2780="","",IFERROR(IF(INDEX(pr_price,MATCH(B2780,pr_code,0))="","",INDEX(pr_price,MATCH(B2780,pr_code,0))),""))))</f>
        <v/>
      </c>
      <c r="K2780" s="71" t="str">
        <f>IF(COUNTA(A2780:G2780)=0,"",IF(G2780&lt;&gt;"",G2780,IF(B2780="","",IFERROR(IF(INDEX(pr_rate,MATCH(B2780,pr_code,0))="","",INDEX(pr_rate,MATCH(B2780,pr_code,0))),""))))</f>
        <v/>
      </c>
      <c r="L2780" s="65" t="str">
        <f>IF(COUNTA(A2780:G2780)=0,"",IF(AND(ISNUMBER(D2780),ISNUMBER(J2780)),ROUND(D2780*J2780*(1-N(F2780)),2),0))</f>
        <v/>
      </c>
      <c r="M2780" s="62" t="str">
        <f>IF(A2780="","",IFERROR(INDEX(fa_cname,MATCH(A2780,fa_num,0))&amp;"",""))</f>
        <v/>
      </c>
      <c r="N2780" s="59" t="str">
        <f>IF(COUNTA(A2780:G2780)=0,"",IF(A2780="","N° facture manquant",IF(ISNA(MATCH(A2780,fa_num,0)),"Facture inconnue",IF(AND(B2780&lt;&gt;"",ISNA(MATCH(B2780,pr_code,0))),"Article inconnu",IF(H2780="","Désignation manquante",IF(OR(NOT(ISNUMBER(D2780)),N(D2780)&lt;=0),"Quantité invalide",IF(J2780="","Prix manquant",IF(OR(NOT(ISNUMBER(J2780)),N(J2780)&lt;0),"Prix invalide",IF(OR(AND(F2780&lt;&gt;"",NOT(ISNUMBER(F2780))),N(F2780)&lt;0,N(F2780)&gt;1),"Remise invalide",IF(K2780="","Taux de TVA manquant",IF(NOT(ISNUMBER(K2780)),"Taux de TVA invalide",IF(COUNTIF(p_rates,K2780)=0,"Taux de TVA hors liste (Paramètres)",IF(N(O2780)&gt;25,"Au-delà de 25 lignes : non imprimée","OK")))))))))))))</f>
        <v/>
      </c>
      <c r="O2780" s="59" t="str">
        <f>IF(A2780="","",COUNTIF($A$6:A2780,A2780))</f>
        <v/>
      </c>
      <c r="P2780" s="62" t="str">
        <f>IF(A2780="","",A2780&amp;"|"&amp;O2780)</f>
        <v/>
      </c>
    </row>
    <row r="2781">
      <c r="A2781" s="60" t="n"/>
      <c r="B2781" s="63" t="n"/>
      <c r="C2781" s="63" t="n"/>
      <c r="D2781" s="67" t="n"/>
      <c r="E2781" s="68" t="n"/>
      <c r="F2781" s="69" t="n"/>
      <c r="G2781" s="70" t="n"/>
      <c r="H2781" s="62" t="str">
        <f>IF(COUNTA(A2781:G2781)=0,"",IF(C2781&lt;&gt;"",C2781,IF(B2781="","",IFERROR(INDEX(pr_des,MATCH(B2781,pr_code,0))&amp;"",""))))</f>
        <v/>
      </c>
      <c r="I2781" s="59" t="str">
        <f>IF(B2781="","",IFERROR(INDEX(pr_unit,MATCH(B2781,pr_code,0))&amp;"",""))</f>
        <v/>
      </c>
      <c r="J2781" s="65" t="str">
        <f>IF(COUNTA(A2781:G2781)=0,"",IF(E2781&lt;&gt;"",E2781,IF(B2781="","",IFERROR(IF(INDEX(pr_price,MATCH(B2781,pr_code,0))="","",INDEX(pr_price,MATCH(B2781,pr_code,0))),""))))</f>
        <v/>
      </c>
      <c r="K2781" s="71" t="str">
        <f>IF(COUNTA(A2781:G2781)=0,"",IF(G2781&lt;&gt;"",G2781,IF(B2781="","",IFERROR(IF(INDEX(pr_rate,MATCH(B2781,pr_code,0))="","",INDEX(pr_rate,MATCH(B2781,pr_code,0))),""))))</f>
        <v/>
      </c>
      <c r="L2781" s="65" t="str">
        <f>IF(COUNTA(A2781:G2781)=0,"",IF(AND(ISNUMBER(D2781),ISNUMBER(J2781)),ROUND(D2781*J2781*(1-N(F2781)),2),0))</f>
        <v/>
      </c>
      <c r="M2781" s="62" t="str">
        <f>IF(A2781="","",IFERROR(INDEX(fa_cname,MATCH(A2781,fa_num,0))&amp;"",""))</f>
        <v/>
      </c>
      <c r="N2781" s="59" t="str">
        <f>IF(COUNTA(A2781:G2781)=0,"",IF(A2781="","N° facture manquant",IF(ISNA(MATCH(A2781,fa_num,0)),"Facture inconnue",IF(AND(B2781&lt;&gt;"",ISNA(MATCH(B2781,pr_code,0))),"Article inconnu",IF(H2781="","Désignation manquante",IF(OR(NOT(ISNUMBER(D2781)),N(D2781)&lt;=0),"Quantité invalide",IF(J2781="","Prix manquant",IF(OR(NOT(ISNUMBER(J2781)),N(J2781)&lt;0),"Prix invalide",IF(OR(AND(F2781&lt;&gt;"",NOT(ISNUMBER(F2781))),N(F2781)&lt;0,N(F2781)&gt;1),"Remise invalide",IF(K2781="","Taux de TVA manquant",IF(NOT(ISNUMBER(K2781)),"Taux de TVA invalide",IF(COUNTIF(p_rates,K2781)=0,"Taux de TVA hors liste (Paramètres)",IF(N(O2781)&gt;25,"Au-delà de 25 lignes : non imprimée","OK")))))))))))))</f>
        <v/>
      </c>
      <c r="O2781" s="59" t="str">
        <f>IF(A2781="","",COUNTIF($A$6:A2781,A2781))</f>
        <v/>
      </c>
      <c r="P2781" s="62" t="str">
        <f>IF(A2781="","",A2781&amp;"|"&amp;O2781)</f>
        <v/>
      </c>
    </row>
    <row r="2782">
      <c r="A2782" s="60" t="n"/>
      <c r="B2782" s="63" t="n"/>
      <c r="C2782" s="63" t="n"/>
      <c r="D2782" s="67" t="n"/>
      <c r="E2782" s="68" t="n"/>
      <c r="F2782" s="69" t="n"/>
      <c r="G2782" s="70" t="n"/>
      <c r="H2782" s="62" t="str">
        <f>IF(COUNTA(A2782:G2782)=0,"",IF(C2782&lt;&gt;"",C2782,IF(B2782="","",IFERROR(INDEX(pr_des,MATCH(B2782,pr_code,0))&amp;"",""))))</f>
        <v/>
      </c>
      <c r="I2782" s="59" t="str">
        <f>IF(B2782="","",IFERROR(INDEX(pr_unit,MATCH(B2782,pr_code,0))&amp;"",""))</f>
        <v/>
      </c>
      <c r="J2782" s="65" t="str">
        <f>IF(COUNTA(A2782:G2782)=0,"",IF(E2782&lt;&gt;"",E2782,IF(B2782="","",IFERROR(IF(INDEX(pr_price,MATCH(B2782,pr_code,0))="","",INDEX(pr_price,MATCH(B2782,pr_code,0))),""))))</f>
        <v/>
      </c>
      <c r="K2782" s="71" t="str">
        <f>IF(COUNTA(A2782:G2782)=0,"",IF(G2782&lt;&gt;"",G2782,IF(B2782="","",IFERROR(IF(INDEX(pr_rate,MATCH(B2782,pr_code,0))="","",INDEX(pr_rate,MATCH(B2782,pr_code,0))),""))))</f>
        <v/>
      </c>
      <c r="L2782" s="65" t="str">
        <f>IF(COUNTA(A2782:G2782)=0,"",IF(AND(ISNUMBER(D2782),ISNUMBER(J2782)),ROUND(D2782*J2782*(1-N(F2782)),2),0))</f>
        <v/>
      </c>
      <c r="M2782" s="62" t="str">
        <f>IF(A2782="","",IFERROR(INDEX(fa_cname,MATCH(A2782,fa_num,0))&amp;"",""))</f>
        <v/>
      </c>
      <c r="N2782" s="59" t="str">
        <f>IF(COUNTA(A2782:G2782)=0,"",IF(A2782="","N° facture manquant",IF(ISNA(MATCH(A2782,fa_num,0)),"Facture inconnue",IF(AND(B2782&lt;&gt;"",ISNA(MATCH(B2782,pr_code,0))),"Article inconnu",IF(H2782="","Désignation manquante",IF(OR(NOT(ISNUMBER(D2782)),N(D2782)&lt;=0),"Quantité invalide",IF(J2782="","Prix manquant",IF(OR(NOT(ISNUMBER(J2782)),N(J2782)&lt;0),"Prix invalide",IF(OR(AND(F2782&lt;&gt;"",NOT(ISNUMBER(F2782))),N(F2782)&lt;0,N(F2782)&gt;1),"Remise invalide",IF(K2782="","Taux de TVA manquant",IF(NOT(ISNUMBER(K2782)),"Taux de TVA invalide",IF(COUNTIF(p_rates,K2782)=0,"Taux de TVA hors liste (Paramètres)",IF(N(O2782)&gt;25,"Au-delà de 25 lignes : non imprimée","OK")))))))))))))</f>
        <v/>
      </c>
      <c r="O2782" s="59" t="str">
        <f>IF(A2782="","",COUNTIF($A$6:A2782,A2782))</f>
        <v/>
      </c>
      <c r="P2782" s="62" t="str">
        <f>IF(A2782="","",A2782&amp;"|"&amp;O2782)</f>
        <v/>
      </c>
    </row>
    <row r="2783">
      <c r="A2783" s="60" t="n"/>
      <c r="B2783" s="63" t="n"/>
      <c r="C2783" s="63" t="n"/>
      <c r="D2783" s="67" t="n"/>
      <c r="E2783" s="68" t="n"/>
      <c r="F2783" s="69" t="n"/>
      <c r="G2783" s="70" t="n"/>
      <c r="H2783" s="62" t="str">
        <f>IF(COUNTA(A2783:G2783)=0,"",IF(C2783&lt;&gt;"",C2783,IF(B2783="","",IFERROR(INDEX(pr_des,MATCH(B2783,pr_code,0))&amp;"",""))))</f>
        <v/>
      </c>
      <c r="I2783" s="59" t="str">
        <f>IF(B2783="","",IFERROR(INDEX(pr_unit,MATCH(B2783,pr_code,0))&amp;"",""))</f>
        <v/>
      </c>
      <c r="J2783" s="65" t="str">
        <f>IF(COUNTA(A2783:G2783)=0,"",IF(E2783&lt;&gt;"",E2783,IF(B2783="","",IFERROR(IF(INDEX(pr_price,MATCH(B2783,pr_code,0))="","",INDEX(pr_price,MATCH(B2783,pr_code,0))),""))))</f>
        <v/>
      </c>
      <c r="K2783" s="71" t="str">
        <f>IF(COUNTA(A2783:G2783)=0,"",IF(G2783&lt;&gt;"",G2783,IF(B2783="","",IFERROR(IF(INDEX(pr_rate,MATCH(B2783,pr_code,0))="","",INDEX(pr_rate,MATCH(B2783,pr_code,0))),""))))</f>
        <v/>
      </c>
      <c r="L2783" s="65" t="str">
        <f>IF(COUNTA(A2783:G2783)=0,"",IF(AND(ISNUMBER(D2783),ISNUMBER(J2783)),ROUND(D2783*J2783*(1-N(F2783)),2),0))</f>
        <v/>
      </c>
      <c r="M2783" s="62" t="str">
        <f>IF(A2783="","",IFERROR(INDEX(fa_cname,MATCH(A2783,fa_num,0))&amp;"",""))</f>
        <v/>
      </c>
      <c r="N2783" s="59" t="str">
        <f>IF(COUNTA(A2783:G2783)=0,"",IF(A2783="","N° facture manquant",IF(ISNA(MATCH(A2783,fa_num,0)),"Facture inconnue",IF(AND(B2783&lt;&gt;"",ISNA(MATCH(B2783,pr_code,0))),"Article inconnu",IF(H2783="","Désignation manquante",IF(OR(NOT(ISNUMBER(D2783)),N(D2783)&lt;=0),"Quantité invalide",IF(J2783="","Prix manquant",IF(OR(NOT(ISNUMBER(J2783)),N(J2783)&lt;0),"Prix invalide",IF(OR(AND(F2783&lt;&gt;"",NOT(ISNUMBER(F2783))),N(F2783)&lt;0,N(F2783)&gt;1),"Remise invalide",IF(K2783="","Taux de TVA manquant",IF(NOT(ISNUMBER(K2783)),"Taux de TVA invalide",IF(COUNTIF(p_rates,K2783)=0,"Taux de TVA hors liste (Paramètres)",IF(N(O2783)&gt;25,"Au-delà de 25 lignes : non imprimée","OK")))))))))))))</f>
        <v/>
      </c>
      <c r="O2783" s="59" t="str">
        <f>IF(A2783="","",COUNTIF($A$6:A2783,A2783))</f>
        <v/>
      </c>
      <c r="P2783" s="62" t="str">
        <f>IF(A2783="","",A2783&amp;"|"&amp;O2783)</f>
        <v/>
      </c>
    </row>
    <row r="2784">
      <c r="A2784" s="60" t="n"/>
      <c r="B2784" s="63" t="n"/>
      <c r="C2784" s="63" t="n"/>
      <c r="D2784" s="67" t="n"/>
      <c r="E2784" s="68" t="n"/>
      <c r="F2784" s="69" t="n"/>
      <c r="G2784" s="70" t="n"/>
      <c r="H2784" s="62" t="str">
        <f>IF(COUNTA(A2784:G2784)=0,"",IF(C2784&lt;&gt;"",C2784,IF(B2784="","",IFERROR(INDEX(pr_des,MATCH(B2784,pr_code,0))&amp;"",""))))</f>
        <v/>
      </c>
      <c r="I2784" s="59" t="str">
        <f>IF(B2784="","",IFERROR(INDEX(pr_unit,MATCH(B2784,pr_code,0))&amp;"",""))</f>
        <v/>
      </c>
      <c r="J2784" s="65" t="str">
        <f>IF(COUNTA(A2784:G2784)=0,"",IF(E2784&lt;&gt;"",E2784,IF(B2784="","",IFERROR(IF(INDEX(pr_price,MATCH(B2784,pr_code,0))="","",INDEX(pr_price,MATCH(B2784,pr_code,0))),""))))</f>
        <v/>
      </c>
      <c r="K2784" s="71" t="str">
        <f>IF(COUNTA(A2784:G2784)=0,"",IF(G2784&lt;&gt;"",G2784,IF(B2784="","",IFERROR(IF(INDEX(pr_rate,MATCH(B2784,pr_code,0))="","",INDEX(pr_rate,MATCH(B2784,pr_code,0))),""))))</f>
        <v/>
      </c>
      <c r="L2784" s="65" t="str">
        <f>IF(COUNTA(A2784:G2784)=0,"",IF(AND(ISNUMBER(D2784),ISNUMBER(J2784)),ROUND(D2784*J2784*(1-N(F2784)),2),0))</f>
        <v/>
      </c>
      <c r="M2784" s="62" t="str">
        <f>IF(A2784="","",IFERROR(INDEX(fa_cname,MATCH(A2784,fa_num,0))&amp;"",""))</f>
        <v/>
      </c>
      <c r="N2784" s="59" t="str">
        <f>IF(COUNTA(A2784:G2784)=0,"",IF(A2784="","N° facture manquant",IF(ISNA(MATCH(A2784,fa_num,0)),"Facture inconnue",IF(AND(B2784&lt;&gt;"",ISNA(MATCH(B2784,pr_code,0))),"Article inconnu",IF(H2784="","Désignation manquante",IF(OR(NOT(ISNUMBER(D2784)),N(D2784)&lt;=0),"Quantité invalide",IF(J2784="","Prix manquant",IF(OR(NOT(ISNUMBER(J2784)),N(J2784)&lt;0),"Prix invalide",IF(OR(AND(F2784&lt;&gt;"",NOT(ISNUMBER(F2784))),N(F2784)&lt;0,N(F2784)&gt;1),"Remise invalide",IF(K2784="","Taux de TVA manquant",IF(NOT(ISNUMBER(K2784)),"Taux de TVA invalide",IF(COUNTIF(p_rates,K2784)=0,"Taux de TVA hors liste (Paramètres)",IF(N(O2784)&gt;25,"Au-delà de 25 lignes : non imprimée","OK")))))))))))))</f>
        <v/>
      </c>
      <c r="O2784" s="59" t="str">
        <f>IF(A2784="","",COUNTIF($A$6:A2784,A2784))</f>
        <v/>
      </c>
      <c r="P2784" s="62" t="str">
        <f>IF(A2784="","",A2784&amp;"|"&amp;O2784)</f>
        <v/>
      </c>
    </row>
    <row r="2785">
      <c r="A2785" s="60" t="n"/>
      <c r="B2785" s="63" t="n"/>
      <c r="C2785" s="63" t="n"/>
      <c r="D2785" s="67" t="n"/>
      <c r="E2785" s="68" t="n"/>
      <c r="F2785" s="69" t="n"/>
      <c r="G2785" s="70" t="n"/>
      <c r="H2785" s="62" t="str">
        <f>IF(COUNTA(A2785:G2785)=0,"",IF(C2785&lt;&gt;"",C2785,IF(B2785="","",IFERROR(INDEX(pr_des,MATCH(B2785,pr_code,0))&amp;"",""))))</f>
        <v/>
      </c>
      <c r="I2785" s="59" t="str">
        <f>IF(B2785="","",IFERROR(INDEX(pr_unit,MATCH(B2785,pr_code,0))&amp;"",""))</f>
        <v/>
      </c>
      <c r="J2785" s="65" t="str">
        <f>IF(COUNTA(A2785:G2785)=0,"",IF(E2785&lt;&gt;"",E2785,IF(B2785="","",IFERROR(IF(INDEX(pr_price,MATCH(B2785,pr_code,0))="","",INDEX(pr_price,MATCH(B2785,pr_code,0))),""))))</f>
        <v/>
      </c>
      <c r="K2785" s="71" t="str">
        <f>IF(COUNTA(A2785:G2785)=0,"",IF(G2785&lt;&gt;"",G2785,IF(B2785="","",IFERROR(IF(INDEX(pr_rate,MATCH(B2785,pr_code,0))="","",INDEX(pr_rate,MATCH(B2785,pr_code,0))),""))))</f>
        <v/>
      </c>
      <c r="L2785" s="65" t="str">
        <f>IF(COUNTA(A2785:G2785)=0,"",IF(AND(ISNUMBER(D2785),ISNUMBER(J2785)),ROUND(D2785*J2785*(1-N(F2785)),2),0))</f>
        <v/>
      </c>
      <c r="M2785" s="62" t="str">
        <f>IF(A2785="","",IFERROR(INDEX(fa_cname,MATCH(A2785,fa_num,0))&amp;"",""))</f>
        <v/>
      </c>
      <c r="N2785" s="59" t="str">
        <f>IF(COUNTA(A2785:G2785)=0,"",IF(A2785="","N° facture manquant",IF(ISNA(MATCH(A2785,fa_num,0)),"Facture inconnue",IF(AND(B2785&lt;&gt;"",ISNA(MATCH(B2785,pr_code,0))),"Article inconnu",IF(H2785="","Désignation manquante",IF(OR(NOT(ISNUMBER(D2785)),N(D2785)&lt;=0),"Quantité invalide",IF(J2785="","Prix manquant",IF(OR(NOT(ISNUMBER(J2785)),N(J2785)&lt;0),"Prix invalide",IF(OR(AND(F2785&lt;&gt;"",NOT(ISNUMBER(F2785))),N(F2785)&lt;0,N(F2785)&gt;1),"Remise invalide",IF(K2785="","Taux de TVA manquant",IF(NOT(ISNUMBER(K2785)),"Taux de TVA invalide",IF(COUNTIF(p_rates,K2785)=0,"Taux de TVA hors liste (Paramètres)",IF(N(O2785)&gt;25,"Au-delà de 25 lignes : non imprimée","OK")))))))))))))</f>
        <v/>
      </c>
      <c r="O2785" s="59" t="str">
        <f>IF(A2785="","",COUNTIF($A$6:A2785,A2785))</f>
        <v/>
      </c>
      <c r="P2785" s="62" t="str">
        <f>IF(A2785="","",A2785&amp;"|"&amp;O2785)</f>
        <v/>
      </c>
    </row>
    <row r="2786">
      <c r="A2786" s="60" t="n"/>
      <c r="B2786" s="63" t="n"/>
      <c r="C2786" s="63" t="n"/>
      <c r="D2786" s="67" t="n"/>
      <c r="E2786" s="68" t="n"/>
      <c r="F2786" s="69" t="n"/>
      <c r="G2786" s="70" t="n"/>
      <c r="H2786" s="62" t="str">
        <f>IF(COUNTA(A2786:G2786)=0,"",IF(C2786&lt;&gt;"",C2786,IF(B2786="","",IFERROR(INDEX(pr_des,MATCH(B2786,pr_code,0))&amp;"",""))))</f>
        <v/>
      </c>
      <c r="I2786" s="59" t="str">
        <f>IF(B2786="","",IFERROR(INDEX(pr_unit,MATCH(B2786,pr_code,0))&amp;"",""))</f>
        <v/>
      </c>
      <c r="J2786" s="65" t="str">
        <f>IF(COUNTA(A2786:G2786)=0,"",IF(E2786&lt;&gt;"",E2786,IF(B2786="","",IFERROR(IF(INDEX(pr_price,MATCH(B2786,pr_code,0))="","",INDEX(pr_price,MATCH(B2786,pr_code,0))),""))))</f>
        <v/>
      </c>
      <c r="K2786" s="71" t="str">
        <f>IF(COUNTA(A2786:G2786)=0,"",IF(G2786&lt;&gt;"",G2786,IF(B2786="","",IFERROR(IF(INDEX(pr_rate,MATCH(B2786,pr_code,0))="","",INDEX(pr_rate,MATCH(B2786,pr_code,0))),""))))</f>
        <v/>
      </c>
      <c r="L2786" s="65" t="str">
        <f>IF(COUNTA(A2786:G2786)=0,"",IF(AND(ISNUMBER(D2786),ISNUMBER(J2786)),ROUND(D2786*J2786*(1-N(F2786)),2),0))</f>
        <v/>
      </c>
      <c r="M2786" s="62" t="str">
        <f>IF(A2786="","",IFERROR(INDEX(fa_cname,MATCH(A2786,fa_num,0))&amp;"",""))</f>
        <v/>
      </c>
      <c r="N2786" s="59" t="str">
        <f>IF(COUNTA(A2786:G2786)=0,"",IF(A2786="","N° facture manquant",IF(ISNA(MATCH(A2786,fa_num,0)),"Facture inconnue",IF(AND(B2786&lt;&gt;"",ISNA(MATCH(B2786,pr_code,0))),"Article inconnu",IF(H2786="","Désignation manquante",IF(OR(NOT(ISNUMBER(D2786)),N(D2786)&lt;=0),"Quantité invalide",IF(J2786="","Prix manquant",IF(OR(NOT(ISNUMBER(J2786)),N(J2786)&lt;0),"Prix invalide",IF(OR(AND(F2786&lt;&gt;"",NOT(ISNUMBER(F2786))),N(F2786)&lt;0,N(F2786)&gt;1),"Remise invalide",IF(K2786="","Taux de TVA manquant",IF(NOT(ISNUMBER(K2786)),"Taux de TVA invalide",IF(COUNTIF(p_rates,K2786)=0,"Taux de TVA hors liste (Paramètres)",IF(N(O2786)&gt;25,"Au-delà de 25 lignes : non imprimée","OK")))))))))))))</f>
        <v/>
      </c>
      <c r="O2786" s="59" t="str">
        <f>IF(A2786="","",COUNTIF($A$6:A2786,A2786))</f>
        <v/>
      </c>
      <c r="P2786" s="62" t="str">
        <f>IF(A2786="","",A2786&amp;"|"&amp;O2786)</f>
        <v/>
      </c>
    </row>
    <row r="2787">
      <c r="A2787" s="60" t="n"/>
      <c r="B2787" s="63" t="n"/>
      <c r="C2787" s="63" t="n"/>
      <c r="D2787" s="67" t="n"/>
      <c r="E2787" s="68" t="n"/>
      <c r="F2787" s="69" t="n"/>
      <c r="G2787" s="70" t="n"/>
      <c r="H2787" s="62" t="str">
        <f>IF(COUNTA(A2787:G2787)=0,"",IF(C2787&lt;&gt;"",C2787,IF(B2787="","",IFERROR(INDEX(pr_des,MATCH(B2787,pr_code,0))&amp;"",""))))</f>
        <v/>
      </c>
      <c r="I2787" s="59" t="str">
        <f>IF(B2787="","",IFERROR(INDEX(pr_unit,MATCH(B2787,pr_code,0))&amp;"",""))</f>
        <v/>
      </c>
      <c r="J2787" s="65" t="str">
        <f>IF(COUNTA(A2787:G2787)=0,"",IF(E2787&lt;&gt;"",E2787,IF(B2787="","",IFERROR(IF(INDEX(pr_price,MATCH(B2787,pr_code,0))="","",INDEX(pr_price,MATCH(B2787,pr_code,0))),""))))</f>
        <v/>
      </c>
      <c r="K2787" s="71" t="str">
        <f>IF(COUNTA(A2787:G2787)=0,"",IF(G2787&lt;&gt;"",G2787,IF(B2787="","",IFERROR(IF(INDEX(pr_rate,MATCH(B2787,pr_code,0))="","",INDEX(pr_rate,MATCH(B2787,pr_code,0))),""))))</f>
        <v/>
      </c>
      <c r="L2787" s="65" t="str">
        <f>IF(COUNTA(A2787:G2787)=0,"",IF(AND(ISNUMBER(D2787),ISNUMBER(J2787)),ROUND(D2787*J2787*(1-N(F2787)),2),0))</f>
        <v/>
      </c>
      <c r="M2787" s="62" t="str">
        <f>IF(A2787="","",IFERROR(INDEX(fa_cname,MATCH(A2787,fa_num,0))&amp;"",""))</f>
        <v/>
      </c>
      <c r="N2787" s="59" t="str">
        <f>IF(COUNTA(A2787:G2787)=0,"",IF(A2787="","N° facture manquant",IF(ISNA(MATCH(A2787,fa_num,0)),"Facture inconnue",IF(AND(B2787&lt;&gt;"",ISNA(MATCH(B2787,pr_code,0))),"Article inconnu",IF(H2787="","Désignation manquante",IF(OR(NOT(ISNUMBER(D2787)),N(D2787)&lt;=0),"Quantité invalide",IF(J2787="","Prix manquant",IF(OR(NOT(ISNUMBER(J2787)),N(J2787)&lt;0),"Prix invalide",IF(OR(AND(F2787&lt;&gt;"",NOT(ISNUMBER(F2787))),N(F2787)&lt;0,N(F2787)&gt;1),"Remise invalide",IF(K2787="","Taux de TVA manquant",IF(NOT(ISNUMBER(K2787)),"Taux de TVA invalide",IF(COUNTIF(p_rates,K2787)=0,"Taux de TVA hors liste (Paramètres)",IF(N(O2787)&gt;25,"Au-delà de 25 lignes : non imprimée","OK")))))))))))))</f>
        <v/>
      </c>
      <c r="O2787" s="59" t="str">
        <f>IF(A2787="","",COUNTIF($A$6:A2787,A2787))</f>
        <v/>
      </c>
      <c r="P2787" s="62" t="str">
        <f>IF(A2787="","",A2787&amp;"|"&amp;O2787)</f>
        <v/>
      </c>
    </row>
    <row r="2788">
      <c r="A2788" s="60" t="n"/>
      <c r="B2788" s="63" t="n"/>
      <c r="C2788" s="63" t="n"/>
      <c r="D2788" s="67" t="n"/>
      <c r="E2788" s="68" t="n"/>
      <c r="F2788" s="69" t="n"/>
      <c r="G2788" s="70" t="n"/>
      <c r="H2788" s="62" t="str">
        <f>IF(COUNTA(A2788:G2788)=0,"",IF(C2788&lt;&gt;"",C2788,IF(B2788="","",IFERROR(INDEX(pr_des,MATCH(B2788,pr_code,0))&amp;"",""))))</f>
        <v/>
      </c>
      <c r="I2788" s="59" t="str">
        <f>IF(B2788="","",IFERROR(INDEX(pr_unit,MATCH(B2788,pr_code,0))&amp;"",""))</f>
        <v/>
      </c>
      <c r="J2788" s="65" t="str">
        <f>IF(COUNTA(A2788:G2788)=0,"",IF(E2788&lt;&gt;"",E2788,IF(B2788="","",IFERROR(IF(INDEX(pr_price,MATCH(B2788,pr_code,0))="","",INDEX(pr_price,MATCH(B2788,pr_code,0))),""))))</f>
        <v/>
      </c>
      <c r="K2788" s="71" t="str">
        <f>IF(COUNTA(A2788:G2788)=0,"",IF(G2788&lt;&gt;"",G2788,IF(B2788="","",IFERROR(IF(INDEX(pr_rate,MATCH(B2788,pr_code,0))="","",INDEX(pr_rate,MATCH(B2788,pr_code,0))),""))))</f>
        <v/>
      </c>
      <c r="L2788" s="65" t="str">
        <f>IF(COUNTA(A2788:G2788)=0,"",IF(AND(ISNUMBER(D2788),ISNUMBER(J2788)),ROUND(D2788*J2788*(1-N(F2788)),2),0))</f>
        <v/>
      </c>
      <c r="M2788" s="62" t="str">
        <f>IF(A2788="","",IFERROR(INDEX(fa_cname,MATCH(A2788,fa_num,0))&amp;"",""))</f>
        <v/>
      </c>
      <c r="N2788" s="59" t="str">
        <f>IF(COUNTA(A2788:G2788)=0,"",IF(A2788="","N° facture manquant",IF(ISNA(MATCH(A2788,fa_num,0)),"Facture inconnue",IF(AND(B2788&lt;&gt;"",ISNA(MATCH(B2788,pr_code,0))),"Article inconnu",IF(H2788="","Désignation manquante",IF(OR(NOT(ISNUMBER(D2788)),N(D2788)&lt;=0),"Quantité invalide",IF(J2788="","Prix manquant",IF(OR(NOT(ISNUMBER(J2788)),N(J2788)&lt;0),"Prix invalide",IF(OR(AND(F2788&lt;&gt;"",NOT(ISNUMBER(F2788))),N(F2788)&lt;0,N(F2788)&gt;1),"Remise invalide",IF(K2788="","Taux de TVA manquant",IF(NOT(ISNUMBER(K2788)),"Taux de TVA invalide",IF(COUNTIF(p_rates,K2788)=0,"Taux de TVA hors liste (Paramètres)",IF(N(O2788)&gt;25,"Au-delà de 25 lignes : non imprimée","OK")))))))))))))</f>
        <v/>
      </c>
      <c r="O2788" s="59" t="str">
        <f>IF(A2788="","",COUNTIF($A$6:A2788,A2788))</f>
        <v/>
      </c>
      <c r="P2788" s="62" t="str">
        <f>IF(A2788="","",A2788&amp;"|"&amp;O2788)</f>
        <v/>
      </c>
    </row>
    <row r="2789">
      <c r="A2789" s="60" t="n"/>
      <c r="B2789" s="63" t="n"/>
      <c r="C2789" s="63" t="n"/>
      <c r="D2789" s="67" t="n"/>
      <c r="E2789" s="68" t="n"/>
      <c r="F2789" s="69" t="n"/>
      <c r="G2789" s="70" t="n"/>
      <c r="H2789" s="62" t="str">
        <f>IF(COUNTA(A2789:G2789)=0,"",IF(C2789&lt;&gt;"",C2789,IF(B2789="","",IFERROR(INDEX(pr_des,MATCH(B2789,pr_code,0))&amp;"",""))))</f>
        <v/>
      </c>
      <c r="I2789" s="59" t="str">
        <f>IF(B2789="","",IFERROR(INDEX(pr_unit,MATCH(B2789,pr_code,0))&amp;"",""))</f>
        <v/>
      </c>
      <c r="J2789" s="65" t="str">
        <f>IF(COUNTA(A2789:G2789)=0,"",IF(E2789&lt;&gt;"",E2789,IF(B2789="","",IFERROR(IF(INDEX(pr_price,MATCH(B2789,pr_code,0))="","",INDEX(pr_price,MATCH(B2789,pr_code,0))),""))))</f>
        <v/>
      </c>
      <c r="K2789" s="71" t="str">
        <f>IF(COUNTA(A2789:G2789)=0,"",IF(G2789&lt;&gt;"",G2789,IF(B2789="","",IFERROR(IF(INDEX(pr_rate,MATCH(B2789,pr_code,0))="","",INDEX(pr_rate,MATCH(B2789,pr_code,0))),""))))</f>
        <v/>
      </c>
      <c r="L2789" s="65" t="str">
        <f>IF(COUNTA(A2789:G2789)=0,"",IF(AND(ISNUMBER(D2789),ISNUMBER(J2789)),ROUND(D2789*J2789*(1-N(F2789)),2),0))</f>
        <v/>
      </c>
      <c r="M2789" s="62" t="str">
        <f>IF(A2789="","",IFERROR(INDEX(fa_cname,MATCH(A2789,fa_num,0))&amp;"",""))</f>
        <v/>
      </c>
      <c r="N2789" s="59" t="str">
        <f>IF(COUNTA(A2789:G2789)=0,"",IF(A2789="","N° facture manquant",IF(ISNA(MATCH(A2789,fa_num,0)),"Facture inconnue",IF(AND(B2789&lt;&gt;"",ISNA(MATCH(B2789,pr_code,0))),"Article inconnu",IF(H2789="","Désignation manquante",IF(OR(NOT(ISNUMBER(D2789)),N(D2789)&lt;=0),"Quantité invalide",IF(J2789="","Prix manquant",IF(OR(NOT(ISNUMBER(J2789)),N(J2789)&lt;0),"Prix invalide",IF(OR(AND(F2789&lt;&gt;"",NOT(ISNUMBER(F2789))),N(F2789)&lt;0,N(F2789)&gt;1),"Remise invalide",IF(K2789="","Taux de TVA manquant",IF(NOT(ISNUMBER(K2789)),"Taux de TVA invalide",IF(COUNTIF(p_rates,K2789)=0,"Taux de TVA hors liste (Paramètres)",IF(N(O2789)&gt;25,"Au-delà de 25 lignes : non imprimée","OK")))))))))))))</f>
        <v/>
      </c>
      <c r="O2789" s="59" t="str">
        <f>IF(A2789="","",COUNTIF($A$6:A2789,A2789))</f>
        <v/>
      </c>
      <c r="P2789" s="62" t="str">
        <f>IF(A2789="","",A2789&amp;"|"&amp;O2789)</f>
        <v/>
      </c>
    </row>
    <row r="2790">
      <c r="A2790" s="60" t="n"/>
      <c r="B2790" s="63" t="n"/>
      <c r="C2790" s="63" t="n"/>
      <c r="D2790" s="67" t="n"/>
      <c r="E2790" s="68" t="n"/>
      <c r="F2790" s="69" t="n"/>
      <c r="G2790" s="70" t="n"/>
      <c r="H2790" s="62" t="str">
        <f>IF(COUNTA(A2790:G2790)=0,"",IF(C2790&lt;&gt;"",C2790,IF(B2790="","",IFERROR(INDEX(pr_des,MATCH(B2790,pr_code,0))&amp;"",""))))</f>
        <v/>
      </c>
      <c r="I2790" s="59" t="str">
        <f>IF(B2790="","",IFERROR(INDEX(pr_unit,MATCH(B2790,pr_code,0))&amp;"",""))</f>
        <v/>
      </c>
      <c r="J2790" s="65" t="str">
        <f>IF(COUNTA(A2790:G2790)=0,"",IF(E2790&lt;&gt;"",E2790,IF(B2790="","",IFERROR(IF(INDEX(pr_price,MATCH(B2790,pr_code,0))="","",INDEX(pr_price,MATCH(B2790,pr_code,0))),""))))</f>
        <v/>
      </c>
      <c r="K2790" s="71" t="str">
        <f>IF(COUNTA(A2790:G2790)=0,"",IF(G2790&lt;&gt;"",G2790,IF(B2790="","",IFERROR(IF(INDEX(pr_rate,MATCH(B2790,pr_code,0))="","",INDEX(pr_rate,MATCH(B2790,pr_code,0))),""))))</f>
        <v/>
      </c>
      <c r="L2790" s="65" t="str">
        <f>IF(COUNTA(A2790:G2790)=0,"",IF(AND(ISNUMBER(D2790),ISNUMBER(J2790)),ROUND(D2790*J2790*(1-N(F2790)),2),0))</f>
        <v/>
      </c>
      <c r="M2790" s="62" t="str">
        <f>IF(A2790="","",IFERROR(INDEX(fa_cname,MATCH(A2790,fa_num,0))&amp;"",""))</f>
        <v/>
      </c>
      <c r="N2790" s="59" t="str">
        <f>IF(COUNTA(A2790:G2790)=0,"",IF(A2790="","N° facture manquant",IF(ISNA(MATCH(A2790,fa_num,0)),"Facture inconnue",IF(AND(B2790&lt;&gt;"",ISNA(MATCH(B2790,pr_code,0))),"Article inconnu",IF(H2790="","Désignation manquante",IF(OR(NOT(ISNUMBER(D2790)),N(D2790)&lt;=0),"Quantité invalide",IF(J2790="","Prix manquant",IF(OR(NOT(ISNUMBER(J2790)),N(J2790)&lt;0),"Prix invalide",IF(OR(AND(F2790&lt;&gt;"",NOT(ISNUMBER(F2790))),N(F2790)&lt;0,N(F2790)&gt;1),"Remise invalide",IF(K2790="","Taux de TVA manquant",IF(NOT(ISNUMBER(K2790)),"Taux de TVA invalide",IF(COUNTIF(p_rates,K2790)=0,"Taux de TVA hors liste (Paramètres)",IF(N(O2790)&gt;25,"Au-delà de 25 lignes : non imprimée","OK")))))))))))))</f>
        <v/>
      </c>
      <c r="O2790" s="59" t="str">
        <f>IF(A2790="","",COUNTIF($A$6:A2790,A2790))</f>
        <v/>
      </c>
      <c r="P2790" s="62" t="str">
        <f>IF(A2790="","",A2790&amp;"|"&amp;O2790)</f>
        <v/>
      </c>
    </row>
    <row r="2791">
      <c r="A2791" s="60" t="n"/>
      <c r="B2791" s="63" t="n"/>
      <c r="C2791" s="63" t="n"/>
      <c r="D2791" s="67" t="n"/>
      <c r="E2791" s="68" t="n"/>
      <c r="F2791" s="69" t="n"/>
      <c r="G2791" s="70" t="n"/>
      <c r="H2791" s="62" t="str">
        <f>IF(COUNTA(A2791:G2791)=0,"",IF(C2791&lt;&gt;"",C2791,IF(B2791="","",IFERROR(INDEX(pr_des,MATCH(B2791,pr_code,0))&amp;"",""))))</f>
        <v/>
      </c>
      <c r="I2791" s="59" t="str">
        <f>IF(B2791="","",IFERROR(INDEX(pr_unit,MATCH(B2791,pr_code,0))&amp;"",""))</f>
        <v/>
      </c>
      <c r="J2791" s="65" t="str">
        <f>IF(COUNTA(A2791:G2791)=0,"",IF(E2791&lt;&gt;"",E2791,IF(B2791="","",IFERROR(IF(INDEX(pr_price,MATCH(B2791,pr_code,0))="","",INDEX(pr_price,MATCH(B2791,pr_code,0))),""))))</f>
        <v/>
      </c>
      <c r="K2791" s="71" t="str">
        <f>IF(COUNTA(A2791:G2791)=0,"",IF(G2791&lt;&gt;"",G2791,IF(B2791="","",IFERROR(IF(INDEX(pr_rate,MATCH(B2791,pr_code,0))="","",INDEX(pr_rate,MATCH(B2791,pr_code,0))),""))))</f>
        <v/>
      </c>
      <c r="L2791" s="65" t="str">
        <f>IF(COUNTA(A2791:G2791)=0,"",IF(AND(ISNUMBER(D2791),ISNUMBER(J2791)),ROUND(D2791*J2791*(1-N(F2791)),2),0))</f>
        <v/>
      </c>
      <c r="M2791" s="62" t="str">
        <f>IF(A2791="","",IFERROR(INDEX(fa_cname,MATCH(A2791,fa_num,0))&amp;"",""))</f>
        <v/>
      </c>
      <c r="N2791" s="59" t="str">
        <f>IF(COUNTA(A2791:G2791)=0,"",IF(A2791="","N° facture manquant",IF(ISNA(MATCH(A2791,fa_num,0)),"Facture inconnue",IF(AND(B2791&lt;&gt;"",ISNA(MATCH(B2791,pr_code,0))),"Article inconnu",IF(H2791="","Désignation manquante",IF(OR(NOT(ISNUMBER(D2791)),N(D2791)&lt;=0),"Quantité invalide",IF(J2791="","Prix manquant",IF(OR(NOT(ISNUMBER(J2791)),N(J2791)&lt;0),"Prix invalide",IF(OR(AND(F2791&lt;&gt;"",NOT(ISNUMBER(F2791))),N(F2791)&lt;0,N(F2791)&gt;1),"Remise invalide",IF(K2791="","Taux de TVA manquant",IF(NOT(ISNUMBER(K2791)),"Taux de TVA invalide",IF(COUNTIF(p_rates,K2791)=0,"Taux de TVA hors liste (Paramètres)",IF(N(O2791)&gt;25,"Au-delà de 25 lignes : non imprimée","OK")))))))))))))</f>
        <v/>
      </c>
      <c r="O2791" s="59" t="str">
        <f>IF(A2791="","",COUNTIF($A$6:A2791,A2791))</f>
        <v/>
      </c>
      <c r="P2791" s="62" t="str">
        <f>IF(A2791="","",A2791&amp;"|"&amp;O2791)</f>
        <v/>
      </c>
    </row>
    <row r="2792">
      <c r="A2792" s="60" t="n"/>
      <c r="B2792" s="63" t="n"/>
      <c r="C2792" s="63" t="n"/>
      <c r="D2792" s="67" t="n"/>
      <c r="E2792" s="68" t="n"/>
      <c r="F2792" s="69" t="n"/>
      <c r="G2792" s="70" t="n"/>
      <c r="H2792" s="62" t="str">
        <f>IF(COUNTA(A2792:G2792)=0,"",IF(C2792&lt;&gt;"",C2792,IF(B2792="","",IFERROR(INDEX(pr_des,MATCH(B2792,pr_code,0))&amp;"",""))))</f>
        <v/>
      </c>
      <c r="I2792" s="59" t="str">
        <f>IF(B2792="","",IFERROR(INDEX(pr_unit,MATCH(B2792,pr_code,0))&amp;"",""))</f>
        <v/>
      </c>
      <c r="J2792" s="65" t="str">
        <f>IF(COUNTA(A2792:G2792)=0,"",IF(E2792&lt;&gt;"",E2792,IF(B2792="","",IFERROR(IF(INDEX(pr_price,MATCH(B2792,pr_code,0))="","",INDEX(pr_price,MATCH(B2792,pr_code,0))),""))))</f>
        <v/>
      </c>
      <c r="K2792" s="71" t="str">
        <f>IF(COUNTA(A2792:G2792)=0,"",IF(G2792&lt;&gt;"",G2792,IF(B2792="","",IFERROR(IF(INDEX(pr_rate,MATCH(B2792,pr_code,0))="","",INDEX(pr_rate,MATCH(B2792,pr_code,0))),""))))</f>
        <v/>
      </c>
      <c r="L2792" s="65" t="str">
        <f>IF(COUNTA(A2792:G2792)=0,"",IF(AND(ISNUMBER(D2792),ISNUMBER(J2792)),ROUND(D2792*J2792*(1-N(F2792)),2),0))</f>
        <v/>
      </c>
      <c r="M2792" s="62" t="str">
        <f>IF(A2792="","",IFERROR(INDEX(fa_cname,MATCH(A2792,fa_num,0))&amp;"",""))</f>
        <v/>
      </c>
      <c r="N2792" s="59" t="str">
        <f>IF(COUNTA(A2792:G2792)=0,"",IF(A2792="","N° facture manquant",IF(ISNA(MATCH(A2792,fa_num,0)),"Facture inconnue",IF(AND(B2792&lt;&gt;"",ISNA(MATCH(B2792,pr_code,0))),"Article inconnu",IF(H2792="","Désignation manquante",IF(OR(NOT(ISNUMBER(D2792)),N(D2792)&lt;=0),"Quantité invalide",IF(J2792="","Prix manquant",IF(OR(NOT(ISNUMBER(J2792)),N(J2792)&lt;0),"Prix invalide",IF(OR(AND(F2792&lt;&gt;"",NOT(ISNUMBER(F2792))),N(F2792)&lt;0,N(F2792)&gt;1),"Remise invalide",IF(K2792="","Taux de TVA manquant",IF(NOT(ISNUMBER(K2792)),"Taux de TVA invalide",IF(COUNTIF(p_rates,K2792)=0,"Taux de TVA hors liste (Paramètres)",IF(N(O2792)&gt;25,"Au-delà de 25 lignes : non imprimée","OK")))))))))))))</f>
        <v/>
      </c>
      <c r="O2792" s="59" t="str">
        <f>IF(A2792="","",COUNTIF($A$6:A2792,A2792))</f>
        <v/>
      </c>
      <c r="P2792" s="62" t="str">
        <f>IF(A2792="","",A2792&amp;"|"&amp;O2792)</f>
        <v/>
      </c>
    </row>
    <row r="2793">
      <c r="A2793" s="60" t="n"/>
      <c r="B2793" s="63" t="n"/>
      <c r="C2793" s="63" t="n"/>
      <c r="D2793" s="67" t="n"/>
      <c r="E2793" s="68" t="n"/>
      <c r="F2793" s="69" t="n"/>
      <c r="G2793" s="70" t="n"/>
      <c r="H2793" s="62" t="str">
        <f>IF(COUNTA(A2793:G2793)=0,"",IF(C2793&lt;&gt;"",C2793,IF(B2793="","",IFERROR(INDEX(pr_des,MATCH(B2793,pr_code,0))&amp;"",""))))</f>
        <v/>
      </c>
      <c r="I2793" s="59" t="str">
        <f>IF(B2793="","",IFERROR(INDEX(pr_unit,MATCH(B2793,pr_code,0))&amp;"",""))</f>
        <v/>
      </c>
      <c r="J2793" s="65" t="str">
        <f>IF(COUNTA(A2793:G2793)=0,"",IF(E2793&lt;&gt;"",E2793,IF(B2793="","",IFERROR(IF(INDEX(pr_price,MATCH(B2793,pr_code,0))="","",INDEX(pr_price,MATCH(B2793,pr_code,0))),""))))</f>
        <v/>
      </c>
      <c r="K2793" s="71" t="str">
        <f>IF(COUNTA(A2793:G2793)=0,"",IF(G2793&lt;&gt;"",G2793,IF(B2793="","",IFERROR(IF(INDEX(pr_rate,MATCH(B2793,pr_code,0))="","",INDEX(pr_rate,MATCH(B2793,pr_code,0))),""))))</f>
        <v/>
      </c>
      <c r="L2793" s="65" t="str">
        <f>IF(COUNTA(A2793:G2793)=0,"",IF(AND(ISNUMBER(D2793),ISNUMBER(J2793)),ROUND(D2793*J2793*(1-N(F2793)),2),0))</f>
        <v/>
      </c>
      <c r="M2793" s="62" t="str">
        <f>IF(A2793="","",IFERROR(INDEX(fa_cname,MATCH(A2793,fa_num,0))&amp;"",""))</f>
        <v/>
      </c>
      <c r="N2793" s="59" t="str">
        <f>IF(COUNTA(A2793:G2793)=0,"",IF(A2793="","N° facture manquant",IF(ISNA(MATCH(A2793,fa_num,0)),"Facture inconnue",IF(AND(B2793&lt;&gt;"",ISNA(MATCH(B2793,pr_code,0))),"Article inconnu",IF(H2793="","Désignation manquante",IF(OR(NOT(ISNUMBER(D2793)),N(D2793)&lt;=0),"Quantité invalide",IF(J2793="","Prix manquant",IF(OR(NOT(ISNUMBER(J2793)),N(J2793)&lt;0),"Prix invalide",IF(OR(AND(F2793&lt;&gt;"",NOT(ISNUMBER(F2793))),N(F2793)&lt;0,N(F2793)&gt;1),"Remise invalide",IF(K2793="","Taux de TVA manquant",IF(NOT(ISNUMBER(K2793)),"Taux de TVA invalide",IF(COUNTIF(p_rates,K2793)=0,"Taux de TVA hors liste (Paramètres)",IF(N(O2793)&gt;25,"Au-delà de 25 lignes : non imprimée","OK")))))))))))))</f>
        <v/>
      </c>
      <c r="O2793" s="59" t="str">
        <f>IF(A2793="","",COUNTIF($A$6:A2793,A2793))</f>
        <v/>
      </c>
      <c r="P2793" s="62" t="str">
        <f>IF(A2793="","",A2793&amp;"|"&amp;O2793)</f>
        <v/>
      </c>
    </row>
    <row r="2794">
      <c r="A2794" s="60" t="n"/>
      <c r="B2794" s="63" t="n"/>
      <c r="C2794" s="63" t="n"/>
      <c r="D2794" s="67" t="n"/>
      <c r="E2794" s="68" t="n"/>
      <c r="F2794" s="69" t="n"/>
      <c r="G2794" s="70" t="n"/>
      <c r="H2794" s="62" t="str">
        <f>IF(COUNTA(A2794:G2794)=0,"",IF(C2794&lt;&gt;"",C2794,IF(B2794="","",IFERROR(INDEX(pr_des,MATCH(B2794,pr_code,0))&amp;"",""))))</f>
        <v/>
      </c>
      <c r="I2794" s="59" t="str">
        <f>IF(B2794="","",IFERROR(INDEX(pr_unit,MATCH(B2794,pr_code,0))&amp;"",""))</f>
        <v/>
      </c>
      <c r="J2794" s="65" t="str">
        <f>IF(COUNTA(A2794:G2794)=0,"",IF(E2794&lt;&gt;"",E2794,IF(B2794="","",IFERROR(IF(INDEX(pr_price,MATCH(B2794,pr_code,0))="","",INDEX(pr_price,MATCH(B2794,pr_code,0))),""))))</f>
        <v/>
      </c>
      <c r="K2794" s="71" t="str">
        <f>IF(COUNTA(A2794:G2794)=0,"",IF(G2794&lt;&gt;"",G2794,IF(B2794="","",IFERROR(IF(INDEX(pr_rate,MATCH(B2794,pr_code,0))="","",INDEX(pr_rate,MATCH(B2794,pr_code,0))),""))))</f>
        <v/>
      </c>
      <c r="L2794" s="65" t="str">
        <f>IF(COUNTA(A2794:G2794)=0,"",IF(AND(ISNUMBER(D2794),ISNUMBER(J2794)),ROUND(D2794*J2794*(1-N(F2794)),2),0))</f>
        <v/>
      </c>
      <c r="M2794" s="62" t="str">
        <f>IF(A2794="","",IFERROR(INDEX(fa_cname,MATCH(A2794,fa_num,0))&amp;"",""))</f>
        <v/>
      </c>
      <c r="N2794" s="59" t="str">
        <f>IF(COUNTA(A2794:G2794)=0,"",IF(A2794="","N° facture manquant",IF(ISNA(MATCH(A2794,fa_num,0)),"Facture inconnue",IF(AND(B2794&lt;&gt;"",ISNA(MATCH(B2794,pr_code,0))),"Article inconnu",IF(H2794="","Désignation manquante",IF(OR(NOT(ISNUMBER(D2794)),N(D2794)&lt;=0),"Quantité invalide",IF(J2794="","Prix manquant",IF(OR(NOT(ISNUMBER(J2794)),N(J2794)&lt;0),"Prix invalide",IF(OR(AND(F2794&lt;&gt;"",NOT(ISNUMBER(F2794))),N(F2794)&lt;0,N(F2794)&gt;1),"Remise invalide",IF(K2794="","Taux de TVA manquant",IF(NOT(ISNUMBER(K2794)),"Taux de TVA invalide",IF(COUNTIF(p_rates,K2794)=0,"Taux de TVA hors liste (Paramètres)",IF(N(O2794)&gt;25,"Au-delà de 25 lignes : non imprimée","OK")))))))))))))</f>
        <v/>
      </c>
      <c r="O2794" s="59" t="str">
        <f>IF(A2794="","",COUNTIF($A$6:A2794,A2794))</f>
        <v/>
      </c>
      <c r="P2794" s="62" t="str">
        <f>IF(A2794="","",A2794&amp;"|"&amp;O2794)</f>
        <v/>
      </c>
    </row>
    <row r="2795">
      <c r="A2795" s="60" t="n"/>
      <c r="B2795" s="63" t="n"/>
      <c r="C2795" s="63" t="n"/>
      <c r="D2795" s="67" t="n"/>
      <c r="E2795" s="68" t="n"/>
      <c r="F2795" s="69" t="n"/>
      <c r="G2795" s="70" t="n"/>
      <c r="H2795" s="62" t="str">
        <f>IF(COUNTA(A2795:G2795)=0,"",IF(C2795&lt;&gt;"",C2795,IF(B2795="","",IFERROR(INDEX(pr_des,MATCH(B2795,pr_code,0))&amp;"",""))))</f>
        <v/>
      </c>
      <c r="I2795" s="59" t="str">
        <f>IF(B2795="","",IFERROR(INDEX(pr_unit,MATCH(B2795,pr_code,0))&amp;"",""))</f>
        <v/>
      </c>
      <c r="J2795" s="65" t="str">
        <f>IF(COUNTA(A2795:G2795)=0,"",IF(E2795&lt;&gt;"",E2795,IF(B2795="","",IFERROR(IF(INDEX(pr_price,MATCH(B2795,pr_code,0))="","",INDEX(pr_price,MATCH(B2795,pr_code,0))),""))))</f>
        <v/>
      </c>
      <c r="K2795" s="71" t="str">
        <f>IF(COUNTA(A2795:G2795)=0,"",IF(G2795&lt;&gt;"",G2795,IF(B2795="","",IFERROR(IF(INDEX(pr_rate,MATCH(B2795,pr_code,0))="","",INDEX(pr_rate,MATCH(B2795,pr_code,0))),""))))</f>
        <v/>
      </c>
      <c r="L2795" s="65" t="str">
        <f>IF(COUNTA(A2795:G2795)=0,"",IF(AND(ISNUMBER(D2795),ISNUMBER(J2795)),ROUND(D2795*J2795*(1-N(F2795)),2),0))</f>
        <v/>
      </c>
      <c r="M2795" s="62" t="str">
        <f>IF(A2795="","",IFERROR(INDEX(fa_cname,MATCH(A2795,fa_num,0))&amp;"",""))</f>
        <v/>
      </c>
      <c r="N2795" s="59" t="str">
        <f>IF(COUNTA(A2795:G2795)=0,"",IF(A2795="","N° facture manquant",IF(ISNA(MATCH(A2795,fa_num,0)),"Facture inconnue",IF(AND(B2795&lt;&gt;"",ISNA(MATCH(B2795,pr_code,0))),"Article inconnu",IF(H2795="","Désignation manquante",IF(OR(NOT(ISNUMBER(D2795)),N(D2795)&lt;=0),"Quantité invalide",IF(J2795="","Prix manquant",IF(OR(NOT(ISNUMBER(J2795)),N(J2795)&lt;0),"Prix invalide",IF(OR(AND(F2795&lt;&gt;"",NOT(ISNUMBER(F2795))),N(F2795)&lt;0,N(F2795)&gt;1),"Remise invalide",IF(K2795="","Taux de TVA manquant",IF(NOT(ISNUMBER(K2795)),"Taux de TVA invalide",IF(COUNTIF(p_rates,K2795)=0,"Taux de TVA hors liste (Paramètres)",IF(N(O2795)&gt;25,"Au-delà de 25 lignes : non imprimée","OK")))))))))))))</f>
        <v/>
      </c>
      <c r="O2795" s="59" t="str">
        <f>IF(A2795="","",COUNTIF($A$6:A2795,A2795))</f>
        <v/>
      </c>
      <c r="P2795" s="62" t="str">
        <f>IF(A2795="","",A2795&amp;"|"&amp;O2795)</f>
        <v/>
      </c>
    </row>
    <row r="2796">
      <c r="A2796" s="60" t="n"/>
      <c r="B2796" s="63" t="n"/>
      <c r="C2796" s="63" t="n"/>
      <c r="D2796" s="67" t="n"/>
      <c r="E2796" s="68" t="n"/>
      <c r="F2796" s="69" t="n"/>
      <c r="G2796" s="70" t="n"/>
      <c r="H2796" s="62" t="str">
        <f>IF(COUNTA(A2796:G2796)=0,"",IF(C2796&lt;&gt;"",C2796,IF(B2796="","",IFERROR(INDEX(pr_des,MATCH(B2796,pr_code,0))&amp;"",""))))</f>
        <v/>
      </c>
      <c r="I2796" s="59" t="str">
        <f>IF(B2796="","",IFERROR(INDEX(pr_unit,MATCH(B2796,pr_code,0))&amp;"",""))</f>
        <v/>
      </c>
      <c r="J2796" s="65" t="str">
        <f>IF(COUNTA(A2796:G2796)=0,"",IF(E2796&lt;&gt;"",E2796,IF(B2796="","",IFERROR(IF(INDEX(pr_price,MATCH(B2796,pr_code,0))="","",INDEX(pr_price,MATCH(B2796,pr_code,0))),""))))</f>
        <v/>
      </c>
      <c r="K2796" s="71" t="str">
        <f>IF(COUNTA(A2796:G2796)=0,"",IF(G2796&lt;&gt;"",G2796,IF(B2796="","",IFERROR(IF(INDEX(pr_rate,MATCH(B2796,pr_code,0))="","",INDEX(pr_rate,MATCH(B2796,pr_code,0))),""))))</f>
        <v/>
      </c>
      <c r="L2796" s="65" t="str">
        <f>IF(COUNTA(A2796:G2796)=0,"",IF(AND(ISNUMBER(D2796),ISNUMBER(J2796)),ROUND(D2796*J2796*(1-N(F2796)),2),0))</f>
        <v/>
      </c>
      <c r="M2796" s="62" t="str">
        <f>IF(A2796="","",IFERROR(INDEX(fa_cname,MATCH(A2796,fa_num,0))&amp;"",""))</f>
        <v/>
      </c>
      <c r="N2796" s="59" t="str">
        <f>IF(COUNTA(A2796:G2796)=0,"",IF(A2796="","N° facture manquant",IF(ISNA(MATCH(A2796,fa_num,0)),"Facture inconnue",IF(AND(B2796&lt;&gt;"",ISNA(MATCH(B2796,pr_code,0))),"Article inconnu",IF(H2796="","Désignation manquante",IF(OR(NOT(ISNUMBER(D2796)),N(D2796)&lt;=0),"Quantité invalide",IF(J2796="","Prix manquant",IF(OR(NOT(ISNUMBER(J2796)),N(J2796)&lt;0),"Prix invalide",IF(OR(AND(F2796&lt;&gt;"",NOT(ISNUMBER(F2796))),N(F2796)&lt;0,N(F2796)&gt;1),"Remise invalide",IF(K2796="","Taux de TVA manquant",IF(NOT(ISNUMBER(K2796)),"Taux de TVA invalide",IF(COUNTIF(p_rates,K2796)=0,"Taux de TVA hors liste (Paramètres)",IF(N(O2796)&gt;25,"Au-delà de 25 lignes : non imprimée","OK")))))))))))))</f>
        <v/>
      </c>
      <c r="O2796" s="59" t="str">
        <f>IF(A2796="","",COUNTIF($A$6:A2796,A2796))</f>
        <v/>
      </c>
      <c r="P2796" s="62" t="str">
        <f>IF(A2796="","",A2796&amp;"|"&amp;O2796)</f>
        <v/>
      </c>
    </row>
    <row r="2797">
      <c r="A2797" s="60" t="n"/>
      <c r="B2797" s="63" t="n"/>
      <c r="C2797" s="63" t="n"/>
      <c r="D2797" s="67" t="n"/>
      <c r="E2797" s="68" t="n"/>
      <c r="F2797" s="69" t="n"/>
      <c r="G2797" s="70" t="n"/>
      <c r="H2797" s="62" t="str">
        <f>IF(COUNTA(A2797:G2797)=0,"",IF(C2797&lt;&gt;"",C2797,IF(B2797="","",IFERROR(INDEX(pr_des,MATCH(B2797,pr_code,0))&amp;"",""))))</f>
        <v/>
      </c>
      <c r="I2797" s="59" t="str">
        <f>IF(B2797="","",IFERROR(INDEX(pr_unit,MATCH(B2797,pr_code,0))&amp;"",""))</f>
        <v/>
      </c>
      <c r="J2797" s="65" t="str">
        <f>IF(COUNTA(A2797:G2797)=0,"",IF(E2797&lt;&gt;"",E2797,IF(B2797="","",IFERROR(IF(INDEX(pr_price,MATCH(B2797,pr_code,0))="","",INDEX(pr_price,MATCH(B2797,pr_code,0))),""))))</f>
        <v/>
      </c>
      <c r="K2797" s="71" t="str">
        <f>IF(COUNTA(A2797:G2797)=0,"",IF(G2797&lt;&gt;"",G2797,IF(B2797="","",IFERROR(IF(INDEX(pr_rate,MATCH(B2797,pr_code,0))="","",INDEX(pr_rate,MATCH(B2797,pr_code,0))),""))))</f>
        <v/>
      </c>
      <c r="L2797" s="65" t="str">
        <f>IF(COUNTA(A2797:G2797)=0,"",IF(AND(ISNUMBER(D2797),ISNUMBER(J2797)),ROUND(D2797*J2797*(1-N(F2797)),2),0))</f>
        <v/>
      </c>
      <c r="M2797" s="62" t="str">
        <f>IF(A2797="","",IFERROR(INDEX(fa_cname,MATCH(A2797,fa_num,0))&amp;"",""))</f>
        <v/>
      </c>
      <c r="N2797" s="59" t="str">
        <f>IF(COUNTA(A2797:G2797)=0,"",IF(A2797="","N° facture manquant",IF(ISNA(MATCH(A2797,fa_num,0)),"Facture inconnue",IF(AND(B2797&lt;&gt;"",ISNA(MATCH(B2797,pr_code,0))),"Article inconnu",IF(H2797="","Désignation manquante",IF(OR(NOT(ISNUMBER(D2797)),N(D2797)&lt;=0),"Quantité invalide",IF(J2797="","Prix manquant",IF(OR(NOT(ISNUMBER(J2797)),N(J2797)&lt;0),"Prix invalide",IF(OR(AND(F2797&lt;&gt;"",NOT(ISNUMBER(F2797))),N(F2797)&lt;0,N(F2797)&gt;1),"Remise invalide",IF(K2797="","Taux de TVA manquant",IF(NOT(ISNUMBER(K2797)),"Taux de TVA invalide",IF(COUNTIF(p_rates,K2797)=0,"Taux de TVA hors liste (Paramètres)",IF(N(O2797)&gt;25,"Au-delà de 25 lignes : non imprimée","OK")))))))))))))</f>
        <v/>
      </c>
      <c r="O2797" s="59" t="str">
        <f>IF(A2797="","",COUNTIF($A$6:A2797,A2797))</f>
        <v/>
      </c>
      <c r="P2797" s="62" t="str">
        <f>IF(A2797="","",A2797&amp;"|"&amp;O2797)</f>
        <v/>
      </c>
    </row>
    <row r="2798">
      <c r="A2798" s="60" t="n"/>
      <c r="B2798" s="63" t="n"/>
      <c r="C2798" s="63" t="n"/>
      <c r="D2798" s="67" t="n"/>
      <c r="E2798" s="68" t="n"/>
      <c r="F2798" s="69" t="n"/>
      <c r="G2798" s="70" t="n"/>
      <c r="H2798" s="62" t="str">
        <f>IF(COUNTA(A2798:G2798)=0,"",IF(C2798&lt;&gt;"",C2798,IF(B2798="","",IFERROR(INDEX(pr_des,MATCH(B2798,pr_code,0))&amp;"",""))))</f>
        <v/>
      </c>
      <c r="I2798" s="59" t="str">
        <f>IF(B2798="","",IFERROR(INDEX(pr_unit,MATCH(B2798,pr_code,0))&amp;"",""))</f>
        <v/>
      </c>
      <c r="J2798" s="65" t="str">
        <f>IF(COUNTA(A2798:G2798)=0,"",IF(E2798&lt;&gt;"",E2798,IF(B2798="","",IFERROR(IF(INDEX(pr_price,MATCH(B2798,pr_code,0))="","",INDEX(pr_price,MATCH(B2798,pr_code,0))),""))))</f>
        <v/>
      </c>
      <c r="K2798" s="71" t="str">
        <f>IF(COUNTA(A2798:G2798)=0,"",IF(G2798&lt;&gt;"",G2798,IF(B2798="","",IFERROR(IF(INDEX(pr_rate,MATCH(B2798,pr_code,0))="","",INDEX(pr_rate,MATCH(B2798,pr_code,0))),""))))</f>
        <v/>
      </c>
      <c r="L2798" s="65" t="str">
        <f>IF(COUNTA(A2798:G2798)=0,"",IF(AND(ISNUMBER(D2798),ISNUMBER(J2798)),ROUND(D2798*J2798*(1-N(F2798)),2),0))</f>
        <v/>
      </c>
      <c r="M2798" s="62" t="str">
        <f>IF(A2798="","",IFERROR(INDEX(fa_cname,MATCH(A2798,fa_num,0))&amp;"",""))</f>
        <v/>
      </c>
      <c r="N2798" s="59" t="str">
        <f>IF(COUNTA(A2798:G2798)=0,"",IF(A2798="","N° facture manquant",IF(ISNA(MATCH(A2798,fa_num,0)),"Facture inconnue",IF(AND(B2798&lt;&gt;"",ISNA(MATCH(B2798,pr_code,0))),"Article inconnu",IF(H2798="","Désignation manquante",IF(OR(NOT(ISNUMBER(D2798)),N(D2798)&lt;=0),"Quantité invalide",IF(J2798="","Prix manquant",IF(OR(NOT(ISNUMBER(J2798)),N(J2798)&lt;0),"Prix invalide",IF(OR(AND(F2798&lt;&gt;"",NOT(ISNUMBER(F2798))),N(F2798)&lt;0,N(F2798)&gt;1),"Remise invalide",IF(K2798="","Taux de TVA manquant",IF(NOT(ISNUMBER(K2798)),"Taux de TVA invalide",IF(COUNTIF(p_rates,K2798)=0,"Taux de TVA hors liste (Paramètres)",IF(N(O2798)&gt;25,"Au-delà de 25 lignes : non imprimée","OK")))))))))))))</f>
        <v/>
      </c>
      <c r="O2798" s="59" t="str">
        <f>IF(A2798="","",COUNTIF($A$6:A2798,A2798))</f>
        <v/>
      </c>
      <c r="P2798" s="62" t="str">
        <f>IF(A2798="","",A2798&amp;"|"&amp;O2798)</f>
        <v/>
      </c>
    </row>
    <row r="2799">
      <c r="A2799" s="60" t="n"/>
      <c r="B2799" s="63" t="n"/>
      <c r="C2799" s="63" t="n"/>
      <c r="D2799" s="67" t="n"/>
      <c r="E2799" s="68" t="n"/>
      <c r="F2799" s="69" t="n"/>
      <c r="G2799" s="70" t="n"/>
      <c r="H2799" s="62" t="str">
        <f>IF(COUNTA(A2799:G2799)=0,"",IF(C2799&lt;&gt;"",C2799,IF(B2799="","",IFERROR(INDEX(pr_des,MATCH(B2799,pr_code,0))&amp;"",""))))</f>
        <v/>
      </c>
      <c r="I2799" s="59" t="str">
        <f>IF(B2799="","",IFERROR(INDEX(pr_unit,MATCH(B2799,pr_code,0))&amp;"",""))</f>
        <v/>
      </c>
      <c r="J2799" s="65" t="str">
        <f>IF(COUNTA(A2799:G2799)=0,"",IF(E2799&lt;&gt;"",E2799,IF(B2799="","",IFERROR(IF(INDEX(pr_price,MATCH(B2799,pr_code,0))="","",INDEX(pr_price,MATCH(B2799,pr_code,0))),""))))</f>
        <v/>
      </c>
      <c r="K2799" s="71" t="str">
        <f>IF(COUNTA(A2799:G2799)=0,"",IF(G2799&lt;&gt;"",G2799,IF(B2799="","",IFERROR(IF(INDEX(pr_rate,MATCH(B2799,pr_code,0))="","",INDEX(pr_rate,MATCH(B2799,pr_code,0))),""))))</f>
        <v/>
      </c>
      <c r="L2799" s="65" t="str">
        <f>IF(COUNTA(A2799:G2799)=0,"",IF(AND(ISNUMBER(D2799),ISNUMBER(J2799)),ROUND(D2799*J2799*(1-N(F2799)),2),0))</f>
        <v/>
      </c>
      <c r="M2799" s="62" t="str">
        <f>IF(A2799="","",IFERROR(INDEX(fa_cname,MATCH(A2799,fa_num,0))&amp;"",""))</f>
        <v/>
      </c>
      <c r="N2799" s="59" t="str">
        <f>IF(COUNTA(A2799:G2799)=0,"",IF(A2799="","N° facture manquant",IF(ISNA(MATCH(A2799,fa_num,0)),"Facture inconnue",IF(AND(B2799&lt;&gt;"",ISNA(MATCH(B2799,pr_code,0))),"Article inconnu",IF(H2799="","Désignation manquante",IF(OR(NOT(ISNUMBER(D2799)),N(D2799)&lt;=0),"Quantité invalide",IF(J2799="","Prix manquant",IF(OR(NOT(ISNUMBER(J2799)),N(J2799)&lt;0),"Prix invalide",IF(OR(AND(F2799&lt;&gt;"",NOT(ISNUMBER(F2799))),N(F2799)&lt;0,N(F2799)&gt;1),"Remise invalide",IF(K2799="","Taux de TVA manquant",IF(NOT(ISNUMBER(K2799)),"Taux de TVA invalide",IF(COUNTIF(p_rates,K2799)=0,"Taux de TVA hors liste (Paramètres)",IF(N(O2799)&gt;25,"Au-delà de 25 lignes : non imprimée","OK")))))))))))))</f>
        <v/>
      </c>
      <c r="O2799" s="59" t="str">
        <f>IF(A2799="","",COUNTIF($A$6:A2799,A2799))</f>
        <v/>
      </c>
      <c r="P2799" s="62" t="str">
        <f>IF(A2799="","",A2799&amp;"|"&amp;O2799)</f>
        <v/>
      </c>
    </row>
    <row r="2800">
      <c r="A2800" s="60" t="n"/>
      <c r="B2800" s="63" t="n"/>
      <c r="C2800" s="63" t="n"/>
      <c r="D2800" s="67" t="n"/>
      <c r="E2800" s="68" t="n"/>
      <c r="F2800" s="69" t="n"/>
      <c r="G2800" s="70" t="n"/>
      <c r="H2800" s="62" t="str">
        <f>IF(COUNTA(A2800:G2800)=0,"",IF(C2800&lt;&gt;"",C2800,IF(B2800="","",IFERROR(INDEX(pr_des,MATCH(B2800,pr_code,0))&amp;"",""))))</f>
        <v/>
      </c>
      <c r="I2800" s="59" t="str">
        <f>IF(B2800="","",IFERROR(INDEX(pr_unit,MATCH(B2800,pr_code,0))&amp;"",""))</f>
        <v/>
      </c>
      <c r="J2800" s="65" t="str">
        <f>IF(COUNTA(A2800:G2800)=0,"",IF(E2800&lt;&gt;"",E2800,IF(B2800="","",IFERROR(IF(INDEX(pr_price,MATCH(B2800,pr_code,0))="","",INDEX(pr_price,MATCH(B2800,pr_code,0))),""))))</f>
        <v/>
      </c>
      <c r="K2800" s="71" t="str">
        <f>IF(COUNTA(A2800:G2800)=0,"",IF(G2800&lt;&gt;"",G2800,IF(B2800="","",IFERROR(IF(INDEX(pr_rate,MATCH(B2800,pr_code,0))="","",INDEX(pr_rate,MATCH(B2800,pr_code,0))),""))))</f>
        <v/>
      </c>
      <c r="L2800" s="65" t="str">
        <f>IF(COUNTA(A2800:G2800)=0,"",IF(AND(ISNUMBER(D2800),ISNUMBER(J2800)),ROUND(D2800*J2800*(1-N(F2800)),2),0))</f>
        <v/>
      </c>
      <c r="M2800" s="62" t="str">
        <f>IF(A2800="","",IFERROR(INDEX(fa_cname,MATCH(A2800,fa_num,0))&amp;"",""))</f>
        <v/>
      </c>
      <c r="N2800" s="59" t="str">
        <f>IF(COUNTA(A2800:G2800)=0,"",IF(A2800="","N° facture manquant",IF(ISNA(MATCH(A2800,fa_num,0)),"Facture inconnue",IF(AND(B2800&lt;&gt;"",ISNA(MATCH(B2800,pr_code,0))),"Article inconnu",IF(H2800="","Désignation manquante",IF(OR(NOT(ISNUMBER(D2800)),N(D2800)&lt;=0),"Quantité invalide",IF(J2800="","Prix manquant",IF(OR(NOT(ISNUMBER(J2800)),N(J2800)&lt;0),"Prix invalide",IF(OR(AND(F2800&lt;&gt;"",NOT(ISNUMBER(F2800))),N(F2800)&lt;0,N(F2800)&gt;1),"Remise invalide",IF(K2800="","Taux de TVA manquant",IF(NOT(ISNUMBER(K2800)),"Taux de TVA invalide",IF(COUNTIF(p_rates,K2800)=0,"Taux de TVA hors liste (Paramètres)",IF(N(O2800)&gt;25,"Au-delà de 25 lignes : non imprimée","OK")))))))))))))</f>
        <v/>
      </c>
      <c r="O2800" s="59" t="str">
        <f>IF(A2800="","",COUNTIF($A$6:A2800,A2800))</f>
        <v/>
      </c>
      <c r="P2800" s="62" t="str">
        <f>IF(A2800="","",A2800&amp;"|"&amp;O2800)</f>
        <v/>
      </c>
    </row>
    <row r="2801">
      <c r="A2801" s="60" t="n"/>
      <c r="B2801" s="63" t="n"/>
      <c r="C2801" s="63" t="n"/>
      <c r="D2801" s="67" t="n"/>
      <c r="E2801" s="68" t="n"/>
      <c r="F2801" s="69" t="n"/>
      <c r="G2801" s="70" t="n"/>
      <c r="H2801" s="62" t="str">
        <f>IF(COUNTA(A2801:G2801)=0,"",IF(C2801&lt;&gt;"",C2801,IF(B2801="","",IFERROR(INDEX(pr_des,MATCH(B2801,pr_code,0))&amp;"",""))))</f>
        <v/>
      </c>
      <c r="I2801" s="59" t="str">
        <f>IF(B2801="","",IFERROR(INDEX(pr_unit,MATCH(B2801,pr_code,0))&amp;"",""))</f>
        <v/>
      </c>
      <c r="J2801" s="65" t="str">
        <f>IF(COUNTA(A2801:G2801)=0,"",IF(E2801&lt;&gt;"",E2801,IF(B2801="","",IFERROR(IF(INDEX(pr_price,MATCH(B2801,pr_code,0))="","",INDEX(pr_price,MATCH(B2801,pr_code,0))),""))))</f>
        <v/>
      </c>
      <c r="K2801" s="71" t="str">
        <f>IF(COUNTA(A2801:G2801)=0,"",IF(G2801&lt;&gt;"",G2801,IF(B2801="","",IFERROR(IF(INDEX(pr_rate,MATCH(B2801,pr_code,0))="","",INDEX(pr_rate,MATCH(B2801,pr_code,0))),""))))</f>
        <v/>
      </c>
      <c r="L2801" s="65" t="str">
        <f>IF(COUNTA(A2801:G2801)=0,"",IF(AND(ISNUMBER(D2801),ISNUMBER(J2801)),ROUND(D2801*J2801*(1-N(F2801)),2),0))</f>
        <v/>
      </c>
      <c r="M2801" s="62" t="str">
        <f>IF(A2801="","",IFERROR(INDEX(fa_cname,MATCH(A2801,fa_num,0))&amp;"",""))</f>
        <v/>
      </c>
      <c r="N2801" s="59" t="str">
        <f>IF(COUNTA(A2801:G2801)=0,"",IF(A2801="","N° facture manquant",IF(ISNA(MATCH(A2801,fa_num,0)),"Facture inconnue",IF(AND(B2801&lt;&gt;"",ISNA(MATCH(B2801,pr_code,0))),"Article inconnu",IF(H2801="","Désignation manquante",IF(OR(NOT(ISNUMBER(D2801)),N(D2801)&lt;=0),"Quantité invalide",IF(J2801="","Prix manquant",IF(OR(NOT(ISNUMBER(J2801)),N(J2801)&lt;0),"Prix invalide",IF(OR(AND(F2801&lt;&gt;"",NOT(ISNUMBER(F2801))),N(F2801)&lt;0,N(F2801)&gt;1),"Remise invalide",IF(K2801="","Taux de TVA manquant",IF(NOT(ISNUMBER(K2801)),"Taux de TVA invalide",IF(COUNTIF(p_rates,K2801)=0,"Taux de TVA hors liste (Paramètres)",IF(N(O2801)&gt;25,"Au-delà de 25 lignes : non imprimée","OK")))))))))))))</f>
        <v/>
      </c>
      <c r="O2801" s="59" t="str">
        <f>IF(A2801="","",COUNTIF($A$6:A2801,A2801))</f>
        <v/>
      </c>
      <c r="P2801" s="62" t="str">
        <f>IF(A2801="","",A2801&amp;"|"&amp;O2801)</f>
        <v/>
      </c>
    </row>
    <row r="2802">
      <c r="A2802" s="60" t="n"/>
      <c r="B2802" s="63" t="n"/>
      <c r="C2802" s="63" t="n"/>
      <c r="D2802" s="67" t="n"/>
      <c r="E2802" s="68" t="n"/>
      <c r="F2802" s="69" t="n"/>
      <c r="G2802" s="70" t="n"/>
      <c r="H2802" s="62" t="str">
        <f>IF(COUNTA(A2802:G2802)=0,"",IF(C2802&lt;&gt;"",C2802,IF(B2802="","",IFERROR(INDEX(pr_des,MATCH(B2802,pr_code,0))&amp;"",""))))</f>
        <v/>
      </c>
      <c r="I2802" s="59" t="str">
        <f>IF(B2802="","",IFERROR(INDEX(pr_unit,MATCH(B2802,pr_code,0))&amp;"",""))</f>
        <v/>
      </c>
      <c r="J2802" s="65" t="str">
        <f>IF(COUNTA(A2802:G2802)=0,"",IF(E2802&lt;&gt;"",E2802,IF(B2802="","",IFERROR(IF(INDEX(pr_price,MATCH(B2802,pr_code,0))="","",INDEX(pr_price,MATCH(B2802,pr_code,0))),""))))</f>
        <v/>
      </c>
      <c r="K2802" s="71" t="str">
        <f>IF(COUNTA(A2802:G2802)=0,"",IF(G2802&lt;&gt;"",G2802,IF(B2802="","",IFERROR(IF(INDEX(pr_rate,MATCH(B2802,pr_code,0))="","",INDEX(pr_rate,MATCH(B2802,pr_code,0))),""))))</f>
        <v/>
      </c>
      <c r="L2802" s="65" t="str">
        <f>IF(COUNTA(A2802:G2802)=0,"",IF(AND(ISNUMBER(D2802),ISNUMBER(J2802)),ROUND(D2802*J2802*(1-N(F2802)),2),0))</f>
        <v/>
      </c>
      <c r="M2802" s="62" t="str">
        <f>IF(A2802="","",IFERROR(INDEX(fa_cname,MATCH(A2802,fa_num,0))&amp;"",""))</f>
        <v/>
      </c>
      <c r="N2802" s="59" t="str">
        <f>IF(COUNTA(A2802:G2802)=0,"",IF(A2802="","N° facture manquant",IF(ISNA(MATCH(A2802,fa_num,0)),"Facture inconnue",IF(AND(B2802&lt;&gt;"",ISNA(MATCH(B2802,pr_code,0))),"Article inconnu",IF(H2802="","Désignation manquante",IF(OR(NOT(ISNUMBER(D2802)),N(D2802)&lt;=0),"Quantité invalide",IF(J2802="","Prix manquant",IF(OR(NOT(ISNUMBER(J2802)),N(J2802)&lt;0),"Prix invalide",IF(OR(AND(F2802&lt;&gt;"",NOT(ISNUMBER(F2802))),N(F2802)&lt;0,N(F2802)&gt;1),"Remise invalide",IF(K2802="","Taux de TVA manquant",IF(NOT(ISNUMBER(K2802)),"Taux de TVA invalide",IF(COUNTIF(p_rates,K2802)=0,"Taux de TVA hors liste (Paramètres)",IF(N(O2802)&gt;25,"Au-delà de 25 lignes : non imprimée","OK")))))))))))))</f>
        <v/>
      </c>
      <c r="O2802" s="59" t="str">
        <f>IF(A2802="","",COUNTIF($A$6:A2802,A2802))</f>
        <v/>
      </c>
      <c r="P2802" s="62" t="str">
        <f>IF(A2802="","",A2802&amp;"|"&amp;O2802)</f>
        <v/>
      </c>
    </row>
    <row r="2803">
      <c r="A2803" s="60" t="n"/>
      <c r="B2803" s="63" t="n"/>
      <c r="C2803" s="63" t="n"/>
      <c r="D2803" s="67" t="n"/>
      <c r="E2803" s="68" t="n"/>
      <c r="F2803" s="69" t="n"/>
      <c r="G2803" s="70" t="n"/>
      <c r="H2803" s="62" t="str">
        <f>IF(COUNTA(A2803:G2803)=0,"",IF(C2803&lt;&gt;"",C2803,IF(B2803="","",IFERROR(INDEX(pr_des,MATCH(B2803,pr_code,0))&amp;"",""))))</f>
        <v/>
      </c>
      <c r="I2803" s="59" t="str">
        <f>IF(B2803="","",IFERROR(INDEX(pr_unit,MATCH(B2803,pr_code,0))&amp;"",""))</f>
        <v/>
      </c>
      <c r="J2803" s="65" t="str">
        <f>IF(COUNTA(A2803:G2803)=0,"",IF(E2803&lt;&gt;"",E2803,IF(B2803="","",IFERROR(IF(INDEX(pr_price,MATCH(B2803,pr_code,0))="","",INDEX(pr_price,MATCH(B2803,pr_code,0))),""))))</f>
        <v/>
      </c>
      <c r="K2803" s="71" t="str">
        <f>IF(COUNTA(A2803:G2803)=0,"",IF(G2803&lt;&gt;"",G2803,IF(B2803="","",IFERROR(IF(INDEX(pr_rate,MATCH(B2803,pr_code,0))="","",INDEX(pr_rate,MATCH(B2803,pr_code,0))),""))))</f>
        <v/>
      </c>
      <c r="L2803" s="65" t="str">
        <f>IF(COUNTA(A2803:G2803)=0,"",IF(AND(ISNUMBER(D2803),ISNUMBER(J2803)),ROUND(D2803*J2803*(1-N(F2803)),2),0))</f>
        <v/>
      </c>
      <c r="M2803" s="62" t="str">
        <f>IF(A2803="","",IFERROR(INDEX(fa_cname,MATCH(A2803,fa_num,0))&amp;"",""))</f>
        <v/>
      </c>
      <c r="N2803" s="59" t="str">
        <f>IF(COUNTA(A2803:G2803)=0,"",IF(A2803="","N° facture manquant",IF(ISNA(MATCH(A2803,fa_num,0)),"Facture inconnue",IF(AND(B2803&lt;&gt;"",ISNA(MATCH(B2803,pr_code,0))),"Article inconnu",IF(H2803="","Désignation manquante",IF(OR(NOT(ISNUMBER(D2803)),N(D2803)&lt;=0),"Quantité invalide",IF(J2803="","Prix manquant",IF(OR(NOT(ISNUMBER(J2803)),N(J2803)&lt;0),"Prix invalide",IF(OR(AND(F2803&lt;&gt;"",NOT(ISNUMBER(F2803))),N(F2803)&lt;0,N(F2803)&gt;1),"Remise invalide",IF(K2803="","Taux de TVA manquant",IF(NOT(ISNUMBER(K2803)),"Taux de TVA invalide",IF(COUNTIF(p_rates,K2803)=0,"Taux de TVA hors liste (Paramètres)",IF(N(O2803)&gt;25,"Au-delà de 25 lignes : non imprimée","OK")))))))))))))</f>
        <v/>
      </c>
      <c r="O2803" s="59" t="str">
        <f>IF(A2803="","",COUNTIF($A$6:A2803,A2803))</f>
        <v/>
      </c>
      <c r="P2803" s="62" t="str">
        <f>IF(A2803="","",A2803&amp;"|"&amp;O2803)</f>
        <v/>
      </c>
    </row>
    <row r="2804">
      <c r="A2804" s="60" t="n"/>
      <c r="B2804" s="63" t="n"/>
      <c r="C2804" s="63" t="n"/>
      <c r="D2804" s="67" t="n"/>
      <c r="E2804" s="68" t="n"/>
      <c r="F2804" s="69" t="n"/>
      <c r="G2804" s="70" t="n"/>
      <c r="H2804" s="62" t="str">
        <f>IF(COUNTA(A2804:G2804)=0,"",IF(C2804&lt;&gt;"",C2804,IF(B2804="","",IFERROR(INDEX(pr_des,MATCH(B2804,pr_code,0))&amp;"",""))))</f>
        <v/>
      </c>
      <c r="I2804" s="59" t="str">
        <f>IF(B2804="","",IFERROR(INDEX(pr_unit,MATCH(B2804,pr_code,0))&amp;"",""))</f>
        <v/>
      </c>
      <c r="J2804" s="65" t="str">
        <f>IF(COUNTA(A2804:G2804)=0,"",IF(E2804&lt;&gt;"",E2804,IF(B2804="","",IFERROR(IF(INDEX(pr_price,MATCH(B2804,pr_code,0))="","",INDEX(pr_price,MATCH(B2804,pr_code,0))),""))))</f>
        <v/>
      </c>
      <c r="K2804" s="71" t="str">
        <f>IF(COUNTA(A2804:G2804)=0,"",IF(G2804&lt;&gt;"",G2804,IF(B2804="","",IFERROR(IF(INDEX(pr_rate,MATCH(B2804,pr_code,0))="","",INDEX(pr_rate,MATCH(B2804,pr_code,0))),""))))</f>
        <v/>
      </c>
      <c r="L2804" s="65" t="str">
        <f>IF(COUNTA(A2804:G2804)=0,"",IF(AND(ISNUMBER(D2804),ISNUMBER(J2804)),ROUND(D2804*J2804*(1-N(F2804)),2),0))</f>
        <v/>
      </c>
      <c r="M2804" s="62" t="str">
        <f>IF(A2804="","",IFERROR(INDEX(fa_cname,MATCH(A2804,fa_num,0))&amp;"",""))</f>
        <v/>
      </c>
      <c r="N2804" s="59" t="str">
        <f>IF(COUNTA(A2804:G2804)=0,"",IF(A2804="","N° facture manquant",IF(ISNA(MATCH(A2804,fa_num,0)),"Facture inconnue",IF(AND(B2804&lt;&gt;"",ISNA(MATCH(B2804,pr_code,0))),"Article inconnu",IF(H2804="","Désignation manquante",IF(OR(NOT(ISNUMBER(D2804)),N(D2804)&lt;=0),"Quantité invalide",IF(J2804="","Prix manquant",IF(OR(NOT(ISNUMBER(J2804)),N(J2804)&lt;0),"Prix invalide",IF(OR(AND(F2804&lt;&gt;"",NOT(ISNUMBER(F2804))),N(F2804)&lt;0,N(F2804)&gt;1),"Remise invalide",IF(K2804="","Taux de TVA manquant",IF(NOT(ISNUMBER(K2804)),"Taux de TVA invalide",IF(COUNTIF(p_rates,K2804)=0,"Taux de TVA hors liste (Paramètres)",IF(N(O2804)&gt;25,"Au-delà de 25 lignes : non imprimée","OK")))))))))))))</f>
        <v/>
      </c>
      <c r="O2804" s="59" t="str">
        <f>IF(A2804="","",COUNTIF($A$6:A2804,A2804))</f>
        <v/>
      </c>
      <c r="P2804" s="62" t="str">
        <f>IF(A2804="","",A2804&amp;"|"&amp;O2804)</f>
        <v/>
      </c>
    </row>
    <row r="2805">
      <c r="A2805" s="60" t="n"/>
      <c r="B2805" s="63" t="n"/>
      <c r="C2805" s="63" t="n"/>
      <c r="D2805" s="67" t="n"/>
      <c r="E2805" s="68" t="n"/>
      <c r="F2805" s="69" t="n"/>
      <c r="G2805" s="70" t="n"/>
      <c r="H2805" s="62" t="str">
        <f>IF(COUNTA(A2805:G2805)=0,"",IF(C2805&lt;&gt;"",C2805,IF(B2805="","",IFERROR(INDEX(pr_des,MATCH(B2805,pr_code,0))&amp;"",""))))</f>
        <v/>
      </c>
      <c r="I2805" s="59" t="str">
        <f>IF(B2805="","",IFERROR(INDEX(pr_unit,MATCH(B2805,pr_code,0))&amp;"",""))</f>
        <v/>
      </c>
      <c r="J2805" s="65" t="str">
        <f>IF(COUNTA(A2805:G2805)=0,"",IF(E2805&lt;&gt;"",E2805,IF(B2805="","",IFERROR(IF(INDEX(pr_price,MATCH(B2805,pr_code,0))="","",INDEX(pr_price,MATCH(B2805,pr_code,0))),""))))</f>
        <v/>
      </c>
      <c r="K2805" s="71" t="str">
        <f>IF(COUNTA(A2805:G2805)=0,"",IF(G2805&lt;&gt;"",G2805,IF(B2805="","",IFERROR(IF(INDEX(pr_rate,MATCH(B2805,pr_code,0))="","",INDEX(pr_rate,MATCH(B2805,pr_code,0))),""))))</f>
        <v/>
      </c>
      <c r="L2805" s="65" t="str">
        <f>IF(COUNTA(A2805:G2805)=0,"",IF(AND(ISNUMBER(D2805),ISNUMBER(J2805)),ROUND(D2805*J2805*(1-N(F2805)),2),0))</f>
        <v/>
      </c>
      <c r="M2805" s="62" t="str">
        <f>IF(A2805="","",IFERROR(INDEX(fa_cname,MATCH(A2805,fa_num,0))&amp;"",""))</f>
        <v/>
      </c>
      <c r="N2805" s="59" t="str">
        <f>IF(COUNTA(A2805:G2805)=0,"",IF(A2805="","N° facture manquant",IF(ISNA(MATCH(A2805,fa_num,0)),"Facture inconnue",IF(AND(B2805&lt;&gt;"",ISNA(MATCH(B2805,pr_code,0))),"Article inconnu",IF(H2805="","Désignation manquante",IF(OR(NOT(ISNUMBER(D2805)),N(D2805)&lt;=0),"Quantité invalide",IF(J2805="","Prix manquant",IF(OR(NOT(ISNUMBER(J2805)),N(J2805)&lt;0),"Prix invalide",IF(OR(AND(F2805&lt;&gt;"",NOT(ISNUMBER(F2805))),N(F2805)&lt;0,N(F2805)&gt;1),"Remise invalide",IF(K2805="","Taux de TVA manquant",IF(NOT(ISNUMBER(K2805)),"Taux de TVA invalide",IF(COUNTIF(p_rates,K2805)=0,"Taux de TVA hors liste (Paramètres)",IF(N(O2805)&gt;25,"Au-delà de 25 lignes : non imprimée","OK")))))))))))))</f>
        <v/>
      </c>
      <c r="O2805" s="59" t="str">
        <f>IF(A2805="","",COUNTIF($A$6:A2805,A2805))</f>
        <v/>
      </c>
      <c r="P2805" s="62" t="str">
        <f>IF(A2805="","",A2805&amp;"|"&amp;O2805)</f>
        <v/>
      </c>
    </row>
    <row r="2806">
      <c r="A2806" s="60" t="n"/>
      <c r="B2806" s="63" t="n"/>
      <c r="C2806" s="63" t="n"/>
      <c r="D2806" s="67" t="n"/>
      <c r="E2806" s="68" t="n"/>
      <c r="F2806" s="69" t="n"/>
      <c r="G2806" s="70" t="n"/>
      <c r="H2806" s="62" t="str">
        <f>IF(COUNTA(A2806:G2806)=0,"",IF(C2806&lt;&gt;"",C2806,IF(B2806="","",IFERROR(INDEX(pr_des,MATCH(B2806,pr_code,0))&amp;"",""))))</f>
        <v/>
      </c>
      <c r="I2806" s="59" t="str">
        <f>IF(B2806="","",IFERROR(INDEX(pr_unit,MATCH(B2806,pr_code,0))&amp;"",""))</f>
        <v/>
      </c>
      <c r="J2806" s="65" t="str">
        <f>IF(COUNTA(A2806:G2806)=0,"",IF(E2806&lt;&gt;"",E2806,IF(B2806="","",IFERROR(IF(INDEX(pr_price,MATCH(B2806,pr_code,0))="","",INDEX(pr_price,MATCH(B2806,pr_code,0))),""))))</f>
        <v/>
      </c>
      <c r="K2806" s="71" t="str">
        <f>IF(COUNTA(A2806:G2806)=0,"",IF(G2806&lt;&gt;"",G2806,IF(B2806="","",IFERROR(IF(INDEX(pr_rate,MATCH(B2806,pr_code,0))="","",INDEX(pr_rate,MATCH(B2806,pr_code,0))),""))))</f>
        <v/>
      </c>
      <c r="L2806" s="65" t="str">
        <f>IF(COUNTA(A2806:G2806)=0,"",IF(AND(ISNUMBER(D2806),ISNUMBER(J2806)),ROUND(D2806*J2806*(1-N(F2806)),2),0))</f>
        <v/>
      </c>
      <c r="M2806" s="62" t="str">
        <f>IF(A2806="","",IFERROR(INDEX(fa_cname,MATCH(A2806,fa_num,0))&amp;"",""))</f>
        <v/>
      </c>
      <c r="N2806" s="59" t="str">
        <f>IF(COUNTA(A2806:G2806)=0,"",IF(A2806="","N° facture manquant",IF(ISNA(MATCH(A2806,fa_num,0)),"Facture inconnue",IF(AND(B2806&lt;&gt;"",ISNA(MATCH(B2806,pr_code,0))),"Article inconnu",IF(H2806="","Désignation manquante",IF(OR(NOT(ISNUMBER(D2806)),N(D2806)&lt;=0),"Quantité invalide",IF(J2806="","Prix manquant",IF(OR(NOT(ISNUMBER(J2806)),N(J2806)&lt;0),"Prix invalide",IF(OR(AND(F2806&lt;&gt;"",NOT(ISNUMBER(F2806))),N(F2806)&lt;0,N(F2806)&gt;1),"Remise invalide",IF(K2806="","Taux de TVA manquant",IF(NOT(ISNUMBER(K2806)),"Taux de TVA invalide",IF(COUNTIF(p_rates,K2806)=0,"Taux de TVA hors liste (Paramètres)",IF(N(O2806)&gt;25,"Au-delà de 25 lignes : non imprimée","OK")))))))))))))</f>
        <v/>
      </c>
      <c r="O2806" s="59" t="str">
        <f>IF(A2806="","",COUNTIF($A$6:A2806,A2806))</f>
        <v/>
      </c>
      <c r="P2806" s="62" t="str">
        <f>IF(A2806="","",A2806&amp;"|"&amp;O2806)</f>
        <v/>
      </c>
    </row>
    <row r="2807">
      <c r="A2807" s="60" t="n"/>
      <c r="B2807" s="63" t="n"/>
      <c r="C2807" s="63" t="n"/>
      <c r="D2807" s="67" t="n"/>
      <c r="E2807" s="68" t="n"/>
      <c r="F2807" s="69" t="n"/>
      <c r="G2807" s="70" t="n"/>
      <c r="H2807" s="62" t="str">
        <f>IF(COUNTA(A2807:G2807)=0,"",IF(C2807&lt;&gt;"",C2807,IF(B2807="","",IFERROR(INDEX(pr_des,MATCH(B2807,pr_code,0))&amp;"",""))))</f>
        <v/>
      </c>
      <c r="I2807" s="59" t="str">
        <f>IF(B2807="","",IFERROR(INDEX(pr_unit,MATCH(B2807,pr_code,0))&amp;"",""))</f>
        <v/>
      </c>
      <c r="J2807" s="65" t="str">
        <f>IF(COUNTA(A2807:G2807)=0,"",IF(E2807&lt;&gt;"",E2807,IF(B2807="","",IFERROR(IF(INDEX(pr_price,MATCH(B2807,pr_code,0))="","",INDEX(pr_price,MATCH(B2807,pr_code,0))),""))))</f>
        <v/>
      </c>
      <c r="K2807" s="71" t="str">
        <f>IF(COUNTA(A2807:G2807)=0,"",IF(G2807&lt;&gt;"",G2807,IF(B2807="","",IFERROR(IF(INDEX(pr_rate,MATCH(B2807,pr_code,0))="","",INDEX(pr_rate,MATCH(B2807,pr_code,0))),""))))</f>
        <v/>
      </c>
      <c r="L2807" s="65" t="str">
        <f>IF(COUNTA(A2807:G2807)=0,"",IF(AND(ISNUMBER(D2807),ISNUMBER(J2807)),ROUND(D2807*J2807*(1-N(F2807)),2),0))</f>
        <v/>
      </c>
      <c r="M2807" s="62" t="str">
        <f>IF(A2807="","",IFERROR(INDEX(fa_cname,MATCH(A2807,fa_num,0))&amp;"",""))</f>
        <v/>
      </c>
      <c r="N2807" s="59" t="str">
        <f>IF(COUNTA(A2807:G2807)=0,"",IF(A2807="","N° facture manquant",IF(ISNA(MATCH(A2807,fa_num,0)),"Facture inconnue",IF(AND(B2807&lt;&gt;"",ISNA(MATCH(B2807,pr_code,0))),"Article inconnu",IF(H2807="","Désignation manquante",IF(OR(NOT(ISNUMBER(D2807)),N(D2807)&lt;=0),"Quantité invalide",IF(J2807="","Prix manquant",IF(OR(NOT(ISNUMBER(J2807)),N(J2807)&lt;0),"Prix invalide",IF(OR(AND(F2807&lt;&gt;"",NOT(ISNUMBER(F2807))),N(F2807)&lt;0,N(F2807)&gt;1),"Remise invalide",IF(K2807="","Taux de TVA manquant",IF(NOT(ISNUMBER(K2807)),"Taux de TVA invalide",IF(COUNTIF(p_rates,K2807)=0,"Taux de TVA hors liste (Paramètres)",IF(N(O2807)&gt;25,"Au-delà de 25 lignes : non imprimée","OK")))))))))))))</f>
        <v/>
      </c>
      <c r="O2807" s="59" t="str">
        <f>IF(A2807="","",COUNTIF($A$6:A2807,A2807))</f>
        <v/>
      </c>
      <c r="P2807" s="62" t="str">
        <f>IF(A2807="","",A2807&amp;"|"&amp;O2807)</f>
        <v/>
      </c>
    </row>
    <row r="2808">
      <c r="A2808" s="60" t="n"/>
      <c r="B2808" s="63" t="n"/>
      <c r="C2808" s="63" t="n"/>
      <c r="D2808" s="67" t="n"/>
      <c r="E2808" s="68" t="n"/>
      <c r="F2808" s="69" t="n"/>
      <c r="G2808" s="70" t="n"/>
      <c r="H2808" s="62" t="str">
        <f>IF(COUNTA(A2808:G2808)=0,"",IF(C2808&lt;&gt;"",C2808,IF(B2808="","",IFERROR(INDEX(pr_des,MATCH(B2808,pr_code,0))&amp;"",""))))</f>
        <v/>
      </c>
      <c r="I2808" s="59" t="str">
        <f>IF(B2808="","",IFERROR(INDEX(pr_unit,MATCH(B2808,pr_code,0))&amp;"",""))</f>
        <v/>
      </c>
      <c r="J2808" s="65" t="str">
        <f>IF(COUNTA(A2808:G2808)=0,"",IF(E2808&lt;&gt;"",E2808,IF(B2808="","",IFERROR(IF(INDEX(pr_price,MATCH(B2808,pr_code,0))="","",INDEX(pr_price,MATCH(B2808,pr_code,0))),""))))</f>
        <v/>
      </c>
      <c r="K2808" s="71" t="str">
        <f>IF(COUNTA(A2808:G2808)=0,"",IF(G2808&lt;&gt;"",G2808,IF(B2808="","",IFERROR(IF(INDEX(pr_rate,MATCH(B2808,pr_code,0))="","",INDEX(pr_rate,MATCH(B2808,pr_code,0))),""))))</f>
        <v/>
      </c>
      <c r="L2808" s="65" t="str">
        <f>IF(COUNTA(A2808:G2808)=0,"",IF(AND(ISNUMBER(D2808),ISNUMBER(J2808)),ROUND(D2808*J2808*(1-N(F2808)),2),0))</f>
        <v/>
      </c>
      <c r="M2808" s="62" t="str">
        <f>IF(A2808="","",IFERROR(INDEX(fa_cname,MATCH(A2808,fa_num,0))&amp;"",""))</f>
        <v/>
      </c>
      <c r="N2808" s="59" t="str">
        <f>IF(COUNTA(A2808:G2808)=0,"",IF(A2808="","N° facture manquant",IF(ISNA(MATCH(A2808,fa_num,0)),"Facture inconnue",IF(AND(B2808&lt;&gt;"",ISNA(MATCH(B2808,pr_code,0))),"Article inconnu",IF(H2808="","Désignation manquante",IF(OR(NOT(ISNUMBER(D2808)),N(D2808)&lt;=0),"Quantité invalide",IF(J2808="","Prix manquant",IF(OR(NOT(ISNUMBER(J2808)),N(J2808)&lt;0),"Prix invalide",IF(OR(AND(F2808&lt;&gt;"",NOT(ISNUMBER(F2808))),N(F2808)&lt;0,N(F2808)&gt;1),"Remise invalide",IF(K2808="","Taux de TVA manquant",IF(NOT(ISNUMBER(K2808)),"Taux de TVA invalide",IF(COUNTIF(p_rates,K2808)=0,"Taux de TVA hors liste (Paramètres)",IF(N(O2808)&gt;25,"Au-delà de 25 lignes : non imprimée","OK")))))))))))))</f>
        <v/>
      </c>
      <c r="O2808" s="59" t="str">
        <f>IF(A2808="","",COUNTIF($A$6:A2808,A2808))</f>
        <v/>
      </c>
      <c r="P2808" s="62" t="str">
        <f>IF(A2808="","",A2808&amp;"|"&amp;O2808)</f>
        <v/>
      </c>
    </row>
    <row r="2809">
      <c r="A2809" s="60" t="n"/>
      <c r="B2809" s="63" t="n"/>
      <c r="C2809" s="63" t="n"/>
      <c r="D2809" s="67" t="n"/>
      <c r="E2809" s="68" t="n"/>
      <c r="F2809" s="69" t="n"/>
      <c r="G2809" s="70" t="n"/>
      <c r="H2809" s="62" t="str">
        <f>IF(COUNTA(A2809:G2809)=0,"",IF(C2809&lt;&gt;"",C2809,IF(B2809="","",IFERROR(INDEX(pr_des,MATCH(B2809,pr_code,0))&amp;"",""))))</f>
        <v/>
      </c>
      <c r="I2809" s="59" t="str">
        <f>IF(B2809="","",IFERROR(INDEX(pr_unit,MATCH(B2809,pr_code,0))&amp;"",""))</f>
        <v/>
      </c>
      <c r="J2809" s="65" t="str">
        <f>IF(COUNTA(A2809:G2809)=0,"",IF(E2809&lt;&gt;"",E2809,IF(B2809="","",IFERROR(IF(INDEX(pr_price,MATCH(B2809,pr_code,0))="","",INDEX(pr_price,MATCH(B2809,pr_code,0))),""))))</f>
        <v/>
      </c>
      <c r="K2809" s="71" t="str">
        <f>IF(COUNTA(A2809:G2809)=0,"",IF(G2809&lt;&gt;"",G2809,IF(B2809="","",IFERROR(IF(INDEX(pr_rate,MATCH(B2809,pr_code,0))="","",INDEX(pr_rate,MATCH(B2809,pr_code,0))),""))))</f>
        <v/>
      </c>
      <c r="L2809" s="65" t="str">
        <f>IF(COUNTA(A2809:G2809)=0,"",IF(AND(ISNUMBER(D2809),ISNUMBER(J2809)),ROUND(D2809*J2809*(1-N(F2809)),2),0))</f>
        <v/>
      </c>
      <c r="M2809" s="62" t="str">
        <f>IF(A2809="","",IFERROR(INDEX(fa_cname,MATCH(A2809,fa_num,0))&amp;"",""))</f>
        <v/>
      </c>
      <c r="N2809" s="59" t="str">
        <f>IF(COUNTA(A2809:G2809)=0,"",IF(A2809="","N° facture manquant",IF(ISNA(MATCH(A2809,fa_num,0)),"Facture inconnue",IF(AND(B2809&lt;&gt;"",ISNA(MATCH(B2809,pr_code,0))),"Article inconnu",IF(H2809="","Désignation manquante",IF(OR(NOT(ISNUMBER(D2809)),N(D2809)&lt;=0),"Quantité invalide",IF(J2809="","Prix manquant",IF(OR(NOT(ISNUMBER(J2809)),N(J2809)&lt;0),"Prix invalide",IF(OR(AND(F2809&lt;&gt;"",NOT(ISNUMBER(F2809))),N(F2809)&lt;0,N(F2809)&gt;1),"Remise invalide",IF(K2809="","Taux de TVA manquant",IF(NOT(ISNUMBER(K2809)),"Taux de TVA invalide",IF(COUNTIF(p_rates,K2809)=0,"Taux de TVA hors liste (Paramètres)",IF(N(O2809)&gt;25,"Au-delà de 25 lignes : non imprimée","OK")))))))))))))</f>
        <v/>
      </c>
      <c r="O2809" s="59" t="str">
        <f>IF(A2809="","",COUNTIF($A$6:A2809,A2809))</f>
        <v/>
      </c>
      <c r="P2809" s="62" t="str">
        <f>IF(A2809="","",A2809&amp;"|"&amp;O2809)</f>
        <v/>
      </c>
    </row>
    <row r="2810">
      <c r="A2810" s="60" t="n"/>
      <c r="B2810" s="63" t="n"/>
      <c r="C2810" s="63" t="n"/>
      <c r="D2810" s="67" t="n"/>
      <c r="E2810" s="68" t="n"/>
      <c r="F2810" s="69" t="n"/>
      <c r="G2810" s="70" t="n"/>
      <c r="H2810" s="62" t="str">
        <f>IF(COUNTA(A2810:G2810)=0,"",IF(C2810&lt;&gt;"",C2810,IF(B2810="","",IFERROR(INDEX(pr_des,MATCH(B2810,pr_code,0))&amp;"",""))))</f>
        <v/>
      </c>
      <c r="I2810" s="59" t="str">
        <f>IF(B2810="","",IFERROR(INDEX(pr_unit,MATCH(B2810,pr_code,0))&amp;"",""))</f>
        <v/>
      </c>
      <c r="J2810" s="65" t="str">
        <f>IF(COUNTA(A2810:G2810)=0,"",IF(E2810&lt;&gt;"",E2810,IF(B2810="","",IFERROR(IF(INDEX(pr_price,MATCH(B2810,pr_code,0))="","",INDEX(pr_price,MATCH(B2810,pr_code,0))),""))))</f>
        <v/>
      </c>
      <c r="K2810" s="71" t="str">
        <f>IF(COUNTA(A2810:G2810)=0,"",IF(G2810&lt;&gt;"",G2810,IF(B2810="","",IFERROR(IF(INDEX(pr_rate,MATCH(B2810,pr_code,0))="","",INDEX(pr_rate,MATCH(B2810,pr_code,0))),""))))</f>
        <v/>
      </c>
      <c r="L2810" s="65" t="str">
        <f>IF(COUNTA(A2810:G2810)=0,"",IF(AND(ISNUMBER(D2810),ISNUMBER(J2810)),ROUND(D2810*J2810*(1-N(F2810)),2),0))</f>
        <v/>
      </c>
      <c r="M2810" s="62" t="str">
        <f>IF(A2810="","",IFERROR(INDEX(fa_cname,MATCH(A2810,fa_num,0))&amp;"",""))</f>
        <v/>
      </c>
      <c r="N2810" s="59" t="str">
        <f>IF(COUNTA(A2810:G2810)=0,"",IF(A2810="","N° facture manquant",IF(ISNA(MATCH(A2810,fa_num,0)),"Facture inconnue",IF(AND(B2810&lt;&gt;"",ISNA(MATCH(B2810,pr_code,0))),"Article inconnu",IF(H2810="","Désignation manquante",IF(OR(NOT(ISNUMBER(D2810)),N(D2810)&lt;=0),"Quantité invalide",IF(J2810="","Prix manquant",IF(OR(NOT(ISNUMBER(J2810)),N(J2810)&lt;0),"Prix invalide",IF(OR(AND(F2810&lt;&gt;"",NOT(ISNUMBER(F2810))),N(F2810)&lt;0,N(F2810)&gt;1),"Remise invalide",IF(K2810="","Taux de TVA manquant",IF(NOT(ISNUMBER(K2810)),"Taux de TVA invalide",IF(COUNTIF(p_rates,K2810)=0,"Taux de TVA hors liste (Paramètres)",IF(N(O2810)&gt;25,"Au-delà de 25 lignes : non imprimée","OK")))))))))))))</f>
        <v/>
      </c>
      <c r="O2810" s="59" t="str">
        <f>IF(A2810="","",COUNTIF($A$6:A2810,A2810))</f>
        <v/>
      </c>
      <c r="P2810" s="62" t="str">
        <f>IF(A2810="","",A2810&amp;"|"&amp;O2810)</f>
        <v/>
      </c>
    </row>
    <row r="2811">
      <c r="A2811" s="60" t="n"/>
      <c r="B2811" s="63" t="n"/>
      <c r="C2811" s="63" t="n"/>
      <c r="D2811" s="67" t="n"/>
      <c r="E2811" s="68" t="n"/>
      <c r="F2811" s="69" t="n"/>
      <c r="G2811" s="70" t="n"/>
      <c r="H2811" s="62" t="str">
        <f>IF(COUNTA(A2811:G2811)=0,"",IF(C2811&lt;&gt;"",C2811,IF(B2811="","",IFERROR(INDEX(pr_des,MATCH(B2811,pr_code,0))&amp;"",""))))</f>
        <v/>
      </c>
      <c r="I2811" s="59" t="str">
        <f>IF(B2811="","",IFERROR(INDEX(pr_unit,MATCH(B2811,pr_code,0))&amp;"",""))</f>
        <v/>
      </c>
      <c r="J2811" s="65" t="str">
        <f>IF(COUNTA(A2811:G2811)=0,"",IF(E2811&lt;&gt;"",E2811,IF(B2811="","",IFERROR(IF(INDEX(pr_price,MATCH(B2811,pr_code,0))="","",INDEX(pr_price,MATCH(B2811,pr_code,0))),""))))</f>
        <v/>
      </c>
      <c r="K2811" s="71" t="str">
        <f>IF(COUNTA(A2811:G2811)=0,"",IF(G2811&lt;&gt;"",G2811,IF(B2811="","",IFERROR(IF(INDEX(pr_rate,MATCH(B2811,pr_code,0))="","",INDEX(pr_rate,MATCH(B2811,pr_code,0))),""))))</f>
        <v/>
      </c>
      <c r="L2811" s="65" t="str">
        <f>IF(COUNTA(A2811:G2811)=0,"",IF(AND(ISNUMBER(D2811),ISNUMBER(J2811)),ROUND(D2811*J2811*(1-N(F2811)),2),0))</f>
        <v/>
      </c>
      <c r="M2811" s="62" t="str">
        <f>IF(A2811="","",IFERROR(INDEX(fa_cname,MATCH(A2811,fa_num,0))&amp;"",""))</f>
        <v/>
      </c>
      <c r="N2811" s="59" t="str">
        <f>IF(COUNTA(A2811:G2811)=0,"",IF(A2811="","N° facture manquant",IF(ISNA(MATCH(A2811,fa_num,0)),"Facture inconnue",IF(AND(B2811&lt;&gt;"",ISNA(MATCH(B2811,pr_code,0))),"Article inconnu",IF(H2811="","Désignation manquante",IF(OR(NOT(ISNUMBER(D2811)),N(D2811)&lt;=0),"Quantité invalide",IF(J2811="","Prix manquant",IF(OR(NOT(ISNUMBER(J2811)),N(J2811)&lt;0),"Prix invalide",IF(OR(AND(F2811&lt;&gt;"",NOT(ISNUMBER(F2811))),N(F2811)&lt;0,N(F2811)&gt;1),"Remise invalide",IF(K2811="","Taux de TVA manquant",IF(NOT(ISNUMBER(K2811)),"Taux de TVA invalide",IF(COUNTIF(p_rates,K2811)=0,"Taux de TVA hors liste (Paramètres)",IF(N(O2811)&gt;25,"Au-delà de 25 lignes : non imprimée","OK")))))))))))))</f>
        <v/>
      </c>
      <c r="O2811" s="59" t="str">
        <f>IF(A2811="","",COUNTIF($A$6:A2811,A2811))</f>
        <v/>
      </c>
      <c r="P2811" s="62" t="str">
        <f>IF(A2811="","",A2811&amp;"|"&amp;O2811)</f>
        <v/>
      </c>
    </row>
    <row r="2812">
      <c r="A2812" s="60" t="n"/>
      <c r="B2812" s="63" t="n"/>
      <c r="C2812" s="63" t="n"/>
      <c r="D2812" s="67" t="n"/>
      <c r="E2812" s="68" t="n"/>
      <c r="F2812" s="69" t="n"/>
      <c r="G2812" s="70" t="n"/>
      <c r="H2812" s="62" t="str">
        <f>IF(COUNTA(A2812:G2812)=0,"",IF(C2812&lt;&gt;"",C2812,IF(B2812="","",IFERROR(INDEX(pr_des,MATCH(B2812,pr_code,0))&amp;"",""))))</f>
        <v/>
      </c>
      <c r="I2812" s="59" t="str">
        <f>IF(B2812="","",IFERROR(INDEX(pr_unit,MATCH(B2812,pr_code,0))&amp;"",""))</f>
        <v/>
      </c>
      <c r="J2812" s="65" t="str">
        <f>IF(COUNTA(A2812:G2812)=0,"",IF(E2812&lt;&gt;"",E2812,IF(B2812="","",IFERROR(IF(INDEX(pr_price,MATCH(B2812,pr_code,0))="","",INDEX(pr_price,MATCH(B2812,pr_code,0))),""))))</f>
        <v/>
      </c>
      <c r="K2812" s="71" t="str">
        <f>IF(COUNTA(A2812:G2812)=0,"",IF(G2812&lt;&gt;"",G2812,IF(B2812="","",IFERROR(IF(INDEX(pr_rate,MATCH(B2812,pr_code,0))="","",INDEX(pr_rate,MATCH(B2812,pr_code,0))),""))))</f>
        <v/>
      </c>
      <c r="L2812" s="65" t="str">
        <f>IF(COUNTA(A2812:G2812)=0,"",IF(AND(ISNUMBER(D2812),ISNUMBER(J2812)),ROUND(D2812*J2812*(1-N(F2812)),2),0))</f>
        <v/>
      </c>
      <c r="M2812" s="62" t="str">
        <f>IF(A2812="","",IFERROR(INDEX(fa_cname,MATCH(A2812,fa_num,0))&amp;"",""))</f>
        <v/>
      </c>
      <c r="N2812" s="59" t="str">
        <f>IF(COUNTA(A2812:G2812)=0,"",IF(A2812="","N° facture manquant",IF(ISNA(MATCH(A2812,fa_num,0)),"Facture inconnue",IF(AND(B2812&lt;&gt;"",ISNA(MATCH(B2812,pr_code,0))),"Article inconnu",IF(H2812="","Désignation manquante",IF(OR(NOT(ISNUMBER(D2812)),N(D2812)&lt;=0),"Quantité invalide",IF(J2812="","Prix manquant",IF(OR(NOT(ISNUMBER(J2812)),N(J2812)&lt;0),"Prix invalide",IF(OR(AND(F2812&lt;&gt;"",NOT(ISNUMBER(F2812))),N(F2812)&lt;0,N(F2812)&gt;1),"Remise invalide",IF(K2812="","Taux de TVA manquant",IF(NOT(ISNUMBER(K2812)),"Taux de TVA invalide",IF(COUNTIF(p_rates,K2812)=0,"Taux de TVA hors liste (Paramètres)",IF(N(O2812)&gt;25,"Au-delà de 25 lignes : non imprimée","OK")))))))))))))</f>
        <v/>
      </c>
      <c r="O2812" s="59" t="str">
        <f>IF(A2812="","",COUNTIF($A$6:A2812,A2812))</f>
        <v/>
      </c>
      <c r="P2812" s="62" t="str">
        <f>IF(A2812="","",A2812&amp;"|"&amp;O2812)</f>
        <v/>
      </c>
    </row>
    <row r="2813">
      <c r="A2813" s="60" t="n"/>
      <c r="B2813" s="63" t="n"/>
      <c r="C2813" s="63" t="n"/>
      <c r="D2813" s="67" t="n"/>
      <c r="E2813" s="68" t="n"/>
      <c r="F2813" s="69" t="n"/>
      <c r="G2813" s="70" t="n"/>
      <c r="H2813" s="62" t="str">
        <f>IF(COUNTA(A2813:G2813)=0,"",IF(C2813&lt;&gt;"",C2813,IF(B2813="","",IFERROR(INDEX(pr_des,MATCH(B2813,pr_code,0))&amp;"",""))))</f>
        <v/>
      </c>
      <c r="I2813" s="59" t="str">
        <f>IF(B2813="","",IFERROR(INDEX(pr_unit,MATCH(B2813,pr_code,0))&amp;"",""))</f>
        <v/>
      </c>
      <c r="J2813" s="65" t="str">
        <f>IF(COUNTA(A2813:G2813)=0,"",IF(E2813&lt;&gt;"",E2813,IF(B2813="","",IFERROR(IF(INDEX(pr_price,MATCH(B2813,pr_code,0))="","",INDEX(pr_price,MATCH(B2813,pr_code,0))),""))))</f>
        <v/>
      </c>
      <c r="K2813" s="71" t="str">
        <f>IF(COUNTA(A2813:G2813)=0,"",IF(G2813&lt;&gt;"",G2813,IF(B2813="","",IFERROR(IF(INDEX(pr_rate,MATCH(B2813,pr_code,0))="","",INDEX(pr_rate,MATCH(B2813,pr_code,0))),""))))</f>
        <v/>
      </c>
      <c r="L2813" s="65" t="str">
        <f>IF(COUNTA(A2813:G2813)=0,"",IF(AND(ISNUMBER(D2813),ISNUMBER(J2813)),ROUND(D2813*J2813*(1-N(F2813)),2),0))</f>
        <v/>
      </c>
      <c r="M2813" s="62" t="str">
        <f>IF(A2813="","",IFERROR(INDEX(fa_cname,MATCH(A2813,fa_num,0))&amp;"",""))</f>
        <v/>
      </c>
      <c r="N2813" s="59" t="str">
        <f>IF(COUNTA(A2813:G2813)=0,"",IF(A2813="","N° facture manquant",IF(ISNA(MATCH(A2813,fa_num,0)),"Facture inconnue",IF(AND(B2813&lt;&gt;"",ISNA(MATCH(B2813,pr_code,0))),"Article inconnu",IF(H2813="","Désignation manquante",IF(OR(NOT(ISNUMBER(D2813)),N(D2813)&lt;=0),"Quantité invalide",IF(J2813="","Prix manquant",IF(OR(NOT(ISNUMBER(J2813)),N(J2813)&lt;0),"Prix invalide",IF(OR(AND(F2813&lt;&gt;"",NOT(ISNUMBER(F2813))),N(F2813)&lt;0,N(F2813)&gt;1),"Remise invalide",IF(K2813="","Taux de TVA manquant",IF(NOT(ISNUMBER(K2813)),"Taux de TVA invalide",IF(COUNTIF(p_rates,K2813)=0,"Taux de TVA hors liste (Paramètres)",IF(N(O2813)&gt;25,"Au-delà de 25 lignes : non imprimée","OK")))))))))))))</f>
        <v/>
      </c>
      <c r="O2813" s="59" t="str">
        <f>IF(A2813="","",COUNTIF($A$6:A2813,A2813))</f>
        <v/>
      </c>
      <c r="P2813" s="62" t="str">
        <f>IF(A2813="","",A2813&amp;"|"&amp;O2813)</f>
        <v/>
      </c>
    </row>
    <row r="2814">
      <c r="A2814" s="60" t="n"/>
      <c r="B2814" s="63" t="n"/>
      <c r="C2814" s="63" t="n"/>
      <c r="D2814" s="67" t="n"/>
      <c r="E2814" s="68" t="n"/>
      <c r="F2814" s="69" t="n"/>
      <c r="G2814" s="70" t="n"/>
      <c r="H2814" s="62" t="str">
        <f>IF(COUNTA(A2814:G2814)=0,"",IF(C2814&lt;&gt;"",C2814,IF(B2814="","",IFERROR(INDEX(pr_des,MATCH(B2814,pr_code,0))&amp;"",""))))</f>
        <v/>
      </c>
      <c r="I2814" s="59" t="str">
        <f>IF(B2814="","",IFERROR(INDEX(pr_unit,MATCH(B2814,pr_code,0))&amp;"",""))</f>
        <v/>
      </c>
      <c r="J2814" s="65" t="str">
        <f>IF(COUNTA(A2814:G2814)=0,"",IF(E2814&lt;&gt;"",E2814,IF(B2814="","",IFERROR(IF(INDEX(pr_price,MATCH(B2814,pr_code,0))="","",INDEX(pr_price,MATCH(B2814,pr_code,0))),""))))</f>
        <v/>
      </c>
      <c r="K2814" s="71" t="str">
        <f>IF(COUNTA(A2814:G2814)=0,"",IF(G2814&lt;&gt;"",G2814,IF(B2814="","",IFERROR(IF(INDEX(pr_rate,MATCH(B2814,pr_code,0))="","",INDEX(pr_rate,MATCH(B2814,pr_code,0))),""))))</f>
        <v/>
      </c>
      <c r="L2814" s="65" t="str">
        <f>IF(COUNTA(A2814:G2814)=0,"",IF(AND(ISNUMBER(D2814),ISNUMBER(J2814)),ROUND(D2814*J2814*(1-N(F2814)),2),0))</f>
        <v/>
      </c>
      <c r="M2814" s="62" t="str">
        <f>IF(A2814="","",IFERROR(INDEX(fa_cname,MATCH(A2814,fa_num,0))&amp;"",""))</f>
        <v/>
      </c>
      <c r="N2814" s="59" t="str">
        <f>IF(COUNTA(A2814:G2814)=0,"",IF(A2814="","N° facture manquant",IF(ISNA(MATCH(A2814,fa_num,0)),"Facture inconnue",IF(AND(B2814&lt;&gt;"",ISNA(MATCH(B2814,pr_code,0))),"Article inconnu",IF(H2814="","Désignation manquante",IF(OR(NOT(ISNUMBER(D2814)),N(D2814)&lt;=0),"Quantité invalide",IF(J2814="","Prix manquant",IF(OR(NOT(ISNUMBER(J2814)),N(J2814)&lt;0),"Prix invalide",IF(OR(AND(F2814&lt;&gt;"",NOT(ISNUMBER(F2814))),N(F2814)&lt;0,N(F2814)&gt;1),"Remise invalide",IF(K2814="","Taux de TVA manquant",IF(NOT(ISNUMBER(K2814)),"Taux de TVA invalide",IF(COUNTIF(p_rates,K2814)=0,"Taux de TVA hors liste (Paramètres)",IF(N(O2814)&gt;25,"Au-delà de 25 lignes : non imprimée","OK")))))))))))))</f>
        <v/>
      </c>
      <c r="O2814" s="59" t="str">
        <f>IF(A2814="","",COUNTIF($A$6:A2814,A2814))</f>
        <v/>
      </c>
      <c r="P2814" s="62" t="str">
        <f>IF(A2814="","",A2814&amp;"|"&amp;O2814)</f>
        <v/>
      </c>
    </row>
    <row r="2815">
      <c r="A2815" s="60" t="n"/>
      <c r="B2815" s="63" t="n"/>
      <c r="C2815" s="63" t="n"/>
      <c r="D2815" s="67" t="n"/>
      <c r="E2815" s="68" t="n"/>
      <c r="F2815" s="69" t="n"/>
      <c r="G2815" s="70" t="n"/>
      <c r="H2815" s="62" t="str">
        <f>IF(COUNTA(A2815:G2815)=0,"",IF(C2815&lt;&gt;"",C2815,IF(B2815="","",IFERROR(INDEX(pr_des,MATCH(B2815,pr_code,0))&amp;"",""))))</f>
        <v/>
      </c>
      <c r="I2815" s="59" t="str">
        <f>IF(B2815="","",IFERROR(INDEX(pr_unit,MATCH(B2815,pr_code,0))&amp;"",""))</f>
        <v/>
      </c>
      <c r="J2815" s="65" t="str">
        <f>IF(COUNTA(A2815:G2815)=0,"",IF(E2815&lt;&gt;"",E2815,IF(B2815="","",IFERROR(IF(INDEX(pr_price,MATCH(B2815,pr_code,0))="","",INDEX(pr_price,MATCH(B2815,pr_code,0))),""))))</f>
        <v/>
      </c>
      <c r="K2815" s="71" t="str">
        <f>IF(COUNTA(A2815:G2815)=0,"",IF(G2815&lt;&gt;"",G2815,IF(B2815="","",IFERROR(IF(INDEX(pr_rate,MATCH(B2815,pr_code,0))="","",INDEX(pr_rate,MATCH(B2815,pr_code,0))),""))))</f>
        <v/>
      </c>
      <c r="L2815" s="65" t="str">
        <f>IF(COUNTA(A2815:G2815)=0,"",IF(AND(ISNUMBER(D2815),ISNUMBER(J2815)),ROUND(D2815*J2815*(1-N(F2815)),2),0))</f>
        <v/>
      </c>
      <c r="M2815" s="62" t="str">
        <f>IF(A2815="","",IFERROR(INDEX(fa_cname,MATCH(A2815,fa_num,0))&amp;"",""))</f>
        <v/>
      </c>
      <c r="N2815" s="59" t="str">
        <f>IF(COUNTA(A2815:G2815)=0,"",IF(A2815="","N° facture manquant",IF(ISNA(MATCH(A2815,fa_num,0)),"Facture inconnue",IF(AND(B2815&lt;&gt;"",ISNA(MATCH(B2815,pr_code,0))),"Article inconnu",IF(H2815="","Désignation manquante",IF(OR(NOT(ISNUMBER(D2815)),N(D2815)&lt;=0),"Quantité invalide",IF(J2815="","Prix manquant",IF(OR(NOT(ISNUMBER(J2815)),N(J2815)&lt;0),"Prix invalide",IF(OR(AND(F2815&lt;&gt;"",NOT(ISNUMBER(F2815))),N(F2815)&lt;0,N(F2815)&gt;1),"Remise invalide",IF(K2815="","Taux de TVA manquant",IF(NOT(ISNUMBER(K2815)),"Taux de TVA invalide",IF(COUNTIF(p_rates,K2815)=0,"Taux de TVA hors liste (Paramètres)",IF(N(O2815)&gt;25,"Au-delà de 25 lignes : non imprimée","OK")))))))))))))</f>
        <v/>
      </c>
      <c r="O2815" s="59" t="str">
        <f>IF(A2815="","",COUNTIF($A$6:A2815,A2815))</f>
        <v/>
      </c>
      <c r="P2815" s="62" t="str">
        <f>IF(A2815="","",A2815&amp;"|"&amp;O2815)</f>
        <v/>
      </c>
    </row>
    <row r="2816">
      <c r="A2816" s="60" t="n"/>
      <c r="B2816" s="63" t="n"/>
      <c r="C2816" s="63" t="n"/>
      <c r="D2816" s="67" t="n"/>
      <c r="E2816" s="68" t="n"/>
      <c r="F2816" s="69" t="n"/>
      <c r="G2816" s="70" t="n"/>
      <c r="H2816" s="62" t="str">
        <f>IF(COUNTA(A2816:G2816)=0,"",IF(C2816&lt;&gt;"",C2816,IF(B2816="","",IFERROR(INDEX(pr_des,MATCH(B2816,pr_code,0))&amp;"",""))))</f>
        <v/>
      </c>
      <c r="I2816" s="59" t="str">
        <f>IF(B2816="","",IFERROR(INDEX(pr_unit,MATCH(B2816,pr_code,0))&amp;"",""))</f>
        <v/>
      </c>
      <c r="J2816" s="65" t="str">
        <f>IF(COUNTA(A2816:G2816)=0,"",IF(E2816&lt;&gt;"",E2816,IF(B2816="","",IFERROR(IF(INDEX(pr_price,MATCH(B2816,pr_code,0))="","",INDEX(pr_price,MATCH(B2816,pr_code,0))),""))))</f>
        <v/>
      </c>
      <c r="K2816" s="71" t="str">
        <f>IF(COUNTA(A2816:G2816)=0,"",IF(G2816&lt;&gt;"",G2816,IF(B2816="","",IFERROR(IF(INDEX(pr_rate,MATCH(B2816,pr_code,0))="","",INDEX(pr_rate,MATCH(B2816,pr_code,0))),""))))</f>
        <v/>
      </c>
      <c r="L2816" s="65" t="str">
        <f>IF(COUNTA(A2816:G2816)=0,"",IF(AND(ISNUMBER(D2816),ISNUMBER(J2816)),ROUND(D2816*J2816*(1-N(F2816)),2),0))</f>
        <v/>
      </c>
      <c r="M2816" s="62" t="str">
        <f>IF(A2816="","",IFERROR(INDEX(fa_cname,MATCH(A2816,fa_num,0))&amp;"",""))</f>
        <v/>
      </c>
      <c r="N2816" s="59" t="str">
        <f>IF(COUNTA(A2816:G2816)=0,"",IF(A2816="","N° facture manquant",IF(ISNA(MATCH(A2816,fa_num,0)),"Facture inconnue",IF(AND(B2816&lt;&gt;"",ISNA(MATCH(B2816,pr_code,0))),"Article inconnu",IF(H2816="","Désignation manquante",IF(OR(NOT(ISNUMBER(D2816)),N(D2816)&lt;=0),"Quantité invalide",IF(J2816="","Prix manquant",IF(OR(NOT(ISNUMBER(J2816)),N(J2816)&lt;0),"Prix invalide",IF(OR(AND(F2816&lt;&gt;"",NOT(ISNUMBER(F2816))),N(F2816)&lt;0,N(F2816)&gt;1),"Remise invalide",IF(K2816="","Taux de TVA manquant",IF(NOT(ISNUMBER(K2816)),"Taux de TVA invalide",IF(COUNTIF(p_rates,K2816)=0,"Taux de TVA hors liste (Paramètres)",IF(N(O2816)&gt;25,"Au-delà de 25 lignes : non imprimée","OK")))))))))))))</f>
        <v/>
      </c>
      <c r="O2816" s="59" t="str">
        <f>IF(A2816="","",COUNTIF($A$6:A2816,A2816))</f>
        <v/>
      </c>
      <c r="P2816" s="62" t="str">
        <f>IF(A2816="","",A2816&amp;"|"&amp;O2816)</f>
        <v/>
      </c>
    </row>
    <row r="2817">
      <c r="A2817" s="60" t="n"/>
      <c r="B2817" s="63" t="n"/>
      <c r="C2817" s="63" t="n"/>
      <c r="D2817" s="67" t="n"/>
      <c r="E2817" s="68" t="n"/>
      <c r="F2817" s="69" t="n"/>
      <c r="G2817" s="70" t="n"/>
      <c r="H2817" s="62" t="str">
        <f>IF(COUNTA(A2817:G2817)=0,"",IF(C2817&lt;&gt;"",C2817,IF(B2817="","",IFERROR(INDEX(pr_des,MATCH(B2817,pr_code,0))&amp;"",""))))</f>
        <v/>
      </c>
      <c r="I2817" s="59" t="str">
        <f>IF(B2817="","",IFERROR(INDEX(pr_unit,MATCH(B2817,pr_code,0))&amp;"",""))</f>
        <v/>
      </c>
      <c r="J2817" s="65" t="str">
        <f>IF(COUNTA(A2817:G2817)=0,"",IF(E2817&lt;&gt;"",E2817,IF(B2817="","",IFERROR(IF(INDEX(pr_price,MATCH(B2817,pr_code,0))="","",INDEX(pr_price,MATCH(B2817,pr_code,0))),""))))</f>
        <v/>
      </c>
      <c r="K2817" s="71" t="str">
        <f>IF(COUNTA(A2817:G2817)=0,"",IF(G2817&lt;&gt;"",G2817,IF(B2817="","",IFERROR(IF(INDEX(pr_rate,MATCH(B2817,pr_code,0))="","",INDEX(pr_rate,MATCH(B2817,pr_code,0))),""))))</f>
        <v/>
      </c>
      <c r="L2817" s="65" t="str">
        <f>IF(COUNTA(A2817:G2817)=0,"",IF(AND(ISNUMBER(D2817),ISNUMBER(J2817)),ROUND(D2817*J2817*(1-N(F2817)),2),0))</f>
        <v/>
      </c>
      <c r="M2817" s="62" t="str">
        <f>IF(A2817="","",IFERROR(INDEX(fa_cname,MATCH(A2817,fa_num,0))&amp;"",""))</f>
        <v/>
      </c>
      <c r="N2817" s="59" t="str">
        <f>IF(COUNTA(A2817:G2817)=0,"",IF(A2817="","N° facture manquant",IF(ISNA(MATCH(A2817,fa_num,0)),"Facture inconnue",IF(AND(B2817&lt;&gt;"",ISNA(MATCH(B2817,pr_code,0))),"Article inconnu",IF(H2817="","Désignation manquante",IF(OR(NOT(ISNUMBER(D2817)),N(D2817)&lt;=0),"Quantité invalide",IF(J2817="","Prix manquant",IF(OR(NOT(ISNUMBER(J2817)),N(J2817)&lt;0),"Prix invalide",IF(OR(AND(F2817&lt;&gt;"",NOT(ISNUMBER(F2817))),N(F2817)&lt;0,N(F2817)&gt;1),"Remise invalide",IF(K2817="","Taux de TVA manquant",IF(NOT(ISNUMBER(K2817)),"Taux de TVA invalide",IF(COUNTIF(p_rates,K2817)=0,"Taux de TVA hors liste (Paramètres)",IF(N(O2817)&gt;25,"Au-delà de 25 lignes : non imprimée","OK")))))))))))))</f>
        <v/>
      </c>
      <c r="O2817" s="59" t="str">
        <f>IF(A2817="","",COUNTIF($A$6:A2817,A2817))</f>
        <v/>
      </c>
      <c r="P2817" s="62" t="str">
        <f>IF(A2817="","",A2817&amp;"|"&amp;O2817)</f>
        <v/>
      </c>
    </row>
    <row r="2818">
      <c r="A2818" s="60" t="n"/>
      <c r="B2818" s="63" t="n"/>
      <c r="C2818" s="63" t="n"/>
      <c r="D2818" s="67" t="n"/>
      <c r="E2818" s="68" t="n"/>
      <c r="F2818" s="69" t="n"/>
      <c r="G2818" s="70" t="n"/>
      <c r="H2818" s="62" t="str">
        <f>IF(COUNTA(A2818:G2818)=0,"",IF(C2818&lt;&gt;"",C2818,IF(B2818="","",IFERROR(INDEX(pr_des,MATCH(B2818,pr_code,0))&amp;"",""))))</f>
        <v/>
      </c>
      <c r="I2818" s="59" t="str">
        <f>IF(B2818="","",IFERROR(INDEX(pr_unit,MATCH(B2818,pr_code,0))&amp;"",""))</f>
        <v/>
      </c>
      <c r="J2818" s="65" t="str">
        <f>IF(COUNTA(A2818:G2818)=0,"",IF(E2818&lt;&gt;"",E2818,IF(B2818="","",IFERROR(IF(INDEX(pr_price,MATCH(B2818,pr_code,0))="","",INDEX(pr_price,MATCH(B2818,pr_code,0))),""))))</f>
        <v/>
      </c>
      <c r="K2818" s="71" t="str">
        <f>IF(COUNTA(A2818:G2818)=0,"",IF(G2818&lt;&gt;"",G2818,IF(B2818="","",IFERROR(IF(INDEX(pr_rate,MATCH(B2818,pr_code,0))="","",INDEX(pr_rate,MATCH(B2818,pr_code,0))),""))))</f>
        <v/>
      </c>
      <c r="L2818" s="65" t="str">
        <f>IF(COUNTA(A2818:G2818)=0,"",IF(AND(ISNUMBER(D2818),ISNUMBER(J2818)),ROUND(D2818*J2818*(1-N(F2818)),2),0))</f>
        <v/>
      </c>
      <c r="M2818" s="62" t="str">
        <f>IF(A2818="","",IFERROR(INDEX(fa_cname,MATCH(A2818,fa_num,0))&amp;"",""))</f>
        <v/>
      </c>
      <c r="N2818" s="59" t="str">
        <f>IF(COUNTA(A2818:G2818)=0,"",IF(A2818="","N° facture manquant",IF(ISNA(MATCH(A2818,fa_num,0)),"Facture inconnue",IF(AND(B2818&lt;&gt;"",ISNA(MATCH(B2818,pr_code,0))),"Article inconnu",IF(H2818="","Désignation manquante",IF(OR(NOT(ISNUMBER(D2818)),N(D2818)&lt;=0),"Quantité invalide",IF(J2818="","Prix manquant",IF(OR(NOT(ISNUMBER(J2818)),N(J2818)&lt;0),"Prix invalide",IF(OR(AND(F2818&lt;&gt;"",NOT(ISNUMBER(F2818))),N(F2818)&lt;0,N(F2818)&gt;1),"Remise invalide",IF(K2818="","Taux de TVA manquant",IF(NOT(ISNUMBER(K2818)),"Taux de TVA invalide",IF(COUNTIF(p_rates,K2818)=0,"Taux de TVA hors liste (Paramètres)",IF(N(O2818)&gt;25,"Au-delà de 25 lignes : non imprimée","OK")))))))))))))</f>
        <v/>
      </c>
      <c r="O2818" s="59" t="str">
        <f>IF(A2818="","",COUNTIF($A$6:A2818,A2818))</f>
        <v/>
      </c>
      <c r="P2818" s="62" t="str">
        <f>IF(A2818="","",A2818&amp;"|"&amp;O2818)</f>
        <v/>
      </c>
    </row>
    <row r="2819">
      <c r="A2819" s="60" t="n"/>
      <c r="B2819" s="63" t="n"/>
      <c r="C2819" s="63" t="n"/>
      <c r="D2819" s="67" t="n"/>
      <c r="E2819" s="68" t="n"/>
      <c r="F2819" s="69" t="n"/>
      <c r="G2819" s="70" t="n"/>
      <c r="H2819" s="62" t="str">
        <f>IF(COUNTA(A2819:G2819)=0,"",IF(C2819&lt;&gt;"",C2819,IF(B2819="","",IFERROR(INDEX(pr_des,MATCH(B2819,pr_code,0))&amp;"",""))))</f>
        <v/>
      </c>
      <c r="I2819" s="59" t="str">
        <f>IF(B2819="","",IFERROR(INDEX(pr_unit,MATCH(B2819,pr_code,0))&amp;"",""))</f>
        <v/>
      </c>
      <c r="J2819" s="65" t="str">
        <f>IF(COUNTA(A2819:G2819)=0,"",IF(E2819&lt;&gt;"",E2819,IF(B2819="","",IFERROR(IF(INDEX(pr_price,MATCH(B2819,pr_code,0))="","",INDEX(pr_price,MATCH(B2819,pr_code,0))),""))))</f>
        <v/>
      </c>
      <c r="K2819" s="71" t="str">
        <f>IF(COUNTA(A2819:G2819)=0,"",IF(G2819&lt;&gt;"",G2819,IF(B2819="","",IFERROR(IF(INDEX(pr_rate,MATCH(B2819,pr_code,0))="","",INDEX(pr_rate,MATCH(B2819,pr_code,0))),""))))</f>
        <v/>
      </c>
      <c r="L2819" s="65" t="str">
        <f>IF(COUNTA(A2819:G2819)=0,"",IF(AND(ISNUMBER(D2819),ISNUMBER(J2819)),ROUND(D2819*J2819*(1-N(F2819)),2),0))</f>
        <v/>
      </c>
      <c r="M2819" s="62" t="str">
        <f>IF(A2819="","",IFERROR(INDEX(fa_cname,MATCH(A2819,fa_num,0))&amp;"",""))</f>
        <v/>
      </c>
      <c r="N2819" s="59" t="str">
        <f>IF(COUNTA(A2819:G2819)=0,"",IF(A2819="","N° facture manquant",IF(ISNA(MATCH(A2819,fa_num,0)),"Facture inconnue",IF(AND(B2819&lt;&gt;"",ISNA(MATCH(B2819,pr_code,0))),"Article inconnu",IF(H2819="","Désignation manquante",IF(OR(NOT(ISNUMBER(D2819)),N(D2819)&lt;=0),"Quantité invalide",IF(J2819="","Prix manquant",IF(OR(NOT(ISNUMBER(J2819)),N(J2819)&lt;0),"Prix invalide",IF(OR(AND(F2819&lt;&gt;"",NOT(ISNUMBER(F2819))),N(F2819)&lt;0,N(F2819)&gt;1),"Remise invalide",IF(K2819="","Taux de TVA manquant",IF(NOT(ISNUMBER(K2819)),"Taux de TVA invalide",IF(COUNTIF(p_rates,K2819)=0,"Taux de TVA hors liste (Paramètres)",IF(N(O2819)&gt;25,"Au-delà de 25 lignes : non imprimée","OK")))))))))))))</f>
        <v/>
      </c>
      <c r="O2819" s="59" t="str">
        <f>IF(A2819="","",COUNTIF($A$6:A2819,A2819))</f>
        <v/>
      </c>
      <c r="P2819" s="62" t="str">
        <f>IF(A2819="","",A2819&amp;"|"&amp;O2819)</f>
        <v/>
      </c>
    </row>
    <row r="2820">
      <c r="A2820" s="60" t="n"/>
      <c r="B2820" s="63" t="n"/>
      <c r="C2820" s="63" t="n"/>
      <c r="D2820" s="67" t="n"/>
      <c r="E2820" s="68" t="n"/>
      <c r="F2820" s="69" t="n"/>
      <c r="G2820" s="70" t="n"/>
      <c r="H2820" s="62" t="str">
        <f>IF(COUNTA(A2820:G2820)=0,"",IF(C2820&lt;&gt;"",C2820,IF(B2820="","",IFERROR(INDEX(pr_des,MATCH(B2820,pr_code,0))&amp;"",""))))</f>
        <v/>
      </c>
      <c r="I2820" s="59" t="str">
        <f>IF(B2820="","",IFERROR(INDEX(pr_unit,MATCH(B2820,pr_code,0))&amp;"",""))</f>
        <v/>
      </c>
      <c r="J2820" s="65" t="str">
        <f>IF(COUNTA(A2820:G2820)=0,"",IF(E2820&lt;&gt;"",E2820,IF(B2820="","",IFERROR(IF(INDEX(pr_price,MATCH(B2820,pr_code,0))="","",INDEX(pr_price,MATCH(B2820,pr_code,0))),""))))</f>
        <v/>
      </c>
      <c r="K2820" s="71" t="str">
        <f>IF(COUNTA(A2820:G2820)=0,"",IF(G2820&lt;&gt;"",G2820,IF(B2820="","",IFERROR(IF(INDEX(pr_rate,MATCH(B2820,pr_code,0))="","",INDEX(pr_rate,MATCH(B2820,pr_code,0))),""))))</f>
        <v/>
      </c>
      <c r="L2820" s="65" t="str">
        <f>IF(COUNTA(A2820:G2820)=0,"",IF(AND(ISNUMBER(D2820),ISNUMBER(J2820)),ROUND(D2820*J2820*(1-N(F2820)),2),0))</f>
        <v/>
      </c>
      <c r="M2820" s="62" t="str">
        <f>IF(A2820="","",IFERROR(INDEX(fa_cname,MATCH(A2820,fa_num,0))&amp;"",""))</f>
        <v/>
      </c>
      <c r="N2820" s="59" t="str">
        <f>IF(COUNTA(A2820:G2820)=0,"",IF(A2820="","N° facture manquant",IF(ISNA(MATCH(A2820,fa_num,0)),"Facture inconnue",IF(AND(B2820&lt;&gt;"",ISNA(MATCH(B2820,pr_code,0))),"Article inconnu",IF(H2820="","Désignation manquante",IF(OR(NOT(ISNUMBER(D2820)),N(D2820)&lt;=0),"Quantité invalide",IF(J2820="","Prix manquant",IF(OR(NOT(ISNUMBER(J2820)),N(J2820)&lt;0),"Prix invalide",IF(OR(AND(F2820&lt;&gt;"",NOT(ISNUMBER(F2820))),N(F2820)&lt;0,N(F2820)&gt;1),"Remise invalide",IF(K2820="","Taux de TVA manquant",IF(NOT(ISNUMBER(K2820)),"Taux de TVA invalide",IF(COUNTIF(p_rates,K2820)=0,"Taux de TVA hors liste (Paramètres)",IF(N(O2820)&gt;25,"Au-delà de 25 lignes : non imprimée","OK")))))))))))))</f>
        <v/>
      </c>
      <c r="O2820" s="59" t="str">
        <f>IF(A2820="","",COUNTIF($A$6:A2820,A2820))</f>
        <v/>
      </c>
      <c r="P2820" s="62" t="str">
        <f>IF(A2820="","",A2820&amp;"|"&amp;O2820)</f>
        <v/>
      </c>
    </row>
    <row r="2821">
      <c r="A2821" s="60" t="n"/>
      <c r="B2821" s="63" t="n"/>
      <c r="C2821" s="63" t="n"/>
      <c r="D2821" s="67" t="n"/>
      <c r="E2821" s="68" t="n"/>
      <c r="F2821" s="69" t="n"/>
      <c r="G2821" s="70" t="n"/>
      <c r="H2821" s="62" t="str">
        <f>IF(COUNTA(A2821:G2821)=0,"",IF(C2821&lt;&gt;"",C2821,IF(B2821="","",IFERROR(INDEX(pr_des,MATCH(B2821,pr_code,0))&amp;"",""))))</f>
        <v/>
      </c>
      <c r="I2821" s="59" t="str">
        <f>IF(B2821="","",IFERROR(INDEX(pr_unit,MATCH(B2821,pr_code,0))&amp;"",""))</f>
        <v/>
      </c>
      <c r="J2821" s="65" t="str">
        <f>IF(COUNTA(A2821:G2821)=0,"",IF(E2821&lt;&gt;"",E2821,IF(B2821="","",IFERROR(IF(INDEX(pr_price,MATCH(B2821,pr_code,0))="","",INDEX(pr_price,MATCH(B2821,pr_code,0))),""))))</f>
        <v/>
      </c>
      <c r="K2821" s="71" t="str">
        <f>IF(COUNTA(A2821:G2821)=0,"",IF(G2821&lt;&gt;"",G2821,IF(B2821="","",IFERROR(IF(INDEX(pr_rate,MATCH(B2821,pr_code,0))="","",INDEX(pr_rate,MATCH(B2821,pr_code,0))),""))))</f>
        <v/>
      </c>
      <c r="L2821" s="65" t="str">
        <f>IF(COUNTA(A2821:G2821)=0,"",IF(AND(ISNUMBER(D2821),ISNUMBER(J2821)),ROUND(D2821*J2821*(1-N(F2821)),2),0))</f>
        <v/>
      </c>
      <c r="M2821" s="62" t="str">
        <f>IF(A2821="","",IFERROR(INDEX(fa_cname,MATCH(A2821,fa_num,0))&amp;"",""))</f>
        <v/>
      </c>
      <c r="N2821" s="59" t="str">
        <f>IF(COUNTA(A2821:G2821)=0,"",IF(A2821="","N° facture manquant",IF(ISNA(MATCH(A2821,fa_num,0)),"Facture inconnue",IF(AND(B2821&lt;&gt;"",ISNA(MATCH(B2821,pr_code,0))),"Article inconnu",IF(H2821="","Désignation manquante",IF(OR(NOT(ISNUMBER(D2821)),N(D2821)&lt;=0),"Quantité invalide",IF(J2821="","Prix manquant",IF(OR(NOT(ISNUMBER(J2821)),N(J2821)&lt;0),"Prix invalide",IF(OR(AND(F2821&lt;&gt;"",NOT(ISNUMBER(F2821))),N(F2821)&lt;0,N(F2821)&gt;1),"Remise invalide",IF(K2821="","Taux de TVA manquant",IF(NOT(ISNUMBER(K2821)),"Taux de TVA invalide",IF(COUNTIF(p_rates,K2821)=0,"Taux de TVA hors liste (Paramètres)",IF(N(O2821)&gt;25,"Au-delà de 25 lignes : non imprimée","OK")))))))))))))</f>
        <v/>
      </c>
      <c r="O2821" s="59" t="str">
        <f>IF(A2821="","",COUNTIF($A$6:A2821,A2821))</f>
        <v/>
      </c>
      <c r="P2821" s="62" t="str">
        <f>IF(A2821="","",A2821&amp;"|"&amp;O2821)</f>
        <v/>
      </c>
    </row>
    <row r="2822">
      <c r="A2822" s="60" t="n"/>
      <c r="B2822" s="63" t="n"/>
      <c r="C2822" s="63" t="n"/>
      <c r="D2822" s="67" t="n"/>
      <c r="E2822" s="68" t="n"/>
      <c r="F2822" s="69" t="n"/>
      <c r="G2822" s="70" t="n"/>
      <c r="H2822" s="62" t="str">
        <f>IF(COUNTA(A2822:G2822)=0,"",IF(C2822&lt;&gt;"",C2822,IF(B2822="","",IFERROR(INDEX(pr_des,MATCH(B2822,pr_code,0))&amp;"",""))))</f>
        <v/>
      </c>
      <c r="I2822" s="59" t="str">
        <f>IF(B2822="","",IFERROR(INDEX(pr_unit,MATCH(B2822,pr_code,0))&amp;"",""))</f>
        <v/>
      </c>
      <c r="J2822" s="65" t="str">
        <f>IF(COUNTA(A2822:G2822)=0,"",IF(E2822&lt;&gt;"",E2822,IF(B2822="","",IFERROR(IF(INDEX(pr_price,MATCH(B2822,pr_code,0))="","",INDEX(pr_price,MATCH(B2822,pr_code,0))),""))))</f>
        <v/>
      </c>
      <c r="K2822" s="71" t="str">
        <f>IF(COUNTA(A2822:G2822)=0,"",IF(G2822&lt;&gt;"",G2822,IF(B2822="","",IFERROR(IF(INDEX(pr_rate,MATCH(B2822,pr_code,0))="","",INDEX(pr_rate,MATCH(B2822,pr_code,0))),""))))</f>
        <v/>
      </c>
      <c r="L2822" s="65" t="str">
        <f>IF(COUNTA(A2822:G2822)=0,"",IF(AND(ISNUMBER(D2822),ISNUMBER(J2822)),ROUND(D2822*J2822*(1-N(F2822)),2),0))</f>
        <v/>
      </c>
      <c r="M2822" s="62" t="str">
        <f>IF(A2822="","",IFERROR(INDEX(fa_cname,MATCH(A2822,fa_num,0))&amp;"",""))</f>
        <v/>
      </c>
      <c r="N2822" s="59" t="str">
        <f>IF(COUNTA(A2822:G2822)=0,"",IF(A2822="","N° facture manquant",IF(ISNA(MATCH(A2822,fa_num,0)),"Facture inconnue",IF(AND(B2822&lt;&gt;"",ISNA(MATCH(B2822,pr_code,0))),"Article inconnu",IF(H2822="","Désignation manquante",IF(OR(NOT(ISNUMBER(D2822)),N(D2822)&lt;=0),"Quantité invalide",IF(J2822="","Prix manquant",IF(OR(NOT(ISNUMBER(J2822)),N(J2822)&lt;0),"Prix invalide",IF(OR(AND(F2822&lt;&gt;"",NOT(ISNUMBER(F2822))),N(F2822)&lt;0,N(F2822)&gt;1),"Remise invalide",IF(K2822="","Taux de TVA manquant",IF(NOT(ISNUMBER(K2822)),"Taux de TVA invalide",IF(COUNTIF(p_rates,K2822)=0,"Taux de TVA hors liste (Paramètres)",IF(N(O2822)&gt;25,"Au-delà de 25 lignes : non imprimée","OK")))))))))))))</f>
        <v/>
      </c>
      <c r="O2822" s="59" t="str">
        <f>IF(A2822="","",COUNTIF($A$6:A2822,A2822))</f>
        <v/>
      </c>
      <c r="P2822" s="62" t="str">
        <f>IF(A2822="","",A2822&amp;"|"&amp;O2822)</f>
        <v/>
      </c>
    </row>
    <row r="2823">
      <c r="A2823" s="60" t="n"/>
      <c r="B2823" s="63" t="n"/>
      <c r="C2823" s="63" t="n"/>
      <c r="D2823" s="67" t="n"/>
      <c r="E2823" s="68" t="n"/>
      <c r="F2823" s="69" t="n"/>
      <c r="G2823" s="70" t="n"/>
      <c r="H2823" s="62" t="str">
        <f>IF(COUNTA(A2823:G2823)=0,"",IF(C2823&lt;&gt;"",C2823,IF(B2823="","",IFERROR(INDEX(pr_des,MATCH(B2823,pr_code,0))&amp;"",""))))</f>
        <v/>
      </c>
      <c r="I2823" s="59" t="str">
        <f>IF(B2823="","",IFERROR(INDEX(pr_unit,MATCH(B2823,pr_code,0))&amp;"",""))</f>
        <v/>
      </c>
      <c r="J2823" s="65" t="str">
        <f>IF(COUNTA(A2823:G2823)=0,"",IF(E2823&lt;&gt;"",E2823,IF(B2823="","",IFERROR(IF(INDEX(pr_price,MATCH(B2823,pr_code,0))="","",INDEX(pr_price,MATCH(B2823,pr_code,0))),""))))</f>
        <v/>
      </c>
      <c r="K2823" s="71" t="str">
        <f>IF(COUNTA(A2823:G2823)=0,"",IF(G2823&lt;&gt;"",G2823,IF(B2823="","",IFERROR(IF(INDEX(pr_rate,MATCH(B2823,pr_code,0))="","",INDEX(pr_rate,MATCH(B2823,pr_code,0))),""))))</f>
        <v/>
      </c>
      <c r="L2823" s="65" t="str">
        <f>IF(COUNTA(A2823:G2823)=0,"",IF(AND(ISNUMBER(D2823),ISNUMBER(J2823)),ROUND(D2823*J2823*(1-N(F2823)),2),0))</f>
        <v/>
      </c>
      <c r="M2823" s="62" t="str">
        <f>IF(A2823="","",IFERROR(INDEX(fa_cname,MATCH(A2823,fa_num,0))&amp;"",""))</f>
        <v/>
      </c>
      <c r="N2823" s="59" t="str">
        <f>IF(COUNTA(A2823:G2823)=0,"",IF(A2823="","N° facture manquant",IF(ISNA(MATCH(A2823,fa_num,0)),"Facture inconnue",IF(AND(B2823&lt;&gt;"",ISNA(MATCH(B2823,pr_code,0))),"Article inconnu",IF(H2823="","Désignation manquante",IF(OR(NOT(ISNUMBER(D2823)),N(D2823)&lt;=0),"Quantité invalide",IF(J2823="","Prix manquant",IF(OR(NOT(ISNUMBER(J2823)),N(J2823)&lt;0),"Prix invalide",IF(OR(AND(F2823&lt;&gt;"",NOT(ISNUMBER(F2823))),N(F2823)&lt;0,N(F2823)&gt;1),"Remise invalide",IF(K2823="","Taux de TVA manquant",IF(NOT(ISNUMBER(K2823)),"Taux de TVA invalide",IF(COUNTIF(p_rates,K2823)=0,"Taux de TVA hors liste (Paramètres)",IF(N(O2823)&gt;25,"Au-delà de 25 lignes : non imprimée","OK")))))))))))))</f>
        <v/>
      </c>
      <c r="O2823" s="59" t="str">
        <f>IF(A2823="","",COUNTIF($A$6:A2823,A2823))</f>
        <v/>
      </c>
      <c r="P2823" s="62" t="str">
        <f>IF(A2823="","",A2823&amp;"|"&amp;O2823)</f>
        <v/>
      </c>
    </row>
    <row r="2824">
      <c r="A2824" s="60" t="n"/>
      <c r="B2824" s="63" t="n"/>
      <c r="C2824" s="63" t="n"/>
      <c r="D2824" s="67" t="n"/>
      <c r="E2824" s="68" t="n"/>
      <c r="F2824" s="69" t="n"/>
      <c r="G2824" s="70" t="n"/>
      <c r="H2824" s="62" t="str">
        <f>IF(COUNTA(A2824:G2824)=0,"",IF(C2824&lt;&gt;"",C2824,IF(B2824="","",IFERROR(INDEX(pr_des,MATCH(B2824,pr_code,0))&amp;"",""))))</f>
        <v/>
      </c>
      <c r="I2824" s="59" t="str">
        <f>IF(B2824="","",IFERROR(INDEX(pr_unit,MATCH(B2824,pr_code,0))&amp;"",""))</f>
        <v/>
      </c>
      <c r="J2824" s="65" t="str">
        <f>IF(COUNTA(A2824:G2824)=0,"",IF(E2824&lt;&gt;"",E2824,IF(B2824="","",IFERROR(IF(INDEX(pr_price,MATCH(B2824,pr_code,0))="","",INDEX(pr_price,MATCH(B2824,pr_code,0))),""))))</f>
        <v/>
      </c>
      <c r="K2824" s="71" t="str">
        <f>IF(COUNTA(A2824:G2824)=0,"",IF(G2824&lt;&gt;"",G2824,IF(B2824="","",IFERROR(IF(INDEX(pr_rate,MATCH(B2824,pr_code,0))="","",INDEX(pr_rate,MATCH(B2824,pr_code,0))),""))))</f>
        <v/>
      </c>
      <c r="L2824" s="65" t="str">
        <f>IF(COUNTA(A2824:G2824)=0,"",IF(AND(ISNUMBER(D2824),ISNUMBER(J2824)),ROUND(D2824*J2824*(1-N(F2824)),2),0))</f>
        <v/>
      </c>
      <c r="M2824" s="62" t="str">
        <f>IF(A2824="","",IFERROR(INDEX(fa_cname,MATCH(A2824,fa_num,0))&amp;"",""))</f>
        <v/>
      </c>
      <c r="N2824" s="59" t="str">
        <f>IF(COUNTA(A2824:G2824)=0,"",IF(A2824="","N° facture manquant",IF(ISNA(MATCH(A2824,fa_num,0)),"Facture inconnue",IF(AND(B2824&lt;&gt;"",ISNA(MATCH(B2824,pr_code,0))),"Article inconnu",IF(H2824="","Désignation manquante",IF(OR(NOT(ISNUMBER(D2824)),N(D2824)&lt;=0),"Quantité invalide",IF(J2824="","Prix manquant",IF(OR(NOT(ISNUMBER(J2824)),N(J2824)&lt;0),"Prix invalide",IF(OR(AND(F2824&lt;&gt;"",NOT(ISNUMBER(F2824))),N(F2824)&lt;0,N(F2824)&gt;1),"Remise invalide",IF(K2824="","Taux de TVA manquant",IF(NOT(ISNUMBER(K2824)),"Taux de TVA invalide",IF(COUNTIF(p_rates,K2824)=0,"Taux de TVA hors liste (Paramètres)",IF(N(O2824)&gt;25,"Au-delà de 25 lignes : non imprimée","OK")))))))))))))</f>
        <v/>
      </c>
      <c r="O2824" s="59" t="str">
        <f>IF(A2824="","",COUNTIF($A$6:A2824,A2824))</f>
        <v/>
      </c>
      <c r="P2824" s="62" t="str">
        <f>IF(A2824="","",A2824&amp;"|"&amp;O2824)</f>
        <v/>
      </c>
    </row>
    <row r="2825">
      <c r="A2825" s="60" t="n"/>
      <c r="B2825" s="63" t="n"/>
      <c r="C2825" s="63" t="n"/>
      <c r="D2825" s="67" t="n"/>
      <c r="E2825" s="68" t="n"/>
      <c r="F2825" s="69" t="n"/>
      <c r="G2825" s="70" t="n"/>
      <c r="H2825" s="62" t="str">
        <f>IF(COUNTA(A2825:G2825)=0,"",IF(C2825&lt;&gt;"",C2825,IF(B2825="","",IFERROR(INDEX(pr_des,MATCH(B2825,pr_code,0))&amp;"",""))))</f>
        <v/>
      </c>
      <c r="I2825" s="59" t="str">
        <f>IF(B2825="","",IFERROR(INDEX(pr_unit,MATCH(B2825,pr_code,0))&amp;"",""))</f>
        <v/>
      </c>
      <c r="J2825" s="65" t="str">
        <f>IF(COUNTA(A2825:G2825)=0,"",IF(E2825&lt;&gt;"",E2825,IF(B2825="","",IFERROR(IF(INDEX(pr_price,MATCH(B2825,pr_code,0))="","",INDEX(pr_price,MATCH(B2825,pr_code,0))),""))))</f>
        <v/>
      </c>
      <c r="K2825" s="71" t="str">
        <f>IF(COUNTA(A2825:G2825)=0,"",IF(G2825&lt;&gt;"",G2825,IF(B2825="","",IFERROR(IF(INDEX(pr_rate,MATCH(B2825,pr_code,0))="","",INDEX(pr_rate,MATCH(B2825,pr_code,0))),""))))</f>
        <v/>
      </c>
      <c r="L2825" s="65" t="str">
        <f>IF(COUNTA(A2825:G2825)=0,"",IF(AND(ISNUMBER(D2825),ISNUMBER(J2825)),ROUND(D2825*J2825*(1-N(F2825)),2),0))</f>
        <v/>
      </c>
      <c r="M2825" s="62" t="str">
        <f>IF(A2825="","",IFERROR(INDEX(fa_cname,MATCH(A2825,fa_num,0))&amp;"",""))</f>
        <v/>
      </c>
      <c r="N2825" s="59" t="str">
        <f>IF(COUNTA(A2825:G2825)=0,"",IF(A2825="","N° facture manquant",IF(ISNA(MATCH(A2825,fa_num,0)),"Facture inconnue",IF(AND(B2825&lt;&gt;"",ISNA(MATCH(B2825,pr_code,0))),"Article inconnu",IF(H2825="","Désignation manquante",IF(OR(NOT(ISNUMBER(D2825)),N(D2825)&lt;=0),"Quantité invalide",IF(J2825="","Prix manquant",IF(OR(NOT(ISNUMBER(J2825)),N(J2825)&lt;0),"Prix invalide",IF(OR(AND(F2825&lt;&gt;"",NOT(ISNUMBER(F2825))),N(F2825)&lt;0,N(F2825)&gt;1),"Remise invalide",IF(K2825="","Taux de TVA manquant",IF(NOT(ISNUMBER(K2825)),"Taux de TVA invalide",IF(COUNTIF(p_rates,K2825)=0,"Taux de TVA hors liste (Paramètres)",IF(N(O2825)&gt;25,"Au-delà de 25 lignes : non imprimée","OK")))))))))))))</f>
        <v/>
      </c>
      <c r="O2825" s="59" t="str">
        <f>IF(A2825="","",COUNTIF($A$6:A2825,A2825))</f>
        <v/>
      </c>
      <c r="P2825" s="62" t="str">
        <f>IF(A2825="","",A2825&amp;"|"&amp;O2825)</f>
        <v/>
      </c>
    </row>
    <row r="2826">
      <c r="A2826" s="60" t="n"/>
      <c r="B2826" s="63" t="n"/>
      <c r="C2826" s="63" t="n"/>
      <c r="D2826" s="67" t="n"/>
      <c r="E2826" s="68" t="n"/>
      <c r="F2826" s="69" t="n"/>
      <c r="G2826" s="70" t="n"/>
      <c r="H2826" s="62" t="str">
        <f>IF(COUNTA(A2826:G2826)=0,"",IF(C2826&lt;&gt;"",C2826,IF(B2826="","",IFERROR(INDEX(pr_des,MATCH(B2826,pr_code,0))&amp;"",""))))</f>
        <v/>
      </c>
      <c r="I2826" s="59" t="str">
        <f>IF(B2826="","",IFERROR(INDEX(pr_unit,MATCH(B2826,pr_code,0))&amp;"",""))</f>
        <v/>
      </c>
      <c r="J2826" s="65" t="str">
        <f>IF(COUNTA(A2826:G2826)=0,"",IF(E2826&lt;&gt;"",E2826,IF(B2826="","",IFERROR(IF(INDEX(pr_price,MATCH(B2826,pr_code,0))="","",INDEX(pr_price,MATCH(B2826,pr_code,0))),""))))</f>
        <v/>
      </c>
      <c r="K2826" s="71" t="str">
        <f>IF(COUNTA(A2826:G2826)=0,"",IF(G2826&lt;&gt;"",G2826,IF(B2826="","",IFERROR(IF(INDEX(pr_rate,MATCH(B2826,pr_code,0))="","",INDEX(pr_rate,MATCH(B2826,pr_code,0))),""))))</f>
        <v/>
      </c>
      <c r="L2826" s="65" t="str">
        <f>IF(COUNTA(A2826:G2826)=0,"",IF(AND(ISNUMBER(D2826),ISNUMBER(J2826)),ROUND(D2826*J2826*(1-N(F2826)),2),0))</f>
        <v/>
      </c>
      <c r="M2826" s="62" t="str">
        <f>IF(A2826="","",IFERROR(INDEX(fa_cname,MATCH(A2826,fa_num,0))&amp;"",""))</f>
        <v/>
      </c>
      <c r="N2826" s="59" t="str">
        <f>IF(COUNTA(A2826:G2826)=0,"",IF(A2826="","N° facture manquant",IF(ISNA(MATCH(A2826,fa_num,0)),"Facture inconnue",IF(AND(B2826&lt;&gt;"",ISNA(MATCH(B2826,pr_code,0))),"Article inconnu",IF(H2826="","Désignation manquante",IF(OR(NOT(ISNUMBER(D2826)),N(D2826)&lt;=0),"Quantité invalide",IF(J2826="","Prix manquant",IF(OR(NOT(ISNUMBER(J2826)),N(J2826)&lt;0),"Prix invalide",IF(OR(AND(F2826&lt;&gt;"",NOT(ISNUMBER(F2826))),N(F2826)&lt;0,N(F2826)&gt;1),"Remise invalide",IF(K2826="","Taux de TVA manquant",IF(NOT(ISNUMBER(K2826)),"Taux de TVA invalide",IF(COUNTIF(p_rates,K2826)=0,"Taux de TVA hors liste (Paramètres)",IF(N(O2826)&gt;25,"Au-delà de 25 lignes : non imprimée","OK")))))))))))))</f>
        <v/>
      </c>
      <c r="O2826" s="59" t="str">
        <f>IF(A2826="","",COUNTIF($A$6:A2826,A2826))</f>
        <v/>
      </c>
      <c r="P2826" s="62" t="str">
        <f>IF(A2826="","",A2826&amp;"|"&amp;O2826)</f>
        <v/>
      </c>
    </row>
    <row r="2827">
      <c r="A2827" s="60" t="n"/>
      <c r="B2827" s="63" t="n"/>
      <c r="C2827" s="63" t="n"/>
      <c r="D2827" s="67" t="n"/>
      <c r="E2827" s="68" t="n"/>
      <c r="F2827" s="69" t="n"/>
      <c r="G2827" s="70" t="n"/>
      <c r="H2827" s="62" t="str">
        <f>IF(COUNTA(A2827:G2827)=0,"",IF(C2827&lt;&gt;"",C2827,IF(B2827="","",IFERROR(INDEX(pr_des,MATCH(B2827,pr_code,0))&amp;"",""))))</f>
        <v/>
      </c>
      <c r="I2827" s="59" t="str">
        <f>IF(B2827="","",IFERROR(INDEX(pr_unit,MATCH(B2827,pr_code,0))&amp;"",""))</f>
        <v/>
      </c>
      <c r="J2827" s="65" t="str">
        <f>IF(COUNTA(A2827:G2827)=0,"",IF(E2827&lt;&gt;"",E2827,IF(B2827="","",IFERROR(IF(INDEX(pr_price,MATCH(B2827,pr_code,0))="","",INDEX(pr_price,MATCH(B2827,pr_code,0))),""))))</f>
        <v/>
      </c>
      <c r="K2827" s="71" t="str">
        <f>IF(COUNTA(A2827:G2827)=0,"",IF(G2827&lt;&gt;"",G2827,IF(B2827="","",IFERROR(IF(INDEX(pr_rate,MATCH(B2827,pr_code,0))="","",INDEX(pr_rate,MATCH(B2827,pr_code,0))),""))))</f>
        <v/>
      </c>
      <c r="L2827" s="65" t="str">
        <f>IF(COUNTA(A2827:G2827)=0,"",IF(AND(ISNUMBER(D2827),ISNUMBER(J2827)),ROUND(D2827*J2827*(1-N(F2827)),2),0))</f>
        <v/>
      </c>
      <c r="M2827" s="62" t="str">
        <f>IF(A2827="","",IFERROR(INDEX(fa_cname,MATCH(A2827,fa_num,0))&amp;"",""))</f>
        <v/>
      </c>
      <c r="N2827" s="59" t="str">
        <f>IF(COUNTA(A2827:G2827)=0,"",IF(A2827="","N° facture manquant",IF(ISNA(MATCH(A2827,fa_num,0)),"Facture inconnue",IF(AND(B2827&lt;&gt;"",ISNA(MATCH(B2827,pr_code,0))),"Article inconnu",IF(H2827="","Désignation manquante",IF(OR(NOT(ISNUMBER(D2827)),N(D2827)&lt;=0),"Quantité invalide",IF(J2827="","Prix manquant",IF(OR(NOT(ISNUMBER(J2827)),N(J2827)&lt;0),"Prix invalide",IF(OR(AND(F2827&lt;&gt;"",NOT(ISNUMBER(F2827))),N(F2827)&lt;0,N(F2827)&gt;1),"Remise invalide",IF(K2827="","Taux de TVA manquant",IF(NOT(ISNUMBER(K2827)),"Taux de TVA invalide",IF(COUNTIF(p_rates,K2827)=0,"Taux de TVA hors liste (Paramètres)",IF(N(O2827)&gt;25,"Au-delà de 25 lignes : non imprimée","OK")))))))))))))</f>
        <v/>
      </c>
      <c r="O2827" s="59" t="str">
        <f>IF(A2827="","",COUNTIF($A$6:A2827,A2827))</f>
        <v/>
      </c>
      <c r="P2827" s="62" t="str">
        <f>IF(A2827="","",A2827&amp;"|"&amp;O2827)</f>
        <v/>
      </c>
    </row>
    <row r="2828">
      <c r="A2828" s="60" t="n"/>
      <c r="B2828" s="63" t="n"/>
      <c r="C2828" s="63" t="n"/>
      <c r="D2828" s="67" t="n"/>
      <c r="E2828" s="68" t="n"/>
      <c r="F2828" s="69" t="n"/>
      <c r="G2828" s="70" t="n"/>
      <c r="H2828" s="62" t="str">
        <f>IF(COUNTA(A2828:G2828)=0,"",IF(C2828&lt;&gt;"",C2828,IF(B2828="","",IFERROR(INDEX(pr_des,MATCH(B2828,pr_code,0))&amp;"",""))))</f>
        <v/>
      </c>
      <c r="I2828" s="59" t="str">
        <f>IF(B2828="","",IFERROR(INDEX(pr_unit,MATCH(B2828,pr_code,0))&amp;"",""))</f>
        <v/>
      </c>
      <c r="J2828" s="65" t="str">
        <f>IF(COUNTA(A2828:G2828)=0,"",IF(E2828&lt;&gt;"",E2828,IF(B2828="","",IFERROR(IF(INDEX(pr_price,MATCH(B2828,pr_code,0))="","",INDEX(pr_price,MATCH(B2828,pr_code,0))),""))))</f>
        <v/>
      </c>
      <c r="K2828" s="71" t="str">
        <f>IF(COUNTA(A2828:G2828)=0,"",IF(G2828&lt;&gt;"",G2828,IF(B2828="","",IFERROR(IF(INDEX(pr_rate,MATCH(B2828,pr_code,0))="","",INDEX(pr_rate,MATCH(B2828,pr_code,0))),""))))</f>
        <v/>
      </c>
      <c r="L2828" s="65" t="str">
        <f>IF(COUNTA(A2828:G2828)=0,"",IF(AND(ISNUMBER(D2828),ISNUMBER(J2828)),ROUND(D2828*J2828*(1-N(F2828)),2),0))</f>
        <v/>
      </c>
      <c r="M2828" s="62" t="str">
        <f>IF(A2828="","",IFERROR(INDEX(fa_cname,MATCH(A2828,fa_num,0))&amp;"",""))</f>
        <v/>
      </c>
      <c r="N2828" s="59" t="str">
        <f>IF(COUNTA(A2828:G2828)=0,"",IF(A2828="","N° facture manquant",IF(ISNA(MATCH(A2828,fa_num,0)),"Facture inconnue",IF(AND(B2828&lt;&gt;"",ISNA(MATCH(B2828,pr_code,0))),"Article inconnu",IF(H2828="","Désignation manquante",IF(OR(NOT(ISNUMBER(D2828)),N(D2828)&lt;=0),"Quantité invalide",IF(J2828="","Prix manquant",IF(OR(NOT(ISNUMBER(J2828)),N(J2828)&lt;0),"Prix invalide",IF(OR(AND(F2828&lt;&gt;"",NOT(ISNUMBER(F2828))),N(F2828)&lt;0,N(F2828)&gt;1),"Remise invalide",IF(K2828="","Taux de TVA manquant",IF(NOT(ISNUMBER(K2828)),"Taux de TVA invalide",IF(COUNTIF(p_rates,K2828)=0,"Taux de TVA hors liste (Paramètres)",IF(N(O2828)&gt;25,"Au-delà de 25 lignes : non imprimée","OK")))))))))))))</f>
        <v/>
      </c>
      <c r="O2828" s="59" t="str">
        <f>IF(A2828="","",COUNTIF($A$6:A2828,A2828))</f>
        <v/>
      </c>
      <c r="P2828" s="62" t="str">
        <f>IF(A2828="","",A2828&amp;"|"&amp;O2828)</f>
        <v/>
      </c>
    </row>
    <row r="2829">
      <c r="A2829" s="60" t="n"/>
      <c r="B2829" s="63" t="n"/>
      <c r="C2829" s="63" t="n"/>
      <c r="D2829" s="67" t="n"/>
      <c r="E2829" s="68" t="n"/>
      <c r="F2829" s="69" t="n"/>
      <c r="G2829" s="70" t="n"/>
      <c r="H2829" s="62" t="str">
        <f>IF(COUNTA(A2829:G2829)=0,"",IF(C2829&lt;&gt;"",C2829,IF(B2829="","",IFERROR(INDEX(pr_des,MATCH(B2829,pr_code,0))&amp;"",""))))</f>
        <v/>
      </c>
      <c r="I2829" s="59" t="str">
        <f>IF(B2829="","",IFERROR(INDEX(pr_unit,MATCH(B2829,pr_code,0))&amp;"",""))</f>
        <v/>
      </c>
      <c r="J2829" s="65" t="str">
        <f>IF(COUNTA(A2829:G2829)=0,"",IF(E2829&lt;&gt;"",E2829,IF(B2829="","",IFERROR(IF(INDEX(pr_price,MATCH(B2829,pr_code,0))="","",INDEX(pr_price,MATCH(B2829,pr_code,0))),""))))</f>
        <v/>
      </c>
      <c r="K2829" s="71" t="str">
        <f>IF(COUNTA(A2829:G2829)=0,"",IF(G2829&lt;&gt;"",G2829,IF(B2829="","",IFERROR(IF(INDEX(pr_rate,MATCH(B2829,pr_code,0))="","",INDEX(pr_rate,MATCH(B2829,pr_code,0))),""))))</f>
        <v/>
      </c>
      <c r="L2829" s="65" t="str">
        <f>IF(COUNTA(A2829:G2829)=0,"",IF(AND(ISNUMBER(D2829),ISNUMBER(J2829)),ROUND(D2829*J2829*(1-N(F2829)),2),0))</f>
        <v/>
      </c>
      <c r="M2829" s="62" t="str">
        <f>IF(A2829="","",IFERROR(INDEX(fa_cname,MATCH(A2829,fa_num,0))&amp;"",""))</f>
        <v/>
      </c>
      <c r="N2829" s="59" t="str">
        <f>IF(COUNTA(A2829:G2829)=0,"",IF(A2829="","N° facture manquant",IF(ISNA(MATCH(A2829,fa_num,0)),"Facture inconnue",IF(AND(B2829&lt;&gt;"",ISNA(MATCH(B2829,pr_code,0))),"Article inconnu",IF(H2829="","Désignation manquante",IF(OR(NOT(ISNUMBER(D2829)),N(D2829)&lt;=0),"Quantité invalide",IF(J2829="","Prix manquant",IF(OR(NOT(ISNUMBER(J2829)),N(J2829)&lt;0),"Prix invalide",IF(OR(AND(F2829&lt;&gt;"",NOT(ISNUMBER(F2829))),N(F2829)&lt;0,N(F2829)&gt;1),"Remise invalide",IF(K2829="","Taux de TVA manquant",IF(NOT(ISNUMBER(K2829)),"Taux de TVA invalide",IF(COUNTIF(p_rates,K2829)=0,"Taux de TVA hors liste (Paramètres)",IF(N(O2829)&gt;25,"Au-delà de 25 lignes : non imprimée","OK")))))))))))))</f>
        <v/>
      </c>
      <c r="O2829" s="59" t="str">
        <f>IF(A2829="","",COUNTIF($A$6:A2829,A2829))</f>
        <v/>
      </c>
      <c r="P2829" s="62" t="str">
        <f>IF(A2829="","",A2829&amp;"|"&amp;O2829)</f>
        <v/>
      </c>
    </row>
    <row r="2830">
      <c r="A2830" s="60" t="n"/>
      <c r="B2830" s="63" t="n"/>
      <c r="C2830" s="63" t="n"/>
      <c r="D2830" s="67" t="n"/>
      <c r="E2830" s="68" t="n"/>
      <c r="F2830" s="69" t="n"/>
      <c r="G2830" s="70" t="n"/>
      <c r="H2830" s="62" t="str">
        <f>IF(COUNTA(A2830:G2830)=0,"",IF(C2830&lt;&gt;"",C2830,IF(B2830="","",IFERROR(INDEX(pr_des,MATCH(B2830,pr_code,0))&amp;"",""))))</f>
        <v/>
      </c>
      <c r="I2830" s="59" t="str">
        <f>IF(B2830="","",IFERROR(INDEX(pr_unit,MATCH(B2830,pr_code,0))&amp;"",""))</f>
        <v/>
      </c>
      <c r="J2830" s="65" t="str">
        <f>IF(COUNTA(A2830:G2830)=0,"",IF(E2830&lt;&gt;"",E2830,IF(B2830="","",IFERROR(IF(INDEX(pr_price,MATCH(B2830,pr_code,0))="","",INDEX(pr_price,MATCH(B2830,pr_code,0))),""))))</f>
        <v/>
      </c>
      <c r="K2830" s="71" t="str">
        <f>IF(COUNTA(A2830:G2830)=0,"",IF(G2830&lt;&gt;"",G2830,IF(B2830="","",IFERROR(IF(INDEX(pr_rate,MATCH(B2830,pr_code,0))="","",INDEX(pr_rate,MATCH(B2830,pr_code,0))),""))))</f>
        <v/>
      </c>
      <c r="L2830" s="65" t="str">
        <f>IF(COUNTA(A2830:G2830)=0,"",IF(AND(ISNUMBER(D2830),ISNUMBER(J2830)),ROUND(D2830*J2830*(1-N(F2830)),2),0))</f>
        <v/>
      </c>
      <c r="M2830" s="62" t="str">
        <f>IF(A2830="","",IFERROR(INDEX(fa_cname,MATCH(A2830,fa_num,0))&amp;"",""))</f>
        <v/>
      </c>
      <c r="N2830" s="59" t="str">
        <f>IF(COUNTA(A2830:G2830)=0,"",IF(A2830="","N° facture manquant",IF(ISNA(MATCH(A2830,fa_num,0)),"Facture inconnue",IF(AND(B2830&lt;&gt;"",ISNA(MATCH(B2830,pr_code,0))),"Article inconnu",IF(H2830="","Désignation manquante",IF(OR(NOT(ISNUMBER(D2830)),N(D2830)&lt;=0),"Quantité invalide",IF(J2830="","Prix manquant",IF(OR(NOT(ISNUMBER(J2830)),N(J2830)&lt;0),"Prix invalide",IF(OR(AND(F2830&lt;&gt;"",NOT(ISNUMBER(F2830))),N(F2830)&lt;0,N(F2830)&gt;1),"Remise invalide",IF(K2830="","Taux de TVA manquant",IF(NOT(ISNUMBER(K2830)),"Taux de TVA invalide",IF(COUNTIF(p_rates,K2830)=0,"Taux de TVA hors liste (Paramètres)",IF(N(O2830)&gt;25,"Au-delà de 25 lignes : non imprimée","OK")))))))))))))</f>
        <v/>
      </c>
      <c r="O2830" s="59" t="str">
        <f>IF(A2830="","",COUNTIF($A$6:A2830,A2830))</f>
        <v/>
      </c>
      <c r="P2830" s="62" t="str">
        <f>IF(A2830="","",A2830&amp;"|"&amp;O2830)</f>
        <v/>
      </c>
    </row>
    <row r="2831">
      <c r="A2831" s="60" t="n"/>
      <c r="B2831" s="63" t="n"/>
      <c r="C2831" s="63" t="n"/>
      <c r="D2831" s="67" t="n"/>
      <c r="E2831" s="68" t="n"/>
      <c r="F2831" s="69" t="n"/>
      <c r="G2831" s="70" t="n"/>
      <c r="H2831" s="62" t="str">
        <f>IF(COUNTA(A2831:G2831)=0,"",IF(C2831&lt;&gt;"",C2831,IF(B2831="","",IFERROR(INDEX(pr_des,MATCH(B2831,pr_code,0))&amp;"",""))))</f>
        <v/>
      </c>
      <c r="I2831" s="59" t="str">
        <f>IF(B2831="","",IFERROR(INDEX(pr_unit,MATCH(B2831,pr_code,0))&amp;"",""))</f>
        <v/>
      </c>
      <c r="J2831" s="65" t="str">
        <f>IF(COUNTA(A2831:G2831)=0,"",IF(E2831&lt;&gt;"",E2831,IF(B2831="","",IFERROR(IF(INDEX(pr_price,MATCH(B2831,pr_code,0))="","",INDEX(pr_price,MATCH(B2831,pr_code,0))),""))))</f>
        <v/>
      </c>
      <c r="K2831" s="71" t="str">
        <f>IF(COUNTA(A2831:G2831)=0,"",IF(G2831&lt;&gt;"",G2831,IF(B2831="","",IFERROR(IF(INDEX(pr_rate,MATCH(B2831,pr_code,0))="","",INDEX(pr_rate,MATCH(B2831,pr_code,0))),""))))</f>
        <v/>
      </c>
      <c r="L2831" s="65" t="str">
        <f>IF(COUNTA(A2831:G2831)=0,"",IF(AND(ISNUMBER(D2831),ISNUMBER(J2831)),ROUND(D2831*J2831*(1-N(F2831)),2),0))</f>
        <v/>
      </c>
      <c r="M2831" s="62" t="str">
        <f>IF(A2831="","",IFERROR(INDEX(fa_cname,MATCH(A2831,fa_num,0))&amp;"",""))</f>
        <v/>
      </c>
      <c r="N2831" s="59" t="str">
        <f>IF(COUNTA(A2831:G2831)=0,"",IF(A2831="","N° facture manquant",IF(ISNA(MATCH(A2831,fa_num,0)),"Facture inconnue",IF(AND(B2831&lt;&gt;"",ISNA(MATCH(B2831,pr_code,0))),"Article inconnu",IF(H2831="","Désignation manquante",IF(OR(NOT(ISNUMBER(D2831)),N(D2831)&lt;=0),"Quantité invalide",IF(J2831="","Prix manquant",IF(OR(NOT(ISNUMBER(J2831)),N(J2831)&lt;0),"Prix invalide",IF(OR(AND(F2831&lt;&gt;"",NOT(ISNUMBER(F2831))),N(F2831)&lt;0,N(F2831)&gt;1),"Remise invalide",IF(K2831="","Taux de TVA manquant",IF(NOT(ISNUMBER(K2831)),"Taux de TVA invalide",IF(COUNTIF(p_rates,K2831)=0,"Taux de TVA hors liste (Paramètres)",IF(N(O2831)&gt;25,"Au-delà de 25 lignes : non imprimée","OK")))))))))))))</f>
        <v/>
      </c>
      <c r="O2831" s="59" t="str">
        <f>IF(A2831="","",COUNTIF($A$6:A2831,A2831))</f>
        <v/>
      </c>
      <c r="P2831" s="62" t="str">
        <f>IF(A2831="","",A2831&amp;"|"&amp;O2831)</f>
        <v/>
      </c>
    </row>
    <row r="2832">
      <c r="A2832" s="60" t="n"/>
      <c r="B2832" s="63" t="n"/>
      <c r="C2832" s="63" t="n"/>
      <c r="D2832" s="67" t="n"/>
      <c r="E2832" s="68" t="n"/>
      <c r="F2832" s="69" t="n"/>
      <c r="G2832" s="70" t="n"/>
      <c r="H2832" s="62" t="str">
        <f>IF(COUNTA(A2832:G2832)=0,"",IF(C2832&lt;&gt;"",C2832,IF(B2832="","",IFERROR(INDEX(pr_des,MATCH(B2832,pr_code,0))&amp;"",""))))</f>
        <v/>
      </c>
      <c r="I2832" s="59" t="str">
        <f>IF(B2832="","",IFERROR(INDEX(pr_unit,MATCH(B2832,pr_code,0))&amp;"",""))</f>
        <v/>
      </c>
      <c r="J2832" s="65" t="str">
        <f>IF(COUNTA(A2832:G2832)=0,"",IF(E2832&lt;&gt;"",E2832,IF(B2832="","",IFERROR(IF(INDEX(pr_price,MATCH(B2832,pr_code,0))="","",INDEX(pr_price,MATCH(B2832,pr_code,0))),""))))</f>
        <v/>
      </c>
      <c r="K2832" s="71" t="str">
        <f>IF(COUNTA(A2832:G2832)=0,"",IF(G2832&lt;&gt;"",G2832,IF(B2832="","",IFERROR(IF(INDEX(pr_rate,MATCH(B2832,pr_code,0))="","",INDEX(pr_rate,MATCH(B2832,pr_code,0))),""))))</f>
        <v/>
      </c>
      <c r="L2832" s="65" t="str">
        <f>IF(COUNTA(A2832:G2832)=0,"",IF(AND(ISNUMBER(D2832),ISNUMBER(J2832)),ROUND(D2832*J2832*(1-N(F2832)),2),0))</f>
        <v/>
      </c>
      <c r="M2832" s="62" t="str">
        <f>IF(A2832="","",IFERROR(INDEX(fa_cname,MATCH(A2832,fa_num,0))&amp;"",""))</f>
        <v/>
      </c>
      <c r="N2832" s="59" t="str">
        <f>IF(COUNTA(A2832:G2832)=0,"",IF(A2832="","N° facture manquant",IF(ISNA(MATCH(A2832,fa_num,0)),"Facture inconnue",IF(AND(B2832&lt;&gt;"",ISNA(MATCH(B2832,pr_code,0))),"Article inconnu",IF(H2832="","Désignation manquante",IF(OR(NOT(ISNUMBER(D2832)),N(D2832)&lt;=0),"Quantité invalide",IF(J2832="","Prix manquant",IF(OR(NOT(ISNUMBER(J2832)),N(J2832)&lt;0),"Prix invalide",IF(OR(AND(F2832&lt;&gt;"",NOT(ISNUMBER(F2832))),N(F2832)&lt;0,N(F2832)&gt;1),"Remise invalide",IF(K2832="","Taux de TVA manquant",IF(NOT(ISNUMBER(K2832)),"Taux de TVA invalide",IF(COUNTIF(p_rates,K2832)=0,"Taux de TVA hors liste (Paramètres)",IF(N(O2832)&gt;25,"Au-delà de 25 lignes : non imprimée","OK")))))))))))))</f>
        <v/>
      </c>
      <c r="O2832" s="59" t="str">
        <f>IF(A2832="","",COUNTIF($A$6:A2832,A2832))</f>
        <v/>
      </c>
      <c r="P2832" s="62" t="str">
        <f>IF(A2832="","",A2832&amp;"|"&amp;O2832)</f>
        <v/>
      </c>
    </row>
    <row r="2833">
      <c r="A2833" s="60" t="n"/>
      <c r="B2833" s="63" t="n"/>
      <c r="C2833" s="63" t="n"/>
      <c r="D2833" s="67" t="n"/>
      <c r="E2833" s="68" t="n"/>
      <c r="F2833" s="69" t="n"/>
      <c r="G2833" s="70" t="n"/>
      <c r="H2833" s="62" t="str">
        <f>IF(COUNTA(A2833:G2833)=0,"",IF(C2833&lt;&gt;"",C2833,IF(B2833="","",IFERROR(INDEX(pr_des,MATCH(B2833,pr_code,0))&amp;"",""))))</f>
        <v/>
      </c>
      <c r="I2833" s="59" t="str">
        <f>IF(B2833="","",IFERROR(INDEX(pr_unit,MATCH(B2833,pr_code,0))&amp;"",""))</f>
        <v/>
      </c>
      <c r="J2833" s="65" t="str">
        <f>IF(COUNTA(A2833:G2833)=0,"",IF(E2833&lt;&gt;"",E2833,IF(B2833="","",IFERROR(IF(INDEX(pr_price,MATCH(B2833,pr_code,0))="","",INDEX(pr_price,MATCH(B2833,pr_code,0))),""))))</f>
        <v/>
      </c>
      <c r="K2833" s="71" t="str">
        <f>IF(COUNTA(A2833:G2833)=0,"",IF(G2833&lt;&gt;"",G2833,IF(B2833="","",IFERROR(IF(INDEX(pr_rate,MATCH(B2833,pr_code,0))="","",INDEX(pr_rate,MATCH(B2833,pr_code,0))),""))))</f>
        <v/>
      </c>
      <c r="L2833" s="65" t="str">
        <f>IF(COUNTA(A2833:G2833)=0,"",IF(AND(ISNUMBER(D2833),ISNUMBER(J2833)),ROUND(D2833*J2833*(1-N(F2833)),2),0))</f>
        <v/>
      </c>
      <c r="M2833" s="62" t="str">
        <f>IF(A2833="","",IFERROR(INDEX(fa_cname,MATCH(A2833,fa_num,0))&amp;"",""))</f>
        <v/>
      </c>
      <c r="N2833" s="59" t="str">
        <f>IF(COUNTA(A2833:G2833)=0,"",IF(A2833="","N° facture manquant",IF(ISNA(MATCH(A2833,fa_num,0)),"Facture inconnue",IF(AND(B2833&lt;&gt;"",ISNA(MATCH(B2833,pr_code,0))),"Article inconnu",IF(H2833="","Désignation manquante",IF(OR(NOT(ISNUMBER(D2833)),N(D2833)&lt;=0),"Quantité invalide",IF(J2833="","Prix manquant",IF(OR(NOT(ISNUMBER(J2833)),N(J2833)&lt;0),"Prix invalide",IF(OR(AND(F2833&lt;&gt;"",NOT(ISNUMBER(F2833))),N(F2833)&lt;0,N(F2833)&gt;1),"Remise invalide",IF(K2833="","Taux de TVA manquant",IF(NOT(ISNUMBER(K2833)),"Taux de TVA invalide",IF(COUNTIF(p_rates,K2833)=0,"Taux de TVA hors liste (Paramètres)",IF(N(O2833)&gt;25,"Au-delà de 25 lignes : non imprimée","OK")))))))))))))</f>
        <v/>
      </c>
      <c r="O2833" s="59" t="str">
        <f>IF(A2833="","",COUNTIF($A$6:A2833,A2833))</f>
        <v/>
      </c>
      <c r="P2833" s="62" t="str">
        <f>IF(A2833="","",A2833&amp;"|"&amp;O2833)</f>
        <v/>
      </c>
    </row>
    <row r="2834">
      <c r="A2834" s="60" t="n"/>
      <c r="B2834" s="63" t="n"/>
      <c r="C2834" s="63" t="n"/>
      <c r="D2834" s="67" t="n"/>
      <c r="E2834" s="68" t="n"/>
      <c r="F2834" s="69" t="n"/>
      <c r="G2834" s="70" t="n"/>
      <c r="H2834" s="62" t="str">
        <f>IF(COUNTA(A2834:G2834)=0,"",IF(C2834&lt;&gt;"",C2834,IF(B2834="","",IFERROR(INDEX(pr_des,MATCH(B2834,pr_code,0))&amp;"",""))))</f>
        <v/>
      </c>
      <c r="I2834" s="59" t="str">
        <f>IF(B2834="","",IFERROR(INDEX(pr_unit,MATCH(B2834,pr_code,0))&amp;"",""))</f>
        <v/>
      </c>
      <c r="J2834" s="65" t="str">
        <f>IF(COUNTA(A2834:G2834)=0,"",IF(E2834&lt;&gt;"",E2834,IF(B2834="","",IFERROR(IF(INDEX(pr_price,MATCH(B2834,pr_code,0))="","",INDEX(pr_price,MATCH(B2834,pr_code,0))),""))))</f>
        <v/>
      </c>
      <c r="K2834" s="71" t="str">
        <f>IF(COUNTA(A2834:G2834)=0,"",IF(G2834&lt;&gt;"",G2834,IF(B2834="","",IFERROR(IF(INDEX(pr_rate,MATCH(B2834,pr_code,0))="","",INDEX(pr_rate,MATCH(B2834,pr_code,0))),""))))</f>
        <v/>
      </c>
      <c r="L2834" s="65" t="str">
        <f>IF(COUNTA(A2834:G2834)=0,"",IF(AND(ISNUMBER(D2834),ISNUMBER(J2834)),ROUND(D2834*J2834*(1-N(F2834)),2),0))</f>
        <v/>
      </c>
      <c r="M2834" s="62" t="str">
        <f>IF(A2834="","",IFERROR(INDEX(fa_cname,MATCH(A2834,fa_num,0))&amp;"",""))</f>
        <v/>
      </c>
      <c r="N2834" s="59" t="str">
        <f>IF(COUNTA(A2834:G2834)=0,"",IF(A2834="","N° facture manquant",IF(ISNA(MATCH(A2834,fa_num,0)),"Facture inconnue",IF(AND(B2834&lt;&gt;"",ISNA(MATCH(B2834,pr_code,0))),"Article inconnu",IF(H2834="","Désignation manquante",IF(OR(NOT(ISNUMBER(D2834)),N(D2834)&lt;=0),"Quantité invalide",IF(J2834="","Prix manquant",IF(OR(NOT(ISNUMBER(J2834)),N(J2834)&lt;0),"Prix invalide",IF(OR(AND(F2834&lt;&gt;"",NOT(ISNUMBER(F2834))),N(F2834)&lt;0,N(F2834)&gt;1),"Remise invalide",IF(K2834="","Taux de TVA manquant",IF(NOT(ISNUMBER(K2834)),"Taux de TVA invalide",IF(COUNTIF(p_rates,K2834)=0,"Taux de TVA hors liste (Paramètres)",IF(N(O2834)&gt;25,"Au-delà de 25 lignes : non imprimée","OK")))))))))))))</f>
        <v/>
      </c>
      <c r="O2834" s="59" t="str">
        <f>IF(A2834="","",COUNTIF($A$6:A2834,A2834))</f>
        <v/>
      </c>
      <c r="P2834" s="62" t="str">
        <f>IF(A2834="","",A2834&amp;"|"&amp;O2834)</f>
        <v/>
      </c>
    </row>
    <row r="2835">
      <c r="A2835" s="60" t="n"/>
      <c r="B2835" s="63" t="n"/>
      <c r="C2835" s="63" t="n"/>
      <c r="D2835" s="67" t="n"/>
      <c r="E2835" s="68" t="n"/>
      <c r="F2835" s="69" t="n"/>
      <c r="G2835" s="70" t="n"/>
      <c r="H2835" s="62" t="str">
        <f>IF(COUNTA(A2835:G2835)=0,"",IF(C2835&lt;&gt;"",C2835,IF(B2835="","",IFERROR(INDEX(pr_des,MATCH(B2835,pr_code,0))&amp;"",""))))</f>
        <v/>
      </c>
      <c r="I2835" s="59" t="str">
        <f>IF(B2835="","",IFERROR(INDEX(pr_unit,MATCH(B2835,pr_code,0))&amp;"",""))</f>
        <v/>
      </c>
      <c r="J2835" s="65" t="str">
        <f>IF(COUNTA(A2835:G2835)=0,"",IF(E2835&lt;&gt;"",E2835,IF(B2835="","",IFERROR(IF(INDEX(pr_price,MATCH(B2835,pr_code,0))="","",INDEX(pr_price,MATCH(B2835,pr_code,0))),""))))</f>
        <v/>
      </c>
      <c r="K2835" s="71" t="str">
        <f>IF(COUNTA(A2835:G2835)=0,"",IF(G2835&lt;&gt;"",G2835,IF(B2835="","",IFERROR(IF(INDEX(pr_rate,MATCH(B2835,pr_code,0))="","",INDEX(pr_rate,MATCH(B2835,pr_code,0))),""))))</f>
        <v/>
      </c>
      <c r="L2835" s="65" t="str">
        <f>IF(COUNTA(A2835:G2835)=0,"",IF(AND(ISNUMBER(D2835),ISNUMBER(J2835)),ROUND(D2835*J2835*(1-N(F2835)),2),0))</f>
        <v/>
      </c>
      <c r="M2835" s="62" t="str">
        <f>IF(A2835="","",IFERROR(INDEX(fa_cname,MATCH(A2835,fa_num,0))&amp;"",""))</f>
        <v/>
      </c>
      <c r="N2835" s="59" t="str">
        <f>IF(COUNTA(A2835:G2835)=0,"",IF(A2835="","N° facture manquant",IF(ISNA(MATCH(A2835,fa_num,0)),"Facture inconnue",IF(AND(B2835&lt;&gt;"",ISNA(MATCH(B2835,pr_code,0))),"Article inconnu",IF(H2835="","Désignation manquante",IF(OR(NOT(ISNUMBER(D2835)),N(D2835)&lt;=0),"Quantité invalide",IF(J2835="","Prix manquant",IF(OR(NOT(ISNUMBER(J2835)),N(J2835)&lt;0),"Prix invalide",IF(OR(AND(F2835&lt;&gt;"",NOT(ISNUMBER(F2835))),N(F2835)&lt;0,N(F2835)&gt;1),"Remise invalide",IF(K2835="","Taux de TVA manquant",IF(NOT(ISNUMBER(K2835)),"Taux de TVA invalide",IF(COUNTIF(p_rates,K2835)=0,"Taux de TVA hors liste (Paramètres)",IF(N(O2835)&gt;25,"Au-delà de 25 lignes : non imprimée","OK")))))))))))))</f>
        <v/>
      </c>
      <c r="O2835" s="59" t="str">
        <f>IF(A2835="","",COUNTIF($A$6:A2835,A2835))</f>
        <v/>
      </c>
      <c r="P2835" s="62" t="str">
        <f>IF(A2835="","",A2835&amp;"|"&amp;O2835)</f>
        <v/>
      </c>
    </row>
    <row r="2836">
      <c r="A2836" s="60" t="n"/>
      <c r="B2836" s="63" t="n"/>
      <c r="C2836" s="63" t="n"/>
      <c r="D2836" s="67" t="n"/>
      <c r="E2836" s="68" t="n"/>
      <c r="F2836" s="69" t="n"/>
      <c r="G2836" s="70" t="n"/>
      <c r="H2836" s="62" t="str">
        <f>IF(COUNTA(A2836:G2836)=0,"",IF(C2836&lt;&gt;"",C2836,IF(B2836="","",IFERROR(INDEX(pr_des,MATCH(B2836,pr_code,0))&amp;"",""))))</f>
        <v/>
      </c>
      <c r="I2836" s="59" t="str">
        <f>IF(B2836="","",IFERROR(INDEX(pr_unit,MATCH(B2836,pr_code,0))&amp;"",""))</f>
        <v/>
      </c>
      <c r="J2836" s="65" t="str">
        <f>IF(COUNTA(A2836:G2836)=0,"",IF(E2836&lt;&gt;"",E2836,IF(B2836="","",IFERROR(IF(INDEX(pr_price,MATCH(B2836,pr_code,0))="","",INDEX(pr_price,MATCH(B2836,pr_code,0))),""))))</f>
        <v/>
      </c>
      <c r="K2836" s="71" t="str">
        <f>IF(COUNTA(A2836:G2836)=0,"",IF(G2836&lt;&gt;"",G2836,IF(B2836="","",IFERROR(IF(INDEX(pr_rate,MATCH(B2836,pr_code,0))="","",INDEX(pr_rate,MATCH(B2836,pr_code,0))),""))))</f>
        <v/>
      </c>
      <c r="L2836" s="65" t="str">
        <f>IF(COUNTA(A2836:G2836)=0,"",IF(AND(ISNUMBER(D2836),ISNUMBER(J2836)),ROUND(D2836*J2836*(1-N(F2836)),2),0))</f>
        <v/>
      </c>
      <c r="M2836" s="62" t="str">
        <f>IF(A2836="","",IFERROR(INDEX(fa_cname,MATCH(A2836,fa_num,0))&amp;"",""))</f>
        <v/>
      </c>
      <c r="N2836" s="59" t="str">
        <f>IF(COUNTA(A2836:G2836)=0,"",IF(A2836="","N° facture manquant",IF(ISNA(MATCH(A2836,fa_num,0)),"Facture inconnue",IF(AND(B2836&lt;&gt;"",ISNA(MATCH(B2836,pr_code,0))),"Article inconnu",IF(H2836="","Désignation manquante",IF(OR(NOT(ISNUMBER(D2836)),N(D2836)&lt;=0),"Quantité invalide",IF(J2836="","Prix manquant",IF(OR(NOT(ISNUMBER(J2836)),N(J2836)&lt;0),"Prix invalide",IF(OR(AND(F2836&lt;&gt;"",NOT(ISNUMBER(F2836))),N(F2836)&lt;0,N(F2836)&gt;1),"Remise invalide",IF(K2836="","Taux de TVA manquant",IF(NOT(ISNUMBER(K2836)),"Taux de TVA invalide",IF(COUNTIF(p_rates,K2836)=0,"Taux de TVA hors liste (Paramètres)",IF(N(O2836)&gt;25,"Au-delà de 25 lignes : non imprimée","OK")))))))))))))</f>
        <v/>
      </c>
      <c r="O2836" s="59" t="str">
        <f>IF(A2836="","",COUNTIF($A$6:A2836,A2836))</f>
        <v/>
      </c>
      <c r="P2836" s="62" t="str">
        <f>IF(A2836="","",A2836&amp;"|"&amp;O2836)</f>
        <v/>
      </c>
    </row>
    <row r="2837">
      <c r="A2837" s="60" t="n"/>
      <c r="B2837" s="63" t="n"/>
      <c r="C2837" s="63" t="n"/>
      <c r="D2837" s="67" t="n"/>
      <c r="E2837" s="68" t="n"/>
      <c r="F2837" s="69" t="n"/>
      <c r="G2837" s="70" t="n"/>
      <c r="H2837" s="62" t="str">
        <f>IF(COUNTA(A2837:G2837)=0,"",IF(C2837&lt;&gt;"",C2837,IF(B2837="","",IFERROR(INDEX(pr_des,MATCH(B2837,pr_code,0))&amp;"",""))))</f>
        <v/>
      </c>
      <c r="I2837" s="59" t="str">
        <f>IF(B2837="","",IFERROR(INDEX(pr_unit,MATCH(B2837,pr_code,0))&amp;"",""))</f>
        <v/>
      </c>
      <c r="J2837" s="65" t="str">
        <f>IF(COUNTA(A2837:G2837)=0,"",IF(E2837&lt;&gt;"",E2837,IF(B2837="","",IFERROR(IF(INDEX(pr_price,MATCH(B2837,pr_code,0))="","",INDEX(pr_price,MATCH(B2837,pr_code,0))),""))))</f>
        <v/>
      </c>
      <c r="K2837" s="71" t="str">
        <f>IF(COUNTA(A2837:G2837)=0,"",IF(G2837&lt;&gt;"",G2837,IF(B2837="","",IFERROR(IF(INDEX(pr_rate,MATCH(B2837,pr_code,0))="","",INDEX(pr_rate,MATCH(B2837,pr_code,0))),""))))</f>
        <v/>
      </c>
      <c r="L2837" s="65" t="str">
        <f>IF(COUNTA(A2837:G2837)=0,"",IF(AND(ISNUMBER(D2837),ISNUMBER(J2837)),ROUND(D2837*J2837*(1-N(F2837)),2),0))</f>
        <v/>
      </c>
      <c r="M2837" s="62" t="str">
        <f>IF(A2837="","",IFERROR(INDEX(fa_cname,MATCH(A2837,fa_num,0))&amp;"",""))</f>
        <v/>
      </c>
      <c r="N2837" s="59" t="str">
        <f>IF(COUNTA(A2837:G2837)=0,"",IF(A2837="","N° facture manquant",IF(ISNA(MATCH(A2837,fa_num,0)),"Facture inconnue",IF(AND(B2837&lt;&gt;"",ISNA(MATCH(B2837,pr_code,0))),"Article inconnu",IF(H2837="","Désignation manquante",IF(OR(NOT(ISNUMBER(D2837)),N(D2837)&lt;=0),"Quantité invalide",IF(J2837="","Prix manquant",IF(OR(NOT(ISNUMBER(J2837)),N(J2837)&lt;0),"Prix invalide",IF(OR(AND(F2837&lt;&gt;"",NOT(ISNUMBER(F2837))),N(F2837)&lt;0,N(F2837)&gt;1),"Remise invalide",IF(K2837="","Taux de TVA manquant",IF(NOT(ISNUMBER(K2837)),"Taux de TVA invalide",IF(COUNTIF(p_rates,K2837)=0,"Taux de TVA hors liste (Paramètres)",IF(N(O2837)&gt;25,"Au-delà de 25 lignes : non imprimée","OK")))))))))))))</f>
        <v/>
      </c>
      <c r="O2837" s="59" t="str">
        <f>IF(A2837="","",COUNTIF($A$6:A2837,A2837))</f>
        <v/>
      </c>
      <c r="P2837" s="62" t="str">
        <f>IF(A2837="","",A2837&amp;"|"&amp;O2837)</f>
        <v/>
      </c>
    </row>
    <row r="2838">
      <c r="A2838" s="60" t="n"/>
      <c r="B2838" s="63" t="n"/>
      <c r="C2838" s="63" t="n"/>
      <c r="D2838" s="67" t="n"/>
      <c r="E2838" s="68" t="n"/>
      <c r="F2838" s="69" t="n"/>
      <c r="G2838" s="70" t="n"/>
      <c r="H2838" s="62" t="str">
        <f>IF(COUNTA(A2838:G2838)=0,"",IF(C2838&lt;&gt;"",C2838,IF(B2838="","",IFERROR(INDEX(pr_des,MATCH(B2838,pr_code,0))&amp;"",""))))</f>
        <v/>
      </c>
      <c r="I2838" s="59" t="str">
        <f>IF(B2838="","",IFERROR(INDEX(pr_unit,MATCH(B2838,pr_code,0))&amp;"",""))</f>
        <v/>
      </c>
      <c r="J2838" s="65" t="str">
        <f>IF(COUNTA(A2838:G2838)=0,"",IF(E2838&lt;&gt;"",E2838,IF(B2838="","",IFERROR(IF(INDEX(pr_price,MATCH(B2838,pr_code,0))="","",INDEX(pr_price,MATCH(B2838,pr_code,0))),""))))</f>
        <v/>
      </c>
      <c r="K2838" s="71" t="str">
        <f>IF(COUNTA(A2838:G2838)=0,"",IF(G2838&lt;&gt;"",G2838,IF(B2838="","",IFERROR(IF(INDEX(pr_rate,MATCH(B2838,pr_code,0))="","",INDEX(pr_rate,MATCH(B2838,pr_code,0))),""))))</f>
        <v/>
      </c>
      <c r="L2838" s="65" t="str">
        <f>IF(COUNTA(A2838:G2838)=0,"",IF(AND(ISNUMBER(D2838),ISNUMBER(J2838)),ROUND(D2838*J2838*(1-N(F2838)),2),0))</f>
        <v/>
      </c>
      <c r="M2838" s="62" t="str">
        <f>IF(A2838="","",IFERROR(INDEX(fa_cname,MATCH(A2838,fa_num,0))&amp;"",""))</f>
        <v/>
      </c>
      <c r="N2838" s="59" t="str">
        <f>IF(COUNTA(A2838:G2838)=0,"",IF(A2838="","N° facture manquant",IF(ISNA(MATCH(A2838,fa_num,0)),"Facture inconnue",IF(AND(B2838&lt;&gt;"",ISNA(MATCH(B2838,pr_code,0))),"Article inconnu",IF(H2838="","Désignation manquante",IF(OR(NOT(ISNUMBER(D2838)),N(D2838)&lt;=0),"Quantité invalide",IF(J2838="","Prix manquant",IF(OR(NOT(ISNUMBER(J2838)),N(J2838)&lt;0),"Prix invalide",IF(OR(AND(F2838&lt;&gt;"",NOT(ISNUMBER(F2838))),N(F2838)&lt;0,N(F2838)&gt;1),"Remise invalide",IF(K2838="","Taux de TVA manquant",IF(NOT(ISNUMBER(K2838)),"Taux de TVA invalide",IF(COUNTIF(p_rates,K2838)=0,"Taux de TVA hors liste (Paramètres)",IF(N(O2838)&gt;25,"Au-delà de 25 lignes : non imprimée","OK")))))))))))))</f>
        <v/>
      </c>
      <c r="O2838" s="59" t="str">
        <f>IF(A2838="","",COUNTIF($A$6:A2838,A2838))</f>
        <v/>
      </c>
      <c r="P2838" s="62" t="str">
        <f>IF(A2838="","",A2838&amp;"|"&amp;O2838)</f>
        <v/>
      </c>
    </row>
    <row r="2839">
      <c r="A2839" s="60" t="n"/>
      <c r="B2839" s="63" t="n"/>
      <c r="C2839" s="63" t="n"/>
      <c r="D2839" s="67" t="n"/>
      <c r="E2839" s="68" t="n"/>
      <c r="F2839" s="69" t="n"/>
      <c r="G2839" s="70" t="n"/>
      <c r="H2839" s="62" t="str">
        <f>IF(COUNTA(A2839:G2839)=0,"",IF(C2839&lt;&gt;"",C2839,IF(B2839="","",IFERROR(INDEX(pr_des,MATCH(B2839,pr_code,0))&amp;"",""))))</f>
        <v/>
      </c>
      <c r="I2839" s="59" t="str">
        <f>IF(B2839="","",IFERROR(INDEX(pr_unit,MATCH(B2839,pr_code,0))&amp;"",""))</f>
        <v/>
      </c>
      <c r="J2839" s="65" t="str">
        <f>IF(COUNTA(A2839:G2839)=0,"",IF(E2839&lt;&gt;"",E2839,IF(B2839="","",IFERROR(IF(INDEX(pr_price,MATCH(B2839,pr_code,0))="","",INDEX(pr_price,MATCH(B2839,pr_code,0))),""))))</f>
        <v/>
      </c>
      <c r="K2839" s="71" t="str">
        <f>IF(COUNTA(A2839:G2839)=0,"",IF(G2839&lt;&gt;"",G2839,IF(B2839="","",IFERROR(IF(INDEX(pr_rate,MATCH(B2839,pr_code,0))="","",INDEX(pr_rate,MATCH(B2839,pr_code,0))),""))))</f>
        <v/>
      </c>
      <c r="L2839" s="65" t="str">
        <f>IF(COUNTA(A2839:G2839)=0,"",IF(AND(ISNUMBER(D2839),ISNUMBER(J2839)),ROUND(D2839*J2839*(1-N(F2839)),2),0))</f>
        <v/>
      </c>
      <c r="M2839" s="62" t="str">
        <f>IF(A2839="","",IFERROR(INDEX(fa_cname,MATCH(A2839,fa_num,0))&amp;"",""))</f>
        <v/>
      </c>
      <c r="N2839" s="59" t="str">
        <f>IF(COUNTA(A2839:G2839)=0,"",IF(A2839="","N° facture manquant",IF(ISNA(MATCH(A2839,fa_num,0)),"Facture inconnue",IF(AND(B2839&lt;&gt;"",ISNA(MATCH(B2839,pr_code,0))),"Article inconnu",IF(H2839="","Désignation manquante",IF(OR(NOT(ISNUMBER(D2839)),N(D2839)&lt;=0),"Quantité invalide",IF(J2839="","Prix manquant",IF(OR(NOT(ISNUMBER(J2839)),N(J2839)&lt;0),"Prix invalide",IF(OR(AND(F2839&lt;&gt;"",NOT(ISNUMBER(F2839))),N(F2839)&lt;0,N(F2839)&gt;1),"Remise invalide",IF(K2839="","Taux de TVA manquant",IF(NOT(ISNUMBER(K2839)),"Taux de TVA invalide",IF(COUNTIF(p_rates,K2839)=0,"Taux de TVA hors liste (Paramètres)",IF(N(O2839)&gt;25,"Au-delà de 25 lignes : non imprimée","OK")))))))))))))</f>
        <v/>
      </c>
      <c r="O2839" s="59" t="str">
        <f>IF(A2839="","",COUNTIF($A$6:A2839,A2839))</f>
        <v/>
      </c>
      <c r="P2839" s="62" t="str">
        <f>IF(A2839="","",A2839&amp;"|"&amp;O2839)</f>
        <v/>
      </c>
    </row>
    <row r="2840">
      <c r="A2840" s="60" t="n"/>
      <c r="B2840" s="63" t="n"/>
      <c r="C2840" s="63" t="n"/>
      <c r="D2840" s="67" t="n"/>
      <c r="E2840" s="68" t="n"/>
      <c r="F2840" s="69" t="n"/>
      <c r="G2840" s="70" t="n"/>
      <c r="H2840" s="62" t="str">
        <f>IF(COUNTA(A2840:G2840)=0,"",IF(C2840&lt;&gt;"",C2840,IF(B2840="","",IFERROR(INDEX(pr_des,MATCH(B2840,pr_code,0))&amp;"",""))))</f>
        <v/>
      </c>
      <c r="I2840" s="59" t="str">
        <f>IF(B2840="","",IFERROR(INDEX(pr_unit,MATCH(B2840,pr_code,0))&amp;"",""))</f>
        <v/>
      </c>
      <c r="J2840" s="65" t="str">
        <f>IF(COUNTA(A2840:G2840)=0,"",IF(E2840&lt;&gt;"",E2840,IF(B2840="","",IFERROR(IF(INDEX(pr_price,MATCH(B2840,pr_code,0))="","",INDEX(pr_price,MATCH(B2840,pr_code,0))),""))))</f>
        <v/>
      </c>
      <c r="K2840" s="71" t="str">
        <f>IF(COUNTA(A2840:G2840)=0,"",IF(G2840&lt;&gt;"",G2840,IF(B2840="","",IFERROR(IF(INDEX(pr_rate,MATCH(B2840,pr_code,0))="","",INDEX(pr_rate,MATCH(B2840,pr_code,0))),""))))</f>
        <v/>
      </c>
      <c r="L2840" s="65" t="str">
        <f>IF(COUNTA(A2840:G2840)=0,"",IF(AND(ISNUMBER(D2840),ISNUMBER(J2840)),ROUND(D2840*J2840*(1-N(F2840)),2),0))</f>
        <v/>
      </c>
      <c r="M2840" s="62" t="str">
        <f>IF(A2840="","",IFERROR(INDEX(fa_cname,MATCH(A2840,fa_num,0))&amp;"",""))</f>
        <v/>
      </c>
      <c r="N2840" s="59" t="str">
        <f>IF(COUNTA(A2840:G2840)=0,"",IF(A2840="","N° facture manquant",IF(ISNA(MATCH(A2840,fa_num,0)),"Facture inconnue",IF(AND(B2840&lt;&gt;"",ISNA(MATCH(B2840,pr_code,0))),"Article inconnu",IF(H2840="","Désignation manquante",IF(OR(NOT(ISNUMBER(D2840)),N(D2840)&lt;=0),"Quantité invalide",IF(J2840="","Prix manquant",IF(OR(NOT(ISNUMBER(J2840)),N(J2840)&lt;0),"Prix invalide",IF(OR(AND(F2840&lt;&gt;"",NOT(ISNUMBER(F2840))),N(F2840)&lt;0,N(F2840)&gt;1),"Remise invalide",IF(K2840="","Taux de TVA manquant",IF(NOT(ISNUMBER(K2840)),"Taux de TVA invalide",IF(COUNTIF(p_rates,K2840)=0,"Taux de TVA hors liste (Paramètres)",IF(N(O2840)&gt;25,"Au-delà de 25 lignes : non imprimée","OK")))))))))))))</f>
        <v/>
      </c>
      <c r="O2840" s="59" t="str">
        <f>IF(A2840="","",COUNTIF($A$6:A2840,A2840))</f>
        <v/>
      </c>
      <c r="P2840" s="62" t="str">
        <f>IF(A2840="","",A2840&amp;"|"&amp;O2840)</f>
        <v/>
      </c>
    </row>
    <row r="2841">
      <c r="A2841" s="60" t="n"/>
      <c r="B2841" s="63" t="n"/>
      <c r="C2841" s="63" t="n"/>
      <c r="D2841" s="67" t="n"/>
      <c r="E2841" s="68" t="n"/>
      <c r="F2841" s="69" t="n"/>
      <c r="G2841" s="70" t="n"/>
      <c r="H2841" s="62" t="str">
        <f>IF(COUNTA(A2841:G2841)=0,"",IF(C2841&lt;&gt;"",C2841,IF(B2841="","",IFERROR(INDEX(pr_des,MATCH(B2841,pr_code,0))&amp;"",""))))</f>
        <v/>
      </c>
      <c r="I2841" s="59" t="str">
        <f>IF(B2841="","",IFERROR(INDEX(pr_unit,MATCH(B2841,pr_code,0))&amp;"",""))</f>
        <v/>
      </c>
      <c r="J2841" s="65" t="str">
        <f>IF(COUNTA(A2841:G2841)=0,"",IF(E2841&lt;&gt;"",E2841,IF(B2841="","",IFERROR(IF(INDEX(pr_price,MATCH(B2841,pr_code,0))="","",INDEX(pr_price,MATCH(B2841,pr_code,0))),""))))</f>
        <v/>
      </c>
      <c r="K2841" s="71" t="str">
        <f>IF(COUNTA(A2841:G2841)=0,"",IF(G2841&lt;&gt;"",G2841,IF(B2841="","",IFERROR(IF(INDEX(pr_rate,MATCH(B2841,pr_code,0))="","",INDEX(pr_rate,MATCH(B2841,pr_code,0))),""))))</f>
        <v/>
      </c>
      <c r="L2841" s="65" t="str">
        <f>IF(COUNTA(A2841:G2841)=0,"",IF(AND(ISNUMBER(D2841),ISNUMBER(J2841)),ROUND(D2841*J2841*(1-N(F2841)),2),0))</f>
        <v/>
      </c>
      <c r="M2841" s="62" t="str">
        <f>IF(A2841="","",IFERROR(INDEX(fa_cname,MATCH(A2841,fa_num,0))&amp;"",""))</f>
        <v/>
      </c>
      <c r="N2841" s="59" t="str">
        <f>IF(COUNTA(A2841:G2841)=0,"",IF(A2841="","N° facture manquant",IF(ISNA(MATCH(A2841,fa_num,0)),"Facture inconnue",IF(AND(B2841&lt;&gt;"",ISNA(MATCH(B2841,pr_code,0))),"Article inconnu",IF(H2841="","Désignation manquante",IF(OR(NOT(ISNUMBER(D2841)),N(D2841)&lt;=0),"Quantité invalide",IF(J2841="","Prix manquant",IF(OR(NOT(ISNUMBER(J2841)),N(J2841)&lt;0),"Prix invalide",IF(OR(AND(F2841&lt;&gt;"",NOT(ISNUMBER(F2841))),N(F2841)&lt;0,N(F2841)&gt;1),"Remise invalide",IF(K2841="","Taux de TVA manquant",IF(NOT(ISNUMBER(K2841)),"Taux de TVA invalide",IF(COUNTIF(p_rates,K2841)=0,"Taux de TVA hors liste (Paramètres)",IF(N(O2841)&gt;25,"Au-delà de 25 lignes : non imprimée","OK")))))))))))))</f>
        <v/>
      </c>
      <c r="O2841" s="59" t="str">
        <f>IF(A2841="","",COUNTIF($A$6:A2841,A2841))</f>
        <v/>
      </c>
      <c r="P2841" s="62" t="str">
        <f>IF(A2841="","",A2841&amp;"|"&amp;O2841)</f>
        <v/>
      </c>
    </row>
    <row r="2842">
      <c r="A2842" s="60" t="n"/>
      <c r="B2842" s="63" t="n"/>
      <c r="C2842" s="63" t="n"/>
      <c r="D2842" s="67" t="n"/>
      <c r="E2842" s="68" t="n"/>
      <c r="F2842" s="69" t="n"/>
      <c r="G2842" s="70" t="n"/>
      <c r="H2842" s="62" t="str">
        <f>IF(COUNTA(A2842:G2842)=0,"",IF(C2842&lt;&gt;"",C2842,IF(B2842="","",IFERROR(INDEX(pr_des,MATCH(B2842,pr_code,0))&amp;"",""))))</f>
        <v/>
      </c>
      <c r="I2842" s="59" t="str">
        <f>IF(B2842="","",IFERROR(INDEX(pr_unit,MATCH(B2842,pr_code,0))&amp;"",""))</f>
        <v/>
      </c>
      <c r="J2842" s="65" t="str">
        <f>IF(COUNTA(A2842:G2842)=0,"",IF(E2842&lt;&gt;"",E2842,IF(B2842="","",IFERROR(IF(INDEX(pr_price,MATCH(B2842,pr_code,0))="","",INDEX(pr_price,MATCH(B2842,pr_code,0))),""))))</f>
        <v/>
      </c>
      <c r="K2842" s="71" t="str">
        <f>IF(COUNTA(A2842:G2842)=0,"",IF(G2842&lt;&gt;"",G2842,IF(B2842="","",IFERROR(IF(INDEX(pr_rate,MATCH(B2842,pr_code,0))="","",INDEX(pr_rate,MATCH(B2842,pr_code,0))),""))))</f>
        <v/>
      </c>
      <c r="L2842" s="65" t="str">
        <f>IF(COUNTA(A2842:G2842)=0,"",IF(AND(ISNUMBER(D2842),ISNUMBER(J2842)),ROUND(D2842*J2842*(1-N(F2842)),2),0))</f>
        <v/>
      </c>
      <c r="M2842" s="62" t="str">
        <f>IF(A2842="","",IFERROR(INDEX(fa_cname,MATCH(A2842,fa_num,0))&amp;"",""))</f>
        <v/>
      </c>
      <c r="N2842" s="59" t="str">
        <f>IF(COUNTA(A2842:G2842)=0,"",IF(A2842="","N° facture manquant",IF(ISNA(MATCH(A2842,fa_num,0)),"Facture inconnue",IF(AND(B2842&lt;&gt;"",ISNA(MATCH(B2842,pr_code,0))),"Article inconnu",IF(H2842="","Désignation manquante",IF(OR(NOT(ISNUMBER(D2842)),N(D2842)&lt;=0),"Quantité invalide",IF(J2842="","Prix manquant",IF(OR(NOT(ISNUMBER(J2842)),N(J2842)&lt;0),"Prix invalide",IF(OR(AND(F2842&lt;&gt;"",NOT(ISNUMBER(F2842))),N(F2842)&lt;0,N(F2842)&gt;1),"Remise invalide",IF(K2842="","Taux de TVA manquant",IF(NOT(ISNUMBER(K2842)),"Taux de TVA invalide",IF(COUNTIF(p_rates,K2842)=0,"Taux de TVA hors liste (Paramètres)",IF(N(O2842)&gt;25,"Au-delà de 25 lignes : non imprimée","OK")))))))))))))</f>
        <v/>
      </c>
      <c r="O2842" s="59" t="str">
        <f>IF(A2842="","",COUNTIF($A$6:A2842,A2842))</f>
        <v/>
      </c>
      <c r="P2842" s="62" t="str">
        <f>IF(A2842="","",A2842&amp;"|"&amp;O2842)</f>
        <v/>
      </c>
    </row>
    <row r="2843">
      <c r="A2843" s="60" t="n"/>
      <c r="B2843" s="63" t="n"/>
      <c r="C2843" s="63" t="n"/>
      <c r="D2843" s="67" t="n"/>
      <c r="E2843" s="68" t="n"/>
      <c r="F2843" s="69" t="n"/>
      <c r="G2843" s="70" t="n"/>
      <c r="H2843" s="62" t="str">
        <f>IF(COUNTA(A2843:G2843)=0,"",IF(C2843&lt;&gt;"",C2843,IF(B2843="","",IFERROR(INDEX(pr_des,MATCH(B2843,pr_code,0))&amp;"",""))))</f>
        <v/>
      </c>
      <c r="I2843" s="59" t="str">
        <f>IF(B2843="","",IFERROR(INDEX(pr_unit,MATCH(B2843,pr_code,0))&amp;"",""))</f>
        <v/>
      </c>
      <c r="J2843" s="65" t="str">
        <f>IF(COUNTA(A2843:G2843)=0,"",IF(E2843&lt;&gt;"",E2843,IF(B2843="","",IFERROR(IF(INDEX(pr_price,MATCH(B2843,pr_code,0))="","",INDEX(pr_price,MATCH(B2843,pr_code,0))),""))))</f>
        <v/>
      </c>
      <c r="K2843" s="71" t="str">
        <f>IF(COUNTA(A2843:G2843)=0,"",IF(G2843&lt;&gt;"",G2843,IF(B2843="","",IFERROR(IF(INDEX(pr_rate,MATCH(B2843,pr_code,0))="","",INDEX(pr_rate,MATCH(B2843,pr_code,0))),""))))</f>
        <v/>
      </c>
      <c r="L2843" s="65" t="str">
        <f>IF(COUNTA(A2843:G2843)=0,"",IF(AND(ISNUMBER(D2843),ISNUMBER(J2843)),ROUND(D2843*J2843*(1-N(F2843)),2),0))</f>
        <v/>
      </c>
      <c r="M2843" s="62" t="str">
        <f>IF(A2843="","",IFERROR(INDEX(fa_cname,MATCH(A2843,fa_num,0))&amp;"",""))</f>
        <v/>
      </c>
      <c r="N2843" s="59" t="str">
        <f>IF(COUNTA(A2843:G2843)=0,"",IF(A2843="","N° facture manquant",IF(ISNA(MATCH(A2843,fa_num,0)),"Facture inconnue",IF(AND(B2843&lt;&gt;"",ISNA(MATCH(B2843,pr_code,0))),"Article inconnu",IF(H2843="","Désignation manquante",IF(OR(NOT(ISNUMBER(D2843)),N(D2843)&lt;=0),"Quantité invalide",IF(J2843="","Prix manquant",IF(OR(NOT(ISNUMBER(J2843)),N(J2843)&lt;0),"Prix invalide",IF(OR(AND(F2843&lt;&gt;"",NOT(ISNUMBER(F2843))),N(F2843)&lt;0,N(F2843)&gt;1),"Remise invalide",IF(K2843="","Taux de TVA manquant",IF(NOT(ISNUMBER(K2843)),"Taux de TVA invalide",IF(COUNTIF(p_rates,K2843)=0,"Taux de TVA hors liste (Paramètres)",IF(N(O2843)&gt;25,"Au-delà de 25 lignes : non imprimée","OK")))))))))))))</f>
        <v/>
      </c>
      <c r="O2843" s="59" t="str">
        <f>IF(A2843="","",COUNTIF($A$6:A2843,A2843))</f>
        <v/>
      </c>
      <c r="P2843" s="62" t="str">
        <f>IF(A2843="","",A2843&amp;"|"&amp;O2843)</f>
        <v/>
      </c>
    </row>
    <row r="2844">
      <c r="A2844" s="60" t="n"/>
      <c r="B2844" s="63" t="n"/>
      <c r="C2844" s="63" t="n"/>
      <c r="D2844" s="67" t="n"/>
      <c r="E2844" s="68" t="n"/>
      <c r="F2844" s="69" t="n"/>
      <c r="G2844" s="70" t="n"/>
      <c r="H2844" s="62" t="str">
        <f>IF(COUNTA(A2844:G2844)=0,"",IF(C2844&lt;&gt;"",C2844,IF(B2844="","",IFERROR(INDEX(pr_des,MATCH(B2844,pr_code,0))&amp;"",""))))</f>
        <v/>
      </c>
      <c r="I2844" s="59" t="str">
        <f>IF(B2844="","",IFERROR(INDEX(pr_unit,MATCH(B2844,pr_code,0))&amp;"",""))</f>
        <v/>
      </c>
      <c r="J2844" s="65" t="str">
        <f>IF(COUNTA(A2844:G2844)=0,"",IF(E2844&lt;&gt;"",E2844,IF(B2844="","",IFERROR(IF(INDEX(pr_price,MATCH(B2844,pr_code,0))="","",INDEX(pr_price,MATCH(B2844,pr_code,0))),""))))</f>
        <v/>
      </c>
      <c r="K2844" s="71" t="str">
        <f>IF(COUNTA(A2844:G2844)=0,"",IF(G2844&lt;&gt;"",G2844,IF(B2844="","",IFERROR(IF(INDEX(pr_rate,MATCH(B2844,pr_code,0))="","",INDEX(pr_rate,MATCH(B2844,pr_code,0))),""))))</f>
        <v/>
      </c>
      <c r="L2844" s="65" t="str">
        <f>IF(COUNTA(A2844:G2844)=0,"",IF(AND(ISNUMBER(D2844),ISNUMBER(J2844)),ROUND(D2844*J2844*(1-N(F2844)),2),0))</f>
        <v/>
      </c>
      <c r="M2844" s="62" t="str">
        <f>IF(A2844="","",IFERROR(INDEX(fa_cname,MATCH(A2844,fa_num,0))&amp;"",""))</f>
        <v/>
      </c>
      <c r="N2844" s="59" t="str">
        <f>IF(COUNTA(A2844:G2844)=0,"",IF(A2844="","N° facture manquant",IF(ISNA(MATCH(A2844,fa_num,0)),"Facture inconnue",IF(AND(B2844&lt;&gt;"",ISNA(MATCH(B2844,pr_code,0))),"Article inconnu",IF(H2844="","Désignation manquante",IF(OR(NOT(ISNUMBER(D2844)),N(D2844)&lt;=0),"Quantité invalide",IF(J2844="","Prix manquant",IF(OR(NOT(ISNUMBER(J2844)),N(J2844)&lt;0),"Prix invalide",IF(OR(AND(F2844&lt;&gt;"",NOT(ISNUMBER(F2844))),N(F2844)&lt;0,N(F2844)&gt;1),"Remise invalide",IF(K2844="","Taux de TVA manquant",IF(NOT(ISNUMBER(K2844)),"Taux de TVA invalide",IF(COUNTIF(p_rates,K2844)=0,"Taux de TVA hors liste (Paramètres)",IF(N(O2844)&gt;25,"Au-delà de 25 lignes : non imprimée","OK")))))))))))))</f>
        <v/>
      </c>
      <c r="O2844" s="59" t="str">
        <f>IF(A2844="","",COUNTIF($A$6:A2844,A2844))</f>
        <v/>
      </c>
      <c r="P2844" s="62" t="str">
        <f>IF(A2844="","",A2844&amp;"|"&amp;O2844)</f>
        <v/>
      </c>
    </row>
    <row r="2845">
      <c r="A2845" s="60" t="n"/>
      <c r="B2845" s="63" t="n"/>
      <c r="C2845" s="63" t="n"/>
      <c r="D2845" s="67" t="n"/>
      <c r="E2845" s="68" t="n"/>
      <c r="F2845" s="69" t="n"/>
      <c r="G2845" s="70" t="n"/>
      <c r="H2845" s="62" t="str">
        <f>IF(COUNTA(A2845:G2845)=0,"",IF(C2845&lt;&gt;"",C2845,IF(B2845="","",IFERROR(INDEX(pr_des,MATCH(B2845,pr_code,0))&amp;"",""))))</f>
        <v/>
      </c>
      <c r="I2845" s="59" t="str">
        <f>IF(B2845="","",IFERROR(INDEX(pr_unit,MATCH(B2845,pr_code,0))&amp;"",""))</f>
        <v/>
      </c>
      <c r="J2845" s="65" t="str">
        <f>IF(COUNTA(A2845:G2845)=0,"",IF(E2845&lt;&gt;"",E2845,IF(B2845="","",IFERROR(IF(INDEX(pr_price,MATCH(B2845,pr_code,0))="","",INDEX(pr_price,MATCH(B2845,pr_code,0))),""))))</f>
        <v/>
      </c>
      <c r="K2845" s="71" t="str">
        <f>IF(COUNTA(A2845:G2845)=0,"",IF(G2845&lt;&gt;"",G2845,IF(B2845="","",IFERROR(IF(INDEX(pr_rate,MATCH(B2845,pr_code,0))="","",INDEX(pr_rate,MATCH(B2845,pr_code,0))),""))))</f>
        <v/>
      </c>
      <c r="L2845" s="65" t="str">
        <f>IF(COUNTA(A2845:G2845)=0,"",IF(AND(ISNUMBER(D2845),ISNUMBER(J2845)),ROUND(D2845*J2845*(1-N(F2845)),2),0))</f>
        <v/>
      </c>
      <c r="M2845" s="62" t="str">
        <f>IF(A2845="","",IFERROR(INDEX(fa_cname,MATCH(A2845,fa_num,0))&amp;"",""))</f>
        <v/>
      </c>
      <c r="N2845" s="59" t="str">
        <f>IF(COUNTA(A2845:G2845)=0,"",IF(A2845="","N° facture manquant",IF(ISNA(MATCH(A2845,fa_num,0)),"Facture inconnue",IF(AND(B2845&lt;&gt;"",ISNA(MATCH(B2845,pr_code,0))),"Article inconnu",IF(H2845="","Désignation manquante",IF(OR(NOT(ISNUMBER(D2845)),N(D2845)&lt;=0),"Quantité invalide",IF(J2845="","Prix manquant",IF(OR(NOT(ISNUMBER(J2845)),N(J2845)&lt;0),"Prix invalide",IF(OR(AND(F2845&lt;&gt;"",NOT(ISNUMBER(F2845))),N(F2845)&lt;0,N(F2845)&gt;1),"Remise invalide",IF(K2845="","Taux de TVA manquant",IF(NOT(ISNUMBER(K2845)),"Taux de TVA invalide",IF(COUNTIF(p_rates,K2845)=0,"Taux de TVA hors liste (Paramètres)",IF(N(O2845)&gt;25,"Au-delà de 25 lignes : non imprimée","OK")))))))))))))</f>
        <v/>
      </c>
      <c r="O2845" s="59" t="str">
        <f>IF(A2845="","",COUNTIF($A$6:A2845,A2845))</f>
        <v/>
      </c>
      <c r="P2845" s="62" t="str">
        <f>IF(A2845="","",A2845&amp;"|"&amp;O2845)</f>
        <v/>
      </c>
    </row>
    <row r="2846">
      <c r="A2846" s="60" t="n"/>
      <c r="B2846" s="63" t="n"/>
      <c r="C2846" s="63" t="n"/>
      <c r="D2846" s="67" t="n"/>
      <c r="E2846" s="68" t="n"/>
      <c r="F2846" s="69" t="n"/>
      <c r="G2846" s="70" t="n"/>
      <c r="H2846" s="62" t="str">
        <f>IF(COUNTA(A2846:G2846)=0,"",IF(C2846&lt;&gt;"",C2846,IF(B2846="","",IFERROR(INDEX(pr_des,MATCH(B2846,pr_code,0))&amp;"",""))))</f>
        <v/>
      </c>
      <c r="I2846" s="59" t="str">
        <f>IF(B2846="","",IFERROR(INDEX(pr_unit,MATCH(B2846,pr_code,0))&amp;"",""))</f>
        <v/>
      </c>
      <c r="J2846" s="65" t="str">
        <f>IF(COUNTA(A2846:G2846)=0,"",IF(E2846&lt;&gt;"",E2846,IF(B2846="","",IFERROR(IF(INDEX(pr_price,MATCH(B2846,pr_code,0))="","",INDEX(pr_price,MATCH(B2846,pr_code,0))),""))))</f>
        <v/>
      </c>
      <c r="K2846" s="71" t="str">
        <f>IF(COUNTA(A2846:G2846)=0,"",IF(G2846&lt;&gt;"",G2846,IF(B2846="","",IFERROR(IF(INDEX(pr_rate,MATCH(B2846,pr_code,0))="","",INDEX(pr_rate,MATCH(B2846,pr_code,0))),""))))</f>
        <v/>
      </c>
      <c r="L2846" s="65" t="str">
        <f>IF(COUNTA(A2846:G2846)=0,"",IF(AND(ISNUMBER(D2846),ISNUMBER(J2846)),ROUND(D2846*J2846*(1-N(F2846)),2),0))</f>
        <v/>
      </c>
      <c r="M2846" s="62" t="str">
        <f>IF(A2846="","",IFERROR(INDEX(fa_cname,MATCH(A2846,fa_num,0))&amp;"",""))</f>
        <v/>
      </c>
      <c r="N2846" s="59" t="str">
        <f>IF(COUNTA(A2846:G2846)=0,"",IF(A2846="","N° facture manquant",IF(ISNA(MATCH(A2846,fa_num,0)),"Facture inconnue",IF(AND(B2846&lt;&gt;"",ISNA(MATCH(B2846,pr_code,0))),"Article inconnu",IF(H2846="","Désignation manquante",IF(OR(NOT(ISNUMBER(D2846)),N(D2846)&lt;=0),"Quantité invalide",IF(J2846="","Prix manquant",IF(OR(NOT(ISNUMBER(J2846)),N(J2846)&lt;0),"Prix invalide",IF(OR(AND(F2846&lt;&gt;"",NOT(ISNUMBER(F2846))),N(F2846)&lt;0,N(F2846)&gt;1),"Remise invalide",IF(K2846="","Taux de TVA manquant",IF(NOT(ISNUMBER(K2846)),"Taux de TVA invalide",IF(COUNTIF(p_rates,K2846)=0,"Taux de TVA hors liste (Paramètres)",IF(N(O2846)&gt;25,"Au-delà de 25 lignes : non imprimée","OK")))))))))))))</f>
        <v/>
      </c>
      <c r="O2846" s="59" t="str">
        <f>IF(A2846="","",COUNTIF($A$6:A2846,A2846))</f>
        <v/>
      </c>
      <c r="P2846" s="62" t="str">
        <f>IF(A2846="","",A2846&amp;"|"&amp;O2846)</f>
        <v/>
      </c>
    </row>
    <row r="2847">
      <c r="A2847" s="60" t="n"/>
      <c r="B2847" s="63" t="n"/>
      <c r="C2847" s="63" t="n"/>
      <c r="D2847" s="67" t="n"/>
      <c r="E2847" s="68" t="n"/>
      <c r="F2847" s="69" t="n"/>
      <c r="G2847" s="70" t="n"/>
      <c r="H2847" s="62" t="str">
        <f>IF(COUNTA(A2847:G2847)=0,"",IF(C2847&lt;&gt;"",C2847,IF(B2847="","",IFERROR(INDEX(pr_des,MATCH(B2847,pr_code,0))&amp;"",""))))</f>
        <v/>
      </c>
      <c r="I2847" s="59" t="str">
        <f>IF(B2847="","",IFERROR(INDEX(pr_unit,MATCH(B2847,pr_code,0))&amp;"",""))</f>
        <v/>
      </c>
      <c r="J2847" s="65" t="str">
        <f>IF(COUNTA(A2847:G2847)=0,"",IF(E2847&lt;&gt;"",E2847,IF(B2847="","",IFERROR(IF(INDEX(pr_price,MATCH(B2847,pr_code,0))="","",INDEX(pr_price,MATCH(B2847,pr_code,0))),""))))</f>
        <v/>
      </c>
      <c r="K2847" s="71" t="str">
        <f>IF(COUNTA(A2847:G2847)=0,"",IF(G2847&lt;&gt;"",G2847,IF(B2847="","",IFERROR(IF(INDEX(pr_rate,MATCH(B2847,pr_code,0))="","",INDEX(pr_rate,MATCH(B2847,pr_code,0))),""))))</f>
        <v/>
      </c>
      <c r="L2847" s="65" t="str">
        <f>IF(COUNTA(A2847:G2847)=0,"",IF(AND(ISNUMBER(D2847),ISNUMBER(J2847)),ROUND(D2847*J2847*(1-N(F2847)),2),0))</f>
        <v/>
      </c>
      <c r="M2847" s="62" t="str">
        <f>IF(A2847="","",IFERROR(INDEX(fa_cname,MATCH(A2847,fa_num,0))&amp;"",""))</f>
        <v/>
      </c>
      <c r="N2847" s="59" t="str">
        <f>IF(COUNTA(A2847:G2847)=0,"",IF(A2847="","N° facture manquant",IF(ISNA(MATCH(A2847,fa_num,0)),"Facture inconnue",IF(AND(B2847&lt;&gt;"",ISNA(MATCH(B2847,pr_code,0))),"Article inconnu",IF(H2847="","Désignation manquante",IF(OR(NOT(ISNUMBER(D2847)),N(D2847)&lt;=0),"Quantité invalide",IF(J2847="","Prix manquant",IF(OR(NOT(ISNUMBER(J2847)),N(J2847)&lt;0),"Prix invalide",IF(OR(AND(F2847&lt;&gt;"",NOT(ISNUMBER(F2847))),N(F2847)&lt;0,N(F2847)&gt;1),"Remise invalide",IF(K2847="","Taux de TVA manquant",IF(NOT(ISNUMBER(K2847)),"Taux de TVA invalide",IF(COUNTIF(p_rates,K2847)=0,"Taux de TVA hors liste (Paramètres)",IF(N(O2847)&gt;25,"Au-delà de 25 lignes : non imprimée","OK")))))))))))))</f>
        <v/>
      </c>
      <c r="O2847" s="59" t="str">
        <f>IF(A2847="","",COUNTIF($A$6:A2847,A2847))</f>
        <v/>
      </c>
      <c r="P2847" s="62" t="str">
        <f>IF(A2847="","",A2847&amp;"|"&amp;O2847)</f>
        <v/>
      </c>
    </row>
    <row r="2848">
      <c r="A2848" s="60" t="n"/>
      <c r="B2848" s="63" t="n"/>
      <c r="C2848" s="63" t="n"/>
      <c r="D2848" s="67" t="n"/>
      <c r="E2848" s="68" t="n"/>
      <c r="F2848" s="69" t="n"/>
      <c r="G2848" s="70" t="n"/>
      <c r="H2848" s="62" t="str">
        <f>IF(COUNTA(A2848:G2848)=0,"",IF(C2848&lt;&gt;"",C2848,IF(B2848="","",IFERROR(INDEX(pr_des,MATCH(B2848,pr_code,0))&amp;"",""))))</f>
        <v/>
      </c>
      <c r="I2848" s="59" t="str">
        <f>IF(B2848="","",IFERROR(INDEX(pr_unit,MATCH(B2848,pr_code,0))&amp;"",""))</f>
        <v/>
      </c>
      <c r="J2848" s="65" t="str">
        <f>IF(COUNTA(A2848:G2848)=0,"",IF(E2848&lt;&gt;"",E2848,IF(B2848="","",IFERROR(IF(INDEX(pr_price,MATCH(B2848,pr_code,0))="","",INDEX(pr_price,MATCH(B2848,pr_code,0))),""))))</f>
        <v/>
      </c>
      <c r="K2848" s="71" t="str">
        <f>IF(COUNTA(A2848:G2848)=0,"",IF(G2848&lt;&gt;"",G2848,IF(B2848="","",IFERROR(IF(INDEX(pr_rate,MATCH(B2848,pr_code,0))="","",INDEX(pr_rate,MATCH(B2848,pr_code,0))),""))))</f>
        <v/>
      </c>
      <c r="L2848" s="65" t="str">
        <f>IF(COUNTA(A2848:G2848)=0,"",IF(AND(ISNUMBER(D2848),ISNUMBER(J2848)),ROUND(D2848*J2848*(1-N(F2848)),2),0))</f>
        <v/>
      </c>
      <c r="M2848" s="62" t="str">
        <f>IF(A2848="","",IFERROR(INDEX(fa_cname,MATCH(A2848,fa_num,0))&amp;"",""))</f>
        <v/>
      </c>
      <c r="N2848" s="59" t="str">
        <f>IF(COUNTA(A2848:G2848)=0,"",IF(A2848="","N° facture manquant",IF(ISNA(MATCH(A2848,fa_num,0)),"Facture inconnue",IF(AND(B2848&lt;&gt;"",ISNA(MATCH(B2848,pr_code,0))),"Article inconnu",IF(H2848="","Désignation manquante",IF(OR(NOT(ISNUMBER(D2848)),N(D2848)&lt;=0),"Quantité invalide",IF(J2848="","Prix manquant",IF(OR(NOT(ISNUMBER(J2848)),N(J2848)&lt;0),"Prix invalide",IF(OR(AND(F2848&lt;&gt;"",NOT(ISNUMBER(F2848))),N(F2848)&lt;0,N(F2848)&gt;1),"Remise invalide",IF(K2848="","Taux de TVA manquant",IF(NOT(ISNUMBER(K2848)),"Taux de TVA invalide",IF(COUNTIF(p_rates,K2848)=0,"Taux de TVA hors liste (Paramètres)",IF(N(O2848)&gt;25,"Au-delà de 25 lignes : non imprimée","OK")))))))))))))</f>
        <v/>
      </c>
      <c r="O2848" s="59" t="str">
        <f>IF(A2848="","",COUNTIF($A$6:A2848,A2848))</f>
        <v/>
      </c>
      <c r="P2848" s="62" t="str">
        <f>IF(A2848="","",A2848&amp;"|"&amp;O2848)</f>
        <v/>
      </c>
    </row>
    <row r="2849">
      <c r="A2849" s="60" t="n"/>
      <c r="B2849" s="63" t="n"/>
      <c r="C2849" s="63" t="n"/>
      <c r="D2849" s="67" t="n"/>
      <c r="E2849" s="68" t="n"/>
      <c r="F2849" s="69" t="n"/>
      <c r="G2849" s="70" t="n"/>
      <c r="H2849" s="62" t="str">
        <f>IF(COUNTA(A2849:G2849)=0,"",IF(C2849&lt;&gt;"",C2849,IF(B2849="","",IFERROR(INDEX(pr_des,MATCH(B2849,pr_code,0))&amp;"",""))))</f>
        <v/>
      </c>
      <c r="I2849" s="59" t="str">
        <f>IF(B2849="","",IFERROR(INDEX(pr_unit,MATCH(B2849,pr_code,0))&amp;"",""))</f>
        <v/>
      </c>
      <c r="J2849" s="65" t="str">
        <f>IF(COUNTA(A2849:G2849)=0,"",IF(E2849&lt;&gt;"",E2849,IF(B2849="","",IFERROR(IF(INDEX(pr_price,MATCH(B2849,pr_code,0))="","",INDEX(pr_price,MATCH(B2849,pr_code,0))),""))))</f>
        <v/>
      </c>
      <c r="K2849" s="71" t="str">
        <f>IF(COUNTA(A2849:G2849)=0,"",IF(G2849&lt;&gt;"",G2849,IF(B2849="","",IFERROR(IF(INDEX(pr_rate,MATCH(B2849,pr_code,0))="","",INDEX(pr_rate,MATCH(B2849,pr_code,0))),""))))</f>
        <v/>
      </c>
      <c r="L2849" s="65" t="str">
        <f>IF(COUNTA(A2849:G2849)=0,"",IF(AND(ISNUMBER(D2849),ISNUMBER(J2849)),ROUND(D2849*J2849*(1-N(F2849)),2),0))</f>
        <v/>
      </c>
      <c r="M2849" s="62" t="str">
        <f>IF(A2849="","",IFERROR(INDEX(fa_cname,MATCH(A2849,fa_num,0))&amp;"",""))</f>
        <v/>
      </c>
      <c r="N2849" s="59" t="str">
        <f>IF(COUNTA(A2849:G2849)=0,"",IF(A2849="","N° facture manquant",IF(ISNA(MATCH(A2849,fa_num,0)),"Facture inconnue",IF(AND(B2849&lt;&gt;"",ISNA(MATCH(B2849,pr_code,0))),"Article inconnu",IF(H2849="","Désignation manquante",IF(OR(NOT(ISNUMBER(D2849)),N(D2849)&lt;=0),"Quantité invalide",IF(J2849="","Prix manquant",IF(OR(NOT(ISNUMBER(J2849)),N(J2849)&lt;0),"Prix invalide",IF(OR(AND(F2849&lt;&gt;"",NOT(ISNUMBER(F2849))),N(F2849)&lt;0,N(F2849)&gt;1),"Remise invalide",IF(K2849="","Taux de TVA manquant",IF(NOT(ISNUMBER(K2849)),"Taux de TVA invalide",IF(COUNTIF(p_rates,K2849)=0,"Taux de TVA hors liste (Paramètres)",IF(N(O2849)&gt;25,"Au-delà de 25 lignes : non imprimée","OK")))))))))))))</f>
        <v/>
      </c>
      <c r="O2849" s="59" t="str">
        <f>IF(A2849="","",COUNTIF($A$6:A2849,A2849))</f>
        <v/>
      </c>
      <c r="P2849" s="62" t="str">
        <f>IF(A2849="","",A2849&amp;"|"&amp;O2849)</f>
        <v/>
      </c>
    </row>
    <row r="2850">
      <c r="A2850" s="60" t="n"/>
      <c r="B2850" s="63" t="n"/>
      <c r="C2850" s="63" t="n"/>
      <c r="D2850" s="67" t="n"/>
      <c r="E2850" s="68" t="n"/>
      <c r="F2850" s="69" t="n"/>
      <c r="G2850" s="70" t="n"/>
      <c r="H2850" s="62" t="str">
        <f>IF(COUNTA(A2850:G2850)=0,"",IF(C2850&lt;&gt;"",C2850,IF(B2850="","",IFERROR(INDEX(pr_des,MATCH(B2850,pr_code,0))&amp;"",""))))</f>
        <v/>
      </c>
      <c r="I2850" s="59" t="str">
        <f>IF(B2850="","",IFERROR(INDEX(pr_unit,MATCH(B2850,pr_code,0))&amp;"",""))</f>
        <v/>
      </c>
      <c r="J2850" s="65" t="str">
        <f>IF(COUNTA(A2850:G2850)=0,"",IF(E2850&lt;&gt;"",E2850,IF(B2850="","",IFERROR(IF(INDEX(pr_price,MATCH(B2850,pr_code,0))="","",INDEX(pr_price,MATCH(B2850,pr_code,0))),""))))</f>
        <v/>
      </c>
      <c r="K2850" s="71" t="str">
        <f>IF(COUNTA(A2850:G2850)=0,"",IF(G2850&lt;&gt;"",G2850,IF(B2850="","",IFERROR(IF(INDEX(pr_rate,MATCH(B2850,pr_code,0))="","",INDEX(pr_rate,MATCH(B2850,pr_code,0))),""))))</f>
        <v/>
      </c>
      <c r="L2850" s="65" t="str">
        <f>IF(COUNTA(A2850:G2850)=0,"",IF(AND(ISNUMBER(D2850),ISNUMBER(J2850)),ROUND(D2850*J2850*(1-N(F2850)),2),0))</f>
        <v/>
      </c>
      <c r="M2850" s="62" t="str">
        <f>IF(A2850="","",IFERROR(INDEX(fa_cname,MATCH(A2850,fa_num,0))&amp;"",""))</f>
        <v/>
      </c>
      <c r="N2850" s="59" t="str">
        <f>IF(COUNTA(A2850:G2850)=0,"",IF(A2850="","N° facture manquant",IF(ISNA(MATCH(A2850,fa_num,0)),"Facture inconnue",IF(AND(B2850&lt;&gt;"",ISNA(MATCH(B2850,pr_code,0))),"Article inconnu",IF(H2850="","Désignation manquante",IF(OR(NOT(ISNUMBER(D2850)),N(D2850)&lt;=0),"Quantité invalide",IF(J2850="","Prix manquant",IF(OR(NOT(ISNUMBER(J2850)),N(J2850)&lt;0),"Prix invalide",IF(OR(AND(F2850&lt;&gt;"",NOT(ISNUMBER(F2850))),N(F2850)&lt;0,N(F2850)&gt;1),"Remise invalide",IF(K2850="","Taux de TVA manquant",IF(NOT(ISNUMBER(K2850)),"Taux de TVA invalide",IF(COUNTIF(p_rates,K2850)=0,"Taux de TVA hors liste (Paramètres)",IF(N(O2850)&gt;25,"Au-delà de 25 lignes : non imprimée","OK")))))))))))))</f>
        <v/>
      </c>
      <c r="O2850" s="59" t="str">
        <f>IF(A2850="","",COUNTIF($A$6:A2850,A2850))</f>
        <v/>
      </c>
      <c r="P2850" s="62" t="str">
        <f>IF(A2850="","",A2850&amp;"|"&amp;O2850)</f>
        <v/>
      </c>
    </row>
    <row r="2851">
      <c r="A2851" s="60" t="n"/>
      <c r="B2851" s="63" t="n"/>
      <c r="C2851" s="63" t="n"/>
      <c r="D2851" s="67" t="n"/>
      <c r="E2851" s="68" t="n"/>
      <c r="F2851" s="69" t="n"/>
      <c r="G2851" s="70" t="n"/>
      <c r="H2851" s="62" t="str">
        <f>IF(COUNTA(A2851:G2851)=0,"",IF(C2851&lt;&gt;"",C2851,IF(B2851="","",IFERROR(INDEX(pr_des,MATCH(B2851,pr_code,0))&amp;"",""))))</f>
        <v/>
      </c>
      <c r="I2851" s="59" t="str">
        <f>IF(B2851="","",IFERROR(INDEX(pr_unit,MATCH(B2851,pr_code,0))&amp;"",""))</f>
        <v/>
      </c>
      <c r="J2851" s="65" t="str">
        <f>IF(COUNTA(A2851:G2851)=0,"",IF(E2851&lt;&gt;"",E2851,IF(B2851="","",IFERROR(IF(INDEX(pr_price,MATCH(B2851,pr_code,0))="","",INDEX(pr_price,MATCH(B2851,pr_code,0))),""))))</f>
        <v/>
      </c>
      <c r="K2851" s="71" t="str">
        <f>IF(COUNTA(A2851:G2851)=0,"",IF(G2851&lt;&gt;"",G2851,IF(B2851="","",IFERROR(IF(INDEX(pr_rate,MATCH(B2851,pr_code,0))="","",INDEX(pr_rate,MATCH(B2851,pr_code,0))),""))))</f>
        <v/>
      </c>
      <c r="L2851" s="65" t="str">
        <f>IF(COUNTA(A2851:G2851)=0,"",IF(AND(ISNUMBER(D2851),ISNUMBER(J2851)),ROUND(D2851*J2851*(1-N(F2851)),2),0))</f>
        <v/>
      </c>
      <c r="M2851" s="62" t="str">
        <f>IF(A2851="","",IFERROR(INDEX(fa_cname,MATCH(A2851,fa_num,0))&amp;"",""))</f>
        <v/>
      </c>
      <c r="N2851" s="59" t="str">
        <f>IF(COUNTA(A2851:G2851)=0,"",IF(A2851="","N° facture manquant",IF(ISNA(MATCH(A2851,fa_num,0)),"Facture inconnue",IF(AND(B2851&lt;&gt;"",ISNA(MATCH(B2851,pr_code,0))),"Article inconnu",IF(H2851="","Désignation manquante",IF(OR(NOT(ISNUMBER(D2851)),N(D2851)&lt;=0),"Quantité invalide",IF(J2851="","Prix manquant",IF(OR(NOT(ISNUMBER(J2851)),N(J2851)&lt;0),"Prix invalide",IF(OR(AND(F2851&lt;&gt;"",NOT(ISNUMBER(F2851))),N(F2851)&lt;0,N(F2851)&gt;1),"Remise invalide",IF(K2851="","Taux de TVA manquant",IF(NOT(ISNUMBER(K2851)),"Taux de TVA invalide",IF(COUNTIF(p_rates,K2851)=0,"Taux de TVA hors liste (Paramètres)",IF(N(O2851)&gt;25,"Au-delà de 25 lignes : non imprimée","OK")))))))))))))</f>
        <v/>
      </c>
      <c r="O2851" s="59" t="str">
        <f>IF(A2851="","",COUNTIF($A$6:A2851,A2851))</f>
        <v/>
      </c>
      <c r="P2851" s="62" t="str">
        <f>IF(A2851="","",A2851&amp;"|"&amp;O2851)</f>
        <v/>
      </c>
    </row>
    <row r="2852">
      <c r="A2852" s="60" t="n"/>
      <c r="B2852" s="63" t="n"/>
      <c r="C2852" s="63" t="n"/>
      <c r="D2852" s="67" t="n"/>
      <c r="E2852" s="68" t="n"/>
      <c r="F2852" s="69" t="n"/>
      <c r="G2852" s="70" t="n"/>
      <c r="H2852" s="62" t="str">
        <f>IF(COUNTA(A2852:G2852)=0,"",IF(C2852&lt;&gt;"",C2852,IF(B2852="","",IFERROR(INDEX(pr_des,MATCH(B2852,pr_code,0))&amp;"",""))))</f>
        <v/>
      </c>
      <c r="I2852" s="59" t="str">
        <f>IF(B2852="","",IFERROR(INDEX(pr_unit,MATCH(B2852,pr_code,0))&amp;"",""))</f>
        <v/>
      </c>
      <c r="J2852" s="65" t="str">
        <f>IF(COUNTA(A2852:G2852)=0,"",IF(E2852&lt;&gt;"",E2852,IF(B2852="","",IFERROR(IF(INDEX(pr_price,MATCH(B2852,pr_code,0))="","",INDEX(pr_price,MATCH(B2852,pr_code,0))),""))))</f>
        <v/>
      </c>
      <c r="K2852" s="71" t="str">
        <f>IF(COUNTA(A2852:G2852)=0,"",IF(G2852&lt;&gt;"",G2852,IF(B2852="","",IFERROR(IF(INDEX(pr_rate,MATCH(B2852,pr_code,0))="","",INDEX(pr_rate,MATCH(B2852,pr_code,0))),""))))</f>
        <v/>
      </c>
      <c r="L2852" s="65" t="str">
        <f>IF(COUNTA(A2852:G2852)=0,"",IF(AND(ISNUMBER(D2852),ISNUMBER(J2852)),ROUND(D2852*J2852*(1-N(F2852)),2),0))</f>
        <v/>
      </c>
      <c r="M2852" s="62" t="str">
        <f>IF(A2852="","",IFERROR(INDEX(fa_cname,MATCH(A2852,fa_num,0))&amp;"",""))</f>
        <v/>
      </c>
      <c r="N2852" s="59" t="str">
        <f>IF(COUNTA(A2852:G2852)=0,"",IF(A2852="","N° facture manquant",IF(ISNA(MATCH(A2852,fa_num,0)),"Facture inconnue",IF(AND(B2852&lt;&gt;"",ISNA(MATCH(B2852,pr_code,0))),"Article inconnu",IF(H2852="","Désignation manquante",IF(OR(NOT(ISNUMBER(D2852)),N(D2852)&lt;=0),"Quantité invalide",IF(J2852="","Prix manquant",IF(OR(NOT(ISNUMBER(J2852)),N(J2852)&lt;0),"Prix invalide",IF(OR(AND(F2852&lt;&gt;"",NOT(ISNUMBER(F2852))),N(F2852)&lt;0,N(F2852)&gt;1),"Remise invalide",IF(K2852="","Taux de TVA manquant",IF(NOT(ISNUMBER(K2852)),"Taux de TVA invalide",IF(COUNTIF(p_rates,K2852)=0,"Taux de TVA hors liste (Paramètres)",IF(N(O2852)&gt;25,"Au-delà de 25 lignes : non imprimée","OK")))))))))))))</f>
        <v/>
      </c>
      <c r="O2852" s="59" t="str">
        <f>IF(A2852="","",COUNTIF($A$6:A2852,A2852))</f>
        <v/>
      </c>
      <c r="P2852" s="62" t="str">
        <f>IF(A2852="","",A2852&amp;"|"&amp;O2852)</f>
        <v/>
      </c>
    </row>
    <row r="2853">
      <c r="A2853" s="60" t="n"/>
      <c r="B2853" s="63" t="n"/>
      <c r="C2853" s="63" t="n"/>
      <c r="D2853" s="67" t="n"/>
      <c r="E2853" s="68" t="n"/>
      <c r="F2853" s="69" t="n"/>
      <c r="G2853" s="70" t="n"/>
      <c r="H2853" s="62" t="str">
        <f>IF(COUNTA(A2853:G2853)=0,"",IF(C2853&lt;&gt;"",C2853,IF(B2853="","",IFERROR(INDEX(pr_des,MATCH(B2853,pr_code,0))&amp;"",""))))</f>
        <v/>
      </c>
      <c r="I2853" s="59" t="str">
        <f>IF(B2853="","",IFERROR(INDEX(pr_unit,MATCH(B2853,pr_code,0))&amp;"",""))</f>
        <v/>
      </c>
      <c r="J2853" s="65" t="str">
        <f>IF(COUNTA(A2853:G2853)=0,"",IF(E2853&lt;&gt;"",E2853,IF(B2853="","",IFERROR(IF(INDEX(pr_price,MATCH(B2853,pr_code,0))="","",INDEX(pr_price,MATCH(B2853,pr_code,0))),""))))</f>
        <v/>
      </c>
      <c r="K2853" s="71" t="str">
        <f>IF(COUNTA(A2853:G2853)=0,"",IF(G2853&lt;&gt;"",G2853,IF(B2853="","",IFERROR(IF(INDEX(pr_rate,MATCH(B2853,pr_code,0))="","",INDEX(pr_rate,MATCH(B2853,pr_code,0))),""))))</f>
        <v/>
      </c>
      <c r="L2853" s="65" t="str">
        <f>IF(COUNTA(A2853:G2853)=0,"",IF(AND(ISNUMBER(D2853),ISNUMBER(J2853)),ROUND(D2853*J2853*(1-N(F2853)),2),0))</f>
        <v/>
      </c>
      <c r="M2853" s="62" t="str">
        <f>IF(A2853="","",IFERROR(INDEX(fa_cname,MATCH(A2853,fa_num,0))&amp;"",""))</f>
        <v/>
      </c>
      <c r="N2853" s="59" t="str">
        <f>IF(COUNTA(A2853:G2853)=0,"",IF(A2853="","N° facture manquant",IF(ISNA(MATCH(A2853,fa_num,0)),"Facture inconnue",IF(AND(B2853&lt;&gt;"",ISNA(MATCH(B2853,pr_code,0))),"Article inconnu",IF(H2853="","Désignation manquante",IF(OR(NOT(ISNUMBER(D2853)),N(D2853)&lt;=0),"Quantité invalide",IF(J2853="","Prix manquant",IF(OR(NOT(ISNUMBER(J2853)),N(J2853)&lt;0),"Prix invalide",IF(OR(AND(F2853&lt;&gt;"",NOT(ISNUMBER(F2853))),N(F2853)&lt;0,N(F2853)&gt;1),"Remise invalide",IF(K2853="","Taux de TVA manquant",IF(NOT(ISNUMBER(K2853)),"Taux de TVA invalide",IF(COUNTIF(p_rates,K2853)=0,"Taux de TVA hors liste (Paramètres)",IF(N(O2853)&gt;25,"Au-delà de 25 lignes : non imprimée","OK")))))))))))))</f>
        <v/>
      </c>
      <c r="O2853" s="59" t="str">
        <f>IF(A2853="","",COUNTIF($A$6:A2853,A2853))</f>
        <v/>
      </c>
      <c r="P2853" s="62" t="str">
        <f>IF(A2853="","",A2853&amp;"|"&amp;O2853)</f>
        <v/>
      </c>
    </row>
    <row r="2854">
      <c r="A2854" s="60" t="n"/>
      <c r="B2854" s="63" t="n"/>
      <c r="C2854" s="63" t="n"/>
      <c r="D2854" s="67" t="n"/>
      <c r="E2854" s="68" t="n"/>
      <c r="F2854" s="69" t="n"/>
      <c r="G2854" s="70" t="n"/>
      <c r="H2854" s="62" t="str">
        <f>IF(COUNTA(A2854:G2854)=0,"",IF(C2854&lt;&gt;"",C2854,IF(B2854="","",IFERROR(INDEX(pr_des,MATCH(B2854,pr_code,0))&amp;"",""))))</f>
        <v/>
      </c>
      <c r="I2854" s="59" t="str">
        <f>IF(B2854="","",IFERROR(INDEX(pr_unit,MATCH(B2854,pr_code,0))&amp;"",""))</f>
        <v/>
      </c>
      <c r="J2854" s="65" t="str">
        <f>IF(COUNTA(A2854:G2854)=0,"",IF(E2854&lt;&gt;"",E2854,IF(B2854="","",IFERROR(IF(INDEX(pr_price,MATCH(B2854,pr_code,0))="","",INDEX(pr_price,MATCH(B2854,pr_code,0))),""))))</f>
        <v/>
      </c>
      <c r="K2854" s="71" t="str">
        <f>IF(COUNTA(A2854:G2854)=0,"",IF(G2854&lt;&gt;"",G2854,IF(B2854="","",IFERROR(IF(INDEX(pr_rate,MATCH(B2854,pr_code,0))="","",INDEX(pr_rate,MATCH(B2854,pr_code,0))),""))))</f>
        <v/>
      </c>
      <c r="L2854" s="65" t="str">
        <f>IF(COUNTA(A2854:G2854)=0,"",IF(AND(ISNUMBER(D2854),ISNUMBER(J2854)),ROUND(D2854*J2854*(1-N(F2854)),2),0))</f>
        <v/>
      </c>
      <c r="M2854" s="62" t="str">
        <f>IF(A2854="","",IFERROR(INDEX(fa_cname,MATCH(A2854,fa_num,0))&amp;"",""))</f>
        <v/>
      </c>
      <c r="N2854" s="59" t="str">
        <f>IF(COUNTA(A2854:G2854)=0,"",IF(A2854="","N° facture manquant",IF(ISNA(MATCH(A2854,fa_num,0)),"Facture inconnue",IF(AND(B2854&lt;&gt;"",ISNA(MATCH(B2854,pr_code,0))),"Article inconnu",IF(H2854="","Désignation manquante",IF(OR(NOT(ISNUMBER(D2854)),N(D2854)&lt;=0),"Quantité invalide",IF(J2854="","Prix manquant",IF(OR(NOT(ISNUMBER(J2854)),N(J2854)&lt;0),"Prix invalide",IF(OR(AND(F2854&lt;&gt;"",NOT(ISNUMBER(F2854))),N(F2854)&lt;0,N(F2854)&gt;1),"Remise invalide",IF(K2854="","Taux de TVA manquant",IF(NOT(ISNUMBER(K2854)),"Taux de TVA invalide",IF(COUNTIF(p_rates,K2854)=0,"Taux de TVA hors liste (Paramètres)",IF(N(O2854)&gt;25,"Au-delà de 25 lignes : non imprimée","OK")))))))))))))</f>
        <v/>
      </c>
      <c r="O2854" s="59" t="str">
        <f>IF(A2854="","",COUNTIF($A$6:A2854,A2854))</f>
        <v/>
      </c>
      <c r="P2854" s="62" t="str">
        <f>IF(A2854="","",A2854&amp;"|"&amp;O2854)</f>
        <v/>
      </c>
    </row>
    <row r="2855">
      <c r="A2855" s="60" t="n"/>
      <c r="B2855" s="63" t="n"/>
      <c r="C2855" s="63" t="n"/>
      <c r="D2855" s="67" t="n"/>
      <c r="E2855" s="68" t="n"/>
      <c r="F2855" s="69" t="n"/>
      <c r="G2855" s="70" t="n"/>
      <c r="H2855" s="62" t="str">
        <f>IF(COUNTA(A2855:G2855)=0,"",IF(C2855&lt;&gt;"",C2855,IF(B2855="","",IFERROR(INDEX(pr_des,MATCH(B2855,pr_code,0))&amp;"",""))))</f>
        <v/>
      </c>
      <c r="I2855" s="59" t="str">
        <f>IF(B2855="","",IFERROR(INDEX(pr_unit,MATCH(B2855,pr_code,0))&amp;"",""))</f>
        <v/>
      </c>
      <c r="J2855" s="65" t="str">
        <f>IF(COUNTA(A2855:G2855)=0,"",IF(E2855&lt;&gt;"",E2855,IF(B2855="","",IFERROR(IF(INDEX(pr_price,MATCH(B2855,pr_code,0))="","",INDEX(pr_price,MATCH(B2855,pr_code,0))),""))))</f>
        <v/>
      </c>
      <c r="K2855" s="71" t="str">
        <f>IF(COUNTA(A2855:G2855)=0,"",IF(G2855&lt;&gt;"",G2855,IF(B2855="","",IFERROR(IF(INDEX(pr_rate,MATCH(B2855,pr_code,0))="","",INDEX(pr_rate,MATCH(B2855,pr_code,0))),""))))</f>
        <v/>
      </c>
      <c r="L2855" s="65" t="str">
        <f>IF(COUNTA(A2855:G2855)=0,"",IF(AND(ISNUMBER(D2855),ISNUMBER(J2855)),ROUND(D2855*J2855*(1-N(F2855)),2),0))</f>
        <v/>
      </c>
      <c r="M2855" s="62" t="str">
        <f>IF(A2855="","",IFERROR(INDEX(fa_cname,MATCH(A2855,fa_num,0))&amp;"",""))</f>
        <v/>
      </c>
      <c r="N2855" s="59" t="str">
        <f>IF(COUNTA(A2855:G2855)=0,"",IF(A2855="","N° facture manquant",IF(ISNA(MATCH(A2855,fa_num,0)),"Facture inconnue",IF(AND(B2855&lt;&gt;"",ISNA(MATCH(B2855,pr_code,0))),"Article inconnu",IF(H2855="","Désignation manquante",IF(OR(NOT(ISNUMBER(D2855)),N(D2855)&lt;=0),"Quantité invalide",IF(J2855="","Prix manquant",IF(OR(NOT(ISNUMBER(J2855)),N(J2855)&lt;0),"Prix invalide",IF(OR(AND(F2855&lt;&gt;"",NOT(ISNUMBER(F2855))),N(F2855)&lt;0,N(F2855)&gt;1),"Remise invalide",IF(K2855="","Taux de TVA manquant",IF(NOT(ISNUMBER(K2855)),"Taux de TVA invalide",IF(COUNTIF(p_rates,K2855)=0,"Taux de TVA hors liste (Paramètres)",IF(N(O2855)&gt;25,"Au-delà de 25 lignes : non imprimée","OK")))))))))))))</f>
        <v/>
      </c>
      <c r="O2855" s="59" t="str">
        <f>IF(A2855="","",COUNTIF($A$6:A2855,A2855))</f>
        <v/>
      </c>
      <c r="P2855" s="62" t="str">
        <f>IF(A2855="","",A2855&amp;"|"&amp;O2855)</f>
        <v/>
      </c>
    </row>
    <row r="2856">
      <c r="A2856" s="60" t="n"/>
      <c r="B2856" s="63" t="n"/>
      <c r="C2856" s="63" t="n"/>
      <c r="D2856" s="67" t="n"/>
      <c r="E2856" s="68" t="n"/>
      <c r="F2856" s="69" t="n"/>
      <c r="G2856" s="70" t="n"/>
      <c r="H2856" s="62" t="str">
        <f>IF(COUNTA(A2856:G2856)=0,"",IF(C2856&lt;&gt;"",C2856,IF(B2856="","",IFERROR(INDEX(pr_des,MATCH(B2856,pr_code,0))&amp;"",""))))</f>
        <v/>
      </c>
      <c r="I2856" s="59" t="str">
        <f>IF(B2856="","",IFERROR(INDEX(pr_unit,MATCH(B2856,pr_code,0))&amp;"",""))</f>
        <v/>
      </c>
      <c r="J2856" s="65" t="str">
        <f>IF(COUNTA(A2856:G2856)=0,"",IF(E2856&lt;&gt;"",E2856,IF(B2856="","",IFERROR(IF(INDEX(pr_price,MATCH(B2856,pr_code,0))="","",INDEX(pr_price,MATCH(B2856,pr_code,0))),""))))</f>
        <v/>
      </c>
      <c r="K2856" s="71" t="str">
        <f>IF(COUNTA(A2856:G2856)=0,"",IF(G2856&lt;&gt;"",G2856,IF(B2856="","",IFERROR(IF(INDEX(pr_rate,MATCH(B2856,pr_code,0))="","",INDEX(pr_rate,MATCH(B2856,pr_code,0))),""))))</f>
        <v/>
      </c>
      <c r="L2856" s="65" t="str">
        <f>IF(COUNTA(A2856:G2856)=0,"",IF(AND(ISNUMBER(D2856),ISNUMBER(J2856)),ROUND(D2856*J2856*(1-N(F2856)),2),0))</f>
        <v/>
      </c>
      <c r="M2856" s="62" t="str">
        <f>IF(A2856="","",IFERROR(INDEX(fa_cname,MATCH(A2856,fa_num,0))&amp;"",""))</f>
        <v/>
      </c>
      <c r="N2856" s="59" t="str">
        <f>IF(COUNTA(A2856:G2856)=0,"",IF(A2856="","N° facture manquant",IF(ISNA(MATCH(A2856,fa_num,0)),"Facture inconnue",IF(AND(B2856&lt;&gt;"",ISNA(MATCH(B2856,pr_code,0))),"Article inconnu",IF(H2856="","Désignation manquante",IF(OR(NOT(ISNUMBER(D2856)),N(D2856)&lt;=0),"Quantité invalide",IF(J2856="","Prix manquant",IF(OR(NOT(ISNUMBER(J2856)),N(J2856)&lt;0),"Prix invalide",IF(OR(AND(F2856&lt;&gt;"",NOT(ISNUMBER(F2856))),N(F2856)&lt;0,N(F2856)&gt;1),"Remise invalide",IF(K2856="","Taux de TVA manquant",IF(NOT(ISNUMBER(K2856)),"Taux de TVA invalide",IF(COUNTIF(p_rates,K2856)=0,"Taux de TVA hors liste (Paramètres)",IF(N(O2856)&gt;25,"Au-delà de 25 lignes : non imprimée","OK")))))))))))))</f>
        <v/>
      </c>
      <c r="O2856" s="59" t="str">
        <f>IF(A2856="","",COUNTIF($A$6:A2856,A2856))</f>
        <v/>
      </c>
      <c r="P2856" s="62" t="str">
        <f>IF(A2856="","",A2856&amp;"|"&amp;O2856)</f>
        <v/>
      </c>
    </row>
    <row r="2857">
      <c r="A2857" s="60" t="n"/>
      <c r="B2857" s="63" t="n"/>
      <c r="C2857" s="63" t="n"/>
      <c r="D2857" s="67" t="n"/>
      <c r="E2857" s="68" t="n"/>
      <c r="F2857" s="69" t="n"/>
      <c r="G2857" s="70" t="n"/>
      <c r="H2857" s="62" t="str">
        <f>IF(COUNTA(A2857:G2857)=0,"",IF(C2857&lt;&gt;"",C2857,IF(B2857="","",IFERROR(INDEX(pr_des,MATCH(B2857,pr_code,0))&amp;"",""))))</f>
        <v/>
      </c>
      <c r="I2857" s="59" t="str">
        <f>IF(B2857="","",IFERROR(INDEX(pr_unit,MATCH(B2857,pr_code,0))&amp;"",""))</f>
        <v/>
      </c>
      <c r="J2857" s="65" t="str">
        <f>IF(COUNTA(A2857:G2857)=0,"",IF(E2857&lt;&gt;"",E2857,IF(B2857="","",IFERROR(IF(INDEX(pr_price,MATCH(B2857,pr_code,0))="","",INDEX(pr_price,MATCH(B2857,pr_code,0))),""))))</f>
        <v/>
      </c>
      <c r="K2857" s="71" t="str">
        <f>IF(COUNTA(A2857:G2857)=0,"",IF(G2857&lt;&gt;"",G2857,IF(B2857="","",IFERROR(IF(INDEX(pr_rate,MATCH(B2857,pr_code,0))="","",INDEX(pr_rate,MATCH(B2857,pr_code,0))),""))))</f>
        <v/>
      </c>
      <c r="L2857" s="65" t="str">
        <f>IF(COUNTA(A2857:G2857)=0,"",IF(AND(ISNUMBER(D2857),ISNUMBER(J2857)),ROUND(D2857*J2857*(1-N(F2857)),2),0))</f>
        <v/>
      </c>
      <c r="M2857" s="62" t="str">
        <f>IF(A2857="","",IFERROR(INDEX(fa_cname,MATCH(A2857,fa_num,0))&amp;"",""))</f>
        <v/>
      </c>
      <c r="N2857" s="59" t="str">
        <f>IF(COUNTA(A2857:G2857)=0,"",IF(A2857="","N° facture manquant",IF(ISNA(MATCH(A2857,fa_num,0)),"Facture inconnue",IF(AND(B2857&lt;&gt;"",ISNA(MATCH(B2857,pr_code,0))),"Article inconnu",IF(H2857="","Désignation manquante",IF(OR(NOT(ISNUMBER(D2857)),N(D2857)&lt;=0),"Quantité invalide",IF(J2857="","Prix manquant",IF(OR(NOT(ISNUMBER(J2857)),N(J2857)&lt;0),"Prix invalide",IF(OR(AND(F2857&lt;&gt;"",NOT(ISNUMBER(F2857))),N(F2857)&lt;0,N(F2857)&gt;1),"Remise invalide",IF(K2857="","Taux de TVA manquant",IF(NOT(ISNUMBER(K2857)),"Taux de TVA invalide",IF(COUNTIF(p_rates,K2857)=0,"Taux de TVA hors liste (Paramètres)",IF(N(O2857)&gt;25,"Au-delà de 25 lignes : non imprimée","OK")))))))))))))</f>
        <v/>
      </c>
      <c r="O2857" s="59" t="str">
        <f>IF(A2857="","",COUNTIF($A$6:A2857,A2857))</f>
        <v/>
      </c>
      <c r="P2857" s="62" t="str">
        <f>IF(A2857="","",A2857&amp;"|"&amp;O2857)</f>
        <v/>
      </c>
    </row>
    <row r="2858">
      <c r="A2858" s="60" t="n"/>
      <c r="B2858" s="63" t="n"/>
      <c r="C2858" s="63" t="n"/>
      <c r="D2858" s="67" t="n"/>
      <c r="E2858" s="68" t="n"/>
      <c r="F2858" s="69" t="n"/>
      <c r="G2858" s="70" t="n"/>
      <c r="H2858" s="62" t="str">
        <f>IF(COUNTA(A2858:G2858)=0,"",IF(C2858&lt;&gt;"",C2858,IF(B2858="","",IFERROR(INDEX(pr_des,MATCH(B2858,pr_code,0))&amp;"",""))))</f>
        <v/>
      </c>
      <c r="I2858" s="59" t="str">
        <f>IF(B2858="","",IFERROR(INDEX(pr_unit,MATCH(B2858,pr_code,0))&amp;"",""))</f>
        <v/>
      </c>
      <c r="J2858" s="65" t="str">
        <f>IF(COUNTA(A2858:G2858)=0,"",IF(E2858&lt;&gt;"",E2858,IF(B2858="","",IFERROR(IF(INDEX(pr_price,MATCH(B2858,pr_code,0))="","",INDEX(pr_price,MATCH(B2858,pr_code,0))),""))))</f>
        <v/>
      </c>
      <c r="K2858" s="71" t="str">
        <f>IF(COUNTA(A2858:G2858)=0,"",IF(G2858&lt;&gt;"",G2858,IF(B2858="","",IFERROR(IF(INDEX(pr_rate,MATCH(B2858,pr_code,0))="","",INDEX(pr_rate,MATCH(B2858,pr_code,0))),""))))</f>
        <v/>
      </c>
      <c r="L2858" s="65" t="str">
        <f>IF(COUNTA(A2858:G2858)=0,"",IF(AND(ISNUMBER(D2858),ISNUMBER(J2858)),ROUND(D2858*J2858*(1-N(F2858)),2),0))</f>
        <v/>
      </c>
      <c r="M2858" s="62" t="str">
        <f>IF(A2858="","",IFERROR(INDEX(fa_cname,MATCH(A2858,fa_num,0))&amp;"",""))</f>
        <v/>
      </c>
      <c r="N2858" s="59" t="str">
        <f>IF(COUNTA(A2858:G2858)=0,"",IF(A2858="","N° facture manquant",IF(ISNA(MATCH(A2858,fa_num,0)),"Facture inconnue",IF(AND(B2858&lt;&gt;"",ISNA(MATCH(B2858,pr_code,0))),"Article inconnu",IF(H2858="","Désignation manquante",IF(OR(NOT(ISNUMBER(D2858)),N(D2858)&lt;=0),"Quantité invalide",IF(J2858="","Prix manquant",IF(OR(NOT(ISNUMBER(J2858)),N(J2858)&lt;0),"Prix invalide",IF(OR(AND(F2858&lt;&gt;"",NOT(ISNUMBER(F2858))),N(F2858)&lt;0,N(F2858)&gt;1),"Remise invalide",IF(K2858="","Taux de TVA manquant",IF(NOT(ISNUMBER(K2858)),"Taux de TVA invalide",IF(COUNTIF(p_rates,K2858)=0,"Taux de TVA hors liste (Paramètres)",IF(N(O2858)&gt;25,"Au-delà de 25 lignes : non imprimée","OK")))))))))))))</f>
        <v/>
      </c>
      <c r="O2858" s="59" t="str">
        <f>IF(A2858="","",COUNTIF($A$6:A2858,A2858))</f>
        <v/>
      </c>
      <c r="P2858" s="62" t="str">
        <f>IF(A2858="","",A2858&amp;"|"&amp;O2858)</f>
        <v/>
      </c>
    </row>
    <row r="2859">
      <c r="A2859" s="60" t="n"/>
      <c r="B2859" s="63" t="n"/>
      <c r="C2859" s="63" t="n"/>
      <c r="D2859" s="67" t="n"/>
      <c r="E2859" s="68" t="n"/>
      <c r="F2859" s="69" t="n"/>
      <c r="G2859" s="70" t="n"/>
      <c r="H2859" s="62" t="str">
        <f>IF(COUNTA(A2859:G2859)=0,"",IF(C2859&lt;&gt;"",C2859,IF(B2859="","",IFERROR(INDEX(pr_des,MATCH(B2859,pr_code,0))&amp;"",""))))</f>
        <v/>
      </c>
      <c r="I2859" s="59" t="str">
        <f>IF(B2859="","",IFERROR(INDEX(pr_unit,MATCH(B2859,pr_code,0))&amp;"",""))</f>
        <v/>
      </c>
      <c r="J2859" s="65" t="str">
        <f>IF(COUNTA(A2859:G2859)=0,"",IF(E2859&lt;&gt;"",E2859,IF(B2859="","",IFERROR(IF(INDEX(pr_price,MATCH(B2859,pr_code,0))="","",INDEX(pr_price,MATCH(B2859,pr_code,0))),""))))</f>
        <v/>
      </c>
      <c r="K2859" s="71" t="str">
        <f>IF(COUNTA(A2859:G2859)=0,"",IF(G2859&lt;&gt;"",G2859,IF(B2859="","",IFERROR(IF(INDEX(pr_rate,MATCH(B2859,pr_code,0))="","",INDEX(pr_rate,MATCH(B2859,pr_code,0))),""))))</f>
        <v/>
      </c>
      <c r="L2859" s="65" t="str">
        <f>IF(COUNTA(A2859:G2859)=0,"",IF(AND(ISNUMBER(D2859),ISNUMBER(J2859)),ROUND(D2859*J2859*(1-N(F2859)),2),0))</f>
        <v/>
      </c>
      <c r="M2859" s="62" t="str">
        <f>IF(A2859="","",IFERROR(INDEX(fa_cname,MATCH(A2859,fa_num,0))&amp;"",""))</f>
        <v/>
      </c>
      <c r="N2859" s="59" t="str">
        <f>IF(COUNTA(A2859:G2859)=0,"",IF(A2859="","N° facture manquant",IF(ISNA(MATCH(A2859,fa_num,0)),"Facture inconnue",IF(AND(B2859&lt;&gt;"",ISNA(MATCH(B2859,pr_code,0))),"Article inconnu",IF(H2859="","Désignation manquante",IF(OR(NOT(ISNUMBER(D2859)),N(D2859)&lt;=0),"Quantité invalide",IF(J2859="","Prix manquant",IF(OR(NOT(ISNUMBER(J2859)),N(J2859)&lt;0),"Prix invalide",IF(OR(AND(F2859&lt;&gt;"",NOT(ISNUMBER(F2859))),N(F2859)&lt;0,N(F2859)&gt;1),"Remise invalide",IF(K2859="","Taux de TVA manquant",IF(NOT(ISNUMBER(K2859)),"Taux de TVA invalide",IF(COUNTIF(p_rates,K2859)=0,"Taux de TVA hors liste (Paramètres)",IF(N(O2859)&gt;25,"Au-delà de 25 lignes : non imprimée","OK")))))))))))))</f>
        <v/>
      </c>
      <c r="O2859" s="59" t="str">
        <f>IF(A2859="","",COUNTIF($A$6:A2859,A2859))</f>
        <v/>
      </c>
      <c r="P2859" s="62" t="str">
        <f>IF(A2859="","",A2859&amp;"|"&amp;O2859)</f>
        <v/>
      </c>
    </row>
    <row r="2860">
      <c r="A2860" s="60" t="n"/>
      <c r="B2860" s="63" t="n"/>
      <c r="C2860" s="63" t="n"/>
      <c r="D2860" s="67" t="n"/>
      <c r="E2860" s="68" t="n"/>
      <c r="F2860" s="69" t="n"/>
      <c r="G2860" s="70" t="n"/>
      <c r="H2860" s="62" t="str">
        <f>IF(COUNTA(A2860:G2860)=0,"",IF(C2860&lt;&gt;"",C2860,IF(B2860="","",IFERROR(INDEX(pr_des,MATCH(B2860,pr_code,0))&amp;"",""))))</f>
        <v/>
      </c>
      <c r="I2860" s="59" t="str">
        <f>IF(B2860="","",IFERROR(INDEX(pr_unit,MATCH(B2860,pr_code,0))&amp;"",""))</f>
        <v/>
      </c>
      <c r="J2860" s="65" t="str">
        <f>IF(COUNTA(A2860:G2860)=0,"",IF(E2860&lt;&gt;"",E2860,IF(B2860="","",IFERROR(IF(INDEX(pr_price,MATCH(B2860,pr_code,0))="","",INDEX(pr_price,MATCH(B2860,pr_code,0))),""))))</f>
        <v/>
      </c>
      <c r="K2860" s="71" t="str">
        <f>IF(COUNTA(A2860:G2860)=0,"",IF(G2860&lt;&gt;"",G2860,IF(B2860="","",IFERROR(IF(INDEX(pr_rate,MATCH(B2860,pr_code,0))="","",INDEX(pr_rate,MATCH(B2860,pr_code,0))),""))))</f>
        <v/>
      </c>
      <c r="L2860" s="65" t="str">
        <f>IF(COUNTA(A2860:G2860)=0,"",IF(AND(ISNUMBER(D2860),ISNUMBER(J2860)),ROUND(D2860*J2860*(1-N(F2860)),2),0))</f>
        <v/>
      </c>
      <c r="M2860" s="62" t="str">
        <f>IF(A2860="","",IFERROR(INDEX(fa_cname,MATCH(A2860,fa_num,0))&amp;"",""))</f>
        <v/>
      </c>
      <c r="N2860" s="59" t="str">
        <f>IF(COUNTA(A2860:G2860)=0,"",IF(A2860="","N° facture manquant",IF(ISNA(MATCH(A2860,fa_num,0)),"Facture inconnue",IF(AND(B2860&lt;&gt;"",ISNA(MATCH(B2860,pr_code,0))),"Article inconnu",IF(H2860="","Désignation manquante",IF(OR(NOT(ISNUMBER(D2860)),N(D2860)&lt;=0),"Quantité invalide",IF(J2860="","Prix manquant",IF(OR(NOT(ISNUMBER(J2860)),N(J2860)&lt;0),"Prix invalide",IF(OR(AND(F2860&lt;&gt;"",NOT(ISNUMBER(F2860))),N(F2860)&lt;0,N(F2860)&gt;1),"Remise invalide",IF(K2860="","Taux de TVA manquant",IF(NOT(ISNUMBER(K2860)),"Taux de TVA invalide",IF(COUNTIF(p_rates,K2860)=0,"Taux de TVA hors liste (Paramètres)",IF(N(O2860)&gt;25,"Au-delà de 25 lignes : non imprimée","OK")))))))))))))</f>
        <v/>
      </c>
      <c r="O2860" s="59" t="str">
        <f>IF(A2860="","",COUNTIF($A$6:A2860,A2860))</f>
        <v/>
      </c>
      <c r="P2860" s="62" t="str">
        <f>IF(A2860="","",A2860&amp;"|"&amp;O2860)</f>
        <v/>
      </c>
    </row>
    <row r="2861">
      <c r="A2861" s="60" t="n"/>
      <c r="B2861" s="63" t="n"/>
      <c r="C2861" s="63" t="n"/>
      <c r="D2861" s="67" t="n"/>
      <c r="E2861" s="68" t="n"/>
      <c r="F2861" s="69" t="n"/>
      <c r="G2861" s="70" t="n"/>
      <c r="H2861" s="62" t="str">
        <f>IF(COUNTA(A2861:G2861)=0,"",IF(C2861&lt;&gt;"",C2861,IF(B2861="","",IFERROR(INDEX(pr_des,MATCH(B2861,pr_code,0))&amp;"",""))))</f>
        <v/>
      </c>
      <c r="I2861" s="59" t="str">
        <f>IF(B2861="","",IFERROR(INDEX(pr_unit,MATCH(B2861,pr_code,0))&amp;"",""))</f>
        <v/>
      </c>
      <c r="J2861" s="65" t="str">
        <f>IF(COUNTA(A2861:G2861)=0,"",IF(E2861&lt;&gt;"",E2861,IF(B2861="","",IFERROR(IF(INDEX(pr_price,MATCH(B2861,pr_code,0))="","",INDEX(pr_price,MATCH(B2861,pr_code,0))),""))))</f>
        <v/>
      </c>
      <c r="K2861" s="71" t="str">
        <f>IF(COUNTA(A2861:G2861)=0,"",IF(G2861&lt;&gt;"",G2861,IF(B2861="","",IFERROR(IF(INDEX(pr_rate,MATCH(B2861,pr_code,0))="","",INDEX(pr_rate,MATCH(B2861,pr_code,0))),""))))</f>
        <v/>
      </c>
      <c r="L2861" s="65" t="str">
        <f>IF(COUNTA(A2861:G2861)=0,"",IF(AND(ISNUMBER(D2861),ISNUMBER(J2861)),ROUND(D2861*J2861*(1-N(F2861)),2),0))</f>
        <v/>
      </c>
      <c r="M2861" s="62" t="str">
        <f>IF(A2861="","",IFERROR(INDEX(fa_cname,MATCH(A2861,fa_num,0))&amp;"",""))</f>
        <v/>
      </c>
      <c r="N2861" s="59" t="str">
        <f>IF(COUNTA(A2861:G2861)=0,"",IF(A2861="","N° facture manquant",IF(ISNA(MATCH(A2861,fa_num,0)),"Facture inconnue",IF(AND(B2861&lt;&gt;"",ISNA(MATCH(B2861,pr_code,0))),"Article inconnu",IF(H2861="","Désignation manquante",IF(OR(NOT(ISNUMBER(D2861)),N(D2861)&lt;=0),"Quantité invalide",IF(J2861="","Prix manquant",IF(OR(NOT(ISNUMBER(J2861)),N(J2861)&lt;0),"Prix invalide",IF(OR(AND(F2861&lt;&gt;"",NOT(ISNUMBER(F2861))),N(F2861)&lt;0,N(F2861)&gt;1),"Remise invalide",IF(K2861="","Taux de TVA manquant",IF(NOT(ISNUMBER(K2861)),"Taux de TVA invalide",IF(COUNTIF(p_rates,K2861)=0,"Taux de TVA hors liste (Paramètres)",IF(N(O2861)&gt;25,"Au-delà de 25 lignes : non imprimée","OK")))))))))))))</f>
        <v/>
      </c>
      <c r="O2861" s="59" t="str">
        <f>IF(A2861="","",COUNTIF($A$6:A2861,A2861))</f>
        <v/>
      </c>
      <c r="P2861" s="62" t="str">
        <f>IF(A2861="","",A2861&amp;"|"&amp;O2861)</f>
        <v/>
      </c>
    </row>
    <row r="2862">
      <c r="A2862" s="60" t="n"/>
      <c r="B2862" s="63" t="n"/>
      <c r="C2862" s="63" t="n"/>
      <c r="D2862" s="67" t="n"/>
      <c r="E2862" s="68" t="n"/>
      <c r="F2862" s="69" t="n"/>
      <c r="G2862" s="70" t="n"/>
      <c r="H2862" s="62" t="str">
        <f>IF(COUNTA(A2862:G2862)=0,"",IF(C2862&lt;&gt;"",C2862,IF(B2862="","",IFERROR(INDEX(pr_des,MATCH(B2862,pr_code,0))&amp;"",""))))</f>
        <v/>
      </c>
      <c r="I2862" s="59" t="str">
        <f>IF(B2862="","",IFERROR(INDEX(pr_unit,MATCH(B2862,pr_code,0))&amp;"",""))</f>
        <v/>
      </c>
      <c r="J2862" s="65" t="str">
        <f>IF(COUNTA(A2862:G2862)=0,"",IF(E2862&lt;&gt;"",E2862,IF(B2862="","",IFERROR(IF(INDEX(pr_price,MATCH(B2862,pr_code,0))="","",INDEX(pr_price,MATCH(B2862,pr_code,0))),""))))</f>
        <v/>
      </c>
      <c r="K2862" s="71" t="str">
        <f>IF(COUNTA(A2862:G2862)=0,"",IF(G2862&lt;&gt;"",G2862,IF(B2862="","",IFERROR(IF(INDEX(pr_rate,MATCH(B2862,pr_code,0))="","",INDEX(pr_rate,MATCH(B2862,pr_code,0))),""))))</f>
        <v/>
      </c>
      <c r="L2862" s="65" t="str">
        <f>IF(COUNTA(A2862:G2862)=0,"",IF(AND(ISNUMBER(D2862),ISNUMBER(J2862)),ROUND(D2862*J2862*(1-N(F2862)),2),0))</f>
        <v/>
      </c>
      <c r="M2862" s="62" t="str">
        <f>IF(A2862="","",IFERROR(INDEX(fa_cname,MATCH(A2862,fa_num,0))&amp;"",""))</f>
        <v/>
      </c>
      <c r="N2862" s="59" t="str">
        <f>IF(COUNTA(A2862:G2862)=0,"",IF(A2862="","N° facture manquant",IF(ISNA(MATCH(A2862,fa_num,0)),"Facture inconnue",IF(AND(B2862&lt;&gt;"",ISNA(MATCH(B2862,pr_code,0))),"Article inconnu",IF(H2862="","Désignation manquante",IF(OR(NOT(ISNUMBER(D2862)),N(D2862)&lt;=0),"Quantité invalide",IF(J2862="","Prix manquant",IF(OR(NOT(ISNUMBER(J2862)),N(J2862)&lt;0),"Prix invalide",IF(OR(AND(F2862&lt;&gt;"",NOT(ISNUMBER(F2862))),N(F2862)&lt;0,N(F2862)&gt;1),"Remise invalide",IF(K2862="","Taux de TVA manquant",IF(NOT(ISNUMBER(K2862)),"Taux de TVA invalide",IF(COUNTIF(p_rates,K2862)=0,"Taux de TVA hors liste (Paramètres)",IF(N(O2862)&gt;25,"Au-delà de 25 lignes : non imprimée","OK")))))))))))))</f>
        <v/>
      </c>
      <c r="O2862" s="59" t="str">
        <f>IF(A2862="","",COUNTIF($A$6:A2862,A2862))</f>
        <v/>
      </c>
      <c r="P2862" s="62" t="str">
        <f>IF(A2862="","",A2862&amp;"|"&amp;O2862)</f>
        <v/>
      </c>
    </row>
    <row r="2863">
      <c r="A2863" s="60" t="n"/>
      <c r="B2863" s="63" t="n"/>
      <c r="C2863" s="63" t="n"/>
      <c r="D2863" s="67" t="n"/>
      <c r="E2863" s="68" t="n"/>
      <c r="F2863" s="69" t="n"/>
      <c r="G2863" s="70" t="n"/>
      <c r="H2863" s="62" t="str">
        <f>IF(COUNTA(A2863:G2863)=0,"",IF(C2863&lt;&gt;"",C2863,IF(B2863="","",IFERROR(INDEX(pr_des,MATCH(B2863,pr_code,0))&amp;"",""))))</f>
        <v/>
      </c>
      <c r="I2863" s="59" t="str">
        <f>IF(B2863="","",IFERROR(INDEX(pr_unit,MATCH(B2863,pr_code,0))&amp;"",""))</f>
        <v/>
      </c>
      <c r="J2863" s="65" t="str">
        <f>IF(COUNTA(A2863:G2863)=0,"",IF(E2863&lt;&gt;"",E2863,IF(B2863="","",IFERROR(IF(INDEX(pr_price,MATCH(B2863,pr_code,0))="","",INDEX(pr_price,MATCH(B2863,pr_code,0))),""))))</f>
        <v/>
      </c>
      <c r="K2863" s="71" t="str">
        <f>IF(COUNTA(A2863:G2863)=0,"",IF(G2863&lt;&gt;"",G2863,IF(B2863="","",IFERROR(IF(INDEX(pr_rate,MATCH(B2863,pr_code,0))="","",INDEX(pr_rate,MATCH(B2863,pr_code,0))),""))))</f>
        <v/>
      </c>
      <c r="L2863" s="65" t="str">
        <f>IF(COUNTA(A2863:G2863)=0,"",IF(AND(ISNUMBER(D2863),ISNUMBER(J2863)),ROUND(D2863*J2863*(1-N(F2863)),2),0))</f>
        <v/>
      </c>
      <c r="M2863" s="62" t="str">
        <f>IF(A2863="","",IFERROR(INDEX(fa_cname,MATCH(A2863,fa_num,0))&amp;"",""))</f>
        <v/>
      </c>
      <c r="N2863" s="59" t="str">
        <f>IF(COUNTA(A2863:G2863)=0,"",IF(A2863="","N° facture manquant",IF(ISNA(MATCH(A2863,fa_num,0)),"Facture inconnue",IF(AND(B2863&lt;&gt;"",ISNA(MATCH(B2863,pr_code,0))),"Article inconnu",IF(H2863="","Désignation manquante",IF(OR(NOT(ISNUMBER(D2863)),N(D2863)&lt;=0),"Quantité invalide",IF(J2863="","Prix manquant",IF(OR(NOT(ISNUMBER(J2863)),N(J2863)&lt;0),"Prix invalide",IF(OR(AND(F2863&lt;&gt;"",NOT(ISNUMBER(F2863))),N(F2863)&lt;0,N(F2863)&gt;1),"Remise invalide",IF(K2863="","Taux de TVA manquant",IF(NOT(ISNUMBER(K2863)),"Taux de TVA invalide",IF(COUNTIF(p_rates,K2863)=0,"Taux de TVA hors liste (Paramètres)",IF(N(O2863)&gt;25,"Au-delà de 25 lignes : non imprimée","OK")))))))))))))</f>
        <v/>
      </c>
      <c r="O2863" s="59" t="str">
        <f>IF(A2863="","",COUNTIF($A$6:A2863,A2863))</f>
        <v/>
      </c>
      <c r="P2863" s="62" t="str">
        <f>IF(A2863="","",A2863&amp;"|"&amp;O2863)</f>
        <v/>
      </c>
    </row>
    <row r="2864">
      <c r="A2864" s="60" t="n"/>
      <c r="B2864" s="63" t="n"/>
      <c r="C2864" s="63" t="n"/>
      <c r="D2864" s="67" t="n"/>
      <c r="E2864" s="68" t="n"/>
      <c r="F2864" s="69" t="n"/>
      <c r="G2864" s="70" t="n"/>
      <c r="H2864" s="62" t="str">
        <f>IF(COUNTA(A2864:G2864)=0,"",IF(C2864&lt;&gt;"",C2864,IF(B2864="","",IFERROR(INDEX(pr_des,MATCH(B2864,pr_code,0))&amp;"",""))))</f>
        <v/>
      </c>
      <c r="I2864" s="59" t="str">
        <f>IF(B2864="","",IFERROR(INDEX(pr_unit,MATCH(B2864,pr_code,0))&amp;"",""))</f>
        <v/>
      </c>
      <c r="J2864" s="65" t="str">
        <f>IF(COUNTA(A2864:G2864)=0,"",IF(E2864&lt;&gt;"",E2864,IF(B2864="","",IFERROR(IF(INDEX(pr_price,MATCH(B2864,pr_code,0))="","",INDEX(pr_price,MATCH(B2864,pr_code,0))),""))))</f>
        <v/>
      </c>
      <c r="K2864" s="71" t="str">
        <f>IF(COUNTA(A2864:G2864)=0,"",IF(G2864&lt;&gt;"",G2864,IF(B2864="","",IFERROR(IF(INDEX(pr_rate,MATCH(B2864,pr_code,0))="","",INDEX(pr_rate,MATCH(B2864,pr_code,0))),""))))</f>
        <v/>
      </c>
      <c r="L2864" s="65" t="str">
        <f>IF(COUNTA(A2864:G2864)=0,"",IF(AND(ISNUMBER(D2864),ISNUMBER(J2864)),ROUND(D2864*J2864*(1-N(F2864)),2),0))</f>
        <v/>
      </c>
      <c r="M2864" s="62" t="str">
        <f>IF(A2864="","",IFERROR(INDEX(fa_cname,MATCH(A2864,fa_num,0))&amp;"",""))</f>
        <v/>
      </c>
      <c r="N2864" s="59" t="str">
        <f>IF(COUNTA(A2864:G2864)=0,"",IF(A2864="","N° facture manquant",IF(ISNA(MATCH(A2864,fa_num,0)),"Facture inconnue",IF(AND(B2864&lt;&gt;"",ISNA(MATCH(B2864,pr_code,0))),"Article inconnu",IF(H2864="","Désignation manquante",IF(OR(NOT(ISNUMBER(D2864)),N(D2864)&lt;=0),"Quantité invalide",IF(J2864="","Prix manquant",IF(OR(NOT(ISNUMBER(J2864)),N(J2864)&lt;0),"Prix invalide",IF(OR(AND(F2864&lt;&gt;"",NOT(ISNUMBER(F2864))),N(F2864)&lt;0,N(F2864)&gt;1),"Remise invalide",IF(K2864="","Taux de TVA manquant",IF(NOT(ISNUMBER(K2864)),"Taux de TVA invalide",IF(COUNTIF(p_rates,K2864)=0,"Taux de TVA hors liste (Paramètres)",IF(N(O2864)&gt;25,"Au-delà de 25 lignes : non imprimée","OK")))))))))))))</f>
        <v/>
      </c>
      <c r="O2864" s="59" t="str">
        <f>IF(A2864="","",COUNTIF($A$6:A2864,A2864))</f>
        <v/>
      </c>
      <c r="P2864" s="62" t="str">
        <f>IF(A2864="","",A2864&amp;"|"&amp;O2864)</f>
        <v/>
      </c>
    </row>
    <row r="2865">
      <c r="A2865" s="60" t="n"/>
      <c r="B2865" s="63" t="n"/>
      <c r="C2865" s="63" t="n"/>
      <c r="D2865" s="67" t="n"/>
      <c r="E2865" s="68" t="n"/>
      <c r="F2865" s="69" t="n"/>
      <c r="G2865" s="70" t="n"/>
      <c r="H2865" s="62" t="str">
        <f>IF(COUNTA(A2865:G2865)=0,"",IF(C2865&lt;&gt;"",C2865,IF(B2865="","",IFERROR(INDEX(pr_des,MATCH(B2865,pr_code,0))&amp;"",""))))</f>
        <v/>
      </c>
      <c r="I2865" s="59" t="str">
        <f>IF(B2865="","",IFERROR(INDEX(pr_unit,MATCH(B2865,pr_code,0))&amp;"",""))</f>
        <v/>
      </c>
      <c r="J2865" s="65" t="str">
        <f>IF(COUNTA(A2865:G2865)=0,"",IF(E2865&lt;&gt;"",E2865,IF(B2865="","",IFERROR(IF(INDEX(pr_price,MATCH(B2865,pr_code,0))="","",INDEX(pr_price,MATCH(B2865,pr_code,0))),""))))</f>
        <v/>
      </c>
      <c r="K2865" s="71" t="str">
        <f>IF(COUNTA(A2865:G2865)=0,"",IF(G2865&lt;&gt;"",G2865,IF(B2865="","",IFERROR(IF(INDEX(pr_rate,MATCH(B2865,pr_code,0))="","",INDEX(pr_rate,MATCH(B2865,pr_code,0))),""))))</f>
        <v/>
      </c>
      <c r="L2865" s="65" t="str">
        <f>IF(COUNTA(A2865:G2865)=0,"",IF(AND(ISNUMBER(D2865),ISNUMBER(J2865)),ROUND(D2865*J2865*(1-N(F2865)),2),0))</f>
        <v/>
      </c>
      <c r="M2865" s="62" t="str">
        <f>IF(A2865="","",IFERROR(INDEX(fa_cname,MATCH(A2865,fa_num,0))&amp;"",""))</f>
        <v/>
      </c>
      <c r="N2865" s="59" t="str">
        <f>IF(COUNTA(A2865:G2865)=0,"",IF(A2865="","N° facture manquant",IF(ISNA(MATCH(A2865,fa_num,0)),"Facture inconnue",IF(AND(B2865&lt;&gt;"",ISNA(MATCH(B2865,pr_code,0))),"Article inconnu",IF(H2865="","Désignation manquante",IF(OR(NOT(ISNUMBER(D2865)),N(D2865)&lt;=0),"Quantité invalide",IF(J2865="","Prix manquant",IF(OR(NOT(ISNUMBER(J2865)),N(J2865)&lt;0),"Prix invalide",IF(OR(AND(F2865&lt;&gt;"",NOT(ISNUMBER(F2865))),N(F2865)&lt;0,N(F2865)&gt;1),"Remise invalide",IF(K2865="","Taux de TVA manquant",IF(NOT(ISNUMBER(K2865)),"Taux de TVA invalide",IF(COUNTIF(p_rates,K2865)=0,"Taux de TVA hors liste (Paramètres)",IF(N(O2865)&gt;25,"Au-delà de 25 lignes : non imprimée","OK")))))))))))))</f>
        <v/>
      </c>
      <c r="O2865" s="59" t="str">
        <f>IF(A2865="","",COUNTIF($A$6:A2865,A2865))</f>
        <v/>
      </c>
      <c r="P2865" s="62" t="str">
        <f>IF(A2865="","",A2865&amp;"|"&amp;O2865)</f>
        <v/>
      </c>
    </row>
    <row r="2866">
      <c r="A2866" s="60" t="n"/>
      <c r="B2866" s="63" t="n"/>
      <c r="C2866" s="63" t="n"/>
      <c r="D2866" s="67" t="n"/>
      <c r="E2866" s="68" t="n"/>
      <c r="F2866" s="69" t="n"/>
      <c r="G2866" s="70" t="n"/>
      <c r="H2866" s="62" t="str">
        <f>IF(COUNTA(A2866:G2866)=0,"",IF(C2866&lt;&gt;"",C2866,IF(B2866="","",IFERROR(INDEX(pr_des,MATCH(B2866,pr_code,0))&amp;"",""))))</f>
        <v/>
      </c>
      <c r="I2866" s="59" t="str">
        <f>IF(B2866="","",IFERROR(INDEX(pr_unit,MATCH(B2866,pr_code,0))&amp;"",""))</f>
        <v/>
      </c>
      <c r="J2866" s="65" t="str">
        <f>IF(COUNTA(A2866:G2866)=0,"",IF(E2866&lt;&gt;"",E2866,IF(B2866="","",IFERROR(IF(INDEX(pr_price,MATCH(B2866,pr_code,0))="","",INDEX(pr_price,MATCH(B2866,pr_code,0))),""))))</f>
        <v/>
      </c>
      <c r="K2866" s="71" t="str">
        <f>IF(COUNTA(A2866:G2866)=0,"",IF(G2866&lt;&gt;"",G2866,IF(B2866="","",IFERROR(IF(INDEX(pr_rate,MATCH(B2866,pr_code,0))="","",INDEX(pr_rate,MATCH(B2866,pr_code,0))),""))))</f>
        <v/>
      </c>
      <c r="L2866" s="65" t="str">
        <f>IF(COUNTA(A2866:G2866)=0,"",IF(AND(ISNUMBER(D2866),ISNUMBER(J2866)),ROUND(D2866*J2866*(1-N(F2866)),2),0))</f>
        <v/>
      </c>
      <c r="M2866" s="62" t="str">
        <f>IF(A2866="","",IFERROR(INDEX(fa_cname,MATCH(A2866,fa_num,0))&amp;"",""))</f>
        <v/>
      </c>
      <c r="N2866" s="59" t="str">
        <f>IF(COUNTA(A2866:G2866)=0,"",IF(A2866="","N° facture manquant",IF(ISNA(MATCH(A2866,fa_num,0)),"Facture inconnue",IF(AND(B2866&lt;&gt;"",ISNA(MATCH(B2866,pr_code,0))),"Article inconnu",IF(H2866="","Désignation manquante",IF(OR(NOT(ISNUMBER(D2866)),N(D2866)&lt;=0),"Quantité invalide",IF(J2866="","Prix manquant",IF(OR(NOT(ISNUMBER(J2866)),N(J2866)&lt;0),"Prix invalide",IF(OR(AND(F2866&lt;&gt;"",NOT(ISNUMBER(F2866))),N(F2866)&lt;0,N(F2866)&gt;1),"Remise invalide",IF(K2866="","Taux de TVA manquant",IF(NOT(ISNUMBER(K2866)),"Taux de TVA invalide",IF(COUNTIF(p_rates,K2866)=0,"Taux de TVA hors liste (Paramètres)",IF(N(O2866)&gt;25,"Au-delà de 25 lignes : non imprimée","OK")))))))))))))</f>
        <v/>
      </c>
      <c r="O2866" s="59" t="str">
        <f>IF(A2866="","",COUNTIF($A$6:A2866,A2866))</f>
        <v/>
      </c>
      <c r="P2866" s="62" t="str">
        <f>IF(A2866="","",A2866&amp;"|"&amp;O2866)</f>
        <v/>
      </c>
    </row>
    <row r="2867">
      <c r="A2867" s="60" t="n"/>
      <c r="B2867" s="63" t="n"/>
      <c r="C2867" s="63" t="n"/>
      <c r="D2867" s="67" t="n"/>
      <c r="E2867" s="68" t="n"/>
      <c r="F2867" s="69" t="n"/>
      <c r="G2867" s="70" t="n"/>
      <c r="H2867" s="62" t="str">
        <f>IF(COUNTA(A2867:G2867)=0,"",IF(C2867&lt;&gt;"",C2867,IF(B2867="","",IFERROR(INDEX(pr_des,MATCH(B2867,pr_code,0))&amp;"",""))))</f>
        <v/>
      </c>
      <c r="I2867" s="59" t="str">
        <f>IF(B2867="","",IFERROR(INDEX(pr_unit,MATCH(B2867,pr_code,0))&amp;"",""))</f>
        <v/>
      </c>
      <c r="J2867" s="65" t="str">
        <f>IF(COUNTA(A2867:G2867)=0,"",IF(E2867&lt;&gt;"",E2867,IF(B2867="","",IFERROR(IF(INDEX(pr_price,MATCH(B2867,pr_code,0))="","",INDEX(pr_price,MATCH(B2867,pr_code,0))),""))))</f>
        <v/>
      </c>
      <c r="K2867" s="71" t="str">
        <f>IF(COUNTA(A2867:G2867)=0,"",IF(G2867&lt;&gt;"",G2867,IF(B2867="","",IFERROR(IF(INDEX(pr_rate,MATCH(B2867,pr_code,0))="","",INDEX(pr_rate,MATCH(B2867,pr_code,0))),""))))</f>
        <v/>
      </c>
      <c r="L2867" s="65" t="str">
        <f>IF(COUNTA(A2867:G2867)=0,"",IF(AND(ISNUMBER(D2867),ISNUMBER(J2867)),ROUND(D2867*J2867*(1-N(F2867)),2),0))</f>
        <v/>
      </c>
      <c r="M2867" s="62" t="str">
        <f>IF(A2867="","",IFERROR(INDEX(fa_cname,MATCH(A2867,fa_num,0))&amp;"",""))</f>
        <v/>
      </c>
      <c r="N2867" s="59" t="str">
        <f>IF(COUNTA(A2867:G2867)=0,"",IF(A2867="","N° facture manquant",IF(ISNA(MATCH(A2867,fa_num,0)),"Facture inconnue",IF(AND(B2867&lt;&gt;"",ISNA(MATCH(B2867,pr_code,0))),"Article inconnu",IF(H2867="","Désignation manquante",IF(OR(NOT(ISNUMBER(D2867)),N(D2867)&lt;=0),"Quantité invalide",IF(J2867="","Prix manquant",IF(OR(NOT(ISNUMBER(J2867)),N(J2867)&lt;0),"Prix invalide",IF(OR(AND(F2867&lt;&gt;"",NOT(ISNUMBER(F2867))),N(F2867)&lt;0,N(F2867)&gt;1),"Remise invalide",IF(K2867="","Taux de TVA manquant",IF(NOT(ISNUMBER(K2867)),"Taux de TVA invalide",IF(COUNTIF(p_rates,K2867)=0,"Taux de TVA hors liste (Paramètres)",IF(N(O2867)&gt;25,"Au-delà de 25 lignes : non imprimée","OK")))))))))))))</f>
        <v/>
      </c>
      <c r="O2867" s="59" t="str">
        <f>IF(A2867="","",COUNTIF($A$6:A2867,A2867))</f>
        <v/>
      </c>
      <c r="P2867" s="62" t="str">
        <f>IF(A2867="","",A2867&amp;"|"&amp;O2867)</f>
        <v/>
      </c>
    </row>
    <row r="2868">
      <c r="A2868" s="60" t="n"/>
      <c r="B2868" s="63" t="n"/>
      <c r="C2868" s="63" t="n"/>
      <c r="D2868" s="67" t="n"/>
      <c r="E2868" s="68" t="n"/>
      <c r="F2868" s="69" t="n"/>
      <c r="G2868" s="70" t="n"/>
      <c r="H2868" s="62" t="str">
        <f>IF(COUNTA(A2868:G2868)=0,"",IF(C2868&lt;&gt;"",C2868,IF(B2868="","",IFERROR(INDEX(pr_des,MATCH(B2868,pr_code,0))&amp;"",""))))</f>
        <v/>
      </c>
      <c r="I2868" s="59" t="str">
        <f>IF(B2868="","",IFERROR(INDEX(pr_unit,MATCH(B2868,pr_code,0))&amp;"",""))</f>
        <v/>
      </c>
      <c r="J2868" s="65" t="str">
        <f>IF(COUNTA(A2868:G2868)=0,"",IF(E2868&lt;&gt;"",E2868,IF(B2868="","",IFERROR(IF(INDEX(pr_price,MATCH(B2868,pr_code,0))="","",INDEX(pr_price,MATCH(B2868,pr_code,0))),""))))</f>
        <v/>
      </c>
      <c r="K2868" s="71" t="str">
        <f>IF(COUNTA(A2868:G2868)=0,"",IF(G2868&lt;&gt;"",G2868,IF(B2868="","",IFERROR(IF(INDEX(pr_rate,MATCH(B2868,pr_code,0))="","",INDEX(pr_rate,MATCH(B2868,pr_code,0))),""))))</f>
        <v/>
      </c>
      <c r="L2868" s="65" t="str">
        <f>IF(COUNTA(A2868:G2868)=0,"",IF(AND(ISNUMBER(D2868),ISNUMBER(J2868)),ROUND(D2868*J2868*(1-N(F2868)),2),0))</f>
        <v/>
      </c>
      <c r="M2868" s="62" t="str">
        <f>IF(A2868="","",IFERROR(INDEX(fa_cname,MATCH(A2868,fa_num,0))&amp;"",""))</f>
        <v/>
      </c>
      <c r="N2868" s="59" t="str">
        <f>IF(COUNTA(A2868:G2868)=0,"",IF(A2868="","N° facture manquant",IF(ISNA(MATCH(A2868,fa_num,0)),"Facture inconnue",IF(AND(B2868&lt;&gt;"",ISNA(MATCH(B2868,pr_code,0))),"Article inconnu",IF(H2868="","Désignation manquante",IF(OR(NOT(ISNUMBER(D2868)),N(D2868)&lt;=0),"Quantité invalide",IF(J2868="","Prix manquant",IF(OR(NOT(ISNUMBER(J2868)),N(J2868)&lt;0),"Prix invalide",IF(OR(AND(F2868&lt;&gt;"",NOT(ISNUMBER(F2868))),N(F2868)&lt;0,N(F2868)&gt;1),"Remise invalide",IF(K2868="","Taux de TVA manquant",IF(NOT(ISNUMBER(K2868)),"Taux de TVA invalide",IF(COUNTIF(p_rates,K2868)=0,"Taux de TVA hors liste (Paramètres)",IF(N(O2868)&gt;25,"Au-delà de 25 lignes : non imprimée","OK")))))))))))))</f>
        <v/>
      </c>
      <c r="O2868" s="59" t="str">
        <f>IF(A2868="","",COUNTIF($A$6:A2868,A2868))</f>
        <v/>
      </c>
      <c r="P2868" s="62" t="str">
        <f>IF(A2868="","",A2868&amp;"|"&amp;O2868)</f>
        <v/>
      </c>
    </row>
    <row r="2869">
      <c r="A2869" s="60" t="n"/>
      <c r="B2869" s="63" t="n"/>
      <c r="C2869" s="63" t="n"/>
      <c r="D2869" s="67" t="n"/>
      <c r="E2869" s="68" t="n"/>
      <c r="F2869" s="69" t="n"/>
      <c r="G2869" s="70" t="n"/>
      <c r="H2869" s="62" t="str">
        <f>IF(COUNTA(A2869:G2869)=0,"",IF(C2869&lt;&gt;"",C2869,IF(B2869="","",IFERROR(INDEX(pr_des,MATCH(B2869,pr_code,0))&amp;"",""))))</f>
        <v/>
      </c>
      <c r="I2869" s="59" t="str">
        <f>IF(B2869="","",IFERROR(INDEX(pr_unit,MATCH(B2869,pr_code,0))&amp;"",""))</f>
        <v/>
      </c>
      <c r="J2869" s="65" t="str">
        <f>IF(COUNTA(A2869:G2869)=0,"",IF(E2869&lt;&gt;"",E2869,IF(B2869="","",IFERROR(IF(INDEX(pr_price,MATCH(B2869,pr_code,0))="","",INDEX(pr_price,MATCH(B2869,pr_code,0))),""))))</f>
        <v/>
      </c>
      <c r="K2869" s="71" t="str">
        <f>IF(COUNTA(A2869:G2869)=0,"",IF(G2869&lt;&gt;"",G2869,IF(B2869="","",IFERROR(IF(INDEX(pr_rate,MATCH(B2869,pr_code,0))="","",INDEX(pr_rate,MATCH(B2869,pr_code,0))),""))))</f>
        <v/>
      </c>
      <c r="L2869" s="65" t="str">
        <f>IF(COUNTA(A2869:G2869)=0,"",IF(AND(ISNUMBER(D2869),ISNUMBER(J2869)),ROUND(D2869*J2869*(1-N(F2869)),2),0))</f>
        <v/>
      </c>
      <c r="M2869" s="62" t="str">
        <f>IF(A2869="","",IFERROR(INDEX(fa_cname,MATCH(A2869,fa_num,0))&amp;"",""))</f>
        <v/>
      </c>
      <c r="N2869" s="59" t="str">
        <f>IF(COUNTA(A2869:G2869)=0,"",IF(A2869="","N° facture manquant",IF(ISNA(MATCH(A2869,fa_num,0)),"Facture inconnue",IF(AND(B2869&lt;&gt;"",ISNA(MATCH(B2869,pr_code,0))),"Article inconnu",IF(H2869="","Désignation manquante",IF(OR(NOT(ISNUMBER(D2869)),N(D2869)&lt;=0),"Quantité invalide",IF(J2869="","Prix manquant",IF(OR(NOT(ISNUMBER(J2869)),N(J2869)&lt;0),"Prix invalide",IF(OR(AND(F2869&lt;&gt;"",NOT(ISNUMBER(F2869))),N(F2869)&lt;0,N(F2869)&gt;1),"Remise invalide",IF(K2869="","Taux de TVA manquant",IF(NOT(ISNUMBER(K2869)),"Taux de TVA invalide",IF(COUNTIF(p_rates,K2869)=0,"Taux de TVA hors liste (Paramètres)",IF(N(O2869)&gt;25,"Au-delà de 25 lignes : non imprimée","OK")))))))))))))</f>
        <v/>
      </c>
      <c r="O2869" s="59" t="str">
        <f>IF(A2869="","",COUNTIF($A$6:A2869,A2869))</f>
        <v/>
      </c>
      <c r="P2869" s="62" t="str">
        <f>IF(A2869="","",A2869&amp;"|"&amp;O2869)</f>
        <v/>
      </c>
    </row>
    <row r="2870">
      <c r="A2870" s="60" t="n"/>
      <c r="B2870" s="63" t="n"/>
      <c r="C2870" s="63" t="n"/>
      <c r="D2870" s="67" t="n"/>
      <c r="E2870" s="68" t="n"/>
      <c r="F2870" s="69" t="n"/>
      <c r="G2870" s="70" t="n"/>
      <c r="H2870" s="62" t="str">
        <f>IF(COUNTA(A2870:G2870)=0,"",IF(C2870&lt;&gt;"",C2870,IF(B2870="","",IFERROR(INDEX(pr_des,MATCH(B2870,pr_code,0))&amp;"",""))))</f>
        <v/>
      </c>
      <c r="I2870" s="59" t="str">
        <f>IF(B2870="","",IFERROR(INDEX(pr_unit,MATCH(B2870,pr_code,0))&amp;"",""))</f>
        <v/>
      </c>
      <c r="J2870" s="65" t="str">
        <f>IF(COUNTA(A2870:G2870)=0,"",IF(E2870&lt;&gt;"",E2870,IF(B2870="","",IFERROR(IF(INDEX(pr_price,MATCH(B2870,pr_code,0))="","",INDEX(pr_price,MATCH(B2870,pr_code,0))),""))))</f>
        <v/>
      </c>
      <c r="K2870" s="71" t="str">
        <f>IF(COUNTA(A2870:G2870)=0,"",IF(G2870&lt;&gt;"",G2870,IF(B2870="","",IFERROR(IF(INDEX(pr_rate,MATCH(B2870,pr_code,0))="","",INDEX(pr_rate,MATCH(B2870,pr_code,0))),""))))</f>
        <v/>
      </c>
      <c r="L2870" s="65" t="str">
        <f>IF(COUNTA(A2870:G2870)=0,"",IF(AND(ISNUMBER(D2870),ISNUMBER(J2870)),ROUND(D2870*J2870*(1-N(F2870)),2),0))</f>
        <v/>
      </c>
      <c r="M2870" s="62" t="str">
        <f>IF(A2870="","",IFERROR(INDEX(fa_cname,MATCH(A2870,fa_num,0))&amp;"",""))</f>
        <v/>
      </c>
      <c r="N2870" s="59" t="str">
        <f>IF(COUNTA(A2870:G2870)=0,"",IF(A2870="","N° facture manquant",IF(ISNA(MATCH(A2870,fa_num,0)),"Facture inconnue",IF(AND(B2870&lt;&gt;"",ISNA(MATCH(B2870,pr_code,0))),"Article inconnu",IF(H2870="","Désignation manquante",IF(OR(NOT(ISNUMBER(D2870)),N(D2870)&lt;=0),"Quantité invalide",IF(J2870="","Prix manquant",IF(OR(NOT(ISNUMBER(J2870)),N(J2870)&lt;0),"Prix invalide",IF(OR(AND(F2870&lt;&gt;"",NOT(ISNUMBER(F2870))),N(F2870)&lt;0,N(F2870)&gt;1),"Remise invalide",IF(K2870="","Taux de TVA manquant",IF(NOT(ISNUMBER(K2870)),"Taux de TVA invalide",IF(COUNTIF(p_rates,K2870)=0,"Taux de TVA hors liste (Paramètres)",IF(N(O2870)&gt;25,"Au-delà de 25 lignes : non imprimée","OK")))))))))))))</f>
        <v/>
      </c>
      <c r="O2870" s="59" t="str">
        <f>IF(A2870="","",COUNTIF($A$6:A2870,A2870))</f>
        <v/>
      </c>
      <c r="P2870" s="62" t="str">
        <f>IF(A2870="","",A2870&amp;"|"&amp;O2870)</f>
        <v/>
      </c>
    </row>
    <row r="2871">
      <c r="A2871" s="60" t="n"/>
      <c r="B2871" s="63" t="n"/>
      <c r="C2871" s="63" t="n"/>
      <c r="D2871" s="67" t="n"/>
      <c r="E2871" s="68" t="n"/>
      <c r="F2871" s="69" t="n"/>
      <c r="G2871" s="70" t="n"/>
      <c r="H2871" s="62" t="str">
        <f>IF(COUNTA(A2871:G2871)=0,"",IF(C2871&lt;&gt;"",C2871,IF(B2871="","",IFERROR(INDEX(pr_des,MATCH(B2871,pr_code,0))&amp;"",""))))</f>
        <v/>
      </c>
      <c r="I2871" s="59" t="str">
        <f>IF(B2871="","",IFERROR(INDEX(pr_unit,MATCH(B2871,pr_code,0))&amp;"",""))</f>
        <v/>
      </c>
      <c r="J2871" s="65" t="str">
        <f>IF(COUNTA(A2871:G2871)=0,"",IF(E2871&lt;&gt;"",E2871,IF(B2871="","",IFERROR(IF(INDEX(pr_price,MATCH(B2871,pr_code,0))="","",INDEX(pr_price,MATCH(B2871,pr_code,0))),""))))</f>
        <v/>
      </c>
      <c r="K2871" s="71" t="str">
        <f>IF(COUNTA(A2871:G2871)=0,"",IF(G2871&lt;&gt;"",G2871,IF(B2871="","",IFERROR(IF(INDEX(pr_rate,MATCH(B2871,pr_code,0))="","",INDEX(pr_rate,MATCH(B2871,pr_code,0))),""))))</f>
        <v/>
      </c>
      <c r="L2871" s="65" t="str">
        <f>IF(COUNTA(A2871:G2871)=0,"",IF(AND(ISNUMBER(D2871),ISNUMBER(J2871)),ROUND(D2871*J2871*(1-N(F2871)),2),0))</f>
        <v/>
      </c>
      <c r="M2871" s="62" t="str">
        <f>IF(A2871="","",IFERROR(INDEX(fa_cname,MATCH(A2871,fa_num,0))&amp;"",""))</f>
        <v/>
      </c>
      <c r="N2871" s="59" t="str">
        <f>IF(COUNTA(A2871:G2871)=0,"",IF(A2871="","N° facture manquant",IF(ISNA(MATCH(A2871,fa_num,0)),"Facture inconnue",IF(AND(B2871&lt;&gt;"",ISNA(MATCH(B2871,pr_code,0))),"Article inconnu",IF(H2871="","Désignation manquante",IF(OR(NOT(ISNUMBER(D2871)),N(D2871)&lt;=0),"Quantité invalide",IF(J2871="","Prix manquant",IF(OR(NOT(ISNUMBER(J2871)),N(J2871)&lt;0),"Prix invalide",IF(OR(AND(F2871&lt;&gt;"",NOT(ISNUMBER(F2871))),N(F2871)&lt;0,N(F2871)&gt;1),"Remise invalide",IF(K2871="","Taux de TVA manquant",IF(NOT(ISNUMBER(K2871)),"Taux de TVA invalide",IF(COUNTIF(p_rates,K2871)=0,"Taux de TVA hors liste (Paramètres)",IF(N(O2871)&gt;25,"Au-delà de 25 lignes : non imprimée","OK")))))))))))))</f>
        <v/>
      </c>
      <c r="O2871" s="59" t="str">
        <f>IF(A2871="","",COUNTIF($A$6:A2871,A2871))</f>
        <v/>
      </c>
      <c r="P2871" s="62" t="str">
        <f>IF(A2871="","",A2871&amp;"|"&amp;O2871)</f>
        <v/>
      </c>
    </row>
    <row r="2872">
      <c r="A2872" s="60" t="n"/>
      <c r="B2872" s="63" t="n"/>
      <c r="C2872" s="63" t="n"/>
      <c r="D2872" s="67" t="n"/>
      <c r="E2872" s="68" t="n"/>
      <c r="F2872" s="69" t="n"/>
      <c r="G2872" s="70" t="n"/>
      <c r="H2872" s="62" t="str">
        <f>IF(COUNTA(A2872:G2872)=0,"",IF(C2872&lt;&gt;"",C2872,IF(B2872="","",IFERROR(INDEX(pr_des,MATCH(B2872,pr_code,0))&amp;"",""))))</f>
        <v/>
      </c>
      <c r="I2872" s="59" t="str">
        <f>IF(B2872="","",IFERROR(INDEX(pr_unit,MATCH(B2872,pr_code,0))&amp;"",""))</f>
        <v/>
      </c>
      <c r="J2872" s="65" t="str">
        <f>IF(COUNTA(A2872:G2872)=0,"",IF(E2872&lt;&gt;"",E2872,IF(B2872="","",IFERROR(IF(INDEX(pr_price,MATCH(B2872,pr_code,0))="","",INDEX(pr_price,MATCH(B2872,pr_code,0))),""))))</f>
        <v/>
      </c>
      <c r="K2872" s="71" t="str">
        <f>IF(COUNTA(A2872:G2872)=0,"",IF(G2872&lt;&gt;"",G2872,IF(B2872="","",IFERROR(IF(INDEX(pr_rate,MATCH(B2872,pr_code,0))="","",INDEX(pr_rate,MATCH(B2872,pr_code,0))),""))))</f>
        <v/>
      </c>
      <c r="L2872" s="65" t="str">
        <f>IF(COUNTA(A2872:G2872)=0,"",IF(AND(ISNUMBER(D2872),ISNUMBER(J2872)),ROUND(D2872*J2872*(1-N(F2872)),2),0))</f>
        <v/>
      </c>
      <c r="M2872" s="62" t="str">
        <f>IF(A2872="","",IFERROR(INDEX(fa_cname,MATCH(A2872,fa_num,0))&amp;"",""))</f>
        <v/>
      </c>
      <c r="N2872" s="59" t="str">
        <f>IF(COUNTA(A2872:G2872)=0,"",IF(A2872="","N° facture manquant",IF(ISNA(MATCH(A2872,fa_num,0)),"Facture inconnue",IF(AND(B2872&lt;&gt;"",ISNA(MATCH(B2872,pr_code,0))),"Article inconnu",IF(H2872="","Désignation manquante",IF(OR(NOT(ISNUMBER(D2872)),N(D2872)&lt;=0),"Quantité invalide",IF(J2872="","Prix manquant",IF(OR(NOT(ISNUMBER(J2872)),N(J2872)&lt;0),"Prix invalide",IF(OR(AND(F2872&lt;&gt;"",NOT(ISNUMBER(F2872))),N(F2872)&lt;0,N(F2872)&gt;1),"Remise invalide",IF(K2872="","Taux de TVA manquant",IF(NOT(ISNUMBER(K2872)),"Taux de TVA invalide",IF(COUNTIF(p_rates,K2872)=0,"Taux de TVA hors liste (Paramètres)",IF(N(O2872)&gt;25,"Au-delà de 25 lignes : non imprimée","OK")))))))))))))</f>
        <v/>
      </c>
      <c r="O2872" s="59" t="str">
        <f>IF(A2872="","",COUNTIF($A$6:A2872,A2872))</f>
        <v/>
      </c>
      <c r="P2872" s="62" t="str">
        <f>IF(A2872="","",A2872&amp;"|"&amp;O2872)</f>
        <v/>
      </c>
    </row>
    <row r="2873">
      <c r="A2873" s="60" t="n"/>
      <c r="B2873" s="63" t="n"/>
      <c r="C2873" s="63" t="n"/>
      <c r="D2873" s="67" t="n"/>
      <c r="E2873" s="68" t="n"/>
      <c r="F2873" s="69" t="n"/>
      <c r="G2873" s="70" t="n"/>
      <c r="H2873" s="62" t="str">
        <f>IF(COUNTA(A2873:G2873)=0,"",IF(C2873&lt;&gt;"",C2873,IF(B2873="","",IFERROR(INDEX(pr_des,MATCH(B2873,pr_code,0))&amp;"",""))))</f>
        <v/>
      </c>
      <c r="I2873" s="59" t="str">
        <f>IF(B2873="","",IFERROR(INDEX(pr_unit,MATCH(B2873,pr_code,0))&amp;"",""))</f>
        <v/>
      </c>
      <c r="J2873" s="65" t="str">
        <f>IF(COUNTA(A2873:G2873)=0,"",IF(E2873&lt;&gt;"",E2873,IF(B2873="","",IFERROR(IF(INDEX(pr_price,MATCH(B2873,pr_code,0))="","",INDEX(pr_price,MATCH(B2873,pr_code,0))),""))))</f>
        <v/>
      </c>
      <c r="K2873" s="71" t="str">
        <f>IF(COUNTA(A2873:G2873)=0,"",IF(G2873&lt;&gt;"",G2873,IF(B2873="","",IFERROR(IF(INDEX(pr_rate,MATCH(B2873,pr_code,0))="","",INDEX(pr_rate,MATCH(B2873,pr_code,0))),""))))</f>
        <v/>
      </c>
      <c r="L2873" s="65" t="str">
        <f>IF(COUNTA(A2873:G2873)=0,"",IF(AND(ISNUMBER(D2873),ISNUMBER(J2873)),ROUND(D2873*J2873*(1-N(F2873)),2),0))</f>
        <v/>
      </c>
      <c r="M2873" s="62" t="str">
        <f>IF(A2873="","",IFERROR(INDEX(fa_cname,MATCH(A2873,fa_num,0))&amp;"",""))</f>
        <v/>
      </c>
      <c r="N2873" s="59" t="str">
        <f>IF(COUNTA(A2873:G2873)=0,"",IF(A2873="","N° facture manquant",IF(ISNA(MATCH(A2873,fa_num,0)),"Facture inconnue",IF(AND(B2873&lt;&gt;"",ISNA(MATCH(B2873,pr_code,0))),"Article inconnu",IF(H2873="","Désignation manquante",IF(OR(NOT(ISNUMBER(D2873)),N(D2873)&lt;=0),"Quantité invalide",IF(J2873="","Prix manquant",IF(OR(NOT(ISNUMBER(J2873)),N(J2873)&lt;0),"Prix invalide",IF(OR(AND(F2873&lt;&gt;"",NOT(ISNUMBER(F2873))),N(F2873)&lt;0,N(F2873)&gt;1),"Remise invalide",IF(K2873="","Taux de TVA manquant",IF(NOT(ISNUMBER(K2873)),"Taux de TVA invalide",IF(COUNTIF(p_rates,K2873)=0,"Taux de TVA hors liste (Paramètres)",IF(N(O2873)&gt;25,"Au-delà de 25 lignes : non imprimée","OK")))))))))))))</f>
        <v/>
      </c>
      <c r="O2873" s="59" t="str">
        <f>IF(A2873="","",COUNTIF($A$6:A2873,A2873))</f>
        <v/>
      </c>
      <c r="P2873" s="62" t="str">
        <f>IF(A2873="","",A2873&amp;"|"&amp;O2873)</f>
        <v/>
      </c>
    </row>
    <row r="2874">
      <c r="A2874" s="60" t="n"/>
      <c r="B2874" s="63" t="n"/>
      <c r="C2874" s="63" t="n"/>
      <c r="D2874" s="67" t="n"/>
      <c r="E2874" s="68" t="n"/>
      <c r="F2874" s="69" t="n"/>
      <c r="G2874" s="70" t="n"/>
      <c r="H2874" s="62" t="str">
        <f>IF(COUNTA(A2874:G2874)=0,"",IF(C2874&lt;&gt;"",C2874,IF(B2874="","",IFERROR(INDEX(pr_des,MATCH(B2874,pr_code,0))&amp;"",""))))</f>
        <v/>
      </c>
      <c r="I2874" s="59" t="str">
        <f>IF(B2874="","",IFERROR(INDEX(pr_unit,MATCH(B2874,pr_code,0))&amp;"",""))</f>
        <v/>
      </c>
      <c r="J2874" s="65" t="str">
        <f>IF(COUNTA(A2874:G2874)=0,"",IF(E2874&lt;&gt;"",E2874,IF(B2874="","",IFERROR(IF(INDEX(pr_price,MATCH(B2874,pr_code,0))="","",INDEX(pr_price,MATCH(B2874,pr_code,0))),""))))</f>
        <v/>
      </c>
      <c r="K2874" s="71" t="str">
        <f>IF(COUNTA(A2874:G2874)=0,"",IF(G2874&lt;&gt;"",G2874,IF(B2874="","",IFERROR(IF(INDEX(pr_rate,MATCH(B2874,pr_code,0))="","",INDEX(pr_rate,MATCH(B2874,pr_code,0))),""))))</f>
        <v/>
      </c>
      <c r="L2874" s="65" t="str">
        <f>IF(COUNTA(A2874:G2874)=0,"",IF(AND(ISNUMBER(D2874),ISNUMBER(J2874)),ROUND(D2874*J2874*(1-N(F2874)),2),0))</f>
        <v/>
      </c>
      <c r="M2874" s="62" t="str">
        <f>IF(A2874="","",IFERROR(INDEX(fa_cname,MATCH(A2874,fa_num,0))&amp;"",""))</f>
        <v/>
      </c>
      <c r="N2874" s="59" t="str">
        <f>IF(COUNTA(A2874:G2874)=0,"",IF(A2874="","N° facture manquant",IF(ISNA(MATCH(A2874,fa_num,0)),"Facture inconnue",IF(AND(B2874&lt;&gt;"",ISNA(MATCH(B2874,pr_code,0))),"Article inconnu",IF(H2874="","Désignation manquante",IF(OR(NOT(ISNUMBER(D2874)),N(D2874)&lt;=0),"Quantité invalide",IF(J2874="","Prix manquant",IF(OR(NOT(ISNUMBER(J2874)),N(J2874)&lt;0),"Prix invalide",IF(OR(AND(F2874&lt;&gt;"",NOT(ISNUMBER(F2874))),N(F2874)&lt;0,N(F2874)&gt;1),"Remise invalide",IF(K2874="","Taux de TVA manquant",IF(NOT(ISNUMBER(K2874)),"Taux de TVA invalide",IF(COUNTIF(p_rates,K2874)=0,"Taux de TVA hors liste (Paramètres)",IF(N(O2874)&gt;25,"Au-delà de 25 lignes : non imprimée","OK")))))))))))))</f>
        <v/>
      </c>
      <c r="O2874" s="59" t="str">
        <f>IF(A2874="","",COUNTIF($A$6:A2874,A2874))</f>
        <v/>
      </c>
      <c r="P2874" s="62" t="str">
        <f>IF(A2874="","",A2874&amp;"|"&amp;O2874)</f>
        <v/>
      </c>
    </row>
    <row r="2875">
      <c r="A2875" s="60" t="n"/>
      <c r="B2875" s="63" t="n"/>
      <c r="C2875" s="63" t="n"/>
      <c r="D2875" s="67" t="n"/>
      <c r="E2875" s="68" t="n"/>
      <c r="F2875" s="69" t="n"/>
      <c r="G2875" s="70" t="n"/>
      <c r="H2875" s="62" t="str">
        <f>IF(COUNTA(A2875:G2875)=0,"",IF(C2875&lt;&gt;"",C2875,IF(B2875="","",IFERROR(INDEX(pr_des,MATCH(B2875,pr_code,0))&amp;"",""))))</f>
        <v/>
      </c>
      <c r="I2875" s="59" t="str">
        <f>IF(B2875="","",IFERROR(INDEX(pr_unit,MATCH(B2875,pr_code,0))&amp;"",""))</f>
        <v/>
      </c>
      <c r="J2875" s="65" t="str">
        <f>IF(COUNTA(A2875:G2875)=0,"",IF(E2875&lt;&gt;"",E2875,IF(B2875="","",IFERROR(IF(INDEX(pr_price,MATCH(B2875,pr_code,0))="","",INDEX(pr_price,MATCH(B2875,pr_code,0))),""))))</f>
        <v/>
      </c>
      <c r="K2875" s="71" t="str">
        <f>IF(COUNTA(A2875:G2875)=0,"",IF(G2875&lt;&gt;"",G2875,IF(B2875="","",IFERROR(IF(INDEX(pr_rate,MATCH(B2875,pr_code,0))="","",INDEX(pr_rate,MATCH(B2875,pr_code,0))),""))))</f>
        <v/>
      </c>
      <c r="L2875" s="65" t="str">
        <f>IF(COUNTA(A2875:G2875)=0,"",IF(AND(ISNUMBER(D2875),ISNUMBER(J2875)),ROUND(D2875*J2875*(1-N(F2875)),2),0))</f>
        <v/>
      </c>
      <c r="M2875" s="62" t="str">
        <f>IF(A2875="","",IFERROR(INDEX(fa_cname,MATCH(A2875,fa_num,0))&amp;"",""))</f>
        <v/>
      </c>
      <c r="N2875" s="59" t="str">
        <f>IF(COUNTA(A2875:G2875)=0,"",IF(A2875="","N° facture manquant",IF(ISNA(MATCH(A2875,fa_num,0)),"Facture inconnue",IF(AND(B2875&lt;&gt;"",ISNA(MATCH(B2875,pr_code,0))),"Article inconnu",IF(H2875="","Désignation manquante",IF(OR(NOT(ISNUMBER(D2875)),N(D2875)&lt;=0),"Quantité invalide",IF(J2875="","Prix manquant",IF(OR(NOT(ISNUMBER(J2875)),N(J2875)&lt;0),"Prix invalide",IF(OR(AND(F2875&lt;&gt;"",NOT(ISNUMBER(F2875))),N(F2875)&lt;0,N(F2875)&gt;1),"Remise invalide",IF(K2875="","Taux de TVA manquant",IF(NOT(ISNUMBER(K2875)),"Taux de TVA invalide",IF(COUNTIF(p_rates,K2875)=0,"Taux de TVA hors liste (Paramètres)",IF(N(O2875)&gt;25,"Au-delà de 25 lignes : non imprimée","OK")))))))))))))</f>
        <v/>
      </c>
      <c r="O2875" s="59" t="str">
        <f>IF(A2875="","",COUNTIF($A$6:A2875,A2875))</f>
        <v/>
      </c>
      <c r="P2875" s="62" t="str">
        <f>IF(A2875="","",A2875&amp;"|"&amp;O2875)</f>
        <v/>
      </c>
    </row>
    <row r="2876">
      <c r="A2876" s="60" t="n"/>
      <c r="B2876" s="63" t="n"/>
      <c r="C2876" s="63" t="n"/>
      <c r="D2876" s="67" t="n"/>
      <c r="E2876" s="68" t="n"/>
      <c r="F2876" s="69" t="n"/>
      <c r="G2876" s="70" t="n"/>
      <c r="H2876" s="62" t="str">
        <f>IF(COUNTA(A2876:G2876)=0,"",IF(C2876&lt;&gt;"",C2876,IF(B2876="","",IFERROR(INDEX(pr_des,MATCH(B2876,pr_code,0))&amp;"",""))))</f>
        <v/>
      </c>
      <c r="I2876" s="59" t="str">
        <f>IF(B2876="","",IFERROR(INDEX(pr_unit,MATCH(B2876,pr_code,0))&amp;"",""))</f>
        <v/>
      </c>
      <c r="J2876" s="65" t="str">
        <f>IF(COUNTA(A2876:G2876)=0,"",IF(E2876&lt;&gt;"",E2876,IF(B2876="","",IFERROR(IF(INDEX(pr_price,MATCH(B2876,pr_code,0))="","",INDEX(pr_price,MATCH(B2876,pr_code,0))),""))))</f>
        <v/>
      </c>
      <c r="K2876" s="71" t="str">
        <f>IF(COUNTA(A2876:G2876)=0,"",IF(G2876&lt;&gt;"",G2876,IF(B2876="","",IFERROR(IF(INDEX(pr_rate,MATCH(B2876,pr_code,0))="","",INDEX(pr_rate,MATCH(B2876,pr_code,0))),""))))</f>
        <v/>
      </c>
      <c r="L2876" s="65" t="str">
        <f>IF(COUNTA(A2876:G2876)=0,"",IF(AND(ISNUMBER(D2876),ISNUMBER(J2876)),ROUND(D2876*J2876*(1-N(F2876)),2),0))</f>
        <v/>
      </c>
      <c r="M2876" s="62" t="str">
        <f>IF(A2876="","",IFERROR(INDEX(fa_cname,MATCH(A2876,fa_num,0))&amp;"",""))</f>
        <v/>
      </c>
      <c r="N2876" s="59" t="str">
        <f>IF(COUNTA(A2876:G2876)=0,"",IF(A2876="","N° facture manquant",IF(ISNA(MATCH(A2876,fa_num,0)),"Facture inconnue",IF(AND(B2876&lt;&gt;"",ISNA(MATCH(B2876,pr_code,0))),"Article inconnu",IF(H2876="","Désignation manquante",IF(OR(NOT(ISNUMBER(D2876)),N(D2876)&lt;=0),"Quantité invalide",IF(J2876="","Prix manquant",IF(OR(NOT(ISNUMBER(J2876)),N(J2876)&lt;0),"Prix invalide",IF(OR(AND(F2876&lt;&gt;"",NOT(ISNUMBER(F2876))),N(F2876)&lt;0,N(F2876)&gt;1),"Remise invalide",IF(K2876="","Taux de TVA manquant",IF(NOT(ISNUMBER(K2876)),"Taux de TVA invalide",IF(COUNTIF(p_rates,K2876)=0,"Taux de TVA hors liste (Paramètres)",IF(N(O2876)&gt;25,"Au-delà de 25 lignes : non imprimée","OK")))))))))))))</f>
        <v/>
      </c>
      <c r="O2876" s="59" t="str">
        <f>IF(A2876="","",COUNTIF($A$6:A2876,A2876))</f>
        <v/>
      </c>
      <c r="P2876" s="62" t="str">
        <f>IF(A2876="","",A2876&amp;"|"&amp;O2876)</f>
        <v/>
      </c>
    </row>
    <row r="2877">
      <c r="A2877" s="60" t="n"/>
      <c r="B2877" s="63" t="n"/>
      <c r="C2877" s="63" t="n"/>
      <c r="D2877" s="67" t="n"/>
      <c r="E2877" s="68" t="n"/>
      <c r="F2877" s="69" t="n"/>
      <c r="G2877" s="70" t="n"/>
      <c r="H2877" s="62" t="str">
        <f>IF(COUNTA(A2877:G2877)=0,"",IF(C2877&lt;&gt;"",C2877,IF(B2877="","",IFERROR(INDEX(pr_des,MATCH(B2877,pr_code,0))&amp;"",""))))</f>
        <v/>
      </c>
      <c r="I2877" s="59" t="str">
        <f>IF(B2877="","",IFERROR(INDEX(pr_unit,MATCH(B2877,pr_code,0))&amp;"",""))</f>
        <v/>
      </c>
      <c r="J2877" s="65" t="str">
        <f>IF(COUNTA(A2877:G2877)=0,"",IF(E2877&lt;&gt;"",E2877,IF(B2877="","",IFERROR(IF(INDEX(pr_price,MATCH(B2877,pr_code,0))="","",INDEX(pr_price,MATCH(B2877,pr_code,0))),""))))</f>
        <v/>
      </c>
      <c r="K2877" s="71" t="str">
        <f>IF(COUNTA(A2877:G2877)=0,"",IF(G2877&lt;&gt;"",G2877,IF(B2877="","",IFERROR(IF(INDEX(pr_rate,MATCH(B2877,pr_code,0))="","",INDEX(pr_rate,MATCH(B2877,pr_code,0))),""))))</f>
        <v/>
      </c>
      <c r="L2877" s="65" t="str">
        <f>IF(COUNTA(A2877:G2877)=0,"",IF(AND(ISNUMBER(D2877),ISNUMBER(J2877)),ROUND(D2877*J2877*(1-N(F2877)),2),0))</f>
        <v/>
      </c>
      <c r="M2877" s="62" t="str">
        <f>IF(A2877="","",IFERROR(INDEX(fa_cname,MATCH(A2877,fa_num,0))&amp;"",""))</f>
        <v/>
      </c>
      <c r="N2877" s="59" t="str">
        <f>IF(COUNTA(A2877:G2877)=0,"",IF(A2877="","N° facture manquant",IF(ISNA(MATCH(A2877,fa_num,0)),"Facture inconnue",IF(AND(B2877&lt;&gt;"",ISNA(MATCH(B2877,pr_code,0))),"Article inconnu",IF(H2877="","Désignation manquante",IF(OR(NOT(ISNUMBER(D2877)),N(D2877)&lt;=0),"Quantité invalide",IF(J2877="","Prix manquant",IF(OR(NOT(ISNUMBER(J2877)),N(J2877)&lt;0),"Prix invalide",IF(OR(AND(F2877&lt;&gt;"",NOT(ISNUMBER(F2877))),N(F2877)&lt;0,N(F2877)&gt;1),"Remise invalide",IF(K2877="","Taux de TVA manquant",IF(NOT(ISNUMBER(K2877)),"Taux de TVA invalide",IF(COUNTIF(p_rates,K2877)=0,"Taux de TVA hors liste (Paramètres)",IF(N(O2877)&gt;25,"Au-delà de 25 lignes : non imprimée","OK")))))))))))))</f>
        <v/>
      </c>
      <c r="O2877" s="59" t="str">
        <f>IF(A2877="","",COUNTIF($A$6:A2877,A2877))</f>
        <v/>
      </c>
      <c r="P2877" s="62" t="str">
        <f>IF(A2877="","",A2877&amp;"|"&amp;O2877)</f>
        <v/>
      </c>
    </row>
    <row r="2878">
      <c r="A2878" s="60" t="n"/>
      <c r="B2878" s="63" t="n"/>
      <c r="C2878" s="63" t="n"/>
      <c r="D2878" s="67" t="n"/>
      <c r="E2878" s="68" t="n"/>
      <c r="F2878" s="69" t="n"/>
      <c r="G2878" s="70" t="n"/>
      <c r="H2878" s="62" t="str">
        <f>IF(COUNTA(A2878:G2878)=0,"",IF(C2878&lt;&gt;"",C2878,IF(B2878="","",IFERROR(INDEX(pr_des,MATCH(B2878,pr_code,0))&amp;"",""))))</f>
        <v/>
      </c>
      <c r="I2878" s="59" t="str">
        <f>IF(B2878="","",IFERROR(INDEX(pr_unit,MATCH(B2878,pr_code,0))&amp;"",""))</f>
        <v/>
      </c>
      <c r="J2878" s="65" t="str">
        <f>IF(COUNTA(A2878:G2878)=0,"",IF(E2878&lt;&gt;"",E2878,IF(B2878="","",IFERROR(IF(INDEX(pr_price,MATCH(B2878,pr_code,0))="","",INDEX(pr_price,MATCH(B2878,pr_code,0))),""))))</f>
        <v/>
      </c>
      <c r="K2878" s="71" t="str">
        <f>IF(COUNTA(A2878:G2878)=0,"",IF(G2878&lt;&gt;"",G2878,IF(B2878="","",IFERROR(IF(INDEX(pr_rate,MATCH(B2878,pr_code,0))="","",INDEX(pr_rate,MATCH(B2878,pr_code,0))),""))))</f>
        <v/>
      </c>
      <c r="L2878" s="65" t="str">
        <f>IF(COUNTA(A2878:G2878)=0,"",IF(AND(ISNUMBER(D2878),ISNUMBER(J2878)),ROUND(D2878*J2878*(1-N(F2878)),2),0))</f>
        <v/>
      </c>
      <c r="M2878" s="62" t="str">
        <f>IF(A2878="","",IFERROR(INDEX(fa_cname,MATCH(A2878,fa_num,0))&amp;"",""))</f>
        <v/>
      </c>
      <c r="N2878" s="59" t="str">
        <f>IF(COUNTA(A2878:G2878)=0,"",IF(A2878="","N° facture manquant",IF(ISNA(MATCH(A2878,fa_num,0)),"Facture inconnue",IF(AND(B2878&lt;&gt;"",ISNA(MATCH(B2878,pr_code,0))),"Article inconnu",IF(H2878="","Désignation manquante",IF(OR(NOT(ISNUMBER(D2878)),N(D2878)&lt;=0),"Quantité invalide",IF(J2878="","Prix manquant",IF(OR(NOT(ISNUMBER(J2878)),N(J2878)&lt;0),"Prix invalide",IF(OR(AND(F2878&lt;&gt;"",NOT(ISNUMBER(F2878))),N(F2878)&lt;0,N(F2878)&gt;1),"Remise invalide",IF(K2878="","Taux de TVA manquant",IF(NOT(ISNUMBER(K2878)),"Taux de TVA invalide",IF(COUNTIF(p_rates,K2878)=0,"Taux de TVA hors liste (Paramètres)",IF(N(O2878)&gt;25,"Au-delà de 25 lignes : non imprimée","OK")))))))))))))</f>
        <v/>
      </c>
      <c r="O2878" s="59" t="str">
        <f>IF(A2878="","",COUNTIF($A$6:A2878,A2878))</f>
        <v/>
      </c>
      <c r="P2878" s="62" t="str">
        <f>IF(A2878="","",A2878&amp;"|"&amp;O2878)</f>
        <v/>
      </c>
    </row>
    <row r="2879">
      <c r="A2879" s="60" t="n"/>
      <c r="B2879" s="63" t="n"/>
      <c r="C2879" s="63" t="n"/>
      <c r="D2879" s="67" t="n"/>
      <c r="E2879" s="68" t="n"/>
      <c r="F2879" s="69" t="n"/>
      <c r="G2879" s="70" t="n"/>
      <c r="H2879" s="62" t="str">
        <f>IF(COUNTA(A2879:G2879)=0,"",IF(C2879&lt;&gt;"",C2879,IF(B2879="","",IFERROR(INDEX(pr_des,MATCH(B2879,pr_code,0))&amp;"",""))))</f>
        <v/>
      </c>
      <c r="I2879" s="59" t="str">
        <f>IF(B2879="","",IFERROR(INDEX(pr_unit,MATCH(B2879,pr_code,0))&amp;"",""))</f>
        <v/>
      </c>
      <c r="J2879" s="65" t="str">
        <f>IF(COUNTA(A2879:G2879)=0,"",IF(E2879&lt;&gt;"",E2879,IF(B2879="","",IFERROR(IF(INDEX(pr_price,MATCH(B2879,pr_code,0))="","",INDEX(pr_price,MATCH(B2879,pr_code,0))),""))))</f>
        <v/>
      </c>
      <c r="K2879" s="71" t="str">
        <f>IF(COUNTA(A2879:G2879)=0,"",IF(G2879&lt;&gt;"",G2879,IF(B2879="","",IFERROR(IF(INDEX(pr_rate,MATCH(B2879,pr_code,0))="","",INDEX(pr_rate,MATCH(B2879,pr_code,0))),""))))</f>
        <v/>
      </c>
      <c r="L2879" s="65" t="str">
        <f>IF(COUNTA(A2879:G2879)=0,"",IF(AND(ISNUMBER(D2879),ISNUMBER(J2879)),ROUND(D2879*J2879*(1-N(F2879)),2),0))</f>
        <v/>
      </c>
      <c r="M2879" s="62" t="str">
        <f>IF(A2879="","",IFERROR(INDEX(fa_cname,MATCH(A2879,fa_num,0))&amp;"",""))</f>
        <v/>
      </c>
      <c r="N2879" s="59" t="str">
        <f>IF(COUNTA(A2879:G2879)=0,"",IF(A2879="","N° facture manquant",IF(ISNA(MATCH(A2879,fa_num,0)),"Facture inconnue",IF(AND(B2879&lt;&gt;"",ISNA(MATCH(B2879,pr_code,0))),"Article inconnu",IF(H2879="","Désignation manquante",IF(OR(NOT(ISNUMBER(D2879)),N(D2879)&lt;=0),"Quantité invalide",IF(J2879="","Prix manquant",IF(OR(NOT(ISNUMBER(J2879)),N(J2879)&lt;0),"Prix invalide",IF(OR(AND(F2879&lt;&gt;"",NOT(ISNUMBER(F2879))),N(F2879)&lt;0,N(F2879)&gt;1),"Remise invalide",IF(K2879="","Taux de TVA manquant",IF(NOT(ISNUMBER(K2879)),"Taux de TVA invalide",IF(COUNTIF(p_rates,K2879)=0,"Taux de TVA hors liste (Paramètres)",IF(N(O2879)&gt;25,"Au-delà de 25 lignes : non imprimée","OK")))))))))))))</f>
        <v/>
      </c>
      <c r="O2879" s="59" t="str">
        <f>IF(A2879="","",COUNTIF($A$6:A2879,A2879))</f>
        <v/>
      </c>
      <c r="P2879" s="62" t="str">
        <f>IF(A2879="","",A2879&amp;"|"&amp;O2879)</f>
        <v/>
      </c>
    </row>
    <row r="2880">
      <c r="A2880" s="60" t="n"/>
      <c r="B2880" s="63" t="n"/>
      <c r="C2880" s="63" t="n"/>
      <c r="D2880" s="67" t="n"/>
      <c r="E2880" s="68" t="n"/>
      <c r="F2880" s="69" t="n"/>
      <c r="G2880" s="70" t="n"/>
      <c r="H2880" s="62" t="str">
        <f>IF(COUNTA(A2880:G2880)=0,"",IF(C2880&lt;&gt;"",C2880,IF(B2880="","",IFERROR(INDEX(pr_des,MATCH(B2880,pr_code,0))&amp;"",""))))</f>
        <v/>
      </c>
      <c r="I2880" s="59" t="str">
        <f>IF(B2880="","",IFERROR(INDEX(pr_unit,MATCH(B2880,pr_code,0))&amp;"",""))</f>
        <v/>
      </c>
      <c r="J2880" s="65" t="str">
        <f>IF(COUNTA(A2880:G2880)=0,"",IF(E2880&lt;&gt;"",E2880,IF(B2880="","",IFERROR(IF(INDEX(pr_price,MATCH(B2880,pr_code,0))="","",INDEX(pr_price,MATCH(B2880,pr_code,0))),""))))</f>
        <v/>
      </c>
      <c r="K2880" s="71" t="str">
        <f>IF(COUNTA(A2880:G2880)=0,"",IF(G2880&lt;&gt;"",G2880,IF(B2880="","",IFERROR(IF(INDEX(pr_rate,MATCH(B2880,pr_code,0))="","",INDEX(pr_rate,MATCH(B2880,pr_code,0))),""))))</f>
        <v/>
      </c>
      <c r="L2880" s="65" t="str">
        <f>IF(COUNTA(A2880:G2880)=0,"",IF(AND(ISNUMBER(D2880),ISNUMBER(J2880)),ROUND(D2880*J2880*(1-N(F2880)),2),0))</f>
        <v/>
      </c>
      <c r="M2880" s="62" t="str">
        <f>IF(A2880="","",IFERROR(INDEX(fa_cname,MATCH(A2880,fa_num,0))&amp;"",""))</f>
        <v/>
      </c>
      <c r="N2880" s="59" t="str">
        <f>IF(COUNTA(A2880:G2880)=0,"",IF(A2880="","N° facture manquant",IF(ISNA(MATCH(A2880,fa_num,0)),"Facture inconnue",IF(AND(B2880&lt;&gt;"",ISNA(MATCH(B2880,pr_code,0))),"Article inconnu",IF(H2880="","Désignation manquante",IF(OR(NOT(ISNUMBER(D2880)),N(D2880)&lt;=0),"Quantité invalide",IF(J2880="","Prix manquant",IF(OR(NOT(ISNUMBER(J2880)),N(J2880)&lt;0),"Prix invalide",IF(OR(AND(F2880&lt;&gt;"",NOT(ISNUMBER(F2880))),N(F2880)&lt;0,N(F2880)&gt;1),"Remise invalide",IF(K2880="","Taux de TVA manquant",IF(NOT(ISNUMBER(K2880)),"Taux de TVA invalide",IF(COUNTIF(p_rates,K2880)=0,"Taux de TVA hors liste (Paramètres)",IF(N(O2880)&gt;25,"Au-delà de 25 lignes : non imprimée","OK")))))))))))))</f>
        <v/>
      </c>
      <c r="O2880" s="59" t="str">
        <f>IF(A2880="","",COUNTIF($A$6:A2880,A2880))</f>
        <v/>
      </c>
      <c r="P2880" s="62" t="str">
        <f>IF(A2880="","",A2880&amp;"|"&amp;O2880)</f>
        <v/>
      </c>
    </row>
    <row r="2881">
      <c r="A2881" s="60" t="n"/>
      <c r="B2881" s="63" t="n"/>
      <c r="C2881" s="63" t="n"/>
      <c r="D2881" s="67" t="n"/>
      <c r="E2881" s="68" t="n"/>
      <c r="F2881" s="69" t="n"/>
      <c r="G2881" s="70" t="n"/>
      <c r="H2881" s="62" t="str">
        <f>IF(COUNTA(A2881:G2881)=0,"",IF(C2881&lt;&gt;"",C2881,IF(B2881="","",IFERROR(INDEX(pr_des,MATCH(B2881,pr_code,0))&amp;"",""))))</f>
        <v/>
      </c>
      <c r="I2881" s="59" t="str">
        <f>IF(B2881="","",IFERROR(INDEX(pr_unit,MATCH(B2881,pr_code,0))&amp;"",""))</f>
        <v/>
      </c>
      <c r="J2881" s="65" t="str">
        <f>IF(COUNTA(A2881:G2881)=0,"",IF(E2881&lt;&gt;"",E2881,IF(B2881="","",IFERROR(IF(INDEX(pr_price,MATCH(B2881,pr_code,0))="","",INDEX(pr_price,MATCH(B2881,pr_code,0))),""))))</f>
        <v/>
      </c>
      <c r="K2881" s="71" t="str">
        <f>IF(COUNTA(A2881:G2881)=0,"",IF(G2881&lt;&gt;"",G2881,IF(B2881="","",IFERROR(IF(INDEX(pr_rate,MATCH(B2881,pr_code,0))="","",INDEX(pr_rate,MATCH(B2881,pr_code,0))),""))))</f>
        <v/>
      </c>
      <c r="L2881" s="65" t="str">
        <f>IF(COUNTA(A2881:G2881)=0,"",IF(AND(ISNUMBER(D2881),ISNUMBER(J2881)),ROUND(D2881*J2881*(1-N(F2881)),2),0))</f>
        <v/>
      </c>
      <c r="M2881" s="62" t="str">
        <f>IF(A2881="","",IFERROR(INDEX(fa_cname,MATCH(A2881,fa_num,0))&amp;"",""))</f>
        <v/>
      </c>
      <c r="N2881" s="59" t="str">
        <f>IF(COUNTA(A2881:G2881)=0,"",IF(A2881="","N° facture manquant",IF(ISNA(MATCH(A2881,fa_num,0)),"Facture inconnue",IF(AND(B2881&lt;&gt;"",ISNA(MATCH(B2881,pr_code,0))),"Article inconnu",IF(H2881="","Désignation manquante",IF(OR(NOT(ISNUMBER(D2881)),N(D2881)&lt;=0),"Quantité invalide",IF(J2881="","Prix manquant",IF(OR(NOT(ISNUMBER(J2881)),N(J2881)&lt;0),"Prix invalide",IF(OR(AND(F2881&lt;&gt;"",NOT(ISNUMBER(F2881))),N(F2881)&lt;0,N(F2881)&gt;1),"Remise invalide",IF(K2881="","Taux de TVA manquant",IF(NOT(ISNUMBER(K2881)),"Taux de TVA invalide",IF(COUNTIF(p_rates,K2881)=0,"Taux de TVA hors liste (Paramètres)",IF(N(O2881)&gt;25,"Au-delà de 25 lignes : non imprimée","OK")))))))))))))</f>
        <v/>
      </c>
      <c r="O2881" s="59" t="str">
        <f>IF(A2881="","",COUNTIF($A$6:A2881,A2881))</f>
        <v/>
      </c>
      <c r="P2881" s="62" t="str">
        <f>IF(A2881="","",A2881&amp;"|"&amp;O2881)</f>
        <v/>
      </c>
    </row>
    <row r="2882">
      <c r="A2882" s="60" t="n"/>
      <c r="B2882" s="63" t="n"/>
      <c r="C2882" s="63" t="n"/>
      <c r="D2882" s="67" t="n"/>
      <c r="E2882" s="68" t="n"/>
      <c r="F2882" s="69" t="n"/>
      <c r="G2882" s="70" t="n"/>
      <c r="H2882" s="62" t="str">
        <f>IF(COUNTA(A2882:G2882)=0,"",IF(C2882&lt;&gt;"",C2882,IF(B2882="","",IFERROR(INDEX(pr_des,MATCH(B2882,pr_code,0))&amp;"",""))))</f>
        <v/>
      </c>
      <c r="I2882" s="59" t="str">
        <f>IF(B2882="","",IFERROR(INDEX(pr_unit,MATCH(B2882,pr_code,0))&amp;"",""))</f>
        <v/>
      </c>
      <c r="J2882" s="65" t="str">
        <f>IF(COUNTA(A2882:G2882)=0,"",IF(E2882&lt;&gt;"",E2882,IF(B2882="","",IFERROR(IF(INDEX(pr_price,MATCH(B2882,pr_code,0))="","",INDEX(pr_price,MATCH(B2882,pr_code,0))),""))))</f>
        <v/>
      </c>
      <c r="K2882" s="71" t="str">
        <f>IF(COUNTA(A2882:G2882)=0,"",IF(G2882&lt;&gt;"",G2882,IF(B2882="","",IFERROR(IF(INDEX(pr_rate,MATCH(B2882,pr_code,0))="","",INDEX(pr_rate,MATCH(B2882,pr_code,0))),""))))</f>
        <v/>
      </c>
      <c r="L2882" s="65" t="str">
        <f>IF(COUNTA(A2882:G2882)=0,"",IF(AND(ISNUMBER(D2882),ISNUMBER(J2882)),ROUND(D2882*J2882*(1-N(F2882)),2),0))</f>
        <v/>
      </c>
      <c r="M2882" s="62" t="str">
        <f>IF(A2882="","",IFERROR(INDEX(fa_cname,MATCH(A2882,fa_num,0))&amp;"",""))</f>
        <v/>
      </c>
      <c r="N2882" s="59" t="str">
        <f>IF(COUNTA(A2882:G2882)=0,"",IF(A2882="","N° facture manquant",IF(ISNA(MATCH(A2882,fa_num,0)),"Facture inconnue",IF(AND(B2882&lt;&gt;"",ISNA(MATCH(B2882,pr_code,0))),"Article inconnu",IF(H2882="","Désignation manquante",IF(OR(NOT(ISNUMBER(D2882)),N(D2882)&lt;=0),"Quantité invalide",IF(J2882="","Prix manquant",IF(OR(NOT(ISNUMBER(J2882)),N(J2882)&lt;0),"Prix invalide",IF(OR(AND(F2882&lt;&gt;"",NOT(ISNUMBER(F2882))),N(F2882)&lt;0,N(F2882)&gt;1),"Remise invalide",IF(K2882="","Taux de TVA manquant",IF(NOT(ISNUMBER(K2882)),"Taux de TVA invalide",IF(COUNTIF(p_rates,K2882)=0,"Taux de TVA hors liste (Paramètres)",IF(N(O2882)&gt;25,"Au-delà de 25 lignes : non imprimée","OK")))))))))))))</f>
        <v/>
      </c>
      <c r="O2882" s="59" t="str">
        <f>IF(A2882="","",COUNTIF($A$6:A2882,A2882))</f>
        <v/>
      </c>
      <c r="P2882" s="62" t="str">
        <f>IF(A2882="","",A2882&amp;"|"&amp;O2882)</f>
        <v/>
      </c>
    </row>
    <row r="2883">
      <c r="A2883" s="60" t="n"/>
      <c r="B2883" s="63" t="n"/>
      <c r="C2883" s="63" t="n"/>
      <c r="D2883" s="67" t="n"/>
      <c r="E2883" s="68" t="n"/>
      <c r="F2883" s="69" t="n"/>
      <c r="G2883" s="70" t="n"/>
      <c r="H2883" s="62" t="str">
        <f>IF(COUNTA(A2883:G2883)=0,"",IF(C2883&lt;&gt;"",C2883,IF(B2883="","",IFERROR(INDEX(pr_des,MATCH(B2883,pr_code,0))&amp;"",""))))</f>
        <v/>
      </c>
      <c r="I2883" s="59" t="str">
        <f>IF(B2883="","",IFERROR(INDEX(pr_unit,MATCH(B2883,pr_code,0))&amp;"",""))</f>
        <v/>
      </c>
      <c r="J2883" s="65" t="str">
        <f>IF(COUNTA(A2883:G2883)=0,"",IF(E2883&lt;&gt;"",E2883,IF(B2883="","",IFERROR(IF(INDEX(pr_price,MATCH(B2883,pr_code,0))="","",INDEX(pr_price,MATCH(B2883,pr_code,0))),""))))</f>
        <v/>
      </c>
      <c r="K2883" s="71" t="str">
        <f>IF(COUNTA(A2883:G2883)=0,"",IF(G2883&lt;&gt;"",G2883,IF(B2883="","",IFERROR(IF(INDEX(pr_rate,MATCH(B2883,pr_code,0))="","",INDEX(pr_rate,MATCH(B2883,pr_code,0))),""))))</f>
        <v/>
      </c>
      <c r="L2883" s="65" t="str">
        <f>IF(COUNTA(A2883:G2883)=0,"",IF(AND(ISNUMBER(D2883),ISNUMBER(J2883)),ROUND(D2883*J2883*(1-N(F2883)),2),0))</f>
        <v/>
      </c>
      <c r="M2883" s="62" t="str">
        <f>IF(A2883="","",IFERROR(INDEX(fa_cname,MATCH(A2883,fa_num,0))&amp;"",""))</f>
        <v/>
      </c>
      <c r="N2883" s="59" t="str">
        <f>IF(COUNTA(A2883:G2883)=0,"",IF(A2883="","N° facture manquant",IF(ISNA(MATCH(A2883,fa_num,0)),"Facture inconnue",IF(AND(B2883&lt;&gt;"",ISNA(MATCH(B2883,pr_code,0))),"Article inconnu",IF(H2883="","Désignation manquante",IF(OR(NOT(ISNUMBER(D2883)),N(D2883)&lt;=0),"Quantité invalide",IF(J2883="","Prix manquant",IF(OR(NOT(ISNUMBER(J2883)),N(J2883)&lt;0),"Prix invalide",IF(OR(AND(F2883&lt;&gt;"",NOT(ISNUMBER(F2883))),N(F2883)&lt;0,N(F2883)&gt;1),"Remise invalide",IF(K2883="","Taux de TVA manquant",IF(NOT(ISNUMBER(K2883)),"Taux de TVA invalide",IF(COUNTIF(p_rates,K2883)=0,"Taux de TVA hors liste (Paramètres)",IF(N(O2883)&gt;25,"Au-delà de 25 lignes : non imprimée","OK")))))))))))))</f>
        <v/>
      </c>
      <c r="O2883" s="59" t="str">
        <f>IF(A2883="","",COUNTIF($A$6:A2883,A2883))</f>
        <v/>
      </c>
      <c r="P2883" s="62" t="str">
        <f>IF(A2883="","",A2883&amp;"|"&amp;O2883)</f>
        <v/>
      </c>
    </row>
    <row r="2884">
      <c r="A2884" s="60" t="n"/>
      <c r="B2884" s="63" t="n"/>
      <c r="C2884" s="63" t="n"/>
      <c r="D2884" s="67" t="n"/>
      <c r="E2884" s="68" t="n"/>
      <c r="F2884" s="69" t="n"/>
      <c r="G2884" s="70" t="n"/>
      <c r="H2884" s="62" t="str">
        <f>IF(COUNTA(A2884:G2884)=0,"",IF(C2884&lt;&gt;"",C2884,IF(B2884="","",IFERROR(INDEX(pr_des,MATCH(B2884,pr_code,0))&amp;"",""))))</f>
        <v/>
      </c>
      <c r="I2884" s="59" t="str">
        <f>IF(B2884="","",IFERROR(INDEX(pr_unit,MATCH(B2884,pr_code,0))&amp;"",""))</f>
        <v/>
      </c>
      <c r="J2884" s="65" t="str">
        <f>IF(COUNTA(A2884:G2884)=0,"",IF(E2884&lt;&gt;"",E2884,IF(B2884="","",IFERROR(IF(INDEX(pr_price,MATCH(B2884,pr_code,0))="","",INDEX(pr_price,MATCH(B2884,pr_code,0))),""))))</f>
        <v/>
      </c>
      <c r="K2884" s="71" t="str">
        <f>IF(COUNTA(A2884:G2884)=0,"",IF(G2884&lt;&gt;"",G2884,IF(B2884="","",IFERROR(IF(INDEX(pr_rate,MATCH(B2884,pr_code,0))="","",INDEX(pr_rate,MATCH(B2884,pr_code,0))),""))))</f>
        <v/>
      </c>
      <c r="L2884" s="65" t="str">
        <f>IF(COUNTA(A2884:G2884)=0,"",IF(AND(ISNUMBER(D2884),ISNUMBER(J2884)),ROUND(D2884*J2884*(1-N(F2884)),2),0))</f>
        <v/>
      </c>
      <c r="M2884" s="62" t="str">
        <f>IF(A2884="","",IFERROR(INDEX(fa_cname,MATCH(A2884,fa_num,0))&amp;"",""))</f>
        <v/>
      </c>
      <c r="N2884" s="59" t="str">
        <f>IF(COUNTA(A2884:G2884)=0,"",IF(A2884="","N° facture manquant",IF(ISNA(MATCH(A2884,fa_num,0)),"Facture inconnue",IF(AND(B2884&lt;&gt;"",ISNA(MATCH(B2884,pr_code,0))),"Article inconnu",IF(H2884="","Désignation manquante",IF(OR(NOT(ISNUMBER(D2884)),N(D2884)&lt;=0),"Quantité invalide",IF(J2884="","Prix manquant",IF(OR(NOT(ISNUMBER(J2884)),N(J2884)&lt;0),"Prix invalide",IF(OR(AND(F2884&lt;&gt;"",NOT(ISNUMBER(F2884))),N(F2884)&lt;0,N(F2884)&gt;1),"Remise invalide",IF(K2884="","Taux de TVA manquant",IF(NOT(ISNUMBER(K2884)),"Taux de TVA invalide",IF(COUNTIF(p_rates,K2884)=0,"Taux de TVA hors liste (Paramètres)",IF(N(O2884)&gt;25,"Au-delà de 25 lignes : non imprimée","OK")))))))))))))</f>
        <v/>
      </c>
      <c r="O2884" s="59" t="str">
        <f>IF(A2884="","",COUNTIF($A$6:A2884,A2884))</f>
        <v/>
      </c>
      <c r="P2884" s="62" t="str">
        <f>IF(A2884="","",A2884&amp;"|"&amp;O2884)</f>
        <v/>
      </c>
    </row>
    <row r="2885">
      <c r="A2885" s="60" t="n"/>
      <c r="B2885" s="63" t="n"/>
      <c r="C2885" s="63" t="n"/>
      <c r="D2885" s="67" t="n"/>
      <c r="E2885" s="68" t="n"/>
      <c r="F2885" s="69" t="n"/>
      <c r="G2885" s="70" t="n"/>
      <c r="H2885" s="62" t="str">
        <f>IF(COUNTA(A2885:G2885)=0,"",IF(C2885&lt;&gt;"",C2885,IF(B2885="","",IFERROR(INDEX(pr_des,MATCH(B2885,pr_code,0))&amp;"",""))))</f>
        <v/>
      </c>
      <c r="I2885" s="59" t="str">
        <f>IF(B2885="","",IFERROR(INDEX(pr_unit,MATCH(B2885,pr_code,0))&amp;"",""))</f>
        <v/>
      </c>
      <c r="J2885" s="65" t="str">
        <f>IF(COUNTA(A2885:G2885)=0,"",IF(E2885&lt;&gt;"",E2885,IF(B2885="","",IFERROR(IF(INDEX(pr_price,MATCH(B2885,pr_code,0))="","",INDEX(pr_price,MATCH(B2885,pr_code,0))),""))))</f>
        <v/>
      </c>
      <c r="K2885" s="71" t="str">
        <f>IF(COUNTA(A2885:G2885)=0,"",IF(G2885&lt;&gt;"",G2885,IF(B2885="","",IFERROR(IF(INDEX(pr_rate,MATCH(B2885,pr_code,0))="","",INDEX(pr_rate,MATCH(B2885,pr_code,0))),""))))</f>
        <v/>
      </c>
      <c r="L2885" s="65" t="str">
        <f>IF(COUNTA(A2885:G2885)=0,"",IF(AND(ISNUMBER(D2885),ISNUMBER(J2885)),ROUND(D2885*J2885*(1-N(F2885)),2),0))</f>
        <v/>
      </c>
      <c r="M2885" s="62" t="str">
        <f>IF(A2885="","",IFERROR(INDEX(fa_cname,MATCH(A2885,fa_num,0))&amp;"",""))</f>
        <v/>
      </c>
      <c r="N2885" s="59" t="str">
        <f>IF(COUNTA(A2885:G2885)=0,"",IF(A2885="","N° facture manquant",IF(ISNA(MATCH(A2885,fa_num,0)),"Facture inconnue",IF(AND(B2885&lt;&gt;"",ISNA(MATCH(B2885,pr_code,0))),"Article inconnu",IF(H2885="","Désignation manquante",IF(OR(NOT(ISNUMBER(D2885)),N(D2885)&lt;=0),"Quantité invalide",IF(J2885="","Prix manquant",IF(OR(NOT(ISNUMBER(J2885)),N(J2885)&lt;0),"Prix invalide",IF(OR(AND(F2885&lt;&gt;"",NOT(ISNUMBER(F2885))),N(F2885)&lt;0,N(F2885)&gt;1),"Remise invalide",IF(K2885="","Taux de TVA manquant",IF(NOT(ISNUMBER(K2885)),"Taux de TVA invalide",IF(COUNTIF(p_rates,K2885)=0,"Taux de TVA hors liste (Paramètres)",IF(N(O2885)&gt;25,"Au-delà de 25 lignes : non imprimée","OK")))))))))))))</f>
        <v/>
      </c>
      <c r="O2885" s="59" t="str">
        <f>IF(A2885="","",COUNTIF($A$6:A2885,A2885))</f>
        <v/>
      </c>
      <c r="P2885" s="62" t="str">
        <f>IF(A2885="","",A2885&amp;"|"&amp;O2885)</f>
        <v/>
      </c>
    </row>
    <row r="2886">
      <c r="A2886" s="60" t="n"/>
      <c r="B2886" s="63" t="n"/>
      <c r="C2886" s="63" t="n"/>
      <c r="D2886" s="67" t="n"/>
      <c r="E2886" s="68" t="n"/>
      <c r="F2886" s="69" t="n"/>
      <c r="G2886" s="70" t="n"/>
      <c r="H2886" s="62" t="str">
        <f>IF(COUNTA(A2886:G2886)=0,"",IF(C2886&lt;&gt;"",C2886,IF(B2886="","",IFERROR(INDEX(pr_des,MATCH(B2886,pr_code,0))&amp;"",""))))</f>
        <v/>
      </c>
      <c r="I2886" s="59" t="str">
        <f>IF(B2886="","",IFERROR(INDEX(pr_unit,MATCH(B2886,pr_code,0))&amp;"",""))</f>
        <v/>
      </c>
      <c r="J2886" s="65" t="str">
        <f>IF(COUNTA(A2886:G2886)=0,"",IF(E2886&lt;&gt;"",E2886,IF(B2886="","",IFERROR(IF(INDEX(pr_price,MATCH(B2886,pr_code,0))="","",INDEX(pr_price,MATCH(B2886,pr_code,0))),""))))</f>
        <v/>
      </c>
      <c r="K2886" s="71" t="str">
        <f>IF(COUNTA(A2886:G2886)=0,"",IF(G2886&lt;&gt;"",G2886,IF(B2886="","",IFERROR(IF(INDEX(pr_rate,MATCH(B2886,pr_code,0))="","",INDEX(pr_rate,MATCH(B2886,pr_code,0))),""))))</f>
        <v/>
      </c>
      <c r="L2886" s="65" t="str">
        <f>IF(COUNTA(A2886:G2886)=0,"",IF(AND(ISNUMBER(D2886),ISNUMBER(J2886)),ROUND(D2886*J2886*(1-N(F2886)),2),0))</f>
        <v/>
      </c>
      <c r="M2886" s="62" t="str">
        <f>IF(A2886="","",IFERROR(INDEX(fa_cname,MATCH(A2886,fa_num,0))&amp;"",""))</f>
        <v/>
      </c>
      <c r="N2886" s="59" t="str">
        <f>IF(COUNTA(A2886:G2886)=0,"",IF(A2886="","N° facture manquant",IF(ISNA(MATCH(A2886,fa_num,0)),"Facture inconnue",IF(AND(B2886&lt;&gt;"",ISNA(MATCH(B2886,pr_code,0))),"Article inconnu",IF(H2886="","Désignation manquante",IF(OR(NOT(ISNUMBER(D2886)),N(D2886)&lt;=0),"Quantité invalide",IF(J2886="","Prix manquant",IF(OR(NOT(ISNUMBER(J2886)),N(J2886)&lt;0),"Prix invalide",IF(OR(AND(F2886&lt;&gt;"",NOT(ISNUMBER(F2886))),N(F2886)&lt;0,N(F2886)&gt;1),"Remise invalide",IF(K2886="","Taux de TVA manquant",IF(NOT(ISNUMBER(K2886)),"Taux de TVA invalide",IF(COUNTIF(p_rates,K2886)=0,"Taux de TVA hors liste (Paramètres)",IF(N(O2886)&gt;25,"Au-delà de 25 lignes : non imprimée","OK")))))))))))))</f>
        <v/>
      </c>
      <c r="O2886" s="59" t="str">
        <f>IF(A2886="","",COUNTIF($A$6:A2886,A2886))</f>
        <v/>
      </c>
      <c r="P2886" s="62" t="str">
        <f>IF(A2886="","",A2886&amp;"|"&amp;O2886)</f>
        <v/>
      </c>
    </row>
    <row r="2887">
      <c r="A2887" s="60" t="n"/>
      <c r="B2887" s="63" t="n"/>
      <c r="C2887" s="63" t="n"/>
      <c r="D2887" s="67" t="n"/>
      <c r="E2887" s="68" t="n"/>
      <c r="F2887" s="69" t="n"/>
      <c r="G2887" s="70" t="n"/>
      <c r="H2887" s="62" t="str">
        <f>IF(COUNTA(A2887:G2887)=0,"",IF(C2887&lt;&gt;"",C2887,IF(B2887="","",IFERROR(INDEX(pr_des,MATCH(B2887,pr_code,0))&amp;"",""))))</f>
        <v/>
      </c>
      <c r="I2887" s="59" t="str">
        <f>IF(B2887="","",IFERROR(INDEX(pr_unit,MATCH(B2887,pr_code,0))&amp;"",""))</f>
        <v/>
      </c>
      <c r="J2887" s="65" t="str">
        <f>IF(COUNTA(A2887:G2887)=0,"",IF(E2887&lt;&gt;"",E2887,IF(B2887="","",IFERROR(IF(INDEX(pr_price,MATCH(B2887,pr_code,0))="","",INDEX(pr_price,MATCH(B2887,pr_code,0))),""))))</f>
        <v/>
      </c>
      <c r="K2887" s="71" t="str">
        <f>IF(COUNTA(A2887:G2887)=0,"",IF(G2887&lt;&gt;"",G2887,IF(B2887="","",IFERROR(IF(INDEX(pr_rate,MATCH(B2887,pr_code,0))="","",INDEX(pr_rate,MATCH(B2887,pr_code,0))),""))))</f>
        <v/>
      </c>
      <c r="L2887" s="65" t="str">
        <f>IF(COUNTA(A2887:G2887)=0,"",IF(AND(ISNUMBER(D2887),ISNUMBER(J2887)),ROUND(D2887*J2887*(1-N(F2887)),2),0))</f>
        <v/>
      </c>
      <c r="M2887" s="62" t="str">
        <f>IF(A2887="","",IFERROR(INDEX(fa_cname,MATCH(A2887,fa_num,0))&amp;"",""))</f>
        <v/>
      </c>
      <c r="N2887" s="59" t="str">
        <f>IF(COUNTA(A2887:G2887)=0,"",IF(A2887="","N° facture manquant",IF(ISNA(MATCH(A2887,fa_num,0)),"Facture inconnue",IF(AND(B2887&lt;&gt;"",ISNA(MATCH(B2887,pr_code,0))),"Article inconnu",IF(H2887="","Désignation manquante",IF(OR(NOT(ISNUMBER(D2887)),N(D2887)&lt;=0),"Quantité invalide",IF(J2887="","Prix manquant",IF(OR(NOT(ISNUMBER(J2887)),N(J2887)&lt;0),"Prix invalide",IF(OR(AND(F2887&lt;&gt;"",NOT(ISNUMBER(F2887))),N(F2887)&lt;0,N(F2887)&gt;1),"Remise invalide",IF(K2887="","Taux de TVA manquant",IF(NOT(ISNUMBER(K2887)),"Taux de TVA invalide",IF(COUNTIF(p_rates,K2887)=0,"Taux de TVA hors liste (Paramètres)",IF(N(O2887)&gt;25,"Au-delà de 25 lignes : non imprimée","OK")))))))))))))</f>
        <v/>
      </c>
      <c r="O2887" s="59" t="str">
        <f>IF(A2887="","",COUNTIF($A$6:A2887,A2887))</f>
        <v/>
      </c>
      <c r="P2887" s="62" t="str">
        <f>IF(A2887="","",A2887&amp;"|"&amp;O2887)</f>
        <v/>
      </c>
    </row>
    <row r="2888">
      <c r="A2888" s="60" t="n"/>
      <c r="B2888" s="63" t="n"/>
      <c r="C2888" s="63" t="n"/>
      <c r="D2888" s="67" t="n"/>
      <c r="E2888" s="68" t="n"/>
      <c r="F2888" s="69" t="n"/>
      <c r="G2888" s="70" t="n"/>
      <c r="H2888" s="62" t="str">
        <f>IF(COUNTA(A2888:G2888)=0,"",IF(C2888&lt;&gt;"",C2888,IF(B2888="","",IFERROR(INDEX(pr_des,MATCH(B2888,pr_code,0))&amp;"",""))))</f>
        <v/>
      </c>
      <c r="I2888" s="59" t="str">
        <f>IF(B2888="","",IFERROR(INDEX(pr_unit,MATCH(B2888,pr_code,0))&amp;"",""))</f>
        <v/>
      </c>
      <c r="J2888" s="65" t="str">
        <f>IF(COUNTA(A2888:G2888)=0,"",IF(E2888&lt;&gt;"",E2888,IF(B2888="","",IFERROR(IF(INDEX(pr_price,MATCH(B2888,pr_code,0))="","",INDEX(pr_price,MATCH(B2888,pr_code,0))),""))))</f>
        <v/>
      </c>
      <c r="K2888" s="71" t="str">
        <f>IF(COUNTA(A2888:G2888)=0,"",IF(G2888&lt;&gt;"",G2888,IF(B2888="","",IFERROR(IF(INDEX(pr_rate,MATCH(B2888,pr_code,0))="","",INDEX(pr_rate,MATCH(B2888,pr_code,0))),""))))</f>
        <v/>
      </c>
      <c r="L2888" s="65" t="str">
        <f>IF(COUNTA(A2888:G2888)=0,"",IF(AND(ISNUMBER(D2888),ISNUMBER(J2888)),ROUND(D2888*J2888*(1-N(F2888)),2),0))</f>
        <v/>
      </c>
      <c r="M2888" s="62" t="str">
        <f>IF(A2888="","",IFERROR(INDEX(fa_cname,MATCH(A2888,fa_num,0))&amp;"",""))</f>
        <v/>
      </c>
      <c r="N2888" s="59" t="str">
        <f>IF(COUNTA(A2888:G2888)=0,"",IF(A2888="","N° facture manquant",IF(ISNA(MATCH(A2888,fa_num,0)),"Facture inconnue",IF(AND(B2888&lt;&gt;"",ISNA(MATCH(B2888,pr_code,0))),"Article inconnu",IF(H2888="","Désignation manquante",IF(OR(NOT(ISNUMBER(D2888)),N(D2888)&lt;=0),"Quantité invalide",IF(J2888="","Prix manquant",IF(OR(NOT(ISNUMBER(J2888)),N(J2888)&lt;0),"Prix invalide",IF(OR(AND(F2888&lt;&gt;"",NOT(ISNUMBER(F2888))),N(F2888)&lt;0,N(F2888)&gt;1),"Remise invalide",IF(K2888="","Taux de TVA manquant",IF(NOT(ISNUMBER(K2888)),"Taux de TVA invalide",IF(COUNTIF(p_rates,K2888)=0,"Taux de TVA hors liste (Paramètres)",IF(N(O2888)&gt;25,"Au-delà de 25 lignes : non imprimée","OK")))))))))))))</f>
        <v/>
      </c>
      <c r="O2888" s="59" t="str">
        <f>IF(A2888="","",COUNTIF($A$6:A2888,A2888))</f>
        <v/>
      </c>
      <c r="P2888" s="62" t="str">
        <f>IF(A2888="","",A2888&amp;"|"&amp;O2888)</f>
        <v/>
      </c>
    </row>
    <row r="2889">
      <c r="A2889" s="60" t="n"/>
      <c r="B2889" s="63" t="n"/>
      <c r="C2889" s="63" t="n"/>
      <c r="D2889" s="67" t="n"/>
      <c r="E2889" s="68" t="n"/>
      <c r="F2889" s="69" t="n"/>
      <c r="G2889" s="70" t="n"/>
      <c r="H2889" s="62" t="str">
        <f>IF(COUNTA(A2889:G2889)=0,"",IF(C2889&lt;&gt;"",C2889,IF(B2889="","",IFERROR(INDEX(pr_des,MATCH(B2889,pr_code,0))&amp;"",""))))</f>
        <v/>
      </c>
      <c r="I2889" s="59" t="str">
        <f>IF(B2889="","",IFERROR(INDEX(pr_unit,MATCH(B2889,pr_code,0))&amp;"",""))</f>
        <v/>
      </c>
      <c r="J2889" s="65" t="str">
        <f>IF(COUNTA(A2889:G2889)=0,"",IF(E2889&lt;&gt;"",E2889,IF(B2889="","",IFERROR(IF(INDEX(pr_price,MATCH(B2889,pr_code,0))="","",INDEX(pr_price,MATCH(B2889,pr_code,0))),""))))</f>
        <v/>
      </c>
      <c r="K2889" s="71" t="str">
        <f>IF(COUNTA(A2889:G2889)=0,"",IF(G2889&lt;&gt;"",G2889,IF(B2889="","",IFERROR(IF(INDEX(pr_rate,MATCH(B2889,pr_code,0))="","",INDEX(pr_rate,MATCH(B2889,pr_code,0))),""))))</f>
        <v/>
      </c>
      <c r="L2889" s="65" t="str">
        <f>IF(COUNTA(A2889:G2889)=0,"",IF(AND(ISNUMBER(D2889),ISNUMBER(J2889)),ROUND(D2889*J2889*(1-N(F2889)),2),0))</f>
        <v/>
      </c>
      <c r="M2889" s="62" t="str">
        <f>IF(A2889="","",IFERROR(INDEX(fa_cname,MATCH(A2889,fa_num,0))&amp;"",""))</f>
        <v/>
      </c>
      <c r="N2889" s="59" t="str">
        <f>IF(COUNTA(A2889:G2889)=0,"",IF(A2889="","N° facture manquant",IF(ISNA(MATCH(A2889,fa_num,0)),"Facture inconnue",IF(AND(B2889&lt;&gt;"",ISNA(MATCH(B2889,pr_code,0))),"Article inconnu",IF(H2889="","Désignation manquante",IF(OR(NOT(ISNUMBER(D2889)),N(D2889)&lt;=0),"Quantité invalide",IF(J2889="","Prix manquant",IF(OR(NOT(ISNUMBER(J2889)),N(J2889)&lt;0),"Prix invalide",IF(OR(AND(F2889&lt;&gt;"",NOT(ISNUMBER(F2889))),N(F2889)&lt;0,N(F2889)&gt;1),"Remise invalide",IF(K2889="","Taux de TVA manquant",IF(NOT(ISNUMBER(K2889)),"Taux de TVA invalide",IF(COUNTIF(p_rates,K2889)=0,"Taux de TVA hors liste (Paramètres)",IF(N(O2889)&gt;25,"Au-delà de 25 lignes : non imprimée","OK")))))))))))))</f>
        <v/>
      </c>
      <c r="O2889" s="59" t="str">
        <f>IF(A2889="","",COUNTIF($A$6:A2889,A2889))</f>
        <v/>
      </c>
      <c r="P2889" s="62" t="str">
        <f>IF(A2889="","",A2889&amp;"|"&amp;O2889)</f>
        <v/>
      </c>
    </row>
    <row r="2890">
      <c r="A2890" s="60" t="n"/>
      <c r="B2890" s="63" t="n"/>
      <c r="C2890" s="63" t="n"/>
      <c r="D2890" s="67" t="n"/>
      <c r="E2890" s="68" t="n"/>
      <c r="F2890" s="69" t="n"/>
      <c r="G2890" s="70" t="n"/>
      <c r="H2890" s="62" t="str">
        <f>IF(COUNTA(A2890:G2890)=0,"",IF(C2890&lt;&gt;"",C2890,IF(B2890="","",IFERROR(INDEX(pr_des,MATCH(B2890,pr_code,0))&amp;"",""))))</f>
        <v/>
      </c>
      <c r="I2890" s="59" t="str">
        <f>IF(B2890="","",IFERROR(INDEX(pr_unit,MATCH(B2890,pr_code,0))&amp;"",""))</f>
        <v/>
      </c>
      <c r="J2890" s="65" t="str">
        <f>IF(COUNTA(A2890:G2890)=0,"",IF(E2890&lt;&gt;"",E2890,IF(B2890="","",IFERROR(IF(INDEX(pr_price,MATCH(B2890,pr_code,0))="","",INDEX(pr_price,MATCH(B2890,pr_code,0))),""))))</f>
        <v/>
      </c>
      <c r="K2890" s="71" t="str">
        <f>IF(COUNTA(A2890:G2890)=0,"",IF(G2890&lt;&gt;"",G2890,IF(B2890="","",IFERROR(IF(INDEX(pr_rate,MATCH(B2890,pr_code,0))="","",INDEX(pr_rate,MATCH(B2890,pr_code,0))),""))))</f>
        <v/>
      </c>
      <c r="L2890" s="65" t="str">
        <f>IF(COUNTA(A2890:G2890)=0,"",IF(AND(ISNUMBER(D2890),ISNUMBER(J2890)),ROUND(D2890*J2890*(1-N(F2890)),2),0))</f>
        <v/>
      </c>
      <c r="M2890" s="62" t="str">
        <f>IF(A2890="","",IFERROR(INDEX(fa_cname,MATCH(A2890,fa_num,0))&amp;"",""))</f>
        <v/>
      </c>
      <c r="N2890" s="59" t="str">
        <f>IF(COUNTA(A2890:G2890)=0,"",IF(A2890="","N° facture manquant",IF(ISNA(MATCH(A2890,fa_num,0)),"Facture inconnue",IF(AND(B2890&lt;&gt;"",ISNA(MATCH(B2890,pr_code,0))),"Article inconnu",IF(H2890="","Désignation manquante",IF(OR(NOT(ISNUMBER(D2890)),N(D2890)&lt;=0),"Quantité invalide",IF(J2890="","Prix manquant",IF(OR(NOT(ISNUMBER(J2890)),N(J2890)&lt;0),"Prix invalide",IF(OR(AND(F2890&lt;&gt;"",NOT(ISNUMBER(F2890))),N(F2890)&lt;0,N(F2890)&gt;1),"Remise invalide",IF(K2890="","Taux de TVA manquant",IF(NOT(ISNUMBER(K2890)),"Taux de TVA invalide",IF(COUNTIF(p_rates,K2890)=0,"Taux de TVA hors liste (Paramètres)",IF(N(O2890)&gt;25,"Au-delà de 25 lignes : non imprimée","OK")))))))))))))</f>
        <v/>
      </c>
      <c r="O2890" s="59" t="str">
        <f>IF(A2890="","",COUNTIF($A$6:A2890,A2890))</f>
        <v/>
      </c>
      <c r="P2890" s="62" t="str">
        <f>IF(A2890="","",A2890&amp;"|"&amp;O2890)</f>
        <v/>
      </c>
    </row>
    <row r="2891">
      <c r="A2891" s="60" t="n"/>
      <c r="B2891" s="63" t="n"/>
      <c r="C2891" s="63" t="n"/>
      <c r="D2891" s="67" t="n"/>
      <c r="E2891" s="68" t="n"/>
      <c r="F2891" s="69" t="n"/>
      <c r="G2891" s="70" t="n"/>
      <c r="H2891" s="62" t="str">
        <f>IF(COUNTA(A2891:G2891)=0,"",IF(C2891&lt;&gt;"",C2891,IF(B2891="","",IFERROR(INDEX(pr_des,MATCH(B2891,pr_code,0))&amp;"",""))))</f>
        <v/>
      </c>
      <c r="I2891" s="59" t="str">
        <f>IF(B2891="","",IFERROR(INDEX(pr_unit,MATCH(B2891,pr_code,0))&amp;"",""))</f>
        <v/>
      </c>
      <c r="J2891" s="65" t="str">
        <f>IF(COUNTA(A2891:G2891)=0,"",IF(E2891&lt;&gt;"",E2891,IF(B2891="","",IFERROR(IF(INDEX(pr_price,MATCH(B2891,pr_code,0))="","",INDEX(pr_price,MATCH(B2891,pr_code,0))),""))))</f>
        <v/>
      </c>
      <c r="K2891" s="71" t="str">
        <f>IF(COUNTA(A2891:G2891)=0,"",IF(G2891&lt;&gt;"",G2891,IF(B2891="","",IFERROR(IF(INDEX(pr_rate,MATCH(B2891,pr_code,0))="","",INDEX(pr_rate,MATCH(B2891,pr_code,0))),""))))</f>
        <v/>
      </c>
      <c r="L2891" s="65" t="str">
        <f>IF(COUNTA(A2891:G2891)=0,"",IF(AND(ISNUMBER(D2891),ISNUMBER(J2891)),ROUND(D2891*J2891*(1-N(F2891)),2),0))</f>
        <v/>
      </c>
      <c r="M2891" s="62" t="str">
        <f>IF(A2891="","",IFERROR(INDEX(fa_cname,MATCH(A2891,fa_num,0))&amp;"",""))</f>
        <v/>
      </c>
      <c r="N2891" s="59" t="str">
        <f>IF(COUNTA(A2891:G2891)=0,"",IF(A2891="","N° facture manquant",IF(ISNA(MATCH(A2891,fa_num,0)),"Facture inconnue",IF(AND(B2891&lt;&gt;"",ISNA(MATCH(B2891,pr_code,0))),"Article inconnu",IF(H2891="","Désignation manquante",IF(OR(NOT(ISNUMBER(D2891)),N(D2891)&lt;=0),"Quantité invalide",IF(J2891="","Prix manquant",IF(OR(NOT(ISNUMBER(J2891)),N(J2891)&lt;0),"Prix invalide",IF(OR(AND(F2891&lt;&gt;"",NOT(ISNUMBER(F2891))),N(F2891)&lt;0,N(F2891)&gt;1),"Remise invalide",IF(K2891="","Taux de TVA manquant",IF(NOT(ISNUMBER(K2891)),"Taux de TVA invalide",IF(COUNTIF(p_rates,K2891)=0,"Taux de TVA hors liste (Paramètres)",IF(N(O2891)&gt;25,"Au-delà de 25 lignes : non imprimée","OK")))))))))))))</f>
        <v/>
      </c>
      <c r="O2891" s="59" t="str">
        <f>IF(A2891="","",COUNTIF($A$6:A2891,A2891))</f>
        <v/>
      </c>
      <c r="P2891" s="62" t="str">
        <f>IF(A2891="","",A2891&amp;"|"&amp;O2891)</f>
        <v/>
      </c>
    </row>
    <row r="2892">
      <c r="A2892" s="60" t="n"/>
      <c r="B2892" s="63" t="n"/>
      <c r="C2892" s="63" t="n"/>
      <c r="D2892" s="67" t="n"/>
      <c r="E2892" s="68" t="n"/>
      <c r="F2892" s="69" t="n"/>
      <c r="G2892" s="70" t="n"/>
      <c r="H2892" s="62" t="str">
        <f>IF(COUNTA(A2892:G2892)=0,"",IF(C2892&lt;&gt;"",C2892,IF(B2892="","",IFERROR(INDEX(pr_des,MATCH(B2892,pr_code,0))&amp;"",""))))</f>
        <v/>
      </c>
      <c r="I2892" s="59" t="str">
        <f>IF(B2892="","",IFERROR(INDEX(pr_unit,MATCH(B2892,pr_code,0))&amp;"",""))</f>
        <v/>
      </c>
      <c r="J2892" s="65" t="str">
        <f>IF(COUNTA(A2892:G2892)=0,"",IF(E2892&lt;&gt;"",E2892,IF(B2892="","",IFERROR(IF(INDEX(pr_price,MATCH(B2892,pr_code,0))="","",INDEX(pr_price,MATCH(B2892,pr_code,0))),""))))</f>
        <v/>
      </c>
      <c r="K2892" s="71" t="str">
        <f>IF(COUNTA(A2892:G2892)=0,"",IF(G2892&lt;&gt;"",G2892,IF(B2892="","",IFERROR(IF(INDEX(pr_rate,MATCH(B2892,pr_code,0))="","",INDEX(pr_rate,MATCH(B2892,pr_code,0))),""))))</f>
        <v/>
      </c>
      <c r="L2892" s="65" t="str">
        <f>IF(COUNTA(A2892:G2892)=0,"",IF(AND(ISNUMBER(D2892),ISNUMBER(J2892)),ROUND(D2892*J2892*(1-N(F2892)),2),0))</f>
        <v/>
      </c>
      <c r="M2892" s="62" t="str">
        <f>IF(A2892="","",IFERROR(INDEX(fa_cname,MATCH(A2892,fa_num,0))&amp;"",""))</f>
        <v/>
      </c>
      <c r="N2892" s="59" t="str">
        <f>IF(COUNTA(A2892:G2892)=0,"",IF(A2892="","N° facture manquant",IF(ISNA(MATCH(A2892,fa_num,0)),"Facture inconnue",IF(AND(B2892&lt;&gt;"",ISNA(MATCH(B2892,pr_code,0))),"Article inconnu",IF(H2892="","Désignation manquante",IF(OR(NOT(ISNUMBER(D2892)),N(D2892)&lt;=0),"Quantité invalide",IF(J2892="","Prix manquant",IF(OR(NOT(ISNUMBER(J2892)),N(J2892)&lt;0),"Prix invalide",IF(OR(AND(F2892&lt;&gt;"",NOT(ISNUMBER(F2892))),N(F2892)&lt;0,N(F2892)&gt;1),"Remise invalide",IF(K2892="","Taux de TVA manquant",IF(NOT(ISNUMBER(K2892)),"Taux de TVA invalide",IF(COUNTIF(p_rates,K2892)=0,"Taux de TVA hors liste (Paramètres)",IF(N(O2892)&gt;25,"Au-delà de 25 lignes : non imprimée","OK")))))))))))))</f>
        <v/>
      </c>
      <c r="O2892" s="59" t="str">
        <f>IF(A2892="","",COUNTIF($A$6:A2892,A2892))</f>
        <v/>
      </c>
      <c r="P2892" s="62" t="str">
        <f>IF(A2892="","",A2892&amp;"|"&amp;O2892)</f>
        <v/>
      </c>
    </row>
    <row r="2893">
      <c r="A2893" s="60" t="n"/>
      <c r="B2893" s="63" t="n"/>
      <c r="C2893" s="63" t="n"/>
      <c r="D2893" s="67" t="n"/>
      <c r="E2893" s="68" t="n"/>
      <c r="F2893" s="69" t="n"/>
      <c r="G2893" s="70" t="n"/>
      <c r="H2893" s="62" t="str">
        <f>IF(COUNTA(A2893:G2893)=0,"",IF(C2893&lt;&gt;"",C2893,IF(B2893="","",IFERROR(INDEX(pr_des,MATCH(B2893,pr_code,0))&amp;"",""))))</f>
        <v/>
      </c>
      <c r="I2893" s="59" t="str">
        <f>IF(B2893="","",IFERROR(INDEX(pr_unit,MATCH(B2893,pr_code,0))&amp;"",""))</f>
        <v/>
      </c>
      <c r="J2893" s="65" t="str">
        <f>IF(COUNTA(A2893:G2893)=0,"",IF(E2893&lt;&gt;"",E2893,IF(B2893="","",IFERROR(IF(INDEX(pr_price,MATCH(B2893,pr_code,0))="","",INDEX(pr_price,MATCH(B2893,pr_code,0))),""))))</f>
        <v/>
      </c>
      <c r="K2893" s="71" t="str">
        <f>IF(COUNTA(A2893:G2893)=0,"",IF(G2893&lt;&gt;"",G2893,IF(B2893="","",IFERROR(IF(INDEX(pr_rate,MATCH(B2893,pr_code,0))="","",INDEX(pr_rate,MATCH(B2893,pr_code,0))),""))))</f>
        <v/>
      </c>
      <c r="L2893" s="65" t="str">
        <f>IF(COUNTA(A2893:G2893)=0,"",IF(AND(ISNUMBER(D2893),ISNUMBER(J2893)),ROUND(D2893*J2893*(1-N(F2893)),2),0))</f>
        <v/>
      </c>
      <c r="M2893" s="62" t="str">
        <f>IF(A2893="","",IFERROR(INDEX(fa_cname,MATCH(A2893,fa_num,0))&amp;"",""))</f>
        <v/>
      </c>
      <c r="N2893" s="59" t="str">
        <f>IF(COUNTA(A2893:G2893)=0,"",IF(A2893="","N° facture manquant",IF(ISNA(MATCH(A2893,fa_num,0)),"Facture inconnue",IF(AND(B2893&lt;&gt;"",ISNA(MATCH(B2893,pr_code,0))),"Article inconnu",IF(H2893="","Désignation manquante",IF(OR(NOT(ISNUMBER(D2893)),N(D2893)&lt;=0),"Quantité invalide",IF(J2893="","Prix manquant",IF(OR(NOT(ISNUMBER(J2893)),N(J2893)&lt;0),"Prix invalide",IF(OR(AND(F2893&lt;&gt;"",NOT(ISNUMBER(F2893))),N(F2893)&lt;0,N(F2893)&gt;1),"Remise invalide",IF(K2893="","Taux de TVA manquant",IF(NOT(ISNUMBER(K2893)),"Taux de TVA invalide",IF(COUNTIF(p_rates,K2893)=0,"Taux de TVA hors liste (Paramètres)",IF(N(O2893)&gt;25,"Au-delà de 25 lignes : non imprimée","OK")))))))))))))</f>
        <v/>
      </c>
      <c r="O2893" s="59" t="str">
        <f>IF(A2893="","",COUNTIF($A$6:A2893,A2893))</f>
        <v/>
      </c>
      <c r="P2893" s="62" t="str">
        <f>IF(A2893="","",A2893&amp;"|"&amp;O2893)</f>
        <v/>
      </c>
    </row>
    <row r="2894">
      <c r="A2894" s="60" t="n"/>
      <c r="B2894" s="63" t="n"/>
      <c r="C2894" s="63" t="n"/>
      <c r="D2894" s="67" t="n"/>
      <c r="E2894" s="68" t="n"/>
      <c r="F2894" s="69" t="n"/>
      <c r="G2894" s="70" t="n"/>
      <c r="H2894" s="62" t="str">
        <f>IF(COUNTA(A2894:G2894)=0,"",IF(C2894&lt;&gt;"",C2894,IF(B2894="","",IFERROR(INDEX(pr_des,MATCH(B2894,pr_code,0))&amp;"",""))))</f>
        <v/>
      </c>
      <c r="I2894" s="59" t="str">
        <f>IF(B2894="","",IFERROR(INDEX(pr_unit,MATCH(B2894,pr_code,0))&amp;"",""))</f>
        <v/>
      </c>
      <c r="J2894" s="65" t="str">
        <f>IF(COUNTA(A2894:G2894)=0,"",IF(E2894&lt;&gt;"",E2894,IF(B2894="","",IFERROR(IF(INDEX(pr_price,MATCH(B2894,pr_code,0))="","",INDEX(pr_price,MATCH(B2894,pr_code,0))),""))))</f>
        <v/>
      </c>
      <c r="K2894" s="71" t="str">
        <f>IF(COUNTA(A2894:G2894)=0,"",IF(G2894&lt;&gt;"",G2894,IF(B2894="","",IFERROR(IF(INDEX(pr_rate,MATCH(B2894,pr_code,0))="","",INDEX(pr_rate,MATCH(B2894,pr_code,0))),""))))</f>
        <v/>
      </c>
      <c r="L2894" s="65" t="str">
        <f>IF(COUNTA(A2894:G2894)=0,"",IF(AND(ISNUMBER(D2894),ISNUMBER(J2894)),ROUND(D2894*J2894*(1-N(F2894)),2),0))</f>
        <v/>
      </c>
      <c r="M2894" s="62" t="str">
        <f>IF(A2894="","",IFERROR(INDEX(fa_cname,MATCH(A2894,fa_num,0))&amp;"",""))</f>
        <v/>
      </c>
      <c r="N2894" s="59" t="str">
        <f>IF(COUNTA(A2894:G2894)=0,"",IF(A2894="","N° facture manquant",IF(ISNA(MATCH(A2894,fa_num,0)),"Facture inconnue",IF(AND(B2894&lt;&gt;"",ISNA(MATCH(B2894,pr_code,0))),"Article inconnu",IF(H2894="","Désignation manquante",IF(OR(NOT(ISNUMBER(D2894)),N(D2894)&lt;=0),"Quantité invalide",IF(J2894="","Prix manquant",IF(OR(NOT(ISNUMBER(J2894)),N(J2894)&lt;0),"Prix invalide",IF(OR(AND(F2894&lt;&gt;"",NOT(ISNUMBER(F2894))),N(F2894)&lt;0,N(F2894)&gt;1),"Remise invalide",IF(K2894="","Taux de TVA manquant",IF(NOT(ISNUMBER(K2894)),"Taux de TVA invalide",IF(COUNTIF(p_rates,K2894)=0,"Taux de TVA hors liste (Paramètres)",IF(N(O2894)&gt;25,"Au-delà de 25 lignes : non imprimée","OK")))))))))))))</f>
        <v/>
      </c>
      <c r="O2894" s="59" t="str">
        <f>IF(A2894="","",COUNTIF($A$6:A2894,A2894))</f>
        <v/>
      </c>
      <c r="P2894" s="62" t="str">
        <f>IF(A2894="","",A2894&amp;"|"&amp;O2894)</f>
        <v/>
      </c>
    </row>
    <row r="2895">
      <c r="A2895" s="60" t="n"/>
      <c r="B2895" s="63" t="n"/>
      <c r="C2895" s="63" t="n"/>
      <c r="D2895" s="67" t="n"/>
      <c r="E2895" s="68" t="n"/>
      <c r="F2895" s="69" t="n"/>
      <c r="G2895" s="70" t="n"/>
      <c r="H2895" s="62" t="str">
        <f>IF(COUNTA(A2895:G2895)=0,"",IF(C2895&lt;&gt;"",C2895,IF(B2895="","",IFERROR(INDEX(pr_des,MATCH(B2895,pr_code,0))&amp;"",""))))</f>
        <v/>
      </c>
      <c r="I2895" s="59" t="str">
        <f>IF(B2895="","",IFERROR(INDEX(pr_unit,MATCH(B2895,pr_code,0))&amp;"",""))</f>
        <v/>
      </c>
      <c r="J2895" s="65" t="str">
        <f>IF(COUNTA(A2895:G2895)=0,"",IF(E2895&lt;&gt;"",E2895,IF(B2895="","",IFERROR(IF(INDEX(pr_price,MATCH(B2895,pr_code,0))="","",INDEX(pr_price,MATCH(B2895,pr_code,0))),""))))</f>
        <v/>
      </c>
      <c r="K2895" s="71" t="str">
        <f>IF(COUNTA(A2895:G2895)=0,"",IF(G2895&lt;&gt;"",G2895,IF(B2895="","",IFERROR(IF(INDEX(pr_rate,MATCH(B2895,pr_code,0))="","",INDEX(pr_rate,MATCH(B2895,pr_code,0))),""))))</f>
        <v/>
      </c>
      <c r="L2895" s="65" t="str">
        <f>IF(COUNTA(A2895:G2895)=0,"",IF(AND(ISNUMBER(D2895),ISNUMBER(J2895)),ROUND(D2895*J2895*(1-N(F2895)),2),0))</f>
        <v/>
      </c>
      <c r="M2895" s="62" t="str">
        <f>IF(A2895="","",IFERROR(INDEX(fa_cname,MATCH(A2895,fa_num,0))&amp;"",""))</f>
        <v/>
      </c>
      <c r="N2895" s="59" t="str">
        <f>IF(COUNTA(A2895:G2895)=0,"",IF(A2895="","N° facture manquant",IF(ISNA(MATCH(A2895,fa_num,0)),"Facture inconnue",IF(AND(B2895&lt;&gt;"",ISNA(MATCH(B2895,pr_code,0))),"Article inconnu",IF(H2895="","Désignation manquante",IF(OR(NOT(ISNUMBER(D2895)),N(D2895)&lt;=0),"Quantité invalide",IF(J2895="","Prix manquant",IF(OR(NOT(ISNUMBER(J2895)),N(J2895)&lt;0),"Prix invalide",IF(OR(AND(F2895&lt;&gt;"",NOT(ISNUMBER(F2895))),N(F2895)&lt;0,N(F2895)&gt;1),"Remise invalide",IF(K2895="","Taux de TVA manquant",IF(NOT(ISNUMBER(K2895)),"Taux de TVA invalide",IF(COUNTIF(p_rates,K2895)=0,"Taux de TVA hors liste (Paramètres)",IF(N(O2895)&gt;25,"Au-delà de 25 lignes : non imprimée","OK")))))))))))))</f>
        <v/>
      </c>
      <c r="O2895" s="59" t="str">
        <f>IF(A2895="","",COUNTIF($A$6:A2895,A2895))</f>
        <v/>
      </c>
      <c r="P2895" s="62" t="str">
        <f>IF(A2895="","",A2895&amp;"|"&amp;O2895)</f>
        <v/>
      </c>
    </row>
    <row r="2896">
      <c r="A2896" s="60" t="n"/>
      <c r="B2896" s="63" t="n"/>
      <c r="C2896" s="63" t="n"/>
      <c r="D2896" s="67" t="n"/>
      <c r="E2896" s="68" t="n"/>
      <c r="F2896" s="69" t="n"/>
      <c r="G2896" s="70" t="n"/>
      <c r="H2896" s="62" t="str">
        <f>IF(COUNTA(A2896:G2896)=0,"",IF(C2896&lt;&gt;"",C2896,IF(B2896="","",IFERROR(INDEX(pr_des,MATCH(B2896,pr_code,0))&amp;"",""))))</f>
        <v/>
      </c>
      <c r="I2896" s="59" t="str">
        <f>IF(B2896="","",IFERROR(INDEX(pr_unit,MATCH(B2896,pr_code,0))&amp;"",""))</f>
        <v/>
      </c>
      <c r="J2896" s="65" t="str">
        <f>IF(COUNTA(A2896:G2896)=0,"",IF(E2896&lt;&gt;"",E2896,IF(B2896="","",IFERROR(IF(INDEX(pr_price,MATCH(B2896,pr_code,0))="","",INDEX(pr_price,MATCH(B2896,pr_code,0))),""))))</f>
        <v/>
      </c>
      <c r="K2896" s="71" t="str">
        <f>IF(COUNTA(A2896:G2896)=0,"",IF(G2896&lt;&gt;"",G2896,IF(B2896="","",IFERROR(IF(INDEX(pr_rate,MATCH(B2896,pr_code,0))="","",INDEX(pr_rate,MATCH(B2896,pr_code,0))),""))))</f>
        <v/>
      </c>
      <c r="L2896" s="65" t="str">
        <f>IF(COUNTA(A2896:G2896)=0,"",IF(AND(ISNUMBER(D2896),ISNUMBER(J2896)),ROUND(D2896*J2896*(1-N(F2896)),2),0))</f>
        <v/>
      </c>
      <c r="M2896" s="62" t="str">
        <f>IF(A2896="","",IFERROR(INDEX(fa_cname,MATCH(A2896,fa_num,0))&amp;"",""))</f>
        <v/>
      </c>
      <c r="N2896" s="59" t="str">
        <f>IF(COUNTA(A2896:G2896)=0,"",IF(A2896="","N° facture manquant",IF(ISNA(MATCH(A2896,fa_num,0)),"Facture inconnue",IF(AND(B2896&lt;&gt;"",ISNA(MATCH(B2896,pr_code,0))),"Article inconnu",IF(H2896="","Désignation manquante",IF(OR(NOT(ISNUMBER(D2896)),N(D2896)&lt;=0),"Quantité invalide",IF(J2896="","Prix manquant",IF(OR(NOT(ISNUMBER(J2896)),N(J2896)&lt;0),"Prix invalide",IF(OR(AND(F2896&lt;&gt;"",NOT(ISNUMBER(F2896))),N(F2896)&lt;0,N(F2896)&gt;1),"Remise invalide",IF(K2896="","Taux de TVA manquant",IF(NOT(ISNUMBER(K2896)),"Taux de TVA invalide",IF(COUNTIF(p_rates,K2896)=0,"Taux de TVA hors liste (Paramètres)",IF(N(O2896)&gt;25,"Au-delà de 25 lignes : non imprimée","OK")))))))))))))</f>
        <v/>
      </c>
      <c r="O2896" s="59" t="str">
        <f>IF(A2896="","",COUNTIF($A$6:A2896,A2896))</f>
        <v/>
      </c>
      <c r="P2896" s="62" t="str">
        <f>IF(A2896="","",A2896&amp;"|"&amp;O2896)</f>
        <v/>
      </c>
    </row>
    <row r="2897">
      <c r="A2897" s="60" t="n"/>
      <c r="B2897" s="63" t="n"/>
      <c r="C2897" s="63" t="n"/>
      <c r="D2897" s="67" t="n"/>
      <c r="E2897" s="68" t="n"/>
      <c r="F2897" s="69" t="n"/>
      <c r="G2897" s="70" t="n"/>
      <c r="H2897" s="62" t="str">
        <f>IF(COUNTA(A2897:G2897)=0,"",IF(C2897&lt;&gt;"",C2897,IF(B2897="","",IFERROR(INDEX(pr_des,MATCH(B2897,pr_code,0))&amp;"",""))))</f>
        <v/>
      </c>
      <c r="I2897" s="59" t="str">
        <f>IF(B2897="","",IFERROR(INDEX(pr_unit,MATCH(B2897,pr_code,0))&amp;"",""))</f>
        <v/>
      </c>
      <c r="J2897" s="65" t="str">
        <f>IF(COUNTA(A2897:G2897)=0,"",IF(E2897&lt;&gt;"",E2897,IF(B2897="","",IFERROR(IF(INDEX(pr_price,MATCH(B2897,pr_code,0))="","",INDEX(pr_price,MATCH(B2897,pr_code,0))),""))))</f>
        <v/>
      </c>
      <c r="K2897" s="71" t="str">
        <f>IF(COUNTA(A2897:G2897)=0,"",IF(G2897&lt;&gt;"",G2897,IF(B2897="","",IFERROR(IF(INDEX(pr_rate,MATCH(B2897,pr_code,0))="","",INDEX(pr_rate,MATCH(B2897,pr_code,0))),""))))</f>
        <v/>
      </c>
      <c r="L2897" s="65" t="str">
        <f>IF(COUNTA(A2897:G2897)=0,"",IF(AND(ISNUMBER(D2897),ISNUMBER(J2897)),ROUND(D2897*J2897*(1-N(F2897)),2),0))</f>
        <v/>
      </c>
      <c r="M2897" s="62" t="str">
        <f>IF(A2897="","",IFERROR(INDEX(fa_cname,MATCH(A2897,fa_num,0))&amp;"",""))</f>
        <v/>
      </c>
      <c r="N2897" s="59" t="str">
        <f>IF(COUNTA(A2897:G2897)=0,"",IF(A2897="","N° facture manquant",IF(ISNA(MATCH(A2897,fa_num,0)),"Facture inconnue",IF(AND(B2897&lt;&gt;"",ISNA(MATCH(B2897,pr_code,0))),"Article inconnu",IF(H2897="","Désignation manquante",IF(OR(NOT(ISNUMBER(D2897)),N(D2897)&lt;=0),"Quantité invalide",IF(J2897="","Prix manquant",IF(OR(NOT(ISNUMBER(J2897)),N(J2897)&lt;0),"Prix invalide",IF(OR(AND(F2897&lt;&gt;"",NOT(ISNUMBER(F2897))),N(F2897)&lt;0,N(F2897)&gt;1),"Remise invalide",IF(K2897="","Taux de TVA manquant",IF(NOT(ISNUMBER(K2897)),"Taux de TVA invalide",IF(COUNTIF(p_rates,K2897)=0,"Taux de TVA hors liste (Paramètres)",IF(N(O2897)&gt;25,"Au-delà de 25 lignes : non imprimée","OK")))))))))))))</f>
        <v/>
      </c>
      <c r="O2897" s="59" t="str">
        <f>IF(A2897="","",COUNTIF($A$6:A2897,A2897))</f>
        <v/>
      </c>
      <c r="P2897" s="62" t="str">
        <f>IF(A2897="","",A2897&amp;"|"&amp;O2897)</f>
        <v/>
      </c>
    </row>
    <row r="2898">
      <c r="A2898" s="60" t="n"/>
      <c r="B2898" s="63" t="n"/>
      <c r="C2898" s="63" t="n"/>
      <c r="D2898" s="67" t="n"/>
      <c r="E2898" s="68" t="n"/>
      <c r="F2898" s="69" t="n"/>
      <c r="G2898" s="70" t="n"/>
      <c r="H2898" s="62" t="str">
        <f>IF(COUNTA(A2898:G2898)=0,"",IF(C2898&lt;&gt;"",C2898,IF(B2898="","",IFERROR(INDEX(pr_des,MATCH(B2898,pr_code,0))&amp;"",""))))</f>
        <v/>
      </c>
      <c r="I2898" s="59" t="str">
        <f>IF(B2898="","",IFERROR(INDEX(pr_unit,MATCH(B2898,pr_code,0))&amp;"",""))</f>
        <v/>
      </c>
      <c r="J2898" s="65" t="str">
        <f>IF(COUNTA(A2898:G2898)=0,"",IF(E2898&lt;&gt;"",E2898,IF(B2898="","",IFERROR(IF(INDEX(pr_price,MATCH(B2898,pr_code,0))="","",INDEX(pr_price,MATCH(B2898,pr_code,0))),""))))</f>
        <v/>
      </c>
      <c r="K2898" s="71" t="str">
        <f>IF(COUNTA(A2898:G2898)=0,"",IF(G2898&lt;&gt;"",G2898,IF(B2898="","",IFERROR(IF(INDEX(pr_rate,MATCH(B2898,pr_code,0))="","",INDEX(pr_rate,MATCH(B2898,pr_code,0))),""))))</f>
        <v/>
      </c>
      <c r="L2898" s="65" t="str">
        <f>IF(COUNTA(A2898:G2898)=0,"",IF(AND(ISNUMBER(D2898),ISNUMBER(J2898)),ROUND(D2898*J2898*(1-N(F2898)),2),0))</f>
        <v/>
      </c>
      <c r="M2898" s="62" t="str">
        <f>IF(A2898="","",IFERROR(INDEX(fa_cname,MATCH(A2898,fa_num,0))&amp;"",""))</f>
        <v/>
      </c>
      <c r="N2898" s="59" t="str">
        <f>IF(COUNTA(A2898:G2898)=0,"",IF(A2898="","N° facture manquant",IF(ISNA(MATCH(A2898,fa_num,0)),"Facture inconnue",IF(AND(B2898&lt;&gt;"",ISNA(MATCH(B2898,pr_code,0))),"Article inconnu",IF(H2898="","Désignation manquante",IF(OR(NOT(ISNUMBER(D2898)),N(D2898)&lt;=0),"Quantité invalide",IF(J2898="","Prix manquant",IF(OR(NOT(ISNUMBER(J2898)),N(J2898)&lt;0),"Prix invalide",IF(OR(AND(F2898&lt;&gt;"",NOT(ISNUMBER(F2898))),N(F2898)&lt;0,N(F2898)&gt;1),"Remise invalide",IF(K2898="","Taux de TVA manquant",IF(NOT(ISNUMBER(K2898)),"Taux de TVA invalide",IF(COUNTIF(p_rates,K2898)=0,"Taux de TVA hors liste (Paramètres)",IF(N(O2898)&gt;25,"Au-delà de 25 lignes : non imprimée","OK")))))))))))))</f>
        <v/>
      </c>
      <c r="O2898" s="59" t="str">
        <f>IF(A2898="","",COUNTIF($A$6:A2898,A2898))</f>
        <v/>
      </c>
      <c r="P2898" s="62" t="str">
        <f>IF(A2898="","",A2898&amp;"|"&amp;O2898)</f>
        <v/>
      </c>
    </row>
    <row r="2899">
      <c r="A2899" s="60" t="n"/>
      <c r="B2899" s="63" t="n"/>
      <c r="C2899" s="63" t="n"/>
      <c r="D2899" s="67" t="n"/>
      <c r="E2899" s="68" t="n"/>
      <c r="F2899" s="69" t="n"/>
      <c r="G2899" s="70" t="n"/>
      <c r="H2899" s="62" t="str">
        <f>IF(COUNTA(A2899:G2899)=0,"",IF(C2899&lt;&gt;"",C2899,IF(B2899="","",IFERROR(INDEX(pr_des,MATCH(B2899,pr_code,0))&amp;"",""))))</f>
        <v/>
      </c>
      <c r="I2899" s="59" t="str">
        <f>IF(B2899="","",IFERROR(INDEX(pr_unit,MATCH(B2899,pr_code,0))&amp;"",""))</f>
        <v/>
      </c>
      <c r="J2899" s="65" t="str">
        <f>IF(COUNTA(A2899:G2899)=0,"",IF(E2899&lt;&gt;"",E2899,IF(B2899="","",IFERROR(IF(INDEX(pr_price,MATCH(B2899,pr_code,0))="","",INDEX(pr_price,MATCH(B2899,pr_code,0))),""))))</f>
        <v/>
      </c>
      <c r="K2899" s="71" t="str">
        <f>IF(COUNTA(A2899:G2899)=0,"",IF(G2899&lt;&gt;"",G2899,IF(B2899="","",IFERROR(IF(INDEX(pr_rate,MATCH(B2899,pr_code,0))="","",INDEX(pr_rate,MATCH(B2899,pr_code,0))),""))))</f>
        <v/>
      </c>
      <c r="L2899" s="65" t="str">
        <f>IF(COUNTA(A2899:G2899)=0,"",IF(AND(ISNUMBER(D2899),ISNUMBER(J2899)),ROUND(D2899*J2899*(1-N(F2899)),2),0))</f>
        <v/>
      </c>
      <c r="M2899" s="62" t="str">
        <f>IF(A2899="","",IFERROR(INDEX(fa_cname,MATCH(A2899,fa_num,0))&amp;"",""))</f>
        <v/>
      </c>
      <c r="N2899" s="59" t="str">
        <f>IF(COUNTA(A2899:G2899)=0,"",IF(A2899="","N° facture manquant",IF(ISNA(MATCH(A2899,fa_num,0)),"Facture inconnue",IF(AND(B2899&lt;&gt;"",ISNA(MATCH(B2899,pr_code,0))),"Article inconnu",IF(H2899="","Désignation manquante",IF(OR(NOT(ISNUMBER(D2899)),N(D2899)&lt;=0),"Quantité invalide",IF(J2899="","Prix manquant",IF(OR(NOT(ISNUMBER(J2899)),N(J2899)&lt;0),"Prix invalide",IF(OR(AND(F2899&lt;&gt;"",NOT(ISNUMBER(F2899))),N(F2899)&lt;0,N(F2899)&gt;1),"Remise invalide",IF(K2899="","Taux de TVA manquant",IF(NOT(ISNUMBER(K2899)),"Taux de TVA invalide",IF(COUNTIF(p_rates,K2899)=0,"Taux de TVA hors liste (Paramètres)",IF(N(O2899)&gt;25,"Au-delà de 25 lignes : non imprimée","OK")))))))))))))</f>
        <v/>
      </c>
      <c r="O2899" s="59" t="str">
        <f>IF(A2899="","",COUNTIF($A$6:A2899,A2899))</f>
        <v/>
      </c>
      <c r="P2899" s="62" t="str">
        <f>IF(A2899="","",A2899&amp;"|"&amp;O2899)</f>
        <v/>
      </c>
    </row>
    <row r="2900">
      <c r="A2900" s="60" t="n"/>
      <c r="B2900" s="63" t="n"/>
      <c r="C2900" s="63" t="n"/>
      <c r="D2900" s="67" t="n"/>
      <c r="E2900" s="68" t="n"/>
      <c r="F2900" s="69" t="n"/>
      <c r="G2900" s="70" t="n"/>
      <c r="H2900" s="62" t="str">
        <f>IF(COUNTA(A2900:G2900)=0,"",IF(C2900&lt;&gt;"",C2900,IF(B2900="","",IFERROR(INDEX(pr_des,MATCH(B2900,pr_code,0))&amp;"",""))))</f>
        <v/>
      </c>
      <c r="I2900" s="59" t="str">
        <f>IF(B2900="","",IFERROR(INDEX(pr_unit,MATCH(B2900,pr_code,0))&amp;"",""))</f>
        <v/>
      </c>
      <c r="J2900" s="65" t="str">
        <f>IF(COUNTA(A2900:G2900)=0,"",IF(E2900&lt;&gt;"",E2900,IF(B2900="","",IFERROR(IF(INDEX(pr_price,MATCH(B2900,pr_code,0))="","",INDEX(pr_price,MATCH(B2900,pr_code,0))),""))))</f>
        <v/>
      </c>
      <c r="K2900" s="71" t="str">
        <f>IF(COUNTA(A2900:G2900)=0,"",IF(G2900&lt;&gt;"",G2900,IF(B2900="","",IFERROR(IF(INDEX(pr_rate,MATCH(B2900,pr_code,0))="","",INDEX(pr_rate,MATCH(B2900,pr_code,0))),""))))</f>
        <v/>
      </c>
      <c r="L2900" s="65" t="str">
        <f>IF(COUNTA(A2900:G2900)=0,"",IF(AND(ISNUMBER(D2900),ISNUMBER(J2900)),ROUND(D2900*J2900*(1-N(F2900)),2),0))</f>
        <v/>
      </c>
      <c r="M2900" s="62" t="str">
        <f>IF(A2900="","",IFERROR(INDEX(fa_cname,MATCH(A2900,fa_num,0))&amp;"",""))</f>
        <v/>
      </c>
      <c r="N2900" s="59" t="str">
        <f>IF(COUNTA(A2900:G2900)=0,"",IF(A2900="","N° facture manquant",IF(ISNA(MATCH(A2900,fa_num,0)),"Facture inconnue",IF(AND(B2900&lt;&gt;"",ISNA(MATCH(B2900,pr_code,0))),"Article inconnu",IF(H2900="","Désignation manquante",IF(OR(NOT(ISNUMBER(D2900)),N(D2900)&lt;=0),"Quantité invalide",IF(J2900="","Prix manquant",IF(OR(NOT(ISNUMBER(J2900)),N(J2900)&lt;0),"Prix invalide",IF(OR(AND(F2900&lt;&gt;"",NOT(ISNUMBER(F2900))),N(F2900)&lt;0,N(F2900)&gt;1),"Remise invalide",IF(K2900="","Taux de TVA manquant",IF(NOT(ISNUMBER(K2900)),"Taux de TVA invalide",IF(COUNTIF(p_rates,K2900)=0,"Taux de TVA hors liste (Paramètres)",IF(N(O2900)&gt;25,"Au-delà de 25 lignes : non imprimée","OK")))))))))))))</f>
        <v/>
      </c>
      <c r="O2900" s="59" t="str">
        <f>IF(A2900="","",COUNTIF($A$6:A2900,A2900))</f>
        <v/>
      </c>
      <c r="P2900" s="62" t="str">
        <f>IF(A2900="","",A2900&amp;"|"&amp;O2900)</f>
        <v/>
      </c>
    </row>
    <row r="2901">
      <c r="A2901" s="60" t="n"/>
      <c r="B2901" s="63" t="n"/>
      <c r="C2901" s="63" t="n"/>
      <c r="D2901" s="67" t="n"/>
      <c r="E2901" s="68" t="n"/>
      <c r="F2901" s="69" t="n"/>
      <c r="G2901" s="70" t="n"/>
      <c r="H2901" s="62" t="str">
        <f>IF(COUNTA(A2901:G2901)=0,"",IF(C2901&lt;&gt;"",C2901,IF(B2901="","",IFERROR(INDEX(pr_des,MATCH(B2901,pr_code,0))&amp;"",""))))</f>
        <v/>
      </c>
      <c r="I2901" s="59" t="str">
        <f>IF(B2901="","",IFERROR(INDEX(pr_unit,MATCH(B2901,pr_code,0))&amp;"",""))</f>
        <v/>
      </c>
      <c r="J2901" s="65" t="str">
        <f>IF(COUNTA(A2901:G2901)=0,"",IF(E2901&lt;&gt;"",E2901,IF(B2901="","",IFERROR(IF(INDEX(pr_price,MATCH(B2901,pr_code,0))="","",INDEX(pr_price,MATCH(B2901,pr_code,0))),""))))</f>
        <v/>
      </c>
      <c r="K2901" s="71" t="str">
        <f>IF(COUNTA(A2901:G2901)=0,"",IF(G2901&lt;&gt;"",G2901,IF(B2901="","",IFERROR(IF(INDEX(pr_rate,MATCH(B2901,pr_code,0))="","",INDEX(pr_rate,MATCH(B2901,pr_code,0))),""))))</f>
        <v/>
      </c>
      <c r="L2901" s="65" t="str">
        <f>IF(COUNTA(A2901:G2901)=0,"",IF(AND(ISNUMBER(D2901),ISNUMBER(J2901)),ROUND(D2901*J2901*(1-N(F2901)),2),0))</f>
        <v/>
      </c>
      <c r="M2901" s="62" t="str">
        <f>IF(A2901="","",IFERROR(INDEX(fa_cname,MATCH(A2901,fa_num,0))&amp;"",""))</f>
        <v/>
      </c>
      <c r="N2901" s="59" t="str">
        <f>IF(COUNTA(A2901:G2901)=0,"",IF(A2901="","N° facture manquant",IF(ISNA(MATCH(A2901,fa_num,0)),"Facture inconnue",IF(AND(B2901&lt;&gt;"",ISNA(MATCH(B2901,pr_code,0))),"Article inconnu",IF(H2901="","Désignation manquante",IF(OR(NOT(ISNUMBER(D2901)),N(D2901)&lt;=0),"Quantité invalide",IF(J2901="","Prix manquant",IF(OR(NOT(ISNUMBER(J2901)),N(J2901)&lt;0),"Prix invalide",IF(OR(AND(F2901&lt;&gt;"",NOT(ISNUMBER(F2901))),N(F2901)&lt;0,N(F2901)&gt;1),"Remise invalide",IF(K2901="","Taux de TVA manquant",IF(NOT(ISNUMBER(K2901)),"Taux de TVA invalide",IF(COUNTIF(p_rates,K2901)=0,"Taux de TVA hors liste (Paramètres)",IF(N(O2901)&gt;25,"Au-delà de 25 lignes : non imprimée","OK")))))))))))))</f>
        <v/>
      </c>
      <c r="O2901" s="59" t="str">
        <f>IF(A2901="","",COUNTIF($A$6:A2901,A2901))</f>
        <v/>
      </c>
      <c r="P2901" s="62" t="str">
        <f>IF(A2901="","",A2901&amp;"|"&amp;O2901)</f>
        <v/>
      </c>
    </row>
    <row r="2902">
      <c r="A2902" s="60" t="n"/>
      <c r="B2902" s="63" t="n"/>
      <c r="C2902" s="63" t="n"/>
      <c r="D2902" s="67" t="n"/>
      <c r="E2902" s="68" t="n"/>
      <c r="F2902" s="69" t="n"/>
      <c r="G2902" s="70" t="n"/>
      <c r="H2902" s="62" t="str">
        <f>IF(COUNTA(A2902:G2902)=0,"",IF(C2902&lt;&gt;"",C2902,IF(B2902="","",IFERROR(INDEX(pr_des,MATCH(B2902,pr_code,0))&amp;"",""))))</f>
        <v/>
      </c>
      <c r="I2902" s="59" t="str">
        <f>IF(B2902="","",IFERROR(INDEX(pr_unit,MATCH(B2902,pr_code,0))&amp;"",""))</f>
        <v/>
      </c>
      <c r="J2902" s="65" t="str">
        <f>IF(COUNTA(A2902:G2902)=0,"",IF(E2902&lt;&gt;"",E2902,IF(B2902="","",IFERROR(IF(INDEX(pr_price,MATCH(B2902,pr_code,0))="","",INDEX(pr_price,MATCH(B2902,pr_code,0))),""))))</f>
        <v/>
      </c>
      <c r="K2902" s="71" t="str">
        <f>IF(COUNTA(A2902:G2902)=0,"",IF(G2902&lt;&gt;"",G2902,IF(B2902="","",IFERROR(IF(INDEX(pr_rate,MATCH(B2902,pr_code,0))="","",INDEX(pr_rate,MATCH(B2902,pr_code,0))),""))))</f>
        <v/>
      </c>
      <c r="L2902" s="65" t="str">
        <f>IF(COUNTA(A2902:G2902)=0,"",IF(AND(ISNUMBER(D2902),ISNUMBER(J2902)),ROUND(D2902*J2902*(1-N(F2902)),2),0))</f>
        <v/>
      </c>
      <c r="M2902" s="62" t="str">
        <f>IF(A2902="","",IFERROR(INDEX(fa_cname,MATCH(A2902,fa_num,0))&amp;"",""))</f>
        <v/>
      </c>
      <c r="N2902" s="59" t="str">
        <f>IF(COUNTA(A2902:G2902)=0,"",IF(A2902="","N° facture manquant",IF(ISNA(MATCH(A2902,fa_num,0)),"Facture inconnue",IF(AND(B2902&lt;&gt;"",ISNA(MATCH(B2902,pr_code,0))),"Article inconnu",IF(H2902="","Désignation manquante",IF(OR(NOT(ISNUMBER(D2902)),N(D2902)&lt;=0),"Quantité invalide",IF(J2902="","Prix manquant",IF(OR(NOT(ISNUMBER(J2902)),N(J2902)&lt;0),"Prix invalide",IF(OR(AND(F2902&lt;&gt;"",NOT(ISNUMBER(F2902))),N(F2902)&lt;0,N(F2902)&gt;1),"Remise invalide",IF(K2902="","Taux de TVA manquant",IF(NOT(ISNUMBER(K2902)),"Taux de TVA invalide",IF(COUNTIF(p_rates,K2902)=0,"Taux de TVA hors liste (Paramètres)",IF(N(O2902)&gt;25,"Au-delà de 25 lignes : non imprimée","OK")))))))))))))</f>
        <v/>
      </c>
      <c r="O2902" s="59" t="str">
        <f>IF(A2902="","",COUNTIF($A$6:A2902,A2902))</f>
        <v/>
      </c>
      <c r="P2902" s="62" t="str">
        <f>IF(A2902="","",A2902&amp;"|"&amp;O2902)</f>
        <v/>
      </c>
    </row>
    <row r="2903">
      <c r="A2903" s="60" t="n"/>
      <c r="B2903" s="63" t="n"/>
      <c r="C2903" s="63" t="n"/>
      <c r="D2903" s="67" t="n"/>
      <c r="E2903" s="68" t="n"/>
      <c r="F2903" s="69" t="n"/>
      <c r="G2903" s="70" t="n"/>
      <c r="H2903" s="62" t="str">
        <f>IF(COUNTA(A2903:G2903)=0,"",IF(C2903&lt;&gt;"",C2903,IF(B2903="","",IFERROR(INDEX(pr_des,MATCH(B2903,pr_code,0))&amp;"",""))))</f>
        <v/>
      </c>
      <c r="I2903" s="59" t="str">
        <f>IF(B2903="","",IFERROR(INDEX(pr_unit,MATCH(B2903,pr_code,0))&amp;"",""))</f>
        <v/>
      </c>
      <c r="J2903" s="65" t="str">
        <f>IF(COUNTA(A2903:G2903)=0,"",IF(E2903&lt;&gt;"",E2903,IF(B2903="","",IFERROR(IF(INDEX(pr_price,MATCH(B2903,pr_code,0))="","",INDEX(pr_price,MATCH(B2903,pr_code,0))),""))))</f>
        <v/>
      </c>
      <c r="K2903" s="71" t="str">
        <f>IF(COUNTA(A2903:G2903)=0,"",IF(G2903&lt;&gt;"",G2903,IF(B2903="","",IFERROR(IF(INDEX(pr_rate,MATCH(B2903,pr_code,0))="","",INDEX(pr_rate,MATCH(B2903,pr_code,0))),""))))</f>
        <v/>
      </c>
      <c r="L2903" s="65" t="str">
        <f>IF(COUNTA(A2903:G2903)=0,"",IF(AND(ISNUMBER(D2903),ISNUMBER(J2903)),ROUND(D2903*J2903*(1-N(F2903)),2),0))</f>
        <v/>
      </c>
      <c r="M2903" s="62" t="str">
        <f>IF(A2903="","",IFERROR(INDEX(fa_cname,MATCH(A2903,fa_num,0))&amp;"",""))</f>
        <v/>
      </c>
      <c r="N2903" s="59" t="str">
        <f>IF(COUNTA(A2903:G2903)=0,"",IF(A2903="","N° facture manquant",IF(ISNA(MATCH(A2903,fa_num,0)),"Facture inconnue",IF(AND(B2903&lt;&gt;"",ISNA(MATCH(B2903,pr_code,0))),"Article inconnu",IF(H2903="","Désignation manquante",IF(OR(NOT(ISNUMBER(D2903)),N(D2903)&lt;=0),"Quantité invalide",IF(J2903="","Prix manquant",IF(OR(NOT(ISNUMBER(J2903)),N(J2903)&lt;0),"Prix invalide",IF(OR(AND(F2903&lt;&gt;"",NOT(ISNUMBER(F2903))),N(F2903)&lt;0,N(F2903)&gt;1),"Remise invalide",IF(K2903="","Taux de TVA manquant",IF(NOT(ISNUMBER(K2903)),"Taux de TVA invalide",IF(COUNTIF(p_rates,K2903)=0,"Taux de TVA hors liste (Paramètres)",IF(N(O2903)&gt;25,"Au-delà de 25 lignes : non imprimée","OK")))))))))))))</f>
        <v/>
      </c>
      <c r="O2903" s="59" t="str">
        <f>IF(A2903="","",COUNTIF($A$6:A2903,A2903))</f>
        <v/>
      </c>
      <c r="P2903" s="62" t="str">
        <f>IF(A2903="","",A2903&amp;"|"&amp;O2903)</f>
        <v/>
      </c>
    </row>
    <row r="2904">
      <c r="A2904" s="60" t="n"/>
      <c r="B2904" s="63" t="n"/>
      <c r="C2904" s="63" t="n"/>
      <c r="D2904" s="67" t="n"/>
      <c r="E2904" s="68" t="n"/>
      <c r="F2904" s="69" t="n"/>
      <c r="G2904" s="70" t="n"/>
      <c r="H2904" s="62" t="str">
        <f>IF(COUNTA(A2904:G2904)=0,"",IF(C2904&lt;&gt;"",C2904,IF(B2904="","",IFERROR(INDEX(pr_des,MATCH(B2904,pr_code,0))&amp;"",""))))</f>
        <v/>
      </c>
      <c r="I2904" s="59" t="str">
        <f>IF(B2904="","",IFERROR(INDEX(pr_unit,MATCH(B2904,pr_code,0))&amp;"",""))</f>
        <v/>
      </c>
      <c r="J2904" s="65" t="str">
        <f>IF(COUNTA(A2904:G2904)=0,"",IF(E2904&lt;&gt;"",E2904,IF(B2904="","",IFERROR(IF(INDEX(pr_price,MATCH(B2904,pr_code,0))="","",INDEX(pr_price,MATCH(B2904,pr_code,0))),""))))</f>
        <v/>
      </c>
      <c r="K2904" s="71" t="str">
        <f>IF(COUNTA(A2904:G2904)=0,"",IF(G2904&lt;&gt;"",G2904,IF(B2904="","",IFERROR(IF(INDEX(pr_rate,MATCH(B2904,pr_code,0))="","",INDEX(pr_rate,MATCH(B2904,pr_code,0))),""))))</f>
        <v/>
      </c>
      <c r="L2904" s="65" t="str">
        <f>IF(COUNTA(A2904:G2904)=0,"",IF(AND(ISNUMBER(D2904),ISNUMBER(J2904)),ROUND(D2904*J2904*(1-N(F2904)),2),0))</f>
        <v/>
      </c>
      <c r="M2904" s="62" t="str">
        <f>IF(A2904="","",IFERROR(INDEX(fa_cname,MATCH(A2904,fa_num,0))&amp;"",""))</f>
        <v/>
      </c>
      <c r="N2904" s="59" t="str">
        <f>IF(COUNTA(A2904:G2904)=0,"",IF(A2904="","N° facture manquant",IF(ISNA(MATCH(A2904,fa_num,0)),"Facture inconnue",IF(AND(B2904&lt;&gt;"",ISNA(MATCH(B2904,pr_code,0))),"Article inconnu",IF(H2904="","Désignation manquante",IF(OR(NOT(ISNUMBER(D2904)),N(D2904)&lt;=0),"Quantité invalide",IF(J2904="","Prix manquant",IF(OR(NOT(ISNUMBER(J2904)),N(J2904)&lt;0),"Prix invalide",IF(OR(AND(F2904&lt;&gt;"",NOT(ISNUMBER(F2904))),N(F2904)&lt;0,N(F2904)&gt;1),"Remise invalide",IF(K2904="","Taux de TVA manquant",IF(NOT(ISNUMBER(K2904)),"Taux de TVA invalide",IF(COUNTIF(p_rates,K2904)=0,"Taux de TVA hors liste (Paramètres)",IF(N(O2904)&gt;25,"Au-delà de 25 lignes : non imprimée","OK")))))))))))))</f>
        <v/>
      </c>
      <c r="O2904" s="59" t="str">
        <f>IF(A2904="","",COUNTIF($A$6:A2904,A2904))</f>
        <v/>
      </c>
      <c r="P2904" s="62" t="str">
        <f>IF(A2904="","",A2904&amp;"|"&amp;O2904)</f>
        <v/>
      </c>
    </row>
    <row r="2905">
      <c r="A2905" s="60" t="n"/>
      <c r="B2905" s="63" t="n"/>
      <c r="C2905" s="63" t="n"/>
      <c r="D2905" s="67" t="n"/>
      <c r="E2905" s="68" t="n"/>
      <c r="F2905" s="69" t="n"/>
      <c r="G2905" s="70" t="n"/>
      <c r="H2905" s="62" t="str">
        <f>IF(COUNTA(A2905:G2905)=0,"",IF(C2905&lt;&gt;"",C2905,IF(B2905="","",IFERROR(INDEX(pr_des,MATCH(B2905,pr_code,0))&amp;"",""))))</f>
        <v/>
      </c>
      <c r="I2905" s="59" t="str">
        <f>IF(B2905="","",IFERROR(INDEX(pr_unit,MATCH(B2905,pr_code,0))&amp;"",""))</f>
        <v/>
      </c>
      <c r="J2905" s="65" t="str">
        <f>IF(COUNTA(A2905:G2905)=0,"",IF(E2905&lt;&gt;"",E2905,IF(B2905="","",IFERROR(IF(INDEX(pr_price,MATCH(B2905,pr_code,0))="","",INDEX(pr_price,MATCH(B2905,pr_code,0))),""))))</f>
        <v/>
      </c>
      <c r="K2905" s="71" t="str">
        <f>IF(COUNTA(A2905:G2905)=0,"",IF(G2905&lt;&gt;"",G2905,IF(B2905="","",IFERROR(IF(INDEX(pr_rate,MATCH(B2905,pr_code,0))="","",INDEX(pr_rate,MATCH(B2905,pr_code,0))),""))))</f>
        <v/>
      </c>
      <c r="L2905" s="65" t="str">
        <f>IF(COUNTA(A2905:G2905)=0,"",IF(AND(ISNUMBER(D2905),ISNUMBER(J2905)),ROUND(D2905*J2905*(1-N(F2905)),2),0))</f>
        <v/>
      </c>
      <c r="M2905" s="62" t="str">
        <f>IF(A2905="","",IFERROR(INDEX(fa_cname,MATCH(A2905,fa_num,0))&amp;"",""))</f>
        <v/>
      </c>
      <c r="N2905" s="59" t="str">
        <f>IF(COUNTA(A2905:G2905)=0,"",IF(A2905="","N° facture manquant",IF(ISNA(MATCH(A2905,fa_num,0)),"Facture inconnue",IF(AND(B2905&lt;&gt;"",ISNA(MATCH(B2905,pr_code,0))),"Article inconnu",IF(H2905="","Désignation manquante",IF(OR(NOT(ISNUMBER(D2905)),N(D2905)&lt;=0),"Quantité invalide",IF(J2905="","Prix manquant",IF(OR(NOT(ISNUMBER(J2905)),N(J2905)&lt;0),"Prix invalide",IF(OR(AND(F2905&lt;&gt;"",NOT(ISNUMBER(F2905))),N(F2905)&lt;0,N(F2905)&gt;1),"Remise invalide",IF(K2905="","Taux de TVA manquant",IF(NOT(ISNUMBER(K2905)),"Taux de TVA invalide",IF(COUNTIF(p_rates,K2905)=0,"Taux de TVA hors liste (Paramètres)",IF(N(O2905)&gt;25,"Au-delà de 25 lignes : non imprimée","OK")))))))))))))</f>
        <v/>
      </c>
      <c r="O2905" s="59" t="str">
        <f>IF(A2905="","",COUNTIF($A$6:A2905,A2905))</f>
        <v/>
      </c>
      <c r="P2905" s="62" t="str">
        <f>IF(A2905="","",A2905&amp;"|"&amp;O2905)</f>
        <v/>
      </c>
    </row>
    <row r="2906">
      <c r="A2906" s="60" t="n"/>
      <c r="B2906" s="63" t="n"/>
      <c r="C2906" s="63" t="n"/>
      <c r="D2906" s="67" t="n"/>
      <c r="E2906" s="68" t="n"/>
      <c r="F2906" s="69" t="n"/>
      <c r="G2906" s="70" t="n"/>
      <c r="H2906" s="62" t="str">
        <f>IF(COUNTA(A2906:G2906)=0,"",IF(C2906&lt;&gt;"",C2906,IF(B2906="","",IFERROR(INDEX(pr_des,MATCH(B2906,pr_code,0))&amp;"",""))))</f>
        <v/>
      </c>
      <c r="I2906" s="59" t="str">
        <f>IF(B2906="","",IFERROR(INDEX(pr_unit,MATCH(B2906,pr_code,0))&amp;"",""))</f>
        <v/>
      </c>
      <c r="J2906" s="65" t="str">
        <f>IF(COUNTA(A2906:G2906)=0,"",IF(E2906&lt;&gt;"",E2906,IF(B2906="","",IFERROR(IF(INDEX(pr_price,MATCH(B2906,pr_code,0))="","",INDEX(pr_price,MATCH(B2906,pr_code,0))),""))))</f>
        <v/>
      </c>
      <c r="K2906" s="71" t="str">
        <f>IF(COUNTA(A2906:G2906)=0,"",IF(G2906&lt;&gt;"",G2906,IF(B2906="","",IFERROR(IF(INDEX(pr_rate,MATCH(B2906,pr_code,0))="","",INDEX(pr_rate,MATCH(B2906,pr_code,0))),""))))</f>
        <v/>
      </c>
      <c r="L2906" s="65" t="str">
        <f>IF(COUNTA(A2906:G2906)=0,"",IF(AND(ISNUMBER(D2906),ISNUMBER(J2906)),ROUND(D2906*J2906*(1-N(F2906)),2),0))</f>
        <v/>
      </c>
      <c r="M2906" s="62" t="str">
        <f>IF(A2906="","",IFERROR(INDEX(fa_cname,MATCH(A2906,fa_num,0))&amp;"",""))</f>
        <v/>
      </c>
      <c r="N2906" s="59" t="str">
        <f>IF(COUNTA(A2906:G2906)=0,"",IF(A2906="","N° facture manquant",IF(ISNA(MATCH(A2906,fa_num,0)),"Facture inconnue",IF(AND(B2906&lt;&gt;"",ISNA(MATCH(B2906,pr_code,0))),"Article inconnu",IF(H2906="","Désignation manquante",IF(OR(NOT(ISNUMBER(D2906)),N(D2906)&lt;=0),"Quantité invalide",IF(J2906="","Prix manquant",IF(OR(NOT(ISNUMBER(J2906)),N(J2906)&lt;0),"Prix invalide",IF(OR(AND(F2906&lt;&gt;"",NOT(ISNUMBER(F2906))),N(F2906)&lt;0,N(F2906)&gt;1),"Remise invalide",IF(K2906="","Taux de TVA manquant",IF(NOT(ISNUMBER(K2906)),"Taux de TVA invalide",IF(COUNTIF(p_rates,K2906)=0,"Taux de TVA hors liste (Paramètres)",IF(N(O2906)&gt;25,"Au-delà de 25 lignes : non imprimée","OK")))))))))))))</f>
        <v/>
      </c>
      <c r="O2906" s="59" t="str">
        <f>IF(A2906="","",COUNTIF($A$6:A2906,A2906))</f>
        <v/>
      </c>
      <c r="P2906" s="62" t="str">
        <f>IF(A2906="","",A2906&amp;"|"&amp;O2906)</f>
        <v/>
      </c>
    </row>
    <row r="2907">
      <c r="A2907" s="60" t="n"/>
      <c r="B2907" s="63" t="n"/>
      <c r="C2907" s="63" t="n"/>
      <c r="D2907" s="67" t="n"/>
      <c r="E2907" s="68" t="n"/>
      <c r="F2907" s="69" t="n"/>
      <c r="G2907" s="70" t="n"/>
      <c r="H2907" s="62" t="str">
        <f>IF(COUNTA(A2907:G2907)=0,"",IF(C2907&lt;&gt;"",C2907,IF(B2907="","",IFERROR(INDEX(pr_des,MATCH(B2907,pr_code,0))&amp;"",""))))</f>
        <v/>
      </c>
      <c r="I2907" s="59" t="str">
        <f>IF(B2907="","",IFERROR(INDEX(pr_unit,MATCH(B2907,pr_code,0))&amp;"",""))</f>
        <v/>
      </c>
      <c r="J2907" s="65" t="str">
        <f>IF(COUNTA(A2907:G2907)=0,"",IF(E2907&lt;&gt;"",E2907,IF(B2907="","",IFERROR(IF(INDEX(pr_price,MATCH(B2907,pr_code,0))="","",INDEX(pr_price,MATCH(B2907,pr_code,0))),""))))</f>
        <v/>
      </c>
      <c r="K2907" s="71" t="str">
        <f>IF(COUNTA(A2907:G2907)=0,"",IF(G2907&lt;&gt;"",G2907,IF(B2907="","",IFERROR(IF(INDEX(pr_rate,MATCH(B2907,pr_code,0))="","",INDEX(pr_rate,MATCH(B2907,pr_code,0))),""))))</f>
        <v/>
      </c>
      <c r="L2907" s="65" t="str">
        <f>IF(COUNTA(A2907:G2907)=0,"",IF(AND(ISNUMBER(D2907),ISNUMBER(J2907)),ROUND(D2907*J2907*(1-N(F2907)),2),0))</f>
        <v/>
      </c>
      <c r="M2907" s="62" t="str">
        <f>IF(A2907="","",IFERROR(INDEX(fa_cname,MATCH(A2907,fa_num,0))&amp;"",""))</f>
        <v/>
      </c>
      <c r="N2907" s="59" t="str">
        <f>IF(COUNTA(A2907:G2907)=0,"",IF(A2907="","N° facture manquant",IF(ISNA(MATCH(A2907,fa_num,0)),"Facture inconnue",IF(AND(B2907&lt;&gt;"",ISNA(MATCH(B2907,pr_code,0))),"Article inconnu",IF(H2907="","Désignation manquante",IF(OR(NOT(ISNUMBER(D2907)),N(D2907)&lt;=0),"Quantité invalide",IF(J2907="","Prix manquant",IF(OR(NOT(ISNUMBER(J2907)),N(J2907)&lt;0),"Prix invalide",IF(OR(AND(F2907&lt;&gt;"",NOT(ISNUMBER(F2907))),N(F2907)&lt;0,N(F2907)&gt;1),"Remise invalide",IF(K2907="","Taux de TVA manquant",IF(NOT(ISNUMBER(K2907)),"Taux de TVA invalide",IF(COUNTIF(p_rates,K2907)=0,"Taux de TVA hors liste (Paramètres)",IF(N(O2907)&gt;25,"Au-delà de 25 lignes : non imprimée","OK")))))))))))))</f>
        <v/>
      </c>
      <c r="O2907" s="59" t="str">
        <f>IF(A2907="","",COUNTIF($A$6:A2907,A2907))</f>
        <v/>
      </c>
      <c r="P2907" s="62" t="str">
        <f>IF(A2907="","",A2907&amp;"|"&amp;O2907)</f>
        <v/>
      </c>
    </row>
    <row r="2908">
      <c r="A2908" s="60" t="n"/>
      <c r="B2908" s="63" t="n"/>
      <c r="C2908" s="63" t="n"/>
      <c r="D2908" s="67" t="n"/>
      <c r="E2908" s="68" t="n"/>
      <c r="F2908" s="69" t="n"/>
      <c r="G2908" s="70" t="n"/>
      <c r="H2908" s="62" t="str">
        <f>IF(COUNTA(A2908:G2908)=0,"",IF(C2908&lt;&gt;"",C2908,IF(B2908="","",IFERROR(INDEX(pr_des,MATCH(B2908,pr_code,0))&amp;"",""))))</f>
        <v/>
      </c>
      <c r="I2908" s="59" t="str">
        <f>IF(B2908="","",IFERROR(INDEX(pr_unit,MATCH(B2908,pr_code,0))&amp;"",""))</f>
        <v/>
      </c>
      <c r="J2908" s="65" t="str">
        <f>IF(COUNTA(A2908:G2908)=0,"",IF(E2908&lt;&gt;"",E2908,IF(B2908="","",IFERROR(IF(INDEX(pr_price,MATCH(B2908,pr_code,0))="","",INDEX(pr_price,MATCH(B2908,pr_code,0))),""))))</f>
        <v/>
      </c>
      <c r="K2908" s="71" t="str">
        <f>IF(COUNTA(A2908:G2908)=0,"",IF(G2908&lt;&gt;"",G2908,IF(B2908="","",IFERROR(IF(INDEX(pr_rate,MATCH(B2908,pr_code,0))="","",INDEX(pr_rate,MATCH(B2908,pr_code,0))),""))))</f>
        <v/>
      </c>
      <c r="L2908" s="65" t="str">
        <f>IF(COUNTA(A2908:G2908)=0,"",IF(AND(ISNUMBER(D2908),ISNUMBER(J2908)),ROUND(D2908*J2908*(1-N(F2908)),2),0))</f>
        <v/>
      </c>
      <c r="M2908" s="62" t="str">
        <f>IF(A2908="","",IFERROR(INDEX(fa_cname,MATCH(A2908,fa_num,0))&amp;"",""))</f>
        <v/>
      </c>
      <c r="N2908" s="59" t="str">
        <f>IF(COUNTA(A2908:G2908)=0,"",IF(A2908="","N° facture manquant",IF(ISNA(MATCH(A2908,fa_num,0)),"Facture inconnue",IF(AND(B2908&lt;&gt;"",ISNA(MATCH(B2908,pr_code,0))),"Article inconnu",IF(H2908="","Désignation manquante",IF(OR(NOT(ISNUMBER(D2908)),N(D2908)&lt;=0),"Quantité invalide",IF(J2908="","Prix manquant",IF(OR(NOT(ISNUMBER(J2908)),N(J2908)&lt;0),"Prix invalide",IF(OR(AND(F2908&lt;&gt;"",NOT(ISNUMBER(F2908))),N(F2908)&lt;0,N(F2908)&gt;1),"Remise invalide",IF(K2908="","Taux de TVA manquant",IF(NOT(ISNUMBER(K2908)),"Taux de TVA invalide",IF(COUNTIF(p_rates,K2908)=0,"Taux de TVA hors liste (Paramètres)",IF(N(O2908)&gt;25,"Au-delà de 25 lignes : non imprimée","OK")))))))))))))</f>
        <v/>
      </c>
      <c r="O2908" s="59" t="str">
        <f>IF(A2908="","",COUNTIF($A$6:A2908,A2908))</f>
        <v/>
      </c>
      <c r="P2908" s="62" t="str">
        <f>IF(A2908="","",A2908&amp;"|"&amp;O2908)</f>
        <v/>
      </c>
    </row>
    <row r="2909">
      <c r="A2909" s="60" t="n"/>
      <c r="B2909" s="63" t="n"/>
      <c r="C2909" s="63" t="n"/>
      <c r="D2909" s="67" t="n"/>
      <c r="E2909" s="68" t="n"/>
      <c r="F2909" s="69" t="n"/>
      <c r="G2909" s="70" t="n"/>
      <c r="H2909" s="62" t="str">
        <f>IF(COUNTA(A2909:G2909)=0,"",IF(C2909&lt;&gt;"",C2909,IF(B2909="","",IFERROR(INDEX(pr_des,MATCH(B2909,pr_code,0))&amp;"",""))))</f>
        <v/>
      </c>
      <c r="I2909" s="59" t="str">
        <f>IF(B2909="","",IFERROR(INDEX(pr_unit,MATCH(B2909,pr_code,0))&amp;"",""))</f>
        <v/>
      </c>
      <c r="J2909" s="65" t="str">
        <f>IF(COUNTA(A2909:G2909)=0,"",IF(E2909&lt;&gt;"",E2909,IF(B2909="","",IFERROR(IF(INDEX(pr_price,MATCH(B2909,pr_code,0))="","",INDEX(pr_price,MATCH(B2909,pr_code,0))),""))))</f>
        <v/>
      </c>
      <c r="K2909" s="71" t="str">
        <f>IF(COUNTA(A2909:G2909)=0,"",IF(G2909&lt;&gt;"",G2909,IF(B2909="","",IFERROR(IF(INDEX(pr_rate,MATCH(B2909,pr_code,0))="","",INDEX(pr_rate,MATCH(B2909,pr_code,0))),""))))</f>
        <v/>
      </c>
      <c r="L2909" s="65" t="str">
        <f>IF(COUNTA(A2909:G2909)=0,"",IF(AND(ISNUMBER(D2909),ISNUMBER(J2909)),ROUND(D2909*J2909*(1-N(F2909)),2),0))</f>
        <v/>
      </c>
      <c r="M2909" s="62" t="str">
        <f>IF(A2909="","",IFERROR(INDEX(fa_cname,MATCH(A2909,fa_num,0))&amp;"",""))</f>
        <v/>
      </c>
      <c r="N2909" s="59" t="str">
        <f>IF(COUNTA(A2909:G2909)=0,"",IF(A2909="","N° facture manquant",IF(ISNA(MATCH(A2909,fa_num,0)),"Facture inconnue",IF(AND(B2909&lt;&gt;"",ISNA(MATCH(B2909,pr_code,0))),"Article inconnu",IF(H2909="","Désignation manquante",IF(OR(NOT(ISNUMBER(D2909)),N(D2909)&lt;=0),"Quantité invalide",IF(J2909="","Prix manquant",IF(OR(NOT(ISNUMBER(J2909)),N(J2909)&lt;0),"Prix invalide",IF(OR(AND(F2909&lt;&gt;"",NOT(ISNUMBER(F2909))),N(F2909)&lt;0,N(F2909)&gt;1),"Remise invalide",IF(K2909="","Taux de TVA manquant",IF(NOT(ISNUMBER(K2909)),"Taux de TVA invalide",IF(COUNTIF(p_rates,K2909)=0,"Taux de TVA hors liste (Paramètres)",IF(N(O2909)&gt;25,"Au-delà de 25 lignes : non imprimée","OK")))))))))))))</f>
        <v/>
      </c>
      <c r="O2909" s="59" t="str">
        <f>IF(A2909="","",COUNTIF($A$6:A2909,A2909))</f>
        <v/>
      </c>
      <c r="P2909" s="62" t="str">
        <f>IF(A2909="","",A2909&amp;"|"&amp;O2909)</f>
        <v/>
      </c>
    </row>
    <row r="2910">
      <c r="A2910" s="60" t="n"/>
      <c r="B2910" s="63" t="n"/>
      <c r="C2910" s="63" t="n"/>
      <c r="D2910" s="67" t="n"/>
      <c r="E2910" s="68" t="n"/>
      <c r="F2910" s="69" t="n"/>
      <c r="G2910" s="70" t="n"/>
      <c r="H2910" s="62" t="str">
        <f>IF(COUNTA(A2910:G2910)=0,"",IF(C2910&lt;&gt;"",C2910,IF(B2910="","",IFERROR(INDEX(pr_des,MATCH(B2910,pr_code,0))&amp;"",""))))</f>
        <v/>
      </c>
      <c r="I2910" s="59" t="str">
        <f>IF(B2910="","",IFERROR(INDEX(pr_unit,MATCH(B2910,pr_code,0))&amp;"",""))</f>
        <v/>
      </c>
      <c r="J2910" s="65" t="str">
        <f>IF(COUNTA(A2910:G2910)=0,"",IF(E2910&lt;&gt;"",E2910,IF(B2910="","",IFERROR(IF(INDEX(pr_price,MATCH(B2910,pr_code,0))="","",INDEX(pr_price,MATCH(B2910,pr_code,0))),""))))</f>
        <v/>
      </c>
      <c r="K2910" s="71" t="str">
        <f>IF(COUNTA(A2910:G2910)=0,"",IF(G2910&lt;&gt;"",G2910,IF(B2910="","",IFERROR(IF(INDEX(pr_rate,MATCH(B2910,pr_code,0))="","",INDEX(pr_rate,MATCH(B2910,pr_code,0))),""))))</f>
        <v/>
      </c>
      <c r="L2910" s="65" t="str">
        <f>IF(COUNTA(A2910:G2910)=0,"",IF(AND(ISNUMBER(D2910),ISNUMBER(J2910)),ROUND(D2910*J2910*(1-N(F2910)),2),0))</f>
        <v/>
      </c>
      <c r="M2910" s="62" t="str">
        <f>IF(A2910="","",IFERROR(INDEX(fa_cname,MATCH(A2910,fa_num,0))&amp;"",""))</f>
        <v/>
      </c>
      <c r="N2910" s="59" t="str">
        <f>IF(COUNTA(A2910:G2910)=0,"",IF(A2910="","N° facture manquant",IF(ISNA(MATCH(A2910,fa_num,0)),"Facture inconnue",IF(AND(B2910&lt;&gt;"",ISNA(MATCH(B2910,pr_code,0))),"Article inconnu",IF(H2910="","Désignation manquante",IF(OR(NOT(ISNUMBER(D2910)),N(D2910)&lt;=0),"Quantité invalide",IF(J2910="","Prix manquant",IF(OR(NOT(ISNUMBER(J2910)),N(J2910)&lt;0),"Prix invalide",IF(OR(AND(F2910&lt;&gt;"",NOT(ISNUMBER(F2910))),N(F2910)&lt;0,N(F2910)&gt;1),"Remise invalide",IF(K2910="","Taux de TVA manquant",IF(NOT(ISNUMBER(K2910)),"Taux de TVA invalide",IF(COUNTIF(p_rates,K2910)=0,"Taux de TVA hors liste (Paramètres)",IF(N(O2910)&gt;25,"Au-delà de 25 lignes : non imprimée","OK")))))))))))))</f>
        <v/>
      </c>
      <c r="O2910" s="59" t="str">
        <f>IF(A2910="","",COUNTIF($A$6:A2910,A2910))</f>
        <v/>
      </c>
      <c r="P2910" s="62" t="str">
        <f>IF(A2910="","",A2910&amp;"|"&amp;O2910)</f>
        <v/>
      </c>
    </row>
    <row r="2911">
      <c r="A2911" s="60" t="n"/>
      <c r="B2911" s="63" t="n"/>
      <c r="C2911" s="63" t="n"/>
      <c r="D2911" s="67" t="n"/>
      <c r="E2911" s="68" t="n"/>
      <c r="F2911" s="69" t="n"/>
      <c r="G2911" s="70" t="n"/>
      <c r="H2911" s="62" t="str">
        <f>IF(COUNTA(A2911:G2911)=0,"",IF(C2911&lt;&gt;"",C2911,IF(B2911="","",IFERROR(INDEX(pr_des,MATCH(B2911,pr_code,0))&amp;"",""))))</f>
        <v/>
      </c>
      <c r="I2911" s="59" t="str">
        <f>IF(B2911="","",IFERROR(INDEX(pr_unit,MATCH(B2911,pr_code,0))&amp;"",""))</f>
        <v/>
      </c>
      <c r="J2911" s="65" t="str">
        <f>IF(COUNTA(A2911:G2911)=0,"",IF(E2911&lt;&gt;"",E2911,IF(B2911="","",IFERROR(IF(INDEX(pr_price,MATCH(B2911,pr_code,0))="","",INDEX(pr_price,MATCH(B2911,pr_code,0))),""))))</f>
        <v/>
      </c>
      <c r="K2911" s="71" t="str">
        <f>IF(COUNTA(A2911:G2911)=0,"",IF(G2911&lt;&gt;"",G2911,IF(B2911="","",IFERROR(IF(INDEX(pr_rate,MATCH(B2911,pr_code,0))="","",INDEX(pr_rate,MATCH(B2911,pr_code,0))),""))))</f>
        <v/>
      </c>
      <c r="L2911" s="65" t="str">
        <f>IF(COUNTA(A2911:G2911)=0,"",IF(AND(ISNUMBER(D2911),ISNUMBER(J2911)),ROUND(D2911*J2911*(1-N(F2911)),2),0))</f>
        <v/>
      </c>
      <c r="M2911" s="62" t="str">
        <f>IF(A2911="","",IFERROR(INDEX(fa_cname,MATCH(A2911,fa_num,0))&amp;"",""))</f>
        <v/>
      </c>
      <c r="N2911" s="59" t="str">
        <f>IF(COUNTA(A2911:G2911)=0,"",IF(A2911="","N° facture manquant",IF(ISNA(MATCH(A2911,fa_num,0)),"Facture inconnue",IF(AND(B2911&lt;&gt;"",ISNA(MATCH(B2911,pr_code,0))),"Article inconnu",IF(H2911="","Désignation manquante",IF(OR(NOT(ISNUMBER(D2911)),N(D2911)&lt;=0),"Quantité invalide",IF(J2911="","Prix manquant",IF(OR(NOT(ISNUMBER(J2911)),N(J2911)&lt;0),"Prix invalide",IF(OR(AND(F2911&lt;&gt;"",NOT(ISNUMBER(F2911))),N(F2911)&lt;0,N(F2911)&gt;1),"Remise invalide",IF(K2911="","Taux de TVA manquant",IF(NOT(ISNUMBER(K2911)),"Taux de TVA invalide",IF(COUNTIF(p_rates,K2911)=0,"Taux de TVA hors liste (Paramètres)",IF(N(O2911)&gt;25,"Au-delà de 25 lignes : non imprimée","OK")))))))))))))</f>
        <v/>
      </c>
      <c r="O2911" s="59" t="str">
        <f>IF(A2911="","",COUNTIF($A$6:A2911,A2911))</f>
        <v/>
      </c>
      <c r="P2911" s="62" t="str">
        <f>IF(A2911="","",A2911&amp;"|"&amp;O2911)</f>
        <v/>
      </c>
    </row>
    <row r="2912">
      <c r="A2912" s="60" t="n"/>
      <c r="B2912" s="63" t="n"/>
      <c r="C2912" s="63" t="n"/>
      <c r="D2912" s="67" t="n"/>
      <c r="E2912" s="68" t="n"/>
      <c r="F2912" s="69" t="n"/>
      <c r="G2912" s="70" t="n"/>
      <c r="H2912" s="62" t="str">
        <f>IF(COUNTA(A2912:G2912)=0,"",IF(C2912&lt;&gt;"",C2912,IF(B2912="","",IFERROR(INDEX(pr_des,MATCH(B2912,pr_code,0))&amp;"",""))))</f>
        <v/>
      </c>
      <c r="I2912" s="59" t="str">
        <f>IF(B2912="","",IFERROR(INDEX(pr_unit,MATCH(B2912,pr_code,0))&amp;"",""))</f>
        <v/>
      </c>
      <c r="J2912" s="65" t="str">
        <f>IF(COUNTA(A2912:G2912)=0,"",IF(E2912&lt;&gt;"",E2912,IF(B2912="","",IFERROR(IF(INDEX(pr_price,MATCH(B2912,pr_code,0))="","",INDEX(pr_price,MATCH(B2912,pr_code,0))),""))))</f>
        <v/>
      </c>
      <c r="K2912" s="71" t="str">
        <f>IF(COUNTA(A2912:G2912)=0,"",IF(G2912&lt;&gt;"",G2912,IF(B2912="","",IFERROR(IF(INDEX(pr_rate,MATCH(B2912,pr_code,0))="","",INDEX(pr_rate,MATCH(B2912,pr_code,0))),""))))</f>
        <v/>
      </c>
      <c r="L2912" s="65" t="str">
        <f>IF(COUNTA(A2912:G2912)=0,"",IF(AND(ISNUMBER(D2912),ISNUMBER(J2912)),ROUND(D2912*J2912*(1-N(F2912)),2),0))</f>
        <v/>
      </c>
      <c r="M2912" s="62" t="str">
        <f>IF(A2912="","",IFERROR(INDEX(fa_cname,MATCH(A2912,fa_num,0))&amp;"",""))</f>
        <v/>
      </c>
      <c r="N2912" s="59" t="str">
        <f>IF(COUNTA(A2912:G2912)=0,"",IF(A2912="","N° facture manquant",IF(ISNA(MATCH(A2912,fa_num,0)),"Facture inconnue",IF(AND(B2912&lt;&gt;"",ISNA(MATCH(B2912,pr_code,0))),"Article inconnu",IF(H2912="","Désignation manquante",IF(OR(NOT(ISNUMBER(D2912)),N(D2912)&lt;=0),"Quantité invalide",IF(J2912="","Prix manquant",IF(OR(NOT(ISNUMBER(J2912)),N(J2912)&lt;0),"Prix invalide",IF(OR(AND(F2912&lt;&gt;"",NOT(ISNUMBER(F2912))),N(F2912)&lt;0,N(F2912)&gt;1),"Remise invalide",IF(K2912="","Taux de TVA manquant",IF(NOT(ISNUMBER(K2912)),"Taux de TVA invalide",IF(COUNTIF(p_rates,K2912)=0,"Taux de TVA hors liste (Paramètres)",IF(N(O2912)&gt;25,"Au-delà de 25 lignes : non imprimée","OK")))))))))))))</f>
        <v/>
      </c>
      <c r="O2912" s="59" t="str">
        <f>IF(A2912="","",COUNTIF($A$6:A2912,A2912))</f>
        <v/>
      </c>
      <c r="P2912" s="62" t="str">
        <f>IF(A2912="","",A2912&amp;"|"&amp;O2912)</f>
        <v/>
      </c>
    </row>
    <row r="2913">
      <c r="A2913" s="60" t="n"/>
      <c r="B2913" s="63" t="n"/>
      <c r="C2913" s="63" t="n"/>
      <c r="D2913" s="67" t="n"/>
      <c r="E2913" s="68" t="n"/>
      <c r="F2913" s="69" t="n"/>
      <c r="G2913" s="70" t="n"/>
      <c r="H2913" s="62" t="str">
        <f>IF(COUNTA(A2913:G2913)=0,"",IF(C2913&lt;&gt;"",C2913,IF(B2913="","",IFERROR(INDEX(pr_des,MATCH(B2913,pr_code,0))&amp;"",""))))</f>
        <v/>
      </c>
      <c r="I2913" s="59" t="str">
        <f>IF(B2913="","",IFERROR(INDEX(pr_unit,MATCH(B2913,pr_code,0))&amp;"",""))</f>
        <v/>
      </c>
      <c r="J2913" s="65" t="str">
        <f>IF(COUNTA(A2913:G2913)=0,"",IF(E2913&lt;&gt;"",E2913,IF(B2913="","",IFERROR(IF(INDEX(pr_price,MATCH(B2913,pr_code,0))="","",INDEX(pr_price,MATCH(B2913,pr_code,0))),""))))</f>
        <v/>
      </c>
      <c r="K2913" s="71" t="str">
        <f>IF(COUNTA(A2913:G2913)=0,"",IF(G2913&lt;&gt;"",G2913,IF(B2913="","",IFERROR(IF(INDEX(pr_rate,MATCH(B2913,pr_code,0))="","",INDEX(pr_rate,MATCH(B2913,pr_code,0))),""))))</f>
        <v/>
      </c>
      <c r="L2913" s="65" t="str">
        <f>IF(COUNTA(A2913:G2913)=0,"",IF(AND(ISNUMBER(D2913),ISNUMBER(J2913)),ROUND(D2913*J2913*(1-N(F2913)),2),0))</f>
        <v/>
      </c>
      <c r="M2913" s="62" t="str">
        <f>IF(A2913="","",IFERROR(INDEX(fa_cname,MATCH(A2913,fa_num,0))&amp;"",""))</f>
        <v/>
      </c>
      <c r="N2913" s="59" t="str">
        <f>IF(COUNTA(A2913:G2913)=0,"",IF(A2913="","N° facture manquant",IF(ISNA(MATCH(A2913,fa_num,0)),"Facture inconnue",IF(AND(B2913&lt;&gt;"",ISNA(MATCH(B2913,pr_code,0))),"Article inconnu",IF(H2913="","Désignation manquante",IF(OR(NOT(ISNUMBER(D2913)),N(D2913)&lt;=0),"Quantité invalide",IF(J2913="","Prix manquant",IF(OR(NOT(ISNUMBER(J2913)),N(J2913)&lt;0),"Prix invalide",IF(OR(AND(F2913&lt;&gt;"",NOT(ISNUMBER(F2913))),N(F2913)&lt;0,N(F2913)&gt;1),"Remise invalide",IF(K2913="","Taux de TVA manquant",IF(NOT(ISNUMBER(K2913)),"Taux de TVA invalide",IF(COUNTIF(p_rates,K2913)=0,"Taux de TVA hors liste (Paramètres)",IF(N(O2913)&gt;25,"Au-delà de 25 lignes : non imprimée","OK")))))))))))))</f>
        <v/>
      </c>
      <c r="O2913" s="59" t="str">
        <f>IF(A2913="","",COUNTIF($A$6:A2913,A2913))</f>
        <v/>
      </c>
      <c r="P2913" s="62" t="str">
        <f>IF(A2913="","",A2913&amp;"|"&amp;O2913)</f>
        <v/>
      </c>
    </row>
    <row r="2914">
      <c r="A2914" s="60" t="n"/>
      <c r="B2914" s="63" t="n"/>
      <c r="C2914" s="63" t="n"/>
      <c r="D2914" s="67" t="n"/>
      <c r="E2914" s="68" t="n"/>
      <c r="F2914" s="69" t="n"/>
      <c r="G2914" s="70" t="n"/>
      <c r="H2914" s="62" t="str">
        <f>IF(COUNTA(A2914:G2914)=0,"",IF(C2914&lt;&gt;"",C2914,IF(B2914="","",IFERROR(INDEX(pr_des,MATCH(B2914,pr_code,0))&amp;"",""))))</f>
        <v/>
      </c>
      <c r="I2914" s="59" t="str">
        <f>IF(B2914="","",IFERROR(INDEX(pr_unit,MATCH(B2914,pr_code,0))&amp;"",""))</f>
        <v/>
      </c>
      <c r="J2914" s="65" t="str">
        <f>IF(COUNTA(A2914:G2914)=0,"",IF(E2914&lt;&gt;"",E2914,IF(B2914="","",IFERROR(IF(INDEX(pr_price,MATCH(B2914,pr_code,0))="","",INDEX(pr_price,MATCH(B2914,pr_code,0))),""))))</f>
        <v/>
      </c>
      <c r="K2914" s="71" t="str">
        <f>IF(COUNTA(A2914:G2914)=0,"",IF(G2914&lt;&gt;"",G2914,IF(B2914="","",IFERROR(IF(INDEX(pr_rate,MATCH(B2914,pr_code,0))="","",INDEX(pr_rate,MATCH(B2914,pr_code,0))),""))))</f>
        <v/>
      </c>
      <c r="L2914" s="65" t="str">
        <f>IF(COUNTA(A2914:G2914)=0,"",IF(AND(ISNUMBER(D2914),ISNUMBER(J2914)),ROUND(D2914*J2914*(1-N(F2914)),2),0))</f>
        <v/>
      </c>
      <c r="M2914" s="62" t="str">
        <f>IF(A2914="","",IFERROR(INDEX(fa_cname,MATCH(A2914,fa_num,0))&amp;"",""))</f>
        <v/>
      </c>
      <c r="N2914" s="59" t="str">
        <f>IF(COUNTA(A2914:G2914)=0,"",IF(A2914="","N° facture manquant",IF(ISNA(MATCH(A2914,fa_num,0)),"Facture inconnue",IF(AND(B2914&lt;&gt;"",ISNA(MATCH(B2914,pr_code,0))),"Article inconnu",IF(H2914="","Désignation manquante",IF(OR(NOT(ISNUMBER(D2914)),N(D2914)&lt;=0),"Quantité invalide",IF(J2914="","Prix manquant",IF(OR(NOT(ISNUMBER(J2914)),N(J2914)&lt;0),"Prix invalide",IF(OR(AND(F2914&lt;&gt;"",NOT(ISNUMBER(F2914))),N(F2914)&lt;0,N(F2914)&gt;1),"Remise invalide",IF(K2914="","Taux de TVA manquant",IF(NOT(ISNUMBER(K2914)),"Taux de TVA invalide",IF(COUNTIF(p_rates,K2914)=0,"Taux de TVA hors liste (Paramètres)",IF(N(O2914)&gt;25,"Au-delà de 25 lignes : non imprimée","OK")))))))))))))</f>
        <v/>
      </c>
      <c r="O2914" s="59" t="str">
        <f>IF(A2914="","",COUNTIF($A$6:A2914,A2914))</f>
        <v/>
      </c>
      <c r="P2914" s="62" t="str">
        <f>IF(A2914="","",A2914&amp;"|"&amp;O2914)</f>
        <v/>
      </c>
    </row>
    <row r="2915">
      <c r="A2915" s="60" t="n"/>
      <c r="B2915" s="63" t="n"/>
      <c r="C2915" s="63" t="n"/>
      <c r="D2915" s="67" t="n"/>
      <c r="E2915" s="68" t="n"/>
      <c r="F2915" s="69" t="n"/>
      <c r="G2915" s="70" t="n"/>
      <c r="H2915" s="62" t="str">
        <f>IF(COUNTA(A2915:G2915)=0,"",IF(C2915&lt;&gt;"",C2915,IF(B2915="","",IFERROR(INDEX(pr_des,MATCH(B2915,pr_code,0))&amp;"",""))))</f>
        <v/>
      </c>
      <c r="I2915" s="59" t="str">
        <f>IF(B2915="","",IFERROR(INDEX(pr_unit,MATCH(B2915,pr_code,0))&amp;"",""))</f>
        <v/>
      </c>
      <c r="J2915" s="65" t="str">
        <f>IF(COUNTA(A2915:G2915)=0,"",IF(E2915&lt;&gt;"",E2915,IF(B2915="","",IFERROR(IF(INDEX(pr_price,MATCH(B2915,pr_code,0))="","",INDEX(pr_price,MATCH(B2915,pr_code,0))),""))))</f>
        <v/>
      </c>
      <c r="K2915" s="71" t="str">
        <f>IF(COUNTA(A2915:G2915)=0,"",IF(G2915&lt;&gt;"",G2915,IF(B2915="","",IFERROR(IF(INDEX(pr_rate,MATCH(B2915,pr_code,0))="","",INDEX(pr_rate,MATCH(B2915,pr_code,0))),""))))</f>
        <v/>
      </c>
      <c r="L2915" s="65" t="str">
        <f>IF(COUNTA(A2915:G2915)=0,"",IF(AND(ISNUMBER(D2915),ISNUMBER(J2915)),ROUND(D2915*J2915*(1-N(F2915)),2),0))</f>
        <v/>
      </c>
      <c r="M2915" s="62" t="str">
        <f>IF(A2915="","",IFERROR(INDEX(fa_cname,MATCH(A2915,fa_num,0))&amp;"",""))</f>
        <v/>
      </c>
      <c r="N2915" s="59" t="str">
        <f>IF(COUNTA(A2915:G2915)=0,"",IF(A2915="","N° facture manquant",IF(ISNA(MATCH(A2915,fa_num,0)),"Facture inconnue",IF(AND(B2915&lt;&gt;"",ISNA(MATCH(B2915,pr_code,0))),"Article inconnu",IF(H2915="","Désignation manquante",IF(OR(NOT(ISNUMBER(D2915)),N(D2915)&lt;=0),"Quantité invalide",IF(J2915="","Prix manquant",IF(OR(NOT(ISNUMBER(J2915)),N(J2915)&lt;0),"Prix invalide",IF(OR(AND(F2915&lt;&gt;"",NOT(ISNUMBER(F2915))),N(F2915)&lt;0,N(F2915)&gt;1),"Remise invalide",IF(K2915="","Taux de TVA manquant",IF(NOT(ISNUMBER(K2915)),"Taux de TVA invalide",IF(COUNTIF(p_rates,K2915)=0,"Taux de TVA hors liste (Paramètres)",IF(N(O2915)&gt;25,"Au-delà de 25 lignes : non imprimée","OK")))))))))))))</f>
        <v/>
      </c>
      <c r="O2915" s="59" t="str">
        <f>IF(A2915="","",COUNTIF($A$6:A2915,A2915))</f>
        <v/>
      </c>
      <c r="P2915" s="62" t="str">
        <f>IF(A2915="","",A2915&amp;"|"&amp;O2915)</f>
        <v/>
      </c>
    </row>
    <row r="2916">
      <c r="A2916" s="60" t="n"/>
      <c r="B2916" s="63" t="n"/>
      <c r="C2916" s="63" t="n"/>
      <c r="D2916" s="67" t="n"/>
      <c r="E2916" s="68" t="n"/>
      <c r="F2916" s="69" t="n"/>
      <c r="G2916" s="70" t="n"/>
      <c r="H2916" s="62" t="str">
        <f>IF(COUNTA(A2916:G2916)=0,"",IF(C2916&lt;&gt;"",C2916,IF(B2916="","",IFERROR(INDEX(pr_des,MATCH(B2916,pr_code,0))&amp;"",""))))</f>
        <v/>
      </c>
      <c r="I2916" s="59" t="str">
        <f>IF(B2916="","",IFERROR(INDEX(pr_unit,MATCH(B2916,pr_code,0))&amp;"",""))</f>
        <v/>
      </c>
      <c r="J2916" s="65" t="str">
        <f>IF(COUNTA(A2916:G2916)=0,"",IF(E2916&lt;&gt;"",E2916,IF(B2916="","",IFERROR(IF(INDEX(pr_price,MATCH(B2916,pr_code,0))="","",INDEX(pr_price,MATCH(B2916,pr_code,0))),""))))</f>
        <v/>
      </c>
      <c r="K2916" s="71" t="str">
        <f>IF(COUNTA(A2916:G2916)=0,"",IF(G2916&lt;&gt;"",G2916,IF(B2916="","",IFERROR(IF(INDEX(pr_rate,MATCH(B2916,pr_code,0))="","",INDEX(pr_rate,MATCH(B2916,pr_code,0))),""))))</f>
        <v/>
      </c>
      <c r="L2916" s="65" t="str">
        <f>IF(COUNTA(A2916:G2916)=0,"",IF(AND(ISNUMBER(D2916),ISNUMBER(J2916)),ROUND(D2916*J2916*(1-N(F2916)),2),0))</f>
        <v/>
      </c>
      <c r="M2916" s="62" t="str">
        <f>IF(A2916="","",IFERROR(INDEX(fa_cname,MATCH(A2916,fa_num,0))&amp;"",""))</f>
        <v/>
      </c>
      <c r="N2916" s="59" t="str">
        <f>IF(COUNTA(A2916:G2916)=0,"",IF(A2916="","N° facture manquant",IF(ISNA(MATCH(A2916,fa_num,0)),"Facture inconnue",IF(AND(B2916&lt;&gt;"",ISNA(MATCH(B2916,pr_code,0))),"Article inconnu",IF(H2916="","Désignation manquante",IF(OR(NOT(ISNUMBER(D2916)),N(D2916)&lt;=0),"Quantité invalide",IF(J2916="","Prix manquant",IF(OR(NOT(ISNUMBER(J2916)),N(J2916)&lt;0),"Prix invalide",IF(OR(AND(F2916&lt;&gt;"",NOT(ISNUMBER(F2916))),N(F2916)&lt;0,N(F2916)&gt;1),"Remise invalide",IF(K2916="","Taux de TVA manquant",IF(NOT(ISNUMBER(K2916)),"Taux de TVA invalide",IF(COUNTIF(p_rates,K2916)=0,"Taux de TVA hors liste (Paramètres)",IF(N(O2916)&gt;25,"Au-delà de 25 lignes : non imprimée","OK")))))))))))))</f>
        <v/>
      </c>
      <c r="O2916" s="59" t="str">
        <f>IF(A2916="","",COUNTIF($A$6:A2916,A2916))</f>
        <v/>
      </c>
      <c r="P2916" s="62" t="str">
        <f>IF(A2916="","",A2916&amp;"|"&amp;O2916)</f>
        <v/>
      </c>
    </row>
    <row r="2917">
      <c r="A2917" s="60" t="n"/>
      <c r="B2917" s="63" t="n"/>
      <c r="C2917" s="63" t="n"/>
      <c r="D2917" s="67" t="n"/>
      <c r="E2917" s="68" t="n"/>
      <c r="F2917" s="69" t="n"/>
      <c r="G2917" s="70" t="n"/>
      <c r="H2917" s="62" t="str">
        <f>IF(COUNTA(A2917:G2917)=0,"",IF(C2917&lt;&gt;"",C2917,IF(B2917="","",IFERROR(INDEX(pr_des,MATCH(B2917,pr_code,0))&amp;"",""))))</f>
        <v/>
      </c>
      <c r="I2917" s="59" t="str">
        <f>IF(B2917="","",IFERROR(INDEX(pr_unit,MATCH(B2917,pr_code,0))&amp;"",""))</f>
        <v/>
      </c>
      <c r="J2917" s="65" t="str">
        <f>IF(COUNTA(A2917:G2917)=0,"",IF(E2917&lt;&gt;"",E2917,IF(B2917="","",IFERROR(IF(INDEX(pr_price,MATCH(B2917,pr_code,0))="","",INDEX(pr_price,MATCH(B2917,pr_code,0))),""))))</f>
        <v/>
      </c>
      <c r="K2917" s="71" t="str">
        <f>IF(COUNTA(A2917:G2917)=0,"",IF(G2917&lt;&gt;"",G2917,IF(B2917="","",IFERROR(IF(INDEX(pr_rate,MATCH(B2917,pr_code,0))="","",INDEX(pr_rate,MATCH(B2917,pr_code,0))),""))))</f>
        <v/>
      </c>
      <c r="L2917" s="65" t="str">
        <f>IF(COUNTA(A2917:G2917)=0,"",IF(AND(ISNUMBER(D2917),ISNUMBER(J2917)),ROUND(D2917*J2917*(1-N(F2917)),2),0))</f>
        <v/>
      </c>
      <c r="M2917" s="62" t="str">
        <f>IF(A2917="","",IFERROR(INDEX(fa_cname,MATCH(A2917,fa_num,0))&amp;"",""))</f>
        <v/>
      </c>
      <c r="N2917" s="59" t="str">
        <f>IF(COUNTA(A2917:G2917)=0,"",IF(A2917="","N° facture manquant",IF(ISNA(MATCH(A2917,fa_num,0)),"Facture inconnue",IF(AND(B2917&lt;&gt;"",ISNA(MATCH(B2917,pr_code,0))),"Article inconnu",IF(H2917="","Désignation manquante",IF(OR(NOT(ISNUMBER(D2917)),N(D2917)&lt;=0),"Quantité invalide",IF(J2917="","Prix manquant",IF(OR(NOT(ISNUMBER(J2917)),N(J2917)&lt;0),"Prix invalide",IF(OR(AND(F2917&lt;&gt;"",NOT(ISNUMBER(F2917))),N(F2917)&lt;0,N(F2917)&gt;1),"Remise invalide",IF(K2917="","Taux de TVA manquant",IF(NOT(ISNUMBER(K2917)),"Taux de TVA invalide",IF(COUNTIF(p_rates,K2917)=0,"Taux de TVA hors liste (Paramètres)",IF(N(O2917)&gt;25,"Au-delà de 25 lignes : non imprimée","OK")))))))))))))</f>
        <v/>
      </c>
      <c r="O2917" s="59" t="str">
        <f>IF(A2917="","",COUNTIF($A$6:A2917,A2917))</f>
        <v/>
      </c>
      <c r="P2917" s="62" t="str">
        <f>IF(A2917="","",A2917&amp;"|"&amp;O2917)</f>
        <v/>
      </c>
    </row>
    <row r="2918">
      <c r="A2918" s="60" t="n"/>
      <c r="B2918" s="63" t="n"/>
      <c r="C2918" s="63" t="n"/>
      <c r="D2918" s="67" t="n"/>
      <c r="E2918" s="68" t="n"/>
      <c r="F2918" s="69" t="n"/>
      <c r="G2918" s="70" t="n"/>
      <c r="H2918" s="62" t="str">
        <f>IF(COUNTA(A2918:G2918)=0,"",IF(C2918&lt;&gt;"",C2918,IF(B2918="","",IFERROR(INDEX(pr_des,MATCH(B2918,pr_code,0))&amp;"",""))))</f>
        <v/>
      </c>
      <c r="I2918" s="59" t="str">
        <f>IF(B2918="","",IFERROR(INDEX(pr_unit,MATCH(B2918,pr_code,0))&amp;"",""))</f>
        <v/>
      </c>
      <c r="J2918" s="65" t="str">
        <f>IF(COUNTA(A2918:G2918)=0,"",IF(E2918&lt;&gt;"",E2918,IF(B2918="","",IFERROR(IF(INDEX(pr_price,MATCH(B2918,pr_code,0))="","",INDEX(pr_price,MATCH(B2918,pr_code,0))),""))))</f>
        <v/>
      </c>
      <c r="K2918" s="71" t="str">
        <f>IF(COUNTA(A2918:G2918)=0,"",IF(G2918&lt;&gt;"",G2918,IF(B2918="","",IFERROR(IF(INDEX(pr_rate,MATCH(B2918,pr_code,0))="","",INDEX(pr_rate,MATCH(B2918,pr_code,0))),""))))</f>
        <v/>
      </c>
      <c r="L2918" s="65" t="str">
        <f>IF(COUNTA(A2918:G2918)=0,"",IF(AND(ISNUMBER(D2918),ISNUMBER(J2918)),ROUND(D2918*J2918*(1-N(F2918)),2),0))</f>
        <v/>
      </c>
      <c r="M2918" s="62" t="str">
        <f>IF(A2918="","",IFERROR(INDEX(fa_cname,MATCH(A2918,fa_num,0))&amp;"",""))</f>
        <v/>
      </c>
      <c r="N2918" s="59" t="str">
        <f>IF(COUNTA(A2918:G2918)=0,"",IF(A2918="","N° facture manquant",IF(ISNA(MATCH(A2918,fa_num,0)),"Facture inconnue",IF(AND(B2918&lt;&gt;"",ISNA(MATCH(B2918,pr_code,0))),"Article inconnu",IF(H2918="","Désignation manquante",IF(OR(NOT(ISNUMBER(D2918)),N(D2918)&lt;=0),"Quantité invalide",IF(J2918="","Prix manquant",IF(OR(NOT(ISNUMBER(J2918)),N(J2918)&lt;0),"Prix invalide",IF(OR(AND(F2918&lt;&gt;"",NOT(ISNUMBER(F2918))),N(F2918)&lt;0,N(F2918)&gt;1),"Remise invalide",IF(K2918="","Taux de TVA manquant",IF(NOT(ISNUMBER(K2918)),"Taux de TVA invalide",IF(COUNTIF(p_rates,K2918)=0,"Taux de TVA hors liste (Paramètres)",IF(N(O2918)&gt;25,"Au-delà de 25 lignes : non imprimée","OK")))))))))))))</f>
        <v/>
      </c>
      <c r="O2918" s="59" t="str">
        <f>IF(A2918="","",COUNTIF($A$6:A2918,A2918))</f>
        <v/>
      </c>
      <c r="P2918" s="62" t="str">
        <f>IF(A2918="","",A2918&amp;"|"&amp;O2918)</f>
        <v/>
      </c>
    </row>
    <row r="2919">
      <c r="A2919" s="60" t="n"/>
      <c r="B2919" s="63" t="n"/>
      <c r="C2919" s="63" t="n"/>
      <c r="D2919" s="67" t="n"/>
      <c r="E2919" s="68" t="n"/>
      <c r="F2919" s="69" t="n"/>
      <c r="G2919" s="70" t="n"/>
      <c r="H2919" s="62" t="str">
        <f>IF(COUNTA(A2919:G2919)=0,"",IF(C2919&lt;&gt;"",C2919,IF(B2919="","",IFERROR(INDEX(pr_des,MATCH(B2919,pr_code,0))&amp;"",""))))</f>
        <v/>
      </c>
      <c r="I2919" s="59" t="str">
        <f>IF(B2919="","",IFERROR(INDEX(pr_unit,MATCH(B2919,pr_code,0))&amp;"",""))</f>
        <v/>
      </c>
      <c r="J2919" s="65" t="str">
        <f>IF(COUNTA(A2919:G2919)=0,"",IF(E2919&lt;&gt;"",E2919,IF(B2919="","",IFERROR(IF(INDEX(pr_price,MATCH(B2919,pr_code,0))="","",INDEX(pr_price,MATCH(B2919,pr_code,0))),""))))</f>
        <v/>
      </c>
      <c r="K2919" s="71" t="str">
        <f>IF(COUNTA(A2919:G2919)=0,"",IF(G2919&lt;&gt;"",G2919,IF(B2919="","",IFERROR(IF(INDEX(pr_rate,MATCH(B2919,pr_code,0))="","",INDEX(pr_rate,MATCH(B2919,pr_code,0))),""))))</f>
        <v/>
      </c>
      <c r="L2919" s="65" t="str">
        <f>IF(COUNTA(A2919:G2919)=0,"",IF(AND(ISNUMBER(D2919),ISNUMBER(J2919)),ROUND(D2919*J2919*(1-N(F2919)),2),0))</f>
        <v/>
      </c>
      <c r="M2919" s="62" t="str">
        <f>IF(A2919="","",IFERROR(INDEX(fa_cname,MATCH(A2919,fa_num,0))&amp;"",""))</f>
        <v/>
      </c>
      <c r="N2919" s="59" t="str">
        <f>IF(COUNTA(A2919:G2919)=0,"",IF(A2919="","N° facture manquant",IF(ISNA(MATCH(A2919,fa_num,0)),"Facture inconnue",IF(AND(B2919&lt;&gt;"",ISNA(MATCH(B2919,pr_code,0))),"Article inconnu",IF(H2919="","Désignation manquante",IF(OR(NOT(ISNUMBER(D2919)),N(D2919)&lt;=0),"Quantité invalide",IF(J2919="","Prix manquant",IF(OR(NOT(ISNUMBER(J2919)),N(J2919)&lt;0),"Prix invalide",IF(OR(AND(F2919&lt;&gt;"",NOT(ISNUMBER(F2919))),N(F2919)&lt;0,N(F2919)&gt;1),"Remise invalide",IF(K2919="","Taux de TVA manquant",IF(NOT(ISNUMBER(K2919)),"Taux de TVA invalide",IF(COUNTIF(p_rates,K2919)=0,"Taux de TVA hors liste (Paramètres)",IF(N(O2919)&gt;25,"Au-delà de 25 lignes : non imprimée","OK")))))))))))))</f>
        <v/>
      </c>
      <c r="O2919" s="59" t="str">
        <f>IF(A2919="","",COUNTIF($A$6:A2919,A2919))</f>
        <v/>
      </c>
      <c r="P2919" s="62" t="str">
        <f>IF(A2919="","",A2919&amp;"|"&amp;O2919)</f>
        <v/>
      </c>
    </row>
    <row r="2920">
      <c r="A2920" s="60" t="n"/>
      <c r="B2920" s="63" t="n"/>
      <c r="C2920" s="63" t="n"/>
      <c r="D2920" s="67" t="n"/>
      <c r="E2920" s="68" t="n"/>
      <c r="F2920" s="69" t="n"/>
      <c r="G2920" s="70" t="n"/>
      <c r="H2920" s="62" t="str">
        <f>IF(COUNTA(A2920:G2920)=0,"",IF(C2920&lt;&gt;"",C2920,IF(B2920="","",IFERROR(INDEX(pr_des,MATCH(B2920,pr_code,0))&amp;"",""))))</f>
        <v/>
      </c>
      <c r="I2920" s="59" t="str">
        <f>IF(B2920="","",IFERROR(INDEX(pr_unit,MATCH(B2920,pr_code,0))&amp;"",""))</f>
        <v/>
      </c>
      <c r="J2920" s="65" t="str">
        <f>IF(COUNTA(A2920:G2920)=0,"",IF(E2920&lt;&gt;"",E2920,IF(B2920="","",IFERROR(IF(INDEX(pr_price,MATCH(B2920,pr_code,0))="","",INDEX(pr_price,MATCH(B2920,pr_code,0))),""))))</f>
        <v/>
      </c>
      <c r="K2920" s="71" t="str">
        <f>IF(COUNTA(A2920:G2920)=0,"",IF(G2920&lt;&gt;"",G2920,IF(B2920="","",IFERROR(IF(INDEX(pr_rate,MATCH(B2920,pr_code,0))="","",INDEX(pr_rate,MATCH(B2920,pr_code,0))),""))))</f>
        <v/>
      </c>
      <c r="L2920" s="65" t="str">
        <f>IF(COUNTA(A2920:G2920)=0,"",IF(AND(ISNUMBER(D2920),ISNUMBER(J2920)),ROUND(D2920*J2920*(1-N(F2920)),2),0))</f>
        <v/>
      </c>
      <c r="M2920" s="62" t="str">
        <f>IF(A2920="","",IFERROR(INDEX(fa_cname,MATCH(A2920,fa_num,0))&amp;"",""))</f>
        <v/>
      </c>
      <c r="N2920" s="59" t="str">
        <f>IF(COUNTA(A2920:G2920)=0,"",IF(A2920="","N° facture manquant",IF(ISNA(MATCH(A2920,fa_num,0)),"Facture inconnue",IF(AND(B2920&lt;&gt;"",ISNA(MATCH(B2920,pr_code,0))),"Article inconnu",IF(H2920="","Désignation manquante",IF(OR(NOT(ISNUMBER(D2920)),N(D2920)&lt;=0),"Quantité invalide",IF(J2920="","Prix manquant",IF(OR(NOT(ISNUMBER(J2920)),N(J2920)&lt;0),"Prix invalide",IF(OR(AND(F2920&lt;&gt;"",NOT(ISNUMBER(F2920))),N(F2920)&lt;0,N(F2920)&gt;1),"Remise invalide",IF(K2920="","Taux de TVA manquant",IF(NOT(ISNUMBER(K2920)),"Taux de TVA invalide",IF(COUNTIF(p_rates,K2920)=0,"Taux de TVA hors liste (Paramètres)",IF(N(O2920)&gt;25,"Au-delà de 25 lignes : non imprimée","OK")))))))))))))</f>
        <v/>
      </c>
      <c r="O2920" s="59" t="str">
        <f>IF(A2920="","",COUNTIF($A$6:A2920,A2920))</f>
        <v/>
      </c>
      <c r="P2920" s="62" t="str">
        <f>IF(A2920="","",A2920&amp;"|"&amp;O2920)</f>
        <v/>
      </c>
    </row>
    <row r="2921">
      <c r="A2921" s="60" t="n"/>
      <c r="B2921" s="63" t="n"/>
      <c r="C2921" s="63" t="n"/>
      <c r="D2921" s="67" t="n"/>
      <c r="E2921" s="68" t="n"/>
      <c r="F2921" s="69" t="n"/>
      <c r="G2921" s="70" t="n"/>
      <c r="H2921" s="62" t="str">
        <f>IF(COUNTA(A2921:G2921)=0,"",IF(C2921&lt;&gt;"",C2921,IF(B2921="","",IFERROR(INDEX(pr_des,MATCH(B2921,pr_code,0))&amp;"",""))))</f>
        <v/>
      </c>
      <c r="I2921" s="59" t="str">
        <f>IF(B2921="","",IFERROR(INDEX(pr_unit,MATCH(B2921,pr_code,0))&amp;"",""))</f>
        <v/>
      </c>
      <c r="J2921" s="65" t="str">
        <f>IF(COUNTA(A2921:G2921)=0,"",IF(E2921&lt;&gt;"",E2921,IF(B2921="","",IFERROR(IF(INDEX(pr_price,MATCH(B2921,pr_code,0))="","",INDEX(pr_price,MATCH(B2921,pr_code,0))),""))))</f>
        <v/>
      </c>
      <c r="K2921" s="71" t="str">
        <f>IF(COUNTA(A2921:G2921)=0,"",IF(G2921&lt;&gt;"",G2921,IF(B2921="","",IFERROR(IF(INDEX(pr_rate,MATCH(B2921,pr_code,0))="","",INDEX(pr_rate,MATCH(B2921,pr_code,0))),""))))</f>
        <v/>
      </c>
      <c r="L2921" s="65" t="str">
        <f>IF(COUNTA(A2921:G2921)=0,"",IF(AND(ISNUMBER(D2921),ISNUMBER(J2921)),ROUND(D2921*J2921*(1-N(F2921)),2),0))</f>
        <v/>
      </c>
      <c r="M2921" s="62" t="str">
        <f>IF(A2921="","",IFERROR(INDEX(fa_cname,MATCH(A2921,fa_num,0))&amp;"",""))</f>
        <v/>
      </c>
      <c r="N2921" s="59" t="str">
        <f>IF(COUNTA(A2921:G2921)=0,"",IF(A2921="","N° facture manquant",IF(ISNA(MATCH(A2921,fa_num,0)),"Facture inconnue",IF(AND(B2921&lt;&gt;"",ISNA(MATCH(B2921,pr_code,0))),"Article inconnu",IF(H2921="","Désignation manquante",IF(OR(NOT(ISNUMBER(D2921)),N(D2921)&lt;=0),"Quantité invalide",IF(J2921="","Prix manquant",IF(OR(NOT(ISNUMBER(J2921)),N(J2921)&lt;0),"Prix invalide",IF(OR(AND(F2921&lt;&gt;"",NOT(ISNUMBER(F2921))),N(F2921)&lt;0,N(F2921)&gt;1),"Remise invalide",IF(K2921="","Taux de TVA manquant",IF(NOT(ISNUMBER(K2921)),"Taux de TVA invalide",IF(COUNTIF(p_rates,K2921)=0,"Taux de TVA hors liste (Paramètres)",IF(N(O2921)&gt;25,"Au-delà de 25 lignes : non imprimée","OK")))))))))))))</f>
        <v/>
      </c>
      <c r="O2921" s="59" t="str">
        <f>IF(A2921="","",COUNTIF($A$6:A2921,A2921))</f>
        <v/>
      </c>
      <c r="P2921" s="62" t="str">
        <f>IF(A2921="","",A2921&amp;"|"&amp;O2921)</f>
        <v/>
      </c>
    </row>
    <row r="2922">
      <c r="A2922" s="60" t="n"/>
      <c r="B2922" s="63" t="n"/>
      <c r="C2922" s="63" t="n"/>
      <c r="D2922" s="67" t="n"/>
      <c r="E2922" s="68" t="n"/>
      <c r="F2922" s="69" t="n"/>
      <c r="G2922" s="70" t="n"/>
      <c r="H2922" s="62" t="str">
        <f>IF(COUNTA(A2922:G2922)=0,"",IF(C2922&lt;&gt;"",C2922,IF(B2922="","",IFERROR(INDEX(pr_des,MATCH(B2922,pr_code,0))&amp;"",""))))</f>
        <v/>
      </c>
      <c r="I2922" s="59" t="str">
        <f>IF(B2922="","",IFERROR(INDEX(pr_unit,MATCH(B2922,pr_code,0))&amp;"",""))</f>
        <v/>
      </c>
      <c r="J2922" s="65" t="str">
        <f>IF(COUNTA(A2922:G2922)=0,"",IF(E2922&lt;&gt;"",E2922,IF(B2922="","",IFERROR(IF(INDEX(pr_price,MATCH(B2922,pr_code,0))="","",INDEX(pr_price,MATCH(B2922,pr_code,0))),""))))</f>
        <v/>
      </c>
      <c r="K2922" s="71" t="str">
        <f>IF(COUNTA(A2922:G2922)=0,"",IF(G2922&lt;&gt;"",G2922,IF(B2922="","",IFERROR(IF(INDEX(pr_rate,MATCH(B2922,pr_code,0))="","",INDEX(pr_rate,MATCH(B2922,pr_code,0))),""))))</f>
        <v/>
      </c>
      <c r="L2922" s="65" t="str">
        <f>IF(COUNTA(A2922:G2922)=0,"",IF(AND(ISNUMBER(D2922),ISNUMBER(J2922)),ROUND(D2922*J2922*(1-N(F2922)),2),0))</f>
        <v/>
      </c>
      <c r="M2922" s="62" t="str">
        <f>IF(A2922="","",IFERROR(INDEX(fa_cname,MATCH(A2922,fa_num,0))&amp;"",""))</f>
        <v/>
      </c>
      <c r="N2922" s="59" t="str">
        <f>IF(COUNTA(A2922:G2922)=0,"",IF(A2922="","N° facture manquant",IF(ISNA(MATCH(A2922,fa_num,0)),"Facture inconnue",IF(AND(B2922&lt;&gt;"",ISNA(MATCH(B2922,pr_code,0))),"Article inconnu",IF(H2922="","Désignation manquante",IF(OR(NOT(ISNUMBER(D2922)),N(D2922)&lt;=0),"Quantité invalide",IF(J2922="","Prix manquant",IF(OR(NOT(ISNUMBER(J2922)),N(J2922)&lt;0),"Prix invalide",IF(OR(AND(F2922&lt;&gt;"",NOT(ISNUMBER(F2922))),N(F2922)&lt;0,N(F2922)&gt;1),"Remise invalide",IF(K2922="","Taux de TVA manquant",IF(NOT(ISNUMBER(K2922)),"Taux de TVA invalide",IF(COUNTIF(p_rates,K2922)=0,"Taux de TVA hors liste (Paramètres)",IF(N(O2922)&gt;25,"Au-delà de 25 lignes : non imprimée","OK")))))))))))))</f>
        <v/>
      </c>
      <c r="O2922" s="59" t="str">
        <f>IF(A2922="","",COUNTIF($A$6:A2922,A2922))</f>
        <v/>
      </c>
      <c r="P2922" s="62" t="str">
        <f>IF(A2922="","",A2922&amp;"|"&amp;O2922)</f>
        <v/>
      </c>
    </row>
    <row r="2923">
      <c r="A2923" s="60" t="n"/>
      <c r="B2923" s="63" t="n"/>
      <c r="C2923" s="63" t="n"/>
      <c r="D2923" s="67" t="n"/>
      <c r="E2923" s="68" t="n"/>
      <c r="F2923" s="69" t="n"/>
      <c r="G2923" s="70" t="n"/>
      <c r="H2923" s="62" t="str">
        <f>IF(COUNTA(A2923:G2923)=0,"",IF(C2923&lt;&gt;"",C2923,IF(B2923="","",IFERROR(INDEX(pr_des,MATCH(B2923,pr_code,0))&amp;"",""))))</f>
        <v/>
      </c>
      <c r="I2923" s="59" t="str">
        <f>IF(B2923="","",IFERROR(INDEX(pr_unit,MATCH(B2923,pr_code,0))&amp;"",""))</f>
        <v/>
      </c>
      <c r="J2923" s="65" t="str">
        <f>IF(COUNTA(A2923:G2923)=0,"",IF(E2923&lt;&gt;"",E2923,IF(B2923="","",IFERROR(IF(INDEX(pr_price,MATCH(B2923,pr_code,0))="","",INDEX(pr_price,MATCH(B2923,pr_code,0))),""))))</f>
        <v/>
      </c>
      <c r="K2923" s="71" t="str">
        <f>IF(COUNTA(A2923:G2923)=0,"",IF(G2923&lt;&gt;"",G2923,IF(B2923="","",IFERROR(IF(INDEX(pr_rate,MATCH(B2923,pr_code,0))="","",INDEX(pr_rate,MATCH(B2923,pr_code,0))),""))))</f>
        <v/>
      </c>
      <c r="L2923" s="65" t="str">
        <f>IF(COUNTA(A2923:G2923)=0,"",IF(AND(ISNUMBER(D2923),ISNUMBER(J2923)),ROUND(D2923*J2923*(1-N(F2923)),2),0))</f>
        <v/>
      </c>
      <c r="M2923" s="62" t="str">
        <f>IF(A2923="","",IFERROR(INDEX(fa_cname,MATCH(A2923,fa_num,0))&amp;"",""))</f>
        <v/>
      </c>
      <c r="N2923" s="59" t="str">
        <f>IF(COUNTA(A2923:G2923)=0,"",IF(A2923="","N° facture manquant",IF(ISNA(MATCH(A2923,fa_num,0)),"Facture inconnue",IF(AND(B2923&lt;&gt;"",ISNA(MATCH(B2923,pr_code,0))),"Article inconnu",IF(H2923="","Désignation manquante",IF(OR(NOT(ISNUMBER(D2923)),N(D2923)&lt;=0),"Quantité invalide",IF(J2923="","Prix manquant",IF(OR(NOT(ISNUMBER(J2923)),N(J2923)&lt;0),"Prix invalide",IF(OR(AND(F2923&lt;&gt;"",NOT(ISNUMBER(F2923))),N(F2923)&lt;0,N(F2923)&gt;1),"Remise invalide",IF(K2923="","Taux de TVA manquant",IF(NOT(ISNUMBER(K2923)),"Taux de TVA invalide",IF(COUNTIF(p_rates,K2923)=0,"Taux de TVA hors liste (Paramètres)",IF(N(O2923)&gt;25,"Au-delà de 25 lignes : non imprimée","OK")))))))))))))</f>
        <v/>
      </c>
      <c r="O2923" s="59" t="str">
        <f>IF(A2923="","",COUNTIF($A$6:A2923,A2923))</f>
        <v/>
      </c>
      <c r="P2923" s="62" t="str">
        <f>IF(A2923="","",A2923&amp;"|"&amp;O2923)</f>
        <v/>
      </c>
    </row>
    <row r="2924">
      <c r="A2924" s="60" t="n"/>
      <c r="B2924" s="63" t="n"/>
      <c r="C2924" s="63" t="n"/>
      <c r="D2924" s="67" t="n"/>
      <c r="E2924" s="68" t="n"/>
      <c r="F2924" s="69" t="n"/>
      <c r="G2924" s="70" t="n"/>
      <c r="H2924" s="62" t="str">
        <f>IF(COUNTA(A2924:G2924)=0,"",IF(C2924&lt;&gt;"",C2924,IF(B2924="","",IFERROR(INDEX(pr_des,MATCH(B2924,pr_code,0))&amp;"",""))))</f>
        <v/>
      </c>
      <c r="I2924" s="59" t="str">
        <f>IF(B2924="","",IFERROR(INDEX(pr_unit,MATCH(B2924,pr_code,0))&amp;"",""))</f>
        <v/>
      </c>
      <c r="J2924" s="65" t="str">
        <f>IF(COUNTA(A2924:G2924)=0,"",IF(E2924&lt;&gt;"",E2924,IF(B2924="","",IFERROR(IF(INDEX(pr_price,MATCH(B2924,pr_code,0))="","",INDEX(pr_price,MATCH(B2924,pr_code,0))),""))))</f>
        <v/>
      </c>
      <c r="K2924" s="71" t="str">
        <f>IF(COUNTA(A2924:G2924)=0,"",IF(G2924&lt;&gt;"",G2924,IF(B2924="","",IFERROR(IF(INDEX(pr_rate,MATCH(B2924,pr_code,0))="","",INDEX(pr_rate,MATCH(B2924,pr_code,0))),""))))</f>
        <v/>
      </c>
      <c r="L2924" s="65" t="str">
        <f>IF(COUNTA(A2924:G2924)=0,"",IF(AND(ISNUMBER(D2924),ISNUMBER(J2924)),ROUND(D2924*J2924*(1-N(F2924)),2),0))</f>
        <v/>
      </c>
      <c r="M2924" s="62" t="str">
        <f>IF(A2924="","",IFERROR(INDEX(fa_cname,MATCH(A2924,fa_num,0))&amp;"",""))</f>
        <v/>
      </c>
      <c r="N2924" s="59" t="str">
        <f>IF(COUNTA(A2924:G2924)=0,"",IF(A2924="","N° facture manquant",IF(ISNA(MATCH(A2924,fa_num,0)),"Facture inconnue",IF(AND(B2924&lt;&gt;"",ISNA(MATCH(B2924,pr_code,0))),"Article inconnu",IF(H2924="","Désignation manquante",IF(OR(NOT(ISNUMBER(D2924)),N(D2924)&lt;=0),"Quantité invalide",IF(J2924="","Prix manquant",IF(OR(NOT(ISNUMBER(J2924)),N(J2924)&lt;0),"Prix invalide",IF(OR(AND(F2924&lt;&gt;"",NOT(ISNUMBER(F2924))),N(F2924)&lt;0,N(F2924)&gt;1),"Remise invalide",IF(K2924="","Taux de TVA manquant",IF(NOT(ISNUMBER(K2924)),"Taux de TVA invalide",IF(COUNTIF(p_rates,K2924)=0,"Taux de TVA hors liste (Paramètres)",IF(N(O2924)&gt;25,"Au-delà de 25 lignes : non imprimée","OK")))))))))))))</f>
        <v/>
      </c>
      <c r="O2924" s="59" t="str">
        <f>IF(A2924="","",COUNTIF($A$6:A2924,A2924))</f>
        <v/>
      </c>
      <c r="P2924" s="62" t="str">
        <f>IF(A2924="","",A2924&amp;"|"&amp;O2924)</f>
        <v/>
      </c>
    </row>
    <row r="2925">
      <c r="A2925" s="60" t="n"/>
      <c r="B2925" s="63" t="n"/>
      <c r="C2925" s="63" t="n"/>
      <c r="D2925" s="67" t="n"/>
      <c r="E2925" s="68" t="n"/>
      <c r="F2925" s="69" t="n"/>
      <c r="G2925" s="70" t="n"/>
      <c r="H2925" s="62" t="str">
        <f>IF(COUNTA(A2925:G2925)=0,"",IF(C2925&lt;&gt;"",C2925,IF(B2925="","",IFERROR(INDEX(pr_des,MATCH(B2925,pr_code,0))&amp;"",""))))</f>
        <v/>
      </c>
      <c r="I2925" s="59" t="str">
        <f>IF(B2925="","",IFERROR(INDEX(pr_unit,MATCH(B2925,pr_code,0))&amp;"",""))</f>
        <v/>
      </c>
      <c r="J2925" s="65" t="str">
        <f>IF(COUNTA(A2925:G2925)=0,"",IF(E2925&lt;&gt;"",E2925,IF(B2925="","",IFERROR(IF(INDEX(pr_price,MATCH(B2925,pr_code,0))="","",INDEX(pr_price,MATCH(B2925,pr_code,0))),""))))</f>
        <v/>
      </c>
      <c r="K2925" s="71" t="str">
        <f>IF(COUNTA(A2925:G2925)=0,"",IF(G2925&lt;&gt;"",G2925,IF(B2925="","",IFERROR(IF(INDEX(pr_rate,MATCH(B2925,pr_code,0))="","",INDEX(pr_rate,MATCH(B2925,pr_code,0))),""))))</f>
        <v/>
      </c>
      <c r="L2925" s="65" t="str">
        <f>IF(COUNTA(A2925:G2925)=0,"",IF(AND(ISNUMBER(D2925),ISNUMBER(J2925)),ROUND(D2925*J2925*(1-N(F2925)),2),0))</f>
        <v/>
      </c>
      <c r="M2925" s="62" t="str">
        <f>IF(A2925="","",IFERROR(INDEX(fa_cname,MATCH(A2925,fa_num,0))&amp;"",""))</f>
        <v/>
      </c>
      <c r="N2925" s="59" t="str">
        <f>IF(COUNTA(A2925:G2925)=0,"",IF(A2925="","N° facture manquant",IF(ISNA(MATCH(A2925,fa_num,0)),"Facture inconnue",IF(AND(B2925&lt;&gt;"",ISNA(MATCH(B2925,pr_code,0))),"Article inconnu",IF(H2925="","Désignation manquante",IF(OR(NOT(ISNUMBER(D2925)),N(D2925)&lt;=0),"Quantité invalide",IF(J2925="","Prix manquant",IF(OR(NOT(ISNUMBER(J2925)),N(J2925)&lt;0),"Prix invalide",IF(OR(AND(F2925&lt;&gt;"",NOT(ISNUMBER(F2925))),N(F2925)&lt;0,N(F2925)&gt;1),"Remise invalide",IF(K2925="","Taux de TVA manquant",IF(NOT(ISNUMBER(K2925)),"Taux de TVA invalide",IF(COUNTIF(p_rates,K2925)=0,"Taux de TVA hors liste (Paramètres)",IF(N(O2925)&gt;25,"Au-delà de 25 lignes : non imprimée","OK")))))))))))))</f>
        <v/>
      </c>
      <c r="O2925" s="59" t="str">
        <f>IF(A2925="","",COUNTIF($A$6:A2925,A2925))</f>
        <v/>
      </c>
      <c r="P2925" s="62" t="str">
        <f>IF(A2925="","",A2925&amp;"|"&amp;O2925)</f>
        <v/>
      </c>
    </row>
    <row r="2926">
      <c r="A2926" s="60" t="n"/>
      <c r="B2926" s="63" t="n"/>
      <c r="C2926" s="63" t="n"/>
      <c r="D2926" s="67" t="n"/>
      <c r="E2926" s="68" t="n"/>
      <c r="F2926" s="69" t="n"/>
      <c r="G2926" s="70" t="n"/>
      <c r="H2926" s="62" t="str">
        <f>IF(COUNTA(A2926:G2926)=0,"",IF(C2926&lt;&gt;"",C2926,IF(B2926="","",IFERROR(INDEX(pr_des,MATCH(B2926,pr_code,0))&amp;"",""))))</f>
        <v/>
      </c>
      <c r="I2926" s="59" t="str">
        <f>IF(B2926="","",IFERROR(INDEX(pr_unit,MATCH(B2926,pr_code,0))&amp;"",""))</f>
        <v/>
      </c>
      <c r="J2926" s="65" t="str">
        <f>IF(COUNTA(A2926:G2926)=0,"",IF(E2926&lt;&gt;"",E2926,IF(B2926="","",IFERROR(IF(INDEX(pr_price,MATCH(B2926,pr_code,0))="","",INDEX(pr_price,MATCH(B2926,pr_code,0))),""))))</f>
        <v/>
      </c>
      <c r="K2926" s="71" t="str">
        <f>IF(COUNTA(A2926:G2926)=0,"",IF(G2926&lt;&gt;"",G2926,IF(B2926="","",IFERROR(IF(INDEX(pr_rate,MATCH(B2926,pr_code,0))="","",INDEX(pr_rate,MATCH(B2926,pr_code,0))),""))))</f>
        <v/>
      </c>
      <c r="L2926" s="65" t="str">
        <f>IF(COUNTA(A2926:G2926)=0,"",IF(AND(ISNUMBER(D2926),ISNUMBER(J2926)),ROUND(D2926*J2926*(1-N(F2926)),2),0))</f>
        <v/>
      </c>
      <c r="M2926" s="62" t="str">
        <f>IF(A2926="","",IFERROR(INDEX(fa_cname,MATCH(A2926,fa_num,0))&amp;"",""))</f>
        <v/>
      </c>
      <c r="N2926" s="59" t="str">
        <f>IF(COUNTA(A2926:G2926)=0,"",IF(A2926="","N° facture manquant",IF(ISNA(MATCH(A2926,fa_num,0)),"Facture inconnue",IF(AND(B2926&lt;&gt;"",ISNA(MATCH(B2926,pr_code,0))),"Article inconnu",IF(H2926="","Désignation manquante",IF(OR(NOT(ISNUMBER(D2926)),N(D2926)&lt;=0),"Quantité invalide",IF(J2926="","Prix manquant",IF(OR(NOT(ISNUMBER(J2926)),N(J2926)&lt;0),"Prix invalide",IF(OR(AND(F2926&lt;&gt;"",NOT(ISNUMBER(F2926))),N(F2926)&lt;0,N(F2926)&gt;1),"Remise invalide",IF(K2926="","Taux de TVA manquant",IF(NOT(ISNUMBER(K2926)),"Taux de TVA invalide",IF(COUNTIF(p_rates,K2926)=0,"Taux de TVA hors liste (Paramètres)",IF(N(O2926)&gt;25,"Au-delà de 25 lignes : non imprimée","OK")))))))))))))</f>
        <v/>
      </c>
      <c r="O2926" s="59" t="str">
        <f>IF(A2926="","",COUNTIF($A$6:A2926,A2926))</f>
        <v/>
      </c>
      <c r="P2926" s="62" t="str">
        <f>IF(A2926="","",A2926&amp;"|"&amp;O2926)</f>
        <v/>
      </c>
    </row>
    <row r="2927">
      <c r="A2927" s="60" t="n"/>
      <c r="B2927" s="63" t="n"/>
      <c r="C2927" s="63" t="n"/>
      <c r="D2927" s="67" t="n"/>
      <c r="E2927" s="68" t="n"/>
      <c r="F2927" s="69" t="n"/>
      <c r="G2927" s="70" t="n"/>
      <c r="H2927" s="62" t="str">
        <f>IF(COUNTA(A2927:G2927)=0,"",IF(C2927&lt;&gt;"",C2927,IF(B2927="","",IFERROR(INDEX(pr_des,MATCH(B2927,pr_code,0))&amp;"",""))))</f>
        <v/>
      </c>
      <c r="I2927" s="59" t="str">
        <f>IF(B2927="","",IFERROR(INDEX(pr_unit,MATCH(B2927,pr_code,0))&amp;"",""))</f>
        <v/>
      </c>
      <c r="J2927" s="65" t="str">
        <f>IF(COUNTA(A2927:G2927)=0,"",IF(E2927&lt;&gt;"",E2927,IF(B2927="","",IFERROR(IF(INDEX(pr_price,MATCH(B2927,pr_code,0))="","",INDEX(pr_price,MATCH(B2927,pr_code,0))),""))))</f>
        <v/>
      </c>
      <c r="K2927" s="71" t="str">
        <f>IF(COUNTA(A2927:G2927)=0,"",IF(G2927&lt;&gt;"",G2927,IF(B2927="","",IFERROR(IF(INDEX(pr_rate,MATCH(B2927,pr_code,0))="","",INDEX(pr_rate,MATCH(B2927,pr_code,0))),""))))</f>
        <v/>
      </c>
      <c r="L2927" s="65" t="str">
        <f>IF(COUNTA(A2927:G2927)=0,"",IF(AND(ISNUMBER(D2927),ISNUMBER(J2927)),ROUND(D2927*J2927*(1-N(F2927)),2),0))</f>
        <v/>
      </c>
      <c r="M2927" s="62" t="str">
        <f>IF(A2927="","",IFERROR(INDEX(fa_cname,MATCH(A2927,fa_num,0))&amp;"",""))</f>
        <v/>
      </c>
      <c r="N2927" s="59" t="str">
        <f>IF(COUNTA(A2927:G2927)=0,"",IF(A2927="","N° facture manquant",IF(ISNA(MATCH(A2927,fa_num,0)),"Facture inconnue",IF(AND(B2927&lt;&gt;"",ISNA(MATCH(B2927,pr_code,0))),"Article inconnu",IF(H2927="","Désignation manquante",IF(OR(NOT(ISNUMBER(D2927)),N(D2927)&lt;=0),"Quantité invalide",IF(J2927="","Prix manquant",IF(OR(NOT(ISNUMBER(J2927)),N(J2927)&lt;0),"Prix invalide",IF(OR(AND(F2927&lt;&gt;"",NOT(ISNUMBER(F2927))),N(F2927)&lt;0,N(F2927)&gt;1),"Remise invalide",IF(K2927="","Taux de TVA manquant",IF(NOT(ISNUMBER(K2927)),"Taux de TVA invalide",IF(COUNTIF(p_rates,K2927)=0,"Taux de TVA hors liste (Paramètres)",IF(N(O2927)&gt;25,"Au-delà de 25 lignes : non imprimée","OK")))))))))))))</f>
        <v/>
      </c>
      <c r="O2927" s="59" t="str">
        <f>IF(A2927="","",COUNTIF($A$6:A2927,A2927))</f>
        <v/>
      </c>
      <c r="P2927" s="62" t="str">
        <f>IF(A2927="","",A2927&amp;"|"&amp;O2927)</f>
        <v/>
      </c>
    </row>
    <row r="2928">
      <c r="A2928" s="60" t="n"/>
      <c r="B2928" s="63" t="n"/>
      <c r="C2928" s="63" t="n"/>
      <c r="D2928" s="67" t="n"/>
      <c r="E2928" s="68" t="n"/>
      <c r="F2928" s="69" t="n"/>
      <c r="G2928" s="70" t="n"/>
      <c r="H2928" s="62" t="str">
        <f>IF(COUNTA(A2928:G2928)=0,"",IF(C2928&lt;&gt;"",C2928,IF(B2928="","",IFERROR(INDEX(pr_des,MATCH(B2928,pr_code,0))&amp;"",""))))</f>
        <v/>
      </c>
      <c r="I2928" s="59" t="str">
        <f>IF(B2928="","",IFERROR(INDEX(pr_unit,MATCH(B2928,pr_code,0))&amp;"",""))</f>
        <v/>
      </c>
      <c r="J2928" s="65" t="str">
        <f>IF(COUNTA(A2928:G2928)=0,"",IF(E2928&lt;&gt;"",E2928,IF(B2928="","",IFERROR(IF(INDEX(pr_price,MATCH(B2928,pr_code,0))="","",INDEX(pr_price,MATCH(B2928,pr_code,0))),""))))</f>
        <v/>
      </c>
      <c r="K2928" s="71" t="str">
        <f>IF(COUNTA(A2928:G2928)=0,"",IF(G2928&lt;&gt;"",G2928,IF(B2928="","",IFERROR(IF(INDEX(pr_rate,MATCH(B2928,pr_code,0))="","",INDEX(pr_rate,MATCH(B2928,pr_code,0))),""))))</f>
        <v/>
      </c>
      <c r="L2928" s="65" t="str">
        <f>IF(COUNTA(A2928:G2928)=0,"",IF(AND(ISNUMBER(D2928),ISNUMBER(J2928)),ROUND(D2928*J2928*(1-N(F2928)),2),0))</f>
        <v/>
      </c>
      <c r="M2928" s="62" t="str">
        <f>IF(A2928="","",IFERROR(INDEX(fa_cname,MATCH(A2928,fa_num,0))&amp;"",""))</f>
        <v/>
      </c>
      <c r="N2928" s="59" t="str">
        <f>IF(COUNTA(A2928:G2928)=0,"",IF(A2928="","N° facture manquant",IF(ISNA(MATCH(A2928,fa_num,0)),"Facture inconnue",IF(AND(B2928&lt;&gt;"",ISNA(MATCH(B2928,pr_code,0))),"Article inconnu",IF(H2928="","Désignation manquante",IF(OR(NOT(ISNUMBER(D2928)),N(D2928)&lt;=0),"Quantité invalide",IF(J2928="","Prix manquant",IF(OR(NOT(ISNUMBER(J2928)),N(J2928)&lt;0),"Prix invalide",IF(OR(AND(F2928&lt;&gt;"",NOT(ISNUMBER(F2928))),N(F2928)&lt;0,N(F2928)&gt;1),"Remise invalide",IF(K2928="","Taux de TVA manquant",IF(NOT(ISNUMBER(K2928)),"Taux de TVA invalide",IF(COUNTIF(p_rates,K2928)=0,"Taux de TVA hors liste (Paramètres)",IF(N(O2928)&gt;25,"Au-delà de 25 lignes : non imprimée","OK")))))))))))))</f>
        <v/>
      </c>
      <c r="O2928" s="59" t="str">
        <f>IF(A2928="","",COUNTIF($A$6:A2928,A2928))</f>
        <v/>
      </c>
      <c r="P2928" s="62" t="str">
        <f>IF(A2928="","",A2928&amp;"|"&amp;O2928)</f>
        <v/>
      </c>
    </row>
    <row r="2929">
      <c r="A2929" s="60" t="n"/>
      <c r="B2929" s="63" t="n"/>
      <c r="C2929" s="63" t="n"/>
      <c r="D2929" s="67" t="n"/>
      <c r="E2929" s="68" t="n"/>
      <c r="F2929" s="69" t="n"/>
      <c r="G2929" s="70" t="n"/>
      <c r="H2929" s="62" t="str">
        <f>IF(COUNTA(A2929:G2929)=0,"",IF(C2929&lt;&gt;"",C2929,IF(B2929="","",IFERROR(INDEX(pr_des,MATCH(B2929,pr_code,0))&amp;"",""))))</f>
        <v/>
      </c>
      <c r="I2929" s="59" t="str">
        <f>IF(B2929="","",IFERROR(INDEX(pr_unit,MATCH(B2929,pr_code,0))&amp;"",""))</f>
        <v/>
      </c>
      <c r="J2929" s="65" t="str">
        <f>IF(COUNTA(A2929:G2929)=0,"",IF(E2929&lt;&gt;"",E2929,IF(B2929="","",IFERROR(IF(INDEX(pr_price,MATCH(B2929,pr_code,0))="","",INDEX(pr_price,MATCH(B2929,pr_code,0))),""))))</f>
        <v/>
      </c>
      <c r="K2929" s="71" t="str">
        <f>IF(COUNTA(A2929:G2929)=0,"",IF(G2929&lt;&gt;"",G2929,IF(B2929="","",IFERROR(IF(INDEX(pr_rate,MATCH(B2929,pr_code,0))="","",INDEX(pr_rate,MATCH(B2929,pr_code,0))),""))))</f>
        <v/>
      </c>
      <c r="L2929" s="65" t="str">
        <f>IF(COUNTA(A2929:G2929)=0,"",IF(AND(ISNUMBER(D2929),ISNUMBER(J2929)),ROUND(D2929*J2929*(1-N(F2929)),2),0))</f>
        <v/>
      </c>
      <c r="M2929" s="62" t="str">
        <f>IF(A2929="","",IFERROR(INDEX(fa_cname,MATCH(A2929,fa_num,0))&amp;"",""))</f>
        <v/>
      </c>
      <c r="N2929" s="59" t="str">
        <f>IF(COUNTA(A2929:G2929)=0,"",IF(A2929="","N° facture manquant",IF(ISNA(MATCH(A2929,fa_num,0)),"Facture inconnue",IF(AND(B2929&lt;&gt;"",ISNA(MATCH(B2929,pr_code,0))),"Article inconnu",IF(H2929="","Désignation manquante",IF(OR(NOT(ISNUMBER(D2929)),N(D2929)&lt;=0),"Quantité invalide",IF(J2929="","Prix manquant",IF(OR(NOT(ISNUMBER(J2929)),N(J2929)&lt;0),"Prix invalide",IF(OR(AND(F2929&lt;&gt;"",NOT(ISNUMBER(F2929))),N(F2929)&lt;0,N(F2929)&gt;1),"Remise invalide",IF(K2929="","Taux de TVA manquant",IF(NOT(ISNUMBER(K2929)),"Taux de TVA invalide",IF(COUNTIF(p_rates,K2929)=0,"Taux de TVA hors liste (Paramètres)",IF(N(O2929)&gt;25,"Au-delà de 25 lignes : non imprimée","OK")))))))))))))</f>
        <v/>
      </c>
      <c r="O2929" s="59" t="str">
        <f>IF(A2929="","",COUNTIF($A$6:A2929,A2929))</f>
        <v/>
      </c>
      <c r="P2929" s="62" t="str">
        <f>IF(A2929="","",A2929&amp;"|"&amp;O2929)</f>
        <v/>
      </c>
    </row>
    <row r="2930">
      <c r="A2930" s="60" t="n"/>
      <c r="B2930" s="63" t="n"/>
      <c r="C2930" s="63" t="n"/>
      <c r="D2930" s="67" t="n"/>
      <c r="E2930" s="68" t="n"/>
      <c r="F2930" s="69" t="n"/>
      <c r="G2930" s="70" t="n"/>
      <c r="H2930" s="62" t="str">
        <f>IF(COUNTA(A2930:G2930)=0,"",IF(C2930&lt;&gt;"",C2930,IF(B2930="","",IFERROR(INDEX(pr_des,MATCH(B2930,pr_code,0))&amp;"",""))))</f>
        <v/>
      </c>
      <c r="I2930" s="59" t="str">
        <f>IF(B2930="","",IFERROR(INDEX(pr_unit,MATCH(B2930,pr_code,0))&amp;"",""))</f>
        <v/>
      </c>
      <c r="J2930" s="65" t="str">
        <f>IF(COUNTA(A2930:G2930)=0,"",IF(E2930&lt;&gt;"",E2930,IF(B2930="","",IFERROR(IF(INDEX(pr_price,MATCH(B2930,pr_code,0))="","",INDEX(pr_price,MATCH(B2930,pr_code,0))),""))))</f>
        <v/>
      </c>
      <c r="K2930" s="71" t="str">
        <f>IF(COUNTA(A2930:G2930)=0,"",IF(G2930&lt;&gt;"",G2930,IF(B2930="","",IFERROR(IF(INDEX(pr_rate,MATCH(B2930,pr_code,0))="","",INDEX(pr_rate,MATCH(B2930,pr_code,0))),""))))</f>
        <v/>
      </c>
      <c r="L2930" s="65" t="str">
        <f>IF(COUNTA(A2930:G2930)=0,"",IF(AND(ISNUMBER(D2930),ISNUMBER(J2930)),ROUND(D2930*J2930*(1-N(F2930)),2),0))</f>
        <v/>
      </c>
      <c r="M2930" s="62" t="str">
        <f>IF(A2930="","",IFERROR(INDEX(fa_cname,MATCH(A2930,fa_num,0))&amp;"",""))</f>
        <v/>
      </c>
      <c r="N2930" s="59" t="str">
        <f>IF(COUNTA(A2930:G2930)=0,"",IF(A2930="","N° facture manquant",IF(ISNA(MATCH(A2930,fa_num,0)),"Facture inconnue",IF(AND(B2930&lt;&gt;"",ISNA(MATCH(B2930,pr_code,0))),"Article inconnu",IF(H2930="","Désignation manquante",IF(OR(NOT(ISNUMBER(D2930)),N(D2930)&lt;=0),"Quantité invalide",IF(J2930="","Prix manquant",IF(OR(NOT(ISNUMBER(J2930)),N(J2930)&lt;0),"Prix invalide",IF(OR(AND(F2930&lt;&gt;"",NOT(ISNUMBER(F2930))),N(F2930)&lt;0,N(F2930)&gt;1),"Remise invalide",IF(K2930="","Taux de TVA manquant",IF(NOT(ISNUMBER(K2930)),"Taux de TVA invalide",IF(COUNTIF(p_rates,K2930)=0,"Taux de TVA hors liste (Paramètres)",IF(N(O2930)&gt;25,"Au-delà de 25 lignes : non imprimée","OK")))))))))))))</f>
        <v/>
      </c>
      <c r="O2930" s="59" t="str">
        <f>IF(A2930="","",COUNTIF($A$6:A2930,A2930))</f>
        <v/>
      </c>
      <c r="P2930" s="62" t="str">
        <f>IF(A2930="","",A2930&amp;"|"&amp;O2930)</f>
        <v/>
      </c>
    </row>
    <row r="2931">
      <c r="A2931" s="60" t="n"/>
      <c r="B2931" s="63" t="n"/>
      <c r="C2931" s="63" t="n"/>
      <c r="D2931" s="67" t="n"/>
      <c r="E2931" s="68" t="n"/>
      <c r="F2931" s="69" t="n"/>
      <c r="G2931" s="70" t="n"/>
      <c r="H2931" s="62" t="str">
        <f>IF(COUNTA(A2931:G2931)=0,"",IF(C2931&lt;&gt;"",C2931,IF(B2931="","",IFERROR(INDEX(pr_des,MATCH(B2931,pr_code,0))&amp;"",""))))</f>
        <v/>
      </c>
      <c r="I2931" s="59" t="str">
        <f>IF(B2931="","",IFERROR(INDEX(pr_unit,MATCH(B2931,pr_code,0))&amp;"",""))</f>
        <v/>
      </c>
      <c r="J2931" s="65" t="str">
        <f>IF(COUNTA(A2931:G2931)=0,"",IF(E2931&lt;&gt;"",E2931,IF(B2931="","",IFERROR(IF(INDEX(pr_price,MATCH(B2931,pr_code,0))="","",INDEX(pr_price,MATCH(B2931,pr_code,0))),""))))</f>
        <v/>
      </c>
      <c r="K2931" s="71" t="str">
        <f>IF(COUNTA(A2931:G2931)=0,"",IF(G2931&lt;&gt;"",G2931,IF(B2931="","",IFERROR(IF(INDEX(pr_rate,MATCH(B2931,pr_code,0))="","",INDEX(pr_rate,MATCH(B2931,pr_code,0))),""))))</f>
        <v/>
      </c>
      <c r="L2931" s="65" t="str">
        <f>IF(COUNTA(A2931:G2931)=0,"",IF(AND(ISNUMBER(D2931),ISNUMBER(J2931)),ROUND(D2931*J2931*(1-N(F2931)),2),0))</f>
        <v/>
      </c>
      <c r="M2931" s="62" t="str">
        <f>IF(A2931="","",IFERROR(INDEX(fa_cname,MATCH(A2931,fa_num,0))&amp;"",""))</f>
        <v/>
      </c>
      <c r="N2931" s="59" t="str">
        <f>IF(COUNTA(A2931:G2931)=0,"",IF(A2931="","N° facture manquant",IF(ISNA(MATCH(A2931,fa_num,0)),"Facture inconnue",IF(AND(B2931&lt;&gt;"",ISNA(MATCH(B2931,pr_code,0))),"Article inconnu",IF(H2931="","Désignation manquante",IF(OR(NOT(ISNUMBER(D2931)),N(D2931)&lt;=0),"Quantité invalide",IF(J2931="","Prix manquant",IF(OR(NOT(ISNUMBER(J2931)),N(J2931)&lt;0),"Prix invalide",IF(OR(AND(F2931&lt;&gt;"",NOT(ISNUMBER(F2931))),N(F2931)&lt;0,N(F2931)&gt;1),"Remise invalide",IF(K2931="","Taux de TVA manquant",IF(NOT(ISNUMBER(K2931)),"Taux de TVA invalide",IF(COUNTIF(p_rates,K2931)=0,"Taux de TVA hors liste (Paramètres)",IF(N(O2931)&gt;25,"Au-delà de 25 lignes : non imprimée","OK")))))))))))))</f>
        <v/>
      </c>
      <c r="O2931" s="59" t="str">
        <f>IF(A2931="","",COUNTIF($A$6:A2931,A2931))</f>
        <v/>
      </c>
      <c r="P2931" s="62" t="str">
        <f>IF(A2931="","",A2931&amp;"|"&amp;O2931)</f>
        <v/>
      </c>
    </row>
    <row r="2932">
      <c r="A2932" s="60" t="n"/>
      <c r="B2932" s="63" t="n"/>
      <c r="C2932" s="63" t="n"/>
      <c r="D2932" s="67" t="n"/>
      <c r="E2932" s="68" t="n"/>
      <c r="F2932" s="69" t="n"/>
      <c r="G2932" s="70" t="n"/>
      <c r="H2932" s="62" t="str">
        <f>IF(COUNTA(A2932:G2932)=0,"",IF(C2932&lt;&gt;"",C2932,IF(B2932="","",IFERROR(INDEX(pr_des,MATCH(B2932,pr_code,0))&amp;"",""))))</f>
        <v/>
      </c>
      <c r="I2932" s="59" t="str">
        <f>IF(B2932="","",IFERROR(INDEX(pr_unit,MATCH(B2932,pr_code,0))&amp;"",""))</f>
        <v/>
      </c>
      <c r="J2932" s="65" t="str">
        <f>IF(COUNTA(A2932:G2932)=0,"",IF(E2932&lt;&gt;"",E2932,IF(B2932="","",IFERROR(IF(INDEX(pr_price,MATCH(B2932,pr_code,0))="","",INDEX(pr_price,MATCH(B2932,pr_code,0))),""))))</f>
        <v/>
      </c>
      <c r="K2932" s="71" t="str">
        <f>IF(COUNTA(A2932:G2932)=0,"",IF(G2932&lt;&gt;"",G2932,IF(B2932="","",IFERROR(IF(INDEX(pr_rate,MATCH(B2932,pr_code,0))="","",INDEX(pr_rate,MATCH(B2932,pr_code,0))),""))))</f>
        <v/>
      </c>
      <c r="L2932" s="65" t="str">
        <f>IF(COUNTA(A2932:G2932)=0,"",IF(AND(ISNUMBER(D2932),ISNUMBER(J2932)),ROUND(D2932*J2932*(1-N(F2932)),2),0))</f>
        <v/>
      </c>
      <c r="M2932" s="62" t="str">
        <f>IF(A2932="","",IFERROR(INDEX(fa_cname,MATCH(A2932,fa_num,0))&amp;"",""))</f>
        <v/>
      </c>
      <c r="N2932" s="59" t="str">
        <f>IF(COUNTA(A2932:G2932)=0,"",IF(A2932="","N° facture manquant",IF(ISNA(MATCH(A2932,fa_num,0)),"Facture inconnue",IF(AND(B2932&lt;&gt;"",ISNA(MATCH(B2932,pr_code,0))),"Article inconnu",IF(H2932="","Désignation manquante",IF(OR(NOT(ISNUMBER(D2932)),N(D2932)&lt;=0),"Quantité invalide",IF(J2932="","Prix manquant",IF(OR(NOT(ISNUMBER(J2932)),N(J2932)&lt;0),"Prix invalide",IF(OR(AND(F2932&lt;&gt;"",NOT(ISNUMBER(F2932))),N(F2932)&lt;0,N(F2932)&gt;1),"Remise invalide",IF(K2932="","Taux de TVA manquant",IF(NOT(ISNUMBER(K2932)),"Taux de TVA invalide",IF(COUNTIF(p_rates,K2932)=0,"Taux de TVA hors liste (Paramètres)",IF(N(O2932)&gt;25,"Au-delà de 25 lignes : non imprimée","OK")))))))))))))</f>
        <v/>
      </c>
      <c r="O2932" s="59" t="str">
        <f>IF(A2932="","",COUNTIF($A$6:A2932,A2932))</f>
        <v/>
      </c>
      <c r="P2932" s="62" t="str">
        <f>IF(A2932="","",A2932&amp;"|"&amp;O2932)</f>
        <v/>
      </c>
    </row>
    <row r="2933">
      <c r="A2933" s="60" t="n"/>
      <c r="B2933" s="63" t="n"/>
      <c r="C2933" s="63" t="n"/>
      <c r="D2933" s="67" t="n"/>
      <c r="E2933" s="68" t="n"/>
      <c r="F2933" s="69" t="n"/>
      <c r="G2933" s="70" t="n"/>
      <c r="H2933" s="62" t="str">
        <f>IF(COUNTA(A2933:G2933)=0,"",IF(C2933&lt;&gt;"",C2933,IF(B2933="","",IFERROR(INDEX(pr_des,MATCH(B2933,pr_code,0))&amp;"",""))))</f>
        <v/>
      </c>
      <c r="I2933" s="59" t="str">
        <f>IF(B2933="","",IFERROR(INDEX(pr_unit,MATCH(B2933,pr_code,0))&amp;"",""))</f>
        <v/>
      </c>
      <c r="J2933" s="65" t="str">
        <f>IF(COUNTA(A2933:G2933)=0,"",IF(E2933&lt;&gt;"",E2933,IF(B2933="","",IFERROR(IF(INDEX(pr_price,MATCH(B2933,pr_code,0))="","",INDEX(pr_price,MATCH(B2933,pr_code,0))),""))))</f>
        <v/>
      </c>
      <c r="K2933" s="71" t="str">
        <f>IF(COUNTA(A2933:G2933)=0,"",IF(G2933&lt;&gt;"",G2933,IF(B2933="","",IFERROR(IF(INDEX(pr_rate,MATCH(B2933,pr_code,0))="","",INDEX(pr_rate,MATCH(B2933,pr_code,0))),""))))</f>
        <v/>
      </c>
      <c r="L2933" s="65" t="str">
        <f>IF(COUNTA(A2933:G2933)=0,"",IF(AND(ISNUMBER(D2933),ISNUMBER(J2933)),ROUND(D2933*J2933*(1-N(F2933)),2),0))</f>
        <v/>
      </c>
      <c r="M2933" s="62" t="str">
        <f>IF(A2933="","",IFERROR(INDEX(fa_cname,MATCH(A2933,fa_num,0))&amp;"",""))</f>
        <v/>
      </c>
      <c r="N2933" s="59" t="str">
        <f>IF(COUNTA(A2933:G2933)=0,"",IF(A2933="","N° facture manquant",IF(ISNA(MATCH(A2933,fa_num,0)),"Facture inconnue",IF(AND(B2933&lt;&gt;"",ISNA(MATCH(B2933,pr_code,0))),"Article inconnu",IF(H2933="","Désignation manquante",IF(OR(NOT(ISNUMBER(D2933)),N(D2933)&lt;=0),"Quantité invalide",IF(J2933="","Prix manquant",IF(OR(NOT(ISNUMBER(J2933)),N(J2933)&lt;0),"Prix invalide",IF(OR(AND(F2933&lt;&gt;"",NOT(ISNUMBER(F2933))),N(F2933)&lt;0,N(F2933)&gt;1),"Remise invalide",IF(K2933="","Taux de TVA manquant",IF(NOT(ISNUMBER(K2933)),"Taux de TVA invalide",IF(COUNTIF(p_rates,K2933)=0,"Taux de TVA hors liste (Paramètres)",IF(N(O2933)&gt;25,"Au-delà de 25 lignes : non imprimée","OK")))))))))))))</f>
        <v/>
      </c>
      <c r="O2933" s="59" t="str">
        <f>IF(A2933="","",COUNTIF($A$6:A2933,A2933))</f>
        <v/>
      </c>
      <c r="P2933" s="62" t="str">
        <f>IF(A2933="","",A2933&amp;"|"&amp;O2933)</f>
        <v/>
      </c>
    </row>
    <row r="2934">
      <c r="A2934" s="60" t="n"/>
      <c r="B2934" s="63" t="n"/>
      <c r="C2934" s="63" t="n"/>
      <c r="D2934" s="67" t="n"/>
      <c r="E2934" s="68" t="n"/>
      <c r="F2934" s="69" t="n"/>
      <c r="G2934" s="70" t="n"/>
      <c r="H2934" s="62" t="str">
        <f>IF(COUNTA(A2934:G2934)=0,"",IF(C2934&lt;&gt;"",C2934,IF(B2934="","",IFERROR(INDEX(pr_des,MATCH(B2934,pr_code,0))&amp;"",""))))</f>
        <v/>
      </c>
      <c r="I2934" s="59" t="str">
        <f>IF(B2934="","",IFERROR(INDEX(pr_unit,MATCH(B2934,pr_code,0))&amp;"",""))</f>
        <v/>
      </c>
      <c r="J2934" s="65" t="str">
        <f>IF(COUNTA(A2934:G2934)=0,"",IF(E2934&lt;&gt;"",E2934,IF(B2934="","",IFERROR(IF(INDEX(pr_price,MATCH(B2934,pr_code,0))="","",INDEX(pr_price,MATCH(B2934,pr_code,0))),""))))</f>
        <v/>
      </c>
      <c r="K2934" s="71" t="str">
        <f>IF(COUNTA(A2934:G2934)=0,"",IF(G2934&lt;&gt;"",G2934,IF(B2934="","",IFERROR(IF(INDEX(pr_rate,MATCH(B2934,pr_code,0))="","",INDEX(pr_rate,MATCH(B2934,pr_code,0))),""))))</f>
        <v/>
      </c>
      <c r="L2934" s="65" t="str">
        <f>IF(COUNTA(A2934:G2934)=0,"",IF(AND(ISNUMBER(D2934),ISNUMBER(J2934)),ROUND(D2934*J2934*(1-N(F2934)),2),0))</f>
        <v/>
      </c>
      <c r="M2934" s="62" t="str">
        <f>IF(A2934="","",IFERROR(INDEX(fa_cname,MATCH(A2934,fa_num,0))&amp;"",""))</f>
        <v/>
      </c>
      <c r="N2934" s="59" t="str">
        <f>IF(COUNTA(A2934:G2934)=0,"",IF(A2934="","N° facture manquant",IF(ISNA(MATCH(A2934,fa_num,0)),"Facture inconnue",IF(AND(B2934&lt;&gt;"",ISNA(MATCH(B2934,pr_code,0))),"Article inconnu",IF(H2934="","Désignation manquante",IF(OR(NOT(ISNUMBER(D2934)),N(D2934)&lt;=0),"Quantité invalide",IF(J2934="","Prix manquant",IF(OR(NOT(ISNUMBER(J2934)),N(J2934)&lt;0),"Prix invalide",IF(OR(AND(F2934&lt;&gt;"",NOT(ISNUMBER(F2934))),N(F2934)&lt;0,N(F2934)&gt;1),"Remise invalide",IF(K2934="","Taux de TVA manquant",IF(NOT(ISNUMBER(K2934)),"Taux de TVA invalide",IF(COUNTIF(p_rates,K2934)=0,"Taux de TVA hors liste (Paramètres)",IF(N(O2934)&gt;25,"Au-delà de 25 lignes : non imprimée","OK")))))))))))))</f>
        <v/>
      </c>
      <c r="O2934" s="59" t="str">
        <f>IF(A2934="","",COUNTIF($A$6:A2934,A2934))</f>
        <v/>
      </c>
      <c r="P2934" s="62" t="str">
        <f>IF(A2934="","",A2934&amp;"|"&amp;O2934)</f>
        <v/>
      </c>
    </row>
    <row r="2935">
      <c r="A2935" s="60" t="n"/>
      <c r="B2935" s="63" t="n"/>
      <c r="C2935" s="63" t="n"/>
      <c r="D2935" s="67" t="n"/>
      <c r="E2935" s="68" t="n"/>
      <c r="F2935" s="69" t="n"/>
      <c r="G2935" s="70" t="n"/>
      <c r="H2935" s="62" t="str">
        <f>IF(COUNTA(A2935:G2935)=0,"",IF(C2935&lt;&gt;"",C2935,IF(B2935="","",IFERROR(INDEX(pr_des,MATCH(B2935,pr_code,0))&amp;"",""))))</f>
        <v/>
      </c>
      <c r="I2935" s="59" t="str">
        <f>IF(B2935="","",IFERROR(INDEX(pr_unit,MATCH(B2935,pr_code,0))&amp;"",""))</f>
        <v/>
      </c>
      <c r="J2935" s="65" t="str">
        <f>IF(COUNTA(A2935:G2935)=0,"",IF(E2935&lt;&gt;"",E2935,IF(B2935="","",IFERROR(IF(INDEX(pr_price,MATCH(B2935,pr_code,0))="","",INDEX(pr_price,MATCH(B2935,pr_code,0))),""))))</f>
        <v/>
      </c>
      <c r="K2935" s="71" t="str">
        <f>IF(COUNTA(A2935:G2935)=0,"",IF(G2935&lt;&gt;"",G2935,IF(B2935="","",IFERROR(IF(INDEX(pr_rate,MATCH(B2935,pr_code,0))="","",INDEX(pr_rate,MATCH(B2935,pr_code,0))),""))))</f>
        <v/>
      </c>
      <c r="L2935" s="65" t="str">
        <f>IF(COUNTA(A2935:G2935)=0,"",IF(AND(ISNUMBER(D2935),ISNUMBER(J2935)),ROUND(D2935*J2935*(1-N(F2935)),2),0))</f>
        <v/>
      </c>
      <c r="M2935" s="62" t="str">
        <f>IF(A2935="","",IFERROR(INDEX(fa_cname,MATCH(A2935,fa_num,0))&amp;"",""))</f>
        <v/>
      </c>
      <c r="N2935" s="59" t="str">
        <f>IF(COUNTA(A2935:G2935)=0,"",IF(A2935="","N° facture manquant",IF(ISNA(MATCH(A2935,fa_num,0)),"Facture inconnue",IF(AND(B2935&lt;&gt;"",ISNA(MATCH(B2935,pr_code,0))),"Article inconnu",IF(H2935="","Désignation manquante",IF(OR(NOT(ISNUMBER(D2935)),N(D2935)&lt;=0),"Quantité invalide",IF(J2935="","Prix manquant",IF(OR(NOT(ISNUMBER(J2935)),N(J2935)&lt;0),"Prix invalide",IF(OR(AND(F2935&lt;&gt;"",NOT(ISNUMBER(F2935))),N(F2935)&lt;0,N(F2935)&gt;1),"Remise invalide",IF(K2935="","Taux de TVA manquant",IF(NOT(ISNUMBER(K2935)),"Taux de TVA invalide",IF(COUNTIF(p_rates,K2935)=0,"Taux de TVA hors liste (Paramètres)",IF(N(O2935)&gt;25,"Au-delà de 25 lignes : non imprimée","OK")))))))))))))</f>
        <v/>
      </c>
      <c r="O2935" s="59" t="str">
        <f>IF(A2935="","",COUNTIF($A$6:A2935,A2935))</f>
        <v/>
      </c>
      <c r="P2935" s="62" t="str">
        <f>IF(A2935="","",A2935&amp;"|"&amp;O2935)</f>
        <v/>
      </c>
    </row>
    <row r="2936">
      <c r="A2936" s="60" t="n"/>
      <c r="B2936" s="63" t="n"/>
      <c r="C2936" s="63" t="n"/>
      <c r="D2936" s="67" t="n"/>
      <c r="E2936" s="68" t="n"/>
      <c r="F2936" s="69" t="n"/>
      <c r="G2936" s="70" t="n"/>
      <c r="H2936" s="62" t="str">
        <f>IF(COUNTA(A2936:G2936)=0,"",IF(C2936&lt;&gt;"",C2936,IF(B2936="","",IFERROR(INDEX(pr_des,MATCH(B2936,pr_code,0))&amp;"",""))))</f>
        <v/>
      </c>
      <c r="I2936" s="59" t="str">
        <f>IF(B2936="","",IFERROR(INDEX(pr_unit,MATCH(B2936,pr_code,0))&amp;"",""))</f>
        <v/>
      </c>
      <c r="J2936" s="65" t="str">
        <f>IF(COUNTA(A2936:G2936)=0,"",IF(E2936&lt;&gt;"",E2936,IF(B2936="","",IFERROR(IF(INDEX(pr_price,MATCH(B2936,pr_code,0))="","",INDEX(pr_price,MATCH(B2936,pr_code,0))),""))))</f>
        <v/>
      </c>
      <c r="K2936" s="71" t="str">
        <f>IF(COUNTA(A2936:G2936)=0,"",IF(G2936&lt;&gt;"",G2936,IF(B2936="","",IFERROR(IF(INDEX(pr_rate,MATCH(B2936,pr_code,0))="","",INDEX(pr_rate,MATCH(B2936,pr_code,0))),""))))</f>
        <v/>
      </c>
      <c r="L2936" s="65" t="str">
        <f>IF(COUNTA(A2936:G2936)=0,"",IF(AND(ISNUMBER(D2936),ISNUMBER(J2936)),ROUND(D2936*J2936*(1-N(F2936)),2),0))</f>
        <v/>
      </c>
      <c r="M2936" s="62" t="str">
        <f>IF(A2936="","",IFERROR(INDEX(fa_cname,MATCH(A2936,fa_num,0))&amp;"",""))</f>
        <v/>
      </c>
      <c r="N2936" s="59" t="str">
        <f>IF(COUNTA(A2936:G2936)=0,"",IF(A2936="","N° facture manquant",IF(ISNA(MATCH(A2936,fa_num,0)),"Facture inconnue",IF(AND(B2936&lt;&gt;"",ISNA(MATCH(B2936,pr_code,0))),"Article inconnu",IF(H2936="","Désignation manquante",IF(OR(NOT(ISNUMBER(D2936)),N(D2936)&lt;=0),"Quantité invalide",IF(J2936="","Prix manquant",IF(OR(NOT(ISNUMBER(J2936)),N(J2936)&lt;0),"Prix invalide",IF(OR(AND(F2936&lt;&gt;"",NOT(ISNUMBER(F2936))),N(F2936)&lt;0,N(F2936)&gt;1),"Remise invalide",IF(K2936="","Taux de TVA manquant",IF(NOT(ISNUMBER(K2936)),"Taux de TVA invalide",IF(COUNTIF(p_rates,K2936)=0,"Taux de TVA hors liste (Paramètres)",IF(N(O2936)&gt;25,"Au-delà de 25 lignes : non imprimée","OK")))))))))))))</f>
        <v/>
      </c>
      <c r="O2936" s="59" t="str">
        <f>IF(A2936="","",COUNTIF($A$6:A2936,A2936))</f>
        <v/>
      </c>
      <c r="P2936" s="62" t="str">
        <f>IF(A2936="","",A2936&amp;"|"&amp;O2936)</f>
        <v/>
      </c>
    </row>
    <row r="2937">
      <c r="A2937" s="60" t="n"/>
      <c r="B2937" s="63" t="n"/>
      <c r="C2937" s="63" t="n"/>
      <c r="D2937" s="67" t="n"/>
      <c r="E2937" s="68" t="n"/>
      <c r="F2937" s="69" t="n"/>
      <c r="G2937" s="70" t="n"/>
      <c r="H2937" s="62" t="str">
        <f>IF(COUNTA(A2937:G2937)=0,"",IF(C2937&lt;&gt;"",C2937,IF(B2937="","",IFERROR(INDEX(pr_des,MATCH(B2937,pr_code,0))&amp;"",""))))</f>
        <v/>
      </c>
      <c r="I2937" s="59" t="str">
        <f>IF(B2937="","",IFERROR(INDEX(pr_unit,MATCH(B2937,pr_code,0))&amp;"",""))</f>
        <v/>
      </c>
      <c r="J2937" s="65" t="str">
        <f>IF(COUNTA(A2937:G2937)=0,"",IF(E2937&lt;&gt;"",E2937,IF(B2937="","",IFERROR(IF(INDEX(pr_price,MATCH(B2937,pr_code,0))="","",INDEX(pr_price,MATCH(B2937,pr_code,0))),""))))</f>
        <v/>
      </c>
      <c r="K2937" s="71" t="str">
        <f>IF(COUNTA(A2937:G2937)=0,"",IF(G2937&lt;&gt;"",G2937,IF(B2937="","",IFERROR(IF(INDEX(pr_rate,MATCH(B2937,pr_code,0))="","",INDEX(pr_rate,MATCH(B2937,pr_code,0))),""))))</f>
        <v/>
      </c>
      <c r="L2937" s="65" t="str">
        <f>IF(COUNTA(A2937:G2937)=0,"",IF(AND(ISNUMBER(D2937),ISNUMBER(J2937)),ROUND(D2937*J2937*(1-N(F2937)),2),0))</f>
        <v/>
      </c>
      <c r="M2937" s="62" t="str">
        <f>IF(A2937="","",IFERROR(INDEX(fa_cname,MATCH(A2937,fa_num,0))&amp;"",""))</f>
        <v/>
      </c>
      <c r="N2937" s="59" t="str">
        <f>IF(COUNTA(A2937:G2937)=0,"",IF(A2937="","N° facture manquant",IF(ISNA(MATCH(A2937,fa_num,0)),"Facture inconnue",IF(AND(B2937&lt;&gt;"",ISNA(MATCH(B2937,pr_code,0))),"Article inconnu",IF(H2937="","Désignation manquante",IF(OR(NOT(ISNUMBER(D2937)),N(D2937)&lt;=0),"Quantité invalide",IF(J2937="","Prix manquant",IF(OR(NOT(ISNUMBER(J2937)),N(J2937)&lt;0),"Prix invalide",IF(OR(AND(F2937&lt;&gt;"",NOT(ISNUMBER(F2937))),N(F2937)&lt;0,N(F2937)&gt;1),"Remise invalide",IF(K2937="","Taux de TVA manquant",IF(NOT(ISNUMBER(K2937)),"Taux de TVA invalide",IF(COUNTIF(p_rates,K2937)=0,"Taux de TVA hors liste (Paramètres)",IF(N(O2937)&gt;25,"Au-delà de 25 lignes : non imprimée","OK")))))))))))))</f>
        <v/>
      </c>
      <c r="O2937" s="59" t="str">
        <f>IF(A2937="","",COUNTIF($A$6:A2937,A2937))</f>
        <v/>
      </c>
      <c r="P2937" s="62" t="str">
        <f>IF(A2937="","",A2937&amp;"|"&amp;O2937)</f>
        <v/>
      </c>
    </row>
    <row r="2938">
      <c r="A2938" s="60" t="n"/>
      <c r="B2938" s="63" t="n"/>
      <c r="C2938" s="63" t="n"/>
      <c r="D2938" s="67" t="n"/>
      <c r="E2938" s="68" t="n"/>
      <c r="F2938" s="69" t="n"/>
      <c r="G2938" s="70" t="n"/>
      <c r="H2938" s="62" t="str">
        <f>IF(COUNTA(A2938:G2938)=0,"",IF(C2938&lt;&gt;"",C2938,IF(B2938="","",IFERROR(INDEX(pr_des,MATCH(B2938,pr_code,0))&amp;"",""))))</f>
        <v/>
      </c>
      <c r="I2938" s="59" t="str">
        <f>IF(B2938="","",IFERROR(INDEX(pr_unit,MATCH(B2938,pr_code,0))&amp;"",""))</f>
        <v/>
      </c>
      <c r="J2938" s="65" t="str">
        <f>IF(COUNTA(A2938:G2938)=0,"",IF(E2938&lt;&gt;"",E2938,IF(B2938="","",IFERROR(IF(INDEX(pr_price,MATCH(B2938,pr_code,0))="","",INDEX(pr_price,MATCH(B2938,pr_code,0))),""))))</f>
        <v/>
      </c>
      <c r="K2938" s="71" t="str">
        <f>IF(COUNTA(A2938:G2938)=0,"",IF(G2938&lt;&gt;"",G2938,IF(B2938="","",IFERROR(IF(INDEX(pr_rate,MATCH(B2938,pr_code,0))="","",INDEX(pr_rate,MATCH(B2938,pr_code,0))),""))))</f>
        <v/>
      </c>
      <c r="L2938" s="65" t="str">
        <f>IF(COUNTA(A2938:G2938)=0,"",IF(AND(ISNUMBER(D2938),ISNUMBER(J2938)),ROUND(D2938*J2938*(1-N(F2938)),2),0))</f>
        <v/>
      </c>
      <c r="M2938" s="62" t="str">
        <f>IF(A2938="","",IFERROR(INDEX(fa_cname,MATCH(A2938,fa_num,0))&amp;"",""))</f>
        <v/>
      </c>
      <c r="N2938" s="59" t="str">
        <f>IF(COUNTA(A2938:G2938)=0,"",IF(A2938="","N° facture manquant",IF(ISNA(MATCH(A2938,fa_num,0)),"Facture inconnue",IF(AND(B2938&lt;&gt;"",ISNA(MATCH(B2938,pr_code,0))),"Article inconnu",IF(H2938="","Désignation manquante",IF(OR(NOT(ISNUMBER(D2938)),N(D2938)&lt;=0),"Quantité invalide",IF(J2938="","Prix manquant",IF(OR(NOT(ISNUMBER(J2938)),N(J2938)&lt;0),"Prix invalide",IF(OR(AND(F2938&lt;&gt;"",NOT(ISNUMBER(F2938))),N(F2938)&lt;0,N(F2938)&gt;1),"Remise invalide",IF(K2938="","Taux de TVA manquant",IF(NOT(ISNUMBER(K2938)),"Taux de TVA invalide",IF(COUNTIF(p_rates,K2938)=0,"Taux de TVA hors liste (Paramètres)",IF(N(O2938)&gt;25,"Au-delà de 25 lignes : non imprimée","OK")))))))))))))</f>
        <v/>
      </c>
      <c r="O2938" s="59" t="str">
        <f>IF(A2938="","",COUNTIF($A$6:A2938,A2938))</f>
        <v/>
      </c>
      <c r="P2938" s="62" t="str">
        <f>IF(A2938="","",A2938&amp;"|"&amp;O2938)</f>
        <v/>
      </c>
    </row>
    <row r="2939">
      <c r="A2939" s="60" t="n"/>
      <c r="B2939" s="63" t="n"/>
      <c r="C2939" s="63" t="n"/>
      <c r="D2939" s="67" t="n"/>
      <c r="E2939" s="68" t="n"/>
      <c r="F2939" s="69" t="n"/>
      <c r="G2939" s="70" t="n"/>
      <c r="H2939" s="62" t="str">
        <f>IF(COUNTA(A2939:G2939)=0,"",IF(C2939&lt;&gt;"",C2939,IF(B2939="","",IFERROR(INDEX(pr_des,MATCH(B2939,pr_code,0))&amp;"",""))))</f>
        <v/>
      </c>
      <c r="I2939" s="59" t="str">
        <f>IF(B2939="","",IFERROR(INDEX(pr_unit,MATCH(B2939,pr_code,0))&amp;"",""))</f>
        <v/>
      </c>
      <c r="J2939" s="65" t="str">
        <f>IF(COUNTA(A2939:G2939)=0,"",IF(E2939&lt;&gt;"",E2939,IF(B2939="","",IFERROR(IF(INDEX(pr_price,MATCH(B2939,pr_code,0))="","",INDEX(pr_price,MATCH(B2939,pr_code,0))),""))))</f>
        <v/>
      </c>
      <c r="K2939" s="71" t="str">
        <f>IF(COUNTA(A2939:G2939)=0,"",IF(G2939&lt;&gt;"",G2939,IF(B2939="","",IFERROR(IF(INDEX(pr_rate,MATCH(B2939,pr_code,0))="","",INDEX(pr_rate,MATCH(B2939,pr_code,0))),""))))</f>
        <v/>
      </c>
      <c r="L2939" s="65" t="str">
        <f>IF(COUNTA(A2939:G2939)=0,"",IF(AND(ISNUMBER(D2939),ISNUMBER(J2939)),ROUND(D2939*J2939*(1-N(F2939)),2),0))</f>
        <v/>
      </c>
      <c r="M2939" s="62" t="str">
        <f>IF(A2939="","",IFERROR(INDEX(fa_cname,MATCH(A2939,fa_num,0))&amp;"",""))</f>
        <v/>
      </c>
      <c r="N2939" s="59" t="str">
        <f>IF(COUNTA(A2939:G2939)=0,"",IF(A2939="","N° facture manquant",IF(ISNA(MATCH(A2939,fa_num,0)),"Facture inconnue",IF(AND(B2939&lt;&gt;"",ISNA(MATCH(B2939,pr_code,0))),"Article inconnu",IF(H2939="","Désignation manquante",IF(OR(NOT(ISNUMBER(D2939)),N(D2939)&lt;=0),"Quantité invalide",IF(J2939="","Prix manquant",IF(OR(NOT(ISNUMBER(J2939)),N(J2939)&lt;0),"Prix invalide",IF(OR(AND(F2939&lt;&gt;"",NOT(ISNUMBER(F2939))),N(F2939)&lt;0,N(F2939)&gt;1),"Remise invalide",IF(K2939="","Taux de TVA manquant",IF(NOT(ISNUMBER(K2939)),"Taux de TVA invalide",IF(COUNTIF(p_rates,K2939)=0,"Taux de TVA hors liste (Paramètres)",IF(N(O2939)&gt;25,"Au-delà de 25 lignes : non imprimée","OK")))))))))))))</f>
        <v/>
      </c>
      <c r="O2939" s="59" t="str">
        <f>IF(A2939="","",COUNTIF($A$6:A2939,A2939))</f>
        <v/>
      </c>
      <c r="P2939" s="62" t="str">
        <f>IF(A2939="","",A2939&amp;"|"&amp;O2939)</f>
        <v/>
      </c>
    </row>
    <row r="2940">
      <c r="A2940" s="60" t="n"/>
      <c r="B2940" s="63" t="n"/>
      <c r="C2940" s="63" t="n"/>
      <c r="D2940" s="67" t="n"/>
      <c r="E2940" s="68" t="n"/>
      <c r="F2940" s="69" t="n"/>
      <c r="G2940" s="70" t="n"/>
      <c r="H2940" s="62" t="str">
        <f>IF(COUNTA(A2940:G2940)=0,"",IF(C2940&lt;&gt;"",C2940,IF(B2940="","",IFERROR(INDEX(pr_des,MATCH(B2940,pr_code,0))&amp;"",""))))</f>
        <v/>
      </c>
      <c r="I2940" s="59" t="str">
        <f>IF(B2940="","",IFERROR(INDEX(pr_unit,MATCH(B2940,pr_code,0))&amp;"",""))</f>
        <v/>
      </c>
      <c r="J2940" s="65" t="str">
        <f>IF(COUNTA(A2940:G2940)=0,"",IF(E2940&lt;&gt;"",E2940,IF(B2940="","",IFERROR(IF(INDEX(pr_price,MATCH(B2940,pr_code,0))="","",INDEX(pr_price,MATCH(B2940,pr_code,0))),""))))</f>
        <v/>
      </c>
      <c r="K2940" s="71" t="str">
        <f>IF(COUNTA(A2940:G2940)=0,"",IF(G2940&lt;&gt;"",G2940,IF(B2940="","",IFERROR(IF(INDEX(pr_rate,MATCH(B2940,pr_code,0))="","",INDEX(pr_rate,MATCH(B2940,pr_code,0))),""))))</f>
        <v/>
      </c>
      <c r="L2940" s="65" t="str">
        <f>IF(COUNTA(A2940:G2940)=0,"",IF(AND(ISNUMBER(D2940),ISNUMBER(J2940)),ROUND(D2940*J2940*(1-N(F2940)),2),0))</f>
        <v/>
      </c>
      <c r="M2940" s="62" t="str">
        <f>IF(A2940="","",IFERROR(INDEX(fa_cname,MATCH(A2940,fa_num,0))&amp;"",""))</f>
        <v/>
      </c>
      <c r="N2940" s="59" t="str">
        <f>IF(COUNTA(A2940:G2940)=0,"",IF(A2940="","N° facture manquant",IF(ISNA(MATCH(A2940,fa_num,0)),"Facture inconnue",IF(AND(B2940&lt;&gt;"",ISNA(MATCH(B2940,pr_code,0))),"Article inconnu",IF(H2940="","Désignation manquante",IF(OR(NOT(ISNUMBER(D2940)),N(D2940)&lt;=0),"Quantité invalide",IF(J2940="","Prix manquant",IF(OR(NOT(ISNUMBER(J2940)),N(J2940)&lt;0),"Prix invalide",IF(OR(AND(F2940&lt;&gt;"",NOT(ISNUMBER(F2940))),N(F2940)&lt;0,N(F2940)&gt;1),"Remise invalide",IF(K2940="","Taux de TVA manquant",IF(NOT(ISNUMBER(K2940)),"Taux de TVA invalide",IF(COUNTIF(p_rates,K2940)=0,"Taux de TVA hors liste (Paramètres)",IF(N(O2940)&gt;25,"Au-delà de 25 lignes : non imprimée","OK")))))))))))))</f>
        <v/>
      </c>
      <c r="O2940" s="59" t="str">
        <f>IF(A2940="","",COUNTIF($A$6:A2940,A2940))</f>
        <v/>
      </c>
      <c r="P2940" s="62" t="str">
        <f>IF(A2940="","",A2940&amp;"|"&amp;O2940)</f>
        <v/>
      </c>
    </row>
    <row r="2941">
      <c r="A2941" s="60" t="n"/>
      <c r="B2941" s="63" t="n"/>
      <c r="C2941" s="63" t="n"/>
      <c r="D2941" s="67" t="n"/>
      <c r="E2941" s="68" t="n"/>
      <c r="F2941" s="69" t="n"/>
      <c r="G2941" s="70" t="n"/>
      <c r="H2941" s="62" t="str">
        <f>IF(COUNTA(A2941:G2941)=0,"",IF(C2941&lt;&gt;"",C2941,IF(B2941="","",IFERROR(INDEX(pr_des,MATCH(B2941,pr_code,0))&amp;"",""))))</f>
        <v/>
      </c>
      <c r="I2941" s="59" t="str">
        <f>IF(B2941="","",IFERROR(INDEX(pr_unit,MATCH(B2941,pr_code,0))&amp;"",""))</f>
        <v/>
      </c>
      <c r="J2941" s="65" t="str">
        <f>IF(COUNTA(A2941:G2941)=0,"",IF(E2941&lt;&gt;"",E2941,IF(B2941="","",IFERROR(IF(INDEX(pr_price,MATCH(B2941,pr_code,0))="","",INDEX(pr_price,MATCH(B2941,pr_code,0))),""))))</f>
        <v/>
      </c>
      <c r="K2941" s="71" t="str">
        <f>IF(COUNTA(A2941:G2941)=0,"",IF(G2941&lt;&gt;"",G2941,IF(B2941="","",IFERROR(IF(INDEX(pr_rate,MATCH(B2941,pr_code,0))="","",INDEX(pr_rate,MATCH(B2941,pr_code,0))),""))))</f>
        <v/>
      </c>
      <c r="L2941" s="65" t="str">
        <f>IF(COUNTA(A2941:G2941)=0,"",IF(AND(ISNUMBER(D2941),ISNUMBER(J2941)),ROUND(D2941*J2941*(1-N(F2941)),2),0))</f>
        <v/>
      </c>
      <c r="M2941" s="62" t="str">
        <f>IF(A2941="","",IFERROR(INDEX(fa_cname,MATCH(A2941,fa_num,0))&amp;"",""))</f>
        <v/>
      </c>
      <c r="N2941" s="59" t="str">
        <f>IF(COUNTA(A2941:G2941)=0,"",IF(A2941="","N° facture manquant",IF(ISNA(MATCH(A2941,fa_num,0)),"Facture inconnue",IF(AND(B2941&lt;&gt;"",ISNA(MATCH(B2941,pr_code,0))),"Article inconnu",IF(H2941="","Désignation manquante",IF(OR(NOT(ISNUMBER(D2941)),N(D2941)&lt;=0),"Quantité invalide",IF(J2941="","Prix manquant",IF(OR(NOT(ISNUMBER(J2941)),N(J2941)&lt;0),"Prix invalide",IF(OR(AND(F2941&lt;&gt;"",NOT(ISNUMBER(F2941))),N(F2941)&lt;0,N(F2941)&gt;1),"Remise invalide",IF(K2941="","Taux de TVA manquant",IF(NOT(ISNUMBER(K2941)),"Taux de TVA invalide",IF(COUNTIF(p_rates,K2941)=0,"Taux de TVA hors liste (Paramètres)",IF(N(O2941)&gt;25,"Au-delà de 25 lignes : non imprimée","OK")))))))))))))</f>
        <v/>
      </c>
      <c r="O2941" s="59" t="str">
        <f>IF(A2941="","",COUNTIF($A$6:A2941,A2941))</f>
        <v/>
      </c>
      <c r="P2941" s="62" t="str">
        <f>IF(A2941="","",A2941&amp;"|"&amp;O2941)</f>
        <v/>
      </c>
    </row>
    <row r="2942">
      <c r="A2942" s="60" t="n"/>
      <c r="B2942" s="63" t="n"/>
      <c r="C2942" s="63" t="n"/>
      <c r="D2942" s="67" t="n"/>
      <c r="E2942" s="68" t="n"/>
      <c r="F2942" s="69" t="n"/>
      <c r="G2942" s="70" t="n"/>
      <c r="H2942" s="62" t="str">
        <f>IF(COUNTA(A2942:G2942)=0,"",IF(C2942&lt;&gt;"",C2942,IF(B2942="","",IFERROR(INDEX(pr_des,MATCH(B2942,pr_code,0))&amp;"",""))))</f>
        <v/>
      </c>
      <c r="I2942" s="59" t="str">
        <f>IF(B2942="","",IFERROR(INDEX(pr_unit,MATCH(B2942,pr_code,0))&amp;"",""))</f>
        <v/>
      </c>
      <c r="J2942" s="65" t="str">
        <f>IF(COUNTA(A2942:G2942)=0,"",IF(E2942&lt;&gt;"",E2942,IF(B2942="","",IFERROR(IF(INDEX(pr_price,MATCH(B2942,pr_code,0))="","",INDEX(pr_price,MATCH(B2942,pr_code,0))),""))))</f>
        <v/>
      </c>
      <c r="K2942" s="71" t="str">
        <f>IF(COUNTA(A2942:G2942)=0,"",IF(G2942&lt;&gt;"",G2942,IF(B2942="","",IFERROR(IF(INDEX(pr_rate,MATCH(B2942,pr_code,0))="","",INDEX(pr_rate,MATCH(B2942,pr_code,0))),""))))</f>
        <v/>
      </c>
      <c r="L2942" s="65" t="str">
        <f>IF(COUNTA(A2942:G2942)=0,"",IF(AND(ISNUMBER(D2942),ISNUMBER(J2942)),ROUND(D2942*J2942*(1-N(F2942)),2),0))</f>
        <v/>
      </c>
      <c r="M2942" s="62" t="str">
        <f>IF(A2942="","",IFERROR(INDEX(fa_cname,MATCH(A2942,fa_num,0))&amp;"",""))</f>
        <v/>
      </c>
      <c r="N2942" s="59" t="str">
        <f>IF(COUNTA(A2942:G2942)=0,"",IF(A2942="","N° facture manquant",IF(ISNA(MATCH(A2942,fa_num,0)),"Facture inconnue",IF(AND(B2942&lt;&gt;"",ISNA(MATCH(B2942,pr_code,0))),"Article inconnu",IF(H2942="","Désignation manquante",IF(OR(NOT(ISNUMBER(D2942)),N(D2942)&lt;=0),"Quantité invalide",IF(J2942="","Prix manquant",IF(OR(NOT(ISNUMBER(J2942)),N(J2942)&lt;0),"Prix invalide",IF(OR(AND(F2942&lt;&gt;"",NOT(ISNUMBER(F2942))),N(F2942)&lt;0,N(F2942)&gt;1),"Remise invalide",IF(K2942="","Taux de TVA manquant",IF(NOT(ISNUMBER(K2942)),"Taux de TVA invalide",IF(COUNTIF(p_rates,K2942)=0,"Taux de TVA hors liste (Paramètres)",IF(N(O2942)&gt;25,"Au-delà de 25 lignes : non imprimée","OK")))))))))))))</f>
        <v/>
      </c>
      <c r="O2942" s="59" t="str">
        <f>IF(A2942="","",COUNTIF($A$6:A2942,A2942))</f>
        <v/>
      </c>
      <c r="P2942" s="62" t="str">
        <f>IF(A2942="","",A2942&amp;"|"&amp;O2942)</f>
        <v/>
      </c>
    </row>
    <row r="2943">
      <c r="A2943" s="60" t="n"/>
      <c r="B2943" s="63" t="n"/>
      <c r="C2943" s="63" t="n"/>
      <c r="D2943" s="67" t="n"/>
      <c r="E2943" s="68" t="n"/>
      <c r="F2943" s="69" t="n"/>
      <c r="G2943" s="70" t="n"/>
      <c r="H2943" s="62" t="str">
        <f>IF(COUNTA(A2943:G2943)=0,"",IF(C2943&lt;&gt;"",C2943,IF(B2943="","",IFERROR(INDEX(pr_des,MATCH(B2943,pr_code,0))&amp;"",""))))</f>
        <v/>
      </c>
      <c r="I2943" s="59" t="str">
        <f>IF(B2943="","",IFERROR(INDEX(pr_unit,MATCH(B2943,pr_code,0))&amp;"",""))</f>
        <v/>
      </c>
      <c r="J2943" s="65" t="str">
        <f>IF(COUNTA(A2943:G2943)=0,"",IF(E2943&lt;&gt;"",E2943,IF(B2943="","",IFERROR(IF(INDEX(pr_price,MATCH(B2943,pr_code,0))="","",INDEX(pr_price,MATCH(B2943,pr_code,0))),""))))</f>
        <v/>
      </c>
      <c r="K2943" s="71" t="str">
        <f>IF(COUNTA(A2943:G2943)=0,"",IF(G2943&lt;&gt;"",G2943,IF(B2943="","",IFERROR(IF(INDEX(pr_rate,MATCH(B2943,pr_code,0))="","",INDEX(pr_rate,MATCH(B2943,pr_code,0))),""))))</f>
        <v/>
      </c>
      <c r="L2943" s="65" t="str">
        <f>IF(COUNTA(A2943:G2943)=0,"",IF(AND(ISNUMBER(D2943),ISNUMBER(J2943)),ROUND(D2943*J2943*(1-N(F2943)),2),0))</f>
        <v/>
      </c>
      <c r="M2943" s="62" t="str">
        <f>IF(A2943="","",IFERROR(INDEX(fa_cname,MATCH(A2943,fa_num,0))&amp;"",""))</f>
        <v/>
      </c>
      <c r="N2943" s="59" t="str">
        <f>IF(COUNTA(A2943:G2943)=0,"",IF(A2943="","N° facture manquant",IF(ISNA(MATCH(A2943,fa_num,0)),"Facture inconnue",IF(AND(B2943&lt;&gt;"",ISNA(MATCH(B2943,pr_code,0))),"Article inconnu",IF(H2943="","Désignation manquante",IF(OR(NOT(ISNUMBER(D2943)),N(D2943)&lt;=0),"Quantité invalide",IF(J2943="","Prix manquant",IF(OR(NOT(ISNUMBER(J2943)),N(J2943)&lt;0),"Prix invalide",IF(OR(AND(F2943&lt;&gt;"",NOT(ISNUMBER(F2943))),N(F2943)&lt;0,N(F2943)&gt;1),"Remise invalide",IF(K2943="","Taux de TVA manquant",IF(NOT(ISNUMBER(K2943)),"Taux de TVA invalide",IF(COUNTIF(p_rates,K2943)=0,"Taux de TVA hors liste (Paramètres)",IF(N(O2943)&gt;25,"Au-delà de 25 lignes : non imprimée","OK")))))))))))))</f>
        <v/>
      </c>
      <c r="O2943" s="59" t="str">
        <f>IF(A2943="","",COUNTIF($A$6:A2943,A2943))</f>
        <v/>
      </c>
      <c r="P2943" s="62" t="str">
        <f>IF(A2943="","",A2943&amp;"|"&amp;O2943)</f>
        <v/>
      </c>
    </row>
    <row r="2944">
      <c r="A2944" s="60" t="n"/>
      <c r="B2944" s="63" t="n"/>
      <c r="C2944" s="63" t="n"/>
      <c r="D2944" s="67" t="n"/>
      <c r="E2944" s="68" t="n"/>
      <c r="F2944" s="69" t="n"/>
      <c r="G2944" s="70" t="n"/>
      <c r="H2944" s="62" t="str">
        <f>IF(COUNTA(A2944:G2944)=0,"",IF(C2944&lt;&gt;"",C2944,IF(B2944="","",IFERROR(INDEX(pr_des,MATCH(B2944,pr_code,0))&amp;"",""))))</f>
        <v/>
      </c>
      <c r="I2944" s="59" t="str">
        <f>IF(B2944="","",IFERROR(INDEX(pr_unit,MATCH(B2944,pr_code,0))&amp;"",""))</f>
        <v/>
      </c>
      <c r="J2944" s="65" t="str">
        <f>IF(COUNTA(A2944:G2944)=0,"",IF(E2944&lt;&gt;"",E2944,IF(B2944="","",IFERROR(IF(INDEX(pr_price,MATCH(B2944,pr_code,0))="","",INDEX(pr_price,MATCH(B2944,pr_code,0))),""))))</f>
        <v/>
      </c>
      <c r="K2944" s="71" t="str">
        <f>IF(COUNTA(A2944:G2944)=0,"",IF(G2944&lt;&gt;"",G2944,IF(B2944="","",IFERROR(IF(INDEX(pr_rate,MATCH(B2944,pr_code,0))="","",INDEX(pr_rate,MATCH(B2944,pr_code,0))),""))))</f>
        <v/>
      </c>
      <c r="L2944" s="65" t="str">
        <f>IF(COUNTA(A2944:G2944)=0,"",IF(AND(ISNUMBER(D2944),ISNUMBER(J2944)),ROUND(D2944*J2944*(1-N(F2944)),2),0))</f>
        <v/>
      </c>
      <c r="M2944" s="62" t="str">
        <f>IF(A2944="","",IFERROR(INDEX(fa_cname,MATCH(A2944,fa_num,0))&amp;"",""))</f>
        <v/>
      </c>
      <c r="N2944" s="59" t="str">
        <f>IF(COUNTA(A2944:G2944)=0,"",IF(A2944="","N° facture manquant",IF(ISNA(MATCH(A2944,fa_num,0)),"Facture inconnue",IF(AND(B2944&lt;&gt;"",ISNA(MATCH(B2944,pr_code,0))),"Article inconnu",IF(H2944="","Désignation manquante",IF(OR(NOT(ISNUMBER(D2944)),N(D2944)&lt;=0),"Quantité invalide",IF(J2944="","Prix manquant",IF(OR(NOT(ISNUMBER(J2944)),N(J2944)&lt;0),"Prix invalide",IF(OR(AND(F2944&lt;&gt;"",NOT(ISNUMBER(F2944))),N(F2944)&lt;0,N(F2944)&gt;1),"Remise invalide",IF(K2944="","Taux de TVA manquant",IF(NOT(ISNUMBER(K2944)),"Taux de TVA invalide",IF(COUNTIF(p_rates,K2944)=0,"Taux de TVA hors liste (Paramètres)",IF(N(O2944)&gt;25,"Au-delà de 25 lignes : non imprimée","OK")))))))))))))</f>
        <v/>
      </c>
      <c r="O2944" s="59" t="str">
        <f>IF(A2944="","",COUNTIF($A$6:A2944,A2944))</f>
        <v/>
      </c>
      <c r="P2944" s="62" t="str">
        <f>IF(A2944="","",A2944&amp;"|"&amp;O2944)</f>
        <v/>
      </c>
    </row>
    <row r="2945">
      <c r="A2945" s="60" t="n"/>
      <c r="B2945" s="63" t="n"/>
      <c r="C2945" s="63" t="n"/>
      <c r="D2945" s="67" t="n"/>
      <c r="E2945" s="68" t="n"/>
      <c r="F2945" s="69" t="n"/>
      <c r="G2945" s="70" t="n"/>
      <c r="H2945" s="62" t="str">
        <f>IF(COUNTA(A2945:G2945)=0,"",IF(C2945&lt;&gt;"",C2945,IF(B2945="","",IFERROR(INDEX(pr_des,MATCH(B2945,pr_code,0))&amp;"",""))))</f>
        <v/>
      </c>
      <c r="I2945" s="59" t="str">
        <f>IF(B2945="","",IFERROR(INDEX(pr_unit,MATCH(B2945,pr_code,0))&amp;"",""))</f>
        <v/>
      </c>
      <c r="J2945" s="65" t="str">
        <f>IF(COUNTA(A2945:G2945)=0,"",IF(E2945&lt;&gt;"",E2945,IF(B2945="","",IFERROR(IF(INDEX(pr_price,MATCH(B2945,pr_code,0))="","",INDEX(pr_price,MATCH(B2945,pr_code,0))),""))))</f>
        <v/>
      </c>
      <c r="K2945" s="71" t="str">
        <f>IF(COUNTA(A2945:G2945)=0,"",IF(G2945&lt;&gt;"",G2945,IF(B2945="","",IFERROR(IF(INDEX(pr_rate,MATCH(B2945,pr_code,0))="","",INDEX(pr_rate,MATCH(B2945,pr_code,0))),""))))</f>
        <v/>
      </c>
      <c r="L2945" s="65" t="str">
        <f>IF(COUNTA(A2945:G2945)=0,"",IF(AND(ISNUMBER(D2945),ISNUMBER(J2945)),ROUND(D2945*J2945*(1-N(F2945)),2),0))</f>
        <v/>
      </c>
      <c r="M2945" s="62" t="str">
        <f>IF(A2945="","",IFERROR(INDEX(fa_cname,MATCH(A2945,fa_num,0))&amp;"",""))</f>
        <v/>
      </c>
      <c r="N2945" s="59" t="str">
        <f>IF(COUNTA(A2945:G2945)=0,"",IF(A2945="","N° facture manquant",IF(ISNA(MATCH(A2945,fa_num,0)),"Facture inconnue",IF(AND(B2945&lt;&gt;"",ISNA(MATCH(B2945,pr_code,0))),"Article inconnu",IF(H2945="","Désignation manquante",IF(OR(NOT(ISNUMBER(D2945)),N(D2945)&lt;=0),"Quantité invalide",IF(J2945="","Prix manquant",IF(OR(NOT(ISNUMBER(J2945)),N(J2945)&lt;0),"Prix invalide",IF(OR(AND(F2945&lt;&gt;"",NOT(ISNUMBER(F2945))),N(F2945)&lt;0,N(F2945)&gt;1),"Remise invalide",IF(K2945="","Taux de TVA manquant",IF(NOT(ISNUMBER(K2945)),"Taux de TVA invalide",IF(COUNTIF(p_rates,K2945)=0,"Taux de TVA hors liste (Paramètres)",IF(N(O2945)&gt;25,"Au-delà de 25 lignes : non imprimée","OK")))))))))))))</f>
        <v/>
      </c>
      <c r="O2945" s="59" t="str">
        <f>IF(A2945="","",COUNTIF($A$6:A2945,A2945))</f>
        <v/>
      </c>
      <c r="P2945" s="62" t="str">
        <f>IF(A2945="","",A2945&amp;"|"&amp;O2945)</f>
        <v/>
      </c>
    </row>
    <row r="2946">
      <c r="A2946" s="60" t="n"/>
      <c r="B2946" s="63" t="n"/>
      <c r="C2946" s="63" t="n"/>
      <c r="D2946" s="67" t="n"/>
      <c r="E2946" s="68" t="n"/>
      <c r="F2946" s="69" t="n"/>
      <c r="G2946" s="70" t="n"/>
      <c r="H2946" s="62" t="str">
        <f>IF(COUNTA(A2946:G2946)=0,"",IF(C2946&lt;&gt;"",C2946,IF(B2946="","",IFERROR(INDEX(pr_des,MATCH(B2946,pr_code,0))&amp;"",""))))</f>
        <v/>
      </c>
      <c r="I2946" s="59" t="str">
        <f>IF(B2946="","",IFERROR(INDEX(pr_unit,MATCH(B2946,pr_code,0))&amp;"",""))</f>
        <v/>
      </c>
      <c r="J2946" s="65" t="str">
        <f>IF(COUNTA(A2946:G2946)=0,"",IF(E2946&lt;&gt;"",E2946,IF(B2946="","",IFERROR(IF(INDEX(pr_price,MATCH(B2946,pr_code,0))="","",INDEX(pr_price,MATCH(B2946,pr_code,0))),""))))</f>
        <v/>
      </c>
      <c r="K2946" s="71" t="str">
        <f>IF(COUNTA(A2946:G2946)=0,"",IF(G2946&lt;&gt;"",G2946,IF(B2946="","",IFERROR(IF(INDEX(pr_rate,MATCH(B2946,pr_code,0))="","",INDEX(pr_rate,MATCH(B2946,pr_code,0))),""))))</f>
        <v/>
      </c>
      <c r="L2946" s="65" t="str">
        <f>IF(COUNTA(A2946:G2946)=0,"",IF(AND(ISNUMBER(D2946),ISNUMBER(J2946)),ROUND(D2946*J2946*(1-N(F2946)),2),0))</f>
        <v/>
      </c>
      <c r="M2946" s="62" t="str">
        <f>IF(A2946="","",IFERROR(INDEX(fa_cname,MATCH(A2946,fa_num,0))&amp;"",""))</f>
        <v/>
      </c>
      <c r="N2946" s="59" t="str">
        <f>IF(COUNTA(A2946:G2946)=0,"",IF(A2946="","N° facture manquant",IF(ISNA(MATCH(A2946,fa_num,0)),"Facture inconnue",IF(AND(B2946&lt;&gt;"",ISNA(MATCH(B2946,pr_code,0))),"Article inconnu",IF(H2946="","Désignation manquante",IF(OR(NOT(ISNUMBER(D2946)),N(D2946)&lt;=0),"Quantité invalide",IF(J2946="","Prix manquant",IF(OR(NOT(ISNUMBER(J2946)),N(J2946)&lt;0),"Prix invalide",IF(OR(AND(F2946&lt;&gt;"",NOT(ISNUMBER(F2946))),N(F2946)&lt;0,N(F2946)&gt;1),"Remise invalide",IF(K2946="","Taux de TVA manquant",IF(NOT(ISNUMBER(K2946)),"Taux de TVA invalide",IF(COUNTIF(p_rates,K2946)=0,"Taux de TVA hors liste (Paramètres)",IF(N(O2946)&gt;25,"Au-delà de 25 lignes : non imprimée","OK")))))))))))))</f>
        <v/>
      </c>
      <c r="O2946" s="59" t="str">
        <f>IF(A2946="","",COUNTIF($A$6:A2946,A2946))</f>
        <v/>
      </c>
      <c r="P2946" s="62" t="str">
        <f>IF(A2946="","",A2946&amp;"|"&amp;O2946)</f>
        <v/>
      </c>
    </row>
    <row r="2947">
      <c r="A2947" s="60" t="n"/>
      <c r="B2947" s="63" t="n"/>
      <c r="C2947" s="63" t="n"/>
      <c r="D2947" s="67" t="n"/>
      <c r="E2947" s="68" t="n"/>
      <c r="F2947" s="69" t="n"/>
      <c r="G2947" s="70" t="n"/>
      <c r="H2947" s="62" t="str">
        <f>IF(COUNTA(A2947:G2947)=0,"",IF(C2947&lt;&gt;"",C2947,IF(B2947="","",IFERROR(INDEX(pr_des,MATCH(B2947,pr_code,0))&amp;"",""))))</f>
        <v/>
      </c>
      <c r="I2947" s="59" t="str">
        <f>IF(B2947="","",IFERROR(INDEX(pr_unit,MATCH(B2947,pr_code,0))&amp;"",""))</f>
        <v/>
      </c>
      <c r="J2947" s="65" t="str">
        <f>IF(COUNTA(A2947:G2947)=0,"",IF(E2947&lt;&gt;"",E2947,IF(B2947="","",IFERROR(IF(INDEX(pr_price,MATCH(B2947,pr_code,0))="","",INDEX(pr_price,MATCH(B2947,pr_code,0))),""))))</f>
        <v/>
      </c>
      <c r="K2947" s="71" t="str">
        <f>IF(COUNTA(A2947:G2947)=0,"",IF(G2947&lt;&gt;"",G2947,IF(B2947="","",IFERROR(IF(INDEX(pr_rate,MATCH(B2947,pr_code,0))="","",INDEX(pr_rate,MATCH(B2947,pr_code,0))),""))))</f>
        <v/>
      </c>
      <c r="L2947" s="65" t="str">
        <f>IF(COUNTA(A2947:G2947)=0,"",IF(AND(ISNUMBER(D2947),ISNUMBER(J2947)),ROUND(D2947*J2947*(1-N(F2947)),2),0))</f>
        <v/>
      </c>
      <c r="M2947" s="62" t="str">
        <f>IF(A2947="","",IFERROR(INDEX(fa_cname,MATCH(A2947,fa_num,0))&amp;"",""))</f>
        <v/>
      </c>
      <c r="N2947" s="59" t="str">
        <f>IF(COUNTA(A2947:G2947)=0,"",IF(A2947="","N° facture manquant",IF(ISNA(MATCH(A2947,fa_num,0)),"Facture inconnue",IF(AND(B2947&lt;&gt;"",ISNA(MATCH(B2947,pr_code,0))),"Article inconnu",IF(H2947="","Désignation manquante",IF(OR(NOT(ISNUMBER(D2947)),N(D2947)&lt;=0),"Quantité invalide",IF(J2947="","Prix manquant",IF(OR(NOT(ISNUMBER(J2947)),N(J2947)&lt;0),"Prix invalide",IF(OR(AND(F2947&lt;&gt;"",NOT(ISNUMBER(F2947))),N(F2947)&lt;0,N(F2947)&gt;1),"Remise invalide",IF(K2947="","Taux de TVA manquant",IF(NOT(ISNUMBER(K2947)),"Taux de TVA invalide",IF(COUNTIF(p_rates,K2947)=0,"Taux de TVA hors liste (Paramètres)",IF(N(O2947)&gt;25,"Au-delà de 25 lignes : non imprimée","OK")))))))))))))</f>
        <v/>
      </c>
      <c r="O2947" s="59" t="str">
        <f>IF(A2947="","",COUNTIF($A$6:A2947,A2947))</f>
        <v/>
      </c>
      <c r="P2947" s="62" t="str">
        <f>IF(A2947="","",A2947&amp;"|"&amp;O2947)</f>
        <v/>
      </c>
    </row>
    <row r="2948">
      <c r="A2948" s="60" t="n"/>
      <c r="B2948" s="63" t="n"/>
      <c r="C2948" s="63" t="n"/>
      <c r="D2948" s="67" t="n"/>
      <c r="E2948" s="68" t="n"/>
      <c r="F2948" s="69" t="n"/>
      <c r="G2948" s="70" t="n"/>
      <c r="H2948" s="62" t="str">
        <f>IF(COUNTA(A2948:G2948)=0,"",IF(C2948&lt;&gt;"",C2948,IF(B2948="","",IFERROR(INDEX(pr_des,MATCH(B2948,pr_code,0))&amp;"",""))))</f>
        <v/>
      </c>
      <c r="I2948" s="59" t="str">
        <f>IF(B2948="","",IFERROR(INDEX(pr_unit,MATCH(B2948,pr_code,0))&amp;"",""))</f>
        <v/>
      </c>
      <c r="J2948" s="65" t="str">
        <f>IF(COUNTA(A2948:G2948)=0,"",IF(E2948&lt;&gt;"",E2948,IF(B2948="","",IFERROR(IF(INDEX(pr_price,MATCH(B2948,pr_code,0))="","",INDEX(pr_price,MATCH(B2948,pr_code,0))),""))))</f>
        <v/>
      </c>
      <c r="K2948" s="71" t="str">
        <f>IF(COUNTA(A2948:G2948)=0,"",IF(G2948&lt;&gt;"",G2948,IF(B2948="","",IFERROR(IF(INDEX(pr_rate,MATCH(B2948,pr_code,0))="","",INDEX(pr_rate,MATCH(B2948,pr_code,0))),""))))</f>
        <v/>
      </c>
      <c r="L2948" s="65" t="str">
        <f>IF(COUNTA(A2948:G2948)=0,"",IF(AND(ISNUMBER(D2948),ISNUMBER(J2948)),ROUND(D2948*J2948*(1-N(F2948)),2),0))</f>
        <v/>
      </c>
      <c r="M2948" s="62" t="str">
        <f>IF(A2948="","",IFERROR(INDEX(fa_cname,MATCH(A2948,fa_num,0))&amp;"",""))</f>
        <v/>
      </c>
      <c r="N2948" s="59" t="str">
        <f>IF(COUNTA(A2948:G2948)=0,"",IF(A2948="","N° facture manquant",IF(ISNA(MATCH(A2948,fa_num,0)),"Facture inconnue",IF(AND(B2948&lt;&gt;"",ISNA(MATCH(B2948,pr_code,0))),"Article inconnu",IF(H2948="","Désignation manquante",IF(OR(NOT(ISNUMBER(D2948)),N(D2948)&lt;=0),"Quantité invalide",IF(J2948="","Prix manquant",IF(OR(NOT(ISNUMBER(J2948)),N(J2948)&lt;0),"Prix invalide",IF(OR(AND(F2948&lt;&gt;"",NOT(ISNUMBER(F2948))),N(F2948)&lt;0,N(F2948)&gt;1),"Remise invalide",IF(K2948="","Taux de TVA manquant",IF(NOT(ISNUMBER(K2948)),"Taux de TVA invalide",IF(COUNTIF(p_rates,K2948)=0,"Taux de TVA hors liste (Paramètres)",IF(N(O2948)&gt;25,"Au-delà de 25 lignes : non imprimée","OK")))))))))))))</f>
        <v/>
      </c>
      <c r="O2948" s="59" t="str">
        <f>IF(A2948="","",COUNTIF($A$6:A2948,A2948))</f>
        <v/>
      </c>
      <c r="P2948" s="62" t="str">
        <f>IF(A2948="","",A2948&amp;"|"&amp;O2948)</f>
        <v/>
      </c>
    </row>
    <row r="2949">
      <c r="A2949" s="60" t="n"/>
      <c r="B2949" s="63" t="n"/>
      <c r="C2949" s="63" t="n"/>
      <c r="D2949" s="67" t="n"/>
      <c r="E2949" s="68" t="n"/>
      <c r="F2949" s="69" t="n"/>
      <c r="G2949" s="70" t="n"/>
      <c r="H2949" s="62" t="str">
        <f>IF(COUNTA(A2949:G2949)=0,"",IF(C2949&lt;&gt;"",C2949,IF(B2949="","",IFERROR(INDEX(pr_des,MATCH(B2949,pr_code,0))&amp;"",""))))</f>
        <v/>
      </c>
      <c r="I2949" s="59" t="str">
        <f>IF(B2949="","",IFERROR(INDEX(pr_unit,MATCH(B2949,pr_code,0))&amp;"",""))</f>
        <v/>
      </c>
      <c r="J2949" s="65" t="str">
        <f>IF(COUNTA(A2949:G2949)=0,"",IF(E2949&lt;&gt;"",E2949,IF(B2949="","",IFERROR(IF(INDEX(pr_price,MATCH(B2949,pr_code,0))="","",INDEX(pr_price,MATCH(B2949,pr_code,0))),""))))</f>
        <v/>
      </c>
      <c r="K2949" s="71" t="str">
        <f>IF(COUNTA(A2949:G2949)=0,"",IF(G2949&lt;&gt;"",G2949,IF(B2949="","",IFERROR(IF(INDEX(pr_rate,MATCH(B2949,pr_code,0))="","",INDEX(pr_rate,MATCH(B2949,pr_code,0))),""))))</f>
        <v/>
      </c>
      <c r="L2949" s="65" t="str">
        <f>IF(COUNTA(A2949:G2949)=0,"",IF(AND(ISNUMBER(D2949),ISNUMBER(J2949)),ROUND(D2949*J2949*(1-N(F2949)),2),0))</f>
        <v/>
      </c>
      <c r="M2949" s="62" t="str">
        <f>IF(A2949="","",IFERROR(INDEX(fa_cname,MATCH(A2949,fa_num,0))&amp;"",""))</f>
        <v/>
      </c>
      <c r="N2949" s="59" t="str">
        <f>IF(COUNTA(A2949:G2949)=0,"",IF(A2949="","N° facture manquant",IF(ISNA(MATCH(A2949,fa_num,0)),"Facture inconnue",IF(AND(B2949&lt;&gt;"",ISNA(MATCH(B2949,pr_code,0))),"Article inconnu",IF(H2949="","Désignation manquante",IF(OR(NOT(ISNUMBER(D2949)),N(D2949)&lt;=0),"Quantité invalide",IF(J2949="","Prix manquant",IF(OR(NOT(ISNUMBER(J2949)),N(J2949)&lt;0),"Prix invalide",IF(OR(AND(F2949&lt;&gt;"",NOT(ISNUMBER(F2949))),N(F2949)&lt;0,N(F2949)&gt;1),"Remise invalide",IF(K2949="","Taux de TVA manquant",IF(NOT(ISNUMBER(K2949)),"Taux de TVA invalide",IF(COUNTIF(p_rates,K2949)=0,"Taux de TVA hors liste (Paramètres)",IF(N(O2949)&gt;25,"Au-delà de 25 lignes : non imprimée","OK")))))))))))))</f>
        <v/>
      </c>
      <c r="O2949" s="59" t="str">
        <f>IF(A2949="","",COUNTIF($A$6:A2949,A2949))</f>
        <v/>
      </c>
      <c r="P2949" s="62" t="str">
        <f>IF(A2949="","",A2949&amp;"|"&amp;O2949)</f>
        <v/>
      </c>
    </row>
    <row r="2950">
      <c r="A2950" s="60" t="n"/>
      <c r="B2950" s="63" t="n"/>
      <c r="C2950" s="63" t="n"/>
      <c r="D2950" s="67" t="n"/>
      <c r="E2950" s="68" t="n"/>
      <c r="F2950" s="69" t="n"/>
      <c r="G2950" s="70" t="n"/>
      <c r="H2950" s="62" t="str">
        <f>IF(COUNTA(A2950:G2950)=0,"",IF(C2950&lt;&gt;"",C2950,IF(B2950="","",IFERROR(INDEX(pr_des,MATCH(B2950,pr_code,0))&amp;"",""))))</f>
        <v/>
      </c>
      <c r="I2950" s="59" t="str">
        <f>IF(B2950="","",IFERROR(INDEX(pr_unit,MATCH(B2950,pr_code,0))&amp;"",""))</f>
        <v/>
      </c>
      <c r="J2950" s="65" t="str">
        <f>IF(COUNTA(A2950:G2950)=0,"",IF(E2950&lt;&gt;"",E2950,IF(B2950="","",IFERROR(IF(INDEX(pr_price,MATCH(B2950,pr_code,0))="","",INDEX(pr_price,MATCH(B2950,pr_code,0))),""))))</f>
        <v/>
      </c>
      <c r="K2950" s="71" t="str">
        <f>IF(COUNTA(A2950:G2950)=0,"",IF(G2950&lt;&gt;"",G2950,IF(B2950="","",IFERROR(IF(INDEX(pr_rate,MATCH(B2950,pr_code,0))="","",INDEX(pr_rate,MATCH(B2950,pr_code,0))),""))))</f>
        <v/>
      </c>
      <c r="L2950" s="65" t="str">
        <f>IF(COUNTA(A2950:G2950)=0,"",IF(AND(ISNUMBER(D2950),ISNUMBER(J2950)),ROUND(D2950*J2950*(1-N(F2950)),2),0))</f>
        <v/>
      </c>
      <c r="M2950" s="62" t="str">
        <f>IF(A2950="","",IFERROR(INDEX(fa_cname,MATCH(A2950,fa_num,0))&amp;"",""))</f>
        <v/>
      </c>
      <c r="N2950" s="59" t="str">
        <f>IF(COUNTA(A2950:G2950)=0,"",IF(A2950="","N° facture manquant",IF(ISNA(MATCH(A2950,fa_num,0)),"Facture inconnue",IF(AND(B2950&lt;&gt;"",ISNA(MATCH(B2950,pr_code,0))),"Article inconnu",IF(H2950="","Désignation manquante",IF(OR(NOT(ISNUMBER(D2950)),N(D2950)&lt;=0),"Quantité invalide",IF(J2950="","Prix manquant",IF(OR(NOT(ISNUMBER(J2950)),N(J2950)&lt;0),"Prix invalide",IF(OR(AND(F2950&lt;&gt;"",NOT(ISNUMBER(F2950))),N(F2950)&lt;0,N(F2950)&gt;1),"Remise invalide",IF(K2950="","Taux de TVA manquant",IF(NOT(ISNUMBER(K2950)),"Taux de TVA invalide",IF(COUNTIF(p_rates,K2950)=0,"Taux de TVA hors liste (Paramètres)",IF(N(O2950)&gt;25,"Au-delà de 25 lignes : non imprimée","OK")))))))))))))</f>
        <v/>
      </c>
      <c r="O2950" s="59" t="str">
        <f>IF(A2950="","",COUNTIF($A$6:A2950,A2950))</f>
        <v/>
      </c>
      <c r="P2950" s="62" t="str">
        <f>IF(A2950="","",A2950&amp;"|"&amp;O2950)</f>
        <v/>
      </c>
    </row>
    <row r="2951">
      <c r="A2951" s="60" t="n"/>
      <c r="B2951" s="63" t="n"/>
      <c r="C2951" s="63" t="n"/>
      <c r="D2951" s="67" t="n"/>
      <c r="E2951" s="68" t="n"/>
      <c r="F2951" s="69" t="n"/>
      <c r="G2951" s="70" t="n"/>
      <c r="H2951" s="62" t="str">
        <f>IF(COUNTA(A2951:G2951)=0,"",IF(C2951&lt;&gt;"",C2951,IF(B2951="","",IFERROR(INDEX(pr_des,MATCH(B2951,pr_code,0))&amp;"",""))))</f>
        <v/>
      </c>
      <c r="I2951" s="59" t="str">
        <f>IF(B2951="","",IFERROR(INDEX(pr_unit,MATCH(B2951,pr_code,0))&amp;"",""))</f>
        <v/>
      </c>
      <c r="J2951" s="65" t="str">
        <f>IF(COUNTA(A2951:G2951)=0,"",IF(E2951&lt;&gt;"",E2951,IF(B2951="","",IFERROR(IF(INDEX(pr_price,MATCH(B2951,pr_code,0))="","",INDEX(pr_price,MATCH(B2951,pr_code,0))),""))))</f>
        <v/>
      </c>
      <c r="K2951" s="71" t="str">
        <f>IF(COUNTA(A2951:G2951)=0,"",IF(G2951&lt;&gt;"",G2951,IF(B2951="","",IFERROR(IF(INDEX(pr_rate,MATCH(B2951,pr_code,0))="","",INDEX(pr_rate,MATCH(B2951,pr_code,0))),""))))</f>
        <v/>
      </c>
      <c r="L2951" s="65" t="str">
        <f>IF(COUNTA(A2951:G2951)=0,"",IF(AND(ISNUMBER(D2951),ISNUMBER(J2951)),ROUND(D2951*J2951*(1-N(F2951)),2),0))</f>
        <v/>
      </c>
      <c r="M2951" s="62" t="str">
        <f>IF(A2951="","",IFERROR(INDEX(fa_cname,MATCH(A2951,fa_num,0))&amp;"",""))</f>
        <v/>
      </c>
      <c r="N2951" s="59" t="str">
        <f>IF(COUNTA(A2951:G2951)=0,"",IF(A2951="","N° facture manquant",IF(ISNA(MATCH(A2951,fa_num,0)),"Facture inconnue",IF(AND(B2951&lt;&gt;"",ISNA(MATCH(B2951,pr_code,0))),"Article inconnu",IF(H2951="","Désignation manquante",IF(OR(NOT(ISNUMBER(D2951)),N(D2951)&lt;=0),"Quantité invalide",IF(J2951="","Prix manquant",IF(OR(NOT(ISNUMBER(J2951)),N(J2951)&lt;0),"Prix invalide",IF(OR(AND(F2951&lt;&gt;"",NOT(ISNUMBER(F2951))),N(F2951)&lt;0,N(F2951)&gt;1),"Remise invalide",IF(K2951="","Taux de TVA manquant",IF(NOT(ISNUMBER(K2951)),"Taux de TVA invalide",IF(COUNTIF(p_rates,K2951)=0,"Taux de TVA hors liste (Paramètres)",IF(N(O2951)&gt;25,"Au-delà de 25 lignes : non imprimée","OK")))))))))))))</f>
        <v/>
      </c>
      <c r="O2951" s="59" t="str">
        <f>IF(A2951="","",COUNTIF($A$6:A2951,A2951))</f>
        <v/>
      </c>
      <c r="P2951" s="62" t="str">
        <f>IF(A2951="","",A2951&amp;"|"&amp;O2951)</f>
        <v/>
      </c>
    </row>
    <row r="2952">
      <c r="A2952" s="60" t="n"/>
      <c r="B2952" s="63" t="n"/>
      <c r="C2952" s="63" t="n"/>
      <c r="D2952" s="67" t="n"/>
      <c r="E2952" s="68" t="n"/>
      <c r="F2952" s="69" t="n"/>
      <c r="G2952" s="70" t="n"/>
      <c r="H2952" s="62" t="str">
        <f>IF(COUNTA(A2952:G2952)=0,"",IF(C2952&lt;&gt;"",C2952,IF(B2952="","",IFERROR(INDEX(pr_des,MATCH(B2952,pr_code,0))&amp;"",""))))</f>
        <v/>
      </c>
      <c r="I2952" s="59" t="str">
        <f>IF(B2952="","",IFERROR(INDEX(pr_unit,MATCH(B2952,pr_code,0))&amp;"",""))</f>
        <v/>
      </c>
      <c r="J2952" s="65" t="str">
        <f>IF(COUNTA(A2952:G2952)=0,"",IF(E2952&lt;&gt;"",E2952,IF(B2952="","",IFERROR(IF(INDEX(pr_price,MATCH(B2952,pr_code,0))="","",INDEX(pr_price,MATCH(B2952,pr_code,0))),""))))</f>
        <v/>
      </c>
      <c r="K2952" s="71" t="str">
        <f>IF(COUNTA(A2952:G2952)=0,"",IF(G2952&lt;&gt;"",G2952,IF(B2952="","",IFERROR(IF(INDEX(pr_rate,MATCH(B2952,pr_code,0))="","",INDEX(pr_rate,MATCH(B2952,pr_code,0))),""))))</f>
        <v/>
      </c>
      <c r="L2952" s="65" t="str">
        <f>IF(COUNTA(A2952:G2952)=0,"",IF(AND(ISNUMBER(D2952),ISNUMBER(J2952)),ROUND(D2952*J2952*(1-N(F2952)),2),0))</f>
        <v/>
      </c>
      <c r="M2952" s="62" t="str">
        <f>IF(A2952="","",IFERROR(INDEX(fa_cname,MATCH(A2952,fa_num,0))&amp;"",""))</f>
        <v/>
      </c>
      <c r="N2952" s="59" t="str">
        <f>IF(COUNTA(A2952:G2952)=0,"",IF(A2952="","N° facture manquant",IF(ISNA(MATCH(A2952,fa_num,0)),"Facture inconnue",IF(AND(B2952&lt;&gt;"",ISNA(MATCH(B2952,pr_code,0))),"Article inconnu",IF(H2952="","Désignation manquante",IF(OR(NOT(ISNUMBER(D2952)),N(D2952)&lt;=0),"Quantité invalide",IF(J2952="","Prix manquant",IF(OR(NOT(ISNUMBER(J2952)),N(J2952)&lt;0),"Prix invalide",IF(OR(AND(F2952&lt;&gt;"",NOT(ISNUMBER(F2952))),N(F2952)&lt;0,N(F2952)&gt;1),"Remise invalide",IF(K2952="","Taux de TVA manquant",IF(NOT(ISNUMBER(K2952)),"Taux de TVA invalide",IF(COUNTIF(p_rates,K2952)=0,"Taux de TVA hors liste (Paramètres)",IF(N(O2952)&gt;25,"Au-delà de 25 lignes : non imprimée","OK")))))))))))))</f>
        <v/>
      </c>
      <c r="O2952" s="59" t="str">
        <f>IF(A2952="","",COUNTIF($A$6:A2952,A2952))</f>
        <v/>
      </c>
      <c r="P2952" s="62" t="str">
        <f>IF(A2952="","",A2952&amp;"|"&amp;O2952)</f>
        <v/>
      </c>
    </row>
    <row r="2953">
      <c r="A2953" s="60" t="n"/>
      <c r="B2953" s="63" t="n"/>
      <c r="C2953" s="63" t="n"/>
      <c r="D2953" s="67" t="n"/>
      <c r="E2953" s="68" t="n"/>
      <c r="F2953" s="69" t="n"/>
      <c r="G2953" s="70" t="n"/>
      <c r="H2953" s="62" t="str">
        <f>IF(COUNTA(A2953:G2953)=0,"",IF(C2953&lt;&gt;"",C2953,IF(B2953="","",IFERROR(INDEX(pr_des,MATCH(B2953,pr_code,0))&amp;"",""))))</f>
        <v/>
      </c>
      <c r="I2953" s="59" t="str">
        <f>IF(B2953="","",IFERROR(INDEX(pr_unit,MATCH(B2953,pr_code,0))&amp;"",""))</f>
        <v/>
      </c>
      <c r="J2953" s="65" t="str">
        <f>IF(COUNTA(A2953:G2953)=0,"",IF(E2953&lt;&gt;"",E2953,IF(B2953="","",IFERROR(IF(INDEX(pr_price,MATCH(B2953,pr_code,0))="","",INDEX(pr_price,MATCH(B2953,pr_code,0))),""))))</f>
        <v/>
      </c>
      <c r="K2953" s="71" t="str">
        <f>IF(COUNTA(A2953:G2953)=0,"",IF(G2953&lt;&gt;"",G2953,IF(B2953="","",IFERROR(IF(INDEX(pr_rate,MATCH(B2953,pr_code,0))="","",INDEX(pr_rate,MATCH(B2953,pr_code,0))),""))))</f>
        <v/>
      </c>
      <c r="L2953" s="65" t="str">
        <f>IF(COUNTA(A2953:G2953)=0,"",IF(AND(ISNUMBER(D2953),ISNUMBER(J2953)),ROUND(D2953*J2953*(1-N(F2953)),2),0))</f>
        <v/>
      </c>
      <c r="M2953" s="62" t="str">
        <f>IF(A2953="","",IFERROR(INDEX(fa_cname,MATCH(A2953,fa_num,0))&amp;"",""))</f>
        <v/>
      </c>
      <c r="N2953" s="59" t="str">
        <f>IF(COUNTA(A2953:G2953)=0,"",IF(A2953="","N° facture manquant",IF(ISNA(MATCH(A2953,fa_num,0)),"Facture inconnue",IF(AND(B2953&lt;&gt;"",ISNA(MATCH(B2953,pr_code,0))),"Article inconnu",IF(H2953="","Désignation manquante",IF(OR(NOT(ISNUMBER(D2953)),N(D2953)&lt;=0),"Quantité invalide",IF(J2953="","Prix manquant",IF(OR(NOT(ISNUMBER(J2953)),N(J2953)&lt;0),"Prix invalide",IF(OR(AND(F2953&lt;&gt;"",NOT(ISNUMBER(F2953))),N(F2953)&lt;0,N(F2953)&gt;1),"Remise invalide",IF(K2953="","Taux de TVA manquant",IF(NOT(ISNUMBER(K2953)),"Taux de TVA invalide",IF(COUNTIF(p_rates,K2953)=0,"Taux de TVA hors liste (Paramètres)",IF(N(O2953)&gt;25,"Au-delà de 25 lignes : non imprimée","OK")))))))))))))</f>
        <v/>
      </c>
      <c r="O2953" s="59" t="str">
        <f>IF(A2953="","",COUNTIF($A$6:A2953,A2953))</f>
        <v/>
      </c>
      <c r="P2953" s="62" t="str">
        <f>IF(A2953="","",A2953&amp;"|"&amp;O2953)</f>
        <v/>
      </c>
    </row>
    <row r="2954">
      <c r="A2954" s="60" t="n"/>
      <c r="B2954" s="63" t="n"/>
      <c r="C2954" s="63" t="n"/>
      <c r="D2954" s="67" t="n"/>
      <c r="E2954" s="68" t="n"/>
      <c r="F2954" s="69" t="n"/>
      <c r="G2954" s="70" t="n"/>
      <c r="H2954" s="62" t="str">
        <f>IF(COUNTA(A2954:G2954)=0,"",IF(C2954&lt;&gt;"",C2954,IF(B2954="","",IFERROR(INDEX(pr_des,MATCH(B2954,pr_code,0))&amp;"",""))))</f>
        <v/>
      </c>
      <c r="I2954" s="59" t="str">
        <f>IF(B2954="","",IFERROR(INDEX(pr_unit,MATCH(B2954,pr_code,0))&amp;"",""))</f>
        <v/>
      </c>
      <c r="J2954" s="65" t="str">
        <f>IF(COUNTA(A2954:G2954)=0,"",IF(E2954&lt;&gt;"",E2954,IF(B2954="","",IFERROR(IF(INDEX(pr_price,MATCH(B2954,pr_code,0))="","",INDEX(pr_price,MATCH(B2954,pr_code,0))),""))))</f>
        <v/>
      </c>
      <c r="K2954" s="71" t="str">
        <f>IF(COUNTA(A2954:G2954)=0,"",IF(G2954&lt;&gt;"",G2954,IF(B2954="","",IFERROR(IF(INDEX(pr_rate,MATCH(B2954,pr_code,0))="","",INDEX(pr_rate,MATCH(B2954,pr_code,0))),""))))</f>
        <v/>
      </c>
      <c r="L2954" s="65" t="str">
        <f>IF(COUNTA(A2954:G2954)=0,"",IF(AND(ISNUMBER(D2954),ISNUMBER(J2954)),ROUND(D2954*J2954*(1-N(F2954)),2),0))</f>
        <v/>
      </c>
      <c r="M2954" s="62" t="str">
        <f>IF(A2954="","",IFERROR(INDEX(fa_cname,MATCH(A2954,fa_num,0))&amp;"",""))</f>
        <v/>
      </c>
      <c r="N2954" s="59" t="str">
        <f>IF(COUNTA(A2954:G2954)=0,"",IF(A2954="","N° facture manquant",IF(ISNA(MATCH(A2954,fa_num,0)),"Facture inconnue",IF(AND(B2954&lt;&gt;"",ISNA(MATCH(B2954,pr_code,0))),"Article inconnu",IF(H2954="","Désignation manquante",IF(OR(NOT(ISNUMBER(D2954)),N(D2954)&lt;=0),"Quantité invalide",IF(J2954="","Prix manquant",IF(OR(NOT(ISNUMBER(J2954)),N(J2954)&lt;0),"Prix invalide",IF(OR(AND(F2954&lt;&gt;"",NOT(ISNUMBER(F2954))),N(F2954)&lt;0,N(F2954)&gt;1),"Remise invalide",IF(K2954="","Taux de TVA manquant",IF(NOT(ISNUMBER(K2954)),"Taux de TVA invalide",IF(COUNTIF(p_rates,K2954)=0,"Taux de TVA hors liste (Paramètres)",IF(N(O2954)&gt;25,"Au-delà de 25 lignes : non imprimée","OK")))))))))))))</f>
        <v/>
      </c>
      <c r="O2954" s="59" t="str">
        <f>IF(A2954="","",COUNTIF($A$6:A2954,A2954))</f>
        <v/>
      </c>
      <c r="P2954" s="62" t="str">
        <f>IF(A2954="","",A2954&amp;"|"&amp;O2954)</f>
        <v/>
      </c>
    </row>
    <row r="2955">
      <c r="A2955" s="60" t="n"/>
      <c r="B2955" s="63" t="n"/>
      <c r="C2955" s="63" t="n"/>
      <c r="D2955" s="67" t="n"/>
      <c r="E2955" s="68" t="n"/>
      <c r="F2955" s="69" t="n"/>
      <c r="G2955" s="70" t="n"/>
      <c r="H2955" s="62" t="str">
        <f>IF(COUNTA(A2955:G2955)=0,"",IF(C2955&lt;&gt;"",C2955,IF(B2955="","",IFERROR(INDEX(pr_des,MATCH(B2955,pr_code,0))&amp;"",""))))</f>
        <v/>
      </c>
      <c r="I2955" s="59" t="str">
        <f>IF(B2955="","",IFERROR(INDEX(pr_unit,MATCH(B2955,pr_code,0))&amp;"",""))</f>
        <v/>
      </c>
      <c r="J2955" s="65" t="str">
        <f>IF(COUNTA(A2955:G2955)=0,"",IF(E2955&lt;&gt;"",E2955,IF(B2955="","",IFERROR(IF(INDEX(pr_price,MATCH(B2955,pr_code,0))="","",INDEX(pr_price,MATCH(B2955,pr_code,0))),""))))</f>
        <v/>
      </c>
      <c r="K2955" s="71" t="str">
        <f>IF(COUNTA(A2955:G2955)=0,"",IF(G2955&lt;&gt;"",G2955,IF(B2955="","",IFERROR(IF(INDEX(pr_rate,MATCH(B2955,pr_code,0))="","",INDEX(pr_rate,MATCH(B2955,pr_code,0))),""))))</f>
        <v/>
      </c>
      <c r="L2955" s="65" t="str">
        <f>IF(COUNTA(A2955:G2955)=0,"",IF(AND(ISNUMBER(D2955),ISNUMBER(J2955)),ROUND(D2955*J2955*(1-N(F2955)),2),0))</f>
        <v/>
      </c>
      <c r="M2955" s="62" t="str">
        <f>IF(A2955="","",IFERROR(INDEX(fa_cname,MATCH(A2955,fa_num,0))&amp;"",""))</f>
        <v/>
      </c>
      <c r="N2955" s="59" t="str">
        <f>IF(COUNTA(A2955:G2955)=0,"",IF(A2955="","N° facture manquant",IF(ISNA(MATCH(A2955,fa_num,0)),"Facture inconnue",IF(AND(B2955&lt;&gt;"",ISNA(MATCH(B2955,pr_code,0))),"Article inconnu",IF(H2955="","Désignation manquante",IF(OR(NOT(ISNUMBER(D2955)),N(D2955)&lt;=0),"Quantité invalide",IF(J2955="","Prix manquant",IF(OR(NOT(ISNUMBER(J2955)),N(J2955)&lt;0),"Prix invalide",IF(OR(AND(F2955&lt;&gt;"",NOT(ISNUMBER(F2955))),N(F2955)&lt;0,N(F2955)&gt;1),"Remise invalide",IF(K2955="","Taux de TVA manquant",IF(NOT(ISNUMBER(K2955)),"Taux de TVA invalide",IF(COUNTIF(p_rates,K2955)=0,"Taux de TVA hors liste (Paramètres)",IF(N(O2955)&gt;25,"Au-delà de 25 lignes : non imprimée","OK")))))))))))))</f>
        <v/>
      </c>
      <c r="O2955" s="59" t="str">
        <f>IF(A2955="","",COUNTIF($A$6:A2955,A2955))</f>
        <v/>
      </c>
      <c r="P2955" s="62" t="str">
        <f>IF(A2955="","",A2955&amp;"|"&amp;O2955)</f>
        <v/>
      </c>
    </row>
    <row r="2956">
      <c r="A2956" s="60" t="n"/>
      <c r="B2956" s="63" t="n"/>
      <c r="C2956" s="63" t="n"/>
      <c r="D2956" s="67" t="n"/>
      <c r="E2956" s="68" t="n"/>
      <c r="F2956" s="69" t="n"/>
      <c r="G2956" s="70" t="n"/>
      <c r="H2956" s="62" t="str">
        <f>IF(COUNTA(A2956:G2956)=0,"",IF(C2956&lt;&gt;"",C2956,IF(B2956="","",IFERROR(INDEX(pr_des,MATCH(B2956,pr_code,0))&amp;"",""))))</f>
        <v/>
      </c>
      <c r="I2956" s="59" t="str">
        <f>IF(B2956="","",IFERROR(INDEX(pr_unit,MATCH(B2956,pr_code,0))&amp;"",""))</f>
        <v/>
      </c>
      <c r="J2956" s="65" t="str">
        <f>IF(COUNTA(A2956:G2956)=0,"",IF(E2956&lt;&gt;"",E2956,IF(B2956="","",IFERROR(IF(INDEX(pr_price,MATCH(B2956,pr_code,0))="","",INDEX(pr_price,MATCH(B2956,pr_code,0))),""))))</f>
        <v/>
      </c>
      <c r="K2956" s="71" t="str">
        <f>IF(COUNTA(A2956:G2956)=0,"",IF(G2956&lt;&gt;"",G2956,IF(B2956="","",IFERROR(IF(INDEX(pr_rate,MATCH(B2956,pr_code,0))="","",INDEX(pr_rate,MATCH(B2956,pr_code,0))),""))))</f>
        <v/>
      </c>
      <c r="L2956" s="65" t="str">
        <f>IF(COUNTA(A2956:G2956)=0,"",IF(AND(ISNUMBER(D2956),ISNUMBER(J2956)),ROUND(D2956*J2956*(1-N(F2956)),2),0))</f>
        <v/>
      </c>
      <c r="M2956" s="62" t="str">
        <f>IF(A2956="","",IFERROR(INDEX(fa_cname,MATCH(A2956,fa_num,0))&amp;"",""))</f>
        <v/>
      </c>
      <c r="N2956" s="59" t="str">
        <f>IF(COUNTA(A2956:G2956)=0,"",IF(A2956="","N° facture manquant",IF(ISNA(MATCH(A2956,fa_num,0)),"Facture inconnue",IF(AND(B2956&lt;&gt;"",ISNA(MATCH(B2956,pr_code,0))),"Article inconnu",IF(H2956="","Désignation manquante",IF(OR(NOT(ISNUMBER(D2956)),N(D2956)&lt;=0),"Quantité invalide",IF(J2956="","Prix manquant",IF(OR(NOT(ISNUMBER(J2956)),N(J2956)&lt;0),"Prix invalide",IF(OR(AND(F2956&lt;&gt;"",NOT(ISNUMBER(F2956))),N(F2956)&lt;0,N(F2956)&gt;1),"Remise invalide",IF(K2956="","Taux de TVA manquant",IF(NOT(ISNUMBER(K2956)),"Taux de TVA invalide",IF(COUNTIF(p_rates,K2956)=0,"Taux de TVA hors liste (Paramètres)",IF(N(O2956)&gt;25,"Au-delà de 25 lignes : non imprimée","OK")))))))))))))</f>
        <v/>
      </c>
      <c r="O2956" s="59" t="str">
        <f>IF(A2956="","",COUNTIF($A$6:A2956,A2956))</f>
        <v/>
      </c>
      <c r="P2956" s="62" t="str">
        <f>IF(A2956="","",A2956&amp;"|"&amp;O2956)</f>
        <v/>
      </c>
    </row>
    <row r="2957">
      <c r="A2957" s="60" t="n"/>
      <c r="B2957" s="63" t="n"/>
      <c r="C2957" s="63" t="n"/>
      <c r="D2957" s="67" t="n"/>
      <c r="E2957" s="68" t="n"/>
      <c r="F2957" s="69" t="n"/>
      <c r="G2957" s="70" t="n"/>
      <c r="H2957" s="62" t="str">
        <f>IF(COUNTA(A2957:G2957)=0,"",IF(C2957&lt;&gt;"",C2957,IF(B2957="","",IFERROR(INDEX(pr_des,MATCH(B2957,pr_code,0))&amp;"",""))))</f>
        <v/>
      </c>
      <c r="I2957" s="59" t="str">
        <f>IF(B2957="","",IFERROR(INDEX(pr_unit,MATCH(B2957,pr_code,0))&amp;"",""))</f>
        <v/>
      </c>
      <c r="J2957" s="65" t="str">
        <f>IF(COUNTA(A2957:G2957)=0,"",IF(E2957&lt;&gt;"",E2957,IF(B2957="","",IFERROR(IF(INDEX(pr_price,MATCH(B2957,pr_code,0))="","",INDEX(pr_price,MATCH(B2957,pr_code,0))),""))))</f>
        <v/>
      </c>
      <c r="K2957" s="71" t="str">
        <f>IF(COUNTA(A2957:G2957)=0,"",IF(G2957&lt;&gt;"",G2957,IF(B2957="","",IFERROR(IF(INDEX(pr_rate,MATCH(B2957,pr_code,0))="","",INDEX(pr_rate,MATCH(B2957,pr_code,0))),""))))</f>
        <v/>
      </c>
      <c r="L2957" s="65" t="str">
        <f>IF(COUNTA(A2957:G2957)=0,"",IF(AND(ISNUMBER(D2957),ISNUMBER(J2957)),ROUND(D2957*J2957*(1-N(F2957)),2),0))</f>
        <v/>
      </c>
      <c r="M2957" s="62" t="str">
        <f>IF(A2957="","",IFERROR(INDEX(fa_cname,MATCH(A2957,fa_num,0))&amp;"",""))</f>
        <v/>
      </c>
      <c r="N2957" s="59" t="str">
        <f>IF(COUNTA(A2957:G2957)=0,"",IF(A2957="","N° facture manquant",IF(ISNA(MATCH(A2957,fa_num,0)),"Facture inconnue",IF(AND(B2957&lt;&gt;"",ISNA(MATCH(B2957,pr_code,0))),"Article inconnu",IF(H2957="","Désignation manquante",IF(OR(NOT(ISNUMBER(D2957)),N(D2957)&lt;=0),"Quantité invalide",IF(J2957="","Prix manquant",IF(OR(NOT(ISNUMBER(J2957)),N(J2957)&lt;0),"Prix invalide",IF(OR(AND(F2957&lt;&gt;"",NOT(ISNUMBER(F2957))),N(F2957)&lt;0,N(F2957)&gt;1),"Remise invalide",IF(K2957="","Taux de TVA manquant",IF(NOT(ISNUMBER(K2957)),"Taux de TVA invalide",IF(COUNTIF(p_rates,K2957)=0,"Taux de TVA hors liste (Paramètres)",IF(N(O2957)&gt;25,"Au-delà de 25 lignes : non imprimée","OK")))))))))))))</f>
        <v/>
      </c>
      <c r="O2957" s="59" t="str">
        <f>IF(A2957="","",COUNTIF($A$6:A2957,A2957))</f>
        <v/>
      </c>
      <c r="P2957" s="62" t="str">
        <f>IF(A2957="","",A2957&amp;"|"&amp;O2957)</f>
        <v/>
      </c>
    </row>
    <row r="2958">
      <c r="A2958" s="60" t="n"/>
      <c r="B2958" s="63" t="n"/>
      <c r="C2958" s="63" t="n"/>
      <c r="D2958" s="67" t="n"/>
      <c r="E2958" s="68" t="n"/>
      <c r="F2958" s="69" t="n"/>
      <c r="G2958" s="70" t="n"/>
      <c r="H2958" s="62" t="str">
        <f>IF(COUNTA(A2958:G2958)=0,"",IF(C2958&lt;&gt;"",C2958,IF(B2958="","",IFERROR(INDEX(pr_des,MATCH(B2958,pr_code,0))&amp;"",""))))</f>
        <v/>
      </c>
      <c r="I2958" s="59" t="str">
        <f>IF(B2958="","",IFERROR(INDEX(pr_unit,MATCH(B2958,pr_code,0))&amp;"",""))</f>
        <v/>
      </c>
      <c r="J2958" s="65" t="str">
        <f>IF(COUNTA(A2958:G2958)=0,"",IF(E2958&lt;&gt;"",E2958,IF(B2958="","",IFERROR(IF(INDEX(pr_price,MATCH(B2958,pr_code,0))="","",INDEX(pr_price,MATCH(B2958,pr_code,0))),""))))</f>
        <v/>
      </c>
      <c r="K2958" s="71" t="str">
        <f>IF(COUNTA(A2958:G2958)=0,"",IF(G2958&lt;&gt;"",G2958,IF(B2958="","",IFERROR(IF(INDEX(pr_rate,MATCH(B2958,pr_code,0))="","",INDEX(pr_rate,MATCH(B2958,pr_code,0))),""))))</f>
        <v/>
      </c>
      <c r="L2958" s="65" t="str">
        <f>IF(COUNTA(A2958:G2958)=0,"",IF(AND(ISNUMBER(D2958),ISNUMBER(J2958)),ROUND(D2958*J2958*(1-N(F2958)),2),0))</f>
        <v/>
      </c>
      <c r="M2958" s="62" t="str">
        <f>IF(A2958="","",IFERROR(INDEX(fa_cname,MATCH(A2958,fa_num,0))&amp;"",""))</f>
        <v/>
      </c>
      <c r="N2958" s="59" t="str">
        <f>IF(COUNTA(A2958:G2958)=0,"",IF(A2958="","N° facture manquant",IF(ISNA(MATCH(A2958,fa_num,0)),"Facture inconnue",IF(AND(B2958&lt;&gt;"",ISNA(MATCH(B2958,pr_code,0))),"Article inconnu",IF(H2958="","Désignation manquante",IF(OR(NOT(ISNUMBER(D2958)),N(D2958)&lt;=0),"Quantité invalide",IF(J2958="","Prix manquant",IF(OR(NOT(ISNUMBER(J2958)),N(J2958)&lt;0),"Prix invalide",IF(OR(AND(F2958&lt;&gt;"",NOT(ISNUMBER(F2958))),N(F2958)&lt;0,N(F2958)&gt;1),"Remise invalide",IF(K2958="","Taux de TVA manquant",IF(NOT(ISNUMBER(K2958)),"Taux de TVA invalide",IF(COUNTIF(p_rates,K2958)=0,"Taux de TVA hors liste (Paramètres)",IF(N(O2958)&gt;25,"Au-delà de 25 lignes : non imprimée","OK")))))))))))))</f>
        <v/>
      </c>
      <c r="O2958" s="59" t="str">
        <f>IF(A2958="","",COUNTIF($A$6:A2958,A2958))</f>
        <v/>
      </c>
      <c r="P2958" s="62" t="str">
        <f>IF(A2958="","",A2958&amp;"|"&amp;O2958)</f>
        <v/>
      </c>
    </row>
    <row r="2959">
      <c r="A2959" s="60" t="n"/>
      <c r="B2959" s="63" t="n"/>
      <c r="C2959" s="63" t="n"/>
      <c r="D2959" s="67" t="n"/>
      <c r="E2959" s="68" t="n"/>
      <c r="F2959" s="69" t="n"/>
      <c r="G2959" s="70" t="n"/>
      <c r="H2959" s="62" t="str">
        <f>IF(COUNTA(A2959:G2959)=0,"",IF(C2959&lt;&gt;"",C2959,IF(B2959="","",IFERROR(INDEX(pr_des,MATCH(B2959,pr_code,0))&amp;"",""))))</f>
        <v/>
      </c>
      <c r="I2959" s="59" t="str">
        <f>IF(B2959="","",IFERROR(INDEX(pr_unit,MATCH(B2959,pr_code,0))&amp;"",""))</f>
        <v/>
      </c>
      <c r="J2959" s="65" t="str">
        <f>IF(COUNTA(A2959:G2959)=0,"",IF(E2959&lt;&gt;"",E2959,IF(B2959="","",IFERROR(IF(INDEX(pr_price,MATCH(B2959,pr_code,0))="","",INDEX(pr_price,MATCH(B2959,pr_code,0))),""))))</f>
        <v/>
      </c>
      <c r="K2959" s="71" t="str">
        <f>IF(COUNTA(A2959:G2959)=0,"",IF(G2959&lt;&gt;"",G2959,IF(B2959="","",IFERROR(IF(INDEX(pr_rate,MATCH(B2959,pr_code,0))="","",INDEX(pr_rate,MATCH(B2959,pr_code,0))),""))))</f>
        <v/>
      </c>
      <c r="L2959" s="65" t="str">
        <f>IF(COUNTA(A2959:G2959)=0,"",IF(AND(ISNUMBER(D2959),ISNUMBER(J2959)),ROUND(D2959*J2959*(1-N(F2959)),2),0))</f>
        <v/>
      </c>
      <c r="M2959" s="62" t="str">
        <f>IF(A2959="","",IFERROR(INDEX(fa_cname,MATCH(A2959,fa_num,0))&amp;"",""))</f>
        <v/>
      </c>
      <c r="N2959" s="59" t="str">
        <f>IF(COUNTA(A2959:G2959)=0,"",IF(A2959="","N° facture manquant",IF(ISNA(MATCH(A2959,fa_num,0)),"Facture inconnue",IF(AND(B2959&lt;&gt;"",ISNA(MATCH(B2959,pr_code,0))),"Article inconnu",IF(H2959="","Désignation manquante",IF(OR(NOT(ISNUMBER(D2959)),N(D2959)&lt;=0),"Quantité invalide",IF(J2959="","Prix manquant",IF(OR(NOT(ISNUMBER(J2959)),N(J2959)&lt;0),"Prix invalide",IF(OR(AND(F2959&lt;&gt;"",NOT(ISNUMBER(F2959))),N(F2959)&lt;0,N(F2959)&gt;1),"Remise invalide",IF(K2959="","Taux de TVA manquant",IF(NOT(ISNUMBER(K2959)),"Taux de TVA invalide",IF(COUNTIF(p_rates,K2959)=0,"Taux de TVA hors liste (Paramètres)",IF(N(O2959)&gt;25,"Au-delà de 25 lignes : non imprimée","OK")))))))))))))</f>
        <v/>
      </c>
      <c r="O2959" s="59" t="str">
        <f>IF(A2959="","",COUNTIF($A$6:A2959,A2959))</f>
        <v/>
      </c>
      <c r="P2959" s="62" t="str">
        <f>IF(A2959="","",A2959&amp;"|"&amp;O2959)</f>
        <v/>
      </c>
    </row>
    <row r="2960">
      <c r="A2960" s="60" t="n"/>
      <c r="B2960" s="63" t="n"/>
      <c r="C2960" s="63" t="n"/>
      <c r="D2960" s="67" t="n"/>
      <c r="E2960" s="68" t="n"/>
      <c r="F2960" s="69" t="n"/>
      <c r="G2960" s="70" t="n"/>
      <c r="H2960" s="62" t="str">
        <f>IF(COUNTA(A2960:G2960)=0,"",IF(C2960&lt;&gt;"",C2960,IF(B2960="","",IFERROR(INDEX(pr_des,MATCH(B2960,pr_code,0))&amp;"",""))))</f>
        <v/>
      </c>
      <c r="I2960" s="59" t="str">
        <f>IF(B2960="","",IFERROR(INDEX(pr_unit,MATCH(B2960,pr_code,0))&amp;"",""))</f>
        <v/>
      </c>
      <c r="J2960" s="65" t="str">
        <f>IF(COUNTA(A2960:G2960)=0,"",IF(E2960&lt;&gt;"",E2960,IF(B2960="","",IFERROR(IF(INDEX(pr_price,MATCH(B2960,pr_code,0))="","",INDEX(pr_price,MATCH(B2960,pr_code,0))),""))))</f>
        <v/>
      </c>
      <c r="K2960" s="71" t="str">
        <f>IF(COUNTA(A2960:G2960)=0,"",IF(G2960&lt;&gt;"",G2960,IF(B2960="","",IFERROR(IF(INDEX(pr_rate,MATCH(B2960,pr_code,0))="","",INDEX(pr_rate,MATCH(B2960,pr_code,0))),""))))</f>
        <v/>
      </c>
      <c r="L2960" s="65" t="str">
        <f>IF(COUNTA(A2960:G2960)=0,"",IF(AND(ISNUMBER(D2960),ISNUMBER(J2960)),ROUND(D2960*J2960*(1-N(F2960)),2),0))</f>
        <v/>
      </c>
      <c r="M2960" s="62" t="str">
        <f>IF(A2960="","",IFERROR(INDEX(fa_cname,MATCH(A2960,fa_num,0))&amp;"",""))</f>
        <v/>
      </c>
      <c r="N2960" s="59" t="str">
        <f>IF(COUNTA(A2960:G2960)=0,"",IF(A2960="","N° facture manquant",IF(ISNA(MATCH(A2960,fa_num,0)),"Facture inconnue",IF(AND(B2960&lt;&gt;"",ISNA(MATCH(B2960,pr_code,0))),"Article inconnu",IF(H2960="","Désignation manquante",IF(OR(NOT(ISNUMBER(D2960)),N(D2960)&lt;=0),"Quantité invalide",IF(J2960="","Prix manquant",IF(OR(NOT(ISNUMBER(J2960)),N(J2960)&lt;0),"Prix invalide",IF(OR(AND(F2960&lt;&gt;"",NOT(ISNUMBER(F2960))),N(F2960)&lt;0,N(F2960)&gt;1),"Remise invalide",IF(K2960="","Taux de TVA manquant",IF(NOT(ISNUMBER(K2960)),"Taux de TVA invalide",IF(COUNTIF(p_rates,K2960)=0,"Taux de TVA hors liste (Paramètres)",IF(N(O2960)&gt;25,"Au-delà de 25 lignes : non imprimée","OK")))))))))))))</f>
        <v/>
      </c>
      <c r="O2960" s="59" t="str">
        <f>IF(A2960="","",COUNTIF($A$6:A2960,A2960))</f>
        <v/>
      </c>
      <c r="P2960" s="62" t="str">
        <f>IF(A2960="","",A2960&amp;"|"&amp;O2960)</f>
        <v/>
      </c>
    </row>
    <row r="2961">
      <c r="A2961" s="60" t="n"/>
      <c r="B2961" s="63" t="n"/>
      <c r="C2961" s="63" t="n"/>
      <c r="D2961" s="67" t="n"/>
      <c r="E2961" s="68" t="n"/>
      <c r="F2961" s="69" t="n"/>
      <c r="G2961" s="70" t="n"/>
      <c r="H2961" s="62" t="str">
        <f>IF(COUNTA(A2961:G2961)=0,"",IF(C2961&lt;&gt;"",C2961,IF(B2961="","",IFERROR(INDEX(pr_des,MATCH(B2961,pr_code,0))&amp;"",""))))</f>
        <v/>
      </c>
      <c r="I2961" s="59" t="str">
        <f>IF(B2961="","",IFERROR(INDEX(pr_unit,MATCH(B2961,pr_code,0))&amp;"",""))</f>
        <v/>
      </c>
      <c r="J2961" s="65" t="str">
        <f>IF(COUNTA(A2961:G2961)=0,"",IF(E2961&lt;&gt;"",E2961,IF(B2961="","",IFERROR(IF(INDEX(pr_price,MATCH(B2961,pr_code,0))="","",INDEX(pr_price,MATCH(B2961,pr_code,0))),""))))</f>
        <v/>
      </c>
      <c r="K2961" s="71" t="str">
        <f>IF(COUNTA(A2961:G2961)=0,"",IF(G2961&lt;&gt;"",G2961,IF(B2961="","",IFERROR(IF(INDEX(pr_rate,MATCH(B2961,pr_code,0))="","",INDEX(pr_rate,MATCH(B2961,pr_code,0))),""))))</f>
        <v/>
      </c>
      <c r="L2961" s="65" t="str">
        <f>IF(COUNTA(A2961:G2961)=0,"",IF(AND(ISNUMBER(D2961),ISNUMBER(J2961)),ROUND(D2961*J2961*(1-N(F2961)),2),0))</f>
        <v/>
      </c>
      <c r="M2961" s="62" t="str">
        <f>IF(A2961="","",IFERROR(INDEX(fa_cname,MATCH(A2961,fa_num,0))&amp;"",""))</f>
        <v/>
      </c>
      <c r="N2961" s="59" t="str">
        <f>IF(COUNTA(A2961:G2961)=0,"",IF(A2961="","N° facture manquant",IF(ISNA(MATCH(A2961,fa_num,0)),"Facture inconnue",IF(AND(B2961&lt;&gt;"",ISNA(MATCH(B2961,pr_code,0))),"Article inconnu",IF(H2961="","Désignation manquante",IF(OR(NOT(ISNUMBER(D2961)),N(D2961)&lt;=0),"Quantité invalide",IF(J2961="","Prix manquant",IF(OR(NOT(ISNUMBER(J2961)),N(J2961)&lt;0),"Prix invalide",IF(OR(AND(F2961&lt;&gt;"",NOT(ISNUMBER(F2961))),N(F2961)&lt;0,N(F2961)&gt;1),"Remise invalide",IF(K2961="","Taux de TVA manquant",IF(NOT(ISNUMBER(K2961)),"Taux de TVA invalide",IF(COUNTIF(p_rates,K2961)=0,"Taux de TVA hors liste (Paramètres)",IF(N(O2961)&gt;25,"Au-delà de 25 lignes : non imprimée","OK")))))))))))))</f>
        <v/>
      </c>
      <c r="O2961" s="59" t="str">
        <f>IF(A2961="","",COUNTIF($A$6:A2961,A2961))</f>
        <v/>
      </c>
      <c r="P2961" s="62" t="str">
        <f>IF(A2961="","",A2961&amp;"|"&amp;O2961)</f>
        <v/>
      </c>
    </row>
    <row r="2962">
      <c r="A2962" s="60" t="n"/>
      <c r="B2962" s="63" t="n"/>
      <c r="C2962" s="63" t="n"/>
      <c r="D2962" s="67" t="n"/>
      <c r="E2962" s="68" t="n"/>
      <c r="F2962" s="69" t="n"/>
      <c r="G2962" s="70" t="n"/>
      <c r="H2962" s="62" t="str">
        <f>IF(COUNTA(A2962:G2962)=0,"",IF(C2962&lt;&gt;"",C2962,IF(B2962="","",IFERROR(INDEX(pr_des,MATCH(B2962,pr_code,0))&amp;"",""))))</f>
        <v/>
      </c>
      <c r="I2962" s="59" t="str">
        <f>IF(B2962="","",IFERROR(INDEX(pr_unit,MATCH(B2962,pr_code,0))&amp;"",""))</f>
        <v/>
      </c>
      <c r="J2962" s="65" t="str">
        <f>IF(COUNTA(A2962:G2962)=0,"",IF(E2962&lt;&gt;"",E2962,IF(B2962="","",IFERROR(IF(INDEX(pr_price,MATCH(B2962,pr_code,0))="","",INDEX(pr_price,MATCH(B2962,pr_code,0))),""))))</f>
        <v/>
      </c>
      <c r="K2962" s="71" t="str">
        <f>IF(COUNTA(A2962:G2962)=0,"",IF(G2962&lt;&gt;"",G2962,IF(B2962="","",IFERROR(IF(INDEX(pr_rate,MATCH(B2962,pr_code,0))="","",INDEX(pr_rate,MATCH(B2962,pr_code,0))),""))))</f>
        <v/>
      </c>
      <c r="L2962" s="65" t="str">
        <f>IF(COUNTA(A2962:G2962)=0,"",IF(AND(ISNUMBER(D2962),ISNUMBER(J2962)),ROUND(D2962*J2962*(1-N(F2962)),2),0))</f>
        <v/>
      </c>
      <c r="M2962" s="62" t="str">
        <f>IF(A2962="","",IFERROR(INDEX(fa_cname,MATCH(A2962,fa_num,0))&amp;"",""))</f>
        <v/>
      </c>
      <c r="N2962" s="59" t="str">
        <f>IF(COUNTA(A2962:G2962)=0,"",IF(A2962="","N° facture manquant",IF(ISNA(MATCH(A2962,fa_num,0)),"Facture inconnue",IF(AND(B2962&lt;&gt;"",ISNA(MATCH(B2962,pr_code,0))),"Article inconnu",IF(H2962="","Désignation manquante",IF(OR(NOT(ISNUMBER(D2962)),N(D2962)&lt;=0),"Quantité invalide",IF(J2962="","Prix manquant",IF(OR(NOT(ISNUMBER(J2962)),N(J2962)&lt;0),"Prix invalide",IF(OR(AND(F2962&lt;&gt;"",NOT(ISNUMBER(F2962))),N(F2962)&lt;0,N(F2962)&gt;1),"Remise invalide",IF(K2962="","Taux de TVA manquant",IF(NOT(ISNUMBER(K2962)),"Taux de TVA invalide",IF(COUNTIF(p_rates,K2962)=0,"Taux de TVA hors liste (Paramètres)",IF(N(O2962)&gt;25,"Au-delà de 25 lignes : non imprimée","OK")))))))))))))</f>
        <v/>
      </c>
      <c r="O2962" s="59" t="str">
        <f>IF(A2962="","",COUNTIF($A$6:A2962,A2962))</f>
        <v/>
      </c>
      <c r="P2962" s="62" t="str">
        <f>IF(A2962="","",A2962&amp;"|"&amp;O2962)</f>
        <v/>
      </c>
    </row>
    <row r="2963">
      <c r="A2963" s="60" t="n"/>
      <c r="B2963" s="63" t="n"/>
      <c r="C2963" s="63" t="n"/>
      <c r="D2963" s="67" t="n"/>
      <c r="E2963" s="68" t="n"/>
      <c r="F2963" s="69" t="n"/>
      <c r="G2963" s="70" t="n"/>
      <c r="H2963" s="62" t="str">
        <f>IF(COUNTA(A2963:G2963)=0,"",IF(C2963&lt;&gt;"",C2963,IF(B2963="","",IFERROR(INDEX(pr_des,MATCH(B2963,pr_code,0))&amp;"",""))))</f>
        <v/>
      </c>
      <c r="I2963" s="59" t="str">
        <f>IF(B2963="","",IFERROR(INDEX(pr_unit,MATCH(B2963,pr_code,0))&amp;"",""))</f>
        <v/>
      </c>
      <c r="J2963" s="65" t="str">
        <f>IF(COUNTA(A2963:G2963)=0,"",IF(E2963&lt;&gt;"",E2963,IF(B2963="","",IFERROR(IF(INDEX(pr_price,MATCH(B2963,pr_code,0))="","",INDEX(pr_price,MATCH(B2963,pr_code,0))),""))))</f>
        <v/>
      </c>
      <c r="K2963" s="71" t="str">
        <f>IF(COUNTA(A2963:G2963)=0,"",IF(G2963&lt;&gt;"",G2963,IF(B2963="","",IFERROR(IF(INDEX(pr_rate,MATCH(B2963,pr_code,0))="","",INDEX(pr_rate,MATCH(B2963,pr_code,0))),""))))</f>
        <v/>
      </c>
      <c r="L2963" s="65" t="str">
        <f>IF(COUNTA(A2963:G2963)=0,"",IF(AND(ISNUMBER(D2963),ISNUMBER(J2963)),ROUND(D2963*J2963*(1-N(F2963)),2),0))</f>
        <v/>
      </c>
      <c r="M2963" s="62" t="str">
        <f>IF(A2963="","",IFERROR(INDEX(fa_cname,MATCH(A2963,fa_num,0))&amp;"",""))</f>
        <v/>
      </c>
      <c r="N2963" s="59" t="str">
        <f>IF(COUNTA(A2963:G2963)=0,"",IF(A2963="","N° facture manquant",IF(ISNA(MATCH(A2963,fa_num,0)),"Facture inconnue",IF(AND(B2963&lt;&gt;"",ISNA(MATCH(B2963,pr_code,0))),"Article inconnu",IF(H2963="","Désignation manquante",IF(OR(NOT(ISNUMBER(D2963)),N(D2963)&lt;=0),"Quantité invalide",IF(J2963="","Prix manquant",IF(OR(NOT(ISNUMBER(J2963)),N(J2963)&lt;0),"Prix invalide",IF(OR(AND(F2963&lt;&gt;"",NOT(ISNUMBER(F2963))),N(F2963)&lt;0,N(F2963)&gt;1),"Remise invalide",IF(K2963="","Taux de TVA manquant",IF(NOT(ISNUMBER(K2963)),"Taux de TVA invalide",IF(COUNTIF(p_rates,K2963)=0,"Taux de TVA hors liste (Paramètres)",IF(N(O2963)&gt;25,"Au-delà de 25 lignes : non imprimée","OK")))))))))))))</f>
        <v/>
      </c>
      <c r="O2963" s="59" t="str">
        <f>IF(A2963="","",COUNTIF($A$6:A2963,A2963))</f>
        <v/>
      </c>
      <c r="P2963" s="62" t="str">
        <f>IF(A2963="","",A2963&amp;"|"&amp;O2963)</f>
        <v/>
      </c>
    </row>
    <row r="2964">
      <c r="A2964" s="60" t="n"/>
      <c r="B2964" s="63" t="n"/>
      <c r="C2964" s="63" t="n"/>
      <c r="D2964" s="67" t="n"/>
      <c r="E2964" s="68" t="n"/>
      <c r="F2964" s="69" t="n"/>
      <c r="G2964" s="70" t="n"/>
      <c r="H2964" s="62" t="str">
        <f>IF(COUNTA(A2964:G2964)=0,"",IF(C2964&lt;&gt;"",C2964,IF(B2964="","",IFERROR(INDEX(pr_des,MATCH(B2964,pr_code,0))&amp;"",""))))</f>
        <v/>
      </c>
      <c r="I2964" s="59" t="str">
        <f>IF(B2964="","",IFERROR(INDEX(pr_unit,MATCH(B2964,pr_code,0))&amp;"",""))</f>
        <v/>
      </c>
      <c r="J2964" s="65" t="str">
        <f>IF(COUNTA(A2964:G2964)=0,"",IF(E2964&lt;&gt;"",E2964,IF(B2964="","",IFERROR(IF(INDEX(pr_price,MATCH(B2964,pr_code,0))="","",INDEX(pr_price,MATCH(B2964,pr_code,0))),""))))</f>
        <v/>
      </c>
      <c r="K2964" s="71" t="str">
        <f>IF(COUNTA(A2964:G2964)=0,"",IF(G2964&lt;&gt;"",G2964,IF(B2964="","",IFERROR(IF(INDEX(pr_rate,MATCH(B2964,pr_code,0))="","",INDEX(pr_rate,MATCH(B2964,pr_code,0))),""))))</f>
        <v/>
      </c>
      <c r="L2964" s="65" t="str">
        <f>IF(COUNTA(A2964:G2964)=0,"",IF(AND(ISNUMBER(D2964),ISNUMBER(J2964)),ROUND(D2964*J2964*(1-N(F2964)),2),0))</f>
        <v/>
      </c>
      <c r="M2964" s="62" t="str">
        <f>IF(A2964="","",IFERROR(INDEX(fa_cname,MATCH(A2964,fa_num,0))&amp;"",""))</f>
        <v/>
      </c>
      <c r="N2964" s="59" t="str">
        <f>IF(COUNTA(A2964:G2964)=0,"",IF(A2964="","N° facture manquant",IF(ISNA(MATCH(A2964,fa_num,0)),"Facture inconnue",IF(AND(B2964&lt;&gt;"",ISNA(MATCH(B2964,pr_code,0))),"Article inconnu",IF(H2964="","Désignation manquante",IF(OR(NOT(ISNUMBER(D2964)),N(D2964)&lt;=0),"Quantité invalide",IF(J2964="","Prix manquant",IF(OR(NOT(ISNUMBER(J2964)),N(J2964)&lt;0),"Prix invalide",IF(OR(AND(F2964&lt;&gt;"",NOT(ISNUMBER(F2964))),N(F2964)&lt;0,N(F2964)&gt;1),"Remise invalide",IF(K2964="","Taux de TVA manquant",IF(NOT(ISNUMBER(K2964)),"Taux de TVA invalide",IF(COUNTIF(p_rates,K2964)=0,"Taux de TVA hors liste (Paramètres)",IF(N(O2964)&gt;25,"Au-delà de 25 lignes : non imprimée","OK")))))))))))))</f>
        <v/>
      </c>
      <c r="O2964" s="59" t="str">
        <f>IF(A2964="","",COUNTIF($A$6:A2964,A2964))</f>
        <v/>
      </c>
      <c r="P2964" s="62" t="str">
        <f>IF(A2964="","",A2964&amp;"|"&amp;O2964)</f>
        <v/>
      </c>
    </row>
    <row r="2965">
      <c r="A2965" s="60" t="n"/>
      <c r="B2965" s="63" t="n"/>
      <c r="C2965" s="63" t="n"/>
      <c r="D2965" s="67" t="n"/>
      <c r="E2965" s="68" t="n"/>
      <c r="F2965" s="69" t="n"/>
      <c r="G2965" s="70" t="n"/>
      <c r="H2965" s="62" t="str">
        <f>IF(COUNTA(A2965:G2965)=0,"",IF(C2965&lt;&gt;"",C2965,IF(B2965="","",IFERROR(INDEX(pr_des,MATCH(B2965,pr_code,0))&amp;"",""))))</f>
        <v/>
      </c>
      <c r="I2965" s="59" t="str">
        <f>IF(B2965="","",IFERROR(INDEX(pr_unit,MATCH(B2965,pr_code,0))&amp;"",""))</f>
        <v/>
      </c>
      <c r="J2965" s="65" t="str">
        <f>IF(COUNTA(A2965:G2965)=0,"",IF(E2965&lt;&gt;"",E2965,IF(B2965="","",IFERROR(IF(INDEX(pr_price,MATCH(B2965,pr_code,0))="","",INDEX(pr_price,MATCH(B2965,pr_code,0))),""))))</f>
        <v/>
      </c>
      <c r="K2965" s="71" t="str">
        <f>IF(COUNTA(A2965:G2965)=0,"",IF(G2965&lt;&gt;"",G2965,IF(B2965="","",IFERROR(IF(INDEX(pr_rate,MATCH(B2965,pr_code,0))="","",INDEX(pr_rate,MATCH(B2965,pr_code,0))),""))))</f>
        <v/>
      </c>
      <c r="L2965" s="65" t="str">
        <f>IF(COUNTA(A2965:G2965)=0,"",IF(AND(ISNUMBER(D2965),ISNUMBER(J2965)),ROUND(D2965*J2965*(1-N(F2965)),2),0))</f>
        <v/>
      </c>
      <c r="M2965" s="62" t="str">
        <f>IF(A2965="","",IFERROR(INDEX(fa_cname,MATCH(A2965,fa_num,0))&amp;"",""))</f>
        <v/>
      </c>
      <c r="N2965" s="59" t="str">
        <f>IF(COUNTA(A2965:G2965)=0,"",IF(A2965="","N° facture manquant",IF(ISNA(MATCH(A2965,fa_num,0)),"Facture inconnue",IF(AND(B2965&lt;&gt;"",ISNA(MATCH(B2965,pr_code,0))),"Article inconnu",IF(H2965="","Désignation manquante",IF(OR(NOT(ISNUMBER(D2965)),N(D2965)&lt;=0),"Quantité invalide",IF(J2965="","Prix manquant",IF(OR(NOT(ISNUMBER(J2965)),N(J2965)&lt;0),"Prix invalide",IF(OR(AND(F2965&lt;&gt;"",NOT(ISNUMBER(F2965))),N(F2965)&lt;0,N(F2965)&gt;1),"Remise invalide",IF(K2965="","Taux de TVA manquant",IF(NOT(ISNUMBER(K2965)),"Taux de TVA invalide",IF(COUNTIF(p_rates,K2965)=0,"Taux de TVA hors liste (Paramètres)",IF(N(O2965)&gt;25,"Au-delà de 25 lignes : non imprimée","OK")))))))))))))</f>
        <v/>
      </c>
      <c r="O2965" s="59" t="str">
        <f>IF(A2965="","",COUNTIF($A$6:A2965,A2965))</f>
        <v/>
      </c>
      <c r="P2965" s="62" t="str">
        <f>IF(A2965="","",A2965&amp;"|"&amp;O2965)</f>
        <v/>
      </c>
    </row>
    <row r="2966">
      <c r="A2966" s="60" t="n"/>
      <c r="B2966" s="63" t="n"/>
      <c r="C2966" s="63" t="n"/>
      <c r="D2966" s="67" t="n"/>
      <c r="E2966" s="68" t="n"/>
      <c r="F2966" s="69" t="n"/>
      <c r="G2966" s="70" t="n"/>
      <c r="H2966" s="62" t="str">
        <f>IF(COUNTA(A2966:G2966)=0,"",IF(C2966&lt;&gt;"",C2966,IF(B2966="","",IFERROR(INDEX(pr_des,MATCH(B2966,pr_code,0))&amp;"",""))))</f>
        <v/>
      </c>
      <c r="I2966" s="59" t="str">
        <f>IF(B2966="","",IFERROR(INDEX(pr_unit,MATCH(B2966,pr_code,0))&amp;"",""))</f>
        <v/>
      </c>
      <c r="J2966" s="65" t="str">
        <f>IF(COUNTA(A2966:G2966)=0,"",IF(E2966&lt;&gt;"",E2966,IF(B2966="","",IFERROR(IF(INDEX(pr_price,MATCH(B2966,pr_code,0))="","",INDEX(pr_price,MATCH(B2966,pr_code,0))),""))))</f>
        <v/>
      </c>
      <c r="K2966" s="71" t="str">
        <f>IF(COUNTA(A2966:G2966)=0,"",IF(G2966&lt;&gt;"",G2966,IF(B2966="","",IFERROR(IF(INDEX(pr_rate,MATCH(B2966,pr_code,0))="","",INDEX(pr_rate,MATCH(B2966,pr_code,0))),""))))</f>
        <v/>
      </c>
      <c r="L2966" s="65" t="str">
        <f>IF(COUNTA(A2966:G2966)=0,"",IF(AND(ISNUMBER(D2966),ISNUMBER(J2966)),ROUND(D2966*J2966*(1-N(F2966)),2),0))</f>
        <v/>
      </c>
      <c r="M2966" s="62" t="str">
        <f>IF(A2966="","",IFERROR(INDEX(fa_cname,MATCH(A2966,fa_num,0))&amp;"",""))</f>
        <v/>
      </c>
      <c r="N2966" s="59" t="str">
        <f>IF(COUNTA(A2966:G2966)=0,"",IF(A2966="","N° facture manquant",IF(ISNA(MATCH(A2966,fa_num,0)),"Facture inconnue",IF(AND(B2966&lt;&gt;"",ISNA(MATCH(B2966,pr_code,0))),"Article inconnu",IF(H2966="","Désignation manquante",IF(OR(NOT(ISNUMBER(D2966)),N(D2966)&lt;=0),"Quantité invalide",IF(J2966="","Prix manquant",IF(OR(NOT(ISNUMBER(J2966)),N(J2966)&lt;0),"Prix invalide",IF(OR(AND(F2966&lt;&gt;"",NOT(ISNUMBER(F2966))),N(F2966)&lt;0,N(F2966)&gt;1),"Remise invalide",IF(K2966="","Taux de TVA manquant",IF(NOT(ISNUMBER(K2966)),"Taux de TVA invalide",IF(COUNTIF(p_rates,K2966)=0,"Taux de TVA hors liste (Paramètres)",IF(N(O2966)&gt;25,"Au-delà de 25 lignes : non imprimée","OK")))))))))))))</f>
        <v/>
      </c>
      <c r="O2966" s="59" t="str">
        <f>IF(A2966="","",COUNTIF($A$6:A2966,A2966))</f>
        <v/>
      </c>
      <c r="P2966" s="62" t="str">
        <f>IF(A2966="","",A2966&amp;"|"&amp;O2966)</f>
        <v/>
      </c>
    </row>
    <row r="2967">
      <c r="A2967" s="60" t="n"/>
      <c r="B2967" s="63" t="n"/>
      <c r="C2967" s="63" t="n"/>
      <c r="D2967" s="67" t="n"/>
      <c r="E2967" s="68" t="n"/>
      <c r="F2967" s="69" t="n"/>
      <c r="G2967" s="70" t="n"/>
      <c r="H2967" s="62" t="str">
        <f>IF(COUNTA(A2967:G2967)=0,"",IF(C2967&lt;&gt;"",C2967,IF(B2967="","",IFERROR(INDEX(pr_des,MATCH(B2967,pr_code,0))&amp;"",""))))</f>
        <v/>
      </c>
      <c r="I2967" s="59" t="str">
        <f>IF(B2967="","",IFERROR(INDEX(pr_unit,MATCH(B2967,pr_code,0))&amp;"",""))</f>
        <v/>
      </c>
      <c r="J2967" s="65" t="str">
        <f>IF(COUNTA(A2967:G2967)=0,"",IF(E2967&lt;&gt;"",E2967,IF(B2967="","",IFERROR(IF(INDEX(pr_price,MATCH(B2967,pr_code,0))="","",INDEX(pr_price,MATCH(B2967,pr_code,0))),""))))</f>
        <v/>
      </c>
      <c r="K2967" s="71" t="str">
        <f>IF(COUNTA(A2967:G2967)=0,"",IF(G2967&lt;&gt;"",G2967,IF(B2967="","",IFERROR(IF(INDEX(pr_rate,MATCH(B2967,pr_code,0))="","",INDEX(pr_rate,MATCH(B2967,pr_code,0))),""))))</f>
        <v/>
      </c>
      <c r="L2967" s="65" t="str">
        <f>IF(COUNTA(A2967:G2967)=0,"",IF(AND(ISNUMBER(D2967),ISNUMBER(J2967)),ROUND(D2967*J2967*(1-N(F2967)),2),0))</f>
        <v/>
      </c>
      <c r="M2967" s="62" t="str">
        <f>IF(A2967="","",IFERROR(INDEX(fa_cname,MATCH(A2967,fa_num,0))&amp;"",""))</f>
        <v/>
      </c>
      <c r="N2967" s="59" t="str">
        <f>IF(COUNTA(A2967:G2967)=0,"",IF(A2967="","N° facture manquant",IF(ISNA(MATCH(A2967,fa_num,0)),"Facture inconnue",IF(AND(B2967&lt;&gt;"",ISNA(MATCH(B2967,pr_code,0))),"Article inconnu",IF(H2967="","Désignation manquante",IF(OR(NOT(ISNUMBER(D2967)),N(D2967)&lt;=0),"Quantité invalide",IF(J2967="","Prix manquant",IF(OR(NOT(ISNUMBER(J2967)),N(J2967)&lt;0),"Prix invalide",IF(OR(AND(F2967&lt;&gt;"",NOT(ISNUMBER(F2967))),N(F2967)&lt;0,N(F2967)&gt;1),"Remise invalide",IF(K2967="","Taux de TVA manquant",IF(NOT(ISNUMBER(K2967)),"Taux de TVA invalide",IF(COUNTIF(p_rates,K2967)=0,"Taux de TVA hors liste (Paramètres)",IF(N(O2967)&gt;25,"Au-delà de 25 lignes : non imprimée","OK")))))))))))))</f>
        <v/>
      </c>
      <c r="O2967" s="59" t="str">
        <f>IF(A2967="","",COUNTIF($A$6:A2967,A2967))</f>
        <v/>
      </c>
      <c r="P2967" s="62" t="str">
        <f>IF(A2967="","",A2967&amp;"|"&amp;O2967)</f>
        <v/>
      </c>
    </row>
    <row r="2968">
      <c r="A2968" s="60" t="n"/>
      <c r="B2968" s="63" t="n"/>
      <c r="C2968" s="63" t="n"/>
      <c r="D2968" s="67" t="n"/>
      <c r="E2968" s="68" t="n"/>
      <c r="F2968" s="69" t="n"/>
      <c r="G2968" s="70" t="n"/>
      <c r="H2968" s="62" t="str">
        <f>IF(COUNTA(A2968:G2968)=0,"",IF(C2968&lt;&gt;"",C2968,IF(B2968="","",IFERROR(INDEX(pr_des,MATCH(B2968,pr_code,0))&amp;"",""))))</f>
        <v/>
      </c>
      <c r="I2968" s="59" t="str">
        <f>IF(B2968="","",IFERROR(INDEX(pr_unit,MATCH(B2968,pr_code,0))&amp;"",""))</f>
        <v/>
      </c>
      <c r="J2968" s="65" t="str">
        <f>IF(COUNTA(A2968:G2968)=0,"",IF(E2968&lt;&gt;"",E2968,IF(B2968="","",IFERROR(IF(INDEX(pr_price,MATCH(B2968,pr_code,0))="","",INDEX(pr_price,MATCH(B2968,pr_code,0))),""))))</f>
        <v/>
      </c>
      <c r="K2968" s="71" t="str">
        <f>IF(COUNTA(A2968:G2968)=0,"",IF(G2968&lt;&gt;"",G2968,IF(B2968="","",IFERROR(IF(INDEX(pr_rate,MATCH(B2968,pr_code,0))="","",INDEX(pr_rate,MATCH(B2968,pr_code,0))),""))))</f>
        <v/>
      </c>
      <c r="L2968" s="65" t="str">
        <f>IF(COUNTA(A2968:G2968)=0,"",IF(AND(ISNUMBER(D2968),ISNUMBER(J2968)),ROUND(D2968*J2968*(1-N(F2968)),2),0))</f>
        <v/>
      </c>
      <c r="M2968" s="62" t="str">
        <f>IF(A2968="","",IFERROR(INDEX(fa_cname,MATCH(A2968,fa_num,0))&amp;"",""))</f>
        <v/>
      </c>
      <c r="N2968" s="59" t="str">
        <f>IF(COUNTA(A2968:G2968)=0,"",IF(A2968="","N° facture manquant",IF(ISNA(MATCH(A2968,fa_num,0)),"Facture inconnue",IF(AND(B2968&lt;&gt;"",ISNA(MATCH(B2968,pr_code,0))),"Article inconnu",IF(H2968="","Désignation manquante",IF(OR(NOT(ISNUMBER(D2968)),N(D2968)&lt;=0),"Quantité invalide",IF(J2968="","Prix manquant",IF(OR(NOT(ISNUMBER(J2968)),N(J2968)&lt;0),"Prix invalide",IF(OR(AND(F2968&lt;&gt;"",NOT(ISNUMBER(F2968))),N(F2968)&lt;0,N(F2968)&gt;1),"Remise invalide",IF(K2968="","Taux de TVA manquant",IF(NOT(ISNUMBER(K2968)),"Taux de TVA invalide",IF(COUNTIF(p_rates,K2968)=0,"Taux de TVA hors liste (Paramètres)",IF(N(O2968)&gt;25,"Au-delà de 25 lignes : non imprimée","OK")))))))))))))</f>
        <v/>
      </c>
      <c r="O2968" s="59" t="str">
        <f>IF(A2968="","",COUNTIF($A$6:A2968,A2968))</f>
        <v/>
      </c>
      <c r="P2968" s="62" t="str">
        <f>IF(A2968="","",A2968&amp;"|"&amp;O2968)</f>
        <v/>
      </c>
    </row>
    <row r="2969">
      <c r="A2969" s="60" t="n"/>
      <c r="B2969" s="63" t="n"/>
      <c r="C2969" s="63" t="n"/>
      <c r="D2969" s="67" t="n"/>
      <c r="E2969" s="68" t="n"/>
      <c r="F2969" s="69" t="n"/>
      <c r="G2969" s="70" t="n"/>
      <c r="H2969" s="62" t="str">
        <f>IF(COUNTA(A2969:G2969)=0,"",IF(C2969&lt;&gt;"",C2969,IF(B2969="","",IFERROR(INDEX(pr_des,MATCH(B2969,pr_code,0))&amp;"",""))))</f>
        <v/>
      </c>
      <c r="I2969" s="59" t="str">
        <f>IF(B2969="","",IFERROR(INDEX(pr_unit,MATCH(B2969,pr_code,0))&amp;"",""))</f>
        <v/>
      </c>
      <c r="J2969" s="65" t="str">
        <f>IF(COUNTA(A2969:G2969)=0,"",IF(E2969&lt;&gt;"",E2969,IF(B2969="","",IFERROR(IF(INDEX(pr_price,MATCH(B2969,pr_code,0))="","",INDEX(pr_price,MATCH(B2969,pr_code,0))),""))))</f>
        <v/>
      </c>
      <c r="K2969" s="71" t="str">
        <f>IF(COUNTA(A2969:G2969)=0,"",IF(G2969&lt;&gt;"",G2969,IF(B2969="","",IFERROR(IF(INDEX(pr_rate,MATCH(B2969,pr_code,0))="","",INDEX(pr_rate,MATCH(B2969,pr_code,0))),""))))</f>
        <v/>
      </c>
      <c r="L2969" s="65" t="str">
        <f>IF(COUNTA(A2969:G2969)=0,"",IF(AND(ISNUMBER(D2969),ISNUMBER(J2969)),ROUND(D2969*J2969*(1-N(F2969)),2),0))</f>
        <v/>
      </c>
      <c r="M2969" s="62" t="str">
        <f>IF(A2969="","",IFERROR(INDEX(fa_cname,MATCH(A2969,fa_num,0))&amp;"",""))</f>
        <v/>
      </c>
      <c r="N2969" s="59" t="str">
        <f>IF(COUNTA(A2969:G2969)=0,"",IF(A2969="","N° facture manquant",IF(ISNA(MATCH(A2969,fa_num,0)),"Facture inconnue",IF(AND(B2969&lt;&gt;"",ISNA(MATCH(B2969,pr_code,0))),"Article inconnu",IF(H2969="","Désignation manquante",IF(OR(NOT(ISNUMBER(D2969)),N(D2969)&lt;=0),"Quantité invalide",IF(J2969="","Prix manquant",IF(OR(NOT(ISNUMBER(J2969)),N(J2969)&lt;0),"Prix invalide",IF(OR(AND(F2969&lt;&gt;"",NOT(ISNUMBER(F2969))),N(F2969)&lt;0,N(F2969)&gt;1),"Remise invalide",IF(K2969="","Taux de TVA manquant",IF(NOT(ISNUMBER(K2969)),"Taux de TVA invalide",IF(COUNTIF(p_rates,K2969)=0,"Taux de TVA hors liste (Paramètres)",IF(N(O2969)&gt;25,"Au-delà de 25 lignes : non imprimée","OK")))))))))))))</f>
        <v/>
      </c>
      <c r="O2969" s="59" t="str">
        <f>IF(A2969="","",COUNTIF($A$6:A2969,A2969))</f>
        <v/>
      </c>
      <c r="P2969" s="62" t="str">
        <f>IF(A2969="","",A2969&amp;"|"&amp;O2969)</f>
        <v/>
      </c>
    </row>
    <row r="2970">
      <c r="A2970" s="60" t="n"/>
      <c r="B2970" s="63" t="n"/>
      <c r="C2970" s="63" t="n"/>
      <c r="D2970" s="67" t="n"/>
      <c r="E2970" s="68" t="n"/>
      <c r="F2970" s="69" t="n"/>
      <c r="G2970" s="70" t="n"/>
      <c r="H2970" s="62" t="str">
        <f>IF(COUNTA(A2970:G2970)=0,"",IF(C2970&lt;&gt;"",C2970,IF(B2970="","",IFERROR(INDEX(pr_des,MATCH(B2970,pr_code,0))&amp;"",""))))</f>
        <v/>
      </c>
      <c r="I2970" s="59" t="str">
        <f>IF(B2970="","",IFERROR(INDEX(pr_unit,MATCH(B2970,pr_code,0))&amp;"",""))</f>
        <v/>
      </c>
      <c r="J2970" s="65" t="str">
        <f>IF(COUNTA(A2970:G2970)=0,"",IF(E2970&lt;&gt;"",E2970,IF(B2970="","",IFERROR(IF(INDEX(pr_price,MATCH(B2970,pr_code,0))="","",INDEX(pr_price,MATCH(B2970,pr_code,0))),""))))</f>
        <v/>
      </c>
      <c r="K2970" s="71" t="str">
        <f>IF(COUNTA(A2970:G2970)=0,"",IF(G2970&lt;&gt;"",G2970,IF(B2970="","",IFERROR(IF(INDEX(pr_rate,MATCH(B2970,pr_code,0))="","",INDEX(pr_rate,MATCH(B2970,pr_code,0))),""))))</f>
        <v/>
      </c>
      <c r="L2970" s="65" t="str">
        <f>IF(COUNTA(A2970:G2970)=0,"",IF(AND(ISNUMBER(D2970),ISNUMBER(J2970)),ROUND(D2970*J2970*(1-N(F2970)),2),0))</f>
        <v/>
      </c>
      <c r="M2970" s="62" t="str">
        <f>IF(A2970="","",IFERROR(INDEX(fa_cname,MATCH(A2970,fa_num,0))&amp;"",""))</f>
        <v/>
      </c>
      <c r="N2970" s="59" t="str">
        <f>IF(COUNTA(A2970:G2970)=0,"",IF(A2970="","N° facture manquant",IF(ISNA(MATCH(A2970,fa_num,0)),"Facture inconnue",IF(AND(B2970&lt;&gt;"",ISNA(MATCH(B2970,pr_code,0))),"Article inconnu",IF(H2970="","Désignation manquante",IF(OR(NOT(ISNUMBER(D2970)),N(D2970)&lt;=0),"Quantité invalide",IF(J2970="","Prix manquant",IF(OR(NOT(ISNUMBER(J2970)),N(J2970)&lt;0),"Prix invalide",IF(OR(AND(F2970&lt;&gt;"",NOT(ISNUMBER(F2970))),N(F2970)&lt;0,N(F2970)&gt;1),"Remise invalide",IF(K2970="","Taux de TVA manquant",IF(NOT(ISNUMBER(K2970)),"Taux de TVA invalide",IF(COUNTIF(p_rates,K2970)=0,"Taux de TVA hors liste (Paramètres)",IF(N(O2970)&gt;25,"Au-delà de 25 lignes : non imprimée","OK")))))))))))))</f>
        <v/>
      </c>
      <c r="O2970" s="59" t="str">
        <f>IF(A2970="","",COUNTIF($A$6:A2970,A2970))</f>
        <v/>
      </c>
      <c r="P2970" s="62" t="str">
        <f>IF(A2970="","",A2970&amp;"|"&amp;O2970)</f>
        <v/>
      </c>
    </row>
    <row r="2971">
      <c r="A2971" s="60" t="n"/>
      <c r="B2971" s="63" t="n"/>
      <c r="C2971" s="63" t="n"/>
      <c r="D2971" s="67" t="n"/>
      <c r="E2971" s="68" t="n"/>
      <c r="F2971" s="69" t="n"/>
      <c r="G2971" s="70" t="n"/>
      <c r="H2971" s="62" t="str">
        <f>IF(COUNTA(A2971:G2971)=0,"",IF(C2971&lt;&gt;"",C2971,IF(B2971="","",IFERROR(INDEX(pr_des,MATCH(B2971,pr_code,0))&amp;"",""))))</f>
        <v/>
      </c>
      <c r="I2971" s="59" t="str">
        <f>IF(B2971="","",IFERROR(INDEX(pr_unit,MATCH(B2971,pr_code,0))&amp;"",""))</f>
        <v/>
      </c>
      <c r="J2971" s="65" t="str">
        <f>IF(COUNTA(A2971:G2971)=0,"",IF(E2971&lt;&gt;"",E2971,IF(B2971="","",IFERROR(IF(INDEX(pr_price,MATCH(B2971,pr_code,0))="","",INDEX(pr_price,MATCH(B2971,pr_code,0))),""))))</f>
        <v/>
      </c>
      <c r="K2971" s="71" t="str">
        <f>IF(COUNTA(A2971:G2971)=0,"",IF(G2971&lt;&gt;"",G2971,IF(B2971="","",IFERROR(IF(INDEX(pr_rate,MATCH(B2971,pr_code,0))="","",INDEX(pr_rate,MATCH(B2971,pr_code,0))),""))))</f>
        <v/>
      </c>
      <c r="L2971" s="65" t="str">
        <f>IF(COUNTA(A2971:G2971)=0,"",IF(AND(ISNUMBER(D2971),ISNUMBER(J2971)),ROUND(D2971*J2971*(1-N(F2971)),2),0))</f>
        <v/>
      </c>
      <c r="M2971" s="62" t="str">
        <f>IF(A2971="","",IFERROR(INDEX(fa_cname,MATCH(A2971,fa_num,0))&amp;"",""))</f>
        <v/>
      </c>
      <c r="N2971" s="59" t="str">
        <f>IF(COUNTA(A2971:G2971)=0,"",IF(A2971="","N° facture manquant",IF(ISNA(MATCH(A2971,fa_num,0)),"Facture inconnue",IF(AND(B2971&lt;&gt;"",ISNA(MATCH(B2971,pr_code,0))),"Article inconnu",IF(H2971="","Désignation manquante",IF(OR(NOT(ISNUMBER(D2971)),N(D2971)&lt;=0),"Quantité invalide",IF(J2971="","Prix manquant",IF(OR(NOT(ISNUMBER(J2971)),N(J2971)&lt;0),"Prix invalide",IF(OR(AND(F2971&lt;&gt;"",NOT(ISNUMBER(F2971))),N(F2971)&lt;0,N(F2971)&gt;1),"Remise invalide",IF(K2971="","Taux de TVA manquant",IF(NOT(ISNUMBER(K2971)),"Taux de TVA invalide",IF(COUNTIF(p_rates,K2971)=0,"Taux de TVA hors liste (Paramètres)",IF(N(O2971)&gt;25,"Au-delà de 25 lignes : non imprimée","OK")))))))))))))</f>
        <v/>
      </c>
      <c r="O2971" s="59" t="str">
        <f>IF(A2971="","",COUNTIF($A$6:A2971,A2971))</f>
        <v/>
      </c>
      <c r="P2971" s="62" t="str">
        <f>IF(A2971="","",A2971&amp;"|"&amp;O2971)</f>
        <v/>
      </c>
    </row>
    <row r="2972">
      <c r="A2972" s="60" t="n"/>
      <c r="B2972" s="63" t="n"/>
      <c r="C2972" s="63" t="n"/>
      <c r="D2972" s="67" t="n"/>
      <c r="E2972" s="68" t="n"/>
      <c r="F2972" s="69" t="n"/>
      <c r="G2972" s="70" t="n"/>
      <c r="H2972" s="62" t="str">
        <f>IF(COUNTA(A2972:G2972)=0,"",IF(C2972&lt;&gt;"",C2972,IF(B2972="","",IFERROR(INDEX(pr_des,MATCH(B2972,pr_code,0))&amp;"",""))))</f>
        <v/>
      </c>
      <c r="I2972" s="59" t="str">
        <f>IF(B2972="","",IFERROR(INDEX(pr_unit,MATCH(B2972,pr_code,0))&amp;"",""))</f>
        <v/>
      </c>
      <c r="J2972" s="65" t="str">
        <f>IF(COUNTA(A2972:G2972)=0,"",IF(E2972&lt;&gt;"",E2972,IF(B2972="","",IFERROR(IF(INDEX(pr_price,MATCH(B2972,pr_code,0))="","",INDEX(pr_price,MATCH(B2972,pr_code,0))),""))))</f>
        <v/>
      </c>
      <c r="K2972" s="71" t="str">
        <f>IF(COUNTA(A2972:G2972)=0,"",IF(G2972&lt;&gt;"",G2972,IF(B2972="","",IFERROR(IF(INDEX(pr_rate,MATCH(B2972,pr_code,0))="","",INDEX(pr_rate,MATCH(B2972,pr_code,0))),""))))</f>
        <v/>
      </c>
      <c r="L2972" s="65" t="str">
        <f>IF(COUNTA(A2972:G2972)=0,"",IF(AND(ISNUMBER(D2972),ISNUMBER(J2972)),ROUND(D2972*J2972*(1-N(F2972)),2),0))</f>
        <v/>
      </c>
      <c r="M2972" s="62" t="str">
        <f>IF(A2972="","",IFERROR(INDEX(fa_cname,MATCH(A2972,fa_num,0))&amp;"",""))</f>
        <v/>
      </c>
      <c r="N2972" s="59" t="str">
        <f>IF(COUNTA(A2972:G2972)=0,"",IF(A2972="","N° facture manquant",IF(ISNA(MATCH(A2972,fa_num,0)),"Facture inconnue",IF(AND(B2972&lt;&gt;"",ISNA(MATCH(B2972,pr_code,0))),"Article inconnu",IF(H2972="","Désignation manquante",IF(OR(NOT(ISNUMBER(D2972)),N(D2972)&lt;=0),"Quantité invalide",IF(J2972="","Prix manquant",IF(OR(NOT(ISNUMBER(J2972)),N(J2972)&lt;0),"Prix invalide",IF(OR(AND(F2972&lt;&gt;"",NOT(ISNUMBER(F2972))),N(F2972)&lt;0,N(F2972)&gt;1),"Remise invalide",IF(K2972="","Taux de TVA manquant",IF(NOT(ISNUMBER(K2972)),"Taux de TVA invalide",IF(COUNTIF(p_rates,K2972)=0,"Taux de TVA hors liste (Paramètres)",IF(N(O2972)&gt;25,"Au-delà de 25 lignes : non imprimée","OK")))))))))))))</f>
        <v/>
      </c>
      <c r="O2972" s="59" t="str">
        <f>IF(A2972="","",COUNTIF($A$6:A2972,A2972))</f>
        <v/>
      </c>
      <c r="P2972" s="62" t="str">
        <f>IF(A2972="","",A2972&amp;"|"&amp;O2972)</f>
        <v/>
      </c>
    </row>
    <row r="2973">
      <c r="A2973" s="60" t="n"/>
      <c r="B2973" s="63" t="n"/>
      <c r="C2973" s="63" t="n"/>
      <c r="D2973" s="67" t="n"/>
      <c r="E2973" s="68" t="n"/>
      <c r="F2973" s="69" t="n"/>
      <c r="G2973" s="70" t="n"/>
      <c r="H2973" s="62" t="str">
        <f>IF(COUNTA(A2973:G2973)=0,"",IF(C2973&lt;&gt;"",C2973,IF(B2973="","",IFERROR(INDEX(pr_des,MATCH(B2973,pr_code,0))&amp;"",""))))</f>
        <v/>
      </c>
      <c r="I2973" s="59" t="str">
        <f>IF(B2973="","",IFERROR(INDEX(pr_unit,MATCH(B2973,pr_code,0))&amp;"",""))</f>
        <v/>
      </c>
      <c r="J2973" s="65" t="str">
        <f>IF(COUNTA(A2973:G2973)=0,"",IF(E2973&lt;&gt;"",E2973,IF(B2973="","",IFERROR(IF(INDEX(pr_price,MATCH(B2973,pr_code,0))="","",INDEX(pr_price,MATCH(B2973,pr_code,0))),""))))</f>
        <v/>
      </c>
      <c r="K2973" s="71" t="str">
        <f>IF(COUNTA(A2973:G2973)=0,"",IF(G2973&lt;&gt;"",G2973,IF(B2973="","",IFERROR(IF(INDEX(pr_rate,MATCH(B2973,pr_code,0))="","",INDEX(pr_rate,MATCH(B2973,pr_code,0))),""))))</f>
        <v/>
      </c>
      <c r="L2973" s="65" t="str">
        <f>IF(COUNTA(A2973:G2973)=0,"",IF(AND(ISNUMBER(D2973),ISNUMBER(J2973)),ROUND(D2973*J2973*(1-N(F2973)),2),0))</f>
        <v/>
      </c>
      <c r="M2973" s="62" t="str">
        <f>IF(A2973="","",IFERROR(INDEX(fa_cname,MATCH(A2973,fa_num,0))&amp;"",""))</f>
        <v/>
      </c>
      <c r="N2973" s="59" t="str">
        <f>IF(COUNTA(A2973:G2973)=0,"",IF(A2973="","N° facture manquant",IF(ISNA(MATCH(A2973,fa_num,0)),"Facture inconnue",IF(AND(B2973&lt;&gt;"",ISNA(MATCH(B2973,pr_code,0))),"Article inconnu",IF(H2973="","Désignation manquante",IF(OR(NOT(ISNUMBER(D2973)),N(D2973)&lt;=0),"Quantité invalide",IF(J2973="","Prix manquant",IF(OR(NOT(ISNUMBER(J2973)),N(J2973)&lt;0),"Prix invalide",IF(OR(AND(F2973&lt;&gt;"",NOT(ISNUMBER(F2973))),N(F2973)&lt;0,N(F2973)&gt;1),"Remise invalide",IF(K2973="","Taux de TVA manquant",IF(NOT(ISNUMBER(K2973)),"Taux de TVA invalide",IF(COUNTIF(p_rates,K2973)=0,"Taux de TVA hors liste (Paramètres)",IF(N(O2973)&gt;25,"Au-delà de 25 lignes : non imprimée","OK")))))))))))))</f>
        <v/>
      </c>
      <c r="O2973" s="59" t="str">
        <f>IF(A2973="","",COUNTIF($A$6:A2973,A2973))</f>
        <v/>
      </c>
      <c r="P2973" s="62" t="str">
        <f>IF(A2973="","",A2973&amp;"|"&amp;O2973)</f>
        <v/>
      </c>
    </row>
    <row r="2974">
      <c r="A2974" s="60" t="n"/>
      <c r="B2974" s="63" t="n"/>
      <c r="C2974" s="63" t="n"/>
      <c r="D2974" s="67" t="n"/>
      <c r="E2974" s="68" t="n"/>
      <c r="F2974" s="69" t="n"/>
      <c r="G2974" s="70" t="n"/>
      <c r="H2974" s="62" t="str">
        <f>IF(COUNTA(A2974:G2974)=0,"",IF(C2974&lt;&gt;"",C2974,IF(B2974="","",IFERROR(INDEX(pr_des,MATCH(B2974,pr_code,0))&amp;"",""))))</f>
        <v/>
      </c>
      <c r="I2974" s="59" t="str">
        <f>IF(B2974="","",IFERROR(INDEX(pr_unit,MATCH(B2974,pr_code,0))&amp;"",""))</f>
        <v/>
      </c>
      <c r="J2974" s="65" t="str">
        <f>IF(COUNTA(A2974:G2974)=0,"",IF(E2974&lt;&gt;"",E2974,IF(B2974="","",IFERROR(IF(INDEX(pr_price,MATCH(B2974,pr_code,0))="","",INDEX(pr_price,MATCH(B2974,pr_code,0))),""))))</f>
        <v/>
      </c>
      <c r="K2974" s="71" t="str">
        <f>IF(COUNTA(A2974:G2974)=0,"",IF(G2974&lt;&gt;"",G2974,IF(B2974="","",IFERROR(IF(INDEX(pr_rate,MATCH(B2974,pr_code,0))="","",INDEX(pr_rate,MATCH(B2974,pr_code,0))),""))))</f>
        <v/>
      </c>
      <c r="L2974" s="65" t="str">
        <f>IF(COUNTA(A2974:G2974)=0,"",IF(AND(ISNUMBER(D2974),ISNUMBER(J2974)),ROUND(D2974*J2974*(1-N(F2974)),2),0))</f>
        <v/>
      </c>
      <c r="M2974" s="62" t="str">
        <f>IF(A2974="","",IFERROR(INDEX(fa_cname,MATCH(A2974,fa_num,0))&amp;"",""))</f>
        <v/>
      </c>
      <c r="N2974" s="59" t="str">
        <f>IF(COUNTA(A2974:G2974)=0,"",IF(A2974="","N° facture manquant",IF(ISNA(MATCH(A2974,fa_num,0)),"Facture inconnue",IF(AND(B2974&lt;&gt;"",ISNA(MATCH(B2974,pr_code,0))),"Article inconnu",IF(H2974="","Désignation manquante",IF(OR(NOT(ISNUMBER(D2974)),N(D2974)&lt;=0),"Quantité invalide",IF(J2974="","Prix manquant",IF(OR(NOT(ISNUMBER(J2974)),N(J2974)&lt;0),"Prix invalide",IF(OR(AND(F2974&lt;&gt;"",NOT(ISNUMBER(F2974))),N(F2974)&lt;0,N(F2974)&gt;1),"Remise invalide",IF(K2974="","Taux de TVA manquant",IF(NOT(ISNUMBER(K2974)),"Taux de TVA invalide",IF(COUNTIF(p_rates,K2974)=0,"Taux de TVA hors liste (Paramètres)",IF(N(O2974)&gt;25,"Au-delà de 25 lignes : non imprimée","OK")))))))))))))</f>
        <v/>
      </c>
      <c r="O2974" s="59" t="str">
        <f>IF(A2974="","",COUNTIF($A$6:A2974,A2974))</f>
        <v/>
      </c>
      <c r="P2974" s="62" t="str">
        <f>IF(A2974="","",A2974&amp;"|"&amp;O2974)</f>
        <v/>
      </c>
    </row>
    <row r="2975">
      <c r="A2975" s="60" t="n"/>
      <c r="B2975" s="63" t="n"/>
      <c r="C2975" s="63" t="n"/>
      <c r="D2975" s="67" t="n"/>
      <c r="E2975" s="68" t="n"/>
      <c r="F2975" s="69" t="n"/>
      <c r="G2975" s="70" t="n"/>
      <c r="H2975" s="62" t="str">
        <f>IF(COUNTA(A2975:G2975)=0,"",IF(C2975&lt;&gt;"",C2975,IF(B2975="","",IFERROR(INDEX(pr_des,MATCH(B2975,pr_code,0))&amp;"",""))))</f>
        <v/>
      </c>
      <c r="I2975" s="59" t="str">
        <f>IF(B2975="","",IFERROR(INDEX(pr_unit,MATCH(B2975,pr_code,0))&amp;"",""))</f>
        <v/>
      </c>
      <c r="J2975" s="65" t="str">
        <f>IF(COUNTA(A2975:G2975)=0,"",IF(E2975&lt;&gt;"",E2975,IF(B2975="","",IFERROR(IF(INDEX(pr_price,MATCH(B2975,pr_code,0))="","",INDEX(pr_price,MATCH(B2975,pr_code,0))),""))))</f>
        <v/>
      </c>
      <c r="K2975" s="71" t="str">
        <f>IF(COUNTA(A2975:G2975)=0,"",IF(G2975&lt;&gt;"",G2975,IF(B2975="","",IFERROR(IF(INDEX(pr_rate,MATCH(B2975,pr_code,0))="","",INDEX(pr_rate,MATCH(B2975,pr_code,0))),""))))</f>
        <v/>
      </c>
      <c r="L2975" s="65" t="str">
        <f>IF(COUNTA(A2975:G2975)=0,"",IF(AND(ISNUMBER(D2975),ISNUMBER(J2975)),ROUND(D2975*J2975*(1-N(F2975)),2),0))</f>
        <v/>
      </c>
      <c r="M2975" s="62" t="str">
        <f>IF(A2975="","",IFERROR(INDEX(fa_cname,MATCH(A2975,fa_num,0))&amp;"",""))</f>
        <v/>
      </c>
      <c r="N2975" s="59" t="str">
        <f>IF(COUNTA(A2975:G2975)=0,"",IF(A2975="","N° facture manquant",IF(ISNA(MATCH(A2975,fa_num,0)),"Facture inconnue",IF(AND(B2975&lt;&gt;"",ISNA(MATCH(B2975,pr_code,0))),"Article inconnu",IF(H2975="","Désignation manquante",IF(OR(NOT(ISNUMBER(D2975)),N(D2975)&lt;=0),"Quantité invalide",IF(J2975="","Prix manquant",IF(OR(NOT(ISNUMBER(J2975)),N(J2975)&lt;0),"Prix invalide",IF(OR(AND(F2975&lt;&gt;"",NOT(ISNUMBER(F2975))),N(F2975)&lt;0,N(F2975)&gt;1),"Remise invalide",IF(K2975="","Taux de TVA manquant",IF(NOT(ISNUMBER(K2975)),"Taux de TVA invalide",IF(COUNTIF(p_rates,K2975)=0,"Taux de TVA hors liste (Paramètres)",IF(N(O2975)&gt;25,"Au-delà de 25 lignes : non imprimée","OK")))))))))))))</f>
        <v/>
      </c>
      <c r="O2975" s="59" t="str">
        <f>IF(A2975="","",COUNTIF($A$6:A2975,A2975))</f>
        <v/>
      </c>
      <c r="P2975" s="62" t="str">
        <f>IF(A2975="","",A2975&amp;"|"&amp;O2975)</f>
        <v/>
      </c>
    </row>
    <row r="2976">
      <c r="A2976" s="60" t="n"/>
      <c r="B2976" s="63" t="n"/>
      <c r="C2976" s="63" t="n"/>
      <c r="D2976" s="67" t="n"/>
      <c r="E2976" s="68" t="n"/>
      <c r="F2976" s="69" t="n"/>
      <c r="G2976" s="70" t="n"/>
      <c r="H2976" s="62" t="str">
        <f>IF(COUNTA(A2976:G2976)=0,"",IF(C2976&lt;&gt;"",C2976,IF(B2976="","",IFERROR(INDEX(pr_des,MATCH(B2976,pr_code,0))&amp;"",""))))</f>
        <v/>
      </c>
      <c r="I2976" s="59" t="str">
        <f>IF(B2976="","",IFERROR(INDEX(pr_unit,MATCH(B2976,pr_code,0))&amp;"",""))</f>
        <v/>
      </c>
      <c r="J2976" s="65" t="str">
        <f>IF(COUNTA(A2976:G2976)=0,"",IF(E2976&lt;&gt;"",E2976,IF(B2976="","",IFERROR(IF(INDEX(pr_price,MATCH(B2976,pr_code,0))="","",INDEX(pr_price,MATCH(B2976,pr_code,0))),""))))</f>
        <v/>
      </c>
      <c r="K2976" s="71" t="str">
        <f>IF(COUNTA(A2976:G2976)=0,"",IF(G2976&lt;&gt;"",G2976,IF(B2976="","",IFERROR(IF(INDEX(pr_rate,MATCH(B2976,pr_code,0))="","",INDEX(pr_rate,MATCH(B2976,pr_code,0))),""))))</f>
        <v/>
      </c>
      <c r="L2976" s="65" t="str">
        <f>IF(COUNTA(A2976:G2976)=0,"",IF(AND(ISNUMBER(D2976),ISNUMBER(J2976)),ROUND(D2976*J2976*(1-N(F2976)),2),0))</f>
        <v/>
      </c>
      <c r="M2976" s="62" t="str">
        <f>IF(A2976="","",IFERROR(INDEX(fa_cname,MATCH(A2976,fa_num,0))&amp;"",""))</f>
        <v/>
      </c>
      <c r="N2976" s="59" t="str">
        <f>IF(COUNTA(A2976:G2976)=0,"",IF(A2976="","N° facture manquant",IF(ISNA(MATCH(A2976,fa_num,0)),"Facture inconnue",IF(AND(B2976&lt;&gt;"",ISNA(MATCH(B2976,pr_code,0))),"Article inconnu",IF(H2976="","Désignation manquante",IF(OR(NOT(ISNUMBER(D2976)),N(D2976)&lt;=0),"Quantité invalide",IF(J2976="","Prix manquant",IF(OR(NOT(ISNUMBER(J2976)),N(J2976)&lt;0),"Prix invalide",IF(OR(AND(F2976&lt;&gt;"",NOT(ISNUMBER(F2976))),N(F2976)&lt;0,N(F2976)&gt;1),"Remise invalide",IF(K2976="","Taux de TVA manquant",IF(NOT(ISNUMBER(K2976)),"Taux de TVA invalide",IF(COUNTIF(p_rates,K2976)=0,"Taux de TVA hors liste (Paramètres)",IF(N(O2976)&gt;25,"Au-delà de 25 lignes : non imprimée","OK")))))))))))))</f>
        <v/>
      </c>
      <c r="O2976" s="59" t="str">
        <f>IF(A2976="","",COUNTIF($A$6:A2976,A2976))</f>
        <v/>
      </c>
      <c r="P2976" s="62" t="str">
        <f>IF(A2976="","",A2976&amp;"|"&amp;O2976)</f>
        <v/>
      </c>
    </row>
    <row r="2977">
      <c r="A2977" s="60" t="n"/>
      <c r="B2977" s="63" t="n"/>
      <c r="C2977" s="63" t="n"/>
      <c r="D2977" s="67" t="n"/>
      <c r="E2977" s="68" t="n"/>
      <c r="F2977" s="69" t="n"/>
      <c r="G2977" s="70" t="n"/>
      <c r="H2977" s="62" t="str">
        <f>IF(COUNTA(A2977:G2977)=0,"",IF(C2977&lt;&gt;"",C2977,IF(B2977="","",IFERROR(INDEX(pr_des,MATCH(B2977,pr_code,0))&amp;"",""))))</f>
        <v/>
      </c>
      <c r="I2977" s="59" t="str">
        <f>IF(B2977="","",IFERROR(INDEX(pr_unit,MATCH(B2977,pr_code,0))&amp;"",""))</f>
        <v/>
      </c>
      <c r="J2977" s="65" t="str">
        <f>IF(COUNTA(A2977:G2977)=0,"",IF(E2977&lt;&gt;"",E2977,IF(B2977="","",IFERROR(IF(INDEX(pr_price,MATCH(B2977,pr_code,0))="","",INDEX(pr_price,MATCH(B2977,pr_code,0))),""))))</f>
        <v/>
      </c>
      <c r="K2977" s="71" t="str">
        <f>IF(COUNTA(A2977:G2977)=0,"",IF(G2977&lt;&gt;"",G2977,IF(B2977="","",IFERROR(IF(INDEX(pr_rate,MATCH(B2977,pr_code,0))="","",INDEX(pr_rate,MATCH(B2977,pr_code,0))),""))))</f>
        <v/>
      </c>
      <c r="L2977" s="65" t="str">
        <f>IF(COUNTA(A2977:G2977)=0,"",IF(AND(ISNUMBER(D2977),ISNUMBER(J2977)),ROUND(D2977*J2977*(1-N(F2977)),2),0))</f>
        <v/>
      </c>
      <c r="M2977" s="62" t="str">
        <f>IF(A2977="","",IFERROR(INDEX(fa_cname,MATCH(A2977,fa_num,0))&amp;"",""))</f>
        <v/>
      </c>
      <c r="N2977" s="59" t="str">
        <f>IF(COUNTA(A2977:G2977)=0,"",IF(A2977="","N° facture manquant",IF(ISNA(MATCH(A2977,fa_num,0)),"Facture inconnue",IF(AND(B2977&lt;&gt;"",ISNA(MATCH(B2977,pr_code,0))),"Article inconnu",IF(H2977="","Désignation manquante",IF(OR(NOT(ISNUMBER(D2977)),N(D2977)&lt;=0),"Quantité invalide",IF(J2977="","Prix manquant",IF(OR(NOT(ISNUMBER(J2977)),N(J2977)&lt;0),"Prix invalide",IF(OR(AND(F2977&lt;&gt;"",NOT(ISNUMBER(F2977))),N(F2977)&lt;0,N(F2977)&gt;1),"Remise invalide",IF(K2977="","Taux de TVA manquant",IF(NOT(ISNUMBER(K2977)),"Taux de TVA invalide",IF(COUNTIF(p_rates,K2977)=0,"Taux de TVA hors liste (Paramètres)",IF(N(O2977)&gt;25,"Au-delà de 25 lignes : non imprimée","OK")))))))))))))</f>
        <v/>
      </c>
      <c r="O2977" s="59" t="str">
        <f>IF(A2977="","",COUNTIF($A$6:A2977,A2977))</f>
        <v/>
      </c>
      <c r="P2977" s="62" t="str">
        <f>IF(A2977="","",A2977&amp;"|"&amp;O2977)</f>
        <v/>
      </c>
    </row>
    <row r="2978">
      <c r="A2978" s="60" t="n"/>
      <c r="B2978" s="63" t="n"/>
      <c r="C2978" s="63" t="n"/>
      <c r="D2978" s="67" t="n"/>
      <c r="E2978" s="68" t="n"/>
      <c r="F2978" s="69" t="n"/>
      <c r="G2978" s="70" t="n"/>
      <c r="H2978" s="62" t="str">
        <f>IF(COUNTA(A2978:G2978)=0,"",IF(C2978&lt;&gt;"",C2978,IF(B2978="","",IFERROR(INDEX(pr_des,MATCH(B2978,pr_code,0))&amp;"",""))))</f>
        <v/>
      </c>
      <c r="I2978" s="59" t="str">
        <f>IF(B2978="","",IFERROR(INDEX(pr_unit,MATCH(B2978,pr_code,0))&amp;"",""))</f>
        <v/>
      </c>
      <c r="J2978" s="65" t="str">
        <f>IF(COUNTA(A2978:G2978)=0,"",IF(E2978&lt;&gt;"",E2978,IF(B2978="","",IFERROR(IF(INDEX(pr_price,MATCH(B2978,pr_code,0))="","",INDEX(pr_price,MATCH(B2978,pr_code,0))),""))))</f>
        <v/>
      </c>
      <c r="K2978" s="71" t="str">
        <f>IF(COUNTA(A2978:G2978)=0,"",IF(G2978&lt;&gt;"",G2978,IF(B2978="","",IFERROR(IF(INDEX(pr_rate,MATCH(B2978,pr_code,0))="","",INDEX(pr_rate,MATCH(B2978,pr_code,0))),""))))</f>
        <v/>
      </c>
      <c r="L2978" s="65" t="str">
        <f>IF(COUNTA(A2978:G2978)=0,"",IF(AND(ISNUMBER(D2978),ISNUMBER(J2978)),ROUND(D2978*J2978*(1-N(F2978)),2),0))</f>
        <v/>
      </c>
      <c r="M2978" s="62" t="str">
        <f>IF(A2978="","",IFERROR(INDEX(fa_cname,MATCH(A2978,fa_num,0))&amp;"",""))</f>
        <v/>
      </c>
      <c r="N2978" s="59" t="str">
        <f>IF(COUNTA(A2978:G2978)=0,"",IF(A2978="","N° facture manquant",IF(ISNA(MATCH(A2978,fa_num,0)),"Facture inconnue",IF(AND(B2978&lt;&gt;"",ISNA(MATCH(B2978,pr_code,0))),"Article inconnu",IF(H2978="","Désignation manquante",IF(OR(NOT(ISNUMBER(D2978)),N(D2978)&lt;=0),"Quantité invalide",IF(J2978="","Prix manquant",IF(OR(NOT(ISNUMBER(J2978)),N(J2978)&lt;0),"Prix invalide",IF(OR(AND(F2978&lt;&gt;"",NOT(ISNUMBER(F2978))),N(F2978)&lt;0,N(F2978)&gt;1),"Remise invalide",IF(K2978="","Taux de TVA manquant",IF(NOT(ISNUMBER(K2978)),"Taux de TVA invalide",IF(COUNTIF(p_rates,K2978)=0,"Taux de TVA hors liste (Paramètres)",IF(N(O2978)&gt;25,"Au-delà de 25 lignes : non imprimée","OK")))))))))))))</f>
        <v/>
      </c>
      <c r="O2978" s="59" t="str">
        <f>IF(A2978="","",COUNTIF($A$6:A2978,A2978))</f>
        <v/>
      </c>
      <c r="P2978" s="62" t="str">
        <f>IF(A2978="","",A2978&amp;"|"&amp;O2978)</f>
        <v/>
      </c>
    </row>
    <row r="2979">
      <c r="A2979" s="60" t="n"/>
      <c r="B2979" s="63" t="n"/>
      <c r="C2979" s="63" t="n"/>
      <c r="D2979" s="67" t="n"/>
      <c r="E2979" s="68" t="n"/>
      <c r="F2979" s="69" t="n"/>
      <c r="G2979" s="70" t="n"/>
      <c r="H2979" s="62" t="str">
        <f>IF(COUNTA(A2979:G2979)=0,"",IF(C2979&lt;&gt;"",C2979,IF(B2979="","",IFERROR(INDEX(pr_des,MATCH(B2979,pr_code,0))&amp;"",""))))</f>
        <v/>
      </c>
      <c r="I2979" s="59" t="str">
        <f>IF(B2979="","",IFERROR(INDEX(pr_unit,MATCH(B2979,pr_code,0))&amp;"",""))</f>
        <v/>
      </c>
      <c r="J2979" s="65" t="str">
        <f>IF(COUNTA(A2979:G2979)=0,"",IF(E2979&lt;&gt;"",E2979,IF(B2979="","",IFERROR(IF(INDEX(pr_price,MATCH(B2979,pr_code,0))="","",INDEX(pr_price,MATCH(B2979,pr_code,0))),""))))</f>
        <v/>
      </c>
      <c r="K2979" s="71" t="str">
        <f>IF(COUNTA(A2979:G2979)=0,"",IF(G2979&lt;&gt;"",G2979,IF(B2979="","",IFERROR(IF(INDEX(pr_rate,MATCH(B2979,pr_code,0))="","",INDEX(pr_rate,MATCH(B2979,pr_code,0))),""))))</f>
        <v/>
      </c>
      <c r="L2979" s="65" t="str">
        <f>IF(COUNTA(A2979:G2979)=0,"",IF(AND(ISNUMBER(D2979),ISNUMBER(J2979)),ROUND(D2979*J2979*(1-N(F2979)),2),0))</f>
        <v/>
      </c>
      <c r="M2979" s="62" t="str">
        <f>IF(A2979="","",IFERROR(INDEX(fa_cname,MATCH(A2979,fa_num,0))&amp;"",""))</f>
        <v/>
      </c>
      <c r="N2979" s="59" t="str">
        <f>IF(COUNTA(A2979:G2979)=0,"",IF(A2979="","N° facture manquant",IF(ISNA(MATCH(A2979,fa_num,0)),"Facture inconnue",IF(AND(B2979&lt;&gt;"",ISNA(MATCH(B2979,pr_code,0))),"Article inconnu",IF(H2979="","Désignation manquante",IF(OR(NOT(ISNUMBER(D2979)),N(D2979)&lt;=0),"Quantité invalide",IF(J2979="","Prix manquant",IF(OR(NOT(ISNUMBER(J2979)),N(J2979)&lt;0),"Prix invalide",IF(OR(AND(F2979&lt;&gt;"",NOT(ISNUMBER(F2979))),N(F2979)&lt;0,N(F2979)&gt;1),"Remise invalide",IF(K2979="","Taux de TVA manquant",IF(NOT(ISNUMBER(K2979)),"Taux de TVA invalide",IF(COUNTIF(p_rates,K2979)=0,"Taux de TVA hors liste (Paramètres)",IF(N(O2979)&gt;25,"Au-delà de 25 lignes : non imprimée","OK")))))))))))))</f>
        <v/>
      </c>
      <c r="O2979" s="59" t="str">
        <f>IF(A2979="","",COUNTIF($A$6:A2979,A2979))</f>
        <v/>
      </c>
      <c r="P2979" s="62" t="str">
        <f>IF(A2979="","",A2979&amp;"|"&amp;O2979)</f>
        <v/>
      </c>
    </row>
    <row r="2980">
      <c r="A2980" s="60" t="n"/>
      <c r="B2980" s="63" t="n"/>
      <c r="C2980" s="63" t="n"/>
      <c r="D2980" s="67" t="n"/>
      <c r="E2980" s="68" t="n"/>
      <c r="F2980" s="69" t="n"/>
      <c r="G2980" s="70" t="n"/>
      <c r="H2980" s="62" t="str">
        <f>IF(COUNTA(A2980:G2980)=0,"",IF(C2980&lt;&gt;"",C2980,IF(B2980="","",IFERROR(INDEX(pr_des,MATCH(B2980,pr_code,0))&amp;"",""))))</f>
        <v/>
      </c>
      <c r="I2980" s="59" t="str">
        <f>IF(B2980="","",IFERROR(INDEX(pr_unit,MATCH(B2980,pr_code,0))&amp;"",""))</f>
        <v/>
      </c>
      <c r="J2980" s="65" t="str">
        <f>IF(COUNTA(A2980:G2980)=0,"",IF(E2980&lt;&gt;"",E2980,IF(B2980="","",IFERROR(IF(INDEX(pr_price,MATCH(B2980,pr_code,0))="","",INDEX(pr_price,MATCH(B2980,pr_code,0))),""))))</f>
        <v/>
      </c>
      <c r="K2980" s="71" t="str">
        <f>IF(COUNTA(A2980:G2980)=0,"",IF(G2980&lt;&gt;"",G2980,IF(B2980="","",IFERROR(IF(INDEX(pr_rate,MATCH(B2980,pr_code,0))="","",INDEX(pr_rate,MATCH(B2980,pr_code,0))),""))))</f>
        <v/>
      </c>
      <c r="L2980" s="65" t="str">
        <f>IF(COUNTA(A2980:G2980)=0,"",IF(AND(ISNUMBER(D2980),ISNUMBER(J2980)),ROUND(D2980*J2980*(1-N(F2980)),2),0))</f>
        <v/>
      </c>
      <c r="M2980" s="62" t="str">
        <f>IF(A2980="","",IFERROR(INDEX(fa_cname,MATCH(A2980,fa_num,0))&amp;"",""))</f>
        <v/>
      </c>
      <c r="N2980" s="59" t="str">
        <f>IF(COUNTA(A2980:G2980)=0,"",IF(A2980="","N° facture manquant",IF(ISNA(MATCH(A2980,fa_num,0)),"Facture inconnue",IF(AND(B2980&lt;&gt;"",ISNA(MATCH(B2980,pr_code,0))),"Article inconnu",IF(H2980="","Désignation manquante",IF(OR(NOT(ISNUMBER(D2980)),N(D2980)&lt;=0),"Quantité invalide",IF(J2980="","Prix manquant",IF(OR(NOT(ISNUMBER(J2980)),N(J2980)&lt;0),"Prix invalide",IF(OR(AND(F2980&lt;&gt;"",NOT(ISNUMBER(F2980))),N(F2980)&lt;0,N(F2980)&gt;1),"Remise invalide",IF(K2980="","Taux de TVA manquant",IF(NOT(ISNUMBER(K2980)),"Taux de TVA invalide",IF(COUNTIF(p_rates,K2980)=0,"Taux de TVA hors liste (Paramètres)",IF(N(O2980)&gt;25,"Au-delà de 25 lignes : non imprimée","OK")))))))))))))</f>
        <v/>
      </c>
      <c r="O2980" s="59" t="str">
        <f>IF(A2980="","",COUNTIF($A$6:A2980,A2980))</f>
        <v/>
      </c>
      <c r="P2980" s="62" t="str">
        <f>IF(A2980="","",A2980&amp;"|"&amp;O2980)</f>
        <v/>
      </c>
    </row>
    <row r="2981">
      <c r="A2981" s="60" t="n"/>
      <c r="B2981" s="63" t="n"/>
      <c r="C2981" s="63" t="n"/>
      <c r="D2981" s="67" t="n"/>
      <c r="E2981" s="68" t="n"/>
      <c r="F2981" s="69" t="n"/>
      <c r="G2981" s="70" t="n"/>
      <c r="H2981" s="62" t="str">
        <f>IF(COUNTA(A2981:G2981)=0,"",IF(C2981&lt;&gt;"",C2981,IF(B2981="","",IFERROR(INDEX(pr_des,MATCH(B2981,pr_code,0))&amp;"",""))))</f>
        <v/>
      </c>
      <c r="I2981" s="59" t="str">
        <f>IF(B2981="","",IFERROR(INDEX(pr_unit,MATCH(B2981,pr_code,0))&amp;"",""))</f>
        <v/>
      </c>
      <c r="J2981" s="65" t="str">
        <f>IF(COUNTA(A2981:G2981)=0,"",IF(E2981&lt;&gt;"",E2981,IF(B2981="","",IFERROR(IF(INDEX(pr_price,MATCH(B2981,pr_code,0))="","",INDEX(pr_price,MATCH(B2981,pr_code,0))),""))))</f>
        <v/>
      </c>
      <c r="K2981" s="71" t="str">
        <f>IF(COUNTA(A2981:G2981)=0,"",IF(G2981&lt;&gt;"",G2981,IF(B2981="","",IFERROR(IF(INDEX(pr_rate,MATCH(B2981,pr_code,0))="","",INDEX(pr_rate,MATCH(B2981,pr_code,0))),""))))</f>
        <v/>
      </c>
      <c r="L2981" s="65" t="str">
        <f>IF(COUNTA(A2981:G2981)=0,"",IF(AND(ISNUMBER(D2981),ISNUMBER(J2981)),ROUND(D2981*J2981*(1-N(F2981)),2),0))</f>
        <v/>
      </c>
      <c r="M2981" s="62" t="str">
        <f>IF(A2981="","",IFERROR(INDEX(fa_cname,MATCH(A2981,fa_num,0))&amp;"",""))</f>
        <v/>
      </c>
      <c r="N2981" s="59" t="str">
        <f>IF(COUNTA(A2981:G2981)=0,"",IF(A2981="","N° facture manquant",IF(ISNA(MATCH(A2981,fa_num,0)),"Facture inconnue",IF(AND(B2981&lt;&gt;"",ISNA(MATCH(B2981,pr_code,0))),"Article inconnu",IF(H2981="","Désignation manquante",IF(OR(NOT(ISNUMBER(D2981)),N(D2981)&lt;=0),"Quantité invalide",IF(J2981="","Prix manquant",IF(OR(NOT(ISNUMBER(J2981)),N(J2981)&lt;0),"Prix invalide",IF(OR(AND(F2981&lt;&gt;"",NOT(ISNUMBER(F2981))),N(F2981)&lt;0,N(F2981)&gt;1),"Remise invalide",IF(K2981="","Taux de TVA manquant",IF(NOT(ISNUMBER(K2981)),"Taux de TVA invalide",IF(COUNTIF(p_rates,K2981)=0,"Taux de TVA hors liste (Paramètres)",IF(N(O2981)&gt;25,"Au-delà de 25 lignes : non imprimée","OK")))))))))))))</f>
        <v/>
      </c>
      <c r="O2981" s="59" t="str">
        <f>IF(A2981="","",COUNTIF($A$6:A2981,A2981))</f>
        <v/>
      </c>
      <c r="P2981" s="62" t="str">
        <f>IF(A2981="","",A2981&amp;"|"&amp;O2981)</f>
        <v/>
      </c>
    </row>
    <row r="2982">
      <c r="A2982" s="60" t="n"/>
      <c r="B2982" s="63" t="n"/>
      <c r="C2982" s="63" t="n"/>
      <c r="D2982" s="67" t="n"/>
      <c r="E2982" s="68" t="n"/>
      <c r="F2982" s="69" t="n"/>
      <c r="G2982" s="70" t="n"/>
      <c r="H2982" s="62" t="str">
        <f>IF(COUNTA(A2982:G2982)=0,"",IF(C2982&lt;&gt;"",C2982,IF(B2982="","",IFERROR(INDEX(pr_des,MATCH(B2982,pr_code,0))&amp;"",""))))</f>
        <v/>
      </c>
      <c r="I2982" s="59" t="str">
        <f>IF(B2982="","",IFERROR(INDEX(pr_unit,MATCH(B2982,pr_code,0))&amp;"",""))</f>
        <v/>
      </c>
      <c r="J2982" s="65" t="str">
        <f>IF(COUNTA(A2982:G2982)=0,"",IF(E2982&lt;&gt;"",E2982,IF(B2982="","",IFERROR(IF(INDEX(pr_price,MATCH(B2982,pr_code,0))="","",INDEX(pr_price,MATCH(B2982,pr_code,0))),""))))</f>
        <v/>
      </c>
      <c r="K2982" s="71" t="str">
        <f>IF(COUNTA(A2982:G2982)=0,"",IF(G2982&lt;&gt;"",G2982,IF(B2982="","",IFERROR(IF(INDEX(pr_rate,MATCH(B2982,pr_code,0))="","",INDEX(pr_rate,MATCH(B2982,pr_code,0))),""))))</f>
        <v/>
      </c>
      <c r="L2982" s="65" t="str">
        <f>IF(COUNTA(A2982:G2982)=0,"",IF(AND(ISNUMBER(D2982),ISNUMBER(J2982)),ROUND(D2982*J2982*(1-N(F2982)),2),0))</f>
        <v/>
      </c>
      <c r="M2982" s="62" t="str">
        <f>IF(A2982="","",IFERROR(INDEX(fa_cname,MATCH(A2982,fa_num,0))&amp;"",""))</f>
        <v/>
      </c>
      <c r="N2982" s="59" t="str">
        <f>IF(COUNTA(A2982:G2982)=0,"",IF(A2982="","N° facture manquant",IF(ISNA(MATCH(A2982,fa_num,0)),"Facture inconnue",IF(AND(B2982&lt;&gt;"",ISNA(MATCH(B2982,pr_code,0))),"Article inconnu",IF(H2982="","Désignation manquante",IF(OR(NOT(ISNUMBER(D2982)),N(D2982)&lt;=0),"Quantité invalide",IF(J2982="","Prix manquant",IF(OR(NOT(ISNUMBER(J2982)),N(J2982)&lt;0),"Prix invalide",IF(OR(AND(F2982&lt;&gt;"",NOT(ISNUMBER(F2982))),N(F2982)&lt;0,N(F2982)&gt;1),"Remise invalide",IF(K2982="","Taux de TVA manquant",IF(NOT(ISNUMBER(K2982)),"Taux de TVA invalide",IF(COUNTIF(p_rates,K2982)=0,"Taux de TVA hors liste (Paramètres)",IF(N(O2982)&gt;25,"Au-delà de 25 lignes : non imprimée","OK")))))))))))))</f>
        <v/>
      </c>
      <c r="O2982" s="59" t="str">
        <f>IF(A2982="","",COUNTIF($A$6:A2982,A2982))</f>
        <v/>
      </c>
      <c r="P2982" s="62" t="str">
        <f>IF(A2982="","",A2982&amp;"|"&amp;O2982)</f>
        <v/>
      </c>
    </row>
    <row r="2983">
      <c r="A2983" s="60" t="n"/>
      <c r="B2983" s="63" t="n"/>
      <c r="C2983" s="63" t="n"/>
      <c r="D2983" s="67" t="n"/>
      <c r="E2983" s="68" t="n"/>
      <c r="F2983" s="69" t="n"/>
      <c r="G2983" s="70" t="n"/>
      <c r="H2983" s="62" t="str">
        <f>IF(COUNTA(A2983:G2983)=0,"",IF(C2983&lt;&gt;"",C2983,IF(B2983="","",IFERROR(INDEX(pr_des,MATCH(B2983,pr_code,0))&amp;"",""))))</f>
        <v/>
      </c>
      <c r="I2983" s="59" t="str">
        <f>IF(B2983="","",IFERROR(INDEX(pr_unit,MATCH(B2983,pr_code,0))&amp;"",""))</f>
        <v/>
      </c>
      <c r="J2983" s="65" t="str">
        <f>IF(COUNTA(A2983:G2983)=0,"",IF(E2983&lt;&gt;"",E2983,IF(B2983="","",IFERROR(IF(INDEX(pr_price,MATCH(B2983,pr_code,0))="","",INDEX(pr_price,MATCH(B2983,pr_code,0))),""))))</f>
        <v/>
      </c>
      <c r="K2983" s="71" t="str">
        <f>IF(COUNTA(A2983:G2983)=0,"",IF(G2983&lt;&gt;"",G2983,IF(B2983="","",IFERROR(IF(INDEX(pr_rate,MATCH(B2983,pr_code,0))="","",INDEX(pr_rate,MATCH(B2983,pr_code,0))),""))))</f>
        <v/>
      </c>
      <c r="L2983" s="65" t="str">
        <f>IF(COUNTA(A2983:G2983)=0,"",IF(AND(ISNUMBER(D2983),ISNUMBER(J2983)),ROUND(D2983*J2983*(1-N(F2983)),2),0))</f>
        <v/>
      </c>
      <c r="M2983" s="62" t="str">
        <f>IF(A2983="","",IFERROR(INDEX(fa_cname,MATCH(A2983,fa_num,0))&amp;"",""))</f>
        <v/>
      </c>
      <c r="N2983" s="59" t="str">
        <f>IF(COUNTA(A2983:G2983)=0,"",IF(A2983="","N° facture manquant",IF(ISNA(MATCH(A2983,fa_num,0)),"Facture inconnue",IF(AND(B2983&lt;&gt;"",ISNA(MATCH(B2983,pr_code,0))),"Article inconnu",IF(H2983="","Désignation manquante",IF(OR(NOT(ISNUMBER(D2983)),N(D2983)&lt;=0),"Quantité invalide",IF(J2983="","Prix manquant",IF(OR(NOT(ISNUMBER(J2983)),N(J2983)&lt;0),"Prix invalide",IF(OR(AND(F2983&lt;&gt;"",NOT(ISNUMBER(F2983))),N(F2983)&lt;0,N(F2983)&gt;1),"Remise invalide",IF(K2983="","Taux de TVA manquant",IF(NOT(ISNUMBER(K2983)),"Taux de TVA invalide",IF(COUNTIF(p_rates,K2983)=0,"Taux de TVA hors liste (Paramètres)",IF(N(O2983)&gt;25,"Au-delà de 25 lignes : non imprimée","OK")))))))))))))</f>
        <v/>
      </c>
      <c r="O2983" s="59" t="str">
        <f>IF(A2983="","",COUNTIF($A$6:A2983,A2983))</f>
        <v/>
      </c>
      <c r="P2983" s="62" t="str">
        <f>IF(A2983="","",A2983&amp;"|"&amp;O2983)</f>
        <v/>
      </c>
    </row>
    <row r="2984">
      <c r="A2984" s="60" t="n"/>
      <c r="B2984" s="63" t="n"/>
      <c r="C2984" s="63" t="n"/>
      <c r="D2984" s="67" t="n"/>
      <c r="E2984" s="68" t="n"/>
      <c r="F2984" s="69" t="n"/>
      <c r="G2984" s="70" t="n"/>
      <c r="H2984" s="62" t="str">
        <f>IF(COUNTA(A2984:G2984)=0,"",IF(C2984&lt;&gt;"",C2984,IF(B2984="","",IFERROR(INDEX(pr_des,MATCH(B2984,pr_code,0))&amp;"",""))))</f>
        <v/>
      </c>
      <c r="I2984" s="59" t="str">
        <f>IF(B2984="","",IFERROR(INDEX(pr_unit,MATCH(B2984,pr_code,0))&amp;"",""))</f>
        <v/>
      </c>
      <c r="J2984" s="65" t="str">
        <f>IF(COUNTA(A2984:G2984)=0,"",IF(E2984&lt;&gt;"",E2984,IF(B2984="","",IFERROR(IF(INDEX(pr_price,MATCH(B2984,pr_code,0))="","",INDEX(pr_price,MATCH(B2984,pr_code,0))),""))))</f>
        <v/>
      </c>
      <c r="K2984" s="71" t="str">
        <f>IF(COUNTA(A2984:G2984)=0,"",IF(G2984&lt;&gt;"",G2984,IF(B2984="","",IFERROR(IF(INDEX(pr_rate,MATCH(B2984,pr_code,0))="","",INDEX(pr_rate,MATCH(B2984,pr_code,0))),""))))</f>
        <v/>
      </c>
      <c r="L2984" s="65" t="str">
        <f>IF(COUNTA(A2984:G2984)=0,"",IF(AND(ISNUMBER(D2984),ISNUMBER(J2984)),ROUND(D2984*J2984*(1-N(F2984)),2),0))</f>
        <v/>
      </c>
      <c r="M2984" s="62" t="str">
        <f>IF(A2984="","",IFERROR(INDEX(fa_cname,MATCH(A2984,fa_num,0))&amp;"",""))</f>
        <v/>
      </c>
      <c r="N2984" s="59" t="str">
        <f>IF(COUNTA(A2984:G2984)=0,"",IF(A2984="","N° facture manquant",IF(ISNA(MATCH(A2984,fa_num,0)),"Facture inconnue",IF(AND(B2984&lt;&gt;"",ISNA(MATCH(B2984,pr_code,0))),"Article inconnu",IF(H2984="","Désignation manquante",IF(OR(NOT(ISNUMBER(D2984)),N(D2984)&lt;=0),"Quantité invalide",IF(J2984="","Prix manquant",IF(OR(NOT(ISNUMBER(J2984)),N(J2984)&lt;0),"Prix invalide",IF(OR(AND(F2984&lt;&gt;"",NOT(ISNUMBER(F2984))),N(F2984)&lt;0,N(F2984)&gt;1),"Remise invalide",IF(K2984="","Taux de TVA manquant",IF(NOT(ISNUMBER(K2984)),"Taux de TVA invalide",IF(COUNTIF(p_rates,K2984)=0,"Taux de TVA hors liste (Paramètres)",IF(N(O2984)&gt;25,"Au-delà de 25 lignes : non imprimée","OK")))))))))))))</f>
        <v/>
      </c>
      <c r="O2984" s="59" t="str">
        <f>IF(A2984="","",COUNTIF($A$6:A2984,A2984))</f>
        <v/>
      </c>
      <c r="P2984" s="62" t="str">
        <f>IF(A2984="","",A2984&amp;"|"&amp;O2984)</f>
        <v/>
      </c>
    </row>
    <row r="2985">
      <c r="A2985" s="60" t="n"/>
      <c r="B2985" s="63" t="n"/>
      <c r="C2985" s="63" t="n"/>
      <c r="D2985" s="67" t="n"/>
      <c r="E2985" s="68" t="n"/>
      <c r="F2985" s="69" t="n"/>
      <c r="G2985" s="70" t="n"/>
      <c r="H2985" s="62" t="str">
        <f>IF(COUNTA(A2985:G2985)=0,"",IF(C2985&lt;&gt;"",C2985,IF(B2985="","",IFERROR(INDEX(pr_des,MATCH(B2985,pr_code,0))&amp;"",""))))</f>
        <v/>
      </c>
      <c r="I2985" s="59" t="str">
        <f>IF(B2985="","",IFERROR(INDEX(pr_unit,MATCH(B2985,pr_code,0))&amp;"",""))</f>
        <v/>
      </c>
      <c r="J2985" s="65" t="str">
        <f>IF(COUNTA(A2985:G2985)=0,"",IF(E2985&lt;&gt;"",E2985,IF(B2985="","",IFERROR(IF(INDEX(pr_price,MATCH(B2985,pr_code,0))="","",INDEX(pr_price,MATCH(B2985,pr_code,0))),""))))</f>
        <v/>
      </c>
      <c r="K2985" s="71" t="str">
        <f>IF(COUNTA(A2985:G2985)=0,"",IF(G2985&lt;&gt;"",G2985,IF(B2985="","",IFERROR(IF(INDEX(pr_rate,MATCH(B2985,pr_code,0))="","",INDEX(pr_rate,MATCH(B2985,pr_code,0))),""))))</f>
        <v/>
      </c>
      <c r="L2985" s="65" t="str">
        <f>IF(COUNTA(A2985:G2985)=0,"",IF(AND(ISNUMBER(D2985),ISNUMBER(J2985)),ROUND(D2985*J2985*(1-N(F2985)),2),0))</f>
        <v/>
      </c>
      <c r="M2985" s="62" t="str">
        <f>IF(A2985="","",IFERROR(INDEX(fa_cname,MATCH(A2985,fa_num,0))&amp;"",""))</f>
        <v/>
      </c>
      <c r="N2985" s="59" t="str">
        <f>IF(COUNTA(A2985:G2985)=0,"",IF(A2985="","N° facture manquant",IF(ISNA(MATCH(A2985,fa_num,0)),"Facture inconnue",IF(AND(B2985&lt;&gt;"",ISNA(MATCH(B2985,pr_code,0))),"Article inconnu",IF(H2985="","Désignation manquante",IF(OR(NOT(ISNUMBER(D2985)),N(D2985)&lt;=0),"Quantité invalide",IF(J2985="","Prix manquant",IF(OR(NOT(ISNUMBER(J2985)),N(J2985)&lt;0),"Prix invalide",IF(OR(AND(F2985&lt;&gt;"",NOT(ISNUMBER(F2985))),N(F2985)&lt;0,N(F2985)&gt;1),"Remise invalide",IF(K2985="","Taux de TVA manquant",IF(NOT(ISNUMBER(K2985)),"Taux de TVA invalide",IF(COUNTIF(p_rates,K2985)=0,"Taux de TVA hors liste (Paramètres)",IF(N(O2985)&gt;25,"Au-delà de 25 lignes : non imprimée","OK")))))))))))))</f>
        <v/>
      </c>
      <c r="O2985" s="59" t="str">
        <f>IF(A2985="","",COUNTIF($A$6:A2985,A2985))</f>
        <v/>
      </c>
      <c r="P2985" s="62" t="str">
        <f>IF(A2985="","",A2985&amp;"|"&amp;O2985)</f>
        <v/>
      </c>
    </row>
    <row r="2986">
      <c r="A2986" s="60" t="n"/>
      <c r="B2986" s="63" t="n"/>
      <c r="C2986" s="63" t="n"/>
      <c r="D2986" s="67" t="n"/>
      <c r="E2986" s="68" t="n"/>
      <c r="F2986" s="69" t="n"/>
      <c r="G2986" s="70" t="n"/>
      <c r="H2986" s="62" t="str">
        <f>IF(COUNTA(A2986:G2986)=0,"",IF(C2986&lt;&gt;"",C2986,IF(B2986="","",IFERROR(INDEX(pr_des,MATCH(B2986,pr_code,0))&amp;"",""))))</f>
        <v/>
      </c>
      <c r="I2986" s="59" t="str">
        <f>IF(B2986="","",IFERROR(INDEX(pr_unit,MATCH(B2986,pr_code,0))&amp;"",""))</f>
        <v/>
      </c>
      <c r="J2986" s="65" t="str">
        <f>IF(COUNTA(A2986:G2986)=0,"",IF(E2986&lt;&gt;"",E2986,IF(B2986="","",IFERROR(IF(INDEX(pr_price,MATCH(B2986,pr_code,0))="","",INDEX(pr_price,MATCH(B2986,pr_code,0))),""))))</f>
        <v/>
      </c>
      <c r="K2986" s="71" t="str">
        <f>IF(COUNTA(A2986:G2986)=0,"",IF(G2986&lt;&gt;"",G2986,IF(B2986="","",IFERROR(IF(INDEX(pr_rate,MATCH(B2986,pr_code,0))="","",INDEX(pr_rate,MATCH(B2986,pr_code,0))),""))))</f>
        <v/>
      </c>
      <c r="L2986" s="65" t="str">
        <f>IF(COUNTA(A2986:G2986)=0,"",IF(AND(ISNUMBER(D2986),ISNUMBER(J2986)),ROUND(D2986*J2986*(1-N(F2986)),2),0))</f>
        <v/>
      </c>
      <c r="M2986" s="62" t="str">
        <f>IF(A2986="","",IFERROR(INDEX(fa_cname,MATCH(A2986,fa_num,0))&amp;"",""))</f>
        <v/>
      </c>
      <c r="N2986" s="59" t="str">
        <f>IF(COUNTA(A2986:G2986)=0,"",IF(A2986="","N° facture manquant",IF(ISNA(MATCH(A2986,fa_num,0)),"Facture inconnue",IF(AND(B2986&lt;&gt;"",ISNA(MATCH(B2986,pr_code,0))),"Article inconnu",IF(H2986="","Désignation manquante",IF(OR(NOT(ISNUMBER(D2986)),N(D2986)&lt;=0),"Quantité invalide",IF(J2986="","Prix manquant",IF(OR(NOT(ISNUMBER(J2986)),N(J2986)&lt;0),"Prix invalide",IF(OR(AND(F2986&lt;&gt;"",NOT(ISNUMBER(F2986))),N(F2986)&lt;0,N(F2986)&gt;1),"Remise invalide",IF(K2986="","Taux de TVA manquant",IF(NOT(ISNUMBER(K2986)),"Taux de TVA invalide",IF(COUNTIF(p_rates,K2986)=0,"Taux de TVA hors liste (Paramètres)",IF(N(O2986)&gt;25,"Au-delà de 25 lignes : non imprimée","OK")))))))))))))</f>
        <v/>
      </c>
      <c r="O2986" s="59" t="str">
        <f>IF(A2986="","",COUNTIF($A$6:A2986,A2986))</f>
        <v/>
      </c>
      <c r="P2986" s="62" t="str">
        <f>IF(A2986="","",A2986&amp;"|"&amp;O2986)</f>
        <v/>
      </c>
    </row>
    <row r="2987">
      <c r="A2987" s="60" t="n"/>
      <c r="B2987" s="63" t="n"/>
      <c r="C2987" s="63" t="n"/>
      <c r="D2987" s="67" t="n"/>
      <c r="E2987" s="68" t="n"/>
      <c r="F2987" s="69" t="n"/>
      <c r="G2987" s="70" t="n"/>
      <c r="H2987" s="62" t="str">
        <f>IF(COUNTA(A2987:G2987)=0,"",IF(C2987&lt;&gt;"",C2987,IF(B2987="","",IFERROR(INDEX(pr_des,MATCH(B2987,pr_code,0))&amp;"",""))))</f>
        <v/>
      </c>
      <c r="I2987" s="59" t="str">
        <f>IF(B2987="","",IFERROR(INDEX(pr_unit,MATCH(B2987,pr_code,0))&amp;"",""))</f>
        <v/>
      </c>
      <c r="J2987" s="65" t="str">
        <f>IF(COUNTA(A2987:G2987)=0,"",IF(E2987&lt;&gt;"",E2987,IF(B2987="","",IFERROR(IF(INDEX(pr_price,MATCH(B2987,pr_code,0))="","",INDEX(pr_price,MATCH(B2987,pr_code,0))),""))))</f>
        <v/>
      </c>
      <c r="K2987" s="71" t="str">
        <f>IF(COUNTA(A2987:G2987)=0,"",IF(G2987&lt;&gt;"",G2987,IF(B2987="","",IFERROR(IF(INDEX(pr_rate,MATCH(B2987,pr_code,0))="","",INDEX(pr_rate,MATCH(B2987,pr_code,0))),""))))</f>
        <v/>
      </c>
      <c r="L2987" s="65" t="str">
        <f>IF(COUNTA(A2987:G2987)=0,"",IF(AND(ISNUMBER(D2987),ISNUMBER(J2987)),ROUND(D2987*J2987*(1-N(F2987)),2),0))</f>
        <v/>
      </c>
      <c r="M2987" s="62" t="str">
        <f>IF(A2987="","",IFERROR(INDEX(fa_cname,MATCH(A2987,fa_num,0))&amp;"",""))</f>
        <v/>
      </c>
      <c r="N2987" s="59" t="str">
        <f>IF(COUNTA(A2987:G2987)=0,"",IF(A2987="","N° facture manquant",IF(ISNA(MATCH(A2987,fa_num,0)),"Facture inconnue",IF(AND(B2987&lt;&gt;"",ISNA(MATCH(B2987,pr_code,0))),"Article inconnu",IF(H2987="","Désignation manquante",IF(OR(NOT(ISNUMBER(D2987)),N(D2987)&lt;=0),"Quantité invalide",IF(J2987="","Prix manquant",IF(OR(NOT(ISNUMBER(J2987)),N(J2987)&lt;0),"Prix invalide",IF(OR(AND(F2987&lt;&gt;"",NOT(ISNUMBER(F2987))),N(F2987)&lt;0,N(F2987)&gt;1),"Remise invalide",IF(K2987="","Taux de TVA manquant",IF(NOT(ISNUMBER(K2987)),"Taux de TVA invalide",IF(COUNTIF(p_rates,K2987)=0,"Taux de TVA hors liste (Paramètres)",IF(N(O2987)&gt;25,"Au-delà de 25 lignes : non imprimée","OK")))))))))))))</f>
        <v/>
      </c>
      <c r="O2987" s="59" t="str">
        <f>IF(A2987="","",COUNTIF($A$6:A2987,A2987))</f>
        <v/>
      </c>
      <c r="P2987" s="62" t="str">
        <f>IF(A2987="","",A2987&amp;"|"&amp;O2987)</f>
        <v/>
      </c>
    </row>
    <row r="2988">
      <c r="A2988" s="60" t="n"/>
      <c r="B2988" s="63" t="n"/>
      <c r="C2988" s="63" t="n"/>
      <c r="D2988" s="67" t="n"/>
      <c r="E2988" s="68" t="n"/>
      <c r="F2988" s="69" t="n"/>
      <c r="G2988" s="70" t="n"/>
      <c r="H2988" s="62" t="str">
        <f>IF(COUNTA(A2988:G2988)=0,"",IF(C2988&lt;&gt;"",C2988,IF(B2988="","",IFERROR(INDEX(pr_des,MATCH(B2988,pr_code,0))&amp;"",""))))</f>
        <v/>
      </c>
      <c r="I2988" s="59" t="str">
        <f>IF(B2988="","",IFERROR(INDEX(pr_unit,MATCH(B2988,pr_code,0))&amp;"",""))</f>
        <v/>
      </c>
      <c r="J2988" s="65" t="str">
        <f>IF(COUNTA(A2988:G2988)=0,"",IF(E2988&lt;&gt;"",E2988,IF(B2988="","",IFERROR(IF(INDEX(pr_price,MATCH(B2988,pr_code,0))="","",INDEX(pr_price,MATCH(B2988,pr_code,0))),""))))</f>
        <v/>
      </c>
      <c r="K2988" s="71" t="str">
        <f>IF(COUNTA(A2988:G2988)=0,"",IF(G2988&lt;&gt;"",G2988,IF(B2988="","",IFERROR(IF(INDEX(pr_rate,MATCH(B2988,pr_code,0))="","",INDEX(pr_rate,MATCH(B2988,pr_code,0))),""))))</f>
        <v/>
      </c>
      <c r="L2988" s="65" t="str">
        <f>IF(COUNTA(A2988:G2988)=0,"",IF(AND(ISNUMBER(D2988),ISNUMBER(J2988)),ROUND(D2988*J2988*(1-N(F2988)),2),0))</f>
        <v/>
      </c>
      <c r="M2988" s="62" t="str">
        <f>IF(A2988="","",IFERROR(INDEX(fa_cname,MATCH(A2988,fa_num,0))&amp;"",""))</f>
        <v/>
      </c>
      <c r="N2988" s="59" t="str">
        <f>IF(COUNTA(A2988:G2988)=0,"",IF(A2988="","N° facture manquant",IF(ISNA(MATCH(A2988,fa_num,0)),"Facture inconnue",IF(AND(B2988&lt;&gt;"",ISNA(MATCH(B2988,pr_code,0))),"Article inconnu",IF(H2988="","Désignation manquante",IF(OR(NOT(ISNUMBER(D2988)),N(D2988)&lt;=0),"Quantité invalide",IF(J2988="","Prix manquant",IF(OR(NOT(ISNUMBER(J2988)),N(J2988)&lt;0),"Prix invalide",IF(OR(AND(F2988&lt;&gt;"",NOT(ISNUMBER(F2988))),N(F2988)&lt;0,N(F2988)&gt;1),"Remise invalide",IF(K2988="","Taux de TVA manquant",IF(NOT(ISNUMBER(K2988)),"Taux de TVA invalide",IF(COUNTIF(p_rates,K2988)=0,"Taux de TVA hors liste (Paramètres)",IF(N(O2988)&gt;25,"Au-delà de 25 lignes : non imprimée","OK")))))))))))))</f>
        <v/>
      </c>
      <c r="O2988" s="59" t="str">
        <f>IF(A2988="","",COUNTIF($A$6:A2988,A2988))</f>
        <v/>
      </c>
      <c r="P2988" s="62" t="str">
        <f>IF(A2988="","",A2988&amp;"|"&amp;O2988)</f>
        <v/>
      </c>
    </row>
    <row r="2989">
      <c r="A2989" s="60" t="n"/>
      <c r="B2989" s="63" t="n"/>
      <c r="C2989" s="63" t="n"/>
      <c r="D2989" s="67" t="n"/>
      <c r="E2989" s="68" t="n"/>
      <c r="F2989" s="69" t="n"/>
      <c r="G2989" s="70" t="n"/>
      <c r="H2989" s="62" t="str">
        <f>IF(COUNTA(A2989:G2989)=0,"",IF(C2989&lt;&gt;"",C2989,IF(B2989="","",IFERROR(INDEX(pr_des,MATCH(B2989,pr_code,0))&amp;"",""))))</f>
        <v/>
      </c>
      <c r="I2989" s="59" t="str">
        <f>IF(B2989="","",IFERROR(INDEX(pr_unit,MATCH(B2989,pr_code,0))&amp;"",""))</f>
        <v/>
      </c>
      <c r="J2989" s="65" t="str">
        <f>IF(COUNTA(A2989:G2989)=0,"",IF(E2989&lt;&gt;"",E2989,IF(B2989="","",IFERROR(IF(INDEX(pr_price,MATCH(B2989,pr_code,0))="","",INDEX(pr_price,MATCH(B2989,pr_code,0))),""))))</f>
        <v/>
      </c>
      <c r="K2989" s="71" t="str">
        <f>IF(COUNTA(A2989:G2989)=0,"",IF(G2989&lt;&gt;"",G2989,IF(B2989="","",IFERROR(IF(INDEX(pr_rate,MATCH(B2989,pr_code,0))="","",INDEX(pr_rate,MATCH(B2989,pr_code,0))),""))))</f>
        <v/>
      </c>
      <c r="L2989" s="65" t="str">
        <f>IF(COUNTA(A2989:G2989)=0,"",IF(AND(ISNUMBER(D2989),ISNUMBER(J2989)),ROUND(D2989*J2989*(1-N(F2989)),2),0))</f>
        <v/>
      </c>
      <c r="M2989" s="62" t="str">
        <f>IF(A2989="","",IFERROR(INDEX(fa_cname,MATCH(A2989,fa_num,0))&amp;"",""))</f>
        <v/>
      </c>
      <c r="N2989" s="59" t="str">
        <f>IF(COUNTA(A2989:G2989)=0,"",IF(A2989="","N° facture manquant",IF(ISNA(MATCH(A2989,fa_num,0)),"Facture inconnue",IF(AND(B2989&lt;&gt;"",ISNA(MATCH(B2989,pr_code,0))),"Article inconnu",IF(H2989="","Désignation manquante",IF(OR(NOT(ISNUMBER(D2989)),N(D2989)&lt;=0),"Quantité invalide",IF(J2989="","Prix manquant",IF(OR(NOT(ISNUMBER(J2989)),N(J2989)&lt;0),"Prix invalide",IF(OR(AND(F2989&lt;&gt;"",NOT(ISNUMBER(F2989))),N(F2989)&lt;0,N(F2989)&gt;1),"Remise invalide",IF(K2989="","Taux de TVA manquant",IF(NOT(ISNUMBER(K2989)),"Taux de TVA invalide",IF(COUNTIF(p_rates,K2989)=0,"Taux de TVA hors liste (Paramètres)",IF(N(O2989)&gt;25,"Au-delà de 25 lignes : non imprimée","OK")))))))))))))</f>
        <v/>
      </c>
      <c r="O2989" s="59" t="str">
        <f>IF(A2989="","",COUNTIF($A$6:A2989,A2989))</f>
        <v/>
      </c>
      <c r="P2989" s="62" t="str">
        <f>IF(A2989="","",A2989&amp;"|"&amp;O2989)</f>
        <v/>
      </c>
    </row>
    <row r="2990">
      <c r="A2990" s="60" t="n"/>
      <c r="B2990" s="63" t="n"/>
      <c r="C2990" s="63" t="n"/>
      <c r="D2990" s="67" t="n"/>
      <c r="E2990" s="68" t="n"/>
      <c r="F2990" s="69" t="n"/>
      <c r="G2990" s="70" t="n"/>
      <c r="H2990" s="62" t="str">
        <f>IF(COUNTA(A2990:G2990)=0,"",IF(C2990&lt;&gt;"",C2990,IF(B2990="","",IFERROR(INDEX(pr_des,MATCH(B2990,pr_code,0))&amp;"",""))))</f>
        <v/>
      </c>
      <c r="I2990" s="59" t="str">
        <f>IF(B2990="","",IFERROR(INDEX(pr_unit,MATCH(B2990,pr_code,0))&amp;"",""))</f>
        <v/>
      </c>
      <c r="J2990" s="65" t="str">
        <f>IF(COUNTA(A2990:G2990)=0,"",IF(E2990&lt;&gt;"",E2990,IF(B2990="","",IFERROR(IF(INDEX(pr_price,MATCH(B2990,pr_code,0))="","",INDEX(pr_price,MATCH(B2990,pr_code,0))),""))))</f>
        <v/>
      </c>
      <c r="K2990" s="71" t="str">
        <f>IF(COUNTA(A2990:G2990)=0,"",IF(G2990&lt;&gt;"",G2990,IF(B2990="","",IFERROR(IF(INDEX(pr_rate,MATCH(B2990,pr_code,0))="","",INDEX(pr_rate,MATCH(B2990,pr_code,0))),""))))</f>
        <v/>
      </c>
      <c r="L2990" s="65" t="str">
        <f>IF(COUNTA(A2990:G2990)=0,"",IF(AND(ISNUMBER(D2990),ISNUMBER(J2990)),ROUND(D2990*J2990*(1-N(F2990)),2),0))</f>
        <v/>
      </c>
      <c r="M2990" s="62" t="str">
        <f>IF(A2990="","",IFERROR(INDEX(fa_cname,MATCH(A2990,fa_num,0))&amp;"",""))</f>
        <v/>
      </c>
      <c r="N2990" s="59" t="str">
        <f>IF(COUNTA(A2990:G2990)=0,"",IF(A2990="","N° facture manquant",IF(ISNA(MATCH(A2990,fa_num,0)),"Facture inconnue",IF(AND(B2990&lt;&gt;"",ISNA(MATCH(B2990,pr_code,0))),"Article inconnu",IF(H2990="","Désignation manquante",IF(OR(NOT(ISNUMBER(D2990)),N(D2990)&lt;=0),"Quantité invalide",IF(J2990="","Prix manquant",IF(OR(NOT(ISNUMBER(J2990)),N(J2990)&lt;0),"Prix invalide",IF(OR(AND(F2990&lt;&gt;"",NOT(ISNUMBER(F2990))),N(F2990)&lt;0,N(F2990)&gt;1),"Remise invalide",IF(K2990="","Taux de TVA manquant",IF(NOT(ISNUMBER(K2990)),"Taux de TVA invalide",IF(COUNTIF(p_rates,K2990)=0,"Taux de TVA hors liste (Paramètres)",IF(N(O2990)&gt;25,"Au-delà de 25 lignes : non imprimée","OK")))))))))))))</f>
        <v/>
      </c>
      <c r="O2990" s="59" t="str">
        <f>IF(A2990="","",COUNTIF($A$6:A2990,A2990))</f>
        <v/>
      </c>
      <c r="P2990" s="62" t="str">
        <f>IF(A2990="","",A2990&amp;"|"&amp;O2990)</f>
        <v/>
      </c>
    </row>
    <row r="2991">
      <c r="A2991" s="60" t="n"/>
      <c r="B2991" s="63" t="n"/>
      <c r="C2991" s="63" t="n"/>
      <c r="D2991" s="67" t="n"/>
      <c r="E2991" s="68" t="n"/>
      <c r="F2991" s="69" t="n"/>
      <c r="G2991" s="70" t="n"/>
      <c r="H2991" s="62" t="str">
        <f>IF(COUNTA(A2991:G2991)=0,"",IF(C2991&lt;&gt;"",C2991,IF(B2991="","",IFERROR(INDEX(pr_des,MATCH(B2991,pr_code,0))&amp;"",""))))</f>
        <v/>
      </c>
      <c r="I2991" s="59" t="str">
        <f>IF(B2991="","",IFERROR(INDEX(pr_unit,MATCH(B2991,pr_code,0))&amp;"",""))</f>
        <v/>
      </c>
      <c r="J2991" s="65" t="str">
        <f>IF(COUNTA(A2991:G2991)=0,"",IF(E2991&lt;&gt;"",E2991,IF(B2991="","",IFERROR(IF(INDEX(pr_price,MATCH(B2991,pr_code,0))="","",INDEX(pr_price,MATCH(B2991,pr_code,0))),""))))</f>
        <v/>
      </c>
      <c r="K2991" s="71" t="str">
        <f>IF(COUNTA(A2991:G2991)=0,"",IF(G2991&lt;&gt;"",G2991,IF(B2991="","",IFERROR(IF(INDEX(pr_rate,MATCH(B2991,pr_code,0))="","",INDEX(pr_rate,MATCH(B2991,pr_code,0))),""))))</f>
        <v/>
      </c>
      <c r="L2991" s="65" t="str">
        <f>IF(COUNTA(A2991:G2991)=0,"",IF(AND(ISNUMBER(D2991),ISNUMBER(J2991)),ROUND(D2991*J2991*(1-N(F2991)),2),0))</f>
        <v/>
      </c>
      <c r="M2991" s="62" t="str">
        <f>IF(A2991="","",IFERROR(INDEX(fa_cname,MATCH(A2991,fa_num,0))&amp;"",""))</f>
        <v/>
      </c>
      <c r="N2991" s="59" t="str">
        <f>IF(COUNTA(A2991:G2991)=0,"",IF(A2991="","N° facture manquant",IF(ISNA(MATCH(A2991,fa_num,0)),"Facture inconnue",IF(AND(B2991&lt;&gt;"",ISNA(MATCH(B2991,pr_code,0))),"Article inconnu",IF(H2991="","Désignation manquante",IF(OR(NOT(ISNUMBER(D2991)),N(D2991)&lt;=0),"Quantité invalide",IF(J2991="","Prix manquant",IF(OR(NOT(ISNUMBER(J2991)),N(J2991)&lt;0),"Prix invalide",IF(OR(AND(F2991&lt;&gt;"",NOT(ISNUMBER(F2991))),N(F2991)&lt;0,N(F2991)&gt;1),"Remise invalide",IF(K2991="","Taux de TVA manquant",IF(NOT(ISNUMBER(K2991)),"Taux de TVA invalide",IF(COUNTIF(p_rates,K2991)=0,"Taux de TVA hors liste (Paramètres)",IF(N(O2991)&gt;25,"Au-delà de 25 lignes : non imprimée","OK")))))))))))))</f>
        <v/>
      </c>
      <c r="O2991" s="59" t="str">
        <f>IF(A2991="","",COUNTIF($A$6:A2991,A2991))</f>
        <v/>
      </c>
      <c r="P2991" s="62" t="str">
        <f>IF(A2991="","",A2991&amp;"|"&amp;O2991)</f>
        <v/>
      </c>
    </row>
    <row r="2992">
      <c r="A2992" s="60" t="n"/>
      <c r="B2992" s="63" t="n"/>
      <c r="C2992" s="63" t="n"/>
      <c r="D2992" s="67" t="n"/>
      <c r="E2992" s="68" t="n"/>
      <c r="F2992" s="69" t="n"/>
      <c r="G2992" s="70" t="n"/>
      <c r="H2992" s="62" t="str">
        <f>IF(COUNTA(A2992:G2992)=0,"",IF(C2992&lt;&gt;"",C2992,IF(B2992="","",IFERROR(INDEX(pr_des,MATCH(B2992,pr_code,0))&amp;"",""))))</f>
        <v/>
      </c>
      <c r="I2992" s="59" t="str">
        <f>IF(B2992="","",IFERROR(INDEX(pr_unit,MATCH(B2992,pr_code,0))&amp;"",""))</f>
        <v/>
      </c>
      <c r="J2992" s="65" t="str">
        <f>IF(COUNTA(A2992:G2992)=0,"",IF(E2992&lt;&gt;"",E2992,IF(B2992="","",IFERROR(IF(INDEX(pr_price,MATCH(B2992,pr_code,0))="","",INDEX(pr_price,MATCH(B2992,pr_code,0))),""))))</f>
        <v/>
      </c>
      <c r="K2992" s="71" t="str">
        <f>IF(COUNTA(A2992:G2992)=0,"",IF(G2992&lt;&gt;"",G2992,IF(B2992="","",IFERROR(IF(INDEX(pr_rate,MATCH(B2992,pr_code,0))="","",INDEX(pr_rate,MATCH(B2992,pr_code,0))),""))))</f>
        <v/>
      </c>
      <c r="L2992" s="65" t="str">
        <f>IF(COUNTA(A2992:G2992)=0,"",IF(AND(ISNUMBER(D2992),ISNUMBER(J2992)),ROUND(D2992*J2992*(1-N(F2992)),2),0))</f>
        <v/>
      </c>
      <c r="M2992" s="62" t="str">
        <f>IF(A2992="","",IFERROR(INDEX(fa_cname,MATCH(A2992,fa_num,0))&amp;"",""))</f>
        <v/>
      </c>
      <c r="N2992" s="59" t="str">
        <f>IF(COUNTA(A2992:G2992)=0,"",IF(A2992="","N° facture manquant",IF(ISNA(MATCH(A2992,fa_num,0)),"Facture inconnue",IF(AND(B2992&lt;&gt;"",ISNA(MATCH(B2992,pr_code,0))),"Article inconnu",IF(H2992="","Désignation manquante",IF(OR(NOT(ISNUMBER(D2992)),N(D2992)&lt;=0),"Quantité invalide",IF(J2992="","Prix manquant",IF(OR(NOT(ISNUMBER(J2992)),N(J2992)&lt;0),"Prix invalide",IF(OR(AND(F2992&lt;&gt;"",NOT(ISNUMBER(F2992))),N(F2992)&lt;0,N(F2992)&gt;1),"Remise invalide",IF(K2992="","Taux de TVA manquant",IF(NOT(ISNUMBER(K2992)),"Taux de TVA invalide",IF(COUNTIF(p_rates,K2992)=0,"Taux de TVA hors liste (Paramètres)",IF(N(O2992)&gt;25,"Au-delà de 25 lignes : non imprimée","OK")))))))))))))</f>
        <v/>
      </c>
      <c r="O2992" s="59" t="str">
        <f>IF(A2992="","",COUNTIF($A$6:A2992,A2992))</f>
        <v/>
      </c>
      <c r="P2992" s="62" t="str">
        <f>IF(A2992="","",A2992&amp;"|"&amp;O2992)</f>
        <v/>
      </c>
    </row>
    <row r="2993">
      <c r="A2993" s="60" t="n"/>
      <c r="B2993" s="63" t="n"/>
      <c r="C2993" s="63" t="n"/>
      <c r="D2993" s="67" t="n"/>
      <c r="E2993" s="68" t="n"/>
      <c r="F2993" s="69" t="n"/>
      <c r="G2993" s="70" t="n"/>
      <c r="H2993" s="62" t="str">
        <f>IF(COUNTA(A2993:G2993)=0,"",IF(C2993&lt;&gt;"",C2993,IF(B2993="","",IFERROR(INDEX(pr_des,MATCH(B2993,pr_code,0))&amp;"",""))))</f>
        <v/>
      </c>
      <c r="I2993" s="59" t="str">
        <f>IF(B2993="","",IFERROR(INDEX(pr_unit,MATCH(B2993,pr_code,0))&amp;"",""))</f>
        <v/>
      </c>
      <c r="J2993" s="65" t="str">
        <f>IF(COUNTA(A2993:G2993)=0,"",IF(E2993&lt;&gt;"",E2993,IF(B2993="","",IFERROR(IF(INDEX(pr_price,MATCH(B2993,pr_code,0))="","",INDEX(pr_price,MATCH(B2993,pr_code,0))),""))))</f>
        <v/>
      </c>
      <c r="K2993" s="71" t="str">
        <f>IF(COUNTA(A2993:G2993)=0,"",IF(G2993&lt;&gt;"",G2993,IF(B2993="","",IFERROR(IF(INDEX(pr_rate,MATCH(B2993,pr_code,0))="","",INDEX(pr_rate,MATCH(B2993,pr_code,0))),""))))</f>
        <v/>
      </c>
      <c r="L2993" s="65" t="str">
        <f>IF(COUNTA(A2993:G2993)=0,"",IF(AND(ISNUMBER(D2993),ISNUMBER(J2993)),ROUND(D2993*J2993*(1-N(F2993)),2),0))</f>
        <v/>
      </c>
      <c r="M2993" s="62" t="str">
        <f>IF(A2993="","",IFERROR(INDEX(fa_cname,MATCH(A2993,fa_num,0))&amp;"",""))</f>
        <v/>
      </c>
      <c r="N2993" s="59" t="str">
        <f>IF(COUNTA(A2993:G2993)=0,"",IF(A2993="","N° facture manquant",IF(ISNA(MATCH(A2993,fa_num,0)),"Facture inconnue",IF(AND(B2993&lt;&gt;"",ISNA(MATCH(B2993,pr_code,0))),"Article inconnu",IF(H2993="","Désignation manquante",IF(OR(NOT(ISNUMBER(D2993)),N(D2993)&lt;=0),"Quantité invalide",IF(J2993="","Prix manquant",IF(OR(NOT(ISNUMBER(J2993)),N(J2993)&lt;0),"Prix invalide",IF(OR(AND(F2993&lt;&gt;"",NOT(ISNUMBER(F2993))),N(F2993)&lt;0,N(F2993)&gt;1),"Remise invalide",IF(K2993="","Taux de TVA manquant",IF(NOT(ISNUMBER(K2993)),"Taux de TVA invalide",IF(COUNTIF(p_rates,K2993)=0,"Taux de TVA hors liste (Paramètres)",IF(N(O2993)&gt;25,"Au-delà de 25 lignes : non imprimée","OK")))))))))))))</f>
        <v/>
      </c>
      <c r="O2993" s="59" t="str">
        <f>IF(A2993="","",COUNTIF($A$6:A2993,A2993))</f>
        <v/>
      </c>
      <c r="P2993" s="62" t="str">
        <f>IF(A2993="","",A2993&amp;"|"&amp;O2993)</f>
        <v/>
      </c>
    </row>
    <row r="2994">
      <c r="A2994" s="60" t="n"/>
      <c r="B2994" s="63" t="n"/>
      <c r="C2994" s="63" t="n"/>
      <c r="D2994" s="67" t="n"/>
      <c r="E2994" s="68" t="n"/>
      <c r="F2994" s="69" t="n"/>
      <c r="G2994" s="70" t="n"/>
      <c r="H2994" s="62" t="str">
        <f>IF(COUNTA(A2994:G2994)=0,"",IF(C2994&lt;&gt;"",C2994,IF(B2994="","",IFERROR(INDEX(pr_des,MATCH(B2994,pr_code,0))&amp;"",""))))</f>
        <v/>
      </c>
      <c r="I2994" s="59" t="str">
        <f>IF(B2994="","",IFERROR(INDEX(pr_unit,MATCH(B2994,pr_code,0))&amp;"",""))</f>
        <v/>
      </c>
      <c r="J2994" s="65" t="str">
        <f>IF(COUNTA(A2994:G2994)=0,"",IF(E2994&lt;&gt;"",E2994,IF(B2994="","",IFERROR(IF(INDEX(pr_price,MATCH(B2994,pr_code,0))="","",INDEX(pr_price,MATCH(B2994,pr_code,0))),""))))</f>
        <v/>
      </c>
      <c r="K2994" s="71" t="str">
        <f>IF(COUNTA(A2994:G2994)=0,"",IF(G2994&lt;&gt;"",G2994,IF(B2994="","",IFERROR(IF(INDEX(pr_rate,MATCH(B2994,pr_code,0))="","",INDEX(pr_rate,MATCH(B2994,pr_code,0))),""))))</f>
        <v/>
      </c>
      <c r="L2994" s="65" t="str">
        <f>IF(COUNTA(A2994:G2994)=0,"",IF(AND(ISNUMBER(D2994),ISNUMBER(J2994)),ROUND(D2994*J2994*(1-N(F2994)),2),0))</f>
        <v/>
      </c>
      <c r="M2994" s="62" t="str">
        <f>IF(A2994="","",IFERROR(INDEX(fa_cname,MATCH(A2994,fa_num,0))&amp;"",""))</f>
        <v/>
      </c>
      <c r="N2994" s="59" t="str">
        <f>IF(COUNTA(A2994:G2994)=0,"",IF(A2994="","N° facture manquant",IF(ISNA(MATCH(A2994,fa_num,0)),"Facture inconnue",IF(AND(B2994&lt;&gt;"",ISNA(MATCH(B2994,pr_code,0))),"Article inconnu",IF(H2994="","Désignation manquante",IF(OR(NOT(ISNUMBER(D2994)),N(D2994)&lt;=0),"Quantité invalide",IF(J2994="","Prix manquant",IF(OR(NOT(ISNUMBER(J2994)),N(J2994)&lt;0),"Prix invalide",IF(OR(AND(F2994&lt;&gt;"",NOT(ISNUMBER(F2994))),N(F2994)&lt;0,N(F2994)&gt;1),"Remise invalide",IF(K2994="","Taux de TVA manquant",IF(NOT(ISNUMBER(K2994)),"Taux de TVA invalide",IF(COUNTIF(p_rates,K2994)=0,"Taux de TVA hors liste (Paramètres)",IF(N(O2994)&gt;25,"Au-delà de 25 lignes : non imprimée","OK")))))))))))))</f>
        <v/>
      </c>
      <c r="O2994" s="59" t="str">
        <f>IF(A2994="","",COUNTIF($A$6:A2994,A2994))</f>
        <v/>
      </c>
      <c r="P2994" s="62" t="str">
        <f>IF(A2994="","",A2994&amp;"|"&amp;O2994)</f>
        <v/>
      </c>
    </row>
    <row r="2995">
      <c r="A2995" s="60" t="n"/>
      <c r="B2995" s="63" t="n"/>
      <c r="C2995" s="63" t="n"/>
      <c r="D2995" s="67" t="n"/>
      <c r="E2995" s="68" t="n"/>
      <c r="F2995" s="69" t="n"/>
      <c r="G2995" s="70" t="n"/>
      <c r="H2995" s="62" t="str">
        <f>IF(COUNTA(A2995:G2995)=0,"",IF(C2995&lt;&gt;"",C2995,IF(B2995="","",IFERROR(INDEX(pr_des,MATCH(B2995,pr_code,0))&amp;"",""))))</f>
        <v/>
      </c>
      <c r="I2995" s="59" t="str">
        <f>IF(B2995="","",IFERROR(INDEX(pr_unit,MATCH(B2995,pr_code,0))&amp;"",""))</f>
        <v/>
      </c>
      <c r="J2995" s="65" t="str">
        <f>IF(COUNTA(A2995:G2995)=0,"",IF(E2995&lt;&gt;"",E2995,IF(B2995="","",IFERROR(IF(INDEX(pr_price,MATCH(B2995,pr_code,0))="","",INDEX(pr_price,MATCH(B2995,pr_code,0))),""))))</f>
        <v/>
      </c>
      <c r="K2995" s="71" t="str">
        <f>IF(COUNTA(A2995:G2995)=0,"",IF(G2995&lt;&gt;"",G2995,IF(B2995="","",IFERROR(IF(INDEX(pr_rate,MATCH(B2995,pr_code,0))="","",INDEX(pr_rate,MATCH(B2995,pr_code,0))),""))))</f>
        <v/>
      </c>
      <c r="L2995" s="65" t="str">
        <f>IF(COUNTA(A2995:G2995)=0,"",IF(AND(ISNUMBER(D2995),ISNUMBER(J2995)),ROUND(D2995*J2995*(1-N(F2995)),2),0))</f>
        <v/>
      </c>
      <c r="M2995" s="62" t="str">
        <f>IF(A2995="","",IFERROR(INDEX(fa_cname,MATCH(A2995,fa_num,0))&amp;"",""))</f>
        <v/>
      </c>
      <c r="N2995" s="59" t="str">
        <f>IF(COUNTA(A2995:G2995)=0,"",IF(A2995="","N° facture manquant",IF(ISNA(MATCH(A2995,fa_num,0)),"Facture inconnue",IF(AND(B2995&lt;&gt;"",ISNA(MATCH(B2995,pr_code,0))),"Article inconnu",IF(H2995="","Désignation manquante",IF(OR(NOT(ISNUMBER(D2995)),N(D2995)&lt;=0),"Quantité invalide",IF(J2995="","Prix manquant",IF(OR(NOT(ISNUMBER(J2995)),N(J2995)&lt;0),"Prix invalide",IF(OR(AND(F2995&lt;&gt;"",NOT(ISNUMBER(F2995))),N(F2995)&lt;0,N(F2995)&gt;1),"Remise invalide",IF(K2995="","Taux de TVA manquant",IF(NOT(ISNUMBER(K2995)),"Taux de TVA invalide",IF(COUNTIF(p_rates,K2995)=0,"Taux de TVA hors liste (Paramètres)",IF(N(O2995)&gt;25,"Au-delà de 25 lignes : non imprimée","OK")))))))))))))</f>
        <v/>
      </c>
      <c r="O2995" s="59" t="str">
        <f>IF(A2995="","",COUNTIF($A$6:A2995,A2995))</f>
        <v/>
      </c>
      <c r="P2995" s="62" t="str">
        <f>IF(A2995="","",A2995&amp;"|"&amp;O2995)</f>
        <v/>
      </c>
    </row>
    <row r="2996">
      <c r="A2996" s="60" t="n"/>
      <c r="B2996" s="63" t="n"/>
      <c r="C2996" s="63" t="n"/>
      <c r="D2996" s="67" t="n"/>
      <c r="E2996" s="68" t="n"/>
      <c r="F2996" s="69" t="n"/>
      <c r="G2996" s="70" t="n"/>
      <c r="H2996" s="62" t="str">
        <f>IF(COUNTA(A2996:G2996)=0,"",IF(C2996&lt;&gt;"",C2996,IF(B2996="","",IFERROR(INDEX(pr_des,MATCH(B2996,pr_code,0))&amp;"",""))))</f>
        <v/>
      </c>
      <c r="I2996" s="59" t="str">
        <f>IF(B2996="","",IFERROR(INDEX(pr_unit,MATCH(B2996,pr_code,0))&amp;"",""))</f>
        <v/>
      </c>
      <c r="J2996" s="65" t="str">
        <f>IF(COUNTA(A2996:G2996)=0,"",IF(E2996&lt;&gt;"",E2996,IF(B2996="","",IFERROR(IF(INDEX(pr_price,MATCH(B2996,pr_code,0))="","",INDEX(pr_price,MATCH(B2996,pr_code,0))),""))))</f>
        <v/>
      </c>
      <c r="K2996" s="71" t="str">
        <f>IF(COUNTA(A2996:G2996)=0,"",IF(G2996&lt;&gt;"",G2996,IF(B2996="","",IFERROR(IF(INDEX(pr_rate,MATCH(B2996,pr_code,0))="","",INDEX(pr_rate,MATCH(B2996,pr_code,0))),""))))</f>
        <v/>
      </c>
      <c r="L2996" s="65" t="str">
        <f>IF(COUNTA(A2996:G2996)=0,"",IF(AND(ISNUMBER(D2996),ISNUMBER(J2996)),ROUND(D2996*J2996*(1-N(F2996)),2),0))</f>
        <v/>
      </c>
      <c r="M2996" s="62" t="str">
        <f>IF(A2996="","",IFERROR(INDEX(fa_cname,MATCH(A2996,fa_num,0))&amp;"",""))</f>
        <v/>
      </c>
      <c r="N2996" s="59" t="str">
        <f>IF(COUNTA(A2996:G2996)=0,"",IF(A2996="","N° facture manquant",IF(ISNA(MATCH(A2996,fa_num,0)),"Facture inconnue",IF(AND(B2996&lt;&gt;"",ISNA(MATCH(B2996,pr_code,0))),"Article inconnu",IF(H2996="","Désignation manquante",IF(OR(NOT(ISNUMBER(D2996)),N(D2996)&lt;=0),"Quantité invalide",IF(J2996="","Prix manquant",IF(OR(NOT(ISNUMBER(J2996)),N(J2996)&lt;0),"Prix invalide",IF(OR(AND(F2996&lt;&gt;"",NOT(ISNUMBER(F2996))),N(F2996)&lt;0,N(F2996)&gt;1),"Remise invalide",IF(K2996="","Taux de TVA manquant",IF(NOT(ISNUMBER(K2996)),"Taux de TVA invalide",IF(COUNTIF(p_rates,K2996)=0,"Taux de TVA hors liste (Paramètres)",IF(N(O2996)&gt;25,"Au-delà de 25 lignes : non imprimée","OK")))))))))))))</f>
        <v/>
      </c>
      <c r="O2996" s="59" t="str">
        <f>IF(A2996="","",COUNTIF($A$6:A2996,A2996))</f>
        <v/>
      </c>
      <c r="P2996" s="62" t="str">
        <f>IF(A2996="","",A2996&amp;"|"&amp;O2996)</f>
        <v/>
      </c>
    </row>
    <row r="2997">
      <c r="A2997" s="60" t="n"/>
      <c r="B2997" s="63" t="n"/>
      <c r="C2997" s="63" t="n"/>
      <c r="D2997" s="67" t="n"/>
      <c r="E2997" s="68" t="n"/>
      <c r="F2997" s="69" t="n"/>
      <c r="G2997" s="70" t="n"/>
      <c r="H2997" s="62" t="str">
        <f>IF(COUNTA(A2997:G2997)=0,"",IF(C2997&lt;&gt;"",C2997,IF(B2997="","",IFERROR(INDEX(pr_des,MATCH(B2997,pr_code,0))&amp;"",""))))</f>
        <v/>
      </c>
      <c r="I2997" s="59" t="str">
        <f>IF(B2997="","",IFERROR(INDEX(pr_unit,MATCH(B2997,pr_code,0))&amp;"",""))</f>
        <v/>
      </c>
      <c r="J2997" s="65" t="str">
        <f>IF(COUNTA(A2997:G2997)=0,"",IF(E2997&lt;&gt;"",E2997,IF(B2997="","",IFERROR(IF(INDEX(pr_price,MATCH(B2997,pr_code,0))="","",INDEX(pr_price,MATCH(B2997,pr_code,0))),""))))</f>
        <v/>
      </c>
      <c r="K2997" s="71" t="str">
        <f>IF(COUNTA(A2997:G2997)=0,"",IF(G2997&lt;&gt;"",G2997,IF(B2997="","",IFERROR(IF(INDEX(pr_rate,MATCH(B2997,pr_code,0))="","",INDEX(pr_rate,MATCH(B2997,pr_code,0))),""))))</f>
        <v/>
      </c>
      <c r="L2997" s="65" t="str">
        <f>IF(COUNTA(A2997:G2997)=0,"",IF(AND(ISNUMBER(D2997),ISNUMBER(J2997)),ROUND(D2997*J2997*(1-N(F2997)),2),0))</f>
        <v/>
      </c>
      <c r="M2997" s="62" t="str">
        <f>IF(A2997="","",IFERROR(INDEX(fa_cname,MATCH(A2997,fa_num,0))&amp;"",""))</f>
        <v/>
      </c>
      <c r="N2997" s="59" t="str">
        <f>IF(COUNTA(A2997:G2997)=0,"",IF(A2997="","N° facture manquant",IF(ISNA(MATCH(A2997,fa_num,0)),"Facture inconnue",IF(AND(B2997&lt;&gt;"",ISNA(MATCH(B2997,pr_code,0))),"Article inconnu",IF(H2997="","Désignation manquante",IF(OR(NOT(ISNUMBER(D2997)),N(D2997)&lt;=0),"Quantité invalide",IF(J2997="","Prix manquant",IF(OR(NOT(ISNUMBER(J2997)),N(J2997)&lt;0),"Prix invalide",IF(OR(AND(F2997&lt;&gt;"",NOT(ISNUMBER(F2997))),N(F2997)&lt;0,N(F2997)&gt;1),"Remise invalide",IF(K2997="","Taux de TVA manquant",IF(NOT(ISNUMBER(K2997)),"Taux de TVA invalide",IF(COUNTIF(p_rates,K2997)=0,"Taux de TVA hors liste (Paramètres)",IF(N(O2997)&gt;25,"Au-delà de 25 lignes : non imprimée","OK")))))))))))))</f>
        <v/>
      </c>
      <c r="O2997" s="59" t="str">
        <f>IF(A2997="","",COUNTIF($A$6:A2997,A2997))</f>
        <v/>
      </c>
      <c r="P2997" s="62" t="str">
        <f>IF(A2997="","",A2997&amp;"|"&amp;O2997)</f>
        <v/>
      </c>
    </row>
    <row r="2998">
      <c r="A2998" s="60" t="n"/>
      <c r="B2998" s="63" t="n"/>
      <c r="C2998" s="63" t="n"/>
      <c r="D2998" s="67" t="n"/>
      <c r="E2998" s="68" t="n"/>
      <c r="F2998" s="69" t="n"/>
      <c r="G2998" s="70" t="n"/>
      <c r="H2998" s="62" t="str">
        <f>IF(COUNTA(A2998:G2998)=0,"",IF(C2998&lt;&gt;"",C2998,IF(B2998="","",IFERROR(INDEX(pr_des,MATCH(B2998,pr_code,0))&amp;"",""))))</f>
        <v/>
      </c>
      <c r="I2998" s="59" t="str">
        <f>IF(B2998="","",IFERROR(INDEX(pr_unit,MATCH(B2998,pr_code,0))&amp;"",""))</f>
        <v/>
      </c>
      <c r="J2998" s="65" t="str">
        <f>IF(COUNTA(A2998:G2998)=0,"",IF(E2998&lt;&gt;"",E2998,IF(B2998="","",IFERROR(IF(INDEX(pr_price,MATCH(B2998,pr_code,0))="","",INDEX(pr_price,MATCH(B2998,pr_code,0))),""))))</f>
        <v/>
      </c>
      <c r="K2998" s="71" t="str">
        <f>IF(COUNTA(A2998:G2998)=0,"",IF(G2998&lt;&gt;"",G2998,IF(B2998="","",IFERROR(IF(INDEX(pr_rate,MATCH(B2998,pr_code,0))="","",INDEX(pr_rate,MATCH(B2998,pr_code,0))),""))))</f>
        <v/>
      </c>
      <c r="L2998" s="65" t="str">
        <f>IF(COUNTA(A2998:G2998)=0,"",IF(AND(ISNUMBER(D2998),ISNUMBER(J2998)),ROUND(D2998*J2998*(1-N(F2998)),2),0))</f>
        <v/>
      </c>
      <c r="M2998" s="62" t="str">
        <f>IF(A2998="","",IFERROR(INDEX(fa_cname,MATCH(A2998,fa_num,0))&amp;"",""))</f>
        <v/>
      </c>
      <c r="N2998" s="59" t="str">
        <f>IF(COUNTA(A2998:G2998)=0,"",IF(A2998="","N° facture manquant",IF(ISNA(MATCH(A2998,fa_num,0)),"Facture inconnue",IF(AND(B2998&lt;&gt;"",ISNA(MATCH(B2998,pr_code,0))),"Article inconnu",IF(H2998="","Désignation manquante",IF(OR(NOT(ISNUMBER(D2998)),N(D2998)&lt;=0),"Quantité invalide",IF(J2998="","Prix manquant",IF(OR(NOT(ISNUMBER(J2998)),N(J2998)&lt;0),"Prix invalide",IF(OR(AND(F2998&lt;&gt;"",NOT(ISNUMBER(F2998))),N(F2998)&lt;0,N(F2998)&gt;1),"Remise invalide",IF(K2998="","Taux de TVA manquant",IF(NOT(ISNUMBER(K2998)),"Taux de TVA invalide",IF(COUNTIF(p_rates,K2998)=0,"Taux de TVA hors liste (Paramètres)",IF(N(O2998)&gt;25,"Au-delà de 25 lignes : non imprimée","OK")))))))))))))</f>
        <v/>
      </c>
      <c r="O2998" s="59" t="str">
        <f>IF(A2998="","",COUNTIF($A$6:A2998,A2998))</f>
        <v/>
      </c>
      <c r="P2998" s="62" t="str">
        <f>IF(A2998="","",A2998&amp;"|"&amp;O2998)</f>
        <v/>
      </c>
    </row>
    <row r="2999">
      <c r="A2999" s="60" t="n"/>
      <c r="B2999" s="63" t="n"/>
      <c r="C2999" s="63" t="n"/>
      <c r="D2999" s="67" t="n"/>
      <c r="E2999" s="68" t="n"/>
      <c r="F2999" s="69" t="n"/>
      <c r="G2999" s="70" t="n"/>
      <c r="H2999" s="62" t="str">
        <f>IF(COUNTA(A2999:G2999)=0,"",IF(C2999&lt;&gt;"",C2999,IF(B2999="","",IFERROR(INDEX(pr_des,MATCH(B2999,pr_code,0))&amp;"",""))))</f>
        <v/>
      </c>
      <c r="I2999" s="59" t="str">
        <f>IF(B2999="","",IFERROR(INDEX(pr_unit,MATCH(B2999,pr_code,0))&amp;"",""))</f>
        <v/>
      </c>
      <c r="J2999" s="65" t="str">
        <f>IF(COUNTA(A2999:G2999)=0,"",IF(E2999&lt;&gt;"",E2999,IF(B2999="","",IFERROR(IF(INDEX(pr_price,MATCH(B2999,pr_code,0))="","",INDEX(pr_price,MATCH(B2999,pr_code,0))),""))))</f>
        <v/>
      </c>
      <c r="K2999" s="71" t="str">
        <f>IF(COUNTA(A2999:G2999)=0,"",IF(G2999&lt;&gt;"",G2999,IF(B2999="","",IFERROR(IF(INDEX(pr_rate,MATCH(B2999,pr_code,0))="","",INDEX(pr_rate,MATCH(B2999,pr_code,0))),""))))</f>
        <v/>
      </c>
      <c r="L2999" s="65" t="str">
        <f>IF(COUNTA(A2999:G2999)=0,"",IF(AND(ISNUMBER(D2999),ISNUMBER(J2999)),ROUND(D2999*J2999*(1-N(F2999)),2),0))</f>
        <v/>
      </c>
      <c r="M2999" s="62" t="str">
        <f>IF(A2999="","",IFERROR(INDEX(fa_cname,MATCH(A2999,fa_num,0))&amp;"",""))</f>
        <v/>
      </c>
      <c r="N2999" s="59" t="str">
        <f>IF(COUNTA(A2999:G2999)=0,"",IF(A2999="","N° facture manquant",IF(ISNA(MATCH(A2999,fa_num,0)),"Facture inconnue",IF(AND(B2999&lt;&gt;"",ISNA(MATCH(B2999,pr_code,0))),"Article inconnu",IF(H2999="","Désignation manquante",IF(OR(NOT(ISNUMBER(D2999)),N(D2999)&lt;=0),"Quantité invalide",IF(J2999="","Prix manquant",IF(OR(NOT(ISNUMBER(J2999)),N(J2999)&lt;0),"Prix invalide",IF(OR(AND(F2999&lt;&gt;"",NOT(ISNUMBER(F2999))),N(F2999)&lt;0,N(F2999)&gt;1),"Remise invalide",IF(K2999="","Taux de TVA manquant",IF(NOT(ISNUMBER(K2999)),"Taux de TVA invalide",IF(COUNTIF(p_rates,K2999)=0,"Taux de TVA hors liste (Paramètres)",IF(N(O2999)&gt;25,"Au-delà de 25 lignes : non imprimée","OK")))))))))))))</f>
        <v/>
      </c>
      <c r="O2999" s="59" t="str">
        <f>IF(A2999="","",COUNTIF($A$6:A2999,A2999))</f>
        <v/>
      </c>
      <c r="P2999" s="62" t="str">
        <f>IF(A2999="","",A2999&amp;"|"&amp;O2999)</f>
        <v/>
      </c>
    </row>
    <row r="3000">
      <c r="A3000" s="60" t="n"/>
      <c r="B3000" s="63" t="n"/>
      <c r="C3000" s="63" t="n"/>
      <c r="D3000" s="67" t="n"/>
      <c r="E3000" s="68" t="n"/>
      <c r="F3000" s="69" t="n"/>
      <c r="G3000" s="70" t="n"/>
      <c r="H3000" s="62" t="str">
        <f>IF(COUNTA(A3000:G3000)=0,"",IF(C3000&lt;&gt;"",C3000,IF(B3000="","",IFERROR(INDEX(pr_des,MATCH(B3000,pr_code,0))&amp;"",""))))</f>
        <v/>
      </c>
      <c r="I3000" s="59" t="str">
        <f>IF(B3000="","",IFERROR(INDEX(pr_unit,MATCH(B3000,pr_code,0))&amp;"",""))</f>
        <v/>
      </c>
      <c r="J3000" s="65" t="str">
        <f>IF(COUNTA(A3000:G3000)=0,"",IF(E3000&lt;&gt;"",E3000,IF(B3000="","",IFERROR(IF(INDEX(pr_price,MATCH(B3000,pr_code,0))="","",INDEX(pr_price,MATCH(B3000,pr_code,0))),""))))</f>
        <v/>
      </c>
      <c r="K3000" s="71" t="str">
        <f>IF(COUNTA(A3000:G3000)=0,"",IF(G3000&lt;&gt;"",G3000,IF(B3000="","",IFERROR(IF(INDEX(pr_rate,MATCH(B3000,pr_code,0))="","",INDEX(pr_rate,MATCH(B3000,pr_code,0))),""))))</f>
        <v/>
      </c>
      <c r="L3000" s="65" t="str">
        <f>IF(COUNTA(A3000:G3000)=0,"",IF(AND(ISNUMBER(D3000),ISNUMBER(J3000)),ROUND(D3000*J3000*(1-N(F3000)),2),0))</f>
        <v/>
      </c>
      <c r="M3000" s="62" t="str">
        <f>IF(A3000="","",IFERROR(INDEX(fa_cname,MATCH(A3000,fa_num,0))&amp;"",""))</f>
        <v/>
      </c>
      <c r="N3000" s="59" t="str">
        <f>IF(COUNTA(A3000:G3000)=0,"",IF(A3000="","N° facture manquant",IF(ISNA(MATCH(A3000,fa_num,0)),"Facture inconnue",IF(AND(B3000&lt;&gt;"",ISNA(MATCH(B3000,pr_code,0))),"Article inconnu",IF(H3000="","Désignation manquante",IF(OR(NOT(ISNUMBER(D3000)),N(D3000)&lt;=0),"Quantité invalide",IF(J3000="","Prix manquant",IF(OR(NOT(ISNUMBER(J3000)),N(J3000)&lt;0),"Prix invalide",IF(OR(AND(F3000&lt;&gt;"",NOT(ISNUMBER(F3000))),N(F3000)&lt;0,N(F3000)&gt;1),"Remise invalide",IF(K3000="","Taux de TVA manquant",IF(NOT(ISNUMBER(K3000)),"Taux de TVA invalide",IF(COUNTIF(p_rates,K3000)=0,"Taux de TVA hors liste (Paramètres)",IF(N(O3000)&gt;25,"Au-delà de 25 lignes : non imprimée","OK")))))))))))))</f>
        <v/>
      </c>
      <c r="O3000" s="59" t="str">
        <f>IF(A3000="","",COUNTIF($A$6:A3000,A3000))</f>
        <v/>
      </c>
      <c r="P3000" s="62" t="str">
        <f>IF(A3000="","",A3000&amp;"|"&amp;O3000)</f>
        <v/>
      </c>
    </row>
    <row r="3001">
      <c r="A3001" s="60" t="n"/>
      <c r="B3001" s="63" t="n"/>
      <c r="C3001" s="63" t="n"/>
      <c r="D3001" s="67" t="n"/>
      <c r="E3001" s="68" t="n"/>
      <c r="F3001" s="69" t="n"/>
      <c r="G3001" s="70" t="n"/>
      <c r="H3001" s="62" t="str">
        <f>IF(COUNTA(A3001:G3001)=0,"",IF(C3001&lt;&gt;"",C3001,IF(B3001="","",IFERROR(INDEX(pr_des,MATCH(B3001,pr_code,0))&amp;"",""))))</f>
        <v/>
      </c>
      <c r="I3001" s="59" t="str">
        <f>IF(B3001="","",IFERROR(INDEX(pr_unit,MATCH(B3001,pr_code,0))&amp;"",""))</f>
        <v/>
      </c>
      <c r="J3001" s="65" t="str">
        <f>IF(COUNTA(A3001:G3001)=0,"",IF(E3001&lt;&gt;"",E3001,IF(B3001="","",IFERROR(IF(INDEX(pr_price,MATCH(B3001,pr_code,0))="","",INDEX(pr_price,MATCH(B3001,pr_code,0))),""))))</f>
        <v/>
      </c>
      <c r="K3001" s="71" t="str">
        <f>IF(COUNTA(A3001:G3001)=0,"",IF(G3001&lt;&gt;"",G3001,IF(B3001="","",IFERROR(IF(INDEX(pr_rate,MATCH(B3001,pr_code,0))="","",INDEX(pr_rate,MATCH(B3001,pr_code,0))),""))))</f>
        <v/>
      </c>
      <c r="L3001" s="65" t="str">
        <f>IF(COUNTA(A3001:G3001)=0,"",IF(AND(ISNUMBER(D3001),ISNUMBER(J3001)),ROUND(D3001*J3001*(1-N(F3001)),2),0))</f>
        <v/>
      </c>
      <c r="M3001" s="62" t="str">
        <f>IF(A3001="","",IFERROR(INDEX(fa_cname,MATCH(A3001,fa_num,0))&amp;"",""))</f>
        <v/>
      </c>
      <c r="N3001" s="59" t="str">
        <f>IF(COUNTA(A3001:G3001)=0,"",IF(A3001="","N° facture manquant",IF(ISNA(MATCH(A3001,fa_num,0)),"Facture inconnue",IF(AND(B3001&lt;&gt;"",ISNA(MATCH(B3001,pr_code,0))),"Article inconnu",IF(H3001="","Désignation manquante",IF(OR(NOT(ISNUMBER(D3001)),N(D3001)&lt;=0),"Quantité invalide",IF(J3001="","Prix manquant",IF(OR(NOT(ISNUMBER(J3001)),N(J3001)&lt;0),"Prix invalide",IF(OR(AND(F3001&lt;&gt;"",NOT(ISNUMBER(F3001))),N(F3001)&lt;0,N(F3001)&gt;1),"Remise invalide",IF(K3001="","Taux de TVA manquant",IF(NOT(ISNUMBER(K3001)),"Taux de TVA invalide",IF(COUNTIF(p_rates,K3001)=0,"Taux de TVA hors liste (Paramètres)",IF(N(O3001)&gt;25,"Au-delà de 25 lignes : non imprimée","OK")))))))))))))</f>
        <v/>
      </c>
      <c r="O3001" s="59" t="str">
        <f>IF(A3001="","",COUNTIF($A$6:A3001,A3001))</f>
        <v/>
      </c>
      <c r="P3001" s="62" t="str">
        <f>IF(A3001="","",A3001&amp;"|"&amp;O3001)</f>
        <v/>
      </c>
    </row>
    <row r="3002">
      <c r="A3002" s="60" t="n"/>
      <c r="B3002" s="63" t="n"/>
      <c r="C3002" s="63" t="n"/>
      <c r="D3002" s="67" t="n"/>
      <c r="E3002" s="68" t="n"/>
      <c r="F3002" s="69" t="n"/>
      <c r="G3002" s="70" t="n"/>
      <c r="H3002" s="62" t="str">
        <f>IF(COUNTA(A3002:G3002)=0,"",IF(C3002&lt;&gt;"",C3002,IF(B3002="","",IFERROR(INDEX(pr_des,MATCH(B3002,pr_code,0))&amp;"",""))))</f>
        <v/>
      </c>
      <c r="I3002" s="59" t="str">
        <f>IF(B3002="","",IFERROR(INDEX(pr_unit,MATCH(B3002,pr_code,0))&amp;"",""))</f>
        <v/>
      </c>
      <c r="J3002" s="65" t="str">
        <f>IF(COUNTA(A3002:G3002)=0,"",IF(E3002&lt;&gt;"",E3002,IF(B3002="","",IFERROR(IF(INDEX(pr_price,MATCH(B3002,pr_code,0))="","",INDEX(pr_price,MATCH(B3002,pr_code,0))),""))))</f>
        <v/>
      </c>
      <c r="K3002" s="71" t="str">
        <f>IF(COUNTA(A3002:G3002)=0,"",IF(G3002&lt;&gt;"",G3002,IF(B3002="","",IFERROR(IF(INDEX(pr_rate,MATCH(B3002,pr_code,0))="","",INDEX(pr_rate,MATCH(B3002,pr_code,0))),""))))</f>
        <v/>
      </c>
      <c r="L3002" s="65" t="str">
        <f>IF(COUNTA(A3002:G3002)=0,"",IF(AND(ISNUMBER(D3002),ISNUMBER(J3002)),ROUND(D3002*J3002*(1-N(F3002)),2),0))</f>
        <v/>
      </c>
      <c r="M3002" s="62" t="str">
        <f>IF(A3002="","",IFERROR(INDEX(fa_cname,MATCH(A3002,fa_num,0))&amp;"",""))</f>
        <v/>
      </c>
      <c r="N3002" s="59" t="str">
        <f>IF(COUNTA(A3002:G3002)=0,"",IF(A3002="","N° facture manquant",IF(ISNA(MATCH(A3002,fa_num,0)),"Facture inconnue",IF(AND(B3002&lt;&gt;"",ISNA(MATCH(B3002,pr_code,0))),"Article inconnu",IF(H3002="","Désignation manquante",IF(OR(NOT(ISNUMBER(D3002)),N(D3002)&lt;=0),"Quantité invalide",IF(J3002="","Prix manquant",IF(OR(NOT(ISNUMBER(J3002)),N(J3002)&lt;0),"Prix invalide",IF(OR(AND(F3002&lt;&gt;"",NOT(ISNUMBER(F3002))),N(F3002)&lt;0,N(F3002)&gt;1),"Remise invalide",IF(K3002="","Taux de TVA manquant",IF(NOT(ISNUMBER(K3002)),"Taux de TVA invalide",IF(COUNTIF(p_rates,K3002)=0,"Taux de TVA hors liste (Paramètres)",IF(N(O3002)&gt;25,"Au-delà de 25 lignes : non imprimée","OK")))))))))))))</f>
        <v/>
      </c>
      <c r="O3002" s="59" t="str">
        <f>IF(A3002="","",COUNTIF($A$6:A3002,A3002))</f>
        <v/>
      </c>
      <c r="P3002" s="62" t="str">
        <f>IF(A3002="","",A3002&amp;"|"&amp;O3002)</f>
        <v/>
      </c>
    </row>
    <row r="3003">
      <c r="A3003" s="60" t="n"/>
      <c r="B3003" s="63" t="n"/>
      <c r="C3003" s="63" t="n"/>
      <c r="D3003" s="67" t="n"/>
      <c r="E3003" s="68" t="n"/>
      <c r="F3003" s="69" t="n"/>
      <c r="G3003" s="70" t="n"/>
      <c r="H3003" s="62" t="str">
        <f>IF(COUNTA(A3003:G3003)=0,"",IF(C3003&lt;&gt;"",C3003,IF(B3003="","",IFERROR(INDEX(pr_des,MATCH(B3003,pr_code,0))&amp;"",""))))</f>
        <v/>
      </c>
      <c r="I3003" s="59" t="str">
        <f>IF(B3003="","",IFERROR(INDEX(pr_unit,MATCH(B3003,pr_code,0))&amp;"",""))</f>
        <v/>
      </c>
      <c r="J3003" s="65" t="str">
        <f>IF(COUNTA(A3003:G3003)=0,"",IF(E3003&lt;&gt;"",E3003,IF(B3003="","",IFERROR(IF(INDEX(pr_price,MATCH(B3003,pr_code,0))="","",INDEX(pr_price,MATCH(B3003,pr_code,0))),""))))</f>
        <v/>
      </c>
      <c r="K3003" s="71" t="str">
        <f>IF(COUNTA(A3003:G3003)=0,"",IF(G3003&lt;&gt;"",G3003,IF(B3003="","",IFERROR(IF(INDEX(pr_rate,MATCH(B3003,pr_code,0))="","",INDEX(pr_rate,MATCH(B3003,pr_code,0))),""))))</f>
        <v/>
      </c>
      <c r="L3003" s="65" t="str">
        <f>IF(COUNTA(A3003:G3003)=0,"",IF(AND(ISNUMBER(D3003),ISNUMBER(J3003)),ROUND(D3003*J3003*(1-N(F3003)),2),0))</f>
        <v/>
      </c>
      <c r="M3003" s="62" t="str">
        <f>IF(A3003="","",IFERROR(INDEX(fa_cname,MATCH(A3003,fa_num,0))&amp;"",""))</f>
        <v/>
      </c>
      <c r="N3003" s="59" t="str">
        <f>IF(COUNTA(A3003:G3003)=0,"",IF(A3003="","N° facture manquant",IF(ISNA(MATCH(A3003,fa_num,0)),"Facture inconnue",IF(AND(B3003&lt;&gt;"",ISNA(MATCH(B3003,pr_code,0))),"Article inconnu",IF(H3003="","Désignation manquante",IF(OR(NOT(ISNUMBER(D3003)),N(D3003)&lt;=0),"Quantité invalide",IF(J3003="","Prix manquant",IF(OR(NOT(ISNUMBER(J3003)),N(J3003)&lt;0),"Prix invalide",IF(OR(AND(F3003&lt;&gt;"",NOT(ISNUMBER(F3003))),N(F3003)&lt;0,N(F3003)&gt;1),"Remise invalide",IF(K3003="","Taux de TVA manquant",IF(NOT(ISNUMBER(K3003)),"Taux de TVA invalide",IF(COUNTIF(p_rates,K3003)=0,"Taux de TVA hors liste (Paramètres)",IF(N(O3003)&gt;25,"Au-delà de 25 lignes : non imprimée","OK")))))))))))))</f>
        <v/>
      </c>
      <c r="O3003" s="59" t="str">
        <f>IF(A3003="","",COUNTIF($A$6:A3003,A3003))</f>
        <v/>
      </c>
      <c r="P3003" s="62" t="str">
        <f>IF(A3003="","",A3003&amp;"|"&amp;O3003)</f>
        <v/>
      </c>
    </row>
    <row r="3004">
      <c r="A3004" s="60" t="n"/>
      <c r="B3004" s="63" t="n"/>
      <c r="C3004" s="63" t="n"/>
      <c r="D3004" s="67" t="n"/>
      <c r="E3004" s="68" t="n"/>
      <c r="F3004" s="69" t="n"/>
      <c r="G3004" s="70" t="n"/>
      <c r="H3004" s="62" t="str">
        <f>IF(COUNTA(A3004:G3004)=0,"",IF(C3004&lt;&gt;"",C3004,IF(B3004="","",IFERROR(INDEX(pr_des,MATCH(B3004,pr_code,0))&amp;"",""))))</f>
        <v/>
      </c>
      <c r="I3004" s="59" t="str">
        <f>IF(B3004="","",IFERROR(INDEX(pr_unit,MATCH(B3004,pr_code,0))&amp;"",""))</f>
        <v/>
      </c>
      <c r="J3004" s="65" t="str">
        <f>IF(COUNTA(A3004:G3004)=0,"",IF(E3004&lt;&gt;"",E3004,IF(B3004="","",IFERROR(IF(INDEX(pr_price,MATCH(B3004,pr_code,0))="","",INDEX(pr_price,MATCH(B3004,pr_code,0))),""))))</f>
        <v/>
      </c>
      <c r="K3004" s="71" t="str">
        <f>IF(COUNTA(A3004:G3004)=0,"",IF(G3004&lt;&gt;"",G3004,IF(B3004="","",IFERROR(IF(INDEX(pr_rate,MATCH(B3004,pr_code,0))="","",INDEX(pr_rate,MATCH(B3004,pr_code,0))),""))))</f>
        <v/>
      </c>
      <c r="L3004" s="65" t="str">
        <f>IF(COUNTA(A3004:G3004)=0,"",IF(AND(ISNUMBER(D3004),ISNUMBER(J3004)),ROUND(D3004*J3004*(1-N(F3004)),2),0))</f>
        <v/>
      </c>
      <c r="M3004" s="62" t="str">
        <f>IF(A3004="","",IFERROR(INDEX(fa_cname,MATCH(A3004,fa_num,0))&amp;"",""))</f>
        <v/>
      </c>
      <c r="N3004" s="59" t="str">
        <f>IF(COUNTA(A3004:G3004)=0,"",IF(A3004="","N° facture manquant",IF(ISNA(MATCH(A3004,fa_num,0)),"Facture inconnue",IF(AND(B3004&lt;&gt;"",ISNA(MATCH(B3004,pr_code,0))),"Article inconnu",IF(H3004="","Désignation manquante",IF(OR(NOT(ISNUMBER(D3004)),N(D3004)&lt;=0),"Quantité invalide",IF(J3004="","Prix manquant",IF(OR(NOT(ISNUMBER(J3004)),N(J3004)&lt;0),"Prix invalide",IF(OR(AND(F3004&lt;&gt;"",NOT(ISNUMBER(F3004))),N(F3004)&lt;0,N(F3004)&gt;1),"Remise invalide",IF(K3004="","Taux de TVA manquant",IF(NOT(ISNUMBER(K3004)),"Taux de TVA invalide",IF(COUNTIF(p_rates,K3004)=0,"Taux de TVA hors liste (Paramètres)",IF(N(O3004)&gt;25,"Au-delà de 25 lignes : non imprimée","OK")))))))))))))</f>
        <v/>
      </c>
      <c r="O3004" s="59" t="str">
        <f>IF(A3004="","",COUNTIF($A$6:A3004,A3004))</f>
        <v/>
      </c>
      <c r="P3004" s="62" t="str">
        <f>IF(A3004="","",A3004&amp;"|"&amp;O3004)</f>
        <v/>
      </c>
    </row>
    <row r="3005">
      <c r="A3005" s="60" t="n"/>
      <c r="B3005" s="63" t="n"/>
      <c r="C3005" s="63" t="n"/>
      <c r="D3005" s="67" t="n"/>
      <c r="E3005" s="68" t="n"/>
      <c r="F3005" s="69" t="n"/>
      <c r="G3005" s="70" t="n"/>
      <c r="H3005" s="62" t="str">
        <f>IF(COUNTA(A3005:G3005)=0,"",IF(C3005&lt;&gt;"",C3005,IF(B3005="","",IFERROR(INDEX(pr_des,MATCH(B3005,pr_code,0))&amp;"",""))))</f>
        <v/>
      </c>
      <c r="I3005" s="59" t="str">
        <f>IF(B3005="","",IFERROR(INDEX(pr_unit,MATCH(B3005,pr_code,0))&amp;"",""))</f>
        <v/>
      </c>
      <c r="J3005" s="65" t="str">
        <f>IF(COUNTA(A3005:G3005)=0,"",IF(E3005&lt;&gt;"",E3005,IF(B3005="","",IFERROR(IF(INDEX(pr_price,MATCH(B3005,pr_code,0))="","",INDEX(pr_price,MATCH(B3005,pr_code,0))),""))))</f>
        <v/>
      </c>
      <c r="K3005" s="71" t="str">
        <f>IF(COUNTA(A3005:G3005)=0,"",IF(G3005&lt;&gt;"",G3005,IF(B3005="","",IFERROR(IF(INDEX(pr_rate,MATCH(B3005,pr_code,0))="","",INDEX(pr_rate,MATCH(B3005,pr_code,0))),""))))</f>
        <v/>
      </c>
      <c r="L3005" s="65" t="str">
        <f>IF(COUNTA(A3005:G3005)=0,"",IF(AND(ISNUMBER(D3005),ISNUMBER(J3005)),ROUND(D3005*J3005*(1-N(F3005)),2),0))</f>
        <v/>
      </c>
      <c r="M3005" s="62" t="str">
        <f>IF(A3005="","",IFERROR(INDEX(fa_cname,MATCH(A3005,fa_num,0))&amp;"",""))</f>
        <v/>
      </c>
      <c r="N3005" s="59" t="str">
        <f>IF(COUNTA(A3005:G3005)=0,"",IF(A3005="","N° facture manquant",IF(ISNA(MATCH(A3005,fa_num,0)),"Facture inconnue",IF(AND(B3005&lt;&gt;"",ISNA(MATCH(B3005,pr_code,0))),"Article inconnu",IF(H3005="","Désignation manquante",IF(OR(NOT(ISNUMBER(D3005)),N(D3005)&lt;=0),"Quantité invalide",IF(J3005="","Prix manquant",IF(OR(NOT(ISNUMBER(J3005)),N(J3005)&lt;0),"Prix invalide",IF(OR(AND(F3005&lt;&gt;"",NOT(ISNUMBER(F3005))),N(F3005)&lt;0,N(F3005)&gt;1),"Remise invalide",IF(K3005="","Taux de TVA manquant",IF(NOT(ISNUMBER(K3005)),"Taux de TVA invalide",IF(COUNTIF(p_rates,K3005)=0,"Taux de TVA hors liste (Paramètres)",IF(N(O3005)&gt;25,"Au-delà de 25 lignes : non imprimée","OK")))))))))))))</f>
        <v/>
      </c>
      <c r="O3005" s="59" t="str">
        <f>IF(A3005="","",COUNTIF($A$6:A3005,A3005))</f>
        <v/>
      </c>
      <c r="P3005" s="62" t="str">
        <f>IF(A3005="","",A3005&amp;"|"&amp;O3005)</f>
        <v/>
      </c>
    </row>
    <row r="3006">
      <c r="A3006" s="60" t="n"/>
      <c r="B3006" s="63" t="n"/>
      <c r="C3006" s="63" t="n"/>
      <c r="D3006" s="67" t="n"/>
      <c r="E3006" s="68" t="n"/>
      <c r="F3006" s="69" t="n"/>
      <c r="G3006" s="70" t="n"/>
      <c r="H3006" s="62" t="str">
        <f>IF(COUNTA(A3006:G3006)=0,"",IF(C3006&lt;&gt;"",C3006,IF(B3006="","",IFERROR(INDEX(pr_des,MATCH(B3006,pr_code,0))&amp;"",""))))</f>
        <v/>
      </c>
      <c r="I3006" s="59" t="str">
        <f>IF(B3006="","",IFERROR(INDEX(pr_unit,MATCH(B3006,pr_code,0))&amp;"",""))</f>
        <v/>
      </c>
      <c r="J3006" s="65" t="str">
        <f>IF(COUNTA(A3006:G3006)=0,"",IF(E3006&lt;&gt;"",E3006,IF(B3006="","",IFERROR(IF(INDEX(pr_price,MATCH(B3006,pr_code,0))="","",INDEX(pr_price,MATCH(B3006,pr_code,0))),""))))</f>
        <v/>
      </c>
      <c r="K3006" s="71" t="str">
        <f>IF(COUNTA(A3006:G3006)=0,"",IF(G3006&lt;&gt;"",G3006,IF(B3006="","",IFERROR(IF(INDEX(pr_rate,MATCH(B3006,pr_code,0))="","",INDEX(pr_rate,MATCH(B3006,pr_code,0))),""))))</f>
        <v/>
      </c>
      <c r="L3006" s="65" t="str">
        <f>IF(COUNTA(A3006:G3006)=0,"",IF(AND(ISNUMBER(D3006),ISNUMBER(J3006)),ROUND(D3006*J3006*(1-N(F3006)),2),0))</f>
        <v/>
      </c>
      <c r="M3006" s="62" t="str">
        <f>IF(A3006="","",IFERROR(INDEX(fa_cname,MATCH(A3006,fa_num,0))&amp;"",""))</f>
        <v/>
      </c>
      <c r="N3006" s="59" t="str">
        <f>IF(COUNTA(A3006:G3006)=0,"",IF(A3006="","N° facture manquant",IF(ISNA(MATCH(A3006,fa_num,0)),"Facture inconnue",IF(AND(B3006&lt;&gt;"",ISNA(MATCH(B3006,pr_code,0))),"Article inconnu",IF(H3006="","Désignation manquante",IF(OR(NOT(ISNUMBER(D3006)),N(D3006)&lt;=0),"Quantité invalide",IF(J3006="","Prix manquant",IF(OR(NOT(ISNUMBER(J3006)),N(J3006)&lt;0),"Prix invalide",IF(OR(AND(F3006&lt;&gt;"",NOT(ISNUMBER(F3006))),N(F3006)&lt;0,N(F3006)&gt;1),"Remise invalide",IF(K3006="","Taux de TVA manquant",IF(NOT(ISNUMBER(K3006)),"Taux de TVA invalide",IF(COUNTIF(p_rates,K3006)=0,"Taux de TVA hors liste (Paramètres)",IF(N(O3006)&gt;25,"Au-delà de 25 lignes : non imprimée","OK")))))))))))))</f>
        <v/>
      </c>
      <c r="O3006" s="59" t="str">
        <f>IF(A3006="","",COUNTIF($A$6:A3006,A3006))</f>
        <v/>
      </c>
      <c r="P3006" s="62" t="str">
        <f>IF(A3006="","",A3006&amp;"|"&amp;O3006)</f>
        <v/>
      </c>
    </row>
    <row r="3007">
      <c r="A3007" s="60" t="n"/>
      <c r="B3007" s="63" t="n"/>
      <c r="C3007" s="63" t="n"/>
      <c r="D3007" s="67" t="n"/>
      <c r="E3007" s="68" t="n"/>
      <c r="F3007" s="69" t="n"/>
      <c r="G3007" s="70" t="n"/>
      <c r="H3007" s="62" t="str">
        <f>IF(COUNTA(A3007:G3007)=0,"",IF(C3007&lt;&gt;"",C3007,IF(B3007="","",IFERROR(INDEX(pr_des,MATCH(B3007,pr_code,0))&amp;"",""))))</f>
        <v/>
      </c>
      <c r="I3007" s="59" t="str">
        <f>IF(B3007="","",IFERROR(INDEX(pr_unit,MATCH(B3007,pr_code,0))&amp;"",""))</f>
        <v/>
      </c>
      <c r="J3007" s="65" t="str">
        <f>IF(COUNTA(A3007:G3007)=0,"",IF(E3007&lt;&gt;"",E3007,IF(B3007="","",IFERROR(IF(INDEX(pr_price,MATCH(B3007,pr_code,0))="","",INDEX(pr_price,MATCH(B3007,pr_code,0))),""))))</f>
        <v/>
      </c>
      <c r="K3007" s="71" t="str">
        <f>IF(COUNTA(A3007:G3007)=0,"",IF(G3007&lt;&gt;"",G3007,IF(B3007="","",IFERROR(IF(INDEX(pr_rate,MATCH(B3007,pr_code,0))="","",INDEX(pr_rate,MATCH(B3007,pr_code,0))),""))))</f>
        <v/>
      </c>
      <c r="L3007" s="65" t="str">
        <f>IF(COUNTA(A3007:G3007)=0,"",IF(AND(ISNUMBER(D3007),ISNUMBER(J3007)),ROUND(D3007*J3007*(1-N(F3007)),2),0))</f>
        <v/>
      </c>
      <c r="M3007" s="62" t="str">
        <f>IF(A3007="","",IFERROR(INDEX(fa_cname,MATCH(A3007,fa_num,0))&amp;"",""))</f>
        <v/>
      </c>
      <c r="N3007" s="59" t="str">
        <f>IF(COUNTA(A3007:G3007)=0,"",IF(A3007="","N° facture manquant",IF(ISNA(MATCH(A3007,fa_num,0)),"Facture inconnue",IF(AND(B3007&lt;&gt;"",ISNA(MATCH(B3007,pr_code,0))),"Article inconnu",IF(H3007="","Désignation manquante",IF(OR(NOT(ISNUMBER(D3007)),N(D3007)&lt;=0),"Quantité invalide",IF(J3007="","Prix manquant",IF(OR(NOT(ISNUMBER(J3007)),N(J3007)&lt;0),"Prix invalide",IF(OR(AND(F3007&lt;&gt;"",NOT(ISNUMBER(F3007))),N(F3007)&lt;0,N(F3007)&gt;1),"Remise invalide",IF(K3007="","Taux de TVA manquant",IF(NOT(ISNUMBER(K3007)),"Taux de TVA invalide",IF(COUNTIF(p_rates,K3007)=0,"Taux de TVA hors liste (Paramètres)",IF(N(O3007)&gt;25,"Au-delà de 25 lignes : non imprimée","OK")))))))))))))</f>
        <v/>
      </c>
      <c r="O3007" s="59" t="str">
        <f>IF(A3007="","",COUNTIF($A$6:A3007,A3007))</f>
        <v/>
      </c>
      <c r="P3007" s="62" t="str">
        <f>IF(A3007="","",A3007&amp;"|"&amp;O3007)</f>
        <v/>
      </c>
    </row>
    <row r="3008">
      <c r="A3008" s="60" t="n"/>
      <c r="B3008" s="63" t="n"/>
      <c r="C3008" s="63" t="n"/>
      <c r="D3008" s="67" t="n"/>
      <c r="E3008" s="68" t="n"/>
      <c r="F3008" s="69" t="n"/>
      <c r="G3008" s="70" t="n"/>
      <c r="H3008" s="62" t="str">
        <f>IF(COUNTA(A3008:G3008)=0,"",IF(C3008&lt;&gt;"",C3008,IF(B3008="","",IFERROR(INDEX(pr_des,MATCH(B3008,pr_code,0))&amp;"",""))))</f>
        <v/>
      </c>
      <c r="I3008" s="59" t="str">
        <f>IF(B3008="","",IFERROR(INDEX(pr_unit,MATCH(B3008,pr_code,0))&amp;"",""))</f>
        <v/>
      </c>
      <c r="J3008" s="65" t="str">
        <f>IF(COUNTA(A3008:G3008)=0,"",IF(E3008&lt;&gt;"",E3008,IF(B3008="","",IFERROR(IF(INDEX(pr_price,MATCH(B3008,pr_code,0))="","",INDEX(pr_price,MATCH(B3008,pr_code,0))),""))))</f>
        <v/>
      </c>
      <c r="K3008" s="71" t="str">
        <f>IF(COUNTA(A3008:G3008)=0,"",IF(G3008&lt;&gt;"",G3008,IF(B3008="","",IFERROR(IF(INDEX(pr_rate,MATCH(B3008,pr_code,0))="","",INDEX(pr_rate,MATCH(B3008,pr_code,0))),""))))</f>
        <v/>
      </c>
      <c r="L3008" s="65" t="str">
        <f>IF(COUNTA(A3008:G3008)=0,"",IF(AND(ISNUMBER(D3008),ISNUMBER(J3008)),ROUND(D3008*J3008*(1-N(F3008)),2),0))</f>
        <v/>
      </c>
      <c r="M3008" s="62" t="str">
        <f>IF(A3008="","",IFERROR(INDEX(fa_cname,MATCH(A3008,fa_num,0))&amp;"",""))</f>
        <v/>
      </c>
      <c r="N3008" s="59" t="str">
        <f>IF(COUNTA(A3008:G3008)=0,"",IF(A3008="","N° facture manquant",IF(ISNA(MATCH(A3008,fa_num,0)),"Facture inconnue",IF(AND(B3008&lt;&gt;"",ISNA(MATCH(B3008,pr_code,0))),"Article inconnu",IF(H3008="","Désignation manquante",IF(OR(NOT(ISNUMBER(D3008)),N(D3008)&lt;=0),"Quantité invalide",IF(J3008="","Prix manquant",IF(OR(NOT(ISNUMBER(J3008)),N(J3008)&lt;0),"Prix invalide",IF(OR(AND(F3008&lt;&gt;"",NOT(ISNUMBER(F3008))),N(F3008)&lt;0,N(F3008)&gt;1),"Remise invalide",IF(K3008="","Taux de TVA manquant",IF(NOT(ISNUMBER(K3008)),"Taux de TVA invalide",IF(COUNTIF(p_rates,K3008)=0,"Taux de TVA hors liste (Paramètres)",IF(N(O3008)&gt;25,"Au-delà de 25 lignes : non imprimée","OK")))))))))))))</f>
        <v/>
      </c>
      <c r="O3008" s="59" t="str">
        <f>IF(A3008="","",COUNTIF($A$6:A3008,A3008))</f>
        <v/>
      </c>
      <c r="P3008" s="62" t="str">
        <f>IF(A3008="","",A3008&amp;"|"&amp;O3008)</f>
        <v/>
      </c>
    </row>
    <row r="3009">
      <c r="A3009" s="60" t="n"/>
      <c r="B3009" s="63" t="n"/>
      <c r="C3009" s="63" t="n"/>
      <c r="D3009" s="67" t="n"/>
      <c r="E3009" s="68" t="n"/>
      <c r="F3009" s="69" t="n"/>
      <c r="G3009" s="70" t="n"/>
      <c r="H3009" s="62" t="str">
        <f>IF(COUNTA(A3009:G3009)=0,"",IF(C3009&lt;&gt;"",C3009,IF(B3009="","",IFERROR(INDEX(pr_des,MATCH(B3009,pr_code,0))&amp;"",""))))</f>
        <v/>
      </c>
      <c r="I3009" s="59" t="str">
        <f>IF(B3009="","",IFERROR(INDEX(pr_unit,MATCH(B3009,pr_code,0))&amp;"",""))</f>
        <v/>
      </c>
      <c r="J3009" s="65" t="str">
        <f>IF(COUNTA(A3009:G3009)=0,"",IF(E3009&lt;&gt;"",E3009,IF(B3009="","",IFERROR(IF(INDEX(pr_price,MATCH(B3009,pr_code,0))="","",INDEX(pr_price,MATCH(B3009,pr_code,0))),""))))</f>
        <v/>
      </c>
      <c r="K3009" s="71" t="str">
        <f>IF(COUNTA(A3009:G3009)=0,"",IF(G3009&lt;&gt;"",G3009,IF(B3009="","",IFERROR(IF(INDEX(pr_rate,MATCH(B3009,pr_code,0))="","",INDEX(pr_rate,MATCH(B3009,pr_code,0))),""))))</f>
        <v/>
      </c>
      <c r="L3009" s="65" t="str">
        <f>IF(COUNTA(A3009:G3009)=0,"",IF(AND(ISNUMBER(D3009),ISNUMBER(J3009)),ROUND(D3009*J3009*(1-N(F3009)),2),0))</f>
        <v/>
      </c>
      <c r="M3009" s="62" t="str">
        <f>IF(A3009="","",IFERROR(INDEX(fa_cname,MATCH(A3009,fa_num,0))&amp;"",""))</f>
        <v/>
      </c>
      <c r="N3009" s="59" t="str">
        <f>IF(COUNTA(A3009:G3009)=0,"",IF(A3009="","N° facture manquant",IF(ISNA(MATCH(A3009,fa_num,0)),"Facture inconnue",IF(AND(B3009&lt;&gt;"",ISNA(MATCH(B3009,pr_code,0))),"Article inconnu",IF(H3009="","Désignation manquante",IF(OR(NOT(ISNUMBER(D3009)),N(D3009)&lt;=0),"Quantité invalide",IF(J3009="","Prix manquant",IF(OR(NOT(ISNUMBER(J3009)),N(J3009)&lt;0),"Prix invalide",IF(OR(AND(F3009&lt;&gt;"",NOT(ISNUMBER(F3009))),N(F3009)&lt;0,N(F3009)&gt;1),"Remise invalide",IF(K3009="","Taux de TVA manquant",IF(NOT(ISNUMBER(K3009)),"Taux de TVA invalide",IF(COUNTIF(p_rates,K3009)=0,"Taux de TVA hors liste (Paramètres)",IF(N(O3009)&gt;25,"Au-delà de 25 lignes : non imprimée","OK")))))))))))))</f>
        <v/>
      </c>
      <c r="O3009" s="59" t="str">
        <f>IF(A3009="","",COUNTIF($A$6:A3009,A3009))</f>
        <v/>
      </c>
      <c r="P3009" s="62" t="str">
        <f>IF(A3009="","",A3009&amp;"|"&amp;O3009)</f>
        <v/>
      </c>
    </row>
    <row r="3010">
      <c r="A3010" s="60" t="n"/>
      <c r="B3010" s="63" t="n"/>
      <c r="C3010" s="63" t="n"/>
      <c r="D3010" s="67" t="n"/>
      <c r="E3010" s="68" t="n"/>
      <c r="F3010" s="69" t="n"/>
      <c r="G3010" s="70" t="n"/>
      <c r="H3010" s="62" t="str">
        <f>IF(COUNTA(A3010:G3010)=0,"",IF(C3010&lt;&gt;"",C3010,IF(B3010="","",IFERROR(INDEX(pr_des,MATCH(B3010,pr_code,0))&amp;"",""))))</f>
        <v/>
      </c>
      <c r="I3010" s="59" t="str">
        <f>IF(B3010="","",IFERROR(INDEX(pr_unit,MATCH(B3010,pr_code,0))&amp;"",""))</f>
        <v/>
      </c>
      <c r="J3010" s="65" t="str">
        <f>IF(COUNTA(A3010:G3010)=0,"",IF(E3010&lt;&gt;"",E3010,IF(B3010="","",IFERROR(IF(INDEX(pr_price,MATCH(B3010,pr_code,0))="","",INDEX(pr_price,MATCH(B3010,pr_code,0))),""))))</f>
        <v/>
      </c>
      <c r="K3010" s="71" t="str">
        <f>IF(COUNTA(A3010:G3010)=0,"",IF(G3010&lt;&gt;"",G3010,IF(B3010="","",IFERROR(IF(INDEX(pr_rate,MATCH(B3010,pr_code,0))="","",INDEX(pr_rate,MATCH(B3010,pr_code,0))),""))))</f>
        <v/>
      </c>
      <c r="L3010" s="65" t="str">
        <f>IF(COUNTA(A3010:G3010)=0,"",IF(AND(ISNUMBER(D3010),ISNUMBER(J3010)),ROUND(D3010*J3010*(1-N(F3010)),2),0))</f>
        <v/>
      </c>
      <c r="M3010" s="62" t="str">
        <f>IF(A3010="","",IFERROR(INDEX(fa_cname,MATCH(A3010,fa_num,0))&amp;"",""))</f>
        <v/>
      </c>
      <c r="N3010" s="59" t="str">
        <f>IF(COUNTA(A3010:G3010)=0,"",IF(A3010="","N° facture manquant",IF(ISNA(MATCH(A3010,fa_num,0)),"Facture inconnue",IF(AND(B3010&lt;&gt;"",ISNA(MATCH(B3010,pr_code,0))),"Article inconnu",IF(H3010="","Désignation manquante",IF(OR(NOT(ISNUMBER(D3010)),N(D3010)&lt;=0),"Quantité invalide",IF(J3010="","Prix manquant",IF(OR(NOT(ISNUMBER(J3010)),N(J3010)&lt;0),"Prix invalide",IF(OR(AND(F3010&lt;&gt;"",NOT(ISNUMBER(F3010))),N(F3010)&lt;0,N(F3010)&gt;1),"Remise invalide",IF(K3010="","Taux de TVA manquant",IF(NOT(ISNUMBER(K3010)),"Taux de TVA invalide",IF(COUNTIF(p_rates,K3010)=0,"Taux de TVA hors liste (Paramètres)",IF(N(O3010)&gt;25,"Au-delà de 25 lignes : non imprimée","OK")))))))))))))</f>
        <v/>
      </c>
      <c r="O3010" s="59" t="str">
        <f>IF(A3010="","",COUNTIF($A$6:A3010,A3010))</f>
        <v/>
      </c>
      <c r="P3010" s="62" t="str">
        <f>IF(A3010="","",A3010&amp;"|"&amp;O3010)</f>
        <v/>
      </c>
    </row>
    <row r="3011">
      <c r="A3011" s="60" t="n"/>
      <c r="B3011" s="63" t="n"/>
      <c r="C3011" s="63" t="n"/>
      <c r="D3011" s="67" t="n"/>
      <c r="E3011" s="68" t="n"/>
      <c r="F3011" s="69" t="n"/>
      <c r="G3011" s="70" t="n"/>
      <c r="H3011" s="62" t="str">
        <f>IF(COUNTA(A3011:G3011)=0,"",IF(C3011&lt;&gt;"",C3011,IF(B3011="","",IFERROR(INDEX(pr_des,MATCH(B3011,pr_code,0))&amp;"",""))))</f>
        <v/>
      </c>
      <c r="I3011" s="59" t="str">
        <f>IF(B3011="","",IFERROR(INDEX(pr_unit,MATCH(B3011,pr_code,0))&amp;"",""))</f>
        <v/>
      </c>
      <c r="J3011" s="65" t="str">
        <f>IF(COUNTA(A3011:G3011)=0,"",IF(E3011&lt;&gt;"",E3011,IF(B3011="","",IFERROR(IF(INDEX(pr_price,MATCH(B3011,pr_code,0))="","",INDEX(pr_price,MATCH(B3011,pr_code,0))),""))))</f>
        <v/>
      </c>
      <c r="K3011" s="71" t="str">
        <f>IF(COUNTA(A3011:G3011)=0,"",IF(G3011&lt;&gt;"",G3011,IF(B3011="","",IFERROR(IF(INDEX(pr_rate,MATCH(B3011,pr_code,0))="","",INDEX(pr_rate,MATCH(B3011,pr_code,0))),""))))</f>
        <v/>
      </c>
      <c r="L3011" s="65" t="str">
        <f>IF(COUNTA(A3011:G3011)=0,"",IF(AND(ISNUMBER(D3011),ISNUMBER(J3011)),ROUND(D3011*J3011*(1-N(F3011)),2),0))</f>
        <v/>
      </c>
      <c r="M3011" s="62" t="str">
        <f>IF(A3011="","",IFERROR(INDEX(fa_cname,MATCH(A3011,fa_num,0))&amp;"",""))</f>
        <v/>
      </c>
      <c r="N3011" s="59" t="str">
        <f>IF(COUNTA(A3011:G3011)=0,"",IF(A3011="","N° facture manquant",IF(ISNA(MATCH(A3011,fa_num,0)),"Facture inconnue",IF(AND(B3011&lt;&gt;"",ISNA(MATCH(B3011,pr_code,0))),"Article inconnu",IF(H3011="","Désignation manquante",IF(OR(NOT(ISNUMBER(D3011)),N(D3011)&lt;=0),"Quantité invalide",IF(J3011="","Prix manquant",IF(OR(NOT(ISNUMBER(J3011)),N(J3011)&lt;0),"Prix invalide",IF(OR(AND(F3011&lt;&gt;"",NOT(ISNUMBER(F3011))),N(F3011)&lt;0,N(F3011)&gt;1),"Remise invalide",IF(K3011="","Taux de TVA manquant",IF(NOT(ISNUMBER(K3011)),"Taux de TVA invalide",IF(COUNTIF(p_rates,K3011)=0,"Taux de TVA hors liste (Paramètres)",IF(N(O3011)&gt;25,"Au-delà de 25 lignes : non imprimée","OK")))))))))))))</f>
        <v/>
      </c>
      <c r="O3011" s="59" t="str">
        <f>IF(A3011="","",COUNTIF($A$6:A3011,A3011))</f>
        <v/>
      </c>
      <c r="P3011" s="62" t="str">
        <f>IF(A3011="","",A3011&amp;"|"&amp;O3011)</f>
        <v/>
      </c>
    </row>
    <row r="3012">
      <c r="A3012" s="60" t="n"/>
      <c r="B3012" s="63" t="n"/>
      <c r="C3012" s="63" t="n"/>
      <c r="D3012" s="67" t="n"/>
      <c r="E3012" s="68" t="n"/>
      <c r="F3012" s="69" t="n"/>
      <c r="G3012" s="70" t="n"/>
      <c r="H3012" s="62" t="str">
        <f>IF(COUNTA(A3012:G3012)=0,"",IF(C3012&lt;&gt;"",C3012,IF(B3012="","",IFERROR(INDEX(pr_des,MATCH(B3012,pr_code,0))&amp;"",""))))</f>
        <v/>
      </c>
      <c r="I3012" s="59" t="str">
        <f>IF(B3012="","",IFERROR(INDEX(pr_unit,MATCH(B3012,pr_code,0))&amp;"",""))</f>
        <v/>
      </c>
      <c r="J3012" s="65" t="str">
        <f>IF(COUNTA(A3012:G3012)=0,"",IF(E3012&lt;&gt;"",E3012,IF(B3012="","",IFERROR(IF(INDEX(pr_price,MATCH(B3012,pr_code,0))="","",INDEX(pr_price,MATCH(B3012,pr_code,0))),""))))</f>
        <v/>
      </c>
      <c r="K3012" s="71" t="str">
        <f>IF(COUNTA(A3012:G3012)=0,"",IF(G3012&lt;&gt;"",G3012,IF(B3012="","",IFERROR(IF(INDEX(pr_rate,MATCH(B3012,pr_code,0))="","",INDEX(pr_rate,MATCH(B3012,pr_code,0))),""))))</f>
        <v/>
      </c>
      <c r="L3012" s="65" t="str">
        <f>IF(COUNTA(A3012:G3012)=0,"",IF(AND(ISNUMBER(D3012),ISNUMBER(J3012)),ROUND(D3012*J3012*(1-N(F3012)),2),0))</f>
        <v/>
      </c>
      <c r="M3012" s="62" t="str">
        <f>IF(A3012="","",IFERROR(INDEX(fa_cname,MATCH(A3012,fa_num,0))&amp;"",""))</f>
        <v/>
      </c>
      <c r="N3012" s="59" t="str">
        <f>IF(COUNTA(A3012:G3012)=0,"",IF(A3012="","N° facture manquant",IF(ISNA(MATCH(A3012,fa_num,0)),"Facture inconnue",IF(AND(B3012&lt;&gt;"",ISNA(MATCH(B3012,pr_code,0))),"Article inconnu",IF(H3012="","Désignation manquante",IF(OR(NOT(ISNUMBER(D3012)),N(D3012)&lt;=0),"Quantité invalide",IF(J3012="","Prix manquant",IF(OR(NOT(ISNUMBER(J3012)),N(J3012)&lt;0),"Prix invalide",IF(OR(AND(F3012&lt;&gt;"",NOT(ISNUMBER(F3012))),N(F3012)&lt;0,N(F3012)&gt;1),"Remise invalide",IF(K3012="","Taux de TVA manquant",IF(NOT(ISNUMBER(K3012)),"Taux de TVA invalide",IF(COUNTIF(p_rates,K3012)=0,"Taux de TVA hors liste (Paramètres)",IF(N(O3012)&gt;25,"Au-delà de 25 lignes : non imprimée","OK")))))))))))))</f>
        <v/>
      </c>
      <c r="O3012" s="59" t="str">
        <f>IF(A3012="","",COUNTIF($A$6:A3012,A3012))</f>
        <v/>
      </c>
      <c r="P3012" s="62" t="str">
        <f>IF(A3012="","",A3012&amp;"|"&amp;O3012)</f>
        <v/>
      </c>
    </row>
    <row r="3013">
      <c r="A3013" s="60" t="n"/>
      <c r="B3013" s="63" t="n"/>
      <c r="C3013" s="63" t="n"/>
      <c r="D3013" s="67" t="n"/>
      <c r="E3013" s="68" t="n"/>
      <c r="F3013" s="69" t="n"/>
      <c r="G3013" s="70" t="n"/>
      <c r="H3013" s="62" t="str">
        <f>IF(COUNTA(A3013:G3013)=0,"",IF(C3013&lt;&gt;"",C3013,IF(B3013="","",IFERROR(INDEX(pr_des,MATCH(B3013,pr_code,0))&amp;"",""))))</f>
        <v/>
      </c>
      <c r="I3013" s="59" t="str">
        <f>IF(B3013="","",IFERROR(INDEX(pr_unit,MATCH(B3013,pr_code,0))&amp;"",""))</f>
        <v/>
      </c>
      <c r="J3013" s="65" t="str">
        <f>IF(COUNTA(A3013:G3013)=0,"",IF(E3013&lt;&gt;"",E3013,IF(B3013="","",IFERROR(IF(INDEX(pr_price,MATCH(B3013,pr_code,0))="","",INDEX(pr_price,MATCH(B3013,pr_code,0))),""))))</f>
        <v/>
      </c>
      <c r="K3013" s="71" t="str">
        <f>IF(COUNTA(A3013:G3013)=0,"",IF(G3013&lt;&gt;"",G3013,IF(B3013="","",IFERROR(IF(INDEX(pr_rate,MATCH(B3013,pr_code,0))="","",INDEX(pr_rate,MATCH(B3013,pr_code,0))),""))))</f>
        <v/>
      </c>
      <c r="L3013" s="65" t="str">
        <f>IF(COUNTA(A3013:G3013)=0,"",IF(AND(ISNUMBER(D3013),ISNUMBER(J3013)),ROUND(D3013*J3013*(1-N(F3013)),2),0))</f>
        <v/>
      </c>
      <c r="M3013" s="62" t="str">
        <f>IF(A3013="","",IFERROR(INDEX(fa_cname,MATCH(A3013,fa_num,0))&amp;"",""))</f>
        <v/>
      </c>
      <c r="N3013" s="59" t="str">
        <f>IF(COUNTA(A3013:G3013)=0,"",IF(A3013="","N° facture manquant",IF(ISNA(MATCH(A3013,fa_num,0)),"Facture inconnue",IF(AND(B3013&lt;&gt;"",ISNA(MATCH(B3013,pr_code,0))),"Article inconnu",IF(H3013="","Désignation manquante",IF(OR(NOT(ISNUMBER(D3013)),N(D3013)&lt;=0),"Quantité invalide",IF(J3013="","Prix manquant",IF(OR(NOT(ISNUMBER(J3013)),N(J3013)&lt;0),"Prix invalide",IF(OR(AND(F3013&lt;&gt;"",NOT(ISNUMBER(F3013))),N(F3013)&lt;0,N(F3013)&gt;1),"Remise invalide",IF(K3013="","Taux de TVA manquant",IF(NOT(ISNUMBER(K3013)),"Taux de TVA invalide",IF(COUNTIF(p_rates,K3013)=0,"Taux de TVA hors liste (Paramètres)",IF(N(O3013)&gt;25,"Au-delà de 25 lignes : non imprimée","OK")))))))))))))</f>
        <v/>
      </c>
      <c r="O3013" s="59" t="str">
        <f>IF(A3013="","",COUNTIF($A$6:A3013,A3013))</f>
        <v/>
      </c>
      <c r="P3013" s="62" t="str">
        <f>IF(A3013="","",A3013&amp;"|"&amp;O3013)</f>
        <v/>
      </c>
    </row>
    <row r="3014">
      <c r="A3014" s="60" t="n"/>
      <c r="B3014" s="63" t="n"/>
      <c r="C3014" s="63" t="n"/>
      <c r="D3014" s="67" t="n"/>
      <c r="E3014" s="68" t="n"/>
      <c r="F3014" s="69" t="n"/>
      <c r="G3014" s="70" t="n"/>
      <c r="H3014" s="62" t="str">
        <f>IF(COUNTA(A3014:G3014)=0,"",IF(C3014&lt;&gt;"",C3014,IF(B3014="","",IFERROR(INDEX(pr_des,MATCH(B3014,pr_code,0))&amp;"",""))))</f>
        <v/>
      </c>
      <c r="I3014" s="59" t="str">
        <f>IF(B3014="","",IFERROR(INDEX(pr_unit,MATCH(B3014,pr_code,0))&amp;"",""))</f>
        <v/>
      </c>
      <c r="J3014" s="65" t="str">
        <f>IF(COUNTA(A3014:G3014)=0,"",IF(E3014&lt;&gt;"",E3014,IF(B3014="","",IFERROR(IF(INDEX(pr_price,MATCH(B3014,pr_code,0))="","",INDEX(pr_price,MATCH(B3014,pr_code,0))),""))))</f>
        <v/>
      </c>
      <c r="K3014" s="71" t="str">
        <f>IF(COUNTA(A3014:G3014)=0,"",IF(G3014&lt;&gt;"",G3014,IF(B3014="","",IFERROR(IF(INDEX(pr_rate,MATCH(B3014,pr_code,0))="","",INDEX(pr_rate,MATCH(B3014,pr_code,0))),""))))</f>
        <v/>
      </c>
      <c r="L3014" s="65" t="str">
        <f>IF(COUNTA(A3014:G3014)=0,"",IF(AND(ISNUMBER(D3014),ISNUMBER(J3014)),ROUND(D3014*J3014*(1-N(F3014)),2),0))</f>
        <v/>
      </c>
      <c r="M3014" s="62" t="str">
        <f>IF(A3014="","",IFERROR(INDEX(fa_cname,MATCH(A3014,fa_num,0))&amp;"",""))</f>
        <v/>
      </c>
      <c r="N3014" s="59" t="str">
        <f>IF(COUNTA(A3014:G3014)=0,"",IF(A3014="","N° facture manquant",IF(ISNA(MATCH(A3014,fa_num,0)),"Facture inconnue",IF(AND(B3014&lt;&gt;"",ISNA(MATCH(B3014,pr_code,0))),"Article inconnu",IF(H3014="","Désignation manquante",IF(OR(NOT(ISNUMBER(D3014)),N(D3014)&lt;=0),"Quantité invalide",IF(J3014="","Prix manquant",IF(OR(NOT(ISNUMBER(J3014)),N(J3014)&lt;0),"Prix invalide",IF(OR(AND(F3014&lt;&gt;"",NOT(ISNUMBER(F3014))),N(F3014)&lt;0,N(F3014)&gt;1),"Remise invalide",IF(K3014="","Taux de TVA manquant",IF(NOT(ISNUMBER(K3014)),"Taux de TVA invalide",IF(COUNTIF(p_rates,K3014)=0,"Taux de TVA hors liste (Paramètres)",IF(N(O3014)&gt;25,"Au-delà de 25 lignes : non imprimée","OK")))))))))))))</f>
        <v/>
      </c>
      <c r="O3014" s="59" t="str">
        <f>IF(A3014="","",COUNTIF($A$6:A3014,A3014))</f>
        <v/>
      </c>
      <c r="P3014" s="62" t="str">
        <f>IF(A3014="","",A3014&amp;"|"&amp;O3014)</f>
        <v/>
      </c>
    </row>
    <row r="3015">
      <c r="A3015" s="60" t="n"/>
      <c r="B3015" s="63" t="n"/>
      <c r="C3015" s="63" t="n"/>
      <c r="D3015" s="67" t="n"/>
      <c r="E3015" s="68" t="n"/>
      <c r="F3015" s="69" t="n"/>
      <c r="G3015" s="70" t="n"/>
      <c r="H3015" s="62" t="str">
        <f>IF(COUNTA(A3015:G3015)=0,"",IF(C3015&lt;&gt;"",C3015,IF(B3015="","",IFERROR(INDEX(pr_des,MATCH(B3015,pr_code,0))&amp;"",""))))</f>
        <v/>
      </c>
      <c r="I3015" s="59" t="str">
        <f>IF(B3015="","",IFERROR(INDEX(pr_unit,MATCH(B3015,pr_code,0))&amp;"",""))</f>
        <v/>
      </c>
      <c r="J3015" s="65" t="str">
        <f>IF(COUNTA(A3015:G3015)=0,"",IF(E3015&lt;&gt;"",E3015,IF(B3015="","",IFERROR(IF(INDEX(pr_price,MATCH(B3015,pr_code,0))="","",INDEX(pr_price,MATCH(B3015,pr_code,0))),""))))</f>
        <v/>
      </c>
      <c r="K3015" s="71" t="str">
        <f>IF(COUNTA(A3015:G3015)=0,"",IF(G3015&lt;&gt;"",G3015,IF(B3015="","",IFERROR(IF(INDEX(pr_rate,MATCH(B3015,pr_code,0))="","",INDEX(pr_rate,MATCH(B3015,pr_code,0))),""))))</f>
        <v/>
      </c>
      <c r="L3015" s="65" t="str">
        <f>IF(COUNTA(A3015:G3015)=0,"",IF(AND(ISNUMBER(D3015),ISNUMBER(J3015)),ROUND(D3015*J3015*(1-N(F3015)),2),0))</f>
        <v/>
      </c>
      <c r="M3015" s="62" t="str">
        <f>IF(A3015="","",IFERROR(INDEX(fa_cname,MATCH(A3015,fa_num,0))&amp;"",""))</f>
        <v/>
      </c>
      <c r="N3015" s="59" t="str">
        <f>IF(COUNTA(A3015:G3015)=0,"",IF(A3015="","N° facture manquant",IF(ISNA(MATCH(A3015,fa_num,0)),"Facture inconnue",IF(AND(B3015&lt;&gt;"",ISNA(MATCH(B3015,pr_code,0))),"Article inconnu",IF(H3015="","Désignation manquante",IF(OR(NOT(ISNUMBER(D3015)),N(D3015)&lt;=0),"Quantité invalide",IF(J3015="","Prix manquant",IF(OR(NOT(ISNUMBER(J3015)),N(J3015)&lt;0),"Prix invalide",IF(OR(AND(F3015&lt;&gt;"",NOT(ISNUMBER(F3015))),N(F3015)&lt;0,N(F3015)&gt;1),"Remise invalide",IF(K3015="","Taux de TVA manquant",IF(NOT(ISNUMBER(K3015)),"Taux de TVA invalide",IF(COUNTIF(p_rates,K3015)=0,"Taux de TVA hors liste (Paramètres)",IF(N(O3015)&gt;25,"Au-delà de 25 lignes : non imprimée","OK")))))))))))))</f>
        <v/>
      </c>
      <c r="O3015" s="59" t="str">
        <f>IF(A3015="","",COUNTIF($A$6:A3015,A3015))</f>
        <v/>
      </c>
      <c r="P3015" s="62" t="str">
        <f>IF(A3015="","",A3015&amp;"|"&amp;O3015)</f>
        <v/>
      </c>
    </row>
    <row r="3016">
      <c r="A3016" s="60" t="n"/>
      <c r="B3016" s="63" t="n"/>
      <c r="C3016" s="63" t="n"/>
      <c r="D3016" s="67" t="n"/>
      <c r="E3016" s="68" t="n"/>
      <c r="F3016" s="69" t="n"/>
      <c r="G3016" s="70" t="n"/>
      <c r="H3016" s="62" t="str">
        <f>IF(COUNTA(A3016:G3016)=0,"",IF(C3016&lt;&gt;"",C3016,IF(B3016="","",IFERROR(INDEX(pr_des,MATCH(B3016,pr_code,0))&amp;"",""))))</f>
        <v/>
      </c>
      <c r="I3016" s="59" t="str">
        <f>IF(B3016="","",IFERROR(INDEX(pr_unit,MATCH(B3016,pr_code,0))&amp;"",""))</f>
        <v/>
      </c>
      <c r="J3016" s="65" t="str">
        <f>IF(COUNTA(A3016:G3016)=0,"",IF(E3016&lt;&gt;"",E3016,IF(B3016="","",IFERROR(IF(INDEX(pr_price,MATCH(B3016,pr_code,0))="","",INDEX(pr_price,MATCH(B3016,pr_code,0))),""))))</f>
        <v/>
      </c>
      <c r="K3016" s="71" t="str">
        <f>IF(COUNTA(A3016:G3016)=0,"",IF(G3016&lt;&gt;"",G3016,IF(B3016="","",IFERROR(IF(INDEX(pr_rate,MATCH(B3016,pr_code,0))="","",INDEX(pr_rate,MATCH(B3016,pr_code,0))),""))))</f>
        <v/>
      </c>
      <c r="L3016" s="65" t="str">
        <f>IF(COUNTA(A3016:G3016)=0,"",IF(AND(ISNUMBER(D3016),ISNUMBER(J3016)),ROUND(D3016*J3016*(1-N(F3016)),2),0))</f>
        <v/>
      </c>
      <c r="M3016" s="62" t="str">
        <f>IF(A3016="","",IFERROR(INDEX(fa_cname,MATCH(A3016,fa_num,0))&amp;"",""))</f>
        <v/>
      </c>
      <c r="N3016" s="59" t="str">
        <f>IF(COUNTA(A3016:G3016)=0,"",IF(A3016="","N° facture manquant",IF(ISNA(MATCH(A3016,fa_num,0)),"Facture inconnue",IF(AND(B3016&lt;&gt;"",ISNA(MATCH(B3016,pr_code,0))),"Article inconnu",IF(H3016="","Désignation manquante",IF(OR(NOT(ISNUMBER(D3016)),N(D3016)&lt;=0),"Quantité invalide",IF(J3016="","Prix manquant",IF(OR(NOT(ISNUMBER(J3016)),N(J3016)&lt;0),"Prix invalide",IF(OR(AND(F3016&lt;&gt;"",NOT(ISNUMBER(F3016))),N(F3016)&lt;0,N(F3016)&gt;1),"Remise invalide",IF(K3016="","Taux de TVA manquant",IF(NOT(ISNUMBER(K3016)),"Taux de TVA invalide",IF(COUNTIF(p_rates,K3016)=0,"Taux de TVA hors liste (Paramètres)",IF(N(O3016)&gt;25,"Au-delà de 25 lignes : non imprimée","OK")))))))))))))</f>
        <v/>
      </c>
      <c r="O3016" s="59" t="str">
        <f>IF(A3016="","",COUNTIF($A$6:A3016,A3016))</f>
        <v/>
      </c>
      <c r="P3016" s="62" t="str">
        <f>IF(A3016="","",A3016&amp;"|"&amp;O3016)</f>
        <v/>
      </c>
    </row>
    <row r="3017">
      <c r="A3017" s="60" t="n"/>
      <c r="B3017" s="63" t="n"/>
      <c r="C3017" s="63" t="n"/>
      <c r="D3017" s="67" t="n"/>
      <c r="E3017" s="68" t="n"/>
      <c r="F3017" s="69" t="n"/>
      <c r="G3017" s="70" t="n"/>
      <c r="H3017" s="62" t="str">
        <f>IF(COUNTA(A3017:G3017)=0,"",IF(C3017&lt;&gt;"",C3017,IF(B3017="","",IFERROR(INDEX(pr_des,MATCH(B3017,pr_code,0))&amp;"",""))))</f>
        <v/>
      </c>
      <c r="I3017" s="59" t="str">
        <f>IF(B3017="","",IFERROR(INDEX(pr_unit,MATCH(B3017,pr_code,0))&amp;"",""))</f>
        <v/>
      </c>
      <c r="J3017" s="65" t="str">
        <f>IF(COUNTA(A3017:G3017)=0,"",IF(E3017&lt;&gt;"",E3017,IF(B3017="","",IFERROR(IF(INDEX(pr_price,MATCH(B3017,pr_code,0))="","",INDEX(pr_price,MATCH(B3017,pr_code,0))),""))))</f>
        <v/>
      </c>
      <c r="K3017" s="71" t="str">
        <f>IF(COUNTA(A3017:G3017)=0,"",IF(G3017&lt;&gt;"",G3017,IF(B3017="","",IFERROR(IF(INDEX(pr_rate,MATCH(B3017,pr_code,0))="","",INDEX(pr_rate,MATCH(B3017,pr_code,0))),""))))</f>
        <v/>
      </c>
      <c r="L3017" s="65" t="str">
        <f>IF(COUNTA(A3017:G3017)=0,"",IF(AND(ISNUMBER(D3017),ISNUMBER(J3017)),ROUND(D3017*J3017*(1-N(F3017)),2),0))</f>
        <v/>
      </c>
      <c r="M3017" s="62" t="str">
        <f>IF(A3017="","",IFERROR(INDEX(fa_cname,MATCH(A3017,fa_num,0))&amp;"",""))</f>
        <v/>
      </c>
      <c r="N3017" s="59" t="str">
        <f>IF(COUNTA(A3017:G3017)=0,"",IF(A3017="","N° facture manquant",IF(ISNA(MATCH(A3017,fa_num,0)),"Facture inconnue",IF(AND(B3017&lt;&gt;"",ISNA(MATCH(B3017,pr_code,0))),"Article inconnu",IF(H3017="","Désignation manquante",IF(OR(NOT(ISNUMBER(D3017)),N(D3017)&lt;=0),"Quantité invalide",IF(J3017="","Prix manquant",IF(OR(NOT(ISNUMBER(J3017)),N(J3017)&lt;0),"Prix invalide",IF(OR(AND(F3017&lt;&gt;"",NOT(ISNUMBER(F3017))),N(F3017)&lt;0,N(F3017)&gt;1),"Remise invalide",IF(K3017="","Taux de TVA manquant",IF(NOT(ISNUMBER(K3017)),"Taux de TVA invalide",IF(COUNTIF(p_rates,K3017)=0,"Taux de TVA hors liste (Paramètres)",IF(N(O3017)&gt;25,"Au-delà de 25 lignes : non imprimée","OK")))))))))))))</f>
        <v/>
      </c>
      <c r="O3017" s="59" t="str">
        <f>IF(A3017="","",COUNTIF($A$6:A3017,A3017))</f>
        <v/>
      </c>
      <c r="P3017" s="62" t="str">
        <f>IF(A3017="","",A3017&amp;"|"&amp;O3017)</f>
        <v/>
      </c>
    </row>
    <row r="3018">
      <c r="A3018" s="60" t="n"/>
      <c r="B3018" s="63" t="n"/>
      <c r="C3018" s="63" t="n"/>
      <c r="D3018" s="67" t="n"/>
      <c r="E3018" s="68" t="n"/>
      <c r="F3018" s="69" t="n"/>
      <c r="G3018" s="70" t="n"/>
      <c r="H3018" s="62" t="str">
        <f>IF(COUNTA(A3018:G3018)=0,"",IF(C3018&lt;&gt;"",C3018,IF(B3018="","",IFERROR(INDEX(pr_des,MATCH(B3018,pr_code,0))&amp;"",""))))</f>
        <v/>
      </c>
      <c r="I3018" s="59" t="str">
        <f>IF(B3018="","",IFERROR(INDEX(pr_unit,MATCH(B3018,pr_code,0))&amp;"",""))</f>
        <v/>
      </c>
      <c r="J3018" s="65" t="str">
        <f>IF(COUNTA(A3018:G3018)=0,"",IF(E3018&lt;&gt;"",E3018,IF(B3018="","",IFERROR(IF(INDEX(pr_price,MATCH(B3018,pr_code,0))="","",INDEX(pr_price,MATCH(B3018,pr_code,0))),""))))</f>
        <v/>
      </c>
      <c r="K3018" s="71" t="str">
        <f>IF(COUNTA(A3018:G3018)=0,"",IF(G3018&lt;&gt;"",G3018,IF(B3018="","",IFERROR(IF(INDEX(pr_rate,MATCH(B3018,pr_code,0))="","",INDEX(pr_rate,MATCH(B3018,pr_code,0))),""))))</f>
        <v/>
      </c>
      <c r="L3018" s="65" t="str">
        <f>IF(COUNTA(A3018:G3018)=0,"",IF(AND(ISNUMBER(D3018),ISNUMBER(J3018)),ROUND(D3018*J3018*(1-N(F3018)),2),0))</f>
        <v/>
      </c>
      <c r="M3018" s="62" t="str">
        <f>IF(A3018="","",IFERROR(INDEX(fa_cname,MATCH(A3018,fa_num,0))&amp;"",""))</f>
        <v/>
      </c>
      <c r="N3018" s="59" t="str">
        <f>IF(COUNTA(A3018:G3018)=0,"",IF(A3018="","N° facture manquant",IF(ISNA(MATCH(A3018,fa_num,0)),"Facture inconnue",IF(AND(B3018&lt;&gt;"",ISNA(MATCH(B3018,pr_code,0))),"Article inconnu",IF(H3018="","Désignation manquante",IF(OR(NOT(ISNUMBER(D3018)),N(D3018)&lt;=0),"Quantité invalide",IF(J3018="","Prix manquant",IF(OR(NOT(ISNUMBER(J3018)),N(J3018)&lt;0),"Prix invalide",IF(OR(AND(F3018&lt;&gt;"",NOT(ISNUMBER(F3018))),N(F3018)&lt;0,N(F3018)&gt;1),"Remise invalide",IF(K3018="","Taux de TVA manquant",IF(NOT(ISNUMBER(K3018)),"Taux de TVA invalide",IF(COUNTIF(p_rates,K3018)=0,"Taux de TVA hors liste (Paramètres)",IF(N(O3018)&gt;25,"Au-delà de 25 lignes : non imprimée","OK")))))))))))))</f>
        <v/>
      </c>
      <c r="O3018" s="59" t="str">
        <f>IF(A3018="","",COUNTIF($A$6:A3018,A3018))</f>
        <v/>
      </c>
      <c r="P3018" s="62" t="str">
        <f>IF(A3018="","",A3018&amp;"|"&amp;O3018)</f>
        <v/>
      </c>
    </row>
    <row r="3019">
      <c r="A3019" s="60" t="n"/>
      <c r="B3019" s="63" t="n"/>
      <c r="C3019" s="63" t="n"/>
      <c r="D3019" s="67" t="n"/>
      <c r="E3019" s="68" t="n"/>
      <c r="F3019" s="69" t="n"/>
      <c r="G3019" s="70" t="n"/>
      <c r="H3019" s="62" t="str">
        <f>IF(COUNTA(A3019:G3019)=0,"",IF(C3019&lt;&gt;"",C3019,IF(B3019="","",IFERROR(INDEX(pr_des,MATCH(B3019,pr_code,0))&amp;"",""))))</f>
        <v/>
      </c>
      <c r="I3019" s="59" t="str">
        <f>IF(B3019="","",IFERROR(INDEX(pr_unit,MATCH(B3019,pr_code,0))&amp;"",""))</f>
        <v/>
      </c>
      <c r="J3019" s="65" t="str">
        <f>IF(COUNTA(A3019:G3019)=0,"",IF(E3019&lt;&gt;"",E3019,IF(B3019="","",IFERROR(IF(INDEX(pr_price,MATCH(B3019,pr_code,0))="","",INDEX(pr_price,MATCH(B3019,pr_code,0))),""))))</f>
        <v/>
      </c>
      <c r="K3019" s="71" t="str">
        <f>IF(COUNTA(A3019:G3019)=0,"",IF(G3019&lt;&gt;"",G3019,IF(B3019="","",IFERROR(IF(INDEX(pr_rate,MATCH(B3019,pr_code,0))="","",INDEX(pr_rate,MATCH(B3019,pr_code,0))),""))))</f>
        <v/>
      </c>
      <c r="L3019" s="65" t="str">
        <f>IF(COUNTA(A3019:G3019)=0,"",IF(AND(ISNUMBER(D3019),ISNUMBER(J3019)),ROUND(D3019*J3019*(1-N(F3019)),2),0))</f>
        <v/>
      </c>
      <c r="M3019" s="62" t="str">
        <f>IF(A3019="","",IFERROR(INDEX(fa_cname,MATCH(A3019,fa_num,0))&amp;"",""))</f>
        <v/>
      </c>
      <c r="N3019" s="59" t="str">
        <f>IF(COUNTA(A3019:G3019)=0,"",IF(A3019="","N° facture manquant",IF(ISNA(MATCH(A3019,fa_num,0)),"Facture inconnue",IF(AND(B3019&lt;&gt;"",ISNA(MATCH(B3019,pr_code,0))),"Article inconnu",IF(H3019="","Désignation manquante",IF(OR(NOT(ISNUMBER(D3019)),N(D3019)&lt;=0),"Quantité invalide",IF(J3019="","Prix manquant",IF(OR(NOT(ISNUMBER(J3019)),N(J3019)&lt;0),"Prix invalide",IF(OR(AND(F3019&lt;&gt;"",NOT(ISNUMBER(F3019))),N(F3019)&lt;0,N(F3019)&gt;1),"Remise invalide",IF(K3019="","Taux de TVA manquant",IF(NOT(ISNUMBER(K3019)),"Taux de TVA invalide",IF(COUNTIF(p_rates,K3019)=0,"Taux de TVA hors liste (Paramètres)",IF(N(O3019)&gt;25,"Au-delà de 25 lignes : non imprimée","OK")))))))))))))</f>
        <v/>
      </c>
      <c r="O3019" s="59" t="str">
        <f>IF(A3019="","",COUNTIF($A$6:A3019,A3019))</f>
        <v/>
      </c>
      <c r="P3019" s="62" t="str">
        <f>IF(A3019="","",A3019&amp;"|"&amp;O3019)</f>
        <v/>
      </c>
    </row>
    <row r="3020">
      <c r="A3020" s="60" t="n"/>
      <c r="B3020" s="63" t="n"/>
      <c r="C3020" s="63" t="n"/>
      <c r="D3020" s="67" t="n"/>
      <c r="E3020" s="68" t="n"/>
      <c r="F3020" s="69" t="n"/>
      <c r="G3020" s="70" t="n"/>
      <c r="H3020" s="62" t="str">
        <f>IF(COUNTA(A3020:G3020)=0,"",IF(C3020&lt;&gt;"",C3020,IF(B3020="","",IFERROR(INDEX(pr_des,MATCH(B3020,pr_code,0))&amp;"",""))))</f>
        <v/>
      </c>
      <c r="I3020" s="59" t="str">
        <f>IF(B3020="","",IFERROR(INDEX(pr_unit,MATCH(B3020,pr_code,0))&amp;"",""))</f>
        <v/>
      </c>
      <c r="J3020" s="65" t="str">
        <f>IF(COUNTA(A3020:G3020)=0,"",IF(E3020&lt;&gt;"",E3020,IF(B3020="","",IFERROR(IF(INDEX(pr_price,MATCH(B3020,pr_code,0))="","",INDEX(pr_price,MATCH(B3020,pr_code,0))),""))))</f>
        <v/>
      </c>
      <c r="K3020" s="71" t="str">
        <f>IF(COUNTA(A3020:G3020)=0,"",IF(G3020&lt;&gt;"",G3020,IF(B3020="","",IFERROR(IF(INDEX(pr_rate,MATCH(B3020,pr_code,0))="","",INDEX(pr_rate,MATCH(B3020,pr_code,0))),""))))</f>
        <v/>
      </c>
      <c r="L3020" s="65" t="str">
        <f>IF(COUNTA(A3020:G3020)=0,"",IF(AND(ISNUMBER(D3020),ISNUMBER(J3020)),ROUND(D3020*J3020*(1-N(F3020)),2),0))</f>
        <v/>
      </c>
      <c r="M3020" s="62" t="str">
        <f>IF(A3020="","",IFERROR(INDEX(fa_cname,MATCH(A3020,fa_num,0))&amp;"",""))</f>
        <v/>
      </c>
      <c r="N3020" s="59" t="str">
        <f>IF(COUNTA(A3020:G3020)=0,"",IF(A3020="","N° facture manquant",IF(ISNA(MATCH(A3020,fa_num,0)),"Facture inconnue",IF(AND(B3020&lt;&gt;"",ISNA(MATCH(B3020,pr_code,0))),"Article inconnu",IF(H3020="","Désignation manquante",IF(OR(NOT(ISNUMBER(D3020)),N(D3020)&lt;=0),"Quantité invalide",IF(J3020="","Prix manquant",IF(OR(NOT(ISNUMBER(J3020)),N(J3020)&lt;0),"Prix invalide",IF(OR(AND(F3020&lt;&gt;"",NOT(ISNUMBER(F3020))),N(F3020)&lt;0,N(F3020)&gt;1),"Remise invalide",IF(K3020="","Taux de TVA manquant",IF(NOT(ISNUMBER(K3020)),"Taux de TVA invalide",IF(COUNTIF(p_rates,K3020)=0,"Taux de TVA hors liste (Paramètres)",IF(N(O3020)&gt;25,"Au-delà de 25 lignes : non imprimée","OK")))))))))))))</f>
        <v/>
      </c>
      <c r="O3020" s="59" t="str">
        <f>IF(A3020="","",COUNTIF($A$6:A3020,A3020))</f>
        <v/>
      </c>
      <c r="P3020" s="62" t="str">
        <f>IF(A3020="","",A3020&amp;"|"&amp;O3020)</f>
        <v/>
      </c>
    </row>
    <row r="3021">
      <c r="A3021" s="60" t="n"/>
      <c r="B3021" s="63" t="n"/>
      <c r="C3021" s="63" t="n"/>
      <c r="D3021" s="67" t="n"/>
      <c r="E3021" s="68" t="n"/>
      <c r="F3021" s="69" t="n"/>
      <c r="G3021" s="70" t="n"/>
      <c r="H3021" s="62" t="str">
        <f>IF(COUNTA(A3021:G3021)=0,"",IF(C3021&lt;&gt;"",C3021,IF(B3021="","",IFERROR(INDEX(pr_des,MATCH(B3021,pr_code,0))&amp;"",""))))</f>
        <v/>
      </c>
      <c r="I3021" s="59" t="str">
        <f>IF(B3021="","",IFERROR(INDEX(pr_unit,MATCH(B3021,pr_code,0))&amp;"",""))</f>
        <v/>
      </c>
      <c r="J3021" s="65" t="str">
        <f>IF(COUNTA(A3021:G3021)=0,"",IF(E3021&lt;&gt;"",E3021,IF(B3021="","",IFERROR(IF(INDEX(pr_price,MATCH(B3021,pr_code,0))="","",INDEX(pr_price,MATCH(B3021,pr_code,0))),""))))</f>
        <v/>
      </c>
      <c r="K3021" s="71" t="str">
        <f>IF(COUNTA(A3021:G3021)=0,"",IF(G3021&lt;&gt;"",G3021,IF(B3021="","",IFERROR(IF(INDEX(pr_rate,MATCH(B3021,pr_code,0))="","",INDEX(pr_rate,MATCH(B3021,pr_code,0))),""))))</f>
        <v/>
      </c>
      <c r="L3021" s="65" t="str">
        <f>IF(COUNTA(A3021:G3021)=0,"",IF(AND(ISNUMBER(D3021),ISNUMBER(J3021)),ROUND(D3021*J3021*(1-N(F3021)),2),0))</f>
        <v/>
      </c>
      <c r="M3021" s="62" t="str">
        <f>IF(A3021="","",IFERROR(INDEX(fa_cname,MATCH(A3021,fa_num,0))&amp;"",""))</f>
        <v/>
      </c>
      <c r="N3021" s="59" t="str">
        <f>IF(COUNTA(A3021:G3021)=0,"",IF(A3021="","N° facture manquant",IF(ISNA(MATCH(A3021,fa_num,0)),"Facture inconnue",IF(AND(B3021&lt;&gt;"",ISNA(MATCH(B3021,pr_code,0))),"Article inconnu",IF(H3021="","Désignation manquante",IF(OR(NOT(ISNUMBER(D3021)),N(D3021)&lt;=0),"Quantité invalide",IF(J3021="","Prix manquant",IF(OR(NOT(ISNUMBER(J3021)),N(J3021)&lt;0),"Prix invalide",IF(OR(AND(F3021&lt;&gt;"",NOT(ISNUMBER(F3021))),N(F3021)&lt;0,N(F3021)&gt;1),"Remise invalide",IF(K3021="","Taux de TVA manquant",IF(NOT(ISNUMBER(K3021)),"Taux de TVA invalide",IF(COUNTIF(p_rates,K3021)=0,"Taux de TVA hors liste (Paramètres)",IF(N(O3021)&gt;25,"Au-delà de 25 lignes : non imprimée","OK")))))))))))))</f>
        <v/>
      </c>
      <c r="O3021" s="59" t="str">
        <f>IF(A3021="","",COUNTIF($A$6:A3021,A3021))</f>
        <v/>
      </c>
      <c r="P3021" s="62" t="str">
        <f>IF(A3021="","",A3021&amp;"|"&amp;O3021)</f>
        <v/>
      </c>
    </row>
    <row r="3022">
      <c r="A3022" s="60" t="n"/>
      <c r="B3022" s="63" t="n"/>
      <c r="C3022" s="63" t="n"/>
      <c r="D3022" s="67" t="n"/>
      <c r="E3022" s="68" t="n"/>
      <c r="F3022" s="69" t="n"/>
      <c r="G3022" s="70" t="n"/>
      <c r="H3022" s="62" t="str">
        <f>IF(COUNTA(A3022:G3022)=0,"",IF(C3022&lt;&gt;"",C3022,IF(B3022="","",IFERROR(INDEX(pr_des,MATCH(B3022,pr_code,0))&amp;"",""))))</f>
        <v/>
      </c>
      <c r="I3022" s="59" t="str">
        <f>IF(B3022="","",IFERROR(INDEX(pr_unit,MATCH(B3022,pr_code,0))&amp;"",""))</f>
        <v/>
      </c>
      <c r="J3022" s="65" t="str">
        <f>IF(COUNTA(A3022:G3022)=0,"",IF(E3022&lt;&gt;"",E3022,IF(B3022="","",IFERROR(IF(INDEX(pr_price,MATCH(B3022,pr_code,0))="","",INDEX(pr_price,MATCH(B3022,pr_code,0))),""))))</f>
        <v/>
      </c>
      <c r="K3022" s="71" t="str">
        <f>IF(COUNTA(A3022:G3022)=0,"",IF(G3022&lt;&gt;"",G3022,IF(B3022="","",IFERROR(IF(INDEX(pr_rate,MATCH(B3022,pr_code,0))="","",INDEX(pr_rate,MATCH(B3022,pr_code,0))),""))))</f>
        <v/>
      </c>
      <c r="L3022" s="65" t="str">
        <f>IF(COUNTA(A3022:G3022)=0,"",IF(AND(ISNUMBER(D3022),ISNUMBER(J3022)),ROUND(D3022*J3022*(1-N(F3022)),2),0))</f>
        <v/>
      </c>
      <c r="M3022" s="62" t="str">
        <f>IF(A3022="","",IFERROR(INDEX(fa_cname,MATCH(A3022,fa_num,0))&amp;"",""))</f>
        <v/>
      </c>
      <c r="N3022" s="59" t="str">
        <f>IF(COUNTA(A3022:G3022)=0,"",IF(A3022="","N° facture manquant",IF(ISNA(MATCH(A3022,fa_num,0)),"Facture inconnue",IF(AND(B3022&lt;&gt;"",ISNA(MATCH(B3022,pr_code,0))),"Article inconnu",IF(H3022="","Désignation manquante",IF(OR(NOT(ISNUMBER(D3022)),N(D3022)&lt;=0),"Quantité invalide",IF(J3022="","Prix manquant",IF(OR(NOT(ISNUMBER(J3022)),N(J3022)&lt;0),"Prix invalide",IF(OR(AND(F3022&lt;&gt;"",NOT(ISNUMBER(F3022))),N(F3022)&lt;0,N(F3022)&gt;1),"Remise invalide",IF(K3022="","Taux de TVA manquant",IF(NOT(ISNUMBER(K3022)),"Taux de TVA invalide",IF(COUNTIF(p_rates,K3022)=0,"Taux de TVA hors liste (Paramètres)",IF(N(O3022)&gt;25,"Au-delà de 25 lignes : non imprimée","OK")))))))))))))</f>
        <v/>
      </c>
      <c r="O3022" s="59" t="str">
        <f>IF(A3022="","",COUNTIF($A$6:A3022,A3022))</f>
        <v/>
      </c>
      <c r="P3022" s="62" t="str">
        <f>IF(A3022="","",A3022&amp;"|"&amp;O3022)</f>
        <v/>
      </c>
    </row>
    <row r="3023">
      <c r="A3023" s="60" t="n"/>
      <c r="B3023" s="63" t="n"/>
      <c r="C3023" s="63" t="n"/>
      <c r="D3023" s="67" t="n"/>
      <c r="E3023" s="68" t="n"/>
      <c r="F3023" s="69" t="n"/>
      <c r="G3023" s="70" t="n"/>
      <c r="H3023" s="62" t="str">
        <f>IF(COUNTA(A3023:G3023)=0,"",IF(C3023&lt;&gt;"",C3023,IF(B3023="","",IFERROR(INDEX(pr_des,MATCH(B3023,pr_code,0))&amp;"",""))))</f>
        <v/>
      </c>
      <c r="I3023" s="59" t="str">
        <f>IF(B3023="","",IFERROR(INDEX(pr_unit,MATCH(B3023,pr_code,0))&amp;"",""))</f>
        <v/>
      </c>
      <c r="J3023" s="65" t="str">
        <f>IF(COUNTA(A3023:G3023)=0,"",IF(E3023&lt;&gt;"",E3023,IF(B3023="","",IFERROR(IF(INDEX(pr_price,MATCH(B3023,pr_code,0))="","",INDEX(pr_price,MATCH(B3023,pr_code,0))),""))))</f>
        <v/>
      </c>
      <c r="K3023" s="71" t="str">
        <f>IF(COUNTA(A3023:G3023)=0,"",IF(G3023&lt;&gt;"",G3023,IF(B3023="","",IFERROR(IF(INDEX(pr_rate,MATCH(B3023,pr_code,0))="","",INDEX(pr_rate,MATCH(B3023,pr_code,0))),""))))</f>
        <v/>
      </c>
      <c r="L3023" s="65" t="str">
        <f>IF(COUNTA(A3023:G3023)=0,"",IF(AND(ISNUMBER(D3023),ISNUMBER(J3023)),ROUND(D3023*J3023*(1-N(F3023)),2),0))</f>
        <v/>
      </c>
      <c r="M3023" s="62" t="str">
        <f>IF(A3023="","",IFERROR(INDEX(fa_cname,MATCH(A3023,fa_num,0))&amp;"",""))</f>
        <v/>
      </c>
      <c r="N3023" s="59" t="str">
        <f>IF(COUNTA(A3023:G3023)=0,"",IF(A3023="","N° facture manquant",IF(ISNA(MATCH(A3023,fa_num,0)),"Facture inconnue",IF(AND(B3023&lt;&gt;"",ISNA(MATCH(B3023,pr_code,0))),"Article inconnu",IF(H3023="","Désignation manquante",IF(OR(NOT(ISNUMBER(D3023)),N(D3023)&lt;=0),"Quantité invalide",IF(J3023="","Prix manquant",IF(OR(NOT(ISNUMBER(J3023)),N(J3023)&lt;0),"Prix invalide",IF(OR(AND(F3023&lt;&gt;"",NOT(ISNUMBER(F3023))),N(F3023)&lt;0,N(F3023)&gt;1),"Remise invalide",IF(K3023="","Taux de TVA manquant",IF(NOT(ISNUMBER(K3023)),"Taux de TVA invalide",IF(COUNTIF(p_rates,K3023)=0,"Taux de TVA hors liste (Paramètres)",IF(N(O3023)&gt;25,"Au-delà de 25 lignes : non imprimée","OK")))))))))))))</f>
        <v/>
      </c>
      <c r="O3023" s="59" t="str">
        <f>IF(A3023="","",COUNTIF($A$6:A3023,A3023))</f>
        <v/>
      </c>
      <c r="P3023" s="62" t="str">
        <f>IF(A3023="","",A3023&amp;"|"&amp;O3023)</f>
        <v/>
      </c>
    </row>
    <row r="3024">
      <c r="A3024" s="60" t="n"/>
      <c r="B3024" s="63" t="n"/>
      <c r="C3024" s="63" t="n"/>
      <c r="D3024" s="67" t="n"/>
      <c r="E3024" s="68" t="n"/>
      <c r="F3024" s="69" t="n"/>
      <c r="G3024" s="70" t="n"/>
      <c r="H3024" s="62" t="str">
        <f>IF(COUNTA(A3024:G3024)=0,"",IF(C3024&lt;&gt;"",C3024,IF(B3024="","",IFERROR(INDEX(pr_des,MATCH(B3024,pr_code,0))&amp;"",""))))</f>
        <v/>
      </c>
      <c r="I3024" s="59" t="str">
        <f>IF(B3024="","",IFERROR(INDEX(pr_unit,MATCH(B3024,pr_code,0))&amp;"",""))</f>
        <v/>
      </c>
      <c r="J3024" s="65" t="str">
        <f>IF(COUNTA(A3024:G3024)=0,"",IF(E3024&lt;&gt;"",E3024,IF(B3024="","",IFERROR(IF(INDEX(pr_price,MATCH(B3024,pr_code,0))="","",INDEX(pr_price,MATCH(B3024,pr_code,0))),""))))</f>
        <v/>
      </c>
      <c r="K3024" s="71" t="str">
        <f>IF(COUNTA(A3024:G3024)=0,"",IF(G3024&lt;&gt;"",G3024,IF(B3024="","",IFERROR(IF(INDEX(pr_rate,MATCH(B3024,pr_code,0))="","",INDEX(pr_rate,MATCH(B3024,pr_code,0))),""))))</f>
        <v/>
      </c>
      <c r="L3024" s="65" t="str">
        <f>IF(COUNTA(A3024:G3024)=0,"",IF(AND(ISNUMBER(D3024),ISNUMBER(J3024)),ROUND(D3024*J3024*(1-N(F3024)),2),0))</f>
        <v/>
      </c>
      <c r="M3024" s="62" t="str">
        <f>IF(A3024="","",IFERROR(INDEX(fa_cname,MATCH(A3024,fa_num,0))&amp;"",""))</f>
        <v/>
      </c>
      <c r="N3024" s="59" t="str">
        <f>IF(COUNTA(A3024:G3024)=0,"",IF(A3024="","N° facture manquant",IF(ISNA(MATCH(A3024,fa_num,0)),"Facture inconnue",IF(AND(B3024&lt;&gt;"",ISNA(MATCH(B3024,pr_code,0))),"Article inconnu",IF(H3024="","Désignation manquante",IF(OR(NOT(ISNUMBER(D3024)),N(D3024)&lt;=0),"Quantité invalide",IF(J3024="","Prix manquant",IF(OR(NOT(ISNUMBER(J3024)),N(J3024)&lt;0),"Prix invalide",IF(OR(AND(F3024&lt;&gt;"",NOT(ISNUMBER(F3024))),N(F3024)&lt;0,N(F3024)&gt;1),"Remise invalide",IF(K3024="","Taux de TVA manquant",IF(NOT(ISNUMBER(K3024)),"Taux de TVA invalide",IF(COUNTIF(p_rates,K3024)=0,"Taux de TVA hors liste (Paramètres)",IF(N(O3024)&gt;25,"Au-delà de 25 lignes : non imprimée","OK")))))))))))))</f>
        <v/>
      </c>
      <c r="O3024" s="59" t="str">
        <f>IF(A3024="","",COUNTIF($A$6:A3024,A3024))</f>
        <v/>
      </c>
      <c r="P3024" s="62" t="str">
        <f>IF(A3024="","",A3024&amp;"|"&amp;O3024)</f>
        <v/>
      </c>
    </row>
    <row r="3025">
      <c r="A3025" s="60" t="n"/>
      <c r="B3025" s="63" t="n"/>
      <c r="C3025" s="63" t="n"/>
      <c r="D3025" s="67" t="n"/>
      <c r="E3025" s="68" t="n"/>
      <c r="F3025" s="69" t="n"/>
      <c r="G3025" s="70" t="n"/>
      <c r="H3025" s="62" t="str">
        <f>IF(COUNTA(A3025:G3025)=0,"",IF(C3025&lt;&gt;"",C3025,IF(B3025="","",IFERROR(INDEX(pr_des,MATCH(B3025,pr_code,0))&amp;"",""))))</f>
        <v/>
      </c>
      <c r="I3025" s="59" t="str">
        <f>IF(B3025="","",IFERROR(INDEX(pr_unit,MATCH(B3025,pr_code,0))&amp;"",""))</f>
        <v/>
      </c>
      <c r="J3025" s="65" t="str">
        <f>IF(COUNTA(A3025:G3025)=0,"",IF(E3025&lt;&gt;"",E3025,IF(B3025="","",IFERROR(IF(INDEX(pr_price,MATCH(B3025,pr_code,0))="","",INDEX(pr_price,MATCH(B3025,pr_code,0))),""))))</f>
        <v/>
      </c>
      <c r="K3025" s="71" t="str">
        <f>IF(COUNTA(A3025:G3025)=0,"",IF(G3025&lt;&gt;"",G3025,IF(B3025="","",IFERROR(IF(INDEX(pr_rate,MATCH(B3025,pr_code,0))="","",INDEX(pr_rate,MATCH(B3025,pr_code,0))),""))))</f>
        <v/>
      </c>
      <c r="L3025" s="65" t="str">
        <f>IF(COUNTA(A3025:G3025)=0,"",IF(AND(ISNUMBER(D3025),ISNUMBER(J3025)),ROUND(D3025*J3025*(1-N(F3025)),2),0))</f>
        <v/>
      </c>
      <c r="M3025" s="62" t="str">
        <f>IF(A3025="","",IFERROR(INDEX(fa_cname,MATCH(A3025,fa_num,0))&amp;"",""))</f>
        <v/>
      </c>
      <c r="N3025" s="59" t="str">
        <f>IF(COUNTA(A3025:G3025)=0,"",IF(A3025="","N° facture manquant",IF(ISNA(MATCH(A3025,fa_num,0)),"Facture inconnue",IF(AND(B3025&lt;&gt;"",ISNA(MATCH(B3025,pr_code,0))),"Article inconnu",IF(H3025="","Désignation manquante",IF(OR(NOT(ISNUMBER(D3025)),N(D3025)&lt;=0),"Quantité invalide",IF(J3025="","Prix manquant",IF(OR(NOT(ISNUMBER(J3025)),N(J3025)&lt;0),"Prix invalide",IF(OR(AND(F3025&lt;&gt;"",NOT(ISNUMBER(F3025))),N(F3025)&lt;0,N(F3025)&gt;1),"Remise invalide",IF(K3025="","Taux de TVA manquant",IF(NOT(ISNUMBER(K3025)),"Taux de TVA invalide",IF(COUNTIF(p_rates,K3025)=0,"Taux de TVA hors liste (Paramètres)",IF(N(O3025)&gt;25,"Au-delà de 25 lignes : non imprimée","OK")))))))))))))</f>
        <v/>
      </c>
      <c r="O3025" s="59" t="str">
        <f>IF(A3025="","",COUNTIF($A$6:A3025,A3025))</f>
        <v/>
      </c>
      <c r="P3025" s="62" t="str">
        <f>IF(A3025="","",A3025&amp;"|"&amp;O3025)</f>
        <v/>
      </c>
    </row>
    <row r="3026">
      <c r="A3026" s="60" t="n"/>
      <c r="B3026" s="63" t="n"/>
      <c r="C3026" s="63" t="n"/>
      <c r="D3026" s="67" t="n"/>
      <c r="E3026" s="68" t="n"/>
      <c r="F3026" s="69" t="n"/>
      <c r="G3026" s="70" t="n"/>
      <c r="H3026" s="62" t="str">
        <f>IF(COUNTA(A3026:G3026)=0,"",IF(C3026&lt;&gt;"",C3026,IF(B3026="","",IFERROR(INDEX(pr_des,MATCH(B3026,pr_code,0))&amp;"",""))))</f>
        <v/>
      </c>
      <c r="I3026" s="59" t="str">
        <f>IF(B3026="","",IFERROR(INDEX(pr_unit,MATCH(B3026,pr_code,0))&amp;"",""))</f>
        <v/>
      </c>
      <c r="J3026" s="65" t="str">
        <f>IF(COUNTA(A3026:G3026)=0,"",IF(E3026&lt;&gt;"",E3026,IF(B3026="","",IFERROR(IF(INDEX(pr_price,MATCH(B3026,pr_code,0))="","",INDEX(pr_price,MATCH(B3026,pr_code,0))),""))))</f>
        <v/>
      </c>
      <c r="K3026" s="71" t="str">
        <f>IF(COUNTA(A3026:G3026)=0,"",IF(G3026&lt;&gt;"",G3026,IF(B3026="","",IFERROR(IF(INDEX(pr_rate,MATCH(B3026,pr_code,0))="","",INDEX(pr_rate,MATCH(B3026,pr_code,0))),""))))</f>
        <v/>
      </c>
      <c r="L3026" s="65" t="str">
        <f>IF(COUNTA(A3026:G3026)=0,"",IF(AND(ISNUMBER(D3026),ISNUMBER(J3026)),ROUND(D3026*J3026*(1-N(F3026)),2),0))</f>
        <v/>
      </c>
      <c r="M3026" s="62" t="str">
        <f>IF(A3026="","",IFERROR(INDEX(fa_cname,MATCH(A3026,fa_num,0))&amp;"",""))</f>
        <v/>
      </c>
      <c r="N3026" s="59" t="str">
        <f>IF(COUNTA(A3026:G3026)=0,"",IF(A3026="","N° facture manquant",IF(ISNA(MATCH(A3026,fa_num,0)),"Facture inconnue",IF(AND(B3026&lt;&gt;"",ISNA(MATCH(B3026,pr_code,0))),"Article inconnu",IF(H3026="","Désignation manquante",IF(OR(NOT(ISNUMBER(D3026)),N(D3026)&lt;=0),"Quantité invalide",IF(J3026="","Prix manquant",IF(OR(NOT(ISNUMBER(J3026)),N(J3026)&lt;0),"Prix invalide",IF(OR(AND(F3026&lt;&gt;"",NOT(ISNUMBER(F3026))),N(F3026)&lt;0,N(F3026)&gt;1),"Remise invalide",IF(K3026="","Taux de TVA manquant",IF(NOT(ISNUMBER(K3026)),"Taux de TVA invalide",IF(COUNTIF(p_rates,K3026)=0,"Taux de TVA hors liste (Paramètres)",IF(N(O3026)&gt;25,"Au-delà de 25 lignes : non imprimée","OK")))))))))))))</f>
        <v/>
      </c>
      <c r="O3026" s="59" t="str">
        <f>IF(A3026="","",COUNTIF($A$6:A3026,A3026))</f>
        <v/>
      </c>
      <c r="P3026" s="62" t="str">
        <f>IF(A3026="","",A3026&amp;"|"&amp;O3026)</f>
        <v/>
      </c>
    </row>
    <row r="3027">
      <c r="A3027" s="60" t="n"/>
      <c r="B3027" s="63" t="n"/>
      <c r="C3027" s="63" t="n"/>
      <c r="D3027" s="67" t="n"/>
      <c r="E3027" s="68" t="n"/>
      <c r="F3027" s="69" t="n"/>
      <c r="G3027" s="70" t="n"/>
      <c r="H3027" s="62" t="str">
        <f>IF(COUNTA(A3027:G3027)=0,"",IF(C3027&lt;&gt;"",C3027,IF(B3027="","",IFERROR(INDEX(pr_des,MATCH(B3027,pr_code,0))&amp;"",""))))</f>
        <v/>
      </c>
      <c r="I3027" s="59" t="str">
        <f>IF(B3027="","",IFERROR(INDEX(pr_unit,MATCH(B3027,pr_code,0))&amp;"",""))</f>
        <v/>
      </c>
      <c r="J3027" s="65" t="str">
        <f>IF(COUNTA(A3027:G3027)=0,"",IF(E3027&lt;&gt;"",E3027,IF(B3027="","",IFERROR(IF(INDEX(pr_price,MATCH(B3027,pr_code,0))="","",INDEX(pr_price,MATCH(B3027,pr_code,0))),""))))</f>
        <v/>
      </c>
      <c r="K3027" s="71" t="str">
        <f>IF(COUNTA(A3027:G3027)=0,"",IF(G3027&lt;&gt;"",G3027,IF(B3027="","",IFERROR(IF(INDEX(pr_rate,MATCH(B3027,pr_code,0))="","",INDEX(pr_rate,MATCH(B3027,pr_code,0))),""))))</f>
        <v/>
      </c>
      <c r="L3027" s="65" t="str">
        <f>IF(COUNTA(A3027:G3027)=0,"",IF(AND(ISNUMBER(D3027),ISNUMBER(J3027)),ROUND(D3027*J3027*(1-N(F3027)),2),0))</f>
        <v/>
      </c>
      <c r="M3027" s="62" t="str">
        <f>IF(A3027="","",IFERROR(INDEX(fa_cname,MATCH(A3027,fa_num,0))&amp;"",""))</f>
        <v/>
      </c>
      <c r="N3027" s="59" t="str">
        <f>IF(COUNTA(A3027:G3027)=0,"",IF(A3027="","N° facture manquant",IF(ISNA(MATCH(A3027,fa_num,0)),"Facture inconnue",IF(AND(B3027&lt;&gt;"",ISNA(MATCH(B3027,pr_code,0))),"Article inconnu",IF(H3027="","Désignation manquante",IF(OR(NOT(ISNUMBER(D3027)),N(D3027)&lt;=0),"Quantité invalide",IF(J3027="","Prix manquant",IF(OR(NOT(ISNUMBER(J3027)),N(J3027)&lt;0),"Prix invalide",IF(OR(AND(F3027&lt;&gt;"",NOT(ISNUMBER(F3027))),N(F3027)&lt;0,N(F3027)&gt;1),"Remise invalide",IF(K3027="","Taux de TVA manquant",IF(NOT(ISNUMBER(K3027)),"Taux de TVA invalide",IF(COUNTIF(p_rates,K3027)=0,"Taux de TVA hors liste (Paramètres)",IF(N(O3027)&gt;25,"Au-delà de 25 lignes : non imprimée","OK")))))))))))))</f>
        <v/>
      </c>
      <c r="O3027" s="59" t="str">
        <f>IF(A3027="","",COUNTIF($A$6:A3027,A3027))</f>
        <v/>
      </c>
      <c r="P3027" s="62" t="str">
        <f>IF(A3027="","",A3027&amp;"|"&amp;O3027)</f>
        <v/>
      </c>
    </row>
    <row r="3028">
      <c r="A3028" s="60" t="n"/>
      <c r="B3028" s="63" t="n"/>
      <c r="C3028" s="63" t="n"/>
      <c r="D3028" s="67" t="n"/>
      <c r="E3028" s="68" t="n"/>
      <c r="F3028" s="69" t="n"/>
      <c r="G3028" s="70" t="n"/>
      <c r="H3028" s="62" t="str">
        <f>IF(COUNTA(A3028:G3028)=0,"",IF(C3028&lt;&gt;"",C3028,IF(B3028="","",IFERROR(INDEX(pr_des,MATCH(B3028,pr_code,0))&amp;"",""))))</f>
        <v/>
      </c>
      <c r="I3028" s="59" t="str">
        <f>IF(B3028="","",IFERROR(INDEX(pr_unit,MATCH(B3028,pr_code,0))&amp;"",""))</f>
        <v/>
      </c>
      <c r="J3028" s="65" t="str">
        <f>IF(COUNTA(A3028:G3028)=0,"",IF(E3028&lt;&gt;"",E3028,IF(B3028="","",IFERROR(IF(INDEX(pr_price,MATCH(B3028,pr_code,0))="","",INDEX(pr_price,MATCH(B3028,pr_code,0))),""))))</f>
        <v/>
      </c>
      <c r="K3028" s="71" t="str">
        <f>IF(COUNTA(A3028:G3028)=0,"",IF(G3028&lt;&gt;"",G3028,IF(B3028="","",IFERROR(IF(INDEX(pr_rate,MATCH(B3028,pr_code,0))="","",INDEX(pr_rate,MATCH(B3028,pr_code,0))),""))))</f>
        <v/>
      </c>
      <c r="L3028" s="65" t="str">
        <f>IF(COUNTA(A3028:G3028)=0,"",IF(AND(ISNUMBER(D3028),ISNUMBER(J3028)),ROUND(D3028*J3028*(1-N(F3028)),2),0))</f>
        <v/>
      </c>
      <c r="M3028" s="62" t="str">
        <f>IF(A3028="","",IFERROR(INDEX(fa_cname,MATCH(A3028,fa_num,0))&amp;"",""))</f>
        <v/>
      </c>
      <c r="N3028" s="59" t="str">
        <f>IF(COUNTA(A3028:G3028)=0,"",IF(A3028="","N° facture manquant",IF(ISNA(MATCH(A3028,fa_num,0)),"Facture inconnue",IF(AND(B3028&lt;&gt;"",ISNA(MATCH(B3028,pr_code,0))),"Article inconnu",IF(H3028="","Désignation manquante",IF(OR(NOT(ISNUMBER(D3028)),N(D3028)&lt;=0),"Quantité invalide",IF(J3028="","Prix manquant",IF(OR(NOT(ISNUMBER(J3028)),N(J3028)&lt;0),"Prix invalide",IF(OR(AND(F3028&lt;&gt;"",NOT(ISNUMBER(F3028))),N(F3028)&lt;0,N(F3028)&gt;1),"Remise invalide",IF(K3028="","Taux de TVA manquant",IF(NOT(ISNUMBER(K3028)),"Taux de TVA invalide",IF(COUNTIF(p_rates,K3028)=0,"Taux de TVA hors liste (Paramètres)",IF(N(O3028)&gt;25,"Au-delà de 25 lignes : non imprimée","OK")))))))))))))</f>
        <v/>
      </c>
      <c r="O3028" s="59" t="str">
        <f>IF(A3028="","",COUNTIF($A$6:A3028,A3028))</f>
        <v/>
      </c>
      <c r="P3028" s="62" t="str">
        <f>IF(A3028="","",A3028&amp;"|"&amp;O3028)</f>
        <v/>
      </c>
    </row>
    <row r="3029">
      <c r="A3029" s="60" t="n"/>
      <c r="B3029" s="63" t="n"/>
      <c r="C3029" s="63" t="n"/>
      <c r="D3029" s="67" t="n"/>
      <c r="E3029" s="68" t="n"/>
      <c r="F3029" s="69" t="n"/>
      <c r="G3029" s="70" t="n"/>
      <c r="H3029" s="62" t="str">
        <f>IF(COUNTA(A3029:G3029)=0,"",IF(C3029&lt;&gt;"",C3029,IF(B3029="","",IFERROR(INDEX(pr_des,MATCH(B3029,pr_code,0))&amp;"",""))))</f>
        <v/>
      </c>
      <c r="I3029" s="59" t="str">
        <f>IF(B3029="","",IFERROR(INDEX(pr_unit,MATCH(B3029,pr_code,0))&amp;"",""))</f>
        <v/>
      </c>
      <c r="J3029" s="65" t="str">
        <f>IF(COUNTA(A3029:G3029)=0,"",IF(E3029&lt;&gt;"",E3029,IF(B3029="","",IFERROR(IF(INDEX(pr_price,MATCH(B3029,pr_code,0))="","",INDEX(pr_price,MATCH(B3029,pr_code,0))),""))))</f>
        <v/>
      </c>
      <c r="K3029" s="71" t="str">
        <f>IF(COUNTA(A3029:G3029)=0,"",IF(G3029&lt;&gt;"",G3029,IF(B3029="","",IFERROR(IF(INDEX(pr_rate,MATCH(B3029,pr_code,0))="","",INDEX(pr_rate,MATCH(B3029,pr_code,0))),""))))</f>
        <v/>
      </c>
      <c r="L3029" s="65" t="str">
        <f>IF(COUNTA(A3029:G3029)=0,"",IF(AND(ISNUMBER(D3029),ISNUMBER(J3029)),ROUND(D3029*J3029*(1-N(F3029)),2),0))</f>
        <v/>
      </c>
      <c r="M3029" s="62" t="str">
        <f>IF(A3029="","",IFERROR(INDEX(fa_cname,MATCH(A3029,fa_num,0))&amp;"",""))</f>
        <v/>
      </c>
      <c r="N3029" s="59" t="str">
        <f>IF(COUNTA(A3029:G3029)=0,"",IF(A3029="","N° facture manquant",IF(ISNA(MATCH(A3029,fa_num,0)),"Facture inconnue",IF(AND(B3029&lt;&gt;"",ISNA(MATCH(B3029,pr_code,0))),"Article inconnu",IF(H3029="","Désignation manquante",IF(OR(NOT(ISNUMBER(D3029)),N(D3029)&lt;=0),"Quantité invalide",IF(J3029="","Prix manquant",IF(OR(NOT(ISNUMBER(J3029)),N(J3029)&lt;0),"Prix invalide",IF(OR(AND(F3029&lt;&gt;"",NOT(ISNUMBER(F3029))),N(F3029)&lt;0,N(F3029)&gt;1),"Remise invalide",IF(K3029="","Taux de TVA manquant",IF(NOT(ISNUMBER(K3029)),"Taux de TVA invalide",IF(COUNTIF(p_rates,K3029)=0,"Taux de TVA hors liste (Paramètres)",IF(N(O3029)&gt;25,"Au-delà de 25 lignes : non imprimée","OK")))))))))))))</f>
        <v/>
      </c>
      <c r="O3029" s="59" t="str">
        <f>IF(A3029="","",COUNTIF($A$6:A3029,A3029))</f>
        <v/>
      </c>
      <c r="P3029" s="62" t="str">
        <f>IF(A3029="","",A3029&amp;"|"&amp;O3029)</f>
        <v/>
      </c>
    </row>
    <row r="3030">
      <c r="A3030" s="60" t="n"/>
      <c r="B3030" s="63" t="n"/>
      <c r="C3030" s="63" t="n"/>
      <c r="D3030" s="67" t="n"/>
      <c r="E3030" s="68" t="n"/>
      <c r="F3030" s="69" t="n"/>
      <c r="G3030" s="70" t="n"/>
      <c r="H3030" s="62" t="str">
        <f>IF(COUNTA(A3030:G3030)=0,"",IF(C3030&lt;&gt;"",C3030,IF(B3030="","",IFERROR(INDEX(pr_des,MATCH(B3030,pr_code,0))&amp;"",""))))</f>
        <v/>
      </c>
      <c r="I3030" s="59" t="str">
        <f>IF(B3030="","",IFERROR(INDEX(pr_unit,MATCH(B3030,pr_code,0))&amp;"",""))</f>
        <v/>
      </c>
      <c r="J3030" s="65" t="str">
        <f>IF(COUNTA(A3030:G3030)=0,"",IF(E3030&lt;&gt;"",E3030,IF(B3030="","",IFERROR(IF(INDEX(pr_price,MATCH(B3030,pr_code,0))="","",INDEX(pr_price,MATCH(B3030,pr_code,0))),""))))</f>
        <v/>
      </c>
      <c r="K3030" s="71" t="str">
        <f>IF(COUNTA(A3030:G3030)=0,"",IF(G3030&lt;&gt;"",G3030,IF(B3030="","",IFERROR(IF(INDEX(pr_rate,MATCH(B3030,pr_code,0))="","",INDEX(pr_rate,MATCH(B3030,pr_code,0))),""))))</f>
        <v/>
      </c>
      <c r="L3030" s="65" t="str">
        <f>IF(COUNTA(A3030:G3030)=0,"",IF(AND(ISNUMBER(D3030),ISNUMBER(J3030)),ROUND(D3030*J3030*(1-N(F3030)),2),0))</f>
        <v/>
      </c>
      <c r="M3030" s="62" t="str">
        <f>IF(A3030="","",IFERROR(INDEX(fa_cname,MATCH(A3030,fa_num,0))&amp;"",""))</f>
        <v/>
      </c>
      <c r="N3030" s="59" t="str">
        <f>IF(COUNTA(A3030:G3030)=0,"",IF(A3030="","N° facture manquant",IF(ISNA(MATCH(A3030,fa_num,0)),"Facture inconnue",IF(AND(B3030&lt;&gt;"",ISNA(MATCH(B3030,pr_code,0))),"Article inconnu",IF(H3030="","Désignation manquante",IF(OR(NOT(ISNUMBER(D3030)),N(D3030)&lt;=0),"Quantité invalide",IF(J3030="","Prix manquant",IF(OR(NOT(ISNUMBER(J3030)),N(J3030)&lt;0),"Prix invalide",IF(OR(AND(F3030&lt;&gt;"",NOT(ISNUMBER(F3030))),N(F3030)&lt;0,N(F3030)&gt;1),"Remise invalide",IF(K3030="","Taux de TVA manquant",IF(NOT(ISNUMBER(K3030)),"Taux de TVA invalide",IF(COUNTIF(p_rates,K3030)=0,"Taux de TVA hors liste (Paramètres)",IF(N(O3030)&gt;25,"Au-delà de 25 lignes : non imprimée","OK")))))))))))))</f>
        <v/>
      </c>
      <c r="O3030" s="59" t="str">
        <f>IF(A3030="","",COUNTIF($A$6:A3030,A3030))</f>
        <v/>
      </c>
      <c r="P3030" s="62" t="str">
        <f>IF(A3030="","",A3030&amp;"|"&amp;O3030)</f>
        <v/>
      </c>
    </row>
    <row r="3031">
      <c r="A3031" s="60" t="n"/>
      <c r="B3031" s="63" t="n"/>
      <c r="C3031" s="63" t="n"/>
      <c r="D3031" s="67" t="n"/>
      <c r="E3031" s="68" t="n"/>
      <c r="F3031" s="69" t="n"/>
      <c r="G3031" s="70" t="n"/>
      <c r="H3031" s="62" t="str">
        <f>IF(COUNTA(A3031:G3031)=0,"",IF(C3031&lt;&gt;"",C3031,IF(B3031="","",IFERROR(INDEX(pr_des,MATCH(B3031,pr_code,0))&amp;"",""))))</f>
        <v/>
      </c>
      <c r="I3031" s="59" t="str">
        <f>IF(B3031="","",IFERROR(INDEX(pr_unit,MATCH(B3031,pr_code,0))&amp;"",""))</f>
        <v/>
      </c>
      <c r="J3031" s="65" t="str">
        <f>IF(COUNTA(A3031:G3031)=0,"",IF(E3031&lt;&gt;"",E3031,IF(B3031="","",IFERROR(IF(INDEX(pr_price,MATCH(B3031,pr_code,0))="","",INDEX(pr_price,MATCH(B3031,pr_code,0))),""))))</f>
        <v/>
      </c>
      <c r="K3031" s="71" t="str">
        <f>IF(COUNTA(A3031:G3031)=0,"",IF(G3031&lt;&gt;"",G3031,IF(B3031="","",IFERROR(IF(INDEX(pr_rate,MATCH(B3031,pr_code,0))="","",INDEX(pr_rate,MATCH(B3031,pr_code,0))),""))))</f>
        <v/>
      </c>
      <c r="L3031" s="65" t="str">
        <f>IF(COUNTA(A3031:G3031)=0,"",IF(AND(ISNUMBER(D3031),ISNUMBER(J3031)),ROUND(D3031*J3031*(1-N(F3031)),2),0))</f>
        <v/>
      </c>
      <c r="M3031" s="62" t="str">
        <f>IF(A3031="","",IFERROR(INDEX(fa_cname,MATCH(A3031,fa_num,0))&amp;"",""))</f>
        <v/>
      </c>
      <c r="N3031" s="59" t="str">
        <f>IF(COUNTA(A3031:G3031)=0,"",IF(A3031="","N° facture manquant",IF(ISNA(MATCH(A3031,fa_num,0)),"Facture inconnue",IF(AND(B3031&lt;&gt;"",ISNA(MATCH(B3031,pr_code,0))),"Article inconnu",IF(H3031="","Désignation manquante",IF(OR(NOT(ISNUMBER(D3031)),N(D3031)&lt;=0),"Quantité invalide",IF(J3031="","Prix manquant",IF(OR(NOT(ISNUMBER(J3031)),N(J3031)&lt;0),"Prix invalide",IF(OR(AND(F3031&lt;&gt;"",NOT(ISNUMBER(F3031))),N(F3031)&lt;0,N(F3031)&gt;1),"Remise invalide",IF(K3031="","Taux de TVA manquant",IF(NOT(ISNUMBER(K3031)),"Taux de TVA invalide",IF(COUNTIF(p_rates,K3031)=0,"Taux de TVA hors liste (Paramètres)",IF(N(O3031)&gt;25,"Au-delà de 25 lignes : non imprimée","OK")))))))))))))</f>
        <v/>
      </c>
      <c r="O3031" s="59" t="str">
        <f>IF(A3031="","",COUNTIF($A$6:A3031,A3031))</f>
        <v/>
      </c>
      <c r="P3031" s="62" t="str">
        <f>IF(A3031="","",A3031&amp;"|"&amp;O3031)</f>
        <v/>
      </c>
    </row>
    <row r="3032">
      <c r="A3032" s="60" t="n"/>
      <c r="B3032" s="63" t="n"/>
      <c r="C3032" s="63" t="n"/>
      <c r="D3032" s="67" t="n"/>
      <c r="E3032" s="68" t="n"/>
      <c r="F3032" s="69" t="n"/>
      <c r="G3032" s="70" t="n"/>
      <c r="H3032" s="62" t="str">
        <f>IF(COUNTA(A3032:G3032)=0,"",IF(C3032&lt;&gt;"",C3032,IF(B3032="","",IFERROR(INDEX(pr_des,MATCH(B3032,pr_code,0))&amp;"",""))))</f>
        <v/>
      </c>
      <c r="I3032" s="59" t="str">
        <f>IF(B3032="","",IFERROR(INDEX(pr_unit,MATCH(B3032,pr_code,0))&amp;"",""))</f>
        <v/>
      </c>
      <c r="J3032" s="65" t="str">
        <f>IF(COUNTA(A3032:G3032)=0,"",IF(E3032&lt;&gt;"",E3032,IF(B3032="","",IFERROR(IF(INDEX(pr_price,MATCH(B3032,pr_code,0))="","",INDEX(pr_price,MATCH(B3032,pr_code,0))),""))))</f>
        <v/>
      </c>
      <c r="K3032" s="71" t="str">
        <f>IF(COUNTA(A3032:G3032)=0,"",IF(G3032&lt;&gt;"",G3032,IF(B3032="","",IFERROR(IF(INDEX(pr_rate,MATCH(B3032,pr_code,0))="","",INDEX(pr_rate,MATCH(B3032,pr_code,0))),""))))</f>
        <v/>
      </c>
      <c r="L3032" s="65" t="str">
        <f>IF(COUNTA(A3032:G3032)=0,"",IF(AND(ISNUMBER(D3032),ISNUMBER(J3032)),ROUND(D3032*J3032*(1-N(F3032)),2),0))</f>
        <v/>
      </c>
      <c r="M3032" s="62" t="str">
        <f>IF(A3032="","",IFERROR(INDEX(fa_cname,MATCH(A3032,fa_num,0))&amp;"",""))</f>
        <v/>
      </c>
      <c r="N3032" s="59" t="str">
        <f>IF(COUNTA(A3032:G3032)=0,"",IF(A3032="","N° facture manquant",IF(ISNA(MATCH(A3032,fa_num,0)),"Facture inconnue",IF(AND(B3032&lt;&gt;"",ISNA(MATCH(B3032,pr_code,0))),"Article inconnu",IF(H3032="","Désignation manquante",IF(OR(NOT(ISNUMBER(D3032)),N(D3032)&lt;=0),"Quantité invalide",IF(J3032="","Prix manquant",IF(OR(NOT(ISNUMBER(J3032)),N(J3032)&lt;0),"Prix invalide",IF(OR(AND(F3032&lt;&gt;"",NOT(ISNUMBER(F3032))),N(F3032)&lt;0,N(F3032)&gt;1),"Remise invalide",IF(K3032="","Taux de TVA manquant",IF(NOT(ISNUMBER(K3032)),"Taux de TVA invalide",IF(COUNTIF(p_rates,K3032)=0,"Taux de TVA hors liste (Paramètres)",IF(N(O3032)&gt;25,"Au-delà de 25 lignes : non imprimée","OK")))))))))))))</f>
        <v/>
      </c>
      <c r="O3032" s="59" t="str">
        <f>IF(A3032="","",COUNTIF($A$6:A3032,A3032))</f>
        <v/>
      </c>
      <c r="P3032" s="62" t="str">
        <f>IF(A3032="","",A3032&amp;"|"&amp;O3032)</f>
        <v/>
      </c>
    </row>
    <row r="3033">
      <c r="A3033" s="60" t="n"/>
      <c r="B3033" s="63" t="n"/>
      <c r="C3033" s="63" t="n"/>
      <c r="D3033" s="67" t="n"/>
      <c r="E3033" s="68" t="n"/>
      <c r="F3033" s="69" t="n"/>
      <c r="G3033" s="70" t="n"/>
      <c r="H3033" s="62" t="str">
        <f>IF(COUNTA(A3033:G3033)=0,"",IF(C3033&lt;&gt;"",C3033,IF(B3033="","",IFERROR(INDEX(pr_des,MATCH(B3033,pr_code,0))&amp;"",""))))</f>
        <v/>
      </c>
      <c r="I3033" s="59" t="str">
        <f>IF(B3033="","",IFERROR(INDEX(pr_unit,MATCH(B3033,pr_code,0))&amp;"",""))</f>
        <v/>
      </c>
      <c r="J3033" s="65" t="str">
        <f>IF(COUNTA(A3033:G3033)=0,"",IF(E3033&lt;&gt;"",E3033,IF(B3033="","",IFERROR(IF(INDEX(pr_price,MATCH(B3033,pr_code,0))="","",INDEX(pr_price,MATCH(B3033,pr_code,0))),""))))</f>
        <v/>
      </c>
      <c r="K3033" s="71" t="str">
        <f>IF(COUNTA(A3033:G3033)=0,"",IF(G3033&lt;&gt;"",G3033,IF(B3033="","",IFERROR(IF(INDEX(pr_rate,MATCH(B3033,pr_code,0))="","",INDEX(pr_rate,MATCH(B3033,pr_code,0))),""))))</f>
        <v/>
      </c>
      <c r="L3033" s="65" t="str">
        <f>IF(COUNTA(A3033:G3033)=0,"",IF(AND(ISNUMBER(D3033),ISNUMBER(J3033)),ROUND(D3033*J3033*(1-N(F3033)),2),0))</f>
        <v/>
      </c>
      <c r="M3033" s="62" t="str">
        <f>IF(A3033="","",IFERROR(INDEX(fa_cname,MATCH(A3033,fa_num,0))&amp;"",""))</f>
        <v/>
      </c>
      <c r="N3033" s="59" t="str">
        <f>IF(COUNTA(A3033:G3033)=0,"",IF(A3033="","N° facture manquant",IF(ISNA(MATCH(A3033,fa_num,0)),"Facture inconnue",IF(AND(B3033&lt;&gt;"",ISNA(MATCH(B3033,pr_code,0))),"Article inconnu",IF(H3033="","Désignation manquante",IF(OR(NOT(ISNUMBER(D3033)),N(D3033)&lt;=0),"Quantité invalide",IF(J3033="","Prix manquant",IF(OR(NOT(ISNUMBER(J3033)),N(J3033)&lt;0),"Prix invalide",IF(OR(AND(F3033&lt;&gt;"",NOT(ISNUMBER(F3033))),N(F3033)&lt;0,N(F3033)&gt;1),"Remise invalide",IF(K3033="","Taux de TVA manquant",IF(NOT(ISNUMBER(K3033)),"Taux de TVA invalide",IF(COUNTIF(p_rates,K3033)=0,"Taux de TVA hors liste (Paramètres)",IF(N(O3033)&gt;25,"Au-delà de 25 lignes : non imprimée","OK")))))))))))))</f>
        <v/>
      </c>
      <c r="O3033" s="59" t="str">
        <f>IF(A3033="","",COUNTIF($A$6:A3033,A3033))</f>
        <v/>
      </c>
      <c r="P3033" s="62" t="str">
        <f>IF(A3033="","",A3033&amp;"|"&amp;O3033)</f>
        <v/>
      </c>
    </row>
    <row r="3034">
      <c r="A3034" s="60" t="n"/>
      <c r="B3034" s="63" t="n"/>
      <c r="C3034" s="63" t="n"/>
      <c r="D3034" s="67" t="n"/>
      <c r="E3034" s="68" t="n"/>
      <c r="F3034" s="69" t="n"/>
      <c r="G3034" s="70" t="n"/>
      <c r="H3034" s="62" t="str">
        <f>IF(COUNTA(A3034:G3034)=0,"",IF(C3034&lt;&gt;"",C3034,IF(B3034="","",IFERROR(INDEX(pr_des,MATCH(B3034,pr_code,0))&amp;"",""))))</f>
        <v/>
      </c>
      <c r="I3034" s="59" t="str">
        <f>IF(B3034="","",IFERROR(INDEX(pr_unit,MATCH(B3034,pr_code,0))&amp;"",""))</f>
        <v/>
      </c>
      <c r="J3034" s="65" t="str">
        <f>IF(COUNTA(A3034:G3034)=0,"",IF(E3034&lt;&gt;"",E3034,IF(B3034="","",IFERROR(IF(INDEX(pr_price,MATCH(B3034,pr_code,0))="","",INDEX(pr_price,MATCH(B3034,pr_code,0))),""))))</f>
        <v/>
      </c>
      <c r="K3034" s="71" t="str">
        <f>IF(COUNTA(A3034:G3034)=0,"",IF(G3034&lt;&gt;"",G3034,IF(B3034="","",IFERROR(IF(INDEX(pr_rate,MATCH(B3034,pr_code,0))="","",INDEX(pr_rate,MATCH(B3034,pr_code,0))),""))))</f>
        <v/>
      </c>
      <c r="L3034" s="65" t="str">
        <f>IF(COUNTA(A3034:G3034)=0,"",IF(AND(ISNUMBER(D3034),ISNUMBER(J3034)),ROUND(D3034*J3034*(1-N(F3034)),2),0))</f>
        <v/>
      </c>
      <c r="M3034" s="62" t="str">
        <f>IF(A3034="","",IFERROR(INDEX(fa_cname,MATCH(A3034,fa_num,0))&amp;"",""))</f>
        <v/>
      </c>
      <c r="N3034" s="59" t="str">
        <f>IF(COUNTA(A3034:G3034)=0,"",IF(A3034="","N° facture manquant",IF(ISNA(MATCH(A3034,fa_num,0)),"Facture inconnue",IF(AND(B3034&lt;&gt;"",ISNA(MATCH(B3034,pr_code,0))),"Article inconnu",IF(H3034="","Désignation manquante",IF(OR(NOT(ISNUMBER(D3034)),N(D3034)&lt;=0),"Quantité invalide",IF(J3034="","Prix manquant",IF(OR(NOT(ISNUMBER(J3034)),N(J3034)&lt;0),"Prix invalide",IF(OR(AND(F3034&lt;&gt;"",NOT(ISNUMBER(F3034))),N(F3034)&lt;0,N(F3034)&gt;1),"Remise invalide",IF(K3034="","Taux de TVA manquant",IF(NOT(ISNUMBER(K3034)),"Taux de TVA invalide",IF(COUNTIF(p_rates,K3034)=0,"Taux de TVA hors liste (Paramètres)",IF(N(O3034)&gt;25,"Au-delà de 25 lignes : non imprimée","OK")))))))))))))</f>
        <v/>
      </c>
      <c r="O3034" s="59" t="str">
        <f>IF(A3034="","",COUNTIF($A$6:A3034,A3034))</f>
        <v/>
      </c>
      <c r="P3034" s="62" t="str">
        <f>IF(A3034="","",A3034&amp;"|"&amp;O3034)</f>
        <v/>
      </c>
    </row>
    <row r="3035">
      <c r="A3035" s="60" t="n"/>
      <c r="B3035" s="63" t="n"/>
      <c r="C3035" s="63" t="n"/>
      <c r="D3035" s="67" t="n"/>
      <c r="E3035" s="68" t="n"/>
      <c r="F3035" s="69" t="n"/>
      <c r="G3035" s="70" t="n"/>
      <c r="H3035" s="62" t="str">
        <f>IF(COUNTA(A3035:G3035)=0,"",IF(C3035&lt;&gt;"",C3035,IF(B3035="","",IFERROR(INDEX(pr_des,MATCH(B3035,pr_code,0))&amp;"",""))))</f>
        <v/>
      </c>
      <c r="I3035" s="59" t="str">
        <f>IF(B3035="","",IFERROR(INDEX(pr_unit,MATCH(B3035,pr_code,0))&amp;"",""))</f>
        <v/>
      </c>
      <c r="J3035" s="65" t="str">
        <f>IF(COUNTA(A3035:G3035)=0,"",IF(E3035&lt;&gt;"",E3035,IF(B3035="","",IFERROR(IF(INDEX(pr_price,MATCH(B3035,pr_code,0))="","",INDEX(pr_price,MATCH(B3035,pr_code,0))),""))))</f>
        <v/>
      </c>
      <c r="K3035" s="71" t="str">
        <f>IF(COUNTA(A3035:G3035)=0,"",IF(G3035&lt;&gt;"",G3035,IF(B3035="","",IFERROR(IF(INDEX(pr_rate,MATCH(B3035,pr_code,0))="","",INDEX(pr_rate,MATCH(B3035,pr_code,0))),""))))</f>
        <v/>
      </c>
      <c r="L3035" s="65" t="str">
        <f>IF(COUNTA(A3035:G3035)=0,"",IF(AND(ISNUMBER(D3035),ISNUMBER(J3035)),ROUND(D3035*J3035*(1-N(F3035)),2),0))</f>
        <v/>
      </c>
      <c r="M3035" s="62" t="str">
        <f>IF(A3035="","",IFERROR(INDEX(fa_cname,MATCH(A3035,fa_num,0))&amp;"",""))</f>
        <v/>
      </c>
      <c r="N3035" s="59" t="str">
        <f>IF(COUNTA(A3035:G3035)=0,"",IF(A3035="","N° facture manquant",IF(ISNA(MATCH(A3035,fa_num,0)),"Facture inconnue",IF(AND(B3035&lt;&gt;"",ISNA(MATCH(B3035,pr_code,0))),"Article inconnu",IF(H3035="","Désignation manquante",IF(OR(NOT(ISNUMBER(D3035)),N(D3035)&lt;=0),"Quantité invalide",IF(J3035="","Prix manquant",IF(OR(NOT(ISNUMBER(J3035)),N(J3035)&lt;0),"Prix invalide",IF(OR(AND(F3035&lt;&gt;"",NOT(ISNUMBER(F3035))),N(F3035)&lt;0,N(F3035)&gt;1),"Remise invalide",IF(K3035="","Taux de TVA manquant",IF(NOT(ISNUMBER(K3035)),"Taux de TVA invalide",IF(COUNTIF(p_rates,K3035)=0,"Taux de TVA hors liste (Paramètres)",IF(N(O3035)&gt;25,"Au-delà de 25 lignes : non imprimée","OK")))))))))))))</f>
        <v/>
      </c>
      <c r="O3035" s="59" t="str">
        <f>IF(A3035="","",COUNTIF($A$6:A3035,A3035))</f>
        <v/>
      </c>
      <c r="P3035" s="62" t="str">
        <f>IF(A3035="","",A3035&amp;"|"&amp;O3035)</f>
        <v/>
      </c>
    </row>
    <row r="3036">
      <c r="A3036" s="60" t="n"/>
      <c r="B3036" s="63" t="n"/>
      <c r="C3036" s="63" t="n"/>
      <c r="D3036" s="67" t="n"/>
      <c r="E3036" s="68" t="n"/>
      <c r="F3036" s="69" t="n"/>
      <c r="G3036" s="70" t="n"/>
      <c r="H3036" s="62" t="str">
        <f>IF(COUNTA(A3036:G3036)=0,"",IF(C3036&lt;&gt;"",C3036,IF(B3036="","",IFERROR(INDEX(pr_des,MATCH(B3036,pr_code,0))&amp;"",""))))</f>
        <v/>
      </c>
      <c r="I3036" s="59" t="str">
        <f>IF(B3036="","",IFERROR(INDEX(pr_unit,MATCH(B3036,pr_code,0))&amp;"",""))</f>
        <v/>
      </c>
      <c r="J3036" s="65" t="str">
        <f>IF(COUNTA(A3036:G3036)=0,"",IF(E3036&lt;&gt;"",E3036,IF(B3036="","",IFERROR(IF(INDEX(pr_price,MATCH(B3036,pr_code,0))="","",INDEX(pr_price,MATCH(B3036,pr_code,0))),""))))</f>
        <v/>
      </c>
      <c r="K3036" s="71" t="str">
        <f>IF(COUNTA(A3036:G3036)=0,"",IF(G3036&lt;&gt;"",G3036,IF(B3036="","",IFERROR(IF(INDEX(pr_rate,MATCH(B3036,pr_code,0))="","",INDEX(pr_rate,MATCH(B3036,pr_code,0))),""))))</f>
        <v/>
      </c>
      <c r="L3036" s="65" t="str">
        <f>IF(COUNTA(A3036:G3036)=0,"",IF(AND(ISNUMBER(D3036),ISNUMBER(J3036)),ROUND(D3036*J3036*(1-N(F3036)),2),0))</f>
        <v/>
      </c>
      <c r="M3036" s="62" t="str">
        <f>IF(A3036="","",IFERROR(INDEX(fa_cname,MATCH(A3036,fa_num,0))&amp;"",""))</f>
        <v/>
      </c>
      <c r="N3036" s="59" t="str">
        <f>IF(COUNTA(A3036:G3036)=0,"",IF(A3036="","N° facture manquant",IF(ISNA(MATCH(A3036,fa_num,0)),"Facture inconnue",IF(AND(B3036&lt;&gt;"",ISNA(MATCH(B3036,pr_code,0))),"Article inconnu",IF(H3036="","Désignation manquante",IF(OR(NOT(ISNUMBER(D3036)),N(D3036)&lt;=0),"Quantité invalide",IF(J3036="","Prix manquant",IF(OR(NOT(ISNUMBER(J3036)),N(J3036)&lt;0),"Prix invalide",IF(OR(AND(F3036&lt;&gt;"",NOT(ISNUMBER(F3036))),N(F3036)&lt;0,N(F3036)&gt;1),"Remise invalide",IF(K3036="","Taux de TVA manquant",IF(NOT(ISNUMBER(K3036)),"Taux de TVA invalide",IF(COUNTIF(p_rates,K3036)=0,"Taux de TVA hors liste (Paramètres)",IF(N(O3036)&gt;25,"Au-delà de 25 lignes : non imprimée","OK")))))))))))))</f>
        <v/>
      </c>
      <c r="O3036" s="59" t="str">
        <f>IF(A3036="","",COUNTIF($A$6:A3036,A3036))</f>
        <v/>
      </c>
      <c r="P3036" s="62" t="str">
        <f>IF(A3036="","",A3036&amp;"|"&amp;O3036)</f>
        <v/>
      </c>
    </row>
    <row r="3037">
      <c r="A3037" s="60" t="n"/>
      <c r="B3037" s="63" t="n"/>
      <c r="C3037" s="63" t="n"/>
      <c r="D3037" s="67" t="n"/>
      <c r="E3037" s="68" t="n"/>
      <c r="F3037" s="69" t="n"/>
      <c r="G3037" s="70" t="n"/>
      <c r="H3037" s="62" t="str">
        <f>IF(COUNTA(A3037:G3037)=0,"",IF(C3037&lt;&gt;"",C3037,IF(B3037="","",IFERROR(INDEX(pr_des,MATCH(B3037,pr_code,0))&amp;"",""))))</f>
        <v/>
      </c>
      <c r="I3037" s="59" t="str">
        <f>IF(B3037="","",IFERROR(INDEX(pr_unit,MATCH(B3037,pr_code,0))&amp;"",""))</f>
        <v/>
      </c>
      <c r="J3037" s="65" t="str">
        <f>IF(COUNTA(A3037:G3037)=0,"",IF(E3037&lt;&gt;"",E3037,IF(B3037="","",IFERROR(IF(INDEX(pr_price,MATCH(B3037,pr_code,0))="","",INDEX(pr_price,MATCH(B3037,pr_code,0))),""))))</f>
        <v/>
      </c>
      <c r="K3037" s="71" t="str">
        <f>IF(COUNTA(A3037:G3037)=0,"",IF(G3037&lt;&gt;"",G3037,IF(B3037="","",IFERROR(IF(INDEX(pr_rate,MATCH(B3037,pr_code,0))="","",INDEX(pr_rate,MATCH(B3037,pr_code,0))),""))))</f>
        <v/>
      </c>
      <c r="L3037" s="65" t="str">
        <f>IF(COUNTA(A3037:G3037)=0,"",IF(AND(ISNUMBER(D3037),ISNUMBER(J3037)),ROUND(D3037*J3037*(1-N(F3037)),2),0))</f>
        <v/>
      </c>
      <c r="M3037" s="62" t="str">
        <f>IF(A3037="","",IFERROR(INDEX(fa_cname,MATCH(A3037,fa_num,0))&amp;"",""))</f>
        <v/>
      </c>
      <c r="N3037" s="59" t="str">
        <f>IF(COUNTA(A3037:G3037)=0,"",IF(A3037="","N° facture manquant",IF(ISNA(MATCH(A3037,fa_num,0)),"Facture inconnue",IF(AND(B3037&lt;&gt;"",ISNA(MATCH(B3037,pr_code,0))),"Article inconnu",IF(H3037="","Désignation manquante",IF(OR(NOT(ISNUMBER(D3037)),N(D3037)&lt;=0),"Quantité invalide",IF(J3037="","Prix manquant",IF(OR(NOT(ISNUMBER(J3037)),N(J3037)&lt;0),"Prix invalide",IF(OR(AND(F3037&lt;&gt;"",NOT(ISNUMBER(F3037))),N(F3037)&lt;0,N(F3037)&gt;1),"Remise invalide",IF(K3037="","Taux de TVA manquant",IF(NOT(ISNUMBER(K3037)),"Taux de TVA invalide",IF(COUNTIF(p_rates,K3037)=0,"Taux de TVA hors liste (Paramètres)",IF(N(O3037)&gt;25,"Au-delà de 25 lignes : non imprimée","OK")))))))))))))</f>
        <v/>
      </c>
      <c r="O3037" s="59" t="str">
        <f>IF(A3037="","",COUNTIF($A$6:A3037,A3037))</f>
        <v/>
      </c>
      <c r="P3037" s="62" t="str">
        <f>IF(A3037="","",A3037&amp;"|"&amp;O3037)</f>
        <v/>
      </c>
    </row>
    <row r="3038">
      <c r="A3038" s="60" t="n"/>
      <c r="B3038" s="63" t="n"/>
      <c r="C3038" s="63" t="n"/>
      <c r="D3038" s="67" t="n"/>
      <c r="E3038" s="68" t="n"/>
      <c r="F3038" s="69" t="n"/>
      <c r="G3038" s="70" t="n"/>
      <c r="H3038" s="62" t="str">
        <f>IF(COUNTA(A3038:G3038)=0,"",IF(C3038&lt;&gt;"",C3038,IF(B3038="","",IFERROR(INDEX(pr_des,MATCH(B3038,pr_code,0))&amp;"",""))))</f>
        <v/>
      </c>
      <c r="I3038" s="59" t="str">
        <f>IF(B3038="","",IFERROR(INDEX(pr_unit,MATCH(B3038,pr_code,0))&amp;"",""))</f>
        <v/>
      </c>
      <c r="J3038" s="65" t="str">
        <f>IF(COUNTA(A3038:G3038)=0,"",IF(E3038&lt;&gt;"",E3038,IF(B3038="","",IFERROR(IF(INDEX(pr_price,MATCH(B3038,pr_code,0))="","",INDEX(pr_price,MATCH(B3038,pr_code,0))),""))))</f>
        <v/>
      </c>
      <c r="K3038" s="71" t="str">
        <f>IF(COUNTA(A3038:G3038)=0,"",IF(G3038&lt;&gt;"",G3038,IF(B3038="","",IFERROR(IF(INDEX(pr_rate,MATCH(B3038,pr_code,0))="","",INDEX(pr_rate,MATCH(B3038,pr_code,0))),""))))</f>
        <v/>
      </c>
      <c r="L3038" s="65" t="str">
        <f>IF(COUNTA(A3038:G3038)=0,"",IF(AND(ISNUMBER(D3038),ISNUMBER(J3038)),ROUND(D3038*J3038*(1-N(F3038)),2),0))</f>
        <v/>
      </c>
      <c r="M3038" s="62" t="str">
        <f>IF(A3038="","",IFERROR(INDEX(fa_cname,MATCH(A3038,fa_num,0))&amp;"",""))</f>
        <v/>
      </c>
      <c r="N3038" s="59" t="str">
        <f>IF(COUNTA(A3038:G3038)=0,"",IF(A3038="","N° facture manquant",IF(ISNA(MATCH(A3038,fa_num,0)),"Facture inconnue",IF(AND(B3038&lt;&gt;"",ISNA(MATCH(B3038,pr_code,0))),"Article inconnu",IF(H3038="","Désignation manquante",IF(OR(NOT(ISNUMBER(D3038)),N(D3038)&lt;=0),"Quantité invalide",IF(J3038="","Prix manquant",IF(OR(NOT(ISNUMBER(J3038)),N(J3038)&lt;0),"Prix invalide",IF(OR(AND(F3038&lt;&gt;"",NOT(ISNUMBER(F3038))),N(F3038)&lt;0,N(F3038)&gt;1),"Remise invalide",IF(K3038="","Taux de TVA manquant",IF(NOT(ISNUMBER(K3038)),"Taux de TVA invalide",IF(COUNTIF(p_rates,K3038)=0,"Taux de TVA hors liste (Paramètres)",IF(N(O3038)&gt;25,"Au-delà de 25 lignes : non imprimée","OK")))))))))))))</f>
        <v/>
      </c>
      <c r="O3038" s="59" t="str">
        <f>IF(A3038="","",COUNTIF($A$6:A3038,A3038))</f>
        <v/>
      </c>
      <c r="P3038" s="62" t="str">
        <f>IF(A3038="","",A3038&amp;"|"&amp;O3038)</f>
        <v/>
      </c>
    </row>
    <row r="3039">
      <c r="A3039" s="60" t="n"/>
      <c r="B3039" s="63" t="n"/>
      <c r="C3039" s="63" t="n"/>
      <c r="D3039" s="67" t="n"/>
      <c r="E3039" s="68" t="n"/>
      <c r="F3039" s="69" t="n"/>
      <c r="G3039" s="70" t="n"/>
      <c r="H3039" s="62" t="str">
        <f>IF(COUNTA(A3039:G3039)=0,"",IF(C3039&lt;&gt;"",C3039,IF(B3039="","",IFERROR(INDEX(pr_des,MATCH(B3039,pr_code,0))&amp;"",""))))</f>
        <v/>
      </c>
      <c r="I3039" s="59" t="str">
        <f>IF(B3039="","",IFERROR(INDEX(pr_unit,MATCH(B3039,pr_code,0))&amp;"",""))</f>
        <v/>
      </c>
      <c r="J3039" s="65" t="str">
        <f>IF(COUNTA(A3039:G3039)=0,"",IF(E3039&lt;&gt;"",E3039,IF(B3039="","",IFERROR(IF(INDEX(pr_price,MATCH(B3039,pr_code,0))="","",INDEX(pr_price,MATCH(B3039,pr_code,0))),""))))</f>
        <v/>
      </c>
      <c r="K3039" s="71" t="str">
        <f>IF(COUNTA(A3039:G3039)=0,"",IF(G3039&lt;&gt;"",G3039,IF(B3039="","",IFERROR(IF(INDEX(pr_rate,MATCH(B3039,pr_code,0))="","",INDEX(pr_rate,MATCH(B3039,pr_code,0))),""))))</f>
        <v/>
      </c>
      <c r="L3039" s="65" t="str">
        <f>IF(COUNTA(A3039:G3039)=0,"",IF(AND(ISNUMBER(D3039),ISNUMBER(J3039)),ROUND(D3039*J3039*(1-N(F3039)),2),0))</f>
        <v/>
      </c>
      <c r="M3039" s="62" t="str">
        <f>IF(A3039="","",IFERROR(INDEX(fa_cname,MATCH(A3039,fa_num,0))&amp;"",""))</f>
        <v/>
      </c>
      <c r="N3039" s="59" t="str">
        <f>IF(COUNTA(A3039:G3039)=0,"",IF(A3039="","N° facture manquant",IF(ISNA(MATCH(A3039,fa_num,0)),"Facture inconnue",IF(AND(B3039&lt;&gt;"",ISNA(MATCH(B3039,pr_code,0))),"Article inconnu",IF(H3039="","Désignation manquante",IF(OR(NOT(ISNUMBER(D3039)),N(D3039)&lt;=0),"Quantité invalide",IF(J3039="","Prix manquant",IF(OR(NOT(ISNUMBER(J3039)),N(J3039)&lt;0),"Prix invalide",IF(OR(AND(F3039&lt;&gt;"",NOT(ISNUMBER(F3039))),N(F3039)&lt;0,N(F3039)&gt;1),"Remise invalide",IF(K3039="","Taux de TVA manquant",IF(NOT(ISNUMBER(K3039)),"Taux de TVA invalide",IF(COUNTIF(p_rates,K3039)=0,"Taux de TVA hors liste (Paramètres)",IF(N(O3039)&gt;25,"Au-delà de 25 lignes : non imprimée","OK")))))))))))))</f>
        <v/>
      </c>
      <c r="O3039" s="59" t="str">
        <f>IF(A3039="","",COUNTIF($A$6:A3039,A3039))</f>
        <v/>
      </c>
      <c r="P3039" s="62" t="str">
        <f>IF(A3039="","",A3039&amp;"|"&amp;O3039)</f>
        <v/>
      </c>
    </row>
    <row r="3040">
      <c r="A3040" s="60" t="n"/>
      <c r="B3040" s="63" t="n"/>
      <c r="C3040" s="63" t="n"/>
      <c r="D3040" s="67" t="n"/>
      <c r="E3040" s="68" t="n"/>
      <c r="F3040" s="69" t="n"/>
      <c r="G3040" s="70" t="n"/>
      <c r="H3040" s="62" t="str">
        <f>IF(COUNTA(A3040:G3040)=0,"",IF(C3040&lt;&gt;"",C3040,IF(B3040="","",IFERROR(INDEX(pr_des,MATCH(B3040,pr_code,0))&amp;"",""))))</f>
        <v/>
      </c>
      <c r="I3040" s="59" t="str">
        <f>IF(B3040="","",IFERROR(INDEX(pr_unit,MATCH(B3040,pr_code,0))&amp;"",""))</f>
        <v/>
      </c>
      <c r="J3040" s="65" t="str">
        <f>IF(COUNTA(A3040:G3040)=0,"",IF(E3040&lt;&gt;"",E3040,IF(B3040="","",IFERROR(IF(INDEX(pr_price,MATCH(B3040,pr_code,0))="","",INDEX(pr_price,MATCH(B3040,pr_code,0))),""))))</f>
        <v/>
      </c>
      <c r="K3040" s="71" t="str">
        <f>IF(COUNTA(A3040:G3040)=0,"",IF(G3040&lt;&gt;"",G3040,IF(B3040="","",IFERROR(IF(INDEX(pr_rate,MATCH(B3040,pr_code,0))="","",INDEX(pr_rate,MATCH(B3040,pr_code,0))),""))))</f>
        <v/>
      </c>
      <c r="L3040" s="65" t="str">
        <f>IF(COUNTA(A3040:G3040)=0,"",IF(AND(ISNUMBER(D3040),ISNUMBER(J3040)),ROUND(D3040*J3040*(1-N(F3040)),2),0))</f>
        <v/>
      </c>
      <c r="M3040" s="62" t="str">
        <f>IF(A3040="","",IFERROR(INDEX(fa_cname,MATCH(A3040,fa_num,0))&amp;"",""))</f>
        <v/>
      </c>
      <c r="N3040" s="59" t="str">
        <f>IF(COUNTA(A3040:G3040)=0,"",IF(A3040="","N° facture manquant",IF(ISNA(MATCH(A3040,fa_num,0)),"Facture inconnue",IF(AND(B3040&lt;&gt;"",ISNA(MATCH(B3040,pr_code,0))),"Article inconnu",IF(H3040="","Désignation manquante",IF(OR(NOT(ISNUMBER(D3040)),N(D3040)&lt;=0),"Quantité invalide",IF(J3040="","Prix manquant",IF(OR(NOT(ISNUMBER(J3040)),N(J3040)&lt;0),"Prix invalide",IF(OR(AND(F3040&lt;&gt;"",NOT(ISNUMBER(F3040))),N(F3040)&lt;0,N(F3040)&gt;1),"Remise invalide",IF(K3040="","Taux de TVA manquant",IF(NOT(ISNUMBER(K3040)),"Taux de TVA invalide",IF(COUNTIF(p_rates,K3040)=0,"Taux de TVA hors liste (Paramètres)",IF(N(O3040)&gt;25,"Au-delà de 25 lignes : non imprimée","OK")))))))))))))</f>
        <v/>
      </c>
      <c r="O3040" s="59" t="str">
        <f>IF(A3040="","",COUNTIF($A$6:A3040,A3040))</f>
        <v/>
      </c>
      <c r="P3040" s="62" t="str">
        <f>IF(A3040="","",A3040&amp;"|"&amp;O3040)</f>
        <v/>
      </c>
    </row>
    <row r="3041">
      <c r="A3041" s="60" t="n"/>
      <c r="B3041" s="63" t="n"/>
      <c r="C3041" s="63" t="n"/>
      <c r="D3041" s="67" t="n"/>
      <c r="E3041" s="68" t="n"/>
      <c r="F3041" s="69" t="n"/>
      <c r="G3041" s="70" t="n"/>
      <c r="H3041" s="62" t="str">
        <f>IF(COUNTA(A3041:G3041)=0,"",IF(C3041&lt;&gt;"",C3041,IF(B3041="","",IFERROR(INDEX(pr_des,MATCH(B3041,pr_code,0))&amp;"",""))))</f>
        <v/>
      </c>
      <c r="I3041" s="59" t="str">
        <f>IF(B3041="","",IFERROR(INDEX(pr_unit,MATCH(B3041,pr_code,0))&amp;"",""))</f>
        <v/>
      </c>
      <c r="J3041" s="65" t="str">
        <f>IF(COUNTA(A3041:G3041)=0,"",IF(E3041&lt;&gt;"",E3041,IF(B3041="","",IFERROR(IF(INDEX(pr_price,MATCH(B3041,pr_code,0))="","",INDEX(pr_price,MATCH(B3041,pr_code,0))),""))))</f>
        <v/>
      </c>
      <c r="K3041" s="71" t="str">
        <f>IF(COUNTA(A3041:G3041)=0,"",IF(G3041&lt;&gt;"",G3041,IF(B3041="","",IFERROR(IF(INDEX(pr_rate,MATCH(B3041,pr_code,0))="","",INDEX(pr_rate,MATCH(B3041,pr_code,0))),""))))</f>
        <v/>
      </c>
      <c r="L3041" s="65" t="str">
        <f>IF(COUNTA(A3041:G3041)=0,"",IF(AND(ISNUMBER(D3041),ISNUMBER(J3041)),ROUND(D3041*J3041*(1-N(F3041)),2),0))</f>
        <v/>
      </c>
      <c r="M3041" s="62" t="str">
        <f>IF(A3041="","",IFERROR(INDEX(fa_cname,MATCH(A3041,fa_num,0))&amp;"",""))</f>
        <v/>
      </c>
      <c r="N3041" s="59" t="str">
        <f>IF(COUNTA(A3041:G3041)=0,"",IF(A3041="","N° facture manquant",IF(ISNA(MATCH(A3041,fa_num,0)),"Facture inconnue",IF(AND(B3041&lt;&gt;"",ISNA(MATCH(B3041,pr_code,0))),"Article inconnu",IF(H3041="","Désignation manquante",IF(OR(NOT(ISNUMBER(D3041)),N(D3041)&lt;=0),"Quantité invalide",IF(J3041="","Prix manquant",IF(OR(NOT(ISNUMBER(J3041)),N(J3041)&lt;0),"Prix invalide",IF(OR(AND(F3041&lt;&gt;"",NOT(ISNUMBER(F3041))),N(F3041)&lt;0,N(F3041)&gt;1),"Remise invalide",IF(K3041="","Taux de TVA manquant",IF(NOT(ISNUMBER(K3041)),"Taux de TVA invalide",IF(COUNTIF(p_rates,K3041)=0,"Taux de TVA hors liste (Paramètres)",IF(N(O3041)&gt;25,"Au-delà de 25 lignes : non imprimée","OK")))))))))))))</f>
        <v/>
      </c>
      <c r="O3041" s="59" t="str">
        <f>IF(A3041="","",COUNTIF($A$6:A3041,A3041))</f>
        <v/>
      </c>
      <c r="P3041" s="62" t="str">
        <f>IF(A3041="","",A3041&amp;"|"&amp;O3041)</f>
        <v/>
      </c>
    </row>
    <row r="3042">
      <c r="A3042" s="60" t="n"/>
      <c r="B3042" s="63" t="n"/>
      <c r="C3042" s="63" t="n"/>
      <c r="D3042" s="67" t="n"/>
      <c r="E3042" s="68" t="n"/>
      <c r="F3042" s="69" t="n"/>
      <c r="G3042" s="70" t="n"/>
      <c r="H3042" s="62" t="str">
        <f>IF(COUNTA(A3042:G3042)=0,"",IF(C3042&lt;&gt;"",C3042,IF(B3042="","",IFERROR(INDEX(pr_des,MATCH(B3042,pr_code,0))&amp;"",""))))</f>
        <v/>
      </c>
      <c r="I3042" s="59" t="str">
        <f>IF(B3042="","",IFERROR(INDEX(pr_unit,MATCH(B3042,pr_code,0))&amp;"",""))</f>
        <v/>
      </c>
      <c r="J3042" s="65" t="str">
        <f>IF(COUNTA(A3042:G3042)=0,"",IF(E3042&lt;&gt;"",E3042,IF(B3042="","",IFERROR(IF(INDEX(pr_price,MATCH(B3042,pr_code,0))="","",INDEX(pr_price,MATCH(B3042,pr_code,0))),""))))</f>
        <v/>
      </c>
      <c r="K3042" s="71" t="str">
        <f>IF(COUNTA(A3042:G3042)=0,"",IF(G3042&lt;&gt;"",G3042,IF(B3042="","",IFERROR(IF(INDEX(pr_rate,MATCH(B3042,pr_code,0))="","",INDEX(pr_rate,MATCH(B3042,pr_code,0))),""))))</f>
        <v/>
      </c>
      <c r="L3042" s="65" t="str">
        <f>IF(COUNTA(A3042:G3042)=0,"",IF(AND(ISNUMBER(D3042),ISNUMBER(J3042)),ROUND(D3042*J3042*(1-N(F3042)),2),0))</f>
        <v/>
      </c>
      <c r="M3042" s="62" t="str">
        <f>IF(A3042="","",IFERROR(INDEX(fa_cname,MATCH(A3042,fa_num,0))&amp;"",""))</f>
        <v/>
      </c>
      <c r="N3042" s="59" t="str">
        <f>IF(COUNTA(A3042:G3042)=0,"",IF(A3042="","N° facture manquant",IF(ISNA(MATCH(A3042,fa_num,0)),"Facture inconnue",IF(AND(B3042&lt;&gt;"",ISNA(MATCH(B3042,pr_code,0))),"Article inconnu",IF(H3042="","Désignation manquante",IF(OR(NOT(ISNUMBER(D3042)),N(D3042)&lt;=0),"Quantité invalide",IF(J3042="","Prix manquant",IF(OR(NOT(ISNUMBER(J3042)),N(J3042)&lt;0),"Prix invalide",IF(OR(AND(F3042&lt;&gt;"",NOT(ISNUMBER(F3042))),N(F3042)&lt;0,N(F3042)&gt;1),"Remise invalide",IF(K3042="","Taux de TVA manquant",IF(NOT(ISNUMBER(K3042)),"Taux de TVA invalide",IF(COUNTIF(p_rates,K3042)=0,"Taux de TVA hors liste (Paramètres)",IF(N(O3042)&gt;25,"Au-delà de 25 lignes : non imprimée","OK")))))))))))))</f>
        <v/>
      </c>
      <c r="O3042" s="59" t="str">
        <f>IF(A3042="","",COUNTIF($A$6:A3042,A3042))</f>
        <v/>
      </c>
      <c r="P3042" s="62" t="str">
        <f>IF(A3042="","",A3042&amp;"|"&amp;O3042)</f>
        <v/>
      </c>
    </row>
    <row r="3043">
      <c r="A3043" s="60" t="n"/>
      <c r="B3043" s="63" t="n"/>
      <c r="C3043" s="63" t="n"/>
      <c r="D3043" s="67" t="n"/>
      <c r="E3043" s="68" t="n"/>
      <c r="F3043" s="69" t="n"/>
      <c r="G3043" s="70" t="n"/>
      <c r="H3043" s="62" t="str">
        <f>IF(COUNTA(A3043:G3043)=0,"",IF(C3043&lt;&gt;"",C3043,IF(B3043="","",IFERROR(INDEX(pr_des,MATCH(B3043,pr_code,0))&amp;"",""))))</f>
        <v/>
      </c>
      <c r="I3043" s="59" t="str">
        <f>IF(B3043="","",IFERROR(INDEX(pr_unit,MATCH(B3043,pr_code,0))&amp;"",""))</f>
        <v/>
      </c>
      <c r="J3043" s="65" t="str">
        <f>IF(COUNTA(A3043:G3043)=0,"",IF(E3043&lt;&gt;"",E3043,IF(B3043="","",IFERROR(IF(INDEX(pr_price,MATCH(B3043,pr_code,0))="","",INDEX(pr_price,MATCH(B3043,pr_code,0))),""))))</f>
        <v/>
      </c>
      <c r="K3043" s="71" t="str">
        <f>IF(COUNTA(A3043:G3043)=0,"",IF(G3043&lt;&gt;"",G3043,IF(B3043="","",IFERROR(IF(INDEX(pr_rate,MATCH(B3043,pr_code,0))="","",INDEX(pr_rate,MATCH(B3043,pr_code,0))),""))))</f>
        <v/>
      </c>
      <c r="L3043" s="65" t="str">
        <f>IF(COUNTA(A3043:G3043)=0,"",IF(AND(ISNUMBER(D3043),ISNUMBER(J3043)),ROUND(D3043*J3043*(1-N(F3043)),2),0))</f>
        <v/>
      </c>
      <c r="M3043" s="62" t="str">
        <f>IF(A3043="","",IFERROR(INDEX(fa_cname,MATCH(A3043,fa_num,0))&amp;"",""))</f>
        <v/>
      </c>
      <c r="N3043" s="59" t="str">
        <f>IF(COUNTA(A3043:G3043)=0,"",IF(A3043="","N° facture manquant",IF(ISNA(MATCH(A3043,fa_num,0)),"Facture inconnue",IF(AND(B3043&lt;&gt;"",ISNA(MATCH(B3043,pr_code,0))),"Article inconnu",IF(H3043="","Désignation manquante",IF(OR(NOT(ISNUMBER(D3043)),N(D3043)&lt;=0),"Quantité invalide",IF(J3043="","Prix manquant",IF(OR(NOT(ISNUMBER(J3043)),N(J3043)&lt;0),"Prix invalide",IF(OR(AND(F3043&lt;&gt;"",NOT(ISNUMBER(F3043))),N(F3043)&lt;0,N(F3043)&gt;1),"Remise invalide",IF(K3043="","Taux de TVA manquant",IF(NOT(ISNUMBER(K3043)),"Taux de TVA invalide",IF(COUNTIF(p_rates,K3043)=0,"Taux de TVA hors liste (Paramètres)",IF(N(O3043)&gt;25,"Au-delà de 25 lignes : non imprimée","OK")))))))))))))</f>
        <v/>
      </c>
      <c r="O3043" s="59" t="str">
        <f>IF(A3043="","",COUNTIF($A$6:A3043,A3043))</f>
        <v/>
      </c>
      <c r="P3043" s="62" t="str">
        <f>IF(A3043="","",A3043&amp;"|"&amp;O3043)</f>
        <v/>
      </c>
    </row>
    <row r="3044">
      <c r="A3044" s="60" t="n"/>
      <c r="B3044" s="63" t="n"/>
      <c r="C3044" s="63" t="n"/>
      <c r="D3044" s="67" t="n"/>
      <c r="E3044" s="68" t="n"/>
      <c r="F3044" s="69" t="n"/>
      <c r="G3044" s="70" t="n"/>
      <c r="H3044" s="62" t="str">
        <f>IF(COUNTA(A3044:G3044)=0,"",IF(C3044&lt;&gt;"",C3044,IF(B3044="","",IFERROR(INDEX(pr_des,MATCH(B3044,pr_code,0))&amp;"",""))))</f>
        <v/>
      </c>
      <c r="I3044" s="59" t="str">
        <f>IF(B3044="","",IFERROR(INDEX(pr_unit,MATCH(B3044,pr_code,0))&amp;"",""))</f>
        <v/>
      </c>
      <c r="J3044" s="65" t="str">
        <f>IF(COUNTA(A3044:G3044)=0,"",IF(E3044&lt;&gt;"",E3044,IF(B3044="","",IFERROR(IF(INDEX(pr_price,MATCH(B3044,pr_code,0))="","",INDEX(pr_price,MATCH(B3044,pr_code,0))),""))))</f>
        <v/>
      </c>
      <c r="K3044" s="71" t="str">
        <f>IF(COUNTA(A3044:G3044)=0,"",IF(G3044&lt;&gt;"",G3044,IF(B3044="","",IFERROR(IF(INDEX(pr_rate,MATCH(B3044,pr_code,0))="","",INDEX(pr_rate,MATCH(B3044,pr_code,0))),""))))</f>
        <v/>
      </c>
      <c r="L3044" s="65" t="str">
        <f>IF(COUNTA(A3044:G3044)=0,"",IF(AND(ISNUMBER(D3044),ISNUMBER(J3044)),ROUND(D3044*J3044*(1-N(F3044)),2),0))</f>
        <v/>
      </c>
      <c r="M3044" s="62" t="str">
        <f>IF(A3044="","",IFERROR(INDEX(fa_cname,MATCH(A3044,fa_num,0))&amp;"",""))</f>
        <v/>
      </c>
      <c r="N3044" s="59" t="str">
        <f>IF(COUNTA(A3044:G3044)=0,"",IF(A3044="","N° facture manquant",IF(ISNA(MATCH(A3044,fa_num,0)),"Facture inconnue",IF(AND(B3044&lt;&gt;"",ISNA(MATCH(B3044,pr_code,0))),"Article inconnu",IF(H3044="","Désignation manquante",IF(OR(NOT(ISNUMBER(D3044)),N(D3044)&lt;=0),"Quantité invalide",IF(J3044="","Prix manquant",IF(OR(NOT(ISNUMBER(J3044)),N(J3044)&lt;0),"Prix invalide",IF(OR(AND(F3044&lt;&gt;"",NOT(ISNUMBER(F3044))),N(F3044)&lt;0,N(F3044)&gt;1),"Remise invalide",IF(K3044="","Taux de TVA manquant",IF(NOT(ISNUMBER(K3044)),"Taux de TVA invalide",IF(COUNTIF(p_rates,K3044)=0,"Taux de TVA hors liste (Paramètres)",IF(N(O3044)&gt;25,"Au-delà de 25 lignes : non imprimée","OK")))))))))))))</f>
        <v/>
      </c>
      <c r="O3044" s="59" t="str">
        <f>IF(A3044="","",COUNTIF($A$6:A3044,A3044))</f>
        <v/>
      </c>
      <c r="P3044" s="62" t="str">
        <f>IF(A3044="","",A3044&amp;"|"&amp;O3044)</f>
        <v/>
      </c>
    </row>
    <row r="3045">
      <c r="A3045" s="60" t="n"/>
      <c r="B3045" s="63" t="n"/>
      <c r="C3045" s="63" t="n"/>
      <c r="D3045" s="67" t="n"/>
      <c r="E3045" s="68" t="n"/>
      <c r="F3045" s="69" t="n"/>
      <c r="G3045" s="70" t="n"/>
      <c r="H3045" s="62" t="str">
        <f>IF(COUNTA(A3045:G3045)=0,"",IF(C3045&lt;&gt;"",C3045,IF(B3045="","",IFERROR(INDEX(pr_des,MATCH(B3045,pr_code,0))&amp;"",""))))</f>
        <v/>
      </c>
      <c r="I3045" s="59" t="str">
        <f>IF(B3045="","",IFERROR(INDEX(pr_unit,MATCH(B3045,pr_code,0))&amp;"",""))</f>
        <v/>
      </c>
      <c r="J3045" s="65" t="str">
        <f>IF(COUNTA(A3045:G3045)=0,"",IF(E3045&lt;&gt;"",E3045,IF(B3045="","",IFERROR(IF(INDEX(pr_price,MATCH(B3045,pr_code,0))="","",INDEX(pr_price,MATCH(B3045,pr_code,0))),""))))</f>
        <v/>
      </c>
      <c r="K3045" s="71" t="str">
        <f>IF(COUNTA(A3045:G3045)=0,"",IF(G3045&lt;&gt;"",G3045,IF(B3045="","",IFERROR(IF(INDEX(pr_rate,MATCH(B3045,pr_code,0))="","",INDEX(pr_rate,MATCH(B3045,pr_code,0))),""))))</f>
        <v/>
      </c>
      <c r="L3045" s="65" t="str">
        <f>IF(COUNTA(A3045:G3045)=0,"",IF(AND(ISNUMBER(D3045),ISNUMBER(J3045)),ROUND(D3045*J3045*(1-N(F3045)),2),0))</f>
        <v/>
      </c>
      <c r="M3045" s="62" t="str">
        <f>IF(A3045="","",IFERROR(INDEX(fa_cname,MATCH(A3045,fa_num,0))&amp;"",""))</f>
        <v/>
      </c>
      <c r="N3045" s="59" t="str">
        <f>IF(COUNTA(A3045:G3045)=0,"",IF(A3045="","N° facture manquant",IF(ISNA(MATCH(A3045,fa_num,0)),"Facture inconnue",IF(AND(B3045&lt;&gt;"",ISNA(MATCH(B3045,pr_code,0))),"Article inconnu",IF(H3045="","Désignation manquante",IF(OR(NOT(ISNUMBER(D3045)),N(D3045)&lt;=0),"Quantité invalide",IF(J3045="","Prix manquant",IF(OR(NOT(ISNUMBER(J3045)),N(J3045)&lt;0),"Prix invalide",IF(OR(AND(F3045&lt;&gt;"",NOT(ISNUMBER(F3045))),N(F3045)&lt;0,N(F3045)&gt;1),"Remise invalide",IF(K3045="","Taux de TVA manquant",IF(NOT(ISNUMBER(K3045)),"Taux de TVA invalide",IF(COUNTIF(p_rates,K3045)=0,"Taux de TVA hors liste (Paramètres)",IF(N(O3045)&gt;25,"Au-delà de 25 lignes : non imprimée","OK")))))))))))))</f>
        <v/>
      </c>
      <c r="O3045" s="59" t="str">
        <f>IF(A3045="","",COUNTIF($A$6:A3045,A3045))</f>
        <v/>
      </c>
      <c r="P3045" s="62" t="str">
        <f>IF(A3045="","",A3045&amp;"|"&amp;O3045)</f>
        <v/>
      </c>
    </row>
    <row r="3046">
      <c r="A3046" s="60" t="n"/>
      <c r="B3046" s="63" t="n"/>
      <c r="C3046" s="63" t="n"/>
      <c r="D3046" s="67" t="n"/>
      <c r="E3046" s="68" t="n"/>
      <c r="F3046" s="69" t="n"/>
      <c r="G3046" s="70" t="n"/>
      <c r="H3046" s="62" t="str">
        <f>IF(COUNTA(A3046:G3046)=0,"",IF(C3046&lt;&gt;"",C3046,IF(B3046="","",IFERROR(INDEX(pr_des,MATCH(B3046,pr_code,0))&amp;"",""))))</f>
        <v/>
      </c>
      <c r="I3046" s="59" t="str">
        <f>IF(B3046="","",IFERROR(INDEX(pr_unit,MATCH(B3046,pr_code,0))&amp;"",""))</f>
        <v/>
      </c>
      <c r="J3046" s="65" t="str">
        <f>IF(COUNTA(A3046:G3046)=0,"",IF(E3046&lt;&gt;"",E3046,IF(B3046="","",IFERROR(IF(INDEX(pr_price,MATCH(B3046,pr_code,0))="","",INDEX(pr_price,MATCH(B3046,pr_code,0))),""))))</f>
        <v/>
      </c>
      <c r="K3046" s="71" t="str">
        <f>IF(COUNTA(A3046:G3046)=0,"",IF(G3046&lt;&gt;"",G3046,IF(B3046="","",IFERROR(IF(INDEX(pr_rate,MATCH(B3046,pr_code,0))="","",INDEX(pr_rate,MATCH(B3046,pr_code,0))),""))))</f>
        <v/>
      </c>
      <c r="L3046" s="65" t="str">
        <f>IF(COUNTA(A3046:G3046)=0,"",IF(AND(ISNUMBER(D3046),ISNUMBER(J3046)),ROUND(D3046*J3046*(1-N(F3046)),2),0))</f>
        <v/>
      </c>
      <c r="M3046" s="62" t="str">
        <f>IF(A3046="","",IFERROR(INDEX(fa_cname,MATCH(A3046,fa_num,0))&amp;"",""))</f>
        <v/>
      </c>
      <c r="N3046" s="59" t="str">
        <f>IF(COUNTA(A3046:G3046)=0,"",IF(A3046="","N° facture manquant",IF(ISNA(MATCH(A3046,fa_num,0)),"Facture inconnue",IF(AND(B3046&lt;&gt;"",ISNA(MATCH(B3046,pr_code,0))),"Article inconnu",IF(H3046="","Désignation manquante",IF(OR(NOT(ISNUMBER(D3046)),N(D3046)&lt;=0),"Quantité invalide",IF(J3046="","Prix manquant",IF(OR(NOT(ISNUMBER(J3046)),N(J3046)&lt;0),"Prix invalide",IF(OR(AND(F3046&lt;&gt;"",NOT(ISNUMBER(F3046))),N(F3046)&lt;0,N(F3046)&gt;1),"Remise invalide",IF(K3046="","Taux de TVA manquant",IF(NOT(ISNUMBER(K3046)),"Taux de TVA invalide",IF(COUNTIF(p_rates,K3046)=0,"Taux de TVA hors liste (Paramètres)",IF(N(O3046)&gt;25,"Au-delà de 25 lignes : non imprimée","OK")))))))))))))</f>
        <v/>
      </c>
      <c r="O3046" s="59" t="str">
        <f>IF(A3046="","",COUNTIF($A$6:A3046,A3046))</f>
        <v/>
      </c>
      <c r="P3046" s="62" t="str">
        <f>IF(A3046="","",A3046&amp;"|"&amp;O3046)</f>
        <v/>
      </c>
    </row>
    <row r="3047">
      <c r="A3047" s="60" t="n"/>
      <c r="B3047" s="63" t="n"/>
      <c r="C3047" s="63" t="n"/>
      <c r="D3047" s="67" t="n"/>
      <c r="E3047" s="68" t="n"/>
      <c r="F3047" s="69" t="n"/>
      <c r="G3047" s="70" t="n"/>
      <c r="H3047" s="62" t="str">
        <f>IF(COUNTA(A3047:G3047)=0,"",IF(C3047&lt;&gt;"",C3047,IF(B3047="","",IFERROR(INDEX(pr_des,MATCH(B3047,pr_code,0))&amp;"",""))))</f>
        <v/>
      </c>
      <c r="I3047" s="59" t="str">
        <f>IF(B3047="","",IFERROR(INDEX(pr_unit,MATCH(B3047,pr_code,0))&amp;"",""))</f>
        <v/>
      </c>
      <c r="J3047" s="65" t="str">
        <f>IF(COUNTA(A3047:G3047)=0,"",IF(E3047&lt;&gt;"",E3047,IF(B3047="","",IFERROR(IF(INDEX(pr_price,MATCH(B3047,pr_code,0))="","",INDEX(pr_price,MATCH(B3047,pr_code,0))),""))))</f>
        <v/>
      </c>
      <c r="K3047" s="71" t="str">
        <f>IF(COUNTA(A3047:G3047)=0,"",IF(G3047&lt;&gt;"",G3047,IF(B3047="","",IFERROR(IF(INDEX(pr_rate,MATCH(B3047,pr_code,0))="","",INDEX(pr_rate,MATCH(B3047,pr_code,0))),""))))</f>
        <v/>
      </c>
      <c r="L3047" s="65" t="str">
        <f>IF(COUNTA(A3047:G3047)=0,"",IF(AND(ISNUMBER(D3047),ISNUMBER(J3047)),ROUND(D3047*J3047*(1-N(F3047)),2),0))</f>
        <v/>
      </c>
      <c r="M3047" s="62" t="str">
        <f>IF(A3047="","",IFERROR(INDEX(fa_cname,MATCH(A3047,fa_num,0))&amp;"",""))</f>
        <v/>
      </c>
      <c r="N3047" s="59" t="str">
        <f>IF(COUNTA(A3047:G3047)=0,"",IF(A3047="","N° facture manquant",IF(ISNA(MATCH(A3047,fa_num,0)),"Facture inconnue",IF(AND(B3047&lt;&gt;"",ISNA(MATCH(B3047,pr_code,0))),"Article inconnu",IF(H3047="","Désignation manquante",IF(OR(NOT(ISNUMBER(D3047)),N(D3047)&lt;=0),"Quantité invalide",IF(J3047="","Prix manquant",IF(OR(NOT(ISNUMBER(J3047)),N(J3047)&lt;0),"Prix invalide",IF(OR(AND(F3047&lt;&gt;"",NOT(ISNUMBER(F3047))),N(F3047)&lt;0,N(F3047)&gt;1),"Remise invalide",IF(K3047="","Taux de TVA manquant",IF(NOT(ISNUMBER(K3047)),"Taux de TVA invalide",IF(COUNTIF(p_rates,K3047)=0,"Taux de TVA hors liste (Paramètres)",IF(N(O3047)&gt;25,"Au-delà de 25 lignes : non imprimée","OK")))))))))))))</f>
        <v/>
      </c>
      <c r="O3047" s="59" t="str">
        <f>IF(A3047="","",COUNTIF($A$6:A3047,A3047))</f>
        <v/>
      </c>
      <c r="P3047" s="62" t="str">
        <f>IF(A3047="","",A3047&amp;"|"&amp;O3047)</f>
        <v/>
      </c>
    </row>
    <row r="3048">
      <c r="A3048" s="60" t="n"/>
      <c r="B3048" s="63" t="n"/>
      <c r="C3048" s="63" t="n"/>
      <c r="D3048" s="67" t="n"/>
      <c r="E3048" s="68" t="n"/>
      <c r="F3048" s="69" t="n"/>
      <c r="G3048" s="70" t="n"/>
      <c r="H3048" s="62" t="str">
        <f>IF(COUNTA(A3048:G3048)=0,"",IF(C3048&lt;&gt;"",C3048,IF(B3048="","",IFERROR(INDEX(pr_des,MATCH(B3048,pr_code,0))&amp;"",""))))</f>
        <v/>
      </c>
      <c r="I3048" s="59" t="str">
        <f>IF(B3048="","",IFERROR(INDEX(pr_unit,MATCH(B3048,pr_code,0))&amp;"",""))</f>
        <v/>
      </c>
      <c r="J3048" s="65" t="str">
        <f>IF(COUNTA(A3048:G3048)=0,"",IF(E3048&lt;&gt;"",E3048,IF(B3048="","",IFERROR(IF(INDEX(pr_price,MATCH(B3048,pr_code,0))="","",INDEX(pr_price,MATCH(B3048,pr_code,0))),""))))</f>
        <v/>
      </c>
      <c r="K3048" s="71" t="str">
        <f>IF(COUNTA(A3048:G3048)=0,"",IF(G3048&lt;&gt;"",G3048,IF(B3048="","",IFERROR(IF(INDEX(pr_rate,MATCH(B3048,pr_code,0))="","",INDEX(pr_rate,MATCH(B3048,pr_code,0))),""))))</f>
        <v/>
      </c>
      <c r="L3048" s="65" t="str">
        <f>IF(COUNTA(A3048:G3048)=0,"",IF(AND(ISNUMBER(D3048),ISNUMBER(J3048)),ROUND(D3048*J3048*(1-N(F3048)),2),0))</f>
        <v/>
      </c>
      <c r="M3048" s="62" t="str">
        <f>IF(A3048="","",IFERROR(INDEX(fa_cname,MATCH(A3048,fa_num,0))&amp;"",""))</f>
        <v/>
      </c>
      <c r="N3048" s="59" t="str">
        <f>IF(COUNTA(A3048:G3048)=0,"",IF(A3048="","N° facture manquant",IF(ISNA(MATCH(A3048,fa_num,0)),"Facture inconnue",IF(AND(B3048&lt;&gt;"",ISNA(MATCH(B3048,pr_code,0))),"Article inconnu",IF(H3048="","Désignation manquante",IF(OR(NOT(ISNUMBER(D3048)),N(D3048)&lt;=0),"Quantité invalide",IF(J3048="","Prix manquant",IF(OR(NOT(ISNUMBER(J3048)),N(J3048)&lt;0),"Prix invalide",IF(OR(AND(F3048&lt;&gt;"",NOT(ISNUMBER(F3048))),N(F3048)&lt;0,N(F3048)&gt;1),"Remise invalide",IF(K3048="","Taux de TVA manquant",IF(NOT(ISNUMBER(K3048)),"Taux de TVA invalide",IF(COUNTIF(p_rates,K3048)=0,"Taux de TVA hors liste (Paramètres)",IF(N(O3048)&gt;25,"Au-delà de 25 lignes : non imprimée","OK")))))))))))))</f>
        <v/>
      </c>
      <c r="O3048" s="59" t="str">
        <f>IF(A3048="","",COUNTIF($A$6:A3048,A3048))</f>
        <v/>
      </c>
      <c r="P3048" s="62" t="str">
        <f>IF(A3048="","",A3048&amp;"|"&amp;O3048)</f>
        <v/>
      </c>
    </row>
    <row r="3049">
      <c r="A3049" s="60" t="n"/>
      <c r="B3049" s="63" t="n"/>
      <c r="C3049" s="63" t="n"/>
      <c r="D3049" s="67" t="n"/>
      <c r="E3049" s="68" t="n"/>
      <c r="F3049" s="69" t="n"/>
      <c r="G3049" s="70" t="n"/>
      <c r="H3049" s="62" t="str">
        <f>IF(COUNTA(A3049:G3049)=0,"",IF(C3049&lt;&gt;"",C3049,IF(B3049="","",IFERROR(INDEX(pr_des,MATCH(B3049,pr_code,0))&amp;"",""))))</f>
        <v/>
      </c>
      <c r="I3049" s="59" t="str">
        <f>IF(B3049="","",IFERROR(INDEX(pr_unit,MATCH(B3049,pr_code,0))&amp;"",""))</f>
        <v/>
      </c>
      <c r="J3049" s="65" t="str">
        <f>IF(COUNTA(A3049:G3049)=0,"",IF(E3049&lt;&gt;"",E3049,IF(B3049="","",IFERROR(IF(INDEX(pr_price,MATCH(B3049,pr_code,0))="","",INDEX(pr_price,MATCH(B3049,pr_code,0))),""))))</f>
        <v/>
      </c>
      <c r="K3049" s="71" t="str">
        <f>IF(COUNTA(A3049:G3049)=0,"",IF(G3049&lt;&gt;"",G3049,IF(B3049="","",IFERROR(IF(INDEX(pr_rate,MATCH(B3049,pr_code,0))="","",INDEX(pr_rate,MATCH(B3049,pr_code,0))),""))))</f>
        <v/>
      </c>
      <c r="L3049" s="65" t="str">
        <f>IF(COUNTA(A3049:G3049)=0,"",IF(AND(ISNUMBER(D3049),ISNUMBER(J3049)),ROUND(D3049*J3049*(1-N(F3049)),2),0))</f>
        <v/>
      </c>
      <c r="M3049" s="62" t="str">
        <f>IF(A3049="","",IFERROR(INDEX(fa_cname,MATCH(A3049,fa_num,0))&amp;"",""))</f>
        <v/>
      </c>
      <c r="N3049" s="59" t="str">
        <f>IF(COUNTA(A3049:G3049)=0,"",IF(A3049="","N° facture manquant",IF(ISNA(MATCH(A3049,fa_num,0)),"Facture inconnue",IF(AND(B3049&lt;&gt;"",ISNA(MATCH(B3049,pr_code,0))),"Article inconnu",IF(H3049="","Désignation manquante",IF(OR(NOT(ISNUMBER(D3049)),N(D3049)&lt;=0),"Quantité invalide",IF(J3049="","Prix manquant",IF(OR(NOT(ISNUMBER(J3049)),N(J3049)&lt;0),"Prix invalide",IF(OR(AND(F3049&lt;&gt;"",NOT(ISNUMBER(F3049))),N(F3049)&lt;0,N(F3049)&gt;1),"Remise invalide",IF(K3049="","Taux de TVA manquant",IF(NOT(ISNUMBER(K3049)),"Taux de TVA invalide",IF(COUNTIF(p_rates,K3049)=0,"Taux de TVA hors liste (Paramètres)",IF(N(O3049)&gt;25,"Au-delà de 25 lignes : non imprimée","OK")))))))))))))</f>
        <v/>
      </c>
      <c r="O3049" s="59" t="str">
        <f>IF(A3049="","",COUNTIF($A$6:A3049,A3049))</f>
        <v/>
      </c>
      <c r="P3049" s="62" t="str">
        <f>IF(A3049="","",A3049&amp;"|"&amp;O3049)</f>
        <v/>
      </c>
    </row>
    <row r="3050">
      <c r="A3050" s="60" t="n"/>
      <c r="B3050" s="63" t="n"/>
      <c r="C3050" s="63" t="n"/>
      <c r="D3050" s="67" t="n"/>
      <c r="E3050" s="68" t="n"/>
      <c r="F3050" s="69" t="n"/>
      <c r="G3050" s="70" t="n"/>
      <c r="H3050" s="62" t="str">
        <f>IF(COUNTA(A3050:G3050)=0,"",IF(C3050&lt;&gt;"",C3050,IF(B3050="","",IFERROR(INDEX(pr_des,MATCH(B3050,pr_code,0))&amp;"",""))))</f>
        <v/>
      </c>
      <c r="I3050" s="59" t="str">
        <f>IF(B3050="","",IFERROR(INDEX(pr_unit,MATCH(B3050,pr_code,0))&amp;"",""))</f>
        <v/>
      </c>
      <c r="J3050" s="65" t="str">
        <f>IF(COUNTA(A3050:G3050)=0,"",IF(E3050&lt;&gt;"",E3050,IF(B3050="","",IFERROR(IF(INDEX(pr_price,MATCH(B3050,pr_code,0))="","",INDEX(pr_price,MATCH(B3050,pr_code,0))),""))))</f>
        <v/>
      </c>
      <c r="K3050" s="71" t="str">
        <f>IF(COUNTA(A3050:G3050)=0,"",IF(G3050&lt;&gt;"",G3050,IF(B3050="","",IFERROR(IF(INDEX(pr_rate,MATCH(B3050,pr_code,0))="","",INDEX(pr_rate,MATCH(B3050,pr_code,0))),""))))</f>
        <v/>
      </c>
      <c r="L3050" s="65" t="str">
        <f>IF(COUNTA(A3050:G3050)=0,"",IF(AND(ISNUMBER(D3050),ISNUMBER(J3050)),ROUND(D3050*J3050*(1-N(F3050)),2),0))</f>
        <v/>
      </c>
      <c r="M3050" s="62" t="str">
        <f>IF(A3050="","",IFERROR(INDEX(fa_cname,MATCH(A3050,fa_num,0))&amp;"",""))</f>
        <v/>
      </c>
      <c r="N3050" s="59" t="str">
        <f>IF(COUNTA(A3050:G3050)=0,"",IF(A3050="","N° facture manquant",IF(ISNA(MATCH(A3050,fa_num,0)),"Facture inconnue",IF(AND(B3050&lt;&gt;"",ISNA(MATCH(B3050,pr_code,0))),"Article inconnu",IF(H3050="","Désignation manquante",IF(OR(NOT(ISNUMBER(D3050)),N(D3050)&lt;=0),"Quantité invalide",IF(J3050="","Prix manquant",IF(OR(NOT(ISNUMBER(J3050)),N(J3050)&lt;0),"Prix invalide",IF(OR(AND(F3050&lt;&gt;"",NOT(ISNUMBER(F3050))),N(F3050)&lt;0,N(F3050)&gt;1),"Remise invalide",IF(K3050="","Taux de TVA manquant",IF(NOT(ISNUMBER(K3050)),"Taux de TVA invalide",IF(COUNTIF(p_rates,K3050)=0,"Taux de TVA hors liste (Paramètres)",IF(N(O3050)&gt;25,"Au-delà de 25 lignes : non imprimée","OK")))))))))))))</f>
        <v/>
      </c>
      <c r="O3050" s="59" t="str">
        <f>IF(A3050="","",COUNTIF($A$6:A3050,A3050))</f>
        <v/>
      </c>
      <c r="P3050" s="62" t="str">
        <f>IF(A3050="","",A3050&amp;"|"&amp;O3050)</f>
        <v/>
      </c>
    </row>
    <row r="3051">
      <c r="A3051" s="60" t="n"/>
      <c r="B3051" s="63" t="n"/>
      <c r="C3051" s="63" t="n"/>
      <c r="D3051" s="67" t="n"/>
      <c r="E3051" s="68" t="n"/>
      <c r="F3051" s="69" t="n"/>
      <c r="G3051" s="70" t="n"/>
      <c r="H3051" s="62" t="str">
        <f>IF(COUNTA(A3051:G3051)=0,"",IF(C3051&lt;&gt;"",C3051,IF(B3051="","",IFERROR(INDEX(pr_des,MATCH(B3051,pr_code,0))&amp;"",""))))</f>
        <v/>
      </c>
      <c r="I3051" s="59" t="str">
        <f>IF(B3051="","",IFERROR(INDEX(pr_unit,MATCH(B3051,pr_code,0))&amp;"",""))</f>
        <v/>
      </c>
      <c r="J3051" s="65" t="str">
        <f>IF(COUNTA(A3051:G3051)=0,"",IF(E3051&lt;&gt;"",E3051,IF(B3051="","",IFERROR(IF(INDEX(pr_price,MATCH(B3051,pr_code,0))="","",INDEX(pr_price,MATCH(B3051,pr_code,0))),""))))</f>
        <v/>
      </c>
      <c r="K3051" s="71" t="str">
        <f>IF(COUNTA(A3051:G3051)=0,"",IF(G3051&lt;&gt;"",G3051,IF(B3051="","",IFERROR(IF(INDEX(pr_rate,MATCH(B3051,pr_code,0))="","",INDEX(pr_rate,MATCH(B3051,pr_code,0))),""))))</f>
        <v/>
      </c>
      <c r="L3051" s="65" t="str">
        <f>IF(COUNTA(A3051:G3051)=0,"",IF(AND(ISNUMBER(D3051),ISNUMBER(J3051)),ROUND(D3051*J3051*(1-N(F3051)),2),0))</f>
        <v/>
      </c>
      <c r="M3051" s="62" t="str">
        <f>IF(A3051="","",IFERROR(INDEX(fa_cname,MATCH(A3051,fa_num,0))&amp;"",""))</f>
        <v/>
      </c>
      <c r="N3051" s="59" t="str">
        <f>IF(COUNTA(A3051:G3051)=0,"",IF(A3051="","N° facture manquant",IF(ISNA(MATCH(A3051,fa_num,0)),"Facture inconnue",IF(AND(B3051&lt;&gt;"",ISNA(MATCH(B3051,pr_code,0))),"Article inconnu",IF(H3051="","Désignation manquante",IF(OR(NOT(ISNUMBER(D3051)),N(D3051)&lt;=0),"Quantité invalide",IF(J3051="","Prix manquant",IF(OR(NOT(ISNUMBER(J3051)),N(J3051)&lt;0),"Prix invalide",IF(OR(AND(F3051&lt;&gt;"",NOT(ISNUMBER(F3051))),N(F3051)&lt;0,N(F3051)&gt;1),"Remise invalide",IF(K3051="","Taux de TVA manquant",IF(NOT(ISNUMBER(K3051)),"Taux de TVA invalide",IF(COUNTIF(p_rates,K3051)=0,"Taux de TVA hors liste (Paramètres)",IF(N(O3051)&gt;25,"Au-delà de 25 lignes : non imprimée","OK")))))))))))))</f>
        <v/>
      </c>
      <c r="O3051" s="59" t="str">
        <f>IF(A3051="","",COUNTIF($A$6:A3051,A3051))</f>
        <v/>
      </c>
      <c r="P3051" s="62" t="str">
        <f>IF(A3051="","",A3051&amp;"|"&amp;O3051)</f>
        <v/>
      </c>
    </row>
    <row r="3052">
      <c r="A3052" s="60" t="n"/>
      <c r="B3052" s="63" t="n"/>
      <c r="C3052" s="63" t="n"/>
      <c r="D3052" s="67" t="n"/>
      <c r="E3052" s="68" t="n"/>
      <c r="F3052" s="69" t="n"/>
      <c r="G3052" s="70" t="n"/>
      <c r="H3052" s="62" t="str">
        <f>IF(COUNTA(A3052:G3052)=0,"",IF(C3052&lt;&gt;"",C3052,IF(B3052="","",IFERROR(INDEX(pr_des,MATCH(B3052,pr_code,0))&amp;"",""))))</f>
        <v/>
      </c>
      <c r="I3052" s="59" t="str">
        <f>IF(B3052="","",IFERROR(INDEX(pr_unit,MATCH(B3052,pr_code,0))&amp;"",""))</f>
        <v/>
      </c>
      <c r="J3052" s="65" t="str">
        <f>IF(COUNTA(A3052:G3052)=0,"",IF(E3052&lt;&gt;"",E3052,IF(B3052="","",IFERROR(IF(INDEX(pr_price,MATCH(B3052,pr_code,0))="","",INDEX(pr_price,MATCH(B3052,pr_code,0))),""))))</f>
        <v/>
      </c>
      <c r="K3052" s="71" t="str">
        <f>IF(COUNTA(A3052:G3052)=0,"",IF(G3052&lt;&gt;"",G3052,IF(B3052="","",IFERROR(IF(INDEX(pr_rate,MATCH(B3052,pr_code,0))="","",INDEX(pr_rate,MATCH(B3052,pr_code,0))),""))))</f>
        <v/>
      </c>
      <c r="L3052" s="65" t="str">
        <f>IF(COUNTA(A3052:G3052)=0,"",IF(AND(ISNUMBER(D3052),ISNUMBER(J3052)),ROUND(D3052*J3052*(1-N(F3052)),2),0))</f>
        <v/>
      </c>
      <c r="M3052" s="62" t="str">
        <f>IF(A3052="","",IFERROR(INDEX(fa_cname,MATCH(A3052,fa_num,0))&amp;"",""))</f>
        <v/>
      </c>
      <c r="N3052" s="59" t="str">
        <f>IF(COUNTA(A3052:G3052)=0,"",IF(A3052="","N° facture manquant",IF(ISNA(MATCH(A3052,fa_num,0)),"Facture inconnue",IF(AND(B3052&lt;&gt;"",ISNA(MATCH(B3052,pr_code,0))),"Article inconnu",IF(H3052="","Désignation manquante",IF(OR(NOT(ISNUMBER(D3052)),N(D3052)&lt;=0),"Quantité invalide",IF(J3052="","Prix manquant",IF(OR(NOT(ISNUMBER(J3052)),N(J3052)&lt;0),"Prix invalide",IF(OR(AND(F3052&lt;&gt;"",NOT(ISNUMBER(F3052))),N(F3052)&lt;0,N(F3052)&gt;1),"Remise invalide",IF(K3052="","Taux de TVA manquant",IF(NOT(ISNUMBER(K3052)),"Taux de TVA invalide",IF(COUNTIF(p_rates,K3052)=0,"Taux de TVA hors liste (Paramètres)",IF(N(O3052)&gt;25,"Au-delà de 25 lignes : non imprimée","OK")))))))))))))</f>
        <v/>
      </c>
      <c r="O3052" s="59" t="str">
        <f>IF(A3052="","",COUNTIF($A$6:A3052,A3052))</f>
        <v/>
      </c>
      <c r="P3052" s="62" t="str">
        <f>IF(A3052="","",A3052&amp;"|"&amp;O3052)</f>
        <v/>
      </c>
    </row>
    <row r="3053">
      <c r="A3053" s="60" t="n"/>
      <c r="B3053" s="63" t="n"/>
      <c r="C3053" s="63" t="n"/>
      <c r="D3053" s="67" t="n"/>
      <c r="E3053" s="68" t="n"/>
      <c r="F3053" s="69" t="n"/>
      <c r="G3053" s="70" t="n"/>
      <c r="H3053" s="62" t="str">
        <f>IF(COUNTA(A3053:G3053)=0,"",IF(C3053&lt;&gt;"",C3053,IF(B3053="","",IFERROR(INDEX(pr_des,MATCH(B3053,pr_code,0))&amp;"",""))))</f>
        <v/>
      </c>
      <c r="I3053" s="59" t="str">
        <f>IF(B3053="","",IFERROR(INDEX(pr_unit,MATCH(B3053,pr_code,0))&amp;"",""))</f>
        <v/>
      </c>
      <c r="J3053" s="65" t="str">
        <f>IF(COUNTA(A3053:G3053)=0,"",IF(E3053&lt;&gt;"",E3053,IF(B3053="","",IFERROR(IF(INDEX(pr_price,MATCH(B3053,pr_code,0))="","",INDEX(pr_price,MATCH(B3053,pr_code,0))),""))))</f>
        <v/>
      </c>
      <c r="K3053" s="71" t="str">
        <f>IF(COUNTA(A3053:G3053)=0,"",IF(G3053&lt;&gt;"",G3053,IF(B3053="","",IFERROR(IF(INDEX(pr_rate,MATCH(B3053,pr_code,0))="","",INDEX(pr_rate,MATCH(B3053,pr_code,0))),""))))</f>
        <v/>
      </c>
      <c r="L3053" s="65" t="str">
        <f>IF(COUNTA(A3053:G3053)=0,"",IF(AND(ISNUMBER(D3053),ISNUMBER(J3053)),ROUND(D3053*J3053*(1-N(F3053)),2),0))</f>
        <v/>
      </c>
      <c r="M3053" s="62" t="str">
        <f>IF(A3053="","",IFERROR(INDEX(fa_cname,MATCH(A3053,fa_num,0))&amp;"",""))</f>
        <v/>
      </c>
      <c r="N3053" s="59" t="str">
        <f>IF(COUNTA(A3053:G3053)=0,"",IF(A3053="","N° facture manquant",IF(ISNA(MATCH(A3053,fa_num,0)),"Facture inconnue",IF(AND(B3053&lt;&gt;"",ISNA(MATCH(B3053,pr_code,0))),"Article inconnu",IF(H3053="","Désignation manquante",IF(OR(NOT(ISNUMBER(D3053)),N(D3053)&lt;=0),"Quantité invalide",IF(J3053="","Prix manquant",IF(OR(NOT(ISNUMBER(J3053)),N(J3053)&lt;0),"Prix invalide",IF(OR(AND(F3053&lt;&gt;"",NOT(ISNUMBER(F3053))),N(F3053)&lt;0,N(F3053)&gt;1),"Remise invalide",IF(K3053="","Taux de TVA manquant",IF(NOT(ISNUMBER(K3053)),"Taux de TVA invalide",IF(COUNTIF(p_rates,K3053)=0,"Taux de TVA hors liste (Paramètres)",IF(N(O3053)&gt;25,"Au-delà de 25 lignes : non imprimée","OK")))))))))))))</f>
        <v/>
      </c>
      <c r="O3053" s="59" t="str">
        <f>IF(A3053="","",COUNTIF($A$6:A3053,A3053))</f>
        <v/>
      </c>
      <c r="P3053" s="62" t="str">
        <f>IF(A3053="","",A3053&amp;"|"&amp;O3053)</f>
        <v/>
      </c>
    </row>
    <row r="3054">
      <c r="A3054" s="60" t="n"/>
      <c r="B3054" s="63" t="n"/>
      <c r="C3054" s="63" t="n"/>
      <c r="D3054" s="67" t="n"/>
      <c r="E3054" s="68" t="n"/>
      <c r="F3054" s="69" t="n"/>
      <c r="G3054" s="70" t="n"/>
      <c r="H3054" s="62" t="str">
        <f>IF(COUNTA(A3054:G3054)=0,"",IF(C3054&lt;&gt;"",C3054,IF(B3054="","",IFERROR(INDEX(pr_des,MATCH(B3054,pr_code,0))&amp;"",""))))</f>
        <v/>
      </c>
      <c r="I3054" s="59" t="str">
        <f>IF(B3054="","",IFERROR(INDEX(pr_unit,MATCH(B3054,pr_code,0))&amp;"",""))</f>
        <v/>
      </c>
      <c r="J3054" s="65" t="str">
        <f>IF(COUNTA(A3054:G3054)=0,"",IF(E3054&lt;&gt;"",E3054,IF(B3054="","",IFERROR(IF(INDEX(pr_price,MATCH(B3054,pr_code,0))="","",INDEX(pr_price,MATCH(B3054,pr_code,0))),""))))</f>
        <v/>
      </c>
      <c r="K3054" s="71" t="str">
        <f>IF(COUNTA(A3054:G3054)=0,"",IF(G3054&lt;&gt;"",G3054,IF(B3054="","",IFERROR(IF(INDEX(pr_rate,MATCH(B3054,pr_code,0))="","",INDEX(pr_rate,MATCH(B3054,pr_code,0))),""))))</f>
        <v/>
      </c>
      <c r="L3054" s="65" t="str">
        <f>IF(COUNTA(A3054:G3054)=0,"",IF(AND(ISNUMBER(D3054),ISNUMBER(J3054)),ROUND(D3054*J3054*(1-N(F3054)),2),0))</f>
        <v/>
      </c>
      <c r="M3054" s="62" t="str">
        <f>IF(A3054="","",IFERROR(INDEX(fa_cname,MATCH(A3054,fa_num,0))&amp;"",""))</f>
        <v/>
      </c>
      <c r="N3054" s="59" t="str">
        <f>IF(COUNTA(A3054:G3054)=0,"",IF(A3054="","N° facture manquant",IF(ISNA(MATCH(A3054,fa_num,0)),"Facture inconnue",IF(AND(B3054&lt;&gt;"",ISNA(MATCH(B3054,pr_code,0))),"Article inconnu",IF(H3054="","Désignation manquante",IF(OR(NOT(ISNUMBER(D3054)),N(D3054)&lt;=0),"Quantité invalide",IF(J3054="","Prix manquant",IF(OR(NOT(ISNUMBER(J3054)),N(J3054)&lt;0),"Prix invalide",IF(OR(AND(F3054&lt;&gt;"",NOT(ISNUMBER(F3054))),N(F3054)&lt;0,N(F3054)&gt;1),"Remise invalide",IF(K3054="","Taux de TVA manquant",IF(NOT(ISNUMBER(K3054)),"Taux de TVA invalide",IF(COUNTIF(p_rates,K3054)=0,"Taux de TVA hors liste (Paramètres)",IF(N(O3054)&gt;25,"Au-delà de 25 lignes : non imprimée","OK")))))))))))))</f>
        <v/>
      </c>
      <c r="O3054" s="59" t="str">
        <f>IF(A3054="","",COUNTIF($A$6:A3054,A3054))</f>
        <v/>
      </c>
      <c r="P3054" s="62" t="str">
        <f>IF(A3054="","",A3054&amp;"|"&amp;O3054)</f>
        <v/>
      </c>
    </row>
    <row r="3055">
      <c r="A3055" s="60" t="n"/>
      <c r="B3055" s="63" t="n"/>
      <c r="C3055" s="63" t="n"/>
      <c r="D3055" s="67" t="n"/>
      <c r="E3055" s="68" t="n"/>
      <c r="F3055" s="69" t="n"/>
      <c r="G3055" s="70" t="n"/>
      <c r="H3055" s="62" t="str">
        <f>IF(COUNTA(A3055:G3055)=0,"",IF(C3055&lt;&gt;"",C3055,IF(B3055="","",IFERROR(INDEX(pr_des,MATCH(B3055,pr_code,0))&amp;"",""))))</f>
        <v/>
      </c>
      <c r="I3055" s="59" t="str">
        <f>IF(B3055="","",IFERROR(INDEX(pr_unit,MATCH(B3055,pr_code,0))&amp;"",""))</f>
        <v/>
      </c>
      <c r="J3055" s="65" t="str">
        <f>IF(COUNTA(A3055:G3055)=0,"",IF(E3055&lt;&gt;"",E3055,IF(B3055="","",IFERROR(IF(INDEX(pr_price,MATCH(B3055,pr_code,0))="","",INDEX(pr_price,MATCH(B3055,pr_code,0))),""))))</f>
        <v/>
      </c>
      <c r="K3055" s="71" t="str">
        <f>IF(COUNTA(A3055:G3055)=0,"",IF(G3055&lt;&gt;"",G3055,IF(B3055="","",IFERROR(IF(INDEX(pr_rate,MATCH(B3055,pr_code,0))="","",INDEX(pr_rate,MATCH(B3055,pr_code,0))),""))))</f>
        <v/>
      </c>
      <c r="L3055" s="65" t="str">
        <f>IF(COUNTA(A3055:G3055)=0,"",IF(AND(ISNUMBER(D3055),ISNUMBER(J3055)),ROUND(D3055*J3055*(1-N(F3055)),2),0))</f>
        <v/>
      </c>
      <c r="M3055" s="62" t="str">
        <f>IF(A3055="","",IFERROR(INDEX(fa_cname,MATCH(A3055,fa_num,0))&amp;"",""))</f>
        <v/>
      </c>
      <c r="N3055" s="59" t="str">
        <f>IF(COUNTA(A3055:G3055)=0,"",IF(A3055="","N° facture manquant",IF(ISNA(MATCH(A3055,fa_num,0)),"Facture inconnue",IF(AND(B3055&lt;&gt;"",ISNA(MATCH(B3055,pr_code,0))),"Article inconnu",IF(H3055="","Désignation manquante",IF(OR(NOT(ISNUMBER(D3055)),N(D3055)&lt;=0),"Quantité invalide",IF(J3055="","Prix manquant",IF(OR(NOT(ISNUMBER(J3055)),N(J3055)&lt;0),"Prix invalide",IF(OR(AND(F3055&lt;&gt;"",NOT(ISNUMBER(F3055))),N(F3055)&lt;0,N(F3055)&gt;1),"Remise invalide",IF(K3055="","Taux de TVA manquant",IF(NOT(ISNUMBER(K3055)),"Taux de TVA invalide",IF(COUNTIF(p_rates,K3055)=0,"Taux de TVA hors liste (Paramètres)",IF(N(O3055)&gt;25,"Au-delà de 25 lignes : non imprimée","OK")))))))))))))</f>
        <v/>
      </c>
      <c r="O3055" s="59" t="str">
        <f>IF(A3055="","",COUNTIF($A$6:A3055,A3055))</f>
        <v/>
      </c>
      <c r="P3055" s="62" t="str">
        <f>IF(A3055="","",A3055&amp;"|"&amp;O3055)</f>
        <v/>
      </c>
    </row>
    <row r="3056">
      <c r="A3056" s="60" t="n"/>
      <c r="B3056" s="63" t="n"/>
      <c r="C3056" s="63" t="n"/>
      <c r="D3056" s="67" t="n"/>
      <c r="E3056" s="68" t="n"/>
      <c r="F3056" s="69" t="n"/>
      <c r="G3056" s="70" t="n"/>
      <c r="H3056" s="62" t="str">
        <f>IF(COUNTA(A3056:G3056)=0,"",IF(C3056&lt;&gt;"",C3056,IF(B3056="","",IFERROR(INDEX(pr_des,MATCH(B3056,pr_code,0))&amp;"",""))))</f>
        <v/>
      </c>
      <c r="I3056" s="59" t="str">
        <f>IF(B3056="","",IFERROR(INDEX(pr_unit,MATCH(B3056,pr_code,0))&amp;"",""))</f>
        <v/>
      </c>
      <c r="J3056" s="65" t="str">
        <f>IF(COUNTA(A3056:G3056)=0,"",IF(E3056&lt;&gt;"",E3056,IF(B3056="","",IFERROR(IF(INDEX(pr_price,MATCH(B3056,pr_code,0))="","",INDEX(pr_price,MATCH(B3056,pr_code,0))),""))))</f>
        <v/>
      </c>
      <c r="K3056" s="71" t="str">
        <f>IF(COUNTA(A3056:G3056)=0,"",IF(G3056&lt;&gt;"",G3056,IF(B3056="","",IFERROR(IF(INDEX(pr_rate,MATCH(B3056,pr_code,0))="","",INDEX(pr_rate,MATCH(B3056,pr_code,0))),""))))</f>
        <v/>
      </c>
      <c r="L3056" s="65" t="str">
        <f>IF(COUNTA(A3056:G3056)=0,"",IF(AND(ISNUMBER(D3056),ISNUMBER(J3056)),ROUND(D3056*J3056*(1-N(F3056)),2),0))</f>
        <v/>
      </c>
      <c r="M3056" s="62" t="str">
        <f>IF(A3056="","",IFERROR(INDEX(fa_cname,MATCH(A3056,fa_num,0))&amp;"",""))</f>
        <v/>
      </c>
      <c r="N3056" s="59" t="str">
        <f>IF(COUNTA(A3056:G3056)=0,"",IF(A3056="","N° facture manquant",IF(ISNA(MATCH(A3056,fa_num,0)),"Facture inconnue",IF(AND(B3056&lt;&gt;"",ISNA(MATCH(B3056,pr_code,0))),"Article inconnu",IF(H3056="","Désignation manquante",IF(OR(NOT(ISNUMBER(D3056)),N(D3056)&lt;=0),"Quantité invalide",IF(J3056="","Prix manquant",IF(OR(NOT(ISNUMBER(J3056)),N(J3056)&lt;0),"Prix invalide",IF(OR(AND(F3056&lt;&gt;"",NOT(ISNUMBER(F3056))),N(F3056)&lt;0,N(F3056)&gt;1),"Remise invalide",IF(K3056="","Taux de TVA manquant",IF(NOT(ISNUMBER(K3056)),"Taux de TVA invalide",IF(COUNTIF(p_rates,K3056)=0,"Taux de TVA hors liste (Paramètres)",IF(N(O3056)&gt;25,"Au-delà de 25 lignes : non imprimée","OK")))))))))))))</f>
        <v/>
      </c>
      <c r="O3056" s="59" t="str">
        <f>IF(A3056="","",COUNTIF($A$6:A3056,A3056))</f>
        <v/>
      </c>
      <c r="P3056" s="62" t="str">
        <f>IF(A3056="","",A3056&amp;"|"&amp;O3056)</f>
        <v/>
      </c>
    </row>
    <row r="3057">
      <c r="A3057" s="60" t="n"/>
      <c r="B3057" s="63" t="n"/>
      <c r="C3057" s="63" t="n"/>
      <c r="D3057" s="67" t="n"/>
      <c r="E3057" s="68" t="n"/>
      <c r="F3057" s="69" t="n"/>
      <c r="G3057" s="70" t="n"/>
      <c r="H3057" s="62" t="str">
        <f>IF(COUNTA(A3057:G3057)=0,"",IF(C3057&lt;&gt;"",C3057,IF(B3057="","",IFERROR(INDEX(pr_des,MATCH(B3057,pr_code,0))&amp;"",""))))</f>
        <v/>
      </c>
      <c r="I3057" s="59" t="str">
        <f>IF(B3057="","",IFERROR(INDEX(pr_unit,MATCH(B3057,pr_code,0))&amp;"",""))</f>
        <v/>
      </c>
      <c r="J3057" s="65" t="str">
        <f>IF(COUNTA(A3057:G3057)=0,"",IF(E3057&lt;&gt;"",E3057,IF(B3057="","",IFERROR(IF(INDEX(pr_price,MATCH(B3057,pr_code,0))="","",INDEX(pr_price,MATCH(B3057,pr_code,0))),""))))</f>
        <v/>
      </c>
      <c r="K3057" s="71" t="str">
        <f>IF(COUNTA(A3057:G3057)=0,"",IF(G3057&lt;&gt;"",G3057,IF(B3057="","",IFERROR(IF(INDEX(pr_rate,MATCH(B3057,pr_code,0))="","",INDEX(pr_rate,MATCH(B3057,pr_code,0))),""))))</f>
        <v/>
      </c>
      <c r="L3057" s="65" t="str">
        <f>IF(COUNTA(A3057:G3057)=0,"",IF(AND(ISNUMBER(D3057),ISNUMBER(J3057)),ROUND(D3057*J3057*(1-N(F3057)),2),0))</f>
        <v/>
      </c>
      <c r="M3057" s="62" t="str">
        <f>IF(A3057="","",IFERROR(INDEX(fa_cname,MATCH(A3057,fa_num,0))&amp;"",""))</f>
        <v/>
      </c>
      <c r="N3057" s="59" t="str">
        <f>IF(COUNTA(A3057:G3057)=0,"",IF(A3057="","N° facture manquant",IF(ISNA(MATCH(A3057,fa_num,0)),"Facture inconnue",IF(AND(B3057&lt;&gt;"",ISNA(MATCH(B3057,pr_code,0))),"Article inconnu",IF(H3057="","Désignation manquante",IF(OR(NOT(ISNUMBER(D3057)),N(D3057)&lt;=0),"Quantité invalide",IF(J3057="","Prix manquant",IF(OR(NOT(ISNUMBER(J3057)),N(J3057)&lt;0),"Prix invalide",IF(OR(AND(F3057&lt;&gt;"",NOT(ISNUMBER(F3057))),N(F3057)&lt;0,N(F3057)&gt;1),"Remise invalide",IF(K3057="","Taux de TVA manquant",IF(NOT(ISNUMBER(K3057)),"Taux de TVA invalide",IF(COUNTIF(p_rates,K3057)=0,"Taux de TVA hors liste (Paramètres)",IF(N(O3057)&gt;25,"Au-delà de 25 lignes : non imprimée","OK")))))))))))))</f>
        <v/>
      </c>
      <c r="O3057" s="59" t="str">
        <f>IF(A3057="","",COUNTIF($A$6:A3057,A3057))</f>
        <v/>
      </c>
      <c r="P3057" s="62" t="str">
        <f>IF(A3057="","",A3057&amp;"|"&amp;O3057)</f>
        <v/>
      </c>
    </row>
    <row r="3058">
      <c r="A3058" s="60" t="n"/>
      <c r="B3058" s="63" t="n"/>
      <c r="C3058" s="63" t="n"/>
      <c r="D3058" s="67" t="n"/>
      <c r="E3058" s="68" t="n"/>
      <c r="F3058" s="69" t="n"/>
      <c r="G3058" s="70" t="n"/>
      <c r="H3058" s="62" t="str">
        <f>IF(COUNTA(A3058:G3058)=0,"",IF(C3058&lt;&gt;"",C3058,IF(B3058="","",IFERROR(INDEX(pr_des,MATCH(B3058,pr_code,0))&amp;"",""))))</f>
        <v/>
      </c>
      <c r="I3058" s="59" t="str">
        <f>IF(B3058="","",IFERROR(INDEX(pr_unit,MATCH(B3058,pr_code,0))&amp;"",""))</f>
        <v/>
      </c>
      <c r="J3058" s="65" t="str">
        <f>IF(COUNTA(A3058:G3058)=0,"",IF(E3058&lt;&gt;"",E3058,IF(B3058="","",IFERROR(IF(INDEX(pr_price,MATCH(B3058,pr_code,0))="","",INDEX(pr_price,MATCH(B3058,pr_code,0))),""))))</f>
        <v/>
      </c>
      <c r="K3058" s="71" t="str">
        <f>IF(COUNTA(A3058:G3058)=0,"",IF(G3058&lt;&gt;"",G3058,IF(B3058="","",IFERROR(IF(INDEX(pr_rate,MATCH(B3058,pr_code,0))="","",INDEX(pr_rate,MATCH(B3058,pr_code,0))),""))))</f>
        <v/>
      </c>
      <c r="L3058" s="65" t="str">
        <f>IF(COUNTA(A3058:G3058)=0,"",IF(AND(ISNUMBER(D3058),ISNUMBER(J3058)),ROUND(D3058*J3058*(1-N(F3058)),2),0))</f>
        <v/>
      </c>
      <c r="M3058" s="62" t="str">
        <f>IF(A3058="","",IFERROR(INDEX(fa_cname,MATCH(A3058,fa_num,0))&amp;"",""))</f>
        <v/>
      </c>
      <c r="N3058" s="59" t="str">
        <f>IF(COUNTA(A3058:G3058)=0,"",IF(A3058="","N° facture manquant",IF(ISNA(MATCH(A3058,fa_num,0)),"Facture inconnue",IF(AND(B3058&lt;&gt;"",ISNA(MATCH(B3058,pr_code,0))),"Article inconnu",IF(H3058="","Désignation manquante",IF(OR(NOT(ISNUMBER(D3058)),N(D3058)&lt;=0),"Quantité invalide",IF(J3058="","Prix manquant",IF(OR(NOT(ISNUMBER(J3058)),N(J3058)&lt;0),"Prix invalide",IF(OR(AND(F3058&lt;&gt;"",NOT(ISNUMBER(F3058))),N(F3058)&lt;0,N(F3058)&gt;1),"Remise invalide",IF(K3058="","Taux de TVA manquant",IF(NOT(ISNUMBER(K3058)),"Taux de TVA invalide",IF(COUNTIF(p_rates,K3058)=0,"Taux de TVA hors liste (Paramètres)",IF(N(O3058)&gt;25,"Au-delà de 25 lignes : non imprimée","OK")))))))))))))</f>
        <v/>
      </c>
      <c r="O3058" s="59" t="str">
        <f>IF(A3058="","",COUNTIF($A$6:A3058,A3058))</f>
        <v/>
      </c>
      <c r="P3058" s="62" t="str">
        <f>IF(A3058="","",A3058&amp;"|"&amp;O3058)</f>
        <v/>
      </c>
    </row>
    <row r="3059">
      <c r="A3059" s="60" t="n"/>
      <c r="B3059" s="63" t="n"/>
      <c r="C3059" s="63" t="n"/>
      <c r="D3059" s="67" t="n"/>
      <c r="E3059" s="68" t="n"/>
      <c r="F3059" s="69" t="n"/>
      <c r="G3059" s="70" t="n"/>
      <c r="H3059" s="62" t="str">
        <f>IF(COUNTA(A3059:G3059)=0,"",IF(C3059&lt;&gt;"",C3059,IF(B3059="","",IFERROR(INDEX(pr_des,MATCH(B3059,pr_code,0))&amp;"",""))))</f>
        <v/>
      </c>
      <c r="I3059" s="59" t="str">
        <f>IF(B3059="","",IFERROR(INDEX(pr_unit,MATCH(B3059,pr_code,0))&amp;"",""))</f>
        <v/>
      </c>
      <c r="J3059" s="65" t="str">
        <f>IF(COUNTA(A3059:G3059)=0,"",IF(E3059&lt;&gt;"",E3059,IF(B3059="","",IFERROR(IF(INDEX(pr_price,MATCH(B3059,pr_code,0))="","",INDEX(pr_price,MATCH(B3059,pr_code,0))),""))))</f>
        <v/>
      </c>
      <c r="K3059" s="71" t="str">
        <f>IF(COUNTA(A3059:G3059)=0,"",IF(G3059&lt;&gt;"",G3059,IF(B3059="","",IFERROR(IF(INDEX(pr_rate,MATCH(B3059,pr_code,0))="","",INDEX(pr_rate,MATCH(B3059,pr_code,0))),""))))</f>
        <v/>
      </c>
      <c r="L3059" s="65" t="str">
        <f>IF(COUNTA(A3059:G3059)=0,"",IF(AND(ISNUMBER(D3059),ISNUMBER(J3059)),ROUND(D3059*J3059*(1-N(F3059)),2),0))</f>
        <v/>
      </c>
      <c r="M3059" s="62" t="str">
        <f>IF(A3059="","",IFERROR(INDEX(fa_cname,MATCH(A3059,fa_num,0))&amp;"",""))</f>
        <v/>
      </c>
      <c r="N3059" s="59" t="str">
        <f>IF(COUNTA(A3059:G3059)=0,"",IF(A3059="","N° facture manquant",IF(ISNA(MATCH(A3059,fa_num,0)),"Facture inconnue",IF(AND(B3059&lt;&gt;"",ISNA(MATCH(B3059,pr_code,0))),"Article inconnu",IF(H3059="","Désignation manquante",IF(OR(NOT(ISNUMBER(D3059)),N(D3059)&lt;=0),"Quantité invalide",IF(J3059="","Prix manquant",IF(OR(NOT(ISNUMBER(J3059)),N(J3059)&lt;0),"Prix invalide",IF(OR(AND(F3059&lt;&gt;"",NOT(ISNUMBER(F3059))),N(F3059)&lt;0,N(F3059)&gt;1),"Remise invalide",IF(K3059="","Taux de TVA manquant",IF(NOT(ISNUMBER(K3059)),"Taux de TVA invalide",IF(COUNTIF(p_rates,K3059)=0,"Taux de TVA hors liste (Paramètres)",IF(N(O3059)&gt;25,"Au-delà de 25 lignes : non imprimée","OK")))))))))))))</f>
        <v/>
      </c>
      <c r="O3059" s="59" t="str">
        <f>IF(A3059="","",COUNTIF($A$6:A3059,A3059))</f>
        <v/>
      </c>
      <c r="P3059" s="62" t="str">
        <f>IF(A3059="","",A3059&amp;"|"&amp;O3059)</f>
        <v/>
      </c>
    </row>
    <row r="3060">
      <c r="A3060" s="60" t="n"/>
      <c r="B3060" s="63" t="n"/>
      <c r="C3060" s="63" t="n"/>
      <c r="D3060" s="67" t="n"/>
      <c r="E3060" s="68" t="n"/>
      <c r="F3060" s="69" t="n"/>
      <c r="G3060" s="70" t="n"/>
      <c r="H3060" s="62" t="str">
        <f>IF(COUNTA(A3060:G3060)=0,"",IF(C3060&lt;&gt;"",C3060,IF(B3060="","",IFERROR(INDEX(pr_des,MATCH(B3060,pr_code,0))&amp;"",""))))</f>
        <v/>
      </c>
      <c r="I3060" s="59" t="str">
        <f>IF(B3060="","",IFERROR(INDEX(pr_unit,MATCH(B3060,pr_code,0))&amp;"",""))</f>
        <v/>
      </c>
      <c r="J3060" s="65" t="str">
        <f>IF(COUNTA(A3060:G3060)=0,"",IF(E3060&lt;&gt;"",E3060,IF(B3060="","",IFERROR(IF(INDEX(pr_price,MATCH(B3060,pr_code,0))="","",INDEX(pr_price,MATCH(B3060,pr_code,0))),""))))</f>
        <v/>
      </c>
      <c r="K3060" s="71" t="str">
        <f>IF(COUNTA(A3060:G3060)=0,"",IF(G3060&lt;&gt;"",G3060,IF(B3060="","",IFERROR(IF(INDEX(pr_rate,MATCH(B3060,pr_code,0))="","",INDEX(pr_rate,MATCH(B3060,pr_code,0))),""))))</f>
        <v/>
      </c>
      <c r="L3060" s="65" t="str">
        <f>IF(COUNTA(A3060:G3060)=0,"",IF(AND(ISNUMBER(D3060),ISNUMBER(J3060)),ROUND(D3060*J3060*(1-N(F3060)),2),0))</f>
        <v/>
      </c>
      <c r="M3060" s="62" t="str">
        <f>IF(A3060="","",IFERROR(INDEX(fa_cname,MATCH(A3060,fa_num,0))&amp;"",""))</f>
        <v/>
      </c>
      <c r="N3060" s="59" t="str">
        <f>IF(COUNTA(A3060:G3060)=0,"",IF(A3060="","N° facture manquant",IF(ISNA(MATCH(A3060,fa_num,0)),"Facture inconnue",IF(AND(B3060&lt;&gt;"",ISNA(MATCH(B3060,pr_code,0))),"Article inconnu",IF(H3060="","Désignation manquante",IF(OR(NOT(ISNUMBER(D3060)),N(D3060)&lt;=0),"Quantité invalide",IF(J3060="","Prix manquant",IF(OR(NOT(ISNUMBER(J3060)),N(J3060)&lt;0),"Prix invalide",IF(OR(AND(F3060&lt;&gt;"",NOT(ISNUMBER(F3060))),N(F3060)&lt;0,N(F3060)&gt;1),"Remise invalide",IF(K3060="","Taux de TVA manquant",IF(NOT(ISNUMBER(K3060)),"Taux de TVA invalide",IF(COUNTIF(p_rates,K3060)=0,"Taux de TVA hors liste (Paramètres)",IF(N(O3060)&gt;25,"Au-delà de 25 lignes : non imprimée","OK")))))))))))))</f>
        <v/>
      </c>
      <c r="O3060" s="59" t="str">
        <f>IF(A3060="","",COUNTIF($A$6:A3060,A3060))</f>
        <v/>
      </c>
      <c r="P3060" s="62" t="str">
        <f>IF(A3060="","",A3060&amp;"|"&amp;O3060)</f>
        <v/>
      </c>
    </row>
    <row r="3061">
      <c r="A3061" s="60" t="n"/>
      <c r="B3061" s="63" t="n"/>
      <c r="C3061" s="63" t="n"/>
      <c r="D3061" s="67" t="n"/>
      <c r="E3061" s="68" t="n"/>
      <c r="F3061" s="69" t="n"/>
      <c r="G3061" s="70" t="n"/>
      <c r="H3061" s="62" t="str">
        <f>IF(COUNTA(A3061:G3061)=0,"",IF(C3061&lt;&gt;"",C3061,IF(B3061="","",IFERROR(INDEX(pr_des,MATCH(B3061,pr_code,0))&amp;"",""))))</f>
        <v/>
      </c>
      <c r="I3061" s="59" t="str">
        <f>IF(B3061="","",IFERROR(INDEX(pr_unit,MATCH(B3061,pr_code,0))&amp;"",""))</f>
        <v/>
      </c>
      <c r="J3061" s="65" t="str">
        <f>IF(COUNTA(A3061:G3061)=0,"",IF(E3061&lt;&gt;"",E3061,IF(B3061="","",IFERROR(IF(INDEX(pr_price,MATCH(B3061,pr_code,0))="","",INDEX(pr_price,MATCH(B3061,pr_code,0))),""))))</f>
        <v/>
      </c>
      <c r="K3061" s="71" t="str">
        <f>IF(COUNTA(A3061:G3061)=0,"",IF(G3061&lt;&gt;"",G3061,IF(B3061="","",IFERROR(IF(INDEX(pr_rate,MATCH(B3061,pr_code,0))="","",INDEX(pr_rate,MATCH(B3061,pr_code,0))),""))))</f>
        <v/>
      </c>
      <c r="L3061" s="65" t="str">
        <f>IF(COUNTA(A3061:G3061)=0,"",IF(AND(ISNUMBER(D3061),ISNUMBER(J3061)),ROUND(D3061*J3061*(1-N(F3061)),2),0))</f>
        <v/>
      </c>
      <c r="M3061" s="62" t="str">
        <f>IF(A3061="","",IFERROR(INDEX(fa_cname,MATCH(A3061,fa_num,0))&amp;"",""))</f>
        <v/>
      </c>
      <c r="N3061" s="59" t="str">
        <f>IF(COUNTA(A3061:G3061)=0,"",IF(A3061="","N° facture manquant",IF(ISNA(MATCH(A3061,fa_num,0)),"Facture inconnue",IF(AND(B3061&lt;&gt;"",ISNA(MATCH(B3061,pr_code,0))),"Article inconnu",IF(H3061="","Désignation manquante",IF(OR(NOT(ISNUMBER(D3061)),N(D3061)&lt;=0),"Quantité invalide",IF(J3061="","Prix manquant",IF(OR(NOT(ISNUMBER(J3061)),N(J3061)&lt;0),"Prix invalide",IF(OR(AND(F3061&lt;&gt;"",NOT(ISNUMBER(F3061))),N(F3061)&lt;0,N(F3061)&gt;1),"Remise invalide",IF(K3061="","Taux de TVA manquant",IF(NOT(ISNUMBER(K3061)),"Taux de TVA invalide",IF(COUNTIF(p_rates,K3061)=0,"Taux de TVA hors liste (Paramètres)",IF(N(O3061)&gt;25,"Au-delà de 25 lignes : non imprimée","OK")))))))))))))</f>
        <v/>
      </c>
      <c r="O3061" s="59" t="str">
        <f>IF(A3061="","",COUNTIF($A$6:A3061,A3061))</f>
        <v/>
      </c>
      <c r="P3061" s="62" t="str">
        <f>IF(A3061="","",A3061&amp;"|"&amp;O3061)</f>
        <v/>
      </c>
    </row>
    <row r="3062">
      <c r="A3062" s="60" t="n"/>
      <c r="B3062" s="63" t="n"/>
      <c r="C3062" s="63" t="n"/>
      <c r="D3062" s="67" t="n"/>
      <c r="E3062" s="68" t="n"/>
      <c r="F3062" s="69" t="n"/>
      <c r="G3062" s="70" t="n"/>
      <c r="H3062" s="62" t="str">
        <f>IF(COUNTA(A3062:G3062)=0,"",IF(C3062&lt;&gt;"",C3062,IF(B3062="","",IFERROR(INDEX(pr_des,MATCH(B3062,pr_code,0))&amp;"",""))))</f>
        <v/>
      </c>
      <c r="I3062" s="59" t="str">
        <f>IF(B3062="","",IFERROR(INDEX(pr_unit,MATCH(B3062,pr_code,0))&amp;"",""))</f>
        <v/>
      </c>
      <c r="J3062" s="65" t="str">
        <f>IF(COUNTA(A3062:G3062)=0,"",IF(E3062&lt;&gt;"",E3062,IF(B3062="","",IFERROR(IF(INDEX(pr_price,MATCH(B3062,pr_code,0))="","",INDEX(pr_price,MATCH(B3062,pr_code,0))),""))))</f>
        <v/>
      </c>
      <c r="K3062" s="71" t="str">
        <f>IF(COUNTA(A3062:G3062)=0,"",IF(G3062&lt;&gt;"",G3062,IF(B3062="","",IFERROR(IF(INDEX(pr_rate,MATCH(B3062,pr_code,0))="","",INDEX(pr_rate,MATCH(B3062,pr_code,0))),""))))</f>
        <v/>
      </c>
      <c r="L3062" s="65" t="str">
        <f>IF(COUNTA(A3062:G3062)=0,"",IF(AND(ISNUMBER(D3062),ISNUMBER(J3062)),ROUND(D3062*J3062*(1-N(F3062)),2),0))</f>
        <v/>
      </c>
      <c r="M3062" s="62" t="str">
        <f>IF(A3062="","",IFERROR(INDEX(fa_cname,MATCH(A3062,fa_num,0))&amp;"",""))</f>
        <v/>
      </c>
      <c r="N3062" s="59" t="str">
        <f>IF(COUNTA(A3062:G3062)=0,"",IF(A3062="","N° facture manquant",IF(ISNA(MATCH(A3062,fa_num,0)),"Facture inconnue",IF(AND(B3062&lt;&gt;"",ISNA(MATCH(B3062,pr_code,0))),"Article inconnu",IF(H3062="","Désignation manquante",IF(OR(NOT(ISNUMBER(D3062)),N(D3062)&lt;=0),"Quantité invalide",IF(J3062="","Prix manquant",IF(OR(NOT(ISNUMBER(J3062)),N(J3062)&lt;0),"Prix invalide",IF(OR(AND(F3062&lt;&gt;"",NOT(ISNUMBER(F3062))),N(F3062)&lt;0,N(F3062)&gt;1),"Remise invalide",IF(K3062="","Taux de TVA manquant",IF(NOT(ISNUMBER(K3062)),"Taux de TVA invalide",IF(COUNTIF(p_rates,K3062)=0,"Taux de TVA hors liste (Paramètres)",IF(N(O3062)&gt;25,"Au-delà de 25 lignes : non imprimée","OK")))))))))))))</f>
        <v/>
      </c>
      <c r="O3062" s="59" t="str">
        <f>IF(A3062="","",COUNTIF($A$6:A3062,A3062))</f>
        <v/>
      </c>
      <c r="P3062" s="62" t="str">
        <f>IF(A3062="","",A3062&amp;"|"&amp;O3062)</f>
        <v/>
      </c>
    </row>
    <row r="3063">
      <c r="A3063" s="60" t="n"/>
      <c r="B3063" s="63" t="n"/>
      <c r="C3063" s="63" t="n"/>
      <c r="D3063" s="67" t="n"/>
      <c r="E3063" s="68" t="n"/>
      <c r="F3063" s="69" t="n"/>
      <c r="G3063" s="70" t="n"/>
      <c r="H3063" s="62" t="str">
        <f>IF(COUNTA(A3063:G3063)=0,"",IF(C3063&lt;&gt;"",C3063,IF(B3063="","",IFERROR(INDEX(pr_des,MATCH(B3063,pr_code,0))&amp;"",""))))</f>
        <v/>
      </c>
      <c r="I3063" s="59" t="str">
        <f>IF(B3063="","",IFERROR(INDEX(pr_unit,MATCH(B3063,pr_code,0))&amp;"",""))</f>
        <v/>
      </c>
      <c r="J3063" s="65" t="str">
        <f>IF(COUNTA(A3063:G3063)=0,"",IF(E3063&lt;&gt;"",E3063,IF(B3063="","",IFERROR(IF(INDEX(pr_price,MATCH(B3063,pr_code,0))="","",INDEX(pr_price,MATCH(B3063,pr_code,0))),""))))</f>
        <v/>
      </c>
      <c r="K3063" s="71" t="str">
        <f>IF(COUNTA(A3063:G3063)=0,"",IF(G3063&lt;&gt;"",G3063,IF(B3063="","",IFERROR(IF(INDEX(pr_rate,MATCH(B3063,pr_code,0))="","",INDEX(pr_rate,MATCH(B3063,pr_code,0))),""))))</f>
        <v/>
      </c>
      <c r="L3063" s="65" t="str">
        <f>IF(COUNTA(A3063:G3063)=0,"",IF(AND(ISNUMBER(D3063),ISNUMBER(J3063)),ROUND(D3063*J3063*(1-N(F3063)),2),0))</f>
        <v/>
      </c>
      <c r="M3063" s="62" t="str">
        <f>IF(A3063="","",IFERROR(INDEX(fa_cname,MATCH(A3063,fa_num,0))&amp;"",""))</f>
        <v/>
      </c>
      <c r="N3063" s="59" t="str">
        <f>IF(COUNTA(A3063:G3063)=0,"",IF(A3063="","N° facture manquant",IF(ISNA(MATCH(A3063,fa_num,0)),"Facture inconnue",IF(AND(B3063&lt;&gt;"",ISNA(MATCH(B3063,pr_code,0))),"Article inconnu",IF(H3063="","Désignation manquante",IF(OR(NOT(ISNUMBER(D3063)),N(D3063)&lt;=0),"Quantité invalide",IF(J3063="","Prix manquant",IF(OR(NOT(ISNUMBER(J3063)),N(J3063)&lt;0),"Prix invalide",IF(OR(AND(F3063&lt;&gt;"",NOT(ISNUMBER(F3063))),N(F3063)&lt;0,N(F3063)&gt;1),"Remise invalide",IF(K3063="","Taux de TVA manquant",IF(NOT(ISNUMBER(K3063)),"Taux de TVA invalide",IF(COUNTIF(p_rates,K3063)=0,"Taux de TVA hors liste (Paramètres)",IF(N(O3063)&gt;25,"Au-delà de 25 lignes : non imprimée","OK")))))))))))))</f>
        <v/>
      </c>
      <c r="O3063" s="59" t="str">
        <f>IF(A3063="","",COUNTIF($A$6:A3063,A3063))</f>
        <v/>
      </c>
      <c r="P3063" s="62" t="str">
        <f>IF(A3063="","",A3063&amp;"|"&amp;O3063)</f>
        <v/>
      </c>
    </row>
    <row r="3064">
      <c r="A3064" s="60" t="n"/>
      <c r="B3064" s="63" t="n"/>
      <c r="C3064" s="63" t="n"/>
      <c r="D3064" s="67" t="n"/>
      <c r="E3064" s="68" t="n"/>
      <c r="F3064" s="69" t="n"/>
      <c r="G3064" s="70" t="n"/>
      <c r="H3064" s="62" t="str">
        <f>IF(COUNTA(A3064:G3064)=0,"",IF(C3064&lt;&gt;"",C3064,IF(B3064="","",IFERROR(INDEX(pr_des,MATCH(B3064,pr_code,0))&amp;"",""))))</f>
        <v/>
      </c>
      <c r="I3064" s="59" t="str">
        <f>IF(B3064="","",IFERROR(INDEX(pr_unit,MATCH(B3064,pr_code,0))&amp;"",""))</f>
        <v/>
      </c>
      <c r="J3064" s="65" t="str">
        <f>IF(COUNTA(A3064:G3064)=0,"",IF(E3064&lt;&gt;"",E3064,IF(B3064="","",IFERROR(IF(INDEX(pr_price,MATCH(B3064,pr_code,0))="","",INDEX(pr_price,MATCH(B3064,pr_code,0))),""))))</f>
        <v/>
      </c>
      <c r="K3064" s="71" t="str">
        <f>IF(COUNTA(A3064:G3064)=0,"",IF(G3064&lt;&gt;"",G3064,IF(B3064="","",IFERROR(IF(INDEX(pr_rate,MATCH(B3064,pr_code,0))="","",INDEX(pr_rate,MATCH(B3064,pr_code,0))),""))))</f>
        <v/>
      </c>
      <c r="L3064" s="65" t="str">
        <f>IF(COUNTA(A3064:G3064)=0,"",IF(AND(ISNUMBER(D3064),ISNUMBER(J3064)),ROUND(D3064*J3064*(1-N(F3064)),2),0))</f>
        <v/>
      </c>
      <c r="M3064" s="62" t="str">
        <f>IF(A3064="","",IFERROR(INDEX(fa_cname,MATCH(A3064,fa_num,0))&amp;"",""))</f>
        <v/>
      </c>
      <c r="N3064" s="59" t="str">
        <f>IF(COUNTA(A3064:G3064)=0,"",IF(A3064="","N° facture manquant",IF(ISNA(MATCH(A3064,fa_num,0)),"Facture inconnue",IF(AND(B3064&lt;&gt;"",ISNA(MATCH(B3064,pr_code,0))),"Article inconnu",IF(H3064="","Désignation manquante",IF(OR(NOT(ISNUMBER(D3064)),N(D3064)&lt;=0),"Quantité invalide",IF(J3064="","Prix manquant",IF(OR(NOT(ISNUMBER(J3064)),N(J3064)&lt;0),"Prix invalide",IF(OR(AND(F3064&lt;&gt;"",NOT(ISNUMBER(F3064))),N(F3064)&lt;0,N(F3064)&gt;1),"Remise invalide",IF(K3064="","Taux de TVA manquant",IF(NOT(ISNUMBER(K3064)),"Taux de TVA invalide",IF(COUNTIF(p_rates,K3064)=0,"Taux de TVA hors liste (Paramètres)",IF(N(O3064)&gt;25,"Au-delà de 25 lignes : non imprimée","OK")))))))))))))</f>
        <v/>
      </c>
      <c r="O3064" s="59" t="str">
        <f>IF(A3064="","",COUNTIF($A$6:A3064,A3064))</f>
        <v/>
      </c>
      <c r="P3064" s="62" t="str">
        <f>IF(A3064="","",A3064&amp;"|"&amp;O3064)</f>
        <v/>
      </c>
    </row>
    <row r="3065">
      <c r="A3065" s="60" t="n"/>
      <c r="B3065" s="63" t="n"/>
      <c r="C3065" s="63" t="n"/>
      <c r="D3065" s="67" t="n"/>
      <c r="E3065" s="68" t="n"/>
      <c r="F3065" s="69" t="n"/>
      <c r="G3065" s="70" t="n"/>
      <c r="H3065" s="62" t="str">
        <f>IF(COUNTA(A3065:G3065)=0,"",IF(C3065&lt;&gt;"",C3065,IF(B3065="","",IFERROR(INDEX(pr_des,MATCH(B3065,pr_code,0))&amp;"",""))))</f>
        <v/>
      </c>
      <c r="I3065" s="59" t="str">
        <f>IF(B3065="","",IFERROR(INDEX(pr_unit,MATCH(B3065,pr_code,0))&amp;"",""))</f>
        <v/>
      </c>
      <c r="J3065" s="65" t="str">
        <f>IF(COUNTA(A3065:G3065)=0,"",IF(E3065&lt;&gt;"",E3065,IF(B3065="","",IFERROR(IF(INDEX(pr_price,MATCH(B3065,pr_code,0))="","",INDEX(pr_price,MATCH(B3065,pr_code,0))),""))))</f>
        <v/>
      </c>
      <c r="K3065" s="71" t="str">
        <f>IF(COUNTA(A3065:G3065)=0,"",IF(G3065&lt;&gt;"",G3065,IF(B3065="","",IFERROR(IF(INDEX(pr_rate,MATCH(B3065,pr_code,0))="","",INDEX(pr_rate,MATCH(B3065,pr_code,0))),""))))</f>
        <v/>
      </c>
      <c r="L3065" s="65" t="str">
        <f>IF(COUNTA(A3065:G3065)=0,"",IF(AND(ISNUMBER(D3065),ISNUMBER(J3065)),ROUND(D3065*J3065*(1-N(F3065)),2),0))</f>
        <v/>
      </c>
      <c r="M3065" s="62" t="str">
        <f>IF(A3065="","",IFERROR(INDEX(fa_cname,MATCH(A3065,fa_num,0))&amp;"",""))</f>
        <v/>
      </c>
      <c r="N3065" s="59" t="str">
        <f>IF(COUNTA(A3065:G3065)=0,"",IF(A3065="","N° facture manquant",IF(ISNA(MATCH(A3065,fa_num,0)),"Facture inconnue",IF(AND(B3065&lt;&gt;"",ISNA(MATCH(B3065,pr_code,0))),"Article inconnu",IF(H3065="","Désignation manquante",IF(OR(NOT(ISNUMBER(D3065)),N(D3065)&lt;=0),"Quantité invalide",IF(J3065="","Prix manquant",IF(OR(NOT(ISNUMBER(J3065)),N(J3065)&lt;0),"Prix invalide",IF(OR(AND(F3065&lt;&gt;"",NOT(ISNUMBER(F3065))),N(F3065)&lt;0,N(F3065)&gt;1),"Remise invalide",IF(K3065="","Taux de TVA manquant",IF(NOT(ISNUMBER(K3065)),"Taux de TVA invalide",IF(COUNTIF(p_rates,K3065)=0,"Taux de TVA hors liste (Paramètres)",IF(N(O3065)&gt;25,"Au-delà de 25 lignes : non imprimée","OK")))))))))))))</f>
        <v/>
      </c>
      <c r="O3065" s="59" t="str">
        <f>IF(A3065="","",COUNTIF($A$6:A3065,A3065))</f>
        <v/>
      </c>
      <c r="P3065" s="62" t="str">
        <f>IF(A3065="","",A3065&amp;"|"&amp;O3065)</f>
        <v/>
      </c>
    </row>
    <row r="3066">
      <c r="A3066" s="60" t="n"/>
      <c r="B3066" s="63" t="n"/>
      <c r="C3066" s="63" t="n"/>
      <c r="D3066" s="67" t="n"/>
      <c r="E3066" s="68" t="n"/>
      <c r="F3066" s="69" t="n"/>
      <c r="G3066" s="70" t="n"/>
      <c r="H3066" s="62" t="str">
        <f>IF(COUNTA(A3066:G3066)=0,"",IF(C3066&lt;&gt;"",C3066,IF(B3066="","",IFERROR(INDEX(pr_des,MATCH(B3066,pr_code,0))&amp;"",""))))</f>
        <v/>
      </c>
      <c r="I3066" s="59" t="str">
        <f>IF(B3066="","",IFERROR(INDEX(pr_unit,MATCH(B3066,pr_code,0))&amp;"",""))</f>
        <v/>
      </c>
      <c r="J3066" s="65" t="str">
        <f>IF(COUNTA(A3066:G3066)=0,"",IF(E3066&lt;&gt;"",E3066,IF(B3066="","",IFERROR(IF(INDEX(pr_price,MATCH(B3066,pr_code,0))="","",INDEX(pr_price,MATCH(B3066,pr_code,0))),""))))</f>
        <v/>
      </c>
      <c r="K3066" s="71" t="str">
        <f>IF(COUNTA(A3066:G3066)=0,"",IF(G3066&lt;&gt;"",G3066,IF(B3066="","",IFERROR(IF(INDEX(pr_rate,MATCH(B3066,pr_code,0))="","",INDEX(pr_rate,MATCH(B3066,pr_code,0))),""))))</f>
        <v/>
      </c>
      <c r="L3066" s="65" t="str">
        <f>IF(COUNTA(A3066:G3066)=0,"",IF(AND(ISNUMBER(D3066),ISNUMBER(J3066)),ROUND(D3066*J3066*(1-N(F3066)),2),0))</f>
        <v/>
      </c>
      <c r="M3066" s="62" t="str">
        <f>IF(A3066="","",IFERROR(INDEX(fa_cname,MATCH(A3066,fa_num,0))&amp;"",""))</f>
        <v/>
      </c>
      <c r="N3066" s="59" t="str">
        <f>IF(COUNTA(A3066:G3066)=0,"",IF(A3066="","N° facture manquant",IF(ISNA(MATCH(A3066,fa_num,0)),"Facture inconnue",IF(AND(B3066&lt;&gt;"",ISNA(MATCH(B3066,pr_code,0))),"Article inconnu",IF(H3066="","Désignation manquante",IF(OR(NOT(ISNUMBER(D3066)),N(D3066)&lt;=0),"Quantité invalide",IF(J3066="","Prix manquant",IF(OR(NOT(ISNUMBER(J3066)),N(J3066)&lt;0),"Prix invalide",IF(OR(AND(F3066&lt;&gt;"",NOT(ISNUMBER(F3066))),N(F3066)&lt;0,N(F3066)&gt;1),"Remise invalide",IF(K3066="","Taux de TVA manquant",IF(NOT(ISNUMBER(K3066)),"Taux de TVA invalide",IF(COUNTIF(p_rates,K3066)=0,"Taux de TVA hors liste (Paramètres)",IF(N(O3066)&gt;25,"Au-delà de 25 lignes : non imprimée","OK")))))))))))))</f>
        <v/>
      </c>
      <c r="O3066" s="59" t="str">
        <f>IF(A3066="","",COUNTIF($A$6:A3066,A3066))</f>
        <v/>
      </c>
      <c r="P3066" s="62" t="str">
        <f>IF(A3066="","",A3066&amp;"|"&amp;O3066)</f>
        <v/>
      </c>
    </row>
    <row r="3067">
      <c r="A3067" s="60" t="n"/>
      <c r="B3067" s="63" t="n"/>
      <c r="C3067" s="63" t="n"/>
      <c r="D3067" s="67" t="n"/>
      <c r="E3067" s="68" t="n"/>
      <c r="F3067" s="69" t="n"/>
      <c r="G3067" s="70" t="n"/>
      <c r="H3067" s="62" t="str">
        <f>IF(COUNTA(A3067:G3067)=0,"",IF(C3067&lt;&gt;"",C3067,IF(B3067="","",IFERROR(INDEX(pr_des,MATCH(B3067,pr_code,0))&amp;"",""))))</f>
        <v/>
      </c>
      <c r="I3067" s="59" t="str">
        <f>IF(B3067="","",IFERROR(INDEX(pr_unit,MATCH(B3067,pr_code,0))&amp;"",""))</f>
        <v/>
      </c>
      <c r="J3067" s="65" t="str">
        <f>IF(COUNTA(A3067:G3067)=0,"",IF(E3067&lt;&gt;"",E3067,IF(B3067="","",IFERROR(IF(INDEX(pr_price,MATCH(B3067,pr_code,0))="","",INDEX(pr_price,MATCH(B3067,pr_code,0))),""))))</f>
        <v/>
      </c>
      <c r="K3067" s="71" t="str">
        <f>IF(COUNTA(A3067:G3067)=0,"",IF(G3067&lt;&gt;"",G3067,IF(B3067="","",IFERROR(IF(INDEX(pr_rate,MATCH(B3067,pr_code,0))="","",INDEX(pr_rate,MATCH(B3067,pr_code,0))),""))))</f>
        <v/>
      </c>
      <c r="L3067" s="65" t="str">
        <f>IF(COUNTA(A3067:G3067)=0,"",IF(AND(ISNUMBER(D3067),ISNUMBER(J3067)),ROUND(D3067*J3067*(1-N(F3067)),2),0))</f>
        <v/>
      </c>
      <c r="M3067" s="62" t="str">
        <f>IF(A3067="","",IFERROR(INDEX(fa_cname,MATCH(A3067,fa_num,0))&amp;"",""))</f>
        <v/>
      </c>
      <c r="N3067" s="59" t="str">
        <f>IF(COUNTA(A3067:G3067)=0,"",IF(A3067="","N° facture manquant",IF(ISNA(MATCH(A3067,fa_num,0)),"Facture inconnue",IF(AND(B3067&lt;&gt;"",ISNA(MATCH(B3067,pr_code,0))),"Article inconnu",IF(H3067="","Désignation manquante",IF(OR(NOT(ISNUMBER(D3067)),N(D3067)&lt;=0),"Quantité invalide",IF(J3067="","Prix manquant",IF(OR(NOT(ISNUMBER(J3067)),N(J3067)&lt;0),"Prix invalide",IF(OR(AND(F3067&lt;&gt;"",NOT(ISNUMBER(F3067))),N(F3067)&lt;0,N(F3067)&gt;1),"Remise invalide",IF(K3067="","Taux de TVA manquant",IF(NOT(ISNUMBER(K3067)),"Taux de TVA invalide",IF(COUNTIF(p_rates,K3067)=0,"Taux de TVA hors liste (Paramètres)",IF(N(O3067)&gt;25,"Au-delà de 25 lignes : non imprimée","OK")))))))))))))</f>
        <v/>
      </c>
      <c r="O3067" s="59" t="str">
        <f>IF(A3067="","",COUNTIF($A$6:A3067,A3067))</f>
        <v/>
      </c>
      <c r="P3067" s="62" t="str">
        <f>IF(A3067="","",A3067&amp;"|"&amp;O3067)</f>
        <v/>
      </c>
    </row>
    <row r="3068">
      <c r="A3068" s="60" t="n"/>
      <c r="B3068" s="63" t="n"/>
      <c r="C3068" s="63" t="n"/>
      <c r="D3068" s="67" t="n"/>
      <c r="E3068" s="68" t="n"/>
      <c r="F3068" s="69" t="n"/>
      <c r="G3068" s="70" t="n"/>
      <c r="H3068" s="62" t="str">
        <f>IF(COUNTA(A3068:G3068)=0,"",IF(C3068&lt;&gt;"",C3068,IF(B3068="","",IFERROR(INDEX(pr_des,MATCH(B3068,pr_code,0))&amp;"",""))))</f>
        <v/>
      </c>
      <c r="I3068" s="59" t="str">
        <f>IF(B3068="","",IFERROR(INDEX(pr_unit,MATCH(B3068,pr_code,0))&amp;"",""))</f>
        <v/>
      </c>
      <c r="J3068" s="65" t="str">
        <f>IF(COUNTA(A3068:G3068)=0,"",IF(E3068&lt;&gt;"",E3068,IF(B3068="","",IFERROR(IF(INDEX(pr_price,MATCH(B3068,pr_code,0))="","",INDEX(pr_price,MATCH(B3068,pr_code,0))),""))))</f>
        <v/>
      </c>
      <c r="K3068" s="71" t="str">
        <f>IF(COUNTA(A3068:G3068)=0,"",IF(G3068&lt;&gt;"",G3068,IF(B3068="","",IFERROR(IF(INDEX(pr_rate,MATCH(B3068,pr_code,0))="","",INDEX(pr_rate,MATCH(B3068,pr_code,0))),""))))</f>
        <v/>
      </c>
      <c r="L3068" s="65" t="str">
        <f>IF(COUNTA(A3068:G3068)=0,"",IF(AND(ISNUMBER(D3068),ISNUMBER(J3068)),ROUND(D3068*J3068*(1-N(F3068)),2),0))</f>
        <v/>
      </c>
      <c r="M3068" s="62" t="str">
        <f>IF(A3068="","",IFERROR(INDEX(fa_cname,MATCH(A3068,fa_num,0))&amp;"",""))</f>
        <v/>
      </c>
      <c r="N3068" s="59" t="str">
        <f>IF(COUNTA(A3068:G3068)=0,"",IF(A3068="","N° facture manquant",IF(ISNA(MATCH(A3068,fa_num,0)),"Facture inconnue",IF(AND(B3068&lt;&gt;"",ISNA(MATCH(B3068,pr_code,0))),"Article inconnu",IF(H3068="","Désignation manquante",IF(OR(NOT(ISNUMBER(D3068)),N(D3068)&lt;=0),"Quantité invalide",IF(J3068="","Prix manquant",IF(OR(NOT(ISNUMBER(J3068)),N(J3068)&lt;0),"Prix invalide",IF(OR(AND(F3068&lt;&gt;"",NOT(ISNUMBER(F3068))),N(F3068)&lt;0,N(F3068)&gt;1),"Remise invalide",IF(K3068="","Taux de TVA manquant",IF(NOT(ISNUMBER(K3068)),"Taux de TVA invalide",IF(COUNTIF(p_rates,K3068)=0,"Taux de TVA hors liste (Paramètres)",IF(N(O3068)&gt;25,"Au-delà de 25 lignes : non imprimée","OK")))))))))))))</f>
        <v/>
      </c>
      <c r="O3068" s="59" t="str">
        <f>IF(A3068="","",COUNTIF($A$6:A3068,A3068))</f>
        <v/>
      </c>
      <c r="P3068" s="62" t="str">
        <f>IF(A3068="","",A3068&amp;"|"&amp;O3068)</f>
        <v/>
      </c>
    </row>
    <row r="3069">
      <c r="A3069" s="60" t="n"/>
      <c r="B3069" s="63" t="n"/>
      <c r="C3069" s="63" t="n"/>
      <c r="D3069" s="67" t="n"/>
      <c r="E3069" s="68" t="n"/>
      <c r="F3069" s="69" t="n"/>
      <c r="G3069" s="70" t="n"/>
      <c r="H3069" s="62" t="str">
        <f>IF(COUNTA(A3069:G3069)=0,"",IF(C3069&lt;&gt;"",C3069,IF(B3069="","",IFERROR(INDEX(pr_des,MATCH(B3069,pr_code,0))&amp;"",""))))</f>
        <v/>
      </c>
      <c r="I3069" s="59" t="str">
        <f>IF(B3069="","",IFERROR(INDEX(pr_unit,MATCH(B3069,pr_code,0))&amp;"",""))</f>
        <v/>
      </c>
      <c r="J3069" s="65" t="str">
        <f>IF(COUNTA(A3069:G3069)=0,"",IF(E3069&lt;&gt;"",E3069,IF(B3069="","",IFERROR(IF(INDEX(pr_price,MATCH(B3069,pr_code,0))="","",INDEX(pr_price,MATCH(B3069,pr_code,0))),""))))</f>
        <v/>
      </c>
      <c r="K3069" s="71" t="str">
        <f>IF(COUNTA(A3069:G3069)=0,"",IF(G3069&lt;&gt;"",G3069,IF(B3069="","",IFERROR(IF(INDEX(pr_rate,MATCH(B3069,pr_code,0))="","",INDEX(pr_rate,MATCH(B3069,pr_code,0))),""))))</f>
        <v/>
      </c>
      <c r="L3069" s="65" t="str">
        <f>IF(COUNTA(A3069:G3069)=0,"",IF(AND(ISNUMBER(D3069),ISNUMBER(J3069)),ROUND(D3069*J3069*(1-N(F3069)),2),0))</f>
        <v/>
      </c>
      <c r="M3069" s="62" t="str">
        <f>IF(A3069="","",IFERROR(INDEX(fa_cname,MATCH(A3069,fa_num,0))&amp;"",""))</f>
        <v/>
      </c>
      <c r="N3069" s="59" t="str">
        <f>IF(COUNTA(A3069:G3069)=0,"",IF(A3069="","N° facture manquant",IF(ISNA(MATCH(A3069,fa_num,0)),"Facture inconnue",IF(AND(B3069&lt;&gt;"",ISNA(MATCH(B3069,pr_code,0))),"Article inconnu",IF(H3069="","Désignation manquante",IF(OR(NOT(ISNUMBER(D3069)),N(D3069)&lt;=0),"Quantité invalide",IF(J3069="","Prix manquant",IF(OR(NOT(ISNUMBER(J3069)),N(J3069)&lt;0),"Prix invalide",IF(OR(AND(F3069&lt;&gt;"",NOT(ISNUMBER(F3069))),N(F3069)&lt;0,N(F3069)&gt;1),"Remise invalide",IF(K3069="","Taux de TVA manquant",IF(NOT(ISNUMBER(K3069)),"Taux de TVA invalide",IF(COUNTIF(p_rates,K3069)=0,"Taux de TVA hors liste (Paramètres)",IF(N(O3069)&gt;25,"Au-delà de 25 lignes : non imprimée","OK")))))))))))))</f>
        <v/>
      </c>
      <c r="O3069" s="59" t="str">
        <f>IF(A3069="","",COUNTIF($A$6:A3069,A3069))</f>
        <v/>
      </c>
      <c r="P3069" s="62" t="str">
        <f>IF(A3069="","",A3069&amp;"|"&amp;O3069)</f>
        <v/>
      </c>
    </row>
    <row r="3070">
      <c r="A3070" s="60" t="n"/>
      <c r="B3070" s="63" t="n"/>
      <c r="C3070" s="63" t="n"/>
      <c r="D3070" s="67" t="n"/>
      <c r="E3070" s="68" t="n"/>
      <c r="F3070" s="69" t="n"/>
      <c r="G3070" s="70" t="n"/>
      <c r="H3070" s="62" t="str">
        <f>IF(COUNTA(A3070:G3070)=0,"",IF(C3070&lt;&gt;"",C3070,IF(B3070="","",IFERROR(INDEX(pr_des,MATCH(B3070,pr_code,0))&amp;"",""))))</f>
        <v/>
      </c>
      <c r="I3070" s="59" t="str">
        <f>IF(B3070="","",IFERROR(INDEX(pr_unit,MATCH(B3070,pr_code,0))&amp;"",""))</f>
        <v/>
      </c>
      <c r="J3070" s="65" t="str">
        <f>IF(COUNTA(A3070:G3070)=0,"",IF(E3070&lt;&gt;"",E3070,IF(B3070="","",IFERROR(IF(INDEX(pr_price,MATCH(B3070,pr_code,0))="","",INDEX(pr_price,MATCH(B3070,pr_code,0))),""))))</f>
        <v/>
      </c>
      <c r="K3070" s="71" t="str">
        <f>IF(COUNTA(A3070:G3070)=0,"",IF(G3070&lt;&gt;"",G3070,IF(B3070="","",IFERROR(IF(INDEX(pr_rate,MATCH(B3070,pr_code,0))="","",INDEX(pr_rate,MATCH(B3070,pr_code,0))),""))))</f>
        <v/>
      </c>
      <c r="L3070" s="65" t="str">
        <f>IF(COUNTA(A3070:G3070)=0,"",IF(AND(ISNUMBER(D3070),ISNUMBER(J3070)),ROUND(D3070*J3070*(1-N(F3070)),2),0))</f>
        <v/>
      </c>
      <c r="M3070" s="62" t="str">
        <f>IF(A3070="","",IFERROR(INDEX(fa_cname,MATCH(A3070,fa_num,0))&amp;"",""))</f>
        <v/>
      </c>
      <c r="N3070" s="59" t="str">
        <f>IF(COUNTA(A3070:G3070)=0,"",IF(A3070="","N° facture manquant",IF(ISNA(MATCH(A3070,fa_num,0)),"Facture inconnue",IF(AND(B3070&lt;&gt;"",ISNA(MATCH(B3070,pr_code,0))),"Article inconnu",IF(H3070="","Désignation manquante",IF(OR(NOT(ISNUMBER(D3070)),N(D3070)&lt;=0),"Quantité invalide",IF(J3070="","Prix manquant",IF(OR(NOT(ISNUMBER(J3070)),N(J3070)&lt;0),"Prix invalide",IF(OR(AND(F3070&lt;&gt;"",NOT(ISNUMBER(F3070))),N(F3070)&lt;0,N(F3070)&gt;1),"Remise invalide",IF(K3070="","Taux de TVA manquant",IF(NOT(ISNUMBER(K3070)),"Taux de TVA invalide",IF(COUNTIF(p_rates,K3070)=0,"Taux de TVA hors liste (Paramètres)",IF(N(O3070)&gt;25,"Au-delà de 25 lignes : non imprimée","OK")))))))))))))</f>
        <v/>
      </c>
      <c r="O3070" s="59" t="str">
        <f>IF(A3070="","",COUNTIF($A$6:A3070,A3070))</f>
        <v/>
      </c>
      <c r="P3070" s="62" t="str">
        <f>IF(A3070="","",A3070&amp;"|"&amp;O3070)</f>
        <v/>
      </c>
    </row>
    <row r="3071">
      <c r="A3071" s="60" t="n"/>
      <c r="B3071" s="63" t="n"/>
      <c r="C3071" s="63" t="n"/>
      <c r="D3071" s="67" t="n"/>
      <c r="E3071" s="68" t="n"/>
      <c r="F3071" s="69" t="n"/>
      <c r="G3071" s="70" t="n"/>
      <c r="H3071" s="62" t="str">
        <f>IF(COUNTA(A3071:G3071)=0,"",IF(C3071&lt;&gt;"",C3071,IF(B3071="","",IFERROR(INDEX(pr_des,MATCH(B3071,pr_code,0))&amp;"",""))))</f>
        <v/>
      </c>
      <c r="I3071" s="59" t="str">
        <f>IF(B3071="","",IFERROR(INDEX(pr_unit,MATCH(B3071,pr_code,0))&amp;"",""))</f>
        <v/>
      </c>
      <c r="J3071" s="65" t="str">
        <f>IF(COUNTA(A3071:G3071)=0,"",IF(E3071&lt;&gt;"",E3071,IF(B3071="","",IFERROR(IF(INDEX(pr_price,MATCH(B3071,pr_code,0))="","",INDEX(pr_price,MATCH(B3071,pr_code,0))),""))))</f>
        <v/>
      </c>
      <c r="K3071" s="71" t="str">
        <f>IF(COUNTA(A3071:G3071)=0,"",IF(G3071&lt;&gt;"",G3071,IF(B3071="","",IFERROR(IF(INDEX(pr_rate,MATCH(B3071,pr_code,0))="","",INDEX(pr_rate,MATCH(B3071,pr_code,0))),""))))</f>
        <v/>
      </c>
      <c r="L3071" s="65" t="str">
        <f>IF(COUNTA(A3071:G3071)=0,"",IF(AND(ISNUMBER(D3071),ISNUMBER(J3071)),ROUND(D3071*J3071*(1-N(F3071)),2),0))</f>
        <v/>
      </c>
      <c r="M3071" s="62" t="str">
        <f>IF(A3071="","",IFERROR(INDEX(fa_cname,MATCH(A3071,fa_num,0))&amp;"",""))</f>
        <v/>
      </c>
      <c r="N3071" s="59" t="str">
        <f>IF(COUNTA(A3071:G3071)=0,"",IF(A3071="","N° facture manquant",IF(ISNA(MATCH(A3071,fa_num,0)),"Facture inconnue",IF(AND(B3071&lt;&gt;"",ISNA(MATCH(B3071,pr_code,0))),"Article inconnu",IF(H3071="","Désignation manquante",IF(OR(NOT(ISNUMBER(D3071)),N(D3071)&lt;=0),"Quantité invalide",IF(J3071="","Prix manquant",IF(OR(NOT(ISNUMBER(J3071)),N(J3071)&lt;0),"Prix invalide",IF(OR(AND(F3071&lt;&gt;"",NOT(ISNUMBER(F3071))),N(F3071)&lt;0,N(F3071)&gt;1),"Remise invalide",IF(K3071="","Taux de TVA manquant",IF(NOT(ISNUMBER(K3071)),"Taux de TVA invalide",IF(COUNTIF(p_rates,K3071)=0,"Taux de TVA hors liste (Paramètres)",IF(N(O3071)&gt;25,"Au-delà de 25 lignes : non imprimée","OK")))))))))))))</f>
        <v/>
      </c>
      <c r="O3071" s="59" t="str">
        <f>IF(A3071="","",COUNTIF($A$6:A3071,A3071))</f>
        <v/>
      </c>
      <c r="P3071" s="62" t="str">
        <f>IF(A3071="","",A3071&amp;"|"&amp;O3071)</f>
        <v/>
      </c>
    </row>
    <row r="3072">
      <c r="A3072" s="60" t="n"/>
      <c r="B3072" s="63" t="n"/>
      <c r="C3072" s="63" t="n"/>
      <c r="D3072" s="67" t="n"/>
      <c r="E3072" s="68" t="n"/>
      <c r="F3072" s="69" t="n"/>
      <c r="G3072" s="70" t="n"/>
      <c r="H3072" s="62" t="str">
        <f>IF(COUNTA(A3072:G3072)=0,"",IF(C3072&lt;&gt;"",C3072,IF(B3072="","",IFERROR(INDEX(pr_des,MATCH(B3072,pr_code,0))&amp;"",""))))</f>
        <v/>
      </c>
      <c r="I3072" s="59" t="str">
        <f>IF(B3072="","",IFERROR(INDEX(pr_unit,MATCH(B3072,pr_code,0))&amp;"",""))</f>
        <v/>
      </c>
      <c r="J3072" s="65" t="str">
        <f>IF(COUNTA(A3072:G3072)=0,"",IF(E3072&lt;&gt;"",E3072,IF(B3072="","",IFERROR(IF(INDEX(pr_price,MATCH(B3072,pr_code,0))="","",INDEX(pr_price,MATCH(B3072,pr_code,0))),""))))</f>
        <v/>
      </c>
      <c r="K3072" s="71" t="str">
        <f>IF(COUNTA(A3072:G3072)=0,"",IF(G3072&lt;&gt;"",G3072,IF(B3072="","",IFERROR(IF(INDEX(pr_rate,MATCH(B3072,pr_code,0))="","",INDEX(pr_rate,MATCH(B3072,pr_code,0))),""))))</f>
        <v/>
      </c>
      <c r="L3072" s="65" t="str">
        <f>IF(COUNTA(A3072:G3072)=0,"",IF(AND(ISNUMBER(D3072),ISNUMBER(J3072)),ROUND(D3072*J3072*(1-N(F3072)),2),0))</f>
        <v/>
      </c>
      <c r="M3072" s="62" t="str">
        <f>IF(A3072="","",IFERROR(INDEX(fa_cname,MATCH(A3072,fa_num,0))&amp;"",""))</f>
        <v/>
      </c>
      <c r="N3072" s="59" t="str">
        <f>IF(COUNTA(A3072:G3072)=0,"",IF(A3072="","N° facture manquant",IF(ISNA(MATCH(A3072,fa_num,0)),"Facture inconnue",IF(AND(B3072&lt;&gt;"",ISNA(MATCH(B3072,pr_code,0))),"Article inconnu",IF(H3072="","Désignation manquante",IF(OR(NOT(ISNUMBER(D3072)),N(D3072)&lt;=0),"Quantité invalide",IF(J3072="","Prix manquant",IF(OR(NOT(ISNUMBER(J3072)),N(J3072)&lt;0),"Prix invalide",IF(OR(AND(F3072&lt;&gt;"",NOT(ISNUMBER(F3072))),N(F3072)&lt;0,N(F3072)&gt;1),"Remise invalide",IF(K3072="","Taux de TVA manquant",IF(NOT(ISNUMBER(K3072)),"Taux de TVA invalide",IF(COUNTIF(p_rates,K3072)=0,"Taux de TVA hors liste (Paramètres)",IF(N(O3072)&gt;25,"Au-delà de 25 lignes : non imprimée","OK")))))))))))))</f>
        <v/>
      </c>
      <c r="O3072" s="59" t="str">
        <f>IF(A3072="","",COUNTIF($A$6:A3072,A3072))</f>
        <v/>
      </c>
      <c r="P3072" s="62" t="str">
        <f>IF(A3072="","",A3072&amp;"|"&amp;O3072)</f>
        <v/>
      </c>
    </row>
    <row r="3073">
      <c r="A3073" s="60" t="n"/>
      <c r="B3073" s="63" t="n"/>
      <c r="C3073" s="63" t="n"/>
      <c r="D3073" s="67" t="n"/>
      <c r="E3073" s="68" t="n"/>
      <c r="F3073" s="69" t="n"/>
      <c r="G3073" s="70" t="n"/>
      <c r="H3073" s="62" t="str">
        <f>IF(COUNTA(A3073:G3073)=0,"",IF(C3073&lt;&gt;"",C3073,IF(B3073="","",IFERROR(INDEX(pr_des,MATCH(B3073,pr_code,0))&amp;"",""))))</f>
        <v/>
      </c>
      <c r="I3073" s="59" t="str">
        <f>IF(B3073="","",IFERROR(INDEX(pr_unit,MATCH(B3073,pr_code,0))&amp;"",""))</f>
        <v/>
      </c>
      <c r="J3073" s="65" t="str">
        <f>IF(COUNTA(A3073:G3073)=0,"",IF(E3073&lt;&gt;"",E3073,IF(B3073="","",IFERROR(IF(INDEX(pr_price,MATCH(B3073,pr_code,0))="","",INDEX(pr_price,MATCH(B3073,pr_code,0))),""))))</f>
        <v/>
      </c>
      <c r="K3073" s="71" t="str">
        <f>IF(COUNTA(A3073:G3073)=0,"",IF(G3073&lt;&gt;"",G3073,IF(B3073="","",IFERROR(IF(INDEX(pr_rate,MATCH(B3073,pr_code,0))="","",INDEX(pr_rate,MATCH(B3073,pr_code,0))),""))))</f>
        <v/>
      </c>
      <c r="L3073" s="65" t="str">
        <f>IF(COUNTA(A3073:G3073)=0,"",IF(AND(ISNUMBER(D3073),ISNUMBER(J3073)),ROUND(D3073*J3073*(1-N(F3073)),2),0))</f>
        <v/>
      </c>
      <c r="M3073" s="62" t="str">
        <f>IF(A3073="","",IFERROR(INDEX(fa_cname,MATCH(A3073,fa_num,0))&amp;"",""))</f>
        <v/>
      </c>
      <c r="N3073" s="59" t="str">
        <f>IF(COUNTA(A3073:G3073)=0,"",IF(A3073="","N° facture manquant",IF(ISNA(MATCH(A3073,fa_num,0)),"Facture inconnue",IF(AND(B3073&lt;&gt;"",ISNA(MATCH(B3073,pr_code,0))),"Article inconnu",IF(H3073="","Désignation manquante",IF(OR(NOT(ISNUMBER(D3073)),N(D3073)&lt;=0),"Quantité invalide",IF(J3073="","Prix manquant",IF(OR(NOT(ISNUMBER(J3073)),N(J3073)&lt;0),"Prix invalide",IF(OR(AND(F3073&lt;&gt;"",NOT(ISNUMBER(F3073))),N(F3073)&lt;0,N(F3073)&gt;1),"Remise invalide",IF(K3073="","Taux de TVA manquant",IF(NOT(ISNUMBER(K3073)),"Taux de TVA invalide",IF(COUNTIF(p_rates,K3073)=0,"Taux de TVA hors liste (Paramètres)",IF(N(O3073)&gt;25,"Au-delà de 25 lignes : non imprimée","OK")))))))))))))</f>
        <v/>
      </c>
      <c r="O3073" s="59" t="str">
        <f>IF(A3073="","",COUNTIF($A$6:A3073,A3073))</f>
        <v/>
      </c>
      <c r="P3073" s="62" t="str">
        <f>IF(A3073="","",A3073&amp;"|"&amp;O3073)</f>
        <v/>
      </c>
    </row>
    <row r="3074">
      <c r="A3074" s="60" t="n"/>
      <c r="B3074" s="63" t="n"/>
      <c r="C3074" s="63" t="n"/>
      <c r="D3074" s="67" t="n"/>
      <c r="E3074" s="68" t="n"/>
      <c r="F3074" s="69" t="n"/>
      <c r="G3074" s="70" t="n"/>
      <c r="H3074" s="62" t="str">
        <f>IF(COUNTA(A3074:G3074)=0,"",IF(C3074&lt;&gt;"",C3074,IF(B3074="","",IFERROR(INDEX(pr_des,MATCH(B3074,pr_code,0))&amp;"",""))))</f>
        <v/>
      </c>
      <c r="I3074" s="59" t="str">
        <f>IF(B3074="","",IFERROR(INDEX(pr_unit,MATCH(B3074,pr_code,0))&amp;"",""))</f>
        <v/>
      </c>
      <c r="J3074" s="65" t="str">
        <f>IF(COUNTA(A3074:G3074)=0,"",IF(E3074&lt;&gt;"",E3074,IF(B3074="","",IFERROR(IF(INDEX(pr_price,MATCH(B3074,pr_code,0))="","",INDEX(pr_price,MATCH(B3074,pr_code,0))),""))))</f>
        <v/>
      </c>
      <c r="K3074" s="71" t="str">
        <f>IF(COUNTA(A3074:G3074)=0,"",IF(G3074&lt;&gt;"",G3074,IF(B3074="","",IFERROR(IF(INDEX(pr_rate,MATCH(B3074,pr_code,0))="","",INDEX(pr_rate,MATCH(B3074,pr_code,0))),""))))</f>
        <v/>
      </c>
      <c r="L3074" s="65" t="str">
        <f>IF(COUNTA(A3074:G3074)=0,"",IF(AND(ISNUMBER(D3074),ISNUMBER(J3074)),ROUND(D3074*J3074*(1-N(F3074)),2),0))</f>
        <v/>
      </c>
      <c r="M3074" s="62" t="str">
        <f>IF(A3074="","",IFERROR(INDEX(fa_cname,MATCH(A3074,fa_num,0))&amp;"",""))</f>
        <v/>
      </c>
      <c r="N3074" s="59" t="str">
        <f>IF(COUNTA(A3074:G3074)=0,"",IF(A3074="","N° facture manquant",IF(ISNA(MATCH(A3074,fa_num,0)),"Facture inconnue",IF(AND(B3074&lt;&gt;"",ISNA(MATCH(B3074,pr_code,0))),"Article inconnu",IF(H3074="","Désignation manquante",IF(OR(NOT(ISNUMBER(D3074)),N(D3074)&lt;=0),"Quantité invalide",IF(J3074="","Prix manquant",IF(OR(NOT(ISNUMBER(J3074)),N(J3074)&lt;0),"Prix invalide",IF(OR(AND(F3074&lt;&gt;"",NOT(ISNUMBER(F3074))),N(F3074)&lt;0,N(F3074)&gt;1),"Remise invalide",IF(K3074="","Taux de TVA manquant",IF(NOT(ISNUMBER(K3074)),"Taux de TVA invalide",IF(COUNTIF(p_rates,K3074)=0,"Taux de TVA hors liste (Paramètres)",IF(N(O3074)&gt;25,"Au-delà de 25 lignes : non imprimée","OK")))))))))))))</f>
        <v/>
      </c>
      <c r="O3074" s="59" t="str">
        <f>IF(A3074="","",COUNTIF($A$6:A3074,A3074))</f>
        <v/>
      </c>
      <c r="P3074" s="62" t="str">
        <f>IF(A3074="","",A3074&amp;"|"&amp;O3074)</f>
        <v/>
      </c>
    </row>
    <row r="3075">
      <c r="A3075" s="60" t="n"/>
      <c r="B3075" s="63" t="n"/>
      <c r="C3075" s="63" t="n"/>
      <c r="D3075" s="67" t="n"/>
      <c r="E3075" s="68" t="n"/>
      <c r="F3075" s="69" t="n"/>
      <c r="G3075" s="70" t="n"/>
      <c r="H3075" s="62" t="str">
        <f>IF(COUNTA(A3075:G3075)=0,"",IF(C3075&lt;&gt;"",C3075,IF(B3075="","",IFERROR(INDEX(pr_des,MATCH(B3075,pr_code,0))&amp;"",""))))</f>
        <v/>
      </c>
      <c r="I3075" s="59" t="str">
        <f>IF(B3075="","",IFERROR(INDEX(pr_unit,MATCH(B3075,pr_code,0))&amp;"",""))</f>
        <v/>
      </c>
      <c r="J3075" s="65" t="str">
        <f>IF(COUNTA(A3075:G3075)=0,"",IF(E3075&lt;&gt;"",E3075,IF(B3075="","",IFERROR(IF(INDEX(pr_price,MATCH(B3075,pr_code,0))="","",INDEX(pr_price,MATCH(B3075,pr_code,0))),""))))</f>
        <v/>
      </c>
      <c r="K3075" s="71" t="str">
        <f>IF(COUNTA(A3075:G3075)=0,"",IF(G3075&lt;&gt;"",G3075,IF(B3075="","",IFERROR(IF(INDEX(pr_rate,MATCH(B3075,pr_code,0))="","",INDEX(pr_rate,MATCH(B3075,pr_code,0))),""))))</f>
        <v/>
      </c>
      <c r="L3075" s="65" t="str">
        <f>IF(COUNTA(A3075:G3075)=0,"",IF(AND(ISNUMBER(D3075),ISNUMBER(J3075)),ROUND(D3075*J3075*(1-N(F3075)),2),0))</f>
        <v/>
      </c>
      <c r="M3075" s="62" t="str">
        <f>IF(A3075="","",IFERROR(INDEX(fa_cname,MATCH(A3075,fa_num,0))&amp;"",""))</f>
        <v/>
      </c>
      <c r="N3075" s="59" t="str">
        <f>IF(COUNTA(A3075:G3075)=0,"",IF(A3075="","N° facture manquant",IF(ISNA(MATCH(A3075,fa_num,0)),"Facture inconnue",IF(AND(B3075&lt;&gt;"",ISNA(MATCH(B3075,pr_code,0))),"Article inconnu",IF(H3075="","Désignation manquante",IF(OR(NOT(ISNUMBER(D3075)),N(D3075)&lt;=0),"Quantité invalide",IF(J3075="","Prix manquant",IF(OR(NOT(ISNUMBER(J3075)),N(J3075)&lt;0),"Prix invalide",IF(OR(AND(F3075&lt;&gt;"",NOT(ISNUMBER(F3075))),N(F3075)&lt;0,N(F3075)&gt;1),"Remise invalide",IF(K3075="","Taux de TVA manquant",IF(NOT(ISNUMBER(K3075)),"Taux de TVA invalide",IF(COUNTIF(p_rates,K3075)=0,"Taux de TVA hors liste (Paramètres)",IF(N(O3075)&gt;25,"Au-delà de 25 lignes : non imprimée","OK")))))))))))))</f>
        <v/>
      </c>
      <c r="O3075" s="59" t="str">
        <f>IF(A3075="","",COUNTIF($A$6:A3075,A3075))</f>
        <v/>
      </c>
      <c r="P3075" s="62" t="str">
        <f>IF(A3075="","",A3075&amp;"|"&amp;O3075)</f>
        <v/>
      </c>
    </row>
    <row r="3076">
      <c r="A3076" s="60" t="n"/>
      <c r="B3076" s="63" t="n"/>
      <c r="C3076" s="63" t="n"/>
      <c r="D3076" s="67" t="n"/>
      <c r="E3076" s="68" t="n"/>
      <c r="F3076" s="69" t="n"/>
      <c r="G3076" s="70" t="n"/>
      <c r="H3076" s="62" t="str">
        <f>IF(COUNTA(A3076:G3076)=0,"",IF(C3076&lt;&gt;"",C3076,IF(B3076="","",IFERROR(INDEX(pr_des,MATCH(B3076,pr_code,0))&amp;"",""))))</f>
        <v/>
      </c>
      <c r="I3076" s="59" t="str">
        <f>IF(B3076="","",IFERROR(INDEX(pr_unit,MATCH(B3076,pr_code,0))&amp;"",""))</f>
        <v/>
      </c>
      <c r="J3076" s="65" t="str">
        <f>IF(COUNTA(A3076:G3076)=0,"",IF(E3076&lt;&gt;"",E3076,IF(B3076="","",IFERROR(IF(INDEX(pr_price,MATCH(B3076,pr_code,0))="","",INDEX(pr_price,MATCH(B3076,pr_code,0))),""))))</f>
        <v/>
      </c>
      <c r="K3076" s="71" t="str">
        <f>IF(COUNTA(A3076:G3076)=0,"",IF(G3076&lt;&gt;"",G3076,IF(B3076="","",IFERROR(IF(INDEX(pr_rate,MATCH(B3076,pr_code,0))="","",INDEX(pr_rate,MATCH(B3076,pr_code,0))),""))))</f>
        <v/>
      </c>
      <c r="L3076" s="65" t="str">
        <f>IF(COUNTA(A3076:G3076)=0,"",IF(AND(ISNUMBER(D3076),ISNUMBER(J3076)),ROUND(D3076*J3076*(1-N(F3076)),2),0))</f>
        <v/>
      </c>
      <c r="M3076" s="62" t="str">
        <f>IF(A3076="","",IFERROR(INDEX(fa_cname,MATCH(A3076,fa_num,0))&amp;"",""))</f>
        <v/>
      </c>
      <c r="N3076" s="59" t="str">
        <f>IF(COUNTA(A3076:G3076)=0,"",IF(A3076="","N° facture manquant",IF(ISNA(MATCH(A3076,fa_num,0)),"Facture inconnue",IF(AND(B3076&lt;&gt;"",ISNA(MATCH(B3076,pr_code,0))),"Article inconnu",IF(H3076="","Désignation manquante",IF(OR(NOT(ISNUMBER(D3076)),N(D3076)&lt;=0),"Quantité invalide",IF(J3076="","Prix manquant",IF(OR(NOT(ISNUMBER(J3076)),N(J3076)&lt;0),"Prix invalide",IF(OR(AND(F3076&lt;&gt;"",NOT(ISNUMBER(F3076))),N(F3076)&lt;0,N(F3076)&gt;1),"Remise invalide",IF(K3076="","Taux de TVA manquant",IF(NOT(ISNUMBER(K3076)),"Taux de TVA invalide",IF(COUNTIF(p_rates,K3076)=0,"Taux de TVA hors liste (Paramètres)",IF(N(O3076)&gt;25,"Au-delà de 25 lignes : non imprimée","OK")))))))))))))</f>
        <v/>
      </c>
      <c r="O3076" s="59" t="str">
        <f>IF(A3076="","",COUNTIF($A$6:A3076,A3076))</f>
        <v/>
      </c>
      <c r="P3076" s="62" t="str">
        <f>IF(A3076="","",A3076&amp;"|"&amp;O3076)</f>
        <v/>
      </c>
    </row>
    <row r="3077">
      <c r="A3077" s="60" t="n"/>
      <c r="B3077" s="63" t="n"/>
      <c r="C3077" s="63" t="n"/>
      <c r="D3077" s="67" t="n"/>
      <c r="E3077" s="68" t="n"/>
      <c r="F3077" s="69" t="n"/>
      <c r="G3077" s="70" t="n"/>
      <c r="H3077" s="62" t="str">
        <f>IF(COUNTA(A3077:G3077)=0,"",IF(C3077&lt;&gt;"",C3077,IF(B3077="","",IFERROR(INDEX(pr_des,MATCH(B3077,pr_code,0))&amp;"",""))))</f>
        <v/>
      </c>
      <c r="I3077" s="59" t="str">
        <f>IF(B3077="","",IFERROR(INDEX(pr_unit,MATCH(B3077,pr_code,0))&amp;"",""))</f>
        <v/>
      </c>
      <c r="J3077" s="65" t="str">
        <f>IF(COUNTA(A3077:G3077)=0,"",IF(E3077&lt;&gt;"",E3077,IF(B3077="","",IFERROR(IF(INDEX(pr_price,MATCH(B3077,pr_code,0))="","",INDEX(pr_price,MATCH(B3077,pr_code,0))),""))))</f>
        <v/>
      </c>
      <c r="K3077" s="71" t="str">
        <f>IF(COUNTA(A3077:G3077)=0,"",IF(G3077&lt;&gt;"",G3077,IF(B3077="","",IFERROR(IF(INDEX(pr_rate,MATCH(B3077,pr_code,0))="","",INDEX(pr_rate,MATCH(B3077,pr_code,0))),""))))</f>
        <v/>
      </c>
      <c r="L3077" s="65" t="str">
        <f>IF(COUNTA(A3077:G3077)=0,"",IF(AND(ISNUMBER(D3077),ISNUMBER(J3077)),ROUND(D3077*J3077*(1-N(F3077)),2),0))</f>
        <v/>
      </c>
      <c r="M3077" s="62" t="str">
        <f>IF(A3077="","",IFERROR(INDEX(fa_cname,MATCH(A3077,fa_num,0))&amp;"",""))</f>
        <v/>
      </c>
      <c r="N3077" s="59" t="str">
        <f>IF(COUNTA(A3077:G3077)=0,"",IF(A3077="","N° facture manquant",IF(ISNA(MATCH(A3077,fa_num,0)),"Facture inconnue",IF(AND(B3077&lt;&gt;"",ISNA(MATCH(B3077,pr_code,0))),"Article inconnu",IF(H3077="","Désignation manquante",IF(OR(NOT(ISNUMBER(D3077)),N(D3077)&lt;=0),"Quantité invalide",IF(J3077="","Prix manquant",IF(OR(NOT(ISNUMBER(J3077)),N(J3077)&lt;0),"Prix invalide",IF(OR(AND(F3077&lt;&gt;"",NOT(ISNUMBER(F3077))),N(F3077)&lt;0,N(F3077)&gt;1),"Remise invalide",IF(K3077="","Taux de TVA manquant",IF(NOT(ISNUMBER(K3077)),"Taux de TVA invalide",IF(COUNTIF(p_rates,K3077)=0,"Taux de TVA hors liste (Paramètres)",IF(N(O3077)&gt;25,"Au-delà de 25 lignes : non imprimée","OK")))))))))))))</f>
        <v/>
      </c>
      <c r="O3077" s="59" t="str">
        <f>IF(A3077="","",COUNTIF($A$6:A3077,A3077))</f>
        <v/>
      </c>
      <c r="P3077" s="62" t="str">
        <f>IF(A3077="","",A3077&amp;"|"&amp;O3077)</f>
        <v/>
      </c>
    </row>
    <row r="3078">
      <c r="A3078" s="60" t="n"/>
      <c r="B3078" s="63" t="n"/>
      <c r="C3078" s="63" t="n"/>
      <c r="D3078" s="67" t="n"/>
      <c r="E3078" s="68" t="n"/>
      <c r="F3078" s="69" t="n"/>
      <c r="G3078" s="70" t="n"/>
      <c r="H3078" s="62" t="str">
        <f>IF(COUNTA(A3078:G3078)=0,"",IF(C3078&lt;&gt;"",C3078,IF(B3078="","",IFERROR(INDEX(pr_des,MATCH(B3078,pr_code,0))&amp;"",""))))</f>
        <v/>
      </c>
      <c r="I3078" s="59" t="str">
        <f>IF(B3078="","",IFERROR(INDEX(pr_unit,MATCH(B3078,pr_code,0))&amp;"",""))</f>
        <v/>
      </c>
      <c r="J3078" s="65" t="str">
        <f>IF(COUNTA(A3078:G3078)=0,"",IF(E3078&lt;&gt;"",E3078,IF(B3078="","",IFERROR(IF(INDEX(pr_price,MATCH(B3078,pr_code,0))="","",INDEX(pr_price,MATCH(B3078,pr_code,0))),""))))</f>
        <v/>
      </c>
      <c r="K3078" s="71" t="str">
        <f>IF(COUNTA(A3078:G3078)=0,"",IF(G3078&lt;&gt;"",G3078,IF(B3078="","",IFERROR(IF(INDEX(pr_rate,MATCH(B3078,pr_code,0))="","",INDEX(pr_rate,MATCH(B3078,pr_code,0))),""))))</f>
        <v/>
      </c>
      <c r="L3078" s="65" t="str">
        <f>IF(COUNTA(A3078:G3078)=0,"",IF(AND(ISNUMBER(D3078),ISNUMBER(J3078)),ROUND(D3078*J3078*(1-N(F3078)),2),0))</f>
        <v/>
      </c>
      <c r="M3078" s="62" t="str">
        <f>IF(A3078="","",IFERROR(INDEX(fa_cname,MATCH(A3078,fa_num,0))&amp;"",""))</f>
        <v/>
      </c>
      <c r="N3078" s="59" t="str">
        <f>IF(COUNTA(A3078:G3078)=0,"",IF(A3078="","N° facture manquant",IF(ISNA(MATCH(A3078,fa_num,0)),"Facture inconnue",IF(AND(B3078&lt;&gt;"",ISNA(MATCH(B3078,pr_code,0))),"Article inconnu",IF(H3078="","Désignation manquante",IF(OR(NOT(ISNUMBER(D3078)),N(D3078)&lt;=0),"Quantité invalide",IF(J3078="","Prix manquant",IF(OR(NOT(ISNUMBER(J3078)),N(J3078)&lt;0),"Prix invalide",IF(OR(AND(F3078&lt;&gt;"",NOT(ISNUMBER(F3078))),N(F3078)&lt;0,N(F3078)&gt;1),"Remise invalide",IF(K3078="","Taux de TVA manquant",IF(NOT(ISNUMBER(K3078)),"Taux de TVA invalide",IF(COUNTIF(p_rates,K3078)=0,"Taux de TVA hors liste (Paramètres)",IF(N(O3078)&gt;25,"Au-delà de 25 lignes : non imprimée","OK")))))))))))))</f>
        <v/>
      </c>
      <c r="O3078" s="59" t="str">
        <f>IF(A3078="","",COUNTIF($A$6:A3078,A3078))</f>
        <v/>
      </c>
      <c r="P3078" s="62" t="str">
        <f>IF(A3078="","",A3078&amp;"|"&amp;O3078)</f>
        <v/>
      </c>
    </row>
    <row r="3079">
      <c r="A3079" s="60" t="n"/>
      <c r="B3079" s="63" t="n"/>
      <c r="C3079" s="63" t="n"/>
      <c r="D3079" s="67" t="n"/>
      <c r="E3079" s="68" t="n"/>
      <c r="F3079" s="69" t="n"/>
      <c r="G3079" s="70" t="n"/>
      <c r="H3079" s="62" t="str">
        <f>IF(COUNTA(A3079:G3079)=0,"",IF(C3079&lt;&gt;"",C3079,IF(B3079="","",IFERROR(INDEX(pr_des,MATCH(B3079,pr_code,0))&amp;"",""))))</f>
        <v/>
      </c>
      <c r="I3079" s="59" t="str">
        <f>IF(B3079="","",IFERROR(INDEX(pr_unit,MATCH(B3079,pr_code,0))&amp;"",""))</f>
        <v/>
      </c>
      <c r="J3079" s="65" t="str">
        <f>IF(COUNTA(A3079:G3079)=0,"",IF(E3079&lt;&gt;"",E3079,IF(B3079="","",IFERROR(IF(INDEX(pr_price,MATCH(B3079,pr_code,0))="","",INDEX(pr_price,MATCH(B3079,pr_code,0))),""))))</f>
        <v/>
      </c>
      <c r="K3079" s="71" t="str">
        <f>IF(COUNTA(A3079:G3079)=0,"",IF(G3079&lt;&gt;"",G3079,IF(B3079="","",IFERROR(IF(INDEX(pr_rate,MATCH(B3079,pr_code,0))="","",INDEX(pr_rate,MATCH(B3079,pr_code,0))),""))))</f>
        <v/>
      </c>
      <c r="L3079" s="65" t="str">
        <f>IF(COUNTA(A3079:G3079)=0,"",IF(AND(ISNUMBER(D3079),ISNUMBER(J3079)),ROUND(D3079*J3079*(1-N(F3079)),2),0))</f>
        <v/>
      </c>
      <c r="M3079" s="62" t="str">
        <f>IF(A3079="","",IFERROR(INDEX(fa_cname,MATCH(A3079,fa_num,0))&amp;"",""))</f>
        <v/>
      </c>
      <c r="N3079" s="59" t="str">
        <f>IF(COUNTA(A3079:G3079)=0,"",IF(A3079="","N° facture manquant",IF(ISNA(MATCH(A3079,fa_num,0)),"Facture inconnue",IF(AND(B3079&lt;&gt;"",ISNA(MATCH(B3079,pr_code,0))),"Article inconnu",IF(H3079="","Désignation manquante",IF(OR(NOT(ISNUMBER(D3079)),N(D3079)&lt;=0),"Quantité invalide",IF(J3079="","Prix manquant",IF(OR(NOT(ISNUMBER(J3079)),N(J3079)&lt;0),"Prix invalide",IF(OR(AND(F3079&lt;&gt;"",NOT(ISNUMBER(F3079))),N(F3079)&lt;0,N(F3079)&gt;1),"Remise invalide",IF(K3079="","Taux de TVA manquant",IF(NOT(ISNUMBER(K3079)),"Taux de TVA invalide",IF(COUNTIF(p_rates,K3079)=0,"Taux de TVA hors liste (Paramètres)",IF(N(O3079)&gt;25,"Au-delà de 25 lignes : non imprimée","OK")))))))))))))</f>
        <v/>
      </c>
      <c r="O3079" s="59" t="str">
        <f>IF(A3079="","",COUNTIF($A$6:A3079,A3079))</f>
        <v/>
      </c>
      <c r="P3079" s="62" t="str">
        <f>IF(A3079="","",A3079&amp;"|"&amp;O3079)</f>
        <v/>
      </c>
    </row>
    <row r="3080">
      <c r="A3080" s="60" t="n"/>
      <c r="B3080" s="63" t="n"/>
      <c r="C3080" s="63" t="n"/>
      <c r="D3080" s="67" t="n"/>
      <c r="E3080" s="68" t="n"/>
      <c r="F3080" s="69" t="n"/>
      <c r="G3080" s="70" t="n"/>
      <c r="H3080" s="62" t="str">
        <f>IF(COUNTA(A3080:G3080)=0,"",IF(C3080&lt;&gt;"",C3080,IF(B3080="","",IFERROR(INDEX(pr_des,MATCH(B3080,pr_code,0))&amp;"",""))))</f>
        <v/>
      </c>
      <c r="I3080" s="59" t="str">
        <f>IF(B3080="","",IFERROR(INDEX(pr_unit,MATCH(B3080,pr_code,0))&amp;"",""))</f>
        <v/>
      </c>
      <c r="J3080" s="65" t="str">
        <f>IF(COUNTA(A3080:G3080)=0,"",IF(E3080&lt;&gt;"",E3080,IF(B3080="","",IFERROR(IF(INDEX(pr_price,MATCH(B3080,pr_code,0))="","",INDEX(pr_price,MATCH(B3080,pr_code,0))),""))))</f>
        <v/>
      </c>
      <c r="K3080" s="71" t="str">
        <f>IF(COUNTA(A3080:G3080)=0,"",IF(G3080&lt;&gt;"",G3080,IF(B3080="","",IFERROR(IF(INDEX(pr_rate,MATCH(B3080,pr_code,0))="","",INDEX(pr_rate,MATCH(B3080,pr_code,0))),""))))</f>
        <v/>
      </c>
      <c r="L3080" s="65" t="str">
        <f>IF(COUNTA(A3080:G3080)=0,"",IF(AND(ISNUMBER(D3080),ISNUMBER(J3080)),ROUND(D3080*J3080*(1-N(F3080)),2),0))</f>
        <v/>
      </c>
      <c r="M3080" s="62" t="str">
        <f>IF(A3080="","",IFERROR(INDEX(fa_cname,MATCH(A3080,fa_num,0))&amp;"",""))</f>
        <v/>
      </c>
      <c r="N3080" s="59" t="str">
        <f>IF(COUNTA(A3080:G3080)=0,"",IF(A3080="","N° facture manquant",IF(ISNA(MATCH(A3080,fa_num,0)),"Facture inconnue",IF(AND(B3080&lt;&gt;"",ISNA(MATCH(B3080,pr_code,0))),"Article inconnu",IF(H3080="","Désignation manquante",IF(OR(NOT(ISNUMBER(D3080)),N(D3080)&lt;=0),"Quantité invalide",IF(J3080="","Prix manquant",IF(OR(NOT(ISNUMBER(J3080)),N(J3080)&lt;0),"Prix invalide",IF(OR(AND(F3080&lt;&gt;"",NOT(ISNUMBER(F3080))),N(F3080)&lt;0,N(F3080)&gt;1),"Remise invalide",IF(K3080="","Taux de TVA manquant",IF(NOT(ISNUMBER(K3080)),"Taux de TVA invalide",IF(COUNTIF(p_rates,K3080)=0,"Taux de TVA hors liste (Paramètres)",IF(N(O3080)&gt;25,"Au-delà de 25 lignes : non imprimée","OK")))))))))))))</f>
        <v/>
      </c>
      <c r="O3080" s="59" t="str">
        <f>IF(A3080="","",COUNTIF($A$6:A3080,A3080))</f>
        <v/>
      </c>
      <c r="P3080" s="62" t="str">
        <f>IF(A3080="","",A3080&amp;"|"&amp;O3080)</f>
        <v/>
      </c>
    </row>
    <row r="3081">
      <c r="A3081" s="60" t="n"/>
      <c r="B3081" s="63" t="n"/>
      <c r="C3081" s="63" t="n"/>
      <c r="D3081" s="67" t="n"/>
      <c r="E3081" s="68" t="n"/>
      <c r="F3081" s="69" t="n"/>
      <c r="G3081" s="70" t="n"/>
      <c r="H3081" s="62" t="str">
        <f>IF(COUNTA(A3081:G3081)=0,"",IF(C3081&lt;&gt;"",C3081,IF(B3081="","",IFERROR(INDEX(pr_des,MATCH(B3081,pr_code,0))&amp;"",""))))</f>
        <v/>
      </c>
      <c r="I3081" s="59" t="str">
        <f>IF(B3081="","",IFERROR(INDEX(pr_unit,MATCH(B3081,pr_code,0))&amp;"",""))</f>
        <v/>
      </c>
      <c r="J3081" s="65" t="str">
        <f>IF(COUNTA(A3081:G3081)=0,"",IF(E3081&lt;&gt;"",E3081,IF(B3081="","",IFERROR(IF(INDEX(pr_price,MATCH(B3081,pr_code,0))="","",INDEX(pr_price,MATCH(B3081,pr_code,0))),""))))</f>
        <v/>
      </c>
      <c r="K3081" s="71" t="str">
        <f>IF(COUNTA(A3081:G3081)=0,"",IF(G3081&lt;&gt;"",G3081,IF(B3081="","",IFERROR(IF(INDEX(pr_rate,MATCH(B3081,pr_code,0))="","",INDEX(pr_rate,MATCH(B3081,pr_code,0))),""))))</f>
        <v/>
      </c>
      <c r="L3081" s="65" t="str">
        <f>IF(COUNTA(A3081:G3081)=0,"",IF(AND(ISNUMBER(D3081),ISNUMBER(J3081)),ROUND(D3081*J3081*(1-N(F3081)),2),0))</f>
        <v/>
      </c>
      <c r="M3081" s="62" t="str">
        <f>IF(A3081="","",IFERROR(INDEX(fa_cname,MATCH(A3081,fa_num,0))&amp;"",""))</f>
        <v/>
      </c>
      <c r="N3081" s="59" t="str">
        <f>IF(COUNTA(A3081:G3081)=0,"",IF(A3081="","N° facture manquant",IF(ISNA(MATCH(A3081,fa_num,0)),"Facture inconnue",IF(AND(B3081&lt;&gt;"",ISNA(MATCH(B3081,pr_code,0))),"Article inconnu",IF(H3081="","Désignation manquante",IF(OR(NOT(ISNUMBER(D3081)),N(D3081)&lt;=0),"Quantité invalide",IF(J3081="","Prix manquant",IF(OR(NOT(ISNUMBER(J3081)),N(J3081)&lt;0),"Prix invalide",IF(OR(AND(F3081&lt;&gt;"",NOT(ISNUMBER(F3081))),N(F3081)&lt;0,N(F3081)&gt;1),"Remise invalide",IF(K3081="","Taux de TVA manquant",IF(NOT(ISNUMBER(K3081)),"Taux de TVA invalide",IF(COUNTIF(p_rates,K3081)=0,"Taux de TVA hors liste (Paramètres)",IF(N(O3081)&gt;25,"Au-delà de 25 lignes : non imprimée","OK")))))))))))))</f>
        <v/>
      </c>
      <c r="O3081" s="59" t="str">
        <f>IF(A3081="","",COUNTIF($A$6:A3081,A3081))</f>
        <v/>
      </c>
      <c r="P3081" s="62" t="str">
        <f>IF(A3081="","",A3081&amp;"|"&amp;O3081)</f>
        <v/>
      </c>
    </row>
    <row r="3082">
      <c r="A3082" s="60" t="n"/>
      <c r="B3082" s="63" t="n"/>
      <c r="C3082" s="63" t="n"/>
      <c r="D3082" s="67" t="n"/>
      <c r="E3082" s="68" t="n"/>
      <c r="F3082" s="69" t="n"/>
      <c r="G3082" s="70" t="n"/>
      <c r="H3082" s="62" t="str">
        <f>IF(COUNTA(A3082:G3082)=0,"",IF(C3082&lt;&gt;"",C3082,IF(B3082="","",IFERROR(INDEX(pr_des,MATCH(B3082,pr_code,0))&amp;"",""))))</f>
        <v/>
      </c>
      <c r="I3082" s="59" t="str">
        <f>IF(B3082="","",IFERROR(INDEX(pr_unit,MATCH(B3082,pr_code,0))&amp;"",""))</f>
        <v/>
      </c>
      <c r="J3082" s="65" t="str">
        <f>IF(COUNTA(A3082:G3082)=0,"",IF(E3082&lt;&gt;"",E3082,IF(B3082="","",IFERROR(IF(INDEX(pr_price,MATCH(B3082,pr_code,0))="","",INDEX(pr_price,MATCH(B3082,pr_code,0))),""))))</f>
        <v/>
      </c>
      <c r="K3082" s="71" t="str">
        <f>IF(COUNTA(A3082:G3082)=0,"",IF(G3082&lt;&gt;"",G3082,IF(B3082="","",IFERROR(IF(INDEX(pr_rate,MATCH(B3082,pr_code,0))="","",INDEX(pr_rate,MATCH(B3082,pr_code,0))),""))))</f>
        <v/>
      </c>
      <c r="L3082" s="65" t="str">
        <f>IF(COUNTA(A3082:G3082)=0,"",IF(AND(ISNUMBER(D3082),ISNUMBER(J3082)),ROUND(D3082*J3082*(1-N(F3082)),2),0))</f>
        <v/>
      </c>
      <c r="M3082" s="62" t="str">
        <f>IF(A3082="","",IFERROR(INDEX(fa_cname,MATCH(A3082,fa_num,0))&amp;"",""))</f>
        <v/>
      </c>
      <c r="N3082" s="59" t="str">
        <f>IF(COUNTA(A3082:G3082)=0,"",IF(A3082="","N° facture manquant",IF(ISNA(MATCH(A3082,fa_num,0)),"Facture inconnue",IF(AND(B3082&lt;&gt;"",ISNA(MATCH(B3082,pr_code,0))),"Article inconnu",IF(H3082="","Désignation manquante",IF(OR(NOT(ISNUMBER(D3082)),N(D3082)&lt;=0),"Quantité invalide",IF(J3082="","Prix manquant",IF(OR(NOT(ISNUMBER(J3082)),N(J3082)&lt;0),"Prix invalide",IF(OR(AND(F3082&lt;&gt;"",NOT(ISNUMBER(F3082))),N(F3082)&lt;0,N(F3082)&gt;1),"Remise invalide",IF(K3082="","Taux de TVA manquant",IF(NOT(ISNUMBER(K3082)),"Taux de TVA invalide",IF(COUNTIF(p_rates,K3082)=0,"Taux de TVA hors liste (Paramètres)",IF(N(O3082)&gt;25,"Au-delà de 25 lignes : non imprimée","OK")))))))))))))</f>
        <v/>
      </c>
      <c r="O3082" s="59" t="str">
        <f>IF(A3082="","",COUNTIF($A$6:A3082,A3082))</f>
        <v/>
      </c>
      <c r="P3082" s="62" t="str">
        <f>IF(A3082="","",A3082&amp;"|"&amp;O3082)</f>
        <v/>
      </c>
    </row>
    <row r="3083">
      <c r="A3083" s="60" t="n"/>
      <c r="B3083" s="63" t="n"/>
      <c r="C3083" s="63" t="n"/>
      <c r="D3083" s="67" t="n"/>
      <c r="E3083" s="68" t="n"/>
      <c r="F3083" s="69" t="n"/>
      <c r="G3083" s="70" t="n"/>
      <c r="H3083" s="62" t="str">
        <f>IF(COUNTA(A3083:G3083)=0,"",IF(C3083&lt;&gt;"",C3083,IF(B3083="","",IFERROR(INDEX(pr_des,MATCH(B3083,pr_code,0))&amp;"",""))))</f>
        <v/>
      </c>
      <c r="I3083" s="59" t="str">
        <f>IF(B3083="","",IFERROR(INDEX(pr_unit,MATCH(B3083,pr_code,0))&amp;"",""))</f>
        <v/>
      </c>
      <c r="J3083" s="65" t="str">
        <f>IF(COUNTA(A3083:G3083)=0,"",IF(E3083&lt;&gt;"",E3083,IF(B3083="","",IFERROR(IF(INDEX(pr_price,MATCH(B3083,pr_code,0))="","",INDEX(pr_price,MATCH(B3083,pr_code,0))),""))))</f>
        <v/>
      </c>
      <c r="K3083" s="71" t="str">
        <f>IF(COUNTA(A3083:G3083)=0,"",IF(G3083&lt;&gt;"",G3083,IF(B3083="","",IFERROR(IF(INDEX(pr_rate,MATCH(B3083,pr_code,0))="","",INDEX(pr_rate,MATCH(B3083,pr_code,0))),""))))</f>
        <v/>
      </c>
      <c r="L3083" s="65" t="str">
        <f>IF(COUNTA(A3083:G3083)=0,"",IF(AND(ISNUMBER(D3083),ISNUMBER(J3083)),ROUND(D3083*J3083*(1-N(F3083)),2),0))</f>
        <v/>
      </c>
      <c r="M3083" s="62" t="str">
        <f>IF(A3083="","",IFERROR(INDEX(fa_cname,MATCH(A3083,fa_num,0))&amp;"",""))</f>
        <v/>
      </c>
      <c r="N3083" s="59" t="str">
        <f>IF(COUNTA(A3083:G3083)=0,"",IF(A3083="","N° facture manquant",IF(ISNA(MATCH(A3083,fa_num,0)),"Facture inconnue",IF(AND(B3083&lt;&gt;"",ISNA(MATCH(B3083,pr_code,0))),"Article inconnu",IF(H3083="","Désignation manquante",IF(OR(NOT(ISNUMBER(D3083)),N(D3083)&lt;=0),"Quantité invalide",IF(J3083="","Prix manquant",IF(OR(NOT(ISNUMBER(J3083)),N(J3083)&lt;0),"Prix invalide",IF(OR(AND(F3083&lt;&gt;"",NOT(ISNUMBER(F3083))),N(F3083)&lt;0,N(F3083)&gt;1),"Remise invalide",IF(K3083="","Taux de TVA manquant",IF(NOT(ISNUMBER(K3083)),"Taux de TVA invalide",IF(COUNTIF(p_rates,K3083)=0,"Taux de TVA hors liste (Paramètres)",IF(N(O3083)&gt;25,"Au-delà de 25 lignes : non imprimée","OK")))))))))))))</f>
        <v/>
      </c>
      <c r="O3083" s="59" t="str">
        <f>IF(A3083="","",COUNTIF($A$6:A3083,A3083))</f>
        <v/>
      </c>
      <c r="P3083" s="62" t="str">
        <f>IF(A3083="","",A3083&amp;"|"&amp;O3083)</f>
        <v/>
      </c>
    </row>
    <row r="3084">
      <c r="A3084" s="60" t="n"/>
      <c r="B3084" s="63" t="n"/>
      <c r="C3084" s="63" t="n"/>
      <c r="D3084" s="67" t="n"/>
      <c r="E3084" s="68" t="n"/>
      <c r="F3084" s="69" t="n"/>
      <c r="G3084" s="70" t="n"/>
      <c r="H3084" s="62" t="str">
        <f>IF(COUNTA(A3084:G3084)=0,"",IF(C3084&lt;&gt;"",C3084,IF(B3084="","",IFERROR(INDEX(pr_des,MATCH(B3084,pr_code,0))&amp;"",""))))</f>
        <v/>
      </c>
      <c r="I3084" s="59" t="str">
        <f>IF(B3084="","",IFERROR(INDEX(pr_unit,MATCH(B3084,pr_code,0))&amp;"",""))</f>
        <v/>
      </c>
      <c r="J3084" s="65" t="str">
        <f>IF(COUNTA(A3084:G3084)=0,"",IF(E3084&lt;&gt;"",E3084,IF(B3084="","",IFERROR(IF(INDEX(pr_price,MATCH(B3084,pr_code,0))="","",INDEX(pr_price,MATCH(B3084,pr_code,0))),""))))</f>
        <v/>
      </c>
      <c r="K3084" s="71" t="str">
        <f>IF(COUNTA(A3084:G3084)=0,"",IF(G3084&lt;&gt;"",G3084,IF(B3084="","",IFERROR(IF(INDEX(pr_rate,MATCH(B3084,pr_code,0))="","",INDEX(pr_rate,MATCH(B3084,pr_code,0))),""))))</f>
        <v/>
      </c>
      <c r="L3084" s="65" t="str">
        <f>IF(COUNTA(A3084:G3084)=0,"",IF(AND(ISNUMBER(D3084),ISNUMBER(J3084)),ROUND(D3084*J3084*(1-N(F3084)),2),0))</f>
        <v/>
      </c>
      <c r="M3084" s="62" t="str">
        <f>IF(A3084="","",IFERROR(INDEX(fa_cname,MATCH(A3084,fa_num,0))&amp;"",""))</f>
        <v/>
      </c>
      <c r="N3084" s="59" t="str">
        <f>IF(COUNTA(A3084:G3084)=0,"",IF(A3084="","N° facture manquant",IF(ISNA(MATCH(A3084,fa_num,0)),"Facture inconnue",IF(AND(B3084&lt;&gt;"",ISNA(MATCH(B3084,pr_code,0))),"Article inconnu",IF(H3084="","Désignation manquante",IF(OR(NOT(ISNUMBER(D3084)),N(D3084)&lt;=0),"Quantité invalide",IF(J3084="","Prix manquant",IF(OR(NOT(ISNUMBER(J3084)),N(J3084)&lt;0),"Prix invalide",IF(OR(AND(F3084&lt;&gt;"",NOT(ISNUMBER(F3084))),N(F3084)&lt;0,N(F3084)&gt;1),"Remise invalide",IF(K3084="","Taux de TVA manquant",IF(NOT(ISNUMBER(K3084)),"Taux de TVA invalide",IF(COUNTIF(p_rates,K3084)=0,"Taux de TVA hors liste (Paramètres)",IF(N(O3084)&gt;25,"Au-delà de 25 lignes : non imprimée","OK")))))))))))))</f>
        <v/>
      </c>
      <c r="O3084" s="59" t="str">
        <f>IF(A3084="","",COUNTIF($A$6:A3084,A3084))</f>
        <v/>
      </c>
      <c r="P3084" s="62" t="str">
        <f>IF(A3084="","",A3084&amp;"|"&amp;O3084)</f>
        <v/>
      </c>
    </row>
    <row r="3085">
      <c r="A3085" s="60" t="n"/>
      <c r="B3085" s="63" t="n"/>
      <c r="C3085" s="63" t="n"/>
      <c r="D3085" s="67" t="n"/>
      <c r="E3085" s="68" t="n"/>
      <c r="F3085" s="69" t="n"/>
      <c r="G3085" s="70" t="n"/>
      <c r="H3085" s="62" t="str">
        <f>IF(COUNTA(A3085:G3085)=0,"",IF(C3085&lt;&gt;"",C3085,IF(B3085="","",IFERROR(INDEX(pr_des,MATCH(B3085,pr_code,0))&amp;"",""))))</f>
        <v/>
      </c>
      <c r="I3085" s="59" t="str">
        <f>IF(B3085="","",IFERROR(INDEX(pr_unit,MATCH(B3085,pr_code,0))&amp;"",""))</f>
        <v/>
      </c>
      <c r="J3085" s="65" t="str">
        <f>IF(COUNTA(A3085:G3085)=0,"",IF(E3085&lt;&gt;"",E3085,IF(B3085="","",IFERROR(IF(INDEX(pr_price,MATCH(B3085,pr_code,0))="","",INDEX(pr_price,MATCH(B3085,pr_code,0))),""))))</f>
        <v/>
      </c>
      <c r="K3085" s="71" t="str">
        <f>IF(COUNTA(A3085:G3085)=0,"",IF(G3085&lt;&gt;"",G3085,IF(B3085="","",IFERROR(IF(INDEX(pr_rate,MATCH(B3085,pr_code,0))="","",INDEX(pr_rate,MATCH(B3085,pr_code,0))),""))))</f>
        <v/>
      </c>
      <c r="L3085" s="65" t="str">
        <f>IF(COUNTA(A3085:G3085)=0,"",IF(AND(ISNUMBER(D3085),ISNUMBER(J3085)),ROUND(D3085*J3085*(1-N(F3085)),2),0))</f>
        <v/>
      </c>
      <c r="M3085" s="62" t="str">
        <f>IF(A3085="","",IFERROR(INDEX(fa_cname,MATCH(A3085,fa_num,0))&amp;"",""))</f>
        <v/>
      </c>
      <c r="N3085" s="59" t="str">
        <f>IF(COUNTA(A3085:G3085)=0,"",IF(A3085="","N° facture manquant",IF(ISNA(MATCH(A3085,fa_num,0)),"Facture inconnue",IF(AND(B3085&lt;&gt;"",ISNA(MATCH(B3085,pr_code,0))),"Article inconnu",IF(H3085="","Désignation manquante",IF(OR(NOT(ISNUMBER(D3085)),N(D3085)&lt;=0),"Quantité invalide",IF(J3085="","Prix manquant",IF(OR(NOT(ISNUMBER(J3085)),N(J3085)&lt;0),"Prix invalide",IF(OR(AND(F3085&lt;&gt;"",NOT(ISNUMBER(F3085))),N(F3085)&lt;0,N(F3085)&gt;1),"Remise invalide",IF(K3085="","Taux de TVA manquant",IF(NOT(ISNUMBER(K3085)),"Taux de TVA invalide",IF(COUNTIF(p_rates,K3085)=0,"Taux de TVA hors liste (Paramètres)",IF(N(O3085)&gt;25,"Au-delà de 25 lignes : non imprimée","OK")))))))))))))</f>
        <v/>
      </c>
      <c r="O3085" s="59" t="str">
        <f>IF(A3085="","",COUNTIF($A$6:A3085,A3085))</f>
        <v/>
      </c>
      <c r="P3085" s="62" t="str">
        <f>IF(A3085="","",A3085&amp;"|"&amp;O3085)</f>
        <v/>
      </c>
    </row>
    <row r="3086">
      <c r="A3086" s="60" t="n"/>
      <c r="B3086" s="63" t="n"/>
      <c r="C3086" s="63" t="n"/>
      <c r="D3086" s="67" t="n"/>
      <c r="E3086" s="68" t="n"/>
      <c r="F3086" s="69" t="n"/>
      <c r="G3086" s="70" t="n"/>
      <c r="H3086" s="62" t="str">
        <f>IF(COUNTA(A3086:G3086)=0,"",IF(C3086&lt;&gt;"",C3086,IF(B3086="","",IFERROR(INDEX(pr_des,MATCH(B3086,pr_code,0))&amp;"",""))))</f>
        <v/>
      </c>
      <c r="I3086" s="59" t="str">
        <f>IF(B3086="","",IFERROR(INDEX(pr_unit,MATCH(B3086,pr_code,0))&amp;"",""))</f>
        <v/>
      </c>
      <c r="J3086" s="65" t="str">
        <f>IF(COUNTA(A3086:G3086)=0,"",IF(E3086&lt;&gt;"",E3086,IF(B3086="","",IFERROR(IF(INDEX(pr_price,MATCH(B3086,pr_code,0))="","",INDEX(pr_price,MATCH(B3086,pr_code,0))),""))))</f>
        <v/>
      </c>
      <c r="K3086" s="71" t="str">
        <f>IF(COUNTA(A3086:G3086)=0,"",IF(G3086&lt;&gt;"",G3086,IF(B3086="","",IFERROR(IF(INDEX(pr_rate,MATCH(B3086,pr_code,0))="","",INDEX(pr_rate,MATCH(B3086,pr_code,0))),""))))</f>
        <v/>
      </c>
      <c r="L3086" s="65" t="str">
        <f>IF(COUNTA(A3086:G3086)=0,"",IF(AND(ISNUMBER(D3086),ISNUMBER(J3086)),ROUND(D3086*J3086*(1-N(F3086)),2),0))</f>
        <v/>
      </c>
      <c r="M3086" s="62" t="str">
        <f>IF(A3086="","",IFERROR(INDEX(fa_cname,MATCH(A3086,fa_num,0))&amp;"",""))</f>
        <v/>
      </c>
      <c r="N3086" s="59" t="str">
        <f>IF(COUNTA(A3086:G3086)=0,"",IF(A3086="","N° facture manquant",IF(ISNA(MATCH(A3086,fa_num,0)),"Facture inconnue",IF(AND(B3086&lt;&gt;"",ISNA(MATCH(B3086,pr_code,0))),"Article inconnu",IF(H3086="","Désignation manquante",IF(OR(NOT(ISNUMBER(D3086)),N(D3086)&lt;=0),"Quantité invalide",IF(J3086="","Prix manquant",IF(OR(NOT(ISNUMBER(J3086)),N(J3086)&lt;0),"Prix invalide",IF(OR(AND(F3086&lt;&gt;"",NOT(ISNUMBER(F3086))),N(F3086)&lt;0,N(F3086)&gt;1),"Remise invalide",IF(K3086="","Taux de TVA manquant",IF(NOT(ISNUMBER(K3086)),"Taux de TVA invalide",IF(COUNTIF(p_rates,K3086)=0,"Taux de TVA hors liste (Paramètres)",IF(N(O3086)&gt;25,"Au-delà de 25 lignes : non imprimée","OK")))))))))))))</f>
        <v/>
      </c>
      <c r="O3086" s="59" t="str">
        <f>IF(A3086="","",COUNTIF($A$6:A3086,A3086))</f>
        <v/>
      </c>
      <c r="P3086" s="62" t="str">
        <f>IF(A3086="","",A3086&amp;"|"&amp;O3086)</f>
        <v/>
      </c>
    </row>
    <row r="3087">
      <c r="A3087" s="60" t="n"/>
      <c r="B3087" s="63" t="n"/>
      <c r="C3087" s="63" t="n"/>
      <c r="D3087" s="67" t="n"/>
      <c r="E3087" s="68" t="n"/>
      <c r="F3087" s="69" t="n"/>
      <c r="G3087" s="70" t="n"/>
      <c r="H3087" s="62" t="str">
        <f>IF(COUNTA(A3087:G3087)=0,"",IF(C3087&lt;&gt;"",C3087,IF(B3087="","",IFERROR(INDEX(pr_des,MATCH(B3087,pr_code,0))&amp;"",""))))</f>
        <v/>
      </c>
      <c r="I3087" s="59" t="str">
        <f>IF(B3087="","",IFERROR(INDEX(pr_unit,MATCH(B3087,pr_code,0))&amp;"",""))</f>
        <v/>
      </c>
      <c r="J3087" s="65" t="str">
        <f>IF(COUNTA(A3087:G3087)=0,"",IF(E3087&lt;&gt;"",E3087,IF(B3087="","",IFERROR(IF(INDEX(pr_price,MATCH(B3087,pr_code,0))="","",INDEX(pr_price,MATCH(B3087,pr_code,0))),""))))</f>
        <v/>
      </c>
      <c r="K3087" s="71" t="str">
        <f>IF(COUNTA(A3087:G3087)=0,"",IF(G3087&lt;&gt;"",G3087,IF(B3087="","",IFERROR(IF(INDEX(pr_rate,MATCH(B3087,pr_code,0))="","",INDEX(pr_rate,MATCH(B3087,pr_code,0))),""))))</f>
        <v/>
      </c>
      <c r="L3087" s="65" t="str">
        <f>IF(COUNTA(A3087:G3087)=0,"",IF(AND(ISNUMBER(D3087),ISNUMBER(J3087)),ROUND(D3087*J3087*(1-N(F3087)),2),0))</f>
        <v/>
      </c>
      <c r="M3087" s="62" t="str">
        <f>IF(A3087="","",IFERROR(INDEX(fa_cname,MATCH(A3087,fa_num,0))&amp;"",""))</f>
        <v/>
      </c>
      <c r="N3087" s="59" t="str">
        <f>IF(COUNTA(A3087:G3087)=0,"",IF(A3087="","N° facture manquant",IF(ISNA(MATCH(A3087,fa_num,0)),"Facture inconnue",IF(AND(B3087&lt;&gt;"",ISNA(MATCH(B3087,pr_code,0))),"Article inconnu",IF(H3087="","Désignation manquante",IF(OR(NOT(ISNUMBER(D3087)),N(D3087)&lt;=0),"Quantité invalide",IF(J3087="","Prix manquant",IF(OR(NOT(ISNUMBER(J3087)),N(J3087)&lt;0),"Prix invalide",IF(OR(AND(F3087&lt;&gt;"",NOT(ISNUMBER(F3087))),N(F3087)&lt;0,N(F3087)&gt;1),"Remise invalide",IF(K3087="","Taux de TVA manquant",IF(NOT(ISNUMBER(K3087)),"Taux de TVA invalide",IF(COUNTIF(p_rates,K3087)=0,"Taux de TVA hors liste (Paramètres)",IF(N(O3087)&gt;25,"Au-delà de 25 lignes : non imprimée","OK")))))))))))))</f>
        <v/>
      </c>
      <c r="O3087" s="59" t="str">
        <f>IF(A3087="","",COUNTIF($A$6:A3087,A3087))</f>
        <v/>
      </c>
      <c r="P3087" s="62" t="str">
        <f>IF(A3087="","",A3087&amp;"|"&amp;O3087)</f>
        <v/>
      </c>
    </row>
    <row r="3088">
      <c r="A3088" s="60" t="n"/>
      <c r="B3088" s="63" t="n"/>
      <c r="C3088" s="63" t="n"/>
      <c r="D3088" s="67" t="n"/>
      <c r="E3088" s="68" t="n"/>
      <c r="F3088" s="69" t="n"/>
      <c r="G3088" s="70" t="n"/>
      <c r="H3088" s="62" t="str">
        <f>IF(COUNTA(A3088:G3088)=0,"",IF(C3088&lt;&gt;"",C3088,IF(B3088="","",IFERROR(INDEX(pr_des,MATCH(B3088,pr_code,0))&amp;"",""))))</f>
        <v/>
      </c>
      <c r="I3088" s="59" t="str">
        <f>IF(B3088="","",IFERROR(INDEX(pr_unit,MATCH(B3088,pr_code,0))&amp;"",""))</f>
        <v/>
      </c>
      <c r="J3088" s="65" t="str">
        <f>IF(COUNTA(A3088:G3088)=0,"",IF(E3088&lt;&gt;"",E3088,IF(B3088="","",IFERROR(IF(INDEX(pr_price,MATCH(B3088,pr_code,0))="","",INDEX(pr_price,MATCH(B3088,pr_code,0))),""))))</f>
        <v/>
      </c>
      <c r="K3088" s="71" t="str">
        <f>IF(COUNTA(A3088:G3088)=0,"",IF(G3088&lt;&gt;"",G3088,IF(B3088="","",IFERROR(IF(INDEX(pr_rate,MATCH(B3088,pr_code,0))="","",INDEX(pr_rate,MATCH(B3088,pr_code,0))),""))))</f>
        <v/>
      </c>
      <c r="L3088" s="65" t="str">
        <f>IF(COUNTA(A3088:G3088)=0,"",IF(AND(ISNUMBER(D3088),ISNUMBER(J3088)),ROUND(D3088*J3088*(1-N(F3088)),2),0))</f>
        <v/>
      </c>
      <c r="M3088" s="62" t="str">
        <f>IF(A3088="","",IFERROR(INDEX(fa_cname,MATCH(A3088,fa_num,0))&amp;"",""))</f>
        <v/>
      </c>
      <c r="N3088" s="59" t="str">
        <f>IF(COUNTA(A3088:G3088)=0,"",IF(A3088="","N° facture manquant",IF(ISNA(MATCH(A3088,fa_num,0)),"Facture inconnue",IF(AND(B3088&lt;&gt;"",ISNA(MATCH(B3088,pr_code,0))),"Article inconnu",IF(H3088="","Désignation manquante",IF(OR(NOT(ISNUMBER(D3088)),N(D3088)&lt;=0),"Quantité invalide",IF(J3088="","Prix manquant",IF(OR(NOT(ISNUMBER(J3088)),N(J3088)&lt;0),"Prix invalide",IF(OR(AND(F3088&lt;&gt;"",NOT(ISNUMBER(F3088))),N(F3088)&lt;0,N(F3088)&gt;1),"Remise invalide",IF(K3088="","Taux de TVA manquant",IF(NOT(ISNUMBER(K3088)),"Taux de TVA invalide",IF(COUNTIF(p_rates,K3088)=0,"Taux de TVA hors liste (Paramètres)",IF(N(O3088)&gt;25,"Au-delà de 25 lignes : non imprimée","OK")))))))))))))</f>
        <v/>
      </c>
      <c r="O3088" s="59" t="str">
        <f>IF(A3088="","",COUNTIF($A$6:A3088,A3088))</f>
        <v/>
      </c>
      <c r="P3088" s="62" t="str">
        <f>IF(A3088="","",A3088&amp;"|"&amp;O3088)</f>
        <v/>
      </c>
    </row>
    <row r="3089">
      <c r="A3089" s="60" t="n"/>
      <c r="B3089" s="63" t="n"/>
      <c r="C3089" s="63" t="n"/>
      <c r="D3089" s="67" t="n"/>
      <c r="E3089" s="68" t="n"/>
      <c r="F3089" s="69" t="n"/>
      <c r="G3089" s="70" t="n"/>
      <c r="H3089" s="62" t="str">
        <f>IF(COUNTA(A3089:G3089)=0,"",IF(C3089&lt;&gt;"",C3089,IF(B3089="","",IFERROR(INDEX(pr_des,MATCH(B3089,pr_code,0))&amp;"",""))))</f>
        <v/>
      </c>
      <c r="I3089" s="59" t="str">
        <f>IF(B3089="","",IFERROR(INDEX(pr_unit,MATCH(B3089,pr_code,0))&amp;"",""))</f>
        <v/>
      </c>
      <c r="J3089" s="65" t="str">
        <f>IF(COUNTA(A3089:G3089)=0,"",IF(E3089&lt;&gt;"",E3089,IF(B3089="","",IFERROR(IF(INDEX(pr_price,MATCH(B3089,pr_code,0))="","",INDEX(pr_price,MATCH(B3089,pr_code,0))),""))))</f>
        <v/>
      </c>
      <c r="K3089" s="71" t="str">
        <f>IF(COUNTA(A3089:G3089)=0,"",IF(G3089&lt;&gt;"",G3089,IF(B3089="","",IFERROR(IF(INDEX(pr_rate,MATCH(B3089,pr_code,0))="","",INDEX(pr_rate,MATCH(B3089,pr_code,0))),""))))</f>
        <v/>
      </c>
      <c r="L3089" s="65" t="str">
        <f>IF(COUNTA(A3089:G3089)=0,"",IF(AND(ISNUMBER(D3089),ISNUMBER(J3089)),ROUND(D3089*J3089*(1-N(F3089)),2),0))</f>
        <v/>
      </c>
      <c r="M3089" s="62" t="str">
        <f>IF(A3089="","",IFERROR(INDEX(fa_cname,MATCH(A3089,fa_num,0))&amp;"",""))</f>
        <v/>
      </c>
      <c r="N3089" s="59" t="str">
        <f>IF(COUNTA(A3089:G3089)=0,"",IF(A3089="","N° facture manquant",IF(ISNA(MATCH(A3089,fa_num,0)),"Facture inconnue",IF(AND(B3089&lt;&gt;"",ISNA(MATCH(B3089,pr_code,0))),"Article inconnu",IF(H3089="","Désignation manquante",IF(OR(NOT(ISNUMBER(D3089)),N(D3089)&lt;=0),"Quantité invalide",IF(J3089="","Prix manquant",IF(OR(NOT(ISNUMBER(J3089)),N(J3089)&lt;0),"Prix invalide",IF(OR(AND(F3089&lt;&gt;"",NOT(ISNUMBER(F3089))),N(F3089)&lt;0,N(F3089)&gt;1),"Remise invalide",IF(K3089="","Taux de TVA manquant",IF(NOT(ISNUMBER(K3089)),"Taux de TVA invalide",IF(COUNTIF(p_rates,K3089)=0,"Taux de TVA hors liste (Paramètres)",IF(N(O3089)&gt;25,"Au-delà de 25 lignes : non imprimée","OK")))))))))))))</f>
        <v/>
      </c>
      <c r="O3089" s="59" t="str">
        <f>IF(A3089="","",COUNTIF($A$6:A3089,A3089))</f>
        <v/>
      </c>
      <c r="P3089" s="62" t="str">
        <f>IF(A3089="","",A3089&amp;"|"&amp;O3089)</f>
        <v/>
      </c>
    </row>
    <row r="3090">
      <c r="A3090" s="60" t="n"/>
      <c r="B3090" s="63" t="n"/>
      <c r="C3090" s="63" t="n"/>
      <c r="D3090" s="67" t="n"/>
      <c r="E3090" s="68" t="n"/>
      <c r="F3090" s="69" t="n"/>
      <c r="G3090" s="70" t="n"/>
      <c r="H3090" s="62" t="str">
        <f>IF(COUNTA(A3090:G3090)=0,"",IF(C3090&lt;&gt;"",C3090,IF(B3090="","",IFERROR(INDEX(pr_des,MATCH(B3090,pr_code,0))&amp;"",""))))</f>
        <v/>
      </c>
      <c r="I3090" s="59" t="str">
        <f>IF(B3090="","",IFERROR(INDEX(pr_unit,MATCH(B3090,pr_code,0))&amp;"",""))</f>
        <v/>
      </c>
      <c r="J3090" s="65" t="str">
        <f>IF(COUNTA(A3090:G3090)=0,"",IF(E3090&lt;&gt;"",E3090,IF(B3090="","",IFERROR(IF(INDEX(pr_price,MATCH(B3090,pr_code,0))="","",INDEX(pr_price,MATCH(B3090,pr_code,0))),""))))</f>
        <v/>
      </c>
      <c r="K3090" s="71" t="str">
        <f>IF(COUNTA(A3090:G3090)=0,"",IF(G3090&lt;&gt;"",G3090,IF(B3090="","",IFERROR(IF(INDEX(pr_rate,MATCH(B3090,pr_code,0))="","",INDEX(pr_rate,MATCH(B3090,pr_code,0))),""))))</f>
        <v/>
      </c>
      <c r="L3090" s="65" t="str">
        <f>IF(COUNTA(A3090:G3090)=0,"",IF(AND(ISNUMBER(D3090),ISNUMBER(J3090)),ROUND(D3090*J3090*(1-N(F3090)),2),0))</f>
        <v/>
      </c>
      <c r="M3090" s="62" t="str">
        <f>IF(A3090="","",IFERROR(INDEX(fa_cname,MATCH(A3090,fa_num,0))&amp;"",""))</f>
        <v/>
      </c>
      <c r="N3090" s="59" t="str">
        <f>IF(COUNTA(A3090:G3090)=0,"",IF(A3090="","N° facture manquant",IF(ISNA(MATCH(A3090,fa_num,0)),"Facture inconnue",IF(AND(B3090&lt;&gt;"",ISNA(MATCH(B3090,pr_code,0))),"Article inconnu",IF(H3090="","Désignation manquante",IF(OR(NOT(ISNUMBER(D3090)),N(D3090)&lt;=0),"Quantité invalide",IF(J3090="","Prix manquant",IF(OR(NOT(ISNUMBER(J3090)),N(J3090)&lt;0),"Prix invalide",IF(OR(AND(F3090&lt;&gt;"",NOT(ISNUMBER(F3090))),N(F3090)&lt;0,N(F3090)&gt;1),"Remise invalide",IF(K3090="","Taux de TVA manquant",IF(NOT(ISNUMBER(K3090)),"Taux de TVA invalide",IF(COUNTIF(p_rates,K3090)=0,"Taux de TVA hors liste (Paramètres)",IF(N(O3090)&gt;25,"Au-delà de 25 lignes : non imprimée","OK")))))))))))))</f>
        <v/>
      </c>
      <c r="O3090" s="59" t="str">
        <f>IF(A3090="","",COUNTIF($A$6:A3090,A3090))</f>
        <v/>
      </c>
      <c r="P3090" s="62" t="str">
        <f>IF(A3090="","",A3090&amp;"|"&amp;O3090)</f>
        <v/>
      </c>
    </row>
    <row r="3091">
      <c r="A3091" s="60" t="n"/>
      <c r="B3091" s="63" t="n"/>
      <c r="C3091" s="63" t="n"/>
      <c r="D3091" s="67" t="n"/>
      <c r="E3091" s="68" t="n"/>
      <c r="F3091" s="69" t="n"/>
      <c r="G3091" s="70" t="n"/>
      <c r="H3091" s="62" t="str">
        <f>IF(COUNTA(A3091:G3091)=0,"",IF(C3091&lt;&gt;"",C3091,IF(B3091="","",IFERROR(INDEX(pr_des,MATCH(B3091,pr_code,0))&amp;"",""))))</f>
        <v/>
      </c>
      <c r="I3091" s="59" t="str">
        <f>IF(B3091="","",IFERROR(INDEX(pr_unit,MATCH(B3091,pr_code,0))&amp;"",""))</f>
        <v/>
      </c>
      <c r="J3091" s="65" t="str">
        <f>IF(COUNTA(A3091:G3091)=0,"",IF(E3091&lt;&gt;"",E3091,IF(B3091="","",IFERROR(IF(INDEX(pr_price,MATCH(B3091,pr_code,0))="","",INDEX(pr_price,MATCH(B3091,pr_code,0))),""))))</f>
        <v/>
      </c>
      <c r="K3091" s="71" t="str">
        <f>IF(COUNTA(A3091:G3091)=0,"",IF(G3091&lt;&gt;"",G3091,IF(B3091="","",IFERROR(IF(INDEX(pr_rate,MATCH(B3091,pr_code,0))="","",INDEX(pr_rate,MATCH(B3091,pr_code,0))),""))))</f>
        <v/>
      </c>
      <c r="L3091" s="65" t="str">
        <f>IF(COUNTA(A3091:G3091)=0,"",IF(AND(ISNUMBER(D3091),ISNUMBER(J3091)),ROUND(D3091*J3091*(1-N(F3091)),2),0))</f>
        <v/>
      </c>
      <c r="M3091" s="62" t="str">
        <f>IF(A3091="","",IFERROR(INDEX(fa_cname,MATCH(A3091,fa_num,0))&amp;"",""))</f>
        <v/>
      </c>
      <c r="N3091" s="59" t="str">
        <f>IF(COUNTA(A3091:G3091)=0,"",IF(A3091="","N° facture manquant",IF(ISNA(MATCH(A3091,fa_num,0)),"Facture inconnue",IF(AND(B3091&lt;&gt;"",ISNA(MATCH(B3091,pr_code,0))),"Article inconnu",IF(H3091="","Désignation manquante",IF(OR(NOT(ISNUMBER(D3091)),N(D3091)&lt;=0),"Quantité invalide",IF(J3091="","Prix manquant",IF(OR(NOT(ISNUMBER(J3091)),N(J3091)&lt;0),"Prix invalide",IF(OR(AND(F3091&lt;&gt;"",NOT(ISNUMBER(F3091))),N(F3091)&lt;0,N(F3091)&gt;1),"Remise invalide",IF(K3091="","Taux de TVA manquant",IF(NOT(ISNUMBER(K3091)),"Taux de TVA invalide",IF(COUNTIF(p_rates,K3091)=0,"Taux de TVA hors liste (Paramètres)",IF(N(O3091)&gt;25,"Au-delà de 25 lignes : non imprimée","OK")))))))))))))</f>
        <v/>
      </c>
      <c r="O3091" s="59" t="str">
        <f>IF(A3091="","",COUNTIF($A$6:A3091,A3091))</f>
        <v/>
      </c>
      <c r="P3091" s="62" t="str">
        <f>IF(A3091="","",A3091&amp;"|"&amp;O3091)</f>
        <v/>
      </c>
    </row>
    <row r="3092">
      <c r="A3092" s="60" t="n"/>
      <c r="B3092" s="63" t="n"/>
      <c r="C3092" s="63" t="n"/>
      <c r="D3092" s="67" t="n"/>
      <c r="E3092" s="68" t="n"/>
      <c r="F3092" s="69" t="n"/>
      <c r="G3092" s="70" t="n"/>
      <c r="H3092" s="62" t="str">
        <f>IF(COUNTA(A3092:G3092)=0,"",IF(C3092&lt;&gt;"",C3092,IF(B3092="","",IFERROR(INDEX(pr_des,MATCH(B3092,pr_code,0))&amp;"",""))))</f>
        <v/>
      </c>
      <c r="I3092" s="59" t="str">
        <f>IF(B3092="","",IFERROR(INDEX(pr_unit,MATCH(B3092,pr_code,0))&amp;"",""))</f>
        <v/>
      </c>
      <c r="J3092" s="65" t="str">
        <f>IF(COUNTA(A3092:G3092)=0,"",IF(E3092&lt;&gt;"",E3092,IF(B3092="","",IFERROR(IF(INDEX(pr_price,MATCH(B3092,pr_code,0))="","",INDEX(pr_price,MATCH(B3092,pr_code,0))),""))))</f>
        <v/>
      </c>
      <c r="K3092" s="71" t="str">
        <f>IF(COUNTA(A3092:G3092)=0,"",IF(G3092&lt;&gt;"",G3092,IF(B3092="","",IFERROR(IF(INDEX(pr_rate,MATCH(B3092,pr_code,0))="","",INDEX(pr_rate,MATCH(B3092,pr_code,0))),""))))</f>
        <v/>
      </c>
      <c r="L3092" s="65" t="str">
        <f>IF(COUNTA(A3092:G3092)=0,"",IF(AND(ISNUMBER(D3092),ISNUMBER(J3092)),ROUND(D3092*J3092*(1-N(F3092)),2),0))</f>
        <v/>
      </c>
      <c r="M3092" s="62" t="str">
        <f>IF(A3092="","",IFERROR(INDEX(fa_cname,MATCH(A3092,fa_num,0))&amp;"",""))</f>
        <v/>
      </c>
      <c r="N3092" s="59" t="str">
        <f>IF(COUNTA(A3092:G3092)=0,"",IF(A3092="","N° facture manquant",IF(ISNA(MATCH(A3092,fa_num,0)),"Facture inconnue",IF(AND(B3092&lt;&gt;"",ISNA(MATCH(B3092,pr_code,0))),"Article inconnu",IF(H3092="","Désignation manquante",IF(OR(NOT(ISNUMBER(D3092)),N(D3092)&lt;=0),"Quantité invalide",IF(J3092="","Prix manquant",IF(OR(NOT(ISNUMBER(J3092)),N(J3092)&lt;0),"Prix invalide",IF(OR(AND(F3092&lt;&gt;"",NOT(ISNUMBER(F3092))),N(F3092)&lt;0,N(F3092)&gt;1),"Remise invalide",IF(K3092="","Taux de TVA manquant",IF(NOT(ISNUMBER(K3092)),"Taux de TVA invalide",IF(COUNTIF(p_rates,K3092)=0,"Taux de TVA hors liste (Paramètres)",IF(N(O3092)&gt;25,"Au-delà de 25 lignes : non imprimée","OK")))))))))))))</f>
        <v/>
      </c>
      <c r="O3092" s="59" t="str">
        <f>IF(A3092="","",COUNTIF($A$6:A3092,A3092))</f>
        <v/>
      </c>
      <c r="P3092" s="62" t="str">
        <f>IF(A3092="","",A3092&amp;"|"&amp;O3092)</f>
        <v/>
      </c>
    </row>
    <row r="3093">
      <c r="A3093" s="60" t="n"/>
      <c r="B3093" s="63" t="n"/>
      <c r="C3093" s="63" t="n"/>
      <c r="D3093" s="67" t="n"/>
      <c r="E3093" s="68" t="n"/>
      <c r="F3093" s="69" t="n"/>
      <c r="G3093" s="70" t="n"/>
      <c r="H3093" s="62" t="str">
        <f>IF(COUNTA(A3093:G3093)=0,"",IF(C3093&lt;&gt;"",C3093,IF(B3093="","",IFERROR(INDEX(pr_des,MATCH(B3093,pr_code,0))&amp;"",""))))</f>
        <v/>
      </c>
      <c r="I3093" s="59" t="str">
        <f>IF(B3093="","",IFERROR(INDEX(pr_unit,MATCH(B3093,pr_code,0))&amp;"",""))</f>
        <v/>
      </c>
      <c r="J3093" s="65" t="str">
        <f>IF(COUNTA(A3093:G3093)=0,"",IF(E3093&lt;&gt;"",E3093,IF(B3093="","",IFERROR(IF(INDEX(pr_price,MATCH(B3093,pr_code,0))="","",INDEX(pr_price,MATCH(B3093,pr_code,0))),""))))</f>
        <v/>
      </c>
      <c r="K3093" s="71" t="str">
        <f>IF(COUNTA(A3093:G3093)=0,"",IF(G3093&lt;&gt;"",G3093,IF(B3093="","",IFERROR(IF(INDEX(pr_rate,MATCH(B3093,pr_code,0))="","",INDEX(pr_rate,MATCH(B3093,pr_code,0))),""))))</f>
        <v/>
      </c>
      <c r="L3093" s="65" t="str">
        <f>IF(COUNTA(A3093:G3093)=0,"",IF(AND(ISNUMBER(D3093),ISNUMBER(J3093)),ROUND(D3093*J3093*(1-N(F3093)),2),0))</f>
        <v/>
      </c>
      <c r="M3093" s="62" t="str">
        <f>IF(A3093="","",IFERROR(INDEX(fa_cname,MATCH(A3093,fa_num,0))&amp;"",""))</f>
        <v/>
      </c>
      <c r="N3093" s="59" t="str">
        <f>IF(COUNTA(A3093:G3093)=0,"",IF(A3093="","N° facture manquant",IF(ISNA(MATCH(A3093,fa_num,0)),"Facture inconnue",IF(AND(B3093&lt;&gt;"",ISNA(MATCH(B3093,pr_code,0))),"Article inconnu",IF(H3093="","Désignation manquante",IF(OR(NOT(ISNUMBER(D3093)),N(D3093)&lt;=0),"Quantité invalide",IF(J3093="","Prix manquant",IF(OR(NOT(ISNUMBER(J3093)),N(J3093)&lt;0),"Prix invalide",IF(OR(AND(F3093&lt;&gt;"",NOT(ISNUMBER(F3093))),N(F3093)&lt;0,N(F3093)&gt;1),"Remise invalide",IF(K3093="","Taux de TVA manquant",IF(NOT(ISNUMBER(K3093)),"Taux de TVA invalide",IF(COUNTIF(p_rates,K3093)=0,"Taux de TVA hors liste (Paramètres)",IF(N(O3093)&gt;25,"Au-delà de 25 lignes : non imprimée","OK")))))))))))))</f>
        <v/>
      </c>
      <c r="O3093" s="59" t="str">
        <f>IF(A3093="","",COUNTIF($A$6:A3093,A3093))</f>
        <v/>
      </c>
      <c r="P3093" s="62" t="str">
        <f>IF(A3093="","",A3093&amp;"|"&amp;O3093)</f>
        <v/>
      </c>
    </row>
    <row r="3094">
      <c r="A3094" s="60" t="n"/>
      <c r="B3094" s="63" t="n"/>
      <c r="C3094" s="63" t="n"/>
      <c r="D3094" s="67" t="n"/>
      <c r="E3094" s="68" t="n"/>
      <c r="F3094" s="69" t="n"/>
      <c r="G3094" s="70" t="n"/>
      <c r="H3094" s="62" t="str">
        <f>IF(COUNTA(A3094:G3094)=0,"",IF(C3094&lt;&gt;"",C3094,IF(B3094="","",IFERROR(INDEX(pr_des,MATCH(B3094,pr_code,0))&amp;"",""))))</f>
        <v/>
      </c>
      <c r="I3094" s="59" t="str">
        <f>IF(B3094="","",IFERROR(INDEX(pr_unit,MATCH(B3094,pr_code,0))&amp;"",""))</f>
        <v/>
      </c>
      <c r="J3094" s="65" t="str">
        <f>IF(COUNTA(A3094:G3094)=0,"",IF(E3094&lt;&gt;"",E3094,IF(B3094="","",IFERROR(IF(INDEX(pr_price,MATCH(B3094,pr_code,0))="","",INDEX(pr_price,MATCH(B3094,pr_code,0))),""))))</f>
        <v/>
      </c>
      <c r="K3094" s="71" t="str">
        <f>IF(COUNTA(A3094:G3094)=0,"",IF(G3094&lt;&gt;"",G3094,IF(B3094="","",IFERROR(IF(INDEX(pr_rate,MATCH(B3094,pr_code,0))="","",INDEX(pr_rate,MATCH(B3094,pr_code,0))),""))))</f>
        <v/>
      </c>
      <c r="L3094" s="65" t="str">
        <f>IF(COUNTA(A3094:G3094)=0,"",IF(AND(ISNUMBER(D3094),ISNUMBER(J3094)),ROUND(D3094*J3094*(1-N(F3094)),2),0))</f>
        <v/>
      </c>
      <c r="M3094" s="62" t="str">
        <f>IF(A3094="","",IFERROR(INDEX(fa_cname,MATCH(A3094,fa_num,0))&amp;"",""))</f>
        <v/>
      </c>
      <c r="N3094" s="59" t="str">
        <f>IF(COUNTA(A3094:G3094)=0,"",IF(A3094="","N° facture manquant",IF(ISNA(MATCH(A3094,fa_num,0)),"Facture inconnue",IF(AND(B3094&lt;&gt;"",ISNA(MATCH(B3094,pr_code,0))),"Article inconnu",IF(H3094="","Désignation manquante",IF(OR(NOT(ISNUMBER(D3094)),N(D3094)&lt;=0),"Quantité invalide",IF(J3094="","Prix manquant",IF(OR(NOT(ISNUMBER(J3094)),N(J3094)&lt;0),"Prix invalide",IF(OR(AND(F3094&lt;&gt;"",NOT(ISNUMBER(F3094))),N(F3094)&lt;0,N(F3094)&gt;1),"Remise invalide",IF(K3094="","Taux de TVA manquant",IF(NOT(ISNUMBER(K3094)),"Taux de TVA invalide",IF(COUNTIF(p_rates,K3094)=0,"Taux de TVA hors liste (Paramètres)",IF(N(O3094)&gt;25,"Au-delà de 25 lignes : non imprimée","OK")))))))))))))</f>
        <v/>
      </c>
      <c r="O3094" s="59" t="str">
        <f>IF(A3094="","",COUNTIF($A$6:A3094,A3094))</f>
        <v/>
      </c>
      <c r="P3094" s="62" t="str">
        <f>IF(A3094="","",A3094&amp;"|"&amp;O3094)</f>
        <v/>
      </c>
    </row>
    <row r="3095">
      <c r="A3095" s="60" t="n"/>
      <c r="B3095" s="63" t="n"/>
      <c r="C3095" s="63" t="n"/>
      <c r="D3095" s="67" t="n"/>
      <c r="E3095" s="68" t="n"/>
      <c r="F3095" s="69" t="n"/>
      <c r="G3095" s="70" t="n"/>
      <c r="H3095" s="62" t="str">
        <f>IF(COUNTA(A3095:G3095)=0,"",IF(C3095&lt;&gt;"",C3095,IF(B3095="","",IFERROR(INDEX(pr_des,MATCH(B3095,pr_code,0))&amp;"",""))))</f>
        <v/>
      </c>
      <c r="I3095" s="59" t="str">
        <f>IF(B3095="","",IFERROR(INDEX(pr_unit,MATCH(B3095,pr_code,0))&amp;"",""))</f>
        <v/>
      </c>
      <c r="J3095" s="65" t="str">
        <f>IF(COUNTA(A3095:G3095)=0,"",IF(E3095&lt;&gt;"",E3095,IF(B3095="","",IFERROR(IF(INDEX(pr_price,MATCH(B3095,pr_code,0))="","",INDEX(pr_price,MATCH(B3095,pr_code,0))),""))))</f>
        <v/>
      </c>
      <c r="K3095" s="71" t="str">
        <f>IF(COUNTA(A3095:G3095)=0,"",IF(G3095&lt;&gt;"",G3095,IF(B3095="","",IFERROR(IF(INDEX(pr_rate,MATCH(B3095,pr_code,0))="","",INDEX(pr_rate,MATCH(B3095,pr_code,0))),""))))</f>
        <v/>
      </c>
      <c r="L3095" s="65" t="str">
        <f>IF(COUNTA(A3095:G3095)=0,"",IF(AND(ISNUMBER(D3095),ISNUMBER(J3095)),ROUND(D3095*J3095*(1-N(F3095)),2),0))</f>
        <v/>
      </c>
      <c r="M3095" s="62" t="str">
        <f>IF(A3095="","",IFERROR(INDEX(fa_cname,MATCH(A3095,fa_num,0))&amp;"",""))</f>
        <v/>
      </c>
      <c r="N3095" s="59" t="str">
        <f>IF(COUNTA(A3095:G3095)=0,"",IF(A3095="","N° facture manquant",IF(ISNA(MATCH(A3095,fa_num,0)),"Facture inconnue",IF(AND(B3095&lt;&gt;"",ISNA(MATCH(B3095,pr_code,0))),"Article inconnu",IF(H3095="","Désignation manquante",IF(OR(NOT(ISNUMBER(D3095)),N(D3095)&lt;=0),"Quantité invalide",IF(J3095="","Prix manquant",IF(OR(NOT(ISNUMBER(J3095)),N(J3095)&lt;0),"Prix invalide",IF(OR(AND(F3095&lt;&gt;"",NOT(ISNUMBER(F3095))),N(F3095)&lt;0,N(F3095)&gt;1),"Remise invalide",IF(K3095="","Taux de TVA manquant",IF(NOT(ISNUMBER(K3095)),"Taux de TVA invalide",IF(COUNTIF(p_rates,K3095)=0,"Taux de TVA hors liste (Paramètres)",IF(N(O3095)&gt;25,"Au-delà de 25 lignes : non imprimée","OK")))))))))))))</f>
        <v/>
      </c>
      <c r="O3095" s="59" t="str">
        <f>IF(A3095="","",COUNTIF($A$6:A3095,A3095))</f>
        <v/>
      </c>
      <c r="P3095" s="62" t="str">
        <f>IF(A3095="","",A3095&amp;"|"&amp;O3095)</f>
        <v/>
      </c>
    </row>
    <row r="3096">
      <c r="A3096" s="60" t="n"/>
      <c r="B3096" s="63" t="n"/>
      <c r="C3096" s="63" t="n"/>
      <c r="D3096" s="67" t="n"/>
      <c r="E3096" s="68" t="n"/>
      <c r="F3096" s="69" t="n"/>
      <c r="G3096" s="70" t="n"/>
      <c r="H3096" s="62" t="str">
        <f>IF(COUNTA(A3096:G3096)=0,"",IF(C3096&lt;&gt;"",C3096,IF(B3096="","",IFERROR(INDEX(pr_des,MATCH(B3096,pr_code,0))&amp;"",""))))</f>
        <v/>
      </c>
      <c r="I3096" s="59" t="str">
        <f>IF(B3096="","",IFERROR(INDEX(pr_unit,MATCH(B3096,pr_code,0))&amp;"",""))</f>
        <v/>
      </c>
      <c r="J3096" s="65" t="str">
        <f>IF(COUNTA(A3096:G3096)=0,"",IF(E3096&lt;&gt;"",E3096,IF(B3096="","",IFERROR(IF(INDEX(pr_price,MATCH(B3096,pr_code,0))="","",INDEX(pr_price,MATCH(B3096,pr_code,0))),""))))</f>
        <v/>
      </c>
      <c r="K3096" s="71" t="str">
        <f>IF(COUNTA(A3096:G3096)=0,"",IF(G3096&lt;&gt;"",G3096,IF(B3096="","",IFERROR(IF(INDEX(pr_rate,MATCH(B3096,pr_code,0))="","",INDEX(pr_rate,MATCH(B3096,pr_code,0))),""))))</f>
        <v/>
      </c>
      <c r="L3096" s="65" t="str">
        <f>IF(COUNTA(A3096:G3096)=0,"",IF(AND(ISNUMBER(D3096),ISNUMBER(J3096)),ROUND(D3096*J3096*(1-N(F3096)),2),0))</f>
        <v/>
      </c>
      <c r="M3096" s="62" t="str">
        <f>IF(A3096="","",IFERROR(INDEX(fa_cname,MATCH(A3096,fa_num,0))&amp;"",""))</f>
        <v/>
      </c>
      <c r="N3096" s="59" t="str">
        <f>IF(COUNTA(A3096:G3096)=0,"",IF(A3096="","N° facture manquant",IF(ISNA(MATCH(A3096,fa_num,0)),"Facture inconnue",IF(AND(B3096&lt;&gt;"",ISNA(MATCH(B3096,pr_code,0))),"Article inconnu",IF(H3096="","Désignation manquante",IF(OR(NOT(ISNUMBER(D3096)),N(D3096)&lt;=0),"Quantité invalide",IF(J3096="","Prix manquant",IF(OR(NOT(ISNUMBER(J3096)),N(J3096)&lt;0),"Prix invalide",IF(OR(AND(F3096&lt;&gt;"",NOT(ISNUMBER(F3096))),N(F3096)&lt;0,N(F3096)&gt;1),"Remise invalide",IF(K3096="","Taux de TVA manquant",IF(NOT(ISNUMBER(K3096)),"Taux de TVA invalide",IF(COUNTIF(p_rates,K3096)=0,"Taux de TVA hors liste (Paramètres)",IF(N(O3096)&gt;25,"Au-delà de 25 lignes : non imprimée","OK")))))))))))))</f>
        <v/>
      </c>
      <c r="O3096" s="59" t="str">
        <f>IF(A3096="","",COUNTIF($A$6:A3096,A3096))</f>
        <v/>
      </c>
      <c r="P3096" s="62" t="str">
        <f>IF(A3096="","",A3096&amp;"|"&amp;O3096)</f>
        <v/>
      </c>
    </row>
    <row r="3097">
      <c r="A3097" s="60" t="n"/>
      <c r="B3097" s="63" t="n"/>
      <c r="C3097" s="63" t="n"/>
      <c r="D3097" s="67" t="n"/>
      <c r="E3097" s="68" t="n"/>
      <c r="F3097" s="69" t="n"/>
      <c r="G3097" s="70" t="n"/>
      <c r="H3097" s="62" t="str">
        <f>IF(COUNTA(A3097:G3097)=0,"",IF(C3097&lt;&gt;"",C3097,IF(B3097="","",IFERROR(INDEX(pr_des,MATCH(B3097,pr_code,0))&amp;"",""))))</f>
        <v/>
      </c>
      <c r="I3097" s="59" t="str">
        <f>IF(B3097="","",IFERROR(INDEX(pr_unit,MATCH(B3097,pr_code,0))&amp;"",""))</f>
        <v/>
      </c>
      <c r="J3097" s="65" t="str">
        <f>IF(COUNTA(A3097:G3097)=0,"",IF(E3097&lt;&gt;"",E3097,IF(B3097="","",IFERROR(IF(INDEX(pr_price,MATCH(B3097,pr_code,0))="","",INDEX(pr_price,MATCH(B3097,pr_code,0))),""))))</f>
        <v/>
      </c>
      <c r="K3097" s="71" t="str">
        <f>IF(COUNTA(A3097:G3097)=0,"",IF(G3097&lt;&gt;"",G3097,IF(B3097="","",IFERROR(IF(INDEX(pr_rate,MATCH(B3097,pr_code,0))="","",INDEX(pr_rate,MATCH(B3097,pr_code,0))),""))))</f>
        <v/>
      </c>
      <c r="L3097" s="65" t="str">
        <f>IF(COUNTA(A3097:G3097)=0,"",IF(AND(ISNUMBER(D3097),ISNUMBER(J3097)),ROUND(D3097*J3097*(1-N(F3097)),2),0))</f>
        <v/>
      </c>
      <c r="M3097" s="62" t="str">
        <f>IF(A3097="","",IFERROR(INDEX(fa_cname,MATCH(A3097,fa_num,0))&amp;"",""))</f>
        <v/>
      </c>
      <c r="N3097" s="59" t="str">
        <f>IF(COUNTA(A3097:G3097)=0,"",IF(A3097="","N° facture manquant",IF(ISNA(MATCH(A3097,fa_num,0)),"Facture inconnue",IF(AND(B3097&lt;&gt;"",ISNA(MATCH(B3097,pr_code,0))),"Article inconnu",IF(H3097="","Désignation manquante",IF(OR(NOT(ISNUMBER(D3097)),N(D3097)&lt;=0),"Quantité invalide",IF(J3097="","Prix manquant",IF(OR(NOT(ISNUMBER(J3097)),N(J3097)&lt;0),"Prix invalide",IF(OR(AND(F3097&lt;&gt;"",NOT(ISNUMBER(F3097))),N(F3097)&lt;0,N(F3097)&gt;1),"Remise invalide",IF(K3097="","Taux de TVA manquant",IF(NOT(ISNUMBER(K3097)),"Taux de TVA invalide",IF(COUNTIF(p_rates,K3097)=0,"Taux de TVA hors liste (Paramètres)",IF(N(O3097)&gt;25,"Au-delà de 25 lignes : non imprimée","OK")))))))))))))</f>
        <v/>
      </c>
      <c r="O3097" s="59" t="str">
        <f>IF(A3097="","",COUNTIF($A$6:A3097,A3097))</f>
        <v/>
      </c>
      <c r="P3097" s="62" t="str">
        <f>IF(A3097="","",A3097&amp;"|"&amp;O3097)</f>
        <v/>
      </c>
    </row>
    <row r="3098">
      <c r="A3098" s="60" t="n"/>
      <c r="B3098" s="63" t="n"/>
      <c r="C3098" s="63" t="n"/>
      <c r="D3098" s="67" t="n"/>
      <c r="E3098" s="68" t="n"/>
      <c r="F3098" s="69" t="n"/>
      <c r="G3098" s="70" t="n"/>
      <c r="H3098" s="62" t="str">
        <f>IF(COUNTA(A3098:G3098)=0,"",IF(C3098&lt;&gt;"",C3098,IF(B3098="","",IFERROR(INDEX(pr_des,MATCH(B3098,pr_code,0))&amp;"",""))))</f>
        <v/>
      </c>
      <c r="I3098" s="59" t="str">
        <f>IF(B3098="","",IFERROR(INDEX(pr_unit,MATCH(B3098,pr_code,0))&amp;"",""))</f>
        <v/>
      </c>
      <c r="J3098" s="65" t="str">
        <f>IF(COUNTA(A3098:G3098)=0,"",IF(E3098&lt;&gt;"",E3098,IF(B3098="","",IFERROR(IF(INDEX(pr_price,MATCH(B3098,pr_code,0))="","",INDEX(pr_price,MATCH(B3098,pr_code,0))),""))))</f>
        <v/>
      </c>
      <c r="K3098" s="71" t="str">
        <f>IF(COUNTA(A3098:G3098)=0,"",IF(G3098&lt;&gt;"",G3098,IF(B3098="","",IFERROR(IF(INDEX(pr_rate,MATCH(B3098,pr_code,0))="","",INDEX(pr_rate,MATCH(B3098,pr_code,0))),""))))</f>
        <v/>
      </c>
      <c r="L3098" s="65" t="str">
        <f>IF(COUNTA(A3098:G3098)=0,"",IF(AND(ISNUMBER(D3098),ISNUMBER(J3098)),ROUND(D3098*J3098*(1-N(F3098)),2),0))</f>
        <v/>
      </c>
      <c r="M3098" s="62" t="str">
        <f>IF(A3098="","",IFERROR(INDEX(fa_cname,MATCH(A3098,fa_num,0))&amp;"",""))</f>
        <v/>
      </c>
      <c r="N3098" s="59" t="str">
        <f>IF(COUNTA(A3098:G3098)=0,"",IF(A3098="","N° facture manquant",IF(ISNA(MATCH(A3098,fa_num,0)),"Facture inconnue",IF(AND(B3098&lt;&gt;"",ISNA(MATCH(B3098,pr_code,0))),"Article inconnu",IF(H3098="","Désignation manquante",IF(OR(NOT(ISNUMBER(D3098)),N(D3098)&lt;=0),"Quantité invalide",IF(J3098="","Prix manquant",IF(OR(NOT(ISNUMBER(J3098)),N(J3098)&lt;0),"Prix invalide",IF(OR(AND(F3098&lt;&gt;"",NOT(ISNUMBER(F3098))),N(F3098)&lt;0,N(F3098)&gt;1),"Remise invalide",IF(K3098="","Taux de TVA manquant",IF(NOT(ISNUMBER(K3098)),"Taux de TVA invalide",IF(COUNTIF(p_rates,K3098)=0,"Taux de TVA hors liste (Paramètres)",IF(N(O3098)&gt;25,"Au-delà de 25 lignes : non imprimée","OK")))))))))))))</f>
        <v/>
      </c>
      <c r="O3098" s="59" t="str">
        <f>IF(A3098="","",COUNTIF($A$6:A3098,A3098))</f>
        <v/>
      </c>
      <c r="P3098" s="62" t="str">
        <f>IF(A3098="","",A3098&amp;"|"&amp;O3098)</f>
        <v/>
      </c>
    </row>
    <row r="3099">
      <c r="A3099" s="60" t="n"/>
      <c r="B3099" s="63" t="n"/>
      <c r="C3099" s="63" t="n"/>
      <c r="D3099" s="67" t="n"/>
      <c r="E3099" s="68" t="n"/>
      <c r="F3099" s="69" t="n"/>
      <c r="G3099" s="70" t="n"/>
      <c r="H3099" s="62" t="str">
        <f>IF(COUNTA(A3099:G3099)=0,"",IF(C3099&lt;&gt;"",C3099,IF(B3099="","",IFERROR(INDEX(pr_des,MATCH(B3099,pr_code,0))&amp;"",""))))</f>
        <v/>
      </c>
      <c r="I3099" s="59" t="str">
        <f>IF(B3099="","",IFERROR(INDEX(pr_unit,MATCH(B3099,pr_code,0))&amp;"",""))</f>
        <v/>
      </c>
      <c r="J3099" s="65" t="str">
        <f>IF(COUNTA(A3099:G3099)=0,"",IF(E3099&lt;&gt;"",E3099,IF(B3099="","",IFERROR(IF(INDEX(pr_price,MATCH(B3099,pr_code,0))="","",INDEX(pr_price,MATCH(B3099,pr_code,0))),""))))</f>
        <v/>
      </c>
      <c r="K3099" s="71" t="str">
        <f>IF(COUNTA(A3099:G3099)=0,"",IF(G3099&lt;&gt;"",G3099,IF(B3099="","",IFERROR(IF(INDEX(pr_rate,MATCH(B3099,pr_code,0))="","",INDEX(pr_rate,MATCH(B3099,pr_code,0))),""))))</f>
        <v/>
      </c>
      <c r="L3099" s="65" t="str">
        <f>IF(COUNTA(A3099:G3099)=0,"",IF(AND(ISNUMBER(D3099),ISNUMBER(J3099)),ROUND(D3099*J3099*(1-N(F3099)),2),0))</f>
        <v/>
      </c>
      <c r="M3099" s="62" t="str">
        <f>IF(A3099="","",IFERROR(INDEX(fa_cname,MATCH(A3099,fa_num,0))&amp;"",""))</f>
        <v/>
      </c>
      <c r="N3099" s="59" t="str">
        <f>IF(COUNTA(A3099:G3099)=0,"",IF(A3099="","N° facture manquant",IF(ISNA(MATCH(A3099,fa_num,0)),"Facture inconnue",IF(AND(B3099&lt;&gt;"",ISNA(MATCH(B3099,pr_code,0))),"Article inconnu",IF(H3099="","Désignation manquante",IF(OR(NOT(ISNUMBER(D3099)),N(D3099)&lt;=0),"Quantité invalide",IF(J3099="","Prix manquant",IF(OR(NOT(ISNUMBER(J3099)),N(J3099)&lt;0),"Prix invalide",IF(OR(AND(F3099&lt;&gt;"",NOT(ISNUMBER(F3099))),N(F3099)&lt;0,N(F3099)&gt;1),"Remise invalide",IF(K3099="","Taux de TVA manquant",IF(NOT(ISNUMBER(K3099)),"Taux de TVA invalide",IF(COUNTIF(p_rates,K3099)=0,"Taux de TVA hors liste (Paramètres)",IF(N(O3099)&gt;25,"Au-delà de 25 lignes : non imprimée","OK")))))))))))))</f>
        <v/>
      </c>
      <c r="O3099" s="59" t="str">
        <f>IF(A3099="","",COUNTIF($A$6:A3099,A3099))</f>
        <v/>
      </c>
      <c r="P3099" s="62" t="str">
        <f>IF(A3099="","",A3099&amp;"|"&amp;O3099)</f>
        <v/>
      </c>
    </row>
    <row r="3100">
      <c r="A3100" s="60" t="n"/>
      <c r="B3100" s="63" t="n"/>
      <c r="C3100" s="63" t="n"/>
      <c r="D3100" s="67" t="n"/>
      <c r="E3100" s="68" t="n"/>
      <c r="F3100" s="69" t="n"/>
      <c r="G3100" s="70" t="n"/>
      <c r="H3100" s="62" t="str">
        <f>IF(COUNTA(A3100:G3100)=0,"",IF(C3100&lt;&gt;"",C3100,IF(B3100="","",IFERROR(INDEX(pr_des,MATCH(B3100,pr_code,0))&amp;"",""))))</f>
        <v/>
      </c>
      <c r="I3100" s="59" t="str">
        <f>IF(B3100="","",IFERROR(INDEX(pr_unit,MATCH(B3100,pr_code,0))&amp;"",""))</f>
        <v/>
      </c>
      <c r="J3100" s="65" t="str">
        <f>IF(COUNTA(A3100:G3100)=0,"",IF(E3100&lt;&gt;"",E3100,IF(B3100="","",IFERROR(IF(INDEX(pr_price,MATCH(B3100,pr_code,0))="","",INDEX(pr_price,MATCH(B3100,pr_code,0))),""))))</f>
        <v/>
      </c>
      <c r="K3100" s="71" t="str">
        <f>IF(COUNTA(A3100:G3100)=0,"",IF(G3100&lt;&gt;"",G3100,IF(B3100="","",IFERROR(IF(INDEX(pr_rate,MATCH(B3100,pr_code,0))="","",INDEX(pr_rate,MATCH(B3100,pr_code,0))),""))))</f>
        <v/>
      </c>
      <c r="L3100" s="65" t="str">
        <f>IF(COUNTA(A3100:G3100)=0,"",IF(AND(ISNUMBER(D3100),ISNUMBER(J3100)),ROUND(D3100*J3100*(1-N(F3100)),2),0))</f>
        <v/>
      </c>
      <c r="M3100" s="62" t="str">
        <f>IF(A3100="","",IFERROR(INDEX(fa_cname,MATCH(A3100,fa_num,0))&amp;"",""))</f>
        <v/>
      </c>
      <c r="N3100" s="59" t="str">
        <f>IF(COUNTA(A3100:G3100)=0,"",IF(A3100="","N° facture manquant",IF(ISNA(MATCH(A3100,fa_num,0)),"Facture inconnue",IF(AND(B3100&lt;&gt;"",ISNA(MATCH(B3100,pr_code,0))),"Article inconnu",IF(H3100="","Désignation manquante",IF(OR(NOT(ISNUMBER(D3100)),N(D3100)&lt;=0),"Quantité invalide",IF(J3100="","Prix manquant",IF(OR(NOT(ISNUMBER(J3100)),N(J3100)&lt;0),"Prix invalide",IF(OR(AND(F3100&lt;&gt;"",NOT(ISNUMBER(F3100))),N(F3100)&lt;0,N(F3100)&gt;1),"Remise invalide",IF(K3100="","Taux de TVA manquant",IF(NOT(ISNUMBER(K3100)),"Taux de TVA invalide",IF(COUNTIF(p_rates,K3100)=0,"Taux de TVA hors liste (Paramètres)",IF(N(O3100)&gt;25,"Au-delà de 25 lignes : non imprimée","OK")))))))))))))</f>
        <v/>
      </c>
      <c r="O3100" s="59" t="str">
        <f>IF(A3100="","",COUNTIF($A$6:A3100,A3100))</f>
        <v/>
      </c>
      <c r="P3100" s="62" t="str">
        <f>IF(A3100="","",A3100&amp;"|"&amp;O3100)</f>
        <v/>
      </c>
    </row>
    <row r="3101">
      <c r="A3101" s="60" t="n"/>
      <c r="B3101" s="63" t="n"/>
      <c r="C3101" s="63" t="n"/>
      <c r="D3101" s="67" t="n"/>
      <c r="E3101" s="68" t="n"/>
      <c r="F3101" s="69" t="n"/>
      <c r="G3101" s="70" t="n"/>
      <c r="H3101" s="62" t="str">
        <f>IF(COUNTA(A3101:G3101)=0,"",IF(C3101&lt;&gt;"",C3101,IF(B3101="","",IFERROR(INDEX(pr_des,MATCH(B3101,pr_code,0))&amp;"",""))))</f>
        <v/>
      </c>
      <c r="I3101" s="59" t="str">
        <f>IF(B3101="","",IFERROR(INDEX(pr_unit,MATCH(B3101,pr_code,0))&amp;"",""))</f>
        <v/>
      </c>
      <c r="J3101" s="65" t="str">
        <f>IF(COUNTA(A3101:G3101)=0,"",IF(E3101&lt;&gt;"",E3101,IF(B3101="","",IFERROR(IF(INDEX(pr_price,MATCH(B3101,pr_code,0))="","",INDEX(pr_price,MATCH(B3101,pr_code,0))),""))))</f>
        <v/>
      </c>
      <c r="K3101" s="71" t="str">
        <f>IF(COUNTA(A3101:G3101)=0,"",IF(G3101&lt;&gt;"",G3101,IF(B3101="","",IFERROR(IF(INDEX(pr_rate,MATCH(B3101,pr_code,0))="","",INDEX(pr_rate,MATCH(B3101,pr_code,0))),""))))</f>
        <v/>
      </c>
      <c r="L3101" s="65" t="str">
        <f>IF(COUNTA(A3101:G3101)=0,"",IF(AND(ISNUMBER(D3101),ISNUMBER(J3101)),ROUND(D3101*J3101*(1-N(F3101)),2),0))</f>
        <v/>
      </c>
      <c r="M3101" s="62" t="str">
        <f>IF(A3101="","",IFERROR(INDEX(fa_cname,MATCH(A3101,fa_num,0))&amp;"",""))</f>
        <v/>
      </c>
      <c r="N3101" s="59" t="str">
        <f>IF(COUNTA(A3101:G3101)=0,"",IF(A3101="","N° facture manquant",IF(ISNA(MATCH(A3101,fa_num,0)),"Facture inconnue",IF(AND(B3101&lt;&gt;"",ISNA(MATCH(B3101,pr_code,0))),"Article inconnu",IF(H3101="","Désignation manquante",IF(OR(NOT(ISNUMBER(D3101)),N(D3101)&lt;=0),"Quantité invalide",IF(J3101="","Prix manquant",IF(OR(NOT(ISNUMBER(J3101)),N(J3101)&lt;0),"Prix invalide",IF(OR(AND(F3101&lt;&gt;"",NOT(ISNUMBER(F3101))),N(F3101)&lt;0,N(F3101)&gt;1),"Remise invalide",IF(K3101="","Taux de TVA manquant",IF(NOT(ISNUMBER(K3101)),"Taux de TVA invalide",IF(COUNTIF(p_rates,K3101)=0,"Taux de TVA hors liste (Paramètres)",IF(N(O3101)&gt;25,"Au-delà de 25 lignes : non imprimée","OK")))))))))))))</f>
        <v/>
      </c>
      <c r="O3101" s="59" t="str">
        <f>IF(A3101="","",COUNTIF($A$6:A3101,A3101))</f>
        <v/>
      </c>
      <c r="P3101" s="62" t="str">
        <f>IF(A3101="","",A3101&amp;"|"&amp;O3101)</f>
        <v/>
      </c>
    </row>
    <row r="3102">
      <c r="A3102" s="60" t="n"/>
      <c r="B3102" s="63" t="n"/>
      <c r="C3102" s="63" t="n"/>
      <c r="D3102" s="67" t="n"/>
      <c r="E3102" s="68" t="n"/>
      <c r="F3102" s="69" t="n"/>
      <c r="G3102" s="70" t="n"/>
      <c r="H3102" s="62" t="str">
        <f>IF(COUNTA(A3102:G3102)=0,"",IF(C3102&lt;&gt;"",C3102,IF(B3102="","",IFERROR(INDEX(pr_des,MATCH(B3102,pr_code,0))&amp;"",""))))</f>
        <v/>
      </c>
      <c r="I3102" s="59" t="str">
        <f>IF(B3102="","",IFERROR(INDEX(pr_unit,MATCH(B3102,pr_code,0))&amp;"",""))</f>
        <v/>
      </c>
      <c r="J3102" s="65" t="str">
        <f>IF(COUNTA(A3102:G3102)=0,"",IF(E3102&lt;&gt;"",E3102,IF(B3102="","",IFERROR(IF(INDEX(pr_price,MATCH(B3102,pr_code,0))="","",INDEX(pr_price,MATCH(B3102,pr_code,0))),""))))</f>
        <v/>
      </c>
      <c r="K3102" s="71" t="str">
        <f>IF(COUNTA(A3102:G3102)=0,"",IF(G3102&lt;&gt;"",G3102,IF(B3102="","",IFERROR(IF(INDEX(pr_rate,MATCH(B3102,pr_code,0))="","",INDEX(pr_rate,MATCH(B3102,pr_code,0))),""))))</f>
        <v/>
      </c>
      <c r="L3102" s="65" t="str">
        <f>IF(COUNTA(A3102:G3102)=0,"",IF(AND(ISNUMBER(D3102),ISNUMBER(J3102)),ROUND(D3102*J3102*(1-N(F3102)),2),0))</f>
        <v/>
      </c>
      <c r="M3102" s="62" t="str">
        <f>IF(A3102="","",IFERROR(INDEX(fa_cname,MATCH(A3102,fa_num,0))&amp;"",""))</f>
        <v/>
      </c>
      <c r="N3102" s="59" t="str">
        <f>IF(COUNTA(A3102:G3102)=0,"",IF(A3102="","N° facture manquant",IF(ISNA(MATCH(A3102,fa_num,0)),"Facture inconnue",IF(AND(B3102&lt;&gt;"",ISNA(MATCH(B3102,pr_code,0))),"Article inconnu",IF(H3102="","Désignation manquante",IF(OR(NOT(ISNUMBER(D3102)),N(D3102)&lt;=0),"Quantité invalide",IF(J3102="","Prix manquant",IF(OR(NOT(ISNUMBER(J3102)),N(J3102)&lt;0),"Prix invalide",IF(OR(AND(F3102&lt;&gt;"",NOT(ISNUMBER(F3102))),N(F3102)&lt;0,N(F3102)&gt;1),"Remise invalide",IF(K3102="","Taux de TVA manquant",IF(NOT(ISNUMBER(K3102)),"Taux de TVA invalide",IF(COUNTIF(p_rates,K3102)=0,"Taux de TVA hors liste (Paramètres)",IF(N(O3102)&gt;25,"Au-delà de 25 lignes : non imprimée","OK")))))))))))))</f>
        <v/>
      </c>
      <c r="O3102" s="59" t="str">
        <f>IF(A3102="","",COUNTIF($A$6:A3102,A3102))</f>
        <v/>
      </c>
      <c r="P3102" s="62" t="str">
        <f>IF(A3102="","",A3102&amp;"|"&amp;O3102)</f>
        <v/>
      </c>
    </row>
    <row r="3103">
      <c r="A3103" s="60" t="n"/>
      <c r="B3103" s="63" t="n"/>
      <c r="C3103" s="63" t="n"/>
      <c r="D3103" s="67" t="n"/>
      <c r="E3103" s="68" t="n"/>
      <c r="F3103" s="69" t="n"/>
      <c r="G3103" s="70" t="n"/>
      <c r="H3103" s="62" t="str">
        <f>IF(COUNTA(A3103:G3103)=0,"",IF(C3103&lt;&gt;"",C3103,IF(B3103="","",IFERROR(INDEX(pr_des,MATCH(B3103,pr_code,0))&amp;"",""))))</f>
        <v/>
      </c>
      <c r="I3103" s="59" t="str">
        <f>IF(B3103="","",IFERROR(INDEX(pr_unit,MATCH(B3103,pr_code,0))&amp;"",""))</f>
        <v/>
      </c>
      <c r="J3103" s="65" t="str">
        <f>IF(COUNTA(A3103:G3103)=0,"",IF(E3103&lt;&gt;"",E3103,IF(B3103="","",IFERROR(IF(INDEX(pr_price,MATCH(B3103,pr_code,0))="","",INDEX(pr_price,MATCH(B3103,pr_code,0))),""))))</f>
        <v/>
      </c>
      <c r="K3103" s="71" t="str">
        <f>IF(COUNTA(A3103:G3103)=0,"",IF(G3103&lt;&gt;"",G3103,IF(B3103="","",IFERROR(IF(INDEX(pr_rate,MATCH(B3103,pr_code,0))="","",INDEX(pr_rate,MATCH(B3103,pr_code,0))),""))))</f>
        <v/>
      </c>
      <c r="L3103" s="65" t="str">
        <f>IF(COUNTA(A3103:G3103)=0,"",IF(AND(ISNUMBER(D3103),ISNUMBER(J3103)),ROUND(D3103*J3103*(1-N(F3103)),2),0))</f>
        <v/>
      </c>
      <c r="M3103" s="62" t="str">
        <f>IF(A3103="","",IFERROR(INDEX(fa_cname,MATCH(A3103,fa_num,0))&amp;"",""))</f>
        <v/>
      </c>
      <c r="N3103" s="59" t="str">
        <f>IF(COUNTA(A3103:G3103)=0,"",IF(A3103="","N° facture manquant",IF(ISNA(MATCH(A3103,fa_num,0)),"Facture inconnue",IF(AND(B3103&lt;&gt;"",ISNA(MATCH(B3103,pr_code,0))),"Article inconnu",IF(H3103="","Désignation manquante",IF(OR(NOT(ISNUMBER(D3103)),N(D3103)&lt;=0),"Quantité invalide",IF(J3103="","Prix manquant",IF(OR(NOT(ISNUMBER(J3103)),N(J3103)&lt;0),"Prix invalide",IF(OR(AND(F3103&lt;&gt;"",NOT(ISNUMBER(F3103))),N(F3103)&lt;0,N(F3103)&gt;1),"Remise invalide",IF(K3103="","Taux de TVA manquant",IF(NOT(ISNUMBER(K3103)),"Taux de TVA invalide",IF(COUNTIF(p_rates,K3103)=0,"Taux de TVA hors liste (Paramètres)",IF(N(O3103)&gt;25,"Au-delà de 25 lignes : non imprimée","OK")))))))))))))</f>
        <v/>
      </c>
      <c r="O3103" s="59" t="str">
        <f>IF(A3103="","",COUNTIF($A$6:A3103,A3103))</f>
        <v/>
      </c>
      <c r="P3103" s="62" t="str">
        <f>IF(A3103="","",A3103&amp;"|"&amp;O3103)</f>
        <v/>
      </c>
    </row>
    <row r="3104">
      <c r="A3104" s="60" t="n"/>
      <c r="B3104" s="63" t="n"/>
      <c r="C3104" s="63" t="n"/>
      <c r="D3104" s="67" t="n"/>
      <c r="E3104" s="68" t="n"/>
      <c r="F3104" s="69" t="n"/>
      <c r="G3104" s="70" t="n"/>
      <c r="H3104" s="62" t="str">
        <f>IF(COUNTA(A3104:G3104)=0,"",IF(C3104&lt;&gt;"",C3104,IF(B3104="","",IFERROR(INDEX(pr_des,MATCH(B3104,pr_code,0))&amp;"",""))))</f>
        <v/>
      </c>
      <c r="I3104" s="59" t="str">
        <f>IF(B3104="","",IFERROR(INDEX(pr_unit,MATCH(B3104,pr_code,0))&amp;"",""))</f>
        <v/>
      </c>
      <c r="J3104" s="65" t="str">
        <f>IF(COUNTA(A3104:G3104)=0,"",IF(E3104&lt;&gt;"",E3104,IF(B3104="","",IFERROR(IF(INDEX(pr_price,MATCH(B3104,pr_code,0))="","",INDEX(pr_price,MATCH(B3104,pr_code,0))),""))))</f>
        <v/>
      </c>
      <c r="K3104" s="71" t="str">
        <f>IF(COUNTA(A3104:G3104)=0,"",IF(G3104&lt;&gt;"",G3104,IF(B3104="","",IFERROR(IF(INDEX(pr_rate,MATCH(B3104,pr_code,0))="","",INDEX(pr_rate,MATCH(B3104,pr_code,0))),""))))</f>
        <v/>
      </c>
      <c r="L3104" s="65" t="str">
        <f>IF(COUNTA(A3104:G3104)=0,"",IF(AND(ISNUMBER(D3104),ISNUMBER(J3104)),ROUND(D3104*J3104*(1-N(F3104)),2),0))</f>
        <v/>
      </c>
      <c r="M3104" s="62" t="str">
        <f>IF(A3104="","",IFERROR(INDEX(fa_cname,MATCH(A3104,fa_num,0))&amp;"",""))</f>
        <v/>
      </c>
      <c r="N3104" s="59" t="str">
        <f>IF(COUNTA(A3104:G3104)=0,"",IF(A3104="","N° facture manquant",IF(ISNA(MATCH(A3104,fa_num,0)),"Facture inconnue",IF(AND(B3104&lt;&gt;"",ISNA(MATCH(B3104,pr_code,0))),"Article inconnu",IF(H3104="","Désignation manquante",IF(OR(NOT(ISNUMBER(D3104)),N(D3104)&lt;=0),"Quantité invalide",IF(J3104="","Prix manquant",IF(OR(NOT(ISNUMBER(J3104)),N(J3104)&lt;0),"Prix invalide",IF(OR(AND(F3104&lt;&gt;"",NOT(ISNUMBER(F3104))),N(F3104)&lt;0,N(F3104)&gt;1),"Remise invalide",IF(K3104="","Taux de TVA manquant",IF(NOT(ISNUMBER(K3104)),"Taux de TVA invalide",IF(COUNTIF(p_rates,K3104)=0,"Taux de TVA hors liste (Paramètres)",IF(N(O3104)&gt;25,"Au-delà de 25 lignes : non imprimée","OK")))))))))))))</f>
        <v/>
      </c>
      <c r="O3104" s="59" t="str">
        <f>IF(A3104="","",COUNTIF($A$6:A3104,A3104))</f>
        <v/>
      </c>
      <c r="P3104" s="62" t="str">
        <f>IF(A3104="","",A3104&amp;"|"&amp;O3104)</f>
        <v/>
      </c>
    </row>
    <row r="3105">
      <c r="A3105" s="60" t="n"/>
      <c r="B3105" s="63" t="n"/>
      <c r="C3105" s="63" t="n"/>
      <c r="D3105" s="67" t="n"/>
      <c r="E3105" s="68" t="n"/>
      <c r="F3105" s="69" t="n"/>
      <c r="G3105" s="70" t="n"/>
      <c r="H3105" s="62" t="str">
        <f>IF(COUNTA(A3105:G3105)=0,"",IF(C3105&lt;&gt;"",C3105,IF(B3105="","",IFERROR(INDEX(pr_des,MATCH(B3105,pr_code,0))&amp;"",""))))</f>
        <v/>
      </c>
      <c r="I3105" s="59" t="str">
        <f>IF(B3105="","",IFERROR(INDEX(pr_unit,MATCH(B3105,pr_code,0))&amp;"",""))</f>
        <v/>
      </c>
      <c r="J3105" s="65" t="str">
        <f>IF(COUNTA(A3105:G3105)=0,"",IF(E3105&lt;&gt;"",E3105,IF(B3105="","",IFERROR(IF(INDEX(pr_price,MATCH(B3105,pr_code,0))="","",INDEX(pr_price,MATCH(B3105,pr_code,0))),""))))</f>
        <v/>
      </c>
      <c r="K3105" s="71" t="str">
        <f>IF(COUNTA(A3105:G3105)=0,"",IF(G3105&lt;&gt;"",G3105,IF(B3105="","",IFERROR(IF(INDEX(pr_rate,MATCH(B3105,pr_code,0))="","",INDEX(pr_rate,MATCH(B3105,pr_code,0))),""))))</f>
        <v/>
      </c>
      <c r="L3105" s="65" t="str">
        <f>IF(COUNTA(A3105:G3105)=0,"",IF(AND(ISNUMBER(D3105),ISNUMBER(J3105)),ROUND(D3105*J3105*(1-N(F3105)),2),0))</f>
        <v/>
      </c>
      <c r="M3105" s="62" t="str">
        <f>IF(A3105="","",IFERROR(INDEX(fa_cname,MATCH(A3105,fa_num,0))&amp;"",""))</f>
        <v/>
      </c>
      <c r="N3105" s="59" t="str">
        <f>IF(COUNTA(A3105:G3105)=0,"",IF(A3105="","N° facture manquant",IF(ISNA(MATCH(A3105,fa_num,0)),"Facture inconnue",IF(AND(B3105&lt;&gt;"",ISNA(MATCH(B3105,pr_code,0))),"Article inconnu",IF(H3105="","Désignation manquante",IF(OR(NOT(ISNUMBER(D3105)),N(D3105)&lt;=0),"Quantité invalide",IF(J3105="","Prix manquant",IF(OR(NOT(ISNUMBER(J3105)),N(J3105)&lt;0),"Prix invalide",IF(OR(AND(F3105&lt;&gt;"",NOT(ISNUMBER(F3105))),N(F3105)&lt;0,N(F3105)&gt;1),"Remise invalide",IF(K3105="","Taux de TVA manquant",IF(NOT(ISNUMBER(K3105)),"Taux de TVA invalide",IF(COUNTIF(p_rates,K3105)=0,"Taux de TVA hors liste (Paramètres)",IF(N(O3105)&gt;25,"Au-delà de 25 lignes : non imprimée","OK")))))))))))))</f>
        <v/>
      </c>
      <c r="O3105" s="59" t="str">
        <f>IF(A3105="","",COUNTIF($A$6:A3105,A3105))</f>
        <v/>
      </c>
      <c r="P3105" s="62" t="str">
        <f>IF(A3105="","",A3105&amp;"|"&amp;O3105)</f>
        <v/>
      </c>
    </row>
    <row r="3106">
      <c r="A3106" s="60" t="n"/>
      <c r="B3106" s="63" t="n"/>
      <c r="C3106" s="63" t="n"/>
      <c r="D3106" s="67" t="n"/>
      <c r="E3106" s="68" t="n"/>
      <c r="F3106" s="69" t="n"/>
      <c r="G3106" s="70" t="n"/>
      <c r="H3106" s="62" t="str">
        <f>IF(COUNTA(A3106:G3106)=0,"",IF(C3106&lt;&gt;"",C3106,IF(B3106="","",IFERROR(INDEX(pr_des,MATCH(B3106,pr_code,0))&amp;"",""))))</f>
        <v/>
      </c>
      <c r="I3106" s="59" t="str">
        <f>IF(B3106="","",IFERROR(INDEX(pr_unit,MATCH(B3106,pr_code,0))&amp;"",""))</f>
        <v/>
      </c>
      <c r="J3106" s="65" t="str">
        <f>IF(COUNTA(A3106:G3106)=0,"",IF(E3106&lt;&gt;"",E3106,IF(B3106="","",IFERROR(IF(INDEX(pr_price,MATCH(B3106,pr_code,0))="","",INDEX(pr_price,MATCH(B3106,pr_code,0))),""))))</f>
        <v/>
      </c>
      <c r="K3106" s="71" t="str">
        <f>IF(COUNTA(A3106:G3106)=0,"",IF(G3106&lt;&gt;"",G3106,IF(B3106="","",IFERROR(IF(INDEX(pr_rate,MATCH(B3106,pr_code,0))="","",INDEX(pr_rate,MATCH(B3106,pr_code,0))),""))))</f>
        <v/>
      </c>
      <c r="L3106" s="65" t="str">
        <f>IF(COUNTA(A3106:G3106)=0,"",IF(AND(ISNUMBER(D3106),ISNUMBER(J3106)),ROUND(D3106*J3106*(1-N(F3106)),2),0))</f>
        <v/>
      </c>
      <c r="M3106" s="62" t="str">
        <f>IF(A3106="","",IFERROR(INDEX(fa_cname,MATCH(A3106,fa_num,0))&amp;"",""))</f>
        <v/>
      </c>
      <c r="N3106" s="59" t="str">
        <f>IF(COUNTA(A3106:G3106)=0,"",IF(A3106="","N° facture manquant",IF(ISNA(MATCH(A3106,fa_num,0)),"Facture inconnue",IF(AND(B3106&lt;&gt;"",ISNA(MATCH(B3106,pr_code,0))),"Article inconnu",IF(H3106="","Désignation manquante",IF(OR(NOT(ISNUMBER(D3106)),N(D3106)&lt;=0),"Quantité invalide",IF(J3106="","Prix manquant",IF(OR(NOT(ISNUMBER(J3106)),N(J3106)&lt;0),"Prix invalide",IF(OR(AND(F3106&lt;&gt;"",NOT(ISNUMBER(F3106))),N(F3106)&lt;0,N(F3106)&gt;1),"Remise invalide",IF(K3106="","Taux de TVA manquant",IF(NOT(ISNUMBER(K3106)),"Taux de TVA invalide",IF(COUNTIF(p_rates,K3106)=0,"Taux de TVA hors liste (Paramètres)",IF(N(O3106)&gt;25,"Au-delà de 25 lignes : non imprimée","OK")))))))))))))</f>
        <v/>
      </c>
      <c r="O3106" s="59" t="str">
        <f>IF(A3106="","",COUNTIF($A$6:A3106,A3106))</f>
        <v/>
      </c>
      <c r="P3106" s="62" t="str">
        <f>IF(A3106="","",A3106&amp;"|"&amp;O3106)</f>
        <v/>
      </c>
    </row>
    <row r="3107">
      <c r="A3107" s="60" t="n"/>
      <c r="B3107" s="63" t="n"/>
      <c r="C3107" s="63" t="n"/>
      <c r="D3107" s="67" t="n"/>
      <c r="E3107" s="68" t="n"/>
      <c r="F3107" s="69" t="n"/>
      <c r="G3107" s="70" t="n"/>
      <c r="H3107" s="62" t="str">
        <f>IF(COUNTA(A3107:G3107)=0,"",IF(C3107&lt;&gt;"",C3107,IF(B3107="","",IFERROR(INDEX(pr_des,MATCH(B3107,pr_code,0))&amp;"",""))))</f>
        <v/>
      </c>
      <c r="I3107" s="59" t="str">
        <f>IF(B3107="","",IFERROR(INDEX(pr_unit,MATCH(B3107,pr_code,0))&amp;"",""))</f>
        <v/>
      </c>
      <c r="J3107" s="65" t="str">
        <f>IF(COUNTA(A3107:G3107)=0,"",IF(E3107&lt;&gt;"",E3107,IF(B3107="","",IFERROR(IF(INDEX(pr_price,MATCH(B3107,pr_code,0))="","",INDEX(pr_price,MATCH(B3107,pr_code,0))),""))))</f>
        <v/>
      </c>
      <c r="K3107" s="71" t="str">
        <f>IF(COUNTA(A3107:G3107)=0,"",IF(G3107&lt;&gt;"",G3107,IF(B3107="","",IFERROR(IF(INDEX(pr_rate,MATCH(B3107,pr_code,0))="","",INDEX(pr_rate,MATCH(B3107,pr_code,0))),""))))</f>
        <v/>
      </c>
      <c r="L3107" s="65" t="str">
        <f>IF(COUNTA(A3107:G3107)=0,"",IF(AND(ISNUMBER(D3107),ISNUMBER(J3107)),ROUND(D3107*J3107*(1-N(F3107)),2),0))</f>
        <v/>
      </c>
      <c r="M3107" s="62" t="str">
        <f>IF(A3107="","",IFERROR(INDEX(fa_cname,MATCH(A3107,fa_num,0))&amp;"",""))</f>
        <v/>
      </c>
      <c r="N3107" s="59" t="str">
        <f>IF(COUNTA(A3107:G3107)=0,"",IF(A3107="","N° facture manquant",IF(ISNA(MATCH(A3107,fa_num,0)),"Facture inconnue",IF(AND(B3107&lt;&gt;"",ISNA(MATCH(B3107,pr_code,0))),"Article inconnu",IF(H3107="","Désignation manquante",IF(OR(NOT(ISNUMBER(D3107)),N(D3107)&lt;=0),"Quantité invalide",IF(J3107="","Prix manquant",IF(OR(NOT(ISNUMBER(J3107)),N(J3107)&lt;0),"Prix invalide",IF(OR(AND(F3107&lt;&gt;"",NOT(ISNUMBER(F3107))),N(F3107)&lt;0,N(F3107)&gt;1),"Remise invalide",IF(K3107="","Taux de TVA manquant",IF(NOT(ISNUMBER(K3107)),"Taux de TVA invalide",IF(COUNTIF(p_rates,K3107)=0,"Taux de TVA hors liste (Paramètres)",IF(N(O3107)&gt;25,"Au-delà de 25 lignes : non imprimée","OK")))))))))))))</f>
        <v/>
      </c>
      <c r="O3107" s="59" t="str">
        <f>IF(A3107="","",COUNTIF($A$6:A3107,A3107))</f>
        <v/>
      </c>
      <c r="P3107" s="62" t="str">
        <f>IF(A3107="","",A3107&amp;"|"&amp;O3107)</f>
        <v/>
      </c>
    </row>
    <row r="3108">
      <c r="A3108" s="60" t="n"/>
      <c r="B3108" s="63" t="n"/>
      <c r="C3108" s="63" t="n"/>
      <c r="D3108" s="67" t="n"/>
      <c r="E3108" s="68" t="n"/>
      <c r="F3108" s="69" t="n"/>
      <c r="G3108" s="70" t="n"/>
      <c r="H3108" s="62" t="str">
        <f>IF(COUNTA(A3108:G3108)=0,"",IF(C3108&lt;&gt;"",C3108,IF(B3108="","",IFERROR(INDEX(pr_des,MATCH(B3108,pr_code,0))&amp;"",""))))</f>
        <v/>
      </c>
      <c r="I3108" s="59" t="str">
        <f>IF(B3108="","",IFERROR(INDEX(pr_unit,MATCH(B3108,pr_code,0))&amp;"",""))</f>
        <v/>
      </c>
      <c r="J3108" s="65" t="str">
        <f>IF(COUNTA(A3108:G3108)=0,"",IF(E3108&lt;&gt;"",E3108,IF(B3108="","",IFERROR(IF(INDEX(pr_price,MATCH(B3108,pr_code,0))="","",INDEX(pr_price,MATCH(B3108,pr_code,0))),""))))</f>
        <v/>
      </c>
      <c r="K3108" s="71" t="str">
        <f>IF(COUNTA(A3108:G3108)=0,"",IF(G3108&lt;&gt;"",G3108,IF(B3108="","",IFERROR(IF(INDEX(pr_rate,MATCH(B3108,pr_code,0))="","",INDEX(pr_rate,MATCH(B3108,pr_code,0))),""))))</f>
        <v/>
      </c>
      <c r="L3108" s="65" t="str">
        <f>IF(COUNTA(A3108:G3108)=0,"",IF(AND(ISNUMBER(D3108),ISNUMBER(J3108)),ROUND(D3108*J3108*(1-N(F3108)),2),0))</f>
        <v/>
      </c>
      <c r="M3108" s="62" t="str">
        <f>IF(A3108="","",IFERROR(INDEX(fa_cname,MATCH(A3108,fa_num,0))&amp;"",""))</f>
        <v/>
      </c>
      <c r="N3108" s="59" t="str">
        <f>IF(COUNTA(A3108:G3108)=0,"",IF(A3108="","N° facture manquant",IF(ISNA(MATCH(A3108,fa_num,0)),"Facture inconnue",IF(AND(B3108&lt;&gt;"",ISNA(MATCH(B3108,pr_code,0))),"Article inconnu",IF(H3108="","Désignation manquante",IF(OR(NOT(ISNUMBER(D3108)),N(D3108)&lt;=0),"Quantité invalide",IF(J3108="","Prix manquant",IF(OR(NOT(ISNUMBER(J3108)),N(J3108)&lt;0),"Prix invalide",IF(OR(AND(F3108&lt;&gt;"",NOT(ISNUMBER(F3108))),N(F3108)&lt;0,N(F3108)&gt;1),"Remise invalide",IF(K3108="","Taux de TVA manquant",IF(NOT(ISNUMBER(K3108)),"Taux de TVA invalide",IF(COUNTIF(p_rates,K3108)=0,"Taux de TVA hors liste (Paramètres)",IF(N(O3108)&gt;25,"Au-delà de 25 lignes : non imprimée","OK")))))))))))))</f>
        <v/>
      </c>
      <c r="O3108" s="59" t="str">
        <f>IF(A3108="","",COUNTIF($A$6:A3108,A3108))</f>
        <v/>
      </c>
      <c r="P3108" s="62" t="str">
        <f>IF(A3108="","",A3108&amp;"|"&amp;O3108)</f>
        <v/>
      </c>
    </row>
    <row r="3109">
      <c r="A3109" s="60" t="n"/>
      <c r="B3109" s="63" t="n"/>
      <c r="C3109" s="63" t="n"/>
      <c r="D3109" s="67" t="n"/>
      <c r="E3109" s="68" t="n"/>
      <c r="F3109" s="69" t="n"/>
      <c r="G3109" s="70" t="n"/>
      <c r="H3109" s="62" t="str">
        <f>IF(COUNTA(A3109:G3109)=0,"",IF(C3109&lt;&gt;"",C3109,IF(B3109="","",IFERROR(INDEX(pr_des,MATCH(B3109,pr_code,0))&amp;"",""))))</f>
        <v/>
      </c>
      <c r="I3109" s="59" t="str">
        <f>IF(B3109="","",IFERROR(INDEX(pr_unit,MATCH(B3109,pr_code,0))&amp;"",""))</f>
        <v/>
      </c>
      <c r="J3109" s="65" t="str">
        <f>IF(COUNTA(A3109:G3109)=0,"",IF(E3109&lt;&gt;"",E3109,IF(B3109="","",IFERROR(IF(INDEX(pr_price,MATCH(B3109,pr_code,0))="","",INDEX(pr_price,MATCH(B3109,pr_code,0))),""))))</f>
        <v/>
      </c>
      <c r="K3109" s="71" t="str">
        <f>IF(COUNTA(A3109:G3109)=0,"",IF(G3109&lt;&gt;"",G3109,IF(B3109="","",IFERROR(IF(INDEX(pr_rate,MATCH(B3109,pr_code,0))="","",INDEX(pr_rate,MATCH(B3109,pr_code,0))),""))))</f>
        <v/>
      </c>
      <c r="L3109" s="65" t="str">
        <f>IF(COUNTA(A3109:G3109)=0,"",IF(AND(ISNUMBER(D3109),ISNUMBER(J3109)),ROUND(D3109*J3109*(1-N(F3109)),2),0))</f>
        <v/>
      </c>
      <c r="M3109" s="62" t="str">
        <f>IF(A3109="","",IFERROR(INDEX(fa_cname,MATCH(A3109,fa_num,0))&amp;"",""))</f>
        <v/>
      </c>
      <c r="N3109" s="59" t="str">
        <f>IF(COUNTA(A3109:G3109)=0,"",IF(A3109="","N° facture manquant",IF(ISNA(MATCH(A3109,fa_num,0)),"Facture inconnue",IF(AND(B3109&lt;&gt;"",ISNA(MATCH(B3109,pr_code,0))),"Article inconnu",IF(H3109="","Désignation manquante",IF(OR(NOT(ISNUMBER(D3109)),N(D3109)&lt;=0),"Quantité invalide",IF(J3109="","Prix manquant",IF(OR(NOT(ISNUMBER(J3109)),N(J3109)&lt;0),"Prix invalide",IF(OR(AND(F3109&lt;&gt;"",NOT(ISNUMBER(F3109))),N(F3109)&lt;0,N(F3109)&gt;1),"Remise invalide",IF(K3109="","Taux de TVA manquant",IF(NOT(ISNUMBER(K3109)),"Taux de TVA invalide",IF(COUNTIF(p_rates,K3109)=0,"Taux de TVA hors liste (Paramètres)",IF(N(O3109)&gt;25,"Au-delà de 25 lignes : non imprimée","OK")))))))))))))</f>
        <v/>
      </c>
      <c r="O3109" s="59" t="str">
        <f>IF(A3109="","",COUNTIF($A$6:A3109,A3109))</f>
        <v/>
      </c>
      <c r="P3109" s="62" t="str">
        <f>IF(A3109="","",A3109&amp;"|"&amp;O3109)</f>
        <v/>
      </c>
    </row>
    <row r="3110">
      <c r="A3110" s="60" t="n"/>
      <c r="B3110" s="63" t="n"/>
      <c r="C3110" s="63" t="n"/>
      <c r="D3110" s="67" t="n"/>
      <c r="E3110" s="68" t="n"/>
      <c r="F3110" s="69" t="n"/>
      <c r="G3110" s="70" t="n"/>
      <c r="H3110" s="62" t="str">
        <f>IF(COUNTA(A3110:G3110)=0,"",IF(C3110&lt;&gt;"",C3110,IF(B3110="","",IFERROR(INDEX(pr_des,MATCH(B3110,pr_code,0))&amp;"",""))))</f>
        <v/>
      </c>
      <c r="I3110" s="59" t="str">
        <f>IF(B3110="","",IFERROR(INDEX(pr_unit,MATCH(B3110,pr_code,0))&amp;"",""))</f>
        <v/>
      </c>
      <c r="J3110" s="65" t="str">
        <f>IF(COUNTA(A3110:G3110)=0,"",IF(E3110&lt;&gt;"",E3110,IF(B3110="","",IFERROR(IF(INDEX(pr_price,MATCH(B3110,pr_code,0))="","",INDEX(pr_price,MATCH(B3110,pr_code,0))),""))))</f>
        <v/>
      </c>
      <c r="K3110" s="71" t="str">
        <f>IF(COUNTA(A3110:G3110)=0,"",IF(G3110&lt;&gt;"",G3110,IF(B3110="","",IFERROR(IF(INDEX(pr_rate,MATCH(B3110,pr_code,0))="","",INDEX(pr_rate,MATCH(B3110,pr_code,0))),""))))</f>
        <v/>
      </c>
      <c r="L3110" s="65" t="str">
        <f>IF(COUNTA(A3110:G3110)=0,"",IF(AND(ISNUMBER(D3110),ISNUMBER(J3110)),ROUND(D3110*J3110*(1-N(F3110)),2),0))</f>
        <v/>
      </c>
      <c r="M3110" s="62" t="str">
        <f>IF(A3110="","",IFERROR(INDEX(fa_cname,MATCH(A3110,fa_num,0))&amp;"",""))</f>
        <v/>
      </c>
      <c r="N3110" s="59" t="str">
        <f>IF(COUNTA(A3110:G3110)=0,"",IF(A3110="","N° facture manquant",IF(ISNA(MATCH(A3110,fa_num,0)),"Facture inconnue",IF(AND(B3110&lt;&gt;"",ISNA(MATCH(B3110,pr_code,0))),"Article inconnu",IF(H3110="","Désignation manquante",IF(OR(NOT(ISNUMBER(D3110)),N(D3110)&lt;=0),"Quantité invalide",IF(J3110="","Prix manquant",IF(OR(NOT(ISNUMBER(J3110)),N(J3110)&lt;0),"Prix invalide",IF(OR(AND(F3110&lt;&gt;"",NOT(ISNUMBER(F3110))),N(F3110)&lt;0,N(F3110)&gt;1),"Remise invalide",IF(K3110="","Taux de TVA manquant",IF(NOT(ISNUMBER(K3110)),"Taux de TVA invalide",IF(COUNTIF(p_rates,K3110)=0,"Taux de TVA hors liste (Paramètres)",IF(N(O3110)&gt;25,"Au-delà de 25 lignes : non imprimée","OK")))))))))))))</f>
        <v/>
      </c>
      <c r="O3110" s="59" t="str">
        <f>IF(A3110="","",COUNTIF($A$6:A3110,A3110))</f>
        <v/>
      </c>
      <c r="P3110" s="62" t="str">
        <f>IF(A3110="","",A3110&amp;"|"&amp;O3110)</f>
        <v/>
      </c>
    </row>
    <row r="3111">
      <c r="A3111" s="60" t="n"/>
      <c r="B3111" s="63" t="n"/>
      <c r="C3111" s="63" t="n"/>
      <c r="D3111" s="67" t="n"/>
      <c r="E3111" s="68" t="n"/>
      <c r="F3111" s="69" t="n"/>
      <c r="G3111" s="70" t="n"/>
      <c r="H3111" s="62" t="str">
        <f>IF(COUNTA(A3111:G3111)=0,"",IF(C3111&lt;&gt;"",C3111,IF(B3111="","",IFERROR(INDEX(pr_des,MATCH(B3111,pr_code,0))&amp;"",""))))</f>
        <v/>
      </c>
      <c r="I3111" s="59" t="str">
        <f>IF(B3111="","",IFERROR(INDEX(pr_unit,MATCH(B3111,pr_code,0))&amp;"",""))</f>
        <v/>
      </c>
      <c r="J3111" s="65" t="str">
        <f>IF(COUNTA(A3111:G3111)=0,"",IF(E3111&lt;&gt;"",E3111,IF(B3111="","",IFERROR(IF(INDEX(pr_price,MATCH(B3111,pr_code,0))="","",INDEX(pr_price,MATCH(B3111,pr_code,0))),""))))</f>
        <v/>
      </c>
      <c r="K3111" s="71" t="str">
        <f>IF(COUNTA(A3111:G3111)=0,"",IF(G3111&lt;&gt;"",G3111,IF(B3111="","",IFERROR(IF(INDEX(pr_rate,MATCH(B3111,pr_code,0))="","",INDEX(pr_rate,MATCH(B3111,pr_code,0))),""))))</f>
        <v/>
      </c>
      <c r="L3111" s="65" t="str">
        <f>IF(COUNTA(A3111:G3111)=0,"",IF(AND(ISNUMBER(D3111),ISNUMBER(J3111)),ROUND(D3111*J3111*(1-N(F3111)),2),0))</f>
        <v/>
      </c>
      <c r="M3111" s="62" t="str">
        <f>IF(A3111="","",IFERROR(INDEX(fa_cname,MATCH(A3111,fa_num,0))&amp;"",""))</f>
        <v/>
      </c>
      <c r="N3111" s="59" t="str">
        <f>IF(COUNTA(A3111:G3111)=0,"",IF(A3111="","N° facture manquant",IF(ISNA(MATCH(A3111,fa_num,0)),"Facture inconnue",IF(AND(B3111&lt;&gt;"",ISNA(MATCH(B3111,pr_code,0))),"Article inconnu",IF(H3111="","Désignation manquante",IF(OR(NOT(ISNUMBER(D3111)),N(D3111)&lt;=0),"Quantité invalide",IF(J3111="","Prix manquant",IF(OR(NOT(ISNUMBER(J3111)),N(J3111)&lt;0),"Prix invalide",IF(OR(AND(F3111&lt;&gt;"",NOT(ISNUMBER(F3111))),N(F3111)&lt;0,N(F3111)&gt;1),"Remise invalide",IF(K3111="","Taux de TVA manquant",IF(NOT(ISNUMBER(K3111)),"Taux de TVA invalide",IF(COUNTIF(p_rates,K3111)=0,"Taux de TVA hors liste (Paramètres)",IF(N(O3111)&gt;25,"Au-delà de 25 lignes : non imprimée","OK")))))))))))))</f>
        <v/>
      </c>
      <c r="O3111" s="59" t="str">
        <f>IF(A3111="","",COUNTIF($A$6:A3111,A3111))</f>
        <v/>
      </c>
      <c r="P3111" s="62" t="str">
        <f>IF(A3111="","",A3111&amp;"|"&amp;O3111)</f>
        <v/>
      </c>
    </row>
    <row r="3112">
      <c r="A3112" s="60" t="n"/>
      <c r="B3112" s="63" t="n"/>
      <c r="C3112" s="63" t="n"/>
      <c r="D3112" s="67" t="n"/>
      <c r="E3112" s="68" t="n"/>
      <c r="F3112" s="69" t="n"/>
      <c r="G3112" s="70" t="n"/>
      <c r="H3112" s="62" t="str">
        <f>IF(COUNTA(A3112:G3112)=0,"",IF(C3112&lt;&gt;"",C3112,IF(B3112="","",IFERROR(INDEX(pr_des,MATCH(B3112,pr_code,0))&amp;"",""))))</f>
        <v/>
      </c>
      <c r="I3112" s="59" t="str">
        <f>IF(B3112="","",IFERROR(INDEX(pr_unit,MATCH(B3112,pr_code,0))&amp;"",""))</f>
        <v/>
      </c>
      <c r="J3112" s="65" t="str">
        <f>IF(COUNTA(A3112:G3112)=0,"",IF(E3112&lt;&gt;"",E3112,IF(B3112="","",IFERROR(IF(INDEX(pr_price,MATCH(B3112,pr_code,0))="","",INDEX(pr_price,MATCH(B3112,pr_code,0))),""))))</f>
        <v/>
      </c>
      <c r="K3112" s="71" t="str">
        <f>IF(COUNTA(A3112:G3112)=0,"",IF(G3112&lt;&gt;"",G3112,IF(B3112="","",IFERROR(IF(INDEX(pr_rate,MATCH(B3112,pr_code,0))="","",INDEX(pr_rate,MATCH(B3112,pr_code,0))),""))))</f>
        <v/>
      </c>
      <c r="L3112" s="65" t="str">
        <f>IF(COUNTA(A3112:G3112)=0,"",IF(AND(ISNUMBER(D3112),ISNUMBER(J3112)),ROUND(D3112*J3112*(1-N(F3112)),2),0))</f>
        <v/>
      </c>
      <c r="M3112" s="62" t="str">
        <f>IF(A3112="","",IFERROR(INDEX(fa_cname,MATCH(A3112,fa_num,0))&amp;"",""))</f>
        <v/>
      </c>
      <c r="N3112" s="59" t="str">
        <f>IF(COUNTA(A3112:G3112)=0,"",IF(A3112="","N° facture manquant",IF(ISNA(MATCH(A3112,fa_num,0)),"Facture inconnue",IF(AND(B3112&lt;&gt;"",ISNA(MATCH(B3112,pr_code,0))),"Article inconnu",IF(H3112="","Désignation manquante",IF(OR(NOT(ISNUMBER(D3112)),N(D3112)&lt;=0),"Quantité invalide",IF(J3112="","Prix manquant",IF(OR(NOT(ISNUMBER(J3112)),N(J3112)&lt;0),"Prix invalide",IF(OR(AND(F3112&lt;&gt;"",NOT(ISNUMBER(F3112))),N(F3112)&lt;0,N(F3112)&gt;1),"Remise invalide",IF(K3112="","Taux de TVA manquant",IF(NOT(ISNUMBER(K3112)),"Taux de TVA invalide",IF(COUNTIF(p_rates,K3112)=0,"Taux de TVA hors liste (Paramètres)",IF(N(O3112)&gt;25,"Au-delà de 25 lignes : non imprimée","OK")))))))))))))</f>
        <v/>
      </c>
      <c r="O3112" s="59" t="str">
        <f>IF(A3112="","",COUNTIF($A$6:A3112,A3112))</f>
        <v/>
      </c>
      <c r="P3112" s="62" t="str">
        <f>IF(A3112="","",A3112&amp;"|"&amp;O3112)</f>
        <v/>
      </c>
    </row>
    <row r="3113">
      <c r="A3113" s="60" t="n"/>
      <c r="B3113" s="63" t="n"/>
      <c r="C3113" s="63" t="n"/>
      <c r="D3113" s="67" t="n"/>
      <c r="E3113" s="68" t="n"/>
      <c r="F3113" s="69" t="n"/>
      <c r="G3113" s="70" t="n"/>
      <c r="H3113" s="62" t="str">
        <f>IF(COUNTA(A3113:G3113)=0,"",IF(C3113&lt;&gt;"",C3113,IF(B3113="","",IFERROR(INDEX(pr_des,MATCH(B3113,pr_code,0))&amp;"",""))))</f>
        <v/>
      </c>
      <c r="I3113" s="59" t="str">
        <f>IF(B3113="","",IFERROR(INDEX(pr_unit,MATCH(B3113,pr_code,0))&amp;"",""))</f>
        <v/>
      </c>
      <c r="J3113" s="65" t="str">
        <f>IF(COUNTA(A3113:G3113)=0,"",IF(E3113&lt;&gt;"",E3113,IF(B3113="","",IFERROR(IF(INDEX(pr_price,MATCH(B3113,pr_code,0))="","",INDEX(pr_price,MATCH(B3113,pr_code,0))),""))))</f>
        <v/>
      </c>
      <c r="K3113" s="71" t="str">
        <f>IF(COUNTA(A3113:G3113)=0,"",IF(G3113&lt;&gt;"",G3113,IF(B3113="","",IFERROR(IF(INDEX(pr_rate,MATCH(B3113,pr_code,0))="","",INDEX(pr_rate,MATCH(B3113,pr_code,0))),""))))</f>
        <v/>
      </c>
      <c r="L3113" s="65" t="str">
        <f>IF(COUNTA(A3113:G3113)=0,"",IF(AND(ISNUMBER(D3113),ISNUMBER(J3113)),ROUND(D3113*J3113*(1-N(F3113)),2),0))</f>
        <v/>
      </c>
      <c r="M3113" s="62" t="str">
        <f>IF(A3113="","",IFERROR(INDEX(fa_cname,MATCH(A3113,fa_num,0))&amp;"",""))</f>
        <v/>
      </c>
      <c r="N3113" s="59" t="str">
        <f>IF(COUNTA(A3113:G3113)=0,"",IF(A3113="","N° facture manquant",IF(ISNA(MATCH(A3113,fa_num,0)),"Facture inconnue",IF(AND(B3113&lt;&gt;"",ISNA(MATCH(B3113,pr_code,0))),"Article inconnu",IF(H3113="","Désignation manquante",IF(OR(NOT(ISNUMBER(D3113)),N(D3113)&lt;=0),"Quantité invalide",IF(J3113="","Prix manquant",IF(OR(NOT(ISNUMBER(J3113)),N(J3113)&lt;0),"Prix invalide",IF(OR(AND(F3113&lt;&gt;"",NOT(ISNUMBER(F3113))),N(F3113)&lt;0,N(F3113)&gt;1),"Remise invalide",IF(K3113="","Taux de TVA manquant",IF(NOT(ISNUMBER(K3113)),"Taux de TVA invalide",IF(COUNTIF(p_rates,K3113)=0,"Taux de TVA hors liste (Paramètres)",IF(N(O3113)&gt;25,"Au-delà de 25 lignes : non imprimée","OK")))))))))))))</f>
        <v/>
      </c>
      <c r="O3113" s="59" t="str">
        <f>IF(A3113="","",COUNTIF($A$6:A3113,A3113))</f>
        <v/>
      </c>
      <c r="P3113" s="62" t="str">
        <f>IF(A3113="","",A3113&amp;"|"&amp;O3113)</f>
        <v/>
      </c>
    </row>
    <row r="3114">
      <c r="A3114" s="60" t="n"/>
      <c r="B3114" s="63" t="n"/>
      <c r="C3114" s="63" t="n"/>
      <c r="D3114" s="67" t="n"/>
      <c r="E3114" s="68" t="n"/>
      <c r="F3114" s="69" t="n"/>
      <c r="G3114" s="70" t="n"/>
      <c r="H3114" s="62" t="str">
        <f>IF(COUNTA(A3114:G3114)=0,"",IF(C3114&lt;&gt;"",C3114,IF(B3114="","",IFERROR(INDEX(pr_des,MATCH(B3114,pr_code,0))&amp;"",""))))</f>
        <v/>
      </c>
      <c r="I3114" s="59" t="str">
        <f>IF(B3114="","",IFERROR(INDEX(pr_unit,MATCH(B3114,pr_code,0))&amp;"",""))</f>
        <v/>
      </c>
      <c r="J3114" s="65" t="str">
        <f>IF(COUNTA(A3114:G3114)=0,"",IF(E3114&lt;&gt;"",E3114,IF(B3114="","",IFERROR(IF(INDEX(pr_price,MATCH(B3114,pr_code,0))="","",INDEX(pr_price,MATCH(B3114,pr_code,0))),""))))</f>
        <v/>
      </c>
      <c r="K3114" s="71" t="str">
        <f>IF(COUNTA(A3114:G3114)=0,"",IF(G3114&lt;&gt;"",G3114,IF(B3114="","",IFERROR(IF(INDEX(pr_rate,MATCH(B3114,pr_code,0))="","",INDEX(pr_rate,MATCH(B3114,pr_code,0))),""))))</f>
        <v/>
      </c>
      <c r="L3114" s="65" t="str">
        <f>IF(COUNTA(A3114:G3114)=0,"",IF(AND(ISNUMBER(D3114),ISNUMBER(J3114)),ROUND(D3114*J3114*(1-N(F3114)),2),0))</f>
        <v/>
      </c>
      <c r="M3114" s="62" t="str">
        <f>IF(A3114="","",IFERROR(INDEX(fa_cname,MATCH(A3114,fa_num,0))&amp;"",""))</f>
        <v/>
      </c>
      <c r="N3114" s="59" t="str">
        <f>IF(COUNTA(A3114:G3114)=0,"",IF(A3114="","N° facture manquant",IF(ISNA(MATCH(A3114,fa_num,0)),"Facture inconnue",IF(AND(B3114&lt;&gt;"",ISNA(MATCH(B3114,pr_code,0))),"Article inconnu",IF(H3114="","Désignation manquante",IF(OR(NOT(ISNUMBER(D3114)),N(D3114)&lt;=0),"Quantité invalide",IF(J3114="","Prix manquant",IF(OR(NOT(ISNUMBER(J3114)),N(J3114)&lt;0),"Prix invalide",IF(OR(AND(F3114&lt;&gt;"",NOT(ISNUMBER(F3114))),N(F3114)&lt;0,N(F3114)&gt;1),"Remise invalide",IF(K3114="","Taux de TVA manquant",IF(NOT(ISNUMBER(K3114)),"Taux de TVA invalide",IF(COUNTIF(p_rates,K3114)=0,"Taux de TVA hors liste (Paramètres)",IF(N(O3114)&gt;25,"Au-delà de 25 lignes : non imprimée","OK")))))))))))))</f>
        <v/>
      </c>
      <c r="O3114" s="59" t="str">
        <f>IF(A3114="","",COUNTIF($A$6:A3114,A3114))</f>
        <v/>
      </c>
      <c r="P3114" s="62" t="str">
        <f>IF(A3114="","",A3114&amp;"|"&amp;O3114)</f>
        <v/>
      </c>
    </row>
    <row r="3115">
      <c r="A3115" s="60" t="n"/>
      <c r="B3115" s="63" t="n"/>
      <c r="C3115" s="63" t="n"/>
      <c r="D3115" s="67" t="n"/>
      <c r="E3115" s="68" t="n"/>
      <c r="F3115" s="69" t="n"/>
      <c r="G3115" s="70" t="n"/>
      <c r="H3115" s="62" t="str">
        <f>IF(COUNTA(A3115:G3115)=0,"",IF(C3115&lt;&gt;"",C3115,IF(B3115="","",IFERROR(INDEX(pr_des,MATCH(B3115,pr_code,0))&amp;"",""))))</f>
        <v/>
      </c>
      <c r="I3115" s="59" t="str">
        <f>IF(B3115="","",IFERROR(INDEX(pr_unit,MATCH(B3115,pr_code,0))&amp;"",""))</f>
        <v/>
      </c>
      <c r="J3115" s="65" t="str">
        <f>IF(COUNTA(A3115:G3115)=0,"",IF(E3115&lt;&gt;"",E3115,IF(B3115="","",IFERROR(IF(INDEX(pr_price,MATCH(B3115,pr_code,0))="","",INDEX(pr_price,MATCH(B3115,pr_code,0))),""))))</f>
        <v/>
      </c>
      <c r="K3115" s="71" t="str">
        <f>IF(COUNTA(A3115:G3115)=0,"",IF(G3115&lt;&gt;"",G3115,IF(B3115="","",IFERROR(IF(INDEX(pr_rate,MATCH(B3115,pr_code,0))="","",INDEX(pr_rate,MATCH(B3115,pr_code,0))),""))))</f>
        <v/>
      </c>
      <c r="L3115" s="65" t="str">
        <f>IF(COUNTA(A3115:G3115)=0,"",IF(AND(ISNUMBER(D3115),ISNUMBER(J3115)),ROUND(D3115*J3115*(1-N(F3115)),2),0))</f>
        <v/>
      </c>
      <c r="M3115" s="62" t="str">
        <f>IF(A3115="","",IFERROR(INDEX(fa_cname,MATCH(A3115,fa_num,0))&amp;"",""))</f>
        <v/>
      </c>
      <c r="N3115" s="59" t="str">
        <f>IF(COUNTA(A3115:G3115)=0,"",IF(A3115="","N° facture manquant",IF(ISNA(MATCH(A3115,fa_num,0)),"Facture inconnue",IF(AND(B3115&lt;&gt;"",ISNA(MATCH(B3115,pr_code,0))),"Article inconnu",IF(H3115="","Désignation manquante",IF(OR(NOT(ISNUMBER(D3115)),N(D3115)&lt;=0),"Quantité invalide",IF(J3115="","Prix manquant",IF(OR(NOT(ISNUMBER(J3115)),N(J3115)&lt;0),"Prix invalide",IF(OR(AND(F3115&lt;&gt;"",NOT(ISNUMBER(F3115))),N(F3115)&lt;0,N(F3115)&gt;1),"Remise invalide",IF(K3115="","Taux de TVA manquant",IF(NOT(ISNUMBER(K3115)),"Taux de TVA invalide",IF(COUNTIF(p_rates,K3115)=0,"Taux de TVA hors liste (Paramètres)",IF(N(O3115)&gt;25,"Au-delà de 25 lignes : non imprimée","OK")))))))))))))</f>
        <v/>
      </c>
      <c r="O3115" s="59" t="str">
        <f>IF(A3115="","",COUNTIF($A$6:A3115,A3115))</f>
        <v/>
      </c>
      <c r="P3115" s="62" t="str">
        <f>IF(A3115="","",A3115&amp;"|"&amp;O3115)</f>
        <v/>
      </c>
    </row>
    <row r="3116">
      <c r="A3116" s="60" t="n"/>
      <c r="B3116" s="63" t="n"/>
      <c r="C3116" s="63" t="n"/>
      <c r="D3116" s="67" t="n"/>
      <c r="E3116" s="68" t="n"/>
      <c r="F3116" s="69" t="n"/>
      <c r="G3116" s="70" t="n"/>
      <c r="H3116" s="62" t="str">
        <f>IF(COUNTA(A3116:G3116)=0,"",IF(C3116&lt;&gt;"",C3116,IF(B3116="","",IFERROR(INDEX(pr_des,MATCH(B3116,pr_code,0))&amp;"",""))))</f>
        <v/>
      </c>
      <c r="I3116" s="59" t="str">
        <f>IF(B3116="","",IFERROR(INDEX(pr_unit,MATCH(B3116,pr_code,0))&amp;"",""))</f>
        <v/>
      </c>
      <c r="J3116" s="65" t="str">
        <f>IF(COUNTA(A3116:G3116)=0,"",IF(E3116&lt;&gt;"",E3116,IF(B3116="","",IFERROR(IF(INDEX(pr_price,MATCH(B3116,pr_code,0))="","",INDEX(pr_price,MATCH(B3116,pr_code,0))),""))))</f>
        <v/>
      </c>
      <c r="K3116" s="71" t="str">
        <f>IF(COUNTA(A3116:G3116)=0,"",IF(G3116&lt;&gt;"",G3116,IF(B3116="","",IFERROR(IF(INDEX(pr_rate,MATCH(B3116,pr_code,0))="","",INDEX(pr_rate,MATCH(B3116,pr_code,0))),""))))</f>
        <v/>
      </c>
      <c r="L3116" s="65" t="str">
        <f>IF(COUNTA(A3116:G3116)=0,"",IF(AND(ISNUMBER(D3116),ISNUMBER(J3116)),ROUND(D3116*J3116*(1-N(F3116)),2),0))</f>
        <v/>
      </c>
      <c r="M3116" s="62" t="str">
        <f>IF(A3116="","",IFERROR(INDEX(fa_cname,MATCH(A3116,fa_num,0))&amp;"",""))</f>
        <v/>
      </c>
      <c r="N3116" s="59" t="str">
        <f>IF(COUNTA(A3116:G3116)=0,"",IF(A3116="","N° facture manquant",IF(ISNA(MATCH(A3116,fa_num,0)),"Facture inconnue",IF(AND(B3116&lt;&gt;"",ISNA(MATCH(B3116,pr_code,0))),"Article inconnu",IF(H3116="","Désignation manquante",IF(OR(NOT(ISNUMBER(D3116)),N(D3116)&lt;=0),"Quantité invalide",IF(J3116="","Prix manquant",IF(OR(NOT(ISNUMBER(J3116)),N(J3116)&lt;0),"Prix invalide",IF(OR(AND(F3116&lt;&gt;"",NOT(ISNUMBER(F3116))),N(F3116)&lt;0,N(F3116)&gt;1),"Remise invalide",IF(K3116="","Taux de TVA manquant",IF(NOT(ISNUMBER(K3116)),"Taux de TVA invalide",IF(COUNTIF(p_rates,K3116)=0,"Taux de TVA hors liste (Paramètres)",IF(N(O3116)&gt;25,"Au-delà de 25 lignes : non imprimée","OK")))))))))))))</f>
        <v/>
      </c>
      <c r="O3116" s="59" t="str">
        <f>IF(A3116="","",COUNTIF($A$6:A3116,A3116))</f>
        <v/>
      </c>
      <c r="P3116" s="62" t="str">
        <f>IF(A3116="","",A3116&amp;"|"&amp;O3116)</f>
        <v/>
      </c>
    </row>
    <row r="3117">
      <c r="A3117" s="60" t="n"/>
      <c r="B3117" s="63" t="n"/>
      <c r="C3117" s="63" t="n"/>
      <c r="D3117" s="67" t="n"/>
      <c r="E3117" s="68" t="n"/>
      <c r="F3117" s="69" t="n"/>
      <c r="G3117" s="70" t="n"/>
      <c r="H3117" s="62" t="str">
        <f>IF(COUNTA(A3117:G3117)=0,"",IF(C3117&lt;&gt;"",C3117,IF(B3117="","",IFERROR(INDEX(pr_des,MATCH(B3117,pr_code,0))&amp;"",""))))</f>
        <v/>
      </c>
      <c r="I3117" s="59" t="str">
        <f>IF(B3117="","",IFERROR(INDEX(pr_unit,MATCH(B3117,pr_code,0))&amp;"",""))</f>
        <v/>
      </c>
      <c r="J3117" s="65" t="str">
        <f>IF(COUNTA(A3117:G3117)=0,"",IF(E3117&lt;&gt;"",E3117,IF(B3117="","",IFERROR(IF(INDEX(pr_price,MATCH(B3117,pr_code,0))="","",INDEX(pr_price,MATCH(B3117,pr_code,0))),""))))</f>
        <v/>
      </c>
      <c r="K3117" s="71" t="str">
        <f>IF(COUNTA(A3117:G3117)=0,"",IF(G3117&lt;&gt;"",G3117,IF(B3117="","",IFERROR(IF(INDEX(pr_rate,MATCH(B3117,pr_code,0))="","",INDEX(pr_rate,MATCH(B3117,pr_code,0))),""))))</f>
        <v/>
      </c>
      <c r="L3117" s="65" t="str">
        <f>IF(COUNTA(A3117:G3117)=0,"",IF(AND(ISNUMBER(D3117),ISNUMBER(J3117)),ROUND(D3117*J3117*(1-N(F3117)),2),0))</f>
        <v/>
      </c>
      <c r="M3117" s="62" t="str">
        <f>IF(A3117="","",IFERROR(INDEX(fa_cname,MATCH(A3117,fa_num,0))&amp;"",""))</f>
        <v/>
      </c>
      <c r="N3117" s="59" t="str">
        <f>IF(COUNTA(A3117:G3117)=0,"",IF(A3117="","N° facture manquant",IF(ISNA(MATCH(A3117,fa_num,0)),"Facture inconnue",IF(AND(B3117&lt;&gt;"",ISNA(MATCH(B3117,pr_code,0))),"Article inconnu",IF(H3117="","Désignation manquante",IF(OR(NOT(ISNUMBER(D3117)),N(D3117)&lt;=0),"Quantité invalide",IF(J3117="","Prix manquant",IF(OR(NOT(ISNUMBER(J3117)),N(J3117)&lt;0),"Prix invalide",IF(OR(AND(F3117&lt;&gt;"",NOT(ISNUMBER(F3117))),N(F3117)&lt;0,N(F3117)&gt;1),"Remise invalide",IF(K3117="","Taux de TVA manquant",IF(NOT(ISNUMBER(K3117)),"Taux de TVA invalide",IF(COUNTIF(p_rates,K3117)=0,"Taux de TVA hors liste (Paramètres)",IF(N(O3117)&gt;25,"Au-delà de 25 lignes : non imprimée","OK")))))))))))))</f>
        <v/>
      </c>
      <c r="O3117" s="59" t="str">
        <f>IF(A3117="","",COUNTIF($A$6:A3117,A3117))</f>
        <v/>
      </c>
      <c r="P3117" s="62" t="str">
        <f>IF(A3117="","",A3117&amp;"|"&amp;O3117)</f>
        <v/>
      </c>
    </row>
    <row r="3118">
      <c r="A3118" s="60" t="n"/>
      <c r="B3118" s="63" t="n"/>
      <c r="C3118" s="63" t="n"/>
      <c r="D3118" s="67" t="n"/>
      <c r="E3118" s="68" t="n"/>
      <c r="F3118" s="69" t="n"/>
      <c r="G3118" s="70" t="n"/>
      <c r="H3118" s="62" t="str">
        <f>IF(COUNTA(A3118:G3118)=0,"",IF(C3118&lt;&gt;"",C3118,IF(B3118="","",IFERROR(INDEX(pr_des,MATCH(B3118,pr_code,0))&amp;"",""))))</f>
        <v/>
      </c>
      <c r="I3118" s="59" t="str">
        <f>IF(B3118="","",IFERROR(INDEX(pr_unit,MATCH(B3118,pr_code,0))&amp;"",""))</f>
        <v/>
      </c>
      <c r="J3118" s="65" t="str">
        <f>IF(COUNTA(A3118:G3118)=0,"",IF(E3118&lt;&gt;"",E3118,IF(B3118="","",IFERROR(IF(INDEX(pr_price,MATCH(B3118,pr_code,0))="","",INDEX(pr_price,MATCH(B3118,pr_code,0))),""))))</f>
        <v/>
      </c>
      <c r="K3118" s="71" t="str">
        <f>IF(COUNTA(A3118:G3118)=0,"",IF(G3118&lt;&gt;"",G3118,IF(B3118="","",IFERROR(IF(INDEX(pr_rate,MATCH(B3118,pr_code,0))="","",INDEX(pr_rate,MATCH(B3118,pr_code,0))),""))))</f>
        <v/>
      </c>
      <c r="L3118" s="65" t="str">
        <f>IF(COUNTA(A3118:G3118)=0,"",IF(AND(ISNUMBER(D3118),ISNUMBER(J3118)),ROUND(D3118*J3118*(1-N(F3118)),2),0))</f>
        <v/>
      </c>
      <c r="M3118" s="62" t="str">
        <f>IF(A3118="","",IFERROR(INDEX(fa_cname,MATCH(A3118,fa_num,0))&amp;"",""))</f>
        <v/>
      </c>
      <c r="N3118" s="59" t="str">
        <f>IF(COUNTA(A3118:G3118)=0,"",IF(A3118="","N° facture manquant",IF(ISNA(MATCH(A3118,fa_num,0)),"Facture inconnue",IF(AND(B3118&lt;&gt;"",ISNA(MATCH(B3118,pr_code,0))),"Article inconnu",IF(H3118="","Désignation manquante",IF(OR(NOT(ISNUMBER(D3118)),N(D3118)&lt;=0),"Quantité invalide",IF(J3118="","Prix manquant",IF(OR(NOT(ISNUMBER(J3118)),N(J3118)&lt;0),"Prix invalide",IF(OR(AND(F3118&lt;&gt;"",NOT(ISNUMBER(F3118))),N(F3118)&lt;0,N(F3118)&gt;1),"Remise invalide",IF(K3118="","Taux de TVA manquant",IF(NOT(ISNUMBER(K3118)),"Taux de TVA invalide",IF(COUNTIF(p_rates,K3118)=0,"Taux de TVA hors liste (Paramètres)",IF(N(O3118)&gt;25,"Au-delà de 25 lignes : non imprimée","OK")))))))))))))</f>
        <v/>
      </c>
      <c r="O3118" s="59" t="str">
        <f>IF(A3118="","",COUNTIF($A$6:A3118,A3118))</f>
        <v/>
      </c>
      <c r="P3118" s="62" t="str">
        <f>IF(A3118="","",A3118&amp;"|"&amp;O3118)</f>
        <v/>
      </c>
    </row>
    <row r="3119">
      <c r="A3119" s="60" t="n"/>
      <c r="B3119" s="63" t="n"/>
      <c r="C3119" s="63" t="n"/>
      <c r="D3119" s="67" t="n"/>
      <c r="E3119" s="68" t="n"/>
      <c r="F3119" s="69" t="n"/>
      <c r="G3119" s="70" t="n"/>
      <c r="H3119" s="62" t="str">
        <f>IF(COUNTA(A3119:G3119)=0,"",IF(C3119&lt;&gt;"",C3119,IF(B3119="","",IFERROR(INDEX(pr_des,MATCH(B3119,pr_code,0))&amp;"",""))))</f>
        <v/>
      </c>
      <c r="I3119" s="59" t="str">
        <f>IF(B3119="","",IFERROR(INDEX(pr_unit,MATCH(B3119,pr_code,0))&amp;"",""))</f>
        <v/>
      </c>
      <c r="J3119" s="65" t="str">
        <f>IF(COUNTA(A3119:G3119)=0,"",IF(E3119&lt;&gt;"",E3119,IF(B3119="","",IFERROR(IF(INDEX(pr_price,MATCH(B3119,pr_code,0))="","",INDEX(pr_price,MATCH(B3119,pr_code,0))),""))))</f>
        <v/>
      </c>
      <c r="K3119" s="71" t="str">
        <f>IF(COUNTA(A3119:G3119)=0,"",IF(G3119&lt;&gt;"",G3119,IF(B3119="","",IFERROR(IF(INDEX(pr_rate,MATCH(B3119,pr_code,0))="","",INDEX(pr_rate,MATCH(B3119,pr_code,0))),""))))</f>
        <v/>
      </c>
      <c r="L3119" s="65" t="str">
        <f>IF(COUNTA(A3119:G3119)=0,"",IF(AND(ISNUMBER(D3119),ISNUMBER(J3119)),ROUND(D3119*J3119*(1-N(F3119)),2),0))</f>
        <v/>
      </c>
      <c r="M3119" s="62" t="str">
        <f>IF(A3119="","",IFERROR(INDEX(fa_cname,MATCH(A3119,fa_num,0))&amp;"",""))</f>
        <v/>
      </c>
      <c r="N3119" s="59" t="str">
        <f>IF(COUNTA(A3119:G3119)=0,"",IF(A3119="","N° facture manquant",IF(ISNA(MATCH(A3119,fa_num,0)),"Facture inconnue",IF(AND(B3119&lt;&gt;"",ISNA(MATCH(B3119,pr_code,0))),"Article inconnu",IF(H3119="","Désignation manquante",IF(OR(NOT(ISNUMBER(D3119)),N(D3119)&lt;=0),"Quantité invalide",IF(J3119="","Prix manquant",IF(OR(NOT(ISNUMBER(J3119)),N(J3119)&lt;0),"Prix invalide",IF(OR(AND(F3119&lt;&gt;"",NOT(ISNUMBER(F3119))),N(F3119)&lt;0,N(F3119)&gt;1),"Remise invalide",IF(K3119="","Taux de TVA manquant",IF(NOT(ISNUMBER(K3119)),"Taux de TVA invalide",IF(COUNTIF(p_rates,K3119)=0,"Taux de TVA hors liste (Paramètres)",IF(N(O3119)&gt;25,"Au-delà de 25 lignes : non imprimée","OK")))))))))))))</f>
        <v/>
      </c>
      <c r="O3119" s="59" t="str">
        <f>IF(A3119="","",COUNTIF($A$6:A3119,A3119))</f>
        <v/>
      </c>
      <c r="P3119" s="62" t="str">
        <f>IF(A3119="","",A3119&amp;"|"&amp;O3119)</f>
        <v/>
      </c>
    </row>
    <row r="3120">
      <c r="A3120" s="60" t="n"/>
      <c r="B3120" s="63" t="n"/>
      <c r="C3120" s="63" t="n"/>
      <c r="D3120" s="67" t="n"/>
      <c r="E3120" s="68" t="n"/>
      <c r="F3120" s="69" t="n"/>
      <c r="G3120" s="70" t="n"/>
      <c r="H3120" s="62" t="str">
        <f>IF(COUNTA(A3120:G3120)=0,"",IF(C3120&lt;&gt;"",C3120,IF(B3120="","",IFERROR(INDEX(pr_des,MATCH(B3120,pr_code,0))&amp;"",""))))</f>
        <v/>
      </c>
      <c r="I3120" s="59" t="str">
        <f>IF(B3120="","",IFERROR(INDEX(pr_unit,MATCH(B3120,pr_code,0))&amp;"",""))</f>
        <v/>
      </c>
      <c r="J3120" s="65" t="str">
        <f>IF(COUNTA(A3120:G3120)=0,"",IF(E3120&lt;&gt;"",E3120,IF(B3120="","",IFERROR(IF(INDEX(pr_price,MATCH(B3120,pr_code,0))="","",INDEX(pr_price,MATCH(B3120,pr_code,0))),""))))</f>
        <v/>
      </c>
      <c r="K3120" s="71" t="str">
        <f>IF(COUNTA(A3120:G3120)=0,"",IF(G3120&lt;&gt;"",G3120,IF(B3120="","",IFERROR(IF(INDEX(pr_rate,MATCH(B3120,pr_code,0))="","",INDEX(pr_rate,MATCH(B3120,pr_code,0))),""))))</f>
        <v/>
      </c>
      <c r="L3120" s="65" t="str">
        <f>IF(COUNTA(A3120:G3120)=0,"",IF(AND(ISNUMBER(D3120),ISNUMBER(J3120)),ROUND(D3120*J3120*(1-N(F3120)),2),0))</f>
        <v/>
      </c>
      <c r="M3120" s="62" t="str">
        <f>IF(A3120="","",IFERROR(INDEX(fa_cname,MATCH(A3120,fa_num,0))&amp;"",""))</f>
        <v/>
      </c>
      <c r="N3120" s="59" t="str">
        <f>IF(COUNTA(A3120:G3120)=0,"",IF(A3120="","N° facture manquant",IF(ISNA(MATCH(A3120,fa_num,0)),"Facture inconnue",IF(AND(B3120&lt;&gt;"",ISNA(MATCH(B3120,pr_code,0))),"Article inconnu",IF(H3120="","Désignation manquante",IF(OR(NOT(ISNUMBER(D3120)),N(D3120)&lt;=0),"Quantité invalide",IF(J3120="","Prix manquant",IF(OR(NOT(ISNUMBER(J3120)),N(J3120)&lt;0),"Prix invalide",IF(OR(AND(F3120&lt;&gt;"",NOT(ISNUMBER(F3120))),N(F3120)&lt;0,N(F3120)&gt;1),"Remise invalide",IF(K3120="","Taux de TVA manquant",IF(NOT(ISNUMBER(K3120)),"Taux de TVA invalide",IF(COUNTIF(p_rates,K3120)=0,"Taux de TVA hors liste (Paramètres)",IF(N(O3120)&gt;25,"Au-delà de 25 lignes : non imprimée","OK")))))))))))))</f>
        <v/>
      </c>
      <c r="O3120" s="59" t="str">
        <f>IF(A3120="","",COUNTIF($A$6:A3120,A3120))</f>
        <v/>
      </c>
      <c r="P3120" s="62" t="str">
        <f>IF(A3120="","",A3120&amp;"|"&amp;O3120)</f>
        <v/>
      </c>
    </row>
    <row r="3121">
      <c r="A3121" s="60" t="n"/>
      <c r="B3121" s="63" t="n"/>
      <c r="C3121" s="63" t="n"/>
      <c r="D3121" s="67" t="n"/>
      <c r="E3121" s="68" t="n"/>
      <c r="F3121" s="69" t="n"/>
      <c r="G3121" s="70" t="n"/>
      <c r="H3121" s="62" t="str">
        <f>IF(COUNTA(A3121:G3121)=0,"",IF(C3121&lt;&gt;"",C3121,IF(B3121="","",IFERROR(INDEX(pr_des,MATCH(B3121,pr_code,0))&amp;"",""))))</f>
        <v/>
      </c>
      <c r="I3121" s="59" t="str">
        <f>IF(B3121="","",IFERROR(INDEX(pr_unit,MATCH(B3121,pr_code,0))&amp;"",""))</f>
        <v/>
      </c>
      <c r="J3121" s="65" t="str">
        <f>IF(COUNTA(A3121:G3121)=0,"",IF(E3121&lt;&gt;"",E3121,IF(B3121="","",IFERROR(IF(INDEX(pr_price,MATCH(B3121,pr_code,0))="","",INDEX(pr_price,MATCH(B3121,pr_code,0))),""))))</f>
        <v/>
      </c>
      <c r="K3121" s="71" t="str">
        <f>IF(COUNTA(A3121:G3121)=0,"",IF(G3121&lt;&gt;"",G3121,IF(B3121="","",IFERROR(IF(INDEX(pr_rate,MATCH(B3121,pr_code,0))="","",INDEX(pr_rate,MATCH(B3121,pr_code,0))),""))))</f>
        <v/>
      </c>
      <c r="L3121" s="65" t="str">
        <f>IF(COUNTA(A3121:G3121)=0,"",IF(AND(ISNUMBER(D3121),ISNUMBER(J3121)),ROUND(D3121*J3121*(1-N(F3121)),2),0))</f>
        <v/>
      </c>
      <c r="M3121" s="62" t="str">
        <f>IF(A3121="","",IFERROR(INDEX(fa_cname,MATCH(A3121,fa_num,0))&amp;"",""))</f>
        <v/>
      </c>
      <c r="N3121" s="59" t="str">
        <f>IF(COUNTA(A3121:G3121)=0,"",IF(A3121="","N° facture manquant",IF(ISNA(MATCH(A3121,fa_num,0)),"Facture inconnue",IF(AND(B3121&lt;&gt;"",ISNA(MATCH(B3121,pr_code,0))),"Article inconnu",IF(H3121="","Désignation manquante",IF(OR(NOT(ISNUMBER(D3121)),N(D3121)&lt;=0),"Quantité invalide",IF(J3121="","Prix manquant",IF(OR(NOT(ISNUMBER(J3121)),N(J3121)&lt;0),"Prix invalide",IF(OR(AND(F3121&lt;&gt;"",NOT(ISNUMBER(F3121))),N(F3121)&lt;0,N(F3121)&gt;1),"Remise invalide",IF(K3121="","Taux de TVA manquant",IF(NOT(ISNUMBER(K3121)),"Taux de TVA invalide",IF(COUNTIF(p_rates,K3121)=0,"Taux de TVA hors liste (Paramètres)",IF(N(O3121)&gt;25,"Au-delà de 25 lignes : non imprimée","OK")))))))))))))</f>
        <v/>
      </c>
      <c r="O3121" s="59" t="str">
        <f>IF(A3121="","",COUNTIF($A$6:A3121,A3121))</f>
        <v/>
      </c>
      <c r="P3121" s="62" t="str">
        <f>IF(A3121="","",A3121&amp;"|"&amp;O3121)</f>
        <v/>
      </c>
    </row>
    <row r="3122">
      <c r="A3122" s="60" t="n"/>
      <c r="B3122" s="63" t="n"/>
      <c r="C3122" s="63" t="n"/>
      <c r="D3122" s="67" t="n"/>
      <c r="E3122" s="68" t="n"/>
      <c r="F3122" s="69" t="n"/>
      <c r="G3122" s="70" t="n"/>
      <c r="H3122" s="62" t="str">
        <f>IF(COUNTA(A3122:G3122)=0,"",IF(C3122&lt;&gt;"",C3122,IF(B3122="","",IFERROR(INDEX(pr_des,MATCH(B3122,pr_code,0))&amp;"",""))))</f>
        <v/>
      </c>
      <c r="I3122" s="59" t="str">
        <f>IF(B3122="","",IFERROR(INDEX(pr_unit,MATCH(B3122,pr_code,0))&amp;"",""))</f>
        <v/>
      </c>
      <c r="J3122" s="65" t="str">
        <f>IF(COUNTA(A3122:G3122)=0,"",IF(E3122&lt;&gt;"",E3122,IF(B3122="","",IFERROR(IF(INDEX(pr_price,MATCH(B3122,pr_code,0))="","",INDEX(pr_price,MATCH(B3122,pr_code,0))),""))))</f>
        <v/>
      </c>
      <c r="K3122" s="71" t="str">
        <f>IF(COUNTA(A3122:G3122)=0,"",IF(G3122&lt;&gt;"",G3122,IF(B3122="","",IFERROR(IF(INDEX(pr_rate,MATCH(B3122,pr_code,0))="","",INDEX(pr_rate,MATCH(B3122,pr_code,0))),""))))</f>
        <v/>
      </c>
      <c r="L3122" s="65" t="str">
        <f>IF(COUNTA(A3122:G3122)=0,"",IF(AND(ISNUMBER(D3122),ISNUMBER(J3122)),ROUND(D3122*J3122*(1-N(F3122)),2),0))</f>
        <v/>
      </c>
      <c r="M3122" s="62" t="str">
        <f>IF(A3122="","",IFERROR(INDEX(fa_cname,MATCH(A3122,fa_num,0))&amp;"",""))</f>
        <v/>
      </c>
      <c r="N3122" s="59" t="str">
        <f>IF(COUNTA(A3122:G3122)=0,"",IF(A3122="","N° facture manquant",IF(ISNA(MATCH(A3122,fa_num,0)),"Facture inconnue",IF(AND(B3122&lt;&gt;"",ISNA(MATCH(B3122,pr_code,0))),"Article inconnu",IF(H3122="","Désignation manquante",IF(OR(NOT(ISNUMBER(D3122)),N(D3122)&lt;=0),"Quantité invalide",IF(J3122="","Prix manquant",IF(OR(NOT(ISNUMBER(J3122)),N(J3122)&lt;0),"Prix invalide",IF(OR(AND(F3122&lt;&gt;"",NOT(ISNUMBER(F3122))),N(F3122)&lt;0,N(F3122)&gt;1),"Remise invalide",IF(K3122="","Taux de TVA manquant",IF(NOT(ISNUMBER(K3122)),"Taux de TVA invalide",IF(COUNTIF(p_rates,K3122)=0,"Taux de TVA hors liste (Paramètres)",IF(N(O3122)&gt;25,"Au-delà de 25 lignes : non imprimée","OK")))))))))))))</f>
        <v/>
      </c>
      <c r="O3122" s="59" t="str">
        <f>IF(A3122="","",COUNTIF($A$6:A3122,A3122))</f>
        <v/>
      </c>
      <c r="P3122" s="62" t="str">
        <f>IF(A3122="","",A3122&amp;"|"&amp;O3122)</f>
        <v/>
      </c>
    </row>
    <row r="3123">
      <c r="A3123" s="60" t="n"/>
      <c r="B3123" s="63" t="n"/>
      <c r="C3123" s="63" t="n"/>
      <c r="D3123" s="67" t="n"/>
      <c r="E3123" s="68" t="n"/>
      <c r="F3123" s="69" t="n"/>
      <c r="G3123" s="70" t="n"/>
      <c r="H3123" s="62" t="str">
        <f>IF(COUNTA(A3123:G3123)=0,"",IF(C3123&lt;&gt;"",C3123,IF(B3123="","",IFERROR(INDEX(pr_des,MATCH(B3123,pr_code,0))&amp;"",""))))</f>
        <v/>
      </c>
      <c r="I3123" s="59" t="str">
        <f>IF(B3123="","",IFERROR(INDEX(pr_unit,MATCH(B3123,pr_code,0))&amp;"",""))</f>
        <v/>
      </c>
      <c r="J3123" s="65" t="str">
        <f>IF(COUNTA(A3123:G3123)=0,"",IF(E3123&lt;&gt;"",E3123,IF(B3123="","",IFERROR(IF(INDEX(pr_price,MATCH(B3123,pr_code,0))="","",INDEX(pr_price,MATCH(B3123,pr_code,0))),""))))</f>
        <v/>
      </c>
      <c r="K3123" s="71" t="str">
        <f>IF(COUNTA(A3123:G3123)=0,"",IF(G3123&lt;&gt;"",G3123,IF(B3123="","",IFERROR(IF(INDEX(pr_rate,MATCH(B3123,pr_code,0))="","",INDEX(pr_rate,MATCH(B3123,pr_code,0))),""))))</f>
        <v/>
      </c>
      <c r="L3123" s="65" t="str">
        <f>IF(COUNTA(A3123:G3123)=0,"",IF(AND(ISNUMBER(D3123),ISNUMBER(J3123)),ROUND(D3123*J3123*(1-N(F3123)),2),0))</f>
        <v/>
      </c>
      <c r="M3123" s="62" t="str">
        <f>IF(A3123="","",IFERROR(INDEX(fa_cname,MATCH(A3123,fa_num,0))&amp;"",""))</f>
        <v/>
      </c>
      <c r="N3123" s="59" t="str">
        <f>IF(COUNTA(A3123:G3123)=0,"",IF(A3123="","N° facture manquant",IF(ISNA(MATCH(A3123,fa_num,0)),"Facture inconnue",IF(AND(B3123&lt;&gt;"",ISNA(MATCH(B3123,pr_code,0))),"Article inconnu",IF(H3123="","Désignation manquante",IF(OR(NOT(ISNUMBER(D3123)),N(D3123)&lt;=0),"Quantité invalide",IF(J3123="","Prix manquant",IF(OR(NOT(ISNUMBER(J3123)),N(J3123)&lt;0),"Prix invalide",IF(OR(AND(F3123&lt;&gt;"",NOT(ISNUMBER(F3123))),N(F3123)&lt;0,N(F3123)&gt;1),"Remise invalide",IF(K3123="","Taux de TVA manquant",IF(NOT(ISNUMBER(K3123)),"Taux de TVA invalide",IF(COUNTIF(p_rates,K3123)=0,"Taux de TVA hors liste (Paramètres)",IF(N(O3123)&gt;25,"Au-delà de 25 lignes : non imprimée","OK")))))))))))))</f>
        <v/>
      </c>
      <c r="O3123" s="59" t="str">
        <f>IF(A3123="","",COUNTIF($A$6:A3123,A3123))</f>
        <v/>
      </c>
      <c r="P3123" s="62" t="str">
        <f>IF(A3123="","",A3123&amp;"|"&amp;O3123)</f>
        <v/>
      </c>
    </row>
    <row r="3124">
      <c r="A3124" s="60" t="n"/>
      <c r="B3124" s="63" t="n"/>
      <c r="C3124" s="63" t="n"/>
      <c r="D3124" s="67" t="n"/>
      <c r="E3124" s="68" t="n"/>
      <c r="F3124" s="69" t="n"/>
      <c r="G3124" s="70" t="n"/>
      <c r="H3124" s="62" t="str">
        <f>IF(COUNTA(A3124:G3124)=0,"",IF(C3124&lt;&gt;"",C3124,IF(B3124="","",IFERROR(INDEX(pr_des,MATCH(B3124,pr_code,0))&amp;"",""))))</f>
        <v/>
      </c>
      <c r="I3124" s="59" t="str">
        <f>IF(B3124="","",IFERROR(INDEX(pr_unit,MATCH(B3124,pr_code,0))&amp;"",""))</f>
        <v/>
      </c>
      <c r="J3124" s="65" t="str">
        <f>IF(COUNTA(A3124:G3124)=0,"",IF(E3124&lt;&gt;"",E3124,IF(B3124="","",IFERROR(IF(INDEX(pr_price,MATCH(B3124,pr_code,0))="","",INDEX(pr_price,MATCH(B3124,pr_code,0))),""))))</f>
        <v/>
      </c>
      <c r="K3124" s="71" t="str">
        <f>IF(COUNTA(A3124:G3124)=0,"",IF(G3124&lt;&gt;"",G3124,IF(B3124="","",IFERROR(IF(INDEX(pr_rate,MATCH(B3124,pr_code,0))="","",INDEX(pr_rate,MATCH(B3124,pr_code,0))),""))))</f>
        <v/>
      </c>
      <c r="L3124" s="65" t="str">
        <f>IF(COUNTA(A3124:G3124)=0,"",IF(AND(ISNUMBER(D3124),ISNUMBER(J3124)),ROUND(D3124*J3124*(1-N(F3124)),2),0))</f>
        <v/>
      </c>
      <c r="M3124" s="62" t="str">
        <f>IF(A3124="","",IFERROR(INDEX(fa_cname,MATCH(A3124,fa_num,0))&amp;"",""))</f>
        <v/>
      </c>
      <c r="N3124" s="59" t="str">
        <f>IF(COUNTA(A3124:G3124)=0,"",IF(A3124="","N° facture manquant",IF(ISNA(MATCH(A3124,fa_num,0)),"Facture inconnue",IF(AND(B3124&lt;&gt;"",ISNA(MATCH(B3124,pr_code,0))),"Article inconnu",IF(H3124="","Désignation manquante",IF(OR(NOT(ISNUMBER(D3124)),N(D3124)&lt;=0),"Quantité invalide",IF(J3124="","Prix manquant",IF(OR(NOT(ISNUMBER(J3124)),N(J3124)&lt;0),"Prix invalide",IF(OR(AND(F3124&lt;&gt;"",NOT(ISNUMBER(F3124))),N(F3124)&lt;0,N(F3124)&gt;1),"Remise invalide",IF(K3124="","Taux de TVA manquant",IF(NOT(ISNUMBER(K3124)),"Taux de TVA invalide",IF(COUNTIF(p_rates,K3124)=0,"Taux de TVA hors liste (Paramètres)",IF(N(O3124)&gt;25,"Au-delà de 25 lignes : non imprimée","OK")))))))))))))</f>
        <v/>
      </c>
      <c r="O3124" s="59" t="str">
        <f>IF(A3124="","",COUNTIF($A$6:A3124,A3124))</f>
        <v/>
      </c>
      <c r="P3124" s="62" t="str">
        <f>IF(A3124="","",A3124&amp;"|"&amp;O3124)</f>
        <v/>
      </c>
    </row>
    <row r="3125">
      <c r="A3125" s="60" t="n"/>
      <c r="B3125" s="63" t="n"/>
      <c r="C3125" s="63" t="n"/>
      <c r="D3125" s="67" t="n"/>
      <c r="E3125" s="68" t="n"/>
      <c r="F3125" s="69" t="n"/>
      <c r="G3125" s="70" t="n"/>
      <c r="H3125" s="62" t="str">
        <f>IF(COUNTA(A3125:G3125)=0,"",IF(C3125&lt;&gt;"",C3125,IF(B3125="","",IFERROR(INDEX(pr_des,MATCH(B3125,pr_code,0))&amp;"",""))))</f>
        <v/>
      </c>
      <c r="I3125" s="59" t="str">
        <f>IF(B3125="","",IFERROR(INDEX(pr_unit,MATCH(B3125,pr_code,0))&amp;"",""))</f>
        <v/>
      </c>
      <c r="J3125" s="65" t="str">
        <f>IF(COUNTA(A3125:G3125)=0,"",IF(E3125&lt;&gt;"",E3125,IF(B3125="","",IFERROR(IF(INDEX(pr_price,MATCH(B3125,pr_code,0))="","",INDEX(pr_price,MATCH(B3125,pr_code,0))),""))))</f>
        <v/>
      </c>
      <c r="K3125" s="71" t="str">
        <f>IF(COUNTA(A3125:G3125)=0,"",IF(G3125&lt;&gt;"",G3125,IF(B3125="","",IFERROR(IF(INDEX(pr_rate,MATCH(B3125,pr_code,0))="","",INDEX(pr_rate,MATCH(B3125,pr_code,0))),""))))</f>
        <v/>
      </c>
      <c r="L3125" s="65" t="str">
        <f>IF(COUNTA(A3125:G3125)=0,"",IF(AND(ISNUMBER(D3125),ISNUMBER(J3125)),ROUND(D3125*J3125*(1-N(F3125)),2),0))</f>
        <v/>
      </c>
      <c r="M3125" s="62" t="str">
        <f>IF(A3125="","",IFERROR(INDEX(fa_cname,MATCH(A3125,fa_num,0))&amp;"",""))</f>
        <v/>
      </c>
      <c r="N3125" s="59" t="str">
        <f>IF(COUNTA(A3125:G3125)=0,"",IF(A3125="","N° facture manquant",IF(ISNA(MATCH(A3125,fa_num,0)),"Facture inconnue",IF(AND(B3125&lt;&gt;"",ISNA(MATCH(B3125,pr_code,0))),"Article inconnu",IF(H3125="","Désignation manquante",IF(OR(NOT(ISNUMBER(D3125)),N(D3125)&lt;=0),"Quantité invalide",IF(J3125="","Prix manquant",IF(OR(NOT(ISNUMBER(J3125)),N(J3125)&lt;0),"Prix invalide",IF(OR(AND(F3125&lt;&gt;"",NOT(ISNUMBER(F3125))),N(F3125)&lt;0,N(F3125)&gt;1),"Remise invalide",IF(K3125="","Taux de TVA manquant",IF(NOT(ISNUMBER(K3125)),"Taux de TVA invalide",IF(COUNTIF(p_rates,K3125)=0,"Taux de TVA hors liste (Paramètres)",IF(N(O3125)&gt;25,"Au-delà de 25 lignes : non imprimée","OK")))))))))))))</f>
        <v/>
      </c>
      <c r="O3125" s="59" t="str">
        <f>IF(A3125="","",COUNTIF($A$6:A3125,A3125))</f>
        <v/>
      </c>
      <c r="P3125" s="62" t="str">
        <f>IF(A3125="","",A3125&amp;"|"&amp;O3125)</f>
        <v/>
      </c>
    </row>
    <row r="3126">
      <c r="A3126" s="60" t="n"/>
      <c r="B3126" s="63" t="n"/>
      <c r="C3126" s="63" t="n"/>
      <c r="D3126" s="67" t="n"/>
      <c r="E3126" s="68" t="n"/>
      <c r="F3126" s="69" t="n"/>
      <c r="G3126" s="70" t="n"/>
      <c r="H3126" s="62" t="str">
        <f>IF(COUNTA(A3126:G3126)=0,"",IF(C3126&lt;&gt;"",C3126,IF(B3126="","",IFERROR(INDEX(pr_des,MATCH(B3126,pr_code,0))&amp;"",""))))</f>
        <v/>
      </c>
      <c r="I3126" s="59" t="str">
        <f>IF(B3126="","",IFERROR(INDEX(pr_unit,MATCH(B3126,pr_code,0))&amp;"",""))</f>
        <v/>
      </c>
      <c r="J3126" s="65" t="str">
        <f>IF(COUNTA(A3126:G3126)=0,"",IF(E3126&lt;&gt;"",E3126,IF(B3126="","",IFERROR(IF(INDEX(pr_price,MATCH(B3126,pr_code,0))="","",INDEX(pr_price,MATCH(B3126,pr_code,0))),""))))</f>
        <v/>
      </c>
      <c r="K3126" s="71" t="str">
        <f>IF(COUNTA(A3126:G3126)=0,"",IF(G3126&lt;&gt;"",G3126,IF(B3126="","",IFERROR(IF(INDEX(pr_rate,MATCH(B3126,pr_code,0))="","",INDEX(pr_rate,MATCH(B3126,pr_code,0))),""))))</f>
        <v/>
      </c>
      <c r="L3126" s="65" t="str">
        <f>IF(COUNTA(A3126:G3126)=0,"",IF(AND(ISNUMBER(D3126),ISNUMBER(J3126)),ROUND(D3126*J3126*(1-N(F3126)),2),0))</f>
        <v/>
      </c>
      <c r="M3126" s="62" t="str">
        <f>IF(A3126="","",IFERROR(INDEX(fa_cname,MATCH(A3126,fa_num,0))&amp;"",""))</f>
        <v/>
      </c>
      <c r="N3126" s="59" t="str">
        <f>IF(COUNTA(A3126:G3126)=0,"",IF(A3126="","N° facture manquant",IF(ISNA(MATCH(A3126,fa_num,0)),"Facture inconnue",IF(AND(B3126&lt;&gt;"",ISNA(MATCH(B3126,pr_code,0))),"Article inconnu",IF(H3126="","Désignation manquante",IF(OR(NOT(ISNUMBER(D3126)),N(D3126)&lt;=0),"Quantité invalide",IF(J3126="","Prix manquant",IF(OR(NOT(ISNUMBER(J3126)),N(J3126)&lt;0),"Prix invalide",IF(OR(AND(F3126&lt;&gt;"",NOT(ISNUMBER(F3126))),N(F3126)&lt;0,N(F3126)&gt;1),"Remise invalide",IF(K3126="","Taux de TVA manquant",IF(NOT(ISNUMBER(K3126)),"Taux de TVA invalide",IF(COUNTIF(p_rates,K3126)=0,"Taux de TVA hors liste (Paramètres)",IF(N(O3126)&gt;25,"Au-delà de 25 lignes : non imprimée","OK")))))))))))))</f>
        <v/>
      </c>
      <c r="O3126" s="59" t="str">
        <f>IF(A3126="","",COUNTIF($A$6:A3126,A3126))</f>
        <v/>
      </c>
      <c r="P3126" s="62" t="str">
        <f>IF(A3126="","",A3126&amp;"|"&amp;O3126)</f>
        <v/>
      </c>
    </row>
    <row r="3127">
      <c r="A3127" s="60" t="n"/>
      <c r="B3127" s="63" t="n"/>
      <c r="C3127" s="63" t="n"/>
      <c r="D3127" s="67" t="n"/>
      <c r="E3127" s="68" t="n"/>
      <c r="F3127" s="69" t="n"/>
      <c r="G3127" s="70" t="n"/>
      <c r="H3127" s="62" t="str">
        <f>IF(COUNTA(A3127:G3127)=0,"",IF(C3127&lt;&gt;"",C3127,IF(B3127="","",IFERROR(INDEX(pr_des,MATCH(B3127,pr_code,0))&amp;"",""))))</f>
        <v/>
      </c>
      <c r="I3127" s="59" t="str">
        <f>IF(B3127="","",IFERROR(INDEX(pr_unit,MATCH(B3127,pr_code,0))&amp;"",""))</f>
        <v/>
      </c>
      <c r="J3127" s="65" t="str">
        <f>IF(COUNTA(A3127:G3127)=0,"",IF(E3127&lt;&gt;"",E3127,IF(B3127="","",IFERROR(IF(INDEX(pr_price,MATCH(B3127,pr_code,0))="","",INDEX(pr_price,MATCH(B3127,pr_code,0))),""))))</f>
        <v/>
      </c>
      <c r="K3127" s="71" t="str">
        <f>IF(COUNTA(A3127:G3127)=0,"",IF(G3127&lt;&gt;"",G3127,IF(B3127="","",IFERROR(IF(INDEX(pr_rate,MATCH(B3127,pr_code,0))="","",INDEX(pr_rate,MATCH(B3127,pr_code,0))),""))))</f>
        <v/>
      </c>
      <c r="L3127" s="65" t="str">
        <f>IF(COUNTA(A3127:G3127)=0,"",IF(AND(ISNUMBER(D3127),ISNUMBER(J3127)),ROUND(D3127*J3127*(1-N(F3127)),2),0))</f>
        <v/>
      </c>
      <c r="M3127" s="62" t="str">
        <f>IF(A3127="","",IFERROR(INDEX(fa_cname,MATCH(A3127,fa_num,0))&amp;"",""))</f>
        <v/>
      </c>
      <c r="N3127" s="59" t="str">
        <f>IF(COUNTA(A3127:G3127)=0,"",IF(A3127="","N° facture manquant",IF(ISNA(MATCH(A3127,fa_num,0)),"Facture inconnue",IF(AND(B3127&lt;&gt;"",ISNA(MATCH(B3127,pr_code,0))),"Article inconnu",IF(H3127="","Désignation manquante",IF(OR(NOT(ISNUMBER(D3127)),N(D3127)&lt;=0),"Quantité invalide",IF(J3127="","Prix manquant",IF(OR(NOT(ISNUMBER(J3127)),N(J3127)&lt;0),"Prix invalide",IF(OR(AND(F3127&lt;&gt;"",NOT(ISNUMBER(F3127))),N(F3127)&lt;0,N(F3127)&gt;1),"Remise invalide",IF(K3127="","Taux de TVA manquant",IF(NOT(ISNUMBER(K3127)),"Taux de TVA invalide",IF(COUNTIF(p_rates,K3127)=0,"Taux de TVA hors liste (Paramètres)",IF(N(O3127)&gt;25,"Au-delà de 25 lignes : non imprimée","OK")))))))))))))</f>
        <v/>
      </c>
      <c r="O3127" s="59" t="str">
        <f>IF(A3127="","",COUNTIF($A$6:A3127,A3127))</f>
        <v/>
      </c>
      <c r="P3127" s="62" t="str">
        <f>IF(A3127="","",A3127&amp;"|"&amp;O3127)</f>
        <v/>
      </c>
    </row>
    <row r="3128">
      <c r="A3128" s="60" t="n"/>
      <c r="B3128" s="63" t="n"/>
      <c r="C3128" s="63" t="n"/>
      <c r="D3128" s="67" t="n"/>
      <c r="E3128" s="68" t="n"/>
      <c r="F3128" s="69" t="n"/>
      <c r="G3128" s="70" t="n"/>
      <c r="H3128" s="62" t="str">
        <f>IF(COUNTA(A3128:G3128)=0,"",IF(C3128&lt;&gt;"",C3128,IF(B3128="","",IFERROR(INDEX(pr_des,MATCH(B3128,pr_code,0))&amp;"",""))))</f>
        <v/>
      </c>
      <c r="I3128" s="59" t="str">
        <f>IF(B3128="","",IFERROR(INDEX(pr_unit,MATCH(B3128,pr_code,0))&amp;"",""))</f>
        <v/>
      </c>
      <c r="J3128" s="65" t="str">
        <f>IF(COUNTA(A3128:G3128)=0,"",IF(E3128&lt;&gt;"",E3128,IF(B3128="","",IFERROR(IF(INDEX(pr_price,MATCH(B3128,pr_code,0))="","",INDEX(pr_price,MATCH(B3128,pr_code,0))),""))))</f>
        <v/>
      </c>
      <c r="K3128" s="71" t="str">
        <f>IF(COUNTA(A3128:G3128)=0,"",IF(G3128&lt;&gt;"",G3128,IF(B3128="","",IFERROR(IF(INDEX(pr_rate,MATCH(B3128,pr_code,0))="","",INDEX(pr_rate,MATCH(B3128,pr_code,0))),""))))</f>
        <v/>
      </c>
      <c r="L3128" s="65" t="str">
        <f>IF(COUNTA(A3128:G3128)=0,"",IF(AND(ISNUMBER(D3128),ISNUMBER(J3128)),ROUND(D3128*J3128*(1-N(F3128)),2),0))</f>
        <v/>
      </c>
      <c r="M3128" s="62" t="str">
        <f>IF(A3128="","",IFERROR(INDEX(fa_cname,MATCH(A3128,fa_num,0))&amp;"",""))</f>
        <v/>
      </c>
      <c r="N3128" s="59" t="str">
        <f>IF(COUNTA(A3128:G3128)=0,"",IF(A3128="","N° facture manquant",IF(ISNA(MATCH(A3128,fa_num,0)),"Facture inconnue",IF(AND(B3128&lt;&gt;"",ISNA(MATCH(B3128,pr_code,0))),"Article inconnu",IF(H3128="","Désignation manquante",IF(OR(NOT(ISNUMBER(D3128)),N(D3128)&lt;=0),"Quantité invalide",IF(J3128="","Prix manquant",IF(OR(NOT(ISNUMBER(J3128)),N(J3128)&lt;0),"Prix invalide",IF(OR(AND(F3128&lt;&gt;"",NOT(ISNUMBER(F3128))),N(F3128)&lt;0,N(F3128)&gt;1),"Remise invalide",IF(K3128="","Taux de TVA manquant",IF(NOT(ISNUMBER(K3128)),"Taux de TVA invalide",IF(COUNTIF(p_rates,K3128)=0,"Taux de TVA hors liste (Paramètres)",IF(N(O3128)&gt;25,"Au-delà de 25 lignes : non imprimée","OK")))))))))))))</f>
        <v/>
      </c>
      <c r="O3128" s="59" t="str">
        <f>IF(A3128="","",COUNTIF($A$6:A3128,A3128))</f>
        <v/>
      </c>
      <c r="P3128" s="62" t="str">
        <f>IF(A3128="","",A3128&amp;"|"&amp;O3128)</f>
        <v/>
      </c>
    </row>
    <row r="3129">
      <c r="A3129" s="60" t="n"/>
      <c r="B3129" s="63" t="n"/>
      <c r="C3129" s="63" t="n"/>
      <c r="D3129" s="67" t="n"/>
      <c r="E3129" s="68" t="n"/>
      <c r="F3129" s="69" t="n"/>
      <c r="G3129" s="70" t="n"/>
      <c r="H3129" s="62" t="str">
        <f>IF(COUNTA(A3129:G3129)=0,"",IF(C3129&lt;&gt;"",C3129,IF(B3129="","",IFERROR(INDEX(pr_des,MATCH(B3129,pr_code,0))&amp;"",""))))</f>
        <v/>
      </c>
      <c r="I3129" s="59" t="str">
        <f>IF(B3129="","",IFERROR(INDEX(pr_unit,MATCH(B3129,pr_code,0))&amp;"",""))</f>
        <v/>
      </c>
      <c r="J3129" s="65" t="str">
        <f>IF(COUNTA(A3129:G3129)=0,"",IF(E3129&lt;&gt;"",E3129,IF(B3129="","",IFERROR(IF(INDEX(pr_price,MATCH(B3129,pr_code,0))="","",INDEX(pr_price,MATCH(B3129,pr_code,0))),""))))</f>
        <v/>
      </c>
      <c r="K3129" s="71" t="str">
        <f>IF(COUNTA(A3129:G3129)=0,"",IF(G3129&lt;&gt;"",G3129,IF(B3129="","",IFERROR(IF(INDEX(pr_rate,MATCH(B3129,pr_code,0))="","",INDEX(pr_rate,MATCH(B3129,pr_code,0))),""))))</f>
        <v/>
      </c>
      <c r="L3129" s="65" t="str">
        <f>IF(COUNTA(A3129:G3129)=0,"",IF(AND(ISNUMBER(D3129),ISNUMBER(J3129)),ROUND(D3129*J3129*(1-N(F3129)),2),0))</f>
        <v/>
      </c>
      <c r="M3129" s="62" t="str">
        <f>IF(A3129="","",IFERROR(INDEX(fa_cname,MATCH(A3129,fa_num,0))&amp;"",""))</f>
        <v/>
      </c>
      <c r="N3129" s="59" t="str">
        <f>IF(COUNTA(A3129:G3129)=0,"",IF(A3129="","N° facture manquant",IF(ISNA(MATCH(A3129,fa_num,0)),"Facture inconnue",IF(AND(B3129&lt;&gt;"",ISNA(MATCH(B3129,pr_code,0))),"Article inconnu",IF(H3129="","Désignation manquante",IF(OR(NOT(ISNUMBER(D3129)),N(D3129)&lt;=0),"Quantité invalide",IF(J3129="","Prix manquant",IF(OR(NOT(ISNUMBER(J3129)),N(J3129)&lt;0),"Prix invalide",IF(OR(AND(F3129&lt;&gt;"",NOT(ISNUMBER(F3129))),N(F3129)&lt;0,N(F3129)&gt;1),"Remise invalide",IF(K3129="","Taux de TVA manquant",IF(NOT(ISNUMBER(K3129)),"Taux de TVA invalide",IF(COUNTIF(p_rates,K3129)=0,"Taux de TVA hors liste (Paramètres)",IF(N(O3129)&gt;25,"Au-delà de 25 lignes : non imprimée","OK")))))))))))))</f>
        <v/>
      </c>
      <c r="O3129" s="59" t="str">
        <f>IF(A3129="","",COUNTIF($A$6:A3129,A3129))</f>
        <v/>
      </c>
      <c r="P3129" s="62" t="str">
        <f>IF(A3129="","",A3129&amp;"|"&amp;O3129)</f>
        <v/>
      </c>
    </row>
    <row r="3130">
      <c r="A3130" s="60" t="n"/>
      <c r="B3130" s="63" t="n"/>
      <c r="C3130" s="63" t="n"/>
      <c r="D3130" s="67" t="n"/>
      <c r="E3130" s="68" t="n"/>
      <c r="F3130" s="69" t="n"/>
      <c r="G3130" s="70" t="n"/>
      <c r="H3130" s="62" t="str">
        <f>IF(COUNTA(A3130:G3130)=0,"",IF(C3130&lt;&gt;"",C3130,IF(B3130="","",IFERROR(INDEX(pr_des,MATCH(B3130,pr_code,0))&amp;"",""))))</f>
        <v/>
      </c>
      <c r="I3130" s="59" t="str">
        <f>IF(B3130="","",IFERROR(INDEX(pr_unit,MATCH(B3130,pr_code,0))&amp;"",""))</f>
        <v/>
      </c>
      <c r="J3130" s="65" t="str">
        <f>IF(COUNTA(A3130:G3130)=0,"",IF(E3130&lt;&gt;"",E3130,IF(B3130="","",IFERROR(IF(INDEX(pr_price,MATCH(B3130,pr_code,0))="","",INDEX(pr_price,MATCH(B3130,pr_code,0))),""))))</f>
        <v/>
      </c>
      <c r="K3130" s="71" t="str">
        <f>IF(COUNTA(A3130:G3130)=0,"",IF(G3130&lt;&gt;"",G3130,IF(B3130="","",IFERROR(IF(INDEX(pr_rate,MATCH(B3130,pr_code,0))="","",INDEX(pr_rate,MATCH(B3130,pr_code,0))),""))))</f>
        <v/>
      </c>
      <c r="L3130" s="65" t="str">
        <f>IF(COUNTA(A3130:G3130)=0,"",IF(AND(ISNUMBER(D3130),ISNUMBER(J3130)),ROUND(D3130*J3130*(1-N(F3130)),2),0))</f>
        <v/>
      </c>
      <c r="M3130" s="62" t="str">
        <f>IF(A3130="","",IFERROR(INDEX(fa_cname,MATCH(A3130,fa_num,0))&amp;"",""))</f>
        <v/>
      </c>
      <c r="N3130" s="59" t="str">
        <f>IF(COUNTA(A3130:G3130)=0,"",IF(A3130="","N° facture manquant",IF(ISNA(MATCH(A3130,fa_num,0)),"Facture inconnue",IF(AND(B3130&lt;&gt;"",ISNA(MATCH(B3130,pr_code,0))),"Article inconnu",IF(H3130="","Désignation manquante",IF(OR(NOT(ISNUMBER(D3130)),N(D3130)&lt;=0),"Quantité invalide",IF(J3130="","Prix manquant",IF(OR(NOT(ISNUMBER(J3130)),N(J3130)&lt;0),"Prix invalide",IF(OR(AND(F3130&lt;&gt;"",NOT(ISNUMBER(F3130))),N(F3130)&lt;0,N(F3130)&gt;1),"Remise invalide",IF(K3130="","Taux de TVA manquant",IF(NOT(ISNUMBER(K3130)),"Taux de TVA invalide",IF(COUNTIF(p_rates,K3130)=0,"Taux de TVA hors liste (Paramètres)",IF(N(O3130)&gt;25,"Au-delà de 25 lignes : non imprimée","OK")))))))))))))</f>
        <v/>
      </c>
      <c r="O3130" s="59" t="str">
        <f>IF(A3130="","",COUNTIF($A$6:A3130,A3130))</f>
        <v/>
      </c>
      <c r="P3130" s="62" t="str">
        <f>IF(A3130="","",A3130&amp;"|"&amp;O3130)</f>
        <v/>
      </c>
    </row>
    <row r="3131">
      <c r="A3131" s="60" t="n"/>
      <c r="B3131" s="63" t="n"/>
      <c r="C3131" s="63" t="n"/>
      <c r="D3131" s="67" t="n"/>
      <c r="E3131" s="68" t="n"/>
      <c r="F3131" s="69" t="n"/>
      <c r="G3131" s="70" t="n"/>
      <c r="H3131" s="62" t="str">
        <f>IF(COUNTA(A3131:G3131)=0,"",IF(C3131&lt;&gt;"",C3131,IF(B3131="","",IFERROR(INDEX(pr_des,MATCH(B3131,pr_code,0))&amp;"",""))))</f>
        <v/>
      </c>
      <c r="I3131" s="59" t="str">
        <f>IF(B3131="","",IFERROR(INDEX(pr_unit,MATCH(B3131,pr_code,0))&amp;"",""))</f>
        <v/>
      </c>
      <c r="J3131" s="65" t="str">
        <f>IF(COUNTA(A3131:G3131)=0,"",IF(E3131&lt;&gt;"",E3131,IF(B3131="","",IFERROR(IF(INDEX(pr_price,MATCH(B3131,pr_code,0))="","",INDEX(pr_price,MATCH(B3131,pr_code,0))),""))))</f>
        <v/>
      </c>
      <c r="K3131" s="71" t="str">
        <f>IF(COUNTA(A3131:G3131)=0,"",IF(G3131&lt;&gt;"",G3131,IF(B3131="","",IFERROR(IF(INDEX(pr_rate,MATCH(B3131,pr_code,0))="","",INDEX(pr_rate,MATCH(B3131,pr_code,0))),""))))</f>
        <v/>
      </c>
      <c r="L3131" s="65" t="str">
        <f>IF(COUNTA(A3131:G3131)=0,"",IF(AND(ISNUMBER(D3131),ISNUMBER(J3131)),ROUND(D3131*J3131*(1-N(F3131)),2),0))</f>
        <v/>
      </c>
      <c r="M3131" s="62" t="str">
        <f>IF(A3131="","",IFERROR(INDEX(fa_cname,MATCH(A3131,fa_num,0))&amp;"",""))</f>
        <v/>
      </c>
      <c r="N3131" s="59" t="str">
        <f>IF(COUNTA(A3131:G3131)=0,"",IF(A3131="","N° facture manquant",IF(ISNA(MATCH(A3131,fa_num,0)),"Facture inconnue",IF(AND(B3131&lt;&gt;"",ISNA(MATCH(B3131,pr_code,0))),"Article inconnu",IF(H3131="","Désignation manquante",IF(OR(NOT(ISNUMBER(D3131)),N(D3131)&lt;=0),"Quantité invalide",IF(J3131="","Prix manquant",IF(OR(NOT(ISNUMBER(J3131)),N(J3131)&lt;0),"Prix invalide",IF(OR(AND(F3131&lt;&gt;"",NOT(ISNUMBER(F3131))),N(F3131)&lt;0,N(F3131)&gt;1),"Remise invalide",IF(K3131="","Taux de TVA manquant",IF(NOT(ISNUMBER(K3131)),"Taux de TVA invalide",IF(COUNTIF(p_rates,K3131)=0,"Taux de TVA hors liste (Paramètres)",IF(N(O3131)&gt;25,"Au-delà de 25 lignes : non imprimée","OK")))))))))))))</f>
        <v/>
      </c>
      <c r="O3131" s="59" t="str">
        <f>IF(A3131="","",COUNTIF($A$6:A3131,A3131))</f>
        <v/>
      </c>
      <c r="P3131" s="62" t="str">
        <f>IF(A3131="","",A3131&amp;"|"&amp;O3131)</f>
        <v/>
      </c>
    </row>
    <row r="3132">
      <c r="A3132" s="60" t="n"/>
      <c r="B3132" s="63" t="n"/>
      <c r="C3132" s="63" t="n"/>
      <c r="D3132" s="67" t="n"/>
      <c r="E3132" s="68" t="n"/>
      <c r="F3132" s="69" t="n"/>
      <c r="G3132" s="70" t="n"/>
      <c r="H3132" s="62" t="str">
        <f>IF(COUNTA(A3132:G3132)=0,"",IF(C3132&lt;&gt;"",C3132,IF(B3132="","",IFERROR(INDEX(pr_des,MATCH(B3132,pr_code,0))&amp;"",""))))</f>
        <v/>
      </c>
      <c r="I3132" s="59" t="str">
        <f>IF(B3132="","",IFERROR(INDEX(pr_unit,MATCH(B3132,pr_code,0))&amp;"",""))</f>
        <v/>
      </c>
      <c r="J3132" s="65" t="str">
        <f>IF(COUNTA(A3132:G3132)=0,"",IF(E3132&lt;&gt;"",E3132,IF(B3132="","",IFERROR(IF(INDEX(pr_price,MATCH(B3132,pr_code,0))="","",INDEX(pr_price,MATCH(B3132,pr_code,0))),""))))</f>
        <v/>
      </c>
      <c r="K3132" s="71" t="str">
        <f>IF(COUNTA(A3132:G3132)=0,"",IF(G3132&lt;&gt;"",G3132,IF(B3132="","",IFERROR(IF(INDEX(pr_rate,MATCH(B3132,pr_code,0))="","",INDEX(pr_rate,MATCH(B3132,pr_code,0))),""))))</f>
        <v/>
      </c>
      <c r="L3132" s="65" t="str">
        <f>IF(COUNTA(A3132:G3132)=0,"",IF(AND(ISNUMBER(D3132),ISNUMBER(J3132)),ROUND(D3132*J3132*(1-N(F3132)),2),0))</f>
        <v/>
      </c>
      <c r="M3132" s="62" t="str">
        <f>IF(A3132="","",IFERROR(INDEX(fa_cname,MATCH(A3132,fa_num,0))&amp;"",""))</f>
        <v/>
      </c>
      <c r="N3132" s="59" t="str">
        <f>IF(COUNTA(A3132:G3132)=0,"",IF(A3132="","N° facture manquant",IF(ISNA(MATCH(A3132,fa_num,0)),"Facture inconnue",IF(AND(B3132&lt;&gt;"",ISNA(MATCH(B3132,pr_code,0))),"Article inconnu",IF(H3132="","Désignation manquante",IF(OR(NOT(ISNUMBER(D3132)),N(D3132)&lt;=0),"Quantité invalide",IF(J3132="","Prix manquant",IF(OR(NOT(ISNUMBER(J3132)),N(J3132)&lt;0),"Prix invalide",IF(OR(AND(F3132&lt;&gt;"",NOT(ISNUMBER(F3132))),N(F3132)&lt;0,N(F3132)&gt;1),"Remise invalide",IF(K3132="","Taux de TVA manquant",IF(NOT(ISNUMBER(K3132)),"Taux de TVA invalide",IF(COUNTIF(p_rates,K3132)=0,"Taux de TVA hors liste (Paramètres)",IF(N(O3132)&gt;25,"Au-delà de 25 lignes : non imprimée","OK")))))))))))))</f>
        <v/>
      </c>
      <c r="O3132" s="59" t="str">
        <f>IF(A3132="","",COUNTIF($A$6:A3132,A3132))</f>
        <v/>
      </c>
      <c r="P3132" s="62" t="str">
        <f>IF(A3132="","",A3132&amp;"|"&amp;O3132)</f>
        <v/>
      </c>
    </row>
    <row r="3133">
      <c r="A3133" s="60" t="n"/>
      <c r="B3133" s="63" t="n"/>
      <c r="C3133" s="63" t="n"/>
      <c r="D3133" s="67" t="n"/>
      <c r="E3133" s="68" t="n"/>
      <c r="F3133" s="69" t="n"/>
      <c r="G3133" s="70" t="n"/>
      <c r="H3133" s="62" t="str">
        <f>IF(COUNTA(A3133:G3133)=0,"",IF(C3133&lt;&gt;"",C3133,IF(B3133="","",IFERROR(INDEX(pr_des,MATCH(B3133,pr_code,0))&amp;"",""))))</f>
        <v/>
      </c>
      <c r="I3133" s="59" t="str">
        <f>IF(B3133="","",IFERROR(INDEX(pr_unit,MATCH(B3133,pr_code,0))&amp;"",""))</f>
        <v/>
      </c>
      <c r="J3133" s="65" t="str">
        <f>IF(COUNTA(A3133:G3133)=0,"",IF(E3133&lt;&gt;"",E3133,IF(B3133="","",IFERROR(IF(INDEX(pr_price,MATCH(B3133,pr_code,0))="","",INDEX(pr_price,MATCH(B3133,pr_code,0))),""))))</f>
        <v/>
      </c>
      <c r="K3133" s="71" t="str">
        <f>IF(COUNTA(A3133:G3133)=0,"",IF(G3133&lt;&gt;"",G3133,IF(B3133="","",IFERROR(IF(INDEX(pr_rate,MATCH(B3133,pr_code,0))="","",INDEX(pr_rate,MATCH(B3133,pr_code,0))),""))))</f>
        <v/>
      </c>
      <c r="L3133" s="65" t="str">
        <f>IF(COUNTA(A3133:G3133)=0,"",IF(AND(ISNUMBER(D3133),ISNUMBER(J3133)),ROUND(D3133*J3133*(1-N(F3133)),2),0))</f>
        <v/>
      </c>
      <c r="M3133" s="62" t="str">
        <f>IF(A3133="","",IFERROR(INDEX(fa_cname,MATCH(A3133,fa_num,0))&amp;"",""))</f>
        <v/>
      </c>
      <c r="N3133" s="59" t="str">
        <f>IF(COUNTA(A3133:G3133)=0,"",IF(A3133="","N° facture manquant",IF(ISNA(MATCH(A3133,fa_num,0)),"Facture inconnue",IF(AND(B3133&lt;&gt;"",ISNA(MATCH(B3133,pr_code,0))),"Article inconnu",IF(H3133="","Désignation manquante",IF(OR(NOT(ISNUMBER(D3133)),N(D3133)&lt;=0),"Quantité invalide",IF(J3133="","Prix manquant",IF(OR(NOT(ISNUMBER(J3133)),N(J3133)&lt;0),"Prix invalide",IF(OR(AND(F3133&lt;&gt;"",NOT(ISNUMBER(F3133))),N(F3133)&lt;0,N(F3133)&gt;1),"Remise invalide",IF(K3133="","Taux de TVA manquant",IF(NOT(ISNUMBER(K3133)),"Taux de TVA invalide",IF(COUNTIF(p_rates,K3133)=0,"Taux de TVA hors liste (Paramètres)",IF(N(O3133)&gt;25,"Au-delà de 25 lignes : non imprimée","OK")))))))))))))</f>
        <v/>
      </c>
      <c r="O3133" s="59" t="str">
        <f>IF(A3133="","",COUNTIF($A$6:A3133,A3133))</f>
        <v/>
      </c>
      <c r="P3133" s="62" t="str">
        <f>IF(A3133="","",A3133&amp;"|"&amp;O3133)</f>
        <v/>
      </c>
    </row>
    <row r="3134">
      <c r="A3134" s="60" t="n"/>
      <c r="B3134" s="63" t="n"/>
      <c r="C3134" s="63" t="n"/>
      <c r="D3134" s="67" t="n"/>
      <c r="E3134" s="68" t="n"/>
      <c r="F3134" s="69" t="n"/>
      <c r="G3134" s="70" t="n"/>
      <c r="H3134" s="62" t="str">
        <f>IF(COUNTA(A3134:G3134)=0,"",IF(C3134&lt;&gt;"",C3134,IF(B3134="","",IFERROR(INDEX(pr_des,MATCH(B3134,pr_code,0))&amp;"",""))))</f>
        <v/>
      </c>
      <c r="I3134" s="59" t="str">
        <f>IF(B3134="","",IFERROR(INDEX(pr_unit,MATCH(B3134,pr_code,0))&amp;"",""))</f>
        <v/>
      </c>
      <c r="J3134" s="65" t="str">
        <f>IF(COUNTA(A3134:G3134)=0,"",IF(E3134&lt;&gt;"",E3134,IF(B3134="","",IFERROR(IF(INDEX(pr_price,MATCH(B3134,pr_code,0))="","",INDEX(pr_price,MATCH(B3134,pr_code,0))),""))))</f>
        <v/>
      </c>
      <c r="K3134" s="71" t="str">
        <f>IF(COUNTA(A3134:G3134)=0,"",IF(G3134&lt;&gt;"",G3134,IF(B3134="","",IFERROR(IF(INDEX(pr_rate,MATCH(B3134,pr_code,0))="","",INDEX(pr_rate,MATCH(B3134,pr_code,0))),""))))</f>
        <v/>
      </c>
      <c r="L3134" s="65" t="str">
        <f>IF(COUNTA(A3134:G3134)=0,"",IF(AND(ISNUMBER(D3134),ISNUMBER(J3134)),ROUND(D3134*J3134*(1-N(F3134)),2),0))</f>
        <v/>
      </c>
      <c r="M3134" s="62" t="str">
        <f>IF(A3134="","",IFERROR(INDEX(fa_cname,MATCH(A3134,fa_num,0))&amp;"",""))</f>
        <v/>
      </c>
      <c r="N3134" s="59" t="str">
        <f>IF(COUNTA(A3134:G3134)=0,"",IF(A3134="","N° facture manquant",IF(ISNA(MATCH(A3134,fa_num,0)),"Facture inconnue",IF(AND(B3134&lt;&gt;"",ISNA(MATCH(B3134,pr_code,0))),"Article inconnu",IF(H3134="","Désignation manquante",IF(OR(NOT(ISNUMBER(D3134)),N(D3134)&lt;=0),"Quantité invalide",IF(J3134="","Prix manquant",IF(OR(NOT(ISNUMBER(J3134)),N(J3134)&lt;0),"Prix invalide",IF(OR(AND(F3134&lt;&gt;"",NOT(ISNUMBER(F3134))),N(F3134)&lt;0,N(F3134)&gt;1),"Remise invalide",IF(K3134="","Taux de TVA manquant",IF(NOT(ISNUMBER(K3134)),"Taux de TVA invalide",IF(COUNTIF(p_rates,K3134)=0,"Taux de TVA hors liste (Paramètres)",IF(N(O3134)&gt;25,"Au-delà de 25 lignes : non imprimée","OK")))))))))))))</f>
        <v/>
      </c>
      <c r="O3134" s="59" t="str">
        <f>IF(A3134="","",COUNTIF($A$6:A3134,A3134))</f>
        <v/>
      </c>
      <c r="P3134" s="62" t="str">
        <f>IF(A3134="","",A3134&amp;"|"&amp;O3134)</f>
        <v/>
      </c>
    </row>
    <row r="3135">
      <c r="A3135" s="60" t="n"/>
      <c r="B3135" s="63" t="n"/>
      <c r="C3135" s="63" t="n"/>
      <c r="D3135" s="67" t="n"/>
      <c r="E3135" s="68" t="n"/>
      <c r="F3135" s="69" t="n"/>
      <c r="G3135" s="70" t="n"/>
      <c r="H3135" s="62" t="str">
        <f>IF(COUNTA(A3135:G3135)=0,"",IF(C3135&lt;&gt;"",C3135,IF(B3135="","",IFERROR(INDEX(pr_des,MATCH(B3135,pr_code,0))&amp;"",""))))</f>
        <v/>
      </c>
      <c r="I3135" s="59" t="str">
        <f>IF(B3135="","",IFERROR(INDEX(pr_unit,MATCH(B3135,pr_code,0))&amp;"",""))</f>
        <v/>
      </c>
      <c r="J3135" s="65" t="str">
        <f>IF(COUNTA(A3135:G3135)=0,"",IF(E3135&lt;&gt;"",E3135,IF(B3135="","",IFERROR(IF(INDEX(pr_price,MATCH(B3135,pr_code,0))="","",INDEX(pr_price,MATCH(B3135,pr_code,0))),""))))</f>
        <v/>
      </c>
      <c r="K3135" s="71" t="str">
        <f>IF(COUNTA(A3135:G3135)=0,"",IF(G3135&lt;&gt;"",G3135,IF(B3135="","",IFERROR(IF(INDEX(pr_rate,MATCH(B3135,pr_code,0))="","",INDEX(pr_rate,MATCH(B3135,pr_code,0))),""))))</f>
        <v/>
      </c>
      <c r="L3135" s="65" t="str">
        <f>IF(COUNTA(A3135:G3135)=0,"",IF(AND(ISNUMBER(D3135),ISNUMBER(J3135)),ROUND(D3135*J3135*(1-N(F3135)),2),0))</f>
        <v/>
      </c>
      <c r="M3135" s="62" t="str">
        <f>IF(A3135="","",IFERROR(INDEX(fa_cname,MATCH(A3135,fa_num,0))&amp;"",""))</f>
        <v/>
      </c>
      <c r="N3135" s="59" t="str">
        <f>IF(COUNTA(A3135:G3135)=0,"",IF(A3135="","N° facture manquant",IF(ISNA(MATCH(A3135,fa_num,0)),"Facture inconnue",IF(AND(B3135&lt;&gt;"",ISNA(MATCH(B3135,pr_code,0))),"Article inconnu",IF(H3135="","Désignation manquante",IF(OR(NOT(ISNUMBER(D3135)),N(D3135)&lt;=0),"Quantité invalide",IF(J3135="","Prix manquant",IF(OR(NOT(ISNUMBER(J3135)),N(J3135)&lt;0),"Prix invalide",IF(OR(AND(F3135&lt;&gt;"",NOT(ISNUMBER(F3135))),N(F3135)&lt;0,N(F3135)&gt;1),"Remise invalide",IF(K3135="","Taux de TVA manquant",IF(NOT(ISNUMBER(K3135)),"Taux de TVA invalide",IF(COUNTIF(p_rates,K3135)=0,"Taux de TVA hors liste (Paramètres)",IF(N(O3135)&gt;25,"Au-delà de 25 lignes : non imprimée","OK")))))))))))))</f>
        <v/>
      </c>
      <c r="O3135" s="59" t="str">
        <f>IF(A3135="","",COUNTIF($A$6:A3135,A3135))</f>
        <v/>
      </c>
      <c r="P3135" s="62" t="str">
        <f>IF(A3135="","",A3135&amp;"|"&amp;O3135)</f>
        <v/>
      </c>
    </row>
    <row r="3136">
      <c r="A3136" s="60" t="n"/>
      <c r="B3136" s="63" t="n"/>
      <c r="C3136" s="63" t="n"/>
      <c r="D3136" s="67" t="n"/>
      <c r="E3136" s="68" t="n"/>
      <c r="F3136" s="69" t="n"/>
      <c r="G3136" s="70" t="n"/>
      <c r="H3136" s="62" t="str">
        <f>IF(COUNTA(A3136:G3136)=0,"",IF(C3136&lt;&gt;"",C3136,IF(B3136="","",IFERROR(INDEX(pr_des,MATCH(B3136,pr_code,0))&amp;"",""))))</f>
        <v/>
      </c>
      <c r="I3136" s="59" t="str">
        <f>IF(B3136="","",IFERROR(INDEX(pr_unit,MATCH(B3136,pr_code,0))&amp;"",""))</f>
        <v/>
      </c>
      <c r="J3136" s="65" t="str">
        <f>IF(COUNTA(A3136:G3136)=0,"",IF(E3136&lt;&gt;"",E3136,IF(B3136="","",IFERROR(IF(INDEX(pr_price,MATCH(B3136,pr_code,0))="","",INDEX(pr_price,MATCH(B3136,pr_code,0))),""))))</f>
        <v/>
      </c>
      <c r="K3136" s="71" t="str">
        <f>IF(COUNTA(A3136:G3136)=0,"",IF(G3136&lt;&gt;"",G3136,IF(B3136="","",IFERROR(IF(INDEX(pr_rate,MATCH(B3136,pr_code,0))="","",INDEX(pr_rate,MATCH(B3136,pr_code,0))),""))))</f>
        <v/>
      </c>
      <c r="L3136" s="65" t="str">
        <f>IF(COUNTA(A3136:G3136)=0,"",IF(AND(ISNUMBER(D3136),ISNUMBER(J3136)),ROUND(D3136*J3136*(1-N(F3136)),2),0))</f>
        <v/>
      </c>
      <c r="M3136" s="62" t="str">
        <f>IF(A3136="","",IFERROR(INDEX(fa_cname,MATCH(A3136,fa_num,0))&amp;"",""))</f>
        <v/>
      </c>
      <c r="N3136" s="59" t="str">
        <f>IF(COUNTA(A3136:G3136)=0,"",IF(A3136="","N° facture manquant",IF(ISNA(MATCH(A3136,fa_num,0)),"Facture inconnue",IF(AND(B3136&lt;&gt;"",ISNA(MATCH(B3136,pr_code,0))),"Article inconnu",IF(H3136="","Désignation manquante",IF(OR(NOT(ISNUMBER(D3136)),N(D3136)&lt;=0),"Quantité invalide",IF(J3136="","Prix manquant",IF(OR(NOT(ISNUMBER(J3136)),N(J3136)&lt;0),"Prix invalide",IF(OR(AND(F3136&lt;&gt;"",NOT(ISNUMBER(F3136))),N(F3136)&lt;0,N(F3136)&gt;1),"Remise invalide",IF(K3136="","Taux de TVA manquant",IF(NOT(ISNUMBER(K3136)),"Taux de TVA invalide",IF(COUNTIF(p_rates,K3136)=0,"Taux de TVA hors liste (Paramètres)",IF(N(O3136)&gt;25,"Au-delà de 25 lignes : non imprimée","OK")))))))))))))</f>
        <v/>
      </c>
      <c r="O3136" s="59" t="str">
        <f>IF(A3136="","",COUNTIF($A$6:A3136,A3136))</f>
        <v/>
      </c>
      <c r="P3136" s="62" t="str">
        <f>IF(A3136="","",A3136&amp;"|"&amp;O3136)</f>
        <v/>
      </c>
    </row>
    <row r="3137">
      <c r="A3137" s="60" t="n"/>
      <c r="B3137" s="63" t="n"/>
      <c r="C3137" s="63" t="n"/>
      <c r="D3137" s="67" t="n"/>
      <c r="E3137" s="68" t="n"/>
      <c r="F3137" s="69" t="n"/>
      <c r="G3137" s="70" t="n"/>
      <c r="H3137" s="62" t="str">
        <f>IF(COUNTA(A3137:G3137)=0,"",IF(C3137&lt;&gt;"",C3137,IF(B3137="","",IFERROR(INDEX(pr_des,MATCH(B3137,pr_code,0))&amp;"",""))))</f>
        <v/>
      </c>
      <c r="I3137" s="59" t="str">
        <f>IF(B3137="","",IFERROR(INDEX(pr_unit,MATCH(B3137,pr_code,0))&amp;"",""))</f>
        <v/>
      </c>
      <c r="J3137" s="65" t="str">
        <f>IF(COUNTA(A3137:G3137)=0,"",IF(E3137&lt;&gt;"",E3137,IF(B3137="","",IFERROR(IF(INDEX(pr_price,MATCH(B3137,pr_code,0))="","",INDEX(pr_price,MATCH(B3137,pr_code,0))),""))))</f>
        <v/>
      </c>
      <c r="K3137" s="71" t="str">
        <f>IF(COUNTA(A3137:G3137)=0,"",IF(G3137&lt;&gt;"",G3137,IF(B3137="","",IFERROR(IF(INDEX(pr_rate,MATCH(B3137,pr_code,0))="","",INDEX(pr_rate,MATCH(B3137,pr_code,0))),""))))</f>
        <v/>
      </c>
      <c r="L3137" s="65" t="str">
        <f>IF(COUNTA(A3137:G3137)=0,"",IF(AND(ISNUMBER(D3137),ISNUMBER(J3137)),ROUND(D3137*J3137*(1-N(F3137)),2),0))</f>
        <v/>
      </c>
      <c r="M3137" s="62" t="str">
        <f>IF(A3137="","",IFERROR(INDEX(fa_cname,MATCH(A3137,fa_num,0))&amp;"",""))</f>
        <v/>
      </c>
      <c r="N3137" s="59" t="str">
        <f>IF(COUNTA(A3137:G3137)=0,"",IF(A3137="","N° facture manquant",IF(ISNA(MATCH(A3137,fa_num,0)),"Facture inconnue",IF(AND(B3137&lt;&gt;"",ISNA(MATCH(B3137,pr_code,0))),"Article inconnu",IF(H3137="","Désignation manquante",IF(OR(NOT(ISNUMBER(D3137)),N(D3137)&lt;=0),"Quantité invalide",IF(J3137="","Prix manquant",IF(OR(NOT(ISNUMBER(J3137)),N(J3137)&lt;0),"Prix invalide",IF(OR(AND(F3137&lt;&gt;"",NOT(ISNUMBER(F3137))),N(F3137)&lt;0,N(F3137)&gt;1),"Remise invalide",IF(K3137="","Taux de TVA manquant",IF(NOT(ISNUMBER(K3137)),"Taux de TVA invalide",IF(COUNTIF(p_rates,K3137)=0,"Taux de TVA hors liste (Paramètres)",IF(N(O3137)&gt;25,"Au-delà de 25 lignes : non imprimée","OK")))))))))))))</f>
        <v/>
      </c>
      <c r="O3137" s="59" t="str">
        <f>IF(A3137="","",COUNTIF($A$6:A3137,A3137))</f>
        <v/>
      </c>
      <c r="P3137" s="62" t="str">
        <f>IF(A3137="","",A3137&amp;"|"&amp;O3137)</f>
        <v/>
      </c>
    </row>
    <row r="3138">
      <c r="A3138" s="60" t="n"/>
      <c r="B3138" s="63" t="n"/>
      <c r="C3138" s="63" t="n"/>
      <c r="D3138" s="67" t="n"/>
      <c r="E3138" s="68" t="n"/>
      <c r="F3138" s="69" t="n"/>
      <c r="G3138" s="70" t="n"/>
      <c r="H3138" s="62" t="str">
        <f>IF(COUNTA(A3138:G3138)=0,"",IF(C3138&lt;&gt;"",C3138,IF(B3138="","",IFERROR(INDEX(pr_des,MATCH(B3138,pr_code,0))&amp;"",""))))</f>
        <v/>
      </c>
      <c r="I3138" s="59" t="str">
        <f>IF(B3138="","",IFERROR(INDEX(pr_unit,MATCH(B3138,pr_code,0))&amp;"",""))</f>
        <v/>
      </c>
      <c r="J3138" s="65" t="str">
        <f>IF(COUNTA(A3138:G3138)=0,"",IF(E3138&lt;&gt;"",E3138,IF(B3138="","",IFERROR(IF(INDEX(pr_price,MATCH(B3138,pr_code,0))="","",INDEX(pr_price,MATCH(B3138,pr_code,0))),""))))</f>
        <v/>
      </c>
      <c r="K3138" s="71" t="str">
        <f>IF(COUNTA(A3138:G3138)=0,"",IF(G3138&lt;&gt;"",G3138,IF(B3138="","",IFERROR(IF(INDEX(pr_rate,MATCH(B3138,pr_code,0))="","",INDEX(pr_rate,MATCH(B3138,pr_code,0))),""))))</f>
        <v/>
      </c>
      <c r="L3138" s="65" t="str">
        <f>IF(COUNTA(A3138:G3138)=0,"",IF(AND(ISNUMBER(D3138),ISNUMBER(J3138)),ROUND(D3138*J3138*(1-N(F3138)),2),0))</f>
        <v/>
      </c>
      <c r="M3138" s="62" t="str">
        <f>IF(A3138="","",IFERROR(INDEX(fa_cname,MATCH(A3138,fa_num,0))&amp;"",""))</f>
        <v/>
      </c>
      <c r="N3138" s="59" t="str">
        <f>IF(COUNTA(A3138:G3138)=0,"",IF(A3138="","N° facture manquant",IF(ISNA(MATCH(A3138,fa_num,0)),"Facture inconnue",IF(AND(B3138&lt;&gt;"",ISNA(MATCH(B3138,pr_code,0))),"Article inconnu",IF(H3138="","Désignation manquante",IF(OR(NOT(ISNUMBER(D3138)),N(D3138)&lt;=0),"Quantité invalide",IF(J3138="","Prix manquant",IF(OR(NOT(ISNUMBER(J3138)),N(J3138)&lt;0),"Prix invalide",IF(OR(AND(F3138&lt;&gt;"",NOT(ISNUMBER(F3138))),N(F3138)&lt;0,N(F3138)&gt;1),"Remise invalide",IF(K3138="","Taux de TVA manquant",IF(NOT(ISNUMBER(K3138)),"Taux de TVA invalide",IF(COUNTIF(p_rates,K3138)=0,"Taux de TVA hors liste (Paramètres)",IF(N(O3138)&gt;25,"Au-delà de 25 lignes : non imprimée","OK")))))))))))))</f>
        <v/>
      </c>
      <c r="O3138" s="59" t="str">
        <f>IF(A3138="","",COUNTIF($A$6:A3138,A3138))</f>
        <v/>
      </c>
      <c r="P3138" s="62" t="str">
        <f>IF(A3138="","",A3138&amp;"|"&amp;O3138)</f>
        <v/>
      </c>
    </row>
    <row r="3139">
      <c r="A3139" s="60" t="n"/>
      <c r="B3139" s="63" t="n"/>
      <c r="C3139" s="63" t="n"/>
      <c r="D3139" s="67" t="n"/>
      <c r="E3139" s="68" t="n"/>
      <c r="F3139" s="69" t="n"/>
      <c r="G3139" s="70" t="n"/>
      <c r="H3139" s="62" t="str">
        <f>IF(COUNTA(A3139:G3139)=0,"",IF(C3139&lt;&gt;"",C3139,IF(B3139="","",IFERROR(INDEX(pr_des,MATCH(B3139,pr_code,0))&amp;"",""))))</f>
        <v/>
      </c>
      <c r="I3139" s="59" t="str">
        <f>IF(B3139="","",IFERROR(INDEX(pr_unit,MATCH(B3139,pr_code,0))&amp;"",""))</f>
        <v/>
      </c>
      <c r="J3139" s="65" t="str">
        <f>IF(COUNTA(A3139:G3139)=0,"",IF(E3139&lt;&gt;"",E3139,IF(B3139="","",IFERROR(IF(INDEX(pr_price,MATCH(B3139,pr_code,0))="","",INDEX(pr_price,MATCH(B3139,pr_code,0))),""))))</f>
        <v/>
      </c>
      <c r="K3139" s="71" t="str">
        <f>IF(COUNTA(A3139:G3139)=0,"",IF(G3139&lt;&gt;"",G3139,IF(B3139="","",IFERROR(IF(INDEX(pr_rate,MATCH(B3139,pr_code,0))="","",INDEX(pr_rate,MATCH(B3139,pr_code,0))),""))))</f>
        <v/>
      </c>
      <c r="L3139" s="65" t="str">
        <f>IF(COUNTA(A3139:G3139)=0,"",IF(AND(ISNUMBER(D3139),ISNUMBER(J3139)),ROUND(D3139*J3139*(1-N(F3139)),2),0))</f>
        <v/>
      </c>
      <c r="M3139" s="62" t="str">
        <f>IF(A3139="","",IFERROR(INDEX(fa_cname,MATCH(A3139,fa_num,0))&amp;"",""))</f>
        <v/>
      </c>
      <c r="N3139" s="59" t="str">
        <f>IF(COUNTA(A3139:G3139)=0,"",IF(A3139="","N° facture manquant",IF(ISNA(MATCH(A3139,fa_num,0)),"Facture inconnue",IF(AND(B3139&lt;&gt;"",ISNA(MATCH(B3139,pr_code,0))),"Article inconnu",IF(H3139="","Désignation manquante",IF(OR(NOT(ISNUMBER(D3139)),N(D3139)&lt;=0),"Quantité invalide",IF(J3139="","Prix manquant",IF(OR(NOT(ISNUMBER(J3139)),N(J3139)&lt;0),"Prix invalide",IF(OR(AND(F3139&lt;&gt;"",NOT(ISNUMBER(F3139))),N(F3139)&lt;0,N(F3139)&gt;1),"Remise invalide",IF(K3139="","Taux de TVA manquant",IF(NOT(ISNUMBER(K3139)),"Taux de TVA invalide",IF(COUNTIF(p_rates,K3139)=0,"Taux de TVA hors liste (Paramètres)",IF(N(O3139)&gt;25,"Au-delà de 25 lignes : non imprimée","OK")))))))))))))</f>
        <v/>
      </c>
      <c r="O3139" s="59" t="str">
        <f>IF(A3139="","",COUNTIF($A$6:A3139,A3139))</f>
        <v/>
      </c>
      <c r="P3139" s="62" t="str">
        <f>IF(A3139="","",A3139&amp;"|"&amp;O3139)</f>
        <v/>
      </c>
    </row>
    <row r="3140">
      <c r="A3140" s="60" t="n"/>
      <c r="B3140" s="63" t="n"/>
      <c r="C3140" s="63" t="n"/>
      <c r="D3140" s="67" t="n"/>
      <c r="E3140" s="68" t="n"/>
      <c r="F3140" s="69" t="n"/>
      <c r="G3140" s="70" t="n"/>
      <c r="H3140" s="62" t="str">
        <f>IF(COUNTA(A3140:G3140)=0,"",IF(C3140&lt;&gt;"",C3140,IF(B3140="","",IFERROR(INDEX(pr_des,MATCH(B3140,pr_code,0))&amp;"",""))))</f>
        <v/>
      </c>
      <c r="I3140" s="59" t="str">
        <f>IF(B3140="","",IFERROR(INDEX(pr_unit,MATCH(B3140,pr_code,0))&amp;"",""))</f>
        <v/>
      </c>
      <c r="J3140" s="65" t="str">
        <f>IF(COUNTA(A3140:G3140)=0,"",IF(E3140&lt;&gt;"",E3140,IF(B3140="","",IFERROR(IF(INDEX(pr_price,MATCH(B3140,pr_code,0))="","",INDEX(pr_price,MATCH(B3140,pr_code,0))),""))))</f>
        <v/>
      </c>
      <c r="K3140" s="71" t="str">
        <f>IF(COUNTA(A3140:G3140)=0,"",IF(G3140&lt;&gt;"",G3140,IF(B3140="","",IFERROR(IF(INDEX(pr_rate,MATCH(B3140,pr_code,0))="","",INDEX(pr_rate,MATCH(B3140,pr_code,0))),""))))</f>
        <v/>
      </c>
      <c r="L3140" s="65" t="str">
        <f>IF(COUNTA(A3140:G3140)=0,"",IF(AND(ISNUMBER(D3140),ISNUMBER(J3140)),ROUND(D3140*J3140*(1-N(F3140)),2),0))</f>
        <v/>
      </c>
      <c r="M3140" s="62" t="str">
        <f>IF(A3140="","",IFERROR(INDEX(fa_cname,MATCH(A3140,fa_num,0))&amp;"",""))</f>
        <v/>
      </c>
      <c r="N3140" s="59" t="str">
        <f>IF(COUNTA(A3140:G3140)=0,"",IF(A3140="","N° facture manquant",IF(ISNA(MATCH(A3140,fa_num,0)),"Facture inconnue",IF(AND(B3140&lt;&gt;"",ISNA(MATCH(B3140,pr_code,0))),"Article inconnu",IF(H3140="","Désignation manquante",IF(OR(NOT(ISNUMBER(D3140)),N(D3140)&lt;=0),"Quantité invalide",IF(J3140="","Prix manquant",IF(OR(NOT(ISNUMBER(J3140)),N(J3140)&lt;0),"Prix invalide",IF(OR(AND(F3140&lt;&gt;"",NOT(ISNUMBER(F3140))),N(F3140)&lt;0,N(F3140)&gt;1),"Remise invalide",IF(K3140="","Taux de TVA manquant",IF(NOT(ISNUMBER(K3140)),"Taux de TVA invalide",IF(COUNTIF(p_rates,K3140)=0,"Taux de TVA hors liste (Paramètres)",IF(N(O3140)&gt;25,"Au-delà de 25 lignes : non imprimée","OK")))))))))))))</f>
        <v/>
      </c>
      <c r="O3140" s="59" t="str">
        <f>IF(A3140="","",COUNTIF($A$6:A3140,A3140))</f>
        <v/>
      </c>
      <c r="P3140" s="62" t="str">
        <f>IF(A3140="","",A3140&amp;"|"&amp;O3140)</f>
        <v/>
      </c>
    </row>
    <row r="3141">
      <c r="A3141" s="60" t="n"/>
      <c r="B3141" s="63" t="n"/>
      <c r="C3141" s="63" t="n"/>
      <c r="D3141" s="67" t="n"/>
      <c r="E3141" s="68" t="n"/>
      <c r="F3141" s="69" t="n"/>
      <c r="G3141" s="70" t="n"/>
      <c r="H3141" s="62" t="str">
        <f>IF(COUNTA(A3141:G3141)=0,"",IF(C3141&lt;&gt;"",C3141,IF(B3141="","",IFERROR(INDEX(pr_des,MATCH(B3141,pr_code,0))&amp;"",""))))</f>
        <v/>
      </c>
      <c r="I3141" s="59" t="str">
        <f>IF(B3141="","",IFERROR(INDEX(pr_unit,MATCH(B3141,pr_code,0))&amp;"",""))</f>
        <v/>
      </c>
      <c r="J3141" s="65" t="str">
        <f>IF(COUNTA(A3141:G3141)=0,"",IF(E3141&lt;&gt;"",E3141,IF(B3141="","",IFERROR(IF(INDEX(pr_price,MATCH(B3141,pr_code,0))="","",INDEX(pr_price,MATCH(B3141,pr_code,0))),""))))</f>
        <v/>
      </c>
      <c r="K3141" s="71" t="str">
        <f>IF(COUNTA(A3141:G3141)=0,"",IF(G3141&lt;&gt;"",G3141,IF(B3141="","",IFERROR(IF(INDEX(pr_rate,MATCH(B3141,pr_code,0))="","",INDEX(pr_rate,MATCH(B3141,pr_code,0))),""))))</f>
        <v/>
      </c>
      <c r="L3141" s="65" t="str">
        <f>IF(COUNTA(A3141:G3141)=0,"",IF(AND(ISNUMBER(D3141),ISNUMBER(J3141)),ROUND(D3141*J3141*(1-N(F3141)),2),0))</f>
        <v/>
      </c>
      <c r="M3141" s="62" t="str">
        <f>IF(A3141="","",IFERROR(INDEX(fa_cname,MATCH(A3141,fa_num,0))&amp;"",""))</f>
        <v/>
      </c>
      <c r="N3141" s="59" t="str">
        <f>IF(COUNTA(A3141:G3141)=0,"",IF(A3141="","N° facture manquant",IF(ISNA(MATCH(A3141,fa_num,0)),"Facture inconnue",IF(AND(B3141&lt;&gt;"",ISNA(MATCH(B3141,pr_code,0))),"Article inconnu",IF(H3141="","Désignation manquante",IF(OR(NOT(ISNUMBER(D3141)),N(D3141)&lt;=0),"Quantité invalide",IF(J3141="","Prix manquant",IF(OR(NOT(ISNUMBER(J3141)),N(J3141)&lt;0),"Prix invalide",IF(OR(AND(F3141&lt;&gt;"",NOT(ISNUMBER(F3141))),N(F3141)&lt;0,N(F3141)&gt;1),"Remise invalide",IF(K3141="","Taux de TVA manquant",IF(NOT(ISNUMBER(K3141)),"Taux de TVA invalide",IF(COUNTIF(p_rates,K3141)=0,"Taux de TVA hors liste (Paramètres)",IF(N(O3141)&gt;25,"Au-delà de 25 lignes : non imprimée","OK")))))))))))))</f>
        <v/>
      </c>
      <c r="O3141" s="59" t="str">
        <f>IF(A3141="","",COUNTIF($A$6:A3141,A3141))</f>
        <v/>
      </c>
      <c r="P3141" s="62" t="str">
        <f>IF(A3141="","",A3141&amp;"|"&amp;O3141)</f>
        <v/>
      </c>
    </row>
    <row r="3142">
      <c r="A3142" s="60" t="n"/>
      <c r="B3142" s="63" t="n"/>
      <c r="C3142" s="63" t="n"/>
      <c r="D3142" s="67" t="n"/>
      <c r="E3142" s="68" t="n"/>
      <c r="F3142" s="69" t="n"/>
      <c r="G3142" s="70" t="n"/>
      <c r="H3142" s="62" t="str">
        <f>IF(COUNTA(A3142:G3142)=0,"",IF(C3142&lt;&gt;"",C3142,IF(B3142="","",IFERROR(INDEX(pr_des,MATCH(B3142,pr_code,0))&amp;"",""))))</f>
        <v/>
      </c>
      <c r="I3142" s="59" t="str">
        <f>IF(B3142="","",IFERROR(INDEX(pr_unit,MATCH(B3142,pr_code,0))&amp;"",""))</f>
        <v/>
      </c>
      <c r="J3142" s="65" t="str">
        <f>IF(COUNTA(A3142:G3142)=0,"",IF(E3142&lt;&gt;"",E3142,IF(B3142="","",IFERROR(IF(INDEX(pr_price,MATCH(B3142,pr_code,0))="","",INDEX(pr_price,MATCH(B3142,pr_code,0))),""))))</f>
        <v/>
      </c>
      <c r="K3142" s="71" t="str">
        <f>IF(COUNTA(A3142:G3142)=0,"",IF(G3142&lt;&gt;"",G3142,IF(B3142="","",IFERROR(IF(INDEX(pr_rate,MATCH(B3142,pr_code,0))="","",INDEX(pr_rate,MATCH(B3142,pr_code,0))),""))))</f>
        <v/>
      </c>
      <c r="L3142" s="65" t="str">
        <f>IF(COUNTA(A3142:G3142)=0,"",IF(AND(ISNUMBER(D3142),ISNUMBER(J3142)),ROUND(D3142*J3142*(1-N(F3142)),2),0))</f>
        <v/>
      </c>
      <c r="M3142" s="62" t="str">
        <f>IF(A3142="","",IFERROR(INDEX(fa_cname,MATCH(A3142,fa_num,0))&amp;"",""))</f>
        <v/>
      </c>
      <c r="N3142" s="59" t="str">
        <f>IF(COUNTA(A3142:G3142)=0,"",IF(A3142="","N° facture manquant",IF(ISNA(MATCH(A3142,fa_num,0)),"Facture inconnue",IF(AND(B3142&lt;&gt;"",ISNA(MATCH(B3142,pr_code,0))),"Article inconnu",IF(H3142="","Désignation manquante",IF(OR(NOT(ISNUMBER(D3142)),N(D3142)&lt;=0),"Quantité invalide",IF(J3142="","Prix manquant",IF(OR(NOT(ISNUMBER(J3142)),N(J3142)&lt;0),"Prix invalide",IF(OR(AND(F3142&lt;&gt;"",NOT(ISNUMBER(F3142))),N(F3142)&lt;0,N(F3142)&gt;1),"Remise invalide",IF(K3142="","Taux de TVA manquant",IF(NOT(ISNUMBER(K3142)),"Taux de TVA invalide",IF(COUNTIF(p_rates,K3142)=0,"Taux de TVA hors liste (Paramètres)",IF(N(O3142)&gt;25,"Au-delà de 25 lignes : non imprimée","OK")))))))))))))</f>
        <v/>
      </c>
      <c r="O3142" s="59" t="str">
        <f>IF(A3142="","",COUNTIF($A$6:A3142,A3142))</f>
        <v/>
      </c>
      <c r="P3142" s="62" t="str">
        <f>IF(A3142="","",A3142&amp;"|"&amp;O3142)</f>
        <v/>
      </c>
    </row>
    <row r="3143">
      <c r="A3143" s="60" t="n"/>
      <c r="B3143" s="63" t="n"/>
      <c r="C3143" s="63" t="n"/>
      <c r="D3143" s="67" t="n"/>
      <c r="E3143" s="68" t="n"/>
      <c r="F3143" s="69" t="n"/>
      <c r="G3143" s="70" t="n"/>
      <c r="H3143" s="62" t="str">
        <f>IF(COUNTA(A3143:G3143)=0,"",IF(C3143&lt;&gt;"",C3143,IF(B3143="","",IFERROR(INDEX(pr_des,MATCH(B3143,pr_code,0))&amp;"",""))))</f>
        <v/>
      </c>
      <c r="I3143" s="59" t="str">
        <f>IF(B3143="","",IFERROR(INDEX(pr_unit,MATCH(B3143,pr_code,0))&amp;"",""))</f>
        <v/>
      </c>
      <c r="J3143" s="65" t="str">
        <f>IF(COUNTA(A3143:G3143)=0,"",IF(E3143&lt;&gt;"",E3143,IF(B3143="","",IFERROR(IF(INDEX(pr_price,MATCH(B3143,pr_code,0))="","",INDEX(pr_price,MATCH(B3143,pr_code,0))),""))))</f>
        <v/>
      </c>
      <c r="K3143" s="71" t="str">
        <f>IF(COUNTA(A3143:G3143)=0,"",IF(G3143&lt;&gt;"",G3143,IF(B3143="","",IFERROR(IF(INDEX(pr_rate,MATCH(B3143,pr_code,0))="","",INDEX(pr_rate,MATCH(B3143,pr_code,0))),""))))</f>
        <v/>
      </c>
      <c r="L3143" s="65" t="str">
        <f>IF(COUNTA(A3143:G3143)=0,"",IF(AND(ISNUMBER(D3143),ISNUMBER(J3143)),ROUND(D3143*J3143*(1-N(F3143)),2),0))</f>
        <v/>
      </c>
      <c r="M3143" s="62" t="str">
        <f>IF(A3143="","",IFERROR(INDEX(fa_cname,MATCH(A3143,fa_num,0))&amp;"",""))</f>
        <v/>
      </c>
      <c r="N3143" s="59" t="str">
        <f>IF(COUNTA(A3143:G3143)=0,"",IF(A3143="","N° facture manquant",IF(ISNA(MATCH(A3143,fa_num,0)),"Facture inconnue",IF(AND(B3143&lt;&gt;"",ISNA(MATCH(B3143,pr_code,0))),"Article inconnu",IF(H3143="","Désignation manquante",IF(OR(NOT(ISNUMBER(D3143)),N(D3143)&lt;=0),"Quantité invalide",IF(J3143="","Prix manquant",IF(OR(NOT(ISNUMBER(J3143)),N(J3143)&lt;0),"Prix invalide",IF(OR(AND(F3143&lt;&gt;"",NOT(ISNUMBER(F3143))),N(F3143)&lt;0,N(F3143)&gt;1),"Remise invalide",IF(K3143="","Taux de TVA manquant",IF(NOT(ISNUMBER(K3143)),"Taux de TVA invalide",IF(COUNTIF(p_rates,K3143)=0,"Taux de TVA hors liste (Paramètres)",IF(N(O3143)&gt;25,"Au-delà de 25 lignes : non imprimée","OK")))))))))))))</f>
        <v/>
      </c>
      <c r="O3143" s="59" t="str">
        <f>IF(A3143="","",COUNTIF($A$6:A3143,A3143))</f>
        <v/>
      </c>
      <c r="P3143" s="62" t="str">
        <f>IF(A3143="","",A3143&amp;"|"&amp;O3143)</f>
        <v/>
      </c>
    </row>
    <row r="3144">
      <c r="A3144" s="60" t="n"/>
      <c r="B3144" s="63" t="n"/>
      <c r="C3144" s="63" t="n"/>
      <c r="D3144" s="67" t="n"/>
      <c r="E3144" s="68" t="n"/>
      <c r="F3144" s="69" t="n"/>
      <c r="G3144" s="70" t="n"/>
      <c r="H3144" s="62" t="str">
        <f>IF(COUNTA(A3144:G3144)=0,"",IF(C3144&lt;&gt;"",C3144,IF(B3144="","",IFERROR(INDEX(pr_des,MATCH(B3144,pr_code,0))&amp;"",""))))</f>
        <v/>
      </c>
      <c r="I3144" s="59" t="str">
        <f>IF(B3144="","",IFERROR(INDEX(pr_unit,MATCH(B3144,pr_code,0))&amp;"",""))</f>
        <v/>
      </c>
      <c r="J3144" s="65" t="str">
        <f>IF(COUNTA(A3144:G3144)=0,"",IF(E3144&lt;&gt;"",E3144,IF(B3144="","",IFERROR(IF(INDEX(pr_price,MATCH(B3144,pr_code,0))="","",INDEX(pr_price,MATCH(B3144,pr_code,0))),""))))</f>
        <v/>
      </c>
      <c r="K3144" s="71" t="str">
        <f>IF(COUNTA(A3144:G3144)=0,"",IF(G3144&lt;&gt;"",G3144,IF(B3144="","",IFERROR(IF(INDEX(pr_rate,MATCH(B3144,pr_code,0))="","",INDEX(pr_rate,MATCH(B3144,pr_code,0))),""))))</f>
        <v/>
      </c>
      <c r="L3144" s="65" t="str">
        <f>IF(COUNTA(A3144:G3144)=0,"",IF(AND(ISNUMBER(D3144),ISNUMBER(J3144)),ROUND(D3144*J3144*(1-N(F3144)),2),0))</f>
        <v/>
      </c>
      <c r="M3144" s="62" t="str">
        <f>IF(A3144="","",IFERROR(INDEX(fa_cname,MATCH(A3144,fa_num,0))&amp;"",""))</f>
        <v/>
      </c>
      <c r="N3144" s="59" t="str">
        <f>IF(COUNTA(A3144:G3144)=0,"",IF(A3144="","N° facture manquant",IF(ISNA(MATCH(A3144,fa_num,0)),"Facture inconnue",IF(AND(B3144&lt;&gt;"",ISNA(MATCH(B3144,pr_code,0))),"Article inconnu",IF(H3144="","Désignation manquante",IF(OR(NOT(ISNUMBER(D3144)),N(D3144)&lt;=0),"Quantité invalide",IF(J3144="","Prix manquant",IF(OR(NOT(ISNUMBER(J3144)),N(J3144)&lt;0),"Prix invalide",IF(OR(AND(F3144&lt;&gt;"",NOT(ISNUMBER(F3144))),N(F3144)&lt;0,N(F3144)&gt;1),"Remise invalide",IF(K3144="","Taux de TVA manquant",IF(NOT(ISNUMBER(K3144)),"Taux de TVA invalide",IF(COUNTIF(p_rates,K3144)=0,"Taux de TVA hors liste (Paramètres)",IF(N(O3144)&gt;25,"Au-delà de 25 lignes : non imprimée","OK")))))))))))))</f>
        <v/>
      </c>
      <c r="O3144" s="59" t="str">
        <f>IF(A3144="","",COUNTIF($A$6:A3144,A3144))</f>
        <v/>
      </c>
      <c r="P3144" s="62" t="str">
        <f>IF(A3144="","",A3144&amp;"|"&amp;O3144)</f>
        <v/>
      </c>
    </row>
    <row r="3145">
      <c r="A3145" s="60" t="n"/>
      <c r="B3145" s="63" t="n"/>
      <c r="C3145" s="63" t="n"/>
      <c r="D3145" s="67" t="n"/>
      <c r="E3145" s="68" t="n"/>
      <c r="F3145" s="69" t="n"/>
      <c r="G3145" s="70" t="n"/>
      <c r="H3145" s="62" t="str">
        <f>IF(COUNTA(A3145:G3145)=0,"",IF(C3145&lt;&gt;"",C3145,IF(B3145="","",IFERROR(INDEX(pr_des,MATCH(B3145,pr_code,0))&amp;"",""))))</f>
        <v/>
      </c>
      <c r="I3145" s="59" t="str">
        <f>IF(B3145="","",IFERROR(INDEX(pr_unit,MATCH(B3145,pr_code,0))&amp;"",""))</f>
        <v/>
      </c>
      <c r="J3145" s="65" t="str">
        <f>IF(COUNTA(A3145:G3145)=0,"",IF(E3145&lt;&gt;"",E3145,IF(B3145="","",IFERROR(IF(INDEX(pr_price,MATCH(B3145,pr_code,0))="","",INDEX(pr_price,MATCH(B3145,pr_code,0))),""))))</f>
        <v/>
      </c>
      <c r="K3145" s="71" t="str">
        <f>IF(COUNTA(A3145:G3145)=0,"",IF(G3145&lt;&gt;"",G3145,IF(B3145="","",IFERROR(IF(INDEX(pr_rate,MATCH(B3145,pr_code,0))="","",INDEX(pr_rate,MATCH(B3145,pr_code,0))),""))))</f>
        <v/>
      </c>
      <c r="L3145" s="65" t="str">
        <f>IF(COUNTA(A3145:G3145)=0,"",IF(AND(ISNUMBER(D3145),ISNUMBER(J3145)),ROUND(D3145*J3145*(1-N(F3145)),2),0))</f>
        <v/>
      </c>
      <c r="M3145" s="62" t="str">
        <f>IF(A3145="","",IFERROR(INDEX(fa_cname,MATCH(A3145,fa_num,0))&amp;"",""))</f>
        <v/>
      </c>
      <c r="N3145" s="59" t="str">
        <f>IF(COUNTA(A3145:G3145)=0,"",IF(A3145="","N° facture manquant",IF(ISNA(MATCH(A3145,fa_num,0)),"Facture inconnue",IF(AND(B3145&lt;&gt;"",ISNA(MATCH(B3145,pr_code,0))),"Article inconnu",IF(H3145="","Désignation manquante",IF(OR(NOT(ISNUMBER(D3145)),N(D3145)&lt;=0),"Quantité invalide",IF(J3145="","Prix manquant",IF(OR(NOT(ISNUMBER(J3145)),N(J3145)&lt;0),"Prix invalide",IF(OR(AND(F3145&lt;&gt;"",NOT(ISNUMBER(F3145))),N(F3145)&lt;0,N(F3145)&gt;1),"Remise invalide",IF(K3145="","Taux de TVA manquant",IF(NOT(ISNUMBER(K3145)),"Taux de TVA invalide",IF(COUNTIF(p_rates,K3145)=0,"Taux de TVA hors liste (Paramètres)",IF(N(O3145)&gt;25,"Au-delà de 25 lignes : non imprimée","OK")))))))))))))</f>
        <v/>
      </c>
      <c r="O3145" s="59" t="str">
        <f>IF(A3145="","",COUNTIF($A$6:A3145,A3145))</f>
        <v/>
      </c>
      <c r="P3145" s="62" t="str">
        <f>IF(A3145="","",A3145&amp;"|"&amp;O3145)</f>
        <v/>
      </c>
    </row>
    <row r="3146">
      <c r="A3146" s="60" t="n"/>
      <c r="B3146" s="63" t="n"/>
      <c r="C3146" s="63" t="n"/>
      <c r="D3146" s="67" t="n"/>
      <c r="E3146" s="68" t="n"/>
      <c r="F3146" s="69" t="n"/>
      <c r="G3146" s="70" t="n"/>
      <c r="H3146" s="62" t="str">
        <f>IF(COUNTA(A3146:G3146)=0,"",IF(C3146&lt;&gt;"",C3146,IF(B3146="","",IFERROR(INDEX(pr_des,MATCH(B3146,pr_code,0))&amp;"",""))))</f>
        <v/>
      </c>
      <c r="I3146" s="59" t="str">
        <f>IF(B3146="","",IFERROR(INDEX(pr_unit,MATCH(B3146,pr_code,0))&amp;"",""))</f>
        <v/>
      </c>
      <c r="J3146" s="65" t="str">
        <f>IF(COUNTA(A3146:G3146)=0,"",IF(E3146&lt;&gt;"",E3146,IF(B3146="","",IFERROR(IF(INDEX(pr_price,MATCH(B3146,pr_code,0))="","",INDEX(pr_price,MATCH(B3146,pr_code,0))),""))))</f>
        <v/>
      </c>
      <c r="K3146" s="71" t="str">
        <f>IF(COUNTA(A3146:G3146)=0,"",IF(G3146&lt;&gt;"",G3146,IF(B3146="","",IFERROR(IF(INDEX(pr_rate,MATCH(B3146,pr_code,0))="","",INDEX(pr_rate,MATCH(B3146,pr_code,0))),""))))</f>
        <v/>
      </c>
      <c r="L3146" s="65" t="str">
        <f>IF(COUNTA(A3146:G3146)=0,"",IF(AND(ISNUMBER(D3146),ISNUMBER(J3146)),ROUND(D3146*J3146*(1-N(F3146)),2),0))</f>
        <v/>
      </c>
      <c r="M3146" s="62" t="str">
        <f>IF(A3146="","",IFERROR(INDEX(fa_cname,MATCH(A3146,fa_num,0))&amp;"",""))</f>
        <v/>
      </c>
      <c r="N3146" s="59" t="str">
        <f>IF(COUNTA(A3146:G3146)=0,"",IF(A3146="","N° facture manquant",IF(ISNA(MATCH(A3146,fa_num,0)),"Facture inconnue",IF(AND(B3146&lt;&gt;"",ISNA(MATCH(B3146,pr_code,0))),"Article inconnu",IF(H3146="","Désignation manquante",IF(OR(NOT(ISNUMBER(D3146)),N(D3146)&lt;=0),"Quantité invalide",IF(J3146="","Prix manquant",IF(OR(NOT(ISNUMBER(J3146)),N(J3146)&lt;0),"Prix invalide",IF(OR(AND(F3146&lt;&gt;"",NOT(ISNUMBER(F3146))),N(F3146)&lt;0,N(F3146)&gt;1),"Remise invalide",IF(K3146="","Taux de TVA manquant",IF(NOT(ISNUMBER(K3146)),"Taux de TVA invalide",IF(COUNTIF(p_rates,K3146)=0,"Taux de TVA hors liste (Paramètres)",IF(N(O3146)&gt;25,"Au-delà de 25 lignes : non imprimée","OK")))))))))))))</f>
        <v/>
      </c>
      <c r="O3146" s="59" t="str">
        <f>IF(A3146="","",COUNTIF($A$6:A3146,A3146))</f>
        <v/>
      </c>
      <c r="P3146" s="62" t="str">
        <f>IF(A3146="","",A3146&amp;"|"&amp;O3146)</f>
        <v/>
      </c>
    </row>
    <row r="3147">
      <c r="A3147" s="60" t="n"/>
      <c r="B3147" s="63" t="n"/>
      <c r="C3147" s="63" t="n"/>
      <c r="D3147" s="67" t="n"/>
      <c r="E3147" s="68" t="n"/>
      <c r="F3147" s="69" t="n"/>
      <c r="G3147" s="70" t="n"/>
      <c r="H3147" s="62" t="str">
        <f>IF(COUNTA(A3147:G3147)=0,"",IF(C3147&lt;&gt;"",C3147,IF(B3147="","",IFERROR(INDEX(pr_des,MATCH(B3147,pr_code,0))&amp;"",""))))</f>
        <v/>
      </c>
      <c r="I3147" s="59" t="str">
        <f>IF(B3147="","",IFERROR(INDEX(pr_unit,MATCH(B3147,pr_code,0))&amp;"",""))</f>
        <v/>
      </c>
      <c r="J3147" s="65" t="str">
        <f>IF(COUNTA(A3147:G3147)=0,"",IF(E3147&lt;&gt;"",E3147,IF(B3147="","",IFERROR(IF(INDEX(pr_price,MATCH(B3147,pr_code,0))="","",INDEX(pr_price,MATCH(B3147,pr_code,0))),""))))</f>
        <v/>
      </c>
      <c r="K3147" s="71" t="str">
        <f>IF(COUNTA(A3147:G3147)=0,"",IF(G3147&lt;&gt;"",G3147,IF(B3147="","",IFERROR(IF(INDEX(pr_rate,MATCH(B3147,pr_code,0))="","",INDEX(pr_rate,MATCH(B3147,pr_code,0))),""))))</f>
        <v/>
      </c>
      <c r="L3147" s="65" t="str">
        <f>IF(COUNTA(A3147:G3147)=0,"",IF(AND(ISNUMBER(D3147),ISNUMBER(J3147)),ROUND(D3147*J3147*(1-N(F3147)),2),0))</f>
        <v/>
      </c>
      <c r="M3147" s="62" t="str">
        <f>IF(A3147="","",IFERROR(INDEX(fa_cname,MATCH(A3147,fa_num,0))&amp;"",""))</f>
        <v/>
      </c>
      <c r="N3147" s="59" t="str">
        <f>IF(COUNTA(A3147:G3147)=0,"",IF(A3147="","N° facture manquant",IF(ISNA(MATCH(A3147,fa_num,0)),"Facture inconnue",IF(AND(B3147&lt;&gt;"",ISNA(MATCH(B3147,pr_code,0))),"Article inconnu",IF(H3147="","Désignation manquante",IF(OR(NOT(ISNUMBER(D3147)),N(D3147)&lt;=0),"Quantité invalide",IF(J3147="","Prix manquant",IF(OR(NOT(ISNUMBER(J3147)),N(J3147)&lt;0),"Prix invalide",IF(OR(AND(F3147&lt;&gt;"",NOT(ISNUMBER(F3147))),N(F3147)&lt;0,N(F3147)&gt;1),"Remise invalide",IF(K3147="","Taux de TVA manquant",IF(NOT(ISNUMBER(K3147)),"Taux de TVA invalide",IF(COUNTIF(p_rates,K3147)=0,"Taux de TVA hors liste (Paramètres)",IF(N(O3147)&gt;25,"Au-delà de 25 lignes : non imprimée","OK")))))))))))))</f>
        <v/>
      </c>
      <c r="O3147" s="59" t="str">
        <f>IF(A3147="","",COUNTIF($A$6:A3147,A3147))</f>
        <v/>
      </c>
      <c r="P3147" s="62" t="str">
        <f>IF(A3147="","",A3147&amp;"|"&amp;O3147)</f>
        <v/>
      </c>
    </row>
    <row r="3148">
      <c r="A3148" s="60" t="n"/>
      <c r="B3148" s="63" t="n"/>
      <c r="C3148" s="63" t="n"/>
      <c r="D3148" s="67" t="n"/>
      <c r="E3148" s="68" t="n"/>
      <c r="F3148" s="69" t="n"/>
      <c r="G3148" s="70" t="n"/>
      <c r="H3148" s="62" t="str">
        <f>IF(COUNTA(A3148:G3148)=0,"",IF(C3148&lt;&gt;"",C3148,IF(B3148="","",IFERROR(INDEX(pr_des,MATCH(B3148,pr_code,0))&amp;"",""))))</f>
        <v/>
      </c>
      <c r="I3148" s="59" t="str">
        <f>IF(B3148="","",IFERROR(INDEX(pr_unit,MATCH(B3148,pr_code,0))&amp;"",""))</f>
        <v/>
      </c>
      <c r="J3148" s="65" t="str">
        <f>IF(COUNTA(A3148:G3148)=0,"",IF(E3148&lt;&gt;"",E3148,IF(B3148="","",IFERROR(IF(INDEX(pr_price,MATCH(B3148,pr_code,0))="","",INDEX(pr_price,MATCH(B3148,pr_code,0))),""))))</f>
        <v/>
      </c>
      <c r="K3148" s="71" t="str">
        <f>IF(COUNTA(A3148:G3148)=0,"",IF(G3148&lt;&gt;"",G3148,IF(B3148="","",IFERROR(IF(INDEX(pr_rate,MATCH(B3148,pr_code,0))="","",INDEX(pr_rate,MATCH(B3148,pr_code,0))),""))))</f>
        <v/>
      </c>
      <c r="L3148" s="65" t="str">
        <f>IF(COUNTA(A3148:G3148)=0,"",IF(AND(ISNUMBER(D3148),ISNUMBER(J3148)),ROUND(D3148*J3148*(1-N(F3148)),2),0))</f>
        <v/>
      </c>
      <c r="M3148" s="62" t="str">
        <f>IF(A3148="","",IFERROR(INDEX(fa_cname,MATCH(A3148,fa_num,0))&amp;"",""))</f>
        <v/>
      </c>
      <c r="N3148" s="59" t="str">
        <f>IF(COUNTA(A3148:G3148)=0,"",IF(A3148="","N° facture manquant",IF(ISNA(MATCH(A3148,fa_num,0)),"Facture inconnue",IF(AND(B3148&lt;&gt;"",ISNA(MATCH(B3148,pr_code,0))),"Article inconnu",IF(H3148="","Désignation manquante",IF(OR(NOT(ISNUMBER(D3148)),N(D3148)&lt;=0),"Quantité invalide",IF(J3148="","Prix manquant",IF(OR(NOT(ISNUMBER(J3148)),N(J3148)&lt;0),"Prix invalide",IF(OR(AND(F3148&lt;&gt;"",NOT(ISNUMBER(F3148))),N(F3148)&lt;0,N(F3148)&gt;1),"Remise invalide",IF(K3148="","Taux de TVA manquant",IF(NOT(ISNUMBER(K3148)),"Taux de TVA invalide",IF(COUNTIF(p_rates,K3148)=0,"Taux de TVA hors liste (Paramètres)",IF(N(O3148)&gt;25,"Au-delà de 25 lignes : non imprimée","OK")))))))))))))</f>
        <v/>
      </c>
      <c r="O3148" s="59" t="str">
        <f>IF(A3148="","",COUNTIF($A$6:A3148,A3148))</f>
        <v/>
      </c>
      <c r="P3148" s="62" t="str">
        <f>IF(A3148="","",A3148&amp;"|"&amp;O3148)</f>
        <v/>
      </c>
    </row>
    <row r="3149">
      <c r="A3149" s="60" t="n"/>
      <c r="B3149" s="63" t="n"/>
      <c r="C3149" s="63" t="n"/>
      <c r="D3149" s="67" t="n"/>
      <c r="E3149" s="68" t="n"/>
      <c r="F3149" s="69" t="n"/>
      <c r="G3149" s="70" t="n"/>
      <c r="H3149" s="62" t="str">
        <f>IF(COUNTA(A3149:G3149)=0,"",IF(C3149&lt;&gt;"",C3149,IF(B3149="","",IFERROR(INDEX(pr_des,MATCH(B3149,pr_code,0))&amp;"",""))))</f>
        <v/>
      </c>
      <c r="I3149" s="59" t="str">
        <f>IF(B3149="","",IFERROR(INDEX(pr_unit,MATCH(B3149,pr_code,0))&amp;"",""))</f>
        <v/>
      </c>
      <c r="J3149" s="65" t="str">
        <f>IF(COUNTA(A3149:G3149)=0,"",IF(E3149&lt;&gt;"",E3149,IF(B3149="","",IFERROR(IF(INDEX(pr_price,MATCH(B3149,pr_code,0))="","",INDEX(pr_price,MATCH(B3149,pr_code,0))),""))))</f>
        <v/>
      </c>
      <c r="K3149" s="71" t="str">
        <f>IF(COUNTA(A3149:G3149)=0,"",IF(G3149&lt;&gt;"",G3149,IF(B3149="","",IFERROR(IF(INDEX(pr_rate,MATCH(B3149,pr_code,0))="","",INDEX(pr_rate,MATCH(B3149,pr_code,0))),""))))</f>
        <v/>
      </c>
      <c r="L3149" s="65" t="str">
        <f>IF(COUNTA(A3149:G3149)=0,"",IF(AND(ISNUMBER(D3149),ISNUMBER(J3149)),ROUND(D3149*J3149*(1-N(F3149)),2),0))</f>
        <v/>
      </c>
      <c r="M3149" s="62" t="str">
        <f>IF(A3149="","",IFERROR(INDEX(fa_cname,MATCH(A3149,fa_num,0))&amp;"",""))</f>
        <v/>
      </c>
      <c r="N3149" s="59" t="str">
        <f>IF(COUNTA(A3149:G3149)=0,"",IF(A3149="","N° facture manquant",IF(ISNA(MATCH(A3149,fa_num,0)),"Facture inconnue",IF(AND(B3149&lt;&gt;"",ISNA(MATCH(B3149,pr_code,0))),"Article inconnu",IF(H3149="","Désignation manquante",IF(OR(NOT(ISNUMBER(D3149)),N(D3149)&lt;=0),"Quantité invalide",IF(J3149="","Prix manquant",IF(OR(NOT(ISNUMBER(J3149)),N(J3149)&lt;0),"Prix invalide",IF(OR(AND(F3149&lt;&gt;"",NOT(ISNUMBER(F3149))),N(F3149)&lt;0,N(F3149)&gt;1),"Remise invalide",IF(K3149="","Taux de TVA manquant",IF(NOT(ISNUMBER(K3149)),"Taux de TVA invalide",IF(COUNTIF(p_rates,K3149)=0,"Taux de TVA hors liste (Paramètres)",IF(N(O3149)&gt;25,"Au-delà de 25 lignes : non imprimée","OK")))))))))))))</f>
        <v/>
      </c>
      <c r="O3149" s="59" t="str">
        <f>IF(A3149="","",COUNTIF($A$6:A3149,A3149))</f>
        <v/>
      </c>
      <c r="P3149" s="62" t="str">
        <f>IF(A3149="","",A3149&amp;"|"&amp;O3149)</f>
        <v/>
      </c>
    </row>
    <row r="3150">
      <c r="A3150" s="60" t="n"/>
      <c r="B3150" s="63" t="n"/>
      <c r="C3150" s="63" t="n"/>
      <c r="D3150" s="67" t="n"/>
      <c r="E3150" s="68" t="n"/>
      <c r="F3150" s="69" t="n"/>
      <c r="G3150" s="70" t="n"/>
      <c r="H3150" s="62" t="str">
        <f>IF(COUNTA(A3150:G3150)=0,"",IF(C3150&lt;&gt;"",C3150,IF(B3150="","",IFERROR(INDEX(pr_des,MATCH(B3150,pr_code,0))&amp;"",""))))</f>
        <v/>
      </c>
      <c r="I3150" s="59" t="str">
        <f>IF(B3150="","",IFERROR(INDEX(pr_unit,MATCH(B3150,pr_code,0))&amp;"",""))</f>
        <v/>
      </c>
      <c r="J3150" s="65" t="str">
        <f>IF(COUNTA(A3150:G3150)=0,"",IF(E3150&lt;&gt;"",E3150,IF(B3150="","",IFERROR(IF(INDEX(pr_price,MATCH(B3150,pr_code,0))="","",INDEX(pr_price,MATCH(B3150,pr_code,0))),""))))</f>
        <v/>
      </c>
      <c r="K3150" s="71" t="str">
        <f>IF(COUNTA(A3150:G3150)=0,"",IF(G3150&lt;&gt;"",G3150,IF(B3150="","",IFERROR(IF(INDEX(pr_rate,MATCH(B3150,pr_code,0))="","",INDEX(pr_rate,MATCH(B3150,pr_code,0))),""))))</f>
        <v/>
      </c>
      <c r="L3150" s="65" t="str">
        <f>IF(COUNTA(A3150:G3150)=0,"",IF(AND(ISNUMBER(D3150),ISNUMBER(J3150)),ROUND(D3150*J3150*(1-N(F3150)),2),0))</f>
        <v/>
      </c>
      <c r="M3150" s="62" t="str">
        <f>IF(A3150="","",IFERROR(INDEX(fa_cname,MATCH(A3150,fa_num,0))&amp;"",""))</f>
        <v/>
      </c>
      <c r="N3150" s="59" t="str">
        <f>IF(COUNTA(A3150:G3150)=0,"",IF(A3150="","N° facture manquant",IF(ISNA(MATCH(A3150,fa_num,0)),"Facture inconnue",IF(AND(B3150&lt;&gt;"",ISNA(MATCH(B3150,pr_code,0))),"Article inconnu",IF(H3150="","Désignation manquante",IF(OR(NOT(ISNUMBER(D3150)),N(D3150)&lt;=0),"Quantité invalide",IF(J3150="","Prix manquant",IF(OR(NOT(ISNUMBER(J3150)),N(J3150)&lt;0),"Prix invalide",IF(OR(AND(F3150&lt;&gt;"",NOT(ISNUMBER(F3150))),N(F3150)&lt;0,N(F3150)&gt;1),"Remise invalide",IF(K3150="","Taux de TVA manquant",IF(NOT(ISNUMBER(K3150)),"Taux de TVA invalide",IF(COUNTIF(p_rates,K3150)=0,"Taux de TVA hors liste (Paramètres)",IF(N(O3150)&gt;25,"Au-delà de 25 lignes : non imprimée","OK")))))))))))))</f>
        <v/>
      </c>
      <c r="O3150" s="59" t="str">
        <f>IF(A3150="","",COUNTIF($A$6:A3150,A3150))</f>
        <v/>
      </c>
      <c r="P3150" s="62" t="str">
        <f>IF(A3150="","",A3150&amp;"|"&amp;O3150)</f>
        <v/>
      </c>
    </row>
    <row r="3151">
      <c r="A3151" s="60" t="n"/>
      <c r="B3151" s="63" t="n"/>
      <c r="C3151" s="63" t="n"/>
      <c r="D3151" s="67" t="n"/>
      <c r="E3151" s="68" t="n"/>
      <c r="F3151" s="69" t="n"/>
      <c r="G3151" s="70" t="n"/>
      <c r="H3151" s="62" t="str">
        <f>IF(COUNTA(A3151:G3151)=0,"",IF(C3151&lt;&gt;"",C3151,IF(B3151="","",IFERROR(INDEX(pr_des,MATCH(B3151,pr_code,0))&amp;"",""))))</f>
        <v/>
      </c>
      <c r="I3151" s="59" t="str">
        <f>IF(B3151="","",IFERROR(INDEX(pr_unit,MATCH(B3151,pr_code,0))&amp;"",""))</f>
        <v/>
      </c>
      <c r="J3151" s="65" t="str">
        <f>IF(COUNTA(A3151:G3151)=0,"",IF(E3151&lt;&gt;"",E3151,IF(B3151="","",IFERROR(IF(INDEX(pr_price,MATCH(B3151,pr_code,0))="","",INDEX(pr_price,MATCH(B3151,pr_code,0))),""))))</f>
        <v/>
      </c>
      <c r="K3151" s="71" t="str">
        <f>IF(COUNTA(A3151:G3151)=0,"",IF(G3151&lt;&gt;"",G3151,IF(B3151="","",IFERROR(IF(INDEX(pr_rate,MATCH(B3151,pr_code,0))="","",INDEX(pr_rate,MATCH(B3151,pr_code,0))),""))))</f>
        <v/>
      </c>
      <c r="L3151" s="65" t="str">
        <f>IF(COUNTA(A3151:G3151)=0,"",IF(AND(ISNUMBER(D3151),ISNUMBER(J3151)),ROUND(D3151*J3151*(1-N(F3151)),2),0))</f>
        <v/>
      </c>
      <c r="M3151" s="62" t="str">
        <f>IF(A3151="","",IFERROR(INDEX(fa_cname,MATCH(A3151,fa_num,0))&amp;"",""))</f>
        <v/>
      </c>
      <c r="N3151" s="59" t="str">
        <f>IF(COUNTA(A3151:G3151)=0,"",IF(A3151="","N° facture manquant",IF(ISNA(MATCH(A3151,fa_num,0)),"Facture inconnue",IF(AND(B3151&lt;&gt;"",ISNA(MATCH(B3151,pr_code,0))),"Article inconnu",IF(H3151="","Désignation manquante",IF(OR(NOT(ISNUMBER(D3151)),N(D3151)&lt;=0),"Quantité invalide",IF(J3151="","Prix manquant",IF(OR(NOT(ISNUMBER(J3151)),N(J3151)&lt;0),"Prix invalide",IF(OR(AND(F3151&lt;&gt;"",NOT(ISNUMBER(F3151))),N(F3151)&lt;0,N(F3151)&gt;1),"Remise invalide",IF(K3151="","Taux de TVA manquant",IF(NOT(ISNUMBER(K3151)),"Taux de TVA invalide",IF(COUNTIF(p_rates,K3151)=0,"Taux de TVA hors liste (Paramètres)",IF(N(O3151)&gt;25,"Au-delà de 25 lignes : non imprimée","OK")))))))))))))</f>
        <v/>
      </c>
      <c r="O3151" s="59" t="str">
        <f>IF(A3151="","",COUNTIF($A$6:A3151,A3151))</f>
        <v/>
      </c>
      <c r="P3151" s="62" t="str">
        <f>IF(A3151="","",A3151&amp;"|"&amp;O3151)</f>
        <v/>
      </c>
    </row>
    <row r="3152">
      <c r="A3152" s="60" t="n"/>
      <c r="B3152" s="63" t="n"/>
      <c r="C3152" s="63" t="n"/>
      <c r="D3152" s="67" t="n"/>
      <c r="E3152" s="68" t="n"/>
      <c r="F3152" s="69" t="n"/>
      <c r="G3152" s="70" t="n"/>
      <c r="H3152" s="62" t="str">
        <f>IF(COUNTA(A3152:G3152)=0,"",IF(C3152&lt;&gt;"",C3152,IF(B3152="","",IFERROR(INDEX(pr_des,MATCH(B3152,pr_code,0))&amp;"",""))))</f>
        <v/>
      </c>
      <c r="I3152" s="59" t="str">
        <f>IF(B3152="","",IFERROR(INDEX(pr_unit,MATCH(B3152,pr_code,0))&amp;"",""))</f>
        <v/>
      </c>
      <c r="J3152" s="65" t="str">
        <f>IF(COUNTA(A3152:G3152)=0,"",IF(E3152&lt;&gt;"",E3152,IF(B3152="","",IFERROR(IF(INDEX(pr_price,MATCH(B3152,pr_code,0))="","",INDEX(pr_price,MATCH(B3152,pr_code,0))),""))))</f>
        <v/>
      </c>
      <c r="K3152" s="71" t="str">
        <f>IF(COUNTA(A3152:G3152)=0,"",IF(G3152&lt;&gt;"",G3152,IF(B3152="","",IFERROR(IF(INDEX(pr_rate,MATCH(B3152,pr_code,0))="","",INDEX(pr_rate,MATCH(B3152,pr_code,0))),""))))</f>
        <v/>
      </c>
      <c r="L3152" s="65" t="str">
        <f>IF(COUNTA(A3152:G3152)=0,"",IF(AND(ISNUMBER(D3152),ISNUMBER(J3152)),ROUND(D3152*J3152*(1-N(F3152)),2),0))</f>
        <v/>
      </c>
      <c r="M3152" s="62" t="str">
        <f>IF(A3152="","",IFERROR(INDEX(fa_cname,MATCH(A3152,fa_num,0))&amp;"",""))</f>
        <v/>
      </c>
      <c r="N3152" s="59" t="str">
        <f>IF(COUNTA(A3152:G3152)=0,"",IF(A3152="","N° facture manquant",IF(ISNA(MATCH(A3152,fa_num,0)),"Facture inconnue",IF(AND(B3152&lt;&gt;"",ISNA(MATCH(B3152,pr_code,0))),"Article inconnu",IF(H3152="","Désignation manquante",IF(OR(NOT(ISNUMBER(D3152)),N(D3152)&lt;=0),"Quantité invalide",IF(J3152="","Prix manquant",IF(OR(NOT(ISNUMBER(J3152)),N(J3152)&lt;0),"Prix invalide",IF(OR(AND(F3152&lt;&gt;"",NOT(ISNUMBER(F3152))),N(F3152)&lt;0,N(F3152)&gt;1),"Remise invalide",IF(K3152="","Taux de TVA manquant",IF(NOT(ISNUMBER(K3152)),"Taux de TVA invalide",IF(COUNTIF(p_rates,K3152)=0,"Taux de TVA hors liste (Paramètres)",IF(N(O3152)&gt;25,"Au-delà de 25 lignes : non imprimée","OK")))))))))))))</f>
        <v/>
      </c>
      <c r="O3152" s="59" t="str">
        <f>IF(A3152="","",COUNTIF($A$6:A3152,A3152))</f>
        <v/>
      </c>
      <c r="P3152" s="62" t="str">
        <f>IF(A3152="","",A3152&amp;"|"&amp;O3152)</f>
        <v/>
      </c>
    </row>
    <row r="3153">
      <c r="A3153" s="60" t="n"/>
      <c r="B3153" s="63" t="n"/>
      <c r="C3153" s="63" t="n"/>
      <c r="D3153" s="67" t="n"/>
      <c r="E3153" s="68" t="n"/>
      <c r="F3153" s="69" t="n"/>
      <c r="G3153" s="70" t="n"/>
      <c r="H3153" s="62" t="str">
        <f>IF(COUNTA(A3153:G3153)=0,"",IF(C3153&lt;&gt;"",C3153,IF(B3153="","",IFERROR(INDEX(pr_des,MATCH(B3153,pr_code,0))&amp;"",""))))</f>
        <v/>
      </c>
      <c r="I3153" s="59" t="str">
        <f>IF(B3153="","",IFERROR(INDEX(pr_unit,MATCH(B3153,pr_code,0))&amp;"",""))</f>
        <v/>
      </c>
      <c r="J3153" s="65" t="str">
        <f>IF(COUNTA(A3153:G3153)=0,"",IF(E3153&lt;&gt;"",E3153,IF(B3153="","",IFERROR(IF(INDEX(pr_price,MATCH(B3153,pr_code,0))="","",INDEX(pr_price,MATCH(B3153,pr_code,0))),""))))</f>
        <v/>
      </c>
      <c r="K3153" s="71" t="str">
        <f>IF(COUNTA(A3153:G3153)=0,"",IF(G3153&lt;&gt;"",G3153,IF(B3153="","",IFERROR(IF(INDEX(pr_rate,MATCH(B3153,pr_code,0))="","",INDEX(pr_rate,MATCH(B3153,pr_code,0))),""))))</f>
        <v/>
      </c>
      <c r="L3153" s="65" t="str">
        <f>IF(COUNTA(A3153:G3153)=0,"",IF(AND(ISNUMBER(D3153),ISNUMBER(J3153)),ROUND(D3153*J3153*(1-N(F3153)),2),0))</f>
        <v/>
      </c>
      <c r="M3153" s="62" t="str">
        <f>IF(A3153="","",IFERROR(INDEX(fa_cname,MATCH(A3153,fa_num,0))&amp;"",""))</f>
        <v/>
      </c>
      <c r="N3153" s="59" t="str">
        <f>IF(COUNTA(A3153:G3153)=0,"",IF(A3153="","N° facture manquant",IF(ISNA(MATCH(A3153,fa_num,0)),"Facture inconnue",IF(AND(B3153&lt;&gt;"",ISNA(MATCH(B3153,pr_code,0))),"Article inconnu",IF(H3153="","Désignation manquante",IF(OR(NOT(ISNUMBER(D3153)),N(D3153)&lt;=0),"Quantité invalide",IF(J3153="","Prix manquant",IF(OR(NOT(ISNUMBER(J3153)),N(J3153)&lt;0),"Prix invalide",IF(OR(AND(F3153&lt;&gt;"",NOT(ISNUMBER(F3153))),N(F3153)&lt;0,N(F3153)&gt;1),"Remise invalide",IF(K3153="","Taux de TVA manquant",IF(NOT(ISNUMBER(K3153)),"Taux de TVA invalide",IF(COUNTIF(p_rates,K3153)=0,"Taux de TVA hors liste (Paramètres)",IF(N(O3153)&gt;25,"Au-delà de 25 lignes : non imprimée","OK")))))))))))))</f>
        <v/>
      </c>
      <c r="O3153" s="59" t="str">
        <f>IF(A3153="","",COUNTIF($A$6:A3153,A3153))</f>
        <v/>
      </c>
      <c r="P3153" s="62" t="str">
        <f>IF(A3153="","",A3153&amp;"|"&amp;O3153)</f>
        <v/>
      </c>
    </row>
    <row r="3154">
      <c r="A3154" s="60" t="n"/>
      <c r="B3154" s="63" t="n"/>
      <c r="C3154" s="63" t="n"/>
      <c r="D3154" s="67" t="n"/>
      <c r="E3154" s="68" t="n"/>
      <c r="F3154" s="69" t="n"/>
      <c r="G3154" s="70" t="n"/>
      <c r="H3154" s="62" t="str">
        <f>IF(COUNTA(A3154:G3154)=0,"",IF(C3154&lt;&gt;"",C3154,IF(B3154="","",IFERROR(INDEX(pr_des,MATCH(B3154,pr_code,0))&amp;"",""))))</f>
        <v/>
      </c>
      <c r="I3154" s="59" t="str">
        <f>IF(B3154="","",IFERROR(INDEX(pr_unit,MATCH(B3154,pr_code,0))&amp;"",""))</f>
        <v/>
      </c>
      <c r="J3154" s="65" t="str">
        <f>IF(COUNTA(A3154:G3154)=0,"",IF(E3154&lt;&gt;"",E3154,IF(B3154="","",IFERROR(IF(INDEX(pr_price,MATCH(B3154,pr_code,0))="","",INDEX(pr_price,MATCH(B3154,pr_code,0))),""))))</f>
        <v/>
      </c>
      <c r="K3154" s="71" t="str">
        <f>IF(COUNTA(A3154:G3154)=0,"",IF(G3154&lt;&gt;"",G3154,IF(B3154="","",IFERROR(IF(INDEX(pr_rate,MATCH(B3154,pr_code,0))="","",INDEX(pr_rate,MATCH(B3154,pr_code,0))),""))))</f>
        <v/>
      </c>
      <c r="L3154" s="65" t="str">
        <f>IF(COUNTA(A3154:G3154)=0,"",IF(AND(ISNUMBER(D3154),ISNUMBER(J3154)),ROUND(D3154*J3154*(1-N(F3154)),2),0))</f>
        <v/>
      </c>
      <c r="M3154" s="62" t="str">
        <f>IF(A3154="","",IFERROR(INDEX(fa_cname,MATCH(A3154,fa_num,0))&amp;"",""))</f>
        <v/>
      </c>
      <c r="N3154" s="59" t="str">
        <f>IF(COUNTA(A3154:G3154)=0,"",IF(A3154="","N° facture manquant",IF(ISNA(MATCH(A3154,fa_num,0)),"Facture inconnue",IF(AND(B3154&lt;&gt;"",ISNA(MATCH(B3154,pr_code,0))),"Article inconnu",IF(H3154="","Désignation manquante",IF(OR(NOT(ISNUMBER(D3154)),N(D3154)&lt;=0),"Quantité invalide",IF(J3154="","Prix manquant",IF(OR(NOT(ISNUMBER(J3154)),N(J3154)&lt;0),"Prix invalide",IF(OR(AND(F3154&lt;&gt;"",NOT(ISNUMBER(F3154))),N(F3154)&lt;0,N(F3154)&gt;1),"Remise invalide",IF(K3154="","Taux de TVA manquant",IF(NOT(ISNUMBER(K3154)),"Taux de TVA invalide",IF(COUNTIF(p_rates,K3154)=0,"Taux de TVA hors liste (Paramètres)",IF(N(O3154)&gt;25,"Au-delà de 25 lignes : non imprimée","OK")))))))))))))</f>
        <v/>
      </c>
      <c r="O3154" s="59" t="str">
        <f>IF(A3154="","",COUNTIF($A$6:A3154,A3154))</f>
        <v/>
      </c>
      <c r="P3154" s="62" t="str">
        <f>IF(A3154="","",A3154&amp;"|"&amp;O3154)</f>
        <v/>
      </c>
    </row>
    <row r="3155">
      <c r="A3155" s="60" t="n"/>
      <c r="B3155" s="63" t="n"/>
      <c r="C3155" s="63" t="n"/>
      <c r="D3155" s="67" t="n"/>
      <c r="E3155" s="68" t="n"/>
      <c r="F3155" s="69" t="n"/>
      <c r="G3155" s="70" t="n"/>
      <c r="H3155" s="62" t="str">
        <f>IF(COUNTA(A3155:G3155)=0,"",IF(C3155&lt;&gt;"",C3155,IF(B3155="","",IFERROR(INDEX(pr_des,MATCH(B3155,pr_code,0))&amp;"",""))))</f>
        <v/>
      </c>
      <c r="I3155" s="59" t="str">
        <f>IF(B3155="","",IFERROR(INDEX(pr_unit,MATCH(B3155,pr_code,0))&amp;"",""))</f>
        <v/>
      </c>
      <c r="J3155" s="65" t="str">
        <f>IF(COUNTA(A3155:G3155)=0,"",IF(E3155&lt;&gt;"",E3155,IF(B3155="","",IFERROR(IF(INDEX(pr_price,MATCH(B3155,pr_code,0))="","",INDEX(pr_price,MATCH(B3155,pr_code,0))),""))))</f>
        <v/>
      </c>
      <c r="K3155" s="71" t="str">
        <f>IF(COUNTA(A3155:G3155)=0,"",IF(G3155&lt;&gt;"",G3155,IF(B3155="","",IFERROR(IF(INDEX(pr_rate,MATCH(B3155,pr_code,0))="","",INDEX(pr_rate,MATCH(B3155,pr_code,0))),""))))</f>
        <v/>
      </c>
      <c r="L3155" s="65" t="str">
        <f>IF(COUNTA(A3155:G3155)=0,"",IF(AND(ISNUMBER(D3155),ISNUMBER(J3155)),ROUND(D3155*J3155*(1-N(F3155)),2),0))</f>
        <v/>
      </c>
      <c r="M3155" s="62" t="str">
        <f>IF(A3155="","",IFERROR(INDEX(fa_cname,MATCH(A3155,fa_num,0))&amp;"",""))</f>
        <v/>
      </c>
      <c r="N3155" s="59" t="str">
        <f>IF(COUNTA(A3155:G3155)=0,"",IF(A3155="","N° facture manquant",IF(ISNA(MATCH(A3155,fa_num,0)),"Facture inconnue",IF(AND(B3155&lt;&gt;"",ISNA(MATCH(B3155,pr_code,0))),"Article inconnu",IF(H3155="","Désignation manquante",IF(OR(NOT(ISNUMBER(D3155)),N(D3155)&lt;=0),"Quantité invalide",IF(J3155="","Prix manquant",IF(OR(NOT(ISNUMBER(J3155)),N(J3155)&lt;0),"Prix invalide",IF(OR(AND(F3155&lt;&gt;"",NOT(ISNUMBER(F3155))),N(F3155)&lt;0,N(F3155)&gt;1),"Remise invalide",IF(K3155="","Taux de TVA manquant",IF(NOT(ISNUMBER(K3155)),"Taux de TVA invalide",IF(COUNTIF(p_rates,K3155)=0,"Taux de TVA hors liste (Paramètres)",IF(N(O3155)&gt;25,"Au-delà de 25 lignes : non imprimée","OK")))))))))))))</f>
        <v/>
      </c>
      <c r="O3155" s="59" t="str">
        <f>IF(A3155="","",COUNTIF($A$6:A3155,A3155))</f>
        <v/>
      </c>
      <c r="P3155" s="62" t="str">
        <f>IF(A3155="","",A3155&amp;"|"&amp;O3155)</f>
        <v/>
      </c>
    </row>
    <row r="3156">
      <c r="A3156" s="60" t="n"/>
      <c r="B3156" s="63" t="n"/>
      <c r="C3156" s="63" t="n"/>
      <c r="D3156" s="67" t="n"/>
      <c r="E3156" s="68" t="n"/>
      <c r="F3156" s="69" t="n"/>
      <c r="G3156" s="70" t="n"/>
      <c r="H3156" s="62" t="str">
        <f>IF(COUNTA(A3156:G3156)=0,"",IF(C3156&lt;&gt;"",C3156,IF(B3156="","",IFERROR(INDEX(pr_des,MATCH(B3156,pr_code,0))&amp;"",""))))</f>
        <v/>
      </c>
      <c r="I3156" s="59" t="str">
        <f>IF(B3156="","",IFERROR(INDEX(pr_unit,MATCH(B3156,pr_code,0))&amp;"",""))</f>
        <v/>
      </c>
      <c r="J3156" s="65" t="str">
        <f>IF(COUNTA(A3156:G3156)=0,"",IF(E3156&lt;&gt;"",E3156,IF(B3156="","",IFERROR(IF(INDEX(pr_price,MATCH(B3156,pr_code,0))="","",INDEX(pr_price,MATCH(B3156,pr_code,0))),""))))</f>
        <v/>
      </c>
      <c r="K3156" s="71" t="str">
        <f>IF(COUNTA(A3156:G3156)=0,"",IF(G3156&lt;&gt;"",G3156,IF(B3156="","",IFERROR(IF(INDEX(pr_rate,MATCH(B3156,pr_code,0))="","",INDEX(pr_rate,MATCH(B3156,pr_code,0))),""))))</f>
        <v/>
      </c>
      <c r="L3156" s="65" t="str">
        <f>IF(COUNTA(A3156:G3156)=0,"",IF(AND(ISNUMBER(D3156),ISNUMBER(J3156)),ROUND(D3156*J3156*(1-N(F3156)),2),0))</f>
        <v/>
      </c>
      <c r="M3156" s="62" t="str">
        <f>IF(A3156="","",IFERROR(INDEX(fa_cname,MATCH(A3156,fa_num,0))&amp;"",""))</f>
        <v/>
      </c>
      <c r="N3156" s="59" t="str">
        <f>IF(COUNTA(A3156:G3156)=0,"",IF(A3156="","N° facture manquant",IF(ISNA(MATCH(A3156,fa_num,0)),"Facture inconnue",IF(AND(B3156&lt;&gt;"",ISNA(MATCH(B3156,pr_code,0))),"Article inconnu",IF(H3156="","Désignation manquante",IF(OR(NOT(ISNUMBER(D3156)),N(D3156)&lt;=0),"Quantité invalide",IF(J3156="","Prix manquant",IF(OR(NOT(ISNUMBER(J3156)),N(J3156)&lt;0),"Prix invalide",IF(OR(AND(F3156&lt;&gt;"",NOT(ISNUMBER(F3156))),N(F3156)&lt;0,N(F3156)&gt;1),"Remise invalide",IF(K3156="","Taux de TVA manquant",IF(NOT(ISNUMBER(K3156)),"Taux de TVA invalide",IF(COUNTIF(p_rates,K3156)=0,"Taux de TVA hors liste (Paramètres)",IF(N(O3156)&gt;25,"Au-delà de 25 lignes : non imprimée","OK")))))))))))))</f>
        <v/>
      </c>
      <c r="O3156" s="59" t="str">
        <f>IF(A3156="","",COUNTIF($A$6:A3156,A3156))</f>
        <v/>
      </c>
      <c r="P3156" s="62" t="str">
        <f>IF(A3156="","",A3156&amp;"|"&amp;O3156)</f>
        <v/>
      </c>
    </row>
    <row r="3157">
      <c r="A3157" s="60" t="n"/>
      <c r="B3157" s="63" t="n"/>
      <c r="C3157" s="63" t="n"/>
      <c r="D3157" s="67" t="n"/>
      <c r="E3157" s="68" t="n"/>
      <c r="F3157" s="69" t="n"/>
      <c r="G3157" s="70" t="n"/>
      <c r="H3157" s="62" t="str">
        <f>IF(COUNTA(A3157:G3157)=0,"",IF(C3157&lt;&gt;"",C3157,IF(B3157="","",IFERROR(INDEX(pr_des,MATCH(B3157,pr_code,0))&amp;"",""))))</f>
        <v/>
      </c>
      <c r="I3157" s="59" t="str">
        <f>IF(B3157="","",IFERROR(INDEX(pr_unit,MATCH(B3157,pr_code,0))&amp;"",""))</f>
        <v/>
      </c>
      <c r="J3157" s="65" t="str">
        <f>IF(COUNTA(A3157:G3157)=0,"",IF(E3157&lt;&gt;"",E3157,IF(B3157="","",IFERROR(IF(INDEX(pr_price,MATCH(B3157,pr_code,0))="","",INDEX(pr_price,MATCH(B3157,pr_code,0))),""))))</f>
        <v/>
      </c>
      <c r="K3157" s="71" t="str">
        <f>IF(COUNTA(A3157:G3157)=0,"",IF(G3157&lt;&gt;"",G3157,IF(B3157="","",IFERROR(IF(INDEX(pr_rate,MATCH(B3157,pr_code,0))="","",INDEX(pr_rate,MATCH(B3157,pr_code,0))),""))))</f>
        <v/>
      </c>
      <c r="L3157" s="65" t="str">
        <f>IF(COUNTA(A3157:G3157)=0,"",IF(AND(ISNUMBER(D3157),ISNUMBER(J3157)),ROUND(D3157*J3157*(1-N(F3157)),2),0))</f>
        <v/>
      </c>
      <c r="M3157" s="62" t="str">
        <f>IF(A3157="","",IFERROR(INDEX(fa_cname,MATCH(A3157,fa_num,0))&amp;"",""))</f>
        <v/>
      </c>
      <c r="N3157" s="59" t="str">
        <f>IF(COUNTA(A3157:G3157)=0,"",IF(A3157="","N° facture manquant",IF(ISNA(MATCH(A3157,fa_num,0)),"Facture inconnue",IF(AND(B3157&lt;&gt;"",ISNA(MATCH(B3157,pr_code,0))),"Article inconnu",IF(H3157="","Désignation manquante",IF(OR(NOT(ISNUMBER(D3157)),N(D3157)&lt;=0),"Quantité invalide",IF(J3157="","Prix manquant",IF(OR(NOT(ISNUMBER(J3157)),N(J3157)&lt;0),"Prix invalide",IF(OR(AND(F3157&lt;&gt;"",NOT(ISNUMBER(F3157))),N(F3157)&lt;0,N(F3157)&gt;1),"Remise invalide",IF(K3157="","Taux de TVA manquant",IF(NOT(ISNUMBER(K3157)),"Taux de TVA invalide",IF(COUNTIF(p_rates,K3157)=0,"Taux de TVA hors liste (Paramètres)",IF(N(O3157)&gt;25,"Au-delà de 25 lignes : non imprimée","OK")))))))))))))</f>
        <v/>
      </c>
      <c r="O3157" s="59" t="str">
        <f>IF(A3157="","",COUNTIF($A$6:A3157,A3157))</f>
        <v/>
      </c>
      <c r="P3157" s="62" t="str">
        <f>IF(A3157="","",A3157&amp;"|"&amp;O3157)</f>
        <v/>
      </c>
    </row>
    <row r="3158">
      <c r="A3158" s="60" t="n"/>
      <c r="B3158" s="63" t="n"/>
      <c r="C3158" s="63" t="n"/>
      <c r="D3158" s="67" t="n"/>
      <c r="E3158" s="68" t="n"/>
      <c r="F3158" s="69" t="n"/>
      <c r="G3158" s="70" t="n"/>
      <c r="H3158" s="62" t="str">
        <f>IF(COUNTA(A3158:G3158)=0,"",IF(C3158&lt;&gt;"",C3158,IF(B3158="","",IFERROR(INDEX(pr_des,MATCH(B3158,pr_code,0))&amp;"",""))))</f>
        <v/>
      </c>
      <c r="I3158" s="59" t="str">
        <f>IF(B3158="","",IFERROR(INDEX(pr_unit,MATCH(B3158,pr_code,0))&amp;"",""))</f>
        <v/>
      </c>
      <c r="J3158" s="65" t="str">
        <f>IF(COUNTA(A3158:G3158)=0,"",IF(E3158&lt;&gt;"",E3158,IF(B3158="","",IFERROR(IF(INDEX(pr_price,MATCH(B3158,pr_code,0))="","",INDEX(pr_price,MATCH(B3158,pr_code,0))),""))))</f>
        <v/>
      </c>
      <c r="K3158" s="71" t="str">
        <f>IF(COUNTA(A3158:G3158)=0,"",IF(G3158&lt;&gt;"",G3158,IF(B3158="","",IFERROR(IF(INDEX(pr_rate,MATCH(B3158,pr_code,0))="","",INDEX(pr_rate,MATCH(B3158,pr_code,0))),""))))</f>
        <v/>
      </c>
      <c r="L3158" s="65" t="str">
        <f>IF(COUNTA(A3158:G3158)=0,"",IF(AND(ISNUMBER(D3158),ISNUMBER(J3158)),ROUND(D3158*J3158*(1-N(F3158)),2),0))</f>
        <v/>
      </c>
      <c r="M3158" s="62" t="str">
        <f>IF(A3158="","",IFERROR(INDEX(fa_cname,MATCH(A3158,fa_num,0))&amp;"",""))</f>
        <v/>
      </c>
      <c r="N3158" s="59" t="str">
        <f>IF(COUNTA(A3158:G3158)=0,"",IF(A3158="","N° facture manquant",IF(ISNA(MATCH(A3158,fa_num,0)),"Facture inconnue",IF(AND(B3158&lt;&gt;"",ISNA(MATCH(B3158,pr_code,0))),"Article inconnu",IF(H3158="","Désignation manquante",IF(OR(NOT(ISNUMBER(D3158)),N(D3158)&lt;=0),"Quantité invalide",IF(J3158="","Prix manquant",IF(OR(NOT(ISNUMBER(J3158)),N(J3158)&lt;0),"Prix invalide",IF(OR(AND(F3158&lt;&gt;"",NOT(ISNUMBER(F3158))),N(F3158)&lt;0,N(F3158)&gt;1),"Remise invalide",IF(K3158="","Taux de TVA manquant",IF(NOT(ISNUMBER(K3158)),"Taux de TVA invalide",IF(COUNTIF(p_rates,K3158)=0,"Taux de TVA hors liste (Paramètres)",IF(N(O3158)&gt;25,"Au-delà de 25 lignes : non imprimée","OK")))))))))))))</f>
        <v/>
      </c>
      <c r="O3158" s="59" t="str">
        <f>IF(A3158="","",COUNTIF($A$6:A3158,A3158))</f>
        <v/>
      </c>
      <c r="P3158" s="62" t="str">
        <f>IF(A3158="","",A3158&amp;"|"&amp;O3158)</f>
        <v/>
      </c>
    </row>
    <row r="3159">
      <c r="A3159" s="60" t="n"/>
      <c r="B3159" s="63" t="n"/>
      <c r="C3159" s="63" t="n"/>
      <c r="D3159" s="67" t="n"/>
      <c r="E3159" s="68" t="n"/>
      <c r="F3159" s="69" t="n"/>
      <c r="G3159" s="70" t="n"/>
      <c r="H3159" s="62" t="str">
        <f>IF(COUNTA(A3159:G3159)=0,"",IF(C3159&lt;&gt;"",C3159,IF(B3159="","",IFERROR(INDEX(pr_des,MATCH(B3159,pr_code,0))&amp;"",""))))</f>
        <v/>
      </c>
      <c r="I3159" s="59" t="str">
        <f>IF(B3159="","",IFERROR(INDEX(pr_unit,MATCH(B3159,pr_code,0))&amp;"",""))</f>
        <v/>
      </c>
      <c r="J3159" s="65" t="str">
        <f>IF(COUNTA(A3159:G3159)=0,"",IF(E3159&lt;&gt;"",E3159,IF(B3159="","",IFERROR(IF(INDEX(pr_price,MATCH(B3159,pr_code,0))="","",INDEX(pr_price,MATCH(B3159,pr_code,0))),""))))</f>
        <v/>
      </c>
      <c r="K3159" s="71" t="str">
        <f>IF(COUNTA(A3159:G3159)=0,"",IF(G3159&lt;&gt;"",G3159,IF(B3159="","",IFERROR(IF(INDEX(pr_rate,MATCH(B3159,pr_code,0))="","",INDEX(pr_rate,MATCH(B3159,pr_code,0))),""))))</f>
        <v/>
      </c>
      <c r="L3159" s="65" t="str">
        <f>IF(COUNTA(A3159:G3159)=0,"",IF(AND(ISNUMBER(D3159),ISNUMBER(J3159)),ROUND(D3159*J3159*(1-N(F3159)),2),0))</f>
        <v/>
      </c>
      <c r="M3159" s="62" t="str">
        <f>IF(A3159="","",IFERROR(INDEX(fa_cname,MATCH(A3159,fa_num,0))&amp;"",""))</f>
        <v/>
      </c>
      <c r="N3159" s="59" t="str">
        <f>IF(COUNTA(A3159:G3159)=0,"",IF(A3159="","N° facture manquant",IF(ISNA(MATCH(A3159,fa_num,0)),"Facture inconnue",IF(AND(B3159&lt;&gt;"",ISNA(MATCH(B3159,pr_code,0))),"Article inconnu",IF(H3159="","Désignation manquante",IF(OR(NOT(ISNUMBER(D3159)),N(D3159)&lt;=0),"Quantité invalide",IF(J3159="","Prix manquant",IF(OR(NOT(ISNUMBER(J3159)),N(J3159)&lt;0),"Prix invalide",IF(OR(AND(F3159&lt;&gt;"",NOT(ISNUMBER(F3159))),N(F3159)&lt;0,N(F3159)&gt;1),"Remise invalide",IF(K3159="","Taux de TVA manquant",IF(NOT(ISNUMBER(K3159)),"Taux de TVA invalide",IF(COUNTIF(p_rates,K3159)=0,"Taux de TVA hors liste (Paramètres)",IF(N(O3159)&gt;25,"Au-delà de 25 lignes : non imprimée","OK")))))))))))))</f>
        <v/>
      </c>
      <c r="O3159" s="59" t="str">
        <f>IF(A3159="","",COUNTIF($A$6:A3159,A3159))</f>
        <v/>
      </c>
      <c r="P3159" s="62" t="str">
        <f>IF(A3159="","",A3159&amp;"|"&amp;O3159)</f>
        <v/>
      </c>
    </row>
    <row r="3160">
      <c r="A3160" s="60" t="n"/>
      <c r="B3160" s="63" t="n"/>
      <c r="C3160" s="63" t="n"/>
      <c r="D3160" s="67" t="n"/>
      <c r="E3160" s="68" t="n"/>
      <c r="F3160" s="69" t="n"/>
      <c r="G3160" s="70" t="n"/>
      <c r="H3160" s="62" t="str">
        <f>IF(COUNTA(A3160:G3160)=0,"",IF(C3160&lt;&gt;"",C3160,IF(B3160="","",IFERROR(INDEX(pr_des,MATCH(B3160,pr_code,0))&amp;"",""))))</f>
        <v/>
      </c>
      <c r="I3160" s="59" t="str">
        <f>IF(B3160="","",IFERROR(INDEX(pr_unit,MATCH(B3160,pr_code,0))&amp;"",""))</f>
        <v/>
      </c>
      <c r="J3160" s="65" t="str">
        <f>IF(COUNTA(A3160:G3160)=0,"",IF(E3160&lt;&gt;"",E3160,IF(B3160="","",IFERROR(IF(INDEX(pr_price,MATCH(B3160,pr_code,0))="","",INDEX(pr_price,MATCH(B3160,pr_code,0))),""))))</f>
        <v/>
      </c>
      <c r="K3160" s="71" t="str">
        <f>IF(COUNTA(A3160:G3160)=0,"",IF(G3160&lt;&gt;"",G3160,IF(B3160="","",IFERROR(IF(INDEX(pr_rate,MATCH(B3160,pr_code,0))="","",INDEX(pr_rate,MATCH(B3160,pr_code,0))),""))))</f>
        <v/>
      </c>
      <c r="L3160" s="65" t="str">
        <f>IF(COUNTA(A3160:G3160)=0,"",IF(AND(ISNUMBER(D3160),ISNUMBER(J3160)),ROUND(D3160*J3160*(1-N(F3160)),2),0))</f>
        <v/>
      </c>
      <c r="M3160" s="62" t="str">
        <f>IF(A3160="","",IFERROR(INDEX(fa_cname,MATCH(A3160,fa_num,0))&amp;"",""))</f>
        <v/>
      </c>
      <c r="N3160" s="59" t="str">
        <f>IF(COUNTA(A3160:G3160)=0,"",IF(A3160="","N° facture manquant",IF(ISNA(MATCH(A3160,fa_num,0)),"Facture inconnue",IF(AND(B3160&lt;&gt;"",ISNA(MATCH(B3160,pr_code,0))),"Article inconnu",IF(H3160="","Désignation manquante",IF(OR(NOT(ISNUMBER(D3160)),N(D3160)&lt;=0),"Quantité invalide",IF(J3160="","Prix manquant",IF(OR(NOT(ISNUMBER(J3160)),N(J3160)&lt;0),"Prix invalide",IF(OR(AND(F3160&lt;&gt;"",NOT(ISNUMBER(F3160))),N(F3160)&lt;0,N(F3160)&gt;1),"Remise invalide",IF(K3160="","Taux de TVA manquant",IF(NOT(ISNUMBER(K3160)),"Taux de TVA invalide",IF(COUNTIF(p_rates,K3160)=0,"Taux de TVA hors liste (Paramètres)",IF(N(O3160)&gt;25,"Au-delà de 25 lignes : non imprimée","OK")))))))))))))</f>
        <v/>
      </c>
      <c r="O3160" s="59" t="str">
        <f>IF(A3160="","",COUNTIF($A$6:A3160,A3160))</f>
        <v/>
      </c>
      <c r="P3160" s="62" t="str">
        <f>IF(A3160="","",A3160&amp;"|"&amp;O3160)</f>
        <v/>
      </c>
    </row>
    <row r="3161">
      <c r="A3161" s="60" t="n"/>
      <c r="B3161" s="63" t="n"/>
      <c r="C3161" s="63" t="n"/>
      <c r="D3161" s="67" t="n"/>
      <c r="E3161" s="68" t="n"/>
      <c r="F3161" s="69" t="n"/>
      <c r="G3161" s="70" t="n"/>
      <c r="H3161" s="62" t="str">
        <f>IF(COUNTA(A3161:G3161)=0,"",IF(C3161&lt;&gt;"",C3161,IF(B3161="","",IFERROR(INDEX(pr_des,MATCH(B3161,pr_code,0))&amp;"",""))))</f>
        <v/>
      </c>
      <c r="I3161" s="59" t="str">
        <f>IF(B3161="","",IFERROR(INDEX(pr_unit,MATCH(B3161,pr_code,0))&amp;"",""))</f>
        <v/>
      </c>
      <c r="J3161" s="65" t="str">
        <f>IF(COUNTA(A3161:G3161)=0,"",IF(E3161&lt;&gt;"",E3161,IF(B3161="","",IFERROR(IF(INDEX(pr_price,MATCH(B3161,pr_code,0))="","",INDEX(pr_price,MATCH(B3161,pr_code,0))),""))))</f>
        <v/>
      </c>
      <c r="K3161" s="71" t="str">
        <f>IF(COUNTA(A3161:G3161)=0,"",IF(G3161&lt;&gt;"",G3161,IF(B3161="","",IFERROR(IF(INDEX(pr_rate,MATCH(B3161,pr_code,0))="","",INDEX(pr_rate,MATCH(B3161,pr_code,0))),""))))</f>
        <v/>
      </c>
      <c r="L3161" s="65" t="str">
        <f>IF(COUNTA(A3161:G3161)=0,"",IF(AND(ISNUMBER(D3161),ISNUMBER(J3161)),ROUND(D3161*J3161*(1-N(F3161)),2),0))</f>
        <v/>
      </c>
      <c r="M3161" s="62" t="str">
        <f>IF(A3161="","",IFERROR(INDEX(fa_cname,MATCH(A3161,fa_num,0))&amp;"",""))</f>
        <v/>
      </c>
      <c r="N3161" s="59" t="str">
        <f>IF(COUNTA(A3161:G3161)=0,"",IF(A3161="","N° facture manquant",IF(ISNA(MATCH(A3161,fa_num,0)),"Facture inconnue",IF(AND(B3161&lt;&gt;"",ISNA(MATCH(B3161,pr_code,0))),"Article inconnu",IF(H3161="","Désignation manquante",IF(OR(NOT(ISNUMBER(D3161)),N(D3161)&lt;=0),"Quantité invalide",IF(J3161="","Prix manquant",IF(OR(NOT(ISNUMBER(J3161)),N(J3161)&lt;0),"Prix invalide",IF(OR(AND(F3161&lt;&gt;"",NOT(ISNUMBER(F3161))),N(F3161)&lt;0,N(F3161)&gt;1),"Remise invalide",IF(K3161="","Taux de TVA manquant",IF(NOT(ISNUMBER(K3161)),"Taux de TVA invalide",IF(COUNTIF(p_rates,K3161)=0,"Taux de TVA hors liste (Paramètres)",IF(N(O3161)&gt;25,"Au-delà de 25 lignes : non imprimée","OK")))))))))))))</f>
        <v/>
      </c>
      <c r="O3161" s="59" t="str">
        <f>IF(A3161="","",COUNTIF($A$6:A3161,A3161))</f>
        <v/>
      </c>
      <c r="P3161" s="62" t="str">
        <f>IF(A3161="","",A3161&amp;"|"&amp;O3161)</f>
        <v/>
      </c>
    </row>
    <row r="3162">
      <c r="A3162" s="60" t="n"/>
      <c r="B3162" s="63" t="n"/>
      <c r="C3162" s="63" t="n"/>
      <c r="D3162" s="67" t="n"/>
      <c r="E3162" s="68" t="n"/>
      <c r="F3162" s="69" t="n"/>
      <c r="G3162" s="70" t="n"/>
      <c r="H3162" s="62" t="str">
        <f>IF(COUNTA(A3162:G3162)=0,"",IF(C3162&lt;&gt;"",C3162,IF(B3162="","",IFERROR(INDEX(pr_des,MATCH(B3162,pr_code,0))&amp;"",""))))</f>
        <v/>
      </c>
      <c r="I3162" s="59" t="str">
        <f>IF(B3162="","",IFERROR(INDEX(pr_unit,MATCH(B3162,pr_code,0))&amp;"",""))</f>
        <v/>
      </c>
      <c r="J3162" s="65" t="str">
        <f>IF(COUNTA(A3162:G3162)=0,"",IF(E3162&lt;&gt;"",E3162,IF(B3162="","",IFERROR(IF(INDEX(pr_price,MATCH(B3162,pr_code,0))="","",INDEX(pr_price,MATCH(B3162,pr_code,0))),""))))</f>
        <v/>
      </c>
      <c r="K3162" s="71" t="str">
        <f>IF(COUNTA(A3162:G3162)=0,"",IF(G3162&lt;&gt;"",G3162,IF(B3162="","",IFERROR(IF(INDEX(pr_rate,MATCH(B3162,pr_code,0))="","",INDEX(pr_rate,MATCH(B3162,pr_code,0))),""))))</f>
        <v/>
      </c>
      <c r="L3162" s="65" t="str">
        <f>IF(COUNTA(A3162:G3162)=0,"",IF(AND(ISNUMBER(D3162),ISNUMBER(J3162)),ROUND(D3162*J3162*(1-N(F3162)),2),0))</f>
        <v/>
      </c>
      <c r="M3162" s="62" t="str">
        <f>IF(A3162="","",IFERROR(INDEX(fa_cname,MATCH(A3162,fa_num,0))&amp;"",""))</f>
        <v/>
      </c>
      <c r="N3162" s="59" t="str">
        <f>IF(COUNTA(A3162:G3162)=0,"",IF(A3162="","N° facture manquant",IF(ISNA(MATCH(A3162,fa_num,0)),"Facture inconnue",IF(AND(B3162&lt;&gt;"",ISNA(MATCH(B3162,pr_code,0))),"Article inconnu",IF(H3162="","Désignation manquante",IF(OR(NOT(ISNUMBER(D3162)),N(D3162)&lt;=0),"Quantité invalide",IF(J3162="","Prix manquant",IF(OR(NOT(ISNUMBER(J3162)),N(J3162)&lt;0),"Prix invalide",IF(OR(AND(F3162&lt;&gt;"",NOT(ISNUMBER(F3162))),N(F3162)&lt;0,N(F3162)&gt;1),"Remise invalide",IF(K3162="","Taux de TVA manquant",IF(NOT(ISNUMBER(K3162)),"Taux de TVA invalide",IF(COUNTIF(p_rates,K3162)=0,"Taux de TVA hors liste (Paramètres)",IF(N(O3162)&gt;25,"Au-delà de 25 lignes : non imprimée","OK")))))))))))))</f>
        <v/>
      </c>
      <c r="O3162" s="59" t="str">
        <f>IF(A3162="","",COUNTIF($A$6:A3162,A3162))</f>
        <v/>
      </c>
      <c r="P3162" s="62" t="str">
        <f>IF(A3162="","",A3162&amp;"|"&amp;O3162)</f>
        <v/>
      </c>
    </row>
    <row r="3163">
      <c r="A3163" s="60" t="n"/>
      <c r="B3163" s="63" t="n"/>
      <c r="C3163" s="63" t="n"/>
      <c r="D3163" s="67" t="n"/>
      <c r="E3163" s="68" t="n"/>
      <c r="F3163" s="69" t="n"/>
      <c r="G3163" s="70" t="n"/>
      <c r="H3163" s="62" t="str">
        <f>IF(COUNTA(A3163:G3163)=0,"",IF(C3163&lt;&gt;"",C3163,IF(B3163="","",IFERROR(INDEX(pr_des,MATCH(B3163,pr_code,0))&amp;"",""))))</f>
        <v/>
      </c>
      <c r="I3163" s="59" t="str">
        <f>IF(B3163="","",IFERROR(INDEX(pr_unit,MATCH(B3163,pr_code,0))&amp;"",""))</f>
        <v/>
      </c>
      <c r="J3163" s="65" t="str">
        <f>IF(COUNTA(A3163:G3163)=0,"",IF(E3163&lt;&gt;"",E3163,IF(B3163="","",IFERROR(IF(INDEX(pr_price,MATCH(B3163,pr_code,0))="","",INDEX(pr_price,MATCH(B3163,pr_code,0))),""))))</f>
        <v/>
      </c>
      <c r="K3163" s="71" t="str">
        <f>IF(COUNTA(A3163:G3163)=0,"",IF(G3163&lt;&gt;"",G3163,IF(B3163="","",IFERROR(IF(INDEX(pr_rate,MATCH(B3163,pr_code,0))="","",INDEX(pr_rate,MATCH(B3163,pr_code,0))),""))))</f>
        <v/>
      </c>
      <c r="L3163" s="65" t="str">
        <f>IF(COUNTA(A3163:G3163)=0,"",IF(AND(ISNUMBER(D3163),ISNUMBER(J3163)),ROUND(D3163*J3163*(1-N(F3163)),2),0))</f>
        <v/>
      </c>
      <c r="M3163" s="62" t="str">
        <f>IF(A3163="","",IFERROR(INDEX(fa_cname,MATCH(A3163,fa_num,0))&amp;"",""))</f>
        <v/>
      </c>
      <c r="N3163" s="59" t="str">
        <f>IF(COUNTA(A3163:G3163)=0,"",IF(A3163="","N° facture manquant",IF(ISNA(MATCH(A3163,fa_num,0)),"Facture inconnue",IF(AND(B3163&lt;&gt;"",ISNA(MATCH(B3163,pr_code,0))),"Article inconnu",IF(H3163="","Désignation manquante",IF(OR(NOT(ISNUMBER(D3163)),N(D3163)&lt;=0),"Quantité invalide",IF(J3163="","Prix manquant",IF(OR(NOT(ISNUMBER(J3163)),N(J3163)&lt;0),"Prix invalide",IF(OR(AND(F3163&lt;&gt;"",NOT(ISNUMBER(F3163))),N(F3163)&lt;0,N(F3163)&gt;1),"Remise invalide",IF(K3163="","Taux de TVA manquant",IF(NOT(ISNUMBER(K3163)),"Taux de TVA invalide",IF(COUNTIF(p_rates,K3163)=0,"Taux de TVA hors liste (Paramètres)",IF(N(O3163)&gt;25,"Au-delà de 25 lignes : non imprimée","OK")))))))))))))</f>
        <v/>
      </c>
      <c r="O3163" s="59" t="str">
        <f>IF(A3163="","",COUNTIF($A$6:A3163,A3163))</f>
        <v/>
      </c>
      <c r="P3163" s="62" t="str">
        <f>IF(A3163="","",A3163&amp;"|"&amp;O3163)</f>
        <v/>
      </c>
    </row>
    <row r="3164">
      <c r="A3164" s="60" t="n"/>
      <c r="B3164" s="63" t="n"/>
      <c r="C3164" s="63" t="n"/>
      <c r="D3164" s="67" t="n"/>
      <c r="E3164" s="68" t="n"/>
      <c r="F3164" s="69" t="n"/>
      <c r="G3164" s="70" t="n"/>
      <c r="H3164" s="62" t="str">
        <f>IF(COUNTA(A3164:G3164)=0,"",IF(C3164&lt;&gt;"",C3164,IF(B3164="","",IFERROR(INDEX(pr_des,MATCH(B3164,pr_code,0))&amp;"",""))))</f>
        <v/>
      </c>
      <c r="I3164" s="59" t="str">
        <f>IF(B3164="","",IFERROR(INDEX(pr_unit,MATCH(B3164,pr_code,0))&amp;"",""))</f>
        <v/>
      </c>
      <c r="J3164" s="65" t="str">
        <f>IF(COUNTA(A3164:G3164)=0,"",IF(E3164&lt;&gt;"",E3164,IF(B3164="","",IFERROR(IF(INDEX(pr_price,MATCH(B3164,pr_code,0))="","",INDEX(pr_price,MATCH(B3164,pr_code,0))),""))))</f>
        <v/>
      </c>
      <c r="K3164" s="71" t="str">
        <f>IF(COUNTA(A3164:G3164)=0,"",IF(G3164&lt;&gt;"",G3164,IF(B3164="","",IFERROR(IF(INDEX(pr_rate,MATCH(B3164,pr_code,0))="","",INDEX(pr_rate,MATCH(B3164,pr_code,0))),""))))</f>
        <v/>
      </c>
      <c r="L3164" s="65" t="str">
        <f>IF(COUNTA(A3164:G3164)=0,"",IF(AND(ISNUMBER(D3164),ISNUMBER(J3164)),ROUND(D3164*J3164*(1-N(F3164)),2),0))</f>
        <v/>
      </c>
      <c r="M3164" s="62" t="str">
        <f>IF(A3164="","",IFERROR(INDEX(fa_cname,MATCH(A3164,fa_num,0))&amp;"",""))</f>
        <v/>
      </c>
      <c r="N3164" s="59" t="str">
        <f>IF(COUNTA(A3164:G3164)=0,"",IF(A3164="","N° facture manquant",IF(ISNA(MATCH(A3164,fa_num,0)),"Facture inconnue",IF(AND(B3164&lt;&gt;"",ISNA(MATCH(B3164,pr_code,0))),"Article inconnu",IF(H3164="","Désignation manquante",IF(OR(NOT(ISNUMBER(D3164)),N(D3164)&lt;=0),"Quantité invalide",IF(J3164="","Prix manquant",IF(OR(NOT(ISNUMBER(J3164)),N(J3164)&lt;0),"Prix invalide",IF(OR(AND(F3164&lt;&gt;"",NOT(ISNUMBER(F3164))),N(F3164)&lt;0,N(F3164)&gt;1),"Remise invalide",IF(K3164="","Taux de TVA manquant",IF(NOT(ISNUMBER(K3164)),"Taux de TVA invalide",IF(COUNTIF(p_rates,K3164)=0,"Taux de TVA hors liste (Paramètres)",IF(N(O3164)&gt;25,"Au-delà de 25 lignes : non imprimée","OK")))))))))))))</f>
        <v/>
      </c>
      <c r="O3164" s="59" t="str">
        <f>IF(A3164="","",COUNTIF($A$6:A3164,A3164))</f>
        <v/>
      </c>
      <c r="P3164" s="62" t="str">
        <f>IF(A3164="","",A3164&amp;"|"&amp;O3164)</f>
        <v/>
      </c>
    </row>
    <row r="3165">
      <c r="A3165" s="60" t="n"/>
      <c r="B3165" s="63" t="n"/>
      <c r="C3165" s="63" t="n"/>
      <c r="D3165" s="67" t="n"/>
      <c r="E3165" s="68" t="n"/>
      <c r="F3165" s="69" t="n"/>
      <c r="G3165" s="70" t="n"/>
      <c r="H3165" s="62" t="str">
        <f>IF(COUNTA(A3165:G3165)=0,"",IF(C3165&lt;&gt;"",C3165,IF(B3165="","",IFERROR(INDEX(pr_des,MATCH(B3165,pr_code,0))&amp;"",""))))</f>
        <v/>
      </c>
      <c r="I3165" s="59" t="str">
        <f>IF(B3165="","",IFERROR(INDEX(pr_unit,MATCH(B3165,pr_code,0))&amp;"",""))</f>
        <v/>
      </c>
      <c r="J3165" s="65" t="str">
        <f>IF(COUNTA(A3165:G3165)=0,"",IF(E3165&lt;&gt;"",E3165,IF(B3165="","",IFERROR(IF(INDEX(pr_price,MATCH(B3165,pr_code,0))="","",INDEX(pr_price,MATCH(B3165,pr_code,0))),""))))</f>
        <v/>
      </c>
      <c r="K3165" s="71" t="str">
        <f>IF(COUNTA(A3165:G3165)=0,"",IF(G3165&lt;&gt;"",G3165,IF(B3165="","",IFERROR(IF(INDEX(pr_rate,MATCH(B3165,pr_code,0))="","",INDEX(pr_rate,MATCH(B3165,pr_code,0))),""))))</f>
        <v/>
      </c>
      <c r="L3165" s="65" t="str">
        <f>IF(COUNTA(A3165:G3165)=0,"",IF(AND(ISNUMBER(D3165),ISNUMBER(J3165)),ROUND(D3165*J3165*(1-N(F3165)),2),0))</f>
        <v/>
      </c>
      <c r="M3165" s="62" t="str">
        <f>IF(A3165="","",IFERROR(INDEX(fa_cname,MATCH(A3165,fa_num,0))&amp;"",""))</f>
        <v/>
      </c>
      <c r="N3165" s="59" t="str">
        <f>IF(COUNTA(A3165:G3165)=0,"",IF(A3165="","N° facture manquant",IF(ISNA(MATCH(A3165,fa_num,0)),"Facture inconnue",IF(AND(B3165&lt;&gt;"",ISNA(MATCH(B3165,pr_code,0))),"Article inconnu",IF(H3165="","Désignation manquante",IF(OR(NOT(ISNUMBER(D3165)),N(D3165)&lt;=0),"Quantité invalide",IF(J3165="","Prix manquant",IF(OR(NOT(ISNUMBER(J3165)),N(J3165)&lt;0),"Prix invalide",IF(OR(AND(F3165&lt;&gt;"",NOT(ISNUMBER(F3165))),N(F3165)&lt;0,N(F3165)&gt;1),"Remise invalide",IF(K3165="","Taux de TVA manquant",IF(NOT(ISNUMBER(K3165)),"Taux de TVA invalide",IF(COUNTIF(p_rates,K3165)=0,"Taux de TVA hors liste (Paramètres)",IF(N(O3165)&gt;25,"Au-delà de 25 lignes : non imprimée","OK")))))))))))))</f>
        <v/>
      </c>
      <c r="O3165" s="59" t="str">
        <f>IF(A3165="","",COUNTIF($A$6:A3165,A3165))</f>
        <v/>
      </c>
      <c r="P3165" s="62" t="str">
        <f>IF(A3165="","",A3165&amp;"|"&amp;O3165)</f>
        <v/>
      </c>
    </row>
    <row r="3166">
      <c r="A3166" s="60" t="n"/>
      <c r="B3166" s="63" t="n"/>
      <c r="C3166" s="63" t="n"/>
      <c r="D3166" s="67" t="n"/>
      <c r="E3166" s="68" t="n"/>
      <c r="F3166" s="69" t="n"/>
      <c r="G3166" s="70" t="n"/>
      <c r="H3166" s="62" t="str">
        <f>IF(COUNTA(A3166:G3166)=0,"",IF(C3166&lt;&gt;"",C3166,IF(B3166="","",IFERROR(INDEX(pr_des,MATCH(B3166,pr_code,0))&amp;"",""))))</f>
        <v/>
      </c>
      <c r="I3166" s="59" t="str">
        <f>IF(B3166="","",IFERROR(INDEX(pr_unit,MATCH(B3166,pr_code,0))&amp;"",""))</f>
        <v/>
      </c>
      <c r="J3166" s="65" t="str">
        <f>IF(COUNTA(A3166:G3166)=0,"",IF(E3166&lt;&gt;"",E3166,IF(B3166="","",IFERROR(IF(INDEX(pr_price,MATCH(B3166,pr_code,0))="","",INDEX(pr_price,MATCH(B3166,pr_code,0))),""))))</f>
        <v/>
      </c>
      <c r="K3166" s="71" t="str">
        <f>IF(COUNTA(A3166:G3166)=0,"",IF(G3166&lt;&gt;"",G3166,IF(B3166="","",IFERROR(IF(INDEX(pr_rate,MATCH(B3166,pr_code,0))="","",INDEX(pr_rate,MATCH(B3166,pr_code,0))),""))))</f>
        <v/>
      </c>
      <c r="L3166" s="65" t="str">
        <f>IF(COUNTA(A3166:G3166)=0,"",IF(AND(ISNUMBER(D3166),ISNUMBER(J3166)),ROUND(D3166*J3166*(1-N(F3166)),2),0))</f>
        <v/>
      </c>
      <c r="M3166" s="62" t="str">
        <f>IF(A3166="","",IFERROR(INDEX(fa_cname,MATCH(A3166,fa_num,0))&amp;"",""))</f>
        <v/>
      </c>
      <c r="N3166" s="59" t="str">
        <f>IF(COUNTA(A3166:G3166)=0,"",IF(A3166="","N° facture manquant",IF(ISNA(MATCH(A3166,fa_num,0)),"Facture inconnue",IF(AND(B3166&lt;&gt;"",ISNA(MATCH(B3166,pr_code,0))),"Article inconnu",IF(H3166="","Désignation manquante",IF(OR(NOT(ISNUMBER(D3166)),N(D3166)&lt;=0),"Quantité invalide",IF(J3166="","Prix manquant",IF(OR(NOT(ISNUMBER(J3166)),N(J3166)&lt;0),"Prix invalide",IF(OR(AND(F3166&lt;&gt;"",NOT(ISNUMBER(F3166))),N(F3166)&lt;0,N(F3166)&gt;1),"Remise invalide",IF(K3166="","Taux de TVA manquant",IF(NOT(ISNUMBER(K3166)),"Taux de TVA invalide",IF(COUNTIF(p_rates,K3166)=0,"Taux de TVA hors liste (Paramètres)",IF(N(O3166)&gt;25,"Au-delà de 25 lignes : non imprimée","OK")))))))))))))</f>
        <v/>
      </c>
      <c r="O3166" s="59" t="str">
        <f>IF(A3166="","",COUNTIF($A$6:A3166,A3166))</f>
        <v/>
      </c>
      <c r="P3166" s="62" t="str">
        <f>IF(A3166="","",A3166&amp;"|"&amp;O3166)</f>
        <v/>
      </c>
    </row>
    <row r="3167">
      <c r="A3167" s="60" t="n"/>
      <c r="B3167" s="63" t="n"/>
      <c r="C3167" s="63" t="n"/>
      <c r="D3167" s="67" t="n"/>
      <c r="E3167" s="68" t="n"/>
      <c r="F3167" s="69" t="n"/>
      <c r="G3167" s="70" t="n"/>
      <c r="H3167" s="62" t="str">
        <f>IF(COUNTA(A3167:G3167)=0,"",IF(C3167&lt;&gt;"",C3167,IF(B3167="","",IFERROR(INDEX(pr_des,MATCH(B3167,pr_code,0))&amp;"",""))))</f>
        <v/>
      </c>
      <c r="I3167" s="59" t="str">
        <f>IF(B3167="","",IFERROR(INDEX(pr_unit,MATCH(B3167,pr_code,0))&amp;"",""))</f>
        <v/>
      </c>
      <c r="J3167" s="65" t="str">
        <f>IF(COUNTA(A3167:G3167)=0,"",IF(E3167&lt;&gt;"",E3167,IF(B3167="","",IFERROR(IF(INDEX(pr_price,MATCH(B3167,pr_code,0))="","",INDEX(pr_price,MATCH(B3167,pr_code,0))),""))))</f>
        <v/>
      </c>
      <c r="K3167" s="71" t="str">
        <f>IF(COUNTA(A3167:G3167)=0,"",IF(G3167&lt;&gt;"",G3167,IF(B3167="","",IFERROR(IF(INDEX(pr_rate,MATCH(B3167,pr_code,0))="","",INDEX(pr_rate,MATCH(B3167,pr_code,0))),""))))</f>
        <v/>
      </c>
      <c r="L3167" s="65" t="str">
        <f>IF(COUNTA(A3167:G3167)=0,"",IF(AND(ISNUMBER(D3167),ISNUMBER(J3167)),ROUND(D3167*J3167*(1-N(F3167)),2),0))</f>
        <v/>
      </c>
      <c r="M3167" s="62" t="str">
        <f>IF(A3167="","",IFERROR(INDEX(fa_cname,MATCH(A3167,fa_num,0))&amp;"",""))</f>
        <v/>
      </c>
      <c r="N3167" s="59" t="str">
        <f>IF(COUNTA(A3167:G3167)=0,"",IF(A3167="","N° facture manquant",IF(ISNA(MATCH(A3167,fa_num,0)),"Facture inconnue",IF(AND(B3167&lt;&gt;"",ISNA(MATCH(B3167,pr_code,0))),"Article inconnu",IF(H3167="","Désignation manquante",IF(OR(NOT(ISNUMBER(D3167)),N(D3167)&lt;=0),"Quantité invalide",IF(J3167="","Prix manquant",IF(OR(NOT(ISNUMBER(J3167)),N(J3167)&lt;0),"Prix invalide",IF(OR(AND(F3167&lt;&gt;"",NOT(ISNUMBER(F3167))),N(F3167)&lt;0,N(F3167)&gt;1),"Remise invalide",IF(K3167="","Taux de TVA manquant",IF(NOT(ISNUMBER(K3167)),"Taux de TVA invalide",IF(COUNTIF(p_rates,K3167)=0,"Taux de TVA hors liste (Paramètres)",IF(N(O3167)&gt;25,"Au-delà de 25 lignes : non imprimée","OK")))))))))))))</f>
        <v/>
      </c>
      <c r="O3167" s="59" t="str">
        <f>IF(A3167="","",COUNTIF($A$6:A3167,A3167))</f>
        <v/>
      </c>
      <c r="P3167" s="62" t="str">
        <f>IF(A3167="","",A3167&amp;"|"&amp;O3167)</f>
        <v/>
      </c>
    </row>
    <row r="3168">
      <c r="A3168" s="60" t="n"/>
      <c r="B3168" s="63" t="n"/>
      <c r="C3168" s="63" t="n"/>
      <c r="D3168" s="67" t="n"/>
      <c r="E3168" s="68" t="n"/>
      <c r="F3168" s="69" t="n"/>
      <c r="G3168" s="70" t="n"/>
      <c r="H3168" s="62" t="str">
        <f>IF(COUNTA(A3168:G3168)=0,"",IF(C3168&lt;&gt;"",C3168,IF(B3168="","",IFERROR(INDEX(pr_des,MATCH(B3168,pr_code,0))&amp;"",""))))</f>
        <v/>
      </c>
      <c r="I3168" s="59" t="str">
        <f>IF(B3168="","",IFERROR(INDEX(pr_unit,MATCH(B3168,pr_code,0))&amp;"",""))</f>
        <v/>
      </c>
      <c r="J3168" s="65" t="str">
        <f>IF(COUNTA(A3168:G3168)=0,"",IF(E3168&lt;&gt;"",E3168,IF(B3168="","",IFERROR(IF(INDEX(pr_price,MATCH(B3168,pr_code,0))="","",INDEX(pr_price,MATCH(B3168,pr_code,0))),""))))</f>
        <v/>
      </c>
      <c r="K3168" s="71" t="str">
        <f>IF(COUNTA(A3168:G3168)=0,"",IF(G3168&lt;&gt;"",G3168,IF(B3168="","",IFERROR(IF(INDEX(pr_rate,MATCH(B3168,pr_code,0))="","",INDEX(pr_rate,MATCH(B3168,pr_code,0))),""))))</f>
        <v/>
      </c>
      <c r="L3168" s="65" t="str">
        <f>IF(COUNTA(A3168:G3168)=0,"",IF(AND(ISNUMBER(D3168),ISNUMBER(J3168)),ROUND(D3168*J3168*(1-N(F3168)),2),0))</f>
        <v/>
      </c>
      <c r="M3168" s="62" t="str">
        <f>IF(A3168="","",IFERROR(INDEX(fa_cname,MATCH(A3168,fa_num,0))&amp;"",""))</f>
        <v/>
      </c>
      <c r="N3168" s="59" t="str">
        <f>IF(COUNTA(A3168:G3168)=0,"",IF(A3168="","N° facture manquant",IF(ISNA(MATCH(A3168,fa_num,0)),"Facture inconnue",IF(AND(B3168&lt;&gt;"",ISNA(MATCH(B3168,pr_code,0))),"Article inconnu",IF(H3168="","Désignation manquante",IF(OR(NOT(ISNUMBER(D3168)),N(D3168)&lt;=0),"Quantité invalide",IF(J3168="","Prix manquant",IF(OR(NOT(ISNUMBER(J3168)),N(J3168)&lt;0),"Prix invalide",IF(OR(AND(F3168&lt;&gt;"",NOT(ISNUMBER(F3168))),N(F3168)&lt;0,N(F3168)&gt;1),"Remise invalide",IF(K3168="","Taux de TVA manquant",IF(NOT(ISNUMBER(K3168)),"Taux de TVA invalide",IF(COUNTIF(p_rates,K3168)=0,"Taux de TVA hors liste (Paramètres)",IF(N(O3168)&gt;25,"Au-delà de 25 lignes : non imprimée","OK")))))))))))))</f>
        <v/>
      </c>
      <c r="O3168" s="59" t="str">
        <f>IF(A3168="","",COUNTIF($A$6:A3168,A3168))</f>
        <v/>
      </c>
      <c r="P3168" s="62" t="str">
        <f>IF(A3168="","",A3168&amp;"|"&amp;O3168)</f>
        <v/>
      </c>
    </row>
    <row r="3169">
      <c r="A3169" s="60" t="n"/>
      <c r="B3169" s="63" t="n"/>
      <c r="C3169" s="63" t="n"/>
      <c r="D3169" s="67" t="n"/>
      <c r="E3169" s="68" t="n"/>
      <c r="F3169" s="69" t="n"/>
      <c r="G3169" s="70" t="n"/>
      <c r="H3169" s="62" t="str">
        <f>IF(COUNTA(A3169:G3169)=0,"",IF(C3169&lt;&gt;"",C3169,IF(B3169="","",IFERROR(INDEX(pr_des,MATCH(B3169,pr_code,0))&amp;"",""))))</f>
        <v/>
      </c>
      <c r="I3169" s="59" t="str">
        <f>IF(B3169="","",IFERROR(INDEX(pr_unit,MATCH(B3169,pr_code,0))&amp;"",""))</f>
        <v/>
      </c>
      <c r="J3169" s="65" t="str">
        <f>IF(COUNTA(A3169:G3169)=0,"",IF(E3169&lt;&gt;"",E3169,IF(B3169="","",IFERROR(IF(INDEX(pr_price,MATCH(B3169,pr_code,0))="","",INDEX(pr_price,MATCH(B3169,pr_code,0))),""))))</f>
        <v/>
      </c>
      <c r="K3169" s="71" t="str">
        <f>IF(COUNTA(A3169:G3169)=0,"",IF(G3169&lt;&gt;"",G3169,IF(B3169="","",IFERROR(IF(INDEX(pr_rate,MATCH(B3169,pr_code,0))="","",INDEX(pr_rate,MATCH(B3169,pr_code,0))),""))))</f>
        <v/>
      </c>
      <c r="L3169" s="65" t="str">
        <f>IF(COUNTA(A3169:G3169)=0,"",IF(AND(ISNUMBER(D3169),ISNUMBER(J3169)),ROUND(D3169*J3169*(1-N(F3169)),2),0))</f>
        <v/>
      </c>
      <c r="M3169" s="62" t="str">
        <f>IF(A3169="","",IFERROR(INDEX(fa_cname,MATCH(A3169,fa_num,0))&amp;"",""))</f>
        <v/>
      </c>
      <c r="N3169" s="59" t="str">
        <f>IF(COUNTA(A3169:G3169)=0,"",IF(A3169="","N° facture manquant",IF(ISNA(MATCH(A3169,fa_num,0)),"Facture inconnue",IF(AND(B3169&lt;&gt;"",ISNA(MATCH(B3169,pr_code,0))),"Article inconnu",IF(H3169="","Désignation manquante",IF(OR(NOT(ISNUMBER(D3169)),N(D3169)&lt;=0),"Quantité invalide",IF(J3169="","Prix manquant",IF(OR(NOT(ISNUMBER(J3169)),N(J3169)&lt;0),"Prix invalide",IF(OR(AND(F3169&lt;&gt;"",NOT(ISNUMBER(F3169))),N(F3169)&lt;0,N(F3169)&gt;1),"Remise invalide",IF(K3169="","Taux de TVA manquant",IF(NOT(ISNUMBER(K3169)),"Taux de TVA invalide",IF(COUNTIF(p_rates,K3169)=0,"Taux de TVA hors liste (Paramètres)",IF(N(O3169)&gt;25,"Au-delà de 25 lignes : non imprimée","OK")))))))))))))</f>
        <v/>
      </c>
      <c r="O3169" s="59" t="str">
        <f>IF(A3169="","",COUNTIF($A$6:A3169,A3169))</f>
        <v/>
      </c>
      <c r="P3169" s="62" t="str">
        <f>IF(A3169="","",A3169&amp;"|"&amp;O3169)</f>
        <v/>
      </c>
    </row>
    <row r="3170">
      <c r="A3170" s="60" t="n"/>
      <c r="B3170" s="63" t="n"/>
      <c r="C3170" s="63" t="n"/>
      <c r="D3170" s="67" t="n"/>
      <c r="E3170" s="68" t="n"/>
      <c r="F3170" s="69" t="n"/>
      <c r="G3170" s="70" t="n"/>
      <c r="H3170" s="62" t="str">
        <f>IF(COUNTA(A3170:G3170)=0,"",IF(C3170&lt;&gt;"",C3170,IF(B3170="","",IFERROR(INDEX(pr_des,MATCH(B3170,pr_code,0))&amp;"",""))))</f>
        <v/>
      </c>
      <c r="I3170" s="59" t="str">
        <f>IF(B3170="","",IFERROR(INDEX(pr_unit,MATCH(B3170,pr_code,0))&amp;"",""))</f>
        <v/>
      </c>
      <c r="J3170" s="65" t="str">
        <f>IF(COUNTA(A3170:G3170)=0,"",IF(E3170&lt;&gt;"",E3170,IF(B3170="","",IFERROR(IF(INDEX(pr_price,MATCH(B3170,pr_code,0))="","",INDEX(pr_price,MATCH(B3170,pr_code,0))),""))))</f>
        <v/>
      </c>
      <c r="K3170" s="71" t="str">
        <f>IF(COUNTA(A3170:G3170)=0,"",IF(G3170&lt;&gt;"",G3170,IF(B3170="","",IFERROR(IF(INDEX(pr_rate,MATCH(B3170,pr_code,0))="","",INDEX(pr_rate,MATCH(B3170,pr_code,0))),""))))</f>
        <v/>
      </c>
      <c r="L3170" s="65" t="str">
        <f>IF(COUNTA(A3170:G3170)=0,"",IF(AND(ISNUMBER(D3170),ISNUMBER(J3170)),ROUND(D3170*J3170*(1-N(F3170)),2),0))</f>
        <v/>
      </c>
      <c r="M3170" s="62" t="str">
        <f>IF(A3170="","",IFERROR(INDEX(fa_cname,MATCH(A3170,fa_num,0))&amp;"",""))</f>
        <v/>
      </c>
      <c r="N3170" s="59" t="str">
        <f>IF(COUNTA(A3170:G3170)=0,"",IF(A3170="","N° facture manquant",IF(ISNA(MATCH(A3170,fa_num,0)),"Facture inconnue",IF(AND(B3170&lt;&gt;"",ISNA(MATCH(B3170,pr_code,0))),"Article inconnu",IF(H3170="","Désignation manquante",IF(OR(NOT(ISNUMBER(D3170)),N(D3170)&lt;=0),"Quantité invalide",IF(J3170="","Prix manquant",IF(OR(NOT(ISNUMBER(J3170)),N(J3170)&lt;0),"Prix invalide",IF(OR(AND(F3170&lt;&gt;"",NOT(ISNUMBER(F3170))),N(F3170)&lt;0,N(F3170)&gt;1),"Remise invalide",IF(K3170="","Taux de TVA manquant",IF(NOT(ISNUMBER(K3170)),"Taux de TVA invalide",IF(COUNTIF(p_rates,K3170)=0,"Taux de TVA hors liste (Paramètres)",IF(N(O3170)&gt;25,"Au-delà de 25 lignes : non imprimée","OK")))))))))))))</f>
        <v/>
      </c>
      <c r="O3170" s="59" t="str">
        <f>IF(A3170="","",COUNTIF($A$6:A3170,A3170))</f>
        <v/>
      </c>
      <c r="P3170" s="62" t="str">
        <f>IF(A3170="","",A3170&amp;"|"&amp;O3170)</f>
        <v/>
      </c>
    </row>
    <row r="3171">
      <c r="A3171" s="60" t="n"/>
      <c r="B3171" s="63" t="n"/>
      <c r="C3171" s="63" t="n"/>
      <c r="D3171" s="67" t="n"/>
      <c r="E3171" s="68" t="n"/>
      <c r="F3171" s="69" t="n"/>
      <c r="G3171" s="70" t="n"/>
      <c r="H3171" s="62" t="str">
        <f>IF(COUNTA(A3171:G3171)=0,"",IF(C3171&lt;&gt;"",C3171,IF(B3171="","",IFERROR(INDEX(pr_des,MATCH(B3171,pr_code,0))&amp;"",""))))</f>
        <v/>
      </c>
      <c r="I3171" s="59" t="str">
        <f>IF(B3171="","",IFERROR(INDEX(pr_unit,MATCH(B3171,pr_code,0))&amp;"",""))</f>
        <v/>
      </c>
      <c r="J3171" s="65" t="str">
        <f>IF(COUNTA(A3171:G3171)=0,"",IF(E3171&lt;&gt;"",E3171,IF(B3171="","",IFERROR(IF(INDEX(pr_price,MATCH(B3171,pr_code,0))="","",INDEX(pr_price,MATCH(B3171,pr_code,0))),""))))</f>
        <v/>
      </c>
      <c r="K3171" s="71" t="str">
        <f>IF(COUNTA(A3171:G3171)=0,"",IF(G3171&lt;&gt;"",G3171,IF(B3171="","",IFERROR(IF(INDEX(pr_rate,MATCH(B3171,pr_code,0))="","",INDEX(pr_rate,MATCH(B3171,pr_code,0))),""))))</f>
        <v/>
      </c>
      <c r="L3171" s="65" t="str">
        <f>IF(COUNTA(A3171:G3171)=0,"",IF(AND(ISNUMBER(D3171),ISNUMBER(J3171)),ROUND(D3171*J3171*(1-N(F3171)),2),0))</f>
        <v/>
      </c>
      <c r="M3171" s="62" t="str">
        <f>IF(A3171="","",IFERROR(INDEX(fa_cname,MATCH(A3171,fa_num,0))&amp;"",""))</f>
        <v/>
      </c>
      <c r="N3171" s="59" t="str">
        <f>IF(COUNTA(A3171:G3171)=0,"",IF(A3171="","N° facture manquant",IF(ISNA(MATCH(A3171,fa_num,0)),"Facture inconnue",IF(AND(B3171&lt;&gt;"",ISNA(MATCH(B3171,pr_code,0))),"Article inconnu",IF(H3171="","Désignation manquante",IF(OR(NOT(ISNUMBER(D3171)),N(D3171)&lt;=0),"Quantité invalide",IF(J3171="","Prix manquant",IF(OR(NOT(ISNUMBER(J3171)),N(J3171)&lt;0),"Prix invalide",IF(OR(AND(F3171&lt;&gt;"",NOT(ISNUMBER(F3171))),N(F3171)&lt;0,N(F3171)&gt;1),"Remise invalide",IF(K3171="","Taux de TVA manquant",IF(NOT(ISNUMBER(K3171)),"Taux de TVA invalide",IF(COUNTIF(p_rates,K3171)=0,"Taux de TVA hors liste (Paramètres)",IF(N(O3171)&gt;25,"Au-delà de 25 lignes : non imprimée","OK")))))))))))))</f>
        <v/>
      </c>
      <c r="O3171" s="59" t="str">
        <f>IF(A3171="","",COUNTIF($A$6:A3171,A3171))</f>
        <v/>
      </c>
      <c r="P3171" s="62" t="str">
        <f>IF(A3171="","",A3171&amp;"|"&amp;O3171)</f>
        <v/>
      </c>
    </row>
    <row r="3172">
      <c r="A3172" s="60" t="n"/>
      <c r="B3172" s="63" t="n"/>
      <c r="C3172" s="63" t="n"/>
      <c r="D3172" s="67" t="n"/>
      <c r="E3172" s="68" t="n"/>
      <c r="F3172" s="69" t="n"/>
      <c r="G3172" s="70" t="n"/>
      <c r="H3172" s="62" t="str">
        <f>IF(COUNTA(A3172:G3172)=0,"",IF(C3172&lt;&gt;"",C3172,IF(B3172="","",IFERROR(INDEX(pr_des,MATCH(B3172,pr_code,0))&amp;"",""))))</f>
        <v/>
      </c>
      <c r="I3172" s="59" t="str">
        <f>IF(B3172="","",IFERROR(INDEX(pr_unit,MATCH(B3172,pr_code,0))&amp;"",""))</f>
        <v/>
      </c>
      <c r="J3172" s="65" t="str">
        <f>IF(COUNTA(A3172:G3172)=0,"",IF(E3172&lt;&gt;"",E3172,IF(B3172="","",IFERROR(IF(INDEX(pr_price,MATCH(B3172,pr_code,0))="","",INDEX(pr_price,MATCH(B3172,pr_code,0))),""))))</f>
        <v/>
      </c>
      <c r="K3172" s="71" t="str">
        <f>IF(COUNTA(A3172:G3172)=0,"",IF(G3172&lt;&gt;"",G3172,IF(B3172="","",IFERROR(IF(INDEX(pr_rate,MATCH(B3172,pr_code,0))="","",INDEX(pr_rate,MATCH(B3172,pr_code,0))),""))))</f>
        <v/>
      </c>
      <c r="L3172" s="65" t="str">
        <f>IF(COUNTA(A3172:G3172)=0,"",IF(AND(ISNUMBER(D3172),ISNUMBER(J3172)),ROUND(D3172*J3172*(1-N(F3172)),2),0))</f>
        <v/>
      </c>
      <c r="M3172" s="62" t="str">
        <f>IF(A3172="","",IFERROR(INDEX(fa_cname,MATCH(A3172,fa_num,0))&amp;"",""))</f>
        <v/>
      </c>
      <c r="N3172" s="59" t="str">
        <f>IF(COUNTA(A3172:G3172)=0,"",IF(A3172="","N° facture manquant",IF(ISNA(MATCH(A3172,fa_num,0)),"Facture inconnue",IF(AND(B3172&lt;&gt;"",ISNA(MATCH(B3172,pr_code,0))),"Article inconnu",IF(H3172="","Désignation manquante",IF(OR(NOT(ISNUMBER(D3172)),N(D3172)&lt;=0),"Quantité invalide",IF(J3172="","Prix manquant",IF(OR(NOT(ISNUMBER(J3172)),N(J3172)&lt;0),"Prix invalide",IF(OR(AND(F3172&lt;&gt;"",NOT(ISNUMBER(F3172))),N(F3172)&lt;0,N(F3172)&gt;1),"Remise invalide",IF(K3172="","Taux de TVA manquant",IF(NOT(ISNUMBER(K3172)),"Taux de TVA invalide",IF(COUNTIF(p_rates,K3172)=0,"Taux de TVA hors liste (Paramètres)",IF(N(O3172)&gt;25,"Au-delà de 25 lignes : non imprimée","OK")))))))))))))</f>
        <v/>
      </c>
      <c r="O3172" s="59" t="str">
        <f>IF(A3172="","",COUNTIF($A$6:A3172,A3172))</f>
        <v/>
      </c>
      <c r="P3172" s="62" t="str">
        <f>IF(A3172="","",A3172&amp;"|"&amp;O3172)</f>
        <v/>
      </c>
    </row>
    <row r="3173">
      <c r="A3173" s="60" t="n"/>
      <c r="B3173" s="63" t="n"/>
      <c r="C3173" s="63" t="n"/>
      <c r="D3173" s="67" t="n"/>
      <c r="E3173" s="68" t="n"/>
      <c r="F3173" s="69" t="n"/>
      <c r="G3173" s="70" t="n"/>
      <c r="H3173" s="62" t="str">
        <f>IF(COUNTA(A3173:G3173)=0,"",IF(C3173&lt;&gt;"",C3173,IF(B3173="","",IFERROR(INDEX(pr_des,MATCH(B3173,pr_code,0))&amp;"",""))))</f>
        <v/>
      </c>
      <c r="I3173" s="59" t="str">
        <f>IF(B3173="","",IFERROR(INDEX(pr_unit,MATCH(B3173,pr_code,0))&amp;"",""))</f>
        <v/>
      </c>
      <c r="J3173" s="65" t="str">
        <f>IF(COUNTA(A3173:G3173)=0,"",IF(E3173&lt;&gt;"",E3173,IF(B3173="","",IFERROR(IF(INDEX(pr_price,MATCH(B3173,pr_code,0))="","",INDEX(pr_price,MATCH(B3173,pr_code,0))),""))))</f>
        <v/>
      </c>
      <c r="K3173" s="71" t="str">
        <f>IF(COUNTA(A3173:G3173)=0,"",IF(G3173&lt;&gt;"",G3173,IF(B3173="","",IFERROR(IF(INDEX(pr_rate,MATCH(B3173,pr_code,0))="","",INDEX(pr_rate,MATCH(B3173,pr_code,0))),""))))</f>
        <v/>
      </c>
      <c r="L3173" s="65" t="str">
        <f>IF(COUNTA(A3173:G3173)=0,"",IF(AND(ISNUMBER(D3173),ISNUMBER(J3173)),ROUND(D3173*J3173*(1-N(F3173)),2),0))</f>
        <v/>
      </c>
      <c r="M3173" s="62" t="str">
        <f>IF(A3173="","",IFERROR(INDEX(fa_cname,MATCH(A3173,fa_num,0))&amp;"",""))</f>
        <v/>
      </c>
      <c r="N3173" s="59" t="str">
        <f>IF(COUNTA(A3173:G3173)=0,"",IF(A3173="","N° facture manquant",IF(ISNA(MATCH(A3173,fa_num,0)),"Facture inconnue",IF(AND(B3173&lt;&gt;"",ISNA(MATCH(B3173,pr_code,0))),"Article inconnu",IF(H3173="","Désignation manquante",IF(OR(NOT(ISNUMBER(D3173)),N(D3173)&lt;=0),"Quantité invalide",IF(J3173="","Prix manquant",IF(OR(NOT(ISNUMBER(J3173)),N(J3173)&lt;0),"Prix invalide",IF(OR(AND(F3173&lt;&gt;"",NOT(ISNUMBER(F3173))),N(F3173)&lt;0,N(F3173)&gt;1),"Remise invalide",IF(K3173="","Taux de TVA manquant",IF(NOT(ISNUMBER(K3173)),"Taux de TVA invalide",IF(COUNTIF(p_rates,K3173)=0,"Taux de TVA hors liste (Paramètres)",IF(N(O3173)&gt;25,"Au-delà de 25 lignes : non imprimée","OK")))))))))))))</f>
        <v/>
      </c>
      <c r="O3173" s="59" t="str">
        <f>IF(A3173="","",COUNTIF($A$6:A3173,A3173))</f>
        <v/>
      </c>
      <c r="P3173" s="62" t="str">
        <f>IF(A3173="","",A3173&amp;"|"&amp;O3173)</f>
        <v/>
      </c>
    </row>
    <row r="3174">
      <c r="A3174" s="60" t="n"/>
      <c r="B3174" s="63" t="n"/>
      <c r="C3174" s="63" t="n"/>
      <c r="D3174" s="67" t="n"/>
      <c r="E3174" s="68" t="n"/>
      <c r="F3174" s="69" t="n"/>
      <c r="G3174" s="70" t="n"/>
      <c r="H3174" s="62" t="str">
        <f>IF(COUNTA(A3174:G3174)=0,"",IF(C3174&lt;&gt;"",C3174,IF(B3174="","",IFERROR(INDEX(pr_des,MATCH(B3174,pr_code,0))&amp;"",""))))</f>
        <v/>
      </c>
      <c r="I3174" s="59" t="str">
        <f>IF(B3174="","",IFERROR(INDEX(pr_unit,MATCH(B3174,pr_code,0))&amp;"",""))</f>
        <v/>
      </c>
      <c r="J3174" s="65" t="str">
        <f>IF(COUNTA(A3174:G3174)=0,"",IF(E3174&lt;&gt;"",E3174,IF(B3174="","",IFERROR(IF(INDEX(pr_price,MATCH(B3174,pr_code,0))="","",INDEX(pr_price,MATCH(B3174,pr_code,0))),""))))</f>
        <v/>
      </c>
      <c r="K3174" s="71" t="str">
        <f>IF(COUNTA(A3174:G3174)=0,"",IF(G3174&lt;&gt;"",G3174,IF(B3174="","",IFERROR(IF(INDEX(pr_rate,MATCH(B3174,pr_code,0))="","",INDEX(pr_rate,MATCH(B3174,pr_code,0))),""))))</f>
        <v/>
      </c>
      <c r="L3174" s="65" t="str">
        <f>IF(COUNTA(A3174:G3174)=0,"",IF(AND(ISNUMBER(D3174),ISNUMBER(J3174)),ROUND(D3174*J3174*(1-N(F3174)),2),0))</f>
        <v/>
      </c>
      <c r="M3174" s="62" t="str">
        <f>IF(A3174="","",IFERROR(INDEX(fa_cname,MATCH(A3174,fa_num,0))&amp;"",""))</f>
        <v/>
      </c>
      <c r="N3174" s="59" t="str">
        <f>IF(COUNTA(A3174:G3174)=0,"",IF(A3174="","N° facture manquant",IF(ISNA(MATCH(A3174,fa_num,0)),"Facture inconnue",IF(AND(B3174&lt;&gt;"",ISNA(MATCH(B3174,pr_code,0))),"Article inconnu",IF(H3174="","Désignation manquante",IF(OR(NOT(ISNUMBER(D3174)),N(D3174)&lt;=0),"Quantité invalide",IF(J3174="","Prix manquant",IF(OR(NOT(ISNUMBER(J3174)),N(J3174)&lt;0),"Prix invalide",IF(OR(AND(F3174&lt;&gt;"",NOT(ISNUMBER(F3174))),N(F3174)&lt;0,N(F3174)&gt;1),"Remise invalide",IF(K3174="","Taux de TVA manquant",IF(NOT(ISNUMBER(K3174)),"Taux de TVA invalide",IF(COUNTIF(p_rates,K3174)=0,"Taux de TVA hors liste (Paramètres)",IF(N(O3174)&gt;25,"Au-delà de 25 lignes : non imprimée","OK")))))))))))))</f>
        <v/>
      </c>
      <c r="O3174" s="59" t="str">
        <f>IF(A3174="","",COUNTIF($A$6:A3174,A3174))</f>
        <v/>
      </c>
      <c r="P3174" s="62" t="str">
        <f>IF(A3174="","",A3174&amp;"|"&amp;O3174)</f>
        <v/>
      </c>
    </row>
    <row r="3175">
      <c r="A3175" s="60" t="n"/>
      <c r="B3175" s="63" t="n"/>
      <c r="C3175" s="63" t="n"/>
      <c r="D3175" s="67" t="n"/>
      <c r="E3175" s="68" t="n"/>
      <c r="F3175" s="69" t="n"/>
      <c r="G3175" s="70" t="n"/>
      <c r="H3175" s="62" t="str">
        <f>IF(COUNTA(A3175:G3175)=0,"",IF(C3175&lt;&gt;"",C3175,IF(B3175="","",IFERROR(INDEX(pr_des,MATCH(B3175,pr_code,0))&amp;"",""))))</f>
        <v/>
      </c>
      <c r="I3175" s="59" t="str">
        <f>IF(B3175="","",IFERROR(INDEX(pr_unit,MATCH(B3175,pr_code,0))&amp;"",""))</f>
        <v/>
      </c>
      <c r="J3175" s="65" t="str">
        <f>IF(COUNTA(A3175:G3175)=0,"",IF(E3175&lt;&gt;"",E3175,IF(B3175="","",IFERROR(IF(INDEX(pr_price,MATCH(B3175,pr_code,0))="","",INDEX(pr_price,MATCH(B3175,pr_code,0))),""))))</f>
        <v/>
      </c>
      <c r="K3175" s="71" t="str">
        <f>IF(COUNTA(A3175:G3175)=0,"",IF(G3175&lt;&gt;"",G3175,IF(B3175="","",IFERROR(IF(INDEX(pr_rate,MATCH(B3175,pr_code,0))="","",INDEX(pr_rate,MATCH(B3175,pr_code,0))),""))))</f>
        <v/>
      </c>
      <c r="L3175" s="65" t="str">
        <f>IF(COUNTA(A3175:G3175)=0,"",IF(AND(ISNUMBER(D3175),ISNUMBER(J3175)),ROUND(D3175*J3175*(1-N(F3175)),2),0))</f>
        <v/>
      </c>
      <c r="M3175" s="62" t="str">
        <f>IF(A3175="","",IFERROR(INDEX(fa_cname,MATCH(A3175,fa_num,0))&amp;"",""))</f>
        <v/>
      </c>
      <c r="N3175" s="59" t="str">
        <f>IF(COUNTA(A3175:G3175)=0,"",IF(A3175="","N° facture manquant",IF(ISNA(MATCH(A3175,fa_num,0)),"Facture inconnue",IF(AND(B3175&lt;&gt;"",ISNA(MATCH(B3175,pr_code,0))),"Article inconnu",IF(H3175="","Désignation manquante",IF(OR(NOT(ISNUMBER(D3175)),N(D3175)&lt;=0),"Quantité invalide",IF(J3175="","Prix manquant",IF(OR(NOT(ISNUMBER(J3175)),N(J3175)&lt;0),"Prix invalide",IF(OR(AND(F3175&lt;&gt;"",NOT(ISNUMBER(F3175))),N(F3175)&lt;0,N(F3175)&gt;1),"Remise invalide",IF(K3175="","Taux de TVA manquant",IF(NOT(ISNUMBER(K3175)),"Taux de TVA invalide",IF(COUNTIF(p_rates,K3175)=0,"Taux de TVA hors liste (Paramètres)",IF(N(O3175)&gt;25,"Au-delà de 25 lignes : non imprimée","OK")))))))))))))</f>
        <v/>
      </c>
      <c r="O3175" s="59" t="str">
        <f>IF(A3175="","",COUNTIF($A$6:A3175,A3175))</f>
        <v/>
      </c>
      <c r="P3175" s="62" t="str">
        <f>IF(A3175="","",A3175&amp;"|"&amp;O3175)</f>
        <v/>
      </c>
    </row>
    <row r="3176">
      <c r="A3176" s="60" t="n"/>
      <c r="B3176" s="63" t="n"/>
      <c r="C3176" s="63" t="n"/>
      <c r="D3176" s="67" t="n"/>
      <c r="E3176" s="68" t="n"/>
      <c r="F3176" s="69" t="n"/>
      <c r="G3176" s="70" t="n"/>
      <c r="H3176" s="62" t="str">
        <f>IF(COUNTA(A3176:G3176)=0,"",IF(C3176&lt;&gt;"",C3176,IF(B3176="","",IFERROR(INDEX(pr_des,MATCH(B3176,pr_code,0))&amp;"",""))))</f>
        <v/>
      </c>
      <c r="I3176" s="59" t="str">
        <f>IF(B3176="","",IFERROR(INDEX(pr_unit,MATCH(B3176,pr_code,0))&amp;"",""))</f>
        <v/>
      </c>
      <c r="J3176" s="65" t="str">
        <f>IF(COUNTA(A3176:G3176)=0,"",IF(E3176&lt;&gt;"",E3176,IF(B3176="","",IFERROR(IF(INDEX(pr_price,MATCH(B3176,pr_code,0))="","",INDEX(pr_price,MATCH(B3176,pr_code,0))),""))))</f>
        <v/>
      </c>
      <c r="K3176" s="71" t="str">
        <f>IF(COUNTA(A3176:G3176)=0,"",IF(G3176&lt;&gt;"",G3176,IF(B3176="","",IFERROR(IF(INDEX(pr_rate,MATCH(B3176,pr_code,0))="","",INDEX(pr_rate,MATCH(B3176,pr_code,0))),""))))</f>
        <v/>
      </c>
      <c r="L3176" s="65" t="str">
        <f>IF(COUNTA(A3176:G3176)=0,"",IF(AND(ISNUMBER(D3176),ISNUMBER(J3176)),ROUND(D3176*J3176*(1-N(F3176)),2),0))</f>
        <v/>
      </c>
      <c r="M3176" s="62" t="str">
        <f>IF(A3176="","",IFERROR(INDEX(fa_cname,MATCH(A3176,fa_num,0))&amp;"",""))</f>
        <v/>
      </c>
      <c r="N3176" s="59" t="str">
        <f>IF(COUNTA(A3176:G3176)=0,"",IF(A3176="","N° facture manquant",IF(ISNA(MATCH(A3176,fa_num,0)),"Facture inconnue",IF(AND(B3176&lt;&gt;"",ISNA(MATCH(B3176,pr_code,0))),"Article inconnu",IF(H3176="","Désignation manquante",IF(OR(NOT(ISNUMBER(D3176)),N(D3176)&lt;=0),"Quantité invalide",IF(J3176="","Prix manquant",IF(OR(NOT(ISNUMBER(J3176)),N(J3176)&lt;0),"Prix invalide",IF(OR(AND(F3176&lt;&gt;"",NOT(ISNUMBER(F3176))),N(F3176)&lt;0,N(F3176)&gt;1),"Remise invalide",IF(K3176="","Taux de TVA manquant",IF(NOT(ISNUMBER(K3176)),"Taux de TVA invalide",IF(COUNTIF(p_rates,K3176)=0,"Taux de TVA hors liste (Paramètres)",IF(N(O3176)&gt;25,"Au-delà de 25 lignes : non imprimée","OK")))))))))))))</f>
        <v/>
      </c>
      <c r="O3176" s="59" t="str">
        <f>IF(A3176="","",COUNTIF($A$6:A3176,A3176))</f>
        <v/>
      </c>
      <c r="P3176" s="62" t="str">
        <f>IF(A3176="","",A3176&amp;"|"&amp;O3176)</f>
        <v/>
      </c>
    </row>
    <row r="3177">
      <c r="A3177" s="60" t="n"/>
      <c r="B3177" s="63" t="n"/>
      <c r="C3177" s="63" t="n"/>
      <c r="D3177" s="67" t="n"/>
      <c r="E3177" s="68" t="n"/>
      <c r="F3177" s="69" t="n"/>
      <c r="G3177" s="70" t="n"/>
      <c r="H3177" s="62" t="str">
        <f>IF(COUNTA(A3177:G3177)=0,"",IF(C3177&lt;&gt;"",C3177,IF(B3177="","",IFERROR(INDEX(pr_des,MATCH(B3177,pr_code,0))&amp;"",""))))</f>
        <v/>
      </c>
      <c r="I3177" s="59" t="str">
        <f>IF(B3177="","",IFERROR(INDEX(pr_unit,MATCH(B3177,pr_code,0))&amp;"",""))</f>
        <v/>
      </c>
      <c r="J3177" s="65" t="str">
        <f>IF(COUNTA(A3177:G3177)=0,"",IF(E3177&lt;&gt;"",E3177,IF(B3177="","",IFERROR(IF(INDEX(pr_price,MATCH(B3177,pr_code,0))="","",INDEX(pr_price,MATCH(B3177,pr_code,0))),""))))</f>
        <v/>
      </c>
      <c r="K3177" s="71" t="str">
        <f>IF(COUNTA(A3177:G3177)=0,"",IF(G3177&lt;&gt;"",G3177,IF(B3177="","",IFERROR(IF(INDEX(pr_rate,MATCH(B3177,pr_code,0))="","",INDEX(pr_rate,MATCH(B3177,pr_code,0))),""))))</f>
        <v/>
      </c>
      <c r="L3177" s="65" t="str">
        <f>IF(COUNTA(A3177:G3177)=0,"",IF(AND(ISNUMBER(D3177),ISNUMBER(J3177)),ROUND(D3177*J3177*(1-N(F3177)),2),0))</f>
        <v/>
      </c>
      <c r="M3177" s="62" t="str">
        <f>IF(A3177="","",IFERROR(INDEX(fa_cname,MATCH(A3177,fa_num,0))&amp;"",""))</f>
        <v/>
      </c>
      <c r="N3177" s="59" t="str">
        <f>IF(COUNTA(A3177:G3177)=0,"",IF(A3177="","N° facture manquant",IF(ISNA(MATCH(A3177,fa_num,0)),"Facture inconnue",IF(AND(B3177&lt;&gt;"",ISNA(MATCH(B3177,pr_code,0))),"Article inconnu",IF(H3177="","Désignation manquante",IF(OR(NOT(ISNUMBER(D3177)),N(D3177)&lt;=0),"Quantité invalide",IF(J3177="","Prix manquant",IF(OR(NOT(ISNUMBER(J3177)),N(J3177)&lt;0),"Prix invalide",IF(OR(AND(F3177&lt;&gt;"",NOT(ISNUMBER(F3177))),N(F3177)&lt;0,N(F3177)&gt;1),"Remise invalide",IF(K3177="","Taux de TVA manquant",IF(NOT(ISNUMBER(K3177)),"Taux de TVA invalide",IF(COUNTIF(p_rates,K3177)=0,"Taux de TVA hors liste (Paramètres)",IF(N(O3177)&gt;25,"Au-delà de 25 lignes : non imprimée","OK")))))))))))))</f>
        <v/>
      </c>
      <c r="O3177" s="59" t="str">
        <f>IF(A3177="","",COUNTIF($A$6:A3177,A3177))</f>
        <v/>
      </c>
      <c r="P3177" s="62" t="str">
        <f>IF(A3177="","",A3177&amp;"|"&amp;O3177)</f>
        <v/>
      </c>
    </row>
    <row r="3178">
      <c r="A3178" s="60" t="n"/>
      <c r="B3178" s="63" t="n"/>
      <c r="C3178" s="63" t="n"/>
      <c r="D3178" s="67" t="n"/>
      <c r="E3178" s="68" t="n"/>
      <c r="F3178" s="69" t="n"/>
      <c r="G3178" s="70" t="n"/>
      <c r="H3178" s="62" t="str">
        <f>IF(COUNTA(A3178:G3178)=0,"",IF(C3178&lt;&gt;"",C3178,IF(B3178="","",IFERROR(INDEX(pr_des,MATCH(B3178,pr_code,0))&amp;"",""))))</f>
        <v/>
      </c>
      <c r="I3178" s="59" t="str">
        <f>IF(B3178="","",IFERROR(INDEX(pr_unit,MATCH(B3178,pr_code,0))&amp;"",""))</f>
        <v/>
      </c>
      <c r="J3178" s="65" t="str">
        <f>IF(COUNTA(A3178:G3178)=0,"",IF(E3178&lt;&gt;"",E3178,IF(B3178="","",IFERROR(IF(INDEX(pr_price,MATCH(B3178,pr_code,0))="","",INDEX(pr_price,MATCH(B3178,pr_code,0))),""))))</f>
        <v/>
      </c>
      <c r="K3178" s="71" t="str">
        <f>IF(COUNTA(A3178:G3178)=0,"",IF(G3178&lt;&gt;"",G3178,IF(B3178="","",IFERROR(IF(INDEX(pr_rate,MATCH(B3178,pr_code,0))="","",INDEX(pr_rate,MATCH(B3178,pr_code,0))),""))))</f>
        <v/>
      </c>
      <c r="L3178" s="65" t="str">
        <f>IF(COUNTA(A3178:G3178)=0,"",IF(AND(ISNUMBER(D3178),ISNUMBER(J3178)),ROUND(D3178*J3178*(1-N(F3178)),2),0))</f>
        <v/>
      </c>
      <c r="M3178" s="62" t="str">
        <f>IF(A3178="","",IFERROR(INDEX(fa_cname,MATCH(A3178,fa_num,0))&amp;"",""))</f>
        <v/>
      </c>
      <c r="N3178" s="59" t="str">
        <f>IF(COUNTA(A3178:G3178)=0,"",IF(A3178="","N° facture manquant",IF(ISNA(MATCH(A3178,fa_num,0)),"Facture inconnue",IF(AND(B3178&lt;&gt;"",ISNA(MATCH(B3178,pr_code,0))),"Article inconnu",IF(H3178="","Désignation manquante",IF(OR(NOT(ISNUMBER(D3178)),N(D3178)&lt;=0),"Quantité invalide",IF(J3178="","Prix manquant",IF(OR(NOT(ISNUMBER(J3178)),N(J3178)&lt;0),"Prix invalide",IF(OR(AND(F3178&lt;&gt;"",NOT(ISNUMBER(F3178))),N(F3178)&lt;0,N(F3178)&gt;1),"Remise invalide",IF(K3178="","Taux de TVA manquant",IF(NOT(ISNUMBER(K3178)),"Taux de TVA invalide",IF(COUNTIF(p_rates,K3178)=0,"Taux de TVA hors liste (Paramètres)",IF(N(O3178)&gt;25,"Au-delà de 25 lignes : non imprimée","OK")))))))))))))</f>
        <v/>
      </c>
      <c r="O3178" s="59" t="str">
        <f>IF(A3178="","",COUNTIF($A$6:A3178,A3178))</f>
        <v/>
      </c>
      <c r="P3178" s="62" t="str">
        <f>IF(A3178="","",A3178&amp;"|"&amp;O3178)</f>
        <v/>
      </c>
    </row>
    <row r="3179">
      <c r="A3179" s="60" t="n"/>
      <c r="B3179" s="63" t="n"/>
      <c r="C3179" s="63" t="n"/>
      <c r="D3179" s="67" t="n"/>
      <c r="E3179" s="68" t="n"/>
      <c r="F3179" s="69" t="n"/>
      <c r="G3179" s="70" t="n"/>
      <c r="H3179" s="62" t="str">
        <f>IF(COUNTA(A3179:G3179)=0,"",IF(C3179&lt;&gt;"",C3179,IF(B3179="","",IFERROR(INDEX(pr_des,MATCH(B3179,pr_code,0))&amp;"",""))))</f>
        <v/>
      </c>
      <c r="I3179" s="59" t="str">
        <f>IF(B3179="","",IFERROR(INDEX(pr_unit,MATCH(B3179,pr_code,0))&amp;"",""))</f>
        <v/>
      </c>
      <c r="J3179" s="65" t="str">
        <f>IF(COUNTA(A3179:G3179)=0,"",IF(E3179&lt;&gt;"",E3179,IF(B3179="","",IFERROR(IF(INDEX(pr_price,MATCH(B3179,pr_code,0))="","",INDEX(pr_price,MATCH(B3179,pr_code,0))),""))))</f>
        <v/>
      </c>
      <c r="K3179" s="71" t="str">
        <f>IF(COUNTA(A3179:G3179)=0,"",IF(G3179&lt;&gt;"",G3179,IF(B3179="","",IFERROR(IF(INDEX(pr_rate,MATCH(B3179,pr_code,0))="","",INDEX(pr_rate,MATCH(B3179,pr_code,0))),""))))</f>
        <v/>
      </c>
      <c r="L3179" s="65" t="str">
        <f>IF(COUNTA(A3179:G3179)=0,"",IF(AND(ISNUMBER(D3179),ISNUMBER(J3179)),ROUND(D3179*J3179*(1-N(F3179)),2),0))</f>
        <v/>
      </c>
      <c r="M3179" s="62" t="str">
        <f>IF(A3179="","",IFERROR(INDEX(fa_cname,MATCH(A3179,fa_num,0))&amp;"",""))</f>
        <v/>
      </c>
      <c r="N3179" s="59" t="str">
        <f>IF(COUNTA(A3179:G3179)=0,"",IF(A3179="","N° facture manquant",IF(ISNA(MATCH(A3179,fa_num,0)),"Facture inconnue",IF(AND(B3179&lt;&gt;"",ISNA(MATCH(B3179,pr_code,0))),"Article inconnu",IF(H3179="","Désignation manquante",IF(OR(NOT(ISNUMBER(D3179)),N(D3179)&lt;=0),"Quantité invalide",IF(J3179="","Prix manquant",IF(OR(NOT(ISNUMBER(J3179)),N(J3179)&lt;0),"Prix invalide",IF(OR(AND(F3179&lt;&gt;"",NOT(ISNUMBER(F3179))),N(F3179)&lt;0,N(F3179)&gt;1),"Remise invalide",IF(K3179="","Taux de TVA manquant",IF(NOT(ISNUMBER(K3179)),"Taux de TVA invalide",IF(COUNTIF(p_rates,K3179)=0,"Taux de TVA hors liste (Paramètres)",IF(N(O3179)&gt;25,"Au-delà de 25 lignes : non imprimée","OK")))))))))))))</f>
        <v/>
      </c>
      <c r="O3179" s="59" t="str">
        <f>IF(A3179="","",COUNTIF($A$6:A3179,A3179))</f>
        <v/>
      </c>
      <c r="P3179" s="62" t="str">
        <f>IF(A3179="","",A3179&amp;"|"&amp;O3179)</f>
        <v/>
      </c>
    </row>
    <row r="3180">
      <c r="A3180" s="60" t="n"/>
      <c r="B3180" s="63" t="n"/>
      <c r="C3180" s="63" t="n"/>
      <c r="D3180" s="67" t="n"/>
      <c r="E3180" s="68" t="n"/>
      <c r="F3180" s="69" t="n"/>
      <c r="G3180" s="70" t="n"/>
      <c r="H3180" s="62" t="str">
        <f>IF(COUNTA(A3180:G3180)=0,"",IF(C3180&lt;&gt;"",C3180,IF(B3180="","",IFERROR(INDEX(pr_des,MATCH(B3180,pr_code,0))&amp;"",""))))</f>
        <v/>
      </c>
      <c r="I3180" s="59" t="str">
        <f>IF(B3180="","",IFERROR(INDEX(pr_unit,MATCH(B3180,pr_code,0))&amp;"",""))</f>
        <v/>
      </c>
      <c r="J3180" s="65" t="str">
        <f>IF(COUNTA(A3180:G3180)=0,"",IF(E3180&lt;&gt;"",E3180,IF(B3180="","",IFERROR(IF(INDEX(pr_price,MATCH(B3180,pr_code,0))="","",INDEX(pr_price,MATCH(B3180,pr_code,0))),""))))</f>
        <v/>
      </c>
      <c r="K3180" s="71" t="str">
        <f>IF(COUNTA(A3180:G3180)=0,"",IF(G3180&lt;&gt;"",G3180,IF(B3180="","",IFERROR(IF(INDEX(pr_rate,MATCH(B3180,pr_code,0))="","",INDEX(pr_rate,MATCH(B3180,pr_code,0))),""))))</f>
        <v/>
      </c>
      <c r="L3180" s="65" t="str">
        <f>IF(COUNTA(A3180:G3180)=0,"",IF(AND(ISNUMBER(D3180),ISNUMBER(J3180)),ROUND(D3180*J3180*(1-N(F3180)),2),0))</f>
        <v/>
      </c>
      <c r="M3180" s="62" t="str">
        <f>IF(A3180="","",IFERROR(INDEX(fa_cname,MATCH(A3180,fa_num,0))&amp;"",""))</f>
        <v/>
      </c>
      <c r="N3180" s="59" t="str">
        <f>IF(COUNTA(A3180:G3180)=0,"",IF(A3180="","N° facture manquant",IF(ISNA(MATCH(A3180,fa_num,0)),"Facture inconnue",IF(AND(B3180&lt;&gt;"",ISNA(MATCH(B3180,pr_code,0))),"Article inconnu",IF(H3180="","Désignation manquante",IF(OR(NOT(ISNUMBER(D3180)),N(D3180)&lt;=0),"Quantité invalide",IF(J3180="","Prix manquant",IF(OR(NOT(ISNUMBER(J3180)),N(J3180)&lt;0),"Prix invalide",IF(OR(AND(F3180&lt;&gt;"",NOT(ISNUMBER(F3180))),N(F3180)&lt;0,N(F3180)&gt;1),"Remise invalide",IF(K3180="","Taux de TVA manquant",IF(NOT(ISNUMBER(K3180)),"Taux de TVA invalide",IF(COUNTIF(p_rates,K3180)=0,"Taux de TVA hors liste (Paramètres)",IF(N(O3180)&gt;25,"Au-delà de 25 lignes : non imprimée","OK")))))))))))))</f>
        <v/>
      </c>
      <c r="O3180" s="59" t="str">
        <f>IF(A3180="","",COUNTIF($A$6:A3180,A3180))</f>
        <v/>
      </c>
      <c r="P3180" s="62" t="str">
        <f>IF(A3180="","",A3180&amp;"|"&amp;O3180)</f>
        <v/>
      </c>
    </row>
    <row r="3181">
      <c r="A3181" s="60" t="n"/>
      <c r="B3181" s="63" t="n"/>
      <c r="C3181" s="63" t="n"/>
      <c r="D3181" s="67" t="n"/>
      <c r="E3181" s="68" t="n"/>
      <c r="F3181" s="69" t="n"/>
      <c r="G3181" s="70" t="n"/>
      <c r="H3181" s="62" t="str">
        <f>IF(COUNTA(A3181:G3181)=0,"",IF(C3181&lt;&gt;"",C3181,IF(B3181="","",IFERROR(INDEX(pr_des,MATCH(B3181,pr_code,0))&amp;"",""))))</f>
        <v/>
      </c>
      <c r="I3181" s="59" t="str">
        <f>IF(B3181="","",IFERROR(INDEX(pr_unit,MATCH(B3181,pr_code,0))&amp;"",""))</f>
        <v/>
      </c>
      <c r="J3181" s="65" t="str">
        <f>IF(COUNTA(A3181:G3181)=0,"",IF(E3181&lt;&gt;"",E3181,IF(B3181="","",IFERROR(IF(INDEX(pr_price,MATCH(B3181,pr_code,0))="","",INDEX(pr_price,MATCH(B3181,pr_code,0))),""))))</f>
        <v/>
      </c>
      <c r="K3181" s="71" t="str">
        <f>IF(COUNTA(A3181:G3181)=0,"",IF(G3181&lt;&gt;"",G3181,IF(B3181="","",IFERROR(IF(INDEX(pr_rate,MATCH(B3181,pr_code,0))="","",INDEX(pr_rate,MATCH(B3181,pr_code,0))),""))))</f>
        <v/>
      </c>
      <c r="L3181" s="65" t="str">
        <f>IF(COUNTA(A3181:G3181)=0,"",IF(AND(ISNUMBER(D3181),ISNUMBER(J3181)),ROUND(D3181*J3181*(1-N(F3181)),2),0))</f>
        <v/>
      </c>
      <c r="M3181" s="62" t="str">
        <f>IF(A3181="","",IFERROR(INDEX(fa_cname,MATCH(A3181,fa_num,0))&amp;"",""))</f>
        <v/>
      </c>
      <c r="N3181" s="59" t="str">
        <f>IF(COUNTA(A3181:G3181)=0,"",IF(A3181="","N° facture manquant",IF(ISNA(MATCH(A3181,fa_num,0)),"Facture inconnue",IF(AND(B3181&lt;&gt;"",ISNA(MATCH(B3181,pr_code,0))),"Article inconnu",IF(H3181="","Désignation manquante",IF(OR(NOT(ISNUMBER(D3181)),N(D3181)&lt;=0),"Quantité invalide",IF(J3181="","Prix manquant",IF(OR(NOT(ISNUMBER(J3181)),N(J3181)&lt;0),"Prix invalide",IF(OR(AND(F3181&lt;&gt;"",NOT(ISNUMBER(F3181))),N(F3181)&lt;0,N(F3181)&gt;1),"Remise invalide",IF(K3181="","Taux de TVA manquant",IF(NOT(ISNUMBER(K3181)),"Taux de TVA invalide",IF(COUNTIF(p_rates,K3181)=0,"Taux de TVA hors liste (Paramètres)",IF(N(O3181)&gt;25,"Au-delà de 25 lignes : non imprimée","OK")))))))))))))</f>
        <v/>
      </c>
      <c r="O3181" s="59" t="str">
        <f>IF(A3181="","",COUNTIF($A$6:A3181,A3181))</f>
        <v/>
      </c>
      <c r="P3181" s="62" t="str">
        <f>IF(A3181="","",A3181&amp;"|"&amp;O3181)</f>
        <v/>
      </c>
    </row>
    <row r="3182">
      <c r="A3182" s="60" t="n"/>
      <c r="B3182" s="63" t="n"/>
      <c r="C3182" s="63" t="n"/>
      <c r="D3182" s="67" t="n"/>
      <c r="E3182" s="68" t="n"/>
      <c r="F3182" s="69" t="n"/>
      <c r="G3182" s="70" t="n"/>
      <c r="H3182" s="62" t="str">
        <f>IF(COUNTA(A3182:G3182)=0,"",IF(C3182&lt;&gt;"",C3182,IF(B3182="","",IFERROR(INDEX(pr_des,MATCH(B3182,pr_code,0))&amp;"",""))))</f>
        <v/>
      </c>
      <c r="I3182" s="59" t="str">
        <f>IF(B3182="","",IFERROR(INDEX(pr_unit,MATCH(B3182,pr_code,0))&amp;"",""))</f>
        <v/>
      </c>
      <c r="J3182" s="65" t="str">
        <f>IF(COUNTA(A3182:G3182)=0,"",IF(E3182&lt;&gt;"",E3182,IF(B3182="","",IFERROR(IF(INDEX(pr_price,MATCH(B3182,pr_code,0))="","",INDEX(pr_price,MATCH(B3182,pr_code,0))),""))))</f>
        <v/>
      </c>
      <c r="K3182" s="71" t="str">
        <f>IF(COUNTA(A3182:G3182)=0,"",IF(G3182&lt;&gt;"",G3182,IF(B3182="","",IFERROR(IF(INDEX(pr_rate,MATCH(B3182,pr_code,0))="","",INDEX(pr_rate,MATCH(B3182,pr_code,0))),""))))</f>
        <v/>
      </c>
      <c r="L3182" s="65" t="str">
        <f>IF(COUNTA(A3182:G3182)=0,"",IF(AND(ISNUMBER(D3182),ISNUMBER(J3182)),ROUND(D3182*J3182*(1-N(F3182)),2),0))</f>
        <v/>
      </c>
      <c r="M3182" s="62" t="str">
        <f>IF(A3182="","",IFERROR(INDEX(fa_cname,MATCH(A3182,fa_num,0))&amp;"",""))</f>
        <v/>
      </c>
      <c r="N3182" s="59" t="str">
        <f>IF(COUNTA(A3182:G3182)=0,"",IF(A3182="","N° facture manquant",IF(ISNA(MATCH(A3182,fa_num,0)),"Facture inconnue",IF(AND(B3182&lt;&gt;"",ISNA(MATCH(B3182,pr_code,0))),"Article inconnu",IF(H3182="","Désignation manquante",IF(OR(NOT(ISNUMBER(D3182)),N(D3182)&lt;=0),"Quantité invalide",IF(J3182="","Prix manquant",IF(OR(NOT(ISNUMBER(J3182)),N(J3182)&lt;0),"Prix invalide",IF(OR(AND(F3182&lt;&gt;"",NOT(ISNUMBER(F3182))),N(F3182)&lt;0,N(F3182)&gt;1),"Remise invalide",IF(K3182="","Taux de TVA manquant",IF(NOT(ISNUMBER(K3182)),"Taux de TVA invalide",IF(COUNTIF(p_rates,K3182)=0,"Taux de TVA hors liste (Paramètres)",IF(N(O3182)&gt;25,"Au-delà de 25 lignes : non imprimée","OK")))))))))))))</f>
        <v/>
      </c>
      <c r="O3182" s="59" t="str">
        <f>IF(A3182="","",COUNTIF($A$6:A3182,A3182))</f>
        <v/>
      </c>
      <c r="P3182" s="62" t="str">
        <f>IF(A3182="","",A3182&amp;"|"&amp;O3182)</f>
        <v/>
      </c>
    </row>
    <row r="3183">
      <c r="A3183" s="60" t="n"/>
      <c r="B3183" s="63" t="n"/>
      <c r="C3183" s="63" t="n"/>
      <c r="D3183" s="67" t="n"/>
      <c r="E3183" s="68" t="n"/>
      <c r="F3183" s="69" t="n"/>
      <c r="G3183" s="70" t="n"/>
      <c r="H3183" s="62" t="str">
        <f>IF(COUNTA(A3183:G3183)=0,"",IF(C3183&lt;&gt;"",C3183,IF(B3183="","",IFERROR(INDEX(pr_des,MATCH(B3183,pr_code,0))&amp;"",""))))</f>
        <v/>
      </c>
      <c r="I3183" s="59" t="str">
        <f>IF(B3183="","",IFERROR(INDEX(pr_unit,MATCH(B3183,pr_code,0))&amp;"",""))</f>
        <v/>
      </c>
      <c r="J3183" s="65" t="str">
        <f>IF(COUNTA(A3183:G3183)=0,"",IF(E3183&lt;&gt;"",E3183,IF(B3183="","",IFERROR(IF(INDEX(pr_price,MATCH(B3183,pr_code,0))="","",INDEX(pr_price,MATCH(B3183,pr_code,0))),""))))</f>
        <v/>
      </c>
      <c r="K3183" s="71" t="str">
        <f>IF(COUNTA(A3183:G3183)=0,"",IF(G3183&lt;&gt;"",G3183,IF(B3183="","",IFERROR(IF(INDEX(pr_rate,MATCH(B3183,pr_code,0))="","",INDEX(pr_rate,MATCH(B3183,pr_code,0))),""))))</f>
        <v/>
      </c>
      <c r="L3183" s="65" t="str">
        <f>IF(COUNTA(A3183:G3183)=0,"",IF(AND(ISNUMBER(D3183),ISNUMBER(J3183)),ROUND(D3183*J3183*(1-N(F3183)),2),0))</f>
        <v/>
      </c>
      <c r="M3183" s="62" t="str">
        <f>IF(A3183="","",IFERROR(INDEX(fa_cname,MATCH(A3183,fa_num,0))&amp;"",""))</f>
        <v/>
      </c>
      <c r="N3183" s="59" t="str">
        <f>IF(COUNTA(A3183:G3183)=0,"",IF(A3183="","N° facture manquant",IF(ISNA(MATCH(A3183,fa_num,0)),"Facture inconnue",IF(AND(B3183&lt;&gt;"",ISNA(MATCH(B3183,pr_code,0))),"Article inconnu",IF(H3183="","Désignation manquante",IF(OR(NOT(ISNUMBER(D3183)),N(D3183)&lt;=0),"Quantité invalide",IF(J3183="","Prix manquant",IF(OR(NOT(ISNUMBER(J3183)),N(J3183)&lt;0),"Prix invalide",IF(OR(AND(F3183&lt;&gt;"",NOT(ISNUMBER(F3183))),N(F3183)&lt;0,N(F3183)&gt;1),"Remise invalide",IF(K3183="","Taux de TVA manquant",IF(NOT(ISNUMBER(K3183)),"Taux de TVA invalide",IF(COUNTIF(p_rates,K3183)=0,"Taux de TVA hors liste (Paramètres)",IF(N(O3183)&gt;25,"Au-delà de 25 lignes : non imprimée","OK")))))))))))))</f>
        <v/>
      </c>
      <c r="O3183" s="59" t="str">
        <f>IF(A3183="","",COUNTIF($A$6:A3183,A3183))</f>
        <v/>
      </c>
      <c r="P3183" s="62" t="str">
        <f>IF(A3183="","",A3183&amp;"|"&amp;O3183)</f>
        <v/>
      </c>
    </row>
    <row r="3184">
      <c r="A3184" s="60" t="n"/>
      <c r="B3184" s="63" t="n"/>
      <c r="C3184" s="63" t="n"/>
      <c r="D3184" s="67" t="n"/>
      <c r="E3184" s="68" t="n"/>
      <c r="F3184" s="69" t="n"/>
      <c r="G3184" s="70" t="n"/>
      <c r="H3184" s="62" t="str">
        <f>IF(COUNTA(A3184:G3184)=0,"",IF(C3184&lt;&gt;"",C3184,IF(B3184="","",IFERROR(INDEX(pr_des,MATCH(B3184,pr_code,0))&amp;"",""))))</f>
        <v/>
      </c>
      <c r="I3184" s="59" t="str">
        <f>IF(B3184="","",IFERROR(INDEX(pr_unit,MATCH(B3184,pr_code,0))&amp;"",""))</f>
        <v/>
      </c>
      <c r="J3184" s="65" t="str">
        <f>IF(COUNTA(A3184:G3184)=0,"",IF(E3184&lt;&gt;"",E3184,IF(B3184="","",IFERROR(IF(INDEX(pr_price,MATCH(B3184,pr_code,0))="","",INDEX(pr_price,MATCH(B3184,pr_code,0))),""))))</f>
        <v/>
      </c>
      <c r="K3184" s="71" t="str">
        <f>IF(COUNTA(A3184:G3184)=0,"",IF(G3184&lt;&gt;"",G3184,IF(B3184="","",IFERROR(IF(INDEX(pr_rate,MATCH(B3184,pr_code,0))="","",INDEX(pr_rate,MATCH(B3184,pr_code,0))),""))))</f>
        <v/>
      </c>
      <c r="L3184" s="65" t="str">
        <f>IF(COUNTA(A3184:G3184)=0,"",IF(AND(ISNUMBER(D3184),ISNUMBER(J3184)),ROUND(D3184*J3184*(1-N(F3184)),2),0))</f>
        <v/>
      </c>
      <c r="M3184" s="62" t="str">
        <f>IF(A3184="","",IFERROR(INDEX(fa_cname,MATCH(A3184,fa_num,0))&amp;"",""))</f>
        <v/>
      </c>
      <c r="N3184" s="59" t="str">
        <f>IF(COUNTA(A3184:G3184)=0,"",IF(A3184="","N° facture manquant",IF(ISNA(MATCH(A3184,fa_num,0)),"Facture inconnue",IF(AND(B3184&lt;&gt;"",ISNA(MATCH(B3184,pr_code,0))),"Article inconnu",IF(H3184="","Désignation manquante",IF(OR(NOT(ISNUMBER(D3184)),N(D3184)&lt;=0),"Quantité invalide",IF(J3184="","Prix manquant",IF(OR(NOT(ISNUMBER(J3184)),N(J3184)&lt;0),"Prix invalide",IF(OR(AND(F3184&lt;&gt;"",NOT(ISNUMBER(F3184))),N(F3184)&lt;0,N(F3184)&gt;1),"Remise invalide",IF(K3184="","Taux de TVA manquant",IF(NOT(ISNUMBER(K3184)),"Taux de TVA invalide",IF(COUNTIF(p_rates,K3184)=0,"Taux de TVA hors liste (Paramètres)",IF(N(O3184)&gt;25,"Au-delà de 25 lignes : non imprimée","OK")))))))))))))</f>
        <v/>
      </c>
      <c r="O3184" s="59" t="str">
        <f>IF(A3184="","",COUNTIF($A$6:A3184,A3184))</f>
        <v/>
      </c>
      <c r="P3184" s="62" t="str">
        <f>IF(A3184="","",A3184&amp;"|"&amp;O3184)</f>
        <v/>
      </c>
    </row>
    <row r="3185">
      <c r="A3185" s="60" t="n"/>
      <c r="B3185" s="63" t="n"/>
      <c r="C3185" s="63" t="n"/>
      <c r="D3185" s="67" t="n"/>
      <c r="E3185" s="68" t="n"/>
      <c r="F3185" s="69" t="n"/>
      <c r="G3185" s="70" t="n"/>
      <c r="H3185" s="62" t="str">
        <f>IF(COUNTA(A3185:G3185)=0,"",IF(C3185&lt;&gt;"",C3185,IF(B3185="","",IFERROR(INDEX(pr_des,MATCH(B3185,pr_code,0))&amp;"",""))))</f>
        <v/>
      </c>
      <c r="I3185" s="59" t="str">
        <f>IF(B3185="","",IFERROR(INDEX(pr_unit,MATCH(B3185,pr_code,0))&amp;"",""))</f>
        <v/>
      </c>
      <c r="J3185" s="65" t="str">
        <f>IF(COUNTA(A3185:G3185)=0,"",IF(E3185&lt;&gt;"",E3185,IF(B3185="","",IFERROR(IF(INDEX(pr_price,MATCH(B3185,pr_code,0))="","",INDEX(pr_price,MATCH(B3185,pr_code,0))),""))))</f>
        <v/>
      </c>
      <c r="K3185" s="71" t="str">
        <f>IF(COUNTA(A3185:G3185)=0,"",IF(G3185&lt;&gt;"",G3185,IF(B3185="","",IFERROR(IF(INDEX(pr_rate,MATCH(B3185,pr_code,0))="","",INDEX(pr_rate,MATCH(B3185,pr_code,0))),""))))</f>
        <v/>
      </c>
      <c r="L3185" s="65" t="str">
        <f>IF(COUNTA(A3185:G3185)=0,"",IF(AND(ISNUMBER(D3185),ISNUMBER(J3185)),ROUND(D3185*J3185*(1-N(F3185)),2),0))</f>
        <v/>
      </c>
      <c r="M3185" s="62" t="str">
        <f>IF(A3185="","",IFERROR(INDEX(fa_cname,MATCH(A3185,fa_num,0))&amp;"",""))</f>
        <v/>
      </c>
      <c r="N3185" s="59" t="str">
        <f>IF(COUNTA(A3185:G3185)=0,"",IF(A3185="","N° facture manquant",IF(ISNA(MATCH(A3185,fa_num,0)),"Facture inconnue",IF(AND(B3185&lt;&gt;"",ISNA(MATCH(B3185,pr_code,0))),"Article inconnu",IF(H3185="","Désignation manquante",IF(OR(NOT(ISNUMBER(D3185)),N(D3185)&lt;=0),"Quantité invalide",IF(J3185="","Prix manquant",IF(OR(NOT(ISNUMBER(J3185)),N(J3185)&lt;0),"Prix invalide",IF(OR(AND(F3185&lt;&gt;"",NOT(ISNUMBER(F3185))),N(F3185)&lt;0,N(F3185)&gt;1),"Remise invalide",IF(K3185="","Taux de TVA manquant",IF(NOT(ISNUMBER(K3185)),"Taux de TVA invalide",IF(COUNTIF(p_rates,K3185)=0,"Taux de TVA hors liste (Paramètres)",IF(N(O3185)&gt;25,"Au-delà de 25 lignes : non imprimée","OK")))))))))))))</f>
        <v/>
      </c>
      <c r="O3185" s="59" t="str">
        <f>IF(A3185="","",COUNTIF($A$6:A3185,A3185))</f>
        <v/>
      </c>
      <c r="P3185" s="62" t="str">
        <f>IF(A3185="","",A3185&amp;"|"&amp;O3185)</f>
        <v/>
      </c>
    </row>
    <row r="3186">
      <c r="A3186" s="60" t="n"/>
      <c r="B3186" s="63" t="n"/>
      <c r="C3186" s="63" t="n"/>
      <c r="D3186" s="67" t="n"/>
      <c r="E3186" s="68" t="n"/>
      <c r="F3186" s="69" t="n"/>
      <c r="G3186" s="70" t="n"/>
      <c r="H3186" s="62" t="str">
        <f>IF(COUNTA(A3186:G3186)=0,"",IF(C3186&lt;&gt;"",C3186,IF(B3186="","",IFERROR(INDEX(pr_des,MATCH(B3186,pr_code,0))&amp;"",""))))</f>
        <v/>
      </c>
      <c r="I3186" s="59" t="str">
        <f>IF(B3186="","",IFERROR(INDEX(pr_unit,MATCH(B3186,pr_code,0))&amp;"",""))</f>
        <v/>
      </c>
      <c r="J3186" s="65" t="str">
        <f>IF(COUNTA(A3186:G3186)=0,"",IF(E3186&lt;&gt;"",E3186,IF(B3186="","",IFERROR(IF(INDEX(pr_price,MATCH(B3186,pr_code,0))="","",INDEX(pr_price,MATCH(B3186,pr_code,0))),""))))</f>
        <v/>
      </c>
      <c r="K3186" s="71" t="str">
        <f>IF(COUNTA(A3186:G3186)=0,"",IF(G3186&lt;&gt;"",G3186,IF(B3186="","",IFERROR(IF(INDEX(pr_rate,MATCH(B3186,pr_code,0))="","",INDEX(pr_rate,MATCH(B3186,pr_code,0))),""))))</f>
        <v/>
      </c>
      <c r="L3186" s="65" t="str">
        <f>IF(COUNTA(A3186:G3186)=0,"",IF(AND(ISNUMBER(D3186),ISNUMBER(J3186)),ROUND(D3186*J3186*(1-N(F3186)),2),0))</f>
        <v/>
      </c>
      <c r="M3186" s="62" t="str">
        <f>IF(A3186="","",IFERROR(INDEX(fa_cname,MATCH(A3186,fa_num,0))&amp;"",""))</f>
        <v/>
      </c>
      <c r="N3186" s="59" t="str">
        <f>IF(COUNTA(A3186:G3186)=0,"",IF(A3186="","N° facture manquant",IF(ISNA(MATCH(A3186,fa_num,0)),"Facture inconnue",IF(AND(B3186&lt;&gt;"",ISNA(MATCH(B3186,pr_code,0))),"Article inconnu",IF(H3186="","Désignation manquante",IF(OR(NOT(ISNUMBER(D3186)),N(D3186)&lt;=0),"Quantité invalide",IF(J3186="","Prix manquant",IF(OR(NOT(ISNUMBER(J3186)),N(J3186)&lt;0),"Prix invalide",IF(OR(AND(F3186&lt;&gt;"",NOT(ISNUMBER(F3186))),N(F3186)&lt;0,N(F3186)&gt;1),"Remise invalide",IF(K3186="","Taux de TVA manquant",IF(NOT(ISNUMBER(K3186)),"Taux de TVA invalide",IF(COUNTIF(p_rates,K3186)=0,"Taux de TVA hors liste (Paramètres)",IF(N(O3186)&gt;25,"Au-delà de 25 lignes : non imprimée","OK")))))))))))))</f>
        <v/>
      </c>
      <c r="O3186" s="59" t="str">
        <f>IF(A3186="","",COUNTIF($A$6:A3186,A3186))</f>
        <v/>
      </c>
      <c r="P3186" s="62" t="str">
        <f>IF(A3186="","",A3186&amp;"|"&amp;O3186)</f>
        <v/>
      </c>
    </row>
    <row r="3187">
      <c r="A3187" s="60" t="n"/>
      <c r="B3187" s="63" t="n"/>
      <c r="C3187" s="63" t="n"/>
      <c r="D3187" s="67" t="n"/>
      <c r="E3187" s="68" t="n"/>
      <c r="F3187" s="69" t="n"/>
      <c r="G3187" s="70" t="n"/>
      <c r="H3187" s="62" t="str">
        <f>IF(COUNTA(A3187:G3187)=0,"",IF(C3187&lt;&gt;"",C3187,IF(B3187="","",IFERROR(INDEX(pr_des,MATCH(B3187,pr_code,0))&amp;"",""))))</f>
        <v/>
      </c>
      <c r="I3187" s="59" t="str">
        <f>IF(B3187="","",IFERROR(INDEX(pr_unit,MATCH(B3187,pr_code,0))&amp;"",""))</f>
        <v/>
      </c>
      <c r="J3187" s="65" t="str">
        <f>IF(COUNTA(A3187:G3187)=0,"",IF(E3187&lt;&gt;"",E3187,IF(B3187="","",IFERROR(IF(INDEX(pr_price,MATCH(B3187,pr_code,0))="","",INDEX(pr_price,MATCH(B3187,pr_code,0))),""))))</f>
        <v/>
      </c>
      <c r="K3187" s="71" t="str">
        <f>IF(COUNTA(A3187:G3187)=0,"",IF(G3187&lt;&gt;"",G3187,IF(B3187="","",IFERROR(IF(INDEX(pr_rate,MATCH(B3187,pr_code,0))="","",INDEX(pr_rate,MATCH(B3187,pr_code,0))),""))))</f>
        <v/>
      </c>
      <c r="L3187" s="65" t="str">
        <f>IF(COUNTA(A3187:G3187)=0,"",IF(AND(ISNUMBER(D3187),ISNUMBER(J3187)),ROUND(D3187*J3187*(1-N(F3187)),2),0))</f>
        <v/>
      </c>
      <c r="M3187" s="62" t="str">
        <f>IF(A3187="","",IFERROR(INDEX(fa_cname,MATCH(A3187,fa_num,0))&amp;"",""))</f>
        <v/>
      </c>
      <c r="N3187" s="59" t="str">
        <f>IF(COUNTA(A3187:G3187)=0,"",IF(A3187="","N° facture manquant",IF(ISNA(MATCH(A3187,fa_num,0)),"Facture inconnue",IF(AND(B3187&lt;&gt;"",ISNA(MATCH(B3187,pr_code,0))),"Article inconnu",IF(H3187="","Désignation manquante",IF(OR(NOT(ISNUMBER(D3187)),N(D3187)&lt;=0),"Quantité invalide",IF(J3187="","Prix manquant",IF(OR(NOT(ISNUMBER(J3187)),N(J3187)&lt;0),"Prix invalide",IF(OR(AND(F3187&lt;&gt;"",NOT(ISNUMBER(F3187))),N(F3187)&lt;0,N(F3187)&gt;1),"Remise invalide",IF(K3187="","Taux de TVA manquant",IF(NOT(ISNUMBER(K3187)),"Taux de TVA invalide",IF(COUNTIF(p_rates,K3187)=0,"Taux de TVA hors liste (Paramètres)",IF(N(O3187)&gt;25,"Au-delà de 25 lignes : non imprimée","OK")))))))))))))</f>
        <v/>
      </c>
      <c r="O3187" s="59" t="str">
        <f>IF(A3187="","",COUNTIF($A$6:A3187,A3187))</f>
        <v/>
      </c>
      <c r="P3187" s="62" t="str">
        <f>IF(A3187="","",A3187&amp;"|"&amp;O3187)</f>
        <v/>
      </c>
    </row>
    <row r="3188">
      <c r="A3188" s="60" t="n"/>
      <c r="B3188" s="63" t="n"/>
      <c r="C3188" s="63" t="n"/>
      <c r="D3188" s="67" t="n"/>
      <c r="E3188" s="68" t="n"/>
      <c r="F3188" s="69" t="n"/>
      <c r="G3188" s="70" t="n"/>
      <c r="H3188" s="62" t="str">
        <f>IF(COUNTA(A3188:G3188)=0,"",IF(C3188&lt;&gt;"",C3188,IF(B3188="","",IFERROR(INDEX(pr_des,MATCH(B3188,pr_code,0))&amp;"",""))))</f>
        <v/>
      </c>
      <c r="I3188" s="59" t="str">
        <f>IF(B3188="","",IFERROR(INDEX(pr_unit,MATCH(B3188,pr_code,0))&amp;"",""))</f>
        <v/>
      </c>
      <c r="J3188" s="65" t="str">
        <f>IF(COUNTA(A3188:G3188)=0,"",IF(E3188&lt;&gt;"",E3188,IF(B3188="","",IFERROR(IF(INDEX(pr_price,MATCH(B3188,pr_code,0))="","",INDEX(pr_price,MATCH(B3188,pr_code,0))),""))))</f>
        <v/>
      </c>
      <c r="K3188" s="71" t="str">
        <f>IF(COUNTA(A3188:G3188)=0,"",IF(G3188&lt;&gt;"",G3188,IF(B3188="","",IFERROR(IF(INDEX(pr_rate,MATCH(B3188,pr_code,0))="","",INDEX(pr_rate,MATCH(B3188,pr_code,0))),""))))</f>
        <v/>
      </c>
      <c r="L3188" s="65" t="str">
        <f>IF(COUNTA(A3188:G3188)=0,"",IF(AND(ISNUMBER(D3188),ISNUMBER(J3188)),ROUND(D3188*J3188*(1-N(F3188)),2),0))</f>
        <v/>
      </c>
      <c r="M3188" s="62" t="str">
        <f>IF(A3188="","",IFERROR(INDEX(fa_cname,MATCH(A3188,fa_num,0))&amp;"",""))</f>
        <v/>
      </c>
      <c r="N3188" s="59" t="str">
        <f>IF(COUNTA(A3188:G3188)=0,"",IF(A3188="","N° facture manquant",IF(ISNA(MATCH(A3188,fa_num,0)),"Facture inconnue",IF(AND(B3188&lt;&gt;"",ISNA(MATCH(B3188,pr_code,0))),"Article inconnu",IF(H3188="","Désignation manquante",IF(OR(NOT(ISNUMBER(D3188)),N(D3188)&lt;=0),"Quantité invalide",IF(J3188="","Prix manquant",IF(OR(NOT(ISNUMBER(J3188)),N(J3188)&lt;0),"Prix invalide",IF(OR(AND(F3188&lt;&gt;"",NOT(ISNUMBER(F3188))),N(F3188)&lt;0,N(F3188)&gt;1),"Remise invalide",IF(K3188="","Taux de TVA manquant",IF(NOT(ISNUMBER(K3188)),"Taux de TVA invalide",IF(COUNTIF(p_rates,K3188)=0,"Taux de TVA hors liste (Paramètres)",IF(N(O3188)&gt;25,"Au-delà de 25 lignes : non imprimée","OK")))))))))))))</f>
        <v/>
      </c>
      <c r="O3188" s="59" t="str">
        <f>IF(A3188="","",COUNTIF($A$6:A3188,A3188))</f>
        <v/>
      </c>
      <c r="P3188" s="62" t="str">
        <f>IF(A3188="","",A3188&amp;"|"&amp;O3188)</f>
        <v/>
      </c>
    </row>
    <row r="3189">
      <c r="A3189" s="60" t="n"/>
      <c r="B3189" s="63" t="n"/>
      <c r="C3189" s="63" t="n"/>
      <c r="D3189" s="67" t="n"/>
      <c r="E3189" s="68" t="n"/>
      <c r="F3189" s="69" t="n"/>
      <c r="G3189" s="70" t="n"/>
      <c r="H3189" s="62" t="str">
        <f>IF(COUNTA(A3189:G3189)=0,"",IF(C3189&lt;&gt;"",C3189,IF(B3189="","",IFERROR(INDEX(pr_des,MATCH(B3189,pr_code,0))&amp;"",""))))</f>
        <v/>
      </c>
      <c r="I3189" s="59" t="str">
        <f>IF(B3189="","",IFERROR(INDEX(pr_unit,MATCH(B3189,pr_code,0))&amp;"",""))</f>
        <v/>
      </c>
      <c r="J3189" s="65" t="str">
        <f>IF(COUNTA(A3189:G3189)=0,"",IF(E3189&lt;&gt;"",E3189,IF(B3189="","",IFERROR(IF(INDEX(pr_price,MATCH(B3189,pr_code,0))="","",INDEX(pr_price,MATCH(B3189,pr_code,0))),""))))</f>
        <v/>
      </c>
      <c r="K3189" s="71" t="str">
        <f>IF(COUNTA(A3189:G3189)=0,"",IF(G3189&lt;&gt;"",G3189,IF(B3189="","",IFERROR(IF(INDEX(pr_rate,MATCH(B3189,pr_code,0))="","",INDEX(pr_rate,MATCH(B3189,pr_code,0))),""))))</f>
        <v/>
      </c>
      <c r="L3189" s="65" t="str">
        <f>IF(COUNTA(A3189:G3189)=0,"",IF(AND(ISNUMBER(D3189),ISNUMBER(J3189)),ROUND(D3189*J3189*(1-N(F3189)),2),0))</f>
        <v/>
      </c>
      <c r="M3189" s="62" t="str">
        <f>IF(A3189="","",IFERROR(INDEX(fa_cname,MATCH(A3189,fa_num,0))&amp;"",""))</f>
        <v/>
      </c>
      <c r="N3189" s="59" t="str">
        <f>IF(COUNTA(A3189:G3189)=0,"",IF(A3189="","N° facture manquant",IF(ISNA(MATCH(A3189,fa_num,0)),"Facture inconnue",IF(AND(B3189&lt;&gt;"",ISNA(MATCH(B3189,pr_code,0))),"Article inconnu",IF(H3189="","Désignation manquante",IF(OR(NOT(ISNUMBER(D3189)),N(D3189)&lt;=0),"Quantité invalide",IF(J3189="","Prix manquant",IF(OR(NOT(ISNUMBER(J3189)),N(J3189)&lt;0),"Prix invalide",IF(OR(AND(F3189&lt;&gt;"",NOT(ISNUMBER(F3189))),N(F3189)&lt;0,N(F3189)&gt;1),"Remise invalide",IF(K3189="","Taux de TVA manquant",IF(NOT(ISNUMBER(K3189)),"Taux de TVA invalide",IF(COUNTIF(p_rates,K3189)=0,"Taux de TVA hors liste (Paramètres)",IF(N(O3189)&gt;25,"Au-delà de 25 lignes : non imprimée","OK")))))))))))))</f>
        <v/>
      </c>
      <c r="O3189" s="59" t="str">
        <f>IF(A3189="","",COUNTIF($A$6:A3189,A3189))</f>
        <v/>
      </c>
      <c r="P3189" s="62" t="str">
        <f>IF(A3189="","",A3189&amp;"|"&amp;O3189)</f>
        <v/>
      </c>
    </row>
    <row r="3190">
      <c r="A3190" s="60" t="n"/>
      <c r="B3190" s="63" t="n"/>
      <c r="C3190" s="63" t="n"/>
      <c r="D3190" s="67" t="n"/>
      <c r="E3190" s="68" t="n"/>
      <c r="F3190" s="69" t="n"/>
      <c r="G3190" s="70" t="n"/>
      <c r="H3190" s="62" t="str">
        <f>IF(COUNTA(A3190:G3190)=0,"",IF(C3190&lt;&gt;"",C3190,IF(B3190="","",IFERROR(INDEX(pr_des,MATCH(B3190,pr_code,0))&amp;"",""))))</f>
        <v/>
      </c>
      <c r="I3190" s="59" t="str">
        <f>IF(B3190="","",IFERROR(INDEX(pr_unit,MATCH(B3190,pr_code,0))&amp;"",""))</f>
        <v/>
      </c>
      <c r="J3190" s="65" t="str">
        <f>IF(COUNTA(A3190:G3190)=0,"",IF(E3190&lt;&gt;"",E3190,IF(B3190="","",IFERROR(IF(INDEX(pr_price,MATCH(B3190,pr_code,0))="","",INDEX(pr_price,MATCH(B3190,pr_code,0))),""))))</f>
        <v/>
      </c>
      <c r="K3190" s="71" t="str">
        <f>IF(COUNTA(A3190:G3190)=0,"",IF(G3190&lt;&gt;"",G3190,IF(B3190="","",IFERROR(IF(INDEX(pr_rate,MATCH(B3190,pr_code,0))="","",INDEX(pr_rate,MATCH(B3190,pr_code,0))),""))))</f>
        <v/>
      </c>
      <c r="L3190" s="65" t="str">
        <f>IF(COUNTA(A3190:G3190)=0,"",IF(AND(ISNUMBER(D3190),ISNUMBER(J3190)),ROUND(D3190*J3190*(1-N(F3190)),2),0))</f>
        <v/>
      </c>
      <c r="M3190" s="62" t="str">
        <f>IF(A3190="","",IFERROR(INDEX(fa_cname,MATCH(A3190,fa_num,0))&amp;"",""))</f>
        <v/>
      </c>
      <c r="N3190" s="59" t="str">
        <f>IF(COUNTA(A3190:G3190)=0,"",IF(A3190="","N° facture manquant",IF(ISNA(MATCH(A3190,fa_num,0)),"Facture inconnue",IF(AND(B3190&lt;&gt;"",ISNA(MATCH(B3190,pr_code,0))),"Article inconnu",IF(H3190="","Désignation manquante",IF(OR(NOT(ISNUMBER(D3190)),N(D3190)&lt;=0),"Quantité invalide",IF(J3190="","Prix manquant",IF(OR(NOT(ISNUMBER(J3190)),N(J3190)&lt;0),"Prix invalide",IF(OR(AND(F3190&lt;&gt;"",NOT(ISNUMBER(F3190))),N(F3190)&lt;0,N(F3190)&gt;1),"Remise invalide",IF(K3190="","Taux de TVA manquant",IF(NOT(ISNUMBER(K3190)),"Taux de TVA invalide",IF(COUNTIF(p_rates,K3190)=0,"Taux de TVA hors liste (Paramètres)",IF(N(O3190)&gt;25,"Au-delà de 25 lignes : non imprimée","OK")))))))))))))</f>
        <v/>
      </c>
      <c r="O3190" s="59" t="str">
        <f>IF(A3190="","",COUNTIF($A$6:A3190,A3190))</f>
        <v/>
      </c>
      <c r="P3190" s="62" t="str">
        <f>IF(A3190="","",A3190&amp;"|"&amp;O3190)</f>
        <v/>
      </c>
    </row>
    <row r="3191">
      <c r="A3191" s="60" t="n"/>
      <c r="B3191" s="63" t="n"/>
      <c r="C3191" s="63" t="n"/>
      <c r="D3191" s="67" t="n"/>
      <c r="E3191" s="68" t="n"/>
      <c r="F3191" s="69" t="n"/>
      <c r="G3191" s="70" t="n"/>
      <c r="H3191" s="62" t="str">
        <f>IF(COUNTA(A3191:G3191)=0,"",IF(C3191&lt;&gt;"",C3191,IF(B3191="","",IFERROR(INDEX(pr_des,MATCH(B3191,pr_code,0))&amp;"",""))))</f>
        <v/>
      </c>
      <c r="I3191" s="59" t="str">
        <f>IF(B3191="","",IFERROR(INDEX(pr_unit,MATCH(B3191,pr_code,0))&amp;"",""))</f>
        <v/>
      </c>
      <c r="J3191" s="65" t="str">
        <f>IF(COUNTA(A3191:G3191)=0,"",IF(E3191&lt;&gt;"",E3191,IF(B3191="","",IFERROR(IF(INDEX(pr_price,MATCH(B3191,pr_code,0))="","",INDEX(pr_price,MATCH(B3191,pr_code,0))),""))))</f>
        <v/>
      </c>
      <c r="K3191" s="71" t="str">
        <f>IF(COUNTA(A3191:G3191)=0,"",IF(G3191&lt;&gt;"",G3191,IF(B3191="","",IFERROR(IF(INDEX(pr_rate,MATCH(B3191,pr_code,0))="","",INDEX(pr_rate,MATCH(B3191,pr_code,0))),""))))</f>
        <v/>
      </c>
      <c r="L3191" s="65" t="str">
        <f>IF(COUNTA(A3191:G3191)=0,"",IF(AND(ISNUMBER(D3191),ISNUMBER(J3191)),ROUND(D3191*J3191*(1-N(F3191)),2),0))</f>
        <v/>
      </c>
      <c r="M3191" s="62" t="str">
        <f>IF(A3191="","",IFERROR(INDEX(fa_cname,MATCH(A3191,fa_num,0))&amp;"",""))</f>
        <v/>
      </c>
      <c r="N3191" s="59" t="str">
        <f>IF(COUNTA(A3191:G3191)=0,"",IF(A3191="","N° facture manquant",IF(ISNA(MATCH(A3191,fa_num,0)),"Facture inconnue",IF(AND(B3191&lt;&gt;"",ISNA(MATCH(B3191,pr_code,0))),"Article inconnu",IF(H3191="","Désignation manquante",IF(OR(NOT(ISNUMBER(D3191)),N(D3191)&lt;=0),"Quantité invalide",IF(J3191="","Prix manquant",IF(OR(NOT(ISNUMBER(J3191)),N(J3191)&lt;0),"Prix invalide",IF(OR(AND(F3191&lt;&gt;"",NOT(ISNUMBER(F3191))),N(F3191)&lt;0,N(F3191)&gt;1),"Remise invalide",IF(K3191="","Taux de TVA manquant",IF(NOT(ISNUMBER(K3191)),"Taux de TVA invalide",IF(COUNTIF(p_rates,K3191)=0,"Taux de TVA hors liste (Paramètres)",IF(N(O3191)&gt;25,"Au-delà de 25 lignes : non imprimée","OK")))))))))))))</f>
        <v/>
      </c>
      <c r="O3191" s="59" t="str">
        <f>IF(A3191="","",COUNTIF($A$6:A3191,A3191))</f>
        <v/>
      </c>
      <c r="P3191" s="62" t="str">
        <f>IF(A3191="","",A3191&amp;"|"&amp;O3191)</f>
        <v/>
      </c>
    </row>
    <row r="3192">
      <c r="A3192" s="60" t="n"/>
      <c r="B3192" s="63" t="n"/>
      <c r="C3192" s="63" t="n"/>
      <c r="D3192" s="67" t="n"/>
      <c r="E3192" s="68" t="n"/>
      <c r="F3192" s="69" t="n"/>
      <c r="G3192" s="70" t="n"/>
      <c r="H3192" s="62" t="str">
        <f>IF(COUNTA(A3192:G3192)=0,"",IF(C3192&lt;&gt;"",C3192,IF(B3192="","",IFERROR(INDEX(pr_des,MATCH(B3192,pr_code,0))&amp;"",""))))</f>
        <v/>
      </c>
      <c r="I3192" s="59" t="str">
        <f>IF(B3192="","",IFERROR(INDEX(pr_unit,MATCH(B3192,pr_code,0))&amp;"",""))</f>
        <v/>
      </c>
      <c r="J3192" s="65" t="str">
        <f>IF(COUNTA(A3192:G3192)=0,"",IF(E3192&lt;&gt;"",E3192,IF(B3192="","",IFERROR(IF(INDEX(pr_price,MATCH(B3192,pr_code,0))="","",INDEX(pr_price,MATCH(B3192,pr_code,0))),""))))</f>
        <v/>
      </c>
      <c r="K3192" s="71" t="str">
        <f>IF(COUNTA(A3192:G3192)=0,"",IF(G3192&lt;&gt;"",G3192,IF(B3192="","",IFERROR(IF(INDEX(pr_rate,MATCH(B3192,pr_code,0))="","",INDEX(pr_rate,MATCH(B3192,pr_code,0))),""))))</f>
        <v/>
      </c>
      <c r="L3192" s="65" t="str">
        <f>IF(COUNTA(A3192:G3192)=0,"",IF(AND(ISNUMBER(D3192),ISNUMBER(J3192)),ROUND(D3192*J3192*(1-N(F3192)),2),0))</f>
        <v/>
      </c>
      <c r="M3192" s="62" t="str">
        <f>IF(A3192="","",IFERROR(INDEX(fa_cname,MATCH(A3192,fa_num,0))&amp;"",""))</f>
        <v/>
      </c>
      <c r="N3192" s="59" t="str">
        <f>IF(COUNTA(A3192:G3192)=0,"",IF(A3192="","N° facture manquant",IF(ISNA(MATCH(A3192,fa_num,0)),"Facture inconnue",IF(AND(B3192&lt;&gt;"",ISNA(MATCH(B3192,pr_code,0))),"Article inconnu",IF(H3192="","Désignation manquante",IF(OR(NOT(ISNUMBER(D3192)),N(D3192)&lt;=0),"Quantité invalide",IF(J3192="","Prix manquant",IF(OR(NOT(ISNUMBER(J3192)),N(J3192)&lt;0),"Prix invalide",IF(OR(AND(F3192&lt;&gt;"",NOT(ISNUMBER(F3192))),N(F3192)&lt;0,N(F3192)&gt;1),"Remise invalide",IF(K3192="","Taux de TVA manquant",IF(NOT(ISNUMBER(K3192)),"Taux de TVA invalide",IF(COUNTIF(p_rates,K3192)=0,"Taux de TVA hors liste (Paramètres)",IF(N(O3192)&gt;25,"Au-delà de 25 lignes : non imprimée","OK")))))))))))))</f>
        <v/>
      </c>
      <c r="O3192" s="59" t="str">
        <f>IF(A3192="","",COUNTIF($A$6:A3192,A3192))</f>
        <v/>
      </c>
      <c r="P3192" s="62" t="str">
        <f>IF(A3192="","",A3192&amp;"|"&amp;O3192)</f>
        <v/>
      </c>
    </row>
    <row r="3193">
      <c r="A3193" s="60" t="n"/>
      <c r="B3193" s="63" t="n"/>
      <c r="C3193" s="63" t="n"/>
      <c r="D3193" s="67" t="n"/>
      <c r="E3193" s="68" t="n"/>
      <c r="F3193" s="69" t="n"/>
      <c r="G3193" s="70" t="n"/>
      <c r="H3193" s="62" t="str">
        <f>IF(COUNTA(A3193:G3193)=0,"",IF(C3193&lt;&gt;"",C3193,IF(B3193="","",IFERROR(INDEX(pr_des,MATCH(B3193,pr_code,0))&amp;"",""))))</f>
        <v/>
      </c>
      <c r="I3193" s="59" t="str">
        <f>IF(B3193="","",IFERROR(INDEX(pr_unit,MATCH(B3193,pr_code,0))&amp;"",""))</f>
        <v/>
      </c>
      <c r="J3193" s="65" t="str">
        <f>IF(COUNTA(A3193:G3193)=0,"",IF(E3193&lt;&gt;"",E3193,IF(B3193="","",IFERROR(IF(INDEX(pr_price,MATCH(B3193,pr_code,0))="","",INDEX(pr_price,MATCH(B3193,pr_code,0))),""))))</f>
        <v/>
      </c>
      <c r="K3193" s="71" t="str">
        <f>IF(COUNTA(A3193:G3193)=0,"",IF(G3193&lt;&gt;"",G3193,IF(B3193="","",IFERROR(IF(INDEX(pr_rate,MATCH(B3193,pr_code,0))="","",INDEX(pr_rate,MATCH(B3193,pr_code,0))),""))))</f>
        <v/>
      </c>
      <c r="L3193" s="65" t="str">
        <f>IF(COUNTA(A3193:G3193)=0,"",IF(AND(ISNUMBER(D3193),ISNUMBER(J3193)),ROUND(D3193*J3193*(1-N(F3193)),2),0))</f>
        <v/>
      </c>
      <c r="M3193" s="62" t="str">
        <f>IF(A3193="","",IFERROR(INDEX(fa_cname,MATCH(A3193,fa_num,0))&amp;"",""))</f>
        <v/>
      </c>
      <c r="N3193" s="59" t="str">
        <f>IF(COUNTA(A3193:G3193)=0,"",IF(A3193="","N° facture manquant",IF(ISNA(MATCH(A3193,fa_num,0)),"Facture inconnue",IF(AND(B3193&lt;&gt;"",ISNA(MATCH(B3193,pr_code,0))),"Article inconnu",IF(H3193="","Désignation manquante",IF(OR(NOT(ISNUMBER(D3193)),N(D3193)&lt;=0),"Quantité invalide",IF(J3193="","Prix manquant",IF(OR(NOT(ISNUMBER(J3193)),N(J3193)&lt;0),"Prix invalide",IF(OR(AND(F3193&lt;&gt;"",NOT(ISNUMBER(F3193))),N(F3193)&lt;0,N(F3193)&gt;1),"Remise invalide",IF(K3193="","Taux de TVA manquant",IF(NOT(ISNUMBER(K3193)),"Taux de TVA invalide",IF(COUNTIF(p_rates,K3193)=0,"Taux de TVA hors liste (Paramètres)",IF(N(O3193)&gt;25,"Au-delà de 25 lignes : non imprimée","OK")))))))))))))</f>
        <v/>
      </c>
      <c r="O3193" s="59" t="str">
        <f>IF(A3193="","",COUNTIF($A$6:A3193,A3193))</f>
        <v/>
      </c>
      <c r="P3193" s="62" t="str">
        <f>IF(A3193="","",A3193&amp;"|"&amp;O3193)</f>
        <v/>
      </c>
    </row>
    <row r="3194">
      <c r="A3194" s="60" t="n"/>
      <c r="B3194" s="63" t="n"/>
      <c r="C3194" s="63" t="n"/>
      <c r="D3194" s="67" t="n"/>
      <c r="E3194" s="68" t="n"/>
      <c r="F3194" s="69" t="n"/>
      <c r="G3194" s="70" t="n"/>
      <c r="H3194" s="62" t="str">
        <f>IF(COUNTA(A3194:G3194)=0,"",IF(C3194&lt;&gt;"",C3194,IF(B3194="","",IFERROR(INDEX(pr_des,MATCH(B3194,pr_code,0))&amp;"",""))))</f>
        <v/>
      </c>
      <c r="I3194" s="59" t="str">
        <f>IF(B3194="","",IFERROR(INDEX(pr_unit,MATCH(B3194,pr_code,0))&amp;"",""))</f>
        <v/>
      </c>
      <c r="J3194" s="65" t="str">
        <f>IF(COUNTA(A3194:G3194)=0,"",IF(E3194&lt;&gt;"",E3194,IF(B3194="","",IFERROR(IF(INDEX(pr_price,MATCH(B3194,pr_code,0))="","",INDEX(pr_price,MATCH(B3194,pr_code,0))),""))))</f>
        <v/>
      </c>
      <c r="K3194" s="71" t="str">
        <f>IF(COUNTA(A3194:G3194)=0,"",IF(G3194&lt;&gt;"",G3194,IF(B3194="","",IFERROR(IF(INDEX(pr_rate,MATCH(B3194,pr_code,0))="","",INDEX(pr_rate,MATCH(B3194,pr_code,0))),""))))</f>
        <v/>
      </c>
      <c r="L3194" s="65" t="str">
        <f>IF(COUNTA(A3194:G3194)=0,"",IF(AND(ISNUMBER(D3194),ISNUMBER(J3194)),ROUND(D3194*J3194*(1-N(F3194)),2),0))</f>
        <v/>
      </c>
      <c r="M3194" s="62" t="str">
        <f>IF(A3194="","",IFERROR(INDEX(fa_cname,MATCH(A3194,fa_num,0))&amp;"",""))</f>
        <v/>
      </c>
      <c r="N3194" s="59" t="str">
        <f>IF(COUNTA(A3194:G3194)=0,"",IF(A3194="","N° facture manquant",IF(ISNA(MATCH(A3194,fa_num,0)),"Facture inconnue",IF(AND(B3194&lt;&gt;"",ISNA(MATCH(B3194,pr_code,0))),"Article inconnu",IF(H3194="","Désignation manquante",IF(OR(NOT(ISNUMBER(D3194)),N(D3194)&lt;=0),"Quantité invalide",IF(J3194="","Prix manquant",IF(OR(NOT(ISNUMBER(J3194)),N(J3194)&lt;0),"Prix invalide",IF(OR(AND(F3194&lt;&gt;"",NOT(ISNUMBER(F3194))),N(F3194)&lt;0,N(F3194)&gt;1),"Remise invalide",IF(K3194="","Taux de TVA manquant",IF(NOT(ISNUMBER(K3194)),"Taux de TVA invalide",IF(COUNTIF(p_rates,K3194)=0,"Taux de TVA hors liste (Paramètres)",IF(N(O3194)&gt;25,"Au-delà de 25 lignes : non imprimée","OK")))))))))))))</f>
        <v/>
      </c>
      <c r="O3194" s="59" t="str">
        <f>IF(A3194="","",COUNTIF($A$6:A3194,A3194))</f>
        <v/>
      </c>
      <c r="P3194" s="62" t="str">
        <f>IF(A3194="","",A3194&amp;"|"&amp;O3194)</f>
        <v/>
      </c>
    </row>
    <row r="3195">
      <c r="A3195" s="60" t="n"/>
      <c r="B3195" s="63" t="n"/>
      <c r="C3195" s="63" t="n"/>
      <c r="D3195" s="67" t="n"/>
      <c r="E3195" s="68" t="n"/>
      <c r="F3195" s="69" t="n"/>
      <c r="G3195" s="70" t="n"/>
      <c r="H3195" s="62" t="str">
        <f>IF(COUNTA(A3195:G3195)=0,"",IF(C3195&lt;&gt;"",C3195,IF(B3195="","",IFERROR(INDEX(pr_des,MATCH(B3195,pr_code,0))&amp;"",""))))</f>
        <v/>
      </c>
      <c r="I3195" s="59" t="str">
        <f>IF(B3195="","",IFERROR(INDEX(pr_unit,MATCH(B3195,pr_code,0))&amp;"",""))</f>
        <v/>
      </c>
      <c r="J3195" s="65" t="str">
        <f>IF(COUNTA(A3195:G3195)=0,"",IF(E3195&lt;&gt;"",E3195,IF(B3195="","",IFERROR(IF(INDEX(pr_price,MATCH(B3195,pr_code,0))="","",INDEX(pr_price,MATCH(B3195,pr_code,0))),""))))</f>
        <v/>
      </c>
      <c r="K3195" s="71" t="str">
        <f>IF(COUNTA(A3195:G3195)=0,"",IF(G3195&lt;&gt;"",G3195,IF(B3195="","",IFERROR(IF(INDEX(pr_rate,MATCH(B3195,pr_code,0))="","",INDEX(pr_rate,MATCH(B3195,pr_code,0))),""))))</f>
        <v/>
      </c>
      <c r="L3195" s="65" t="str">
        <f>IF(COUNTA(A3195:G3195)=0,"",IF(AND(ISNUMBER(D3195),ISNUMBER(J3195)),ROUND(D3195*J3195*(1-N(F3195)),2),0))</f>
        <v/>
      </c>
      <c r="M3195" s="62" t="str">
        <f>IF(A3195="","",IFERROR(INDEX(fa_cname,MATCH(A3195,fa_num,0))&amp;"",""))</f>
        <v/>
      </c>
      <c r="N3195" s="59" t="str">
        <f>IF(COUNTA(A3195:G3195)=0,"",IF(A3195="","N° facture manquant",IF(ISNA(MATCH(A3195,fa_num,0)),"Facture inconnue",IF(AND(B3195&lt;&gt;"",ISNA(MATCH(B3195,pr_code,0))),"Article inconnu",IF(H3195="","Désignation manquante",IF(OR(NOT(ISNUMBER(D3195)),N(D3195)&lt;=0),"Quantité invalide",IF(J3195="","Prix manquant",IF(OR(NOT(ISNUMBER(J3195)),N(J3195)&lt;0),"Prix invalide",IF(OR(AND(F3195&lt;&gt;"",NOT(ISNUMBER(F3195))),N(F3195)&lt;0,N(F3195)&gt;1),"Remise invalide",IF(K3195="","Taux de TVA manquant",IF(NOT(ISNUMBER(K3195)),"Taux de TVA invalide",IF(COUNTIF(p_rates,K3195)=0,"Taux de TVA hors liste (Paramètres)",IF(N(O3195)&gt;25,"Au-delà de 25 lignes : non imprimée","OK")))))))))))))</f>
        <v/>
      </c>
      <c r="O3195" s="59" t="str">
        <f>IF(A3195="","",COUNTIF($A$6:A3195,A3195))</f>
        <v/>
      </c>
      <c r="P3195" s="62" t="str">
        <f>IF(A3195="","",A3195&amp;"|"&amp;O3195)</f>
        <v/>
      </c>
    </row>
    <row r="3196">
      <c r="A3196" s="60" t="n"/>
      <c r="B3196" s="63" t="n"/>
      <c r="C3196" s="63" t="n"/>
      <c r="D3196" s="67" t="n"/>
      <c r="E3196" s="68" t="n"/>
      <c r="F3196" s="69" t="n"/>
      <c r="G3196" s="70" t="n"/>
      <c r="H3196" s="62" t="str">
        <f>IF(COUNTA(A3196:G3196)=0,"",IF(C3196&lt;&gt;"",C3196,IF(B3196="","",IFERROR(INDEX(pr_des,MATCH(B3196,pr_code,0))&amp;"",""))))</f>
        <v/>
      </c>
      <c r="I3196" s="59" t="str">
        <f>IF(B3196="","",IFERROR(INDEX(pr_unit,MATCH(B3196,pr_code,0))&amp;"",""))</f>
        <v/>
      </c>
      <c r="J3196" s="65" t="str">
        <f>IF(COUNTA(A3196:G3196)=0,"",IF(E3196&lt;&gt;"",E3196,IF(B3196="","",IFERROR(IF(INDEX(pr_price,MATCH(B3196,pr_code,0))="","",INDEX(pr_price,MATCH(B3196,pr_code,0))),""))))</f>
        <v/>
      </c>
      <c r="K3196" s="71" t="str">
        <f>IF(COUNTA(A3196:G3196)=0,"",IF(G3196&lt;&gt;"",G3196,IF(B3196="","",IFERROR(IF(INDEX(pr_rate,MATCH(B3196,pr_code,0))="","",INDEX(pr_rate,MATCH(B3196,pr_code,0))),""))))</f>
        <v/>
      </c>
      <c r="L3196" s="65" t="str">
        <f>IF(COUNTA(A3196:G3196)=0,"",IF(AND(ISNUMBER(D3196),ISNUMBER(J3196)),ROUND(D3196*J3196*(1-N(F3196)),2),0))</f>
        <v/>
      </c>
      <c r="M3196" s="62" t="str">
        <f>IF(A3196="","",IFERROR(INDEX(fa_cname,MATCH(A3196,fa_num,0))&amp;"",""))</f>
        <v/>
      </c>
      <c r="N3196" s="59" t="str">
        <f>IF(COUNTA(A3196:G3196)=0,"",IF(A3196="","N° facture manquant",IF(ISNA(MATCH(A3196,fa_num,0)),"Facture inconnue",IF(AND(B3196&lt;&gt;"",ISNA(MATCH(B3196,pr_code,0))),"Article inconnu",IF(H3196="","Désignation manquante",IF(OR(NOT(ISNUMBER(D3196)),N(D3196)&lt;=0),"Quantité invalide",IF(J3196="","Prix manquant",IF(OR(NOT(ISNUMBER(J3196)),N(J3196)&lt;0),"Prix invalide",IF(OR(AND(F3196&lt;&gt;"",NOT(ISNUMBER(F3196))),N(F3196)&lt;0,N(F3196)&gt;1),"Remise invalide",IF(K3196="","Taux de TVA manquant",IF(NOT(ISNUMBER(K3196)),"Taux de TVA invalide",IF(COUNTIF(p_rates,K3196)=0,"Taux de TVA hors liste (Paramètres)",IF(N(O3196)&gt;25,"Au-delà de 25 lignes : non imprimée","OK")))))))))))))</f>
        <v/>
      </c>
      <c r="O3196" s="59" t="str">
        <f>IF(A3196="","",COUNTIF($A$6:A3196,A3196))</f>
        <v/>
      </c>
      <c r="P3196" s="62" t="str">
        <f>IF(A3196="","",A3196&amp;"|"&amp;O3196)</f>
        <v/>
      </c>
    </row>
    <row r="3197">
      <c r="A3197" s="60" t="n"/>
      <c r="B3197" s="63" t="n"/>
      <c r="C3197" s="63" t="n"/>
      <c r="D3197" s="67" t="n"/>
      <c r="E3197" s="68" t="n"/>
      <c r="F3197" s="69" t="n"/>
      <c r="G3197" s="70" t="n"/>
      <c r="H3197" s="62" t="str">
        <f>IF(COUNTA(A3197:G3197)=0,"",IF(C3197&lt;&gt;"",C3197,IF(B3197="","",IFERROR(INDEX(pr_des,MATCH(B3197,pr_code,0))&amp;"",""))))</f>
        <v/>
      </c>
      <c r="I3197" s="59" t="str">
        <f>IF(B3197="","",IFERROR(INDEX(pr_unit,MATCH(B3197,pr_code,0))&amp;"",""))</f>
        <v/>
      </c>
      <c r="J3197" s="65" t="str">
        <f>IF(COUNTA(A3197:G3197)=0,"",IF(E3197&lt;&gt;"",E3197,IF(B3197="","",IFERROR(IF(INDEX(pr_price,MATCH(B3197,pr_code,0))="","",INDEX(pr_price,MATCH(B3197,pr_code,0))),""))))</f>
        <v/>
      </c>
      <c r="K3197" s="71" t="str">
        <f>IF(COUNTA(A3197:G3197)=0,"",IF(G3197&lt;&gt;"",G3197,IF(B3197="","",IFERROR(IF(INDEX(pr_rate,MATCH(B3197,pr_code,0))="","",INDEX(pr_rate,MATCH(B3197,pr_code,0))),""))))</f>
        <v/>
      </c>
      <c r="L3197" s="65" t="str">
        <f>IF(COUNTA(A3197:G3197)=0,"",IF(AND(ISNUMBER(D3197),ISNUMBER(J3197)),ROUND(D3197*J3197*(1-N(F3197)),2),0))</f>
        <v/>
      </c>
      <c r="M3197" s="62" t="str">
        <f>IF(A3197="","",IFERROR(INDEX(fa_cname,MATCH(A3197,fa_num,0))&amp;"",""))</f>
        <v/>
      </c>
      <c r="N3197" s="59" t="str">
        <f>IF(COUNTA(A3197:G3197)=0,"",IF(A3197="","N° facture manquant",IF(ISNA(MATCH(A3197,fa_num,0)),"Facture inconnue",IF(AND(B3197&lt;&gt;"",ISNA(MATCH(B3197,pr_code,0))),"Article inconnu",IF(H3197="","Désignation manquante",IF(OR(NOT(ISNUMBER(D3197)),N(D3197)&lt;=0),"Quantité invalide",IF(J3197="","Prix manquant",IF(OR(NOT(ISNUMBER(J3197)),N(J3197)&lt;0),"Prix invalide",IF(OR(AND(F3197&lt;&gt;"",NOT(ISNUMBER(F3197))),N(F3197)&lt;0,N(F3197)&gt;1),"Remise invalide",IF(K3197="","Taux de TVA manquant",IF(NOT(ISNUMBER(K3197)),"Taux de TVA invalide",IF(COUNTIF(p_rates,K3197)=0,"Taux de TVA hors liste (Paramètres)",IF(N(O3197)&gt;25,"Au-delà de 25 lignes : non imprimée","OK")))))))))))))</f>
        <v/>
      </c>
      <c r="O3197" s="59" t="str">
        <f>IF(A3197="","",COUNTIF($A$6:A3197,A3197))</f>
        <v/>
      </c>
      <c r="P3197" s="62" t="str">
        <f>IF(A3197="","",A3197&amp;"|"&amp;O3197)</f>
        <v/>
      </c>
    </row>
    <row r="3198">
      <c r="A3198" s="60" t="n"/>
      <c r="B3198" s="63" t="n"/>
      <c r="C3198" s="63" t="n"/>
      <c r="D3198" s="67" t="n"/>
      <c r="E3198" s="68" t="n"/>
      <c r="F3198" s="69" t="n"/>
      <c r="G3198" s="70" t="n"/>
      <c r="H3198" s="62" t="str">
        <f>IF(COUNTA(A3198:G3198)=0,"",IF(C3198&lt;&gt;"",C3198,IF(B3198="","",IFERROR(INDEX(pr_des,MATCH(B3198,pr_code,0))&amp;"",""))))</f>
        <v/>
      </c>
      <c r="I3198" s="59" t="str">
        <f>IF(B3198="","",IFERROR(INDEX(pr_unit,MATCH(B3198,pr_code,0))&amp;"",""))</f>
        <v/>
      </c>
      <c r="J3198" s="65" t="str">
        <f>IF(COUNTA(A3198:G3198)=0,"",IF(E3198&lt;&gt;"",E3198,IF(B3198="","",IFERROR(IF(INDEX(pr_price,MATCH(B3198,pr_code,0))="","",INDEX(pr_price,MATCH(B3198,pr_code,0))),""))))</f>
        <v/>
      </c>
      <c r="K3198" s="71" t="str">
        <f>IF(COUNTA(A3198:G3198)=0,"",IF(G3198&lt;&gt;"",G3198,IF(B3198="","",IFERROR(IF(INDEX(pr_rate,MATCH(B3198,pr_code,0))="","",INDEX(pr_rate,MATCH(B3198,pr_code,0))),""))))</f>
        <v/>
      </c>
      <c r="L3198" s="65" t="str">
        <f>IF(COUNTA(A3198:G3198)=0,"",IF(AND(ISNUMBER(D3198),ISNUMBER(J3198)),ROUND(D3198*J3198*(1-N(F3198)),2),0))</f>
        <v/>
      </c>
      <c r="M3198" s="62" t="str">
        <f>IF(A3198="","",IFERROR(INDEX(fa_cname,MATCH(A3198,fa_num,0))&amp;"",""))</f>
        <v/>
      </c>
      <c r="N3198" s="59" t="str">
        <f>IF(COUNTA(A3198:G3198)=0,"",IF(A3198="","N° facture manquant",IF(ISNA(MATCH(A3198,fa_num,0)),"Facture inconnue",IF(AND(B3198&lt;&gt;"",ISNA(MATCH(B3198,pr_code,0))),"Article inconnu",IF(H3198="","Désignation manquante",IF(OR(NOT(ISNUMBER(D3198)),N(D3198)&lt;=0),"Quantité invalide",IF(J3198="","Prix manquant",IF(OR(NOT(ISNUMBER(J3198)),N(J3198)&lt;0),"Prix invalide",IF(OR(AND(F3198&lt;&gt;"",NOT(ISNUMBER(F3198))),N(F3198)&lt;0,N(F3198)&gt;1),"Remise invalide",IF(K3198="","Taux de TVA manquant",IF(NOT(ISNUMBER(K3198)),"Taux de TVA invalide",IF(COUNTIF(p_rates,K3198)=0,"Taux de TVA hors liste (Paramètres)",IF(N(O3198)&gt;25,"Au-delà de 25 lignes : non imprimée","OK")))))))))))))</f>
        <v/>
      </c>
      <c r="O3198" s="59" t="str">
        <f>IF(A3198="","",COUNTIF($A$6:A3198,A3198))</f>
        <v/>
      </c>
      <c r="P3198" s="62" t="str">
        <f>IF(A3198="","",A3198&amp;"|"&amp;O3198)</f>
        <v/>
      </c>
    </row>
    <row r="3199">
      <c r="A3199" s="60" t="n"/>
      <c r="B3199" s="63" t="n"/>
      <c r="C3199" s="63" t="n"/>
      <c r="D3199" s="67" t="n"/>
      <c r="E3199" s="68" t="n"/>
      <c r="F3199" s="69" t="n"/>
      <c r="G3199" s="70" t="n"/>
      <c r="H3199" s="62" t="str">
        <f>IF(COUNTA(A3199:G3199)=0,"",IF(C3199&lt;&gt;"",C3199,IF(B3199="","",IFERROR(INDEX(pr_des,MATCH(B3199,pr_code,0))&amp;"",""))))</f>
        <v/>
      </c>
      <c r="I3199" s="59" t="str">
        <f>IF(B3199="","",IFERROR(INDEX(pr_unit,MATCH(B3199,pr_code,0))&amp;"",""))</f>
        <v/>
      </c>
      <c r="J3199" s="65" t="str">
        <f>IF(COUNTA(A3199:G3199)=0,"",IF(E3199&lt;&gt;"",E3199,IF(B3199="","",IFERROR(IF(INDEX(pr_price,MATCH(B3199,pr_code,0))="","",INDEX(pr_price,MATCH(B3199,pr_code,0))),""))))</f>
        <v/>
      </c>
      <c r="K3199" s="71" t="str">
        <f>IF(COUNTA(A3199:G3199)=0,"",IF(G3199&lt;&gt;"",G3199,IF(B3199="","",IFERROR(IF(INDEX(pr_rate,MATCH(B3199,pr_code,0))="","",INDEX(pr_rate,MATCH(B3199,pr_code,0))),""))))</f>
        <v/>
      </c>
      <c r="L3199" s="65" t="str">
        <f>IF(COUNTA(A3199:G3199)=0,"",IF(AND(ISNUMBER(D3199),ISNUMBER(J3199)),ROUND(D3199*J3199*(1-N(F3199)),2),0))</f>
        <v/>
      </c>
      <c r="M3199" s="62" t="str">
        <f>IF(A3199="","",IFERROR(INDEX(fa_cname,MATCH(A3199,fa_num,0))&amp;"",""))</f>
        <v/>
      </c>
      <c r="N3199" s="59" t="str">
        <f>IF(COUNTA(A3199:G3199)=0,"",IF(A3199="","N° facture manquant",IF(ISNA(MATCH(A3199,fa_num,0)),"Facture inconnue",IF(AND(B3199&lt;&gt;"",ISNA(MATCH(B3199,pr_code,0))),"Article inconnu",IF(H3199="","Désignation manquante",IF(OR(NOT(ISNUMBER(D3199)),N(D3199)&lt;=0),"Quantité invalide",IF(J3199="","Prix manquant",IF(OR(NOT(ISNUMBER(J3199)),N(J3199)&lt;0),"Prix invalide",IF(OR(AND(F3199&lt;&gt;"",NOT(ISNUMBER(F3199))),N(F3199)&lt;0,N(F3199)&gt;1),"Remise invalide",IF(K3199="","Taux de TVA manquant",IF(NOT(ISNUMBER(K3199)),"Taux de TVA invalide",IF(COUNTIF(p_rates,K3199)=0,"Taux de TVA hors liste (Paramètres)",IF(N(O3199)&gt;25,"Au-delà de 25 lignes : non imprimée","OK")))))))))))))</f>
        <v/>
      </c>
      <c r="O3199" s="59" t="str">
        <f>IF(A3199="","",COUNTIF($A$6:A3199,A3199))</f>
        <v/>
      </c>
      <c r="P3199" s="62" t="str">
        <f>IF(A3199="","",A3199&amp;"|"&amp;O3199)</f>
        <v/>
      </c>
    </row>
    <row r="3200">
      <c r="A3200" s="60" t="n"/>
      <c r="B3200" s="63" t="n"/>
      <c r="C3200" s="63" t="n"/>
      <c r="D3200" s="67" t="n"/>
      <c r="E3200" s="68" t="n"/>
      <c r="F3200" s="69" t="n"/>
      <c r="G3200" s="70" t="n"/>
      <c r="H3200" s="62" t="str">
        <f>IF(COUNTA(A3200:G3200)=0,"",IF(C3200&lt;&gt;"",C3200,IF(B3200="","",IFERROR(INDEX(pr_des,MATCH(B3200,pr_code,0))&amp;"",""))))</f>
        <v/>
      </c>
      <c r="I3200" s="59" t="str">
        <f>IF(B3200="","",IFERROR(INDEX(pr_unit,MATCH(B3200,pr_code,0))&amp;"",""))</f>
        <v/>
      </c>
      <c r="J3200" s="65" t="str">
        <f>IF(COUNTA(A3200:G3200)=0,"",IF(E3200&lt;&gt;"",E3200,IF(B3200="","",IFERROR(IF(INDEX(pr_price,MATCH(B3200,pr_code,0))="","",INDEX(pr_price,MATCH(B3200,pr_code,0))),""))))</f>
        <v/>
      </c>
      <c r="K3200" s="71" t="str">
        <f>IF(COUNTA(A3200:G3200)=0,"",IF(G3200&lt;&gt;"",G3200,IF(B3200="","",IFERROR(IF(INDEX(pr_rate,MATCH(B3200,pr_code,0))="","",INDEX(pr_rate,MATCH(B3200,pr_code,0))),""))))</f>
        <v/>
      </c>
      <c r="L3200" s="65" t="str">
        <f>IF(COUNTA(A3200:G3200)=0,"",IF(AND(ISNUMBER(D3200),ISNUMBER(J3200)),ROUND(D3200*J3200*(1-N(F3200)),2),0))</f>
        <v/>
      </c>
      <c r="M3200" s="62" t="str">
        <f>IF(A3200="","",IFERROR(INDEX(fa_cname,MATCH(A3200,fa_num,0))&amp;"",""))</f>
        <v/>
      </c>
      <c r="N3200" s="59" t="str">
        <f>IF(COUNTA(A3200:G3200)=0,"",IF(A3200="","N° facture manquant",IF(ISNA(MATCH(A3200,fa_num,0)),"Facture inconnue",IF(AND(B3200&lt;&gt;"",ISNA(MATCH(B3200,pr_code,0))),"Article inconnu",IF(H3200="","Désignation manquante",IF(OR(NOT(ISNUMBER(D3200)),N(D3200)&lt;=0),"Quantité invalide",IF(J3200="","Prix manquant",IF(OR(NOT(ISNUMBER(J3200)),N(J3200)&lt;0),"Prix invalide",IF(OR(AND(F3200&lt;&gt;"",NOT(ISNUMBER(F3200))),N(F3200)&lt;0,N(F3200)&gt;1),"Remise invalide",IF(K3200="","Taux de TVA manquant",IF(NOT(ISNUMBER(K3200)),"Taux de TVA invalide",IF(COUNTIF(p_rates,K3200)=0,"Taux de TVA hors liste (Paramètres)",IF(N(O3200)&gt;25,"Au-delà de 25 lignes : non imprimée","OK")))))))))))))</f>
        <v/>
      </c>
      <c r="O3200" s="59" t="str">
        <f>IF(A3200="","",COUNTIF($A$6:A3200,A3200))</f>
        <v/>
      </c>
      <c r="P3200" s="62" t="str">
        <f>IF(A3200="","",A3200&amp;"|"&amp;O3200)</f>
        <v/>
      </c>
    </row>
    <row r="3201">
      <c r="A3201" s="60" t="n"/>
      <c r="B3201" s="63" t="n"/>
      <c r="C3201" s="63" t="n"/>
      <c r="D3201" s="67" t="n"/>
      <c r="E3201" s="68" t="n"/>
      <c r="F3201" s="69" t="n"/>
      <c r="G3201" s="70" t="n"/>
      <c r="H3201" s="62" t="str">
        <f>IF(COUNTA(A3201:G3201)=0,"",IF(C3201&lt;&gt;"",C3201,IF(B3201="","",IFERROR(INDEX(pr_des,MATCH(B3201,pr_code,0))&amp;"",""))))</f>
        <v/>
      </c>
      <c r="I3201" s="59" t="str">
        <f>IF(B3201="","",IFERROR(INDEX(pr_unit,MATCH(B3201,pr_code,0))&amp;"",""))</f>
        <v/>
      </c>
      <c r="J3201" s="65" t="str">
        <f>IF(COUNTA(A3201:G3201)=0,"",IF(E3201&lt;&gt;"",E3201,IF(B3201="","",IFERROR(IF(INDEX(pr_price,MATCH(B3201,pr_code,0))="","",INDEX(pr_price,MATCH(B3201,pr_code,0))),""))))</f>
        <v/>
      </c>
      <c r="K3201" s="71" t="str">
        <f>IF(COUNTA(A3201:G3201)=0,"",IF(G3201&lt;&gt;"",G3201,IF(B3201="","",IFERROR(IF(INDEX(pr_rate,MATCH(B3201,pr_code,0))="","",INDEX(pr_rate,MATCH(B3201,pr_code,0))),""))))</f>
        <v/>
      </c>
      <c r="L3201" s="65" t="str">
        <f>IF(COUNTA(A3201:G3201)=0,"",IF(AND(ISNUMBER(D3201),ISNUMBER(J3201)),ROUND(D3201*J3201*(1-N(F3201)),2),0))</f>
        <v/>
      </c>
      <c r="M3201" s="62" t="str">
        <f>IF(A3201="","",IFERROR(INDEX(fa_cname,MATCH(A3201,fa_num,0))&amp;"",""))</f>
        <v/>
      </c>
      <c r="N3201" s="59" t="str">
        <f>IF(COUNTA(A3201:G3201)=0,"",IF(A3201="","N° facture manquant",IF(ISNA(MATCH(A3201,fa_num,0)),"Facture inconnue",IF(AND(B3201&lt;&gt;"",ISNA(MATCH(B3201,pr_code,0))),"Article inconnu",IF(H3201="","Désignation manquante",IF(OR(NOT(ISNUMBER(D3201)),N(D3201)&lt;=0),"Quantité invalide",IF(J3201="","Prix manquant",IF(OR(NOT(ISNUMBER(J3201)),N(J3201)&lt;0),"Prix invalide",IF(OR(AND(F3201&lt;&gt;"",NOT(ISNUMBER(F3201))),N(F3201)&lt;0,N(F3201)&gt;1),"Remise invalide",IF(K3201="","Taux de TVA manquant",IF(NOT(ISNUMBER(K3201)),"Taux de TVA invalide",IF(COUNTIF(p_rates,K3201)=0,"Taux de TVA hors liste (Paramètres)",IF(N(O3201)&gt;25,"Au-delà de 25 lignes : non imprimée","OK")))))))))))))</f>
        <v/>
      </c>
      <c r="O3201" s="59" t="str">
        <f>IF(A3201="","",COUNTIF($A$6:A3201,A3201))</f>
        <v/>
      </c>
      <c r="P3201" s="62" t="str">
        <f>IF(A3201="","",A3201&amp;"|"&amp;O3201)</f>
        <v/>
      </c>
    </row>
    <row r="3202">
      <c r="A3202" s="60" t="n"/>
      <c r="B3202" s="63" t="n"/>
      <c r="C3202" s="63" t="n"/>
      <c r="D3202" s="67" t="n"/>
      <c r="E3202" s="68" t="n"/>
      <c r="F3202" s="69" t="n"/>
      <c r="G3202" s="70" t="n"/>
      <c r="H3202" s="62" t="str">
        <f>IF(COUNTA(A3202:G3202)=0,"",IF(C3202&lt;&gt;"",C3202,IF(B3202="","",IFERROR(INDEX(pr_des,MATCH(B3202,pr_code,0))&amp;"",""))))</f>
        <v/>
      </c>
      <c r="I3202" s="59" t="str">
        <f>IF(B3202="","",IFERROR(INDEX(pr_unit,MATCH(B3202,pr_code,0))&amp;"",""))</f>
        <v/>
      </c>
      <c r="J3202" s="65" t="str">
        <f>IF(COUNTA(A3202:G3202)=0,"",IF(E3202&lt;&gt;"",E3202,IF(B3202="","",IFERROR(IF(INDEX(pr_price,MATCH(B3202,pr_code,0))="","",INDEX(pr_price,MATCH(B3202,pr_code,0))),""))))</f>
        <v/>
      </c>
      <c r="K3202" s="71" t="str">
        <f>IF(COUNTA(A3202:G3202)=0,"",IF(G3202&lt;&gt;"",G3202,IF(B3202="","",IFERROR(IF(INDEX(pr_rate,MATCH(B3202,pr_code,0))="","",INDEX(pr_rate,MATCH(B3202,pr_code,0))),""))))</f>
        <v/>
      </c>
      <c r="L3202" s="65" t="str">
        <f>IF(COUNTA(A3202:G3202)=0,"",IF(AND(ISNUMBER(D3202),ISNUMBER(J3202)),ROUND(D3202*J3202*(1-N(F3202)),2),0))</f>
        <v/>
      </c>
      <c r="M3202" s="62" t="str">
        <f>IF(A3202="","",IFERROR(INDEX(fa_cname,MATCH(A3202,fa_num,0))&amp;"",""))</f>
        <v/>
      </c>
      <c r="N3202" s="59" t="str">
        <f>IF(COUNTA(A3202:G3202)=0,"",IF(A3202="","N° facture manquant",IF(ISNA(MATCH(A3202,fa_num,0)),"Facture inconnue",IF(AND(B3202&lt;&gt;"",ISNA(MATCH(B3202,pr_code,0))),"Article inconnu",IF(H3202="","Désignation manquante",IF(OR(NOT(ISNUMBER(D3202)),N(D3202)&lt;=0),"Quantité invalide",IF(J3202="","Prix manquant",IF(OR(NOT(ISNUMBER(J3202)),N(J3202)&lt;0),"Prix invalide",IF(OR(AND(F3202&lt;&gt;"",NOT(ISNUMBER(F3202))),N(F3202)&lt;0,N(F3202)&gt;1),"Remise invalide",IF(K3202="","Taux de TVA manquant",IF(NOT(ISNUMBER(K3202)),"Taux de TVA invalide",IF(COUNTIF(p_rates,K3202)=0,"Taux de TVA hors liste (Paramètres)",IF(N(O3202)&gt;25,"Au-delà de 25 lignes : non imprimée","OK")))))))))))))</f>
        <v/>
      </c>
      <c r="O3202" s="59" t="str">
        <f>IF(A3202="","",COUNTIF($A$6:A3202,A3202))</f>
        <v/>
      </c>
      <c r="P3202" s="62" t="str">
        <f>IF(A3202="","",A3202&amp;"|"&amp;O3202)</f>
        <v/>
      </c>
    </row>
    <row r="3203">
      <c r="A3203" s="60" t="n"/>
      <c r="B3203" s="63" t="n"/>
      <c r="C3203" s="63" t="n"/>
      <c r="D3203" s="67" t="n"/>
      <c r="E3203" s="68" t="n"/>
      <c r="F3203" s="69" t="n"/>
      <c r="G3203" s="70" t="n"/>
      <c r="H3203" s="62" t="str">
        <f>IF(COUNTA(A3203:G3203)=0,"",IF(C3203&lt;&gt;"",C3203,IF(B3203="","",IFERROR(INDEX(pr_des,MATCH(B3203,pr_code,0))&amp;"",""))))</f>
        <v/>
      </c>
      <c r="I3203" s="59" t="str">
        <f>IF(B3203="","",IFERROR(INDEX(pr_unit,MATCH(B3203,pr_code,0))&amp;"",""))</f>
        <v/>
      </c>
      <c r="J3203" s="65" t="str">
        <f>IF(COUNTA(A3203:G3203)=0,"",IF(E3203&lt;&gt;"",E3203,IF(B3203="","",IFERROR(IF(INDEX(pr_price,MATCH(B3203,pr_code,0))="","",INDEX(pr_price,MATCH(B3203,pr_code,0))),""))))</f>
        <v/>
      </c>
      <c r="K3203" s="71" t="str">
        <f>IF(COUNTA(A3203:G3203)=0,"",IF(G3203&lt;&gt;"",G3203,IF(B3203="","",IFERROR(IF(INDEX(pr_rate,MATCH(B3203,pr_code,0))="","",INDEX(pr_rate,MATCH(B3203,pr_code,0))),""))))</f>
        <v/>
      </c>
      <c r="L3203" s="65" t="str">
        <f>IF(COUNTA(A3203:G3203)=0,"",IF(AND(ISNUMBER(D3203),ISNUMBER(J3203)),ROUND(D3203*J3203*(1-N(F3203)),2),0))</f>
        <v/>
      </c>
      <c r="M3203" s="62" t="str">
        <f>IF(A3203="","",IFERROR(INDEX(fa_cname,MATCH(A3203,fa_num,0))&amp;"",""))</f>
        <v/>
      </c>
      <c r="N3203" s="59" t="str">
        <f>IF(COUNTA(A3203:G3203)=0,"",IF(A3203="","N° facture manquant",IF(ISNA(MATCH(A3203,fa_num,0)),"Facture inconnue",IF(AND(B3203&lt;&gt;"",ISNA(MATCH(B3203,pr_code,0))),"Article inconnu",IF(H3203="","Désignation manquante",IF(OR(NOT(ISNUMBER(D3203)),N(D3203)&lt;=0),"Quantité invalide",IF(J3203="","Prix manquant",IF(OR(NOT(ISNUMBER(J3203)),N(J3203)&lt;0),"Prix invalide",IF(OR(AND(F3203&lt;&gt;"",NOT(ISNUMBER(F3203))),N(F3203)&lt;0,N(F3203)&gt;1),"Remise invalide",IF(K3203="","Taux de TVA manquant",IF(NOT(ISNUMBER(K3203)),"Taux de TVA invalide",IF(COUNTIF(p_rates,K3203)=0,"Taux de TVA hors liste (Paramètres)",IF(N(O3203)&gt;25,"Au-delà de 25 lignes : non imprimée","OK")))))))))))))</f>
        <v/>
      </c>
      <c r="O3203" s="59" t="str">
        <f>IF(A3203="","",COUNTIF($A$6:A3203,A3203))</f>
        <v/>
      </c>
      <c r="P3203" s="62" t="str">
        <f>IF(A3203="","",A3203&amp;"|"&amp;O3203)</f>
        <v/>
      </c>
    </row>
    <row r="3204">
      <c r="A3204" s="60" t="n"/>
      <c r="B3204" s="63" t="n"/>
      <c r="C3204" s="63" t="n"/>
      <c r="D3204" s="67" t="n"/>
      <c r="E3204" s="68" t="n"/>
      <c r="F3204" s="69" t="n"/>
      <c r="G3204" s="70" t="n"/>
      <c r="H3204" s="62" t="str">
        <f>IF(COUNTA(A3204:G3204)=0,"",IF(C3204&lt;&gt;"",C3204,IF(B3204="","",IFERROR(INDEX(pr_des,MATCH(B3204,pr_code,0))&amp;"",""))))</f>
        <v/>
      </c>
      <c r="I3204" s="59" t="str">
        <f>IF(B3204="","",IFERROR(INDEX(pr_unit,MATCH(B3204,pr_code,0))&amp;"",""))</f>
        <v/>
      </c>
      <c r="J3204" s="65" t="str">
        <f>IF(COUNTA(A3204:G3204)=0,"",IF(E3204&lt;&gt;"",E3204,IF(B3204="","",IFERROR(IF(INDEX(pr_price,MATCH(B3204,pr_code,0))="","",INDEX(pr_price,MATCH(B3204,pr_code,0))),""))))</f>
        <v/>
      </c>
      <c r="K3204" s="71" t="str">
        <f>IF(COUNTA(A3204:G3204)=0,"",IF(G3204&lt;&gt;"",G3204,IF(B3204="","",IFERROR(IF(INDEX(pr_rate,MATCH(B3204,pr_code,0))="","",INDEX(pr_rate,MATCH(B3204,pr_code,0))),""))))</f>
        <v/>
      </c>
      <c r="L3204" s="65" t="str">
        <f>IF(COUNTA(A3204:G3204)=0,"",IF(AND(ISNUMBER(D3204),ISNUMBER(J3204)),ROUND(D3204*J3204*(1-N(F3204)),2),0))</f>
        <v/>
      </c>
      <c r="M3204" s="62" t="str">
        <f>IF(A3204="","",IFERROR(INDEX(fa_cname,MATCH(A3204,fa_num,0))&amp;"",""))</f>
        <v/>
      </c>
      <c r="N3204" s="59" t="str">
        <f>IF(COUNTA(A3204:G3204)=0,"",IF(A3204="","N° facture manquant",IF(ISNA(MATCH(A3204,fa_num,0)),"Facture inconnue",IF(AND(B3204&lt;&gt;"",ISNA(MATCH(B3204,pr_code,0))),"Article inconnu",IF(H3204="","Désignation manquante",IF(OR(NOT(ISNUMBER(D3204)),N(D3204)&lt;=0),"Quantité invalide",IF(J3204="","Prix manquant",IF(OR(NOT(ISNUMBER(J3204)),N(J3204)&lt;0),"Prix invalide",IF(OR(AND(F3204&lt;&gt;"",NOT(ISNUMBER(F3204))),N(F3204)&lt;0,N(F3204)&gt;1),"Remise invalide",IF(K3204="","Taux de TVA manquant",IF(NOT(ISNUMBER(K3204)),"Taux de TVA invalide",IF(COUNTIF(p_rates,K3204)=0,"Taux de TVA hors liste (Paramètres)",IF(N(O3204)&gt;25,"Au-delà de 25 lignes : non imprimée","OK")))))))))))))</f>
        <v/>
      </c>
      <c r="O3204" s="59" t="str">
        <f>IF(A3204="","",COUNTIF($A$6:A3204,A3204))</f>
        <v/>
      </c>
      <c r="P3204" s="62" t="str">
        <f>IF(A3204="","",A3204&amp;"|"&amp;O3204)</f>
        <v/>
      </c>
    </row>
    <row r="3205">
      <c r="A3205" s="60" t="n"/>
      <c r="B3205" s="63" t="n"/>
      <c r="C3205" s="63" t="n"/>
      <c r="D3205" s="67" t="n"/>
      <c r="E3205" s="68" t="n"/>
      <c r="F3205" s="69" t="n"/>
      <c r="G3205" s="70" t="n"/>
      <c r="H3205" s="62" t="str">
        <f>IF(COUNTA(A3205:G3205)=0,"",IF(C3205&lt;&gt;"",C3205,IF(B3205="","",IFERROR(INDEX(pr_des,MATCH(B3205,pr_code,0))&amp;"",""))))</f>
        <v/>
      </c>
      <c r="I3205" s="59" t="str">
        <f>IF(B3205="","",IFERROR(INDEX(pr_unit,MATCH(B3205,pr_code,0))&amp;"",""))</f>
        <v/>
      </c>
      <c r="J3205" s="65" t="str">
        <f>IF(COUNTA(A3205:G3205)=0,"",IF(E3205&lt;&gt;"",E3205,IF(B3205="","",IFERROR(IF(INDEX(pr_price,MATCH(B3205,pr_code,0))="","",INDEX(pr_price,MATCH(B3205,pr_code,0))),""))))</f>
        <v/>
      </c>
      <c r="K3205" s="71" t="str">
        <f>IF(COUNTA(A3205:G3205)=0,"",IF(G3205&lt;&gt;"",G3205,IF(B3205="","",IFERROR(IF(INDEX(pr_rate,MATCH(B3205,pr_code,0))="","",INDEX(pr_rate,MATCH(B3205,pr_code,0))),""))))</f>
        <v/>
      </c>
      <c r="L3205" s="65" t="str">
        <f>IF(COUNTA(A3205:G3205)=0,"",IF(AND(ISNUMBER(D3205),ISNUMBER(J3205)),ROUND(D3205*J3205*(1-N(F3205)),2),0))</f>
        <v/>
      </c>
      <c r="M3205" s="62" t="str">
        <f>IF(A3205="","",IFERROR(INDEX(fa_cname,MATCH(A3205,fa_num,0))&amp;"",""))</f>
        <v/>
      </c>
      <c r="N3205" s="59" t="str">
        <f>IF(COUNTA(A3205:G3205)=0,"",IF(A3205="","N° facture manquant",IF(ISNA(MATCH(A3205,fa_num,0)),"Facture inconnue",IF(AND(B3205&lt;&gt;"",ISNA(MATCH(B3205,pr_code,0))),"Article inconnu",IF(H3205="","Désignation manquante",IF(OR(NOT(ISNUMBER(D3205)),N(D3205)&lt;=0),"Quantité invalide",IF(J3205="","Prix manquant",IF(OR(NOT(ISNUMBER(J3205)),N(J3205)&lt;0),"Prix invalide",IF(OR(AND(F3205&lt;&gt;"",NOT(ISNUMBER(F3205))),N(F3205)&lt;0,N(F3205)&gt;1),"Remise invalide",IF(K3205="","Taux de TVA manquant",IF(NOT(ISNUMBER(K3205)),"Taux de TVA invalide",IF(COUNTIF(p_rates,K3205)=0,"Taux de TVA hors liste (Paramètres)",IF(N(O3205)&gt;25,"Au-delà de 25 lignes : non imprimée","OK")))))))))))))</f>
        <v/>
      </c>
      <c r="O3205" s="59" t="str">
        <f>IF(A3205="","",COUNTIF($A$6:A3205,A3205))</f>
        <v/>
      </c>
      <c r="P3205" s="62" t="str">
        <f>IF(A3205="","",A3205&amp;"|"&amp;O3205)</f>
        <v/>
      </c>
    </row>
    <row r="3206">
      <c r="A3206" s="60" t="n"/>
      <c r="B3206" s="63" t="n"/>
      <c r="C3206" s="63" t="n"/>
      <c r="D3206" s="67" t="n"/>
      <c r="E3206" s="68" t="n"/>
      <c r="F3206" s="69" t="n"/>
      <c r="G3206" s="70" t="n"/>
      <c r="H3206" s="62" t="str">
        <f>IF(COUNTA(A3206:G3206)=0,"",IF(C3206&lt;&gt;"",C3206,IF(B3206="","",IFERROR(INDEX(pr_des,MATCH(B3206,pr_code,0))&amp;"",""))))</f>
        <v/>
      </c>
      <c r="I3206" s="59" t="str">
        <f>IF(B3206="","",IFERROR(INDEX(pr_unit,MATCH(B3206,pr_code,0))&amp;"",""))</f>
        <v/>
      </c>
      <c r="J3206" s="65" t="str">
        <f>IF(COUNTA(A3206:G3206)=0,"",IF(E3206&lt;&gt;"",E3206,IF(B3206="","",IFERROR(IF(INDEX(pr_price,MATCH(B3206,pr_code,0))="","",INDEX(pr_price,MATCH(B3206,pr_code,0))),""))))</f>
        <v/>
      </c>
      <c r="K3206" s="71" t="str">
        <f>IF(COUNTA(A3206:G3206)=0,"",IF(G3206&lt;&gt;"",G3206,IF(B3206="","",IFERROR(IF(INDEX(pr_rate,MATCH(B3206,pr_code,0))="","",INDEX(pr_rate,MATCH(B3206,pr_code,0))),""))))</f>
        <v/>
      </c>
      <c r="L3206" s="65" t="str">
        <f>IF(COUNTA(A3206:G3206)=0,"",IF(AND(ISNUMBER(D3206),ISNUMBER(J3206)),ROUND(D3206*J3206*(1-N(F3206)),2),0))</f>
        <v/>
      </c>
      <c r="M3206" s="62" t="str">
        <f>IF(A3206="","",IFERROR(INDEX(fa_cname,MATCH(A3206,fa_num,0))&amp;"",""))</f>
        <v/>
      </c>
      <c r="N3206" s="59" t="str">
        <f>IF(COUNTA(A3206:G3206)=0,"",IF(A3206="","N° facture manquant",IF(ISNA(MATCH(A3206,fa_num,0)),"Facture inconnue",IF(AND(B3206&lt;&gt;"",ISNA(MATCH(B3206,pr_code,0))),"Article inconnu",IF(H3206="","Désignation manquante",IF(OR(NOT(ISNUMBER(D3206)),N(D3206)&lt;=0),"Quantité invalide",IF(J3206="","Prix manquant",IF(OR(NOT(ISNUMBER(J3206)),N(J3206)&lt;0),"Prix invalide",IF(OR(AND(F3206&lt;&gt;"",NOT(ISNUMBER(F3206))),N(F3206)&lt;0,N(F3206)&gt;1),"Remise invalide",IF(K3206="","Taux de TVA manquant",IF(NOT(ISNUMBER(K3206)),"Taux de TVA invalide",IF(COUNTIF(p_rates,K3206)=0,"Taux de TVA hors liste (Paramètres)",IF(N(O3206)&gt;25,"Au-delà de 25 lignes : non imprimée","OK")))))))))))))</f>
        <v/>
      </c>
      <c r="O3206" s="59" t="str">
        <f>IF(A3206="","",COUNTIF($A$6:A3206,A3206))</f>
        <v/>
      </c>
      <c r="P3206" s="62" t="str">
        <f>IF(A3206="","",A3206&amp;"|"&amp;O3206)</f>
        <v/>
      </c>
    </row>
    <row r="3207">
      <c r="A3207" s="60" t="n"/>
      <c r="B3207" s="63" t="n"/>
      <c r="C3207" s="63" t="n"/>
      <c r="D3207" s="67" t="n"/>
      <c r="E3207" s="68" t="n"/>
      <c r="F3207" s="69" t="n"/>
      <c r="G3207" s="70" t="n"/>
      <c r="H3207" s="62" t="str">
        <f>IF(COUNTA(A3207:G3207)=0,"",IF(C3207&lt;&gt;"",C3207,IF(B3207="","",IFERROR(INDEX(pr_des,MATCH(B3207,pr_code,0))&amp;"",""))))</f>
        <v/>
      </c>
      <c r="I3207" s="59" t="str">
        <f>IF(B3207="","",IFERROR(INDEX(pr_unit,MATCH(B3207,pr_code,0))&amp;"",""))</f>
        <v/>
      </c>
      <c r="J3207" s="65" t="str">
        <f>IF(COUNTA(A3207:G3207)=0,"",IF(E3207&lt;&gt;"",E3207,IF(B3207="","",IFERROR(IF(INDEX(pr_price,MATCH(B3207,pr_code,0))="","",INDEX(pr_price,MATCH(B3207,pr_code,0))),""))))</f>
        <v/>
      </c>
      <c r="K3207" s="71" t="str">
        <f>IF(COUNTA(A3207:G3207)=0,"",IF(G3207&lt;&gt;"",G3207,IF(B3207="","",IFERROR(IF(INDEX(pr_rate,MATCH(B3207,pr_code,0))="","",INDEX(pr_rate,MATCH(B3207,pr_code,0))),""))))</f>
        <v/>
      </c>
      <c r="L3207" s="65" t="str">
        <f>IF(COUNTA(A3207:G3207)=0,"",IF(AND(ISNUMBER(D3207),ISNUMBER(J3207)),ROUND(D3207*J3207*(1-N(F3207)),2),0))</f>
        <v/>
      </c>
      <c r="M3207" s="62" t="str">
        <f>IF(A3207="","",IFERROR(INDEX(fa_cname,MATCH(A3207,fa_num,0))&amp;"",""))</f>
        <v/>
      </c>
      <c r="N3207" s="59" t="str">
        <f>IF(COUNTA(A3207:G3207)=0,"",IF(A3207="","N° facture manquant",IF(ISNA(MATCH(A3207,fa_num,0)),"Facture inconnue",IF(AND(B3207&lt;&gt;"",ISNA(MATCH(B3207,pr_code,0))),"Article inconnu",IF(H3207="","Désignation manquante",IF(OR(NOT(ISNUMBER(D3207)),N(D3207)&lt;=0),"Quantité invalide",IF(J3207="","Prix manquant",IF(OR(NOT(ISNUMBER(J3207)),N(J3207)&lt;0),"Prix invalide",IF(OR(AND(F3207&lt;&gt;"",NOT(ISNUMBER(F3207))),N(F3207)&lt;0,N(F3207)&gt;1),"Remise invalide",IF(K3207="","Taux de TVA manquant",IF(NOT(ISNUMBER(K3207)),"Taux de TVA invalide",IF(COUNTIF(p_rates,K3207)=0,"Taux de TVA hors liste (Paramètres)",IF(N(O3207)&gt;25,"Au-delà de 25 lignes : non imprimée","OK")))))))))))))</f>
        <v/>
      </c>
      <c r="O3207" s="59" t="str">
        <f>IF(A3207="","",COUNTIF($A$6:A3207,A3207))</f>
        <v/>
      </c>
      <c r="P3207" s="62" t="str">
        <f>IF(A3207="","",A3207&amp;"|"&amp;O3207)</f>
        <v/>
      </c>
    </row>
    <row r="3208">
      <c r="A3208" s="60" t="n"/>
      <c r="B3208" s="63" t="n"/>
      <c r="C3208" s="63" t="n"/>
      <c r="D3208" s="67" t="n"/>
      <c r="E3208" s="68" t="n"/>
      <c r="F3208" s="69" t="n"/>
      <c r="G3208" s="70" t="n"/>
      <c r="H3208" s="62" t="str">
        <f>IF(COUNTA(A3208:G3208)=0,"",IF(C3208&lt;&gt;"",C3208,IF(B3208="","",IFERROR(INDEX(pr_des,MATCH(B3208,pr_code,0))&amp;"",""))))</f>
        <v/>
      </c>
      <c r="I3208" s="59" t="str">
        <f>IF(B3208="","",IFERROR(INDEX(pr_unit,MATCH(B3208,pr_code,0))&amp;"",""))</f>
        <v/>
      </c>
      <c r="J3208" s="65" t="str">
        <f>IF(COUNTA(A3208:G3208)=0,"",IF(E3208&lt;&gt;"",E3208,IF(B3208="","",IFERROR(IF(INDEX(pr_price,MATCH(B3208,pr_code,0))="","",INDEX(pr_price,MATCH(B3208,pr_code,0))),""))))</f>
        <v/>
      </c>
      <c r="K3208" s="71" t="str">
        <f>IF(COUNTA(A3208:G3208)=0,"",IF(G3208&lt;&gt;"",G3208,IF(B3208="","",IFERROR(IF(INDEX(pr_rate,MATCH(B3208,pr_code,0))="","",INDEX(pr_rate,MATCH(B3208,pr_code,0))),""))))</f>
        <v/>
      </c>
      <c r="L3208" s="65" t="str">
        <f>IF(COUNTA(A3208:G3208)=0,"",IF(AND(ISNUMBER(D3208),ISNUMBER(J3208)),ROUND(D3208*J3208*(1-N(F3208)),2),0))</f>
        <v/>
      </c>
      <c r="M3208" s="62" t="str">
        <f>IF(A3208="","",IFERROR(INDEX(fa_cname,MATCH(A3208,fa_num,0))&amp;"",""))</f>
        <v/>
      </c>
      <c r="N3208" s="59" t="str">
        <f>IF(COUNTA(A3208:G3208)=0,"",IF(A3208="","N° facture manquant",IF(ISNA(MATCH(A3208,fa_num,0)),"Facture inconnue",IF(AND(B3208&lt;&gt;"",ISNA(MATCH(B3208,pr_code,0))),"Article inconnu",IF(H3208="","Désignation manquante",IF(OR(NOT(ISNUMBER(D3208)),N(D3208)&lt;=0),"Quantité invalide",IF(J3208="","Prix manquant",IF(OR(NOT(ISNUMBER(J3208)),N(J3208)&lt;0),"Prix invalide",IF(OR(AND(F3208&lt;&gt;"",NOT(ISNUMBER(F3208))),N(F3208)&lt;0,N(F3208)&gt;1),"Remise invalide",IF(K3208="","Taux de TVA manquant",IF(NOT(ISNUMBER(K3208)),"Taux de TVA invalide",IF(COUNTIF(p_rates,K3208)=0,"Taux de TVA hors liste (Paramètres)",IF(N(O3208)&gt;25,"Au-delà de 25 lignes : non imprimée","OK")))))))))))))</f>
        <v/>
      </c>
      <c r="O3208" s="59" t="str">
        <f>IF(A3208="","",COUNTIF($A$6:A3208,A3208))</f>
        <v/>
      </c>
      <c r="P3208" s="62" t="str">
        <f>IF(A3208="","",A3208&amp;"|"&amp;O3208)</f>
        <v/>
      </c>
    </row>
    <row r="3209">
      <c r="A3209" s="60" t="n"/>
      <c r="B3209" s="63" t="n"/>
      <c r="C3209" s="63" t="n"/>
      <c r="D3209" s="67" t="n"/>
      <c r="E3209" s="68" t="n"/>
      <c r="F3209" s="69" t="n"/>
      <c r="G3209" s="70" t="n"/>
      <c r="H3209" s="62" t="str">
        <f>IF(COUNTA(A3209:G3209)=0,"",IF(C3209&lt;&gt;"",C3209,IF(B3209="","",IFERROR(INDEX(pr_des,MATCH(B3209,pr_code,0))&amp;"",""))))</f>
        <v/>
      </c>
      <c r="I3209" s="59" t="str">
        <f>IF(B3209="","",IFERROR(INDEX(pr_unit,MATCH(B3209,pr_code,0))&amp;"",""))</f>
        <v/>
      </c>
      <c r="J3209" s="65" t="str">
        <f>IF(COUNTA(A3209:G3209)=0,"",IF(E3209&lt;&gt;"",E3209,IF(B3209="","",IFERROR(IF(INDEX(pr_price,MATCH(B3209,pr_code,0))="","",INDEX(pr_price,MATCH(B3209,pr_code,0))),""))))</f>
        <v/>
      </c>
      <c r="K3209" s="71" t="str">
        <f>IF(COUNTA(A3209:G3209)=0,"",IF(G3209&lt;&gt;"",G3209,IF(B3209="","",IFERROR(IF(INDEX(pr_rate,MATCH(B3209,pr_code,0))="","",INDEX(pr_rate,MATCH(B3209,pr_code,0))),""))))</f>
        <v/>
      </c>
      <c r="L3209" s="65" t="str">
        <f>IF(COUNTA(A3209:G3209)=0,"",IF(AND(ISNUMBER(D3209),ISNUMBER(J3209)),ROUND(D3209*J3209*(1-N(F3209)),2),0))</f>
        <v/>
      </c>
      <c r="M3209" s="62" t="str">
        <f>IF(A3209="","",IFERROR(INDEX(fa_cname,MATCH(A3209,fa_num,0))&amp;"",""))</f>
        <v/>
      </c>
      <c r="N3209" s="59" t="str">
        <f>IF(COUNTA(A3209:G3209)=0,"",IF(A3209="","N° facture manquant",IF(ISNA(MATCH(A3209,fa_num,0)),"Facture inconnue",IF(AND(B3209&lt;&gt;"",ISNA(MATCH(B3209,pr_code,0))),"Article inconnu",IF(H3209="","Désignation manquante",IF(OR(NOT(ISNUMBER(D3209)),N(D3209)&lt;=0),"Quantité invalide",IF(J3209="","Prix manquant",IF(OR(NOT(ISNUMBER(J3209)),N(J3209)&lt;0),"Prix invalide",IF(OR(AND(F3209&lt;&gt;"",NOT(ISNUMBER(F3209))),N(F3209)&lt;0,N(F3209)&gt;1),"Remise invalide",IF(K3209="","Taux de TVA manquant",IF(NOT(ISNUMBER(K3209)),"Taux de TVA invalide",IF(COUNTIF(p_rates,K3209)=0,"Taux de TVA hors liste (Paramètres)",IF(N(O3209)&gt;25,"Au-delà de 25 lignes : non imprimée","OK")))))))))))))</f>
        <v/>
      </c>
      <c r="O3209" s="59" t="str">
        <f>IF(A3209="","",COUNTIF($A$6:A3209,A3209))</f>
        <v/>
      </c>
      <c r="P3209" s="62" t="str">
        <f>IF(A3209="","",A3209&amp;"|"&amp;O3209)</f>
        <v/>
      </c>
    </row>
    <row r="3210">
      <c r="A3210" s="60" t="n"/>
      <c r="B3210" s="63" t="n"/>
      <c r="C3210" s="63" t="n"/>
      <c r="D3210" s="67" t="n"/>
      <c r="E3210" s="68" t="n"/>
      <c r="F3210" s="69" t="n"/>
      <c r="G3210" s="70" t="n"/>
      <c r="H3210" s="62" t="str">
        <f>IF(COUNTA(A3210:G3210)=0,"",IF(C3210&lt;&gt;"",C3210,IF(B3210="","",IFERROR(INDEX(pr_des,MATCH(B3210,pr_code,0))&amp;"",""))))</f>
        <v/>
      </c>
      <c r="I3210" s="59" t="str">
        <f>IF(B3210="","",IFERROR(INDEX(pr_unit,MATCH(B3210,pr_code,0))&amp;"",""))</f>
        <v/>
      </c>
      <c r="J3210" s="65" t="str">
        <f>IF(COUNTA(A3210:G3210)=0,"",IF(E3210&lt;&gt;"",E3210,IF(B3210="","",IFERROR(IF(INDEX(pr_price,MATCH(B3210,pr_code,0))="","",INDEX(pr_price,MATCH(B3210,pr_code,0))),""))))</f>
        <v/>
      </c>
      <c r="K3210" s="71" t="str">
        <f>IF(COUNTA(A3210:G3210)=0,"",IF(G3210&lt;&gt;"",G3210,IF(B3210="","",IFERROR(IF(INDEX(pr_rate,MATCH(B3210,pr_code,0))="","",INDEX(pr_rate,MATCH(B3210,pr_code,0))),""))))</f>
        <v/>
      </c>
      <c r="L3210" s="65" t="str">
        <f>IF(COUNTA(A3210:G3210)=0,"",IF(AND(ISNUMBER(D3210),ISNUMBER(J3210)),ROUND(D3210*J3210*(1-N(F3210)),2),0))</f>
        <v/>
      </c>
      <c r="M3210" s="62" t="str">
        <f>IF(A3210="","",IFERROR(INDEX(fa_cname,MATCH(A3210,fa_num,0))&amp;"",""))</f>
        <v/>
      </c>
      <c r="N3210" s="59" t="str">
        <f>IF(COUNTA(A3210:G3210)=0,"",IF(A3210="","N° facture manquant",IF(ISNA(MATCH(A3210,fa_num,0)),"Facture inconnue",IF(AND(B3210&lt;&gt;"",ISNA(MATCH(B3210,pr_code,0))),"Article inconnu",IF(H3210="","Désignation manquante",IF(OR(NOT(ISNUMBER(D3210)),N(D3210)&lt;=0),"Quantité invalide",IF(J3210="","Prix manquant",IF(OR(NOT(ISNUMBER(J3210)),N(J3210)&lt;0),"Prix invalide",IF(OR(AND(F3210&lt;&gt;"",NOT(ISNUMBER(F3210))),N(F3210)&lt;0,N(F3210)&gt;1),"Remise invalide",IF(K3210="","Taux de TVA manquant",IF(NOT(ISNUMBER(K3210)),"Taux de TVA invalide",IF(COUNTIF(p_rates,K3210)=0,"Taux de TVA hors liste (Paramètres)",IF(N(O3210)&gt;25,"Au-delà de 25 lignes : non imprimée","OK")))))))))))))</f>
        <v/>
      </c>
      <c r="O3210" s="59" t="str">
        <f>IF(A3210="","",COUNTIF($A$6:A3210,A3210))</f>
        <v/>
      </c>
      <c r="P3210" s="62" t="str">
        <f>IF(A3210="","",A3210&amp;"|"&amp;O3210)</f>
        <v/>
      </c>
    </row>
    <row r="3211">
      <c r="A3211" s="60" t="n"/>
      <c r="B3211" s="63" t="n"/>
      <c r="C3211" s="63" t="n"/>
      <c r="D3211" s="67" t="n"/>
      <c r="E3211" s="68" t="n"/>
      <c r="F3211" s="69" t="n"/>
      <c r="G3211" s="70" t="n"/>
      <c r="H3211" s="62" t="str">
        <f>IF(COUNTA(A3211:G3211)=0,"",IF(C3211&lt;&gt;"",C3211,IF(B3211="","",IFERROR(INDEX(pr_des,MATCH(B3211,pr_code,0))&amp;"",""))))</f>
        <v/>
      </c>
      <c r="I3211" s="59" t="str">
        <f>IF(B3211="","",IFERROR(INDEX(pr_unit,MATCH(B3211,pr_code,0))&amp;"",""))</f>
        <v/>
      </c>
      <c r="J3211" s="65" t="str">
        <f>IF(COUNTA(A3211:G3211)=0,"",IF(E3211&lt;&gt;"",E3211,IF(B3211="","",IFERROR(IF(INDEX(pr_price,MATCH(B3211,pr_code,0))="","",INDEX(pr_price,MATCH(B3211,pr_code,0))),""))))</f>
        <v/>
      </c>
      <c r="K3211" s="71" t="str">
        <f>IF(COUNTA(A3211:G3211)=0,"",IF(G3211&lt;&gt;"",G3211,IF(B3211="","",IFERROR(IF(INDEX(pr_rate,MATCH(B3211,pr_code,0))="","",INDEX(pr_rate,MATCH(B3211,pr_code,0))),""))))</f>
        <v/>
      </c>
      <c r="L3211" s="65" t="str">
        <f>IF(COUNTA(A3211:G3211)=0,"",IF(AND(ISNUMBER(D3211),ISNUMBER(J3211)),ROUND(D3211*J3211*(1-N(F3211)),2),0))</f>
        <v/>
      </c>
      <c r="M3211" s="62" t="str">
        <f>IF(A3211="","",IFERROR(INDEX(fa_cname,MATCH(A3211,fa_num,0))&amp;"",""))</f>
        <v/>
      </c>
      <c r="N3211" s="59" t="str">
        <f>IF(COUNTA(A3211:G3211)=0,"",IF(A3211="","N° facture manquant",IF(ISNA(MATCH(A3211,fa_num,0)),"Facture inconnue",IF(AND(B3211&lt;&gt;"",ISNA(MATCH(B3211,pr_code,0))),"Article inconnu",IF(H3211="","Désignation manquante",IF(OR(NOT(ISNUMBER(D3211)),N(D3211)&lt;=0),"Quantité invalide",IF(J3211="","Prix manquant",IF(OR(NOT(ISNUMBER(J3211)),N(J3211)&lt;0),"Prix invalide",IF(OR(AND(F3211&lt;&gt;"",NOT(ISNUMBER(F3211))),N(F3211)&lt;0,N(F3211)&gt;1),"Remise invalide",IF(K3211="","Taux de TVA manquant",IF(NOT(ISNUMBER(K3211)),"Taux de TVA invalide",IF(COUNTIF(p_rates,K3211)=0,"Taux de TVA hors liste (Paramètres)",IF(N(O3211)&gt;25,"Au-delà de 25 lignes : non imprimée","OK")))))))))))))</f>
        <v/>
      </c>
      <c r="O3211" s="59" t="str">
        <f>IF(A3211="","",COUNTIF($A$6:A3211,A3211))</f>
        <v/>
      </c>
      <c r="P3211" s="62" t="str">
        <f>IF(A3211="","",A3211&amp;"|"&amp;O3211)</f>
        <v/>
      </c>
    </row>
    <row r="3212">
      <c r="A3212" s="60" t="n"/>
      <c r="B3212" s="63" t="n"/>
      <c r="C3212" s="63" t="n"/>
      <c r="D3212" s="67" t="n"/>
      <c r="E3212" s="68" t="n"/>
      <c r="F3212" s="69" t="n"/>
      <c r="G3212" s="70" t="n"/>
      <c r="H3212" s="62" t="str">
        <f>IF(COUNTA(A3212:G3212)=0,"",IF(C3212&lt;&gt;"",C3212,IF(B3212="","",IFERROR(INDEX(pr_des,MATCH(B3212,pr_code,0))&amp;"",""))))</f>
        <v/>
      </c>
      <c r="I3212" s="59" t="str">
        <f>IF(B3212="","",IFERROR(INDEX(pr_unit,MATCH(B3212,pr_code,0))&amp;"",""))</f>
        <v/>
      </c>
      <c r="J3212" s="65" t="str">
        <f>IF(COUNTA(A3212:G3212)=0,"",IF(E3212&lt;&gt;"",E3212,IF(B3212="","",IFERROR(IF(INDEX(pr_price,MATCH(B3212,pr_code,0))="","",INDEX(pr_price,MATCH(B3212,pr_code,0))),""))))</f>
        <v/>
      </c>
      <c r="K3212" s="71" t="str">
        <f>IF(COUNTA(A3212:G3212)=0,"",IF(G3212&lt;&gt;"",G3212,IF(B3212="","",IFERROR(IF(INDEX(pr_rate,MATCH(B3212,pr_code,0))="","",INDEX(pr_rate,MATCH(B3212,pr_code,0))),""))))</f>
        <v/>
      </c>
      <c r="L3212" s="65" t="str">
        <f>IF(COUNTA(A3212:G3212)=0,"",IF(AND(ISNUMBER(D3212),ISNUMBER(J3212)),ROUND(D3212*J3212*(1-N(F3212)),2),0))</f>
        <v/>
      </c>
      <c r="M3212" s="62" t="str">
        <f>IF(A3212="","",IFERROR(INDEX(fa_cname,MATCH(A3212,fa_num,0))&amp;"",""))</f>
        <v/>
      </c>
      <c r="N3212" s="59" t="str">
        <f>IF(COUNTA(A3212:G3212)=0,"",IF(A3212="","N° facture manquant",IF(ISNA(MATCH(A3212,fa_num,0)),"Facture inconnue",IF(AND(B3212&lt;&gt;"",ISNA(MATCH(B3212,pr_code,0))),"Article inconnu",IF(H3212="","Désignation manquante",IF(OR(NOT(ISNUMBER(D3212)),N(D3212)&lt;=0),"Quantité invalide",IF(J3212="","Prix manquant",IF(OR(NOT(ISNUMBER(J3212)),N(J3212)&lt;0),"Prix invalide",IF(OR(AND(F3212&lt;&gt;"",NOT(ISNUMBER(F3212))),N(F3212)&lt;0,N(F3212)&gt;1),"Remise invalide",IF(K3212="","Taux de TVA manquant",IF(NOT(ISNUMBER(K3212)),"Taux de TVA invalide",IF(COUNTIF(p_rates,K3212)=0,"Taux de TVA hors liste (Paramètres)",IF(N(O3212)&gt;25,"Au-delà de 25 lignes : non imprimée","OK")))))))))))))</f>
        <v/>
      </c>
      <c r="O3212" s="59" t="str">
        <f>IF(A3212="","",COUNTIF($A$6:A3212,A3212))</f>
        <v/>
      </c>
      <c r="P3212" s="62" t="str">
        <f>IF(A3212="","",A3212&amp;"|"&amp;O3212)</f>
        <v/>
      </c>
    </row>
    <row r="3213">
      <c r="A3213" s="60" t="n"/>
      <c r="B3213" s="63" t="n"/>
      <c r="C3213" s="63" t="n"/>
      <c r="D3213" s="67" t="n"/>
      <c r="E3213" s="68" t="n"/>
      <c r="F3213" s="69" t="n"/>
      <c r="G3213" s="70" t="n"/>
      <c r="H3213" s="62" t="str">
        <f>IF(COUNTA(A3213:G3213)=0,"",IF(C3213&lt;&gt;"",C3213,IF(B3213="","",IFERROR(INDEX(pr_des,MATCH(B3213,pr_code,0))&amp;"",""))))</f>
        <v/>
      </c>
      <c r="I3213" s="59" t="str">
        <f>IF(B3213="","",IFERROR(INDEX(pr_unit,MATCH(B3213,pr_code,0))&amp;"",""))</f>
        <v/>
      </c>
      <c r="J3213" s="65" t="str">
        <f>IF(COUNTA(A3213:G3213)=0,"",IF(E3213&lt;&gt;"",E3213,IF(B3213="","",IFERROR(IF(INDEX(pr_price,MATCH(B3213,pr_code,0))="","",INDEX(pr_price,MATCH(B3213,pr_code,0))),""))))</f>
        <v/>
      </c>
      <c r="K3213" s="71" t="str">
        <f>IF(COUNTA(A3213:G3213)=0,"",IF(G3213&lt;&gt;"",G3213,IF(B3213="","",IFERROR(IF(INDEX(pr_rate,MATCH(B3213,pr_code,0))="","",INDEX(pr_rate,MATCH(B3213,pr_code,0))),""))))</f>
        <v/>
      </c>
      <c r="L3213" s="65" t="str">
        <f>IF(COUNTA(A3213:G3213)=0,"",IF(AND(ISNUMBER(D3213),ISNUMBER(J3213)),ROUND(D3213*J3213*(1-N(F3213)),2),0))</f>
        <v/>
      </c>
      <c r="M3213" s="62" t="str">
        <f>IF(A3213="","",IFERROR(INDEX(fa_cname,MATCH(A3213,fa_num,0))&amp;"",""))</f>
        <v/>
      </c>
      <c r="N3213" s="59" t="str">
        <f>IF(COUNTA(A3213:G3213)=0,"",IF(A3213="","N° facture manquant",IF(ISNA(MATCH(A3213,fa_num,0)),"Facture inconnue",IF(AND(B3213&lt;&gt;"",ISNA(MATCH(B3213,pr_code,0))),"Article inconnu",IF(H3213="","Désignation manquante",IF(OR(NOT(ISNUMBER(D3213)),N(D3213)&lt;=0),"Quantité invalide",IF(J3213="","Prix manquant",IF(OR(NOT(ISNUMBER(J3213)),N(J3213)&lt;0),"Prix invalide",IF(OR(AND(F3213&lt;&gt;"",NOT(ISNUMBER(F3213))),N(F3213)&lt;0,N(F3213)&gt;1),"Remise invalide",IF(K3213="","Taux de TVA manquant",IF(NOT(ISNUMBER(K3213)),"Taux de TVA invalide",IF(COUNTIF(p_rates,K3213)=0,"Taux de TVA hors liste (Paramètres)",IF(N(O3213)&gt;25,"Au-delà de 25 lignes : non imprimée","OK")))))))))))))</f>
        <v/>
      </c>
      <c r="O3213" s="59" t="str">
        <f>IF(A3213="","",COUNTIF($A$6:A3213,A3213))</f>
        <v/>
      </c>
      <c r="P3213" s="62" t="str">
        <f>IF(A3213="","",A3213&amp;"|"&amp;O3213)</f>
        <v/>
      </c>
    </row>
    <row r="3214">
      <c r="A3214" s="60" t="n"/>
      <c r="B3214" s="63" t="n"/>
      <c r="C3214" s="63" t="n"/>
      <c r="D3214" s="67" t="n"/>
      <c r="E3214" s="68" t="n"/>
      <c r="F3214" s="69" t="n"/>
      <c r="G3214" s="70" t="n"/>
      <c r="H3214" s="62" t="str">
        <f>IF(COUNTA(A3214:G3214)=0,"",IF(C3214&lt;&gt;"",C3214,IF(B3214="","",IFERROR(INDEX(pr_des,MATCH(B3214,pr_code,0))&amp;"",""))))</f>
        <v/>
      </c>
      <c r="I3214" s="59" t="str">
        <f>IF(B3214="","",IFERROR(INDEX(pr_unit,MATCH(B3214,pr_code,0))&amp;"",""))</f>
        <v/>
      </c>
      <c r="J3214" s="65" t="str">
        <f>IF(COUNTA(A3214:G3214)=0,"",IF(E3214&lt;&gt;"",E3214,IF(B3214="","",IFERROR(IF(INDEX(pr_price,MATCH(B3214,pr_code,0))="","",INDEX(pr_price,MATCH(B3214,pr_code,0))),""))))</f>
        <v/>
      </c>
      <c r="K3214" s="71" t="str">
        <f>IF(COUNTA(A3214:G3214)=0,"",IF(G3214&lt;&gt;"",G3214,IF(B3214="","",IFERROR(IF(INDEX(pr_rate,MATCH(B3214,pr_code,0))="","",INDEX(pr_rate,MATCH(B3214,pr_code,0))),""))))</f>
        <v/>
      </c>
      <c r="L3214" s="65" t="str">
        <f>IF(COUNTA(A3214:G3214)=0,"",IF(AND(ISNUMBER(D3214),ISNUMBER(J3214)),ROUND(D3214*J3214*(1-N(F3214)),2),0))</f>
        <v/>
      </c>
      <c r="M3214" s="62" t="str">
        <f>IF(A3214="","",IFERROR(INDEX(fa_cname,MATCH(A3214,fa_num,0))&amp;"",""))</f>
        <v/>
      </c>
      <c r="N3214" s="59" t="str">
        <f>IF(COUNTA(A3214:G3214)=0,"",IF(A3214="","N° facture manquant",IF(ISNA(MATCH(A3214,fa_num,0)),"Facture inconnue",IF(AND(B3214&lt;&gt;"",ISNA(MATCH(B3214,pr_code,0))),"Article inconnu",IF(H3214="","Désignation manquante",IF(OR(NOT(ISNUMBER(D3214)),N(D3214)&lt;=0),"Quantité invalide",IF(J3214="","Prix manquant",IF(OR(NOT(ISNUMBER(J3214)),N(J3214)&lt;0),"Prix invalide",IF(OR(AND(F3214&lt;&gt;"",NOT(ISNUMBER(F3214))),N(F3214)&lt;0,N(F3214)&gt;1),"Remise invalide",IF(K3214="","Taux de TVA manquant",IF(NOT(ISNUMBER(K3214)),"Taux de TVA invalide",IF(COUNTIF(p_rates,K3214)=0,"Taux de TVA hors liste (Paramètres)",IF(N(O3214)&gt;25,"Au-delà de 25 lignes : non imprimée","OK")))))))))))))</f>
        <v/>
      </c>
      <c r="O3214" s="59" t="str">
        <f>IF(A3214="","",COUNTIF($A$6:A3214,A3214))</f>
        <v/>
      </c>
      <c r="P3214" s="62" t="str">
        <f>IF(A3214="","",A3214&amp;"|"&amp;O3214)</f>
        <v/>
      </c>
    </row>
    <row r="3215">
      <c r="A3215" s="60" t="n"/>
      <c r="B3215" s="63" t="n"/>
      <c r="C3215" s="63" t="n"/>
      <c r="D3215" s="67" t="n"/>
      <c r="E3215" s="68" t="n"/>
      <c r="F3215" s="69" t="n"/>
      <c r="G3215" s="70" t="n"/>
      <c r="H3215" s="62" t="str">
        <f>IF(COUNTA(A3215:G3215)=0,"",IF(C3215&lt;&gt;"",C3215,IF(B3215="","",IFERROR(INDEX(pr_des,MATCH(B3215,pr_code,0))&amp;"",""))))</f>
        <v/>
      </c>
      <c r="I3215" s="59" t="str">
        <f>IF(B3215="","",IFERROR(INDEX(pr_unit,MATCH(B3215,pr_code,0))&amp;"",""))</f>
        <v/>
      </c>
      <c r="J3215" s="65" t="str">
        <f>IF(COUNTA(A3215:G3215)=0,"",IF(E3215&lt;&gt;"",E3215,IF(B3215="","",IFERROR(IF(INDEX(pr_price,MATCH(B3215,pr_code,0))="","",INDEX(pr_price,MATCH(B3215,pr_code,0))),""))))</f>
        <v/>
      </c>
      <c r="K3215" s="71" t="str">
        <f>IF(COUNTA(A3215:G3215)=0,"",IF(G3215&lt;&gt;"",G3215,IF(B3215="","",IFERROR(IF(INDEX(pr_rate,MATCH(B3215,pr_code,0))="","",INDEX(pr_rate,MATCH(B3215,pr_code,0))),""))))</f>
        <v/>
      </c>
      <c r="L3215" s="65" t="str">
        <f>IF(COUNTA(A3215:G3215)=0,"",IF(AND(ISNUMBER(D3215),ISNUMBER(J3215)),ROUND(D3215*J3215*(1-N(F3215)),2),0))</f>
        <v/>
      </c>
      <c r="M3215" s="62" t="str">
        <f>IF(A3215="","",IFERROR(INDEX(fa_cname,MATCH(A3215,fa_num,0))&amp;"",""))</f>
        <v/>
      </c>
      <c r="N3215" s="59" t="str">
        <f>IF(COUNTA(A3215:G3215)=0,"",IF(A3215="","N° facture manquant",IF(ISNA(MATCH(A3215,fa_num,0)),"Facture inconnue",IF(AND(B3215&lt;&gt;"",ISNA(MATCH(B3215,pr_code,0))),"Article inconnu",IF(H3215="","Désignation manquante",IF(OR(NOT(ISNUMBER(D3215)),N(D3215)&lt;=0),"Quantité invalide",IF(J3215="","Prix manquant",IF(OR(NOT(ISNUMBER(J3215)),N(J3215)&lt;0),"Prix invalide",IF(OR(AND(F3215&lt;&gt;"",NOT(ISNUMBER(F3215))),N(F3215)&lt;0,N(F3215)&gt;1),"Remise invalide",IF(K3215="","Taux de TVA manquant",IF(NOT(ISNUMBER(K3215)),"Taux de TVA invalide",IF(COUNTIF(p_rates,K3215)=0,"Taux de TVA hors liste (Paramètres)",IF(N(O3215)&gt;25,"Au-delà de 25 lignes : non imprimée","OK")))))))))))))</f>
        <v/>
      </c>
      <c r="O3215" s="59" t="str">
        <f>IF(A3215="","",COUNTIF($A$6:A3215,A3215))</f>
        <v/>
      </c>
      <c r="P3215" s="62" t="str">
        <f>IF(A3215="","",A3215&amp;"|"&amp;O3215)</f>
        <v/>
      </c>
    </row>
    <row r="3216">
      <c r="A3216" s="60" t="n"/>
      <c r="B3216" s="63" t="n"/>
      <c r="C3216" s="63" t="n"/>
      <c r="D3216" s="67" t="n"/>
      <c r="E3216" s="68" t="n"/>
      <c r="F3216" s="69" t="n"/>
      <c r="G3216" s="70" t="n"/>
      <c r="H3216" s="62" t="str">
        <f>IF(COUNTA(A3216:G3216)=0,"",IF(C3216&lt;&gt;"",C3216,IF(B3216="","",IFERROR(INDEX(pr_des,MATCH(B3216,pr_code,0))&amp;"",""))))</f>
        <v/>
      </c>
      <c r="I3216" s="59" t="str">
        <f>IF(B3216="","",IFERROR(INDEX(pr_unit,MATCH(B3216,pr_code,0))&amp;"",""))</f>
        <v/>
      </c>
      <c r="J3216" s="65" t="str">
        <f>IF(COUNTA(A3216:G3216)=0,"",IF(E3216&lt;&gt;"",E3216,IF(B3216="","",IFERROR(IF(INDEX(pr_price,MATCH(B3216,pr_code,0))="","",INDEX(pr_price,MATCH(B3216,pr_code,0))),""))))</f>
        <v/>
      </c>
      <c r="K3216" s="71" t="str">
        <f>IF(COUNTA(A3216:G3216)=0,"",IF(G3216&lt;&gt;"",G3216,IF(B3216="","",IFERROR(IF(INDEX(pr_rate,MATCH(B3216,pr_code,0))="","",INDEX(pr_rate,MATCH(B3216,pr_code,0))),""))))</f>
        <v/>
      </c>
      <c r="L3216" s="65" t="str">
        <f>IF(COUNTA(A3216:G3216)=0,"",IF(AND(ISNUMBER(D3216),ISNUMBER(J3216)),ROUND(D3216*J3216*(1-N(F3216)),2),0))</f>
        <v/>
      </c>
      <c r="M3216" s="62" t="str">
        <f>IF(A3216="","",IFERROR(INDEX(fa_cname,MATCH(A3216,fa_num,0))&amp;"",""))</f>
        <v/>
      </c>
      <c r="N3216" s="59" t="str">
        <f>IF(COUNTA(A3216:G3216)=0,"",IF(A3216="","N° facture manquant",IF(ISNA(MATCH(A3216,fa_num,0)),"Facture inconnue",IF(AND(B3216&lt;&gt;"",ISNA(MATCH(B3216,pr_code,0))),"Article inconnu",IF(H3216="","Désignation manquante",IF(OR(NOT(ISNUMBER(D3216)),N(D3216)&lt;=0),"Quantité invalide",IF(J3216="","Prix manquant",IF(OR(NOT(ISNUMBER(J3216)),N(J3216)&lt;0),"Prix invalide",IF(OR(AND(F3216&lt;&gt;"",NOT(ISNUMBER(F3216))),N(F3216)&lt;0,N(F3216)&gt;1),"Remise invalide",IF(K3216="","Taux de TVA manquant",IF(NOT(ISNUMBER(K3216)),"Taux de TVA invalide",IF(COUNTIF(p_rates,K3216)=0,"Taux de TVA hors liste (Paramètres)",IF(N(O3216)&gt;25,"Au-delà de 25 lignes : non imprimée","OK")))))))))))))</f>
        <v/>
      </c>
      <c r="O3216" s="59" t="str">
        <f>IF(A3216="","",COUNTIF($A$6:A3216,A3216))</f>
        <v/>
      </c>
      <c r="P3216" s="62" t="str">
        <f>IF(A3216="","",A3216&amp;"|"&amp;O3216)</f>
        <v/>
      </c>
    </row>
    <row r="3217">
      <c r="A3217" s="60" t="n"/>
      <c r="B3217" s="63" t="n"/>
      <c r="C3217" s="63" t="n"/>
      <c r="D3217" s="67" t="n"/>
      <c r="E3217" s="68" t="n"/>
      <c r="F3217" s="69" t="n"/>
      <c r="G3217" s="70" t="n"/>
      <c r="H3217" s="62" t="str">
        <f>IF(COUNTA(A3217:G3217)=0,"",IF(C3217&lt;&gt;"",C3217,IF(B3217="","",IFERROR(INDEX(pr_des,MATCH(B3217,pr_code,0))&amp;"",""))))</f>
        <v/>
      </c>
      <c r="I3217" s="59" t="str">
        <f>IF(B3217="","",IFERROR(INDEX(pr_unit,MATCH(B3217,pr_code,0))&amp;"",""))</f>
        <v/>
      </c>
      <c r="J3217" s="65" t="str">
        <f>IF(COUNTA(A3217:G3217)=0,"",IF(E3217&lt;&gt;"",E3217,IF(B3217="","",IFERROR(IF(INDEX(pr_price,MATCH(B3217,pr_code,0))="","",INDEX(pr_price,MATCH(B3217,pr_code,0))),""))))</f>
        <v/>
      </c>
      <c r="K3217" s="71" t="str">
        <f>IF(COUNTA(A3217:G3217)=0,"",IF(G3217&lt;&gt;"",G3217,IF(B3217="","",IFERROR(IF(INDEX(pr_rate,MATCH(B3217,pr_code,0))="","",INDEX(pr_rate,MATCH(B3217,pr_code,0))),""))))</f>
        <v/>
      </c>
      <c r="L3217" s="65" t="str">
        <f>IF(COUNTA(A3217:G3217)=0,"",IF(AND(ISNUMBER(D3217),ISNUMBER(J3217)),ROUND(D3217*J3217*(1-N(F3217)),2),0))</f>
        <v/>
      </c>
      <c r="M3217" s="62" t="str">
        <f>IF(A3217="","",IFERROR(INDEX(fa_cname,MATCH(A3217,fa_num,0))&amp;"",""))</f>
        <v/>
      </c>
      <c r="N3217" s="59" t="str">
        <f>IF(COUNTA(A3217:G3217)=0,"",IF(A3217="","N° facture manquant",IF(ISNA(MATCH(A3217,fa_num,0)),"Facture inconnue",IF(AND(B3217&lt;&gt;"",ISNA(MATCH(B3217,pr_code,0))),"Article inconnu",IF(H3217="","Désignation manquante",IF(OR(NOT(ISNUMBER(D3217)),N(D3217)&lt;=0),"Quantité invalide",IF(J3217="","Prix manquant",IF(OR(NOT(ISNUMBER(J3217)),N(J3217)&lt;0),"Prix invalide",IF(OR(AND(F3217&lt;&gt;"",NOT(ISNUMBER(F3217))),N(F3217)&lt;0,N(F3217)&gt;1),"Remise invalide",IF(K3217="","Taux de TVA manquant",IF(NOT(ISNUMBER(K3217)),"Taux de TVA invalide",IF(COUNTIF(p_rates,K3217)=0,"Taux de TVA hors liste (Paramètres)",IF(N(O3217)&gt;25,"Au-delà de 25 lignes : non imprimée","OK")))))))))))))</f>
        <v/>
      </c>
      <c r="O3217" s="59" t="str">
        <f>IF(A3217="","",COUNTIF($A$6:A3217,A3217))</f>
        <v/>
      </c>
      <c r="P3217" s="62" t="str">
        <f>IF(A3217="","",A3217&amp;"|"&amp;O3217)</f>
        <v/>
      </c>
    </row>
    <row r="3218">
      <c r="A3218" s="60" t="n"/>
      <c r="B3218" s="63" t="n"/>
      <c r="C3218" s="63" t="n"/>
      <c r="D3218" s="67" t="n"/>
      <c r="E3218" s="68" t="n"/>
      <c r="F3218" s="69" t="n"/>
      <c r="G3218" s="70" t="n"/>
      <c r="H3218" s="62" t="str">
        <f>IF(COUNTA(A3218:G3218)=0,"",IF(C3218&lt;&gt;"",C3218,IF(B3218="","",IFERROR(INDEX(pr_des,MATCH(B3218,pr_code,0))&amp;"",""))))</f>
        <v/>
      </c>
      <c r="I3218" s="59" t="str">
        <f>IF(B3218="","",IFERROR(INDEX(pr_unit,MATCH(B3218,pr_code,0))&amp;"",""))</f>
        <v/>
      </c>
      <c r="J3218" s="65" t="str">
        <f>IF(COUNTA(A3218:G3218)=0,"",IF(E3218&lt;&gt;"",E3218,IF(B3218="","",IFERROR(IF(INDEX(pr_price,MATCH(B3218,pr_code,0))="","",INDEX(pr_price,MATCH(B3218,pr_code,0))),""))))</f>
        <v/>
      </c>
      <c r="K3218" s="71" t="str">
        <f>IF(COUNTA(A3218:G3218)=0,"",IF(G3218&lt;&gt;"",G3218,IF(B3218="","",IFERROR(IF(INDEX(pr_rate,MATCH(B3218,pr_code,0))="","",INDEX(pr_rate,MATCH(B3218,pr_code,0))),""))))</f>
        <v/>
      </c>
      <c r="L3218" s="65" t="str">
        <f>IF(COUNTA(A3218:G3218)=0,"",IF(AND(ISNUMBER(D3218),ISNUMBER(J3218)),ROUND(D3218*J3218*(1-N(F3218)),2),0))</f>
        <v/>
      </c>
      <c r="M3218" s="62" t="str">
        <f>IF(A3218="","",IFERROR(INDEX(fa_cname,MATCH(A3218,fa_num,0))&amp;"",""))</f>
        <v/>
      </c>
      <c r="N3218" s="59" t="str">
        <f>IF(COUNTA(A3218:G3218)=0,"",IF(A3218="","N° facture manquant",IF(ISNA(MATCH(A3218,fa_num,0)),"Facture inconnue",IF(AND(B3218&lt;&gt;"",ISNA(MATCH(B3218,pr_code,0))),"Article inconnu",IF(H3218="","Désignation manquante",IF(OR(NOT(ISNUMBER(D3218)),N(D3218)&lt;=0),"Quantité invalide",IF(J3218="","Prix manquant",IF(OR(NOT(ISNUMBER(J3218)),N(J3218)&lt;0),"Prix invalide",IF(OR(AND(F3218&lt;&gt;"",NOT(ISNUMBER(F3218))),N(F3218)&lt;0,N(F3218)&gt;1),"Remise invalide",IF(K3218="","Taux de TVA manquant",IF(NOT(ISNUMBER(K3218)),"Taux de TVA invalide",IF(COUNTIF(p_rates,K3218)=0,"Taux de TVA hors liste (Paramètres)",IF(N(O3218)&gt;25,"Au-delà de 25 lignes : non imprimée","OK")))))))))))))</f>
        <v/>
      </c>
      <c r="O3218" s="59" t="str">
        <f>IF(A3218="","",COUNTIF($A$6:A3218,A3218))</f>
        <v/>
      </c>
      <c r="P3218" s="62" t="str">
        <f>IF(A3218="","",A3218&amp;"|"&amp;O3218)</f>
        <v/>
      </c>
    </row>
    <row r="3219">
      <c r="A3219" s="60" t="n"/>
      <c r="B3219" s="63" t="n"/>
      <c r="C3219" s="63" t="n"/>
      <c r="D3219" s="67" t="n"/>
      <c r="E3219" s="68" t="n"/>
      <c r="F3219" s="69" t="n"/>
      <c r="G3219" s="70" t="n"/>
      <c r="H3219" s="62" t="str">
        <f>IF(COUNTA(A3219:G3219)=0,"",IF(C3219&lt;&gt;"",C3219,IF(B3219="","",IFERROR(INDEX(pr_des,MATCH(B3219,pr_code,0))&amp;"",""))))</f>
        <v/>
      </c>
      <c r="I3219" s="59" t="str">
        <f>IF(B3219="","",IFERROR(INDEX(pr_unit,MATCH(B3219,pr_code,0))&amp;"",""))</f>
        <v/>
      </c>
      <c r="J3219" s="65" t="str">
        <f>IF(COUNTA(A3219:G3219)=0,"",IF(E3219&lt;&gt;"",E3219,IF(B3219="","",IFERROR(IF(INDEX(pr_price,MATCH(B3219,pr_code,0))="","",INDEX(pr_price,MATCH(B3219,pr_code,0))),""))))</f>
        <v/>
      </c>
      <c r="K3219" s="71" t="str">
        <f>IF(COUNTA(A3219:G3219)=0,"",IF(G3219&lt;&gt;"",G3219,IF(B3219="","",IFERROR(IF(INDEX(pr_rate,MATCH(B3219,pr_code,0))="","",INDEX(pr_rate,MATCH(B3219,pr_code,0))),""))))</f>
        <v/>
      </c>
      <c r="L3219" s="65" t="str">
        <f>IF(COUNTA(A3219:G3219)=0,"",IF(AND(ISNUMBER(D3219),ISNUMBER(J3219)),ROUND(D3219*J3219*(1-N(F3219)),2),0))</f>
        <v/>
      </c>
      <c r="M3219" s="62" t="str">
        <f>IF(A3219="","",IFERROR(INDEX(fa_cname,MATCH(A3219,fa_num,0))&amp;"",""))</f>
        <v/>
      </c>
      <c r="N3219" s="59" t="str">
        <f>IF(COUNTA(A3219:G3219)=0,"",IF(A3219="","N° facture manquant",IF(ISNA(MATCH(A3219,fa_num,0)),"Facture inconnue",IF(AND(B3219&lt;&gt;"",ISNA(MATCH(B3219,pr_code,0))),"Article inconnu",IF(H3219="","Désignation manquante",IF(OR(NOT(ISNUMBER(D3219)),N(D3219)&lt;=0),"Quantité invalide",IF(J3219="","Prix manquant",IF(OR(NOT(ISNUMBER(J3219)),N(J3219)&lt;0),"Prix invalide",IF(OR(AND(F3219&lt;&gt;"",NOT(ISNUMBER(F3219))),N(F3219)&lt;0,N(F3219)&gt;1),"Remise invalide",IF(K3219="","Taux de TVA manquant",IF(NOT(ISNUMBER(K3219)),"Taux de TVA invalide",IF(COUNTIF(p_rates,K3219)=0,"Taux de TVA hors liste (Paramètres)",IF(N(O3219)&gt;25,"Au-delà de 25 lignes : non imprimée","OK")))))))))))))</f>
        <v/>
      </c>
      <c r="O3219" s="59" t="str">
        <f>IF(A3219="","",COUNTIF($A$6:A3219,A3219))</f>
        <v/>
      </c>
      <c r="P3219" s="62" t="str">
        <f>IF(A3219="","",A3219&amp;"|"&amp;O3219)</f>
        <v/>
      </c>
    </row>
    <row r="3220">
      <c r="A3220" s="60" t="n"/>
      <c r="B3220" s="63" t="n"/>
      <c r="C3220" s="63" t="n"/>
      <c r="D3220" s="67" t="n"/>
      <c r="E3220" s="68" t="n"/>
      <c r="F3220" s="69" t="n"/>
      <c r="G3220" s="70" t="n"/>
      <c r="H3220" s="62" t="str">
        <f>IF(COUNTA(A3220:G3220)=0,"",IF(C3220&lt;&gt;"",C3220,IF(B3220="","",IFERROR(INDEX(pr_des,MATCH(B3220,pr_code,0))&amp;"",""))))</f>
        <v/>
      </c>
      <c r="I3220" s="59" t="str">
        <f>IF(B3220="","",IFERROR(INDEX(pr_unit,MATCH(B3220,pr_code,0))&amp;"",""))</f>
        <v/>
      </c>
      <c r="J3220" s="65" t="str">
        <f>IF(COUNTA(A3220:G3220)=0,"",IF(E3220&lt;&gt;"",E3220,IF(B3220="","",IFERROR(IF(INDEX(pr_price,MATCH(B3220,pr_code,0))="","",INDEX(pr_price,MATCH(B3220,pr_code,0))),""))))</f>
        <v/>
      </c>
      <c r="K3220" s="71" t="str">
        <f>IF(COUNTA(A3220:G3220)=0,"",IF(G3220&lt;&gt;"",G3220,IF(B3220="","",IFERROR(IF(INDEX(pr_rate,MATCH(B3220,pr_code,0))="","",INDEX(pr_rate,MATCH(B3220,pr_code,0))),""))))</f>
        <v/>
      </c>
      <c r="L3220" s="65" t="str">
        <f>IF(COUNTA(A3220:G3220)=0,"",IF(AND(ISNUMBER(D3220),ISNUMBER(J3220)),ROUND(D3220*J3220*(1-N(F3220)),2),0))</f>
        <v/>
      </c>
      <c r="M3220" s="62" t="str">
        <f>IF(A3220="","",IFERROR(INDEX(fa_cname,MATCH(A3220,fa_num,0))&amp;"",""))</f>
        <v/>
      </c>
      <c r="N3220" s="59" t="str">
        <f>IF(COUNTA(A3220:G3220)=0,"",IF(A3220="","N° facture manquant",IF(ISNA(MATCH(A3220,fa_num,0)),"Facture inconnue",IF(AND(B3220&lt;&gt;"",ISNA(MATCH(B3220,pr_code,0))),"Article inconnu",IF(H3220="","Désignation manquante",IF(OR(NOT(ISNUMBER(D3220)),N(D3220)&lt;=0),"Quantité invalide",IF(J3220="","Prix manquant",IF(OR(NOT(ISNUMBER(J3220)),N(J3220)&lt;0),"Prix invalide",IF(OR(AND(F3220&lt;&gt;"",NOT(ISNUMBER(F3220))),N(F3220)&lt;0,N(F3220)&gt;1),"Remise invalide",IF(K3220="","Taux de TVA manquant",IF(NOT(ISNUMBER(K3220)),"Taux de TVA invalide",IF(COUNTIF(p_rates,K3220)=0,"Taux de TVA hors liste (Paramètres)",IF(N(O3220)&gt;25,"Au-delà de 25 lignes : non imprimée","OK")))))))))))))</f>
        <v/>
      </c>
      <c r="O3220" s="59" t="str">
        <f>IF(A3220="","",COUNTIF($A$6:A3220,A3220))</f>
        <v/>
      </c>
      <c r="P3220" s="62" t="str">
        <f>IF(A3220="","",A3220&amp;"|"&amp;O3220)</f>
        <v/>
      </c>
    </row>
    <row r="3221">
      <c r="A3221" s="60" t="n"/>
      <c r="B3221" s="63" t="n"/>
      <c r="C3221" s="63" t="n"/>
      <c r="D3221" s="67" t="n"/>
      <c r="E3221" s="68" t="n"/>
      <c r="F3221" s="69" t="n"/>
      <c r="G3221" s="70" t="n"/>
      <c r="H3221" s="62" t="str">
        <f>IF(COUNTA(A3221:G3221)=0,"",IF(C3221&lt;&gt;"",C3221,IF(B3221="","",IFERROR(INDEX(pr_des,MATCH(B3221,pr_code,0))&amp;"",""))))</f>
        <v/>
      </c>
      <c r="I3221" s="59" t="str">
        <f>IF(B3221="","",IFERROR(INDEX(pr_unit,MATCH(B3221,pr_code,0))&amp;"",""))</f>
        <v/>
      </c>
      <c r="J3221" s="65" t="str">
        <f>IF(COUNTA(A3221:G3221)=0,"",IF(E3221&lt;&gt;"",E3221,IF(B3221="","",IFERROR(IF(INDEX(pr_price,MATCH(B3221,pr_code,0))="","",INDEX(pr_price,MATCH(B3221,pr_code,0))),""))))</f>
        <v/>
      </c>
      <c r="K3221" s="71" t="str">
        <f>IF(COUNTA(A3221:G3221)=0,"",IF(G3221&lt;&gt;"",G3221,IF(B3221="","",IFERROR(IF(INDEX(pr_rate,MATCH(B3221,pr_code,0))="","",INDEX(pr_rate,MATCH(B3221,pr_code,0))),""))))</f>
        <v/>
      </c>
      <c r="L3221" s="65" t="str">
        <f>IF(COUNTA(A3221:G3221)=0,"",IF(AND(ISNUMBER(D3221),ISNUMBER(J3221)),ROUND(D3221*J3221*(1-N(F3221)),2),0))</f>
        <v/>
      </c>
      <c r="M3221" s="62" t="str">
        <f>IF(A3221="","",IFERROR(INDEX(fa_cname,MATCH(A3221,fa_num,0))&amp;"",""))</f>
        <v/>
      </c>
      <c r="N3221" s="59" t="str">
        <f>IF(COUNTA(A3221:G3221)=0,"",IF(A3221="","N° facture manquant",IF(ISNA(MATCH(A3221,fa_num,0)),"Facture inconnue",IF(AND(B3221&lt;&gt;"",ISNA(MATCH(B3221,pr_code,0))),"Article inconnu",IF(H3221="","Désignation manquante",IF(OR(NOT(ISNUMBER(D3221)),N(D3221)&lt;=0),"Quantité invalide",IF(J3221="","Prix manquant",IF(OR(NOT(ISNUMBER(J3221)),N(J3221)&lt;0),"Prix invalide",IF(OR(AND(F3221&lt;&gt;"",NOT(ISNUMBER(F3221))),N(F3221)&lt;0,N(F3221)&gt;1),"Remise invalide",IF(K3221="","Taux de TVA manquant",IF(NOT(ISNUMBER(K3221)),"Taux de TVA invalide",IF(COUNTIF(p_rates,K3221)=0,"Taux de TVA hors liste (Paramètres)",IF(N(O3221)&gt;25,"Au-delà de 25 lignes : non imprimée","OK")))))))))))))</f>
        <v/>
      </c>
      <c r="O3221" s="59" t="str">
        <f>IF(A3221="","",COUNTIF($A$6:A3221,A3221))</f>
        <v/>
      </c>
      <c r="P3221" s="62" t="str">
        <f>IF(A3221="","",A3221&amp;"|"&amp;O3221)</f>
        <v/>
      </c>
    </row>
    <row r="3222">
      <c r="A3222" s="60" t="n"/>
      <c r="B3222" s="63" t="n"/>
      <c r="C3222" s="63" t="n"/>
      <c r="D3222" s="67" t="n"/>
      <c r="E3222" s="68" t="n"/>
      <c r="F3222" s="69" t="n"/>
      <c r="G3222" s="70" t="n"/>
      <c r="H3222" s="62" t="str">
        <f>IF(COUNTA(A3222:G3222)=0,"",IF(C3222&lt;&gt;"",C3222,IF(B3222="","",IFERROR(INDEX(pr_des,MATCH(B3222,pr_code,0))&amp;"",""))))</f>
        <v/>
      </c>
      <c r="I3222" s="59" t="str">
        <f>IF(B3222="","",IFERROR(INDEX(pr_unit,MATCH(B3222,pr_code,0))&amp;"",""))</f>
        <v/>
      </c>
      <c r="J3222" s="65" t="str">
        <f>IF(COUNTA(A3222:G3222)=0,"",IF(E3222&lt;&gt;"",E3222,IF(B3222="","",IFERROR(IF(INDEX(pr_price,MATCH(B3222,pr_code,0))="","",INDEX(pr_price,MATCH(B3222,pr_code,0))),""))))</f>
        <v/>
      </c>
      <c r="K3222" s="71" t="str">
        <f>IF(COUNTA(A3222:G3222)=0,"",IF(G3222&lt;&gt;"",G3222,IF(B3222="","",IFERROR(IF(INDEX(pr_rate,MATCH(B3222,pr_code,0))="","",INDEX(pr_rate,MATCH(B3222,pr_code,0))),""))))</f>
        <v/>
      </c>
      <c r="L3222" s="65" t="str">
        <f>IF(COUNTA(A3222:G3222)=0,"",IF(AND(ISNUMBER(D3222),ISNUMBER(J3222)),ROUND(D3222*J3222*(1-N(F3222)),2),0))</f>
        <v/>
      </c>
      <c r="M3222" s="62" t="str">
        <f>IF(A3222="","",IFERROR(INDEX(fa_cname,MATCH(A3222,fa_num,0))&amp;"",""))</f>
        <v/>
      </c>
      <c r="N3222" s="59" t="str">
        <f>IF(COUNTA(A3222:G3222)=0,"",IF(A3222="","N° facture manquant",IF(ISNA(MATCH(A3222,fa_num,0)),"Facture inconnue",IF(AND(B3222&lt;&gt;"",ISNA(MATCH(B3222,pr_code,0))),"Article inconnu",IF(H3222="","Désignation manquante",IF(OR(NOT(ISNUMBER(D3222)),N(D3222)&lt;=0),"Quantité invalide",IF(J3222="","Prix manquant",IF(OR(NOT(ISNUMBER(J3222)),N(J3222)&lt;0),"Prix invalide",IF(OR(AND(F3222&lt;&gt;"",NOT(ISNUMBER(F3222))),N(F3222)&lt;0,N(F3222)&gt;1),"Remise invalide",IF(K3222="","Taux de TVA manquant",IF(NOT(ISNUMBER(K3222)),"Taux de TVA invalide",IF(COUNTIF(p_rates,K3222)=0,"Taux de TVA hors liste (Paramètres)",IF(N(O3222)&gt;25,"Au-delà de 25 lignes : non imprimée","OK")))))))))))))</f>
        <v/>
      </c>
      <c r="O3222" s="59" t="str">
        <f>IF(A3222="","",COUNTIF($A$6:A3222,A3222))</f>
        <v/>
      </c>
      <c r="P3222" s="62" t="str">
        <f>IF(A3222="","",A3222&amp;"|"&amp;O3222)</f>
        <v/>
      </c>
    </row>
    <row r="3223">
      <c r="A3223" s="60" t="n"/>
      <c r="B3223" s="63" t="n"/>
      <c r="C3223" s="63" t="n"/>
      <c r="D3223" s="67" t="n"/>
      <c r="E3223" s="68" t="n"/>
      <c r="F3223" s="69" t="n"/>
      <c r="G3223" s="70" t="n"/>
      <c r="H3223" s="62" t="str">
        <f>IF(COUNTA(A3223:G3223)=0,"",IF(C3223&lt;&gt;"",C3223,IF(B3223="","",IFERROR(INDEX(pr_des,MATCH(B3223,pr_code,0))&amp;"",""))))</f>
        <v/>
      </c>
      <c r="I3223" s="59" t="str">
        <f>IF(B3223="","",IFERROR(INDEX(pr_unit,MATCH(B3223,pr_code,0))&amp;"",""))</f>
        <v/>
      </c>
      <c r="J3223" s="65" t="str">
        <f>IF(COUNTA(A3223:G3223)=0,"",IF(E3223&lt;&gt;"",E3223,IF(B3223="","",IFERROR(IF(INDEX(pr_price,MATCH(B3223,pr_code,0))="","",INDEX(pr_price,MATCH(B3223,pr_code,0))),""))))</f>
        <v/>
      </c>
      <c r="K3223" s="71" t="str">
        <f>IF(COUNTA(A3223:G3223)=0,"",IF(G3223&lt;&gt;"",G3223,IF(B3223="","",IFERROR(IF(INDEX(pr_rate,MATCH(B3223,pr_code,0))="","",INDEX(pr_rate,MATCH(B3223,pr_code,0))),""))))</f>
        <v/>
      </c>
      <c r="L3223" s="65" t="str">
        <f>IF(COUNTA(A3223:G3223)=0,"",IF(AND(ISNUMBER(D3223),ISNUMBER(J3223)),ROUND(D3223*J3223*(1-N(F3223)),2),0))</f>
        <v/>
      </c>
      <c r="M3223" s="62" t="str">
        <f>IF(A3223="","",IFERROR(INDEX(fa_cname,MATCH(A3223,fa_num,0))&amp;"",""))</f>
        <v/>
      </c>
      <c r="N3223" s="59" t="str">
        <f>IF(COUNTA(A3223:G3223)=0,"",IF(A3223="","N° facture manquant",IF(ISNA(MATCH(A3223,fa_num,0)),"Facture inconnue",IF(AND(B3223&lt;&gt;"",ISNA(MATCH(B3223,pr_code,0))),"Article inconnu",IF(H3223="","Désignation manquante",IF(OR(NOT(ISNUMBER(D3223)),N(D3223)&lt;=0),"Quantité invalide",IF(J3223="","Prix manquant",IF(OR(NOT(ISNUMBER(J3223)),N(J3223)&lt;0),"Prix invalide",IF(OR(AND(F3223&lt;&gt;"",NOT(ISNUMBER(F3223))),N(F3223)&lt;0,N(F3223)&gt;1),"Remise invalide",IF(K3223="","Taux de TVA manquant",IF(NOT(ISNUMBER(K3223)),"Taux de TVA invalide",IF(COUNTIF(p_rates,K3223)=0,"Taux de TVA hors liste (Paramètres)",IF(N(O3223)&gt;25,"Au-delà de 25 lignes : non imprimée","OK")))))))))))))</f>
        <v/>
      </c>
      <c r="O3223" s="59" t="str">
        <f>IF(A3223="","",COUNTIF($A$6:A3223,A3223))</f>
        <v/>
      </c>
      <c r="P3223" s="62" t="str">
        <f>IF(A3223="","",A3223&amp;"|"&amp;O3223)</f>
        <v/>
      </c>
    </row>
    <row r="3224">
      <c r="A3224" s="60" t="n"/>
      <c r="B3224" s="63" t="n"/>
      <c r="C3224" s="63" t="n"/>
      <c r="D3224" s="67" t="n"/>
      <c r="E3224" s="68" t="n"/>
      <c r="F3224" s="69" t="n"/>
      <c r="G3224" s="70" t="n"/>
      <c r="H3224" s="62" t="str">
        <f>IF(COUNTA(A3224:G3224)=0,"",IF(C3224&lt;&gt;"",C3224,IF(B3224="","",IFERROR(INDEX(pr_des,MATCH(B3224,pr_code,0))&amp;"",""))))</f>
        <v/>
      </c>
      <c r="I3224" s="59" t="str">
        <f>IF(B3224="","",IFERROR(INDEX(pr_unit,MATCH(B3224,pr_code,0))&amp;"",""))</f>
        <v/>
      </c>
      <c r="J3224" s="65" t="str">
        <f>IF(COUNTA(A3224:G3224)=0,"",IF(E3224&lt;&gt;"",E3224,IF(B3224="","",IFERROR(IF(INDEX(pr_price,MATCH(B3224,pr_code,0))="","",INDEX(pr_price,MATCH(B3224,pr_code,0))),""))))</f>
        <v/>
      </c>
      <c r="K3224" s="71" t="str">
        <f>IF(COUNTA(A3224:G3224)=0,"",IF(G3224&lt;&gt;"",G3224,IF(B3224="","",IFERROR(IF(INDEX(pr_rate,MATCH(B3224,pr_code,0))="","",INDEX(pr_rate,MATCH(B3224,pr_code,0))),""))))</f>
        <v/>
      </c>
      <c r="L3224" s="65" t="str">
        <f>IF(COUNTA(A3224:G3224)=0,"",IF(AND(ISNUMBER(D3224),ISNUMBER(J3224)),ROUND(D3224*J3224*(1-N(F3224)),2),0))</f>
        <v/>
      </c>
      <c r="M3224" s="62" t="str">
        <f>IF(A3224="","",IFERROR(INDEX(fa_cname,MATCH(A3224,fa_num,0))&amp;"",""))</f>
        <v/>
      </c>
      <c r="N3224" s="59" t="str">
        <f>IF(COUNTA(A3224:G3224)=0,"",IF(A3224="","N° facture manquant",IF(ISNA(MATCH(A3224,fa_num,0)),"Facture inconnue",IF(AND(B3224&lt;&gt;"",ISNA(MATCH(B3224,pr_code,0))),"Article inconnu",IF(H3224="","Désignation manquante",IF(OR(NOT(ISNUMBER(D3224)),N(D3224)&lt;=0),"Quantité invalide",IF(J3224="","Prix manquant",IF(OR(NOT(ISNUMBER(J3224)),N(J3224)&lt;0),"Prix invalide",IF(OR(AND(F3224&lt;&gt;"",NOT(ISNUMBER(F3224))),N(F3224)&lt;0,N(F3224)&gt;1),"Remise invalide",IF(K3224="","Taux de TVA manquant",IF(NOT(ISNUMBER(K3224)),"Taux de TVA invalide",IF(COUNTIF(p_rates,K3224)=0,"Taux de TVA hors liste (Paramètres)",IF(N(O3224)&gt;25,"Au-delà de 25 lignes : non imprimée","OK")))))))))))))</f>
        <v/>
      </c>
      <c r="O3224" s="59" t="str">
        <f>IF(A3224="","",COUNTIF($A$6:A3224,A3224))</f>
        <v/>
      </c>
      <c r="P3224" s="62" t="str">
        <f>IF(A3224="","",A3224&amp;"|"&amp;O3224)</f>
        <v/>
      </c>
    </row>
    <row r="3225">
      <c r="A3225" s="60" t="n"/>
      <c r="B3225" s="63" t="n"/>
      <c r="C3225" s="63" t="n"/>
      <c r="D3225" s="67" t="n"/>
      <c r="E3225" s="68" t="n"/>
      <c r="F3225" s="69" t="n"/>
      <c r="G3225" s="70" t="n"/>
      <c r="H3225" s="62" t="str">
        <f>IF(COUNTA(A3225:G3225)=0,"",IF(C3225&lt;&gt;"",C3225,IF(B3225="","",IFERROR(INDEX(pr_des,MATCH(B3225,pr_code,0))&amp;"",""))))</f>
        <v/>
      </c>
      <c r="I3225" s="59" t="str">
        <f>IF(B3225="","",IFERROR(INDEX(pr_unit,MATCH(B3225,pr_code,0))&amp;"",""))</f>
        <v/>
      </c>
      <c r="J3225" s="65" t="str">
        <f>IF(COUNTA(A3225:G3225)=0,"",IF(E3225&lt;&gt;"",E3225,IF(B3225="","",IFERROR(IF(INDEX(pr_price,MATCH(B3225,pr_code,0))="","",INDEX(pr_price,MATCH(B3225,pr_code,0))),""))))</f>
        <v/>
      </c>
      <c r="K3225" s="71" t="str">
        <f>IF(COUNTA(A3225:G3225)=0,"",IF(G3225&lt;&gt;"",G3225,IF(B3225="","",IFERROR(IF(INDEX(pr_rate,MATCH(B3225,pr_code,0))="","",INDEX(pr_rate,MATCH(B3225,pr_code,0))),""))))</f>
        <v/>
      </c>
      <c r="L3225" s="65" t="str">
        <f>IF(COUNTA(A3225:G3225)=0,"",IF(AND(ISNUMBER(D3225),ISNUMBER(J3225)),ROUND(D3225*J3225*(1-N(F3225)),2),0))</f>
        <v/>
      </c>
      <c r="M3225" s="62" t="str">
        <f>IF(A3225="","",IFERROR(INDEX(fa_cname,MATCH(A3225,fa_num,0))&amp;"",""))</f>
        <v/>
      </c>
      <c r="N3225" s="59" t="str">
        <f>IF(COUNTA(A3225:G3225)=0,"",IF(A3225="","N° facture manquant",IF(ISNA(MATCH(A3225,fa_num,0)),"Facture inconnue",IF(AND(B3225&lt;&gt;"",ISNA(MATCH(B3225,pr_code,0))),"Article inconnu",IF(H3225="","Désignation manquante",IF(OR(NOT(ISNUMBER(D3225)),N(D3225)&lt;=0),"Quantité invalide",IF(J3225="","Prix manquant",IF(OR(NOT(ISNUMBER(J3225)),N(J3225)&lt;0),"Prix invalide",IF(OR(AND(F3225&lt;&gt;"",NOT(ISNUMBER(F3225))),N(F3225)&lt;0,N(F3225)&gt;1),"Remise invalide",IF(K3225="","Taux de TVA manquant",IF(NOT(ISNUMBER(K3225)),"Taux de TVA invalide",IF(COUNTIF(p_rates,K3225)=0,"Taux de TVA hors liste (Paramètres)",IF(N(O3225)&gt;25,"Au-delà de 25 lignes : non imprimée","OK")))))))))))))</f>
        <v/>
      </c>
      <c r="O3225" s="59" t="str">
        <f>IF(A3225="","",COUNTIF($A$6:A3225,A3225))</f>
        <v/>
      </c>
      <c r="P3225" s="62" t="str">
        <f>IF(A3225="","",A3225&amp;"|"&amp;O3225)</f>
        <v/>
      </c>
    </row>
    <row r="3226">
      <c r="A3226" s="60" t="n"/>
      <c r="B3226" s="63" t="n"/>
      <c r="C3226" s="63" t="n"/>
      <c r="D3226" s="67" t="n"/>
      <c r="E3226" s="68" t="n"/>
      <c r="F3226" s="69" t="n"/>
      <c r="G3226" s="70" t="n"/>
      <c r="H3226" s="62" t="str">
        <f>IF(COUNTA(A3226:G3226)=0,"",IF(C3226&lt;&gt;"",C3226,IF(B3226="","",IFERROR(INDEX(pr_des,MATCH(B3226,pr_code,0))&amp;"",""))))</f>
        <v/>
      </c>
      <c r="I3226" s="59" t="str">
        <f>IF(B3226="","",IFERROR(INDEX(pr_unit,MATCH(B3226,pr_code,0))&amp;"",""))</f>
        <v/>
      </c>
      <c r="J3226" s="65" t="str">
        <f>IF(COUNTA(A3226:G3226)=0,"",IF(E3226&lt;&gt;"",E3226,IF(B3226="","",IFERROR(IF(INDEX(pr_price,MATCH(B3226,pr_code,0))="","",INDEX(pr_price,MATCH(B3226,pr_code,0))),""))))</f>
        <v/>
      </c>
      <c r="K3226" s="71" t="str">
        <f>IF(COUNTA(A3226:G3226)=0,"",IF(G3226&lt;&gt;"",G3226,IF(B3226="","",IFERROR(IF(INDEX(pr_rate,MATCH(B3226,pr_code,0))="","",INDEX(pr_rate,MATCH(B3226,pr_code,0))),""))))</f>
        <v/>
      </c>
      <c r="L3226" s="65" t="str">
        <f>IF(COUNTA(A3226:G3226)=0,"",IF(AND(ISNUMBER(D3226),ISNUMBER(J3226)),ROUND(D3226*J3226*(1-N(F3226)),2),0))</f>
        <v/>
      </c>
      <c r="M3226" s="62" t="str">
        <f>IF(A3226="","",IFERROR(INDEX(fa_cname,MATCH(A3226,fa_num,0))&amp;"",""))</f>
        <v/>
      </c>
      <c r="N3226" s="59" t="str">
        <f>IF(COUNTA(A3226:G3226)=0,"",IF(A3226="","N° facture manquant",IF(ISNA(MATCH(A3226,fa_num,0)),"Facture inconnue",IF(AND(B3226&lt;&gt;"",ISNA(MATCH(B3226,pr_code,0))),"Article inconnu",IF(H3226="","Désignation manquante",IF(OR(NOT(ISNUMBER(D3226)),N(D3226)&lt;=0),"Quantité invalide",IF(J3226="","Prix manquant",IF(OR(NOT(ISNUMBER(J3226)),N(J3226)&lt;0),"Prix invalide",IF(OR(AND(F3226&lt;&gt;"",NOT(ISNUMBER(F3226))),N(F3226)&lt;0,N(F3226)&gt;1),"Remise invalide",IF(K3226="","Taux de TVA manquant",IF(NOT(ISNUMBER(K3226)),"Taux de TVA invalide",IF(COUNTIF(p_rates,K3226)=0,"Taux de TVA hors liste (Paramètres)",IF(N(O3226)&gt;25,"Au-delà de 25 lignes : non imprimée","OK")))))))))))))</f>
        <v/>
      </c>
      <c r="O3226" s="59" t="str">
        <f>IF(A3226="","",COUNTIF($A$6:A3226,A3226))</f>
        <v/>
      </c>
      <c r="P3226" s="62" t="str">
        <f>IF(A3226="","",A3226&amp;"|"&amp;O3226)</f>
        <v/>
      </c>
    </row>
    <row r="3227">
      <c r="A3227" s="60" t="n"/>
      <c r="B3227" s="63" t="n"/>
      <c r="C3227" s="63" t="n"/>
      <c r="D3227" s="67" t="n"/>
      <c r="E3227" s="68" t="n"/>
      <c r="F3227" s="69" t="n"/>
      <c r="G3227" s="70" t="n"/>
      <c r="H3227" s="62" t="str">
        <f>IF(COUNTA(A3227:G3227)=0,"",IF(C3227&lt;&gt;"",C3227,IF(B3227="","",IFERROR(INDEX(pr_des,MATCH(B3227,pr_code,0))&amp;"",""))))</f>
        <v/>
      </c>
      <c r="I3227" s="59" t="str">
        <f>IF(B3227="","",IFERROR(INDEX(pr_unit,MATCH(B3227,pr_code,0))&amp;"",""))</f>
        <v/>
      </c>
      <c r="J3227" s="65" t="str">
        <f>IF(COUNTA(A3227:G3227)=0,"",IF(E3227&lt;&gt;"",E3227,IF(B3227="","",IFERROR(IF(INDEX(pr_price,MATCH(B3227,pr_code,0))="","",INDEX(pr_price,MATCH(B3227,pr_code,0))),""))))</f>
        <v/>
      </c>
      <c r="K3227" s="71" t="str">
        <f>IF(COUNTA(A3227:G3227)=0,"",IF(G3227&lt;&gt;"",G3227,IF(B3227="","",IFERROR(IF(INDEX(pr_rate,MATCH(B3227,pr_code,0))="","",INDEX(pr_rate,MATCH(B3227,pr_code,0))),""))))</f>
        <v/>
      </c>
      <c r="L3227" s="65" t="str">
        <f>IF(COUNTA(A3227:G3227)=0,"",IF(AND(ISNUMBER(D3227),ISNUMBER(J3227)),ROUND(D3227*J3227*(1-N(F3227)),2),0))</f>
        <v/>
      </c>
      <c r="M3227" s="62" t="str">
        <f>IF(A3227="","",IFERROR(INDEX(fa_cname,MATCH(A3227,fa_num,0))&amp;"",""))</f>
        <v/>
      </c>
      <c r="N3227" s="59" t="str">
        <f>IF(COUNTA(A3227:G3227)=0,"",IF(A3227="","N° facture manquant",IF(ISNA(MATCH(A3227,fa_num,0)),"Facture inconnue",IF(AND(B3227&lt;&gt;"",ISNA(MATCH(B3227,pr_code,0))),"Article inconnu",IF(H3227="","Désignation manquante",IF(OR(NOT(ISNUMBER(D3227)),N(D3227)&lt;=0),"Quantité invalide",IF(J3227="","Prix manquant",IF(OR(NOT(ISNUMBER(J3227)),N(J3227)&lt;0),"Prix invalide",IF(OR(AND(F3227&lt;&gt;"",NOT(ISNUMBER(F3227))),N(F3227)&lt;0,N(F3227)&gt;1),"Remise invalide",IF(K3227="","Taux de TVA manquant",IF(NOT(ISNUMBER(K3227)),"Taux de TVA invalide",IF(COUNTIF(p_rates,K3227)=0,"Taux de TVA hors liste (Paramètres)",IF(N(O3227)&gt;25,"Au-delà de 25 lignes : non imprimée","OK")))))))))))))</f>
        <v/>
      </c>
      <c r="O3227" s="59" t="str">
        <f>IF(A3227="","",COUNTIF($A$6:A3227,A3227))</f>
        <v/>
      </c>
      <c r="P3227" s="62" t="str">
        <f>IF(A3227="","",A3227&amp;"|"&amp;O3227)</f>
        <v/>
      </c>
    </row>
    <row r="3228">
      <c r="A3228" s="60" t="n"/>
      <c r="B3228" s="63" t="n"/>
      <c r="C3228" s="63" t="n"/>
      <c r="D3228" s="67" t="n"/>
      <c r="E3228" s="68" t="n"/>
      <c r="F3228" s="69" t="n"/>
      <c r="G3228" s="70" t="n"/>
      <c r="H3228" s="62" t="str">
        <f>IF(COUNTA(A3228:G3228)=0,"",IF(C3228&lt;&gt;"",C3228,IF(B3228="","",IFERROR(INDEX(pr_des,MATCH(B3228,pr_code,0))&amp;"",""))))</f>
        <v/>
      </c>
      <c r="I3228" s="59" t="str">
        <f>IF(B3228="","",IFERROR(INDEX(pr_unit,MATCH(B3228,pr_code,0))&amp;"",""))</f>
        <v/>
      </c>
      <c r="J3228" s="65" t="str">
        <f>IF(COUNTA(A3228:G3228)=0,"",IF(E3228&lt;&gt;"",E3228,IF(B3228="","",IFERROR(IF(INDEX(pr_price,MATCH(B3228,pr_code,0))="","",INDEX(pr_price,MATCH(B3228,pr_code,0))),""))))</f>
        <v/>
      </c>
      <c r="K3228" s="71" t="str">
        <f>IF(COUNTA(A3228:G3228)=0,"",IF(G3228&lt;&gt;"",G3228,IF(B3228="","",IFERROR(IF(INDEX(pr_rate,MATCH(B3228,pr_code,0))="","",INDEX(pr_rate,MATCH(B3228,pr_code,0))),""))))</f>
        <v/>
      </c>
      <c r="L3228" s="65" t="str">
        <f>IF(COUNTA(A3228:G3228)=0,"",IF(AND(ISNUMBER(D3228),ISNUMBER(J3228)),ROUND(D3228*J3228*(1-N(F3228)),2),0))</f>
        <v/>
      </c>
      <c r="M3228" s="62" t="str">
        <f>IF(A3228="","",IFERROR(INDEX(fa_cname,MATCH(A3228,fa_num,0))&amp;"",""))</f>
        <v/>
      </c>
      <c r="N3228" s="59" t="str">
        <f>IF(COUNTA(A3228:G3228)=0,"",IF(A3228="","N° facture manquant",IF(ISNA(MATCH(A3228,fa_num,0)),"Facture inconnue",IF(AND(B3228&lt;&gt;"",ISNA(MATCH(B3228,pr_code,0))),"Article inconnu",IF(H3228="","Désignation manquante",IF(OR(NOT(ISNUMBER(D3228)),N(D3228)&lt;=0),"Quantité invalide",IF(J3228="","Prix manquant",IF(OR(NOT(ISNUMBER(J3228)),N(J3228)&lt;0),"Prix invalide",IF(OR(AND(F3228&lt;&gt;"",NOT(ISNUMBER(F3228))),N(F3228)&lt;0,N(F3228)&gt;1),"Remise invalide",IF(K3228="","Taux de TVA manquant",IF(NOT(ISNUMBER(K3228)),"Taux de TVA invalide",IF(COUNTIF(p_rates,K3228)=0,"Taux de TVA hors liste (Paramètres)",IF(N(O3228)&gt;25,"Au-delà de 25 lignes : non imprimée","OK")))))))))))))</f>
        <v/>
      </c>
      <c r="O3228" s="59" t="str">
        <f>IF(A3228="","",COUNTIF($A$6:A3228,A3228))</f>
        <v/>
      </c>
      <c r="P3228" s="62" t="str">
        <f>IF(A3228="","",A3228&amp;"|"&amp;O3228)</f>
        <v/>
      </c>
    </row>
    <row r="3229">
      <c r="A3229" s="60" t="n"/>
      <c r="B3229" s="63" t="n"/>
      <c r="C3229" s="63" t="n"/>
      <c r="D3229" s="67" t="n"/>
      <c r="E3229" s="68" t="n"/>
      <c r="F3229" s="69" t="n"/>
      <c r="G3229" s="70" t="n"/>
      <c r="H3229" s="62" t="str">
        <f>IF(COUNTA(A3229:G3229)=0,"",IF(C3229&lt;&gt;"",C3229,IF(B3229="","",IFERROR(INDEX(pr_des,MATCH(B3229,pr_code,0))&amp;"",""))))</f>
        <v/>
      </c>
      <c r="I3229" s="59" t="str">
        <f>IF(B3229="","",IFERROR(INDEX(pr_unit,MATCH(B3229,pr_code,0))&amp;"",""))</f>
        <v/>
      </c>
      <c r="J3229" s="65" t="str">
        <f>IF(COUNTA(A3229:G3229)=0,"",IF(E3229&lt;&gt;"",E3229,IF(B3229="","",IFERROR(IF(INDEX(pr_price,MATCH(B3229,pr_code,0))="","",INDEX(pr_price,MATCH(B3229,pr_code,0))),""))))</f>
        <v/>
      </c>
      <c r="K3229" s="71" t="str">
        <f>IF(COUNTA(A3229:G3229)=0,"",IF(G3229&lt;&gt;"",G3229,IF(B3229="","",IFERROR(IF(INDEX(pr_rate,MATCH(B3229,pr_code,0))="","",INDEX(pr_rate,MATCH(B3229,pr_code,0))),""))))</f>
        <v/>
      </c>
      <c r="L3229" s="65" t="str">
        <f>IF(COUNTA(A3229:G3229)=0,"",IF(AND(ISNUMBER(D3229),ISNUMBER(J3229)),ROUND(D3229*J3229*(1-N(F3229)),2),0))</f>
        <v/>
      </c>
      <c r="M3229" s="62" t="str">
        <f>IF(A3229="","",IFERROR(INDEX(fa_cname,MATCH(A3229,fa_num,0))&amp;"",""))</f>
        <v/>
      </c>
      <c r="N3229" s="59" t="str">
        <f>IF(COUNTA(A3229:G3229)=0,"",IF(A3229="","N° facture manquant",IF(ISNA(MATCH(A3229,fa_num,0)),"Facture inconnue",IF(AND(B3229&lt;&gt;"",ISNA(MATCH(B3229,pr_code,0))),"Article inconnu",IF(H3229="","Désignation manquante",IF(OR(NOT(ISNUMBER(D3229)),N(D3229)&lt;=0),"Quantité invalide",IF(J3229="","Prix manquant",IF(OR(NOT(ISNUMBER(J3229)),N(J3229)&lt;0),"Prix invalide",IF(OR(AND(F3229&lt;&gt;"",NOT(ISNUMBER(F3229))),N(F3229)&lt;0,N(F3229)&gt;1),"Remise invalide",IF(K3229="","Taux de TVA manquant",IF(NOT(ISNUMBER(K3229)),"Taux de TVA invalide",IF(COUNTIF(p_rates,K3229)=0,"Taux de TVA hors liste (Paramètres)",IF(N(O3229)&gt;25,"Au-delà de 25 lignes : non imprimée","OK")))))))))))))</f>
        <v/>
      </c>
      <c r="O3229" s="59" t="str">
        <f>IF(A3229="","",COUNTIF($A$6:A3229,A3229))</f>
        <v/>
      </c>
      <c r="P3229" s="62" t="str">
        <f>IF(A3229="","",A3229&amp;"|"&amp;O3229)</f>
        <v/>
      </c>
    </row>
    <row r="3230">
      <c r="A3230" s="60" t="n"/>
      <c r="B3230" s="63" t="n"/>
      <c r="C3230" s="63" t="n"/>
      <c r="D3230" s="67" t="n"/>
      <c r="E3230" s="68" t="n"/>
      <c r="F3230" s="69" t="n"/>
      <c r="G3230" s="70" t="n"/>
      <c r="H3230" s="62" t="str">
        <f>IF(COUNTA(A3230:G3230)=0,"",IF(C3230&lt;&gt;"",C3230,IF(B3230="","",IFERROR(INDEX(pr_des,MATCH(B3230,pr_code,0))&amp;"",""))))</f>
        <v/>
      </c>
      <c r="I3230" s="59" t="str">
        <f>IF(B3230="","",IFERROR(INDEX(pr_unit,MATCH(B3230,pr_code,0))&amp;"",""))</f>
        <v/>
      </c>
      <c r="J3230" s="65" t="str">
        <f>IF(COUNTA(A3230:G3230)=0,"",IF(E3230&lt;&gt;"",E3230,IF(B3230="","",IFERROR(IF(INDEX(pr_price,MATCH(B3230,pr_code,0))="","",INDEX(pr_price,MATCH(B3230,pr_code,0))),""))))</f>
        <v/>
      </c>
      <c r="K3230" s="71" t="str">
        <f>IF(COUNTA(A3230:G3230)=0,"",IF(G3230&lt;&gt;"",G3230,IF(B3230="","",IFERROR(IF(INDEX(pr_rate,MATCH(B3230,pr_code,0))="","",INDEX(pr_rate,MATCH(B3230,pr_code,0))),""))))</f>
        <v/>
      </c>
      <c r="L3230" s="65" t="str">
        <f>IF(COUNTA(A3230:G3230)=0,"",IF(AND(ISNUMBER(D3230),ISNUMBER(J3230)),ROUND(D3230*J3230*(1-N(F3230)),2),0))</f>
        <v/>
      </c>
      <c r="M3230" s="62" t="str">
        <f>IF(A3230="","",IFERROR(INDEX(fa_cname,MATCH(A3230,fa_num,0))&amp;"",""))</f>
        <v/>
      </c>
      <c r="N3230" s="59" t="str">
        <f>IF(COUNTA(A3230:G3230)=0,"",IF(A3230="","N° facture manquant",IF(ISNA(MATCH(A3230,fa_num,0)),"Facture inconnue",IF(AND(B3230&lt;&gt;"",ISNA(MATCH(B3230,pr_code,0))),"Article inconnu",IF(H3230="","Désignation manquante",IF(OR(NOT(ISNUMBER(D3230)),N(D3230)&lt;=0),"Quantité invalide",IF(J3230="","Prix manquant",IF(OR(NOT(ISNUMBER(J3230)),N(J3230)&lt;0),"Prix invalide",IF(OR(AND(F3230&lt;&gt;"",NOT(ISNUMBER(F3230))),N(F3230)&lt;0,N(F3230)&gt;1),"Remise invalide",IF(K3230="","Taux de TVA manquant",IF(NOT(ISNUMBER(K3230)),"Taux de TVA invalide",IF(COUNTIF(p_rates,K3230)=0,"Taux de TVA hors liste (Paramètres)",IF(N(O3230)&gt;25,"Au-delà de 25 lignes : non imprimée","OK")))))))))))))</f>
        <v/>
      </c>
      <c r="O3230" s="59" t="str">
        <f>IF(A3230="","",COUNTIF($A$6:A3230,A3230))</f>
        <v/>
      </c>
      <c r="P3230" s="62" t="str">
        <f>IF(A3230="","",A3230&amp;"|"&amp;O3230)</f>
        <v/>
      </c>
    </row>
    <row r="3231">
      <c r="A3231" s="60" t="n"/>
      <c r="B3231" s="63" t="n"/>
      <c r="C3231" s="63" t="n"/>
      <c r="D3231" s="67" t="n"/>
      <c r="E3231" s="68" t="n"/>
      <c r="F3231" s="69" t="n"/>
      <c r="G3231" s="70" t="n"/>
      <c r="H3231" s="62" t="str">
        <f>IF(COUNTA(A3231:G3231)=0,"",IF(C3231&lt;&gt;"",C3231,IF(B3231="","",IFERROR(INDEX(pr_des,MATCH(B3231,pr_code,0))&amp;"",""))))</f>
        <v/>
      </c>
      <c r="I3231" s="59" t="str">
        <f>IF(B3231="","",IFERROR(INDEX(pr_unit,MATCH(B3231,pr_code,0))&amp;"",""))</f>
        <v/>
      </c>
      <c r="J3231" s="65" t="str">
        <f>IF(COUNTA(A3231:G3231)=0,"",IF(E3231&lt;&gt;"",E3231,IF(B3231="","",IFERROR(IF(INDEX(pr_price,MATCH(B3231,pr_code,0))="","",INDEX(pr_price,MATCH(B3231,pr_code,0))),""))))</f>
        <v/>
      </c>
      <c r="K3231" s="71" t="str">
        <f>IF(COUNTA(A3231:G3231)=0,"",IF(G3231&lt;&gt;"",G3231,IF(B3231="","",IFERROR(IF(INDEX(pr_rate,MATCH(B3231,pr_code,0))="","",INDEX(pr_rate,MATCH(B3231,pr_code,0))),""))))</f>
        <v/>
      </c>
      <c r="L3231" s="65" t="str">
        <f>IF(COUNTA(A3231:G3231)=0,"",IF(AND(ISNUMBER(D3231),ISNUMBER(J3231)),ROUND(D3231*J3231*(1-N(F3231)),2),0))</f>
        <v/>
      </c>
      <c r="M3231" s="62" t="str">
        <f>IF(A3231="","",IFERROR(INDEX(fa_cname,MATCH(A3231,fa_num,0))&amp;"",""))</f>
        <v/>
      </c>
      <c r="N3231" s="59" t="str">
        <f>IF(COUNTA(A3231:G3231)=0,"",IF(A3231="","N° facture manquant",IF(ISNA(MATCH(A3231,fa_num,0)),"Facture inconnue",IF(AND(B3231&lt;&gt;"",ISNA(MATCH(B3231,pr_code,0))),"Article inconnu",IF(H3231="","Désignation manquante",IF(OR(NOT(ISNUMBER(D3231)),N(D3231)&lt;=0),"Quantité invalide",IF(J3231="","Prix manquant",IF(OR(NOT(ISNUMBER(J3231)),N(J3231)&lt;0),"Prix invalide",IF(OR(AND(F3231&lt;&gt;"",NOT(ISNUMBER(F3231))),N(F3231)&lt;0,N(F3231)&gt;1),"Remise invalide",IF(K3231="","Taux de TVA manquant",IF(NOT(ISNUMBER(K3231)),"Taux de TVA invalide",IF(COUNTIF(p_rates,K3231)=0,"Taux de TVA hors liste (Paramètres)",IF(N(O3231)&gt;25,"Au-delà de 25 lignes : non imprimée","OK")))))))))))))</f>
        <v/>
      </c>
      <c r="O3231" s="59" t="str">
        <f>IF(A3231="","",COUNTIF($A$6:A3231,A3231))</f>
        <v/>
      </c>
      <c r="P3231" s="62" t="str">
        <f>IF(A3231="","",A3231&amp;"|"&amp;O3231)</f>
        <v/>
      </c>
    </row>
    <row r="3232">
      <c r="A3232" s="60" t="n"/>
      <c r="B3232" s="63" t="n"/>
      <c r="C3232" s="63" t="n"/>
      <c r="D3232" s="67" t="n"/>
      <c r="E3232" s="68" t="n"/>
      <c r="F3232" s="69" t="n"/>
      <c r="G3232" s="70" t="n"/>
      <c r="H3232" s="62" t="str">
        <f>IF(COUNTA(A3232:G3232)=0,"",IF(C3232&lt;&gt;"",C3232,IF(B3232="","",IFERROR(INDEX(pr_des,MATCH(B3232,pr_code,0))&amp;"",""))))</f>
        <v/>
      </c>
      <c r="I3232" s="59" t="str">
        <f>IF(B3232="","",IFERROR(INDEX(pr_unit,MATCH(B3232,pr_code,0))&amp;"",""))</f>
        <v/>
      </c>
      <c r="J3232" s="65" t="str">
        <f>IF(COUNTA(A3232:G3232)=0,"",IF(E3232&lt;&gt;"",E3232,IF(B3232="","",IFERROR(IF(INDEX(pr_price,MATCH(B3232,pr_code,0))="","",INDEX(pr_price,MATCH(B3232,pr_code,0))),""))))</f>
        <v/>
      </c>
      <c r="K3232" s="71" t="str">
        <f>IF(COUNTA(A3232:G3232)=0,"",IF(G3232&lt;&gt;"",G3232,IF(B3232="","",IFERROR(IF(INDEX(pr_rate,MATCH(B3232,pr_code,0))="","",INDEX(pr_rate,MATCH(B3232,pr_code,0))),""))))</f>
        <v/>
      </c>
      <c r="L3232" s="65" t="str">
        <f>IF(COUNTA(A3232:G3232)=0,"",IF(AND(ISNUMBER(D3232),ISNUMBER(J3232)),ROUND(D3232*J3232*(1-N(F3232)),2),0))</f>
        <v/>
      </c>
      <c r="M3232" s="62" t="str">
        <f>IF(A3232="","",IFERROR(INDEX(fa_cname,MATCH(A3232,fa_num,0))&amp;"",""))</f>
        <v/>
      </c>
      <c r="N3232" s="59" t="str">
        <f>IF(COUNTA(A3232:G3232)=0,"",IF(A3232="","N° facture manquant",IF(ISNA(MATCH(A3232,fa_num,0)),"Facture inconnue",IF(AND(B3232&lt;&gt;"",ISNA(MATCH(B3232,pr_code,0))),"Article inconnu",IF(H3232="","Désignation manquante",IF(OR(NOT(ISNUMBER(D3232)),N(D3232)&lt;=0),"Quantité invalide",IF(J3232="","Prix manquant",IF(OR(NOT(ISNUMBER(J3232)),N(J3232)&lt;0),"Prix invalide",IF(OR(AND(F3232&lt;&gt;"",NOT(ISNUMBER(F3232))),N(F3232)&lt;0,N(F3232)&gt;1),"Remise invalide",IF(K3232="","Taux de TVA manquant",IF(NOT(ISNUMBER(K3232)),"Taux de TVA invalide",IF(COUNTIF(p_rates,K3232)=0,"Taux de TVA hors liste (Paramètres)",IF(N(O3232)&gt;25,"Au-delà de 25 lignes : non imprimée","OK")))))))))))))</f>
        <v/>
      </c>
      <c r="O3232" s="59" t="str">
        <f>IF(A3232="","",COUNTIF($A$6:A3232,A3232))</f>
        <v/>
      </c>
      <c r="P3232" s="62" t="str">
        <f>IF(A3232="","",A3232&amp;"|"&amp;O3232)</f>
        <v/>
      </c>
    </row>
    <row r="3233">
      <c r="A3233" s="60" t="n"/>
      <c r="B3233" s="63" t="n"/>
      <c r="C3233" s="63" t="n"/>
      <c r="D3233" s="67" t="n"/>
      <c r="E3233" s="68" t="n"/>
      <c r="F3233" s="69" t="n"/>
      <c r="G3233" s="70" t="n"/>
      <c r="H3233" s="62" t="str">
        <f>IF(COUNTA(A3233:G3233)=0,"",IF(C3233&lt;&gt;"",C3233,IF(B3233="","",IFERROR(INDEX(pr_des,MATCH(B3233,pr_code,0))&amp;"",""))))</f>
        <v/>
      </c>
      <c r="I3233" s="59" t="str">
        <f>IF(B3233="","",IFERROR(INDEX(pr_unit,MATCH(B3233,pr_code,0))&amp;"",""))</f>
        <v/>
      </c>
      <c r="J3233" s="65" t="str">
        <f>IF(COUNTA(A3233:G3233)=0,"",IF(E3233&lt;&gt;"",E3233,IF(B3233="","",IFERROR(IF(INDEX(pr_price,MATCH(B3233,pr_code,0))="","",INDEX(pr_price,MATCH(B3233,pr_code,0))),""))))</f>
        <v/>
      </c>
      <c r="K3233" s="71" t="str">
        <f>IF(COUNTA(A3233:G3233)=0,"",IF(G3233&lt;&gt;"",G3233,IF(B3233="","",IFERROR(IF(INDEX(pr_rate,MATCH(B3233,pr_code,0))="","",INDEX(pr_rate,MATCH(B3233,pr_code,0))),""))))</f>
        <v/>
      </c>
      <c r="L3233" s="65" t="str">
        <f>IF(COUNTA(A3233:G3233)=0,"",IF(AND(ISNUMBER(D3233),ISNUMBER(J3233)),ROUND(D3233*J3233*(1-N(F3233)),2),0))</f>
        <v/>
      </c>
      <c r="M3233" s="62" t="str">
        <f>IF(A3233="","",IFERROR(INDEX(fa_cname,MATCH(A3233,fa_num,0))&amp;"",""))</f>
        <v/>
      </c>
      <c r="N3233" s="59" t="str">
        <f>IF(COUNTA(A3233:G3233)=0,"",IF(A3233="","N° facture manquant",IF(ISNA(MATCH(A3233,fa_num,0)),"Facture inconnue",IF(AND(B3233&lt;&gt;"",ISNA(MATCH(B3233,pr_code,0))),"Article inconnu",IF(H3233="","Désignation manquante",IF(OR(NOT(ISNUMBER(D3233)),N(D3233)&lt;=0),"Quantité invalide",IF(J3233="","Prix manquant",IF(OR(NOT(ISNUMBER(J3233)),N(J3233)&lt;0),"Prix invalide",IF(OR(AND(F3233&lt;&gt;"",NOT(ISNUMBER(F3233))),N(F3233)&lt;0,N(F3233)&gt;1),"Remise invalide",IF(K3233="","Taux de TVA manquant",IF(NOT(ISNUMBER(K3233)),"Taux de TVA invalide",IF(COUNTIF(p_rates,K3233)=0,"Taux de TVA hors liste (Paramètres)",IF(N(O3233)&gt;25,"Au-delà de 25 lignes : non imprimée","OK")))))))))))))</f>
        <v/>
      </c>
      <c r="O3233" s="59" t="str">
        <f>IF(A3233="","",COUNTIF($A$6:A3233,A3233))</f>
        <v/>
      </c>
      <c r="P3233" s="62" t="str">
        <f>IF(A3233="","",A3233&amp;"|"&amp;O3233)</f>
        <v/>
      </c>
    </row>
    <row r="3234">
      <c r="A3234" s="60" t="n"/>
      <c r="B3234" s="63" t="n"/>
      <c r="C3234" s="63" t="n"/>
      <c r="D3234" s="67" t="n"/>
      <c r="E3234" s="68" t="n"/>
      <c r="F3234" s="69" t="n"/>
      <c r="G3234" s="70" t="n"/>
      <c r="H3234" s="62" t="str">
        <f>IF(COUNTA(A3234:G3234)=0,"",IF(C3234&lt;&gt;"",C3234,IF(B3234="","",IFERROR(INDEX(pr_des,MATCH(B3234,pr_code,0))&amp;"",""))))</f>
        <v/>
      </c>
      <c r="I3234" s="59" t="str">
        <f>IF(B3234="","",IFERROR(INDEX(pr_unit,MATCH(B3234,pr_code,0))&amp;"",""))</f>
        <v/>
      </c>
      <c r="J3234" s="65" t="str">
        <f>IF(COUNTA(A3234:G3234)=0,"",IF(E3234&lt;&gt;"",E3234,IF(B3234="","",IFERROR(IF(INDEX(pr_price,MATCH(B3234,pr_code,0))="","",INDEX(pr_price,MATCH(B3234,pr_code,0))),""))))</f>
        <v/>
      </c>
      <c r="K3234" s="71" t="str">
        <f>IF(COUNTA(A3234:G3234)=0,"",IF(G3234&lt;&gt;"",G3234,IF(B3234="","",IFERROR(IF(INDEX(pr_rate,MATCH(B3234,pr_code,0))="","",INDEX(pr_rate,MATCH(B3234,pr_code,0))),""))))</f>
        <v/>
      </c>
      <c r="L3234" s="65" t="str">
        <f>IF(COUNTA(A3234:G3234)=0,"",IF(AND(ISNUMBER(D3234),ISNUMBER(J3234)),ROUND(D3234*J3234*(1-N(F3234)),2),0))</f>
        <v/>
      </c>
      <c r="M3234" s="62" t="str">
        <f>IF(A3234="","",IFERROR(INDEX(fa_cname,MATCH(A3234,fa_num,0))&amp;"",""))</f>
        <v/>
      </c>
      <c r="N3234" s="59" t="str">
        <f>IF(COUNTA(A3234:G3234)=0,"",IF(A3234="","N° facture manquant",IF(ISNA(MATCH(A3234,fa_num,0)),"Facture inconnue",IF(AND(B3234&lt;&gt;"",ISNA(MATCH(B3234,pr_code,0))),"Article inconnu",IF(H3234="","Désignation manquante",IF(OR(NOT(ISNUMBER(D3234)),N(D3234)&lt;=0),"Quantité invalide",IF(J3234="","Prix manquant",IF(OR(NOT(ISNUMBER(J3234)),N(J3234)&lt;0),"Prix invalide",IF(OR(AND(F3234&lt;&gt;"",NOT(ISNUMBER(F3234))),N(F3234)&lt;0,N(F3234)&gt;1),"Remise invalide",IF(K3234="","Taux de TVA manquant",IF(NOT(ISNUMBER(K3234)),"Taux de TVA invalide",IF(COUNTIF(p_rates,K3234)=0,"Taux de TVA hors liste (Paramètres)",IF(N(O3234)&gt;25,"Au-delà de 25 lignes : non imprimée","OK")))))))))))))</f>
        <v/>
      </c>
      <c r="O3234" s="59" t="str">
        <f>IF(A3234="","",COUNTIF($A$6:A3234,A3234))</f>
        <v/>
      </c>
      <c r="P3234" s="62" t="str">
        <f>IF(A3234="","",A3234&amp;"|"&amp;O3234)</f>
        <v/>
      </c>
    </row>
    <row r="3235">
      <c r="A3235" s="60" t="n"/>
      <c r="B3235" s="63" t="n"/>
      <c r="C3235" s="63" t="n"/>
      <c r="D3235" s="67" t="n"/>
      <c r="E3235" s="68" t="n"/>
      <c r="F3235" s="69" t="n"/>
      <c r="G3235" s="70" t="n"/>
      <c r="H3235" s="62" t="str">
        <f>IF(COUNTA(A3235:G3235)=0,"",IF(C3235&lt;&gt;"",C3235,IF(B3235="","",IFERROR(INDEX(pr_des,MATCH(B3235,pr_code,0))&amp;"",""))))</f>
        <v/>
      </c>
      <c r="I3235" s="59" t="str">
        <f>IF(B3235="","",IFERROR(INDEX(pr_unit,MATCH(B3235,pr_code,0))&amp;"",""))</f>
        <v/>
      </c>
      <c r="J3235" s="65" t="str">
        <f>IF(COUNTA(A3235:G3235)=0,"",IF(E3235&lt;&gt;"",E3235,IF(B3235="","",IFERROR(IF(INDEX(pr_price,MATCH(B3235,pr_code,0))="","",INDEX(pr_price,MATCH(B3235,pr_code,0))),""))))</f>
        <v/>
      </c>
      <c r="K3235" s="71" t="str">
        <f>IF(COUNTA(A3235:G3235)=0,"",IF(G3235&lt;&gt;"",G3235,IF(B3235="","",IFERROR(IF(INDEX(pr_rate,MATCH(B3235,pr_code,0))="","",INDEX(pr_rate,MATCH(B3235,pr_code,0))),""))))</f>
        <v/>
      </c>
      <c r="L3235" s="65" t="str">
        <f>IF(COUNTA(A3235:G3235)=0,"",IF(AND(ISNUMBER(D3235),ISNUMBER(J3235)),ROUND(D3235*J3235*(1-N(F3235)),2),0))</f>
        <v/>
      </c>
      <c r="M3235" s="62" t="str">
        <f>IF(A3235="","",IFERROR(INDEX(fa_cname,MATCH(A3235,fa_num,0))&amp;"",""))</f>
        <v/>
      </c>
      <c r="N3235" s="59" t="str">
        <f>IF(COUNTA(A3235:G3235)=0,"",IF(A3235="","N° facture manquant",IF(ISNA(MATCH(A3235,fa_num,0)),"Facture inconnue",IF(AND(B3235&lt;&gt;"",ISNA(MATCH(B3235,pr_code,0))),"Article inconnu",IF(H3235="","Désignation manquante",IF(OR(NOT(ISNUMBER(D3235)),N(D3235)&lt;=0),"Quantité invalide",IF(J3235="","Prix manquant",IF(OR(NOT(ISNUMBER(J3235)),N(J3235)&lt;0),"Prix invalide",IF(OR(AND(F3235&lt;&gt;"",NOT(ISNUMBER(F3235))),N(F3235)&lt;0,N(F3235)&gt;1),"Remise invalide",IF(K3235="","Taux de TVA manquant",IF(NOT(ISNUMBER(K3235)),"Taux de TVA invalide",IF(COUNTIF(p_rates,K3235)=0,"Taux de TVA hors liste (Paramètres)",IF(N(O3235)&gt;25,"Au-delà de 25 lignes : non imprimée","OK")))))))))))))</f>
        <v/>
      </c>
      <c r="O3235" s="59" t="str">
        <f>IF(A3235="","",COUNTIF($A$6:A3235,A3235))</f>
        <v/>
      </c>
      <c r="P3235" s="62" t="str">
        <f>IF(A3235="","",A3235&amp;"|"&amp;O3235)</f>
        <v/>
      </c>
    </row>
    <row r="3236">
      <c r="A3236" s="60" t="n"/>
      <c r="B3236" s="63" t="n"/>
      <c r="C3236" s="63" t="n"/>
      <c r="D3236" s="67" t="n"/>
      <c r="E3236" s="68" t="n"/>
      <c r="F3236" s="69" t="n"/>
      <c r="G3236" s="70" t="n"/>
      <c r="H3236" s="62" t="str">
        <f>IF(COUNTA(A3236:G3236)=0,"",IF(C3236&lt;&gt;"",C3236,IF(B3236="","",IFERROR(INDEX(pr_des,MATCH(B3236,pr_code,0))&amp;"",""))))</f>
        <v/>
      </c>
      <c r="I3236" s="59" t="str">
        <f>IF(B3236="","",IFERROR(INDEX(pr_unit,MATCH(B3236,pr_code,0))&amp;"",""))</f>
        <v/>
      </c>
      <c r="J3236" s="65" t="str">
        <f>IF(COUNTA(A3236:G3236)=0,"",IF(E3236&lt;&gt;"",E3236,IF(B3236="","",IFERROR(IF(INDEX(pr_price,MATCH(B3236,pr_code,0))="","",INDEX(pr_price,MATCH(B3236,pr_code,0))),""))))</f>
        <v/>
      </c>
      <c r="K3236" s="71" t="str">
        <f>IF(COUNTA(A3236:G3236)=0,"",IF(G3236&lt;&gt;"",G3236,IF(B3236="","",IFERROR(IF(INDEX(pr_rate,MATCH(B3236,pr_code,0))="","",INDEX(pr_rate,MATCH(B3236,pr_code,0))),""))))</f>
        <v/>
      </c>
      <c r="L3236" s="65" t="str">
        <f>IF(COUNTA(A3236:G3236)=0,"",IF(AND(ISNUMBER(D3236),ISNUMBER(J3236)),ROUND(D3236*J3236*(1-N(F3236)),2),0))</f>
        <v/>
      </c>
      <c r="M3236" s="62" t="str">
        <f>IF(A3236="","",IFERROR(INDEX(fa_cname,MATCH(A3236,fa_num,0))&amp;"",""))</f>
        <v/>
      </c>
      <c r="N3236" s="59" t="str">
        <f>IF(COUNTA(A3236:G3236)=0,"",IF(A3236="","N° facture manquant",IF(ISNA(MATCH(A3236,fa_num,0)),"Facture inconnue",IF(AND(B3236&lt;&gt;"",ISNA(MATCH(B3236,pr_code,0))),"Article inconnu",IF(H3236="","Désignation manquante",IF(OR(NOT(ISNUMBER(D3236)),N(D3236)&lt;=0),"Quantité invalide",IF(J3236="","Prix manquant",IF(OR(NOT(ISNUMBER(J3236)),N(J3236)&lt;0),"Prix invalide",IF(OR(AND(F3236&lt;&gt;"",NOT(ISNUMBER(F3236))),N(F3236)&lt;0,N(F3236)&gt;1),"Remise invalide",IF(K3236="","Taux de TVA manquant",IF(NOT(ISNUMBER(K3236)),"Taux de TVA invalide",IF(COUNTIF(p_rates,K3236)=0,"Taux de TVA hors liste (Paramètres)",IF(N(O3236)&gt;25,"Au-delà de 25 lignes : non imprimée","OK")))))))))))))</f>
        <v/>
      </c>
      <c r="O3236" s="59" t="str">
        <f>IF(A3236="","",COUNTIF($A$6:A3236,A3236))</f>
        <v/>
      </c>
      <c r="P3236" s="62" t="str">
        <f>IF(A3236="","",A3236&amp;"|"&amp;O3236)</f>
        <v/>
      </c>
    </row>
    <row r="3237">
      <c r="A3237" s="60" t="n"/>
      <c r="B3237" s="63" t="n"/>
      <c r="C3237" s="63" t="n"/>
      <c r="D3237" s="67" t="n"/>
      <c r="E3237" s="68" t="n"/>
      <c r="F3237" s="69" t="n"/>
      <c r="G3237" s="70" t="n"/>
      <c r="H3237" s="62" t="str">
        <f>IF(COUNTA(A3237:G3237)=0,"",IF(C3237&lt;&gt;"",C3237,IF(B3237="","",IFERROR(INDEX(pr_des,MATCH(B3237,pr_code,0))&amp;"",""))))</f>
        <v/>
      </c>
      <c r="I3237" s="59" t="str">
        <f>IF(B3237="","",IFERROR(INDEX(pr_unit,MATCH(B3237,pr_code,0))&amp;"",""))</f>
        <v/>
      </c>
      <c r="J3237" s="65" t="str">
        <f>IF(COUNTA(A3237:G3237)=0,"",IF(E3237&lt;&gt;"",E3237,IF(B3237="","",IFERROR(IF(INDEX(pr_price,MATCH(B3237,pr_code,0))="","",INDEX(pr_price,MATCH(B3237,pr_code,0))),""))))</f>
        <v/>
      </c>
      <c r="K3237" s="71" t="str">
        <f>IF(COUNTA(A3237:G3237)=0,"",IF(G3237&lt;&gt;"",G3237,IF(B3237="","",IFERROR(IF(INDEX(pr_rate,MATCH(B3237,pr_code,0))="","",INDEX(pr_rate,MATCH(B3237,pr_code,0))),""))))</f>
        <v/>
      </c>
      <c r="L3237" s="65" t="str">
        <f>IF(COUNTA(A3237:G3237)=0,"",IF(AND(ISNUMBER(D3237),ISNUMBER(J3237)),ROUND(D3237*J3237*(1-N(F3237)),2),0))</f>
        <v/>
      </c>
      <c r="M3237" s="62" t="str">
        <f>IF(A3237="","",IFERROR(INDEX(fa_cname,MATCH(A3237,fa_num,0))&amp;"",""))</f>
        <v/>
      </c>
      <c r="N3237" s="59" t="str">
        <f>IF(COUNTA(A3237:G3237)=0,"",IF(A3237="","N° facture manquant",IF(ISNA(MATCH(A3237,fa_num,0)),"Facture inconnue",IF(AND(B3237&lt;&gt;"",ISNA(MATCH(B3237,pr_code,0))),"Article inconnu",IF(H3237="","Désignation manquante",IF(OR(NOT(ISNUMBER(D3237)),N(D3237)&lt;=0),"Quantité invalide",IF(J3237="","Prix manquant",IF(OR(NOT(ISNUMBER(J3237)),N(J3237)&lt;0),"Prix invalide",IF(OR(AND(F3237&lt;&gt;"",NOT(ISNUMBER(F3237))),N(F3237)&lt;0,N(F3237)&gt;1),"Remise invalide",IF(K3237="","Taux de TVA manquant",IF(NOT(ISNUMBER(K3237)),"Taux de TVA invalide",IF(COUNTIF(p_rates,K3237)=0,"Taux de TVA hors liste (Paramètres)",IF(N(O3237)&gt;25,"Au-delà de 25 lignes : non imprimée","OK")))))))))))))</f>
        <v/>
      </c>
      <c r="O3237" s="59" t="str">
        <f>IF(A3237="","",COUNTIF($A$6:A3237,A3237))</f>
        <v/>
      </c>
      <c r="P3237" s="62" t="str">
        <f>IF(A3237="","",A3237&amp;"|"&amp;O3237)</f>
        <v/>
      </c>
    </row>
    <row r="3238">
      <c r="A3238" s="60" t="n"/>
      <c r="B3238" s="63" t="n"/>
      <c r="C3238" s="63" t="n"/>
      <c r="D3238" s="67" t="n"/>
      <c r="E3238" s="68" t="n"/>
      <c r="F3238" s="69" t="n"/>
      <c r="G3238" s="70" t="n"/>
      <c r="H3238" s="62" t="str">
        <f>IF(COUNTA(A3238:G3238)=0,"",IF(C3238&lt;&gt;"",C3238,IF(B3238="","",IFERROR(INDEX(pr_des,MATCH(B3238,pr_code,0))&amp;"",""))))</f>
        <v/>
      </c>
      <c r="I3238" s="59" t="str">
        <f>IF(B3238="","",IFERROR(INDEX(pr_unit,MATCH(B3238,pr_code,0))&amp;"",""))</f>
        <v/>
      </c>
      <c r="J3238" s="65" t="str">
        <f>IF(COUNTA(A3238:G3238)=0,"",IF(E3238&lt;&gt;"",E3238,IF(B3238="","",IFERROR(IF(INDEX(pr_price,MATCH(B3238,pr_code,0))="","",INDEX(pr_price,MATCH(B3238,pr_code,0))),""))))</f>
        <v/>
      </c>
      <c r="K3238" s="71" t="str">
        <f>IF(COUNTA(A3238:G3238)=0,"",IF(G3238&lt;&gt;"",G3238,IF(B3238="","",IFERROR(IF(INDEX(pr_rate,MATCH(B3238,pr_code,0))="","",INDEX(pr_rate,MATCH(B3238,pr_code,0))),""))))</f>
        <v/>
      </c>
      <c r="L3238" s="65" t="str">
        <f>IF(COUNTA(A3238:G3238)=0,"",IF(AND(ISNUMBER(D3238),ISNUMBER(J3238)),ROUND(D3238*J3238*(1-N(F3238)),2),0))</f>
        <v/>
      </c>
      <c r="M3238" s="62" t="str">
        <f>IF(A3238="","",IFERROR(INDEX(fa_cname,MATCH(A3238,fa_num,0))&amp;"",""))</f>
        <v/>
      </c>
      <c r="N3238" s="59" t="str">
        <f>IF(COUNTA(A3238:G3238)=0,"",IF(A3238="","N° facture manquant",IF(ISNA(MATCH(A3238,fa_num,0)),"Facture inconnue",IF(AND(B3238&lt;&gt;"",ISNA(MATCH(B3238,pr_code,0))),"Article inconnu",IF(H3238="","Désignation manquante",IF(OR(NOT(ISNUMBER(D3238)),N(D3238)&lt;=0),"Quantité invalide",IF(J3238="","Prix manquant",IF(OR(NOT(ISNUMBER(J3238)),N(J3238)&lt;0),"Prix invalide",IF(OR(AND(F3238&lt;&gt;"",NOT(ISNUMBER(F3238))),N(F3238)&lt;0,N(F3238)&gt;1),"Remise invalide",IF(K3238="","Taux de TVA manquant",IF(NOT(ISNUMBER(K3238)),"Taux de TVA invalide",IF(COUNTIF(p_rates,K3238)=0,"Taux de TVA hors liste (Paramètres)",IF(N(O3238)&gt;25,"Au-delà de 25 lignes : non imprimée","OK")))))))))))))</f>
        <v/>
      </c>
      <c r="O3238" s="59" t="str">
        <f>IF(A3238="","",COUNTIF($A$6:A3238,A3238))</f>
        <v/>
      </c>
      <c r="P3238" s="62" t="str">
        <f>IF(A3238="","",A3238&amp;"|"&amp;O3238)</f>
        <v/>
      </c>
    </row>
    <row r="3239">
      <c r="A3239" s="60" t="n"/>
      <c r="B3239" s="63" t="n"/>
      <c r="C3239" s="63" t="n"/>
      <c r="D3239" s="67" t="n"/>
      <c r="E3239" s="68" t="n"/>
      <c r="F3239" s="69" t="n"/>
      <c r="G3239" s="70" t="n"/>
      <c r="H3239" s="62" t="str">
        <f>IF(COUNTA(A3239:G3239)=0,"",IF(C3239&lt;&gt;"",C3239,IF(B3239="","",IFERROR(INDEX(pr_des,MATCH(B3239,pr_code,0))&amp;"",""))))</f>
        <v/>
      </c>
      <c r="I3239" s="59" t="str">
        <f>IF(B3239="","",IFERROR(INDEX(pr_unit,MATCH(B3239,pr_code,0))&amp;"",""))</f>
        <v/>
      </c>
      <c r="J3239" s="65" t="str">
        <f>IF(COUNTA(A3239:G3239)=0,"",IF(E3239&lt;&gt;"",E3239,IF(B3239="","",IFERROR(IF(INDEX(pr_price,MATCH(B3239,pr_code,0))="","",INDEX(pr_price,MATCH(B3239,pr_code,0))),""))))</f>
        <v/>
      </c>
      <c r="K3239" s="71" t="str">
        <f>IF(COUNTA(A3239:G3239)=0,"",IF(G3239&lt;&gt;"",G3239,IF(B3239="","",IFERROR(IF(INDEX(pr_rate,MATCH(B3239,pr_code,0))="","",INDEX(pr_rate,MATCH(B3239,pr_code,0))),""))))</f>
        <v/>
      </c>
      <c r="L3239" s="65" t="str">
        <f>IF(COUNTA(A3239:G3239)=0,"",IF(AND(ISNUMBER(D3239),ISNUMBER(J3239)),ROUND(D3239*J3239*(1-N(F3239)),2),0))</f>
        <v/>
      </c>
      <c r="M3239" s="62" t="str">
        <f>IF(A3239="","",IFERROR(INDEX(fa_cname,MATCH(A3239,fa_num,0))&amp;"",""))</f>
        <v/>
      </c>
      <c r="N3239" s="59" t="str">
        <f>IF(COUNTA(A3239:G3239)=0,"",IF(A3239="","N° facture manquant",IF(ISNA(MATCH(A3239,fa_num,0)),"Facture inconnue",IF(AND(B3239&lt;&gt;"",ISNA(MATCH(B3239,pr_code,0))),"Article inconnu",IF(H3239="","Désignation manquante",IF(OR(NOT(ISNUMBER(D3239)),N(D3239)&lt;=0),"Quantité invalide",IF(J3239="","Prix manquant",IF(OR(NOT(ISNUMBER(J3239)),N(J3239)&lt;0),"Prix invalide",IF(OR(AND(F3239&lt;&gt;"",NOT(ISNUMBER(F3239))),N(F3239)&lt;0,N(F3239)&gt;1),"Remise invalide",IF(K3239="","Taux de TVA manquant",IF(NOT(ISNUMBER(K3239)),"Taux de TVA invalide",IF(COUNTIF(p_rates,K3239)=0,"Taux de TVA hors liste (Paramètres)",IF(N(O3239)&gt;25,"Au-delà de 25 lignes : non imprimée","OK")))))))))))))</f>
        <v/>
      </c>
      <c r="O3239" s="59" t="str">
        <f>IF(A3239="","",COUNTIF($A$6:A3239,A3239))</f>
        <v/>
      </c>
      <c r="P3239" s="62" t="str">
        <f>IF(A3239="","",A3239&amp;"|"&amp;O3239)</f>
        <v/>
      </c>
    </row>
    <row r="3240">
      <c r="A3240" s="60" t="n"/>
      <c r="B3240" s="63" t="n"/>
      <c r="C3240" s="63" t="n"/>
      <c r="D3240" s="67" t="n"/>
      <c r="E3240" s="68" t="n"/>
      <c r="F3240" s="69" t="n"/>
      <c r="G3240" s="70" t="n"/>
      <c r="H3240" s="62" t="str">
        <f>IF(COUNTA(A3240:G3240)=0,"",IF(C3240&lt;&gt;"",C3240,IF(B3240="","",IFERROR(INDEX(pr_des,MATCH(B3240,pr_code,0))&amp;"",""))))</f>
        <v/>
      </c>
      <c r="I3240" s="59" t="str">
        <f>IF(B3240="","",IFERROR(INDEX(pr_unit,MATCH(B3240,pr_code,0))&amp;"",""))</f>
        <v/>
      </c>
      <c r="J3240" s="65" t="str">
        <f>IF(COUNTA(A3240:G3240)=0,"",IF(E3240&lt;&gt;"",E3240,IF(B3240="","",IFERROR(IF(INDEX(pr_price,MATCH(B3240,pr_code,0))="","",INDEX(pr_price,MATCH(B3240,pr_code,0))),""))))</f>
        <v/>
      </c>
      <c r="K3240" s="71" t="str">
        <f>IF(COUNTA(A3240:G3240)=0,"",IF(G3240&lt;&gt;"",G3240,IF(B3240="","",IFERROR(IF(INDEX(pr_rate,MATCH(B3240,pr_code,0))="","",INDEX(pr_rate,MATCH(B3240,pr_code,0))),""))))</f>
        <v/>
      </c>
      <c r="L3240" s="65" t="str">
        <f>IF(COUNTA(A3240:G3240)=0,"",IF(AND(ISNUMBER(D3240),ISNUMBER(J3240)),ROUND(D3240*J3240*(1-N(F3240)),2),0))</f>
        <v/>
      </c>
      <c r="M3240" s="62" t="str">
        <f>IF(A3240="","",IFERROR(INDEX(fa_cname,MATCH(A3240,fa_num,0))&amp;"",""))</f>
        <v/>
      </c>
      <c r="N3240" s="59" t="str">
        <f>IF(COUNTA(A3240:G3240)=0,"",IF(A3240="","N° facture manquant",IF(ISNA(MATCH(A3240,fa_num,0)),"Facture inconnue",IF(AND(B3240&lt;&gt;"",ISNA(MATCH(B3240,pr_code,0))),"Article inconnu",IF(H3240="","Désignation manquante",IF(OR(NOT(ISNUMBER(D3240)),N(D3240)&lt;=0),"Quantité invalide",IF(J3240="","Prix manquant",IF(OR(NOT(ISNUMBER(J3240)),N(J3240)&lt;0),"Prix invalide",IF(OR(AND(F3240&lt;&gt;"",NOT(ISNUMBER(F3240))),N(F3240)&lt;0,N(F3240)&gt;1),"Remise invalide",IF(K3240="","Taux de TVA manquant",IF(NOT(ISNUMBER(K3240)),"Taux de TVA invalide",IF(COUNTIF(p_rates,K3240)=0,"Taux de TVA hors liste (Paramètres)",IF(N(O3240)&gt;25,"Au-delà de 25 lignes : non imprimée","OK")))))))))))))</f>
        <v/>
      </c>
      <c r="O3240" s="59" t="str">
        <f>IF(A3240="","",COUNTIF($A$6:A3240,A3240))</f>
        <v/>
      </c>
      <c r="P3240" s="62" t="str">
        <f>IF(A3240="","",A3240&amp;"|"&amp;O3240)</f>
        <v/>
      </c>
    </row>
    <row r="3241">
      <c r="A3241" s="60" t="n"/>
      <c r="B3241" s="63" t="n"/>
      <c r="C3241" s="63" t="n"/>
      <c r="D3241" s="67" t="n"/>
      <c r="E3241" s="68" t="n"/>
      <c r="F3241" s="69" t="n"/>
      <c r="G3241" s="70" t="n"/>
      <c r="H3241" s="62" t="str">
        <f>IF(COUNTA(A3241:G3241)=0,"",IF(C3241&lt;&gt;"",C3241,IF(B3241="","",IFERROR(INDEX(pr_des,MATCH(B3241,pr_code,0))&amp;"",""))))</f>
        <v/>
      </c>
      <c r="I3241" s="59" t="str">
        <f>IF(B3241="","",IFERROR(INDEX(pr_unit,MATCH(B3241,pr_code,0))&amp;"",""))</f>
        <v/>
      </c>
      <c r="J3241" s="65" t="str">
        <f>IF(COUNTA(A3241:G3241)=0,"",IF(E3241&lt;&gt;"",E3241,IF(B3241="","",IFERROR(IF(INDEX(pr_price,MATCH(B3241,pr_code,0))="","",INDEX(pr_price,MATCH(B3241,pr_code,0))),""))))</f>
        <v/>
      </c>
      <c r="K3241" s="71" t="str">
        <f>IF(COUNTA(A3241:G3241)=0,"",IF(G3241&lt;&gt;"",G3241,IF(B3241="","",IFERROR(IF(INDEX(pr_rate,MATCH(B3241,pr_code,0))="","",INDEX(pr_rate,MATCH(B3241,pr_code,0))),""))))</f>
        <v/>
      </c>
      <c r="L3241" s="65" t="str">
        <f>IF(COUNTA(A3241:G3241)=0,"",IF(AND(ISNUMBER(D3241),ISNUMBER(J3241)),ROUND(D3241*J3241*(1-N(F3241)),2),0))</f>
        <v/>
      </c>
      <c r="M3241" s="62" t="str">
        <f>IF(A3241="","",IFERROR(INDEX(fa_cname,MATCH(A3241,fa_num,0))&amp;"",""))</f>
        <v/>
      </c>
      <c r="N3241" s="59" t="str">
        <f>IF(COUNTA(A3241:G3241)=0,"",IF(A3241="","N° facture manquant",IF(ISNA(MATCH(A3241,fa_num,0)),"Facture inconnue",IF(AND(B3241&lt;&gt;"",ISNA(MATCH(B3241,pr_code,0))),"Article inconnu",IF(H3241="","Désignation manquante",IF(OR(NOT(ISNUMBER(D3241)),N(D3241)&lt;=0),"Quantité invalide",IF(J3241="","Prix manquant",IF(OR(NOT(ISNUMBER(J3241)),N(J3241)&lt;0),"Prix invalide",IF(OR(AND(F3241&lt;&gt;"",NOT(ISNUMBER(F3241))),N(F3241)&lt;0,N(F3241)&gt;1),"Remise invalide",IF(K3241="","Taux de TVA manquant",IF(NOT(ISNUMBER(K3241)),"Taux de TVA invalide",IF(COUNTIF(p_rates,K3241)=0,"Taux de TVA hors liste (Paramètres)",IF(N(O3241)&gt;25,"Au-delà de 25 lignes : non imprimée","OK")))))))))))))</f>
        <v/>
      </c>
      <c r="O3241" s="59" t="str">
        <f>IF(A3241="","",COUNTIF($A$6:A3241,A3241))</f>
        <v/>
      </c>
      <c r="P3241" s="62" t="str">
        <f>IF(A3241="","",A3241&amp;"|"&amp;O3241)</f>
        <v/>
      </c>
    </row>
    <row r="3242">
      <c r="A3242" s="60" t="n"/>
      <c r="B3242" s="63" t="n"/>
      <c r="C3242" s="63" t="n"/>
      <c r="D3242" s="67" t="n"/>
      <c r="E3242" s="68" t="n"/>
      <c r="F3242" s="69" t="n"/>
      <c r="G3242" s="70" t="n"/>
      <c r="H3242" s="62" t="str">
        <f>IF(COUNTA(A3242:G3242)=0,"",IF(C3242&lt;&gt;"",C3242,IF(B3242="","",IFERROR(INDEX(pr_des,MATCH(B3242,pr_code,0))&amp;"",""))))</f>
        <v/>
      </c>
      <c r="I3242" s="59" t="str">
        <f>IF(B3242="","",IFERROR(INDEX(pr_unit,MATCH(B3242,pr_code,0))&amp;"",""))</f>
        <v/>
      </c>
      <c r="J3242" s="65" t="str">
        <f>IF(COUNTA(A3242:G3242)=0,"",IF(E3242&lt;&gt;"",E3242,IF(B3242="","",IFERROR(IF(INDEX(pr_price,MATCH(B3242,pr_code,0))="","",INDEX(pr_price,MATCH(B3242,pr_code,0))),""))))</f>
        <v/>
      </c>
      <c r="K3242" s="71" t="str">
        <f>IF(COUNTA(A3242:G3242)=0,"",IF(G3242&lt;&gt;"",G3242,IF(B3242="","",IFERROR(IF(INDEX(pr_rate,MATCH(B3242,pr_code,0))="","",INDEX(pr_rate,MATCH(B3242,pr_code,0))),""))))</f>
        <v/>
      </c>
      <c r="L3242" s="65" t="str">
        <f>IF(COUNTA(A3242:G3242)=0,"",IF(AND(ISNUMBER(D3242),ISNUMBER(J3242)),ROUND(D3242*J3242*(1-N(F3242)),2),0))</f>
        <v/>
      </c>
      <c r="M3242" s="62" t="str">
        <f>IF(A3242="","",IFERROR(INDEX(fa_cname,MATCH(A3242,fa_num,0))&amp;"",""))</f>
        <v/>
      </c>
      <c r="N3242" s="59" t="str">
        <f>IF(COUNTA(A3242:G3242)=0,"",IF(A3242="","N° facture manquant",IF(ISNA(MATCH(A3242,fa_num,0)),"Facture inconnue",IF(AND(B3242&lt;&gt;"",ISNA(MATCH(B3242,pr_code,0))),"Article inconnu",IF(H3242="","Désignation manquante",IF(OR(NOT(ISNUMBER(D3242)),N(D3242)&lt;=0),"Quantité invalide",IF(J3242="","Prix manquant",IF(OR(NOT(ISNUMBER(J3242)),N(J3242)&lt;0),"Prix invalide",IF(OR(AND(F3242&lt;&gt;"",NOT(ISNUMBER(F3242))),N(F3242)&lt;0,N(F3242)&gt;1),"Remise invalide",IF(K3242="","Taux de TVA manquant",IF(NOT(ISNUMBER(K3242)),"Taux de TVA invalide",IF(COUNTIF(p_rates,K3242)=0,"Taux de TVA hors liste (Paramètres)",IF(N(O3242)&gt;25,"Au-delà de 25 lignes : non imprimée","OK")))))))))))))</f>
        <v/>
      </c>
      <c r="O3242" s="59" t="str">
        <f>IF(A3242="","",COUNTIF($A$6:A3242,A3242))</f>
        <v/>
      </c>
      <c r="P3242" s="62" t="str">
        <f>IF(A3242="","",A3242&amp;"|"&amp;O3242)</f>
        <v/>
      </c>
    </row>
    <row r="3243">
      <c r="A3243" s="60" t="n"/>
      <c r="B3243" s="63" t="n"/>
      <c r="C3243" s="63" t="n"/>
      <c r="D3243" s="67" t="n"/>
      <c r="E3243" s="68" t="n"/>
      <c r="F3243" s="69" t="n"/>
      <c r="G3243" s="70" t="n"/>
      <c r="H3243" s="62" t="str">
        <f>IF(COUNTA(A3243:G3243)=0,"",IF(C3243&lt;&gt;"",C3243,IF(B3243="","",IFERROR(INDEX(pr_des,MATCH(B3243,pr_code,0))&amp;"",""))))</f>
        <v/>
      </c>
      <c r="I3243" s="59" t="str">
        <f>IF(B3243="","",IFERROR(INDEX(pr_unit,MATCH(B3243,pr_code,0))&amp;"",""))</f>
        <v/>
      </c>
      <c r="J3243" s="65" t="str">
        <f>IF(COUNTA(A3243:G3243)=0,"",IF(E3243&lt;&gt;"",E3243,IF(B3243="","",IFERROR(IF(INDEX(pr_price,MATCH(B3243,pr_code,0))="","",INDEX(pr_price,MATCH(B3243,pr_code,0))),""))))</f>
        <v/>
      </c>
      <c r="K3243" s="71" t="str">
        <f>IF(COUNTA(A3243:G3243)=0,"",IF(G3243&lt;&gt;"",G3243,IF(B3243="","",IFERROR(IF(INDEX(pr_rate,MATCH(B3243,pr_code,0))="","",INDEX(pr_rate,MATCH(B3243,pr_code,0))),""))))</f>
        <v/>
      </c>
      <c r="L3243" s="65" t="str">
        <f>IF(COUNTA(A3243:G3243)=0,"",IF(AND(ISNUMBER(D3243),ISNUMBER(J3243)),ROUND(D3243*J3243*(1-N(F3243)),2),0))</f>
        <v/>
      </c>
      <c r="M3243" s="62" t="str">
        <f>IF(A3243="","",IFERROR(INDEX(fa_cname,MATCH(A3243,fa_num,0))&amp;"",""))</f>
        <v/>
      </c>
      <c r="N3243" s="59" t="str">
        <f>IF(COUNTA(A3243:G3243)=0,"",IF(A3243="","N° facture manquant",IF(ISNA(MATCH(A3243,fa_num,0)),"Facture inconnue",IF(AND(B3243&lt;&gt;"",ISNA(MATCH(B3243,pr_code,0))),"Article inconnu",IF(H3243="","Désignation manquante",IF(OR(NOT(ISNUMBER(D3243)),N(D3243)&lt;=0),"Quantité invalide",IF(J3243="","Prix manquant",IF(OR(NOT(ISNUMBER(J3243)),N(J3243)&lt;0),"Prix invalide",IF(OR(AND(F3243&lt;&gt;"",NOT(ISNUMBER(F3243))),N(F3243)&lt;0,N(F3243)&gt;1),"Remise invalide",IF(K3243="","Taux de TVA manquant",IF(NOT(ISNUMBER(K3243)),"Taux de TVA invalide",IF(COUNTIF(p_rates,K3243)=0,"Taux de TVA hors liste (Paramètres)",IF(N(O3243)&gt;25,"Au-delà de 25 lignes : non imprimée","OK")))))))))))))</f>
        <v/>
      </c>
      <c r="O3243" s="59" t="str">
        <f>IF(A3243="","",COUNTIF($A$6:A3243,A3243))</f>
        <v/>
      </c>
      <c r="P3243" s="62" t="str">
        <f>IF(A3243="","",A3243&amp;"|"&amp;O3243)</f>
        <v/>
      </c>
    </row>
    <row r="3244">
      <c r="A3244" s="60" t="n"/>
      <c r="B3244" s="63" t="n"/>
      <c r="C3244" s="63" t="n"/>
      <c r="D3244" s="67" t="n"/>
      <c r="E3244" s="68" t="n"/>
      <c r="F3244" s="69" t="n"/>
      <c r="G3244" s="70" t="n"/>
      <c r="H3244" s="62" t="str">
        <f>IF(COUNTA(A3244:G3244)=0,"",IF(C3244&lt;&gt;"",C3244,IF(B3244="","",IFERROR(INDEX(pr_des,MATCH(B3244,pr_code,0))&amp;"",""))))</f>
        <v/>
      </c>
      <c r="I3244" s="59" t="str">
        <f>IF(B3244="","",IFERROR(INDEX(pr_unit,MATCH(B3244,pr_code,0))&amp;"",""))</f>
        <v/>
      </c>
      <c r="J3244" s="65" t="str">
        <f>IF(COUNTA(A3244:G3244)=0,"",IF(E3244&lt;&gt;"",E3244,IF(B3244="","",IFERROR(IF(INDEX(pr_price,MATCH(B3244,pr_code,0))="","",INDEX(pr_price,MATCH(B3244,pr_code,0))),""))))</f>
        <v/>
      </c>
      <c r="K3244" s="71" t="str">
        <f>IF(COUNTA(A3244:G3244)=0,"",IF(G3244&lt;&gt;"",G3244,IF(B3244="","",IFERROR(IF(INDEX(pr_rate,MATCH(B3244,pr_code,0))="","",INDEX(pr_rate,MATCH(B3244,pr_code,0))),""))))</f>
        <v/>
      </c>
      <c r="L3244" s="65" t="str">
        <f>IF(COUNTA(A3244:G3244)=0,"",IF(AND(ISNUMBER(D3244),ISNUMBER(J3244)),ROUND(D3244*J3244*(1-N(F3244)),2),0))</f>
        <v/>
      </c>
      <c r="M3244" s="62" t="str">
        <f>IF(A3244="","",IFERROR(INDEX(fa_cname,MATCH(A3244,fa_num,0))&amp;"",""))</f>
        <v/>
      </c>
      <c r="N3244" s="59" t="str">
        <f>IF(COUNTA(A3244:G3244)=0,"",IF(A3244="","N° facture manquant",IF(ISNA(MATCH(A3244,fa_num,0)),"Facture inconnue",IF(AND(B3244&lt;&gt;"",ISNA(MATCH(B3244,pr_code,0))),"Article inconnu",IF(H3244="","Désignation manquante",IF(OR(NOT(ISNUMBER(D3244)),N(D3244)&lt;=0),"Quantité invalide",IF(J3244="","Prix manquant",IF(OR(NOT(ISNUMBER(J3244)),N(J3244)&lt;0),"Prix invalide",IF(OR(AND(F3244&lt;&gt;"",NOT(ISNUMBER(F3244))),N(F3244)&lt;0,N(F3244)&gt;1),"Remise invalide",IF(K3244="","Taux de TVA manquant",IF(NOT(ISNUMBER(K3244)),"Taux de TVA invalide",IF(COUNTIF(p_rates,K3244)=0,"Taux de TVA hors liste (Paramètres)",IF(N(O3244)&gt;25,"Au-delà de 25 lignes : non imprimée","OK")))))))))))))</f>
        <v/>
      </c>
      <c r="O3244" s="59" t="str">
        <f>IF(A3244="","",COUNTIF($A$6:A3244,A3244))</f>
        <v/>
      </c>
      <c r="P3244" s="62" t="str">
        <f>IF(A3244="","",A3244&amp;"|"&amp;O3244)</f>
        <v/>
      </c>
    </row>
    <row r="3245">
      <c r="A3245" s="60" t="n"/>
      <c r="B3245" s="63" t="n"/>
      <c r="C3245" s="63" t="n"/>
      <c r="D3245" s="67" t="n"/>
      <c r="E3245" s="68" t="n"/>
      <c r="F3245" s="69" t="n"/>
      <c r="G3245" s="70" t="n"/>
      <c r="H3245" s="62" t="str">
        <f>IF(COUNTA(A3245:G3245)=0,"",IF(C3245&lt;&gt;"",C3245,IF(B3245="","",IFERROR(INDEX(pr_des,MATCH(B3245,pr_code,0))&amp;"",""))))</f>
        <v/>
      </c>
      <c r="I3245" s="59" t="str">
        <f>IF(B3245="","",IFERROR(INDEX(pr_unit,MATCH(B3245,pr_code,0))&amp;"",""))</f>
        <v/>
      </c>
      <c r="J3245" s="65" t="str">
        <f>IF(COUNTA(A3245:G3245)=0,"",IF(E3245&lt;&gt;"",E3245,IF(B3245="","",IFERROR(IF(INDEX(pr_price,MATCH(B3245,pr_code,0))="","",INDEX(pr_price,MATCH(B3245,pr_code,0))),""))))</f>
        <v/>
      </c>
      <c r="K3245" s="71" t="str">
        <f>IF(COUNTA(A3245:G3245)=0,"",IF(G3245&lt;&gt;"",G3245,IF(B3245="","",IFERROR(IF(INDEX(pr_rate,MATCH(B3245,pr_code,0))="","",INDEX(pr_rate,MATCH(B3245,pr_code,0))),""))))</f>
        <v/>
      </c>
      <c r="L3245" s="65" t="str">
        <f>IF(COUNTA(A3245:G3245)=0,"",IF(AND(ISNUMBER(D3245),ISNUMBER(J3245)),ROUND(D3245*J3245*(1-N(F3245)),2),0))</f>
        <v/>
      </c>
      <c r="M3245" s="62" t="str">
        <f>IF(A3245="","",IFERROR(INDEX(fa_cname,MATCH(A3245,fa_num,0))&amp;"",""))</f>
        <v/>
      </c>
      <c r="N3245" s="59" t="str">
        <f>IF(COUNTA(A3245:G3245)=0,"",IF(A3245="","N° facture manquant",IF(ISNA(MATCH(A3245,fa_num,0)),"Facture inconnue",IF(AND(B3245&lt;&gt;"",ISNA(MATCH(B3245,pr_code,0))),"Article inconnu",IF(H3245="","Désignation manquante",IF(OR(NOT(ISNUMBER(D3245)),N(D3245)&lt;=0),"Quantité invalide",IF(J3245="","Prix manquant",IF(OR(NOT(ISNUMBER(J3245)),N(J3245)&lt;0),"Prix invalide",IF(OR(AND(F3245&lt;&gt;"",NOT(ISNUMBER(F3245))),N(F3245)&lt;0,N(F3245)&gt;1),"Remise invalide",IF(K3245="","Taux de TVA manquant",IF(NOT(ISNUMBER(K3245)),"Taux de TVA invalide",IF(COUNTIF(p_rates,K3245)=0,"Taux de TVA hors liste (Paramètres)",IF(N(O3245)&gt;25,"Au-delà de 25 lignes : non imprimée","OK")))))))))))))</f>
        <v/>
      </c>
      <c r="O3245" s="59" t="str">
        <f>IF(A3245="","",COUNTIF($A$6:A3245,A3245))</f>
        <v/>
      </c>
      <c r="P3245" s="62" t="str">
        <f>IF(A3245="","",A3245&amp;"|"&amp;O3245)</f>
        <v/>
      </c>
    </row>
    <row r="3246">
      <c r="A3246" s="60" t="n"/>
      <c r="B3246" s="63" t="n"/>
      <c r="C3246" s="63" t="n"/>
      <c r="D3246" s="67" t="n"/>
      <c r="E3246" s="68" t="n"/>
      <c r="F3246" s="69" t="n"/>
      <c r="G3246" s="70" t="n"/>
      <c r="H3246" s="62" t="str">
        <f>IF(COUNTA(A3246:G3246)=0,"",IF(C3246&lt;&gt;"",C3246,IF(B3246="","",IFERROR(INDEX(pr_des,MATCH(B3246,pr_code,0))&amp;"",""))))</f>
        <v/>
      </c>
      <c r="I3246" s="59" t="str">
        <f>IF(B3246="","",IFERROR(INDEX(pr_unit,MATCH(B3246,pr_code,0))&amp;"",""))</f>
        <v/>
      </c>
      <c r="J3246" s="65" t="str">
        <f>IF(COUNTA(A3246:G3246)=0,"",IF(E3246&lt;&gt;"",E3246,IF(B3246="","",IFERROR(IF(INDEX(pr_price,MATCH(B3246,pr_code,0))="","",INDEX(pr_price,MATCH(B3246,pr_code,0))),""))))</f>
        <v/>
      </c>
      <c r="K3246" s="71" t="str">
        <f>IF(COUNTA(A3246:G3246)=0,"",IF(G3246&lt;&gt;"",G3246,IF(B3246="","",IFERROR(IF(INDEX(pr_rate,MATCH(B3246,pr_code,0))="","",INDEX(pr_rate,MATCH(B3246,pr_code,0))),""))))</f>
        <v/>
      </c>
      <c r="L3246" s="65" t="str">
        <f>IF(COUNTA(A3246:G3246)=0,"",IF(AND(ISNUMBER(D3246),ISNUMBER(J3246)),ROUND(D3246*J3246*(1-N(F3246)),2),0))</f>
        <v/>
      </c>
      <c r="M3246" s="62" t="str">
        <f>IF(A3246="","",IFERROR(INDEX(fa_cname,MATCH(A3246,fa_num,0))&amp;"",""))</f>
        <v/>
      </c>
      <c r="N3246" s="59" t="str">
        <f>IF(COUNTA(A3246:G3246)=0,"",IF(A3246="","N° facture manquant",IF(ISNA(MATCH(A3246,fa_num,0)),"Facture inconnue",IF(AND(B3246&lt;&gt;"",ISNA(MATCH(B3246,pr_code,0))),"Article inconnu",IF(H3246="","Désignation manquante",IF(OR(NOT(ISNUMBER(D3246)),N(D3246)&lt;=0),"Quantité invalide",IF(J3246="","Prix manquant",IF(OR(NOT(ISNUMBER(J3246)),N(J3246)&lt;0),"Prix invalide",IF(OR(AND(F3246&lt;&gt;"",NOT(ISNUMBER(F3246))),N(F3246)&lt;0,N(F3246)&gt;1),"Remise invalide",IF(K3246="","Taux de TVA manquant",IF(NOT(ISNUMBER(K3246)),"Taux de TVA invalide",IF(COUNTIF(p_rates,K3246)=0,"Taux de TVA hors liste (Paramètres)",IF(N(O3246)&gt;25,"Au-delà de 25 lignes : non imprimée","OK")))))))))))))</f>
        <v/>
      </c>
      <c r="O3246" s="59" t="str">
        <f>IF(A3246="","",COUNTIF($A$6:A3246,A3246))</f>
        <v/>
      </c>
      <c r="P3246" s="62" t="str">
        <f>IF(A3246="","",A3246&amp;"|"&amp;O3246)</f>
        <v/>
      </c>
    </row>
    <row r="3247">
      <c r="A3247" s="60" t="n"/>
      <c r="B3247" s="63" t="n"/>
      <c r="C3247" s="63" t="n"/>
      <c r="D3247" s="67" t="n"/>
      <c r="E3247" s="68" t="n"/>
      <c r="F3247" s="69" t="n"/>
      <c r="G3247" s="70" t="n"/>
      <c r="H3247" s="62" t="str">
        <f>IF(COUNTA(A3247:G3247)=0,"",IF(C3247&lt;&gt;"",C3247,IF(B3247="","",IFERROR(INDEX(pr_des,MATCH(B3247,pr_code,0))&amp;"",""))))</f>
        <v/>
      </c>
      <c r="I3247" s="59" t="str">
        <f>IF(B3247="","",IFERROR(INDEX(pr_unit,MATCH(B3247,pr_code,0))&amp;"",""))</f>
        <v/>
      </c>
      <c r="J3247" s="65" t="str">
        <f>IF(COUNTA(A3247:G3247)=0,"",IF(E3247&lt;&gt;"",E3247,IF(B3247="","",IFERROR(IF(INDEX(pr_price,MATCH(B3247,pr_code,0))="","",INDEX(pr_price,MATCH(B3247,pr_code,0))),""))))</f>
        <v/>
      </c>
      <c r="K3247" s="71" t="str">
        <f>IF(COUNTA(A3247:G3247)=0,"",IF(G3247&lt;&gt;"",G3247,IF(B3247="","",IFERROR(IF(INDEX(pr_rate,MATCH(B3247,pr_code,0))="","",INDEX(pr_rate,MATCH(B3247,pr_code,0))),""))))</f>
        <v/>
      </c>
      <c r="L3247" s="65" t="str">
        <f>IF(COUNTA(A3247:G3247)=0,"",IF(AND(ISNUMBER(D3247),ISNUMBER(J3247)),ROUND(D3247*J3247*(1-N(F3247)),2),0))</f>
        <v/>
      </c>
      <c r="M3247" s="62" t="str">
        <f>IF(A3247="","",IFERROR(INDEX(fa_cname,MATCH(A3247,fa_num,0))&amp;"",""))</f>
        <v/>
      </c>
      <c r="N3247" s="59" t="str">
        <f>IF(COUNTA(A3247:G3247)=0,"",IF(A3247="","N° facture manquant",IF(ISNA(MATCH(A3247,fa_num,0)),"Facture inconnue",IF(AND(B3247&lt;&gt;"",ISNA(MATCH(B3247,pr_code,0))),"Article inconnu",IF(H3247="","Désignation manquante",IF(OR(NOT(ISNUMBER(D3247)),N(D3247)&lt;=0),"Quantité invalide",IF(J3247="","Prix manquant",IF(OR(NOT(ISNUMBER(J3247)),N(J3247)&lt;0),"Prix invalide",IF(OR(AND(F3247&lt;&gt;"",NOT(ISNUMBER(F3247))),N(F3247)&lt;0,N(F3247)&gt;1),"Remise invalide",IF(K3247="","Taux de TVA manquant",IF(NOT(ISNUMBER(K3247)),"Taux de TVA invalide",IF(COUNTIF(p_rates,K3247)=0,"Taux de TVA hors liste (Paramètres)",IF(N(O3247)&gt;25,"Au-delà de 25 lignes : non imprimée","OK")))))))))))))</f>
        <v/>
      </c>
      <c r="O3247" s="59" t="str">
        <f>IF(A3247="","",COUNTIF($A$6:A3247,A3247))</f>
        <v/>
      </c>
      <c r="P3247" s="62" t="str">
        <f>IF(A3247="","",A3247&amp;"|"&amp;O3247)</f>
        <v/>
      </c>
    </row>
    <row r="3248">
      <c r="A3248" s="60" t="n"/>
      <c r="B3248" s="63" t="n"/>
      <c r="C3248" s="63" t="n"/>
      <c r="D3248" s="67" t="n"/>
      <c r="E3248" s="68" t="n"/>
      <c r="F3248" s="69" t="n"/>
      <c r="G3248" s="70" t="n"/>
      <c r="H3248" s="62" t="str">
        <f>IF(COUNTA(A3248:G3248)=0,"",IF(C3248&lt;&gt;"",C3248,IF(B3248="","",IFERROR(INDEX(pr_des,MATCH(B3248,pr_code,0))&amp;"",""))))</f>
        <v/>
      </c>
      <c r="I3248" s="59" t="str">
        <f>IF(B3248="","",IFERROR(INDEX(pr_unit,MATCH(B3248,pr_code,0))&amp;"",""))</f>
        <v/>
      </c>
      <c r="J3248" s="65" t="str">
        <f>IF(COUNTA(A3248:G3248)=0,"",IF(E3248&lt;&gt;"",E3248,IF(B3248="","",IFERROR(IF(INDEX(pr_price,MATCH(B3248,pr_code,0))="","",INDEX(pr_price,MATCH(B3248,pr_code,0))),""))))</f>
        <v/>
      </c>
      <c r="K3248" s="71" t="str">
        <f>IF(COUNTA(A3248:G3248)=0,"",IF(G3248&lt;&gt;"",G3248,IF(B3248="","",IFERROR(IF(INDEX(pr_rate,MATCH(B3248,pr_code,0))="","",INDEX(pr_rate,MATCH(B3248,pr_code,0))),""))))</f>
        <v/>
      </c>
      <c r="L3248" s="65" t="str">
        <f>IF(COUNTA(A3248:G3248)=0,"",IF(AND(ISNUMBER(D3248),ISNUMBER(J3248)),ROUND(D3248*J3248*(1-N(F3248)),2),0))</f>
        <v/>
      </c>
      <c r="M3248" s="62" t="str">
        <f>IF(A3248="","",IFERROR(INDEX(fa_cname,MATCH(A3248,fa_num,0))&amp;"",""))</f>
        <v/>
      </c>
      <c r="N3248" s="59" t="str">
        <f>IF(COUNTA(A3248:G3248)=0,"",IF(A3248="","N° facture manquant",IF(ISNA(MATCH(A3248,fa_num,0)),"Facture inconnue",IF(AND(B3248&lt;&gt;"",ISNA(MATCH(B3248,pr_code,0))),"Article inconnu",IF(H3248="","Désignation manquante",IF(OR(NOT(ISNUMBER(D3248)),N(D3248)&lt;=0),"Quantité invalide",IF(J3248="","Prix manquant",IF(OR(NOT(ISNUMBER(J3248)),N(J3248)&lt;0),"Prix invalide",IF(OR(AND(F3248&lt;&gt;"",NOT(ISNUMBER(F3248))),N(F3248)&lt;0,N(F3248)&gt;1),"Remise invalide",IF(K3248="","Taux de TVA manquant",IF(NOT(ISNUMBER(K3248)),"Taux de TVA invalide",IF(COUNTIF(p_rates,K3248)=0,"Taux de TVA hors liste (Paramètres)",IF(N(O3248)&gt;25,"Au-delà de 25 lignes : non imprimée","OK")))))))))))))</f>
        <v/>
      </c>
      <c r="O3248" s="59" t="str">
        <f>IF(A3248="","",COUNTIF($A$6:A3248,A3248))</f>
        <v/>
      </c>
      <c r="P3248" s="62" t="str">
        <f>IF(A3248="","",A3248&amp;"|"&amp;O3248)</f>
        <v/>
      </c>
    </row>
    <row r="3249">
      <c r="A3249" s="60" t="n"/>
      <c r="B3249" s="63" t="n"/>
      <c r="C3249" s="63" t="n"/>
      <c r="D3249" s="67" t="n"/>
      <c r="E3249" s="68" t="n"/>
      <c r="F3249" s="69" t="n"/>
      <c r="G3249" s="70" t="n"/>
      <c r="H3249" s="62" t="str">
        <f>IF(COUNTA(A3249:G3249)=0,"",IF(C3249&lt;&gt;"",C3249,IF(B3249="","",IFERROR(INDEX(pr_des,MATCH(B3249,pr_code,0))&amp;"",""))))</f>
        <v/>
      </c>
      <c r="I3249" s="59" t="str">
        <f>IF(B3249="","",IFERROR(INDEX(pr_unit,MATCH(B3249,pr_code,0))&amp;"",""))</f>
        <v/>
      </c>
      <c r="J3249" s="65" t="str">
        <f>IF(COUNTA(A3249:G3249)=0,"",IF(E3249&lt;&gt;"",E3249,IF(B3249="","",IFERROR(IF(INDEX(pr_price,MATCH(B3249,pr_code,0))="","",INDEX(pr_price,MATCH(B3249,pr_code,0))),""))))</f>
        <v/>
      </c>
      <c r="K3249" s="71" t="str">
        <f>IF(COUNTA(A3249:G3249)=0,"",IF(G3249&lt;&gt;"",G3249,IF(B3249="","",IFERROR(IF(INDEX(pr_rate,MATCH(B3249,pr_code,0))="","",INDEX(pr_rate,MATCH(B3249,pr_code,0))),""))))</f>
        <v/>
      </c>
      <c r="L3249" s="65" t="str">
        <f>IF(COUNTA(A3249:G3249)=0,"",IF(AND(ISNUMBER(D3249),ISNUMBER(J3249)),ROUND(D3249*J3249*(1-N(F3249)),2),0))</f>
        <v/>
      </c>
      <c r="M3249" s="62" t="str">
        <f>IF(A3249="","",IFERROR(INDEX(fa_cname,MATCH(A3249,fa_num,0))&amp;"",""))</f>
        <v/>
      </c>
      <c r="N3249" s="59" t="str">
        <f>IF(COUNTA(A3249:G3249)=0,"",IF(A3249="","N° facture manquant",IF(ISNA(MATCH(A3249,fa_num,0)),"Facture inconnue",IF(AND(B3249&lt;&gt;"",ISNA(MATCH(B3249,pr_code,0))),"Article inconnu",IF(H3249="","Désignation manquante",IF(OR(NOT(ISNUMBER(D3249)),N(D3249)&lt;=0),"Quantité invalide",IF(J3249="","Prix manquant",IF(OR(NOT(ISNUMBER(J3249)),N(J3249)&lt;0),"Prix invalide",IF(OR(AND(F3249&lt;&gt;"",NOT(ISNUMBER(F3249))),N(F3249)&lt;0,N(F3249)&gt;1),"Remise invalide",IF(K3249="","Taux de TVA manquant",IF(NOT(ISNUMBER(K3249)),"Taux de TVA invalide",IF(COUNTIF(p_rates,K3249)=0,"Taux de TVA hors liste (Paramètres)",IF(N(O3249)&gt;25,"Au-delà de 25 lignes : non imprimée","OK")))))))))))))</f>
        <v/>
      </c>
      <c r="O3249" s="59" t="str">
        <f>IF(A3249="","",COUNTIF($A$6:A3249,A3249))</f>
        <v/>
      </c>
      <c r="P3249" s="62" t="str">
        <f>IF(A3249="","",A3249&amp;"|"&amp;O3249)</f>
        <v/>
      </c>
    </row>
    <row r="3250">
      <c r="A3250" s="60" t="n"/>
      <c r="B3250" s="63" t="n"/>
      <c r="C3250" s="63" t="n"/>
      <c r="D3250" s="67" t="n"/>
      <c r="E3250" s="68" t="n"/>
      <c r="F3250" s="69" t="n"/>
      <c r="G3250" s="70" t="n"/>
      <c r="H3250" s="62" t="str">
        <f>IF(COUNTA(A3250:G3250)=0,"",IF(C3250&lt;&gt;"",C3250,IF(B3250="","",IFERROR(INDEX(pr_des,MATCH(B3250,pr_code,0))&amp;"",""))))</f>
        <v/>
      </c>
      <c r="I3250" s="59" t="str">
        <f>IF(B3250="","",IFERROR(INDEX(pr_unit,MATCH(B3250,pr_code,0))&amp;"",""))</f>
        <v/>
      </c>
      <c r="J3250" s="65" t="str">
        <f>IF(COUNTA(A3250:G3250)=0,"",IF(E3250&lt;&gt;"",E3250,IF(B3250="","",IFERROR(IF(INDEX(pr_price,MATCH(B3250,pr_code,0))="","",INDEX(pr_price,MATCH(B3250,pr_code,0))),""))))</f>
        <v/>
      </c>
      <c r="K3250" s="71" t="str">
        <f>IF(COUNTA(A3250:G3250)=0,"",IF(G3250&lt;&gt;"",G3250,IF(B3250="","",IFERROR(IF(INDEX(pr_rate,MATCH(B3250,pr_code,0))="","",INDEX(pr_rate,MATCH(B3250,pr_code,0))),""))))</f>
        <v/>
      </c>
      <c r="L3250" s="65" t="str">
        <f>IF(COUNTA(A3250:G3250)=0,"",IF(AND(ISNUMBER(D3250),ISNUMBER(J3250)),ROUND(D3250*J3250*(1-N(F3250)),2),0))</f>
        <v/>
      </c>
      <c r="M3250" s="62" t="str">
        <f>IF(A3250="","",IFERROR(INDEX(fa_cname,MATCH(A3250,fa_num,0))&amp;"",""))</f>
        <v/>
      </c>
      <c r="N3250" s="59" t="str">
        <f>IF(COUNTA(A3250:G3250)=0,"",IF(A3250="","N° facture manquant",IF(ISNA(MATCH(A3250,fa_num,0)),"Facture inconnue",IF(AND(B3250&lt;&gt;"",ISNA(MATCH(B3250,pr_code,0))),"Article inconnu",IF(H3250="","Désignation manquante",IF(OR(NOT(ISNUMBER(D3250)),N(D3250)&lt;=0),"Quantité invalide",IF(J3250="","Prix manquant",IF(OR(NOT(ISNUMBER(J3250)),N(J3250)&lt;0),"Prix invalide",IF(OR(AND(F3250&lt;&gt;"",NOT(ISNUMBER(F3250))),N(F3250)&lt;0,N(F3250)&gt;1),"Remise invalide",IF(K3250="","Taux de TVA manquant",IF(NOT(ISNUMBER(K3250)),"Taux de TVA invalide",IF(COUNTIF(p_rates,K3250)=0,"Taux de TVA hors liste (Paramètres)",IF(N(O3250)&gt;25,"Au-delà de 25 lignes : non imprimée","OK")))))))))))))</f>
        <v/>
      </c>
      <c r="O3250" s="59" t="str">
        <f>IF(A3250="","",COUNTIF($A$6:A3250,A3250))</f>
        <v/>
      </c>
      <c r="P3250" s="62" t="str">
        <f>IF(A3250="","",A3250&amp;"|"&amp;O3250)</f>
        <v/>
      </c>
    </row>
    <row r="3251">
      <c r="A3251" s="60" t="n"/>
      <c r="B3251" s="63" t="n"/>
      <c r="C3251" s="63" t="n"/>
      <c r="D3251" s="67" t="n"/>
      <c r="E3251" s="68" t="n"/>
      <c r="F3251" s="69" t="n"/>
      <c r="G3251" s="70" t="n"/>
      <c r="H3251" s="62" t="str">
        <f>IF(COUNTA(A3251:G3251)=0,"",IF(C3251&lt;&gt;"",C3251,IF(B3251="","",IFERROR(INDEX(pr_des,MATCH(B3251,pr_code,0))&amp;"",""))))</f>
        <v/>
      </c>
      <c r="I3251" s="59" t="str">
        <f>IF(B3251="","",IFERROR(INDEX(pr_unit,MATCH(B3251,pr_code,0))&amp;"",""))</f>
        <v/>
      </c>
      <c r="J3251" s="65" t="str">
        <f>IF(COUNTA(A3251:G3251)=0,"",IF(E3251&lt;&gt;"",E3251,IF(B3251="","",IFERROR(IF(INDEX(pr_price,MATCH(B3251,pr_code,0))="","",INDEX(pr_price,MATCH(B3251,pr_code,0))),""))))</f>
        <v/>
      </c>
      <c r="K3251" s="71" t="str">
        <f>IF(COUNTA(A3251:G3251)=0,"",IF(G3251&lt;&gt;"",G3251,IF(B3251="","",IFERROR(IF(INDEX(pr_rate,MATCH(B3251,pr_code,0))="","",INDEX(pr_rate,MATCH(B3251,pr_code,0))),""))))</f>
        <v/>
      </c>
      <c r="L3251" s="65" t="str">
        <f>IF(COUNTA(A3251:G3251)=0,"",IF(AND(ISNUMBER(D3251),ISNUMBER(J3251)),ROUND(D3251*J3251*(1-N(F3251)),2),0))</f>
        <v/>
      </c>
      <c r="M3251" s="62" t="str">
        <f>IF(A3251="","",IFERROR(INDEX(fa_cname,MATCH(A3251,fa_num,0))&amp;"",""))</f>
        <v/>
      </c>
      <c r="N3251" s="59" t="str">
        <f>IF(COUNTA(A3251:G3251)=0,"",IF(A3251="","N° facture manquant",IF(ISNA(MATCH(A3251,fa_num,0)),"Facture inconnue",IF(AND(B3251&lt;&gt;"",ISNA(MATCH(B3251,pr_code,0))),"Article inconnu",IF(H3251="","Désignation manquante",IF(OR(NOT(ISNUMBER(D3251)),N(D3251)&lt;=0),"Quantité invalide",IF(J3251="","Prix manquant",IF(OR(NOT(ISNUMBER(J3251)),N(J3251)&lt;0),"Prix invalide",IF(OR(AND(F3251&lt;&gt;"",NOT(ISNUMBER(F3251))),N(F3251)&lt;0,N(F3251)&gt;1),"Remise invalide",IF(K3251="","Taux de TVA manquant",IF(NOT(ISNUMBER(K3251)),"Taux de TVA invalide",IF(COUNTIF(p_rates,K3251)=0,"Taux de TVA hors liste (Paramètres)",IF(N(O3251)&gt;25,"Au-delà de 25 lignes : non imprimée","OK")))))))))))))</f>
        <v/>
      </c>
      <c r="O3251" s="59" t="str">
        <f>IF(A3251="","",COUNTIF($A$6:A3251,A3251))</f>
        <v/>
      </c>
      <c r="P3251" s="62" t="str">
        <f>IF(A3251="","",A3251&amp;"|"&amp;O3251)</f>
        <v/>
      </c>
    </row>
    <row r="3252">
      <c r="A3252" s="60" t="n"/>
      <c r="B3252" s="63" t="n"/>
      <c r="C3252" s="63" t="n"/>
      <c r="D3252" s="67" t="n"/>
      <c r="E3252" s="68" t="n"/>
      <c r="F3252" s="69" t="n"/>
      <c r="G3252" s="70" t="n"/>
      <c r="H3252" s="62" t="str">
        <f>IF(COUNTA(A3252:G3252)=0,"",IF(C3252&lt;&gt;"",C3252,IF(B3252="","",IFERROR(INDEX(pr_des,MATCH(B3252,pr_code,0))&amp;"",""))))</f>
        <v/>
      </c>
      <c r="I3252" s="59" t="str">
        <f>IF(B3252="","",IFERROR(INDEX(pr_unit,MATCH(B3252,pr_code,0))&amp;"",""))</f>
        <v/>
      </c>
      <c r="J3252" s="65" t="str">
        <f>IF(COUNTA(A3252:G3252)=0,"",IF(E3252&lt;&gt;"",E3252,IF(B3252="","",IFERROR(IF(INDEX(pr_price,MATCH(B3252,pr_code,0))="","",INDEX(pr_price,MATCH(B3252,pr_code,0))),""))))</f>
        <v/>
      </c>
      <c r="K3252" s="71" t="str">
        <f>IF(COUNTA(A3252:G3252)=0,"",IF(G3252&lt;&gt;"",G3252,IF(B3252="","",IFERROR(IF(INDEX(pr_rate,MATCH(B3252,pr_code,0))="","",INDEX(pr_rate,MATCH(B3252,pr_code,0))),""))))</f>
        <v/>
      </c>
      <c r="L3252" s="65" t="str">
        <f>IF(COUNTA(A3252:G3252)=0,"",IF(AND(ISNUMBER(D3252),ISNUMBER(J3252)),ROUND(D3252*J3252*(1-N(F3252)),2),0))</f>
        <v/>
      </c>
      <c r="M3252" s="62" t="str">
        <f>IF(A3252="","",IFERROR(INDEX(fa_cname,MATCH(A3252,fa_num,0))&amp;"",""))</f>
        <v/>
      </c>
      <c r="N3252" s="59" t="str">
        <f>IF(COUNTA(A3252:G3252)=0,"",IF(A3252="","N° facture manquant",IF(ISNA(MATCH(A3252,fa_num,0)),"Facture inconnue",IF(AND(B3252&lt;&gt;"",ISNA(MATCH(B3252,pr_code,0))),"Article inconnu",IF(H3252="","Désignation manquante",IF(OR(NOT(ISNUMBER(D3252)),N(D3252)&lt;=0),"Quantité invalide",IF(J3252="","Prix manquant",IF(OR(NOT(ISNUMBER(J3252)),N(J3252)&lt;0),"Prix invalide",IF(OR(AND(F3252&lt;&gt;"",NOT(ISNUMBER(F3252))),N(F3252)&lt;0,N(F3252)&gt;1),"Remise invalide",IF(K3252="","Taux de TVA manquant",IF(NOT(ISNUMBER(K3252)),"Taux de TVA invalide",IF(COUNTIF(p_rates,K3252)=0,"Taux de TVA hors liste (Paramètres)",IF(N(O3252)&gt;25,"Au-delà de 25 lignes : non imprimée","OK")))))))))))))</f>
        <v/>
      </c>
      <c r="O3252" s="59" t="str">
        <f>IF(A3252="","",COUNTIF($A$6:A3252,A3252))</f>
        <v/>
      </c>
      <c r="P3252" s="62" t="str">
        <f>IF(A3252="","",A3252&amp;"|"&amp;O3252)</f>
        <v/>
      </c>
    </row>
    <row r="3253">
      <c r="A3253" s="60" t="n"/>
      <c r="B3253" s="63" t="n"/>
      <c r="C3253" s="63" t="n"/>
      <c r="D3253" s="67" t="n"/>
      <c r="E3253" s="68" t="n"/>
      <c r="F3253" s="69" t="n"/>
      <c r="G3253" s="70" t="n"/>
      <c r="H3253" s="62" t="str">
        <f>IF(COUNTA(A3253:G3253)=0,"",IF(C3253&lt;&gt;"",C3253,IF(B3253="","",IFERROR(INDEX(pr_des,MATCH(B3253,pr_code,0))&amp;"",""))))</f>
        <v/>
      </c>
      <c r="I3253" s="59" t="str">
        <f>IF(B3253="","",IFERROR(INDEX(pr_unit,MATCH(B3253,pr_code,0))&amp;"",""))</f>
        <v/>
      </c>
      <c r="J3253" s="65" t="str">
        <f>IF(COUNTA(A3253:G3253)=0,"",IF(E3253&lt;&gt;"",E3253,IF(B3253="","",IFERROR(IF(INDEX(pr_price,MATCH(B3253,pr_code,0))="","",INDEX(pr_price,MATCH(B3253,pr_code,0))),""))))</f>
        <v/>
      </c>
      <c r="K3253" s="71" t="str">
        <f>IF(COUNTA(A3253:G3253)=0,"",IF(G3253&lt;&gt;"",G3253,IF(B3253="","",IFERROR(IF(INDEX(pr_rate,MATCH(B3253,pr_code,0))="","",INDEX(pr_rate,MATCH(B3253,pr_code,0))),""))))</f>
        <v/>
      </c>
      <c r="L3253" s="65" t="str">
        <f>IF(COUNTA(A3253:G3253)=0,"",IF(AND(ISNUMBER(D3253),ISNUMBER(J3253)),ROUND(D3253*J3253*(1-N(F3253)),2),0))</f>
        <v/>
      </c>
      <c r="M3253" s="62" t="str">
        <f>IF(A3253="","",IFERROR(INDEX(fa_cname,MATCH(A3253,fa_num,0))&amp;"",""))</f>
        <v/>
      </c>
      <c r="N3253" s="59" t="str">
        <f>IF(COUNTA(A3253:G3253)=0,"",IF(A3253="","N° facture manquant",IF(ISNA(MATCH(A3253,fa_num,0)),"Facture inconnue",IF(AND(B3253&lt;&gt;"",ISNA(MATCH(B3253,pr_code,0))),"Article inconnu",IF(H3253="","Désignation manquante",IF(OR(NOT(ISNUMBER(D3253)),N(D3253)&lt;=0),"Quantité invalide",IF(J3253="","Prix manquant",IF(OR(NOT(ISNUMBER(J3253)),N(J3253)&lt;0),"Prix invalide",IF(OR(AND(F3253&lt;&gt;"",NOT(ISNUMBER(F3253))),N(F3253)&lt;0,N(F3253)&gt;1),"Remise invalide",IF(K3253="","Taux de TVA manquant",IF(NOT(ISNUMBER(K3253)),"Taux de TVA invalide",IF(COUNTIF(p_rates,K3253)=0,"Taux de TVA hors liste (Paramètres)",IF(N(O3253)&gt;25,"Au-delà de 25 lignes : non imprimée","OK")))))))))))))</f>
        <v/>
      </c>
      <c r="O3253" s="59" t="str">
        <f>IF(A3253="","",COUNTIF($A$6:A3253,A3253))</f>
        <v/>
      </c>
      <c r="P3253" s="62" t="str">
        <f>IF(A3253="","",A3253&amp;"|"&amp;O3253)</f>
        <v/>
      </c>
    </row>
    <row r="3254">
      <c r="A3254" s="60" t="n"/>
      <c r="B3254" s="63" t="n"/>
      <c r="C3254" s="63" t="n"/>
      <c r="D3254" s="67" t="n"/>
      <c r="E3254" s="68" t="n"/>
      <c r="F3254" s="69" t="n"/>
      <c r="G3254" s="70" t="n"/>
      <c r="H3254" s="62" t="str">
        <f>IF(COUNTA(A3254:G3254)=0,"",IF(C3254&lt;&gt;"",C3254,IF(B3254="","",IFERROR(INDEX(pr_des,MATCH(B3254,pr_code,0))&amp;"",""))))</f>
        <v/>
      </c>
      <c r="I3254" s="59" t="str">
        <f>IF(B3254="","",IFERROR(INDEX(pr_unit,MATCH(B3254,pr_code,0))&amp;"",""))</f>
        <v/>
      </c>
      <c r="J3254" s="65" t="str">
        <f>IF(COUNTA(A3254:G3254)=0,"",IF(E3254&lt;&gt;"",E3254,IF(B3254="","",IFERROR(IF(INDEX(pr_price,MATCH(B3254,pr_code,0))="","",INDEX(pr_price,MATCH(B3254,pr_code,0))),""))))</f>
        <v/>
      </c>
      <c r="K3254" s="71" t="str">
        <f>IF(COUNTA(A3254:G3254)=0,"",IF(G3254&lt;&gt;"",G3254,IF(B3254="","",IFERROR(IF(INDEX(pr_rate,MATCH(B3254,pr_code,0))="","",INDEX(pr_rate,MATCH(B3254,pr_code,0))),""))))</f>
        <v/>
      </c>
      <c r="L3254" s="65" t="str">
        <f>IF(COUNTA(A3254:G3254)=0,"",IF(AND(ISNUMBER(D3254),ISNUMBER(J3254)),ROUND(D3254*J3254*(1-N(F3254)),2),0))</f>
        <v/>
      </c>
      <c r="M3254" s="62" t="str">
        <f>IF(A3254="","",IFERROR(INDEX(fa_cname,MATCH(A3254,fa_num,0))&amp;"",""))</f>
        <v/>
      </c>
      <c r="N3254" s="59" t="str">
        <f>IF(COUNTA(A3254:G3254)=0,"",IF(A3254="","N° facture manquant",IF(ISNA(MATCH(A3254,fa_num,0)),"Facture inconnue",IF(AND(B3254&lt;&gt;"",ISNA(MATCH(B3254,pr_code,0))),"Article inconnu",IF(H3254="","Désignation manquante",IF(OR(NOT(ISNUMBER(D3254)),N(D3254)&lt;=0),"Quantité invalide",IF(J3254="","Prix manquant",IF(OR(NOT(ISNUMBER(J3254)),N(J3254)&lt;0),"Prix invalide",IF(OR(AND(F3254&lt;&gt;"",NOT(ISNUMBER(F3254))),N(F3254)&lt;0,N(F3254)&gt;1),"Remise invalide",IF(K3254="","Taux de TVA manquant",IF(NOT(ISNUMBER(K3254)),"Taux de TVA invalide",IF(COUNTIF(p_rates,K3254)=0,"Taux de TVA hors liste (Paramètres)",IF(N(O3254)&gt;25,"Au-delà de 25 lignes : non imprimée","OK")))))))))))))</f>
        <v/>
      </c>
      <c r="O3254" s="59" t="str">
        <f>IF(A3254="","",COUNTIF($A$6:A3254,A3254))</f>
        <v/>
      </c>
      <c r="P3254" s="62" t="str">
        <f>IF(A3254="","",A3254&amp;"|"&amp;O3254)</f>
        <v/>
      </c>
    </row>
    <row r="3255">
      <c r="A3255" s="60" t="n"/>
      <c r="B3255" s="63" t="n"/>
      <c r="C3255" s="63" t="n"/>
      <c r="D3255" s="67" t="n"/>
      <c r="E3255" s="68" t="n"/>
      <c r="F3255" s="69" t="n"/>
      <c r="G3255" s="70" t="n"/>
      <c r="H3255" s="62" t="str">
        <f>IF(COUNTA(A3255:G3255)=0,"",IF(C3255&lt;&gt;"",C3255,IF(B3255="","",IFERROR(INDEX(pr_des,MATCH(B3255,pr_code,0))&amp;"",""))))</f>
        <v/>
      </c>
      <c r="I3255" s="59" t="str">
        <f>IF(B3255="","",IFERROR(INDEX(pr_unit,MATCH(B3255,pr_code,0))&amp;"",""))</f>
        <v/>
      </c>
      <c r="J3255" s="65" t="str">
        <f>IF(COUNTA(A3255:G3255)=0,"",IF(E3255&lt;&gt;"",E3255,IF(B3255="","",IFERROR(IF(INDEX(pr_price,MATCH(B3255,pr_code,0))="","",INDEX(pr_price,MATCH(B3255,pr_code,0))),""))))</f>
        <v/>
      </c>
      <c r="K3255" s="71" t="str">
        <f>IF(COUNTA(A3255:G3255)=0,"",IF(G3255&lt;&gt;"",G3255,IF(B3255="","",IFERROR(IF(INDEX(pr_rate,MATCH(B3255,pr_code,0))="","",INDEX(pr_rate,MATCH(B3255,pr_code,0))),""))))</f>
        <v/>
      </c>
      <c r="L3255" s="65" t="str">
        <f>IF(COUNTA(A3255:G3255)=0,"",IF(AND(ISNUMBER(D3255),ISNUMBER(J3255)),ROUND(D3255*J3255*(1-N(F3255)),2),0))</f>
        <v/>
      </c>
      <c r="M3255" s="62" t="str">
        <f>IF(A3255="","",IFERROR(INDEX(fa_cname,MATCH(A3255,fa_num,0))&amp;"",""))</f>
        <v/>
      </c>
      <c r="N3255" s="59" t="str">
        <f>IF(COUNTA(A3255:G3255)=0,"",IF(A3255="","N° facture manquant",IF(ISNA(MATCH(A3255,fa_num,0)),"Facture inconnue",IF(AND(B3255&lt;&gt;"",ISNA(MATCH(B3255,pr_code,0))),"Article inconnu",IF(H3255="","Désignation manquante",IF(OR(NOT(ISNUMBER(D3255)),N(D3255)&lt;=0),"Quantité invalide",IF(J3255="","Prix manquant",IF(OR(NOT(ISNUMBER(J3255)),N(J3255)&lt;0),"Prix invalide",IF(OR(AND(F3255&lt;&gt;"",NOT(ISNUMBER(F3255))),N(F3255)&lt;0,N(F3255)&gt;1),"Remise invalide",IF(K3255="","Taux de TVA manquant",IF(NOT(ISNUMBER(K3255)),"Taux de TVA invalide",IF(COUNTIF(p_rates,K3255)=0,"Taux de TVA hors liste (Paramètres)",IF(N(O3255)&gt;25,"Au-delà de 25 lignes : non imprimée","OK")))))))))))))</f>
        <v/>
      </c>
      <c r="O3255" s="59" t="str">
        <f>IF(A3255="","",COUNTIF($A$6:A3255,A3255))</f>
        <v/>
      </c>
      <c r="P3255" s="62" t="str">
        <f>IF(A3255="","",A3255&amp;"|"&amp;O3255)</f>
        <v/>
      </c>
    </row>
    <row r="3256">
      <c r="A3256" s="60" t="n"/>
      <c r="B3256" s="63" t="n"/>
      <c r="C3256" s="63" t="n"/>
      <c r="D3256" s="67" t="n"/>
      <c r="E3256" s="68" t="n"/>
      <c r="F3256" s="69" t="n"/>
      <c r="G3256" s="70" t="n"/>
      <c r="H3256" s="62" t="str">
        <f>IF(COUNTA(A3256:G3256)=0,"",IF(C3256&lt;&gt;"",C3256,IF(B3256="","",IFERROR(INDEX(pr_des,MATCH(B3256,pr_code,0))&amp;"",""))))</f>
        <v/>
      </c>
      <c r="I3256" s="59" t="str">
        <f>IF(B3256="","",IFERROR(INDEX(pr_unit,MATCH(B3256,pr_code,0))&amp;"",""))</f>
        <v/>
      </c>
      <c r="J3256" s="65" t="str">
        <f>IF(COUNTA(A3256:G3256)=0,"",IF(E3256&lt;&gt;"",E3256,IF(B3256="","",IFERROR(IF(INDEX(pr_price,MATCH(B3256,pr_code,0))="","",INDEX(pr_price,MATCH(B3256,pr_code,0))),""))))</f>
        <v/>
      </c>
      <c r="K3256" s="71" t="str">
        <f>IF(COUNTA(A3256:G3256)=0,"",IF(G3256&lt;&gt;"",G3256,IF(B3256="","",IFERROR(IF(INDEX(pr_rate,MATCH(B3256,pr_code,0))="","",INDEX(pr_rate,MATCH(B3256,pr_code,0))),""))))</f>
        <v/>
      </c>
      <c r="L3256" s="65" t="str">
        <f>IF(COUNTA(A3256:G3256)=0,"",IF(AND(ISNUMBER(D3256),ISNUMBER(J3256)),ROUND(D3256*J3256*(1-N(F3256)),2),0))</f>
        <v/>
      </c>
      <c r="M3256" s="62" t="str">
        <f>IF(A3256="","",IFERROR(INDEX(fa_cname,MATCH(A3256,fa_num,0))&amp;"",""))</f>
        <v/>
      </c>
      <c r="N3256" s="59" t="str">
        <f>IF(COUNTA(A3256:G3256)=0,"",IF(A3256="","N° facture manquant",IF(ISNA(MATCH(A3256,fa_num,0)),"Facture inconnue",IF(AND(B3256&lt;&gt;"",ISNA(MATCH(B3256,pr_code,0))),"Article inconnu",IF(H3256="","Désignation manquante",IF(OR(NOT(ISNUMBER(D3256)),N(D3256)&lt;=0),"Quantité invalide",IF(J3256="","Prix manquant",IF(OR(NOT(ISNUMBER(J3256)),N(J3256)&lt;0),"Prix invalide",IF(OR(AND(F3256&lt;&gt;"",NOT(ISNUMBER(F3256))),N(F3256)&lt;0,N(F3256)&gt;1),"Remise invalide",IF(K3256="","Taux de TVA manquant",IF(NOT(ISNUMBER(K3256)),"Taux de TVA invalide",IF(COUNTIF(p_rates,K3256)=0,"Taux de TVA hors liste (Paramètres)",IF(N(O3256)&gt;25,"Au-delà de 25 lignes : non imprimée","OK")))))))))))))</f>
        <v/>
      </c>
      <c r="O3256" s="59" t="str">
        <f>IF(A3256="","",COUNTIF($A$6:A3256,A3256))</f>
        <v/>
      </c>
      <c r="P3256" s="62" t="str">
        <f>IF(A3256="","",A3256&amp;"|"&amp;O3256)</f>
        <v/>
      </c>
    </row>
    <row r="3257">
      <c r="A3257" s="60" t="n"/>
      <c r="B3257" s="63" t="n"/>
      <c r="C3257" s="63" t="n"/>
      <c r="D3257" s="67" t="n"/>
      <c r="E3257" s="68" t="n"/>
      <c r="F3257" s="69" t="n"/>
      <c r="G3257" s="70" t="n"/>
      <c r="H3257" s="62" t="str">
        <f>IF(COUNTA(A3257:G3257)=0,"",IF(C3257&lt;&gt;"",C3257,IF(B3257="","",IFERROR(INDEX(pr_des,MATCH(B3257,pr_code,0))&amp;"",""))))</f>
        <v/>
      </c>
      <c r="I3257" s="59" t="str">
        <f>IF(B3257="","",IFERROR(INDEX(pr_unit,MATCH(B3257,pr_code,0))&amp;"",""))</f>
        <v/>
      </c>
      <c r="J3257" s="65" t="str">
        <f>IF(COUNTA(A3257:G3257)=0,"",IF(E3257&lt;&gt;"",E3257,IF(B3257="","",IFERROR(IF(INDEX(pr_price,MATCH(B3257,pr_code,0))="","",INDEX(pr_price,MATCH(B3257,pr_code,0))),""))))</f>
        <v/>
      </c>
      <c r="K3257" s="71" t="str">
        <f>IF(COUNTA(A3257:G3257)=0,"",IF(G3257&lt;&gt;"",G3257,IF(B3257="","",IFERROR(IF(INDEX(pr_rate,MATCH(B3257,pr_code,0))="","",INDEX(pr_rate,MATCH(B3257,pr_code,0))),""))))</f>
        <v/>
      </c>
      <c r="L3257" s="65" t="str">
        <f>IF(COUNTA(A3257:G3257)=0,"",IF(AND(ISNUMBER(D3257),ISNUMBER(J3257)),ROUND(D3257*J3257*(1-N(F3257)),2),0))</f>
        <v/>
      </c>
      <c r="M3257" s="62" t="str">
        <f>IF(A3257="","",IFERROR(INDEX(fa_cname,MATCH(A3257,fa_num,0))&amp;"",""))</f>
        <v/>
      </c>
      <c r="N3257" s="59" t="str">
        <f>IF(COUNTA(A3257:G3257)=0,"",IF(A3257="","N° facture manquant",IF(ISNA(MATCH(A3257,fa_num,0)),"Facture inconnue",IF(AND(B3257&lt;&gt;"",ISNA(MATCH(B3257,pr_code,0))),"Article inconnu",IF(H3257="","Désignation manquante",IF(OR(NOT(ISNUMBER(D3257)),N(D3257)&lt;=0),"Quantité invalide",IF(J3257="","Prix manquant",IF(OR(NOT(ISNUMBER(J3257)),N(J3257)&lt;0),"Prix invalide",IF(OR(AND(F3257&lt;&gt;"",NOT(ISNUMBER(F3257))),N(F3257)&lt;0,N(F3257)&gt;1),"Remise invalide",IF(K3257="","Taux de TVA manquant",IF(NOT(ISNUMBER(K3257)),"Taux de TVA invalide",IF(COUNTIF(p_rates,K3257)=0,"Taux de TVA hors liste (Paramètres)",IF(N(O3257)&gt;25,"Au-delà de 25 lignes : non imprimée","OK")))))))))))))</f>
        <v/>
      </c>
      <c r="O3257" s="59" t="str">
        <f>IF(A3257="","",COUNTIF($A$6:A3257,A3257))</f>
        <v/>
      </c>
      <c r="P3257" s="62" t="str">
        <f>IF(A3257="","",A3257&amp;"|"&amp;O3257)</f>
        <v/>
      </c>
    </row>
    <row r="3258">
      <c r="A3258" s="60" t="n"/>
      <c r="B3258" s="63" t="n"/>
      <c r="C3258" s="63" t="n"/>
      <c r="D3258" s="67" t="n"/>
      <c r="E3258" s="68" t="n"/>
      <c r="F3258" s="69" t="n"/>
      <c r="G3258" s="70" t="n"/>
      <c r="H3258" s="62" t="str">
        <f>IF(COUNTA(A3258:G3258)=0,"",IF(C3258&lt;&gt;"",C3258,IF(B3258="","",IFERROR(INDEX(pr_des,MATCH(B3258,pr_code,0))&amp;"",""))))</f>
        <v/>
      </c>
      <c r="I3258" s="59" t="str">
        <f>IF(B3258="","",IFERROR(INDEX(pr_unit,MATCH(B3258,pr_code,0))&amp;"",""))</f>
        <v/>
      </c>
      <c r="J3258" s="65" t="str">
        <f>IF(COUNTA(A3258:G3258)=0,"",IF(E3258&lt;&gt;"",E3258,IF(B3258="","",IFERROR(IF(INDEX(pr_price,MATCH(B3258,pr_code,0))="","",INDEX(pr_price,MATCH(B3258,pr_code,0))),""))))</f>
        <v/>
      </c>
      <c r="K3258" s="71" t="str">
        <f>IF(COUNTA(A3258:G3258)=0,"",IF(G3258&lt;&gt;"",G3258,IF(B3258="","",IFERROR(IF(INDEX(pr_rate,MATCH(B3258,pr_code,0))="","",INDEX(pr_rate,MATCH(B3258,pr_code,0))),""))))</f>
        <v/>
      </c>
      <c r="L3258" s="65" t="str">
        <f>IF(COUNTA(A3258:G3258)=0,"",IF(AND(ISNUMBER(D3258),ISNUMBER(J3258)),ROUND(D3258*J3258*(1-N(F3258)),2),0))</f>
        <v/>
      </c>
      <c r="M3258" s="62" t="str">
        <f>IF(A3258="","",IFERROR(INDEX(fa_cname,MATCH(A3258,fa_num,0))&amp;"",""))</f>
        <v/>
      </c>
      <c r="N3258" s="59" t="str">
        <f>IF(COUNTA(A3258:G3258)=0,"",IF(A3258="","N° facture manquant",IF(ISNA(MATCH(A3258,fa_num,0)),"Facture inconnue",IF(AND(B3258&lt;&gt;"",ISNA(MATCH(B3258,pr_code,0))),"Article inconnu",IF(H3258="","Désignation manquante",IF(OR(NOT(ISNUMBER(D3258)),N(D3258)&lt;=0),"Quantité invalide",IF(J3258="","Prix manquant",IF(OR(NOT(ISNUMBER(J3258)),N(J3258)&lt;0),"Prix invalide",IF(OR(AND(F3258&lt;&gt;"",NOT(ISNUMBER(F3258))),N(F3258)&lt;0,N(F3258)&gt;1),"Remise invalide",IF(K3258="","Taux de TVA manquant",IF(NOT(ISNUMBER(K3258)),"Taux de TVA invalide",IF(COUNTIF(p_rates,K3258)=0,"Taux de TVA hors liste (Paramètres)",IF(N(O3258)&gt;25,"Au-delà de 25 lignes : non imprimée","OK")))))))))))))</f>
        <v/>
      </c>
      <c r="O3258" s="59" t="str">
        <f>IF(A3258="","",COUNTIF($A$6:A3258,A3258))</f>
        <v/>
      </c>
      <c r="P3258" s="62" t="str">
        <f>IF(A3258="","",A3258&amp;"|"&amp;O3258)</f>
        <v/>
      </c>
    </row>
    <row r="3259">
      <c r="A3259" s="60" t="n"/>
      <c r="B3259" s="63" t="n"/>
      <c r="C3259" s="63" t="n"/>
      <c r="D3259" s="67" t="n"/>
      <c r="E3259" s="68" t="n"/>
      <c r="F3259" s="69" t="n"/>
      <c r="G3259" s="70" t="n"/>
      <c r="H3259" s="62" t="str">
        <f>IF(COUNTA(A3259:G3259)=0,"",IF(C3259&lt;&gt;"",C3259,IF(B3259="","",IFERROR(INDEX(pr_des,MATCH(B3259,pr_code,0))&amp;"",""))))</f>
        <v/>
      </c>
      <c r="I3259" s="59" t="str">
        <f>IF(B3259="","",IFERROR(INDEX(pr_unit,MATCH(B3259,pr_code,0))&amp;"",""))</f>
        <v/>
      </c>
      <c r="J3259" s="65" t="str">
        <f>IF(COUNTA(A3259:G3259)=0,"",IF(E3259&lt;&gt;"",E3259,IF(B3259="","",IFERROR(IF(INDEX(pr_price,MATCH(B3259,pr_code,0))="","",INDEX(pr_price,MATCH(B3259,pr_code,0))),""))))</f>
        <v/>
      </c>
      <c r="K3259" s="71" t="str">
        <f>IF(COUNTA(A3259:G3259)=0,"",IF(G3259&lt;&gt;"",G3259,IF(B3259="","",IFERROR(IF(INDEX(pr_rate,MATCH(B3259,pr_code,0))="","",INDEX(pr_rate,MATCH(B3259,pr_code,0))),""))))</f>
        <v/>
      </c>
      <c r="L3259" s="65" t="str">
        <f>IF(COUNTA(A3259:G3259)=0,"",IF(AND(ISNUMBER(D3259),ISNUMBER(J3259)),ROUND(D3259*J3259*(1-N(F3259)),2),0))</f>
        <v/>
      </c>
      <c r="M3259" s="62" t="str">
        <f>IF(A3259="","",IFERROR(INDEX(fa_cname,MATCH(A3259,fa_num,0))&amp;"",""))</f>
        <v/>
      </c>
      <c r="N3259" s="59" t="str">
        <f>IF(COUNTA(A3259:G3259)=0,"",IF(A3259="","N° facture manquant",IF(ISNA(MATCH(A3259,fa_num,0)),"Facture inconnue",IF(AND(B3259&lt;&gt;"",ISNA(MATCH(B3259,pr_code,0))),"Article inconnu",IF(H3259="","Désignation manquante",IF(OR(NOT(ISNUMBER(D3259)),N(D3259)&lt;=0),"Quantité invalide",IF(J3259="","Prix manquant",IF(OR(NOT(ISNUMBER(J3259)),N(J3259)&lt;0),"Prix invalide",IF(OR(AND(F3259&lt;&gt;"",NOT(ISNUMBER(F3259))),N(F3259)&lt;0,N(F3259)&gt;1),"Remise invalide",IF(K3259="","Taux de TVA manquant",IF(NOT(ISNUMBER(K3259)),"Taux de TVA invalide",IF(COUNTIF(p_rates,K3259)=0,"Taux de TVA hors liste (Paramètres)",IF(N(O3259)&gt;25,"Au-delà de 25 lignes : non imprimée","OK")))))))))))))</f>
        <v/>
      </c>
      <c r="O3259" s="59" t="str">
        <f>IF(A3259="","",COUNTIF($A$6:A3259,A3259))</f>
        <v/>
      </c>
      <c r="P3259" s="62" t="str">
        <f>IF(A3259="","",A3259&amp;"|"&amp;O3259)</f>
        <v/>
      </c>
    </row>
    <row r="3260">
      <c r="A3260" s="60" t="n"/>
      <c r="B3260" s="63" t="n"/>
      <c r="C3260" s="63" t="n"/>
      <c r="D3260" s="67" t="n"/>
      <c r="E3260" s="68" t="n"/>
      <c r="F3260" s="69" t="n"/>
      <c r="G3260" s="70" t="n"/>
      <c r="H3260" s="62" t="str">
        <f>IF(COUNTA(A3260:G3260)=0,"",IF(C3260&lt;&gt;"",C3260,IF(B3260="","",IFERROR(INDEX(pr_des,MATCH(B3260,pr_code,0))&amp;"",""))))</f>
        <v/>
      </c>
      <c r="I3260" s="59" t="str">
        <f>IF(B3260="","",IFERROR(INDEX(pr_unit,MATCH(B3260,pr_code,0))&amp;"",""))</f>
        <v/>
      </c>
      <c r="J3260" s="65" t="str">
        <f>IF(COUNTA(A3260:G3260)=0,"",IF(E3260&lt;&gt;"",E3260,IF(B3260="","",IFERROR(IF(INDEX(pr_price,MATCH(B3260,pr_code,0))="","",INDEX(pr_price,MATCH(B3260,pr_code,0))),""))))</f>
        <v/>
      </c>
      <c r="K3260" s="71" t="str">
        <f>IF(COUNTA(A3260:G3260)=0,"",IF(G3260&lt;&gt;"",G3260,IF(B3260="","",IFERROR(IF(INDEX(pr_rate,MATCH(B3260,pr_code,0))="","",INDEX(pr_rate,MATCH(B3260,pr_code,0))),""))))</f>
        <v/>
      </c>
      <c r="L3260" s="65" t="str">
        <f>IF(COUNTA(A3260:G3260)=0,"",IF(AND(ISNUMBER(D3260),ISNUMBER(J3260)),ROUND(D3260*J3260*(1-N(F3260)),2),0))</f>
        <v/>
      </c>
      <c r="M3260" s="62" t="str">
        <f>IF(A3260="","",IFERROR(INDEX(fa_cname,MATCH(A3260,fa_num,0))&amp;"",""))</f>
        <v/>
      </c>
      <c r="N3260" s="59" t="str">
        <f>IF(COUNTA(A3260:G3260)=0,"",IF(A3260="","N° facture manquant",IF(ISNA(MATCH(A3260,fa_num,0)),"Facture inconnue",IF(AND(B3260&lt;&gt;"",ISNA(MATCH(B3260,pr_code,0))),"Article inconnu",IF(H3260="","Désignation manquante",IF(OR(NOT(ISNUMBER(D3260)),N(D3260)&lt;=0),"Quantité invalide",IF(J3260="","Prix manquant",IF(OR(NOT(ISNUMBER(J3260)),N(J3260)&lt;0),"Prix invalide",IF(OR(AND(F3260&lt;&gt;"",NOT(ISNUMBER(F3260))),N(F3260)&lt;0,N(F3260)&gt;1),"Remise invalide",IF(K3260="","Taux de TVA manquant",IF(NOT(ISNUMBER(K3260)),"Taux de TVA invalide",IF(COUNTIF(p_rates,K3260)=0,"Taux de TVA hors liste (Paramètres)",IF(N(O3260)&gt;25,"Au-delà de 25 lignes : non imprimée","OK")))))))))))))</f>
        <v/>
      </c>
      <c r="O3260" s="59" t="str">
        <f>IF(A3260="","",COUNTIF($A$6:A3260,A3260))</f>
        <v/>
      </c>
      <c r="P3260" s="62" t="str">
        <f>IF(A3260="","",A3260&amp;"|"&amp;O3260)</f>
        <v/>
      </c>
    </row>
    <row r="3261">
      <c r="A3261" s="60" t="n"/>
      <c r="B3261" s="63" t="n"/>
      <c r="C3261" s="63" t="n"/>
      <c r="D3261" s="67" t="n"/>
      <c r="E3261" s="68" t="n"/>
      <c r="F3261" s="69" t="n"/>
      <c r="G3261" s="70" t="n"/>
      <c r="H3261" s="62" t="str">
        <f>IF(COUNTA(A3261:G3261)=0,"",IF(C3261&lt;&gt;"",C3261,IF(B3261="","",IFERROR(INDEX(pr_des,MATCH(B3261,pr_code,0))&amp;"",""))))</f>
        <v/>
      </c>
      <c r="I3261" s="59" t="str">
        <f>IF(B3261="","",IFERROR(INDEX(pr_unit,MATCH(B3261,pr_code,0))&amp;"",""))</f>
        <v/>
      </c>
      <c r="J3261" s="65" t="str">
        <f>IF(COUNTA(A3261:G3261)=0,"",IF(E3261&lt;&gt;"",E3261,IF(B3261="","",IFERROR(IF(INDEX(pr_price,MATCH(B3261,pr_code,0))="","",INDEX(pr_price,MATCH(B3261,pr_code,0))),""))))</f>
        <v/>
      </c>
      <c r="K3261" s="71" t="str">
        <f>IF(COUNTA(A3261:G3261)=0,"",IF(G3261&lt;&gt;"",G3261,IF(B3261="","",IFERROR(IF(INDEX(pr_rate,MATCH(B3261,pr_code,0))="","",INDEX(pr_rate,MATCH(B3261,pr_code,0))),""))))</f>
        <v/>
      </c>
      <c r="L3261" s="65" t="str">
        <f>IF(COUNTA(A3261:G3261)=0,"",IF(AND(ISNUMBER(D3261),ISNUMBER(J3261)),ROUND(D3261*J3261*(1-N(F3261)),2),0))</f>
        <v/>
      </c>
      <c r="M3261" s="62" t="str">
        <f>IF(A3261="","",IFERROR(INDEX(fa_cname,MATCH(A3261,fa_num,0))&amp;"",""))</f>
        <v/>
      </c>
      <c r="N3261" s="59" t="str">
        <f>IF(COUNTA(A3261:G3261)=0,"",IF(A3261="","N° facture manquant",IF(ISNA(MATCH(A3261,fa_num,0)),"Facture inconnue",IF(AND(B3261&lt;&gt;"",ISNA(MATCH(B3261,pr_code,0))),"Article inconnu",IF(H3261="","Désignation manquante",IF(OR(NOT(ISNUMBER(D3261)),N(D3261)&lt;=0),"Quantité invalide",IF(J3261="","Prix manquant",IF(OR(NOT(ISNUMBER(J3261)),N(J3261)&lt;0),"Prix invalide",IF(OR(AND(F3261&lt;&gt;"",NOT(ISNUMBER(F3261))),N(F3261)&lt;0,N(F3261)&gt;1),"Remise invalide",IF(K3261="","Taux de TVA manquant",IF(NOT(ISNUMBER(K3261)),"Taux de TVA invalide",IF(COUNTIF(p_rates,K3261)=0,"Taux de TVA hors liste (Paramètres)",IF(N(O3261)&gt;25,"Au-delà de 25 lignes : non imprimée","OK")))))))))))))</f>
        <v/>
      </c>
      <c r="O3261" s="59" t="str">
        <f>IF(A3261="","",COUNTIF($A$6:A3261,A3261))</f>
        <v/>
      </c>
      <c r="P3261" s="62" t="str">
        <f>IF(A3261="","",A3261&amp;"|"&amp;O3261)</f>
        <v/>
      </c>
    </row>
    <row r="3262">
      <c r="A3262" s="60" t="n"/>
      <c r="B3262" s="63" t="n"/>
      <c r="C3262" s="63" t="n"/>
      <c r="D3262" s="67" t="n"/>
      <c r="E3262" s="68" t="n"/>
      <c r="F3262" s="69" t="n"/>
      <c r="G3262" s="70" t="n"/>
      <c r="H3262" s="62" t="str">
        <f>IF(COUNTA(A3262:G3262)=0,"",IF(C3262&lt;&gt;"",C3262,IF(B3262="","",IFERROR(INDEX(pr_des,MATCH(B3262,pr_code,0))&amp;"",""))))</f>
        <v/>
      </c>
      <c r="I3262" s="59" t="str">
        <f>IF(B3262="","",IFERROR(INDEX(pr_unit,MATCH(B3262,pr_code,0))&amp;"",""))</f>
        <v/>
      </c>
      <c r="J3262" s="65" t="str">
        <f>IF(COUNTA(A3262:G3262)=0,"",IF(E3262&lt;&gt;"",E3262,IF(B3262="","",IFERROR(IF(INDEX(pr_price,MATCH(B3262,pr_code,0))="","",INDEX(pr_price,MATCH(B3262,pr_code,0))),""))))</f>
        <v/>
      </c>
      <c r="K3262" s="71" t="str">
        <f>IF(COUNTA(A3262:G3262)=0,"",IF(G3262&lt;&gt;"",G3262,IF(B3262="","",IFERROR(IF(INDEX(pr_rate,MATCH(B3262,pr_code,0))="","",INDEX(pr_rate,MATCH(B3262,pr_code,0))),""))))</f>
        <v/>
      </c>
      <c r="L3262" s="65" t="str">
        <f>IF(COUNTA(A3262:G3262)=0,"",IF(AND(ISNUMBER(D3262),ISNUMBER(J3262)),ROUND(D3262*J3262*(1-N(F3262)),2),0))</f>
        <v/>
      </c>
      <c r="M3262" s="62" t="str">
        <f>IF(A3262="","",IFERROR(INDEX(fa_cname,MATCH(A3262,fa_num,0))&amp;"",""))</f>
        <v/>
      </c>
      <c r="N3262" s="59" t="str">
        <f>IF(COUNTA(A3262:G3262)=0,"",IF(A3262="","N° facture manquant",IF(ISNA(MATCH(A3262,fa_num,0)),"Facture inconnue",IF(AND(B3262&lt;&gt;"",ISNA(MATCH(B3262,pr_code,0))),"Article inconnu",IF(H3262="","Désignation manquante",IF(OR(NOT(ISNUMBER(D3262)),N(D3262)&lt;=0),"Quantité invalide",IF(J3262="","Prix manquant",IF(OR(NOT(ISNUMBER(J3262)),N(J3262)&lt;0),"Prix invalide",IF(OR(AND(F3262&lt;&gt;"",NOT(ISNUMBER(F3262))),N(F3262)&lt;0,N(F3262)&gt;1),"Remise invalide",IF(K3262="","Taux de TVA manquant",IF(NOT(ISNUMBER(K3262)),"Taux de TVA invalide",IF(COUNTIF(p_rates,K3262)=0,"Taux de TVA hors liste (Paramètres)",IF(N(O3262)&gt;25,"Au-delà de 25 lignes : non imprimée","OK")))))))))))))</f>
        <v/>
      </c>
      <c r="O3262" s="59" t="str">
        <f>IF(A3262="","",COUNTIF($A$6:A3262,A3262))</f>
        <v/>
      </c>
      <c r="P3262" s="62" t="str">
        <f>IF(A3262="","",A3262&amp;"|"&amp;O3262)</f>
        <v/>
      </c>
    </row>
    <row r="3263">
      <c r="A3263" s="60" t="n"/>
      <c r="B3263" s="63" t="n"/>
      <c r="C3263" s="63" t="n"/>
      <c r="D3263" s="67" t="n"/>
      <c r="E3263" s="68" t="n"/>
      <c r="F3263" s="69" t="n"/>
      <c r="G3263" s="70" t="n"/>
      <c r="H3263" s="62" t="str">
        <f>IF(COUNTA(A3263:G3263)=0,"",IF(C3263&lt;&gt;"",C3263,IF(B3263="","",IFERROR(INDEX(pr_des,MATCH(B3263,pr_code,0))&amp;"",""))))</f>
        <v/>
      </c>
      <c r="I3263" s="59" t="str">
        <f>IF(B3263="","",IFERROR(INDEX(pr_unit,MATCH(B3263,pr_code,0))&amp;"",""))</f>
        <v/>
      </c>
      <c r="J3263" s="65" t="str">
        <f>IF(COUNTA(A3263:G3263)=0,"",IF(E3263&lt;&gt;"",E3263,IF(B3263="","",IFERROR(IF(INDEX(pr_price,MATCH(B3263,pr_code,0))="","",INDEX(pr_price,MATCH(B3263,pr_code,0))),""))))</f>
        <v/>
      </c>
      <c r="K3263" s="71" t="str">
        <f>IF(COUNTA(A3263:G3263)=0,"",IF(G3263&lt;&gt;"",G3263,IF(B3263="","",IFERROR(IF(INDEX(pr_rate,MATCH(B3263,pr_code,0))="","",INDEX(pr_rate,MATCH(B3263,pr_code,0))),""))))</f>
        <v/>
      </c>
      <c r="L3263" s="65" t="str">
        <f>IF(COUNTA(A3263:G3263)=0,"",IF(AND(ISNUMBER(D3263),ISNUMBER(J3263)),ROUND(D3263*J3263*(1-N(F3263)),2),0))</f>
        <v/>
      </c>
      <c r="M3263" s="62" t="str">
        <f>IF(A3263="","",IFERROR(INDEX(fa_cname,MATCH(A3263,fa_num,0))&amp;"",""))</f>
        <v/>
      </c>
      <c r="N3263" s="59" t="str">
        <f>IF(COUNTA(A3263:G3263)=0,"",IF(A3263="","N° facture manquant",IF(ISNA(MATCH(A3263,fa_num,0)),"Facture inconnue",IF(AND(B3263&lt;&gt;"",ISNA(MATCH(B3263,pr_code,0))),"Article inconnu",IF(H3263="","Désignation manquante",IF(OR(NOT(ISNUMBER(D3263)),N(D3263)&lt;=0),"Quantité invalide",IF(J3263="","Prix manquant",IF(OR(NOT(ISNUMBER(J3263)),N(J3263)&lt;0),"Prix invalide",IF(OR(AND(F3263&lt;&gt;"",NOT(ISNUMBER(F3263))),N(F3263)&lt;0,N(F3263)&gt;1),"Remise invalide",IF(K3263="","Taux de TVA manquant",IF(NOT(ISNUMBER(K3263)),"Taux de TVA invalide",IF(COUNTIF(p_rates,K3263)=0,"Taux de TVA hors liste (Paramètres)",IF(N(O3263)&gt;25,"Au-delà de 25 lignes : non imprimée","OK")))))))))))))</f>
        <v/>
      </c>
      <c r="O3263" s="59" t="str">
        <f>IF(A3263="","",COUNTIF($A$6:A3263,A3263))</f>
        <v/>
      </c>
      <c r="P3263" s="62" t="str">
        <f>IF(A3263="","",A3263&amp;"|"&amp;O3263)</f>
        <v/>
      </c>
    </row>
    <row r="3264">
      <c r="A3264" s="60" t="n"/>
      <c r="B3264" s="63" t="n"/>
      <c r="C3264" s="63" t="n"/>
      <c r="D3264" s="67" t="n"/>
      <c r="E3264" s="68" t="n"/>
      <c r="F3264" s="69" t="n"/>
      <c r="G3264" s="70" t="n"/>
      <c r="H3264" s="62" t="str">
        <f>IF(COUNTA(A3264:G3264)=0,"",IF(C3264&lt;&gt;"",C3264,IF(B3264="","",IFERROR(INDEX(pr_des,MATCH(B3264,pr_code,0))&amp;"",""))))</f>
        <v/>
      </c>
      <c r="I3264" s="59" t="str">
        <f>IF(B3264="","",IFERROR(INDEX(pr_unit,MATCH(B3264,pr_code,0))&amp;"",""))</f>
        <v/>
      </c>
      <c r="J3264" s="65" t="str">
        <f>IF(COUNTA(A3264:G3264)=0,"",IF(E3264&lt;&gt;"",E3264,IF(B3264="","",IFERROR(IF(INDEX(pr_price,MATCH(B3264,pr_code,0))="","",INDEX(pr_price,MATCH(B3264,pr_code,0))),""))))</f>
        <v/>
      </c>
      <c r="K3264" s="71" t="str">
        <f>IF(COUNTA(A3264:G3264)=0,"",IF(G3264&lt;&gt;"",G3264,IF(B3264="","",IFERROR(IF(INDEX(pr_rate,MATCH(B3264,pr_code,0))="","",INDEX(pr_rate,MATCH(B3264,pr_code,0))),""))))</f>
        <v/>
      </c>
      <c r="L3264" s="65" t="str">
        <f>IF(COUNTA(A3264:G3264)=0,"",IF(AND(ISNUMBER(D3264),ISNUMBER(J3264)),ROUND(D3264*J3264*(1-N(F3264)),2),0))</f>
        <v/>
      </c>
      <c r="M3264" s="62" t="str">
        <f>IF(A3264="","",IFERROR(INDEX(fa_cname,MATCH(A3264,fa_num,0))&amp;"",""))</f>
        <v/>
      </c>
      <c r="N3264" s="59" t="str">
        <f>IF(COUNTA(A3264:G3264)=0,"",IF(A3264="","N° facture manquant",IF(ISNA(MATCH(A3264,fa_num,0)),"Facture inconnue",IF(AND(B3264&lt;&gt;"",ISNA(MATCH(B3264,pr_code,0))),"Article inconnu",IF(H3264="","Désignation manquante",IF(OR(NOT(ISNUMBER(D3264)),N(D3264)&lt;=0),"Quantité invalide",IF(J3264="","Prix manquant",IF(OR(NOT(ISNUMBER(J3264)),N(J3264)&lt;0),"Prix invalide",IF(OR(AND(F3264&lt;&gt;"",NOT(ISNUMBER(F3264))),N(F3264)&lt;0,N(F3264)&gt;1),"Remise invalide",IF(K3264="","Taux de TVA manquant",IF(NOT(ISNUMBER(K3264)),"Taux de TVA invalide",IF(COUNTIF(p_rates,K3264)=0,"Taux de TVA hors liste (Paramètres)",IF(N(O3264)&gt;25,"Au-delà de 25 lignes : non imprimée","OK")))))))))))))</f>
        <v/>
      </c>
      <c r="O3264" s="59" t="str">
        <f>IF(A3264="","",COUNTIF($A$6:A3264,A3264))</f>
        <v/>
      </c>
      <c r="P3264" s="62" t="str">
        <f>IF(A3264="","",A3264&amp;"|"&amp;O3264)</f>
        <v/>
      </c>
    </row>
    <row r="3265">
      <c r="A3265" s="60" t="n"/>
      <c r="B3265" s="63" t="n"/>
      <c r="C3265" s="63" t="n"/>
      <c r="D3265" s="67" t="n"/>
      <c r="E3265" s="68" t="n"/>
      <c r="F3265" s="69" t="n"/>
      <c r="G3265" s="70" t="n"/>
      <c r="H3265" s="62" t="str">
        <f>IF(COUNTA(A3265:G3265)=0,"",IF(C3265&lt;&gt;"",C3265,IF(B3265="","",IFERROR(INDEX(pr_des,MATCH(B3265,pr_code,0))&amp;"",""))))</f>
        <v/>
      </c>
      <c r="I3265" s="59" t="str">
        <f>IF(B3265="","",IFERROR(INDEX(pr_unit,MATCH(B3265,pr_code,0))&amp;"",""))</f>
        <v/>
      </c>
      <c r="J3265" s="65" t="str">
        <f>IF(COUNTA(A3265:G3265)=0,"",IF(E3265&lt;&gt;"",E3265,IF(B3265="","",IFERROR(IF(INDEX(pr_price,MATCH(B3265,pr_code,0))="","",INDEX(pr_price,MATCH(B3265,pr_code,0))),""))))</f>
        <v/>
      </c>
      <c r="K3265" s="71" t="str">
        <f>IF(COUNTA(A3265:G3265)=0,"",IF(G3265&lt;&gt;"",G3265,IF(B3265="","",IFERROR(IF(INDEX(pr_rate,MATCH(B3265,pr_code,0))="","",INDEX(pr_rate,MATCH(B3265,pr_code,0))),""))))</f>
        <v/>
      </c>
      <c r="L3265" s="65" t="str">
        <f>IF(COUNTA(A3265:G3265)=0,"",IF(AND(ISNUMBER(D3265),ISNUMBER(J3265)),ROUND(D3265*J3265*(1-N(F3265)),2),0))</f>
        <v/>
      </c>
      <c r="M3265" s="62" t="str">
        <f>IF(A3265="","",IFERROR(INDEX(fa_cname,MATCH(A3265,fa_num,0))&amp;"",""))</f>
        <v/>
      </c>
      <c r="N3265" s="59" t="str">
        <f>IF(COUNTA(A3265:G3265)=0,"",IF(A3265="","N° facture manquant",IF(ISNA(MATCH(A3265,fa_num,0)),"Facture inconnue",IF(AND(B3265&lt;&gt;"",ISNA(MATCH(B3265,pr_code,0))),"Article inconnu",IF(H3265="","Désignation manquante",IF(OR(NOT(ISNUMBER(D3265)),N(D3265)&lt;=0),"Quantité invalide",IF(J3265="","Prix manquant",IF(OR(NOT(ISNUMBER(J3265)),N(J3265)&lt;0),"Prix invalide",IF(OR(AND(F3265&lt;&gt;"",NOT(ISNUMBER(F3265))),N(F3265)&lt;0,N(F3265)&gt;1),"Remise invalide",IF(K3265="","Taux de TVA manquant",IF(NOT(ISNUMBER(K3265)),"Taux de TVA invalide",IF(COUNTIF(p_rates,K3265)=0,"Taux de TVA hors liste (Paramètres)",IF(N(O3265)&gt;25,"Au-delà de 25 lignes : non imprimée","OK")))))))))))))</f>
        <v/>
      </c>
      <c r="O3265" s="59" t="str">
        <f>IF(A3265="","",COUNTIF($A$6:A3265,A3265))</f>
        <v/>
      </c>
      <c r="P3265" s="62" t="str">
        <f>IF(A3265="","",A3265&amp;"|"&amp;O3265)</f>
        <v/>
      </c>
    </row>
    <row r="3266">
      <c r="A3266" s="60" t="n"/>
      <c r="B3266" s="63" t="n"/>
      <c r="C3266" s="63" t="n"/>
      <c r="D3266" s="67" t="n"/>
      <c r="E3266" s="68" t="n"/>
      <c r="F3266" s="69" t="n"/>
      <c r="G3266" s="70" t="n"/>
      <c r="H3266" s="62" t="str">
        <f>IF(COUNTA(A3266:G3266)=0,"",IF(C3266&lt;&gt;"",C3266,IF(B3266="","",IFERROR(INDEX(pr_des,MATCH(B3266,pr_code,0))&amp;"",""))))</f>
        <v/>
      </c>
      <c r="I3266" s="59" t="str">
        <f>IF(B3266="","",IFERROR(INDEX(pr_unit,MATCH(B3266,pr_code,0))&amp;"",""))</f>
        <v/>
      </c>
      <c r="J3266" s="65" t="str">
        <f>IF(COUNTA(A3266:G3266)=0,"",IF(E3266&lt;&gt;"",E3266,IF(B3266="","",IFERROR(IF(INDEX(pr_price,MATCH(B3266,pr_code,0))="","",INDEX(pr_price,MATCH(B3266,pr_code,0))),""))))</f>
        <v/>
      </c>
      <c r="K3266" s="71" t="str">
        <f>IF(COUNTA(A3266:G3266)=0,"",IF(G3266&lt;&gt;"",G3266,IF(B3266="","",IFERROR(IF(INDEX(pr_rate,MATCH(B3266,pr_code,0))="","",INDEX(pr_rate,MATCH(B3266,pr_code,0))),""))))</f>
        <v/>
      </c>
      <c r="L3266" s="65" t="str">
        <f>IF(COUNTA(A3266:G3266)=0,"",IF(AND(ISNUMBER(D3266),ISNUMBER(J3266)),ROUND(D3266*J3266*(1-N(F3266)),2),0))</f>
        <v/>
      </c>
      <c r="M3266" s="62" t="str">
        <f>IF(A3266="","",IFERROR(INDEX(fa_cname,MATCH(A3266,fa_num,0))&amp;"",""))</f>
        <v/>
      </c>
      <c r="N3266" s="59" t="str">
        <f>IF(COUNTA(A3266:G3266)=0,"",IF(A3266="","N° facture manquant",IF(ISNA(MATCH(A3266,fa_num,0)),"Facture inconnue",IF(AND(B3266&lt;&gt;"",ISNA(MATCH(B3266,pr_code,0))),"Article inconnu",IF(H3266="","Désignation manquante",IF(OR(NOT(ISNUMBER(D3266)),N(D3266)&lt;=0),"Quantité invalide",IF(J3266="","Prix manquant",IF(OR(NOT(ISNUMBER(J3266)),N(J3266)&lt;0),"Prix invalide",IF(OR(AND(F3266&lt;&gt;"",NOT(ISNUMBER(F3266))),N(F3266)&lt;0,N(F3266)&gt;1),"Remise invalide",IF(K3266="","Taux de TVA manquant",IF(NOT(ISNUMBER(K3266)),"Taux de TVA invalide",IF(COUNTIF(p_rates,K3266)=0,"Taux de TVA hors liste (Paramètres)",IF(N(O3266)&gt;25,"Au-delà de 25 lignes : non imprimée","OK")))))))))))))</f>
        <v/>
      </c>
      <c r="O3266" s="59" t="str">
        <f>IF(A3266="","",COUNTIF($A$6:A3266,A3266))</f>
        <v/>
      </c>
      <c r="P3266" s="62" t="str">
        <f>IF(A3266="","",A3266&amp;"|"&amp;O3266)</f>
        <v/>
      </c>
    </row>
    <row r="3267">
      <c r="A3267" s="60" t="n"/>
      <c r="B3267" s="63" t="n"/>
      <c r="C3267" s="63" t="n"/>
      <c r="D3267" s="67" t="n"/>
      <c r="E3267" s="68" t="n"/>
      <c r="F3267" s="69" t="n"/>
      <c r="G3267" s="70" t="n"/>
      <c r="H3267" s="62" t="str">
        <f>IF(COUNTA(A3267:G3267)=0,"",IF(C3267&lt;&gt;"",C3267,IF(B3267="","",IFERROR(INDEX(pr_des,MATCH(B3267,pr_code,0))&amp;"",""))))</f>
        <v/>
      </c>
      <c r="I3267" s="59" t="str">
        <f>IF(B3267="","",IFERROR(INDEX(pr_unit,MATCH(B3267,pr_code,0))&amp;"",""))</f>
        <v/>
      </c>
      <c r="J3267" s="65" t="str">
        <f>IF(COUNTA(A3267:G3267)=0,"",IF(E3267&lt;&gt;"",E3267,IF(B3267="","",IFERROR(IF(INDEX(pr_price,MATCH(B3267,pr_code,0))="","",INDEX(pr_price,MATCH(B3267,pr_code,0))),""))))</f>
        <v/>
      </c>
      <c r="K3267" s="71" t="str">
        <f>IF(COUNTA(A3267:G3267)=0,"",IF(G3267&lt;&gt;"",G3267,IF(B3267="","",IFERROR(IF(INDEX(pr_rate,MATCH(B3267,pr_code,0))="","",INDEX(pr_rate,MATCH(B3267,pr_code,0))),""))))</f>
        <v/>
      </c>
      <c r="L3267" s="65" t="str">
        <f>IF(COUNTA(A3267:G3267)=0,"",IF(AND(ISNUMBER(D3267),ISNUMBER(J3267)),ROUND(D3267*J3267*(1-N(F3267)),2),0))</f>
        <v/>
      </c>
      <c r="M3267" s="62" t="str">
        <f>IF(A3267="","",IFERROR(INDEX(fa_cname,MATCH(A3267,fa_num,0))&amp;"",""))</f>
        <v/>
      </c>
      <c r="N3267" s="59" t="str">
        <f>IF(COUNTA(A3267:G3267)=0,"",IF(A3267="","N° facture manquant",IF(ISNA(MATCH(A3267,fa_num,0)),"Facture inconnue",IF(AND(B3267&lt;&gt;"",ISNA(MATCH(B3267,pr_code,0))),"Article inconnu",IF(H3267="","Désignation manquante",IF(OR(NOT(ISNUMBER(D3267)),N(D3267)&lt;=0),"Quantité invalide",IF(J3267="","Prix manquant",IF(OR(NOT(ISNUMBER(J3267)),N(J3267)&lt;0),"Prix invalide",IF(OR(AND(F3267&lt;&gt;"",NOT(ISNUMBER(F3267))),N(F3267)&lt;0,N(F3267)&gt;1),"Remise invalide",IF(K3267="","Taux de TVA manquant",IF(NOT(ISNUMBER(K3267)),"Taux de TVA invalide",IF(COUNTIF(p_rates,K3267)=0,"Taux de TVA hors liste (Paramètres)",IF(N(O3267)&gt;25,"Au-delà de 25 lignes : non imprimée","OK")))))))))))))</f>
        <v/>
      </c>
      <c r="O3267" s="59" t="str">
        <f>IF(A3267="","",COUNTIF($A$6:A3267,A3267))</f>
        <v/>
      </c>
      <c r="P3267" s="62" t="str">
        <f>IF(A3267="","",A3267&amp;"|"&amp;O3267)</f>
        <v/>
      </c>
    </row>
    <row r="3268">
      <c r="A3268" s="60" t="n"/>
      <c r="B3268" s="63" t="n"/>
      <c r="C3268" s="63" t="n"/>
      <c r="D3268" s="67" t="n"/>
      <c r="E3268" s="68" t="n"/>
      <c r="F3268" s="69" t="n"/>
      <c r="G3268" s="70" t="n"/>
      <c r="H3268" s="62" t="str">
        <f>IF(COUNTA(A3268:G3268)=0,"",IF(C3268&lt;&gt;"",C3268,IF(B3268="","",IFERROR(INDEX(pr_des,MATCH(B3268,pr_code,0))&amp;"",""))))</f>
        <v/>
      </c>
      <c r="I3268" s="59" t="str">
        <f>IF(B3268="","",IFERROR(INDEX(pr_unit,MATCH(B3268,pr_code,0))&amp;"",""))</f>
        <v/>
      </c>
      <c r="J3268" s="65" t="str">
        <f>IF(COUNTA(A3268:G3268)=0,"",IF(E3268&lt;&gt;"",E3268,IF(B3268="","",IFERROR(IF(INDEX(pr_price,MATCH(B3268,pr_code,0))="","",INDEX(pr_price,MATCH(B3268,pr_code,0))),""))))</f>
        <v/>
      </c>
      <c r="K3268" s="71" t="str">
        <f>IF(COUNTA(A3268:G3268)=0,"",IF(G3268&lt;&gt;"",G3268,IF(B3268="","",IFERROR(IF(INDEX(pr_rate,MATCH(B3268,pr_code,0))="","",INDEX(pr_rate,MATCH(B3268,pr_code,0))),""))))</f>
        <v/>
      </c>
      <c r="L3268" s="65" t="str">
        <f>IF(COUNTA(A3268:G3268)=0,"",IF(AND(ISNUMBER(D3268),ISNUMBER(J3268)),ROUND(D3268*J3268*(1-N(F3268)),2),0))</f>
        <v/>
      </c>
      <c r="M3268" s="62" t="str">
        <f>IF(A3268="","",IFERROR(INDEX(fa_cname,MATCH(A3268,fa_num,0))&amp;"",""))</f>
        <v/>
      </c>
      <c r="N3268" s="59" t="str">
        <f>IF(COUNTA(A3268:G3268)=0,"",IF(A3268="","N° facture manquant",IF(ISNA(MATCH(A3268,fa_num,0)),"Facture inconnue",IF(AND(B3268&lt;&gt;"",ISNA(MATCH(B3268,pr_code,0))),"Article inconnu",IF(H3268="","Désignation manquante",IF(OR(NOT(ISNUMBER(D3268)),N(D3268)&lt;=0),"Quantité invalide",IF(J3268="","Prix manquant",IF(OR(NOT(ISNUMBER(J3268)),N(J3268)&lt;0),"Prix invalide",IF(OR(AND(F3268&lt;&gt;"",NOT(ISNUMBER(F3268))),N(F3268)&lt;0,N(F3268)&gt;1),"Remise invalide",IF(K3268="","Taux de TVA manquant",IF(NOT(ISNUMBER(K3268)),"Taux de TVA invalide",IF(COUNTIF(p_rates,K3268)=0,"Taux de TVA hors liste (Paramètres)",IF(N(O3268)&gt;25,"Au-delà de 25 lignes : non imprimée","OK")))))))))))))</f>
        <v/>
      </c>
      <c r="O3268" s="59" t="str">
        <f>IF(A3268="","",COUNTIF($A$6:A3268,A3268))</f>
        <v/>
      </c>
      <c r="P3268" s="62" t="str">
        <f>IF(A3268="","",A3268&amp;"|"&amp;O3268)</f>
        <v/>
      </c>
    </row>
    <row r="3269">
      <c r="A3269" s="60" t="n"/>
      <c r="B3269" s="63" t="n"/>
      <c r="C3269" s="63" t="n"/>
      <c r="D3269" s="67" t="n"/>
      <c r="E3269" s="68" t="n"/>
      <c r="F3269" s="69" t="n"/>
      <c r="G3269" s="70" t="n"/>
      <c r="H3269" s="62" t="str">
        <f>IF(COUNTA(A3269:G3269)=0,"",IF(C3269&lt;&gt;"",C3269,IF(B3269="","",IFERROR(INDEX(pr_des,MATCH(B3269,pr_code,0))&amp;"",""))))</f>
        <v/>
      </c>
      <c r="I3269" s="59" t="str">
        <f>IF(B3269="","",IFERROR(INDEX(pr_unit,MATCH(B3269,pr_code,0))&amp;"",""))</f>
        <v/>
      </c>
      <c r="J3269" s="65" t="str">
        <f>IF(COUNTA(A3269:G3269)=0,"",IF(E3269&lt;&gt;"",E3269,IF(B3269="","",IFERROR(IF(INDEX(pr_price,MATCH(B3269,pr_code,0))="","",INDEX(pr_price,MATCH(B3269,pr_code,0))),""))))</f>
        <v/>
      </c>
      <c r="K3269" s="71" t="str">
        <f>IF(COUNTA(A3269:G3269)=0,"",IF(G3269&lt;&gt;"",G3269,IF(B3269="","",IFERROR(IF(INDEX(pr_rate,MATCH(B3269,pr_code,0))="","",INDEX(pr_rate,MATCH(B3269,pr_code,0))),""))))</f>
        <v/>
      </c>
      <c r="L3269" s="65" t="str">
        <f>IF(COUNTA(A3269:G3269)=0,"",IF(AND(ISNUMBER(D3269),ISNUMBER(J3269)),ROUND(D3269*J3269*(1-N(F3269)),2),0))</f>
        <v/>
      </c>
      <c r="M3269" s="62" t="str">
        <f>IF(A3269="","",IFERROR(INDEX(fa_cname,MATCH(A3269,fa_num,0))&amp;"",""))</f>
        <v/>
      </c>
      <c r="N3269" s="59" t="str">
        <f>IF(COUNTA(A3269:G3269)=0,"",IF(A3269="","N° facture manquant",IF(ISNA(MATCH(A3269,fa_num,0)),"Facture inconnue",IF(AND(B3269&lt;&gt;"",ISNA(MATCH(B3269,pr_code,0))),"Article inconnu",IF(H3269="","Désignation manquante",IF(OR(NOT(ISNUMBER(D3269)),N(D3269)&lt;=0),"Quantité invalide",IF(J3269="","Prix manquant",IF(OR(NOT(ISNUMBER(J3269)),N(J3269)&lt;0),"Prix invalide",IF(OR(AND(F3269&lt;&gt;"",NOT(ISNUMBER(F3269))),N(F3269)&lt;0,N(F3269)&gt;1),"Remise invalide",IF(K3269="","Taux de TVA manquant",IF(NOT(ISNUMBER(K3269)),"Taux de TVA invalide",IF(COUNTIF(p_rates,K3269)=0,"Taux de TVA hors liste (Paramètres)",IF(N(O3269)&gt;25,"Au-delà de 25 lignes : non imprimée","OK")))))))))))))</f>
        <v/>
      </c>
      <c r="O3269" s="59" t="str">
        <f>IF(A3269="","",COUNTIF($A$6:A3269,A3269))</f>
        <v/>
      </c>
      <c r="P3269" s="62" t="str">
        <f>IF(A3269="","",A3269&amp;"|"&amp;O3269)</f>
        <v/>
      </c>
    </row>
    <row r="3270">
      <c r="A3270" s="60" t="n"/>
      <c r="B3270" s="63" t="n"/>
      <c r="C3270" s="63" t="n"/>
      <c r="D3270" s="67" t="n"/>
      <c r="E3270" s="68" t="n"/>
      <c r="F3270" s="69" t="n"/>
      <c r="G3270" s="70" t="n"/>
      <c r="H3270" s="62" t="str">
        <f>IF(COUNTA(A3270:G3270)=0,"",IF(C3270&lt;&gt;"",C3270,IF(B3270="","",IFERROR(INDEX(pr_des,MATCH(B3270,pr_code,0))&amp;"",""))))</f>
        <v/>
      </c>
      <c r="I3270" s="59" t="str">
        <f>IF(B3270="","",IFERROR(INDEX(pr_unit,MATCH(B3270,pr_code,0))&amp;"",""))</f>
        <v/>
      </c>
      <c r="J3270" s="65" t="str">
        <f>IF(COUNTA(A3270:G3270)=0,"",IF(E3270&lt;&gt;"",E3270,IF(B3270="","",IFERROR(IF(INDEX(pr_price,MATCH(B3270,pr_code,0))="","",INDEX(pr_price,MATCH(B3270,pr_code,0))),""))))</f>
        <v/>
      </c>
      <c r="K3270" s="71" t="str">
        <f>IF(COUNTA(A3270:G3270)=0,"",IF(G3270&lt;&gt;"",G3270,IF(B3270="","",IFERROR(IF(INDEX(pr_rate,MATCH(B3270,pr_code,0))="","",INDEX(pr_rate,MATCH(B3270,pr_code,0))),""))))</f>
        <v/>
      </c>
      <c r="L3270" s="65" t="str">
        <f>IF(COUNTA(A3270:G3270)=0,"",IF(AND(ISNUMBER(D3270),ISNUMBER(J3270)),ROUND(D3270*J3270*(1-N(F3270)),2),0))</f>
        <v/>
      </c>
      <c r="M3270" s="62" t="str">
        <f>IF(A3270="","",IFERROR(INDEX(fa_cname,MATCH(A3270,fa_num,0))&amp;"",""))</f>
        <v/>
      </c>
      <c r="N3270" s="59" t="str">
        <f>IF(COUNTA(A3270:G3270)=0,"",IF(A3270="","N° facture manquant",IF(ISNA(MATCH(A3270,fa_num,0)),"Facture inconnue",IF(AND(B3270&lt;&gt;"",ISNA(MATCH(B3270,pr_code,0))),"Article inconnu",IF(H3270="","Désignation manquante",IF(OR(NOT(ISNUMBER(D3270)),N(D3270)&lt;=0),"Quantité invalide",IF(J3270="","Prix manquant",IF(OR(NOT(ISNUMBER(J3270)),N(J3270)&lt;0),"Prix invalide",IF(OR(AND(F3270&lt;&gt;"",NOT(ISNUMBER(F3270))),N(F3270)&lt;0,N(F3270)&gt;1),"Remise invalide",IF(K3270="","Taux de TVA manquant",IF(NOT(ISNUMBER(K3270)),"Taux de TVA invalide",IF(COUNTIF(p_rates,K3270)=0,"Taux de TVA hors liste (Paramètres)",IF(N(O3270)&gt;25,"Au-delà de 25 lignes : non imprimée","OK")))))))))))))</f>
        <v/>
      </c>
      <c r="O3270" s="59" t="str">
        <f>IF(A3270="","",COUNTIF($A$6:A3270,A3270))</f>
        <v/>
      </c>
      <c r="P3270" s="62" t="str">
        <f>IF(A3270="","",A3270&amp;"|"&amp;O3270)</f>
        <v/>
      </c>
    </row>
    <row r="3271">
      <c r="A3271" s="60" t="n"/>
      <c r="B3271" s="63" t="n"/>
      <c r="C3271" s="63" t="n"/>
      <c r="D3271" s="67" t="n"/>
      <c r="E3271" s="68" t="n"/>
      <c r="F3271" s="69" t="n"/>
      <c r="G3271" s="70" t="n"/>
      <c r="H3271" s="62" t="str">
        <f>IF(COUNTA(A3271:G3271)=0,"",IF(C3271&lt;&gt;"",C3271,IF(B3271="","",IFERROR(INDEX(pr_des,MATCH(B3271,pr_code,0))&amp;"",""))))</f>
        <v/>
      </c>
      <c r="I3271" s="59" t="str">
        <f>IF(B3271="","",IFERROR(INDEX(pr_unit,MATCH(B3271,pr_code,0))&amp;"",""))</f>
        <v/>
      </c>
      <c r="J3271" s="65" t="str">
        <f>IF(COUNTA(A3271:G3271)=0,"",IF(E3271&lt;&gt;"",E3271,IF(B3271="","",IFERROR(IF(INDEX(pr_price,MATCH(B3271,pr_code,0))="","",INDEX(pr_price,MATCH(B3271,pr_code,0))),""))))</f>
        <v/>
      </c>
      <c r="K3271" s="71" t="str">
        <f>IF(COUNTA(A3271:G3271)=0,"",IF(G3271&lt;&gt;"",G3271,IF(B3271="","",IFERROR(IF(INDEX(pr_rate,MATCH(B3271,pr_code,0))="","",INDEX(pr_rate,MATCH(B3271,pr_code,0))),""))))</f>
        <v/>
      </c>
      <c r="L3271" s="65" t="str">
        <f>IF(COUNTA(A3271:G3271)=0,"",IF(AND(ISNUMBER(D3271),ISNUMBER(J3271)),ROUND(D3271*J3271*(1-N(F3271)),2),0))</f>
        <v/>
      </c>
      <c r="M3271" s="62" t="str">
        <f>IF(A3271="","",IFERROR(INDEX(fa_cname,MATCH(A3271,fa_num,0))&amp;"",""))</f>
        <v/>
      </c>
      <c r="N3271" s="59" t="str">
        <f>IF(COUNTA(A3271:G3271)=0,"",IF(A3271="","N° facture manquant",IF(ISNA(MATCH(A3271,fa_num,0)),"Facture inconnue",IF(AND(B3271&lt;&gt;"",ISNA(MATCH(B3271,pr_code,0))),"Article inconnu",IF(H3271="","Désignation manquante",IF(OR(NOT(ISNUMBER(D3271)),N(D3271)&lt;=0),"Quantité invalide",IF(J3271="","Prix manquant",IF(OR(NOT(ISNUMBER(J3271)),N(J3271)&lt;0),"Prix invalide",IF(OR(AND(F3271&lt;&gt;"",NOT(ISNUMBER(F3271))),N(F3271)&lt;0,N(F3271)&gt;1),"Remise invalide",IF(K3271="","Taux de TVA manquant",IF(NOT(ISNUMBER(K3271)),"Taux de TVA invalide",IF(COUNTIF(p_rates,K3271)=0,"Taux de TVA hors liste (Paramètres)",IF(N(O3271)&gt;25,"Au-delà de 25 lignes : non imprimée","OK")))))))))))))</f>
        <v/>
      </c>
      <c r="O3271" s="59" t="str">
        <f>IF(A3271="","",COUNTIF($A$6:A3271,A3271))</f>
        <v/>
      </c>
      <c r="P3271" s="62" t="str">
        <f>IF(A3271="","",A3271&amp;"|"&amp;O3271)</f>
        <v/>
      </c>
    </row>
    <row r="3272">
      <c r="A3272" s="60" t="n"/>
      <c r="B3272" s="63" t="n"/>
      <c r="C3272" s="63" t="n"/>
      <c r="D3272" s="67" t="n"/>
      <c r="E3272" s="68" t="n"/>
      <c r="F3272" s="69" t="n"/>
      <c r="G3272" s="70" t="n"/>
      <c r="H3272" s="62" t="str">
        <f>IF(COUNTA(A3272:G3272)=0,"",IF(C3272&lt;&gt;"",C3272,IF(B3272="","",IFERROR(INDEX(pr_des,MATCH(B3272,pr_code,0))&amp;"",""))))</f>
        <v/>
      </c>
      <c r="I3272" s="59" t="str">
        <f>IF(B3272="","",IFERROR(INDEX(pr_unit,MATCH(B3272,pr_code,0))&amp;"",""))</f>
        <v/>
      </c>
      <c r="J3272" s="65" t="str">
        <f>IF(COUNTA(A3272:G3272)=0,"",IF(E3272&lt;&gt;"",E3272,IF(B3272="","",IFERROR(IF(INDEX(pr_price,MATCH(B3272,pr_code,0))="","",INDEX(pr_price,MATCH(B3272,pr_code,0))),""))))</f>
        <v/>
      </c>
      <c r="K3272" s="71" t="str">
        <f>IF(COUNTA(A3272:G3272)=0,"",IF(G3272&lt;&gt;"",G3272,IF(B3272="","",IFERROR(IF(INDEX(pr_rate,MATCH(B3272,pr_code,0))="","",INDEX(pr_rate,MATCH(B3272,pr_code,0))),""))))</f>
        <v/>
      </c>
      <c r="L3272" s="65" t="str">
        <f>IF(COUNTA(A3272:G3272)=0,"",IF(AND(ISNUMBER(D3272),ISNUMBER(J3272)),ROUND(D3272*J3272*(1-N(F3272)),2),0))</f>
        <v/>
      </c>
      <c r="M3272" s="62" t="str">
        <f>IF(A3272="","",IFERROR(INDEX(fa_cname,MATCH(A3272,fa_num,0))&amp;"",""))</f>
        <v/>
      </c>
      <c r="N3272" s="59" t="str">
        <f>IF(COUNTA(A3272:G3272)=0,"",IF(A3272="","N° facture manquant",IF(ISNA(MATCH(A3272,fa_num,0)),"Facture inconnue",IF(AND(B3272&lt;&gt;"",ISNA(MATCH(B3272,pr_code,0))),"Article inconnu",IF(H3272="","Désignation manquante",IF(OR(NOT(ISNUMBER(D3272)),N(D3272)&lt;=0),"Quantité invalide",IF(J3272="","Prix manquant",IF(OR(NOT(ISNUMBER(J3272)),N(J3272)&lt;0),"Prix invalide",IF(OR(AND(F3272&lt;&gt;"",NOT(ISNUMBER(F3272))),N(F3272)&lt;0,N(F3272)&gt;1),"Remise invalide",IF(K3272="","Taux de TVA manquant",IF(NOT(ISNUMBER(K3272)),"Taux de TVA invalide",IF(COUNTIF(p_rates,K3272)=0,"Taux de TVA hors liste (Paramètres)",IF(N(O3272)&gt;25,"Au-delà de 25 lignes : non imprimée","OK")))))))))))))</f>
        <v/>
      </c>
      <c r="O3272" s="59" t="str">
        <f>IF(A3272="","",COUNTIF($A$6:A3272,A3272))</f>
        <v/>
      </c>
      <c r="P3272" s="62" t="str">
        <f>IF(A3272="","",A3272&amp;"|"&amp;O3272)</f>
        <v/>
      </c>
    </row>
    <row r="3273">
      <c r="A3273" s="60" t="n"/>
      <c r="B3273" s="63" t="n"/>
      <c r="C3273" s="63" t="n"/>
      <c r="D3273" s="67" t="n"/>
      <c r="E3273" s="68" t="n"/>
      <c r="F3273" s="69" t="n"/>
      <c r="G3273" s="70" t="n"/>
      <c r="H3273" s="62" t="str">
        <f>IF(COUNTA(A3273:G3273)=0,"",IF(C3273&lt;&gt;"",C3273,IF(B3273="","",IFERROR(INDEX(pr_des,MATCH(B3273,pr_code,0))&amp;"",""))))</f>
        <v/>
      </c>
      <c r="I3273" s="59" t="str">
        <f>IF(B3273="","",IFERROR(INDEX(pr_unit,MATCH(B3273,pr_code,0))&amp;"",""))</f>
        <v/>
      </c>
      <c r="J3273" s="65" t="str">
        <f>IF(COUNTA(A3273:G3273)=0,"",IF(E3273&lt;&gt;"",E3273,IF(B3273="","",IFERROR(IF(INDEX(pr_price,MATCH(B3273,pr_code,0))="","",INDEX(pr_price,MATCH(B3273,pr_code,0))),""))))</f>
        <v/>
      </c>
      <c r="K3273" s="71" t="str">
        <f>IF(COUNTA(A3273:G3273)=0,"",IF(G3273&lt;&gt;"",G3273,IF(B3273="","",IFERROR(IF(INDEX(pr_rate,MATCH(B3273,pr_code,0))="","",INDEX(pr_rate,MATCH(B3273,pr_code,0))),""))))</f>
        <v/>
      </c>
      <c r="L3273" s="65" t="str">
        <f>IF(COUNTA(A3273:G3273)=0,"",IF(AND(ISNUMBER(D3273),ISNUMBER(J3273)),ROUND(D3273*J3273*(1-N(F3273)),2),0))</f>
        <v/>
      </c>
      <c r="M3273" s="62" t="str">
        <f>IF(A3273="","",IFERROR(INDEX(fa_cname,MATCH(A3273,fa_num,0))&amp;"",""))</f>
        <v/>
      </c>
      <c r="N3273" s="59" t="str">
        <f>IF(COUNTA(A3273:G3273)=0,"",IF(A3273="","N° facture manquant",IF(ISNA(MATCH(A3273,fa_num,0)),"Facture inconnue",IF(AND(B3273&lt;&gt;"",ISNA(MATCH(B3273,pr_code,0))),"Article inconnu",IF(H3273="","Désignation manquante",IF(OR(NOT(ISNUMBER(D3273)),N(D3273)&lt;=0),"Quantité invalide",IF(J3273="","Prix manquant",IF(OR(NOT(ISNUMBER(J3273)),N(J3273)&lt;0),"Prix invalide",IF(OR(AND(F3273&lt;&gt;"",NOT(ISNUMBER(F3273))),N(F3273)&lt;0,N(F3273)&gt;1),"Remise invalide",IF(K3273="","Taux de TVA manquant",IF(NOT(ISNUMBER(K3273)),"Taux de TVA invalide",IF(COUNTIF(p_rates,K3273)=0,"Taux de TVA hors liste (Paramètres)",IF(N(O3273)&gt;25,"Au-delà de 25 lignes : non imprimée","OK")))))))))))))</f>
        <v/>
      </c>
      <c r="O3273" s="59" t="str">
        <f>IF(A3273="","",COUNTIF($A$6:A3273,A3273))</f>
        <v/>
      </c>
      <c r="P3273" s="62" t="str">
        <f>IF(A3273="","",A3273&amp;"|"&amp;O3273)</f>
        <v/>
      </c>
    </row>
    <row r="3274">
      <c r="A3274" s="60" t="n"/>
      <c r="B3274" s="63" t="n"/>
      <c r="C3274" s="63" t="n"/>
      <c r="D3274" s="67" t="n"/>
      <c r="E3274" s="68" t="n"/>
      <c r="F3274" s="69" t="n"/>
      <c r="G3274" s="70" t="n"/>
      <c r="H3274" s="62" t="str">
        <f>IF(COUNTA(A3274:G3274)=0,"",IF(C3274&lt;&gt;"",C3274,IF(B3274="","",IFERROR(INDEX(pr_des,MATCH(B3274,pr_code,0))&amp;"",""))))</f>
        <v/>
      </c>
      <c r="I3274" s="59" t="str">
        <f>IF(B3274="","",IFERROR(INDEX(pr_unit,MATCH(B3274,pr_code,0))&amp;"",""))</f>
        <v/>
      </c>
      <c r="J3274" s="65" t="str">
        <f>IF(COUNTA(A3274:G3274)=0,"",IF(E3274&lt;&gt;"",E3274,IF(B3274="","",IFERROR(IF(INDEX(pr_price,MATCH(B3274,pr_code,0))="","",INDEX(pr_price,MATCH(B3274,pr_code,0))),""))))</f>
        <v/>
      </c>
      <c r="K3274" s="71" t="str">
        <f>IF(COUNTA(A3274:G3274)=0,"",IF(G3274&lt;&gt;"",G3274,IF(B3274="","",IFERROR(IF(INDEX(pr_rate,MATCH(B3274,pr_code,0))="","",INDEX(pr_rate,MATCH(B3274,pr_code,0))),""))))</f>
        <v/>
      </c>
      <c r="L3274" s="65" t="str">
        <f>IF(COUNTA(A3274:G3274)=0,"",IF(AND(ISNUMBER(D3274),ISNUMBER(J3274)),ROUND(D3274*J3274*(1-N(F3274)),2),0))</f>
        <v/>
      </c>
      <c r="M3274" s="62" t="str">
        <f>IF(A3274="","",IFERROR(INDEX(fa_cname,MATCH(A3274,fa_num,0))&amp;"",""))</f>
        <v/>
      </c>
      <c r="N3274" s="59" t="str">
        <f>IF(COUNTA(A3274:G3274)=0,"",IF(A3274="","N° facture manquant",IF(ISNA(MATCH(A3274,fa_num,0)),"Facture inconnue",IF(AND(B3274&lt;&gt;"",ISNA(MATCH(B3274,pr_code,0))),"Article inconnu",IF(H3274="","Désignation manquante",IF(OR(NOT(ISNUMBER(D3274)),N(D3274)&lt;=0),"Quantité invalide",IF(J3274="","Prix manquant",IF(OR(NOT(ISNUMBER(J3274)),N(J3274)&lt;0),"Prix invalide",IF(OR(AND(F3274&lt;&gt;"",NOT(ISNUMBER(F3274))),N(F3274)&lt;0,N(F3274)&gt;1),"Remise invalide",IF(K3274="","Taux de TVA manquant",IF(NOT(ISNUMBER(K3274)),"Taux de TVA invalide",IF(COUNTIF(p_rates,K3274)=0,"Taux de TVA hors liste (Paramètres)",IF(N(O3274)&gt;25,"Au-delà de 25 lignes : non imprimée","OK")))))))))))))</f>
        <v/>
      </c>
      <c r="O3274" s="59" t="str">
        <f>IF(A3274="","",COUNTIF($A$6:A3274,A3274))</f>
        <v/>
      </c>
      <c r="P3274" s="62" t="str">
        <f>IF(A3274="","",A3274&amp;"|"&amp;O3274)</f>
        <v/>
      </c>
    </row>
    <row r="3275">
      <c r="A3275" s="60" t="n"/>
      <c r="B3275" s="63" t="n"/>
      <c r="C3275" s="63" t="n"/>
      <c r="D3275" s="67" t="n"/>
      <c r="E3275" s="68" t="n"/>
      <c r="F3275" s="69" t="n"/>
      <c r="G3275" s="70" t="n"/>
      <c r="H3275" s="62" t="str">
        <f>IF(COUNTA(A3275:G3275)=0,"",IF(C3275&lt;&gt;"",C3275,IF(B3275="","",IFERROR(INDEX(pr_des,MATCH(B3275,pr_code,0))&amp;"",""))))</f>
        <v/>
      </c>
      <c r="I3275" s="59" t="str">
        <f>IF(B3275="","",IFERROR(INDEX(pr_unit,MATCH(B3275,pr_code,0))&amp;"",""))</f>
        <v/>
      </c>
      <c r="J3275" s="65" t="str">
        <f>IF(COUNTA(A3275:G3275)=0,"",IF(E3275&lt;&gt;"",E3275,IF(B3275="","",IFERROR(IF(INDEX(pr_price,MATCH(B3275,pr_code,0))="","",INDEX(pr_price,MATCH(B3275,pr_code,0))),""))))</f>
        <v/>
      </c>
      <c r="K3275" s="71" t="str">
        <f>IF(COUNTA(A3275:G3275)=0,"",IF(G3275&lt;&gt;"",G3275,IF(B3275="","",IFERROR(IF(INDEX(pr_rate,MATCH(B3275,pr_code,0))="","",INDEX(pr_rate,MATCH(B3275,pr_code,0))),""))))</f>
        <v/>
      </c>
      <c r="L3275" s="65" t="str">
        <f>IF(COUNTA(A3275:G3275)=0,"",IF(AND(ISNUMBER(D3275),ISNUMBER(J3275)),ROUND(D3275*J3275*(1-N(F3275)),2),0))</f>
        <v/>
      </c>
      <c r="M3275" s="62" t="str">
        <f>IF(A3275="","",IFERROR(INDEX(fa_cname,MATCH(A3275,fa_num,0))&amp;"",""))</f>
        <v/>
      </c>
      <c r="N3275" s="59" t="str">
        <f>IF(COUNTA(A3275:G3275)=0,"",IF(A3275="","N° facture manquant",IF(ISNA(MATCH(A3275,fa_num,0)),"Facture inconnue",IF(AND(B3275&lt;&gt;"",ISNA(MATCH(B3275,pr_code,0))),"Article inconnu",IF(H3275="","Désignation manquante",IF(OR(NOT(ISNUMBER(D3275)),N(D3275)&lt;=0),"Quantité invalide",IF(J3275="","Prix manquant",IF(OR(NOT(ISNUMBER(J3275)),N(J3275)&lt;0),"Prix invalide",IF(OR(AND(F3275&lt;&gt;"",NOT(ISNUMBER(F3275))),N(F3275)&lt;0,N(F3275)&gt;1),"Remise invalide",IF(K3275="","Taux de TVA manquant",IF(NOT(ISNUMBER(K3275)),"Taux de TVA invalide",IF(COUNTIF(p_rates,K3275)=0,"Taux de TVA hors liste (Paramètres)",IF(N(O3275)&gt;25,"Au-delà de 25 lignes : non imprimée","OK")))))))))))))</f>
        <v/>
      </c>
      <c r="O3275" s="59" t="str">
        <f>IF(A3275="","",COUNTIF($A$6:A3275,A3275))</f>
        <v/>
      </c>
      <c r="P3275" s="62" t="str">
        <f>IF(A3275="","",A3275&amp;"|"&amp;O3275)</f>
        <v/>
      </c>
    </row>
    <row r="3276">
      <c r="A3276" s="60" t="n"/>
      <c r="B3276" s="63" t="n"/>
      <c r="C3276" s="63" t="n"/>
      <c r="D3276" s="67" t="n"/>
      <c r="E3276" s="68" t="n"/>
      <c r="F3276" s="69" t="n"/>
      <c r="G3276" s="70" t="n"/>
      <c r="H3276" s="62" t="str">
        <f>IF(COUNTA(A3276:G3276)=0,"",IF(C3276&lt;&gt;"",C3276,IF(B3276="","",IFERROR(INDEX(pr_des,MATCH(B3276,pr_code,0))&amp;"",""))))</f>
        <v/>
      </c>
      <c r="I3276" s="59" t="str">
        <f>IF(B3276="","",IFERROR(INDEX(pr_unit,MATCH(B3276,pr_code,0))&amp;"",""))</f>
        <v/>
      </c>
      <c r="J3276" s="65" t="str">
        <f>IF(COUNTA(A3276:G3276)=0,"",IF(E3276&lt;&gt;"",E3276,IF(B3276="","",IFERROR(IF(INDEX(pr_price,MATCH(B3276,pr_code,0))="","",INDEX(pr_price,MATCH(B3276,pr_code,0))),""))))</f>
        <v/>
      </c>
      <c r="K3276" s="71" t="str">
        <f>IF(COUNTA(A3276:G3276)=0,"",IF(G3276&lt;&gt;"",G3276,IF(B3276="","",IFERROR(IF(INDEX(pr_rate,MATCH(B3276,pr_code,0))="","",INDEX(pr_rate,MATCH(B3276,pr_code,0))),""))))</f>
        <v/>
      </c>
      <c r="L3276" s="65" t="str">
        <f>IF(COUNTA(A3276:G3276)=0,"",IF(AND(ISNUMBER(D3276),ISNUMBER(J3276)),ROUND(D3276*J3276*(1-N(F3276)),2),0))</f>
        <v/>
      </c>
      <c r="M3276" s="62" t="str">
        <f>IF(A3276="","",IFERROR(INDEX(fa_cname,MATCH(A3276,fa_num,0))&amp;"",""))</f>
        <v/>
      </c>
      <c r="N3276" s="59" t="str">
        <f>IF(COUNTA(A3276:G3276)=0,"",IF(A3276="","N° facture manquant",IF(ISNA(MATCH(A3276,fa_num,0)),"Facture inconnue",IF(AND(B3276&lt;&gt;"",ISNA(MATCH(B3276,pr_code,0))),"Article inconnu",IF(H3276="","Désignation manquante",IF(OR(NOT(ISNUMBER(D3276)),N(D3276)&lt;=0),"Quantité invalide",IF(J3276="","Prix manquant",IF(OR(NOT(ISNUMBER(J3276)),N(J3276)&lt;0),"Prix invalide",IF(OR(AND(F3276&lt;&gt;"",NOT(ISNUMBER(F3276))),N(F3276)&lt;0,N(F3276)&gt;1),"Remise invalide",IF(K3276="","Taux de TVA manquant",IF(NOT(ISNUMBER(K3276)),"Taux de TVA invalide",IF(COUNTIF(p_rates,K3276)=0,"Taux de TVA hors liste (Paramètres)",IF(N(O3276)&gt;25,"Au-delà de 25 lignes : non imprimée","OK")))))))))))))</f>
        <v/>
      </c>
      <c r="O3276" s="59" t="str">
        <f>IF(A3276="","",COUNTIF($A$6:A3276,A3276))</f>
        <v/>
      </c>
      <c r="P3276" s="62" t="str">
        <f>IF(A3276="","",A3276&amp;"|"&amp;O3276)</f>
        <v/>
      </c>
    </row>
    <row r="3277">
      <c r="A3277" s="60" t="n"/>
      <c r="B3277" s="63" t="n"/>
      <c r="C3277" s="63" t="n"/>
      <c r="D3277" s="67" t="n"/>
      <c r="E3277" s="68" t="n"/>
      <c r="F3277" s="69" t="n"/>
      <c r="G3277" s="70" t="n"/>
      <c r="H3277" s="62" t="str">
        <f>IF(COUNTA(A3277:G3277)=0,"",IF(C3277&lt;&gt;"",C3277,IF(B3277="","",IFERROR(INDEX(pr_des,MATCH(B3277,pr_code,0))&amp;"",""))))</f>
        <v/>
      </c>
      <c r="I3277" s="59" t="str">
        <f>IF(B3277="","",IFERROR(INDEX(pr_unit,MATCH(B3277,pr_code,0))&amp;"",""))</f>
        <v/>
      </c>
      <c r="J3277" s="65" t="str">
        <f>IF(COUNTA(A3277:G3277)=0,"",IF(E3277&lt;&gt;"",E3277,IF(B3277="","",IFERROR(IF(INDEX(pr_price,MATCH(B3277,pr_code,0))="","",INDEX(pr_price,MATCH(B3277,pr_code,0))),""))))</f>
        <v/>
      </c>
      <c r="K3277" s="71" t="str">
        <f>IF(COUNTA(A3277:G3277)=0,"",IF(G3277&lt;&gt;"",G3277,IF(B3277="","",IFERROR(IF(INDEX(pr_rate,MATCH(B3277,pr_code,0))="","",INDEX(pr_rate,MATCH(B3277,pr_code,0))),""))))</f>
        <v/>
      </c>
      <c r="L3277" s="65" t="str">
        <f>IF(COUNTA(A3277:G3277)=0,"",IF(AND(ISNUMBER(D3277),ISNUMBER(J3277)),ROUND(D3277*J3277*(1-N(F3277)),2),0))</f>
        <v/>
      </c>
      <c r="M3277" s="62" t="str">
        <f>IF(A3277="","",IFERROR(INDEX(fa_cname,MATCH(A3277,fa_num,0))&amp;"",""))</f>
        <v/>
      </c>
      <c r="N3277" s="59" t="str">
        <f>IF(COUNTA(A3277:G3277)=0,"",IF(A3277="","N° facture manquant",IF(ISNA(MATCH(A3277,fa_num,0)),"Facture inconnue",IF(AND(B3277&lt;&gt;"",ISNA(MATCH(B3277,pr_code,0))),"Article inconnu",IF(H3277="","Désignation manquante",IF(OR(NOT(ISNUMBER(D3277)),N(D3277)&lt;=0),"Quantité invalide",IF(J3277="","Prix manquant",IF(OR(NOT(ISNUMBER(J3277)),N(J3277)&lt;0),"Prix invalide",IF(OR(AND(F3277&lt;&gt;"",NOT(ISNUMBER(F3277))),N(F3277)&lt;0,N(F3277)&gt;1),"Remise invalide",IF(K3277="","Taux de TVA manquant",IF(NOT(ISNUMBER(K3277)),"Taux de TVA invalide",IF(COUNTIF(p_rates,K3277)=0,"Taux de TVA hors liste (Paramètres)",IF(N(O3277)&gt;25,"Au-delà de 25 lignes : non imprimée","OK")))))))))))))</f>
        <v/>
      </c>
      <c r="O3277" s="59" t="str">
        <f>IF(A3277="","",COUNTIF($A$6:A3277,A3277))</f>
        <v/>
      </c>
      <c r="P3277" s="62" t="str">
        <f>IF(A3277="","",A3277&amp;"|"&amp;O3277)</f>
        <v/>
      </c>
    </row>
    <row r="3278">
      <c r="A3278" s="60" t="n"/>
      <c r="B3278" s="63" t="n"/>
      <c r="C3278" s="63" t="n"/>
      <c r="D3278" s="67" t="n"/>
      <c r="E3278" s="68" t="n"/>
      <c r="F3278" s="69" t="n"/>
      <c r="G3278" s="70" t="n"/>
      <c r="H3278" s="62" t="str">
        <f>IF(COUNTA(A3278:G3278)=0,"",IF(C3278&lt;&gt;"",C3278,IF(B3278="","",IFERROR(INDEX(pr_des,MATCH(B3278,pr_code,0))&amp;"",""))))</f>
        <v/>
      </c>
      <c r="I3278" s="59" t="str">
        <f>IF(B3278="","",IFERROR(INDEX(pr_unit,MATCH(B3278,pr_code,0))&amp;"",""))</f>
        <v/>
      </c>
      <c r="J3278" s="65" t="str">
        <f>IF(COUNTA(A3278:G3278)=0,"",IF(E3278&lt;&gt;"",E3278,IF(B3278="","",IFERROR(IF(INDEX(pr_price,MATCH(B3278,pr_code,0))="","",INDEX(pr_price,MATCH(B3278,pr_code,0))),""))))</f>
        <v/>
      </c>
      <c r="K3278" s="71" t="str">
        <f>IF(COUNTA(A3278:G3278)=0,"",IF(G3278&lt;&gt;"",G3278,IF(B3278="","",IFERROR(IF(INDEX(pr_rate,MATCH(B3278,pr_code,0))="","",INDEX(pr_rate,MATCH(B3278,pr_code,0))),""))))</f>
        <v/>
      </c>
      <c r="L3278" s="65" t="str">
        <f>IF(COUNTA(A3278:G3278)=0,"",IF(AND(ISNUMBER(D3278),ISNUMBER(J3278)),ROUND(D3278*J3278*(1-N(F3278)),2),0))</f>
        <v/>
      </c>
      <c r="M3278" s="62" t="str">
        <f>IF(A3278="","",IFERROR(INDEX(fa_cname,MATCH(A3278,fa_num,0))&amp;"",""))</f>
        <v/>
      </c>
      <c r="N3278" s="59" t="str">
        <f>IF(COUNTA(A3278:G3278)=0,"",IF(A3278="","N° facture manquant",IF(ISNA(MATCH(A3278,fa_num,0)),"Facture inconnue",IF(AND(B3278&lt;&gt;"",ISNA(MATCH(B3278,pr_code,0))),"Article inconnu",IF(H3278="","Désignation manquante",IF(OR(NOT(ISNUMBER(D3278)),N(D3278)&lt;=0),"Quantité invalide",IF(J3278="","Prix manquant",IF(OR(NOT(ISNUMBER(J3278)),N(J3278)&lt;0),"Prix invalide",IF(OR(AND(F3278&lt;&gt;"",NOT(ISNUMBER(F3278))),N(F3278)&lt;0,N(F3278)&gt;1),"Remise invalide",IF(K3278="","Taux de TVA manquant",IF(NOT(ISNUMBER(K3278)),"Taux de TVA invalide",IF(COUNTIF(p_rates,K3278)=0,"Taux de TVA hors liste (Paramètres)",IF(N(O3278)&gt;25,"Au-delà de 25 lignes : non imprimée","OK")))))))))))))</f>
        <v/>
      </c>
      <c r="O3278" s="59" t="str">
        <f>IF(A3278="","",COUNTIF($A$6:A3278,A3278))</f>
        <v/>
      </c>
      <c r="P3278" s="62" t="str">
        <f>IF(A3278="","",A3278&amp;"|"&amp;O3278)</f>
        <v/>
      </c>
    </row>
    <row r="3279">
      <c r="A3279" s="60" t="n"/>
      <c r="B3279" s="63" t="n"/>
      <c r="C3279" s="63" t="n"/>
      <c r="D3279" s="67" t="n"/>
      <c r="E3279" s="68" t="n"/>
      <c r="F3279" s="69" t="n"/>
      <c r="G3279" s="70" t="n"/>
      <c r="H3279" s="62" t="str">
        <f>IF(COUNTA(A3279:G3279)=0,"",IF(C3279&lt;&gt;"",C3279,IF(B3279="","",IFERROR(INDEX(pr_des,MATCH(B3279,pr_code,0))&amp;"",""))))</f>
        <v/>
      </c>
      <c r="I3279" s="59" t="str">
        <f>IF(B3279="","",IFERROR(INDEX(pr_unit,MATCH(B3279,pr_code,0))&amp;"",""))</f>
        <v/>
      </c>
      <c r="J3279" s="65" t="str">
        <f>IF(COUNTA(A3279:G3279)=0,"",IF(E3279&lt;&gt;"",E3279,IF(B3279="","",IFERROR(IF(INDEX(pr_price,MATCH(B3279,pr_code,0))="","",INDEX(pr_price,MATCH(B3279,pr_code,0))),""))))</f>
        <v/>
      </c>
      <c r="K3279" s="71" t="str">
        <f>IF(COUNTA(A3279:G3279)=0,"",IF(G3279&lt;&gt;"",G3279,IF(B3279="","",IFERROR(IF(INDEX(pr_rate,MATCH(B3279,pr_code,0))="","",INDEX(pr_rate,MATCH(B3279,pr_code,0))),""))))</f>
        <v/>
      </c>
      <c r="L3279" s="65" t="str">
        <f>IF(COUNTA(A3279:G3279)=0,"",IF(AND(ISNUMBER(D3279),ISNUMBER(J3279)),ROUND(D3279*J3279*(1-N(F3279)),2),0))</f>
        <v/>
      </c>
      <c r="M3279" s="62" t="str">
        <f>IF(A3279="","",IFERROR(INDEX(fa_cname,MATCH(A3279,fa_num,0))&amp;"",""))</f>
        <v/>
      </c>
      <c r="N3279" s="59" t="str">
        <f>IF(COUNTA(A3279:G3279)=0,"",IF(A3279="","N° facture manquant",IF(ISNA(MATCH(A3279,fa_num,0)),"Facture inconnue",IF(AND(B3279&lt;&gt;"",ISNA(MATCH(B3279,pr_code,0))),"Article inconnu",IF(H3279="","Désignation manquante",IF(OR(NOT(ISNUMBER(D3279)),N(D3279)&lt;=0),"Quantité invalide",IF(J3279="","Prix manquant",IF(OR(NOT(ISNUMBER(J3279)),N(J3279)&lt;0),"Prix invalide",IF(OR(AND(F3279&lt;&gt;"",NOT(ISNUMBER(F3279))),N(F3279)&lt;0,N(F3279)&gt;1),"Remise invalide",IF(K3279="","Taux de TVA manquant",IF(NOT(ISNUMBER(K3279)),"Taux de TVA invalide",IF(COUNTIF(p_rates,K3279)=0,"Taux de TVA hors liste (Paramètres)",IF(N(O3279)&gt;25,"Au-delà de 25 lignes : non imprimée","OK")))))))))))))</f>
        <v/>
      </c>
      <c r="O3279" s="59" t="str">
        <f>IF(A3279="","",COUNTIF($A$6:A3279,A3279))</f>
        <v/>
      </c>
      <c r="P3279" s="62" t="str">
        <f>IF(A3279="","",A3279&amp;"|"&amp;O3279)</f>
        <v/>
      </c>
    </row>
    <row r="3280">
      <c r="A3280" s="60" t="n"/>
      <c r="B3280" s="63" t="n"/>
      <c r="C3280" s="63" t="n"/>
      <c r="D3280" s="67" t="n"/>
      <c r="E3280" s="68" t="n"/>
      <c r="F3280" s="69" t="n"/>
      <c r="G3280" s="70" t="n"/>
      <c r="H3280" s="62" t="str">
        <f>IF(COUNTA(A3280:G3280)=0,"",IF(C3280&lt;&gt;"",C3280,IF(B3280="","",IFERROR(INDEX(pr_des,MATCH(B3280,pr_code,0))&amp;"",""))))</f>
        <v/>
      </c>
      <c r="I3280" s="59" t="str">
        <f>IF(B3280="","",IFERROR(INDEX(pr_unit,MATCH(B3280,pr_code,0))&amp;"",""))</f>
        <v/>
      </c>
      <c r="J3280" s="65" t="str">
        <f>IF(COUNTA(A3280:G3280)=0,"",IF(E3280&lt;&gt;"",E3280,IF(B3280="","",IFERROR(IF(INDEX(pr_price,MATCH(B3280,pr_code,0))="","",INDEX(pr_price,MATCH(B3280,pr_code,0))),""))))</f>
        <v/>
      </c>
      <c r="K3280" s="71" t="str">
        <f>IF(COUNTA(A3280:G3280)=0,"",IF(G3280&lt;&gt;"",G3280,IF(B3280="","",IFERROR(IF(INDEX(pr_rate,MATCH(B3280,pr_code,0))="","",INDEX(pr_rate,MATCH(B3280,pr_code,0))),""))))</f>
        <v/>
      </c>
      <c r="L3280" s="65" t="str">
        <f>IF(COUNTA(A3280:G3280)=0,"",IF(AND(ISNUMBER(D3280),ISNUMBER(J3280)),ROUND(D3280*J3280*(1-N(F3280)),2),0))</f>
        <v/>
      </c>
      <c r="M3280" s="62" t="str">
        <f>IF(A3280="","",IFERROR(INDEX(fa_cname,MATCH(A3280,fa_num,0))&amp;"",""))</f>
        <v/>
      </c>
      <c r="N3280" s="59" t="str">
        <f>IF(COUNTA(A3280:G3280)=0,"",IF(A3280="","N° facture manquant",IF(ISNA(MATCH(A3280,fa_num,0)),"Facture inconnue",IF(AND(B3280&lt;&gt;"",ISNA(MATCH(B3280,pr_code,0))),"Article inconnu",IF(H3280="","Désignation manquante",IF(OR(NOT(ISNUMBER(D3280)),N(D3280)&lt;=0),"Quantité invalide",IF(J3280="","Prix manquant",IF(OR(NOT(ISNUMBER(J3280)),N(J3280)&lt;0),"Prix invalide",IF(OR(AND(F3280&lt;&gt;"",NOT(ISNUMBER(F3280))),N(F3280)&lt;0,N(F3280)&gt;1),"Remise invalide",IF(K3280="","Taux de TVA manquant",IF(NOT(ISNUMBER(K3280)),"Taux de TVA invalide",IF(COUNTIF(p_rates,K3280)=0,"Taux de TVA hors liste (Paramètres)",IF(N(O3280)&gt;25,"Au-delà de 25 lignes : non imprimée","OK")))))))))))))</f>
        <v/>
      </c>
      <c r="O3280" s="59" t="str">
        <f>IF(A3280="","",COUNTIF($A$6:A3280,A3280))</f>
        <v/>
      </c>
      <c r="P3280" s="62" t="str">
        <f>IF(A3280="","",A3280&amp;"|"&amp;O3280)</f>
        <v/>
      </c>
    </row>
    <row r="3281">
      <c r="A3281" s="60" t="n"/>
      <c r="B3281" s="63" t="n"/>
      <c r="C3281" s="63" t="n"/>
      <c r="D3281" s="67" t="n"/>
      <c r="E3281" s="68" t="n"/>
      <c r="F3281" s="69" t="n"/>
      <c r="G3281" s="70" t="n"/>
      <c r="H3281" s="62" t="str">
        <f>IF(COUNTA(A3281:G3281)=0,"",IF(C3281&lt;&gt;"",C3281,IF(B3281="","",IFERROR(INDEX(pr_des,MATCH(B3281,pr_code,0))&amp;"",""))))</f>
        <v/>
      </c>
      <c r="I3281" s="59" t="str">
        <f>IF(B3281="","",IFERROR(INDEX(pr_unit,MATCH(B3281,pr_code,0))&amp;"",""))</f>
        <v/>
      </c>
      <c r="J3281" s="65" t="str">
        <f>IF(COUNTA(A3281:G3281)=0,"",IF(E3281&lt;&gt;"",E3281,IF(B3281="","",IFERROR(IF(INDEX(pr_price,MATCH(B3281,pr_code,0))="","",INDEX(pr_price,MATCH(B3281,pr_code,0))),""))))</f>
        <v/>
      </c>
      <c r="K3281" s="71" t="str">
        <f>IF(COUNTA(A3281:G3281)=0,"",IF(G3281&lt;&gt;"",G3281,IF(B3281="","",IFERROR(IF(INDEX(pr_rate,MATCH(B3281,pr_code,0))="","",INDEX(pr_rate,MATCH(B3281,pr_code,0))),""))))</f>
        <v/>
      </c>
      <c r="L3281" s="65" t="str">
        <f>IF(COUNTA(A3281:G3281)=0,"",IF(AND(ISNUMBER(D3281),ISNUMBER(J3281)),ROUND(D3281*J3281*(1-N(F3281)),2),0))</f>
        <v/>
      </c>
      <c r="M3281" s="62" t="str">
        <f>IF(A3281="","",IFERROR(INDEX(fa_cname,MATCH(A3281,fa_num,0))&amp;"",""))</f>
        <v/>
      </c>
      <c r="N3281" s="59" t="str">
        <f>IF(COUNTA(A3281:G3281)=0,"",IF(A3281="","N° facture manquant",IF(ISNA(MATCH(A3281,fa_num,0)),"Facture inconnue",IF(AND(B3281&lt;&gt;"",ISNA(MATCH(B3281,pr_code,0))),"Article inconnu",IF(H3281="","Désignation manquante",IF(OR(NOT(ISNUMBER(D3281)),N(D3281)&lt;=0),"Quantité invalide",IF(J3281="","Prix manquant",IF(OR(NOT(ISNUMBER(J3281)),N(J3281)&lt;0),"Prix invalide",IF(OR(AND(F3281&lt;&gt;"",NOT(ISNUMBER(F3281))),N(F3281)&lt;0,N(F3281)&gt;1),"Remise invalide",IF(K3281="","Taux de TVA manquant",IF(NOT(ISNUMBER(K3281)),"Taux de TVA invalide",IF(COUNTIF(p_rates,K3281)=0,"Taux de TVA hors liste (Paramètres)",IF(N(O3281)&gt;25,"Au-delà de 25 lignes : non imprimée","OK")))))))))))))</f>
        <v/>
      </c>
      <c r="O3281" s="59" t="str">
        <f>IF(A3281="","",COUNTIF($A$6:A3281,A3281))</f>
        <v/>
      </c>
      <c r="P3281" s="62" t="str">
        <f>IF(A3281="","",A3281&amp;"|"&amp;O3281)</f>
        <v/>
      </c>
    </row>
    <row r="3282">
      <c r="A3282" s="60" t="n"/>
      <c r="B3282" s="63" t="n"/>
      <c r="C3282" s="63" t="n"/>
      <c r="D3282" s="67" t="n"/>
      <c r="E3282" s="68" t="n"/>
      <c r="F3282" s="69" t="n"/>
      <c r="G3282" s="70" t="n"/>
      <c r="H3282" s="62" t="str">
        <f>IF(COUNTA(A3282:G3282)=0,"",IF(C3282&lt;&gt;"",C3282,IF(B3282="","",IFERROR(INDEX(pr_des,MATCH(B3282,pr_code,0))&amp;"",""))))</f>
        <v/>
      </c>
      <c r="I3282" s="59" t="str">
        <f>IF(B3282="","",IFERROR(INDEX(pr_unit,MATCH(B3282,pr_code,0))&amp;"",""))</f>
        <v/>
      </c>
      <c r="J3282" s="65" t="str">
        <f>IF(COUNTA(A3282:G3282)=0,"",IF(E3282&lt;&gt;"",E3282,IF(B3282="","",IFERROR(IF(INDEX(pr_price,MATCH(B3282,pr_code,0))="","",INDEX(pr_price,MATCH(B3282,pr_code,0))),""))))</f>
        <v/>
      </c>
      <c r="K3282" s="71" t="str">
        <f>IF(COUNTA(A3282:G3282)=0,"",IF(G3282&lt;&gt;"",G3282,IF(B3282="","",IFERROR(IF(INDEX(pr_rate,MATCH(B3282,pr_code,0))="","",INDEX(pr_rate,MATCH(B3282,pr_code,0))),""))))</f>
        <v/>
      </c>
      <c r="L3282" s="65" t="str">
        <f>IF(COUNTA(A3282:G3282)=0,"",IF(AND(ISNUMBER(D3282),ISNUMBER(J3282)),ROUND(D3282*J3282*(1-N(F3282)),2),0))</f>
        <v/>
      </c>
      <c r="M3282" s="62" t="str">
        <f>IF(A3282="","",IFERROR(INDEX(fa_cname,MATCH(A3282,fa_num,0))&amp;"",""))</f>
        <v/>
      </c>
      <c r="N3282" s="59" t="str">
        <f>IF(COUNTA(A3282:G3282)=0,"",IF(A3282="","N° facture manquant",IF(ISNA(MATCH(A3282,fa_num,0)),"Facture inconnue",IF(AND(B3282&lt;&gt;"",ISNA(MATCH(B3282,pr_code,0))),"Article inconnu",IF(H3282="","Désignation manquante",IF(OR(NOT(ISNUMBER(D3282)),N(D3282)&lt;=0),"Quantité invalide",IF(J3282="","Prix manquant",IF(OR(NOT(ISNUMBER(J3282)),N(J3282)&lt;0),"Prix invalide",IF(OR(AND(F3282&lt;&gt;"",NOT(ISNUMBER(F3282))),N(F3282)&lt;0,N(F3282)&gt;1),"Remise invalide",IF(K3282="","Taux de TVA manquant",IF(NOT(ISNUMBER(K3282)),"Taux de TVA invalide",IF(COUNTIF(p_rates,K3282)=0,"Taux de TVA hors liste (Paramètres)",IF(N(O3282)&gt;25,"Au-delà de 25 lignes : non imprimée","OK")))))))))))))</f>
        <v/>
      </c>
      <c r="O3282" s="59" t="str">
        <f>IF(A3282="","",COUNTIF($A$6:A3282,A3282))</f>
        <v/>
      </c>
      <c r="P3282" s="62" t="str">
        <f>IF(A3282="","",A3282&amp;"|"&amp;O3282)</f>
        <v/>
      </c>
    </row>
    <row r="3283">
      <c r="A3283" s="60" t="n"/>
      <c r="B3283" s="63" t="n"/>
      <c r="C3283" s="63" t="n"/>
      <c r="D3283" s="67" t="n"/>
      <c r="E3283" s="68" t="n"/>
      <c r="F3283" s="69" t="n"/>
      <c r="G3283" s="70" t="n"/>
      <c r="H3283" s="62" t="str">
        <f>IF(COUNTA(A3283:G3283)=0,"",IF(C3283&lt;&gt;"",C3283,IF(B3283="","",IFERROR(INDEX(pr_des,MATCH(B3283,pr_code,0))&amp;"",""))))</f>
        <v/>
      </c>
      <c r="I3283" s="59" t="str">
        <f>IF(B3283="","",IFERROR(INDEX(pr_unit,MATCH(B3283,pr_code,0))&amp;"",""))</f>
        <v/>
      </c>
      <c r="J3283" s="65" t="str">
        <f>IF(COUNTA(A3283:G3283)=0,"",IF(E3283&lt;&gt;"",E3283,IF(B3283="","",IFERROR(IF(INDEX(pr_price,MATCH(B3283,pr_code,0))="","",INDEX(pr_price,MATCH(B3283,pr_code,0))),""))))</f>
        <v/>
      </c>
      <c r="K3283" s="71" t="str">
        <f>IF(COUNTA(A3283:G3283)=0,"",IF(G3283&lt;&gt;"",G3283,IF(B3283="","",IFERROR(IF(INDEX(pr_rate,MATCH(B3283,pr_code,0))="","",INDEX(pr_rate,MATCH(B3283,pr_code,0))),""))))</f>
        <v/>
      </c>
      <c r="L3283" s="65" t="str">
        <f>IF(COUNTA(A3283:G3283)=0,"",IF(AND(ISNUMBER(D3283),ISNUMBER(J3283)),ROUND(D3283*J3283*(1-N(F3283)),2),0))</f>
        <v/>
      </c>
      <c r="M3283" s="62" t="str">
        <f>IF(A3283="","",IFERROR(INDEX(fa_cname,MATCH(A3283,fa_num,0))&amp;"",""))</f>
        <v/>
      </c>
      <c r="N3283" s="59" t="str">
        <f>IF(COUNTA(A3283:G3283)=0,"",IF(A3283="","N° facture manquant",IF(ISNA(MATCH(A3283,fa_num,0)),"Facture inconnue",IF(AND(B3283&lt;&gt;"",ISNA(MATCH(B3283,pr_code,0))),"Article inconnu",IF(H3283="","Désignation manquante",IF(OR(NOT(ISNUMBER(D3283)),N(D3283)&lt;=0),"Quantité invalide",IF(J3283="","Prix manquant",IF(OR(NOT(ISNUMBER(J3283)),N(J3283)&lt;0),"Prix invalide",IF(OR(AND(F3283&lt;&gt;"",NOT(ISNUMBER(F3283))),N(F3283)&lt;0,N(F3283)&gt;1),"Remise invalide",IF(K3283="","Taux de TVA manquant",IF(NOT(ISNUMBER(K3283)),"Taux de TVA invalide",IF(COUNTIF(p_rates,K3283)=0,"Taux de TVA hors liste (Paramètres)",IF(N(O3283)&gt;25,"Au-delà de 25 lignes : non imprimée","OK")))))))))))))</f>
        <v/>
      </c>
      <c r="O3283" s="59" t="str">
        <f>IF(A3283="","",COUNTIF($A$6:A3283,A3283))</f>
        <v/>
      </c>
      <c r="P3283" s="62" t="str">
        <f>IF(A3283="","",A3283&amp;"|"&amp;O3283)</f>
        <v/>
      </c>
    </row>
    <row r="3284">
      <c r="A3284" s="60" t="n"/>
      <c r="B3284" s="63" t="n"/>
      <c r="C3284" s="63" t="n"/>
      <c r="D3284" s="67" t="n"/>
      <c r="E3284" s="68" t="n"/>
      <c r="F3284" s="69" t="n"/>
      <c r="G3284" s="70" t="n"/>
      <c r="H3284" s="62" t="str">
        <f>IF(COUNTA(A3284:G3284)=0,"",IF(C3284&lt;&gt;"",C3284,IF(B3284="","",IFERROR(INDEX(pr_des,MATCH(B3284,pr_code,0))&amp;"",""))))</f>
        <v/>
      </c>
      <c r="I3284" s="59" t="str">
        <f>IF(B3284="","",IFERROR(INDEX(pr_unit,MATCH(B3284,pr_code,0))&amp;"",""))</f>
        <v/>
      </c>
      <c r="J3284" s="65" t="str">
        <f>IF(COUNTA(A3284:G3284)=0,"",IF(E3284&lt;&gt;"",E3284,IF(B3284="","",IFERROR(IF(INDEX(pr_price,MATCH(B3284,pr_code,0))="","",INDEX(pr_price,MATCH(B3284,pr_code,0))),""))))</f>
        <v/>
      </c>
      <c r="K3284" s="71" t="str">
        <f>IF(COUNTA(A3284:G3284)=0,"",IF(G3284&lt;&gt;"",G3284,IF(B3284="","",IFERROR(IF(INDEX(pr_rate,MATCH(B3284,pr_code,0))="","",INDEX(pr_rate,MATCH(B3284,pr_code,0))),""))))</f>
        <v/>
      </c>
      <c r="L3284" s="65" t="str">
        <f>IF(COUNTA(A3284:G3284)=0,"",IF(AND(ISNUMBER(D3284),ISNUMBER(J3284)),ROUND(D3284*J3284*(1-N(F3284)),2),0))</f>
        <v/>
      </c>
      <c r="M3284" s="62" t="str">
        <f>IF(A3284="","",IFERROR(INDEX(fa_cname,MATCH(A3284,fa_num,0))&amp;"",""))</f>
        <v/>
      </c>
      <c r="N3284" s="59" t="str">
        <f>IF(COUNTA(A3284:G3284)=0,"",IF(A3284="","N° facture manquant",IF(ISNA(MATCH(A3284,fa_num,0)),"Facture inconnue",IF(AND(B3284&lt;&gt;"",ISNA(MATCH(B3284,pr_code,0))),"Article inconnu",IF(H3284="","Désignation manquante",IF(OR(NOT(ISNUMBER(D3284)),N(D3284)&lt;=0),"Quantité invalide",IF(J3284="","Prix manquant",IF(OR(NOT(ISNUMBER(J3284)),N(J3284)&lt;0),"Prix invalide",IF(OR(AND(F3284&lt;&gt;"",NOT(ISNUMBER(F3284))),N(F3284)&lt;0,N(F3284)&gt;1),"Remise invalide",IF(K3284="","Taux de TVA manquant",IF(NOT(ISNUMBER(K3284)),"Taux de TVA invalide",IF(COUNTIF(p_rates,K3284)=0,"Taux de TVA hors liste (Paramètres)",IF(N(O3284)&gt;25,"Au-delà de 25 lignes : non imprimée","OK")))))))))))))</f>
        <v/>
      </c>
      <c r="O3284" s="59" t="str">
        <f>IF(A3284="","",COUNTIF($A$6:A3284,A3284))</f>
        <v/>
      </c>
      <c r="P3284" s="62" t="str">
        <f>IF(A3284="","",A3284&amp;"|"&amp;O3284)</f>
        <v/>
      </c>
    </row>
    <row r="3285">
      <c r="A3285" s="60" t="n"/>
      <c r="B3285" s="63" t="n"/>
      <c r="C3285" s="63" t="n"/>
      <c r="D3285" s="67" t="n"/>
      <c r="E3285" s="68" t="n"/>
      <c r="F3285" s="69" t="n"/>
      <c r="G3285" s="70" t="n"/>
      <c r="H3285" s="62" t="str">
        <f>IF(COUNTA(A3285:G3285)=0,"",IF(C3285&lt;&gt;"",C3285,IF(B3285="","",IFERROR(INDEX(pr_des,MATCH(B3285,pr_code,0))&amp;"",""))))</f>
        <v/>
      </c>
      <c r="I3285" s="59" t="str">
        <f>IF(B3285="","",IFERROR(INDEX(pr_unit,MATCH(B3285,pr_code,0))&amp;"",""))</f>
        <v/>
      </c>
      <c r="J3285" s="65" t="str">
        <f>IF(COUNTA(A3285:G3285)=0,"",IF(E3285&lt;&gt;"",E3285,IF(B3285="","",IFERROR(IF(INDEX(pr_price,MATCH(B3285,pr_code,0))="","",INDEX(pr_price,MATCH(B3285,pr_code,0))),""))))</f>
        <v/>
      </c>
      <c r="K3285" s="71" t="str">
        <f>IF(COUNTA(A3285:G3285)=0,"",IF(G3285&lt;&gt;"",G3285,IF(B3285="","",IFERROR(IF(INDEX(pr_rate,MATCH(B3285,pr_code,0))="","",INDEX(pr_rate,MATCH(B3285,pr_code,0))),""))))</f>
        <v/>
      </c>
      <c r="L3285" s="65" t="str">
        <f>IF(COUNTA(A3285:G3285)=0,"",IF(AND(ISNUMBER(D3285),ISNUMBER(J3285)),ROUND(D3285*J3285*(1-N(F3285)),2),0))</f>
        <v/>
      </c>
      <c r="M3285" s="62" t="str">
        <f>IF(A3285="","",IFERROR(INDEX(fa_cname,MATCH(A3285,fa_num,0))&amp;"",""))</f>
        <v/>
      </c>
      <c r="N3285" s="59" t="str">
        <f>IF(COUNTA(A3285:G3285)=0,"",IF(A3285="","N° facture manquant",IF(ISNA(MATCH(A3285,fa_num,0)),"Facture inconnue",IF(AND(B3285&lt;&gt;"",ISNA(MATCH(B3285,pr_code,0))),"Article inconnu",IF(H3285="","Désignation manquante",IF(OR(NOT(ISNUMBER(D3285)),N(D3285)&lt;=0),"Quantité invalide",IF(J3285="","Prix manquant",IF(OR(NOT(ISNUMBER(J3285)),N(J3285)&lt;0),"Prix invalide",IF(OR(AND(F3285&lt;&gt;"",NOT(ISNUMBER(F3285))),N(F3285)&lt;0,N(F3285)&gt;1),"Remise invalide",IF(K3285="","Taux de TVA manquant",IF(NOT(ISNUMBER(K3285)),"Taux de TVA invalide",IF(COUNTIF(p_rates,K3285)=0,"Taux de TVA hors liste (Paramètres)",IF(N(O3285)&gt;25,"Au-delà de 25 lignes : non imprimée","OK")))))))))))))</f>
        <v/>
      </c>
      <c r="O3285" s="59" t="str">
        <f>IF(A3285="","",COUNTIF($A$6:A3285,A3285))</f>
        <v/>
      </c>
      <c r="P3285" s="62" t="str">
        <f>IF(A3285="","",A3285&amp;"|"&amp;O3285)</f>
        <v/>
      </c>
    </row>
    <row r="3286">
      <c r="A3286" s="60" t="n"/>
      <c r="B3286" s="63" t="n"/>
      <c r="C3286" s="63" t="n"/>
      <c r="D3286" s="67" t="n"/>
      <c r="E3286" s="68" t="n"/>
      <c r="F3286" s="69" t="n"/>
      <c r="G3286" s="70" t="n"/>
      <c r="H3286" s="62" t="str">
        <f>IF(COUNTA(A3286:G3286)=0,"",IF(C3286&lt;&gt;"",C3286,IF(B3286="","",IFERROR(INDEX(pr_des,MATCH(B3286,pr_code,0))&amp;"",""))))</f>
        <v/>
      </c>
      <c r="I3286" s="59" t="str">
        <f>IF(B3286="","",IFERROR(INDEX(pr_unit,MATCH(B3286,pr_code,0))&amp;"",""))</f>
        <v/>
      </c>
      <c r="J3286" s="65" t="str">
        <f>IF(COUNTA(A3286:G3286)=0,"",IF(E3286&lt;&gt;"",E3286,IF(B3286="","",IFERROR(IF(INDEX(pr_price,MATCH(B3286,pr_code,0))="","",INDEX(pr_price,MATCH(B3286,pr_code,0))),""))))</f>
        <v/>
      </c>
      <c r="K3286" s="71" t="str">
        <f>IF(COUNTA(A3286:G3286)=0,"",IF(G3286&lt;&gt;"",G3286,IF(B3286="","",IFERROR(IF(INDEX(pr_rate,MATCH(B3286,pr_code,0))="","",INDEX(pr_rate,MATCH(B3286,pr_code,0))),""))))</f>
        <v/>
      </c>
      <c r="L3286" s="65" t="str">
        <f>IF(COUNTA(A3286:G3286)=0,"",IF(AND(ISNUMBER(D3286),ISNUMBER(J3286)),ROUND(D3286*J3286*(1-N(F3286)),2),0))</f>
        <v/>
      </c>
      <c r="M3286" s="62" t="str">
        <f>IF(A3286="","",IFERROR(INDEX(fa_cname,MATCH(A3286,fa_num,0))&amp;"",""))</f>
        <v/>
      </c>
      <c r="N3286" s="59" t="str">
        <f>IF(COUNTA(A3286:G3286)=0,"",IF(A3286="","N° facture manquant",IF(ISNA(MATCH(A3286,fa_num,0)),"Facture inconnue",IF(AND(B3286&lt;&gt;"",ISNA(MATCH(B3286,pr_code,0))),"Article inconnu",IF(H3286="","Désignation manquante",IF(OR(NOT(ISNUMBER(D3286)),N(D3286)&lt;=0),"Quantité invalide",IF(J3286="","Prix manquant",IF(OR(NOT(ISNUMBER(J3286)),N(J3286)&lt;0),"Prix invalide",IF(OR(AND(F3286&lt;&gt;"",NOT(ISNUMBER(F3286))),N(F3286)&lt;0,N(F3286)&gt;1),"Remise invalide",IF(K3286="","Taux de TVA manquant",IF(NOT(ISNUMBER(K3286)),"Taux de TVA invalide",IF(COUNTIF(p_rates,K3286)=0,"Taux de TVA hors liste (Paramètres)",IF(N(O3286)&gt;25,"Au-delà de 25 lignes : non imprimée","OK")))))))))))))</f>
        <v/>
      </c>
      <c r="O3286" s="59" t="str">
        <f>IF(A3286="","",COUNTIF($A$6:A3286,A3286))</f>
        <v/>
      </c>
      <c r="P3286" s="62" t="str">
        <f>IF(A3286="","",A3286&amp;"|"&amp;O3286)</f>
        <v/>
      </c>
    </row>
    <row r="3287">
      <c r="A3287" s="60" t="n"/>
      <c r="B3287" s="63" t="n"/>
      <c r="C3287" s="63" t="n"/>
      <c r="D3287" s="67" t="n"/>
      <c r="E3287" s="68" t="n"/>
      <c r="F3287" s="69" t="n"/>
      <c r="G3287" s="70" t="n"/>
      <c r="H3287" s="62" t="str">
        <f>IF(COUNTA(A3287:G3287)=0,"",IF(C3287&lt;&gt;"",C3287,IF(B3287="","",IFERROR(INDEX(pr_des,MATCH(B3287,pr_code,0))&amp;"",""))))</f>
        <v/>
      </c>
      <c r="I3287" s="59" t="str">
        <f>IF(B3287="","",IFERROR(INDEX(pr_unit,MATCH(B3287,pr_code,0))&amp;"",""))</f>
        <v/>
      </c>
      <c r="J3287" s="65" t="str">
        <f>IF(COUNTA(A3287:G3287)=0,"",IF(E3287&lt;&gt;"",E3287,IF(B3287="","",IFERROR(IF(INDEX(pr_price,MATCH(B3287,pr_code,0))="","",INDEX(pr_price,MATCH(B3287,pr_code,0))),""))))</f>
        <v/>
      </c>
      <c r="K3287" s="71" t="str">
        <f>IF(COUNTA(A3287:G3287)=0,"",IF(G3287&lt;&gt;"",G3287,IF(B3287="","",IFERROR(IF(INDEX(pr_rate,MATCH(B3287,pr_code,0))="","",INDEX(pr_rate,MATCH(B3287,pr_code,0))),""))))</f>
        <v/>
      </c>
      <c r="L3287" s="65" t="str">
        <f>IF(COUNTA(A3287:G3287)=0,"",IF(AND(ISNUMBER(D3287),ISNUMBER(J3287)),ROUND(D3287*J3287*(1-N(F3287)),2),0))</f>
        <v/>
      </c>
      <c r="M3287" s="62" t="str">
        <f>IF(A3287="","",IFERROR(INDEX(fa_cname,MATCH(A3287,fa_num,0))&amp;"",""))</f>
        <v/>
      </c>
      <c r="N3287" s="59" t="str">
        <f>IF(COUNTA(A3287:G3287)=0,"",IF(A3287="","N° facture manquant",IF(ISNA(MATCH(A3287,fa_num,0)),"Facture inconnue",IF(AND(B3287&lt;&gt;"",ISNA(MATCH(B3287,pr_code,0))),"Article inconnu",IF(H3287="","Désignation manquante",IF(OR(NOT(ISNUMBER(D3287)),N(D3287)&lt;=0),"Quantité invalide",IF(J3287="","Prix manquant",IF(OR(NOT(ISNUMBER(J3287)),N(J3287)&lt;0),"Prix invalide",IF(OR(AND(F3287&lt;&gt;"",NOT(ISNUMBER(F3287))),N(F3287)&lt;0,N(F3287)&gt;1),"Remise invalide",IF(K3287="","Taux de TVA manquant",IF(NOT(ISNUMBER(K3287)),"Taux de TVA invalide",IF(COUNTIF(p_rates,K3287)=0,"Taux de TVA hors liste (Paramètres)",IF(N(O3287)&gt;25,"Au-delà de 25 lignes : non imprimée","OK")))))))))))))</f>
        <v/>
      </c>
      <c r="O3287" s="59" t="str">
        <f>IF(A3287="","",COUNTIF($A$6:A3287,A3287))</f>
        <v/>
      </c>
      <c r="P3287" s="62" t="str">
        <f>IF(A3287="","",A3287&amp;"|"&amp;O3287)</f>
        <v/>
      </c>
    </row>
    <row r="3288">
      <c r="A3288" s="60" t="n"/>
      <c r="B3288" s="63" t="n"/>
      <c r="C3288" s="63" t="n"/>
      <c r="D3288" s="67" t="n"/>
      <c r="E3288" s="68" t="n"/>
      <c r="F3288" s="69" t="n"/>
      <c r="G3288" s="70" t="n"/>
      <c r="H3288" s="62" t="str">
        <f>IF(COUNTA(A3288:G3288)=0,"",IF(C3288&lt;&gt;"",C3288,IF(B3288="","",IFERROR(INDEX(pr_des,MATCH(B3288,pr_code,0))&amp;"",""))))</f>
        <v/>
      </c>
      <c r="I3288" s="59" t="str">
        <f>IF(B3288="","",IFERROR(INDEX(pr_unit,MATCH(B3288,pr_code,0))&amp;"",""))</f>
        <v/>
      </c>
      <c r="J3288" s="65" t="str">
        <f>IF(COUNTA(A3288:G3288)=0,"",IF(E3288&lt;&gt;"",E3288,IF(B3288="","",IFERROR(IF(INDEX(pr_price,MATCH(B3288,pr_code,0))="","",INDEX(pr_price,MATCH(B3288,pr_code,0))),""))))</f>
        <v/>
      </c>
      <c r="K3288" s="71" t="str">
        <f>IF(COUNTA(A3288:G3288)=0,"",IF(G3288&lt;&gt;"",G3288,IF(B3288="","",IFERROR(IF(INDEX(pr_rate,MATCH(B3288,pr_code,0))="","",INDEX(pr_rate,MATCH(B3288,pr_code,0))),""))))</f>
        <v/>
      </c>
      <c r="L3288" s="65" t="str">
        <f>IF(COUNTA(A3288:G3288)=0,"",IF(AND(ISNUMBER(D3288),ISNUMBER(J3288)),ROUND(D3288*J3288*(1-N(F3288)),2),0))</f>
        <v/>
      </c>
      <c r="M3288" s="62" t="str">
        <f>IF(A3288="","",IFERROR(INDEX(fa_cname,MATCH(A3288,fa_num,0))&amp;"",""))</f>
        <v/>
      </c>
      <c r="N3288" s="59" t="str">
        <f>IF(COUNTA(A3288:G3288)=0,"",IF(A3288="","N° facture manquant",IF(ISNA(MATCH(A3288,fa_num,0)),"Facture inconnue",IF(AND(B3288&lt;&gt;"",ISNA(MATCH(B3288,pr_code,0))),"Article inconnu",IF(H3288="","Désignation manquante",IF(OR(NOT(ISNUMBER(D3288)),N(D3288)&lt;=0),"Quantité invalide",IF(J3288="","Prix manquant",IF(OR(NOT(ISNUMBER(J3288)),N(J3288)&lt;0),"Prix invalide",IF(OR(AND(F3288&lt;&gt;"",NOT(ISNUMBER(F3288))),N(F3288)&lt;0,N(F3288)&gt;1),"Remise invalide",IF(K3288="","Taux de TVA manquant",IF(NOT(ISNUMBER(K3288)),"Taux de TVA invalide",IF(COUNTIF(p_rates,K3288)=0,"Taux de TVA hors liste (Paramètres)",IF(N(O3288)&gt;25,"Au-delà de 25 lignes : non imprimée","OK")))))))))))))</f>
        <v/>
      </c>
      <c r="O3288" s="59" t="str">
        <f>IF(A3288="","",COUNTIF($A$6:A3288,A3288))</f>
        <v/>
      </c>
      <c r="P3288" s="62" t="str">
        <f>IF(A3288="","",A3288&amp;"|"&amp;O3288)</f>
        <v/>
      </c>
    </row>
    <row r="3289">
      <c r="A3289" s="60" t="n"/>
      <c r="B3289" s="63" t="n"/>
      <c r="C3289" s="63" t="n"/>
      <c r="D3289" s="67" t="n"/>
      <c r="E3289" s="68" t="n"/>
      <c r="F3289" s="69" t="n"/>
      <c r="G3289" s="70" t="n"/>
      <c r="H3289" s="62" t="str">
        <f>IF(COUNTA(A3289:G3289)=0,"",IF(C3289&lt;&gt;"",C3289,IF(B3289="","",IFERROR(INDEX(pr_des,MATCH(B3289,pr_code,0))&amp;"",""))))</f>
        <v/>
      </c>
      <c r="I3289" s="59" t="str">
        <f>IF(B3289="","",IFERROR(INDEX(pr_unit,MATCH(B3289,pr_code,0))&amp;"",""))</f>
        <v/>
      </c>
      <c r="J3289" s="65" t="str">
        <f>IF(COUNTA(A3289:G3289)=0,"",IF(E3289&lt;&gt;"",E3289,IF(B3289="","",IFERROR(IF(INDEX(pr_price,MATCH(B3289,pr_code,0))="","",INDEX(pr_price,MATCH(B3289,pr_code,0))),""))))</f>
        <v/>
      </c>
      <c r="K3289" s="71" t="str">
        <f>IF(COUNTA(A3289:G3289)=0,"",IF(G3289&lt;&gt;"",G3289,IF(B3289="","",IFERROR(IF(INDEX(pr_rate,MATCH(B3289,pr_code,0))="","",INDEX(pr_rate,MATCH(B3289,pr_code,0))),""))))</f>
        <v/>
      </c>
      <c r="L3289" s="65" t="str">
        <f>IF(COUNTA(A3289:G3289)=0,"",IF(AND(ISNUMBER(D3289),ISNUMBER(J3289)),ROUND(D3289*J3289*(1-N(F3289)),2),0))</f>
        <v/>
      </c>
      <c r="M3289" s="62" t="str">
        <f>IF(A3289="","",IFERROR(INDEX(fa_cname,MATCH(A3289,fa_num,0))&amp;"",""))</f>
        <v/>
      </c>
      <c r="N3289" s="59" t="str">
        <f>IF(COUNTA(A3289:G3289)=0,"",IF(A3289="","N° facture manquant",IF(ISNA(MATCH(A3289,fa_num,0)),"Facture inconnue",IF(AND(B3289&lt;&gt;"",ISNA(MATCH(B3289,pr_code,0))),"Article inconnu",IF(H3289="","Désignation manquante",IF(OR(NOT(ISNUMBER(D3289)),N(D3289)&lt;=0),"Quantité invalide",IF(J3289="","Prix manquant",IF(OR(NOT(ISNUMBER(J3289)),N(J3289)&lt;0),"Prix invalide",IF(OR(AND(F3289&lt;&gt;"",NOT(ISNUMBER(F3289))),N(F3289)&lt;0,N(F3289)&gt;1),"Remise invalide",IF(K3289="","Taux de TVA manquant",IF(NOT(ISNUMBER(K3289)),"Taux de TVA invalide",IF(COUNTIF(p_rates,K3289)=0,"Taux de TVA hors liste (Paramètres)",IF(N(O3289)&gt;25,"Au-delà de 25 lignes : non imprimée","OK")))))))))))))</f>
        <v/>
      </c>
      <c r="O3289" s="59" t="str">
        <f>IF(A3289="","",COUNTIF($A$6:A3289,A3289))</f>
        <v/>
      </c>
      <c r="P3289" s="62" t="str">
        <f>IF(A3289="","",A3289&amp;"|"&amp;O3289)</f>
        <v/>
      </c>
    </row>
    <row r="3290">
      <c r="A3290" s="60" t="n"/>
      <c r="B3290" s="63" t="n"/>
      <c r="C3290" s="63" t="n"/>
      <c r="D3290" s="67" t="n"/>
      <c r="E3290" s="68" t="n"/>
      <c r="F3290" s="69" t="n"/>
      <c r="G3290" s="70" t="n"/>
      <c r="H3290" s="62" t="str">
        <f>IF(COUNTA(A3290:G3290)=0,"",IF(C3290&lt;&gt;"",C3290,IF(B3290="","",IFERROR(INDEX(pr_des,MATCH(B3290,pr_code,0))&amp;"",""))))</f>
        <v/>
      </c>
      <c r="I3290" s="59" t="str">
        <f>IF(B3290="","",IFERROR(INDEX(pr_unit,MATCH(B3290,pr_code,0))&amp;"",""))</f>
        <v/>
      </c>
      <c r="J3290" s="65" t="str">
        <f>IF(COUNTA(A3290:G3290)=0,"",IF(E3290&lt;&gt;"",E3290,IF(B3290="","",IFERROR(IF(INDEX(pr_price,MATCH(B3290,pr_code,0))="","",INDEX(pr_price,MATCH(B3290,pr_code,0))),""))))</f>
        <v/>
      </c>
      <c r="K3290" s="71" t="str">
        <f>IF(COUNTA(A3290:G3290)=0,"",IF(G3290&lt;&gt;"",G3290,IF(B3290="","",IFERROR(IF(INDEX(pr_rate,MATCH(B3290,pr_code,0))="","",INDEX(pr_rate,MATCH(B3290,pr_code,0))),""))))</f>
        <v/>
      </c>
      <c r="L3290" s="65" t="str">
        <f>IF(COUNTA(A3290:G3290)=0,"",IF(AND(ISNUMBER(D3290),ISNUMBER(J3290)),ROUND(D3290*J3290*(1-N(F3290)),2),0))</f>
        <v/>
      </c>
      <c r="M3290" s="62" t="str">
        <f>IF(A3290="","",IFERROR(INDEX(fa_cname,MATCH(A3290,fa_num,0))&amp;"",""))</f>
        <v/>
      </c>
      <c r="N3290" s="59" t="str">
        <f>IF(COUNTA(A3290:G3290)=0,"",IF(A3290="","N° facture manquant",IF(ISNA(MATCH(A3290,fa_num,0)),"Facture inconnue",IF(AND(B3290&lt;&gt;"",ISNA(MATCH(B3290,pr_code,0))),"Article inconnu",IF(H3290="","Désignation manquante",IF(OR(NOT(ISNUMBER(D3290)),N(D3290)&lt;=0),"Quantité invalide",IF(J3290="","Prix manquant",IF(OR(NOT(ISNUMBER(J3290)),N(J3290)&lt;0),"Prix invalide",IF(OR(AND(F3290&lt;&gt;"",NOT(ISNUMBER(F3290))),N(F3290)&lt;0,N(F3290)&gt;1),"Remise invalide",IF(K3290="","Taux de TVA manquant",IF(NOT(ISNUMBER(K3290)),"Taux de TVA invalide",IF(COUNTIF(p_rates,K3290)=0,"Taux de TVA hors liste (Paramètres)",IF(N(O3290)&gt;25,"Au-delà de 25 lignes : non imprimée","OK")))))))))))))</f>
        <v/>
      </c>
      <c r="O3290" s="59" t="str">
        <f>IF(A3290="","",COUNTIF($A$6:A3290,A3290))</f>
        <v/>
      </c>
      <c r="P3290" s="62" t="str">
        <f>IF(A3290="","",A3290&amp;"|"&amp;O3290)</f>
        <v/>
      </c>
    </row>
    <row r="3291">
      <c r="A3291" s="60" t="n"/>
      <c r="B3291" s="63" t="n"/>
      <c r="C3291" s="63" t="n"/>
      <c r="D3291" s="67" t="n"/>
      <c r="E3291" s="68" t="n"/>
      <c r="F3291" s="69" t="n"/>
      <c r="G3291" s="70" t="n"/>
      <c r="H3291" s="62" t="str">
        <f>IF(COUNTA(A3291:G3291)=0,"",IF(C3291&lt;&gt;"",C3291,IF(B3291="","",IFERROR(INDEX(pr_des,MATCH(B3291,pr_code,0))&amp;"",""))))</f>
        <v/>
      </c>
      <c r="I3291" s="59" t="str">
        <f>IF(B3291="","",IFERROR(INDEX(pr_unit,MATCH(B3291,pr_code,0))&amp;"",""))</f>
        <v/>
      </c>
      <c r="J3291" s="65" t="str">
        <f>IF(COUNTA(A3291:G3291)=0,"",IF(E3291&lt;&gt;"",E3291,IF(B3291="","",IFERROR(IF(INDEX(pr_price,MATCH(B3291,pr_code,0))="","",INDEX(pr_price,MATCH(B3291,pr_code,0))),""))))</f>
        <v/>
      </c>
      <c r="K3291" s="71" t="str">
        <f>IF(COUNTA(A3291:G3291)=0,"",IF(G3291&lt;&gt;"",G3291,IF(B3291="","",IFERROR(IF(INDEX(pr_rate,MATCH(B3291,pr_code,0))="","",INDEX(pr_rate,MATCH(B3291,pr_code,0))),""))))</f>
        <v/>
      </c>
      <c r="L3291" s="65" t="str">
        <f>IF(COUNTA(A3291:G3291)=0,"",IF(AND(ISNUMBER(D3291),ISNUMBER(J3291)),ROUND(D3291*J3291*(1-N(F3291)),2),0))</f>
        <v/>
      </c>
      <c r="M3291" s="62" t="str">
        <f>IF(A3291="","",IFERROR(INDEX(fa_cname,MATCH(A3291,fa_num,0))&amp;"",""))</f>
        <v/>
      </c>
      <c r="N3291" s="59" t="str">
        <f>IF(COUNTA(A3291:G3291)=0,"",IF(A3291="","N° facture manquant",IF(ISNA(MATCH(A3291,fa_num,0)),"Facture inconnue",IF(AND(B3291&lt;&gt;"",ISNA(MATCH(B3291,pr_code,0))),"Article inconnu",IF(H3291="","Désignation manquante",IF(OR(NOT(ISNUMBER(D3291)),N(D3291)&lt;=0),"Quantité invalide",IF(J3291="","Prix manquant",IF(OR(NOT(ISNUMBER(J3291)),N(J3291)&lt;0),"Prix invalide",IF(OR(AND(F3291&lt;&gt;"",NOT(ISNUMBER(F3291))),N(F3291)&lt;0,N(F3291)&gt;1),"Remise invalide",IF(K3291="","Taux de TVA manquant",IF(NOT(ISNUMBER(K3291)),"Taux de TVA invalide",IF(COUNTIF(p_rates,K3291)=0,"Taux de TVA hors liste (Paramètres)",IF(N(O3291)&gt;25,"Au-delà de 25 lignes : non imprimée","OK")))))))))))))</f>
        <v/>
      </c>
      <c r="O3291" s="59" t="str">
        <f>IF(A3291="","",COUNTIF($A$6:A3291,A3291))</f>
        <v/>
      </c>
      <c r="P3291" s="62" t="str">
        <f>IF(A3291="","",A3291&amp;"|"&amp;O3291)</f>
        <v/>
      </c>
    </row>
    <row r="3292">
      <c r="A3292" s="60" t="n"/>
      <c r="B3292" s="63" t="n"/>
      <c r="C3292" s="63" t="n"/>
      <c r="D3292" s="67" t="n"/>
      <c r="E3292" s="68" t="n"/>
      <c r="F3292" s="69" t="n"/>
      <c r="G3292" s="70" t="n"/>
      <c r="H3292" s="62" t="str">
        <f>IF(COUNTA(A3292:G3292)=0,"",IF(C3292&lt;&gt;"",C3292,IF(B3292="","",IFERROR(INDEX(pr_des,MATCH(B3292,pr_code,0))&amp;"",""))))</f>
        <v/>
      </c>
      <c r="I3292" s="59" t="str">
        <f>IF(B3292="","",IFERROR(INDEX(pr_unit,MATCH(B3292,pr_code,0))&amp;"",""))</f>
        <v/>
      </c>
      <c r="J3292" s="65" t="str">
        <f>IF(COUNTA(A3292:G3292)=0,"",IF(E3292&lt;&gt;"",E3292,IF(B3292="","",IFERROR(IF(INDEX(pr_price,MATCH(B3292,pr_code,0))="","",INDEX(pr_price,MATCH(B3292,pr_code,0))),""))))</f>
        <v/>
      </c>
      <c r="K3292" s="71" t="str">
        <f>IF(COUNTA(A3292:G3292)=0,"",IF(G3292&lt;&gt;"",G3292,IF(B3292="","",IFERROR(IF(INDEX(pr_rate,MATCH(B3292,pr_code,0))="","",INDEX(pr_rate,MATCH(B3292,pr_code,0))),""))))</f>
        <v/>
      </c>
      <c r="L3292" s="65" t="str">
        <f>IF(COUNTA(A3292:G3292)=0,"",IF(AND(ISNUMBER(D3292),ISNUMBER(J3292)),ROUND(D3292*J3292*(1-N(F3292)),2),0))</f>
        <v/>
      </c>
      <c r="M3292" s="62" t="str">
        <f>IF(A3292="","",IFERROR(INDEX(fa_cname,MATCH(A3292,fa_num,0))&amp;"",""))</f>
        <v/>
      </c>
      <c r="N3292" s="59" t="str">
        <f>IF(COUNTA(A3292:G3292)=0,"",IF(A3292="","N° facture manquant",IF(ISNA(MATCH(A3292,fa_num,0)),"Facture inconnue",IF(AND(B3292&lt;&gt;"",ISNA(MATCH(B3292,pr_code,0))),"Article inconnu",IF(H3292="","Désignation manquante",IF(OR(NOT(ISNUMBER(D3292)),N(D3292)&lt;=0),"Quantité invalide",IF(J3292="","Prix manquant",IF(OR(NOT(ISNUMBER(J3292)),N(J3292)&lt;0),"Prix invalide",IF(OR(AND(F3292&lt;&gt;"",NOT(ISNUMBER(F3292))),N(F3292)&lt;0,N(F3292)&gt;1),"Remise invalide",IF(K3292="","Taux de TVA manquant",IF(NOT(ISNUMBER(K3292)),"Taux de TVA invalide",IF(COUNTIF(p_rates,K3292)=0,"Taux de TVA hors liste (Paramètres)",IF(N(O3292)&gt;25,"Au-delà de 25 lignes : non imprimée","OK")))))))))))))</f>
        <v/>
      </c>
      <c r="O3292" s="59" t="str">
        <f>IF(A3292="","",COUNTIF($A$6:A3292,A3292))</f>
        <v/>
      </c>
      <c r="P3292" s="62" t="str">
        <f>IF(A3292="","",A3292&amp;"|"&amp;O3292)</f>
        <v/>
      </c>
    </row>
    <row r="3293">
      <c r="A3293" s="60" t="n"/>
      <c r="B3293" s="63" t="n"/>
      <c r="C3293" s="63" t="n"/>
      <c r="D3293" s="67" t="n"/>
      <c r="E3293" s="68" t="n"/>
      <c r="F3293" s="69" t="n"/>
      <c r="G3293" s="70" t="n"/>
      <c r="H3293" s="62" t="str">
        <f>IF(COUNTA(A3293:G3293)=0,"",IF(C3293&lt;&gt;"",C3293,IF(B3293="","",IFERROR(INDEX(pr_des,MATCH(B3293,pr_code,0))&amp;"",""))))</f>
        <v/>
      </c>
      <c r="I3293" s="59" t="str">
        <f>IF(B3293="","",IFERROR(INDEX(pr_unit,MATCH(B3293,pr_code,0))&amp;"",""))</f>
        <v/>
      </c>
      <c r="J3293" s="65" t="str">
        <f>IF(COUNTA(A3293:G3293)=0,"",IF(E3293&lt;&gt;"",E3293,IF(B3293="","",IFERROR(IF(INDEX(pr_price,MATCH(B3293,pr_code,0))="","",INDEX(pr_price,MATCH(B3293,pr_code,0))),""))))</f>
        <v/>
      </c>
      <c r="K3293" s="71" t="str">
        <f>IF(COUNTA(A3293:G3293)=0,"",IF(G3293&lt;&gt;"",G3293,IF(B3293="","",IFERROR(IF(INDEX(pr_rate,MATCH(B3293,pr_code,0))="","",INDEX(pr_rate,MATCH(B3293,pr_code,0))),""))))</f>
        <v/>
      </c>
      <c r="L3293" s="65" t="str">
        <f>IF(COUNTA(A3293:G3293)=0,"",IF(AND(ISNUMBER(D3293),ISNUMBER(J3293)),ROUND(D3293*J3293*(1-N(F3293)),2),0))</f>
        <v/>
      </c>
      <c r="M3293" s="62" t="str">
        <f>IF(A3293="","",IFERROR(INDEX(fa_cname,MATCH(A3293,fa_num,0))&amp;"",""))</f>
        <v/>
      </c>
      <c r="N3293" s="59" t="str">
        <f>IF(COUNTA(A3293:G3293)=0,"",IF(A3293="","N° facture manquant",IF(ISNA(MATCH(A3293,fa_num,0)),"Facture inconnue",IF(AND(B3293&lt;&gt;"",ISNA(MATCH(B3293,pr_code,0))),"Article inconnu",IF(H3293="","Désignation manquante",IF(OR(NOT(ISNUMBER(D3293)),N(D3293)&lt;=0),"Quantité invalide",IF(J3293="","Prix manquant",IF(OR(NOT(ISNUMBER(J3293)),N(J3293)&lt;0),"Prix invalide",IF(OR(AND(F3293&lt;&gt;"",NOT(ISNUMBER(F3293))),N(F3293)&lt;0,N(F3293)&gt;1),"Remise invalide",IF(K3293="","Taux de TVA manquant",IF(NOT(ISNUMBER(K3293)),"Taux de TVA invalide",IF(COUNTIF(p_rates,K3293)=0,"Taux de TVA hors liste (Paramètres)",IF(N(O3293)&gt;25,"Au-delà de 25 lignes : non imprimée","OK")))))))))))))</f>
        <v/>
      </c>
      <c r="O3293" s="59" t="str">
        <f>IF(A3293="","",COUNTIF($A$6:A3293,A3293))</f>
        <v/>
      </c>
      <c r="P3293" s="62" t="str">
        <f>IF(A3293="","",A3293&amp;"|"&amp;O3293)</f>
        <v/>
      </c>
    </row>
    <row r="3294">
      <c r="A3294" s="60" t="n"/>
      <c r="B3294" s="63" t="n"/>
      <c r="C3294" s="63" t="n"/>
      <c r="D3294" s="67" t="n"/>
      <c r="E3294" s="68" t="n"/>
      <c r="F3294" s="69" t="n"/>
      <c r="G3294" s="70" t="n"/>
      <c r="H3294" s="62" t="str">
        <f>IF(COUNTA(A3294:G3294)=0,"",IF(C3294&lt;&gt;"",C3294,IF(B3294="","",IFERROR(INDEX(pr_des,MATCH(B3294,pr_code,0))&amp;"",""))))</f>
        <v/>
      </c>
      <c r="I3294" s="59" t="str">
        <f>IF(B3294="","",IFERROR(INDEX(pr_unit,MATCH(B3294,pr_code,0))&amp;"",""))</f>
        <v/>
      </c>
      <c r="J3294" s="65" t="str">
        <f>IF(COUNTA(A3294:G3294)=0,"",IF(E3294&lt;&gt;"",E3294,IF(B3294="","",IFERROR(IF(INDEX(pr_price,MATCH(B3294,pr_code,0))="","",INDEX(pr_price,MATCH(B3294,pr_code,0))),""))))</f>
        <v/>
      </c>
      <c r="K3294" s="71" t="str">
        <f>IF(COUNTA(A3294:G3294)=0,"",IF(G3294&lt;&gt;"",G3294,IF(B3294="","",IFERROR(IF(INDEX(pr_rate,MATCH(B3294,pr_code,0))="","",INDEX(pr_rate,MATCH(B3294,pr_code,0))),""))))</f>
        <v/>
      </c>
      <c r="L3294" s="65" t="str">
        <f>IF(COUNTA(A3294:G3294)=0,"",IF(AND(ISNUMBER(D3294),ISNUMBER(J3294)),ROUND(D3294*J3294*(1-N(F3294)),2),0))</f>
        <v/>
      </c>
      <c r="M3294" s="62" t="str">
        <f>IF(A3294="","",IFERROR(INDEX(fa_cname,MATCH(A3294,fa_num,0))&amp;"",""))</f>
        <v/>
      </c>
      <c r="N3294" s="59" t="str">
        <f>IF(COUNTA(A3294:G3294)=0,"",IF(A3294="","N° facture manquant",IF(ISNA(MATCH(A3294,fa_num,0)),"Facture inconnue",IF(AND(B3294&lt;&gt;"",ISNA(MATCH(B3294,pr_code,0))),"Article inconnu",IF(H3294="","Désignation manquante",IF(OR(NOT(ISNUMBER(D3294)),N(D3294)&lt;=0),"Quantité invalide",IF(J3294="","Prix manquant",IF(OR(NOT(ISNUMBER(J3294)),N(J3294)&lt;0),"Prix invalide",IF(OR(AND(F3294&lt;&gt;"",NOT(ISNUMBER(F3294))),N(F3294)&lt;0,N(F3294)&gt;1),"Remise invalide",IF(K3294="","Taux de TVA manquant",IF(NOT(ISNUMBER(K3294)),"Taux de TVA invalide",IF(COUNTIF(p_rates,K3294)=0,"Taux de TVA hors liste (Paramètres)",IF(N(O3294)&gt;25,"Au-delà de 25 lignes : non imprimée","OK")))))))))))))</f>
        <v/>
      </c>
      <c r="O3294" s="59" t="str">
        <f>IF(A3294="","",COUNTIF($A$6:A3294,A3294))</f>
        <v/>
      </c>
      <c r="P3294" s="62" t="str">
        <f>IF(A3294="","",A3294&amp;"|"&amp;O3294)</f>
        <v/>
      </c>
    </row>
    <row r="3295">
      <c r="A3295" s="60" t="n"/>
      <c r="B3295" s="63" t="n"/>
      <c r="C3295" s="63" t="n"/>
      <c r="D3295" s="67" t="n"/>
      <c r="E3295" s="68" t="n"/>
      <c r="F3295" s="69" t="n"/>
      <c r="G3295" s="70" t="n"/>
      <c r="H3295" s="62" t="str">
        <f>IF(COUNTA(A3295:G3295)=0,"",IF(C3295&lt;&gt;"",C3295,IF(B3295="","",IFERROR(INDEX(pr_des,MATCH(B3295,pr_code,0))&amp;"",""))))</f>
        <v/>
      </c>
      <c r="I3295" s="59" t="str">
        <f>IF(B3295="","",IFERROR(INDEX(pr_unit,MATCH(B3295,pr_code,0))&amp;"",""))</f>
        <v/>
      </c>
      <c r="J3295" s="65" t="str">
        <f>IF(COUNTA(A3295:G3295)=0,"",IF(E3295&lt;&gt;"",E3295,IF(B3295="","",IFERROR(IF(INDEX(pr_price,MATCH(B3295,pr_code,0))="","",INDEX(pr_price,MATCH(B3295,pr_code,0))),""))))</f>
        <v/>
      </c>
      <c r="K3295" s="71" t="str">
        <f>IF(COUNTA(A3295:G3295)=0,"",IF(G3295&lt;&gt;"",G3295,IF(B3295="","",IFERROR(IF(INDEX(pr_rate,MATCH(B3295,pr_code,0))="","",INDEX(pr_rate,MATCH(B3295,pr_code,0))),""))))</f>
        <v/>
      </c>
      <c r="L3295" s="65" t="str">
        <f>IF(COUNTA(A3295:G3295)=0,"",IF(AND(ISNUMBER(D3295),ISNUMBER(J3295)),ROUND(D3295*J3295*(1-N(F3295)),2),0))</f>
        <v/>
      </c>
      <c r="M3295" s="62" t="str">
        <f>IF(A3295="","",IFERROR(INDEX(fa_cname,MATCH(A3295,fa_num,0))&amp;"",""))</f>
        <v/>
      </c>
      <c r="N3295" s="59" t="str">
        <f>IF(COUNTA(A3295:G3295)=0,"",IF(A3295="","N° facture manquant",IF(ISNA(MATCH(A3295,fa_num,0)),"Facture inconnue",IF(AND(B3295&lt;&gt;"",ISNA(MATCH(B3295,pr_code,0))),"Article inconnu",IF(H3295="","Désignation manquante",IF(OR(NOT(ISNUMBER(D3295)),N(D3295)&lt;=0),"Quantité invalide",IF(J3295="","Prix manquant",IF(OR(NOT(ISNUMBER(J3295)),N(J3295)&lt;0),"Prix invalide",IF(OR(AND(F3295&lt;&gt;"",NOT(ISNUMBER(F3295))),N(F3295)&lt;0,N(F3295)&gt;1),"Remise invalide",IF(K3295="","Taux de TVA manquant",IF(NOT(ISNUMBER(K3295)),"Taux de TVA invalide",IF(COUNTIF(p_rates,K3295)=0,"Taux de TVA hors liste (Paramètres)",IF(N(O3295)&gt;25,"Au-delà de 25 lignes : non imprimée","OK")))))))))))))</f>
        <v/>
      </c>
      <c r="O3295" s="59" t="str">
        <f>IF(A3295="","",COUNTIF($A$6:A3295,A3295))</f>
        <v/>
      </c>
      <c r="P3295" s="62" t="str">
        <f>IF(A3295="","",A3295&amp;"|"&amp;O3295)</f>
        <v/>
      </c>
    </row>
    <row r="3296">
      <c r="A3296" s="60" t="n"/>
      <c r="B3296" s="63" t="n"/>
      <c r="C3296" s="63" t="n"/>
      <c r="D3296" s="67" t="n"/>
      <c r="E3296" s="68" t="n"/>
      <c r="F3296" s="69" t="n"/>
      <c r="G3296" s="70" t="n"/>
      <c r="H3296" s="62" t="str">
        <f>IF(COUNTA(A3296:G3296)=0,"",IF(C3296&lt;&gt;"",C3296,IF(B3296="","",IFERROR(INDEX(pr_des,MATCH(B3296,pr_code,0))&amp;"",""))))</f>
        <v/>
      </c>
      <c r="I3296" s="59" t="str">
        <f>IF(B3296="","",IFERROR(INDEX(pr_unit,MATCH(B3296,pr_code,0))&amp;"",""))</f>
        <v/>
      </c>
      <c r="J3296" s="65" t="str">
        <f>IF(COUNTA(A3296:G3296)=0,"",IF(E3296&lt;&gt;"",E3296,IF(B3296="","",IFERROR(IF(INDEX(pr_price,MATCH(B3296,pr_code,0))="","",INDEX(pr_price,MATCH(B3296,pr_code,0))),""))))</f>
        <v/>
      </c>
      <c r="K3296" s="71" t="str">
        <f>IF(COUNTA(A3296:G3296)=0,"",IF(G3296&lt;&gt;"",G3296,IF(B3296="","",IFERROR(IF(INDEX(pr_rate,MATCH(B3296,pr_code,0))="","",INDEX(pr_rate,MATCH(B3296,pr_code,0))),""))))</f>
        <v/>
      </c>
      <c r="L3296" s="65" t="str">
        <f>IF(COUNTA(A3296:G3296)=0,"",IF(AND(ISNUMBER(D3296),ISNUMBER(J3296)),ROUND(D3296*J3296*(1-N(F3296)),2),0))</f>
        <v/>
      </c>
      <c r="M3296" s="62" t="str">
        <f>IF(A3296="","",IFERROR(INDEX(fa_cname,MATCH(A3296,fa_num,0))&amp;"",""))</f>
        <v/>
      </c>
      <c r="N3296" s="59" t="str">
        <f>IF(COUNTA(A3296:G3296)=0,"",IF(A3296="","N° facture manquant",IF(ISNA(MATCH(A3296,fa_num,0)),"Facture inconnue",IF(AND(B3296&lt;&gt;"",ISNA(MATCH(B3296,pr_code,0))),"Article inconnu",IF(H3296="","Désignation manquante",IF(OR(NOT(ISNUMBER(D3296)),N(D3296)&lt;=0),"Quantité invalide",IF(J3296="","Prix manquant",IF(OR(NOT(ISNUMBER(J3296)),N(J3296)&lt;0),"Prix invalide",IF(OR(AND(F3296&lt;&gt;"",NOT(ISNUMBER(F3296))),N(F3296)&lt;0,N(F3296)&gt;1),"Remise invalide",IF(K3296="","Taux de TVA manquant",IF(NOT(ISNUMBER(K3296)),"Taux de TVA invalide",IF(COUNTIF(p_rates,K3296)=0,"Taux de TVA hors liste (Paramètres)",IF(N(O3296)&gt;25,"Au-delà de 25 lignes : non imprimée","OK")))))))))))))</f>
        <v/>
      </c>
      <c r="O3296" s="59" t="str">
        <f>IF(A3296="","",COUNTIF($A$6:A3296,A3296))</f>
        <v/>
      </c>
      <c r="P3296" s="62" t="str">
        <f>IF(A3296="","",A3296&amp;"|"&amp;O3296)</f>
        <v/>
      </c>
    </row>
    <row r="3297">
      <c r="A3297" s="60" t="n"/>
      <c r="B3297" s="63" t="n"/>
      <c r="C3297" s="63" t="n"/>
      <c r="D3297" s="67" t="n"/>
      <c r="E3297" s="68" t="n"/>
      <c r="F3297" s="69" t="n"/>
      <c r="G3297" s="70" t="n"/>
      <c r="H3297" s="62" t="str">
        <f>IF(COUNTA(A3297:G3297)=0,"",IF(C3297&lt;&gt;"",C3297,IF(B3297="","",IFERROR(INDEX(pr_des,MATCH(B3297,pr_code,0))&amp;"",""))))</f>
        <v/>
      </c>
      <c r="I3297" s="59" t="str">
        <f>IF(B3297="","",IFERROR(INDEX(pr_unit,MATCH(B3297,pr_code,0))&amp;"",""))</f>
        <v/>
      </c>
      <c r="J3297" s="65" t="str">
        <f>IF(COUNTA(A3297:G3297)=0,"",IF(E3297&lt;&gt;"",E3297,IF(B3297="","",IFERROR(IF(INDEX(pr_price,MATCH(B3297,pr_code,0))="","",INDEX(pr_price,MATCH(B3297,pr_code,0))),""))))</f>
        <v/>
      </c>
      <c r="K3297" s="71" t="str">
        <f>IF(COUNTA(A3297:G3297)=0,"",IF(G3297&lt;&gt;"",G3297,IF(B3297="","",IFERROR(IF(INDEX(pr_rate,MATCH(B3297,pr_code,0))="","",INDEX(pr_rate,MATCH(B3297,pr_code,0))),""))))</f>
        <v/>
      </c>
      <c r="L3297" s="65" t="str">
        <f>IF(COUNTA(A3297:G3297)=0,"",IF(AND(ISNUMBER(D3297),ISNUMBER(J3297)),ROUND(D3297*J3297*(1-N(F3297)),2),0))</f>
        <v/>
      </c>
      <c r="M3297" s="62" t="str">
        <f>IF(A3297="","",IFERROR(INDEX(fa_cname,MATCH(A3297,fa_num,0))&amp;"",""))</f>
        <v/>
      </c>
      <c r="N3297" s="59" t="str">
        <f>IF(COUNTA(A3297:G3297)=0,"",IF(A3297="","N° facture manquant",IF(ISNA(MATCH(A3297,fa_num,0)),"Facture inconnue",IF(AND(B3297&lt;&gt;"",ISNA(MATCH(B3297,pr_code,0))),"Article inconnu",IF(H3297="","Désignation manquante",IF(OR(NOT(ISNUMBER(D3297)),N(D3297)&lt;=0),"Quantité invalide",IF(J3297="","Prix manquant",IF(OR(NOT(ISNUMBER(J3297)),N(J3297)&lt;0),"Prix invalide",IF(OR(AND(F3297&lt;&gt;"",NOT(ISNUMBER(F3297))),N(F3297)&lt;0,N(F3297)&gt;1),"Remise invalide",IF(K3297="","Taux de TVA manquant",IF(NOT(ISNUMBER(K3297)),"Taux de TVA invalide",IF(COUNTIF(p_rates,K3297)=0,"Taux de TVA hors liste (Paramètres)",IF(N(O3297)&gt;25,"Au-delà de 25 lignes : non imprimée","OK")))))))))))))</f>
        <v/>
      </c>
      <c r="O3297" s="59" t="str">
        <f>IF(A3297="","",COUNTIF($A$6:A3297,A3297))</f>
        <v/>
      </c>
      <c r="P3297" s="62" t="str">
        <f>IF(A3297="","",A3297&amp;"|"&amp;O3297)</f>
        <v/>
      </c>
    </row>
    <row r="3298">
      <c r="A3298" s="60" t="n"/>
      <c r="B3298" s="63" t="n"/>
      <c r="C3298" s="63" t="n"/>
      <c r="D3298" s="67" t="n"/>
      <c r="E3298" s="68" t="n"/>
      <c r="F3298" s="69" t="n"/>
      <c r="G3298" s="70" t="n"/>
      <c r="H3298" s="62" t="str">
        <f>IF(COUNTA(A3298:G3298)=0,"",IF(C3298&lt;&gt;"",C3298,IF(B3298="","",IFERROR(INDEX(pr_des,MATCH(B3298,pr_code,0))&amp;"",""))))</f>
        <v/>
      </c>
      <c r="I3298" s="59" t="str">
        <f>IF(B3298="","",IFERROR(INDEX(pr_unit,MATCH(B3298,pr_code,0))&amp;"",""))</f>
        <v/>
      </c>
      <c r="J3298" s="65" t="str">
        <f>IF(COUNTA(A3298:G3298)=0,"",IF(E3298&lt;&gt;"",E3298,IF(B3298="","",IFERROR(IF(INDEX(pr_price,MATCH(B3298,pr_code,0))="","",INDEX(pr_price,MATCH(B3298,pr_code,0))),""))))</f>
        <v/>
      </c>
      <c r="K3298" s="71" t="str">
        <f>IF(COUNTA(A3298:G3298)=0,"",IF(G3298&lt;&gt;"",G3298,IF(B3298="","",IFERROR(IF(INDEX(pr_rate,MATCH(B3298,pr_code,0))="","",INDEX(pr_rate,MATCH(B3298,pr_code,0))),""))))</f>
        <v/>
      </c>
      <c r="L3298" s="65" t="str">
        <f>IF(COUNTA(A3298:G3298)=0,"",IF(AND(ISNUMBER(D3298),ISNUMBER(J3298)),ROUND(D3298*J3298*(1-N(F3298)),2),0))</f>
        <v/>
      </c>
      <c r="M3298" s="62" t="str">
        <f>IF(A3298="","",IFERROR(INDEX(fa_cname,MATCH(A3298,fa_num,0))&amp;"",""))</f>
        <v/>
      </c>
      <c r="N3298" s="59" t="str">
        <f>IF(COUNTA(A3298:G3298)=0,"",IF(A3298="","N° facture manquant",IF(ISNA(MATCH(A3298,fa_num,0)),"Facture inconnue",IF(AND(B3298&lt;&gt;"",ISNA(MATCH(B3298,pr_code,0))),"Article inconnu",IF(H3298="","Désignation manquante",IF(OR(NOT(ISNUMBER(D3298)),N(D3298)&lt;=0),"Quantité invalide",IF(J3298="","Prix manquant",IF(OR(NOT(ISNUMBER(J3298)),N(J3298)&lt;0),"Prix invalide",IF(OR(AND(F3298&lt;&gt;"",NOT(ISNUMBER(F3298))),N(F3298)&lt;0,N(F3298)&gt;1),"Remise invalide",IF(K3298="","Taux de TVA manquant",IF(NOT(ISNUMBER(K3298)),"Taux de TVA invalide",IF(COUNTIF(p_rates,K3298)=0,"Taux de TVA hors liste (Paramètres)",IF(N(O3298)&gt;25,"Au-delà de 25 lignes : non imprimée","OK")))))))))))))</f>
        <v/>
      </c>
      <c r="O3298" s="59" t="str">
        <f>IF(A3298="","",COUNTIF($A$6:A3298,A3298))</f>
        <v/>
      </c>
      <c r="P3298" s="62" t="str">
        <f>IF(A3298="","",A3298&amp;"|"&amp;O3298)</f>
        <v/>
      </c>
    </row>
    <row r="3299">
      <c r="A3299" s="60" t="n"/>
      <c r="B3299" s="63" t="n"/>
      <c r="C3299" s="63" t="n"/>
      <c r="D3299" s="67" t="n"/>
      <c r="E3299" s="68" t="n"/>
      <c r="F3299" s="69" t="n"/>
      <c r="G3299" s="70" t="n"/>
      <c r="H3299" s="62" t="str">
        <f>IF(COUNTA(A3299:G3299)=0,"",IF(C3299&lt;&gt;"",C3299,IF(B3299="","",IFERROR(INDEX(pr_des,MATCH(B3299,pr_code,0))&amp;"",""))))</f>
        <v/>
      </c>
      <c r="I3299" s="59" t="str">
        <f>IF(B3299="","",IFERROR(INDEX(pr_unit,MATCH(B3299,pr_code,0))&amp;"",""))</f>
        <v/>
      </c>
      <c r="J3299" s="65" t="str">
        <f>IF(COUNTA(A3299:G3299)=0,"",IF(E3299&lt;&gt;"",E3299,IF(B3299="","",IFERROR(IF(INDEX(pr_price,MATCH(B3299,pr_code,0))="","",INDEX(pr_price,MATCH(B3299,pr_code,0))),""))))</f>
        <v/>
      </c>
      <c r="K3299" s="71" t="str">
        <f>IF(COUNTA(A3299:G3299)=0,"",IF(G3299&lt;&gt;"",G3299,IF(B3299="","",IFERROR(IF(INDEX(pr_rate,MATCH(B3299,pr_code,0))="","",INDEX(pr_rate,MATCH(B3299,pr_code,0))),""))))</f>
        <v/>
      </c>
      <c r="L3299" s="65" t="str">
        <f>IF(COUNTA(A3299:G3299)=0,"",IF(AND(ISNUMBER(D3299),ISNUMBER(J3299)),ROUND(D3299*J3299*(1-N(F3299)),2),0))</f>
        <v/>
      </c>
      <c r="M3299" s="62" t="str">
        <f>IF(A3299="","",IFERROR(INDEX(fa_cname,MATCH(A3299,fa_num,0))&amp;"",""))</f>
        <v/>
      </c>
      <c r="N3299" s="59" t="str">
        <f>IF(COUNTA(A3299:G3299)=0,"",IF(A3299="","N° facture manquant",IF(ISNA(MATCH(A3299,fa_num,0)),"Facture inconnue",IF(AND(B3299&lt;&gt;"",ISNA(MATCH(B3299,pr_code,0))),"Article inconnu",IF(H3299="","Désignation manquante",IF(OR(NOT(ISNUMBER(D3299)),N(D3299)&lt;=0),"Quantité invalide",IF(J3299="","Prix manquant",IF(OR(NOT(ISNUMBER(J3299)),N(J3299)&lt;0),"Prix invalide",IF(OR(AND(F3299&lt;&gt;"",NOT(ISNUMBER(F3299))),N(F3299)&lt;0,N(F3299)&gt;1),"Remise invalide",IF(K3299="","Taux de TVA manquant",IF(NOT(ISNUMBER(K3299)),"Taux de TVA invalide",IF(COUNTIF(p_rates,K3299)=0,"Taux de TVA hors liste (Paramètres)",IF(N(O3299)&gt;25,"Au-delà de 25 lignes : non imprimée","OK")))))))))))))</f>
        <v/>
      </c>
      <c r="O3299" s="59" t="str">
        <f>IF(A3299="","",COUNTIF($A$6:A3299,A3299))</f>
        <v/>
      </c>
      <c r="P3299" s="62" t="str">
        <f>IF(A3299="","",A3299&amp;"|"&amp;O3299)</f>
        <v/>
      </c>
    </row>
    <row r="3300">
      <c r="A3300" s="60" t="n"/>
      <c r="B3300" s="63" t="n"/>
      <c r="C3300" s="63" t="n"/>
      <c r="D3300" s="67" t="n"/>
      <c r="E3300" s="68" t="n"/>
      <c r="F3300" s="69" t="n"/>
      <c r="G3300" s="70" t="n"/>
      <c r="H3300" s="62" t="str">
        <f>IF(COUNTA(A3300:G3300)=0,"",IF(C3300&lt;&gt;"",C3300,IF(B3300="","",IFERROR(INDEX(pr_des,MATCH(B3300,pr_code,0))&amp;"",""))))</f>
        <v/>
      </c>
      <c r="I3300" s="59" t="str">
        <f>IF(B3300="","",IFERROR(INDEX(pr_unit,MATCH(B3300,pr_code,0))&amp;"",""))</f>
        <v/>
      </c>
      <c r="J3300" s="65" t="str">
        <f>IF(COUNTA(A3300:G3300)=0,"",IF(E3300&lt;&gt;"",E3300,IF(B3300="","",IFERROR(IF(INDEX(pr_price,MATCH(B3300,pr_code,0))="","",INDEX(pr_price,MATCH(B3300,pr_code,0))),""))))</f>
        <v/>
      </c>
      <c r="K3300" s="71" t="str">
        <f>IF(COUNTA(A3300:G3300)=0,"",IF(G3300&lt;&gt;"",G3300,IF(B3300="","",IFERROR(IF(INDEX(pr_rate,MATCH(B3300,pr_code,0))="","",INDEX(pr_rate,MATCH(B3300,pr_code,0))),""))))</f>
        <v/>
      </c>
      <c r="L3300" s="65" t="str">
        <f>IF(COUNTA(A3300:G3300)=0,"",IF(AND(ISNUMBER(D3300),ISNUMBER(J3300)),ROUND(D3300*J3300*(1-N(F3300)),2),0))</f>
        <v/>
      </c>
      <c r="M3300" s="62" t="str">
        <f>IF(A3300="","",IFERROR(INDEX(fa_cname,MATCH(A3300,fa_num,0))&amp;"",""))</f>
        <v/>
      </c>
      <c r="N3300" s="59" t="str">
        <f>IF(COUNTA(A3300:G3300)=0,"",IF(A3300="","N° facture manquant",IF(ISNA(MATCH(A3300,fa_num,0)),"Facture inconnue",IF(AND(B3300&lt;&gt;"",ISNA(MATCH(B3300,pr_code,0))),"Article inconnu",IF(H3300="","Désignation manquante",IF(OR(NOT(ISNUMBER(D3300)),N(D3300)&lt;=0),"Quantité invalide",IF(J3300="","Prix manquant",IF(OR(NOT(ISNUMBER(J3300)),N(J3300)&lt;0),"Prix invalide",IF(OR(AND(F3300&lt;&gt;"",NOT(ISNUMBER(F3300))),N(F3300)&lt;0,N(F3300)&gt;1),"Remise invalide",IF(K3300="","Taux de TVA manquant",IF(NOT(ISNUMBER(K3300)),"Taux de TVA invalide",IF(COUNTIF(p_rates,K3300)=0,"Taux de TVA hors liste (Paramètres)",IF(N(O3300)&gt;25,"Au-delà de 25 lignes : non imprimée","OK")))))))))))))</f>
        <v/>
      </c>
      <c r="O3300" s="59" t="str">
        <f>IF(A3300="","",COUNTIF($A$6:A3300,A3300))</f>
        <v/>
      </c>
      <c r="P3300" s="62" t="str">
        <f>IF(A3300="","",A3300&amp;"|"&amp;O3300)</f>
        <v/>
      </c>
    </row>
    <row r="3301">
      <c r="A3301" s="60" t="n"/>
      <c r="B3301" s="63" t="n"/>
      <c r="C3301" s="63" t="n"/>
      <c r="D3301" s="67" t="n"/>
      <c r="E3301" s="68" t="n"/>
      <c r="F3301" s="69" t="n"/>
      <c r="G3301" s="70" t="n"/>
      <c r="H3301" s="62" t="str">
        <f>IF(COUNTA(A3301:G3301)=0,"",IF(C3301&lt;&gt;"",C3301,IF(B3301="","",IFERROR(INDEX(pr_des,MATCH(B3301,pr_code,0))&amp;"",""))))</f>
        <v/>
      </c>
      <c r="I3301" s="59" t="str">
        <f>IF(B3301="","",IFERROR(INDEX(pr_unit,MATCH(B3301,pr_code,0))&amp;"",""))</f>
        <v/>
      </c>
      <c r="J3301" s="65" t="str">
        <f>IF(COUNTA(A3301:G3301)=0,"",IF(E3301&lt;&gt;"",E3301,IF(B3301="","",IFERROR(IF(INDEX(pr_price,MATCH(B3301,pr_code,0))="","",INDEX(pr_price,MATCH(B3301,pr_code,0))),""))))</f>
        <v/>
      </c>
      <c r="K3301" s="71" t="str">
        <f>IF(COUNTA(A3301:G3301)=0,"",IF(G3301&lt;&gt;"",G3301,IF(B3301="","",IFERROR(IF(INDEX(pr_rate,MATCH(B3301,pr_code,0))="","",INDEX(pr_rate,MATCH(B3301,pr_code,0))),""))))</f>
        <v/>
      </c>
      <c r="L3301" s="65" t="str">
        <f>IF(COUNTA(A3301:G3301)=0,"",IF(AND(ISNUMBER(D3301),ISNUMBER(J3301)),ROUND(D3301*J3301*(1-N(F3301)),2),0))</f>
        <v/>
      </c>
      <c r="M3301" s="62" t="str">
        <f>IF(A3301="","",IFERROR(INDEX(fa_cname,MATCH(A3301,fa_num,0))&amp;"",""))</f>
        <v/>
      </c>
      <c r="N3301" s="59" t="str">
        <f>IF(COUNTA(A3301:G3301)=0,"",IF(A3301="","N° facture manquant",IF(ISNA(MATCH(A3301,fa_num,0)),"Facture inconnue",IF(AND(B3301&lt;&gt;"",ISNA(MATCH(B3301,pr_code,0))),"Article inconnu",IF(H3301="","Désignation manquante",IF(OR(NOT(ISNUMBER(D3301)),N(D3301)&lt;=0),"Quantité invalide",IF(J3301="","Prix manquant",IF(OR(NOT(ISNUMBER(J3301)),N(J3301)&lt;0),"Prix invalide",IF(OR(AND(F3301&lt;&gt;"",NOT(ISNUMBER(F3301))),N(F3301)&lt;0,N(F3301)&gt;1),"Remise invalide",IF(K3301="","Taux de TVA manquant",IF(NOT(ISNUMBER(K3301)),"Taux de TVA invalide",IF(COUNTIF(p_rates,K3301)=0,"Taux de TVA hors liste (Paramètres)",IF(N(O3301)&gt;25,"Au-delà de 25 lignes : non imprimée","OK")))))))))))))</f>
        <v/>
      </c>
      <c r="O3301" s="59" t="str">
        <f>IF(A3301="","",COUNTIF($A$6:A3301,A3301))</f>
        <v/>
      </c>
      <c r="P3301" s="62" t="str">
        <f>IF(A3301="","",A3301&amp;"|"&amp;O3301)</f>
        <v/>
      </c>
    </row>
    <row r="3302">
      <c r="A3302" s="60" t="n"/>
      <c r="B3302" s="63" t="n"/>
      <c r="C3302" s="63" t="n"/>
      <c r="D3302" s="67" t="n"/>
      <c r="E3302" s="68" t="n"/>
      <c r="F3302" s="69" t="n"/>
      <c r="G3302" s="70" t="n"/>
      <c r="H3302" s="62" t="str">
        <f>IF(COUNTA(A3302:G3302)=0,"",IF(C3302&lt;&gt;"",C3302,IF(B3302="","",IFERROR(INDEX(pr_des,MATCH(B3302,pr_code,0))&amp;"",""))))</f>
        <v/>
      </c>
      <c r="I3302" s="59" t="str">
        <f>IF(B3302="","",IFERROR(INDEX(pr_unit,MATCH(B3302,pr_code,0))&amp;"",""))</f>
        <v/>
      </c>
      <c r="J3302" s="65" t="str">
        <f>IF(COUNTA(A3302:G3302)=0,"",IF(E3302&lt;&gt;"",E3302,IF(B3302="","",IFERROR(IF(INDEX(pr_price,MATCH(B3302,pr_code,0))="","",INDEX(pr_price,MATCH(B3302,pr_code,0))),""))))</f>
        <v/>
      </c>
      <c r="K3302" s="71" t="str">
        <f>IF(COUNTA(A3302:G3302)=0,"",IF(G3302&lt;&gt;"",G3302,IF(B3302="","",IFERROR(IF(INDEX(pr_rate,MATCH(B3302,pr_code,0))="","",INDEX(pr_rate,MATCH(B3302,pr_code,0))),""))))</f>
        <v/>
      </c>
      <c r="L3302" s="65" t="str">
        <f>IF(COUNTA(A3302:G3302)=0,"",IF(AND(ISNUMBER(D3302),ISNUMBER(J3302)),ROUND(D3302*J3302*(1-N(F3302)),2),0))</f>
        <v/>
      </c>
      <c r="M3302" s="62" t="str">
        <f>IF(A3302="","",IFERROR(INDEX(fa_cname,MATCH(A3302,fa_num,0))&amp;"",""))</f>
        <v/>
      </c>
      <c r="N3302" s="59" t="str">
        <f>IF(COUNTA(A3302:G3302)=0,"",IF(A3302="","N° facture manquant",IF(ISNA(MATCH(A3302,fa_num,0)),"Facture inconnue",IF(AND(B3302&lt;&gt;"",ISNA(MATCH(B3302,pr_code,0))),"Article inconnu",IF(H3302="","Désignation manquante",IF(OR(NOT(ISNUMBER(D3302)),N(D3302)&lt;=0),"Quantité invalide",IF(J3302="","Prix manquant",IF(OR(NOT(ISNUMBER(J3302)),N(J3302)&lt;0),"Prix invalide",IF(OR(AND(F3302&lt;&gt;"",NOT(ISNUMBER(F3302))),N(F3302)&lt;0,N(F3302)&gt;1),"Remise invalide",IF(K3302="","Taux de TVA manquant",IF(NOT(ISNUMBER(K3302)),"Taux de TVA invalide",IF(COUNTIF(p_rates,K3302)=0,"Taux de TVA hors liste (Paramètres)",IF(N(O3302)&gt;25,"Au-delà de 25 lignes : non imprimée","OK")))))))))))))</f>
        <v/>
      </c>
      <c r="O3302" s="59" t="str">
        <f>IF(A3302="","",COUNTIF($A$6:A3302,A3302))</f>
        <v/>
      </c>
      <c r="P3302" s="62" t="str">
        <f>IF(A3302="","",A3302&amp;"|"&amp;O3302)</f>
        <v/>
      </c>
    </row>
    <row r="3303">
      <c r="A3303" s="60" t="n"/>
      <c r="B3303" s="63" t="n"/>
      <c r="C3303" s="63" t="n"/>
      <c r="D3303" s="67" t="n"/>
      <c r="E3303" s="68" t="n"/>
      <c r="F3303" s="69" t="n"/>
      <c r="G3303" s="70" t="n"/>
      <c r="H3303" s="62" t="str">
        <f>IF(COUNTA(A3303:G3303)=0,"",IF(C3303&lt;&gt;"",C3303,IF(B3303="","",IFERROR(INDEX(pr_des,MATCH(B3303,pr_code,0))&amp;"",""))))</f>
        <v/>
      </c>
      <c r="I3303" s="59" t="str">
        <f>IF(B3303="","",IFERROR(INDEX(pr_unit,MATCH(B3303,pr_code,0))&amp;"",""))</f>
        <v/>
      </c>
      <c r="J3303" s="65" t="str">
        <f>IF(COUNTA(A3303:G3303)=0,"",IF(E3303&lt;&gt;"",E3303,IF(B3303="","",IFERROR(IF(INDEX(pr_price,MATCH(B3303,pr_code,0))="","",INDEX(pr_price,MATCH(B3303,pr_code,0))),""))))</f>
        <v/>
      </c>
      <c r="K3303" s="71" t="str">
        <f>IF(COUNTA(A3303:G3303)=0,"",IF(G3303&lt;&gt;"",G3303,IF(B3303="","",IFERROR(IF(INDEX(pr_rate,MATCH(B3303,pr_code,0))="","",INDEX(pr_rate,MATCH(B3303,pr_code,0))),""))))</f>
        <v/>
      </c>
      <c r="L3303" s="65" t="str">
        <f>IF(COUNTA(A3303:G3303)=0,"",IF(AND(ISNUMBER(D3303),ISNUMBER(J3303)),ROUND(D3303*J3303*(1-N(F3303)),2),0))</f>
        <v/>
      </c>
      <c r="M3303" s="62" t="str">
        <f>IF(A3303="","",IFERROR(INDEX(fa_cname,MATCH(A3303,fa_num,0))&amp;"",""))</f>
        <v/>
      </c>
      <c r="N3303" s="59" t="str">
        <f>IF(COUNTA(A3303:G3303)=0,"",IF(A3303="","N° facture manquant",IF(ISNA(MATCH(A3303,fa_num,0)),"Facture inconnue",IF(AND(B3303&lt;&gt;"",ISNA(MATCH(B3303,pr_code,0))),"Article inconnu",IF(H3303="","Désignation manquante",IF(OR(NOT(ISNUMBER(D3303)),N(D3303)&lt;=0),"Quantité invalide",IF(J3303="","Prix manquant",IF(OR(NOT(ISNUMBER(J3303)),N(J3303)&lt;0),"Prix invalide",IF(OR(AND(F3303&lt;&gt;"",NOT(ISNUMBER(F3303))),N(F3303)&lt;0,N(F3303)&gt;1),"Remise invalide",IF(K3303="","Taux de TVA manquant",IF(NOT(ISNUMBER(K3303)),"Taux de TVA invalide",IF(COUNTIF(p_rates,K3303)=0,"Taux de TVA hors liste (Paramètres)",IF(N(O3303)&gt;25,"Au-delà de 25 lignes : non imprimée","OK")))))))))))))</f>
        <v/>
      </c>
      <c r="O3303" s="59" t="str">
        <f>IF(A3303="","",COUNTIF($A$6:A3303,A3303))</f>
        <v/>
      </c>
      <c r="P3303" s="62" t="str">
        <f>IF(A3303="","",A3303&amp;"|"&amp;O3303)</f>
        <v/>
      </c>
    </row>
    <row r="3304">
      <c r="A3304" s="60" t="n"/>
      <c r="B3304" s="63" t="n"/>
      <c r="C3304" s="63" t="n"/>
      <c r="D3304" s="67" t="n"/>
      <c r="E3304" s="68" t="n"/>
      <c r="F3304" s="69" t="n"/>
      <c r="G3304" s="70" t="n"/>
      <c r="H3304" s="62" t="str">
        <f>IF(COUNTA(A3304:G3304)=0,"",IF(C3304&lt;&gt;"",C3304,IF(B3304="","",IFERROR(INDEX(pr_des,MATCH(B3304,pr_code,0))&amp;"",""))))</f>
        <v/>
      </c>
      <c r="I3304" s="59" t="str">
        <f>IF(B3304="","",IFERROR(INDEX(pr_unit,MATCH(B3304,pr_code,0))&amp;"",""))</f>
        <v/>
      </c>
      <c r="J3304" s="65" t="str">
        <f>IF(COUNTA(A3304:G3304)=0,"",IF(E3304&lt;&gt;"",E3304,IF(B3304="","",IFERROR(IF(INDEX(pr_price,MATCH(B3304,pr_code,0))="","",INDEX(pr_price,MATCH(B3304,pr_code,0))),""))))</f>
        <v/>
      </c>
      <c r="K3304" s="71" t="str">
        <f>IF(COUNTA(A3304:G3304)=0,"",IF(G3304&lt;&gt;"",G3304,IF(B3304="","",IFERROR(IF(INDEX(pr_rate,MATCH(B3304,pr_code,0))="","",INDEX(pr_rate,MATCH(B3304,pr_code,0))),""))))</f>
        <v/>
      </c>
      <c r="L3304" s="65" t="str">
        <f>IF(COUNTA(A3304:G3304)=0,"",IF(AND(ISNUMBER(D3304),ISNUMBER(J3304)),ROUND(D3304*J3304*(1-N(F3304)),2),0))</f>
        <v/>
      </c>
      <c r="M3304" s="62" t="str">
        <f>IF(A3304="","",IFERROR(INDEX(fa_cname,MATCH(A3304,fa_num,0))&amp;"",""))</f>
        <v/>
      </c>
      <c r="N3304" s="59" t="str">
        <f>IF(COUNTA(A3304:G3304)=0,"",IF(A3304="","N° facture manquant",IF(ISNA(MATCH(A3304,fa_num,0)),"Facture inconnue",IF(AND(B3304&lt;&gt;"",ISNA(MATCH(B3304,pr_code,0))),"Article inconnu",IF(H3304="","Désignation manquante",IF(OR(NOT(ISNUMBER(D3304)),N(D3304)&lt;=0),"Quantité invalide",IF(J3304="","Prix manquant",IF(OR(NOT(ISNUMBER(J3304)),N(J3304)&lt;0),"Prix invalide",IF(OR(AND(F3304&lt;&gt;"",NOT(ISNUMBER(F3304))),N(F3304)&lt;0,N(F3304)&gt;1),"Remise invalide",IF(K3304="","Taux de TVA manquant",IF(NOT(ISNUMBER(K3304)),"Taux de TVA invalide",IF(COUNTIF(p_rates,K3304)=0,"Taux de TVA hors liste (Paramètres)",IF(N(O3304)&gt;25,"Au-delà de 25 lignes : non imprimée","OK")))))))))))))</f>
        <v/>
      </c>
      <c r="O3304" s="59" t="str">
        <f>IF(A3304="","",COUNTIF($A$6:A3304,A3304))</f>
        <v/>
      </c>
      <c r="P3304" s="62" t="str">
        <f>IF(A3304="","",A3304&amp;"|"&amp;O3304)</f>
        <v/>
      </c>
    </row>
    <row r="3305">
      <c r="A3305" s="60" t="n"/>
      <c r="B3305" s="63" t="n"/>
      <c r="C3305" s="63" t="n"/>
      <c r="D3305" s="67" t="n"/>
      <c r="E3305" s="68" t="n"/>
      <c r="F3305" s="69" t="n"/>
      <c r="G3305" s="70" t="n"/>
      <c r="H3305" s="62" t="str">
        <f>IF(COUNTA(A3305:G3305)=0,"",IF(C3305&lt;&gt;"",C3305,IF(B3305="","",IFERROR(INDEX(pr_des,MATCH(B3305,pr_code,0))&amp;"",""))))</f>
        <v/>
      </c>
      <c r="I3305" s="59" t="str">
        <f>IF(B3305="","",IFERROR(INDEX(pr_unit,MATCH(B3305,pr_code,0))&amp;"",""))</f>
        <v/>
      </c>
      <c r="J3305" s="65" t="str">
        <f>IF(COUNTA(A3305:G3305)=0,"",IF(E3305&lt;&gt;"",E3305,IF(B3305="","",IFERROR(IF(INDEX(pr_price,MATCH(B3305,pr_code,0))="","",INDEX(pr_price,MATCH(B3305,pr_code,0))),""))))</f>
        <v/>
      </c>
      <c r="K3305" s="71" t="str">
        <f>IF(COUNTA(A3305:G3305)=0,"",IF(G3305&lt;&gt;"",G3305,IF(B3305="","",IFERROR(IF(INDEX(pr_rate,MATCH(B3305,pr_code,0))="","",INDEX(pr_rate,MATCH(B3305,pr_code,0))),""))))</f>
        <v/>
      </c>
      <c r="L3305" s="65" t="str">
        <f>IF(COUNTA(A3305:G3305)=0,"",IF(AND(ISNUMBER(D3305),ISNUMBER(J3305)),ROUND(D3305*J3305*(1-N(F3305)),2),0))</f>
        <v/>
      </c>
      <c r="M3305" s="62" t="str">
        <f>IF(A3305="","",IFERROR(INDEX(fa_cname,MATCH(A3305,fa_num,0))&amp;"",""))</f>
        <v/>
      </c>
      <c r="N3305" s="59" t="str">
        <f>IF(COUNTA(A3305:G3305)=0,"",IF(A3305="","N° facture manquant",IF(ISNA(MATCH(A3305,fa_num,0)),"Facture inconnue",IF(AND(B3305&lt;&gt;"",ISNA(MATCH(B3305,pr_code,0))),"Article inconnu",IF(H3305="","Désignation manquante",IF(OR(NOT(ISNUMBER(D3305)),N(D3305)&lt;=0),"Quantité invalide",IF(J3305="","Prix manquant",IF(OR(NOT(ISNUMBER(J3305)),N(J3305)&lt;0),"Prix invalide",IF(OR(AND(F3305&lt;&gt;"",NOT(ISNUMBER(F3305))),N(F3305)&lt;0,N(F3305)&gt;1),"Remise invalide",IF(K3305="","Taux de TVA manquant",IF(NOT(ISNUMBER(K3305)),"Taux de TVA invalide",IF(COUNTIF(p_rates,K3305)=0,"Taux de TVA hors liste (Paramètres)",IF(N(O3305)&gt;25,"Au-delà de 25 lignes : non imprimée","OK")))))))))))))</f>
        <v/>
      </c>
      <c r="O3305" s="59" t="str">
        <f>IF(A3305="","",COUNTIF($A$6:A3305,A3305))</f>
        <v/>
      </c>
      <c r="P3305" s="62" t="str">
        <f>IF(A3305="","",A3305&amp;"|"&amp;O3305)</f>
        <v/>
      </c>
    </row>
    <row r="3306">
      <c r="A3306" s="60" t="n"/>
      <c r="B3306" s="63" t="n"/>
      <c r="C3306" s="63" t="n"/>
      <c r="D3306" s="67" t="n"/>
      <c r="E3306" s="68" t="n"/>
      <c r="F3306" s="69" t="n"/>
      <c r="G3306" s="70" t="n"/>
      <c r="H3306" s="62" t="str">
        <f>IF(COUNTA(A3306:G3306)=0,"",IF(C3306&lt;&gt;"",C3306,IF(B3306="","",IFERROR(INDEX(pr_des,MATCH(B3306,pr_code,0))&amp;"",""))))</f>
        <v/>
      </c>
      <c r="I3306" s="59" t="str">
        <f>IF(B3306="","",IFERROR(INDEX(pr_unit,MATCH(B3306,pr_code,0))&amp;"",""))</f>
        <v/>
      </c>
      <c r="J3306" s="65" t="str">
        <f>IF(COUNTA(A3306:G3306)=0,"",IF(E3306&lt;&gt;"",E3306,IF(B3306="","",IFERROR(IF(INDEX(pr_price,MATCH(B3306,pr_code,0))="","",INDEX(pr_price,MATCH(B3306,pr_code,0))),""))))</f>
        <v/>
      </c>
      <c r="K3306" s="71" t="str">
        <f>IF(COUNTA(A3306:G3306)=0,"",IF(G3306&lt;&gt;"",G3306,IF(B3306="","",IFERROR(IF(INDEX(pr_rate,MATCH(B3306,pr_code,0))="","",INDEX(pr_rate,MATCH(B3306,pr_code,0))),""))))</f>
        <v/>
      </c>
      <c r="L3306" s="65" t="str">
        <f>IF(COUNTA(A3306:G3306)=0,"",IF(AND(ISNUMBER(D3306),ISNUMBER(J3306)),ROUND(D3306*J3306*(1-N(F3306)),2),0))</f>
        <v/>
      </c>
      <c r="M3306" s="62" t="str">
        <f>IF(A3306="","",IFERROR(INDEX(fa_cname,MATCH(A3306,fa_num,0))&amp;"",""))</f>
        <v/>
      </c>
      <c r="N3306" s="59" t="str">
        <f>IF(COUNTA(A3306:G3306)=0,"",IF(A3306="","N° facture manquant",IF(ISNA(MATCH(A3306,fa_num,0)),"Facture inconnue",IF(AND(B3306&lt;&gt;"",ISNA(MATCH(B3306,pr_code,0))),"Article inconnu",IF(H3306="","Désignation manquante",IF(OR(NOT(ISNUMBER(D3306)),N(D3306)&lt;=0),"Quantité invalide",IF(J3306="","Prix manquant",IF(OR(NOT(ISNUMBER(J3306)),N(J3306)&lt;0),"Prix invalide",IF(OR(AND(F3306&lt;&gt;"",NOT(ISNUMBER(F3306))),N(F3306)&lt;0,N(F3306)&gt;1),"Remise invalide",IF(K3306="","Taux de TVA manquant",IF(NOT(ISNUMBER(K3306)),"Taux de TVA invalide",IF(COUNTIF(p_rates,K3306)=0,"Taux de TVA hors liste (Paramètres)",IF(N(O3306)&gt;25,"Au-delà de 25 lignes : non imprimée","OK")))))))))))))</f>
        <v/>
      </c>
      <c r="O3306" s="59" t="str">
        <f>IF(A3306="","",COUNTIF($A$6:A3306,A3306))</f>
        <v/>
      </c>
      <c r="P3306" s="62" t="str">
        <f>IF(A3306="","",A3306&amp;"|"&amp;O3306)</f>
        <v/>
      </c>
    </row>
    <row r="3307">
      <c r="A3307" s="60" t="n"/>
      <c r="B3307" s="63" t="n"/>
      <c r="C3307" s="63" t="n"/>
      <c r="D3307" s="67" t="n"/>
      <c r="E3307" s="68" t="n"/>
      <c r="F3307" s="69" t="n"/>
      <c r="G3307" s="70" t="n"/>
      <c r="H3307" s="62" t="str">
        <f>IF(COUNTA(A3307:G3307)=0,"",IF(C3307&lt;&gt;"",C3307,IF(B3307="","",IFERROR(INDEX(pr_des,MATCH(B3307,pr_code,0))&amp;"",""))))</f>
        <v/>
      </c>
      <c r="I3307" s="59" t="str">
        <f>IF(B3307="","",IFERROR(INDEX(pr_unit,MATCH(B3307,pr_code,0))&amp;"",""))</f>
        <v/>
      </c>
      <c r="J3307" s="65" t="str">
        <f>IF(COUNTA(A3307:G3307)=0,"",IF(E3307&lt;&gt;"",E3307,IF(B3307="","",IFERROR(IF(INDEX(pr_price,MATCH(B3307,pr_code,0))="","",INDEX(pr_price,MATCH(B3307,pr_code,0))),""))))</f>
        <v/>
      </c>
      <c r="K3307" s="71" t="str">
        <f>IF(COUNTA(A3307:G3307)=0,"",IF(G3307&lt;&gt;"",G3307,IF(B3307="","",IFERROR(IF(INDEX(pr_rate,MATCH(B3307,pr_code,0))="","",INDEX(pr_rate,MATCH(B3307,pr_code,0))),""))))</f>
        <v/>
      </c>
      <c r="L3307" s="65" t="str">
        <f>IF(COUNTA(A3307:G3307)=0,"",IF(AND(ISNUMBER(D3307),ISNUMBER(J3307)),ROUND(D3307*J3307*(1-N(F3307)),2),0))</f>
        <v/>
      </c>
      <c r="M3307" s="62" t="str">
        <f>IF(A3307="","",IFERROR(INDEX(fa_cname,MATCH(A3307,fa_num,0))&amp;"",""))</f>
        <v/>
      </c>
      <c r="N3307" s="59" t="str">
        <f>IF(COUNTA(A3307:G3307)=0,"",IF(A3307="","N° facture manquant",IF(ISNA(MATCH(A3307,fa_num,0)),"Facture inconnue",IF(AND(B3307&lt;&gt;"",ISNA(MATCH(B3307,pr_code,0))),"Article inconnu",IF(H3307="","Désignation manquante",IF(OR(NOT(ISNUMBER(D3307)),N(D3307)&lt;=0),"Quantité invalide",IF(J3307="","Prix manquant",IF(OR(NOT(ISNUMBER(J3307)),N(J3307)&lt;0),"Prix invalide",IF(OR(AND(F3307&lt;&gt;"",NOT(ISNUMBER(F3307))),N(F3307)&lt;0,N(F3307)&gt;1),"Remise invalide",IF(K3307="","Taux de TVA manquant",IF(NOT(ISNUMBER(K3307)),"Taux de TVA invalide",IF(COUNTIF(p_rates,K3307)=0,"Taux de TVA hors liste (Paramètres)",IF(N(O3307)&gt;25,"Au-delà de 25 lignes : non imprimée","OK")))))))))))))</f>
        <v/>
      </c>
      <c r="O3307" s="59" t="str">
        <f>IF(A3307="","",COUNTIF($A$6:A3307,A3307))</f>
        <v/>
      </c>
      <c r="P3307" s="62" t="str">
        <f>IF(A3307="","",A3307&amp;"|"&amp;O3307)</f>
        <v/>
      </c>
    </row>
    <row r="3308">
      <c r="A3308" s="60" t="n"/>
      <c r="B3308" s="63" t="n"/>
      <c r="C3308" s="63" t="n"/>
      <c r="D3308" s="67" t="n"/>
      <c r="E3308" s="68" t="n"/>
      <c r="F3308" s="69" t="n"/>
      <c r="G3308" s="70" t="n"/>
      <c r="H3308" s="62" t="str">
        <f>IF(COUNTA(A3308:G3308)=0,"",IF(C3308&lt;&gt;"",C3308,IF(B3308="","",IFERROR(INDEX(pr_des,MATCH(B3308,pr_code,0))&amp;"",""))))</f>
        <v/>
      </c>
      <c r="I3308" s="59" t="str">
        <f>IF(B3308="","",IFERROR(INDEX(pr_unit,MATCH(B3308,pr_code,0))&amp;"",""))</f>
        <v/>
      </c>
      <c r="J3308" s="65" t="str">
        <f>IF(COUNTA(A3308:G3308)=0,"",IF(E3308&lt;&gt;"",E3308,IF(B3308="","",IFERROR(IF(INDEX(pr_price,MATCH(B3308,pr_code,0))="","",INDEX(pr_price,MATCH(B3308,pr_code,0))),""))))</f>
        <v/>
      </c>
      <c r="K3308" s="71" t="str">
        <f>IF(COUNTA(A3308:G3308)=0,"",IF(G3308&lt;&gt;"",G3308,IF(B3308="","",IFERROR(IF(INDEX(pr_rate,MATCH(B3308,pr_code,0))="","",INDEX(pr_rate,MATCH(B3308,pr_code,0))),""))))</f>
        <v/>
      </c>
      <c r="L3308" s="65" t="str">
        <f>IF(COUNTA(A3308:G3308)=0,"",IF(AND(ISNUMBER(D3308),ISNUMBER(J3308)),ROUND(D3308*J3308*(1-N(F3308)),2),0))</f>
        <v/>
      </c>
      <c r="M3308" s="62" t="str">
        <f>IF(A3308="","",IFERROR(INDEX(fa_cname,MATCH(A3308,fa_num,0))&amp;"",""))</f>
        <v/>
      </c>
      <c r="N3308" s="59" t="str">
        <f>IF(COUNTA(A3308:G3308)=0,"",IF(A3308="","N° facture manquant",IF(ISNA(MATCH(A3308,fa_num,0)),"Facture inconnue",IF(AND(B3308&lt;&gt;"",ISNA(MATCH(B3308,pr_code,0))),"Article inconnu",IF(H3308="","Désignation manquante",IF(OR(NOT(ISNUMBER(D3308)),N(D3308)&lt;=0),"Quantité invalide",IF(J3308="","Prix manquant",IF(OR(NOT(ISNUMBER(J3308)),N(J3308)&lt;0),"Prix invalide",IF(OR(AND(F3308&lt;&gt;"",NOT(ISNUMBER(F3308))),N(F3308)&lt;0,N(F3308)&gt;1),"Remise invalide",IF(K3308="","Taux de TVA manquant",IF(NOT(ISNUMBER(K3308)),"Taux de TVA invalide",IF(COUNTIF(p_rates,K3308)=0,"Taux de TVA hors liste (Paramètres)",IF(N(O3308)&gt;25,"Au-delà de 25 lignes : non imprimée","OK")))))))))))))</f>
        <v/>
      </c>
      <c r="O3308" s="59" t="str">
        <f>IF(A3308="","",COUNTIF($A$6:A3308,A3308))</f>
        <v/>
      </c>
      <c r="P3308" s="62" t="str">
        <f>IF(A3308="","",A3308&amp;"|"&amp;O3308)</f>
        <v/>
      </c>
    </row>
    <row r="3309">
      <c r="A3309" s="60" t="n"/>
      <c r="B3309" s="63" t="n"/>
      <c r="C3309" s="63" t="n"/>
      <c r="D3309" s="67" t="n"/>
      <c r="E3309" s="68" t="n"/>
      <c r="F3309" s="69" t="n"/>
      <c r="G3309" s="70" t="n"/>
      <c r="H3309" s="62" t="str">
        <f>IF(COUNTA(A3309:G3309)=0,"",IF(C3309&lt;&gt;"",C3309,IF(B3309="","",IFERROR(INDEX(pr_des,MATCH(B3309,pr_code,0))&amp;"",""))))</f>
        <v/>
      </c>
      <c r="I3309" s="59" t="str">
        <f>IF(B3309="","",IFERROR(INDEX(pr_unit,MATCH(B3309,pr_code,0))&amp;"",""))</f>
        <v/>
      </c>
      <c r="J3309" s="65" t="str">
        <f>IF(COUNTA(A3309:G3309)=0,"",IF(E3309&lt;&gt;"",E3309,IF(B3309="","",IFERROR(IF(INDEX(pr_price,MATCH(B3309,pr_code,0))="","",INDEX(pr_price,MATCH(B3309,pr_code,0))),""))))</f>
        <v/>
      </c>
      <c r="K3309" s="71" t="str">
        <f>IF(COUNTA(A3309:G3309)=0,"",IF(G3309&lt;&gt;"",G3309,IF(B3309="","",IFERROR(IF(INDEX(pr_rate,MATCH(B3309,pr_code,0))="","",INDEX(pr_rate,MATCH(B3309,pr_code,0))),""))))</f>
        <v/>
      </c>
      <c r="L3309" s="65" t="str">
        <f>IF(COUNTA(A3309:G3309)=0,"",IF(AND(ISNUMBER(D3309),ISNUMBER(J3309)),ROUND(D3309*J3309*(1-N(F3309)),2),0))</f>
        <v/>
      </c>
      <c r="M3309" s="62" t="str">
        <f>IF(A3309="","",IFERROR(INDEX(fa_cname,MATCH(A3309,fa_num,0))&amp;"",""))</f>
        <v/>
      </c>
      <c r="N3309" s="59" t="str">
        <f>IF(COUNTA(A3309:G3309)=0,"",IF(A3309="","N° facture manquant",IF(ISNA(MATCH(A3309,fa_num,0)),"Facture inconnue",IF(AND(B3309&lt;&gt;"",ISNA(MATCH(B3309,pr_code,0))),"Article inconnu",IF(H3309="","Désignation manquante",IF(OR(NOT(ISNUMBER(D3309)),N(D3309)&lt;=0),"Quantité invalide",IF(J3309="","Prix manquant",IF(OR(NOT(ISNUMBER(J3309)),N(J3309)&lt;0),"Prix invalide",IF(OR(AND(F3309&lt;&gt;"",NOT(ISNUMBER(F3309))),N(F3309)&lt;0,N(F3309)&gt;1),"Remise invalide",IF(K3309="","Taux de TVA manquant",IF(NOT(ISNUMBER(K3309)),"Taux de TVA invalide",IF(COUNTIF(p_rates,K3309)=0,"Taux de TVA hors liste (Paramètres)",IF(N(O3309)&gt;25,"Au-delà de 25 lignes : non imprimée","OK")))))))))))))</f>
        <v/>
      </c>
      <c r="O3309" s="59" t="str">
        <f>IF(A3309="","",COUNTIF($A$6:A3309,A3309))</f>
        <v/>
      </c>
      <c r="P3309" s="62" t="str">
        <f>IF(A3309="","",A3309&amp;"|"&amp;O3309)</f>
        <v/>
      </c>
    </row>
    <row r="3310">
      <c r="A3310" s="60" t="n"/>
      <c r="B3310" s="63" t="n"/>
      <c r="C3310" s="63" t="n"/>
      <c r="D3310" s="67" t="n"/>
      <c r="E3310" s="68" t="n"/>
      <c r="F3310" s="69" t="n"/>
      <c r="G3310" s="70" t="n"/>
      <c r="H3310" s="62" t="str">
        <f>IF(COUNTA(A3310:G3310)=0,"",IF(C3310&lt;&gt;"",C3310,IF(B3310="","",IFERROR(INDEX(pr_des,MATCH(B3310,pr_code,0))&amp;"",""))))</f>
        <v/>
      </c>
      <c r="I3310" s="59" t="str">
        <f>IF(B3310="","",IFERROR(INDEX(pr_unit,MATCH(B3310,pr_code,0))&amp;"",""))</f>
        <v/>
      </c>
      <c r="J3310" s="65" t="str">
        <f>IF(COUNTA(A3310:G3310)=0,"",IF(E3310&lt;&gt;"",E3310,IF(B3310="","",IFERROR(IF(INDEX(pr_price,MATCH(B3310,pr_code,0))="","",INDEX(pr_price,MATCH(B3310,pr_code,0))),""))))</f>
        <v/>
      </c>
      <c r="K3310" s="71" t="str">
        <f>IF(COUNTA(A3310:G3310)=0,"",IF(G3310&lt;&gt;"",G3310,IF(B3310="","",IFERROR(IF(INDEX(pr_rate,MATCH(B3310,pr_code,0))="","",INDEX(pr_rate,MATCH(B3310,pr_code,0))),""))))</f>
        <v/>
      </c>
      <c r="L3310" s="65" t="str">
        <f>IF(COUNTA(A3310:G3310)=0,"",IF(AND(ISNUMBER(D3310),ISNUMBER(J3310)),ROUND(D3310*J3310*(1-N(F3310)),2),0))</f>
        <v/>
      </c>
      <c r="M3310" s="62" t="str">
        <f>IF(A3310="","",IFERROR(INDEX(fa_cname,MATCH(A3310,fa_num,0))&amp;"",""))</f>
        <v/>
      </c>
      <c r="N3310" s="59" t="str">
        <f>IF(COUNTA(A3310:G3310)=0,"",IF(A3310="","N° facture manquant",IF(ISNA(MATCH(A3310,fa_num,0)),"Facture inconnue",IF(AND(B3310&lt;&gt;"",ISNA(MATCH(B3310,pr_code,0))),"Article inconnu",IF(H3310="","Désignation manquante",IF(OR(NOT(ISNUMBER(D3310)),N(D3310)&lt;=0),"Quantité invalide",IF(J3310="","Prix manquant",IF(OR(NOT(ISNUMBER(J3310)),N(J3310)&lt;0),"Prix invalide",IF(OR(AND(F3310&lt;&gt;"",NOT(ISNUMBER(F3310))),N(F3310)&lt;0,N(F3310)&gt;1),"Remise invalide",IF(K3310="","Taux de TVA manquant",IF(NOT(ISNUMBER(K3310)),"Taux de TVA invalide",IF(COUNTIF(p_rates,K3310)=0,"Taux de TVA hors liste (Paramètres)",IF(N(O3310)&gt;25,"Au-delà de 25 lignes : non imprimée","OK")))))))))))))</f>
        <v/>
      </c>
      <c r="O3310" s="59" t="str">
        <f>IF(A3310="","",COUNTIF($A$6:A3310,A3310))</f>
        <v/>
      </c>
      <c r="P3310" s="62" t="str">
        <f>IF(A3310="","",A3310&amp;"|"&amp;O3310)</f>
        <v/>
      </c>
    </row>
    <row r="3311">
      <c r="A3311" s="60" t="n"/>
      <c r="B3311" s="63" t="n"/>
      <c r="C3311" s="63" t="n"/>
      <c r="D3311" s="67" t="n"/>
      <c r="E3311" s="68" t="n"/>
      <c r="F3311" s="69" t="n"/>
      <c r="G3311" s="70" t="n"/>
      <c r="H3311" s="62" t="str">
        <f>IF(COUNTA(A3311:G3311)=0,"",IF(C3311&lt;&gt;"",C3311,IF(B3311="","",IFERROR(INDEX(pr_des,MATCH(B3311,pr_code,0))&amp;"",""))))</f>
        <v/>
      </c>
      <c r="I3311" s="59" t="str">
        <f>IF(B3311="","",IFERROR(INDEX(pr_unit,MATCH(B3311,pr_code,0))&amp;"",""))</f>
        <v/>
      </c>
      <c r="J3311" s="65" t="str">
        <f>IF(COUNTA(A3311:G3311)=0,"",IF(E3311&lt;&gt;"",E3311,IF(B3311="","",IFERROR(IF(INDEX(pr_price,MATCH(B3311,pr_code,0))="","",INDEX(pr_price,MATCH(B3311,pr_code,0))),""))))</f>
        <v/>
      </c>
      <c r="K3311" s="71" t="str">
        <f>IF(COUNTA(A3311:G3311)=0,"",IF(G3311&lt;&gt;"",G3311,IF(B3311="","",IFERROR(IF(INDEX(pr_rate,MATCH(B3311,pr_code,0))="","",INDEX(pr_rate,MATCH(B3311,pr_code,0))),""))))</f>
        <v/>
      </c>
      <c r="L3311" s="65" t="str">
        <f>IF(COUNTA(A3311:G3311)=0,"",IF(AND(ISNUMBER(D3311),ISNUMBER(J3311)),ROUND(D3311*J3311*(1-N(F3311)),2),0))</f>
        <v/>
      </c>
      <c r="M3311" s="62" t="str">
        <f>IF(A3311="","",IFERROR(INDEX(fa_cname,MATCH(A3311,fa_num,0))&amp;"",""))</f>
        <v/>
      </c>
      <c r="N3311" s="59" t="str">
        <f>IF(COUNTA(A3311:G3311)=0,"",IF(A3311="","N° facture manquant",IF(ISNA(MATCH(A3311,fa_num,0)),"Facture inconnue",IF(AND(B3311&lt;&gt;"",ISNA(MATCH(B3311,pr_code,0))),"Article inconnu",IF(H3311="","Désignation manquante",IF(OR(NOT(ISNUMBER(D3311)),N(D3311)&lt;=0),"Quantité invalide",IF(J3311="","Prix manquant",IF(OR(NOT(ISNUMBER(J3311)),N(J3311)&lt;0),"Prix invalide",IF(OR(AND(F3311&lt;&gt;"",NOT(ISNUMBER(F3311))),N(F3311)&lt;0,N(F3311)&gt;1),"Remise invalide",IF(K3311="","Taux de TVA manquant",IF(NOT(ISNUMBER(K3311)),"Taux de TVA invalide",IF(COUNTIF(p_rates,K3311)=0,"Taux de TVA hors liste (Paramètres)",IF(N(O3311)&gt;25,"Au-delà de 25 lignes : non imprimée","OK")))))))))))))</f>
        <v/>
      </c>
      <c r="O3311" s="59" t="str">
        <f>IF(A3311="","",COUNTIF($A$6:A3311,A3311))</f>
        <v/>
      </c>
      <c r="P3311" s="62" t="str">
        <f>IF(A3311="","",A3311&amp;"|"&amp;O3311)</f>
        <v/>
      </c>
    </row>
    <row r="3312">
      <c r="A3312" s="60" t="n"/>
      <c r="B3312" s="63" t="n"/>
      <c r="C3312" s="63" t="n"/>
      <c r="D3312" s="67" t="n"/>
      <c r="E3312" s="68" t="n"/>
      <c r="F3312" s="69" t="n"/>
      <c r="G3312" s="70" t="n"/>
      <c r="H3312" s="62" t="str">
        <f>IF(COUNTA(A3312:G3312)=0,"",IF(C3312&lt;&gt;"",C3312,IF(B3312="","",IFERROR(INDEX(pr_des,MATCH(B3312,pr_code,0))&amp;"",""))))</f>
        <v/>
      </c>
      <c r="I3312" s="59" t="str">
        <f>IF(B3312="","",IFERROR(INDEX(pr_unit,MATCH(B3312,pr_code,0))&amp;"",""))</f>
        <v/>
      </c>
      <c r="J3312" s="65" t="str">
        <f>IF(COUNTA(A3312:G3312)=0,"",IF(E3312&lt;&gt;"",E3312,IF(B3312="","",IFERROR(IF(INDEX(pr_price,MATCH(B3312,pr_code,0))="","",INDEX(pr_price,MATCH(B3312,pr_code,0))),""))))</f>
        <v/>
      </c>
      <c r="K3312" s="71" t="str">
        <f>IF(COUNTA(A3312:G3312)=0,"",IF(G3312&lt;&gt;"",G3312,IF(B3312="","",IFERROR(IF(INDEX(pr_rate,MATCH(B3312,pr_code,0))="","",INDEX(pr_rate,MATCH(B3312,pr_code,0))),""))))</f>
        <v/>
      </c>
      <c r="L3312" s="65" t="str">
        <f>IF(COUNTA(A3312:G3312)=0,"",IF(AND(ISNUMBER(D3312),ISNUMBER(J3312)),ROUND(D3312*J3312*(1-N(F3312)),2),0))</f>
        <v/>
      </c>
      <c r="M3312" s="62" t="str">
        <f>IF(A3312="","",IFERROR(INDEX(fa_cname,MATCH(A3312,fa_num,0))&amp;"",""))</f>
        <v/>
      </c>
      <c r="N3312" s="59" t="str">
        <f>IF(COUNTA(A3312:G3312)=0,"",IF(A3312="","N° facture manquant",IF(ISNA(MATCH(A3312,fa_num,0)),"Facture inconnue",IF(AND(B3312&lt;&gt;"",ISNA(MATCH(B3312,pr_code,0))),"Article inconnu",IF(H3312="","Désignation manquante",IF(OR(NOT(ISNUMBER(D3312)),N(D3312)&lt;=0),"Quantité invalide",IF(J3312="","Prix manquant",IF(OR(NOT(ISNUMBER(J3312)),N(J3312)&lt;0),"Prix invalide",IF(OR(AND(F3312&lt;&gt;"",NOT(ISNUMBER(F3312))),N(F3312)&lt;0,N(F3312)&gt;1),"Remise invalide",IF(K3312="","Taux de TVA manquant",IF(NOT(ISNUMBER(K3312)),"Taux de TVA invalide",IF(COUNTIF(p_rates,K3312)=0,"Taux de TVA hors liste (Paramètres)",IF(N(O3312)&gt;25,"Au-delà de 25 lignes : non imprimée","OK")))))))))))))</f>
        <v/>
      </c>
      <c r="O3312" s="59" t="str">
        <f>IF(A3312="","",COUNTIF($A$6:A3312,A3312))</f>
        <v/>
      </c>
      <c r="P3312" s="62" t="str">
        <f>IF(A3312="","",A3312&amp;"|"&amp;O3312)</f>
        <v/>
      </c>
    </row>
    <row r="3313">
      <c r="A3313" s="60" t="n"/>
      <c r="B3313" s="63" t="n"/>
      <c r="C3313" s="63" t="n"/>
      <c r="D3313" s="67" t="n"/>
      <c r="E3313" s="68" t="n"/>
      <c r="F3313" s="69" t="n"/>
      <c r="G3313" s="70" t="n"/>
      <c r="H3313" s="62" t="str">
        <f>IF(COUNTA(A3313:G3313)=0,"",IF(C3313&lt;&gt;"",C3313,IF(B3313="","",IFERROR(INDEX(pr_des,MATCH(B3313,pr_code,0))&amp;"",""))))</f>
        <v/>
      </c>
      <c r="I3313" s="59" t="str">
        <f>IF(B3313="","",IFERROR(INDEX(pr_unit,MATCH(B3313,pr_code,0))&amp;"",""))</f>
        <v/>
      </c>
      <c r="J3313" s="65" t="str">
        <f>IF(COUNTA(A3313:G3313)=0,"",IF(E3313&lt;&gt;"",E3313,IF(B3313="","",IFERROR(IF(INDEX(pr_price,MATCH(B3313,pr_code,0))="","",INDEX(pr_price,MATCH(B3313,pr_code,0))),""))))</f>
        <v/>
      </c>
      <c r="K3313" s="71" t="str">
        <f>IF(COUNTA(A3313:G3313)=0,"",IF(G3313&lt;&gt;"",G3313,IF(B3313="","",IFERROR(IF(INDEX(pr_rate,MATCH(B3313,pr_code,0))="","",INDEX(pr_rate,MATCH(B3313,pr_code,0))),""))))</f>
        <v/>
      </c>
      <c r="L3313" s="65" t="str">
        <f>IF(COUNTA(A3313:G3313)=0,"",IF(AND(ISNUMBER(D3313),ISNUMBER(J3313)),ROUND(D3313*J3313*(1-N(F3313)),2),0))</f>
        <v/>
      </c>
      <c r="M3313" s="62" t="str">
        <f>IF(A3313="","",IFERROR(INDEX(fa_cname,MATCH(A3313,fa_num,0))&amp;"",""))</f>
        <v/>
      </c>
      <c r="N3313" s="59" t="str">
        <f>IF(COUNTA(A3313:G3313)=0,"",IF(A3313="","N° facture manquant",IF(ISNA(MATCH(A3313,fa_num,0)),"Facture inconnue",IF(AND(B3313&lt;&gt;"",ISNA(MATCH(B3313,pr_code,0))),"Article inconnu",IF(H3313="","Désignation manquante",IF(OR(NOT(ISNUMBER(D3313)),N(D3313)&lt;=0),"Quantité invalide",IF(J3313="","Prix manquant",IF(OR(NOT(ISNUMBER(J3313)),N(J3313)&lt;0),"Prix invalide",IF(OR(AND(F3313&lt;&gt;"",NOT(ISNUMBER(F3313))),N(F3313)&lt;0,N(F3313)&gt;1),"Remise invalide",IF(K3313="","Taux de TVA manquant",IF(NOT(ISNUMBER(K3313)),"Taux de TVA invalide",IF(COUNTIF(p_rates,K3313)=0,"Taux de TVA hors liste (Paramètres)",IF(N(O3313)&gt;25,"Au-delà de 25 lignes : non imprimée","OK")))))))))))))</f>
        <v/>
      </c>
      <c r="O3313" s="59" t="str">
        <f>IF(A3313="","",COUNTIF($A$6:A3313,A3313))</f>
        <v/>
      </c>
      <c r="P3313" s="62" t="str">
        <f>IF(A3313="","",A3313&amp;"|"&amp;O3313)</f>
        <v/>
      </c>
    </row>
    <row r="3314">
      <c r="A3314" s="60" t="n"/>
      <c r="B3314" s="63" t="n"/>
      <c r="C3314" s="63" t="n"/>
      <c r="D3314" s="67" t="n"/>
      <c r="E3314" s="68" t="n"/>
      <c r="F3314" s="69" t="n"/>
      <c r="G3314" s="70" t="n"/>
      <c r="H3314" s="62" t="str">
        <f>IF(COUNTA(A3314:G3314)=0,"",IF(C3314&lt;&gt;"",C3314,IF(B3314="","",IFERROR(INDEX(pr_des,MATCH(B3314,pr_code,0))&amp;"",""))))</f>
        <v/>
      </c>
      <c r="I3314" s="59" t="str">
        <f>IF(B3314="","",IFERROR(INDEX(pr_unit,MATCH(B3314,pr_code,0))&amp;"",""))</f>
        <v/>
      </c>
      <c r="J3314" s="65" t="str">
        <f>IF(COUNTA(A3314:G3314)=0,"",IF(E3314&lt;&gt;"",E3314,IF(B3314="","",IFERROR(IF(INDEX(pr_price,MATCH(B3314,pr_code,0))="","",INDEX(pr_price,MATCH(B3314,pr_code,0))),""))))</f>
        <v/>
      </c>
      <c r="K3314" s="71" t="str">
        <f>IF(COUNTA(A3314:G3314)=0,"",IF(G3314&lt;&gt;"",G3314,IF(B3314="","",IFERROR(IF(INDEX(pr_rate,MATCH(B3314,pr_code,0))="","",INDEX(pr_rate,MATCH(B3314,pr_code,0))),""))))</f>
        <v/>
      </c>
      <c r="L3314" s="65" t="str">
        <f>IF(COUNTA(A3314:G3314)=0,"",IF(AND(ISNUMBER(D3314),ISNUMBER(J3314)),ROUND(D3314*J3314*(1-N(F3314)),2),0))</f>
        <v/>
      </c>
      <c r="M3314" s="62" t="str">
        <f>IF(A3314="","",IFERROR(INDEX(fa_cname,MATCH(A3314,fa_num,0))&amp;"",""))</f>
        <v/>
      </c>
      <c r="N3314" s="59" t="str">
        <f>IF(COUNTA(A3314:G3314)=0,"",IF(A3314="","N° facture manquant",IF(ISNA(MATCH(A3314,fa_num,0)),"Facture inconnue",IF(AND(B3314&lt;&gt;"",ISNA(MATCH(B3314,pr_code,0))),"Article inconnu",IF(H3314="","Désignation manquante",IF(OR(NOT(ISNUMBER(D3314)),N(D3314)&lt;=0),"Quantité invalide",IF(J3314="","Prix manquant",IF(OR(NOT(ISNUMBER(J3314)),N(J3314)&lt;0),"Prix invalide",IF(OR(AND(F3314&lt;&gt;"",NOT(ISNUMBER(F3314))),N(F3314)&lt;0,N(F3314)&gt;1),"Remise invalide",IF(K3314="","Taux de TVA manquant",IF(NOT(ISNUMBER(K3314)),"Taux de TVA invalide",IF(COUNTIF(p_rates,K3314)=0,"Taux de TVA hors liste (Paramètres)",IF(N(O3314)&gt;25,"Au-delà de 25 lignes : non imprimée","OK")))))))))))))</f>
        <v/>
      </c>
      <c r="O3314" s="59" t="str">
        <f>IF(A3314="","",COUNTIF($A$6:A3314,A3314))</f>
        <v/>
      </c>
      <c r="P3314" s="62" t="str">
        <f>IF(A3314="","",A3314&amp;"|"&amp;O3314)</f>
        <v/>
      </c>
    </row>
    <row r="3315">
      <c r="A3315" s="60" t="n"/>
      <c r="B3315" s="63" t="n"/>
      <c r="C3315" s="63" t="n"/>
      <c r="D3315" s="67" t="n"/>
      <c r="E3315" s="68" t="n"/>
      <c r="F3315" s="69" t="n"/>
      <c r="G3315" s="70" t="n"/>
      <c r="H3315" s="62" t="str">
        <f>IF(COUNTA(A3315:G3315)=0,"",IF(C3315&lt;&gt;"",C3315,IF(B3315="","",IFERROR(INDEX(pr_des,MATCH(B3315,pr_code,0))&amp;"",""))))</f>
        <v/>
      </c>
      <c r="I3315" s="59" t="str">
        <f>IF(B3315="","",IFERROR(INDEX(pr_unit,MATCH(B3315,pr_code,0))&amp;"",""))</f>
        <v/>
      </c>
      <c r="J3315" s="65" t="str">
        <f>IF(COUNTA(A3315:G3315)=0,"",IF(E3315&lt;&gt;"",E3315,IF(B3315="","",IFERROR(IF(INDEX(pr_price,MATCH(B3315,pr_code,0))="","",INDEX(pr_price,MATCH(B3315,pr_code,0))),""))))</f>
        <v/>
      </c>
      <c r="K3315" s="71" t="str">
        <f>IF(COUNTA(A3315:G3315)=0,"",IF(G3315&lt;&gt;"",G3315,IF(B3315="","",IFERROR(IF(INDEX(pr_rate,MATCH(B3315,pr_code,0))="","",INDEX(pr_rate,MATCH(B3315,pr_code,0))),""))))</f>
        <v/>
      </c>
      <c r="L3315" s="65" t="str">
        <f>IF(COUNTA(A3315:G3315)=0,"",IF(AND(ISNUMBER(D3315),ISNUMBER(J3315)),ROUND(D3315*J3315*(1-N(F3315)),2),0))</f>
        <v/>
      </c>
      <c r="M3315" s="62" t="str">
        <f>IF(A3315="","",IFERROR(INDEX(fa_cname,MATCH(A3315,fa_num,0))&amp;"",""))</f>
        <v/>
      </c>
      <c r="N3315" s="59" t="str">
        <f>IF(COUNTA(A3315:G3315)=0,"",IF(A3315="","N° facture manquant",IF(ISNA(MATCH(A3315,fa_num,0)),"Facture inconnue",IF(AND(B3315&lt;&gt;"",ISNA(MATCH(B3315,pr_code,0))),"Article inconnu",IF(H3315="","Désignation manquante",IF(OR(NOT(ISNUMBER(D3315)),N(D3315)&lt;=0),"Quantité invalide",IF(J3315="","Prix manquant",IF(OR(NOT(ISNUMBER(J3315)),N(J3315)&lt;0),"Prix invalide",IF(OR(AND(F3315&lt;&gt;"",NOT(ISNUMBER(F3315))),N(F3315)&lt;0,N(F3315)&gt;1),"Remise invalide",IF(K3315="","Taux de TVA manquant",IF(NOT(ISNUMBER(K3315)),"Taux de TVA invalide",IF(COUNTIF(p_rates,K3315)=0,"Taux de TVA hors liste (Paramètres)",IF(N(O3315)&gt;25,"Au-delà de 25 lignes : non imprimée","OK")))))))))))))</f>
        <v/>
      </c>
      <c r="O3315" s="59" t="str">
        <f>IF(A3315="","",COUNTIF($A$6:A3315,A3315))</f>
        <v/>
      </c>
      <c r="P3315" s="62" t="str">
        <f>IF(A3315="","",A3315&amp;"|"&amp;O3315)</f>
        <v/>
      </c>
    </row>
    <row r="3316">
      <c r="A3316" s="60" t="n"/>
      <c r="B3316" s="63" t="n"/>
      <c r="C3316" s="63" t="n"/>
      <c r="D3316" s="67" t="n"/>
      <c r="E3316" s="68" t="n"/>
      <c r="F3316" s="69" t="n"/>
      <c r="G3316" s="70" t="n"/>
      <c r="H3316" s="62" t="str">
        <f>IF(COUNTA(A3316:G3316)=0,"",IF(C3316&lt;&gt;"",C3316,IF(B3316="","",IFERROR(INDEX(pr_des,MATCH(B3316,pr_code,0))&amp;"",""))))</f>
        <v/>
      </c>
      <c r="I3316" s="59" t="str">
        <f>IF(B3316="","",IFERROR(INDEX(pr_unit,MATCH(B3316,pr_code,0))&amp;"",""))</f>
        <v/>
      </c>
      <c r="J3316" s="65" t="str">
        <f>IF(COUNTA(A3316:G3316)=0,"",IF(E3316&lt;&gt;"",E3316,IF(B3316="","",IFERROR(IF(INDEX(pr_price,MATCH(B3316,pr_code,0))="","",INDEX(pr_price,MATCH(B3316,pr_code,0))),""))))</f>
        <v/>
      </c>
      <c r="K3316" s="71" t="str">
        <f>IF(COUNTA(A3316:G3316)=0,"",IF(G3316&lt;&gt;"",G3316,IF(B3316="","",IFERROR(IF(INDEX(pr_rate,MATCH(B3316,pr_code,0))="","",INDEX(pr_rate,MATCH(B3316,pr_code,0))),""))))</f>
        <v/>
      </c>
      <c r="L3316" s="65" t="str">
        <f>IF(COUNTA(A3316:G3316)=0,"",IF(AND(ISNUMBER(D3316),ISNUMBER(J3316)),ROUND(D3316*J3316*(1-N(F3316)),2),0))</f>
        <v/>
      </c>
      <c r="M3316" s="62" t="str">
        <f>IF(A3316="","",IFERROR(INDEX(fa_cname,MATCH(A3316,fa_num,0))&amp;"",""))</f>
        <v/>
      </c>
      <c r="N3316" s="59" t="str">
        <f>IF(COUNTA(A3316:G3316)=0,"",IF(A3316="","N° facture manquant",IF(ISNA(MATCH(A3316,fa_num,0)),"Facture inconnue",IF(AND(B3316&lt;&gt;"",ISNA(MATCH(B3316,pr_code,0))),"Article inconnu",IF(H3316="","Désignation manquante",IF(OR(NOT(ISNUMBER(D3316)),N(D3316)&lt;=0),"Quantité invalide",IF(J3316="","Prix manquant",IF(OR(NOT(ISNUMBER(J3316)),N(J3316)&lt;0),"Prix invalide",IF(OR(AND(F3316&lt;&gt;"",NOT(ISNUMBER(F3316))),N(F3316)&lt;0,N(F3316)&gt;1),"Remise invalide",IF(K3316="","Taux de TVA manquant",IF(NOT(ISNUMBER(K3316)),"Taux de TVA invalide",IF(COUNTIF(p_rates,K3316)=0,"Taux de TVA hors liste (Paramètres)",IF(N(O3316)&gt;25,"Au-delà de 25 lignes : non imprimée","OK")))))))))))))</f>
        <v/>
      </c>
      <c r="O3316" s="59" t="str">
        <f>IF(A3316="","",COUNTIF($A$6:A3316,A3316))</f>
        <v/>
      </c>
      <c r="P3316" s="62" t="str">
        <f>IF(A3316="","",A3316&amp;"|"&amp;O3316)</f>
        <v/>
      </c>
    </row>
    <row r="3317">
      <c r="A3317" s="60" t="n"/>
      <c r="B3317" s="63" t="n"/>
      <c r="C3317" s="63" t="n"/>
      <c r="D3317" s="67" t="n"/>
      <c r="E3317" s="68" t="n"/>
      <c r="F3317" s="69" t="n"/>
      <c r="G3317" s="70" t="n"/>
      <c r="H3317" s="62" t="str">
        <f>IF(COUNTA(A3317:G3317)=0,"",IF(C3317&lt;&gt;"",C3317,IF(B3317="","",IFERROR(INDEX(pr_des,MATCH(B3317,pr_code,0))&amp;"",""))))</f>
        <v/>
      </c>
      <c r="I3317" s="59" t="str">
        <f>IF(B3317="","",IFERROR(INDEX(pr_unit,MATCH(B3317,pr_code,0))&amp;"",""))</f>
        <v/>
      </c>
      <c r="J3317" s="65" t="str">
        <f>IF(COUNTA(A3317:G3317)=0,"",IF(E3317&lt;&gt;"",E3317,IF(B3317="","",IFERROR(IF(INDEX(pr_price,MATCH(B3317,pr_code,0))="","",INDEX(pr_price,MATCH(B3317,pr_code,0))),""))))</f>
        <v/>
      </c>
      <c r="K3317" s="71" t="str">
        <f>IF(COUNTA(A3317:G3317)=0,"",IF(G3317&lt;&gt;"",G3317,IF(B3317="","",IFERROR(IF(INDEX(pr_rate,MATCH(B3317,pr_code,0))="","",INDEX(pr_rate,MATCH(B3317,pr_code,0))),""))))</f>
        <v/>
      </c>
      <c r="L3317" s="65" t="str">
        <f>IF(COUNTA(A3317:G3317)=0,"",IF(AND(ISNUMBER(D3317),ISNUMBER(J3317)),ROUND(D3317*J3317*(1-N(F3317)),2),0))</f>
        <v/>
      </c>
      <c r="M3317" s="62" t="str">
        <f>IF(A3317="","",IFERROR(INDEX(fa_cname,MATCH(A3317,fa_num,0))&amp;"",""))</f>
        <v/>
      </c>
      <c r="N3317" s="59" t="str">
        <f>IF(COUNTA(A3317:G3317)=0,"",IF(A3317="","N° facture manquant",IF(ISNA(MATCH(A3317,fa_num,0)),"Facture inconnue",IF(AND(B3317&lt;&gt;"",ISNA(MATCH(B3317,pr_code,0))),"Article inconnu",IF(H3317="","Désignation manquante",IF(OR(NOT(ISNUMBER(D3317)),N(D3317)&lt;=0),"Quantité invalide",IF(J3317="","Prix manquant",IF(OR(NOT(ISNUMBER(J3317)),N(J3317)&lt;0),"Prix invalide",IF(OR(AND(F3317&lt;&gt;"",NOT(ISNUMBER(F3317))),N(F3317)&lt;0,N(F3317)&gt;1),"Remise invalide",IF(K3317="","Taux de TVA manquant",IF(NOT(ISNUMBER(K3317)),"Taux de TVA invalide",IF(COUNTIF(p_rates,K3317)=0,"Taux de TVA hors liste (Paramètres)",IF(N(O3317)&gt;25,"Au-delà de 25 lignes : non imprimée","OK")))))))))))))</f>
        <v/>
      </c>
      <c r="O3317" s="59" t="str">
        <f>IF(A3317="","",COUNTIF($A$6:A3317,A3317))</f>
        <v/>
      </c>
      <c r="P3317" s="62" t="str">
        <f>IF(A3317="","",A3317&amp;"|"&amp;O3317)</f>
        <v/>
      </c>
    </row>
    <row r="3318">
      <c r="A3318" s="60" t="n"/>
      <c r="B3318" s="63" t="n"/>
      <c r="C3318" s="63" t="n"/>
      <c r="D3318" s="67" t="n"/>
      <c r="E3318" s="68" t="n"/>
      <c r="F3318" s="69" t="n"/>
      <c r="G3318" s="70" t="n"/>
      <c r="H3318" s="62" t="str">
        <f>IF(COUNTA(A3318:G3318)=0,"",IF(C3318&lt;&gt;"",C3318,IF(B3318="","",IFERROR(INDEX(pr_des,MATCH(B3318,pr_code,0))&amp;"",""))))</f>
        <v/>
      </c>
      <c r="I3318" s="59" t="str">
        <f>IF(B3318="","",IFERROR(INDEX(pr_unit,MATCH(B3318,pr_code,0))&amp;"",""))</f>
        <v/>
      </c>
      <c r="J3318" s="65" t="str">
        <f>IF(COUNTA(A3318:G3318)=0,"",IF(E3318&lt;&gt;"",E3318,IF(B3318="","",IFERROR(IF(INDEX(pr_price,MATCH(B3318,pr_code,0))="","",INDEX(pr_price,MATCH(B3318,pr_code,0))),""))))</f>
        <v/>
      </c>
      <c r="K3318" s="71" t="str">
        <f>IF(COUNTA(A3318:G3318)=0,"",IF(G3318&lt;&gt;"",G3318,IF(B3318="","",IFERROR(IF(INDEX(pr_rate,MATCH(B3318,pr_code,0))="","",INDEX(pr_rate,MATCH(B3318,pr_code,0))),""))))</f>
        <v/>
      </c>
      <c r="L3318" s="65" t="str">
        <f>IF(COUNTA(A3318:G3318)=0,"",IF(AND(ISNUMBER(D3318),ISNUMBER(J3318)),ROUND(D3318*J3318*(1-N(F3318)),2),0))</f>
        <v/>
      </c>
      <c r="M3318" s="62" t="str">
        <f>IF(A3318="","",IFERROR(INDEX(fa_cname,MATCH(A3318,fa_num,0))&amp;"",""))</f>
        <v/>
      </c>
      <c r="N3318" s="59" t="str">
        <f>IF(COUNTA(A3318:G3318)=0,"",IF(A3318="","N° facture manquant",IF(ISNA(MATCH(A3318,fa_num,0)),"Facture inconnue",IF(AND(B3318&lt;&gt;"",ISNA(MATCH(B3318,pr_code,0))),"Article inconnu",IF(H3318="","Désignation manquante",IF(OR(NOT(ISNUMBER(D3318)),N(D3318)&lt;=0),"Quantité invalide",IF(J3318="","Prix manquant",IF(OR(NOT(ISNUMBER(J3318)),N(J3318)&lt;0),"Prix invalide",IF(OR(AND(F3318&lt;&gt;"",NOT(ISNUMBER(F3318))),N(F3318)&lt;0,N(F3318)&gt;1),"Remise invalide",IF(K3318="","Taux de TVA manquant",IF(NOT(ISNUMBER(K3318)),"Taux de TVA invalide",IF(COUNTIF(p_rates,K3318)=0,"Taux de TVA hors liste (Paramètres)",IF(N(O3318)&gt;25,"Au-delà de 25 lignes : non imprimée","OK")))))))))))))</f>
        <v/>
      </c>
      <c r="O3318" s="59" t="str">
        <f>IF(A3318="","",COUNTIF($A$6:A3318,A3318))</f>
        <v/>
      </c>
      <c r="P3318" s="62" t="str">
        <f>IF(A3318="","",A3318&amp;"|"&amp;O3318)</f>
        <v/>
      </c>
    </row>
    <row r="3319">
      <c r="A3319" s="60" t="n"/>
      <c r="B3319" s="63" t="n"/>
      <c r="C3319" s="63" t="n"/>
      <c r="D3319" s="67" t="n"/>
      <c r="E3319" s="68" t="n"/>
      <c r="F3319" s="69" t="n"/>
      <c r="G3319" s="70" t="n"/>
      <c r="H3319" s="62" t="str">
        <f>IF(COUNTA(A3319:G3319)=0,"",IF(C3319&lt;&gt;"",C3319,IF(B3319="","",IFERROR(INDEX(pr_des,MATCH(B3319,pr_code,0))&amp;"",""))))</f>
        <v/>
      </c>
      <c r="I3319" s="59" t="str">
        <f>IF(B3319="","",IFERROR(INDEX(pr_unit,MATCH(B3319,pr_code,0))&amp;"",""))</f>
        <v/>
      </c>
      <c r="J3319" s="65" t="str">
        <f>IF(COUNTA(A3319:G3319)=0,"",IF(E3319&lt;&gt;"",E3319,IF(B3319="","",IFERROR(IF(INDEX(pr_price,MATCH(B3319,pr_code,0))="","",INDEX(pr_price,MATCH(B3319,pr_code,0))),""))))</f>
        <v/>
      </c>
      <c r="K3319" s="71" t="str">
        <f>IF(COUNTA(A3319:G3319)=0,"",IF(G3319&lt;&gt;"",G3319,IF(B3319="","",IFERROR(IF(INDEX(pr_rate,MATCH(B3319,pr_code,0))="","",INDEX(pr_rate,MATCH(B3319,pr_code,0))),""))))</f>
        <v/>
      </c>
      <c r="L3319" s="65" t="str">
        <f>IF(COUNTA(A3319:G3319)=0,"",IF(AND(ISNUMBER(D3319),ISNUMBER(J3319)),ROUND(D3319*J3319*(1-N(F3319)),2),0))</f>
        <v/>
      </c>
      <c r="M3319" s="62" t="str">
        <f>IF(A3319="","",IFERROR(INDEX(fa_cname,MATCH(A3319,fa_num,0))&amp;"",""))</f>
        <v/>
      </c>
      <c r="N3319" s="59" t="str">
        <f>IF(COUNTA(A3319:G3319)=0,"",IF(A3319="","N° facture manquant",IF(ISNA(MATCH(A3319,fa_num,0)),"Facture inconnue",IF(AND(B3319&lt;&gt;"",ISNA(MATCH(B3319,pr_code,0))),"Article inconnu",IF(H3319="","Désignation manquante",IF(OR(NOT(ISNUMBER(D3319)),N(D3319)&lt;=0),"Quantité invalide",IF(J3319="","Prix manquant",IF(OR(NOT(ISNUMBER(J3319)),N(J3319)&lt;0),"Prix invalide",IF(OR(AND(F3319&lt;&gt;"",NOT(ISNUMBER(F3319))),N(F3319)&lt;0,N(F3319)&gt;1),"Remise invalide",IF(K3319="","Taux de TVA manquant",IF(NOT(ISNUMBER(K3319)),"Taux de TVA invalide",IF(COUNTIF(p_rates,K3319)=0,"Taux de TVA hors liste (Paramètres)",IF(N(O3319)&gt;25,"Au-delà de 25 lignes : non imprimée","OK")))))))))))))</f>
        <v/>
      </c>
      <c r="O3319" s="59" t="str">
        <f>IF(A3319="","",COUNTIF($A$6:A3319,A3319))</f>
        <v/>
      </c>
      <c r="P3319" s="62" t="str">
        <f>IF(A3319="","",A3319&amp;"|"&amp;O3319)</f>
        <v/>
      </c>
    </row>
    <row r="3320">
      <c r="A3320" s="60" t="n"/>
      <c r="B3320" s="63" t="n"/>
      <c r="C3320" s="63" t="n"/>
      <c r="D3320" s="67" t="n"/>
      <c r="E3320" s="68" t="n"/>
      <c r="F3320" s="69" t="n"/>
      <c r="G3320" s="70" t="n"/>
      <c r="H3320" s="62" t="str">
        <f>IF(COUNTA(A3320:G3320)=0,"",IF(C3320&lt;&gt;"",C3320,IF(B3320="","",IFERROR(INDEX(pr_des,MATCH(B3320,pr_code,0))&amp;"",""))))</f>
        <v/>
      </c>
      <c r="I3320" s="59" t="str">
        <f>IF(B3320="","",IFERROR(INDEX(pr_unit,MATCH(B3320,pr_code,0))&amp;"",""))</f>
        <v/>
      </c>
      <c r="J3320" s="65" t="str">
        <f>IF(COUNTA(A3320:G3320)=0,"",IF(E3320&lt;&gt;"",E3320,IF(B3320="","",IFERROR(IF(INDEX(pr_price,MATCH(B3320,pr_code,0))="","",INDEX(pr_price,MATCH(B3320,pr_code,0))),""))))</f>
        <v/>
      </c>
      <c r="K3320" s="71" t="str">
        <f>IF(COUNTA(A3320:G3320)=0,"",IF(G3320&lt;&gt;"",G3320,IF(B3320="","",IFERROR(IF(INDEX(pr_rate,MATCH(B3320,pr_code,0))="","",INDEX(pr_rate,MATCH(B3320,pr_code,0))),""))))</f>
        <v/>
      </c>
      <c r="L3320" s="65" t="str">
        <f>IF(COUNTA(A3320:G3320)=0,"",IF(AND(ISNUMBER(D3320),ISNUMBER(J3320)),ROUND(D3320*J3320*(1-N(F3320)),2),0))</f>
        <v/>
      </c>
      <c r="M3320" s="62" t="str">
        <f>IF(A3320="","",IFERROR(INDEX(fa_cname,MATCH(A3320,fa_num,0))&amp;"",""))</f>
        <v/>
      </c>
      <c r="N3320" s="59" t="str">
        <f>IF(COUNTA(A3320:G3320)=0,"",IF(A3320="","N° facture manquant",IF(ISNA(MATCH(A3320,fa_num,0)),"Facture inconnue",IF(AND(B3320&lt;&gt;"",ISNA(MATCH(B3320,pr_code,0))),"Article inconnu",IF(H3320="","Désignation manquante",IF(OR(NOT(ISNUMBER(D3320)),N(D3320)&lt;=0),"Quantité invalide",IF(J3320="","Prix manquant",IF(OR(NOT(ISNUMBER(J3320)),N(J3320)&lt;0),"Prix invalide",IF(OR(AND(F3320&lt;&gt;"",NOT(ISNUMBER(F3320))),N(F3320)&lt;0,N(F3320)&gt;1),"Remise invalide",IF(K3320="","Taux de TVA manquant",IF(NOT(ISNUMBER(K3320)),"Taux de TVA invalide",IF(COUNTIF(p_rates,K3320)=0,"Taux de TVA hors liste (Paramètres)",IF(N(O3320)&gt;25,"Au-delà de 25 lignes : non imprimée","OK")))))))))))))</f>
        <v/>
      </c>
      <c r="O3320" s="59" t="str">
        <f>IF(A3320="","",COUNTIF($A$6:A3320,A3320))</f>
        <v/>
      </c>
      <c r="P3320" s="62" t="str">
        <f>IF(A3320="","",A3320&amp;"|"&amp;O3320)</f>
        <v/>
      </c>
    </row>
    <row r="3321">
      <c r="A3321" s="60" t="n"/>
      <c r="B3321" s="63" t="n"/>
      <c r="C3321" s="63" t="n"/>
      <c r="D3321" s="67" t="n"/>
      <c r="E3321" s="68" t="n"/>
      <c r="F3321" s="69" t="n"/>
      <c r="G3321" s="70" t="n"/>
      <c r="H3321" s="62" t="str">
        <f>IF(COUNTA(A3321:G3321)=0,"",IF(C3321&lt;&gt;"",C3321,IF(B3321="","",IFERROR(INDEX(pr_des,MATCH(B3321,pr_code,0))&amp;"",""))))</f>
        <v/>
      </c>
      <c r="I3321" s="59" t="str">
        <f>IF(B3321="","",IFERROR(INDEX(pr_unit,MATCH(B3321,pr_code,0))&amp;"",""))</f>
        <v/>
      </c>
      <c r="J3321" s="65" t="str">
        <f>IF(COUNTA(A3321:G3321)=0,"",IF(E3321&lt;&gt;"",E3321,IF(B3321="","",IFERROR(IF(INDEX(pr_price,MATCH(B3321,pr_code,0))="","",INDEX(pr_price,MATCH(B3321,pr_code,0))),""))))</f>
        <v/>
      </c>
      <c r="K3321" s="71" t="str">
        <f>IF(COUNTA(A3321:G3321)=0,"",IF(G3321&lt;&gt;"",G3321,IF(B3321="","",IFERROR(IF(INDEX(pr_rate,MATCH(B3321,pr_code,0))="","",INDEX(pr_rate,MATCH(B3321,pr_code,0))),""))))</f>
        <v/>
      </c>
      <c r="L3321" s="65" t="str">
        <f>IF(COUNTA(A3321:G3321)=0,"",IF(AND(ISNUMBER(D3321),ISNUMBER(J3321)),ROUND(D3321*J3321*(1-N(F3321)),2),0))</f>
        <v/>
      </c>
      <c r="M3321" s="62" t="str">
        <f>IF(A3321="","",IFERROR(INDEX(fa_cname,MATCH(A3321,fa_num,0))&amp;"",""))</f>
        <v/>
      </c>
      <c r="N3321" s="59" t="str">
        <f>IF(COUNTA(A3321:G3321)=0,"",IF(A3321="","N° facture manquant",IF(ISNA(MATCH(A3321,fa_num,0)),"Facture inconnue",IF(AND(B3321&lt;&gt;"",ISNA(MATCH(B3321,pr_code,0))),"Article inconnu",IF(H3321="","Désignation manquante",IF(OR(NOT(ISNUMBER(D3321)),N(D3321)&lt;=0),"Quantité invalide",IF(J3321="","Prix manquant",IF(OR(NOT(ISNUMBER(J3321)),N(J3321)&lt;0),"Prix invalide",IF(OR(AND(F3321&lt;&gt;"",NOT(ISNUMBER(F3321))),N(F3321)&lt;0,N(F3321)&gt;1),"Remise invalide",IF(K3321="","Taux de TVA manquant",IF(NOT(ISNUMBER(K3321)),"Taux de TVA invalide",IF(COUNTIF(p_rates,K3321)=0,"Taux de TVA hors liste (Paramètres)",IF(N(O3321)&gt;25,"Au-delà de 25 lignes : non imprimée","OK")))))))))))))</f>
        <v/>
      </c>
      <c r="O3321" s="59" t="str">
        <f>IF(A3321="","",COUNTIF($A$6:A3321,A3321))</f>
        <v/>
      </c>
      <c r="P3321" s="62" t="str">
        <f>IF(A3321="","",A3321&amp;"|"&amp;O3321)</f>
        <v/>
      </c>
    </row>
    <row r="3322">
      <c r="A3322" s="60" t="n"/>
      <c r="B3322" s="63" t="n"/>
      <c r="C3322" s="63" t="n"/>
      <c r="D3322" s="67" t="n"/>
      <c r="E3322" s="68" t="n"/>
      <c r="F3322" s="69" t="n"/>
      <c r="G3322" s="70" t="n"/>
      <c r="H3322" s="62" t="str">
        <f>IF(COUNTA(A3322:G3322)=0,"",IF(C3322&lt;&gt;"",C3322,IF(B3322="","",IFERROR(INDEX(pr_des,MATCH(B3322,pr_code,0))&amp;"",""))))</f>
        <v/>
      </c>
      <c r="I3322" s="59" t="str">
        <f>IF(B3322="","",IFERROR(INDEX(pr_unit,MATCH(B3322,pr_code,0))&amp;"",""))</f>
        <v/>
      </c>
      <c r="J3322" s="65" t="str">
        <f>IF(COUNTA(A3322:G3322)=0,"",IF(E3322&lt;&gt;"",E3322,IF(B3322="","",IFERROR(IF(INDEX(pr_price,MATCH(B3322,pr_code,0))="","",INDEX(pr_price,MATCH(B3322,pr_code,0))),""))))</f>
        <v/>
      </c>
      <c r="K3322" s="71" t="str">
        <f>IF(COUNTA(A3322:G3322)=0,"",IF(G3322&lt;&gt;"",G3322,IF(B3322="","",IFERROR(IF(INDEX(pr_rate,MATCH(B3322,pr_code,0))="","",INDEX(pr_rate,MATCH(B3322,pr_code,0))),""))))</f>
        <v/>
      </c>
      <c r="L3322" s="65" t="str">
        <f>IF(COUNTA(A3322:G3322)=0,"",IF(AND(ISNUMBER(D3322),ISNUMBER(J3322)),ROUND(D3322*J3322*(1-N(F3322)),2),0))</f>
        <v/>
      </c>
      <c r="M3322" s="62" t="str">
        <f>IF(A3322="","",IFERROR(INDEX(fa_cname,MATCH(A3322,fa_num,0))&amp;"",""))</f>
        <v/>
      </c>
      <c r="N3322" s="59" t="str">
        <f>IF(COUNTA(A3322:G3322)=0,"",IF(A3322="","N° facture manquant",IF(ISNA(MATCH(A3322,fa_num,0)),"Facture inconnue",IF(AND(B3322&lt;&gt;"",ISNA(MATCH(B3322,pr_code,0))),"Article inconnu",IF(H3322="","Désignation manquante",IF(OR(NOT(ISNUMBER(D3322)),N(D3322)&lt;=0),"Quantité invalide",IF(J3322="","Prix manquant",IF(OR(NOT(ISNUMBER(J3322)),N(J3322)&lt;0),"Prix invalide",IF(OR(AND(F3322&lt;&gt;"",NOT(ISNUMBER(F3322))),N(F3322)&lt;0,N(F3322)&gt;1),"Remise invalide",IF(K3322="","Taux de TVA manquant",IF(NOT(ISNUMBER(K3322)),"Taux de TVA invalide",IF(COUNTIF(p_rates,K3322)=0,"Taux de TVA hors liste (Paramètres)",IF(N(O3322)&gt;25,"Au-delà de 25 lignes : non imprimée","OK")))))))))))))</f>
        <v/>
      </c>
      <c r="O3322" s="59" t="str">
        <f>IF(A3322="","",COUNTIF($A$6:A3322,A3322))</f>
        <v/>
      </c>
      <c r="P3322" s="62" t="str">
        <f>IF(A3322="","",A3322&amp;"|"&amp;O3322)</f>
        <v/>
      </c>
    </row>
    <row r="3323">
      <c r="A3323" s="60" t="n"/>
      <c r="B3323" s="63" t="n"/>
      <c r="C3323" s="63" t="n"/>
      <c r="D3323" s="67" t="n"/>
      <c r="E3323" s="68" t="n"/>
      <c r="F3323" s="69" t="n"/>
      <c r="G3323" s="70" t="n"/>
      <c r="H3323" s="62" t="str">
        <f>IF(COUNTA(A3323:G3323)=0,"",IF(C3323&lt;&gt;"",C3323,IF(B3323="","",IFERROR(INDEX(pr_des,MATCH(B3323,pr_code,0))&amp;"",""))))</f>
        <v/>
      </c>
      <c r="I3323" s="59" t="str">
        <f>IF(B3323="","",IFERROR(INDEX(pr_unit,MATCH(B3323,pr_code,0))&amp;"",""))</f>
        <v/>
      </c>
      <c r="J3323" s="65" t="str">
        <f>IF(COUNTA(A3323:G3323)=0,"",IF(E3323&lt;&gt;"",E3323,IF(B3323="","",IFERROR(IF(INDEX(pr_price,MATCH(B3323,pr_code,0))="","",INDEX(pr_price,MATCH(B3323,pr_code,0))),""))))</f>
        <v/>
      </c>
      <c r="K3323" s="71" t="str">
        <f>IF(COUNTA(A3323:G3323)=0,"",IF(G3323&lt;&gt;"",G3323,IF(B3323="","",IFERROR(IF(INDEX(pr_rate,MATCH(B3323,pr_code,0))="","",INDEX(pr_rate,MATCH(B3323,pr_code,0))),""))))</f>
        <v/>
      </c>
      <c r="L3323" s="65" t="str">
        <f>IF(COUNTA(A3323:G3323)=0,"",IF(AND(ISNUMBER(D3323),ISNUMBER(J3323)),ROUND(D3323*J3323*(1-N(F3323)),2),0))</f>
        <v/>
      </c>
      <c r="M3323" s="62" t="str">
        <f>IF(A3323="","",IFERROR(INDEX(fa_cname,MATCH(A3323,fa_num,0))&amp;"",""))</f>
        <v/>
      </c>
      <c r="N3323" s="59" t="str">
        <f>IF(COUNTA(A3323:G3323)=0,"",IF(A3323="","N° facture manquant",IF(ISNA(MATCH(A3323,fa_num,0)),"Facture inconnue",IF(AND(B3323&lt;&gt;"",ISNA(MATCH(B3323,pr_code,0))),"Article inconnu",IF(H3323="","Désignation manquante",IF(OR(NOT(ISNUMBER(D3323)),N(D3323)&lt;=0),"Quantité invalide",IF(J3323="","Prix manquant",IF(OR(NOT(ISNUMBER(J3323)),N(J3323)&lt;0),"Prix invalide",IF(OR(AND(F3323&lt;&gt;"",NOT(ISNUMBER(F3323))),N(F3323)&lt;0,N(F3323)&gt;1),"Remise invalide",IF(K3323="","Taux de TVA manquant",IF(NOT(ISNUMBER(K3323)),"Taux de TVA invalide",IF(COUNTIF(p_rates,K3323)=0,"Taux de TVA hors liste (Paramètres)",IF(N(O3323)&gt;25,"Au-delà de 25 lignes : non imprimée","OK")))))))))))))</f>
        <v/>
      </c>
      <c r="O3323" s="59" t="str">
        <f>IF(A3323="","",COUNTIF($A$6:A3323,A3323))</f>
        <v/>
      </c>
      <c r="P3323" s="62" t="str">
        <f>IF(A3323="","",A3323&amp;"|"&amp;O3323)</f>
        <v/>
      </c>
    </row>
    <row r="3324">
      <c r="A3324" s="60" t="n"/>
      <c r="B3324" s="63" t="n"/>
      <c r="C3324" s="63" t="n"/>
      <c r="D3324" s="67" t="n"/>
      <c r="E3324" s="68" t="n"/>
      <c r="F3324" s="69" t="n"/>
      <c r="G3324" s="70" t="n"/>
      <c r="H3324" s="62" t="str">
        <f>IF(COUNTA(A3324:G3324)=0,"",IF(C3324&lt;&gt;"",C3324,IF(B3324="","",IFERROR(INDEX(pr_des,MATCH(B3324,pr_code,0))&amp;"",""))))</f>
        <v/>
      </c>
      <c r="I3324" s="59" t="str">
        <f>IF(B3324="","",IFERROR(INDEX(pr_unit,MATCH(B3324,pr_code,0))&amp;"",""))</f>
        <v/>
      </c>
      <c r="J3324" s="65" t="str">
        <f>IF(COUNTA(A3324:G3324)=0,"",IF(E3324&lt;&gt;"",E3324,IF(B3324="","",IFERROR(IF(INDEX(pr_price,MATCH(B3324,pr_code,0))="","",INDEX(pr_price,MATCH(B3324,pr_code,0))),""))))</f>
        <v/>
      </c>
      <c r="K3324" s="71" t="str">
        <f>IF(COUNTA(A3324:G3324)=0,"",IF(G3324&lt;&gt;"",G3324,IF(B3324="","",IFERROR(IF(INDEX(pr_rate,MATCH(B3324,pr_code,0))="","",INDEX(pr_rate,MATCH(B3324,pr_code,0))),""))))</f>
        <v/>
      </c>
      <c r="L3324" s="65" t="str">
        <f>IF(COUNTA(A3324:G3324)=0,"",IF(AND(ISNUMBER(D3324),ISNUMBER(J3324)),ROUND(D3324*J3324*(1-N(F3324)),2),0))</f>
        <v/>
      </c>
      <c r="M3324" s="62" t="str">
        <f>IF(A3324="","",IFERROR(INDEX(fa_cname,MATCH(A3324,fa_num,0))&amp;"",""))</f>
        <v/>
      </c>
      <c r="N3324" s="59" t="str">
        <f>IF(COUNTA(A3324:G3324)=0,"",IF(A3324="","N° facture manquant",IF(ISNA(MATCH(A3324,fa_num,0)),"Facture inconnue",IF(AND(B3324&lt;&gt;"",ISNA(MATCH(B3324,pr_code,0))),"Article inconnu",IF(H3324="","Désignation manquante",IF(OR(NOT(ISNUMBER(D3324)),N(D3324)&lt;=0),"Quantité invalide",IF(J3324="","Prix manquant",IF(OR(NOT(ISNUMBER(J3324)),N(J3324)&lt;0),"Prix invalide",IF(OR(AND(F3324&lt;&gt;"",NOT(ISNUMBER(F3324))),N(F3324)&lt;0,N(F3324)&gt;1),"Remise invalide",IF(K3324="","Taux de TVA manquant",IF(NOT(ISNUMBER(K3324)),"Taux de TVA invalide",IF(COUNTIF(p_rates,K3324)=0,"Taux de TVA hors liste (Paramètres)",IF(N(O3324)&gt;25,"Au-delà de 25 lignes : non imprimée","OK")))))))))))))</f>
        <v/>
      </c>
      <c r="O3324" s="59" t="str">
        <f>IF(A3324="","",COUNTIF($A$6:A3324,A3324))</f>
        <v/>
      </c>
      <c r="P3324" s="62" t="str">
        <f>IF(A3324="","",A3324&amp;"|"&amp;O3324)</f>
        <v/>
      </c>
    </row>
    <row r="3325">
      <c r="A3325" s="60" t="n"/>
      <c r="B3325" s="63" t="n"/>
      <c r="C3325" s="63" t="n"/>
      <c r="D3325" s="67" t="n"/>
      <c r="E3325" s="68" t="n"/>
      <c r="F3325" s="69" t="n"/>
      <c r="G3325" s="70" t="n"/>
      <c r="H3325" s="62" t="str">
        <f>IF(COUNTA(A3325:G3325)=0,"",IF(C3325&lt;&gt;"",C3325,IF(B3325="","",IFERROR(INDEX(pr_des,MATCH(B3325,pr_code,0))&amp;"",""))))</f>
        <v/>
      </c>
      <c r="I3325" s="59" t="str">
        <f>IF(B3325="","",IFERROR(INDEX(pr_unit,MATCH(B3325,pr_code,0))&amp;"",""))</f>
        <v/>
      </c>
      <c r="J3325" s="65" t="str">
        <f>IF(COUNTA(A3325:G3325)=0,"",IF(E3325&lt;&gt;"",E3325,IF(B3325="","",IFERROR(IF(INDEX(pr_price,MATCH(B3325,pr_code,0))="","",INDEX(pr_price,MATCH(B3325,pr_code,0))),""))))</f>
        <v/>
      </c>
      <c r="K3325" s="71" t="str">
        <f>IF(COUNTA(A3325:G3325)=0,"",IF(G3325&lt;&gt;"",G3325,IF(B3325="","",IFERROR(IF(INDEX(pr_rate,MATCH(B3325,pr_code,0))="","",INDEX(pr_rate,MATCH(B3325,pr_code,0))),""))))</f>
        <v/>
      </c>
      <c r="L3325" s="65" t="str">
        <f>IF(COUNTA(A3325:G3325)=0,"",IF(AND(ISNUMBER(D3325),ISNUMBER(J3325)),ROUND(D3325*J3325*(1-N(F3325)),2),0))</f>
        <v/>
      </c>
      <c r="M3325" s="62" t="str">
        <f>IF(A3325="","",IFERROR(INDEX(fa_cname,MATCH(A3325,fa_num,0))&amp;"",""))</f>
        <v/>
      </c>
      <c r="N3325" s="59" t="str">
        <f>IF(COUNTA(A3325:G3325)=0,"",IF(A3325="","N° facture manquant",IF(ISNA(MATCH(A3325,fa_num,0)),"Facture inconnue",IF(AND(B3325&lt;&gt;"",ISNA(MATCH(B3325,pr_code,0))),"Article inconnu",IF(H3325="","Désignation manquante",IF(OR(NOT(ISNUMBER(D3325)),N(D3325)&lt;=0),"Quantité invalide",IF(J3325="","Prix manquant",IF(OR(NOT(ISNUMBER(J3325)),N(J3325)&lt;0),"Prix invalide",IF(OR(AND(F3325&lt;&gt;"",NOT(ISNUMBER(F3325))),N(F3325)&lt;0,N(F3325)&gt;1),"Remise invalide",IF(K3325="","Taux de TVA manquant",IF(NOT(ISNUMBER(K3325)),"Taux de TVA invalide",IF(COUNTIF(p_rates,K3325)=0,"Taux de TVA hors liste (Paramètres)",IF(N(O3325)&gt;25,"Au-delà de 25 lignes : non imprimée","OK")))))))))))))</f>
        <v/>
      </c>
      <c r="O3325" s="59" t="str">
        <f>IF(A3325="","",COUNTIF($A$6:A3325,A3325))</f>
        <v/>
      </c>
      <c r="P3325" s="62" t="str">
        <f>IF(A3325="","",A3325&amp;"|"&amp;O3325)</f>
        <v/>
      </c>
    </row>
    <row r="3326">
      <c r="A3326" s="60" t="n"/>
      <c r="B3326" s="63" t="n"/>
      <c r="C3326" s="63" t="n"/>
      <c r="D3326" s="67" t="n"/>
      <c r="E3326" s="68" t="n"/>
      <c r="F3326" s="69" t="n"/>
      <c r="G3326" s="70" t="n"/>
      <c r="H3326" s="62" t="str">
        <f>IF(COUNTA(A3326:G3326)=0,"",IF(C3326&lt;&gt;"",C3326,IF(B3326="","",IFERROR(INDEX(pr_des,MATCH(B3326,pr_code,0))&amp;"",""))))</f>
        <v/>
      </c>
      <c r="I3326" s="59" t="str">
        <f>IF(B3326="","",IFERROR(INDEX(pr_unit,MATCH(B3326,pr_code,0))&amp;"",""))</f>
        <v/>
      </c>
      <c r="J3326" s="65" t="str">
        <f>IF(COUNTA(A3326:G3326)=0,"",IF(E3326&lt;&gt;"",E3326,IF(B3326="","",IFERROR(IF(INDEX(pr_price,MATCH(B3326,pr_code,0))="","",INDEX(pr_price,MATCH(B3326,pr_code,0))),""))))</f>
        <v/>
      </c>
      <c r="K3326" s="71" t="str">
        <f>IF(COUNTA(A3326:G3326)=0,"",IF(G3326&lt;&gt;"",G3326,IF(B3326="","",IFERROR(IF(INDEX(pr_rate,MATCH(B3326,pr_code,0))="","",INDEX(pr_rate,MATCH(B3326,pr_code,0))),""))))</f>
        <v/>
      </c>
      <c r="L3326" s="65" t="str">
        <f>IF(COUNTA(A3326:G3326)=0,"",IF(AND(ISNUMBER(D3326),ISNUMBER(J3326)),ROUND(D3326*J3326*(1-N(F3326)),2),0))</f>
        <v/>
      </c>
      <c r="M3326" s="62" t="str">
        <f>IF(A3326="","",IFERROR(INDEX(fa_cname,MATCH(A3326,fa_num,0))&amp;"",""))</f>
        <v/>
      </c>
      <c r="N3326" s="59" t="str">
        <f>IF(COUNTA(A3326:G3326)=0,"",IF(A3326="","N° facture manquant",IF(ISNA(MATCH(A3326,fa_num,0)),"Facture inconnue",IF(AND(B3326&lt;&gt;"",ISNA(MATCH(B3326,pr_code,0))),"Article inconnu",IF(H3326="","Désignation manquante",IF(OR(NOT(ISNUMBER(D3326)),N(D3326)&lt;=0),"Quantité invalide",IF(J3326="","Prix manquant",IF(OR(NOT(ISNUMBER(J3326)),N(J3326)&lt;0),"Prix invalide",IF(OR(AND(F3326&lt;&gt;"",NOT(ISNUMBER(F3326))),N(F3326)&lt;0,N(F3326)&gt;1),"Remise invalide",IF(K3326="","Taux de TVA manquant",IF(NOT(ISNUMBER(K3326)),"Taux de TVA invalide",IF(COUNTIF(p_rates,K3326)=0,"Taux de TVA hors liste (Paramètres)",IF(N(O3326)&gt;25,"Au-delà de 25 lignes : non imprimée","OK")))))))))))))</f>
        <v/>
      </c>
      <c r="O3326" s="59" t="str">
        <f>IF(A3326="","",COUNTIF($A$6:A3326,A3326))</f>
        <v/>
      </c>
      <c r="P3326" s="62" t="str">
        <f>IF(A3326="","",A3326&amp;"|"&amp;O3326)</f>
        <v/>
      </c>
    </row>
    <row r="3327">
      <c r="A3327" s="60" t="n"/>
      <c r="B3327" s="63" t="n"/>
      <c r="C3327" s="63" t="n"/>
      <c r="D3327" s="67" t="n"/>
      <c r="E3327" s="68" t="n"/>
      <c r="F3327" s="69" t="n"/>
      <c r="G3327" s="70" t="n"/>
      <c r="H3327" s="62" t="str">
        <f>IF(COUNTA(A3327:G3327)=0,"",IF(C3327&lt;&gt;"",C3327,IF(B3327="","",IFERROR(INDEX(pr_des,MATCH(B3327,pr_code,0))&amp;"",""))))</f>
        <v/>
      </c>
      <c r="I3327" s="59" t="str">
        <f>IF(B3327="","",IFERROR(INDEX(pr_unit,MATCH(B3327,pr_code,0))&amp;"",""))</f>
        <v/>
      </c>
      <c r="J3327" s="65" t="str">
        <f>IF(COUNTA(A3327:G3327)=0,"",IF(E3327&lt;&gt;"",E3327,IF(B3327="","",IFERROR(IF(INDEX(pr_price,MATCH(B3327,pr_code,0))="","",INDEX(pr_price,MATCH(B3327,pr_code,0))),""))))</f>
        <v/>
      </c>
      <c r="K3327" s="71" t="str">
        <f>IF(COUNTA(A3327:G3327)=0,"",IF(G3327&lt;&gt;"",G3327,IF(B3327="","",IFERROR(IF(INDEX(pr_rate,MATCH(B3327,pr_code,0))="","",INDEX(pr_rate,MATCH(B3327,pr_code,0))),""))))</f>
        <v/>
      </c>
      <c r="L3327" s="65" t="str">
        <f>IF(COUNTA(A3327:G3327)=0,"",IF(AND(ISNUMBER(D3327),ISNUMBER(J3327)),ROUND(D3327*J3327*(1-N(F3327)),2),0))</f>
        <v/>
      </c>
      <c r="M3327" s="62" t="str">
        <f>IF(A3327="","",IFERROR(INDEX(fa_cname,MATCH(A3327,fa_num,0))&amp;"",""))</f>
        <v/>
      </c>
      <c r="N3327" s="59" t="str">
        <f>IF(COUNTA(A3327:G3327)=0,"",IF(A3327="","N° facture manquant",IF(ISNA(MATCH(A3327,fa_num,0)),"Facture inconnue",IF(AND(B3327&lt;&gt;"",ISNA(MATCH(B3327,pr_code,0))),"Article inconnu",IF(H3327="","Désignation manquante",IF(OR(NOT(ISNUMBER(D3327)),N(D3327)&lt;=0),"Quantité invalide",IF(J3327="","Prix manquant",IF(OR(NOT(ISNUMBER(J3327)),N(J3327)&lt;0),"Prix invalide",IF(OR(AND(F3327&lt;&gt;"",NOT(ISNUMBER(F3327))),N(F3327)&lt;0,N(F3327)&gt;1),"Remise invalide",IF(K3327="","Taux de TVA manquant",IF(NOT(ISNUMBER(K3327)),"Taux de TVA invalide",IF(COUNTIF(p_rates,K3327)=0,"Taux de TVA hors liste (Paramètres)",IF(N(O3327)&gt;25,"Au-delà de 25 lignes : non imprimée","OK")))))))))))))</f>
        <v/>
      </c>
      <c r="O3327" s="59" t="str">
        <f>IF(A3327="","",COUNTIF($A$6:A3327,A3327))</f>
        <v/>
      </c>
      <c r="P3327" s="62" t="str">
        <f>IF(A3327="","",A3327&amp;"|"&amp;O3327)</f>
        <v/>
      </c>
    </row>
    <row r="3328">
      <c r="A3328" s="60" t="n"/>
      <c r="B3328" s="63" t="n"/>
      <c r="C3328" s="63" t="n"/>
      <c r="D3328" s="67" t="n"/>
      <c r="E3328" s="68" t="n"/>
      <c r="F3328" s="69" t="n"/>
      <c r="G3328" s="70" t="n"/>
      <c r="H3328" s="62" t="str">
        <f>IF(COUNTA(A3328:G3328)=0,"",IF(C3328&lt;&gt;"",C3328,IF(B3328="","",IFERROR(INDEX(pr_des,MATCH(B3328,pr_code,0))&amp;"",""))))</f>
        <v/>
      </c>
      <c r="I3328" s="59" t="str">
        <f>IF(B3328="","",IFERROR(INDEX(pr_unit,MATCH(B3328,pr_code,0))&amp;"",""))</f>
        <v/>
      </c>
      <c r="J3328" s="65" t="str">
        <f>IF(COUNTA(A3328:G3328)=0,"",IF(E3328&lt;&gt;"",E3328,IF(B3328="","",IFERROR(IF(INDEX(pr_price,MATCH(B3328,pr_code,0))="","",INDEX(pr_price,MATCH(B3328,pr_code,0))),""))))</f>
        <v/>
      </c>
      <c r="K3328" s="71" t="str">
        <f>IF(COUNTA(A3328:G3328)=0,"",IF(G3328&lt;&gt;"",G3328,IF(B3328="","",IFERROR(IF(INDEX(pr_rate,MATCH(B3328,pr_code,0))="","",INDEX(pr_rate,MATCH(B3328,pr_code,0))),""))))</f>
        <v/>
      </c>
      <c r="L3328" s="65" t="str">
        <f>IF(COUNTA(A3328:G3328)=0,"",IF(AND(ISNUMBER(D3328),ISNUMBER(J3328)),ROUND(D3328*J3328*(1-N(F3328)),2),0))</f>
        <v/>
      </c>
      <c r="M3328" s="62" t="str">
        <f>IF(A3328="","",IFERROR(INDEX(fa_cname,MATCH(A3328,fa_num,0))&amp;"",""))</f>
        <v/>
      </c>
      <c r="N3328" s="59" t="str">
        <f>IF(COUNTA(A3328:G3328)=0,"",IF(A3328="","N° facture manquant",IF(ISNA(MATCH(A3328,fa_num,0)),"Facture inconnue",IF(AND(B3328&lt;&gt;"",ISNA(MATCH(B3328,pr_code,0))),"Article inconnu",IF(H3328="","Désignation manquante",IF(OR(NOT(ISNUMBER(D3328)),N(D3328)&lt;=0),"Quantité invalide",IF(J3328="","Prix manquant",IF(OR(NOT(ISNUMBER(J3328)),N(J3328)&lt;0),"Prix invalide",IF(OR(AND(F3328&lt;&gt;"",NOT(ISNUMBER(F3328))),N(F3328)&lt;0,N(F3328)&gt;1),"Remise invalide",IF(K3328="","Taux de TVA manquant",IF(NOT(ISNUMBER(K3328)),"Taux de TVA invalide",IF(COUNTIF(p_rates,K3328)=0,"Taux de TVA hors liste (Paramètres)",IF(N(O3328)&gt;25,"Au-delà de 25 lignes : non imprimée","OK")))))))))))))</f>
        <v/>
      </c>
      <c r="O3328" s="59" t="str">
        <f>IF(A3328="","",COUNTIF($A$6:A3328,A3328))</f>
        <v/>
      </c>
      <c r="P3328" s="62" t="str">
        <f>IF(A3328="","",A3328&amp;"|"&amp;O3328)</f>
        <v/>
      </c>
    </row>
    <row r="3329">
      <c r="A3329" s="60" t="n"/>
      <c r="B3329" s="63" t="n"/>
      <c r="C3329" s="63" t="n"/>
      <c r="D3329" s="67" t="n"/>
      <c r="E3329" s="68" t="n"/>
      <c r="F3329" s="69" t="n"/>
      <c r="G3329" s="70" t="n"/>
      <c r="H3329" s="62" t="str">
        <f>IF(COUNTA(A3329:G3329)=0,"",IF(C3329&lt;&gt;"",C3329,IF(B3329="","",IFERROR(INDEX(pr_des,MATCH(B3329,pr_code,0))&amp;"",""))))</f>
        <v/>
      </c>
      <c r="I3329" s="59" t="str">
        <f>IF(B3329="","",IFERROR(INDEX(pr_unit,MATCH(B3329,pr_code,0))&amp;"",""))</f>
        <v/>
      </c>
      <c r="J3329" s="65" t="str">
        <f>IF(COUNTA(A3329:G3329)=0,"",IF(E3329&lt;&gt;"",E3329,IF(B3329="","",IFERROR(IF(INDEX(pr_price,MATCH(B3329,pr_code,0))="","",INDEX(pr_price,MATCH(B3329,pr_code,0))),""))))</f>
        <v/>
      </c>
      <c r="K3329" s="71" t="str">
        <f>IF(COUNTA(A3329:G3329)=0,"",IF(G3329&lt;&gt;"",G3329,IF(B3329="","",IFERROR(IF(INDEX(pr_rate,MATCH(B3329,pr_code,0))="","",INDEX(pr_rate,MATCH(B3329,pr_code,0))),""))))</f>
        <v/>
      </c>
      <c r="L3329" s="65" t="str">
        <f>IF(COUNTA(A3329:G3329)=0,"",IF(AND(ISNUMBER(D3329),ISNUMBER(J3329)),ROUND(D3329*J3329*(1-N(F3329)),2),0))</f>
        <v/>
      </c>
      <c r="M3329" s="62" t="str">
        <f>IF(A3329="","",IFERROR(INDEX(fa_cname,MATCH(A3329,fa_num,0))&amp;"",""))</f>
        <v/>
      </c>
      <c r="N3329" s="59" t="str">
        <f>IF(COUNTA(A3329:G3329)=0,"",IF(A3329="","N° facture manquant",IF(ISNA(MATCH(A3329,fa_num,0)),"Facture inconnue",IF(AND(B3329&lt;&gt;"",ISNA(MATCH(B3329,pr_code,0))),"Article inconnu",IF(H3329="","Désignation manquante",IF(OR(NOT(ISNUMBER(D3329)),N(D3329)&lt;=0),"Quantité invalide",IF(J3329="","Prix manquant",IF(OR(NOT(ISNUMBER(J3329)),N(J3329)&lt;0),"Prix invalide",IF(OR(AND(F3329&lt;&gt;"",NOT(ISNUMBER(F3329))),N(F3329)&lt;0,N(F3329)&gt;1),"Remise invalide",IF(K3329="","Taux de TVA manquant",IF(NOT(ISNUMBER(K3329)),"Taux de TVA invalide",IF(COUNTIF(p_rates,K3329)=0,"Taux de TVA hors liste (Paramètres)",IF(N(O3329)&gt;25,"Au-delà de 25 lignes : non imprimée","OK")))))))))))))</f>
        <v/>
      </c>
      <c r="O3329" s="59" t="str">
        <f>IF(A3329="","",COUNTIF($A$6:A3329,A3329))</f>
        <v/>
      </c>
      <c r="P3329" s="62" t="str">
        <f>IF(A3329="","",A3329&amp;"|"&amp;O3329)</f>
        <v/>
      </c>
    </row>
    <row r="3330">
      <c r="A3330" s="60" t="n"/>
      <c r="B3330" s="63" t="n"/>
      <c r="C3330" s="63" t="n"/>
      <c r="D3330" s="67" t="n"/>
      <c r="E3330" s="68" t="n"/>
      <c r="F3330" s="69" t="n"/>
      <c r="G3330" s="70" t="n"/>
      <c r="H3330" s="62" t="str">
        <f>IF(COUNTA(A3330:G3330)=0,"",IF(C3330&lt;&gt;"",C3330,IF(B3330="","",IFERROR(INDEX(pr_des,MATCH(B3330,pr_code,0))&amp;"",""))))</f>
        <v/>
      </c>
      <c r="I3330" s="59" t="str">
        <f>IF(B3330="","",IFERROR(INDEX(pr_unit,MATCH(B3330,pr_code,0))&amp;"",""))</f>
        <v/>
      </c>
      <c r="J3330" s="65" t="str">
        <f>IF(COUNTA(A3330:G3330)=0,"",IF(E3330&lt;&gt;"",E3330,IF(B3330="","",IFERROR(IF(INDEX(pr_price,MATCH(B3330,pr_code,0))="","",INDEX(pr_price,MATCH(B3330,pr_code,0))),""))))</f>
        <v/>
      </c>
      <c r="K3330" s="71" t="str">
        <f>IF(COUNTA(A3330:G3330)=0,"",IF(G3330&lt;&gt;"",G3330,IF(B3330="","",IFERROR(IF(INDEX(pr_rate,MATCH(B3330,pr_code,0))="","",INDEX(pr_rate,MATCH(B3330,pr_code,0))),""))))</f>
        <v/>
      </c>
      <c r="L3330" s="65" t="str">
        <f>IF(COUNTA(A3330:G3330)=0,"",IF(AND(ISNUMBER(D3330),ISNUMBER(J3330)),ROUND(D3330*J3330*(1-N(F3330)),2),0))</f>
        <v/>
      </c>
      <c r="M3330" s="62" t="str">
        <f>IF(A3330="","",IFERROR(INDEX(fa_cname,MATCH(A3330,fa_num,0))&amp;"",""))</f>
        <v/>
      </c>
      <c r="N3330" s="59" t="str">
        <f>IF(COUNTA(A3330:G3330)=0,"",IF(A3330="","N° facture manquant",IF(ISNA(MATCH(A3330,fa_num,0)),"Facture inconnue",IF(AND(B3330&lt;&gt;"",ISNA(MATCH(B3330,pr_code,0))),"Article inconnu",IF(H3330="","Désignation manquante",IF(OR(NOT(ISNUMBER(D3330)),N(D3330)&lt;=0),"Quantité invalide",IF(J3330="","Prix manquant",IF(OR(NOT(ISNUMBER(J3330)),N(J3330)&lt;0),"Prix invalide",IF(OR(AND(F3330&lt;&gt;"",NOT(ISNUMBER(F3330))),N(F3330)&lt;0,N(F3330)&gt;1),"Remise invalide",IF(K3330="","Taux de TVA manquant",IF(NOT(ISNUMBER(K3330)),"Taux de TVA invalide",IF(COUNTIF(p_rates,K3330)=0,"Taux de TVA hors liste (Paramètres)",IF(N(O3330)&gt;25,"Au-delà de 25 lignes : non imprimée","OK")))))))))))))</f>
        <v/>
      </c>
      <c r="O3330" s="59" t="str">
        <f>IF(A3330="","",COUNTIF($A$6:A3330,A3330))</f>
        <v/>
      </c>
      <c r="P3330" s="62" t="str">
        <f>IF(A3330="","",A3330&amp;"|"&amp;O3330)</f>
        <v/>
      </c>
    </row>
    <row r="3331">
      <c r="A3331" s="60" t="n"/>
      <c r="B3331" s="63" t="n"/>
      <c r="C3331" s="63" t="n"/>
      <c r="D3331" s="67" t="n"/>
      <c r="E3331" s="68" t="n"/>
      <c r="F3331" s="69" t="n"/>
      <c r="G3331" s="70" t="n"/>
      <c r="H3331" s="62" t="str">
        <f>IF(COUNTA(A3331:G3331)=0,"",IF(C3331&lt;&gt;"",C3331,IF(B3331="","",IFERROR(INDEX(pr_des,MATCH(B3331,pr_code,0))&amp;"",""))))</f>
        <v/>
      </c>
      <c r="I3331" s="59" t="str">
        <f>IF(B3331="","",IFERROR(INDEX(pr_unit,MATCH(B3331,pr_code,0))&amp;"",""))</f>
        <v/>
      </c>
      <c r="J3331" s="65" t="str">
        <f>IF(COUNTA(A3331:G3331)=0,"",IF(E3331&lt;&gt;"",E3331,IF(B3331="","",IFERROR(IF(INDEX(pr_price,MATCH(B3331,pr_code,0))="","",INDEX(pr_price,MATCH(B3331,pr_code,0))),""))))</f>
        <v/>
      </c>
      <c r="K3331" s="71" t="str">
        <f>IF(COUNTA(A3331:G3331)=0,"",IF(G3331&lt;&gt;"",G3331,IF(B3331="","",IFERROR(IF(INDEX(pr_rate,MATCH(B3331,pr_code,0))="","",INDEX(pr_rate,MATCH(B3331,pr_code,0))),""))))</f>
        <v/>
      </c>
      <c r="L3331" s="65" t="str">
        <f>IF(COUNTA(A3331:G3331)=0,"",IF(AND(ISNUMBER(D3331),ISNUMBER(J3331)),ROUND(D3331*J3331*(1-N(F3331)),2),0))</f>
        <v/>
      </c>
      <c r="M3331" s="62" t="str">
        <f>IF(A3331="","",IFERROR(INDEX(fa_cname,MATCH(A3331,fa_num,0))&amp;"",""))</f>
        <v/>
      </c>
      <c r="N3331" s="59" t="str">
        <f>IF(COUNTA(A3331:G3331)=0,"",IF(A3331="","N° facture manquant",IF(ISNA(MATCH(A3331,fa_num,0)),"Facture inconnue",IF(AND(B3331&lt;&gt;"",ISNA(MATCH(B3331,pr_code,0))),"Article inconnu",IF(H3331="","Désignation manquante",IF(OR(NOT(ISNUMBER(D3331)),N(D3331)&lt;=0),"Quantité invalide",IF(J3331="","Prix manquant",IF(OR(NOT(ISNUMBER(J3331)),N(J3331)&lt;0),"Prix invalide",IF(OR(AND(F3331&lt;&gt;"",NOT(ISNUMBER(F3331))),N(F3331)&lt;0,N(F3331)&gt;1),"Remise invalide",IF(K3331="","Taux de TVA manquant",IF(NOT(ISNUMBER(K3331)),"Taux de TVA invalide",IF(COUNTIF(p_rates,K3331)=0,"Taux de TVA hors liste (Paramètres)",IF(N(O3331)&gt;25,"Au-delà de 25 lignes : non imprimée","OK")))))))))))))</f>
        <v/>
      </c>
      <c r="O3331" s="59" t="str">
        <f>IF(A3331="","",COUNTIF($A$6:A3331,A3331))</f>
        <v/>
      </c>
      <c r="P3331" s="62" t="str">
        <f>IF(A3331="","",A3331&amp;"|"&amp;O3331)</f>
        <v/>
      </c>
    </row>
    <row r="3332">
      <c r="A3332" s="60" t="n"/>
      <c r="B3332" s="63" t="n"/>
      <c r="C3332" s="63" t="n"/>
      <c r="D3332" s="67" t="n"/>
      <c r="E3332" s="68" t="n"/>
      <c r="F3332" s="69" t="n"/>
      <c r="G3332" s="70" t="n"/>
      <c r="H3332" s="62" t="str">
        <f>IF(COUNTA(A3332:G3332)=0,"",IF(C3332&lt;&gt;"",C3332,IF(B3332="","",IFERROR(INDEX(pr_des,MATCH(B3332,pr_code,0))&amp;"",""))))</f>
        <v/>
      </c>
      <c r="I3332" s="59" t="str">
        <f>IF(B3332="","",IFERROR(INDEX(pr_unit,MATCH(B3332,pr_code,0))&amp;"",""))</f>
        <v/>
      </c>
      <c r="J3332" s="65" t="str">
        <f>IF(COUNTA(A3332:G3332)=0,"",IF(E3332&lt;&gt;"",E3332,IF(B3332="","",IFERROR(IF(INDEX(pr_price,MATCH(B3332,pr_code,0))="","",INDEX(pr_price,MATCH(B3332,pr_code,0))),""))))</f>
        <v/>
      </c>
      <c r="K3332" s="71" t="str">
        <f>IF(COUNTA(A3332:G3332)=0,"",IF(G3332&lt;&gt;"",G3332,IF(B3332="","",IFERROR(IF(INDEX(pr_rate,MATCH(B3332,pr_code,0))="","",INDEX(pr_rate,MATCH(B3332,pr_code,0))),""))))</f>
        <v/>
      </c>
      <c r="L3332" s="65" t="str">
        <f>IF(COUNTA(A3332:G3332)=0,"",IF(AND(ISNUMBER(D3332),ISNUMBER(J3332)),ROUND(D3332*J3332*(1-N(F3332)),2),0))</f>
        <v/>
      </c>
      <c r="M3332" s="62" t="str">
        <f>IF(A3332="","",IFERROR(INDEX(fa_cname,MATCH(A3332,fa_num,0))&amp;"",""))</f>
        <v/>
      </c>
      <c r="N3332" s="59" t="str">
        <f>IF(COUNTA(A3332:G3332)=0,"",IF(A3332="","N° facture manquant",IF(ISNA(MATCH(A3332,fa_num,0)),"Facture inconnue",IF(AND(B3332&lt;&gt;"",ISNA(MATCH(B3332,pr_code,0))),"Article inconnu",IF(H3332="","Désignation manquante",IF(OR(NOT(ISNUMBER(D3332)),N(D3332)&lt;=0),"Quantité invalide",IF(J3332="","Prix manquant",IF(OR(NOT(ISNUMBER(J3332)),N(J3332)&lt;0),"Prix invalide",IF(OR(AND(F3332&lt;&gt;"",NOT(ISNUMBER(F3332))),N(F3332)&lt;0,N(F3332)&gt;1),"Remise invalide",IF(K3332="","Taux de TVA manquant",IF(NOT(ISNUMBER(K3332)),"Taux de TVA invalide",IF(COUNTIF(p_rates,K3332)=0,"Taux de TVA hors liste (Paramètres)",IF(N(O3332)&gt;25,"Au-delà de 25 lignes : non imprimée","OK")))))))))))))</f>
        <v/>
      </c>
      <c r="O3332" s="59" t="str">
        <f>IF(A3332="","",COUNTIF($A$6:A3332,A3332))</f>
        <v/>
      </c>
      <c r="P3332" s="62" t="str">
        <f>IF(A3332="","",A3332&amp;"|"&amp;O3332)</f>
        <v/>
      </c>
    </row>
    <row r="3333">
      <c r="A3333" s="60" t="n"/>
      <c r="B3333" s="63" t="n"/>
      <c r="C3333" s="63" t="n"/>
      <c r="D3333" s="67" t="n"/>
      <c r="E3333" s="68" t="n"/>
      <c r="F3333" s="69" t="n"/>
      <c r="G3333" s="70" t="n"/>
      <c r="H3333" s="62" t="str">
        <f>IF(COUNTA(A3333:G3333)=0,"",IF(C3333&lt;&gt;"",C3333,IF(B3333="","",IFERROR(INDEX(pr_des,MATCH(B3333,pr_code,0))&amp;"",""))))</f>
        <v/>
      </c>
      <c r="I3333" s="59" t="str">
        <f>IF(B3333="","",IFERROR(INDEX(pr_unit,MATCH(B3333,pr_code,0))&amp;"",""))</f>
        <v/>
      </c>
      <c r="J3333" s="65" t="str">
        <f>IF(COUNTA(A3333:G3333)=0,"",IF(E3333&lt;&gt;"",E3333,IF(B3333="","",IFERROR(IF(INDEX(pr_price,MATCH(B3333,pr_code,0))="","",INDEX(pr_price,MATCH(B3333,pr_code,0))),""))))</f>
        <v/>
      </c>
      <c r="K3333" s="71" t="str">
        <f>IF(COUNTA(A3333:G3333)=0,"",IF(G3333&lt;&gt;"",G3333,IF(B3333="","",IFERROR(IF(INDEX(pr_rate,MATCH(B3333,pr_code,0))="","",INDEX(pr_rate,MATCH(B3333,pr_code,0))),""))))</f>
        <v/>
      </c>
      <c r="L3333" s="65" t="str">
        <f>IF(COUNTA(A3333:G3333)=0,"",IF(AND(ISNUMBER(D3333),ISNUMBER(J3333)),ROUND(D3333*J3333*(1-N(F3333)),2),0))</f>
        <v/>
      </c>
      <c r="M3333" s="62" t="str">
        <f>IF(A3333="","",IFERROR(INDEX(fa_cname,MATCH(A3333,fa_num,0))&amp;"",""))</f>
        <v/>
      </c>
      <c r="N3333" s="59" t="str">
        <f>IF(COUNTA(A3333:G3333)=0,"",IF(A3333="","N° facture manquant",IF(ISNA(MATCH(A3333,fa_num,0)),"Facture inconnue",IF(AND(B3333&lt;&gt;"",ISNA(MATCH(B3333,pr_code,0))),"Article inconnu",IF(H3333="","Désignation manquante",IF(OR(NOT(ISNUMBER(D3333)),N(D3333)&lt;=0),"Quantité invalide",IF(J3333="","Prix manquant",IF(OR(NOT(ISNUMBER(J3333)),N(J3333)&lt;0),"Prix invalide",IF(OR(AND(F3333&lt;&gt;"",NOT(ISNUMBER(F3333))),N(F3333)&lt;0,N(F3333)&gt;1),"Remise invalide",IF(K3333="","Taux de TVA manquant",IF(NOT(ISNUMBER(K3333)),"Taux de TVA invalide",IF(COUNTIF(p_rates,K3333)=0,"Taux de TVA hors liste (Paramètres)",IF(N(O3333)&gt;25,"Au-delà de 25 lignes : non imprimée","OK")))))))))))))</f>
        <v/>
      </c>
      <c r="O3333" s="59" t="str">
        <f>IF(A3333="","",COUNTIF($A$6:A3333,A3333))</f>
        <v/>
      </c>
      <c r="P3333" s="62" t="str">
        <f>IF(A3333="","",A3333&amp;"|"&amp;O3333)</f>
        <v/>
      </c>
    </row>
    <row r="3334">
      <c r="A3334" s="60" t="n"/>
      <c r="B3334" s="63" t="n"/>
      <c r="C3334" s="63" t="n"/>
      <c r="D3334" s="67" t="n"/>
      <c r="E3334" s="68" t="n"/>
      <c r="F3334" s="69" t="n"/>
      <c r="G3334" s="70" t="n"/>
      <c r="H3334" s="62" t="str">
        <f>IF(COUNTA(A3334:G3334)=0,"",IF(C3334&lt;&gt;"",C3334,IF(B3334="","",IFERROR(INDEX(pr_des,MATCH(B3334,pr_code,0))&amp;"",""))))</f>
        <v/>
      </c>
      <c r="I3334" s="59" t="str">
        <f>IF(B3334="","",IFERROR(INDEX(pr_unit,MATCH(B3334,pr_code,0))&amp;"",""))</f>
        <v/>
      </c>
      <c r="J3334" s="65" t="str">
        <f>IF(COUNTA(A3334:G3334)=0,"",IF(E3334&lt;&gt;"",E3334,IF(B3334="","",IFERROR(IF(INDEX(pr_price,MATCH(B3334,pr_code,0))="","",INDEX(pr_price,MATCH(B3334,pr_code,0))),""))))</f>
        <v/>
      </c>
      <c r="K3334" s="71" t="str">
        <f>IF(COUNTA(A3334:G3334)=0,"",IF(G3334&lt;&gt;"",G3334,IF(B3334="","",IFERROR(IF(INDEX(pr_rate,MATCH(B3334,pr_code,0))="","",INDEX(pr_rate,MATCH(B3334,pr_code,0))),""))))</f>
        <v/>
      </c>
      <c r="L3334" s="65" t="str">
        <f>IF(COUNTA(A3334:G3334)=0,"",IF(AND(ISNUMBER(D3334),ISNUMBER(J3334)),ROUND(D3334*J3334*(1-N(F3334)),2),0))</f>
        <v/>
      </c>
      <c r="M3334" s="62" t="str">
        <f>IF(A3334="","",IFERROR(INDEX(fa_cname,MATCH(A3334,fa_num,0))&amp;"",""))</f>
        <v/>
      </c>
      <c r="N3334" s="59" t="str">
        <f>IF(COUNTA(A3334:G3334)=0,"",IF(A3334="","N° facture manquant",IF(ISNA(MATCH(A3334,fa_num,0)),"Facture inconnue",IF(AND(B3334&lt;&gt;"",ISNA(MATCH(B3334,pr_code,0))),"Article inconnu",IF(H3334="","Désignation manquante",IF(OR(NOT(ISNUMBER(D3334)),N(D3334)&lt;=0),"Quantité invalide",IF(J3334="","Prix manquant",IF(OR(NOT(ISNUMBER(J3334)),N(J3334)&lt;0),"Prix invalide",IF(OR(AND(F3334&lt;&gt;"",NOT(ISNUMBER(F3334))),N(F3334)&lt;0,N(F3334)&gt;1),"Remise invalide",IF(K3334="","Taux de TVA manquant",IF(NOT(ISNUMBER(K3334)),"Taux de TVA invalide",IF(COUNTIF(p_rates,K3334)=0,"Taux de TVA hors liste (Paramètres)",IF(N(O3334)&gt;25,"Au-delà de 25 lignes : non imprimée","OK")))))))))))))</f>
        <v/>
      </c>
      <c r="O3334" s="59" t="str">
        <f>IF(A3334="","",COUNTIF($A$6:A3334,A3334))</f>
        <v/>
      </c>
      <c r="P3334" s="62" t="str">
        <f>IF(A3334="","",A3334&amp;"|"&amp;O3334)</f>
        <v/>
      </c>
    </row>
    <row r="3335">
      <c r="A3335" s="60" t="n"/>
      <c r="B3335" s="63" t="n"/>
      <c r="C3335" s="63" t="n"/>
      <c r="D3335" s="67" t="n"/>
      <c r="E3335" s="68" t="n"/>
      <c r="F3335" s="69" t="n"/>
      <c r="G3335" s="70" t="n"/>
      <c r="H3335" s="62" t="str">
        <f>IF(COUNTA(A3335:G3335)=0,"",IF(C3335&lt;&gt;"",C3335,IF(B3335="","",IFERROR(INDEX(pr_des,MATCH(B3335,pr_code,0))&amp;"",""))))</f>
        <v/>
      </c>
      <c r="I3335" s="59" t="str">
        <f>IF(B3335="","",IFERROR(INDEX(pr_unit,MATCH(B3335,pr_code,0))&amp;"",""))</f>
        <v/>
      </c>
      <c r="J3335" s="65" t="str">
        <f>IF(COUNTA(A3335:G3335)=0,"",IF(E3335&lt;&gt;"",E3335,IF(B3335="","",IFERROR(IF(INDEX(pr_price,MATCH(B3335,pr_code,0))="","",INDEX(pr_price,MATCH(B3335,pr_code,0))),""))))</f>
        <v/>
      </c>
      <c r="K3335" s="71" t="str">
        <f>IF(COUNTA(A3335:G3335)=0,"",IF(G3335&lt;&gt;"",G3335,IF(B3335="","",IFERROR(IF(INDEX(pr_rate,MATCH(B3335,pr_code,0))="","",INDEX(pr_rate,MATCH(B3335,pr_code,0))),""))))</f>
        <v/>
      </c>
      <c r="L3335" s="65" t="str">
        <f>IF(COUNTA(A3335:G3335)=0,"",IF(AND(ISNUMBER(D3335),ISNUMBER(J3335)),ROUND(D3335*J3335*(1-N(F3335)),2),0))</f>
        <v/>
      </c>
      <c r="M3335" s="62" t="str">
        <f>IF(A3335="","",IFERROR(INDEX(fa_cname,MATCH(A3335,fa_num,0))&amp;"",""))</f>
        <v/>
      </c>
      <c r="N3335" s="59" t="str">
        <f>IF(COUNTA(A3335:G3335)=0,"",IF(A3335="","N° facture manquant",IF(ISNA(MATCH(A3335,fa_num,0)),"Facture inconnue",IF(AND(B3335&lt;&gt;"",ISNA(MATCH(B3335,pr_code,0))),"Article inconnu",IF(H3335="","Désignation manquante",IF(OR(NOT(ISNUMBER(D3335)),N(D3335)&lt;=0),"Quantité invalide",IF(J3335="","Prix manquant",IF(OR(NOT(ISNUMBER(J3335)),N(J3335)&lt;0),"Prix invalide",IF(OR(AND(F3335&lt;&gt;"",NOT(ISNUMBER(F3335))),N(F3335)&lt;0,N(F3335)&gt;1),"Remise invalide",IF(K3335="","Taux de TVA manquant",IF(NOT(ISNUMBER(K3335)),"Taux de TVA invalide",IF(COUNTIF(p_rates,K3335)=0,"Taux de TVA hors liste (Paramètres)",IF(N(O3335)&gt;25,"Au-delà de 25 lignes : non imprimée","OK")))))))))))))</f>
        <v/>
      </c>
      <c r="O3335" s="59" t="str">
        <f>IF(A3335="","",COUNTIF($A$6:A3335,A3335))</f>
        <v/>
      </c>
      <c r="P3335" s="62" t="str">
        <f>IF(A3335="","",A3335&amp;"|"&amp;O3335)</f>
        <v/>
      </c>
    </row>
    <row r="3336">
      <c r="A3336" s="60" t="n"/>
      <c r="B3336" s="63" t="n"/>
      <c r="C3336" s="63" t="n"/>
      <c r="D3336" s="67" t="n"/>
      <c r="E3336" s="68" t="n"/>
      <c r="F3336" s="69" t="n"/>
      <c r="G3336" s="70" t="n"/>
      <c r="H3336" s="62" t="str">
        <f>IF(COUNTA(A3336:G3336)=0,"",IF(C3336&lt;&gt;"",C3336,IF(B3336="","",IFERROR(INDEX(pr_des,MATCH(B3336,pr_code,0))&amp;"",""))))</f>
        <v/>
      </c>
      <c r="I3336" s="59" t="str">
        <f>IF(B3336="","",IFERROR(INDEX(pr_unit,MATCH(B3336,pr_code,0))&amp;"",""))</f>
        <v/>
      </c>
      <c r="J3336" s="65" t="str">
        <f>IF(COUNTA(A3336:G3336)=0,"",IF(E3336&lt;&gt;"",E3336,IF(B3336="","",IFERROR(IF(INDEX(pr_price,MATCH(B3336,pr_code,0))="","",INDEX(pr_price,MATCH(B3336,pr_code,0))),""))))</f>
        <v/>
      </c>
      <c r="K3336" s="71" t="str">
        <f>IF(COUNTA(A3336:G3336)=0,"",IF(G3336&lt;&gt;"",G3336,IF(B3336="","",IFERROR(IF(INDEX(pr_rate,MATCH(B3336,pr_code,0))="","",INDEX(pr_rate,MATCH(B3336,pr_code,0))),""))))</f>
        <v/>
      </c>
      <c r="L3336" s="65" t="str">
        <f>IF(COUNTA(A3336:G3336)=0,"",IF(AND(ISNUMBER(D3336),ISNUMBER(J3336)),ROUND(D3336*J3336*(1-N(F3336)),2),0))</f>
        <v/>
      </c>
      <c r="M3336" s="62" t="str">
        <f>IF(A3336="","",IFERROR(INDEX(fa_cname,MATCH(A3336,fa_num,0))&amp;"",""))</f>
        <v/>
      </c>
      <c r="N3336" s="59" t="str">
        <f>IF(COUNTA(A3336:G3336)=0,"",IF(A3336="","N° facture manquant",IF(ISNA(MATCH(A3336,fa_num,0)),"Facture inconnue",IF(AND(B3336&lt;&gt;"",ISNA(MATCH(B3336,pr_code,0))),"Article inconnu",IF(H3336="","Désignation manquante",IF(OR(NOT(ISNUMBER(D3336)),N(D3336)&lt;=0),"Quantité invalide",IF(J3336="","Prix manquant",IF(OR(NOT(ISNUMBER(J3336)),N(J3336)&lt;0),"Prix invalide",IF(OR(AND(F3336&lt;&gt;"",NOT(ISNUMBER(F3336))),N(F3336)&lt;0,N(F3336)&gt;1),"Remise invalide",IF(K3336="","Taux de TVA manquant",IF(NOT(ISNUMBER(K3336)),"Taux de TVA invalide",IF(COUNTIF(p_rates,K3336)=0,"Taux de TVA hors liste (Paramètres)",IF(N(O3336)&gt;25,"Au-delà de 25 lignes : non imprimée","OK")))))))))))))</f>
        <v/>
      </c>
      <c r="O3336" s="59" t="str">
        <f>IF(A3336="","",COUNTIF($A$6:A3336,A3336))</f>
        <v/>
      </c>
      <c r="P3336" s="62" t="str">
        <f>IF(A3336="","",A3336&amp;"|"&amp;O3336)</f>
        <v/>
      </c>
    </row>
    <row r="3337">
      <c r="A3337" s="60" t="n"/>
      <c r="B3337" s="63" t="n"/>
      <c r="C3337" s="63" t="n"/>
      <c r="D3337" s="67" t="n"/>
      <c r="E3337" s="68" t="n"/>
      <c r="F3337" s="69" t="n"/>
      <c r="G3337" s="70" t="n"/>
      <c r="H3337" s="62" t="str">
        <f>IF(COUNTA(A3337:G3337)=0,"",IF(C3337&lt;&gt;"",C3337,IF(B3337="","",IFERROR(INDEX(pr_des,MATCH(B3337,pr_code,0))&amp;"",""))))</f>
        <v/>
      </c>
      <c r="I3337" s="59" t="str">
        <f>IF(B3337="","",IFERROR(INDEX(pr_unit,MATCH(B3337,pr_code,0))&amp;"",""))</f>
        <v/>
      </c>
      <c r="J3337" s="65" t="str">
        <f>IF(COUNTA(A3337:G3337)=0,"",IF(E3337&lt;&gt;"",E3337,IF(B3337="","",IFERROR(IF(INDEX(pr_price,MATCH(B3337,pr_code,0))="","",INDEX(pr_price,MATCH(B3337,pr_code,0))),""))))</f>
        <v/>
      </c>
      <c r="K3337" s="71" t="str">
        <f>IF(COUNTA(A3337:G3337)=0,"",IF(G3337&lt;&gt;"",G3337,IF(B3337="","",IFERROR(IF(INDEX(pr_rate,MATCH(B3337,pr_code,0))="","",INDEX(pr_rate,MATCH(B3337,pr_code,0))),""))))</f>
        <v/>
      </c>
      <c r="L3337" s="65" t="str">
        <f>IF(COUNTA(A3337:G3337)=0,"",IF(AND(ISNUMBER(D3337),ISNUMBER(J3337)),ROUND(D3337*J3337*(1-N(F3337)),2),0))</f>
        <v/>
      </c>
      <c r="M3337" s="62" t="str">
        <f>IF(A3337="","",IFERROR(INDEX(fa_cname,MATCH(A3337,fa_num,0))&amp;"",""))</f>
        <v/>
      </c>
      <c r="N3337" s="59" t="str">
        <f>IF(COUNTA(A3337:G3337)=0,"",IF(A3337="","N° facture manquant",IF(ISNA(MATCH(A3337,fa_num,0)),"Facture inconnue",IF(AND(B3337&lt;&gt;"",ISNA(MATCH(B3337,pr_code,0))),"Article inconnu",IF(H3337="","Désignation manquante",IF(OR(NOT(ISNUMBER(D3337)),N(D3337)&lt;=0),"Quantité invalide",IF(J3337="","Prix manquant",IF(OR(NOT(ISNUMBER(J3337)),N(J3337)&lt;0),"Prix invalide",IF(OR(AND(F3337&lt;&gt;"",NOT(ISNUMBER(F3337))),N(F3337)&lt;0,N(F3337)&gt;1),"Remise invalide",IF(K3337="","Taux de TVA manquant",IF(NOT(ISNUMBER(K3337)),"Taux de TVA invalide",IF(COUNTIF(p_rates,K3337)=0,"Taux de TVA hors liste (Paramètres)",IF(N(O3337)&gt;25,"Au-delà de 25 lignes : non imprimée","OK")))))))))))))</f>
        <v/>
      </c>
      <c r="O3337" s="59" t="str">
        <f>IF(A3337="","",COUNTIF($A$6:A3337,A3337))</f>
        <v/>
      </c>
      <c r="P3337" s="62" t="str">
        <f>IF(A3337="","",A3337&amp;"|"&amp;O3337)</f>
        <v/>
      </c>
    </row>
    <row r="3338">
      <c r="A3338" s="60" t="n"/>
      <c r="B3338" s="63" t="n"/>
      <c r="C3338" s="63" t="n"/>
      <c r="D3338" s="67" t="n"/>
      <c r="E3338" s="68" t="n"/>
      <c r="F3338" s="69" t="n"/>
      <c r="G3338" s="70" t="n"/>
      <c r="H3338" s="62" t="str">
        <f>IF(COUNTA(A3338:G3338)=0,"",IF(C3338&lt;&gt;"",C3338,IF(B3338="","",IFERROR(INDEX(pr_des,MATCH(B3338,pr_code,0))&amp;"",""))))</f>
        <v/>
      </c>
      <c r="I3338" s="59" t="str">
        <f>IF(B3338="","",IFERROR(INDEX(pr_unit,MATCH(B3338,pr_code,0))&amp;"",""))</f>
        <v/>
      </c>
      <c r="J3338" s="65" t="str">
        <f>IF(COUNTA(A3338:G3338)=0,"",IF(E3338&lt;&gt;"",E3338,IF(B3338="","",IFERROR(IF(INDEX(pr_price,MATCH(B3338,pr_code,0))="","",INDEX(pr_price,MATCH(B3338,pr_code,0))),""))))</f>
        <v/>
      </c>
      <c r="K3338" s="71" t="str">
        <f>IF(COUNTA(A3338:G3338)=0,"",IF(G3338&lt;&gt;"",G3338,IF(B3338="","",IFERROR(IF(INDEX(pr_rate,MATCH(B3338,pr_code,0))="","",INDEX(pr_rate,MATCH(B3338,pr_code,0))),""))))</f>
        <v/>
      </c>
      <c r="L3338" s="65" t="str">
        <f>IF(COUNTA(A3338:G3338)=0,"",IF(AND(ISNUMBER(D3338),ISNUMBER(J3338)),ROUND(D3338*J3338*(1-N(F3338)),2),0))</f>
        <v/>
      </c>
      <c r="M3338" s="62" t="str">
        <f>IF(A3338="","",IFERROR(INDEX(fa_cname,MATCH(A3338,fa_num,0))&amp;"",""))</f>
        <v/>
      </c>
      <c r="N3338" s="59" t="str">
        <f>IF(COUNTA(A3338:G3338)=0,"",IF(A3338="","N° facture manquant",IF(ISNA(MATCH(A3338,fa_num,0)),"Facture inconnue",IF(AND(B3338&lt;&gt;"",ISNA(MATCH(B3338,pr_code,0))),"Article inconnu",IF(H3338="","Désignation manquante",IF(OR(NOT(ISNUMBER(D3338)),N(D3338)&lt;=0),"Quantité invalide",IF(J3338="","Prix manquant",IF(OR(NOT(ISNUMBER(J3338)),N(J3338)&lt;0),"Prix invalide",IF(OR(AND(F3338&lt;&gt;"",NOT(ISNUMBER(F3338))),N(F3338)&lt;0,N(F3338)&gt;1),"Remise invalide",IF(K3338="","Taux de TVA manquant",IF(NOT(ISNUMBER(K3338)),"Taux de TVA invalide",IF(COUNTIF(p_rates,K3338)=0,"Taux de TVA hors liste (Paramètres)",IF(N(O3338)&gt;25,"Au-delà de 25 lignes : non imprimée","OK")))))))))))))</f>
        <v/>
      </c>
      <c r="O3338" s="59" t="str">
        <f>IF(A3338="","",COUNTIF($A$6:A3338,A3338))</f>
        <v/>
      </c>
      <c r="P3338" s="62" t="str">
        <f>IF(A3338="","",A3338&amp;"|"&amp;O3338)</f>
        <v/>
      </c>
    </row>
    <row r="3339">
      <c r="A3339" s="60" t="n"/>
      <c r="B3339" s="63" t="n"/>
      <c r="C3339" s="63" t="n"/>
      <c r="D3339" s="67" t="n"/>
      <c r="E3339" s="68" t="n"/>
      <c r="F3339" s="69" t="n"/>
      <c r="G3339" s="70" t="n"/>
      <c r="H3339" s="62" t="str">
        <f>IF(COUNTA(A3339:G3339)=0,"",IF(C3339&lt;&gt;"",C3339,IF(B3339="","",IFERROR(INDEX(pr_des,MATCH(B3339,pr_code,0))&amp;"",""))))</f>
        <v/>
      </c>
      <c r="I3339" s="59" t="str">
        <f>IF(B3339="","",IFERROR(INDEX(pr_unit,MATCH(B3339,pr_code,0))&amp;"",""))</f>
        <v/>
      </c>
      <c r="J3339" s="65" t="str">
        <f>IF(COUNTA(A3339:G3339)=0,"",IF(E3339&lt;&gt;"",E3339,IF(B3339="","",IFERROR(IF(INDEX(pr_price,MATCH(B3339,pr_code,0))="","",INDEX(pr_price,MATCH(B3339,pr_code,0))),""))))</f>
        <v/>
      </c>
      <c r="K3339" s="71" t="str">
        <f>IF(COUNTA(A3339:G3339)=0,"",IF(G3339&lt;&gt;"",G3339,IF(B3339="","",IFERROR(IF(INDEX(pr_rate,MATCH(B3339,pr_code,0))="","",INDEX(pr_rate,MATCH(B3339,pr_code,0))),""))))</f>
        <v/>
      </c>
      <c r="L3339" s="65" t="str">
        <f>IF(COUNTA(A3339:G3339)=0,"",IF(AND(ISNUMBER(D3339),ISNUMBER(J3339)),ROUND(D3339*J3339*(1-N(F3339)),2),0))</f>
        <v/>
      </c>
      <c r="M3339" s="62" t="str">
        <f>IF(A3339="","",IFERROR(INDEX(fa_cname,MATCH(A3339,fa_num,0))&amp;"",""))</f>
        <v/>
      </c>
      <c r="N3339" s="59" t="str">
        <f>IF(COUNTA(A3339:G3339)=0,"",IF(A3339="","N° facture manquant",IF(ISNA(MATCH(A3339,fa_num,0)),"Facture inconnue",IF(AND(B3339&lt;&gt;"",ISNA(MATCH(B3339,pr_code,0))),"Article inconnu",IF(H3339="","Désignation manquante",IF(OR(NOT(ISNUMBER(D3339)),N(D3339)&lt;=0),"Quantité invalide",IF(J3339="","Prix manquant",IF(OR(NOT(ISNUMBER(J3339)),N(J3339)&lt;0),"Prix invalide",IF(OR(AND(F3339&lt;&gt;"",NOT(ISNUMBER(F3339))),N(F3339)&lt;0,N(F3339)&gt;1),"Remise invalide",IF(K3339="","Taux de TVA manquant",IF(NOT(ISNUMBER(K3339)),"Taux de TVA invalide",IF(COUNTIF(p_rates,K3339)=0,"Taux de TVA hors liste (Paramètres)",IF(N(O3339)&gt;25,"Au-delà de 25 lignes : non imprimée","OK")))))))))))))</f>
        <v/>
      </c>
      <c r="O3339" s="59" t="str">
        <f>IF(A3339="","",COUNTIF($A$6:A3339,A3339))</f>
        <v/>
      </c>
      <c r="P3339" s="62" t="str">
        <f>IF(A3339="","",A3339&amp;"|"&amp;O3339)</f>
        <v/>
      </c>
    </row>
    <row r="3340">
      <c r="A3340" s="60" t="n"/>
      <c r="B3340" s="63" t="n"/>
      <c r="C3340" s="63" t="n"/>
      <c r="D3340" s="67" t="n"/>
      <c r="E3340" s="68" t="n"/>
      <c r="F3340" s="69" t="n"/>
      <c r="G3340" s="70" t="n"/>
      <c r="H3340" s="62" t="str">
        <f>IF(COUNTA(A3340:G3340)=0,"",IF(C3340&lt;&gt;"",C3340,IF(B3340="","",IFERROR(INDEX(pr_des,MATCH(B3340,pr_code,0))&amp;"",""))))</f>
        <v/>
      </c>
      <c r="I3340" s="59" t="str">
        <f>IF(B3340="","",IFERROR(INDEX(pr_unit,MATCH(B3340,pr_code,0))&amp;"",""))</f>
        <v/>
      </c>
      <c r="J3340" s="65" t="str">
        <f>IF(COUNTA(A3340:G3340)=0,"",IF(E3340&lt;&gt;"",E3340,IF(B3340="","",IFERROR(IF(INDEX(pr_price,MATCH(B3340,pr_code,0))="","",INDEX(pr_price,MATCH(B3340,pr_code,0))),""))))</f>
        <v/>
      </c>
      <c r="K3340" s="71" t="str">
        <f>IF(COUNTA(A3340:G3340)=0,"",IF(G3340&lt;&gt;"",G3340,IF(B3340="","",IFERROR(IF(INDEX(pr_rate,MATCH(B3340,pr_code,0))="","",INDEX(pr_rate,MATCH(B3340,pr_code,0))),""))))</f>
        <v/>
      </c>
      <c r="L3340" s="65" t="str">
        <f>IF(COUNTA(A3340:G3340)=0,"",IF(AND(ISNUMBER(D3340),ISNUMBER(J3340)),ROUND(D3340*J3340*(1-N(F3340)),2),0))</f>
        <v/>
      </c>
      <c r="M3340" s="62" t="str">
        <f>IF(A3340="","",IFERROR(INDEX(fa_cname,MATCH(A3340,fa_num,0))&amp;"",""))</f>
        <v/>
      </c>
      <c r="N3340" s="59" t="str">
        <f>IF(COUNTA(A3340:G3340)=0,"",IF(A3340="","N° facture manquant",IF(ISNA(MATCH(A3340,fa_num,0)),"Facture inconnue",IF(AND(B3340&lt;&gt;"",ISNA(MATCH(B3340,pr_code,0))),"Article inconnu",IF(H3340="","Désignation manquante",IF(OR(NOT(ISNUMBER(D3340)),N(D3340)&lt;=0),"Quantité invalide",IF(J3340="","Prix manquant",IF(OR(NOT(ISNUMBER(J3340)),N(J3340)&lt;0),"Prix invalide",IF(OR(AND(F3340&lt;&gt;"",NOT(ISNUMBER(F3340))),N(F3340)&lt;0,N(F3340)&gt;1),"Remise invalide",IF(K3340="","Taux de TVA manquant",IF(NOT(ISNUMBER(K3340)),"Taux de TVA invalide",IF(COUNTIF(p_rates,K3340)=0,"Taux de TVA hors liste (Paramètres)",IF(N(O3340)&gt;25,"Au-delà de 25 lignes : non imprimée","OK")))))))))))))</f>
        <v/>
      </c>
      <c r="O3340" s="59" t="str">
        <f>IF(A3340="","",COUNTIF($A$6:A3340,A3340))</f>
        <v/>
      </c>
      <c r="P3340" s="62" t="str">
        <f>IF(A3340="","",A3340&amp;"|"&amp;O3340)</f>
        <v/>
      </c>
    </row>
    <row r="3341">
      <c r="A3341" s="60" t="n"/>
      <c r="B3341" s="63" t="n"/>
      <c r="C3341" s="63" t="n"/>
      <c r="D3341" s="67" t="n"/>
      <c r="E3341" s="68" t="n"/>
      <c r="F3341" s="69" t="n"/>
      <c r="G3341" s="70" t="n"/>
      <c r="H3341" s="62" t="str">
        <f>IF(COUNTA(A3341:G3341)=0,"",IF(C3341&lt;&gt;"",C3341,IF(B3341="","",IFERROR(INDEX(pr_des,MATCH(B3341,pr_code,0))&amp;"",""))))</f>
        <v/>
      </c>
      <c r="I3341" s="59" t="str">
        <f>IF(B3341="","",IFERROR(INDEX(pr_unit,MATCH(B3341,pr_code,0))&amp;"",""))</f>
        <v/>
      </c>
      <c r="J3341" s="65" t="str">
        <f>IF(COUNTA(A3341:G3341)=0,"",IF(E3341&lt;&gt;"",E3341,IF(B3341="","",IFERROR(IF(INDEX(pr_price,MATCH(B3341,pr_code,0))="","",INDEX(pr_price,MATCH(B3341,pr_code,0))),""))))</f>
        <v/>
      </c>
      <c r="K3341" s="71" t="str">
        <f>IF(COUNTA(A3341:G3341)=0,"",IF(G3341&lt;&gt;"",G3341,IF(B3341="","",IFERROR(IF(INDEX(pr_rate,MATCH(B3341,pr_code,0))="","",INDEX(pr_rate,MATCH(B3341,pr_code,0))),""))))</f>
        <v/>
      </c>
      <c r="L3341" s="65" t="str">
        <f>IF(COUNTA(A3341:G3341)=0,"",IF(AND(ISNUMBER(D3341),ISNUMBER(J3341)),ROUND(D3341*J3341*(1-N(F3341)),2),0))</f>
        <v/>
      </c>
      <c r="M3341" s="62" t="str">
        <f>IF(A3341="","",IFERROR(INDEX(fa_cname,MATCH(A3341,fa_num,0))&amp;"",""))</f>
        <v/>
      </c>
      <c r="N3341" s="59" t="str">
        <f>IF(COUNTA(A3341:G3341)=0,"",IF(A3341="","N° facture manquant",IF(ISNA(MATCH(A3341,fa_num,0)),"Facture inconnue",IF(AND(B3341&lt;&gt;"",ISNA(MATCH(B3341,pr_code,0))),"Article inconnu",IF(H3341="","Désignation manquante",IF(OR(NOT(ISNUMBER(D3341)),N(D3341)&lt;=0),"Quantité invalide",IF(J3341="","Prix manquant",IF(OR(NOT(ISNUMBER(J3341)),N(J3341)&lt;0),"Prix invalide",IF(OR(AND(F3341&lt;&gt;"",NOT(ISNUMBER(F3341))),N(F3341)&lt;0,N(F3341)&gt;1),"Remise invalide",IF(K3341="","Taux de TVA manquant",IF(NOT(ISNUMBER(K3341)),"Taux de TVA invalide",IF(COUNTIF(p_rates,K3341)=0,"Taux de TVA hors liste (Paramètres)",IF(N(O3341)&gt;25,"Au-delà de 25 lignes : non imprimée","OK")))))))))))))</f>
        <v/>
      </c>
      <c r="O3341" s="59" t="str">
        <f>IF(A3341="","",COUNTIF($A$6:A3341,A3341))</f>
        <v/>
      </c>
      <c r="P3341" s="62" t="str">
        <f>IF(A3341="","",A3341&amp;"|"&amp;O3341)</f>
        <v/>
      </c>
    </row>
    <row r="3342">
      <c r="A3342" s="60" t="n"/>
      <c r="B3342" s="63" t="n"/>
      <c r="C3342" s="63" t="n"/>
      <c r="D3342" s="67" t="n"/>
      <c r="E3342" s="68" t="n"/>
      <c r="F3342" s="69" t="n"/>
      <c r="G3342" s="70" t="n"/>
      <c r="H3342" s="62" t="str">
        <f>IF(COUNTA(A3342:G3342)=0,"",IF(C3342&lt;&gt;"",C3342,IF(B3342="","",IFERROR(INDEX(pr_des,MATCH(B3342,pr_code,0))&amp;"",""))))</f>
        <v/>
      </c>
      <c r="I3342" s="59" t="str">
        <f>IF(B3342="","",IFERROR(INDEX(pr_unit,MATCH(B3342,pr_code,0))&amp;"",""))</f>
        <v/>
      </c>
      <c r="J3342" s="65" t="str">
        <f>IF(COUNTA(A3342:G3342)=0,"",IF(E3342&lt;&gt;"",E3342,IF(B3342="","",IFERROR(IF(INDEX(pr_price,MATCH(B3342,pr_code,0))="","",INDEX(pr_price,MATCH(B3342,pr_code,0))),""))))</f>
        <v/>
      </c>
      <c r="K3342" s="71" t="str">
        <f>IF(COUNTA(A3342:G3342)=0,"",IF(G3342&lt;&gt;"",G3342,IF(B3342="","",IFERROR(IF(INDEX(pr_rate,MATCH(B3342,pr_code,0))="","",INDEX(pr_rate,MATCH(B3342,pr_code,0))),""))))</f>
        <v/>
      </c>
      <c r="L3342" s="65" t="str">
        <f>IF(COUNTA(A3342:G3342)=0,"",IF(AND(ISNUMBER(D3342),ISNUMBER(J3342)),ROUND(D3342*J3342*(1-N(F3342)),2),0))</f>
        <v/>
      </c>
      <c r="M3342" s="62" t="str">
        <f>IF(A3342="","",IFERROR(INDEX(fa_cname,MATCH(A3342,fa_num,0))&amp;"",""))</f>
        <v/>
      </c>
      <c r="N3342" s="59" t="str">
        <f>IF(COUNTA(A3342:G3342)=0,"",IF(A3342="","N° facture manquant",IF(ISNA(MATCH(A3342,fa_num,0)),"Facture inconnue",IF(AND(B3342&lt;&gt;"",ISNA(MATCH(B3342,pr_code,0))),"Article inconnu",IF(H3342="","Désignation manquante",IF(OR(NOT(ISNUMBER(D3342)),N(D3342)&lt;=0),"Quantité invalide",IF(J3342="","Prix manquant",IF(OR(NOT(ISNUMBER(J3342)),N(J3342)&lt;0),"Prix invalide",IF(OR(AND(F3342&lt;&gt;"",NOT(ISNUMBER(F3342))),N(F3342)&lt;0,N(F3342)&gt;1),"Remise invalide",IF(K3342="","Taux de TVA manquant",IF(NOT(ISNUMBER(K3342)),"Taux de TVA invalide",IF(COUNTIF(p_rates,K3342)=0,"Taux de TVA hors liste (Paramètres)",IF(N(O3342)&gt;25,"Au-delà de 25 lignes : non imprimée","OK")))))))))))))</f>
        <v/>
      </c>
      <c r="O3342" s="59" t="str">
        <f>IF(A3342="","",COUNTIF($A$6:A3342,A3342))</f>
        <v/>
      </c>
      <c r="P3342" s="62" t="str">
        <f>IF(A3342="","",A3342&amp;"|"&amp;O3342)</f>
        <v/>
      </c>
    </row>
    <row r="3343">
      <c r="A3343" s="60" t="n"/>
      <c r="B3343" s="63" t="n"/>
      <c r="C3343" s="63" t="n"/>
      <c r="D3343" s="67" t="n"/>
      <c r="E3343" s="68" t="n"/>
      <c r="F3343" s="69" t="n"/>
      <c r="G3343" s="70" t="n"/>
      <c r="H3343" s="62" t="str">
        <f>IF(COUNTA(A3343:G3343)=0,"",IF(C3343&lt;&gt;"",C3343,IF(B3343="","",IFERROR(INDEX(pr_des,MATCH(B3343,pr_code,0))&amp;"",""))))</f>
        <v/>
      </c>
      <c r="I3343" s="59" t="str">
        <f>IF(B3343="","",IFERROR(INDEX(pr_unit,MATCH(B3343,pr_code,0))&amp;"",""))</f>
        <v/>
      </c>
      <c r="J3343" s="65" t="str">
        <f>IF(COUNTA(A3343:G3343)=0,"",IF(E3343&lt;&gt;"",E3343,IF(B3343="","",IFERROR(IF(INDEX(pr_price,MATCH(B3343,pr_code,0))="","",INDEX(pr_price,MATCH(B3343,pr_code,0))),""))))</f>
        <v/>
      </c>
      <c r="K3343" s="71" t="str">
        <f>IF(COUNTA(A3343:G3343)=0,"",IF(G3343&lt;&gt;"",G3343,IF(B3343="","",IFERROR(IF(INDEX(pr_rate,MATCH(B3343,pr_code,0))="","",INDEX(pr_rate,MATCH(B3343,pr_code,0))),""))))</f>
        <v/>
      </c>
      <c r="L3343" s="65" t="str">
        <f>IF(COUNTA(A3343:G3343)=0,"",IF(AND(ISNUMBER(D3343),ISNUMBER(J3343)),ROUND(D3343*J3343*(1-N(F3343)),2),0))</f>
        <v/>
      </c>
      <c r="M3343" s="62" t="str">
        <f>IF(A3343="","",IFERROR(INDEX(fa_cname,MATCH(A3343,fa_num,0))&amp;"",""))</f>
        <v/>
      </c>
      <c r="N3343" s="59" t="str">
        <f>IF(COUNTA(A3343:G3343)=0,"",IF(A3343="","N° facture manquant",IF(ISNA(MATCH(A3343,fa_num,0)),"Facture inconnue",IF(AND(B3343&lt;&gt;"",ISNA(MATCH(B3343,pr_code,0))),"Article inconnu",IF(H3343="","Désignation manquante",IF(OR(NOT(ISNUMBER(D3343)),N(D3343)&lt;=0),"Quantité invalide",IF(J3343="","Prix manquant",IF(OR(NOT(ISNUMBER(J3343)),N(J3343)&lt;0),"Prix invalide",IF(OR(AND(F3343&lt;&gt;"",NOT(ISNUMBER(F3343))),N(F3343)&lt;0,N(F3343)&gt;1),"Remise invalide",IF(K3343="","Taux de TVA manquant",IF(NOT(ISNUMBER(K3343)),"Taux de TVA invalide",IF(COUNTIF(p_rates,K3343)=0,"Taux de TVA hors liste (Paramètres)",IF(N(O3343)&gt;25,"Au-delà de 25 lignes : non imprimée","OK")))))))))))))</f>
        <v/>
      </c>
      <c r="O3343" s="59" t="str">
        <f>IF(A3343="","",COUNTIF($A$6:A3343,A3343))</f>
        <v/>
      </c>
      <c r="P3343" s="62" t="str">
        <f>IF(A3343="","",A3343&amp;"|"&amp;O3343)</f>
        <v/>
      </c>
    </row>
    <row r="3344">
      <c r="A3344" s="60" t="n"/>
      <c r="B3344" s="63" t="n"/>
      <c r="C3344" s="63" t="n"/>
      <c r="D3344" s="67" t="n"/>
      <c r="E3344" s="68" t="n"/>
      <c r="F3344" s="69" t="n"/>
      <c r="G3344" s="70" t="n"/>
      <c r="H3344" s="62" t="str">
        <f>IF(COUNTA(A3344:G3344)=0,"",IF(C3344&lt;&gt;"",C3344,IF(B3344="","",IFERROR(INDEX(pr_des,MATCH(B3344,pr_code,0))&amp;"",""))))</f>
        <v/>
      </c>
      <c r="I3344" s="59" t="str">
        <f>IF(B3344="","",IFERROR(INDEX(pr_unit,MATCH(B3344,pr_code,0))&amp;"",""))</f>
        <v/>
      </c>
      <c r="J3344" s="65" t="str">
        <f>IF(COUNTA(A3344:G3344)=0,"",IF(E3344&lt;&gt;"",E3344,IF(B3344="","",IFERROR(IF(INDEX(pr_price,MATCH(B3344,pr_code,0))="","",INDEX(pr_price,MATCH(B3344,pr_code,0))),""))))</f>
        <v/>
      </c>
      <c r="K3344" s="71" t="str">
        <f>IF(COUNTA(A3344:G3344)=0,"",IF(G3344&lt;&gt;"",G3344,IF(B3344="","",IFERROR(IF(INDEX(pr_rate,MATCH(B3344,pr_code,0))="","",INDEX(pr_rate,MATCH(B3344,pr_code,0))),""))))</f>
        <v/>
      </c>
      <c r="L3344" s="65" t="str">
        <f>IF(COUNTA(A3344:G3344)=0,"",IF(AND(ISNUMBER(D3344),ISNUMBER(J3344)),ROUND(D3344*J3344*(1-N(F3344)),2),0))</f>
        <v/>
      </c>
      <c r="M3344" s="62" t="str">
        <f>IF(A3344="","",IFERROR(INDEX(fa_cname,MATCH(A3344,fa_num,0))&amp;"",""))</f>
        <v/>
      </c>
      <c r="N3344" s="59" t="str">
        <f>IF(COUNTA(A3344:G3344)=0,"",IF(A3344="","N° facture manquant",IF(ISNA(MATCH(A3344,fa_num,0)),"Facture inconnue",IF(AND(B3344&lt;&gt;"",ISNA(MATCH(B3344,pr_code,0))),"Article inconnu",IF(H3344="","Désignation manquante",IF(OR(NOT(ISNUMBER(D3344)),N(D3344)&lt;=0),"Quantité invalide",IF(J3344="","Prix manquant",IF(OR(NOT(ISNUMBER(J3344)),N(J3344)&lt;0),"Prix invalide",IF(OR(AND(F3344&lt;&gt;"",NOT(ISNUMBER(F3344))),N(F3344)&lt;0,N(F3344)&gt;1),"Remise invalide",IF(K3344="","Taux de TVA manquant",IF(NOT(ISNUMBER(K3344)),"Taux de TVA invalide",IF(COUNTIF(p_rates,K3344)=0,"Taux de TVA hors liste (Paramètres)",IF(N(O3344)&gt;25,"Au-delà de 25 lignes : non imprimée","OK")))))))))))))</f>
        <v/>
      </c>
      <c r="O3344" s="59" t="str">
        <f>IF(A3344="","",COUNTIF($A$6:A3344,A3344))</f>
        <v/>
      </c>
      <c r="P3344" s="62" t="str">
        <f>IF(A3344="","",A3344&amp;"|"&amp;O3344)</f>
        <v/>
      </c>
    </row>
    <row r="3345">
      <c r="A3345" s="60" t="n"/>
      <c r="B3345" s="63" t="n"/>
      <c r="C3345" s="63" t="n"/>
      <c r="D3345" s="67" t="n"/>
      <c r="E3345" s="68" t="n"/>
      <c r="F3345" s="69" t="n"/>
      <c r="G3345" s="70" t="n"/>
      <c r="H3345" s="62" t="str">
        <f>IF(COUNTA(A3345:G3345)=0,"",IF(C3345&lt;&gt;"",C3345,IF(B3345="","",IFERROR(INDEX(pr_des,MATCH(B3345,pr_code,0))&amp;"",""))))</f>
        <v/>
      </c>
      <c r="I3345" s="59" t="str">
        <f>IF(B3345="","",IFERROR(INDEX(pr_unit,MATCH(B3345,pr_code,0))&amp;"",""))</f>
        <v/>
      </c>
      <c r="J3345" s="65" t="str">
        <f>IF(COUNTA(A3345:G3345)=0,"",IF(E3345&lt;&gt;"",E3345,IF(B3345="","",IFERROR(IF(INDEX(pr_price,MATCH(B3345,pr_code,0))="","",INDEX(pr_price,MATCH(B3345,pr_code,0))),""))))</f>
        <v/>
      </c>
      <c r="K3345" s="71" t="str">
        <f>IF(COUNTA(A3345:G3345)=0,"",IF(G3345&lt;&gt;"",G3345,IF(B3345="","",IFERROR(IF(INDEX(pr_rate,MATCH(B3345,pr_code,0))="","",INDEX(pr_rate,MATCH(B3345,pr_code,0))),""))))</f>
        <v/>
      </c>
      <c r="L3345" s="65" t="str">
        <f>IF(COUNTA(A3345:G3345)=0,"",IF(AND(ISNUMBER(D3345),ISNUMBER(J3345)),ROUND(D3345*J3345*(1-N(F3345)),2),0))</f>
        <v/>
      </c>
      <c r="M3345" s="62" t="str">
        <f>IF(A3345="","",IFERROR(INDEX(fa_cname,MATCH(A3345,fa_num,0))&amp;"",""))</f>
        <v/>
      </c>
      <c r="N3345" s="59" t="str">
        <f>IF(COUNTA(A3345:G3345)=0,"",IF(A3345="","N° facture manquant",IF(ISNA(MATCH(A3345,fa_num,0)),"Facture inconnue",IF(AND(B3345&lt;&gt;"",ISNA(MATCH(B3345,pr_code,0))),"Article inconnu",IF(H3345="","Désignation manquante",IF(OR(NOT(ISNUMBER(D3345)),N(D3345)&lt;=0),"Quantité invalide",IF(J3345="","Prix manquant",IF(OR(NOT(ISNUMBER(J3345)),N(J3345)&lt;0),"Prix invalide",IF(OR(AND(F3345&lt;&gt;"",NOT(ISNUMBER(F3345))),N(F3345)&lt;0,N(F3345)&gt;1),"Remise invalide",IF(K3345="","Taux de TVA manquant",IF(NOT(ISNUMBER(K3345)),"Taux de TVA invalide",IF(COUNTIF(p_rates,K3345)=0,"Taux de TVA hors liste (Paramètres)",IF(N(O3345)&gt;25,"Au-delà de 25 lignes : non imprimée","OK")))))))))))))</f>
        <v/>
      </c>
      <c r="O3345" s="59" t="str">
        <f>IF(A3345="","",COUNTIF($A$6:A3345,A3345))</f>
        <v/>
      </c>
      <c r="P3345" s="62" t="str">
        <f>IF(A3345="","",A3345&amp;"|"&amp;O3345)</f>
        <v/>
      </c>
    </row>
    <row r="3346">
      <c r="A3346" s="60" t="n"/>
      <c r="B3346" s="63" t="n"/>
      <c r="C3346" s="63" t="n"/>
      <c r="D3346" s="67" t="n"/>
      <c r="E3346" s="68" t="n"/>
      <c r="F3346" s="69" t="n"/>
      <c r="G3346" s="70" t="n"/>
      <c r="H3346" s="62" t="str">
        <f>IF(COUNTA(A3346:G3346)=0,"",IF(C3346&lt;&gt;"",C3346,IF(B3346="","",IFERROR(INDEX(pr_des,MATCH(B3346,pr_code,0))&amp;"",""))))</f>
        <v/>
      </c>
      <c r="I3346" s="59" t="str">
        <f>IF(B3346="","",IFERROR(INDEX(pr_unit,MATCH(B3346,pr_code,0))&amp;"",""))</f>
        <v/>
      </c>
      <c r="J3346" s="65" t="str">
        <f>IF(COUNTA(A3346:G3346)=0,"",IF(E3346&lt;&gt;"",E3346,IF(B3346="","",IFERROR(IF(INDEX(pr_price,MATCH(B3346,pr_code,0))="","",INDEX(pr_price,MATCH(B3346,pr_code,0))),""))))</f>
        <v/>
      </c>
      <c r="K3346" s="71" t="str">
        <f>IF(COUNTA(A3346:G3346)=0,"",IF(G3346&lt;&gt;"",G3346,IF(B3346="","",IFERROR(IF(INDEX(pr_rate,MATCH(B3346,pr_code,0))="","",INDEX(pr_rate,MATCH(B3346,pr_code,0))),""))))</f>
        <v/>
      </c>
      <c r="L3346" s="65" t="str">
        <f>IF(COUNTA(A3346:G3346)=0,"",IF(AND(ISNUMBER(D3346),ISNUMBER(J3346)),ROUND(D3346*J3346*(1-N(F3346)),2),0))</f>
        <v/>
      </c>
      <c r="M3346" s="62" t="str">
        <f>IF(A3346="","",IFERROR(INDEX(fa_cname,MATCH(A3346,fa_num,0))&amp;"",""))</f>
        <v/>
      </c>
      <c r="N3346" s="59" t="str">
        <f>IF(COUNTA(A3346:G3346)=0,"",IF(A3346="","N° facture manquant",IF(ISNA(MATCH(A3346,fa_num,0)),"Facture inconnue",IF(AND(B3346&lt;&gt;"",ISNA(MATCH(B3346,pr_code,0))),"Article inconnu",IF(H3346="","Désignation manquante",IF(OR(NOT(ISNUMBER(D3346)),N(D3346)&lt;=0),"Quantité invalide",IF(J3346="","Prix manquant",IF(OR(NOT(ISNUMBER(J3346)),N(J3346)&lt;0),"Prix invalide",IF(OR(AND(F3346&lt;&gt;"",NOT(ISNUMBER(F3346))),N(F3346)&lt;0,N(F3346)&gt;1),"Remise invalide",IF(K3346="","Taux de TVA manquant",IF(NOT(ISNUMBER(K3346)),"Taux de TVA invalide",IF(COUNTIF(p_rates,K3346)=0,"Taux de TVA hors liste (Paramètres)",IF(N(O3346)&gt;25,"Au-delà de 25 lignes : non imprimée","OK")))))))))))))</f>
        <v/>
      </c>
      <c r="O3346" s="59" t="str">
        <f>IF(A3346="","",COUNTIF($A$6:A3346,A3346))</f>
        <v/>
      </c>
      <c r="P3346" s="62" t="str">
        <f>IF(A3346="","",A3346&amp;"|"&amp;O3346)</f>
        <v/>
      </c>
    </row>
    <row r="3347">
      <c r="A3347" s="60" t="n"/>
      <c r="B3347" s="63" t="n"/>
      <c r="C3347" s="63" t="n"/>
      <c r="D3347" s="67" t="n"/>
      <c r="E3347" s="68" t="n"/>
      <c r="F3347" s="69" t="n"/>
      <c r="G3347" s="70" t="n"/>
      <c r="H3347" s="62" t="str">
        <f>IF(COUNTA(A3347:G3347)=0,"",IF(C3347&lt;&gt;"",C3347,IF(B3347="","",IFERROR(INDEX(pr_des,MATCH(B3347,pr_code,0))&amp;"",""))))</f>
        <v/>
      </c>
      <c r="I3347" s="59" t="str">
        <f>IF(B3347="","",IFERROR(INDEX(pr_unit,MATCH(B3347,pr_code,0))&amp;"",""))</f>
        <v/>
      </c>
      <c r="J3347" s="65" t="str">
        <f>IF(COUNTA(A3347:G3347)=0,"",IF(E3347&lt;&gt;"",E3347,IF(B3347="","",IFERROR(IF(INDEX(pr_price,MATCH(B3347,pr_code,0))="","",INDEX(pr_price,MATCH(B3347,pr_code,0))),""))))</f>
        <v/>
      </c>
      <c r="K3347" s="71" t="str">
        <f>IF(COUNTA(A3347:G3347)=0,"",IF(G3347&lt;&gt;"",G3347,IF(B3347="","",IFERROR(IF(INDEX(pr_rate,MATCH(B3347,pr_code,0))="","",INDEX(pr_rate,MATCH(B3347,pr_code,0))),""))))</f>
        <v/>
      </c>
      <c r="L3347" s="65" t="str">
        <f>IF(COUNTA(A3347:G3347)=0,"",IF(AND(ISNUMBER(D3347),ISNUMBER(J3347)),ROUND(D3347*J3347*(1-N(F3347)),2),0))</f>
        <v/>
      </c>
      <c r="M3347" s="62" t="str">
        <f>IF(A3347="","",IFERROR(INDEX(fa_cname,MATCH(A3347,fa_num,0))&amp;"",""))</f>
        <v/>
      </c>
      <c r="N3347" s="59" t="str">
        <f>IF(COUNTA(A3347:G3347)=0,"",IF(A3347="","N° facture manquant",IF(ISNA(MATCH(A3347,fa_num,0)),"Facture inconnue",IF(AND(B3347&lt;&gt;"",ISNA(MATCH(B3347,pr_code,0))),"Article inconnu",IF(H3347="","Désignation manquante",IF(OR(NOT(ISNUMBER(D3347)),N(D3347)&lt;=0),"Quantité invalide",IF(J3347="","Prix manquant",IF(OR(NOT(ISNUMBER(J3347)),N(J3347)&lt;0),"Prix invalide",IF(OR(AND(F3347&lt;&gt;"",NOT(ISNUMBER(F3347))),N(F3347)&lt;0,N(F3347)&gt;1),"Remise invalide",IF(K3347="","Taux de TVA manquant",IF(NOT(ISNUMBER(K3347)),"Taux de TVA invalide",IF(COUNTIF(p_rates,K3347)=0,"Taux de TVA hors liste (Paramètres)",IF(N(O3347)&gt;25,"Au-delà de 25 lignes : non imprimée","OK")))))))))))))</f>
        <v/>
      </c>
      <c r="O3347" s="59" t="str">
        <f>IF(A3347="","",COUNTIF($A$6:A3347,A3347))</f>
        <v/>
      </c>
      <c r="P3347" s="62" t="str">
        <f>IF(A3347="","",A3347&amp;"|"&amp;O3347)</f>
        <v/>
      </c>
    </row>
    <row r="3348">
      <c r="A3348" s="60" t="n"/>
      <c r="B3348" s="63" t="n"/>
      <c r="C3348" s="63" t="n"/>
      <c r="D3348" s="67" t="n"/>
      <c r="E3348" s="68" t="n"/>
      <c r="F3348" s="69" t="n"/>
      <c r="G3348" s="70" t="n"/>
      <c r="H3348" s="62" t="str">
        <f>IF(COUNTA(A3348:G3348)=0,"",IF(C3348&lt;&gt;"",C3348,IF(B3348="","",IFERROR(INDEX(pr_des,MATCH(B3348,pr_code,0))&amp;"",""))))</f>
        <v/>
      </c>
      <c r="I3348" s="59" t="str">
        <f>IF(B3348="","",IFERROR(INDEX(pr_unit,MATCH(B3348,pr_code,0))&amp;"",""))</f>
        <v/>
      </c>
      <c r="J3348" s="65" t="str">
        <f>IF(COUNTA(A3348:G3348)=0,"",IF(E3348&lt;&gt;"",E3348,IF(B3348="","",IFERROR(IF(INDEX(pr_price,MATCH(B3348,pr_code,0))="","",INDEX(pr_price,MATCH(B3348,pr_code,0))),""))))</f>
        <v/>
      </c>
      <c r="K3348" s="71" t="str">
        <f>IF(COUNTA(A3348:G3348)=0,"",IF(G3348&lt;&gt;"",G3348,IF(B3348="","",IFERROR(IF(INDEX(pr_rate,MATCH(B3348,pr_code,0))="","",INDEX(pr_rate,MATCH(B3348,pr_code,0))),""))))</f>
        <v/>
      </c>
      <c r="L3348" s="65" t="str">
        <f>IF(COUNTA(A3348:G3348)=0,"",IF(AND(ISNUMBER(D3348),ISNUMBER(J3348)),ROUND(D3348*J3348*(1-N(F3348)),2),0))</f>
        <v/>
      </c>
      <c r="M3348" s="62" t="str">
        <f>IF(A3348="","",IFERROR(INDEX(fa_cname,MATCH(A3348,fa_num,0))&amp;"",""))</f>
        <v/>
      </c>
      <c r="N3348" s="59" t="str">
        <f>IF(COUNTA(A3348:G3348)=0,"",IF(A3348="","N° facture manquant",IF(ISNA(MATCH(A3348,fa_num,0)),"Facture inconnue",IF(AND(B3348&lt;&gt;"",ISNA(MATCH(B3348,pr_code,0))),"Article inconnu",IF(H3348="","Désignation manquante",IF(OR(NOT(ISNUMBER(D3348)),N(D3348)&lt;=0),"Quantité invalide",IF(J3348="","Prix manquant",IF(OR(NOT(ISNUMBER(J3348)),N(J3348)&lt;0),"Prix invalide",IF(OR(AND(F3348&lt;&gt;"",NOT(ISNUMBER(F3348))),N(F3348)&lt;0,N(F3348)&gt;1),"Remise invalide",IF(K3348="","Taux de TVA manquant",IF(NOT(ISNUMBER(K3348)),"Taux de TVA invalide",IF(COUNTIF(p_rates,K3348)=0,"Taux de TVA hors liste (Paramètres)",IF(N(O3348)&gt;25,"Au-delà de 25 lignes : non imprimée","OK")))))))))))))</f>
        <v/>
      </c>
      <c r="O3348" s="59" t="str">
        <f>IF(A3348="","",COUNTIF($A$6:A3348,A3348))</f>
        <v/>
      </c>
      <c r="P3348" s="62" t="str">
        <f>IF(A3348="","",A3348&amp;"|"&amp;O3348)</f>
        <v/>
      </c>
    </row>
    <row r="3349">
      <c r="A3349" s="60" t="n"/>
      <c r="B3349" s="63" t="n"/>
      <c r="C3349" s="63" t="n"/>
      <c r="D3349" s="67" t="n"/>
      <c r="E3349" s="68" t="n"/>
      <c r="F3349" s="69" t="n"/>
      <c r="G3349" s="70" t="n"/>
      <c r="H3349" s="62" t="str">
        <f>IF(COUNTA(A3349:G3349)=0,"",IF(C3349&lt;&gt;"",C3349,IF(B3349="","",IFERROR(INDEX(pr_des,MATCH(B3349,pr_code,0))&amp;"",""))))</f>
        <v/>
      </c>
      <c r="I3349" s="59" t="str">
        <f>IF(B3349="","",IFERROR(INDEX(pr_unit,MATCH(B3349,pr_code,0))&amp;"",""))</f>
        <v/>
      </c>
      <c r="J3349" s="65" t="str">
        <f>IF(COUNTA(A3349:G3349)=0,"",IF(E3349&lt;&gt;"",E3349,IF(B3349="","",IFERROR(IF(INDEX(pr_price,MATCH(B3349,pr_code,0))="","",INDEX(pr_price,MATCH(B3349,pr_code,0))),""))))</f>
        <v/>
      </c>
      <c r="K3349" s="71" t="str">
        <f>IF(COUNTA(A3349:G3349)=0,"",IF(G3349&lt;&gt;"",G3349,IF(B3349="","",IFERROR(IF(INDEX(pr_rate,MATCH(B3349,pr_code,0))="","",INDEX(pr_rate,MATCH(B3349,pr_code,0))),""))))</f>
        <v/>
      </c>
      <c r="L3349" s="65" t="str">
        <f>IF(COUNTA(A3349:G3349)=0,"",IF(AND(ISNUMBER(D3349),ISNUMBER(J3349)),ROUND(D3349*J3349*(1-N(F3349)),2),0))</f>
        <v/>
      </c>
      <c r="M3349" s="62" t="str">
        <f>IF(A3349="","",IFERROR(INDEX(fa_cname,MATCH(A3349,fa_num,0))&amp;"",""))</f>
        <v/>
      </c>
      <c r="N3349" s="59" t="str">
        <f>IF(COUNTA(A3349:G3349)=0,"",IF(A3349="","N° facture manquant",IF(ISNA(MATCH(A3349,fa_num,0)),"Facture inconnue",IF(AND(B3349&lt;&gt;"",ISNA(MATCH(B3349,pr_code,0))),"Article inconnu",IF(H3349="","Désignation manquante",IF(OR(NOT(ISNUMBER(D3349)),N(D3349)&lt;=0),"Quantité invalide",IF(J3349="","Prix manquant",IF(OR(NOT(ISNUMBER(J3349)),N(J3349)&lt;0),"Prix invalide",IF(OR(AND(F3349&lt;&gt;"",NOT(ISNUMBER(F3349))),N(F3349)&lt;0,N(F3349)&gt;1),"Remise invalide",IF(K3349="","Taux de TVA manquant",IF(NOT(ISNUMBER(K3349)),"Taux de TVA invalide",IF(COUNTIF(p_rates,K3349)=0,"Taux de TVA hors liste (Paramètres)",IF(N(O3349)&gt;25,"Au-delà de 25 lignes : non imprimée","OK")))))))))))))</f>
        <v/>
      </c>
      <c r="O3349" s="59" t="str">
        <f>IF(A3349="","",COUNTIF($A$6:A3349,A3349))</f>
        <v/>
      </c>
      <c r="P3349" s="62" t="str">
        <f>IF(A3349="","",A3349&amp;"|"&amp;O3349)</f>
        <v/>
      </c>
    </row>
    <row r="3350">
      <c r="A3350" s="60" t="n"/>
      <c r="B3350" s="63" t="n"/>
      <c r="C3350" s="63" t="n"/>
      <c r="D3350" s="67" t="n"/>
      <c r="E3350" s="68" t="n"/>
      <c r="F3350" s="69" t="n"/>
      <c r="G3350" s="70" t="n"/>
      <c r="H3350" s="62" t="str">
        <f>IF(COUNTA(A3350:G3350)=0,"",IF(C3350&lt;&gt;"",C3350,IF(B3350="","",IFERROR(INDEX(pr_des,MATCH(B3350,pr_code,0))&amp;"",""))))</f>
        <v/>
      </c>
      <c r="I3350" s="59" t="str">
        <f>IF(B3350="","",IFERROR(INDEX(pr_unit,MATCH(B3350,pr_code,0))&amp;"",""))</f>
        <v/>
      </c>
      <c r="J3350" s="65" t="str">
        <f>IF(COUNTA(A3350:G3350)=0,"",IF(E3350&lt;&gt;"",E3350,IF(B3350="","",IFERROR(IF(INDEX(pr_price,MATCH(B3350,pr_code,0))="","",INDEX(pr_price,MATCH(B3350,pr_code,0))),""))))</f>
        <v/>
      </c>
      <c r="K3350" s="71" t="str">
        <f>IF(COUNTA(A3350:G3350)=0,"",IF(G3350&lt;&gt;"",G3350,IF(B3350="","",IFERROR(IF(INDEX(pr_rate,MATCH(B3350,pr_code,0))="","",INDEX(pr_rate,MATCH(B3350,pr_code,0))),""))))</f>
        <v/>
      </c>
      <c r="L3350" s="65" t="str">
        <f>IF(COUNTA(A3350:G3350)=0,"",IF(AND(ISNUMBER(D3350),ISNUMBER(J3350)),ROUND(D3350*J3350*(1-N(F3350)),2),0))</f>
        <v/>
      </c>
      <c r="M3350" s="62" t="str">
        <f>IF(A3350="","",IFERROR(INDEX(fa_cname,MATCH(A3350,fa_num,0))&amp;"",""))</f>
        <v/>
      </c>
      <c r="N3350" s="59" t="str">
        <f>IF(COUNTA(A3350:G3350)=0,"",IF(A3350="","N° facture manquant",IF(ISNA(MATCH(A3350,fa_num,0)),"Facture inconnue",IF(AND(B3350&lt;&gt;"",ISNA(MATCH(B3350,pr_code,0))),"Article inconnu",IF(H3350="","Désignation manquante",IF(OR(NOT(ISNUMBER(D3350)),N(D3350)&lt;=0),"Quantité invalide",IF(J3350="","Prix manquant",IF(OR(NOT(ISNUMBER(J3350)),N(J3350)&lt;0),"Prix invalide",IF(OR(AND(F3350&lt;&gt;"",NOT(ISNUMBER(F3350))),N(F3350)&lt;0,N(F3350)&gt;1),"Remise invalide",IF(K3350="","Taux de TVA manquant",IF(NOT(ISNUMBER(K3350)),"Taux de TVA invalide",IF(COUNTIF(p_rates,K3350)=0,"Taux de TVA hors liste (Paramètres)",IF(N(O3350)&gt;25,"Au-delà de 25 lignes : non imprimée","OK")))))))))))))</f>
        <v/>
      </c>
      <c r="O3350" s="59" t="str">
        <f>IF(A3350="","",COUNTIF($A$6:A3350,A3350))</f>
        <v/>
      </c>
      <c r="P3350" s="62" t="str">
        <f>IF(A3350="","",A3350&amp;"|"&amp;O3350)</f>
        <v/>
      </c>
    </row>
    <row r="3351">
      <c r="A3351" s="60" t="n"/>
      <c r="B3351" s="63" t="n"/>
      <c r="C3351" s="63" t="n"/>
      <c r="D3351" s="67" t="n"/>
      <c r="E3351" s="68" t="n"/>
      <c r="F3351" s="69" t="n"/>
      <c r="G3351" s="70" t="n"/>
      <c r="H3351" s="62" t="str">
        <f>IF(COUNTA(A3351:G3351)=0,"",IF(C3351&lt;&gt;"",C3351,IF(B3351="","",IFERROR(INDEX(pr_des,MATCH(B3351,pr_code,0))&amp;"",""))))</f>
        <v/>
      </c>
      <c r="I3351" s="59" t="str">
        <f>IF(B3351="","",IFERROR(INDEX(pr_unit,MATCH(B3351,pr_code,0))&amp;"",""))</f>
        <v/>
      </c>
      <c r="J3351" s="65" t="str">
        <f>IF(COUNTA(A3351:G3351)=0,"",IF(E3351&lt;&gt;"",E3351,IF(B3351="","",IFERROR(IF(INDEX(pr_price,MATCH(B3351,pr_code,0))="","",INDEX(pr_price,MATCH(B3351,pr_code,0))),""))))</f>
        <v/>
      </c>
      <c r="K3351" s="71" t="str">
        <f>IF(COUNTA(A3351:G3351)=0,"",IF(G3351&lt;&gt;"",G3351,IF(B3351="","",IFERROR(IF(INDEX(pr_rate,MATCH(B3351,pr_code,0))="","",INDEX(pr_rate,MATCH(B3351,pr_code,0))),""))))</f>
        <v/>
      </c>
      <c r="L3351" s="65" t="str">
        <f>IF(COUNTA(A3351:G3351)=0,"",IF(AND(ISNUMBER(D3351),ISNUMBER(J3351)),ROUND(D3351*J3351*(1-N(F3351)),2),0))</f>
        <v/>
      </c>
      <c r="M3351" s="62" t="str">
        <f>IF(A3351="","",IFERROR(INDEX(fa_cname,MATCH(A3351,fa_num,0))&amp;"",""))</f>
        <v/>
      </c>
      <c r="N3351" s="59" t="str">
        <f>IF(COUNTA(A3351:G3351)=0,"",IF(A3351="","N° facture manquant",IF(ISNA(MATCH(A3351,fa_num,0)),"Facture inconnue",IF(AND(B3351&lt;&gt;"",ISNA(MATCH(B3351,pr_code,0))),"Article inconnu",IF(H3351="","Désignation manquante",IF(OR(NOT(ISNUMBER(D3351)),N(D3351)&lt;=0),"Quantité invalide",IF(J3351="","Prix manquant",IF(OR(NOT(ISNUMBER(J3351)),N(J3351)&lt;0),"Prix invalide",IF(OR(AND(F3351&lt;&gt;"",NOT(ISNUMBER(F3351))),N(F3351)&lt;0,N(F3351)&gt;1),"Remise invalide",IF(K3351="","Taux de TVA manquant",IF(NOT(ISNUMBER(K3351)),"Taux de TVA invalide",IF(COUNTIF(p_rates,K3351)=0,"Taux de TVA hors liste (Paramètres)",IF(N(O3351)&gt;25,"Au-delà de 25 lignes : non imprimée","OK")))))))))))))</f>
        <v/>
      </c>
      <c r="O3351" s="59" t="str">
        <f>IF(A3351="","",COUNTIF($A$6:A3351,A3351))</f>
        <v/>
      </c>
      <c r="P3351" s="62" t="str">
        <f>IF(A3351="","",A3351&amp;"|"&amp;O3351)</f>
        <v/>
      </c>
    </row>
    <row r="3352">
      <c r="A3352" s="60" t="n"/>
      <c r="B3352" s="63" t="n"/>
      <c r="C3352" s="63" t="n"/>
      <c r="D3352" s="67" t="n"/>
      <c r="E3352" s="68" t="n"/>
      <c r="F3352" s="69" t="n"/>
      <c r="G3352" s="70" t="n"/>
      <c r="H3352" s="62" t="str">
        <f>IF(COUNTA(A3352:G3352)=0,"",IF(C3352&lt;&gt;"",C3352,IF(B3352="","",IFERROR(INDEX(pr_des,MATCH(B3352,pr_code,0))&amp;"",""))))</f>
        <v/>
      </c>
      <c r="I3352" s="59" t="str">
        <f>IF(B3352="","",IFERROR(INDEX(pr_unit,MATCH(B3352,pr_code,0))&amp;"",""))</f>
        <v/>
      </c>
      <c r="J3352" s="65" t="str">
        <f>IF(COUNTA(A3352:G3352)=0,"",IF(E3352&lt;&gt;"",E3352,IF(B3352="","",IFERROR(IF(INDEX(pr_price,MATCH(B3352,pr_code,0))="","",INDEX(pr_price,MATCH(B3352,pr_code,0))),""))))</f>
        <v/>
      </c>
      <c r="K3352" s="71" t="str">
        <f>IF(COUNTA(A3352:G3352)=0,"",IF(G3352&lt;&gt;"",G3352,IF(B3352="","",IFERROR(IF(INDEX(pr_rate,MATCH(B3352,pr_code,0))="","",INDEX(pr_rate,MATCH(B3352,pr_code,0))),""))))</f>
        <v/>
      </c>
      <c r="L3352" s="65" t="str">
        <f>IF(COUNTA(A3352:G3352)=0,"",IF(AND(ISNUMBER(D3352),ISNUMBER(J3352)),ROUND(D3352*J3352*(1-N(F3352)),2),0))</f>
        <v/>
      </c>
      <c r="M3352" s="62" t="str">
        <f>IF(A3352="","",IFERROR(INDEX(fa_cname,MATCH(A3352,fa_num,0))&amp;"",""))</f>
        <v/>
      </c>
      <c r="N3352" s="59" t="str">
        <f>IF(COUNTA(A3352:G3352)=0,"",IF(A3352="","N° facture manquant",IF(ISNA(MATCH(A3352,fa_num,0)),"Facture inconnue",IF(AND(B3352&lt;&gt;"",ISNA(MATCH(B3352,pr_code,0))),"Article inconnu",IF(H3352="","Désignation manquante",IF(OR(NOT(ISNUMBER(D3352)),N(D3352)&lt;=0),"Quantité invalide",IF(J3352="","Prix manquant",IF(OR(NOT(ISNUMBER(J3352)),N(J3352)&lt;0),"Prix invalide",IF(OR(AND(F3352&lt;&gt;"",NOT(ISNUMBER(F3352))),N(F3352)&lt;0,N(F3352)&gt;1),"Remise invalide",IF(K3352="","Taux de TVA manquant",IF(NOT(ISNUMBER(K3352)),"Taux de TVA invalide",IF(COUNTIF(p_rates,K3352)=0,"Taux de TVA hors liste (Paramètres)",IF(N(O3352)&gt;25,"Au-delà de 25 lignes : non imprimée","OK")))))))))))))</f>
        <v/>
      </c>
      <c r="O3352" s="59" t="str">
        <f>IF(A3352="","",COUNTIF($A$6:A3352,A3352))</f>
        <v/>
      </c>
      <c r="P3352" s="62" t="str">
        <f>IF(A3352="","",A3352&amp;"|"&amp;O3352)</f>
        <v/>
      </c>
    </row>
    <row r="3353">
      <c r="A3353" s="60" t="n"/>
      <c r="B3353" s="63" t="n"/>
      <c r="C3353" s="63" t="n"/>
      <c r="D3353" s="67" t="n"/>
      <c r="E3353" s="68" t="n"/>
      <c r="F3353" s="69" t="n"/>
      <c r="G3353" s="70" t="n"/>
      <c r="H3353" s="62" t="str">
        <f>IF(COUNTA(A3353:G3353)=0,"",IF(C3353&lt;&gt;"",C3353,IF(B3353="","",IFERROR(INDEX(pr_des,MATCH(B3353,pr_code,0))&amp;"",""))))</f>
        <v/>
      </c>
      <c r="I3353" s="59" t="str">
        <f>IF(B3353="","",IFERROR(INDEX(pr_unit,MATCH(B3353,pr_code,0))&amp;"",""))</f>
        <v/>
      </c>
      <c r="J3353" s="65" t="str">
        <f>IF(COUNTA(A3353:G3353)=0,"",IF(E3353&lt;&gt;"",E3353,IF(B3353="","",IFERROR(IF(INDEX(pr_price,MATCH(B3353,pr_code,0))="","",INDEX(pr_price,MATCH(B3353,pr_code,0))),""))))</f>
        <v/>
      </c>
      <c r="K3353" s="71" t="str">
        <f>IF(COUNTA(A3353:G3353)=0,"",IF(G3353&lt;&gt;"",G3353,IF(B3353="","",IFERROR(IF(INDEX(pr_rate,MATCH(B3353,pr_code,0))="","",INDEX(pr_rate,MATCH(B3353,pr_code,0))),""))))</f>
        <v/>
      </c>
      <c r="L3353" s="65" t="str">
        <f>IF(COUNTA(A3353:G3353)=0,"",IF(AND(ISNUMBER(D3353),ISNUMBER(J3353)),ROUND(D3353*J3353*(1-N(F3353)),2),0))</f>
        <v/>
      </c>
      <c r="M3353" s="62" t="str">
        <f>IF(A3353="","",IFERROR(INDEX(fa_cname,MATCH(A3353,fa_num,0))&amp;"",""))</f>
        <v/>
      </c>
      <c r="N3353" s="59" t="str">
        <f>IF(COUNTA(A3353:G3353)=0,"",IF(A3353="","N° facture manquant",IF(ISNA(MATCH(A3353,fa_num,0)),"Facture inconnue",IF(AND(B3353&lt;&gt;"",ISNA(MATCH(B3353,pr_code,0))),"Article inconnu",IF(H3353="","Désignation manquante",IF(OR(NOT(ISNUMBER(D3353)),N(D3353)&lt;=0),"Quantité invalide",IF(J3353="","Prix manquant",IF(OR(NOT(ISNUMBER(J3353)),N(J3353)&lt;0),"Prix invalide",IF(OR(AND(F3353&lt;&gt;"",NOT(ISNUMBER(F3353))),N(F3353)&lt;0,N(F3353)&gt;1),"Remise invalide",IF(K3353="","Taux de TVA manquant",IF(NOT(ISNUMBER(K3353)),"Taux de TVA invalide",IF(COUNTIF(p_rates,K3353)=0,"Taux de TVA hors liste (Paramètres)",IF(N(O3353)&gt;25,"Au-delà de 25 lignes : non imprimée","OK")))))))))))))</f>
        <v/>
      </c>
      <c r="O3353" s="59" t="str">
        <f>IF(A3353="","",COUNTIF($A$6:A3353,A3353))</f>
        <v/>
      </c>
      <c r="P3353" s="62" t="str">
        <f>IF(A3353="","",A3353&amp;"|"&amp;O3353)</f>
        <v/>
      </c>
    </row>
    <row r="3354">
      <c r="A3354" s="60" t="n"/>
      <c r="B3354" s="63" t="n"/>
      <c r="C3354" s="63" t="n"/>
      <c r="D3354" s="67" t="n"/>
      <c r="E3354" s="68" t="n"/>
      <c r="F3354" s="69" t="n"/>
      <c r="G3354" s="70" t="n"/>
      <c r="H3354" s="62" t="str">
        <f>IF(COUNTA(A3354:G3354)=0,"",IF(C3354&lt;&gt;"",C3354,IF(B3354="","",IFERROR(INDEX(pr_des,MATCH(B3354,pr_code,0))&amp;"",""))))</f>
        <v/>
      </c>
      <c r="I3354" s="59" t="str">
        <f>IF(B3354="","",IFERROR(INDEX(pr_unit,MATCH(B3354,pr_code,0))&amp;"",""))</f>
        <v/>
      </c>
      <c r="J3354" s="65" t="str">
        <f>IF(COUNTA(A3354:G3354)=0,"",IF(E3354&lt;&gt;"",E3354,IF(B3354="","",IFERROR(IF(INDEX(pr_price,MATCH(B3354,pr_code,0))="","",INDEX(pr_price,MATCH(B3354,pr_code,0))),""))))</f>
        <v/>
      </c>
      <c r="K3354" s="71" t="str">
        <f>IF(COUNTA(A3354:G3354)=0,"",IF(G3354&lt;&gt;"",G3354,IF(B3354="","",IFERROR(IF(INDEX(pr_rate,MATCH(B3354,pr_code,0))="","",INDEX(pr_rate,MATCH(B3354,pr_code,0))),""))))</f>
        <v/>
      </c>
      <c r="L3354" s="65" t="str">
        <f>IF(COUNTA(A3354:G3354)=0,"",IF(AND(ISNUMBER(D3354),ISNUMBER(J3354)),ROUND(D3354*J3354*(1-N(F3354)),2),0))</f>
        <v/>
      </c>
      <c r="M3354" s="62" t="str">
        <f>IF(A3354="","",IFERROR(INDEX(fa_cname,MATCH(A3354,fa_num,0))&amp;"",""))</f>
        <v/>
      </c>
      <c r="N3354" s="59" t="str">
        <f>IF(COUNTA(A3354:G3354)=0,"",IF(A3354="","N° facture manquant",IF(ISNA(MATCH(A3354,fa_num,0)),"Facture inconnue",IF(AND(B3354&lt;&gt;"",ISNA(MATCH(B3354,pr_code,0))),"Article inconnu",IF(H3354="","Désignation manquante",IF(OR(NOT(ISNUMBER(D3354)),N(D3354)&lt;=0),"Quantité invalide",IF(J3354="","Prix manquant",IF(OR(NOT(ISNUMBER(J3354)),N(J3354)&lt;0),"Prix invalide",IF(OR(AND(F3354&lt;&gt;"",NOT(ISNUMBER(F3354))),N(F3354)&lt;0,N(F3354)&gt;1),"Remise invalide",IF(K3354="","Taux de TVA manquant",IF(NOT(ISNUMBER(K3354)),"Taux de TVA invalide",IF(COUNTIF(p_rates,K3354)=0,"Taux de TVA hors liste (Paramètres)",IF(N(O3354)&gt;25,"Au-delà de 25 lignes : non imprimée","OK")))))))))))))</f>
        <v/>
      </c>
      <c r="O3354" s="59" t="str">
        <f>IF(A3354="","",COUNTIF($A$6:A3354,A3354))</f>
        <v/>
      </c>
      <c r="P3354" s="62" t="str">
        <f>IF(A3354="","",A3354&amp;"|"&amp;O3354)</f>
        <v/>
      </c>
    </row>
    <row r="3355">
      <c r="A3355" s="60" t="n"/>
      <c r="B3355" s="63" t="n"/>
      <c r="C3355" s="63" t="n"/>
      <c r="D3355" s="67" t="n"/>
      <c r="E3355" s="68" t="n"/>
      <c r="F3355" s="69" t="n"/>
      <c r="G3355" s="70" t="n"/>
      <c r="H3355" s="62" t="str">
        <f>IF(COUNTA(A3355:G3355)=0,"",IF(C3355&lt;&gt;"",C3355,IF(B3355="","",IFERROR(INDEX(pr_des,MATCH(B3355,pr_code,0))&amp;"",""))))</f>
        <v/>
      </c>
      <c r="I3355" s="59" t="str">
        <f>IF(B3355="","",IFERROR(INDEX(pr_unit,MATCH(B3355,pr_code,0))&amp;"",""))</f>
        <v/>
      </c>
      <c r="J3355" s="65" t="str">
        <f>IF(COUNTA(A3355:G3355)=0,"",IF(E3355&lt;&gt;"",E3355,IF(B3355="","",IFERROR(IF(INDEX(pr_price,MATCH(B3355,pr_code,0))="","",INDEX(pr_price,MATCH(B3355,pr_code,0))),""))))</f>
        <v/>
      </c>
      <c r="K3355" s="71" t="str">
        <f>IF(COUNTA(A3355:G3355)=0,"",IF(G3355&lt;&gt;"",G3355,IF(B3355="","",IFERROR(IF(INDEX(pr_rate,MATCH(B3355,pr_code,0))="","",INDEX(pr_rate,MATCH(B3355,pr_code,0))),""))))</f>
        <v/>
      </c>
      <c r="L3355" s="65" t="str">
        <f>IF(COUNTA(A3355:G3355)=0,"",IF(AND(ISNUMBER(D3355),ISNUMBER(J3355)),ROUND(D3355*J3355*(1-N(F3355)),2),0))</f>
        <v/>
      </c>
      <c r="M3355" s="62" t="str">
        <f>IF(A3355="","",IFERROR(INDEX(fa_cname,MATCH(A3355,fa_num,0))&amp;"",""))</f>
        <v/>
      </c>
      <c r="N3355" s="59" t="str">
        <f>IF(COUNTA(A3355:G3355)=0,"",IF(A3355="","N° facture manquant",IF(ISNA(MATCH(A3355,fa_num,0)),"Facture inconnue",IF(AND(B3355&lt;&gt;"",ISNA(MATCH(B3355,pr_code,0))),"Article inconnu",IF(H3355="","Désignation manquante",IF(OR(NOT(ISNUMBER(D3355)),N(D3355)&lt;=0),"Quantité invalide",IF(J3355="","Prix manquant",IF(OR(NOT(ISNUMBER(J3355)),N(J3355)&lt;0),"Prix invalide",IF(OR(AND(F3355&lt;&gt;"",NOT(ISNUMBER(F3355))),N(F3355)&lt;0,N(F3355)&gt;1),"Remise invalide",IF(K3355="","Taux de TVA manquant",IF(NOT(ISNUMBER(K3355)),"Taux de TVA invalide",IF(COUNTIF(p_rates,K3355)=0,"Taux de TVA hors liste (Paramètres)",IF(N(O3355)&gt;25,"Au-delà de 25 lignes : non imprimée","OK")))))))))))))</f>
        <v/>
      </c>
      <c r="O3355" s="59" t="str">
        <f>IF(A3355="","",COUNTIF($A$6:A3355,A3355))</f>
        <v/>
      </c>
      <c r="P3355" s="62" t="str">
        <f>IF(A3355="","",A3355&amp;"|"&amp;O3355)</f>
        <v/>
      </c>
    </row>
    <row r="3356">
      <c r="A3356" s="60" t="n"/>
      <c r="B3356" s="63" t="n"/>
      <c r="C3356" s="63" t="n"/>
      <c r="D3356" s="67" t="n"/>
      <c r="E3356" s="68" t="n"/>
      <c r="F3356" s="69" t="n"/>
      <c r="G3356" s="70" t="n"/>
      <c r="H3356" s="62" t="str">
        <f>IF(COUNTA(A3356:G3356)=0,"",IF(C3356&lt;&gt;"",C3356,IF(B3356="","",IFERROR(INDEX(pr_des,MATCH(B3356,pr_code,0))&amp;"",""))))</f>
        <v/>
      </c>
      <c r="I3356" s="59" t="str">
        <f>IF(B3356="","",IFERROR(INDEX(pr_unit,MATCH(B3356,pr_code,0))&amp;"",""))</f>
        <v/>
      </c>
      <c r="J3356" s="65" t="str">
        <f>IF(COUNTA(A3356:G3356)=0,"",IF(E3356&lt;&gt;"",E3356,IF(B3356="","",IFERROR(IF(INDEX(pr_price,MATCH(B3356,pr_code,0))="","",INDEX(pr_price,MATCH(B3356,pr_code,0))),""))))</f>
        <v/>
      </c>
      <c r="K3356" s="71" t="str">
        <f>IF(COUNTA(A3356:G3356)=0,"",IF(G3356&lt;&gt;"",G3356,IF(B3356="","",IFERROR(IF(INDEX(pr_rate,MATCH(B3356,pr_code,0))="","",INDEX(pr_rate,MATCH(B3356,pr_code,0))),""))))</f>
        <v/>
      </c>
      <c r="L3356" s="65" t="str">
        <f>IF(COUNTA(A3356:G3356)=0,"",IF(AND(ISNUMBER(D3356),ISNUMBER(J3356)),ROUND(D3356*J3356*(1-N(F3356)),2),0))</f>
        <v/>
      </c>
      <c r="M3356" s="62" t="str">
        <f>IF(A3356="","",IFERROR(INDEX(fa_cname,MATCH(A3356,fa_num,0))&amp;"",""))</f>
        <v/>
      </c>
      <c r="N3356" s="59" t="str">
        <f>IF(COUNTA(A3356:G3356)=0,"",IF(A3356="","N° facture manquant",IF(ISNA(MATCH(A3356,fa_num,0)),"Facture inconnue",IF(AND(B3356&lt;&gt;"",ISNA(MATCH(B3356,pr_code,0))),"Article inconnu",IF(H3356="","Désignation manquante",IF(OR(NOT(ISNUMBER(D3356)),N(D3356)&lt;=0),"Quantité invalide",IF(J3356="","Prix manquant",IF(OR(NOT(ISNUMBER(J3356)),N(J3356)&lt;0),"Prix invalide",IF(OR(AND(F3356&lt;&gt;"",NOT(ISNUMBER(F3356))),N(F3356)&lt;0,N(F3356)&gt;1),"Remise invalide",IF(K3356="","Taux de TVA manquant",IF(NOT(ISNUMBER(K3356)),"Taux de TVA invalide",IF(COUNTIF(p_rates,K3356)=0,"Taux de TVA hors liste (Paramètres)",IF(N(O3356)&gt;25,"Au-delà de 25 lignes : non imprimée","OK")))))))))))))</f>
        <v/>
      </c>
      <c r="O3356" s="59" t="str">
        <f>IF(A3356="","",COUNTIF($A$6:A3356,A3356))</f>
        <v/>
      </c>
      <c r="P3356" s="62" t="str">
        <f>IF(A3356="","",A3356&amp;"|"&amp;O3356)</f>
        <v/>
      </c>
    </row>
    <row r="3357">
      <c r="A3357" s="60" t="n"/>
      <c r="B3357" s="63" t="n"/>
      <c r="C3357" s="63" t="n"/>
      <c r="D3357" s="67" t="n"/>
      <c r="E3357" s="68" t="n"/>
      <c r="F3357" s="69" t="n"/>
      <c r="G3357" s="70" t="n"/>
      <c r="H3357" s="62" t="str">
        <f>IF(COUNTA(A3357:G3357)=0,"",IF(C3357&lt;&gt;"",C3357,IF(B3357="","",IFERROR(INDEX(pr_des,MATCH(B3357,pr_code,0))&amp;"",""))))</f>
        <v/>
      </c>
      <c r="I3357" s="59" t="str">
        <f>IF(B3357="","",IFERROR(INDEX(pr_unit,MATCH(B3357,pr_code,0))&amp;"",""))</f>
        <v/>
      </c>
      <c r="J3357" s="65" t="str">
        <f>IF(COUNTA(A3357:G3357)=0,"",IF(E3357&lt;&gt;"",E3357,IF(B3357="","",IFERROR(IF(INDEX(pr_price,MATCH(B3357,pr_code,0))="","",INDEX(pr_price,MATCH(B3357,pr_code,0))),""))))</f>
        <v/>
      </c>
      <c r="K3357" s="71" t="str">
        <f>IF(COUNTA(A3357:G3357)=0,"",IF(G3357&lt;&gt;"",G3357,IF(B3357="","",IFERROR(IF(INDEX(pr_rate,MATCH(B3357,pr_code,0))="","",INDEX(pr_rate,MATCH(B3357,pr_code,0))),""))))</f>
        <v/>
      </c>
      <c r="L3357" s="65" t="str">
        <f>IF(COUNTA(A3357:G3357)=0,"",IF(AND(ISNUMBER(D3357),ISNUMBER(J3357)),ROUND(D3357*J3357*(1-N(F3357)),2),0))</f>
        <v/>
      </c>
      <c r="M3357" s="62" t="str">
        <f>IF(A3357="","",IFERROR(INDEX(fa_cname,MATCH(A3357,fa_num,0))&amp;"",""))</f>
        <v/>
      </c>
      <c r="N3357" s="59" t="str">
        <f>IF(COUNTA(A3357:G3357)=0,"",IF(A3357="","N° facture manquant",IF(ISNA(MATCH(A3357,fa_num,0)),"Facture inconnue",IF(AND(B3357&lt;&gt;"",ISNA(MATCH(B3357,pr_code,0))),"Article inconnu",IF(H3357="","Désignation manquante",IF(OR(NOT(ISNUMBER(D3357)),N(D3357)&lt;=0),"Quantité invalide",IF(J3357="","Prix manquant",IF(OR(NOT(ISNUMBER(J3357)),N(J3357)&lt;0),"Prix invalide",IF(OR(AND(F3357&lt;&gt;"",NOT(ISNUMBER(F3357))),N(F3357)&lt;0,N(F3357)&gt;1),"Remise invalide",IF(K3357="","Taux de TVA manquant",IF(NOT(ISNUMBER(K3357)),"Taux de TVA invalide",IF(COUNTIF(p_rates,K3357)=0,"Taux de TVA hors liste (Paramètres)",IF(N(O3357)&gt;25,"Au-delà de 25 lignes : non imprimée","OK")))))))))))))</f>
        <v/>
      </c>
      <c r="O3357" s="59" t="str">
        <f>IF(A3357="","",COUNTIF($A$6:A3357,A3357))</f>
        <v/>
      </c>
      <c r="P3357" s="62" t="str">
        <f>IF(A3357="","",A3357&amp;"|"&amp;O3357)</f>
        <v/>
      </c>
    </row>
    <row r="3358">
      <c r="A3358" s="60" t="n"/>
      <c r="B3358" s="63" t="n"/>
      <c r="C3358" s="63" t="n"/>
      <c r="D3358" s="67" t="n"/>
      <c r="E3358" s="68" t="n"/>
      <c r="F3358" s="69" t="n"/>
      <c r="G3358" s="70" t="n"/>
      <c r="H3358" s="62" t="str">
        <f>IF(COUNTA(A3358:G3358)=0,"",IF(C3358&lt;&gt;"",C3358,IF(B3358="","",IFERROR(INDEX(pr_des,MATCH(B3358,pr_code,0))&amp;"",""))))</f>
        <v/>
      </c>
      <c r="I3358" s="59" t="str">
        <f>IF(B3358="","",IFERROR(INDEX(pr_unit,MATCH(B3358,pr_code,0))&amp;"",""))</f>
        <v/>
      </c>
      <c r="J3358" s="65" t="str">
        <f>IF(COUNTA(A3358:G3358)=0,"",IF(E3358&lt;&gt;"",E3358,IF(B3358="","",IFERROR(IF(INDEX(pr_price,MATCH(B3358,pr_code,0))="","",INDEX(pr_price,MATCH(B3358,pr_code,0))),""))))</f>
        <v/>
      </c>
      <c r="K3358" s="71" t="str">
        <f>IF(COUNTA(A3358:G3358)=0,"",IF(G3358&lt;&gt;"",G3358,IF(B3358="","",IFERROR(IF(INDEX(pr_rate,MATCH(B3358,pr_code,0))="","",INDEX(pr_rate,MATCH(B3358,pr_code,0))),""))))</f>
        <v/>
      </c>
      <c r="L3358" s="65" t="str">
        <f>IF(COUNTA(A3358:G3358)=0,"",IF(AND(ISNUMBER(D3358),ISNUMBER(J3358)),ROUND(D3358*J3358*(1-N(F3358)),2),0))</f>
        <v/>
      </c>
      <c r="M3358" s="62" t="str">
        <f>IF(A3358="","",IFERROR(INDEX(fa_cname,MATCH(A3358,fa_num,0))&amp;"",""))</f>
        <v/>
      </c>
      <c r="N3358" s="59" t="str">
        <f>IF(COUNTA(A3358:G3358)=0,"",IF(A3358="","N° facture manquant",IF(ISNA(MATCH(A3358,fa_num,0)),"Facture inconnue",IF(AND(B3358&lt;&gt;"",ISNA(MATCH(B3358,pr_code,0))),"Article inconnu",IF(H3358="","Désignation manquante",IF(OR(NOT(ISNUMBER(D3358)),N(D3358)&lt;=0),"Quantité invalide",IF(J3358="","Prix manquant",IF(OR(NOT(ISNUMBER(J3358)),N(J3358)&lt;0),"Prix invalide",IF(OR(AND(F3358&lt;&gt;"",NOT(ISNUMBER(F3358))),N(F3358)&lt;0,N(F3358)&gt;1),"Remise invalide",IF(K3358="","Taux de TVA manquant",IF(NOT(ISNUMBER(K3358)),"Taux de TVA invalide",IF(COUNTIF(p_rates,K3358)=0,"Taux de TVA hors liste (Paramètres)",IF(N(O3358)&gt;25,"Au-delà de 25 lignes : non imprimée","OK")))))))))))))</f>
        <v/>
      </c>
      <c r="O3358" s="59" t="str">
        <f>IF(A3358="","",COUNTIF($A$6:A3358,A3358))</f>
        <v/>
      </c>
      <c r="P3358" s="62" t="str">
        <f>IF(A3358="","",A3358&amp;"|"&amp;O3358)</f>
        <v/>
      </c>
    </row>
    <row r="3359">
      <c r="A3359" s="60" t="n"/>
      <c r="B3359" s="63" t="n"/>
      <c r="C3359" s="63" t="n"/>
      <c r="D3359" s="67" t="n"/>
      <c r="E3359" s="68" t="n"/>
      <c r="F3359" s="69" t="n"/>
      <c r="G3359" s="70" t="n"/>
      <c r="H3359" s="62" t="str">
        <f>IF(COUNTA(A3359:G3359)=0,"",IF(C3359&lt;&gt;"",C3359,IF(B3359="","",IFERROR(INDEX(pr_des,MATCH(B3359,pr_code,0))&amp;"",""))))</f>
        <v/>
      </c>
      <c r="I3359" s="59" t="str">
        <f>IF(B3359="","",IFERROR(INDEX(pr_unit,MATCH(B3359,pr_code,0))&amp;"",""))</f>
        <v/>
      </c>
      <c r="J3359" s="65" t="str">
        <f>IF(COUNTA(A3359:G3359)=0,"",IF(E3359&lt;&gt;"",E3359,IF(B3359="","",IFERROR(IF(INDEX(pr_price,MATCH(B3359,pr_code,0))="","",INDEX(pr_price,MATCH(B3359,pr_code,0))),""))))</f>
        <v/>
      </c>
      <c r="K3359" s="71" t="str">
        <f>IF(COUNTA(A3359:G3359)=0,"",IF(G3359&lt;&gt;"",G3359,IF(B3359="","",IFERROR(IF(INDEX(pr_rate,MATCH(B3359,pr_code,0))="","",INDEX(pr_rate,MATCH(B3359,pr_code,0))),""))))</f>
        <v/>
      </c>
      <c r="L3359" s="65" t="str">
        <f>IF(COUNTA(A3359:G3359)=0,"",IF(AND(ISNUMBER(D3359),ISNUMBER(J3359)),ROUND(D3359*J3359*(1-N(F3359)),2),0))</f>
        <v/>
      </c>
      <c r="M3359" s="62" t="str">
        <f>IF(A3359="","",IFERROR(INDEX(fa_cname,MATCH(A3359,fa_num,0))&amp;"",""))</f>
        <v/>
      </c>
      <c r="N3359" s="59" t="str">
        <f>IF(COUNTA(A3359:G3359)=0,"",IF(A3359="","N° facture manquant",IF(ISNA(MATCH(A3359,fa_num,0)),"Facture inconnue",IF(AND(B3359&lt;&gt;"",ISNA(MATCH(B3359,pr_code,0))),"Article inconnu",IF(H3359="","Désignation manquante",IF(OR(NOT(ISNUMBER(D3359)),N(D3359)&lt;=0),"Quantité invalide",IF(J3359="","Prix manquant",IF(OR(NOT(ISNUMBER(J3359)),N(J3359)&lt;0),"Prix invalide",IF(OR(AND(F3359&lt;&gt;"",NOT(ISNUMBER(F3359))),N(F3359)&lt;0,N(F3359)&gt;1),"Remise invalide",IF(K3359="","Taux de TVA manquant",IF(NOT(ISNUMBER(K3359)),"Taux de TVA invalide",IF(COUNTIF(p_rates,K3359)=0,"Taux de TVA hors liste (Paramètres)",IF(N(O3359)&gt;25,"Au-delà de 25 lignes : non imprimée","OK")))))))))))))</f>
        <v/>
      </c>
      <c r="O3359" s="59" t="str">
        <f>IF(A3359="","",COUNTIF($A$6:A3359,A3359))</f>
        <v/>
      </c>
      <c r="P3359" s="62" t="str">
        <f>IF(A3359="","",A3359&amp;"|"&amp;O3359)</f>
        <v/>
      </c>
    </row>
    <row r="3360">
      <c r="A3360" s="60" t="n"/>
      <c r="B3360" s="63" t="n"/>
      <c r="C3360" s="63" t="n"/>
      <c r="D3360" s="67" t="n"/>
      <c r="E3360" s="68" t="n"/>
      <c r="F3360" s="69" t="n"/>
      <c r="G3360" s="70" t="n"/>
      <c r="H3360" s="62" t="str">
        <f>IF(COUNTA(A3360:G3360)=0,"",IF(C3360&lt;&gt;"",C3360,IF(B3360="","",IFERROR(INDEX(pr_des,MATCH(B3360,pr_code,0))&amp;"",""))))</f>
        <v/>
      </c>
      <c r="I3360" s="59" t="str">
        <f>IF(B3360="","",IFERROR(INDEX(pr_unit,MATCH(B3360,pr_code,0))&amp;"",""))</f>
        <v/>
      </c>
      <c r="J3360" s="65" t="str">
        <f>IF(COUNTA(A3360:G3360)=0,"",IF(E3360&lt;&gt;"",E3360,IF(B3360="","",IFERROR(IF(INDEX(pr_price,MATCH(B3360,pr_code,0))="","",INDEX(pr_price,MATCH(B3360,pr_code,0))),""))))</f>
        <v/>
      </c>
      <c r="K3360" s="71" t="str">
        <f>IF(COUNTA(A3360:G3360)=0,"",IF(G3360&lt;&gt;"",G3360,IF(B3360="","",IFERROR(IF(INDEX(pr_rate,MATCH(B3360,pr_code,0))="","",INDEX(pr_rate,MATCH(B3360,pr_code,0))),""))))</f>
        <v/>
      </c>
      <c r="L3360" s="65" t="str">
        <f>IF(COUNTA(A3360:G3360)=0,"",IF(AND(ISNUMBER(D3360),ISNUMBER(J3360)),ROUND(D3360*J3360*(1-N(F3360)),2),0))</f>
        <v/>
      </c>
      <c r="M3360" s="62" t="str">
        <f>IF(A3360="","",IFERROR(INDEX(fa_cname,MATCH(A3360,fa_num,0))&amp;"",""))</f>
        <v/>
      </c>
      <c r="N3360" s="59" t="str">
        <f>IF(COUNTA(A3360:G3360)=0,"",IF(A3360="","N° facture manquant",IF(ISNA(MATCH(A3360,fa_num,0)),"Facture inconnue",IF(AND(B3360&lt;&gt;"",ISNA(MATCH(B3360,pr_code,0))),"Article inconnu",IF(H3360="","Désignation manquante",IF(OR(NOT(ISNUMBER(D3360)),N(D3360)&lt;=0),"Quantité invalide",IF(J3360="","Prix manquant",IF(OR(NOT(ISNUMBER(J3360)),N(J3360)&lt;0),"Prix invalide",IF(OR(AND(F3360&lt;&gt;"",NOT(ISNUMBER(F3360))),N(F3360)&lt;0,N(F3360)&gt;1),"Remise invalide",IF(K3360="","Taux de TVA manquant",IF(NOT(ISNUMBER(K3360)),"Taux de TVA invalide",IF(COUNTIF(p_rates,K3360)=0,"Taux de TVA hors liste (Paramètres)",IF(N(O3360)&gt;25,"Au-delà de 25 lignes : non imprimée","OK")))))))))))))</f>
        <v/>
      </c>
      <c r="O3360" s="59" t="str">
        <f>IF(A3360="","",COUNTIF($A$6:A3360,A3360))</f>
        <v/>
      </c>
      <c r="P3360" s="62" t="str">
        <f>IF(A3360="","",A3360&amp;"|"&amp;O3360)</f>
        <v/>
      </c>
    </row>
    <row r="3361">
      <c r="A3361" s="60" t="n"/>
      <c r="B3361" s="63" t="n"/>
      <c r="C3361" s="63" t="n"/>
      <c r="D3361" s="67" t="n"/>
      <c r="E3361" s="68" t="n"/>
      <c r="F3361" s="69" t="n"/>
      <c r="G3361" s="70" t="n"/>
      <c r="H3361" s="62" t="str">
        <f>IF(COUNTA(A3361:G3361)=0,"",IF(C3361&lt;&gt;"",C3361,IF(B3361="","",IFERROR(INDEX(pr_des,MATCH(B3361,pr_code,0))&amp;"",""))))</f>
        <v/>
      </c>
      <c r="I3361" s="59" t="str">
        <f>IF(B3361="","",IFERROR(INDEX(pr_unit,MATCH(B3361,pr_code,0))&amp;"",""))</f>
        <v/>
      </c>
      <c r="J3361" s="65" t="str">
        <f>IF(COUNTA(A3361:G3361)=0,"",IF(E3361&lt;&gt;"",E3361,IF(B3361="","",IFERROR(IF(INDEX(pr_price,MATCH(B3361,pr_code,0))="","",INDEX(pr_price,MATCH(B3361,pr_code,0))),""))))</f>
        <v/>
      </c>
      <c r="K3361" s="71" t="str">
        <f>IF(COUNTA(A3361:G3361)=0,"",IF(G3361&lt;&gt;"",G3361,IF(B3361="","",IFERROR(IF(INDEX(pr_rate,MATCH(B3361,pr_code,0))="","",INDEX(pr_rate,MATCH(B3361,pr_code,0))),""))))</f>
        <v/>
      </c>
      <c r="L3361" s="65" t="str">
        <f>IF(COUNTA(A3361:G3361)=0,"",IF(AND(ISNUMBER(D3361),ISNUMBER(J3361)),ROUND(D3361*J3361*(1-N(F3361)),2),0))</f>
        <v/>
      </c>
      <c r="M3361" s="62" t="str">
        <f>IF(A3361="","",IFERROR(INDEX(fa_cname,MATCH(A3361,fa_num,0))&amp;"",""))</f>
        <v/>
      </c>
      <c r="N3361" s="59" t="str">
        <f>IF(COUNTA(A3361:G3361)=0,"",IF(A3361="","N° facture manquant",IF(ISNA(MATCH(A3361,fa_num,0)),"Facture inconnue",IF(AND(B3361&lt;&gt;"",ISNA(MATCH(B3361,pr_code,0))),"Article inconnu",IF(H3361="","Désignation manquante",IF(OR(NOT(ISNUMBER(D3361)),N(D3361)&lt;=0),"Quantité invalide",IF(J3361="","Prix manquant",IF(OR(NOT(ISNUMBER(J3361)),N(J3361)&lt;0),"Prix invalide",IF(OR(AND(F3361&lt;&gt;"",NOT(ISNUMBER(F3361))),N(F3361)&lt;0,N(F3361)&gt;1),"Remise invalide",IF(K3361="","Taux de TVA manquant",IF(NOT(ISNUMBER(K3361)),"Taux de TVA invalide",IF(COUNTIF(p_rates,K3361)=0,"Taux de TVA hors liste (Paramètres)",IF(N(O3361)&gt;25,"Au-delà de 25 lignes : non imprimée","OK")))))))))))))</f>
        <v/>
      </c>
      <c r="O3361" s="59" t="str">
        <f>IF(A3361="","",COUNTIF($A$6:A3361,A3361))</f>
        <v/>
      </c>
      <c r="P3361" s="62" t="str">
        <f>IF(A3361="","",A3361&amp;"|"&amp;O3361)</f>
        <v/>
      </c>
    </row>
    <row r="3362">
      <c r="A3362" s="60" t="n"/>
      <c r="B3362" s="63" t="n"/>
      <c r="C3362" s="63" t="n"/>
      <c r="D3362" s="67" t="n"/>
      <c r="E3362" s="68" t="n"/>
      <c r="F3362" s="69" t="n"/>
      <c r="G3362" s="70" t="n"/>
      <c r="H3362" s="62" t="str">
        <f>IF(COUNTA(A3362:G3362)=0,"",IF(C3362&lt;&gt;"",C3362,IF(B3362="","",IFERROR(INDEX(pr_des,MATCH(B3362,pr_code,0))&amp;"",""))))</f>
        <v/>
      </c>
      <c r="I3362" s="59" t="str">
        <f>IF(B3362="","",IFERROR(INDEX(pr_unit,MATCH(B3362,pr_code,0))&amp;"",""))</f>
        <v/>
      </c>
      <c r="J3362" s="65" t="str">
        <f>IF(COUNTA(A3362:G3362)=0,"",IF(E3362&lt;&gt;"",E3362,IF(B3362="","",IFERROR(IF(INDEX(pr_price,MATCH(B3362,pr_code,0))="","",INDEX(pr_price,MATCH(B3362,pr_code,0))),""))))</f>
        <v/>
      </c>
      <c r="K3362" s="71" t="str">
        <f>IF(COUNTA(A3362:G3362)=0,"",IF(G3362&lt;&gt;"",G3362,IF(B3362="","",IFERROR(IF(INDEX(pr_rate,MATCH(B3362,pr_code,0))="","",INDEX(pr_rate,MATCH(B3362,pr_code,0))),""))))</f>
        <v/>
      </c>
      <c r="L3362" s="65" t="str">
        <f>IF(COUNTA(A3362:G3362)=0,"",IF(AND(ISNUMBER(D3362),ISNUMBER(J3362)),ROUND(D3362*J3362*(1-N(F3362)),2),0))</f>
        <v/>
      </c>
      <c r="M3362" s="62" t="str">
        <f>IF(A3362="","",IFERROR(INDEX(fa_cname,MATCH(A3362,fa_num,0))&amp;"",""))</f>
        <v/>
      </c>
      <c r="N3362" s="59" t="str">
        <f>IF(COUNTA(A3362:G3362)=0,"",IF(A3362="","N° facture manquant",IF(ISNA(MATCH(A3362,fa_num,0)),"Facture inconnue",IF(AND(B3362&lt;&gt;"",ISNA(MATCH(B3362,pr_code,0))),"Article inconnu",IF(H3362="","Désignation manquante",IF(OR(NOT(ISNUMBER(D3362)),N(D3362)&lt;=0),"Quantité invalide",IF(J3362="","Prix manquant",IF(OR(NOT(ISNUMBER(J3362)),N(J3362)&lt;0),"Prix invalide",IF(OR(AND(F3362&lt;&gt;"",NOT(ISNUMBER(F3362))),N(F3362)&lt;0,N(F3362)&gt;1),"Remise invalide",IF(K3362="","Taux de TVA manquant",IF(NOT(ISNUMBER(K3362)),"Taux de TVA invalide",IF(COUNTIF(p_rates,K3362)=0,"Taux de TVA hors liste (Paramètres)",IF(N(O3362)&gt;25,"Au-delà de 25 lignes : non imprimée","OK")))))))))))))</f>
        <v/>
      </c>
      <c r="O3362" s="59" t="str">
        <f>IF(A3362="","",COUNTIF($A$6:A3362,A3362))</f>
        <v/>
      </c>
      <c r="P3362" s="62" t="str">
        <f>IF(A3362="","",A3362&amp;"|"&amp;O3362)</f>
        <v/>
      </c>
    </row>
    <row r="3363">
      <c r="A3363" s="60" t="n"/>
      <c r="B3363" s="63" t="n"/>
      <c r="C3363" s="63" t="n"/>
      <c r="D3363" s="67" t="n"/>
      <c r="E3363" s="68" t="n"/>
      <c r="F3363" s="69" t="n"/>
      <c r="G3363" s="70" t="n"/>
      <c r="H3363" s="62" t="str">
        <f>IF(COUNTA(A3363:G3363)=0,"",IF(C3363&lt;&gt;"",C3363,IF(B3363="","",IFERROR(INDEX(pr_des,MATCH(B3363,pr_code,0))&amp;"",""))))</f>
        <v/>
      </c>
      <c r="I3363" s="59" t="str">
        <f>IF(B3363="","",IFERROR(INDEX(pr_unit,MATCH(B3363,pr_code,0))&amp;"",""))</f>
        <v/>
      </c>
      <c r="J3363" s="65" t="str">
        <f>IF(COUNTA(A3363:G3363)=0,"",IF(E3363&lt;&gt;"",E3363,IF(B3363="","",IFERROR(IF(INDEX(pr_price,MATCH(B3363,pr_code,0))="","",INDEX(pr_price,MATCH(B3363,pr_code,0))),""))))</f>
        <v/>
      </c>
      <c r="K3363" s="71" t="str">
        <f>IF(COUNTA(A3363:G3363)=0,"",IF(G3363&lt;&gt;"",G3363,IF(B3363="","",IFERROR(IF(INDEX(pr_rate,MATCH(B3363,pr_code,0))="","",INDEX(pr_rate,MATCH(B3363,pr_code,0))),""))))</f>
        <v/>
      </c>
      <c r="L3363" s="65" t="str">
        <f>IF(COUNTA(A3363:G3363)=0,"",IF(AND(ISNUMBER(D3363),ISNUMBER(J3363)),ROUND(D3363*J3363*(1-N(F3363)),2),0))</f>
        <v/>
      </c>
      <c r="M3363" s="62" t="str">
        <f>IF(A3363="","",IFERROR(INDEX(fa_cname,MATCH(A3363,fa_num,0))&amp;"",""))</f>
        <v/>
      </c>
      <c r="N3363" s="59" t="str">
        <f>IF(COUNTA(A3363:G3363)=0,"",IF(A3363="","N° facture manquant",IF(ISNA(MATCH(A3363,fa_num,0)),"Facture inconnue",IF(AND(B3363&lt;&gt;"",ISNA(MATCH(B3363,pr_code,0))),"Article inconnu",IF(H3363="","Désignation manquante",IF(OR(NOT(ISNUMBER(D3363)),N(D3363)&lt;=0),"Quantité invalide",IF(J3363="","Prix manquant",IF(OR(NOT(ISNUMBER(J3363)),N(J3363)&lt;0),"Prix invalide",IF(OR(AND(F3363&lt;&gt;"",NOT(ISNUMBER(F3363))),N(F3363)&lt;0,N(F3363)&gt;1),"Remise invalide",IF(K3363="","Taux de TVA manquant",IF(NOT(ISNUMBER(K3363)),"Taux de TVA invalide",IF(COUNTIF(p_rates,K3363)=0,"Taux de TVA hors liste (Paramètres)",IF(N(O3363)&gt;25,"Au-delà de 25 lignes : non imprimée","OK")))))))))))))</f>
        <v/>
      </c>
      <c r="O3363" s="59" t="str">
        <f>IF(A3363="","",COUNTIF($A$6:A3363,A3363))</f>
        <v/>
      </c>
      <c r="P3363" s="62" t="str">
        <f>IF(A3363="","",A3363&amp;"|"&amp;O3363)</f>
        <v/>
      </c>
    </row>
    <row r="3364">
      <c r="A3364" s="60" t="n"/>
      <c r="B3364" s="63" t="n"/>
      <c r="C3364" s="63" t="n"/>
      <c r="D3364" s="67" t="n"/>
      <c r="E3364" s="68" t="n"/>
      <c r="F3364" s="69" t="n"/>
      <c r="G3364" s="70" t="n"/>
      <c r="H3364" s="62" t="str">
        <f>IF(COUNTA(A3364:G3364)=0,"",IF(C3364&lt;&gt;"",C3364,IF(B3364="","",IFERROR(INDEX(pr_des,MATCH(B3364,pr_code,0))&amp;"",""))))</f>
        <v/>
      </c>
      <c r="I3364" s="59" t="str">
        <f>IF(B3364="","",IFERROR(INDEX(pr_unit,MATCH(B3364,pr_code,0))&amp;"",""))</f>
        <v/>
      </c>
      <c r="J3364" s="65" t="str">
        <f>IF(COUNTA(A3364:G3364)=0,"",IF(E3364&lt;&gt;"",E3364,IF(B3364="","",IFERROR(IF(INDEX(pr_price,MATCH(B3364,pr_code,0))="","",INDEX(pr_price,MATCH(B3364,pr_code,0))),""))))</f>
        <v/>
      </c>
      <c r="K3364" s="71" t="str">
        <f>IF(COUNTA(A3364:G3364)=0,"",IF(G3364&lt;&gt;"",G3364,IF(B3364="","",IFERROR(IF(INDEX(pr_rate,MATCH(B3364,pr_code,0))="","",INDEX(pr_rate,MATCH(B3364,pr_code,0))),""))))</f>
        <v/>
      </c>
      <c r="L3364" s="65" t="str">
        <f>IF(COUNTA(A3364:G3364)=0,"",IF(AND(ISNUMBER(D3364),ISNUMBER(J3364)),ROUND(D3364*J3364*(1-N(F3364)),2),0))</f>
        <v/>
      </c>
      <c r="M3364" s="62" t="str">
        <f>IF(A3364="","",IFERROR(INDEX(fa_cname,MATCH(A3364,fa_num,0))&amp;"",""))</f>
        <v/>
      </c>
      <c r="N3364" s="59" t="str">
        <f>IF(COUNTA(A3364:G3364)=0,"",IF(A3364="","N° facture manquant",IF(ISNA(MATCH(A3364,fa_num,0)),"Facture inconnue",IF(AND(B3364&lt;&gt;"",ISNA(MATCH(B3364,pr_code,0))),"Article inconnu",IF(H3364="","Désignation manquante",IF(OR(NOT(ISNUMBER(D3364)),N(D3364)&lt;=0),"Quantité invalide",IF(J3364="","Prix manquant",IF(OR(NOT(ISNUMBER(J3364)),N(J3364)&lt;0),"Prix invalide",IF(OR(AND(F3364&lt;&gt;"",NOT(ISNUMBER(F3364))),N(F3364)&lt;0,N(F3364)&gt;1),"Remise invalide",IF(K3364="","Taux de TVA manquant",IF(NOT(ISNUMBER(K3364)),"Taux de TVA invalide",IF(COUNTIF(p_rates,K3364)=0,"Taux de TVA hors liste (Paramètres)",IF(N(O3364)&gt;25,"Au-delà de 25 lignes : non imprimée","OK")))))))))))))</f>
        <v/>
      </c>
      <c r="O3364" s="59" t="str">
        <f>IF(A3364="","",COUNTIF($A$6:A3364,A3364))</f>
        <v/>
      </c>
      <c r="P3364" s="62" t="str">
        <f>IF(A3364="","",A3364&amp;"|"&amp;O3364)</f>
        <v/>
      </c>
    </row>
    <row r="3365">
      <c r="A3365" s="60" t="n"/>
      <c r="B3365" s="63" t="n"/>
      <c r="C3365" s="63" t="n"/>
      <c r="D3365" s="67" t="n"/>
      <c r="E3365" s="68" t="n"/>
      <c r="F3365" s="69" t="n"/>
      <c r="G3365" s="70" t="n"/>
      <c r="H3365" s="62" t="str">
        <f>IF(COUNTA(A3365:G3365)=0,"",IF(C3365&lt;&gt;"",C3365,IF(B3365="","",IFERROR(INDEX(pr_des,MATCH(B3365,pr_code,0))&amp;"",""))))</f>
        <v/>
      </c>
      <c r="I3365" s="59" t="str">
        <f>IF(B3365="","",IFERROR(INDEX(pr_unit,MATCH(B3365,pr_code,0))&amp;"",""))</f>
        <v/>
      </c>
      <c r="J3365" s="65" t="str">
        <f>IF(COUNTA(A3365:G3365)=0,"",IF(E3365&lt;&gt;"",E3365,IF(B3365="","",IFERROR(IF(INDEX(pr_price,MATCH(B3365,pr_code,0))="","",INDEX(pr_price,MATCH(B3365,pr_code,0))),""))))</f>
        <v/>
      </c>
      <c r="K3365" s="71" t="str">
        <f>IF(COUNTA(A3365:G3365)=0,"",IF(G3365&lt;&gt;"",G3365,IF(B3365="","",IFERROR(IF(INDEX(pr_rate,MATCH(B3365,pr_code,0))="","",INDEX(pr_rate,MATCH(B3365,pr_code,0))),""))))</f>
        <v/>
      </c>
      <c r="L3365" s="65" t="str">
        <f>IF(COUNTA(A3365:G3365)=0,"",IF(AND(ISNUMBER(D3365),ISNUMBER(J3365)),ROUND(D3365*J3365*(1-N(F3365)),2),0))</f>
        <v/>
      </c>
      <c r="M3365" s="62" t="str">
        <f>IF(A3365="","",IFERROR(INDEX(fa_cname,MATCH(A3365,fa_num,0))&amp;"",""))</f>
        <v/>
      </c>
      <c r="N3365" s="59" t="str">
        <f>IF(COUNTA(A3365:G3365)=0,"",IF(A3365="","N° facture manquant",IF(ISNA(MATCH(A3365,fa_num,0)),"Facture inconnue",IF(AND(B3365&lt;&gt;"",ISNA(MATCH(B3365,pr_code,0))),"Article inconnu",IF(H3365="","Désignation manquante",IF(OR(NOT(ISNUMBER(D3365)),N(D3365)&lt;=0),"Quantité invalide",IF(J3365="","Prix manquant",IF(OR(NOT(ISNUMBER(J3365)),N(J3365)&lt;0),"Prix invalide",IF(OR(AND(F3365&lt;&gt;"",NOT(ISNUMBER(F3365))),N(F3365)&lt;0,N(F3365)&gt;1),"Remise invalide",IF(K3365="","Taux de TVA manquant",IF(NOT(ISNUMBER(K3365)),"Taux de TVA invalide",IF(COUNTIF(p_rates,K3365)=0,"Taux de TVA hors liste (Paramètres)",IF(N(O3365)&gt;25,"Au-delà de 25 lignes : non imprimée","OK")))))))))))))</f>
        <v/>
      </c>
      <c r="O3365" s="59" t="str">
        <f>IF(A3365="","",COUNTIF($A$6:A3365,A3365))</f>
        <v/>
      </c>
      <c r="P3365" s="62" t="str">
        <f>IF(A3365="","",A3365&amp;"|"&amp;O3365)</f>
        <v/>
      </c>
    </row>
    <row r="3366">
      <c r="A3366" s="60" t="n"/>
      <c r="B3366" s="63" t="n"/>
      <c r="C3366" s="63" t="n"/>
      <c r="D3366" s="67" t="n"/>
      <c r="E3366" s="68" t="n"/>
      <c r="F3366" s="69" t="n"/>
      <c r="G3366" s="70" t="n"/>
      <c r="H3366" s="62" t="str">
        <f>IF(COUNTA(A3366:G3366)=0,"",IF(C3366&lt;&gt;"",C3366,IF(B3366="","",IFERROR(INDEX(pr_des,MATCH(B3366,pr_code,0))&amp;"",""))))</f>
        <v/>
      </c>
      <c r="I3366" s="59" t="str">
        <f>IF(B3366="","",IFERROR(INDEX(pr_unit,MATCH(B3366,pr_code,0))&amp;"",""))</f>
        <v/>
      </c>
      <c r="J3366" s="65" t="str">
        <f>IF(COUNTA(A3366:G3366)=0,"",IF(E3366&lt;&gt;"",E3366,IF(B3366="","",IFERROR(IF(INDEX(pr_price,MATCH(B3366,pr_code,0))="","",INDEX(pr_price,MATCH(B3366,pr_code,0))),""))))</f>
        <v/>
      </c>
      <c r="K3366" s="71" t="str">
        <f>IF(COUNTA(A3366:G3366)=0,"",IF(G3366&lt;&gt;"",G3366,IF(B3366="","",IFERROR(IF(INDEX(pr_rate,MATCH(B3366,pr_code,0))="","",INDEX(pr_rate,MATCH(B3366,pr_code,0))),""))))</f>
        <v/>
      </c>
      <c r="L3366" s="65" t="str">
        <f>IF(COUNTA(A3366:G3366)=0,"",IF(AND(ISNUMBER(D3366),ISNUMBER(J3366)),ROUND(D3366*J3366*(1-N(F3366)),2),0))</f>
        <v/>
      </c>
      <c r="M3366" s="62" t="str">
        <f>IF(A3366="","",IFERROR(INDEX(fa_cname,MATCH(A3366,fa_num,0))&amp;"",""))</f>
        <v/>
      </c>
      <c r="N3366" s="59" t="str">
        <f>IF(COUNTA(A3366:G3366)=0,"",IF(A3366="","N° facture manquant",IF(ISNA(MATCH(A3366,fa_num,0)),"Facture inconnue",IF(AND(B3366&lt;&gt;"",ISNA(MATCH(B3366,pr_code,0))),"Article inconnu",IF(H3366="","Désignation manquante",IF(OR(NOT(ISNUMBER(D3366)),N(D3366)&lt;=0),"Quantité invalide",IF(J3366="","Prix manquant",IF(OR(NOT(ISNUMBER(J3366)),N(J3366)&lt;0),"Prix invalide",IF(OR(AND(F3366&lt;&gt;"",NOT(ISNUMBER(F3366))),N(F3366)&lt;0,N(F3366)&gt;1),"Remise invalide",IF(K3366="","Taux de TVA manquant",IF(NOT(ISNUMBER(K3366)),"Taux de TVA invalide",IF(COUNTIF(p_rates,K3366)=0,"Taux de TVA hors liste (Paramètres)",IF(N(O3366)&gt;25,"Au-delà de 25 lignes : non imprimée","OK")))))))))))))</f>
        <v/>
      </c>
      <c r="O3366" s="59" t="str">
        <f>IF(A3366="","",COUNTIF($A$6:A3366,A3366))</f>
        <v/>
      </c>
      <c r="P3366" s="62" t="str">
        <f>IF(A3366="","",A3366&amp;"|"&amp;O3366)</f>
        <v/>
      </c>
    </row>
    <row r="3367">
      <c r="A3367" s="60" t="n"/>
      <c r="B3367" s="63" t="n"/>
      <c r="C3367" s="63" t="n"/>
      <c r="D3367" s="67" t="n"/>
      <c r="E3367" s="68" t="n"/>
      <c r="F3367" s="69" t="n"/>
      <c r="G3367" s="70" t="n"/>
      <c r="H3367" s="62" t="str">
        <f>IF(COUNTA(A3367:G3367)=0,"",IF(C3367&lt;&gt;"",C3367,IF(B3367="","",IFERROR(INDEX(pr_des,MATCH(B3367,pr_code,0))&amp;"",""))))</f>
        <v/>
      </c>
      <c r="I3367" s="59" t="str">
        <f>IF(B3367="","",IFERROR(INDEX(pr_unit,MATCH(B3367,pr_code,0))&amp;"",""))</f>
        <v/>
      </c>
      <c r="J3367" s="65" t="str">
        <f>IF(COUNTA(A3367:G3367)=0,"",IF(E3367&lt;&gt;"",E3367,IF(B3367="","",IFERROR(IF(INDEX(pr_price,MATCH(B3367,pr_code,0))="","",INDEX(pr_price,MATCH(B3367,pr_code,0))),""))))</f>
        <v/>
      </c>
      <c r="K3367" s="71" t="str">
        <f>IF(COUNTA(A3367:G3367)=0,"",IF(G3367&lt;&gt;"",G3367,IF(B3367="","",IFERROR(IF(INDEX(pr_rate,MATCH(B3367,pr_code,0))="","",INDEX(pr_rate,MATCH(B3367,pr_code,0))),""))))</f>
        <v/>
      </c>
      <c r="L3367" s="65" t="str">
        <f>IF(COUNTA(A3367:G3367)=0,"",IF(AND(ISNUMBER(D3367),ISNUMBER(J3367)),ROUND(D3367*J3367*(1-N(F3367)),2),0))</f>
        <v/>
      </c>
      <c r="M3367" s="62" t="str">
        <f>IF(A3367="","",IFERROR(INDEX(fa_cname,MATCH(A3367,fa_num,0))&amp;"",""))</f>
        <v/>
      </c>
      <c r="N3367" s="59" t="str">
        <f>IF(COUNTA(A3367:G3367)=0,"",IF(A3367="","N° facture manquant",IF(ISNA(MATCH(A3367,fa_num,0)),"Facture inconnue",IF(AND(B3367&lt;&gt;"",ISNA(MATCH(B3367,pr_code,0))),"Article inconnu",IF(H3367="","Désignation manquante",IF(OR(NOT(ISNUMBER(D3367)),N(D3367)&lt;=0),"Quantité invalide",IF(J3367="","Prix manquant",IF(OR(NOT(ISNUMBER(J3367)),N(J3367)&lt;0),"Prix invalide",IF(OR(AND(F3367&lt;&gt;"",NOT(ISNUMBER(F3367))),N(F3367)&lt;0,N(F3367)&gt;1),"Remise invalide",IF(K3367="","Taux de TVA manquant",IF(NOT(ISNUMBER(K3367)),"Taux de TVA invalide",IF(COUNTIF(p_rates,K3367)=0,"Taux de TVA hors liste (Paramètres)",IF(N(O3367)&gt;25,"Au-delà de 25 lignes : non imprimée","OK")))))))))))))</f>
        <v/>
      </c>
      <c r="O3367" s="59" t="str">
        <f>IF(A3367="","",COUNTIF($A$6:A3367,A3367))</f>
        <v/>
      </c>
      <c r="P3367" s="62" t="str">
        <f>IF(A3367="","",A3367&amp;"|"&amp;O3367)</f>
        <v/>
      </c>
    </row>
    <row r="3368">
      <c r="A3368" s="60" t="n"/>
      <c r="B3368" s="63" t="n"/>
      <c r="C3368" s="63" t="n"/>
      <c r="D3368" s="67" t="n"/>
      <c r="E3368" s="68" t="n"/>
      <c r="F3368" s="69" t="n"/>
      <c r="G3368" s="70" t="n"/>
      <c r="H3368" s="62" t="str">
        <f>IF(COUNTA(A3368:G3368)=0,"",IF(C3368&lt;&gt;"",C3368,IF(B3368="","",IFERROR(INDEX(pr_des,MATCH(B3368,pr_code,0))&amp;"",""))))</f>
        <v/>
      </c>
      <c r="I3368" s="59" t="str">
        <f>IF(B3368="","",IFERROR(INDEX(pr_unit,MATCH(B3368,pr_code,0))&amp;"",""))</f>
        <v/>
      </c>
      <c r="J3368" s="65" t="str">
        <f>IF(COUNTA(A3368:G3368)=0,"",IF(E3368&lt;&gt;"",E3368,IF(B3368="","",IFERROR(IF(INDEX(pr_price,MATCH(B3368,pr_code,0))="","",INDEX(pr_price,MATCH(B3368,pr_code,0))),""))))</f>
        <v/>
      </c>
      <c r="K3368" s="71" t="str">
        <f>IF(COUNTA(A3368:G3368)=0,"",IF(G3368&lt;&gt;"",G3368,IF(B3368="","",IFERROR(IF(INDEX(pr_rate,MATCH(B3368,pr_code,0))="","",INDEX(pr_rate,MATCH(B3368,pr_code,0))),""))))</f>
        <v/>
      </c>
      <c r="L3368" s="65" t="str">
        <f>IF(COUNTA(A3368:G3368)=0,"",IF(AND(ISNUMBER(D3368),ISNUMBER(J3368)),ROUND(D3368*J3368*(1-N(F3368)),2),0))</f>
        <v/>
      </c>
      <c r="M3368" s="62" t="str">
        <f>IF(A3368="","",IFERROR(INDEX(fa_cname,MATCH(A3368,fa_num,0))&amp;"",""))</f>
        <v/>
      </c>
      <c r="N3368" s="59" t="str">
        <f>IF(COUNTA(A3368:G3368)=0,"",IF(A3368="","N° facture manquant",IF(ISNA(MATCH(A3368,fa_num,0)),"Facture inconnue",IF(AND(B3368&lt;&gt;"",ISNA(MATCH(B3368,pr_code,0))),"Article inconnu",IF(H3368="","Désignation manquante",IF(OR(NOT(ISNUMBER(D3368)),N(D3368)&lt;=0),"Quantité invalide",IF(J3368="","Prix manquant",IF(OR(NOT(ISNUMBER(J3368)),N(J3368)&lt;0),"Prix invalide",IF(OR(AND(F3368&lt;&gt;"",NOT(ISNUMBER(F3368))),N(F3368)&lt;0,N(F3368)&gt;1),"Remise invalide",IF(K3368="","Taux de TVA manquant",IF(NOT(ISNUMBER(K3368)),"Taux de TVA invalide",IF(COUNTIF(p_rates,K3368)=0,"Taux de TVA hors liste (Paramètres)",IF(N(O3368)&gt;25,"Au-delà de 25 lignes : non imprimée","OK")))))))))))))</f>
        <v/>
      </c>
      <c r="O3368" s="59" t="str">
        <f>IF(A3368="","",COUNTIF($A$6:A3368,A3368))</f>
        <v/>
      </c>
      <c r="P3368" s="62" t="str">
        <f>IF(A3368="","",A3368&amp;"|"&amp;O3368)</f>
        <v/>
      </c>
    </row>
    <row r="3369">
      <c r="A3369" s="60" t="n"/>
      <c r="B3369" s="63" t="n"/>
      <c r="C3369" s="63" t="n"/>
      <c r="D3369" s="67" t="n"/>
      <c r="E3369" s="68" t="n"/>
      <c r="F3369" s="69" t="n"/>
      <c r="G3369" s="70" t="n"/>
      <c r="H3369" s="62" t="str">
        <f>IF(COUNTA(A3369:G3369)=0,"",IF(C3369&lt;&gt;"",C3369,IF(B3369="","",IFERROR(INDEX(pr_des,MATCH(B3369,pr_code,0))&amp;"",""))))</f>
        <v/>
      </c>
      <c r="I3369" s="59" t="str">
        <f>IF(B3369="","",IFERROR(INDEX(pr_unit,MATCH(B3369,pr_code,0))&amp;"",""))</f>
        <v/>
      </c>
      <c r="J3369" s="65" t="str">
        <f>IF(COUNTA(A3369:G3369)=0,"",IF(E3369&lt;&gt;"",E3369,IF(B3369="","",IFERROR(IF(INDEX(pr_price,MATCH(B3369,pr_code,0))="","",INDEX(pr_price,MATCH(B3369,pr_code,0))),""))))</f>
        <v/>
      </c>
      <c r="K3369" s="71" t="str">
        <f>IF(COUNTA(A3369:G3369)=0,"",IF(G3369&lt;&gt;"",G3369,IF(B3369="","",IFERROR(IF(INDEX(pr_rate,MATCH(B3369,pr_code,0))="","",INDEX(pr_rate,MATCH(B3369,pr_code,0))),""))))</f>
        <v/>
      </c>
      <c r="L3369" s="65" t="str">
        <f>IF(COUNTA(A3369:G3369)=0,"",IF(AND(ISNUMBER(D3369),ISNUMBER(J3369)),ROUND(D3369*J3369*(1-N(F3369)),2),0))</f>
        <v/>
      </c>
      <c r="M3369" s="62" t="str">
        <f>IF(A3369="","",IFERROR(INDEX(fa_cname,MATCH(A3369,fa_num,0))&amp;"",""))</f>
        <v/>
      </c>
      <c r="N3369" s="59" t="str">
        <f>IF(COUNTA(A3369:G3369)=0,"",IF(A3369="","N° facture manquant",IF(ISNA(MATCH(A3369,fa_num,0)),"Facture inconnue",IF(AND(B3369&lt;&gt;"",ISNA(MATCH(B3369,pr_code,0))),"Article inconnu",IF(H3369="","Désignation manquante",IF(OR(NOT(ISNUMBER(D3369)),N(D3369)&lt;=0),"Quantité invalide",IF(J3369="","Prix manquant",IF(OR(NOT(ISNUMBER(J3369)),N(J3369)&lt;0),"Prix invalide",IF(OR(AND(F3369&lt;&gt;"",NOT(ISNUMBER(F3369))),N(F3369)&lt;0,N(F3369)&gt;1),"Remise invalide",IF(K3369="","Taux de TVA manquant",IF(NOT(ISNUMBER(K3369)),"Taux de TVA invalide",IF(COUNTIF(p_rates,K3369)=0,"Taux de TVA hors liste (Paramètres)",IF(N(O3369)&gt;25,"Au-delà de 25 lignes : non imprimée","OK")))))))))))))</f>
        <v/>
      </c>
      <c r="O3369" s="59" t="str">
        <f>IF(A3369="","",COUNTIF($A$6:A3369,A3369))</f>
        <v/>
      </c>
      <c r="P3369" s="62" t="str">
        <f>IF(A3369="","",A3369&amp;"|"&amp;O3369)</f>
        <v/>
      </c>
    </row>
    <row r="3370">
      <c r="A3370" s="60" t="n"/>
      <c r="B3370" s="63" t="n"/>
      <c r="C3370" s="63" t="n"/>
      <c r="D3370" s="67" t="n"/>
      <c r="E3370" s="68" t="n"/>
      <c r="F3370" s="69" t="n"/>
      <c r="G3370" s="70" t="n"/>
      <c r="H3370" s="62" t="str">
        <f>IF(COUNTA(A3370:G3370)=0,"",IF(C3370&lt;&gt;"",C3370,IF(B3370="","",IFERROR(INDEX(pr_des,MATCH(B3370,pr_code,0))&amp;"",""))))</f>
        <v/>
      </c>
      <c r="I3370" s="59" t="str">
        <f>IF(B3370="","",IFERROR(INDEX(pr_unit,MATCH(B3370,pr_code,0))&amp;"",""))</f>
        <v/>
      </c>
      <c r="J3370" s="65" t="str">
        <f>IF(COUNTA(A3370:G3370)=0,"",IF(E3370&lt;&gt;"",E3370,IF(B3370="","",IFERROR(IF(INDEX(pr_price,MATCH(B3370,pr_code,0))="","",INDEX(pr_price,MATCH(B3370,pr_code,0))),""))))</f>
        <v/>
      </c>
      <c r="K3370" s="71" t="str">
        <f>IF(COUNTA(A3370:G3370)=0,"",IF(G3370&lt;&gt;"",G3370,IF(B3370="","",IFERROR(IF(INDEX(pr_rate,MATCH(B3370,pr_code,0))="","",INDEX(pr_rate,MATCH(B3370,pr_code,0))),""))))</f>
        <v/>
      </c>
      <c r="L3370" s="65" t="str">
        <f>IF(COUNTA(A3370:G3370)=0,"",IF(AND(ISNUMBER(D3370),ISNUMBER(J3370)),ROUND(D3370*J3370*(1-N(F3370)),2),0))</f>
        <v/>
      </c>
      <c r="M3370" s="62" t="str">
        <f>IF(A3370="","",IFERROR(INDEX(fa_cname,MATCH(A3370,fa_num,0))&amp;"",""))</f>
        <v/>
      </c>
      <c r="N3370" s="59" t="str">
        <f>IF(COUNTA(A3370:G3370)=0,"",IF(A3370="","N° facture manquant",IF(ISNA(MATCH(A3370,fa_num,0)),"Facture inconnue",IF(AND(B3370&lt;&gt;"",ISNA(MATCH(B3370,pr_code,0))),"Article inconnu",IF(H3370="","Désignation manquante",IF(OR(NOT(ISNUMBER(D3370)),N(D3370)&lt;=0),"Quantité invalide",IF(J3370="","Prix manquant",IF(OR(NOT(ISNUMBER(J3370)),N(J3370)&lt;0),"Prix invalide",IF(OR(AND(F3370&lt;&gt;"",NOT(ISNUMBER(F3370))),N(F3370)&lt;0,N(F3370)&gt;1),"Remise invalide",IF(K3370="","Taux de TVA manquant",IF(NOT(ISNUMBER(K3370)),"Taux de TVA invalide",IF(COUNTIF(p_rates,K3370)=0,"Taux de TVA hors liste (Paramètres)",IF(N(O3370)&gt;25,"Au-delà de 25 lignes : non imprimée","OK")))))))))))))</f>
        <v/>
      </c>
      <c r="O3370" s="59" t="str">
        <f>IF(A3370="","",COUNTIF($A$6:A3370,A3370))</f>
        <v/>
      </c>
      <c r="P3370" s="62" t="str">
        <f>IF(A3370="","",A3370&amp;"|"&amp;O3370)</f>
        <v/>
      </c>
    </row>
    <row r="3371">
      <c r="A3371" s="60" t="n"/>
      <c r="B3371" s="63" t="n"/>
      <c r="C3371" s="63" t="n"/>
      <c r="D3371" s="67" t="n"/>
      <c r="E3371" s="68" t="n"/>
      <c r="F3371" s="69" t="n"/>
      <c r="G3371" s="70" t="n"/>
      <c r="H3371" s="62" t="str">
        <f>IF(COUNTA(A3371:G3371)=0,"",IF(C3371&lt;&gt;"",C3371,IF(B3371="","",IFERROR(INDEX(pr_des,MATCH(B3371,pr_code,0))&amp;"",""))))</f>
        <v/>
      </c>
      <c r="I3371" s="59" t="str">
        <f>IF(B3371="","",IFERROR(INDEX(pr_unit,MATCH(B3371,pr_code,0))&amp;"",""))</f>
        <v/>
      </c>
      <c r="J3371" s="65" t="str">
        <f>IF(COUNTA(A3371:G3371)=0,"",IF(E3371&lt;&gt;"",E3371,IF(B3371="","",IFERROR(IF(INDEX(pr_price,MATCH(B3371,pr_code,0))="","",INDEX(pr_price,MATCH(B3371,pr_code,0))),""))))</f>
        <v/>
      </c>
      <c r="K3371" s="71" t="str">
        <f>IF(COUNTA(A3371:G3371)=0,"",IF(G3371&lt;&gt;"",G3371,IF(B3371="","",IFERROR(IF(INDEX(pr_rate,MATCH(B3371,pr_code,0))="","",INDEX(pr_rate,MATCH(B3371,pr_code,0))),""))))</f>
        <v/>
      </c>
      <c r="L3371" s="65" t="str">
        <f>IF(COUNTA(A3371:G3371)=0,"",IF(AND(ISNUMBER(D3371),ISNUMBER(J3371)),ROUND(D3371*J3371*(1-N(F3371)),2),0))</f>
        <v/>
      </c>
      <c r="M3371" s="62" t="str">
        <f>IF(A3371="","",IFERROR(INDEX(fa_cname,MATCH(A3371,fa_num,0))&amp;"",""))</f>
        <v/>
      </c>
      <c r="N3371" s="59" t="str">
        <f>IF(COUNTA(A3371:G3371)=0,"",IF(A3371="","N° facture manquant",IF(ISNA(MATCH(A3371,fa_num,0)),"Facture inconnue",IF(AND(B3371&lt;&gt;"",ISNA(MATCH(B3371,pr_code,0))),"Article inconnu",IF(H3371="","Désignation manquante",IF(OR(NOT(ISNUMBER(D3371)),N(D3371)&lt;=0),"Quantité invalide",IF(J3371="","Prix manquant",IF(OR(NOT(ISNUMBER(J3371)),N(J3371)&lt;0),"Prix invalide",IF(OR(AND(F3371&lt;&gt;"",NOT(ISNUMBER(F3371))),N(F3371)&lt;0,N(F3371)&gt;1),"Remise invalide",IF(K3371="","Taux de TVA manquant",IF(NOT(ISNUMBER(K3371)),"Taux de TVA invalide",IF(COUNTIF(p_rates,K3371)=0,"Taux de TVA hors liste (Paramètres)",IF(N(O3371)&gt;25,"Au-delà de 25 lignes : non imprimée","OK")))))))))))))</f>
        <v/>
      </c>
      <c r="O3371" s="59" t="str">
        <f>IF(A3371="","",COUNTIF($A$6:A3371,A3371))</f>
        <v/>
      </c>
      <c r="P3371" s="62" t="str">
        <f>IF(A3371="","",A3371&amp;"|"&amp;O3371)</f>
        <v/>
      </c>
    </row>
    <row r="3372">
      <c r="A3372" s="60" t="n"/>
      <c r="B3372" s="63" t="n"/>
      <c r="C3372" s="63" t="n"/>
      <c r="D3372" s="67" t="n"/>
      <c r="E3372" s="68" t="n"/>
      <c r="F3372" s="69" t="n"/>
      <c r="G3372" s="70" t="n"/>
      <c r="H3372" s="62" t="str">
        <f>IF(COUNTA(A3372:G3372)=0,"",IF(C3372&lt;&gt;"",C3372,IF(B3372="","",IFERROR(INDEX(pr_des,MATCH(B3372,pr_code,0))&amp;"",""))))</f>
        <v/>
      </c>
      <c r="I3372" s="59" t="str">
        <f>IF(B3372="","",IFERROR(INDEX(pr_unit,MATCH(B3372,pr_code,0))&amp;"",""))</f>
        <v/>
      </c>
      <c r="J3372" s="65" t="str">
        <f>IF(COUNTA(A3372:G3372)=0,"",IF(E3372&lt;&gt;"",E3372,IF(B3372="","",IFERROR(IF(INDEX(pr_price,MATCH(B3372,pr_code,0))="","",INDEX(pr_price,MATCH(B3372,pr_code,0))),""))))</f>
        <v/>
      </c>
      <c r="K3372" s="71" t="str">
        <f>IF(COUNTA(A3372:G3372)=0,"",IF(G3372&lt;&gt;"",G3372,IF(B3372="","",IFERROR(IF(INDEX(pr_rate,MATCH(B3372,pr_code,0))="","",INDEX(pr_rate,MATCH(B3372,pr_code,0))),""))))</f>
        <v/>
      </c>
      <c r="L3372" s="65" t="str">
        <f>IF(COUNTA(A3372:G3372)=0,"",IF(AND(ISNUMBER(D3372),ISNUMBER(J3372)),ROUND(D3372*J3372*(1-N(F3372)),2),0))</f>
        <v/>
      </c>
      <c r="M3372" s="62" t="str">
        <f>IF(A3372="","",IFERROR(INDEX(fa_cname,MATCH(A3372,fa_num,0))&amp;"",""))</f>
        <v/>
      </c>
      <c r="N3372" s="59" t="str">
        <f>IF(COUNTA(A3372:G3372)=0,"",IF(A3372="","N° facture manquant",IF(ISNA(MATCH(A3372,fa_num,0)),"Facture inconnue",IF(AND(B3372&lt;&gt;"",ISNA(MATCH(B3372,pr_code,0))),"Article inconnu",IF(H3372="","Désignation manquante",IF(OR(NOT(ISNUMBER(D3372)),N(D3372)&lt;=0),"Quantité invalide",IF(J3372="","Prix manquant",IF(OR(NOT(ISNUMBER(J3372)),N(J3372)&lt;0),"Prix invalide",IF(OR(AND(F3372&lt;&gt;"",NOT(ISNUMBER(F3372))),N(F3372)&lt;0,N(F3372)&gt;1),"Remise invalide",IF(K3372="","Taux de TVA manquant",IF(NOT(ISNUMBER(K3372)),"Taux de TVA invalide",IF(COUNTIF(p_rates,K3372)=0,"Taux de TVA hors liste (Paramètres)",IF(N(O3372)&gt;25,"Au-delà de 25 lignes : non imprimée","OK")))))))))))))</f>
        <v/>
      </c>
      <c r="O3372" s="59" t="str">
        <f>IF(A3372="","",COUNTIF($A$6:A3372,A3372))</f>
        <v/>
      </c>
      <c r="P3372" s="62" t="str">
        <f>IF(A3372="","",A3372&amp;"|"&amp;O3372)</f>
        <v/>
      </c>
    </row>
    <row r="3373">
      <c r="A3373" s="60" t="n"/>
      <c r="B3373" s="63" t="n"/>
      <c r="C3373" s="63" t="n"/>
      <c r="D3373" s="67" t="n"/>
      <c r="E3373" s="68" t="n"/>
      <c r="F3373" s="69" t="n"/>
      <c r="G3373" s="70" t="n"/>
      <c r="H3373" s="62" t="str">
        <f>IF(COUNTA(A3373:G3373)=0,"",IF(C3373&lt;&gt;"",C3373,IF(B3373="","",IFERROR(INDEX(pr_des,MATCH(B3373,pr_code,0))&amp;"",""))))</f>
        <v/>
      </c>
      <c r="I3373" s="59" t="str">
        <f>IF(B3373="","",IFERROR(INDEX(pr_unit,MATCH(B3373,pr_code,0))&amp;"",""))</f>
        <v/>
      </c>
      <c r="J3373" s="65" t="str">
        <f>IF(COUNTA(A3373:G3373)=0,"",IF(E3373&lt;&gt;"",E3373,IF(B3373="","",IFERROR(IF(INDEX(pr_price,MATCH(B3373,pr_code,0))="","",INDEX(pr_price,MATCH(B3373,pr_code,0))),""))))</f>
        <v/>
      </c>
      <c r="K3373" s="71" t="str">
        <f>IF(COUNTA(A3373:G3373)=0,"",IF(G3373&lt;&gt;"",G3373,IF(B3373="","",IFERROR(IF(INDEX(pr_rate,MATCH(B3373,pr_code,0))="","",INDEX(pr_rate,MATCH(B3373,pr_code,0))),""))))</f>
        <v/>
      </c>
      <c r="L3373" s="65" t="str">
        <f>IF(COUNTA(A3373:G3373)=0,"",IF(AND(ISNUMBER(D3373),ISNUMBER(J3373)),ROUND(D3373*J3373*(1-N(F3373)),2),0))</f>
        <v/>
      </c>
      <c r="M3373" s="62" t="str">
        <f>IF(A3373="","",IFERROR(INDEX(fa_cname,MATCH(A3373,fa_num,0))&amp;"",""))</f>
        <v/>
      </c>
      <c r="N3373" s="59" t="str">
        <f>IF(COUNTA(A3373:G3373)=0,"",IF(A3373="","N° facture manquant",IF(ISNA(MATCH(A3373,fa_num,0)),"Facture inconnue",IF(AND(B3373&lt;&gt;"",ISNA(MATCH(B3373,pr_code,0))),"Article inconnu",IF(H3373="","Désignation manquante",IF(OR(NOT(ISNUMBER(D3373)),N(D3373)&lt;=0),"Quantité invalide",IF(J3373="","Prix manquant",IF(OR(NOT(ISNUMBER(J3373)),N(J3373)&lt;0),"Prix invalide",IF(OR(AND(F3373&lt;&gt;"",NOT(ISNUMBER(F3373))),N(F3373)&lt;0,N(F3373)&gt;1),"Remise invalide",IF(K3373="","Taux de TVA manquant",IF(NOT(ISNUMBER(K3373)),"Taux de TVA invalide",IF(COUNTIF(p_rates,K3373)=0,"Taux de TVA hors liste (Paramètres)",IF(N(O3373)&gt;25,"Au-delà de 25 lignes : non imprimée","OK")))))))))))))</f>
        <v/>
      </c>
      <c r="O3373" s="59" t="str">
        <f>IF(A3373="","",COUNTIF($A$6:A3373,A3373))</f>
        <v/>
      </c>
      <c r="P3373" s="62" t="str">
        <f>IF(A3373="","",A3373&amp;"|"&amp;O3373)</f>
        <v/>
      </c>
    </row>
    <row r="3374">
      <c r="A3374" s="60" t="n"/>
      <c r="B3374" s="63" t="n"/>
      <c r="C3374" s="63" t="n"/>
      <c r="D3374" s="67" t="n"/>
      <c r="E3374" s="68" t="n"/>
      <c r="F3374" s="69" t="n"/>
      <c r="G3374" s="70" t="n"/>
      <c r="H3374" s="62" t="str">
        <f>IF(COUNTA(A3374:G3374)=0,"",IF(C3374&lt;&gt;"",C3374,IF(B3374="","",IFERROR(INDEX(pr_des,MATCH(B3374,pr_code,0))&amp;"",""))))</f>
        <v/>
      </c>
      <c r="I3374" s="59" t="str">
        <f>IF(B3374="","",IFERROR(INDEX(pr_unit,MATCH(B3374,pr_code,0))&amp;"",""))</f>
        <v/>
      </c>
      <c r="J3374" s="65" t="str">
        <f>IF(COUNTA(A3374:G3374)=0,"",IF(E3374&lt;&gt;"",E3374,IF(B3374="","",IFERROR(IF(INDEX(pr_price,MATCH(B3374,pr_code,0))="","",INDEX(pr_price,MATCH(B3374,pr_code,0))),""))))</f>
        <v/>
      </c>
      <c r="K3374" s="71" t="str">
        <f>IF(COUNTA(A3374:G3374)=0,"",IF(G3374&lt;&gt;"",G3374,IF(B3374="","",IFERROR(IF(INDEX(pr_rate,MATCH(B3374,pr_code,0))="","",INDEX(pr_rate,MATCH(B3374,pr_code,0))),""))))</f>
        <v/>
      </c>
      <c r="L3374" s="65" t="str">
        <f>IF(COUNTA(A3374:G3374)=0,"",IF(AND(ISNUMBER(D3374),ISNUMBER(J3374)),ROUND(D3374*J3374*(1-N(F3374)),2),0))</f>
        <v/>
      </c>
      <c r="M3374" s="62" t="str">
        <f>IF(A3374="","",IFERROR(INDEX(fa_cname,MATCH(A3374,fa_num,0))&amp;"",""))</f>
        <v/>
      </c>
      <c r="N3374" s="59" t="str">
        <f>IF(COUNTA(A3374:G3374)=0,"",IF(A3374="","N° facture manquant",IF(ISNA(MATCH(A3374,fa_num,0)),"Facture inconnue",IF(AND(B3374&lt;&gt;"",ISNA(MATCH(B3374,pr_code,0))),"Article inconnu",IF(H3374="","Désignation manquante",IF(OR(NOT(ISNUMBER(D3374)),N(D3374)&lt;=0),"Quantité invalide",IF(J3374="","Prix manquant",IF(OR(NOT(ISNUMBER(J3374)),N(J3374)&lt;0),"Prix invalide",IF(OR(AND(F3374&lt;&gt;"",NOT(ISNUMBER(F3374))),N(F3374)&lt;0,N(F3374)&gt;1),"Remise invalide",IF(K3374="","Taux de TVA manquant",IF(NOT(ISNUMBER(K3374)),"Taux de TVA invalide",IF(COUNTIF(p_rates,K3374)=0,"Taux de TVA hors liste (Paramètres)",IF(N(O3374)&gt;25,"Au-delà de 25 lignes : non imprimée","OK")))))))))))))</f>
        <v/>
      </c>
      <c r="O3374" s="59" t="str">
        <f>IF(A3374="","",COUNTIF($A$6:A3374,A3374))</f>
        <v/>
      </c>
      <c r="P3374" s="62" t="str">
        <f>IF(A3374="","",A3374&amp;"|"&amp;O3374)</f>
        <v/>
      </c>
    </row>
    <row r="3375">
      <c r="A3375" s="60" t="n"/>
      <c r="B3375" s="63" t="n"/>
      <c r="C3375" s="63" t="n"/>
      <c r="D3375" s="67" t="n"/>
      <c r="E3375" s="68" t="n"/>
      <c r="F3375" s="69" t="n"/>
      <c r="G3375" s="70" t="n"/>
      <c r="H3375" s="62" t="str">
        <f>IF(COUNTA(A3375:G3375)=0,"",IF(C3375&lt;&gt;"",C3375,IF(B3375="","",IFERROR(INDEX(pr_des,MATCH(B3375,pr_code,0))&amp;"",""))))</f>
        <v/>
      </c>
      <c r="I3375" s="59" t="str">
        <f>IF(B3375="","",IFERROR(INDEX(pr_unit,MATCH(B3375,pr_code,0))&amp;"",""))</f>
        <v/>
      </c>
      <c r="J3375" s="65" t="str">
        <f>IF(COUNTA(A3375:G3375)=0,"",IF(E3375&lt;&gt;"",E3375,IF(B3375="","",IFERROR(IF(INDEX(pr_price,MATCH(B3375,pr_code,0))="","",INDEX(pr_price,MATCH(B3375,pr_code,0))),""))))</f>
        <v/>
      </c>
      <c r="K3375" s="71" t="str">
        <f>IF(COUNTA(A3375:G3375)=0,"",IF(G3375&lt;&gt;"",G3375,IF(B3375="","",IFERROR(IF(INDEX(pr_rate,MATCH(B3375,pr_code,0))="","",INDEX(pr_rate,MATCH(B3375,pr_code,0))),""))))</f>
        <v/>
      </c>
      <c r="L3375" s="65" t="str">
        <f>IF(COUNTA(A3375:G3375)=0,"",IF(AND(ISNUMBER(D3375),ISNUMBER(J3375)),ROUND(D3375*J3375*(1-N(F3375)),2),0))</f>
        <v/>
      </c>
      <c r="M3375" s="62" t="str">
        <f>IF(A3375="","",IFERROR(INDEX(fa_cname,MATCH(A3375,fa_num,0))&amp;"",""))</f>
        <v/>
      </c>
      <c r="N3375" s="59" t="str">
        <f>IF(COUNTA(A3375:G3375)=0,"",IF(A3375="","N° facture manquant",IF(ISNA(MATCH(A3375,fa_num,0)),"Facture inconnue",IF(AND(B3375&lt;&gt;"",ISNA(MATCH(B3375,pr_code,0))),"Article inconnu",IF(H3375="","Désignation manquante",IF(OR(NOT(ISNUMBER(D3375)),N(D3375)&lt;=0),"Quantité invalide",IF(J3375="","Prix manquant",IF(OR(NOT(ISNUMBER(J3375)),N(J3375)&lt;0),"Prix invalide",IF(OR(AND(F3375&lt;&gt;"",NOT(ISNUMBER(F3375))),N(F3375)&lt;0,N(F3375)&gt;1),"Remise invalide",IF(K3375="","Taux de TVA manquant",IF(NOT(ISNUMBER(K3375)),"Taux de TVA invalide",IF(COUNTIF(p_rates,K3375)=0,"Taux de TVA hors liste (Paramètres)",IF(N(O3375)&gt;25,"Au-delà de 25 lignes : non imprimée","OK")))))))))))))</f>
        <v/>
      </c>
      <c r="O3375" s="59" t="str">
        <f>IF(A3375="","",COUNTIF($A$6:A3375,A3375))</f>
        <v/>
      </c>
      <c r="P3375" s="62" t="str">
        <f>IF(A3375="","",A3375&amp;"|"&amp;O3375)</f>
        <v/>
      </c>
    </row>
    <row r="3376">
      <c r="A3376" s="60" t="n"/>
      <c r="B3376" s="63" t="n"/>
      <c r="C3376" s="63" t="n"/>
      <c r="D3376" s="67" t="n"/>
      <c r="E3376" s="68" t="n"/>
      <c r="F3376" s="69" t="n"/>
      <c r="G3376" s="70" t="n"/>
      <c r="H3376" s="62" t="str">
        <f>IF(COUNTA(A3376:G3376)=0,"",IF(C3376&lt;&gt;"",C3376,IF(B3376="","",IFERROR(INDEX(pr_des,MATCH(B3376,pr_code,0))&amp;"",""))))</f>
        <v/>
      </c>
      <c r="I3376" s="59" t="str">
        <f>IF(B3376="","",IFERROR(INDEX(pr_unit,MATCH(B3376,pr_code,0))&amp;"",""))</f>
        <v/>
      </c>
      <c r="J3376" s="65" t="str">
        <f>IF(COUNTA(A3376:G3376)=0,"",IF(E3376&lt;&gt;"",E3376,IF(B3376="","",IFERROR(IF(INDEX(pr_price,MATCH(B3376,pr_code,0))="","",INDEX(pr_price,MATCH(B3376,pr_code,0))),""))))</f>
        <v/>
      </c>
      <c r="K3376" s="71" t="str">
        <f>IF(COUNTA(A3376:G3376)=0,"",IF(G3376&lt;&gt;"",G3376,IF(B3376="","",IFERROR(IF(INDEX(pr_rate,MATCH(B3376,pr_code,0))="","",INDEX(pr_rate,MATCH(B3376,pr_code,0))),""))))</f>
        <v/>
      </c>
      <c r="L3376" s="65" t="str">
        <f>IF(COUNTA(A3376:G3376)=0,"",IF(AND(ISNUMBER(D3376),ISNUMBER(J3376)),ROUND(D3376*J3376*(1-N(F3376)),2),0))</f>
        <v/>
      </c>
      <c r="M3376" s="62" t="str">
        <f>IF(A3376="","",IFERROR(INDEX(fa_cname,MATCH(A3376,fa_num,0))&amp;"",""))</f>
        <v/>
      </c>
      <c r="N3376" s="59" t="str">
        <f>IF(COUNTA(A3376:G3376)=0,"",IF(A3376="","N° facture manquant",IF(ISNA(MATCH(A3376,fa_num,0)),"Facture inconnue",IF(AND(B3376&lt;&gt;"",ISNA(MATCH(B3376,pr_code,0))),"Article inconnu",IF(H3376="","Désignation manquante",IF(OR(NOT(ISNUMBER(D3376)),N(D3376)&lt;=0),"Quantité invalide",IF(J3376="","Prix manquant",IF(OR(NOT(ISNUMBER(J3376)),N(J3376)&lt;0),"Prix invalide",IF(OR(AND(F3376&lt;&gt;"",NOT(ISNUMBER(F3376))),N(F3376)&lt;0,N(F3376)&gt;1),"Remise invalide",IF(K3376="","Taux de TVA manquant",IF(NOT(ISNUMBER(K3376)),"Taux de TVA invalide",IF(COUNTIF(p_rates,K3376)=0,"Taux de TVA hors liste (Paramètres)",IF(N(O3376)&gt;25,"Au-delà de 25 lignes : non imprimée","OK")))))))))))))</f>
        <v/>
      </c>
      <c r="O3376" s="59" t="str">
        <f>IF(A3376="","",COUNTIF($A$6:A3376,A3376))</f>
        <v/>
      </c>
      <c r="P3376" s="62" t="str">
        <f>IF(A3376="","",A3376&amp;"|"&amp;O3376)</f>
        <v/>
      </c>
    </row>
    <row r="3377">
      <c r="A3377" s="60" t="n"/>
      <c r="B3377" s="63" t="n"/>
      <c r="C3377" s="63" t="n"/>
      <c r="D3377" s="67" t="n"/>
      <c r="E3377" s="68" t="n"/>
      <c r="F3377" s="69" t="n"/>
      <c r="G3377" s="70" t="n"/>
      <c r="H3377" s="62" t="str">
        <f>IF(COUNTA(A3377:G3377)=0,"",IF(C3377&lt;&gt;"",C3377,IF(B3377="","",IFERROR(INDEX(pr_des,MATCH(B3377,pr_code,0))&amp;"",""))))</f>
        <v/>
      </c>
      <c r="I3377" s="59" t="str">
        <f>IF(B3377="","",IFERROR(INDEX(pr_unit,MATCH(B3377,pr_code,0))&amp;"",""))</f>
        <v/>
      </c>
      <c r="J3377" s="65" t="str">
        <f>IF(COUNTA(A3377:G3377)=0,"",IF(E3377&lt;&gt;"",E3377,IF(B3377="","",IFERROR(IF(INDEX(pr_price,MATCH(B3377,pr_code,0))="","",INDEX(pr_price,MATCH(B3377,pr_code,0))),""))))</f>
        <v/>
      </c>
      <c r="K3377" s="71" t="str">
        <f>IF(COUNTA(A3377:G3377)=0,"",IF(G3377&lt;&gt;"",G3377,IF(B3377="","",IFERROR(IF(INDEX(pr_rate,MATCH(B3377,pr_code,0))="","",INDEX(pr_rate,MATCH(B3377,pr_code,0))),""))))</f>
        <v/>
      </c>
      <c r="L3377" s="65" t="str">
        <f>IF(COUNTA(A3377:G3377)=0,"",IF(AND(ISNUMBER(D3377),ISNUMBER(J3377)),ROUND(D3377*J3377*(1-N(F3377)),2),0))</f>
        <v/>
      </c>
      <c r="M3377" s="62" t="str">
        <f>IF(A3377="","",IFERROR(INDEX(fa_cname,MATCH(A3377,fa_num,0))&amp;"",""))</f>
        <v/>
      </c>
      <c r="N3377" s="59" t="str">
        <f>IF(COUNTA(A3377:G3377)=0,"",IF(A3377="","N° facture manquant",IF(ISNA(MATCH(A3377,fa_num,0)),"Facture inconnue",IF(AND(B3377&lt;&gt;"",ISNA(MATCH(B3377,pr_code,0))),"Article inconnu",IF(H3377="","Désignation manquante",IF(OR(NOT(ISNUMBER(D3377)),N(D3377)&lt;=0),"Quantité invalide",IF(J3377="","Prix manquant",IF(OR(NOT(ISNUMBER(J3377)),N(J3377)&lt;0),"Prix invalide",IF(OR(AND(F3377&lt;&gt;"",NOT(ISNUMBER(F3377))),N(F3377)&lt;0,N(F3377)&gt;1),"Remise invalide",IF(K3377="","Taux de TVA manquant",IF(NOT(ISNUMBER(K3377)),"Taux de TVA invalide",IF(COUNTIF(p_rates,K3377)=0,"Taux de TVA hors liste (Paramètres)",IF(N(O3377)&gt;25,"Au-delà de 25 lignes : non imprimée","OK")))))))))))))</f>
        <v/>
      </c>
      <c r="O3377" s="59" t="str">
        <f>IF(A3377="","",COUNTIF($A$6:A3377,A3377))</f>
        <v/>
      </c>
      <c r="P3377" s="62" t="str">
        <f>IF(A3377="","",A3377&amp;"|"&amp;O3377)</f>
        <v/>
      </c>
    </row>
    <row r="3378">
      <c r="A3378" s="60" t="n"/>
      <c r="B3378" s="63" t="n"/>
      <c r="C3378" s="63" t="n"/>
      <c r="D3378" s="67" t="n"/>
      <c r="E3378" s="68" t="n"/>
      <c r="F3378" s="69" t="n"/>
      <c r="G3378" s="70" t="n"/>
      <c r="H3378" s="62" t="str">
        <f>IF(COUNTA(A3378:G3378)=0,"",IF(C3378&lt;&gt;"",C3378,IF(B3378="","",IFERROR(INDEX(pr_des,MATCH(B3378,pr_code,0))&amp;"",""))))</f>
        <v/>
      </c>
      <c r="I3378" s="59" t="str">
        <f>IF(B3378="","",IFERROR(INDEX(pr_unit,MATCH(B3378,pr_code,0))&amp;"",""))</f>
        <v/>
      </c>
      <c r="J3378" s="65" t="str">
        <f>IF(COUNTA(A3378:G3378)=0,"",IF(E3378&lt;&gt;"",E3378,IF(B3378="","",IFERROR(IF(INDEX(pr_price,MATCH(B3378,pr_code,0))="","",INDEX(pr_price,MATCH(B3378,pr_code,0))),""))))</f>
        <v/>
      </c>
      <c r="K3378" s="71" t="str">
        <f>IF(COUNTA(A3378:G3378)=0,"",IF(G3378&lt;&gt;"",G3378,IF(B3378="","",IFERROR(IF(INDEX(pr_rate,MATCH(B3378,pr_code,0))="","",INDEX(pr_rate,MATCH(B3378,pr_code,0))),""))))</f>
        <v/>
      </c>
      <c r="L3378" s="65" t="str">
        <f>IF(COUNTA(A3378:G3378)=0,"",IF(AND(ISNUMBER(D3378),ISNUMBER(J3378)),ROUND(D3378*J3378*(1-N(F3378)),2),0))</f>
        <v/>
      </c>
      <c r="M3378" s="62" t="str">
        <f>IF(A3378="","",IFERROR(INDEX(fa_cname,MATCH(A3378,fa_num,0))&amp;"",""))</f>
        <v/>
      </c>
      <c r="N3378" s="59" t="str">
        <f>IF(COUNTA(A3378:G3378)=0,"",IF(A3378="","N° facture manquant",IF(ISNA(MATCH(A3378,fa_num,0)),"Facture inconnue",IF(AND(B3378&lt;&gt;"",ISNA(MATCH(B3378,pr_code,0))),"Article inconnu",IF(H3378="","Désignation manquante",IF(OR(NOT(ISNUMBER(D3378)),N(D3378)&lt;=0),"Quantité invalide",IF(J3378="","Prix manquant",IF(OR(NOT(ISNUMBER(J3378)),N(J3378)&lt;0),"Prix invalide",IF(OR(AND(F3378&lt;&gt;"",NOT(ISNUMBER(F3378))),N(F3378)&lt;0,N(F3378)&gt;1),"Remise invalide",IF(K3378="","Taux de TVA manquant",IF(NOT(ISNUMBER(K3378)),"Taux de TVA invalide",IF(COUNTIF(p_rates,K3378)=0,"Taux de TVA hors liste (Paramètres)",IF(N(O3378)&gt;25,"Au-delà de 25 lignes : non imprimée","OK")))))))))))))</f>
        <v/>
      </c>
      <c r="O3378" s="59" t="str">
        <f>IF(A3378="","",COUNTIF($A$6:A3378,A3378))</f>
        <v/>
      </c>
      <c r="P3378" s="62" t="str">
        <f>IF(A3378="","",A3378&amp;"|"&amp;O3378)</f>
        <v/>
      </c>
    </row>
    <row r="3379">
      <c r="A3379" s="60" t="n"/>
      <c r="B3379" s="63" t="n"/>
      <c r="C3379" s="63" t="n"/>
      <c r="D3379" s="67" t="n"/>
      <c r="E3379" s="68" t="n"/>
      <c r="F3379" s="69" t="n"/>
      <c r="G3379" s="70" t="n"/>
      <c r="H3379" s="62" t="str">
        <f>IF(COUNTA(A3379:G3379)=0,"",IF(C3379&lt;&gt;"",C3379,IF(B3379="","",IFERROR(INDEX(pr_des,MATCH(B3379,pr_code,0))&amp;"",""))))</f>
        <v/>
      </c>
      <c r="I3379" s="59" t="str">
        <f>IF(B3379="","",IFERROR(INDEX(pr_unit,MATCH(B3379,pr_code,0))&amp;"",""))</f>
        <v/>
      </c>
      <c r="J3379" s="65" t="str">
        <f>IF(COUNTA(A3379:G3379)=0,"",IF(E3379&lt;&gt;"",E3379,IF(B3379="","",IFERROR(IF(INDEX(pr_price,MATCH(B3379,pr_code,0))="","",INDEX(pr_price,MATCH(B3379,pr_code,0))),""))))</f>
        <v/>
      </c>
      <c r="K3379" s="71" t="str">
        <f>IF(COUNTA(A3379:G3379)=0,"",IF(G3379&lt;&gt;"",G3379,IF(B3379="","",IFERROR(IF(INDEX(pr_rate,MATCH(B3379,pr_code,0))="","",INDEX(pr_rate,MATCH(B3379,pr_code,0))),""))))</f>
        <v/>
      </c>
      <c r="L3379" s="65" t="str">
        <f>IF(COUNTA(A3379:G3379)=0,"",IF(AND(ISNUMBER(D3379),ISNUMBER(J3379)),ROUND(D3379*J3379*(1-N(F3379)),2),0))</f>
        <v/>
      </c>
      <c r="M3379" s="62" t="str">
        <f>IF(A3379="","",IFERROR(INDEX(fa_cname,MATCH(A3379,fa_num,0))&amp;"",""))</f>
        <v/>
      </c>
      <c r="N3379" s="59" t="str">
        <f>IF(COUNTA(A3379:G3379)=0,"",IF(A3379="","N° facture manquant",IF(ISNA(MATCH(A3379,fa_num,0)),"Facture inconnue",IF(AND(B3379&lt;&gt;"",ISNA(MATCH(B3379,pr_code,0))),"Article inconnu",IF(H3379="","Désignation manquante",IF(OR(NOT(ISNUMBER(D3379)),N(D3379)&lt;=0),"Quantité invalide",IF(J3379="","Prix manquant",IF(OR(NOT(ISNUMBER(J3379)),N(J3379)&lt;0),"Prix invalide",IF(OR(AND(F3379&lt;&gt;"",NOT(ISNUMBER(F3379))),N(F3379)&lt;0,N(F3379)&gt;1),"Remise invalide",IF(K3379="","Taux de TVA manquant",IF(NOT(ISNUMBER(K3379)),"Taux de TVA invalide",IF(COUNTIF(p_rates,K3379)=0,"Taux de TVA hors liste (Paramètres)",IF(N(O3379)&gt;25,"Au-delà de 25 lignes : non imprimée","OK")))))))))))))</f>
        <v/>
      </c>
      <c r="O3379" s="59" t="str">
        <f>IF(A3379="","",COUNTIF($A$6:A3379,A3379))</f>
        <v/>
      </c>
      <c r="P3379" s="62" t="str">
        <f>IF(A3379="","",A3379&amp;"|"&amp;O3379)</f>
        <v/>
      </c>
    </row>
    <row r="3380">
      <c r="A3380" s="60" t="n"/>
      <c r="B3380" s="63" t="n"/>
      <c r="C3380" s="63" t="n"/>
      <c r="D3380" s="67" t="n"/>
      <c r="E3380" s="68" t="n"/>
      <c r="F3380" s="69" t="n"/>
      <c r="G3380" s="70" t="n"/>
      <c r="H3380" s="62" t="str">
        <f>IF(COUNTA(A3380:G3380)=0,"",IF(C3380&lt;&gt;"",C3380,IF(B3380="","",IFERROR(INDEX(pr_des,MATCH(B3380,pr_code,0))&amp;"",""))))</f>
        <v/>
      </c>
      <c r="I3380" s="59" t="str">
        <f>IF(B3380="","",IFERROR(INDEX(pr_unit,MATCH(B3380,pr_code,0))&amp;"",""))</f>
        <v/>
      </c>
      <c r="J3380" s="65" t="str">
        <f>IF(COUNTA(A3380:G3380)=0,"",IF(E3380&lt;&gt;"",E3380,IF(B3380="","",IFERROR(IF(INDEX(pr_price,MATCH(B3380,pr_code,0))="","",INDEX(pr_price,MATCH(B3380,pr_code,0))),""))))</f>
        <v/>
      </c>
      <c r="K3380" s="71" t="str">
        <f>IF(COUNTA(A3380:G3380)=0,"",IF(G3380&lt;&gt;"",G3380,IF(B3380="","",IFERROR(IF(INDEX(pr_rate,MATCH(B3380,pr_code,0))="","",INDEX(pr_rate,MATCH(B3380,pr_code,0))),""))))</f>
        <v/>
      </c>
      <c r="L3380" s="65" t="str">
        <f>IF(COUNTA(A3380:G3380)=0,"",IF(AND(ISNUMBER(D3380),ISNUMBER(J3380)),ROUND(D3380*J3380*(1-N(F3380)),2),0))</f>
        <v/>
      </c>
      <c r="M3380" s="62" t="str">
        <f>IF(A3380="","",IFERROR(INDEX(fa_cname,MATCH(A3380,fa_num,0))&amp;"",""))</f>
        <v/>
      </c>
      <c r="N3380" s="59" t="str">
        <f>IF(COUNTA(A3380:G3380)=0,"",IF(A3380="","N° facture manquant",IF(ISNA(MATCH(A3380,fa_num,0)),"Facture inconnue",IF(AND(B3380&lt;&gt;"",ISNA(MATCH(B3380,pr_code,0))),"Article inconnu",IF(H3380="","Désignation manquante",IF(OR(NOT(ISNUMBER(D3380)),N(D3380)&lt;=0),"Quantité invalide",IF(J3380="","Prix manquant",IF(OR(NOT(ISNUMBER(J3380)),N(J3380)&lt;0),"Prix invalide",IF(OR(AND(F3380&lt;&gt;"",NOT(ISNUMBER(F3380))),N(F3380)&lt;0,N(F3380)&gt;1),"Remise invalide",IF(K3380="","Taux de TVA manquant",IF(NOT(ISNUMBER(K3380)),"Taux de TVA invalide",IF(COUNTIF(p_rates,K3380)=0,"Taux de TVA hors liste (Paramètres)",IF(N(O3380)&gt;25,"Au-delà de 25 lignes : non imprimée","OK")))))))))))))</f>
        <v/>
      </c>
      <c r="O3380" s="59" t="str">
        <f>IF(A3380="","",COUNTIF($A$6:A3380,A3380))</f>
        <v/>
      </c>
      <c r="P3380" s="62" t="str">
        <f>IF(A3380="","",A3380&amp;"|"&amp;O3380)</f>
        <v/>
      </c>
    </row>
    <row r="3381">
      <c r="A3381" s="60" t="n"/>
      <c r="B3381" s="63" t="n"/>
      <c r="C3381" s="63" t="n"/>
      <c r="D3381" s="67" t="n"/>
      <c r="E3381" s="68" t="n"/>
      <c r="F3381" s="69" t="n"/>
      <c r="G3381" s="70" t="n"/>
      <c r="H3381" s="62" t="str">
        <f>IF(COUNTA(A3381:G3381)=0,"",IF(C3381&lt;&gt;"",C3381,IF(B3381="","",IFERROR(INDEX(pr_des,MATCH(B3381,pr_code,0))&amp;"",""))))</f>
        <v/>
      </c>
      <c r="I3381" s="59" t="str">
        <f>IF(B3381="","",IFERROR(INDEX(pr_unit,MATCH(B3381,pr_code,0))&amp;"",""))</f>
        <v/>
      </c>
      <c r="J3381" s="65" t="str">
        <f>IF(COUNTA(A3381:G3381)=0,"",IF(E3381&lt;&gt;"",E3381,IF(B3381="","",IFERROR(IF(INDEX(pr_price,MATCH(B3381,pr_code,0))="","",INDEX(pr_price,MATCH(B3381,pr_code,0))),""))))</f>
        <v/>
      </c>
      <c r="K3381" s="71" t="str">
        <f>IF(COUNTA(A3381:G3381)=0,"",IF(G3381&lt;&gt;"",G3381,IF(B3381="","",IFERROR(IF(INDEX(pr_rate,MATCH(B3381,pr_code,0))="","",INDEX(pr_rate,MATCH(B3381,pr_code,0))),""))))</f>
        <v/>
      </c>
      <c r="L3381" s="65" t="str">
        <f>IF(COUNTA(A3381:G3381)=0,"",IF(AND(ISNUMBER(D3381),ISNUMBER(J3381)),ROUND(D3381*J3381*(1-N(F3381)),2),0))</f>
        <v/>
      </c>
      <c r="M3381" s="62" t="str">
        <f>IF(A3381="","",IFERROR(INDEX(fa_cname,MATCH(A3381,fa_num,0))&amp;"",""))</f>
        <v/>
      </c>
      <c r="N3381" s="59" t="str">
        <f>IF(COUNTA(A3381:G3381)=0,"",IF(A3381="","N° facture manquant",IF(ISNA(MATCH(A3381,fa_num,0)),"Facture inconnue",IF(AND(B3381&lt;&gt;"",ISNA(MATCH(B3381,pr_code,0))),"Article inconnu",IF(H3381="","Désignation manquante",IF(OR(NOT(ISNUMBER(D3381)),N(D3381)&lt;=0),"Quantité invalide",IF(J3381="","Prix manquant",IF(OR(NOT(ISNUMBER(J3381)),N(J3381)&lt;0),"Prix invalide",IF(OR(AND(F3381&lt;&gt;"",NOT(ISNUMBER(F3381))),N(F3381)&lt;0,N(F3381)&gt;1),"Remise invalide",IF(K3381="","Taux de TVA manquant",IF(NOT(ISNUMBER(K3381)),"Taux de TVA invalide",IF(COUNTIF(p_rates,K3381)=0,"Taux de TVA hors liste (Paramètres)",IF(N(O3381)&gt;25,"Au-delà de 25 lignes : non imprimée","OK")))))))))))))</f>
        <v/>
      </c>
      <c r="O3381" s="59" t="str">
        <f>IF(A3381="","",COUNTIF($A$6:A3381,A3381))</f>
        <v/>
      </c>
      <c r="P3381" s="62" t="str">
        <f>IF(A3381="","",A3381&amp;"|"&amp;O3381)</f>
        <v/>
      </c>
    </row>
    <row r="3382">
      <c r="A3382" s="60" t="n"/>
      <c r="B3382" s="63" t="n"/>
      <c r="C3382" s="63" t="n"/>
      <c r="D3382" s="67" t="n"/>
      <c r="E3382" s="68" t="n"/>
      <c r="F3382" s="69" t="n"/>
      <c r="G3382" s="70" t="n"/>
      <c r="H3382" s="62" t="str">
        <f>IF(COUNTA(A3382:G3382)=0,"",IF(C3382&lt;&gt;"",C3382,IF(B3382="","",IFERROR(INDEX(pr_des,MATCH(B3382,pr_code,0))&amp;"",""))))</f>
        <v/>
      </c>
      <c r="I3382" s="59" t="str">
        <f>IF(B3382="","",IFERROR(INDEX(pr_unit,MATCH(B3382,pr_code,0))&amp;"",""))</f>
        <v/>
      </c>
      <c r="J3382" s="65" t="str">
        <f>IF(COUNTA(A3382:G3382)=0,"",IF(E3382&lt;&gt;"",E3382,IF(B3382="","",IFERROR(IF(INDEX(pr_price,MATCH(B3382,pr_code,0))="","",INDEX(pr_price,MATCH(B3382,pr_code,0))),""))))</f>
        <v/>
      </c>
      <c r="K3382" s="71" t="str">
        <f>IF(COUNTA(A3382:G3382)=0,"",IF(G3382&lt;&gt;"",G3382,IF(B3382="","",IFERROR(IF(INDEX(pr_rate,MATCH(B3382,pr_code,0))="","",INDEX(pr_rate,MATCH(B3382,pr_code,0))),""))))</f>
        <v/>
      </c>
      <c r="L3382" s="65" t="str">
        <f>IF(COUNTA(A3382:G3382)=0,"",IF(AND(ISNUMBER(D3382),ISNUMBER(J3382)),ROUND(D3382*J3382*(1-N(F3382)),2),0))</f>
        <v/>
      </c>
      <c r="M3382" s="62" t="str">
        <f>IF(A3382="","",IFERROR(INDEX(fa_cname,MATCH(A3382,fa_num,0))&amp;"",""))</f>
        <v/>
      </c>
      <c r="N3382" s="59" t="str">
        <f>IF(COUNTA(A3382:G3382)=0,"",IF(A3382="","N° facture manquant",IF(ISNA(MATCH(A3382,fa_num,0)),"Facture inconnue",IF(AND(B3382&lt;&gt;"",ISNA(MATCH(B3382,pr_code,0))),"Article inconnu",IF(H3382="","Désignation manquante",IF(OR(NOT(ISNUMBER(D3382)),N(D3382)&lt;=0),"Quantité invalide",IF(J3382="","Prix manquant",IF(OR(NOT(ISNUMBER(J3382)),N(J3382)&lt;0),"Prix invalide",IF(OR(AND(F3382&lt;&gt;"",NOT(ISNUMBER(F3382))),N(F3382)&lt;0,N(F3382)&gt;1),"Remise invalide",IF(K3382="","Taux de TVA manquant",IF(NOT(ISNUMBER(K3382)),"Taux de TVA invalide",IF(COUNTIF(p_rates,K3382)=0,"Taux de TVA hors liste (Paramètres)",IF(N(O3382)&gt;25,"Au-delà de 25 lignes : non imprimée","OK")))))))))))))</f>
        <v/>
      </c>
      <c r="O3382" s="59" t="str">
        <f>IF(A3382="","",COUNTIF($A$6:A3382,A3382))</f>
        <v/>
      </c>
      <c r="P3382" s="62" t="str">
        <f>IF(A3382="","",A3382&amp;"|"&amp;O3382)</f>
        <v/>
      </c>
    </row>
    <row r="3383">
      <c r="A3383" s="60" t="n"/>
      <c r="B3383" s="63" t="n"/>
      <c r="C3383" s="63" t="n"/>
      <c r="D3383" s="67" t="n"/>
      <c r="E3383" s="68" t="n"/>
      <c r="F3383" s="69" t="n"/>
      <c r="G3383" s="70" t="n"/>
      <c r="H3383" s="62" t="str">
        <f>IF(COUNTA(A3383:G3383)=0,"",IF(C3383&lt;&gt;"",C3383,IF(B3383="","",IFERROR(INDEX(pr_des,MATCH(B3383,pr_code,0))&amp;"",""))))</f>
        <v/>
      </c>
      <c r="I3383" s="59" t="str">
        <f>IF(B3383="","",IFERROR(INDEX(pr_unit,MATCH(B3383,pr_code,0))&amp;"",""))</f>
        <v/>
      </c>
      <c r="J3383" s="65" t="str">
        <f>IF(COUNTA(A3383:G3383)=0,"",IF(E3383&lt;&gt;"",E3383,IF(B3383="","",IFERROR(IF(INDEX(pr_price,MATCH(B3383,pr_code,0))="","",INDEX(pr_price,MATCH(B3383,pr_code,0))),""))))</f>
        <v/>
      </c>
      <c r="K3383" s="71" t="str">
        <f>IF(COUNTA(A3383:G3383)=0,"",IF(G3383&lt;&gt;"",G3383,IF(B3383="","",IFERROR(IF(INDEX(pr_rate,MATCH(B3383,pr_code,0))="","",INDEX(pr_rate,MATCH(B3383,pr_code,0))),""))))</f>
        <v/>
      </c>
      <c r="L3383" s="65" t="str">
        <f>IF(COUNTA(A3383:G3383)=0,"",IF(AND(ISNUMBER(D3383),ISNUMBER(J3383)),ROUND(D3383*J3383*(1-N(F3383)),2),0))</f>
        <v/>
      </c>
      <c r="M3383" s="62" t="str">
        <f>IF(A3383="","",IFERROR(INDEX(fa_cname,MATCH(A3383,fa_num,0))&amp;"",""))</f>
        <v/>
      </c>
      <c r="N3383" s="59" t="str">
        <f>IF(COUNTA(A3383:G3383)=0,"",IF(A3383="","N° facture manquant",IF(ISNA(MATCH(A3383,fa_num,0)),"Facture inconnue",IF(AND(B3383&lt;&gt;"",ISNA(MATCH(B3383,pr_code,0))),"Article inconnu",IF(H3383="","Désignation manquante",IF(OR(NOT(ISNUMBER(D3383)),N(D3383)&lt;=0),"Quantité invalide",IF(J3383="","Prix manquant",IF(OR(NOT(ISNUMBER(J3383)),N(J3383)&lt;0),"Prix invalide",IF(OR(AND(F3383&lt;&gt;"",NOT(ISNUMBER(F3383))),N(F3383)&lt;0,N(F3383)&gt;1),"Remise invalide",IF(K3383="","Taux de TVA manquant",IF(NOT(ISNUMBER(K3383)),"Taux de TVA invalide",IF(COUNTIF(p_rates,K3383)=0,"Taux de TVA hors liste (Paramètres)",IF(N(O3383)&gt;25,"Au-delà de 25 lignes : non imprimée","OK")))))))))))))</f>
        <v/>
      </c>
      <c r="O3383" s="59" t="str">
        <f>IF(A3383="","",COUNTIF($A$6:A3383,A3383))</f>
        <v/>
      </c>
      <c r="P3383" s="62" t="str">
        <f>IF(A3383="","",A3383&amp;"|"&amp;O3383)</f>
        <v/>
      </c>
    </row>
    <row r="3384">
      <c r="A3384" s="60" t="n"/>
      <c r="B3384" s="63" t="n"/>
      <c r="C3384" s="63" t="n"/>
      <c r="D3384" s="67" t="n"/>
      <c r="E3384" s="68" t="n"/>
      <c r="F3384" s="69" t="n"/>
      <c r="G3384" s="70" t="n"/>
      <c r="H3384" s="62" t="str">
        <f>IF(COUNTA(A3384:G3384)=0,"",IF(C3384&lt;&gt;"",C3384,IF(B3384="","",IFERROR(INDEX(pr_des,MATCH(B3384,pr_code,0))&amp;"",""))))</f>
        <v/>
      </c>
      <c r="I3384" s="59" t="str">
        <f>IF(B3384="","",IFERROR(INDEX(pr_unit,MATCH(B3384,pr_code,0))&amp;"",""))</f>
        <v/>
      </c>
      <c r="J3384" s="65" t="str">
        <f>IF(COUNTA(A3384:G3384)=0,"",IF(E3384&lt;&gt;"",E3384,IF(B3384="","",IFERROR(IF(INDEX(pr_price,MATCH(B3384,pr_code,0))="","",INDEX(pr_price,MATCH(B3384,pr_code,0))),""))))</f>
        <v/>
      </c>
      <c r="K3384" s="71" t="str">
        <f>IF(COUNTA(A3384:G3384)=0,"",IF(G3384&lt;&gt;"",G3384,IF(B3384="","",IFERROR(IF(INDEX(pr_rate,MATCH(B3384,pr_code,0))="","",INDEX(pr_rate,MATCH(B3384,pr_code,0))),""))))</f>
        <v/>
      </c>
      <c r="L3384" s="65" t="str">
        <f>IF(COUNTA(A3384:G3384)=0,"",IF(AND(ISNUMBER(D3384),ISNUMBER(J3384)),ROUND(D3384*J3384*(1-N(F3384)),2),0))</f>
        <v/>
      </c>
      <c r="M3384" s="62" t="str">
        <f>IF(A3384="","",IFERROR(INDEX(fa_cname,MATCH(A3384,fa_num,0))&amp;"",""))</f>
        <v/>
      </c>
      <c r="N3384" s="59" t="str">
        <f>IF(COUNTA(A3384:G3384)=0,"",IF(A3384="","N° facture manquant",IF(ISNA(MATCH(A3384,fa_num,0)),"Facture inconnue",IF(AND(B3384&lt;&gt;"",ISNA(MATCH(B3384,pr_code,0))),"Article inconnu",IF(H3384="","Désignation manquante",IF(OR(NOT(ISNUMBER(D3384)),N(D3384)&lt;=0),"Quantité invalide",IF(J3384="","Prix manquant",IF(OR(NOT(ISNUMBER(J3384)),N(J3384)&lt;0),"Prix invalide",IF(OR(AND(F3384&lt;&gt;"",NOT(ISNUMBER(F3384))),N(F3384)&lt;0,N(F3384)&gt;1),"Remise invalide",IF(K3384="","Taux de TVA manquant",IF(NOT(ISNUMBER(K3384)),"Taux de TVA invalide",IF(COUNTIF(p_rates,K3384)=0,"Taux de TVA hors liste (Paramètres)",IF(N(O3384)&gt;25,"Au-delà de 25 lignes : non imprimée","OK")))))))))))))</f>
        <v/>
      </c>
      <c r="O3384" s="59" t="str">
        <f>IF(A3384="","",COUNTIF($A$6:A3384,A3384))</f>
        <v/>
      </c>
      <c r="P3384" s="62" t="str">
        <f>IF(A3384="","",A3384&amp;"|"&amp;O3384)</f>
        <v/>
      </c>
    </row>
    <row r="3385">
      <c r="A3385" s="60" t="n"/>
      <c r="B3385" s="63" t="n"/>
      <c r="C3385" s="63" t="n"/>
      <c r="D3385" s="67" t="n"/>
      <c r="E3385" s="68" t="n"/>
      <c r="F3385" s="69" t="n"/>
      <c r="G3385" s="70" t="n"/>
      <c r="H3385" s="62" t="str">
        <f>IF(COUNTA(A3385:G3385)=0,"",IF(C3385&lt;&gt;"",C3385,IF(B3385="","",IFERROR(INDEX(pr_des,MATCH(B3385,pr_code,0))&amp;"",""))))</f>
        <v/>
      </c>
      <c r="I3385" s="59" t="str">
        <f>IF(B3385="","",IFERROR(INDEX(pr_unit,MATCH(B3385,pr_code,0))&amp;"",""))</f>
        <v/>
      </c>
      <c r="J3385" s="65" t="str">
        <f>IF(COUNTA(A3385:G3385)=0,"",IF(E3385&lt;&gt;"",E3385,IF(B3385="","",IFERROR(IF(INDEX(pr_price,MATCH(B3385,pr_code,0))="","",INDEX(pr_price,MATCH(B3385,pr_code,0))),""))))</f>
        <v/>
      </c>
      <c r="K3385" s="71" t="str">
        <f>IF(COUNTA(A3385:G3385)=0,"",IF(G3385&lt;&gt;"",G3385,IF(B3385="","",IFERROR(IF(INDEX(pr_rate,MATCH(B3385,pr_code,0))="","",INDEX(pr_rate,MATCH(B3385,pr_code,0))),""))))</f>
        <v/>
      </c>
      <c r="L3385" s="65" t="str">
        <f>IF(COUNTA(A3385:G3385)=0,"",IF(AND(ISNUMBER(D3385),ISNUMBER(J3385)),ROUND(D3385*J3385*(1-N(F3385)),2),0))</f>
        <v/>
      </c>
      <c r="M3385" s="62" t="str">
        <f>IF(A3385="","",IFERROR(INDEX(fa_cname,MATCH(A3385,fa_num,0))&amp;"",""))</f>
        <v/>
      </c>
      <c r="N3385" s="59" t="str">
        <f>IF(COUNTA(A3385:G3385)=0,"",IF(A3385="","N° facture manquant",IF(ISNA(MATCH(A3385,fa_num,0)),"Facture inconnue",IF(AND(B3385&lt;&gt;"",ISNA(MATCH(B3385,pr_code,0))),"Article inconnu",IF(H3385="","Désignation manquante",IF(OR(NOT(ISNUMBER(D3385)),N(D3385)&lt;=0),"Quantité invalide",IF(J3385="","Prix manquant",IF(OR(NOT(ISNUMBER(J3385)),N(J3385)&lt;0),"Prix invalide",IF(OR(AND(F3385&lt;&gt;"",NOT(ISNUMBER(F3385))),N(F3385)&lt;0,N(F3385)&gt;1),"Remise invalide",IF(K3385="","Taux de TVA manquant",IF(NOT(ISNUMBER(K3385)),"Taux de TVA invalide",IF(COUNTIF(p_rates,K3385)=0,"Taux de TVA hors liste (Paramètres)",IF(N(O3385)&gt;25,"Au-delà de 25 lignes : non imprimée","OK")))))))))))))</f>
        <v/>
      </c>
      <c r="O3385" s="59" t="str">
        <f>IF(A3385="","",COUNTIF($A$6:A3385,A3385))</f>
        <v/>
      </c>
      <c r="P3385" s="62" t="str">
        <f>IF(A3385="","",A3385&amp;"|"&amp;O3385)</f>
        <v/>
      </c>
    </row>
    <row r="3386">
      <c r="A3386" s="60" t="n"/>
      <c r="B3386" s="63" t="n"/>
      <c r="C3386" s="63" t="n"/>
      <c r="D3386" s="67" t="n"/>
      <c r="E3386" s="68" t="n"/>
      <c r="F3386" s="69" t="n"/>
      <c r="G3386" s="70" t="n"/>
      <c r="H3386" s="62" t="str">
        <f>IF(COUNTA(A3386:G3386)=0,"",IF(C3386&lt;&gt;"",C3386,IF(B3386="","",IFERROR(INDEX(pr_des,MATCH(B3386,pr_code,0))&amp;"",""))))</f>
        <v/>
      </c>
      <c r="I3386" s="59" t="str">
        <f>IF(B3386="","",IFERROR(INDEX(pr_unit,MATCH(B3386,pr_code,0))&amp;"",""))</f>
        <v/>
      </c>
      <c r="J3386" s="65" t="str">
        <f>IF(COUNTA(A3386:G3386)=0,"",IF(E3386&lt;&gt;"",E3386,IF(B3386="","",IFERROR(IF(INDEX(pr_price,MATCH(B3386,pr_code,0))="","",INDEX(pr_price,MATCH(B3386,pr_code,0))),""))))</f>
        <v/>
      </c>
      <c r="K3386" s="71" t="str">
        <f>IF(COUNTA(A3386:G3386)=0,"",IF(G3386&lt;&gt;"",G3386,IF(B3386="","",IFERROR(IF(INDEX(pr_rate,MATCH(B3386,pr_code,0))="","",INDEX(pr_rate,MATCH(B3386,pr_code,0))),""))))</f>
        <v/>
      </c>
      <c r="L3386" s="65" t="str">
        <f>IF(COUNTA(A3386:G3386)=0,"",IF(AND(ISNUMBER(D3386),ISNUMBER(J3386)),ROUND(D3386*J3386*(1-N(F3386)),2),0))</f>
        <v/>
      </c>
      <c r="M3386" s="62" t="str">
        <f>IF(A3386="","",IFERROR(INDEX(fa_cname,MATCH(A3386,fa_num,0))&amp;"",""))</f>
        <v/>
      </c>
      <c r="N3386" s="59" t="str">
        <f>IF(COUNTA(A3386:G3386)=0,"",IF(A3386="","N° facture manquant",IF(ISNA(MATCH(A3386,fa_num,0)),"Facture inconnue",IF(AND(B3386&lt;&gt;"",ISNA(MATCH(B3386,pr_code,0))),"Article inconnu",IF(H3386="","Désignation manquante",IF(OR(NOT(ISNUMBER(D3386)),N(D3386)&lt;=0),"Quantité invalide",IF(J3386="","Prix manquant",IF(OR(NOT(ISNUMBER(J3386)),N(J3386)&lt;0),"Prix invalide",IF(OR(AND(F3386&lt;&gt;"",NOT(ISNUMBER(F3386))),N(F3386)&lt;0,N(F3386)&gt;1),"Remise invalide",IF(K3386="","Taux de TVA manquant",IF(NOT(ISNUMBER(K3386)),"Taux de TVA invalide",IF(COUNTIF(p_rates,K3386)=0,"Taux de TVA hors liste (Paramètres)",IF(N(O3386)&gt;25,"Au-delà de 25 lignes : non imprimée","OK")))))))))))))</f>
        <v/>
      </c>
      <c r="O3386" s="59" t="str">
        <f>IF(A3386="","",COUNTIF($A$6:A3386,A3386))</f>
        <v/>
      </c>
      <c r="P3386" s="62" t="str">
        <f>IF(A3386="","",A3386&amp;"|"&amp;O3386)</f>
        <v/>
      </c>
    </row>
    <row r="3387">
      <c r="A3387" s="60" t="n"/>
      <c r="B3387" s="63" t="n"/>
      <c r="C3387" s="63" t="n"/>
      <c r="D3387" s="67" t="n"/>
      <c r="E3387" s="68" t="n"/>
      <c r="F3387" s="69" t="n"/>
      <c r="G3387" s="70" t="n"/>
      <c r="H3387" s="62" t="str">
        <f>IF(COUNTA(A3387:G3387)=0,"",IF(C3387&lt;&gt;"",C3387,IF(B3387="","",IFERROR(INDEX(pr_des,MATCH(B3387,pr_code,0))&amp;"",""))))</f>
        <v/>
      </c>
      <c r="I3387" s="59" t="str">
        <f>IF(B3387="","",IFERROR(INDEX(pr_unit,MATCH(B3387,pr_code,0))&amp;"",""))</f>
        <v/>
      </c>
      <c r="J3387" s="65" t="str">
        <f>IF(COUNTA(A3387:G3387)=0,"",IF(E3387&lt;&gt;"",E3387,IF(B3387="","",IFERROR(IF(INDEX(pr_price,MATCH(B3387,pr_code,0))="","",INDEX(pr_price,MATCH(B3387,pr_code,0))),""))))</f>
        <v/>
      </c>
      <c r="K3387" s="71" t="str">
        <f>IF(COUNTA(A3387:G3387)=0,"",IF(G3387&lt;&gt;"",G3387,IF(B3387="","",IFERROR(IF(INDEX(pr_rate,MATCH(B3387,pr_code,0))="","",INDEX(pr_rate,MATCH(B3387,pr_code,0))),""))))</f>
        <v/>
      </c>
      <c r="L3387" s="65" t="str">
        <f>IF(COUNTA(A3387:G3387)=0,"",IF(AND(ISNUMBER(D3387),ISNUMBER(J3387)),ROUND(D3387*J3387*(1-N(F3387)),2),0))</f>
        <v/>
      </c>
      <c r="M3387" s="62" t="str">
        <f>IF(A3387="","",IFERROR(INDEX(fa_cname,MATCH(A3387,fa_num,0))&amp;"",""))</f>
        <v/>
      </c>
      <c r="N3387" s="59" t="str">
        <f>IF(COUNTA(A3387:G3387)=0,"",IF(A3387="","N° facture manquant",IF(ISNA(MATCH(A3387,fa_num,0)),"Facture inconnue",IF(AND(B3387&lt;&gt;"",ISNA(MATCH(B3387,pr_code,0))),"Article inconnu",IF(H3387="","Désignation manquante",IF(OR(NOT(ISNUMBER(D3387)),N(D3387)&lt;=0),"Quantité invalide",IF(J3387="","Prix manquant",IF(OR(NOT(ISNUMBER(J3387)),N(J3387)&lt;0),"Prix invalide",IF(OR(AND(F3387&lt;&gt;"",NOT(ISNUMBER(F3387))),N(F3387)&lt;0,N(F3387)&gt;1),"Remise invalide",IF(K3387="","Taux de TVA manquant",IF(NOT(ISNUMBER(K3387)),"Taux de TVA invalide",IF(COUNTIF(p_rates,K3387)=0,"Taux de TVA hors liste (Paramètres)",IF(N(O3387)&gt;25,"Au-delà de 25 lignes : non imprimée","OK")))))))))))))</f>
        <v/>
      </c>
      <c r="O3387" s="59" t="str">
        <f>IF(A3387="","",COUNTIF($A$6:A3387,A3387))</f>
        <v/>
      </c>
      <c r="P3387" s="62" t="str">
        <f>IF(A3387="","",A3387&amp;"|"&amp;O3387)</f>
        <v/>
      </c>
    </row>
    <row r="3388">
      <c r="A3388" s="60" t="n"/>
      <c r="B3388" s="63" t="n"/>
      <c r="C3388" s="63" t="n"/>
      <c r="D3388" s="67" t="n"/>
      <c r="E3388" s="68" t="n"/>
      <c r="F3388" s="69" t="n"/>
      <c r="G3388" s="70" t="n"/>
      <c r="H3388" s="62" t="str">
        <f>IF(COUNTA(A3388:G3388)=0,"",IF(C3388&lt;&gt;"",C3388,IF(B3388="","",IFERROR(INDEX(pr_des,MATCH(B3388,pr_code,0))&amp;"",""))))</f>
        <v/>
      </c>
      <c r="I3388" s="59" t="str">
        <f>IF(B3388="","",IFERROR(INDEX(pr_unit,MATCH(B3388,pr_code,0))&amp;"",""))</f>
        <v/>
      </c>
      <c r="J3388" s="65" t="str">
        <f>IF(COUNTA(A3388:G3388)=0,"",IF(E3388&lt;&gt;"",E3388,IF(B3388="","",IFERROR(IF(INDEX(pr_price,MATCH(B3388,pr_code,0))="","",INDEX(pr_price,MATCH(B3388,pr_code,0))),""))))</f>
        <v/>
      </c>
      <c r="K3388" s="71" t="str">
        <f>IF(COUNTA(A3388:G3388)=0,"",IF(G3388&lt;&gt;"",G3388,IF(B3388="","",IFERROR(IF(INDEX(pr_rate,MATCH(B3388,pr_code,0))="","",INDEX(pr_rate,MATCH(B3388,pr_code,0))),""))))</f>
        <v/>
      </c>
      <c r="L3388" s="65" t="str">
        <f>IF(COUNTA(A3388:G3388)=0,"",IF(AND(ISNUMBER(D3388),ISNUMBER(J3388)),ROUND(D3388*J3388*(1-N(F3388)),2),0))</f>
        <v/>
      </c>
      <c r="M3388" s="62" t="str">
        <f>IF(A3388="","",IFERROR(INDEX(fa_cname,MATCH(A3388,fa_num,0))&amp;"",""))</f>
        <v/>
      </c>
      <c r="N3388" s="59" t="str">
        <f>IF(COUNTA(A3388:G3388)=0,"",IF(A3388="","N° facture manquant",IF(ISNA(MATCH(A3388,fa_num,0)),"Facture inconnue",IF(AND(B3388&lt;&gt;"",ISNA(MATCH(B3388,pr_code,0))),"Article inconnu",IF(H3388="","Désignation manquante",IF(OR(NOT(ISNUMBER(D3388)),N(D3388)&lt;=0),"Quantité invalide",IF(J3388="","Prix manquant",IF(OR(NOT(ISNUMBER(J3388)),N(J3388)&lt;0),"Prix invalide",IF(OR(AND(F3388&lt;&gt;"",NOT(ISNUMBER(F3388))),N(F3388)&lt;0,N(F3388)&gt;1),"Remise invalide",IF(K3388="","Taux de TVA manquant",IF(NOT(ISNUMBER(K3388)),"Taux de TVA invalide",IF(COUNTIF(p_rates,K3388)=0,"Taux de TVA hors liste (Paramètres)",IF(N(O3388)&gt;25,"Au-delà de 25 lignes : non imprimée","OK")))))))))))))</f>
        <v/>
      </c>
      <c r="O3388" s="59" t="str">
        <f>IF(A3388="","",COUNTIF($A$6:A3388,A3388))</f>
        <v/>
      </c>
      <c r="P3388" s="62" t="str">
        <f>IF(A3388="","",A3388&amp;"|"&amp;O3388)</f>
        <v/>
      </c>
    </row>
    <row r="3389">
      <c r="A3389" s="60" t="n"/>
      <c r="B3389" s="63" t="n"/>
      <c r="C3389" s="63" t="n"/>
      <c r="D3389" s="67" t="n"/>
      <c r="E3389" s="68" t="n"/>
      <c r="F3389" s="69" t="n"/>
      <c r="G3389" s="70" t="n"/>
      <c r="H3389" s="62" t="str">
        <f>IF(COUNTA(A3389:G3389)=0,"",IF(C3389&lt;&gt;"",C3389,IF(B3389="","",IFERROR(INDEX(pr_des,MATCH(B3389,pr_code,0))&amp;"",""))))</f>
        <v/>
      </c>
      <c r="I3389" s="59" t="str">
        <f>IF(B3389="","",IFERROR(INDEX(pr_unit,MATCH(B3389,pr_code,0))&amp;"",""))</f>
        <v/>
      </c>
      <c r="J3389" s="65" t="str">
        <f>IF(COUNTA(A3389:G3389)=0,"",IF(E3389&lt;&gt;"",E3389,IF(B3389="","",IFERROR(IF(INDEX(pr_price,MATCH(B3389,pr_code,0))="","",INDEX(pr_price,MATCH(B3389,pr_code,0))),""))))</f>
        <v/>
      </c>
      <c r="K3389" s="71" t="str">
        <f>IF(COUNTA(A3389:G3389)=0,"",IF(G3389&lt;&gt;"",G3389,IF(B3389="","",IFERROR(IF(INDEX(pr_rate,MATCH(B3389,pr_code,0))="","",INDEX(pr_rate,MATCH(B3389,pr_code,0))),""))))</f>
        <v/>
      </c>
      <c r="L3389" s="65" t="str">
        <f>IF(COUNTA(A3389:G3389)=0,"",IF(AND(ISNUMBER(D3389),ISNUMBER(J3389)),ROUND(D3389*J3389*(1-N(F3389)),2),0))</f>
        <v/>
      </c>
      <c r="M3389" s="62" t="str">
        <f>IF(A3389="","",IFERROR(INDEX(fa_cname,MATCH(A3389,fa_num,0))&amp;"",""))</f>
        <v/>
      </c>
      <c r="N3389" s="59" t="str">
        <f>IF(COUNTA(A3389:G3389)=0,"",IF(A3389="","N° facture manquant",IF(ISNA(MATCH(A3389,fa_num,0)),"Facture inconnue",IF(AND(B3389&lt;&gt;"",ISNA(MATCH(B3389,pr_code,0))),"Article inconnu",IF(H3389="","Désignation manquante",IF(OR(NOT(ISNUMBER(D3389)),N(D3389)&lt;=0),"Quantité invalide",IF(J3389="","Prix manquant",IF(OR(NOT(ISNUMBER(J3389)),N(J3389)&lt;0),"Prix invalide",IF(OR(AND(F3389&lt;&gt;"",NOT(ISNUMBER(F3389))),N(F3389)&lt;0,N(F3389)&gt;1),"Remise invalide",IF(K3389="","Taux de TVA manquant",IF(NOT(ISNUMBER(K3389)),"Taux de TVA invalide",IF(COUNTIF(p_rates,K3389)=0,"Taux de TVA hors liste (Paramètres)",IF(N(O3389)&gt;25,"Au-delà de 25 lignes : non imprimée","OK")))))))))))))</f>
        <v/>
      </c>
      <c r="O3389" s="59" t="str">
        <f>IF(A3389="","",COUNTIF($A$6:A3389,A3389))</f>
        <v/>
      </c>
      <c r="P3389" s="62" t="str">
        <f>IF(A3389="","",A3389&amp;"|"&amp;O3389)</f>
        <v/>
      </c>
    </row>
    <row r="3390">
      <c r="A3390" s="60" t="n"/>
      <c r="B3390" s="63" t="n"/>
      <c r="C3390" s="63" t="n"/>
      <c r="D3390" s="67" t="n"/>
      <c r="E3390" s="68" t="n"/>
      <c r="F3390" s="69" t="n"/>
      <c r="G3390" s="70" t="n"/>
      <c r="H3390" s="62" t="str">
        <f>IF(COUNTA(A3390:G3390)=0,"",IF(C3390&lt;&gt;"",C3390,IF(B3390="","",IFERROR(INDEX(pr_des,MATCH(B3390,pr_code,0))&amp;"",""))))</f>
        <v/>
      </c>
      <c r="I3390" s="59" t="str">
        <f>IF(B3390="","",IFERROR(INDEX(pr_unit,MATCH(B3390,pr_code,0))&amp;"",""))</f>
        <v/>
      </c>
      <c r="J3390" s="65" t="str">
        <f>IF(COUNTA(A3390:G3390)=0,"",IF(E3390&lt;&gt;"",E3390,IF(B3390="","",IFERROR(IF(INDEX(pr_price,MATCH(B3390,pr_code,0))="","",INDEX(pr_price,MATCH(B3390,pr_code,0))),""))))</f>
        <v/>
      </c>
      <c r="K3390" s="71" t="str">
        <f>IF(COUNTA(A3390:G3390)=0,"",IF(G3390&lt;&gt;"",G3390,IF(B3390="","",IFERROR(IF(INDEX(pr_rate,MATCH(B3390,pr_code,0))="","",INDEX(pr_rate,MATCH(B3390,pr_code,0))),""))))</f>
        <v/>
      </c>
      <c r="L3390" s="65" t="str">
        <f>IF(COUNTA(A3390:G3390)=0,"",IF(AND(ISNUMBER(D3390),ISNUMBER(J3390)),ROUND(D3390*J3390*(1-N(F3390)),2),0))</f>
        <v/>
      </c>
      <c r="M3390" s="62" t="str">
        <f>IF(A3390="","",IFERROR(INDEX(fa_cname,MATCH(A3390,fa_num,0))&amp;"",""))</f>
        <v/>
      </c>
      <c r="N3390" s="59" t="str">
        <f>IF(COUNTA(A3390:G3390)=0,"",IF(A3390="","N° facture manquant",IF(ISNA(MATCH(A3390,fa_num,0)),"Facture inconnue",IF(AND(B3390&lt;&gt;"",ISNA(MATCH(B3390,pr_code,0))),"Article inconnu",IF(H3390="","Désignation manquante",IF(OR(NOT(ISNUMBER(D3390)),N(D3390)&lt;=0),"Quantité invalide",IF(J3390="","Prix manquant",IF(OR(NOT(ISNUMBER(J3390)),N(J3390)&lt;0),"Prix invalide",IF(OR(AND(F3390&lt;&gt;"",NOT(ISNUMBER(F3390))),N(F3390)&lt;0,N(F3390)&gt;1),"Remise invalide",IF(K3390="","Taux de TVA manquant",IF(NOT(ISNUMBER(K3390)),"Taux de TVA invalide",IF(COUNTIF(p_rates,K3390)=0,"Taux de TVA hors liste (Paramètres)",IF(N(O3390)&gt;25,"Au-delà de 25 lignes : non imprimée","OK")))))))))))))</f>
        <v/>
      </c>
      <c r="O3390" s="59" t="str">
        <f>IF(A3390="","",COUNTIF($A$6:A3390,A3390))</f>
        <v/>
      </c>
      <c r="P3390" s="62" t="str">
        <f>IF(A3390="","",A3390&amp;"|"&amp;O3390)</f>
        <v/>
      </c>
    </row>
    <row r="3391">
      <c r="A3391" s="60" t="n"/>
      <c r="B3391" s="63" t="n"/>
      <c r="C3391" s="63" t="n"/>
      <c r="D3391" s="67" t="n"/>
      <c r="E3391" s="68" t="n"/>
      <c r="F3391" s="69" t="n"/>
      <c r="G3391" s="70" t="n"/>
      <c r="H3391" s="62" t="str">
        <f>IF(COUNTA(A3391:G3391)=0,"",IF(C3391&lt;&gt;"",C3391,IF(B3391="","",IFERROR(INDEX(pr_des,MATCH(B3391,pr_code,0))&amp;"",""))))</f>
        <v/>
      </c>
      <c r="I3391" s="59" t="str">
        <f>IF(B3391="","",IFERROR(INDEX(pr_unit,MATCH(B3391,pr_code,0))&amp;"",""))</f>
        <v/>
      </c>
      <c r="J3391" s="65" t="str">
        <f>IF(COUNTA(A3391:G3391)=0,"",IF(E3391&lt;&gt;"",E3391,IF(B3391="","",IFERROR(IF(INDEX(pr_price,MATCH(B3391,pr_code,0))="","",INDEX(pr_price,MATCH(B3391,pr_code,0))),""))))</f>
        <v/>
      </c>
      <c r="K3391" s="71" t="str">
        <f>IF(COUNTA(A3391:G3391)=0,"",IF(G3391&lt;&gt;"",G3391,IF(B3391="","",IFERROR(IF(INDEX(pr_rate,MATCH(B3391,pr_code,0))="","",INDEX(pr_rate,MATCH(B3391,pr_code,0))),""))))</f>
        <v/>
      </c>
      <c r="L3391" s="65" t="str">
        <f>IF(COUNTA(A3391:G3391)=0,"",IF(AND(ISNUMBER(D3391),ISNUMBER(J3391)),ROUND(D3391*J3391*(1-N(F3391)),2),0))</f>
        <v/>
      </c>
      <c r="M3391" s="62" t="str">
        <f>IF(A3391="","",IFERROR(INDEX(fa_cname,MATCH(A3391,fa_num,0))&amp;"",""))</f>
        <v/>
      </c>
      <c r="N3391" s="59" t="str">
        <f>IF(COUNTA(A3391:G3391)=0,"",IF(A3391="","N° facture manquant",IF(ISNA(MATCH(A3391,fa_num,0)),"Facture inconnue",IF(AND(B3391&lt;&gt;"",ISNA(MATCH(B3391,pr_code,0))),"Article inconnu",IF(H3391="","Désignation manquante",IF(OR(NOT(ISNUMBER(D3391)),N(D3391)&lt;=0),"Quantité invalide",IF(J3391="","Prix manquant",IF(OR(NOT(ISNUMBER(J3391)),N(J3391)&lt;0),"Prix invalide",IF(OR(AND(F3391&lt;&gt;"",NOT(ISNUMBER(F3391))),N(F3391)&lt;0,N(F3391)&gt;1),"Remise invalide",IF(K3391="","Taux de TVA manquant",IF(NOT(ISNUMBER(K3391)),"Taux de TVA invalide",IF(COUNTIF(p_rates,K3391)=0,"Taux de TVA hors liste (Paramètres)",IF(N(O3391)&gt;25,"Au-delà de 25 lignes : non imprimée","OK")))))))))))))</f>
        <v/>
      </c>
      <c r="O3391" s="59" t="str">
        <f>IF(A3391="","",COUNTIF($A$6:A3391,A3391))</f>
        <v/>
      </c>
      <c r="P3391" s="62" t="str">
        <f>IF(A3391="","",A3391&amp;"|"&amp;O3391)</f>
        <v/>
      </c>
    </row>
    <row r="3392">
      <c r="A3392" s="60" t="n"/>
      <c r="B3392" s="63" t="n"/>
      <c r="C3392" s="63" t="n"/>
      <c r="D3392" s="67" t="n"/>
      <c r="E3392" s="68" t="n"/>
      <c r="F3392" s="69" t="n"/>
      <c r="G3392" s="70" t="n"/>
      <c r="H3392" s="62" t="str">
        <f>IF(COUNTA(A3392:G3392)=0,"",IF(C3392&lt;&gt;"",C3392,IF(B3392="","",IFERROR(INDEX(pr_des,MATCH(B3392,pr_code,0))&amp;"",""))))</f>
        <v/>
      </c>
      <c r="I3392" s="59" t="str">
        <f>IF(B3392="","",IFERROR(INDEX(pr_unit,MATCH(B3392,pr_code,0))&amp;"",""))</f>
        <v/>
      </c>
      <c r="J3392" s="65" t="str">
        <f>IF(COUNTA(A3392:G3392)=0,"",IF(E3392&lt;&gt;"",E3392,IF(B3392="","",IFERROR(IF(INDEX(pr_price,MATCH(B3392,pr_code,0))="","",INDEX(pr_price,MATCH(B3392,pr_code,0))),""))))</f>
        <v/>
      </c>
      <c r="K3392" s="71" t="str">
        <f>IF(COUNTA(A3392:G3392)=0,"",IF(G3392&lt;&gt;"",G3392,IF(B3392="","",IFERROR(IF(INDEX(pr_rate,MATCH(B3392,pr_code,0))="","",INDEX(pr_rate,MATCH(B3392,pr_code,0))),""))))</f>
        <v/>
      </c>
      <c r="L3392" s="65" t="str">
        <f>IF(COUNTA(A3392:G3392)=0,"",IF(AND(ISNUMBER(D3392),ISNUMBER(J3392)),ROUND(D3392*J3392*(1-N(F3392)),2),0))</f>
        <v/>
      </c>
      <c r="M3392" s="62" t="str">
        <f>IF(A3392="","",IFERROR(INDEX(fa_cname,MATCH(A3392,fa_num,0))&amp;"",""))</f>
        <v/>
      </c>
      <c r="N3392" s="59" t="str">
        <f>IF(COUNTA(A3392:G3392)=0,"",IF(A3392="","N° facture manquant",IF(ISNA(MATCH(A3392,fa_num,0)),"Facture inconnue",IF(AND(B3392&lt;&gt;"",ISNA(MATCH(B3392,pr_code,0))),"Article inconnu",IF(H3392="","Désignation manquante",IF(OR(NOT(ISNUMBER(D3392)),N(D3392)&lt;=0),"Quantité invalide",IF(J3392="","Prix manquant",IF(OR(NOT(ISNUMBER(J3392)),N(J3392)&lt;0),"Prix invalide",IF(OR(AND(F3392&lt;&gt;"",NOT(ISNUMBER(F3392))),N(F3392)&lt;0,N(F3392)&gt;1),"Remise invalide",IF(K3392="","Taux de TVA manquant",IF(NOT(ISNUMBER(K3392)),"Taux de TVA invalide",IF(COUNTIF(p_rates,K3392)=0,"Taux de TVA hors liste (Paramètres)",IF(N(O3392)&gt;25,"Au-delà de 25 lignes : non imprimée","OK")))))))))))))</f>
        <v/>
      </c>
      <c r="O3392" s="59" t="str">
        <f>IF(A3392="","",COUNTIF($A$6:A3392,A3392))</f>
        <v/>
      </c>
      <c r="P3392" s="62" t="str">
        <f>IF(A3392="","",A3392&amp;"|"&amp;O3392)</f>
        <v/>
      </c>
    </row>
    <row r="3393">
      <c r="A3393" s="60" t="n"/>
      <c r="B3393" s="63" t="n"/>
      <c r="C3393" s="63" t="n"/>
      <c r="D3393" s="67" t="n"/>
      <c r="E3393" s="68" t="n"/>
      <c r="F3393" s="69" t="n"/>
      <c r="G3393" s="70" t="n"/>
      <c r="H3393" s="62" t="str">
        <f>IF(COUNTA(A3393:G3393)=0,"",IF(C3393&lt;&gt;"",C3393,IF(B3393="","",IFERROR(INDEX(pr_des,MATCH(B3393,pr_code,0))&amp;"",""))))</f>
        <v/>
      </c>
      <c r="I3393" s="59" t="str">
        <f>IF(B3393="","",IFERROR(INDEX(pr_unit,MATCH(B3393,pr_code,0))&amp;"",""))</f>
        <v/>
      </c>
      <c r="J3393" s="65" t="str">
        <f>IF(COUNTA(A3393:G3393)=0,"",IF(E3393&lt;&gt;"",E3393,IF(B3393="","",IFERROR(IF(INDEX(pr_price,MATCH(B3393,pr_code,0))="","",INDEX(pr_price,MATCH(B3393,pr_code,0))),""))))</f>
        <v/>
      </c>
      <c r="K3393" s="71" t="str">
        <f>IF(COUNTA(A3393:G3393)=0,"",IF(G3393&lt;&gt;"",G3393,IF(B3393="","",IFERROR(IF(INDEX(pr_rate,MATCH(B3393,pr_code,0))="","",INDEX(pr_rate,MATCH(B3393,pr_code,0))),""))))</f>
        <v/>
      </c>
      <c r="L3393" s="65" t="str">
        <f>IF(COUNTA(A3393:G3393)=0,"",IF(AND(ISNUMBER(D3393),ISNUMBER(J3393)),ROUND(D3393*J3393*(1-N(F3393)),2),0))</f>
        <v/>
      </c>
      <c r="M3393" s="62" t="str">
        <f>IF(A3393="","",IFERROR(INDEX(fa_cname,MATCH(A3393,fa_num,0))&amp;"",""))</f>
        <v/>
      </c>
      <c r="N3393" s="59" t="str">
        <f>IF(COUNTA(A3393:G3393)=0,"",IF(A3393="","N° facture manquant",IF(ISNA(MATCH(A3393,fa_num,0)),"Facture inconnue",IF(AND(B3393&lt;&gt;"",ISNA(MATCH(B3393,pr_code,0))),"Article inconnu",IF(H3393="","Désignation manquante",IF(OR(NOT(ISNUMBER(D3393)),N(D3393)&lt;=0),"Quantité invalide",IF(J3393="","Prix manquant",IF(OR(NOT(ISNUMBER(J3393)),N(J3393)&lt;0),"Prix invalide",IF(OR(AND(F3393&lt;&gt;"",NOT(ISNUMBER(F3393))),N(F3393)&lt;0,N(F3393)&gt;1),"Remise invalide",IF(K3393="","Taux de TVA manquant",IF(NOT(ISNUMBER(K3393)),"Taux de TVA invalide",IF(COUNTIF(p_rates,K3393)=0,"Taux de TVA hors liste (Paramètres)",IF(N(O3393)&gt;25,"Au-delà de 25 lignes : non imprimée","OK")))))))))))))</f>
        <v/>
      </c>
      <c r="O3393" s="59" t="str">
        <f>IF(A3393="","",COUNTIF($A$6:A3393,A3393))</f>
        <v/>
      </c>
      <c r="P3393" s="62" t="str">
        <f>IF(A3393="","",A3393&amp;"|"&amp;O3393)</f>
        <v/>
      </c>
    </row>
    <row r="3394">
      <c r="A3394" s="60" t="n"/>
      <c r="B3394" s="63" t="n"/>
      <c r="C3394" s="63" t="n"/>
      <c r="D3394" s="67" t="n"/>
      <c r="E3394" s="68" t="n"/>
      <c r="F3394" s="69" t="n"/>
      <c r="G3394" s="70" t="n"/>
      <c r="H3394" s="62" t="str">
        <f>IF(COUNTA(A3394:G3394)=0,"",IF(C3394&lt;&gt;"",C3394,IF(B3394="","",IFERROR(INDEX(pr_des,MATCH(B3394,pr_code,0))&amp;"",""))))</f>
        <v/>
      </c>
      <c r="I3394" s="59" t="str">
        <f>IF(B3394="","",IFERROR(INDEX(pr_unit,MATCH(B3394,pr_code,0))&amp;"",""))</f>
        <v/>
      </c>
      <c r="J3394" s="65" t="str">
        <f>IF(COUNTA(A3394:G3394)=0,"",IF(E3394&lt;&gt;"",E3394,IF(B3394="","",IFERROR(IF(INDEX(pr_price,MATCH(B3394,pr_code,0))="","",INDEX(pr_price,MATCH(B3394,pr_code,0))),""))))</f>
        <v/>
      </c>
      <c r="K3394" s="71" t="str">
        <f>IF(COUNTA(A3394:G3394)=0,"",IF(G3394&lt;&gt;"",G3394,IF(B3394="","",IFERROR(IF(INDEX(pr_rate,MATCH(B3394,pr_code,0))="","",INDEX(pr_rate,MATCH(B3394,pr_code,0))),""))))</f>
        <v/>
      </c>
      <c r="L3394" s="65" t="str">
        <f>IF(COUNTA(A3394:G3394)=0,"",IF(AND(ISNUMBER(D3394),ISNUMBER(J3394)),ROUND(D3394*J3394*(1-N(F3394)),2),0))</f>
        <v/>
      </c>
      <c r="M3394" s="62" t="str">
        <f>IF(A3394="","",IFERROR(INDEX(fa_cname,MATCH(A3394,fa_num,0))&amp;"",""))</f>
        <v/>
      </c>
      <c r="N3394" s="59" t="str">
        <f>IF(COUNTA(A3394:G3394)=0,"",IF(A3394="","N° facture manquant",IF(ISNA(MATCH(A3394,fa_num,0)),"Facture inconnue",IF(AND(B3394&lt;&gt;"",ISNA(MATCH(B3394,pr_code,0))),"Article inconnu",IF(H3394="","Désignation manquante",IF(OR(NOT(ISNUMBER(D3394)),N(D3394)&lt;=0),"Quantité invalide",IF(J3394="","Prix manquant",IF(OR(NOT(ISNUMBER(J3394)),N(J3394)&lt;0),"Prix invalide",IF(OR(AND(F3394&lt;&gt;"",NOT(ISNUMBER(F3394))),N(F3394)&lt;0,N(F3394)&gt;1),"Remise invalide",IF(K3394="","Taux de TVA manquant",IF(NOT(ISNUMBER(K3394)),"Taux de TVA invalide",IF(COUNTIF(p_rates,K3394)=0,"Taux de TVA hors liste (Paramètres)",IF(N(O3394)&gt;25,"Au-delà de 25 lignes : non imprimée","OK")))))))))))))</f>
        <v/>
      </c>
      <c r="O3394" s="59" t="str">
        <f>IF(A3394="","",COUNTIF($A$6:A3394,A3394))</f>
        <v/>
      </c>
      <c r="P3394" s="62" t="str">
        <f>IF(A3394="","",A3394&amp;"|"&amp;O3394)</f>
        <v/>
      </c>
    </row>
    <row r="3395">
      <c r="A3395" s="60" t="n"/>
      <c r="B3395" s="63" t="n"/>
      <c r="C3395" s="63" t="n"/>
      <c r="D3395" s="67" t="n"/>
      <c r="E3395" s="68" t="n"/>
      <c r="F3395" s="69" t="n"/>
      <c r="G3395" s="70" t="n"/>
      <c r="H3395" s="62" t="str">
        <f>IF(COUNTA(A3395:G3395)=0,"",IF(C3395&lt;&gt;"",C3395,IF(B3395="","",IFERROR(INDEX(pr_des,MATCH(B3395,pr_code,0))&amp;"",""))))</f>
        <v/>
      </c>
      <c r="I3395" s="59" t="str">
        <f>IF(B3395="","",IFERROR(INDEX(pr_unit,MATCH(B3395,pr_code,0))&amp;"",""))</f>
        <v/>
      </c>
      <c r="J3395" s="65" t="str">
        <f>IF(COUNTA(A3395:G3395)=0,"",IF(E3395&lt;&gt;"",E3395,IF(B3395="","",IFERROR(IF(INDEX(pr_price,MATCH(B3395,pr_code,0))="","",INDEX(pr_price,MATCH(B3395,pr_code,0))),""))))</f>
        <v/>
      </c>
      <c r="K3395" s="71" t="str">
        <f>IF(COUNTA(A3395:G3395)=0,"",IF(G3395&lt;&gt;"",G3395,IF(B3395="","",IFERROR(IF(INDEX(pr_rate,MATCH(B3395,pr_code,0))="","",INDEX(pr_rate,MATCH(B3395,pr_code,0))),""))))</f>
        <v/>
      </c>
      <c r="L3395" s="65" t="str">
        <f>IF(COUNTA(A3395:G3395)=0,"",IF(AND(ISNUMBER(D3395),ISNUMBER(J3395)),ROUND(D3395*J3395*(1-N(F3395)),2),0))</f>
        <v/>
      </c>
      <c r="M3395" s="62" t="str">
        <f>IF(A3395="","",IFERROR(INDEX(fa_cname,MATCH(A3395,fa_num,0))&amp;"",""))</f>
        <v/>
      </c>
      <c r="N3395" s="59" t="str">
        <f>IF(COUNTA(A3395:G3395)=0,"",IF(A3395="","N° facture manquant",IF(ISNA(MATCH(A3395,fa_num,0)),"Facture inconnue",IF(AND(B3395&lt;&gt;"",ISNA(MATCH(B3395,pr_code,0))),"Article inconnu",IF(H3395="","Désignation manquante",IF(OR(NOT(ISNUMBER(D3395)),N(D3395)&lt;=0),"Quantité invalide",IF(J3395="","Prix manquant",IF(OR(NOT(ISNUMBER(J3395)),N(J3395)&lt;0),"Prix invalide",IF(OR(AND(F3395&lt;&gt;"",NOT(ISNUMBER(F3395))),N(F3395)&lt;0,N(F3395)&gt;1),"Remise invalide",IF(K3395="","Taux de TVA manquant",IF(NOT(ISNUMBER(K3395)),"Taux de TVA invalide",IF(COUNTIF(p_rates,K3395)=0,"Taux de TVA hors liste (Paramètres)",IF(N(O3395)&gt;25,"Au-delà de 25 lignes : non imprimée","OK")))))))))))))</f>
        <v/>
      </c>
      <c r="O3395" s="59" t="str">
        <f>IF(A3395="","",COUNTIF($A$6:A3395,A3395))</f>
        <v/>
      </c>
      <c r="P3395" s="62" t="str">
        <f>IF(A3395="","",A3395&amp;"|"&amp;O3395)</f>
        <v/>
      </c>
    </row>
    <row r="3396">
      <c r="A3396" s="60" t="n"/>
      <c r="B3396" s="63" t="n"/>
      <c r="C3396" s="63" t="n"/>
      <c r="D3396" s="67" t="n"/>
      <c r="E3396" s="68" t="n"/>
      <c r="F3396" s="69" t="n"/>
      <c r="G3396" s="70" t="n"/>
      <c r="H3396" s="62" t="str">
        <f>IF(COUNTA(A3396:G3396)=0,"",IF(C3396&lt;&gt;"",C3396,IF(B3396="","",IFERROR(INDEX(pr_des,MATCH(B3396,pr_code,0))&amp;"",""))))</f>
        <v/>
      </c>
      <c r="I3396" s="59" t="str">
        <f>IF(B3396="","",IFERROR(INDEX(pr_unit,MATCH(B3396,pr_code,0))&amp;"",""))</f>
        <v/>
      </c>
      <c r="J3396" s="65" t="str">
        <f>IF(COUNTA(A3396:G3396)=0,"",IF(E3396&lt;&gt;"",E3396,IF(B3396="","",IFERROR(IF(INDEX(pr_price,MATCH(B3396,pr_code,0))="","",INDEX(pr_price,MATCH(B3396,pr_code,0))),""))))</f>
        <v/>
      </c>
      <c r="K3396" s="71" t="str">
        <f>IF(COUNTA(A3396:G3396)=0,"",IF(G3396&lt;&gt;"",G3396,IF(B3396="","",IFERROR(IF(INDEX(pr_rate,MATCH(B3396,pr_code,0))="","",INDEX(pr_rate,MATCH(B3396,pr_code,0))),""))))</f>
        <v/>
      </c>
      <c r="L3396" s="65" t="str">
        <f>IF(COUNTA(A3396:G3396)=0,"",IF(AND(ISNUMBER(D3396),ISNUMBER(J3396)),ROUND(D3396*J3396*(1-N(F3396)),2),0))</f>
        <v/>
      </c>
      <c r="M3396" s="62" t="str">
        <f>IF(A3396="","",IFERROR(INDEX(fa_cname,MATCH(A3396,fa_num,0))&amp;"",""))</f>
        <v/>
      </c>
      <c r="N3396" s="59" t="str">
        <f>IF(COUNTA(A3396:G3396)=0,"",IF(A3396="","N° facture manquant",IF(ISNA(MATCH(A3396,fa_num,0)),"Facture inconnue",IF(AND(B3396&lt;&gt;"",ISNA(MATCH(B3396,pr_code,0))),"Article inconnu",IF(H3396="","Désignation manquante",IF(OR(NOT(ISNUMBER(D3396)),N(D3396)&lt;=0),"Quantité invalide",IF(J3396="","Prix manquant",IF(OR(NOT(ISNUMBER(J3396)),N(J3396)&lt;0),"Prix invalide",IF(OR(AND(F3396&lt;&gt;"",NOT(ISNUMBER(F3396))),N(F3396)&lt;0,N(F3396)&gt;1),"Remise invalide",IF(K3396="","Taux de TVA manquant",IF(NOT(ISNUMBER(K3396)),"Taux de TVA invalide",IF(COUNTIF(p_rates,K3396)=0,"Taux de TVA hors liste (Paramètres)",IF(N(O3396)&gt;25,"Au-delà de 25 lignes : non imprimée","OK")))))))))))))</f>
        <v/>
      </c>
      <c r="O3396" s="59" t="str">
        <f>IF(A3396="","",COUNTIF($A$6:A3396,A3396))</f>
        <v/>
      </c>
      <c r="P3396" s="62" t="str">
        <f>IF(A3396="","",A3396&amp;"|"&amp;O3396)</f>
        <v/>
      </c>
    </row>
    <row r="3397">
      <c r="A3397" s="60" t="n"/>
      <c r="B3397" s="63" t="n"/>
      <c r="C3397" s="63" t="n"/>
      <c r="D3397" s="67" t="n"/>
      <c r="E3397" s="68" t="n"/>
      <c r="F3397" s="69" t="n"/>
      <c r="G3397" s="70" t="n"/>
      <c r="H3397" s="62" t="str">
        <f>IF(COUNTA(A3397:G3397)=0,"",IF(C3397&lt;&gt;"",C3397,IF(B3397="","",IFERROR(INDEX(pr_des,MATCH(B3397,pr_code,0))&amp;"",""))))</f>
        <v/>
      </c>
      <c r="I3397" s="59" t="str">
        <f>IF(B3397="","",IFERROR(INDEX(pr_unit,MATCH(B3397,pr_code,0))&amp;"",""))</f>
        <v/>
      </c>
      <c r="J3397" s="65" t="str">
        <f>IF(COUNTA(A3397:G3397)=0,"",IF(E3397&lt;&gt;"",E3397,IF(B3397="","",IFERROR(IF(INDEX(pr_price,MATCH(B3397,pr_code,0))="","",INDEX(pr_price,MATCH(B3397,pr_code,0))),""))))</f>
        <v/>
      </c>
      <c r="K3397" s="71" t="str">
        <f>IF(COUNTA(A3397:G3397)=0,"",IF(G3397&lt;&gt;"",G3397,IF(B3397="","",IFERROR(IF(INDEX(pr_rate,MATCH(B3397,pr_code,0))="","",INDEX(pr_rate,MATCH(B3397,pr_code,0))),""))))</f>
        <v/>
      </c>
      <c r="L3397" s="65" t="str">
        <f>IF(COUNTA(A3397:G3397)=0,"",IF(AND(ISNUMBER(D3397),ISNUMBER(J3397)),ROUND(D3397*J3397*(1-N(F3397)),2),0))</f>
        <v/>
      </c>
      <c r="M3397" s="62" t="str">
        <f>IF(A3397="","",IFERROR(INDEX(fa_cname,MATCH(A3397,fa_num,0))&amp;"",""))</f>
        <v/>
      </c>
      <c r="N3397" s="59" t="str">
        <f>IF(COUNTA(A3397:G3397)=0,"",IF(A3397="","N° facture manquant",IF(ISNA(MATCH(A3397,fa_num,0)),"Facture inconnue",IF(AND(B3397&lt;&gt;"",ISNA(MATCH(B3397,pr_code,0))),"Article inconnu",IF(H3397="","Désignation manquante",IF(OR(NOT(ISNUMBER(D3397)),N(D3397)&lt;=0),"Quantité invalide",IF(J3397="","Prix manquant",IF(OR(NOT(ISNUMBER(J3397)),N(J3397)&lt;0),"Prix invalide",IF(OR(AND(F3397&lt;&gt;"",NOT(ISNUMBER(F3397))),N(F3397)&lt;0,N(F3397)&gt;1),"Remise invalide",IF(K3397="","Taux de TVA manquant",IF(NOT(ISNUMBER(K3397)),"Taux de TVA invalide",IF(COUNTIF(p_rates,K3397)=0,"Taux de TVA hors liste (Paramètres)",IF(N(O3397)&gt;25,"Au-delà de 25 lignes : non imprimée","OK")))))))))))))</f>
        <v/>
      </c>
      <c r="O3397" s="59" t="str">
        <f>IF(A3397="","",COUNTIF($A$6:A3397,A3397))</f>
        <v/>
      </c>
      <c r="P3397" s="62" t="str">
        <f>IF(A3397="","",A3397&amp;"|"&amp;O3397)</f>
        <v/>
      </c>
    </row>
    <row r="3398">
      <c r="A3398" s="60" t="n"/>
      <c r="B3398" s="63" t="n"/>
      <c r="C3398" s="63" t="n"/>
      <c r="D3398" s="67" t="n"/>
      <c r="E3398" s="68" t="n"/>
      <c r="F3398" s="69" t="n"/>
      <c r="G3398" s="70" t="n"/>
      <c r="H3398" s="62" t="str">
        <f>IF(COUNTA(A3398:G3398)=0,"",IF(C3398&lt;&gt;"",C3398,IF(B3398="","",IFERROR(INDEX(pr_des,MATCH(B3398,pr_code,0))&amp;"",""))))</f>
        <v/>
      </c>
      <c r="I3398" s="59" t="str">
        <f>IF(B3398="","",IFERROR(INDEX(pr_unit,MATCH(B3398,pr_code,0))&amp;"",""))</f>
        <v/>
      </c>
      <c r="J3398" s="65" t="str">
        <f>IF(COUNTA(A3398:G3398)=0,"",IF(E3398&lt;&gt;"",E3398,IF(B3398="","",IFERROR(IF(INDEX(pr_price,MATCH(B3398,pr_code,0))="","",INDEX(pr_price,MATCH(B3398,pr_code,0))),""))))</f>
        <v/>
      </c>
      <c r="K3398" s="71" t="str">
        <f>IF(COUNTA(A3398:G3398)=0,"",IF(G3398&lt;&gt;"",G3398,IF(B3398="","",IFERROR(IF(INDEX(pr_rate,MATCH(B3398,pr_code,0))="","",INDEX(pr_rate,MATCH(B3398,pr_code,0))),""))))</f>
        <v/>
      </c>
      <c r="L3398" s="65" t="str">
        <f>IF(COUNTA(A3398:G3398)=0,"",IF(AND(ISNUMBER(D3398),ISNUMBER(J3398)),ROUND(D3398*J3398*(1-N(F3398)),2),0))</f>
        <v/>
      </c>
      <c r="M3398" s="62" t="str">
        <f>IF(A3398="","",IFERROR(INDEX(fa_cname,MATCH(A3398,fa_num,0))&amp;"",""))</f>
        <v/>
      </c>
      <c r="N3398" s="59" t="str">
        <f>IF(COUNTA(A3398:G3398)=0,"",IF(A3398="","N° facture manquant",IF(ISNA(MATCH(A3398,fa_num,0)),"Facture inconnue",IF(AND(B3398&lt;&gt;"",ISNA(MATCH(B3398,pr_code,0))),"Article inconnu",IF(H3398="","Désignation manquante",IF(OR(NOT(ISNUMBER(D3398)),N(D3398)&lt;=0),"Quantité invalide",IF(J3398="","Prix manquant",IF(OR(NOT(ISNUMBER(J3398)),N(J3398)&lt;0),"Prix invalide",IF(OR(AND(F3398&lt;&gt;"",NOT(ISNUMBER(F3398))),N(F3398)&lt;0,N(F3398)&gt;1),"Remise invalide",IF(K3398="","Taux de TVA manquant",IF(NOT(ISNUMBER(K3398)),"Taux de TVA invalide",IF(COUNTIF(p_rates,K3398)=0,"Taux de TVA hors liste (Paramètres)",IF(N(O3398)&gt;25,"Au-delà de 25 lignes : non imprimée","OK")))))))))))))</f>
        <v/>
      </c>
      <c r="O3398" s="59" t="str">
        <f>IF(A3398="","",COUNTIF($A$6:A3398,A3398))</f>
        <v/>
      </c>
      <c r="P3398" s="62" t="str">
        <f>IF(A3398="","",A3398&amp;"|"&amp;O3398)</f>
        <v/>
      </c>
    </row>
    <row r="3399">
      <c r="A3399" s="60" t="n"/>
      <c r="B3399" s="63" t="n"/>
      <c r="C3399" s="63" t="n"/>
      <c r="D3399" s="67" t="n"/>
      <c r="E3399" s="68" t="n"/>
      <c r="F3399" s="69" t="n"/>
      <c r="G3399" s="70" t="n"/>
      <c r="H3399" s="62" t="str">
        <f>IF(COUNTA(A3399:G3399)=0,"",IF(C3399&lt;&gt;"",C3399,IF(B3399="","",IFERROR(INDEX(pr_des,MATCH(B3399,pr_code,0))&amp;"",""))))</f>
        <v/>
      </c>
      <c r="I3399" s="59" t="str">
        <f>IF(B3399="","",IFERROR(INDEX(pr_unit,MATCH(B3399,pr_code,0))&amp;"",""))</f>
        <v/>
      </c>
      <c r="J3399" s="65" t="str">
        <f>IF(COUNTA(A3399:G3399)=0,"",IF(E3399&lt;&gt;"",E3399,IF(B3399="","",IFERROR(IF(INDEX(pr_price,MATCH(B3399,pr_code,0))="","",INDEX(pr_price,MATCH(B3399,pr_code,0))),""))))</f>
        <v/>
      </c>
      <c r="K3399" s="71" t="str">
        <f>IF(COUNTA(A3399:G3399)=0,"",IF(G3399&lt;&gt;"",G3399,IF(B3399="","",IFERROR(IF(INDEX(pr_rate,MATCH(B3399,pr_code,0))="","",INDEX(pr_rate,MATCH(B3399,pr_code,0))),""))))</f>
        <v/>
      </c>
      <c r="L3399" s="65" t="str">
        <f>IF(COUNTA(A3399:G3399)=0,"",IF(AND(ISNUMBER(D3399),ISNUMBER(J3399)),ROUND(D3399*J3399*(1-N(F3399)),2),0))</f>
        <v/>
      </c>
      <c r="M3399" s="62" t="str">
        <f>IF(A3399="","",IFERROR(INDEX(fa_cname,MATCH(A3399,fa_num,0))&amp;"",""))</f>
        <v/>
      </c>
      <c r="N3399" s="59" t="str">
        <f>IF(COUNTA(A3399:G3399)=0,"",IF(A3399="","N° facture manquant",IF(ISNA(MATCH(A3399,fa_num,0)),"Facture inconnue",IF(AND(B3399&lt;&gt;"",ISNA(MATCH(B3399,pr_code,0))),"Article inconnu",IF(H3399="","Désignation manquante",IF(OR(NOT(ISNUMBER(D3399)),N(D3399)&lt;=0),"Quantité invalide",IF(J3399="","Prix manquant",IF(OR(NOT(ISNUMBER(J3399)),N(J3399)&lt;0),"Prix invalide",IF(OR(AND(F3399&lt;&gt;"",NOT(ISNUMBER(F3399))),N(F3399)&lt;0,N(F3399)&gt;1),"Remise invalide",IF(K3399="","Taux de TVA manquant",IF(NOT(ISNUMBER(K3399)),"Taux de TVA invalide",IF(COUNTIF(p_rates,K3399)=0,"Taux de TVA hors liste (Paramètres)",IF(N(O3399)&gt;25,"Au-delà de 25 lignes : non imprimée","OK")))))))))))))</f>
        <v/>
      </c>
      <c r="O3399" s="59" t="str">
        <f>IF(A3399="","",COUNTIF($A$6:A3399,A3399))</f>
        <v/>
      </c>
      <c r="P3399" s="62" t="str">
        <f>IF(A3399="","",A3399&amp;"|"&amp;O3399)</f>
        <v/>
      </c>
    </row>
    <row r="3400">
      <c r="A3400" s="60" t="n"/>
      <c r="B3400" s="63" t="n"/>
      <c r="C3400" s="63" t="n"/>
      <c r="D3400" s="67" t="n"/>
      <c r="E3400" s="68" t="n"/>
      <c r="F3400" s="69" t="n"/>
      <c r="G3400" s="70" t="n"/>
      <c r="H3400" s="62" t="str">
        <f>IF(COUNTA(A3400:G3400)=0,"",IF(C3400&lt;&gt;"",C3400,IF(B3400="","",IFERROR(INDEX(pr_des,MATCH(B3400,pr_code,0))&amp;"",""))))</f>
        <v/>
      </c>
      <c r="I3400" s="59" t="str">
        <f>IF(B3400="","",IFERROR(INDEX(pr_unit,MATCH(B3400,pr_code,0))&amp;"",""))</f>
        <v/>
      </c>
      <c r="J3400" s="65" t="str">
        <f>IF(COUNTA(A3400:G3400)=0,"",IF(E3400&lt;&gt;"",E3400,IF(B3400="","",IFERROR(IF(INDEX(pr_price,MATCH(B3400,pr_code,0))="","",INDEX(pr_price,MATCH(B3400,pr_code,0))),""))))</f>
        <v/>
      </c>
      <c r="K3400" s="71" t="str">
        <f>IF(COUNTA(A3400:G3400)=0,"",IF(G3400&lt;&gt;"",G3400,IF(B3400="","",IFERROR(IF(INDEX(pr_rate,MATCH(B3400,pr_code,0))="","",INDEX(pr_rate,MATCH(B3400,pr_code,0))),""))))</f>
        <v/>
      </c>
      <c r="L3400" s="65" t="str">
        <f>IF(COUNTA(A3400:G3400)=0,"",IF(AND(ISNUMBER(D3400),ISNUMBER(J3400)),ROUND(D3400*J3400*(1-N(F3400)),2),0))</f>
        <v/>
      </c>
      <c r="M3400" s="62" t="str">
        <f>IF(A3400="","",IFERROR(INDEX(fa_cname,MATCH(A3400,fa_num,0))&amp;"",""))</f>
        <v/>
      </c>
      <c r="N3400" s="59" t="str">
        <f>IF(COUNTA(A3400:G3400)=0,"",IF(A3400="","N° facture manquant",IF(ISNA(MATCH(A3400,fa_num,0)),"Facture inconnue",IF(AND(B3400&lt;&gt;"",ISNA(MATCH(B3400,pr_code,0))),"Article inconnu",IF(H3400="","Désignation manquante",IF(OR(NOT(ISNUMBER(D3400)),N(D3400)&lt;=0),"Quantité invalide",IF(J3400="","Prix manquant",IF(OR(NOT(ISNUMBER(J3400)),N(J3400)&lt;0),"Prix invalide",IF(OR(AND(F3400&lt;&gt;"",NOT(ISNUMBER(F3400))),N(F3400)&lt;0,N(F3400)&gt;1),"Remise invalide",IF(K3400="","Taux de TVA manquant",IF(NOT(ISNUMBER(K3400)),"Taux de TVA invalide",IF(COUNTIF(p_rates,K3400)=0,"Taux de TVA hors liste (Paramètres)",IF(N(O3400)&gt;25,"Au-delà de 25 lignes : non imprimée","OK")))))))))))))</f>
        <v/>
      </c>
      <c r="O3400" s="59" t="str">
        <f>IF(A3400="","",COUNTIF($A$6:A3400,A3400))</f>
        <v/>
      </c>
      <c r="P3400" s="62" t="str">
        <f>IF(A3400="","",A3400&amp;"|"&amp;O3400)</f>
        <v/>
      </c>
    </row>
    <row r="3401">
      <c r="A3401" s="60" t="n"/>
      <c r="B3401" s="63" t="n"/>
      <c r="C3401" s="63" t="n"/>
      <c r="D3401" s="67" t="n"/>
      <c r="E3401" s="68" t="n"/>
      <c r="F3401" s="69" t="n"/>
      <c r="G3401" s="70" t="n"/>
      <c r="H3401" s="62" t="str">
        <f>IF(COUNTA(A3401:G3401)=0,"",IF(C3401&lt;&gt;"",C3401,IF(B3401="","",IFERROR(INDEX(pr_des,MATCH(B3401,pr_code,0))&amp;"",""))))</f>
        <v/>
      </c>
      <c r="I3401" s="59" t="str">
        <f>IF(B3401="","",IFERROR(INDEX(pr_unit,MATCH(B3401,pr_code,0))&amp;"",""))</f>
        <v/>
      </c>
      <c r="J3401" s="65" t="str">
        <f>IF(COUNTA(A3401:G3401)=0,"",IF(E3401&lt;&gt;"",E3401,IF(B3401="","",IFERROR(IF(INDEX(pr_price,MATCH(B3401,pr_code,0))="","",INDEX(pr_price,MATCH(B3401,pr_code,0))),""))))</f>
        <v/>
      </c>
      <c r="K3401" s="71" t="str">
        <f>IF(COUNTA(A3401:G3401)=0,"",IF(G3401&lt;&gt;"",G3401,IF(B3401="","",IFERROR(IF(INDEX(pr_rate,MATCH(B3401,pr_code,0))="","",INDEX(pr_rate,MATCH(B3401,pr_code,0))),""))))</f>
        <v/>
      </c>
      <c r="L3401" s="65" t="str">
        <f>IF(COUNTA(A3401:G3401)=0,"",IF(AND(ISNUMBER(D3401),ISNUMBER(J3401)),ROUND(D3401*J3401*(1-N(F3401)),2),0))</f>
        <v/>
      </c>
      <c r="M3401" s="62" t="str">
        <f>IF(A3401="","",IFERROR(INDEX(fa_cname,MATCH(A3401,fa_num,0))&amp;"",""))</f>
        <v/>
      </c>
      <c r="N3401" s="59" t="str">
        <f>IF(COUNTA(A3401:G3401)=0,"",IF(A3401="","N° facture manquant",IF(ISNA(MATCH(A3401,fa_num,0)),"Facture inconnue",IF(AND(B3401&lt;&gt;"",ISNA(MATCH(B3401,pr_code,0))),"Article inconnu",IF(H3401="","Désignation manquante",IF(OR(NOT(ISNUMBER(D3401)),N(D3401)&lt;=0),"Quantité invalide",IF(J3401="","Prix manquant",IF(OR(NOT(ISNUMBER(J3401)),N(J3401)&lt;0),"Prix invalide",IF(OR(AND(F3401&lt;&gt;"",NOT(ISNUMBER(F3401))),N(F3401)&lt;0,N(F3401)&gt;1),"Remise invalide",IF(K3401="","Taux de TVA manquant",IF(NOT(ISNUMBER(K3401)),"Taux de TVA invalide",IF(COUNTIF(p_rates,K3401)=0,"Taux de TVA hors liste (Paramètres)",IF(N(O3401)&gt;25,"Au-delà de 25 lignes : non imprimée","OK")))))))))))))</f>
        <v/>
      </c>
      <c r="O3401" s="59" t="str">
        <f>IF(A3401="","",COUNTIF($A$6:A3401,A3401))</f>
        <v/>
      </c>
      <c r="P3401" s="62" t="str">
        <f>IF(A3401="","",A3401&amp;"|"&amp;O3401)</f>
        <v/>
      </c>
    </row>
    <row r="3402">
      <c r="A3402" s="60" t="n"/>
      <c r="B3402" s="63" t="n"/>
      <c r="C3402" s="63" t="n"/>
      <c r="D3402" s="67" t="n"/>
      <c r="E3402" s="68" t="n"/>
      <c r="F3402" s="69" t="n"/>
      <c r="G3402" s="70" t="n"/>
      <c r="H3402" s="62" t="str">
        <f>IF(COUNTA(A3402:G3402)=0,"",IF(C3402&lt;&gt;"",C3402,IF(B3402="","",IFERROR(INDEX(pr_des,MATCH(B3402,pr_code,0))&amp;"",""))))</f>
        <v/>
      </c>
      <c r="I3402" s="59" t="str">
        <f>IF(B3402="","",IFERROR(INDEX(pr_unit,MATCH(B3402,pr_code,0))&amp;"",""))</f>
        <v/>
      </c>
      <c r="J3402" s="65" t="str">
        <f>IF(COUNTA(A3402:G3402)=0,"",IF(E3402&lt;&gt;"",E3402,IF(B3402="","",IFERROR(IF(INDEX(pr_price,MATCH(B3402,pr_code,0))="","",INDEX(pr_price,MATCH(B3402,pr_code,0))),""))))</f>
        <v/>
      </c>
      <c r="K3402" s="71" t="str">
        <f>IF(COUNTA(A3402:G3402)=0,"",IF(G3402&lt;&gt;"",G3402,IF(B3402="","",IFERROR(IF(INDEX(pr_rate,MATCH(B3402,pr_code,0))="","",INDEX(pr_rate,MATCH(B3402,pr_code,0))),""))))</f>
        <v/>
      </c>
      <c r="L3402" s="65" t="str">
        <f>IF(COUNTA(A3402:G3402)=0,"",IF(AND(ISNUMBER(D3402),ISNUMBER(J3402)),ROUND(D3402*J3402*(1-N(F3402)),2),0))</f>
        <v/>
      </c>
      <c r="M3402" s="62" t="str">
        <f>IF(A3402="","",IFERROR(INDEX(fa_cname,MATCH(A3402,fa_num,0))&amp;"",""))</f>
        <v/>
      </c>
      <c r="N3402" s="59" t="str">
        <f>IF(COUNTA(A3402:G3402)=0,"",IF(A3402="","N° facture manquant",IF(ISNA(MATCH(A3402,fa_num,0)),"Facture inconnue",IF(AND(B3402&lt;&gt;"",ISNA(MATCH(B3402,pr_code,0))),"Article inconnu",IF(H3402="","Désignation manquante",IF(OR(NOT(ISNUMBER(D3402)),N(D3402)&lt;=0),"Quantité invalide",IF(J3402="","Prix manquant",IF(OR(NOT(ISNUMBER(J3402)),N(J3402)&lt;0),"Prix invalide",IF(OR(AND(F3402&lt;&gt;"",NOT(ISNUMBER(F3402))),N(F3402)&lt;0,N(F3402)&gt;1),"Remise invalide",IF(K3402="","Taux de TVA manquant",IF(NOT(ISNUMBER(K3402)),"Taux de TVA invalide",IF(COUNTIF(p_rates,K3402)=0,"Taux de TVA hors liste (Paramètres)",IF(N(O3402)&gt;25,"Au-delà de 25 lignes : non imprimée","OK")))))))))))))</f>
        <v/>
      </c>
      <c r="O3402" s="59" t="str">
        <f>IF(A3402="","",COUNTIF($A$6:A3402,A3402))</f>
        <v/>
      </c>
      <c r="P3402" s="62" t="str">
        <f>IF(A3402="","",A3402&amp;"|"&amp;O3402)</f>
        <v/>
      </c>
    </row>
    <row r="3403">
      <c r="A3403" s="60" t="n"/>
      <c r="B3403" s="63" t="n"/>
      <c r="C3403" s="63" t="n"/>
      <c r="D3403" s="67" t="n"/>
      <c r="E3403" s="68" t="n"/>
      <c r="F3403" s="69" t="n"/>
      <c r="G3403" s="70" t="n"/>
      <c r="H3403" s="62" t="str">
        <f>IF(COUNTA(A3403:G3403)=0,"",IF(C3403&lt;&gt;"",C3403,IF(B3403="","",IFERROR(INDEX(pr_des,MATCH(B3403,pr_code,0))&amp;"",""))))</f>
        <v/>
      </c>
      <c r="I3403" s="59" t="str">
        <f>IF(B3403="","",IFERROR(INDEX(pr_unit,MATCH(B3403,pr_code,0))&amp;"",""))</f>
        <v/>
      </c>
      <c r="J3403" s="65" t="str">
        <f>IF(COUNTA(A3403:G3403)=0,"",IF(E3403&lt;&gt;"",E3403,IF(B3403="","",IFERROR(IF(INDEX(pr_price,MATCH(B3403,pr_code,0))="","",INDEX(pr_price,MATCH(B3403,pr_code,0))),""))))</f>
        <v/>
      </c>
      <c r="K3403" s="71" t="str">
        <f>IF(COUNTA(A3403:G3403)=0,"",IF(G3403&lt;&gt;"",G3403,IF(B3403="","",IFERROR(IF(INDEX(pr_rate,MATCH(B3403,pr_code,0))="","",INDEX(pr_rate,MATCH(B3403,pr_code,0))),""))))</f>
        <v/>
      </c>
      <c r="L3403" s="65" t="str">
        <f>IF(COUNTA(A3403:G3403)=0,"",IF(AND(ISNUMBER(D3403),ISNUMBER(J3403)),ROUND(D3403*J3403*(1-N(F3403)),2),0))</f>
        <v/>
      </c>
      <c r="M3403" s="62" t="str">
        <f>IF(A3403="","",IFERROR(INDEX(fa_cname,MATCH(A3403,fa_num,0))&amp;"",""))</f>
        <v/>
      </c>
      <c r="N3403" s="59" t="str">
        <f>IF(COUNTA(A3403:G3403)=0,"",IF(A3403="","N° facture manquant",IF(ISNA(MATCH(A3403,fa_num,0)),"Facture inconnue",IF(AND(B3403&lt;&gt;"",ISNA(MATCH(B3403,pr_code,0))),"Article inconnu",IF(H3403="","Désignation manquante",IF(OR(NOT(ISNUMBER(D3403)),N(D3403)&lt;=0),"Quantité invalide",IF(J3403="","Prix manquant",IF(OR(NOT(ISNUMBER(J3403)),N(J3403)&lt;0),"Prix invalide",IF(OR(AND(F3403&lt;&gt;"",NOT(ISNUMBER(F3403))),N(F3403)&lt;0,N(F3403)&gt;1),"Remise invalide",IF(K3403="","Taux de TVA manquant",IF(NOT(ISNUMBER(K3403)),"Taux de TVA invalide",IF(COUNTIF(p_rates,K3403)=0,"Taux de TVA hors liste (Paramètres)",IF(N(O3403)&gt;25,"Au-delà de 25 lignes : non imprimée","OK")))))))))))))</f>
        <v/>
      </c>
      <c r="O3403" s="59" t="str">
        <f>IF(A3403="","",COUNTIF($A$6:A3403,A3403))</f>
        <v/>
      </c>
      <c r="P3403" s="62" t="str">
        <f>IF(A3403="","",A3403&amp;"|"&amp;O3403)</f>
        <v/>
      </c>
    </row>
    <row r="3404">
      <c r="A3404" s="60" t="n"/>
      <c r="B3404" s="63" t="n"/>
      <c r="C3404" s="63" t="n"/>
      <c r="D3404" s="67" t="n"/>
      <c r="E3404" s="68" t="n"/>
      <c r="F3404" s="69" t="n"/>
      <c r="G3404" s="70" t="n"/>
      <c r="H3404" s="62" t="str">
        <f>IF(COUNTA(A3404:G3404)=0,"",IF(C3404&lt;&gt;"",C3404,IF(B3404="","",IFERROR(INDEX(pr_des,MATCH(B3404,pr_code,0))&amp;"",""))))</f>
        <v/>
      </c>
      <c r="I3404" s="59" t="str">
        <f>IF(B3404="","",IFERROR(INDEX(pr_unit,MATCH(B3404,pr_code,0))&amp;"",""))</f>
        <v/>
      </c>
      <c r="J3404" s="65" t="str">
        <f>IF(COUNTA(A3404:G3404)=0,"",IF(E3404&lt;&gt;"",E3404,IF(B3404="","",IFERROR(IF(INDEX(pr_price,MATCH(B3404,pr_code,0))="","",INDEX(pr_price,MATCH(B3404,pr_code,0))),""))))</f>
        <v/>
      </c>
      <c r="K3404" s="71" t="str">
        <f>IF(COUNTA(A3404:G3404)=0,"",IF(G3404&lt;&gt;"",G3404,IF(B3404="","",IFERROR(IF(INDEX(pr_rate,MATCH(B3404,pr_code,0))="","",INDEX(pr_rate,MATCH(B3404,pr_code,0))),""))))</f>
        <v/>
      </c>
      <c r="L3404" s="65" t="str">
        <f>IF(COUNTA(A3404:G3404)=0,"",IF(AND(ISNUMBER(D3404),ISNUMBER(J3404)),ROUND(D3404*J3404*(1-N(F3404)),2),0))</f>
        <v/>
      </c>
      <c r="M3404" s="62" t="str">
        <f>IF(A3404="","",IFERROR(INDEX(fa_cname,MATCH(A3404,fa_num,0))&amp;"",""))</f>
        <v/>
      </c>
      <c r="N3404" s="59" t="str">
        <f>IF(COUNTA(A3404:G3404)=0,"",IF(A3404="","N° facture manquant",IF(ISNA(MATCH(A3404,fa_num,0)),"Facture inconnue",IF(AND(B3404&lt;&gt;"",ISNA(MATCH(B3404,pr_code,0))),"Article inconnu",IF(H3404="","Désignation manquante",IF(OR(NOT(ISNUMBER(D3404)),N(D3404)&lt;=0),"Quantité invalide",IF(J3404="","Prix manquant",IF(OR(NOT(ISNUMBER(J3404)),N(J3404)&lt;0),"Prix invalide",IF(OR(AND(F3404&lt;&gt;"",NOT(ISNUMBER(F3404))),N(F3404)&lt;0,N(F3404)&gt;1),"Remise invalide",IF(K3404="","Taux de TVA manquant",IF(NOT(ISNUMBER(K3404)),"Taux de TVA invalide",IF(COUNTIF(p_rates,K3404)=0,"Taux de TVA hors liste (Paramètres)",IF(N(O3404)&gt;25,"Au-delà de 25 lignes : non imprimée","OK")))))))))))))</f>
        <v/>
      </c>
      <c r="O3404" s="59" t="str">
        <f>IF(A3404="","",COUNTIF($A$6:A3404,A3404))</f>
        <v/>
      </c>
      <c r="P3404" s="62" t="str">
        <f>IF(A3404="","",A3404&amp;"|"&amp;O3404)</f>
        <v/>
      </c>
    </row>
    <row r="3405">
      <c r="A3405" s="60" t="n"/>
      <c r="B3405" s="63" t="n"/>
      <c r="C3405" s="63" t="n"/>
      <c r="D3405" s="67" t="n"/>
      <c r="E3405" s="68" t="n"/>
      <c r="F3405" s="69" t="n"/>
      <c r="G3405" s="70" t="n"/>
      <c r="H3405" s="62" t="str">
        <f>IF(COUNTA(A3405:G3405)=0,"",IF(C3405&lt;&gt;"",C3405,IF(B3405="","",IFERROR(INDEX(pr_des,MATCH(B3405,pr_code,0))&amp;"",""))))</f>
        <v/>
      </c>
      <c r="I3405" s="59" t="str">
        <f>IF(B3405="","",IFERROR(INDEX(pr_unit,MATCH(B3405,pr_code,0))&amp;"",""))</f>
        <v/>
      </c>
      <c r="J3405" s="65" t="str">
        <f>IF(COUNTA(A3405:G3405)=0,"",IF(E3405&lt;&gt;"",E3405,IF(B3405="","",IFERROR(IF(INDEX(pr_price,MATCH(B3405,pr_code,0))="","",INDEX(pr_price,MATCH(B3405,pr_code,0))),""))))</f>
        <v/>
      </c>
      <c r="K3405" s="71" t="str">
        <f>IF(COUNTA(A3405:G3405)=0,"",IF(G3405&lt;&gt;"",G3405,IF(B3405="","",IFERROR(IF(INDEX(pr_rate,MATCH(B3405,pr_code,0))="","",INDEX(pr_rate,MATCH(B3405,pr_code,0))),""))))</f>
        <v/>
      </c>
      <c r="L3405" s="65" t="str">
        <f>IF(COUNTA(A3405:G3405)=0,"",IF(AND(ISNUMBER(D3405),ISNUMBER(J3405)),ROUND(D3405*J3405*(1-N(F3405)),2),0))</f>
        <v/>
      </c>
      <c r="M3405" s="62" t="str">
        <f>IF(A3405="","",IFERROR(INDEX(fa_cname,MATCH(A3405,fa_num,0))&amp;"",""))</f>
        <v/>
      </c>
      <c r="N3405" s="59" t="str">
        <f>IF(COUNTA(A3405:G3405)=0,"",IF(A3405="","N° facture manquant",IF(ISNA(MATCH(A3405,fa_num,0)),"Facture inconnue",IF(AND(B3405&lt;&gt;"",ISNA(MATCH(B3405,pr_code,0))),"Article inconnu",IF(H3405="","Désignation manquante",IF(OR(NOT(ISNUMBER(D3405)),N(D3405)&lt;=0),"Quantité invalide",IF(J3405="","Prix manquant",IF(OR(NOT(ISNUMBER(J3405)),N(J3405)&lt;0),"Prix invalide",IF(OR(AND(F3405&lt;&gt;"",NOT(ISNUMBER(F3405))),N(F3405)&lt;0,N(F3405)&gt;1),"Remise invalide",IF(K3405="","Taux de TVA manquant",IF(NOT(ISNUMBER(K3405)),"Taux de TVA invalide",IF(COUNTIF(p_rates,K3405)=0,"Taux de TVA hors liste (Paramètres)",IF(N(O3405)&gt;25,"Au-delà de 25 lignes : non imprimée","OK")))))))))))))</f>
        <v/>
      </c>
      <c r="O3405" s="59" t="str">
        <f>IF(A3405="","",COUNTIF($A$6:A3405,A3405))</f>
        <v/>
      </c>
      <c r="P3405" s="62" t="str">
        <f>IF(A3405="","",A3405&amp;"|"&amp;O3405)</f>
        <v/>
      </c>
    </row>
    <row r="3406">
      <c r="A3406" s="60" t="n"/>
      <c r="B3406" s="63" t="n"/>
      <c r="C3406" s="63" t="n"/>
      <c r="D3406" s="67" t="n"/>
      <c r="E3406" s="68" t="n"/>
      <c r="F3406" s="69" t="n"/>
      <c r="G3406" s="70" t="n"/>
      <c r="H3406" s="62" t="str">
        <f>IF(COUNTA(A3406:G3406)=0,"",IF(C3406&lt;&gt;"",C3406,IF(B3406="","",IFERROR(INDEX(pr_des,MATCH(B3406,pr_code,0))&amp;"",""))))</f>
        <v/>
      </c>
      <c r="I3406" s="59" t="str">
        <f>IF(B3406="","",IFERROR(INDEX(pr_unit,MATCH(B3406,pr_code,0))&amp;"",""))</f>
        <v/>
      </c>
      <c r="J3406" s="65" t="str">
        <f>IF(COUNTA(A3406:G3406)=0,"",IF(E3406&lt;&gt;"",E3406,IF(B3406="","",IFERROR(IF(INDEX(pr_price,MATCH(B3406,pr_code,0))="","",INDEX(pr_price,MATCH(B3406,pr_code,0))),""))))</f>
        <v/>
      </c>
      <c r="K3406" s="71" t="str">
        <f>IF(COUNTA(A3406:G3406)=0,"",IF(G3406&lt;&gt;"",G3406,IF(B3406="","",IFERROR(IF(INDEX(pr_rate,MATCH(B3406,pr_code,0))="","",INDEX(pr_rate,MATCH(B3406,pr_code,0))),""))))</f>
        <v/>
      </c>
      <c r="L3406" s="65" t="str">
        <f>IF(COUNTA(A3406:G3406)=0,"",IF(AND(ISNUMBER(D3406),ISNUMBER(J3406)),ROUND(D3406*J3406*(1-N(F3406)),2),0))</f>
        <v/>
      </c>
      <c r="M3406" s="62" t="str">
        <f>IF(A3406="","",IFERROR(INDEX(fa_cname,MATCH(A3406,fa_num,0))&amp;"",""))</f>
        <v/>
      </c>
      <c r="N3406" s="59" t="str">
        <f>IF(COUNTA(A3406:G3406)=0,"",IF(A3406="","N° facture manquant",IF(ISNA(MATCH(A3406,fa_num,0)),"Facture inconnue",IF(AND(B3406&lt;&gt;"",ISNA(MATCH(B3406,pr_code,0))),"Article inconnu",IF(H3406="","Désignation manquante",IF(OR(NOT(ISNUMBER(D3406)),N(D3406)&lt;=0),"Quantité invalide",IF(J3406="","Prix manquant",IF(OR(NOT(ISNUMBER(J3406)),N(J3406)&lt;0),"Prix invalide",IF(OR(AND(F3406&lt;&gt;"",NOT(ISNUMBER(F3406))),N(F3406)&lt;0,N(F3406)&gt;1),"Remise invalide",IF(K3406="","Taux de TVA manquant",IF(NOT(ISNUMBER(K3406)),"Taux de TVA invalide",IF(COUNTIF(p_rates,K3406)=0,"Taux de TVA hors liste (Paramètres)",IF(N(O3406)&gt;25,"Au-delà de 25 lignes : non imprimée","OK")))))))))))))</f>
        <v/>
      </c>
      <c r="O3406" s="59" t="str">
        <f>IF(A3406="","",COUNTIF($A$6:A3406,A3406))</f>
        <v/>
      </c>
      <c r="P3406" s="62" t="str">
        <f>IF(A3406="","",A3406&amp;"|"&amp;O3406)</f>
        <v/>
      </c>
    </row>
    <row r="3407">
      <c r="A3407" s="60" t="n"/>
      <c r="B3407" s="63" t="n"/>
      <c r="C3407" s="63" t="n"/>
      <c r="D3407" s="67" t="n"/>
      <c r="E3407" s="68" t="n"/>
      <c r="F3407" s="69" t="n"/>
      <c r="G3407" s="70" t="n"/>
      <c r="H3407" s="62" t="str">
        <f>IF(COUNTA(A3407:G3407)=0,"",IF(C3407&lt;&gt;"",C3407,IF(B3407="","",IFERROR(INDEX(pr_des,MATCH(B3407,pr_code,0))&amp;"",""))))</f>
        <v/>
      </c>
      <c r="I3407" s="59" t="str">
        <f>IF(B3407="","",IFERROR(INDEX(pr_unit,MATCH(B3407,pr_code,0))&amp;"",""))</f>
        <v/>
      </c>
      <c r="J3407" s="65" t="str">
        <f>IF(COUNTA(A3407:G3407)=0,"",IF(E3407&lt;&gt;"",E3407,IF(B3407="","",IFERROR(IF(INDEX(pr_price,MATCH(B3407,pr_code,0))="","",INDEX(pr_price,MATCH(B3407,pr_code,0))),""))))</f>
        <v/>
      </c>
      <c r="K3407" s="71" t="str">
        <f>IF(COUNTA(A3407:G3407)=0,"",IF(G3407&lt;&gt;"",G3407,IF(B3407="","",IFERROR(IF(INDEX(pr_rate,MATCH(B3407,pr_code,0))="","",INDEX(pr_rate,MATCH(B3407,pr_code,0))),""))))</f>
        <v/>
      </c>
      <c r="L3407" s="65" t="str">
        <f>IF(COUNTA(A3407:G3407)=0,"",IF(AND(ISNUMBER(D3407),ISNUMBER(J3407)),ROUND(D3407*J3407*(1-N(F3407)),2),0))</f>
        <v/>
      </c>
      <c r="M3407" s="62" t="str">
        <f>IF(A3407="","",IFERROR(INDEX(fa_cname,MATCH(A3407,fa_num,0))&amp;"",""))</f>
        <v/>
      </c>
      <c r="N3407" s="59" t="str">
        <f>IF(COUNTA(A3407:G3407)=0,"",IF(A3407="","N° facture manquant",IF(ISNA(MATCH(A3407,fa_num,0)),"Facture inconnue",IF(AND(B3407&lt;&gt;"",ISNA(MATCH(B3407,pr_code,0))),"Article inconnu",IF(H3407="","Désignation manquante",IF(OR(NOT(ISNUMBER(D3407)),N(D3407)&lt;=0),"Quantité invalide",IF(J3407="","Prix manquant",IF(OR(NOT(ISNUMBER(J3407)),N(J3407)&lt;0),"Prix invalide",IF(OR(AND(F3407&lt;&gt;"",NOT(ISNUMBER(F3407))),N(F3407)&lt;0,N(F3407)&gt;1),"Remise invalide",IF(K3407="","Taux de TVA manquant",IF(NOT(ISNUMBER(K3407)),"Taux de TVA invalide",IF(COUNTIF(p_rates,K3407)=0,"Taux de TVA hors liste (Paramètres)",IF(N(O3407)&gt;25,"Au-delà de 25 lignes : non imprimée","OK")))))))))))))</f>
        <v/>
      </c>
      <c r="O3407" s="59" t="str">
        <f>IF(A3407="","",COUNTIF($A$6:A3407,A3407))</f>
        <v/>
      </c>
      <c r="P3407" s="62" t="str">
        <f>IF(A3407="","",A3407&amp;"|"&amp;O3407)</f>
        <v/>
      </c>
    </row>
    <row r="3408">
      <c r="A3408" s="60" t="n"/>
      <c r="B3408" s="63" t="n"/>
      <c r="C3408" s="63" t="n"/>
      <c r="D3408" s="67" t="n"/>
      <c r="E3408" s="68" t="n"/>
      <c r="F3408" s="69" t="n"/>
      <c r="G3408" s="70" t="n"/>
      <c r="H3408" s="62" t="str">
        <f>IF(COUNTA(A3408:G3408)=0,"",IF(C3408&lt;&gt;"",C3408,IF(B3408="","",IFERROR(INDEX(pr_des,MATCH(B3408,pr_code,0))&amp;"",""))))</f>
        <v/>
      </c>
      <c r="I3408" s="59" t="str">
        <f>IF(B3408="","",IFERROR(INDEX(pr_unit,MATCH(B3408,pr_code,0))&amp;"",""))</f>
        <v/>
      </c>
      <c r="J3408" s="65" t="str">
        <f>IF(COUNTA(A3408:G3408)=0,"",IF(E3408&lt;&gt;"",E3408,IF(B3408="","",IFERROR(IF(INDEX(pr_price,MATCH(B3408,pr_code,0))="","",INDEX(pr_price,MATCH(B3408,pr_code,0))),""))))</f>
        <v/>
      </c>
      <c r="K3408" s="71" t="str">
        <f>IF(COUNTA(A3408:G3408)=0,"",IF(G3408&lt;&gt;"",G3408,IF(B3408="","",IFERROR(IF(INDEX(pr_rate,MATCH(B3408,pr_code,0))="","",INDEX(pr_rate,MATCH(B3408,pr_code,0))),""))))</f>
        <v/>
      </c>
      <c r="L3408" s="65" t="str">
        <f>IF(COUNTA(A3408:G3408)=0,"",IF(AND(ISNUMBER(D3408),ISNUMBER(J3408)),ROUND(D3408*J3408*(1-N(F3408)),2),0))</f>
        <v/>
      </c>
      <c r="M3408" s="62" t="str">
        <f>IF(A3408="","",IFERROR(INDEX(fa_cname,MATCH(A3408,fa_num,0))&amp;"",""))</f>
        <v/>
      </c>
      <c r="N3408" s="59" t="str">
        <f>IF(COUNTA(A3408:G3408)=0,"",IF(A3408="","N° facture manquant",IF(ISNA(MATCH(A3408,fa_num,0)),"Facture inconnue",IF(AND(B3408&lt;&gt;"",ISNA(MATCH(B3408,pr_code,0))),"Article inconnu",IF(H3408="","Désignation manquante",IF(OR(NOT(ISNUMBER(D3408)),N(D3408)&lt;=0),"Quantité invalide",IF(J3408="","Prix manquant",IF(OR(NOT(ISNUMBER(J3408)),N(J3408)&lt;0),"Prix invalide",IF(OR(AND(F3408&lt;&gt;"",NOT(ISNUMBER(F3408))),N(F3408)&lt;0,N(F3408)&gt;1),"Remise invalide",IF(K3408="","Taux de TVA manquant",IF(NOT(ISNUMBER(K3408)),"Taux de TVA invalide",IF(COUNTIF(p_rates,K3408)=0,"Taux de TVA hors liste (Paramètres)",IF(N(O3408)&gt;25,"Au-delà de 25 lignes : non imprimée","OK")))))))))))))</f>
        <v/>
      </c>
      <c r="O3408" s="59" t="str">
        <f>IF(A3408="","",COUNTIF($A$6:A3408,A3408))</f>
        <v/>
      </c>
      <c r="P3408" s="62" t="str">
        <f>IF(A3408="","",A3408&amp;"|"&amp;O3408)</f>
        <v/>
      </c>
    </row>
    <row r="3409">
      <c r="A3409" s="60" t="n"/>
      <c r="B3409" s="63" t="n"/>
      <c r="C3409" s="63" t="n"/>
      <c r="D3409" s="67" t="n"/>
      <c r="E3409" s="68" t="n"/>
      <c r="F3409" s="69" t="n"/>
      <c r="G3409" s="70" t="n"/>
      <c r="H3409" s="62" t="str">
        <f>IF(COUNTA(A3409:G3409)=0,"",IF(C3409&lt;&gt;"",C3409,IF(B3409="","",IFERROR(INDEX(pr_des,MATCH(B3409,pr_code,0))&amp;"",""))))</f>
        <v/>
      </c>
      <c r="I3409" s="59" t="str">
        <f>IF(B3409="","",IFERROR(INDEX(pr_unit,MATCH(B3409,pr_code,0))&amp;"",""))</f>
        <v/>
      </c>
      <c r="J3409" s="65" t="str">
        <f>IF(COUNTA(A3409:G3409)=0,"",IF(E3409&lt;&gt;"",E3409,IF(B3409="","",IFERROR(IF(INDEX(pr_price,MATCH(B3409,pr_code,0))="","",INDEX(pr_price,MATCH(B3409,pr_code,0))),""))))</f>
        <v/>
      </c>
      <c r="K3409" s="71" t="str">
        <f>IF(COUNTA(A3409:G3409)=0,"",IF(G3409&lt;&gt;"",G3409,IF(B3409="","",IFERROR(IF(INDEX(pr_rate,MATCH(B3409,pr_code,0))="","",INDEX(pr_rate,MATCH(B3409,pr_code,0))),""))))</f>
        <v/>
      </c>
      <c r="L3409" s="65" t="str">
        <f>IF(COUNTA(A3409:G3409)=0,"",IF(AND(ISNUMBER(D3409),ISNUMBER(J3409)),ROUND(D3409*J3409*(1-N(F3409)),2),0))</f>
        <v/>
      </c>
      <c r="M3409" s="62" t="str">
        <f>IF(A3409="","",IFERROR(INDEX(fa_cname,MATCH(A3409,fa_num,0))&amp;"",""))</f>
        <v/>
      </c>
      <c r="N3409" s="59" t="str">
        <f>IF(COUNTA(A3409:G3409)=0,"",IF(A3409="","N° facture manquant",IF(ISNA(MATCH(A3409,fa_num,0)),"Facture inconnue",IF(AND(B3409&lt;&gt;"",ISNA(MATCH(B3409,pr_code,0))),"Article inconnu",IF(H3409="","Désignation manquante",IF(OR(NOT(ISNUMBER(D3409)),N(D3409)&lt;=0),"Quantité invalide",IF(J3409="","Prix manquant",IF(OR(NOT(ISNUMBER(J3409)),N(J3409)&lt;0),"Prix invalide",IF(OR(AND(F3409&lt;&gt;"",NOT(ISNUMBER(F3409))),N(F3409)&lt;0,N(F3409)&gt;1),"Remise invalide",IF(K3409="","Taux de TVA manquant",IF(NOT(ISNUMBER(K3409)),"Taux de TVA invalide",IF(COUNTIF(p_rates,K3409)=0,"Taux de TVA hors liste (Paramètres)",IF(N(O3409)&gt;25,"Au-delà de 25 lignes : non imprimée","OK")))))))))))))</f>
        <v/>
      </c>
      <c r="O3409" s="59" t="str">
        <f>IF(A3409="","",COUNTIF($A$6:A3409,A3409))</f>
        <v/>
      </c>
      <c r="P3409" s="62" t="str">
        <f>IF(A3409="","",A3409&amp;"|"&amp;O3409)</f>
        <v/>
      </c>
    </row>
    <row r="3410">
      <c r="A3410" s="60" t="n"/>
      <c r="B3410" s="63" t="n"/>
      <c r="C3410" s="63" t="n"/>
      <c r="D3410" s="67" t="n"/>
      <c r="E3410" s="68" t="n"/>
      <c r="F3410" s="69" t="n"/>
      <c r="G3410" s="70" t="n"/>
      <c r="H3410" s="62" t="str">
        <f>IF(COUNTA(A3410:G3410)=0,"",IF(C3410&lt;&gt;"",C3410,IF(B3410="","",IFERROR(INDEX(pr_des,MATCH(B3410,pr_code,0))&amp;"",""))))</f>
        <v/>
      </c>
      <c r="I3410" s="59" t="str">
        <f>IF(B3410="","",IFERROR(INDEX(pr_unit,MATCH(B3410,pr_code,0))&amp;"",""))</f>
        <v/>
      </c>
      <c r="J3410" s="65" t="str">
        <f>IF(COUNTA(A3410:G3410)=0,"",IF(E3410&lt;&gt;"",E3410,IF(B3410="","",IFERROR(IF(INDEX(pr_price,MATCH(B3410,pr_code,0))="","",INDEX(pr_price,MATCH(B3410,pr_code,0))),""))))</f>
        <v/>
      </c>
      <c r="K3410" s="71" t="str">
        <f>IF(COUNTA(A3410:G3410)=0,"",IF(G3410&lt;&gt;"",G3410,IF(B3410="","",IFERROR(IF(INDEX(pr_rate,MATCH(B3410,pr_code,0))="","",INDEX(pr_rate,MATCH(B3410,pr_code,0))),""))))</f>
        <v/>
      </c>
      <c r="L3410" s="65" t="str">
        <f>IF(COUNTA(A3410:G3410)=0,"",IF(AND(ISNUMBER(D3410),ISNUMBER(J3410)),ROUND(D3410*J3410*(1-N(F3410)),2),0))</f>
        <v/>
      </c>
      <c r="M3410" s="62" t="str">
        <f>IF(A3410="","",IFERROR(INDEX(fa_cname,MATCH(A3410,fa_num,0))&amp;"",""))</f>
        <v/>
      </c>
      <c r="N3410" s="59" t="str">
        <f>IF(COUNTA(A3410:G3410)=0,"",IF(A3410="","N° facture manquant",IF(ISNA(MATCH(A3410,fa_num,0)),"Facture inconnue",IF(AND(B3410&lt;&gt;"",ISNA(MATCH(B3410,pr_code,0))),"Article inconnu",IF(H3410="","Désignation manquante",IF(OR(NOT(ISNUMBER(D3410)),N(D3410)&lt;=0),"Quantité invalide",IF(J3410="","Prix manquant",IF(OR(NOT(ISNUMBER(J3410)),N(J3410)&lt;0),"Prix invalide",IF(OR(AND(F3410&lt;&gt;"",NOT(ISNUMBER(F3410))),N(F3410)&lt;0,N(F3410)&gt;1),"Remise invalide",IF(K3410="","Taux de TVA manquant",IF(NOT(ISNUMBER(K3410)),"Taux de TVA invalide",IF(COUNTIF(p_rates,K3410)=0,"Taux de TVA hors liste (Paramètres)",IF(N(O3410)&gt;25,"Au-delà de 25 lignes : non imprimée","OK")))))))))))))</f>
        <v/>
      </c>
      <c r="O3410" s="59" t="str">
        <f>IF(A3410="","",COUNTIF($A$6:A3410,A3410))</f>
        <v/>
      </c>
      <c r="P3410" s="62" t="str">
        <f>IF(A3410="","",A3410&amp;"|"&amp;O3410)</f>
        <v/>
      </c>
    </row>
    <row r="3411">
      <c r="A3411" s="60" t="n"/>
      <c r="B3411" s="63" t="n"/>
      <c r="C3411" s="63" t="n"/>
      <c r="D3411" s="67" t="n"/>
      <c r="E3411" s="68" t="n"/>
      <c r="F3411" s="69" t="n"/>
      <c r="G3411" s="70" t="n"/>
      <c r="H3411" s="62" t="str">
        <f>IF(COUNTA(A3411:G3411)=0,"",IF(C3411&lt;&gt;"",C3411,IF(B3411="","",IFERROR(INDEX(pr_des,MATCH(B3411,pr_code,0))&amp;"",""))))</f>
        <v/>
      </c>
      <c r="I3411" s="59" t="str">
        <f>IF(B3411="","",IFERROR(INDEX(pr_unit,MATCH(B3411,pr_code,0))&amp;"",""))</f>
        <v/>
      </c>
      <c r="J3411" s="65" t="str">
        <f>IF(COUNTA(A3411:G3411)=0,"",IF(E3411&lt;&gt;"",E3411,IF(B3411="","",IFERROR(IF(INDEX(pr_price,MATCH(B3411,pr_code,0))="","",INDEX(pr_price,MATCH(B3411,pr_code,0))),""))))</f>
        <v/>
      </c>
      <c r="K3411" s="71" t="str">
        <f>IF(COUNTA(A3411:G3411)=0,"",IF(G3411&lt;&gt;"",G3411,IF(B3411="","",IFERROR(IF(INDEX(pr_rate,MATCH(B3411,pr_code,0))="","",INDEX(pr_rate,MATCH(B3411,pr_code,0))),""))))</f>
        <v/>
      </c>
      <c r="L3411" s="65" t="str">
        <f>IF(COUNTA(A3411:G3411)=0,"",IF(AND(ISNUMBER(D3411),ISNUMBER(J3411)),ROUND(D3411*J3411*(1-N(F3411)),2),0))</f>
        <v/>
      </c>
      <c r="M3411" s="62" t="str">
        <f>IF(A3411="","",IFERROR(INDEX(fa_cname,MATCH(A3411,fa_num,0))&amp;"",""))</f>
        <v/>
      </c>
      <c r="N3411" s="59" t="str">
        <f>IF(COUNTA(A3411:G3411)=0,"",IF(A3411="","N° facture manquant",IF(ISNA(MATCH(A3411,fa_num,0)),"Facture inconnue",IF(AND(B3411&lt;&gt;"",ISNA(MATCH(B3411,pr_code,0))),"Article inconnu",IF(H3411="","Désignation manquante",IF(OR(NOT(ISNUMBER(D3411)),N(D3411)&lt;=0),"Quantité invalide",IF(J3411="","Prix manquant",IF(OR(NOT(ISNUMBER(J3411)),N(J3411)&lt;0),"Prix invalide",IF(OR(AND(F3411&lt;&gt;"",NOT(ISNUMBER(F3411))),N(F3411)&lt;0,N(F3411)&gt;1),"Remise invalide",IF(K3411="","Taux de TVA manquant",IF(NOT(ISNUMBER(K3411)),"Taux de TVA invalide",IF(COUNTIF(p_rates,K3411)=0,"Taux de TVA hors liste (Paramètres)",IF(N(O3411)&gt;25,"Au-delà de 25 lignes : non imprimée","OK")))))))))))))</f>
        <v/>
      </c>
      <c r="O3411" s="59" t="str">
        <f>IF(A3411="","",COUNTIF($A$6:A3411,A3411))</f>
        <v/>
      </c>
      <c r="P3411" s="62" t="str">
        <f>IF(A3411="","",A3411&amp;"|"&amp;O3411)</f>
        <v/>
      </c>
    </row>
    <row r="3412">
      <c r="A3412" s="60" t="n"/>
      <c r="B3412" s="63" t="n"/>
      <c r="C3412" s="63" t="n"/>
      <c r="D3412" s="67" t="n"/>
      <c r="E3412" s="68" t="n"/>
      <c r="F3412" s="69" t="n"/>
      <c r="G3412" s="70" t="n"/>
      <c r="H3412" s="62" t="str">
        <f>IF(COUNTA(A3412:G3412)=0,"",IF(C3412&lt;&gt;"",C3412,IF(B3412="","",IFERROR(INDEX(pr_des,MATCH(B3412,pr_code,0))&amp;"",""))))</f>
        <v/>
      </c>
      <c r="I3412" s="59" t="str">
        <f>IF(B3412="","",IFERROR(INDEX(pr_unit,MATCH(B3412,pr_code,0))&amp;"",""))</f>
        <v/>
      </c>
      <c r="J3412" s="65" t="str">
        <f>IF(COUNTA(A3412:G3412)=0,"",IF(E3412&lt;&gt;"",E3412,IF(B3412="","",IFERROR(IF(INDEX(pr_price,MATCH(B3412,pr_code,0))="","",INDEX(pr_price,MATCH(B3412,pr_code,0))),""))))</f>
        <v/>
      </c>
      <c r="K3412" s="71" t="str">
        <f>IF(COUNTA(A3412:G3412)=0,"",IF(G3412&lt;&gt;"",G3412,IF(B3412="","",IFERROR(IF(INDEX(pr_rate,MATCH(B3412,pr_code,0))="","",INDEX(pr_rate,MATCH(B3412,pr_code,0))),""))))</f>
        <v/>
      </c>
      <c r="L3412" s="65" t="str">
        <f>IF(COUNTA(A3412:G3412)=0,"",IF(AND(ISNUMBER(D3412),ISNUMBER(J3412)),ROUND(D3412*J3412*(1-N(F3412)),2),0))</f>
        <v/>
      </c>
      <c r="M3412" s="62" t="str">
        <f>IF(A3412="","",IFERROR(INDEX(fa_cname,MATCH(A3412,fa_num,0))&amp;"",""))</f>
        <v/>
      </c>
      <c r="N3412" s="59" t="str">
        <f>IF(COUNTA(A3412:G3412)=0,"",IF(A3412="","N° facture manquant",IF(ISNA(MATCH(A3412,fa_num,0)),"Facture inconnue",IF(AND(B3412&lt;&gt;"",ISNA(MATCH(B3412,pr_code,0))),"Article inconnu",IF(H3412="","Désignation manquante",IF(OR(NOT(ISNUMBER(D3412)),N(D3412)&lt;=0),"Quantité invalide",IF(J3412="","Prix manquant",IF(OR(NOT(ISNUMBER(J3412)),N(J3412)&lt;0),"Prix invalide",IF(OR(AND(F3412&lt;&gt;"",NOT(ISNUMBER(F3412))),N(F3412)&lt;0,N(F3412)&gt;1),"Remise invalide",IF(K3412="","Taux de TVA manquant",IF(NOT(ISNUMBER(K3412)),"Taux de TVA invalide",IF(COUNTIF(p_rates,K3412)=0,"Taux de TVA hors liste (Paramètres)",IF(N(O3412)&gt;25,"Au-delà de 25 lignes : non imprimée","OK")))))))))))))</f>
        <v/>
      </c>
      <c r="O3412" s="59" t="str">
        <f>IF(A3412="","",COUNTIF($A$6:A3412,A3412))</f>
        <v/>
      </c>
      <c r="P3412" s="62" t="str">
        <f>IF(A3412="","",A3412&amp;"|"&amp;O3412)</f>
        <v/>
      </c>
    </row>
    <row r="3413">
      <c r="A3413" s="60" t="n"/>
      <c r="B3413" s="63" t="n"/>
      <c r="C3413" s="63" t="n"/>
      <c r="D3413" s="67" t="n"/>
      <c r="E3413" s="68" t="n"/>
      <c r="F3413" s="69" t="n"/>
      <c r="G3413" s="70" t="n"/>
      <c r="H3413" s="62" t="str">
        <f>IF(COUNTA(A3413:G3413)=0,"",IF(C3413&lt;&gt;"",C3413,IF(B3413="","",IFERROR(INDEX(pr_des,MATCH(B3413,pr_code,0))&amp;"",""))))</f>
        <v/>
      </c>
      <c r="I3413" s="59" t="str">
        <f>IF(B3413="","",IFERROR(INDEX(pr_unit,MATCH(B3413,pr_code,0))&amp;"",""))</f>
        <v/>
      </c>
      <c r="J3413" s="65" t="str">
        <f>IF(COUNTA(A3413:G3413)=0,"",IF(E3413&lt;&gt;"",E3413,IF(B3413="","",IFERROR(IF(INDEX(pr_price,MATCH(B3413,pr_code,0))="","",INDEX(pr_price,MATCH(B3413,pr_code,0))),""))))</f>
        <v/>
      </c>
      <c r="K3413" s="71" t="str">
        <f>IF(COUNTA(A3413:G3413)=0,"",IF(G3413&lt;&gt;"",G3413,IF(B3413="","",IFERROR(IF(INDEX(pr_rate,MATCH(B3413,pr_code,0))="","",INDEX(pr_rate,MATCH(B3413,pr_code,0))),""))))</f>
        <v/>
      </c>
      <c r="L3413" s="65" t="str">
        <f>IF(COUNTA(A3413:G3413)=0,"",IF(AND(ISNUMBER(D3413),ISNUMBER(J3413)),ROUND(D3413*J3413*(1-N(F3413)),2),0))</f>
        <v/>
      </c>
      <c r="M3413" s="62" t="str">
        <f>IF(A3413="","",IFERROR(INDEX(fa_cname,MATCH(A3413,fa_num,0))&amp;"",""))</f>
        <v/>
      </c>
      <c r="N3413" s="59" t="str">
        <f>IF(COUNTA(A3413:G3413)=0,"",IF(A3413="","N° facture manquant",IF(ISNA(MATCH(A3413,fa_num,0)),"Facture inconnue",IF(AND(B3413&lt;&gt;"",ISNA(MATCH(B3413,pr_code,0))),"Article inconnu",IF(H3413="","Désignation manquante",IF(OR(NOT(ISNUMBER(D3413)),N(D3413)&lt;=0),"Quantité invalide",IF(J3413="","Prix manquant",IF(OR(NOT(ISNUMBER(J3413)),N(J3413)&lt;0),"Prix invalide",IF(OR(AND(F3413&lt;&gt;"",NOT(ISNUMBER(F3413))),N(F3413)&lt;0,N(F3413)&gt;1),"Remise invalide",IF(K3413="","Taux de TVA manquant",IF(NOT(ISNUMBER(K3413)),"Taux de TVA invalide",IF(COUNTIF(p_rates,K3413)=0,"Taux de TVA hors liste (Paramètres)",IF(N(O3413)&gt;25,"Au-delà de 25 lignes : non imprimée","OK")))))))))))))</f>
        <v/>
      </c>
      <c r="O3413" s="59" t="str">
        <f>IF(A3413="","",COUNTIF($A$6:A3413,A3413))</f>
        <v/>
      </c>
      <c r="P3413" s="62" t="str">
        <f>IF(A3413="","",A3413&amp;"|"&amp;O3413)</f>
        <v/>
      </c>
    </row>
    <row r="3414">
      <c r="A3414" s="60" t="n"/>
      <c r="B3414" s="63" t="n"/>
      <c r="C3414" s="63" t="n"/>
      <c r="D3414" s="67" t="n"/>
      <c r="E3414" s="68" t="n"/>
      <c r="F3414" s="69" t="n"/>
      <c r="G3414" s="70" t="n"/>
      <c r="H3414" s="62" t="str">
        <f>IF(COUNTA(A3414:G3414)=0,"",IF(C3414&lt;&gt;"",C3414,IF(B3414="","",IFERROR(INDEX(pr_des,MATCH(B3414,pr_code,0))&amp;"",""))))</f>
        <v/>
      </c>
      <c r="I3414" s="59" t="str">
        <f>IF(B3414="","",IFERROR(INDEX(pr_unit,MATCH(B3414,pr_code,0))&amp;"",""))</f>
        <v/>
      </c>
      <c r="J3414" s="65" t="str">
        <f>IF(COUNTA(A3414:G3414)=0,"",IF(E3414&lt;&gt;"",E3414,IF(B3414="","",IFERROR(IF(INDEX(pr_price,MATCH(B3414,pr_code,0))="","",INDEX(pr_price,MATCH(B3414,pr_code,0))),""))))</f>
        <v/>
      </c>
      <c r="K3414" s="71" t="str">
        <f>IF(COUNTA(A3414:G3414)=0,"",IF(G3414&lt;&gt;"",G3414,IF(B3414="","",IFERROR(IF(INDEX(pr_rate,MATCH(B3414,pr_code,0))="","",INDEX(pr_rate,MATCH(B3414,pr_code,0))),""))))</f>
        <v/>
      </c>
      <c r="L3414" s="65" t="str">
        <f>IF(COUNTA(A3414:G3414)=0,"",IF(AND(ISNUMBER(D3414),ISNUMBER(J3414)),ROUND(D3414*J3414*(1-N(F3414)),2),0))</f>
        <v/>
      </c>
      <c r="M3414" s="62" t="str">
        <f>IF(A3414="","",IFERROR(INDEX(fa_cname,MATCH(A3414,fa_num,0))&amp;"",""))</f>
        <v/>
      </c>
      <c r="N3414" s="59" t="str">
        <f>IF(COUNTA(A3414:G3414)=0,"",IF(A3414="","N° facture manquant",IF(ISNA(MATCH(A3414,fa_num,0)),"Facture inconnue",IF(AND(B3414&lt;&gt;"",ISNA(MATCH(B3414,pr_code,0))),"Article inconnu",IF(H3414="","Désignation manquante",IF(OR(NOT(ISNUMBER(D3414)),N(D3414)&lt;=0),"Quantité invalide",IF(J3414="","Prix manquant",IF(OR(NOT(ISNUMBER(J3414)),N(J3414)&lt;0),"Prix invalide",IF(OR(AND(F3414&lt;&gt;"",NOT(ISNUMBER(F3414))),N(F3414)&lt;0,N(F3414)&gt;1),"Remise invalide",IF(K3414="","Taux de TVA manquant",IF(NOT(ISNUMBER(K3414)),"Taux de TVA invalide",IF(COUNTIF(p_rates,K3414)=0,"Taux de TVA hors liste (Paramètres)",IF(N(O3414)&gt;25,"Au-delà de 25 lignes : non imprimée","OK")))))))))))))</f>
        <v/>
      </c>
      <c r="O3414" s="59" t="str">
        <f>IF(A3414="","",COUNTIF($A$6:A3414,A3414))</f>
        <v/>
      </c>
      <c r="P3414" s="62" t="str">
        <f>IF(A3414="","",A3414&amp;"|"&amp;O3414)</f>
        <v/>
      </c>
    </row>
    <row r="3415">
      <c r="A3415" s="60" t="n"/>
      <c r="B3415" s="63" t="n"/>
      <c r="C3415" s="63" t="n"/>
      <c r="D3415" s="67" t="n"/>
      <c r="E3415" s="68" t="n"/>
      <c r="F3415" s="69" t="n"/>
      <c r="G3415" s="70" t="n"/>
      <c r="H3415" s="62" t="str">
        <f>IF(COUNTA(A3415:G3415)=0,"",IF(C3415&lt;&gt;"",C3415,IF(B3415="","",IFERROR(INDEX(pr_des,MATCH(B3415,pr_code,0))&amp;"",""))))</f>
        <v/>
      </c>
      <c r="I3415" s="59" t="str">
        <f>IF(B3415="","",IFERROR(INDEX(pr_unit,MATCH(B3415,pr_code,0))&amp;"",""))</f>
        <v/>
      </c>
      <c r="J3415" s="65" t="str">
        <f>IF(COUNTA(A3415:G3415)=0,"",IF(E3415&lt;&gt;"",E3415,IF(B3415="","",IFERROR(IF(INDEX(pr_price,MATCH(B3415,pr_code,0))="","",INDEX(pr_price,MATCH(B3415,pr_code,0))),""))))</f>
        <v/>
      </c>
      <c r="K3415" s="71" t="str">
        <f>IF(COUNTA(A3415:G3415)=0,"",IF(G3415&lt;&gt;"",G3415,IF(B3415="","",IFERROR(IF(INDEX(pr_rate,MATCH(B3415,pr_code,0))="","",INDEX(pr_rate,MATCH(B3415,pr_code,0))),""))))</f>
        <v/>
      </c>
      <c r="L3415" s="65" t="str">
        <f>IF(COUNTA(A3415:G3415)=0,"",IF(AND(ISNUMBER(D3415),ISNUMBER(J3415)),ROUND(D3415*J3415*(1-N(F3415)),2),0))</f>
        <v/>
      </c>
      <c r="M3415" s="62" t="str">
        <f>IF(A3415="","",IFERROR(INDEX(fa_cname,MATCH(A3415,fa_num,0))&amp;"",""))</f>
        <v/>
      </c>
      <c r="N3415" s="59" t="str">
        <f>IF(COUNTA(A3415:G3415)=0,"",IF(A3415="","N° facture manquant",IF(ISNA(MATCH(A3415,fa_num,0)),"Facture inconnue",IF(AND(B3415&lt;&gt;"",ISNA(MATCH(B3415,pr_code,0))),"Article inconnu",IF(H3415="","Désignation manquante",IF(OR(NOT(ISNUMBER(D3415)),N(D3415)&lt;=0),"Quantité invalide",IF(J3415="","Prix manquant",IF(OR(NOT(ISNUMBER(J3415)),N(J3415)&lt;0),"Prix invalide",IF(OR(AND(F3415&lt;&gt;"",NOT(ISNUMBER(F3415))),N(F3415)&lt;0,N(F3415)&gt;1),"Remise invalide",IF(K3415="","Taux de TVA manquant",IF(NOT(ISNUMBER(K3415)),"Taux de TVA invalide",IF(COUNTIF(p_rates,K3415)=0,"Taux de TVA hors liste (Paramètres)",IF(N(O3415)&gt;25,"Au-delà de 25 lignes : non imprimée","OK")))))))))))))</f>
        <v/>
      </c>
      <c r="O3415" s="59" t="str">
        <f>IF(A3415="","",COUNTIF($A$6:A3415,A3415))</f>
        <v/>
      </c>
      <c r="P3415" s="62" t="str">
        <f>IF(A3415="","",A3415&amp;"|"&amp;O3415)</f>
        <v/>
      </c>
    </row>
    <row r="3416">
      <c r="A3416" s="60" t="n"/>
      <c r="B3416" s="63" t="n"/>
      <c r="C3416" s="63" t="n"/>
      <c r="D3416" s="67" t="n"/>
      <c r="E3416" s="68" t="n"/>
      <c r="F3416" s="69" t="n"/>
      <c r="G3416" s="70" t="n"/>
      <c r="H3416" s="62" t="str">
        <f>IF(COUNTA(A3416:G3416)=0,"",IF(C3416&lt;&gt;"",C3416,IF(B3416="","",IFERROR(INDEX(pr_des,MATCH(B3416,pr_code,0))&amp;"",""))))</f>
        <v/>
      </c>
      <c r="I3416" s="59" t="str">
        <f>IF(B3416="","",IFERROR(INDEX(pr_unit,MATCH(B3416,pr_code,0))&amp;"",""))</f>
        <v/>
      </c>
      <c r="J3416" s="65" t="str">
        <f>IF(COUNTA(A3416:G3416)=0,"",IF(E3416&lt;&gt;"",E3416,IF(B3416="","",IFERROR(IF(INDEX(pr_price,MATCH(B3416,pr_code,0))="","",INDEX(pr_price,MATCH(B3416,pr_code,0))),""))))</f>
        <v/>
      </c>
      <c r="K3416" s="71" t="str">
        <f>IF(COUNTA(A3416:G3416)=0,"",IF(G3416&lt;&gt;"",G3416,IF(B3416="","",IFERROR(IF(INDEX(pr_rate,MATCH(B3416,pr_code,0))="","",INDEX(pr_rate,MATCH(B3416,pr_code,0))),""))))</f>
        <v/>
      </c>
      <c r="L3416" s="65" t="str">
        <f>IF(COUNTA(A3416:G3416)=0,"",IF(AND(ISNUMBER(D3416),ISNUMBER(J3416)),ROUND(D3416*J3416*(1-N(F3416)),2),0))</f>
        <v/>
      </c>
      <c r="M3416" s="62" t="str">
        <f>IF(A3416="","",IFERROR(INDEX(fa_cname,MATCH(A3416,fa_num,0))&amp;"",""))</f>
        <v/>
      </c>
      <c r="N3416" s="59" t="str">
        <f>IF(COUNTA(A3416:G3416)=0,"",IF(A3416="","N° facture manquant",IF(ISNA(MATCH(A3416,fa_num,0)),"Facture inconnue",IF(AND(B3416&lt;&gt;"",ISNA(MATCH(B3416,pr_code,0))),"Article inconnu",IF(H3416="","Désignation manquante",IF(OR(NOT(ISNUMBER(D3416)),N(D3416)&lt;=0),"Quantité invalide",IF(J3416="","Prix manquant",IF(OR(NOT(ISNUMBER(J3416)),N(J3416)&lt;0),"Prix invalide",IF(OR(AND(F3416&lt;&gt;"",NOT(ISNUMBER(F3416))),N(F3416)&lt;0,N(F3416)&gt;1),"Remise invalide",IF(K3416="","Taux de TVA manquant",IF(NOT(ISNUMBER(K3416)),"Taux de TVA invalide",IF(COUNTIF(p_rates,K3416)=0,"Taux de TVA hors liste (Paramètres)",IF(N(O3416)&gt;25,"Au-delà de 25 lignes : non imprimée","OK")))))))))))))</f>
        <v/>
      </c>
      <c r="O3416" s="59" t="str">
        <f>IF(A3416="","",COUNTIF($A$6:A3416,A3416))</f>
        <v/>
      </c>
      <c r="P3416" s="62" t="str">
        <f>IF(A3416="","",A3416&amp;"|"&amp;O3416)</f>
        <v/>
      </c>
    </row>
    <row r="3417">
      <c r="A3417" s="60" t="n"/>
      <c r="B3417" s="63" t="n"/>
      <c r="C3417" s="63" t="n"/>
      <c r="D3417" s="67" t="n"/>
      <c r="E3417" s="68" t="n"/>
      <c r="F3417" s="69" t="n"/>
      <c r="G3417" s="70" t="n"/>
      <c r="H3417" s="62" t="str">
        <f>IF(COUNTA(A3417:G3417)=0,"",IF(C3417&lt;&gt;"",C3417,IF(B3417="","",IFERROR(INDEX(pr_des,MATCH(B3417,pr_code,0))&amp;"",""))))</f>
        <v/>
      </c>
      <c r="I3417" s="59" t="str">
        <f>IF(B3417="","",IFERROR(INDEX(pr_unit,MATCH(B3417,pr_code,0))&amp;"",""))</f>
        <v/>
      </c>
      <c r="J3417" s="65" t="str">
        <f>IF(COUNTA(A3417:G3417)=0,"",IF(E3417&lt;&gt;"",E3417,IF(B3417="","",IFERROR(IF(INDEX(pr_price,MATCH(B3417,pr_code,0))="","",INDEX(pr_price,MATCH(B3417,pr_code,0))),""))))</f>
        <v/>
      </c>
      <c r="K3417" s="71" t="str">
        <f>IF(COUNTA(A3417:G3417)=0,"",IF(G3417&lt;&gt;"",G3417,IF(B3417="","",IFERROR(IF(INDEX(pr_rate,MATCH(B3417,pr_code,0))="","",INDEX(pr_rate,MATCH(B3417,pr_code,0))),""))))</f>
        <v/>
      </c>
      <c r="L3417" s="65" t="str">
        <f>IF(COUNTA(A3417:G3417)=0,"",IF(AND(ISNUMBER(D3417),ISNUMBER(J3417)),ROUND(D3417*J3417*(1-N(F3417)),2),0))</f>
        <v/>
      </c>
      <c r="M3417" s="62" t="str">
        <f>IF(A3417="","",IFERROR(INDEX(fa_cname,MATCH(A3417,fa_num,0))&amp;"",""))</f>
        <v/>
      </c>
      <c r="N3417" s="59" t="str">
        <f>IF(COUNTA(A3417:G3417)=0,"",IF(A3417="","N° facture manquant",IF(ISNA(MATCH(A3417,fa_num,0)),"Facture inconnue",IF(AND(B3417&lt;&gt;"",ISNA(MATCH(B3417,pr_code,0))),"Article inconnu",IF(H3417="","Désignation manquante",IF(OR(NOT(ISNUMBER(D3417)),N(D3417)&lt;=0),"Quantité invalide",IF(J3417="","Prix manquant",IF(OR(NOT(ISNUMBER(J3417)),N(J3417)&lt;0),"Prix invalide",IF(OR(AND(F3417&lt;&gt;"",NOT(ISNUMBER(F3417))),N(F3417)&lt;0,N(F3417)&gt;1),"Remise invalide",IF(K3417="","Taux de TVA manquant",IF(NOT(ISNUMBER(K3417)),"Taux de TVA invalide",IF(COUNTIF(p_rates,K3417)=0,"Taux de TVA hors liste (Paramètres)",IF(N(O3417)&gt;25,"Au-delà de 25 lignes : non imprimée","OK")))))))))))))</f>
        <v/>
      </c>
      <c r="O3417" s="59" t="str">
        <f>IF(A3417="","",COUNTIF($A$6:A3417,A3417))</f>
        <v/>
      </c>
      <c r="P3417" s="62" t="str">
        <f>IF(A3417="","",A3417&amp;"|"&amp;O3417)</f>
        <v/>
      </c>
    </row>
    <row r="3418">
      <c r="A3418" s="60" t="n"/>
      <c r="B3418" s="63" t="n"/>
      <c r="C3418" s="63" t="n"/>
      <c r="D3418" s="67" t="n"/>
      <c r="E3418" s="68" t="n"/>
      <c r="F3418" s="69" t="n"/>
      <c r="G3418" s="70" t="n"/>
      <c r="H3418" s="62" t="str">
        <f>IF(COUNTA(A3418:G3418)=0,"",IF(C3418&lt;&gt;"",C3418,IF(B3418="","",IFERROR(INDEX(pr_des,MATCH(B3418,pr_code,0))&amp;"",""))))</f>
        <v/>
      </c>
      <c r="I3418" s="59" t="str">
        <f>IF(B3418="","",IFERROR(INDEX(pr_unit,MATCH(B3418,pr_code,0))&amp;"",""))</f>
        <v/>
      </c>
      <c r="J3418" s="65" t="str">
        <f>IF(COUNTA(A3418:G3418)=0,"",IF(E3418&lt;&gt;"",E3418,IF(B3418="","",IFERROR(IF(INDEX(pr_price,MATCH(B3418,pr_code,0))="","",INDEX(pr_price,MATCH(B3418,pr_code,0))),""))))</f>
        <v/>
      </c>
      <c r="K3418" s="71" t="str">
        <f>IF(COUNTA(A3418:G3418)=0,"",IF(G3418&lt;&gt;"",G3418,IF(B3418="","",IFERROR(IF(INDEX(pr_rate,MATCH(B3418,pr_code,0))="","",INDEX(pr_rate,MATCH(B3418,pr_code,0))),""))))</f>
        <v/>
      </c>
      <c r="L3418" s="65" t="str">
        <f>IF(COUNTA(A3418:G3418)=0,"",IF(AND(ISNUMBER(D3418),ISNUMBER(J3418)),ROUND(D3418*J3418*(1-N(F3418)),2),0))</f>
        <v/>
      </c>
      <c r="M3418" s="62" t="str">
        <f>IF(A3418="","",IFERROR(INDEX(fa_cname,MATCH(A3418,fa_num,0))&amp;"",""))</f>
        <v/>
      </c>
      <c r="N3418" s="59" t="str">
        <f>IF(COUNTA(A3418:G3418)=0,"",IF(A3418="","N° facture manquant",IF(ISNA(MATCH(A3418,fa_num,0)),"Facture inconnue",IF(AND(B3418&lt;&gt;"",ISNA(MATCH(B3418,pr_code,0))),"Article inconnu",IF(H3418="","Désignation manquante",IF(OR(NOT(ISNUMBER(D3418)),N(D3418)&lt;=0),"Quantité invalide",IF(J3418="","Prix manquant",IF(OR(NOT(ISNUMBER(J3418)),N(J3418)&lt;0),"Prix invalide",IF(OR(AND(F3418&lt;&gt;"",NOT(ISNUMBER(F3418))),N(F3418)&lt;0,N(F3418)&gt;1),"Remise invalide",IF(K3418="","Taux de TVA manquant",IF(NOT(ISNUMBER(K3418)),"Taux de TVA invalide",IF(COUNTIF(p_rates,K3418)=0,"Taux de TVA hors liste (Paramètres)",IF(N(O3418)&gt;25,"Au-delà de 25 lignes : non imprimée","OK")))))))))))))</f>
        <v/>
      </c>
      <c r="O3418" s="59" t="str">
        <f>IF(A3418="","",COUNTIF($A$6:A3418,A3418))</f>
        <v/>
      </c>
      <c r="P3418" s="62" t="str">
        <f>IF(A3418="","",A3418&amp;"|"&amp;O3418)</f>
        <v/>
      </c>
    </row>
    <row r="3419">
      <c r="A3419" s="60" t="n"/>
      <c r="B3419" s="63" t="n"/>
      <c r="C3419" s="63" t="n"/>
      <c r="D3419" s="67" t="n"/>
      <c r="E3419" s="68" t="n"/>
      <c r="F3419" s="69" t="n"/>
      <c r="G3419" s="70" t="n"/>
      <c r="H3419" s="62" t="str">
        <f>IF(COUNTA(A3419:G3419)=0,"",IF(C3419&lt;&gt;"",C3419,IF(B3419="","",IFERROR(INDEX(pr_des,MATCH(B3419,pr_code,0))&amp;"",""))))</f>
        <v/>
      </c>
      <c r="I3419" s="59" t="str">
        <f>IF(B3419="","",IFERROR(INDEX(pr_unit,MATCH(B3419,pr_code,0))&amp;"",""))</f>
        <v/>
      </c>
      <c r="J3419" s="65" t="str">
        <f>IF(COUNTA(A3419:G3419)=0,"",IF(E3419&lt;&gt;"",E3419,IF(B3419="","",IFERROR(IF(INDEX(pr_price,MATCH(B3419,pr_code,0))="","",INDEX(pr_price,MATCH(B3419,pr_code,0))),""))))</f>
        <v/>
      </c>
      <c r="K3419" s="71" t="str">
        <f>IF(COUNTA(A3419:G3419)=0,"",IF(G3419&lt;&gt;"",G3419,IF(B3419="","",IFERROR(IF(INDEX(pr_rate,MATCH(B3419,pr_code,0))="","",INDEX(pr_rate,MATCH(B3419,pr_code,0))),""))))</f>
        <v/>
      </c>
      <c r="L3419" s="65" t="str">
        <f>IF(COUNTA(A3419:G3419)=0,"",IF(AND(ISNUMBER(D3419),ISNUMBER(J3419)),ROUND(D3419*J3419*(1-N(F3419)),2),0))</f>
        <v/>
      </c>
      <c r="M3419" s="62" t="str">
        <f>IF(A3419="","",IFERROR(INDEX(fa_cname,MATCH(A3419,fa_num,0))&amp;"",""))</f>
        <v/>
      </c>
      <c r="N3419" s="59" t="str">
        <f>IF(COUNTA(A3419:G3419)=0,"",IF(A3419="","N° facture manquant",IF(ISNA(MATCH(A3419,fa_num,0)),"Facture inconnue",IF(AND(B3419&lt;&gt;"",ISNA(MATCH(B3419,pr_code,0))),"Article inconnu",IF(H3419="","Désignation manquante",IF(OR(NOT(ISNUMBER(D3419)),N(D3419)&lt;=0),"Quantité invalide",IF(J3419="","Prix manquant",IF(OR(NOT(ISNUMBER(J3419)),N(J3419)&lt;0),"Prix invalide",IF(OR(AND(F3419&lt;&gt;"",NOT(ISNUMBER(F3419))),N(F3419)&lt;0,N(F3419)&gt;1),"Remise invalide",IF(K3419="","Taux de TVA manquant",IF(NOT(ISNUMBER(K3419)),"Taux de TVA invalide",IF(COUNTIF(p_rates,K3419)=0,"Taux de TVA hors liste (Paramètres)",IF(N(O3419)&gt;25,"Au-delà de 25 lignes : non imprimée","OK")))))))))))))</f>
        <v/>
      </c>
      <c r="O3419" s="59" t="str">
        <f>IF(A3419="","",COUNTIF($A$6:A3419,A3419))</f>
        <v/>
      </c>
      <c r="P3419" s="62" t="str">
        <f>IF(A3419="","",A3419&amp;"|"&amp;O3419)</f>
        <v/>
      </c>
    </row>
    <row r="3420">
      <c r="A3420" s="60" t="n"/>
      <c r="B3420" s="63" t="n"/>
      <c r="C3420" s="63" t="n"/>
      <c r="D3420" s="67" t="n"/>
      <c r="E3420" s="68" t="n"/>
      <c r="F3420" s="69" t="n"/>
      <c r="G3420" s="70" t="n"/>
      <c r="H3420" s="62" t="str">
        <f>IF(COUNTA(A3420:G3420)=0,"",IF(C3420&lt;&gt;"",C3420,IF(B3420="","",IFERROR(INDEX(pr_des,MATCH(B3420,pr_code,0))&amp;"",""))))</f>
        <v/>
      </c>
      <c r="I3420" s="59" t="str">
        <f>IF(B3420="","",IFERROR(INDEX(pr_unit,MATCH(B3420,pr_code,0))&amp;"",""))</f>
        <v/>
      </c>
      <c r="J3420" s="65" t="str">
        <f>IF(COUNTA(A3420:G3420)=0,"",IF(E3420&lt;&gt;"",E3420,IF(B3420="","",IFERROR(IF(INDEX(pr_price,MATCH(B3420,pr_code,0))="","",INDEX(pr_price,MATCH(B3420,pr_code,0))),""))))</f>
        <v/>
      </c>
      <c r="K3420" s="71" t="str">
        <f>IF(COUNTA(A3420:G3420)=0,"",IF(G3420&lt;&gt;"",G3420,IF(B3420="","",IFERROR(IF(INDEX(pr_rate,MATCH(B3420,pr_code,0))="","",INDEX(pr_rate,MATCH(B3420,pr_code,0))),""))))</f>
        <v/>
      </c>
      <c r="L3420" s="65" t="str">
        <f>IF(COUNTA(A3420:G3420)=0,"",IF(AND(ISNUMBER(D3420),ISNUMBER(J3420)),ROUND(D3420*J3420*(1-N(F3420)),2),0))</f>
        <v/>
      </c>
      <c r="M3420" s="62" t="str">
        <f>IF(A3420="","",IFERROR(INDEX(fa_cname,MATCH(A3420,fa_num,0))&amp;"",""))</f>
        <v/>
      </c>
      <c r="N3420" s="59" t="str">
        <f>IF(COUNTA(A3420:G3420)=0,"",IF(A3420="","N° facture manquant",IF(ISNA(MATCH(A3420,fa_num,0)),"Facture inconnue",IF(AND(B3420&lt;&gt;"",ISNA(MATCH(B3420,pr_code,0))),"Article inconnu",IF(H3420="","Désignation manquante",IF(OR(NOT(ISNUMBER(D3420)),N(D3420)&lt;=0),"Quantité invalide",IF(J3420="","Prix manquant",IF(OR(NOT(ISNUMBER(J3420)),N(J3420)&lt;0),"Prix invalide",IF(OR(AND(F3420&lt;&gt;"",NOT(ISNUMBER(F3420))),N(F3420)&lt;0,N(F3420)&gt;1),"Remise invalide",IF(K3420="","Taux de TVA manquant",IF(NOT(ISNUMBER(K3420)),"Taux de TVA invalide",IF(COUNTIF(p_rates,K3420)=0,"Taux de TVA hors liste (Paramètres)",IF(N(O3420)&gt;25,"Au-delà de 25 lignes : non imprimée","OK")))))))))))))</f>
        <v/>
      </c>
      <c r="O3420" s="59" t="str">
        <f>IF(A3420="","",COUNTIF($A$6:A3420,A3420))</f>
        <v/>
      </c>
      <c r="P3420" s="62" t="str">
        <f>IF(A3420="","",A3420&amp;"|"&amp;O3420)</f>
        <v/>
      </c>
    </row>
    <row r="3421">
      <c r="A3421" s="60" t="n"/>
      <c r="B3421" s="63" t="n"/>
      <c r="C3421" s="63" t="n"/>
      <c r="D3421" s="67" t="n"/>
      <c r="E3421" s="68" t="n"/>
      <c r="F3421" s="69" t="n"/>
      <c r="G3421" s="70" t="n"/>
      <c r="H3421" s="62" t="str">
        <f>IF(COUNTA(A3421:G3421)=0,"",IF(C3421&lt;&gt;"",C3421,IF(B3421="","",IFERROR(INDEX(pr_des,MATCH(B3421,pr_code,0))&amp;"",""))))</f>
        <v/>
      </c>
      <c r="I3421" s="59" t="str">
        <f>IF(B3421="","",IFERROR(INDEX(pr_unit,MATCH(B3421,pr_code,0))&amp;"",""))</f>
        <v/>
      </c>
      <c r="J3421" s="65" t="str">
        <f>IF(COUNTA(A3421:G3421)=0,"",IF(E3421&lt;&gt;"",E3421,IF(B3421="","",IFERROR(IF(INDEX(pr_price,MATCH(B3421,pr_code,0))="","",INDEX(pr_price,MATCH(B3421,pr_code,0))),""))))</f>
        <v/>
      </c>
      <c r="K3421" s="71" t="str">
        <f>IF(COUNTA(A3421:G3421)=0,"",IF(G3421&lt;&gt;"",G3421,IF(B3421="","",IFERROR(IF(INDEX(pr_rate,MATCH(B3421,pr_code,0))="","",INDEX(pr_rate,MATCH(B3421,pr_code,0))),""))))</f>
        <v/>
      </c>
      <c r="L3421" s="65" t="str">
        <f>IF(COUNTA(A3421:G3421)=0,"",IF(AND(ISNUMBER(D3421),ISNUMBER(J3421)),ROUND(D3421*J3421*(1-N(F3421)),2),0))</f>
        <v/>
      </c>
      <c r="M3421" s="62" t="str">
        <f>IF(A3421="","",IFERROR(INDEX(fa_cname,MATCH(A3421,fa_num,0))&amp;"",""))</f>
        <v/>
      </c>
      <c r="N3421" s="59" t="str">
        <f>IF(COUNTA(A3421:G3421)=0,"",IF(A3421="","N° facture manquant",IF(ISNA(MATCH(A3421,fa_num,0)),"Facture inconnue",IF(AND(B3421&lt;&gt;"",ISNA(MATCH(B3421,pr_code,0))),"Article inconnu",IF(H3421="","Désignation manquante",IF(OR(NOT(ISNUMBER(D3421)),N(D3421)&lt;=0),"Quantité invalide",IF(J3421="","Prix manquant",IF(OR(NOT(ISNUMBER(J3421)),N(J3421)&lt;0),"Prix invalide",IF(OR(AND(F3421&lt;&gt;"",NOT(ISNUMBER(F3421))),N(F3421)&lt;0,N(F3421)&gt;1),"Remise invalide",IF(K3421="","Taux de TVA manquant",IF(NOT(ISNUMBER(K3421)),"Taux de TVA invalide",IF(COUNTIF(p_rates,K3421)=0,"Taux de TVA hors liste (Paramètres)",IF(N(O3421)&gt;25,"Au-delà de 25 lignes : non imprimée","OK")))))))))))))</f>
        <v/>
      </c>
      <c r="O3421" s="59" t="str">
        <f>IF(A3421="","",COUNTIF($A$6:A3421,A3421))</f>
        <v/>
      </c>
      <c r="P3421" s="62" t="str">
        <f>IF(A3421="","",A3421&amp;"|"&amp;O3421)</f>
        <v/>
      </c>
    </row>
    <row r="3422">
      <c r="A3422" s="60" t="n"/>
      <c r="B3422" s="63" t="n"/>
      <c r="C3422" s="63" t="n"/>
      <c r="D3422" s="67" t="n"/>
      <c r="E3422" s="68" t="n"/>
      <c r="F3422" s="69" t="n"/>
      <c r="G3422" s="70" t="n"/>
      <c r="H3422" s="62" t="str">
        <f>IF(COUNTA(A3422:G3422)=0,"",IF(C3422&lt;&gt;"",C3422,IF(B3422="","",IFERROR(INDEX(pr_des,MATCH(B3422,pr_code,0))&amp;"",""))))</f>
        <v/>
      </c>
      <c r="I3422" s="59" t="str">
        <f>IF(B3422="","",IFERROR(INDEX(pr_unit,MATCH(B3422,pr_code,0))&amp;"",""))</f>
        <v/>
      </c>
      <c r="J3422" s="65" t="str">
        <f>IF(COUNTA(A3422:G3422)=0,"",IF(E3422&lt;&gt;"",E3422,IF(B3422="","",IFERROR(IF(INDEX(pr_price,MATCH(B3422,pr_code,0))="","",INDEX(pr_price,MATCH(B3422,pr_code,0))),""))))</f>
        <v/>
      </c>
      <c r="K3422" s="71" t="str">
        <f>IF(COUNTA(A3422:G3422)=0,"",IF(G3422&lt;&gt;"",G3422,IF(B3422="","",IFERROR(IF(INDEX(pr_rate,MATCH(B3422,pr_code,0))="","",INDEX(pr_rate,MATCH(B3422,pr_code,0))),""))))</f>
        <v/>
      </c>
      <c r="L3422" s="65" t="str">
        <f>IF(COUNTA(A3422:G3422)=0,"",IF(AND(ISNUMBER(D3422),ISNUMBER(J3422)),ROUND(D3422*J3422*(1-N(F3422)),2),0))</f>
        <v/>
      </c>
      <c r="M3422" s="62" t="str">
        <f>IF(A3422="","",IFERROR(INDEX(fa_cname,MATCH(A3422,fa_num,0))&amp;"",""))</f>
        <v/>
      </c>
      <c r="N3422" s="59" t="str">
        <f>IF(COUNTA(A3422:G3422)=0,"",IF(A3422="","N° facture manquant",IF(ISNA(MATCH(A3422,fa_num,0)),"Facture inconnue",IF(AND(B3422&lt;&gt;"",ISNA(MATCH(B3422,pr_code,0))),"Article inconnu",IF(H3422="","Désignation manquante",IF(OR(NOT(ISNUMBER(D3422)),N(D3422)&lt;=0),"Quantité invalide",IF(J3422="","Prix manquant",IF(OR(NOT(ISNUMBER(J3422)),N(J3422)&lt;0),"Prix invalide",IF(OR(AND(F3422&lt;&gt;"",NOT(ISNUMBER(F3422))),N(F3422)&lt;0,N(F3422)&gt;1),"Remise invalide",IF(K3422="","Taux de TVA manquant",IF(NOT(ISNUMBER(K3422)),"Taux de TVA invalide",IF(COUNTIF(p_rates,K3422)=0,"Taux de TVA hors liste (Paramètres)",IF(N(O3422)&gt;25,"Au-delà de 25 lignes : non imprimée","OK")))))))))))))</f>
        <v/>
      </c>
      <c r="O3422" s="59" t="str">
        <f>IF(A3422="","",COUNTIF($A$6:A3422,A3422))</f>
        <v/>
      </c>
      <c r="P3422" s="62" t="str">
        <f>IF(A3422="","",A3422&amp;"|"&amp;O3422)</f>
        <v/>
      </c>
    </row>
    <row r="3423">
      <c r="A3423" s="60" t="n"/>
      <c r="B3423" s="63" t="n"/>
      <c r="C3423" s="63" t="n"/>
      <c r="D3423" s="67" t="n"/>
      <c r="E3423" s="68" t="n"/>
      <c r="F3423" s="69" t="n"/>
      <c r="G3423" s="70" t="n"/>
      <c r="H3423" s="62" t="str">
        <f>IF(COUNTA(A3423:G3423)=0,"",IF(C3423&lt;&gt;"",C3423,IF(B3423="","",IFERROR(INDEX(pr_des,MATCH(B3423,pr_code,0))&amp;"",""))))</f>
        <v/>
      </c>
      <c r="I3423" s="59" t="str">
        <f>IF(B3423="","",IFERROR(INDEX(pr_unit,MATCH(B3423,pr_code,0))&amp;"",""))</f>
        <v/>
      </c>
      <c r="J3423" s="65" t="str">
        <f>IF(COUNTA(A3423:G3423)=0,"",IF(E3423&lt;&gt;"",E3423,IF(B3423="","",IFERROR(IF(INDEX(pr_price,MATCH(B3423,pr_code,0))="","",INDEX(pr_price,MATCH(B3423,pr_code,0))),""))))</f>
        <v/>
      </c>
      <c r="K3423" s="71" t="str">
        <f>IF(COUNTA(A3423:G3423)=0,"",IF(G3423&lt;&gt;"",G3423,IF(B3423="","",IFERROR(IF(INDEX(pr_rate,MATCH(B3423,pr_code,0))="","",INDEX(pr_rate,MATCH(B3423,pr_code,0))),""))))</f>
        <v/>
      </c>
      <c r="L3423" s="65" t="str">
        <f>IF(COUNTA(A3423:G3423)=0,"",IF(AND(ISNUMBER(D3423),ISNUMBER(J3423)),ROUND(D3423*J3423*(1-N(F3423)),2),0))</f>
        <v/>
      </c>
      <c r="M3423" s="62" t="str">
        <f>IF(A3423="","",IFERROR(INDEX(fa_cname,MATCH(A3423,fa_num,0))&amp;"",""))</f>
        <v/>
      </c>
      <c r="N3423" s="59" t="str">
        <f>IF(COUNTA(A3423:G3423)=0,"",IF(A3423="","N° facture manquant",IF(ISNA(MATCH(A3423,fa_num,0)),"Facture inconnue",IF(AND(B3423&lt;&gt;"",ISNA(MATCH(B3423,pr_code,0))),"Article inconnu",IF(H3423="","Désignation manquante",IF(OR(NOT(ISNUMBER(D3423)),N(D3423)&lt;=0),"Quantité invalide",IF(J3423="","Prix manquant",IF(OR(NOT(ISNUMBER(J3423)),N(J3423)&lt;0),"Prix invalide",IF(OR(AND(F3423&lt;&gt;"",NOT(ISNUMBER(F3423))),N(F3423)&lt;0,N(F3423)&gt;1),"Remise invalide",IF(K3423="","Taux de TVA manquant",IF(NOT(ISNUMBER(K3423)),"Taux de TVA invalide",IF(COUNTIF(p_rates,K3423)=0,"Taux de TVA hors liste (Paramètres)",IF(N(O3423)&gt;25,"Au-delà de 25 lignes : non imprimée","OK")))))))))))))</f>
        <v/>
      </c>
      <c r="O3423" s="59" t="str">
        <f>IF(A3423="","",COUNTIF($A$6:A3423,A3423))</f>
        <v/>
      </c>
      <c r="P3423" s="62" t="str">
        <f>IF(A3423="","",A3423&amp;"|"&amp;O3423)</f>
        <v/>
      </c>
    </row>
    <row r="3424">
      <c r="A3424" s="60" t="n"/>
      <c r="B3424" s="63" t="n"/>
      <c r="C3424" s="63" t="n"/>
      <c r="D3424" s="67" t="n"/>
      <c r="E3424" s="68" t="n"/>
      <c r="F3424" s="69" t="n"/>
      <c r="G3424" s="70" t="n"/>
      <c r="H3424" s="62" t="str">
        <f>IF(COUNTA(A3424:G3424)=0,"",IF(C3424&lt;&gt;"",C3424,IF(B3424="","",IFERROR(INDEX(pr_des,MATCH(B3424,pr_code,0))&amp;"",""))))</f>
        <v/>
      </c>
      <c r="I3424" s="59" t="str">
        <f>IF(B3424="","",IFERROR(INDEX(pr_unit,MATCH(B3424,pr_code,0))&amp;"",""))</f>
        <v/>
      </c>
      <c r="J3424" s="65" t="str">
        <f>IF(COUNTA(A3424:G3424)=0,"",IF(E3424&lt;&gt;"",E3424,IF(B3424="","",IFERROR(IF(INDEX(pr_price,MATCH(B3424,pr_code,0))="","",INDEX(pr_price,MATCH(B3424,pr_code,0))),""))))</f>
        <v/>
      </c>
      <c r="K3424" s="71" t="str">
        <f>IF(COUNTA(A3424:G3424)=0,"",IF(G3424&lt;&gt;"",G3424,IF(B3424="","",IFERROR(IF(INDEX(pr_rate,MATCH(B3424,pr_code,0))="","",INDEX(pr_rate,MATCH(B3424,pr_code,0))),""))))</f>
        <v/>
      </c>
      <c r="L3424" s="65" t="str">
        <f>IF(COUNTA(A3424:G3424)=0,"",IF(AND(ISNUMBER(D3424),ISNUMBER(J3424)),ROUND(D3424*J3424*(1-N(F3424)),2),0))</f>
        <v/>
      </c>
      <c r="M3424" s="62" t="str">
        <f>IF(A3424="","",IFERROR(INDEX(fa_cname,MATCH(A3424,fa_num,0))&amp;"",""))</f>
        <v/>
      </c>
      <c r="N3424" s="59" t="str">
        <f>IF(COUNTA(A3424:G3424)=0,"",IF(A3424="","N° facture manquant",IF(ISNA(MATCH(A3424,fa_num,0)),"Facture inconnue",IF(AND(B3424&lt;&gt;"",ISNA(MATCH(B3424,pr_code,0))),"Article inconnu",IF(H3424="","Désignation manquante",IF(OR(NOT(ISNUMBER(D3424)),N(D3424)&lt;=0),"Quantité invalide",IF(J3424="","Prix manquant",IF(OR(NOT(ISNUMBER(J3424)),N(J3424)&lt;0),"Prix invalide",IF(OR(AND(F3424&lt;&gt;"",NOT(ISNUMBER(F3424))),N(F3424)&lt;0,N(F3424)&gt;1),"Remise invalide",IF(K3424="","Taux de TVA manquant",IF(NOT(ISNUMBER(K3424)),"Taux de TVA invalide",IF(COUNTIF(p_rates,K3424)=0,"Taux de TVA hors liste (Paramètres)",IF(N(O3424)&gt;25,"Au-delà de 25 lignes : non imprimée","OK")))))))))))))</f>
        <v/>
      </c>
      <c r="O3424" s="59" t="str">
        <f>IF(A3424="","",COUNTIF($A$6:A3424,A3424))</f>
        <v/>
      </c>
      <c r="P3424" s="62" t="str">
        <f>IF(A3424="","",A3424&amp;"|"&amp;O3424)</f>
        <v/>
      </c>
    </row>
    <row r="3425">
      <c r="A3425" s="60" t="n"/>
      <c r="B3425" s="63" t="n"/>
      <c r="C3425" s="63" t="n"/>
      <c r="D3425" s="67" t="n"/>
      <c r="E3425" s="68" t="n"/>
      <c r="F3425" s="69" t="n"/>
      <c r="G3425" s="70" t="n"/>
      <c r="H3425" s="62" t="str">
        <f>IF(COUNTA(A3425:G3425)=0,"",IF(C3425&lt;&gt;"",C3425,IF(B3425="","",IFERROR(INDEX(pr_des,MATCH(B3425,pr_code,0))&amp;"",""))))</f>
        <v/>
      </c>
      <c r="I3425" s="59" t="str">
        <f>IF(B3425="","",IFERROR(INDEX(pr_unit,MATCH(B3425,pr_code,0))&amp;"",""))</f>
        <v/>
      </c>
      <c r="J3425" s="65" t="str">
        <f>IF(COUNTA(A3425:G3425)=0,"",IF(E3425&lt;&gt;"",E3425,IF(B3425="","",IFERROR(IF(INDEX(pr_price,MATCH(B3425,pr_code,0))="","",INDEX(pr_price,MATCH(B3425,pr_code,0))),""))))</f>
        <v/>
      </c>
      <c r="K3425" s="71" t="str">
        <f>IF(COUNTA(A3425:G3425)=0,"",IF(G3425&lt;&gt;"",G3425,IF(B3425="","",IFERROR(IF(INDEX(pr_rate,MATCH(B3425,pr_code,0))="","",INDEX(pr_rate,MATCH(B3425,pr_code,0))),""))))</f>
        <v/>
      </c>
      <c r="L3425" s="65" t="str">
        <f>IF(COUNTA(A3425:G3425)=0,"",IF(AND(ISNUMBER(D3425),ISNUMBER(J3425)),ROUND(D3425*J3425*(1-N(F3425)),2),0))</f>
        <v/>
      </c>
      <c r="M3425" s="62" t="str">
        <f>IF(A3425="","",IFERROR(INDEX(fa_cname,MATCH(A3425,fa_num,0))&amp;"",""))</f>
        <v/>
      </c>
      <c r="N3425" s="59" t="str">
        <f>IF(COUNTA(A3425:G3425)=0,"",IF(A3425="","N° facture manquant",IF(ISNA(MATCH(A3425,fa_num,0)),"Facture inconnue",IF(AND(B3425&lt;&gt;"",ISNA(MATCH(B3425,pr_code,0))),"Article inconnu",IF(H3425="","Désignation manquante",IF(OR(NOT(ISNUMBER(D3425)),N(D3425)&lt;=0),"Quantité invalide",IF(J3425="","Prix manquant",IF(OR(NOT(ISNUMBER(J3425)),N(J3425)&lt;0),"Prix invalide",IF(OR(AND(F3425&lt;&gt;"",NOT(ISNUMBER(F3425))),N(F3425)&lt;0,N(F3425)&gt;1),"Remise invalide",IF(K3425="","Taux de TVA manquant",IF(NOT(ISNUMBER(K3425)),"Taux de TVA invalide",IF(COUNTIF(p_rates,K3425)=0,"Taux de TVA hors liste (Paramètres)",IF(N(O3425)&gt;25,"Au-delà de 25 lignes : non imprimée","OK")))))))))))))</f>
        <v/>
      </c>
      <c r="O3425" s="59" t="str">
        <f>IF(A3425="","",COUNTIF($A$6:A3425,A3425))</f>
        <v/>
      </c>
      <c r="P3425" s="62" t="str">
        <f>IF(A3425="","",A3425&amp;"|"&amp;O3425)</f>
        <v/>
      </c>
    </row>
    <row r="3426">
      <c r="A3426" s="60" t="n"/>
      <c r="B3426" s="63" t="n"/>
      <c r="C3426" s="63" t="n"/>
      <c r="D3426" s="67" t="n"/>
      <c r="E3426" s="68" t="n"/>
      <c r="F3426" s="69" t="n"/>
      <c r="G3426" s="70" t="n"/>
      <c r="H3426" s="62" t="str">
        <f>IF(COUNTA(A3426:G3426)=0,"",IF(C3426&lt;&gt;"",C3426,IF(B3426="","",IFERROR(INDEX(pr_des,MATCH(B3426,pr_code,0))&amp;"",""))))</f>
        <v/>
      </c>
      <c r="I3426" s="59" t="str">
        <f>IF(B3426="","",IFERROR(INDEX(pr_unit,MATCH(B3426,pr_code,0))&amp;"",""))</f>
        <v/>
      </c>
      <c r="J3426" s="65" t="str">
        <f>IF(COUNTA(A3426:G3426)=0,"",IF(E3426&lt;&gt;"",E3426,IF(B3426="","",IFERROR(IF(INDEX(pr_price,MATCH(B3426,pr_code,0))="","",INDEX(pr_price,MATCH(B3426,pr_code,0))),""))))</f>
        <v/>
      </c>
      <c r="K3426" s="71" t="str">
        <f>IF(COUNTA(A3426:G3426)=0,"",IF(G3426&lt;&gt;"",G3426,IF(B3426="","",IFERROR(IF(INDEX(pr_rate,MATCH(B3426,pr_code,0))="","",INDEX(pr_rate,MATCH(B3426,pr_code,0))),""))))</f>
        <v/>
      </c>
      <c r="L3426" s="65" t="str">
        <f>IF(COUNTA(A3426:G3426)=0,"",IF(AND(ISNUMBER(D3426),ISNUMBER(J3426)),ROUND(D3426*J3426*(1-N(F3426)),2),0))</f>
        <v/>
      </c>
      <c r="M3426" s="62" t="str">
        <f>IF(A3426="","",IFERROR(INDEX(fa_cname,MATCH(A3426,fa_num,0))&amp;"",""))</f>
        <v/>
      </c>
      <c r="N3426" s="59" t="str">
        <f>IF(COUNTA(A3426:G3426)=0,"",IF(A3426="","N° facture manquant",IF(ISNA(MATCH(A3426,fa_num,0)),"Facture inconnue",IF(AND(B3426&lt;&gt;"",ISNA(MATCH(B3426,pr_code,0))),"Article inconnu",IF(H3426="","Désignation manquante",IF(OR(NOT(ISNUMBER(D3426)),N(D3426)&lt;=0),"Quantité invalide",IF(J3426="","Prix manquant",IF(OR(NOT(ISNUMBER(J3426)),N(J3426)&lt;0),"Prix invalide",IF(OR(AND(F3426&lt;&gt;"",NOT(ISNUMBER(F3426))),N(F3426)&lt;0,N(F3426)&gt;1),"Remise invalide",IF(K3426="","Taux de TVA manquant",IF(NOT(ISNUMBER(K3426)),"Taux de TVA invalide",IF(COUNTIF(p_rates,K3426)=0,"Taux de TVA hors liste (Paramètres)",IF(N(O3426)&gt;25,"Au-delà de 25 lignes : non imprimée","OK")))))))))))))</f>
        <v/>
      </c>
      <c r="O3426" s="59" t="str">
        <f>IF(A3426="","",COUNTIF($A$6:A3426,A3426))</f>
        <v/>
      </c>
      <c r="P3426" s="62" t="str">
        <f>IF(A3426="","",A3426&amp;"|"&amp;O3426)</f>
        <v/>
      </c>
    </row>
    <row r="3427">
      <c r="A3427" s="60" t="n"/>
      <c r="B3427" s="63" t="n"/>
      <c r="C3427" s="63" t="n"/>
      <c r="D3427" s="67" t="n"/>
      <c r="E3427" s="68" t="n"/>
      <c r="F3427" s="69" t="n"/>
      <c r="G3427" s="70" t="n"/>
      <c r="H3427" s="62" t="str">
        <f>IF(COUNTA(A3427:G3427)=0,"",IF(C3427&lt;&gt;"",C3427,IF(B3427="","",IFERROR(INDEX(pr_des,MATCH(B3427,pr_code,0))&amp;"",""))))</f>
        <v/>
      </c>
      <c r="I3427" s="59" t="str">
        <f>IF(B3427="","",IFERROR(INDEX(pr_unit,MATCH(B3427,pr_code,0))&amp;"",""))</f>
        <v/>
      </c>
      <c r="J3427" s="65" t="str">
        <f>IF(COUNTA(A3427:G3427)=0,"",IF(E3427&lt;&gt;"",E3427,IF(B3427="","",IFERROR(IF(INDEX(pr_price,MATCH(B3427,pr_code,0))="","",INDEX(pr_price,MATCH(B3427,pr_code,0))),""))))</f>
        <v/>
      </c>
      <c r="K3427" s="71" t="str">
        <f>IF(COUNTA(A3427:G3427)=0,"",IF(G3427&lt;&gt;"",G3427,IF(B3427="","",IFERROR(IF(INDEX(pr_rate,MATCH(B3427,pr_code,0))="","",INDEX(pr_rate,MATCH(B3427,pr_code,0))),""))))</f>
        <v/>
      </c>
      <c r="L3427" s="65" t="str">
        <f>IF(COUNTA(A3427:G3427)=0,"",IF(AND(ISNUMBER(D3427),ISNUMBER(J3427)),ROUND(D3427*J3427*(1-N(F3427)),2),0))</f>
        <v/>
      </c>
      <c r="M3427" s="62" t="str">
        <f>IF(A3427="","",IFERROR(INDEX(fa_cname,MATCH(A3427,fa_num,0))&amp;"",""))</f>
        <v/>
      </c>
      <c r="N3427" s="59" t="str">
        <f>IF(COUNTA(A3427:G3427)=0,"",IF(A3427="","N° facture manquant",IF(ISNA(MATCH(A3427,fa_num,0)),"Facture inconnue",IF(AND(B3427&lt;&gt;"",ISNA(MATCH(B3427,pr_code,0))),"Article inconnu",IF(H3427="","Désignation manquante",IF(OR(NOT(ISNUMBER(D3427)),N(D3427)&lt;=0),"Quantité invalide",IF(J3427="","Prix manquant",IF(OR(NOT(ISNUMBER(J3427)),N(J3427)&lt;0),"Prix invalide",IF(OR(AND(F3427&lt;&gt;"",NOT(ISNUMBER(F3427))),N(F3427)&lt;0,N(F3427)&gt;1),"Remise invalide",IF(K3427="","Taux de TVA manquant",IF(NOT(ISNUMBER(K3427)),"Taux de TVA invalide",IF(COUNTIF(p_rates,K3427)=0,"Taux de TVA hors liste (Paramètres)",IF(N(O3427)&gt;25,"Au-delà de 25 lignes : non imprimée","OK")))))))))))))</f>
        <v/>
      </c>
      <c r="O3427" s="59" t="str">
        <f>IF(A3427="","",COUNTIF($A$6:A3427,A3427))</f>
        <v/>
      </c>
      <c r="P3427" s="62" t="str">
        <f>IF(A3427="","",A3427&amp;"|"&amp;O3427)</f>
        <v/>
      </c>
    </row>
    <row r="3428">
      <c r="A3428" s="60" t="n"/>
      <c r="B3428" s="63" t="n"/>
      <c r="C3428" s="63" t="n"/>
      <c r="D3428" s="67" t="n"/>
      <c r="E3428" s="68" t="n"/>
      <c r="F3428" s="69" t="n"/>
      <c r="G3428" s="70" t="n"/>
      <c r="H3428" s="62" t="str">
        <f>IF(COUNTA(A3428:G3428)=0,"",IF(C3428&lt;&gt;"",C3428,IF(B3428="","",IFERROR(INDEX(pr_des,MATCH(B3428,pr_code,0))&amp;"",""))))</f>
        <v/>
      </c>
      <c r="I3428" s="59" t="str">
        <f>IF(B3428="","",IFERROR(INDEX(pr_unit,MATCH(B3428,pr_code,0))&amp;"",""))</f>
        <v/>
      </c>
      <c r="J3428" s="65" t="str">
        <f>IF(COUNTA(A3428:G3428)=0,"",IF(E3428&lt;&gt;"",E3428,IF(B3428="","",IFERROR(IF(INDEX(pr_price,MATCH(B3428,pr_code,0))="","",INDEX(pr_price,MATCH(B3428,pr_code,0))),""))))</f>
        <v/>
      </c>
      <c r="K3428" s="71" t="str">
        <f>IF(COUNTA(A3428:G3428)=0,"",IF(G3428&lt;&gt;"",G3428,IF(B3428="","",IFERROR(IF(INDEX(pr_rate,MATCH(B3428,pr_code,0))="","",INDEX(pr_rate,MATCH(B3428,pr_code,0))),""))))</f>
        <v/>
      </c>
      <c r="L3428" s="65" t="str">
        <f>IF(COUNTA(A3428:G3428)=0,"",IF(AND(ISNUMBER(D3428),ISNUMBER(J3428)),ROUND(D3428*J3428*(1-N(F3428)),2),0))</f>
        <v/>
      </c>
      <c r="M3428" s="62" t="str">
        <f>IF(A3428="","",IFERROR(INDEX(fa_cname,MATCH(A3428,fa_num,0))&amp;"",""))</f>
        <v/>
      </c>
      <c r="N3428" s="59" t="str">
        <f>IF(COUNTA(A3428:G3428)=0,"",IF(A3428="","N° facture manquant",IF(ISNA(MATCH(A3428,fa_num,0)),"Facture inconnue",IF(AND(B3428&lt;&gt;"",ISNA(MATCH(B3428,pr_code,0))),"Article inconnu",IF(H3428="","Désignation manquante",IF(OR(NOT(ISNUMBER(D3428)),N(D3428)&lt;=0),"Quantité invalide",IF(J3428="","Prix manquant",IF(OR(NOT(ISNUMBER(J3428)),N(J3428)&lt;0),"Prix invalide",IF(OR(AND(F3428&lt;&gt;"",NOT(ISNUMBER(F3428))),N(F3428)&lt;0,N(F3428)&gt;1),"Remise invalide",IF(K3428="","Taux de TVA manquant",IF(NOT(ISNUMBER(K3428)),"Taux de TVA invalide",IF(COUNTIF(p_rates,K3428)=0,"Taux de TVA hors liste (Paramètres)",IF(N(O3428)&gt;25,"Au-delà de 25 lignes : non imprimée","OK")))))))))))))</f>
        <v/>
      </c>
      <c r="O3428" s="59" t="str">
        <f>IF(A3428="","",COUNTIF($A$6:A3428,A3428))</f>
        <v/>
      </c>
      <c r="P3428" s="62" t="str">
        <f>IF(A3428="","",A3428&amp;"|"&amp;O3428)</f>
        <v/>
      </c>
    </row>
    <row r="3429">
      <c r="A3429" s="60" t="n"/>
      <c r="B3429" s="63" t="n"/>
      <c r="C3429" s="63" t="n"/>
      <c r="D3429" s="67" t="n"/>
      <c r="E3429" s="68" t="n"/>
      <c r="F3429" s="69" t="n"/>
      <c r="G3429" s="70" t="n"/>
      <c r="H3429" s="62" t="str">
        <f>IF(COUNTA(A3429:G3429)=0,"",IF(C3429&lt;&gt;"",C3429,IF(B3429="","",IFERROR(INDEX(pr_des,MATCH(B3429,pr_code,0))&amp;"",""))))</f>
        <v/>
      </c>
      <c r="I3429" s="59" t="str">
        <f>IF(B3429="","",IFERROR(INDEX(pr_unit,MATCH(B3429,pr_code,0))&amp;"",""))</f>
        <v/>
      </c>
      <c r="J3429" s="65" t="str">
        <f>IF(COUNTA(A3429:G3429)=0,"",IF(E3429&lt;&gt;"",E3429,IF(B3429="","",IFERROR(IF(INDEX(pr_price,MATCH(B3429,pr_code,0))="","",INDEX(pr_price,MATCH(B3429,pr_code,0))),""))))</f>
        <v/>
      </c>
      <c r="K3429" s="71" t="str">
        <f>IF(COUNTA(A3429:G3429)=0,"",IF(G3429&lt;&gt;"",G3429,IF(B3429="","",IFERROR(IF(INDEX(pr_rate,MATCH(B3429,pr_code,0))="","",INDEX(pr_rate,MATCH(B3429,pr_code,0))),""))))</f>
        <v/>
      </c>
      <c r="L3429" s="65" t="str">
        <f>IF(COUNTA(A3429:G3429)=0,"",IF(AND(ISNUMBER(D3429),ISNUMBER(J3429)),ROUND(D3429*J3429*(1-N(F3429)),2),0))</f>
        <v/>
      </c>
      <c r="M3429" s="62" t="str">
        <f>IF(A3429="","",IFERROR(INDEX(fa_cname,MATCH(A3429,fa_num,0))&amp;"",""))</f>
        <v/>
      </c>
      <c r="N3429" s="59" t="str">
        <f>IF(COUNTA(A3429:G3429)=0,"",IF(A3429="","N° facture manquant",IF(ISNA(MATCH(A3429,fa_num,0)),"Facture inconnue",IF(AND(B3429&lt;&gt;"",ISNA(MATCH(B3429,pr_code,0))),"Article inconnu",IF(H3429="","Désignation manquante",IF(OR(NOT(ISNUMBER(D3429)),N(D3429)&lt;=0),"Quantité invalide",IF(J3429="","Prix manquant",IF(OR(NOT(ISNUMBER(J3429)),N(J3429)&lt;0),"Prix invalide",IF(OR(AND(F3429&lt;&gt;"",NOT(ISNUMBER(F3429))),N(F3429)&lt;0,N(F3429)&gt;1),"Remise invalide",IF(K3429="","Taux de TVA manquant",IF(NOT(ISNUMBER(K3429)),"Taux de TVA invalide",IF(COUNTIF(p_rates,K3429)=0,"Taux de TVA hors liste (Paramètres)",IF(N(O3429)&gt;25,"Au-delà de 25 lignes : non imprimée","OK")))))))))))))</f>
        <v/>
      </c>
      <c r="O3429" s="59" t="str">
        <f>IF(A3429="","",COUNTIF($A$6:A3429,A3429))</f>
        <v/>
      </c>
      <c r="P3429" s="62" t="str">
        <f>IF(A3429="","",A3429&amp;"|"&amp;O3429)</f>
        <v/>
      </c>
    </row>
    <row r="3430">
      <c r="A3430" s="60" t="n"/>
      <c r="B3430" s="63" t="n"/>
      <c r="C3430" s="63" t="n"/>
      <c r="D3430" s="67" t="n"/>
      <c r="E3430" s="68" t="n"/>
      <c r="F3430" s="69" t="n"/>
      <c r="G3430" s="70" t="n"/>
      <c r="H3430" s="62" t="str">
        <f>IF(COUNTA(A3430:G3430)=0,"",IF(C3430&lt;&gt;"",C3430,IF(B3430="","",IFERROR(INDEX(pr_des,MATCH(B3430,pr_code,0))&amp;"",""))))</f>
        <v/>
      </c>
      <c r="I3430" s="59" t="str">
        <f>IF(B3430="","",IFERROR(INDEX(pr_unit,MATCH(B3430,pr_code,0))&amp;"",""))</f>
        <v/>
      </c>
      <c r="J3430" s="65" t="str">
        <f>IF(COUNTA(A3430:G3430)=0,"",IF(E3430&lt;&gt;"",E3430,IF(B3430="","",IFERROR(IF(INDEX(pr_price,MATCH(B3430,pr_code,0))="","",INDEX(pr_price,MATCH(B3430,pr_code,0))),""))))</f>
        <v/>
      </c>
      <c r="K3430" s="71" t="str">
        <f>IF(COUNTA(A3430:G3430)=0,"",IF(G3430&lt;&gt;"",G3430,IF(B3430="","",IFERROR(IF(INDEX(pr_rate,MATCH(B3430,pr_code,0))="","",INDEX(pr_rate,MATCH(B3430,pr_code,0))),""))))</f>
        <v/>
      </c>
      <c r="L3430" s="65" t="str">
        <f>IF(COUNTA(A3430:G3430)=0,"",IF(AND(ISNUMBER(D3430),ISNUMBER(J3430)),ROUND(D3430*J3430*(1-N(F3430)),2),0))</f>
        <v/>
      </c>
      <c r="M3430" s="62" t="str">
        <f>IF(A3430="","",IFERROR(INDEX(fa_cname,MATCH(A3430,fa_num,0))&amp;"",""))</f>
        <v/>
      </c>
      <c r="N3430" s="59" t="str">
        <f>IF(COUNTA(A3430:G3430)=0,"",IF(A3430="","N° facture manquant",IF(ISNA(MATCH(A3430,fa_num,0)),"Facture inconnue",IF(AND(B3430&lt;&gt;"",ISNA(MATCH(B3430,pr_code,0))),"Article inconnu",IF(H3430="","Désignation manquante",IF(OR(NOT(ISNUMBER(D3430)),N(D3430)&lt;=0),"Quantité invalide",IF(J3430="","Prix manquant",IF(OR(NOT(ISNUMBER(J3430)),N(J3430)&lt;0),"Prix invalide",IF(OR(AND(F3430&lt;&gt;"",NOT(ISNUMBER(F3430))),N(F3430)&lt;0,N(F3430)&gt;1),"Remise invalide",IF(K3430="","Taux de TVA manquant",IF(NOT(ISNUMBER(K3430)),"Taux de TVA invalide",IF(COUNTIF(p_rates,K3430)=0,"Taux de TVA hors liste (Paramètres)",IF(N(O3430)&gt;25,"Au-delà de 25 lignes : non imprimée","OK")))))))))))))</f>
        <v/>
      </c>
      <c r="O3430" s="59" t="str">
        <f>IF(A3430="","",COUNTIF($A$6:A3430,A3430))</f>
        <v/>
      </c>
      <c r="P3430" s="62" t="str">
        <f>IF(A3430="","",A3430&amp;"|"&amp;O3430)</f>
        <v/>
      </c>
    </row>
    <row r="3431">
      <c r="A3431" s="60" t="n"/>
      <c r="B3431" s="63" t="n"/>
      <c r="C3431" s="63" t="n"/>
      <c r="D3431" s="67" t="n"/>
      <c r="E3431" s="68" t="n"/>
      <c r="F3431" s="69" t="n"/>
      <c r="G3431" s="70" t="n"/>
      <c r="H3431" s="62" t="str">
        <f>IF(COUNTA(A3431:G3431)=0,"",IF(C3431&lt;&gt;"",C3431,IF(B3431="","",IFERROR(INDEX(pr_des,MATCH(B3431,pr_code,0))&amp;"",""))))</f>
        <v/>
      </c>
      <c r="I3431" s="59" t="str">
        <f>IF(B3431="","",IFERROR(INDEX(pr_unit,MATCH(B3431,pr_code,0))&amp;"",""))</f>
        <v/>
      </c>
      <c r="J3431" s="65" t="str">
        <f>IF(COUNTA(A3431:G3431)=0,"",IF(E3431&lt;&gt;"",E3431,IF(B3431="","",IFERROR(IF(INDEX(pr_price,MATCH(B3431,pr_code,0))="","",INDEX(pr_price,MATCH(B3431,pr_code,0))),""))))</f>
        <v/>
      </c>
      <c r="K3431" s="71" t="str">
        <f>IF(COUNTA(A3431:G3431)=0,"",IF(G3431&lt;&gt;"",G3431,IF(B3431="","",IFERROR(IF(INDEX(pr_rate,MATCH(B3431,pr_code,0))="","",INDEX(pr_rate,MATCH(B3431,pr_code,0))),""))))</f>
        <v/>
      </c>
      <c r="L3431" s="65" t="str">
        <f>IF(COUNTA(A3431:G3431)=0,"",IF(AND(ISNUMBER(D3431),ISNUMBER(J3431)),ROUND(D3431*J3431*(1-N(F3431)),2),0))</f>
        <v/>
      </c>
      <c r="M3431" s="62" t="str">
        <f>IF(A3431="","",IFERROR(INDEX(fa_cname,MATCH(A3431,fa_num,0))&amp;"",""))</f>
        <v/>
      </c>
      <c r="N3431" s="59" t="str">
        <f>IF(COUNTA(A3431:G3431)=0,"",IF(A3431="","N° facture manquant",IF(ISNA(MATCH(A3431,fa_num,0)),"Facture inconnue",IF(AND(B3431&lt;&gt;"",ISNA(MATCH(B3431,pr_code,0))),"Article inconnu",IF(H3431="","Désignation manquante",IF(OR(NOT(ISNUMBER(D3431)),N(D3431)&lt;=0),"Quantité invalide",IF(J3431="","Prix manquant",IF(OR(NOT(ISNUMBER(J3431)),N(J3431)&lt;0),"Prix invalide",IF(OR(AND(F3431&lt;&gt;"",NOT(ISNUMBER(F3431))),N(F3431)&lt;0,N(F3431)&gt;1),"Remise invalide",IF(K3431="","Taux de TVA manquant",IF(NOT(ISNUMBER(K3431)),"Taux de TVA invalide",IF(COUNTIF(p_rates,K3431)=0,"Taux de TVA hors liste (Paramètres)",IF(N(O3431)&gt;25,"Au-delà de 25 lignes : non imprimée","OK")))))))))))))</f>
        <v/>
      </c>
      <c r="O3431" s="59" t="str">
        <f>IF(A3431="","",COUNTIF($A$6:A3431,A3431))</f>
        <v/>
      </c>
      <c r="P3431" s="62" t="str">
        <f>IF(A3431="","",A3431&amp;"|"&amp;O3431)</f>
        <v/>
      </c>
    </row>
    <row r="3432">
      <c r="A3432" s="60" t="n"/>
      <c r="B3432" s="63" t="n"/>
      <c r="C3432" s="63" t="n"/>
      <c r="D3432" s="67" t="n"/>
      <c r="E3432" s="68" t="n"/>
      <c r="F3432" s="69" t="n"/>
      <c r="G3432" s="70" t="n"/>
      <c r="H3432" s="62" t="str">
        <f>IF(COUNTA(A3432:G3432)=0,"",IF(C3432&lt;&gt;"",C3432,IF(B3432="","",IFERROR(INDEX(pr_des,MATCH(B3432,pr_code,0))&amp;"",""))))</f>
        <v/>
      </c>
      <c r="I3432" s="59" t="str">
        <f>IF(B3432="","",IFERROR(INDEX(pr_unit,MATCH(B3432,pr_code,0))&amp;"",""))</f>
        <v/>
      </c>
      <c r="J3432" s="65" t="str">
        <f>IF(COUNTA(A3432:G3432)=0,"",IF(E3432&lt;&gt;"",E3432,IF(B3432="","",IFERROR(IF(INDEX(pr_price,MATCH(B3432,pr_code,0))="","",INDEX(pr_price,MATCH(B3432,pr_code,0))),""))))</f>
        <v/>
      </c>
      <c r="K3432" s="71" t="str">
        <f>IF(COUNTA(A3432:G3432)=0,"",IF(G3432&lt;&gt;"",G3432,IF(B3432="","",IFERROR(IF(INDEX(pr_rate,MATCH(B3432,pr_code,0))="","",INDEX(pr_rate,MATCH(B3432,pr_code,0))),""))))</f>
        <v/>
      </c>
      <c r="L3432" s="65" t="str">
        <f>IF(COUNTA(A3432:G3432)=0,"",IF(AND(ISNUMBER(D3432),ISNUMBER(J3432)),ROUND(D3432*J3432*(1-N(F3432)),2),0))</f>
        <v/>
      </c>
      <c r="M3432" s="62" t="str">
        <f>IF(A3432="","",IFERROR(INDEX(fa_cname,MATCH(A3432,fa_num,0))&amp;"",""))</f>
        <v/>
      </c>
      <c r="N3432" s="59" t="str">
        <f>IF(COUNTA(A3432:G3432)=0,"",IF(A3432="","N° facture manquant",IF(ISNA(MATCH(A3432,fa_num,0)),"Facture inconnue",IF(AND(B3432&lt;&gt;"",ISNA(MATCH(B3432,pr_code,0))),"Article inconnu",IF(H3432="","Désignation manquante",IF(OR(NOT(ISNUMBER(D3432)),N(D3432)&lt;=0),"Quantité invalide",IF(J3432="","Prix manquant",IF(OR(NOT(ISNUMBER(J3432)),N(J3432)&lt;0),"Prix invalide",IF(OR(AND(F3432&lt;&gt;"",NOT(ISNUMBER(F3432))),N(F3432)&lt;0,N(F3432)&gt;1),"Remise invalide",IF(K3432="","Taux de TVA manquant",IF(NOT(ISNUMBER(K3432)),"Taux de TVA invalide",IF(COUNTIF(p_rates,K3432)=0,"Taux de TVA hors liste (Paramètres)",IF(N(O3432)&gt;25,"Au-delà de 25 lignes : non imprimée","OK")))))))))))))</f>
        <v/>
      </c>
      <c r="O3432" s="59" t="str">
        <f>IF(A3432="","",COUNTIF($A$6:A3432,A3432))</f>
        <v/>
      </c>
      <c r="P3432" s="62" t="str">
        <f>IF(A3432="","",A3432&amp;"|"&amp;O3432)</f>
        <v/>
      </c>
    </row>
    <row r="3433">
      <c r="A3433" s="60" t="n"/>
      <c r="B3433" s="63" t="n"/>
      <c r="C3433" s="63" t="n"/>
      <c r="D3433" s="67" t="n"/>
      <c r="E3433" s="68" t="n"/>
      <c r="F3433" s="69" t="n"/>
      <c r="G3433" s="70" t="n"/>
      <c r="H3433" s="62" t="str">
        <f>IF(COUNTA(A3433:G3433)=0,"",IF(C3433&lt;&gt;"",C3433,IF(B3433="","",IFERROR(INDEX(pr_des,MATCH(B3433,pr_code,0))&amp;"",""))))</f>
        <v/>
      </c>
      <c r="I3433" s="59" t="str">
        <f>IF(B3433="","",IFERROR(INDEX(pr_unit,MATCH(B3433,pr_code,0))&amp;"",""))</f>
        <v/>
      </c>
      <c r="J3433" s="65" t="str">
        <f>IF(COUNTA(A3433:G3433)=0,"",IF(E3433&lt;&gt;"",E3433,IF(B3433="","",IFERROR(IF(INDEX(pr_price,MATCH(B3433,pr_code,0))="","",INDEX(pr_price,MATCH(B3433,pr_code,0))),""))))</f>
        <v/>
      </c>
      <c r="K3433" s="71" t="str">
        <f>IF(COUNTA(A3433:G3433)=0,"",IF(G3433&lt;&gt;"",G3433,IF(B3433="","",IFERROR(IF(INDEX(pr_rate,MATCH(B3433,pr_code,0))="","",INDEX(pr_rate,MATCH(B3433,pr_code,0))),""))))</f>
        <v/>
      </c>
      <c r="L3433" s="65" t="str">
        <f>IF(COUNTA(A3433:G3433)=0,"",IF(AND(ISNUMBER(D3433),ISNUMBER(J3433)),ROUND(D3433*J3433*(1-N(F3433)),2),0))</f>
        <v/>
      </c>
      <c r="M3433" s="62" t="str">
        <f>IF(A3433="","",IFERROR(INDEX(fa_cname,MATCH(A3433,fa_num,0))&amp;"",""))</f>
        <v/>
      </c>
      <c r="N3433" s="59" t="str">
        <f>IF(COUNTA(A3433:G3433)=0,"",IF(A3433="","N° facture manquant",IF(ISNA(MATCH(A3433,fa_num,0)),"Facture inconnue",IF(AND(B3433&lt;&gt;"",ISNA(MATCH(B3433,pr_code,0))),"Article inconnu",IF(H3433="","Désignation manquante",IF(OR(NOT(ISNUMBER(D3433)),N(D3433)&lt;=0),"Quantité invalide",IF(J3433="","Prix manquant",IF(OR(NOT(ISNUMBER(J3433)),N(J3433)&lt;0),"Prix invalide",IF(OR(AND(F3433&lt;&gt;"",NOT(ISNUMBER(F3433))),N(F3433)&lt;0,N(F3433)&gt;1),"Remise invalide",IF(K3433="","Taux de TVA manquant",IF(NOT(ISNUMBER(K3433)),"Taux de TVA invalide",IF(COUNTIF(p_rates,K3433)=0,"Taux de TVA hors liste (Paramètres)",IF(N(O3433)&gt;25,"Au-delà de 25 lignes : non imprimée","OK")))))))))))))</f>
        <v/>
      </c>
      <c r="O3433" s="59" t="str">
        <f>IF(A3433="","",COUNTIF($A$6:A3433,A3433))</f>
        <v/>
      </c>
      <c r="P3433" s="62" t="str">
        <f>IF(A3433="","",A3433&amp;"|"&amp;O3433)</f>
        <v/>
      </c>
    </row>
    <row r="3434">
      <c r="A3434" s="60" t="n"/>
      <c r="B3434" s="63" t="n"/>
      <c r="C3434" s="63" t="n"/>
      <c r="D3434" s="67" t="n"/>
      <c r="E3434" s="68" t="n"/>
      <c r="F3434" s="69" t="n"/>
      <c r="G3434" s="70" t="n"/>
      <c r="H3434" s="62" t="str">
        <f>IF(COUNTA(A3434:G3434)=0,"",IF(C3434&lt;&gt;"",C3434,IF(B3434="","",IFERROR(INDEX(pr_des,MATCH(B3434,pr_code,0))&amp;"",""))))</f>
        <v/>
      </c>
      <c r="I3434" s="59" t="str">
        <f>IF(B3434="","",IFERROR(INDEX(pr_unit,MATCH(B3434,pr_code,0))&amp;"",""))</f>
        <v/>
      </c>
      <c r="J3434" s="65" t="str">
        <f>IF(COUNTA(A3434:G3434)=0,"",IF(E3434&lt;&gt;"",E3434,IF(B3434="","",IFERROR(IF(INDEX(pr_price,MATCH(B3434,pr_code,0))="","",INDEX(pr_price,MATCH(B3434,pr_code,0))),""))))</f>
        <v/>
      </c>
      <c r="K3434" s="71" t="str">
        <f>IF(COUNTA(A3434:G3434)=0,"",IF(G3434&lt;&gt;"",G3434,IF(B3434="","",IFERROR(IF(INDEX(pr_rate,MATCH(B3434,pr_code,0))="","",INDEX(pr_rate,MATCH(B3434,pr_code,0))),""))))</f>
        <v/>
      </c>
      <c r="L3434" s="65" t="str">
        <f>IF(COUNTA(A3434:G3434)=0,"",IF(AND(ISNUMBER(D3434),ISNUMBER(J3434)),ROUND(D3434*J3434*(1-N(F3434)),2),0))</f>
        <v/>
      </c>
      <c r="M3434" s="62" t="str">
        <f>IF(A3434="","",IFERROR(INDEX(fa_cname,MATCH(A3434,fa_num,0))&amp;"",""))</f>
        <v/>
      </c>
      <c r="N3434" s="59" t="str">
        <f>IF(COUNTA(A3434:G3434)=0,"",IF(A3434="","N° facture manquant",IF(ISNA(MATCH(A3434,fa_num,0)),"Facture inconnue",IF(AND(B3434&lt;&gt;"",ISNA(MATCH(B3434,pr_code,0))),"Article inconnu",IF(H3434="","Désignation manquante",IF(OR(NOT(ISNUMBER(D3434)),N(D3434)&lt;=0),"Quantité invalide",IF(J3434="","Prix manquant",IF(OR(NOT(ISNUMBER(J3434)),N(J3434)&lt;0),"Prix invalide",IF(OR(AND(F3434&lt;&gt;"",NOT(ISNUMBER(F3434))),N(F3434)&lt;0,N(F3434)&gt;1),"Remise invalide",IF(K3434="","Taux de TVA manquant",IF(NOT(ISNUMBER(K3434)),"Taux de TVA invalide",IF(COUNTIF(p_rates,K3434)=0,"Taux de TVA hors liste (Paramètres)",IF(N(O3434)&gt;25,"Au-delà de 25 lignes : non imprimée","OK")))))))))))))</f>
        <v/>
      </c>
      <c r="O3434" s="59" t="str">
        <f>IF(A3434="","",COUNTIF($A$6:A3434,A3434))</f>
        <v/>
      </c>
      <c r="P3434" s="62" t="str">
        <f>IF(A3434="","",A3434&amp;"|"&amp;O3434)</f>
        <v/>
      </c>
    </row>
    <row r="3435">
      <c r="A3435" s="60" t="n"/>
      <c r="B3435" s="63" t="n"/>
      <c r="C3435" s="63" t="n"/>
      <c r="D3435" s="67" t="n"/>
      <c r="E3435" s="68" t="n"/>
      <c r="F3435" s="69" t="n"/>
      <c r="G3435" s="70" t="n"/>
      <c r="H3435" s="62" t="str">
        <f>IF(COUNTA(A3435:G3435)=0,"",IF(C3435&lt;&gt;"",C3435,IF(B3435="","",IFERROR(INDEX(pr_des,MATCH(B3435,pr_code,0))&amp;"",""))))</f>
        <v/>
      </c>
      <c r="I3435" s="59" t="str">
        <f>IF(B3435="","",IFERROR(INDEX(pr_unit,MATCH(B3435,pr_code,0))&amp;"",""))</f>
        <v/>
      </c>
      <c r="J3435" s="65" t="str">
        <f>IF(COUNTA(A3435:G3435)=0,"",IF(E3435&lt;&gt;"",E3435,IF(B3435="","",IFERROR(IF(INDEX(pr_price,MATCH(B3435,pr_code,0))="","",INDEX(pr_price,MATCH(B3435,pr_code,0))),""))))</f>
        <v/>
      </c>
      <c r="K3435" s="71" t="str">
        <f>IF(COUNTA(A3435:G3435)=0,"",IF(G3435&lt;&gt;"",G3435,IF(B3435="","",IFERROR(IF(INDEX(pr_rate,MATCH(B3435,pr_code,0))="","",INDEX(pr_rate,MATCH(B3435,pr_code,0))),""))))</f>
        <v/>
      </c>
      <c r="L3435" s="65" t="str">
        <f>IF(COUNTA(A3435:G3435)=0,"",IF(AND(ISNUMBER(D3435),ISNUMBER(J3435)),ROUND(D3435*J3435*(1-N(F3435)),2),0))</f>
        <v/>
      </c>
      <c r="M3435" s="62" t="str">
        <f>IF(A3435="","",IFERROR(INDEX(fa_cname,MATCH(A3435,fa_num,0))&amp;"",""))</f>
        <v/>
      </c>
      <c r="N3435" s="59" t="str">
        <f>IF(COUNTA(A3435:G3435)=0,"",IF(A3435="","N° facture manquant",IF(ISNA(MATCH(A3435,fa_num,0)),"Facture inconnue",IF(AND(B3435&lt;&gt;"",ISNA(MATCH(B3435,pr_code,0))),"Article inconnu",IF(H3435="","Désignation manquante",IF(OR(NOT(ISNUMBER(D3435)),N(D3435)&lt;=0),"Quantité invalide",IF(J3435="","Prix manquant",IF(OR(NOT(ISNUMBER(J3435)),N(J3435)&lt;0),"Prix invalide",IF(OR(AND(F3435&lt;&gt;"",NOT(ISNUMBER(F3435))),N(F3435)&lt;0,N(F3435)&gt;1),"Remise invalide",IF(K3435="","Taux de TVA manquant",IF(NOT(ISNUMBER(K3435)),"Taux de TVA invalide",IF(COUNTIF(p_rates,K3435)=0,"Taux de TVA hors liste (Paramètres)",IF(N(O3435)&gt;25,"Au-delà de 25 lignes : non imprimée","OK")))))))))))))</f>
        <v/>
      </c>
      <c r="O3435" s="59" t="str">
        <f>IF(A3435="","",COUNTIF($A$6:A3435,A3435))</f>
        <v/>
      </c>
      <c r="P3435" s="62" t="str">
        <f>IF(A3435="","",A3435&amp;"|"&amp;O3435)</f>
        <v/>
      </c>
    </row>
    <row r="3436">
      <c r="A3436" s="60" t="n"/>
      <c r="B3436" s="63" t="n"/>
      <c r="C3436" s="63" t="n"/>
      <c r="D3436" s="67" t="n"/>
      <c r="E3436" s="68" t="n"/>
      <c r="F3436" s="69" t="n"/>
      <c r="G3436" s="70" t="n"/>
      <c r="H3436" s="62" t="str">
        <f>IF(COUNTA(A3436:G3436)=0,"",IF(C3436&lt;&gt;"",C3436,IF(B3436="","",IFERROR(INDEX(pr_des,MATCH(B3436,pr_code,0))&amp;"",""))))</f>
        <v/>
      </c>
      <c r="I3436" s="59" t="str">
        <f>IF(B3436="","",IFERROR(INDEX(pr_unit,MATCH(B3436,pr_code,0))&amp;"",""))</f>
        <v/>
      </c>
      <c r="J3436" s="65" t="str">
        <f>IF(COUNTA(A3436:G3436)=0,"",IF(E3436&lt;&gt;"",E3436,IF(B3436="","",IFERROR(IF(INDEX(pr_price,MATCH(B3436,pr_code,0))="","",INDEX(pr_price,MATCH(B3436,pr_code,0))),""))))</f>
        <v/>
      </c>
      <c r="K3436" s="71" t="str">
        <f>IF(COUNTA(A3436:G3436)=0,"",IF(G3436&lt;&gt;"",G3436,IF(B3436="","",IFERROR(IF(INDEX(pr_rate,MATCH(B3436,pr_code,0))="","",INDEX(pr_rate,MATCH(B3436,pr_code,0))),""))))</f>
        <v/>
      </c>
      <c r="L3436" s="65" t="str">
        <f>IF(COUNTA(A3436:G3436)=0,"",IF(AND(ISNUMBER(D3436),ISNUMBER(J3436)),ROUND(D3436*J3436*(1-N(F3436)),2),0))</f>
        <v/>
      </c>
      <c r="M3436" s="62" t="str">
        <f>IF(A3436="","",IFERROR(INDEX(fa_cname,MATCH(A3436,fa_num,0))&amp;"",""))</f>
        <v/>
      </c>
      <c r="N3436" s="59" t="str">
        <f>IF(COUNTA(A3436:G3436)=0,"",IF(A3436="","N° facture manquant",IF(ISNA(MATCH(A3436,fa_num,0)),"Facture inconnue",IF(AND(B3436&lt;&gt;"",ISNA(MATCH(B3436,pr_code,0))),"Article inconnu",IF(H3436="","Désignation manquante",IF(OR(NOT(ISNUMBER(D3436)),N(D3436)&lt;=0),"Quantité invalide",IF(J3436="","Prix manquant",IF(OR(NOT(ISNUMBER(J3436)),N(J3436)&lt;0),"Prix invalide",IF(OR(AND(F3436&lt;&gt;"",NOT(ISNUMBER(F3436))),N(F3436)&lt;0,N(F3436)&gt;1),"Remise invalide",IF(K3436="","Taux de TVA manquant",IF(NOT(ISNUMBER(K3436)),"Taux de TVA invalide",IF(COUNTIF(p_rates,K3436)=0,"Taux de TVA hors liste (Paramètres)",IF(N(O3436)&gt;25,"Au-delà de 25 lignes : non imprimée","OK")))))))))))))</f>
        <v/>
      </c>
      <c r="O3436" s="59" t="str">
        <f>IF(A3436="","",COUNTIF($A$6:A3436,A3436))</f>
        <v/>
      </c>
      <c r="P3436" s="62" t="str">
        <f>IF(A3436="","",A3436&amp;"|"&amp;O3436)</f>
        <v/>
      </c>
    </row>
    <row r="3437">
      <c r="A3437" s="60" t="n"/>
      <c r="B3437" s="63" t="n"/>
      <c r="C3437" s="63" t="n"/>
      <c r="D3437" s="67" t="n"/>
      <c r="E3437" s="68" t="n"/>
      <c r="F3437" s="69" t="n"/>
      <c r="G3437" s="70" t="n"/>
      <c r="H3437" s="62" t="str">
        <f>IF(COUNTA(A3437:G3437)=0,"",IF(C3437&lt;&gt;"",C3437,IF(B3437="","",IFERROR(INDEX(pr_des,MATCH(B3437,pr_code,0))&amp;"",""))))</f>
        <v/>
      </c>
      <c r="I3437" s="59" t="str">
        <f>IF(B3437="","",IFERROR(INDEX(pr_unit,MATCH(B3437,pr_code,0))&amp;"",""))</f>
        <v/>
      </c>
      <c r="J3437" s="65" t="str">
        <f>IF(COUNTA(A3437:G3437)=0,"",IF(E3437&lt;&gt;"",E3437,IF(B3437="","",IFERROR(IF(INDEX(pr_price,MATCH(B3437,pr_code,0))="","",INDEX(pr_price,MATCH(B3437,pr_code,0))),""))))</f>
        <v/>
      </c>
      <c r="K3437" s="71" t="str">
        <f>IF(COUNTA(A3437:G3437)=0,"",IF(G3437&lt;&gt;"",G3437,IF(B3437="","",IFERROR(IF(INDEX(pr_rate,MATCH(B3437,pr_code,0))="","",INDEX(pr_rate,MATCH(B3437,pr_code,0))),""))))</f>
        <v/>
      </c>
      <c r="L3437" s="65" t="str">
        <f>IF(COUNTA(A3437:G3437)=0,"",IF(AND(ISNUMBER(D3437),ISNUMBER(J3437)),ROUND(D3437*J3437*(1-N(F3437)),2),0))</f>
        <v/>
      </c>
      <c r="M3437" s="62" t="str">
        <f>IF(A3437="","",IFERROR(INDEX(fa_cname,MATCH(A3437,fa_num,0))&amp;"",""))</f>
        <v/>
      </c>
      <c r="N3437" s="59" t="str">
        <f>IF(COUNTA(A3437:G3437)=0,"",IF(A3437="","N° facture manquant",IF(ISNA(MATCH(A3437,fa_num,0)),"Facture inconnue",IF(AND(B3437&lt;&gt;"",ISNA(MATCH(B3437,pr_code,0))),"Article inconnu",IF(H3437="","Désignation manquante",IF(OR(NOT(ISNUMBER(D3437)),N(D3437)&lt;=0),"Quantité invalide",IF(J3437="","Prix manquant",IF(OR(NOT(ISNUMBER(J3437)),N(J3437)&lt;0),"Prix invalide",IF(OR(AND(F3437&lt;&gt;"",NOT(ISNUMBER(F3437))),N(F3437)&lt;0,N(F3437)&gt;1),"Remise invalide",IF(K3437="","Taux de TVA manquant",IF(NOT(ISNUMBER(K3437)),"Taux de TVA invalide",IF(COUNTIF(p_rates,K3437)=0,"Taux de TVA hors liste (Paramètres)",IF(N(O3437)&gt;25,"Au-delà de 25 lignes : non imprimée","OK")))))))))))))</f>
        <v/>
      </c>
      <c r="O3437" s="59" t="str">
        <f>IF(A3437="","",COUNTIF($A$6:A3437,A3437))</f>
        <v/>
      </c>
      <c r="P3437" s="62" t="str">
        <f>IF(A3437="","",A3437&amp;"|"&amp;O3437)</f>
        <v/>
      </c>
    </row>
    <row r="3438">
      <c r="A3438" s="60" t="n"/>
      <c r="B3438" s="63" t="n"/>
      <c r="C3438" s="63" t="n"/>
      <c r="D3438" s="67" t="n"/>
      <c r="E3438" s="68" t="n"/>
      <c r="F3438" s="69" t="n"/>
      <c r="G3438" s="70" t="n"/>
      <c r="H3438" s="62" t="str">
        <f>IF(COUNTA(A3438:G3438)=0,"",IF(C3438&lt;&gt;"",C3438,IF(B3438="","",IFERROR(INDEX(pr_des,MATCH(B3438,pr_code,0))&amp;"",""))))</f>
        <v/>
      </c>
      <c r="I3438" s="59" t="str">
        <f>IF(B3438="","",IFERROR(INDEX(pr_unit,MATCH(B3438,pr_code,0))&amp;"",""))</f>
        <v/>
      </c>
      <c r="J3438" s="65" t="str">
        <f>IF(COUNTA(A3438:G3438)=0,"",IF(E3438&lt;&gt;"",E3438,IF(B3438="","",IFERROR(IF(INDEX(pr_price,MATCH(B3438,pr_code,0))="","",INDEX(pr_price,MATCH(B3438,pr_code,0))),""))))</f>
        <v/>
      </c>
      <c r="K3438" s="71" t="str">
        <f>IF(COUNTA(A3438:G3438)=0,"",IF(G3438&lt;&gt;"",G3438,IF(B3438="","",IFERROR(IF(INDEX(pr_rate,MATCH(B3438,pr_code,0))="","",INDEX(pr_rate,MATCH(B3438,pr_code,0))),""))))</f>
        <v/>
      </c>
      <c r="L3438" s="65" t="str">
        <f>IF(COUNTA(A3438:G3438)=0,"",IF(AND(ISNUMBER(D3438),ISNUMBER(J3438)),ROUND(D3438*J3438*(1-N(F3438)),2),0))</f>
        <v/>
      </c>
      <c r="M3438" s="62" t="str">
        <f>IF(A3438="","",IFERROR(INDEX(fa_cname,MATCH(A3438,fa_num,0))&amp;"",""))</f>
        <v/>
      </c>
      <c r="N3438" s="59" t="str">
        <f>IF(COUNTA(A3438:G3438)=0,"",IF(A3438="","N° facture manquant",IF(ISNA(MATCH(A3438,fa_num,0)),"Facture inconnue",IF(AND(B3438&lt;&gt;"",ISNA(MATCH(B3438,pr_code,0))),"Article inconnu",IF(H3438="","Désignation manquante",IF(OR(NOT(ISNUMBER(D3438)),N(D3438)&lt;=0),"Quantité invalide",IF(J3438="","Prix manquant",IF(OR(NOT(ISNUMBER(J3438)),N(J3438)&lt;0),"Prix invalide",IF(OR(AND(F3438&lt;&gt;"",NOT(ISNUMBER(F3438))),N(F3438)&lt;0,N(F3438)&gt;1),"Remise invalide",IF(K3438="","Taux de TVA manquant",IF(NOT(ISNUMBER(K3438)),"Taux de TVA invalide",IF(COUNTIF(p_rates,K3438)=0,"Taux de TVA hors liste (Paramètres)",IF(N(O3438)&gt;25,"Au-delà de 25 lignes : non imprimée","OK")))))))))))))</f>
        <v/>
      </c>
      <c r="O3438" s="59" t="str">
        <f>IF(A3438="","",COUNTIF($A$6:A3438,A3438))</f>
        <v/>
      </c>
      <c r="P3438" s="62" t="str">
        <f>IF(A3438="","",A3438&amp;"|"&amp;O3438)</f>
        <v/>
      </c>
    </row>
    <row r="3439">
      <c r="A3439" s="60" t="n"/>
      <c r="B3439" s="63" t="n"/>
      <c r="C3439" s="63" t="n"/>
      <c r="D3439" s="67" t="n"/>
      <c r="E3439" s="68" t="n"/>
      <c r="F3439" s="69" t="n"/>
      <c r="G3439" s="70" t="n"/>
      <c r="H3439" s="62" t="str">
        <f>IF(COUNTA(A3439:G3439)=0,"",IF(C3439&lt;&gt;"",C3439,IF(B3439="","",IFERROR(INDEX(pr_des,MATCH(B3439,pr_code,0))&amp;"",""))))</f>
        <v/>
      </c>
      <c r="I3439" s="59" t="str">
        <f>IF(B3439="","",IFERROR(INDEX(pr_unit,MATCH(B3439,pr_code,0))&amp;"",""))</f>
        <v/>
      </c>
      <c r="J3439" s="65" t="str">
        <f>IF(COUNTA(A3439:G3439)=0,"",IF(E3439&lt;&gt;"",E3439,IF(B3439="","",IFERROR(IF(INDEX(pr_price,MATCH(B3439,pr_code,0))="","",INDEX(pr_price,MATCH(B3439,pr_code,0))),""))))</f>
        <v/>
      </c>
      <c r="K3439" s="71" t="str">
        <f>IF(COUNTA(A3439:G3439)=0,"",IF(G3439&lt;&gt;"",G3439,IF(B3439="","",IFERROR(IF(INDEX(pr_rate,MATCH(B3439,pr_code,0))="","",INDEX(pr_rate,MATCH(B3439,pr_code,0))),""))))</f>
        <v/>
      </c>
      <c r="L3439" s="65" t="str">
        <f>IF(COUNTA(A3439:G3439)=0,"",IF(AND(ISNUMBER(D3439),ISNUMBER(J3439)),ROUND(D3439*J3439*(1-N(F3439)),2),0))</f>
        <v/>
      </c>
      <c r="M3439" s="62" t="str">
        <f>IF(A3439="","",IFERROR(INDEX(fa_cname,MATCH(A3439,fa_num,0))&amp;"",""))</f>
        <v/>
      </c>
      <c r="N3439" s="59" t="str">
        <f>IF(COUNTA(A3439:G3439)=0,"",IF(A3439="","N° facture manquant",IF(ISNA(MATCH(A3439,fa_num,0)),"Facture inconnue",IF(AND(B3439&lt;&gt;"",ISNA(MATCH(B3439,pr_code,0))),"Article inconnu",IF(H3439="","Désignation manquante",IF(OR(NOT(ISNUMBER(D3439)),N(D3439)&lt;=0),"Quantité invalide",IF(J3439="","Prix manquant",IF(OR(NOT(ISNUMBER(J3439)),N(J3439)&lt;0),"Prix invalide",IF(OR(AND(F3439&lt;&gt;"",NOT(ISNUMBER(F3439))),N(F3439)&lt;0,N(F3439)&gt;1),"Remise invalide",IF(K3439="","Taux de TVA manquant",IF(NOT(ISNUMBER(K3439)),"Taux de TVA invalide",IF(COUNTIF(p_rates,K3439)=0,"Taux de TVA hors liste (Paramètres)",IF(N(O3439)&gt;25,"Au-delà de 25 lignes : non imprimée","OK")))))))))))))</f>
        <v/>
      </c>
      <c r="O3439" s="59" t="str">
        <f>IF(A3439="","",COUNTIF($A$6:A3439,A3439))</f>
        <v/>
      </c>
      <c r="P3439" s="62" t="str">
        <f>IF(A3439="","",A3439&amp;"|"&amp;O3439)</f>
        <v/>
      </c>
    </row>
    <row r="3440">
      <c r="A3440" s="60" t="n"/>
      <c r="B3440" s="63" t="n"/>
      <c r="C3440" s="63" t="n"/>
      <c r="D3440" s="67" t="n"/>
      <c r="E3440" s="68" t="n"/>
      <c r="F3440" s="69" t="n"/>
      <c r="G3440" s="70" t="n"/>
      <c r="H3440" s="62" t="str">
        <f>IF(COUNTA(A3440:G3440)=0,"",IF(C3440&lt;&gt;"",C3440,IF(B3440="","",IFERROR(INDEX(pr_des,MATCH(B3440,pr_code,0))&amp;"",""))))</f>
        <v/>
      </c>
      <c r="I3440" s="59" t="str">
        <f>IF(B3440="","",IFERROR(INDEX(pr_unit,MATCH(B3440,pr_code,0))&amp;"",""))</f>
        <v/>
      </c>
      <c r="J3440" s="65" t="str">
        <f>IF(COUNTA(A3440:G3440)=0,"",IF(E3440&lt;&gt;"",E3440,IF(B3440="","",IFERROR(IF(INDEX(pr_price,MATCH(B3440,pr_code,0))="","",INDEX(pr_price,MATCH(B3440,pr_code,0))),""))))</f>
        <v/>
      </c>
      <c r="K3440" s="71" t="str">
        <f>IF(COUNTA(A3440:G3440)=0,"",IF(G3440&lt;&gt;"",G3440,IF(B3440="","",IFERROR(IF(INDEX(pr_rate,MATCH(B3440,pr_code,0))="","",INDEX(pr_rate,MATCH(B3440,pr_code,0))),""))))</f>
        <v/>
      </c>
      <c r="L3440" s="65" t="str">
        <f>IF(COUNTA(A3440:G3440)=0,"",IF(AND(ISNUMBER(D3440),ISNUMBER(J3440)),ROUND(D3440*J3440*(1-N(F3440)),2),0))</f>
        <v/>
      </c>
      <c r="M3440" s="62" t="str">
        <f>IF(A3440="","",IFERROR(INDEX(fa_cname,MATCH(A3440,fa_num,0))&amp;"",""))</f>
        <v/>
      </c>
      <c r="N3440" s="59" t="str">
        <f>IF(COUNTA(A3440:G3440)=0,"",IF(A3440="","N° facture manquant",IF(ISNA(MATCH(A3440,fa_num,0)),"Facture inconnue",IF(AND(B3440&lt;&gt;"",ISNA(MATCH(B3440,pr_code,0))),"Article inconnu",IF(H3440="","Désignation manquante",IF(OR(NOT(ISNUMBER(D3440)),N(D3440)&lt;=0),"Quantité invalide",IF(J3440="","Prix manquant",IF(OR(NOT(ISNUMBER(J3440)),N(J3440)&lt;0),"Prix invalide",IF(OR(AND(F3440&lt;&gt;"",NOT(ISNUMBER(F3440))),N(F3440)&lt;0,N(F3440)&gt;1),"Remise invalide",IF(K3440="","Taux de TVA manquant",IF(NOT(ISNUMBER(K3440)),"Taux de TVA invalide",IF(COUNTIF(p_rates,K3440)=0,"Taux de TVA hors liste (Paramètres)",IF(N(O3440)&gt;25,"Au-delà de 25 lignes : non imprimée","OK")))))))))))))</f>
        <v/>
      </c>
      <c r="O3440" s="59" t="str">
        <f>IF(A3440="","",COUNTIF($A$6:A3440,A3440))</f>
        <v/>
      </c>
      <c r="P3440" s="62" t="str">
        <f>IF(A3440="","",A3440&amp;"|"&amp;O3440)</f>
        <v/>
      </c>
    </row>
    <row r="3441">
      <c r="A3441" s="60" t="n"/>
      <c r="B3441" s="63" t="n"/>
      <c r="C3441" s="63" t="n"/>
      <c r="D3441" s="67" t="n"/>
      <c r="E3441" s="68" t="n"/>
      <c r="F3441" s="69" t="n"/>
      <c r="G3441" s="70" t="n"/>
      <c r="H3441" s="62" t="str">
        <f>IF(COUNTA(A3441:G3441)=0,"",IF(C3441&lt;&gt;"",C3441,IF(B3441="","",IFERROR(INDEX(pr_des,MATCH(B3441,pr_code,0))&amp;"",""))))</f>
        <v/>
      </c>
      <c r="I3441" s="59" t="str">
        <f>IF(B3441="","",IFERROR(INDEX(pr_unit,MATCH(B3441,pr_code,0))&amp;"",""))</f>
        <v/>
      </c>
      <c r="J3441" s="65" t="str">
        <f>IF(COUNTA(A3441:G3441)=0,"",IF(E3441&lt;&gt;"",E3441,IF(B3441="","",IFERROR(IF(INDEX(pr_price,MATCH(B3441,pr_code,0))="","",INDEX(pr_price,MATCH(B3441,pr_code,0))),""))))</f>
        <v/>
      </c>
      <c r="K3441" s="71" t="str">
        <f>IF(COUNTA(A3441:G3441)=0,"",IF(G3441&lt;&gt;"",G3441,IF(B3441="","",IFERROR(IF(INDEX(pr_rate,MATCH(B3441,pr_code,0))="","",INDEX(pr_rate,MATCH(B3441,pr_code,0))),""))))</f>
        <v/>
      </c>
      <c r="L3441" s="65" t="str">
        <f>IF(COUNTA(A3441:G3441)=0,"",IF(AND(ISNUMBER(D3441),ISNUMBER(J3441)),ROUND(D3441*J3441*(1-N(F3441)),2),0))</f>
        <v/>
      </c>
      <c r="M3441" s="62" t="str">
        <f>IF(A3441="","",IFERROR(INDEX(fa_cname,MATCH(A3441,fa_num,0))&amp;"",""))</f>
        <v/>
      </c>
      <c r="N3441" s="59" t="str">
        <f>IF(COUNTA(A3441:G3441)=0,"",IF(A3441="","N° facture manquant",IF(ISNA(MATCH(A3441,fa_num,0)),"Facture inconnue",IF(AND(B3441&lt;&gt;"",ISNA(MATCH(B3441,pr_code,0))),"Article inconnu",IF(H3441="","Désignation manquante",IF(OR(NOT(ISNUMBER(D3441)),N(D3441)&lt;=0),"Quantité invalide",IF(J3441="","Prix manquant",IF(OR(NOT(ISNUMBER(J3441)),N(J3441)&lt;0),"Prix invalide",IF(OR(AND(F3441&lt;&gt;"",NOT(ISNUMBER(F3441))),N(F3441)&lt;0,N(F3441)&gt;1),"Remise invalide",IF(K3441="","Taux de TVA manquant",IF(NOT(ISNUMBER(K3441)),"Taux de TVA invalide",IF(COUNTIF(p_rates,K3441)=0,"Taux de TVA hors liste (Paramètres)",IF(N(O3441)&gt;25,"Au-delà de 25 lignes : non imprimée","OK")))))))))))))</f>
        <v/>
      </c>
      <c r="O3441" s="59" t="str">
        <f>IF(A3441="","",COUNTIF($A$6:A3441,A3441))</f>
        <v/>
      </c>
      <c r="P3441" s="62" t="str">
        <f>IF(A3441="","",A3441&amp;"|"&amp;O3441)</f>
        <v/>
      </c>
    </row>
    <row r="3442">
      <c r="A3442" s="60" t="n"/>
      <c r="B3442" s="63" t="n"/>
      <c r="C3442" s="63" t="n"/>
      <c r="D3442" s="67" t="n"/>
      <c r="E3442" s="68" t="n"/>
      <c r="F3442" s="69" t="n"/>
      <c r="G3442" s="70" t="n"/>
      <c r="H3442" s="62" t="str">
        <f>IF(COUNTA(A3442:G3442)=0,"",IF(C3442&lt;&gt;"",C3442,IF(B3442="","",IFERROR(INDEX(pr_des,MATCH(B3442,pr_code,0))&amp;"",""))))</f>
        <v/>
      </c>
      <c r="I3442" s="59" t="str">
        <f>IF(B3442="","",IFERROR(INDEX(pr_unit,MATCH(B3442,pr_code,0))&amp;"",""))</f>
        <v/>
      </c>
      <c r="J3442" s="65" t="str">
        <f>IF(COUNTA(A3442:G3442)=0,"",IF(E3442&lt;&gt;"",E3442,IF(B3442="","",IFERROR(IF(INDEX(pr_price,MATCH(B3442,pr_code,0))="","",INDEX(pr_price,MATCH(B3442,pr_code,0))),""))))</f>
        <v/>
      </c>
      <c r="K3442" s="71" t="str">
        <f>IF(COUNTA(A3442:G3442)=0,"",IF(G3442&lt;&gt;"",G3442,IF(B3442="","",IFERROR(IF(INDEX(pr_rate,MATCH(B3442,pr_code,0))="","",INDEX(pr_rate,MATCH(B3442,pr_code,0))),""))))</f>
        <v/>
      </c>
      <c r="L3442" s="65" t="str">
        <f>IF(COUNTA(A3442:G3442)=0,"",IF(AND(ISNUMBER(D3442),ISNUMBER(J3442)),ROUND(D3442*J3442*(1-N(F3442)),2),0))</f>
        <v/>
      </c>
      <c r="M3442" s="62" t="str">
        <f>IF(A3442="","",IFERROR(INDEX(fa_cname,MATCH(A3442,fa_num,0))&amp;"",""))</f>
        <v/>
      </c>
      <c r="N3442" s="59" t="str">
        <f>IF(COUNTA(A3442:G3442)=0,"",IF(A3442="","N° facture manquant",IF(ISNA(MATCH(A3442,fa_num,0)),"Facture inconnue",IF(AND(B3442&lt;&gt;"",ISNA(MATCH(B3442,pr_code,0))),"Article inconnu",IF(H3442="","Désignation manquante",IF(OR(NOT(ISNUMBER(D3442)),N(D3442)&lt;=0),"Quantité invalide",IF(J3442="","Prix manquant",IF(OR(NOT(ISNUMBER(J3442)),N(J3442)&lt;0),"Prix invalide",IF(OR(AND(F3442&lt;&gt;"",NOT(ISNUMBER(F3442))),N(F3442)&lt;0,N(F3442)&gt;1),"Remise invalide",IF(K3442="","Taux de TVA manquant",IF(NOT(ISNUMBER(K3442)),"Taux de TVA invalide",IF(COUNTIF(p_rates,K3442)=0,"Taux de TVA hors liste (Paramètres)",IF(N(O3442)&gt;25,"Au-delà de 25 lignes : non imprimée","OK")))))))))))))</f>
        <v/>
      </c>
      <c r="O3442" s="59" t="str">
        <f>IF(A3442="","",COUNTIF($A$6:A3442,A3442))</f>
        <v/>
      </c>
      <c r="P3442" s="62" t="str">
        <f>IF(A3442="","",A3442&amp;"|"&amp;O3442)</f>
        <v/>
      </c>
    </row>
    <row r="3443">
      <c r="A3443" s="60" t="n"/>
      <c r="B3443" s="63" t="n"/>
      <c r="C3443" s="63" t="n"/>
      <c r="D3443" s="67" t="n"/>
      <c r="E3443" s="68" t="n"/>
      <c r="F3443" s="69" t="n"/>
      <c r="G3443" s="70" t="n"/>
      <c r="H3443" s="62" t="str">
        <f>IF(COUNTA(A3443:G3443)=0,"",IF(C3443&lt;&gt;"",C3443,IF(B3443="","",IFERROR(INDEX(pr_des,MATCH(B3443,pr_code,0))&amp;"",""))))</f>
        <v/>
      </c>
      <c r="I3443" s="59" t="str">
        <f>IF(B3443="","",IFERROR(INDEX(pr_unit,MATCH(B3443,pr_code,0))&amp;"",""))</f>
        <v/>
      </c>
      <c r="J3443" s="65" t="str">
        <f>IF(COUNTA(A3443:G3443)=0,"",IF(E3443&lt;&gt;"",E3443,IF(B3443="","",IFERROR(IF(INDEX(pr_price,MATCH(B3443,pr_code,0))="","",INDEX(pr_price,MATCH(B3443,pr_code,0))),""))))</f>
        <v/>
      </c>
      <c r="K3443" s="71" t="str">
        <f>IF(COUNTA(A3443:G3443)=0,"",IF(G3443&lt;&gt;"",G3443,IF(B3443="","",IFERROR(IF(INDEX(pr_rate,MATCH(B3443,pr_code,0))="","",INDEX(pr_rate,MATCH(B3443,pr_code,0))),""))))</f>
        <v/>
      </c>
      <c r="L3443" s="65" t="str">
        <f>IF(COUNTA(A3443:G3443)=0,"",IF(AND(ISNUMBER(D3443),ISNUMBER(J3443)),ROUND(D3443*J3443*(1-N(F3443)),2),0))</f>
        <v/>
      </c>
      <c r="M3443" s="62" t="str">
        <f>IF(A3443="","",IFERROR(INDEX(fa_cname,MATCH(A3443,fa_num,0))&amp;"",""))</f>
        <v/>
      </c>
      <c r="N3443" s="59" t="str">
        <f>IF(COUNTA(A3443:G3443)=0,"",IF(A3443="","N° facture manquant",IF(ISNA(MATCH(A3443,fa_num,0)),"Facture inconnue",IF(AND(B3443&lt;&gt;"",ISNA(MATCH(B3443,pr_code,0))),"Article inconnu",IF(H3443="","Désignation manquante",IF(OR(NOT(ISNUMBER(D3443)),N(D3443)&lt;=0),"Quantité invalide",IF(J3443="","Prix manquant",IF(OR(NOT(ISNUMBER(J3443)),N(J3443)&lt;0),"Prix invalide",IF(OR(AND(F3443&lt;&gt;"",NOT(ISNUMBER(F3443))),N(F3443)&lt;0,N(F3443)&gt;1),"Remise invalide",IF(K3443="","Taux de TVA manquant",IF(NOT(ISNUMBER(K3443)),"Taux de TVA invalide",IF(COUNTIF(p_rates,K3443)=0,"Taux de TVA hors liste (Paramètres)",IF(N(O3443)&gt;25,"Au-delà de 25 lignes : non imprimée","OK")))))))))))))</f>
        <v/>
      </c>
      <c r="O3443" s="59" t="str">
        <f>IF(A3443="","",COUNTIF($A$6:A3443,A3443))</f>
        <v/>
      </c>
      <c r="P3443" s="62" t="str">
        <f>IF(A3443="","",A3443&amp;"|"&amp;O3443)</f>
        <v/>
      </c>
    </row>
    <row r="3444">
      <c r="A3444" s="60" t="n"/>
      <c r="B3444" s="63" t="n"/>
      <c r="C3444" s="63" t="n"/>
      <c r="D3444" s="67" t="n"/>
      <c r="E3444" s="68" t="n"/>
      <c r="F3444" s="69" t="n"/>
      <c r="G3444" s="70" t="n"/>
      <c r="H3444" s="62" t="str">
        <f>IF(COUNTA(A3444:G3444)=0,"",IF(C3444&lt;&gt;"",C3444,IF(B3444="","",IFERROR(INDEX(pr_des,MATCH(B3444,pr_code,0))&amp;"",""))))</f>
        <v/>
      </c>
      <c r="I3444" s="59" t="str">
        <f>IF(B3444="","",IFERROR(INDEX(pr_unit,MATCH(B3444,pr_code,0))&amp;"",""))</f>
        <v/>
      </c>
      <c r="J3444" s="65" t="str">
        <f>IF(COUNTA(A3444:G3444)=0,"",IF(E3444&lt;&gt;"",E3444,IF(B3444="","",IFERROR(IF(INDEX(pr_price,MATCH(B3444,pr_code,0))="","",INDEX(pr_price,MATCH(B3444,pr_code,0))),""))))</f>
        <v/>
      </c>
      <c r="K3444" s="71" t="str">
        <f>IF(COUNTA(A3444:G3444)=0,"",IF(G3444&lt;&gt;"",G3444,IF(B3444="","",IFERROR(IF(INDEX(pr_rate,MATCH(B3444,pr_code,0))="","",INDEX(pr_rate,MATCH(B3444,pr_code,0))),""))))</f>
        <v/>
      </c>
      <c r="L3444" s="65" t="str">
        <f>IF(COUNTA(A3444:G3444)=0,"",IF(AND(ISNUMBER(D3444),ISNUMBER(J3444)),ROUND(D3444*J3444*(1-N(F3444)),2),0))</f>
        <v/>
      </c>
      <c r="M3444" s="62" t="str">
        <f>IF(A3444="","",IFERROR(INDEX(fa_cname,MATCH(A3444,fa_num,0))&amp;"",""))</f>
        <v/>
      </c>
      <c r="N3444" s="59" t="str">
        <f>IF(COUNTA(A3444:G3444)=0,"",IF(A3444="","N° facture manquant",IF(ISNA(MATCH(A3444,fa_num,0)),"Facture inconnue",IF(AND(B3444&lt;&gt;"",ISNA(MATCH(B3444,pr_code,0))),"Article inconnu",IF(H3444="","Désignation manquante",IF(OR(NOT(ISNUMBER(D3444)),N(D3444)&lt;=0),"Quantité invalide",IF(J3444="","Prix manquant",IF(OR(NOT(ISNUMBER(J3444)),N(J3444)&lt;0),"Prix invalide",IF(OR(AND(F3444&lt;&gt;"",NOT(ISNUMBER(F3444))),N(F3444)&lt;0,N(F3444)&gt;1),"Remise invalide",IF(K3444="","Taux de TVA manquant",IF(NOT(ISNUMBER(K3444)),"Taux de TVA invalide",IF(COUNTIF(p_rates,K3444)=0,"Taux de TVA hors liste (Paramètres)",IF(N(O3444)&gt;25,"Au-delà de 25 lignes : non imprimée","OK")))))))))))))</f>
        <v/>
      </c>
      <c r="O3444" s="59" t="str">
        <f>IF(A3444="","",COUNTIF($A$6:A3444,A3444))</f>
        <v/>
      </c>
      <c r="P3444" s="62" t="str">
        <f>IF(A3444="","",A3444&amp;"|"&amp;O3444)</f>
        <v/>
      </c>
    </row>
    <row r="3445">
      <c r="A3445" s="60" t="n"/>
      <c r="B3445" s="63" t="n"/>
      <c r="C3445" s="63" t="n"/>
      <c r="D3445" s="67" t="n"/>
      <c r="E3445" s="68" t="n"/>
      <c r="F3445" s="69" t="n"/>
      <c r="G3445" s="70" t="n"/>
      <c r="H3445" s="62" t="str">
        <f>IF(COUNTA(A3445:G3445)=0,"",IF(C3445&lt;&gt;"",C3445,IF(B3445="","",IFERROR(INDEX(pr_des,MATCH(B3445,pr_code,0))&amp;"",""))))</f>
        <v/>
      </c>
      <c r="I3445" s="59" t="str">
        <f>IF(B3445="","",IFERROR(INDEX(pr_unit,MATCH(B3445,pr_code,0))&amp;"",""))</f>
        <v/>
      </c>
      <c r="J3445" s="65" t="str">
        <f>IF(COUNTA(A3445:G3445)=0,"",IF(E3445&lt;&gt;"",E3445,IF(B3445="","",IFERROR(IF(INDEX(pr_price,MATCH(B3445,pr_code,0))="","",INDEX(pr_price,MATCH(B3445,pr_code,0))),""))))</f>
        <v/>
      </c>
      <c r="K3445" s="71" t="str">
        <f>IF(COUNTA(A3445:G3445)=0,"",IF(G3445&lt;&gt;"",G3445,IF(B3445="","",IFERROR(IF(INDEX(pr_rate,MATCH(B3445,pr_code,0))="","",INDEX(pr_rate,MATCH(B3445,pr_code,0))),""))))</f>
        <v/>
      </c>
      <c r="L3445" s="65" t="str">
        <f>IF(COUNTA(A3445:G3445)=0,"",IF(AND(ISNUMBER(D3445),ISNUMBER(J3445)),ROUND(D3445*J3445*(1-N(F3445)),2),0))</f>
        <v/>
      </c>
      <c r="M3445" s="62" t="str">
        <f>IF(A3445="","",IFERROR(INDEX(fa_cname,MATCH(A3445,fa_num,0))&amp;"",""))</f>
        <v/>
      </c>
      <c r="N3445" s="59" t="str">
        <f>IF(COUNTA(A3445:G3445)=0,"",IF(A3445="","N° facture manquant",IF(ISNA(MATCH(A3445,fa_num,0)),"Facture inconnue",IF(AND(B3445&lt;&gt;"",ISNA(MATCH(B3445,pr_code,0))),"Article inconnu",IF(H3445="","Désignation manquante",IF(OR(NOT(ISNUMBER(D3445)),N(D3445)&lt;=0),"Quantité invalide",IF(J3445="","Prix manquant",IF(OR(NOT(ISNUMBER(J3445)),N(J3445)&lt;0),"Prix invalide",IF(OR(AND(F3445&lt;&gt;"",NOT(ISNUMBER(F3445))),N(F3445)&lt;0,N(F3445)&gt;1),"Remise invalide",IF(K3445="","Taux de TVA manquant",IF(NOT(ISNUMBER(K3445)),"Taux de TVA invalide",IF(COUNTIF(p_rates,K3445)=0,"Taux de TVA hors liste (Paramètres)",IF(N(O3445)&gt;25,"Au-delà de 25 lignes : non imprimée","OK")))))))))))))</f>
        <v/>
      </c>
      <c r="O3445" s="59" t="str">
        <f>IF(A3445="","",COUNTIF($A$6:A3445,A3445))</f>
        <v/>
      </c>
      <c r="P3445" s="62" t="str">
        <f>IF(A3445="","",A3445&amp;"|"&amp;O3445)</f>
        <v/>
      </c>
    </row>
    <row r="3446">
      <c r="A3446" s="60" t="n"/>
      <c r="B3446" s="63" t="n"/>
      <c r="C3446" s="63" t="n"/>
      <c r="D3446" s="67" t="n"/>
      <c r="E3446" s="68" t="n"/>
      <c r="F3446" s="69" t="n"/>
      <c r="G3446" s="70" t="n"/>
      <c r="H3446" s="62" t="str">
        <f>IF(COUNTA(A3446:G3446)=0,"",IF(C3446&lt;&gt;"",C3446,IF(B3446="","",IFERROR(INDEX(pr_des,MATCH(B3446,pr_code,0))&amp;"",""))))</f>
        <v/>
      </c>
      <c r="I3446" s="59" t="str">
        <f>IF(B3446="","",IFERROR(INDEX(pr_unit,MATCH(B3446,pr_code,0))&amp;"",""))</f>
        <v/>
      </c>
      <c r="J3446" s="65" t="str">
        <f>IF(COUNTA(A3446:G3446)=0,"",IF(E3446&lt;&gt;"",E3446,IF(B3446="","",IFERROR(IF(INDEX(pr_price,MATCH(B3446,pr_code,0))="","",INDEX(pr_price,MATCH(B3446,pr_code,0))),""))))</f>
        <v/>
      </c>
      <c r="K3446" s="71" t="str">
        <f>IF(COUNTA(A3446:G3446)=0,"",IF(G3446&lt;&gt;"",G3446,IF(B3446="","",IFERROR(IF(INDEX(pr_rate,MATCH(B3446,pr_code,0))="","",INDEX(pr_rate,MATCH(B3446,pr_code,0))),""))))</f>
        <v/>
      </c>
      <c r="L3446" s="65" t="str">
        <f>IF(COUNTA(A3446:G3446)=0,"",IF(AND(ISNUMBER(D3446),ISNUMBER(J3446)),ROUND(D3446*J3446*(1-N(F3446)),2),0))</f>
        <v/>
      </c>
      <c r="M3446" s="62" t="str">
        <f>IF(A3446="","",IFERROR(INDEX(fa_cname,MATCH(A3446,fa_num,0))&amp;"",""))</f>
        <v/>
      </c>
      <c r="N3446" s="59" t="str">
        <f>IF(COUNTA(A3446:G3446)=0,"",IF(A3446="","N° facture manquant",IF(ISNA(MATCH(A3446,fa_num,0)),"Facture inconnue",IF(AND(B3446&lt;&gt;"",ISNA(MATCH(B3446,pr_code,0))),"Article inconnu",IF(H3446="","Désignation manquante",IF(OR(NOT(ISNUMBER(D3446)),N(D3446)&lt;=0),"Quantité invalide",IF(J3446="","Prix manquant",IF(OR(NOT(ISNUMBER(J3446)),N(J3446)&lt;0),"Prix invalide",IF(OR(AND(F3446&lt;&gt;"",NOT(ISNUMBER(F3446))),N(F3446)&lt;0,N(F3446)&gt;1),"Remise invalide",IF(K3446="","Taux de TVA manquant",IF(NOT(ISNUMBER(K3446)),"Taux de TVA invalide",IF(COUNTIF(p_rates,K3446)=0,"Taux de TVA hors liste (Paramètres)",IF(N(O3446)&gt;25,"Au-delà de 25 lignes : non imprimée","OK")))))))))))))</f>
        <v/>
      </c>
      <c r="O3446" s="59" t="str">
        <f>IF(A3446="","",COUNTIF($A$6:A3446,A3446))</f>
        <v/>
      </c>
      <c r="P3446" s="62" t="str">
        <f>IF(A3446="","",A3446&amp;"|"&amp;O3446)</f>
        <v/>
      </c>
    </row>
    <row r="3447">
      <c r="A3447" s="60" t="n"/>
      <c r="B3447" s="63" t="n"/>
      <c r="C3447" s="63" t="n"/>
      <c r="D3447" s="67" t="n"/>
      <c r="E3447" s="68" t="n"/>
      <c r="F3447" s="69" t="n"/>
      <c r="G3447" s="70" t="n"/>
      <c r="H3447" s="62" t="str">
        <f>IF(COUNTA(A3447:G3447)=0,"",IF(C3447&lt;&gt;"",C3447,IF(B3447="","",IFERROR(INDEX(pr_des,MATCH(B3447,pr_code,0))&amp;"",""))))</f>
        <v/>
      </c>
      <c r="I3447" s="59" t="str">
        <f>IF(B3447="","",IFERROR(INDEX(pr_unit,MATCH(B3447,pr_code,0))&amp;"",""))</f>
        <v/>
      </c>
      <c r="J3447" s="65" t="str">
        <f>IF(COUNTA(A3447:G3447)=0,"",IF(E3447&lt;&gt;"",E3447,IF(B3447="","",IFERROR(IF(INDEX(pr_price,MATCH(B3447,pr_code,0))="","",INDEX(pr_price,MATCH(B3447,pr_code,0))),""))))</f>
        <v/>
      </c>
      <c r="K3447" s="71" t="str">
        <f>IF(COUNTA(A3447:G3447)=0,"",IF(G3447&lt;&gt;"",G3447,IF(B3447="","",IFERROR(IF(INDEX(pr_rate,MATCH(B3447,pr_code,0))="","",INDEX(pr_rate,MATCH(B3447,pr_code,0))),""))))</f>
        <v/>
      </c>
      <c r="L3447" s="65" t="str">
        <f>IF(COUNTA(A3447:G3447)=0,"",IF(AND(ISNUMBER(D3447),ISNUMBER(J3447)),ROUND(D3447*J3447*(1-N(F3447)),2),0))</f>
        <v/>
      </c>
      <c r="M3447" s="62" t="str">
        <f>IF(A3447="","",IFERROR(INDEX(fa_cname,MATCH(A3447,fa_num,0))&amp;"",""))</f>
        <v/>
      </c>
      <c r="N3447" s="59" t="str">
        <f>IF(COUNTA(A3447:G3447)=0,"",IF(A3447="","N° facture manquant",IF(ISNA(MATCH(A3447,fa_num,0)),"Facture inconnue",IF(AND(B3447&lt;&gt;"",ISNA(MATCH(B3447,pr_code,0))),"Article inconnu",IF(H3447="","Désignation manquante",IF(OR(NOT(ISNUMBER(D3447)),N(D3447)&lt;=0),"Quantité invalide",IF(J3447="","Prix manquant",IF(OR(NOT(ISNUMBER(J3447)),N(J3447)&lt;0),"Prix invalide",IF(OR(AND(F3447&lt;&gt;"",NOT(ISNUMBER(F3447))),N(F3447)&lt;0,N(F3447)&gt;1),"Remise invalide",IF(K3447="","Taux de TVA manquant",IF(NOT(ISNUMBER(K3447)),"Taux de TVA invalide",IF(COUNTIF(p_rates,K3447)=0,"Taux de TVA hors liste (Paramètres)",IF(N(O3447)&gt;25,"Au-delà de 25 lignes : non imprimée","OK")))))))))))))</f>
        <v/>
      </c>
      <c r="O3447" s="59" t="str">
        <f>IF(A3447="","",COUNTIF($A$6:A3447,A3447))</f>
        <v/>
      </c>
      <c r="P3447" s="62" t="str">
        <f>IF(A3447="","",A3447&amp;"|"&amp;O3447)</f>
        <v/>
      </c>
    </row>
    <row r="3448">
      <c r="A3448" s="60" t="n"/>
      <c r="B3448" s="63" t="n"/>
      <c r="C3448" s="63" t="n"/>
      <c r="D3448" s="67" t="n"/>
      <c r="E3448" s="68" t="n"/>
      <c r="F3448" s="69" t="n"/>
      <c r="G3448" s="70" t="n"/>
      <c r="H3448" s="62" t="str">
        <f>IF(COUNTA(A3448:G3448)=0,"",IF(C3448&lt;&gt;"",C3448,IF(B3448="","",IFERROR(INDEX(pr_des,MATCH(B3448,pr_code,0))&amp;"",""))))</f>
        <v/>
      </c>
      <c r="I3448" s="59" t="str">
        <f>IF(B3448="","",IFERROR(INDEX(pr_unit,MATCH(B3448,pr_code,0))&amp;"",""))</f>
        <v/>
      </c>
      <c r="J3448" s="65" t="str">
        <f>IF(COUNTA(A3448:G3448)=0,"",IF(E3448&lt;&gt;"",E3448,IF(B3448="","",IFERROR(IF(INDEX(pr_price,MATCH(B3448,pr_code,0))="","",INDEX(pr_price,MATCH(B3448,pr_code,0))),""))))</f>
        <v/>
      </c>
      <c r="K3448" s="71" t="str">
        <f>IF(COUNTA(A3448:G3448)=0,"",IF(G3448&lt;&gt;"",G3448,IF(B3448="","",IFERROR(IF(INDEX(pr_rate,MATCH(B3448,pr_code,0))="","",INDEX(pr_rate,MATCH(B3448,pr_code,0))),""))))</f>
        <v/>
      </c>
      <c r="L3448" s="65" t="str">
        <f>IF(COUNTA(A3448:G3448)=0,"",IF(AND(ISNUMBER(D3448),ISNUMBER(J3448)),ROUND(D3448*J3448*(1-N(F3448)),2),0))</f>
        <v/>
      </c>
      <c r="M3448" s="62" t="str">
        <f>IF(A3448="","",IFERROR(INDEX(fa_cname,MATCH(A3448,fa_num,0))&amp;"",""))</f>
        <v/>
      </c>
      <c r="N3448" s="59" t="str">
        <f>IF(COUNTA(A3448:G3448)=0,"",IF(A3448="","N° facture manquant",IF(ISNA(MATCH(A3448,fa_num,0)),"Facture inconnue",IF(AND(B3448&lt;&gt;"",ISNA(MATCH(B3448,pr_code,0))),"Article inconnu",IF(H3448="","Désignation manquante",IF(OR(NOT(ISNUMBER(D3448)),N(D3448)&lt;=0),"Quantité invalide",IF(J3448="","Prix manquant",IF(OR(NOT(ISNUMBER(J3448)),N(J3448)&lt;0),"Prix invalide",IF(OR(AND(F3448&lt;&gt;"",NOT(ISNUMBER(F3448))),N(F3448)&lt;0,N(F3448)&gt;1),"Remise invalide",IF(K3448="","Taux de TVA manquant",IF(NOT(ISNUMBER(K3448)),"Taux de TVA invalide",IF(COUNTIF(p_rates,K3448)=0,"Taux de TVA hors liste (Paramètres)",IF(N(O3448)&gt;25,"Au-delà de 25 lignes : non imprimée","OK")))))))))))))</f>
        <v/>
      </c>
      <c r="O3448" s="59" t="str">
        <f>IF(A3448="","",COUNTIF($A$6:A3448,A3448))</f>
        <v/>
      </c>
      <c r="P3448" s="62" t="str">
        <f>IF(A3448="","",A3448&amp;"|"&amp;O3448)</f>
        <v/>
      </c>
    </row>
    <row r="3449">
      <c r="A3449" s="60" t="n"/>
      <c r="B3449" s="63" t="n"/>
      <c r="C3449" s="63" t="n"/>
      <c r="D3449" s="67" t="n"/>
      <c r="E3449" s="68" t="n"/>
      <c r="F3449" s="69" t="n"/>
      <c r="G3449" s="70" t="n"/>
      <c r="H3449" s="62" t="str">
        <f>IF(COUNTA(A3449:G3449)=0,"",IF(C3449&lt;&gt;"",C3449,IF(B3449="","",IFERROR(INDEX(pr_des,MATCH(B3449,pr_code,0))&amp;"",""))))</f>
        <v/>
      </c>
      <c r="I3449" s="59" t="str">
        <f>IF(B3449="","",IFERROR(INDEX(pr_unit,MATCH(B3449,pr_code,0))&amp;"",""))</f>
        <v/>
      </c>
      <c r="J3449" s="65" t="str">
        <f>IF(COUNTA(A3449:G3449)=0,"",IF(E3449&lt;&gt;"",E3449,IF(B3449="","",IFERROR(IF(INDEX(pr_price,MATCH(B3449,pr_code,0))="","",INDEX(pr_price,MATCH(B3449,pr_code,0))),""))))</f>
        <v/>
      </c>
      <c r="K3449" s="71" t="str">
        <f>IF(COUNTA(A3449:G3449)=0,"",IF(G3449&lt;&gt;"",G3449,IF(B3449="","",IFERROR(IF(INDEX(pr_rate,MATCH(B3449,pr_code,0))="","",INDEX(pr_rate,MATCH(B3449,pr_code,0))),""))))</f>
        <v/>
      </c>
      <c r="L3449" s="65" t="str">
        <f>IF(COUNTA(A3449:G3449)=0,"",IF(AND(ISNUMBER(D3449),ISNUMBER(J3449)),ROUND(D3449*J3449*(1-N(F3449)),2),0))</f>
        <v/>
      </c>
      <c r="M3449" s="62" t="str">
        <f>IF(A3449="","",IFERROR(INDEX(fa_cname,MATCH(A3449,fa_num,0))&amp;"",""))</f>
        <v/>
      </c>
      <c r="N3449" s="59" t="str">
        <f>IF(COUNTA(A3449:G3449)=0,"",IF(A3449="","N° facture manquant",IF(ISNA(MATCH(A3449,fa_num,0)),"Facture inconnue",IF(AND(B3449&lt;&gt;"",ISNA(MATCH(B3449,pr_code,0))),"Article inconnu",IF(H3449="","Désignation manquante",IF(OR(NOT(ISNUMBER(D3449)),N(D3449)&lt;=0),"Quantité invalide",IF(J3449="","Prix manquant",IF(OR(NOT(ISNUMBER(J3449)),N(J3449)&lt;0),"Prix invalide",IF(OR(AND(F3449&lt;&gt;"",NOT(ISNUMBER(F3449))),N(F3449)&lt;0,N(F3449)&gt;1),"Remise invalide",IF(K3449="","Taux de TVA manquant",IF(NOT(ISNUMBER(K3449)),"Taux de TVA invalide",IF(COUNTIF(p_rates,K3449)=0,"Taux de TVA hors liste (Paramètres)",IF(N(O3449)&gt;25,"Au-delà de 25 lignes : non imprimée","OK")))))))))))))</f>
        <v/>
      </c>
      <c r="O3449" s="59" t="str">
        <f>IF(A3449="","",COUNTIF($A$6:A3449,A3449))</f>
        <v/>
      </c>
      <c r="P3449" s="62" t="str">
        <f>IF(A3449="","",A3449&amp;"|"&amp;O3449)</f>
        <v/>
      </c>
    </row>
    <row r="3450">
      <c r="A3450" s="60" t="n"/>
      <c r="B3450" s="63" t="n"/>
      <c r="C3450" s="63" t="n"/>
      <c r="D3450" s="67" t="n"/>
      <c r="E3450" s="68" t="n"/>
      <c r="F3450" s="69" t="n"/>
      <c r="G3450" s="70" t="n"/>
      <c r="H3450" s="62" t="str">
        <f>IF(COUNTA(A3450:G3450)=0,"",IF(C3450&lt;&gt;"",C3450,IF(B3450="","",IFERROR(INDEX(pr_des,MATCH(B3450,pr_code,0))&amp;"",""))))</f>
        <v/>
      </c>
      <c r="I3450" s="59" t="str">
        <f>IF(B3450="","",IFERROR(INDEX(pr_unit,MATCH(B3450,pr_code,0))&amp;"",""))</f>
        <v/>
      </c>
      <c r="J3450" s="65" t="str">
        <f>IF(COUNTA(A3450:G3450)=0,"",IF(E3450&lt;&gt;"",E3450,IF(B3450="","",IFERROR(IF(INDEX(pr_price,MATCH(B3450,pr_code,0))="","",INDEX(pr_price,MATCH(B3450,pr_code,0))),""))))</f>
        <v/>
      </c>
      <c r="K3450" s="71" t="str">
        <f>IF(COUNTA(A3450:G3450)=0,"",IF(G3450&lt;&gt;"",G3450,IF(B3450="","",IFERROR(IF(INDEX(pr_rate,MATCH(B3450,pr_code,0))="","",INDEX(pr_rate,MATCH(B3450,pr_code,0))),""))))</f>
        <v/>
      </c>
      <c r="L3450" s="65" t="str">
        <f>IF(COUNTA(A3450:G3450)=0,"",IF(AND(ISNUMBER(D3450),ISNUMBER(J3450)),ROUND(D3450*J3450*(1-N(F3450)),2),0))</f>
        <v/>
      </c>
      <c r="M3450" s="62" t="str">
        <f>IF(A3450="","",IFERROR(INDEX(fa_cname,MATCH(A3450,fa_num,0))&amp;"",""))</f>
        <v/>
      </c>
      <c r="N3450" s="59" t="str">
        <f>IF(COUNTA(A3450:G3450)=0,"",IF(A3450="","N° facture manquant",IF(ISNA(MATCH(A3450,fa_num,0)),"Facture inconnue",IF(AND(B3450&lt;&gt;"",ISNA(MATCH(B3450,pr_code,0))),"Article inconnu",IF(H3450="","Désignation manquante",IF(OR(NOT(ISNUMBER(D3450)),N(D3450)&lt;=0),"Quantité invalide",IF(J3450="","Prix manquant",IF(OR(NOT(ISNUMBER(J3450)),N(J3450)&lt;0),"Prix invalide",IF(OR(AND(F3450&lt;&gt;"",NOT(ISNUMBER(F3450))),N(F3450)&lt;0,N(F3450)&gt;1),"Remise invalide",IF(K3450="","Taux de TVA manquant",IF(NOT(ISNUMBER(K3450)),"Taux de TVA invalide",IF(COUNTIF(p_rates,K3450)=0,"Taux de TVA hors liste (Paramètres)",IF(N(O3450)&gt;25,"Au-delà de 25 lignes : non imprimée","OK")))))))))))))</f>
        <v/>
      </c>
      <c r="O3450" s="59" t="str">
        <f>IF(A3450="","",COUNTIF($A$6:A3450,A3450))</f>
        <v/>
      </c>
      <c r="P3450" s="62" t="str">
        <f>IF(A3450="","",A3450&amp;"|"&amp;O3450)</f>
        <v/>
      </c>
    </row>
    <row r="3451">
      <c r="A3451" s="60" t="n"/>
      <c r="B3451" s="63" t="n"/>
      <c r="C3451" s="63" t="n"/>
      <c r="D3451" s="67" t="n"/>
      <c r="E3451" s="68" t="n"/>
      <c r="F3451" s="69" t="n"/>
      <c r="G3451" s="70" t="n"/>
      <c r="H3451" s="62" t="str">
        <f>IF(COUNTA(A3451:G3451)=0,"",IF(C3451&lt;&gt;"",C3451,IF(B3451="","",IFERROR(INDEX(pr_des,MATCH(B3451,pr_code,0))&amp;"",""))))</f>
        <v/>
      </c>
      <c r="I3451" s="59" t="str">
        <f>IF(B3451="","",IFERROR(INDEX(pr_unit,MATCH(B3451,pr_code,0))&amp;"",""))</f>
        <v/>
      </c>
      <c r="J3451" s="65" t="str">
        <f>IF(COUNTA(A3451:G3451)=0,"",IF(E3451&lt;&gt;"",E3451,IF(B3451="","",IFERROR(IF(INDEX(pr_price,MATCH(B3451,pr_code,0))="","",INDEX(pr_price,MATCH(B3451,pr_code,0))),""))))</f>
        <v/>
      </c>
      <c r="K3451" s="71" t="str">
        <f>IF(COUNTA(A3451:G3451)=0,"",IF(G3451&lt;&gt;"",G3451,IF(B3451="","",IFERROR(IF(INDEX(pr_rate,MATCH(B3451,pr_code,0))="","",INDEX(pr_rate,MATCH(B3451,pr_code,0))),""))))</f>
        <v/>
      </c>
      <c r="L3451" s="65" t="str">
        <f>IF(COUNTA(A3451:G3451)=0,"",IF(AND(ISNUMBER(D3451),ISNUMBER(J3451)),ROUND(D3451*J3451*(1-N(F3451)),2),0))</f>
        <v/>
      </c>
      <c r="M3451" s="62" t="str">
        <f>IF(A3451="","",IFERROR(INDEX(fa_cname,MATCH(A3451,fa_num,0))&amp;"",""))</f>
        <v/>
      </c>
      <c r="N3451" s="59" t="str">
        <f>IF(COUNTA(A3451:G3451)=0,"",IF(A3451="","N° facture manquant",IF(ISNA(MATCH(A3451,fa_num,0)),"Facture inconnue",IF(AND(B3451&lt;&gt;"",ISNA(MATCH(B3451,pr_code,0))),"Article inconnu",IF(H3451="","Désignation manquante",IF(OR(NOT(ISNUMBER(D3451)),N(D3451)&lt;=0),"Quantité invalide",IF(J3451="","Prix manquant",IF(OR(NOT(ISNUMBER(J3451)),N(J3451)&lt;0),"Prix invalide",IF(OR(AND(F3451&lt;&gt;"",NOT(ISNUMBER(F3451))),N(F3451)&lt;0,N(F3451)&gt;1),"Remise invalide",IF(K3451="","Taux de TVA manquant",IF(NOT(ISNUMBER(K3451)),"Taux de TVA invalide",IF(COUNTIF(p_rates,K3451)=0,"Taux de TVA hors liste (Paramètres)",IF(N(O3451)&gt;25,"Au-delà de 25 lignes : non imprimée","OK")))))))))))))</f>
        <v/>
      </c>
      <c r="O3451" s="59" t="str">
        <f>IF(A3451="","",COUNTIF($A$6:A3451,A3451))</f>
        <v/>
      </c>
      <c r="P3451" s="62" t="str">
        <f>IF(A3451="","",A3451&amp;"|"&amp;O3451)</f>
        <v/>
      </c>
    </row>
    <row r="3452">
      <c r="A3452" s="60" t="n"/>
      <c r="B3452" s="63" t="n"/>
      <c r="C3452" s="63" t="n"/>
      <c r="D3452" s="67" t="n"/>
      <c r="E3452" s="68" t="n"/>
      <c r="F3452" s="69" t="n"/>
      <c r="G3452" s="70" t="n"/>
      <c r="H3452" s="62" t="str">
        <f>IF(COUNTA(A3452:G3452)=0,"",IF(C3452&lt;&gt;"",C3452,IF(B3452="","",IFERROR(INDEX(pr_des,MATCH(B3452,pr_code,0))&amp;"",""))))</f>
        <v/>
      </c>
      <c r="I3452" s="59" t="str">
        <f>IF(B3452="","",IFERROR(INDEX(pr_unit,MATCH(B3452,pr_code,0))&amp;"",""))</f>
        <v/>
      </c>
      <c r="J3452" s="65" t="str">
        <f>IF(COUNTA(A3452:G3452)=0,"",IF(E3452&lt;&gt;"",E3452,IF(B3452="","",IFERROR(IF(INDEX(pr_price,MATCH(B3452,pr_code,0))="","",INDEX(pr_price,MATCH(B3452,pr_code,0))),""))))</f>
        <v/>
      </c>
      <c r="K3452" s="71" t="str">
        <f>IF(COUNTA(A3452:G3452)=0,"",IF(G3452&lt;&gt;"",G3452,IF(B3452="","",IFERROR(IF(INDEX(pr_rate,MATCH(B3452,pr_code,0))="","",INDEX(pr_rate,MATCH(B3452,pr_code,0))),""))))</f>
        <v/>
      </c>
      <c r="L3452" s="65" t="str">
        <f>IF(COUNTA(A3452:G3452)=0,"",IF(AND(ISNUMBER(D3452),ISNUMBER(J3452)),ROUND(D3452*J3452*(1-N(F3452)),2),0))</f>
        <v/>
      </c>
      <c r="M3452" s="62" t="str">
        <f>IF(A3452="","",IFERROR(INDEX(fa_cname,MATCH(A3452,fa_num,0))&amp;"",""))</f>
        <v/>
      </c>
      <c r="N3452" s="59" t="str">
        <f>IF(COUNTA(A3452:G3452)=0,"",IF(A3452="","N° facture manquant",IF(ISNA(MATCH(A3452,fa_num,0)),"Facture inconnue",IF(AND(B3452&lt;&gt;"",ISNA(MATCH(B3452,pr_code,0))),"Article inconnu",IF(H3452="","Désignation manquante",IF(OR(NOT(ISNUMBER(D3452)),N(D3452)&lt;=0),"Quantité invalide",IF(J3452="","Prix manquant",IF(OR(NOT(ISNUMBER(J3452)),N(J3452)&lt;0),"Prix invalide",IF(OR(AND(F3452&lt;&gt;"",NOT(ISNUMBER(F3452))),N(F3452)&lt;0,N(F3452)&gt;1),"Remise invalide",IF(K3452="","Taux de TVA manquant",IF(NOT(ISNUMBER(K3452)),"Taux de TVA invalide",IF(COUNTIF(p_rates,K3452)=0,"Taux de TVA hors liste (Paramètres)",IF(N(O3452)&gt;25,"Au-delà de 25 lignes : non imprimée","OK")))))))))))))</f>
        <v/>
      </c>
      <c r="O3452" s="59" t="str">
        <f>IF(A3452="","",COUNTIF($A$6:A3452,A3452))</f>
        <v/>
      </c>
      <c r="P3452" s="62" t="str">
        <f>IF(A3452="","",A3452&amp;"|"&amp;O3452)</f>
        <v/>
      </c>
    </row>
    <row r="3453">
      <c r="A3453" s="60" t="n"/>
      <c r="B3453" s="63" t="n"/>
      <c r="C3453" s="63" t="n"/>
      <c r="D3453" s="67" t="n"/>
      <c r="E3453" s="68" t="n"/>
      <c r="F3453" s="69" t="n"/>
      <c r="G3453" s="70" t="n"/>
      <c r="H3453" s="62" t="str">
        <f>IF(COUNTA(A3453:G3453)=0,"",IF(C3453&lt;&gt;"",C3453,IF(B3453="","",IFERROR(INDEX(pr_des,MATCH(B3453,pr_code,0))&amp;"",""))))</f>
        <v/>
      </c>
      <c r="I3453" s="59" t="str">
        <f>IF(B3453="","",IFERROR(INDEX(pr_unit,MATCH(B3453,pr_code,0))&amp;"",""))</f>
        <v/>
      </c>
      <c r="J3453" s="65" t="str">
        <f>IF(COUNTA(A3453:G3453)=0,"",IF(E3453&lt;&gt;"",E3453,IF(B3453="","",IFERROR(IF(INDEX(pr_price,MATCH(B3453,pr_code,0))="","",INDEX(pr_price,MATCH(B3453,pr_code,0))),""))))</f>
        <v/>
      </c>
      <c r="K3453" s="71" t="str">
        <f>IF(COUNTA(A3453:G3453)=0,"",IF(G3453&lt;&gt;"",G3453,IF(B3453="","",IFERROR(IF(INDEX(pr_rate,MATCH(B3453,pr_code,0))="","",INDEX(pr_rate,MATCH(B3453,pr_code,0))),""))))</f>
        <v/>
      </c>
      <c r="L3453" s="65" t="str">
        <f>IF(COUNTA(A3453:G3453)=0,"",IF(AND(ISNUMBER(D3453),ISNUMBER(J3453)),ROUND(D3453*J3453*(1-N(F3453)),2),0))</f>
        <v/>
      </c>
      <c r="M3453" s="62" t="str">
        <f>IF(A3453="","",IFERROR(INDEX(fa_cname,MATCH(A3453,fa_num,0))&amp;"",""))</f>
        <v/>
      </c>
      <c r="N3453" s="59" t="str">
        <f>IF(COUNTA(A3453:G3453)=0,"",IF(A3453="","N° facture manquant",IF(ISNA(MATCH(A3453,fa_num,0)),"Facture inconnue",IF(AND(B3453&lt;&gt;"",ISNA(MATCH(B3453,pr_code,0))),"Article inconnu",IF(H3453="","Désignation manquante",IF(OR(NOT(ISNUMBER(D3453)),N(D3453)&lt;=0),"Quantité invalide",IF(J3453="","Prix manquant",IF(OR(NOT(ISNUMBER(J3453)),N(J3453)&lt;0),"Prix invalide",IF(OR(AND(F3453&lt;&gt;"",NOT(ISNUMBER(F3453))),N(F3453)&lt;0,N(F3453)&gt;1),"Remise invalide",IF(K3453="","Taux de TVA manquant",IF(NOT(ISNUMBER(K3453)),"Taux de TVA invalide",IF(COUNTIF(p_rates,K3453)=0,"Taux de TVA hors liste (Paramètres)",IF(N(O3453)&gt;25,"Au-delà de 25 lignes : non imprimée","OK")))))))))))))</f>
        <v/>
      </c>
      <c r="O3453" s="59" t="str">
        <f>IF(A3453="","",COUNTIF($A$6:A3453,A3453))</f>
        <v/>
      </c>
      <c r="P3453" s="62" t="str">
        <f>IF(A3453="","",A3453&amp;"|"&amp;O3453)</f>
        <v/>
      </c>
    </row>
    <row r="3454">
      <c r="A3454" s="60" t="n"/>
      <c r="B3454" s="63" t="n"/>
      <c r="C3454" s="63" t="n"/>
      <c r="D3454" s="67" t="n"/>
      <c r="E3454" s="68" t="n"/>
      <c r="F3454" s="69" t="n"/>
      <c r="G3454" s="70" t="n"/>
      <c r="H3454" s="62" t="str">
        <f>IF(COUNTA(A3454:G3454)=0,"",IF(C3454&lt;&gt;"",C3454,IF(B3454="","",IFERROR(INDEX(pr_des,MATCH(B3454,pr_code,0))&amp;"",""))))</f>
        <v/>
      </c>
      <c r="I3454" s="59" t="str">
        <f>IF(B3454="","",IFERROR(INDEX(pr_unit,MATCH(B3454,pr_code,0))&amp;"",""))</f>
        <v/>
      </c>
      <c r="J3454" s="65" t="str">
        <f>IF(COUNTA(A3454:G3454)=0,"",IF(E3454&lt;&gt;"",E3454,IF(B3454="","",IFERROR(IF(INDEX(pr_price,MATCH(B3454,pr_code,0))="","",INDEX(pr_price,MATCH(B3454,pr_code,0))),""))))</f>
        <v/>
      </c>
      <c r="K3454" s="71" t="str">
        <f>IF(COUNTA(A3454:G3454)=0,"",IF(G3454&lt;&gt;"",G3454,IF(B3454="","",IFERROR(IF(INDEX(pr_rate,MATCH(B3454,pr_code,0))="","",INDEX(pr_rate,MATCH(B3454,pr_code,0))),""))))</f>
        <v/>
      </c>
      <c r="L3454" s="65" t="str">
        <f>IF(COUNTA(A3454:G3454)=0,"",IF(AND(ISNUMBER(D3454),ISNUMBER(J3454)),ROUND(D3454*J3454*(1-N(F3454)),2),0))</f>
        <v/>
      </c>
      <c r="M3454" s="62" t="str">
        <f>IF(A3454="","",IFERROR(INDEX(fa_cname,MATCH(A3454,fa_num,0))&amp;"",""))</f>
        <v/>
      </c>
      <c r="N3454" s="59" t="str">
        <f>IF(COUNTA(A3454:G3454)=0,"",IF(A3454="","N° facture manquant",IF(ISNA(MATCH(A3454,fa_num,0)),"Facture inconnue",IF(AND(B3454&lt;&gt;"",ISNA(MATCH(B3454,pr_code,0))),"Article inconnu",IF(H3454="","Désignation manquante",IF(OR(NOT(ISNUMBER(D3454)),N(D3454)&lt;=0),"Quantité invalide",IF(J3454="","Prix manquant",IF(OR(NOT(ISNUMBER(J3454)),N(J3454)&lt;0),"Prix invalide",IF(OR(AND(F3454&lt;&gt;"",NOT(ISNUMBER(F3454))),N(F3454)&lt;0,N(F3454)&gt;1),"Remise invalide",IF(K3454="","Taux de TVA manquant",IF(NOT(ISNUMBER(K3454)),"Taux de TVA invalide",IF(COUNTIF(p_rates,K3454)=0,"Taux de TVA hors liste (Paramètres)",IF(N(O3454)&gt;25,"Au-delà de 25 lignes : non imprimée","OK")))))))))))))</f>
        <v/>
      </c>
      <c r="O3454" s="59" t="str">
        <f>IF(A3454="","",COUNTIF($A$6:A3454,A3454))</f>
        <v/>
      </c>
      <c r="P3454" s="62" t="str">
        <f>IF(A3454="","",A3454&amp;"|"&amp;O3454)</f>
        <v/>
      </c>
    </row>
    <row r="3455">
      <c r="A3455" s="60" t="n"/>
      <c r="B3455" s="63" t="n"/>
      <c r="C3455" s="63" t="n"/>
      <c r="D3455" s="67" t="n"/>
      <c r="E3455" s="68" t="n"/>
      <c r="F3455" s="69" t="n"/>
      <c r="G3455" s="70" t="n"/>
      <c r="H3455" s="62" t="str">
        <f>IF(COUNTA(A3455:G3455)=0,"",IF(C3455&lt;&gt;"",C3455,IF(B3455="","",IFERROR(INDEX(pr_des,MATCH(B3455,pr_code,0))&amp;"",""))))</f>
        <v/>
      </c>
      <c r="I3455" s="59" t="str">
        <f>IF(B3455="","",IFERROR(INDEX(pr_unit,MATCH(B3455,pr_code,0))&amp;"",""))</f>
        <v/>
      </c>
      <c r="J3455" s="65" t="str">
        <f>IF(COUNTA(A3455:G3455)=0,"",IF(E3455&lt;&gt;"",E3455,IF(B3455="","",IFERROR(IF(INDEX(pr_price,MATCH(B3455,pr_code,0))="","",INDEX(pr_price,MATCH(B3455,pr_code,0))),""))))</f>
        <v/>
      </c>
      <c r="K3455" s="71" t="str">
        <f>IF(COUNTA(A3455:G3455)=0,"",IF(G3455&lt;&gt;"",G3455,IF(B3455="","",IFERROR(IF(INDEX(pr_rate,MATCH(B3455,pr_code,0))="","",INDEX(pr_rate,MATCH(B3455,pr_code,0))),""))))</f>
        <v/>
      </c>
      <c r="L3455" s="65" t="str">
        <f>IF(COUNTA(A3455:G3455)=0,"",IF(AND(ISNUMBER(D3455),ISNUMBER(J3455)),ROUND(D3455*J3455*(1-N(F3455)),2),0))</f>
        <v/>
      </c>
      <c r="M3455" s="62" t="str">
        <f>IF(A3455="","",IFERROR(INDEX(fa_cname,MATCH(A3455,fa_num,0))&amp;"",""))</f>
        <v/>
      </c>
      <c r="N3455" s="59" t="str">
        <f>IF(COUNTA(A3455:G3455)=0,"",IF(A3455="","N° facture manquant",IF(ISNA(MATCH(A3455,fa_num,0)),"Facture inconnue",IF(AND(B3455&lt;&gt;"",ISNA(MATCH(B3455,pr_code,0))),"Article inconnu",IF(H3455="","Désignation manquante",IF(OR(NOT(ISNUMBER(D3455)),N(D3455)&lt;=0),"Quantité invalide",IF(J3455="","Prix manquant",IF(OR(NOT(ISNUMBER(J3455)),N(J3455)&lt;0),"Prix invalide",IF(OR(AND(F3455&lt;&gt;"",NOT(ISNUMBER(F3455))),N(F3455)&lt;0,N(F3455)&gt;1),"Remise invalide",IF(K3455="","Taux de TVA manquant",IF(NOT(ISNUMBER(K3455)),"Taux de TVA invalide",IF(COUNTIF(p_rates,K3455)=0,"Taux de TVA hors liste (Paramètres)",IF(N(O3455)&gt;25,"Au-delà de 25 lignes : non imprimée","OK")))))))))))))</f>
        <v/>
      </c>
      <c r="O3455" s="59" t="str">
        <f>IF(A3455="","",COUNTIF($A$6:A3455,A3455))</f>
        <v/>
      </c>
      <c r="P3455" s="62" t="str">
        <f>IF(A3455="","",A3455&amp;"|"&amp;O3455)</f>
        <v/>
      </c>
    </row>
    <row r="3456">
      <c r="A3456" s="60" t="n"/>
      <c r="B3456" s="63" t="n"/>
      <c r="C3456" s="63" t="n"/>
      <c r="D3456" s="67" t="n"/>
      <c r="E3456" s="68" t="n"/>
      <c r="F3456" s="69" t="n"/>
      <c r="G3456" s="70" t="n"/>
      <c r="H3456" s="62" t="str">
        <f>IF(COUNTA(A3456:G3456)=0,"",IF(C3456&lt;&gt;"",C3456,IF(B3456="","",IFERROR(INDEX(pr_des,MATCH(B3456,pr_code,0))&amp;"",""))))</f>
        <v/>
      </c>
      <c r="I3456" s="59" t="str">
        <f>IF(B3456="","",IFERROR(INDEX(pr_unit,MATCH(B3456,pr_code,0))&amp;"",""))</f>
        <v/>
      </c>
      <c r="J3456" s="65" t="str">
        <f>IF(COUNTA(A3456:G3456)=0,"",IF(E3456&lt;&gt;"",E3456,IF(B3456="","",IFERROR(IF(INDEX(pr_price,MATCH(B3456,pr_code,0))="","",INDEX(pr_price,MATCH(B3456,pr_code,0))),""))))</f>
        <v/>
      </c>
      <c r="K3456" s="71" t="str">
        <f>IF(COUNTA(A3456:G3456)=0,"",IF(G3456&lt;&gt;"",G3456,IF(B3456="","",IFERROR(IF(INDEX(pr_rate,MATCH(B3456,pr_code,0))="","",INDEX(pr_rate,MATCH(B3456,pr_code,0))),""))))</f>
        <v/>
      </c>
      <c r="L3456" s="65" t="str">
        <f>IF(COUNTA(A3456:G3456)=0,"",IF(AND(ISNUMBER(D3456),ISNUMBER(J3456)),ROUND(D3456*J3456*(1-N(F3456)),2),0))</f>
        <v/>
      </c>
      <c r="M3456" s="62" t="str">
        <f>IF(A3456="","",IFERROR(INDEX(fa_cname,MATCH(A3456,fa_num,0))&amp;"",""))</f>
        <v/>
      </c>
      <c r="N3456" s="59" t="str">
        <f>IF(COUNTA(A3456:G3456)=0,"",IF(A3456="","N° facture manquant",IF(ISNA(MATCH(A3456,fa_num,0)),"Facture inconnue",IF(AND(B3456&lt;&gt;"",ISNA(MATCH(B3456,pr_code,0))),"Article inconnu",IF(H3456="","Désignation manquante",IF(OR(NOT(ISNUMBER(D3456)),N(D3456)&lt;=0),"Quantité invalide",IF(J3456="","Prix manquant",IF(OR(NOT(ISNUMBER(J3456)),N(J3456)&lt;0),"Prix invalide",IF(OR(AND(F3456&lt;&gt;"",NOT(ISNUMBER(F3456))),N(F3456)&lt;0,N(F3456)&gt;1),"Remise invalide",IF(K3456="","Taux de TVA manquant",IF(NOT(ISNUMBER(K3456)),"Taux de TVA invalide",IF(COUNTIF(p_rates,K3456)=0,"Taux de TVA hors liste (Paramètres)",IF(N(O3456)&gt;25,"Au-delà de 25 lignes : non imprimée","OK")))))))))))))</f>
        <v/>
      </c>
      <c r="O3456" s="59" t="str">
        <f>IF(A3456="","",COUNTIF($A$6:A3456,A3456))</f>
        <v/>
      </c>
      <c r="P3456" s="62" t="str">
        <f>IF(A3456="","",A3456&amp;"|"&amp;O3456)</f>
        <v/>
      </c>
    </row>
    <row r="3457">
      <c r="A3457" s="60" t="n"/>
      <c r="B3457" s="63" t="n"/>
      <c r="C3457" s="63" t="n"/>
      <c r="D3457" s="67" t="n"/>
      <c r="E3457" s="68" t="n"/>
      <c r="F3457" s="69" t="n"/>
      <c r="G3457" s="70" t="n"/>
      <c r="H3457" s="62" t="str">
        <f>IF(COUNTA(A3457:G3457)=0,"",IF(C3457&lt;&gt;"",C3457,IF(B3457="","",IFERROR(INDEX(pr_des,MATCH(B3457,pr_code,0))&amp;"",""))))</f>
        <v/>
      </c>
      <c r="I3457" s="59" t="str">
        <f>IF(B3457="","",IFERROR(INDEX(pr_unit,MATCH(B3457,pr_code,0))&amp;"",""))</f>
        <v/>
      </c>
      <c r="J3457" s="65" t="str">
        <f>IF(COUNTA(A3457:G3457)=0,"",IF(E3457&lt;&gt;"",E3457,IF(B3457="","",IFERROR(IF(INDEX(pr_price,MATCH(B3457,pr_code,0))="","",INDEX(pr_price,MATCH(B3457,pr_code,0))),""))))</f>
        <v/>
      </c>
      <c r="K3457" s="71" t="str">
        <f>IF(COUNTA(A3457:G3457)=0,"",IF(G3457&lt;&gt;"",G3457,IF(B3457="","",IFERROR(IF(INDEX(pr_rate,MATCH(B3457,pr_code,0))="","",INDEX(pr_rate,MATCH(B3457,pr_code,0))),""))))</f>
        <v/>
      </c>
      <c r="L3457" s="65" t="str">
        <f>IF(COUNTA(A3457:G3457)=0,"",IF(AND(ISNUMBER(D3457),ISNUMBER(J3457)),ROUND(D3457*J3457*(1-N(F3457)),2),0))</f>
        <v/>
      </c>
      <c r="M3457" s="62" t="str">
        <f>IF(A3457="","",IFERROR(INDEX(fa_cname,MATCH(A3457,fa_num,0))&amp;"",""))</f>
        <v/>
      </c>
      <c r="N3457" s="59" t="str">
        <f>IF(COUNTA(A3457:G3457)=0,"",IF(A3457="","N° facture manquant",IF(ISNA(MATCH(A3457,fa_num,0)),"Facture inconnue",IF(AND(B3457&lt;&gt;"",ISNA(MATCH(B3457,pr_code,0))),"Article inconnu",IF(H3457="","Désignation manquante",IF(OR(NOT(ISNUMBER(D3457)),N(D3457)&lt;=0),"Quantité invalide",IF(J3457="","Prix manquant",IF(OR(NOT(ISNUMBER(J3457)),N(J3457)&lt;0),"Prix invalide",IF(OR(AND(F3457&lt;&gt;"",NOT(ISNUMBER(F3457))),N(F3457)&lt;0,N(F3457)&gt;1),"Remise invalide",IF(K3457="","Taux de TVA manquant",IF(NOT(ISNUMBER(K3457)),"Taux de TVA invalide",IF(COUNTIF(p_rates,K3457)=0,"Taux de TVA hors liste (Paramètres)",IF(N(O3457)&gt;25,"Au-delà de 25 lignes : non imprimée","OK")))))))))))))</f>
        <v/>
      </c>
      <c r="O3457" s="59" t="str">
        <f>IF(A3457="","",COUNTIF($A$6:A3457,A3457))</f>
        <v/>
      </c>
      <c r="P3457" s="62" t="str">
        <f>IF(A3457="","",A3457&amp;"|"&amp;O3457)</f>
        <v/>
      </c>
    </row>
    <row r="3458">
      <c r="A3458" s="60" t="n"/>
      <c r="B3458" s="63" t="n"/>
      <c r="C3458" s="63" t="n"/>
      <c r="D3458" s="67" t="n"/>
      <c r="E3458" s="68" t="n"/>
      <c r="F3458" s="69" t="n"/>
      <c r="G3458" s="70" t="n"/>
      <c r="H3458" s="62" t="str">
        <f>IF(COUNTA(A3458:G3458)=0,"",IF(C3458&lt;&gt;"",C3458,IF(B3458="","",IFERROR(INDEX(pr_des,MATCH(B3458,pr_code,0))&amp;"",""))))</f>
        <v/>
      </c>
      <c r="I3458" s="59" t="str">
        <f>IF(B3458="","",IFERROR(INDEX(pr_unit,MATCH(B3458,pr_code,0))&amp;"",""))</f>
        <v/>
      </c>
      <c r="J3458" s="65" t="str">
        <f>IF(COUNTA(A3458:G3458)=0,"",IF(E3458&lt;&gt;"",E3458,IF(B3458="","",IFERROR(IF(INDEX(pr_price,MATCH(B3458,pr_code,0))="","",INDEX(pr_price,MATCH(B3458,pr_code,0))),""))))</f>
        <v/>
      </c>
      <c r="K3458" s="71" t="str">
        <f>IF(COUNTA(A3458:G3458)=0,"",IF(G3458&lt;&gt;"",G3458,IF(B3458="","",IFERROR(IF(INDEX(pr_rate,MATCH(B3458,pr_code,0))="","",INDEX(pr_rate,MATCH(B3458,pr_code,0))),""))))</f>
        <v/>
      </c>
      <c r="L3458" s="65" t="str">
        <f>IF(COUNTA(A3458:G3458)=0,"",IF(AND(ISNUMBER(D3458),ISNUMBER(J3458)),ROUND(D3458*J3458*(1-N(F3458)),2),0))</f>
        <v/>
      </c>
      <c r="M3458" s="62" t="str">
        <f>IF(A3458="","",IFERROR(INDEX(fa_cname,MATCH(A3458,fa_num,0))&amp;"",""))</f>
        <v/>
      </c>
      <c r="N3458" s="59" t="str">
        <f>IF(COUNTA(A3458:G3458)=0,"",IF(A3458="","N° facture manquant",IF(ISNA(MATCH(A3458,fa_num,0)),"Facture inconnue",IF(AND(B3458&lt;&gt;"",ISNA(MATCH(B3458,pr_code,0))),"Article inconnu",IF(H3458="","Désignation manquante",IF(OR(NOT(ISNUMBER(D3458)),N(D3458)&lt;=0),"Quantité invalide",IF(J3458="","Prix manquant",IF(OR(NOT(ISNUMBER(J3458)),N(J3458)&lt;0),"Prix invalide",IF(OR(AND(F3458&lt;&gt;"",NOT(ISNUMBER(F3458))),N(F3458)&lt;0,N(F3458)&gt;1),"Remise invalide",IF(K3458="","Taux de TVA manquant",IF(NOT(ISNUMBER(K3458)),"Taux de TVA invalide",IF(COUNTIF(p_rates,K3458)=0,"Taux de TVA hors liste (Paramètres)",IF(N(O3458)&gt;25,"Au-delà de 25 lignes : non imprimée","OK")))))))))))))</f>
        <v/>
      </c>
      <c r="O3458" s="59" t="str">
        <f>IF(A3458="","",COUNTIF($A$6:A3458,A3458))</f>
        <v/>
      </c>
      <c r="P3458" s="62" t="str">
        <f>IF(A3458="","",A3458&amp;"|"&amp;O3458)</f>
        <v/>
      </c>
    </row>
    <row r="3459">
      <c r="A3459" s="60" t="n"/>
      <c r="B3459" s="63" t="n"/>
      <c r="C3459" s="63" t="n"/>
      <c r="D3459" s="67" t="n"/>
      <c r="E3459" s="68" t="n"/>
      <c r="F3459" s="69" t="n"/>
      <c r="G3459" s="70" t="n"/>
      <c r="H3459" s="62" t="str">
        <f>IF(COUNTA(A3459:G3459)=0,"",IF(C3459&lt;&gt;"",C3459,IF(B3459="","",IFERROR(INDEX(pr_des,MATCH(B3459,pr_code,0))&amp;"",""))))</f>
        <v/>
      </c>
      <c r="I3459" s="59" t="str">
        <f>IF(B3459="","",IFERROR(INDEX(pr_unit,MATCH(B3459,pr_code,0))&amp;"",""))</f>
        <v/>
      </c>
      <c r="J3459" s="65" t="str">
        <f>IF(COUNTA(A3459:G3459)=0,"",IF(E3459&lt;&gt;"",E3459,IF(B3459="","",IFERROR(IF(INDEX(pr_price,MATCH(B3459,pr_code,0))="","",INDEX(pr_price,MATCH(B3459,pr_code,0))),""))))</f>
        <v/>
      </c>
      <c r="K3459" s="71" t="str">
        <f>IF(COUNTA(A3459:G3459)=0,"",IF(G3459&lt;&gt;"",G3459,IF(B3459="","",IFERROR(IF(INDEX(pr_rate,MATCH(B3459,pr_code,0))="","",INDEX(pr_rate,MATCH(B3459,pr_code,0))),""))))</f>
        <v/>
      </c>
      <c r="L3459" s="65" t="str">
        <f>IF(COUNTA(A3459:G3459)=0,"",IF(AND(ISNUMBER(D3459),ISNUMBER(J3459)),ROUND(D3459*J3459*(1-N(F3459)),2),0))</f>
        <v/>
      </c>
      <c r="M3459" s="62" t="str">
        <f>IF(A3459="","",IFERROR(INDEX(fa_cname,MATCH(A3459,fa_num,0))&amp;"",""))</f>
        <v/>
      </c>
      <c r="N3459" s="59" t="str">
        <f>IF(COUNTA(A3459:G3459)=0,"",IF(A3459="","N° facture manquant",IF(ISNA(MATCH(A3459,fa_num,0)),"Facture inconnue",IF(AND(B3459&lt;&gt;"",ISNA(MATCH(B3459,pr_code,0))),"Article inconnu",IF(H3459="","Désignation manquante",IF(OR(NOT(ISNUMBER(D3459)),N(D3459)&lt;=0),"Quantité invalide",IF(J3459="","Prix manquant",IF(OR(NOT(ISNUMBER(J3459)),N(J3459)&lt;0),"Prix invalide",IF(OR(AND(F3459&lt;&gt;"",NOT(ISNUMBER(F3459))),N(F3459)&lt;0,N(F3459)&gt;1),"Remise invalide",IF(K3459="","Taux de TVA manquant",IF(NOT(ISNUMBER(K3459)),"Taux de TVA invalide",IF(COUNTIF(p_rates,K3459)=0,"Taux de TVA hors liste (Paramètres)",IF(N(O3459)&gt;25,"Au-delà de 25 lignes : non imprimée","OK")))))))))))))</f>
        <v/>
      </c>
      <c r="O3459" s="59" t="str">
        <f>IF(A3459="","",COUNTIF($A$6:A3459,A3459))</f>
        <v/>
      </c>
      <c r="P3459" s="62" t="str">
        <f>IF(A3459="","",A3459&amp;"|"&amp;O3459)</f>
        <v/>
      </c>
    </row>
    <row r="3460">
      <c r="A3460" s="60" t="n"/>
      <c r="B3460" s="63" t="n"/>
      <c r="C3460" s="63" t="n"/>
      <c r="D3460" s="67" t="n"/>
      <c r="E3460" s="68" t="n"/>
      <c r="F3460" s="69" t="n"/>
      <c r="G3460" s="70" t="n"/>
      <c r="H3460" s="62" t="str">
        <f>IF(COUNTA(A3460:G3460)=0,"",IF(C3460&lt;&gt;"",C3460,IF(B3460="","",IFERROR(INDEX(pr_des,MATCH(B3460,pr_code,0))&amp;"",""))))</f>
        <v/>
      </c>
      <c r="I3460" s="59" t="str">
        <f>IF(B3460="","",IFERROR(INDEX(pr_unit,MATCH(B3460,pr_code,0))&amp;"",""))</f>
        <v/>
      </c>
      <c r="J3460" s="65" t="str">
        <f>IF(COUNTA(A3460:G3460)=0,"",IF(E3460&lt;&gt;"",E3460,IF(B3460="","",IFERROR(IF(INDEX(pr_price,MATCH(B3460,pr_code,0))="","",INDEX(pr_price,MATCH(B3460,pr_code,0))),""))))</f>
        <v/>
      </c>
      <c r="K3460" s="71" t="str">
        <f>IF(COUNTA(A3460:G3460)=0,"",IF(G3460&lt;&gt;"",G3460,IF(B3460="","",IFERROR(IF(INDEX(pr_rate,MATCH(B3460,pr_code,0))="","",INDEX(pr_rate,MATCH(B3460,pr_code,0))),""))))</f>
        <v/>
      </c>
      <c r="L3460" s="65" t="str">
        <f>IF(COUNTA(A3460:G3460)=0,"",IF(AND(ISNUMBER(D3460),ISNUMBER(J3460)),ROUND(D3460*J3460*(1-N(F3460)),2),0))</f>
        <v/>
      </c>
      <c r="M3460" s="62" t="str">
        <f>IF(A3460="","",IFERROR(INDEX(fa_cname,MATCH(A3460,fa_num,0))&amp;"",""))</f>
        <v/>
      </c>
      <c r="N3460" s="59" t="str">
        <f>IF(COUNTA(A3460:G3460)=0,"",IF(A3460="","N° facture manquant",IF(ISNA(MATCH(A3460,fa_num,0)),"Facture inconnue",IF(AND(B3460&lt;&gt;"",ISNA(MATCH(B3460,pr_code,0))),"Article inconnu",IF(H3460="","Désignation manquante",IF(OR(NOT(ISNUMBER(D3460)),N(D3460)&lt;=0),"Quantité invalide",IF(J3460="","Prix manquant",IF(OR(NOT(ISNUMBER(J3460)),N(J3460)&lt;0),"Prix invalide",IF(OR(AND(F3460&lt;&gt;"",NOT(ISNUMBER(F3460))),N(F3460)&lt;0,N(F3460)&gt;1),"Remise invalide",IF(K3460="","Taux de TVA manquant",IF(NOT(ISNUMBER(K3460)),"Taux de TVA invalide",IF(COUNTIF(p_rates,K3460)=0,"Taux de TVA hors liste (Paramètres)",IF(N(O3460)&gt;25,"Au-delà de 25 lignes : non imprimée","OK")))))))))))))</f>
        <v/>
      </c>
      <c r="O3460" s="59" t="str">
        <f>IF(A3460="","",COUNTIF($A$6:A3460,A3460))</f>
        <v/>
      </c>
      <c r="P3460" s="62" t="str">
        <f>IF(A3460="","",A3460&amp;"|"&amp;O3460)</f>
        <v/>
      </c>
    </row>
    <row r="3461">
      <c r="A3461" s="60" t="n"/>
      <c r="B3461" s="63" t="n"/>
      <c r="C3461" s="63" t="n"/>
      <c r="D3461" s="67" t="n"/>
      <c r="E3461" s="68" t="n"/>
      <c r="F3461" s="69" t="n"/>
      <c r="G3461" s="70" t="n"/>
      <c r="H3461" s="62" t="str">
        <f>IF(COUNTA(A3461:G3461)=0,"",IF(C3461&lt;&gt;"",C3461,IF(B3461="","",IFERROR(INDEX(pr_des,MATCH(B3461,pr_code,0))&amp;"",""))))</f>
        <v/>
      </c>
      <c r="I3461" s="59" t="str">
        <f>IF(B3461="","",IFERROR(INDEX(pr_unit,MATCH(B3461,pr_code,0))&amp;"",""))</f>
        <v/>
      </c>
      <c r="J3461" s="65" t="str">
        <f>IF(COUNTA(A3461:G3461)=0,"",IF(E3461&lt;&gt;"",E3461,IF(B3461="","",IFERROR(IF(INDEX(pr_price,MATCH(B3461,pr_code,0))="","",INDEX(pr_price,MATCH(B3461,pr_code,0))),""))))</f>
        <v/>
      </c>
      <c r="K3461" s="71" t="str">
        <f>IF(COUNTA(A3461:G3461)=0,"",IF(G3461&lt;&gt;"",G3461,IF(B3461="","",IFERROR(IF(INDEX(pr_rate,MATCH(B3461,pr_code,0))="","",INDEX(pr_rate,MATCH(B3461,pr_code,0))),""))))</f>
        <v/>
      </c>
      <c r="L3461" s="65" t="str">
        <f>IF(COUNTA(A3461:G3461)=0,"",IF(AND(ISNUMBER(D3461),ISNUMBER(J3461)),ROUND(D3461*J3461*(1-N(F3461)),2),0))</f>
        <v/>
      </c>
      <c r="M3461" s="62" t="str">
        <f>IF(A3461="","",IFERROR(INDEX(fa_cname,MATCH(A3461,fa_num,0))&amp;"",""))</f>
        <v/>
      </c>
      <c r="N3461" s="59" t="str">
        <f>IF(COUNTA(A3461:G3461)=0,"",IF(A3461="","N° facture manquant",IF(ISNA(MATCH(A3461,fa_num,0)),"Facture inconnue",IF(AND(B3461&lt;&gt;"",ISNA(MATCH(B3461,pr_code,0))),"Article inconnu",IF(H3461="","Désignation manquante",IF(OR(NOT(ISNUMBER(D3461)),N(D3461)&lt;=0),"Quantité invalide",IF(J3461="","Prix manquant",IF(OR(NOT(ISNUMBER(J3461)),N(J3461)&lt;0),"Prix invalide",IF(OR(AND(F3461&lt;&gt;"",NOT(ISNUMBER(F3461))),N(F3461)&lt;0,N(F3461)&gt;1),"Remise invalide",IF(K3461="","Taux de TVA manquant",IF(NOT(ISNUMBER(K3461)),"Taux de TVA invalide",IF(COUNTIF(p_rates,K3461)=0,"Taux de TVA hors liste (Paramètres)",IF(N(O3461)&gt;25,"Au-delà de 25 lignes : non imprimée","OK")))))))))))))</f>
        <v/>
      </c>
      <c r="O3461" s="59" t="str">
        <f>IF(A3461="","",COUNTIF($A$6:A3461,A3461))</f>
        <v/>
      </c>
      <c r="P3461" s="62" t="str">
        <f>IF(A3461="","",A3461&amp;"|"&amp;O3461)</f>
        <v/>
      </c>
    </row>
    <row r="3462">
      <c r="A3462" s="60" t="n"/>
      <c r="B3462" s="63" t="n"/>
      <c r="C3462" s="63" t="n"/>
      <c r="D3462" s="67" t="n"/>
      <c r="E3462" s="68" t="n"/>
      <c r="F3462" s="69" t="n"/>
      <c r="G3462" s="70" t="n"/>
      <c r="H3462" s="62" t="str">
        <f>IF(COUNTA(A3462:G3462)=0,"",IF(C3462&lt;&gt;"",C3462,IF(B3462="","",IFERROR(INDEX(pr_des,MATCH(B3462,pr_code,0))&amp;"",""))))</f>
        <v/>
      </c>
      <c r="I3462" s="59" t="str">
        <f>IF(B3462="","",IFERROR(INDEX(pr_unit,MATCH(B3462,pr_code,0))&amp;"",""))</f>
        <v/>
      </c>
      <c r="J3462" s="65" t="str">
        <f>IF(COUNTA(A3462:G3462)=0,"",IF(E3462&lt;&gt;"",E3462,IF(B3462="","",IFERROR(IF(INDEX(pr_price,MATCH(B3462,pr_code,0))="","",INDEX(pr_price,MATCH(B3462,pr_code,0))),""))))</f>
        <v/>
      </c>
      <c r="K3462" s="71" t="str">
        <f>IF(COUNTA(A3462:G3462)=0,"",IF(G3462&lt;&gt;"",G3462,IF(B3462="","",IFERROR(IF(INDEX(pr_rate,MATCH(B3462,pr_code,0))="","",INDEX(pr_rate,MATCH(B3462,pr_code,0))),""))))</f>
        <v/>
      </c>
      <c r="L3462" s="65" t="str">
        <f>IF(COUNTA(A3462:G3462)=0,"",IF(AND(ISNUMBER(D3462),ISNUMBER(J3462)),ROUND(D3462*J3462*(1-N(F3462)),2),0))</f>
        <v/>
      </c>
      <c r="M3462" s="62" t="str">
        <f>IF(A3462="","",IFERROR(INDEX(fa_cname,MATCH(A3462,fa_num,0))&amp;"",""))</f>
        <v/>
      </c>
      <c r="N3462" s="59" t="str">
        <f>IF(COUNTA(A3462:G3462)=0,"",IF(A3462="","N° facture manquant",IF(ISNA(MATCH(A3462,fa_num,0)),"Facture inconnue",IF(AND(B3462&lt;&gt;"",ISNA(MATCH(B3462,pr_code,0))),"Article inconnu",IF(H3462="","Désignation manquante",IF(OR(NOT(ISNUMBER(D3462)),N(D3462)&lt;=0),"Quantité invalide",IF(J3462="","Prix manquant",IF(OR(NOT(ISNUMBER(J3462)),N(J3462)&lt;0),"Prix invalide",IF(OR(AND(F3462&lt;&gt;"",NOT(ISNUMBER(F3462))),N(F3462)&lt;0,N(F3462)&gt;1),"Remise invalide",IF(K3462="","Taux de TVA manquant",IF(NOT(ISNUMBER(K3462)),"Taux de TVA invalide",IF(COUNTIF(p_rates,K3462)=0,"Taux de TVA hors liste (Paramètres)",IF(N(O3462)&gt;25,"Au-delà de 25 lignes : non imprimée","OK")))))))))))))</f>
        <v/>
      </c>
      <c r="O3462" s="59" t="str">
        <f>IF(A3462="","",COUNTIF($A$6:A3462,A3462))</f>
        <v/>
      </c>
      <c r="P3462" s="62" t="str">
        <f>IF(A3462="","",A3462&amp;"|"&amp;O3462)</f>
        <v/>
      </c>
    </row>
    <row r="3463">
      <c r="A3463" s="60" t="n"/>
      <c r="B3463" s="63" t="n"/>
      <c r="C3463" s="63" t="n"/>
      <c r="D3463" s="67" t="n"/>
      <c r="E3463" s="68" t="n"/>
      <c r="F3463" s="69" t="n"/>
      <c r="G3463" s="70" t="n"/>
      <c r="H3463" s="62" t="str">
        <f>IF(COUNTA(A3463:G3463)=0,"",IF(C3463&lt;&gt;"",C3463,IF(B3463="","",IFERROR(INDEX(pr_des,MATCH(B3463,pr_code,0))&amp;"",""))))</f>
        <v/>
      </c>
      <c r="I3463" s="59" t="str">
        <f>IF(B3463="","",IFERROR(INDEX(pr_unit,MATCH(B3463,pr_code,0))&amp;"",""))</f>
        <v/>
      </c>
      <c r="J3463" s="65" t="str">
        <f>IF(COUNTA(A3463:G3463)=0,"",IF(E3463&lt;&gt;"",E3463,IF(B3463="","",IFERROR(IF(INDEX(pr_price,MATCH(B3463,pr_code,0))="","",INDEX(pr_price,MATCH(B3463,pr_code,0))),""))))</f>
        <v/>
      </c>
      <c r="K3463" s="71" t="str">
        <f>IF(COUNTA(A3463:G3463)=0,"",IF(G3463&lt;&gt;"",G3463,IF(B3463="","",IFERROR(IF(INDEX(pr_rate,MATCH(B3463,pr_code,0))="","",INDEX(pr_rate,MATCH(B3463,pr_code,0))),""))))</f>
        <v/>
      </c>
      <c r="L3463" s="65" t="str">
        <f>IF(COUNTA(A3463:G3463)=0,"",IF(AND(ISNUMBER(D3463),ISNUMBER(J3463)),ROUND(D3463*J3463*(1-N(F3463)),2),0))</f>
        <v/>
      </c>
      <c r="M3463" s="62" t="str">
        <f>IF(A3463="","",IFERROR(INDEX(fa_cname,MATCH(A3463,fa_num,0))&amp;"",""))</f>
        <v/>
      </c>
      <c r="N3463" s="59" t="str">
        <f>IF(COUNTA(A3463:G3463)=0,"",IF(A3463="","N° facture manquant",IF(ISNA(MATCH(A3463,fa_num,0)),"Facture inconnue",IF(AND(B3463&lt;&gt;"",ISNA(MATCH(B3463,pr_code,0))),"Article inconnu",IF(H3463="","Désignation manquante",IF(OR(NOT(ISNUMBER(D3463)),N(D3463)&lt;=0),"Quantité invalide",IF(J3463="","Prix manquant",IF(OR(NOT(ISNUMBER(J3463)),N(J3463)&lt;0),"Prix invalide",IF(OR(AND(F3463&lt;&gt;"",NOT(ISNUMBER(F3463))),N(F3463)&lt;0,N(F3463)&gt;1),"Remise invalide",IF(K3463="","Taux de TVA manquant",IF(NOT(ISNUMBER(K3463)),"Taux de TVA invalide",IF(COUNTIF(p_rates,K3463)=0,"Taux de TVA hors liste (Paramètres)",IF(N(O3463)&gt;25,"Au-delà de 25 lignes : non imprimée","OK")))))))))))))</f>
        <v/>
      </c>
      <c r="O3463" s="59" t="str">
        <f>IF(A3463="","",COUNTIF($A$6:A3463,A3463))</f>
        <v/>
      </c>
      <c r="P3463" s="62" t="str">
        <f>IF(A3463="","",A3463&amp;"|"&amp;O3463)</f>
        <v/>
      </c>
    </row>
    <row r="3464">
      <c r="A3464" s="60" t="n"/>
      <c r="B3464" s="63" t="n"/>
      <c r="C3464" s="63" t="n"/>
      <c r="D3464" s="67" t="n"/>
      <c r="E3464" s="68" t="n"/>
      <c r="F3464" s="69" t="n"/>
      <c r="G3464" s="70" t="n"/>
      <c r="H3464" s="62" t="str">
        <f>IF(COUNTA(A3464:G3464)=0,"",IF(C3464&lt;&gt;"",C3464,IF(B3464="","",IFERROR(INDEX(pr_des,MATCH(B3464,pr_code,0))&amp;"",""))))</f>
        <v/>
      </c>
      <c r="I3464" s="59" t="str">
        <f>IF(B3464="","",IFERROR(INDEX(pr_unit,MATCH(B3464,pr_code,0))&amp;"",""))</f>
        <v/>
      </c>
      <c r="J3464" s="65" t="str">
        <f>IF(COUNTA(A3464:G3464)=0,"",IF(E3464&lt;&gt;"",E3464,IF(B3464="","",IFERROR(IF(INDEX(pr_price,MATCH(B3464,pr_code,0))="","",INDEX(pr_price,MATCH(B3464,pr_code,0))),""))))</f>
        <v/>
      </c>
      <c r="K3464" s="71" t="str">
        <f>IF(COUNTA(A3464:G3464)=0,"",IF(G3464&lt;&gt;"",G3464,IF(B3464="","",IFERROR(IF(INDEX(pr_rate,MATCH(B3464,pr_code,0))="","",INDEX(pr_rate,MATCH(B3464,pr_code,0))),""))))</f>
        <v/>
      </c>
      <c r="L3464" s="65" t="str">
        <f>IF(COUNTA(A3464:G3464)=0,"",IF(AND(ISNUMBER(D3464),ISNUMBER(J3464)),ROUND(D3464*J3464*(1-N(F3464)),2),0))</f>
        <v/>
      </c>
      <c r="M3464" s="62" t="str">
        <f>IF(A3464="","",IFERROR(INDEX(fa_cname,MATCH(A3464,fa_num,0))&amp;"",""))</f>
        <v/>
      </c>
      <c r="N3464" s="59" t="str">
        <f>IF(COUNTA(A3464:G3464)=0,"",IF(A3464="","N° facture manquant",IF(ISNA(MATCH(A3464,fa_num,0)),"Facture inconnue",IF(AND(B3464&lt;&gt;"",ISNA(MATCH(B3464,pr_code,0))),"Article inconnu",IF(H3464="","Désignation manquante",IF(OR(NOT(ISNUMBER(D3464)),N(D3464)&lt;=0),"Quantité invalide",IF(J3464="","Prix manquant",IF(OR(NOT(ISNUMBER(J3464)),N(J3464)&lt;0),"Prix invalide",IF(OR(AND(F3464&lt;&gt;"",NOT(ISNUMBER(F3464))),N(F3464)&lt;0,N(F3464)&gt;1),"Remise invalide",IF(K3464="","Taux de TVA manquant",IF(NOT(ISNUMBER(K3464)),"Taux de TVA invalide",IF(COUNTIF(p_rates,K3464)=0,"Taux de TVA hors liste (Paramètres)",IF(N(O3464)&gt;25,"Au-delà de 25 lignes : non imprimée","OK")))))))))))))</f>
        <v/>
      </c>
      <c r="O3464" s="59" t="str">
        <f>IF(A3464="","",COUNTIF($A$6:A3464,A3464))</f>
        <v/>
      </c>
      <c r="P3464" s="62" t="str">
        <f>IF(A3464="","",A3464&amp;"|"&amp;O3464)</f>
        <v/>
      </c>
    </row>
    <row r="3465">
      <c r="A3465" s="60" t="n"/>
      <c r="B3465" s="63" t="n"/>
      <c r="C3465" s="63" t="n"/>
      <c r="D3465" s="67" t="n"/>
      <c r="E3465" s="68" t="n"/>
      <c r="F3465" s="69" t="n"/>
      <c r="G3465" s="70" t="n"/>
      <c r="H3465" s="62" t="str">
        <f>IF(COUNTA(A3465:G3465)=0,"",IF(C3465&lt;&gt;"",C3465,IF(B3465="","",IFERROR(INDEX(pr_des,MATCH(B3465,pr_code,0))&amp;"",""))))</f>
        <v/>
      </c>
      <c r="I3465" s="59" t="str">
        <f>IF(B3465="","",IFERROR(INDEX(pr_unit,MATCH(B3465,pr_code,0))&amp;"",""))</f>
        <v/>
      </c>
      <c r="J3465" s="65" t="str">
        <f>IF(COUNTA(A3465:G3465)=0,"",IF(E3465&lt;&gt;"",E3465,IF(B3465="","",IFERROR(IF(INDEX(pr_price,MATCH(B3465,pr_code,0))="","",INDEX(pr_price,MATCH(B3465,pr_code,0))),""))))</f>
        <v/>
      </c>
      <c r="K3465" s="71" t="str">
        <f>IF(COUNTA(A3465:G3465)=0,"",IF(G3465&lt;&gt;"",G3465,IF(B3465="","",IFERROR(IF(INDEX(pr_rate,MATCH(B3465,pr_code,0))="","",INDEX(pr_rate,MATCH(B3465,pr_code,0))),""))))</f>
        <v/>
      </c>
      <c r="L3465" s="65" t="str">
        <f>IF(COUNTA(A3465:G3465)=0,"",IF(AND(ISNUMBER(D3465),ISNUMBER(J3465)),ROUND(D3465*J3465*(1-N(F3465)),2),0))</f>
        <v/>
      </c>
      <c r="M3465" s="62" t="str">
        <f>IF(A3465="","",IFERROR(INDEX(fa_cname,MATCH(A3465,fa_num,0))&amp;"",""))</f>
        <v/>
      </c>
      <c r="N3465" s="59" t="str">
        <f>IF(COUNTA(A3465:G3465)=0,"",IF(A3465="","N° facture manquant",IF(ISNA(MATCH(A3465,fa_num,0)),"Facture inconnue",IF(AND(B3465&lt;&gt;"",ISNA(MATCH(B3465,pr_code,0))),"Article inconnu",IF(H3465="","Désignation manquante",IF(OR(NOT(ISNUMBER(D3465)),N(D3465)&lt;=0),"Quantité invalide",IF(J3465="","Prix manquant",IF(OR(NOT(ISNUMBER(J3465)),N(J3465)&lt;0),"Prix invalide",IF(OR(AND(F3465&lt;&gt;"",NOT(ISNUMBER(F3465))),N(F3465)&lt;0,N(F3465)&gt;1),"Remise invalide",IF(K3465="","Taux de TVA manquant",IF(NOT(ISNUMBER(K3465)),"Taux de TVA invalide",IF(COUNTIF(p_rates,K3465)=0,"Taux de TVA hors liste (Paramètres)",IF(N(O3465)&gt;25,"Au-delà de 25 lignes : non imprimée","OK")))))))))))))</f>
        <v/>
      </c>
      <c r="O3465" s="59" t="str">
        <f>IF(A3465="","",COUNTIF($A$6:A3465,A3465))</f>
        <v/>
      </c>
      <c r="P3465" s="62" t="str">
        <f>IF(A3465="","",A3465&amp;"|"&amp;O3465)</f>
        <v/>
      </c>
    </row>
    <row r="3466">
      <c r="A3466" s="60" t="n"/>
      <c r="B3466" s="63" t="n"/>
      <c r="C3466" s="63" t="n"/>
      <c r="D3466" s="67" t="n"/>
      <c r="E3466" s="68" t="n"/>
      <c r="F3466" s="69" t="n"/>
      <c r="G3466" s="70" t="n"/>
      <c r="H3466" s="62" t="str">
        <f>IF(COUNTA(A3466:G3466)=0,"",IF(C3466&lt;&gt;"",C3466,IF(B3466="","",IFERROR(INDEX(pr_des,MATCH(B3466,pr_code,0))&amp;"",""))))</f>
        <v/>
      </c>
      <c r="I3466" s="59" t="str">
        <f>IF(B3466="","",IFERROR(INDEX(pr_unit,MATCH(B3466,pr_code,0))&amp;"",""))</f>
        <v/>
      </c>
      <c r="J3466" s="65" t="str">
        <f>IF(COUNTA(A3466:G3466)=0,"",IF(E3466&lt;&gt;"",E3466,IF(B3466="","",IFERROR(IF(INDEX(pr_price,MATCH(B3466,pr_code,0))="","",INDEX(pr_price,MATCH(B3466,pr_code,0))),""))))</f>
        <v/>
      </c>
      <c r="K3466" s="71" t="str">
        <f>IF(COUNTA(A3466:G3466)=0,"",IF(G3466&lt;&gt;"",G3466,IF(B3466="","",IFERROR(IF(INDEX(pr_rate,MATCH(B3466,pr_code,0))="","",INDEX(pr_rate,MATCH(B3466,pr_code,0))),""))))</f>
        <v/>
      </c>
      <c r="L3466" s="65" t="str">
        <f>IF(COUNTA(A3466:G3466)=0,"",IF(AND(ISNUMBER(D3466),ISNUMBER(J3466)),ROUND(D3466*J3466*(1-N(F3466)),2),0))</f>
        <v/>
      </c>
      <c r="M3466" s="62" t="str">
        <f>IF(A3466="","",IFERROR(INDEX(fa_cname,MATCH(A3466,fa_num,0))&amp;"",""))</f>
        <v/>
      </c>
      <c r="N3466" s="59" t="str">
        <f>IF(COUNTA(A3466:G3466)=0,"",IF(A3466="","N° facture manquant",IF(ISNA(MATCH(A3466,fa_num,0)),"Facture inconnue",IF(AND(B3466&lt;&gt;"",ISNA(MATCH(B3466,pr_code,0))),"Article inconnu",IF(H3466="","Désignation manquante",IF(OR(NOT(ISNUMBER(D3466)),N(D3466)&lt;=0),"Quantité invalide",IF(J3466="","Prix manquant",IF(OR(NOT(ISNUMBER(J3466)),N(J3466)&lt;0),"Prix invalide",IF(OR(AND(F3466&lt;&gt;"",NOT(ISNUMBER(F3466))),N(F3466)&lt;0,N(F3466)&gt;1),"Remise invalide",IF(K3466="","Taux de TVA manquant",IF(NOT(ISNUMBER(K3466)),"Taux de TVA invalide",IF(COUNTIF(p_rates,K3466)=0,"Taux de TVA hors liste (Paramètres)",IF(N(O3466)&gt;25,"Au-delà de 25 lignes : non imprimée","OK")))))))))))))</f>
        <v/>
      </c>
      <c r="O3466" s="59" t="str">
        <f>IF(A3466="","",COUNTIF($A$6:A3466,A3466))</f>
        <v/>
      </c>
      <c r="P3466" s="62" t="str">
        <f>IF(A3466="","",A3466&amp;"|"&amp;O3466)</f>
        <v/>
      </c>
    </row>
    <row r="3467">
      <c r="A3467" s="60" t="n"/>
      <c r="B3467" s="63" t="n"/>
      <c r="C3467" s="63" t="n"/>
      <c r="D3467" s="67" t="n"/>
      <c r="E3467" s="68" t="n"/>
      <c r="F3467" s="69" t="n"/>
      <c r="G3467" s="70" t="n"/>
      <c r="H3467" s="62" t="str">
        <f>IF(COUNTA(A3467:G3467)=0,"",IF(C3467&lt;&gt;"",C3467,IF(B3467="","",IFERROR(INDEX(pr_des,MATCH(B3467,pr_code,0))&amp;"",""))))</f>
        <v/>
      </c>
      <c r="I3467" s="59" t="str">
        <f>IF(B3467="","",IFERROR(INDEX(pr_unit,MATCH(B3467,pr_code,0))&amp;"",""))</f>
        <v/>
      </c>
      <c r="J3467" s="65" t="str">
        <f>IF(COUNTA(A3467:G3467)=0,"",IF(E3467&lt;&gt;"",E3467,IF(B3467="","",IFERROR(IF(INDEX(pr_price,MATCH(B3467,pr_code,0))="","",INDEX(pr_price,MATCH(B3467,pr_code,0))),""))))</f>
        <v/>
      </c>
      <c r="K3467" s="71" t="str">
        <f>IF(COUNTA(A3467:G3467)=0,"",IF(G3467&lt;&gt;"",G3467,IF(B3467="","",IFERROR(IF(INDEX(pr_rate,MATCH(B3467,pr_code,0))="","",INDEX(pr_rate,MATCH(B3467,pr_code,0))),""))))</f>
        <v/>
      </c>
      <c r="L3467" s="65" t="str">
        <f>IF(COUNTA(A3467:G3467)=0,"",IF(AND(ISNUMBER(D3467),ISNUMBER(J3467)),ROUND(D3467*J3467*(1-N(F3467)),2),0))</f>
        <v/>
      </c>
      <c r="M3467" s="62" t="str">
        <f>IF(A3467="","",IFERROR(INDEX(fa_cname,MATCH(A3467,fa_num,0))&amp;"",""))</f>
        <v/>
      </c>
      <c r="N3467" s="59" t="str">
        <f>IF(COUNTA(A3467:G3467)=0,"",IF(A3467="","N° facture manquant",IF(ISNA(MATCH(A3467,fa_num,0)),"Facture inconnue",IF(AND(B3467&lt;&gt;"",ISNA(MATCH(B3467,pr_code,0))),"Article inconnu",IF(H3467="","Désignation manquante",IF(OR(NOT(ISNUMBER(D3467)),N(D3467)&lt;=0),"Quantité invalide",IF(J3467="","Prix manquant",IF(OR(NOT(ISNUMBER(J3467)),N(J3467)&lt;0),"Prix invalide",IF(OR(AND(F3467&lt;&gt;"",NOT(ISNUMBER(F3467))),N(F3467)&lt;0,N(F3467)&gt;1),"Remise invalide",IF(K3467="","Taux de TVA manquant",IF(NOT(ISNUMBER(K3467)),"Taux de TVA invalide",IF(COUNTIF(p_rates,K3467)=0,"Taux de TVA hors liste (Paramètres)",IF(N(O3467)&gt;25,"Au-delà de 25 lignes : non imprimée","OK")))))))))))))</f>
        <v/>
      </c>
      <c r="O3467" s="59" t="str">
        <f>IF(A3467="","",COUNTIF($A$6:A3467,A3467))</f>
        <v/>
      </c>
      <c r="P3467" s="62" t="str">
        <f>IF(A3467="","",A3467&amp;"|"&amp;O3467)</f>
        <v/>
      </c>
    </row>
    <row r="3468">
      <c r="A3468" s="60" t="n"/>
      <c r="B3468" s="63" t="n"/>
      <c r="C3468" s="63" t="n"/>
      <c r="D3468" s="67" t="n"/>
      <c r="E3468" s="68" t="n"/>
      <c r="F3468" s="69" t="n"/>
      <c r="G3468" s="70" t="n"/>
      <c r="H3468" s="62" t="str">
        <f>IF(COUNTA(A3468:G3468)=0,"",IF(C3468&lt;&gt;"",C3468,IF(B3468="","",IFERROR(INDEX(pr_des,MATCH(B3468,pr_code,0))&amp;"",""))))</f>
        <v/>
      </c>
      <c r="I3468" s="59" t="str">
        <f>IF(B3468="","",IFERROR(INDEX(pr_unit,MATCH(B3468,pr_code,0))&amp;"",""))</f>
        <v/>
      </c>
      <c r="J3468" s="65" t="str">
        <f>IF(COUNTA(A3468:G3468)=0,"",IF(E3468&lt;&gt;"",E3468,IF(B3468="","",IFERROR(IF(INDEX(pr_price,MATCH(B3468,pr_code,0))="","",INDEX(pr_price,MATCH(B3468,pr_code,0))),""))))</f>
        <v/>
      </c>
      <c r="K3468" s="71" t="str">
        <f>IF(COUNTA(A3468:G3468)=0,"",IF(G3468&lt;&gt;"",G3468,IF(B3468="","",IFERROR(IF(INDEX(pr_rate,MATCH(B3468,pr_code,0))="","",INDEX(pr_rate,MATCH(B3468,pr_code,0))),""))))</f>
        <v/>
      </c>
      <c r="L3468" s="65" t="str">
        <f>IF(COUNTA(A3468:G3468)=0,"",IF(AND(ISNUMBER(D3468),ISNUMBER(J3468)),ROUND(D3468*J3468*(1-N(F3468)),2),0))</f>
        <v/>
      </c>
      <c r="M3468" s="62" t="str">
        <f>IF(A3468="","",IFERROR(INDEX(fa_cname,MATCH(A3468,fa_num,0))&amp;"",""))</f>
        <v/>
      </c>
      <c r="N3468" s="59" t="str">
        <f>IF(COUNTA(A3468:G3468)=0,"",IF(A3468="","N° facture manquant",IF(ISNA(MATCH(A3468,fa_num,0)),"Facture inconnue",IF(AND(B3468&lt;&gt;"",ISNA(MATCH(B3468,pr_code,0))),"Article inconnu",IF(H3468="","Désignation manquante",IF(OR(NOT(ISNUMBER(D3468)),N(D3468)&lt;=0),"Quantité invalide",IF(J3468="","Prix manquant",IF(OR(NOT(ISNUMBER(J3468)),N(J3468)&lt;0),"Prix invalide",IF(OR(AND(F3468&lt;&gt;"",NOT(ISNUMBER(F3468))),N(F3468)&lt;0,N(F3468)&gt;1),"Remise invalide",IF(K3468="","Taux de TVA manquant",IF(NOT(ISNUMBER(K3468)),"Taux de TVA invalide",IF(COUNTIF(p_rates,K3468)=0,"Taux de TVA hors liste (Paramètres)",IF(N(O3468)&gt;25,"Au-delà de 25 lignes : non imprimée","OK")))))))))))))</f>
        <v/>
      </c>
      <c r="O3468" s="59" t="str">
        <f>IF(A3468="","",COUNTIF($A$6:A3468,A3468))</f>
        <v/>
      </c>
      <c r="P3468" s="62" t="str">
        <f>IF(A3468="","",A3468&amp;"|"&amp;O3468)</f>
        <v/>
      </c>
    </row>
    <row r="3469">
      <c r="A3469" s="60" t="n"/>
      <c r="B3469" s="63" t="n"/>
      <c r="C3469" s="63" t="n"/>
      <c r="D3469" s="67" t="n"/>
      <c r="E3469" s="68" t="n"/>
      <c r="F3469" s="69" t="n"/>
      <c r="G3469" s="70" t="n"/>
      <c r="H3469" s="62" t="str">
        <f>IF(COUNTA(A3469:G3469)=0,"",IF(C3469&lt;&gt;"",C3469,IF(B3469="","",IFERROR(INDEX(pr_des,MATCH(B3469,pr_code,0))&amp;"",""))))</f>
        <v/>
      </c>
      <c r="I3469" s="59" t="str">
        <f>IF(B3469="","",IFERROR(INDEX(pr_unit,MATCH(B3469,pr_code,0))&amp;"",""))</f>
        <v/>
      </c>
      <c r="J3469" s="65" t="str">
        <f>IF(COUNTA(A3469:G3469)=0,"",IF(E3469&lt;&gt;"",E3469,IF(B3469="","",IFERROR(IF(INDEX(pr_price,MATCH(B3469,pr_code,0))="","",INDEX(pr_price,MATCH(B3469,pr_code,0))),""))))</f>
        <v/>
      </c>
      <c r="K3469" s="71" t="str">
        <f>IF(COUNTA(A3469:G3469)=0,"",IF(G3469&lt;&gt;"",G3469,IF(B3469="","",IFERROR(IF(INDEX(pr_rate,MATCH(B3469,pr_code,0))="","",INDEX(pr_rate,MATCH(B3469,pr_code,0))),""))))</f>
        <v/>
      </c>
      <c r="L3469" s="65" t="str">
        <f>IF(COUNTA(A3469:G3469)=0,"",IF(AND(ISNUMBER(D3469),ISNUMBER(J3469)),ROUND(D3469*J3469*(1-N(F3469)),2),0))</f>
        <v/>
      </c>
      <c r="M3469" s="62" t="str">
        <f>IF(A3469="","",IFERROR(INDEX(fa_cname,MATCH(A3469,fa_num,0))&amp;"",""))</f>
        <v/>
      </c>
      <c r="N3469" s="59" t="str">
        <f>IF(COUNTA(A3469:G3469)=0,"",IF(A3469="","N° facture manquant",IF(ISNA(MATCH(A3469,fa_num,0)),"Facture inconnue",IF(AND(B3469&lt;&gt;"",ISNA(MATCH(B3469,pr_code,0))),"Article inconnu",IF(H3469="","Désignation manquante",IF(OR(NOT(ISNUMBER(D3469)),N(D3469)&lt;=0),"Quantité invalide",IF(J3469="","Prix manquant",IF(OR(NOT(ISNUMBER(J3469)),N(J3469)&lt;0),"Prix invalide",IF(OR(AND(F3469&lt;&gt;"",NOT(ISNUMBER(F3469))),N(F3469)&lt;0,N(F3469)&gt;1),"Remise invalide",IF(K3469="","Taux de TVA manquant",IF(NOT(ISNUMBER(K3469)),"Taux de TVA invalide",IF(COUNTIF(p_rates,K3469)=0,"Taux de TVA hors liste (Paramètres)",IF(N(O3469)&gt;25,"Au-delà de 25 lignes : non imprimée","OK")))))))))))))</f>
        <v/>
      </c>
      <c r="O3469" s="59" t="str">
        <f>IF(A3469="","",COUNTIF($A$6:A3469,A3469))</f>
        <v/>
      </c>
      <c r="P3469" s="62" t="str">
        <f>IF(A3469="","",A3469&amp;"|"&amp;O3469)</f>
        <v/>
      </c>
    </row>
    <row r="3470">
      <c r="A3470" s="60" t="n"/>
      <c r="B3470" s="63" t="n"/>
      <c r="C3470" s="63" t="n"/>
      <c r="D3470" s="67" t="n"/>
      <c r="E3470" s="68" t="n"/>
      <c r="F3470" s="69" t="n"/>
      <c r="G3470" s="70" t="n"/>
      <c r="H3470" s="62" t="str">
        <f>IF(COUNTA(A3470:G3470)=0,"",IF(C3470&lt;&gt;"",C3470,IF(B3470="","",IFERROR(INDEX(pr_des,MATCH(B3470,pr_code,0))&amp;"",""))))</f>
        <v/>
      </c>
      <c r="I3470" s="59" t="str">
        <f>IF(B3470="","",IFERROR(INDEX(pr_unit,MATCH(B3470,pr_code,0))&amp;"",""))</f>
        <v/>
      </c>
      <c r="J3470" s="65" t="str">
        <f>IF(COUNTA(A3470:G3470)=0,"",IF(E3470&lt;&gt;"",E3470,IF(B3470="","",IFERROR(IF(INDEX(pr_price,MATCH(B3470,pr_code,0))="","",INDEX(pr_price,MATCH(B3470,pr_code,0))),""))))</f>
        <v/>
      </c>
      <c r="K3470" s="71" t="str">
        <f>IF(COUNTA(A3470:G3470)=0,"",IF(G3470&lt;&gt;"",G3470,IF(B3470="","",IFERROR(IF(INDEX(pr_rate,MATCH(B3470,pr_code,0))="","",INDEX(pr_rate,MATCH(B3470,pr_code,0))),""))))</f>
        <v/>
      </c>
      <c r="L3470" s="65" t="str">
        <f>IF(COUNTA(A3470:G3470)=0,"",IF(AND(ISNUMBER(D3470),ISNUMBER(J3470)),ROUND(D3470*J3470*(1-N(F3470)),2),0))</f>
        <v/>
      </c>
      <c r="M3470" s="62" t="str">
        <f>IF(A3470="","",IFERROR(INDEX(fa_cname,MATCH(A3470,fa_num,0))&amp;"",""))</f>
        <v/>
      </c>
      <c r="N3470" s="59" t="str">
        <f>IF(COUNTA(A3470:G3470)=0,"",IF(A3470="","N° facture manquant",IF(ISNA(MATCH(A3470,fa_num,0)),"Facture inconnue",IF(AND(B3470&lt;&gt;"",ISNA(MATCH(B3470,pr_code,0))),"Article inconnu",IF(H3470="","Désignation manquante",IF(OR(NOT(ISNUMBER(D3470)),N(D3470)&lt;=0),"Quantité invalide",IF(J3470="","Prix manquant",IF(OR(NOT(ISNUMBER(J3470)),N(J3470)&lt;0),"Prix invalide",IF(OR(AND(F3470&lt;&gt;"",NOT(ISNUMBER(F3470))),N(F3470)&lt;0,N(F3470)&gt;1),"Remise invalide",IF(K3470="","Taux de TVA manquant",IF(NOT(ISNUMBER(K3470)),"Taux de TVA invalide",IF(COUNTIF(p_rates,K3470)=0,"Taux de TVA hors liste (Paramètres)",IF(N(O3470)&gt;25,"Au-delà de 25 lignes : non imprimée","OK")))))))))))))</f>
        <v/>
      </c>
      <c r="O3470" s="59" t="str">
        <f>IF(A3470="","",COUNTIF($A$6:A3470,A3470))</f>
        <v/>
      </c>
      <c r="P3470" s="62" t="str">
        <f>IF(A3470="","",A3470&amp;"|"&amp;O3470)</f>
        <v/>
      </c>
    </row>
    <row r="3471">
      <c r="A3471" s="60" t="n"/>
      <c r="B3471" s="63" t="n"/>
      <c r="C3471" s="63" t="n"/>
      <c r="D3471" s="67" t="n"/>
      <c r="E3471" s="68" t="n"/>
      <c r="F3471" s="69" t="n"/>
      <c r="G3471" s="70" t="n"/>
      <c r="H3471" s="62" t="str">
        <f>IF(COUNTA(A3471:G3471)=0,"",IF(C3471&lt;&gt;"",C3471,IF(B3471="","",IFERROR(INDEX(pr_des,MATCH(B3471,pr_code,0))&amp;"",""))))</f>
        <v/>
      </c>
      <c r="I3471" s="59" t="str">
        <f>IF(B3471="","",IFERROR(INDEX(pr_unit,MATCH(B3471,pr_code,0))&amp;"",""))</f>
        <v/>
      </c>
      <c r="J3471" s="65" t="str">
        <f>IF(COUNTA(A3471:G3471)=0,"",IF(E3471&lt;&gt;"",E3471,IF(B3471="","",IFERROR(IF(INDEX(pr_price,MATCH(B3471,pr_code,0))="","",INDEX(pr_price,MATCH(B3471,pr_code,0))),""))))</f>
        <v/>
      </c>
      <c r="K3471" s="71" t="str">
        <f>IF(COUNTA(A3471:G3471)=0,"",IF(G3471&lt;&gt;"",G3471,IF(B3471="","",IFERROR(IF(INDEX(pr_rate,MATCH(B3471,pr_code,0))="","",INDEX(pr_rate,MATCH(B3471,pr_code,0))),""))))</f>
        <v/>
      </c>
      <c r="L3471" s="65" t="str">
        <f>IF(COUNTA(A3471:G3471)=0,"",IF(AND(ISNUMBER(D3471),ISNUMBER(J3471)),ROUND(D3471*J3471*(1-N(F3471)),2),0))</f>
        <v/>
      </c>
      <c r="M3471" s="62" t="str">
        <f>IF(A3471="","",IFERROR(INDEX(fa_cname,MATCH(A3471,fa_num,0))&amp;"",""))</f>
        <v/>
      </c>
      <c r="N3471" s="59" t="str">
        <f>IF(COUNTA(A3471:G3471)=0,"",IF(A3471="","N° facture manquant",IF(ISNA(MATCH(A3471,fa_num,0)),"Facture inconnue",IF(AND(B3471&lt;&gt;"",ISNA(MATCH(B3471,pr_code,0))),"Article inconnu",IF(H3471="","Désignation manquante",IF(OR(NOT(ISNUMBER(D3471)),N(D3471)&lt;=0),"Quantité invalide",IF(J3471="","Prix manquant",IF(OR(NOT(ISNUMBER(J3471)),N(J3471)&lt;0),"Prix invalide",IF(OR(AND(F3471&lt;&gt;"",NOT(ISNUMBER(F3471))),N(F3471)&lt;0,N(F3471)&gt;1),"Remise invalide",IF(K3471="","Taux de TVA manquant",IF(NOT(ISNUMBER(K3471)),"Taux de TVA invalide",IF(COUNTIF(p_rates,K3471)=0,"Taux de TVA hors liste (Paramètres)",IF(N(O3471)&gt;25,"Au-delà de 25 lignes : non imprimée","OK")))))))))))))</f>
        <v/>
      </c>
      <c r="O3471" s="59" t="str">
        <f>IF(A3471="","",COUNTIF($A$6:A3471,A3471))</f>
        <v/>
      </c>
      <c r="P3471" s="62" t="str">
        <f>IF(A3471="","",A3471&amp;"|"&amp;O3471)</f>
        <v/>
      </c>
    </row>
    <row r="3472">
      <c r="A3472" s="60" t="n"/>
      <c r="B3472" s="63" t="n"/>
      <c r="C3472" s="63" t="n"/>
      <c r="D3472" s="67" t="n"/>
      <c r="E3472" s="68" t="n"/>
      <c r="F3472" s="69" t="n"/>
      <c r="G3472" s="70" t="n"/>
      <c r="H3472" s="62" t="str">
        <f>IF(COUNTA(A3472:G3472)=0,"",IF(C3472&lt;&gt;"",C3472,IF(B3472="","",IFERROR(INDEX(pr_des,MATCH(B3472,pr_code,0))&amp;"",""))))</f>
        <v/>
      </c>
      <c r="I3472" s="59" t="str">
        <f>IF(B3472="","",IFERROR(INDEX(pr_unit,MATCH(B3472,pr_code,0))&amp;"",""))</f>
        <v/>
      </c>
      <c r="J3472" s="65" t="str">
        <f>IF(COUNTA(A3472:G3472)=0,"",IF(E3472&lt;&gt;"",E3472,IF(B3472="","",IFERROR(IF(INDEX(pr_price,MATCH(B3472,pr_code,0))="","",INDEX(pr_price,MATCH(B3472,pr_code,0))),""))))</f>
        <v/>
      </c>
      <c r="K3472" s="71" t="str">
        <f>IF(COUNTA(A3472:G3472)=0,"",IF(G3472&lt;&gt;"",G3472,IF(B3472="","",IFERROR(IF(INDEX(pr_rate,MATCH(B3472,pr_code,0))="","",INDEX(pr_rate,MATCH(B3472,pr_code,0))),""))))</f>
        <v/>
      </c>
      <c r="L3472" s="65" t="str">
        <f>IF(COUNTA(A3472:G3472)=0,"",IF(AND(ISNUMBER(D3472),ISNUMBER(J3472)),ROUND(D3472*J3472*(1-N(F3472)),2),0))</f>
        <v/>
      </c>
      <c r="M3472" s="62" t="str">
        <f>IF(A3472="","",IFERROR(INDEX(fa_cname,MATCH(A3472,fa_num,0))&amp;"",""))</f>
        <v/>
      </c>
      <c r="N3472" s="59" t="str">
        <f>IF(COUNTA(A3472:G3472)=0,"",IF(A3472="","N° facture manquant",IF(ISNA(MATCH(A3472,fa_num,0)),"Facture inconnue",IF(AND(B3472&lt;&gt;"",ISNA(MATCH(B3472,pr_code,0))),"Article inconnu",IF(H3472="","Désignation manquante",IF(OR(NOT(ISNUMBER(D3472)),N(D3472)&lt;=0),"Quantité invalide",IF(J3472="","Prix manquant",IF(OR(NOT(ISNUMBER(J3472)),N(J3472)&lt;0),"Prix invalide",IF(OR(AND(F3472&lt;&gt;"",NOT(ISNUMBER(F3472))),N(F3472)&lt;0,N(F3472)&gt;1),"Remise invalide",IF(K3472="","Taux de TVA manquant",IF(NOT(ISNUMBER(K3472)),"Taux de TVA invalide",IF(COUNTIF(p_rates,K3472)=0,"Taux de TVA hors liste (Paramètres)",IF(N(O3472)&gt;25,"Au-delà de 25 lignes : non imprimée","OK")))))))))))))</f>
        <v/>
      </c>
      <c r="O3472" s="59" t="str">
        <f>IF(A3472="","",COUNTIF($A$6:A3472,A3472))</f>
        <v/>
      </c>
      <c r="P3472" s="62" t="str">
        <f>IF(A3472="","",A3472&amp;"|"&amp;O3472)</f>
        <v/>
      </c>
    </row>
    <row r="3473">
      <c r="A3473" s="60" t="n"/>
      <c r="B3473" s="63" t="n"/>
      <c r="C3473" s="63" t="n"/>
      <c r="D3473" s="67" t="n"/>
      <c r="E3473" s="68" t="n"/>
      <c r="F3473" s="69" t="n"/>
      <c r="G3473" s="70" t="n"/>
      <c r="H3473" s="62" t="str">
        <f>IF(COUNTA(A3473:G3473)=0,"",IF(C3473&lt;&gt;"",C3473,IF(B3473="","",IFERROR(INDEX(pr_des,MATCH(B3473,pr_code,0))&amp;"",""))))</f>
        <v/>
      </c>
      <c r="I3473" s="59" t="str">
        <f>IF(B3473="","",IFERROR(INDEX(pr_unit,MATCH(B3473,pr_code,0))&amp;"",""))</f>
        <v/>
      </c>
      <c r="J3473" s="65" t="str">
        <f>IF(COUNTA(A3473:G3473)=0,"",IF(E3473&lt;&gt;"",E3473,IF(B3473="","",IFERROR(IF(INDEX(pr_price,MATCH(B3473,pr_code,0))="","",INDEX(pr_price,MATCH(B3473,pr_code,0))),""))))</f>
        <v/>
      </c>
      <c r="K3473" s="71" t="str">
        <f>IF(COUNTA(A3473:G3473)=0,"",IF(G3473&lt;&gt;"",G3473,IF(B3473="","",IFERROR(IF(INDEX(pr_rate,MATCH(B3473,pr_code,0))="","",INDEX(pr_rate,MATCH(B3473,pr_code,0))),""))))</f>
        <v/>
      </c>
      <c r="L3473" s="65" t="str">
        <f>IF(COUNTA(A3473:G3473)=0,"",IF(AND(ISNUMBER(D3473),ISNUMBER(J3473)),ROUND(D3473*J3473*(1-N(F3473)),2),0))</f>
        <v/>
      </c>
      <c r="M3473" s="62" t="str">
        <f>IF(A3473="","",IFERROR(INDEX(fa_cname,MATCH(A3473,fa_num,0))&amp;"",""))</f>
        <v/>
      </c>
      <c r="N3473" s="59" t="str">
        <f>IF(COUNTA(A3473:G3473)=0,"",IF(A3473="","N° facture manquant",IF(ISNA(MATCH(A3473,fa_num,0)),"Facture inconnue",IF(AND(B3473&lt;&gt;"",ISNA(MATCH(B3473,pr_code,0))),"Article inconnu",IF(H3473="","Désignation manquante",IF(OR(NOT(ISNUMBER(D3473)),N(D3473)&lt;=0),"Quantité invalide",IF(J3473="","Prix manquant",IF(OR(NOT(ISNUMBER(J3473)),N(J3473)&lt;0),"Prix invalide",IF(OR(AND(F3473&lt;&gt;"",NOT(ISNUMBER(F3473))),N(F3473)&lt;0,N(F3473)&gt;1),"Remise invalide",IF(K3473="","Taux de TVA manquant",IF(NOT(ISNUMBER(K3473)),"Taux de TVA invalide",IF(COUNTIF(p_rates,K3473)=0,"Taux de TVA hors liste (Paramètres)",IF(N(O3473)&gt;25,"Au-delà de 25 lignes : non imprimée","OK")))))))))))))</f>
        <v/>
      </c>
      <c r="O3473" s="59" t="str">
        <f>IF(A3473="","",COUNTIF($A$6:A3473,A3473))</f>
        <v/>
      </c>
      <c r="P3473" s="62" t="str">
        <f>IF(A3473="","",A3473&amp;"|"&amp;O3473)</f>
        <v/>
      </c>
    </row>
    <row r="3474">
      <c r="A3474" s="60" t="n"/>
      <c r="B3474" s="63" t="n"/>
      <c r="C3474" s="63" t="n"/>
      <c r="D3474" s="67" t="n"/>
      <c r="E3474" s="68" t="n"/>
      <c r="F3474" s="69" t="n"/>
      <c r="G3474" s="70" t="n"/>
      <c r="H3474" s="62" t="str">
        <f>IF(COUNTA(A3474:G3474)=0,"",IF(C3474&lt;&gt;"",C3474,IF(B3474="","",IFERROR(INDEX(pr_des,MATCH(B3474,pr_code,0))&amp;"",""))))</f>
        <v/>
      </c>
      <c r="I3474" s="59" t="str">
        <f>IF(B3474="","",IFERROR(INDEX(pr_unit,MATCH(B3474,pr_code,0))&amp;"",""))</f>
        <v/>
      </c>
      <c r="J3474" s="65" t="str">
        <f>IF(COUNTA(A3474:G3474)=0,"",IF(E3474&lt;&gt;"",E3474,IF(B3474="","",IFERROR(IF(INDEX(pr_price,MATCH(B3474,pr_code,0))="","",INDEX(pr_price,MATCH(B3474,pr_code,0))),""))))</f>
        <v/>
      </c>
      <c r="K3474" s="71" t="str">
        <f>IF(COUNTA(A3474:G3474)=0,"",IF(G3474&lt;&gt;"",G3474,IF(B3474="","",IFERROR(IF(INDEX(pr_rate,MATCH(B3474,pr_code,0))="","",INDEX(pr_rate,MATCH(B3474,pr_code,0))),""))))</f>
        <v/>
      </c>
      <c r="L3474" s="65" t="str">
        <f>IF(COUNTA(A3474:G3474)=0,"",IF(AND(ISNUMBER(D3474),ISNUMBER(J3474)),ROUND(D3474*J3474*(1-N(F3474)),2),0))</f>
        <v/>
      </c>
      <c r="M3474" s="62" t="str">
        <f>IF(A3474="","",IFERROR(INDEX(fa_cname,MATCH(A3474,fa_num,0))&amp;"",""))</f>
        <v/>
      </c>
      <c r="N3474" s="59" t="str">
        <f>IF(COUNTA(A3474:G3474)=0,"",IF(A3474="","N° facture manquant",IF(ISNA(MATCH(A3474,fa_num,0)),"Facture inconnue",IF(AND(B3474&lt;&gt;"",ISNA(MATCH(B3474,pr_code,0))),"Article inconnu",IF(H3474="","Désignation manquante",IF(OR(NOT(ISNUMBER(D3474)),N(D3474)&lt;=0),"Quantité invalide",IF(J3474="","Prix manquant",IF(OR(NOT(ISNUMBER(J3474)),N(J3474)&lt;0),"Prix invalide",IF(OR(AND(F3474&lt;&gt;"",NOT(ISNUMBER(F3474))),N(F3474)&lt;0,N(F3474)&gt;1),"Remise invalide",IF(K3474="","Taux de TVA manquant",IF(NOT(ISNUMBER(K3474)),"Taux de TVA invalide",IF(COUNTIF(p_rates,K3474)=0,"Taux de TVA hors liste (Paramètres)",IF(N(O3474)&gt;25,"Au-delà de 25 lignes : non imprimée","OK")))))))))))))</f>
        <v/>
      </c>
      <c r="O3474" s="59" t="str">
        <f>IF(A3474="","",COUNTIF($A$6:A3474,A3474))</f>
        <v/>
      </c>
      <c r="P3474" s="62" t="str">
        <f>IF(A3474="","",A3474&amp;"|"&amp;O3474)</f>
        <v/>
      </c>
    </row>
    <row r="3475">
      <c r="A3475" s="60" t="n"/>
      <c r="B3475" s="63" t="n"/>
      <c r="C3475" s="63" t="n"/>
      <c r="D3475" s="67" t="n"/>
      <c r="E3475" s="68" t="n"/>
      <c r="F3475" s="69" t="n"/>
      <c r="G3475" s="70" t="n"/>
      <c r="H3475" s="62" t="str">
        <f>IF(COUNTA(A3475:G3475)=0,"",IF(C3475&lt;&gt;"",C3475,IF(B3475="","",IFERROR(INDEX(pr_des,MATCH(B3475,pr_code,0))&amp;"",""))))</f>
        <v/>
      </c>
      <c r="I3475" s="59" t="str">
        <f>IF(B3475="","",IFERROR(INDEX(pr_unit,MATCH(B3475,pr_code,0))&amp;"",""))</f>
        <v/>
      </c>
      <c r="J3475" s="65" t="str">
        <f>IF(COUNTA(A3475:G3475)=0,"",IF(E3475&lt;&gt;"",E3475,IF(B3475="","",IFERROR(IF(INDEX(pr_price,MATCH(B3475,pr_code,0))="","",INDEX(pr_price,MATCH(B3475,pr_code,0))),""))))</f>
        <v/>
      </c>
      <c r="K3475" s="71" t="str">
        <f>IF(COUNTA(A3475:G3475)=0,"",IF(G3475&lt;&gt;"",G3475,IF(B3475="","",IFERROR(IF(INDEX(pr_rate,MATCH(B3475,pr_code,0))="","",INDEX(pr_rate,MATCH(B3475,pr_code,0))),""))))</f>
        <v/>
      </c>
      <c r="L3475" s="65" t="str">
        <f>IF(COUNTA(A3475:G3475)=0,"",IF(AND(ISNUMBER(D3475),ISNUMBER(J3475)),ROUND(D3475*J3475*(1-N(F3475)),2),0))</f>
        <v/>
      </c>
      <c r="M3475" s="62" t="str">
        <f>IF(A3475="","",IFERROR(INDEX(fa_cname,MATCH(A3475,fa_num,0))&amp;"",""))</f>
        <v/>
      </c>
      <c r="N3475" s="59" t="str">
        <f>IF(COUNTA(A3475:G3475)=0,"",IF(A3475="","N° facture manquant",IF(ISNA(MATCH(A3475,fa_num,0)),"Facture inconnue",IF(AND(B3475&lt;&gt;"",ISNA(MATCH(B3475,pr_code,0))),"Article inconnu",IF(H3475="","Désignation manquante",IF(OR(NOT(ISNUMBER(D3475)),N(D3475)&lt;=0),"Quantité invalide",IF(J3475="","Prix manquant",IF(OR(NOT(ISNUMBER(J3475)),N(J3475)&lt;0),"Prix invalide",IF(OR(AND(F3475&lt;&gt;"",NOT(ISNUMBER(F3475))),N(F3475)&lt;0,N(F3475)&gt;1),"Remise invalide",IF(K3475="","Taux de TVA manquant",IF(NOT(ISNUMBER(K3475)),"Taux de TVA invalide",IF(COUNTIF(p_rates,K3475)=0,"Taux de TVA hors liste (Paramètres)",IF(N(O3475)&gt;25,"Au-delà de 25 lignes : non imprimée","OK")))))))))))))</f>
        <v/>
      </c>
      <c r="O3475" s="59" t="str">
        <f>IF(A3475="","",COUNTIF($A$6:A3475,A3475))</f>
        <v/>
      </c>
      <c r="P3475" s="62" t="str">
        <f>IF(A3475="","",A3475&amp;"|"&amp;O3475)</f>
        <v/>
      </c>
    </row>
    <row r="3476">
      <c r="A3476" s="60" t="n"/>
      <c r="B3476" s="63" t="n"/>
      <c r="C3476" s="63" t="n"/>
      <c r="D3476" s="67" t="n"/>
      <c r="E3476" s="68" t="n"/>
      <c r="F3476" s="69" t="n"/>
      <c r="G3476" s="70" t="n"/>
      <c r="H3476" s="62" t="str">
        <f>IF(COUNTA(A3476:G3476)=0,"",IF(C3476&lt;&gt;"",C3476,IF(B3476="","",IFERROR(INDEX(pr_des,MATCH(B3476,pr_code,0))&amp;"",""))))</f>
        <v/>
      </c>
      <c r="I3476" s="59" t="str">
        <f>IF(B3476="","",IFERROR(INDEX(pr_unit,MATCH(B3476,pr_code,0))&amp;"",""))</f>
        <v/>
      </c>
      <c r="J3476" s="65" t="str">
        <f>IF(COUNTA(A3476:G3476)=0,"",IF(E3476&lt;&gt;"",E3476,IF(B3476="","",IFERROR(IF(INDEX(pr_price,MATCH(B3476,pr_code,0))="","",INDEX(pr_price,MATCH(B3476,pr_code,0))),""))))</f>
        <v/>
      </c>
      <c r="K3476" s="71" t="str">
        <f>IF(COUNTA(A3476:G3476)=0,"",IF(G3476&lt;&gt;"",G3476,IF(B3476="","",IFERROR(IF(INDEX(pr_rate,MATCH(B3476,pr_code,0))="","",INDEX(pr_rate,MATCH(B3476,pr_code,0))),""))))</f>
        <v/>
      </c>
      <c r="L3476" s="65" t="str">
        <f>IF(COUNTA(A3476:G3476)=0,"",IF(AND(ISNUMBER(D3476),ISNUMBER(J3476)),ROUND(D3476*J3476*(1-N(F3476)),2),0))</f>
        <v/>
      </c>
      <c r="M3476" s="62" t="str">
        <f>IF(A3476="","",IFERROR(INDEX(fa_cname,MATCH(A3476,fa_num,0))&amp;"",""))</f>
        <v/>
      </c>
      <c r="N3476" s="59" t="str">
        <f>IF(COUNTA(A3476:G3476)=0,"",IF(A3476="","N° facture manquant",IF(ISNA(MATCH(A3476,fa_num,0)),"Facture inconnue",IF(AND(B3476&lt;&gt;"",ISNA(MATCH(B3476,pr_code,0))),"Article inconnu",IF(H3476="","Désignation manquante",IF(OR(NOT(ISNUMBER(D3476)),N(D3476)&lt;=0),"Quantité invalide",IF(J3476="","Prix manquant",IF(OR(NOT(ISNUMBER(J3476)),N(J3476)&lt;0),"Prix invalide",IF(OR(AND(F3476&lt;&gt;"",NOT(ISNUMBER(F3476))),N(F3476)&lt;0,N(F3476)&gt;1),"Remise invalide",IF(K3476="","Taux de TVA manquant",IF(NOT(ISNUMBER(K3476)),"Taux de TVA invalide",IF(COUNTIF(p_rates,K3476)=0,"Taux de TVA hors liste (Paramètres)",IF(N(O3476)&gt;25,"Au-delà de 25 lignes : non imprimée","OK")))))))))))))</f>
        <v/>
      </c>
      <c r="O3476" s="59" t="str">
        <f>IF(A3476="","",COUNTIF($A$6:A3476,A3476))</f>
        <v/>
      </c>
      <c r="P3476" s="62" t="str">
        <f>IF(A3476="","",A3476&amp;"|"&amp;O3476)</f>
        <v/>
      </c>
    </row>
    <row r="3477">
      <c r="A3477" s="60" t="n"/>
      <c r="B3477" s="63" t="n"/>
      <c r="C3477" s="63" t="n"/>
      <c r="D3477" s="67" t="n"/>
      <c r="E3477" s="68" t="n"/>
      <c r="F3477" s="69" t="n"/>
      <c r="G3477" s="70" t="n"/>
      <c r="H3477" s="62" t="str">
        <f>IF(COUNTA(A3477:G3477)=0,"",IF(C3477&lt;&gt;"",C3477,IF(B3477="","",IFERROR(INDEX(pr_des,MATCH(B3477,pr_code,0))&amp;"",""))))</f>
        <v/>
      </c>
      <c r="I3477" s="59" t="str">
        <f>IF(B3477="","",IFERROR(INDEX(pr_unit,MATCH(B3477,pr_code,0))&amp;"",""))</f>
        <v/>
      </c>
      <c r="J3477" s="65" t="str">
        <f>IF(COUNTA(A3477:G3477)=0,"",IF(E3477&lt;&gt;"",E3477,IF(B3477="","",IFERROR(IF(INDEX(pr_price,MATCH(B3477,pr_code,0))="","",INDEX(pr_price,MATCH(B3477,pr_code,0))),""))))</f>
        <v/>
      </c>
      <c r="K3477" s="71" t="str">
        <f>IF(COUNTA(A3477:G3477)=0,"",IF(G3477&lt;&gt;"",G3477,IF(B3477="","",IFERROR(IF(INDEX(pr_rate,MATCH(B3477,pr_code,0))="","",INDEX(pr_rate,MATCH(B3477,pr_code,0))),""))))</f>
        <v/>
      </c>
      <c r="L3477" s="65" t="str">
        <f>IF(COUNTA(A3477:G3477)=0,"",IF(AND(ISNUMBER(D3477),ISNUMBER(J3477)),ROUND(D3477*J3477*(1-N(F3477)),2),0))</f>
        <v/>
      </c>
      <c r="M3477" s="62" t="str">
        <f>IF(A3477="","",IFERROR(INDEX(fa_cname,MATCH(A3477,fa_num,0))&amp;"",""))</f>
        <v/>
      </c>
      <c r="N3477" s="59" t="str">
        <f>IF(COUNTA(A3477:G3477)=0,"",IF(A3477="","N° facture manquant",IF(ISNA(MATCH(A3477,fa_num,0)),"Facture inconnue",IF(AND(B3477&lt;&gt;"",ISNA(MATCH(B3477,pr_code,0))),"Article inconnu",IF(H3477="","Désignation manquante",IF(OR(NOT(ISNUMBER(D3477)),N(D3477)&lt;=0),"Quantité invalide",IF(J3477="","Prix manquant",IF(OR(NOT(ISNUMBER(J3477)),N(J3477)&lt;0),"Prix invalide",IF(OR(AND(F3477&lt;&gt;"",NOT(ISNUMBER(F3477))),N(F3477)&lt;0,N(F3477)&gt;1),"Remise invalide",IF(K3477="","Taux de TVA manquant",IF(NOT(ISNUMBER(K3477)),"Taux de TVA invalide",IF(COUNTIF(p_rates,K3477)=0,"Taux de TVA hors liste (Paramètres)",IF(N(O3477)&gt;25,"Au-delà de 25 lignes : non imprimée","OK")))))))))))))</f>
        <v/>
      </c>
      <c r="O3477" s="59" t="str">
        <f>IF(A3477="","",COUNTIF($A$6:A3477,A3477))</f>
        <v/>
      </c>
      <c r="P3477" s="62" t="str">
        <f>IF(A3477="","",A3477&amp;"|"&amp;O3477)</f>
        <v/>
      </c>
    </row>
    <row r="3478">
      <c r="A3478" s="60" t="n"/>
      <c r="B3478" s="63" t="n"/>
      <c r="C3478" s="63" t="n"/>
      <c r="D3478" s="67" t="n"/>
      <c r="E3478" s="68" t="n"/>
      <c r="F3478" s="69" t="n"/>
      <c r="G3478" s="70" t="n"/>
      <c r="H3478" s="62" t="str">
        <f>IF(COUNTA(A3478:G3478)=0,"",IF(C3478&lt;&gt;"",C3478,IF(B3478="","",IFERROR(INDEX(pr_des,MATCH(B3478,pr_code,0))&amp;"",""))))</f>
        <v/>
      </c>
      <c r="I3478" s="59" t="str">
        <f>IF(B3478="","",IFERROR(INDEX(pr_unit,MATCH(B3478,pr_code,0))&amp;"",""))</f>
        <v/>
      </c>
      <c r="J3478" s="65" t="str">
        <f>IF(COUNTA(A3478:G3478)=0,"",IF(E3478&lt;&gt;"",E3478,IF(B3478="","",IFERROR(IF(INDEX(pr_price,MATCH(B3478,pr_code,0))="","",INDEX(pr_price,MATCH(B3478,pr_code,0))),""))))</f>
        <v/>
      </c>
      <c r="K3478" s="71" t="str">
        <f>IF(COUNTA(A3478:G3478)=0,"",IF(G3478&lt;&gt;"",G3478,IF(B3478="","",IFERROR(IF(INDEX(pr_rate,MATCH(B3478,pr_code,0))="","",INDEX(pr_rate,MATCH(B3478,pr_code,0))),""))))</f>
        <v/>
      </c>
      <c r="L3478" s="65" t="str">
        <f>IF(COUNTA(A3478:G3478)=0,"",IF(AND(ISNUMBER(D3478),ISNUMBER(J3478)),ROUND(D3478*J3478*(1-N(F3478)),2),0))</f>
        <v/>
      </c>
      <c r="M3478" s="62" t="str">
        <f>IF(A3478="","",IFERROR(INDEX(fa_cname,MATCH(A3478,fa_num,0))&amp;"",""))</f>
        <v/>
      </c>
      <c r="N3478" s="59" t="str">
        <f>IF(COUNTA(A3478:G3478)=0,"",IF(A3478="","N° facture manquant",IF(ISNA(MATCH(A3478,fa_num,0)),"Facture inconnue",IF(AND(B3478&lt;&gt;"",ISNA(MATCH(B3478,pr_code,0))),"Article inconnu",IF(H3478="","Désignation manquante",IF(OR(NOT(ISNUMBER(D3478)),N(D3478)&lt;=0),"Quantité invalide",IF(J3478="","Prix manquant",IF(OR(NOT(ISNUMBER(J3478)),N(J3478)&lt;0),"Prix invalide",IF(OR(AND(F3478&lt;&gt;"",NOT(ISNUMBER(F3478))),N(F3478)&lt;0,N(F3478)&gt;1),"Remise invalide",IF(K3478="","Taux de TVA manquant",IF(NOT(ISNUMBER(K3478)),"Taux de TVA invalide",IF(COUNTIF(p_rates,K3478)=0,"Taux de TVA hors liste (Paramètres)",IF(N(O3478)&gt;25,"Au-delà de 25 lignes : non imprimée","OK")))))))))))))</f>
        <v/>
      </c>
      <c r="O3478" s="59" t="str">
        <f>IF(A3478="","",COUNTIF($A$6:A3478,A3478))</f>
        <v/>
      </c>
      <c r="P3478" s="62" t="str">
        <f>IF(A3478="","",A3478&amp;"|"&amp;O3478)</f>
        <v/>
      </c>
    </row>
    <row r="3479">
      <c r="A3479" s="60" t="n"/>
      <c r="B3479" s="63" t="n"/>
      <c r="C3479" s="63" t="n"/>
      <c r="D3479" s="67" t="n"/>
      <c r="E3479" s="68" t="n"/>
      <c r="F3479" s="69" t="n"/>
      <c r="G3479" s="70" t="n"/>
      <c r="H3479" s="62" t="str">
        <f>IF(COUNTA(A3479:G3479)=0,"",IF(C3479&lt;&gt;"",C3479,IF(B3479="","",IFERROR(INDEX(pr_des,MATCH(B3479,pr_code,0))&amp;"",""))))</f>
        <v/>
      </c>
      <c r="I3479" s="59" t="str">
        <f>IF(B3479="","",IFERROR(INDEX(pr_unit,MATCH(B3479,pr_code,0))&amp;"",""))</f>
        <v/>
      </c>
      <c r="J3479" s="65" t="str">
        <f>IF(COUNTA(A3479:G3479)=0,"",IF(E3479&lt;&gt;"",E3479,IF(B3479="","",IFERROR(IF(INDEX(pr_price,MATCH(B3479,pr_code,0))="","",INDEX(pr_price,MATCH(B3479,pr_code,0))),""))))</f>
        <v/>
      </c>
      <c r="K3479" s="71" t="str">
        <f>IF(COUNTA(A3479:G3479)=0,"",IF(G3479&lt;&gt;"",G3479,IF(B3479="","",IFERROR(IF(INDEX(pr_rate,MATCH(B3479,pr_code,0))="","",INDEX(pr_rate,MATCH(B3479,pr_code,0))),""))))</f>
        <v/>
      </c>
      <c r="L3479" s="65" t="str">
        <f>IF(COUNTA(A3479:G3479)=0,"",IF(AND(ISNUMBER(D3479),ISNUMBER(J3479)),ROUND(D3479*J3479*(1-N(F3479)),2),0))</f>
        <v/>
      </c>
      <c r="M3479" s="62" t="str">
        <f>IF(A3479="","",IFERROR(INDEX(fa_cname,MATCH(A3479,fa_num,0))&amp;"",""))</f>
        <v/>
      </c>
      <c r="N3479" s="59" t="str">
        <f>IF(COUNTA(A3479:G3479)=0,"",IF(A3479="","N° facture manquant",IF(ISNA(MATCH(A3479,fa_num,0)),"Facture inconnue",IF(AND(B3479&lt;&gt;"",ISNA(MATCH(B3479,pr_code,0))),"Article inconnu",IF(H3479="","Désignation manquante",IF(OR(NOT(ISNUMBER(D3479)),N(D3479)&lt;=0),"Quantité invalide",IF(J3479="","Prix manquant",IF(OR(NOT(ISNUMBER(J3479)),N(J3479)&lt;0),"Prix invalide",IF(OR(AND(F3479&lt;&gt;"",NOT(ISNUMBER(F3479))),N(F3479)&lt;0,N(F3479)&gt;1),"Remise invalide",IF(K3479="","Taux de TVA manquant",IF(NOT(ISNUMBER(K3479)),"Taux de TVA invalide",IF(COUNTIF(p_rates,K3479)=0,"Taux de TVA hors liste (Paramètres)",IF(N(O3479)&gt;25,"Au-delà de 25 lignes : non imprimée","OK")))))))))))))</f>
        <v/>
      </c>
      <c r="O3479" s="59" t="str">
        <f>IF(A3479="","",COUNTIF($A$6:A3479,A3479))</f>
        <v/>
      </c>
      <c r="P3479" s="62" t="str">
        <f>IF(A3479="","",A3479&amp;"|"&amp;O3479)</f>
        <v/>
      </c>
    </row>
    <row r="3480">
      <c r="A3480" s="60" t="n"/>
      <c r="B3480" s="63" t="n"/>
      <c r="C3480" s="63" t="n"/>
      <c r="D3480" s="67" t="n"/>
      <c r="E3480" s="68" t="n"/>
      <c r="F3480" s="69" t="n"/>
      <c r="G3480" s="70" t="n"/>
      <c r="H3480" s="62" t="str">
        <f>IF(COUNTA(A3480:G3480)=0,"",IF(C3480&lt;&gt;"",C3480,IF(B3480="","",IFERROR(INDEX(pr_des,MATCH(B3480,pr_code,0))&amp;"",""))))</f>
        <v/>
      </c>
      <c r="I3480" s="59" t="str">
        <f>IF(B3480="","",IFERROR(INDEX(pr_unit,MATCH(B3480,pr_code,0))&amp;"",""))</f>
        <v/>
      </c>
      <c r="J3480" s="65" t="str">
        <f>IF(COUNTA(A3480:G3480)=0,"",IF(E3480&lt;&gt;"",E3480,IF(B3480="","",IFERROR(IF(INDEX(pr_price,MATCH(B3480,pr_code,0))="","",INDEX(pr_price,MATCH(B3480,pr_code,0))),""))))</f>
        <v/>
      </c>
      <c r="K3480" s="71" t="str">
        <f>IF(COUNTA(A3480:G3480)=0,"",IF(G3480&lt;&gt;"",G3480,IF(B3480="","",IFERROR(IF(INDEX(pr_rate,MATCH(B3480,pr_code,0))="","",INDEX(pr_rate,MATCH(B3480,pr_code,0))),""))))</f>
        <v/>
      </c>
      <c r="L3480" s="65" t="str">
        <f>IF(COUNTA(A3480:G3480)=0,"",IF(AND(ISNUMBER(D3480),ISNUMBER(J3480)),ROUND(D3480*J3480*(1-N(F3480)),2),0))</f>
        <v/>
      </c>
      <c r="M3480" s="62" t="str">
        <f>IF(A3480="","",IFERROR(INDEX(fa_cname,MATCH(A3480,fa_num,0))&amp;"",""))</f>
        <v/>
      </c>
      <c r="N3480" s="59" t="str">
        <f>IF(COUNTA(A3480:G3480)=0,"",IF(A3480="","N° facture manquant",IF(ISNA(MATCH(A3480,fa_num,0)),"Facture inconnue",IF(AND(B3480&lt;&gt;"",ISNA(MATCH(B3480,pr_code,0))),"Article inconnu",IF(H3480="","Désignation manquante",IF(OR(NOT(ISNUMBER(D3480)),N(D3480)&lt;=0),"Quantité invalide",IF(J3480="","Prix manquant",IF(OR(NOT(ISNUMBER(J3480)),N(J3480)&lt;0),"Prix invalide",IF(OR(AND(F3480&lt;&gt;"",NOT(ISNUMBER(F3480))),N(F3480)&lt;0,N(F3480)&gt;1),"Remise invalide",IF(K3480="","Taux de TVA manquant",IF(NOT(ISNUMBER(K3480)),"Taux de TVA invalide",IF(COUNTIF(p_rates,K3480)=0,"Taux de TVA hors liste (Paramètres)",IF(N(O3480)&gt;25,"Au-delà de 25 lignes : non imprimée","OK")))))))))))))</f>
        <v/>
      </c>
      <c r="O3480" s="59" t="str">
        <f>IF(A3480="","",COUNTIF($A$6:A3480,A3480))</f>
        <v/>
      </c>
      <c r="P3480" s="62" t="str">
        <f>IF(A3480="","",A3480&amp;"|"&amp;O3480)</f>
        <v/>
      </c>
    </row>
    <row r="3481">
      <c r="A3481" s="60" t="n"/>
      <c r="B3481" s="63" t="n"/>
      <c r="C3481" s="63" t="n"/>
      <c r="D3481" s="67" t="n"/>
      <c r="E3481" s="68" t="n"/>
      <c r="F3481" s="69" t="n"/>
      <c r="G3481" s="70" t="n"/>
      <c r="H3481" s="62" t="str">
        <f>IF(COUNTA(A3481:G3481)=0,"",IF(C3481&lt;&gt;"",C3481,IF(B3481="","",IFERROR(INDEX(pr_des,MATCH(B3481,pr_code,0))&amp;"",""))))</f>
        <v/>
      </c>
      <c r="I3481" s="59" t="str">
        <f>IF(B3481="","",IFERROR(INDEX(pr_unit,MATCH(B3481,pr_code,0))&amp;"",""))</f>
        <v/>
      </c>
      <c r="J3481" s="65" t="str">
        <f>IF(COUNTA(A3481:G3481)=0,"",IF(E3481&lt;&gt;"",E3481,IF(B3481="","",IFERROR(IF(INDEX(pr_price,MATCH(B3481,pr_code,0))="","",INDEX(pr_price,MATCH(B3481,pr_code,0))),""))))</f>
        <v/>
      </c>
      <c r="K3481" s="71" t="str">
        <f>IF(COUNTA(A3481:G3481)=0,"",IF(G3481&lt;&gt;"",G3481,IF(B3481="","",IFERROR(IF(INDEX(pr_rate,MATCH(B3481,pr_code,0))="","",INDEX(pr_rate,MATCH(B3481,pr_code,0))),""))))</f>
        <v/>
      </c>
      <c r="L3481" s="65" t="str">
        <f>IF(COUNTA(A3481:G3481)=0,"",IF(AND(ISNUMBER(D3481),ISNUMBER(J3481)),ROUND(D3481*J3481*(1-N(F3481)),2),0))</f>
        <v/>
      </c>
      <c r="M3481" s="62" t="str">
        <f>IF(A3481="","",IFERROR(INDEX(fa_cname,MATCH(A3481,fa_num,0))&amp;"",""))</f>
        <v/>
      </c>
      <c r="N3481" s="59" t="str">
        <f>IF(COUNTA(A3481:G3481)=0,"",IF(A3481="","N° facture manquant",IF(ISNA(MATCH(A3481,fa_num,0)),"Facture inconnue",IF(AND(B3481&lt;&gt;"",ISNA(MATCH(B3481,pr_code,0))),"Article inconnu",IF(H3481="","Désignation manquante",IF(OR(NOT(ISNUMBER(D3481)),N(D3481)&lt;=0),"Quantité invalide",IF(J3481="","Prix manquant",IF(OR(NOT(ISNUMBER(J3481)),N(J3481)&lt;0),"Prix invalide",IF(OR(AND(F3481&lt;&gt;"",NOT(ISNUMBER(F3481))),N(F3481)&lt;0,N(F3481)&gt;1),"Remise invalide",IF(K3481="","Taux de TVA manquant",IF(NOT(ISNUMBER(K3481)),"Taux de TVA invalide",IF(COUNTIF(p_rates,K3481)=0,"Taux de TVA hors liste (Paramètres)",IF(N(O3481)&gt;25,"Au-delà de 25 lignes : non imprimée","OK")))))))))))))</f>
        <v/>
      </c>
      <c r="O3481" s="59" t="str">
        <f>IF(A3481="","",COUNTIF($A$6:A3481,A3481))</f>
        <v/>
      </c>
      <c r="P3481" s="62" t="str">
        <f>IF(A3481="","",A3481&amp;"|"&amp;O3481)</f>
        <v/>
      </c>
    </row>
    <row r="3482">
      <c r="A3482" s="60" t="n"/>
      <c r="B3482" s="63" t="n"/>
      <c r="C3482" s="63" t="n"/>
      <c r="D3482" s="67" t="n"/>
      <c r="E3482" s="68" t="n"/>
      <c r="F3482" s="69" t="n"/>
      <c r="G3482" s="70" t="n"/>
      <c r="H3482" s="62" t="str">
        <f>IF(COUNTA(A3482:G3482)=0,"",IF(C3482&lt;&gt;"",C3482,IF(B3482="","",IFERROR(INDEX(pr_des,MATCH(B3482,pr_code,0))&amp;"",""))))</f>
        <v/>
      </c>
      <c r="I3482" s="59" t="str">
        <f>IF(B3482="","",IFERROR(INDEX(pr_unit,MATCH(B3482,pr_code,0))&amp;"",""))</f>
        <v/>
      </c>
      <c r="J3482" s="65" t="str">
        <f>IF(COUNTA(A3482:G3482)=0,"",IF(E3482&lt;&gt;"",E3482,IF(B3482="","",IFERROR(IF(INDEX(pr_price,MATCH(B3482,pr_code,0))="","",INDEX(pr_price,MATCH(B3482,pr_code,0))),""))))</f>
        <v/>
      </c>
      <c r="K3482" s="71" t="str">
        <f>IF(COUNTA(A3482:G3482)=0,"",IF(G3482&lt;&gt;"",G3482,IF(B3482="","",IFERROR(IF(INDEX(pr_rate,MATCH(B3482,pr_code,0))="","",INDEX(pr_rate,MATCH(B3482,pr_code,0))),""))))</f>
        <v/>
      </c>
      <c r="L3482" s="65" t="str">
        <f>IF(COUNTA(A3482:G3482)=0,"",IF(AND(ISNUMBER(D3482),ISNUMBER(J3482)),ROUND(D3482*J3482*(1-N(F3482)),2),0))</f>
        <v/>
      </c>
      <c r="M3482" s="62" t="str">
        <f>IF(A3482="","",IFERROR(INDEX(fa_cname,MATCH(A3482,fa_num,0))&amp;"",""))</f>
        <v/>
      </c>
      <c r="N3482" s="59" t="str">
        <f>IF(COUNTA(A3482:G3482)=0,"",IF(A3482="","N° facture manquant",IF(ISNA(MATCH(A3482,fa_num,0)),"Facture inconnue",IF(AND(B3482&lt;&gt;"",ISNA(MATCH(B3482,pr_code,0))),"Article inconnu",IF(H3482="","Désignation manquante",IF(OR(NOT(ISNUMBER(D3482)),N(D3482)&lt;=0),"Quantité invalide",IF(J3482="","Prix manquant",IF(OR(NOT(ISNUMBER(J3482)),N(J3482)&lt;0),"Prix invalide",IF(OR(AND(F3482&lt;&gt;"",NOT(ISNUMBER(F3482))),N(F3482)&lt;0,N(F3482)&gt;1),"Remise invalide",IF(K3482="","Taux de TVA manquant",IF(NOT(ISNUMBER(K3482)),"Taux de TVA invalide",IF(COUNTIF(p_rates,K3482)=0,"Taux de TVA hors liste (Paramètres)",IF(N(O3482)&gt;25,"Au-delà de 25 lignes : non imprimée","OK")))))))))))))</f>
        <v/>
      </c>
      <c r="O3482" s="59" t="str">
        <f>IF(A3482="","",COUNTIF($A$6:A3482,A3482))</f>
        <v/>
      </c>
      <c r="P3482" s="62" t="str">
        <f>IF(A3482="","",A3482&amp;"|"&amp;O3482)</f>
        <v/>
      </c>
    </row>
    <row r="3483">
      <c r="A3483" s="60" t="n"/>
      <c r="B3483" s="63" t="n"/>
      <c r="C3483" s="63" t="n"/>
      <c r="D3483" s="67" t="n"/>
      <c r="E3483" s="68" t="n"/>
      <c r="F3483" s="69" t="n"/>
      <c r="G3483" s="70" t="n"/>
      <c r="H3483" s="62" t="str">
        <f>IF(COUNTA(A3483:G3483)=0,"",IF(C3483&lt;&gt;"",C3483,IF(B3483="","",IFERROR(INDEX(pr_des,MATCH(B3483,pr_code,0))&amp;"",""))))</f>
        <v/>
      </c>
      <c r="I3483" s="59" t="str">
        <f>IF(B3483="","",IFERROR(INDEX(pr_unit,MATCH(B3483,pr_code,0))&amp;"",""))</f>
        <v/>
      </c>
      <c r="J3483" s="65" t="str">
        <f>IF(COUNTA(A3483:G3483)=0,"",IF(E3483&lt;&gt;"",E3483,IF(B3483="","",IFERROR(IF(INDEX(pr_price,MATCH(B3483,pr_code,0))="","",INDEX(pr_price,MATCH(B3483,pr_code,0))),""))))</f>
        <v/>
      </c>
      <c r="K3483" s="71" t="str">
        <f>IF(COUNTA(A3483:G3483)=0,"",IF(G3483&lt;&gt;"",G3483,IF(B3483="","",IFERROR(IF(INDEX(pr_rate,MATCH(B3483,pr_code,0))="","",INDEX(pr_rate,MATCH(B3483,pr_code,0))),""))))</f>
        <v/>
      </c>
      <c r="L3483" s="65" t="str">
        <f>IF(COUNTA(A3483:G3483)=0,"",IF(AND(ISNUMBER(D3483),ISNUMBER(J3483)),ROUND(D3483*J3483*(1-N(F3483)),2),0))</f>
        <v/>
      </c>
      <c r="M3483" s="62" t="str">
        <f>IF(A3483="","",IFERROR(INDEX(fa_cname,MATCH(A3483,fa_num,0))&amp;"",""))</f>
        <v/>
      </c>
      <c r="N3483" s="59" t="str">
        <f>IF(COUNTA(A3483:G3483)=0,"",IF(A3483="","N° facture manquant",IF(ISNA(MATCH(A3483,fa_num,0)),"Facture inconnue",IF(AND(B3483&lt;&gt;"",ISNA(MATCH(B3483,pr_code,0))),"Article inconnu",IF(H3483="","Désignation manquante",IF(OR(NOT(ISNUMBER(D3483)),N(D3483)&lt;=0),"Quantité invalide",IF(J3483="","Prix manquant",IF(OR(NOT(ISNUMBER(J3483)),N(J3483)&lt;0),"Prix invalide",IF(OR(AND(F3483&lt;&gt;"",NOT(ISNUMBER(F3483))),N(F3483)&lt;0,N(F3483)&gt;1),"Remise invalide",IF(K3483="","Taux de TVA manquant",IF(NOT(ISNUMBER(K3483)),"Taux de TVA invalide",IF(COUNTIF(p_rates,K3483)=0,"Taux de TVA hors liste (Paramètres)",IF(N(O3483)&gt;25,"Au-delà de 25 lignes : non imprimée","OK")))))))))))))</f>
        <v/>
      </c>
      <c r="O3483" s="59" t="str">
        <f>IF(A3483="","",COUNTIF($A$6:A3483,A3483))</f>
        <v/>
      </c>
      <c r="P3483" s="62" t="str">
        <f>IF(A3483="","",A3483&amp;"|"&amp;O3483)</f>
        <v/>
      </c>
    </row>
    <row r="3484">
      <c r="A3484" s="60" t="n"/>
      <c r="B3484" s="63" t="n"/>
      <c r="C3484" s="63" t="n"/>
      <c r="D3484" s="67" t="n"/>
      <c r="E3484" s="68" t="n"/>
      <c r="F3484" s="69" t="n"/>
      <c r="G3484" s="70" t="n"/>
      <c r="H3484" s="62" t="str">
        <f>IF(COUNTA(A3484:G3484)=0,"",IF(C3484&lt;&gt;"",C3484,IF(B3484="","",IFERROR(INDEX(pr_des,MATCH(B3484,pr_code,0))&amp;"",""))))</f>
        <v/>
      </c>
      <c r="I3484" s="59" t="str">
        <f>IF(B3484="","",IFERROR(INDEX(pr_unit,MATCH(B3484,pr_code,0))&amp;"",""))</f>
        <v/>
      </c>
      <c r="J3484" s="65" t="str">
        <f>IF(COUNTA(A3484:G3484)=0,"",IF(E3484&lt;&gt;"",E3484,IF(B3484="","",IFERROR(IF(INDEX(pr_price,MATCH(B3484,pr_code,0))="","",INDEX(pr_price,MATCH(B3484,pr_code,0))),""))))</f>
        <v/>
      </c>
      <c r="K3484" s="71" t="str">
        <f>IF(COUNTA(A3484:G3484)=0,"",IF(G3484&lt;&gt;"",G3484,IF(B3484="","",IFERROR(IF(INDEX(pr_rate,MATCH(B3484,pr_code,0))="","",INDEX(pr_rate,MATCH(B3484,pr_code,0))),""))))</f>
        <v/>
      </c>
      <c r="L3484" s="65" t="str">
        <f>IF(COUNTA(A3484:G3484)=0,"",IF(AND(ISNUMBER(D3484),ISNUMBER(J3484)),ROUND(D3484*J3484*(1-N(F3484)),2),0))</f>
        <v/>
      </c>
      <c r="M3484" s="62" t="str">
        <f>IF(A3484="","",IFERROR(INDEX(fa_cname,MATCH(A3484,fa_num,0))&amp;"",""))</f>
        <v/>
      </c>
      <c r="N3484" s="59" t="str">
        <f>IF(COUNTA(A3484:G3484)=0,"",IF(A3484="","N° facture manquant",IF(ISNA(MATCH(A3484,fa_num,0)),"Facture inconnue",IF(AND(B3484&lt;&gt;"",ISNA(MATCH(B3484,pr_code,0))),"Article inconnu",IF(H3484="","Désignation manquante",IF(OR(NOT(ISNUMBER(D3484)),N(D3484)&lt;=0),"Quantité invalide",IF(J3484="","Prix manquant",IF(OR(NOT(ISNUMBER(J3484)),N(J3484)&lt;0),"Prix invalide",IF(OR(AND(F3484&lt;&gt;"",NOT(ISNUMBER(F3484))),N(F3484)&lt;0,N(F3484)&gt;1),"Remise invalide",IF(K3484="","Taux de TVA manquant",IF(NOT(ISNUMBER(K3484)),"Taux de TVA invalide",IF(COUNTIF(p_rates,K3484)=0,"Taux de TVA hors liste (Paramètres)",IF(N(O3484)&gt;25,"Au-delà de 25 lignes : non imprimée","OK")))))))))))))</f>
        <v/>
      </c>
      <c r="O3484" s="59" t="str">
        <f>IF(A3484="","",COUNTIF($A$6:A3484,A3484))</f>
        <v/>
      </c>
      <c r="P3484" s="62" t="str">
        <f>IF(A3484="","",A3484&amp;"|"&amp;O3484)</f>
        <v/>
      </c>
    </row>
    <row r="3485">
      <c r="A3485" s="60" t="n"/>
      <c r="B3485" s="63" t="n"/>
      <c r="C3485" s="63" t="n"/>
      <c r="D3485" s="67" t="n"/>
      <c r="E3485" s="68" t="n"/>
      <c r="F3485" s="69" t="n"/>
      <c r="G3485" s="70" t="n"/>
      <c r="H3485" s="62" t="str">
        <f>IF(COUNTA(A3485:G3485)=0,"",IF(C3485&lt;&gt;"",C3485,IF(B3485="","",IFERROR(INDEX(pr_des,MATCH(B3485,pr_code,0))&amp;"",""))))</f>
        <v/>
      </c>
      <c r="I3485" s="59" t="str">
        <f>IF(B3485="","",IFERROR(INDEX(pr_unit,MATCH(B3485,pr_code,0))&amp;"",""))</f>
        <v/>
      </c>
      <c r="J3485" s="65" t="str">
        <f>IF(COUNTA(A3485:G3485)=0,"",IF(E3485&lt;&gt;"",E3485,IF(B3485="","",IFERROR(IF(INDEX(pr_price,MATCH(B3485,pr_code,0))="","",INDEX(pr_price,MATCH(B3485,pr_code,0))),""))))</f>
        <v/>
      </c>
      <c r="K3485" s="71" t="str">
        <f>IF(COUNTA(A3485:G3485)=0,"",IF(G3485&lt;&gt;"",G3485,IF(B3485="","",IFERROR(IF(INDEX(pr_rate,MATCH(B3485,pr_code,0))="","",INDEX(pr_rate,MATCH(B3485,pr_code,0))),""))))</f>
        <v/>
      </c>
      <c r="L3485" s="65" t="str">
        <f>IF(COUNTA(A3485:G3485)=0,"",IF(AND(ISNUMBER(D3485),ISNUMBER(J3485)),ROUND(D3485*J3485*(1-N(F3485)),2),0))</f>
        <v/>
      </c>
      <c r="M3485" s="62" t="str">
        <f>IF(A3485="","",IFERROR(INDEX(fa_cname,MATCH(A3485,fa_num,0))&amp;"",""))</f>
        <v/>
      </c>
      <c r="N3485" s="59" t="str">
        <f>IF(COUNTA(A3485:G3485)=0,"",IF(A3485="","N° facture manquant",IF(ISNA(MATCH(A3485,fa_num,0)),"Facture inconnue",IF(AND(B3485&lt;&gt;"",ISNA(MATCH(B3485,pr_code,0))),"Article inconnu",IF(H3485="","Désignation manquante",IF(OR(NOT(ISNUMBER(D3485)),N(D3485)&lt;=0),"Quantité invalide",IF(J3485="","Prix manquant",IF(OR(NOT(ISNUMBER(J3485)),N(J3485)&lt;0),"Prix invalide",IF(OR(AND(F3485&lt;&gt;"",NOT(ISNUMBER(F3485))),N(F3485)&lt;0,N(F3485)&gt;1),"Remise invalide",IF(K3485="","Taux de TVA manquant",IF(NOT(ISNUMBER(K3485)),"Taux de TVA invalide",IF(COUNTIF(p_rates,K3485)=0,"Taux de TVA hors liste (Paramètres)",IF(N(O3485)&gt;25,"Au-delà de 25 lignes : non imprimée","OK")))))))))))))</f>
        <v/>
      </c>
      <c r="O3485" s="59" t="str">
        <f>IF(A3485="","",COUNTIF($A$6:A3485,A3485))</f>
        <v/>
      </c>
      <c r="P3485" s="62" t="str">
        <f>IF(A3485="","",A3485&amp;"|"&amp;O3485)</f>
        <v/>
      </c>
    </row>
    <row r="3486">
      <c r="A3486" s="60" t="n"/>
      <c r="B3486" s="63" t="n"/>
      <c r="C3486" s="63" t="n"/>
      <c r="D3486" s="67" t="n"/>
      <c r="E3486" s="68" t="n"/>
      <c r="F3486" s="69" t="n"/>
      <c r="G3486" s="70" t="n"/>
      <c r="H3486" s="62" t="str">
        <f>IF(COUNTA(A3486:G3486)=0,"",IF(C3486&lt;&gt;"",C3486,IF(B3486="","",IFERROR(INDEX(pr_des,MATCH(B3486,pr_code,0))&amp;"",""))))</f>
        <v/>
      </c>
      <c r="I3486" s="59" t="str">
        <f>IF(B3486="","",IFERROR(INDEX(pr_unit,MATCH(B3486,pr_code,0))&amp;"",""))</f>
        <v/>
      </c>
      <c r="J3486" s="65" t="str">
        <f>IF(COUNTA(A3486:G3486)=0,"",IF(E3486&lt;&gt;"",E3486,IF(B3486="","",IFERROR(IF(INDEX(pr_price,MATCH(B3486,pr_code,0))="","",INDEX(pr_price,MATCH(B3486,pr_code,0))),""))))</f>
        <v/>
      </c>
      <c r="K3486" s="71" t="str">
        <f>IF(COUNTA(A3486:G3486)=0,"",IF(G3486&lt;&gt;"",G3486,IF(B3486="","",IFERROR(IF(INDEX(pr_rate,MATCH(B3486,pr_code,0))="","",INDEX(pr_rate,MATCH(B3486,pr_code,0))),""))))</f>
        <v/>
      </c>
      <c r="L3486" s="65" t="str">
        <f>IF(COUNTA(A3486:G3486)=0,"",IF(AND(ISNUMBER(D3486),ISNUMBER(J3486)),ROUND(D3486*J3486*(1-N(F3486)),2),0))</f>
        <v/>
      </c>
      <c r="M3486" s="62" t="str">
        <f>IF(A3486="","",IFERROR(INDEX(fa_cname,MATCH(A3486,fa_num,0))&amp;"",""))</f>
        <v/>
      </c>
      <c r="N3486" s="59" t="str">
        <f>IF(COUNTA(A3486:G3486)=0,"",IF(A3486="","N° facture manquant",IF(ISNA(MATCH(A3486,fa_num,0)),"Facture inconnue",IF(AND(B3486&lt;&gt;"",ISNA(MATCH(B3486,pr_code,0))),"Article inconnu",IF(H3486="","Désignation manquante",IF(OR(NOT(ISNUMBER(D3486)),N(D3486)&lt;=0),"Quantité invalide",IF(J3486="","Prix manquant",IF(OR(NOT(ISNUMBER(J3486)),N(J3486)&lt;0),"Prix invalide",IF(OR(AND(F3486&lt;&gt;"",NOT(ISNUMBER(F3486))),N(F3486)&lt;0,N(F3486)&gt;1),"Remise invalide",IF(K3486="","Taux de TVA manquant",IF(NOT(ISNUMBER(K3486)),"Taux de TVA invalide",IF(COUNTIF(p_rates,K3486)=0,"Taux de TVA hors liste (Paramètres)",IF(N(O3486)&gt;25,"Au-delà de 25 lignes : non imprimée","OK")))))))))))))</f>
        <v/>
      </c>
      <c r="O3486" s="59" t="str">
        <f>IF(A3486="","",COUNTIF($A$6:A3486,A3486))</f>
        <v/>
      </c>
      <c r="P3486" s="62" t="str">
        <f>IF(A3486="","",A3486&amp;"|"&amp;O3486)</f>
        <v/>
      </c>
    </row>
    <row r="3487">
      <c r="A3487" s="60" t="n"/>
      <c r="B3487" s="63" t="n"/>
      <c r="C3487" s="63" t="n"/>
      <c r="D3487" s="67" t="n"/>
      <c r="E3487" s="68" t="n"/>
      <c r="F3487" s="69" t="n"/>
      <c r="G3487" s="70" t="n"/>
      <c r="H3487" s="62" t="str">
        <f>IF(COUNTA(A3487:G3487)=0,"",IF(C3487&lt;&gt;"",C3487,IF(B3487="","",IFERROR(INDEX(pr_des,MATCH(B3487,pr_code,0))&amp;"",""))))</f>
        <v/>
      </c>
      <c r="I3487" s="59" t="str">
        <f>IF(B3487="","",IFERROR(INDEX(pr_unit,MATCH(B3487,pr_code,0))&amp;"",""))</f>
        <v/>
      </c>
      <c r="J3487" s="65" t="str">
        <f>IF(COUNTA(A3487:G3487)=0,"",IF(E3487&lt;&gt;"",E3487,IF(B3487="","",IFERROR(IF(INDEX(pr_price,MATCH(B3487,pr_code,0))="","",INDEX(pr_price,MATCH(B3487,pr_code,0))),""))))</f>
        <v/>
      </c>
      <c r="K3487" s="71" t="str">
        <f>IF(COUNTA(A3487:G3487)=0,"",IF(G3487&lt;&gt;"",G3487,IF(B3487="","",IFERROR(IF(INDEX(pr_rate,MATCH(B3487,pr_code,0))="","",INDEX(pr_rate,MATCH(B3487,pr_code,0))),""))))</f>
        <v/>
      </c>
      <c r="L3487" s="65" t="str">
        <f>IF(COUNTA(A3487:G3487)=0,"",IF(AND(ISNUMBER(D3487),ISNUMBER(J3487)),ROUND(D3487*J3487*(1-N(F3487)),2),0))</f>
        <v/>
      </c>
      <c r="M3487" s="62" t="str">
        <f>IF(A3487="","",IFERROR(INDEX(fa_cname,MATCH(A3487,fa_num,0))&amp;"",""))</f>
        <v/>
      </c>
      <c r="N3487" s="59" t="str">
        <f>IF(COUNTA(A3487:G3487)=0,"",IF(A3487="","N° facture manquant",IF(ISNA(MATCH(A3487,fa_num,0)),"Facture inconnue",IF(AND(B3487&lt;&gt;"",ISNA(MATCH(B3487,pr_code,0))),"Article inconnu",IF(H3487="","Désignation manquante",IF(OR(NOT(ISNUMBER(D3487)),N(D3487)&lt;=0),"Quantité invalide",IF(J3487="","Prix manquant",IF(OR(NOT(ISNUMBER(J3487)),N(J3487)&lt;0),"Prix invalide",IF(OR(AND(F3487&lt;&gt;"",NOT(ISNUMBER(F3487))),N(F3487)&lt;0,N(F3487)&gt;1),"Remise invalide",IF(K3487="","Taux de TVA manquant",IF(NOT(ISNUMBER(K3487)),"Taux de TVA invalide",IF(COUNTIF(p_rates,K3487)=0,"Taux de TVA hors liste (Paramètres)",IF(N(O3487)&gt;25,"Au-delà de 25 lignes : non imprimée","OK")))))))))))))</f>
        <v/>
      </c>
      <c r="O3487" s="59" t="str">
        <f>IF(A3487="","",COUNTIF($A$6:A3487,A3487))</f>
        <v/>
      </c>
      <c r="P3487" s="62" t="str">
        <f>IF(A3487="","",A3487&amp;"|"&amp;O3487)</f>
        <v/>
      </c>
    </row>
    <row r="3488">
      <c r="A3488" s="60" t="n"/>
      <c r="B3488" s="63" t="n"/>
      <c r="C3488" s="63" t="n"/>
      <c r="D3488" s="67" t="n"/>
      <c r="E3488" s="68" t="n"/>
      <c r="F3488" s="69" t="n"/>
      <c r="G3488" s="70" t="n"/>
      <c r="H3488" s="62" t="str">
        <f>IF(COUNTA(A3488:G3488)=0,"",IF(C3488&lt;&gt;"",C3488,IF(B3488="","",IFERROR(INDEX(pr_des,MATCH(B3488,pr_code,0))&amp;"",""))))</f>
        <v/>
      </c>
      <c r="I3488" s="59" t="str">
        <f>IF(B3488="","",IFERROR(INDEX(pr_unit,MATCH(B3488,pr_code,0))&amp;"",""))</f>
        <v/>
      </c>
      <c r="J3488" s="65" t="str">
        <f>IF(COUNTA(A3488:G3488)=0,"",IF(E3488&lt;&gt;"",E3488,IF(B3488="","",IFERROR(IF(INDEX(pr_price,MATCH(B3488,pr_code,0))="","",INDEX(pr_price,MATCH(B3488,pr_code,0))),""))))</f>
        <v/>
      </c>
      <c r="K3488" s="71" t="str">
        <f>IF(COUNTA(A3488:G3488)=0,"",IF(G3488&lt;&gt;"",G3488,IF(B3488="","",IFERROR(IF(INDEX(pr_rate,MATCH(B3488,pr_code,0))="","",INDEX(pr_rate,MATCH(B3488,pr_code,0))),""))))</f>
        <v/>
      </c>
      <c r="L3488" s="65" t="str">
        <f>IF(COUNTA(A3488:G3488)=0,"",IF(AND(ISNUMBER(D3488),ISNUMBER(J3488)),ROUND(D3488*J3488*(1-N(F3488)),2),0))</f>
        <v/>
      </c>
      <c r="M3488" s="62" t="str">
        <f>IF(A3488="","",IFERROR(INDEX(fa_cname,MATCH(A3488,fa_num,0))&amp;"",""))</f>
        <v/>
      </c>
      <c r="N3488" s="59" t="str">
        <f>IF(COUNTA(A3488:G3488)=0,"",IF(A3488="","N° facture manquant",IF(ISNA(MATCH(A3488,fa_num,0)),"Facture inconnue",IF(AND(B3488&lt;&gt;"",ISNA(MATCH(B3488,pr_code,0))),"Article inconnu",IF(H3488="","Désignation manquante",IF(OR(NOT(ISNUMBER(D3488)),N(D3488)&lt;=0),"Quantité invalide",IF(J3488="","Prix manquant",IF(OR(NOT(ISNUMBER(J3488)),N(J3488)&lt;0),"Prix invalide",IF(OR(AND(F3488&lt;&gt;"",NOT(ISNUMBER(F3488))),N(F3488)&lt;0,N(F3488)&gt;1),"Remise invalide",IF(K3488="","Taux de TVA manquant",IF(NOT(ISNUMBER(K3488)),"Taux de TVA invalide",IF(COUNTIF(p_rates,K3488)=0,"Taux de TVA hors liste (Paramètres)",IF(N(O3488)&gt;25,"Au-delà de 25 lignes : non imprimée","OK")))))))))))))</f>
        <v/>
      </c>
      <c r="O3488" s="59" t="str">
        <f>IF(A3488="","",COUNTIF($A$6:A3488,A3488))</f>
        <v/>
      </c>
      <c r="P3488" s="62" t="str">
        <f>IF(A3488="","",A3488&amp;"|"&amp;O3488)</f>
        <v/>
      </c>
    </row>
    <row r="3489">
      <c r="A3489" s="60" t="n"/>
      <c r="B3489" s="63" t="n"/>
      <c r="C3489" s="63" t="n"/>
      <c r="D3489" s="67" t="n"/>
      <c r="E3489" s="68" t="n"/>
      <c r="F3489" s="69" t="n"/>
      <c r="G3489" s="70" t="n"/>
      <c r="H3489" s="62" t="str">
        <f>IF(COUNTA(A3489:G3489)=0,"",IF(C3489&lt;&gt;"",C3489,IF(B3489="","",IFERROR(INDEX(pr_des,MATCH(B3489,pr_code,0))&amp;"",""))))</f>
        <v/>
      </c>
      <c r="I3489" s="59" t="str">
        <f>IF(B3489="","",IFERROR(INDEX(pr_unit,MATCH(B3489,pr_code,0))&amp;"",""))</f>
        <v/>
      </c>
      <c r="J3489" s="65" t="str">
        <f>IF(COUNTA(A3489:G3489)=0,"",IF(E3489&lt;&gt;"",E3489,IF(B3489="","",IFERROR(IF(INDEX(pr_price,MATCH(B3489,pr_code,0))="","",INDEX(pr_price,MATCH(B3489,pr_code,0))),""))))</f>
        <v/>
      </c>
      <c r="K3489" s="71" t="str">
        <f>IF(COUNTA(A3489:G3489)=0,"",IF(G3489&lt;&gt;"",G3489,IF(B3489="","",IFERROR(IF(INDEX(pr_rate,MATCH(B3489,pr_code,0))="","",INDEX(pr_rate,MATCH(B3489,pr_code,0))),""))))</f>
        <v/>
      </c>
      <c r="L3489" s="65" t="str">
        <f>IF(COUNTA(A3489:G3489)=0,"",IF(AND(ISNUMBER(D3489),ISNUMBER(J3489)),ROUND(D3489*J3489*(1-N(F3489)),2),0))</f>
        <v/>
      </c>
      <c r="M3489" s="62" t="str">
        <f>IF(A3489="","",IFERROR(INDEX(fa_cname,MATCH(A3489,fa_num,0))&amp;"",""))</f>
        <v/>
      </c>
      <c r="N3489" s="59" t="str">
        <f>IF(COUNTA(A3489:G3489)=0,"",IF(A3489="","N° facture manquant",IF(ISNA(MATCH(A3489,fa_num,0)),"Facture inconnue",IF(AND(B3489&lt;&gt;"",ISNA(MATCH(B3489,pr_code,0))),"Article inconnu",IF(H3489="","Désignation manquante",IF(OR(NOT(ISNUMBER(D3489)),N(D3489)&lt;=0),"Quantité invalide",IF(J3489="","Prix manquant",IF(OR(NOT(ISNUMBER(J3489)),N(J3489)&lt;0),"Prix invalide",IF(OR(AND(F3489&lt;&gt;"",NOT(ISNUMBER(F3489))),N(F3489)&lt;0,N(F3489)&gt;1),"Remise invalide",IF(K3489="","Taux de TVA manquant",IF(NOT(ISNUMBER(K3489)),"Taux de TVA invalide",IF(COUNTIF(p_rates,K3489)=0,"Taux de TVA hors liste (Paramètres)",IF(N(O3489)&gt;25,"Au-delà de 25 lignes : non imprimée","OK")))))))))))))</f>
        <v/>
      </c>
      <c r="O3489" s="59" t="str">
        <f>IF(A3489="","",COUNTIF($A$6:A3489,A3489))</f>
        <v/>
      </c>
      <c r="P3489" s="62" t="str">
        <f>IF(A3489="","",A3489&amp;"|"&amp;O3489)</f>
        <v/>
      </c>
    </row>
    <row r="3490">
      <c r="A3490" s="60" t="n"/>
      <c r="B3490" s="63" t="n"/>
      <c r="C3490" s="63" t="n"/>
      <c r="D3490" s="67" t="n"/>
      <c r="E3490" s="68" t="n"/>
      <c r="F3490" s="69" t="n"/>
      <c r="G3490" s="70" t="n"/>
      <c r="H3490" s="62" t="str">
        <f>IF(COUNTA(A3490:G3490)=0,"",IF(C3490&lt;&gt;"",C3490,IF(B3490="","",IFERROR(INDEX(pr_des,MATCH(B3490,pr_code,0))&amp;"",""))))</f>
        <v/>
      </c>
      <c r="I3490" s="59" t="str">
        <f>IF(B3490="","",IFERROR(INDEX(pr_unit,MATCH(B3490,pr_code,0))&amp;"",""))</f>
        <v/>
      </c>
      <c r="J3490" s="65" t="str">
        <f>IF(COUNTA(A3490:G3490)=0,"",IF(E3490&lt;&gt;"",E3490,IF(B3490="","",IFERROR(IF(INDEX(pr_price,MATCH(B3490,pr_code,0))="","",INDEX(pr_price,MATCH(B3490,pr_code,0))),""))))</f>
        <v/>
      </c>
      <c r="K3490" s="71" t="str">
        <f>IF(COUNTA(A3490:G3490)=0,"",IF(G3490&lt;&gt;"",G3490,IF(B3490="","",IFERROR(IF(INDEX(pr_rate,MATCH(B3490,pr_code,0))="","",INDEX(pr_rate,MATCH(B3490,pr_code,0))),""))))</f>
        <v/>
      </c>
      <c r="L3490" s="65" t="str">
        <f>IF(COUNTA(A3490:G3490)=0,"",IF(AND(ISNUMBER(D3490),ISNUMBER(J3490)),ROUND(D3490*J3490*(1-N(F3490)),2),0))</f>
        <v/>
      </c>
      <c r="M3490" s="62" t="str">
        <f>IF(A3490="","",IFERROR(INDEX(fa_cname,MATCH(A3490,fa_num,0))&amp;"",""))</f>
        <v/>
      </c>
      <c r="N3490" s="59" t="str">
        <f>IF(COUNTA(A3490:G3490)=0,"",IF(A3490="","N° facture manquant",IF(ISNA(MATCH(A3490,fa_num,0)),"Facture inconnue",IF(AND(B3490&lt;&gt;"",ISNA(MATCH(B3490,pr_code,0))),"Article inconnu",IF(H3490="","Désignation manquante",IF(OR(NOT(ISNUMBER(D3490)),N(D3490)&lt;=0),"Quantité invalide",IF(J3490="","Prix manquant",IF(OR(NOT(ISNUMBER(J3490)),N(J3490)&lt;0),"Prix invalide",IF(OR(AND(F3490&lt;&gt;"",NOT(ISNUMBER(F3490))),N(F3490)&lt;0,N(F3490)&gt;1),"Remise invalide",IF(K3490="","Taux de TVA manquant",IF(NOT(ISNUMBER(K3490)),"Taux de TVA invalide",IF(COUNTIF(p_rates,K3490)=0,"Taux de TVA hors liste (Paramètres)",IF(N(O3490)&gt;25,"Au-delà de 25 lignes : non imprimée","OK")))))))))))))</f>
        <v/>
      </c>
      <c r="O3490" s="59" t="str">
        <f>IF(A3490="","",COUNTIF($A$6:A3490,A3490))</f>
        <v/>
      </c>
      <c r="P3490" s="62" t="str">
        <f>IF(A3490="","",A3490&amp;"|"&amp;O3490)</f>
        <v/>
      </c>
    </row>
    <row r="3491">
      <c r="A3491" s="60" t="n"/>
      <c r="B3491" s="63" t="n"/>
      <c r="C3491" s="63" t="n"/>
      <c r="D3491" s="67" t="n"/>
      <c r="E3491" s="68" t="n"/>
      <c r="F3491" s="69" t="n"/>
      <c r="G3491" s="70" t="n"/>
      <c r="H3491" s="62" t="str">
        <f>IF(COUNTA(A3491:G3491)=0,"",IF(C3491&lt;&gt;"",C3491,IF(B3491="","",IFERROR(INDEX(pr_des,MATCH(B3491,pr_code,0))&amp;"",""))))</f>
        <v/>
      </c>
      <c r="I3491" s="59" t="str">
        <f>IF(B3491="","",IFERROR(INDEX(pr_unit,MATCH(B3491,pr_code,0))&amp;"",""))</f>
        <v/>
      </c>
      <c r="J3491" s="65" t="str">
        <f>IF(COUNTA(A3491:G3491)=0,"",IF(E3491&lt;&gt;"",E3491,IF(B3491="","",IFERROR(IF(INDEX(pr_price,MATCH(B3491,pr_code,0))="","",INDEX(pr_price,MATCH(B3491,pr_code,0))),""))))</f>
        <v/>
      </c>
      <c r="K3491" s="71" t="str">
        <f>IF(COUNTA(A3491:G3491)=0,"",IF(G3491&lt;&gt;"",G3491,IF(B3491="","",IFERROR(IF(INDEX(pr_rate,MATCH(B3491,pr_code,0))="","",INDEX(pr_rate,MATCH(B3491,pr_code,0))),""))))</f>
        <v/>
      </c>
      <c r="L3491" s="65" t="str">
        <f>IF(COUNTA(A3491:G3491)=0,"",IF(AND(ISNUMBER(D3491),ISNUMBER(J3491)),ROUND(D3491*J3491*(1-N(F3491)),2),0))</f>
        <v/>
      </c>
      <c r="M3491" s="62" t="str">
        <f>IF(A3491="","",IFERROR(INDEX(fa_cname,MATCH(A3491,fa_num,0))&amp;"",""))</f>
        <v/>
      </c>
      <c r="N3491" s="59" t="str">
        <f>IF(COUNTA(A3491:G3491)=0,"",IF(A3491="","N° facture manquant",IF(ISNA(MATCH(A3491,fa_num,0)),"Facture inconnue",IF(AND(B3491&lt;&gt;"",ISNA(MATCH(B3491,pr_code,0))),"Article inconnu",IF(H3491="","Désignation manquante",IF(OR(NOT(ISNUMBER(D3491)),N(D3491)&lt;=0),"Quantité invalide",IF(J3491="","Prix manquant",IF(OR(NOT(ISNUMBER(J3491)),N(J3491)&lt;0),"Prix invalide",IF(OR(AND(F3491&lt;&gt;"",NOT(ISNUMBER(F3491))),N(F3491)&lt;0,N(F3491)&gt;1),"Remise invalide",IF(K3491="","Taux de TVA manquant",IF(NOT(ISNUMBER(K3491)),"Taux de TVA invalide",IF(COUNTIF(p_rates,K3491)=0,"Taux de TVA hors liste (Paramètres)",IF(N(O3491)&gt;25,"Au-delà de 25 lignes : non imprimée","OK")))))))))))))</f>
        <v/>
      </c>
      <c r="O3491" s="59" t="str">
        <f>IF(A3491="","",COUNTIF($A$6:A3491,A3491))</f>
        <v/>
      </c>
      <c r="P3491" s="62" t="str">
        <f>IF(A3491="","",A3491&amp;"|"&amp;O3491)</f>
        <v/>
      </c>
    </row>
    <row r="3492">
      <c r="A3492" s="60" t="n"/>
      <c r="B3492" s="63" t="n"/>
      <c r="C3492" s="63" t="n"/>
      <c r="D3492" s="67" t="n"/>
      <c r="E3492" s="68" t="n"/>
      <c r="F3492" s="69" t="n"/>
      <c r="G3492" s="70" t="n"/>
      <c r="H3492" s="62" t="str">
        <f>IF(COUNTA(A3492:G3492)=0,"",IF(C3492&lt;&gt;"",C3492,IF(B3492="","",IFERROR(INDEX(pr_des,MATCH(B3492,pr_code,0))&amp;"",""))))</f>
        <v/>
      </c>
      <c r="I3492" s="59" t="str">
        <f>IF(B3492="","",IFERROR(INDEX(pr_unit,MATCH(B3492,pr_code,0))&amp;"",""))</f>
        <v/>
      </c>
      <c r="J3492" s="65" t="str">
        <f>IF(COUNTA(A3492:G3492)=0,"",IF(E3492&lt;&gt;"",E3492,IF(B3492="","",IFERROR(IF(INDEX(pr_price,MATCH(B3492,pr_code,0))="","",INDEX(pr_price,MATCH(B3492,pr_code,0))),""))))</f>
        <v/>
      </c>
      <c r="K3492" s="71" t="str">
        <f>IF(COUNTA(A3492:G3492)=0,"",IF(G3492&lt;&gt;"",G3492,IF(B3492="","",IFERROR(IF(INDEX(pr_rate,MATCH(B3492,pr_code,0))="","",INDEX(pr_rate,MATCH(B3492,pr_code,0))),""))))</f>
        <v/>
      </c>
      <c r="L3492" s="65" t="str">
        <f>IF(COUNTA(A3492:G3492)=0,"",IF(AND(ISNUMBER(D3492),ISNUMBER(J3492)),ROUND(D3492*J3492*(1-N(F3492)),2),0))</f>
        <v/>
      </c>
      <c r="M3492" s="62" t="str">
        <f>IF(A3492="","",IFERROR(INDEX(fa_cname,MATCH(A3492,fa_num,0))&amp;"",""))</f>
        <v/>
      </c>
      <c r="N3492" s="59" t="str">
        <f>IF(COUNTA(A3492:G3492)=0,"",IF(A3492="","N° facture manquant",IF(ISNA(MATCH(A3492,fa_num,0)),"Facture inconnue",IF(AND(B3492&lt;&gt;"",ISNA(MATCH(B3492,pr_code,0))),"Article inconnu",IF(H3492="","Désignation manquante",IF(OR(NOT(ISNUMBER(D3492)),N(D3492)&lt;=0),"Quantité invalide",IF(J3492="","Prix manquant",IF(OR(NOT(ISNUMBER(J3492)),N(J3492)&lt;0),"Prix invalide",IF(OR(AND(F3492&lt;&gt;"",NOT(ISNUMBER(F3492))),N(F3492)&lt;0,N(F3492)&gt;1),"Remise invalide",IF(K3492="","Taux de TVA manquant",IF(NOT(ISNUMBER(K3492)),"Taux de TVA invalide",IF(COUNTIF(p_rates,K3492)=0,"Taux de TVA hors liste (Paramètres)",IF(N(O3492)&gt;25,"Au-delà de 25 lignes : non imprimée","OK")))))))))))))</f>
        <v/>
      </c>
      <c r="O3492" s="59" t="str">
        <f>IF(A3492="","",COUNTIF($A$6:A3492,A3492))</f>
        <v/>
      </c>
      <c r="P3492" s="62" t="str">
        <f>IF(A3492="","",A3492&amp;"|"&amp;O3492)</f>
        <v/>
      </c>
    </row>
    <row r="3493">
      <c r="A3493" s="60" t="n"/>
      <c r="B3493" s="63" t="n"/>
      <c r="C3493" s="63" t="n"/>
      <c r="D3493" s="67" t="n"/>
      <c r="E3493" s="68" t="n"/>
      <c r="F3493" s="69" t="n"/>
      <c r="G3493" s="70" t="n"/>
      <c r="H3493" s="62" t="str">
        <f>IF(COUNTA(A3493:G3493)=0,"",IF(C3493&lt;&gt;"",C3493,IF(B3493="","",IFERROR(INDEX(pr_des,MATCH(B3493,pr_code,0))&amp;"",""))))</f>
        <v/>
      </c>
      <c r="I3493" s="59" t="str">
        <f>IF(B3493="","",IFERROR(INDEX(pr_unit,MATCH(B3493,pr_code,0))&amp;"",""))</f>
        <v/>
      </c>
      <c r="J3493" s="65" t="str">
        <f>IF(COUNTA(A3493:G3493)=0,"",IF(E3493&lt;&gt;"",E3493,IF(B3493="","",IFERROR(IF(INDEX(pr_price,MATCH(B3493,pr_code,0))="","",INDEX(pr_price,MATCH(B3493,pr_code,0))),""))))</f>
        <v/>
      </c>
      <c r="K3493" s="71" t="str">
        <f>IF(COUNTA(A3493:G3493)=0,"",IF(G3493&lt;&gt;"",G3493,IF(B3493="","",IFERROR(IF(INDEX(pr_rate,MATCH(B3493,pr_code,0))="","",INDEX(pr_rate,MATCH(B3493,pr_code,0))),""))))</f>
        <v/>
      </c>
      <c r="L3493" s="65" t="str">
        <f>IF(COUNTA(A3493:G3493)=0,"",IF(AND(ISNUMBER(D3493),ISNUMBER(J3493)),ROUND(D3493*J3493*(1-N(F3493)),2),0))</f>
        <v/>
      </c>
      <c r="M3493" s="62" t="str">
        <f>IF(A3493="","",IFERROR(INDEX(fa_cname,MATCH(A3493,fa_num,0))&amp;"",""))</f>
        <v/>
      </c>
      <c r="N3493" s="59" t="str">
        <f>IF(COUNTA(A3493:G3493)=0,"",IF(A3493="","N° facture manquant",IF(ISNA(MATCH(A3493,fa_num,0)),"Facture inconnue",IF(AND(B3493&lt;&gt;"",ISNA(MATCH(B3493,pr_code,0))),"Article inconnu",IF(H3493="","Désignation manquante",IF(OR(NOT(ISNUMBER(D3493)),N(D3493)&lt;=0),"Quantité invalide",IF(J3493="","Prix manquant",IF(OR(NOT(ISNUMBER(J3493)),N(J3493)&lt;0),"Prix invalide",IF(OR(AND(F3493&lt;&gt;"",NOT(ISNUMBER(F3493))),N(F3493)&lt;0,N(F3493)&gt;1),"Remise invalide",IF(K3493="","Taux de TVA manquant",IF(NOT(ISNUMBER(K3493)),"Taux de TVA invalide",IF(COUNTIF(p_rates,K3493)=0,"Taux de TVA hors liste (Paramètres)",IF(N(O3493)&gt;25,"Au-delà de 25 lignes : non imprimée","OK")))))))))))))</f>
        <v/>
      </c>
      <c r="O3493" s="59" t="str">
        <f>IF(A3493="","",COUNTIF($A$6:A3493,A3493))</f>
        <v/>
      </c>
      <c r="P3493" s="62" t="str">
        <f>IF(A3493="","",A3493&amp;"|"&amp;O3493)</f>
        <v/>
      </c>
    </row>
    <row r="3494">
      <c r="A3494" s="60" t="n"/>
      <c r="B3494" s="63" t="n"/>
      <c r="C3494" s="63" t="n"/>
      <c r="D3494" s="67" t="n"/>
      <c r="E3494" s="68" t="n"/>
      <c r="F3494" s="69" t="n"/>
      <c r="G3494" s="70" t="n"/>
      <c r="H3494" s="62" t="str">
        <f>IF(COUNTA(A3494:G3494)=0,"",IF(C3494&lt;&gt;"",C3494,IF(B3494="","",IFERROR(INDEX(pr_des,MATCH(B3494,pr_code,0))&amp;"",""))))</f>
        <v/>
      </c>
      <c r="I3494" s="59" t="str">
        <f>IF(B3494="","",IFERROR(INDEX(pr_unit,MATCH(B3494,pr_code,0))&amp;"",""))</f>
        <v/>
      </c>
      <c r="J3494" s="65" t="str">
        <f>IF(COUNTA(A3494:G3494)=0,"",IF(E3494&lt;&gt;"",E3494,IF(B3494="","",IFERROR(IF(INDEX(pr_price,MATCH(B3494,pr_code,0))="","",INDEX(pr_price,MATCH(B3494,pr_code,0))),""))))</f>
        <v/>
      </c>
      <c r="K3494" s="71" t="str">
        <f>IF(COUNTA(A3494:G3494)=0,"",IF(G3494&lt;&gt;"",G3494,IF(B3494="","",IFERROR(IF(INDEX(pr_rate,MATCH(B3494,pr_code,0))="","",INDEX(pr_rate,MATCH(B3494,pr_code,0))),""))))</f>
        <v/>
      </c>
      <c r="L3494" s="65" t="str">
        <f>IF(COUNTA(A3494:G3494)=0,"",IF(AND(ISNUMBER(D3494),ISNUMBER(J3494)),ROUND(D3494*J3494*(1-N(F3494)),2),0))</f>
        <v/>
      </c>
      <c r="M3494" s="62" t="str">
        <f>IF(A3494="","",IFERROR(INDEX(fa_cname,MATCH(A3494,fa_num,0))&amp;"",""))</f>
        <v/>
      </c>
      <c r="N3494" s="59" t="str">
        <f>IF(COUNTA(A3494:G3494)=0,"",IF(A3494="","N° facture manquant",IF(ISNA(MATCH(A3494,fa_num,0)),"Facture inconnue",IF(AND(B3494&lt;&gt;"",ISNA(MATCH(B3494,pr_code,0))),"Article inconnu",IF(H3494="","Désignation manquante",IF(OR(NOT(ISNUMBER(D3494)),N(D3494)&lt;=0),"Quantité invalide",IF(J3494="","Prix manquant",IF(OR(NOT(ISNUMBER(J3494)),N(J3494)&lt;0),"Prix invalide",IF(OR(AND(F3494&lt;&gt;"",NOT(ISNUMBER(F3494))),N(F3494)&lt;0,N(F3494)&gt;1),"Remise invalide",IF(K3494="","Taux de TVA manquant",IF(NOT(ISNUMBER(K3494)),"Taux de TVA invalide",IF(COUNTIF(p_rates,K3494)=0,"Taux de TVA hors liste (Paramètres)",IF(N(O3494)&gt;25,"Au-delà de 25 lignes : non imprimée","OK")))))))))))))</f>
        <v/>
      </c>
      <c r="O3494" s="59" t="str">
        <f>IF(A3494="","",COUNTIF($A$6:A3494,A3494))</f>
        <v/>
      </c>
      <c r="P3494" s="62" t="str">
        <f>IF(A3494="","",A3494&amp;"|"&amp;O3494)</f>
        <v/>
      </c>
    </row>
    <row r="3495">
      <c r="A3495" s="60" t="n"/>
      <c r="B3495" s="63" t="n"/>
      <c r="C3495" s="63" t="n"/>
      <c r="D3495" s="67" t="n"/>
      <c r="E3495" s="68" t="n"/>
      <c r="F3495" s="69" t="n"/>
      <c r="G3495" s="70" t="n"/>
      <c r="H3495" s="62" t="str">
        <f>IF(COUNTA(A3495:G3495)=0,"",IF(C3495&lt;&gt;"",C3495,IF(B3495="","",IFERROR(INDEX(pr_des,MATCH(B3495,pr_code,0))&amp;"",""))))</f>
        <v/>
      </c>
      <c r="I3495" s="59" t="str">
        <f>IF(B3495="","",IFERROR(INDEX(pr_unit,MATCH(B3495,pr_code,0))&amp;"",""))</f>
        <v/>
      </c>
      <c r="J3495" s="65" t="str">
        <f>IF(COUNTA(A3495:G3495)=0,"",IF(E3495&lt;&gt;"",E3495,IF(B3495="","",IFERROR(IF(INDEX(pr_price,MATCH(B3495,pr_code,0))="","",INDEX(pr_price,MATCH(B3495,pr_code,0))),""))))</f>
        <v/>
      </c>
      <c r="K3495" s="71" t="str">
        <f>IF(COUNTA(A3495:G3495)=0,"",IF(G3495&lt;&gt;"",G3495,IF(B3495="","",IFERROR(IF(INDEX(pr_rate,MATCH(B3495,pr_code,0))="","",INDEX(pr_rate,MATCH(B3495,pr_code,0))),""))))</f>
        <v/>
      </c>
      <c r="L3495" s="65" t="str">
        <f>IF(COUNTA(A3495:G3495)=0,"",IF(AND(ISNUMBER(D3495),ISNUMBER(J3495)),ROUND(D3495*J3495*(1-N(F3495)),2),0))</f>
        <v/>
      </c>
      <c r="M3495" s="62" t="str">
        <f>IF(A3495="","",IFERROR(INDEX(fa_cname,MATCH(A3495,fa_num,0))&amp;"",""))</f>
        <v/>
      </c>
      <c r="N3495" s="59" t="str">
        <f>IF(COUNTA(A3495:G3495)=0,"",IF(A3495="","N° facture manquant",IF(ISNA(MATCH(A3495,fa_num,0)),"Facture inconnue",IF(AND(B3495&lt;&gt;"",ISNA(MATCH(B3495,pr_code,0))),"Article inconnu",IF(H3495="","Désignation manquante",IF(OR(NOT(ISNUMBER(D3495)),N(D3495)&lt;=0),"Quantité invalide",IF(J3495="","Prix manquant",IF(OR(NOT(ISNUMBER(J3495)),N(J3495)&lt;0),"Prix invalide",IF(OR(AND(F3495&lt;&gt;"",NOT(ISNUMBER(F3495))),N(F3495)&lt;0,N(F3495)&gt;1),"Remise invalide",IF(K3495="","Taux de TVA manquant",IF(NOT(ISNUMBER(K3495)),"Taux de TVA invalide",IF(COUNTIF(p_rates,K3495)=0,"Taux de TVA hors liste (Paramètres)",IF(N(O3495)&gt;25,"Au-delà de 25 lignes : non imprimée","OK")))))))))))))</f>
        <v/>
      </c>
      <c r="O3495" s="59" t="str">
        <f>IF(A3495="","",COUNTIF($A$6:A3495,A3495))</f>
        <v/>
      </c>
      <c r="P3495" s="62" t="str">
        <f>IF(A3495="","",A3495&amp;"|"&amp;O3495)</f>
        <v/>
      </c>
    </row>
    <row r="3496">
      <c r="A3496" s="60" t="n"/>
      <c r="B3496" s="63" t="n"/>
      <c r="C3496" s="63" t="n"/>
      <c r="D3496" s="67" t="n"/>
      <c r="E3496" s="68" t="n"/>
      <c r="F3496" s="69" t="n"/>
      <c r="G3496" s="70" t="n"/>
      <c r="H3496" s="62" t="str">
        <f>IF(COUNTA(A3496:G3496)=0,"",IF(C3496&lt;&gt;"",C3496,IF(B3496="","",IFERROR(INDEX(pr_des,MATCH(B3496,pr_code,0))&amp;"",""))))</f>
        <v/>
      </c>
      <c r="I3496" s="59" t="str">
        <f>IF(B3496="","",IFERROR(INDEX(pr_unit,MATCH(B3496,pr_code,0))&amp;"",""))</f>
        <v/>
      </c>
      <c r="J3496" s="65" t="str">
        <f>IF(COUNTA(A3496:G3496)=0,"",IF(E3496&lt;&gt;"",E3496,IF(B3496="","",IFERROR(IF(INDEX(pr_price,MATCH(B3496,pr_code,0))="","",INDEX(pr_price,MATCH(B3496,pr_code,0))),""))))</f>
        <v/>
      </c>
      <c r="K3496" s="71" t="str">
        <f>IF(COUNTA(A3496:G3496)=0,"",IF(G3496&lt;&gt;"",G3496,IF(B3496="","",IFERROR(IF(INDEX(pr_rate,MATCH(B3496,pr_code,0))="","",INDEX(pr_rate,MATCH(B3496,pr_code,0))),""))))</f>
        <v/>
      </c>
      <c r="L3496" s="65" t="str">
        <f>IF(COUNTA(A3496:G3496)=0,"",IF(AND(ISNUMBER(D3496),ISNUMBER(J3496)),ROUND(D3496*J3496*(1-N(F3496)),2),0))</f>
        <v/>
      </c>
      <c r="M3496" s="62" t="str">
        <f>IF(A3496="","",IFERROR(INDEX(fa_cname,MATCH(A3496,fa_num,0))&amp;"",""))</f>
        <v/>
      </c>
      <c r="N3496" s="59" t="str">
        <f>IF(COUNTA(A3496:G3496)=0,"",IF(A3496="","N° facture manquant",IF(ISNA(MATCH(A3496,fa_num,0)),"Facture inconnue",IF(AND(B3496&lt;&gt;"",ISNA(MATCH(B3496,pr_code,0))),"Article inconnu",IF(H3496="","Désignation manquante",IF(OR(NOT(ISNUMBER(D3496)),N(D3496)&lt;=0),"Quantité invalide",IF(J3496="","Prix manquant",IF(OR(NOT(ISNUMBER(J3496)),N(J3496)&lt;0),"Prix invalide",IF(OR(AND(F3496&lt;&gt;"",NOT(ISNUMBER(F3496))),N(F3496)&lt;0,N(F3496)&gt;1),"Remise invalide",IF(K3496="","Taux de TVA manquant",IF(NOT(ISNUMBER(K3496)),"Taux de TVA invalide",IF(COUNTIF(p_rates,K3496)=0,"Taux de TVA hors liste (Paramètres)",IF(N(O3496)&gt;25,"Au-delà de 25 lignes : non imprimée","OK")))))))))))))</f>
        <v/>
      </c>
      <c r="O3496" s="59" t="str">
        <f>IF(A3496="","",COUNTIF($A$6:A3496,A3496))</f>
        <v/>
      </c>
      <c r="P3496" s="62" t="str">
        <f>IF(A3496="","",A3496&amp;"|"&amp;O3496)</f>
        <v/>
      </c>
    </row>
    <row r="3497">
      <c r="A3497" s="60" t="n"/>
      <c r="B3497" s="63" t="n"/>
      <c r="C3497" s="63" t="n"/>
      <c r="D3497" s="67" t="n"/>
      <c r="E3497" s="68" t="n"/>
      <c r="F3497" s="69" t="n"/>
      <c r="G3497" s="70" t="n"/>
      <c r="H3497" s="62" t="str">
        <f>IF(COUNTA(A3497:G3497)=0,"",IF(C3497&lt;&gt;"",C3497,IF(B3497="","",IFERROR(INDEX(pr_des,MATCH(B3497,pr_code,0))&amp;"",""))))</f>
        <v/>
      </c>
      <c r="I3497" s="59" t="str">
        <f>IF(B3497="","",IFERROR(INDEX(pr_unit,MATCH(B3497,pr_code,0))&amp;"",""))</f>
        <v/>
      </c>
      <c r="J3497" s="65" t="str">
        <f>IF(COUNTA(A3497:G3497)=0,"",IF(E3497&lt;&gt;"",E3497,IF(B3497="","",IFERROR(IF(INDEX(pr_price,MATCH(B3497,pr_code,0))="","",INDEX(pr_price,MATCH(B3497,pr_code,0))),""))))</f>
        <v/>
      </c>
      <c r="K3497" s="71" t="str">
        <f>IF(COUNTA(A3497:G3497)=0,"",IF(G3497&lt;&gt;"",G3497,IF(B3497="","",IFERROR(IF(INDEX(pr_rate,MATCH(B3497,pr_code,0))="","",INDEX(pr_rate,MATCH(B3497,pr_code,0))),""))))</f>
        <v/>
      </c>
      <c r="L3497" s="65" t="str">
        <f>IF(COUNTA(A3497:G3497)=0,"",IF(AND(ISNUMBER(D3497),ISNUMBER(J3497)),ROUND(D3497*J3497*(1-N(F3497)),2),0))</f>
        <v/>
      </c>
      <c r="M3497" s="62" t="str">
        <f>IF(A3497="","",IFERROR(INDEX(fa_cname,MATCH(A3497,fa_num,0))&amp;"",""))</f>
        <v/>
      </c>
      <c r="N3497" s="59" t="str">
        <f>IF(COUNTA(A3497:G3497)=0,"",IF(A3497="","N° facture manquant",IF(ISNA(MATCH(A3497,fa_num,0)),"Facture inconnue",IF(AND(B3497&lt;&gt;"",ISNA(MATCH(B3497,pr_code,0))),"Article inconnu",IF(H3497="","Désignation manquante",IF(OR(NOT(ISNUMBER(D3497)),N(D3497)&lt;=0),"Quantité invalide",IF(J3497="","Prix manquant",IF(OR(NOT(ISNUMBER(J3497)),N(J3497)&lt;0),"Prix invalide",IF(OR(AND(F3497&lt;&gt;"",NOT(ISNUMBER(F3497))),N(F3497)&lt;0,N(F3497)&gt;1),"Remise invalide",IF(K3497="","Taux de TVA manquant",IF(NOT(ISNUMBER(K3497)),"Taux de TVA invalide",IF(COUNTIF(p_rates,K3497)=0,"Taux de TVA hors liste (Paramètres)",IF(N(O3497)&gt;25,"Au-delà de 25 lignes : non imprimée","OK")))))))))))))</f>
        <v/>
      </c>
      <c r="O3497" s="59" t="str">
        <f>IF(A3497="","",COUNTIF($A$6:A3497,A3497))</f>
        <v/>
      </c>
      <c r="P3497" s="62" t="str">
        <f>IF(A3497="","",A3497&amp;"|"&amp;O3497)</f>
        <v/>
      </c>
    </row>
    <row r="3498">
      <c r="A3498" s="60" t="n"/>
      <c r="B3498" s="63" t="n"/>
      <c r="C3498" s="63" t="n"/>
      <c r="D3498" s="67" t="n"/>
      <c r="E3498" s="68" t="n"/>
      <c r="F3498" s="69" t="n"/>
      <c r="G3498" s="70" t="n"/>
      <c r="H3498" s="62" t="str">
        <f>IF(COUNTA(A3498:G3498)=0,"",IF(C3498&lt;&gt;"",C3498,IF(B3498="","",IFERROR(INDEX(pr_des,MATCH(B3498,pr_code,0))&amp;"",""))))</f>
        <v/>
      </c>
      <c r="I3498" s="59" t="str">
        <f>IF(B3498="","",IFERROR(INDEX(pr_unit,MATCH(B3498,pr_code,0))&amp;"",""))</f>
        <v/>
      </c>
      <c r="J3498" s="65" t="str">
        <f>IF(COUNTA(A3498:G3498)=0,"",IF(E3498&lt;&gt;"",E3498,IF(B3498="","",IFERROR(IF(INDEX(pr_price,MATCH(B3498,pr_code,0))="","",INDEX(pr_price,MATCH(B3498,pr_code,0))),""))))</f>
        <v/>
      </c>
      <c r="K3498" s="71" t="str">
        <f>IF(COUNTA(A3498:G3498)=0,"",IF(G3498&lt;&gt;"",G3498,IF(B3498="","",IFERROR(IF(INDEX(pr_rate,MATCH(B3498,pr_code,0))="","",INDEX(pr_rate,MATCH(B3498,pr_code,0))),""))))</f>
        <v/>
      </c>
      <c r="L3498" s="65" t="str">
        <f>IF(COUNTA(A3498:G3498)=0,"",IF(AND(ISNUMBER(D3498),ISNUMBER(J3498)),ROUND(D3498*J3498*(1-N(F3498)),2),0))</f>
        <v/>
      </c>
      <c r="M3498" s="62" t="str">
        <f>IF(A3498="","",IFERROR(INDEX(fa_cname,MATCH(A3498,fa_num,0))&amp;"",""))</f>
        <v/>
      </c>
      <c r="N3498" s="59" t="str">
        <f>IF(COUNTA(A3498:G3498)=0,"",IF(A3498="","N° facture manquant",IF(ISNA(MATCH(A3498,fa_num,0)),"Facture inconnue",IF(AND(B3498&lt;&gt;"",ISNA(MATCH(B3498,pr_code,0))),"Article inconnu",IF(H3498="","Désignation manquante",IF(OR(NOT(ISNUMBER(D3498)),N(D3498)&lt;=0),"Quantité invalide",IF(J3498="","Prix manquant",IF(OR(NOT(ISNUMBER(J3498)),N(J3498)&lt;0),"Prix invalide",IF(OR(AND(F3498&lt;&gt;"",NOT(ISNUMBER(F3498))),N(F3498)&lt;0,N(F3498)&gt;1),"Remise invalide",IF(K3498="","Taux de TVA manquant",IF(NOT(ISNUMBER(K3498)),"Taux de TVA invalide",IF(COUNTIF(p_rates,K3498)=0,"Taux de TVA hors liste (Paramètres)",IF(N(O3498)&gt;25,"Au-delà de 25 lignes : non imprimée","OK")))))))))))))</f>
        <v/>
      </c>
      <c r="O3498" s="59" t="str">
        <f>IF(A3498="","",COUNTIF($A$6:A3498,A3498))</f>
        <v/>
      </c>
      <c r="P3498" s="62" t="str">
        <f>IF(A3498="","",A3498&amp;"|"&amp;O3498)</f>
        <v/>
      </c>
    </row>
    <row r="3499">
      <c r="A3499" s="60" t="n"/>
      <c r="B3499" s="63" t="n"/>
      <c r="C3499" s="63" t="n"/>
      <c r="D3499" s="67" t="n"/>
      <c r="E3499" s="68" t="n"/>
      <c r="F3499" s="69" t="n"/>
      <c r="G3499" s="70" t="n"/>
      <c r="H3499" s="62" t="str">
        <f>IF(COUNTA(A3499:G3499)=0,"",IF(C3499&lt;&gt;"",C3499,IF(B3499="","",IFERROR(INDEX(pr_des,MATCH(B3499,pr_code,0))&amp;"",""))))</f>
        <v/>
      </c>
      <c r="I3499" s="59" t="str">
        <f>IF(B3499="","",IFERROR(INDEX(pr_unit,MATCH(B3499,pr_code,0))&amp;"",""))</f>
        <v/>
      </c>
      <c r="J3499" s="65" t="str">
        <f>IF(COUNTA(A3499:G3499)=0,"",IF(E3499&lt;&gt;"",E3499,IF(B3499="","",IFERROR(IF(INDEX(pr_price,MATCH(B3499,pr_code,0))="","",INDEX(pr_price,MATCH(B3499,pr_code,0))),""))))</f>
        <v/>
      </c>
      <c r="K3499" s="71" t="str">
        <f>IF(COUNTA(A3499:G3499)=0,"",IF(G3499&lt;&gt;"",G3499,IF(B3499="","",IFERROR(IF(INDEX(pr_rate,MATCH(B3499,pr_code,0))="","",INDEX(pr_rate,MATCH(B3499,pr_code,0))),""))))</f>
        <v/>
      </c>
      <c r="L3499" s="65" t="str">
        <f>IF(COUNTA(A3499:G3499)=0,"",IF(AND(ISNUMBER(D3499),ISNUMBER(J3499)),ROUND(D3499*J3499*(1-N(F3499)),2),0))</f>
        <v/>
      </c>
      <c r="M3499" s="62" t="str">
        <f>IF(A3499="","",IFERROR(INDEX(fa_cname,MATCH(A3499,fa_num,0))&amp;"",""))</f>
        <v/>
      </c>
      <c r="N3499" s="59" t="str">
        <f>IF(COUNTA(A3499:G3499)=0,"",IF(A3499="","N° facture manquant",IF(ISNA(MATCH(A3499,fa_num,0)),"Facture inconnue",IF(AND(B3499&lt;&gt;"",ISNA(MATCH(B3499,pr_code,0))),"Article inconnu",IF(H3499="","Désignation manquante",IF(OR(NOT(ISNUMBER(D3499)),N(D3499)&lt;=0),"Quantité invalide",IF(J3499="","Prix manquant",IF(OR(NOT(ISNUMBER(J3499)),N(J3499)&lt;0),"Prix invalide",IF(OR(AND(F3499&lt;&gt;"",NOT(ISNUMBER(F3499))),N(F3499)&lt;0,N(F3499)&gt;1),"Remise invalide",IF(K3499="","Taux de TVA manquant",IF(NOT(ISNUMBER(K3499)),"Taux de TVA invalide",IF(COUNTIF(p_rates,K3499)=0,"Taux de TVA hors liste (Paramètres)",IF(N(O3499)&gt;25,"Au-delà de 25 lignes : non imprimée","OK")))))))))))))</f>
        <v/>
      </c>
      <c r="O3499" s="59" t="str">
        <f>IF(A3499="","",COUNTIF($A$6:A3499,A3499))</f>
        <v/>
      </c>
      <c r="P3499" s="62" t="str">
        <f>IF(A3499="","",A3499&amp;"|"&amp;O3499)</f>
        <v/>
      </c>
    </row>
    <row r="3500">
      <c r="A3500" s="60" t="n"/>
      <c r="B3500" s="63" t="n"/>
      <c r="C3500" s="63" t="n"/>
      <c r="D3500" s="67" t="n"/>
      <c r="E3500" s="68" t="n"/>
      <c r="F3500" s="69" t="n"/>
      <c r="G3500" s="70" t="n"/>
      <c r="H3500" s="62" t="str">
        <f>IF(COUNTA(A3500:G3500)=0,"",IF(C3500&lt;&gt;"",C3500,IF(B3500="","",IFERROR(INDEX(pr_des,MATCH(B3500,pr_code,0))&amp;"",""))))</f>
        <v/>
      </c>
      <c r="I3500" s="59" t="str">
        <f>IF(B3500="","",IFERROR(INDEX(pr_unit,MATCH(B3500,pr_code,0))&amp;"",""))</f>
        <v/>
      </c>
      <c r="J3500" s="65" t="str">
        <f>IF(COUNTA(A3500:G3500)=0,"",IF(E3500&lt;&gt;"",E3500,IF(B3500="","",IFERROR(IF(INDEX(pr_price,MATCH(B3500,pr_code,0))="","",INDEX(pr_price,MATCH(B3500,pr_code,0))),""))))</f>
        <v/>
      </c>
      <c r="K3500" s="71" t="str">
        <f>IF(COUNTA(A3500:G3500)=0,"",IF(G3500&lt;&gt;"",G3500,IF(B3500="","",IFERROR(IF(INDEX(pr_rate,MATCH(B3500,pr_code,0))="","",INDEX(pr_rate,MATCH(B3500,pr_code,0))),""))))</f>
        <v/>
      </c>
      <c r="L3500" s="65" t="str">
        <f>IF(COUNTA(A3500:G3500)=0,"",IF(AND(ISNUMBER(D3500),ISNUMBER(J3500)),ROUND(D3500*J3500*(1-N(F3500)),2),0))</f>
        <v/>
      </c>
      <c r="M3500" s="62" t="str">
        <f>IF(A3500="","",IFERROR(INDEX(fa_cname,MATCH(A3500,fa_num,0))&amp;"",""))</f>
        <v/>
      </c>
      <c r="N3500" s="59" t="str">
        <f>IF(COUNTA(A3500:G3500)=0,"",IF(A3500="","N° facture manquant",IF(ISNA(MATCH(A3500,fa_num,0)),"Facture inconnue",IF(AND(B3500&lt;&gt;"",ISNA(MATCH(B3500,pr_code,0))),"Article inconnu",IF(H3500="","Désignation manquante",IF(OR(NOT(ISNUMBER(D3500)),N(D3500)&lt;=0),"Quantité invalide",IF(J3500="","Prix manquant",IF(OR(NOT(ISNUMBER(J3500)),N(J3500)&lt;0),"Prix invalide",IF(OR(AND(F3500&lt;&gt;"",NOT(ISNUMBER(F3500))),N(F3500)&lt;0,N(F3500)&gt;1),"Remise invalide",IF(K3500="","Taux de TVA manquant",IF(NOT(ISNUMBER(K3500)),"Taux de TVA invalide",IF(COUNTIF(p_rates,K3500)=0,"Taux de TVA hors liste (Paramètres)",IF(N(O3500)&gt;25,"Au-delà de 25 lignes : non imprimée","OK")))))))))))))</f>
        <v/>
      </c>
      <c r="O3500" s="59" t="str">
        <f>IF(A3500="","",COUNTIF($A$6:A3500,A3500))</f>
        <v/>
      </c>
      <c r="P3500" s="62" t="str">
        <f>IF(A3500="","",A3500&amp;"|"&amp;O3500)</f>
        <v/>
      </c>
    </row>
    <row r="3501">
      <c r="A3501" s="60" t="n"/>
      <c r="B3501" s="63" t="n"/>
      <c r="C3501" s="63" t="n"/>
      <c r="D3501" s="67" t="n"/>
      <c r="E3501" s="68" t="n"/>
      <c r="F3501" s="69" t="n"/>
      <c r="G3501" s="70" t="n"/>
      <c r="H3501" s="62" t="str">
        <f>IF(COUNTA(A3501:G3501)=0,"",IF(C3501&lt;&gt;"",C3501,IF(B3501="","",IFERROR(INDEX(pr_des,MATCH(B3501,pr_code,0))&amp;"",""))))</f>
        <v/>
      </c>
      <c r="I3501" s="59" t="str">
        <f>IF(B3501="","",IFERROR(INDEX(pr_unit,MATCH(B3501,pr_code,0))&amp;"",""))</f>
        <v/>
      </c>
      <c r="J3501" s="65" t="str">
        <f>IF(COUNTA(A3501:G3501)=0,"",IF(E3501&lt;&gt;"",E3501,IF(B3501="","",IFERROR(IF(INDEX(pr_price,MATCH(B3501,pr_code,0))="","",INDEX(pr_price,MATCH(B3501,pr_code,0))),""))))</f>
        <v/>
      </c>
      <c r="K3501" s="71" t="str">
        <f>IF(COUNTA(A3501:G3501)=0,"",IF(G3501&lt;&gt;"",G3501,IF(B3501="","",IFERROR(IF(INDEX(pr_rate,MATCH(B3501,pr_code,0))="","",INDEX(pr_rate,MATCH(B3501,pr_code,0))),""))))</f>
        <v/>
      </c>
      <c r="L3501" s="65" t="str">
        <f>IF(COUNTA(A3501:G3501)=0,"",IF(AND(ISNUMBER(D3501),ISNUMBER(J3501)),ROUND(D3501*J3501*(1-N(F3501)),2),0))</f>
        <v/>
      </c>
      <c r="M3501" s="62" t="str">
        <f>IF(A3501="","",IFERROR(INDEX(fa_cname,MATCH(A3501,fa_num,0))&amp;"",""))</f>
        <v/>
      </c>
      <c r="N3501" s="59" t="str">
        <f>IF(COUNTA(A3501:G3501)=0,"",IF(A3501="","N° facture manquant",IF(ISNA(MATCH(A3501,fa_num,0)),"Facture inconnue",IF(AND(B3501&lt;&gt;"",ISNA(MATCH(B3501,pr_code,0))),"Article inconnu",IF(H3501="","Désignation manquante",IF(OR(NOT(ISNUMBER(D3501)),N(D3501)&lt;=0),"Quantité invalide",IF(J3501="","Prix manquant",IF(OR(NOT(ISNUMBER(J3501)),N(J3501)&lt;0),"Prix invalide",IF(OR(AND(F3501&lt;&gt;"",NOT(ISNUMBER(F3501))),N(F3501)&lt;0,N(F3501)&gt;1),"Remise invalide",IF(K3501="","Taux de TVA manquant",IF(NOT(ISNUMBER(K3501)),"Taux de TVA invalide",IF(COUNTIF(p_rates,K3501)=0,"Taux de TVA hors liste (Paramètres)",IF(N(O3501)&gt;25,"Au-delà de 25 lignes : non imprimée","OK")))))))))))))</f>
        <v/>
      </c>
      <c r="O3501" s="59" t="str">
        <f>IF(A3501="","",COUNTIF($A$6:A3501,A3501))</f>
        <v/>
      </c>
      <c r="P3501" s="62" t="str">
        <f>IF(A3501="","",A3501&amp;"|"&amp;O3501)</f>
        <v/>
      </c>
    </row>
    <row r="3502">
      <c r="A3502" s="60" t="n"/>
      <c r="B3502" s="63" t="n"/>
      <c r="C3502" s="63" t="n"/>
      <c r="D3502" s="67" t="n"/>
      <c r="E3502" s="68" t="n"/>
      <c r="F3502" s="69" t="n"/>
      <c r="G3502" s="70" t="n"/>
      <c r="H3502" s="62" t="str">
        <f>IF(COUNTA(A3502:G3502)=0,"",IF(C3502&lt;&gt;"",C3502,IF(B3502="","",IFERROR(INDEX(pr_des,MATCH(B3502,pr_code,0))&amp;"",""))))</f>
        <v/>
      </c>
      <c r="I3502" s="59" t="str">
        <f>IF(B3502="","",IFERROR(INDEX(pr_unit,MATCH(B3502,pr_code,0))&amp;"",""))</f>
        <v/>
      </c>
      <c r="J3502" s="65" t="str">
        <f>IF(COUNTA(A3502:G3502)=0,"",IF(E3502&lt;&gt;"",E3502,IF(B3502="","",IFERROR(IF(INDEX(pr_price,MATCH(B3502,pr_code,0))="","",INDEX(pr_price,MATCH(B3502,pr_code,0))),""))))</f>
        <v/>
      </c>
      <c r="K3502" s="71" t="str">
        <f>IF(COUNTA(A3502:G3502)=0,"",IF(G3502&lt;&gt;"",G3502,IF(B3502="","",IFERROR(IF(INDEX(pr_rate,MATCH(B3502,pr_code,0))="","",INDEX(pr_rate,MATCH(B3502,pr_code,0))),""))))</f>
        <v/>
      </c>
      <c r="L3502" s="65" t="str">
        <f>IF(COUNTA(A3502:G3502)=0,"",IF(AND(ISNUMBER(D3502),ISNUMBER(J3502)),ROUND(D3502*J3502*(1-N(F3502)),2),0))</f>
        <v/>
      </c>
      <c r="M3502" s="62" t="str">
        <f>IF(A3502="","",IFERROR(INDEX(fa_cname,MATCH(A3502,fa_num,0))&amp;"",""))</f>
        <v/>
      </c>
      <c r="N3502" s="59" t="str">
        <f>IF(COUNTA(A3502:G3502)=0,"",IF(A3502="","N° facture manquant",IF(ISNA(MATCH(A3502,fa_num,0)),"Facture inconnue",IF(AND(B3502&lt;&gt;"",ISNA(MATCH(B3502,pr_code,0))),"Article inconnu",IF(H3502="","Désignation manquante",IF(OR(NOT(ISNUMBER(D3502)),N(D3502)&lt;=0),"Quantité invalide",IF(J3502="","Prix manquant",IF(OR(NOT(ISNUMBER(J3502)),N(J3502)&lt;0),"Prix invalide",IF(OR(AND(F3502&lt;&gt;"",NOT(ISNUMBER(F3502))),N(F3502)&lt;0,N(F3502)&gt;1),"Remise invalide",IF(K3502="","Taux de TVA manquant",IF(NOT(ISNUMBER(K3502)),"Taux de TVA invalide",IF(COUNTIF(p_rates,K3502)=0,"Taux de TVA hors liste (Paramètres)",IF(N(O3502)&gt;25,"Au-delà de 25 lignes : non imprimée","OK")))))))))))))</f>
        <v/>
      </c>
      <c r="O3502" s="59" t="str">
        <f>IF(A3502="","",COUNTIF($A$6:A3502,A3502))</f>
        <v/>
      </c>
      <c r="P3502" s="62" t="str">
        <f>IF(A3502="","",A3502&amp;"|"&amp;O3502)</f>
        <v/>
      </c>
    </row>
    <row r="3503">
      <c r="A3503" s="60" t="n"/>
      <c r="B3503" s="63" t="n"/>
      <c r="C3503" s="63" t="n"/>
      <c r="D3503" s="67" t="n"/>
      <c r="E3503" s="68" t="n"/>
      <c r="F3503" s="69" t="n"/>
      <c r="G3503" s="70" t="n"/>
      <c r="H3503" s="62" t="str">
        <f>IF(COUNTA(A3503:G3503)=0,"",IF(C3503&lt;&gt;"",C3503,IF(B3503="","",IFERROR(INDEX(pr_des,MATCH(B3503,pr_code,0))&amp;"",""))))</f>
        <v/>
      </c>
      <c r="I3503" s="59" t="str">
        <f>IF(B3503="","",IFERROR(INDEX(pr_unit,MATCH(B3503,pr_code,0))&amp;"",""))</f>
        <v/>
      </c>
      <c r="J3503" s="65" t="str">
        <f>IF(COUNTA(A3503:G3503)=0,"",IF(E3503&lt;&gt;"",E3503,IF(B3503="","",IFERROR(IF(INDEX(pr_price,MATCH(B3503,pr_code,0))="","",INDEX(pr_price,MATCH(B3503,pr_code,0))),""))))</f>
        <v/>
      </c>
      <c r="K3503" s="71" t="str">
        <f>IF(COUNTA(A3503:G3503)=0,"",IF(G3503&lt;&gt;"",G3503,IF(B3503="","",IFERROR(IF(INDEX(pr_rate,MATCH(B3503,pr_code,0))="","",INDEX(pr_rate,MATCH(B3503,pr_code,0))),""))))</f>
        <v/>
      </c>
      <c r="L3503" s="65" t="str">
        <f>IF(COUNTA(A3503:G3503)=0,"",IF(AND(ISNUMBER(D3503),ISNUMBER(J3503)),ROUND(D3503*J3503*(1-N(F3503)),2),0))</f>
        <v/>
      </c>
      <c r="M3503" s="62" t="str">
        <f>IF(A3503="","",IFERROR(INDEX(fa_cname,MATCH(A3503,fa_num,0))&amp;"",""))</f>
        <v/>
      </c>
      <c r="N3503" s="59" t="str">
        <f>IF(COUNTA(A3503:G3503)=0,"",IF(A3503="","N° facture manquant",IF(ISNA(MATCH(A3503,fa_num,0)),"Facture inconnue",IF(AND(B3503&lt;&gt;"",ISNA(MATCH(B3503,pr_code,0))),"Article inconnu",IF(H3503="","Désignation manquante",IF(OR(NOT(ISNUMBER(D3503)),N(D3503)&lt;=0),"Quantité invalide",IF(J3503="","Prix manquant",IF(OR(NOT(ISNUMBER(J3503)),N(J3503)&lt;0),"Prix invalide",IF(OR(AND(F3503&lt;&gt;"",NOT(ISNUMBER(F3503))),N(F3503)&lt;0,N(F3503)&gt;1),"Remise invalide",IF(K3503="","Taux de TVA manquant",IF(NOT(ISNUMBER(K3503)),"Taux de TVA invalide",IF(COUNTIF(p_rates,K3503)=0,"Taux de TVA hors liste (Paramètres)",IF(N(O3503)&gt;25,"Au-delà de 25 lignes : non imprimée","OK")))))))))))))</f>
        <v/>
      </c>
      <c r="O3503" s="59" t="str">
        <f>IF(A3503="","",COUNTIF($A$6:A3503,A3503))</f>
        <v/>
      </c>
      <c r="P3503" s="62" t="str">
        <f>IF(A3503="","",A3503&amp;"|"&amp;O3503)</f>
        <v/>
      </c>
    </row>
    <row r="3504">
      <c r="A3504" s="60" t="n"/>
      <c r="B3504" s="63" t="n"/>
      <c r="C3504" s="63" t="n"/>
      <c r="D3504" s="67" t="n"/>
      <c r="E3504" s="68" t="n"/>
      <c r="F3504" s="69" t="n"/>
      <c r="G3504" s="70" t="n"/>
      <c r="H3504" s="62" t="str">
        <f>IF(COUNTA(A3504:G3504)=0,"",IF(C3504&lt;&gt;"",C3504,IF(B3504="","",IFERROR(INDEX(pr_des,MATCH(B3504,pr_code,0))&amp;"",""))))</f>
        <v/>
      </c>
      <c r="I3504" s="59" t="str">
        <f>IF(B3504="","",IFERROR(INDEX(pr_unit,MATCH(B3504,pr_code,0))&amp;"",""))</f>
        <v/>
      </c>
      <c r="J3504" s="65" t="str">
        <f>IF(COUNTA(A3504:G3504)=0,"",IF(E3504&lt;&gt;"",E3504,IF(B3504="","",IFERROR(IF(INDEX(pr_price,MATCH(B3504,pr_code,0))="","",INDEX(pr_price,MATCH(B3504,pr_code,0))),""))))</f>
        <v/>
      </c>
      <c r="K3504" s="71" t="str">
        <f>IF(COUNTA(A3504:G3504)=0,"",IF(G3504&lt;&gt;"",G3504,IF(B3504="","",IFERROR(IF(INDEX(pr_rate,MATCH(B3504,pr_code,0))="","",INDEX(pr_rate,MATCH(B3504,pr_code,0))),""))))</f>
        <v/>
      </c>
      <c r="L3504" s="65" t="str">
        <f>IF(COUNTA(A3504:G3504)=0,"",IF(AND(ISNUMBER(D3504),ISNUMBER(J3504)),ROUND(D3504*J3504*(1-N(F3504)),2),0))</f>
        <v/>
      </c>
      <c r="M3504" s="62" t="str">
        <f>IF(A3504="","",IFERROR(INDEX(fa_cname,MATCH(A3504,fa_num,0))&amp;"",""))</f>
        <v/>
      </c>
      <c r="N3504" s="59" t="str">
        <f>IF(COUNTA(A3504:G3504)=0,"",IF(A3504="","N° facture manquant",IF(ISNA(MATCH(A3504,fa_num,0)),"Facture inconnue",IF(AND(B3504&lt;&gt;"",ISNA(MATCH(B3504,pr_code,0))),"Article inconnu",IF(H3504="","Désignation manquante",IF(OR(NOT(ISNUMBER(D3504)),N(D3504)&lt;=0),"Quantité invalide",IF(J3504="","Prix manquant",IF(OR(NOT(ISNUMBER(J3504)),N(J3504)&lt;0),"Prix invalide",IF(OR(AND(F3504&lt;&gt;"",NOT(ISNUMBER(F3504))),N(F3504)&lt;0,N(F3504)&gt;1),"Remise invalide",IF(K3504="","Taux de TVA manquant",IF(NOT(ISNUMBER(K3504)),"Taux de TVA invalide",IF(COUNTIF(p_rates,K3504)=0,"Taux de TVA hors liste (Paramètres)",IF(N(O3504)&gt;25,"Au-delà de 25 lignes : non imprimée","OK")))))))))))))</f>
        <v/>
      </c>
      <c r="O3504" s="59" t="str">
        <f>IF(A3504="","",COUNTIF($A$6:A3504,A3504))</f>
        <v/>
      </c>
      <c r="P3504" s="62" t="str">
        <f>IF(A3504="","",A3504&amp;"|"&amp;O3504)</f>
        <v/>
      </c>
    </row>
    <row r="3505">
      <c r="A3505" s="60" t="n"/>
      <c r="B3505" s="63" t="n"/>
      <c r="C3505" s="63" t="n"/>
      <c r="D3505" s="67" t="n"/>
      <c r="E3505" s="68" t="n"/>
      <c r="F3505" s="69" t="n"/>
      <c r="G3505" s="70" t="n"/>
      <c r="H3505" s="62" t="str">
        <f>IF(COUNTA(A3505:G3505)=0,"",IF(C3505&lt;&gt;"",C3505,IF(B3505="","",IFERROR(INDEX(pr_des,MATCH(B3505,pr_code,0))&amp;"",""))))</f>
        <v/>
      </c>
      <c r="I3505" s="59" t="str">
        <f>IF(B3505="","",IFERROR(INDEX(pr_unit,MATCH(B3505,pr_code,0))&amp;"",""))</f>
        <v/>
      </c>
      <c r="J3505" s="65" t="str">
        <f>IF(COUNTA(A3505:G3505)=0,"",IF(E3505&lt;&gt;"",E3505,IF(B3505="","",IFERROR(IF(INDEX(pr_price,MATCH(B3505,pr_code,0))="","",INDEX(pr_price,MATCH(B3505,pr_code,0))),""))))</f>
        <v/>
      </c>
      <c r="K3505" s="71" t="str">
        <f>IF(COUNTA(A3505:G3505)=0,"",IF(G3505&lt;&gt;"",G3505,IF(B3505="","",IFERROR(IF(INDEX(pr_rate,MATCH(B3505,pr_code,0))="","",INDEX(pr_rate,MATCH(B3505,pr_code,0))),""))))</f>
        <v/>
      </c>
      <c r="L3505" s="65" t="str">
        <f>IF(COUNTA(A3505:G3505)=0,"",IF(AND(ISNUMBER(D3505),ISNUMBER(J3505)),ROUND(D3505*J3505*(1-N(F3505)),2),0))</f>
        <v/>
      </c>
      <c r="M3505" s="62" t="str">
        <f>IF(A3505="","",IFERROR(INDEX(fa_cname,MATCH(A3505,fa_num,0))&amp;"",""))</f>
        <v/>
      </c>
      <c r="N3505" s="59" t="str">
        <f>IF(COUNTA(A3505:G3505)=0,"",IF(A3505="","N° facture manquant",IF(ISNA(MATCH(A3505,fa_num,0)),"Facture inconnue",IF(AND(B3505&lt;&gt;"",ISNA(MATCH(B3505,pr_code,0))),"Article inconnu",IF(H3505="","Désignation manquante",IF(OR(NOT(ISNUMBER(D3505)),N(D3505)&lt;=0),"Quantité invalide",IF(J3505="","Prix manquant",IF(OR(NOT(ISNUMBER(J3505)),N(J3505)&lt;0),"Prix invalide",IF(OR(AND(F3505&lt;&gt;"",NOT(ISNUMBER(F3505))),N(F3505)&lt;0,N(F3505)&gt;1),"Remise invalide",IF(K3505="","Taux de TVA manquant",IF(NOT(ISNUMBER(K3505)),"Taux de TVA invalide",IF(COUNTIF(p_rates,K3505)=0,"Taux de TVA hors liste (Paramètres)",IF(N(O3505)&gt;25,"Au-delà de 25 lignes : non imprimée","OK")))))))))))))</f>
        <v/>
      </c>
      <c r="O3505" s="59" t="str">
        <f>IF(A3505="","",COUNTIF($A$6:A3505,A3505))</f>
        <v/>
      </c>
      <c r="P3505" s="62" t="str">
        <f>IF(A3505="","",A3505&amp;"|"&amp;O3505)</f>
        <v/>
      </c>
    </row>
    <row r="3506">
      <c r="A3506" s="60" t="n"/>
      <c r="B3506" s="63" t="n"/>
      <c r="C3506" s="63" t="n"/>
      <c r="D3506" s="67" t="n"/>
      <c r="E3506" s="68" t="n"/>
      <c r="F3506" s="69" t="n"/>
      <c r="G3506" s="70" t="n"/>
      <c r="H3506" s="62" t="str">
        <f>IF(COUNTA(A3506:G3506)=0,"",IF(C3506&lt;&gt;"",C3506,IF(B3506="","",IFERROR(INDEX(pr_des,MATCH(B3506,pr_code,0))&amp;"",""))))</f>
        <v/>
      </c>
      <c r="I3506" s="59" t="str">
        <f>IF(B3506="","",IFERROR(INDEX(pr_unit,MATCH(B3506,pr_code,0))&amp;"",""))</f>
        <v/>
      </c>
      <c r="J3506" s="65" t="str">
        <f>IF(COUNTA(A3506:G3506)=0,"",IF(E3506&lt;&gt;"",E3506,IF(B3506="","",IFERROR(IF(INDEX(pr_price,MATCH(B3506,pr_code,0))="","",INDEX(pr_price,MATCH(B3506,pr_code,0))),""))))</f>
        <v/>
      </c>
      <c r="K3506" s="71" t="str">
        <f>IF(COUNTA(A3506:G3506)=0,"",IF(G3506&lt;&gt;"",G3506,IF(B3506="","",IFERROR(IF(INDEX(pr_rate,MATCH(B3506,pr_code,0))="","",INDEX(pr_rate,MATCH(B3506,pr_code,0))),""))))</f>
        <v/>
      </c>
      <c r="L3506" s="65" t="str">
        <f>IF(COUNTA(A3506:G3506)=0,"",IF(AND(ISNUMBER(D3506),ISNUMBER(J3506)),ROUND(D3506*J3506*(1-N(F3506)),2),0))</f>
        <v/>
      </c>
      <c r="M3506" s="62" t="str">
        <f>IF(A3506="","",IFERROR(INDEX(fa_cname,MATCH(A3506,fa_num,0))&amp;"",""))</f>
        <v/>
      </c>
      <c r="N3506" s="59" t="str">
        <f>IF(COUNTA(A3506:G3506)=0,"",IF(A3506="","N° facture manquant",IF(ISNA(MATCH(A3506,fa_num,0)),"Facture inconnue",IF(AND(B3506&lt;&gt;"",ISNA(MATCH(B3506,pr_code,0))),"Article inconnu",IF(H3506="","Désignation manquante",IF(OR(NOT(ISNUMBER(D3506)),N(D3506)&lt;=0),"Quantité invalide",IF(J3506="","Prix manquant",IF(OR(NOT(ISNUMBER(J3506)),N(J3506)&lt;0),"Prix invalide",IF(OR(AND(F3506&lt;&gt;"",NOT(ISNUMBER(F3506))),N(F3506)&lt;0,N(F3506)&gt;1),"Remise invalide",IF(K3506="","Taux de TVA manquant",IF(NOT(ISNUMBER(K3506)),"Taux de TVA invalide",IF(COUNTIF(p_rates,K3506)=0,"Taux de TVA hors liste (Paramètres)",IF(N(O3506)&gt;25,"Au-delà de 25 lignes : non imprimée","OK")))))))))))))</f>
        <v/>
      </c>
      <c r="O3506" s="59" t="str">
        <f>IF(A3506="","",COUNTIF($A$6:A3506,A3506))</f>
        <v/>
      </c>
      <c r="P3506" s="62" t="str">
        <f>IF(A3506="","",A3506&amp;"|"&amp;O3506)</f>
        <v/>
      </c>
    </row>
    <row r="3507">
      <c r="A3507" s="60" t="n"/>
      <c r="B3507" s="63" t="n"/>
      <c r="C3507" s="63" t="n"/>
      <c r="D3507" s="67" t="n"/>
      <c r="E3507" s="68" t="n"/>
      <c r="F3507" s="69" t="n"/>
      <c r="G3507" s="70" t="n"/>
      <c r="H3507" s="62" t="str">
        <f>IF(COUNTA(A3507:G3507)=0,"",IF(C3507&lt;&gt;"",C3507,IF(B3507="","",IFERROR(INDEX(pr_des,MATCH(B3507,pr_code,0))&amp;"",""))))</f>
        <v/>
      </c>
      <c r="I3507" s="59" t="str">
        <f>IF(B3507="","",IFERROR(INDEX(pr_unit,MATCH(B3507,pr_code,0))&amp;"",""))</f>
        <v/>
      </c>
      <c r="J3507" s="65" t="str">
        <f>IF(COUNTA(A3507:G3507)=0,"",IF(E3507&lt;&gt;"",E3507,IF(B3507="","",IFERROR(IF(INDEX(pr_price,MATCH(B3507,pr_code,0))="","",INDEX(pr_price,MATCH(B3507,pr_code,0))),""))))</f>
        <v/>
      </c>
      <c r="K3507" s="71" t="str">
        <f>IF(COUNTA(A3507:G3507)=0,"",IF(G3507&lt;&gt;"",G3507,IF(B3507="","",IFERROR(IF(INDEX(pr_rate,MATCH(B3507,pr_code,0))="","",INDEX(pr_rate,MATCH(B3507,pr_code,0))),""))))</f>
        <v/>
      </c>
      <c r="L3507" s="65" t="str">
        <f>IF(COUNTA(A3507:G3507)=0,"",IF(AND(ISNUMBER(D3507),ISNUMBER(J3507)),ROUND(D3507*J3507*(1-N(F3507)),2),0))</f>
        <v/>
      </c>
      <c r="M3507" s="62" t="str">
        <f>IF(A3507="","",IFERROR(INDEX(fa_cname,MATCH(A3507,fa_num,0))&amp;"",""))</f>
        <v/>
      </c>
      <c r="N3507" s="59" t="str">
        <f>IF(COUNTA(A3507:G3507)=0,"",IF(A3507="","N° facture manquant",IF(ISNA(MATCH(A3507,fa_num,0)),"Facture inconnue",IF(AND(B3507&lt;&gt;"",ISNA(MATCH(B3507,pr_code,0))),"Article inconnu",IF(H3507="","Désignation manquante",IF(OR(NOT(ISNUMBER(D3507)),N(D3507)&lt;=0),"Quantité invalide",IF(J3507="","Prix manquant",IF(OR(NOT(ISNUMBER(J3507)),N(J3507)&lt;0),"Prix invalide",IF(OR(AND(F3507&lt;&gt;"",NOT(ISNUMBER(F3507))),N(F3507)&lt;0,N(F3507)&gt;1),"Remise invalide",IF(K3507="","Taux de TVA manquant",IF(NOT(ISNUMBER(K3507)),"Taux de TVA invalide",IF(COUNTIF(p_rates,K3507)=0,"Taux de TVA hors liste (Paramètres)",IF(N(O3507)&gt;25,"Au-delà de 25 lignes : non imprimée","OK")))))))))))))</f>
        <v/>
      </c>
      <c r="O3507" s="59" t="str">
        <f>IF(A3507="","",COUNTIF($A$6:A3507,A3507))</f>
        <v/>
      </c>
      <c r="P3507" s="62" t="str">
        <f>IF(A3507="","",A3507&amp;"|"&amp;O3507)</f>
        <v/>
      </c>
    </row>
    <row r="3508">
      <c r="A3508" s="60" t="n"/>
      <c r="B3508" s="63" t="n"/>
      <c r="C3508" s="63" t="n"/>
      <c r="D3508" s="67" t="n"/>
      <c r="E3508" s="68" t="n"/>
      <c r="F3508" s="69" t="n"/>
      <c r="G3508" s="70" t="n"/>
      <c r="H3508" s="62" t="str">
        <f>IF(COUNTA(A3508:G3508)=0,"",IF(C3508&lt;&gt;"",C3508,IF(B3508="","",IFERROR(INDEX(pr_des,MATCH(B3508,pr_code,0))&amp;"",""))))</f>
        <v/>
      </c>
      <c r="I3508" s="59" t="str">
        <f>IF(B3508="","",IFERROR(INDEX(pr_unit,MATCH(B3508,pr_code,0))&amp;"",""))</f>
        <v/>
      </c>
      <c r="J3508" s="65" t="str">
        <f>IF(COUNTA(A3508:G3508)=0,"",IF(E3508&lt;&gt;"",E3508,IF(B3508="","",IFERROR(IF(INDEX(pr_price,MATCH(B3508,pr_code,0))="","",INDEX(pr_price,MATCH(B3508,pr_code,0))),""))))</f>
        <v/>
      </c>
      <c r="K3508" s="71" t="str">
        <f>IF(COUNTA(A3508:G3508)=0,"",IF(G3508&lt;&gt;"",G3508,IF(B3508="","",IFERROR(IF(INDEX(pr_rate,MATCH(B3508,pr_code,0))="","",INDEX(pr_rate,MATCH(B3508,pr_code,0))),""))))</f>
        <v/>
      </c>
      <c r="L3508" s="65" t="str">
        <f>IF(COUNTA(A3508:G3508)=0,"",IF(AND(ISNUMBER(D3508),ISNUMBER(J3508)),ROUND(D3508*J3508*(1-N(F3508)),2),0))</f>
        <v/>
      </c>
      <c r="M3508" s="62" t="str">
        <f>IF(A3508="","",IFERROR(INDEX(fa_cname,MATCH(A3508,fa_num,0))&amp;"",""))</f>
        <v/>
      </c>
      <c r="N3508" s="59" t="str">
        <f>IF(COUNTA(A3508:G3508)=0,"",IF(A3508="","N° facture manquant",IF(ISNA(MATCH(A3508,fa_num,0)),"Facture inconnue",IF(AND(B3508&lt;&gt;"",ISNA(MATCH(B3508,pr_code,0))),"Article inconnu",IF(H3508="","Désignation manquante",IF(OR(NOT(ISNUMBER(D3508)),N(D3508)&lt;=0),"Quantité invalide",IF(J3508="","Prix manquant",IF(OR(NOT(ISNUMBER(J3508)),N(J3508)&lt;0),"Prix invalide",IF(OR(AND(F3508&lt;&gt;"",NOT(ISNUMBER(F3508))),N(F3508)&lt;0,N(F3508)&gt;1),"Remise invalide",IF(K3508="","Taux de TVA manquant",IF(NOT(ISNUMBER(K3508)),"Taux de TVA invalide",IF(COUNTIF(p_rates,K3508)=0,"Taux de TVA hors liste (Paramètres)",IF(N(O3508)&gt;25,"Au-delà de 25 lignes : non imprimée","OK")))))))))))))</f>
        <v/>
      </c>
      <c r="O3508" s="59" t="str">
        <f>IF(A3508="","",COUNTIF($A$6:A3508,A3508))</f>
        <v/>
      </c>
      <c r="P3508" s="62" t="str">
        <f>IF(A3508="","",A3508&amp;"|"&amp;O3508)</f>
        <v/>
      </c>
    </row>
    <row r="3509">
      <c r="A3509" s="60" t="n"/>
      <c r="B3509" s="63" t="n"/>
      <c r="C3509" s="63" t="n"/>
      <c r="D3509" s="67" t="n"/>
      <c r="E3509" s="68" t="n"/>
      <c r="F3509" s="69" t="n"/>
      <c r="G3509" s="70" t="n"/>
      <c r="H3509" s="62" t="str">
        <f>IF(COUNTA(A3509:G3509)=0,"",IF(C3509&lt;&gt;"",C3509,IF(B3509="","",IFERROR(INDEX(pr_des,MATCH(B3509,pr_code,0))&amp;"",""))))</f>
        <v/>
      </c>
      <c r="I3509" s="59" t="str">
        <f>IF(B3509="","",IFERROR(INDEX(pr_unit,MATCH(B3509,pr_code,0))&amp;"",""))</f>
        <v/>
      </c>
      <c r="J3509" s="65" t="str">
        <f>IF(COUNTA(A3509:G3509)=0,"",IF(E3509&lt;&gt;"",E3509,IF(B3509="","",IFERROR(IF(INDEX(pr_price,MATCH(B3509,pr_code,0))="","",INDEX(pr_price,MATCH(B3509,pr_code,0))),""))))</f>
        <v/>
      </c>
      <c r="K3509" s="71" t="str">
        <f>IF(COUNTA(A3509:G3509)=0,"",IF(G3509&lt;&gt;"",G3509,IF(B3509="","",IFERROR(IF(INDEX(pr_rate,MATCH(B3509,pr_code,0))="","",INDEX(pr_rate,MATCH(B3509,pr_code,0))),""))))</f>
        <v/>
      </c>
      <c r="L3509" s="65" t="str">
        <f>IF(COUNTA(A3509:G3509)=0,"",IF(AND(ISNUMBER(D3509),ISNUMBER(J3509)),ROUND(D3509*J3509*(1-N(F3509)),2),0))</f>
        <v/>
      </c>
      <c r="M3509" s="62" t="str">
        <f>IF(A3509="","",IFERROR(INDEX(fa_cname,MATCH(A3509,fa_num,0))&amp;"",""))</f>
        <v/>
      </c>
      <c r="N3509" s="59" t="str">
        <f>IF(COUNTA(A3509:G3509)=0,"",IF(A3509="","N° facture manquant",IF(ISNA(MATCH(A3509,fa_num,0)),"Facture inconnue",IF(AND(B3509&lt;&gt;"",ISNA(MATCH(B3509,pr_code,0))),"Article inconnu",IF(H3509="","Désignation manquante",IF(OR(NOT(ISNUMBER(D3509)),N(D3509)&lt;=0),"Quantité invalide",IF(J3509="","Prix manquant",IF(OR(NOT(ISNUMBER(J3509)),N(J3509)&lt;0),"Prix invalide",IF(OR(AND(F3509&lt;&gt;"",NOT(ISNUMBER(F3509))),N(F3509)&lt;0,N(F3509)&gt;1),"Remise invalide",IF(K3509="","Taux de TVA manquant",IF(NOT(ISNUMBER(K3509)),"Taux de TVA invalide",IF(COUNTIF(p_rates,K3509)=0,"Taux de TVA hors liste (Paramètres)",IF(N(O3509)&gt;25,"Au-delà de 25 lignes : non imprimée","OK")))))))))))))</f>
        <v/>
      </c>
      <c r="O3509" s="59" t="str">
        <f>IF(A3509="","",COUNTIF($A$6:A3509,A3509))</f>
        <v/>
      </c>
      <c r="P3509" s="62" t="str">
        <f>IF(A3509="","",A3509&amp;"|"&amp;O3509)</f>
        <v/>
      </c>
    </row>
    <row r="3510">
      <c r="A3510" s="60" t="n"/>
      <c r="B3510" s="63" t="n"/>
      <c r="C3510" s="63" t="n"/>
      <c r="D3510" s="67" t="n"/>
      <c r="E3510" s="68" t="n"/>
      <c r="F3510" s="69" t="n"/>
      <c r="G3510" s="70" t="n"/>
      <c r="H3510" s="62" t="str">
        <f>IF(COUNTA(A3510:G3510)=0,"",IF(C3510&lt;&gt;"",C3510,IF(B3510="","",IFERROR(INDEX(pr_des,MATCH(B3510,pr_code,0))&amp;"",""))))</f>
        <v/>
      </c>
      <c r="I3510" s="59" t="str">
        <f>IF(B3510="","",IFERROR(INDEX(pr_unit,MATCH(B3510,pr_code,0))&amp;"",""))</f>
        <v/>
      </c>
      <c r="J3510" s="65" t="str">
        <f>IF(COUNTA(A3510:G3510)=0,"",IF(E3510&lt;&gt;"",E3510,IF(B3510="","",IFERROR(IF(INDEX(pr_price,MATCH(B3510,pr_code,0))="","",INDEX(pr_price,MATCH(B3510,pr_code,0))),""))))</f>
        <v/>
      </c>
      <c r="K3510" s="71" t="str">
        <f>IF(COUNTA(A3510:G3510)=0,"",IF(G3510&lt;&gt;"",G3510,IF(B3510="","",IFERROR(IF(INDEX(pr_rate,MATCH(B3510,pr_code,0))="","",INDEX(pr_rate,MATCH(B3510,pr_code,0))),""))))</f>
        <v/>
      </c>
      <c r="L3510" s="65" t="str">
        <f>IF(COUNTA(A3510:G3510)=0,"",IF(AND(ISNUMBER(D3510),ISNUMBER(J3510)),ROUND(D3510*J3510*(1-N(F3510)),2),0))</f>
        <v/>
      </c>
      <c r="M3510" s="62" t="str">
        <f>IF(A3510="","",IFERROR(INDEX(fa_cname,MATCH(A3510,fa_num,0))&amp;"",""))</f>
        <v/>
      </c>
      <c r="N3510" s="59" t="str">
        <f>IF(COUNTA(A3510:G3510)=0,"",IF(A3510="","N° facture manquant",IF(ISNA(MATCH(A3510,fa_num,0)),"Facture inconnue",IF(AND(B3510&lt;&gt;"",ISNA(MATCH(B3510,pr_code,0))),"Article inconnu",IF(H3510="","Désignation manquante",IF(OR(NOT(ISNUMBER(D3510)),N(D3510)&lt;=0),"Quantité invalide",IF(J3510="","Prix manquant",IF(OR(NOT(ISNUMBER(J3510)),N(J3510)&lt;0),"Prix invalide",IF(OR(AND(F3510&lt;&gt;"",NOT(ISNUMBER(F3510))),N(F3510)&lt;0,N(F3510)&gt;1),"Remise invalide",IF(K3510="","Taux de TVA manquant",IF(NOT(ISNUMBER(K3510)),"Taux de TVA invalide",IF(COUNTIF(p_rates,K3510)=0,"Taux de TVA hors liste (Paramètres)",IF(N(O3510)&gt;25,"Au-delà de 25 lignes : non imprimée","OK")))))))))))))</f>
        <v/>
      </c>
      <c r="O3510" s="59" t="str">
        <f>IF(A3510="","",COUNTIF($A$6:A3510,A3510))</f>
        <v/>
      </c>
      <c r="P3510" s="62" t="str">
        <f>IF(A3510="","",A3510&amp;"|"&amp;O3510)</f>
        <v/>
      </c>
    </row>
    <row r="3511">
      <c r="A3511" s="60" t="n"/>
      <c r="B3511" s="63" t="n"/>
      <c r="C3511" s="63" t="n"/>
      <c r="D3511" s="67" t="n"/>
      <c r="E3511" s="68" t="n"/>
      <c r="F3511" s="69" t="n"/>
      <c r="G3511" s="70" t="n"/>
      <c r="H3511" s="62" t="str">
        <f>IF(COUNTA(A3511:G3511)=0,"",IF(C3511&lt;&gt;"",C3511,IF(B3511="","",IFERROR(INDEX(pr_des,MATCH(B3511,pr_code,0))&amp;"",""))))</f>
        <v/>
      </c>
      <c r="I3511" s="59" t="str">
        <f>IF(B3511="","",IFERROR(INDEX(pr_unit,MATCH(B3511,pr_code,0))&amp;"",""))</f>
        <v/>
      </c>
      <c r="J3511" s="65" t="str">
        <f>IF(COUNTA(A3511:G3511)=0,"",IF(E3511&lt;&gt;"",E3511,IF(B3511="","",IFERROR(IF(INDEX(pr_price,MATCH(B3511,pr_code,0))="","",INDEX(pr_price,MATCH(B3511,pr_code,0))),""))))</f>
        <v/>
      </c>
      <c r="K3511" s="71" t="str">
        <f>IF(COUNTA(A3511:G3511)=0,"",IF(G3511&lt;&gt;"",G3511,IF(B3511="","",IFERROR(IF(INDEX(pr_rate,MATCH(B3511,pr_code,0))="","",INDEX(pr_rate,MATCH(B3511,pr_code,0))),""))))</f>
        <v/>
      </c>
      <c r="L3511" s="65" t="str">
        <f>IF(COUNTA(A3511:G3511)=0,"",IF(AND(ISNUMBER(D3511),ISNUMBER(J3511)),ROUND(D3511*J3511*(1-N(F3511)),2),0))</f>
        <v/>
      </c>
      <c r="M3511" s="62" t="str">
        <f>IF(A3511="","",IFERROR(INDEX(fa_cname,MATCH(A3511,fa_num,0))&amp;"",""))</f>
        <v/>
      </c>
      <c r="N3511" s="59" t="str">
        <f>IF(COUNTA(A3511:G3511)=0,"",IF(A3511="","N° facture manquant",IF(ISNA(MATCH(A3511,fa_num,0)),"Facture inconnue",IF(AND(B3511&lt;&gt;"",ISNA(MATCH(B3511,pr_code,0))),"Article inconnu",IF(H3511="","Désignation manquante",IF(OR(NOT(ISNUMBER(D3511)),N(D3511)&lt;=0),"Quantité invalide",IF(J3511="","Prix manquant",IF(OR(NOT(ISNUMBER(J3511)),N(J3511)&lt;0),"Prix invalide",IF(OR(AND(F3511&lt;&gt;"",NOT(ISNUMBER(F3511))),N(F3511)&lt;0,N(F3511)&gt;1),"Remise invalide",IF(K3511="","Taux de TVA manquant",IF(NOT(ISNUMBER(K3511)),"Taux de TVA invalide",IF(COUNTIF(p_rates,K3511)=0,"Taux de TVA hors liste (Paramètres)",IF(N(O3511)&gt;25,"Au-delà de 25 lignes : non imprimée","OK")))))))))))))</f>
        <v/>
      </c>
      <c r="O3511" s="59" t="str">
        <f>IF(A3511="","",COUNTIF($A$6:A3511,A3511))</f>
        <v/>
      </c>
      <c r="P3511" s="62" t="str">
        <f>IF(A3511="","",A3511&amp;"|"&amp;O3511)</f>
        <v/>
      </c>
    </row>
    <row r="3512">
      <c r="A3512" s="60" t="n"/>
      <c r="B3512" s="63" t="n"/>
      <c r="C3512" s="63" t="n"/>
      <c r="D3512" s="67" t="n"/>
      <c r="E3512" s="68" t="n"/>
      <c r="F3512" s="69" t="n"/>
      <c r="G3512" s="70" t="n"/>
      <c r="H3512" s="62" t="str">
        <f>IF(COUNTA(A3512:G3512)=0,"",IF(C3512&lt;&gt;"",C3512,IF(B3512="","",IFERROR(INDEX(pr_des,MATCH(B3512,pr_code,0))&amp;"",""))))</f>
        <v/>
      </c>
      <c r="I3512" s="59" t="str">
        <f>IF(B3512="","",IFERROR(INDEX(pr_unit,MATCH(B3512,pr_code,0))&amp;"",""))</f>
        <v/>
      </c>
      <c r="J3512" s="65" t="str">
        <f>IF(COUNTA(A3512:G3512)=0,"",IF(E3512&lt;&gt;"",E3512,IF(B3512="","",IFERROR(IF(INDEX(pr_price,MATCH(B3512,pr_code,0))="","",INDEX(pr_price,MATCH(B3512,pr_code,0))),""))))</f>
        <v/>
      </c>
      <c r="K3512" s="71" t="str">
        <f>IF(COUNTA(A3512:G3512)=0,"",IF(G3512&lt;&gt;"",G3512,IF(B3512="","",IFERROR(IF(INDEX(pr_rate,MATCH(B3512,pr_code,0))="","",INDEX(pr_rate,MATCH(B3512,pr_code,0))),""))))</f>
        <v/>
      </c>
      <c r="L3512" s="65" t="str">
        <f>IF(COUNTA(A3512:G3512)=0,"",IF(AND(ISNUMBER(D3512),ISNUMBER(J3512)),ROUND(D3512*J3512*(1-N(F3512)),2),0))</f>
        <v/>
      </c>
      <c r="M3512" s="62" t="str">
        <f>IF(A3512="","",IFERROR(INDEX(fa_cname,MATCH(A3512,fa_num,0))&amp;"",""))</f>
        <v/>
      </c>
      <c r="N3512" s="59" t="str">
        <f>IF(COUNTA(A3512:G3512)=0,"",IF(A3512="","N° facture manquant",IF(ISNA(MATCH(A3512,fa_num,0)),"Facture inconnue",IF(AND(B3512&lt;&gt;"",ISNA(MATCH(B3512,pr_code,0))),"Article inconnu",IF(H3512="","Désignation manquante",IF(OR(NOT(ISNUMBER(D3512)),N(D3512)&lt;=0),"Quantité invalide",IF(J3512="","Prix manquant",IF(OR(NOT(ISNUMBER(J3512)),N(J3512)&lt;0),"Prix invalide",IF(OR(AND(F3512&lt;&gt;"",NOT(ISNUMBER(F3512))),N(F3512)&lt;0,N(F3512)&gt;1),"Remise invalide",IF(K3512="","Taux de TVA manquant",IF(NOT(ISNUMBER(K3512)),"Taux de TVA invalide",IF(COUNTIF(p_rates,K3512)=0,"Taux de TVA hors liste (Paramètres)",IF(N(O3512)&gt;25,"Au-delà de 25 lignes : non imprimée","OK")))))))))))))</f>
        <v/>
      </c>
      <c r="O3512" s="59" t="str">
        <f>IF(A3512="","",COUNTIF($A$6:A3512,A3512))</f>
        <v/>
      </c>
      <c r="P3512" s="62" t="str">
        <f>IF(A3512="","",A3512&amp;"|"&amp;O3512)</f>
        <v/>
      </c>
    </row>
    <row r="3513">
      <c r="A3513" s="60" t="n"/>
      <c r="B3513" s="63" t="n"/>
      <c r="C3513" s="63" t="n"/>
      <c r="D3513" s="67" t="n"/>
      <c r="E3513" s="68" t="n"/>
      <c r="F3513" s="69" t="n"/>
      <c r="G3513" s="70" t="n"/>
      <c r="H3513" s="62" t="str">
        <f>IF(COUNTA(A3513:G3513)=0,"",IF(C3513&lt;&gt;"",C3513,IF(B3513="","",IFERROR(INDEX(pr_des,MATCH(B3513,pr_code,0))&amp;"",""))))</f>
        <v/>
      </c>
      <c r="I3513" s="59" t="str">
        <f>IF(B3513="","",IFERROR(INDEX(pr_unit,MATCH(B3513,pr_code,0))&amp;"",""))</f>
        <v/>
      </c>
      <c r="J3513" s="65" t="str">
        <f>IF(COUNTA(A3513:G3513)=0,"",IF(E3513&lt;&gt;"",E3513,IF(B3513="","",IFERROR(IF(INDEX(pr_price,MATCH(B3513,pr_code,0))="","",INDEX(pr_price,MATCH(B3513,pr_code,0))),""))))</f>
        <v/>
      </c>
      <c r="K3513" s="71" t="str">
        <f>IF(COUNTA(A3513:G3513)=0,"",IF(G3513&lt;&gt;"",G3513,IF(B3513="","",IFERROR(IF(INDEX(pr_rate,MATCH(B3513,pr_code,0))="","",INDEX(pr_rate,MATCH(B3513,pr_code,0))),""))))</f>
        <v/>
      </c>
      <c r="L3513" s="65" t="str">
        <f>IF(COUNTA(A3513:G3513)=0,"",IF(AND(ISNUMBER(D3513),ISNUMBER(J3513)),ROUND(D3513*J3513*(1-N(F3513)),2),0))</f>
        <v/>
      </c>
      <c r="M3513" s="62" t="str">
        <f>IF(A3513="","",IFERROR(INDEX(fa_cname,MATCH(A3513,fa_num,0))&amp;"",""))</f>
        <v/>
      </c>
      <c r="N3513" s="59" t="str">
        <f>IF(COUNTA(A3513:G3513)=0,"",IF(A3513="","N° facture manquant",IF(ISNA(MATCH(A3513,fa_num,0)),"Facture inconnue",IF(AND(B3513&lt;&gt;"",ISNA(MATCH(B3513,pr_code,0))),"Article inconnu",IF(H3513="","Désignation manquante",IF(OR(NOT(ISNUMBER(D3513)),N(D3513)&lt;=0),"Quantité invalide",IF(J3513="","Prix manquant",IF(OR(NOT(ISNUMBER(J3513)),N(J3513)&lt;0),"Prix invalide",IF(OR(AND(F3513&lt;&gt;"",NOT(ISNUMBER(F3513))),N(F3513)&lt;0,N(F3513)&gt;1),"Remise invalide",IF(K3513="","Taux de TVA manquant",IF(NOT(ISNUMBER(K3513)),"Taux de TVA invalide",IF(COUNTIF(p_rates,K3513)=0,"Taux de TVA hors liste (Paramètres)",IF(N(O3513)&gt;25,"Au-delà de 25 lignes : non imprimée","OK")))))))))))))</f>
        <v/>
      </c>
      <c r="O3513" s="59" t="str">
        <f>IF(A3513="","",COUNTIF($A$6:A3513,A3513))</f>
        <v/>
      </c>
      <c r="P3513" s="62" t="str">
        <f>IF(A3513="","",A3513&amp;"|"&amp;O3513)</f>
        <v/>
      </c>
    </row>
    <row r="3514">
      <c r="A3514" s="60" t="n"/>
      <c r="B3514" s="63" t="n"/>
      <c r="C3514" s="63" t="n"/>
      <c r="D3514" s="67" t="n"/>
      <c r="E3514" s="68" t="n"/>
      <c r="F3514" s="69" t="n"/>
      <c r="G3514" s="70" t="n"/>
      <c r="H3514" s="62" t="str">
        <f>IF(COUNTA(A3514:G3514)=0,"",IF(C3514&lt;&gt;"",C3514,IF(B3514="","",IFERROR(INDEX(pr_des,MATCH(B3514,pr_code,0))&amp;"",""))))</f>
        <v/>
      </c>
      <c r="I3514" s="59" t="str">
        <f>IF(B3514="","",IFERROR(INDEX(pr_unit,MATCH(B3514,pr_code,0))&amp;"",""))</f>
        <v/>
      </c>
      <c r="J3514" s="65" t="str">
        <f>IF(COUNTA(A3514:G3514)=0,"",IF(E3514&lt;&gt;"",E3514,IF(B3514="","",IFERROR(IF(INDEX(pr_price,MATCH(B3514,pr_code,0))="","",INDEX(pr_price,MATCH(B3514,pr_code,0))),""))))</f>
        <v/>
      </c>
      <c r="K3514" s="71" t="str">
        <f>IF(COUNTA(A3514:G3514)=0,"",IF(G3514&lt;&gt;"",G3514,IF(B3514="","",IFERROR(IF(INDEX(pr_rate,MATCH(B3514,pr_code,0))="","",INDEX(pr_rate,MATCH(B3514,pr_code,0))),""))))</f>
        <v/>
      </c>
      <c r="L3514" s="65" t="str">
        <f>IF(COUNTA(A3514:G3514)=0,"",IF(AND(ISNUMBER(D3514),ISNUMBER(J3514)),ROUND(D3514*J3514*(1-N(F3514)),2),0))</f>
        <v/>
      </c>
      <c r="M3514" s="62" t="str">
        <f>IF(A3514="","",IFERROR(INDEX(fa_cname,MATCH(A3514,fa_num,0))&amp;"",""))</f>
        <v/>
      </c>
      <c r="N3514" s="59" t="str">
        <f>IF(COUNTA(A3514:G3514)=0,"",IF(A3514="","N° facture manquant",IF(ISNA(MATCH(A3514,fa_num,0)),"Facture inconnue",IF(AND(B3514&lt;&gt;"",ISNA(MATCH(B3514,pr_code,0))),"Article inconnu",IF(H3514="","Désignation manquante",IF(OR(NOT(ISNUMBER(D3514)),N(D3514)&lt;=0),"Quantité invalide",IF(J3514="","Prix manquant",IF(OR(NOT(ISNUMBER(J3514)),N(J3514)&lt;0),"Prix invalide",IF(OR(AND(F3514&lt;&gt;"",NOT(ISNUMBER(F3514))),N(F3514)&lt;0,N(F3514)&gt;1),"Remise invalide",IF(K3514="","Taux de TVA manquant",IF(NOT(ISNUMBER(K3514)),"Taux de TVA invalide",IF(COUNTIF(p_rates,K3514)=0,"Taux de TVA hors liste (Paramètres)",IF(N(O3514)&gt;25,"Au-delà de 25 lignes : non imprimée","OK")))))))))))))</f>
        <v/>
      </c>
      <c r="O3514" s="59" t="str">
        <f>IF(A3514="","",COUNTIF($A$6:A3514,A3514))</f>
        <v/>
      </c>
      <c r="P3514" s="62" t="str">
        <f>IF(A3514="","",A3514&amp;"|"&amp;O3514)</f>
        <v/>
      </c>
    </row>
    <row r="3515">
      <c r="A3515" s="60" t="n"/>
      <c r="B3515" s="63" t="n"/>
      <c r="C3515" s="63" t="n"/>
      <c r="D3515" s="67" t="n"/>
      <c r="E3515" s="68" t="n"/>
      <c r="F3515" s="69" t="n"/>
      <c r="G3515" s="70" t="n"/>
      <c r="H3515" s="62" t="str">
        <f>IF(COUNTA(A3515:G3515)=0,"",IF(C3515&lt;&gt;"",C3515,IF(B3515="","",IFERROR(INDEX(pr_des,MATCH(B3515,pr_code,0))&amp;"",""))))</f>
        <v/>
      </c>
      <c r="I3515" s="59" t="str">
        <f>IF(B3515="","",IFERROR(INDEX(pr_unit,MATCH(B3515,pr_code,0))&amp;"",""))</f>
        <v/>
      </c>
      <c r="J3515" s="65" t="str">
        <f>IF(COUNTA(A3515:G3515)=0,"",IF(E3515&lt;&gt;"",E3515,IF(B3515="","",IFERROR(IF(INDEX(pr_price,MATCH(B3515,pr_code,0))="","",INDEX(pr_price,MATCH(B3515,pr_code,0))),""))))</f>
        <v/>
      </c>
      <c r="K3515" s="71" t="str">
        <f>IF(COUNTA(A3515:G3515)=0,"",IF(G3515&lt;&gt;"",G3515,IF(B3515="","",IFERROR(IF(INDEX(pr_rate,MATCH(B3515,pr_code,0))="","",INDEX(pr_rate,MATCH(B3515,pr_code,0))),""))))</f>
        <v/>
      </c>
      <c r="L3515" s="65" t="str">
        <f>IF(COUNTA(A3515:G3515)=0,"",IF(AND(ISNUMBER(D3515),ISNUMBER(J3515)),ROUND(D3515*J3515*(1-N(F3515)),2),0))</f>
        <v/>
      </c>
      <c r="M3515" s="62" t="str">
        <f>IF(A3515="","",IFERROR(INDEX(fa_cname,MATCH(A3515,fa_num,0))&amp;"",""))</f>
        <v/>
      </c>
      <c r="N3515" s="59" t="str">
        <f>IF(COUNTA(A3515:G3515)=0,"",IF(A3515="","N° facture manquant",IF(ISNA(MATCH(A3515,fa_num,0)),"Facture inconnue",IF(AND(B3515&lt;&gt;"",ISNA(MATCH(B3515,pr_code,0))),"Article inconnu",IF(H3515="","Désignation manquante",IF(OR(NOT(ISNUMBER(D3515)),N(D3515)&lt;=0),"Quantité invalide",IF(J3515="","Prix manquant",IF(OR(NOT(ISNUMBER(J3515)),N(J3515)&lt;0),"Prix invalide",IF(OR(AND(F3515&lt;&gt;"",NOT(ISNUMBER(F3515))),N(F3515)&lt;0,N(F3515)&gt;1),"Remise invalide",IF(K3515="","Taux de TVA manquant",IF(NOT(ISNUMBER(K3515)),"Taux de TVA invalide",IF(COUNTIF(p_rates,K3515)=0,"Taux de TVA hors liste (Paramètres)",IF(N(O3515)&gt;25,"Au-delà de 25 lignes : non imprimée","OK")))))))))))))</f>
        <v/>
      </c>
      <c r="O3515" s="59" t="str">
        <f>IF(A3515="","",COUNTIF($A$6:A3515,A3515))</f>
        <v/>
      </c>
      <c r="P3515" s="62" t="str">
        <f>IF(A3515="","",A3515&amp;"|"&amp;O3515)</f>
        <v/>
      </c>
    </row>
    <row r="3516">
      <c r="A3516" s="60" t="n"/>
      <c r="B3516" s="63" t="n"/>
      <c r="C3516" s="63" t="n"/>
      <c r="D3516" s="67" t="n"/>
      <c r="E3516" s="68" t="n"/>
      <c r="F3516" s="69" t="n"/>
      <c r="G3516" s="70" t="n"/>
      <c r="H3516" s="62" t="str">
        <f>IF(COUNTA(A3516:G3516)=0,"",IF(C3516&lt;&gt;"",C3516,IF(B3516="","",IFERROR(INDEX(pr_des,MATCH(B3516,pr_code,0))&amp;"",""))))</f>
        <v/>
      </c>
      <c r="I3516" s="59" t="str">
        <f>IF(B3516="","",IFERROR(INDEX(pr_unit,MATCH(B3516,pr_code,0))&amp;"",""))</f>
        <v/>
      </c>
      <c r="J3516" s="65" t="str">
        <f>IF(COUNTA(A3516:G3516)=0,"",IF(E3516&lt;&gt;"",E3516,IF(B3516="","",IFERROR(IF(INDEX(pr_price,MATCH(B3516,pr_code,0))="","",INDEX(pr_price,MATCH(B3516,pr_code,0))),""))))</f>
        <v/>
      </c>
      <c r="K3516" s="71" t="str">
        <f>IF(COUNTA(A3516:G3516)=0,"",IF(G3516&lt;&gt;"",G3516,IF(B3516="","",IFERROR(IF(INDEX(pr_rate,MATCH(B3516,pr_code,0))="","",INDEX(pr_rate,MATCH(B3516,pr_code,0))),""))))</f>
        <v/>
      </c>
      <c r="L3516" s="65" t="str">
        <f>IF(COUNTA(A3516:G3516)=0,"",IF(AND(ISNUMBER(D3516),ISNUMBER(J3516)),ROUND(D3516*J3516*(1-N(F3516)),2),0))</f>
        <v/>
      </c>
      <c r="M3516" s="62" t="str">
        <f>IF(A3516="","",IFERROR(INDEX(fa_cname,MATCH(A3516,fa_num,0))&amp;"",""))</f>
        <v/>
      </c>
      <c r="N3516" s="59" t="str">
        <f>IF(COUNTA(A3516:G3516)=0,"",IF(A3516="","N° facture manquant",IF(ISNA(MATCH(A3516,fa_num,0)),"Facture inconnue",IF(AND(B3516&lt;&gt;"",ISNA(MATCH(B3516,pr_code,0))),"Article inconnu",IF(H3516="","Désignation manquante",IF(OR(NOT(ISNUMBER(D3516)),N(D3516)&lt;=0),"Quantité invalide",IF(J3516="","Prix manquant",IF(OR(NOT(ISNUMBER(J3516)),N(J3516)&lt;0),"Prix invalide",IF(OR(AND(F3516&lt;&gt;"",NOT(ISNUMBER(F3516))),N(F3516)&lt;0,N(F3516)&gt;1),"Remise invalide",IF(K3516="","Taux de TVA manquant",IF(NOT(ISNUMBER(K3516)),"Taux de TVA invalide",IF(COUNTIF(p_rates,K3516)=0,"Taux de TVA hors liste (Paramètres)",IF(N(O3516)&gt;25,"Au-delà de 25 lignes : non imprimée","OK")))))))))))))</f>
        <v/>
      </c>
      <c r="O3516" s="59" t="str">
        <f>IF(A3516="","",COUNTIF($A$6:A3516,A3516))</f>
        <v/>
      </c>
      <c r="P3516" s="62" t="str">
        <f>IF(A3516="","",A3516&amp;"|"&amp;O3516)</f>
        <v/>
      </c>
    </row>
    <row r="3517">
      <c r="A3517" s="60" t="n"/>
      <c r="B3517" s="63" t="n"/>
      <c r="C3517" s="63" t="n"/>
      <c r="D3517" s="67" t="n"/>
      <c r="E3517" s="68" t="n"/>
      <c r="F3517" s="69" t="n"/>
      <c r="G3517" s="70" t="n"/>
      <c r="H3517" s="62" t="str">
        <f>IF(COUNTA(A3517:G3517)=0,"",IF(C3517&lt;&gt;"",C3517,IF(B3517="","",IFERROR(INDEX(pr_des,MATCH(B3517,pr_code,0))&amp;"",""))))</f>
        <v/>
      </c>
      <c r="I3517" s="59" t="str">
        <f>IF(B3517="","",IFERROR(INDEX(pr_unit,MATCH(B3517,pr_code,0))&amp;"",""))</f>
        <v/>
      </c>
      <c r="J3517" s="65" t="str">
        <f>IF(COUNTA(A3517:G3517)=0,"",IF(E3517&lt;&gt;"",E3517,IF(B3517="","",IFERROR(IF(INDEX(pr_price,MATCH(B3517,pr_code,0))="","",INDEX(pr_price,MATCH(B3517,pr_code,0))),""))))</f>
        <v/>
      </c>
      <c r="K3517" s="71" t="str">
        <f>IF(COUNTA(A3517:G3517)=0,"",IF(G3517&lt;&gt;"",G3517,IF(B3517="","",IFERROR(IF(INDEX(pr_rate,MATCH(B3517,pr_code,0))="","",INDEX(pr_rate,MATCH(B3517,pr_code,0))),""))))</f>
        <v/>
      </c>
      <c r="L3517" s="65" t="str">
        <f>IF(COUNTA(A3517:G3517)=0,"",IF(AND(ISNUMBER(D3517),ISNUMBER(J3517)),ROUND(D3517*J3517*(1-N(F3517)),2),0))</f>
        <v/>
      </c>
      <c r="M3517" s="62" t="str">
        <f>IF(A3517="","",IFERROR(INDEX(fa_cname,MATCH(A3517,fa_num,0))&amp;"",""))</f>
        <v/>
      </c>
      <c r="N3517" s="59" t="str">
        <f>IF(COUNTA(A3517:G3517)=0,"",IF(A3517="","N° facture manquant",IF(ISNA(MATCH(A3517,fa_num,0)),"Facture inconnue",IF(AND(B3517&lt;&gt;"",ISNA(MATCH(B3517,pr_code,0))),"Article inconnu",IF(H3517="","Désignation manquante",IF(OR(NOT(ISNUMBER(D3517)),N(D3517)&lt;=0),"Quantité invalide",IF(J3517="","Prix manquant",IF(OR(NOT(ISNUMBER(J3517)),N(J3517)&lt;0),"Prix invalide",IF(OR(AND(F3517&lt;&gt;"",NOT(ISNUMBER(F3517))),N(F3517)&lt;0,N(F3517)&gt;1),"Remise invalide",IF(K3517="","Taux de TVA manquant",IF(NOT(ISNUMBER(K3517)),"Taux de TVA invalide",IF(COUNTIF(p_rates,K3517)=0,"Taux de TVA hors liste (Paramètres)",IF(N(O3517)&gt;25,"Au-delà de 25 lignes : non imprimée","OK")))))))))))))</f>
        <v/>
      </c>
      <c r="O3517" s="59" t="str">
        <f>IF(A3517="","",COUNTIF($A$6:A3517,A3517))</f>
        <v/>
      </c>
      <c r="P3517" s="62" t="str">
        <f>IF(A3517="","",A3517&amp;"|"&amp;O3517)</f>
        <v/>
      </c>
    </row>
    <row r="3518">
      <c r="A3518" s="60" t="n"/>
      <c r="B3518" s="63" t="n"/>
      <c r="C3518" s="63" t="n"/>
      <c r="D3518" s="67" t="n"/>
      <c r="E3518" s="68" t="n"/>
      <c r="F3518" s="69" t="n"/>
      <c r="G3518" s="70" t="n"/>
      <c r="H3518" s="62" t="str">
        <f>IF(COUNTA(A3518:G3518)=0,"",IF(C3518&lt;&gt;"",C3518,IF(B3518="","",IFERROR(INDEX(pr_des,MATCH(B3518,pr_code,0))&amp;"",""))))</f>
        <v/>
      </c>
      <c r="I3518" s="59" t="str">
        <f>IF(B3518="","",IFERROR(INDEX(pr_unit,MATCH(B3518,pr_code,0))&amp;"",""))</f>
        <v/>
      </c>
      <c r="J3518" s="65" t="str">
        <f>IF(COUNTA(A3518:G3518)=0,"",IF(E3518&lt;&gt;"",E3518,IF(B3518="","",IFERROR(IF(INDEX(pr_price,MATCH(B3518,pr_code,0))="","",INDEX(pr_price,MATCH(B3518,pr_code,0))),""))))</f>
        <v/>
      </c>
      <c r="K3518" s="71" t="str">
        <f>IF(COUNTA(A3518:G3518)=0,"",IF(G3518&lt;&gt;"",G3518,IF(B3518="","",IFERROR(IF(INDEX(pr_rate,MATCH(B3518,pr_code,0))="","",INDEX(pr_rate,MATCH(B3518,pr_code,0))),""))))</f>
        <v/>
      </c>
      <c r="L3518" s="65" t="str">
        <f>IF(COUNTA(A3518:G3518)=0,"",IF(AND(ISNUMBER(D3518),ISNUMBER(J3518)),ROUND(D3518*J3518*(1-N(F3518)),2),0))</f>
        <v/>
      </c>
      <c r="M3518" s="62" t="str">
        <f>IF(A3518="","",IFERROR(INDEX(fa_cname,MATCH(A3518,fa_num,0))&amp;"",""))</f>
        <v/>
      </c>
      <c r="N3518" s="59" t="str">
        <f>IF(COUNTA(A3518:G3518)=0,"",IF(A3518="","N° facture manquant",IF(ISNA(MATCH(A3518,fa_num,0)),"Facture inconnue",IF(AND(B3518&lt;&gt;"",ISNA(MATCH(B3518,pr_code,0))),"Article inconnu",IF(H3518="","Désignation manquante",IF(OR(NOT(ISNUMBER(D3518)),N(D3518)&lt;=0),"Quantité invalide",IF(J3518="","Prix manquant",IF(OR(NOT(ISNUMBER(J3518)),N(J3518)&lt;0),"Prix invalide",IF(OR(AND(F3518&lt;&gt;"",NOT(ISNUMBER(F3518))),N(F3518)&lt;0,N(F3518)&gt;1),"Remise invalide",IF(K3518="","Taux de TVA manquant",IF(NOT(ISNUMBER(K3518)),"Taux de TVA invalide",IF(COUNTIF(p_rates,K3518)=0,"Taux de TVA hors liste (Paramètres)",IF(N(O3518)&gt;25,"Au-delà de 25 lignes : non imprimée","OK")))))))))))))</f>
        <v/>
      </c>
      <c r="O3518" s="59" t="str">
        <f>IF(A3518="","",COUNTIF($A$6:A3518,A3518))</f>
        <v/>
      </c>
      <c r="P3518" s="62" t="str">
        <f>IF(A3518="","",A3518&amp;"|"&amp;O3518)</f>
        <v/>
      </c>
    </row>
    <row r="3519">
      <c r="A3519" s="60" t="n"/>
      <c r="B3519" s="63" t="n"/>
      <c r="C3519" s="63" t="n"/>
      <c r="D3519" s="67" t="n"/>
      <c r="E3519" s="68" t="n"/>
      <c r="F3519" s="69" t="n"/>
      <c r="G3519" s="70" t="n"/>
      <c r="H3519" s="62" t="str">
        <f>IF(COUNTA(A3519:G3519)=0,"",IF(C3519&lt;&gt;"",C3519,IF(B3519="","",IFERROR(INDEX(pr_des,MATCH(B3519,pr_code,0))&amp;"",""))))</f>
        <v/>
      </c>
      <c r="I3519" s="59" t="str">
        <f>IF(B3519="","",IFERROR(INDEX(pr_unit,MATCH(B3519,pr_code,0))&amp;"",""))</f>
        <v/>
      </c>
      <c r="J3519" s="65" t="str">
        <f>IF(COUNTA(A3519:G3519)=0,"",IF(E3519&lt;&gt;"",E3519,IF(B3519="","",IFERROR(IF(INDEX(pr_price,MATCH(B3519,pr_code,0))="","",INDEX(pr_price,MATCH(B3519,pr_code,0))),""))))</f>
        <v/>
      </c>
      <c r="K3519" s="71" t="str">
        <f>IF(COUNTA(A3519:G3519)=0,"",IF(G3519&lt;&gt;"",G3519,IF(B3519="","",IFERROR(IF(INDEX(pr_rate,MATCH(B3519,pr_code,0))="","",INDEX(pr_rate,MATCH(B3519,pr_code,0))),""))))</f>
        <v/>
      </c>
      <c r="L3519" s="65" t="str">
        <f>IF(COUNTA(A3519:G3519)=0,"",IF(AND(ISNUMBER(D3519),ISNUMBER(J3519)),ROUND(D3519*J3519*(1-N(F3519)),2),0))</f>
        <v/>
      </c>
      <c r="M3519" s="62" t="str">
        <f>IF(A3519="","",IFERROR(INDEX(fa_cname,MATCH(A3519,fa_num,0))&amp;"",""))</f>
        <v/>
      </c>
      <c r="N3519" s="59" t="str">
        <f>IF(COUNTA(A3519:G3519)=0,"",IF(A3519="","N° facture manquant",IF(ISNA(MATCH(A3519,fa_num,0)),"Facture inconnue",IF(AND(B3519&lt;&gt;"",ISNA(MATCH(B3519,pr_code,0))),"Article inconnu",IF(H3519="","Désignation manquante",IF(OR(NOT(ISNUMBER(D3519)),N(D3519)&lt;=0),"Quantité invalide",IF(J3519="","Prix manquant",IF(OR(NOT(ISNUMBER(J3519)),N(J3519)&lt;0),"Prix invalide",IF(OR(AND(F3519&lt;&gt;"",NOT(ISNUMBER(F3519))),N(F3519)&lt;0,N(F3519)&gt;1),"Remise invalide",IF(K3519="","Taux de TVA manquant",IF(NOT(ISNUMBER(K3519)),"Taux de TVA invalide",IF(COUNTIF(p_rates,K3519)=0,"Taux de TVA hors liste (Paramètres)",IF(N(O3519)&gt;25,"Au-delà de 25 lignes : non imprimée","OK")))))))))))))</f>
        <v/>
      </c>
      <c r="O3519" s="59" t="str">
        <f>IF(A3519="","",COUNTIF($A$6:A3519,A3519))</f>
        <v/>
      </c>
      <c r="P3519" s="62" t="str">
        <f>IF(A3519="","",A3519&amp;"|"&amp;O3519)</f>
        <v/>
      </c>
    </row>
    <row r="3520">
      <c r="A3520" s="60" t="n"/>
      <c r="B3520" s="63" t="n"/>
      <c r="C3520" s="63" t="n"/>
      <c r="D3520" s="67" t="n"/>
      <c r="E3520" s="68" t="n"/>
      <c r="F3520" s="69" t="n"/>
      <c r="G3520" s="70" t="n"/>
      <c r="H3520" s="62" t="str">
        <f>IF(COUNTA(A3520:G3520)=0,"",IF(C3520&lt;&gt;"",C3520,IF(B3520="","",IFERROR(INDEX(pr_des,MATCH(B3520,pr_code,0))&amp;"",""))))</f>
        <v/>
      </c>
      <c r="I3520" s="59" t="str">
        <f>IF(B3520="","",IFERROR(INDEX(pr_unit,MATCH(B3520,pr_code,0))&amp;"",""))</f>
        <v/>
      </c>
      <c r="J3520" s="65" t="str">
        <f>IF(COUNTA(A3520:G3520)=0,"",IF(E3520&lt;&gt;"",E3520,IF(B3520="","",IFERROR(IF(INDEX(pr_price,MATCH(B3520,pr_code,0))="","",INDEX(pr_price,MATCH(B3520,pr_code,0))),""))))</f>
        <v/>
      </c>
      <c r="K3520" s="71" t="str">
        <f>IF(COUNTA(A3520:G3520)=0,"",IF(G3520&lt;&gt;"",G3520,IF(B3520="","",IFERROR(IF(INDEX(pr_rate,MATCH(B3520,pr_code,0))="","",INDEX(pr_rate,MATCH(B3520,pr_code,0))),""))))</f>
        <v/>
      </c>
      <c r="L3520" s="65" t="str">
        <f>IF(COUNTA(A3520:G3520)=0,"",IF(AND(ISNUMBER(D3520),ISNUMBER(J3520)),ROUND(D3520*J3520*(1-N(F3520)),2),0))</f>
        <v/>
      </c>
      <c r="M3520" s="62" t="str">
        <f>IF(A3520="","",IFERROR(INDEX(fa_cname,MATCH(A3520,fa_num,0))&amp;"",""))</f>
        <v/>
      </c>
      <c r="N3520" s="59" t="str">
        <f>IF(COUNTA(A3520:G3520)=0,"",IF(A3520="","N° facture manquant",IF(ISNA(MATCH(A3520,fa_num,0)),"Facture inconnue",IF(AND(B3520&lt;&gt;"",ISNA(MATCH(B3520,pr_code,0))),"Article inconnu",IF(H3520="","Désignation manquante",IF(OR(NOT(ISNUMBER(D3520)),N(D3520)&lt;=0),"Quantité invalide",IF(J3520="","Prix manquant",IF(OR(NOT(ISNUMBER(J3520)),N(J3520)&lt;0),"Prix invalide",IF(OR(AND(F3520&lt;&gt;"",NOT(ISNUMBER(F3520))),N(F3520)&lt;0,N(F3520)&gt;1),"Remise invalide",IF(K3520="","Taux de TVA manquant",IF(NOT(ISNUMBER(K3520)),"Taux de TVA invalide",IF(COUNTIF(p_rates,K3520)=0,"Taux de TVA hors liste (Paramètres)",IF(N(O3520)&gt;25,"Au-delà de 25 lignes : non imprimée","OK")))))))))))))</f>
        <v/>
      </c>
      <c r="O3520" s="59" t="str">
        <f>IF(A3520="","",COUNTIF($A$6:A3520,A3520))</f>
        <v/>
      </c>
      <c r="P3520" s="62" t="str">
        <f>IF(A3520="","",A3520&amp;"|"&amp;O3520)</f>
        <v/>
      </c>
    </row>
    <row r="3521">
      <c r="A3521" s="60" t="n"/>
      <c r="B3521" s="63" t="n"/>
      <c r="C3521" s="63" t="n"/>
      <c r="D3521" s="67" t="n"/>
      <c r="E3521" s="68" t="n"/>
      <c r="F3521" s="69" t="n"/>
      <c r="G3521" s="70" t="n"/>
      <c r="H3521" s="62" t="str">
        <f>IF(COUNTA(A3521:G3521)=0,"",IF(C3521&lt;&gt;"",C3521,IF(B3521="","",IFERROR(INDEX(pr_des,MATCH(B3521,pr_code,0))&amp;"",""))))</f>
        <v/>
      </c>
      <c r="I3521" s="59" t="str">
        <f>IF(B3521="","",IFERROR(INDEX(pr_unit,MATCH(B3521,pr_code,0))&amp;"",""))</f>
        <v/>
      </c>
      <c r="J3521" s="65" t="str">
        <f>IF(COUNTA(A3521:G3521)=0,"",IF(E3521&lt;&gt;"",E3521,IF(B3521="","",IFERROR(IF(INDEX(pr_price,MATCH(B3521,pr_code,0))="","",INDEX(pr_price,MATCH(B3521,pr_code,0))),""))))</f>
        <v/>
      </c>
      <c r="K3521" s="71" t="str">
        <f>IF(COUNTA(A3521:G3521)=0,"",IF(G3521&lt;&gt;"",G3521,IF(B3521="","",IFERROR(IF(INDEX(pr_rate,MATCH(B3521,pr_code,0))="","",INDEX(pr_rate,MATCH(B3521,pr_code,0))),""))))</f>
        <v/>
      </c>
      <c r="L3521" s="65" t="str">
        <f>IF(COUNTA(A3521:G3521)=0,"",IF(AND(ISNUMBER(D3521),ISNUMBER(J3521)),ROUND(D3521*J3521*(1-N(F3521)),2),0))</f>
        <v/>
      </c>
      <c r="M3521" s="62" t="str">
        <f>IF(A3521="","",IFERROR(INDEX(fa_cname,MATCH(A3521,fa_num,0))&amp;"",""))</f>
        <v/>
      </c>
      <c r="N3521" s="59" t="str">
        <f>IF(COUNTA(A3521:G3521)=0,"",IF(A3521="","N° facture manquant",IF(ISNA(MATCH(A3521,fa_num,0)),"Facture inconnue",IF(AND(B3521&lt;&gt;"",ISNA(MATCH(B3521,pr_code,0))),"Article inconnu",IF(H3521="","Désignation manquante",IF(OR(NOT(ISNUMBER(D3521)),N(D3521)&lt;=0),"Quantité invalide",IF(J3521="","Prix manquant",IF(OR(NOT(ISNUMBER(J3521)),N(J3521)&lt;0),"Prix invalide",IF(OR(AND(F3521&lt;&gt;"",NOT(ISNUMBER(F3521))),N(F3521)&lt;0,N(F3521)&gt;1),"Remise invalide",IF(K3521="","Taux de TVA manquant",IF(NOT(ISNUMBER(K3521)),"Taux de TVA invalide",IF(COUNTIF(p_rates,K3521)=0,"Taux de TVA hors liste (Paramètres)",IF(N(O3521)&gt;25,"Au-delà de 25 lignes : non imprimée","OK")))))))))))))</f>
        <v/>
      </c>
      <c r="O3521" s="59" t="str">
        <f>IF(A3521="","",COUNTIF($A$6:A3521,A3521))</f>
        <v/>
      </c>
      <c r="P3521" s="62" t="str">
        <f>IF(A3521="","",A3521&amp;"|"&amp;O3521)</f>
        <v/>
      </c>
    </row>
    <row r="3522">
      <c r="A3522" s="60" t="n"/>
      <c r="B3522" s="63" t="n"/>
      <c r="C3522" s="63" t="n"/>
      <c r="D3522" s="67" t="n"/>
      <c r="E3522" s="68" t="n"/>
      <c r="F3522" s="69" t="n"/>
      <c r="G3522" s="70" t="n"/>
      <c r="H3522" s="62" t="str">
        <f>IF(COUNTA(A3522:G3522)=0,"",IF(C3522&lt;&gt;"",C3522,IF(B3522="","",IFERROR(INDEX(pr_des,MATCH(B3522,pr_code,0))&amp;"",""))))</f>
        <v/>
      </c>
      <c r="I3522" s="59" t="str">
        <f>IF(B3522="","",IFERROR(INDEX(pr_unit,MATCH(B3522,pr_code,0))&amp;"",""))</f>
        <v/>
      </c>
      <c r="J3522" s="65" t="str">
        <f>IF(COUNTA(A3522:G3522)=0,"",IF(E3522&lt;&gt;"",E3522,IF(B3522="","",IFERROR(IF(INDEX(pr_price,MATCH(B3522,pr_code,0))="","",INDEX(pr_price,MATCH(B3522,pr_code,0))),""))))</f>
        <v/>
      </c>
      <c r="K3522" s="71" t="str">
        <f>IF(COUNTA(A3522:G3522)=0,"",IF(G3522&lt;&gt;"",G3522,IF(B3522="","",IFERROR(IF(INDEX(pr_rate,MATCH(B3522,pr_code,0))="","",INDEX(pr_rate,MATCH(B3522,pr_code,0))),""))))</f>
        <v/>
      </c>
      <c r="L3522" s="65" t="str">
        <f>IF(COUNTA(A3522:G3522)=0,"",IF(AND(ISNUMBER(D3522),ISNUMBER(J3522)),ROUND(D3522*J3522*(1-N(F3522)),2),0))</f>
        <v/>
      </c>
      <c r="M3522" s="62" t="str">
        <f>IF(A3522="","",IFERROR(INDEX(fa_cname,MATCH(A3522,fa_num,0))&amp;"",""))</f>
        <v/>
      </c>
      <c r="N3522" s="59" t="str">
        <f>IF(COUNTA(A3522:G3522)=0,"",IF(A3522="","N° facture manquant",IF(ISNA(MATCH(A3522,fa_num,0)),"Facture inconnue",IF(AND(B3522&lt;&gt;"",ISNA(MATCH(B3522,pr_code,0))),"Article inconnu",IF(H3522="","Désignation manquante",IF(OR(NOT(ISNUMBER(D3522)),N(D3522)&lt;=0),"Quantité invalide",IF(J3522="","Prix manquant",IF(OR(NOT(ISNUMBER(J3522)),N(J3522)&lt;0),"Prix invalide",IF(OR(AND(F3522&lt;&gt;"",NOT(ISNUMBER(F3522))),N(F3522)&lt;0,N(F3522)&gt;1),"Remise invalide",IF(K3522="","Taux de TVA manquant",IF(NOT(ISNUMBER(K3522)),"Taux de TVA invalide",IF(COUNTIF(p_rates,K3522)=0,"Taux de TVA hors liste (Paramètres)",IF(N(O3522)&gt;25,"Au-delà de 25 lignes : non imprimée","OK")))))))))))))</f>
        <v/>
      </c>
      <c r="O3522" s="59" t="str">
        <f>IF(A3522="","",COUNTIF($A$6:A3522,A3522))</f>
        <v/>
      </c>
      <c r="P3522" s="62" t="str">
        <f>IF(A3522="","",A3522&amp;"|"&amp;O3522)</f>
        <v/>
      </c>
    </row>
    <row r="3523">
      <c r="A3523" s="60" t="n"/>
      <c r="B3523" s="63" t="n"/>
      <c r="C3523" s="63" t="n"/>
      <c r="D3523" s="67" t="n"/>
      <c r="E3523" s="68" t="n"/>
      <c r="F3523" s="69" t="n"/>
      <c r="G3523" s="70" t="n"/>
      <c r="H3523" s="62" t="str">
        <f>IF(COUNTA(A3523:G3523)=0,"",IF(C3523&lt;&gt;"",C3523,IF(B3523="","",IFERROR(INDEX(pr_des,MATCH(B3523,pr_code,0))&amp;"",""))))</f>
        <v/>
      </c>
      <c r="I3523" s="59" t="str">
        <f>IF(B3523="","",IFERROR(INDEX(pr_unit,MATCH(B3523,pr_code,0))&amp;"",""))</f>
        <v/>
      </c>
      <c r="J3523" s="65" t="str">
        <f>IF(COUNTA(A3523:G3523)=0,"",IF(E3523&lt;&gt;"",E3523,IF(B3523="","",IFERROR(IF(INDEX(pr_price,MATCH(B3523,pr_code,0))="","",INDEX(pr_price,MATCH(B3523,pr_code,0))),""))))</f>
        <v/>
      </c>
      <c r="K3523" s="71" t="str">
        <f>IF(COUNTA(A3523:G3523)=0,"",IF(G3523&lt;&gt;"",G3523,IF(B3523="","",IFERROR(IF(INDEX(pr_rate,MATCH(B3523,pr_code,0))="","",INDEX(pr_rate,MATCH(B3523,pr_code,0))),""))))</f>
        <v/>
      </c>
      <c r="L3523" s="65" t="str">
        <f>IF(COUNTA(A3523:G3523)=0,"",IF(AND(ISNUMBER(D3523),ISNUMBER(J3523)),ROUND(D3523*J3523*(1-N(F3523)),2),0))</f>
        <v/>
      </c>
      <c r="M3523" s="62" t="str">
        <f>IF(A3523="","",IFERROR(INDEX(fa_cname,MATCH(A3523,fa_num,0))&amp;"",""))</f>
        <v/>
      </c>
      <c r="N3523" s="59" t="str">
        <f>IF(COUNTA(A3523:G3523)=0,"",IF(A3523="","N° facture manquant",IF(ISNA(MATCH(A3523,fa_num,0)),"Facture inconnue",IF(AND(B3523&lt;&gt;"",ISNA(MATCH(B3523,pr_code,0))),"Article inconnu",IF(H3523="","Désignation manquante",IF(OR(NOT(ISNUMBER(D3523)),N(D3523)&lt;=0),"Quantité invalide",IF(J3523="","Prix manquant",IF(OR(NOT(ISNUMBER(J3523)),N(J3523)&lt;0),"Prix invalide",IF(OR(AND(F3523&lt;&gt;"",NOT(ISNUMBER(F3523))),N(F3523)&lt;0,N(F3523)&gt;1),"Remise invalide",IF(K3523="","Taux de TVA manquant",IF(NOT(ISNUMBER(K3523)),"Taux de TVA invalide",IF(COUNTIF(p_rates,K3523)=0,"Taux de TVA hors liste (Paramètres)",IF(N(O3523)&gt;25,"Au-delà de 25 lignes : non imprimée","OK")))))))))))))</f>
        <v/>
      </c>
      <c r="O3523" s="59" t="str">
        <f>IF(A3523="","",COUNTIF($A$6:A3523,A3523))</f>
        <v/>
      </c>
      <c r="P3523" s="62" t="str">
        <f>IF(A3523="","",A3523&amp;"|"&amp;O3523)</f>
        <v/>
      </c>
    </row>
    <row r="3524">
      <c r="A3524" s="60" t="n"/>
      <c r="B3524" s="63" t="n"/>
      <c r="C3524" s="63" t="n"/>
      <c r="D3524" s="67" t="n"/>
      <c r="E3524" s="68" t="n"/>
      <c r="F3524" s="69" t="n"/>
      <c r="G3524" s="70" t="n"/>
      <c r="H3524" s="62" t="str">
        <f>IF(COUNTA(A3524:G3524)=0,"",IF(C3524&lt;&gt;"",C3524,IF(B3524="","",IFERROR(INDEX(pr_des,MATCH(B3524,pr_code,0))&amp;"",""))))</f>
        <v/>
      </c>
      <c r="I3524" s="59" t="str">
        <f>IF(B3524="","",IFERROR(INDEX(pr_unit,MATCH(B3524,pr_code,0))&amp;"",""))</f>
        <v/>
      </c>
      <c r="J3524" s="65" t="str">
        <f>IF(COUNTA(A3524:G3524)=0,"",IF(E3524&lt;&gt;"",E3524,IF(B3524="","",IFERROR(IF(INDEX(pr_price,MATCH(B3524,pr_code,0))="","",INDEX(pr_price,MATCH(B3524,pr_code,0))),""))))</f>
        <v/>
      </c>
      <c r="K3524" s="71" t="str">
        <f>IF(COUNTA(A3524:G3524)=0,"",IF(G3524&lt;&gt;"",G3524,IF(B3524="","",IFERROR(IF(INDEX(pr_rate,MATCH(B3524,pr_code,0))="","",INDEX(pr_rate,MATCH(B3524,pr_code,0))),""))))</f>
        <v/>
      </c>
      <c r="L3524" s="65" t="str">
        <f>IF(COUNTA(A3524:G3524)=0,"",IF(AND(ISNUMBER(D3524),ISNUMBER(J3524)),ROUND(D3524*J3524*(1-N(F3524)),2),0))</f>
        <v/>
      </c>
      <c r="M3524" s="62" t="str">
        <f>IF(A3524="","",IFERROR(INDEX(fa_cname,MATCH(A3524,fa_num,0))&amp;"",""))</f>
        <v/>
      </c>
      <c r="N3524" s="59" t="str">
        <f>IF(COUNTA(A3524:G3524)=0,"",IF(A3524="","N° facture manquant",IF(ISNA(MATCH(A3524,fa_num,0)),"Facture inconnue",IF(AND(B3524&lt;&gt;"",ISNA(MATCH(B3524,pr_code,0))),"Article inconnu",IF(H3524="","Désignation manquante",IF(OR(NOT(ISNUMBER(D3524)),N(D3524)&lt;=0),"Quantité invalide",IF(J3524="","Prix manquant",IF(OR(NOT(ISNUMBER(J3524)),N(J3524)&lt;0),"Prix invalide",IF(OR(AND(F3524&lt;&gt;"",NOT(ISNUMBER(F3524))),N(F3524)&lt;0,N(F3524)&gt;1),"Remise invalide",IF(K3524="","Taux de TVA manquant",IF(NOT(ISNUMBER(K3524)),"Taux de TVA invalide",IF(COUNTIF(p_rates,K3524)=0,"Taux de TVA hors liste (Paramètres)",IF(N(O3524)&gt;25,"Au-delà de 25 lignes : non imprimée","OK")))))))))))))</f>
        <v/>
      </c>
      <c r="O3524" s="59" t="str">
        <f>IF(A3524="","",COUNTIF($A$6:A3524,A3524))</f>
        <v/>
      </c>
      <c r="P3524" s="62" t="str">
        <f>IF(A3524="","",A3524&amp;"|"&amp;O3524)</f>
        <v/>
      </c>
    </row>
    <row r="3525">
      <c r="A3525" s="60" t="n"/>
      <c r="B3525" s="63" t="n"/>
      <c r="C3525" s="63" t="n"/>
      <c r="D3525" s="67" t="n"/>
      <c r="E3525" s="68" t="n"/>
      <c r="F3525" s="69" t="n"/>
      <c r="G3525" s="70" t="n"/>
      <c r="H3525" s="62" t="str">
        <f>IF(COUNTA(A3525:G3525)=0,"",IF(C3525&lt;&gt;"",C3525,IF(B3525="","",IFERROR(INDEX(pr_des,MATCH(B3525,pr_code,0))&amp;"",""))))</f>
        <v/>
      </c>
      <c r="I3525" s="59" t="str">
        <f>IF(B3525="","",IFERROR(INDEX(pr_unit,MATCH(B3525,pr_code,0))&amp;"",""))</f>
        <v/>
      </c>
      <c r="J3525" s="65" t="str">
        <f>IF(COUNTA(A3525:G3525)=0,"",IF(E3525&lt;&gt;"",E3525,IF(B3525="","",IFERROR(IF(INDEX(pr_price,MATCH(B3525,pr_code,0))="","",INDEX(pr_price,MATCH(B3525,pr_code,0))),""))))</f>
        <v/>
      </c>
      <c r="K3525" s="71" t="str">
        <f>IF(COUNTA(A3525:G3525)=0,"",IF(G3525&lt;&gt;"",G3525,IF(B3525="","",IFERROR(IF(INDEX(pr_rate,MATCH(B3525,pr_code,0))="","",INDEX(pr_rate,MATCH(B3525,pr_code,0))),""))))</f>
        <v/>
      </c>
      <c r="L3525" s="65" t="str">
        <f>IF(COUNTA(A3525:G3525)=0,"",IF(AND(ISNUMBER(D3525),ISNUMBER(J3525)),ROUND(D3525*J3525*(1-N(F3525)),2),0))</f>
        <v/>
      </c>
      <c r="M3525" s="62" t="str">
        <f>IF(A3525="","",IFERROR(INDEX(fa_cname,MATCH(A3525,fa_num,0))&amp;"",""))</f>
        <v/>
      </c>
      <c r="N3525" s="59" t="str">
        <f>IF(COUNTA(A3525:G3525)=0,"",IF(A3525="","N° facture manquant",IF(ISNA(MATCH(A3525,fa_num,0)),"Facture inconnue",IF(AND(B3525&lt;&gt;"",ISNA(MATCH(B3525,pr_code,0))),"Article inconnu",IF(H3525="","Désignation manquante",IF(OR(NOT(ISNUMBER(D3525)),N(D3525)&lt;=0),"Quantité invalide",IF(J3525="","Prix manquant",IF(OR(NOT(ISNUMBER(J3525)),N(J3525)&lt;0),"Prix invalide",IF(OR(AND(F3525&lt;&gt;"",NOT(ISNUMBER(F3525))),N(F3525)&lt;0,N(F3525)&gt;1),"Remise invalide",IF(K3525="","Taux de TVA manquant",IF(NOT(ISNUMBER(K3525)),"Taux de TVA invalide",IF(COUNTIF(p_rates,K3525)=0,"Taux de TVA hors liste (Paramètres)",IF(N(O3525)&gt;25,"Au-delà de 25 lignes : non imprimée","OK")))))))))))))</f>
        <v/>
      </c>
      <c r="O3525" s="59" t="str">
        <f>IF(A3525="","",COUNTIF($A$6:A3525,A3525))</f>
        <v/>
      </c>
      <c r="P3525" s="62" t="str">
        <f>IF(A3525="","",A3525&amp;"|"&amp;O3525)</f>
        <v/>
      </c>
    </row>
    <row r="3526">
      <c r="A3526" s="60" t="n"/>
      <c r="B3526" s="63" t="n"/>
      <c r="C3526" s="63" t="n"/>
      <c r="D3526" s="67" t="n"/>
      <c r="E3526" s="68" t="n"/>
      <c r="F3526" s="69" t="n"/>
      <c r="G3526" s="70" t="n"/>
      <c r="H3526" s="62" t="str">
        <f>IF(COUNTA(A3526:G3526)=0,"",IF(C3526&lt;&gt;"",C3526,IF(B3526="","",IFERROR(INDEX(pr_des,MATCH(B3526,pr_code,0))&amp;"",""))))</f>
        <v/>
      </c>
      <c r="I3526" s="59" t="str">
        <f>IF(B3526="","",IFERROR(INDEX(pr_unit,MATCH(B3526,pr_code,0))&amp;"",""))</f>
        <v/>
      </c>
      <c r="J3526" s="65" t="str">
        <f>IF(COUNTA(A3526:G3526)=0,"",IF(E3526&lt;&gt;"",E3526,IF(B3526="","",IFERROR(IF(INDEX(pr_price,MATCH(B3526,pr_code,0))="","",INDEX(pr_price,MATCH(B3526,pr_code,0))),""))))</f>
        <v/>
      </c>
      <c r="K3526" s="71" t="str">
        <f>IF(COUNTA(A3526:G3526)=0,"",IF(G3526&lt;&gt;"",G3526,IF(B3526="","",IFERROR(IF(INDEX(pr_rate,MATCH(B3526,pr_code,0))="","",INDEX(pr_rate,MATCH(B3526,pr_code,0))),""))))</f>
        <v/>
      </c>
      <c r="L3526" s="65" t="str">
        <f>IF(COUNTA(A3526:G3526)=0,"",IF(AND(ISNUMBER(D3526),ISNUMBER(J3526)),ROUND(D3526*J3526*(1-N(F3526)),2),0))</f>
        <v/>
      </c>
      <c r="M3526" s="62" t="str">
        <f>IF(A3526="","",IFERROR(INDEX(fa_cname,MATCH(A3526,fa_num,0))&amp;"",""))</f>
        <v/>
      </c>
      <c r="N3526" s="59" t="str">
        <f>IF(COUNTA(A3526:G3526)=0,"",IF(A3526="","N° facture manquant",IF(ISNA(MATCH(A3526,fa_num,0)),"Facture inconnue",IF(AND(B3526&lt;&gt;"",ISNA(MATCH(B3526,pr_code,0))),"Article inconnu",IF(H3526="","Désignation manquante",IF(OR(NOT(ISNUMBER(D3526)),N(D3526)&lt;=0),"Quantité invalide",IF(J3526="","Prix manquant",IF(OR(NOT(ISNUMBER(J3526)),N(J3526)&lt;0),"Prix invalide",IF(OR(AND(F3526&lt;&gt;"",NOT(ISNUMBER(F3526))),N(F3526)&lt;0,N(F3526)&gt;1),"Remise invalide",IF(K3526="","Taux de TVA manquant",IF(NOT(ISNUMBER(K3526)),"Taux de TVA invalide",IF(COUNTIF(p_rates,K3526)=0,"Taux de TVA hors liste (Paramètres)",IF(N(O3526)&gt;25,"Au-delà de 25 lignes : non imprimée","OK")))))))))))))</f>
        <v/>
      </c>
      <c r="O3526" s="59" t="str">
        <f>IF(A3526="","",COUNTIF($A$6:A3526,A3526))</f>
        <v/>
      </c>
      <c r="P3526" s="62" t="str">
        <f>IF(A3526="","",A3526&amp;"|"&amp;O3526)</f>
        <v/>
      </c>
    </row>
    <row r="3527">
      <c r="A3527" s="60" t="n"/>
      <c r="B3527" s="63" t="n"/>
      <c r="C3527" s="63" t="n"/>
      <c r="D3527" s="67" t="n"/>
      <c r="E3527" s="68" t="n"/>
      <c r="F3527" s="69" t="n"/>
      <c r="G3527" s="70" t="n"/>
      <c r="H3527" s="62" t="str">
        <f>IF(COUNTA(A3527:G3527)=0,"",IF(C3527&lt;&gt;"",C3527,IF(B3527="","",IFERROR(INDEX(pr_des,MATCH(B3527,pr_code,0))&amp;"",""))))</f>
        <v/>
      </c>
      <c r="I3527" s="59" t="str">
        <f>IF(B3527="","",IFERROR(INDEX(pr_unit,MATCH(B3527,pr_code,0))&amp;"",""))</f>
        <v/>
      </c>
      <c r="J3527" s="65" t="str">
        <f>IF(COUNTA(A3527:G3527)=0,"",IF(E3527&lt;&gt;"",E3527,IF(B3527="","",IFERROR(IF(INDEX(pr_price,MATCH(B3527,pr_code,0))="","",INDEX(pr_price,MATCH(B3527,pr_code,0))),""))))</f>
        <v/>
      </c>
      <c r="K3527" s="71" t="str">
        <f>IF(COUNTA(A3527:G3527)=0,"",IF(G3527&lt;&gt;"",G3527,IF(B3527="","",IFERROR(IF(INDEX(pr_rate,MATCH(B3527,pr_code,0))="","",INDEX(pr_rate,MATCH(B3527,pr_code,0))),""))))</f>
        <v/>
      </c>
      <c r="L3527" s="65" t="str">
        <f>IF(COUNTA(A3527:G3527)=0,"",IF(AND(ISNUMBER(D3527),ISNUMBER(J3527)),ROUND(D3527*J3527*(1-N(F3527)),2),0))</f>
        <v/>
      </c>
      <c r="M3527" s="62" t="str">
        <f>IF(A3527="","",IFERROR(INDEX(fa_cname,MATCH(A3527,fa_num,0))&amp;"",""))</f>
        <v/>
      </c>
      <c r="N3527" s="59" t="str">
        <f>IF(COUNTA(A3527:G3527)=0,"",IF(A3527="","N° facture manquant",IF(ISNA(MATCH(A3527,fa_num,0)),"Facture inconnue",IF(AND(B3527&lt;&gt;"",ISNA(MATCH(B3527,pr_code,0))),"Article inconnu",IF(H3527="","Désignation manquante",IF(OR(NOT(ISNUMBER(D3527)),N(D3527)&lt;=0),"Quantité invalide",IF(J3527="","Prix manquant",IF(OR(NOT(ISNUMBER(J3527)),N(J3527)&lt;0),"Prix invalide",IF(OR(AND(F3527&lt;&gt;"",NOT(ISNUMBER(F3527))),N(F3527)&lt;0,N(F3527)&gt;1),"Remise invalide",IF(K3527="","Taux de TVA manquant",IF(NOT(ISNUMBER(K3527)),"Taux de TVA invalide",IF(COUNTIF(p_rates,K3527)=0,"Taux de TVA hors liste (Paramètres)",IF(N(O3527)&gt;25,"Au-delà de 25 lignes : non imprimée","OK")))))))))))))</f>
        <v/>
      </c>
      <c r="O3527" s="59" t="str">
        <f>IF(A3527="","",COUNTIF($A$6:A3527,A3527))</f>
        <v/>
      </c>
      <c r="P3527" s="62" t="str">
        <f>IF(A3527="","",A3527&amp;"|"&amp;O3527)</f>
        <v/>
      </c>
    </row>
    <row r="3528">
      <c r="A3528" s="60" t="n"/>
      <c r="B3528" s="63" t="n"/>
      <c r="C3528" s="63" t="n"/>
      <c r="D3528" s="67" t="n"/>
      <c r="E3528" s="68" t="n"/>
      <c r="F3528" s="69" t="n"/>
      <c r="G3528" s="70" t="n"/>
      <c r="H3528" s="62" t="str">
        <f>IF(COUNTA(A3528:G3528)=0,"",IF(C3528&lt;&gt;"",C3528,IF(B3528="","",IFERROR(INDEX(pr_des,MATCH(B3528,pr_code,0))&amp;"",""))))</f>
        <v/>
      </c>
      <c r="I3528" s="59" t="str">
        <f>IF(B3528="","",IFERROR(INDEX(pr_unit,MATCH(B3528,pr_code,0))&amp;"",""))</f>
        <v/>
      </c>
      <c r="J3528" s="65" t="str">
        <f>IF(COUNTA(A3528:G3528)=0,"",IF(E3528&lt;&gt;"",E3528,IF(B3528="","",IFERROR(IF(INDEX(pr_price,MATCH(B3528,pr_code,0))="","",INDEX(pr_price,MATCH(B3528,pr_code,0))),""))))</f>
        <v/>
      </c>
      <c r="K3528" s="71" t="str">
        <f>IF(COUNTA(A3528:G3528)=0,"",IF(G3528&lt;&gt;"",G3528,IF(B3528="","",IFERROR(IF(INDEX(pr_rate,MATCH(B3528,pr_code,0))="","",INDEX(pr_rate,MATCH(B3528,pr_code,0))),""))))</f>
        <v/>
      </c>
      <c r="L3528" s="65" t="str">
        <f>IF(COUNTA(A3528:G3528)=0,"",IF(AND(ISNUMBER(D3528),ISNUMBER(J3528)),ROUND(D3528*J3528*(1-N(F3528)),2),0))</f>
        <v/>
      </c>
      <c r="M3528" s="62" t="str">
        <f>IF(A3528="","",IFERROR(INDEX(fa_cname,MATCH(A3528,fa_num,0))&amp;"",""))</f>
        <v/>
      </c>
      <c r="N3528" s="59" t="str">
        <f>IF(COUNTA(A3528:G3528)=0,"",IF(A3528="","N° facture manquant",IF(ISNA(MATCH(A3528,fa_num,0)),"Facture inconnue",IF(AND(B3528&lt;&gt;"",ISNA(MATCH(B3528,pr_code,0))),"Article inconnu",IF(H3528="","Désignation manquante",IF(OR(NOT(ISNUMBER(D3528)),N(D3528)&lt;=0),"Quantité invalide",IF(J3528="","Prix manquant",IF(OR(NOT(ISNUMBER(J3528)),N(J3528)&lt;0),"Prix invalide",IF(OR(AND(F3528&lt;&gt;"",NOT(ISNUMBER(F3528))),N(F3528)&lt;0,N(F3528)&gt;1),"Remise invalide",IF(K3528="","Taux de TVA manquant",IF(NOT(ISNUMBER(K3528)),"Taux de TVA invalide",IF(COUNTIF(p_rates,K3528)=0,"Taux de TVA hors liste (Paramètres)",IF(N(O3528)&gt;25,"Au-delà de 25 lignes : non imprimée","OK")))))))))))))</f>
        <v/>
      </c>
      <c r="O3528" s="59" t="str">
        <f>IF(A3528="","",COUNTIF($A$6:A3528,A3528))</f>
        <v/>
      </c>
      <c r="P3528" s="62" t="str">
        <f>IF(A3528="","",A3528&amp;"|"&amp;O3528)</f>
        <v/>
      </c>
    </row>
    <row r="3529">
      <c r="A3529" s="60" t="n"/>
      <c r="B3529" s="63" t="n"/>
      <c r="C3529" s="63" t="n"/>
      <c r="D3529" s="67" t="n"/>
      <c r="E3529" s="68" t="n"/>
      <c r="F3529" s="69" t="n"/>
      <c r="G3529" s="70" t="n"/>
      <c r="H3529" s="62" t="str">
        <f>IF(COUNTA(A3529:G3529)=0,"",IF(C3529&lt;&gt;"",C3529,IF(B3529="","",IFERROR(INDEX(pr_des,MATCH(B3529,pr_code,0))&amp;"",""))))</f>
        <v/>
      </c>
      <c r="I3529" s="59" t="str">
        <f>IF(B3529="","",IFERROR(INDEX(pr_unit,MATCH(B3529,pr_code,0))&amp;"",""))</f>
        <v/>
      </c>
      <c r="J3529" s="65" t="str">
        <f>IF(COUNTA(A3529:G3529)=0,"",IF(E3529&lt;&gt;"",E3529,IF(B3529="","",IFERROR(IF(INDEX(pr_price,MATCH(B3529,pr_code,0))="","",INDEX(pr_price,MATCH(B3529,pr_code,0))),""))))</f>
        <v/>
      </c>
      <c r="K3529" s="71" t="str">
        <f>IF(COUNTA(A3529:G3529)=0,"",IF(G3529&lt;&gt;"",G3529,IF(B3529="","",IFERROR(IF(INDEX(pr_rate,MATCH(B3529,pr_code,0))="","",INDEX(pr_rate,MATCH(B3529,pr_code,0))),""))))</f>
        <v/>
      </c>
      <c r="L3529" s="65" t="str">
        <f>IF(COUNTA(A3529:G3529)=0,"",IF(AND(ISNUMBER(D3529),ISNUMBER(J3529)),ROUND(D3529*J3529*(1-N(F3529)),2),0))</f>
        <v/>
      </c>
      <c r="M3529" s="62" t="str">
        <f>IF(A3529="","",IFERROR(INDEX(fa_cname,MATCH(A3529,fa_num,0))&amp;"",""))</f>
        <v/>
      </c>
      <c r="N3529" s="59" t="str">
        <f>IF(COUNTA(A3529:G3529)=0,"",IF(A3529="","N° facture manquant",IF(ISNA(MATCH(A3529,fa_num,0)),"Facture inconnue",IF(AND(B3529&lt;&gt;"",ISNA(MATCH(B3529,pr_code,0))),"Article inconnu",IF(H3529="","Désignation manquante",IF(OR(NOT(ISNUMBER(D3529)),N(D3529)&lt;=0),"Quantité invalide",IF(J3529="","Prix manquant",IF(OR(NOT(ISNUMBER(J3529)),N(J3529)&lt;0),"Prix invalide",IF(OR(AND(F3529&lt;&gt;"",NOT(ISNUMBER(F3529))),N(F3529)&lt;0,N(F3529)&gt;1),"Remise invalide",IF(K3529="","Taux de TVA manquant",IF(NOT(ISNUMBER(K3529)),"Taux de TVA invalide",IF(COUNTIF(p_rates,K3529)=0,"Taux de TVA hors liste (Paramètres)",IF(N(O3529)&gt;25,"Au-delà de 25 lignes : non imprimée","OK")))))))))))))</f>
        <v/>
      </c>
      <c r="O3529" s="59" t="str">
        <f>IF(A3529="","",COUNTIF($A$6:A3529,A3529))</f>
        <v/>
      </c>
      <c r="P3529" s="62" t="str">
        <f>IF(A3529="","",A3529&amp;"|"&amp;O3529)</f>
        <v/>
      </c>
    </row>
    <row r="3530">
      <c r="A3530" s="60" t="n"/>
      <c r="B3530" s="63" t="n"/>
      <c r="C3530" s="63" t="n"/>
      <c r="D3530" s="67" t="n"/>
      <c r="E3530" s="68" t="n"/>
      <c r="F3530" s="69" t="n"/>
      <c r="G3530" s="70" t="n"/>
      <c r="H3530" s="62" t="str">
        <f>IF(COUNTA(A3530:G3530)=0,"",IF(C3530&lt;&gt;"",C3530,IF(B3530="","",IFERROR(INDEX(pr_des,MATCH(B3530,pr_code,0))&amp;"",""))))</f>
        <v/>
      </c>
      <c r="I3530" s="59" t="str">
        <f>IF(B3530="","",IFERROR(INDEX(pr_unit,MATCH(B3530,pr_code,0))&amp;"",""))</f>
        <v/>
      </c>
      <c r="J3530" s="65" t="str">
        <f>IF(COUNTA(A3530:G3530)=0,"",IF(E3530&lt;&gt;"",E3530,IF(B3530="","",IFERROR(IF(INDEX(pr_price,MATCH(B3530,pr_code,0))="","",INDEX(pr_price,MATCH(B3530,pr_code,0))),""))))</f>
        <v/>
      </c>
      <c r="K3530" s="71" t="str">
        <f>IF(COUNTA(A3530:G3530)=0,"",IF(G3530&lt;&gt;"",G3530,IF(B3530="","",IFERROR(IF(INDEX(pr_rate,MATCH(B3530,pr_code,0))="","",INDEX(pr_rate,MATCH(B3530,pr_code,0))),""))))</f>
        <v/>
      </c>
      <c r="L3530" s="65" t="str">
        <f>IF(COUNTA(A3530:G3530)=0,"",IF(AND(ISNUMBER(D3530),ISNUMBER(J3530)),ROUND(D3530*J3530*(1-N(F3530)),2),0))</f>
        <v/>
      </c>
      <c r="M3530" s="62" t="str">
        <f>IF(A3530="","",IFERROR(INDEX(fa_cname,MATCH(A3530,fa_num,0))&amp;"",""))</f>
        <v/>
      </c>
      <c r="N3530" s="59" t="str">
        <f>IF(COUNTA(A3530:G3530)=0,"",IF(A3530="","N° facture manquant",IF(ISNA(MATCH(A3530,fa_num,0)),"Facture inconnue",IF(AND(B3530&lt;&gt;"",ISNA(MATCH(B3530,pr_code,0))),"Article inconnu",IF(H3530="","Désignation manquante",IF(OR(NOT(ISNUMBER(D3530)),N(D3530)&lt;=0),"Quantité invalide",IF(J3530="","Prix manquant",IF(OR(NOT(ISNUMBER(J3530)),N(J3530)&lt;0),"Prix invalide",IF(OR(AND(F3530&lt;&gt;"",NOT(ISNUMBER(F3530))),N(F3530)&lt;0,N(F3530)&gt;1),"Remise invalide",IF(K3530="","Taux de TVA manquant",IF(NOT(ISNUMBER(K3530)),"Taux de TVA invalide",IF(COUNTIF(p_rates,K3530)=0,"Taux de TVA hors liste (Paramètres)",IF(N(O3530)&gt;25,"Au-delà de 25 lignes : non imprimée","OK")))))))))))))</f>
        <v/>
      </c>
      <c r="O3530" s="59" t="str">
        <f>IF(A3530="","",COUNTIF($A$6:A3530,A3530))</f>
        <v/>
      </c>
      <c r="P3530" s="62" t="str">
        <f>IF(A3530="","",A3530&amp;"|"&amp;O3530)</f>
        <v/>
      </c>
    </row>
    <row r="3531">
      <c r="A3531" s="60" t="n"/>
      <c r="B3531" s="63" t="n"/>
      <c r="C3531" s="63" t="n"/>
      <c r="D3531" s="67" t="n"/>
      <c r="E3531" s="68" t="n"/>
      <c r="F3531" s="69" t="n"/>
      <c r="G3531" s="70" t="n"/>
      <c r="H3531" s="62" t="str">
        <f>IF(COUNTA(A3531:G3531)=0,"",IF(C3531&lt;&gt;"",C3531,IF(B3531="","",IFERROR(INDEX(pr_des,MATCH(B3531,pr_code,0))&amp;"",""))))</f>
        <v/>
      </c>
      <c r="I3531" s="59" t="str">
        <f>IF(B3531="","",IFERROR(INDEX(pr_unit,MATCH(B3531,pr_code,0))&amp;"",""))</f>
        <v/>
      </c>
      <c r="J3531" s="65" t="str">
        <f>IF(COUNTA(A3531:G3531)=0,"",IF(E3531&lt;&gt;"",E3531,IF(B3531="","",IFERROR(IF(INDEX(pr_price,MATCH(B3531,pr_code,0))="","",INDEX(pr_price,MATCH(B3531,pr_code,0))),""))))</f>
        <v/>
      </c>
      <c r="K3531" s="71" t="str">
        <f>IF(COUNTA(A3531:G3531)=0,"",IF(G3531&lt;&gt;"",G3531,IF(B3531="","",IFERROR(IF(INDEX(pr_rate,MATCH(B3531,pr_code,0))="","",INDEX(pr_rate,MATCH(B3531,pr_code,0))),""))))</f>
        <v/>
      </c>
      <c r="L3531" s="65" t="str">
        <f>IF(COUNTA(A3531:G3531)=0,"",IF(AND(ISNUMBER(D3531),ISNUMBER(J3531)),ROUND(D3531*J3531*(1-N(F3531)),2),0))</f>
        <v/>
      </c>
      <c r="M3531" s="62" t="str">
        <f>IF(A3531="","",IFERROR(INDEX(fa_cname,MATCH(A3531,fa_num,0))&amp;"",""))</f>
        <v/>
      </c>
      <c r="N3531" s="59" t="str">
        <f>IF(COUNTA(A3531:G3531)=0,"",IF(A3531="","N° facture manquant",IF(ISNA(MATCH(A3531,fa_num,0)),"Facture inconnue",IF(AND(B3531&lt;&gt;"",ISNA(MATCH(B3531,pr_code,0))),"Article inconnu",IF(H3531="","Désignation manquante",IF(OR(NOT(ISNUMBER(D3531)),N(D3531)&lt;=0),"Quantité invalide",IF(J3531="","Prix manquant",IF(OR(NOT(ISNUMBER(J3531)),N(J3531)&lt;0),"Prix invalide",IF(OR(AND(F3531&lt;&gt;"",NOT(ISNUMBER(F3531))),N(F3531)&lt;0,N(F3531)&gt;1),"Remise invalide",IF(K3531="","Taux de TVA manquant",IF(NOT(ISNUMBER(K3531)),"Taux de TVA invalide",IF(COUNTIF(p_rates,K3531)=0,"Taux de TVA hors liste (Paramètres)",IF(N(O3531)&gt;25,"Au-delà de 25 lignes : non imprimée","OK")))))))))))))</f>
        <v/>
      </c>
      <c r="O3531" s="59" t="str">
        <f>IF(A3531="","",COUNTIF($A$6:A3531,A3531))</f>
        <v/>
      </c>
      <c r="P3531" s="62" t="str">
        <f>IF(A3531="","",A3531&amp;"|"&amp;O3531)</f>
        <v/>
      </c>
    </row>
    <row r="3532">
      <c r="A3532" s="60" t="n"/>
      <c r="B3532" s="63" t="n"/>
      <c r="C3532" s="63" t="n"/>
      <c r="D3532" s="67" t="n"/>
      <c r="E3532" s="68" t="n"/>
      <c r="F3532" s="69" t="n"/>
      <c r="G3532" s="70" t="n"/>
      <c r="H3532" s="62" t="str">
        <f>IF(COUNTA(A3532:G3532)=0,"",IF(C3532&lt;&gt;"",C3532,IF(B3532="","",IFERROR(INDEX(pr_des,MATCH(B3532,pr_code,0))&amp;"",""))))</f>
        <v/>
      </c>
      <c r="I3532" s="59" t="str">
        <f>IF(B3532="","",IFERROR(INDEX(pr_unit,MATCH(B3532,pr_code,0))&amp;"",""))</f>
        <v/>
      </c>
      <c r="J3532" s="65" t="str">
        <f>IF(COUNTA(A3532:G3532)=0,"",IF(E3532&lt;&gt;"",E3532,IF(B3532="","",IFERROR(IF(INDEX(pr_price,MATCH(B3532,pr_code,0))="","",INDEX(pr_price,MATCH(B3532,pr_code,0))),""))))</f>
        <v/>
      </c>
      <c r="K3532" s="71" t="str">
        <f>IF(COUNTA(A3532:G3532)=0,"",IF(G3532&lt;&gt;"",G3532,IF(B3532="","",IFERROR(IF(INDEX(pr_rate,MATCH(B3532,pr_code,0))="","",INDEX(pr_rate,MATCH(B3532,pr_code,0))),""))))</f>
        <v/>
      </c>
      <c r="L3532" s="65" t="str">
        <f>IF(COUNTA(A3532:G3532)=0,"",IF(AND(ISNUMBER(D3532),ISNUMBER(J3532)),ROUND(D3532*J3532*(1-N(F3532)),2),0))</f>
        <v/>
      </c>
      <c r="M3532" s="62" t="str">
        <f>IF(A3532="","",IFERROR(INDEX(fa_cname,MATCH(A3532,fa_num,0))&amp;"",""))</f>
        <v/>
      </c>
      <c r="N3532" s="59" t="str">
        <f>IF(COUNTA(A3532:G3532)=0,"",IF(A3532="","N° facture manquant",IF(ISNA(MATCH(A3532,fa_num,0)),"Facture inconnue",IF(AND(B3532&lt;&gt;"",ISNA(MATCH(B3532,pr_code,0))),"Article inconnu",IF(H3532="","Désignation manquante",IF(OR(NOT(ISNUMBER(D3532)),N(D3532)&lt;=0),"Quantité invalide",IF(J3532="","Prix manquant",IF(OR(NOT(ISNUMBER(J3532)),N(J3532)&lt;0),"Prix invalide",IF(OR(AND(F3532&lt;&gt;"",NOT(ISNUMBER(F3532))),N(F3532)&lt;0,N(F3532)&gt;1),"Remise invalide",IF(K3532="","Taux de TVA manquant",IF(NOT(ISNUMBER(K3532)),"Taux de TVA invalide",IF(COUNTIF(p_rates,K3532)=0,"Taux de TVA hors liste (Paramètres)",IF(N(O3532)&gt;25,"Au-delà de 25 lignes : non imprimée","OK")))))))))))))</f>
        <v/>
      </c>
      <c r="O3532" s="59" t="str">
        <f>IF(A3532="","",COUNTIF($A$6:A3532,A3532))</f>
        <v/>
      </c>
      <c r="P3532" s="62" t="str">
        <f>IF(A3532="","",A3532&amp;"|"&amp;O3532)</f>
        <v/>
      </c>
    </row>
    <row r="3533">
      <c r="A3533" s="60" t="n"/>
      <c r="B3533" s="63" t="n"/>
      <c r="C3533" s="63" t="n"/>
      <c r="D3533" s="67" t="n"/>
      <c r="E3533" s="68" t="n"/>
      <c r="F3533" s="69" t="n"/>
      <c r="G3533" s="70" t="n"/>
      <c r="H3533" s="62" t="str">
        <f>IF(COUNTA(A3533:G3533)=0,"",IF(C3533&lt;&gt;"",C3533,IF(B3533="","",IFERROR(INDEX(pr_des,MATCH(B3533,pr_code,0))&amp;"",""))))</f>
        <v/>
      </c>
      <c r="I3533" s="59" t="str">
        <f>IF(B3533="","",IFERROR(INDEX(pr_unit,MATCH(B3533,pr_code,0))&amp;"",""))</f>
        <v/>
      </c>
      <c r="J3533" s="65" t="str">
        <f>IF(COUNTA(A3533:G3533)=0,"",IF(E3533&lt;&gt;"",E3533,IF(B3533="","",IFERROR(IF(INDEX(pr_price,MATCH(B3533,pr_code,0))="","",INDEX(pr_price,MATCH(B3533,pr_code,0))),""))))</f>
        <v/>
      </c>
      <c r="K3533" s="71" t="str">
        <f>IF(COUNTA(A3533:G3533)=0,"",IF(G3533&lt;&gt;"",G3533,IF(B3533="","",IFERROR(IF(INDEX(pr_rate,MATCH(B3533,pr_code,0))="","",INDEX(pr_rate,MATCH(B3533,pr_code,0))),""))))</f>
        <v/>
      </c>
      <c r="L3533" s="65" t="str">
        <f>IF(COUNTA(A3533:G3533)=0,"",IF(AND(ISNUMBER(D3533),ISNUMBER(J3533)),ROUND(D3533*J3533*(1-N(F3533)),2),0))</f>
        <v/>
      </c>
      <c r="M3533" s="62" t="str">
        <f>IF(A3533="","",IFERROR(INDEX(fa_cname,MATCH(A3533,fa_num,0))&amp;"",""))</f>
        <v/>
      </c>
      <c r="N3533" s="59" t="str">
        <f>IF(COUNTA(A3533:G3533)=0,"",IF(A3533="","N° facture manquant",IF(ISNA(MATCH(A3533,fa_num,0)),"Facture inconnue",IF(AND(B3533&lt;&gt;"",ISNA(MATCH(B3533,pr_code,0))),"Article inconnu",IF(H3533="","Désignation manquante",IF(OR(NOT(ISNUMBER(D3533)),N(D3533)&lt;=0),"Quantité invalide",IF(J3533="","Prix manquant",IF(OR(NOT(ISNUMBER(J3533)),N(J3533)&lt;0),"Prix invalide",IF(OR(AND(F3533&lt;&gt;"",NOT(ISNUMBER(F3533))),N(F3533)&lt;0,N(F3533)&gt;1),"Remise invalide",IF(K3533="","Taux de TVA manquant",IF(NOT(ISNUMBER(K3533)),"Taux de TVA invalide",IF(COUNTIF(p_rates,K3533)=0,"Taux de TVA hors liste (Paramètres)",IF(N(O3533)&gt;25,"Au-delà de 25 lignes : non imprimée","OK")))))))))))))</f>
        <v/>
      </c>
      <c r="O3533" s="59" t="str">
        <f>IF(A3533="","",COUNTIF($A$6:A3533,A3533))</f>
        <v/>
      </c>
      <c r="P3533" s="62" t="str">
        <f>IF(A3533="","",A3533&amp;"|"&amp;O3533)</f>
        <v/>
      </c>
    </row>
    <row r="3534">
      <c r="A3534" s="60" t="n"/>
      <c r="B3534" s="63" t="n"/>
      <c r="C3534" s="63" t="n"/>
      <c r="D3534" s="67" t="n"/>
      <c r="E3534" s="68" t="n"/>
      <c r="F3534" s="69" t="n"/>
      <c r="G3534" s="70" t="n"/>
      <c r="H3534" s="62" t="str">
        <f>IF(COUNTA(A3534:G3534)=0,"",IF(C3534&lt;&gt;"",C3534,IF(B3534="","",IFERROR(INDEX(pr_des,MATCH(B3534,pr_code,0))&amp;"",""))))</f>
        <v/>
      </c>
      <c r="I3534" s="59" t="str">
        <f>IF(B3534="","",IFERROR(INDEX(pr_unit,MATCH(B3534,pr_code,0))&amp;"",""))</f>
        <v/>
      </c>
      <c r="J3534" s="65" t="str">
        <f>IF(COUNTA(A3534:G3534)=0,"",IF(E3534&lt;&gt;"",E3534,IF(B3534="","",IFERROR(IF(INDEX(pr_price,MATCH(B3534,pr_code,0))="","",INDEX(pr_price,MATCH(B3534,pr_code,0))),""))))</f>
        <v/>
      </c>
      <c r="K3534" s="71" t="str">
        <f>IF(COUNTA(A3534:G3534)=0,"",IF(G3534&lt;&gt;"",G3534,IF(B3534="","",IFERROR(IF(INDEX(pr_rate,MATCH(B3534,pr_code,0))="","",INDEX(pr_rate,MATCH(B3534,pr_code,0))),""))))</f>
        <v/>
      </c>
      <c r="L3534" s="65" t="str">
        <f>IF(COUNTA(A3534:G3534)=0,"",IF(AND(ISNUMBER(D3534),ISNUMBER(J3534)),ROUND(D3534*J3534*(1-N(F3534)),2),0))</f>
        <v/>
      </c>
      <c r="M3534" s="62" t="str">
        <f>IF(A3534="","",IFERROR(INDEX(fa_cname,MATCH(A3534,fa_num,0))&amp;"",""))</f>
        <v/>
      </c>
      <c r="N3534" s="59" t="str">
        <f>IF(COUNTA(A3534:G3534)=0,"",IF(A3534="","N° facture manquant",IF(ISNA(MATCH(A3534,fa_num,0)),"Facture inconnue",IF(AND(B3534&lt;&gt;"",ISNA(MATCH(B3534,pr_code,0))),"Article inconnu",IF(H3534="","Désignation manquante",IF(OR(NOT(ISNUMBER(D3534)),N(D3534)&lt;=0),"Quantité invalide",IF(J3534="","Prix manquant",IF(OR(NOT(ISNUMBER(J3534)),N(J3534)&lt;0),"Prix invalide",IF(OR(AND(F3534&lt;&gt;"",NOT(ISNUMBER(F3534))),N(F3534)&lt;0,N(F3534)&gt;1),"Remise invalide",IF(K3534="","Taux de TVA manquant",IF(NOT(ISNUMBER(K3534)),"Taux de TVA invalide",IF(COUNTIF(p_rates,K3534)=0,"Taux de TVA hors liste (Paramètres)",IF(N(O3534)&gt;25,"Au-delà de 25 lignes : non imprimée","OK")))))))))))))</f>
        <v/>
      </c>
      <c r="O3534" s="59" t="str">
        <f>IF(A3534="","",COUNTIF($A$6:A3534,A3534))</f>
        <v/>
      </c>
      <c r="P3534" s="62" t="str">
        <f>IF(A3534="","",A3534&amp;"|"&amp;O3534)</f>
        <v/>
      </c>
    </row>
    <row r="3535">
      <c r="A3535" s="60" t="n"/>
      <c r="B3535" s="63" t="n"/>
      <c r="C3535" s="63" t="n"/>
      <c r="D3535" s="67" t="n"/>
      <c r="E3535" s="68" t="n"/>
      <c r="F3535" s="69" t="n"/>
      <c r="G3535" s="70" t="n"/>
      <c r="H3535" s="62" t="str">
        <f>IF(COUNTA(A3535:G3535)=0,"",IF(C3535&lt;&gt;"",C3535,IF(B3535="","",IFERROR(INDEX(pr_des,MATCH(B3535,pr_code,0))&amp;"",""))))</f>
        <v/>
      </c>
      <c r="I3535" s="59" t="str">
        <f>IF(B3535="","",IFERROR(INDEX(pr_unit,MATCH(B3535,pr_code,0))&amp;"",""))</f>
        <v/>
      </c>
      <c r="J3535" s="65" t="str">
        <f>IF(COUNTA(A3535:G3535)=0,"",IF(E3535&lt;&gt;"",E3535,IF(B3535="","",IFERROR(IF(INDEX(pr_price,MATCH(B3535,pr_code,0))="","",INDEX(pr_price,MATCH(B3535,pr_code,0))),""))))</f>
        <v/>
      </c>
      <c r="K3535" s="71" t="str">
        <f>IF(COUNTA(A3535:G3535)=0,"",IF(G3535&lt;&gt;"",G3535,IF(B3535="","",IFERROR(IF(INDEX(pr_rate,MATCH(B3535,pr_code,0))="","",INDEX(pr_rate,MATCH(B3535,pr_code,0))),""))))</f>
        <v/>
      </c>
      <c r="L3535" s="65" t="str">
        <f>IF(COUNTA(A3535:G3535)=0,"",IF(AND(ISNUMBER(D3535),ISNUMBER(J3535)),ROUND(D3535*J3535*(1-N(F3535)),2),0))</f>
        <v/>
      </c>
      <c r="M3535" s="62" t="str">
        <f>IF(A3535="","",IFERROR(INDEX(fa_cname,MATCH(A3535,fa_num,0))&amp;"",""))</f>
        <v/>
      </c>
      <c r="N3535" s="59" t="str">
        <f>IF(COUNTA(A3535:G3535)=0,"",IF(A3535="","N° facture manquant",IF(ISNA(MATCH(A3535,fa_num,0)),"Facture inconnue",IF(AND(B3535&lt;&gt;"",ISNA(MATCH(B3535,pr_code,0))),"Article inconnu",IF(H3535="","Désignation manquante",IF(OR(NOT(ISNUMBER(D3535)),N(D3535)&lt;=0),"Quantité invalide",IF(J3535="","Prix manquant",IF(OR(NOT(ISNUMBER(J3535)),N(J3535)&lt;0),"Prix invalide",IF(OR(AND(F3535&lt;&gt;"",NOT(ISNUMBER(F3535))),N(F3535)&lt;0,N(F3535)&gt;1),"Remise invalide",IF(K3535="","Taux de TVA manquant",IF(NOT(ISNUMBER(K3535)),"Taux de TVA invalide",IF(COUNTIF(p_rates,K3535)=0,"Taux de TVA hors liste (Paramètres)",IF(N(O3535)&gt;25,"Au-delà de 25 lignes : non imprimée","OK")))))))))))))</f>
        <v/>
      </c>
      <c r="O3535" s="59" t="str">
        <f>IF(A3535="","",COUNTIF($A$6:A3535,A3535))</f>
        <v/>
      </c>
      <c r="P3535" s="62" t="str">
        <f>IF(A3535="","",A3535&amp;"|"&amp;O3535)</f>
        <v/>
      </c>
    </row>
    <row r="3536">
      <c r="A3536" s="60" t="n"/>
      <c r="B3536" s="63" t="n"/>
      <c r="C3536" s="63" t="n"/>
      <c r="D3536" s="67" t="n"/>
      <c r="E3536" s="68" t="n"/>
      <c r="F3536" s="69" t="n"/>
      <c r="G3536" s="70" t="n"/>
      <c r="H3536" s="62" t="str">
        <f>IF(COUNTA(A3536:G3536)=0,"",IF(C3536&lt;&gt;"",C3536,IF(B3536="","",IFERROR(INDEX(pr_des,MATCH(B3536,pr_code,0))&amp;"",""))))</f>
        <v/>
      </c>
      <c r="I3536" s="59" t="str">
        <f>IF(B3536="","",IFERROR(INDEX(pr_unit,MATCH(B3536,pr_code,0))&amp;"",""))</f>
        <v/>
      </c>
      <c r="J3536" s="65" t="str">
        <f>IF(COUNTA(A3536:G3536)=0,"",IF(E3536&lt;&gt;"",E3536,IF(B3536="","",IFERROR(IF(INDEX(pr_price,MATCH(B3536,pr_code,0))="","",INDEX(pr_price,MATCH(B3536,pr_code,0))),""))))</f>
        <v/>
      </c>
      <c r="K3536" s="71" t="str">
        <f>IF(COUNTA(A3536:G3536)=0,"",IF(G3536&lt;&gt;"",G3536,IF(B3536="","",IFERROR(IF(INDEX(pr_rate,MATCH(B3536,pr_code,0))="","",INDEX(pr_rate,MATCH(B3536,pr_code,0))),""))))</f>
        <v/>
      </c>
      <c r="L3536" s="65" t="str">
        <f>IF(COUNTA(A3536:G3536)=0,"",IF(AND(ISNUMBER(D3536),ISNUMBER(J3536)),ROUND(D3536*J3536*(1-N(F3536)),2),0))</f>
        <v/>
      </c>
      <c r="M3536" s="62" t="str">
        <f>IF(A3536="","",IFERROR(INDEX(fa_cname,MATCH(A3536,fa_num,0))&amp;"",""))</f>
        <v/>
      </c>
      <c r="N3536" s="59" t="str">
        <f>IF(COUNTA(A3536:G3536)=0,"",IF(A3536="","N° facture manquant",IF(ISNA(MATCH(A3536,fa_num,0)),"Facture inconnue",IF(AND(B3536&lt;&gt;"",ISNA(MATCH(B3536,pr_code,0))),"Article inconnu",IF(H3536="","Désignation manquante",IF(OR(NOT(ISNUMBER(D3536)),N(D3536)&lt;=0),"Quantité invalide",IF(J3536="","Prix manquant",IF(OR(NOT(ISNUMBER(J3536)),N(J3536)&lt;0),"Prix invalide",IF(OR(AND(F3536&lt;&gt;"",NOT(ISNUMBER(F3536))),N(F3536)&lt;0,N(F3536)&gt;1),"Remise invalide",IF(K3536="","Taux de TVA manquant",IF(NOT(ISNUMBER(K3536)),"Taux de TVA invalide",IF(COUNTIF(p_rates,K3536)=0,"Taux de TVA hors liste (Paramètres)",IF(N(O3536)&gt;25,"Au-delà de 25 lignes : non imprimée","OK")))))))))))))</f>
        <v/>
      </c>
      <c r="O3536" s="59" t="str">
        <f>IF(A3536="","",COUNTIF($A$6:A3536,A3536))</f>
        <v/>
      </c>
      <c r="P3536" s="62" t="str">
        <f>IF(A3536="","",A3536&amp;"|"&amp;O3536)</f>
        <v/>
      </c>
    </row>
    <row r="3537">
      <c r="A3537" s="60" t="n"/>
      <c r="B3537" s="63" t="n"/>
      <c r="C3537" s="63" t="n"/>
      <c r="D3537" s="67" t="n"/>
      <c r="E3537" s="68" t="n"/>
      <c r="F3537" s="69" t="n"/>
      <c r="G3537" s="70" t="n"/>
      <c r="H3537" s="62" t="str">
        <f>IF(COUNTA(A3537:G3537)=0,"",IF(C3537&lt;&gt;"",C3537,IF(B3537="","",IFERROR(INDEX(pr_des,MATCH(B3537,pr_code,0))&amp;"",""))))</f>
        <v/>
      </c>
      <c r="I3537" s="59" t="str">
        <f>IF(B3537="","",IFERROR(INDEX(pr_unit,MATCH(B3537,pr_code,0))&amp;"",""))</f>
        <v/>
      </c>
      <c r="J3537" s="65" t="str">
        <f>IF(COUNTA(A3537:G3537)=0,"",IF(E3537&lt;&gt;"",E3537,IF(B3537="","",IFERROR(IF(INDEX(pr_price,MATCH(B3537,pr_code,0))="","",INDEX(pr_price,MATCH(B3537,pr_code,0))),""))))</f>
        <v/>
      </c>
      <c r="K3537" s="71" t="str">
        <f>IF(COUNTA(A3537:G3537)=0,"",IF(G3537&lt;&gt;"",G3537,IF(B3537="","",IFERROR(IF(INDEX(pr_rate,MATCH(B3537,pr_code,0))="","",INDEX(pr_rate,MATCH(B3537,pr_code,0))),""))))</f>
        <v/>
      </c>
      <c r="L3537" s="65" t="str">
        <f>IF(COUNTA(A3537:G3537)=0,"",IF(AND(ISNUMBER(D3537),ISNUMBER(J3537)),ROUND(D3537*J3537*(1-N(F3537)),2),0))</f>
        <v/>
      </c>
      <c r="M3537" s="62" t="str">
        <f>IF(A3537="","",IFERROR(INDEX(fa_cname,MATCH(A3537,fa_num,0))&amp;"",""))</f>
        <v/>
      </c>
      <c r="N3537" s="59" t="str">
        <f>IF(COUNTA(A3537:G3537)=0,"",IF(A3537="","N° facture manquant",IF(ISNA(MATCH(A3537,fa_num,0)),"Facture inconnue",IF(AND(B3537&lt;&gt;"",ISNA(MATCH(B3537,pr_code,0))),"Article inconnu",IF(H3537="","Désignation manquante",IF(OR(NOT(ISNUMBER(D3537)),N(D3537)&lt;=0),"Quantité invalide",IF(J3537="","Prix manquant",IF(OR(NOT(ISNUMBER(J3537)),N(J3537)&lt;0),"Prix invalide",IF(OR(AND(F3537&lt;&gt;"",NOT(ISNUMBER(F3537))),N(F3537)&lt;0,N(F3537)&gt;1),"Remise invalide",IF(K3537="","Taux de TVA manquant",IF(NOT(ISNUMBER(K3537)),"Taux de TVA invalide",IF(COUNTIF(p_rates,K3537)=0,"Taux de TVA hors liste (Paramètres)",IF(N(O3537)&gt;25,"Au-delà de 25 lignes : non imprimée","OK")))))))))))))</f>
        <v/>
      </c>
      <c r="O3537" s="59" t="str">
        <f>IF(A3537="","",COUNTIF($A$6:A3537,A3537))</f>
        <v/>
      </c>
      <c r="P3537" s="62" t="str">
        <f>IF(A3537="","",A3537&amp;"|"&amp;O3537)</f>
        <v/>
      </c>
    </row>
    <row r="3538">
      <c r="A3538" s="60" t="n"/>
      <c r="B3538" s="63" t="n"/>
      <c r="C3538" s="63" t="n"/>
      <c r="D3538" s="67" t="n"/>
      <c r="E3538" s="68" t="n"/>
      <c r="F3538" s="69" t="n"/>
      <c r="G3538" s="70" t="n"/>
      <c r="H3538" s="62" t="str">
        <f>IF(COUNTA(A3538:G3538)=0,"",IF(C3538&lt;&gt;"",C3538,IF(B3538="","",IFERROR(INDEX(pr_des,MATCH(B3538,pr_code,0))&amp;"",""))))</f>
        <v/>
      </c>
      <c r="I3538" s="59" t="str">
        <f>IF(B3538="","",IFERROR(INDEX(pr_unit,MATCH(B3538,pr_code,0))&amp;"",""))</f>
        <v/>
      </c>
      <c r="J3538" s="65" t="str">
        <f>IF(COUNTA(A3538:G3538)=0,"",IF(E3538&lt;&gt;"",E3538,IF(B3538="","",IFERROR(IF(INDEX(pr_price,MATCH(B3538,pr_code,0))="","",INDEX(pr_price,MATCH(B3538,pr_code,0))),""))))</f>
        <v/>
      </c>
      <c r="K3538" s="71" t="str">
        <f>IF(COUNTA(A3538:G3538)=0,"",IF(G3538&lt;&gt;"",G3538,IF(B3538="","",IFERROR(IF(INDEX(pr_rate,MATCH(B3538,pr_code,0))="","",INDEX(pr_rate,MATCH(B3538,pr_code,0))),""))))</f>
        <v/>
      </c>
      <c r="L3538" s="65" t="str">
        <f>IF(COUNTA(A3538:G3538)=0,"",IF(AND(ISNUMBER(D3538),ISNUMBER(J3538)),ROUND(D3538*J3538*(1-N(F3538)),2),0))</f>
        <v/>
      </c>
      <c r="M3538" s="62" t="str">
        <f>IF(A3538="","",IFERROR(INDEX(fa_cname,MATCH(A3538,fa_num,0))&amp;"",""))</f>
        <v/>
      </c>
      <c r="N3538" s="59" t="str">
        <f>IF(COUNTA(A3538:G3538)=0,"",IF(A3538="","N° facture manquant",IF(ISNA(MATCH(A3538,fa_num,0)),"Facture inconnue",IF(AND(B3538&lt;&gt;"",ISNA(MATCH(B3538,pr_code,0))),"Article inconnu",IF(H3538="","Désignation manquante",IF(OR(NOT(ISNUMBER(D3538)),N(D3538)&lt;=0),"Quantité invalide",IF(J3538="","Prix manquant",IF(OR(NOT(ISNUMBER(J3538)),N(J3538)&lt;0),"Prix invalide",IF(OR(AND(F3538&lt;&gt;"",NOT(ISNUMBER(F3538))),N(F3538)&lt;0,N(F3538)&gt;1),"Remise invalide",IF(K3538="","Taux de TVA manquant",IF(NOT(ISNUMBER(K3538)),"Taux de TVA invalide",IF(COUNTIF(p_rates,K3538)=0,"Taux de TVA hors liste (Paramètres)",IF(N(O3538)&gt;25,"Au-delà de 25 lignes : non imprimée","OK")))))))))))))</f>
        <v/>
      </c>
      <c r="O3538" s="59" t="str">
        <f>IF(A3538="","",COUNTIF($A$6:A3538,A3538))</f>
        <v/>
      </c>
      <c r="P3538" s="62" t="str">
        <f>IF(A3538="","",A3538&amp;"|"&amp;O3538)</f>
        <v/>
      </c>
    </row>
    <row r="3539">
      <c r="A3539" s="60" t="n"/>
      <c r="B3539" s="63" t="n"/>
      <c r="C3539" s="63" t="n"/>
      <c r="D3539" s="67" t="n"/>
      <c r="E3539" s="68" t="n"/>
      <c r="F3539" s="69" t="n"/>
      <c r="G3539" s="70" t="n"/>
      <c r="H3539" s="62" t="str">
        <f>IF(COUNTA(A3539:G3539)=0,"",IF(C3539&lt;&gt;"",C3539,IF(B3539="","",IFERROR(INDEX(pr_des,MATCH(B3539,pr_code,0))&amp;"",""))))</f>
        <v/>
      </c>
      <c r="I3539" s="59" t="str">
        <f>IF(B3539="","",IFERROR(INDEX(pr_unit,MATCH(B3539,pr_code,0))&amp;"",""))</f>
        <v/>
      </c>
      <c r="J3539" s="65" t="str">
        <f>IF(COUNTA(A3539:G3539)=0,"",IF(E3539&lt;&gt;"",E3539,IF(B3539="","",IFERROR(IF(INDEX(pr_price,MATCH(B3539,pr_code,0))="","",INDEX(pr_price,MATCH(B3539,pr_code,0))),""))))</f>
        <v/>
      </c>
      <c r="K3539" s="71" t="str">
        <f>IF(COUNTA(A3539:G3539)=0,"",IF(G3539&lt;&gt;"",G3539,IF(B3539="","",IFERROR(IF(INDEX(pr_rate,MATCH(B3539,pr_code,0))="","",INDEX(pr_rate,MATCH(B3539,pr_code,0))),""))))</f>
        <v/>
      </c>
      <c r="L3539" s="65" t="str">
        <f>IF(COUNTA(A3539:G3539)=0,"",IF(AND(ISNUMBER(D3539),ISNUMBER(J3539)),ROUND(D3539*J3539*(1-N(F3539)),2),0))</f>
        <v/>
      </c>
      <c r="M3539" s="62" t="str">
        <f>IF(A3539="","",IFERROR(INDEX(fa_cname,MATCH(A3539,fa_num,0))&amp;"",""))</f>
        <v/>
      </c>
      <c r="N3539" s="59" t="str">
        <f>IF(COUNTA(A3539:G3539)=0,"",IF(A3539="","N° facture manquant",IF(ISNA(MATCH(A3539,fa_num,0)),"Facture inconnue",IF(AND(B3539&lt;&gt;"",ISNA(MATCH(B3539,pr_code,0))),"Article inconnu",IF(H3539="","Désignation manquante",IF(OR(NOT(ISNUMBER(D3539)),N(D3539)&lt;=0),"Quantité invalide",IF(J3539="","Prix manquant",IF(OR(NOT(ISNUMBER(J3539)),N(J3539)&lt;0),"Prix invalide",IF(OR(AND(F3539&lt;&gt;"",NOT(ISNUMBER(F3539))),N(F3539)&lt;0,N(F3539)&gt;1),"Remise invalide",IF(K3539="","Taux de TVA manquant",IF(NOT(ISNUMBER(K3539)),"Taux de TVA invalide",IF(COUNTIF(p_rates,K3539)=0,"Taux de TVA hors liste (Paramètres)",IF(N(O3539)&gt;25,"Au-delà de 25 lignes : non imprimée","OK")))))))))))))</f>
        <v/>
      </c>
      <c r="O3539" s="59" t="str">
        <f>IF(A3539="","",COUNTIF($A$6:A3539,A3539))</f>
        <v/>
      </c>
      <c r="P3539" s="62" t="str">
        <f>IF(A3539="","",A3539&amp;"|"&amp;O3539)</f>
        <v/>
      </c>
    </row>
    <row r="3540">
      <c r="A3540" s="60" t="n"/>
      <c r="B3540" s="63" t="n"/>
      <c r="C3540" s="63" t="n"/>
      <c r="D3540" s="67" t="n"/>
      <c r="E3540" s="68" t="n"/>
      <c r="F3540" s="69" t="n"/>
      <c r="G3540" s="70" t="n"/>
      <c r="H3540" s="62" t="str">
        <f>IF(COUNTA(A3540:G3540)=0,"",IF(C3540&lt;&gt;"",C3540,IF(B3540="","",IFERROR(INDEX(pr_des,MATCH(B3540,pr_code,0))&amp;"",""))))</f>
        <v/>
      </c>
      <c r="I3540" s="59" t="str">
        <f>IF(B3540="","",IFERROR(INDEX(pr_unit,MATCH(B3540,pr_code,0))&amp;"",""))</f>
        <v/>
      </c>
      <c r="J3540" s="65" t="str">
        <f>IF(COUNTA(A3540:G3540)=0,"",IF(E3540&lt;&gt;"",E3540,IF(B3540="","",IFERROR(IF(INDEX(pr_price,MATCH(B3540,pr_code,0))="","",INDEX(pr_price,MATCH(B3540,pr_code,0))),""))))</f>
        <v/>
      </c>
      <c r="K3540" s="71" t="str">
        <f>IF(COUNTA(A3540:G3540)=0,"",IF(G3540&lt;&gt;"",G3540,IF(B3540="","",IFERROR(IF(INDEX(pr_rate,MATCH(B3540,pr_code,0))="","",INDEX(pr_rate,MATCH(B3540,pr_code,0))),""))))</f>
        <v/>
      </c>
      <c r="L3540" s="65" t="str">
        <f>IF(COUNTA(A3540:G3540)=0,"",IF(AND(ISNUMBER(D3540),ISNUMBER(J3540)),ROUND(D3540*J3540*(1-N(F3540)),2),0))</f>
        <v/>
      </c>
      <c r="M3540" s="62" t="str">
        <f>IF(A3540="","",IFERROR(INDEX(fa_cname,MATCH(A3540,fa_num,0))&amp;"",""))</f>
        <v/>
      </c>
      <c r="N3540" s="59" t="str">
        <f>IF(COUNTA(A3540:G3540)=0,"",IF(A3540="","N° facture manquant",IF(ISNA(MATCH(A3540,fa_num,0)),"Facture inconnue",IF(AND(B3540&lt;&gt;"",ISNA(MATCH(B3540,pr_code,0))),"Article inconnu",IF(H3540="","Désignation manquante",IF(OR(NOT(ISNUMBER(D3540)),N(D3540)&lt;=0),"Quantité invalide",IF(J3540="","Prix manquant",IF(OR(NOT(ISNUMBER(J3540)),N(J3540)&lt;0),"Prix invalide",IF(OR(AND(F3540&lt;&gt;"",NOT(ISNUMBER(F3540))),N(F3540)&lt;0,N(F3540)&gt;1),"Remise invalide",IF(K3540="","Taux de TVA manquant",IF(NOT(ISNUMBER(K3540)),"Taux de TVA invalide",IF(COUNTIF(p_rates,K3540)=0,"Taux de TVA hors liste (Paramètres)",IF(N(O3540)&gt;25,"Au-delà de 25 lignes : non imprimée","OK")))))))))))))</f>
        <v/>
      </c>
      <c r="O3540" s="59" t="str">
        <f>IF(A3540="","",COUNTIF($A$6:A3540,A3540))</f>
        <v/>
      </c>
      <c r="P3540" s="62" t="str">
        <f>IF(A3540="","",A3540&amp;"|"&amp;O3540)</f>
        <v/>
      </c>
    </row>
    <row r="3541">
      <c r="A3541" s="60" t="n"/>
      <c r="B3541" s="63" t="n"/>
      <c r="C3541" s="63" t="n"/>
      <c r="D3541" s="67" t="n"/>
      <c r="E3541" s="68" t="n"/>
      <c r="F3541" s="69" t="n"/>
      <c r="G3541" s="70" t="n"/>
      <c r="H3541" s="62" t="str">
        <f>IF(COUNTA(A3541:G3541)=0,"",IF(C3541&lt;&gt;"",C3541,IF(B3541="","",IFERROR(INDEX(pr_des,MATCH(B3541,pr_code,0))&amp;"",""))))</f>
        <v/>
      </c>
      <c r="I3541" s="59" t="str">
        <f>IF(B3541="","",IFERROR(INDEX(pr_unit,MATCH(B3541,pr_code,0))&amp;"",""))</f>
        <v/>
      </c>
      <c r="J3541" s="65" t="str">
        <f>IF(COUNTA(A3541:G3541)=0,"",IF(E3541&lt;&gt;"",E3541,IF(B3541="","",IFERROR(IF(INDEX(pr_price,MATCH(B3541,pr_code,0))="","",INDEX(pr_price,MATCH(B3541,pr_code,0))),""))))</f>
        <v/>
      </c>
      <c r="K3541" s="71" t="str">
        <f>IF(COUNTA(A3541:G3541)=0,"",IF(G3541&lt;&gt;"",G3541,IF(B3541="","",IFERROR(IF(INDEX(pr_rate,MATCH(B3541,pr_code,0))="","",INDEX(pr_rate,MATCH(B3541,pr_code,0))),""))))</f>
        <v/>
      </c>
      <c r="L3541" s="65" t="str">
        <f>IF(COUNTA(A3541:G3541)=0,"",IF(AND(ISNUMBER(D3541),ISNUMBER(J3541)),ROUND(D3541*J3541*(1-N(F3541)),2),0))</f>
        <v/>
      </c>
      <c r="M3541" s="62" t="str">
        <f>IF(A3541="","",IFERROR(INDEX(fa_cname,MATCH(A3541,fa_num,0))&amp;"",""))</f>
        <v/>
      </c>
      <c r="N3541" s="59" t="str">
        <f>IF(COUNTA(A3541:G3541)=0,"",IF(A3541="","N° facture manquant",IF(ISNA(MATCH(A3541,fa_num,0)),"Facture inconnue",IF(AND(B3541&lt;&gt;"",ISNA(MATCH(B3541,pr_code,0))),"Article inconnu",IF(H3541="","Désignation manquante",IF(OR(NOT(ISNUMBER(D3541)),N(D3541)&lt;=0),"Quantité invalide",IF(J3541="","Prix manquant",IF(OR(NOT(ISNUMBER(J3541)),N(J3541)&lt;0),"Prix invalide",IF(OR(AND(F3541&lt;&gt;"",NOT(ISNUMBER(F3541))),N(F3541)&lt;0,N(F3541)&gt;1),"Remise invalide",IF(K3541="","Taux de TVA manquant",IF(NOT(ISNUMBER(K3541)),"Taux de TVA invalide",IF(COUNTIF(p_rates,K3541)=0,"Taux de TVA hors liste (Paramètres)",IF(N(O3541)&gt;25,"Au-delà de 25 lignes : non imprimée","OK")))))))))))))</f>
        <v/>
      </c>
      <c r="O3541" s="59" t="str">
        <f>IF(A3541="","",COUNTIF($A$6:A3541,A3541))</f>
        <v/>
      </c>
      <c r="P3541" s="62" t="str">
        <f>IF(A3541="","",A3541&amp;"|"&amp;O3541)</f>
        <v/>
      </c>
    </row>
    <row r="3542">
      <c r="A3542" s="60" t="n"/>
      <c r="B3542" s="63" t="n"/>
      <c r="C3542" s="63" t="n"/>
      <c r="D3542" s="67" t="n"/>
      <c r="E3542" s="68" t="n"/>
      <c r="F3542" s="69" t="n"/>
      <c r="G3542" s="70" t="n"/>
      <c r="H3542" s="62" t="str">
        <f>IF(COUNTA(A3542:G3542)=0,"",IF(C3542&lt;&gt;"",C3542,IF(B3542="","",IFERROR(INDEX(pr_des,MATCH(B3542,pr_code,0))&amp;"",""))))</f>
        <v/>
      </c>
      <c r="I3542" s="59" t="str">
        <f>IF(B3542="","",IFERROR(INDEX(pr_unit,MATCH(B3542,pr_code,0))&amp;"",""))</f>
        <v/>
      </c>
      <c r="J3542" s="65" t="str">
        <f>IF(COUNTA(A3542:G3542)=0,"",IF(E3542&lt;&gt;"",E3542,IF(B3542="","",IFERROR(IF(INDEX(pr_price,MATCH(B3542,pr_code,0))="","",INDEX(pr_price,MATCH(B3542,pr_code,0))),""))))</f>
        <v/>
      </c>
      <c r="K3542" s="71" t="str">
        <f>IF(COUNTA(A3542:G3542)=0,"",IF(G3542&lt;&gt;"",G3542,IF(B3542="","",IFERROR(IF(INDEX(pr_rate,MATCH(B3542,pr_code,0))="","",INDEX(pr_rate,MATCH(B3542,pr_code,0))),""))))</f>
        <v/>
      </c>
      <c r="L3542" s="65" t="str">
        <f>IF(COUNTA(A3542:G3542)=0,"",IF(AND(ISNUMBER(D3542),ISNUMBER(J3542)),ROUND(D3542*J3542*(1-N(F3542)),2),0))</f>
        <v/>
      </c>
      <c r="M3542" s="62" t="str">
        <f>IF(A3542="","",IFERROR(INDEX(fa_cname,MATCH(A3542,fa_num,0))&amp;"",""))</f>
        <v/>
      </c>
      <c r="N3542" s="59" t="str">
        <f>IF(COUNTA(A3542:G3542)=0,"",IF(A3542="","N° facture manquant",IF(ISNA(MATCH(A3542,fa_num,0)),"Facture inconnue",IF(AND(B3542&lt;&gt;"",ISNA(MATCH(B3542,pr_code,0))),"Article inconnu",IF(H3542="","Désignation manquante",IF(OR(NOT(ISNUMBER(D3542)),N(D3542)&lt;=0),"Quantité invalide",IF(J3542="","Prix manquant",IF(OR(NOT(ISNUMBER(J3542)),N(J3542)&lt;0),"Prix invalide",IF(OR(AND(F3542&lt;&gt;"",NOT(ISNUMBER(F3542))),N(F3542)&lt;0,N(F3542)&gt;1),"Remise invalide",IF(K3542="","Taux de TVA manquant",IF(NOT(ISNUMBER(K3542)),"Taux de TVA invalide",IF(COUNTIF(p_rates,K3542)=0,"Taux de TVA hors liste (Paramètres)",IF(N(O3542)&gt;25,"Au-delà de 25 lignes : non imprimée","OK")))))))))))))</f>
        <v/>
      </c>
      <c r="O3542" s="59" t="str">
        <f>IF(A3542="","",COUNTIF($A$6:A3542,A3542))</f>
        <v/>
      </c>
      <c r="P3542" s="62" t="str">
        <f>IF(A3542="","",A3542&amp;"|"&amp;O3542)</f>
        <v/>
      </c>
    </row>
    <row r="3543">
      <c r="A3543" s="60" t="n"/>
      <c r="B3543" s="63" t="n"/>
      <c r="C3543" s="63" t="n"/>
      <c r="D3543" s="67" t="n"/>
      <c r="E3543" s="68" t="n"/>
      <c r="F3543" s="69" t="n"/>
      <c r="G3543" s="70" t="n"/>
      <c r="H3543" s="62" t="str">
        <f>IF(COUNTA(A3543:G3543)=0,"",IF(C3543&lt;&gt;"",C3543,IF(B3543="","",IFERROR(INDEX(pr_des,MATCH(B3543,pr_code,0))&amp;"",""))))</f>
        <v/>
      </c>
      <c r="I3543" s="59" t="str">
        <f>IF(B3543="","",IFERROR(INDEX(pr_unit,MATCH(B3543,pr_code,0))&amp;"",""))</f>
        <v/>
      </c>
      <c r="J3543" s="65" t="str">
        <f>IF(COUNTA(A3543:G3543)=0,"",IF(E3543&lt;&gt;"",E3543,IF(B3543="","",IFERROR(IF(INDEX(pr_price,MATCH(B3543,pr_code,0))="","",INDEX(pr_price,MATCH(B3543,pr_code,0))),""))))</f>
        <v/>
      </c>
      <c r="K3543" s="71" t="str">
        <f>IF(COUNTA(A3543:G3543)=0,"",IF(G3543&lt;&gt;"",G3543,IF(B3543="","",IFERROR(IF(INDEX(pr_rate,MATCH(B3543,pr_code,0))="","",INDEX(pr_rate,MATCH(B3543,pr_code,0))),""))))</f>
        <v/>
      </c>
      <c r="L3543" s="65" t="str">
        <f>IF(COUNTA(A3543:G3543)=0,"",IF(AND(ISNUMBER(D3543),ISNUMBER(J3543)),ROUND(D3543*J3543*(1-N(F3543)),2),0))</f>
        <v/>
      </c>
      <c r="M3543" s="62" t="str">
        <f>IF(A3543="","",IFERROR(INDEX(fa_cname,MATCH(A3543,fa_num,0))&amp;"",""))</f>
        <v/>
      </c>
      <c r="N3543" s="59" t="str">
        <f>IF(COUNTA(A3543:G3543)=0,"",IF(A3543="","N° facture manquant",IF(ISNA(MATCH(A3543,fa_num,0)),"Facture inconnue",IF(AND(B3543&lt;&gt;"",ISNA(MATCH(B3543,pr_code,0))),"Article inconnu",IF(H3543="","Désignation manquante",IF(OR(NOT(ISNUMBER(D3543)),N(D3543)&lt;=0),"Quantité invalide",IF(J3543="","Prix manquant",IF(OR(NOT(ISNUMBER(J3543)),N(J3543)&lt;0),"Prix invalide",IF(OR(AND(F3543&lt;&gt;"",NOT(ISNUMBER(F3543))),N(F3543)&lt;0,N(F3543)&gt;1),"Remise invalide",IF(K3543="","Taux de TVA manquant",IF(NOT(ISNUMBER(K3543)),"Taux de TVA invalide",IF(COUNTIF(p_rates,K3543)=0,"Taux de TVA hors liste (Paramètres)",IF(N(O3543)&gt;25,"Au-delà de 25 lignes : non imprimée","OK")))))))))))))</f>
        <v/>
      </c>
      <c r="O3543" s="59" t="str">
        <f>IF(A3543="","",COUNTIF($A$6:A3543,A3543))</f>
        <v/>
      </c>
      <c r="P3543" s="62" t="str">
        <f>IF(A3543="","",A3543&amp;"|"&amp;O3543)</f>
        <v/>
      </c>
    </row>
    <row r="3544">
      <c r="A3544" s="60" t="n"/>
      <c r="B3544" s="63" t="n"/>
      <c r="C3544" s="63" t="n"/>
      <c r="D3544" s="67" t="n"/>
      <c r="E3544" s="68" t="n"/>
      <c r="F3544" s="69" t="n"/>
      <c r="G3544" s="70" t="n"/>
      <c r="H3544" s="62" t="str">
        <f>IF(COUNTA(A3544:G3544)=0,"",IF(C3544&lt;&gt;"",C3544,IF(B3544="","",IFERROR(INDEX(pr_des,MATCH(B3544,pr_code,0))&amp;"",""))))</f>
        <v/>
      </c>
      <c r="I3544" s="59" t="str">
        <f>IF(B3544="","",IFERROR(INDEX(pr_unit,MATCH(B3544,pr_code,0))&amp;"",""))</f>
        <v/>
      </c>
      <c r="J3544" s="65" t="str">
        <f>IF(COUNTA(A3544:G3544)=0,"",IF(E3544&lt;&gt;"",E3544,IF(B3544="","",IFERROR(IF(INDEX(pr_price,MATCH(B3544,pr_code,0))="","",INDEX(pr_price,MATCH(B3544,pr_code,0))),""))))</f>
        <v/>
      </c>
      <c r="K3544" s="71" t="str">
        <f>IF(COUNTA(A3544:G3544)=0,"",IF(G3544&lt;&gt;"",G3544,IF(B3544="","",IFERROR(IF(INDEX(pr_rate,MATCH(B3544,pr_code,0))="","",INDEX(pr_rate,MATCH(B3544,pr_code,0))),""))))</f>
        <v/>
      </c>
      <c r="L3544" s="65" t="str">
        <f>IF(COUNTA(A3544:G3544)=0,"",IF(AND(ISNUMBER(D3544),ISNUMBER(J3544)),ROUND(D3544*J3544*(1-N(F3544)),2),0))</f>
        <v/>
      </c>
      <c r="M3544" s="62" t="str">
        <f>IF(A3544="","",IFERROR(INDEX(fa_cname,MATCH(A3544,fa_num,0))&amp;"",""))</f>
        <v/>
      </c>
      <c r="N3544" s="59" t="str">
        <f>IF(COUNTA(A3544:G3544)=0,"",IF(A3544="","N° facture manquant",IF(ISNA(MATCH(A3544,fa_num,0)),"Facture inconnue",IF(AND(B3544&lt;&gt;"",ISNA(MATCH(B3544,pr_code,0))),"Article inconnu",IF(H3544="","Désignation manquante",IF(OR(NOT(ISNUMBER(D3544)),N(D3544)&lt;=0),"Quantité invalide",IF(J3544="","Prix manquant",IF(OR(NOT(ISNUMBER(J3544)),N(J3544)&lt;0),"Prix invalide",IF(OR(AND(F3544&lt;&gt;"",NOT(ISNUMBER(F3544))),N(F3544)&lt;0,N(F3544)&gt;1),"Remise invalide",IF(K3544="","Taux de TVA manquant",IF(NOT(ISNUMBER(K3544)),"Taux de TVA invalide",IF(COUNTIF(p_rates,K3544)=0,"Taux de TVA hors liste (Paramètres)",IF(N(O3544)&gt;25,"Au-delà de 25 lignes : non imprimée","OK")))))))))))))</f>
        <v/>
      </c>
      <c r="O3544" s="59" t="str">
        <f>IF(A3544="","",COUNTIF($A$6:A3544,A3544))</f>
        <v/>
      </c>
      <c r="P3544" s="62" t="str">
        <f>IF(A3544="","",A3544&amp;"|"&amp;O3544)</f>
        <v/>
      </c>
    </row>
    <row r="3545">
      <c r="A3545" s="60" t="n"/>
      <c r="B3545" s="63" t="n"/>
      <c r="C3545" s="63" t="n"/>
      <c r="D3545" s="67" t="n"/>
      <c r="E3545" s="68" t="n"/>
      <c r="F3545" s="69" t="n"/>
      <c r="G3545" s="70" t="n"/>
      <c r="H3545" s="62" t="str">
        <f>IF(COUNTA(A3545:G3545)=0,"",IF(C3545&lt;&gt;"",C3545,IF(B3545="","",IFERROR(INDEX(pr_des,MATCH(B3545,pr_code,0))&amp;"",""))))</f>
        <v/>
      </c>
      <c r="I3545" s="59" t="str">
        <f>IF(B3545="","",IFERROR(INDEX(pr_unit,MATCH(B3545,pr_code,0))&amp;"",""))</f>
        <v/>
      </c>
      <c r="J3545" s="65" t="str">
        <f>IF(COUNTA(A3545:G3545)=0,"",IF(E3545&lt;&gt;"",E3545,IF(B3545="","",IFERROR(IF(INDEX(pr_price,MATCH(B3545,pr_code,0))="","",INDEX(pr_price,MATCH(B3545,pr_code,0))),""))))</f>
        <v/>
      </c>
      <c r="K3545" s="71" t="str">
        <f>IF(COUNTA(A3545:G3545)=0,"",IF(G3545&lt;&gt;"",G3545,IF(B3545="","",IFERROR(IF(INDEX(pr_rate,MATCH(B3545,pr_code,0))="","",INDEX(pr_rate,MATCH(B3545,pr_code,0))),""))))</f>
        <v/>
      </c>
      <c r="L3545" s="65" t="str">
        <f>IF(COUNTA(A3545:G3545)=0,"",IF(AND(ISNUMBER(D3545),ISNUMBER(J3545)),ROUND(D3545*J3545*(1-N(F3545)),2),0))</f>
        <v/>
      </c>
      <c r="M3545" s="62" t="str">
        <f>IF(A3545="","",IFERROR(INDEX(fa_cname,MATCH(A3545,fa_num,0))&amp;"",""))</f>
        <v/>
      </c>
      <c r="N3545" s="59" t="str">
        <f>IF(COUNTA(A3545:G3545)=0,"",IF(A3545="","N° facture manquant",IF(ISNA(MATCH(A3545,fa_num,0)),"Facture inconnue",IF(AND(B3545&lt;&gt;"",ISNA(MATCH(B3545,pr_code,0))),"Article inconnu",IF(H3545="","Désignation manquante",IF(OR(NOT(ISNUMBER(D3545)),N(D3545)&lt;=0),"Quantité invalide",IF(J3545="","Prix manquant",IF(OR(NOT(ISNUMBER(J3545)),N(J3545)&lt;0),"Prix invalide",IF(OR(AND(F3545&lt;&gt;"",NOT(ISNUMBER(F3545))),N(F3545)&lt;0,N(F3545)&gt;1),"Remise invalide",IF(K3545="","Taux de TVA manquant",IF(NOT(ISNUMBER(K3545)),"Taux de TVA invalide",IF(COUNTIF(p_rates,K3545)=0,"Taux de TVA hors liste (Paramètres)",IF(N(O3545)&gt;25,"Au-delà de 25 lignes : non imprimée","OK")))))))))))))</f>
        <v/>
      </c>
      <c r="O3545" s="59" t="str">
        <f>IF(A3545="","",COUNTIF($A$6:A3545,A3545))</f>
        <v/>
      </c>
      <c r="P3545" s="62" t="str">
        <f>IF(A3545="","",A3545&amp;"|"&amp;O3545)</f>
        <v/>
      </c>
    </row>
    <row r="3546">
      <c r="A3546" s="60" t="n"/>
      <c r="B3546" s="63" t="n"/>
      <c r="C3546" s="63" t="n"/>
      <c r="D3546" s="67" t="n"/>
      <c r="E3546" s="68" t="n"/>
      <c r="F3546" s="69" t="n"/>
      <c r="G3546" s="70" t="n"/>
      <c r="H3546" s="62" t="str">
        <f>IF(COUNTA(A3546:G3546)=0,"",IF(C3546&lt;&gt;"",C3546,IF(B3546="","",IFERROR(INDEX(pr_des,MATCH(B3546,pr_code,0))&amp;"",""))))</f>
        <v/>
      </c>
      <c r="I3546" s="59" t="str">
        <f>IF(B3546="","",IFERROR(INDEX(pr_unit,MATCH(B3546,pr_code,0))&amp;"",""))</f>
        <v/>
      </c>
      <c r="J3546" s="65" t="str">
        <f>IF(COUNTA(A3546:G3546)=0,"",IF(E3546&lt;&gt;"",E3546,IF(B3546="","",IFERROR(IF(INDEX(pr_price,MATCH(B3546,pr_code,0))="","",INDEX(pr_price,MATCH(B3546,pr_code,0))),""))))</f>
        <v/>
      </c>
      <c r="K3546" s="71" t="str">
        <f>IF(COUNTA(A3546:G3546)=0,"",IF(G3546&lt;&gt;"",G3546,IF(B3546="","",IFERROR(IF(INDEX(pr_rate,MATCH(B3546,pr_code,0))="","",INDEX(pr_rate,MATCH(B3546,pr_code,0))),""))))</f>
        <v/>
      </c>
      <c r="L3546" s="65" t="str">
        <f>IF(COUNTA(A3546:G3546)=0,"",IF(AND(ISNUMBER(D3546),ISNUMBER(J3546)),ROUND(D3546*J3546*(1-N(F3546)),2),0))</f>
        <v/>
      </c>
      <c r="M3546" s="62" t="str">
        <f>IF(A3546="","",IFERROR(INDEX(fa_cname,MATCH(A3546,fa_num,0))&amp;"",""))</f>
        <v/>
      </c>
      <c r="N3546" s="59" t="str">
        <f>IF(COUNTA(A3546:G3546)=0,"",IF(A3546="","N° facture manquant",IF(ISNA(MATCH(A3546,fa_num,0)),"Facture inconnue",IF(AND(B3546&lt;&gt;"",ISNA(MATCH(B3546,pr_code,0))),"Article inconnu",IF(H3546="","Désignation manquante",IF(OR(NOT(ISNUMBER(D3546)),N(D3546)&lt;=0),"Quantité invalide",IF(J3546="","Prix manquant",IF(OR(NOT(ISNUMBER(J3546)),N(J3546)&lt;0),"Prix invalide",IF(OR(AND(F3546&lt;&gt;"",NOT(ISNUMBER(F3546))),N(F3546)&lt;0,N(F3546)&gt;1),"Remise invalide",IF(K3546="","Taux de TVA manquant",IF(NOT(ISNUMBER(K3546)),"Taux de TVA invalide",IF(COUNTIF(p_rates,K3546)=0,"Taux de TVA hors liste (Paramètres)",IF(N(O3546)&gt;25,"Au-delà de 25 lignes : non imprimée","OK")))))))))))))</f>
        <v/>
      </c>
      <c r="O3546" s="59" t="str">
        <f>IF(A3546="","",COUNTIF($A$6:A3546,A3546))</f>
        <v/>
      </c>
      <c r="P3546" s="62" t="str">
        <f>IF(A3546="","",A3546&amp;"|"&amp;O3546)</f>
        <v/>
      </c>
    </row>
    <row r="3547">
      <c r="A3547" s="60" t="n"/>
      <c r="B3547" s="63" t="n"/>
      <c r="C3547" s="63" t="n"/>
      <c r="D3547" s="67" t="n"/>
      <c r="E3547" s="68" t="n"/>
      <c r="F3547" s="69" t="n"/>
      <c r="G3547" s="70" t="n"/>
      <c r="H3547" s="62" t="str">
        <f>IF(COUNTA(A3547:G3547)=0,"",IF(C3547&lt;&gt;"",C3547,IF(B3547="","",IFERROR(INDEX(pr_des,MATCH(B3547,pr_code,0))&amp;"",""))))</f>
        <v/>
      </c>
      <c r="I3547" s="59" t="str">
        <f>IF(B3547="","",IFERROR(INDEX(pr_unit,MATCH(B3547,pr_code,0))&amp;"",""))</f>
        <v/>
      </c>
      <c r="J3547" s="65" t="str">
        <f>IF(COUNTA(A3547:G3547)=0,"",IF(E3547&lt;&gt;"",E3547,IF(B3547="","",IFERROR(IF(INDEX(pr_price,MATCH(B3547,pr_code,0))="","",INDEX(pr_price,MATCH(B3547,pr_code,0))),""))))</f>
        <v/>
      </c>
      <c r="K3547" s="71" t="str">
        <f>IF(COUNTA(A3547:G3547)=0,"",IF(G3547&lt;&gt;"",G3547,IF(B3547="","",IFERROR(IF(INDEX(pr_rate,MATCH(B3547,pr_code,0))="","",INDEX(pr_rate,MATCH(B3547,pr_code,0))),""))))</f>
        <v/>
      </c>
      <c r="L3547" s="65" t="str">
        <f>IF(COUNTA(A3547:G3547)=0,"",IF(AND(ISNUMBER(D3547),ISNUMBER(J3547)),ROUND(D3547*J3547*(1-N(F3547)),2),0))</f>
        <v/>
      </c>
      <c r="M3547" s="62" t="str">
        <f>IF(A3547="","",IFERROR(INDEX(fa_cname,MATCH(A3547,fa_num,0))&amp;"",""))</f>
        <v/>
      </c>
      <c r="N3547" s="59" t="str">
        <f>IF(COUNTA(A3547:G3547)=0,"",IF(A3547="","N° facture manquant",IF(ISNA(MATCH(A3547,fa_num,0)),"Facture inconnue",IF(AND(B3547&lt;&gt;"",ISNA(MATCH(B3547,pr_code,0))),"Article inconnu",IF(H3547="","Désignation manquante",IF(OR(NOT(ISNUMBER(D3547)),N(D3547)&lt;=0),"Quantité invalide",IF(J3547="","Prix manquant",IF(OR(NOT(ISNUMBER(J3547)),N(J3547)&lt;0),"Prix invalide",IF(OR(AND(F3547&lt;&gt;"",NOT(ISNUMBER(F3547))),N(F3547)&lt;0,N(F3547)&gt;1),"Remise invalide",IF(K3547="","Taux de TVA manquant",IF(NOT(ISNUMBER(K3547)),"Taux de TVA invalide",IF(COUNTIF(p_rates,K3547)=0,"Taux de TVA hors liste (Paramètres)",IF(N(O3547)&gt;25,"Au-delà de 25 lignes : non imprimée","OK")))))))))))))</f>
        <v/>
      </c>
      <c r="O3547" s="59" t="str">
        <f>IF(A3547="","",COUNTIF($A$6:A3547,A3547))</f>
        <v/>
      </c>
      <c r="P3547" s="62" t="str">
        <f>IF(A3547="","",A3547&amp;"|"&amp;O3547)</f>
        <v/>
      </c>
    </row>
    <row r="3548">
      <c r="A3548" s="60" t="n"/>
      <c r="B3548" s="63" t="n"/>
      <c r="C3548" s="63" t="n"/>
      <c r="D3548" s="67" t="n"/>
      <c r="E3548" s="68" t="n"/>
      <c r="F3548" s="69" t="n"/>
      <c r="G3548" s="70" t="n"/>
      <c r="H3548" s="62" t="str">
        <f>IF(COUNTA(A3548:G3548)=0,"",IF(C3548&lt;&gt;"",C3548,IF(B3548="","",IFERROR(INDEX(pr_des,MATCH(B3548,pr_code,0))&amp;"",""))))</f>
        <v/>
      </c>
      <c r="I3548" s="59" t="str">
        <f>IF(B3548="","",IFERROR(INDEX(pr_unit,MATCH(B3548,pr_code,0))&amp;"",""))</f>
        <v/>
      </c>
      <c r="J3548" s="65" t="str">
        <f>IF(COUNTA(A3548:G3548)=0,"",IF(E3548&lt;&gt;"",E3548,IF(B3548="","",IFERROR(IF(INDEX(pr_price,MATCH(B3548,pr_code,0))="","",INDEX(pr_price,MATCH(B3548,pr_code,0))),""))))</f>
        <v/>
      </c>
      <c r="K3548" s="71" t="str">
        <f>IF(COUNTA(A3548:G3548)=0,"",IF(G3548&lt;&gt;"",G3548,IF(B3548="","",IFERROR(IF(INDEX(pr_rate,MATCH(B3548,pr_code,0))="","",INDEX(pr_rate,MATCH(B3548,pr_code,0))),""))))</f>
        <v/>
      </c>
      <c r="L3548" s="65" t="str">
        <f>IF(COUNTA(A3548:G3548)=0,"",IF(AND(ISNUMBER(D3548),ISNUMBER(J3548)),ROUND(D3548*J3548*(1-N(F3548)),2),0))</f>
        <v/>
      </c>
      <c r="M3548" s="62" t="str">
        <f>IF(A3548="","",IFERROR(INDEX(fa_cname,MATCH(A3548,fa_num,0))&amp;"",""))</f>
        <v/>
      </c>
      <c r="N3548" s="59" t="str">
        <f>IF(COUNTA(A3548:G3548)=0,"",IF(A3548="","N° facture manquant",IF(ISNA(MATCH(A3548,fa_num,0)),"Facture inconnue",IF(AND(B3548&lt;&gt;"",ISNA(MATCH(B3548,pr_code,0))),"Article inconnu",IF(H3548="","Désignation manquante",IF(OR(NOT(ISNUMBER(D3548)),N(D3548)&lt;=0),"Quantité invalide",IF(J3548="","Prix manquant",IF(OR(NOT(ISNUMBER(J3548)),N(J3548)&lt;0),"Prix invalide",IF(OR(AND(F3548&lt;&gt;"",NOT(ISNUMBER(F3548))),N(F3548)&lt;0,N(F3548)&gt;1),"Remise invalide",IF(K3548="","Taux de TVA manquant",IF(NOT(ISNUMBER(K3548)),"Taux de TVA invalide",IF(COUNTIF(p_rates,K3548)=0,"Taux de TVA hors liste (Paramètres)",IF(N(O3548)&gt;25,"Au-delà de 25 lignes : non imprimée","OK")))))))))))))</f>
        <v/>
      </c>
      <c r="O3548" s="59" t="str">
        <f>IF(A3548="","",COUNTIF($A$6:A3548,A3548))</f>
        <v/>
      </c>
      <c r="P3548" s="62" t="str">
        <f>IF(A3548="","",A3548&amp;"|"&amp;O3548)</f>
        <v/>
      </c>
    </row>
    <row r="3549">
      <c r="A3549" s="60" t="n"/>
      <c r="B3549" s="63" t="n"/>
      <c r="C3549" s="63" t="n"/>
      <c r="D3549" s="67" t="n"/>
      <c r="E3549" s="68" t="n"/>
      <c r="F3549" s="69" t="n"/>
      <c r="G3549" s="70" t="n"/>
      <c r="H3549" s="62" t="str">
        <f>IF(COUNTA(A3549:G3549)=0,"",IF(C3549&lt;&gt;"",C3549,IF(B3549="","",IFERROR(INDEX(pr_des,MATCH(B3549,pr_code,0))&amp;"",""))))</f>
        <v/>
      </c>
      <c r="I3549" s="59" t="str">
        <f>IF(B3549="","",IFERROR(INDEX(pr_unit,MATCH(B3549,pr_code,0))&amp;"",""))</f>
        <v/>
      </c>
      <c r="J3549" s="65" t="str">
        <f>IF(COUNTA(A3549:G3549)=0,"",IF(E3549&lt;&gt;"",E3549,IF(B3549="","",IFERROR(IF(INDEX(pr_price,MATCH(B3549,pr_code,0))="","",INDEX(pr_price,MATCH(B3549,pr_code,0))),""))))</f>
        <v/>
      </c>
      <c r="K3549" s="71" t="str">
        <f>IF(COUNTA(A3549:G3549)=0,"",IF(G3549&lt;&gt;"",G3549,IF(B3549="","",IFERROR(IF(INDEX(pr_rate,MATCH(B3549,pr_code,0))="","",INDEX(pr_rate,MATCH(B3549,pr_code,0))),""))))</f>
        <v/>
      </c>
      <c r="L3549" s="65" t="str">
        <f>IF(COUNTA(A3549:G3549)=0,"",IF(AND(ISNUMBER(D3549),ISNUMBER(J3549)),ROUND(D3549*J3549*(1-N(F3549)),2),0))</f>
        <v/>
      </c>
      <c r="M3549" s="62" t="str">
        <f>IF(A3549="","",IFERROR(INDEX(fa_cname,MATCH(A3549,fa_num,0))&amp;"",""))</f>
        <v/>
      </c>
      <c r="N3549" s="59" t="str">
        <f>IF(COUNTA(A3549:G3549)=0,"",IF(A3549="","N° facture manquant",IF(ISNA(MATCH(A3549,fa_num,0)),"Facture inconnue",IF(AND(B3549&lt;&gt;"",ISNA(MATCH(B3549,pr_code,0))),"Article inconnu",IF(H3549="","Désignation manquante",IF(OR(NOT(ISNUMBER(D3549)),N(D3549)&lt;=0),"Quantité invalide",IF(J3549="","Prix manquant",IF(OR(NOT(ISNUMBER(J3549)),N(J3549)&lt;0),"Prix invalide",IF(OR(AND(F3549&lt;&gt;"",NOT(ISNUMBER(F3549))),N(F3549)&lt;0,N(F3549)&gt;1),"Remise invalide",IF(K3549="","Taux de TVA manquant",IF(NOT(ISNUMBER(K3549)),"Taux de TVA invalide",IF(COUNTIF(p_rates,K3549)=0,"Taux de TVA hors liste (Paramètres)",IF(N(O3549)&gt;25,"Au-delà de 25 lignes : non imprimée","OK")))))))))))))</f>
        <v/>
      </c>
      <c r="O3549" s="59" t="str">
        <f>IF(A3549="","",COUNTIF($A$6:A3549,A3549))</f>
        <v/>
      </c>
      <c r="P3549" s="62" t="str">
        <f>IF(A3549="","",A3549&amp;"|"&amp;O3549)</f>
        <v/>
      </c>
    </row>
    <row r="3550">
      <c r="A3550" s="60" t="n"/>
      <c r="B3550" s="63" t="n"/>
      <c r="C3550" s="63" t="n"/>
      <c r="D3550" s="67" t="n"/>
      <c r="E3550" s="68" t="n"/>
      <c r="F3550" s="69" t="n"/>
      <c r="G3550" s="70" t="n"/>
      <c r="H3550" s="62" t="str">
        <f>IF(COUNTA(A3550:G3550)=0,"",IF(C3550&lt;&gt;"",C3550,IF(B3550="","",IFERROR(INDEX(pr_des,MATCH(B3550,pr_code,0))&amp;"",""))))</f>
        <v/>
      </c>
      <c r="I3550" s="59" t="str">
        <f>IF(B3550="","",IFERROR(INDEX(pr_unit,MATCH(B3550,pr_code,0))&amp;"",""))</f>
        <v/>
      </c>
      <c r="J3550" s="65" t="str">
        <f>IF(COUNTA(A3550:G3550)=0,"",IF(E3550&lt;&gt;"",E3550,IF(B3550="","",IFERROR(IF(INDEX(pr_price,MATCH(B3550,pr_code,0))="","",INDEX(pr_price,MATCH(B3550,pr_code,0))),""))))</f>
        <v/>
      </c>
      <c r="K3550" s="71" t="str">
        <f>IF(COUNTA(A3550:G3550)=0,"",IF(G3550&lt;&gt;"",G3550,IF(B3550="","",IFERROR(IF(INDEX(pr_rate,MATCH(B3550,pr_code,0))="","",INDEX(pr_rate,MATCH(B3550,pr_code,0))),""))))</f>
        <v/>
      </c>
      <c r="L3550" s="65" t="str">
        <f>IF(COUNTA(A3550:G3550)=0,"",IF(AND(ISNUMBER(D3550),ISNUMBER(J3550)),ROUND(D3550*J3550*(1-N(F3550)),2),0))</f>
        <v/>
      </c>
      <c r="M3550" s="62" t="str">
        <f>IF(A3550="","",IFERROR(INDEX(fa_cname,MATCH(A3550,fa_num,0))&amp;"",""))</f>
        <v/>
      </c>
      <c r="N3550" s="59" t="str">
        <f>IF(COUNTA(A3550:G3550)=0,"",IF(A3550="","N° facture manquant",IF(ISNA(MATCH(A3550,fa_num,0)),"Facture inconnue",IF(AND(B3550&lt;&gt;"",ISNA(MATCH(B3550,pr_code,0))),"Article inconnu",IF(H3550="","Désignation manquante",IF(OR(NOT(ISNUMBER(D3550)),N(D3550)&lt;=0),"Quantité invalide",IF(J3550="","Prix manquant",IF(OR(NOT(ISNUMBER(J3550)),N(J3550)&lt;0),"Prix invalide",IF(OR(AND(F3550&lt;&gt;"",NOT(ISNUMBER(F3550))),N(F3550)&lt;0,N(F3550)&gt;1),"Remise invalide",IF(K3550="","Taux de TVA manquant",IF(NOT(ISNUMBER(K3550)),"Taux de TVA invalide",IF(COUNTIF(p_rates,K3550)=0,"Taux de TVA hors liste (Paramètres)",IF(N(O3550)&gt;25,"Au-delà de 25 lignes : non imprimée","OK")))))))))))))</f>
        <v/>
      </c>
      <c r="O3550" s="59" t="str">
        <f>IF(A3550="","",COUNTIF($A$6:A3550,A3550))</f>
        <v/>
      </c>
      <c r="P3550" s="62" t="str">
        <f>IF(A3550="","",A3550&amp;"|"&amp;O3550)</f>
        <v/>
      </c>
    </row>
    <row r="3551">
      <c r="A3551" s="60" t="n"/>
      <c r="B3551" s="63" t="n"/>
      <c r="C3551" s="63" t="n"/>
      <c r="D3551" s="67" t="n"/>
      <c r="E3551" s="68" t="n"/>
      <c r="F3551" s="69" t="n"/>
      <c r="G3551" s="70" t="n"/>
      <c r="H3551" s="62" t="str">
        <f>IF(COUNTA(A3551:G3551)=0,"",IF(C3551&lt;&gt;"",C3551,IF(B3551="","",IFERROR(INDEX(pr_des,MATCH(B3551,pr_code,0))&amp;"",""))))</f>
        <v/>
      </c>
      <c r="I3551" s="59" t="str">
        <f>IF(B3551="","",IFERROR(INDEX(pr_unit,MATCH(B3551,pr_code,0))&amp;"",""))</f>
        <v/>
      </c>
      <c r="J3551" s="65" t="str">
        <f>IF(COUNTA(A3551:G3551)=0,"",IF(E3551&lt;&gt;"",E3551,IF(B3551="","",IFERROR(IF(INDEX(pr_price,MATCH(B3551,pr_code,0))="","",INDEX(pr_price,MATCH(B3551,pr_code,0))),""))))</f>
        <v/>
      </c>
      <c r="K3551" s="71" t="str">
        <f>IF(COUNTA(A3551:G3551)=0,"",IF(G3551&lt;&gt;"",G3551,IF(B3551="","",IFERROR(IF(INDEX(pr_rate,MATCH(B3551,pr_code,0))="","",INDEX(pr_rate,MATCH(B3551,pr_code,0))),""))))</f>
        <v/>
      </c>
      <c r="L3551" s="65" t="str">
        <f>IF(COUNTA(A3551:G3551)=0,"",IF(AND(ISNUMBER(D3551),ISNUMBER(J3551)),ROUND(D3551*J3551*(1-N(F3551)),2),0))</f>
        <v/>
      </c>
      <c r="M3551" s="62" t="str">
        <f>IF(A3551="","",IFERROR(INDEX(fa_cname,MATCH(A3551,fa_num,0))&amp;"",""))</f>
        <v/>
      </c>
      <c r="N3551" s="59" t="str">
        <f>IF(COUNTA(A3551:G3551)=0,"",IF(A3551="","N° facture manquant",IF(ISNA(MATCH(A3551,fa_num,0)),"Facture inconnue",IF(AND(B3551&lt;&gt;"",ISNA(MATCH(B3551,pr_code,0))),"Article inconnu",IF(H3551="","Désignation manquante",IF(OR(NOT(ISNUMBER(D3551)),N(D3551)&lt;=0),"Quantité invalide",IF(J3551="","Prix manquant",IF(OR(NOT(ISNUMBER(J3551)),N(J3551)&lt;0),"Prix invalide",IF(OR(AND(F3551&lt;&gt;"",NOT(ISNUMBER(F3551))),N(F3551)&lt;0,N(F3551)&gt;1),"Remise invalide",IF(K3551="","Taux de TVA manquant",IF(NOT(ISNUMBER(K3551)),"Taux de TVA invalide",IF(COUNTIF(p_rates,K3551)=0,"Taux de TVA hors liste (Paramètres)",IF(N(O3551)&gt;25,"Au-delà de 25 lignes : non imprimée","OK")))))))))))))</f>
        <v/>
      </c>
      <c r="O3551" s="59" t="str">
        <f>IF(A3551="","",COUNTIF($A$6:A3551,A3551))</f>
        <v/>
      </c>
      <c r="P3551" s="62" t="str">
        <f>IF(A3551="","",A3551&amp;"|"&amp;O3551)</f>
        <v/>
      </c>
    </row>
    <row r="3552">
      <c r="A3552" s="60" t="n"/>
      <c r="B3552" s="63" t="n"/>
      <c r="C3552" s="63" t="n"/>
      <c r="D3552" s="67" t="n"/>
      <c r="E3552" s="68" t="n"/>
      <c r="F3552" s="69" t="n"/>
      <c r="G3552" s="70" t="n"/>
      <c r="H3552" s="62" t="str">
        <f>IF(COUNTA(A3552:G3552)=0,"",IF(C3552&lt;&gt;"",C3552,IF(B3552="","",IFERROR(INDEX(pr_des,MATCH(B3552,pr_code,0))&amp;"",""))))</f>
        <v/>
      </c>
      <c r="I3552" s="59" t="str">
        <f>IF(B3552="","",IFERROR(INDEX(pr_unit,MATCH(B3552,pr_code,0))&amp;"",""))</f>
        <v/>
      </c>
      <c r="J3552" s="65" t="str">
        <f>IF(COUNTA(A3552:G3552)=0,"",IF(E3552&lt;&gt;"",E3552,IF(B3552="","",IFERROR(IF(INDEX(pr_price,MATCH(B3552,pr_code,0))="","",INDEX(pr_price,MATCH(B3552,pr_code,0))),""))))</f>
        <v/>
      </c>
      <c r="K3552" s="71" t="str">
        <f>IF(COUNTA(A3552:G3552)=0,"",IF(G3552&lt;&gt;"",G3552,IF(B3552="","",IFERROR(IF(INDEX(pr_rate,MATCH(B3552,pr_code,0))="","",INDEX(pr_rate,MATCH(B3552,pr_code,0))),""))))</f>
        <v/>
      </c>
      <c r="L3552" s="65" t="str">
        <f>IF(COUNTA(A3552:G3552)=0,"",IF(AND(ISNUMBER(D3552),ISNUMBER(J3552)),ROUND(D3552*J3552*(1-N(F3552)),2),0))</f>
        <v/>
      </c>
      <c r="M3552" s="62" t="str">
        <f>IF(A3552="","",IFERROR(INDEX(fa_cname,MATCH(A3552,fa_num,0))&amp;"",""))</f>
        <v/>
      </c>
      <c r="N3552" s="59" t="str">
        <f>IF(COUNTA(A3552:G3552)=0,"",IF(A3552="","N° facture manquant",IF(ISNA(MATCH(A3552,fa_num,0)),"Facture inconnue",IF(AND(B3552&lt;&gt;"",ISNA(MATCH(B3552,pr_code,0))),"Article inconnu",IF(H3552="","Désignation manquante",IF(OR(NOT(ISNUMBER(D3552)),N(D3552)&lt;=0),"Quantité invalide",IF(J3552="","Prix manquant",IF(OR(NOT(ISNUMBER(J3552)),N(J3552)&lt;0),"Prix invalide",IF(OR(AND(F3552&lt;&gt;"",NOT(ISNUMBER(F3552))),N(F3552)&lt;0,N(F3552)&gt;1),"Remise invalide",IF(K3552="","Taux de TVA manquant",IF(NOT(ISNUMBER(K3552)),"Taux de TVA invalide",IF(COUNTIF(p_rates,K3552)=0,"Taux de TVA hors liste (Paramètres)",IF(N(O3552)&gt;25,"Au-delà de 25 lignes : non imprimée","OK")))))))))))))</f>
        <v/>
      </c>
      <c r="O3552" s="59" t="str">
        <f>IF(A3552="","",COUNTIF($A$6:A3552,A3552))</f>
        <v/>
      </c>
      <c r="P3552" s="62" t="str">
        <f>IF(A3552="","",A3552&amp;"|"&amp;O3552)</f>
        <v/>
      </c>
    </row>
    <row r="3553">
      <c r="A3553" s="60" t="n"/>
      <c r="B3553" s="63" t="n"/>
      <c r="C3553" s="63" t="n"/>
      <c r="D3553" s="67" t="n"/>
      <c r="E3553" s="68" t="n"/>
      <c r="F3553" s="69" t="n"/>
      <c r="G3553" s="70" t="n"/>
      <c r="H3553" s="62" t="str">
        <f>IF(COUNTA(A3553:G3553)=0,"",IF(C3553&lt;&gt;"",C3553,IF(B3553="","",IFERROR(INDEX(pr_des,MATCH(B3553,pr_code,0))&amp;"",""))))</f>
        <v/>
      </c>
      <c r="I3553" s="59" t="str">
        <f>IF(B3553="","",IFERROR(INDEX(pr_unit,MATCH(B3553,pr_code,0))&amp;"",""))</f>
        <v/>
      </c>
      <c r="J3553" s="65" t="str">
        <f>IF(COUNTA(A3553:G3553)=0,"",IF(E3553&lt;&gt;"",E3553,IF(B3553="","",IFERROR(IF(INDEX(pr_price,MATCH(B3553,pr_code,0))="","",INDEX(pr_price,MATCH(B3553,pr_code,0))),""))))</f>
        <v/>
      </c>
      <c r="K3553" s="71" t="str">
        <f>IF(COUNTA(A3553:G3553)=0,"",IF(G3553&lt;&gt;"",G3553,IF(B3553="","",IFERROR(IF(INDEX(pr_rate,MATCH(B3553,pr_code,0))="","",INDEX(pr_rate,MATCH(B3553,pr_code,0))),""))))</f>
        <v/>
      </c>
      <c r="L3553" s="65" t="str">
        <f>IF(COUNTA(A3553:G3553)=0,"",IF(AND(ISNUMBER(D3553),ISNUMBER(J3553)),ROUND(D3553*J3553*(1-N(F3553)),2),0))</f>
        <v/>
      </c>
      <c r="M3553" s="62" t="str">
        <f>IF(A3553="","",IFERROR(INDEX(fa_cname,MATCH(A3553,fa_num,0))&amp;"",""))</f>
        <v/>
      </c>
      <c r="N3553" s="59" t="str">
        <f>IF(COUNTA(A3553:G3553)=0,"",IF(A3553="","N° facture manquant",IF(ISNA(MATCH(A3553,fa_num,0)),"Facture inconnue",IF(AND(B3553&lt;&gt;"",ISNA(MATCH(B3553,pr_code,0))),"Article inconnu",IF(H3553="","Désignation manquante",IF(OR(NOT(ISNUMBER(D3553)),N(D3553)&lt;=0),"Quantité invalide",IF(J3553="","Prix manquant",IF(OR(NOT(ISNUMBER(J3553)),N(J3553)&lt;0),"Prix invalide",IF(OR(AND(F3553&lt;&gt;"",NOT(ISNUMBER(F3553))),N(F3553)&lt;0,N(F3553)&gt;1),"Remise invalide",IF(K3553="","Taux de TVA manquant",IF(NOT(ISNUMBER(K3553)),"Taux de TVA invalide",IF(COUNTIF(p_rates,K3553)=0,"Taux de TVA hors liste (Paramètres)",IF(N(O3553)&gt;25,"Au-delà de 25 lignes : non imprimée","OK")))))))))))))</f>
        <v/>
      </c>
      <c r="O3553" s="59" t="str">
        <f>IF(A3553="","",COUNTIF($A$6:A3553,A3553))</f>
        <v/>
      </c>
      <c r="P3553" s="62" t="str">
        <f>IF(A3553="","",A3553&amp;"|"&amp;O3553)</f>
        <v/>
      </c>
    </row>
    <row r="3554">
      <c r="A3554" s="60" t="n"/>
      <c r="B3554" s="63" t="n"/>
      <c r="C3554" s="63" t="n"/>
      <c r="D3554" s="67" t="n"/>
      <c r="E3554" s="68" t="n"/>
      <c r="F3554" s="69" t="n"/>
      <c r="G3554" s="70" t="n"/>
      <c r="H3554" s="62" t="str">
        <f>IF(COUNTA(A3554:G3554)=0,"",IF(C3554&lt;&gt;"",C3554,IF(B3554="","",IFERROR(INDEX(pr_des,MATCH(B3554,pr_code,0))&amp;"",""))))</f>
        <v/>
      </c>
      <c r="I3554" s="59" t="str">
        <f>IF(B3554="","",IFERROR(INDEX(pr_unit,MATCH(B3554,pr_code,0))&amp;"",""))</f>
        <v/>
      </c>
      <c r="J3554" s="65" t="str">
        <f>IF(COUNTA(A3554:G3554)=0,"",IF(E3554&lt;&gt;"",E3554,IF(B3554="","",IFERROR(IF(INDEX(pr_price,MATCH(B3554,pr_code,0))="","",INDEX(pr_price,MATCH(B3554,pr_code,0))),""))))</f>
        <v/>
      </c>
      <c r="K3554" s="71" t="str">
        <f>IF(COUNTA(A3554:G3554)=0,"",IF(G3554&lt;&gt;"",G3554,IF(B3554="","",IFERROR(IF(INDEX(pr_rate,MATCH(B3554,pr_code,0))="","",INDEX(pr_rate,MATCH(B3554,pr_code,0))),""))))</f>
        <v/>
      </c>
      <c r="L3554" s="65" t="str">
        <f>IF(COUNTA(A3554:G3554)=0,"",IF(AND(ISNUMBER(D3554),ISNUMBER(J3554)),ROUND(D3554*J3554*(1-N(F3554)),2),0))</f>
        <v/>
      </c>
      <c r="M3554" s="62" t="str">
        <f>IF(A3554="","",IFERROR(INDEX(fa_cname,MATCH(A3554,fa_num,0))&amp;"",""))</f>
        <v/>
      </c>
      <c r="N3554" s="59" t="str">
        <f>IF(COUNTA(A3554:G3554)=0,"",IF(A3554="","N° facture manquant",IF(ISNA(MATCH(A3554,fa_num,0)),"Facture inconnue",IF(AND(B3554&lt;&gt;"",ISNA(MATCH(B3554,pr_code,0))),"Article inconnu",IF(H3554="","Désignation manquante",IF(OR(NOT(ISNUMBER(D3554)),N(D3554)&lt;=0),"Quantité invalide",IF(J3554="","Prix manquant",IF(OR(NOT(ISNUMBER(J3554)),N(J3554)&lt;0),"Prix invalide",IF(OR(AND(F3554&lt;&gt;"",NOT(ISNUMBER(F3554))),N(F3554)&lt;0,N(F3554)&gt;1),"Remise invalide",IF(K3554="","Taux de TVA manquant",IF(NOT(ISNUMBER(K3554)),"Taux de TVA invalide",IF(COUNTIF(p_rates,K3554)=0,"Taux de TVA hors liste (Paramètres)",IF(N(O3554)&gt;25,"Au-delà de 25 lignes : non imprimée","OK")))))))))))))</f>
        <v/>
      </c>
      <c r="O3554" s="59" t="str">
        <f>IF(A3554="","",COUNTIF($A$6:A3554,A3554))</f>
        <v/>
      </c>
      <c r="P3554" s="62" t="str">
        <f>IF(A3554="","",A3554&amp;"|"&amp;O3554)</f>
        <v/>
      </c>
    </row>
    <row r="3555">
      <c r="A3555" s="60" t="n"/>
      <c r="B3555" s="63" t="n"/>
      <c r="C3555" s="63" t="n"/>
      <c r="D3555" s="67" t="n"/>
      <c r="E3555" s="68" t="n"/>
      <c r="F3555" s="69" t="n"/>
      <c r="G3555" s="70" t="n"/>
      <c r="H3555" s="62" t="str">
        <f>IF(COUNTA(A3555:G3555)=0,"",IF(C3555&lt;&gt;"",C3555,IF(B3555="","",IFERROR(INDEX(pr_des,MATCH(B3555,pr_code,0))&amp;"",""))))</f>
        <v/>
      </c>
      <c r="I3555" s="59" t="str">
        <f>IF(B3555="","",IFERROR(INDEX(pr_unit,MATCH(B3555,pr_code,0))&amp;"",""))</f>
        <v/>
      </c>
      <c r="J3555" s="65" t="str">
        <f>IF(COUNTA(A3555:G3555)=0,"",IF(E3555&lt;&gt;"",E3555,IF(B3555="","",IFERROR(IF(INDEX(pr_price,MATCH(B3555,pr_code,0))="","",INDEX(pr_price,MATCH(B3555,pr_code,0))),""))))</f>
        <v/>
      </c>
      <c r="K3555" s="71" t="str">
        <f>IF(COUNTA(A3555:G3555)=0,"",IF(G3555&lt;&gt;"",G3555,IF(B3555="","",IFERROR(IF(INDEX(pr_rate,MATCH(B3555,pr_code,0))="","",INDEX(pr_rate,MATCH(B3555,pr_code,0))),""))))</f>
        <v/>
      </c>
      <c r="L3555" s="65" t="str">
        <f>IF(COUNTA(A3555:G3555)=0,"",IF(AND(ISNUMBER(D3555),ISNUMBER(J3555)),ROUND(D3555*J3555*(1-N(F3555)),2),0))</f>
        <v/>
      </c>
      <c r="M3555" s="62" t="str">
        <f>IF(A3555="","",IFERROR(INDEX(fa_cname,MATCH(A3555,fa_num,0))&amp;"",""))</f>
        <v/>
      </c>
      <c r="N3555" s="59" t="str">
        <f>IF(COUNTA(A3555:G3555)=0,"",IF(A3555="","N° facture manquant",IF(ISNA(MATCH(A3555,fa_num,0)),"Facture inconnue",IF(AND(B3555&lt;&gt;"",ISNA(MATCH(B3555,pr_code,0))),"Article inconnu",IF(H3555="","Désignation manquante",IF(OR(NOT(ISNUMBER(D3555)),N(D3555)&lt;=0),"Quantité invalide",IF(J3555="","Prix manquant",IF(OR(NOT(ISNUMBER(J3555)),N(J3555)&lt;0),"Prix invalide",IF(OR(AND(F3555&lt;&gt;"",NOT(ISNUMBER(F3555))),N(F3555)&lt;0,N(F3555)&gt;1),"Remise invalide",IF(K3555="","Taux de TVA manquant",IF(NOT(ISNUMBER(K3555)),"Taux de TVA invalide",IF(COUNTIF(p_rates,K3555)=0,"Taux de TVA hors liste (Paramètres)",IF(N(O3555)&gt;25,"Au-delà de 25 lignes : non imprimée","OK")))))))))))))</f>
        <v/>
      </c>
      <c r="O3555" s="59" t="str">
        <f>IF(A3555="","",COUNTIF($A$6:A3555,A3555))</f>
        <v/>
      </c>
      <c r="P3555" s="62" t="str">
        <f>IF(A3555="","",A3555&amp;"|"&amp;O3555)</f>
        <v/>
      </c>
    </row>
    <row r="3556">
      <c r="A3556" s="60" t="n"/>
      <c r="B3556" s="63" t="n"/>
      <c r="C3556" s="63" t="n"/>
      <c r="D3556" s="67" t="n"/>
      <c r="E3556" s="68" t="n"/>
      <c r="F3556" s="69" t="n"/>
      <c r="G3556" s="70" t="n"/>
      <c r="H3556" s="62" t="str">
        <f>IF(COUNTA(A3556:G3556)=0,"",IF(C3556&lt;&gt;"",C3556,IF(B3556="","",IFERROR(INDEX(pr_des,MATCH(B3556,pr_code,0))&amp;"",""))))</f>
        <v/>
      </c>
      <c r="I3556" s="59" t="str">
        <f>IF(B3556="","",IFERROR(INDEX(pr_unit,MATCH(B3556,pr_code,0))&amp;"",""))</f>
        <v/>
      </c>
      <c r="J3556" s="65" t="str">
        <f>IF(COUNTA(A3556:G3556)=0,"",IF(E3556&lt;&gt;"",E3556,IF(B3556="","",IFERROR(IF(INDEX(pr_price,MATCH(B3556,pr_code,0))="","",INDEX(pr_price,MATCH(B3556,pr_code,0))),""))))</f>
        <v/>
      </c>
      <c r="K3556" s="71" t="str">
        <f>IF(COUNTA(A3556:G3556)=0,"",IF(G3556&lt;&gt;"",G3556,IF(B3556="","",IFERROR(IF(INDEX(pr_rate,MATCH(B3556,pr_code,0))="","",INDEX(pr_rate,MATCH(B3556,pr_code,0))),""))))</f>
        <v/>
      </c>
      <c r="L3556" s="65" t="str">
        <f>IF(COUNTA(A3556:G3556)=0,"",IF(AND(ISNUMBER(D3556),ISNUMBER(J3556)),ROUND(D3556*J3556*(1-N(F3556)),2),0))</f>
        <v/>
      </c>
      <c r="M3556" s="62" t="str">
        <f>IF(A3556="","",IFERROR(INDEX(fa_cname,MATCH(A3556,fa_num,0))&amp;"",""))</f>
        <v/>
      </c>
      <c r="N3556" s="59" t="str">
        <f>IF(COUNTA(A3556:G3556)=0,"",IF(A3556="","N° facture manquant",IF(ISNA(MATCH(A3556,fa_num,0)),"Facture inconnue",IF(AND(B3556&lt;&gt;"",ISNA(MATCH(B3556,pr_code,0))),"Article inconnu",IF(H3556="","Désignation manquante",IF(OR(NOT(ISNUMBER(D3556)),N(D3556)&lt;=0),"Quantité invalide",IF(J3556="","Prix manquant",IF(OR(NOT(ISNUMBER(J3556)),N(J3556)&lt;0),"Prix invalide",IF(OR(AND(F3556&lt;&gt;"",NOT(ISNUMBER(F3556))),N(F3556)&lt;0,N(F3556)&gt;1),"Remise invalide",IF(K3556="","Taux de TVA manquant",IF(NOT(ISNUMBER(K3556)),"Taux de TVA invalide",IF(COUNTIF(p_rates,K3556)=0,"Taux de TVA hors liste (Paramètres)",IF(N(O3556)&gt;25,"Au-delà de 25 lignes : non imprimée","OK")))))))))))))</f>
        <v/>
      </c>
      <c r="O3556" s="59" t="str">
        <f>IF(A3556="","",COUNTIF($A$6:A3556,A3556))</f>
        <v/>
      </c>
      <c r="P3556" s="62" t="str">
        <f>IF(A3556="","",A3556&amp;"|"&amp;O3556)</f>
        <v/>
      </c>
    </row>
    <row r="3557">
      <c r="A3557" s="60" t="n"/>
      <c r="B3557" s="63" t="n"/>
      <c r="C3557" s="63" t="n"/>
      <c r="D3557" s="67" t="n"/>
      <c r="E3557" s="68" t="n"/>
      <c r="F3557" s="69" t="n"/>
      <c r="G3557" s="70" t="n"/>
      <c r="H3557" s="62" t="str">
        <f>IF(COUNTA(A3557:G3557)=0,"",IF(C3557&lt;&gt;"",C3557,IF(B3557="","",IFERROR(INDEX(pr_des,MATCH(B3557,pr_code,0))&amp;"",""))))</f>
        <v/>
      </c>
      <c r="I3557" s="59" t="str">
        <f>IF(B3557="","",IFERROR(INDEX(pr_unit,MATCH(B3557,pr_code,0))&amp;"",""))</f>
        <v/>
      </c>
      <c r="J3557" s="65" t="str">
        <f>IF(COUNTA(A3557:G3557)=0,"",IF(E3557&lt;&gt;"",E3557,IF(B3557="","",IFERROR(IF(INDEX(pr_price,MATCH(B3557,pr_code,0))="","",INDEX(pr_price,MATCH(B3557,pr_code,0))),""))))</f>
        <v/>
      </c>
      <c r="K3557" s="71" t="str">
        <f>IF(COUNTA(A3557:G3557)=0,"",IF(G3557&lt;&gt;"",G3557,IF(B3557="","",IFERROR(IF(INDEX(pr_rate,MATCH(B3557,pr_code,0))="","",INDEX(pr_rate,MATCH(B3557,pr_code,0))),""))))</f>
        <v/>
      </c>
      <c r="L3557" s="65" t="str">
        <f>IF(COUNTA(A3557:G3557)=0,"",IF(AND(ISNUMBER(D3557),ISNUMBER(J3557)),ROUND(D3557*J3557*(1-N(F3557)),2),0))</f>
        <v/>
      </c>
      <c r="M3557" s="62" t="str">
        <f>IF(A3557="","",IFERROR(INDEX(fa_cname,MATCH(A3557,fa_num,0))&amp;"",""))</f>
        <v/>
      </c>
      <c r="N3557" s="59" t="str">
        <f>IF(COUNTA(A3557:G3557)=0,"",IF(A3557="","N° facture manquant",IF(ISNA(MATCH(A3557,fa_num,0)),"Facture inconnue",IF(AND(B3557&lt;&gt;"",ISNA(MATCH(B3557,pr_code,0))),"Article inconnu",IF(H3557="","Désignation manquante",IF(OR(NOT(ISNUMBER(D3557)),N(D3557)&lt;=0),"Quantité invalide",IF(J3557="","Prix manquant",IF(OR(NOT(ISNUMBER(J3557)),N(J3557)&lt;0),"Prix invalide",IF(OR(AND(F3557&lt;&gt;"",NOT(ISNUMBER(F3557))),N(F3557)&lt;0,N(F3557)&gt;1),"Remise invalide",IF(K3557="","Taux de TVA manquant",IF(NOT(ISNUMBER(K3557)),"Taux de TVA invalide",IF(COUNTIF(p_rates,K3557)=0,"Taux de TVA hors liste (Paramètres)",IF(N(O3557)&gt;25,"Au-delà de 25 lignes : non imprimée","OK")))))))))))))</f>
        <v/>
      </c>
      <c r="O3557" s="59" t="str">
        <f>IF(A3557="","",COUNTIF($A$6:A3557,A3557))</f>
        <v/>
      </c>
      <c r="P3557" s="62" t="str">
        <f>IF(A3557="","",A3557&amp;"|"&amp;O3557)</f>
        <v/>
      </c>
    </row>
    <row r="3558">
      <c r="A3558" s="60" t="n"/>
      <c r="B3558" s="63" t="n"/>
      <c r="C3558" s="63" t="n"/>
      <c r="D3558" s="67" t="n"/>
      <c r="E3558" s="68" t="n"/>
      <c r="F3558" s="69" t="n"/>
      <c r="G3558" s="70" t="n"/>
      <c r="H3558" s="62" t="str">
        <f>IF(COUNTA(A3558:G3558)=0,"",IF(C3558&lt;&gt;"",C3558,IF(B3558="","",IFERROR(INDEX(pr_des,MATCH(B3558,pr_code,0))&amp;"",""))))</f>
        <v/>
      </c>
      <c r="I3558" s="59" t="str">
        <f>IF(B3558="","",IFERROR(INDEX(pr_unit,MATCH(B3558,pr_code,0))&amp;"",""))</f>
        <v/>
      </c>
      <c r="J3558" s="65" t="str">
        <f>IF(COUNTA(A3558:G3558)=0,"",IF(E3558&lt;&gt;"",E3558,IF(B3558="","",IFERROR(IF(INDEX(pr_price,MATCH(B3558,pr_code,0))="","",INDEX(pr_price,MATCH(B3558,pr_code,0))),""))))</f>
        <v/>
      </c>
      <c r="K3558" s="71" t="str">
        <f>IF(COUNTA(A3558:G3558)=0,"",IF(G3558&lt;&gt;"",G3558,IF(B3558="","",IFERROR(IF(INDEX(pr_rate,MATCH(B3558,pr_code,0))="","",INDEX(pr_rate,MATCH(B3558,pr_code,0))),""))))</f>
        <v/>
      </c>
      <c r="L3558" s="65" t="str">
        <f>IF(COUNTA(A3558:G3558)=0,"",IF(AND(ISNUMBER(D3558),ISNUMBER(J3558)),ROUND(D3558*J3558*(1-N(F3558)),2),0))</f>
        <v/>
      </c>
      <c r="M3558" s="62" t="str">
        <f>IF(A3558="","",IFERROR(INDEX(fa_cname,MATCH(A3558,fa_num,0))&amp;"",""))</f>
        <v/>
      </c>
      <c r="N3558" s="59" t="str">
        <f>IF(COUNTA(A3558:G3558)=0,"",IF(A3558="","N° facture manquant",IF(ISNA(MATCH(A3558,fa_num,0)),"Facture inconnue",IF(AND(B3558&lt;&gt;"",ISNA(MATCH(B3558,pr_code,0))),"Article inconnu",IF(H3558="","Désignation manquante",IF(OR(NOT(ISNUMBER(D3558)),N(D3558)&lt;=0),"Quantité invalide",IF(J3558="","Prix manquant",IF(OR(NOT(ISNUMBER(J3558)),N(J3558)&lt;0),"Prix invalide",IF(OR(AND(F3558&lt;&gt;"",NOT(ISNUMBER(F3558))),N(F3558)&lt;0,N(F3558)&gt;1),"Remise invalide",IF(K3558="","Taux de TVA manquant",IF(NOT(ISNUMBER(K3558)),"Taux de TVA invalide",IF(COUNTIF(p_rates,K3558)=0,"Taux de TVA hors liste (Paramètres)",IF(N(O3558)&gt;25,"Au-delà de 25 lignes : non imprimée","OK")))))))))))))</f>
        <v/>
      </c>
      <c r="O3558" s="59" t="str">
        <f>IF(A3558="","",COUNTIF($A$6:A3558,A3558))</f>
        <v/>
      </c>
      <c r="P3558" s="62" t="str">
        <f>IF(A3558="","",A3558&amp;"|"&amp;O3558)</f>
        <v/>
      </c>
    </row>
    <row r="3559">
      <c r="A3559" s="60" t="n"/>
      <c r="B3559" s="63" t="n"/>
      <c r="C3559" s="63" t="n"/>
      <c r="D3559" s="67" t="n"/>
      <c r="E3559" s="68" t="n"/>
      <c r="F3559" s="69" t="n"/>
      <c r="G3559" s="70" t="n"/>
      <c r="H3559" s="62" t="str">
        <f>IF(COUNTA(A3559:G3559)=0,"",IF(C3559&lt;&gt;"",C3559,IF(B3559="","",IFERROR(INDEX(pr_des,MATCH(B3559,pr_code,0))&amp;"",""))))</f>
        <v/>
      </c>
      <c r="I3559" s="59" t="str">
        <f>IF(B3559="","",IFERROR(INDEX(pr_unit,MATCH(B3559,pr_code,0))&amp;"",""))</f>
        <v/>
      </c>
      <c r="J3559" s="65" t="str">
        <f>IF(COUNTA(A3559:G3559)=0,"",IF(E3559&lt;&gt;"",E3559,IF(B3559="","",IFERROR(IF(INDEX(pr_price,MATCH(B3559,pr_code,0))="","",INDEX(pr_price,MATCH(B3559,pr_code,0))),""))))</f>
        <v/>
      </c>
      <c r="K3559" s="71" t="str">
        <f>IF(COUNTA(A3559:G3559)=0,"",IF(G3559&lt;&gt;"",G3559,IF(B3559="","",IFERROR(IF(INDEX(pr_rate,MATCH(B3559,pr_code,0))="","",INDEX(pr_rate,MATCH(B3559,pr_code,0))),""))))</f>
        <v/>
      </c>
      <c r="L3559" s="65" t="str">
        <f>IF(COUNTA(A3559:G3559)=0,"",IF(AND(ISNUMBER(D3559),ISNUMBER(J3559)),ROUND(D3559*J3559*(1-N(F3559)),2),0))</f>
        <v/>
      </c>
      <c r="M3559" s="62" t="str">
        <f>IF(A3559="","",IFERROR(INDEX(fa_cname,MATCH(A3559,fa_num,0))&amp;"",""))</f>
        <v/>
      </c>
      <c r="N3559" s="59" t="str">
        <f>IF(COUNTA(A3559:G3559)=0,"",IF(A3559="","N° facture manquant",IF(ISNA(MATCH(A3559,fa_num,0)),"Facture inconnue",IF(AND(B3559&lt;&gt;"",ISNA(MATCH(B3559,pr_code,0))),"Article inconnu",IF(H3559="","Désignation manquante",IF(OR(NOT(ISNUMBER(D3559)),N(D3559)&lt;=0),"Quantité invalide",IF(J3559="","Prix manquant",IF(OR(NOT(ISNUMBER(J3559)),N(J3559)&lt;0),"Prix invalide",IF(OR(AND(F3559&lt;&gt;"",NOT(ISNUMBER(F3559))),N(F3559)&lt;0,N(F3559)&gt;1),"Remise invalide",IF(K3559="","Taux de TVA manquant",IF(NOT(ISNUMBER(K3559)),"Taux de TVA invalide",IF(COUNTIF(p_rates,K3559)=0,"Taux de TVA hors liste (Paramètres)",IF(N(O3559)&gt;25,"Au-delà de 25 lignes : non imprimée","OK")))))))))))))</f>
        <v/>
      </c>
      <c r="O3559" s="59" t="str">
        <f>IF(A3559="","",COUNTIF($A$6:A3559,A3559))</f>
        <v/>
      </c>
      <c r="P3559" s="62" t="str">
        <f>IF(A3559="","",A3559&amp;"|"&amp;O3559)</f>
        <v/>
      </c>
    </row>
    <row r="3560">
      <c r="A3560" s="60" t="n"/>
      <c r="B3560" s="63" t="n"/>
      <c r="C3560" s="63" t="n"/>
      <c r="D3560" s="67" t="n"/>
      <c r="E3560" s="68" t="n"/>
      <c r="F3560" s="69" t="n"/>
      <c r="G3560" s="70" t="n"/>
      <c r="H3560" s="62" t="str">
        <f>IF(COUNTA(A3560:G3560)=0,"",IF(C3560&lt;&gt;"",C3560,IF(B3560="","",IFERROR(INDEX(pr_des,MATCH(B3560,pr_code,0))&amp;"",""))))</f>
        <v/>
      </c>
      <c r="I3560" s="59" t="str">
        <f>IF(B3560="","",IFERROR(INDEX(pr_unit,MATCH(B3560,pr_code,0))&amp;"",""))</f>
        <v/>
      </c>
      <c r="J3560" s="65" t="str">
        <f>IF(COUNTA(A3560:G3560)=0,"",IF(E3560&lt;&gt;"",E3560,IF(B3560="","",IFERROR(IF(INDEX(pr_price,MATCH(B3560,pr_code,0))="","",INDEX(pr_price,MATCH(B3560,pr_code,0))),""))))</f>
        <v/>
      </c>
      <c r="K3560" s="71" t="str">
        <f>IF(COUNTA(A3560:G3560)=0,"",IF(G3560&lt;&gt;"",G3560,IF(B3560="","",IFERROR(IF(INDEX(pr_rate,MATCH(B3560,pr_code,0))="","",INDEX(pr_rate,MATCH(B3560,pr_code,0))),""))))</f>
        <v/>
      </c>
      <c r="L3560" s="65" t="str">
        <f>IF(COUNTA(A3560:G3560)=0,"",IF(AND(ISNUMBER(D3560),ISNUMBER(J3560)),ROUND(D3560*J3560*(1-N(F3560)),2),0))</f>
        <v/>
      </c>
      <c r="M3560" s="62" t="str">
        <f>IF(A3560="","",IFERROR(INDEX(fa_cname,MATCH(A3560,fa_num,0))&amp;"",""))</f>
        <v/>
      </c>
      <c r="N3560" s="59" t="str">
        <f>IF(COUNTA(A3560:G3560)=0,"",IF(A3560="","N° facture manquant",IF(ISNA(MATCH(A3560,fa_num,0)),"Facture inconnue",IF(AND(B3560&lt;&gt;"",ISNA(MATCH(B3560,pr_code,0))),"Article inconnu",IF(H3560="","Désignation manquante",IF(OR(NOT(ISNUMBER(D3560)),N(D3560)&lt;=0),"Quantité invalide",IF(J3560="","Prix manquant",IF(OR(NOT(ISNUMBER(J3560)),N(J3560)&lt;0),"Prix invalide",IF(OR(AND(F3560&lt;&gt;"",NOT(ISNUMBER(F3560))),N(F3560)&lt;0,N(F3560)&gt;1),"Remise invalide",IF(K3560="","Taux de TVA manquant",IF(NOT(ISNUMBER(K3560)),"Taux de TVA invalide",IF(COUNTIF(p_rates,K3560)=0,"Taux de TVA hors liste (Paramètres)",IF(N(O3560)&gt;25,"Au-delà de 25 lignes : non imprimée","OK")))))))))))))</f>
        <v/>
      </c>
      <c r="O3560" s="59" t="str">
        <f>IF(A3560="","",COUNTIF($A$6:A3560,A3560))</f>
        <v/>
      </c>
      <c r="P3560" s="62" t="str">
        <f>IF(A3560="","",A3560&amp;"|"&amp;O3560)</f>
        <v/>
      </c>
    </row>
    <row r="3561">
      <c r="A3561" s="60" t="n"/>
      <c r="B3561" s="63" t="n"/>
      <c r="C3561" s="63" t="n"/>
      <c r="D3561" s="67" t="n"/>
      <c r="E3561" s="68" t="n"/>
      <c r="F3561" s="69" t="n"/>
      <c r="G3561" s="70" t="n"/>
      <c r="H3561" s="62" t="str">
        <f>IF(COUNTA(A3561:G3561)=0,"",IF(C3561&lt;&gt;"",C3561,IF(B3561="","",IFERROR(INDEX(pr_des,MATCH(B3561,pr_code,0))&amp;"",""))))</f>
        <v/>
      </c>
      <c r="I3561" s="59" t="str">
        <f>IF(B3561="","",IFERROR(INDEX(pr_unit,MATCH(B3561,pr_code,0))&amp;"",""))</f>
        <v/>
      </c>
      <c r="J3561" s="65" t="str">
        <f>IF(COUNTA(A3561:G3561)=0,"",IF(E3561&lt;&gt;"",E3561,IF(B3561="","",IFERROR(IF(INDEX(pr_price,MATCH(B3561,pr_code,0))="","",INDEX(pr_price,MATCH(B3561,pr_code,0))),""))))</f>
        <v/>
      </c>
      <c r="K3561" s="71" t="str">
        <f>IF(COUNTA(A3561:G3561)=0,"",IF(G3561&lt;&gt;"",G3561,IF(B3561="","",IFERROR(IF(INDEX(pr_rate,MATCH(B3561,pr_code,0))="","",INDEX(pr_rate,MATCH(B3561,pr_code,0))),""))))</f>
        <v/>
      </c>
      <c r="L3561" s="65" t="str">
        <f>IF(COUNTA(A3561:G3561)=0,"",IF(AND(ISNUMBER(D3561),ISNUMBER(J3561)),ROUND(D3561*J3561*(1-N(F3561)),2),0))</f>
        <v/>
      </c>
      <c r="M3561" s="62" t="str">
        <f>IF(A3561="","",IFERROR(INDEX(fa_cname,MATCH(A3561,fa_num,0))&amp;"",""))</f>
        <v/>
      </c>
      <c r="N3561" s="59" t="str">
        <f>IF(COUNTA(A3561:G3561)=0,"",IF(A3561="","N° facture manquant",IF(ISNA(MATCH(A3561,fa_num,0)),"Facture inconnue",IF(AND(B3561&lt;&gt;"",ISNA(MATCH(B3561,pr_code,0))),"Article inconnu",IF(H3561="","Désignation manquante",IF(OR(NOT(ISNUMBER(D3561)),N(D3561)&lt;=0),"Quantité invalide",IF(J3561="","Prix manquant",IF(OR(NOT(ISNUMBER(J3561)),N(J3561)&lt;0),"Prix invalide",IF(OR(AND(F3561&lt;&gt;"",NOT(ISNUMBER(F3561))),N(F3561)&lt;0,N(F3561)&gt;1),"Remise invalide",IF(K3561="","Taux de TVA manquant",IF(NOT(ISNUMBER(K3561)),"Taux de TVA invalide",IF(COUNTIF(p_rates,K3561)=0,"Taux de TVA hors liste (Paramètres)",IF(N(O3561)&gt;25,"Au-delà de 25 lignes : non imprimée","OK")))))))))))))</f>
        <v/>
      </c>
      <c r="O3561" s="59" t="str">
        <f>IF(A3561="","",COUNTIF($A$6:A3561,A3561))</f>
        <v/>
      </c>
      <c r="P3561" s="62" t="str">
        <f>IF(A3561="","",A3561&amp;"|"&amp;O3561)</f>
        <v/>
      </c>
    </row>
    <row r="3562">
      <c r="A3562" s="60" t="n"/>
      <c r="B3562" s="63" t="n"/>
      <c r="C3562" s="63" t="n"/>
      <c r="D3562" s="67" t="n"/>
      <c r="E3562" s="68" t="n"/>
      <c r="F3562" s="69" t="n"/>
      <c r="G3562" s="70" t="n"/>
      <c r="H3562" s="62" t="str">
        <f>IF(COUNTA(A3562:G3562)=0,"",IF(C3562&lt;&gt;"",C3562,IF(B3562="","",IFERROR(INDEX(pr_des,MATCH(B3562,pr_code,0))&amp;"",""))))</f>
        <v/>
      </c>
      <c r="I3562" s="59" t="str">
        <f>IF(B3562="","",IFERROR(INDEX(pr_unit,MATCH(B3562,pr_code,0))&amp;"",""))</f>
        <v/>
      </c>
      <c r="J3562" s="65" t="str">
        <f>IF(COUNTA(A3562:G3562)=0,"",IF(E3562&lt;&gt;"",E3562,IF(B3562="","",IFERROR(IF(INDEX(pr_price,MATCH(B3562,pr_code,0))="","",INDEX(pr_price,MATCH(B3562,pr_code,0))),""))))</f>
        <v/>
      </c>
      <c r="K3562" s="71" t="str">
        <f>IF(COUNTA(A3562:G3562)=0,"",IF(G3562&lt;&gt;"",G3562,IF(B3562="","",IFERROR(IF(INDEX(pr_rate,MATCH(B3562,pr_code,0))="","",INDEX(pr_rate,MATCH(B3562,pr_code,0))),""))))</f>
        <v/>
      </c>
      <c r="L3562" s="65" t="str">
        <f>IF(COUNTA(A3562:G3562)=0,"",IF(AND(ISNUMBER(D3562),ISNUMBER(J3562)),ROUND(D3562*J3562*(1-N(F3562)),2),0))</f>
        <v/>
      </c>
      <c r="M3562" s="62" t="str">
        <f>IF(A3562="","",IFERROR(INDEX(fa_cname,MATCH(A3562,fa_num,0))&amp;"",""))</f>
        <v/>
      </c>
      <c r="N3562" s="59" t="str">
        <f>IF(COUNTA(A3562:G3562)=0,"",IF(A3562="","N° facture manquant",IF(ISNA(MATCH(A3562,fa_num,0)),"Facture inconnue",IF(AND(B3562&lt;&gt;"",ISNA(MATCH(B3562,pr_code,0))),"Article inconnu",IF(H3562="","Désignation manquante",IF(OR(NOT(ISNUMBER(D3562)),N(D3562)&lt;=0),"Quantité invalide",IF(J3562="","Prix manquant",IF(OR(NOT(ISNUMBER(J3562)),N(J3562)&lt;0),"Prix invalide",IF(OR(AND(F3562&lt;&gt;"",NOT(ISNUMBER(F3562))),N(F3562)&lt;0,N(F3562)&gt;1),"Remise invalide",IF(K3562="","Taux de TVA manquant",IF(NOT(ISNUMBER(K3562)),"Taux de TVA invalide",IF(COUNTIF(p_rates,K3562)=0,"Taux de TVA hors liste (Paramètres)",IF(N(O3562)&gt;25,"Au-delà de 25 lignes : non imprimée","OK")))))))))))))</f>
        <v/>
      </c>
      <c r="O3562" s="59" t="str">
        <f>IF(A3562="","",COUNTIF($A$6:A3562,A3562))</f>
        <v/>
      </c>
      <c r="P3562" s="62" t="str">
        <f>IF(A3562="","",A3562&amp;"|"&amp;O3562)</f>
        <v/>
      </c>
    </row>
    <row r="3563">
      <c r="A3563" s="60" t="n"/>
      <c r="B3563" s="63" t="n"/>
      <c r="C3563" s="63" t="n"/>
      <c r="D3563" s="67" t="n"/>
      <c r="E3563" s="68" t="n"/>
      <c r="F3563" s="69" t="n"/>
      <c r="G3563" s="70" t="n"/>
      <c r="H3563" s="62" t="str">
        <f>IF(COUNTA(A3563:G3563)=0,"",IF(C3563&lt;&gt;"",C3563,IF(B3563="","",IFERROR(INDEX(pr_des,MATCH(B3563,pr_code,0))&amp;"",""))))</f>
        <v/>
      </c>
      <c r="I3563" s="59" t="str">
        <f>IF(B3563="","",IFERROR(INDEX(pr_unit,MATCH(B3563,pr_code,0))&amp;"",""))</f>
        <v/>
      </c>
      <c r="J3563" s="65" t="str">
        <f>IF(COUNTA(A3563:G3563)=0,"",IF(E3563&lt;&gt;"",E3563,IF(B3563="","",IFERROR(IF(INDEX(pr_price,MATCH(B3563,pr_code,0))="","",INDEX(pr_price,MATCH(B3563,pr_code,0))),""))))</f>
        <v/>
      </c>
      <c r="K3563" s="71" t="str">
        <f>IF(COUNTA(A3563:G3563)=0,"",IF(G3563&lt;&gt;"",G3563,IF(B3563="","",IFERROR(IF(INDEX(pr_rate,MATCH(B3563,pr_code,0))="","",INDEX(pr_rate,MATCH(B3563,pr_code,0))),""))))</f>
        <v/>
      </c>
      <c r="L3563" s="65" t="str">
        <f>IF(COUNTA(A3563:G3563)=0,"",IF(AND(ISNUMBER(D3563),ISNUMBER(J3563)),ROUND(D3563*J3563*(1-N(F3563)),2),0))</f>
        <v/>
      </c>
      <c r="M3563" s="62" t="str">
        <f>IF(A3563="","",IFERROR(INDEX(fa_cname,MATCH(A3563,fa_num,0))&amp;"",""))</f>
        <v/>
      </c>
      <c r="N3563" s="59" t="str">
        <f>IF(COUNTA(A3563:G3563)=0,"",IF(A3563="","N° facture manquant",IF(ISNA(MATCH(A3563,fa_num,0)),"Facture inconnue",IF(AND(B3563&lt;&gt;"",ISNA(MATCH(B3563,pr_code,0))),"Article inconnu",IF(H3563="","Désignation manquante",IF(OR(NOT(ISNUMBER(D3563)),N(D3563)&lt;=0),"Quantité invalide",IF(J3563="","Prix manquant",IF(OR(NOT(ISNUMBER(J3563)),N(J3563)&lt;0),"Prix invalide",IF(OR(AND(F3563&lt;&gt;"",NOT(ISNUMBER(F3563))),N(F3563)&lt;0,N(F3563)&gt;1),"Remise invalide",IF(K3563="","Taux de TVA manquant",IF(NOT(ISNUMBER(K3563)),"Taux de TVA invalide",IF(COUNTIF(p_rates,K3563)=0,"Taux de TVA hors liste (Paramètres)",IF(N(O3563)&gt;25,"Au-delà de 25 lignes : non imprimée","OK")))))))))))))</f>
        <v/>
      </c>
      <c r="O3563" s="59" t="str">
        <f>IF(A3563="","",COUNTIF($A$6:A3563,A3563))</f>
        <v/>
      </c>
      <c r="P3563" s="62" t="str">
        <f>IF(A3563="","",A3563&amp;"|"&amp;O3563)</f>
        <v/>
      </c>
    </row>
    <row r="3564">
      <c r="A3564" s="60" t="n"/>
      <c r="B3564" s="63" t="n"/>
      <c r="C3564" s="63" t="n"/>
      <c r="D3564" s="67" t="n"/>
      <c r="E3564" s="68" t="n"/>
      <c r="F3564" s="69" t="n"/>
      <c r="G3564" s="70" t="n"/>
      <c r="H3564" s="62" t="str">
        <f>IF(COUNTA(A3564:G3564)=0,"",IF(C3564&lt;&gt;"",C3564,IF(B3564="","",IFERROR(INDEX(pr_des,MATCH(B3564,pr_code,0))&amp;"",""))))</f>
        <v/>
      </c>
      <c r="I3564" s="59" t="str">
        <f>IF(B3564="","",IFERROR(INDEX(pr_unit,MATCH(B3564,pr_code,0))&amp;"",""))</f>
        <v/>
      </c>
      <c r="J3564" s="65" t="str">
        <f>IF(COUNTA(A3564:G3564)=0,"",IF(E3564&lt;&gt;"",E3564,IF(B3564="","",IFERROR(IF(INDEX(pr_price,MATCH(B3564,pr_code,0))="","",INDEX(pr_price,MATCH(B3564,pr_code,0))),""))))</f>
        <v/>
      </c>
      <c r="K3564" s="71" t="str">
        <f>IF(COUNTA(A3564:G3564)=0,"",IF(G3564&lt;&gt;"",G3564,IF(B3564="","",IFERROR(IF(INDEX(pr_rate,MATCH(B3564,pr_code,0))="","",INDEX(pr_rate,MATCH(B3564,pr_code,0))),""))))</f>
        <v/>
      </c>
      <c r="L3564" s="65" t="str">
        <f>IF(COUNTA(A3564:G3564)=0,"",IF(AND(ISNUMBER(D3564),ISNUMBER(J3564)),ROUND(D3564*J3564*(1-N(F3564)),2),0))</f>
        <v/>
      </c>
      <c r="M3564" s="62" t="str">
        <f>IF(A3564="","",IFERROR(INDEX(fa_cname,MATCH(A3564,fa_num,0))&amp;"",""))</f>
        <v/>
      </c>
      <c r="N3564" s="59" t="str">
        <f>IF(COUNTA(A3564:G3564)=0,"",IF(A3564="","N° facture manquant",IF(ISNA(MATCH(A3564,fa_num,0)),"Facture inconnue",IF(AND(B3564&lt;&gt;"",ISNA(MATCH(B3564,pr_code,0))),"Article inconnu",IF(H3564="","Désignation manquante",IF(OR(NOT(ISNUMBER(D3564)),N(D3564)&lt;=0),"Quantité invalide",IF(J3564="","Prix manquant",IF(OR(NOT(ISNUMBER(J3564)),N(J3564)&lt;0),"Prix invalide",IF(OR(AND(F3564&lt;&gt;"",NOT(ISNUMBER(F3564))),N(F3564)&lt;0,N(F3564)&gt;1),"Remise invalide",IF(K3564="","Taux de TVA manquant",IF(NOT(ISNUMBER(K3564)),"Taux de TVA invalide",IF(COUNTIF(p_rates,K3564)=0,"Taux de TVA hors liste (Paramètres)",IF(N(O3564)&gt;25,"Au-delà de 25 lignes : non imprimée","OK")))))))))))))</f>
        <v/>
      </c>
      <c r="O3564" s="59" t="str">
        <f>IF(A3564="","",COUNTIF($A$6:A3564,A3564))</f>
        <v/>
      </c>
      <c r="P3564" s="62" t="str">
        <f>IF(A3564="","",A3564&amp;"|"&amp;O3564)</f>
        <v/>
      </c>
    </row>
    <row r="3565">
      <c r="A3565" s="60" t="n"/>
      <c r="B3565" s="63" t="n"/>
      <c r="C3565" s="63" t="n"/>
      <c r="D3565" s="67" t="n"/>
      <c r="E3565" s="68" t="n"/>
      <c r="F3565" s="69" t="n"/>
      <c r="G3565" s="70" t="n"/>
      <c r="H3565" s="62" t="str">
        <f>IF(COUNTA(A3565:G3565)=0,"",IF(C3565&lt;&gt;"",C3565,IF(B3565="","",IFERROR(INDEX(pr_des,MATCH(B3565,pr_code,0))&amp;"",""))))</f>
        <v/>
      </c>
      <c r="I3565" s="59" t="str">
        <f>IF(B3565="","",IFERROR(INDEX(pr_unit,MATCH(B3565,pr_code,0))&amp;"",""))</f>
        <v/>
      </c>
      <c r="J3565" s="65" t="str">
        <f>IF(COUNTA(A3565:G3565)=0,"",IF(E3565&lt;&gt;"",E3565,IF(B3565="","",IFERROR(IF(INDEX(pr_price,MATCH(B3565,pr_code,0))="","",INDEX(pr_price,MATCH(B3565,pr_code,0))),""))))</f>
        <v/>
      </c>
      <c r="K3565" s="71" t="str">
        <f>IF(COUNTA(A3565:G3565)=0,"",IF(G3565&lt;&gt;"",G3565,IF(B3565="","",IFERROR(IF(INDEX(pr_rate,MATCH(B3565,pr_code,0))="","",INDEX(pr_rate,MATCH(B3565,pr_code,0))),""))))</f>
        <v/>
      </c>
      <c r="L3565" s="65" t="str">
        <f>IF(COUNTA(A3565:G3565)=0,"",IF(AND(ISNUMBER(D3565),ISNUMBER(J3565)),ROUND(D3565*J3565*(1-N(F3565)),2),0))</f>
        <v/>
      </c>
      <c r="M3565" s="62" t="str">
        <f>IF(A3565="","",IFERROR(INDEX(fa_cname,MATCH(A3565,fa_num,0))&amp;"",""))</f>
        <v/>
      </c>
      <c r="N3565" s="59" t="str">
        <f>IF(COUNTA(A3565:G3565)=0,"",IF(A3565="","N° facture manquant",IF(ISNA(MATCH(A3565,fa_num,0)),"Facture inconnue",IF(AND(B3565&lt;&gt;"",ISNA(MATCH(B3565,pr_code,0))),"Article inconnu",IF(H3565="","Désignation manquante",IF(OR(NOT(ISNUMBER(D3565)),N(D3565)&lt;=0),"Quantité invalide",IF(J3565="","Prix manquant",IF(OR(NOT(ISNUMBER(J3565)),N(J3565)&lt;0),"Prix invalide",IF(OR(AND(F3565&lt;&gt;"",NOT(ISNUMBER(F3565))),N(F3565)&lt;0,N(F3565)&gt;1),"Remise invalide",IF(K3565="","Taux de TVA manquant",IF(NOT(ISNUMBER(K3565)),"Taux de TVA invalide",IF(COUNTIF(p_rates,K3565)=0,"Taux de TVA hors liste (Paramètres)",IF(N(O3565)&gt;25,"Au-delà de 25 lignes : non imprimée","OK")))))))))))))</f>
        <v/>
      </c>
      <c r="O3565" s="59" t="str">
        <f>IF(A3565="","",COUNTIF($A$6:A3565,A3565))</f>
        <v/>
      </c>
      <c r="P3565" s="62" t="str">
        <f>IF(A3565="","",A3565&amp;"|"&amp;O3565)</f>
        <v/>
      </c>
    </row>
    <row r="3566">
      <c r="A3566" s="60" t="n"/>
      <c r="B3566" s="63" t="n"/>
      <c r="C3566" s="63" t="n"/>
      <c r="D3566" s="67" t="n"/>
      <c r="E3566" s="68" t="n"/>
      <c r="F3566" s="69" t="n"/>
      <c r="G3566" s="70" t="n"/>
      <c r="H3566" s="62" t="str">
        <f>IF(COUNTA(A3566:G3566)=0,"",IF(C3566&lt;&gt;"",C3566,IF(B3566="","",IFERROR(INDEX(pr_des,MATCH(B3566,pr_code,0))&amp;"",""))))</f>
        <v/>
      </c>
      <c r="I3566" s="59" t="str">
        <f>IF(B3566="","",IFERROR(INDEX(pr_unit,MATCH(B3566,pr_code,0))&amp;"",""))</f>
        <v/>
      </c>
      <c r="J3566" s="65" t="str">
        <f>IF(COUNTA(A3566:G3566)=0,"",IF(E3566&lt;&gt;"",E3566,IF(B3566="","",IFERROR(IF(INDEX(pr_price,MATCH(B3566,pr_code,0))="","",INDEX(pr_price,MATCH(B3566,pr_code,0))),""))))</f>
        <v/>
      </c>
      <c r="K3566" s="71" t="str">
        <f>IF(COUNTA(A3566:G3566)=0,"",IF(G3566&lt;&gt;"",G3566,IF(B3566="","",IFERROR(IF(INDEX(pr_rate,MATCH(B3566,pr_code,0))="","",INDEX(pr_rate,MATCH(B3566,pr_code,0))),""))))</f>
        <v/>
      </c>
      <c r="L3566" s="65" t="str">
        <f>IF(COUNTA(A3566:G3566)=0,"",IF(AND(ISNUMBER(D3566),ISNUMBER(J3566)),ROUND(D3566*J3566*(1-N(F3566)),2),0))</f>
        <v/>
      </c>
      <c r="M3566" s="62" t="str">
        <f>IF(A3566="","",IFERROR(INDEX(fa_cname,MATCH(A3566,fa_num,0))&amp;"",""))</f>
        <v/>
      </c>
      <c r="N3566" s="59" t="str">
        <f>IF(COUNTA(A3566:G3566)=0,"",IF(A3566="","N° facture manquant",IF(ISNA(MATCH(A3566,fa_num,0)),"Facture inconnue",IF(AND(B3566&lt;&gt;"",ISNA(MATCH(B3566,pr_code,0))),"Article inconnu",IF(H3566="","Désignation manquante",IF(OR(NOT(ISNUMBER(D3566)),N(D3566)&lt;=0),"Quantité invalide",IF(J3566="","Prix manquant",IF(OR(NOT(ISNUMBER(J3566)),N(J3566)&lt;0),"Prix invalide",IF(OR(AND(F3566&lt;&gt;"",NOT(ISNUMBER(F3566))),N(F3566)&lt;0,N(F3566)&gt;1),"Remise invalide",IF(K3566="","Taux de TVA manquant",IF(NOT(ISNUMBER(K3566)),"Taux de TVA invalide",IF(COUNTIF(p_rates,K3566)=0,"Taux de TVA hors liste (Paramètres)",IF(N(O3566)&gt;25,"Au-delà de 25 lignes : non imprimée","OK")))))))))))))</f>
        <v/>
      </c>
      <c r="O3566" s="59" t="str">
        <f>IF(A3566="","",COUNTIF($A$6:A3566,A3566))</f>
        <v/>
      </c>
      <c r="P3566" s="62" t="str">
        <f>IF(A3566="","",A3566&amp;"|"&amp;O3566)</f>
        <v/>
      </c>
    </row>
    <row r="3567">
      <c r="A3567" s="60" t="n"/>
      <c r="B3567" s="63" t="n"/>
      <c r="C3567" s="63" t="n"/>
      <c r="D3567" s="67" t="n"/>
      <c r="E3567" s="68" t="n"/>
      <c r="F3567" s="69" t="n"/>
      <c r="G3567" s="70" t="n"/>
      <c r="H3567" s="62" t="str">
        <f>IF(COUNTA(A3567:G3567)=0,"",IF(C3567&lt;&gt;"",C3567,IF(B3567="","",IFERROR(INDEX(pr_des,MATCH(B3567,pr_code,0))&amp;"",""))))</f>
        <v/>
      </c>
      <c r="I3567" s="59" t="str">
        <f>IF(B3567="","",IFERROR(INDEX(pr_unit,MATCH(B3567,pr_code,0))&amp;"",""))</f>
        <v/>
      </c>
      <c r="J3567" s="65" t="str">
        <f>IF(COUNTA(A3567:G3567)=0,"",IF(E3567&lt;&gt;"",E3567,IF(B3567="","",IFERROR(IF(INDEX(pr_price,MATCH(B3567,pr_code,0))="","",INDEX(pr_price,MATCH(B3567,pr_code,0))),""))))</f>
        <v/>
      </c>
      <c r="K3567" s="71" t="str">
        <f>IF(COUNTA(A3567:G3567)=0,"",IF(G3567&lt;&gt;"",G3567,IF(B3567="","",IFERROR(IF(INDEX(pr_rate,MATCH(B3567,pr_code,0))="","",INDEX(pr_rate,MATCH(B3567,pr_code,0))),""))))</f>
        <v/>
      </c>
      <c r="L3567" s="65" t="str">
        <f>IF(COUNTA(A3567:G3567)=0,"",IF(AND(ISNUMBER(D3567),ISNUMBER(J3567)),ROUND(D3567*J3567*(1-N(F3567)),2),0))</f>
        <v/>
      </c>
      <c r="M3567" s="62" t="str">
        <f>IF(A3567="","",IFERROR(INDEX(fa_cname,MATCH(A3567,fa_num,0))&amp;"",""))</f>
        <v/>
      </c>
      <c r="N3567" s="59" t="str">
        <f>IF(COUNTA(A3567:G3567)=0,"",IF(A3567="","N° facture manquant",IF(ISNA(MATCH(A3567,fa_num,0)),"Facture inconnue",IF(AND(B3567&lt;&gt;"",ISNA(MATCH(B3567,pr_code,0))),"Article inconnu",IF(H3567="","Désignation manquante",IF(OR(NOT(ISNUMBER(D3567)),N(D3567)&lt;=0),"Quantité invalide",IF(J3567="","Prix manquant",IF(OR(NOT(ISNUMBER(J3567)),N(J3567)&lt;0),"Prix invalide",IF(OR(AND(F3567&lt;&gt;"",NOT(ISNUMBER(F3567))),N(F3567)&lt;0,N(F3567)&gt;1),"Remise invalide",IF(K3567="","Taux de TVA manquant",IF(NOT(ISNUMBER(K3567)),"Taux de TVA invalide",IF(COUNTIF(p_rates,K3567)=0,"Taux de TVA hors liste (Paramètres)",IF(N(O3567)&gt;25,"Au-delà de 25 lignes : non imprimée","OK")))))))))))))</f>
        <v/>
      </c>
      <c r="O3567" s="59" t="str">
        <f>IF(A3567="","",COUNTIF($A$6:A3567,A3567))</f>
        <v/>
      </c>
      <c r="P3567" s="62" t="str">
        <f>IF(A3567="","",A3567&amp;"|"&amp;O3567)</f>
        <v/>
      </c>
    </row>
    <row r="3568">
      <c r="A3568" s="60" t="n"/>
      <c r="B3568" s="63" t="n"/>
      <c r="C3568" s="63" t="n"/>
      <c r="D3568" s="67" t="n"/>
      <c r="E3568" s="68" t="n"/>
      <c r="F3568" s="69" t="n"/>
      <c r="G3568" s="70" t="n"/>
      <c r="H3568" s="62" t="str">
        <f>IF(COUNTA(A3568:G3568)=0,"",IF(C3568&lt;&gt;"",C3568,IF(B3568="","",IFERROR(INDEX(pr_des,MATCH(B3568,pr_code,0))&amp;"",""))))</f>
        <v/>
      </c>
      <c r="I3568" s="59" t="str">
        <f>IF(B3568="","",IFERROR(INDEX(pr_unit,MATCH(B3568,pr_code,0))&amp;"",""))</f>
        <v/>
      </c>
      <c r="J3568" s="65" t="str">
        <f>IF(COUNTA(A3568:G3568)=0,"",IF(E3568&lt;&gt;"",E3568,IF(B3568="","",IFERROR(IF(INDEX(pr_price,MATCH(B3568,pr_code,0))="","",INDEX(pr_price,MATCH(B3568,pr_code,0))),""))))</f>
        <v/>
      </c>
      <c r="K3568" s="71" t="str">
        <f>IF(COUNTA(A3568:G3568)=0,"",IF(G3568&lt;&gt;"",G3568,IF(B3568="","",IFERROR(IF(INDEX(pr_rate,MATCH(B3568,pr_code,0))="","",INDEX(pr_rate,MATCH(B3568,pr_code,0))),""))))</f>
        <v/>
      </c>
      <c r="L3568" s="65" t="str">
        <f>IF(COUNTA(A3568:G3568)=0,"",IF(AND(ISNUMBER(D3568),ISNUMBER(J3568)),ROUND(D3568*J3568*(1-N(F3568)),2),0))</f>
        <v/>
      </c>
      <c r="M3568" s="62" t="str">
        <f>IF(A3568="","",IFERROR(INDEX(fa_cname,MATCH(A3568,fa_num,0))&amp;"",""))</f>
        <v/>
      </c>
      <c r="N3568" s="59" t="str">
        <f>IF(COUNTA(A3568:G3568)=0,"",IF(A3568="","N° facture manquant",IF(ISNA(MATCH(A3568,fa_num,0)),"Facture inconnue",IF(AND(B3568&lt;&gt;"",ISNA(MATCH(B3568,pr_code,0))),"Article inconnu",IF(H3568="","Désignation manquante",IF(OR(NOT(ISNUMBER(D3568)),N(D3568)&lt;=0),"Quantité invalide",IF(J3568="","Prix manquant",IF(OR(NOT(ISNUMBER(J3568)),N(J3568)&lt;0),"Prix invalide",IF(OR(AND(F3568&lt;&gt;"",NOT(ISNUMBER(F3568))),N(F3568)&lt;0,N(F3568)&gt;1),"Remise invalide",IF(K3568="","Taux de TVA manquant",IF(NOT(ISNUMBER(K3568)),"Taux de TVA invalide",IF(COUNTIF(p_rates,K3568)=0,"Taux de TVA hors liste (Paramètres)",IF(N(O3568)&gt;25,"Au-delà de 25 lignes : non imprimée","OK")))))))))))))</f>
        <v/>
      </c>
      <c r="O3568" s="59" t="str">
        <f>IF(A3568="","",COUNTIF($A$6:A3568,A3568))</f>
        <v/>
      </c>
      <c r="P3568" s="62" t="str">
        <f>IF(A3568="","",A3568&amp;"|"&amp;O3568)</f>
        <v/>
      </c>
    </row>
    <row r="3569">
      <c r="A3569" s="60" t="n"/>
      <c r="B3569" s="63" t="n"/>
      <c r="C3569" s="63" t="n"/>
      <c r="D3569" s="67" t="n"/>
      <c r="E3569" s="68" t="n"/>
      <c r="F3569" s="69" t="n"/>
      <c r="G3569" s="70" t="n"/>
      <c r="H3569" s="62" t="str">
        <f>IF(COUNTA(A3569:G3569)=0,"",IF(C3569&lt;&gt;"",C3569,IF(B3569="","",IFERROR(INDEX(pr_des,MATCH(B3569,pr_code,0))&amp;"",""))))</f>
        <v/>
      </c>
      <c r="I3569" s="59" t="str">
        <f>IF(B3569="","",IFERROR(INDEX(pr_unit,MATCH(B3569,pr_code,0))&amp;"",""))</f>
        <v/>
      </c>
      <c r="J3569" s="65" t="str">
        <f>IF(COUNTA(A3569:G3569)=0,"",IF(E3569&lt;&gt;"",E3569,IF(B3569="","",IFERROR(IF(INDEX(pr_price,MATCH(B3569,pr_code,0))="","",INDEX(pr_price,MATCH(B3569,pr_code,0))),""))))</f>
        <v/>
      </c>
      <c r="K3569" s="71" t="str">
        <f>IF(COUNTA(A3569:G3569)=0,"",IF(G3569&lt;&gt;"",G3569,IF(B3569="","",IFERROR(IF(INDEX(pr_rate,MATCH(B3569,pr_code,0))="","",INDEX(pr_rate,MATCH(B3569,pr_code,0))),""))))</f>
        <v/>
      </c>
      <c r="L3569" s="65" t="str">
        <f>IF(COUNTA(A3569:G3569)=0,"",IF(AND(ISNUMBER(D3569),ISNUMBER(J3569)),ROUND(D3569*J3569*(1-N(F3569)),2),0))</f>
        <v/>
      </c>
      <c r="M3569" s="62" t="str">
        <f>IF(A3569="","",IFERROR(INDEX(fa_cname,MATCH(A3569,fa_num,0))&amp;"",""))</f>
        <v/>
      </c>
      <c r="N3569" s="59" t="str">
        <f>IF(COUNTA(A3569:G3569)=0,"",IF(A3569="","N° facture manquant",IF(ISNA(MATCH(A3569,fa_num,0)),"Facture inconnue",IF(AND(B3569&lt;&gt;"",ISNA(MATCH(B3569,pr_code,0))),"Article inconnu",IF(H3569="","Désignation manquante",IF(OR(NOT(ISNUMBER(D3569)),N(D3569)&lt;=0),"Quantité invalide",IF(J3569="","Prix manquant",IF(OR(NOT(ISNUMBER(J3569)),N(J3569)&lt;0),"Prix invalide",IF(OR(AND(F3569&lt;&gt;"",NOT(ISNUMBER(F3569))),N(F3569)&lt;0,N(F3569)&gt;1),"Remise invalide",IF(K3569="","Taux de TVA manquant",IF(NOT(ISNUMBER(K3569)),"Taux de TVA invalide",IF(COUNTIF(p_rates,K3569)=0,"Taux de TVA hors liste (Paramètres)",IF(N(O3569)&gt;25,"Au-delà de 25 lignes : non imprimée","OK")))))))))))))</f>
        <v/>
      </c>
      <c r="O3569" s="59" t="str">
        <f>IF(A3569="","",COUNTIF($A$6:A3569,A3569))</f>
        <v/>
      </c>
      <c r="P3569" s="62" t="str">
        <f>IF(A3569="","",A3569&amp;"|"&amp;O3569)</f>
        <v/>
      </c>
    </row>
    <row r="3570">
      <c r="A3570" s="60" t="n"/>
      <c r="B3570" s="63" t="n"/>
      <c r="C3570" s="63" t="n"/>
      <c r="D3570" s="67" t="n"/>
      <c r="E3570" s="68" t="n"/>
      <c r="F3570" s="69" t="n"/>
      <c r="G3570" s="70" t="n"/>
      <c r="H3570" s="62" t="str">
        <f>IF(COUNTA(A3570:G3570)=0,"",IF(C3570&lt;&gt;"",C3570,IF(B3570="","",IFERROR(INDEX(pr_des,MATCH(B3570,pr_code,0))&amp;"",""))))</f>
        <v/>
      </c>
      <c r="I3570" s="59" t="str">
        <f>IF(B3570="","",IFERROR(INDEX(pr_unit,MATCH(B3570,pr_code,0))&amp;"",""))</f>
        <v/>
      </c>
      <c r="J3570" s="65" t="str">
        <f>IF(COUNTA(A3570:G3570)=0,"",IF(E3570&lt;&gt;"",E3570,IF(B3570="","",IFERROR(IF(INDEX(pr_price,MATCH(B3570,pr_code,0))="","",INDEX(pr_price,MATCH(B3570,pr_code,0))),""))))</f>
        <v/>
      </c>
      <c r="K3570" s="71" t="str">
        <f>IF(COUNTA(A3570:G3570)=0,"",IF(G3570&lt;&gt;"",G3570,IF(B3570="","",IFERROR(IF(INDEX(pr_rate,MATCH(B3570,pr_code,0))="","",INDEX(pr_rate,MATCH(B3570,pr_code,0))),""))))</f>
        <v/>
      </c>
      <c r="L3570" s="65" t="str">
        <f>IF(COUNTA(A3570:G3570)=0,"",IF(AND(ISNUMBER(D3570),ISNUMBER(J3570)),ROUND(D3570*J3570*(1-N(F3570)),2),0))</f>
        <v/>
      </c>
      <c r="M3570" s="62" t="str">
        <f>IF(A3570="","",IFERROR(INDEX(fa_cname,MATCH(A3570,fa_num,0))&amp;"",""))</f>
        <v/>
      </c>
      <c r="N3570" s="59" t="str">
        <f>IF(COUNTA(A3570:G3570)=0,"",IF(A3570="","N° facture manquant",IF(ISNA(MATCH(A3570,fa_num,0)),"Facture inconnue",IF(AND(B3570&lt;&gt;"",ISNA(MATCH(B3570,pr_code,0))),"Article inconnu",IF(H3570="","Désignation manquante",IF(OR(NOT(ISNUMBER(D3570)),N(D3570)&lt;=0),"Quantité invalide",IF(J3570="","Prix manquant",IF(OR(NOT(ISNUMBER(J3570)),N(J3570)&lt;0),"Prix invalide",IF(OR(AND(F3570&lt;&gt;"",NOT(ISNUMBER(F3570))),N(F3570)&lt;0,N(F3570)&gt;1),"Remise invalide",IF(K3570="","Taux de TVA manquant",IF(NOT(ISNUMBER(K3570)),"Taux de TVA invalide",IF(COUNTIF(p_rates,K3570)=0,"Taux de TVA hors liste (Paramètres)",IF(N(O3570)&gt;25,"Au-delà de 25 lignes : non imprimée","OK")))))))))))))</f>
        <v/>
      </c>
      <c r="O3570" s="59" t="str">
        <f>IF(A3570="","",COUNTIF($A$6:A3570,A3570))</f>
        <v/>
      </c>
      <c r="P3570" s="62" t="str">
        <f>IF(A3570="","",A3570&amp;"|"&amp;O3570)</f>
        <v/>
      </c>
    </row>
    <row r="3571">
      <c r="A3571" s="60" t="n"/>
      <c r="B3571" s="63" t="n"/>
      <c r="C3571" s="63" t="n"/>
      <c r="D3571" s="67" t="n"/>
      <c r="E3571" s="68" t="n"/>
      <c r="F3571" s="69" t="n"/>
      <c r="G3571" s="70" t="n"/>
      <c r="H3571" s="62" t="str">
        <f>IF(COUNTA(A3571:G3571)=0,"",IF(C3571&lt;&gt;"",C3571,IF(B3571="","",IFERROR(INDEX(pr_des,MATCH(B3571,pr_code,0))&amp;"",""))))</f>
        <v/>
      </c>
      <c r="I3571" s="59" t="str">
        <f>IF(B3571="","",IFERROR(INDEX(pr_unit,MATCH(B3571,pr_code,0))&amp;"",""))</f>
        <v/>
      </c>
      <c r="J3571" s="65" t="str">
        <f>IF(COUNTA(A3571:G3571)=0,"",IF(E3571&lt;&gt;"",E3571,IF(B3571="","",IFERROR(IF(INDEX(pr_price,MATCH(B3571,pr_code,0))="","",INDEX(pr_price,MATCH(B3571,pr_code,0))),""))))</f>
        <v/>
      </c>
      <c r="K3571" s="71" t="str">
        <f>IF(COUNTA(A3571:G3571)=0,"",IF(G3571&lt;&gt;"",G3571,IF(B3571="","",IFERROR(IF(INDEX(pr_rate,MATCH(B3571,pr_code,0))="","",INDEX(pr_rate,MATCH(B3571,pr_code,0))),""))))</f>
        <v/>
      </c>
      <c r="L3571" s="65" t="str">
        <f>IF(COUNTA(A3571:G3571)=0,"",IF(AND(ISNUMBER(D3571),ISNUMBER(J3571)),ROUND(D3571*J3571*(1-N(F3571)),2),0))</f>
        <v/>
      </c>
      <c r="M3571" s="62" t="str">
        <f>IF(A3571="","",IFERROR(INDEX(fa_cname,MATCH(A3571,fa_num,0))&amp;"",""))</f>
        <v/>
      </c>
      <c r="N3571" s="59" t="str">
        <f>IF(COUNTA(A3571:G3571)=0,"",IF(A3571="","N° facture manquant",IF(ISNA(MATCH(A3571,fa_num,0)),"Facture inconnue",IF(AND(B3571&lt;&gt;"",ISNA(MATCH(B3571,pr_code,0))),"Article inconnu",IF(H3571="","Désignation manquante",IF(OR(NOT(ISNUMBER(D3571)),N(D3571)&lt;=0),"Quantité invalide",IF(J3571="","Prix manquant",IF(OR(NOT(ISNUMBER(J3571)),N(J3571)&lt;0),"Prix invalide",IF(OR(AND(F3571&lt;&gt;"",NOT(ISNUMBER(F3571))),N(F3571)&lt;0,N(F3571)&gt;1),"Remise invalide",IF(K3571="","Taux de TVA manquant",IF(NOT(ISNUMBER(K3571)),"Taux de TVA invalide",IF(COUNTIF(p_rates,K3571)=0,"Taux de TVA hors liste (Paramètres)",IF(N(O3571)&gt;25,"Au-delà de 25 lignes : non imprimée","OK")))))))))))))</f>
        <v/>
      </c>
      <c r="O3571" s="59" t="str">
        <f>IF(A3571="","",COUNTIF($A$6:A3571,A3571))</f>
        <v/>
      </c>
      <c r="P3571" s="62" t="str">
        <f>IF(A3571="","",A3571&amp;"|"&amp;O3571)</f>
        <v/>
      </c>
    </row>
    <row r="3572">
      <c r="A3572" s="60" t="n"/>
      <c r="B3572" s="63" t="n"/>
      <c r="C3572" s="63" t="n"/>
      <c r="D3572" s="67" t="n"/>
      <c r="E3572" s="68" t="n"/>
      <c r="F3572" s="69" t="n"/>
      <c r="G3572" s="70" t="n"/>
      <c r="H3572" s="62" t="str">
        <f>IF(COUNTA(A3572:G3572)=0,"",IF(C3572&lt;&gt;"",C3572,IF(B3572="","",IFERROR(INDEX(pr_des,MATCH(B3572,pr_code,0))&amp;"",""))))</f>
        <v/>
      </c>
      <c r="I3572" s="59" t="str">
        <f>IF(B3572="","",IFERROR(INDEX(pr_unit,MATCH(B3572,pr_code,0))&amp;"",""))</f>
        <v/>
      </c>
      <c r="J3572" s="65" t="str">
        <f>IF(COUNTA(A3572:G3572)=0,"",IF(E3572&lt;&gt;"",E3572,IF(B3572="","",IFERROR(IF(INDEX(pr_price,MATCH(B3572,pr_code,0))="","",INDEX(pr_price,MATCH(B3572,pr_code,0))),""))))</f>
        <v/>
      </c>
      <c r="K3572" s="71" t="str">
        <f>IF(COUNTA(A3572:G3572)=0,"",IF(G3572&lt;&gt;"",G3572,IF(B3572="","",IFERROR(IF(INDEX(pr_rate,MATCH(B3572,pr_code,0))="","",INDEX(pr_rate,MATCH(B3572,pr_code,0))),""))))</f>
        <v/>
      </c>
      <c r="L3572" s="65" t="str">
        <f>IF(COUNTA(A3572:G3572)=0,"",IF(AND(ISNUMBER(D3572),ISNUMBER(J3572)),ROUND(D3572*J3572*(1-N(F3572)),2),0))</f>
        <v/>
      </c>
      <c r="M3572" s="62" t="str">
        <f>IF(A3572="","",IFERROR(INDEX(fa_cname,MATCH(A3572,fa_num,0))&amp;"",""))</f>
        <v/>
      </c>
      <c r="N3572" s="59" t="str">
        <f>IF(COUNTA(A3572:G3572)=0,"",IF(A3572="","N° facture manquant",IF(ISNA(MATCH(A3572,fa_num,0)),"Facture inconnue",IF(AND(B3572&lt;&gt;"",ISNA(MATCH(B3572,pr_code,0))),"Article inconnu",IF(H3572="","Désignation manquante",IF(OR(NOT(ISNUMBER(D3572)),N(D3572)&lt;=0),"Quantité invalide",IF(J3572="","Prix manquant",IF(OR(NOT(ISNUMBER(J3572)),N(J3572)&lt;0),"Prix invalide",IF(OR(AND(F3572&lt;&gt;"",NOT(ISNUMBER(F3572))),N(F3572)&lt;0,N(F3572)&gt;1),"Remise invalide",IF(K3572="","Taux de TVA manquant",IF(NOT(ISNUMBER(K3572)),"Taux de TVA invalide",IF(COUNTIF(p_rates,K3572)=0,"Taux de TVA hors liste (Paramètres)",IF(N(O3572)&gt;25,"Au-delà de 25 lignes : non imprimée","OK")))))))))))))</f>
        <v/>
      </c>
      <c r="O3572" s="59" t="str">
        <f>IF(A3572="","",COUNTIF($A$6:A3572,A3572))</f>
        <v/>
      </c>
      <c r="P3572" s="62" t="str">
        <f>IF(A3572="","",A3572&amp;"|"&amp;O3572)</f>
        <v/>
      </c>
    </row>
    <row r="3573">
      <c r="A3573" s="60" t="n"/>
      <c r="B3573" s="63" t="n"/>
      <c r="C3573" s="63" t="n"/>
      <c r="D3573" s="67" t="n"/>
      <c r="E3573" s="68" t="n"/>
      <c r="F3573" s="69" t="n"/>
      <c r="G3573" s="70" t="n"/>
      <c r="H3573" s="62" t="str">
        <f>IF(COUNTA(A3573:G3573)=0,"",IF(C3573&lt;&gt;"",C3573,IF(B3573="","",IFERROR(INDEX(pr_des,MATCH(B3573,pr_code,0))&amp;"",""))))</f>
        <v/>
      </c>
      <c r="I3573" s="59" t="str">
        <f>IF(B3573="","",IFERROR(INDEX(pr_unit,MATCH(B3573,pr_code,0))&amp;"",""))</f>
        <v/>
      </c>
      <c r="J3573" s="65" t="str">
        <f>IF(COUNTA(A3573:G3573)=0,"",IF(E3573&lt;&gt;"",E3573,IF(B3573="","",IFERROR(IF(INDEX(pr_price,MATCH(B3573,pr_code,0))="","",INDEX(pr_price,MATCH(B3573,pr_code,0))),""))))</f>
        <v/>
      </c>
      <c r="K3573" s="71" t="str">
        <f>IF(COUNTA(A3573:G3573)=0,"",IF(G3573&lt;&gt;"",G3573,IF(B3573="","",IFERROR(IF(INDEX(pr_rate,MATCH(B3573,pr_code,0))="","",INDEX(pr_rate,MATCH(B3573,pr_code,0))),""))))</f>
        <v/>
      </c>
      <c r="L3573" s="65" t="str">
        <f>IF(COUNTA(A3573:G3573)=0,"",IF(AND(ISNUMBER(D3573),ISNUMBER(J3573)),ROUND(D3573*J3573*(1-N(F3573)),2),0))</f>
        <v/>
      </c>
      <c r="M3573" s="62" t="str">
        <f>IF(A3573="","",IFERROR(INDEX(fa_cname,MATCH(A3573,fa_num,0))&amp;"",""))</f>
        <v/>
      </c>
      <c r="N3573" s="59" t="str">
        <f>IF(COUNTA(A3573:G3573)=0,"",IF(A3573="","N° facture manquant",IF(ISNA(MATCH(A3573,fa_num,0)),"Facture inconnue",IF(AND(B3573&lt;&gt;"",ISNA(MATCH(B3573,pr_code,0))),"Article inconnu",IF(H3573="","Désignation manquante",IF(OR(NOT(ISNUMBER(D3573)),N(D3573)&lt;=0),"Quantité invalide",IF(J3573="","Prix manquant",IF(OR(NOT(ISNUMBER(J3573)),N(J3573)&lt;0),"Prix invalide",IF(OR(AND(F3573&lt;&gt;"",NOT(ISNUMBER(F3573))),N(F3573)&lt;0,N(F3573)&gt;1),"Remise invalide",IF(K3573="","Taux de TVA manquant",IF(NOT(ISNUMBER(K3573)),"Taux de TVA invalide",IF(COUNTIF(p_rates,K3573)=0,"Taux de TVA hors liste (Paramètres)",IF(N(O3573)&gt;25,"Au-delà de 25 lignes : non imprimée","OK")))))))))))))</f>
        <v/>
      </c>
      <c r="O3573" s="59" t="str">
        <f>IF(A3573="","",COUNTIF($A$6:A3573,A3573))</f>
        <v/>
      </c>
      <c r="P3573" s="62" t="str">
        <f>IF(A3573="","",A3573&amp;"|"&amp;O3573)</f>
        <v/>
      </c>
    </row>
    <row r="3574">
      <c r="A3574" s="60" t="n"/>
      <c r="B3574" s="63" t="n"/>
      <c r="C3574" s="63" t="n"/>
      <c r="D3574" s="67" t="n"/>
      <c r="E3574" s="68" t="n"/>
      <c r="F3574" s="69" t="n"/>
      <c r="G3574" s="70" t="n"/>
      <c r="H3574" s="62" t="str">
        <f>IF(COUNTA(A3574:G3574)=0,"",IF(C3574&lt;&gt;"",C3574,IF(B3574="","",IFERROR(INDEX(pr_des,MATCH(B3574,pr_code,0))&amp;"",""))))</f>
        <v/>
      </c>
      <c r="I3574" s="59" t="str">
        <f>IF(B3574="","",IFERROR(INDEX(pr_unit,MATCH(B3574,pr_code,0))&amp;"",""))</f>
        <v/>
      </c>
      <c r="J3574" s="65" t="str">
        <f>IF(COUNTA(A3574:G3574)=0,"",IF(E3574&lt;&gt;"",E3574,IF(B3574="","",IFERROR(IF(INDEX(pr_price,MATCH(B3574,pr_code,0))="","",INDEX(pr_price,MATCH(B3574,pr_code,0))),""))))</f>
        <v/>
      </c>
      <c r="K3574" s="71" t="str">
        <f>IF(COUNTA(A3574:G3574)=0,"",IF(G3574&lt;&gt;"",G3574,IF(B3574="","",IFERROR(IF(INDEX(pr_rate,MATCH(B3574,pr_code,0))="","",INDEX(pr_rate,MATCH(B3574,pr_code,0))),""))))</f>
        <v/>
      </c>
      <c r="L3574" s="65" t="str">
        <f>IF(COUNTA(A3574:G3574)=0,"",IF(AND(ISNUMBER(D3574),ISNUMBER(J3574)),ROUND(D3574*J3574*(1-N(F3574)),2),0))</f>
        <v/>
      </c>
      <c r="M3574" s="62" t="str">
        <f>IF(A3574="","",IFERROR(INDEX(fa_cname,MATCH(A3574,fa_num,0))&amp;"",""))</f>
        <v/>
      </c>
      <c r="N3574" s="59" t="str">
        <f>IF(COUNTA(A3574:G3574)=0,"",IF(A3574="","N° facture manquant",IF(ISNA(MATCH(A3574,fa_num,0)),"Facture inconnue",IF(AND(B3574&lt;&gt;"",ISNA(MATCH(B3574,pr_code,0))),"Article inconnu",IF(H3574="","Désignation manquante",IF(OR(NOT(ISNUMBER(D3574)),N(D3574)&lt;=0),"Quantité invalide",IF(J3574="","Prix manquant",IF(OR(NOT(ISNUMBER(J3574)),N(J3574)&lt;0),"Prix invalide",IF(OR(AND(F3574&lt;&gt;"",NOT(ISNUMBER(F3574))),N(F3574)&lt;0,N(F3574)&gt;1),"Remise invalide",IF(K3574="","Taux de TVA manquant",IF(NOT(ISNUMBER(K3574)),"Taux de TVA invalide",IF(COUNTIF(p_rates,K3574)=0,"Taux de TVA hors liste (Paramètres)",IF(N(O3574)&gt;25,"Au-delà de 25 lignes : non imprimée","OK")))))))))))))</f>
        <v/>
      </c>
      <c r="O3574" s="59" t="str">
        <f>IF(A3574="","",COUNTIF($A$6:A3574,A3574))</f>
        <v/>
      </c>
      <c r="P3574" s="62" t="str">
        <f>IF(A3574="","",A3574&amp;"|"&amp;O3574)</f>
        <v/>
      </c>
    </row>
    <row r="3575">
      <c r="A3575" s="60" t="n"/>
      <c r="B3575" s="63" t="n"/>
      <c r="C3575" s="63" t="n"/>
      <c r="D3575" s="67" t="n"/>
      <c r="E3575" s="68" t="n"/>
      <c r="F3575" s="69" t="n"/>
      <c r="G3575" s="70" t="n"/>
      <c r="H3575" s="62" t="str">
        <f>IF(COUNTA(A3575:G3575)=0,"",IF(C3575&lt;&gt;"",C3575,IF(B3575="","",IFERROR(INDEX(pr_des,MATCH(B3575,pr_code,0))&amp;"",""))))</f>
        <v/>
      </c>
      <c r="I3575" s="59" t="str">
        <f>IF(B3575="","",IFERROR(INDEX(pr_unit,MATCH(B3575,pr_code,0))&amp;"",""))</f>
        <v/>
      </c>
      <c r="J3575" s="65" t="str">
        <f>IF(COUNTA(A3575:G3575)=0,"",IF(E3575&lt;&gt;"",E3575,IF(B3575="","",IFERROR(IF(INDEX(pr_price,MATCH(B3575,pr_code,0))="","",INDEX(pr_price,MATCH(B3575,pr_code,0))),""))))</f>
        <v/>
      </c>
      <c r="K3575" s="71" t="str">
        <f>IF(COUNTA(A3575:G3575)=0,"",IF(G3575&lt;&gt;"",G3575,IF(B3575="","",IFERROR(IF(INDEX(pr_rate,MATCH(B3575,pr_code,0))="","",INDEX(pr_rate,MATCH(B3575,pr_code,0))),""))))</f>
        <v/>
      </c>
      <c r="L3575" s="65" t="str">
        <f>IF(COUNTA(A3575:G3575)=0,"",IF(AND(ISNUMBER(D3575),ISNUMBER(J3575)),ROUND(D3575*J3575*(1-N(F3575)),2),0))</f>
        <v/>
      </c>
      <c r="M3575" s="62" t="str">
        <f>IF(A3575="","",IFERROR(INDEX(fa_cname,MATCH(A3575,fa_num,0))&amp;"",""))</f>
        <v/>
      </c>
      <c r="N3575" s="59" t="str">
        <f>IF(COUNTA(A3575:G3575)=0,"",IF(A3575="","N° facture manquant",IF(ISNA(MATCH(A3575,fa_num,0)),"Facture inconnue",IF(AND(B3575&lt;&gt;"",ISNA(MATCH(B3575,pr_code,0))),"Article inconnu",IF(H3575="","Désignation manquante",IF(OR(NOT(ISNUMBER(D3575)),N(D3575)&lt;=0),"Quantité invalide",IF(J3575="","Prix manquant",IF(OR(NOT(ISNUMBER(J3575)),N(J3575)&lt;0),"Prix invalide",IF(OR(AND(F3575&lt;&gt;"",NOT(ISNUMBER(F3575))),N(F3575)&lt;0,N(F3575)&gt;1),"Remise invalide",IF(K3575="","Taux de TVA manquant",IF(NOT(ISNUMBER(K3575)),"Taux de TVA invalide",IF(COUNTIF(p_rates,K3575)=0,"Taux de TVA hors liste (Paramètres)",IF(N(O3575)&gt;25,"Au-delà de 25 lignes : non imprimée","OK")))))))))))))</f>
        <v/>
      </c>
      <c r="O3575" s="59" t="str">
        <f>IF(A3575="","",COUNTIF($A$6:A3575,A3575))</f>
        <v/>
      </c>
      <c r="P3575" s="62" t="str">
        <f>IF(A3575="","",A3575&amp;"|"&amp;O3575)</f>
        <v/>
      </c>
    </row>
    <row r="3576">
      <c r="A3576" s="60" t="n"/>
      <c r="B3576" s="63" t="n"/>
      <c r="C3576" s="63" t="n"/>
      <c r="D3576" s="67" t="n"/>
      <c r="E3576" s="68" t="n"/>
      <c r="F3576" s="69" t="n"/>
      <c r="G3576" s="70" t="n"/>
      <c r="H3576" s="62" t="str">
        <f>IF(COUNTA(A3576:G3576)=0,"",IF(C3576&lt;&gt;"",C3576,IF(B3576="","",IFERROR(INDEX(pr_des,MATCH(B3576,pr_code,0))&amp;"",""))))</f>
        <v/>
      </c>
      <c r="I3576" s="59" t="str">
        <f>IF(B3576="","",IFERROR(INDEX(pr_unit,MATCH(B3576,pr_code,0))&amp;"",""))</f>
        <v/>
      </c>
      <c r="J3576" s="65" t="str">
        <f>IF(COUNTA(A3576:G3576)=0,"",IF(E3576&lt;&gt;"",E3576,IF(B3576="","",IFERROR(IF(INDEX(pr_price,MATCH(B3576,pr_code,0))="","",INDEX(pr_price,MATCH(B3576,pr_code,0))),""))))</f>
        <v/>
      </c>
      <c r="K3576" s="71" t="str">
        <f>IF(COUNTA(A3576:G3576)=0,"",IF(G3576&lt;&gt;"",G3576,IF(B3576="","",IFERROR(IF(INDEX(pr_rate,MATCH(B3576,pr_code,0))="","",INDEX(pr_rate,MATCH(B3576,pr_code,0))),""))))</f>
        <v/>
      </c>
      <c r="L3576" s="65" t="str">
        <f>IF(COUNTA(A3576:G3576)=0,"",IF(AND(ISNUMBER(D3576),ISNUMBER(J3576)),ROUND(D3576*J3576*(1-N(F3576)),2),0))</f>
        <v/>
      </c>
      <c r="M3576" s="62" t="str">
        <f>IF(A3576="","",IFERROR(INDEX(fa_cname,MATCH(A3576,fa_num,0))&amp;"",""))</f>
        <v/>
      </c>
      <c r="N3576" s="59" t="str">
        <f>IF(COUNTA(A3576:G3576)=0,"",IF(A3576="","N° facture manquant",IF(ISNA(MATCH(A3576,fa_num,0)),"Facture inconnue",IF(AND(B3576&lt;&gt;"",ISNA(MATCH(B3576,pr_code,0))),"Article inconnu",IF(H3576="","Désignation manquante",IF(OR(NOT(ISNUMBER(D3576)),N(D3576)&lt;=0),"Quantité invalide",IF(J3576="","Prix manquant",IF(OR(NOT(ISNUMBER(J3576)),N(J3576)&lt;0),"Prix invalide",IF(OR(AND(F3576&lt;&gt;"",NOT(ISNUMBER(F3576))),N(F3576)&lt;0,N(F3576)&gt;1),"Remise invalide",IF(K3576="","Taux de TVA manquant",IF(NOT(ISNUMBER(K3576)),"Taux de TVA invalide",IF(COUNTIF(p_rates,K3576)=0,"Taux de TVA hors liste (Paramètres)",IF(N(O3576)&gt;25,"Au-delà de 25 lignes : non imprimée","OK")))))))))))))</f>
        <v/>
      </c>
      <c r="O3576" s="59" t="str">
        <f>IF(A3576="","",COUNTIF($A$6:A3576,A3576))</f>
        <v/>
      </c>
      <c r="P3576" s="62" t="str">
        <f>IF(A3576="","",A3576&amp;"|"&amp;O3576)</f>
        <v/>
      </c>
    </row>
    <row r="3577">
      <c r="A3577" s="60" t="n"/>
      <c r="B3577" s="63" t="n"/>
      <c r="C3577" s="63" t="n"/>
      <c r="D3577" s="67" t="n"/>
      <c r="E3577" s="68" t="n"/>
      <c r="F3577" s="69" t="n"/>
      <c r="G3577" s="70" t="n"/>
      <c r="H3577" s="62" t="str">
        <f>IF(COUNTA(A3577:G3577)=0,"",IF(C3577&lt;&gt;"",C3577,IF(B3577="","",IFERROR(INDEX(pr_des,MATCH(B3577,pr_code,0))&amp;"",""))))</f>
        <v/>
      </c>
      <c r="I3577" s="59" t="str">
        <f>IF(B3577="","",IFERROR(INDEX(pr_unit,MATCH(B3577,pr_code,0))&amp;"",""))</f>
        <v/>
      </c>
      <c r="J3577" s="65" t="str">
        <f>IF(COUNTA(A3577:G3577)=0,"",IF(E3577&lt;&gt;"",E3577,IF(B3577="","",IFERROR(IF(INDEX(pr_price,MATCH(B3577,pr_code,0))="","",INDEX(pr_price,MATCH(B3577,pr_code,0))),""))))</f>
        <v/>
      </c>
      <c r="K3577" s="71" t="str">
        <f>IF(COUNTA(A3577:G3577)=0,"",IF(G3577&lt;&gt;"",G3577,IF(B3577="","",IFERROR(IF(INDEX(pr_rate,MATCH(B3577,pr_code,0))="","",INDEX(pr_rate,MATCH(B3577,pr_code,0))),""))))</f>
        <v/>
      </c>
      <c r="L3577" s="65" t="str">
        <f>IF(COUNTA(A3577:G3577)=0,"",IF(AND(ISNUMBER(D3577),ISNUMBER(J3577)),ROUND(D3577*J3577*(1-N(F3577)),2),0))</f>
        <v/>
      </c>
      <c r="M3577" s="62" t="str">
        <f>IF(A3577="","",IFERROR(INDEX(fa_cname,MATCH(A3577,fa_num,0))&amp;"",""))</f>
        <v/>
      </c>
      <c r="N3577" s="59" t="str">
        <f>IF(COUNTA(A3577:G3577)=0,"",IF(A3577="","N° facture manquant",IF(ISNA(MATCH(A3577,fa_num,0)),"Facture inconnue",IF(AND(B3577&lt;&gt;"",ISNA(MATCH(B3577,pr_code,0))),"Article inconnu",IF(H3577="","Désignation manquante",IF(OR(NOT(ISNUMBER(D3577)),N(D3577)&lt;=0),"Quantité invalide",IF(J3577="","Prix manquant",IF(OR(NOT(ISNUMBER(J3577)),N(J3577)&lt;0),"Prix invalide",IF(OR(AND(F3577&lt;&gt;"",NOT(ISNUMBER(F3577))),N(F3577)&lt;0,N(F3577)&gt;1),"Remise invalide",IF(K3577="","Taux de TVA manquant",IF(NOT(ISNUMBER(K3577)),"Taux de TVA invalide",IF(COUNTIF(p_rates,K3577)=0,"Taux de TVA hors liste (Paramètres)",IF(N(O3577)&gt;25,"Au-delà de 25 lignes : non imprimée","OK")))))))))))))</f>
        <v/>
      </c>
      <c r="O3577" s="59" t="str">
        <f>IF(A3577="","",COUNTIF($A$6:A3577,A3577))</f>
        <v/>
      </c>
      <c r="P3577" s="62" t="str">
        <f>IF(A3577="","",A3577&amp;"|"&amp;O3577)</f>
        <v/>
      </c>
    </row>
    <row r="3578">
      <c r="A3578" s="60" t="n"/>
      <c r="B3578" s="63" t="n"/>
      <c r="C3578" s="63" t="n"/>
      <c r="D3578" s="67" t="n"/>
      <c r="E3578" s="68" t="n"/>
      <c r="F3578" s="69" t="n"/>
      <c r="G3578" s="70" t="n"/>
      <c r="H3578" s="62" t="str">
        <f>IF(COUNTA(A3578:G3578)=0,"",IF(C3578&lt;&gt;"",C3578,IF(B3578="","",IFERROR(INDEX(pr_des,MATCH(B3578,pr_code,0))&amp;"",""))))</f>
        <v/>
      </c>
      <c r="I3578" s="59" t="str">
        <f>IF(B3578="","",IFERROR(INDEX(pr_unit,MATCH(B3578,pr_code,0))&amp;"",""))</f>
        <v/>
      </c>
      <c r="J3578" s="65" t="str">
        <f>IF(COUNTA(A3578:G3578)=0,"",IF(E3578&lt;&gt;"",E3578,IF(B3578="","",IFERROR(IF(INDEX(pr_price,MATCH(B3578,pr_code,0))="","",INDEX(pr_price,MATCH(B3578,pr_code,0))),""))))</f>
        <v/>
      </c>
      <c r="K3578" s="71" t="str">
        <f>IF(COUNTA(A3578:G3578)=0,"",IF(G3578&lt;&gt;"",G3578,IF(B3578="","",IFERROR(IF(INDEX(pr_rate,MATCH(B3578,pr_code,0))="","",INDEX(pr_rate,MATCH(B3578,pr_code,0))),""))))</f>
        <v/>
      </c>
      <c r="L3578" s="65" t="str">
        <f>IF(COUNTA(A3578:G3578)=0,"",IF(AND(ISNUMBER(D3578),ISNUMBER(J3578)),ROUND(D3578*J3578*(1-N(F3578)),2),0))</f>
        <v/>
      </c>
      <c r="M3578" s="62" t="str">
        <f>IF(A3578="","",IFERROR(INDEX(fa_cname,MATCH(A3578,fa_num,0))&amp;"",""))</f>
        <v/>
      </c>
      <c r="N3578" s="59" t="str">
        <f>IF(COUNTA(A3578:G3578)=0,"",IF(A3578="","N° facture manquant",IF(ISNA(MATCH(A3578,fa_num,0)),"Facture inconnue",IF(AND(B3578&lt;&gt;"",ISNA(MATCH(B3578,pr_code,0))),"Article inconnu",IF(H3578="","Désignation manquante",IF(OR(NOT(ISNUMBER(D3578)),N(D3578)&lt;=0),"Quantité invalide",IF(J3578="","Prix manquant",IF(OR(NOT(ISNUMBER(J3578)),N(J3578)&lt;0),"Prix invalide",IF(OR(AND(F3578&lt;&gt;"",NOT(ISNUMBER(F3578))),N(F3578)&lt;0,N(F3578)&gt;1),"Remise invalide",IF(K3578="","Taux de TVA manquant",IF(NOT(ISNUMBER(K3578)),"Taux de TVA invalide",IF(COUNTIF(p_rates,K3578)=0,"Taux de TVA hors liste (Paramètres)",IF(N(O3578)&gt;25,"Au-delà de 25 lignes : non imprimée","OK")))))))))))))</f>
        <v/>
      </c>
      <c r="O3578" s="59" t="str">
        <f>IF(A3578="","",COUNTIF($A$6:A3578,A3578))</f>
        <v/>
      </c>
      <c r="P3578" s="62" t="str">
        <f>IF(A3578="","",A3578&amp;"|"&amp;O3578)</f>
        <v/>
      </c>
    </row>
    <row r="3579">
      <c r="A3579" s="60" t="n"/>
      <c r="B3579" s="63" t="n"/>
      <c r="C3579" s="63" t="n"/>
      <c r="D3579" s="67" t="n"/>
      <c r="E3579" s="68" t="n"/>
      <c r="F3579" s="69" t="n"/>
      <c r="G3579" s="70" t="n"/>
      <c r="H3579" s="62" t="str">
        <f>IF(COUNTA(A3579:G3579)=0,"",IF(C3579&lt;&gt;"",C3579,IF(B3579="","",IFERROR(INDEX(pr_des,MATCH(B3579,pr_code,0))&amp;"",""))))</f>
        <v/>
      </c>
      <c r="I3579" s="59" t="str">
        <f>IF(B3579="","",IFERROR(INDEX(pr_unit,MATCH(B3579,pr_code,0))&amp;"",""))</f>
        <v/>
      </c>
      <c r="J3579" s="65" t="str">
        <f>IF(COUNTA(A3579:G3579)=0,"",IF(E3579&lt;&gt;"",E3579,IF(B3579="","",IFERROR(IF(INDEX(pr_price,MATCH(B3579,pr_code,0))="","",INDEX(pr_price,MATCH(B3579,pr_code,0))),""))))</f>
        <v/>
      </c>
      <c r="K3579" s="71" t="str">
        <f>IF(COUNTA(A3579:G3579)=0,"",IF(G3579&lt;&gt;"",G3579,IF(B3579="","",IFERROR(IF(INDEX(pr_rate,MATCH(B3579,pr_code,0))="","",INDEX(pr_rate,MATCH(B3579,pr_code,0))),""))))</f>
        <v/>
      </c>
      <c r="L3579" s="65" t="str">
        <f>IF(COUNTA(A3579:G3579)=0,"",IF(AND(ISNUMBER(D3579),ISNUMBER(J3579)),ROUND(D3579*J3579*(1-N(F3579)),2),0))</f>
        <v/>
      </c>
      <c r="M3579" s="62" t="str">
        <f>IF(A3579="","",IFERROR(INDEX(fa_cname,MATCH(A3579,fa_num,0))&amp;"",""))</f>
        <v/>
      </c>
      <c r="N3579" s="59" t="str">
        <f>IF(COUNTA(A3579:G3579)=0,"",IF(A3579="","N° facture manquant",IF(ISNA(MATCH(A3579,fa_num,0)),"Facture inconnue",IF(AND(B3579&lt;&gt;"",ISNA(MATCH(B3579,pr_code,0))),"Article inconnu",IF(H3579="","Désignation manquante",IF(OR(NOT(ISNUMBER(D3579)),N(D3579)&lt;=0),"Quantité invalide",IF(J3579="","Prix manquant",IF(OR(NOT(ISNUMBER(J3579)),N(J3579)&lt;0),"Prix invalide",IF(OR(AND(F3579&lt;&gt;"",NOT(ISNUMBER(F3579))),N(F3579)&lt;0,N(F3579)&gt;1),"Remise invalide",IF(K3579="","Taux de TVA manquant",IF(NOT(ISNUMBER(K3579)),"Taux de TVA invalide",IF(COUNTIF(p_rates,K3579)=0,"Taux de TVA hors liste (Paramètres)",IF(N(O3579)&gt;25,"Au-delà de 25 lignes : non imprimée","OK")))))))))))))</f>
        <v/>
      </c>
      <c r="O3579" s="59" t="str">
        <f>IF(A3579="","",COUNTIF($A$6:A3579,A3579))</f>
        <v/>
      </c>
      <c r="P3579" s="62" t="str">
        <f>IF(A3579="","",A3579&amp;"|"&amp;O3579)</f>
        <v/>
      </c>
    </row>
    <row r="3580">
      <c r="A3580" s="60" t="n"/>
      <c r="B3580" s="63" t="n"/>
      <c r="C3580" s="63" t="n"/>
      <c r="D3580" s="67" t="n"/>
      <c r="E3580" s="68" t="n"/>
      <c r="F3580" s="69" t="n"/>
      <c r="G3580" s="70" t="n"/>
      <c r="H3580" s="62" t="str">
        <f>IF(COUNTA(A3580:G3580)=0,"",IF(C3580&lt;&gt;"",C3580,IF(B3580="","",IFERROR(INDEX(pr_des,MATCH(B3580,pr_code,0))&amp;"",""))))</f>
        <v/>
      </c>
      <c r="I3580" s="59" t="str">
        <f>IF(B3580="","",IFERROR(INDEX(pr_unit,MATCH(B3580,pr_code,0))&amp;"",""))</f>
        <v/>
      </c>
      <c r="J3580" s="65" t="str">
        <f>IF(COUNTA(A3580:G3580)=0,"",IF(E3580&lt;&gt;"",E3580,IF(B3580="","",IFERROR(IF(INDEX(pr_price,MATCH(B3580,pr_code,0))="","",INDEX(pr_price,MATCH(B3580,pr_code,0))),""))))</f>
        <v/>
      </c>
      <c r="K3580" s="71" t="str">
        <f>IF(COUNTA(A3580:G3580)=0,"",IF(G3580&lt;&gt;"",G3580,IF(B3580="","",IFERROR(IF(INDEX(pr_rate,MATCH(B3580,pr_code,0))="","",INDEX(pr_rate,MATCH(B3580,pr_code,0))),""))))</f>
        <v/>
      </c>
      <c r="L3580" s="65" t="str">
        <f>IF(COUNTA(A3580:G3580)=0,"",IF(AND(ISNUMBER(D3580),ISNUMBER(J3580)),ROUND(D3580*J3580*(1-N(F3580)),2),0))</f>
        <v/>
      </c>
      <c r="M3580" s="62" t="str">
        <f>IF(A3580="","",IFERROR(INDEX(fa_cname,MATCH(A3580,fa_num,0))&amp;"",""))</f>
        <v/>
      </c>
      <c r="N3580" s="59" t="str">
        <f>IF(COUNTA(A3580:G3580)=0,"",IF(A3580="","N° facture manquant",IF(ISNA(MATCH(A3580,fa_num,0)),"Facture inconnue",IF(AND(B3580&lt;&gt;"",ISNA(MATCH(B3580,pr_code,0))),"Article inconnu",IF(H3580="","Désignation manquante",IF(OR(NOT(ISNUMBER(D3580)),N(D3580)&lt;=0),"Quantité invalide",IF(J3580="","Prix manquant",IF(OR(NOT(ISNUMBER(J3580)),N(J3580)&lt;0),"Prix invalide",IF(OR(AND(F3580&lt;&gt;"",NOT(ISNUMBER(F3580))),N(F3580)&lt;0,N(F3580)&gt;1),"Remise invalide",IF(K3580="","Taux de TVA manquant",IF(NOT(ISNUMBER(K3580)),"Taux de TVA invalide",IF(COUNTIF(p_rates,K3580)=0,"Taux de TVA hors liste (Paramètres)",IF(N(O3580)&gt;25,"Au-delà de 25 lignes : non imprimée","OK")))))))))))))</f>
        <v/>
      </c>
      <c r="O3580" s="59" t="str">
        <f>IF(A3580="","",COUNTIF($A$6:A3580,A3580))</f>
        <v/>
      </c>
      <c r="P3580" s="62" t="str">
        <f>IF(A3580="","",A3580&amp;"|"&amp;O3580)</f>
        <v/>
      </c>
    </row>
    <row r="3581">
      <c r="A3581" s="60" t="n"/>
      <c r="B3581" s="63" t="n"/>
      <c r="C3581" s="63" t="n"/>
      <c r="D3581" s="67" t="n"/>
      <c r="E3581" s="68" t="n"/>
      <c r="F3581" s="69" t="n"/>
      <c r="G3581" s="70" t="n"/>
      <c r="H3581" s="62" t="str">
        <f>IF(COUNTA(A3581:G3581)=0,"",IF(C3581&lt;&gt;"",C3581,IF(B3581="","",IFERROR(INDEX(pr_des,MATCH(B3581,pr_code,0))&amp;"",""))))</f>
        <v/>
      </c>
      <c r="I3581" s="59" t="str">
        <f>IF(B3581="","",IFERROR(INDEX(pr_unit,MATCH(B3581,pr_code,0))&amp;"",""))</f>
        <v/>
      </c>
      <c r="J3581" s="65" t="str">
        <f>IF(COUNTA(A3581:G3581)=0,"",IF(E3581&lt;&gt;"",E3581,IF(B3581="","",IFERROR(IF(INDEX(pr_price,MATCH(B3581,pr_code,0))="","",INDEX(pr_price,MATCH(B3581,pr_code,0))),""))))</f>
        <v/>
      </c>
      <c r="K3581" s="71" t="str">
        <f>IF(COUNTA(A3581:G3581)=0,"",IF(G3581&lt;&gt;"",G3581,IF(B3581="","",IFERROR(IF(INDEX(pr_rate,MATCH(B3581,pr_code,0))="","",INDEX(pr_rate,MATCH(B3581,pr_code,0))),""))))</f>
        <v/>
      </c>
      <c r="L3581" s="65" t="str">
        <f>IF(COUNTA(A3581:G3581)=0,"",IF(AND(ISNUMBER(D3581),ISNUMBER(J3581)),ROUND(D3581*J3581*(1-N(F3581)),2),0))</f>
        <v/>
      </c>
      <c r="M3581" s="62" t="str">
        <f>IF(A3581="","",IFERROR(INDEX(fa_cname,MATCH(A3581,fa_num,0))&amp;"",""))</f>
        <v/>
      </c>
      <c r="N3581" s="59" t="str">
        <f>IF(COUNTA(A3581:G3581)=0,"",IF(A3581="","N° facture manquant",IF(ISNA(MATCH(A3581,fa_num,0)),"Facture inconnue",IF(AND(B3581&lt;&gt;"",ISNA(MATCH(B3581,pr_code,0))),"Article inconnu",IF(H3581="","Désignation manquante",IF(OR(NOT(ISNUMBER(D3581)),N(D3581)&lt;=0),"Quantité invalide",IF(J3581="","Prix manquant",IF(OR(NOT(ISNUMBER(J3581)),N(J3581)&lt;0),"Prix invalide",IF(OR(AND(F3581&lt;&gt;"",NOT(ISNUMBER(F3581))),N(F3581)&lt;0,N(F3581)&gt;1),"Remise invalide",IF(K3581="","Taux de TVA manquant",IF(NOT(ISNUMBER(K3581)),"Taux de TVA invalide",IF(COUNTIF(p_rates,K3581)=0,"Taux de TVA hors liste (Paramètres)",IF(N(O3581)&gt;25,"Au-delà de 25 lignes : non imprimée","OK")))))))))))))</f>
        <v/>
      </c>
      <c r="O3581" s="59" t="str">
        <f>IF(A3581="","",COUNTIF($A$6:A3581,A3581))</f>
        <v/>
      </c>
      <c r="P3581" s="62" t="str">
        <f>IF(A3581="","",A3581&amp;"|"&amp;O3581)</f>
        <v/>
      </c>
    </row>
    <row r="3582">
      <c r="A3582" s="60" t="n"/>
      <c r="B3582" s="63" t="n"/>
      <c r="C3582" s="63" t="n"/>
      <c r="D3582" s="67" t="n"/>
      <c r="E3582" s="68" t="n"/>
      <c r="F3582" s="69" t="n"/>
      <c r="G3582" s="70" t="n"/>
      <c r="H3582" s="62" t="str">
        <f>IF(COUNTA(A3582:G3582)=0,"",IF(C3582&lt;&gt;"",C3582,IF(B3582="","",IFERROR(INDEX(pr_des,MATCH(B3582,pr_code,0))&amp;"",""))))</f>
        <v/>
      </c>
      <c r="I3582" s="59" t="str">
        <f>IF(B3582="","",IFERROR(INDEX(pr_unit,MATCH(B3582,pr_code,0))&amp;"",""))</f>
        <v/>
      </c>
      <c r="J3582" s="65" t="str">
        <f>IF(COUNTA(A3582:G3582)=0,"",IF(E3582&lt;&gt;"",E3582,IF(B3582="","",IFERROR(IF(INDEX(pr_price,MATCH(B3582,pr_code,0))="","",INDEX(pr_price,MATCH(B3582,pr_code,0))),""))))</f>
        <v/>
      </c>
      <c r="K3582" s="71" t="str">
        <f>IF(COUNTA(A3582:G3582)=0,"",IF(G3582&lt;&gt;"",G3582,IF(B3582="","",IFERROR(IF(INDEX(pr_rate,MATCH(B3582,pr_code,0))="","",INDEX(pr_rate,MATCH(B3582,pr_code,0))),""))))</f>
        <v/>
      </c>
      <c r="L3582" s="65" t="str">
        <f>IF(COUNTA(A3582:G3582)=0,"",IF(AND(ISNUMBER(D3582),ISNUMBER(J3582)),ROUND(D3582*J3582*(1-N(F3582)),2),0))</f>
        <v/>
      </c>
      <c r="M3582" s="62" t="str">
        <f>IF(A3582="","",IFERROR(INDEX(fa_cname,MATCH(A3582,fa_num,0))&amp;"",""))</f>
        <v/>
      </c>
      <c r="N3582" s="59" t="str">
        <f>IF(COUNTA(A3582:G3582)=0,"",IF(A3582="","N° facture manquant",IF(ISNA(MATCH(A3582,fa_num,0)),"Facture inconnue",IF(AND(B3582&lt;&gt;"",ISNA(MATCH(B3582,pr_code,0))),"Article inconnu",IF(H3582="","Désignation manquante",IF(OR(NOT(ISNUMBER(D3582)),N(D3582)&lt;=0),"Quantité invalide",IF(J3582="","Prix manquant",IF(OR(NOT(ISNUMBER(J3582)),N(J3582)&lt;0),"Prix invalide",IF(OR(AND(F3582&lt;&gt;"",NOT(ISNUMBER(F3582))),N(F3582)&lt;0,N(F3582)&gt;1),"Remise invalide",IF(K3582="","Taux de TVA manquant",IF(NOT(ISNUMBER(K3582)),"Taux de TVA invalide",IF(COUNTIF(p_rates,K3582)=0,"Taux de TVA hors liste (Paramètres)",IF(N(O3582)&gt;25,"Au-delà de 25 lignes : non imprimée","OK")))))))))))))</f>
        <v/>
      </c>
      <c r="O3582" s="59" t="str">
        <f>IF(A3582="","",COUNTIF($A$6:A3582,A3582))</f>
        <v/>
      </c>
      <c r="P3582" s="62" t="str">
        <f>IF(A3582="","",A3582&amp;"|"&amp;O3582)</f>
        <v/>
      </c>
    </row>
    <row r="3583">
      <c r="A3583" s="60" t="n"/>
      <c r="B3583" s="63" t="n"/>
      <c r="C3583" s="63" t="n"/>
      <c r="D3583" s="67" t="n"/>
      <c r="E3583" s="68" t="n"/>
      <c r="F3583" s="69" t="n"/>
      <c r="G3583" s="70" t="n"/>
      <c r="H3583" s="62" t="str">
        <f>IF(COUNTA(A3583:G3583)=0,"",IF(C3583&lt;&gt;"",C3583,IF(B3583="","",IFERROR(INDEX(pr_des,MATCH(B3583,pr_code,0))&amp;"",""))))</f>
        <v/>
      </c>
      <c r="I3583" s="59" t="str">
        <f>IF(B3583="","",IFERROR(INDEX(pr_unit,MATCH(B3583,pr_code,0))&amp;"",""))</f>
        <v/>
      </c>
      <c r="J3583" s="65" t="str">
        <f>IF(COUNTA(A3583:G3583)=0,"",IF(E3583&lt;&gt;"",E3583,IF(B3583="","",IFERROR(IF(INDEX(pr_price,MATCH(B3583,pr_code,0))="","",INDEX(pr_price,MATCH(B3583,pr_code,0))),""))))</f>
        <v/>
      </c>
      <c r="K3583" s="71" t="str">
        <f>IF(COUNTA(A3583:G3583)=0,"",IF(G3583&lt;&gt;"",G3583,IF(B3583="","",IFERROR(IF(INDEX(pr_rate,MATCH(B3583,pr_code,0))="","",INDEX(pr_rate,MATCH(B3583,pr_code,0))),""))))</f>
        <v/>
      </c>
      <c r="L3583" s="65" t="str">
        <f>IF(COUNTA(A3583:G3583)=0,"",IF(AND(ISNUMBER(D3583),ISNUMBER(J3583)),ROUND(D3583*J3583*(1-N(F3583)),2),0))</f>
        <v/>
      </c>
      <c r="M3583" s="62" t="str">
        <f>IF(A3583="","",IFERROR(INDEX(fa_cname,MATCH(A3583,fa_num,0))&amp;"",""))</f>
        <v/>
      </c>
      <c r="N3583" s="59" t="str">
        <f>IF(COUNTA(A3583:G3583)=0,"",IF(A3583="","N° facture manquant",IF(ISNA(MATCH(A3583,fa_num,0)),"Facture inconnue",IF(AND(B3583&lt;&gt;"",ISNA(MATCH(B3583,pr_code,0))),"Article inconnu",IF(H3583="","Désignation manquante",IF(OR(NOT(ISNUMBER(D3583)),N(D3583)&lt;=0),"Quantité invalide",IF(J3583="","Prix manquant",IF(OR(NOT(ISNUMBER(J3583)),N(J3583)&lt;0),"Prix invalide",IF(OR(AND(F3583&lt;&gt;"",NOT(ISNUMBER(F3583))),N(F3583)&lt;0,N(F3583)&gt;1),"Remise invalide",IF(K3583="","Taux de TVA manquant",IF(NOT(ISNUMBER(K3583)),"Taux de TVA invalide",IF(COUNTIF(p_rates,K3583)=0,"Taux de TVA hors liste (Paramètres)",IF(N(O3583)&gt;25,"Au-delà de 25 lignes : non imprimée","OK")))))))))))))</f>
        <v/>
      </c>
      <c r="O3583" s="59" t="str">
        <f>IF(A3583="","",COUNTIF($A$6:A3583,A3583))</f>
        <v/>
      </c>
      <c r="P3583" s="62" t="str">
        <f>IF(A3583="","",A3583&amp;"|"&amp;O3583)</f>
        <v/>
      </c>
    </row>
    <row r="3584">
      <c r="A3584" s="60" t="n"/>
      <c r="B3584" s="63" t="n"/>
      <c r="C3584" s="63" t="n"/>
      <c r="D3584" s="67" t="n"/>
      <c r="E3584" s="68" t="n"/>
      <c r="F3584" s="69" t="n"/>
      <c r="G3584" s="70" t="n"/>
      <c r="H3584" s="62" t="str">
        <f>IF(COUNTA(A3584:G3584)=0,"",IF(C3584&lt;&gt;"",C3584,IF(B3584="","",IFERROR(INDEX(pr_des,MATCH(B3584,pr_code,0))&amp;"",""))))</f>
        <v/>
      </c>
      <c r="I3584" s="59" t="str">
        <f>IF(B3584="","",IFERROR(INDEX(pr_unit,MATCH(B3584,pr_code,0))&amp;"",""))</f>
        <v/>
      </c>
      <c r="J3584" s="65" t="str">
        <f>IF(COUNTA(A3584:G3584)=0,"",IF(E3584&lt;&gt;"",E3584,IF(B3584="","",IFERROR(IF(INDEX(pr_price,MATCH(B3584,pr_code,0))="","",INDEX(pr_price,MATCH(B3584,pr_code,0))),""))))</f>
        <v/>
      </c>
      <c r="K3584" s="71" t="str">
        <f>IF(COUNTA(A3584:G3584)=0,"",IF(G3584&lt;&gt;"",G3584,IF(B3584="","",IFERROR(IF(INDEX(pr_rate,MATCH(B3584,pr_code,0))="","",INDEX(pr_rate,MATCH(B3584,pr_code,0))),""))))</f>
        <v/>
      </c>
      <c r="L3584" s="65" t="str">
        <f>IF(COUNTA(A3584:G3584)=0,"",IF(AND(ISNUMBER(D3584),ISNUMBER(J3584)),ROUND(D3584*J3584*(1-N(F3584)),2),0))</f>
        <v/>
      </c>
      <c r="M3584" s="62" t="str">
        <f>IF(A3584="","",IFERROR(INDEX(fa_cname,MATCH(A3584,fa_num,0))&amp;"",""))</f>
        <v/>
      </c>
      <c r="N3584" s="59" t="str">
        <f>IF(COUNTA(A3584:G3584)=0,"",IF(A3584="","N° facture manquant",IF(ISNA(MATCH(A3584,fa_num,0)),"Facture inconnue",IF(AND(B3584&lt;&gt;"",ISNA(MATCH(B3584,pr_code,0))),"Article inconnu",IF(H3584="","Désignation manquante",IF(OR(NOT(ISNUMBER(D3584)),N(D3584)&lt;=0),"Quantité invalide",IF(J3584="","Prix manquant",IF(OR(NOT(ISNUMBER(J3584)),N(J3584)&lt;0),"Prix invalide",IF(OR(AND(F3584&lt;&gt;"",NOT(ISNUMBER(F3584))),N(F3584)&lt;0,N(F3584)&gt;1),"Remise invalide",IF(K3584="","Taux de TVA manquant",IF(NOT(ISNUMBER(K3584)),"Taux de TVA invalide",IF(COUNTIF(p_rates,K3584)=0,"Taux de TVA hors liste (Paramètres)",IF(N(O3584)&gt;25,"Au-delà de 25 lignes : non imprimée","OK")))))))))))))</f>
        <v/>
      </c>
      <c r="O3584" s="59" t="str">
        <f>IF(A3584="","",COUNTIF($A$6:A3584,A3584))</f>
        <v/>
      </c>
      <c r="P3584" s="62" t="str">
        <f>IF(A3584="","",A3584&amp;"|"&amp;O3584)</f>
        <v/>
      </c>
    </row>
    <row r="3585">
      <c r="A3585" s="60" t="n"/>
      <c r="B3585" s="63" t="n"/>
      <c r="C3585" s="63" t="n"/>
      <c r="D3585" s="67" t="n"/>
      <c r="E3585" s="68" t="n"/>
      <c r="F3585" s="69" t="n"/>
      <c r="G3585" s="70" t="n"/>
      <c r="H3585" s="62" t="str">
        <f>IF(COUNTA(A3585:G3585)=0,"",IF(C3585&lt;&gt;"",C3585,IF(B3585="","",IFERROR(INDEX(pr_des,MATCH(B3585,pr_code,0))&amp;"",""))))</f>
        <v/>
      </c>
      <c r="I3585" s="59" t="str">
        <f>IF(B3585="","",IFERROR(INDEX(pr_unit,MATCH(B3585,pr_code,0))&amp;"",""))</f>
        <v/>
      </c>
      <c r="J3585" s="65" t="str">
        <f>IF(COUNTA(A3585:G3585)=0,"",IF(E3585&lt;&gt;"",E3585,IF(B3585="","",IFERROR(IF(INDEX(pr_price,MATCH(B3585,pr_code,0))="","",INDEX(pr_price,MATCH(B3585,pr_code,0))),""))))</f>
        <v/>
      </c>
      <c r="K3585" s="71" t="str">
        <f>IF(COUNTA(A3585:G3585)=0,"",IF(G3585&lt;&gt;"",G3585,IF(B3585="","",IFERROR(IF(INDEX(pr_rate,MATCH(B3585,pr_code,0))="","",INDEX(pr_rate,MATCH(B3585,pr_code,0))),""))))</f>
        <v/>
      </c>
      <c r="L3585" s="65" t="str">
        <f>IF(COUNTA(A3585:G3585)=0,"",IF(AND(ISNUMBER(D3585),ISNUMBER(J3585)),ROUND(D3585*J3585*(1-N(F3585)),2),0))</f>
        <v/>
      </c>
      <c r="M3585" s="62" t="str">
        <f>IF(A3585="","",IFERROR(INDEX(fa_cname,MATCH(A3585,fa_num,0))&amp;"",""))</f>
        <v/>
      </c>
      <c r="N3585" s="59" t="str">
        <f>IF(COUNTA(A3585:G3585)=0,"",IF(A3585="","N° facture manquant",IF(ISNA(MATCH(A3585,fa_num,0)),"Facture inconnue",IF(AND(B3585&lt;&gt;"",ISNA(MATCH(B3585,pr_code,0))),"Article inconnu",IF(H3585="","Désignation manquante",IF(OR(NOT(ISNUMBER(D3585)),N(D3585)&lt;=0),"Quantité invalide",IF(J3585="","Prix manquant",IF(OR(NOT(ISNUMBER(J3585)),N(J3585)&lt;0),"Prix invalide",IF(OR(AND(F3585&lt;&gt;"",NOT(ISNUMBER(F3585))),N(F3585)&lt;0,N(F3585)&gt;1),"Remise invalide",IF(K3585="","Taux de TVA manquant",IF(NOT(ISNUMBER(K3585)),"Taux de TVA invalide",IF(COUNTIF(p_rates,K3585)=0,"Taux de TVA hors liste (Paramètres)",IF(N(O3585)&gt;25,"Au-delà de 25 lignes : non imprimée","OK")))))))))))))</f>
        <v/>
      </c>
      <c r="O3585" s="59" t="str">
        <f>IF(A3585="","",COUNTIF($A$6:A3585,A3585))</f>
        <v/>
      </c>
      <c r="P3585" s="62" t="str">
        <f>IF(A3585="","",A3585&amp;"|"&amp;O3585)</f>
        <v/>
      </c>
    </row>
    <row r="3586">
      <c r="A3586" s="60" t="n"/>
      <c r="B3586" s="63" t="n"/>
      <c r="C3586" s="63" t="n"/>
      <c r="D3586" s="67" t="n"/>
      <c r="E3586" s="68" t="n"/>
      <c r="F3586" s="69" t="n"/>
      <c r="G3586" s="70" t="n"/>
      <c r="H3586" s="62" t="str">
        <f>IF(COUNTA(A3586:G3586)=0,"",IF(C3586&lt;&gt;"",C3586,IF(B3586="","",IFERROR(INDEX(pr_des,MATCH(B3586,pr_code,0))&amp;"",""))))</f>
        <v/>
      </c>
      <c r="I3586" s="59" t="str">
        <f>IF(B3586="","",IFERROR(INDEX(pr_unit,MATCH(B3586,pr_code,0))&amp;"",""))</f>
        <v/>
      </c>
      <c r="J3586" s="65" t="str">
        <f>IF(COUNTA(A3586:G3586)=0,"",IF(E3586&lt;&gt;"",E3586,IF(B3586="","",IFERROR(IF(INDEX(pr_price,MATCH(B3586,pr_code,0))="","",INDEX(pr_price,MATCH(B3586,pr_code,0))),""))))</f>
        <v/>
      </c>
      <c r="K3586" s="71" t="str">
        <f>IF(COUNTA(A3586:G3586)=0,"",IF(G3586&lt;&gt;"",G3586,IF(B3586="","",IFERROR(IF(INDEX(pr_rate,MATCH(B3586,pr_code,0))="","",INDEX(pr_rate,MATCH(B3586,pr_code,0))),""))))</f>
        <v/>
      </c>
      <c r="L3586" s="65" t="str">
        <f>IF(COUNTA(A3586:G3586)=0,"",IF(AND(ISNUMBER(D3586),ISNUMBER(J3586)),ROUND(D3586*J3586*(1-N(F3586)),2),0))</f>
        <v/>
      </c>
      <c r="M3586" s="62" t="str">
        <f>IF(A3586="","",IFERROR(INDEX(fa_cname,MATCH(A3586,fa_num,0))&amp;"",""))</f>
        <v/>
      </c>
      <c r="N3586" s="59" t="str">
        <f>IF(COUNTA(A3586:G3586)=0,"",IF(A3586="","N° facture manquant",IF(ISNA(MATCH(A3586,fa_num,0)),"Facture inconnue",IF(AND(B3586&lt;&gt;"",ISNA(MATCH(B3586,pr_code,0))),"Article inconnu",IF(H3586="","Désignation manquante",IF(OR(NOT(ISNUMBER(D3586)),N(D3586)&lt;=0),"Quantité invalide",IF(J3586="","Prix manquant",IF(OR(NOT(ISNUMBER(J3586)),N(J3586)&lt;0),"Prix invalide",IF(OR(AND(F3586&lt;&gt;"",NOT(ISNUMBER(F3586))),N(F3586)&lt;0,N(F3586)&gt;1),"Remise invalide",IF(K3586="","Taux de TVA manquant",IF(NOT(ISNUMBER(K3586)),"Taux de TVA invalide",IF(COUNTIF(p_rates,K3586)=0,"Taux de TVA hors liste (Paramètres)",IF(N(O3586)&gt;25,"Au-delà de 25 lignes : non imprimée","OK")))))))))))))</f>
        <v/>
      </c>
      <c r="O3586" s="59" t="str">
        <f>IF(A3586="","",COUNTIF($A$6:A3586,A3586))</f>
        <v/>
      </c>
      <c r="P3586" s="62" t="str">
        <f>IF(A3586="","",A3586&amp;"|"&amp;O3586)</f>
        <v/>
      </c>
    </row>
    <row r="3587">
      <c r="A3587" s="60" t="n"/>
      <c r="B3587" s="63" t="n"/>
      <c r="C3587" s="63" t="n"/>
      <c r="D3587" s="67" t="n"/>
      <c r="E3587" s="68" t="n"/>
      <c r="F3587" s="69" t="n"/>
      <c r="G3587" s="70" t="n"/>
      <c r="H3587" s="62" t="str">
        <f>IF(COUNTA(A3587:G3587)=0,"",IF(C3587&lt;&gt;"",C3587,IF(B3587="","",IFERROR(INDEX(pr_des,MATCH(B3587,pr_code,0))&amp;"",""))))</f>
        <v/>
      </c>
      <c r="I3587" s="59" t="str">
        <f>IF(B3587="","",IFERROR(INDEX(pr_unit,MATCH(B3587,pr_code,0))&amp;"",""))</f>
        <v/>
      </c>
      <c r="J3587" s="65" t="str">
        <f>IF(COUNTA(A3587:G3587)=0,"",IF(E3587&lt;&gt;"",E3587,IF(B3587="","",IFERROR(IF(INDEX(pr_price,MATCH(B3587,pr_code,0))="","",INDEX(pr_price,MATCH(B3587,pr_code,0))),""))))</f>
        <v/>
      </c>
      <c r="K3587" s="71" t="str">
        <f>IF(COUNTA(A3587:G3587)=0,"",IF(G3587&lt;&gt;"",G3587,IF(B3587="","",IFERROR(IF(INDEX(pr_rate,MATCH(B3587,pr_code,0))="","",INDEX(pr_rate,MATCH(B3587,pr_code,0))),""))))</f>
        <v/>
      </c>
      <c r="L3587" s="65" t="str">
        <f>IF(COUNTA(A3587:G3587)=0,"",IF(AND(ISNUMBER(D3587),ISNUMBER(J3587)),ROUND(D3587*J3587*(1-N(F3587)),2),0))</f>
        <v/>
      </c>
      <c r="M3587" s="62" t="str">
        <f>IF(A3587="","",IFERROR(INDEX(fa_cname,MATCH(A3587,fa_num,0))&amp;"",""))</f>
        <v/>
      </c>
      <c r="N3587" s="59" t="str">
        <f>IF(COUNTA(A3587:G3587)=0,"",IF(A3587="","N° facture manquant",IF(ISNA(MATCH(A3587,fa_num,0)),"Facture inconnue",IF(AND(B3587&lt;&gt;"",ISNA(MATCH(B3587,pr_code,0))),"Article inconnu",IF(H3587="","Désignation manquante",IF(OR(NOT(ISNUMBER(D3587)),N(D3587)&lt;=0),"Quantité invalide",IF(J3587="","Prix manquant",IF(OR(NOT(ISNUMBER(J3587)),N(J3587)&lt;0),"Prix invalide",IF(OR(AND(F3587&lt;&gt;"",NOT(ISNUMBER(F3587))),N(F3587)&lt;0,N(F3587)&gt;1),"Remise invalide",IF(K3587="","Taux de TVA manquant",IF(NOT(ISNUMBER(K3587)),"Taux de TVA invalide",IF(COUNTIF(p_rates,K3587)=0,"Taux de TVA hors liste (Paramètres)",IF(N(O3587)&gt;25,"Au-delà de 25 lignes : non imprimée","OK")))))))))))))</f>
        <v/>
      </c>
      <c r="O3587" s="59" t="str">
        <f>IF(A3587="","",COUNTIF($A$6:A3587,A3587))</f>
        <v/>
      </c>
      <c r="P3587" s="62" t="str">
        <f>IF(A3587="","",A3587&amp;"|"&amp;O3587)</f>
        <v/>
      </c>
    </row>
    <row r="3588">
      <c r="A3588" s="60" t="n"/>
      <c r="B3588" s="63" t="n"/>
      <c r="C3588" s="63" t="n"/>
      <c r="D3588" s="67" t="n"/>
      <c r="E3588" s="68" t="n"/>
      <c r="F3588" s="69" t="n"/>
      <c r="G3588" s="70" t="n"/>
      <c r="H3588" s="62" t="str">
        <f>IF(COUNTA(A3588:G3588)=0,"",IF(C3588&lt;&gt;"",C3588,IF(B3588="","",IFERROR(INDEX(pr_des,MATCH(B3588,pr_code,0))&amp;"",""))))</f>
        <v/>
      </c>
      <c r="I3588" s="59" t="str">
        <f>IF(B3588="","",IFERROR(INDEX(pr_unit,MATCH(B3588,pr_code,0))&amp;"",""))</f>
        <v/>
      </c>
      <c r="J3588" s="65" t="str">
        <f>IF(COUNTA(A3588:G3588)=0,"",IF(E3588&lt;&gt;"",E3588,IF(B3588="","",IFERROR(IF(INDEX(pr_price,MATCH(B3588,pr_code,0))="","",INDEX(pr_price,MATCH(B3588,pr_code,0))),""))))</f>
        <v/>
      </c>
      <c r="K3588" s="71" t="str">
        <f>IF(COUNTA(A3588:G3588)=0,"",IF(G3588&lt;&gt;"",G3588,IF(B3588="","",IFERROR(IF(INDEX(pr_rate,MATCH(B3588,pr_code,0))="","",INDEX(pr_rate,MATCH(B3588,pr_code,0))),""))))</f>
        <v/>
      </c>
      <c r="L3588" s="65" t="str">
        <f>IF(COUNTA(A3588:G3588)=0,"",IF(AND(ISNUMBER(D3588),ISNUMBER(J3588)),ROUND(D3588*J3588*(1-N(F3588)),2),0))</f>
        <v/>
      </c>
      <c r="M3588" s="62" t="str">
        <f>IF(A3588="","",IFERROR(INDEX(fa_cname,MATCH(A3588,fa_num,0))&amp;"",""))</f>
        <v/>
      </c>
      <c r="N3588" s="59" t="str">
        <f>IF(COUNTA(A3588:G3588)=0,"",IF(A3588="","N° facture manquant",IF(ISNA(MATCH(A3588,fa_num,0)),"Facture inconnue",IF(AND(B3588&lt;&gt;"",ISNA(MATCH(B3588,pr_code,0))),"Article inconnu",IF(H3588="","Désignation manquante",IF(OR(NOT(ISNUMBER(D3588)),N(D3588)&lt;=0),"Quantité invalide",IF(J3588="","Prix manquant",IF(OR(NOT(ISNUMBER(J3588)),N(J3588)&lt;0),"Prix invalide",IF(OR(AND(F3588&lt;&gt;"",NOT(ISNUMBER(F3588))),N(F3588)&lt;0,N(F3588)&gt;1),"Remise invalide",IF(K3588="","Taux de TVA manquant",IF(NOT(ISNUMBER(K3588)),"Taux de TVA invalide",IF(COUNTIF(p_rates,K3588)=0,"Taux de TVA hors liste (Paramètres)",IF(N(O3588)&gt;25,"Au-delà de 25 lignes : non imprimée","OK")))))))))))))</f>
        <v/>
      </c>
      <c r="O3588" s="59" t="str">
        <f>IF(A3588="","",COUNTIF($A$6:A3588,A3588))</f>
        <v/>
      </c>
      <c r="P3588" s="62" t="str">
        <f>IF(A3588="","",A3588&amp;"|"&amp;O3588)</f>
        <v/>
      </c>
    </row>
    <row r="3589">
      <c r="A3589" s="60" t="n"/>
      <c r="B3589" s="63" t="n"/>
      <c r="C3589" s="63" t="n"/>
      <c r="D3589" s="67" t="n"/>
      <c r="E3589" s="68" t="n"/>
      <c r="F3589" s="69" t="n"/>
      <c r="G3589" s="70" t="n"/>
      <c r="H3589" s="62" t="str">
        <f>IF(COUNTA(A3589:G3589)=0,"",IF(C3589&lt;&gt;"",C3589,IF(B3589="","",IFERROR(INDEX(pr_des,MATCH(B3589,pr_code,0))&amp;"",""))))</f>
        <v/>
      </c>
      <c r="I3589" s="59" t="str">
        <f>IF(B3589="","",IFERROR(INDEX(pr_unit,MATCH(B3589,pr_code,0))&amp;"",""))</f>
        <v/>
      </c>
      <c r="J3589" s="65" t="str">
        <f>IF(COUNTA(A3589:G3589)=0,"",IF(E3589&lt;&gt;"",E3589,IF(B3589="","",IFERROR(IF(INDEX(pr_price,MATCH(B3589,pr_code,0))="","",INDEX(pr_price,MATCH(B3589,pr_code,0))),""))))</f>
        <v/>
      </c>
      <c r="K3589" s="71" t="str">
        <f>IF(COUNTA(A3589:G3589)=0,"",IF(G3589&lt;&gt;"",G3589,IF(B3589="","",IFERROR(IF(INDEX(pr_rate,MATCH(B3589,pr_code,0))="","",INDEX(pr_rate,MATCH(B3589,pr_code,0))),""))))</f>
        <v/>
      </c>
      <c r="L3589" s="65" t="str">
        <f>IF(COUNTA(A3589:G3589)=0,"",IF(AND(ISNUMBER(D3589),ISNUMBER(J3589)),ROUND(D3589*J3589*(1-N(F3589)),2),0))</f>
        <v/>
      </c>
      <c r="M3589" s="62" t="str">
        <f>IF(A3589="","",IFERROR(INDEX(fa_cname,MATCH(A3589,fa_num,0))&amp;"",""))</f>
        <v/>
      </c>
      <c r="N3589" s="59" t="str">
        <f>IF(COUNTA(A3589:G3589)=0,"",IF(A3589="","N° facture manquant",IF(ISNA(MATCH(A3589,fa_num,0)),"Facture inconnue",IF(AND(B3589&lt;&gt;"",ISNA(MATCH(B3589,pr_code,0))),"Article inconnu",IF(H3589="","Désignation manquante",IF(OR(NOT(ISNUMBER(D3589)),N(D3589)&lt;=0),"Quantité invalide",IF(J3589="","Prix manquant",IF(OR(NOT(ISNUMBER(J3589)),N(J3589)&lt;0),"Prix invalide",IF(OR(AND(F3589&lt;&gt;"",NOT(ISNUMBER(F3589))),N(F3589)&lt;0,N(F3589)&gt;1),"Remise invalide",IF(K3589="","Taux de TVA manquant",IF(NOT(ISNUMBER(K3589)),"Taux de TVA invalide",IF(COUNTIF(p_rates,K3589)=0,"Taux de TVA hors liste (Paramètres)",IF(N(O3589)&gt;25,"Au-delà de 25 lignes : non imprimée","OK")))))))))))))</f>
        <v/>
      </c>
      <c r="O3589" s="59" t="str">
        <f>IF(A3589="","",COUNTIF($A$6:A3589,A3589))</f>
        <v/>
      </c>
      <c r="P3589" s="62" t="str">
        <f>IF(A3589="","",A3589&amp;"|"&amp;O3589)</f>
        <v/>
      </c>
    </row>
    <row r="3590">
      <c r="A3590" s="60" t="n"/>
      <c r="B3590" s="63" t="n"/>
      <c r="C3590" s="63" t="n"/>
      <c r="D3590" s="67" t="n"/>
      <c r="E3590" s="68" t="n"/>
      <c r="F3590" s="69" t="n"/>
      <c r="G3590" s="70" t="n"/>
      <c r="H3590" s="62" t="str">
        <f>IF(COUNTA(A3590:G3590)=0,"",IF(C3590&lt;&gt;"",C3590,IF(B3590="","",IFERROR(INDEX(pr_des,MATCH(B3590,pr_code,0))&amp;"",""))))</f>
        <v/>
      </c>
      <c r="I3590" s="59" t="str">
        <f>IF(B3590="","",IFERROR(INDEX(pr_unit,MATCH(B3590,pr_code,0))&amp;"",""))</f>
        <v/>
      </c>
      <c r="J3590" s="65" t="str">
        <f>IF(COUNTA(A3590:G3590)=0,"",IF(E3590&lt;&gt;"",E3590,IF(B3590="","",IFERROR(IF(INDEX(pr_price,MATCH(B3590,pr_code,0))="","",INDEX(pr_price,MATCH(B3590,pr_code,0))),""))))</f>
        <v/>
      </c>
      <c r="K3590" s="71" t="str">
        <f>IF(COUNTA(A3590:G3590)=0,"",IF(G3590&lt;&gt;"",G3590,IF(B3590="","",IFERROR(IF(INDEX(pr_rate,MATCH(B3590,pr_code,0))="","",INDEX(pr_rate,MATCH(B3590,pr_code,0))),""))))</f>
        <v/>
      </c>
      <c r="L3590" s="65" t="str">
        <f>IF(COUNTA(A3590:G3590)=0,"",IF(AND(ISNUMBER(D3590),ISNUMBER(J3590)),ROUND(D3590*J3590*(1-N(F3590)),2),0))</f>
        <v/>
      </c>
      <c r="M3590" s="62" t="str">
        <f>IF(A3590="","",IFERROR(INDEX(fa_cname,MATCH(A3590,fa_num,0))&amp;"",""))</f>
        <v/>
      </c>
      <c r="N3590" s="59" t="str">
        <f>IF(COUNTA(A3590:G3590)=0,"",IF(A3590="","N° facture manquant",IF(ISNA(MATCH(A3590,fa_num,0)),"Facture inconnue",IF(AND(B3590&lt;&gt;"",ISNA(MATCH(B3590,pr_code,0))),"Article inconnu",IF(H3590="","Désignation manquante",IF(OR(NOT(ISNUMBER(D3590)),N(D3590)&lt;=0),"Quantité invalide",IF(J3590="","Prix manquant",IF(OR(NOT(ISNUMBER(J3590)),N(J3590)&lt;0),"Prix invalide",IF(OR(AND(F3590&lt;&gt;"",NOT(ISNUMBER(F3590))),N(F3590)&lt;0,N(F3590)&gt;1),"Remise invalide",IF(K3590="","Taux de TVA manquant",IF(NOT(ISNUMBER(K3590)),"Taux de TVA invalide",IF(COUNTIF(p_rates,K3590)=0,"Taux de TVA hors liste (Paramètres)",IF(N(O3590)&gt;25,"Au-delà de 25 lignes : non imprimée","OK")))))))))))))</f>
        <v/>
      </c>
      <c r="O3590" s="59" t="str">
        <f>IF(A3590="","",COUNTIF($A$6:A3590,A3590))</f>
        <v/>
      </c>
      <c r="P3590" s="62" t="str">
        <f>IF(A3590="","",A3590&amp;"|"&amp;O3590)</f>
        <v/>
      </c>
    </row>
    <row r="3591">
      <c r="A3591" s="60" t="n"/>
      <c r="B3591" s="63" t="n"/>
      <c r="C3591" s="63" t="n"/>
      <c r="D3591" s="67" t="n"/>
      <c r="E3591" s="68" t="n"/>
      <c r="F3591" s="69" t="n"/>
      <c r="G3591" s="70" t="n"/>
      <c r="H3591" s="62" t="str">
        <f>IF(COUNTA(A3591:G3591)=0,"",IF(C3591&lt;&gt;"",C3591,IF(B3591="","",IFERROR(INDEX(pr_des,MATCH(B3591,pr_code,0))&amp;"",""))))</f>
        <v/>
      </c>
      <c r="I3591" s="59" t="str">
        <f>IF(B3591="","",IFERROR(INDEX(pr_unit,MATCH(B3591,pr_code,0))&amp;"",""))</f>
        <v/>
      </c>
      <c r="J3591" s="65" t="str">
        <f>IF(COUNTA(A3591:G3591)=0,"",IF(E3591&lt;&gt;"",E3591,IF(B3591="","",IFERROR(IF(INDEX(pr_price,MATCH(B3591,pr_code,0))="","",INDEX(pr_price,MATCH(B3591,pr_code,0))),""))))</f>
        <v/>
      </c>
      <c r="K3591" s="71" t="str">
        <f>IF(COUNTA(A3591:G3591)=0,"",IF(G3591&lt;&gt;"",G3591,IF(B3591="","",IFERROR(IF(INDEX(pr_rate,MATCH(B3591,pr_code,0))="","",INDEX(pr_rate,MATCH(B3591,pr_code,0))),""))))</f>
        <v/>
      </c>
      <c r="L3591" s="65" t="str">
        <f>IF(COUNTA(A3591:G3591)=0,"",IF(AND(ISNUMBER(D3591),ISNUMBER(J3591)),ROUND(D3591*J3591*(1-N(F3591)),2),0))</f>
        <v/>
      </c>
      <c r="M3591" s="62" t="str">
        <f>IF(A3591="","",IFERROR(INDEX(fa_cname,MATCH(A3591,fa_num,0))&amp;"",""))</f>
        <v/>
      </c>
      <c r="N3591" s="59" t="str">
        <f>IF(COUNTA(A3591:G3591)=0,"",IF(A3591="","N° facture manquant",IF(ISNA(MATCH(A3591,fa_num,0)),"Facture inconnue",IF(AND(B3591&lt;&gt;"",ISNA(MATCH(B3591,pr_code,0))),"Article inconnu",IF(H3591="","Désignation manquante",IF(OR(NOT(ISNUMBER(D3591)),N(D3591)&lt;=0),"Quantité invalide",IF(J3591="","Prix manquant",IF(OR(NOT(ISNUMBER(J3591)),N(J3591)&lt;0),"Prix invalide",IF(OR(AND(F3591&lt;&gt;"",NOT(ISNUMBER(F3591))),N(F3591)&lt;0,N(F3591)&gt;1),"Remise invalide",IF(K3591="","Taux de TVA manquant",IF(NOT(ISNUMBER(K3591)),"Taux de TVA invalide",IF(COUNTIF(p_rates,K3591)=0,"Taux de TVA hors liste (Paramètres)",IF(N(O3591)&gt;25,"Au-delà de 25 lignes : non imprimée","OK")))))))))))))</f>
        <v/>
      </c>
      <c r="O3591" s="59" t="str">
        <f>IF(A3591="","",COUNTIF($A$6:A3591,A3591))</f>
        <v/>
      </c>
      <c r="P3591" s="62" t="str">
        <f>IF(A3591="","",A3591&amp;"|"&amp;O3591)</f>
        <v/>
      </c>
    </row>
    <row r="3592">
      <c r="A3592" s="60" t="n"/>
      <c r="B3592" s="63" t="n"/>
      <c r="C3592" s="63" t="n"/>
      <c r="D3592" s="67" t="n"/>
      <c r="E3592" s="68" t="n"/>
      <c r="F3592" s="69" t="n"/>
      <c r="G3592" s="70" t="n"/>
      <c r="H3592" s="62" t="str">
        <f>IF(COUNTA(A3592:G3592)=0,"",IF(C3592&lt;&gt;"",C3592,IF(B3592="","",IFERROR(INDEX(pr_des,MATCH(B3592,pr_code,0))&amp;"",""))))</f>
        <v/>
      </c>
      <c r="I3592" s="59" t="str">
        <f>IF(B3592="","",IFERROR(INDEX(pr_unit,MATCH(B3592,pr_code,0))&amp;"",""))</f>
        <v/>
      </c>
      <c r="J3592" s="65" t="str">
        <f>IF(COUNTA(A3592:G3592)=0,"",IF(E3592&lt;&gt;"",E3592,IF(B3592="","",IFERROR(IF(INDEX(pr_price,MATCH(B3592,pr_code,0))="","",INDEX(pr_price,MATCH(B3592,pr_code,0))),""))))</f>
        <v/>
      </c>
      <c r="K3592" s="71" t="str">
        <f>IF(COUNTA(A3592:G3592)=0,"",IF(G3592&lt;&gt;"",G3592,IF(B3592="","",IFERROR(IF(INDEX(pr_rate,MATCH(B3592,pr_code,0))="","",INDEX(pr_rate,MATCH(B3592,pr_code,0))),""))))</f>
        <v/>
      </c>
      <c r="L3592" s="65" t="str">
        <f>IF(COUNTA(A3592:G3592)=0,"",IF(AND(ISNUMBER(D3592),ISNUMBER(J3592)),ROUND(D3592*J3592*(1-N(F3592)),2),0))</f>
        <v/>
      </c>
      <c r="M3592" s="62" t="str">
        <f>IF(A3592="","",IFERROR(INDEX(fa_cname,MATCH(A3592,fa_num,0))&amp;"",""))</f>
        <v/>
      </c>
      <c r="N3592" s="59" t="str">
        <f>IF(COUNTA(A3592:G3592)=0,"",IF(A3592="","N° facture manquant",IF(ISNA(MATCH(A3592,fa_num,0)),"Facture inconnue",IF(AND(B3592&lt;&gt;"",ISNA(MATCH(B3592,pr_code,0))),"Article inconnu",IF(H3592="","Désignation manquante",IF(OR(NOT(ISNUMBER(D3592)),N(D3592)&lt;=0),"Quantité invalide",IF(J3592="","Prix manquant",IF(OR(NOT(ISNUMBER(J3592)),N(J3592)&lt;0),"Prix invalide",IF(OR(AND(F3592&lt;&gt;"",NOT(ISNUMBER(F3592))),N(F3592)&lt;0,N(F3592)&gt;1),"Remise invalide",IF(K3592="","Taux de TVA manquant",IF(NOT(ISNUMBER(K3592)),"Taux de TVA invalide",IF(COUNTIF(p_rates,K3592)=0,"Taux de TVA hors liste (Paramètres)",IF(N(O3592)&gt;25,"Au-delà de 25 lignes : non imprimée","OK")))))))))))))</f>
        <v/>
      </c>
      <c r="O3592" s="59" t="str">
        <f>IF(A3592="","",COUNTIF($A$6:A3592,A3592))</f>
        <v/>
      </c>
      <c r="P3592" s="62" t="str">
        <f>IF(A3592="","",A3592&amp;"|"&amp;O3592)</f>
        <v/>
      </c>
    </row>
    <row r="3593">
      <c r="A3593" s="60" t="n"/>
      <c r="B3593" s="63" t="n"/>
      <c r="C3593" s="63" t="n"/>
      <c r="D3593" s="67" t="n"/>
      <c r="E3593" s="68" t="n"/>
      <c r="F3593" s="69" t="n"/>
      <c r="G3593" s="70" t="n"/>
      <c r="H3593" s="62" t="str">
        <f>IF(COUNTA(A3593:G3593)=0,"",IF(C3593&lt;&gt;"",C3593,IF(B3593="","",IFERROR(INDEX(pr_des,MATCH(B3593,pr_code,0))&amp;"",""))))</f>
        <v/>
      </c>
      <c r="I3593" s="59" t="str">
        <f>IF(B3593="","",IFERROR(INDEX(pr_unit,MATCH(B3593,pr_code,0))&amp;"",""))</f>
        <v/>
      </c>
      <c r="J3593" s="65" t="str">
        <f>IF(COUNTA(A3593:G3593)=0,"",IF(E3593&lt;&gt;"",E3593,IF(B3593="","",IFERROR(IF(INDEX(pr_price,MATCH(B3593,pr_code,0))="","",INDEX(pr_price,MATCH(B3593,pr_code,0))),""))))</f>
        <v/>
      </c>
      <c r="K3593" s="71" t="str">
        <f>IF(COUNTA(A3593:G3593)=0,"",IF(G3593&lt;&gt;"",G3593,IF(B3593="","",IFERROR(IF(INDEX(pr_rate,MATCH(B3593,pr_code,0))="","",INDEX(pr_rate,MATCH(B3593,pr_code,0))),""))))</f>
        <v/>
      </c>
      <c r="L3593" s="65" t="str">
        <f>IF(COUNTA(A3593:G3593)=0,"",IF(AND(ISNUMBER(D3593),ISNUMBER(J3593)),ROUND(D3593*J3593*(1-N(F3593)),2),0))</f>
        <v/>
      </c>
      <c r="M3593" s="62" t="str">
        <f>IF(A3593="","",IFERROR(INDEX(fa_cname,MATCH(A3593,fa_num,0))&amp;"",""))</f>
        <v/>
      </c>
      <c r="N3593" s="59" t="str">
        <f>IF(COUNTA(A3593:G3593)=0,"",IF(A3593="","N° facture manquant",IF(ISNA(MATCH(A3593,fa_num,0)),"Facture inconnue",IF(AND(B3593&lt;&gt;"",ISNA(MATCH(B3593,pr_code,0))),"Article inconnu",IF(H3593="","Désignation manquante",IF(OR(NOT(ISNUMBER(D3593)),N(D3593)&lt;=0),"Quantité invalide",IF(J3593="","Prix manquant",IF(OR(NOT(ISNUMBER(J3593)),N(J3593)&lt;0),"Prix invalide",IF(OR(AND(F3593&lt;&gt;"",NOT(ISNUMBER(F3593))),N(F3593)&lt;0,N(F3593)&gt;1),"Remise invalide",IF(K3593="","Taux de TVA manquant",IF(NOT(ISNUMBER(K3593)),"Taux de TVA invalide",IF(COUNTIF(p_rates,K3593)=0,"Taux de TVA hors liste (Paramètres)",IF(N(O3593)&gt;25,"Au-delà de 25 lignes : non imprimée","OK")))))))))))))</f>
        <v/>
      </c>
      <c r="O3593" s="59" t="str">
        <f>IF(A3593="","",COUNTIF($A$6:A3593,A3593))</f>
        <v/>
      </c>
      <c r="P3593" s="62" t="str">
        <f>IF(A3593="","",A3593&amp;"|"&amp;O3593)</f>
        <v/>
      </c>
    </row>
    <row r="3594">
      <c r="A3594" s="60" t="n"/>
      <c r="B3594" s="63" t="n"/>
      <c r="C3594" s="63" t="n"/>
      <c r="D3594" s="67" t="n"/>
      <c r="E3594" s="68" t="n"/>
      <c r="F3594" s="69" t="n"/>
      <c r="G3594" s="70" t="n"/>
      <c r="H3594" s="62" t="str">
        <f>IF(COUNTA(A3594:G3594)=0,"",IF(C3594&lt;&gt;"",C3594,IF(B3594="","",IFERROR(INDEX(pr_des,MATCH(B3594,pr_code,0))&amp;"",""))))</f>
        <v/>
      </c>
      <c r="I3594" s="59" t="str">
        <f>IF(B3594="","",IFERROR(INDEX(pr_unit,MATCH(B3594,pr_code,0))&amp;"",""))</f>
        <v/>
      </c>
      <c r="J3594" s="65" t="str">
        <f>IF(COUNTA(A3594:G3594)=0,"",IF(E3594&lt;&gt;"",E3594,IF(B3594="","",IFERROR(IF(INDEX(pr_price,MATCH(B3594,pr_code,0))="","",INDEX(pr_price,MATCH(B3594,pr_code,0))),""))))</f>
        <v/>
      </c>
      <c r="K3594" s="71" t="str">
        <f>IF(COUNTA(A3594:G3594)=0,"",IF(G3594&lt;&gt;"",G3594,IF(B3594="","",IFERROR(IF(INDEX(pr_rate,MATCH(B3594,pr_code,0))="","",INDEX(pr_rate,MATCH(B3594,pr_code,0))),""))))</f>
        <v/>
      </c>
      <c r="L3594" s="65" t="str">
        <f>IF(COUNTA(A3594:G3594)=0,"",IF(AND(ISNUMBER(D3594),ISNUMBER(J3594)),ROUND(D3594*J3594*(1-N(F3594)),2),0))</f>
        <v/>
      </c>
      <c r="M3594" s="62" t="str">
        <f>IF(A3594="","",IFERROR(INDEX(fa_cname,MATCH(A3594,fa_num,0))&amp;"",""))</f>
        <v/>
      </c>
      <c r="N3594" s="59" t="str">
        <f>IF(COUNTA(A3594:G3594)=0,"",IF(A3594="","N° facture manquant",IF(ISNA(MATCH(A3594,fa_num,0)),"Facture inconnue",IF(AND(B3594&lt;&gt;"",ISNA(MATCH(B3594,pr_code,0))),"Article inconnu",IF(H3594="","Désignation manquante",IF(OR(NOT(ISNUMBER(D3594)),N(D3594)&lt;=0),"Quantité invalide",IF(J3594="","Prix manquant",IF(OR(NOT(ISNUMBER(J3594)),N(J3594)&lt;0),"Prix invalide",IF(OR(AND(F3594&lt;&gt;"",NOT(ISNUMBER(F3594))),N(F3594)&lt;0,N(F3594)&gt;1),"Remise invalide",IF(K3594="","Taux de TVA manquant",IF(NOT(ISNUMBER(K3594)),"Taux de TVA invalide",IF(COUNTIF(p_rates,K3594)=0,"Taux de TVA hors liste (Paramètres)",IF(N(O3594)&gt;25,"Au-delà de 25 lignes : non imprimée","OK")))))))))))))</f>
        <v/>
      </c>
      <c r="O3594" s="59" t="str">
        <f>IF(A3594="","",COUNTIF($A$6:A3594,A3594))</f>
        <v/>
      </c>
      <c r="P3594" s="62" t="str">
        <f>IF(A3594="","",A3594&amp;"|"&amp;O3594)</f>
        <v/>
      </c>
    </row>
    <row r="3595">
      <c r="A3595" s="60" t="n"/>
      <c r="B3595" s="63" t="n"/>
      <c r="C3595" s="63" t="n"/>
      <c r="D3595" s="67" t="n"/>
      <c r="E3595" s="68" t="n"/>
      <c r="F3595" s="69" t="n"/>
      <c r="G3595" s="70" t="n"/>
      <c r="H3595" s="62" t="str">
        <f>IF(COUNTA(A3595:G3595)=0,"",IF(C3595&lt;&gt;"",C3595,IF(B3595="","",IFERROR(INDEX(pr_des,MATCH(B3595,pr_code,0))&amp;"",""))))</f>
        <v/>
      </c>
      <c r="I3595" s="59" t="str">
        <f>IF(B3595="","",IFERROR(INDEX(pr_unit,MATCH(B3595,pr_code,0))&amp;"",""))</f>
        <v/>
      </c>
      <c r="J3595" s="65" t="str">
        <f>IF(COUNTA(A3595:G3595)=0,"",IF(E3595&lt;&gt;"",E3595,IF(B3595="","",IFERROR(IF(INDEX(pr_price,MATCH(B3595,pr_code,0))="","",INDEX(pr_price,MATCH(B3595,pr_code,0))),""))))</f>
        <v/>
      </c>
      <c r="K3595" s="71" t="str">
        <f>IF(COUNTA(A3595:G3595)=0,"",IF(G3595&lt;&gt;"",G3595,IF(B3595="","",IFERROR(IF(INDEX(pr_rate,MATCH(B3595,pr_code,0))="","",INDEX(pr_rate,MATCH(B3595,pr_code,0))),""))))</f>
        <v/>
      </c>
      <c r="L3595" s="65" t="str">
        <f>IF(COUNTA(A3595:G3595)=0,"",IF(AND(ISNUMBER(D3595),ISNUMBER(J3595)),ROUND(D3595*J3595*(1-N(F3595)),2),0))</f>
        <v/>
      </c>
      <c r="M3595" s="62" t="str">
        <f>IF(A3595="","",IFERROR(INDEX(fa_cname,MATCH(A3595,fa_num,0))&amp;"",""))</f>
        <v/>
      </c>
      <c r="N3595" s="59" t="str">
        <f>IF(COUNTA(A3595:G3595)=0,"",IF(A3595="","N° facture manquant",IF(ISNA(MATCH(A3595,fa_num,0)),"Facture inconnue",IF(AND(B3595&lt;&gt;"",ISNA(MATCH(B3595,pr_code,0))),"Article inconnu",IF(H3595="","Désignation manquante",IF(OR(NOT(ISNUMBER(D3595)),N(D3595)&lt;=0),"Quantité invalide",IF(J3595="","Prix manquant",IF(OR(NOT(ISNUMBER(J3595)),N(J3595)&lt;0),"Prix invalide",IF(OR(AND(F3595&lt;&gt;"",NOT(ISNUMBER(F3595))),N(F3595)&lt;0,N(F3595)&gt;1),"Remise invalide",IF(K3595="","Taux de TVA manquant",IF(NOT(ISNUMBER(K3595)),"Taux de TVA invalide",IF(COUNTIF(p_rates,K3595)=0,"Taux de TVA hors liste (Paramètres)",IF(N(O3595)&gt;25,"Au-delà de 25 lignes : non imprimée","OK")))))))))))))</f>
        <v/>
      </c>
      <c r="O3595" s="59" t="str">
        <f>IF(A3595="","",COUNTIF($A$6:A3595,A3595))</f>
        <v/>
      </c>
      <c r="P3595" s="62" t="str">
        <f>IF(A3595="","",A3595&amp;"|"&amp;O3595)</f>
        <v/>
      </c>
    </row>
    <row r="3596">
      <c r="A3596" s="60" t="n"/>
      <c r="B3596" s="63" t="n"/>
      <c r="C3596" s="63" t="n"/>
      <c r="D3596" s="67" t="n"/>
      <c r="E3596" s="68" t="n"/>
      <c r="F3596" s="69" t="n"/>
      <c r="G3596" s="70" t="n"/>
      <c r="H3596" s="62" t="str">
        <f>IF(COUNTA(A3596:G3596)=0,"",IF(C3596&lt;&gt;"",C3596,IF(B3596="","",IFERROR(INDEX(pr_des,MATCH(B3596,pr_code,0))&amp;"",""))))</f>
        <v/>
      </c>
      <c r="I3596" s="59" t="str">
        <f>IF(B3596="","",IFERROR(INDEX(pr_unit,MATCH(B3596,pr_code,0))&amp;"",""))</f>
        <v/>
      </c>
      <c r="J3596" s="65" t="str">
        <f>IF(COUNTA(A3596:G3596)=0,"",IF(E3596&lt;&gt;"",E3596,IF(B3596="","",IFERROR(IF(INDEX(pr_price,MATCH(B3596,pr_code,0))="","",INDEX(pr_price,MATCH(B3596,pr_code,0))),""))))</f>
        <v/>
      </c>
      <c r="K3596" s="71" t="str">
        <f>IF(COUNTA(A3596:G3596)=0,"",IF(G3596&lt;&gt;"",G3596,IF(B3596="","",IFERROR(IF(INDEX(pr_rate,MATCH(B3596,pr_code,0))="","",INDEX(pr_rate,MATCH(B3596,pr_code,0))),""))))</f>
        <v/>
      </c>
      <c r="L3596" s="65" t="str">
        <f>IF(COUNTA(A3596:G3596)=0,"",IF(AND(ISNUMBER(D3596),ISNUMBER(J3596)),ROUND(D3596*J3596*(1-N(F3596)),2),0))</f>
        <v/>
      </c>
      <c r="M3596" s="62" t="str">
        <f>IF(A3596="","",IFERROR(INDEX(fa_cname,MATCH(A3596,fa_num,0))&amp;"",""))</f>
        <v/>
      </c>
      <c r="N3596" s="59" t="str">
        <f>IF(COUNTA(A3596:G3596)=0,"",IF(A3596="","N° facture manquant",IF(ISNA(MATCH(A3596,fa_num,0)),"Facture inconnue",IF(AND(B3596&lt;&gt;"",ISNA(MATCH(B3596,pr_code,0))),"Article inconnu",IF(H3596="","Désignation manquante",IF(OR(NOT(ISNUMBER(D3596)),N(D3596)&lt;=0),"Quantité invalide",IF(J3596="","Prix manquant",IF(OR(NOT(ISNUMBER(J3596)),N(J3596)&lt;0),"Prix invalide",IF(OR(AND(F3596&lt;&gt;"",NOT(ISNUMBER(F3596))),N(F3596)&lt;0,N(F3596)&gt;1),"Remise invalide",IF(K3596="","Taux de TVA manquant",IF(NOT(ISNUMBER(K3596)),"Taux de TVA invalide",IF(COUNTIF(p_rates,K3596)=0,"Taux de TVA hors liste (Paramètres)",IF(N(O3596)&gt;25,"Au-delà de 25 lignes : non imprimée","OK")))))))))))))</f>
        <v/>
      </c>
      <c r="O3596" s="59" t="str">
        <f>IF(A3596="","",COUNTIF($A$6:A3596,A3596))</f>
        <v/>
      </c>
      <c r="P3596" s="62" t="str">
        <f>IF(A3596="","",A3596&amp;"|"&amp;O3596)</f>
        <v/>
      </c>
    </row>
    <row r="3597">
      <c r="A3597" s="60" t="n"/>
      <c r="B3597" s="63" t="n"/>
      <c r="C3597" s="63" t="n"/>
      <c r="D3597" s="67" t="n"/>
      <c r="E3597" s="68" t="n"/>
      <c r="F3597" s="69" t="n"/>
      <c r="G3597" s="70" t="n"/>
      <c r="H3597" s="62" t="str">
        <f>IF(COUNTA(A3597:G3597)=0,"",IF(C3597&lt;&gt;"",C3597,IF(B3597="","",IFERROR(INDEX(pr_des,MATCH(B3597,pr_code,0))&amp;"",""))))</f>
        <v/>
      </c>
      <c r="I3597" s="59" t="str">
        <f>IF(B3597="","",IFERROR(INDEX(pr_unit,MATCH(B3597,pr_code,0))&amp;"",""))</f>
        <v/>
      </c>
      <c r="J3597" s="65" t="str">
        <f>IF(COUNTA(A3597:G3597)=0,"",IF(E3597&lt;&gt;"",E3597,IF(B3597="","",IFERROR(IF(INDEX(pr_price,MATCH(B3597,pr_code,0))="","",INDEX(pr_price,MATCH(B3597,pr_code,0))),""))))</f>
        <v/>
      </c>
      <c r="K3597" s="71" t="str">
        <f>IF(COUNTA(A3597:G3597)=0,"",IF(G3597&lt;&gt;"",G3597,IF(B3597="","",IFERROR(IF(INDEX(pr_rate,MATCH(B3597,pr_code,0))="","",INDEX(pr_rate,MATCH(B3597,pr_code,0))),""))))</f>
        <v/>
      </c>
      <c r="L3597" s="65" t="str">
        <f>IF(COUNTA(A3597:G3597)=0,"",IF(AND(ISNUMBER(D3597),ISNUMBER(J3597)),ROUND(D3597*J3597*(1-N(F3597)),2),0))</f>
        <v/>
      </c>
      <c r="M3597" s="62" t="str">
        <f>IF(A3597="","",IFERROR(INDEX(fa_cname,MATCH(A3597,fa_num,0))&amp;"",""))</f>
        <v/>
      </c>
      <c r="N3597" s="59" t="str">
        <f>IF(COUNTA(A3597:G3597)=0,"",IF(A3597="","N° facture manquant",IF(ISNA(MATCH(A3597,fa_num,0)),"Facture inconnue",IF(AND(B3597&lt;&gt;"",ISNA(MATCH(B3597,pr_code,0))),"Article inconnu",IF(H3597="","Désignation manquante",IF(OR(NOT(ISNUMBER(D3597)),N(D3597)&lt;=0),"Quantité invalide",IF(J3597="","Prix manquant",IF(OR(NOT(ISNUMBER(J3597)),N(J3597)&lt;0),"Prix invalide",IF(OR(AND(F3597&lt;&gt;"",NOT(ISNUMBER(F3597))),N(F3597)&lt;0,N(F3597)&gt;1),"Remise invalide",IF(K3597="","Taux de TVA manquant",IF(NOT(ISNUMBER(K3597)),"Taux de TVA invalide",IF(COUNTIF(p_rates,K3597)=0,"Taux de TVA hors liste (Paramètres)",IF(N(O3597)&gt;25,"Au-delà de 25 lignes : non imprimée","OK")))))))))))))</f>
        <v/>
      </c>
      <c r="O3597" s="59" t="str">
        <f>IF(A3597="","",COUNTIF($A$6:A3597,A3597))</f>
        <v/>
      </c>
      <c r="P3597" s="62" t="str">
        <f>IF(A3597="","",A3597&amp;"|"&amp;O3597)</f>
        <v/>
      </c>
    </row>
    <row r="3598">
      <c r="A3598" s="60" t="n"/>
      <c r="B3598" s="63" t="n"/>
      <c r="C3598" s="63" t="n"/>
      <c r="D3598" s="67" t="n"/>
      <c r="E3598" s="68" t="n"/>
      <c r="F3598" s="69" t="n"/>
      <c r="G3598" s="70" t="n"/>
      <c r="H3598" s="62" t="str">
        <f>IF(COUNTA(A3598:G3598)=0,"",IF(C3598&lt;&gt;"",C3598,IF(B3598="","",IFERROR(INDEX(pr_des,MATCH(B3598,pr_code,0))&amp;"",""))))</f>
        <v/>
      </c>
      <c r="I3598" s="59" t="str">
        <f>IF(B3598="","",IFERROR(INDEX(pr_unit,MATCH(B3598,pr_code,0))&amp;"",""))</f>
        <v/>
      </c>
      <c r="J3598" s="65" t="str">
        <f>IF(COUNTA(A3598:G3598)=0,"",IF(E3598&lt;&gt;"",E3598,IF(B3598="","",IFERROR(IF(INDEX(pr_price,MATCH(B3598,pr_code,0))="","",INDEX(pr_price,MATCH(B3598,pr_code,0))),""))))</f>
        <v/>
      </c>
      <c r="K3598" s="71" t="str">
        <f>IF(COUNTA(A3598:G3598)=0,"",IF(G3598&lt;&gt;"",G3598,IF(B3598="","",IFERROR(IF(INDEX(pr_rate,MATCH(B3598,pr_code,0))="","",INDEX(pr_rate,MATCH(B3598,pr_code,0))),""))))</f>
        <v/>
      </c>
      <c r="L3598" s="65" t="str">
        <f>IF(COUNTA(A3598:G3598)=0,"",IF(AND(ISNUMBER(D3598),ISNUMBER(J3598)),ROUND(D3598*J3598*(1-N(F3598)),2),0))</f>
        <v/>
      </c>
      <c r="M3598" s="62" t="str">
        <f>IF(A3598="","",IFERROR(INDEX(fa_cname,MATCH(A3598,fa_num,0))&amp;"",""))</f>
        <v/>
      </c>
      <c r="N3598" s="59" t="str">
        <f>IF(COUNTA(A3598:G3598)=0,"",IF(A3598="","N° facture manquant",IF(ISNA(MATCH(A3598,fa_num,0)),"Facture inconnue",IF(AND(B3598&lt;&gt;"",ISNA(MATCH(B3598,pr_code,0))),"Article inconnu",IF(H3598="","Désignation manquante",IF(OR(NOT(ISNUMBER(D3598)),N(D3598)&lt;=0),"Quantité invalide",IF(J3598="","Prix manquant",IF(OR(NOT(ISNUMBER(J3598)),N(J3598)&lt;0),"Prix invalide",IF(OR(AND(F3598&lt;&gt;"",NOT(ISNUMBER(F3598))),N(F3598)&lt;0,N(F3598)&gt;1),"Remise invalide",IF(K3598="","Taux de TVA manquant",IF(NOT(ISNUMBER(K3598)),"Taux de TVA invalide",IF(COUNTIF(p_rates,K3598)=0,"Taux de TVA hors liste (Paramètres)",IF(N(O3598)&gt;25,"Au-delà de 25 lignes : non imprimée","OK")))))))))))))</f>
        <v/>
      </c>
      <c r="O3598" s="59" t="str">
        <f>IF(A3598="","",COUNTIF($A$6:A3598,A3598))</f>
        <v/>
      </c>
      <c r="P3598" s="62" t="str">
        <f>IF(A3598="","",A3598&amp;"|"&amp;O3598)</f>
        <v/>
      </c>
    </row>
    <row r="3599">
      <c r="A3599" s="60" t="n"/>
      <c r="B3599" s="63" t="n"/>
      <c r="C3599" s="63" t="n"/>
      <c r="D3599" s="67" t="n"/>
      <c r="E3599" s="68" t="n"/>
      <c r="F3599" s="69" t="n"/>
      <c r="G3599" s="70" t="n"/>
      <c r="H3599" s="62" t="str">
        <f>IF(COUNTA(A3599:G3599)=0,"",IF(C3599&lt;&gt;"",C3599,IF(B3599="","",IFERROR(INDEX(pr_des,MATCH(B3599,pr_code,0))&amp;"",""))))</f>
        <v/>
      </c>
      <c r="I3599" s="59" t="str">
        <f>IF(B3599="","",IFERROR(INDEX(pr_unit,MATCH(B3599,pr_code,0))&amp;"",""))</f>
        <v/>
      </c>
      <c r="J3599" s="65" t="str">
        <f>IF(COUNTA(A3599:G3599)=0,"",IF(E3599&lt;&gt;"",E3599,IF(B3599="","",IFERROR(IF(INDEX(pr_price,MATCH(B3599,pr_code,0))="","",INDEX(pr_price,MATCH(B3599,pr_code,0))),""))))</f>
        <v/>
      </c>
      <c r="K3599" s="71" t="str">
        <f>IF(COUNTA(A3599:G3599)=0,"",IF(G3599&lt;&gt;"",G3599,IF(B3599="","",IFERROR(IF(INDEX(pr_rate,MATCH(B3599,pr_code,0))="","",INDEX(pr_rate,MATCH(B3599,pr_code,0))),""))))</f>
        <v/>
      </c>
      <c r="L3599" s="65" t="str">
        <f>IF(COUNTA(A3599:G3599)=0,"",IF(AND(ISNUMBER(D3599),ISNUMBER(J3599)),ROUND(D3599*J3599*(1-N(F3599)),2),0))</f>
        <v/>
      </c>
      <c r="M3599" s="62" t="str">
        <f>IF(A3599="","",IFERROR(INDEX(fa_cname,MATCH(A3599,fa_num,0))&amp;"",""))</f>
        <v/>
      </c>
      <c r="N3599" s="59" t="str">
        <f>IF(COUNTA(A3599:G3599)=0,"",IF(A3599="","N° facture manquant",IF(ISNA(MATCH(A3599,fa_num,0)),"Facture inconnue",IF(AND(B3599&lt;&gt;"",ISNA(MATCH(B3599,pr_code,0))),"Article inconnu",IF(H3599="","Désignation manquante",IF(OR(NOT(ISNUMBER(D3599)),N(D3599)&lt;=0),"Quantité invalide",IF(J3599="","Prix manquant",IF(OR(NOT(ISNUMBER(J3599)),N(J3599)&lt;0),"Prix invalide",IF(OR(AND(F3599&lt;&gt;"",NOT(ISNUMBER(F3599))),N(F3599)&lt;0,N(F3599)&gt;1),"Remise invalide",IF(K3599="","Taux de TVA manquant",IF(NOT(ISNUMBER(K3599)),"Taux de TVA invalide",IF(COUNTIF(p_rates,K3599)=0,"Taux de TVA hors liste (Paramètres)",IF(N(O3599)&gt;25,"Au-delà de 25 lignes : non imprimée","OK")))))))))))))</f>
        <v/>
      </c>
      <c r="O3599" s="59" t="str">
        <f>IF(A3599="","",COUNTIF($A$6:A3599,A3599))</f>
        <v/>
      </c>
      <c r="P3599" s="62" t="str">
        <f>IF(A3599="","",A3599&amp;"|"&amp;O3599)</f>
        <v/>
      </c>
    </row>
    <row r="3600">
      <c r="A3600" s="60" t="n"/>
      <c r="B3600" s="63" t="n"/>
      <c r="C3600" s="63" t="n"/>
      <c r="D3600" s="67" t="n"/>
      <c r="E3600" s="68" t="n"/>
      <c r="F3600" s="69" t="n"/>
      <c r="G3600" s="70" t="n"/>
      <c r="H3600" s="62" t="str">
        <f>IF(COUNTA(A3600:G3600)=0,"",IF(C3600&lt;&gt;"",C3600,IF(B3600="","",IFERROR(INDEX(pr_des,MATCH(B3600,pr_code,0))&amp;"",""))))</f>
        <v/>
      </c>
      <c r="I3600" s="59" t="str">
        <f>IF(B3600="","",IFERROR(INDEX(pr_unit,MATCH(B3600,pr_code,0))&amp;"",""))</f>
        <v/>
      </c>
      <c r="J3600" s="65" t="str">
        <f>IF(COUNTA(A3600:G3600)=0,"",IF(E3600&lt;&gt;"",E3600,IF(B3600="","",IFERROR(IF(INDEX(pr_price,MATCH(B3600,pr_code,0))="","",INDEX(pr_price,MATCH(B3600,pr_code,0))),""))))</f>
        <v/>
      </c>
      <c r="K3600" s="71" t="str">
        <f>IF(COUNTA(A3600:G3600)=0,"",IF(G3600&lt;&gt;"",G3600,IF(B3600="","",IFERROR(IF(INDEX(pr_rate,MATCH(B3600,pr_code,0))="","",INDEX(pr_rate,MATCH(B3600,pr_code,0))),""))))</f>
        <v/>
      </c>
      <c r="L3600" s="65" t="str">
        <f>IF(COUNTA(A3600:G3600)=0,"",IF(AND(ISNUMBER(D3600),ISNUMBER(J3600)),ROUND(D3600*J3600*(1-N(F3600)),2),0))</f>
        <v/>
      </c>
      <c r="M3600" s="62" t="str">
        <f>IF(A3600="","",IFERROR(INDEX(fa_cname,MATCH(A3600,fa_num,0))&amp;"",""))</f>
        <v/>
      </c>
      <c r="N3600" s="59" t="str">
        <f>IF(COUNTA(A3600:G3600)=0,"",IF(A3600="","N° facture manquant",IF(ISNA(MATCH(A3600,fa_num,0)),"Facture inconnue",IF(AND(B3600&lt;&gt;"",ISNA(MATCH(B3600,pr_code,0))),"Article inconnu",IF(H3600="","Désignation manquante",IF(OR(NOT(ISNUMBER(D3600)),N(D3600)&lt;=0),"Quantité invalide",IF(J3600="","Prix manquant",IF(OR(NOT(ISNUMBER(J3600)),N(J3600)&lt;0),"Prix invalide",IF(OR(AND(F3600&lt;&gt;"",NOT(ISNUMBER(F3600))),N(F3600)&lt;0,N(F3600)&gt;1),"Remise invalide",IF(K3600="","Taux de TVA manquant",IF(NOT(ISNUMBER(K3600)),"Taux de TVA invalide",IF(COUNTIF(p_rates,K3600)=0,"Taux de TVA hors liste (Paramètres)",IF(N(O3600)&gt;25,"Au-delà de 25 lignes : non imprimée","OK")))))))))))))</f>
        <v/>
      </c>
      <c r="O3600" s="59" t="str">
        <f>IF(A3600="","",COUNTIF($A$6:A3600,A3600))</f>
        <v/>
      </c>
      <c r="P3600" s="62" t="str">
        <f>IF(A3600="","",A3600&amp;"|"&amp;O3600)</f>
        <v/>
      </c>
    </row>
    <row r="3601">
      <c r="A3601" s="60" t="n"/>
      <c r="B3601" s="63" t="n"/>
      <c r="C3601" s="63" t="n"/>
      <c r="D3601" s="67" t="n"/>
      <c r="E3601" s="68" t="n"/>
      <c r="F3601" s="69" t="n"/>
      <c r="G3601" s="70" t="n"/>
      <c r="H3601" s="62" t="str">
        <f>IF(COUNTA(A3601:G3601)=0,"",IF(C3601&lt;&gt;"",C3601,IF(B3601="","",IFERROR(INDEX(pr_des,MATCH(B3601,pr_code,0))&amp;"",""))))</f>
        <v/>
      </c>
      <c r="I3601" s="59" t="str">
        <f>IF(B3601="","",IFERROR(INDEX(pr_unit,MATCH(B3601,pr_code,0))&amp;"",""))</f>
        <v/>
      </c>
      <c r="J3601" s="65" t="str">
        <f>IF(COUNTA(A3601:G3601)=0,"",IF(E3601&lt;&gt;"",E3601,IF(B3601="","",IFERROR(IF(INDEX(pr_price,MATCH(B3601,pr_code,0))="","",INDEX(pr_price,MATCH(B3601,pr_code,0))),""))))</f>
        <v/>
      </c>
      <c r="K3601" s="71" t="str">
        <f>IF(COUNTA(A3601:G3601)=0,"",IF(G3601&lt;&gt;"",G3601,IF(B3601="","",IFERROR(IF(INDEX(pr_rate,MATCH(B3601,pr_code,0))="","",INDEX(pr_rate,MATCH(B3601,pr_code,0))),""))))</f>
        <v/>
      </c>
      <c r="L3601" s="65" t="str">
        <f>IF(COUNTA(A3601:G3601)=0,"",IF(AND(ISNUMBER(D3601),ISNUMBER(J3601)),ROUND(D3601*J3601*(1-N(F3601)),2),0))</f>
        <v/>
      </c>
      <c r="M3601" s="62" t="str">
        <f>IF(A3601="","",IFERROR(INDEX(fa_cname,MATCH(A3601,fa_num,0))&amp;"",""))</f>
        <v/>
      </c>
      <c r="N3601" s="59" t="str">
        <f>IF(COUNTA(A3601:G3601)=0,"",IF(A3601="","N° facture manquant",IF(ISNA(MATCH(A3601,fa_num,0)),"Facture inconnue",IF(AND(B3601&lt;&gt;"",ISNA(MATCH(B3601,pr_code,0))),"Article inconnu",IF(H3601="","Désignation manquante",IF(OR(NOT(ISNUMBER(D3601)),N(D3601)&lt;=0),"Quantité invalide",IF(J3601="","Prix manquant",IF(OR(NOT(ISNUMBER(J3601)),N(J3601)&lt;0),"Prix invalide",IF(OR(AND(F3601&lt;&gt;"",NOT(ISNUMBER(F3601))),N(F3601)&lt;0,N(F3601)&gt;1),"Remise invalide",IF(K3601="","Taux de TVA manquant",IF(NOT(ISNUMBER(K3601)),"Taux de TVA invalide",IF(COUNTIF(p_rates,K3601)=0,"Taux de TVA hors liste (Paramètres)",IF(N(O3601)&gt;25,"Au-delà de 25 lignes : non imprimée","OK")))))))))))))</f>
        <v/>
      </c>
      <c r="O3601" s="59" t="str">
        <f>IF(A3601="","",COUNTIF($A$6:A3601,A3601))</f>
        <v/>
      </c>
      <c r="P3601" s="62" t="str">
        <f>IF(A3601="","",A3601&amp;"|"&amp;O3601)</f>
        <v/>
      </c>
    </row>
    <row r="3602">
      <c r="A3602" s="60" t="n"/>
      <c r="B3602" s="63" t="n"/>
      <c r="C3602" s="63" t="n"/>
      <c r="D3602" s="67" t="n"/>
      <c r="E3602" s="68" t="n"/>
      <c r="F3602" s="69" t="n"/>
      <c r="G3602" s="70" t="n"/>
      <c r="H3602" s="62" t="str">
        <f>IF(COUNTA(A3602:G3602)=0,"",IF(C3602&lt;&gt;"",C3602,IF(B3602="","",IFERROR(INDEX(pr_des,MATCH(B3602,pr_code,0))&amp;"",""))))</f>
        <v/>
      </c>
      <c r="I3602" s="59" t="str">
        <f>IF(B3602="","",IFERROR(INDEX(pr_unit,MATCH(B3602,pr_code,0))&amp;"",""))</f>
        <v/>
      </c>
      <c r="J3602" s="65" t="str">
        <f>IF(COUNTA(A3602:G3602)=0,"",IF(E3602&lt;&gt;"",E3602,IF(B3602="","",IFERROR(IF(INDEX(pr_price,MATCH(B3602,pr_code,0))="","",INDEX(pr_price,MATCH(B3602,pr_code,0))),""))))</f>
        <v/>
      </c>
      <c r="K3602" s="71" t="str">
        <f>IF(COUNTA(A3602:G3602)=0,"",IF(G3602&lt;&gt;"",G3602,IF(B3602="","",IFERROR(IF(INDEX(pr_rate,MATCH(B3602,pr_code,0))="","",INDEX(pr_rate,MATCH(B3602,pr_code,0))),""))))</f>
        <v/>
      </c>
      <c r="L3602" s="65" t="str">
        <f>IF(COUNTA(A3602:G3602)=0,"",IF(AND(ISNUMBER(D3602),ISNUMBER(J3602)),ROUND(D3602*J3602*(1-N(F3602)),2),0))</f>
        <v/>
      </c>
      <c r="M3602" s="62" t="str">
        <f>IF(A3602="","",IFERROR(INDEX(fa_cname,MATCH(A3602,fa_num,0))&amp;"",""))</f>
        <v/>
      </c>
      <c r="N3602" s="59" t="str">
        <f>IF(COUNTA(A3602:G3602)=0,"",IF(A3602="","N° facture manquant",IF(ISNA(MATCH(A3602,fa_num,0)),"Facture inconnue",IF(AND(B3602&lt;&gt;"",ISNA(MATCH(B3602,pr_code,0))),"Article inconnu",IF(H3602="","Désignation manquante",IF(OR(NOT(ISNUMBER(D3602)),N(D3602)&lt;=0),"Quantité invalide",IF(J3602="","Prix manquant",IF(OR(NOT(ISNUMBER(J3602)),N(J3602)&lt;0),"Prix invalide",IF(OR(AND(F3602&lt;&gt;"",NOT(ISNUMBER(F3602))),N(F3602)&lt;0,N(F3602)&gt;1),"Remise invalide",IF(K3602="","Taux de TVA manquant",IF(NOT(ISNUMBER(K3602)),"Taux de TVA invalide",IF(COUNTIF(p_rates,K3602)=0,"Taux de TVA hors liste (Paramètres)",IF(N(O3602)&gt;25,"Au-delà de 25 lignes : non imprimée","OK")))))))))))))</f>
        <v/>
      </c>
      <c r="O3602" s="59" t="str">
        <f>IF(A3602="","",COUNTIF($A$6:A3602,A3602))</f>
        <v/>
      </c>
      <c r="P3602" s="62" t="str">
        <f>IF(A3602="","",A3602&amp;"|"&amp;O3602)</f>
        <v/>
      </c>
    </row>
    <row r="3603">
      <c r="A3603" s="60" t="n"/>
      <c r="B3603" s="63" t="n"/>
      <c r="C3603" s="63" t="n"/>
      <c r="D3603" s="67" t="n"/>
      <c r="E3603" s="68" t="n"/>
      <c r="F3603" s="69" t="n"/>
      <c r="G3603" s="70" t="n"/>
      <c r="H3603" s="62" t="str">
        <f>IF(COUNTA(A3603:G3603)=0,"",IF(C3603&lt;&gt;"",C3603,IF(B3603="","",IFERROR(INDEX(pr_des,MATCH(B3603,pr_code,0))&amp;"",""))))</f>
        <v/>
      </c>
      <c r="I3603" s="59" t="str">
        <f>IF(B3603="","",IFERROR(INDEX(pr_unit,MATCH(B3603,pr_code,0))&amp;"",""))</f>
        <v/>
      </c>
      <c r="J3603" s="65" t="str">
        <f>IF(COUNTA(A3603:G3603)=0,"",IF(E3603&lt;&gt;"",E3603,IF(B3603="","",IFERROR(IF(INDEX(pr_price,MATCH(B3603,pr_code,0))="","",INDEX(pr_price,MATCH(B3603,pr_code,0))),""))))</f>
        <v/>
      </c>
      <c r="K3603" s="71" t="str">
        <f>IF(COUNTA(A3603:G3603)=0,"",IF(G3603&lt;&gt;"",G3603,IF(B3603="","",IFERROR(IF(INDEX(pr_rate,MATCH(B3603,pr_code,0))="","",INDEX(pr_rate,MATCH(B3603,pr_code,0))),""))))</f>
        <v/>
      </c>
      <c r="L3603" s="65" t="str">
        <f>IF(COUNTA(A3603:G3603)=0,"",IF(AND(ISNUMBER(D3603),ISNUMBER(J3603)),ROUND(D3603*J3603*(1-N(F3603)),2),0))</f>
        <v/>
      </c>
      <c r="M3603" s="62" t="str">
        <f>IF(A3603="","",IFERROR(INDEX(fa_cname,MATCH(A3603,fa_num,0))&amp;"",""))</f>
        <v/>
      </c>
      <c r="N3603" s="59" t="str">
        <f>IF(COUNTA(A3603:G3603)=0,"",IF(A3603="","N° facture manquant",IF(ISNA(MATCH(A3603,fa_num,0)),"Facture inconnue",IF(AND(B3603&lt;&gt;"",ISNA(MATCH(B3603,pr_code,0))),"Article inconnu",IF(H3603="","Désignation manquante",IF(OR(NOT(ISNUMBER(D3603)),N(D3603)&lt;=0),"Quantité invalide",IF(J3603="","Prix manquant",IF(OR(NOT(ISNUMBER(J3603)),N(J3603)&lt;0),"Prix invalide",IF(OR(AND(F3603&lt;&gt;"",NOT(ISNUMBER(F3603))),N(F3603)&lt;0,N(F3603)&gt;1),"Remise invalide",IF(K3603="","Taux de TVA manquant",IF(NOT(ISNUMBER(K3603)),"Taux de TVA invalide",IF(COUNTIF(p_rates,K3603)=0,"Taux de TVA hors liste (Paramètres)",IF(N(O3603)&gt;25,"Au-delà de 25 lignes : non imprimée","OK")))))))))))))</f>
        <v/>
      </c>
      <c r="O3603" s="59" t="str">
        <f>IF(A3603="","",COUNTIF($A$6:A3603,A3603))</f>
        <v/>
      </c>
      <c r="P3603" s="62" t="str">
        <f>IF(A3603="","",A3603&amp;"|"&amp;O3603)</f>
        <v/>
      </c>
    </row>
    <row r="3604">
      <c r="A3604" s="60" t="n"/>
      <c r="B3604" s="63" t="n"/>
      <c r="C3604" s="63" t="n"/>
      <c r="D3604" s="67" t="n"/>
      <c r="E3604" s="68" t="n"/>
      <c r="F3604" s="69" t="n"/>
      <c r="G3604" s="70" t="n"/>
      <c r="H3604" s="62" t="str">
        <f>IF(COUNTA(A3604:G3604)=0,"",IF(C3604&lt;&gt;"",C3604,IF(B3604="","",IFERROR(INDEX(pr_des,MATCH(B3604,pr_code,0))&amp;"",""))))</f>
        <v/>
      </c>
      <c r="I3604" s="59" t="str">
        <f>IF(B3604="","",IFERROR(INDEX(pr_unit,MATCH(B3604,pr_code,0))&amp;"",""))</f>
        <v/>
      </c>
      <c r="J3604" s="65" t="str">
        <f>IF(COUNTA(A3604:G3604)=0,"",IF(E3604&lt;&gt;"",E3604,IF(B3604="","",IFERROR(IF(INDEX(pr_price,MATCH(B3604,pr_code,0))="","",INDEX(pr_price,MATCH(B3604,pr_code,0))),""))))</f>
        <v/>
      </c>
      <c r="K3604" s="71" t="str">
        <f>IF(COUNTA(A3604:G3604)=0,"",IF(G3604&lt;&gt;"",G3604,IF(B3604="","",IFERROR(IF(INDEX(pr_rate,MATCH(B3604,pr_code,0))="","",INDEX(pr_rate,MATCH(B3604,pr_code,0))),""))))</f>
        <v/>
      </c>
      <c r="L3604" s="65" t="str">
        <f>IF(COUNTA(A3604:G3604)=0,"",IF(AND(ISNUMBER(D3604),ISNUMBER(J3604)),ROUND(D3604*J3604*(1-N(F3604)),2),0))</f>
        <v/>
      </c>
      <c r="M3604" s="62" t="str">
        <f>IF(A3604="","",IFERROR(INDEX(fa_cname,MATCH(A3604,fa_num,0))&amp;"",""))</f>
        <v/>
      </c>
      <c r="N3604" s="59" t="str">
        <f>IF(COUNTA(A3604:G3604)=0,"",IF(A3604="","N° facture manquant",IF(ISNA(MATCH(A3604,fa_num,0)),"Facture inconnue",IF(AND(B3604&lt;&gt;"",ISNA(MATCH(B3604,pr_code,0))),"Article inconnu",IF(H3604="","Désignation manquante",IF(OR(NOT(ISNUMBER(D3604)),N(D3604)&lt;=0),"Quantité invalide",IF(J3604="","Prix manquant",IF(OR(NOT(ISNUMBER(J3604)),N(J3604)&lt;0),"Prix invalide",IF(OR(AND(F3604&lt;&gt;"",NOT(ISNUMBER(F3604))),N(F3604)&lt;0,N(F3604)&gt;1),"Remise invalide",IF(K3604="","Taux de TVA manquant",IF(NOT(ISNUMBER(K3604)),"Taux de TVA invalide",IF(COUNTIF(p_rates,K3604)=0,"Taux de TVA hors liste (Paramètres)",IF(N(O3604)&gt;25,"Au-delà de 25 lignes : non imprimée","OK")))))))))))))</f>
        <v/>
      </c>
      <c r="O3604" s="59" t="str">
        <f>IF(A3604="","",COUNTIF($A$6:A3604,A3604))</f>
        <v/>
      </c>
      <c r="P3604" s="62" t="str">
        <f>IF(A3604="","",A3604&amp;"|"&amp;O3604)</f>
        <v/>
      </c>
    </row>
    <row r="3605">
      <c r="A3605" s="60" t="n"/>
      <c r="B3605" s="63" t="n"/>
      <c r="C3605" s="63" t="n"/>
      <c r="D3605" s="67" t="n"/>
      <c r="E3605" s="68" t="n"/>
      <c r="F3605" s="69" t="n"/>
      <c r="G3605" s="70" t="n"/>
      <c r="H3605" s="62" t="str">
        <f>IF(COUNTA(A3605:G3605)=0,"",IF(C3605&lt;&gt;"",C3605,IF(B3605="","",IFERROR(INDEX(pr_des,MATCH(B3605,pr_code,0))&amp;"",""))))</f>
        <v/>
      </c>
      <c r="I3605" s="59" t="str">
        <f>IF(B3605="","",IFERROR(INDEX(pr_unit,MATCH(B3605,pr_code,0))&amp;"",""))</f>
        <v/>
      </c>
      <c r="J3605" s="65" t="str">
        <f>IF(COUNTA(A3605:G3605)=0,"",IF(E3605&lt;&gt;"",E3605,IF(B3605="","",IFERROR(IF(INDEX(pr_price,MATCH(B3605,pr_code,0))="","",INDEX(pr_price,MATCH(B3605,pr_code,0))),""))))</f>
        <v/>
      </c>
      <c r="K3605" s="71" t="str">
        <f>IF(COUNTA(A3605:G3605)=0,"",IF(G3605&lt;&gt;"",G3605,IF(B3605="","",IFERROR(IF(INDEX(pr_rate,MATCH(B3605,pr_code,0))="","",INDEX(pr_rate,MATCH(B3605,pr_code,0))),""))))</f>
        <v/>
      </c>
      <c r="L3605" s="65" t="str">
        <f>IF(COUNTA(A3605:G3605)=0,"",IF(AND(ISNUMBER(D3605),ISNUMBER(J3605)),ROUND(D3605*J3605*(1-N(F3605)),2),0))</f>
        <v/>
      </c>
      <c r="M3605" s="62" t="str">
        <f>IF(A3605="","",IFERROR(INDEX(fa_cname,MATCH(A3605,fa_num,0))&amp;"",""))</f>
        <v/>
      </c>
      <c r="N3605" s="59" t="str">
        <f>IF(COUNTA(A3605:G3605)=0,"",IF(A3605="","N° facture manquant",IF(ISNA(MATCH(A3605,fa_num,0)),"Facture inconnue",IF(AND(B3605&lt;&gt;"",ISNA(MATCH(B3605,pr_code,0))),"Article inconnu",IF(H3605="","Désignation manquante",IF(OR(NOT(ISNUMBER(D3605)),N(D3605)&lt;=0),"Quantité invalide",IF(J3605="","Prix manquant",IF(OR(NOT(ISNUMBER(J3605)),N(J3605)&lt;0),"Prix invalide",IF(OR(AND(F3605&lt;&gt;"",NOT(ISNUMBER(F3605))),N(F3605)&lt;0,N(F3605)&gt;1),"Remise invalide",IF(K3605="","Taux de TVA manquant",IF(NOT(ISNUMBER(K3605)),"Taux de TVA invalide",IF(COUNTIF(p_rates,K3605)=0,"Taux de TVA hors liste (Paramètres)",IF(N(O3605)&gt;25,"Au-delà de 25 lignes : non imprimée","OK")))))))))))))</f>
        <v/>
      </c>
      <c r="O3605" s="59" t="str">
        <f>IF(A3605="","",COUNTIF($A$6:A3605,A3605))</f>
        <v/>
      </c>
      <c r="P3605" s="62" t="str">
        <f>IF(A3605="","",A3605&amp;"|"&amp;O3605)</f>
        <v/>
      </c>
    </row>
    <row r="3606">
      <c r="A3606" s="60" t="n"/>
      <c r="B3606" s="63" t="n"/>
      <c r="C3606" s="63" t="n"/>
      <c r="D3606" s="67" t="n"/>
      <c r="E3606" s="68" t="n"/>
      <c r="F3606" s="69" t="n"/>
      <c r="G3606" s="70" t="n"/>
      <c r="H3606" s="62" t="str">
        <f>IF(COUNTA(A3606:G3606)=0,"",IF(C3606&lt;&gt;"",C3606,IF(B3606="","",IFERROR(INDEX(pr_des,MATCH(B3606,pr_code,0))&amp;"",""))))</f>
        <v/>
      </c>
      <c r="I3606" s="59" t="str">
        <f>IF(B3606="","",IFERROR(INDEX(pr_unit,MATCH(B3606,pr_code,0))&amp;"",""))</f>
        <v/>
      </c>
      <c r="J3606" s="65" t="str">
        <f>IF(COUNTA(A3606:G3606)=0,"",IF(E3606&lt;&gt;"",E3606,IF(B3606="","",IFERROR(IF(INDEX(pr_price,MATCH(B3606,pr_code,0))="","",INDEX(pr_price,MATCH(B3606,pr_code,0))),""))))</f>
        <v/>
      </c>
      <c r="K3606" s="71" t="str">
        <f>IF(COUNTA(A3606:G3606)=0,"",IF(G3606&lt;&gt;"",G3606,IF(B3606="","",IFERROR(IF(INDEX(pr_rate,MATCH(B3606,pr_code,0))="","",INDEX(pr_rate,MATCH(B3606,pr_code,0))),""))))</f>
        <v/>
      </c>
      <c r="L3606" s="65" t="str">
        <f>IF(COUNTA(A3606:G3606)=0,"",IF(AND(ISNUMBER(D3606),ISNUMBER(J3606)),ROUND(D3606*J3606*(1-N(F3606)),2),0))</f>
        <v/>
      </c>
      <c r="M3606" s="62" t="str">
        <f>IF(A3606="","",IFERROR(INDEX(fa_cname,MATCH(A3606,fa_num,0))&amp;"",""))</f>
        <v/>
      </c>
      <c r="N3606" s="59" t="str">
        <f>IF(COUNTA(A3606:G3606)=0,"",IF(A3606="","N° facture manquant",IF(ISNA(MATCH(A3606,fa_num,0)),"Facture inconnue",IF(AND(B3606&lt;&gt;"",ISNA(MATCH(B3606,pr_code,0))),"Article inconnu",IF(H3606="","Désignation manquante",IF(OR(NOT(ISNUMBER(D3606)),N(D3606)&lt;=0),"Quantité invalide",IF(J3606="","Prix manquant",IF(OR(NOT(ISNUMBER(J3606)),N(J3606)&lt;0),"Prix invalide",IF(OR(AND(F3606&lt;&gt;"",NOT(ISNUMBER(F3606))),N(F3606)&lt;0,N(F3606)&gt;1),"Remise invalide",IF(K3606="","Taux de TVA manquant",IF(NOT(ISNUMBER(K3606)),"Taux de TVA invalide",IF(COUNTIF(p_rates,K3606)=0,"Taux de TVA hors liste (Paramètres)",IF(N(O3606)&gt;25,"Au-delà de 25 lignes : non imprimée","OK")))))))))))))</f>
        <v/>
      </c>
      <c r="O3606" s="59" t="str">
        <f>IF(A3606="","",COUNTIF($A$6:A3606,A3606))</f>
        <v/>
      </c>
      <c r="P3606" s="62" t="str">
        <f>IF(A3606="","",A3606&amp;"|"&amp;O3606)</f>
        <v/>
      </c>
    </row>
    <row r="3607">
      <c r="A3607" s="60" t="n"/>
      <c r="B3607" s="63" t="n"/>
      <c r="C3607" s="63" t="n"/>
      <c r="D3607" s="67" t="n"/>
      <c r="E3607" s="68" t="n"/>
      <c r="F3607" s="69" t="n"/>
      <c r="G3607" s="70" t="n"/>
      <c r="H3607" s="62" t="str">
        <f>IF(COUNTA(A3607:G3607)=0,"",IF(C3607&lt;&gt;"",C3607,IF(B3607="","",IFERROR(INDEX(pr_des,MATCH(B3607,pr_code,0))&amp;"",""))))</f>
        <v/>
      </c>
      <c r="I3607" s="59" t="str">
        <f>IF(B3607="","",IFERROR(INDEX(pr_unit,MATCH(B3607,pr_code,0))&amp;"",""))</f>
        <v/>
      </c>
      <c r="J3607" s="65" t="str">
        <f>IF(COUNTA(A3607:G3607)=0,"",IF(E3607&lt;&gt;"",E3607,IF(B3607="","",IFERROR(IF(INDEX(pr_price,MATCH(B3607,pr_code,0))="","",INDEX(pr_price,MATCH(B3607,pr_code,0))),""))))</f>
        <v/>
      </c>
      <c r="K3607" s="71" t="str">
        <f>IF(COUNTA(A3607:G3607)=0,"",IF(G3607&lt;&gt;"",G3607,IF(B3607="","",IFERROR(IF(INDEX(pr_rate,MATCH(B3607,pr_code,0))="","",INDEX(pr_rate,MATCH(B3607,pr_code,0))),""))))</f>
        <v/>
      </c>
      <c r="L3607" s="65" t="str">
        <f>IF(COUNTA(A3607:G3607)=0,"",IF(AND(ISNUMBER(D3607),ISNUMBER(J3607)),ROUND(D3607*J3607*(1-N(F3607)),2),0))</f>
        <v/>
      </c>
      <c r="M3607" s="62" t="str">
        <f>IF(A3607="","",IFERROR(INDEX(fa_cname,MATCH(A3607,fa_num,0))&amp;"",""))</f>
        <v/>
      </c>
      <c r="N3607" s="59" t="str">
        <f>IF(COUNTA(A3607:G3607)=0,"",IF(A3607="","N° facture manquant",IF(ISNA(MATCH(A3607,fa_num,0)),"Facture inconnue",IF(AND(B3607&lt;&gt;"",ISNA(MATCH(B3607,pr_code,0))),"Article inconnu",IF(H3607="","Désignation manquante",IF(OR(NOT(ISNUMBER(D3607)),N(D3607)&lt;=0),"Quantité invalide",IF(J3607="","Prix manquant",IF(OR(NOT(ISNUMBER(J3607)),N(J3607)&lt;0),"Prix invalide",IF(OR(AND(F3607&lt;&gt;"",NOT(ISNUMBER(F3607))),N(F3607)&lt;0,N(F3607)&gt;1),"Remise invalide",IF(K3607="","Taux de TVA manquant",IF(NOT(ISNUMBER(K3607)),"Taux de TVA invalide",IF(COUNTIF(p_rates,K3607)=0,"Taux de TVA hors liste (Paramètres)",IF(N(O3607)&gt;25,"Au-delà de 25 lignes : non imprimée","OK")))))))))))))</f>
        <v/>
      </c>
      <c r="O3607" s="59" t="str">
        <f>IF(A3607="","",COUNTIF($A$6:A3607,A3607))</f>
        <v/>
      </c>
      <c r="P3607" s="62" t="str">
        <f>IF(A3607="","",A3607&amp;"|"&amp;O3607)</f>
        <v/>
      </c>
    </row>
    <row r="3608">
      <c r="A3608" s="60" t="n"/>
      <c r="B3608" s="63" t="n"/>
      <c r="C3608" s="63" t="n"/>
      <c r="D3608" s="67" t="n"/>
      <c r="E3608" s="68" t="n"/>
      <c r="F3608" s="69" t="n"/>
      <c r="G3608" s="70" t="n"/>
      <c r="H3608" s="62" t="str">
        <f>IF(COUNTA(A3608:G3608)=0,"",IF(C3608&lt;&gt;"",C3608,IF(B3608="","",IFERROR(INDEX(pr_des,MATCH(B3608,pr_code,0))&amp;"",""))))</f>
        <v/>
      </c>
      <c r="I3608" s="59" t="str">
        <f>IF(B3608="","",IFERROR(INDEX(pr_unit,MATCH(B3608,pr_code,0))&amp;"",""))</f>
        <v/>
      </c>
      <c r="J3608" s="65" t="str">
        <f>IF(COUNTA(A3608:G3608)=0,"",IF(E3608&lt;&gt;"",E3608,IF(B3608="","",IFERROR(IF(INDEX(pr_price,MATCH(B3608,pr_code,0))="","",INDEX(pr_price,MATCH(B3608,pr_code,0))),""))))</f>
        <v/>
      </c>
      <c r="K3608" s="71" t="str">
        <f>IF(COUNTA(A3608:G3608)=0,"",IF(G3608&lt;&gt;"",G3608,IF(B3608="","",IFERROR(IF(INDEX(pr_rate,MATCH(B3608,pr_code,0))="","",INDEX(pr_rate,MATCH(B3608,pr_code,0))),""))))</f>
        <v/>
      </c>
      <c r="L3608" s="65" t="str">
        <f>IF(COUNTA(A3608:G3608)=0,"",IF(AND(ISNUMBER(D3608),ISNUMBER(J3608)),ROUND(D3608*J3608*(1-N(F3608)),2),0))</f>
        <v/>
      </c>
      <c r="M3608" s="62" t="str">
        <f>IF(A3608="","",IFERROR(INDEX(fa_cname,MATCH(A3608,fa_num,0))&amp;"",""))</f>
        <v/>
      </c>
      <c r="N3608" s="59" t="str">
        <f>IF(COUNTA(A3608:G3608)=0,"",IF(A3608="","N° facture manquant",IF(ISNA(MATCH(A3608,fa_num,0)),"Facture inconnue",IF(AND(B3608&lt;&gt;"",ISNA(MATCH(B3608,pr_code,0))),"Article inconnu",IF(H3608="","Désignation manquante",IF(OR(NOT(ISNUMBER(D3608)),N(D3608)&lt;=0),"Quantité invalide",IF(J3608="","Prix manquant",IF(OR(NOT(ISNUMBER(J3608)),N(J3608)&lt;0),"Prix invalide",IF(OR(AND(F3608&lt;&gt;"",NOT(ISNUMBER(F3608))),N(F3608)&lt;0,N(F3608)&gt;1),"Remise invalide",IF(K3608="","Taux de TVA manquant",IF(NOT(ISNUMBER(K3608)),"Taux de TVA invalide",IF(COUNTIF(p_rates,K3608)=0,"Taux de TVA hors liste (Paramètres)",IF(N(O3608)&gt;25,"Au-delà de 25 lignes : non imprimée","OK")))))))))))))</f>
        <v/>
      </c>
      <c r="O3608" s="59" t="str">
        <f>IF(A3608="","",COUNTIF($A$6:A3608,A3608))</f>
        <v/>
      </c>
      <c r="P3608" s="62" t="str">
        <f>IF(A3608="","",A3608&amp;"|"&amp;O3608)</f>
        <v/>
      </c>
    </row>
    <row r="3609">
      <c r="A3609" s="60" t="n"/>
      <c r="B3609" s="63" t="n"/>
      <c r="C3609" s="63" t="n"/>
      <c r="D3609" s="67" t="n"/>
      <c r="E3609" s="68" t="n"/>
      <c r="F3609" s="69" t="n"/>
      <c r="G3609" s="70" t="n"/>
      <c r="H3609" s="62" t="str">
        <f>IF(COUNTA(A3609:G3609)=0,"",IF(C3609&lt;&gt;"",C3609,IF(B3609="","",IFERROR(INDEX(pr_des,MATCH(B3609,pr_code,0))&amp;"",""))))</f>
        <v/>
      </c>
      <c r="I3609" s="59" t="str">
        <f>IF(B3609="","",IFERROR(INDEX(pr_unit,MATCH(B3609,pr_code,0))&amp;"",""))</f>
        <v/>
      </c>
      <c r="J3609" s="65" t="str">
        <f>IF(COUNTA(A3609:G3609)=0,"",IF(E3609&lt;&gt;"",E3609,IF(B3609="","",IFERROR(IF(INDEX(pr_price,MATCH(B3609,pr_code,0))="","",INDEX(pr_price,MATCH(B3609,pr_code,0))),""))))</f>
        <v/>
      </c>
      <c r="K3609" s="71" t="str">
        <f>IF(COUNTA(A3609:G3609)=0,"",IF(G3609&lt;&gt;"",G3609,IF(B3609="","",IFERROR(IF(INDEX(pr_rate,MATCH(B3609,pr_code,0))="","",INDEX(pr_rate,MATCH(B3609,pr_code,0))),""))))</f>
        <v/>
      </c>
      <c r="L3609" s="65" t="str">
        <f>IF(COUNTA(A3609:G3609)=0,"",IF(AND(ISNUMBER(D3609),ISNUMBER(J3609)),ROUND(D3609*J3609*(1-N(F3609)),2),0))</f>
        <v/>
      </c>
      <c r="M3609" s="62" t="str">
        <f>IF(A3609="","",IFERROR(INDEX(fa_cname,MATCH(A3609,fa_num,0))&amp;"",""))</f>
        <v/>
      </c>
      <c r="N3609" s="59" t="str">
        <f>IF(COUNTA(A3609:G3609)=0,"",IF(A3609="","N° facture manquant",IF(ISNA(MATCH(A3609,fa_num,0)),"Facture inconnue",IF(AND(B3609&lt;&gt;"",ISNA(MATCH(B3609,pr_code,0))),"Article inconnu",IF(H3609="","Désignation manquante",IF(OR(NOT(ISNUMBER(D3609)),N(D3609)&lt;=0),"Quantité invalide",IF(J3609="","Prix manquant",IF(OR(NOT(ISNUMBER(J3609)),N(J3609)&lt;0),"Prix invalide",IF(OR(AND(F3609&lt;&gt;"",NOT(ISNUMBER(F3609))),N(F3609)&lt;0,N(F3609)&gt;1),"Remise invalide",IF(K3609="","Taux de TVA manquant",IF(NOT(ISNUMBER(K3609)),"Taux de TVA invalide",IF(COUNTIF(p_rates,K3609)=0,"Taux de TVA hors liste (Paramètres)",IF(N(O3609)&gt;25,"Au-delà de 25 lignes : non imprimée","OK")))))))))))))</f>
        <v/>
      </c>
      <c r="O3609" s="59" t="str">
        <f>IF(A3609="","",COUNTIF($A$6:A3609,A3609))</f>
        <v/>
      </c>
      <c r="P3609" s="62" t="str">
        <f>IF(A3609="","",A3609&amp;"|"&amp;O3609)</f>
        <v/>
      </c>
    </row>
    <row r="3610">
      <c r="A3610" s="60" t="n"/>
      <c r="B3610" s="63" t="n"/>
      <c r="C3610" s="63" t="n"/>
      <c r="D3610" s="67" t="n"/>
      <c r="E3610" s="68" t="n"/>
      <c r="F3610" s="69" t="n"/>
      <c r="G3610" s="70" t="n"/>
      <c r="H3610" s="62" t="str">
        <f>IF(COUNTA(A3610:G3610)=0,"",IF(C3610&lt;&gt;"",C3610,IF(B3610="","",IFERROR(INDEX(pr_des,MATCH(B3610,pr_code,0))&amp;"",""))))</f>
        <v/>
      </c>
      <c r="I3610" s="59" t="str">
        <f>IF(B3610="","",IFERROR(INDEX(pr_unit,MATCH(B3610,pr_code,0))&amp;"",""))</f>
        <v/>
      </c>
      <c r="J3610" s="65" t="str">
        <f>IF(COUNTA(A3610:G3610)=0,"",IF(E3610&lt;&gt;"",E3610,IF(B3610="","",IFERROR(IF(INDEX(pr_price,MATCH(B3610,pr_code,0))="","",INDEX(pr_price,MATCH(B3610,pr_code,0))),""))))</f>
        <v/>
      </c>
      <c r="K3610" s="71" t="str">
        <f>IF(COUNTA(A3610:G3610)=0,"",IF(G3610&lt;&gt;"",G3610,IF(B3610="","",IFERROR(IF(INDEX(pr_rate,MATCH(B3610,pr_code,0))="","",INDEX(pr_rate,MATCH(B3610,pr_code,0))),""))))</f>
        <v/>
      </c>
      <c r="L3610" s="65" t="str">
        <f>IF(COUNTA(A3610:G3610)=0,"",IF(AND(ISNUMBER(D3610),ISNUMBER(J3610)),ROUND(D3610*J3610*(1-N(F3610)),2),0))</f>
        <v/>
      </c>
      <c r="M3610" s="62" t="str">
        <f>IF(A3610="","",IFERROR(INDEX(fa_cname,MATCH(A3610,fa_num,0))&amp;"",""))</f>
        <v/>
      </c>
      <c r="N3610" s="59" t="str">
        <f>IF(COUNTA(A3610:G3610)=0,"",IF(A3610="","N° facture manquant",IF(ISNA(MATCH(A3610,fa_num,0)),"Facture inconnue",IF(AND(B3610&lt;&gt;"",ISNA(MATCH(B3610,pr_code,0))),"Article inconnu",IF(H3610="","Désignation manquante",IF(OR(NOT(ISNUMBER(D3610)),N(D3610)&lt;=0),"Quantité invalide",IF(J3610="","Prix manquant",IF(OR(NOT(ISNUMBER(J3610)),N(J3610)&lt;0),"Prix invalide",IF(OR(AND(F3610&lt;&gt;"",NOT(ISNUMBER(F3610))),N(F3610)&lt;0,N(F3610)&gt;1),"Remise invalide",IF(K3610="","Taux de TVA manquant",IF(NOT(ISNUMBER(K3610)),"Taux de TVA invalide",IF(COUNTIF(p_rates,K3610)=0,"Taux de TVA hors liste (Paramètres)",IF(N(O3610)&gt;25,"Au-delà de 25 lignes : non imprimée","OK")))))))))))))</f>
        <v/>
      </c>
      <c r="O3610" s="59" t="str">
        <f>IF(A3610="","",COUNTIF($A$6:A3610,A3610))</f>
        <v/>
      </c>
      <c r="P3610" s="62" t="str">
        <f>IF(A3610="","",A3610&amp;"|"&amp;O3610)</f>
        <v/>
      </c>
    </row>
    <row r="3611">
      <c r="A3611" s="60" t="n"/>
      <c r="B3611" s="63" t="n"/>
      <c r="C3611" s="63" t="n"/>
      <c r="D3611" s="67" t="n"/>
      <c r="E3611" s="68" t="n"/>
      <c r="F3611" s="69" t="n"/>
      <c r="G3611" s="70" t="n"/>
      <c r="H3611" s="62" t="str">
        <f>IF(COUNTA(A3611:G3611)=0,"",IF(C3611&lt;&gt;"",C3611,IF(B3611="","",IFERROR(INDEX(pr_des,MATCH(B3611,pr_code,0))&amp;"",""))))</f>
        <v/>
      </c>
      <c r="I3611" s="59" t="str">
        <f>IF(B3611="","",IFERROR(INDEX(pr_unit,MATCH(B3611,pr_code,0))&amp;"",""))</f>
        <v/>
      </c>
      <c r="J3611" s="65" t="str">
        <f>IF(COUNTA(A3611:G3611)=0,"",IF(E3611&lt;&gt;"",E3611,IF(B3611="","",IFERROR(IF(INDEX(pr_price,MATCH(B3611,pr_code,0))="","",INDEX(pr_price,MATCH(B3611,pr_code,0))),""))))</f>
        <v/>
      </c>
      <c r="K3611" s="71" t="str">
        <f>IF(COUNTA(A3611:G3611)=0,"",IF(G3611&lt;&gt;"",G3611,IF(B3611="","",IFERROR(IF(INDEX(pr_rate,MATCH(B3611,pr_code,0))="","",INDEX(pr_rate,MATCH(B3611,pr_code,0))),""))))</f>
        <v/>
      </c>
      <c r="L3611" s="65" t="str">
        <f>IF(COUNTA(A3611:G3611)=0,"",IF(AND(ISNUMBER(D3611),ISNUMBER(J3611)),ROUND(D3611*J3611*(1-N(F3611)),2),0))</f>
        <v/>
      </c>
      <c r="M3611" s="62" t="str">
        <f>IF(A3611="","",IFERROR(INDEX(fa_cname,MATCH(A3611,fa_num,0))&amp;"",""))</f>
        <v/>
      </c>
      <c r="N3611" s="59" t="str">
        <f>IF(COUNTA(A3611:G3611)=0,"",IF(A3611="","N° facture manquant",IF(ISNA(MATCH(A3611,fa_num,0)),"Facture inconnue",IF(AND(B3611&lt;&gt;"",ISNA(MATCH(B3611,pr_code,0))),"Article inconnu",IF(H3611="","Désignation manquante",IF(OR(NOT(ISNUMBER(D3611)),N(D3611)&lt;=0),"Quantité invalide",IF(J3611="","Prix manquant",IF(OR(NOT(ISNUMBER(J3611)),N(J3611)&lt;0),"Prix invalide",IF(OR(AND(F3611&lt;&gt;"",NOT(ISNUMBER(F3611))),N(F3611)&lt;0,N(F3611)&gt;1),"Remise invalide",IF(K3611="","Taux de TVA manquant",IF(NOT(ISNUMBER(K3611)),"Taux de TVA invalide",IF(COUNTIF(p_rates,K3611)=0,"Taux de TVA hors liste (Paramètres)",IF(N(O3611)&gt;25,"Au-delà de 25 lignes : non imprimée","OK")))))))))))))</f>
        <v/>
      </c>
      <c r="O3611" s="59" t="str">
        <f>IF(A3611="","",COUNTIF($A$6:A3611,A3611))</f>
        <v/>
      </c>
      <c r="P3611" s="62" t="str">
        <f>IF(A3611="","",A3611&amp;"|"&amp;O3611)</f>
        <v/>
      </c>
    </row>
    <row r="3612">
      <c r="A3612" s="60" t="n"/>
      <c r="B3612" s="63" t="n"/>
      <c r="C3612" s="63" t="n"/>
      <c r="D3612" s="67" t="n"/>
      <c r="E3612" s="68" t="n"/>
      <c r="F3612" s="69" t="n"/>
      <c r="G3612" s="70" t="n"/>
      <c r="H3612" s="62" t="str">
        <f>IF(COUNTA(A3612:G3612)=0,"",IF(C3612&lt;&gt;"",C3612,IF(B3612="","",IFERROR(INDEX(pr_des,MATCH(B3612,pr_code,0))&amp;"",""))))</f>
        <v/>
      </c>
      <c r="I3612" s="59" t="str">
        <f>IF(B3612="","",IFERROR(INDEX(pr_unit,MATCH(B3612,pr_code,0))&amp;"",""))</f>
        <v/>
      </c>
      <c r="J3612" s="65" t="str">
        <f>IF(COUNTA(A3612:G3612)=0,"",IF(E3612&lt;&gt;"",E3612,IF(B3612="","",IFERROR(IF(INDEX(pr_price,MATCH(B3612,pr_code,0))="","",INDEX(pr_price,MATCH(B3612,pr_code,0))),""))))</f>
        <v/>
      </c>
      <c r="K3612" s="71" t="str">
        <f>IF(COUNTA(A3612:G3612)=0,"",IF(G3612&lt;&gt;"",G3612,IF(B3612="","",IFERROR(IF(INDEX(pr_rate,MATCH(B3612,pr_code,0))="","",INDEX(pr_rate,MATCH(B3612,pr_code,0))),""))))</f>
        <v/>
      </c>
      <c r="L3612" s="65" t="str">
        <f>IF(COUNTA(A3612:G3612)=0,"",IF(AND(ISNUMBER(D3612),ISNUMBER(J3612)),ROUND(D3612*J3612*(1-N(F3612)),2),0))</f>
        <v/>
      </c>
      <c r="M3612" s="62" t="str">
        <f>IF(A3612="","",IFERROR(INDEX(fa_cname,MATCH(A3612,fa_num,0))&amp;"",""))</f>
        <v/>
      </c>
      <c r="N3612" s="59" t="str">
        <f>IF(COUNTA(A3612:G3612)=0,"",IF(A3612="","N° facture manquant",IF(ISNA(MATCH(A3612,fa_num,0)),"Facture inconnue",IF(AND(B3612&lt;&gt;"",ISNA(MATCH(B3612,pr_code,0))),"Article inconnu",IF(H3612="","Désignation manquante",IF(OR(NOT(ISNUMBER(D3612)),N(D3612)&lt;=0),"Quantité invalide",IF(J3612="","Prix manquant",IF(OR(NOT(ISNUMBER(J3612)),N(J3612)&lt;0),"Prix invalide",IF(OR(AND(F3612&lt;&gt;"",NOT(ISNUMBER(F3612))),N(F3612)&lt;0,N(F3612)&gt;1),"Remise invalide",IF(K3612="","Taux de TVA manquant",IF(NOT(ISNUMBER(K3612)),"Taux de TVA invalide",IF(COUNTIF(p_rates,K3612)=0,"Taux de TVA hors liste (Paramètres)",IF(N(O3612)&gt;25,"Au-delà de 25 lignes : non imprimée","OK")))))))))))))</f>
        <v/>
      </c>
      <c r="O3612" s="59" t="str">
        <f>IF(A3612="","",COUNTIF($A$6:A3612,A3612))</f>
        <v/>
      </c>
      <c r="P3612" s="62" t="str">
        <f>IF(A3612="","",A3612&amp;"|"&amp;O3612)</f>
        <v/>
      </c>
    </row>
    <row r="3613">
      <c r="A3613" s="60" t="n"/>
      <c r="B3613" s="63" t="n"/>
      <c r="C3613" s="63" t="n"/>
      <c r="D3613" s="67" t="n"/>
      <c r="E3613" s="68" t="n"/>
      <c r="F3613" s="69" t="n"/>
      <c r="G3613" s="70" t="n"/>
      <c r="H3613" s="62" t="str">
        <f>IF(COUNTA(A3613:G3613)=0,"",IF(C3613&lt;&gt;"",C3613,IF(B3613="","",IFERROR(INDEX(pr_des,MATCH(B3613,pr_code,0))&amp;"",""))))</f>
        <v/>
      </c>
      <c r="I3613" s="59" t="str">
        <f>IF(B3613="","",IFERROR(INDEX(pr_unit,MATCH(B3613,pr_code,0))&amp;"",""))</f>
        <v/>
      </c>
      <c r="J3613" s="65" t="str">
        <f>IF(COUNTA(A3613:G3613)=0,"",IF(E3613&lt;&gt;"",E3613,IF(B3613="","",IFERROR(IF(INDEX(pr_price,MATCH(B3613,pr_code,0))="","",INDEX(pr_price,MATCH(B3613,pr_code,0))),""))))</f>
        <v/>
      </c>
      <c r="K3613" s="71" t="str">
        <f>IF(COUNTA(A3613:G3613)=0,"",IF(G3613&lt;&gt;"",G3613,IF(B3613="","",IFERROR(IF(INDEX(pr_rate,MATCH(B3613,pr_code,0))="","",INDEX(pr_rate,MATCH(B3613,pr_code,0))),""))))</f>
        <v/>
      </c>
      <c r="L3613" s="65" t="str">
        <f>IF(COUNTA(A3613:G3613)=0,"",IF(AND(ISNUMBER(D3613),ISNUMBER(J3613)),ROUND(D3613*J3613*(1-N(F3613)),2),0))</f>
        <v/>
      </c>
      <c r="M3613" s="62" t="str">
        <f>IF(A3613="","",IFERROR(INDEX(fa_cname,MATCH(A3613,fa_num,0))&amp;"",""))</f>
        <v/>
      </c>
      <c r="N3613" s="59" t="str">
        <f>IF(COUNTA(A3613:G3613)=0,"",IF(A3613="","N° facture manquant",IF(ISNA(MATCH(A3613,fa_num,0)),"Facture inconnue",IF(AND(B3613&lt;&gt;"",ISNA(MATCH(B3613,pr_code,0))),"Article inconnu",IF(H3613="","Désignation manquante",IF(OR(NOT(ISNUMBER(D3613)),N(D3613)&lt;=0),"Quantité invalide",IF(J3613="","Prix manquant",IF(OR(NOT(ISNUMBER(J3613)),N(J3613)&lt;0),"Prix invalide",IF(OR(AND(F3613&lt;&gt;"",NOT(ISNUMBER(F3613))),N(F3613)&lt;0,N(F3613)&gt;1),"Remise invalide",IF(K3613="","Taux de TVA manquant",IF(NOT(ISNUMBER(K3613)),"Taux de TVA invalide",IF(COUNTIF(p_rates,K3613)=0,"Taux de TVA hors liste (Paramètres)",IF(N(O3613)&gt;25,"Au-delà de 25 lignes : non imprimée","OK")))))))))))))</f>
        <v/>
      </c>
      <c r="O3613" s="59" t="str">
        <f>IF(A3613="","",COUNTIF($A$6:A3613,A3613))</f>
        <v/>
      </c>
      <c r="P3613" s="62" t="str">
        <f>IF(A3613="","",A3613&amp;"|"&amp;O3613)</f>
        <v/>
      </c>
    </row>
    <row r="3614">
      <c r="A3614" s="60" t="n"/>
      <c r="B3614" s="63" t="n"/>
      <c r="C3614" s="63" t="n"/>
      <c r="D3614" s="67" t="n"/>
      <c r="E3614" s="68" t="n"/>
      <c r="F3614" s="69" t="n"/>
      <c r="G3614" s="70" t="n"/>
      <c r="H3614" s="62" t="str">
        <f>IF(COUNTA(A3614:G3614)=0,"",IF(C3614&lt;&gt;"",C3614,IF(B3614="","",IFERROR(INDEX(pr_des,MATCH(B3614,pr_code,0))&amp;"",""))))</f>
        <v/>
      </c>
      <c r="I3614" s="59" t="str">
        <f>IF(B3614="","",IFERROR(INDEX(pr_unit,MATCH(B3614,pr_code,0))&amp;"",""))</f>
        <v/>
      </c>
      <c r="J3614" s="65" t="str">
        <f>IF(COUNTA(A3614:G3614)=0,"",IF(E3614&lt;&gt;"",E3614,IF(B3614="","",IFERROR(IF(INDEX(pr_price,MATCH(B3614,pr_code,0))="","",INDEX(pr_price,MATCH(B3614,pr_code,0))),""))))</f>
        <v/>
      </c>
      <c r="K3614" s="71" t="str">
        <f>IF(COUNTA(A3614:G3614)=0,"",IF(G3614&lt;&gt;"",G3614,IF(B3614="","",IFERROR(IF(INDEX(pr_rate,MATCH(B3614,pr_code,0))="","",INDEX(pr_rate,MATCH(B3614,pr_code,0))),""))))</f>
        <v/>
      </c>
      <c r="L3614" s="65" t="str">
        <f>IF(COUNTA(A3614:G3614)=0,"",IF(AND(ISNUMBER(D3614),ISNUMBER(J3614)),ROUND(D3614*J3614*(1-N(F3614)),2),0))</f>
        <v/>
      </c>
      <c r="M3614" s="62" t="str">
        <f>IF(A3614="","",IFERROR(INDEX(fa_cname,MATCH(A3614,fa_num,0))&amp;"",""))</f>
        <v/>
      </c>
      <c r="N3614" s="59" t="str">
        <f>IF(COUNTA(A3614:G3614)=0,"",IF(A3614="","N° facture manquant",IF(ISNA(MATCH(A3614,fa_num,0)),"Facture inconnue",IF(AND(B3614&lt;&gt;"",ISNA(MATCH(B3614,pr_code,0))),"Article inconnu",IF(H3614="","Désignation manquante",IF(OR(NOT(ISNUMBER(D3614)),N(D3614)&lt;=0),"Quantité invalide",IF(J3614="","Prix manquant",IF(OR(NOT(ISNUMBER(J3614)),N(J3614)&lt;0),"Prix invalide",IF(OR(AND(F3614&lt;&gt;"",NOT(ISNUMBER(F3614))),N(F3614)&lt;0,N(F3614)&gt;1),"Remise invalide",IF(K3614="","Taux de TVA manquant",IF(NOT(ISNUMBER(K3614)),"Taux de TVA invalide",IF(COUNTIF(p_rates,K3614)=0,"Taux de TVA hors liste (Paramètres)",IF(N(O3614)&gt;25,"Au-delà de 25 lignes : non imprimée","OK")))))))))))))</f>
        <v/>
      </c>
      <c r="O3614" s="59" t="str">
        <f>IF(A3614="","",COUNTIF($A$6:A3614,A3614))</f>
        <v/>
      </c>
      <c r="P3614" s="62" t="str">
        <f>IF(A3614="","",A3614&amp;"|"&amp;O3614)</f>
        <v/>
      </c>
    </row>
    <row r="3615">
      <c r="A3615" s="60" t="n"/>
      <c r="B3615" s="63" t="n"/>
      <c r="C3615" s="63" t="n"/>
      <c r="D3615" s="67" t="n"/>
      <c r="E3615" s="68" t="n"/>
      <c r="F3615" s="69" t="n"/>
      <c r="G3615" s="70" t="n"/>
      <c r="H3615" s="62" t="str">
        <f>IF(COUNTA(A3615:G3615)=0,"",IF(C3615&lt;&gt;"",C3615,IF(B3615="","",IFERROR(INDEX(pr_des,MATCH(B3615,pr_code,0))&amp;"",""))))</f>
        <v/>
      </c>
      <c r="I3615" s="59" t="str">
        <f>IF(B3615="","",IFERROR(INDEX(pr_unit,MATCH(B3615,pr_code,0))&amp;"",""))</f>
        <v/>
      </c>
      <c r="J3615" s="65" t="str">
        <f>IF(COUNTA(A3615:G3615)=0,"",IF(E3615&lt;&gt;"",E3615,IF(B3615="","",IFERROR(IF(INDEX(pr_price,MATCH(B3615,pr_code,0))="","",INDEX(pr_price,MATCH(B3615,pr_code,0))),""))))</f>
        <v/>
      </c>
      <c r="K3615" s="71" t="str">
        <f>IF(COUNTA(A3615:G3615)=0,"",IF(G3615&lt;&gt;"",G3615,IF(B3615="","",IFERROR(IF(INDEX(pr_rate,MATCH(B3615,pr_code,0))="","",INDEX(pr_rate,MATCH(B3615,pr_code,0))),""))))</f>
        <v/>
      </c>
      <c r="L3615" s="65" t="str">
        <f>IF(COUNTA(A3615:G3615)=0,"",IF(AND(ISNUMBER(D3615),ISNUMBER(J3615)),ROUND(D3615*J3615*(1-N(F3615)),2),0))</f>
        <v/>
      </c>
      <c r="M3615" s="62" t="str">
        <f>IF(A3615="","",IFERROR(INDEX(fa_cname,MATCH(A3615,fa_num,0))&amp;"",""))</f>
        <v/>
      </c>
      <c r="N3615" s="59" t="str">
        <f>IF(COUNTA(A3615:G3615)=0,"",IF(A3615="","N° facture manquant",IF(ISNA(MATCH(A3615,fa_num,0)),"Facture inconnue",IF(AND(B3615&lt;&gt;"",ISNA(MATCH(B3615,pr_code,0))),"Article inconnu",IF(H3615="","Désignation manquante",IF(OR(NOT(ISNUMBER(D3615)),N(D3615)&lt;=0),"Quantité invalide",IF(J3615="","Prix manquant",IF(OR(NOT(ISNUMBER(J3615)),N(J3615)&lt;0),"Prix invalide",IF(OR(AND(F3615&lt;&gt;"",NOT(ISNUMBER(F3615))),N(F3615)&lt;0,N(F3615)&gt;1),"Remise invalide",IF(K3615="","Taux de TVA manquant",IF(NOT(ISNUMBER(K3615)),"Taux de TVA invalide",IF(COUNTIF(p_rates,K3615)=0,"Taux de TVA hors liste (Paramètres)",IF(N(O3615)&gt;25,"Au-delà de 25 lignes : non imprimée","OK")))))))))))))</f>
        <v/>
      </c>
      <c r="O3615" s="59" t="str">
        <f>IF(A3615="","",COUNTIF($A$6:A3615,A3615))</f>
        <v/>
      </c>
      <c r="P3615" s="62" t="str">
        <f>IF(A3615="","",A3615&amp;"|"&amp;O3615)</f>
        <v/>
      </c>
    </row>
    <row r="3616">
      <c r="A3616" s="60" t="n"/>
      <c r="B3616" s="63" t="n"/>
      <c r="C3616" s="63" t="n"/>
      <c r="D3616" s="67" t="n"/>
      <c r="E3616" s="68" t="n"/>
      <c r="F3616" s="69" t="n"/>
      <c r="G3616" s="70" t="n"/>
      <c r="H3616" s="62" t="str">
        <f>IF(COUNTA(A3616:G3616)=0,"",IF(C3616&lt;&gt;"",C3616,IF(B3616="","",IFERROR(INDEX(pr_des,MATCH(B3616,pr_code,0))&amp;"",""))))</f>
        <v/>
      </c>
      <c r="I3616" s="59" t="str">
        <f>IF(B3616="","",IFERROR(INDEX(pr_unit,MATCH(B3616,pr_code,0))&amp;"",""))</f>
        <v/>
      </c>
      <c r="J3616" s="65" t="str">
        <f>IF(COUNTA(A3616:G3616)=0,"",IF(E3616&lt;&gt;"",E3616,IF(B3616="","",IFERROR(IF(INDEX(pr_price,MATCH(B3616,pr_code,0))="","",INDEX(pr_price,MATCH(B3616,pr_code,0))),""))))</f>
        <v/>
      </c>
      <c r="K3616" s="71" t="str">
        <f>IF(COUNTA(A3616:G3616)=0,"",IF(G3616&lt;&gt;"",G3616,IF(B3616="","",IFERROR(IF(INDEX(pr_rate,MATCH(B3616,pr_code,0))="","",INDEX(pr_rate,MATCH(B3616,pr_code,0))),""))))</f>
        <v/>
      </c>
      <c r="L3616" s="65" t="str">
        <f>IF(COUNTA(A3616:G3616)=0,"",IF(AND(ISNUMBER(D3616),ISNUMBER(J3616)),ROUND(D3616*J3616*(1-N(F3616)),2),0))</f>
        <v/>
      </c>
      <c r="M3616" s="62" t="str">
        <f>IF(A3616="","",IFERROR(INDEX(fa_cname,MATCH(A3616,fa_num,0))&amp;"",""))</f>
        <v/>
      </c>
      <c r="N3616" s="59" t="str">
        <f>IF(COUNTA(A3616:G3616)=0,"",IF(A3616="","N° facture manquant",IF(ISNA(MATCH(A3616,fa_num,0)),"Facture inconnue",IF(AND(B3616&lt;&gt;"",ISNA(MATCH(B3616,pr_code,0))),"Article inconnu",IF(H3616="","Désignation manquante",IF(OR(NOT(ISNUMBER(D3616)),N(D3616)&lt;=0),"Quantité invalide",IF(J3616="","Prix manquant",IF(OR(NOT(ISNUMBER(J3616)),N(J3616)&lt;0),"Prix invalide",IF(OR(AND(F3616&lt;&gt;"",NOT(ISNUMBER(F3616))),N(F3616)&lt;0,N(F3616)&gt;1),"Remise invalide",IF(K3616="","Taux de TVA manquant",IF(NOT(ISNUMBER(K3616)),"Taux de TVA invalide",IF(COUNTIF(p_rates,K3616)=0,"Taux de TVA hors liste (Paramètres)",IF(N(O3616)&gt;25,"Au-delà de 25 lignes : non imprimée","OK")))))))))))))</f>
        <v/>
      </c>
      <c r="O3616" s="59" t="str">
        <f>IF(A3616="","",COUNTIF($A$6:A3616,A3616))</f>
        <v/>
      </c>
      <c r="P3616" s="62" t="str">
        <f>IF(A3616="","",A3616&amp;"|"&amp;O3616)</f>
        <v/>
      </c>
    </row>
    <row r="3617">
      <c r="A3617" s="60" t="n"/>
      <c r="B3617" s="63" t="n"/>
      <c r="C3617" s="63" t="n"/>
      <c r="D3617" s="67" t="n"/>
      <c r="E3617" s="68" t="n"/>
      <c r="F3617" s="69" t="n"/>
      <c r="G3617" s="70" t="n"/>
      <c r="H3617" s="62" t="str">
        <f>IF(COUNTA(A3617:G3617)=0,"",IF(C3617&lt;&gt;"",C3617,IF(B3617="","",IFERROR(INDEX(pr_des,MATCH(B3617,pr_code,0))&amp;"",""))))</f>
        <v/>
      </c>
      <c r="I3617" s="59" t="str">
        <f>IF(B3617="","",IFERROR(INDEX(pr_unit,MATCH(B3617,pr_code,0))&amp;"",""))</f>
        <v/>
      </c>
      <c r="J3617" s="65" t="str">
        <f>IF(COUNTA(A3617:G3617)=0,"",IF(E3617&lt;&gt;"",E3617,IF(B3617="","",IFERROR(IF(INDEX(pr_price,MATCH(B3617,pr_code,0))="","",INDEX(pr_price,MATCH(B3617,pr_code,0))),""))))</f>
        <v/>
      </c>
      <c r="K3617" s="71" t="str">
        <f>IF(COUNTA(A3617:G3617)=0,"",IF(G3617&lt;&gt;"",G3617,IF(B3617="","",IFERROR(IF(INDEX(pr_rate,MATCH(B3617,pr_code,0))="","",INDEX(pr_rate,MATCH(B3617,pr_code,0))),""))))</f>
        <v/>
      </c>
      <c r="L3617" s="65" t="str">
        <f>IF(COUNTA(A3617:G3617)=0,"",IF(AND(ISNUMBER(D3617),ISNUMBER(J3617)),ROUND(D3617*J3617*(1-N(F3617)),2),0))</f>
        <v/>
      </c>
      <c r="M3617" s="62" t="str">
        <f>IF(A3617="","",IFERROR(INDEX(fa_cname,MATCH(A3617,fa_num,0))&amp;"",""))</f>
        <v/>
      </c>
      <c r="N3617" s="59" t="str">
        <f>IF(COUNTA(A3617:G3617)=0,"",IF(A3617="","N° facture manquant",IF(ISNA(MATCH(A3617,fa_num,0)),"Facture inconnue",IF(AND(B3617&lt;&gt;"",ISNA(MATCH(B3617,pr_code,0))),"Article inconnu",IF(H3617="","Désignation manquante",IF(OR(NOT(ISNUMBER(D3617)),N(D3617)&lt;=0),"Quantité invalide",IF(J3617="","Prix manquant",IF(OR(NOT(ISNUMBER(J3617)),N(J3617)&lt;0),"Prix invalide",IF(OR(AND(F3617&lt;&gt;"",NOT(ISNUMBER(F3617))),N(F3617)&lt;0,N(F3617)&gt;1),"Remise invalide",IF(K3617="","Taux de TVA manquant",IF(NOT(ISNUMBER(K3617)),"Taux de TVA invalide",IF(COUNTIF(p_rates,K3617)=0,"Taux de TVA hors liste (Paramètres)",IF(N(O3617)&gt;25,"Au-delà de 25 lignes : non imprimée","OK")))))))))))))</f>
        <v/>
      </c>
      <c r="O3617" s="59" t="str">
        <f>IF(A3617="","",COUNTIF($A$6:A3617,A3617))</f>
        <v/>
      </c>
      <c r="P3617" s="62" t="str">
        <f>IF(A3617="","",A3617&amp;"|"&amp;O3617)</f>
        <v/>
      </c>
    </row>
    <row r="3618">
      <c r="A3618" s="60" t="n"/>
      <c r="B3618" s="63" t="n"/>
      <c r="C3618" s="63" t="n"/>
      <c r="D3618" s="67" t="n"/>
      <c r="E3618" s="68" t="n"/>
      <c r="F3618" s="69" t="n"/>
      <c r="G3618" s="70" t="n"/>
      <c r="H3618" s="62" t="str">
        <f>IF(COUNTA(A3618:G3618)=0,"",IF(C3618&lt;&gt;"",C3618,IF(B3618="","",IFERROR(INDEX(pr_des,MATCH(B3618,pr_code,0))&amp;"",""))))</f>
        <v/>
      </c>
      <c r="I3618" s="59" t="str">
        <f>IF(B3618="","",IFERROR(INDEX(pr_unit,MATCH(B3618,pr_code,0))&amp;"",""))</f>
        <v/>
      </c>
      <c r="J3618" s="65" t="str">
        <f>IF(COUNTA(A3618:G3618)=0,"",IF(E3618&lt;&gt;"",E3618,IF(B3618="","",IFERROR(IF(INDEX(pr_price,MATCH(B3618,pr_code,0))="","",INDEX(pr_price,MATCH(B3618,pr_code,0))),""))))</f>
        <v/>
      </c>
      <c r="K3618" s="71" t="str">
        <f>IF(COUNTA(A3618:G3618)=0,"",IF(G3618&lt;&gt;"",G3618,IF(B3618="","",IFERROR(IF(INDEX(pr_rate,MATCH(B3618,pr_code,0))="","",INDEX(pr_rate,MATCH(B3618,pr_code,0))),""))))</f>
        <v/>
      </c>
      <c r="L3618" s="65" t="str">
        <f>IF(COUNTA(A3618:G3618)=0,"",IF(AND(ISNUMBER(D3618),ISNUMBER(J3618)),ROUND(D3618*J3618*(1-N(F3618)),2),0))</f>
        <v/>
      </c>
      <c r="M3618" s="62" t="str">
        <f>IF(A3618="","",IFERROR(INDEX(fa_cname,MATCH(A3618,fa_num,0))&amp;"",""))</f>
        <v/>
      </c>
      <c r="N3618" s="59" t="str">
        <f>IF(COUNTA(A3618:G3618)=0,"",IF(A3618="","N° facture manquant",IF(ISNA(MATCH(A3618,fa_num,0)),"Facture inconnue",IF(AND(B3618&lt;&gt;"",ISNA(MATCH(B3618,pr_code,0))),"Article inconnu",IF(H3618="","Désignation manquante",IF(OR(NOT(ISNUMBER(D3618)),N(D3618)&lt;=0),"Quantité invalide",IF(J3618="","Prix manquant",IF(OR(NOT(ISNUMBER(J3618)),N(J3618)&lt;0),"Prix invalide",IF(OR(AND(F3618&lt;&gt;"",NOT(ISNUMBER(F3618))),N(F3618)&lt;0,N(F3618)&gt;1),"Remise invalide",IF(K3618="","Taux de TVA manquant",IF(NOT(ISNUMBER(K3618)),"Taux de TVA invalide",IF(COUNTIF(p_rates,K3618)=0,"Taux de TVA hors liste (Paramètres)",IF(N(O3618)&gt;25,"Au-delà de 25 lignes : non imprimée","OK")))))))))))))</f>
        <v/>
      </c>
      <c r="O3618" s="59" t="str">
        <f>IF(A3618="","",COUNTIF($A$6:A3618,A3618))</f>
        <v/>
      </c>
      <c r="P3618" s="62" t="str">
        <f>IF(A3618="","",A3618&amp;"|"&amp;O3618)</f>
        <v/>
      </c>
    </row>
    <row r="3619">
      <c r="A3619" s="60" t="n"/>
      <c r="B3619" s="63" t="n"/>
      <c r="C3619" s="63" t="n"/>
      <c r="D3619" s="67" t="n"/>
      <c r="E3619" s="68" t="n"/>
      <c r="F3619" s="69" t="n"/>
      <c r="G3619" s="70" t="n"/>
      <c r="H3619" s="62" t="str">
        <f>IF(COUNTA(A3619:G3619)=0,"",IF(C3619&lt;&gt;"",C3619,IF(B3619="","",IFERROR(INDEX(pr_des,MATCH(B3619,pr_code,0))&amp;"",""))))</f>
        <v/>
      </c>
      <c r="I3619" s="59" t="str">
        <f>IF(B3619="","",IFERROR(INDEX(pr_unit,MATCH(B3619,pr_code,0))&amp;"",""))</f>
        <v/>
      </c>
      <c r="J3619" s="65" t="str">
        <f>IF(COUNTA(A3619:G3619)=0,"",IF(E3619&lt;&gt;"",E3619,IF(B3619="","",IFERROR(IF(INDEX(pr_price,MATCH(B3619,pr_code,0))="","",INDEX(pr_price,MATCH(B3619,pr_code,0))),""))))</f>
        <v/>
      </c>
      <c r="K3619" s="71" t="str">
        <f>IF(COUNTA(A3619:G3619)=0,"",IF(G3619&lt;&gt;"",G3619,IF(B3619="","",IFERROR(IF(INDEX(pr_rate,MATCH(B3619,pr_code,0))="","",INDEX(pr_rate,MATCH(B3619,pr_code,0))),""))))</f>
        <v/>
      </c>
      <c r="L3619" s="65" t="str">
        <f>IF(COUNTA(A3619:G3619)=0,"",IF(AND(ISNUMBER(D3619),ISNUMBER(J3619)),ROUND(D3619*J3619*(1-N(F3619)),2),0))</f>
        <v/>
      </c>
      <c r="M3619" s="62" t="str">
        <f>IF(A3619="","",IFERROR(INDEX(fa_cname,MATCH(A3619,fa_num,0))&amp;"",""))</f>
        <v/>
      </c>
      <c r="N3619" s="59" t="str">
        <f>IF(COUNTA(A3619:G3619)=0,"",IF(A3619="","N° facture manquant",IF(ISNA(MATCH(A3619,fa_num,0)),"Facture inconnue",IF(AND(B3619&lt;&gt;"",ISNA(MATCH(B3619,pr_code,0))),"Article inconnu",IF(H3619="","Désignation manquante",IF(OR(NOT(ISNUMBER(D3619)),N(D3619)&lt;=0),"Quantité invalide",IF(J3619="","Prix manquant",IF(OR(NOT(ISNUMBER(J3619)),N(J3619)&lt;0),"Prix invalide",IF(OR(AND(F3619&lt;&gt;"",NOT(ISNUMBER(F3619))),N(F3619)&lt;0,N(F3619)&gt;1),"Remise invalide",IF(K3619="","Taux de TVA manquant",IF(NOT(ISNUMBER(K3619)),"Taux de TVA invalide",IF(COUNTIF(p_rates,K3619)=0,"Taux de TVA hors liste (Paramètres)",IF(N(O3619)&gt;25,"Au-delà de 25 lignes : non imprimée","OK")))))))))))))</f>
        <v/>
      </c>
      <c r="O3619" s="59" t="str">
        <f>IF(A3619="","",COUNTIF($A$6:A3619,A3619))</f>
        <v/>
      </c>
      <c r="P3619" s="62" t="str">
        <f>IF(A3619="","",A3619&amp;"|"&amp;O3619)</f>
        <v/>
      </c>
    </row>
    <row r="3620">
      <c r="A3620" s="60" t="n"/>
      <c r="B3620" s="63" t="n"/>
      <c r="C3620" s="63" t="n"/>
      <c r="D3620" s="67" t="n"/>
      <c r="E3620" s="68" t="n"/>
      <c r="F3620" s="69" t="n"/>
      <c r="G3620" s="70" t="n"/>
      <c r="H3620" s="62" t="str">
        <f>IF(COUNTA(A3620:G3620)=0,"",IF(C3620&lt;&gt;"",C3620,IF(B3620="","",IFERROR(INDEX(pr_des,MATCH(B3620,pr_code,0))&amp;"",""))))</f>
        <v/>
      </c>
      <c r="I3620" s="59" t="str">
        <f>IF(B3620="","",IFERROR(INDEX(pr_unit,MATCH(B3620,pr_code,0))&amp;"",""))</f>
        <v/>
      </c>
      <c r="J3620" s="65" t="str">
        <f>IF(COUNTA(A3620:G3620)=0,"",IF(E3620&lt;&gt;"",E3620,IF(B3620="","",IFERROR(IF(INDEX(pr_price,MATCH(B3620,pr_code,0))="","",INDEX(pr_price,MATCH(B3620,pr_code,0))),""))))</f>
        <v/>
      </c>
      <c r="K3620" s="71" t="str">
        <f>IF(COUNTA(A3620:G3620)=0,"",IF(G3620&lt;&gt;"",G3620,IF(B3620="","",IFERROR(IF(INDEX(pr_rate,MATCH(B3620,pr_code,0))="","",INDEX(pr_rate,MATCH(B3620,pr_code,0))),""))))</f>
        <v/>
      </c>
      <c r="L3620" s="65" t="str">
        <f>IF(COUNTA(A3620:G3620)=0,"",IF(AND(ISNUMBER(D3620),ISNUMBER(J3620)),ROUND(D3620*J3620*(1-N(F3620)),2),0))</f>
        <v/>
      </c>
      <c r="M3620" s="62" t="str">
        <f>IF(A3620="","",IFERROR(INDEX(fa_cname,MATCH(A3620,fa_num,0))&amp;"",""))</f>
        <v/>
      </c>
      <c r="N3620" s="59" t="str">
        <f>IF(COUNTA(A3620:G3620)=0,"",IF(A3620="","N° facture manquant",IF(ISNA(MATCH(A3620,fa_num,0)),"Facture inconnue",IF(AND(B3620&lt;&gt;"",ISNA(MATCH(B3620,pr_code,0))),"Article inconnu",IF(H3620="","Désignation manquante",IF(OR(NOT(ISNUMBER(D3620)),N(D3620)&lt;=0),"Quantité invalide",IF(J3620="","Prix manquant",IF(OR(NOT(ISNUMBER(J3620)),N(J3620)&lt;0),"Prix invalide",IF(OR(AND(F3620&lt;&gt;"",NOT(ISNUMBER(F3620))),N(F3620)&lt;0,N(F3620)&gt;1),"Remise invalide",IF(K3620="","Taux de TVA manquant",IF(NOT(ISNUMBER(K3620)),"Taux de TVA invalide",IF(COUNTIF(p_rates,K3620)=0,"Taux de TVA hors liste (Paramètres)",IF(N(O3620)&gt;25,"Au-delà de 25 lignes : non imprimée","OK")))))))))))))</f>
        <v/>
      </c>
      <c r="O3620" s="59" t="str">
        <f>IF(A3620="","",COUNTIF($A$6:A3620,A3620))</f>
        <v/>
      </c>
      <c r="P3620" s="62" t="str">
        <f>IF(A3620="","",A3620&amp;"|"&amp;O3620)</f>
        <v/>
      </c>
    </row>
    <row r="3621">
      <c r="A3621" s="60" t="n"/>
      <c r="B3621" s="63" t="n"/>
      <c r="C3621" s="63" t="n"/>
      <c r="D3621" s="67" t="n"/>
      <c r="E3621" s="68" t="n"/>
      <c r="F3621" s="69" t="n"/>
      <c r="G3621" s="70" t="n"/>
      <c r="H3621" s="62" t="str">
        <f>IF(COUNTA(A3621:G3621)=0,"",IF(C3621&lt;&gt;"",C3621,IF(B3621="","",IFERROR(INDEX(pr_des,MATCH(B3621,pr_code,0))&amp;"",""))))</f>
        <v/>
      </c>
      <c r="I3621" s="59" t="str">
        <f>IF(B3621="","",IFERROR(INDEX(pr_unit,MATCH(B3621,pr_code,0))&amp;"",""))</f>
        <v/>
      </c>
      <c r="J3621" s="65" t="str">
        <f>IF(COUNTA(A3621:G3621)=0,"",IF(E3621&lt;&gt;"",E3621,IF(B3621="","",IFERROR(IF(INDEX(pr_price,MATCH(B3621,pr_code,0))="","",INDEX(pr_price,MATCH(B3621,pr_code,0))),""))))</f>
        <v/>
      </c>
      <c r="K3621" s="71" t="str">
        <f>IF(COUNTA(A3621:G3621)=0,"",IF(G3621&lt;&gt;"",G3621,IF(B3621="","",IFERROR(IF(INDEX(pr_rate,MATCH(B3621,pr_code,0))="","",INDEX(pr_rate,MATCH(B3621,pr_code,0))),""))))</f>
        <v/>
      </c>
      <c r="L3621" s="65" t="str">
        <f>IF(COUNTA(A3621:G3621)=0,"",IF(AND(ISNUMBER(D3621),ISNUMBER(J3621)),ROUND(D3621*J3621*(1-N(F3621)),2),0))</f>
        <v/>
      </c>
      <c r="M3621" s="62" t="str">
        <f>IF(A3621="","",IFERROR(INDEX(fa_cname,MATCH(A3621,fa_num,0))&amp;"",""))</f>
        <v/>
      </c>
      <c r="N3621" s="59" t="str">
        <f>IF(COUNTA(A3621:G3621)=0,"",IF(A3621="","N° facture manquant",IF(ISNA(MATCH(A3621,fa_num,0)),"Facture inconnue",IF(AND(B3621&lt;&gt;"",ISNA(MATCH(B3621,pr_code,0))),"Article inconnu",IF(H3621="","Désignation manquante",IF(OR(NOT(ISNUMBER(D3621)),N(D3621)&lt;=0),"Quantité invalide",IF(J3621="","Prix manquant",IF(OR(NOT(ISNUMBER(J3621)),N(J3621)&lt;0),"Prix invalide",IF(OR(AND(F3621&lt;&gt;"",NOT(ISNUMBER(F3621))),N(F3621)&lt;0,N(F3621)&gt;1),"Remise invalide",IF(K3621="","Taux de TVA manquant",IF(NOT(ISNUMBER(K3621)),"Taux de TVA invalide",IF(COUNTIF(p_rates,K3621)=0,"Taux de TVA hors liste (Paramètres)",IF(N(O3621)&gt;25,"Au-delà de 25 lignes : non imprimée","OK")))))))))))))</f>
        <v/>
      </c>
      <c r="O3621" s="59" t="str">
        <f>IF(A3621="","",COUNTIF($A$6:A3621,A3621))</f>
        <v/>
      </c>
      <c r="P3621" s="62" t="str">
        <f>IF(A3621="","",A3621&amp;"|"&amp;O3621)</f>
        <v/>
      </c>
    </row>
    <row r="3622">
      <c r="A3622" s="60" t="n"/>
      <c r="B3622" s="63" t="n"/>
      <c r="C3622" s="63" t="n"/>
      <c r="D3622" s="67" t="n"/>
      <c r="E3622" s="68" t="n"/>
      <c r="F3622" s="69" t="n"/>
      <c r="G3622" s="70" t="n"/>
      <c r="H3622" s="62" t="str">
        <f>IF(COUNTA(A3622:G3622)=0,"",IF(C3622&lt;&gt;"",C3622,IF(B3622="","",IFERROR(INDEX(pr_des,MATCH(B3622,pr_code,0))&amp;"",""))))</f>
        <v/>
      </c>
      <c r="I3622" s="59" t="str">
        <f>IF(B3622="","",IFERROR(INDEX(pr_unit,MATCH(B3622,pr_code,0))&amp;"",""))</f>
        <v/>
      </c>
      <c r="J3622" s="65" t="str">
        <f>IF(COUNTA(A3622:G3622)=0,"",IF(E3622&lt;&gt;"",E3622,IF(B3622="","",IFERROR(IF(INDEX(pr_price,MATCH(B3622,pr_code,0))="","",INDEX(pr_price,MATCH(B3622,pr_code,0))),""))))</f>
        <v/>
      </c>
      <c r="K3622" s="71" t="str">
        <f>IF(COUNTA(A3622:G3622)=0,"",IF(G3622&lt;&gt;"",G3622,IF(B3622="","",IFERROR(IF(INDEX(pr_rate,MATCH(B3622,pr_code,0))="","",INDEX(pr_rate,MATCH(B3622,pr_code,0))),""))))</f>
        <v/>
      </c>
      <c r="L3622" s="65" t="str">
        <f>IF(COUNTA(A3622:G3622)=0,"",IF(AND(ISNUMBER(D3622),ISNUMBER(J3622)),ROUND(D3622*J3622*(1-N(F3622)),2),0))</f>
        <v/>
      </c>
      <c r="M3622" s="62" t="str">
        <f>IF(A3622="","",IFERROR(INDEX(fa_cname,MATCH(A3622,fa_num,0))&amp;"",""))</f>
        <v/>
      </c>
      <c r="N3622" s="59" t="str">
        <f>IF(COUNTA(A3622:G3622)=0,"",IF(A3622="","N° facture manquant",IF(ISNA(MATCH(A3622,fa_num,0)),"Facture inconnue",IF(AND(B3622&lt;&gt;"",ISNA(MATCH(B3622,pr_code,0))),"Article inconnu",IF(H3622="","Désignation manquante",IF(OR(NOT(ISNUMBER(D3622)),N(D3622)&lt;=0),"Quantité invalide",IF(J3622="","Prix manquant",IF(OR(NOT(ISNUMBER(J3622)),N(J3622)&lt;0),"Prix invalide",IF(OR(AND(F3622&lt;&gt;"",NOT(ISNUMBER(F3622))),N(F3622)&lt;0,N(F3622)&gt;1),"Remise invalide",IF(K3622="","Taux de TVA manquant",IF(NOT(ISNUMBER(K3622)),"Taux de TVA invalide",IF(COUNTIF(p_rates,K3622)=0,"Taux de TVA hors liste (Paramètres)",IF(N(O3622)&gt;25,"Au-delà de 25 lignes : non imprimée","OK")))))))))))))</f>
        <v/>
      </c>
      <c r="O3622" s="59" t="str">
        <f>IF(A3622="","",COUNTIF($A$6:A3622,A3622))</f>
        <v/>
      </c>
      <c r="P3622" s="62" t="str">
        <f>IF(A3622="","",A3622&amp;"|"&amp;O3622)</f>
        <v/>
      </c>
    </row>
    <row r="3623">
      <c r="A3623" s="60" t="n"/>
      <c r="B3623" s="63" t="n"/>
      <c r="C3623" s="63" t="n"/>
      <c r="D3623" s="67" t="n"/>
      <c r="E3623" s="68" t="n"/>
      <c r="F3623" s="69" t="n"/>
      <c r="G3623" s="70" t="n"/>
      <c r="H3623" s="62" t="str">
        <f>IF(COUNTA(A3623:G3623)=0,"",IF(C3623&lt;&gt;"",C3623,IF(B3623="","",IFERROR(INDEX(pr_des,MATCH(B3623,pr_code,0))&amp;"",""))))</f>
        <v/>
      </c>
      <c r="I3623" s="59" t="str">
        <f>IF(B3623="","",IFERROR(INDEX(pr_unit,MATCH(B3623,pr_code,0))&amp;"",""))</f>
        <v/>
      </c>
      <c r="J3623" s="65" t="str">
        <f>IF(COUNTA(A3623:G3623)=0,"",IF(E3623&lt;&gt;"",E3623,IF(B3623="","",IFERROR(IF(INDEX(pr_price,MATCH(B3623,pr_code,0))="","",INDEX(pr_price,MATCH(B3623,pr_code,0))),""))))</f>
        <v/>
      </c>
      <c r="K3623" s="71" t="str">
        <f>IF(COUNTA(A3623:G3623)=0,"",IF(G3623&lt;&gt;"",G3623,IF(B3623="","",IFERROR(IF(INDEX(pr_rate,MATCH(B3623,pr_code,0))="","",INDEX(pr_rate,MATCH(B3623,pr_code,0))),""))))</f>
        <v/>
      </c>
      <c r="L3623" s="65" t="str">
        <f>IF(COUNTA(A3623:G3623)=0,"",IF(AND(ISNUMBER(D3623),ISNUMBER(J3623)),ROUND(D3623*J3623*(1-N(F3623)),2),0))</f>
        <v/>
      </c>
      <c r="M3623" s="62" t="str">
        <f>IF(A3623="","",IFERROR(INDEX(fa_cname,MATCH(A3623,fa_num,0))&amp;"",""))</f>
        <v/>
      </c>
      <c r="N3623" s="59" t="str">
        <f>IF(COUNTA(A3623:G3623)=0,"",IF(A3623="","N° facture manquant",IF(ISNA(MATCH(A3623,fa_num,0)),"Facture inconnue",IF(AND(B3623&lt;&gt;"",ISNA(MATCH(B3623,pr_code,0))),"Article inconnu",IF(H3623="","Désignation manquante",IF(OR(NOT(ISNUMBER(D3623)),N(D3623)&lt;=0),"Quantité invalide",IF(J3623="","Prix manquant",IF(OR(NOT(ISNUMBER(J3623)),N(J3623)&lt;0),"Prix invalide",IF(OR(AND(F3623&lt;&gt;"",NOT(ISNUMBER(F3623))),N(F3623)&lt;0,N(F3623)&gt;1),"Remise invalide",IF(K3623="","Taux de TVA manquant",IF(NOT(ISNUMBER(K3623)),"Taux de TVA invalide",IF(COUNTIF(p_rates,K3623)=0,"Taux de TVA hors liste (Paramètres)",IF(N(O3623)&gt;25,"Au-delà de 25 lignes : non imprimée","OK")))))))))))))</f>
        <v/>
      </c>
      <c r="O3623" s="59" t="str">
        <f>IF(A3623="","",COUNTIF($A$6:A3623,A3623))</f>
        <v/>
      </c>
      <c r="P3623" s="62" t="str">
        <f>IF(A3623="","",A3623&amp;"|"&amp;O3623)</f>
        <v/>
      </c>
    </row>
    <row r="3624">
      <c r="A3624" s="60" t="n"/>
      <c r="B3624" s="63" t="n"/>
      <c r="C3624" s="63" t="n"/>
      <c r="D3624" s="67" t="n"/>
      <c r="E3624" s="68" t="n"/>
      <c r="F3624" s="69" t="n"/>
      <c r="G3624" s="70" t="n"/>
      <c r="H3624" s="62" t="str">
        <f>IF(COUNTA(A3624:G3624)=0,"",IF(C3624&lt;&gt;"",C3624,IF(B3624="","",IFERROR(INDEX(pr_des,MATCH(B3624,pr_code,0))&amp;"",""))))</f>
        <v/>
      </c>
      <c r="I3624" s="59" t="str">
        <f>IF(B3624="","",IFERROR(INDEX(pr_unit,MATCH(B3624,pr_code,0))&amp;"",""))</f>
        <v/>
      </c>
      <c r="J3624" s="65" t="str">
        <f>IF(COUNTA(A3624:G3624)=0,"",IF(E3624&lt;&gt;"",E3624,IF(B3624="","",IFERROR(IF(INDEX(pr_price,MATCH(B3624,pr_code,0))="","",INDEX(pr_price,MATCH(B3624,pr_code,0))),""))))</f>
        <v/>
      </c>
      <c r="K3624" s="71" t="str">
        <f>IF(COUNTA(A3624:G3624)=0,"",IF(G3624&lt;&gt;"",G3624,IF(B3624="","",IFERROR(IF(INDEX(pr_rate,MATCH(B3624,pr_code,0))="","",INDEX(pr_rate,MATCH(B3624,pr_code,0))),""))))</f>
        <v/>
      </c>
      <c r="L3624" s="65" t="str">
        <f>IF(COUNTA(A3624:G3624)=0,"",IF(AND(ISNUMBER(D3624),ISNUMBER(J3624)),ROUND(D3624*J3624*(1-N(F3624)),2),0))</f>
        <v/>
      </c>
      <c r="M3624" s="62" t="str">
        <f>IF(A3624="","",IFERROR(INDEX(fa_cname,MATCH(A3624,fa_num,0))&amp;"",""))</f>
        <v/>
      </c>
      <c r="N3624" s="59" t="str">
        <f>IF(COUNTA(A3624:G3624)=0,"",IF(A3624="","N° facture manquant",IF(ISNA(MATCH(A3624,fa_num,0)),"Facture inconnue",IF(AND(B3624&lt;&gt;"",ISNA(MATCH(B3624,pr_code,0))),"Article inconnu",IF(H3624="","Désignation manquante",IF(OR(NOT(ISNUMBER(D3624)),N(D3624)&lt;=0),"Quantité invalide",IF(J3624="","Prix manquant",IF(OR(NOT(ISNUMBER(J3624)),N(J3624)&lt;0),"Prix invalide",IF(OR(AND(F3624&lt;&gt;"",NOT(ISNUMBER(F3624))),N(F3624)&lt;0,N(F3624)&gt;1),"Remise invalide",IF(K3624="","Taux de TVA manquant",IF(NOT(ISNUMBER(K3624)),"Taux de TVA invalide",IF(COUNTIF(p_rates,K3624)=0,"Taux de TVA hors liste (Paramètres)",IF(N(O3624)&gt;25,"Au-delà de 25 lignes : non imprimée","OK")))))))))))))</f>
        <v/>
      </c>
      <c r="O3624" s="59" t="str">
        <f>IF(A3624="","",COUNTIF($A$6:A3624,A3624))</f>
        <v/>
      </c>
      <c r="P3624" s="62" t="str">
        <f>IF(A3624="","",A3624&amp;"|"&amp;O3624)</f>
        <v/>
      </c>
    </row>
    <row r="3625">
      <c r="A3625" s="60" t="n"/>
      <c r="B3625" s="63" t="n"/>
      <c r="C3625" s="63" t="n"/>
      <c r="D3625" s="67" t="n"/>
      <c r="E3625" s="68" t="n"/>
      <c r="F3625" s="69" t="n"/>
      <c r="G3625" s="70" t="n"/>
      <c r="H3625" s="62" t="str">
        <f>IF(COUNTA(A3625:G3625)=0,"",IF(C3625&lt;&gt;"",C3625,IF(B3625="","",IFERROR(INDEX(pr_des,MATCH(B3625,pr_code,0))&amp;"",""))))</f>
        <v/>
      </c>
      <c r="I3625" s="59" t="str">
        <f>IF(B3625="","",IFERROR(INDEX(pr_unit,MATCH(B3625,pr_code,0))&amp;"",""))</f>
        <v/>
      </c>
      <c r="J3625" s="65" t="str">
        <f>IF(COUNTA(A3625:G3625)=0,"",IF(E3625&lt;&gt;"",E3625,IF(B3625="","",IFERROR(IF(INDEX(pr_price,MATCH(B3625,pr_code,0))="","",INDEX(pr_price,MATCH(B3625,pr_code,0))),""))))</f>
        <v/>
      </c>
      <c r="K3625" s="71" t="str">
        <f>IF(COUNTA(A3625:G3625)=0,"",IF(G3625&lt;&gt;"",G3625,IF(B3625="","",IFERROR(IF(INDEX(pr_rate,MATCH(B3625,pr_code,0))="","",INDEX(pr_rate,MATCH(B3625,pr_code,0))),""))))</f>
        <v/>
      </c>
      <c r="L3625" s="65" t="str">
        <f>IF(COUNTA(A3625:G3625)=0,"",IF(AND(ISNUMBER(D3625),ISNUMBER(J3625)),ROUND(D3625*J3625*(1-N(F3625)),2),0))</f>
        <v/>
      </c>
      <c r="M3625" s="62" t="str">
        <f>IF(A3625="","",IFERROR(INDEX(fa_cname,MATCH(A3625,fa_num,0))&amp;"",""))</f>
        <v/>
      </c>
      <c r="N3625" s="59" t="str">
        <f>IF(COUNTA(A3625:G3625)=0,"",IF(A3625="","N° facture manquant",IF(ISNA(MATCH(A3625,fa_num,0)),"Facture inconnue",IF(AND(B3625&lt;&gt;"",ISNA(MATCH(B3625,pr_code,0))),"Article inconnu",IF(H3625="","Désignation manquante",IF(OR(NOT(ISNUMBER(D3625)),N(D3625)&lt;=0),"Quantité invalide",IF(J3625="","Prix manquant",IF(OR(NOT(ISNUMBER(J3625)),N(J3625)&lt;0),"Prix invalide",IF(OR(AND(F3625&lt;&gt;"",NOT(ISNUMBER(F3625))),N(F3625)&lt;0,N(F3625)&gt;1),"Remise invalide",IF(K3625="","Taux de TVA manquant",IF(NOT(ISNUMBER(K3625)),"Taux de TVA invalide",IF(COUNTIF(p_rates,K3625)=0,"Taux de TVA hors liste (Paramètres)",IF(N(O3625)&gt;25,"Au-delà de 25 lignes : non imprimée","OK")))))))))))))</f>
        <v/>
      </c>
      <c r="O3625" s="59" t="str">
        <f>IF(A3625="","",COUNTIF($A$6:A3625,A3625))</f>
        <v/>
      </c>
      <c r="P3625" s="62" t="str">
        <f>IF(A3625="","",A3625&amp;"|"&amp;O3625)</f>
        <v/>
      </c>
    </row>
    <row r="3626">
      <c r="A3626" s="60" t="n"/>
      <c r="B3626" s="63" t="n"/>
      <c r="C3626" s="63" t="n"/>
      <c r="D3626" s="67" t="n"/>
      <c r="E3626" s="68" t="n"/>
      <c r="F3626" s="69" t="n"/>
      <c r="G3626" s="70" t="n"/>
      <c r="H3626" s="62" t="str">
        <f>IF(COUNTA(A3626:G3626)=0,"",IF(C3626&lt;&gt;"",C3626,IF(B3626="","",IFERROR(INDEX(pr_des,MATCH(B3626,pr_code,0))&amp;"",""))))</f>
        <v/>
      </c>
      <c r="I3626" s="59" t="str">
        <f>IF(B3626="","",IFERROR(INDEX(pr_unit,MATCH(B3626,pr_code,0))&amp;"",""))</f>
        <v/>
      </c>
      <c r="J3626" s="65" t="str">
        <f>IF(COUNTA(A3626:G3626)=0,"",IF(E3626&lt;&gt;"",E3626,IF(B3626="","",IFERROR(IF(INDEX(pr_price,MATCH(B3626,pr_code,0))="","",INDEX(pr_price,MATCH(B3626,pr_code,0))),""))))</f>
        <v/>
      </c>
      <c r="K3626" s="71" t="str">
        <f>IF(COUNTA(A3626:G3626)=0,"",IF(G3626&lt;&gt;"",G3626,IF(B3626="","",IFERROR(IF(INDEX(pr_rate,MATCH(B3626,pr_code,0))="","",INDEX(pr_rate,MATCH(B3626,pr_code,0))),""))))</f>
        <v/>
      </c>
      <c r="L3626" s="65" t="str">
        <f>IF(COUNTA(A3626:G3626)=0,"",IF(AND(ISNUMBER(D3626),ISNUMBER(J3626)),ROUND(D3626*J3626*(1-N(F3626)),2),0))</f>
        <v/>
      </c>
      <c r="M3626" s="62" t="str">
        <f>IF(A3626="","",IFERROR(INDEX(fa_cname,MATCH(A3626,fa_num,0))&amp;"",""))</f>
        <v/>
      </c>
      <c r="N3626" s="59" t="str">
        <f>IF(COUNTA(A3626:G3626)=0,"",IF(A3626="","N° facture manquant",IF(ISNA(MATCH(A3626,fa_num,0)),"Facture inconnue",IF(AND(B3626&lt;&gt;"",ISNA(MATCH(B3626,pr_code,0))),"Article inconnu",IF(H3626="","Désignation manquante",IF(OR(NOT(ISNUMBER(D3626)),N(D3626)&lt;=0),"Quantité invalide",IF(J3626="","Prix manquant",IF(OR(NOT(ISNUMBER(J3626)),N(J3626)&lt;0),"Prix invalide",IF(OR(AND(F3626&lt;&gt;"",NOT(ISNUMBER(F3626))),N(F3626)&lt;0,N(F3626)&gt;1),"Remise invalide",IF(K3626="","Taux de TVA manquant",IF(NOT(ISNUMBER(K3626)),"Taux de TVA invalide",IF(COUNTIF(p_rates,K3626)=0,"Taux de TVA hors liste (Paramètres)",IF(N(O3626)&gt;25,"Au-delà de 25 lignes : non imprimée","OK")))))))))))))</f>
        <v/>
      </c>
      <c r="O3626" s="59" t="str">
        <f>IF(A3626="","",COUNTIF($A$6:A3626,A3626))</f>
        <v/>
      </c>
      <c r="P3626" s="62" t="str">
        <f>IF(A3626="","",A3626&amp;"|"&amp;O3626)</f>
        <v/>
      </c>
    </row>
    <row r="3627">
      <c r="A3627" s="60" t="n"/>
      <c r="B3627" s="63" t="n"/>
      <c r="C3627" s="63" t="n"/>
      <c r="D3627" s="67" t="n"/>
      <c r="E3627" s="68" t="n"/>
      <c r="F3627" s="69" t="n"/>
      <c r="G3627" s="70" t="n"/>
      <c r="H3627" s="62" t="str">
        <f>IF(COUNTA(A3627:G3627)=0,"",IF(C3627&lt;&gt;"",C3627,IF(B3627="","",IFERROR(INDEX(pr_des,MATCH(B3627,pr_code,0))&amp;"",""))))</f>
        <v/>
      </c>
      <c r="I3627" s="59" t="str">
        <f>IF(B3627="","",IFERROR(INDEX(pr_unit,MATCH(B3627,pr_code,0))&amp;"",""))</f>
        <v/>
      </c>
      <c r="J3627" s="65" t="str">
        <f>IF(COUNTA(A3627:G3627)=0,"",IF(E3627&lt;&gt;"",E3627,IF(B3627="","",IFERROR(IF(INDEX(pr_price,MATCH(B3627,pr_code,0))="","",INDEX(pr_price,MATCH(B3627,pr_code,0))),""))))</f>
        <v/>
      </c>
      <c r="K3627" s="71" t="str">
        <f>IF(COUNTA(A3627:G3627)=0,"",IF(G3627&lt;&gt;"",G3627,IF(B3627="","",IFERROR(IF(INDEX(pr_rate,MATCH(B3627,pr_code,0))="","",INDEX(pr_rate,MATCH(B3627,pr_code,0))),""))))</f>
        <v/>
      </c>
      <c r="L3627" s="65" t="str">
        <f>IF(COUNTA(A3627:G3627)=0,"",IF(AND(ISNUMBER(D3627),ISNUMBER(J3627)),ROUND(D3627*J3627*(1-N(F3627)),2),0))</f>
        <v/>
      </c>
      <c r="M3627" s="62" t="str">
        <f>IF(A3627="","",IFERROR(INDEX(fa_cname,MATCH(A3627,fa_num,0))&amp;"",""))</f>
        <v/>
      </c>
      <c r="N3627" s="59" t="str">
        <f>IF(COUNTA(A3627:G3627)=0,"",IF(A3627="","N° facture manquant",IF(ISNA(MATCH(A3627,fa_num,0)),"Facture inconnue",IF(AND(B3627&lt;&gt;"",ISNA(MATCH(B3627,pr_code,0))),"Article inconnu",IF(H3627="","Désignation manquante",IF(OR(NOT(ISNUMBER(D3627)),N(D3627)&lt;=0),"Quantité invalide",IF(J3627="","Prix manquant",IF(OR(NOT(ISNUMBER(J3627)),N(J3627)&lt;0),"Prix invalide",IF(OR(AND(F3627&lt;&gt;"",NOT(ISNUMBER(F3627))),N(F3627)&lt;0,N(F3627)&gt;1),"Remise invalide",IF(K3627="","Taux de TVA manquant",IF(NOT(ISNUMBER(K3627)),"Taux de TVA invalide",IF(COUNTIF(p_rates,K3627)=0,"Taux de TVA hors liste (Paramètres)",IF(N(O3627)&gt;25,"Au-delà de 25 lignes : non imprimée","OK")))))))))))))</f>
        <v/>
      </c>
      <c r="O3627" s="59" t="str">
        <f>IF(A3627="","",COUNTIF($A$6:A3627,A3627))</f>
        <v/>
      </c>
      <c r="P3627" s="62" t="str">
        <f>IF(A3627="","",A3627&amp;"|"&amp;O3627)</f>
        <v/>
      </c>
    </row>
    <row r="3628">
      <c r="A3628" s="60" t="n"/>
      <c r="B3628" s="63" t="n"/>
      <c r="C3628" s="63" t="n"/>
      <c r="D3628" s="67" t="n"/>
      <c r="E3628" s="68" t="n"/>
      <c r="F3628" s="69" t="n"/>
      <c r="G3628" s="70" t="n"/>
      <c r="H3628" s="62" t="str">
        <f>IF(COUNTA(A3628:G3628)=0,"",IF(C3628&lt;&gt;"",C3628,IF(B3628="","",IFERROR(INDEX(pr_des,MATCH(B3628,pr_code,0))&amp;"",""))))</f>
        <v/>
      </c>
      <c r="I3628" s="59" t="str">
        <f>IF(B3628="","",IFERROR(INDEX(pr_unit,MATCH(B3628,pr_code,0))&amp;"",""))</f>
        <v/>
      </c>
      <c r="J3628" s="65" t="str">
        <f>IF(COUNTA(A3628:G3628)=0,"",IF(E3628&lt;&gt;"",E3628,IF(B3628="","",IFERROR(IF(INDEX(pr_price,MATCH(B3628,pr_code,0))="","",INDEX(pr_price,MATCH(B3628,pr_code,0))),""))))</f>
        <v/>
      </c>
      <c r="K3628" s="71" t="str">
        <f>IF(COUNTA(A3628:G3628)=0,"",IF(G3628&lt;&gt;"",G3628,IF(B3628="","",IFERROR(IF(INDEX(pr_rate,MATCH(B3628,pr_code,0))="","",INDEX(pr_rate,MATCH(B3628,pr_code,0))),""))))</f>
        <v/>
      </c>
      <c r="L3628" s="65" t="str">
        <f>IF(COUNTA(A3628:G3628)=0,"",IF(AND(ISNUMBER(D3628),ISNUMBER(J3628)),ROUND(D3628*J3628*(1-N(F3628)),2),0))</f>
        <v/>
      </c>
      <c r="M3628" s="62" t="str">
        <f>IF(A3628="","",IFERROR(INDEX(fa_cname,MATCH(A3628,fa_num,0))&amp;"",""))</f>
        <v/>
      </c>
      <c r="N3628" s="59" t="str">
        <f>IF(COUNTA(A3628:G3628)=0,"",IF(A3628="","N° facture manquant",IF(ISNA(MATCH(A3628,fa_num,0)),"Facture inconnue",IF(AND(B3628&lt;&gt;"",ISNA(MATCH(B3628,pr_code,0))),"Article inconnu",IF(H3628="","Désignation manquante",IF(OR(NOT(ISNUMBER(D3628)),N(D3628)&lt;=0),"Quantité invalide",IF(J3628="","Prix manquant",IF(OR(NOT(ISNUMBER(J3628)),N(J3628)&lt;0),"Prix invalide",IF(OR(AND(F3628&lt;&gt;"",NOT(ISNUMBER(F3628))),N(F3628)&lt;0,N(F3628)&gt;1),"Remise invalide",IF(K3628="","Taux de TVA manquant",IF(NOT(ISNUMBER(K3628)),"Taux de TVA invalide",IF(COUNTIF(p_rates,K3628)=0,"Taux de TVA hors liste (Paramètres)",IF(N(O3628)&gt;25,"Au-delà de 25 lignes : non imprimée","OK")))))))))))))</f>
        <v/>
      </c>
      <c r="O3628" s="59" t="str">
        <f>IF(A3628="","",COUNTIF($A$6:A3628,A3628))</f>
        <v/>
      </c>
      <c r="P3628" s="62" t="str">
        <f>IF(A3628="","",A3628&amp;"|"&amp;O3628)</f>
        <v/>
      </c>
    </row>
    <row r="3629">
      <c r="A3629" s="60" t="n"/>
      <c r="B3629" s="63" t="n"/>
      <c r="C3629" s="63" t="n"/>
      <c r="D3629" s="67" t="n"/>
      <c r="E3629" s="68" t="n"/>
      <c r="F3629" s="69" t="n"/>
      <c r="G3629" s="70" t="n"/>
      <c r="H3629" s="62" t="str">
        <f>IF(COUNTA(A3629:G3629)=0,"",IF(C3629&lt;&gt;"",C3629,IF(B3629="","",IFERROR(INDEX(pr_des,MATCH(B3629,pr_code,0))&amp;"",""))))</f>
        <v/>
      </c>
      <c r="I3629" s="59" t="str">
        <f>IF(B3629="","",IFERROR(INDEX(pr_unit,MATCH(B3629,pr_code,0))&amp;"",""))</f>
        <v/>
      </c>
      <c r="J3629" s="65" t="str">
        <f>IF(COUNTA(A3629:G3629)=0,"",IF(E3629&lt;&gt;"",E3629,IF(B3629="","",IFERROR(IF(INDEX(pr_price,MATCH(B3629,pr_code,0))="","",INDEX(pr_price,MATCH(B3629,pr_code,0))),""))))</f>
        <v/>
      </c>
      <c r="K3629" s="71" t="str">
        <f>IF(COUNTA(A3629:G3629)=0,"",IF(G3629&lt;&gt;"",G3629,IF(B3629="","",IFERROR(IF(INDEX(pr_rate,MATCH(B3629,pr_code,0))="","",INDEX(pr_rate,MATCH(B3629,pr_code,0))),""))))</f>
        <v/>
      </c>
      <c r="L3629" s="65" t="str">
        <f>IF(COUNTA(A3629:G3629)=0,"",IF(AND(ISNUMBER(D3629),ISNUMBER(J3629)),ROUND(D3629*J3629*(1-N(F3629)),2),0))</f>
        <v/>
      </c>
      <c r="M3629" s="62" t="str">
        <f>IF(A3629="","",IFERROR(INDEX(fa_cname,MATCH(A3629,fa_num,0))&amp;"",""))</f>
        <v/>
      </c>
      <c r="N3629" s="59" t="str">
        <f>IF(COUNTA(A3629:G3629)=0,"",IF(A3629="","N° facture manquant",IF(ISNA(MATCH(A3629,fa_num,0)),"Facture inconnue",IF(AND(B3629&lt;&gt;"",ISNA(MATCH(B3629,pr_code,0))),"Article inconnu",IF(H3629="","Désignation manquante",IF(OR(NOT(ISNUMBER(D3629)),N(D3629)&lt;=0),"Quantité invalide",IF(J3629="","Prix manquant",IF(OR(NOT(ISNUMBER(J3629)),N(J3629)&lt;0),"Prix invalide",IF(OR(AND(F3629&lt;&gt;"",NOT(ISNUMBER(F3629))),N(F3629)&lt;0,N(F3629)&gt;1),"Remise invalide",IF(K3629="","Taux de TVA manquant",IF(NOT(ISNUMBER(K3629)),"Taux de TVA invalide",IF(COUNTIF(p_rates,K3629)=0,"Taux de TVA hors liste (Paramètres)",IF(N(O3629)&gt;25,"Au-delà de 25 lignes : non imprimée","OK")))))))))))))</f>
        <v/>
      </c>
      <c r="O3629" s="59" t="str">
        <f>IF(A3629="","",COUNTIF($A$6:A3629,A3629))</f>
        <v/>
      </c>
      <c r="P3629" s="62" t="str">
        <f>IF(A3629="","",A3629&amp;"|"&amp;O3629)</f>
        <v/>
      </c>
    </row>
    <row r="3630">
      <c r="A3630" s="60" t="n"/>
      <c r="B3630" s="63" t="n"/>
      <c r="C3630" s="63" t="n"/>
      <c r="D3630" s="67" t="n"/>
      <c r="E3630" s="68" t="n"/>
      <c r="F3630" s="69" t="n"/>
      <c r="G3630" s="70" t="n"/>
      <c r="H3630" s="62" t="str">
        <f>IF(COUNTA(A3630:G3630)=0,"",IF(C3630&lt;&gt;"",C3630,IF(B3630="","",IFERROR(INDEX(pr_des,MATCH(B3630,pr_code,0))&amp;"",""))))</f>
        <v/>
      </c>
      <c r="I3630" s="59" t="str">
        <f>IF(B3630="","",IFERROR(INDEX(pr_unit,MATCH(B3630,pr_code,0))&amp;"",""))</f>
        <v/>
      </c>
      <c r="J3630" s="65" t="str">
        <f>IF(COUNTA(A3630:G3630)=0,"",IF(E3630&lt;&gt;"",E3630,IF(B3630="","",IFERROR(IF(INDEX(pr_price,MATCH(B3630,pr_code,0))="","",INDEX(pr_price,MATCH(B3630,pr_code,0))),""))))</f>
        <v/>
      </c>
      <c r="K3630" s="71" t="str">
        <f>IF(COUNTA(A3630:G3630)=0,"",IF(G3630&lt;&gt;"",G3630,IF(B3630="","",IFERROR(IF(INDEX(pr_rate,MATCH(B3630,pr_code,0))="","",INDEX(pr_rate,MATCH(B3630,pr_code,0))),""))))</f>
        <v/>
      </c>
      <c r="L3630" s="65" t="str">
        <f>IF(COUNTA(A3630:G3630)=0,"",IF(AND(ISNUMBER(D3630),ISNUMBER(J3630)),ROUND(D3630*J3630*(1-N(F3630)),2),0))</f>
        <v/>
      </c>
      <c r="M3630" s="62" t="str">
        <f>IF(A3630="","",IFERROR(INDEX(fa_cname,MATCH(A3630,fa_num,0))&amp;"",""))</f>
        <v/>
      </c>
      <c r="N3630" s="59" t="str">
        <f>IF(COUNTA(A3630:G3630)=0,"",IF(A3630="","N° facture manquant",IF(ISNA(MATCH(A3630,fa_num,0)),"Facture inconnue",IF(AND(B3630&lt;&gt;"",ISNA(MATCH(B3630,pr_code,0))),"Article inconnu",IF(H3630="","Désignation manquante",IF(OR(NOT(ISNUMBER(D3630)),N(D3630)&lt;=0),"Quantité invalide",IF(J3630="","Prix manquant",IF(OR(NOT(ISNUMBER(J3630)),N(J3630)&lt;0),"Prix invalide",IF(OR(AND(F3630&lt;&gt;"",NOT(ISNUMBER(F3630))),N(F3630)&lt;0,N(F3630)&gt;1),"Remise invalide",IF(K3630="","Taux de TVA manquant",IF(NOT(ISNUMBER(K3630)),"Taux de TVA invalide",IF(COUNTIF(p_rates,K3630)=0,"Taux de TVA hors liste (Paramètres)",IF(N(O3630)&gt;25,"Au-delà de 25 lignes : non imprimée","OK")))))))))))))</f>
        <v/>
      </c>
      <c r="O3630" s="59" t="str">
        <f>IF(A3630="","",COUNTIF($A$6:A3630,A3630))</f>
        <v/>
      </c>
      <c r="P3630" s="62" t="str">
        <f>IF(A3630="","",A3630&amp;"|"&amp;O3630)</f>
        <v/>
      </c>
    </row>
    <row r="3631">
      <c r="A3631" s="60" t="n"/>
      <c r="B3631" s="63" t="n"/>
      <c r="C3631" s="63" t="n"/>
      <c r="D3631" s="67" t="n"/>
      <c r="E3631" s="68" t="n"/>
      <c r="F3631" s="69" t="n"/>
      <c r="G3631" s="70" t="n"/>
      <c r="H3631" s="62" t="str">
        <f>IF(COUNTA(A3631:G3631)=0,"",IF(C3631&lt;&gt;"",C3631,IF(B3631="","",IFERROR(INDEX(pr_des,MATCH(B3631,pr_code,0))&amp;"",""))))</f>
        <v/>
      </c>
      <c r="I3631" s="59" t="str">
        <f>IF(B3631="","",IFERROR(INDEX(pr_unit,MATCH(B3631,pr_code,0))&amp;"",""))</f>
        <v/>
      </c>
      <c r="J3631" s="65" t="str">
        <f>IF(COUNTA(A3631:G3631)=0,"",IF(E3631&lt;&gt;"",E3631,IF(B3631="","",IFERROR(IF(INDEX(pr_price,MATCH(B3631,pr_code,0))="","",INDEX(pr_price,MATCH(B3631,pr_code,0))),""))))</f>
        <v/>
      </c>
      <c r="K3631" s="71" t="str">
        <f>IF(COUNTA(A3631:G3631)=0,"",IF(G3631&lt;&gt;"",G3631,IF(B3631="","",IFERROR(IF(INDEX(pr_rate,MATCH(B3631,pr_code,0))="","",INDEX(pr_rate,MATCH(B3631,pr_code,0))),""))))</f>
        <v/>
      </c>
      <c r="L3631" s="65" t="str">
        <f>IF(COUNTA(A3631:G3631)=0,"",IF(AND(ISNUMBER(D3631),ISNUMBER(J3631)),ROUND(D3631*J3631*(1-N(F3631)),2),0))</f>
        <v/>
      </c>
      <c r="M3631" s="62" t="str">
        <f>IF(A3631="","",IFERROR(INDEX(fa_cname,MATCH(A3631,fa_num,0))&amp;"",""))</f>
        <v/>
      </c>
      <c r="N3631" s="59" t="str">
        <f>IF(COUNTA(A3631:G3631)=0,"",IF(A3631="","N° facture manquant",IF(ISNA(MATCH(A3631,fa_num,0)),"Facture inconnue",IF(AND(B3631&lt;&gt;"",ISNA(MATCH(B3631,pr_code,0))),"Article inconnu",IF(H3631="","Désignation manquante",IF(OR(NOT(ISNUMBER(D3631)),N(D3631)&lt;=0),"Quantité invalide",IF(J3631="","Prix manquant",IF(OR(NOT(ISNUMBER(J3631)),N(J3631)&lt;0),"Prix invalide",IF(OR(AND(F3631&lt;&gt;"",NOT(ISNUMBER(F3631))),N(F3631)&lt;0,N(F3631)&gt;1),"Remise invalide",IF(K3631="","Taux de TVA manquant",IF(NOT(ISNUMBER(K3631)),"Taux de TVA invalide",IF(COUNTIF(p_rates,K3631)=0,"Taux de TVA hors liste (Paramètres)",IF(N(O3631)&gt;25,"Au-delà de 25 lignes : non imprimée","OK")))))))))))))</f>
        <v/>
      </c>
      <c r="O3631" s="59" t="str">
        <f>IF(A3631="","",COUNTIF($A$6:A3631,A3631))</f>
        <v/>
      </c>
      <c r="P3631" s="62" t="str">
        <f>IF(A3631="","",A3631&amp;"|"&amp;O3631)</f>
        <v/>
      </c>
    </row>
    <row r="3632">
      <c r="A3632" s="60" t="n"/>
      <c r="B3632" s="63" t="n"/>
      <c r="C3632" s="63" t="n"/>
      <c r="D3632" s="67" t="n"/>
      <c r="E3632" s="68" t="n"/>
      <c r="F3632" s="69" t="n"/>
      <c r="G3632" s="70" t="n"/>
      <c r="H3632" s="62" t="str">
        <f>IF(COUNTA(A3632:G3632)=0,"",IF(C3632&lt;&gt;"",C3632,IF(B3632="","",IFERROR(INDEX(pr_des,MATCH(B3632,pr_code,0))&amp;"",""))))</f>
        <v/>
      </c>
      <c r="I3632" s="59" t="str">
        <f>IF(B3632="","",IFERROR(INDEX(pr_unit,MATCH(B3632,pr_code,0))&amp;"",""))</f>
        <v/>
      </c>
      <c r="J3632" s="65" t="str">
        <f>IF(COUNTA(A3632:G3632)=0,"",IF(E3632&lt;&gt;"",E3632,IF(B3632="","",IFERROR(IF(INDEX(pr_price,MATCH(B3632,pr_code,0))="","",INDEX(pr_price,MATCH(B3632,pr_code,0))),""))))</f>
        <v/>
      </c>
      <c r="K3632" s="71" t="str">
        <f>IF(COUNTA(A3632:G3632)=0,"",IF(G3632&lt;&gt;"",G3632,IF(B3632="","",IFERROR(IF(INDEX(pr_rate,MATCH(B3632,pr_code,0))="","",INDEX(pr_rate,MATCH(B3632,pr_code,0))),""))))</f>
        <v/>
      </c>
      <c r="L3632" s="65" t="str">
        <f>IF(COUNTA(A3632:G3632)=0,"",IF(AND(ISNUMBER(D3632),ISNUMBER(J3632)),ROUND(D3632*J3632*(1-N(F3632)),2),0))</f>
        <v/>
      </c>
      <c r="M3632" s="62" t="str">
        <f>IF(A3632="","",IFERROR(INDEX(fa_cname,MATCH(A3632,fa_num,0))&amp;"",""))</f>
        <v/>
      </c>
      <c r="N3632" s="59" t="str">
        <f>IF(COUNTA(A3632:G3632)=0,"",IF(A3632="","N° facture manquant",IF(ISNA(MATCH(A3632,fa_num,0)),"Facture inconnue",IF(AND(B3632&lt;&gt;"",ISNA(MATCH(B3632,pr_code,0))),"Article inconnu",IF(H3632="","Désignation manquante",IF(OR(NOT(ISNUMBER(D3632)),N(D3632)&lt;=0),"Quantité invalide",IF(J3632="","Prix manquant",IF(OR(NOT(ISNUMBER(J3632)),N(J3632)&lt;0),"Prix invalide",IF(OR(AND(F3632&lt;&gt;"",NOT(ISNUMBER(F3632))),N(F3632)&lt;0,N(F3632)&gt;1),"Remise invalide",IF(K3632="","Taux de TVA manquant",IF(NOT(ISNUMBER(K3632)),"Taux de TVA invalide",IF(COUNTIF(p_rates,K3632)=0,"Taux de TVA hors liste (Paramètres)",IF(N(O3632)&gt;25,"Au-delà de 25 lignes : non imprimée","OK")))))))))))))</f>
        <v/>
      </c>
      <c r="O3632" s="59" t="str">
        <f>IF(A3632="","",COUNTIF($A$6:A3632,A3632))</f>
        <v/>
      </c>
      <c r="P3632" s="62" t="str">
        <f>IF(A3632="","",A3632&amp;"|"&amp;O3632)</f>
        <v/>
      </c>
    </row>
    <row r="3633">
      <c r="A3633" s="60" t="n"/>
      <c r="B3633" s="63" t="n"/>
      <c r="C3633" s="63" t="n"/>
      <c r="D3633" s="67" t="n"/>
      <c r="E3633" s="68" t="n"/>
      <c r="F3633" s="69" t="n"/>
      <c r="G3633" s="70" t="n"/>
      <c r="H3633" s="62" t="str">
        <f>IF(COUNTA(A3633:G3633)=0,"",IF(C3633&lt;&gt;"",C3633,IF(B3633="","",IFERROR(INDEX(pr_des,MATCH(B3633,pr_code,0))&amp;"",""))))</f>
        <v/>
      </c>
      <c r="I3633" s="59" t="str">
        <f>IF(B3633="","",IFERROR(INDEX(pr_unit,MATCH(B3633,pr_code,0))&amp;"",""))</f>
        <v/>
      </c>
      <c r="J3633" s="65" t="str">
        <f>IF(COUNTA(A3633:G3633)=0,"",IF(E3633&lt;&gt;"",E3633,IF(B3633="","",IFERROR(IF(INDEX(pr_price,MATCH(B3633,pr_code,0))="","",INDEX(pr_price,MATCH(B3633,pr_code,0))),""))))</f>
        <v/>
      </c>
      <c r="K3633" s="71" t="str">
        <f>IF(COUNTA(A3633:G3633)=0,"",IF(G3633&lt;&gt;"",G3633,IF(B3633="","",IFERROR(IF(INDEX(pr_rate,MATCH(B3633,pr_code,0))="","",INDEX(pr_rate,MATCH(B3633,pr_code,0))),""))))</f>
        <v/>
      </c>
      <c r="L3633" s="65" t="str">
        <f>IF(COUNTA(A3633:G3633)=0,"",IF(AND(ISNUMBER(D3633),ISNUMBER(J3633)),ROUND(D3633*J3633*(1-N(F3633)),2),0))</f>
        <v/>
      </c>
      <c r="M3633" s="62" t="str">
        <f>IF(A3633="","",IFERROR(INDEX(fa_cname,MATCH(A3633,fa_num,0))&amp;"",""))</f>
        <v/>
      </c>
      <c r="N3633" s="59" t="str">
        <f>IF(COUNTA(A3633:G3633)=0,"",IF(A3633="","N° facture manquant",IF(ISNA(MATCH(A3633,fa_num,0)),"Facture inconnue",IF(AND(B3633&lt;&gt;"",ISNA(MATCH(B3633,pr_code,0))),"Article inconnu",IF(H3633="","Désignation manquante",IF(OR(NOT(ISNUMBER(D3633)),N(D3633)&lt;=0),"Quantité invalide",IF(J3633="","Prix manquant",IF(OR(NOT(ISNUMBER(J3633)),N(J3633)&lt;0),"Prix invalide",IF(OR(AND(F3633&lt;&gt;"",NOT(ISNUMBER(F3633))),N(F3633)&lt;0,N(F3633)&gt;1),"Remise invalide",IF(K3633="","Taux de TVA manquant",IF(NOT(ISNUMBER(K3633)),"Taux de TVA invalide",IF(COUNTIF(p_rates,K3633)=0,"Taux de TVA hors liste (Paramètres)",IF(N(O3633)&gt;25,"Au-delà de 25 lignes : non imprimée","OK")))))))))))))</f>
        <v/>
      </c>
      <c r="O3633" s="59" t="str">
        <f>IF(A3633="","",COUNTIF($A$6:A3633,A3633))</f>
        <v/>
      </c>
      <c r="P3633" s="62" t="str">
        <f>IF(A3633="","",A3633&amp;"|"&amp;O3633)</f>
        <v/>
      </c>
    </row>
    <row r="3634">
      <c r="A3634" s="60" t="n"/>
      <c r="B3634" s="63" t="n"/>
      <c r="C3634" s="63" t="n"/>
      <c r="D3634" s="67" t="n"/>
      <c r="E3634" s="68" t="n"/>
      <c r="F3634" s="69" t="n"/>
      <c r="G3634" s="70" t="n"/>
      <c r="H3634" s="62" t="str">
        <f>IF(COUNTA(A3634:G3634)=0,"",IF(C3634&lt;&gt;"",C3634,IF(B3634="","",IFERROR(INDEX(pr_des,MATCH(B3634,pr_code,0))&amp;"",""))))</f>
        <v/>
      </c>
      <c r="I3634" s="59" t="str">
        <f>IF(B3634="","",IFERROR(INDEX(pr_unit,MATCH(B3634,pr_code,0))&amp;"",""))</f>
        <v/>
      </c>
      <c r="J3634" s="65" t="str">
        <f>IF(COUNTA(A3634:G3634)=0,"",IF(E3634&lt;&gt;"",E3634,IF(B3634="","",IFERROR(IF(INDEX(pr_price,MATCH(B3634,pr_code,0))="","",INDEX(pr_price,MATCH(B3634,pr_code,0))),""))))</f>
        <v/>
      </c>
      <c r="K3634" s="71" t="str">
        <f>IF(COUNTA(A3634:G3634)=0,"",IF(G3634&lt;&gt;"",G3634,IF(B3634="","",IFERROR(IF(INDEX(pr_rate,MATCH(B3634,pr_code,0))="","",INDEX(pr_rate,MATCH(B3634,pr_code,0))),""))))</f>
        <v/>
      </c>
      <c r="L3634" s="65" t="str">
        <f>IF(COUNTA(A3634:G3634)=0,"",IF(AND(ISNUMBER(D3634),ISNUMBER(J3634)),ROUND(D3634*J3634*(1-N(F3634)),2),0))</f>
        <v/>
      </c>
      <c r="M3634" s="62" t="str">
        <f>IF(A3634="","",IFERROR(INDEX(fa_cname,MATCH(A3634,fa_num,0))&amp;"",""))</f>
        <v/>
      </c>
      <c r="N3634" s="59" t="str">
        <f>IF(COUNTA(A3634:G3634)=0,"",IF(A3634="","N° facture manquant",IF(ISNA(MATCH(A3634,fa_num,0)),"Facture inconnue",IF(AND(B3634&lt;&gt;"",ISNA(MATCH(B3634,pr_code,0))),"Article inconnu",IF(H3634="","Désignation manquante",IF(OR(NOT(ISNUMBER(D3634)),N(D3634)&lt;=0),"Quantité invalide",IF(J3634="","Prix manquant",IF(OR(NOT(ISNUMBER(J3634)),N(J3634)&lt;0),"Prix invalide",IF(OR(AND(F3634&lt;&gt;"",NOT(ISNUMBER(F3634))),N(F3634)&lt;0,N(F3634)&gt;1),"Remise invalide",IF(K3634="","Taux de TVA manquant",IF(NOT(ISNUMBER(K3634)),"Taux de TVA invalide",IF(COUNTIF(p_rates,K3634)=0,"Taux de TVA hors liste (Paramètres)",IF(N(O3634)&gt;25,"Au-delà de 25 lignes : non imprimée","OK")))))))))))))</f>
        <v/>
      </c>
      <c r="O3634" s="59" t="str">
        <f>IF(A3634="","",COUNTIF($A$6:A3634,A3634))</f>
        <v/>
      </c>
      <c r="P3634" s="62" t="str">
        <f>IF(A3634="","",A3634&amp;"|"&amp;O3634)</f>
        <v/>
      </c>
    </row>
    <row r="3635">
      <c r="A3635" s="60" t="n"/>
      <c r="B3635" s="63" t="n"/>
      <c r="C3635" s="63" t="n"/>
      <c r="D3635" s="67" t="n"/>
      <c r="E3635" s="68" t="n"/>
      <c r="F3635" s="69" t="n"/>
      <c r="G3635" s="70" t="n"/>
      <c r="H3635" s="62" t="str">
        <f>IF(COUNTA(A3635:G3635)=0,"",IF(C3635&lt;&gt;"",C3635,IF(B3635="","",IFERROR(INDEX(pr_des,MATCH(B3635,pr_code,0))&amp;"",""))))</f>
        <v/>
      </c>
      <c r="I3635" s="59" t="str">
        <f>IF(B3635="","",IFERROR(INDEX(pr_unit,MATCH(B3635,pr_code,0))&amp;"",""))</f>
        <v/>
      </c>
      <c r="J3635" s="65" t="str">
        <f>IF(COUNTA(A3635:G3635)=0,"",IF(E3635&lt;&gt;"",E3635,IF(B3635="","",IFERROR(IF(INDEX(pr_price,MATCH(B3635,pr_code,0))="","",INDEX(pr_price,MATCH(B3635,pr_code,0))),""))))</f>
        <v/>
      </c>
      <c r="K3635" s="71" t="str">
        <f>IF(COUNTA(A3635:G3635)=0,"",IF(G3635&lt;&gt;"",G3635,IF(B3635="","",IFERROR(IF(INDEX(pr_rate,MATCH(B3635,pr_code,0))="","",INDEX(pr_rate,MATCH(B3635,pr_code,0))),""))))</f>
        <v/>
      </c>
      <c r="L3635" s="65" t="str">
        <f>IF(COUNTA(A3635:G3635)=0,"",IF(AND(ISNUMBER(D3635),ISNUMBER(J3635)),ROUND(D3635*J3635*(1-N(F3635)),2),0))</f>
        <v/>
      </c>
      <c r="M3635" s="62" t="str">
        <f>IF(A3635="","",IFERROR(INDEX(fa_cname,MATCH(A3635,fa_num,0))&amp;"",""))</f>
        <v/>
      </c>
      <c r="N3635" s="59" t="str">
        <f>IF(COUNTA(A3635:G3635)=0,"",IF(A3635="","N° facture manquant",IF(ISNA(MATCH(A3635,fa_num,0)),"Facture inconnue",IF(AND(B3635&lt;&gt;"",ISNA(MATCH(B3635,pr_code,0))),"Article inconnu",IF(H3635="","Désignation manquante",IF(OR(NOT(ISNUMBER(D3635)),N(D3635)&lt;=0),"Quantité invalide",IF(J3635="","Prix manquant",IF(OR(NOT(ISNUMBER(J3635)),N(J3635)&lt;0),"Prix invalide",IF(OR(AND(F3635&lt;&gt;"",NOT(ISNUMBER(F3635))),N(F3635)&lt;0,N(F3635)&gt;1),"Remise invalide",IF(K3635="","Taux de TVA manquant",IF(NOT(ISNUMBER(K3635)),"Taux de TVA invalide",IF(COUNTIF(p_rates,K3635)=0,"Taux de TVA hors liste (Paramètres)",IF(N(O3635)&gt;25,"Au-delà de 25 lignes : non imprimée","OK")))))))))))))</f>
        <v/>
      </c>
      <c r="O3635" s="59" t="str">
        <f>IF(A3635="","",COUNTIF($A$6:A3635,A3635))</f>
        <v/>
      </c>
      <c r="P3635" s="62" t="str">
        <f>IF(A3635="","",A3635&amp;"|"&amp;O3635)</f>
        <v/>
      </c>
    </row>
    <row r="3636">
      <c r="A3636" s="60" t="n"/>
      <c r="B3636" s="63" t="n"/>
      <c r="C3636" s="63" t="n"/>
      <c r="D3636" s="67" t="n"/>
      <c r="E3636" s="68" t="n"/>
      <c r="F3636" s="69" t="n"/>
      <c r="G3636" s="70" t="n"/>
      <c r="H3636" s="62" t="str">
        <f>IF(COUNTA(A3636:G3636)=0,"",IF(C3636&lt;&gt;"",C3636,IF(B3636="","",IFERROR(INDEX(pr_des,MATCH(B3636,pr_code,0))&amp;"",""))))</f>
        <v/>
      </c>
      <c r="I3636" s="59" t="str">
        <f>IF(B3636="","",IFERROR(INDEX(pr_unit,MATCH(B3636,pr_code,0))&amp;"",""))</f>
        <v/>
      </c>
      <c r="J3636" s="65" t="str">
        <f>IF(COUNTA(A3636:G3636)=0,"",IF(E3636&lt;&gt;"",E3636,IF(B3636="","",IFERROR(IF(INDEX(pr_price,MATCH(B3636,pr_code,0))="","",INDEX(pr_price,MATCH(B3636,pr_code,0))),""))))</f>
        <v/>
      </c>
      <c r="K3636" s="71" t="str">
        <f>IF(COUNTA(A3636:G3636)=0,"",IF(G3636&lt;&gt;"",G3636,IF(B3636="","",IFERROR(IF(INDEX(pr_rate,MATCH(B3636,pr_code,0))="","",INDEX(pr_rate,MATCH(B3636,pr_code,0))),""))))</f>
        <v/>
      </c>
      <c r="L3636" s="65" t="str">
        <f>IF(COUNTA(A3636:G3636)=0,"",IF(AND(ISNUMBER(D3636),ISNUMBER(J3636)),ROUND(D3636*J3636*(1-N(F3636)),2),0))</f>
        <v/>
      </c>
      <c r="M3636" s="62" t="str">
        <f>IF(A3636="","",IFERROR(INDEX(fa_cname,MATCH(A3636,fa_num,0))&amp;"",""))</f>
        <v/>
      </c>
      <c r="N3636" s="59" t="str">
        <f>IF(COUNTA(A3636:G3636)=0,"",IF(A3636="","N° facture manquant",IF(ISNA(MATCH(A3636,fa_num,0)),"Facture inconnue",IF(AND(B3636&lt;&gt;"",ISNA(MATCH(B3636,pr_code,0))),"Article inconnu",IF(H3636="","Désignation manquante",IF(OR(NOT(ISNUMBER(D3636)),N(D3636)&lt;=0),"Quantité invalide",IF(J3636="","Prix manquant",IF(OR(NOT(ISNUMBER(J3636)),N(J3636)&lt;0),"Prix invalide",IF(OR(AND(F3636&lt;&gt;"",NOT(ISNUMBER(F3636))),N(F3636)&lt;0,N(F3636)&gt;1),"Remise invalide",IF(K3636="","Taux de TVA manquant",IF(NOT(ISNUMBER(K3636)),"Taux de TVA invalide",IF(COUNTIF(p_rates,K3636)=0,"Taux de TVA hors liste (Paramètres)",IF(N(O3636)&gt;25,"Au-delà de 25 lignes : non imprimée","OK")))))))))))))</f>
        <v/>
      </c>
      <c r="O3636" s="59" t="str">
        <f>IF(A3636="","",COUNTIF($A$6:A3636,A3636))</f>
        <v/>
      </c>
      <c r="P3636" s="62" t="str">
        <f>IF(A3636="","",A3636&amp;"|"&amp;O3636)</f>
        <v/>
      </c>
    </row>
    <row r="3637">
      <c r="A3637" s="60" t="n"/>
      <c r="B3637" s="63" t="n"/>
      <c r="C3637" s="63" t="n"/>
      <c r="D3637" s="67" t="n"/>
      <c r="E3637" s="68" t="n"/>
      <c r="F3637" s="69" t="n"/>
      <c r="G3637" s="70" t="n"/>
      <c r="H3637" s="62" t="str">
        <f>IF(COUNTA(A3637:G3637)=0,"",IF(C3637&lt;&gt;"",C3637,IF(B3637="","",IFERROR(INDEX(pr_des,MATCH(B3637,pr_code,0))&amp;"",""))))</f>
        <v/>
      </c>
      <c r="I3637" s="59" t="str">
        <f>IF(B3637="","",IFERROR(INDEX(pr_unit,MATCH(B3637,pr_code,0))&amp;"",""))</f>
        <v/>
      </c>
      <c r="J3637" s="65" t="str">
        <f>IF(COUNTA(A3637:G3637)=0,"",IF(E3637&lt;&gt;"",E3637,IF(B3637="","",IFERROR(IF(INDEX(pr_price,MATCH(B3637,pr_code,0))="","",INDEX(pr_price,MATCH(B3637,pr_code,0))),""))))</f>
        <v/>
      </c>
      <c r="K3637" s="71" t="str">
        <f>IF(COUNTA(A3637:G3637)=0,"",IF(G3637&lt;&gt;"",G3637,IF(B3637="","",IFERROR(IF(INDEX(pr_rate,MATCH(B3637,pr_code,0))="","",INDEX(pr_rate,MATCH(B3637,pr_code,0))),""))))</f>
        <v/>
      </c>
      <c r="L3637" s="65" t="str">
        <f>IF(COUNTA(A3637:G3637)=0,"",IF(AND(ISNUMBER(D3637),ISNUMBER(J3637)),ROUND(D3637*J3637*(1-N(F3637)),2),0))</f>
        <v/>
      </c>
      <c r="M3637" s="62" t="str">
        <f>IF(A3637="","",IFERROR(INDEX(fa_cname,MATCH(A3637,fa_num,0))&amp;"",""))</f>
        <v/>
      </c>
      <c r="N3637" s="59" t="str">
        <f>IF(COUNTA(A3637:G3637)=0,"",IF(A3637="","N° facture manquant",IF(ISNA(MATCH(A3637,fa_num,0)),"Facture inconnue",IF(AND(B3637&lt;&gt;"",ISNA(MATCH(B3637,pr_code,0))),"Article inconnu",IF(H3637="","Désignation manquante",IF(OR(NOT(ISNUMBER(D3637)),N(D3637)&lt;=0),"Quantité invalide",IF(J3637="","Prix manquant",IF(OR(NOT(ISNUMBER(J3637)),N(J3637)&lt;0),"Prix invalide",IF(OR(AND(F3637&lt;&gt;"",NOT(ISNUMBER(F3637))),N(F3637)&lt;0,N(F3637)&gt;1),"Remise invalide",IF(K3637="","Taux de TVA manquant",IF(NOT(ISNUMBER(K3637)),"Taux de TVA invalide",IF(COUNTIF(p_rates,K3637)=0,"Taux de TVA hors liste (Paramètres)",IF(N(O3637)&gt;25,"Au-delà de 25 lignes : non imprimée","OK")))))))))))))</f>
        <v/>
      </c>
      <c r="O3637" s="59" t="str">
        <f>IF(A3637="","",COUNTIF($A$6:A3637,A3637))</f>
        <v/>
      </c>
      <c r="P3637" s="62" t="str">
        <f>IF(A3637="","",A3637&amp;"|"&amp;O3637)</f>
        <v/>
      </c>
    </row>
    <row r="3638">
      <c r="A3638" s="60" t="n"/>
      <c r="B3638" s="63" t="n"/>
      <c r="C3638" s="63" t="n"/>
      <c r="D3638" s="67" t="n"/>
      <c r="E3638" s="68" t="n"/>
      <c r="F3638" s="69" t="n"/>
      <c r="G3638" s="70" t="n"/>
      <c r="H3638" s="62" t="str">
        <f>IF(COUNTA(A3638:G3638)=0,"",IF(C3638&lt;&gt;"",C3638,IF(B3638="","",IFERROR(INDEX(pr_des,MATCH(B3638,pr_code,0))&amp;"",""))))</f>
        <v/>
      </c>
      <c r="I3638" s="59" t="str">
        <f>IF(B3638="","",IFERROR(INDEX(pr_unit,MATCH(B3638,pr_code,0))&amp;"",""))</f>
        <v/>
      </c>
      <c r="J3638" s="65" t="str">
        <f>IF(COUNTA(A3638:G3638)=0,"",IF(E3638&lt;&gt;"",E3638,IF(B3638="","",IFERROR(IF(INDEX(pr_price,MATCH(B3638,pr_code,0))="","",INDEX(pr_price,MATCH(B3638,pr_code,0))),""))))</f>
        <v/>
      </c>
      <c r="K3638" s="71" t="str">
        <f>IF(COUNTA(A3638:G3638)=0,"",IF(G3638&lt;&gt;"",G3638,IF(B3638="","",IFERROR(IF(INDEX(pr_rate,MATCH(B3638,pr_code,0))="","",INDEX(pr_rate,MATCH(B3638,pr_code,0))),""))))</f>
        <v/>
      </c>
      <c r="L3638" s="65" t="str">
        <f>IF(COUNTA(A3638:G3638)=0,"",IF(AND(ISNUMBER(D3638),ISNUMBER(J3638)),ROUND(D3638*J3638*(1-N(F3638)),2),0))</f>
        <v/>
      </c>
      <c r="M3638" s="62" t="str">
        <f>IF(A3638="","",IFERROR(INDEX(fa_cname,MATCH(A3638,fa_num,0))&amp;"",""))</f>
        <v/>
      </c>
      <c r="N3638" s="59" t="str">
        <f>IF(COUNTA(A3638:G3638)=0,"",IF(A3638="","N° facture manquant",IF(ISNA(MATCH(A3638,fa_num,0)),"Facture inconnue",IF(AND(B3638&lt;&gt;"",ISNA(MATCH(B3638,pr_code,0))),"Article inconnu",IF(H3638="","Désignation manquante",IF(OR(NOT(ISNUMBER(D3638)),N(D3638)&lt;=0),"Quantité invalide",IF(J3638="","Prix manquant",IF(OR(NOT(ISNUMBER(J3638)),N(J3638)&lt;0),"Prix invalide",IF(OR(AND(F3638&lt;&gt;"",NOT(ISNUMBER(F3638))),N(F3638)&lt;0,N(F3638)&gt;1),"Remise invalide",IF(K3638="","Taux de TVA manquant",IF(NOT(ISNUMBER(K3638)),"Taux de TVA invalide",IF(COUNTIF(p_rates,K3638)=0,"Taux de TVA hors liste (Paramètres)",IF(N(O3638)&gt;25,"Au-delà de 25 lignes : non imprimée","OK")))))))))))))</f>
        <v/>
      </c>
      <c r="O3638" s="59" t="str">
        <f>IF(A3638="","",COUNTIF($A$6:A3638,A3638))</f>
        <v/>
      </c>
      <c r="P3638" s="62" t="str">
        <f>IF(A3638="","",A3638&amp;"|"&amp;O3638)</f>
        <v/>
      </c>
    </row>
    <row r="3639">
      <c r="A3639" s="60" t="n"/>
      <c r="B3639" s="63" t="n"/>
      <c r="C3639" s="63" t="n"/>
      <c r="D3639" s="67" t="n"/>
      <c r="E3639" s="68" t="n"/>
      <c r="F3639" s="69" t="n"/>
      <c r="G3639" s="70" t="n"/>
      <c r="H3639" s="62" t="str">
        <f>IF(COUNTA(A3639:G3639)=0,"",IF(C3639&lt;&gt;"",C3639,IF(B3639="","",IFERROR(INDEX(pr_des,MATCH(B3639,pr_code,0))&amp;"",""))))</f>
        <v/>
      </c>
      <c r="I3639" s="59" t="str">
        <f>IF(B3639="","",IFERROR(INDEX(pr_unit,MATCH(B3639,pr_code,0))&amp;"",""))</f>
        <v/>
      </c>
      <c r="J3639" s="65" t="str">
        <f>IF(COUNTA(A3639:G3639)=0,"",IF(E3639&lt;&gt;"",E3639,IF(B3639="","",IFERROR(IF(INDEX(pr_price,MATCH(B3639,pr_code,0))="","",INDEX(pr_price,MATCH(B3639,pr_code,0))),""))))</f>
        <v/>
      </c>
      <c r="K3639" s="71" t="str">
        <f>IF(COUNTA(A3639:G3639)=0,"",IF(G3639&lt;&gt;"",G3639,IF(B3639="","",IFERROR(IF(INDEX(pr_rate,MATCH(B3639,pr_code,0))="","",INDEX(pr_rate,MATCH(B3639,pr_code,0))),""))))</f>
        <v/>
      </c>
      <c r="L3639" s="65" t="str">
        <f>IF(COUNTA(A3639:G3639)=0,"",IF(AND(ISNUMBER(D3639),ISNUMBER(J3639)),ROUND(D3639*J3639*(1-N(F3639)),2),0))</f>
        <v/>
      </c>
      <c r="M3639" s="62" t="str">
        <f>IF(A3639="","",IFERROR(INDEX(fa_cname,MATCH(A3639,fa_num,0))&amp;"",""))</f>
        <v/>
      </c>
      <c r="N3639" s="59" t="str">
        <f>IF(COUNTA(A3639:G3639)=0,"",IF(A3639="","N° facture manquant",IF(ISNA(MATCH(A3639,fa_num,0)),"Facture inconnue",IF(AND(B3639&lt;&gt;"",ISNA(MATCH(B3639,pr_code,0))),"Article inconnu",IF(H3639="","Désignation manquante",IF(OR(NOT(ISNUMBER(D3639)),N(D3639)&lt;=0),"Quantité invalide",IF(J3639="","Prix manquant",IF(OR(NOT(ISNUMBER(J3639)),N(J3639)&lt;0),"Prix invalide",IF(OR(AND(F3639&lt;&gt;"",NOT(ISNUMBER(F3639))),N(F3639)&lt;0,N(F3639)&gt;1),"Remise invalide",IF(K3639="","Taux de TVA manquant",IF(NOT(ISNUMBER(K3639)),"Taux de TVA invalide",IF(COUNTIF(p_rates,K3639)=0,"Taux de TVA hors liste (Paramètres)",IF(N(O3639)&gt;25,"Au-delà de 25 lignes : non imprimée","OK")))))))))))))</f>
        <v/>
      </c>
      <c r="O3639" s="59" t="str">
        <f>IF(A3639="","",COUNTIF($A$6:A3639,A3639))</f>
        <v/>
      </c>
      <c r="P3639" s="62" t="str">
        <f>IF(A3639="","",A3639&amp;"|"&amp;O3639)</f>
        <v/>
      </c>
    </row>
    <row r="3640">
      <c r="A3640" s="60" t="n"/>
      <c r="B3640" s="63" t="n"/>
      <c r="C3640" s="63" t="n"/>
      <c r="D3640" s="67" t="n"/>
      <c r="E3640" s="68" t="n"/>
      <c r="F3640" s="69" t="n"/>
      <c r="G3640" s="70" t="n"/>
      <c r="H3640" s="62" t="str">
        <f>IF(COUNTA(A3640:G3640)=0,"",IF(C3640&lt;&gt;"",C3640,IF(B3640="","",IFERROR(INDEX(pr_des,MATCH(B3640,pr_code,0))&amp;"",""))))</f>
        <v/>
      </c>
      <c r="I3640" s="59" t="str">
        <f>IF(B3640="","",IFERROR(INDEX(pr_unit,MATCH(B3640,pr_code,0))&amp;"",""))</f>
        <v/>
      </c>
      <c r="J3640" s="65" t="str">
        <f>IF(COUNTA(A3640:G3640)=0,"",IF(E3640&lt;&gt;"",E3640,IF(B3640="","",IFERROR(IF(INDEX(pr_price,MATCH(B3640,pr_code,0))="","",INDEX(pr_price,MATCH(B3640,pr_code,0))),""))))</f>
        <v/>
      </c>
      <c r="K3640" s="71" t="str">
        <f>IF(COUNTA(A3640:G3640)=0,"",IF(G3640&lt;&gt;"",G3640,IF(B3640="","",IFERROR(IF(INDEX(pr_rate,MATCH(B3640,pr_code,0))="","",INDEX(pr_rate,MATCH(B3640,pr_code,0))),""))))</f>
        <v/>
      </c>
      <c r="L3640" s="65" t="str">
        <f>IF(COUNTA(A3640:G3640)=0,"",IF(AND(ISNUMBER(D3640),ISNUMBER(J3640)),ROUND(D3640*J3640*(1-N(F3640)),2),0))</f>
        <v/>
      </c>
      <c r="M3640" s="62" t="str">
        <f>IF(A3640="","",IFERROR(INDEX(fa_cname,MATCH(A3640,fa_num,0))&amp;"",""))</f>
        <v/>
      </c>
      <c r="N3640" s="59" t="str">
        <f>IF(COUNTA(A3640:G3640)=0,"",IF(A3640="","N° facture manquant",IF(ISNA(MATCH(A3640,fa_num,0)),"Facture inconnue",IF(AND(B3640&lt;&gt;"",ISNA(MATCH(B3640,pr_code,0))),"Article inconnu",IF(H3640="","Désignation manquante",IF(OR(NOT(ISNUMBER(D3640)),N(D3640)&lt;=0),"Quantité invalide",IF(J3640="","Prix manquant",IF(OR(NOT(ISNUMBER(J3640)),N(J3640)&lt;0),"Prix invalide",IF(OR(AND(F3640&lt;&gt;"",NOT(ISNUMBER(F3640))),N(F3640)&lt;0,N(F3640)&gt;1),"Remise invalide",IF(K3640="","Taux de TVA manquant",IF(NOT(ISNUMBER(K3640)),"Taux de TVA invalide",IF(COUNTIF(p_rates,K3640)=0,"Taux de TVA hors liste (Paramètres)",IF(N(O3640)&gt;25,"Au-delà de 25 lignes : non imprimée","OK")))))))))))))</f>
        <v/>
      </c>
      <c r="O3640" s="59" t="str">
        <f>IF(A3640="","",COUNTIF($A$6:A3640,A3640))</f>
        <v/>
      </c>
      <c r="P3640" s="62" t="str">
        <f>IF(A3640="","",A3640&amp;"|"&amp;O3640)</f>
        <v/>
      </c>
    </row>
    <row r="3641">
      <c r="A3641" s="60" t="n"/>
      <c r="B3641" s="63" t="n"/>
      <c r="C3641" s="63" t="n"/>
      <c r="D3641" s="67" t="n"/>
      <c r="E3641" s="68" t="n"/>
      <c r="F3641" s="69" t="n"/>
      <c r="G3641" s="70" t="n"/>
      <c r="H3641" s="62" t="str">
        <f>IF(COUNTA(A3641:G3641)=0,"",IF(C3641&lt;&gt;"",C3641,IF(B3641="","",IFERROR(INDEX(pr_des,MATCH(B3641,pr_code,0))&amp;"",""))))</f>
        <v/>
      </c>
      <c r="I3641" s="59" t="str">
        <f>IF(B3641="","",IFERROR(INDEX(pr_unit,MATCH(B3641,pr_code,0))&amp;"",""))</f>
        <v/>
      </c>
      <c r="J3641" s="65" t="str">
        <f>IF(COUNTA(A3641:G3641)=0,"",IF(E3641&lt;&gt;"",E3641,IF(B3641="","",IFERROR(IF(INDEX(pr_price,MATCH(B3641,pr_code,0))="","",INDEX(pr_price,MATCH(B3641,pr_code,0))),""))))</f>
        <v/>
      </c>
      <c r="K3641" s="71" t="str">
        <f>IF(COUNTA(A3641:G3641)=0,"",IF(G3641&lt;&gt;"",G3641,IF(B3641="","",IFERROR(IF(INDEX(pr_rate,MATCH(B3641,pr_code,0))="","",INDEX(pr_rate,MATCH(B3641,pr_code,0))),""))))</f>
        <v/>
      </c>
      <c r="L3641" s="65" t="str">
        <f>IF(COUNTA(A3641:G3641)=0,"",IF(AND(ISNUMBER(D3641),ISNUMBER(J3641)),ROUND(D3641*J3641*(1-N(F3641)),2),0))</f>
        <v/>
      </c>
      <c r="M3641" s="62" t="str">
        <f>IF(A3641="","",IFERROR(INDEX(fa_cname,MATCH(A3641,fa_num,0))&amp;"",""))</f>
        <v/>
      </c>
      <c r="N3641" s="59" t="str">
        <f>IF(COUNTA(A3641:G3641)=0,"",IF(A3641="","N° facture manquant",IF(ISNA(MATCH(A3641,fa_num,0)),"Facture inconnue",IF(AND(B3641&lt;&gt;"",ISNA(MATCH(B3641,pr_code,0))),"Article inconnu",IF(H3641="","Désignation manquante",IF(OR(NOT(ISNUMBER(D3641)),N(D3641)&lt;=0),"Quantité invalide",IF(J3641="","Prix manquant",IF(OR(NOT(ISNUMBER(J3641)),N(J3641)&lt;0),"Prix invalide",IF(OR(AND(F3641&lt;&gt;"",NOT(ISNUMBER(F3641))),N(F3641)&lt;0,N(F3641)&gt;1),"Remise invalide",IF(K3641="","Taux de TVA manquant",IF(NOT(ISNUMBER(K3641)),"Taux de TVA invalide",IF(COUNTIF(p_rates,K3641)=0,"Taux de TVA hors liste (Paramètres)",IF(N(O3641)&gt;25,"Au-delà de 25 lignes : non imprimée","OK")))))))))))))</f>
        <v/>
      </c>
      <c r="O3641" s="59" t="str">
        <f>IF(A3641="","",COUNTIF($A$6:A3641,A3641))</f>
        <v/>
      </c>
      <c r="P3641" s="62" t="str">
        <f>IF(A3641="","",A3641&amp;"|"&amp;O3641)</f>
        <v/>
      </c>
    </row>
    <row r="3642">
      <c r="A3642" s="60" t="n"/>
      <c r="B3642" s="63" t="n"/>
      <c r="C3642" s="63" t="n"/>
      <c r="D3642" s="67" t="n"/>
      <c r="E3642" s="68" t="n"/>
      <c r="F3642" s="69" t="n"/>
      <c r="G3642" s="70" t="n"/>
      <c r="H3642" s="62" t="str">
        <f>IF(COUNTA(A3642:G3642)=0,"",IF(C3642&lt;&gt;"",C3642,IF(B3642="","",IFERROR(INDEX(pr_des,MATCH(B3642,pr_code,0))&amp;"",""))))</f>
        <v/>
      </c>
      <c r="I3642" s="59" t="str">
        <f>IF(B3642="","",IFERROR(INDEX(pr_unit,MATCH(B3642,pr_code,0))&amp;"",""))</f>
        <v/>
      </c>
      <c r="J3642" s="65" t="str">
        <f>IF(COUNTA(A3642:G3642)=0,"",IF(E3642&lt;&gt;"",E3642,IF(B3642="","",IFERROR(IF(INDEX(pr_price,MATCH(B3642,pr_code,0))="","",INDEX(pr_price,MATCH(B3642,pr_code,0))),""))))</f>
        <v/>
      </c>
      <c r="K3642" s="71" t="str">
        <f>IF(COUNTA(A3642:G3642)=0,"",IF(G3642&lt;&gt;"",G3642,IF(B3642="","",IFERROR(IF(INDEX(pr_rate,MATCH(B3642,pr_code,0))="","",INDEX(pr_rate,MATCH(B3642,pr_code,0))),""))))</f>
        <v/>
      </c>
      <c r="L3642" s="65" t="str">
        <f>IF(COUNTA(A3642:G3642)=0,"",IF(AND(ISNUMBER(D3642),ISNUMBER(J3642)),ROUND(D3642*J3642*(1-N(F3642)),2),0))</f>
        <v/>
      </c>
      <c r="M3642" s="62" t="str">
        <f>IF(A3642="","",IFERROR(INDEX(fa_cname,MATCH(A3642,fa_num,0))&amp;"",""))</f>
        <v/>
      </c>
      <c r="N3642" s="59" t="str">
        <f>IF(COUNTA(A3642:G3642)=0,"",IF(A3642="","N° facture manquant",IF(ISNA(MATCH(A3642,fa_num,0)),"Facture inconnue",IF(AND(B3642&lt;&gt;"",ISNA(MATCH(B3642,pr_code,0))),"Article inconnu",IF(H3642="","Désignation manquante",IF(OR(NOT(ISNUMBER(D3642)),N(D3642)&lt;=0),"Quantité invalide",IF(J3642="","Prix manquant",IF(OR(NOT(ISNUMBER(J3642)),N(J3642)&lt;0),"Prix invalide",IF(OR(AND(F3642&lt;&gt;"",NOT(ISNUMBER(F3642))),N(F3642)&lt;0,N(F3642)&gt;1),"Remise invalide",IF(K3642="","Taux de TVA manquant",IF(NOT(ISNUMBER(K3642)),"Taux de TVA invalide",IF(COUNTIF(p_rates,K3642)=0,"Taux de TVA hors liste (Paramètres)",IF(N(O3642)&gt;25,"Au-delà de 25 lignes : non imprimée","OK")))))))))))))</f>
        <v/>
      </c>
      <c r="O3642" s="59" t="str">
        <f>IF(A3642="","",COUNTIF($A$6:A3642,A3642))</f>
        <v/>
      </c>
      <c r="P3642" s="62" t="str">
        <f>IF(A3642="","",A3642&amp;"|"&amp;O3642)</f>
        <v/>
      </c>
    </row>
    <row r="3643">
      <c r="A3643" s="60" t="n"/>
      <c r="B3643" s="63" t="n"/>
      <c r="C3643" s="63" t="n"/>
      <c r="D3643" s="67" t="n"/>
      <c r="E3643" s="68" t="n"/>
      <c r="F3643" s="69" t="n"/>
      <c r="G3643" s="70" t="n"/>
      <c r="H3643" s="62" t="str">
        <f>IF(COUNTA(A3643:G3643)=0,"",IF(C3643&lt;&gt;"",C3643,IF(B3643="","",IFERROR(INDEX(pr_des,MATCH(B3643,pr_code,0))&amp;"",""))))</f>
        <v/>
      </c>
      <c r="I3643" s="59" t="str">
        <f>IF(B3643="","",IFERROR(INDEX(pr_unit,MATCH(B3643,pr_code,0))&amp;"",""))</f>
        <v/>
      </c>
      <c r="J3643" s="65" t="str">
        <f>IF(COUNTA(A3643:G3643)=0,"",IF(E3643&lt;&gt;"",E3643,IF(B3643="","",IFERROR(IF(INDEX(pr_price,MATCH(B3643,pr_code,0))="","",INDEX(pr_price,MATCH(B3643,pr_code,0))),""))))</f>
        <v/>
      </c>
      <c r="K3643" s="71" t="str">
        <f>IF(COUNTA(A3643:G3643)=0,"",IF(G3643&lt;&gt;"",G3643,IF(B3643="","",IFERROR(IF(INDEX(pr_rate,MATCH(B3643,pr_code,0))="","",INDEX(pr_rate,MATCH(B3643,pr_code,0))),""))))</f>
        <v/>
      </c>
      <c r="L3643" s="65" t="str">
        <f>IF(COUNTA(A3643:G3643)=0,"",IF(AND(ISNUMBER(D3643),ISNUMBER(J3643)),ROUND(D3643*J3643*(1-N(F3643)),2),0))</f>
        <v/>
      </c>
      <c r="M3643" s="62" t="str">
        <f>IF(A3643="","",IFERROR(INDEX(fa_cname,MATCH(A3643,fa_num,0))&amp;"",""))</f>
        <v/>
      </c>
      <c r="N3643" s="59" t="str">
        <f>IF(COUNTA(A3643:G3643)=0,"",IF(A3643="","N° facture manquant",IF(ISNA(MATCH(A3643,fa_num,0)),"Facture inconnue",IF(AND(B3643&lt;&gt;"",ISNA(MATCH(B3643,pr_code,0))),"Article inconnu",IF(H3643="","Désignation manquante",IF(OR(NOT(ISNUMBER(D3643)),N(D3643)&lt;=0),"Quantité invalide",IF(J3643="","Prix manquant",IF(OR(NOT(ISNUMBER(J3643)),N(J3643)&lt;0),"Prix invalide",IF(OR(AND(F3643&lt;&gt;"",NOT(ISNUMBER(F3643))),N(F3643)&lt;0,N(F3643)&gt;1),"Remise invalide",IF(K3643="","Taux de TVA manquant",IF(NOT(ISNUMBER(K3643)),"Taux de TVA invalide",IF(COUNTIF(p_rates,K3643)=0,"Taux de TVA hors liste (Paramètres)",IF(N(O3643)&gt;25,"Au-delà de 25 lignes : non imprimée","OK")))))))))))))</f>
        <v/>
      </c>
      <c r="O3643" s="59" t="str">
        <f>IF(A3643="","",COUNTIF($A$6:A3643,A3643))</f>
        <v/>
      </c>
      <c r="P3643" s="62" t="str">
        <f>IF(A3643="","",A3643&amp;"|"&amp;O3643)</f>
        <v/>
      </c>
    </row>
    <row r="3644">
      <c r="A3644" s="60" t="n"/>
      <c r="B3644" s="63" t="n"/>
      <c r="C3644" s="63" t="n"/>
      <c r="D3644" s="67" t="n"/>
      <c r="E3644" s="68" t="n"/>
      <c r="F3644" s="69" t="n"/>
      <c r="G3644" s="70" t="n"/>
      <c r="H3644" s="62" t="str">
        <f>IF(COUNTA(A3644:G3644)=0,"",IF(C3644&lt;&gt;"",C3644,IF(B3644="","",IFERROR(INDEX(pr_des,MATCH(B3644,pr_code,0))&amp;"",""))))</f>
        <v/>
      </c>
      <c r="I3644" s="59" t="str">
        <f>IF(B3644="","",IFERROR(INDEX(pr_unit,MATCH(B3644,pr_code,0))&amp;"",""))</f>
        <v/>
      </c>
      <c r="J3644" s="65" t="str">
        <f>IF(COUNTA(A3644:G3644)=0,"",IF(E3644&lt;&gt;"",E3644,IF(B3644="","",IFERROR(IF(INDEX(pr_price,MATCH(B3644,pr_code,0))="","",INDEX(pr_price,MATCH(B3644,pr_code,0))),""))))</f>
        <v/>
      </c>
      <c r="K3644" s="71" t="str">
        <f>IF(COUNTA(A3644:G3644)=0,"",IF(G3644&lt;&gt;"",G3644,IF(B3644="","",IFERROR(IF(INDEX(pr_rate,MATCH(B3644,pr_code,0))="","",INDEX(pr_rate,MATCH(B3644,pr_code,0))),""))))</f>
        <v/>
      </c>
      <c r="L3644" s="65" t="str">
        <f>IF(COUNTA(A3644:G3644)=0,"",IF(AND(ISNUMBER(D3644),ISNUMBER(J3644)),ROUND(D3644*J3644*(1-N(F3644)),2),0))</f>
        <v/>
      </c>
      <c r="M3644" s="62" t="str">
        <f>IF(A3644="","",IFERROR(INDEX(fa_cname,MATCH(A3644,fa_num,0))&amp;"",""))</f>
        <v/>
      </c>
      <c r="N3644" s="59" t="str">
        <f>IF(COUNTA(A3644:G3644)=0,"",IF(A3644="","N° facture manquant",IF(ISNA(MATCH(A3644,fa_num,0)),"Facture inconnue",IF(AND(B3644&lt;&gt;"",ISNA(MATCH(B3644,pr_code,0))),"Article inconnu",IF(H3644="","Désignation manquante",IF(OR(NOT(ISNUMBER(D3644)),N(D3644)&lt;=0),"Quantité invalide",IF(J3644="","Prix manquant",IF(OR(NOT(ISNUMBER(J3644)),N(J3644)&lt;0),"Prix invalide",IF(OR(AND(F3644&lt;&gt;"",NOT(ISNUMBER(F3644))),N(F3644)&lt;0,N(F3644)&gt;1),"Remise invalide",IF(K3644="","Taux de TVA manquant",IF(NOT(ISNUMBER(K3644)),"Taux de TVA invalide",IF(COUNTIF(p_rates,K3644)=0,"Taux de TVA hors liste (Paramètres)",IF(N(O3644)&gt;25,"Au-delà de 25 lignes : non imprimée","OK")))))))))))))</f>
        <v/>
      </c>
      <c r="O3644" s="59" t="str">
        <f>IF(A3644="","",COUNTIF($A$6:A3644,A3644))</f>
        <v/>
      </c>
      <c r="P3644" s="62" t="str">
        <f>IF(A3644="","",A3644&amp;"|"&amp;O3644)</f>
        <v/>
      </c>
    </row>
    <row r="3645">
      <c r="A3645" s="60" t="n"/>
      <c r="B3645" s="63" t="n"/>
      <c r="C3645" s="63" t="n"/>
      <c r="D3645" s="67" t="n"/>
      <c r="E3645" s="68" t="n"/>
      <c r="F3645" s="69" t="n"/>
      <c r="G3645" s="70" t="n"/>
      <c r="H3645" s="62" t="str">
        <f>IF(COUNTA(A3645:G3645)=0,"",IF(C3645&lt;&gt;"",C3645,IF(B3645="","",IFERROR(INDEX(pr_des,MATCH(B3645,pr_code,0))&amp;"",""))))</f>
        <v/>
      </c>
      <c r="I3645" s="59" t="str">
        <f>IF(B3645="","",IFERROR(INDEX(pr_unit,MATCH(B3645,pr_code,0))&amp;"",""))</f>
        <v/>
      </c>
      <c r="J3645" s="65" t="str">
        <f>IF(COUNTA(A3645:G3645)=0,"",IF(E3645&lt;&gt;"",E3645,IF(B3645="","",IFERROR(IF(INDEX(pr_price,MATCH(B3645,pr_code,0))="","",INDEX(pr_price,MATCH(B3645,pr_code,0))),""))))</f>
        <v/>
      </c>
      <c r="K3645" s="71" t="str">
        <f>IF(COUNTA(A3645:G3645)=0,"",IF(G3645&lt;&gt;"",G3645,IF(B3645="","",IFERROR(IF(INDEX(pr_rate,MATCH(B3645,pr_code,0))="","",INDEX(pr_rate,MATCH(B3645,pr_code,0))),""))))</f>
        <v/>
      </c>
      <c r="L3645" s="65" t="str">
        <f>IF(COUNTA(A3645:G3645)=0,"",IF(AND(ISNUMBER(D3645),ISNUMBER(J3645)),ROUND(D3645*J3645*(1-N(F3645)),2),0))</f>
        <v/>
      </c>
      <c r="M3645" s="62" t="str">
        <f>IF(A3645="","",IFERROR(INDEX(fa_cname,MATCH(A3645,fa_num,0))&amp;"",""))</f>
        <v/>
      </c>
      <c r="N3645" s="59" t="str">
        <f>IF(COUNTA(A3645:G3645)=0,"",IF(A3645="","N° facture manquant",IF(ISNA(MATCH(A3645,fa_num,0)),"Facture inconnue",IF(AND(B3645&lt;&gt;"",ISNA(MATCH(B3645,pr_code,0))),"Article inconnu",IF(H3645="","Désignation manquante",IF(OR(NOT(ISNUMBER(D3645)),N(D3645)&lt;=0),"Quantité invalide",IF(J3645="","Prix manquant",IF(OR(NOT(ISNUMBER(J3645)),N(J3645)&lt;0),"Prix invalide",IF(OR(AND(F3645&lt;&gt;"",NOT(ISNUMBER(F3645))),N(F3645)&lt;0,N(F3645)&gt;1),"Remise invalide",IF(K3645="","Taux de TVA manquant",IF(NOT(ISNUMBER(K3645)),"Taux de TVA invalide",IF(COUNTIF(p_rates,K3645)=0,"Taux de TVA hors liste (Paramètres)",IF(N(O3645)&gt;25,"Au-delà de 25 lignes : non imprimée","OK")))))))))))))</f>
        <v/>
      </c>
      <c r="O3645" s="59" t="str">
        <f>IF(A3645="","",COUNTIF($A$6:A3645,A3645))</f>
        <v/>
      </c>
      <c r="P3645" s="62" t="str">
        <f>IF(A3645="","",A3645&amp;"|"&amp;O3645)</f>
        <v/>
      </c>
    </row>
    <row r="3646">
      <c r="A3646" s="60" t="n"/>
      <c r="B3646" s="63" t="n"/>
      <c r="C3646" s="63" t="n"/>
      <c r="D3646" s="67" t="n"/>
      <c r="E3646" s="68" t="n"/>
      <c r="F3646" s="69" t="n"/>
      <c r="G3646" s="70" t="n"/>
      <c r="H3646" s="62" t="str">
        <f>IF(COUNTA(A3646:G3646)=0,"",IF(C3646&lt;&gt;"",C3646,IF(B3646="","",IFERROR(INDEX(pr_des,MATCH(B3646,pr_code,0))&amp;"",""))))</f>
        <v/>
      </c>
      <c r="I3646" s="59" t="str">
        <f>IF(B3646="","",IFERROR(INDEX(pr_unit,MATCH(B3646,pr_code,0))&amp;"",""))</f>
        <v/>
      </c>
      <c r="J3646" s="65" t="str">
        <f>IF(COUNTA(A3646:G3646)=0,"",IF(E3646&lt;&gt;"",E3646,IF(B3646="","",IFERROR(IF(INDEX(pr_price,MATCH(B3646,pr_code,0))="","",INDEX(pr_price,MATCH(B3646,pr_code,0))),""))))</f>
        <v/>
      </c>
      <c r="K3646" s="71" t="str">
        <f>IF(COUNTA(A3646:G3646)=0,"",IF(G3646&lt;&gt;"",G3646,IF(B3646="","",IFERROR(IF(INDEX(pr_rate,MATCH(B3646,pr_code,0))="","",INDEX(pr_rate,MATCH(B3646,pr_code,0))),""))))</f>
        <v/>
      </c>
      <c r="L3646" s="65" t="str">
        <f>IF(COUNTA(A3646:G3646)=0,"",IF(AND(ISNUMBER(D3646),ISNUMBER(J3646)),ROUND(D3646*J3646*(1-N(F3646)),2),0))</f>
        <v/>
      </c>
      <c r="M3646" s="62" t="str">
        <f>IF(A3646="","",IFERROR(INDEX(fa_cname,MATCH(A3646,fa_num,0))&amp;"",""))</f>
        <v/>
      </c>
      <c r="N3646" s="59" t="str">
        <f>IF(COUNTA(A3646:G3646)=0,"",IF(A3646="","N° facture manquant",IF(ISNA(MATCH(A3646,fa_num,0)),"Facture inconnue",IF(AND(B3646&lt;&gt;"",ISNA(MATCH(B3646,pr_code,0))),"Article inconnu",IF(H3646="","Désignation manquante",IF(OR(NOT(ISNUMBER(D3646)),N(D3646)&lt;=0),"Quantité invalide",IF(J3646="","Prix manquant",IF(OR(NOT(ISNUMBER(J3646)),N(J3646)&lt;0),"Prix invalide",IF(OR(AND(F3646&lt;&gt;"",NOT(ISNUMBER(F3646))),N(F3646)&lt;0,N(F3646)&gt;1),"Remise invalide",IF(K3646="","Taux de TVA manquant",IF(NOT(ISNUMBER(K3646)),"Taux de TVA invalide",IF(COUNTIF(p_rates,K3646)=0,"Taux de TVA hors liste (Paramètres)",IF(N(O3646)&gt;25,"Au-delà de 25 lignes : non imprimée","OK")))))))))))))</f>
        <v/>
      </c>
      <c r="O3646" s="59" t="str">
        <f>IF(A3646="","",COUNTIF($A$6:A3646,A3646))</f>
        <v/>
      </c>
      <c r="P3646" s="62" t="str">
        <f>IF(A3646="","",A3646&amp;"|"&amp;O3646)</f>
        <v/>
      </c>
    </row>
    <row r="3647">
      <c r="A3647" s="60" t="n"/>
      <c r="B3647" s="63" t="n"/>
      <c r="C3647" s="63" t="n"/>
      <c r="D3647" s="67" t="n"/>
      <c r="E3647" s="68" t="n"/>
      <c r="F3647" s="69" t="n"/>
      <c r="G3647" s="70" t="n"/>
      <c r="H3647" s="62" t="str">
        <f>IF(COUNTA(A3647:G3647)=0,"",IF(C3647&lt;&gt;"",C3647,IF(B3647="","",IFERROR(INDEX(pr_des,MATCH(B3647,pr_code,0))&amp;"",""))))</f>
        <v/>
      </c>
      <c r="I3647" s="59" t="str">
        <f>IF(B3647="","",IFERROR(INDEX(pr_unit,MATCH(B3647,pr_code,0))&amp;"",""))</f>
        <v/>
      </c>
      <c r="J3647" s="65" t="str">
        <f>IF(COUNTA(A3647:G3647)=0,"",IF(E3647&lt;&gt;"",E3647,IF(B3647="","",IFERROR(IF(INDEX(pr_price,MATCH(B3647,pr_code,0))="","",INDEX(pr_price,MATCH(B3647,pr_code,0))),""))))</f>
        <v/>
      </c>
      <c r="K3647" s="71" t="str">
        <f>IF(COUNTA(A3647:G3647)=0,"",IF(G3647&lt;&gt;"",G3647,IF(B3647="","",IFERROR(IF(INDEX(pr_rate,MATCH(B3647,pr_code,0))="","",INDEX(pr_rate,MATCH(B3647,pr_code,0))),""))))</f>
        <v/>
      </c>
      <c r="L3647" s="65" t="str">
        <f>IF(COUNTA(A3647:G3647)=0,"",IF(AND(ISNUMBER(D3647),ISNUMBER(J3647)),ROUND(D3647*J3647*(1-N(F3647)),2),0))</f>
        <v/>
      </c>
      <c r="M3647" s="62" t="str">
        <f>IF(A3647="","",IFERROR(INDEX(fa_cname,MATCH(A3647,fa_num,0))&amp;"",""))</f>
        <v/>
      </c>
      <c r="N3647" s="59" t="str">
        <f>IF(COUNTA(A3647:G3647)=0,"",IF(A3647="","N° facture manquant",IF(ISNA(MATCH(A3647,fa_num,0)),"Facture inconnue",IF(AND(B3647&lt;&gt;"",ISNA(MATCH(B3647,pr_code,0))),"Article inconnu",IF(H3647="","Désignation manquante",IF(OR(NOT(ISNUMBER(D3647)),N(D3647)&lt;=0),"Quantité invalide",IF(J3647="","Prix manquant",IF(OR(NOT(ISNUMBER(J3647)),N(J3647)&lt;0),"Prix invalide",IF(OR(AND(F3647&lt;&gt;"",NOT(ISNUMBER(F3647))),N(F3647)&lt;0,N(F3647)&gt;1),"Remise invalide",IF(K3647="","Taux de TVA manquant",IF(NOT(ISNUMBER(K3647)),"Taux de TVA invalide",IF(COUNTIF(p_rates,K3647)=0,"Taux de TVA hors liste (Paramètres)",IF(N(O3647)&gt;25,"Au-delà de 25 lignes : non imprimée","OK")))))))))))))</f>
        <v/>
      </c>
      <c r="O3647" s="59" t="str">
        <f>IF(A3647="","",COUNTIF($A$6:A3647,A3647))</f>
        <v/>
      </c>
      <c r="P3647" s="62" t="str">
        <f>IF(A3647="","",A3647&amp;"|"&amp;O3647)</f>
        <v/>
      </c>
    </row>
    <row r="3648">
      <c r="A3648" s="60" t="n"/>
      <c r="B3648" s="63" t="n"/>
      <c r="C3648" s="63" t="n"/>
      <c r="D3648" s="67" t="n"/>
      <c r="E3648" s="68" t="n"/>
      <c r="F3648" s="69" t="n"/>
      <c r="G3648" s="70" t="n"/>
      <c r="H3648" s="62" t="str">
        <f>IF(COUNTA(A3648:G3648)=0,"",IF(C3648&lt;&gt;"",C3648,IF(B3648="","",IFERROR(INDEX(pr_des,MATCH(B3648,pr_code,0))&amp;"",""))))</f>
        <v/>
      </c>
      <c r="I3648" s="59" t="str">
        <f>IF(B3648="","",IFERROR(INDEX(pr_unit,MATCH(B3648,pr_code,0))&amp;"",""))</f>
        <v/>
      </c>
      <c r="J3648" s="65" t="str">
        <f>IF(COUNTA(A3648:G3648)=0,"",IF(E3648&lt;&gt;"",E3648,IF(B3648="","",IFERROR(IF(INDEX(pr_price,MATCH(B3648,pr_code,0))="","",INDEX(pr_price,MATCH(B3648,pr_code,0))),""))))</f>
        <v/>
      </c>
      <c r="K3648" s="71" t="str">
        <f>IF(COUNTA(A3648:G3648)=0,"",IF(G3648&lt;&gt;"",G3648,IF(B3648="","",IFERROR(IF(INDEX(pr_rate,MATCH(B3648,pr_code,0))="","",INDEX(pr_rate,MATCH(B3648,pr_code,0))),""))))</f>
        <v/>
      </c>
      <c r="L3648" s="65" t="str">
        <f>IF(COUNTA(A3648:G3648)=0,"",IF(AND(ISNUMBER(D3648),ISNUMBER(J3648)),ROUND(D3648*J3648*(1-N(F3648)),2),0))</f>
        <v/>
      </c>
      <c r="M3648" s="62" t="str">
        <f>IF(A3648="","",IFERROR(INDEX(fa_cname,MATCH(A3648,fa_num,0))&amp;"",""))</f>
        <v/>
      </c>
      <c r="N3648" s="59" t="str">
        <f>IF(COUNTA(A3648:G3648)=0,"",IF(A3648="","N° facture manquant",IF(ISNA(MATCH(A3648,fa_num,0)),"Facture inconnue",IF(AND(B3648&lt;&gt;"",ISNA(MATCH(B3648,pr_code,0))),"Article inconnu",IF(H3648="","Désignation manquante",IF(OR(NOT(ISNUMBER(D3648)),N(D3648)&lt;=0),"Quantité invalide",IF(J3648="","Prix manquant",IF(OR(NOT(ISNUMBER(J3648)),N(J3648)&lt;0),"Prix invalide",IF(OR(AND(F3648&lt;&gt;"",NOT(ISNUMBER(F3648))),N(F3648)&lt;0,N(F3648)&gt;1),"Remise invalide",IF(K3648="","Taux de TVA manquant",IF(NOT(ISNUMBER(K3648)),"Taux de TVA invalide",IF(COUNTIF(p_rates,K3648)=0,"Taux de TVA hors liste (Paramètres)",IF(N(O3648)&gt;25,"Au-delà de 25 lignes : non imprimée","OK")))))))))))))</f>
        <v/>
      </c>
      <c r="O3648" s="59" t="str">
        <f>IF(A3648="","",COUNTIF($A$6:A3648,A3648))</f>
        <v/>
      </c>
      <c r="P3648" s="62" t="str">
        <f>IF(A3648="","",A3648&amp;"|"&amp;O3648)</f>
        <v/>
      </c>
    </row>
    <row r="3649">
      <c r="A3649" s="60" t="n"/>
      <c r="B3649" s="63" t="n"/>
      <c r="C3649" s="63" t="n"/>
      <c r="D3649" s="67" t="n"/>
      <c r="E3649" s="68" t="n"/>
      <c r="F3649" s="69" t="n"/>
      <c r="G3649" s="70" t="n"/>
      <c r="H3649" s="62" t="str">
        <f>IF(COUNTA(A3649:G3649)=0,"",IF(C3649&lt;&gt;"",C3649,IF(B3649="","",IFERROR(INDEX(pr_des,MATCH(B3649,pr_code,0))&amp;"",""))))</f>
        <v/>
      </c>
      <c r="I3649" s="59" t="str">
        <f>IF(B3649="","",IFERROR(INDEX(pr_unit,MATCH(B3649,pr_code,0))&amp;"",""))</f>
        <v/>
      </c>
      <c r="J3649" s="65" t="str">
        <f>IF(COUNTA(A3649:G3649)=0,"",IF(E3649&lt;&gt;"",E3649,IF(B3649="","",IFERROR(IF(INDEX(pr_price,MATCH(B3649,pr_code,0))="","",INDEX(pr_price,MATCH(B3649,pr_code,0))),""))))</f>
        <v/>
      </c>
      <c r="K3649" s="71" t="str">
        <f>IF(COUNTA(A3649:G3649)=0,"",IF(G3649&lt;&gt;"",G3649,IF(B3649="","",IFERROR(IF(INDEX(pr_rate,MATCH(B3649,pr_code,0))="","",INDEX(pr_rate,MATCH(B3649,pr_code,0))),""))))</f>
        <v/>
      </c>
      <c r="L3649" s="65" t="str">
        <f>IF(COUNTA(A3649:G3649)=0,"",IF(AND(ISNUMBER(D3649),ISNUMBER(J3649)),ROUND(D3649*J3649*(1-N(F3649)),2),0))</f>
        <v/>
      </c>
      <c r="M3649" s="62" t="str">
        <f>IF(A3649="","",IFERROR(INDEX(fa_cname,MATCH(A3649,fa_num,0))&amp;"",""))</f>
        <v/>
      </c>
      <c r="N3649" s="59" t="str">
        <f>IF(COUNTA(A3649:G3649)=0,"",IF(A3649="","N° facture manquant",IF(ISNA(MATCH(A3649,fa_num,0)),"Facture inconnue",IF(AND(B3649&lt;&gt;"",ISNA(MATCH(B3649,pr_code,0))),"Article inconnu",IF(H3649="","Désignation manquante",IF(OR(NOT(ISNUMBER(D3649)),N(D3649)&lt;=0),"Quantité invalide",IF(J3649="","Prix manquant",IF(OR(NOT(ISNUMBER(J3649)),N(J3649)&lt;0),"Prix invalide",IF(OR(AND(F3649&lt;&gt;"",NOT(ISNUMBER(F3649))),N(F3649)&lt;0,N(F3649)&gt;1),"Remise invalide",IF(K3649="","Taux de TVA manquant",IF(NOT(ISNUMBER(K3649)),"Taux de TVA invalide",IF(COUNTIF(p_rates,K3649)=0,"Taux de TVA hors liste (Paramètres)",IF(N(O3649)&gt;25,"Au-delà de 25 lignes : non imprimée","OK")))))))))))))</f>
        <v/>
      </c>
      <c r="O3649" s="59" t="str">
        <f>IF(A3649="","",COUNTIF($A$6:A3649,A3649))</f>
        <v/>
      </c>
      <c r="P3649" s="62" t="str">
        <f>IF(A3649="","",A3649&amp;"|"&amp;O3649)</f>
        <v/>
      </c>
    </row>
    <row r="3650">
      <c r="A3650" s="60" t="n"/>
      <c r="B3650" s="63" t="n"/>
      <c r="C3650" s="63" t="n"/>
      <c r="D3650" s="67" t="n"/>
      <c r="E3650" s="68" t="n"/>
      <c r="F3650" s="69" t="n"/>
      <c r="G3650" s="70" t="n"/>
      <c r="H3650" s="62" t="str">
        <f>IF(COUNTA(A3650:G3650)=0,"",IF(C3650&lt;&gt;"",C3650,IF(B3650="","",IFERROR(INDEX(pr_des,MATCH(B3650,pr_code,0))&amp;"",""))))</f>
        <v/>
      </c>
      <c r="I3650" s="59" t="str">
        <f>IF(B3650="","",IFERROR(INDEX(pr_unit,MATCH(B3650,pr_code,0))&amp;"",""))</f>
        <v/>
      </c>
      <c r="J3650" s="65" t="str">
        <f>IF(COUNTA(A3650:G3650)=0,"",IF(E3650&lt;&gt;"",E3650,IF(B3650="","",IFERROR(IF(INDEX(pr_price,MATCH(B3650,pr_code,0))="","",INDEX(pr_price,MATCH(B3650,pr_code,0))),""))))</f>
        <v/>
      </c>
      <c r="K3650" s="71" t="str">
        <f>IF(COUNTA(A3650:G3650)=0,"",IF(G3650&lt;&gt;"",G3650,IF(B3650="","",IFERROR(IF(INDEX(pr_rate,MATCH(B3650,pr_code,0))="","",INDEX(pr_rate,MATCH(B3650,pr_code,0))),""))))</f>
        <v/>
      </c>
      <c r="L3650" s="65" t="str">
        <f>IF(COUNTA(A3650:G3650)=0,"",IF(AND(ISNUMBER(D3650),ISNUMBER(J3650)),ROUND(D3650*J3650*(1-N(F3650)),2),0))</f>
        <v/>
      </c>
      <c r="M3650" s="62" t="str">
        <f>IF(A3650="","",IFERROR(INDEX(fa_cname,MATCH(A3650,fa_num,0))&amp;"",""))</f>
        <v/>
      </c>
      <c r="N3650" s="59" t="str">
        <f>IF(COUNTA(A3650:G3650)=0,"",IF(A3650="","N° facture manquant",IF(ISNA(MATCH(A3650,fa_num,0)),"Facture inconnue",IF(AND(B3650&lt;&gt;"",ISNA(MATCH(B3650,pr_code,0))),"Article inconnu",IF(H3650="","Désignation manquante",IF(OR(NOT(ISNUMBER(D3650)),N(D3650)&lt;=0),"Quantité invalide",IF(J3650="","Prix manquant",IF(OR(NOT(ISNUMBER(J3650)),N(J3650)&lt;0),"Prix invalide",IF(OR(AND(F3650&lt;&gt;"",NOT(ISNUMBER(F3650))),N(F3650)&lt;0,N(F3650)&gt;1),"Remise invalide",IF(K3650="","Taux de TVA manquant",IF(NOT(ISNUMBER(K3650)),"Taux de TVA invalide",IF(COUNTIF(p_rates,K3650)=0,"Taux de TVA hors liste (Paramètres)",IF(N(O3650)&gt;25,"Au-delà de 25 lignes : non imprimée","OK")))))))))))))</f>
        <v/>
      </c>
      <c r="O3650" s="59" t="str">
        <f>IF(A3650="","",COUNTIF($A$6:A3650,A3650))</f>
        <v/>
      </c>
      <c r="P3650" s="62" t="str">
        <f>IF(A3650="","",A3650&amp;"|"&amp;O3650)</f>
        <v/>
      </c>
    </row>
    <row r="3651">
      <c r="A3651" s="60" t="n"/>
      <c r="B3651" s="63" t="n"/>
      <c r="C3651" s="63" t="n"/>
      <c r="D3651" s="67" t="n"/>
      <c r="E3651" s="68" t="n"/>
      <c r="F3651" s="69" t="n"/>
      <c r="G3651" s="70" t="n"/>
      <c r="H3651" s="62" t="str">
        <f>IF(COUNTA(A3651:G3651)=0,"",IF(C3651&lt;&gt;"",C3651,IF(B3651="","",IFERROR(INDEX(pr_des,MATCH(B3651,pr_code,0))&amp;"",""))))</f>
        <v/>
      </c>
      <c r="I3651" s="59" t="str">
        <f>IF(B3651="","",IFERROR(INDEX(pr_unit,MATCH(B3651,pr_code,0))&amp;"",""))</f>
        <v/>
      </c>
      <c r="J3651" s="65" t="str">
        <f>IF(COUNTA(A3651:G3651)=0,"",IF(E3651&lt;&gt;"",E3651,IF(B3651="","",IFERROR(IF(INDEX(pr_price,MATCH(B3651,pr_code,0))="","",INDEX(pr_price,MATCH(B3651,pr_code,0))),""))))</f>
        <v/>
      </c>
      <c r="K3651" s="71" t="str">
        <f>IF(COUNTA(A3651:G3651)=0,"",IF(G3651&lt;&gt;"",G3651,IF(B3651="","",IFERROR(IF(INDEX(pr_rate,MATCH(B3651,pr_code,0))="","",INDEX(pr_rate,MATCH(B3651,pr_code,0))),""))))</f>
        <v/>
      </c>
      <c r="L3651" s="65" t="str">
        <f>IF(COUNTA(A3651:G3651)=0,"",IF(AND(ISNUMBER(D3651),ISNUMBER(J3651)),ROUND(D3651*J3651*(1-N(F3651)),2),0))</f>
        <v/>
      </c>
      <c r="M3651" s="62" t="str">
        <f>IF(A3651="","",IFERROR(INDEX(fa_cname,MATCH(A3651,fa_num,0))&amp;"",""))</f>
        <v/>
      </c>
      <c r="N3651" s="59" t="str">
        <f>IF(COUNTA(A3651:G3651)=0,"",IF(A3651="","N° facture manquant",IF(ISNA(MATCH(A3651,fa_num,0)),"Facture inconnue",IF(AND(B3651&lt;&gt;"",ISNA(MATCH(B3651,pr_code,0))),"Article inconnu",IF(H3651="","Désignation manquante",IF(OR(NOT(ISNUMBER(D3651)),N(D3651)&lt;=0),"Quantité invalide",IF(J3651="","Prix manquant",IF(OR(NOT(ISNUMBER(J3651)),N(J3651)&lt;0),"Prix invalide",IF(OR(AND(F3651&lt;&gt;"",NOT(ISNUMBER(F3651))),N(F3651)&lt;0,N(F3651)&gt;1),"Remise invalide",IF(K3651="","Taux de TVA manquant",IF(NOT(ISNUMBER(K3651)),"Taux de TVA invalide",IF(COUNTIF(p_rates,K3651)=0,"Taux de TVA hors liste (Paramètres)",IF(N(O3651)&gt;25,"Au-delà de 25 lignes : non imprimée","OK")))))))))))))</f>
        <v/>
      </c>
      <c r="O3651" s="59" t="str">
        <f>IF(A3651="","",COUNTIF($A$6:A3651,A3651))</f>
        <v/>
      </c>
      <c r="P3651" s="62" t="str">
        <f>IF(A3651="","",A3651&amp;"|"&amp;O3651)</f>
        <v/>
      </c>
    </row>
    <row r="3652">
      <c r="A3652" s="60" t="n"/>
      <c r="B3652" s="63" t="n"/>
      <c r="C3652" s="63" t="n"/>
      <c r="D3652" s="67" t="n"/>
      <c r="E3652" s="68" t="n"/>
      <c r="F3652" s="69" t="n"/>
      <c r="G3652" s="70" t="n"/>
      <c r="H3652" s="62" t="str">
        <f>IF(COUNTA(A3652:G3652)=0,"",IF(C3652&lt;&gt;"",C3652,IF(B3652="","",IFERROR(INDEX(pr_des,MATCH(B3652,pr_code,0))&amp;"",""))))</f>
        <v/>
      </c>
      <c r="I3652" s="59" t="str">
        <f>IF(B3652="","",IFERROR(INDEX(pr_unit,MATCH(B3652,pr_code,0))&amp;"",""))</f>
        <v/>
      </c>
      <c r="J3652" s="65" t="str">
        <f>IF(COUNTA(A3652:G3652)=0,"",IF(E3652&lt;&gt;"",E3652,IF(B3652="","",IFERROR(IF(INDEX(pr_price,MATCH(B3652,pr_code,0))="","",INDEX(pr_price,MATCH(B3652,pr_code,0))),""))))</f>
        <v/>
      </c>
      <c r="K3652" s="71" t="str">
        <f>IF(COUNTA(A3652:G3652)=0,"",IF(G3652&lt;&gt;"",G3652,IF(B3652="","",IFERROR(IF(INDEX(pr_rate,MATCH(B3652,pr_code,0))="","",INDEX(pr_rate,MATCH(B3652,pr_code,0))),""))))</f>
        <v/>
      </c>
      <c r="L3652" s="65" t="str">
        <f>IF(COUNTA(A3652:G3652)=0,"",IF(AND(ISNUMBER(D3652),ISNUMBER(J3652)),ROUND(D3652*J3652*(1-N(F3652)),2),0))</f>
        <v/>
      </c>
      <c r="M3652" s="62" t="str">
        <f>IF(A3652="","",IFERROR(INDEX(fa_cname,MATCH(A3652,fa_num,0))&amp;"",""))</f>
        <v/>
      </c>
      <c r="N3652" s="59" t="str">
        <f>IF(COUNTA(A3652:G3652)=0,"",IF(A3652="","N° facture manquant",IF(ISNA(MATCH(A3652,fa_num,0)),"Facture inconnue",IF(AND(B3652&lt;&gt;"",ISNA(MATCH(B3652,pr_code,0))),"Article inconnu",IF(H3652="","Désignation manquante",IF(OR(NOT(ISNUMBER(D3652)),N(D3652)&lt;=0),"Quantité invalide",IF(J3652="","Prix manquant",IF(OR(NOT(ISNUMBER(J3652)),N(J3652)&lt;0),"Prix invalide",IF(OR(AND(F3652&lt;&gt;"",NOT(ISNUMBER(F3652))),N(F3652)&lt;0,N(F3652)&gt;1),"Remise invalide",IF(K3652="","Taux de TVA manquant",IF(NOT(ISNUMBER(K3652)),"Taux de TVA invalide",IF(COUNTIF(p_rates,K3652)=0,"Taux de TVA hors liste (Paramètres)",IF(N(O3652)&gt;25,"Au-delà de 25 lignes : non imprimée","OK")))))))))))))</f>
        <v/>
      </c>
      <c r="O3652" s="59" t="str">
        <f>IF(A3652="","",COUNTIF($A$6:A3652,A3652))</f>
        <v/>
      </c>
      <c r="P3652" s="62" t="str">
        <f>IF(A3652="","",A3652&amp;"|"&amp;O3652)</f>
        <v/>
      </c>
    </row>
    <row r="3653">
      <c r="A3653" s="60" t="n"/>
      <c r="B3653" s="63" t="n"/>
      <c r="C3653" s="63" t="n"/>
      <c r="D3653" s="67" t="n"/>
      <c r="E3653" s="68" t="n"/>
      <c r="F3653" s="69" t="n"/>
      <c r="G3653" s="70" t="n"/>
      <c r="H3653" s="62" t="str">
        <f>IF(COUNTA(A3653:G3653)=0,"",IF(C3653&lt;&gt;"",C3653,IF(B3653="","",IFERROR(INDEX(pr_des,MATCH(B3653,pr_code,0))&amp;"",""))))</f>
        <v/>
      </c>
      <c r="I3653" s="59" t="str">
        <f>IF(B3653="","",IFERROR(INDEX(pr_unit,MATCH(B3653,pr_code,0))&amp;"",""))</f>
        <v/>
      </c>
      <c r="J3653" s="65" t="str">
        <f>IF(COUNTA(A3653:G3653)=0,"",IF(E3653&lt;&gt;"",E3653,IF(B3653="","",IFERROR(IF(INDEX(pr_price,MATCH(B3653,pr_code,0))="","",INDEX(pr_price,MATCH(B3653,pr_code,0))),""))))</f>
        <v/>
      </c>
      <c r="K3653" s="71" t="str">
        <f>IF(COUNTA(A3653:G3653)=0,"",IF(G3653&lt;&gt;"",G3653,IF(B3653="","",IFERROR(IF(INDEX(pr_rate,MATCH(B3653,pr_code,0))="","",INDEX(pr_rate,MATCH(B3653,pr_code,0))),""))))</f>
        <v/>
      </c>
      <c r="L3653" s="65" t="str">
        <f>IF(COUNTA(A3653:G3653)=0,"",IF(AND(ISNUMBER(D3653),ISNUMBER(J3653)),ROUND(D3653*J3653*(1-N(F3653)),2),0))</f>
        <v/>
      </c>
      <c r="M3653" s="62" t="str">
        <f>IF(A3653="","",IFERROR(INDEX(fa_cname,MATCH(A3653,fa_num,0))&amp;"",""))</f>
        <v/>
      </c>
      <c r="N3653" s="59" t="str">
        <f>IF(COUNTA(A3653:G3653)=0,"",IF(A3653="","N° facture manquant",IF(ISNA(MATCH(A3653,fa_num,0)),"Facture inconnue",IF(AND(B3653&lt;&gt;"",ISNA(MATCH(B3653,pr_code,0))),"Article inconnu",IF(H3653="","Désignation manquante",IF(OR(NOT(ISNUMBER(D3653)),N(D3653)&lt;=0),"Quantité invalide",IF(J3653="","Prix manquant",IF(OR(NOT(ISNUMBER(J3653)),N(J3653)&lt;0),"Prix invalide",IF(OR(AND(F3653&lt;&gt;"",NOT(ISNUMBER(F3653))),N(F3653)&lt;0,N(F3653)&gt;1),"Remise invalide",IF(K3653="","Taux de TVA manquant",IF(NOT(ISNUMBER(K3653)),"Taux de TVA invalide",IF(COUNTIF(p_rates,K3653)=0,"Taux de TVA hors liste (Paramètres)",IF(N(O3653)&gt;25,"Au-delà de 25 lignes : non imprimée","OK")))))))))))))</f>
        <v/>
      </c>
      <c r="O3653" s="59" t="str">
        <f>IF(A3653="","",COUNTIF($A$6:A3653,A3653))</f>
        <v/>
      </c>
      <c r="P3653" s="62" t="str">
        <f>IF(A3653="","",A3653&amp;"|"&amp;O3653)</f>
        <v/>
      </c>
    </row>
    <row r="3654">
      <c r="A3654" s="60" t="n"/>
      <c r="B3654" s="63" t="n"/>
      <c r="C3654" s="63" t="n"/>
      <c r="D3654" s="67" t="n"/>
      <c r="E3654" s="68" t="n"/>
      <c r="F3654" s="69" t="n"/>
      <c r="G3654" s="70" t="n"/>
      <c r="H3654" s="62" t="str">
        <f>IF(COUNTA(A3654:G3654)=0,"",IF(C3654&lt;&gt;"",C3654,IF(B3654="","",IFERROR(INDEX(pr_des,MATCH(B3654,pr_code,0))&amp;"",""))))</f>
        <v/>
      </c>
      <c r="I3654" s="59" t="str">
        <f>IF(B3654="","",IFERROR(INDEX(pr_unit,MATCH(B3654,pr_code,0))&amp;"",""))</f>
        <v/>
      </c>
      <c r="J3654" s="65" t="str">
        <f>IF(COUNTA(A3654:G3654)=0,"",IF(E3654&lt;&gt;"",E3654,IF(B3654="","",IFERROR(IF(INDEX(pr_price,MATCH(B3654,pr_code,0))="","",INDEX(pr_price,MATCH(B3654,pr_code,0))),""))))</f>
        <v/>
      </c>
      <c r="K3654" s="71" t="str">
        <f>IF(COUNTA(A3654:G3654)=0,"",IF(G3654&lt;&gt;"",G3654,IF(B3654="","",IFERROR(IF(INDEX(pr_rate,MATCH(B3654,pr_code,0))="","",INDEX(pr_rate,MATCH(B3654,pr_code,0))),""))))</f>
        <v/>
      </c>
      <c r="L3654" s="65" t="str">
        <f>IF(COUNTA(A3654:G3654)=0,"",IF(AND(ISNUMBER(D3654),ISNUMBER(J3654)),ROUND(D3654*J3654*(1-N(F3654)),2),0))</f>
        <v/>
      </c>
      <c r="M3654" s="62" t="str">
        <f>IF(A3654="","",IFERROR(INDEX(fa_cname,MATCH(A3654,fa_num,0))&amp;"",""))</f>
        <v/>
      </c>
      <c r="N3654" s="59" t="str">
        <f>IF(COUNTA(A3654:G3654)=0,"",IF(A3654="","N° facture manquant",IF(ISNA(MATCH(A3654,fa_num,0)),"Facture inconnue",IF(AND(B3654&lt;&gt;"",ISNA(MATCH(B3654,pr_code,0))),"Article inconnu",IF(H3654="","Désignation manquante",IF(OR(NOT(ISNUMBER(D3654)),N(D3654)&lt;=0),"Quantité invalide",IF(J3654="","Prix manquant",IF(OR(NOT(ISNUMBER(J3654)),N(J3654)&lt;0),"Prix invalide",IF(OR(AND(F3654&lt;&gt;"",NOT(ISNUMBER(F3654))),N(F3654)&lt;0,N(F3654)&gt;1),"Remise invalide",IF(K3654="","Taux de TVA manquant",IF(NOT(ISNUMBER(K3654)),"Taux de TVA invalide",IF(COUNTIF(p_rates,K3654)=0,"Taux de TVA hors liste (Paramètres)",IF(N(O3654)&gt;25,"Au-delà de 25 lignes : non imprimée","OK")))))))))))))</f>
        <v/>
      </c>
      <c r="O3654" s="59" t="str">
        <f>IF(A3654="","",COUNTIF($A$6:A3654,A3654))</f>
        <v/>
      </c>
      <c r="P3654" s="62" t="str">
        <f>IF(A3654="","",A3654&amp;"|"&amp;O3654)</f>
        <v/>
      </c>
    </row>
    <row r="3655">
      <c r="A3655" s="60" t="n"/>
      <c r="B3655" s="63" t="n"/>
      <c r="C3655" s="63" t="n"/>
      <c r="D3655" s="67" t="n"/>
      <c r="E3655" s="68" t="n"/>
      <c r="F3655" s="69" t="n"/>
      <c r="G3655" s="70" t="n"/>
      <c r="H3655" s="62" t="str">
        <f>IF(COUNTA(A3655:G3655)=0,"",IF(C3655&lt;&gt;"",C3655,IF(B3655="","",IFERROR(INDEX(pr_des,MATCH(B3655,pr_code,0))&amp;"",""))))</f>
        <v/>
      </c>
      <c r="I3655" s="59" t="str">
        <f>IF(B3655="","",IFERROR(INDEX(pr_unit,MATCH(B3655,pr_code,0))&amp;"",""))</f>
        <v/>
      </c>
      <c r="J3655" s="65" t="str">
        <f>IF(COUNTA(A3655:G3655)=0,"",IF(E3655&lt;&gt;"",E3655,IF(B3655="","",IFERROR(IF(INDEX(pr_price,MATCH(B3655,pr_code,0))="","",INDEX(pr_price,MATCH(B3655,pr_code,0))),""))))</f>
        <v/>
      </c>
      <c r="K3655" s="71" t="str">
        <f>IF(COUNTA(A3655:G3655)=0,"",IF(G3655&lt;&gt;"",G3655,IF(B3655="","",IFERROR(IF(INDEX(pr_rate,MATCH(B3655,pr_code,0))="","",INDEX(pr_rate,MATCH(B3655,pr_code,0))),""))))</f>
        <v/>
      </c>
      <c r="L3655" s="65" t="str">
        <f>IF(COUNTA(A3655:G3655)=0,"",IF(AND(ISNUMBER(D3655),ISNUMBER(J3655)),ROUND(D3655*J3655*(1-N(F3655)),2),0))</f>
        <v/>
      </c>
      <c r="M3655" s="62" t="str">
        <f>IF(A3655="","",IFERROR(INDEX(fa_cname,MATCH(A3655,fa_num,0))&amp;"",""))</f>
        <v/>
      </c>
      <c r="N3655" s="59" t="str">
        <f>IF(COUNTA(A3655:G3655)=0,"",IF(A3655="","N° facture manquant",IF(ISNA(MATCH(A3655,fa_num,0)),"Facture inconnue",IF(AND(B3655&lt;&gt;"",ISNA(MATCH(B3655,pr_code,0))),"Article inconnu",IF(H3655="","Désignation manquante",IF(OR(NOT(ISNUMBER(D3655)),N(D3655)&lt;=0),"Quantité invalide",IF(J3655="","Prix manquant",IF(OR(NOT(ISNUMBER(J3655)),N(J3655)&lt;0),"Prix invalide",IF(OR(AND(F3655&lt;&gt;"",NOT(ISNUMBER(F3655))),N(F3655)&lt;0,N(F3655)&gt;1),"Remise invalide",IF(K3655="","Taux de TVA manquant",IF(NOT(ISNUMBER(K3655)),"Taux de TVA invalide",IF(COUNTIF(p_rates,K3655)=0,"Taux de TVA hors liste (Paramètres)",IF(N(O3655)&gt;25,"Au-delà de 25 lignes : non imprimée","OK")))))))))))))</f>
        <v/>
      </c>
      <c r="O3655" s="59" t="str">
        <f>IF(A3655="","",COUNTIF($A$6:A3655,A3655))</f>
        <v/>
      </c>
      <c r="P3655" s="62" t="str">
        <f>IF(A3655="","",A3655&amp;"|"&amp;O3655)</f>
        <v/>
      </c>
    </row>
    <row r="3656">
      <c r="A3656" s="60" t="n"/>
      <c r="B3656" s="63" t="n"/>
      <c r="C3656" s="63" t="n"/>
      <c r="D3656" s="67" t="n"/>
      <c r="E3656" s="68" t="n"/>
      <c r="F3656" s="69" t="n"/>
      <c r="G3656" s="70" t="n"/>
      <c r="H3656" s="62" t="str">
        <f>IF(COUNTA(A3656:G3656)=0,"",IF(C3656&lt;&gt;"",C3656,IF(B3656="","",IFERROR(INDEX(pr_des,MATCH(B3656,pr_code,0))&amp;"",""))))</f>
        <v/>
      </c>
      <c r="I3656" s="59" t="str">
        <f>IF(B3656="","",IFERROR(INDEX(pr_unit,MATCH(B3656,pr_code,0))&amp;"",""))</f>
        <v/>
      </c>
      <c r="J3656" s="65" t="str">
        <f>IF(COUNTA(A3656:G3656)=0,"",IF(E3656&lt;&gt;"",E3656,IF(B3656="","",IFERROR(IF(INDEX(pr_price,MATCH(B3656,pr_code,0))="","",INDEX(pr_price,MATCH(B3656,pr_code,0))),""))))</f>
        <v/>
      </c>
      <c r="K3656" s="71" t="str">
        <f>IF(COUNTA(A3656:G3656)=0,"",IF(G3656&lt;&gt;"",G3656,IF(B3656="","",IFERROR(IF(INDEX(pr_rate,MATCH(B3656,pr_code,0))="","",INDEX(pr_rate,MATCH(B3656,pr_code,0))),""))))</f>
        <v/>
      </c>
      <c r="L3656" s="65" t="str">
        <f>IF(COUNTA(A3656:G3656)=0,"",IF(AND(ISNUMBER(D3656),ISNUMBER(J3656)),ROUND(D3656*J3656*(1-N(F3656)),2),0))</f>
        <v/>
      </c>
      <c r="M3656" s="62" t="str">
        <f>IF(A3656="","",IFERROR(INDEX(fa_cname,MATCH(A3656,fa_num,0))&amp;"",""))</f>
        <v/>
      </c>
      <c r="N3656" s="59" t="str">
        <f>IF(COUNTA(A3656:G3656)=0,"",IF(A3656="","N° facture manquant",IF(ISNA(MATCH(A3656,fa_num,0)),"Facture inconnue",IF(AND(B3656&lt;&gt;"",ISNA(MATCH(B3656,pr_code,0))),"Article inconnu",IF(H3656="","Désignation manquante",IF(OR(NOT(ISNUMBER(D3656)),N(D3656)&lt;=0),"Quantité invalide",IF(J3656="","Prix manquant",IF(OR(NOT(ISNUMBER(J3656)),N(J3656)&lt;0),"Prix invalide",IF(OR(AND(F3656&lt;&gt;"",NOT(ISNUMBER(F3656))),N(F3656)&lt;0,N(F3656)&gt;1),"Remise invalide",IF(K3656="","Taux de TVA manquant",IF(NOT(ISNUMBER(K3656)),"Taux de TVA invalide",IF(COUNTIF(p_rates,K3656)=0,"Taux de TVA hors liste (Paramètres)",IF(N(O3656)&gt;25,"Au-delà de 25 lignes : non imprimée","OK")))))))))))))</f>
        <v/>
      </c>
      <c r="O3656" s="59" t="str">
        <f>IF(A3656="","",COUNTIF($A$6:A3656,A3656))</f>
        <v/>
      </c>
      <c r="P3656" s="62" t="str">
        <f>IF(A3656="","",A3656&amp;"|"&amp;O3656)</f>
        <v/>
      </c>
    </row>
    <row r="3657">
      <c r="A3657" s="60" t="n"/>
      <c r="B3657" s="63" t="n"/>
      <c r="C3657" s="63" t="n"/>
      <c r="D3657" s="67" t="n"/>
      <c r="E3657" s="68" t="n"/>
      <c r="F3657" s="69" t="n"/>
      <c r="G3657" s="70" t="n"/>
      <c r="H3657" s="62" t="str">
        <f>IF(COUNTA(A3657:G3657)=0,"",IF(C3657&lt;&gt;"",C3657,IF(B3657="","",IFERROR(INDEX(pr_des,MATCH(B3657,pr_code,0))&amp;"",""))))</f>
        <v/>
      </c>
      <c r="I3657" s="59" t="str">
        <f>IF(B3657="","",IFERROR(INDEX(pr_unit,MATCH(B3657,pr_code,0))&amp;"",""))</f>
        <v/>
      </c>
      <c r="J3657" s="65" t="str">
        <f>IF(COUNTA(A3657:G3657)=0,"",IF(E3657&lt;&gt;"",E3657,IF(B3657="","",IFERROR(IF(INDEX(pr_price,MATCH(B3657,pr_code,0))="","",INDEX(pr_price,MATCH(B3657,pr_code,0))),""))))</f>
        <v/>
      </c>
      <c r="K3657" s="71" t="str">
        <f>IF(COUNTA(A3657:G3657)=0,"",IF(G3657&lt;&gt;"",G3657,IF(B3657="","",IFERROR(IF(INDEX(pr_rate,MATCH(B3657,pr_code,0))="","",INDEX(pr_rate,MATCH(B3657,pr_code,0))),""))))</f>
        <v/>
      </c>
      <c r="L3657" s="65" t="str">
        <f>IF(COUNTA(A3657:G3657)=0,"",IF(AND(ISNUMBER(D3657),ISNUMBER(J3657)),ROUND(D3657*J3657*(1-N(F3657)),2),0))</f>
        <v/>
      </c>
      <c r="M3657" s="62" t="str">
        <f>IF(A3657="","",IFERROR(INDEX(fa_cname,MATCH(A3657,fa_num,0))&amp;"",""))</f>
        <v/>
      </c>
      <c r="N3657" s="59" t="str">
        <f>IF(COUNTA(A3657:G3657)=0,"",IF(A3657="","N° facture manquant",IF(ISNA(MATCH(A3657,fa_num,0)),"Facture inconnue",IF(AND(B3657&lt;&gt;"",ISNA(MATCH(B3657,pr_code,0))),"Article inconnu",IF(H3657="","Désignation manquante",IF(OR(NOT(ISNUMBER(D3657)),N(D3657)&lt;=0),"Quantité invalide",IF(J3657="","Prix manquant",IF(OR(NOT(ISNUMBER(J3657)),N(J3657)&lt;0),"Prix invalide",IF(OR(AND(F3657&lt;&gt;"",NOT(ISNUMBER(F3657))),N(F3657)&lt;0,N(F3657)&gt;1),"Remise invalide",IF(K3657="","Taux de TVA manquant",IF(NOT(ISNUMBER(K3657)),"Taux de TVA invalide",IF(COUNTIF(p_rates,K3657)=0,"Taux de TVA hors liste (Paramètres)",IF(N(O3657)&gt;25,"Au-delà de 25 lignes : non imprimée","OK")))))))))))))</f>
        <v/>
      </c>
      <c r="O3657" s="59" t="str">
        <f>IF(A3657="","",COUNTIF($A$6:A3657,A3657))</f>
        <v/>
      </c>
      <c r="P3657" s="62" t="str">
        <f>IF(A3657="","",A3657&amp;"|"&amp;O3657)</f>
        <v/>
      </c>
    </row>
    <row r="3658">
      <c r="A3658" s="60" t="n"/>
      <c r="B3658" s="63" t="n"/>
      <c r="C3658" s="63" t="n"/>
      <c r="D3658" s="67" t="n"/>
      <c r="E3658" s="68" t="n"/>
      <c r="F3658" s="69" t="n"/>
      <c r="G3658" s="70" t="n"/>
      <c r="H3658" s="62" t="str">
        <f>IF(COUNTA(A3658:G3658)=0,"",IF(C3658&lt;&gt;"",C3658,IF(B3658="","",IFERROR(INDEX(pr_des,MATCH(B3658,pr_code,0))&amp;"",""))))</f>
        <v/>
      </c>
      <c r="I3658" s="59" t="str">
        <f>IF(B3658="","",IFERROR(INDEX(pr_unit,MATCH(B3658,pr_code,0))&amp;"",""))</f>
        <v/>
      </c>
      <c r="J3658" s="65" t="str">
        <f>IF(COUNTA(A3658:G3658)=0,"",IF(E3658&lt;&gt;"",E3658,IF(B3658="","",IFERROR(IF(INDEX(pr_price,MATCH(B3658,pr_code,0))="","",INDEX(pr_price,MATCH(B3658,pr_code,0))),""))))</f>
        <v/>
      </c>
      <c r="K3658" s="71" t="str">
        <f>IF(COUNTA(A3658:G3658)=0,"",IF(G3658&lt;&gt;"",G3658,IF(B3658="","",IFERROR(IF(INDEX(pr_rate,MATCH(B3658,pr_code,0))="","",INDEX(pr_rate,MATCH(B3658,pr_code,0))),""))))</f>
        <v/>
      </c>
      <c r="L3658" s="65" t="str">
        <f>IF(COUNTA(A3658:G3658)=0,"",IF(AND(ISNUMBER(D3658),ISNUMBER(J3658)),ROUND(D3658*J3658*(1-N(F3658)),2),0))</f>
        <v/>
      </c>
      <c r="M3658" s="62" t="str">
        <f>IF(A3658="","",IFERROR(INDEX(fa_cname,MATCH(A3658,fa_num,0))&amp;"",""))</f>
        <v/>
      </c>
      <c r="N3658" s="59" t="str">
        <f>IF(COUNTA(A3658:G3658)=0,"",IF(A3658="","N° facture manquant",IF(ISNA(MATCH(A3658,fa_num,0)),"Facture inconnue",IF(AND(B3658&lt;&gt;"",ISNA(MATCH(B3658,pr_code,0))),"Article inconnu",IF(H3658="","Désignation manquante",IF(OR(NOT(ISNUMBER(D3658)),N(D3658)&lt;=0),"Quantité invalide",IF(J3658="","Prix manquant",IF(OR(NOT(ISNUMBER(J3658)),N(J3658)&lt;0),"Prix invalide",IF(OR(AND(F3658&lt;&gt;"",NOT(ISNUMBER(F3658))),N(F3658)&lt;0,N(F3658)&gt;1),"Remise invalide",IF(K3658="","Taux de TVA manquant",IF(NOT(ISNUMBER(K3658)),"Taux de TVA invalide",IF(COUNTIF(p_rates,K3658)=0,"Taux de TVA hors liste (Paramètres)",IF(N(O3658)&gt;25,"Au-delà de 25 lignes : non imprimée","OK")))))))))))))</f>
        <v/>
      </c>
      <c r="O3658" s="59" t="str">
        <f>IF(A3658="","",COUNTIF($A$6:A3658,A3658))</f>
        <v/>
      </c>
      <c r="P3658" s="62" t="str">
        <f>IF(A3658="","",A3658&amp;"|"&amp;O3658)</f>
        <v/>
      </c>
    </row>
    <row r="3659">
      <c r="A3659" s="60" t="n"/>
      <c r="B3659" s="63" t="n"/>
      <c r="C3659" s="63" t="n"/>
      <c r="D3659" s="67" t="n"/>
      <c r="E3659" s="68" t="n"/>
      <c r="F3659" s="69" t="n"/>
      <c r="G3659" s="70" t="n"/>
      <c r="H3659" s="62" t="str">
        <f>IF(COUNTA(A3659:G3659)=0,"",IF(C3659&lt;&gt;"",C3659,IF(B3659="","",IFERROR(INDEX(pr_des,MATCH(B3659,pr_code,0))&amp;"",""))))</f>
        <v/>
      </c>
      <c r="I3659" s="59" t="str">
        <f>IF(B3659="","",IFERROR(INDEX(pr_unit,MATCH(B3659,pr_code,0))&amp;"",""))</f>
        <v/>
      </c>
      <c r="J3659" s="65" t="str">
        <f>IF(COUNTA(A3659:G3659)=0,"",IF(E3659&lt;&gt;"",E3659,IF(B3659="","",IFERROR(IF(INDEX(pr_price,MATCH(B3659,pr_code,0))="","",INDEX(pr_price,MATCH(B3659,pr_code,0))),""))))</f>
        <v/>
      </c>
      <c r="K3659" s="71" t="str">
        <f>IF(COUNTA(A3659:G3659)=0,"",IF(G3659&lt;&gt;"",G3659,IF(B3659="","",IFERROR(IF(INDEX(pr_rate,MATCH(B3659,pr_code,0))="","",INDEX(pr_rate,MATCH(B3659,pr_code,0))),""))))</f>
        <v/>
      </c>
      <c r="L3659" s="65" t="str">
        <f>IF(COUNTA(A3659:G3659)=0,"",IF(AND(ISNUMBER(D3659),ISNUMBER(J3659)),ROUND(D3659*J3659*(1-N(F3659)),2),0))</f>
        <v/>
      </c>
      <c r="M3659" s="62" t="str">
        <f>IF(A3659="","",IFERROR(INDEX(fa_cname,MATCH(A3659,fa_num,0))&amp;"",""))</f>
        <v/>
      </c>
      <c r="N3659" s="59" t="str">
        <f>IF(COUNTA(A3659:G3659)=0,"",IF(A3659="","N° facture manquant",IF(ISNA(MATCH(A3659,fa_num,0)),"Facture inconnue",IF(AND(B3659&lt;&gt;"",ISNA(MATCH(B3659,pr_code,0))),"Article inconnu",IF(H3659="","Désignation manquante",IF(OR(NOT(ISNUMBER(D3659)),N(D3659)&lt;=0),"Quantité invalide",IF(J3659="","Prix manquant",IF(OR(NOT(ISNUMBER(J3659)),N(J3659)&lt;0),"Prix invalide",IF(OR(AND(F3659&lt;&gt;"",NOT(ISNUMBER(F3659))),N(F3659)&lt;0,N(F3659)&gt;1),"Remise invalide",IF(K3659="","Taux de TVA manquant",IF(NOT(ISNUMBER(K3659)),"Taux de TVA invalide",IF(COUNTIF(p_rates,K3659)=0,"Taux de TVA hors liste (Paramètres)",IF(N(O3659)&gt;25,"Au-delà de 25 lignes : non imprimée","OK")))))))))))))</f>
        <v/>
      </c>
      <c r="O3659" s="59" t="str">
        <f>IF(A3659="","",COUNTIF($A$6:A3659,A3659))</f>
        <v/>
      </c>
      <c r="P3659" s="62" t="str">
        <f>IF(A3659="","",A3659&amp;"|"&amp;O3659)</f>
        <v/>
      </c>
    </row>
    <row r="3660">
      <c r="A3660" s="60" t="n"/>
      <c r="B3660" s="63" t="n"/>
      <c r="C3660" s="63" t="n"/>
      <c r="D3660" s="67" t="n"/>
      <c r="E3660" s="68" t="n"/>
      <c r="F3660" s="69" t="n"/>
      <c r="G3660" s="70" t="n"/>
      <c r="H3660" s="62" t="str">
        <f>IF(COUNTA(A3660:G3660)=0,"",IF(C3660&lt;&gt;"",C3660,IF(B3660="","",IFERROR(INDEX(pr_des,MATCH(B3660,pr_code,0))&amp;"",""))))</f>
        <v/>
      </c>
      <c r="I3660" s="59" t="str">
        <f>IF(B3660="","",IFERROR(INDEX(pr_unit,MATCH(B3660,pr_code,0))&amp;"",""))</f>
        <v/>
      </c>
      <c r="J3660" s="65" t="str">
        <f>IF(COUNTA(A3660:G3660)=0,"",IF(E3660&lt;&gt;"",E3660,IF(B3660="","",IFERROR(IF(INDEX(pr_price,MATCH(B3660,pr_code,0))="","",INDEX(pr_price,MATCH(B3660,pr_code,0))),""))))</f>
        <v/>
      </c>
      <c r="K3660" s="71" t="str">
        <f>IF(COUNTA(A3660:G3660)=0,"",IF(G3660&lt;&gt;"",G3660,IF(B3660="","",IFERROR(IF(INDEX(pr_rate,MATCH(B3660,pr_code,0))="","",INDEX(pr_rate,MATCH(B3660,pr_code,0))),""))))</f>
        <v/>
      </c>
      <c r="L3660" s="65" t="str">
        <f>IF(COUNTA(A3660:G3660)=0,"",IF(AND(ISNUMBER(D3660),ISNUMBER(J3660)),ROUND(D3660*J3660*(1-N(F3660)),2),0))</f>
        <v/>
      </c>
      <c r="M3660" s="62" t="str">
        <f>IF(A3660="","",IFERROR(INDEX(fa_cname,MATCH(A3660,fa_num,0))&amp;"",""))</f>
        <v/>
      </c>
      <c r="N3660" s="59" t="str">
        <f>IF(COUNTA(A3660:G3660)=0,"",IF(A3660="","N° facture manquant",IF(ISNA(MATCH(A3660,fa_num,0)),"Facture inconnue",IF(AND(B3660&lt;&gt;"",ISNA(MATCH(B3660,pr_code,0))),"Article inconnu",IF(H3660="","Désignation manquante",IF(OR(NOT(ISNUMBER(D3660)),N(D3660)&lt;=0),"Quantité invalide",IF(J3660="","Prix manquant",IF(OR(NOT(ISNUMBER(J3660)),N(J3660)&lt;0),"Prix invalide",IF(OR(AND(F3660&lt;&gt;"",NOT(ISNUMBER(F3660))),N(F3660)&lt;0,N(F3660)&gt;1),"Remise invalide",IF(K3660="","Taux de TVA manquant",IF(NOT(ISNUMBER(K3660)),"Taux de TVA invalide",IF(COUNTIF(p_rates,K3660)=0,"Taux de TVA hors liste (Paramètres)",IF(N(O3660)&gt;25,"Au-delà de 25 lignes : non imprimée","OK")))))))))))))</f>
        <v/>
      </c>
      <c r="O3660" s="59" t="str">
        <f>IF(A3660="","",COUNTIF($A$6:A3660,A3660))</f>
        <v/>
      </c>
      <c r="P3660" s="62" t="str">
        <f>IF(A3660="","",A3660&amp;"|"&amp;O3660)</f>
        <v/>
      </c>
    </row>
    <row r="3661">
      <c r="A3661" s="60" t="n"/>
      <c r="B3661" s="63" t="n"/>
      <c r="C3661" s="63" t="n"/>
      <c r="D3661" s="67" t="n"/>
      <c r="E3661" s="68" t="n"/>
      <c r="F3661" s="69" t="n"/>
      <c r="G3661" s="70" t="n"/>
      <c r="H3661" s="62" t="str">
        <f>IF(COUNTA(A3661:G3661)=0,"",IF(C3661&lt;&gt;"",C3661,IF(B3661="","",IFERROR(INDEX(pr_des,MATCH(B3661,pr_code,0))&amp;"",""))))</f>
        <v/>
      </c>
      <c r="I3661" s="59" t="str">
        <f>IF(B3661="","",IFERROR(INDEX(pr_unit,MATCH(B3661,pr_code,0))&amp;"",""))</f>
        <v/>
      </c>
      <c r="J3661" s="65" t="str">
        <f>IF(COUNTA(A3661:G3661)=0,"",IF(E3661&lt;&gt;"",E3661,IF(B3661="","",IFERROR(IF(INDEX(pr_price,MATCH(B3661,pr_code,0))="","",INDEX(pr_price,MATCH(B3661,pr_code,0))),""))))</f>
        <v/>
      </c>
      <c r="K3661" s="71" t="str">
        <f>IF(COUNTA(A3661:G3661)=0,"",IF(G3661&lt;&gt;"",G3661,IF(B3661="","",IFERROR(IF(INDEX(pr_rate,MATCH(B3661,pr_code,0))="","",INDEX(pr_rate,MATCH(B3661,pr_code,0))),""))))</f>
        <v/>
      </c>
      <c r="L3661" s="65" t="str">
        <f>IF(COUNTA(A3661:G3661)=0,"",IF(AND(ISNUMBER(D3661),ISNUMBER(J3661)),ROUND(D3661*J3661*(1-N(F3661)),2),0))</f>
        <v/>
      </c>
      <c r="M3661" s="62" t="str">
        <f>IF(A3661="","",IFERROR(INDEX(fa_cname,MATCH(A3661,fa_num,0))&amp;"",""))</f>
        <v/>
      </c>
      <c r="N3661" s="59" t="str">
        <f>IF(COUNTA(A3661:G3661)=0,"",IF(A3661="","N° facture manquant",IF(ISNA(MATCH(A3661,fa_num,0)),"Facture inconnue",IF(AND(B3661&lt;&gt;"",ISNA(MATCH(B3661,pr_code,0))),"Article inconnu",IF(H3661="","Désignation manquante",IF(OR(NOT(ISNUMBER(D3661)),N(D3661)&lt;=0),"Quantité invalide",IF(J3661="","Prix manquant",IF(OR(NOT(ISNUMBER(J3661)),N(J3661)&lt;0),"Prix invalide",IF(OR(AND(F3661&lt;&gt;"",NOT(ISNUMBER(F3661))),N(F3661)&lt;0,N(F3661)&gt;1),"Remise invalide",IF(K3661="","Taux de TVA manquant",IF(NOT(ISNUMBER(K3661)),"Taux de TVA invalide",IF(COUNTIF(p_rates,K3661)=0,"Taux de TVA hors liste (Paramètres)",IF(N(O3661)&gt;25,"Au-delà de 25 lignes : non imprimée","OK")))))))))))))</f>
        <v/>
      </c>
      <c r="O3661" s="59" t="str">
        <f>IF(A3661="","",COUNTIF($A$6:A3661,A3661))</f>
        <v/>
      </c>
      <c r="P3661" s="62" t="str">
        <f>IF(A3661="","",A3661&amp;"|"&amp;O3661)</f>
        <v/>
      </c>
    </row>
    <row r="3662">
      <c r="A3662" s="60" t="n"/>
      <c r="B3662" s="63" t="n"/>
      <c r="C3662" s="63" t="n"/>
      <c r="D3662" s="67" t="n"/>
      <c r="E3662" s="68" t="n"/>
      <c r="F3662" s="69" t="n"/>
      <c r="G3662" s="70" t="n"/>
      <c r="H3662" s="62" t="str">
        <f>IF(COUNTA(A3662:G3662)=0,"",IF(C3662&lt;&gt;"",C3662,IF(B3662="","",IFERROR(INDEX(pr_des,MATCH(B3662,pr_code,0))&amp;"",""))))</f>
        <v/>
      </c>
      <c r="I3662" s="59" t="str">
        <f>IF(B3662="","",IFERROR(INDEX(pr_unit,MATCH(B3662,pr_code,0))&amp;"",""))</f>
        <v/>
      </c>
      <c r="J3662" s="65" t="str">
        <f>IF(COUNTA(A3662:G3662)=0,"",IF(E3662&lt;&gt;"",E3662,IF(B3662="","",IFERROR(IF(INDEX(pr_price,MATCH(B3662,pr_code,0))="","",INDEX(pr_price,MATCH(B3662,pr_code,0))),""))))</f>
        <v/>
      </c>
      <c r="K3662" s="71" t="str">
        <f>IF(COUNTA(A3662:G3662)=0,"",IF(G3662&lt;&gt;"",G3662,IF(B3662="","",IFERROR(IF(INDEX(pr_rate,MATCH(B3662,pr_code,0))="","",INDEX(pr_rate,MATCH(B3662,pr_code,0))),""))))</f>
        <v/>
      </c>
      <c r="L3662" s="65" t="str">
        <f>IF(COUNTA(A3662:G3662)=0,"",IF(AND(ISNUMBER(D3662),ISNUMBER(J3662)),ROUND(D3662*J3662*(1-N(F3662)),2),0))</f>
        <v/>
      </c>
      <c r="M3662" s="62" t="str">
        <f>IF(A3662="","",IFERROR(INDEX(fa_cname,MATCH(A3662,fa_num,0))&amp;"",""))</f>
        <v/>
      </c>
      <c r="N3662" s="59" t="str">
        <f>IF(COUNTA(A3662:G3662)=0,"",IF(A3662="","N° facture manquant",IF(ISNA(MATCH(A3662,fa_num,0)),"Facture inconnue",IF(AND(B3662&lt;&gt;"",ISNA(MATCH(B3662,pr_code,0))),"Article inconnu",IF(H3662="","Désignation manquante",IF(OR(NOT(ISNUMBER(D3662)),N(D3662)&lt;=0),"Quantité invalide",IF(J3662="","Prix manquant",IF(OR(NOT(ISNUMBER(J3662)),N(J3662)&lt;0),"Prix invalide",IF(OR(AND(F3662&lt;&gt;"",NOT(ISNUMBER(F3662))),N(F3662)&lt;0,N(F3662)&gt;1),"Remise invalide",IF(K3662="","Taux de TVA manquant",IF(NOT(ISNUMBER(K3662)),"Taux de TVA invalide",IF(COUNTIF(p_rates,K3662)=0,"Taux de TVA hors liste (Paramètres)",IF(N(O3662)&gt;25,"Au-delà de 25 lignes : non imprimée","OK")))))))))))))</f>
        <v/>
      </c>
      <c r="O3662" s="59" t="str">
        <f>IF(A3662="","",COUNTIF($A$6:A3662,A3662))</f>
        <v/>
      </c>
      <c r="P3662" s="62" t="str">
        <f>IF(A3662="","",A3662&amp;"|"&amp;O3662)</f>
        <v/>
      </c>
    </row>
    <row r="3663">
      <c r="A3663" s="60" t="n"/>
      <c r="B3663" s="63" t="n"/>
      <c r="C3663" s="63" t="n"/>
      <c r="D3663" s="67" t="n"/>
      <c r="E3663" s="68" t="n"/>
      <c r="F3663" s="69" t="n"/>
      <c r="G3663" s="70" t="n"/>
      <c r="H3663" s="62" t="str">
        <f>IF(COUNTA(A3663:G3663)=0,"",IF(C3663&lt;&gt;"",C3663,IF(B3663="","",IFERROR(INDEX(pr_des,MATCH(B3663,pr_code,0))&amp;"",""))))</f>
        <v/>
      </c>
      <c r="I3663" s="59" t="str">
        <f>IF(B3663="","",IFERROR(INDEX(pr_unit,MATCH(B3663,pr_code,0))&amp;"",""))</f>
        <v/>
      </c>
      <c r="J3663" s="65" t="str">
        <f>IF(COUNTA(A3663:G3663)=0,"",IF(E3663&lt;&gt;"",E3663,IF(B3663="","",IFERROR(IF(INDEX(pr_price,MATCH(B3663,pr_code,0))="","",INDEX(pr_price,MATCH(B3663,pr_code,0))),""))))</f>
        <v/>
      </c>
      <c r="K3663" s="71" t="str">
        <f>IF(COUNTA(A3663:G3663)=0,"",IF(G3663&lt;&gt;"",G3663,IF(B3663="","",IFERROR(IF(INDEX(pr_rate,MATCH(B3663,pr_code,0))="","",INDEX(pr_rate,MATCH(B3663,pr_code,0))),""))))</f>
        <v/>
      </c>
      <c r="L3663" s="65" t="str">
        <f>IF(COUNTA(A3663:G3663)=0,"",IF(AND(ISNUMBER(D3663),ISNUMBER(J3663)),ROUND(D3663*J3663*(1-N(F3663)),2),0))</f>
        <v/>
      </c>
      <c r="M3663" s="62" t="str">
        <f>IF(A3663="","",IFERROR(INDEX(fa_cname,MATCH(A3663,fa_num,0))&amp;"",""))</f>
        <v/>
      </c>
      <c r="N3663" s="59" t="str">
        <f>IF(COUNTA(A3663:G3663)=0,"",IF(A3663="","N° facture manquant",IF(ISNA(MATCH(A3663,fa_num,0)),"Facture inconnue",IF(AND(B3663&lt;&gt;"",ISNA(MATCH(B3663,pr_code,0))),"Article inconnu",IF(H3663="","Désignation manquante",IF(OR(NOT(ISNUMBER(D3663)),N(D3663)&lt;=0),"Quantité invalide",IF(J3663="","Prix manquant",IF(OR(NOT(ISNUMBER(J3663)),N(J3663)&lt;0),"Prix invalide",IF(OR(AND(F3663&lt;&gt;"",NOT(ISNUMBER(F3663))),N(F3663)&lt;0,N(F3663)&gt;1),"Remise invalide",IF(K3663="","Taux de TVA manquant",IF(NOT(ISNUMBER(K3663)),"Taux de TVA invalide",IF(COUNTIF(p_rates,K3663)=0,"Taux de TVA hors liste (Paramètres)",IF(N(O3663)&gt;25,"Au-delà de 25 lignes : non imprimée","OK")))))))))))))</f>
        <v/>
      </c>
      <c r="O3663" s="59" t="str">
        <f>IF(A3663="","",COUNTIF($A$6:A3663,A3663))</f>
        <v/>
      </c>
      <c r="P3663" s="62" t="str">
        <f>IF(A3663="","",A3663&amp;"|"&amp;O3663)</f>
        <v/>
      </c>
    </row>
    <row r="3664">
      <c r="A3664" s="60" t="n"/>
      <c r="B3664" s="63" t="n"/>
      <c r="C3664" s="63" t="n"/>
      <c r="D3664" s="67" t="n"/>
      <c r="E3664" s="68" t="n"/>
      <c r="F3664" s="69" t="n"/>
      <c r="G3664" s="70" t="n"/>
      <c r="H3664" s="62" t="str">
        <f>IF(COUNTA(A3664:G3664)=0,"",IF(C3664&lt;&gt;"",C3664,IF(B3664="","",IFERROR(INDEX(pr_des,MATCH(B3664,pr_code,0))&amp;"",""))))</f>
        <v/>
      </c>
      <c r="I3664" s="59" t="str">
        <f>IF(B3664="","",IFERROR(INDEX(pr_unit,MATCH(B3664,pr_code,0))&amp;"",""))</f>
        <v/>
      </c>
      <c r="J3664" s="65" t="str">
        <f>IF(COUNTA(A3664:G3664)=0,"",IF(E3664&lt;&gt;"",E3664,IF(B3664="","",IFERROR(IF(INDEX(pr_price,MATCH(B3664,pr_code,0))="","",INDEX(pr_price,MATCH(B3664,pr_code,0))),""))))</f>
        <v/>
      </c>
      <c r="K3664" s="71" t="str">
        <f>IF(COUNTA(A3664:G3664)=0,"",IF(G3664&lt;&gt;"",G3664,IF(B3664="","",IFERROR(IF(INDEX(pr_rate,MATCH(B3664,pr_code,0))="","",INDEX(pr_rate,MATCH(B3664,pr_code,0))),""))))</f>
        <v/>
      </c>
      <c r="L3664" s="65" t="str">
        <f>IF(COUNTA(A3664:G3664)=0,"",IF(AND(ISNUMBER(D3664),ISNUMBER(J3664)),ROUND(D3664*J3664*(1-N(F3664)),2),0))</f>
        <v/>
      </c>
      <c r="M3664" s="62" t="str">
        <f>IF(A3664="","",IFERROR(INDEX(fa_cname,MATCH(A3664,fa_num,0))&amp;"",""))</f>
        <v/>
      </c>
      <c r="N3664" s="59" t="str">
        <f>IF(COUNTA(A3664:G3664)=0,"",IF(A3664="","N° facture manquant",IF(ISNA(MATCH(A3664,fa_num,0)),"Facture inconnue",IF(AND(B3664&lt;&gt;"",ISNA(MATCH(B3664,pr_code,0))),"Article inconnu",IF(H3664="","Désignation manquante",IF(OR(NOT(ISNUMBER(D3664)),N(D3664)&lt;=0),"Quantité invalide",IF(J3664="","Prix manquant",IF(OR(NOT(ISNUMBER(J3664)),N(J3664)&lt;0),"Prix invalide",IF(OR(AND(F3664&lt;&gt;"",NOT(ISNUMBER(F3664))),N(F3664)&lt;0,N(F3664)&gt;1),"Remise invalide",IF(K3664="","Taux de TVA manquant",IF(NOT(ISNUMBER(K3664)),"Taux de TVA invalide",IF(COUNTIF(p_rates,K3664)=0,"Taux de TVA hors liste (Paramètres)",IF(N(O3664)&gt;25,"Au-delà de 25 lignes : non imprimée","OK")))))))))))))</f>
        <v/>
      </c>
      <c r="O3664" s="59" t="str">
        <f>IF(A3664="","",COUNTIF($A$6:A3664,A3664))</f>
        <v/>
      </c>
      <c r="P3664" s="62" t="str">
        <f>IF(A3664="","",A3664&amp;"|"&amp;O3664)</f>
        <v/>
      </c>
    </row>
    <row r="3665">
      <c r="A3665" s="60" t="n"/>
      <c r="B3665" s="63" t="n"/>
      <c r="C3665" s="63" t="n"/>
      <c r="D3665" s="67" t="n"/>
      <c r="E3665" s="68" t="n"/>
      <c r="F3665" s="69" t="n"/>
      <c r="G3665" s="70" t="n"/>
      <c r="H3665" s="62" t="str">
        <f>IF(COUNTA(A3665:G3665)=0,"",IF(C3665&lt;&gt;"",C3665,IF(B3665="","",IFERROR(INDEX(pr_des,MATCH(B3665,pr_code,0))&amp;"",""))))</f>
        <v/>
      </c>
      <c r="I3665" s="59" t="str">
        <f>IF(B3665="","",IFERROR(INDEX(pr_unit,MATCH(B3665,pr_code,0))&amp;"",""))</f>
        <v/>
      </c>
      <c r="J3665" s="65" t="str">
        <f>IF(COUNTA(A3665:G3665)=0,"",IF(E3665&lt;&gt;"",E3665,IF(B3665="","",IFERROR(IF(INDEX(pr_price,MATCH(B3665,pr_code,0))="","",INDEX(pr_price,MATCH(B3665,pr_code,0))),""))))</f>
        <v/>
      </c>
      <c r="K3665" s="71" t="str">
        <f>IF(COUNTA(A3665:G3665)=0,"",IF(G3665&lt;&gt;"",G3665,IF(B3665="","",IFERROR(IF(INDEX(pr_rate,MATCH(B3665,pr_code,0))="","",INDEX(pr_rate,MATCH(B3665,pr_code,0))),""))))</f>
        <v/>
      </c>
      <c r="L3665" s="65" t="str">
        <f>IF(COUNTA(A3665:G3665)=0,"",IF(AND(ISNUMBER(D3665),ISNUMBER(J3665)),ROUND(D3665*J3665*(1-N(F3665)),2),0))</f>
        <v/>
      </c>
      <c r="M3665" s="62" t="str">
        <f>IF(A3665="","",IFERROR(INDEX(fa_cname,MATCH(A3665,fa_num,0))&amp;"",""))</f>
        <v/>
      </c>
      <c r="N3665" s="59" t="str">
        <f>IF(COUNTA(A3665:G3665)=0,"",IF(A3665="","N° facture manquant",IF(ISNA(MATCH(A3665,fa_num,0)),"Facture inconnue",IF(AND(B3665&lt;&gt;"",ISNA(MATCH(B3665,pr_code,0))),"Article inconnu",IF(H3665="","Désignation manquante",IF(OR(NOT(ISNUMBER(D3665)),N(D3665)&lt;=0),"Quantité invalide",IF(J3665="","Prix manquant",IF(OR(NOT(ISNUMBER(J3665)),N(J3665)&lt;0),"Prix invalide",IF(OR(AND(F3665&lt;&gt;"",NOT(ISNUMBER(F3665))),N(F3665)&lt;0,N(F3665)&gt;1),"Remise invalide",IF(K3665="","Taux de TVA manquant",IF(NOT(ISNUMBER(K3665)),"Taux de TVA invalide",IF(COUNTIF(p_rates,K3665)=0,"Taux de TVA hors liste (Paramètres)",IF(N(O3665)&gt;25,"Au-delà de 25 lignes : non imprimée","OK")))))))))))))</f>
        <v/>
      </c>
      <c r="O3665" s="59" t="str">
        <f>IF(A3665="","",COUNTIF($A$6:A3665,A3665))</f>
        <v/>
      </c>
      <c r="P3665" s="62" t="str">
        <f>IF(A3665="","",A3665&amp;"|"&amp;O3665)</f>
        <v/>
      </c>
    </row>
    <row r="3666">
      <c r="A3666" s="60" t="n"/>
      <c r="B3666" s="63" t="n"/>
      <c r="C3666" s="63" t="n"/>
      <c r="D3666" s="67" t="n"/>
      <c r="E3666" s="68" t="n"/>
      <c r="F3666" s="69" t="n"/>
      <c r="G3666" s="70" t="n"/>
      <c r="H3666" s="62" t="str">
        <f>IF(COUNTA(A3666:G3666)=0,"",IF(C3666&lt;&gt;"",C3666,IF(B3666="","",IFERROR(INDEX(pr_des,MATCH(B3666,pr_code,0))&amp;"",""))))</f>
        <v/>
      </c>
      <c r="I3666" s="59" t="str">
        <f>IF(B3666="","",IFERROR(INDEX(pr_unit,MATCH(B3666,pr_code,0))&amp;"",""))</f>
        <v/>
      </c>
      <c r="J3666" s="65" t="str">
        <f>IF(COUNTA(A3666:G3666)=0,"",IF(E3666&lt;&gt;"",E3666,IF(B3666="","",IFERROR(IF(INDEX(pr_price,MATCH(B3666,pr_code,0))="","",INDEX(pr_price,MATCH(B3666,pr_code,0))),""))))</f>
        <v/>
      </c>
      <c r="K3666" s="71" t="str">
        <f>IF(COUNTA(A3666:G3666)=0,"",IF(G3666&lt;&gt;"",G3666,IF(B3666="","",IFERROR(IF(INDEX(pr_rate,MATCH(B3666,pr_code,0))="","",INDEX(pr_rate,MATCH(B3666,pr_code,0))),""))))</f>
        <v/>
      </c>
      <c r="L3666" s="65" t="str">
        <f>IF(COUNTA(A3666:G3666)=0,"",IF(AND(ISNUMBER(D3666),ISNUMBER(J3666)),ROUND(D3666*J3666*(1-N(F3666)),2),0))</f>
        <v/>
      </c>
      <c r="M3666" s="62" t="str">
        <f>IF(A3666="","",IFERROR(INDEX(fa_cname,MATCH(A3666,fa_num,0))&amp;"",""))</f>
        <v/>
      </c>
      <c r="N3666" s="59" t="str">
        <f>IF(COUNTA(A3666:G3666)=0,"",IF(A3666="","N° facture manquant",IF(ISNA(MATCH(A3666,fa_num,0)),"Facture inconnue",IF(AND(B3666&lt;&gt;"",ISNA(MATCH(B3666,pr_code,0))),"Article inconnu",IF(H3666="","Désignation manquante",IF(OR(NOT(ISNUMBER(D3666)),N(D3666)&lt;=0),"Quantité invalide",IF(J3666="","Prix manquant",IF(OR(NOT(ISNUMBER(J3666)),N(J3666)&lt;0),"Prix invalide",IF(OR(AND(F3666&lt;&gt;"",NOT(ISNUMBER(F3666))),N(F3666)&lt;0,N(F3666)&gt;1),"Remise invalide",IF(K3666="","Taux de TVA manquant",IF(NOT(ISNUMBER(K3666)),"Taux de TVA invalide",IF(COUNTIF(p_rates,K3666)=0,"Taux de TVA hors liste (Paramètres)",IF(N(O3666)&gt;25,"Au-delà de 25 lignes : non imprimée","OK")))))))))))))</f>
        <v/>
      </c>
      <c r="O3666" s="59" t="str">
        <f>IF(A3666="","",COUNTIF($A$6:A3666,A3666))</f>
        <v/>
      </c>
      <c r="P3666" s="62" t="str">
        <f>IF(A3666="","",A3666&amp;"|"&amp;O3666)</f>
        <v/>
      </c>
    </row>
    <row r="3667">
      <c r="A3667" s="60" t="n"/>
      <c r="B3667" s="63" t="n"/>
      <c r="C3667" s="63" t="n"/>
      <c r="D3667" s="67" t="n"/>
      <c r="E3667" s="68" t="n"/>
      <c r="F3667" s="69" t="n"/>
      <c r="G3667" s="70" t="n"/>
      <c r="H3667" s="62" t="str">
        <f>IF(COUNTA(A3667:G3667)=0,"",IF(C3667&lt;&gt;"",C3667,IF(B3667="","",IFERROR(INDEX(pr_des,MATCH(B3667,pr_code,0))&amp;"",""))))</f>
        <v/>
      </c>
      <c r="I3667" s="59" t="str">
        <f>IF(B3667="","",IFERROR(INDEX(pr_unit,MATCH(B3667,pr_code,0))&amp;"",""))</f>
        <v/>
      </c>
      <c r="J3667" s="65" t="str">
        <f>IF(COUNTA(A3667:G3667)=0,"",IF(E3667&lt;&gt;"",E3667,IF(B3667="","",IFERROR(IF(INDEX(pr_price,MATCH(B3667,pr_code,0))="","",INDEX(pr_price,MATCH(B3667,pr_code,0))),""))))</f>
        <v/>
      </c>
      <c r="K3667" s="71" t="str">
        <f>IF(COUNTA(A3667:G3667)=0,"",IF(G3667&lt;&gt;"",G3667,IF(B3667="","",IFERROR(IF(INDEX(pr_rate,MATCH(B3667,pr_code,0))="","",INDEX(pr_rate,MATCH(B3667,pr_code,0))),""))))</f>
        <v/>
      </c>
      <c r="L3667" s="65" t="str">
        <f>IF(COUNTA(A3667:G3667)=0,"",IF(AND(ISNUMBER(D3667),ISNUMBER(J3667)),ROUND(D3667*J3667*(1-N(F3667)),2),0))</f>
        <v/>
      </c>
      <c r="M3667" s="62" t="str">
        <f>IF(A3667="","",IFERROR(INDEX(fa_cname,MATCH(A3667,fa_num,0))&amp;"",""))</f>
        <v/>
      </c>
      <c r="N3667" s="59" t="str">
        <f>IF(COUNTA(A3667:G3667)=0,"",IF(A3667="","N° facture manquant",IF(ISNA(MATCH(A3667,fa_num,0)),"Facture inconnue",IF(AND(B3667&lt;&gt;"",ISNA(MATCH(B3667,pr_code,0))),"Article inconnu",IF(H3667="","Désignation manquante",IF(OR(NOT(ISNUMBER(D3667)),N(D3667)&lt;=0),"Quantité invalide",IF(J3667="","Prix manquant",IF(OR(NOT(ISNUMBER(J3667)),N(J3667)&lt;0),"Prix invalide",IF(OR(AND(F3667&lt;&gt;"",NOT(ISNUMBER(F3667))),N(F3667)&lt;0,N(F3667)&gt;1),"Remise invalide",IF(K3667="","Taux de TVA manquant",IF(NOT(ISNUMBER(K3667)),"Taux de TVA invalide",IF(COUNTIF(p_rates,K3667)=0,"Taux de TVA hors liste (Paramètres)",IF(N(O3667)&gt;25,"Au-delà de 25 lignes : non imprimée","OK")))))))))))))</f>
        <v/>
      </c>
      <c r="O3667" s="59" t="str">
        <f>IF(A3667="","",COUNTIF($A$6:A3667,A3667))</f>
        <v/>
      </c>
      <c r="P3667" s="62" t="str">
        <f>IF(A3667="","",A3667&amp;"|"&amp;O3667)</f>
        <v/>
      </c>
    </row>
    <row r="3668">
      <c r="A3668" s="60" t="n"/>
      <c r="B3668" s="63" t="n"/>
      <c r="C3668" s="63" t="n"/>
      <c r="D3668" s="67" t="n"/>
      <c r="E3668" s="68" t="n"/>
      <c r="F3668" s="69" t="n"/>
      <c r="G3668" s="70" t="n"/>
      <c r="H3668" s="62" t="str">
        <f>IF(COUNTA(A3668:G3668)=0,"",IF(C3668&lt;&gt;"",C3668,IF(B3668="","",IFERROR(INDEX(pr_des,MATCH(B3668,pr_code,0))&amp;"",""))))</f>
        <v/>
      </c>
      <c r="I3668" s="59" t="str">
        <f>IF(B3668="","",IFERROR(INDEX(pr_unit,MATCH(B3668,pr_code,0))&amp;"",""))</f>
        <v/>
      </c>
      <c r="J3668" s="65" t="str">
        <f>IF(COUNTA(A3668:G3668)=0,"",IF(E3668&lt;&gt;"",E3668,IF(B3668="","",IFERROR(IF(INDEX(pr_price,MATCH(B3668,pr_code,0))="","",INDEX(pr_price,MATCH(B3668,pr_code,0))),""))))</f>
        <v/>
      </c>
      <c r="K3668" s="71" t="str">
        <f>IF(COUNTA(A3668:G3668)=0,"",IF(G3668&lt;&gt;"",G3668,IF(B3668="","",IFERROR(IF(INDEX(pr_rate,MATCH(B3668,pr_code,0))="","",INDEX(pr_rate,MATCH(B3668,pr_code,0))),""))))</f>
        <v/>
      </c>
      <c r="L3668" s="65" t="str">
        <f>IF(COUNTA(A3668:G3668)=0,"",IF(AND(ISNUMBER(D3668),ISNUMBER(J3668)),ROUND(D3668*J3668*(1-N(F3668)),2),0))</f>
        <v/>
      </c>
      <c r="M3668" s="62" t="str">
        <f>IF(A3668="","",IFERROR(INDEX(fa_cname,MATCH(A3668,fa_num,0))&amp;"",""))</f>
        <v/>
      </c>
      <c r="N3668" s="59" t="str">
        <f>IF(COUNTA(A3668:G3668)=0,"",IF(A3668="","N° facture manquant",IF(ISNA(MATCH(A3668,fa_num,0)),"Facture inconnue",IF(AND(B3668&lt;&gt;"",ISNA(MATCH(B3668,pr_code,0))),"Article inconnu",IF(H3668="","Désignation manquante",IF(OR(NOT(ISNUMBER(D3668)),N(D3668)&lt;=0),"Quantité invalide",IF(J3668="","Prix manquant",IF(OR(NOT(ISNUMBER(J3668)),N(J3668)&lt;0),"Prix invalide",IF(OR(AND(F3668&lt;&gt;"",NOT(ISNUMBER(F3668))),N(F3668)&lt;0,N(F3668)&gt;1),"Remise invalide",IF(K3668="","Taux de TVA manquant",IF(NOT(ISNUMBER(K3668)),"Taux de TVA invalide",IF(COUNTIF(p_rates,K3668)=0,"Taux de TVA hors liste (Paramètres)",IF(N(O3668)&gt;25,"Au-delà de 25 lignes : non imprimée","OK")))))))))))))</f>
        <v/>
      </c>
      <c r="O3668" s="59" t="str">
        <f>IF(A3668="","",COUNTIF($A$6:A3668,A3668))</f>
        <v/>
      </c>
      <c r="P3668" s="62" t="str">
        <f>IF(A3668="","",A3668&amp;"|"&amp;O3668)</f>
        <v/>
      </c>
    </row>
    <row r="3669">
      <c r="A3669" s="60" t="n"/>
      <c r="B3669" s="63" t="n"/>
      <c r="C3669" s="63" t="n"/>
      <c r="D3669" s="67" t="n"/>
      <c r="E3669" s="68" t="n"/>
      <c r="F3669" s="69" t="n"/>
      <c r="G3669" s="70" t="n"/>
      <c r="H3669" s="62" t="str">
        <f>IF(COUNTA(A3669:G3669)=0,"",IF(C3669&lt;&gt;"",C3669,IF(B3669="","",IFERROR(INDEX(pr_des,MATCH(B3669,pr_code,0))&amp;"",""))))</f>
        <v/>
      </c>
      <c r="I3669" s="59" t="str">
        <f>IF(B3669="","",IFERROR(INDEX(pr_unit,MATCH(B3669,pr_code,0))&amp;"",""))</f>
        <v/>
      </c>
      <c r="J3669" s="65" t="str">
        <f>IF(COUNTA(A3669:G3669)=0,"",IF(E3669&lt;&gt;"",E3669,IF(B3669="","",IFERROR(IF(INDEX(pr_price,MATCH(B3669,pr_code,0))="","",INDEX(pr_price,MATCH(B3669,pr_code,0))),""))))</f>
        <v/>
      </c>
      <c r="K3669" s="71" t="str">
        <f>IF(COUNTA(A3669:G3669)=0,"",IF(G3669&lt;&gt;"",G3669,IF(B3669="","",IFERROR(IF(INDEX(pr_rate,MATCH(B3669,pr_code,0))="","",INDEX(pr_rate,MATCH(B3669,pr_code,0))),""))))</f>
        <v/>
      </c>
      <c r="L3669" s="65" t="str">
        <f>IF(COUNTA(A3669:G3669)=0,"",IF(AND(ISNUMBER(D3669),ISNUMBER(J3669)),ROUND(D3669*J3669*(1-N(F3669)),2),0))</f>
        <v/>
      </c>
      <c r="M3669" s="62" t="str">
        <f>IF(A3669="","",IFERROR(INDEX(fa_cname,MATCH(A3669,fa_num,0))&amp;"",""))</f>
        <v/>
      </c>
      <c r="N3669" s="59" t="str">
        <f>IF(COUNTA(A3669:G3669)=0,"",IF(A3669="","N° facture manquant",IF(ISNA(MATCH(A3669,fa_num,0)),"Facture inconnue",IF(AND(B3669&lt;&gt;"",ISNA(MATCH(B3669,pr_code,0))),"Article inconnu",IF(H3669="","Désignation manquante",IF(OR(NOT(ISNUMBER(D3669)),N(D3669)&lt;=0),"Quantité invalide",IF(J3669="","Prix manquant",IF(OR(NOT(ISNUMBER(J3669)),N(J3669)&lt;0),"Prix invalide",IF(OR(AND(F3669&lt;&gt;"",NOT(ISNUMBER(F3669))),N(F3669)&lt;0,N(F3669)&gt;1),"Remise invalide",IF(K3669="","Taux de TVA manquant",IF(NOT(ISNUMBER(K3669)),"Taux de TVA invalide",IF(COUNTIF(p_rates,K3669)=0,"Taux de TVA hors liste (Paramètres)",IF(N(O3669)&gt;25,"Au-delà de 25 lignes : non imprimée","OK")))))))))))))</f>
        <v/>
      </c>
      <c r="O3669" s="59" t="str">
        <f>IF(A3669="","",COUNTIF($A$6:A3669,A3669))</f>
        <v/>
      </c>
      <c r="P3669" s="62" t="str">
        <f>IF(A3669="","",A3669&amp;"|"&amp;O3669)</f>
        <v/>
      </c>
    </row>
    <row r="3670">
      <c r="A3670" s="60" t="n"/>
      <c r="B3670" s="63" t="n"/>
      <c r="C3670" s="63" t="n"/>
      <c r="D3670" s="67" t="n"/>
      <c r="E3670" s="68" t="n"/>
      <c r="F3670" s="69" t="n"/>
      <c r="G3670" s="70" t="n"/>
      <c r="H3670" s="62" t="str">
        <f>IF(COUNTA(A3670:G3670)=0,"",IF(C3670&lt;&gt;"",C3670,IF(B3670="","",IFERROR(INDEX(pr_des,MATCH(B3670,pr_code,0))&amp;"",""))))</f>
        <v/>
      </c>
      <c r="I3670" s="59" t="str">
        <f>IF(B3670="","",IFERROR(INDEX(pr_unit,MATCH(B3670,pr_code,0))&amp;"",""))</f>
        <v/>
      </c>
      <c r="J3670" s="65" t="str">
        <f>IF(COUNTA(A3670:G3670)=0,"",IF(E3670&lt;&gt;"",E3670,IF(B3670="","",IFERROR(IF(INDEX(pr_price,MATCH(B3670,pr_code,0))="","",INDEX(pr_price,MATCH(B3670,pr_code,0))),""))))</f>
        <v/>
      </c>
      <c r="K3670" s="71" t="str">
        <f>IF(COUNTA(A3670:G3670)=0,"",IF(G3670&lt;&gt;"",G3670,IF(B3670="","",IFERROR(IF(INDEX(pr_rate,MATCH(B3670,pr_code,0))="","",INDEX(pr_rate,MATCH(B3670,pr_code,0))),""))))</f>
        <v/>
      </c>
      <c r="L3670" s="65" t="str">
        <f>IF(COUNTA(A3670:G3670)=0,"",IF(AND(ISNUMBER(D3670),ISNUMBER(J3670)),ROUND(D3670*J3670*(1-N(F3670)),2),0))</f>
        <v/>
      </c>
      <c r="M3670" s="62" t="str">
        <f>IF(A3670="","",IFERROR(INDEX(fa_cname,MATCH(A3670,fa_num,0))&amp;"",""))</f>
        <v/>
      </c>
      <c r="N3670" s="59" t="str">
        <f>IF(COUNTA(A3670:G3670)=0,"",IF(A3670="","N° facture manquant",IF(ISNA(MATCH(A3670,fa_num,0)),"Facture inconnue",IF(AND(B3670&lt;&gt;"",ISNA(MATCH(B3670,pr_code,0))),"Article inconnu",IF(H3670="","Désignation manquante",IF(OR(NOT(ISNUMBER(D3670)),N(D3670)&lt;=0),"Quantité invalide",IF(J3670="","Prix manquant",IF(OR(NOT(ISNUMBER(J3670)),N(J3670)&lt;0),"Prix invalide",IF(OR(AND(F3670&lt;&gt;"",NOT(ISNUMBER(F3670))),N(F3670)&lt;0,N(F3670)&gt;1),"Remise invalide",IF(K3670="","Taux de TVA manquant",IF(NOT(ISNUMBER(K3670)),"Taux de TVA invalide",IF(COUNTIF(p_rates,K3670)=0,"Taux de TVA hors liste (Paramètres)",IF(N(O3670)&gt;25,"Au-delà de 25 lignes : non imprimée","OK")))))))))))))</f>
        <v/>
      </c>
      <c r="O3670" s="59" t="str">
        <f>IF(A3670="","",COUNTIF($A$6:A3670,A3670))</f>
        <v/>
      </c>
      <c r="P3670" s="62" t="str">
        <f>IF(A3670="","",A3670&amp;"|"&amp;O3670)</f>
        <v/>
      </c>
    </row>
    <row r="3671">
      <c r="A3671" s="60" t="n"/>
      <c r="B3671" s="63" t="n"/>
      <c r="C3671" s="63" t="n"/>
      <c r="D3671" s="67" t="n"/>
      <c r="E3671" s="68" t="n"/>
      <c r="F3671" s="69" t="n"/>
      <c r="G3671" s="70" t="n"/>
      <c r="H3671" s="62" t="str">
        <f>IF(COUNTA(A3671:G3671)=0,"",IF(C3671&lt;&gt;"",C3671,IF(B3671="","",IFERROR(INDEX(pr_des,MATCH(B3671,pr_code,0))&amp;"",""))))</f>
        <v/>
      </c>
      <c r="I3671" s="59" t="str">
        <f>IF(B3671="","",IFERROR(INDEX(pr_unit,MATCH(B3671,pr_code,0))&amp;"",""))</f>
        <v/>
      </c>
      <c r="J3671" s="65" t="str">
        <f>IF(COUNTA(A3671:G3671)=0,"",IF(E3671&lt;&gt;"",E3671,IF(B3671="","",IFERROR(IF(INDEX(pr_price,MATCH(B3671,pr_code,0))="","",INDEX(pr_price,MATCH(B3671,pr_code,0))),""))))</f>
        <v/>
      </c>
      <c r="K3671" s="71" t="str">
        <f>IF(COUNTA(A3671:G3671)=0,"",IF(G3671&lt;&gt;"",G3671,IF(B3671="","",IFERROR(IF(INDEX(pr_rate,MATCH(B3671,pr_code,0))="","",INDEX(pr_rate,MATCH(B3671,pr_code,0))),""))))</f>
        <v/>
      </c>
      <c r="L3671" s="65" t="str">
        <f>IF(COUNTA(A3671:G3671)=0,"",IF(AND(ISNUMBER(D3671),ISNUMBER(J3671)),ROUND(D3671*J3671*(1-N(F3671)),2),0))</f>
        <v/>
      </c>
      <c r="M3671" s="62" t="str">
        <f>IF(A3671="","",IFERROR(INDEX(fa_cname,MATCH(A3671,fa_num,0))&amp;"",""))</f>
        <v/>
      </c>
      <c r="N3671" s="59" t="str">
        <f>IF(COUNTA(A3671:G3671)=0,"",IF(A3671="","N° facture manquant",IF(ISNA(MATCH(A3671,fa_num,0)),"Facture inconnue",IF(AND(B3671&lt;&gt;"",ISNA(MATCH(B3671,pr_code,0))),"Article inconnu",IF(H3671="","Désignation manquante",IF(OR(NOT(ISNUMBER(D3671)),N(D3671)&lt;=0),"Quantité invalide",IF(J3671="","Prix manquant",IF(OR(NOT(ISNUMBER(J3671)),N(J3671)&lt;0),"Prix invalide",IF(OR(AND(F3671&lt;&gt;"",NOT(ISNUMBER(F3671))),N(F3671)&lt;0,N(F3671)&gt;1),"Remise invalide",IF(K3671="","Taux de TVA manquant",IF(NOT(ISNUMBER(K3671)),"Taux de TVA invalide",IF(COUNTIF(p_rates,K3671)=0,"Taux de TVA hors liste (Paramètres)",IF(N(O3671)&gt;25,"Au-delà de 25 lignes : non imprimée","OK")))))))))))))</f>
        <v/>
      </c>
      <c r="O3671" s="59" t="str">
        <f>IF(A3671="","",COUNTIF($A$6:A3671,A3671))</f>
        <v/>
      </c>
      <c r="P3671" s="62" t="str">
        <f>IF(A3671="","",A3671&amp;"|"&amp;O3671)</f>
        <v/>
      </c>
    </row>
    <row r="3672">
      <c r="A3672" s="60" t="n"/>
      <c r="B3672" s="63" t="n"/>
      <c r="C3672" s="63" t="n"/>
      <c r="D3672" s="67" t="n"/>
      <c r="E3672" s="68" t="n"/>
      <c r="F3672" s="69" t="n"/>
      <c r="G3672" s="70" t="n"/>
      <c r="H3672" s="62" t="str">
        <f>IF(COUNTA(A3672:G3672)=0,"",IF(C3672&lt;&gt;"",C3672,IF(B3672="","",IFERROR(INDEX(pr_des,MATCH(B3672,pr_code,0))&amp;"",""))))</f>
        <v/>
      </c>
      <c r="I3672" s="59" t="str">
        <f>IF(B3672="","",IFERROR(INDEX(pr_unit,MATCH(B3672,pr_code,0))&amp;"",""))</f>
        <v/>
      </c>
      <c r="J3672" s="65" t="str">
        <f>IF(COUNTA(A3672:G3672)=0,"",IF(E3672&lt;&gt;"",E3672,IF(B3672="","",IFERROR(IF(INDEX(pr_price,MATCH(B3672,pr_code,0))="","",INDEX(pr_price,MATCH(B3672,pr_code,0))),""))))</f>
        <v/>
      </c>
      <c r="K3672" s="71" t="str">
        <f>IF(COUNTA(A3672:G3672)=0,"",IF(G3672&lt;&gt;"",G3672,IF(B3672="","",IFERROR(IF(INDEX(pr_rate,MATCH(B3672,pr_code,0))="","",INDEX(pr_rate,MATCH(B3672,pr_code,0))),""))))</f>
        <v/>
      </c>
      <c r="L3672" s="65" t="str">
        <f>IF(COUNTA(A3672:G3672)=0,"",IF(AND(ISNUMBER(D3672),ISNUMBER(J3672)),ROUND(D3672*J3672*(1-N(F3672)),2),0))</f>
        <v/>
      </c>
      <c r="M3672" s="62" t="str">
        <f>IF(A3672="","",IFERROR(INDEX(fa_cname,MATCH(A3672,fa_num,0))&amp;"",""))</f>
        <v/>
      </c>
      <c r="N3672" s="59" t="str">
        <f>IF(COUNTA(A3672:G3672)=0,"",IF(A3672="","N° facture manquant",IF(ISNA(MATCH(A3672,fa_num,0)),"Facture inconnue",IF(AND(B3672&lt;&gt;"",ISNA(MATCH(B3672,pr_code,0))),"Article inconnu",IF(H3672="","Désignation manquante",IF(OR(NOT(ISNUMBER(D3672)),N(D3672)&lt;=0),"Quantité invalide",IF(J3672="","Prix manquant",IF(OR(NOT(ISNUMBER(J3672)),N(J3672)&lt;0),"Prix invalide",IF(OR(AND(F3672&lt;&gt;"",NOT(ISNUMBER(F3672))),N(F3672)&lt;0,N(F3672)&gt;1),"Remise invalide",IF(K3672="","Taux de TVA manquant",IF(NOT(ISNUMBER(K3672)),"Taux de TVA invalide",IF(COUNTIF(p_rates,K3672)=0,"Taux de TVA hors liste (Paramètres)",IF(N(O3672)&gt;25,"Au-delà de 25 lignes : non imprimée","OK")))))))))))))</f>
        <v/>
      </c>
      <c r="O3672" s="59" t="str">
        <f>IF(A3672="","",COUNTIF($A$6:A3672,A3672))</f>
        <v/>
      </c>
      <c r="P3672" s="62" t="str">
        <f>IF(A3672="","",A3672&amp;"|"&amp;O3672)</f>
        <v/>
      </c>
    </row>
    <row r="3673">
      <c r="A3673" s="60" t="n"/>
      <c r="B3673" s="63" t="n"/>
      <c r="C3673" s="63" t="n"/>
      <c r="D3673" s="67" t="n"/>
      <c r="E3673" s="68" t="n"/>
      <c r="F3673" s="69" t="n"/>
      <c r="G3673" s="70" t="n"/>
      <c r="H3673" s="62" t="str">
        <f>IF(COUNTA(A3673:G3673)=0,"",IF(C3673&lt;&gt;"",C3673,IF(B3673="","",IFERROR(INDEX(pr_des,MATCH(B3673,pr_code,0))&amp;"",""))))</f>
        <v/>
      </c>
      <c r="I3673" s="59" t="str">
        <f>IF(B3673="","",IFERROR(INDEX(pr_unit,MATCH(B3673,pr_code,0))&amp;"",""))</f>
        <v/>
      </c>
      <c r="J3673" s="65" t="str">
        <f>IF(COUNTA(A3673:G3673)=0,"",IF(E3673&lt;&gt;"",E3673,IF(B3673="","",IFERROR(IF(INDEX(pr_price,MATCH(B3673,pr_code,0))="","",INDEX(pr_price,MATCH(B3673,pr_code,0))),""))))</f>
        <v/>
      </c>
      <c r="K3673" s="71" t="str">
        <f>IF(COUNTA(A3673:G3673)=0,"",IF(G3673&lt;&gt;"",G3673,IF(B3673="","",IFERROR(IF(INDEX(pr_rate,MATCH(B3673,pr_code,0))="","",INDEX(pr_rate,MATCH(B3673,pr_code,0))),""))))</f>
        <v/>
      </c>
      <c r="L3673" s="65" t="str">
        <f>IF(COUNTA(A3673:G3673)=0,"",IF(AND(ISNUMBER(D3673),ISNUMBER(J3673)),ROUND(D3673*J3673*(1-N(F3673)),2),0))</f>
        <v/>
      </c>
      <c r="M3673" s="62" t="str">
        <f>IF(A3673="","",IFERROR(INDEX(fa_cname,MATCH(A3673,fa_num,0))&amp;"",""))</f>
        <v/>
      </c>
      <c r="N3673" s="59" t="str">
        <f>IF(COUNTA(A3673:G3673)=0,"",IF(A3673="","N° facture manquant",IF(ISNA(MATCH(A3673,fa_num,0)),"Facture inconnue",IF(AND(B3673&lt;&gt;"",ISNA(MATCH(B3673,pr_code,0))),"Article inconnu",IF(H3673="","Désignation manquante",IF(OR(NOT(ISNUMBER(D3673)),N(D3673)&lt;=0),"Quantité invalide",IF(J3673="","Prix manquant",IF(OR(NOT(ISNUMBER(J3673)),N(J3673)&lt;0),"Prix invalide",IF(OR(AND(F3673&lt;&gt;"",NOT(ISNUMBER(F3673))),N(F3673)&lt;0,N(F3673)&gt;1),"Remise invalide",IF(K3673="","Taux de TVA manquant",IF(NOT(ISNUMBER(K3673)),"Taux de TVA invalide",IF(COUNTIF(p_rates,K3673)=0,"Taux de TVA hors liste (Paramètres)",IF(N(O3673)&gt;25,"Au-delà de 25 lignes : non imprimée","OK")))))))))))))</f>
        <v/>
      </c>
      <c r="O3673" s="59" t="str">
        <f>IF(A3673="","",COUNTIF($A$6:A3673,A3673))</f>
        <v/>
      </c>
      <c r="P3673" s="62" t="str">
        <f>IF(A3673="","",A3673&amp;"|"&amp;O3673)</f>
        <v/>
      </c>
    </row>
    <row r="3674">
      <c r="A3674" s="60" t="n"/>
      <c r="B3674" s="63" t="n"/>
      <c r="C3674" s="63" t="n"/>
      <c r="D3674" s="67" t="n"/>
      <c r="E3674" s="68" t="n"/>
      <c r="F3674" s="69" t="n"/>
      <c r="G3674" s="70" t="n"/>
      <c r="H3674" s="62" t="str">
        <f>IF(COUNTA(A3674:G3674)=0,"",IF(C3674&lt;&gt;"",C3674,IF(B3674="","",IFERROR(INDEX(pr_des,MATCH(B3674,pr_code,0))&amp;"",""))))</f>
        <v/>
      </c>
      <c r="I3674" s="59" t="str">
        <f>IF(B3674="","",IFERROR(INDEX(pr_unit,MATCH(B3674,pr_code,0))&amp;"",""))</f>
        <v/>
      </c>
      <c r="J3674" s="65" t="str">
        <f>IF(COUNTA(A3674:G3674)=0,"",IF(E3674&lt;&gt;"",E3674,IF(B3674="","",IFERROR(IF(INDEX(pr_price,MATCH(B3674,pr_code,0))="","",INDEX(pr_price,MATCH(B3674,pr_code,0))),""))))</f>
        <v/>
      </c>
      <c r="K3674" s="71" t="str">
        <f>IF(COUNTA(A3674:G3674)=0,"",IF(G3674&lt;&gt;"",G3674,IF(B3674="","",IFERROR(IF(INDEX(pr_rate,MATCH(B3674,pr_code,0))="","",INDEX(pr_rate,MATCH(B3674,pr_code,0))),""))))</f>
        <v/>
      </c>
      <c r="L3674" s="65" t="str">
        <f>IF(COUNTA(A3674:G3674)=0,"",IF(AND(ISNUMBER(D3674),ISNUMBER(J3674)),ROUND(D3674*J3674*(1-N(F3674)),2),0))</f>
        <v/>
      </c>
      <c r="M3674" s="62" t="str">
        <f>IF(A3674="","",IFERROR(INDEX(fa_cname,MATCH(A3674,fa_num,0))&amp;"",""))</f>
        <v/>
      </c>
      <c r="N3674" s="59" t="str">
        <f>IF(COUNTA(A3674:G3674)=0,"",IF(A3674="","N° facture manquant",IF(ISNA(MATCH(A3674,fa_num,0)),"Facture inconnue",IF(AND(B3674&lt;&gt;"",ISNA(MATCH(B3674,pr_code,0))),"Article inconnu",IF(H3674="","Désignation manquante",IF(OR(NOT(ISNUMBER(D3674)),N(D3674)&lt;=0),"Quantité invalide",IF(J3674="","Prix manquant",IF(OR(NOT(ISNUMBER(J3674)),N(J3674)&lt;0),"Prix invalide",IF(OR(AND(F3674&lt;&gt;"",NOT(ISNUMBER(F3674))),N(F3674)&lt;0,N(F3674)&gt;1),"Remise invalide",IF(K3674="","Taux de TVA manquant",IF(NOT(ISNUMBER(K3674)),"Taux de TVA invalide",IF(COUNTIF(p_rates,K3674)=0,"Taux de TVA hors liste (Paramètres)",IF(N(O3674)&gt;25,"Au-delà de 25 lignes : non imprimée","OK")))))))))))))</f>
        <v/>
      </c>
      <c r="O3674" s="59" t="str">
        <f>IF(A3674="","",COUNTIF($A$6:A3674,A3674))</f>
        <v/>
      </c>
      <c r="P3674" s="62" t="str">
        <f>IF(A3674="","",A3674&amp;"|"&amp;O3674)</f>
        <v/>
      </c>
    </row>
    <row r="3675">
      <c r="A3675" s="60" t="n"/>
      <c r="B3675" s="63" t="n"/>
      <c r="C3675" s="63" t="n"/>
      <c r="D3675" s="67" t="n"/>
      <c r="E3675" s="68" t="n"/>
      <c r="F3675" s="69" t="n"/>
      <c r="G3675" s="70" t="n"/>
      <c r="H3675" s="62" t="str">
        <f>IF(COUNTA(A3675:G3675)=0,"",IF(C3675&lt;&gt;"",C3675,IF(B3675="","",IFERROR(INDEX(pr_des,MATCH(B3675,pr_code,0))&amp;"",""))))</f>
        <v/>
      </c>
      <c r="I3675" s="59" t="str">
        <f>IF(B3675="","",IFERROR(INDEX(pr_unit,MATCH(B3675,pr_code,0))&amp;"",""))</f>
        <v/>
      </c>
      <c r="J3675" s="65" t="str">
        <f>IF(COUNTA(A3675:G3675)=0,"",IF(E3675&lt;&gt;"",E3675,IF(B3675="","",IFERROR(IF(INDEX(pr_price,MATCH(B3675,pr_code,0))="","",INDEX(pr_price,MATCH(B3675,pr_code,0))),""))))</f>
        <v/>
      </c>
      <c r="K3675" s="71" t="str">
        <f>IF(COUNTA(A3675:G3675)=0,"",IF(G3675&lt;&gt;"",G3675,IF(B3675="","",IFERROR(IF(INDEX(pr_rate,MATCH(B3675,pr_code,0))="","",INDEX(pr_rate,MATCH(B3675,pr_code,0))),""))))</f>
        <v/>
      </c>
      <c r="L3675" s="65" t="str">
        <f>IF(COUNTA(A3675:G3675)=0,"",IF(AND(ISNUMBER(D3675),ISNUMBER(J3675)),ROUND(D3675*J3675*(1-N(F3675)),2),0))</f>
        <v/>
      </c>
      <c r="M3675" s="62" t="str">
        <f>IF(A3675="","",IFERROR(INDEX(fa_cname,MATCH(A3675,fa_num,0))&amp;"",""))</f>
        <v/>
      </c>
      <c r="N3675" s="59" t="str">
        <f>IF(COUNTA(A3675:G3675)=0,"",IF(A3675="","N° facture manquant",IF(ISNA(MATCH(A3675,fa_num,0)),"Facture inconnue",IF(AND(B3675&lt;&gt;"",ISNA(MATCH(B3675,pr_code,0))),"Article inconnu",IF(H3675="","Désignation manquante",IF(OR(NOT(ISNUMBER(D3675)),N(D3675)&lt;=0),"Quantité invalide",IF(J3675="","Prix manquant",IF(OR(NOT(ISNUMBER(J3675)),N(J3675)&lt;0),"Prix invalide",IF(OR(AND(F3675&lt;&gt;"",NOT(ISNUMBER(F3675))),N(F3675)&lt;0,N(F3675)&gt;1),"Remise invalide",IF(K3675="","Taux de TVA manquant",IF(NOT(ISNUMBER(K3675)),"Taux de TVA invalide",IF(COUNTIF(p_rates,K3675)=0,"Taux de TVA hors liste (Paramètres)",IF(N(O3675)&gt;25,"Au-delà de 25 lignes : non imprimée","OK")))))))))))))</f>
        <v/>
      </c>
      <c r="O3675" s="59" t="str">
        <f>IF(A3675="","",COUNTIF($A$6:A3675,A3675))</f>
        <v/>
      </c>
      <c r="P3675" s="62" t="str">
        <f>IF(A3675="","",A3675&amp;"|"&amp;O3675)</f>
        <v/>
      </c>
    </row>
    <row r="3676">
      <c r="A3676" s="60" t="n"/>
      <c r="B3676" s="63" t="n"/>
      <c r="C3676" s="63" t="n"/>
      <c r="D3676" s="67" t="n"/>
      <c r="E3676" s="68" t="n"/>
      <c r="F3676" s="69" t="n"/>
      <c r="G3676" s="70" t="n"/>
      <c r="H3676" s="62" t="str">
        <f>IF(COUNTA(A3676:G3676)=0,"",IF(C3676&lt;&gt;"",C3676,IF(B3676="","",IFERROR(INDEX(pr_des,MATCH(B3676,pr_code,0))&amp;"",""))))</f>
        <v/>
      </c>
      <c r="I3676" s="59" t="str">
        <f>IF(B3676="","",IFERROR(INDEX(pr_unit,MATCH(B3676,pr_code,0))&amp;"",""))</f>
        <v/>
      </c>
      <c r="J3676" s="65" t="str">
        <f>IF(COUNTA(A3676:G3676)=0,"",IF(E3676&lt;&gt;"",E3676,IF(B3676="","",IFERROR(IF(INDEX(pr_price,MATCH(B3676,pr_code,0))="","",INDEX(pr_price,MATCH(B3676,pr_code,0))),""))))</f>
        <v/>
      </c>
      <c r="K3676" s="71" t="str">
        <f>IF(COUNTA(A3676:G3676)=0,"",IF(G3676&lt;&gt;"",G3676,IF(B3676="","",IFERROR(IF(INDEX(pr_rate,MATCH(B3676,pr_code,0))="","",INDEX(pr_rate,MATCH(B3676,pr_code,0))),""))))</f>
        <v/>
      </c>
      <c r="L3676" s="65" t="str">
        <f>IF(COUNTA(A3676:G3676)=0,"",IF(AND(ISNUMBER(D3676),ISNUMBER(J3676)),ROUND(D3676*J3676*(1-N(F3676)),2),0))</f>
        <v/>
      </c>
      <c r="M3676" s="62" t="str">
        <f>IF(A3676="","",IFERROR(INDEX(fa_cname,MATCH(A3676,fa_num,0))&amp;"",""))</f>
        <v/>
      </c>
      <c r="N3676" s="59" t="str">
        <f>IF(COUNTA(A3676:G3676)=0,"",IF(A3676="","N° facture manquant",IF(ISNA(MATCH(A3676,fa_num,0)),"Facture inconnue",IF(AND(B3676&lt;&gt;"",ISNA(MATCH(B3676,pr_code,0))),"Article inconnu",IF(H3676="","Désignation manquante",IF(OR(NOT(ISNUMBER(D3676)),N(D3676)&lt;=0),"Quantité invalide",IF(J3676="","Prix manquant",IF(OR(NOT(ISNUMBER(J3676)),N(J3676)&lt;0),"Prix invalide",IF(OR(AND(F3676&lt;&gt;"",NOT(ISNUMBER(F3676))),N(F3676)&lt;0,N(F3676)&gt;1),"Remise invalide",IF(K3676="","Taux de TVA manquant",IF(NOT(ISNUMBER(K3676)),"Taux de TVA invalide",IF(COUNTIF(p_rates,K3676)=0,"Taux de TVA hors liste (Paramètres)",IF(N(O3676)&gt;25,"Au-delà de 25 lignes : non imprimée","OK")))))))))))))</f>
        <v/>
      </c>
      <c r="O3676" s="59" t="str">
        <f>IF(A3676="","",COUNTIF($A$6:A3676,A3676))</f>
        <v/>
      </c>
      <c r="P3676" s="62" t="str">
        <f>IF(A3676="","",A3676&amp;"|"&amp;O3676)</f>
        <v/>
      </c>
    </row>
    <row r="3677">
      <c r="A3677" s="60" t="n"/>
      <c r="B3677" s="63" t="n"/>
      <c r="C3677" s="63" t="n"/>
      <c r="D3677" s="67" t="n"/>
      <c r="E3677" s="68" t="n"/>
      <c r="F3677" s="69" t="n"/>
      <c r="G3677" s="70" t="n"/>
      <c r="H3677" s="62" t="str">
        <f>IF(COUNTA(A3677:G3677)=0,"",IF(C3677&lt;&gt;"",C3677,IF(B3677="","",IFERROR(INDEX(pr_des,MATCH(B3677,pr_code,0))&amp;"",""))))</f>
        <v/>
      </c>
      <c r="I3677" s="59" t="str">
        <f>IF(B3677="","",IFERROR(INDEX(pr_unit,MATCH(B3677,pr_code,0))&amp;"",""))</f>
        <v/>
      </c>
      <c r="J3677" s="65" t="str">
        <f>IF(COUNTA(A3677:G3677)=0,"",IF(E3677&lt;&gt;"",E3677,IF(B3677="","",IFERROR(IF(INDEX(pr_price,MATCH(B3677,pr_code,0))="","",INDEX(pr_price,MATCH(B3677,pr_code,0))),""))))</f>
        <v/>
      </c>
      <c r="K3677" s="71" t="str">
        <f>IF(COUNTA(A3677:G3677)=0,"",IF(G3677&lt;&gt;"",G3677,IF(B3677="","",IFERROR(IF(INDEX(pr_rate,MATCH(B3677,pr_code,0))="","",INDEX(pr_rate,MATCH(B3677,pr_code,0))),""))))</f>
        <v/>
      </c>
      <c r="L3677" s="65" t="str">
        <f>IF(COUNTA(A3677:G3677)=0,"",IF(AND(ISNUMBER(D3677),ISNUMBER(J3677)),ROUND(D3677*J3677*(1-N(F3677)),2),0))</f>
        <v/>
      </c>
      <c r="M3677" s="62" t="str">
        <f>IF(A3677="","",IFERROR(INDEX(fa_cname,MATCH(A3677,fa_num,0))&amp;"",""))</f>
        <v/>
      </c>
      <c r="N3677" s="59" t="str">
        <f>IF(COUNTA(A3677:G3677)=0,"",IF(A3677="","N° facture manquant",IF(ISNA(MATCH(A3677,fa_num,0)),"Facture inconnue",IF(AND(B3677&lt;&gt;"",ISNA(MATCH(B3677,pr_code,0))),"Article inconnu",IF(H3677="","Désignation manquante",IF(OR(NOT(ISNUMBER(D3677)),N(D3677)&lt;=0),"Quantité invalide",IF(J3677="","Prix manquant",IF(OR(NOT(ISNUMBER(J3677)),N(J3677)&lt;0),"Prix invalide",IF(OR(AND(F3677&lt;&gt;"",NOT(ISNUMBER(F3677))),N(F3677)&lt;0,N(F3677)&gt;1),"Remise invalide",IF(K3677="","Taux de TVA manquant",IF(NOT(ISNUMBER(K3677)),"Taux de TVA invalide",IF(COUNTIF(p_rates,K3677)=0,"Taux de TVA hors liste (Paramètres)",IF(N(O3677)&gt;25,"Au-delà de 25 lignes : non imprimée","OK")))))))))))))</f>
        <v/>
      </c>
      <c r="O3677" s="59" t="str">
        <f>IF(A3677="","",COUNTIF($A$6:A3677,A3677))</f>
        <v/>
      </c>
      <c r="P3677" s="62" t="str">
        <f>IF(A3677="","",A3677&amp;"|"&amp;O3677)</f>
        <v/>
      </c>
    </row>
    <row r="3678">
      <c r="A3678" s="60" t="n"/>
      <c r="B3678" s="63" t="n"/>
      <c r="C3678" s="63" t="n"/>
      <c r="D3678" s="67" t="n"/>
      <c r="E3678" s="68" t="n"/>
      <c r="F3678" s="69" t="n"/>
      <c r="G3678" s="70" t="n"/>
      <c r="H3678" s="62" t="str">
        <f>IF(COUNTA(A3678:G3678)=0,"",IF(C3678&lt;&gt;"",C3678,IF(B3678="","",IFERROR(INDEX(pr_des,MATCH(B3678,pr_code,0))&amp;"",""))))</f>
        <v/>
      </c>
      <c r="I3678" s="59" t="str">
        <f>IF(B3678="","",IFERROR(INDEX(pr_unit,MATCH(B3678,pr_code,0))&amp;"",""))</f>
        <v/>
      </c>
      <c r="J3678" s="65" t="str">
        <f>IF(COUNTA(A3678:G3678)=0,"",IF(E3678&lt;&gt;"",E3678,IF(B3678="","",IFERROR(IF(INDEX(pr_price,MATCH(B3678,pr_code,0))="","",INDEX(pr_price,MATCH(B3678,pr_code,0))),""))))</f>
        <v/>
      </c>
      <c r="K3678" s="71" t="str">
        <f>IF(COUNTA(A3678:G3678)=0,"",IF(G3678&lt;&gt;"",G3678,IF(B3678="","",IFERROR(IF(INDEX(pr_rate,MATCH(B3678,pr_code,0))="","",INDEX(pr_rate,MATCH(B3678,pr_code,0))),""))))</f>
        <v/>
      </c>
      <c r="L3678" s="65" t="str">
        <f>IF(COUNTA(A3678:G3678)=0,"",IF(AND(ISNUMBER(D3678),ISNUMBER(J3678)),ROUND(D3678*J3678*(1-N(F3678)),2),0))</f>
        <v/>
      </c>
      <c r="M3678" s="62" t="str">
        <f>IF(A3678="","",IFERROR(INDEX(fa_cname,MATCH(A3678,fa_num,0))&amp;"",""))</f>
        <v/>
      </c>
      <c r="N3678" s="59" t="str">
        <f>IF(COUNTA(A3678:G3678)=0,"",IF(A3678="","N° facture manquant",IF(ISNA(MATCH(A3678,fa_num,0)),"Facture inconnue",IF(AND(B3678&lt;&gt;"",ISNA(MATCH(B3678,pr_code,0))),"Article inconnu",IF(H3678="","Désignation manquante",IF(OR(NOT(ISNUMBER(D3678)),N(D3678)&lt;=0),"Quantité invalide",IF(J3678="","Prix manquant",IF(OR(NOT(ISNUMBER(J3678)),N(J3678)&lt;0),"Prix invalide",IF(OR(AND(F3678&lt;&gt;"",NOT(ISNUMBER(F3678))),N(F3678)&lt;0,N(F3678)&gt;1),"Remise invalide",IF(K3678="","Taux de TVA manquant",IF(NOT(ISNUMBER(K3678)),"Taux de TVA invalide",IF(COUNTIF(p_rates,K3678)=0,"Taux de TVA hors liste (Paramètres)",IF(N(O3678)&gt;25,"Au-delà de 25 lignes : non imprimée","OK")))))))))))))</f>
        <v/>
      </c>
      <c r="O3678" s="59" t="str">
        <f>IF(A3678="","",COUNTIF($A$6:A3678,A3678))</f>
        <v/>
      </c>
      <c r="P3678" s="62" t="str">
        <f>IF(A3678="","",A3678&amp;"|"&amp;O3678)</f>
        <v/>
      </c>
    </row>
    <row r="3679">
      <c r="A3679" s="60" t="n"/>
      <c r="B3679" s="63" t="n"/>
      <c r="C3679" s="63" t="n"/>
      <c r="D3679" s="67" t="n"/>
      <c r="E3679" s="68" t="n"/>
      <c r="F3679" s="69" t="n"/>
      <c r="G3679" s="70" t="n"/>
      <c r="H3679" s="62" t="str">
        <f>IF(COUNTA(A3679:G3679)=0,"",IF(C3679&lt;&gt;"",C3679,IF(B3679="","",IFERROR(INDEX(pr_des,MATCH(B3679,pr_code,0))&amp;"",""))))</f>
        <v/>
      </c>
      <c r="I3679" s="59" t="str">
        <f>IF(B3679="","",IFERROR(INDEX(pr_unit,MATCH(B3679,pr_code,0))&amp;"",""))</f>
        <v/>
      </c>
      <c r="J3679" s="65" t="str">
        <f>IF(COUNTA(A3679:G3679)=0,"",IF(E3679&lt;&gt;"",E3679,IF(B3679="","",IFERROR(IF(INDEX(pr_price,MATCH(B3679,pr_code,0))="","",INDEX(pr_price,MATCH(B3679,pr_code,0))),""))))</f>
        <v/>
      </c>
      <c r="K3679" s="71" t="str">
        <f>IF(COUNTA(A3679:G3679)=0,"",IF(G3679&lt;&gt;"",G3679,IF(B3679="","",IFERROR(IF(INDEX(pr_rate,MATCH(B3679,pr_code,0))="","",INDEX(pr_rate,MATCH(B3679,pr_code,0))),""))))</f>
        <v/>
      </c>
      <c r="L3679" s="65" t="str">
        <f>IF(COUNTA(A3679:G3679)=0,"",IF(AND(ISNUMBER(D3679),ISNUMBER(J3679)),ROUND(D3679*J3679*(1-N(F3679)),2),0))</f>
        <v/>
      </c>
      <c r="M3679" s="62" t="str">
        <f>IF(A3679="","",IFERROR(INDEX(fa_cname,MATCH(A3679,fa_num,0))&amp;"",""))</f>
        <v/>
      </c>
      <c r="N3679" s="59" t="str">
        <f>IF(COUNTA(A3679:G3679)=0,"",IF(A3679="","N° facture manquant",IF(ISNA(MATCH(A3679,fa_num,0)),"Facture inconnue",IF(AND(B3679&lt;&gt;"",ISNA(MATCH(B3679,pr_code,0))),"Article inconnu",IF(H3679="","Désignation manquante",IF(OR(NOT(ISNUMBER(D3679)),N(D3679)&lt;=0),"Quantité invalide",IF(J3679="","Prix manquant",IF(OR(NOT(ISNUMBER(J3679)),N(J3679)&lt;0),"Prix invalide",IF(OR(AND(F3679&lt;&gt;"",NOT(ISNUMBER(F3679))),N(F3679)&lt;0,N(F3679)&gt;1),"Remise invalide",IF(K3679="","Taux de TVA manquant",IF(NOT(ISNUMBER(K3679)),"Taux de TVA invalide",IF(COUNTIF(p_rates,K3679)=0,"Taux de TVA hors liste (Paramètres)",IF(N(O3679)&gt;25,"Au-delà de 25 lignes : non imprimée","OK")))))))))))))</f>
        <v/>
      </c>
      <c r="O3679" s="59" t="str">
        <f>IF(A3679="","",COUNTIF($A$6:A3679,A3679))</f>
        <v/>
      </c>
      <c r="P3679" s="62" t="str">
        <f>IF(A3679="","",A3679&amp;"|"&amp;O3679)</f>
        <v/>
      </c>
    </row>
    <row r="3680">
      <c r="A3680" s="60" t="n"/>
      <c r="B3680" s="63" t="n"/>
      <c r="C3680" s="63" t="n"/>
      <c r="D3680" s="67" t="n"/>
      <c r="E3680" s="68" t="n"/>
      <c r="F3680" s="69" t="n"/>
      <c r="G3680" s="70" t="n"/>
      <c r="H3680" s="62" t="str">
        <f>IF(COUNTA(A3680:G3680)=0,"",IF(C3680&lt;&gt;"",C3680,IF(B3680="","",IFERROR(INDEX(pr_des,MATCH(B3680,pr_code,0))&amp;"",""))))</f>
        <v/>
      </c>
      <c r="I3680" s="59" t="str">
        <f>IF(B3680="","",IFERROR(INDEX(pr_unit,MATCH(B3680,pr_code,0))&amp;"",""))</f>
        <v/>
      </c>
      <c r="J3680" s="65" t="str">
        <f>IF(COUNTA(A3680:G3680)=0,"",IF(E3680&lt;&gt;"",E3680,IF(B3680="","",IFERROR(IF(INDEX(pr_price,MATCH(B3680,pr_code,0))="","",INDEX(pr_price,MATCH(B3680,pr_code,0))),""))))</f>
        <v/>
      </c>
      <c r="K3680" s="71" t="str">
        <f>IF(COUNTA(A3680:G3680)=0,"",IF(G3680&lt;&gt;"",G3680,IF(B3680="","",IFERROR(IF(INDEX(pr_rate,MATCH(B3680,pr_code,0))="","",INDEX(pr_rate,MATCH(B3680,pr_code,0))),""))))</f>
        <v/>
      </c>
      <c r="L3680" s="65" t="str">
        <f>IF(COUNTA(A3680:G3680)=0,"",IF(AND(ISNUMBER(D3680),ISNUMBER(J3680)),ROUND(D3680*J3680*(1-N(F3680)),2),0))</f>
        <v/>
      </c>
      <c r="M3680" s="62" t="str">
        <f>IF(A3680="","",IFERROR(INDEX(fa_cname,MATCH(A3680,fa_num,0))&amp;"",""))</f>
        <v/>
      </c>
      <c r="N3680" s="59" t="str">
        <f>IF(COUNTA(A3680:G3680)=0,"",IF(A3680="","N° facture manquant",IF(ISNA(MATCH(A3680,fa_num,0)),"Facture inconnue",IF(AND(B3680&lt;&gt;"",ISNA(MATCH(B3680,pr_code,0))),"Article inconnu",IF(H3680="","Désignation manquante",IF(OR(NOT(ISNUMBER(D3680)),N(D3680)&lt;=0),"Quantité invalide",IF(J3680="","Prix manquant",IF(OR(NOT(ISNUMBER(J3680)),N(J3680)&lt;0),"Prix invalide",IF(OR(AND(F3680&lt;&gt;"",NOT(ISNUMBER(F3680))),N(F3680)&lt;0,N(F3680)&gt;1),"Remise invalide",IF(K3680="","Taux de TVA manquant",IF(NOT(ISNUMBER(K3680)),"Taux de TVA invalide",IF(COUNTIF(p_rates,K3680)=0,"Taux de TVA hors liste (Paramètres)",IF(N(O3680)&gt;25,"Au-delà de 25 lignes : non imprimée","OK")))))))))))))</f>
        <v/>
      </c>
      <c r="O3680" s="59" t="str">
        <f>IF(A3680="","",COUNTIF($A$6:A3680,A3680))</f>
        <v/>
      </c>
      <c r="P3680" s="62" t="str">
        <f>IF(A3680="","",A3680&amp;"|"&amp;O3680)</f>
        <v/>
      </c>
    </row>
    <row r="3681">
      <c r="A3681" s="60" t="n"/>
      <c r="B3681" s="63" t="n"/>
      <c r="C3681" s="63" t="n"/>
      <c r="D3681" s="67" t="n"/>
      <c r="E3681" s="68" t="n"/>
      <c r="F3681" s="69" t="n"/>
      <c r="G3681" s="70" t="n"/>
      <c r="H3681" s="62" t="str">
        <f>IF(COUNTA(A3681:G3681)=0,"",IF(C3681&lt;&gt;"",C3681,IF(B3681="","",IFERROR(INDEX(pr_des,MATCH(B3681,pr_code,0))&amp;"",""))))</f>
        <v/>
      </c>
      <c r="I3681" s="59" t="str">
        <f>IF(B3681="","",IFERROR(INDEX(pr_unit,MATCH(B3681,pr_code,0))&amp;"",""))</f>
        <v/>
      </c>
      <c r="J3681" s="65" t="str">
        <f>IF(COUNTA(A3681:G3681)=0,"",IF(E3681&lt;&gt;"",E3681,IF(B3681="","",IFERROR(IF(INDEX(pr_price,MATCH(B3681,pr_code,0))="","",INDEX(pr_price,MATCH(B3681,pr_code,0))),""))))</f>
        <v/>
      </c>
      <c r="K3681" s="71" t="str">
        <f>IF(COUNTA(A3681:G3681)=0,"",IF(G3681&lt;&gt;"",G3681,IF(B3681="","",IFERROR(IF(INDEX(pr_rate,MATCH(B3681,pr_code,0))="","",INDEX(pr_rate,MATCH(B3681,pr_code,0))),""))))</f>
        <v/>
      </c>
      <c r="L3681" s="65" t="str">
        <f>IF(COUNTA(A3681:G3681)=0,"",IF(AND(ISNUMBER(D3681),ISNUMBER(J3681)),ROUND(D3681*J3681*(1-N(F3681)),2),0))</f>
        <v/>
      </c>
      <c r="M3681" s="62" t="str">
        <f>IF(A3681="","",IFERROR(INDEX(fa_cname,MATCH(A3681,fa_num,0))&amp;"",""))</f>
        <v/>
      </c>
      <c r="N3681" s="59" t="str">
        <f>IF(COUNTA(A3681:G3681)=0,"",IF(A3681="","N° facture manquant",IF(ISNA(MATCH(A3681,fa_num,0)),"Facture inconnue",IF(AND(B3681&lt;&gt;"",ISNA(MATCH(B3681,pr_code,0))),"Article inconnu",IF(H3681="","Désignation manquante",IF(OR(NOT(ISNUMBER(D3681)),N(D3681)&lt;=0),"Quantité invalide",IF(J3681="","Prix manquant",IF(OR(NOT(ISNUMBER(J3681)),N(J3681)&lt;0),"Prix invalide",IF(OR(AND(F3681&lt;&gt;"",NOT(ISNUMBER(F3681))),N(F3681)&lt;0,N(F3681)&gt;1),"Remise invalide",IF(K3681="","Taux de TVA manquant",IF(NOT(ISNUMBER(K3681)),"Taux de TVA invalide",IF(COUNTIF(p_rates,K3681)=0,"Taux de TVA hors liste (Paramètres)",IF(N(O3681)&gt;25,"Au-delà de 25 lignes : non imprimée","OK")))))))))))))</f>
        <v/>
      </c>
      <c r="O3681" s="59" t="str">
        <f>IF(A3681="","",COUNTIF($A$6:A3681,A3681))</f>
        <v/>
      </c>
      <c r="P3681" s="62" t="str">
        <f>IF(A3681="","",A3681&amp;"|"&amp;O3681)</f>
        <v/>
      </c>
    </row>
    <row r="3682">
      <c r="A3682" s="60" t="n"/>
      <c r="B3682" s="63" t="n"/>
      <c r="C3682" s="63" t="n"/>
      <c r="D3682" s="67" t="n"/>
      <c r="E3682" s="68" t="n"/>
      <c r="F3682" s="69" t="n"/>
      <c r="G3682" s="70" t="n"/>
      <c r="H3682" s="62" t="str">
        <f>IF(COUNTA(A3682:G3682)=0,"",IF(C3682&lt;&gt;"",C3682,IF(B3682="","",IFERROR(INDEX(pr_des,MATCH(B3682,pr_code,0))&amp;"",""))))</f>
        <v/>
      </c>
      <c r="I3682" s="59" t="str">
        <f>IF(B3682="","",IFERROR(INDEX(pr_unit,MATCH(B3682,pr_code,0))&amp;"",""))</f>
        <v/>
      </c>
      <c r="J3682" s="65" t="str">
        <f>IF(COUNTA(A3682:G3682)=0,"",IF(E3682&lt;&gt;"",E3682,IF(B3682="","",IFERROR(IF(INDEX(pr_price,MATCH(B3682,pr_code,0))="","",INDEX(pr_price,MATCH(B3682,pr_code,0))),""))))</f>
        <v/>
      </c>
      <c r="K3682" s="71" t="str">
        <f>IF(COUNTA(A3682:G3682)=0,"",IF(G3682&lt;&gt;"",G3682,IF(B3682="","",IFERROR(IF(INDEX(pr_rate,MATCH(B3682,pr_code,0))="","",INDEX(pr_rate,MATCH(B3682,pr_code,0))),""))))</f>
        <v/>
      </c>
      <c r="L3682" s="65" t="str">
        <f>IF(COUNTA(A3682:G3682)=0,"",IF(AND(ISNUMBER(D3682),ISNUMBER(J3682)),ROUND(D3682*J3682*(1-N(F3682)),2),0))</f>
        <v/>
      </c>
      <c r="M3682" s="62" t="str">
        <f>IF(A3682="","",IFERROR(INDEX(fa_cname,MATCH(A3682,fa_num,0))&amp;"",""))</f>
        <v/>
      </c>
      <c r="N3682" s="59" t="str">
        <f>IF(COUNTA(A3682:G3682)=0,"",IF(A3682="","N° facture manquant",IF(ISNA(MATCH(A3682,fa_num,0)),"Facture inconnue",IF(AND(B3682&lt;&gt;"",ISNA(MATCH(B3682,pr_code,0))),"Article inconnu",IF(H3682="","Désignation manquante",IF(OR(NOT(ISNUMBER(D3682)),N(D3682)&lt;=0),"Quantité invalide",IF(J3682="","Prix manquant",IF(OR(NOT(ISNUMBER(J3682)),N(J3682)&lt;0),"Prix invalide",IF(OR(AND(F3682&lt;&gt;"",NOT(ISNUMBER(F3682))),N(F3682)&lt;0,N(F3682)&gt;1),"Remise invalide",IF(K3682="","Taux de TVA manquant",IF(NOT(ISNUMBER(K3682)),"Taux de TVA invalide",IF(COUNTIF(p_rates,K3682)=0,"Taux de TVA hors liste (Paramètres)",IF(N(O3682)&gt;25,"Au-delà de 25 lignes : non imprimée","OK")))))))))))))</f>
        <v/>
      </c>
      <c r="O3682" s="59" t="str">
        <f>IF(A3682="","",COUNTIF($A$6:A3682,A3682))</f>
        <v/>
      </c>
      <c r="P3682" s="62" t="str">
        <f>IF(A3682="","",A3682&amp;"|"&amp;O3682)</f>
        <v/>
      </c>
    </row>
    <row r="3683">
      <c r="A3683" s="60" t="n"/>
      <c r="B3683" s="63" t="n"/>
      <c r="C3683" s="63" t="n"/>
      <c r="D3683" s="67" t="n"/>
      <c r="E3683" s="68" t="n"/>
      <c r="F3683" s="69" t="n"/>
      <c r="G3683" s="70" t="n"/>
      <c r="H3683" s="62" t="str">
        <f>IF(COUNTA(A3683:G3683)=0,"",IF(C3683&lt;&gt;"",C3683,IF(B3683="","",IFERROR(INDEX(pr_des,MATCH(B3683,pr_code,0))&amp;"",""))))</f>
        <v/>
      </c>
      <c r="I3683" s="59" t="str">
        <f>IF(B3683="","",IFERROR(INDEX(pr_unit,MATCH(B3683,pr_code,0))&amp;"",""))</f>
        <v/>
      </c>
      <c r="J3683" s="65" t="str">
        <f>IF(COUNTA(A3683:G3683)=0,"",IF(E3683&lt;&gt;"",E3683,IF(B3683="","",IFERROR(IF(INDEX(pr_price,MATCH(B3683,pr_code,0))="","",INDEX(pr_price,MATCH(B3683,pr_code,0))),""))))</f>
        <v/>
      </c>
      <c r="K3683" s="71" t="str">
        <f>IF(COUNTA(A3683:G3683)=0,"",IF(G3683&lt;&gt;"",G3683,IF(B3683="","",IFERROR(IF(INDEX(pr_rate,MATCH(B3683,pr_code,0))="","",INDEX(pr_rate,MATCH(B3683,pr_code,0))),""))))</f>
        <v/>
      </c>
      <c r="L3683" s="65" t="str">
        <f>IF(COUNTA(A3683:G3683)=0,"",IF(AND(ISNUMBER(D3683),ISNUMBER(J3683)),ROUND(D3683*J3683*(1-N(F3683)),2),0))</f>
        <v/>
      </c>
      <c r="M3683" s="62" t="str">
        <f>IF(A3683="","",IFERROR(INDEX(fa_cname,MATCH(A3683,fa_num,0))&amp;"",""))</f>
        <v/>
      </c>
      <c r="N3683" s="59" t="str">
        <f>IF(COUNTA(A3683:G3683)=0,"",IF(A3683="","N° facture manquant",IF(ISNA(MATCH(A3683,fa_num,0)),"Facture inconnue",IF(AND(B3683&lt;&gt;"",ISNA(MATCH(B3683,pr_code,0))),"Article inconnu",IF(H3683="","Désignation manquante",IF(OR(NOT(ISNUMBER(D3683)),N(D3683)&lt;=0),"Quantité invalide",IF(J3683="","Prix manquant",IF(OR(NOT(ISNUMBER(J3683)),N(J3683)&lt;0),"Prix invalide",IF(OR(AND(F3683&lt;&gt;"",NOT(ISNUMBER(F3683))),N(F3683)&lt;0,N(F3683)&gt;1),"Remise invalide",IF(K3683="","Taux de TVA manquant",IF(NOT(ISNUMBER(K3683)),"Taux de TVA invalide",IF(COUNTIF(p_rates,K3683)=0,"Taux de TVA hors liste (Paramètres)",IF(N(O3683)&gt;25,"Au-delà de 25 lignes : non imprimée","OK")))))))))))))</f>
        <v/>
      </c>
      <c r="O3683" s="59" t="str">
        <f>IF(A3683="","",COUNTIF($A$6:A3683,A3683))</f>
        <v/>
      </c>
      <c r="P3683" s="62" t="str">
        <f>IF(A3683="","",A3683&amp;"|"&amp;O3683)</f>
        <v/>
      </c>
    </row>
    <row r="3684">
      <c r="A3684" s="60" t="n"/>
      <c r="B3684" s="63" t="n"/>
      <c r="C3684" s="63" t="n"/>
      <c r="D3684" s="67" t="n"/>
      <c r="E3684" s="68" t="n"/>
      <c r="F3684" s="69" t="n"/>
      <c r="G3684" s="70" t="n"/>
      <c r="H3684" s="62" t="str">
        <f>IF(COUNTA(A3684:G3684)=0,"",IF(C3684&lt;&gt;"",C3684,IF(B3684="","",IFERROR(INDEX(pr_des,MATCH(B3684,pr_code,0))&amp;"",""))))</f>
        <v/>
      </c>
      <c r="I3684" s="59" t="str">
        <f>IF(B3684="","",IFERROR(INDEX(pr_unit,MATCH(B3684,pr_code,0))&amp;"",""))</f>
        <v/>
      </c>
      <c r="J3684" s="65" t="str">
        <f>IF(COUNTA(A3684:G3684)=0,"",IF(E3684&lt;&gt;"",E3684,IF(B3684="","",IFERROR(IF(INDEX(pr_price,MATCH(B3684,pr_code,0))="","",INDEX(pr_price,MATCH(B3684,pr_code,0))),""))))</f>
        <v/>
      </c>
      <c r="K3684" s="71" t="str">
        <f>IF(COUNTA(A3684:G3684)=0,"",IF(G3684&lt;&gt;"",G3684,IF(B3684="","",IFERROR(IF(INDEX(pr_rate,MATCH(B3684,pr_code,0))="","",INDEX(pr_rate,MATCH(B3684,pr_code,0))),""))))</f>
        <v/>
      </c>
      <c r="L3684" s="65" t="str">
        <f>IF(COUNTA(A3684:G3684)=0,"",IF(AND(ISNUMBER(D3684),ISNUMBER(J3684)),ROUND(D3684*J3684*(1-N(F3684)),2),0))</f>
        <v/>
      </c>
      <c r="M3684" s="62" t="str">
        <f>IF(A3684="","",IFERROR(INDEX(fa_cname,MATCH(A3684,fa_num,0))&amp;"",""))</f>
        <v/>
      </c>
      <c r="N3684" s="59" t="str">
        <f>IF(COUNTA(A3684:G3684)=0,"",IF(A3684="","N° facture manquant",IF(ISNA(MATCH(A3684,fa_num,0)),"Facture inconnue",IF(AND(B3684&lt;&gt;"",ISNA(MATCH(B3684,pr_code,0))),"Article inconnu",IF(H3684="","Désignation manquante",IF(OR(NOT(ISNUMBER(D3684)),N(D3684)&lt;=0),"Quantité invalide",IF(J3684="","Prix manquant",IF(OR(NOT(ISNUMBER(J3684)),N(J3684)&lt;0),"Prix invalide",IF(OR(AND(F3684&lt;&gt;"",NOT(ISNUMBER(F3684))),N(F3684)&lt;0,N(F3684)&gt;1),"Remise invalide",IF(K3684="","Taux de TVA manquant",IF(NOT(ISNUMBER(K3684)),"Taux de TVA invalide",IF(COUNTIF(p_rates,K3684)=0,"Taux de TVA hors liste (Paramètres)",IF(N(O3684)&gt;25,"Au-delà de 25 lignes : non imprimée","OK")))))))))))))</f>
        <v/>
      </c>
      <c r="O3684" s="59" t="str">
        <f>IF(A3684="","",COUNTIF($A$6:A3684,A3684))</f>
        <v/>
      </c>
      <c r="P3684" s="62" t="str">
        <f>IF(A3684="","",A3684&amp;"|"&amp;O3684)</f>
        <v/>
      </c>
    </row>
    <row r="3685">
      <c r="A3685" s="60" t="n"/>
      <c r="B3685" s="63" t="n"/>
      <c r="C3685" s="63" t="n"/>
      <c r="D3685" s="67" t="n"/>
      <c r="E3685" s="68" t="n"/>
      <c r="F3685" s="69" t="n"/>
      <c r="G3685" s="70" t="n"/>
      <c r="H3685" s="62" t="str">
        <f>IF(COUNTA(A3685:G3685)=0,"",IF(C3685&lt;&gt;"",C3685,IF(B3685="","",IFERROR(INDEX(pr_des,MATCH(B3685,pr_code,0))&amp;"",""))))</f>
        <v/>
      </c>
      <c r="I3685" s="59" t="str">
        <f>IF(B3685="","",IFERROR(INDEX(pr_unit,MATCH(B3685,pr_code,0))&amp;"",""))</f>
        <v/>
      </c>
      <c r="J3685" s="65" t="str">
        <f>IF(COUNTA(A3685:G3685)=0,"",IF(E3685&lt;&gt;"",E3685,IF(B3685="","",IFERROR(IF(INDEX(pr_price,MATCH(B3685,pr_code,0))="","",INDEX(pr_price,MATCH(B3685,pr_code,0))),""))))</f>
        <v/>
      </c>
      <c r="K3685" s="71" t="str">
        <f>IF(COUNTA(A3685:G3685)=0,"",IF(G3685&lt;&gt;"",G3685,IF(B3685="","",IFERROR(IF(INDEX(pr_rate,MATCH(B3685,pr_code,0))="","",INDEX(pr_rate,MATCH(B3685,pr_code,0))),""))))</f>
        <v/>
      </c>
      <c r="L3685" s="65" t="str">
        <f>IF(COUNTA(A3685:G3685)=0,"",IF(AND(ISNUMBER(D3685),ISNUMBER(J3685)),ROUND(D3685*J3685*(1-N(F3685)),2),0))</f>
        <v/>
      </c>
      <c r="M3685" s="62" t="str">
        <f>IF(A3685="","",IFERROR(INDEX(fa_cname,MATCH(A3685,fa_num,0))&amp;"",""))</f>
        <v/>
      </c>
      <c r="N3685" s="59" t="str">
        <f>IF(COUNTA(A3685:G3685)=0,"",IF(A3685="","N° facture manquant",IF(ISNA(MATCH(A3685,fa_num,0)),"Facture inconnue",IF(AND(B3685&lt;&gt;"",ISNA(MATCH(B3685,pr_code,0))),"Article inconnu",IF(H3685="","Désignation manquante",IF(OR(NOT(ISNUMBER(D3685)),N(D3685)&lt;=0),"Quantité invalide",IF(J3685="","Prix manquant",IF(OR(NOT(ISNUMBER(J3685)),N(J3685)&lt;0),"Prix invalide",IF(OR(AND(F3685&lt;&gt;"",NOT(ISNUMBER(F3685))),N(F3685)&lt;0,N(F3685)&gt;1),"Remise invalide",IF(K3685="","Taux de TVA manquant",IF(NOT(ISNUMBER(K3685)),"Taux de TVA invalide",IF(COUNTIF(p_rates,K3685)=0,"Taux de TVA hors liste (Paramètres)",IF(N(O3685)&gt;25,"Au-delà de 25 lignes : non imprimée","OK")))))))))))))</f>
        <v/>
      </c>
      <c r="O3685" s="59" t="str">
        <f>IF(A3685="","",COUNTIF($A$6:A3685,A3685))</f>
        <v/>
      </c>
      <c r="P3685" s="62" t="str">
        <f>IF(A3685="","",A3685&amp;"|"&amp;O3685)</f>
        <v/>
      </c>
    </row>
    <row r="3686">
      <c r="A3686" s="60" t="n"/>
      <c r="B3686" s="63" t="n"/>
      <c r="C3686" s="63" t="n"/>
      <c r="D3686" s="67" t="n"/>
      <c r="E3686" s="68" t="n"/>
      <c r="F3686" s="69" t="n"/>
      <c r="G3686" s="70" t="n"/>
      <c r="H3686" s="62" t="str">
        <f>IF(COUNTA(A3686:G3686)=0,"",IF(C3686&lt;&gt;"",C3686,IF(B3686="","",IFERROR(INDEX(pr_des,MATCH(B3686,pr_code,0))&amp;"",""))))</f>
        <v/>
      </c>
      <c r="I3686" s="59" t="str">
        <f>IF(B3686="","",IFERROR(INDEX(pr_unit,MATCH(B3686,pr_code,0))&amp;"",""))</f>
        <v/>
      </c>
      <c r="J3686" s="65" t="str">
        <f>IF(COUNTA(A3686:G3686)=0,"",IF(E3686&lt;&gt;"",E3686,IF(B3686="","",IFERROR(IF(INDEX(pr_price,MATCH(B3686,pr_code,0))="","",INDEX(pr_price,MATCH(B3686,pr_code,0))),""))))</f>
        <v/>
      </c>
      <c r="K3686" s="71" t="str">
        <f>IF(COUNTA(A3686:G3686)=0,"",IF(G3686&lt;&gt;"",G3686,IF(B3686="","",IFERROR(IF(INDEX(pr_rate,MATCH(B3686,pr_code,0))="","",INDEX(pr_rate,MATCH(B3686,pr_code,0))),""))))</f>
        <v/>
      </c>
      <c r="L3686" s="65" t="str">
        <f>IF(COUNTA(A3686:G3686)=0,"",IF(AND(ISNUMBER(D3686),ISNUMBER(J3686)),ROUND(D3686*J3686*(1-N(F3686)),2),0))</f>
        <v/>
      </c>
      <c r="M3686" s="62" t="str">
        <f>IF(A3686="","",IFERROR(INDEX(fa_cname,MATCH(A3686,fa_num,0))&amp;"",""))</f>
        <v/>
      </c>
      <c r="N3686" s="59" t="str">
        <f>IF(COUNTA(A3686:G3686)=0,"",IF(A3686="","N° facture manquant",IF(ISNA(MATCH(A3686,fa_num,0)),"Facture inconnue",IF(AND(B3686&lt;&gt;"",ISNA(MATCH(B3686,pr_code,0))),"Article inconnu",IF(H3686="","Désignation manquante",IF(OR(NOT(ISNUMBER(D3686)),N(D3686)&lt;=0),"Quantité invalide",IF(J3686="","Prix manquant",IF(OR(NOT(ISNUMBER(J3686)),N(J3686)&lt;0),"Prix invalide",IF(OR(AND(F3686&lt;&gt;"",NOT(ISNUMBER(F3686))),N(F3686)&lt;0,N(F3686)&gt;1),"Remise invalide",IF(K3686="","Taux de TVA manquant",IF(NOT(ISNUMBER(K3686)),"Taux de TVA invalide",IF(COUNTIF(p_rates,K3686)=0,"Taux de TVA hors liste (Paramètres)",IF(N(O3686)&gt;25,"Au-delà de 25 lignes : non imprimée","OK")))))))))))))</f>
        <v/>
      </c>
      <c r="O3686" s="59" t="str">
        <f>IF(A3686="","",COUNTIF($A$6:A3686,A3686))</f>
        <v/>
      </c>
      <c r="P3686" s="62" t="str">
        <f>IF(A3686="","",A3686&amp;"|"&amp;O3686)</f>
        <v/>
      </c>
    </row>
    <row r="3687">
      <c r="A3687" s="60" t="n"/>
      <c r="B3687" s="63" t="n"/>
      <c r="C3687" s="63" t="n"/>
      <c r="D3687" s="67" t="n"/>
      <c r="E3687" s="68" t="n"/>
      <c r="F3687" s="69" t="n"/>
      <c r="G3687" s="70" t="n"/>
      <c r="H3687" s="62" t="str">
        <f>IF(COUNTA(A3687:G3687)=0,"",IF(C3687&lt;&gt;"",C3687,IF(B3687="","",IFERROR(INDEX(pr_des,MATCH(B3687,pr_code,0))&amp;"",""))))</f>
        <v/>
      </c>
      <c r="I3687" s="59" t="str">
        <f>IF(B3687="","",IFERROR(INDEX(pr_unit,MATCH(B3687,pr_code,0))&amp;"",""))</f>
        <v/>
      </c>
      <c r="J3687" s="65" t="str">
        <f>IF(COUNTA(A3687:G3687)=0,"",IF(E3687&lt;&gt;"",E3687,IF(B3687="","",IFERROR(IF(INDEX(pr_price,MATCH(B3687,pr_code,0))="","",INDEX(pr_price,MATCH(B3687,pr_code,0))),""))))</f>
        <v/>
      </c>
      <c r="K3687" s="71" t="str">
        <f>IF(COUNTA(A3687:G3687)=0,"",IF(G3687&lt;&gt;"",G3687,IF(B3687="","",IFERROR(IF(INDEX(pr_rate,MATCH(B3687,pr_code,0))="","",INDEX(pr_rate,MATCH(B3687,pr_code,0))),""))))</f>
        <v/>
      </c>
      <c r="L3687" s="65" t="str">
        <f>IF(COUNTA(A3687:G3687)=0,"",IF(AND(ISNUMBER(D3687),ISNUMBER(J3687)),ROUND(D3687*J3687*(1-N(F3687)),2),0))</f>
        <v/>
      </c>
      <c r="M3687" s="62" t="str">
        <f>IF(A3687="","",IFERROR(INDEX(fa_cname,MATCH(A3687,fa_num,0))&amp;"",""))</f>
        <v/>
      </c>
      <c r="N3687" s="59" t="str">
        <f>IF(COUNTA(A3687:G3687)=0,"",IF(A3687="","N° facture manquant",IF(ISNA(MATCH(A3687,fa_num,0)),"Facture inconnue",IF(AND(B3687&lt;&gt;"",ISNA(MATCH(B3687,pr_code,0))),"Article inconnu",IF(H3687="","Désignation manquante",IF(OR(NOT(ISNUMBER(D3687)),N(D3687)&lt;=0),"Quantité invalide",IF(J3687="","Prix manquant",IF(OR(NOT(ISNUMBER(J3687)),N(J3687)&lt;0),"Prix invalide",IF(OR(AND(F3687&lt;&gt;"",NOT(ISNUMBER(F3687))),N(F3687)&lt;0,N(F3687)&gt;1),"Remise invalide",IF(K3687="","Taux de TVA manquant",IF(NOT(ISNUMBER(K3687)),"Taux de TVA invalide",IF(COUNTIF(p_rates,K3687)=0,"Taux de TVA hors liste (Paramètres)",IF(N(O3687)&gt;25,"Au-delà de 25 lignes : non imprimée","OK")))))))))))))</f>
        <v/>
      </c>
      <c r="O3687" s="59" t="str">
        <f>IF(A3687="","",COUNTIF($A$6:A3687,A3687))</f>
        <v/>
      </c>
      <c r="P3687" s="62" t="str">
        <f>IF(A3687="","",A3687&amp;"|"&amp;O3687)</f>
        <v/>
      </c>
    </row>
    <row r="3688">
      <c r="A3688" s="60" t="n"/>
      <c r="B3688" s="63" t="n"/>
      <c r="C3688" s="63" t="n"/>
      <c r="D3688" s="67" t="n"/>
      <c r="E3688" s="68" t="n"/>
      <c r="F3688" s="69" t="n"/>
      <c r="G3688" s="70" t="n"/>
      <c r="H3688" s="62" t="str">
        <f>IF(COUNTA(A3688:G3688)=0,"",IF(C3688&lt;&gt;"",C3688,IF(B3688="","",IFERROR(INDEX(pr_des,MATCH(B3688,pr_code,0))&amp;"",""))))</f>
        <v/>
      </c>
      <c r="I3688" s="59" t="str">
        <f>IF(B3688="","",IFERROR(INDEX(pr_unit,MATCH(B3688,pr_code,0))&amp;"",""))</f>
        <v/>
      </c>
      <c r="J3688" s="65" t="str">
        <f>IF(COUNTA(A3688:G3688)=0,"",IF(E3688&lt;&gt;"",E3688,IF(B3688="","",IFERROR(IF(INDEX(pr_price,MATCH(B3688,pr_code,0))="","",INDEX(pr_price,MATCH(B3688,pr_code,0))),""))))</f>
        <v/>
      </c>
      <c r="K3688" s="71" t="str">
        <f>IF(COUNTA(A3688:G3688)=0,"",IF(G3688&lt;&gt;"",G3688,IF(B3688="","",IFERROR(IF(INDEX(pr_rate,MATCH(B3688,pr_code,0))="","",INDEX(pr_rate,MATCH(B3688,pr_code,0))),""))))</f>
        <v/>
      </c>
      <c r="L3688" s="65" t="str">
        <f>IF(COUNTA(A3688:G3688)=0,"",IF(AND(ISNUMBER(D3688),ISNUMBER(J3688)),ROUND(D3688*J3688*(1-N(F3688)),2),0))</f>
        <v/>
      </c>
      <c r="M3688" s="62" t="str">
        <f>IF(A3688="","",IFERROR(INDEX(fa_cname,MATCH(A3688,fa_num,0))&amp;"",""))</f>
        <v/>
      </c>
      <c r="N3688" s="59" t="str">
        <f>IF(COUNTA(A3688:G3688)=0,"",IF(A3688="","N° facture manquant",IF(ISNA(MATCH(A3688,fa_num,0)),"Facture inconnue",IF(AND(B3688&lt;&gt;"",ISNA(MATCH(B3688,pr_code,0))),"Article inconnu",IF(H3688="","Désignation manquante",IF(OR(NOT(ISNUMBER(D3688)),N(D3688)&lt;=0),"Quantité invalide",IF(J3688="","Prix manquant",IF(OR(NOT(ISNUMBER(J3688)),N(J3688)&lt;0),"Prix invalide",IF(OR(AND(F3688&lt;&gt;"",NOT(ISNUMBER(F3688))),N(F3688)&lt;0,N(F3688)&gt;1),"Remise invalide",IF(K3688="","Taux de TVA manquant",IF(NOT(ISNUMBER(K3688)),"Taux de TVA invalide",IF(COUNTIF(p_rates,K3688)=0,"Taux de TVA hors liste (Paramètres)",IF(N(O3688)&gt;25,"Au-delà de 25 lignes : non imprimée","OK")))))))))))))</f>
        <v/>
      </c>
      <c r="O3688" s="59" t="str">
        <f>IF(A3688="","",COUNTIF($A$6:A3688,A3688))</f>
        <v/>
      </c>
      <c r="P3688" s="62" t="str">
        <f>IF(A3688="","",A3688&amp;"|"&amp;O3688)</f>
        <v/>
      </c>
    </row>
    <row r="3689">
      <c r="A3689" s="60" t="n"/>
      <c r="B3689" s="63" t="n"/>
      <c r="C3689" s="63" t="n"/>
      <c r="D3689" s="67" t="n"/>
      <c r="E3689" s="68" t="n"/>
      <c r="F3689" s="69" t="n"/>
      <c r="G3689" s="70" t="n"/>
      <c r="H3689" s="62" t="str">
        <f>IF(COUNTA(A3689:G3689)=0,"",IF(C3689&lt;&gt;"",C3689,IF(B3689="","",IFERROR(INDEX(pr_des,MATCH(B3689,pr_code,0))&amp;"",""))))</f>
        <v/>
      </c>
      <c r="I3689" s="59" t="str">
        <f>IF(B3689="","",IFERROR(INDEX(pr_unit,MATCH(B3689,pr_code,0))&amp;"",""))</f>
        <v/>
      </c>
      <c r="J3689" s="65" t="str">
        <f>IF(COUNTA(A3689:G3689)=0,"",IF(E3689&lt;&gt;"",E3689,IF(B3689="","",IFERROR(IF(INDEX(pr_price,MATCH(B3689,pr_code,0))="","",INDEX(pr_price,MATCH(B3689,pr_code,0))),""))))</f>
        <v/>
      </c>
      <c r="K3689" s="71" t="str">
        <f>IF(COUNTA(A3689:G3689)=0,"",IF(G3689&lt;&gt;"",G3689,IF(B3689="","",IFERROR(IF(INDEX(pr_rate,MATCH(B3689,pr_code,0))="","",INDEX(pr_rate,MATCH(B3689,pr_code,0))),""))))</f>
        <v/>
      </c>
      <c r="L3689" s="65" t="str">
        <f>IF(COUNTA(A3689:G3689)=0,"",IF(AND(ISNUMBER(D3689),ISNUMBER(J3689)),ROUND(D3689*J3689*(1-N(F3689)),2),0))</f>
        <v/>
      </c>
      <c r="M3689" s="62" t="str">
        <f>IF(A3689="","",IFERROR(INDEX(fa_cname,MATCH(A3689,fa_num,0))&amp;"",""))</f>
        <v/>
      </c>
      <c r="N3689" s="59" t="str">
        <f>IF(COUNTA(A3689:G3689)=0,"",IF(A3689="","N° facture manquant",IF(ISNA(MATCH(A3689,fa_num,0)),"Facture inconnue",IF(AND(B3689&lt;&gt;"",ISNA(MATCH(B3689,pr_code,0))),"Article inconnu",IF(H3689="","Désignation manquante",IF(OR(NOT(ISNUMBER(D3689)),N(D3689)&lt;=0),"Quantité invalide",IF(J3689="","Prix manquant",IF(OR(NOT(ISNUMBER(J3689)),N(J3689)&lt;0),"Prix invalide",IF(OR(AND(F3689&lt;&gt;"",NOT(ISNUMBER(F3689))),N(F3689)&lt;0,N(F3689)&gt;1),"Remise invalide",IF(K3689="","Taux de TVA manquant",IF(NOT(ISNUMBER(K3689)),"Taux de TVA invalide",IF(COUNTIF(p_rates,K3689)=0,"Taux de TVA hors liste (Paramètres)",IF(N(O3689)&gt;25,"Au-delà de 25 lignes : non imprimée","OK")))))))))))))</f>
        <v/>
      </c>
      <c r="O3689" s="59" t="str">
        <f>IF(A3689="","",COUNTIF($A$6:A3689,A3689))</f>
        <v/>
      </c>
      <c r="P3689" s="62" t="str">
        <f>IF(A3689="","",A3689&amp;"|"&amp;O3689)</f>
        <v/>
      </c>
    </row>
    <row r="3690">
      <c r="A3690" s="60" t="n"/>
      <c r="B3690" s="63" t="n"/>
      <c r="C3690" s="63" t="n"/>
      <c r="D3690" s="67" t="n"/>
      <c r="E3690" s="68" t="n"/>
      <c r="F3690" s="69" t="n"/>
      <c r="G3690" s="70" t="n"/>
      <c r="H3690" s="62" t="str">
        <f>IF(COUNTA(A3690:G3690)=0,"",IF(C3690&lt;&gt;"",C3690,IF(B3690="","",IFERROR(INDEX(pr_des,MATCH(B3690,pr_code,0))&amp;"",""))))</f>
        <v/>
      </c>
      <c r="I3690" s="59" t="str">
        <f>IF(B3690="","",IFERROR(INDEX(pr_unit,MATCH(B3690,pr_code,0))&amp;"",""))</f>
        <v/>
      </c>
      <c r="J3690" s="65" t="str">
        <f>IF(COUNTA(A3690:G3690)=0,"",IF(E3690&lt;&gt;"",E3690,IF(B3690="","",IFERROR(IF(INDEX(pr_price,MATCH(B3690,pr_code,0))="","",INDEX(pr_price,MATCH(B3690,pr_code,0))),""))))</f>
        <v/>
      </c>
      <c r="K3690" s="71" t="str">
        <f>IF(COUNTA(A3690:G3690)=0,"",IF(G3690&lt;&gt;"",G3690,IF(B3690="","",IFERROR(IF(INDEX(pr_rate,MATCH(B3690,pr_code,0))="","",INDEX(pr_rate,MATCH(B3690,pr_code,0))),""))))</f>
        <v/>
      </c>
      <c r="L3690" s="65" t="str">
        <f>IF(COUNTA(A3690:G3690)=0,"",IF(AND(ISNUMBER(D3690),ISNUMBER(J3690)),ROUND(D3690*J3690*(1-N(F3690)),2),0))</f>
        <v/>
      </c>
      <c r="M3690" s="62" t="str">
        <f>IF(A3690="","",IFERROR(INDEX(fa_cname,MATCH(A3690,fa_num,0))&amp;"",""))</f>
        <v/>
      </c>
      <c r="N3690" s="59" t="str">
        <f>IF(COUNTA(A3690:G3690)=0,"",IF(A3690="","N° facture manquant",IF(ISNA(MATCH(A3690,fa_num,0)),"Facture inconnue",IF(AND(B3690&lt;&gt;"",ISNA(MATCH(B3690,pr_code,0))),"Article inconnu",IF(H3690="","Désignation manquante",IF(OR(NOT(ISNUMBER(D3690)),N(D3690)&lt;=0),"Quantité invalide",IF(J3690="","Prix manquant",IF(OR(NOT(ISNUMBER(J3690)),N(J3690)&lt;0),"Prix invalide",IF(OR(AND(F3690&lt;&gt;"",NOT(ISNUMBER(F3690))),N(F3690)&lt;0,N(F3690)&gt;1),"Remise invalide",IF(K3690="","Taux de TVA manquant",IF(NOT(ISNUMBER(K3690)),"Taux de TVA invalide",IF(COUNTIF(p_rates,K3690)=0,"Taux de TVA hors liste (Paramètres)",IF(N(O3690)&gt;25,"Au-delà de 25 lignes : non imprimée","OK")))))))))))))</f>
        <v/>
      </c>
      <c r="O3690" s="59" t="str">
        <f>IF(A3690="","",COUNTIF($A$6:A3690,A3690))</f>
        <v/>
      </c>
      <c r="P3690" s="62" t="str">
        <f>IF(A3690="","",A3690&amp;"|"&amp;O3690)</f>
        <v/>
      </c>
    </row>
    <row r="3691">
      <c r="A3691" s="60" t="n"/>
      <c r="B3691" s="63" t="n"/>
      <c r="C3691" s="63" t="n"/>
      <c r="D3691" s="67" t="n"/>
      <c r="E3691" s="68" t="n"/>
      <c r="F3691" s="69" t="n"/>
      <c r="G3691" s="70" t="n"/>
      <c r="H3691" s="62" t="str">
        <f>IF(COUNTA(A3691:G3691)=0,"",IF(C3691&lt;&gt;"",C3691,IF(B3691="","",IFERROR(INDEX(pr_des,MATCH(B3691,pr_code,0))&amp;"",""))))</f>
        <v/>
      </c>
      <c r="I3691" s="59" t="str">
        <f>IF(B3691="","",IFERROR(INDEX(pr_unit,MATCH(B3691,pr_code,0))&amp;"",""))</f>
        <v/>
      </c>
      <c r="J3691" s="65" t="str">
        <f>IF(COUNTA(A3691:G3691)=0,"",IF(E3691&lt;&gt;"",E3691,IF(B3691="","",IFERROR(IF(INDEX(pr_price,MATCH(B3691,pr_code,0))="","",INDEX(pr_price,MATCH(B3691,pr_code,0))),""))))</f>
        <v/>
      </c>
      <c r="K3691" s="71" t="str">
        <f>IF(COUNTA(A3691:G3691)=0,"",IF(G3691&lt;&gt;"",G3691,IF(B3691="","",IFERROR(IF(INDEX(pr_rate,MATCH(B3691,pr_code,0))="","",INDEX(pr_rate,MATCH(B3691,pr_code,0))),""))))</f>
        <v/>
      </c>
      <c r="L3691" s="65" t="str">
        <f>IF(COUNTA(A3691:G3691)=0,"",IF(AND(ISNUMBER(D3691),ISNUMBER(J3691)),ROUND(D3691*J3691*(1-N(F3691)),2),0))</f>
        <v/>
      </c>
      <c r="M3691" s="62" t="str">
        <f>IF(A3691="","",IFERROR(INDEX(fa_cname,MATCH(A3691,fa_num,0))&amp;"",""))</f>
        <v/>
      </c>
      <c r="N3691" s="59" t="str">
        <f>IF(COUNTA(A3691:G3691)=0,"",IF(A3691="","N° facture manquant",IF(ISNA(MATCH(A3691,fa_num,0)),"Facture inconnue",IF(AND(B3691&lt;&gt;"",ISNA(MATCH(B3691,pr_code,0))),"Article inconnu",IF(H3691="","Désignation manquante",IF(OR(NOT(ISNUMBER(D3691)),N(D3691)&lt;=0),"Quantité invalide",IF(J3691="","Prix manquant",IF(OR(NOT(ISNUMBER(J3691)),N(J3691)&lt;0),"Prix invalide",IF(OR(AND(F3691&lt;&gt;"",NOT(ISNUMBER(F3691))),N(F3691)&lt;0,N(F3691)&gt;1),"Remise invalide",IF(K3691="","Taux de TVA manquant",IF(NOT(ISNUMBER(K3691)),"Taux de TVA invalide",IF(COUNTIF(p_rates,K3691)=0,"Taux de TVA hors liste (Paramètres)",IF(N(O3691)&gt;25,"Au-delà de 25 lignes : non imprimée","OK")))))))))))))</f>
        <v/>
      </c>
      <c r="O3691" s="59" t="str">
        <f>IF(A3691="","",COUNTIF($A$6:A3691,A3691))</f>
        <v/>
      </c>
      <c r="P3691" s="62" t="str">
        <f>IF(A3691="","",A3691&amp;"|"&amp;O3691)</f>
        <v/>
      </c>
    </row>
    <row r="3692">
      <c r="A3692" s="60" t="n"/>
      <c r="B3692" s="63" t="n"/>
      <c r="C3692" s="63" t="n"/>
      <c r="D3692" s="67" t="n"/>
      <c r="E3692" s="68" t="n"/>
      <c r="F3692" s="69" t="n"/>
      <c r="G3692" s="70" t="n"/>
      <c r="H3692" s="62" t="str">
        <f>IF(COUNTA(A3692:G3692)=0,"",IF(C3692&lt;&gt;"",C3692,IF(B3692="","",IFERROR(INDEX(pr_des,MATCH(B3692,pr_code,0))&amp;"",""))))</f>
        <v/>
      </c>
      <c r="I3692" s="59" t="str">
        <f>IF(B3692="","",IFERROR(INDEX(pr_unit,MATCH(B3692,pr_code,0))&amp;"",""))</f>
        <v/>
      </c>
      <c r="J3692" s="65" t="str">
        <f>IF(COUNTA(A3692:G3692)=0,"",IF(E3692&lt;&gt;"",E3692,IF(B3692="","",IFERROR(IF(INDEX(pr_price,MATCH(B3692,pr_code,0))="","",INDEX(pr_price,MATCH(B3692,pr_code,0))),""))))</f>
        <v/>
      </c>
      <c r="K3692" s="71" t="str">
        <f>IF(COUNTA(A3692:G3692)=0,"",IF(G3692&lt;&gt;"",G3692,IF(B3692="","",IFERROR(IF(INDEX(pr_rate,MATCH(B3692,pr_code,0))="","",INDEX(pr_rate,MATCH(B3692,pr_code,0))),""))))</f>
        <v/>
      </c>
      <c r="L3692" s="65" t="str">
        <f>IF(COUNTA(A3692:G3692)=0,"",IF(AND(ISNUMBER(D3692),ISNUMBER(J3692)),ROUND(D3692*J3692*(1-N(F3692)),2),0))</f>
        <v/>
      </c>
      <c r="M3692" s="62" t="str">
        <f>IF(A3692="","",IFERROR(INDEX(fa_cname,MATCH(A3692,fa_num,0))&amp;"",""))</f>
        <v/>
      </c>
      <c r="N3692" s="59" t="str">
        <f>IF(COUNTA(A3692:G3692)=0,"",IF(A3692="","N° facture manquant",IF(ISNA(MATCH(A3692,fa_num,0)),"Facture inconnue",IF(AND(B3692&lt;&gt;"",ISNA(MATCH(B3692,pr_code,0))),"Article inconnu",IF(H3692="","Désignation manquante",IF(OR(NOT(ISNUMBER(D3692)),N(D3692)&lt;=0),"Quantité invalide",IF(J3692="","Prix manquant",IF(OR(NOT(ISNUMBER(J3692)),N(J3692)&lt;0),"Prix invalide",IF(OR(AND(F3692&lt;&gt;"",NOT(ISNUMBER(F3692))),N(F3692)&lt;0,N(F3692)&gt;1),"Remise invalide",IF(K3692="","Taux de TVA manquant",IF(NOT(ISNUMBER(K3692)),"Taux de TVA invalide",IF(COUNTIF(p_rates,K3692)=0,"Taux de TVA hors liste (Paramètres)",IF(N(O3692)&gt;25,"Au-delà de 25 lignes : non imprimée","OK")))))))))))))</f>
        <v/>
      </c>
      <c r="O3692" s="59" t="str">
        <f>IF(A3692="","",COUNTIF($A$6:A3692,A3692))</f>
        <v/>
      </c>
      <c r="P3692" s="62" t="str">
        <f>IF(A3692="","",A3692&amp;"|"&amp;O3692)</f>
        <v/>
      </c>
    </row>
    <row r="3693">
      <c r="A3693" s="60" t="n"/>
      <c r="B3693" s="63" t="n"/>
      <c r="C3693" s="63" t="n"/>
      <c r="D3693" s="67" t="n"/>
      <c r="E3693" s="68" t="n"/>
      <c r="F3693" s="69" t="n"/>
      <c r="G3693" s="70" t="n"/>
      <c r="H3693" s="62" t="str">
        <f>IF(COUNTA(A3693:G3693)=0,"",IF(C3693&lt;&gt;"",C3693,IF(B3693="","",IFERROR(INDEX(pr_des,MATCH(B3693,pr_code,0))&amp;"",""))))</f>
        <v/>
      </c>
      <c r="I3693" s="59" t="str">
        <f>IF(B3693="","",IFERROR(INDEX(pr_unit,MATCH(B3693,pr_code,0))&amp;"",""))</f>
        <v/>
      </c>
      <c r="J3693" s="65" t="str">
        <f>IF(COUNTA(A3693:G3693)=0,"",IF(E3693&lt;&gt;"",E3693,IF(B3693="","",IFERROR(IF(INDEX(pr_price,MATCH(B3693,pr_code,0))="","",INDEX(pr_price,MATCH(B3693,pr_code,0))),""))))</f>
        <v/>
      </c>
      <c r="K3693" s="71" t="str">
        <f>IF(COUNTA(A3693:G3693)=0,"",IF(G3693&lt;&gt;"",G3693,IF(B3693="","",IFERROR(IF(INDEX(pr_rate,MATCH(B3693,pr_code,0))="","",INDEX(pr_rate,MATCH(B3693,pr_code,0))),""))))</f>
        <v/>
      </c>
      <c r="L3693" s="65" t="str">
        <f>IF(COUNTA(A3693:G3693)=0,"",IF(AND(ISNUMBER(D3693),ISNUMBER(J3693)),ROUND(D3693*J3693*(1-N(F3693)),2),0))</f>
        <v/>
      </c>
      <c r="M3693" s="62" t="str">
        <f>IF(A3693="","",IFERROR(INDEX(fa_cname,MATCH(A3693,fa_num,0))&amp;"",""))</f>
        <v/>
      </c>
      <c r="N3693" s="59" t="str">
        <f>IF(COUNTA(A3693:G3693)=0,"",IF(A3693="","N° facture manquant",IF(ISNA(MATCH(A3693,fa_num,0)),"Facture inconnue",IF(AND(B3693&lt;&gt;"",ISNA(MATCH(B3693,pr_code,0))),"Article inconnu",IF(H3693="","Désignation manquante",IF(OR(NOT(ISNUMBER(D3693)),N(D3693)&lt;=0),"Quantité invalide",IF(J3693="","Prix manquant",IF(OR(NOT(ISNUMBER(J3693)),N(J3693)&lt;0),"Prix invalide",IF(OR(AND(F3693&lt;&gt;"",NOT(ISNUMBER(F3693))),N(F3693)&lt;0,N(F3693)&gt;1),"Remise invalide",IF(K3693="","Taux de TVA manquant",IF(NOT(ISNUMBER(K3693)),"Taux de TVA invalide",IF(COUNTIF(p_rates,K3693)=0,"Taux de TVA hors liste (Paramètres)",IF(N(O3693)&gt;25,"Au-delà de 25 lignes : non imprimée","OK")))))))))))))</f>
        <v/>
      </c>
      <c r="O3693" s="59" t="str">
        <f>IF(A3693="","",COUNTIF($A$6:A3693,A3693))</f>
        <v/>
      </c>
      <c r="P3693" s="62" t="str">
        <f>IF(A3693="","",A3693&amp;"|"&amp;O3693)</f>
        <v/>
      </c>
    </row>
    <row r="3694">
      <c r="A3694" s="60" t="n"/>
      <c r="B3694" s="63" t="n"/>
      <c r="C3694" s="63" t="n"/>
      <c r="D3694" s="67" t="n"/>
      <c r="E3694" s="68" t="n"/>
      <c r="F3694" s="69" t="n"/>
      <c r="G3694" s="70" t="n"/>
      <c r="H3694" s="62" t="str">
        <f>IF(COUNTA(A3694:G3694)=0,"",IF(C3694&lt;&gt;"",C3694,IF(B3694="","",IFERROR(INDEX(pr_des,MATCH(B3694,pr_code,0))&amp;"",""))))</f>
        <v/>
      </c>
      <c r="I3694" s="59" t="str">
        <f>IF(B3694="","",IFERROR(INDEX(pr_unit,MATCH(B3694,pr_code,0))&amp;"",""))</f>
        <v/>
      </c>
      <c r="J3694" s="65" t="str">
        <f>IF(COUNTA(A3694:G3694)=0,"",IF(E3694&lt;&gt;"",E3694,IF(B3694="","",IFERROR(IF(INDEX(pr_price,MATCH(B3694,pr_code,0))="","",INDEX(pr_price,MATCH(B3694,pr_code,0))),""))))</f>
        <v/>
      </c>
      <c r="K3694" s="71" t="str">
        <f>IF(COUNTA(A3694:G3694)=0,"",IF(G3694&lt;&gt;"",G3694,IF(B3694="","",IFERROR(IF(INDEX(pr_rate,MATCH(B3694,pr_code,0))="","",INDEX(pr_rate,MATCH(B3694,pr_code,0))),""))))</f>
        <v/>
      </c>
      <c r="L3694" s="65" t="str">
        <f>IF(COUNTA(A3694:G3694)=0,"",IF(AND(ISNUMBER(D3694),ISNUMBER(J3694)),ROUND(D3694*J3694*(1-N(F3694)),2),0))</f>
        <v/>
      </c>
      <c r="M3694" s="62" t="str">
        <f>IF(A3694="","",IFERROR(INDEX(fa_cname,MATCH(A3694,fa_num,0))&amp;"",""))</f>
        <v/>
      </c>
      <c r="N3694" s="59" t="str">
        <f>IF(COUNTA(A3694:G3694)=0,"",IF(A3694="","N° facture manquant",IF(ISNA(MATCH(A3694,fa_num,0)),"Facture inconnue",IF(AND(B3694&lt;&gt;"",ISNA(MATCH(B3694,pr_code,0))),"Article inconnu",IF(H3694="","Désignation manquante",IF(OR(NOT(ISNUMBER(D3694)),N(D3694)&lt;=0),"Quantité invalide",IF(J3694="","Prix manquant",IF(OR(NOT(ISNUMBER(J3694)),N(J3694)&lt;0),"Prix invalide",IF(OR(AND(F3694&lt;&gt;"",NOT(ISNUMBER(F3694))),N(F3694)&lt;0,N(F3694)&gt;1),"Remise invalide",IF(K3694="","Taux de TVA manquant",IF(NOT(ISNUMBER(K3694)),"Taux de TVA invalide",IF(COUNTIF(p_rates,K3694)=0,"Taux de TVA hors liste (Paramètres)",IF(N(O3694)&gt;25,"Au-delà de 25 lignes : non imprimée","OK")))))))))))))</f>
        <v/>
      </c>
      <c r="O3694" s="59" t="str">
        <f>IF(A3694="","",COUNTIF($A$6:A3694,A3694))</f>
        <v/>
      </c>
      <c r="P3694" s="62" t="str">
        <f>IF(A3694="","",A3694&amp;"|"&amp;O3694)</f>
        <v/>
      </c>
    </row>
    <row r="3695">
      <c r="A3695" s="60" t="n"/>
      <c r="B3695" s="63" t="n"/>
      <c r="C3695" s="63" t="n"/>
      <c r="D3695" s="67" t="n"/>
      <c r="E3695" s="68" t="n"/>
      <c r="F3695" s="69" t="n"/>
      <c r="G3695" s="70" t="n"/>
      <c r="H3695" s="62" t="str">
        <f>IF(COUNTA(A3695:G3695)=0,"",IF(C3695&lt;&gt;"",C3695,IF(B3695="","",IFERROR(INDEX(pr_des,MATCH(B3695,pr_code,0))&amp;"",""))))</f>
        <v/>
      </c>
      <c r="I3695" s="59" t="str">
        <f>IF(B3695="","",IFERROR(INDEX(pr_unit,MATCH(B3695,pr_code,0))&amp;"",""))</f>
        <v/>
      </c>
      <c r="J3695" s="65" t="str">
        <f>IF(COUNTA(A3695:G3695)=0,"",IF(E3695&lt;&gt;"",E3695,IF(B3695="","",IFERROR(IF(INDEX(pr_price,MATCH(B3695,pr_code,0))="","",INDEX(pr_price,MATCH(B3695,pr_code,0))),""))))</f>
        <v/>
      </c>
      <c r="K3695" s="71" t="str">
        <f>IF(COUNTA(A3695:G3695)=0,"",IF(G3695&lt;&gt;"",G3695,IF(B3695="","",IFERROR(IF(INDEX(pr_rate,MATCH(B3695,pr_code,0))="","",INDEX(pr_rate,MATCH(B3695,pr_code,0))),""))))</f>
        <v/>
      </c>
      <c r="L3695" s="65" t="str">
        <f>IF(COUNTA(A3695:G3695)=0,"",IF(AND(ISNUMBER(D3695),ISNUMBER(J3695)),ROUND(D3695*J3695*(1-N(F3695)),2),0))</f>
        <v/>
      </c>
      <c r="M3695" s="62" t="str">
        <f>IF(A3695="","",IFERROR(INDEX(fa_cname,MATCH(A3695,fa_num,0))&amp;"",""))</f>
        <v/>
      </c>
      <c r="N3695" s="59" t="str">
        <f>IF(COUNTA(A3695:G3695)=0,"",IF(A3695="","N° facture manquant",IF(ISNA(MATCH(A3695,fa_num,0)),"Facture inconnue",IF(AND(B3695&lt;&gt;"",ISNA(MATCH(B3695,pr_code,0))),"Article inconnu",IF(H3695="","Désignation manquante",IF(OR(NOT(ISNUMBER(D3695)),N(D3695)&lt;=0),"Quantité invalide",IF(J3695="","Prix manquant",IF(OR(NOT(ISNUMBER(J3695)),N(J3695)&lt;0),"Prix invalide",IF(OR(AND(F3695&lt;&gt;"",NOT(ISNUMBER(F3695))),N(F3695)&lt;0,N(F3695)&gt;1),"Remise invalide",IF(K3695="","Taux de TVA manquant",IF(NOT(ISNUMBER(K3695)),"Taux de TVA invalide",IF(COUNTIF(p_rates,K3695)=0,"Taux de TVA hors liste (Paramètres)",IF(N(O3695)&gt;25,"Au-delà de 25 lignes : non imprimée","OK")))))))))))))</f>
        <v/>
      </c>
      <c r="O3695" s="59" t="str">
        <f>IF(A3695="","",COUNTIF($A$6:A3695,A3695))</f>
        <v/>
      </c>
      <c r="P3695" s="62" t="str">
        <f>IF(A3695="","",A3695&amp;"|"&amp;O3695)</f>
        <v/>
      </c>
    </row>
    <row r="3696">
      <c r="A3696" s="60" t="n"/>
      <c r="B3696" s="63" t="n"/>
      <c r="C3696" s="63" t="n"/>
      <c r="D3696" s="67" t="n"/>
      <c r="E3696" s="68" t="n"/>
      <c r="F3696" s="69" t="n"/>
      <c r="G3696" s="70" t="n"/>
      <c r="H3696" s="62" t="str">
        <f>IF(COUNTA(A3696:G3696)=0,"",IF(C3696&lt;&gt;"",C3696,IF(B3696="","",IFERROR(INDEX(pr_des,MATCH(B3696,pr_code,0))&amp;"",""))))</f>
        <v/>
      </c>
      <c r="I3696" s="59" t="str">
        <f>IF(B3696="","",IFERROR(INDEX(pr_unit,MATCH(B3696,pr_code,0))&amp;"",""))</f>
        <v/>
      </c>
      <c r="J3696" s="65" t="str">
        <f>IF(COUNTA(A3696:G3696)=0,"",IF(E3696&lt;&gt;"",E3696,IF(B3696="","",IFERROR(IF(INDEX(pr_price,MATCH(B3696,pr_code,0))="","",INDEX(pr_price,MATCH(B3696,pr_code,0))),""))))</f>
        <v/>
      </c>
      <c r="K3696" s="71" t="str">
        <f>IF(COUNTA(A3696:G3696)=0,"",IF(G3696&lt;&gt;"",G3696,IF(B3696="","",IFERROR(IF(INDEX(pr_rate,MATCH(B3696,pr_code,0))="","",INDEX(pr_rate,MATCH(B3696,pr_code,0))),""))))</f>
        <v/>
      </c>
      <c r="L3696" s="65" t="str">
        <f>IF(COUNTA(A3696:G3696)=0,"",IF(AND(ISNUMBER(D3696),ISNUMBER(J3696)),ROUND(D3696*J3696*(1-N(F3696)),2),0))</f>
        <v/>
      </c>
      <c r="M3696" s="62" t="str">
        <f>IF(A3696="","",IFERROR(INDEX(fa_cname,MATCH(A3696,fa_num,0))&amp;"",""))</f>
        <v/>
      </c>
      <c r="N3696" s="59" t="str">
        <f>IF(COUNTA(A3696:G3696)=0,"",IF(A3696="","N° facture manquant",IF(ISNA(MATCH(A3696,fa_num,0)),"Facture inconnue",IF(AND(B3696&lt;&gt;"",ISNA(MATCH(B3696,pr_code,0))),"Article inconnu",IF(H3696="","Désignation manquante",IF(OR(NOT(ISNUMBER(D3696)),N(D3696)&lt;=0),"Quantité invalide",IF(J3696="","Prix manquant",IF(OR(NOT(ISNUMBER(J3696)),N(J3696)&lt;0),"Prix invalide",IF(OR(AND(F3696&lt;&gt;"",NOT(ISNUMBER(F3696))),N(F3696)&lt;0,N(F3696)&gt;1),"Remise invalide",IF(K3696="","Taux de TVA manquant",IF(NOT(ISNUMBER(K3696)),"Taux de TVA invalide",IF(COUNTIF(p_rates,K3696)=0,"Taux de TVA hors liste (Paramètres)",IF(N(O3696)&gt;25,"Au-delà de 25 lignes : non imprimée","OK")))))))))))))</f>
        <v/>
      </c>
      <c r="O3696" s="59" t="str">
        <f>IF(A3696="","",COUNTIF($A$6:A3696,A3696))</f>
        <v/>
      </c>
      <c r="P3696" s="62" t="str">
        <f>IF(A3696="","",A3696&amp;"|"&amp;O3696)</f>
        <v/>
      </c>
    </row>
    <row r="3697">
      <c r="A3697" s="60" t="n"/>
      <c r="B3697" s="63" t="n"/>
      <c r="C3697" s="63" t="n"/>
      <c r="D3697" s="67" t="n"/>
      <c r="E3697" s="68" t="n"/>
      <c r="F3697" s="69" t="n"/>
      <c r="G3697" s="70" t="n"/>
      <c r="H3697" s="62" t="str">
        <f>IF(COUNTA(A3697:G3697)=0,"",IF(C3697&lt;&gt;"",C3697,IF(B3697="","",IFERROR(INDEX(pr_des,MATCH(B3697,pr_code,0))&amp;"",""))))</f>
        <v/>
      </c>
      <c r="I3697" s="59" t="str">
        <f>IF(B3697="","",IFERROR(INDEX(pr_unit,MATCH(B3697,pr_code,0))&amp;"",""))</f>
        <v/>
      </c>
      <c r="J3697" s="65" t="str">
        <f>IF(COUNTA(A3697:G3697)=0,"",IF(E3697&lt;&gt;"",E3697,IF(B3697="","",IFERROR(IF(INDEX(pr_price,MATCH(B3697,pr_code,0))="","",INDEX(pr_price,MATCH(B3697,pr_code,0))),""))))</f>
        <v/>
      </c>
      <c r="K3697" s="71" t="str">
        <f>IF(COUNTA(A3697:G3697)=0,"",IF(G3697&lt;&gt;"",G3697,IF(B3697="","",IFERROR(IF(INDEX(pr_rate,MATCH(B3697,pr_code,0))="","",INDEX(pr_rate,MATCH(B3697,pr_code,0))),""))))</f>
        <v/>
      </c>
      <c r="L3697" s="65" t="str">
        <f>IF(COUNTA(A3697:G3697)=0,"",IF(AND(ISNUMBER(D3697),ISNUMBER(J3697)),ROUND(D3697*J3697*(1-N(F3697)),2),0))</f>
        <v/>
      </c>
      <c r="M3697" s="62" t="str">
        <f>IF(A3697="","",IFERROR(INDEX(fa_cname,MATCH(A3697,fa_num,0))&amp;"",""))</f>
        <v/>
      </c>
      <c r="N3697" s="59" t="str">
        <f>IF(COUNTA(A3697:G3697)=0,"",IF(A3697="","N° facture manquant",IF(ISNA(MATCH(A3697,fa_num,0)),"Facture inconnue",IF(AND(B3697&lt;&gt;"",ISNA(MATCH(B3697,pr_code,0))),"Article inconnu",IF(H3697="","Désignation manquante",IF(OR(NOT(ISNUMBER(D3697)),N(D3697)&lt;=0),"Quantité invalide",IF(J3697="","Prix manquant",IF(OR(NOT(ISNUMBER(J3697)),N(J3697)&lt;0),"Prix invalide",IF(OR(AND(F3697&lt;&gt;"",NOT(ISNUMBER(F3697))),N(F3697)&lt;0,N(F3697)&gt;1),"Remise invalide",IF(K3697="","Taux de TVA manquant",IF(NOT(ISNUMBER(K3697)),"Taux de TVA invalide",IF(COUNTIF(p_rates,K3697)=0,"Taux de TVA hors liste (Paramètres)",IF(N(O3697)&gt;25,"Au-delà de 25 lignes : non imprimée","OK")))))))))))))</f>
        <v/>
      </c>
      <c r="O3697" s="59" t="str">
        <f>IF(A3697="","",COUNTIF($A$6:A3697,A3697))</f>
        <v/>
      </c>
      <c r="P3697" s="62" t="str">
        <f>IF(A3697="","",A3697&amp;"|"&amp;O3697)</f>
        <v/>
      </c>
    </row>
    <row r="3698">
      <c r="A3698" s="60" t="n"/>
      <c r="B3698" s="63" t="n"/>
      <c r="C3698" s="63" t="n"/>
      <c r="D3698" s="67" t="n"/>
      <c r="E3698" s="68" t="n"/>
      <c r="F3698" s="69" t="n"/>
      <c r="G3698" s="70" t="n"/>
      <c r="H3698" s="62" t="str">
        <f>IF(COUNTA(A3698:G3698)=0,"",IF(C3698&lt;&gt;"",C3698,IF(B3698="","",IFERROR(INDEX(pr_des,MATCH(B3698,pr_code,0))&amp;"",""))))</f>
        <v/>
      </c>
      <c r="I3698" s="59" t="str">
        <f>IF(B3698="","",IFERROR(INDEX(pr_unit,MATCH(B3698,pr_code,0))&amp;"",""))</f>
        <v/>
      </c>
      <c r="J3698" s="65" t="str">
        <f>IF(COUNTA(A3698:G3698)=0,"",IF(E3698&lt;&gt;"",E3698,IF(B3698="","",IFERROR(IF(INDEX(pr_price,MATCH(B3698,pr_code,0))="","",INDEX(pr_price,MATCH(B3698,pr_code,0))),""))))</f>
        <v/>
      </c>
      <c r="K3698" s="71" t="str">
        <f>IF(COUNTA(A3698:G3698)=0,"",IF(G3698&lt;&gt;"",G3698,IF(B3698="","",IFERROR(IF(INDEX(pr_rate,MATCH(B3698,pr_code,0))="","",INDEX(pr_rate,MATCH(B3698,pr_code,0))),""))))</f>
        <v/>
      </c>
      <c r="L3698" s="65" t="str">
        <f>IF(COUNTA(A3698:G3698)=0,"",IF(AND(ISNUMBER(D3698),ISNUMBER(J3698)),ROUND(D3698*J3698*(1-N(F3698)),2),0))</f>
        <v/>
      </c>
      <c r="M3698" s="62" t="str">
        <f>IF(A3698="","",IFERROR(INDEX(fa_cname,MATCH(A3698,fa_num,0))&amp;"",""))</f>
        <v/>
      </c>
      <c r="N3698" s="59" t="str">
        <f>IF(COUNTA(A3698:G3698)=0,"",IF(A3698="","N° facture manquant",IF(ISNA(MATCH(A3698,fa_num,0)),"Facture inconnue",IF(AND(B3698&lt;&gt;"",ISNA(MATCH(B3698,pr_code,0))),"Article inconnu",IF(H3698="","Désignation manquante",IF(OR(NOT(ISNUMBER(D3698)),N(D3698)&lt;=0),"Quantité invalide",IF(J3698="","Prix manquant",IF(OR(NOT(ISNUMBER(J3698)),N(J3698)&lt;0),"Prix invalide",IF(OR(AND(F3698&lt;&gt;"",NOT(ISNUMBER(F3698))),N(F3698)&lt;0,N(F3698)&gt;1),"Remise invalide",IF(K3698="","Taux de TVA manquant",IF(NOT(ISNUMBER(K3698)),"Taux de TVA invalide",IF(COUNTIF(p_rates,K3698)=0,"Taux de TVA hors liste (Paramètres)",IF(N(O3698)&gt;25,"Au-delà de 25 lignes : non imprimée","OK")))))))))))))</f>
        <v/>
      </c>
      <c r="O3698" s="59" t="str">
        <f>IF(A3698="","",COUNTIF($A$6:A3698,A3698))</f>
        <v/>
      </c>
      <c r="P3698" s="62" t="str">
        <f>IF(A3698="","",A3698&amp;"|"&amp;O3698)</f>
        <v/>
      </c>
    </row>
    <row r="3699">
      <c r="A3699" s="60" t="n"/>
      <c r="B3699" s="63" t="n"/>
      <c r="C3699" s="63" t="n"/>
      <c r="D3699" s="67" t="n"/>
      <c r="E3699" s="68" t="n"/>
      <c r="F3699" s="69" t="n"/>
      <c r="G3699" s="70" t="n"/>
      <c r="H3699" s="62" t="str">
        <f>IF(COUNTA(A3699:G3699)=0,"",IF(C3699&lt;&gt;"",C3699,IF(B3699="","",IFERROR(INDEX(pr_des,MATCH(B3699,pr_code,0))&amp;"",""))))</f>
        <v/>
      </c>
      <c r="I3699" s="59" t="str">
        <f>IF(B3699="","",IFERROR(INDEX(pr_unit,MATCH(B3699,pr_code,0))&amp;"",""))</f>
        <v/>
      </c>
      <c r="J3699" s="65" t="str">
        <f>IF(COUNTA(A3699:G3699)=0,"",IF(E3699&lt;&gt;"",E3699,IF(B3699="","",IFERROR(IF(INDEX(pr_price,MATCH(B3699,pr_code,0))="","",INDEX(pr_price,MATCH(B3699,pr_code,0))),""))))</f>
        <v/>
      </c>
      <c r="K3699" s="71" t="str">
        <f>IF(COUNTA(A3699:G3699)=0,"",IF(G3699&lt;&gt;"",G3699,IF(B3699="","",IFERROR(IF(INDEX(pr_rate,MATCH(B3699,pr_code,0))="","",INDEX(pr_rate,MATCH(B3699,pr_code,0))),""))))</f>
        <v/>
      </c>
      <c r="L3699" s="65" t="str">
        <f>IF(COUNTA(A3699:G3699)=0,"",IF(AND(ISNUMBER(D3699),ISNUMBER(J3699)),ROUND(D3699*J3699*(1-N(F3699)),2),0))</f>
        <v/>
      </c>
      <c r="M3699" s="62" t="str">
        <f>IF(A3699="","",IFERROR(INDEX(fa_cname,MATCH(A3699,fa_num,0))&amp;"",""))</f>
        <v/>
      </c>
      <c r="N3699" s="59" t="str">
        <f>IF(COUNTA(A3699:G3699)=0,"",IF(A3699="","N° facture manquant",IF(ISNA(MATCH(A3699,fa_num,0)),"Facture inconnue",IF(AND(B3699&lt;&gt;"",ISNA(MATCH(B3699,pr_code,0))),"Article inconnu",IF(H3699="","Désignation manquante",IF(OR(NOT(ISNUMBER(D3699)),N(D3699)&lt;=0),"Quantité invalide",IF(J3699="","Prix manquant",IF(OR(NOT(ISNUMBER(J3699)),N(J3699)&lt;0),"Prix invalide",IF(OR(AND(F3699&lt;&gt;"",NOT(ISNUMBER(F3699))),N(F3699)&lt;0,N(F3699)&gt;1),"Remise invalide",IF(K3699="","Taux de TVA manquant",IF(NOT(ISNUMBER(K3699)),"Taux de TVA invalide",IF(COUNTIF(p_rates,K3699)=0,"Taux de TVA hors liste (Paramètres)",IF(N(O3699)&gt;25,"Au-delà de 25 lignes : non imprimée","OK")))))))))))))</f>
        <v/>
      </c>
      <c r="O3699" s="59" t="str">
        <f>IF(A3699="","",COUNTIF($A$6:A3699,A3699))</f>
        <v/>
      </c>
      <c r="P3699" s="62" t="str">
        <f>IF(A3699="","",A3699&amp;"|"&amp;O3699)</f>
        <v/>
      </c>
    </row>
    <row r="3700">
      <c r="A3700" s="60" t="n"/>
      <c r="B3700" s="63" t="n"/>
      <c r="C3700" s="63" t="n"/>
      <c r="D3700" s="67" t="n"/>
      <c r="E3700" s="68" t="n"/>
      <c r="F3700" s="69" t="n"/>
      <c r="G3700" s="70" t="n"/>
      <c r="H3700" s="62" t="str">
        <f>IF(COUNTA(A3700:G3700)=0,"",IF(C3700&lt;&gt;"",C3700,IF(B3700="","",IFERROR(INDEX(pr_des,MATCH(B3700,pr_code,0))&amp;"",""))))</f>
        <v/>
      </c>
      <c r="I3700" s="59" t="str">
        <f>IF(B3700="","",IFERROR(INDEX(pr_unit,MATCH(B3700,pr_code,0))&amp;"",""))</f>
        <v/>
      </c>
      <c r="J3700" s="65" t="str">
        <f>IF(COUNTA(A3700:G3700)=0,"",IF(E3700&lt;&gt;"",E3700,IF(B3700="","",IFERROR(IF(INDEX(pr_price,MATCH(B3700,pr_code,0))="","",INDEX(pr_price,MATCH(B3700,pr_code,0))),""))))</f>
        <v/>
      </c>
      <c r="K3700" s="71" t="str">
        <f>IF(COUNTA(A3700:G3700)=0,"",IF(G3700&lt;&gt;"",G3700,IF(B3700="","",IFERROR(IF(INDEX(pr_rate,MATCH(B3700,pr_code,0))="","",INDEX(pr_rate,MATCH(B3700,pr_code,0))),""))))</f>
        <v/>
      </c>
      <c r="L3700" s="65" t="str">
        <f>IF(COUNTA(A3700:G3700)=0,"",IF(AND(ISNUMBER(D3700),ISNUMBER(J3700)),ROUND(D3700*J3700*(1-N(F3700)),2),0))</f>
        <v/>
      </c>
      <c r="M3700" s="62" t="str">
        <f>IF(A3700="","",IFERROR(INDEX(fa_cname,MATCH(A3700,fa_num,0))&amp;"",""))</f>
        <v/>
      </c>
      <c r="N3700" s="59" t="str">
        <f>IF(COUNTA(A3700:G3700)=0,"",IF(A3700="","N° facture manquant",IF(ISNA(MATCH(A3700,fa_num,0)),"Facture inconnue",IF(AND(B3700&lt;&gt;"",ISNA(MATCH(B3700,pr_code,0))),"Article inconnu",IF(H3700="","Désignation manquante",IF(OR(NOT(ISNUMBER(D3700)),N(D3700)&lt;=0),"Quantité invalide",IF(J3700="","Prix manquant",IF(OR(NOT(ISNUMBER(J3700)),N(J3700)&lt;0),"Prix invalide",IF(OR(AND(F3700&lt;&gt;"",NOT(ISNUMBER(F3700))),N(F3700)&lt;0,N(F3700)&gt;1),"Remise invalide",IF(K3700="","Taux de TVA manquant",IF(NOT(ISNUMBER(K3700)),"Taux de TVA invalide",IF(COUNTIF(p_rates,K3700)=0,"Taux de TVA hors liste (Paramètres)",IF(N(O3700)&gt;25,"Au-delà de 25 lignes : non imprimée","OK")))))))))))))</f>
        <v/>
      </c>
      <c r="O3700" s="59" t="str">
        <f>IF(A3700="","",COUNTIF($A$6:A3700,A3700))</f>
        <v/>
      </c>
      <c r="P3700" s="62" t="str">
        <f>IF(A3700="","",A3700&amp;"|"&amp;O3700)</f>
        <v/>
      </c>
    </row>
    <row r="3701">
      <c r="A3701" s="60" t="n"/>
      <c r="B3701" s="63" t="n"/>
      <c r="C3701" s="63" t="n"/>
      <c r="D3701" s="67" t="n"/>
      <c r="E3701" s="68" t="n"/>
      <c r="F3701" s="69" t="n"/>
      <c r="G3701" s="70" t="n"/>
      <c r="H3701" s="62" t="str">
        <f>IF(COUNTA(A3701:G3701)=0,"",IF(C3701&lt;&gt;"",C3701,IF(B3701="","",IFERROR(INDEX(pr_des,MATCH(B3701,pr_code,0))&amp;"",""))))</f>
        <v/>
      </c>
      <c r="I3701" s="59" t="str">
        <f>IF(B3701="","",IFERROR(INDEX(pr_unit,MATCH(B3701,pr_code,0))&amp;"",""))</f>
        <v/>
      </c>
      <c r="J3701" s="65" t="str">
        <f>IF(COUNTA(A3701:G3701)=0,"",IF(E3701&lt;&gt;"",E3701,IF(B3701="","",IFERROR(IF(INDEX(pr_price,MATCH(B3701,pr_code,0))="","",INDEX(pr_price,MATCH(B3701,pr_code,0))),""))))</f>
        <v/>
      </c>
      <c r="K3701" s="71" t="str">
        <f>IF(COUNTA(A3701:G3701)=0,"",IF(G3701&lt;&gt;"",G3701,IF(B3701="","",IFERROR(IF(INDEX(pr_rate,MATCH(B3701,pr_code,0))="","",INDEX(pr_rate,MATCH(B3701,pr_code,0))),""))))</f>
        <v/>
      </c>
      <c r="L3701" s="65" t="str">
        <f>IF(COUNTA(A3701:G3701)=0,"",IF(AND(ISNUMBER(D3701),ISNUMBER(J3701)),ROUND(D3701*J3701*(1-N(F3701)),2),0))</f>
        <v/>
      </c>
      <c r="M3701" s="62" t="str">
        <f>IF(A3701="","",IFERROR(INDEX(fa_cname,MATCH(A3701,fa_num,0))&amp;"",""))</f>
        <v/>
      </c>
      <c r="N3701" s="59" t="str">
        <f>IF(COUNTA(A3701:G3701)=0,"",IF(A3701="","N° facture manquant",IF(ISNA(MATCH(A3701,fa_num,0)),"Facture inconnue",IF(AND(B3701&lt;&gt;"",ISNA(MATCH(B3701,pr_code,0))),"Article inconnu",IF(H3701="","Désignation manquante",IF(OR(NOT(ISNUMBER(D3701)),N(D3701)&lt;=0),"Quantité invalide",IF(J3701="","Prix manquant",IF(OR(NOT(ISNUMBER(J3701)),N(J3701)&lt;0),"Prix invalide",IF(OR(AND(F3701&lt;&gt;"",NOT(ISNUMBER(F3701))),N(F3701)&lt;0,N(F3701)&gt;1),"Remise invalide",IF(K3701="","Taux de TVA manquant",IF(NOT(ISNUMBER(K3701)),"Taux de TVA invalide",IF(COUNTIF(p_rates,K3701)=0,"Taux de TVA hors liste (Paramètres)",IF(N(O3701)&gt;25,"Au-delà de 25 lignes : non imprimée","OK")))))))))))))</f>
        <v/>
      </c>
      <c r="O3701" s="59" t="str">
        <f>IF(A3701="","",COUNTIF($A$6:A3701,A3701))</f>
        <v/>
      </c>
      <c r="P3701" s="62" t="str">
        <f>IF(A3701="","",A3701&amp;"|"&amp;O3701)</f>
        <v/>
      </c>
    </row>
    <row r="3702">
      <c r="A3702" s="60" t="n"/>
      <c r="B3702" s="63" t="n"/>
      <c r="C3702" s="63" t="n"/>
      <c r="D3702" s="67" t="n"/>
      <c r="E3702" s="68" t="n"/>
      <c r="F3702" s="69" t="n"/>
      <c r="G3702" s="70" t="n"/>
      <c r="H3702" s="62" t="str">
        <f>IF(COUNTA(A3702:G3702)=0,"",IF(C3702&lt;&gt;"",C3702,IF(B3702="","",IFERROR(INDEX(pr_des,MATCH(B3702,pr_code,0))&amp;"",""))))</f>
        <v/>
      </c>
      <c r="I3702" s="59" t="str">
        <f>IF(B3702="","",IFERROR(INDEX(pr_unit,MATCH(B3702,pr_code,0))&amp;"",""))</f>
        <v/>
      </c>
      <c r="J3702" s="65" t="str">
        <f>IF(COUNTA(A3702:G3702)=0,"",IF(E3702&lt;&gt;"",E3702,IF(B3702="","",IFERROR(IF(INDEX(pr_price,MATCH(B3702,pr_code,0))="","",INDEX(pr_price,MATCH(B3702,pr_code,0))),""))))</f>
        <v/>
      </c>
      <c r="K3702" s="71" t="str">
        <f>IF(COUNTA(A3702:G3702)=0,"",IF(G3702&lt;&gt;"",G3702,IF(B3702="","",IFERROR(IF(INDEX(pr_rate,MATCH(B3702,pr_code,0))="","",INDEX(pr_rate,MATCH(B3702,pr_code,0))),""))))</f>
        <v/>
      </c>
      <c r="L3702" s="65" t="str">
        <f>IF(COUNTA(A3702:G3702)=0,"",IF(AND(ISNUMBER(D3702),ISNUMBER(J3702)),ROUND(D3702*J3702*(1-N(F3702)),2),0))</f>
        <v/>
      </c>
      <c r="M3702" s="62" t="str">
        <f>IF(A3702="","",IFERROR(INDEX(fa_cname,MATCH(A3702,fa_num,0))&amp;"",""))</f>
        <v/>
      </c>
      <c r="N3702" s="59" t="str">
        <f>IF(COUNTA(A3702:G3702)=0,"",IF(A3702="","N° facture manquant",IF(ISNA(MATCH(A3702,fa_num,0)),"Facture inconnue",IF(AND(B3702&lt;&gt;"",ISNA(MATCH(B3702,pr_code,0))),"Article inconnu",IF(H3702="","Désignation manquante",IF(OR(NOT(ISNUMBER(D3702)),N(D3702)&lt;=0),"Quantité invalide",IF(J3702="","Prix manquant",IF(OR(NOT(ISNUMBER(J3702)),N(J3702)&lt;0),"Prix invalide",IF(OR(AND(F3702&lt;&gt;"",NOT(ISNUMBER(F3702))),N(F3702)&lt;0,N(F3702)&gt;1),"Remise invalide",IF(K3702="","Taux de TVA manquant",IF(NOT(ISNUMBER(K3702)),"Taux de TVA invalide",IF(COUNTIF(p_rates,K3702)=0,"Taux de TVA hors liste (Paramètres)",IF(N(O3702)&gt;25,"Au-delà de 25 lignes : non imprimée","OK")))))))))))))</f>
        <v/>
      </c>
      <c r="O3702" s="59" t="str">
        <f>IF(A3702="","",COUNTIF($A$6:A3702,A3702))</f>
        <v/>
      </c>
      <c r="P3702" s="62" t="str">
        <f>IF(A3702="","",A3702&amp;"|"&amp;O3702)</f>
        <v/>
      </c>
    </row>
    <row r="3703">
      <c r="A3703" s="60" t="n"/>
      <c r="B3703" s="63" t="n"/>
      <c r="C3703" s="63" t="n"/>
      <c r="D3703" s="67" t="n"/>
      <c r="E3703" s="68" t="n"/>
      <c r="F3703" s="69" t="n"/>
      <c r="G3703" s="70" t="n"/>
      <c r="H3703" s="62" t="str">
        <f>IF(COUNTA(A3703:G3703)=0,"",IF(C3703&lt;&gt;"",C3703,IF(B3703="","",IFERROR(INDEX(pr_des,MATCH(B3703,pr_code,0))&amp;"",""))))</f>
        <v/>
      </c>
      <c r="I3703" s="59" t="str">
        <f>IF(B3703="","",IFERROR(INDEX(pr_unit,MATCH(B3703,pr_code,0))&amp;"",""))</f>
        <v/>
      </c>
      <c r="J3703" s="65" t="str">
        <f>IF(COUNTA(A3703:G3703)=0,"",IF(E3703&lt;&gt;"",E3703,IF(B3703="","",IFERROR(IF(INDEX(pr_price,MATCH(B3703,pr_code,0))="","",INDEX(pr_price,MATCH(B3703,pr_code,0))),""))))</f>
        <v/>
      </c>
      <c r="K3703" s="71" t="str">
        <f>IF(COUNTA(A3703:G3703)=0,"",IF(G3703&lt;&gt;"",G3703,IF(B3703="","",IFERROR(IF(INDEX(pr_rate,MATCH(B3703,pr_code,0))="","",INDEX(pr_rate,MATCH(B3703,pr_code,0))),""))))</f>
        <v/>
      </c>
      <c r="L3703" s="65" t="str">
        <f>IF(COUNTA(A3703:G3703)=0,"",IF(AND(ISNUMBER(D3703),ISNUMBER(J3703)),ROUND(D3703*J3703*(1-N(F3703)),2),0))</f>
        <v/>
      </c>
      <c r="M3703" s="62" t="str">
        <f>IF(A3703="","",IFERROR(INDEX(fa_cname,MATCH(A3703,fa_num,0))&amp;"",""))</f>
        <v/>
      </c>
      <c r="N3703" s="59" t="str">
        <f>IF(COUNTA(A3703:G3703)=0,"",IF(A3703="","N° facture manquant",IF(ISNA(MATCH(A3703,fa_num,0)),"Facture inconnue",IF(AND(B3703&lt;&gt;"",ISNA(MATCH(B3703,pr_code,0))),"Article inconnu",IF(H3703="","Désignation manquante",IF(OR(NOT(ISNUMBER(D3703)),N(D3703)&lt;=0),"Quantité invalide",IF(J3703="","Prix manquant",IF(OR(NOT(ISNUMBER(J3703)),N(J3703)&lt;0),"Prix invalide",IF(OR(AND(F3703&lt;&gt;"",NOT(ISNUMBER(F3703))),N(F3703)&lt;0,N(F3703)&gt;1),"Remise invalide",IF(K3703="","Taux de TVA manquant",IF(NOT(ISNUMBER(K3703)),"Taux de TVA invalide",IF(COUNTIF(p_rates,K3703)=0,"Taux de TVA hors liste (Paramètres)",IF(N(O3703)&gt;25,"Au-delà de 25 lignes : non imprimée","OK")))))))))))))</f>
        <v/>
      </c>
      <c r="O3703" s="59" t="str">
        <f>IF(A3703="","",COUNTIF($A$6:A3703,A3703))</f>
        <v/>
      </c>
      <c r="P3703" s="62" t="str">
        <f>IF(A3703="","",A3703&amp;"|"&amp;O3703)</f>
        <v/>
      </c>
    </row>
    <row r="3704">
      <c r="A3704" s="60" t="n"/>
      <c r="B3704" s="63" t="n"/>
      <c r="C3704" s="63" t="n"/>
      <c r="D3704" s="67" t="n"/>
      <c r="E3704" s="68" t="n"/>
      <c r="F3704" s="69" t="n"/>
      <c r="G3704" s="70" t="n"/>
      <c r="H3704" s="62" t="str">
        <f>IF(COUNTA(A3704:G3704)=0,"",IF(C3704&lt;&gt;"",C3704,IF(B3704="","",IFERROR(INDEX(pr_des,MATCH(B3704,pr_code,0))&amp;"",""))))</f>
        <v/>
      </c>
      <c r="I3704" s="59" t="str">
        <f>IF(B3704="","",IFERROR(INDEX(pr_unit,MATCH(B3704,pr_code,0))&amp;"",""))</f>
        <v/>
      </c>
      <c r="J3704" s="65" t="str">
        <f>IF(COUNTA(A3704:G3704)=0,"",IF(E3704&lt;&gt;"",E3704,IF(B3704="","",IFERROR(IF(INDEX(pr_price,MATCH(B3704,pr_code,0))="","",INDEX(pr_price,MATCH(B3704,pr_code,0))),""))))</f>
        <v/>
      </c>
      <c r="K3704" s="71" t="str">
        <f>IF(COUNTA(A3704:G3704)=0,"",IF(G3704&lt;&gt;"",G3704,IF(B3704="","",IFERROR(IF(INDEX(pr_rate,MATCH(B3704,pr_code,0))="","",INDEX(pr_rate,MATCH(B3704,pr_code,0))),""))))</f>
        <v/>
      </c>
      <c r="L3704" s="65" t="str">
        <f>IF(COUNTA(A3704:G3704)=0,"",IF(AND(ISNUMBER(D3704),ISNUMBER(J3704)),ROUND(D3704*J3704*(1-N(F3704)),2),0))</f>
        <v/>
      </c>
      <c r="M3704" s="62" t="str">
        <f>IF(A3704="","",IFERROR(INDEX(fa_cname,MATCH(A3704,fa_num,0))&amp;"",""))</f>
        <v/>
      </c>
      <c r="N3704" s="59" t="str">
        <f>IF(COUNTA(A3704:G3704)=0,"",IF(A3704="","N° facture manquant",IF(ISNA(MATCH(A3704,fa_num,0)),"Facture inconnue",IF(AND(B3704&lt;&gt;"",ISNA(MATCH(B3704,pr_code,0))),"Article inconnu",IF(H3704="","Désignation manquante",IF(OR(NOT(ISNUMBER(D3704)),N(D3704)&lt;=0),"Quantité invalide",IF(J3704="","Prix manquant",IF(OR(NOT(ISNUMBER(J3704)),N(J3704)&lt;0),"Prix invalide",IF(OR(AND(F3704&lt;&gt;"",NOT(ISNUMBER(F3704))),N(F3704)&lt;0,N(F3704)&gt;1),"Remise invalide",IF(K3704="","Taux de TVA manquant",IF(NOT(ISNUMBER(K3704)),"Taux de TVA invalide",IF(COUNTIF(p_rates,K3704)=0,"Taux de TVA hors liste (Paramètres)",IF(N(O3704)&gt;25,"Au-delà de 25 lignes : non imprimée","OK")))))))))))))</f>
        <v/>
      </c>
      <c r="O3704" s="59" t="str">
        <f>IF(A3704="","",COUNTIF($A$6:A3704,A3704))</f>
        <v/>
      </c>
      <c r="P3704" s="62" t="str">
        <f>IF(A3704="","",A3704&amp;"|"&amp;O3704)</f>
        <v/>
      </c>
    </row>
    <row r="3705">
      <c r="A3705" s="60" t="n"/>
      <c r="B3705" s="63" t="n"/>
      <c r="C3705" s="63" t="n"/>
      <c r="D3705" s="67" t="n"/>
      <c r="E3705" s="68" t="n"/>
      <c r="F3705" s="69" t="n"/>
      <c r="G3705" s="70" t="n"/>
      <c r="H3705" s="62" t="str">
        <f>IF(COUNTA(A3705:G3705)=0,"",IF(C3705&lt;&gt;"",C3705,IF(B3705="","",IFERROR(INDEX(pr_des,MATCH(B3705,pr_code,0))&amp;"",""))))</f>
        <v/>
      </c>
      <c r="I3705" s="59" t="str">
        <f>IF(B3705="","",IFERROR(INDEX(pr_unit,MATCH(B3705,pr_code,0))&amp;"",""))</f>
        <v/>
      </c>
      <c r="J3705" s="65" t="str">
        <f>IF(COUNTA(A3705:G3705)=0,"",IF(E3705&lt;&gt;"",E3705,IF(B3705="","",IFERROR(IF(INDEX(pr_price,MATCH(B3705,pr_code,0))="","",INDEX(pr_price,MATCH(B3705,pr_code,0))),""))))</f>
        <v/>
      </c>
      <c r="K3705" s="71" t="str">
        <f>IF(COUNTA(A3705:G3705)=0,"",IF(G3705&lt;&gt;"",G3705,IF(B3705="","",IFERROR(IF(INDEX(pr_rate,MATCH(B3705,pr_code,0))="","",INDEX(pr_rate,MATCH(B3705,pr_code,0))),""))))</f>
        <v/>
      </c>
      <c r="L3705" s="65" t="str">
        <f>IF(COUNTA(A3705:G3705)=0,"",IF(AND(ISNUMBER(D3705),ISNUMBER(J3705)),ROUND(D3705*J3705*(1-N(F3705)),2),0))</f>
        <v/>
      </c>
      <c r="M3705" s="62" t="str">
        <f>IF(A3705="","",IFERROR(INDEX(fa_cname,MATCH(A3705,fa_num,0))&amp;"",""))</f>
        <v/>
      </c>
      <c r="N3705" s="59" t="str">
        <f>IF(COUNTA(A3705:G3705)=0,"",IF(A3705="","N° facture manquant",IF(ISNA(MATCH(A3705,fa_num,0)),"Facture inconnue",IF(AND(B3705&lt;&gt;"",ISNA(MATCH(B3705,pr_code,0))),"Article inconnu",IF(H3705="","Désignation manquante",IF(OR(NOT(ISNUMBER(D3705)),N(D3705)&lt;=0),"Quantité invalide",IF(J3705="","Prix manquant",IF(OR(NOT(ISNUMBER(J3705)),N(J3705)&lt;0),"Prix invalide",IF(OR(AND(F3705&lt;&gt;"",NOT(ISNUMBER(F3705))),N(F3705)&lt;0,N(F3705)&gt;1),"Remise invalide",IF(K3705="","Taux de TVA manquant",IF(NOT(ISNUMBER(K3705)),"Taux de TVA invalide",IF(COUNTIF(p_rates,K3705)=0,"Taux de TVA hors liste (Paramètres)",IF(N(O3705)&gt;25,"Au-delà de 25 lignes : non imprimée","OK")))))))))))))</f>
        <v/>
      </c>
      <c r="O3705" s="59" t="str">
        <f>IF(A3705="","",COUNTIF($A$6:A3705,A3705))</f>
        <v/>
      </c>
      <c r="P3705" s="62" t="str">
        <f>IF(A3705="","",A3705&amp;"|"&amp;O3705)</f>
        <v/>
      </c>
    </row>
    <row r="3706">
      <c r="A3706" s="60" t="n"/>
      <c r="B3706" s="63" t="n"/>
      <c r="C3706" s="63" t="n"/>
      <c r="D3706" s="67" t="n"/>
      <c r="E3706" s="68" t="n"/>
      <c r="F3706" s="69" t="n"/>
      <c r="G3706" s="70" t="n"/>
      <c r="H3706" s="62" t="str">
        <f>IF(COUNTA(A3706:G3706)=0,"",IF(C3706&lt;&gt;"",C3706,IF(B3706="","",IFERROR(INDEX(pr_des,MATCH(B3706,pr_code,0))&amp;"",""))))</f>
        <v/>
      </c>
      <c r="I3706" s="59" t="str">
        <f>IF(B3706="","",IFERROR(INDEX(pr_unit,MATCH(B3706,pr_code,0))&amp;"",""))</f>
        <v/>
      </c>
      <c r="J3706" s="65" t="str">
        <f>IF(COUNTA(A3706:G3706)=0,"",IF(E3706&lt;&gt;"",E3706,IF(B3706="","",IFERROR(IF(INDEX(pr_price,MATCH(B3706,pr_code,0))="","",INDEX(pr_price,MATCH(B3706,pr_code,0))),""))))</f>
        <v/>
      </c>
      <c r="K3706" s="71" t="str">
        <f>IF(COUNTA(A3706:G3706)=0,"",IF(G3706&lt;&gt;"",G3706,IF(B3706="","",IFERROR(IF(INDEX(pr_rate,MATCH(B3706,pr_code,0))="","",INDEX(pr_rate,MATCH(B3706,pr_code,0))),""))))</f>
        <v/>
      </c>
      <c r="L3706" s="65" t="str">
        <f>IF(COUNTA(A3706:G3706)=0,"",IF(AND(ISNUMBER(D3706),ISNUMBER(J3706)),ROUND(D3706*J3706*(1-N(F3706)),2),0))</f>
        <v/>
      </c>
      <c r="M3706" s="62" t="str">
        <f>IF(A3706="","",IFERROR(INDEX(fa_cname,MATCH(A3706,fa_num,0))&amp;"",""))</f>
        <v/>
      </c>
      <c r="N3706" s="59" t="str">
        <f>IF(COUNTA(A3706:G3706)=0,"",IF(A3706="","N° facture manquant",IF(ISNA(MATCH(A3706,fa_num,0)),"Facture inconnue",IF(AND(B3706&lt;&gt;"",ISNA(MATCH(B3706,pr_code,0))),"Article inconnu",IF(H3706="","Désignation manquante",IF(OR(NOT(ISNUMBER(D3706)),N(D3706)&lt;=0),"Quantité invalide",IF(J3706="","Prix manquant",IF(OR(NOT(ISNUMBER(J3706)),N(J3706)&lt;0),"Prix invalide",IF(OR(AND(F3706&lt;&gt;"",NOT(ISNUMBER(F3706))),N(F3706)&lt;0,N(F3706)&gt;1),"Remise invalide",IF(K3706="","Taux de TVA manquant",IF(NOT(ISNUMBER(K3706)),"Taux de TVA invalide",IF(COUNTIF(p_rates,K3706)=0,"Taux de TVA hors liste (Paramètres)",IF(N(O3706)&gt;25,"Au-delà de 25 lignes : non imprimée","OK")))))))))))))</f>
        <v/>
      </c>
      <c r="O3706" s="59" t="str">
        <f>IF(A3706="","",COUNTIF($A$6:A3706,A3706))</f>
        <v/>
      </c>
      <c r="P3706" s="62" t="str">
        <f>IF(A3706="","",A3706&amp;"|"&amp;O3706)</f>
        <v/>
      </c>
    </row>
    <row r="3707">
      <c r="A3707" s="60" t="n"/>
      <c r="B3707" s="63" t="n"/>
      <c r="C3707" s="63" t="n"/>
      <c r="D3707" s="67" t="n"/>
      <c r="E3707" s="68" t="n"/>
      <c r="F3707" s="69" t="n"/>
      <c r="G3707" s="70" t="n"/>
      <c r="H3707" s="62" t="str">
        <f>IF(COUNTA(A3707:G3707)=0,"",IF(C3707&lt;&gt;"",C3707,IF(B3707="","",IFERROR(INDEX(pr_des,MATCH(B3707,pr_code,0))&amp;"",""))))</f>
        <v/>
      </c>
      <c r="I3707" s="59" t="str">
        <f>IF(B3707="","",IFERROR(INDEX(pr_unit,MATCH(B3707,pr_code,0))&amp;"",""))</f>
        <v/>
      </c>
      <c r="J3707" s="65" t="str">
        <f>IF(COUNTA(A3707:G3707)=0,"",IF(E3707&lt;&gt;"",E3707,IF(B3707="","",IFERROR(IF(INDEX(pr_price,MATCH(B3707,pr_code,0))="","",INDEX(pr_price,MATCH(B3707,pr_code,0))),""))))</f>
        <v/>
      </c>
      <c r="K3707" s="71" t="str">
        <f>IF(COUNTA(A3707:G3707)=0,"",IF(G3707&lt;&gt;"",G3707,IF(B3707="","",IFERROR(IF(INDEX(pr_rate,MATCH(B3707,pr_code,0))="","",INDEX(pr_rate,MATCH(B3707,pr_code,0))),""))))</f>
        <v/>
      </c>
      <c r="L3707" s="65" t="str">
        <f>IF(COUNTA(A3707:G3707)=0,"",IF(AND(ISNUMBER(D3707),ISNUMBER(J3707)),ROUND(D3707*J3707*(1-N(F3707)),2),0))</f>
        <v/>
      </c>
      <c r="M3707" s="62" t="str">
        <f>IF(A3707="","",IFERROR(INDEX(fa_cname,MATCH(A3707,fa_num,0))&amp;"",""))</f>
        <v/>
      </c>
      <c r="N3707" s="59" t="str">
        <f>IF(COUNTA(A3707:G3707)=0,"",IF(A3707="","N° facture manquant",IF(ISNA(MATCH(A3707,fa_num,0)),"Facture inconnue",IF(AND(B3707&lt;&gt;"",ISNA(MATCH(B3707,pr_code,0))),"Article inconnu",IF(H3707="","Désignation manquante",IF(OR(NOT(ISNUMBER(D3707)),N(D3707)&lt;=0),"Quantité invalide",IF(J3707="","Prix manquant",IF(OR(NOT(ISNUMBER(J3707)),N(J3707)&lt;0),"Prix invalide",IF(OR(AND(F3707&lt;&gt;"",NOT(ISNUMBER(F3707))),N(F3707)&lt;0,N(F3707)&gt;1),"Remise invalide",IF(K3707="","Taux de TVA manquant",IF(NOT(ISNUMBER(K3707)),"Taux de TVA invalide",IF(COUNTIF(p_rates,K3707)=0,"Taux de TVA hors liste (Paramètres)",IF(N(O3707)&gt;25,"Au-delà de 25 lignes : non imprimée","OK")))))))))))))</f>
        <v/>
      </c>
      <c r="O3707" s="59" t="str">
        <f>IF(A3707="","",COUNTIF($A$6:A3707,A3707))</f>
        <v/>
      </c>
      <c r="P3707" s="62" t="str">
        <f>IF(A3707="","",A3707&amp;"|"&amp;O3707)</f>
        <v/>
      </c>
    </row>
    <row r="3708">
      <c r="A3708" s="60" t="n"/>
      <c r="B3708" s="63" t="n"/>
      <c r="C3708" s="63" t="n"/>
      <c r="D3708" s="67" t="n"/>
      <c r="E3708" s="68" t="n"/>
      <c r="F3708" s="69" t="n"/>
      <c r="G3708" s="70" t="n"/>
      <c r="H3708" s="62" t="str">
        <f>IF(COUNTA(A3708:G3708)=0,"",IF(C3708&lt;&gt;"",C3708,IF(B3708="","",IFERROR(INDEX(pr_des,MATCH(B3708,pr_code,0))&amp;"",""))))</f>
        <v/>
      </c>
      <c r="I3708" s="59" t="str">
        <f>IF(B3708="","",IFERROR(INDEX(pr_unit,MATCH(B3708,pr_code,0))&amp;"",""))</f>
        <v/>
      </c>
      <c r="J3708" s="65" t="str">
        <f>IF(COUNTA(A3708:G3708)=0,"",IF(E3708&lt;&gt;"",E3708,IF(B3708="","",IFERROR(IF(INDEX(pr_price,MATCH(B3708,pr_code,0))="","",INDEX(pr_price,MATCH(B3708,pr_code,0))),""))))</f>
        <v/>
      </c>
      <c r="K3708" s="71" t="str">
        <f>IF(COUNTA(A3708:G3708)=0,"",IF(G3708&lt;&gt;"",G3708,IF(B3708="","",IFERROR(IF(INDEX(pr_rate,MATCH(B3708,pr_code,0))="","",INDEX(pr_rate,MATCH(B3708,pr_code,0))),""))))</f>
        <v/>
      </c>
      <c r="L3708" s="65" t="str">
        <f>IF(COUNTA(A3708:G3708)=0,"",IF(AND(ISNUMBER(D3708),ISNUMBER(J3708)),ROUND(D3708*J3708*(1-N(F3708)),2),0))</f>
        <v/>
      </c>
      <c r="M3708" s="62" t="str">
        <f>IF(A3708="","",IFERROR(INDEX(fa_cname,MATCH(A3708,fa_num,0))&amp;"",""))</f>
        <v/>
      </c>
      <c r="N3708" s="59" t="str">
        <f>IF(COUNTA(A3708:G3708)=0,"",IF(A3708="","N° facture manquant",IF(ISNA(MATCH(A3708,fa_num,0)),"Facture inconnue",IF(AND(B3708&lt;&gt;"",ISNA(MATCH(B3708,pr_code,0))),"Article inconnu",IF(H3708="","Désignation manquante",IF(OR(NOT(ISNUMBER(D3708)),N(D3708)&lt;=0),"Quantité invalide",IF(J3708="","Prix manquant",IF(OR(NOT(ISNUMBER(J3708)),N(J3708)&lt;0),"Prix invalide",IF(OR(AND(F3708&lt;&gt;"",NOT(ISNUMBER(F3708))),N(F3708)&lt;0,N(F3708)&gt;1),"Remise invalide",IF(K3708="","Taux de TVA manquant",IF(NOT(ISNUMBER(K3708)),"Taux de TVA invalide",IF(COUNTIF(p_rates,K3708)=0,"Taux de TVA hors liste (Paramètres)",IF(N(O3708)&gt;25,"Au-delà de 25 lignes : non imprimée","OK")))))))))))))</f>
        <v/>
      </c>
      <c r="O3708" s="59" t="str">
        <f>IF(A3708="","",COUNTIF($A$6:A3708,A3708))</f>
        <v/>
      </c>
      <c r="P3708" s="62" t="str">
        <f>IF(A3708="","",A3708&amp;"|"&amp;O3708)</f>
        <v/>
      </c>
    </row>
    <row r="3709">
      <c r="A3709" s="60" t="n"/>
      <c r="B3709" s="63" t="n"/>
      <c r="C3709" s="63" t="n"/>
      <c r="D3709" s="67" t="n"/>
      <c r="E3709" s="68" t="n"/>
      <c r="F3709" s="69" t="n"/>
      <c r="G3709" s="70" t="n"/>
      <c r="H3709" s="62" t="str">
        <f>IF(COUNTA(A3709:G3709)=0,"",IF(C3709&lt;&gt;"",C3709,IF(B3709="","",IFERROR(INDEX(pr_des,MATCH(B3709,pr_code,0))&amp;"",""))))</f>
        <v/>
      </c>
      <c r="I3709" s="59" t="str">
        <f>IF(B3709="","",IFERROR(INDEX(pr_unit,MATCH(B3709,pr_code,0))&amp;"",""))</f>
        <v/>
      </c>
      <c r="J3709" s="65" t="str">
        <f>IF(COUNTA(A3709:G3709)=0,"",IF(E3709&lt;&gt;"",E3709,IF(B3709="","",IFERROR(IF(INDEX(pr_price,MATCH(B3709,pr_code,0))="","",INDEX(pr_price,MATCH(B3709,pr_code,0))),""))))</f>
        <v/>
      </c>
      <c r="K3709" s="71" t="str">
        <f>IF(COUNTA(A3709:G3709)=0,"",IF(G3709&lt;&gt;"",G3709,IF(B3709="","",IFERROR(IF(INDEX(pr_rate,MATCH(B3709,pr_code,0))="","",INDEX(pr_rate,MATCH(B3709,pr_code,0))),""))))</f>
        <v/>
      </c>
      <c r="L3709" s="65" t="str">
        <f>IF(COUNTA(A3709:G3709)=0,"",IF(AND(ISNUMBER(D3709),ISNUMBER(J3709)),ROUND(D3709*J3709*(1-N(F3709)),2),0))</f>
        <v/>
      </c>
      <c r="M3709" s="62" t="str">
        <f>IF(A3709="","",IFERROR(INDEX(fa_cname,MATCH(A3709,fa_num,0))&amp;"",""))</f>
        <v/>
      </c>
      <c r="N3709" s="59" t="str">
        <f>IF(COUNTA(A3709:G3709)=0,"",IF(A3709="","N° facture manquant",IF(ISNA(MATCH(A3709,fa_num,0)),"Facture inconnue",IF(AND(B3709&lt;&gt;"",ISNA(MATCH(B3709,pr_code,0))),"Article inconnu",IF(H3709="","Désignation manquante",IF(OR(NOT(ISNUMBER(D3709)),N(D3709)&lt;=0),"Quantité invalide",IF(J3709="","Prix manquant",IF(OR(NOT(ISNUMBER(J3709)),N(J3709)&lt;0),"Prix invalide",IF(OR(AND(F3709&lt;&gt;"",NOT(ISNUMBER(F3709))),N(F3709)&lt;0,N(F3709)&gt;1),"Remise invalide",IF(K3709="","Taux de TVA manquant",IF(NOT(ISNUMBER(K3709)),"Taux de TVA invalide",IF(COUNTIF(p_rates,K3709)=0,"Taux de TVA hors liste (Paramètres)",IF(N(O3709)&gt;25,"Au-delà de 25 lignes : non imprimée","OK")))))))))))))</f>
        <v/>
      </c>
      <c r="O3709" s="59" t="str">
        <f>IF(A3709="","",COUNTIF($A$6:A3709,A3709))</f>
        <v/>
      </c>
      <c r="P3709" s="62" t="str">
        <f>IF(A3709="","",A3709&amp;"|"&amp;O3709)</f>
        <v/>
      </c>
    </row>
    <row r="3710">
      <c r="A3710" s="60" t="n"/>
      <c r="B3710" s="63" t="n"/>
      <c r="C3710" s="63" t="n"/>
      <c r="D3710" s="67" t="n"/>
      <c r="E3710" s="68" t="n"/>
      <c r="F3710" s="69" t="n"/>
      <c r="G3710" s="70" t="n"/>
      <c r="H3710" s="62" t="str">
        <f>IF(COUNTA(A3710:G3710)=0,"",IF(C3710&lt;&gt;"",C3710,IF(B3710="","",IFERROR(INDEX(pr_des,MATCH(B3710,pr_code,0))&amp;"",""))))</f>
        <v/>
      </c>
      <c r="I3710" s="59" t="str">
        <f>IF(B3710="","",IFERROR(INDEX(pr_unit,MATCH(B3710,pr_code,0))&amp;"",""))</f>
        <v/>
      </c>
      <c r="J3710" s="65" t="str">
        <f>IF(COUNTA(A3710:G3710)=0,"",IF(E3710&lt;&gt;"",E3710,IF(B3710="","",IFERROR(IF(INDEX(pr_price,MATCH(B3710,pr_code,0))="","",INDEX(pr_price,MATCH(B3710,pr_code,0))),""))))</f>
        <v/>
      </c>
      <c r="K3710" s="71" t="str">
        <f>IF(COUNTA(A3710:G3710)=0,"",IF(G3710&lt;&gt;"",G3710,IF(B3710="","",IFERROR(IF(INDEX(pr_rate,MATCH(B3710,pr_code,0))="","",INDEX(pr_rate,MATCH(B3710,pr_code,0))),""))))</f>
        <v/>
      </c>
      <c r="L3710" s="65" t="str">
        <f>IF(COUNTA(A3710:G3710)=0,"",IF(AND(ISNUMBER(D3710),ISNUMBER(J3710)),ROUND(D3710*J3710*(1-N(F3710)),2),0))</f>
        <v/>
      </c>
      <c r="M3710" s="62" t="str">
        <f>IF(A3710="","",IFERROR(INDEX(fa_cname,MATCH(A3710,fa_num,0))&amp;"",""))</f>
        <v/>
      </c>
      <c r="N3710" s="59" t="str">
        <f>IF(COUNTA(A3710:G3710)=0,"",IF(A3710="","N° facture manquant",IF(ISNA(MATCH(A3710,fa_num,0)),"Facture inconnue",IF(AND(B3710&lt;&gt;"",ISNA(MATCH(B3710,pr_code,0))),"Article inconnu",IF(H3710="","Désignation manquante",IF(OR(NOT(ISNUMBER(D3710)),N(D3710)&lt;=0),"Quantité invalide",IF(J3710="","Prix manquant",IF(OR(NOT(ISNUMBER(J3710)),N(J3710)&lt;0),"Prix invalide",IF(OR(AND(F3710&lt;&gt;"",NOT(ISNUMBER(F3710))),N(F3710)&lt;0,N(F3710)&gt;1),"Remise invalide",IF(K3710="","Taux de TVA manquant",IF(NOT(ISNUMBER(K3710)),"Taux de TVA invalide",IF(COUNTIF(p_rates,K3710)=0,"Taux de TVA hors liste (Paramètres)",IF(N(O3710)&gt;25,"Au-delà de 25 lignes : non imprimée","OK")))))))))))))</f>
        <v/>
      </c>
      <c r="O3710" s="59" t="str">
        <f>IF(A3710="","",COUNTIF($A$6:A3710,A3710))</f>
        <v/>
      </c>
      <c r="P3710" s="62" t="str">
        <f>IF(A3710="","",A3710&amp;"|"&amp;O3710)</f>
        <v/>
      </c>
    </row>
    <row r="3711">
      <c r="A3711" s="60" t="n"/>
      <c r="B3711" s="63" t="n"/>
      <c r="C3711" s="63" t="n"/>
      <c r="D3711" s="67" t="n"/>
      <c r="E3711" s="68" t="n"/>
      <c r="F3711" s="69" t="n"/>
      <c r="G3711" s="70" t="n"/>
      <c r="H3711" s="62" t="str">
        <f>IF(COUNTA(A3711:G3711)=0,"",IF(C3711&lt;&gt;"",C3711,IF(B3711="","",IFERROR(INDEX(pr_des,MATCH(B3711,pr_code,0))&amp;"",""))))</f>
        <v/>
      </c>
      <c r="I3711" s="59" t="str">
        <f>IF(B3711="","",IFERROR(INDEX(pr_unit,MATCH(B3711,pr_code,0))&amp;"",""))</f>
        <v/>
      </c>
      <c r="J3711" s="65" t="str">
        <f>IF(COUNTA(A3711:G3711)=0,"",IF(E3711&lt;&gt;"",E3711,IF(B3711="","",IFERROR(IF(INDEX(pr_price,MATCH(B3711,pr_code,0))="","",INDEX(pr_price,MATCH(B3711,pr_code,0))),""))))</f>
        <v/>
      </c>
      <c r="K3711" s="71" t="str">
        <f>IF(COUNTA(A3711:G3711)=0,"",IF(G3711&lt;&gt;"",G3711,IF(B3711="","",IFERROR(IF(INDEX(pr_rate,MATCH(B3711,pr_code,0))="","",INDEX(pr_rate,MATCH(B3711,pr_code,0))),""))))</f>
        <v/>
      </c>
      <c r="L3711" s="65" t="str">
        <f>IF(COUNTA(A3711:G3711)=0,"",IF(AND(ISNUMBER(D3711),ISNUMBER(J3711)),ROUND(D3711*J3711*(1-N(F3711)),2),0))</f>
        <v/>
      </c>
      <c r="M3711" s="62" t="str">
        <f>IF(A3711="","",IFERROR(INDEX(fa_cname,MATCH(A3711,fa_num,0))&amp;"",""))</f>
        <v/>
      </c>
      <c r="N3711" s="59" t="str">
        <f>IF(COUNTA(A3711:G3711)=0,"",IF(A3711="","N° facture manquant",IF(ISNA(MATCH(A3711,fa_num,0)),"Facture inconnue",IF(AND(B3711&lt;&gt;"",ISNA(MATCH(B3711,pr_code,0))),"Article inconnu",IF(H3711="","Désignation manquante",IF(OR(NOT(ISNUMBER(D3711)),N(D3711)&lt;=0),"Quantité invalide",IF(J3711="","Prix manquant",IF(OR(NOT(ISNUMBER(J3711)),N(J3711)&lt;0),"Prix invalide",IF(OR(AND(F3711&lt;&gt;"",NOT(ISNUMBER(F3711))),N(F3711)&lt;0,N(F3711)&gt;1),"Remise invalide",IF(K3711="","Taux de TVA manquant",IF(NOT(ISNUMBER(K3711)),"Taux de TVA invalide",IF(COUNTIF(p_rates,K3711)=0,"Taux de TVA hors liste (Paramètres)",IF(N(O3711)&gt;25,"Au-delà de 25 lignes : non imprimée","OK")))))))))))))</f>
        <v/>
      </c>
      <c r="O3711" s="59" t="str">
        <f>IF(A3711="","",COUNTIF($A$6:A3711,A3711))</f>
        <v/>
      </c>
      <c r="P3711" s="62" t="str">
        <f>IF(A3711="","",A3711&amp;"|"&amp;O3711)</f>
        <v/>
      </c>
    </row>
    <row r="3712">
      <c r="A3712" s="60" t="n"/>
      <c r="B3712" s="63" t="n"/>
      <c r="C3712" s="63" t="n"/>
      <c r="D3712" s="67" t="n"/>
      <c r="E3712" s="68" t="n"/>
      <c r="F3712" s="69" t="n"/>
      <c r="G3712" s="70" t="n"/>
      <c r="H3712" s="62" t="str">
        <f>IF(COUNTA(A3712:G3712)=0,"",IF(C3712&lt;&gt;"",C3712,IF(B3712="","",IFERROR(INDEX(pr_des,MATCH(B3712,pr_code,0))&amp;"",""))))</f>
        <v/>
      </c>
      <c r="I3712" s="59" t="str">
        <f>IF(B3712="","",IFERROR(INDEX(pr_unit,MATCH(B3712,pr_code,0))&amp;"",""))</f>
        <v/>
      </c>
      <c r="J3712" s="65" t="str">
        <f>IF(COUNTA(A3712:G3712)=0,"",IF(E3712&lt;&gt;"",E3712,IF(B3712="","",IFERROR(IF(INDEX(pr_price,MATCH(B3712,pr_code,0))="","",INDEX(pr_price,MATCH(B3712,pr_code,0))),""))))</f>
        <v/>
      </c>
      <c r="K3712" s="71" t="str">
        <f>IF(COUNTA(A3712:G3712)=0,"",IF(G3712&lt;&gt;"",G3712,IF(B3712="","",IFERROR(IF(INDEX(pr_rate,MATCH(B3712,pr_code,0))="","",INDEX(pr_rate,MATCH(B3712,pr_code,0))),""))))</f>
        <v/>
      </c>
      <c r="L3712" s="65" t="str">
        <f>IF(COUNTA(A3712:G3712)=0,"",IF(AND(ISNUMBER(D3712),ISNUMBER(J3712)),ROUND(D3712*J3712*(1-N(F3712)),2),0))</f>
        <v/>
      </c>
      <c r="M3712" s="62" t="str">
        <f>IF(A3712="","",IFERROR(INDEX(fa_cname,MATCH(A3712,fa_num,0))&amp;"",""))</f>
        <v/>
      </c>
      <c r="N3712" s="59" t="str">
        <f>IF(COUNTA(A3712:G3712)=0,"",IF(A3712="","N° facture manquant",IF(ISNA(MATCH(A3712,fa_num,0)),"Facture inconnue",IF(AND(B3712&lt;&gt;"",ISNA(MATCH(B3712,pr_code,0))),"Article inconnu",IF(H3712="","Désignation manquante",IF(OR(NOT(ISNUMBER(D3712)),N(D3712)&lt;=0),"Quantité invalide",IF(J3712="","Prix manquant",IF(OR(NOT(ISNUMBER(J3712)),N(J3712)&lt;0),"Prix invalide",IF(OR(AND(F3712&lt;&gt;"",NOT(ISNUMBER(F3712))),N(F3712)&lt;0,N(F3712)&gt;1),"Remise invalide",IF(K3712="","Taux de TVA manquant",IF(NOT(ISNUMBER(K3712)),"Taux de TVA invalide",IF(COUNTIF(p_rates,K3712)=0,"Taux de TVA hors liste (Paramètres)",IF(N(O3712)&gt;25,"Au-delà de 25 lignes : non imprimée","OK")))))))))))))</f>
        <v/>
      </c>
      <c r="O3712" s="59" t="str">
        <f>IF(A3712="","",COUNTIF($A$6:A3712,A3712))</f>
        <v/>
      </c>
      <c r="P3712" s="62" t="str">
        <f>IF(A3712="","",A3712&amp;"|"&amp;O3712)</f>
        <v/>
      </c>
    </row>
    <row r="3713">
      <c r="A3713" s="60" t="n"/>
      <c r="B3713" s="63" t="n"/>
      <c r="C3713" s="63" t="n"/>
      <c r="D3713" s="67" t="n"/>
      <c r="E3713" s="68" t="n"/>
      <c r="F3713" s="69" t="n"/>
      <c r="G3713" s="70" t="n"/>
      <c r="H3713" s="62" t="str">
        <f>IF(COUNTA(A3713:G3713)=0,"",IF(C3713&lt;&gt;"",C3713,IF(B3713="","",IFERROR(INDEX(pr_des,MATCH(B3713,pr_code,0))&amp;"",""))))</f>
        <v/>
      </c>
      <c r="I3713" s="59" t="str">
        <f>IF(B3713="","",IFERROR(INDEX(pr_unit,MATCH(B3713,pr_code,0))&amp;"",""))</f>
        <v/>
      </c>
      <c r="J3713" s="65" t="str">
        <f>IF(COUNTA(A3713:G3713)=0,"",IF(E3713&lt;&gt;"",E3713,IF(B3713="","",IFERROR(IF(INDEX(pr_price,MATCH(B3713,pr_code,0))="","",INDEX(pr_price,MATCH(B3713,pr_code,0))),""))))</f>
        <v/>
      </c>
      <c r="K3713" s="71" t="str">
        <f>IF(COUNTA(A3713:G3713)=0,"",IF(G3713&lt;&gt;"",G3713,IF(B3713="","",IFERROR(IF(INDEX(pr_rate,MATCH(B3713,pr_code,0))="","",INDEX(pr_rate,MATCH(B3713,pr_code,0))),""))))</f>
        <v/>
      </c>
      <c r="L3713" s="65" t="str">
        <f>IF(COUNTA(A3713:G3713)=0,"",IF(AND(ISNUMBER(D3713),ISNUMBER(J3713)),ROUND(D3713*J3713*(1-N(F3713)),2),0))</f>
        <v/>
      </c>
      <c r="M3713" s="62" t="str">
        <f>IF(A3713="","",IFERROR(INDEX(fa_cname,MATCH(A3713,fa_num,0))&amp;"",""))</f>
        <v/>
      </c>
      <c r="N3713" s="59" t="str">
        <f>IF(COUNTA(A3713:G3713)=0,"",IF(A3713="","N° facture manquant",IF(ISNA(MATCH(A3713,fa_num,0)),"Facture inconnue",IF(AND(B3713&lt;&gt;"",ISNA(MATCH(B3713,pr_code,0))),"Article inconnu",IF(H3713="","Désignation manquante",IF(OR(NOT(ISNUMBER(D3713)),N(D3713)&lt;=0),"Quantité invalide",IF(J3713="","Prix manquant",IF(OR(NOT(ISNUMBER(J3713)),N(J3713)&lt;0),"Prix invalide",IF(OR(AND(F3713&lt;&gt;"",NOT(ISNUMBER(F3713))),N(F3713)&lt;0,N(F3713)&gt;1),"Remise invalide",IF(K3713="","Taux de TVA manquant",IF(NOT(ISNUMBER(K3713)),"Taux de TVA invalide",IF(COUNTIF(p_rates,K3713)=0,"Taux de TVA hors liste (Paramètres)",IF(N(O3713)&gt;25,"Au-delà de 25 lignes : non imprimée","OK")))))))))))))</f>
        <v/>
      </c>
      <c r="O3713" s="59" t="str">
        <f>IF(A3713="","",COUNTIF($A$6:A3713,A3713))</f>
        <v/>
      </c>
      <c r="P3713" s="62" t="str">
        <f>IF(A3713="","",A3713&amp;"|"&amp;O3713)</f>
        <v/>
      </c>
    </row>
    <row r="3714">
      <c r="A3714" s="60" t="n"/>
      <c r="B3714" s="63" t="n"/>
      <c r="C3714" s="63" t="n"/>
      <c r="D3714" s="67" t="n"/>
      <c r="E3714" s="68" t="n"/>
      <c r="F3714" s="69" t="n"/>
      <c r="G3714" s="70" t="n"/>
      <c r="H3714" s="62" t="str">
        <f>IF(COUNTA(A3714:G3714)=0,"",IF(C3714&lt;&gt;"",C3714,IF(B3714="","",IFERROR(INDEX(pr_des,MATCH(B3714,pr_code,0))&amp;"",""))))</f>
        <v/>
      </c>
      <c r="I3714" s="59" t="str">
        <f>IF(B3714="","",IFERROR(INDEX(pr_unit,MATCH(B3714,pr_code,0))&amp;"",""))</f>
        <v/>
      </c>
      <c r="J3714" s="65" t="str">
        <f>IF(COUNTA(A3714:G3714)=0,"",IF(E3714&lt;&gt;"",E3714,IF(B3714="","",IFERROR(IF(INDEX(pr_price,MATCH(B3714,pr_code,0))="","",INDEX(pr_price,MATCH(B3714,pr_code,0))),""))))</f>
        <v/>
      </c>
      <c r="K3714" s="71" t="str">
        <f>IF(COUNTA(A3714:G3714)=0,"",IF(G3714&lt;&gt;"",G3714,IF(B3714="","",IFERROR(IF(INDEX(pr_rate,MATCH(B3714,pr_code,0))="","",INDEX(pr_rate,MATCH(B3714,pr_code,0))),""))))</f>
        <v/>
      </c>
      <c r="L3714" s="65" t="str">
        <f>IF(COUNTA(A3714:G3714)=0,"",IF(AND(ISNUMBER(D3714),ISNUMBER(J3714)),ROUND(D3714*J3714*(1-N(F3714)),2),0))</f>
        <v/>
      </c>
      <c r="M3714" s="62" t="str">
        <f>IF(A3714="","",IFERROR(INDEX(fa_cname,MATCH(A3714,fa_num,0))&amp;"",""))</f>
        <v/>
      </c>
      <c r="N3714" s="59" t="str">
        <f>IF(COUNTA(A3714:G3714)=0,"",IF(A3714="","N° facture manquant",IF(ISNA(MATCH(A3714,fa_num,0)),"Facture inconnue",IF(AND(B3714&lt;&gt;"",ISNA(MATCH(B3714,pr_code,0))),"Article inconnu",IF(H3714="","Désignation manquante",IF(OR(NOT(ISNUMBER(D3714)),N(D3714)&lt;=0),"Quantité invalide",IF(J3714="","Prix manquant",IF(OR(NOT(ISNUMBER(J3714)),N(J3714)&lt;0),"Prix invalide",IF(OR(AND(F3714&lt;&gt;"",NOT(ISNUMBER(F3714))),N(F3714)&lt;0,N(F3714)&gt;1),"Remise invalide",IF(K3714="","Taux de TVA manquant",IF(NOT(ISNUMBER(K3714)),"Taux de TVA invalide",IF(COUNTIF(p_rates,K3714)=0,"Taux de TVA hors liste (Paramètres)",IF(N(O3714)&gt;25,"Au-delà de 25 lignes : non imprimée","OK")))))))))))))</f>
        <v/>
      </c>
      <c r="O3714" s="59" t="str">
        <f>IF(A3714="","",COUNTIF($A$6:A3714,A3714))</f>
        <v/>
      </c>
      <c r="P3714" s="62" t="str">
        <f>IF(A3714="","",A3714&amp;"|"&amp;O3714)</f>
        <v/>
      </c>
    </row>
    <row r="3715">
      <c r="A3715" s="60" t="n"/>
      <c r="B3715" s="63" t="n"/>
      <c r="C3715" s="63" t="n"/>
      <c r="D3715" s="67" t="n"/>
      <c r="E3715" s="68" t="n"/>
      <c r="F3715" s="69" t="n"/>
      <c r="G3715" s="70" t="n"/>
      <c r="H3715" s="62" t="str">
        <f>IF(COUNTA(A3715:G3715)=0,"",IF(C3715&lt;&gt;"",C3715,IF(B3715="","",IFERROR(INDEX(pr_des,MATCH(B3715,pr_code,0))&amp;"",""))))</f>
        <v/>
      </c>
      <c r="I3715" s="59" t="str">
        <f>IF(B3715="","",IFERROR(INDEX(pr_unit,MATCH(B3715,pr_code,0))&amp;"",""))</f>
        <v/>
      </c>
      <c r="J3715" s="65" t="str">
        <f>IF(COUNTA(A3715:G3715)=0,"",IF(E3715&lt;&gt;"",E3715,IF(B3715="","",IFERROR(IF(INDEX(pr_price,MATCH(B3715,pr_code,0))="","",INDEX(pr_price,MATCH(B3715,pr_code,0))),""))))</f>
        <v/>
      </c>
      <c r="K3715" s="71" t="str">
        <f>IF(COUNTA(A3715:G3715)=0,"",IF(G3715&lt;&gt;"",G3715,IF(B3715="","",IFERROR(IF(INDEX(pr_rate,MATCH(B3715,pr_code,0))="","",INDEX(pr_rate,MATCH(B3715,pr_code,0))),""))))</f>
        <v/>
      </c>
      <c r="L3715" s="65" t="str">
        <f>IF(COUNTA(A3715:G3715)=0,"",IF(AND(ISNUMBER(D3715),ISNUMBER(J3715)),ROUND(D3715*J3715*(1-N(F3715)),2),0))</f>
        <v/>
      </c>
      <c r="M3715" s="62" t="str">
        <f>IF(A3715="","",IFERROR(INDEX(fa_cname,MATCH(A3715,fa_num,0))&amp;"",""))</f>
        <v/>
      </c>
      <c r="N3715" s="59" t="str">
        <f>IF(COUNTA(A3715:G3715)=0,"",IF(A3715="","N° facture manquant",IF(ISNA(MATCH(A3715,fa_num,0)),"Facture inconnue",IF(AND(B3715&lt;&gt;"",ISNA(MATCH(B3715,pr_code,0))),"Article inconnu",IF(H3715="","Désignation manquante",IF(OR(NOT(ISNUMBER(D3715)),N(D3715)&lt;=0),"Quantité invalide",IF(J3715="","Prix manquant",IF(OR(NOT(ISNUMBER(J3715)),N(J3715)&lt;0),"Prix invalide",IF(OR(AND(F3715&lt;&gt;"",NOT(ISNUMBER(F3715))),N(F3715)&lt;0,N(F3715)&gt;1),"Remise invalide",IF(K3715="","Taux de TVA manquant",IF(NOT(ISNUMBER(K3715)),"Taux de TVA invalide",IF(COUNTIF(p_rates,K3715)=0,"Taux de TVA hors liste (Paramètres)",IF(N(O3715)&gt;25,"Au-delà de 25 lignes : non imprimée","OK")))))))))))))</f>
        <v/>
      </c>
      <c r="O3715" s="59" t="str">
        <f>IF(A3715="","",COUNTIF($A$6:A3715,A3715))</f>
        <v/>
      </c>
      <c r="P3715" s="62" t="str">
        <f>IF(A3715="","",A3715&amp;"|"&amp;O3715)</f>
        <v/>
      </c>
    </row>
    <row r="3716">
      <c r="A3716" s="60" t="n"/>
      <c r="B3716" s="63" t="n"/>
      <c r="C3716" s="63" t="n"/>
      <c r="D3716" s="67" t="n"/>
      <c r="E3716" s="68" t="n"/>
      <c r="F3716" s="69" t="n"/>
      <c r="G3716" s="70" t="n"/>
      <c r="H3716" s="62" t="str">
        <f>IF(COUNTA(A3716:G3716)=0,"",IF(C3716&lt;&gt;"",C3716,IF(B3716="","",IFERROR(INDEX(pr_des,MATCH(B3716,pr_code,0))&amp;"",""))))</f>
        <v/>
      </c>
      <c r="I3716" s="59" t="str">
        <f>IF(B3716="","",IFERROR(INDEX(pr_unit,MATCH(B3716,pr_code,0))&amp;"",""))</f>
        <v/>
      </c>
      <c r="J3716" s="65" t="str">
        <f>IF(COUNTA(A3716:G3716)=0,"",IF(E3716&lt;&gt;"",E3716,IF(B3716="","",IFERROR(IF(INDEX(pr_price,MATCH(B3716,pr_code,0))="","",INDEX(pr_price,MATCH(B3716,pr_code,0))),""))))</f>
        <v/>
      </c>
      <c r="K3716" s="71" t="str">
        <f>IF(COUNTA(A3716:G3716)=0,"",IF(G3716&lt;&gt;"",G3716,IF(B3716="","",IFERROR(IF(INDEX(pr_rate,MATCH(B3716,pr_code,0))="","",INDEX(pr_rate,MATCH(B3716,pr_code,0))),""))))</f>
        <v/>
      </c>
      <c r="L3716" s="65" t="str">
        <f>IF(COUNTA(A3716:G3716)=0,"",IF(AND(ISNUMBER(D3716),ISNUMBER(J3716)),ROUND(D3716*J3716*(1-N(F3716)),2),0))</f>
        <v/>
      </c>
      <c r="M3716" s="62" t="str">
        <f>IF(A3716="","",IFERROR(INDEX(fa_cname,MATCH(A3716,fa_num,0))&amp;"",""))</f>
        <v/>
      </c>
      <c r="N3716" s="59" t="str">
        <f>IF(COUNTA(A3716:G3716)=0,"",IF(A3716="","N° facture manquant",IF(ISNA(MATCH(A3716,fa_num,0)),"Facture inconnue",IF(AND(B3716&lt;&gt;"",ISNA(MATCH(B3716,pr_code,0))),"Article inconnu",IF(H3716="","Désignation manquante",IF(OR(NOT(ISNUMBER(D3716)),N(D3716)&lt;=0),"Quantité invalide",IF(J3716="","Prix manquant",IF(OR(NOT(ISNUMBER(J3716)),N(J3716)&lt;0),"Prix invalide",IF(OR(AND(F3716&lt;&gt;"",NOT(ISNUMBER(F3716))),N(F3716)&lt;0,N(F3716)&gt;1),"Remise invalide",IF(K3716="","Taux de TVA manquant",IF(NOT(ISNUMBER(K3716)),"Taux de TVA invalide",IF(COUNTIF(p_rates,K3716)=0,"Taux de TVA hors liste (Paramètres)",IF(N(O3716)&gt;25,"Au-delà de 25 lignes : non imprimée","OK")))))))))))))</f>
        <v/>
      </c>
      <c r="O3716" s="59" t="str">
        <f>IF(A3716="","",COUNTIF($A$6:A3716,A3716))</f>
        <v/>
      </c>
      <c r="P3716" s="62" t="str">
        <f>IF(A3716="","",A3716&amp;"|"&amp;O3716)</f>
        <v/>
      </c>
    </row>
    <row r="3717">
      <c r="A3717" s="60" t="n"/>
      <c r="B3717" s="63" t="n"/>
      <c r="C3717" s="63" t="n"/>
      <c r="D3717" s="67" t="n"/>
      <c r="E3717" s="68" t="n"/>
      <c r="F3717" s="69" t="n"/>
      <c r="G3717" s="70" t="n"/>
      <c r="H3717" s="62" t="str">
        <f>IF(COUNTA(A3717:G3717)=0,"",IF(C3717&lt;&gt;"",C3717,IF(B3717="","",IFERROR(INDEX(pr_des,MATCH(B3717,pr_code,0))&amp;"",""))))</f>
        <v/>
      </c>
      <c r="I3717" s="59" t="str">
        <f>IF(B3717="","",IFERROR(INDEX(pr_unit,MATCH(B3717,pr_code,0))&amp;"",""))</f>
        <v/>
      </c>
      <c r="J3717" s="65" t="str">
        <f>IF(COUNTA(A3717:G3717)=0,"",IF(E3717&lt;&gt;"",E3717,IF(B3717="","",IFERROR(IF(INDEX(pr_price,MATCH(B3717,pr_code,0))="","",INDEX(pr_price,MATCH(B3717,pr_code,0))),""))))</f>
        <v/>
      </c>
      <c r="K3717" s="71" t="str">
        <f>IF(COUNTA(A3717:G3717)=0,"",IF(G3717&lt;&gt;"",G3717,IF(B3717="","",IFERROR(IF(INDEX(pr_rate,MATCH(B3717,pr_code,0))="","",INDEX(pr_rate,MATCH(B3717,pr_code,0))),""))))</f>
        <v/>
      </c>
      <c r="L3717" s="65" t="str">
        <f>IF(COUNTA(A3717:G3717)=0,"",IF(AND(ISNUMBER(D3717),ISNUMBER(J3717)),ROUND(D3717*J3717*(1-N(F3717)),2),0))</f>
        <v/>
      </c>
      <c r="M3717" s="62" t="str">
        <f>IF(A3717="","",IFERROR(INDEX(fa_cname,MATCH(A3717,fa_num,0))&amp;"",""))</f>
        <v/>
      </c>
      <c r="N3717" s="59" t="str">
        <f>IF(COUNTA(A3717:G3717)=0,"",IF(A3717="","N° facture manquant",IF(ISNA(MATCH(A3717,fa_num,0)),"Facture inconnue",IF(AND(B3717&lt;&gt;"",ISNA(MATCH(B3717,pr_code,0))),"Article inconnu",IF(H3717="","Désignation manquante",IF(OR(NOT(ISNUMBER(D3717)),N(D3717)&lt;=0),"Quantité invalide",IF(J3717="","Prix manquant",IF(OR(NOT(ISNUMBER(J3717)),N(J3717)&lt;0),"Prix invalide",IF(OR(AND(F3717&lt;&gt;"",NOT(ISNUMBER(F3717))),N(F3717)&lt;0,N(F3717)&gt;1),"Remise invalide",IF(K3717="","Taux de TVA manquant",IF(NOT(ISNUMBER(K3717)),"Taux de TVA invalide",IF(COUNTIF(p_rates,K3717)=0,"Taux de TVA hors liste (Paramètres)",IF(N(O3717)&gt;25,"Au-delà de 25 lignes : non imprimée","OK")))))))))))))</f>
        <v/>
      </c>
      <c r="O3717" s="59" t="str">
        <f>IF(A3717="","",COUNTIF($A$6:A3717,A3717))</f>
        <v/>
      </c>
      <c r="P3717" s="62" t="str">
        <f>IF(A3717="","",A3717&amp;"|"&amp;O3717)</f>
        <v/>
      </c>
    </row>
    <row r="3718">
      <c r="A3718" s="60" t="n"/>
      <c r="B3718" s="63" t="n"/>
      <c r="C3718" s="63" t="n"/>
      <c r="D3718" s="67" t="n"/>
      <c r="E3718" s="68" t="n"/>
      <c r="F3718" s="69" t="n"/>
      <c r="G3718" s="70" t="n"/>
      <c r="H3718" s="62" t="str">
        <f>IF(COUNTA(A3718:G3718)=0,"",IF(C3718&lt;&gt;"",C3718,IF(B3718="","",IFERROR(INDEX(pr_des,MATCH(B3718,pr_code,0))&amp;"",""))))</f>
        <v/>
      </c>
      <c r="I3718" s="59" t="str">
        <f>IF(B3718="","",IFERROR(INDEX(pr_unit,MATCH(B3718,pr_code,0))&amp;"",""))</f>
        <v/>
      </c>
      <c r="J3718" s="65" t="str">
        <f>IF(COUNTA(A3718:G3718)=0,"",IF(E3718&lt;&gt;"",E3718,IF(B3718="","",IFERROR(IF(INDEX(pr_price,MATCH(B3718,pr_code,0))="","",INDEX(pr_price,MATCH(B3718,pr_code,0))),""))))</f>
        <v/>
      </c>
      <c r="K3718" s="71" t="str">
        <f>IF(COUNTA(A3718:G3718)=0,"",IF(G3718&lt;&gt;"",G3718,IF(B3718="","",IFERROR(IF(INDEX(pr_rate,MATCH(B3718,pr_code,0))="","",INDEX(pr_rate,MATCH(B3718,pr_code,0))),""))))</f>
        <v/>
      </c>
      <c r="L3718" s="65" t="str">
        <f>IF(COUNTA(A3718:G3718)=0,"",IF(AND(ISNUMBER(D3718),ISNUMBER(J3718)),ROUND(D3718*J3718*(1-N(F3718)),2),0))</f>
        <v/>
      </c>
      <c r="M3718" s="62" t="str">
        <f>IF(A3718="","",IFERROR(INDEX(fa_cname,MATCH(A3718,fa_num,0))&amp;"",""))</f>
        <v/>
      </c>
      <c r="N3718" s="59" t="str">
        <f>IF(COUNTA(A3718:G3718)=0,"",IF(A3718="","N° facture manquant",IF(ISNA(MATCH(A3718,fa_num,0)),"Facture inconnue",IF(AND(B3718&lt;&gt;"",ISNA(MATCH(B3718,pr_code,0))),"Article inconnu",IF(H3718="","Désignation manquante",IF(OR(NOT(ISNUMBER(D3718)),N(D3718)&lt;=0),"Quantité invalide",IF(J3718="","Prix manquant",IF(OR(NOT(ISNUMBER(J3718)),N(J3718)&lt;0),"Prix invalide",IF(OR(AND(F3718&lt;&gt;"",NOT(ISNUMBER(F3718))),N(F3718)&lt;0,N(F3718)&gt;1),"Remise invalide",IF(K3718="","Taux de TVA manquant",IF(NOT(ISNUMBER(K3718)),"Taux de TVA invalide",IF(COUNTIF(p_rates,K3718)=0,"Taux de TVA hors liste (Paramètres)",IF(N(O3718)&gt;25,"Au-delà de 25 lignes : non imprimée","OK")))))))))))))</f>
        <v/>
      </c>
      <c r="O3718" s="59" t="str">
        <f>IF(A3718="","",COUNTIF($A$6:A3718,A3718))</f>
        <v/>
      </c>
      <c r="P3718" s="62" t="str">
        <f>IF(A3718="","",A3718&amp;"|"&amp;O3718)</f>
        <v/>
      </c>
    </row>
    <row r="3719">
      <c r="A3719" s="60" t="n"/>
      <c r="B3719" s="63" t="n"/>
      <c r="C3719" s="63" t="n"/>
      <c r="D3719" s="67" t="n"/>
      <c r="E3719" s="68" t="n"/>
      <c r="F3719" s="69" t="n"/>
      <c r="G3719" s="70" t="n"/>
      <c r="H3719" s="62" t="str">
        <f>IF(COUNTA(A3719:G3719)=0,"",IF(C3719&lt;&gt;"",C3719,IF(B3719="","",IFERROR(INDEX(pr_des,MATCH(B3719,pr_code,0))&amp;"",""))))</f>
        <v/>
      </c>
      <c r="I3719" s="59" t="str">
        <f>IF(B3719="","",IFERROR(INDEX(pr_unit,MATCH(B3719,pr_code,0))&amp;"",""))</f>
        <v/>
      </c>
      <c r="J3719" s="65" t="str">
        <f>IF(COUNTA(A3719:G3719)=0,"",IF(E3719&lt;&gt;"",E3719,IF(B3719="","",IFERROR(IF(INDEX(pr_price,MATCH(B3719,pr_code,0))="","",INDEX(pr_price,MATCH(B3719,pr_code,0))),""))))</f>
        <v/>
      </c>
      <c r="K3719" s="71" t="str">
        <f>IF(COUNTA(A3719:G3719)=0,"",IF(G3719&lt;&gt;"",G3719,IF(B3719="","",IFERROR(IF(INDEX(pr_rate,MATCH(B3719,pr_code,0))="","",INDEX(pr_rate,MATCH(B3719,pr_code,0))),""))))</f>
        <v/>
      </c>
      <c r="L3719" s="65" t="str">
        <f>IF(COUNTA(A3719:G3719)=0,"",IF(AND(ISNUMBER(D3719),ISNUMBER(J3719)),ROUND(D3719*J3719*(1-N(F3719)),2),0))</f>
        <v/>
      </c>
      <c r="M3719" s="62" t="str">
        <f>IF(A3719="","",IFERROR(INDEX(fa_cname,MATCH(A3719,fa_num,0))&amp;"",""))</f>
        <v/>
      </c>
      <c r="N3719" s="59" t="str">
        <f>IF(COUNTA(A3719:G3719)=0,"",IF(A3719="","N° facture manquant",IF(ISNA(MATCH(A3719,fa_num,0)),"Facture inconnue",IF(AND(B3719&lt;&gt;"",ISNA(MATCH(B3719,pr_code,0))),"Article inconnu",IF(H3719="","Désignation manquante",IF(OR(NOT(ISNUMBER(D3719)),N(D3719)&lt;=0),"Quantité invalide",IF(J3719="","Prix manquant",IF(OR(NOT(ISNUMBER(J3719)),N(J3719)&lt;0),"Prix invalide",IF(OR(AND(F3719&lt;&gt;"",NOT(ISNUMBER(F3719))),N(F3719)&lt;0,N(F3719)&gt;1),"Remise invalide",IF(K3719="","Taux de TVA manquant",IF(NOT(ISNUMBER(K3719)),"Taux de TVA invalide",IF(COUNTIF(p_rates,K3719)=0,"Taux de TVA hors liste (Paramètres)",IF(N(O3719)&gt;25,"Au-delà de 25 lignes : non imprimée","OK")))))))))))))</f>
        <v/>
      </c>
      <c r="O3719" s="59" t="str">
        <f>IF(A3719="","",COUNTIF($A$6:A3719,A3719))</f>
        <v/>
      </c>
      <c r="P3719" s="62" t="str">
        <f>IF(A3719="","",A3719&amp;"|"&amp;O3719)</f>
        <v/>
      </c>
    </row>
    <row r="3720">
      <c r="A3720" s="60" t="n"/>
      <c r="B3720" s="63" t="n"/>
      <c r="C3720" s="63" t="n"/>
      <c r="D3720" s="67" t="n"/>
      <c r="E3720" s="68" t="n"/>
      <c r="F3720" s="69" t="n"/>
      <c r="G3720" s="70" t="n"/>
      <c r="H3720" s="62" t="str">
        <f>IF(COUNTA(A3720:G3720)=0,"",IF(C3720&lt;&gt;"",C3720,IF(B3720="","",IFERROR(INDEX(pr_des,MATCH(B3720,pr_code,0))&amp;"",""))))</f>
        <v/>
      </c>
      <c r="I3720" s="59" t="str">
        <f>IF(B3720="","",IFERROR(INDEX(pr_unit,MATCH(B3720,pr_code,0))&amp;"",""))</f>
        <v/>
      </c>
      <c r="J3720" s="65" t="str">
        <f>IF(COUNTA(A3720:G3720)=0,"",IF(E3720&lt;&gt;"",E3720,IF(B3720="","",IFERROR(IF(INDEX(pr_price,MATCH(B3720,pr_code,0))="","",INDEX(pr_price,MATCH(B3720,pr_code,0))),""))))</f>
        <v/>
      </c>
      <c r="K3720" s="71" t="str">
        <f>IF(COUNTA(A3720:G3720)=0,"",IF(G3720&lt;&gt;"",G3720,IF(B3720="","",IFERROR(IF(INDEX(pr_rate,MATCH(B3720,pr_code,0))="","",INDEX(pr_rate,MATCH(B3720,pr_code,0))),""))))</f>
        <v/>
      </c>
      <c r="L3720" s="65" t="str">
        <f>IF(COUNTA(A3720:G3720)=0,"",IF(AND(ISNUMBER(D3720),ISNUMBER(J3720)),ROUND(D3720*J3720*(1-N(F3720)),2),0))</f>
        <v/>
      </c>
      <c r="M3720" s="62" t="str">
        <f>IF(A3720="","",IFERROR(INDEX(fa_cname,MATCH(A3720,fa_num,0))&amp;"",""))</f>
        <v/>
      </c>
      <c r="N3720" s="59" t="str">
        <f>IF(COUNTA(A3720:G3720)=0,"",IF(A3720="","N° facture manquant",IF(ISNA(MATCH(A3720,fa_num,0)),"Facture inconnue",IF(AND(B3720&lt;&gt;"",ISNA(MATCH(B3720,pr_code,0))),"Article inconnu",IF(H3720="","Désignation manquante",IF(OR(NOT(ISNUMBER(D3720)),N(D3720)&lt;=0),"Quantité invalide",IF(J3720="","Prix manquant",IF(OR(NOT(ISNUMBER(J3720)),N(J3720)&lt;0),"Prix invalide",IF(OR(AND(F3720&lt;&gt;"",NOT(ISNUMBER(F3720))),N(F3720)&lt;0,N(F3720)&gt;1),"Remise invalide",IF(K3720="","Taux de TVA manquant",IF(NOT(ISNUMBER(K3720)),"Taux de TVA invalide",IF(COUNTIF(p_rates,K3720)=0,"Taux de TVA hors liste (Paramètres)",IF(N(O3720)&gt;25,"Au-delà de 25 lignes : non imprimée","OK")))))))))))))</f>
        <v/>
      </c>
      <c r="O3720" s="59" t="str">
        <f>IF(A3720="","",COUNTIF($A$6:A3720,A3720))</f>
        <v/>
      </c>
      <c r="P3720" s="62" t="str">
        <f>IF(A3720="","",A3720&amp;"|"&amp;O3720)</f>
        <v/>
      </c>
    </row>
    <row r="3721">
      <c r="A3721" s="60" t="n"/>
      <c r="B3721" s="63" t="n"/>
      <c r="C3721" s="63" t="n"/>
      <c r="D3721" s="67" t="n"/>
      <c r="E3721" s="68" t="n"/>
      <c r="F3721" s="69" t="n"/>
      <c r="G3721" s="70" t="n"/>
      <c r="H3721" s="62" t="str">
        <f>IF(COUNTA(A3721:G3721)=0,"",IF(C3721&lt;&gt;"",C3721,IF(B3721="","",IFERROR(INDEX(pr_des,MATCH(B3721,pr_code,0))&amp;"",""))))</f>
        <v/>
      </c>
      <c r="I3721" s="59" t="str">
        <f>IF(B3721="","",IFERROR(INDEX(pr_unit,MATCH(B3721,pr_code,0))&amp;"",""))</f>
        <v/>
      </c>
      <c r="J3721" s="65" t="str">
        <f>IF(COUNTA(A3721:G3721)=0,"",IF(E3721&lt;&gt;"",E3721,IF(B3721="","",IFERROR(IF(INDEX(pr_price,MATCH(B3721,pr_code,0))="","",INDEX(pr_price,MATCH(B3721,pr_code,0))),""))))</f>
        <v/>
      </c>
      <c r="K3721" s="71" t="str">
        <f>IF(COUNTA(A3721:G3721)=0,"",IF(G3721&lt;&gt;"",G3721,IF(B3721="","",IFERROR(IF(INDEX(pr_rate,MATCH(B3721,pr_code,0))="","",INDEX(pr_rate,MATCH(B3721,pr_code,0))),""))))</f>
        <v/>
      </c>
      <c r="L3721" s="65" t="str">
        <f>IF(COUNTA(A3721:G3721)=0,"",IF(AND(ISNUMBER(D3721),ISNUMBER(J3721)),ROUND(D3721*J3721*(1-N(F3721)),2),0))</f>
        <v/>
      </c>
      <c r="M3721" s="62" t="str">
        <f>IF(A3721="","",IFERROR(INDEX(fa_cname,MATCH(A3721,fa_num,0))&amp;"",""))</f>
        <v/>
      </c>
      <c r="N3721" s="59" t="str">
        <f>IF(COUNTA(A3721:G3721)=0,"",IF(A3721="","N° facture manquant",IF(ISNA(MATCH(A3721,fa_num,0)),"Facture inconnue",IF(AND(B3721&lt;&gt;"",ISNA(MATCH(B3721,pr_code,0))),"Article inconnu",IF(H3721="","Désignation manquante",IF(OR(NOT(ISNUMBER(D3721)),N(D3721)&lt;=0),"Quantité invalide",IF(J3721="","Prix manquant",IF(OR(NOT(ISNUMBER(J3721)),N(J3721)&lt;0),"Prix invalide",IF(OR(AND(F3721&lt;&gt;"",NOT(ISNUMBER(F3721))),N(F3721)&lt;0,N(F3721)&gt;1),"Remise invalide",IF(K3721="","Taux de TVA manquant",IF(NOT(ISNUMBER(K3721)),"Taux de TVA invalide",IF(COUNTIF(p_rates,K3721)=0,"Taux de TVA hors liste (Paramètres)",IF(N(O3721)&gt;25,"Au-delà de 25 lignes : non imprimée","OK")))))))))))))</f>
        <v/>
      </c>
      <c r="O3721" s="59" t="str">
        <f>IF(A3721="","",COUNTIF($A$6:A3721,A3721))</f>
        <v/>
      </c>
      <c r="P3721" s="62" t="str">
        <f>IF(A3721="","",A3721&amp;"|"&amp;O3721)</f>
        <v/>
      </c>
    </row>
    <row r="3722">
      <c r="A3722" s="60" t="n"/>
      <c r="B3722" s="63" t="n"/>
      <c r="C3722" s="63" t="n"/>
      <c r="D3722" s="67" t="n"/>
      <c r="E3722" s="68" t="n"/>
      <c r="F3722" s="69" t="n"/>
      <c r="G3722" s="70" t="n"/>
      <c r="H3722" s="62" t="str">
        <f>IF(COUNTA(A3722:G3722)=0,"",IF(C3722&lt;&gt;"",C3722,IF(B3722="","",IFERROR(INDEX(pr_des,MATCH(B3722,pr_code,0))&amp;"",""))))</f>
        <v/>
      </c>
      <c r="I3722" s="59" t="str">
        <f>IF(B3722="","",IFERROR(INDEX(pr_unit,MATCH(B3722,pr_code,0))&amp;"",""))</f>
        <v/>
      </c>
      <c r="J3722" s="65" t="str">
        <f>IF(COUNTA(A3722:G3722)=0,"",IF(E3722&lt;&gt;"",E3722,IF(B3722="","",IFERROR(IF(INDEX(pr_price,MATCH(B3722,pr_code,0))="","",INDEX(pr_price,MATCH(B3722,pr_code,0))),""))))</f>
        <v/>
      </c>
      <c r="K3722" s="71" t="str">
        <f>IF(COUNTA(A3722:G3722)=0,"",IF(G3722&lt;&gt;"",G3722,IF(B3722="","",IFERROR(IF(INDEX(pr_rate,MATCH(B3722,pr_code,0))="","",INDEX(pr_rate,MATCH(B3722,pr_code,0))),""))))</f>
        <v/>
      </c>
      <c r="L3722" s="65" t="str">
        <f>IF(COUNTA(A3722:G3722)=0,"",IF(AND(ISNUMBER(D3722),ISNUMBER(J3722)),ROUND(D3722*J3722*(1-N(F3722)),2),0))</f>
        <v/>
      </c>
      <c r="M3722" s="62" t="str">
        <f>IF(A3722="","",IFERROR(INDEX(fa_cname,MATCH(A3722,fa_num,0))&amp;"",""))</f>
        <v/>
      </c>
      <c r="N3722" s="59" t="str">
        <f>IF(COUNTA(A3722:G3722)=0,"",IF(A3722="","N° facture manquant",IF(ISNA(MATCH(A3722,fa_num,0)),"Facture inconnue",IF(AND(B3722&lt;&gt;"",ISNA(MATCH(B3722,pr_code,0))),"Article inconnu",IF(H3722="","Désignation manquante",IF(OR(NOT(ISNUMBER(D3722)),N(D3722)&lt;=0),"Quantité invalide",IF(J3722="","Prix manquant",IF(OR(NOT(ISNUMBER(J3722)),N(J3722)&lt;0),"Prix invalide",IF(OR(AND(F3722&lt;&gt;"",NOT(ISNUMBER(F3722))),N(F3722)&lt;0,N(F3722)&gt;1),"Remise invalide",IF(K3722="","Taux de TVA manquant",IF(NOT(ISNUMBER(K3722)),"Taux de TVA invalide",IF(COUNTIF(p_rates,K3722)=0,"Taux de TVA hors liste (Paramètres)",IF(N(O3722)&gt;25,"Au-delà de 25 lignes : non imprimée","OK")))))))))))))</f>
        <v/>
      </c>
      <c r="O3722" s="59" t="str">
        <f>IF(A3722="","",COUNTIF($A$6:A3722,A3722))</f>
        <v/>
      </c>
      <c r="P3722" s="62" t="str">
        <f>IF(A3722="","",A3722&amp;"|"&amp;O3722)</f>
        <v/>
      </c>
    </row>
    <row r="3723">
      <c r="A3723" s="60" t="n"/>
      <c r="B3723" s="63" t="n"/>
      <c r="C3723" s="63" t="n"/>
      <c r="D3723" s="67" t="n"/>
      <c r="E3723" s="68" t="n"/>
      <c r="F3723" s="69" t="n"/>
      <c r="G3723" s="70" t="n"/>
      <c r="H3723" s="62" t="str">
        <f>IF(COUNTA(A3723:G3723)=0,"",IF(C3723&lt;&gt;"",C3723,IF(B3723="","",IFERROR(INDEX(pr_des,MATCH(B3723,pr_code,0))&amp;"",""))))</f>
        <v/>
      </c>
      <c r="I3723" s="59" t="str">
        <f>IF(B3723="","",IFERROR(INDEX(pr_unit,MATCH(B3723,pr_code,0))&amp;"",""))</f>
        <v/>
      </c>
      <c r="J3723" s="65" t="str">
        <f>IF(COUNTA(A3723:G3723)=0,"",IF(E3723&lt;&gt;"",E3723,IF(B3723="","",IFERROR(IF(INDEX(pr_price,MATCH(B3723,pr_code,0))="","",INDEX(pr_price,MATCH(B3723,pr_code,0))),""))))</f>
        <v/>
      </c>
      <c r="K3723" s="71" t="str">
        <f>IF(COUNTA(A3723:G3723)=0,"",IF(G3723&lt;&gt;"",G3723,IF(B3723="","",IFERROR(IF(INDEX(pr_rate,MATCH(B3723,pr_code,0))="","",INDEX(pr_rate,MATCH(B3723,pr_code,0))),""))))</f>
        <v/>
      </c>
      <c r="L3723" s="65" t="str">
        <f>IF(COUNTA(A3723:G3723)=0,"",IF(AND(ISNUMBER(D3723),ISNUMBER(J3723)),ROUND(D3723*J3723*(1-N(F3723)),2),0))</f>
        <v/>
      </c>
      <c r="M3723" s="62" t="str">
        <f>IF(A3723="","",IFERROR(INDEX(fa_cname,MATCH(A3723,fa_num,0))&amp;"",""))</f>
        <v/>
      </c>
      <c r="N3723" s="59" t="str">
        <f>IF(COUNTA(A3723:G3723)=0,"",IF(A3723="","N° facture manquant",IF(ISNA(MATCH(A3723,fa_num,0)),"Facture inconnue",IF(AND(B3723&lt;&gt;"",ISNA(MATCH(B3723,pr_code,0))),"Article inconnu",IF(H3723="","Désignation manquante",IF(OR(NOT(ISNUMBER(D3723)),N(D3723)&lt;=0),"Quantité invalide",IF(J3723="","Prix manquant",IF(OR(NOT(ISNUMBER(J3723)),N(J3723)&lt;0),"Prix invalide",IF(OR(AND(F3723&lt;&gt;"",NOT(ISNUMBER(F3723))),N(F3723)&lt;0,N(F3723)&gt;1),"Remise invalide",IF(K3723="","Taux de TVA manquant",IF(NOT(ISNUMBER(K3723)),"Taux de TVA invalide",IF(COUNTIF(p_rates,K3723)=0,"Taux de TVA hors liste (Paramètres)",IF(N(O3723)&gt;25,"Au-delà de 25 lignes : non imprimée","OK")))))))))))))</f>
        <v/>
      </c>
      <c r="O3723" s="59" t="str">
        <f>IF(A3723="","",COUNTIF($A$6:A3723,A3723))</f>
        <v/>
      </c>
      <c r="P3723" s="62" t="str">
        <f>IF(A3723="","",A3723&amp;"|"&amp;O3723)</f>
        <v/>
      </c>
    </row>
    <row r="3724">
      <c r="A3724" s="60" t="n"/>
      <c r="B3724" s="63" t="n"/>
      <c r="C3724" s="63" t="n"/>
      <c r="D3724" s="67" t="n"/>
      <c r="E3724" s="68" t="n"/>
      <c r="F3724" s="69" t="n"/>
      <c r="G3724" s="70" t="n"/>
      <c r="H3724" s="62" t="str">
        <f>IF(COUNTA(A3724:G3724)=0,"",IF(C3724&lt;&gt;"",C3724,IF(B3724="","",IFERROR(INDEX(pr_des,MATCH(B3724,pr_code,0))&amp;"",""))))</f>
        <v/>
      </c>
      <c r="I3724" s="59" t="str">
        <f>IF(B3724="","",IFERROR(INDEX(pr_unit,MATCH(B3724,pr_code,0))&amp;"",""))</f>
        <v/>
      </c>
      <c r="J3724" s="65" t="str">
        <f>IF(COUNTA(A3724:G3724)=0,"",IF(E3724&lt;&gt;"",E3724,IF(B3724="","",IFERROR(IF(INDEX(pr_price,MATCH(B3724,pr_code,0))="","",INDEX(pr_price,MATCH(B3724,pr_code,0))),""))))</f>
        <v/>
      </c>
      <c r="K3724" s="71" t="str">
        <f>IF(COUNTA(A3724:G3724)=0,"",IF(G3724&lt;&gt;"",G3724,IF(B3724="","",IFERROR(IF(INDEX(pr_rate,MATCH(B3724,pr_code,0))="","",INDEX(pr_rate,MATCH(B3724,pr_code,0))),""))))</f>
        <v/>
      </c>
      <c r="L3724" s="65" t="str">
        <f>IF(COUNTA(A3724:G3724)=0,"",IF(AND(ISNUMBER(D3724),ISNUMBER(J3724)),ROUND(D3724*J3724*(1-N(F3724)),2),0))</f>
        <v/>
      </c>
      <c r="M3724" s="62" t="str">
        <f>IF(A3724="","",IFERROR(INDEX(fa_cname,MATCH(A3724,fa_num,0))&amp;"",""))</f>
        <v/>
      </c>
      <c r="N3724" s="59" t="str">
        <f>IF(COUNTA(A3724:G3724)=0,"",IF(A3724="","N° facture manquant",IF(ISNA(MATCH(A3724,fa_num,0)),"Facture inconnue",IF(AND(B3724&lt;&gt;"",ISNA(MATCH(B3724,pr_code,0))),"Article inconnu",IF(H3724="","Désignation manquante",IF(OR(NOT(ISNUMBER(D3724)),N(D3724)&lt;=0),"Quantité invalide",IF(J3724="","Prix manquant",IF(OR(NOT(ISNUMBER(J3724)),N(J3724)&lt;0),"Prix invalide",IF(OR(AND(F3724&lt;&gt;"",NOT(ISNUMBER(F3724))),N(F3724)&lt;0,N(F3724)&gt;1),"Remise invalide",IF(K3724="","Taux de TVA manquant",IF(NOT(ISNUMBER(K3724)),"Taux de TVA invalide",IF(COUNTIF(p_rates,K3724)=0,"Taux de TVA hors liste (Paramètres)",IF(N(O3724)&gt;25,"Au-delà de 25 lignes : non imprimée","OK")))))))))))))</f>
        <v/>
      </c>
      <c r="O3724" s="59" t="str">
        <f>IF(A3724="","",COUNTIF($A$6:A3724,A3724))</f>
        <v/>
      </c>
      <c r="P3724" s="62" t="str">
        <f>IF(A3724="","",A3724&amp;"|"&amp;O3724)</f>
        <v/>
      </c>
    </row>
    <row r="3725">
      <c r="A3725" s="60" t="n"/>
      <c r="B3725" s="63" t="n"/>
      <c r="C3725" s="63" t="n"/>
      <c r="D3725" s="67" t="n"/>
      <c r="E3725" s="68" t="n"/>
      <c r="F3725" s="69" t="n"/>
      <c r="G3725" s="70" t="n"/>
      <c r="H3725" s="62" t="str">
        <f>IF(COUNTA(A3725:G3725)=0,"",IF(C3725&lt;&gt;"",C3725,IF(B3725="","",IFERROR(INDEX(pr_des,MATCH(B3725,pr_code,0))&amp;"",""))))</f>
        <v/>
      </c>
      <c r="I3725" s="59" t="str">
        <f>IF(B3725="","",IFERROR(INDEX(pr_unit,MATCH(B3725,pr_code,0))&amp;"",""))</f>
        <v/>
      </c>
      <c r="J3725" s="65" t="str">
        <f>IF(COUNTA(A3725:G3725)=0,"",IF(E3725&lt;&gt;"",E3725,IF(B3725="","",IFERROR(IF(INDEX(pr_price,MATCH(B3725,pr_code,0))="","",INDEX(pr_price,MATCH(B3725,pr_code,0))),""))))</f>
        <v/>
      </c>
      <c r="K3725" s="71" t="str">
        <f>IF(COUNTA(A3725:G3725)=0,"",IF(G3725&lt;&gt;"",G3725,IF(B3725="","",IFERROR(IF(INDEX(pr_rate,MATCH(B3725,pr_code,0))="","",INDEX(pr_rate,MATCH(B3725,pr_code,0))),""))))</f>
        <v/>
      </c>
      <c r="L3725" s="65" t="str">
        <f>IF(COUNTA(A3725:G3725)=0,"",IF(AND(ISNUMBER(D3725),ISNUMBER(J3725)),ROUND(D3725*J3725*(1-N(F3725)),2),0))</f>
        <v/>
      </c>
      <c r="M3725" s="62" t="str">
        <f>IF(A3725="","",IFERROR(INDEX(fa_cname,MATCH(A3725,fa_num,0))&amp;"",""))</f>
        <v/>
      </c>
      <c r="N3725" s="59" t="str">
        <f>IF(COUNTA(A3725:G3725)=0,"",IF(A3725="","N° facture manquant",IF(ISNA(MATCH(A3725,fa_num,0)),"Facture inconnue",IF(AND(B3725&lt;&gt;"",ISNA(MATCH(B3725,pr_code,0))),"Article inconnu",IF(H3725="","Désignation manquante",IF(OR(NOT(ISNUMBER(D3725)),N(D3725)&lt;=0),"Quantité invalide",IF(J3725="","Prix manquant",IF(OR(NOT(ISNUMBER(J3725)),N(J3725)&lt;0),"Prix invalide",IF(OR(AND(F3725&lt;&gt;"",NOT(ISNUMBER(F3725))),N(F3725)&lt;0,N(F3725)&gt;1),"Remise invalide",IF(K3725="","Taux de TVA manquant",IF(NOT(ISNUMBER(K3725)),"Taux de TVA invalide",IF(COUNTIF(p_rates,K3725)=0,"Taux de TVA hors liste (Paramètres)",IF(N(O3725)&gt;25,"Au-delà de 25 lignes : non imprimée","OK")))))))))))))</f>
        <v/>
      </c>
      <c r="O3725" s="59" t="str">
        <f>IF(A3725="","",COUNTIF($A$6:A3725,A3725))</f>
        <v/>
      </c>
      <c r="P3725" s="62" t="str">
        <f>IF(A3725="","",A3725&amp;"|"&amp;O3725)</f>
        <v/>
      </c>
    </row>
    <row r="3726">
      <c r="A3726" s="60" t="n"/>
      <c r="B3726" s="63" t="n"/>
      <c r="C3726" s="63" t="n"/>
      <c r="D3726" s="67" t="n"/>
      <c r="E3726" s="68" t="n"/>
      <c r="F3726" s="69" t="n"/>
      <c r="G3726" s="70" t="n"/>
      <c r="H3726" s="62" t="str">
        <f>IF(COUNTA(A3726:G3726)=0,"",IF(C3726&lt;&gt;"",C3726,IF(B3726="","",IFERROR(INDEX(pr_des,MATCH(B3726,pr_code,0))&amp;"",""))))</f>
        <v/>
      </c>
      <c r="I3726" s="59" t="str">
        <f>IF(B3726="","",IFERROR(INDEX(pr_unit,MATCH(B3726,pr_code,0))&amp;"",""))</f>
        <v/>
      </c>
      <c r="J3726" s="65" t="str">
        <f>IF(COUNTA(A3726:G3726)=0,"",IF(E3726&lt;&gt;"",E3726,IF(B3726="","",IFERROR(IF(INDEX(pr_price,MATCH(B3726,pr_code,0))="","",INDEX(pr_price,MATCH(B3726,pr_code,0))),""))))</f>
        <v/>
      </c>
      <c r="K3726" s="71" t="str">
        <f>IF(COUNTA(A3726:G3726)=0,"",IF(G3726&lt;&gt;"",G3726,IF(B3726="","",IFERROR(IF(INDEX(pr_rate,MATCH(B3726,pr_code,0))="","",INDEX(pr_rate,MATCH(B3726,pr_code,0))),""))))</f>
        <v/>
      </c>
      <c r="L3726" s="65" t="str">
        <f>IF(COUNTA(A3726:G3726)=0,"",IF(AND(ISNUMBER(D3726),ISNUMBER(J3726)),ROUND(D3726*J3726*(1-N(F3726)),2),0))</f>
        <v/>
      </c>
      <c r="M3726" s="62" t="str">
        <f>IF(A3726="","",IFERROR(INDEX(fa_cname,MATCH(A3726,fa_num,0))&amp;"",""))</f>
        <v/>
      </c>
      <c r="N3726" s="59" t="str">
        <f>IF(COUNTA(A3726:G3726)=0,"",IF(A3726="","N° facture manquant",IF(ISNA(MATCH(A3726,fa_num,0)),"Facture inconnue",IF(AND(B3726&lt;&gt;"",ISNA(MATCH(B3726,pr_code,0))),"Article inconnu",IF(H3726="","Désignation manquante",IF(OR(NOT(ISNUMBER(D3726)),N(D3726)&lt;=0),"Quantité invalide",IF(J3726="","Prix manquant",IF(OR(NOT(ISNUMBER(J3726)),N(J3726)&lt;0),"Prix invalide",IF(OR(AND(F3726&lt;&gt;"",NOT(ISNUMBER(F3726))),N(F3726)&lt;0,N(F3726)&gt;1),"Remise invalide",IF(K3726="","Taux de TVA manquant",IF(NOT(ISNUMBER(K3726)),"Taux de TVA invalide",IF(COUNTIF(p_rates,K3726)=0,"Taux de TVA hors liste (Paramètres)",IF(N(O3726)&gt;25,"Au-delà de 25 lignes : non imprimée","OK")))))))))))))</f>
        <v/>
      </c>
      <c r="O3726" s="59" t="str">
        <f>IF(A3726="","",COUNTIF($A$6:A3726,A3726))</f>
        <v/>
      </c>
      <c r="P3726" s="62" t="str">
        <f>IF(A3726="","",A3726&amp;"|"&amp;O3726)</f>
        <v/>
      </c>
    </row>
    <row r="3727">
      <c r="A3727" s="60" t="n"/>
      <c r="B3727" s="63" t="n"/>
      <c r="C3727" s="63" t="n"/>
      <c r="D3727" s="67" t="n"/>
      <c r="E3727" s="68" t="n"/>
      <c r="F3727" s="69" t="n"/>
      <c r="G3727" s="70" t="n"/>
      <c r="H3727" s="62" t="str">
        <f>IF(COUNTA(A3727:G3727)=0,"",IF(C3727&lt;&gt;"",C3727,IF(B3727="","",IFERROR(INDEX(pr_des,MATCH(B3727,pr_code,0))&amp;"",""))))</f>
        <v/>
      </c>
      <c r="I3727" s="59" t="str">
        <f>IF(B3727="","",IFERROR(INDEX(pr_unit,MATCH(B3727,pr_code,0))&amp;"",""))</f>
        <v/>
      </c>
      <c r="J3727" s="65" t="str">
        <f>IF(COUNTA(A3727:G3727)=0,"",IF(E3727&lt;&gt;"",E3727,IF(B3727="","",IFERROR(IF(INDEX(pr_price,MATCH(B3727,pr_code,0))="","",INDEX(pr_price,MATCH(B3727,pr_code,0))),""))))</f>
        <v/>
      </c>
      <c r="K3727" s="71" t="str">
        <f>IF(COUNTA(A3727:G3727)=0,"",IF(G3727&lt;&gt;"",G3727,IF(B3727="","",IFERROR(IF(INDEX(pr_rate,MATCH(B3727,pr_code,0))="","",INDEX(pr_rate,MATCH(B3727,pr_code,0))),""))))</f>
        <v/>
      </c>
      <c r="L3727" s="65" t="str">
        <f>IF(COUNTA(A3727:G3727)=0,"",IF(AND(ISNUMBER(D3727),ISNUMBER(J3727)),ROUND(D3727*J3727*(1-N(F3727)),2),0))</f>
        <v/>
      </c>
      <c r="M3727" s="62" t="str">
        <f>IF(A3727="","",IFERROR(INDEX(fa_cname,MATCH(A3727,fa_num,0))&amp;"",""))</f>
        <v/>
      </c>
      <c r="N3727" s="59" t="str">
        <f>IF(COUNTA(A3727:G3727)=0,"",IF(A3727="","N° facture manquant",IF(ISNA(MATCH(A3727,fa_num,0)),"Facture inconnue",IF(AND(B3727&lt;&gt;"",ISNA(MATCH(B3727,pr_code,0))),"Article inconnu",IF(H3727="","Désignation manquante",IF(OR(NOT(ISNUMBER(D3727)),N(D3727)&lt;=0),"Quantité invalide",IF(J3727="","Prix manquant",IF(OR(NOT(ISNUMBER(J3727)),N(J3727)&lt;0),"Prix invalide",IF(OR(AND(F3727&lt;&gt;"",NOT(ISNUMBER(F3727))),N(F3727)&lt;0,N(F3727)&gt;1),"Remise invalide",IF(K3727="","Taux de TVA manquant",IF(NOT(ISNUMBER(K3727)),"Taux de TVA invalide",IF(COUNTIF(p_rates,K3727)=0,"Taux de TVA hors liste (Paramètres)",IF(N(O3727)&gt;25,"Au-delà de 25 lignes : non imprimée","OK")))))))))))))</f>
        <v/>
      </c>
      <c r="O3727" s="59" t="str">
        <f>IF(A3727="","",COUNTIF($A$6:A3727,A3727))</f>
        <v/>
      </c>
      <c r="P3727" s="62" t="str">
        <f>IF(A3727="","",A3727&amp;"|"&amp;O3727)</f>
        <v/>
      </c>
    </row>
    <row r="3728">
      <c r="A3728" s="60" t="n"/>
      <c r="B3728" s="63" t="n"/>
      <c r="C3728" s="63" t="n"/>
      <c r="D3728" s="67" t="n"/>
      <c r="E3728" s="68" t="n"/>
      <c r="F3728" s="69" t="n"/>
      <c r="G3728" s="70" t="n"/>
      <c r="H3728" s="62" t="str">
        <f>IF(COUNTA(A3728:G3728)=0,"",IF(C3728&lt;&gt;"",C3728,IF(B3728="","",IFERROR(INDEX(pr_des,MATCH(B3728,pr_code,0))&amp;"",""))))</f>
        <v/>
      </c>
      <c r="I3728" s="59" t="str">
        <f>IF(B3728="","",IFERROR(INDEX(pr_unit,MATCH(B3728,pr_code,0))&amp;"",""))</f>
        <v/>
      </c>
      <c r="J3728" s="65" t="str">
        <f>IF(COUNTA(A3728:G3728)=0,"",IF(E3728&lt;&gt;"",E3728,IF(B3728="","",IFERROR(IF(INDEX(pr_price,MATCH(B3728,pr_code,0))="","",INDEX(pr_price,MATCH(B3728,pr_code,0))),""))))</f>
        <v/>
      </c>
      <c r="K3728" s="71" t="str">
        <f>IF(COUNTA(A3728:G3728)=0,"",IF(G3728&lt;&gt;"",G3728,IF(B3728="","",IFERROR(IF(INDEX(pr_rate,MATCH(B3728,pr_code,0))="","",INDEX(pr_rate,MATCH(B3728,pr_code,0))),""))))</f>
        <v/>
      </c>
      <c r="L3728" s="65" t="str">
        <f>IF(COUNTA(A3728:G3728)=0,"",IF(AND(ISNUMBER(D3728),ISNUMBER(J3728)),ROUND(D3728*J3728*(1-N(F3728)),2),0))</f>
        <v/>
      </c>
      <c r="M3728" s="62" t="str">
        <f>IF(A3728="","",IFERROR(INDEX(fa_cname,MATCH(A3728,fa_num,0))&amp;"",""))</f>
        <v/>
      </c>
      <c r="N3728" s="59" t="str">
        <f>IF(COUNTA(A3728:G3728)=0,"",IF(A3728="","N° facture manquant",IF(ISNA(MATCH(A3728,fa_num,0)),"Facture inconnue",IF(AND(B3728&lt;&gt;"",ISNA(MATCH(B3728,pr_code,0))),"Article inconnu",IF(H3728="","Désignation manquante",IF(OR(NOT(ISNUMBER(D3728)),N(D3728)&lt;=0),"Quantité invalide",IF(J3728="","Prix manquant",IF(OR(NOT(ISNUMBER(J3728)),N(J3728)&lt;0),"Prix invalide",IF(OR(AND(F3728&lt;&gt;"",NOT(ISNUMBER(F3728))),N(F3728)&lt;0,N(F3728)&gt;1),"Remise invalide",IF(K3728="","Taux de TVA manquant",IF(NOT(ISNUMBER(K3728)),"Taux de TVA invalide",IF(COUNTIF(p_rates,K3728)=0,"Taux de TVA hors liste (Paramètres)",IF(N(O3728)&gt;25,"Au-delà de 25 lignes : non imprimée","OK")))))))))))))</f>
        <v/>
      </c>
      <c r="O3728" s="59" t="str">
        <f>IF(A3728="","",COUNTIF($A$6:A3728,A3728))</f>
        <v/>
      </c>
      <c r="P3728" s="62" t="str">
        <f>IF(A3728="","",A3728&amp;"|"&amp;O3728)</f>
        <v/>
      </c>
    </row>
    <row r="3729">
      <c r="A3729" s="60" t="n"/>
      <c r="B3729" s="63" t="n"/>
      <c r="C3729" s="63" t="n"/>
      <c r="D3729" s="67" t="n"/>
      <c r="E3729" s="68" t="n"/>
      <c r="F3729" s="69" t="n"/>
      <c r="G3729" s="70" t="n"/>
      <c r="H3729" s="62" t="str">
        <f>IF(COUNTA(A3729:G3729)=0,"",IF(C3729&lt;&gt;"",C3729,IF(B3729="","",IFERROR(INDEX(pr_des,MATCH(B3729,pr_code,0))&amp;"",""))))</f>
        <v/>
      </c>
      <c r="I3729" s="59" t="str">
        <f>IF(B3729="","",IFERROR(INDEX(pr_unit,MATCH(B3729,pr_code,0))&amp;"",""))</f>
        <v/>
      </c>
      <c r="J3729" s="65" t="str">
        <f>IF(COUNTA(A3729:G3729)=0,"",IF(E3729&lt;&gt;"",E3729,IF(B3729="","",IFERROR(IF(INDEX(pr_price,MATCH(B3729,pr_code,0))="","",INDEX(pr_price,MATCH(B3729,pr_code,0))),""))))</f>
        <v/>
      </c>
      <c r="K3729" s="71" t="str">
        <f>IF(COUNTA(A3729:G3729)=0,"",IF(G3729&lt;&gt;"",G3729,IF(B3729="","",IFERROR(IF(INDEX(pr_rate,MATCH(B3729,pr_code,0))="","",INDEX(pr_rate,MATCH(B3729,pr_code,0))),""))))</f>
        <v/>
      </c>
      <c r="L3729" s="65" t="str">
        <f>IF(COUNTA(A3729:G3729)=0,"",IF(AND(ISNUMBER(D3729),ISNUMBER(J3729)),ROUND(D3729*J3729*(1-N(F3729)),2),0))</f>
        <v/>
      </c>
      <c r="M3729" s="62" t="str">
        <f>IF(A3729="","",IFERROR(INDEX(fa_cname,MATCH(A3729,fa_num,0))&amp;"",""))</f>
        <v/>
      </c>
      <c r="N3729" s="59" t="str">
        <f>IF(COUNTA(A3729:G3729)=0,"",IF(A3729="","N° facture manquant",IF(ISNA(MATCH(A3729,fa_num,0)),"Facture inconnue",IF(AND(B3729&lt;&gt;"",ISNA(MATCH(B3729,pr_code,0))),"Article inconnu",IF(H3729="","Désignation manquante",IF(OR(NOT(ISNUMBER(D3729)),N(D3729)&lt;=0),"Quantité invalide",IF(J3729="","Prix manquant",IF(OR(NOT(ISNUMBER(J3729)),N(J3729)&lt;0),"Prix invalide",IF(OR(AND(F3729&lt;&gt;"",NOT(ISNUMBER(F3729))),N(F3729)&lt;0,N(F3729)&gt;1),"Remise invalide",IF(K3729="","Taux de TVA manquant",IF(NOT(ISNUMBER(K3729)),"Taux de TVA invalide",IF(COUNTIF(p_rates,K3729)=0,"Taux de TVA hors liste (Paramètres)",IF(N(O3729)&gt;25,"Au-delà de 25 lignes : non imprimée","OK")))))))))))))</f>
        <v/>
      </c>
      <c r="O3729" s="59" t="str">
        <f>IF(A3729="","",COUNTIF($A$6:A3729,A3729))</f>
        <v/>
      </c>
      <c r="P3729" s="62" t="str">
        <f>IF(A3729="","",A3729&amp;"|"&amp;O3729)</f>
        <v/>
      </c>
    </row>
    <row r="3730">
      <c r="A3730" s="60" t="n"/>
      <c r="B3730" s="63" t="n"/>
      <c r="C3730" s="63" t="n"/>
      <c r="D3730" s="67" t="n"/>
      <c r="E3730" s="68" t="n"/>
      <c r="F3730" s="69" t="n"/>
      <c r="G3730" s="70" t="n"/>
      <c r="H3730" s="62" t="str">
        <f>IF(COUNTA(A3730:G3730)=0,"",IF(C3730&lt;&gt;"",C3730,IF(B3730="","",IFERROR(INDEX(pr_des,MATCH(B3730,pr_code,0))&amp;"",""))))</f>
        <v/>
      </c>
      <c r="I3730" s="59" t="str">
        <f>IF(B3730="","",IFERROR(INDEX(pr_unit,MATCH(B3730,pr_code,0))&amp;"",""))</f>
        <v/>
      </c>
      <c r="J3730" s="65" t="str">
        <f>IF(COUNTA(A3730:G3730)=0,"",IF(E3730&lt;&gt;"",E3730,IF(B3730="","",IFERROR(IF(INDEX(pr_price,MATCH(B3730,pr_code,0))="","",INDEX(pr_price,MATCH(B3730,pr_code,0))),""))))</f>
        <v/>
      </c>
      <c r="K3730" s="71" t="str">
        <f>IF(COUNTA(A3730:G3730)=0,"",IF(G3730&lt;&gt;"",G3730,IF(B3730="","",IFERROR(IF(INDEX(pr_rate,MATCH(B3730,pr_code,0))="","",INDEX(pr_rate,MATCH(B3730,pr_code,0))),""))))</f>
        <v/>
      </c>
      <c r="L3730" s="65" t="str">
        <f>IF(COUNTA(A3730:G3730)=0,"",IF(AND(ISNUMBER(D3730),ISNUMBER(J3730)),ROUND(D3730*J3730*(1-N(F3730)),2),0))</f>
        <v/>
      </c>
      <c r="M3730" s="62" t="str">
        <f>IF(A3730="","",IFERROR(INDEX(fa_cname,MATCH(A3730,fa_num,0))&amp;"",""))</f>
        <v/>
      </c>
      <c r="N3730" s="59" t="str">
        <f>IF(COUNTA(A3730:G3730)=0,"",IF(A3730="","N° facture manquant",IF(ISNA(MATCH(A3730,fa_num,0)),"Facture inconnue",IF(AND(B3730&lt;&gt;"",ISNA(MATCH(B3730,pr_code,0))),"Article inconnu",IF(H3730="","Désignation manquante",IF(OR(NOT(ISNUMBER(D3730)),N(D3730)&lt;=0),"Quantité invalide",IF(J3730="","Prix manquant",IF(OR(NOT(ISNUMBER(J3730)),N(J3730)&lt;0),"Prix invalide",IF(OR(AND(F3730&lt;&gt;"",NOT(ISNUMBER(F3730))),N(F3730)&lt;0,N(F3730)&gt;1),"Remise invalide",IF(K3730="","Taux de TVA manquant",IF(NOT(ISNUMBER(K3730)),"Taux de TVA invalide",IF(COUNTIF(p_rates,K3730)=0,"Taux de TVA hors liste (Paramètres)",IF(N(O3730)&gt;25,"Au-delà de 25 lignes : non imprimée","OK")))))))))))))</f>
        <v/>
      </c>
      <c r="O3730" s="59" t="str">
        <f>IF(A3730="","",COUNTIF($A$6:A3730,A3730))</f>
        <v/>
      </c>
      <c r="P3730" s="62" t="str">
        <f>IF(A3730="","",A3730&amp;"|"&amp;O3730)</f>
        <v/>
      </c>
    </row>
    <row r="3731">
      <c r="A3731" s="60" t="n"/>
      <c r="B3731" s="63" t="n"/>
      <c r="C3731" s="63" t="n"/>
      <c r="D3731" s="67" t="n"/>
      <c r="E3731" s="68" t="n"/>
      <c r="F3731" s="69" t="n"/>
      <c r="G3731" s="70" t="n"/>
      <c r="H3731" s="62" t="str">
        <f>IF(COUNTA(A3731:G3731)=0,"",IF(C3731&lt;&gt;"",C3731,IF(B3731="","",IFERROR(INDEX(pr_des,MATCH(B3731,pr_code,0))&amp;"",""))))</f>
        <v/>
      </c>
      <c r="I3731" s="59" t="str">
        <f>IF(B3731="","",IFERROR(INDEX(pr_unit,MATCH(B3731,pr_code,0))&amp;"",""))</f>
        <v/>
      </c>
      <c r="J3731" s="65" t="str">
        <f>IF(COUNTA(A3731:G3731)=0,"",IF(E3731&lt;&gt;"",E3731,IF(B3731="","",IFERROR(IF(INDEX(pr_price,MATCH(B3731,pr_code,0))="","",INDEX(pr_price,MATCH(B3731,pr_code,0))),""))))</f>
        <v/>
      </c>
      <c r="K3731" s="71" t="str">
        <f>IF(COUNTA(A3731:G3731)=0,"",IF(G3731&lt;&gt;"",G3731,IF(B3731="","",IFERROR(IF(INDEX(pr_rate,MATCH(B3731,pr_code,0))="","",INDEX(pr_rate,MATCH(B3731,pr_code,0))),""))))</f>
        <v/>
      </c>
      <c r="L3731" s="65" t="str">
        <f>IF(COUNTA(A3731:G3731)=0,"",IF(AND(ISNUMBER(D3731),ISNUMBER(J3731)),ROUND(D3731*J3731*(1-N(F3731)),2),0))</f>
        <v/>
      </c>
      <c r="M3731" s="62" t="str">
        <f>IF(A3731="","",IFERROR(INDEX(fa_cname,MATCH(A3731,fa_num,0))&amp;"",""))</f>
        <v/>
      </c>
      <c r="N3731" s="59" t="str">
        <f>IF(COUNTA(A3731:G3731)=0,"",IF(A3731="","N° facture manquant",IF(ISNA(MATCH(A3731,fa_num,0)),"Facture inconnue",IF(AND(B3731&lt;&gt;"",ISNA(MATCH(B3731,pr_code,0))),"Article inconnu",IF(H3731="","Désignation manquante",IF(OR(NOT(ISNUMBER(D3731)),N(D3731)&lt;=0),"Quantité invalide",IF(J3731="","Prix manquant",IF(OR(NOT(ISNUMBER(J3731)),N(J3731)&lt;0),"Prix invalide",IF(OR(AND(F3731&lt;&gt;"",NOT(ISNUMBER(F3731))),N(F3731)&lt;0,N(F3731)&gt;1),"Remise invalide",IF(K3731="","Taux de TVA manquant",IF(NOT(ISNUMBER(K3731)),"Taux de TVA invalide",IF(COUNTIF(p_rates,K3731)=0,"Taux de TVA hors liste (Paramètres)",IF(N(O3731)&gt;25,"Au-delà de 25 lignes : non imprimée","OK")))))))))))))</f>
        <v/>
      </c>
      <c r="O3731" s="59" t="str">
        <f>IF(A3731="","",COUNTIF($A$6:A3731,A3731))</f>
        <v/>
      </c>
      <c r="P3731" s="62" t="str">
        <f>IF(A3731="","",A3731&amp;"|"&amp;O3731)</f>
        <v/>
      </c>
    </row>
    <row r="3732">
      <c r="A3732" s="60" t="n"/>
      <c r="B3732" s="63" t="n"/>
      <c r="C3732" s="63" t="n"/>
      <c r="D3732" s="67" t="n"/>
      <c r="E3732" s="68" t="n"/>
      <c r="F3732" s="69" t="n"/>
      <c r="G3732" s="70" t="n"/>
      <c r="H3732" s="62" t="str">
        <f>IF(COUNTA(A3732:G3732)=0,"",IF(C3732&lt;&gt;"",C3732,IF(B3732="","",IFERROR(INDEX(pr_des,MATCH(B3732,pr_code,0))&amp;"",""))))</f>
        <v/>
      </c>
      <c r="I3732" s="59" t="str">
        <f>IF(B3732="","",IFERROR(INDEX(pr_unit,MATCH(B3732,pr_code,0))&amp;"",""))</f>
        <v/>
      </c>
      <c r="J3732" s="65" t="str">
        <f>IF(COUNTA(A3732:G3732)=0,"",IF(E3732&lt;&gt;"",E3732,IF(B3732="","",IFERROR(IF(INDEX(pr_price,MATCH(B3732,pr_code,0))="","",INDEX(pr_price,MATCH(B3732,pr_code,0))),""))))</f>
        <v/>
      </c>
      <c r="K3732" s="71" t="str">
        <f>IF(COUNTA(A3732:G3732)=0,"",IF(G3732&lt;&gt;"",G3732,IF(B3732="","",IFERROR(IF(INDEX(pr_rate,MATCH(B3732,pr_code,0))="","",INDEX(pr_rate,MATCH(B3732,pr_code,0))),""))))</f>
        <v/>
      </c>
      <c r="L3732" s="65" t="str">
        <f>IF(COUNTA(A3732:G3732)=0,"",IF(AND(ISNUMBER(D3732),ISNUMBER(J3732)),ROUND(D3732*J3732*(1-N(F3732)),2),0))</f>
        <v/>
      </c>
      <c r="M3732" s="62" t="str">
        <f>IF(A3732="","",IFERROR(INDEX(fa_cname,MATCH(A3732,fa_num,0))&amp;"",""))</f>
        <v/>
      </c>
      <c r="N3732" s="59" t="str">
        <f>IF(COUNTA(A3732:G3732)=0,"",IF(A3732="","N° facture manquant",IF(ISNA(MATCH(A3732,fa_num,0)),"Facture inconnue",IF(AND(B3732&lt;&gt;"",ISNA(MATCH(B3732,pr_code,0))),"Article inconnu",IF(H3732="","Désignation manquante",IF(OR(NOT(ISNUMBER(D3732)),N(D3732)&lt;=0),"Quantité invalide",IF(J3732="","Prix manquant",IF(OR(NOT(ISNUMBER(J3732)),N(J3732)&lt;0),"Prix invalide",IF(OR(AND(F3732&lt;&gt;"",NOT(ISNUMBER(F3732))),N(F3732)&lt;0,N(F3732)&gt;1),"Remise invalide",IF(K3732="","Taux de TVA manquant",IF(NOT(ISNUMBER(K3732)),"Taux de TVA invalide",IF(COUNTIF(p_rates,K3732)=0,"Taux de TVA hors liste (Paramètres)",IF(N(O3732)&gt;25,"Au-delà de 25 lignes : non imprimée","OK")))))))))))))</f>
        <v/>
      </c>
      <c r="O3732" s="59" t="str">
        <f>IF(A3732="","",COUNTIF($A$6:A3732,A3732))</f>
        <v/>
      </c>
      <c r="P3732" s="62" t="str">
        <f>IF(A3732="","",A3732&amp;"|"&amp;O3732)</f>
        <v/>
      </c>
    </row>
    <row r="3733">
      <c r="A3733" s="60" t="n"/>
      <c r="B3733" s="63" t="n"/>
      <c r="C3733" s="63" t="n"/>
      <c r="D3733" s="67" t="n"/>
      <c r="E3733" s="68" t="n"/>
      <c r="F3733" s="69" t="n"/>
      <c r="G3733" s="70" t="n"/>
      <c r="H3733" s="62" t="str">
        <f>IF(COUNTA(A3733:G3733)=0,"",IF(C3733&lt;&gt;"",C3733,IF(B3733="","",IFERROR(INDEX(pr_des,MATCH(B3733,pr_code,0))&amp;"",""))))</f>
        <v/>
      </c>
      <c r="I3733" s="59" t="str">
        <f>IF(B3733="","",IFERROR(INDEX(pr_unit,MATCH(B3733,pr_code,0))&amp;"",""))</f>
        <v/>
      </c>
      <c r="J3733" s="65" t="str">
        <f>IF(COUNTA(A3733:G3733)=0,"",IF(E3733&lt;&gt;"",E3733,IF(B3733="","",IFERROR(IF(INDEX(pr_price,MATCH(B3733,pr_code,0))="","",INDEX(pr_price,MATCH(B3733,pr_code,0))),""))))</f>
        <v/>
      </c>
      <c r="K3733" s="71" t="str">
        <f>IF(COUNTA(A3733:G3733)=0,"",IF(G3733&lt;&gt;"",G3733,IF(B3733="","",IFERROR(IF(INDEX(pr_rate,MATCH(B3733,pr_code,0))="","",INDEX(pr_rate,MATCH(B3733,pr_code,0))),""))))</f>
        <v/>
      </c>
      <c r="L3733" s="65" t="str">
        <f>IF(COUNTA(A3733:G3733)=0,"",IF(AND(ISNUMBER(D3733),ISNUMBER(J3733)),ROUND(D3733*J3733*(1-N(F3733)),2),0))</f>
        <v/>
      </c>
      <c r="M3733" s="62" t="str">
        <f>IF(A3733="","",IFERROR(INDEX(fa_cname,MATCH(A3733,fa_num,0))&amp;"",""))</f>
        <v/>
      </c>
      <c r="N3733" s="59" t="str">
        <f>IF(COUNTA(A3733:G3733)=0,"",IF(A3733="","N° facture manquant",IF(ISNA(MATCH(A3733,fa_num,0)),"Facture inconnue",IF(AND(B3733&lt;&gt;"",ISNA(MATCH(B3733,pr_code,0))),"Article inconnu",IF(H3733="","Désignation manquante",IF(OR(NOT(ISNUMBER(D3733)),N(D3733)&lt;=0),"Quantité invalide",IF(J3733="","Prix manquant",IF(OR(NOT(ISNUMBER(J3733)),N(J3733)&lt;0),"Prix invalide",IF(OR(AND(F3733&lt;&gt;"",NOT(ISNUMBER(F3733))),N(F3733)&lt;0,N(F3733)&gt;1),"Remise invalide",IF(K3733="","Taux de TVA manquant",IF(NOT(ISNUMBER(K3733)),"Taux de TVA invalide",IF(COUNTIF(p_rates,K3733)=0,"Taux de TVA hors liste (Paramètres)",IF(N(O3733)&gt;25,"Au-delà de 25 lignes : non imprimée","OK")))))))))))))</f>
        <v/>
      </c>
      <c r="O3733" s="59" t="str">
        <f>IF(A3733="","",COUNTIF($A$6:A3733,A3733))</f>
        <v/>
      </c>
      <c r="P3733" s="62" t="str">
        <f>IF(A3733="","",A3733&amp;"|"&amp;O3733)</f>
        <v/>
      </c>
    </row>
    <row r="3734">
      <c r="A3734" s="60" t="n"/>
      <c r="B3734" s="63" t="n"/>
      <c r="C3734" s="63" t="n"/>
      <c r="D3734" s="67" t="n"/>
      <c r="E3734" s="68" t="n"/>
      <c r="F3734" s="69" t="n"/>
      <c r="G3734" s="70" t="n"/>
      <c r="H3734" s="62" t="str">
        <f>IF(COUNTA(A3734:G3734)=0,"",IF(C3734&lt;&gt;"",C3734,IF(B3734="","",IFERROR(INDEX(pr_des,MATCH(B3734,pr_code,0))&amp;"",""))))</f>
        <v/>
      </c>
      <c r="I3734" s="59" t="str">
        <f>IF(B3734="","",IFERROR(INDEX(pr_unit,MATCH(B3734,pr_code,0))&amp;"",""))</f>
        <v/>
      </c>
      <c r="J3734" s="65" t="str">
        <f>IF(COUNTA(A3734:G3734)=0,"",IF(E3734&lt;&gt;"",E3734,IF(B3734="","",IFERROR(IF(INDEX(pr_price,MATCH(B3734,pr_code,0))="","",INDEX(pr_price,MATCH(B3734,pr_code,0))),""))))</f>
        <v/>
      </c>
      <c r="K3734" s="71" t="str">
        <f>IF(COUNTA(A3734:G3734)=0,"",IF(G3734&lt;&gt;"",G3734,IF(B3734="","",IFERROR(IF(INDEX(pr_rate,MATCH(B3734,pr_code,0))="","",INDEX(pr_rate,MATCH(B3734,pr_code,0))),""))))</f>
        <v/>
      </c>
      <c r="L3734" s="65" t="str">
        <f>IF(COUNTA(A3734:G3734)=0,"",IF(AND(ISNUMBER(D3734),ISNUMBER(J3734)),ROUND(D3734*J3734*(1-N(F3734)),2),0))</f>
        <v/>
      </c>
      <c r="M3734" s="62" t="str">
        <f>IF(A3734="","",IFERROR(INDEX(fa_cname,MATCH(A3734,fa_num,0))&amp;"",""))</f>
        <v/>
      </c>
      <c r="N3734" s="59" t="str">
        <f>IF(COUNTA(A3734:G3734)=0,"",IF(A3734="","N° facture manquant",IF(ISNA(MATCH(A3734,fa_num,0)),"Facture inconnue",IF(AND(B3734&lt;&gt;"",ISNA(MATCH(B3734,pr_code,0))),"Article inconnu",IF(H3734="","Désignation manquante",IF(OR(NOT(ISNUMBER(D3734)),N(D3734)&lt;=0),"Quantité invalide",IF(J3734="","Prix manquant",IF(OR(NOT(ISNUMBER(J3734)),N(J3734)&lt;0),"Prix invalide",IF(OR(AND(F3734&lt;&gt;"",NOT(ISNUMBER(F3734))),N(F3734)&lt;0,N(F3734)&gt;1),"Remise invalide",IF(K3734="","Taux de TVA manquant",IF(NOT(ISNUMBER(K3734)),"Taux de TVA invalide",IF(COUNTIF(p_rates,K3734)=0,"Taux de TVA hors liste (Paramètres)",IF(N(O3734)&gt;25,"Au-delà de 25 lignes : non imprimée","OK")))))))))))))</f>
        <v/>
      </c>
      <c r="O3734" s="59" t="str">
        <f>IF(A3734="","",COUNTIF($A$6:A3734,A3734))</f>
        <v/>
      </c>
      <c r="P3734" s="62" t="str">
        <f>IF(A3734="","",A3734&amp;"|"&amp;O3734)</f>
        <v/>
      </c>
    </row>
    <row r="3735">
      <c r="A3735" s="60" t="n"/>
      <c r="B3735" s="63" t="n"/>
      <c r="C3735" s="63" t="n"/>
      <c r="D3735" s="67" t="n"/>
      <c r="E3735" s="68" t="n"/>
      <c r="F3735" s="69" t="n"/>
      <c r="G3735" s="70" t="n"/>
      <c r="H3735" s="62" t="str">
        <f>IF(COUNTA(A3735:G3735)=0,"",IF(C3735&lt;&gt;"",C3735,IF(B3735="","",IFERROR(INDEX(pr_des,MATCH(B3735,pr_code,0))&amp;"",""))))</f>
        <v/>
      </c>
      <c r="I3735" s="59" t="str">
        <f>IF(B3735="","",IFERROR(INDEX(pr_unit,MATCH(B3735,pr_code,0))&amp;"",""))</f>
        <v/>
      </c>
      <c r="J3735" s="65" t="str">
        <f>IF(COUNTA(A3735:G3735)=0,"",IF(E3735&lt;&gt;"",E3735,IF(B3735="","",IFERROR(IF(INDEX(pr_price,MATCH(B3735,pr_code,0))="","",INDEX(pr_price,MATCH(B3735,pr_code,0))),""))))</f>
        <v/>
      </c>
      <c r="K3735" s="71" t="str">
        <f>IF(COUNTA(A3735:G3735)=0,"",IF(G3735&lt;&gt;"",G3735,IF(B3735="","",IFERROR(IF(INDEX(pr_rate,MATCH(B3735,pr_code,0))="","",INDEX(pr_rate,MATCH(B3735,pr_code,0))),""))))</f>
        <v/>
      </c>
      <c r="L3735" s="65" t="str">
        <f>IF(COUNTA(A3735:G3735)=0,"",IF(AND(ISNUMBER(D3735),ISNUMBER(J3735)),ROUND(D3735*J3735*(1-N(F3735)),2),0))</f>
        <v/>
      </c>
      <c r="M3735" s="62" t="str">
        <f>IF(A3735="","",IFERROR(INDEX(fa_cname,MATCH(A3735,fa_num,0))&amp;"",""))</f>
        <v/>
      </c>
      <c r="N3735" s="59" t="str">
        <f>IF(COUNTA(A3735:G3735)=0,"",IF(A3735="","N° facture manquant",IF(ISNA(MATCH(A3735,fa_num,0)),"Facture inconnue",IF(AND(B3735&lt;&gt;"",ISNA(MATCH(B3735,pr_code,0))),"Article inconnu",IF(H3735="","Désignation manquante",IF(OR(NOT(ISNUMBER(D3735)),N(D3735)&lt;=0),"Quantité invalide",IF(J3735="","Prix manquant",IF(OR(NOT(ISNUMBER(J3735)),N(J3735)&lt;0),"Prix invalide",IF(OR(AND(F3735&lt;&gt;"",NOT(ISNUMBER(F3735))),N(F3735)&lt;0,N(F3735)&gt;1),"Remise invalide",IF(K3735="","Taux de TVA manquant",IF(NOT(ISNUMBER(K3735)),"Taux de TVA invalide",IF(COUNTIF(p_rates,K3735)=0,"Taux de TVA hors liste (Paramètres)",IF(N(O3735)&gt;25,"Au-delà de 25 lignes : non imprimée","OK")))))))))))))</f>
        <v/>
      </c>
      <c r="O3735" s="59" t="str">
        <f>IF(A3735="","",COUNTIF($A$6:A3735,A3735))</f>
        <v/>
      </c>
      <c r="P3735" s="62" t="str">
        <f>IF(A3735="","",A3735&amp;"|"&amp;O3735)</f>
        <v/>
      </c>
    </row>
    <row r="3736">
      <c r="A3736" s="60" t="n"/>
      <c r="B3736" s="63" t="n"/>
      <c r="C3736" s="63" t="n"/>
      <c r="D3736" s="67" t="n"/>
      <c r="E3736" s="68" t="n"/>
      <c r="F3736" s="69" t="n"/>
      <c r="G3736" s="70" t="n"/>
      <c r="H3736" s="62" t="str">
        <f>IF(COUNTA(A3736:G3736)=0,"",IF(C3736&lt;&gt;"",C3736,IF(B3736="","",IFERROR(INDEX(pr_des,MATCH(B3736,pr_code,0))&amp;"",""))))</f>
        <v/>
      </c>
      <c r="I3736" s="59" t="str">
        <f>IF(B3736="","",IFERROR(INDEX(pr_unit,MATCH(B3736,pr_code,0))&amp;"",""))</f>
        <v/>
      </c>
      <c r="J3736" s="65" t="str">
        <f>IF(COUNTA(A3736:G3736)=0,"",IF(E3736&lt;&gt;"",E3736,IF(B3736="","",IFERROR(IF(INDEX(pr_price,MATCH(B3736,pr_code,0))="","",INDEX(pr_price,MATCH(B3736,pr_code,0))),""))))</f>
        <v/>
      </c>
      <c r="K3736" s="71" t="str">
        <f>IF(COUNTA(A3736:G3736)=0,"",IF(G3736&lt;&gt;"",G3736,IF(B3736="","",IFERROR(IF(INDEX(pr_rate,MATCH(B3736,pr_code,0))="","",INDEX(pr_rate,MATCH(B3736,pr_code,0))),""))))</f>
        <v/>
      </c>
      <c r="L3736" s="65" t="str">
        <f>IF(COUNTA(A3736:G3736)=0,"",IF(AND(ISNUMBER(D3736),ISNUMBER(J3736)),ROUND(D3736*J3736*(1-N(F3736)),2),0))</f>
        <v/>
      </c>
      <c r="M3736" s="62" t="str">
        <f>IF(A3736="","",IFERROR(INDEX(fa_cname,MATCH(A3736,fa_num,0))&amp;"",""))</f>
        <v/>
      </c>
      <c r="N3736" s="59" t="str">
        <f>IF(COUNTA(A3736:G3736)=0,"",IF(A3736="","N° facture manquant",IF(ISNA(MATCH(A3736,fa_num,0)),"Facture inconnue",IF(AND(B3736&lt;&gt;"",ISNA(MATCH(B3736,pr_code,0))),"Article inconnu",IF(H3736="","Désignation manquante",IF(OR(NOT(ISNUMBER(D3736)),N(D3736)&lt;=0),"Quantité invalide",IF(J3736="","Prix manquant",IF(OR(NOT(ISNUMBER(J3736)),N(J3736)&lt;0),"Prix invalide",IF(OR(AND(F3736&lt;&gt;"",NOT(ISNUMBER(F3736))),N(F3736)&lt;0,N(F3736)&gt;1),"Remise invalide",IF(K3736="","Taux de TVA manquant",IF(NOT(ISNUMBER(K3736)),"Taux de TVA invalide",IF(COUNTIF(p_rates,K3736)=0,"Taux de TVA hors liste (Paramètres)",IF(N(O3736)&gt;25,"Au-delà de 25 lignes : non imprimée","OK")))))))))))))</f>
        <v/>
      </c>
      <c r="O3736" s="59" t="str">
        <f>IF(A3736="","",COUNTIF($A$6:A3736,A3736))</f>
        <v/>
      </c>
      <c r="P3736" s="62" t="str">
        <f>IF(A3736="","",A3736&amp;"|"&amp;O3736)</f>
        <v/>
      </c>
    </row>
    <row r="3737">
      <c r="A3737" s="60" t="n"/>
      <c r="B3737" s="63" t="n"/>
      <c r="C3737" s="63" t="n"/>
      <c r="D3737" s="67" t="n"/>
      <c r="E3737" s="68" t="n"/>
      <c r="F3737" s="69" t="n"/>
      <c r="G3737" s="70" t="n"/>
      <c r="H3737" s="62" t="str">
        <f>IF(COUNTA(A3737:G3737)=0,"",IF(C3737&lt;&gt;"",C3737,IF(B3737="","",IFERROR(INDEX(pr_des,MATCH(B3737,pr_code,0))&amp;"",""))))</f>
        <v/>
      </c>
      <c r="I3737" s="59" t="str">
        <f>IF(B3737="","",IFERROR(INDEX(pr_unit,MATCH(B3737,pr_code,0))&amp;"",""))</f>
        <v/>
      </c>
      <c r="J3737" s="65" t="str">
        <f>IF(COUNTA(A3737:G3737)=0,"",IF(E3737&lt;&gt;"",E3737,IF(B3737="","",IFERROR(IF(INDEX(pr_price,MATCH(B3737,pr_code,0))="","",INDEX(pr_price,MATCH(B3737,pr_code,0))),""))))</f>
        <v/>
      </c>
      <c r="K3737" s="71" t="str">
        <f>IF(COUNTA(A3737:G3737)=0,"",IF(G3737&lt;&gt;"",G3737,IF(B3737="","",IFERROR(IF(INDEX(pr_rate,MATCH(B3737,pr_code,0))="","",INDEX(pr_rate,MATCH(B3737,pr_code,0))),""))))</f>
        <v/>
      </c>
      <c r="L3737" s="65" t="str">
        <f>IF(COUNTA(A3737:G3737)=0,"",IF(AND(ISNUMBER(D3737),ISNUMBER(J3737)),ROUND(D3737*J3737*(1-N(F3737)),2),0))</f>
        <v/>
      </c>
      <c r="M3737" s="62" t="str">
        <f>IF(A3737="","",IFERROR(INDEX(fa_cname,MATCH(A3737,fa_num,0))&amp;"",""))</f>
        <v/>
      </c>
      <c r="N3737" s="59" t="str">
        <f>IF(COUNTA(A3737:G3737)=0,"",IF(A3737="","N° facture manquant",IF(ISNA(MATCH(A3737,fa_num,0)),"Facture inconnue",IF(AND(B3737&lt;&gt;"",ISNA(MATCH(B3737,pr_code,0))),"Article inconnu",IF(H3737="","Désignation manquante",IF(OR(NOT(ISNUMBER(D3737)),N(D3737)&lt;=0),"Quantité invalide",IF(J3737="","Prix manquant",IF(OR(NOT(ISNUMBER(J3737)),N(J3737)&lt;0),"Prix invalide",IF(OR(AND(F3737&lt;&gt;"",NOT(ISNUMBER(F3737))),N(F3737)&lt;0,N(F3737)&gt;1),"Remise invalide",IF(K3737="","Taux de TVA manquant",IF(NOT(ISNUMBER(K3737)),"Taux de TVA invalide",IF(COUNTIF(p_rates,K3737)=0,"Taux de TVA hors liste (Paramètres)",IF(N(O3737)&gt;25,"Au-delà de 25 lignes : non imprimée","OK")))))))))))))</f>
        <v/>
      </c>
      <c r="O3737" s="59" t="str">
        <f>IF(A3737="","",COUNTIF($A$6:A3737,A3737))</f>
        <v/>
      </c>
      <c r="P3737" s="62" t="str">
        <f>IF(A3737="","",A3737&amp;"|"&amp;O3737)</f>
        <v/>
      </c>
    </row>
    <row r="3738">
      <c r="A3738" s="60" t="n"/>
      <c r="B3738" s="63" t="n"/>
      <c r="C3738" s="63" t="n"/>
      <c r="D3738" s="67" t="n"/>
      <c r="E3738" s="68" t="n"/>
      <c r="F3738" s="69" t="n"/>
      <c r="G3738" s="70" t="n"/>
      <c r="H3738" s="62" t="str">
        <f>IF(COUNTA(A3738:G3738)=0,"",IF(C3738&lt;&gt;"",C3738,IF(B3738="","",IFERROR(INDEX(pr_des,MATCH(B3738,pr_code,0))&amp;"",""))))</f>
        <v/>
      </c>
      <c r="I3738" s="59" t="str">
        <f>IF(B3738="","",IFERROR(INDEX(pr_unit,MATCH(B3738,pr_code,0))&amp;"",""))</f>
        <v/>
      </c>
      <c r="J3738" s="65" t="str">
        <f>IF(COUNTA(A3738:G3738)=0,"",IF(E3738&lt;&gt;"",E3738,IF(B3738="","",IFERROR(IF(INDEX(pr_price,MATCH(B3738,pr_code,0))="","",INDEX(pr_price,MATCH(B3738,pr_code,0))),""))))</f>
        <v/>
      </c>
      <c r="K3738" s="71" t="str">
        <f>IF(COUNTA(A3738:G3738)=0,"",IF(G3738&lt;&gt;"",G3738,IF(B3738="","",IFERROR(IF(INDEX(pr_rate,MATCH(B3738,pr_code,0))="","",INDEX(pr_rate,MATCH(B3738,pr_code,0))),""))))</f>
        <v/>
      </c>
      <c r="L3738" s="65" t="str">
        <f>IF(COUNTA(A3738:G3738)=0,"",IF(AND(ISNUMBER(D3738),ISNUMBER(J3738)),ROUND(D3738*J3738*(1-N(F3738)),2),0))</f>
        <v/>
      </c>
      <c r="M3738" s="62" t="str">
        <f>IF(A3738="","",IFERROR(INDEX(fa_cname,MATCH(A3738,fa_num,0))&amp;"",""))</f>
        <v/>
      </c>
      <c r="N3738" s="59" t="str">
        <f>IF(COUNTA(A3738:G3738)=0,"",IF(A3738="","N° facture manquant",IF(ISNA(MATCH(A3738,fa_num,0)),"Facture inconnue",IF(AND(B3738&lt;&gt;"",ISNA(MATCH(B3738,pr_code,0))),"Article inconnu",IF(H3738="","Désignation manquante",IF(OR(NOT(ISNUMBER(D3738)),N(D3738)&lt;=0),"Quantité invalide",IF(J3738="","Prix manquant",IF(OR(NOT(ISNUMBER(J3738)),N(J3738)&lt;0),"Prix invalide",IF(OR(AND(F3738&lt;&gt;"",NOT(ISNUMBER(F3738))),N(F3738)&lt;0,N(F3738)&gt;1),"Remise invalide",IF(K3738="","Taux de TVA manquant",IF(NOT(ISNUMBER(K3738)),"Taux de TVA invalide",IF(COUNTIF(p_rates,K3738)=0,"Taux de TVA hors liste (Paramètres)",IF(N(O3738)&gt;25,"Au-delà de 25 lignes : non imprimée","OK")))))))))))))</f>
        <v/>
      </c>
      <c r="O3738" s="59" t="str">
        <f>IF(A3738="","",COUNTIF($A$6:A3738,A3738))</f>
        <v/>
      </c>
      <c r="P3738" s="62" t="str">
        <f>IF(A3738="","",A3738&amp;"|"&amp;O3738)</f>
        <v/>
      </c>
    </row>
    <row r="3739">
      <c r="A3739" s="60" t="n"/>
      <c r="B3739" s="63" t="n"/>
      <c r="C3739" s="63" t="n"/>
      <c r="D3739" s="67" t="n"/>
      <c r="E3739" s="68" t="n"/>
      <c r="F3739" s="69" t="n"/>
      <c r="G3739" s="70" t="n"/>
      <c r="H3739" s="62" t="str">
        <f>IF(COUNTA(A3739:G3739)=0,"",IF(C3739&lt;&gt;"",C3739,IF(B3739="","",IFERROR(INDEX(pr_des,MATCH(B3739,pr_code,0))&amp;"",""))))</f>
        <v/>
      </c>
      <c r="I3739" s="59" t="str">
        <f>IF(B3739="","",IFERROR(INDEX(pr_unit,MATCH(B3739,pr_code,0))&amp;"",""))</f>
        <v/>
      </c>
      <c r="J3739" s="65" t="str">
        <f>IF(COUNTA(A3739:G3739)=0,"",IF(E3739&lt;&gt;"",E3739,IF(B3739="","",IFERROR(IF(INDEX(pr_price,MATCH(B3739,pr_code,0))="","",INDEX(pr_price,MATCH(B3739,pr_code,0))),""))))</f>
        <v/>
      </c>
      <c r="K3739" s="71" t="str">
        <f>IF(COUNTA(A3739:G3739)=0,"",IF(G3739&lt;&gt;"",G3739,IF(B3739="","",IFERROR(IF(INDEX(pr_rate,MATCH(B3739,pr_code,0))="","",INDEX(pr_rate,MATCH(B3739,pr_code,0))),""))))</f>
        <v/>
      </c>
      <c r="L3739" s="65" t="str">
        <f>IF(COUNTA(A3739:G3739)=0,"",IF(AND(ISNUMBER(D3739),ISNUMBER(J3739)),ROUND(D3739*J3739*(1-N(F3739)),2),0))</f>
        <v/>
      </c>
      <c r="M3739" s="62" t="str">
        <f>IF(A3739="","",IFERROR(INDEX(fa_cname,MATCH(A3739,fa_num,0))&amp;"",""))</f>
        <v/>
      </c>
      <c r="N3739" s="59" t="str">
        <f>IF(COUNTA(A3739:G3739)=0,"",IF(A3739="","N° facture manquant",IF(ISNA(MATCH(A3739,fa_num,0)),"Facture inconnue",IF(AND(B3739&lt;&gt;"",ISNA(MATCH(B3739,pr_code,0))),"Article inconnu",IF(H3739="","Désignation manquante",IF(OR(NOT(ISNUMBER(D3739)),N(D3739)&lt;=0),"Quantité invalide",IF(J3739="","Prix manquant",IF(OR(NOT(ISNUMBER(J3739)),N(J3739)&lt;0),"Prix invalide",IF(OR(AND(F3739&lt;&gt;"",NOT(ISNUMBER(F3739))),N(F3739)&lt;0,N(F3739)&gt;1),"Remise invalide",IF(K3739="","Taux de TVA manquant",IF(NOT(ISNUMBER(K3739)),"Taux de TVA invalide",IF(COUNTIF(p_rates,K3739)=0,"Taux de TVA hors liste (Paramètres)",IF(N(O3739)&gt;25,"Au-delà de 25 lignes : non imprimée","OK")))))))))))))</f>
        <v/>
      </c>
      <c r="O3739" s="59" t="str">
        <f>IF(A3739="","",COUNTIF($A$6:A3739,A3739))</f>
        <v/>
      </c>
      <c r="P3739" s="62" t="str">
        <f>IF(A3739="","",A3739&amp;"|"&amp;O3739)</f>
        <v/>
      </c>
    </row>
    <row r="3740">
      <c r="A3740" s="60" t="n"/>
      <c r="B3740" s="63" t="n"/>
      <c r="C3740" s="63" t="n"/>
      <c r="D3740" s="67" t="n"/>
      <c r="E3740" s="68" t="n"/>
      <c r="F3740" s="69" t="n"/>
      <c r="G3740" s="70" t="n"/>
      <c r="H3740" s="62" t="str">
        <f>IF(COUNTA(A3740:G3740)=0,"",IF(C3740&lt;&gt;"",C3740,IF(B3740="","",IFERROR(INDEX(pr_des,MATCH(B3740,pr_code,0))&amp;"",""))))</f>
        <v/>
      </c>
      <c r="I3740" s="59" t="str">
        <f>IF(B3740="","",IFERROR(INDEX(pr_unit,MATCH(B3740,pr_code,0))&amp;"",""))</f>
        <v/>
      </c>
      <c r="J3740" s="65" t="str">
        <f>IF(COUNTA(A3740:G3740)=0,"",IF(E3740&lt;&gt;"",E3740,IF(B3740="","",IFERROR(IF(INDEX(pr_price,MATCH(B3740,pr_code,0))="","",INDEX(pr_price,MATCH(B3740,pr_code,0))),""))))</f>
        <v/>
      </c>
      <c r="K3740" s="71" t="str">
        <f>IF(COUNTA(A3740:G3740)=0,"",IF(G3740&lt;&gt;"",G3740,IF(B3740="","",IFERROR(IF(INDEX(pr_rate,MATCH(B3740,pr_code,0))="","",INDEX(pr_rate,MATCH(B3740,pr_code,0))),""))))</f>
        <v/>
      </c>
      <c r="L3740" s="65" t="str">
        <f>IF(COUNTA(A3740:G3740)=0,"",IF(AND(ISNUMBER(D3740),ISNUMBER(J3740)),ROUND(D3740*J3740*(1-N(F3740)),2),0))</f>
        <v/>
      </c>
      <c r="M3740" s="62" t="str">
        <f>IF(A3740="","",IFERROR(INDEX(fa_cname,MATCH(A3740,fa_num,0))&amp;"",""))</f>
        <v/>
      </c>
      <c r="N3740" s="59" t="str">
        <f>IF(COUNTA(A3740:G3740)=0,"",IF(A3740="","N° facture manquant",IF(ISNA(MATCH(A3740,fa_num,0)),"Facture inconnue",IF(AND(B3740&lt;&gt;"",ISNA(MATCH(B3740,pr_code,0))),"Article inconnu",IF(H3740="","Désignation manquante",IF(OR(NOT(ISNUMBER(D3740)),N(D3740)&lt;=0),"Quantité invalide",IF(J3740="","Prix manquant",IF(OR(NOT(ISNUMBER(J3740)),N(J3740)&lt;0),"Prix invalide",IF(OR(AND(F3740&lt;&gt;"",NOT(ISNUMBER(F3740))),N(F3740)&lt;0,N(F3740)&gt;1),"Remise invalide",IF(K3740="","Taux de TVA manquant",IF(NOT(ISNUMBER(K3740)),"Taux de TVA invalide",IF(COUNTIF(p_rates,K3740)=0,"Taux de TVA hors liste (Paramètres)",IF(N(O3740)&gt;25,"Au-delà de 25 lignes : non imprimée","OK")))))))))))))</f>
        <v/>
      </c>
      <c r="O3740" s="59" t="str">
        <f>IF(A3740="","",COUNTIF($A$6:A3740,A3740))</f>
        <v/>
      </c>
      <c r="P3740" s="62" t="str">
        <f>IF(A3740="","",A3740&amp;"|"&amp;O3740)</f>
        <v/>
      </c>
    </row>
    <row r="3741">
      <c r="A3741" s="60" t="n"/>
      <c r="B3741" s="63" t="n"/>
      <c r="C3741" s="63" t="n"/>
      <c r="D3741" s="67" t="n"/>
      <c r="E3741" s="68" t="n"/>
      <c r="F3741" s="69" t="n"/>
      <c r="G3741" s="70" t="n"/>
      <c r="H3741" s="62" t="str">
        <f>IF(COUNTA(A3741:G3741)=0,"",IF(C3741&lt;&gt;"",C3741,IF(B3741="","",IFERROR(INDEX(pr_des,MATCH(B3741,pr_code,0))&amp;"",""))))</f>
        <v/>
      </c>
      <c r="I3741" s="59" t="str">
        <f>IF(B3741="","",IFERROR(INDEX(pr_unit,MATCH(B3741,pr_code,0))&amp;"",""))</f>
        <v/>
      </c>
      <c r="J3741" s="65" t="str">
        <f>IF(COUNTA(A3741:G3741)=0,"",IF(E3741&lt;&gt;"",E3741,IF(B3741="","",IFERROR(IF(INDEX(pr_price,MATCH(B3741,pr_code,0))="","",INDEX(pr_price,MATCH(B3741,pr_code,0))),""))))</f>
        <v/>
      </c>
      <c r="K3741" s="71" t="str">
        <f>IF(COUNTA(A3741:G3741)=0,"",IF(G3741&lt;&gt;"",G3741,IF(B3741="","",IFERROR(IF(INDEX(pr_rate,MATCH(B3741,pr_code,0))="","",INDEX(pr_rate,MATCH(B3741,pr_code,0))),""))))</f>
        <v/>
      </c>
      <c r="L3741" s="65" t="str">
        <f>IF(COUNTA(A3741:G3741)=0,"",IF(AND(ISNUMBER(D3741),ISNUMBER(J3741)),ROUND(D3741*J3741*(1-N(F3741)),2),0))</f>
        <v/>
      </c>
      <c r="M3741" s="62" t="str">
        <f>IF(A3741="","",IFERROR(INDEX(fa_cname,MATCH(A3741,fa_num,0))&amp;"",""))</f>
        <v/>
      </c>
      <c r="N3741" s="59" t="str">
        <f>IF(COUNTA(A3741:G3741)=0,"",IF(A3741="","N° facture manquant",IF(ISNA(MATCH(A3741,fa_num,0)),"Facture inconnue",IF(AND(B3741&lt;&gt;"",ISNA(MATCH(B3741,pr_code,0))),"Article inconnu",IF(H3741="","Désignation manquante",IF(OR(NOT(ISNUMBER(D3741)),N(D3741)&lt;=0),"Quantité invalide",IF(J3741="","Prix manquant",IF(OR(NOT(ISNUMBER(J3741)),N(J3741)&lt;0),"Prix invalide",IF(OR(AND(F3741&lt;&gt;"",NOT(ISNUMBER(F3741))),N(F3741)&lt;0,N(F3741)&gt;1),"Remise invalide",IF(K3741="","Taux de TVA manquant",IF(NOT(ISNUMBER(K3741)),"Taux de TVA invalide",IF(COUNTIF(p_rates,K3741)=0,"Taux de TVA hors liste (Paramètres)",IF(N(O3741)&gt;25,"Au-delà de 25 lignes : non imprimée","OK")))))))))))))</f>
        <v/>
      </c>
      <c r="O3741" s="59" t="str">
        <f>IF(A3741="","",COUNTIF($A$6:A3741,A3741))</f>
        <v/>
      </c>
      <c r="P3741" s="62" t="str">
        <f>IF(A3741="","",A3741&amp;"|"&amp;O3741)</f>
        <v/>
      </c>
    </row>
    <row r="3742">
      <c r="A3742" s="60" t="n"/>
      <c r="B3742" s="63" t="n"/>
      <c r="C3742" s="63" t="n"/>
      <c r="D3742" s="67" t="n"/>
      <c r="E3742" s="68" t="n"/>
      <c r="F3742" s="69" t="n"/>
      <c r="G3742" s="70" t="n"/>
      <c r="H3742" s="62" t="str">
        <f>IF(COUNTA(A3742:G3742)=0,"",IF(C3742&lt;&gt;"",C3742,IF(B3742="","",IFERROR(INDEX(pr_des,MATCH(B3742,pr_code,0))&amp;"",""))))</f>
        <v/>
      </c>
      <c r="I3742" s="59" t="str">
        <f>IF(B3742="","",IFERROR(INDEX(pr_unit,MATCH(B3742,pr_code,0))&amp;"",""))</f>
        <v/>
      </c>
      <c r="J3742" s="65" t="str">
        <f>IF(COUNTA(A3742:G3742)=0,"",IF(E3742&lt;&gt;"",E3742,IF(B3742="","",IFERROR(IF(INDEX(pr_price,MATCH(B3742,pr_code,0))="","",INDEX(pr_price,MATCH(B3742,pr_code,0))),""))))</f>
        <v/>
      </c>
      <c r="K3742" s="71" t="str">
        <f>IF(COUNTA(A3742:G3742)=0,"",IF(G3742&lt;&gt;"",G3742,IF(B3742="","",IFERROR(IF(INDEX(pr_rate,MATCH(B3742,pr_code,0))="","",INDEX(pr_rate,MATCH(B3742,pr_code,0))),""))))</f>
        <v/>
      </c>
      <c r="L3742" s="65" t="str">
        <f>IF(COUNTA(A3742:G3742)=0,"",IF(AND(ISNUMBER(D3742),ISNUMBER(J3742)),ROUND(D3742*J3742*(1-N(F3742)),2),0))</f>
        <v/>
      </c>
      <c r="M3742" s="62" t="str">
        <f>IF(A3742="","",IFERROR(INDEX(fa_cname,MATCH(A3742,fa_num,0))&amp;"",""))</f>
        <v/>
      </c>
      <c r="N3742" s="59" t="str">
        <f>IF(COUNTA(A3742:G3742)=0,"",IF(A3742="","N° facture manquant",IF(ISNA(MATCH(A3742,fa_num,0)),"Facture inconnue",IF(AND(B3742&lt;&gt;"",ISNA(MATCH(B3742,pr_code,0))),"Article inconnu",IF(H3742="","Désignation manquante",IF(OR(NOT(ISNUMBER(D3742)),N(D3742)&lt;=0),"Quantité invalide",IF(J3742="","Prix manquant",IF(OR(NOT(ISNUMBER(J3742)),N(J3742)&lt;0),"Prix invalide",IF(OR(AND(F3742&lt;&gt;"",NOT(ISNUMBER(F3742))),N(F3742)&lt;0,N(F3742)&gt;1),"Remise invalide",IF(K3742="","Taux de TVA manquant",IF(NOT(ISNUMBER(K3742)),"Taux de TVA invalide",IF(COUNTIF(p_rates,K3742)=0,"Taux de TVA hors liste (Paramètres)",IF(N(O3742)&gt;25,"Au-delà de 25 lignes : non imprimée","OK")))))))))))))</f>
        <v/>
      </c>
      <c r="O3742" s="59" t="str">
        <f>IF(A3742="","",COUNTIF($A$6:A3742,A3742))</f>
        <v/>
      </c>
      <c r="P3742" s="62" t="str">
        <f>IF(A3742="","",A3742&amp;"|"&amp;O3742)</f>
        <v/>
      </c>
    </row>
    <row r="3743">
      <c r="A3743" s="60" t="n"/>
      <c r="B3743" s="63" t="n"/>
      <c r="C3743" s="63" t="n"/>
      <c r="D3743" s="67" t="n"/>
      <c r="E3743" s="68" t="n"/>
      <c r="F3743" s="69" t="n"/>
      <c r="G3743" s="70" t="n"/>
      <c r="H3743" s="62" t="str">
        <f>IF(COUNTA(A3743:G3743)=0,"",IF(C3743&lt;&gt;"",C3743,IF(B3743="","",IFERROR(INDEX(pr_des,MATCH(B3743,pr_code,0))&amp;"",""))))</f>
        <v/>
      </c>
      <c r="I3743" s="59" t="str">
        <f>IF(B3743="","",IFERROR(INDEX(pr_unit,MATCH(B3743,pr_code,0))&amp;"",""))</f>
        <v/>
      </c>
      <c r="J3743" s="65" t="str">
        <f>IF(COUNTA(A3743:G3743)=0,"",IF(E3743&lt;&gt;"",E3743,IF(B3743="","",IFERROR(IF(INDEX(pr_price,MATCH(B3743,pr_code,0))="","",INDEX(pr_price,MATCH(B3743,pr_code,0))),""))))</f>
        <v/>
      </c>
      <c r="K3743" s="71" t="str">
        <f>IF(COUNTA(A3743:G3743)=0,"",IF(G3743&lt;&gt;"",G3743,IF(B3743="","",IFERROR(IF(INDEX(pr_rate,MATCH(B3743,pr_code,0))="","",INDEX(pr_rate,MATCH(B3743,pr_code,0))),""))))</f>
        <v/>
      </c>
      <c r="L3743" s="65" t="str">
        <f>IF(COUNTA(A3743:G3743)=0,"",IF(AND(ISNUMBER(D3743),ISNUMBER(J3743)),ROUND(D3743*J3743*(1-N(F3743)),2),0))</f>
        <v/>
      </c>
      <c r="M3743" s="62" t="str">
        <f>IF(A3743="","",IFERROR(INDEX(fa_cname,MATCH(A3743,fa_num,0))&amp;"",""))</f>
        <v/>
      </c>
      <c r="N3743" s="59" t="str">
        <f>IF(COUNTA(A3743:G3743)=0,"",IF(A3743="","N° facture manquant",IF(ISNA(MATCH(A3743,fa_num,0)),"Facture inconnue",IF(AND(B3743&lt;&gt;"",ISNA(MATCH(B3743,pr_code,0))),"Article inconnu",IF(H3743="","Désignation manquante",IF(OR(NOT(ISNUMBER(D3743)),N(D3743)&lt;=0),"Quantité invalide",IF(J3743="","Prix manquant",IF(OR(NOT(ISNUMBER(J3743)),N(J3743)&lt;0),"Prix invalide",IF(OR(AND(F3743&lt;&gt;"",NOT(ISNUMBER(F3743))),N(F3743)&lt;0,N(F3743)&gt;1),"Remise invalide",IF(K3743="","Taux de TVA manquant",IF(NOT(ISNUMBER(K3743)),"Taux de TVA invalide",IF(COUNTIF(p_rates,K3743)=0,"Taux de TVA hors liste (Paramètres)",IF(N(O3743)&gt;25,"Au-delà de 25 lignes : non imprimée","OK")))))))))))))</f>
        <v/>
      </c>
      <c r="O3743" s="59" t="str">
        <f>IF(A3743="","",COUNTIF($A$6:A3743,A3743))</f>
        <v/>
      </c>
      <c r="P3743" s="62" t="str">
        <f>IF(A3743="","",A3743&amp;"|"&amp;O3743)</f>
        <v/>
      </c>
    </row>
    <row r="3744">
      <c r="A3744" s="60" t="n"/>
      <c r="B3744" s="63" t="n"/>
      <c r="C3744" s="63" t="n"/>
      <c r="D3744" s="67" t="n"/>
      <c r="E3744" s="68" t="n"/>
      <c r="F3744" s="69" t="n"/>
      <c r="G3744" s="70" t="n"/>
      <c r="H3744" s="62" t="str">
        <f>IF(COUNTA(A3744:G3744)=0,"",IF(C3744&lt;&gt;"",C3744,IF(B3744="","",IFERROR(INDEX(pr_des,MATCH(B3744,pr_code,0))&amp;"",""))))</f>
        <v/>
      </c>
      <c r="I3744" s="59" t="str">
        <f>IF(B3744="","",IFERROR(INDEX(pr_unit,MATCH(B3744,pr_code,0))&amp;"",""))</f>
        <v/>
      </c>
      <c r="J3744" s="65" t="str">
        <f>IF(COUNTA(A3744:G3744)=0,"",IF(E3744&lt;&gt;"",E3744,IF(B3744="","",IFERROR(IF(INDEX(pr_price,MATCH(B3744,pr_code,0))="","",INDEX(pr_price,MATCH(B3744,pr_code,0))),""))))</f>
        <v/>
      </c>
      <c r="K3744" s="71" t="str">
        <f>IF(COUNTA(A3744:G3744)=0,"",IF(G3744&lt;&gt;"",G3744,IF(B3744="","",IFERROR(IF(INDEX(pr_rate,MATCH(B3744,pr_code,0))="","",INDEX(pr_rate,MATCH(B3744,pr_code,0))),""))))</f>
        <v/>
      </c>
      <c r="L3744" s="65" t="str">
        <f>IF(COUNTA(A3744:G3744)=0,"",IF(AND(ISNUMBER(D3744),ISNUMBER(J3744)),ROUND(D3744*J3744*(1-N(F3744)),2),0))</f>
        <v/>
      </c>
      <c r="M3744" s="62" t="str">
        <f>IF(A3744="","",IFERROR(INDEX(fa_cname,MATCH(A3744,fa_num,0))&amp;"",""))</f>
        <v/>
      </c>
      <c r="N3744" s="59" t="str">
        <f>IF(COUNTA(A3744:G3744)=0,"",IF(A3744="","N° facture manquant",IF(ISNA(MATCH(A3744,fa_num,0)),"Facture inconnue",IF(AND(B3744&lt;&gt;"",ISNA(MATCH(B3744,pr_code,0))),"Article inconnu",IF(H3744="","Désignation manquante",IF(OR(NOT(ISNUMBER(D3744)),N(D3744)&lt;=0),"Quantité invalide",IF(J3744="","Prix manquant",IF(OR(NOT(ISNUMBER(J3744)),N(J3744)&lt;0),"Prix invalide",IF(OR(AND(F3744&lt;&gt;"",NOT(ISNUMBER(F3744))),N(F3744)&lt;0,N(F3744)&gt;1),"Remise invalide",IF(K3744="","Taux de TVA manquant",IF(NOT(ISNUMBER(K3744)),"Taux de TVA invalide",IF(COUNTIF(p_rates,K3744)=0,"Taux de TVA hors liste (Paramètres)",IF(N(O3744)&gt;25,"Au-delà de 25 lignes : non imprimée","OK")))))))))))))</f>
        <v/>
      </c>
      <c r="O3744" s="59" t="str">
        <f>IF(A3744="","",COUNTIF($A$6:A3744,A3744))</f>
        <v/>
      </c>
      <c r="P3744" s="62" t="str">
        <f>IF(A3744="","",A3744&amp;"|"&amp;O3744)</f>
        <v/>
      </c>
    </row>
    <row r="3745">
      <c r="A3745" s="60" t="n"/>
      <c r="B3745" s="63" t="n"/>
      <c r="C3745" s="63" t="n"/>
      <c r="D3745" s="67" t="n"/>
      <c r="E3745" s="68" t="n"/>
      <c r="F3745" s="69" t="n"/>
      <c r="G3745" s="70" t="n"/>
      <c r="H3745" s="62" t="str">
        <f>IF(COUNTA(A3745:G3745)=0,"",IF(C3745&lt;&gt;"",C3745,IF(B3745="","",IFERROR(INDEX(pr_des,MATCH(B3745,pr_code,0))&amp;"",""))))</f>
        <v/>
      </c>
      <c r="I3745" s="59" t="str">
        <f>IF(B3745="","",IFERROR(INDEX(pr_unit,MATCH(B3745,pr_code,0))&amp;"",""))</f>
        <v/>
      </c>
      <c r="J3745" s="65" t="str">
        <f>IF(COUNTA(A3745:G3745)=0,"",IF(E3745&lt;&gt;"",E3745,IF(B3745="","",IFERROR(IF(INDEX(pr_price,MATCH(B3745,pr_code,0))="","",INDEX(pr_price,MATCH(B3745,pr_code,0))),""))))</f>
        <v/>
      </c>
      <c r="K3745" s="71" t="str">
        <f>IF(COUNTA(A3745:G3745)=0,"",IF(G3745&lt;&gt;"",G3745,IF(B3745="","",IFERROR(IF(INDEX(pr_rate,MATCH(B3745,pr_code,0))="","",INDEX(pr_rate,MATCH(B3745,pr_code,0))),""))))</f>
        <v/>
      </c>
      <c r="L3745" s="65" t="str">
        <f>IF(COUNTA(A3745:G3745)=0,"",IF(AND(ISNUMBER(D3745),ISNUMBER(J3745)),ROUND(D3745*J3745*(1-N(F3745)),2),0))</f>
        <v/>
      </c>
      <c r="M3745" s="62" t="str">
        <f>IF(A3745="","",IFERROR(INDEX(fa_cname,MATCH(A3745,fa_num,0))&amp;"",""))</f>
        <v/>
      </c>
      <c r="N3745" s="59" t="str">
        <f>IF(COUNTA(A3745:G3745)=0,"",IF(A3745="","N° facture manquant",IF(ISNA(MATCH(A3745,fa_num,0)),"Facture inconnue",IF(AND(B3745&lt;&gt;"",ISNA(MATCH(B3745,pr_code,0))),"Article inconnu",IF(H3745="","Désignation manquante",IF(OR(NOT(ISNUMBER(D3745)),N(D3745)&lt;=0),"Quantité invalide",IF(J3745="","Prix manquant",IF(OR(NOT(ISNUMBER(J3745)),N(J3745)&lt;0),"Prix invalide",IF(OR(AND(F3745&lt;&gt;"",NOT(ISNUMBER(F3745))),N(F3745)&lt;0,N(F3745)&gt;1),"Remise invalide",IF(K3745="","Taux de TVA manquant",IF(NOT(ISNUMBER(K3745)),"Taux de TVA invalide",IF(COUNTIF(p_rates,K3745)=0,"Taux de TVA hors liste (Paramètres)",IF(N(O3745)&gt;25,"Au-delà de 25 lignes : non imprimée","OK")))))))))))))</f>
        <v/>
      </c>
      <c r="O3745" s="59" t="str">
        <f>IF(A3745="","",COUNTIF($A$6:A3745,A3745))</f>
        <v/>
      </c>
      <c r="P3745" s="62" t="str">
        <f>IF(A3745="","",A3745&amp;"|"&amp;O3745)</f>
        <v/>
      </c>
    </row>
    <row r="3746">
      <c r="A3746" s="60" t="n"/>
      <c r="B3746" s="63" t="n"/>
      <c r="C3746" s="63" t="n"/>
      <c r="D3746" s="67" t="n"/>
      <c r="E3746" s="68" t="n"/>
      <c r="F3746" s="69" t="n"/>
      <c r="G3746" s="70" t="n"/>
      <c r="H3746" s="62" t="str">
        <f>IF(COUNTA(A3746:G3746)=0,"",IF(C3746&lt;&gt;"",C3746,IF(B3746="","",IFERROR(INDEX(pr_des,MATCH(B3746,pr_code,0))&amp;"",""))))</f>
        <v/>
      </c>
      <c r="I3746" s="59" t="str">
        <f>IF(B3746="","",IFERROR(INDEX(pr_unit,MATCH(B3746,pr_code,0))&amp;"",""))</f>
        <v/>
      </c>
      <c r="J3746" s="65" t="str">
        <f>IF(COUNTA(A3746:G3746)=0,"",IF(E3746&lt;&gt;"",E3746,IF(B3746="","",IFERROR(IF(INDEX(pr_price,MATCH(B3746,pr_code,0))="","",INDEX(pr_price,MATCH(B3746,pr_code,0))),""))))</f>
        <v/>
      </c>
      <c r="K3746" s="71" t="str">
        <f>IF(COUNTA(A3746:G3746)=0,"",IF(G3746&lt;&gt;"",G3746,IF(B3746="","",IFERROR(IF(INDEX(pr_rate,MATCH(B3746,pr_code,0))="","",INDEX(pr_rate,MATCH(B3746,pr_code,0))),""))))</f>
        <v/>
      </c>
      <c r="L3746" s="65" t="str">
        <f>IF(COUNTA(A3746:G3746)=0,"",IF(AND(ISNUMBER(D3746),ISNUMBER(J3746)),ROUND(D3746*J3746*(1-N(F3746)),2),0))</f>
        <v/>
      </c>
      <c r="M3746" s="62" t="str">
        <f>IF(A3746="","",IFERROR(INDEX(fa_cname,MATCH(A3746,fa_num,0))&amp;"",""))</f>
        <v/>
      </c>
      <c r="N3746" s="59" t="str">
        <f>IF(COUNTA(A3746:G3746)=0,"",IF(A3746="","N° facture manquant",IF(ISNA(MATCH(A3746,fa_num,0)),"Facture inconnue",IF(AND(B3746&lt;&gt;"",ISNA(MATCH(B3746,pr_code,0))),"Article inconnu",IF(H3746="","Désignation manquante",IF(OR(NOT(ISNUMBER(D3746)),N(D3746)&lt;=0),"Quantité invalide",IF(J3746="","Prix manquant",IF(OR(NOT(ISNUMBER(J3746)),N(J3746)&lt;0),"Prix invalide",IF(OR(AND(F3746&lt;&gt;"",NOT(ISNUMBER(F3746))),N(F3746)&lt;0,N(F3746)&gt;1),"Remise invalide",IF(K3746="","Taux de TVA manquant",IF(NOT(ISNUMBER(K3746)),"Taux de TVA invalide",IF(COUNTIF(p_rates,K3746)=0,"Taux de TVA hors liste (Paramètres)",IF(N(O3746)&gt;25,"Au-delà de 25 lignes : non imprimée","OK")))))))))))))</f>
        <v/>
      </c>
      <c r="O3746" s="59" t="str">
        <f>IF(A3746="","",COUNTIF($A$6:A3746,A3746))</f>
        <v/>
      </c>
      <c r="P3746" s="62" t="str">
        <f>IF(A3746="","",A3746&amp;"|"&amp;O3746)</f>
        <v/>
      </c>
    </row>
    <row r="3747">
      <c r="A3747" s="60" t="n"/>
      <c r="B3747" s="63" t="n"/>
      <c r="C3747" s="63" t="n"/>
      <c r="D3747" s="67" t="n"/>
      <c r="E3747" s="68" t="n"/>
      <c r="F3747" s="69" t="n"/>
      <c r="G3747" s="70" t="n"/>
      <c r="H3747" s="62" t="str">
        <f>IF(COUNTA(A3747:G3747)=0,"",IF(C3747&lt;&gt;"",C3747,IF(B3747="","",IFERROR(INDEX(pr_des,MATCH(B3747,pr_code,0))&amp;"",""))))</f>
        <v/>
      </c>
      <c r="I3747" s="59" t="str">
        <f>IF(B3747="","",IFERROR(INDEX(pr_unit,MATCH(B3747,pr_code,0))&amp;"",""))</f>
        <v/>
      </c>
      <c r="J3747" s="65" t="str">
        <f>IF(COUNTA(A3747:G3747)=0,"",IF(E3747&lt;&gt;"",E3747,IF(B3747="","",IFERROR(IF(INDEX(pr_price,MATCH(B3747,pr_code,0))="","",INDEX(pr_price,MATCH(B3747,pr_code,0))),""))))</f>
        <v/>
      </c>
      <c r="K3747" s="71" t="str">
        <f>IF(COUNTA(A3747:G3747)=0,"",IF(G3747&lt;&gt;"",G3747,IF(B3747="","",IFERROR(IF(INDEX(pr_rate,MATCH(B3747,pr_code,0))="","",INDEX(pr_rate,MATCH(B3747,pr_code,0))),""))))</f>
        <v/>
      </c>
      <c r="L3747" s="65" t="str">
        <f>IF(COUNTA(A3747:G3747)=0,"",IF(AND(ISNUMBER(D3747),ISNUMBER(J3747)),ROUND(D3747*J3747*(1-N(F3747)),2),0))</f>
        <v/>
      </c>
      <c r="M3747" s="62" t="str">
        <f>IF(A3747="","",IFERROR(INDEX(fa_cname,MATCH(A3747,fa_num,0))&amp;"",""))</f>
        <v/>
      </c>
      <c r="N3747" s="59" t="str">
        <f>IF(COUNTA(A3747:G3747)=0,"",IF(A3747="","N° facture manquant",IF(ISNA(MATCH(A3747,fa_num,0)),"Facture inconnue",IF(AND(B3747&lt;&gt;"",ISNA(MATCH(B3747,pr_code,0))),"Article inconnu",IF(H3747="","Désignation manquante",IF(OR(NOT(ISNUMBER(D3747)),N(D3747)&lt;=0),"Quantité invalide",IF(J3747="","Prix manquant",IF(OR(NOT(ISNUMBER(J3747)),N(J3747)&lt;0),"Prix invalide",IF(OR(AND(F3747&lt;&gt;"",NOT(ISNUMBER(F3747))),N(F3747)&lt;0,N(F3747)&gt;1),"Remise invalide",IF(K3747="","Taux de TVA manquant",IF(NOT(ISNUMBER(K3747)),"Taux de TVA invalide",IF(COUNTIF(p_rates,K3747)=0,"Taux de TVA hors liste (Paramètres)",IF(N(O3747)&gt;25,"Au-delà de 25 lignes : non imprimée","OK")))))))))))))</f>
        <v/>
      </c>
      <c r="O3747" s="59" t="str">
        <f>IF(A3747="","",COUNTIF($A$6:A3747,A3747))</f>
        <v/>
      </c>
      <c r="P3747" s="62" t="str">
        <f>IF(A3747="","",A3747&amp;"|"&amp;O3747)</f>
        <v/>
      </c>
    </row>
    <row r="3748">
      <c r="A3748" s="60" t="n"/>
      <c r="B3748" s="63" t="n"/>
      <c r="C3748" s="63" t="n"/>
      <c r="D3748" s="67" t="n"/>
      <c r="E3748" s="68" t="n"/>
      <c r="F3748" s="69" t="n"/>
      <c r="G3748" s="70" t="n"/>
      <c r="H3748" s="62" t="str">
        <f>IF(COUNTA(A3748:G3748)=0,"",IF(C3748&lt;&gt;"",C3748,IF(B3748="","",IFERROR(INDEX(pr_des,MATCH(B3748,pr_code,0))&amp;"",""))))</f>
        <v/>
      </c>
      <c r="I3748" s="59" t="str">
        <f>IF(B3748="","",IFERROR(INDEX(pr_unit,MATCH(B3748,pr_code,0))&amp;"",""))</f>
        <v/>
      </c>
      <c r="J3748" s="65" t="str">
        <f>IF(COUNTA(A3748:G3748)=0,"",IF(E3748&lt;&gt;"",E3748,IF(B3748="","",IFERROR(IF(INDEX(pr_price,MATCH(B3748,pr_code,0))="","",INDEX(pr_price,MATCH(B3748,pr_code,0))),""))))</f>
        <v/>
      </c>
      <c r="K3748" s="71" t="str">
        <f>IF(COUNTA(A3748:G3748)=0,"",IF(G3748&lt;&gt;"",G3748,IF(B3748="","",IFERROR(IF(INDEX(pr_rate,MATCH(B3748,pr_code,0))="","",INDEX(pr_rate,MATCH(B3748,pr_code,0))),""))))</f>
        <v/>
      </c>
      <c r="L3748" s="65" t="str">
        <f>IF(COUNTA(A3748:G3748)=0,"",IF(AND(ISNUMBER(D3748),ISNUMBER(J3748)),ROUND(D3748*J3748*(1-N(F3748)),2),0))</f>
        <v/>
      </c>
      <c r="M3748" s="62" t="str">
        <f>IF(A3748="","",IFERROR(INDEX(fa_cname,MATCH(A3748,fa_num,0))&amp;"",""))</f>
        <v/>
      </c>
      <c r="N3748" s="59" t="str">
        <f>IF(COUNTA(A3748:G3748)=0,"",IF(A3748="","N° facture manquant",IF(ISNA(MATCH(A3748,fa_num,0)),"Facture inconnue",IF(AND(B3748&lt;&gt;"",ISNA(MATCH(B3748,pr_code,0))),"Article inconnu",IF(H3748="","Désignation manquante",IF(OR(NOT(ISNUMBER(D3748)),N(D3748)&lt;=0),"Quantité invalide",IF(J3748="","Prix manquant",IF(OR(NOT(ISNUMBER(J3748)),N(J3748)&lt;0),"Prix invalide",IF(OR(AND(F3748&lt;&gt;"",NOT(ISNUMBER(F3748))),N(F3748)&lt;0,N(F3748)&gt;1),"Remise invalide",IF(K3748="","Taux de TVA manquant",IF(NOT(ISNUMBER(K3748)),"Taux de TVA invalide",IF(COUNTIF(p_rates,K3748)=0,"Taux de TVA hors liste (Paramètres)",IF(N(O3748)&gt;25,"Au-delà de 25 lignes : non imprimée","OK")))))))))))))</f>
        <v/>
      </c>
      <c r="O3748" s="59" t="str">
        <f>IF(A3748="","",COUNTIF($A$6:A3748,A3748))</f>
        <v/>
      </c>
      <c r="P3748" s="62" t="str">
        <f>IF(A3748="","",A3748&amp;"|"&amp;O3748)</f>
        <v/>
      </c>
    </row>
    <row r="3749">
      <c r="A3749" s="60" t="n"/>
      <c r="B3749" s="63" t="n"/>
      <c r="C3749" s="63" t="n"/>
      <c r="D3749" s="67" t="n"/>
      <c r="E3749" s="68" t="n"/>
      <c r="F3749" s="69" t="n"/>
      <c r="G3749" s="70" t="n"/>
      <c r="H3749" s="62" t="str">
        <f>IF(COUNTA(A3749:G3749)=0,"",IF(C3749&lt;&gt;"",C3749,IF(B3749="","",IFERROR(INDEX(pr_des,MATCH(B3749,pr_code,0))&amp;"",""))))</f>
        <v/>
      </c>
      <c r="I3749" s="59" t="str">
        <f>IF(B3749="","",IFERROR(INDEX(pr_unit,MATCH(B3749,pr_code,0))&amp;"",""))</f>
        <v/>
      </c>
      <c r="J3749" s="65" t="str">
        <f>IF(COUNTA(A3749:G3749)=0,"",IF(E3749&lt;&gt;"",E3749,IF(B3749="","",IFERROR(IF(INDEX(pr_price,MATCH(B3749,pr_code,0))="","",INDEX(pr_price,MATCH(B3749,pr_code,0))),""))))</f>
        <v/>
      </c>
      <c r="K3749" s="71" t="str">
        <f>IF(COUNTA(A3749:G3749)=0,"",IF(G3749&lt;&gt;"",G3749,IF(B3749="","",IFERROR(IF(INDEX(pr_rate,MATCH(B3749,pr_code,0))="","",INDEX(pr_rate,MATCH(B3749,pr_code,0))),""))))</f>
        <v/>
      </c>
      <c r="L3749" s="65" t="str">
        <f>IF(COUNTA(A3749:G3749)=0,"",IF(AND(ISNUMBER(D3749),ISNUMBER(J3749)),ROUND(D3749*J3749*(1-N(F3749)),2),0))</f>
        <v/>
      </c>
      <c r="M3749" s="62" t="str">
        <f>IF(A3749="","",IFERROR(INDEX(fa_cname,MATCH(A3749,fa_num,0))&amp;"",""))</f>
        <v/>
      </c>
      <c r="N3749" s="59" t="str">
        <f>IF(COUNTA(A3749:G3749)=0,"",IF(A3749="","N° facture manquant",IF(ISNA(MATCH(A3749,fa_num,0)),"Facture inconnue",IF(AND(B3749&lt;&gt;"",ISNA(MATCH(B3749,pr_code,0))),"Article inconnu",IF(H3749="","Désignation manquante",IF(OR(NOT(ISNUMBER(D3749)),N(D3749)&lt;=0),"Quantité invalide",IF(J3749="","Prix manquant",IF(OR(NOT(ISNUMBER(J3749)),N(J3749)&lt;0),"Prix invalide",IF(OR(AND(F3749&lt;&gt;"",NOT(ISNUMBER(F3749))),N(F3749)&lt;0,N(F3749)&gt;1),"Remise invalide",IF(K3749="","Taux de TVA manquant",IF(NOT(ISNUMBER(K3749)),"Taux de TVA invalide",IF(COUNTIF(p_rates,K3749)=0,"Taux de TVA hors liste (Paramètres)",IF(N(O3749)&gt;25,"Au-delà de 25 lignes : non imprimée","OK")))))))))))))</f>
        <v/>
      </c>
      <c r="O3749" s="59" t="str">
        <f>IF(A3749="","",COUNTIF($A$6:A3749,A3749))</f>
        <v/>
      </c>
      <c r="P3749" s="62" t="str">
        <f>IF(A3749="","",A3749&amp;"|"&amp;O3749)</f>
        <v/>
      </c>
    </row>
    <row r="3750">
      <c r="A3750" s="60" t="n"/>
      <c r="B3750" s="63" t="n"/>
      <c r="C3750" s="63" t="n"/>
      <c r="D3750" s="67" t="n"/>
      <c r="E3750" s="68" t="n"/>
      <c r="F3750" s="69" t="n"/>
      <c r="G3750" s="70" t="n"/>
      <c r="H3750" s="62" t="str">
        <f>IF(COUNTA(A3750:G3750)=0,"",IF(C3750&lt;&gt;"",C3750,IF(B3750="","",IFERROR(INDEX(pr_des,MATCH(B3750,pr_code,0))&amp;"",""))))</f>
        <v/>
      </c>
      <c r="I3750" s="59" t="str">
        <f>IF(B3750="","",IFERROR(INDEX(pr_unit,MATCH(B3750,pr_code,0))&amp;"",""))</f>
        <v/>
      </c>
      <c r="J3750" s="65" t="str">
        <f>IF(COUNTA(A3750:G3750)=0,"",IF(E3750&lt;&gt;"",E3750,IF(B3750="","",IFERROR(IF(INDEX(pr_price,MATCH(B3750,pr_code,0))="","",INDEX(pr_price,MATCH(B3750,pr_code,0))),""))))</f>
        <v/>
      </c>
      <c r="K3750" s="71" t="str">
        <f>IF(COUNTA(A3750:G3750)=0,"",IF(G3750&lt;&gt;"",G3750,IF(B3750="","",IFERROR(IF(INDEX(pr_rate,MATCH(B3750,pr_code,0))="","",INDEX(pr_rate,MATCH(B3750,pr_code,0))),""))))</f>
        <v/>
      </c>
      <c r="L3750" s="65" t="str">
        <f>IF(COUNTA(A3750:G3750)=0,"",IF(AND(ISNUMBER(D3750),ISNUMBER(J3750)),ROUND(D3750*J3750*(1-N(F3750)),2),0))</f>
        <v/>
      </c>
      <c r="M3750" s="62" t="str">
        <f>IF(A3750="","",IFERROR(INDEX(fa_cname,MATCH(A3750,fa_num,0))&amp;"",""))</f>
        <v/>
      </c>
      <c r="N3750" s="59" t="str">
        <f>IF(COUNTA(A3750:G3750)=0,"",IF(A3750="","N° facture manquant",IF(ISNA(MATCH(A3750,fa_num,0)),"Facture inconnue",IF(AND(B3750&lt;&gt;"",ISNA(MATCH(B3750,pr_code,0))),"Article inconnu",IF(H3750="","Désignation manquante",IF(OR(NOT(ISNUMBER(D3750)),N(D3750)&lt;=0),"Quantité invalide",IF(J3750="","Prix manquant",IF(OR(NOT(ISNUMBER(J3750)),N(J3750)&lt;0),"Prix invalide",IF(OR(AND(F3750&lt;&gt;"",NOT(ISNUMBER(F3750))),N(F3750)&lt;0,N(F3750)&gt;1),"Remise invalide",IF(K3750="","Taux de TVA manquant",IF(NOT(ISNUMBER(K3750)),"Taux de TVA invalide",IF(COUNTIF(p_rates,K3750)=0,"Taux de TVA hors liste (Paramètres)",IF(N(O3750)&gt;25,"Au-delà de 25 lignes : non imprimée","OK")))))))))))))</f>
        <v/>
      </c>
      <c r="O3750" s="59" t="str">
        <f>IF(A3750="","",COUNTIF($A$6:A3750,A3750))</f>
        <v/>
      </c>
      <c r="P3750" s="62" t="str">
        <f>IF(A3750="","",A3750&amp;"|"&amp;O3750)</f>
        <v/>
      </c>
    </row>
    <row r="3751">
      <c r="A3751" s="60" t="n"/>
      <c r="B3751" s="63" t="n"/>
      <c r="C3751" s="63" t="n"/>
      <c r="D3751" s="67" t="n"/>
      <c r="E3751" s="68" t="n"/>
      <c r="F3751" s="69" t="n"/>
      <c r="G3751" s="70" t="n"/>
      <c r="H3751" s="62" t="str">
        <f>IF(COUNTA(A3751:G3751)=0,"",IF(C3751&lt;&gt;"",C3751,IF(B3751="","",IFERROR(INDEX(pr_des,MATCH(B3751,pr_code,0))&amp;"",""))))</f>
        <v/>
      </c>
      <c r="I3751" s="59" t="str">
        <f>IF(B3751="","",IFERROR(INDEX(pr_unit,MATCH(B3751,pr_code,0))&amp;"",""))</f>
        <v/>
      </c>
      <c r="J3751" s="65" t="str">
        <f>IF(COUNTA(A3751:G3751)=0,"",IF(E3751&lt;&gt;"",E3751,IF(B3751="","",IFERROR(IF(INDEX(pr_price,MATCH(B3751,pr_code,0))="","",INDEX(pr_price,MATCH(B3751,pr_code,0))),""))))</f>
        <v/>
      </c>
      <c r="K3751" s="71" t="str">
        <f>IF(COUNTA(A3751:G3751)=0,"",IF(G3751&lt;&gt;"",G3751,IF(B3751="","",IFERROR(IF(INDEX(pr_rate,MATCH(B3751,pr_code,0))="","",INDEX(pr_rate,MATCH(B3751,pr_code,0))),""))))</f>
        <v/>
      </c>
      <c r="L3751" s="65" t="str">
        <f>IF(COUNTA(A3751:G3751)=0,"",IF(AND(ISNUMBER(D3751),ISNUMBER(J3751)),ROUND(D3751*J3751*(1-N(F3751)),2),0))</f>
        <v/>
      </c>
      <c r="M3751" s="62" t="str">
        <f>IF(A3751="","",IFERROR(INDEX(fa_cname,MATCH(A3751,fa_num,0))&amp;"",""))</f>
        <v/>
      </c>
      <c r="N3751" s="59" t="str">
        <f>IF(COUNTA(A3751:G3751)=0,"",IF(A3751="","N° facture manquant",IF(ISNA(MATCH(A3751,fa_num,0)),"Facture inconnue",IF(AND(B3751&lt;&gt;"",ISNA(MATCH(B3751,pr_code,0))),"Article inconnu",IF(H3751="","Désignation manquante",IF(OR(NOT(ISNUMBER(D3751)),N(D3751)&lt;=0),"Quantité invalide",IF(J3751="","Prix manquant",IF(OR(NOT(ISNUMBER(J3751)),N(J3751)&lt;0),"Prix invalide",IF(OR(AND(F3751&lt;&gt;"",NOT(ISNUMBER(F3751))),N(F3751)&lt;0,N(F3751)&gt;1),"Remise invalide",IF(K3751="","Taux de TVA manquant",IF(NOT(ISNUMBER(K3751)),"Taux de TVA invalide",IF(COUNTIF(p_rates,K3751)=0,"Taux de TVA hors liste (Paramètres)",IF(N(O3751)&gt;25,"Au-delà de 25 lignes : non imprimée","OK")))))))))))))</f>
        <v/>
      </c>
      <c r="O3751" s="59" t="str">
        <f>IF(A3751="","",COUNTIF($A$6:A3751,A3751))</f>
        <v/>
      </c>
      <c r="P3751" s="62" t="str">
        <f>IF(A3751="","",A3751&amp;"|"&amp;O3751)</f>
        <v/>
      </c>
    </row>
    <row r="3752">
      <c r="A3752" s="60" t="n"/>
      <c r="B3752" s="63" t="n"/>
      <c r="C3752" s="63" t="n"/>
      <c r="D3752" s="67" t="n"/>
      <c r="E3752" s="68" t="n"/>
      <c r="F3752" s="69" t="n"/>
      <c r="G3752" s="70" t="n"/>
      <c r="H3752" s="62" t="str">
        <f>IF(COUNTA(A3752:G3752)=0,"",IF(C3752&lt;&gt;"",C3752,IF(B3752="","",IFERROR(INDEX(pr_des,MATCH(B3752,pr_code,0))&amp;"",""))))</f>
        <v/>
      </c>
      <c r="I3752" s="59" t="str">
        <f>IF(B3752="","",IFERROR(INDEX(pr_unit,MATCH(B3752,pr_code,0))&amp;"",""))</f>
        <v/>
      </c>
      <c r="J3752" s="65" t="str">
        <f>IF(COUNTA(A3752:G3752)=0,"",IF(E3752&lt;&gt;"",E3752,IF(B3752="","",IFERROR(IF(INDEX(pr_price,MATCH(B3752,pr_code,0))="","",INDEX(pr_price,MATCH(B3752,pr_code,0))),""))))</f>
        <v/>
      </c>
      <c r="K3752" s="71" t="str">
        <f>IF(COUNTA(A3752:G3752)=0,"",IF(G3752&lt;&gt;"",G3752,IF(B3752="","",IFERROR(IF(INDEX(pr_rate,MATCH(B3752,pr_code,0))="","",INDEX(pr_rate,MATCH(B3752,pr_code,0))),""))))</f>
        <v/>
      </c>
      <c r="L3752" s="65" t="str">
        <f>IF(COUNTA(A3752:G3752)=0,"",IF(AND(ISNUMBER(D3752),ISNUMBER(J3752)),ROUND(D3752*J3752*(1-N(F3752)),2),0))</f>
        <v/>
      </c>
      <c r="M3752" s="62" t="str">
        <f>IF(A3752="","",IFERROR(INDEX(fa_cname,MATCH(A3752,fa_num,0))&amp;"",""))</f>
        <v/>
      </c>
      <c r="N3752" s="59" t="str">
        <f>IF(COUNTA(A3752:G3752)=0,"",IF(A3752="","N° facture manquant",IF(ISNA(MATCH(A3752,fa_num,0)),"Facture inconnue",IF(AND(B3752&lt;&gt;"",ISNA(MATCH(B3752,pr_code,0))),"Article inconnu",IF(H3752="","Désignation manquante",IF(OR(NOT(ISNUMBER(D3752)),N(D3752)&lt;=0),"Quantité invalide",IF(J3752="","Prix manquant",IF(OR(NOT(ISNUMBER(J3752)),N(J3752)&lt;0),"Prix invalide",IF(OR(AND(F3752&lt;&gt;"",NOT(ISNUMBER(F3752))),N(F3752)&lt;0,N(F3752)&gt;1),"Remise invalide",IF(K3752="","Taux de TVA manquant",IF(NOT(ISNUMBER(K3752)),"Taux de TVA invalide",IF(COUNTIF(p_rates,K3752)=0,"Taux de TVA hors liste (Paramètres)",IF(N(O3752)&gt;25,"Au-delà de 25 lignes : non imprimée","OK")))))))))))))</f>
        <v/>
      </c>
      <c r="O3752" s="59" t="str">
        <f>IF(A3752="","",COUNTIF($A$6:A3752,A3752))</f>
        <v/>
      </c>
      <c r="P3752" s="62" t="str">
        <f>IF(A3752="","",A3752&amp;"|"&amp;O3752)</f>
        <v/>
      </c>
    </row>
    <row r="3753">
      <c r="A3753" s="60" t="n"/>
      <c r="B3753" s="63" t="n"/>
      <c r="C3753" s="63" t="n"/>
      <c r="D3753" s="67" t="n"/>
      <c r="E3753" s="68" t="n"/>
      <c r="F3753" s="69" t="n"/>
      <c r="G3753" s="70" t="n"/>
      <c r="H3753" s="62" t="str">
        <f>IF(COUNTA(A3753:G3753)=0,"",IF(C3753&lt;&gt;"",C3753,IF(B3753="","",IFERROR(INDEX(pr_des,MATCH(B3753,pr_code,0))&amp;"",""))))</f>
        <v/>
      </c>
      <c r="I3753" s="59" t="str">
        <f>IF(B3753="","",IFERROR(INDEX(pr_unit,MATCH(B3753,pr_code,0))&amp;"",""))</f>
        <v/>
      </c>
      <c r="J3753" s="65" t="str">
        <f>IF(COUNTA(A3753:G3753)=0,"",IF(E3753&lt;&gt;"",E3753,IF(B3753="","",IFERROR(IF(INDEX(pr_price,MATCH(B3753,pr_code,0))="","",INDEX(pr_price,MATCH(B3753,pr_code,0))),""))))</f>
        <v/>
      </c>
      <c r="K3753" s="71" t="str">
        <f>IF(COUNTA(A3753:G3753)=0,"",IF(G3753&lt;&gt;"",G3753,IF(B3753="","",IFERROR(IF(INDEX(pr_rate,MATCH(B3753,pr_code,0))="","",INDEX(pr_rate,MATCH(B3753,pr_code,0))),""))))</f>
        <v/>
      </c>
      <c r="L3753" s="65" t="str">
        <f>IF(COUNTA(A3753:G3753)=0,"",IF(AND(ISNUMBER(D3753),ISNUMBER(J3753)),ROUND(D3753*J3753*(1-N(F3753)),2),0))</f>
        <v/>
      </c>
      <c r="M3753" s="62" t="str">
        <f>IF(A3753="","",IFERROR(INDEX(fa_cname,MATCH(A3753,fa_num,0))&amp;"",""))</f>
        <v/>
      </c>
      <c r="N3753" s="59" t="str">
        <f>IF(COUNTA(A3753:G3753)=0,"",IF(A3753="","N° facture manquant",IF(ISNA(MATCH(A3753,fa_num,0)),"Facture inconnue",IF(AND(B3753&lt;&gt;"",ISNA(MATCH(B3753,pr_code,0))),"Article inconnu",IF(H3753="","Désignation manquante",IF(OR(NOT(ISNUMBER(D3753)),N(D3753)&lt;=0),"Quantité invalide",IF(J3753="","Prix manquant",IF(OR(NOT(ISNUMBER(J3753)),N(J3753)&lt;0),"Prix invalide",IF(OR(AND(F3753&lt;&gt;"",NOT(ISNUMBER(F3753))),N(F3753)&lt;0,N(F3753)&gt;1),"Remise invalide",IF(K3753="","Taux de TVA manquant",IF(NOT(ISNUMBER(K3753)),"Taux de TVA invalide",IF(COUNTIF(p_rates,K3753)=0,"Taux de TVA hors liste (Paramètres)",IF(N(O3753)&gt;25,"Au-delà de 25 lignes : non imprimée","OK")))))))))))))</f>
        <v/>
      </c>
      <c r="O3753" s="59" t="str">
        <f>IF(A3753="","",COUNTIF($A$6:A3753,A3753))</f>
        <v/>
      </c>
      <c r="P3753" s="62" t="str">
        <f>IF(A3753="","",A3753&amp;"|"&amp;O3753)</f>
        <v/>
      </c>
    </row>
    <row r="3754">
      <c r="A3754" s="60" t="n"/>
      <c r="B3754" s="63" t="n"/>
      <c r="C3754" s="63" t="n"/>
      <c r="D3754" s="67" t="n"/>
      <c r="E3754" s="68" t="n"/>
      <c r="F3754" s="69" t="n"/>
      <c r="G3754" s="70" t="n"/>
      <c r="H3754" s="62" t="str">
        <f>IF(COUNTA(A3754:G3754)=0,"",IF(C3754&lt;&gt;"",C3754,IF(B3754="","",IFERROR(INDEX(pr_des,MATCH(B3754,pr_code,0))&amp;"",""))))</f>
        <v/>
      </c>
      <c r="I3754" s="59" t="str">
        <f>IF(B3754="","",IFERROR(INDEX(pr_unit,MATCH(B3754,pr_code,0))&amp;"",""))</f>
        <v/>
      </c>
      <c r="J3754" s="65" t="str">
        <f>IF(COUNTA(A3754:G3754)=0,"",IF(E3754&lt;&gt;"",E3754,IF(B3754="","",IFERROR(IF(INDEX(pr_price,MATCH(B3754,pr_code,0))="","",INDEX(pr_price,MATCH(B3754,pr_code,0))),""))))</f>
        <v/>
      </c>
      <c r="K3754" s="71" t="str">
        <f>IF(COUNTA(A3754:G3754)=0,"",IF(G3754&lt;&gt;"",G3754,IF(B3754="","",IFERROR(IF(INDEX(pr_rate,MATCH(B3754,pr_code,0))="","",INDEX(pr_rate,MATCH(B3754,pr_code,0))),""))))</f>
        <v/>
      </c>
      <c r="L3754" s="65" t="str">
        <f>IF(COUNTA(A3754:G3754)=0,"",IF(AND(ISNUMBER(D3754),ISNUMBER(J3754)),ROUND(D3754*J3754*(1-N(F3754)),2),0))</f>
        <v/>
      </c>
      <c r="M3754" s="62" t="str">
        <f>IF(A3754="","",IFERROR(INDEX(fa_cname,MATCH(A3754,fa_num,0))&amp;"",""))</f>
        <v/>
      </c>
      <c r="N3754" s="59" t="str">
        <f>IF(COUNTA(A3754:G3754)=0,"",IF(A3754="","N° facture manquant",IF(ISNA(MATCH(A3754,fa_num,0)),"Facture inconnue",IF(AND(B3754&lt;&gt;"",ISNA(MATCH(B3754,pr_code,0))),"Article inconnu",IF(H3754="","Désignation manquante",IF(OR(NOT(ISNUMBER(D3754)),N(D3754)&lt;=0),"Quantité invalide",IF(J3754="","Prix manquant",IF(OR(NOT(ISNUMBER(J3754)),N(J3754)&lt;0),"Prix invalide",IF(OR(AND(F3754&lt;&gt;"",NOT(ISNUMBER(F3754))),N(F3754)&lt;0,N(F3754)&gt;1),"Remise invalide",IF(K3754="","Taux de TVA manquant",IF(NOT(ISNUMBER(K3754)),"Taux de TVA invalide",IF(COUNTIF(p_rates,K3754)=0,"Taux de TVA hors liste (Paramètres)",IF(N(O3754)&gt;25,"Au-delà de 25 lignes : non imprimée","OK")))))))))))))</f>
        <v/>
      </c>
      <c r="O3754" s="59" t="str">
        <f>IF(A3754="","",COUNTIF($A$6:A3754,A3754))</f>
        <v/>
      </c>
      <c r="P3754" s="62" t="str">
        <f>IF(A3754="","",A3754&amp;"|"&amp;O3754)</f>
        <v/>
      </c>
    </row>
    <row r="3755">
      <c r="A3755" s="60" t="n"/>
      <c r="B3755" s="63" t="n"/>
      <c r="C3755" s="63" t="n"/>
      <c r="D3755" s="67" t="n"/>
      <c r="E3755" s="68" t="n"/>
      <c r="F3755" s="69" t="n"/>
      <c r="G3755" s="70" t="n"/>
      <c r="H3755" s="62" t="str">
        <f>IF(COUNTA(A3755:G3755)=0,"",IF(C3755&lt;&gt;"",C3755,IF(B3755="","",IFERROR(INDEX(pr_des,MATCH(B3755,pr_code,0))&amp;"",""))))</f>
        <v/>
      </c>
      <c r="I3755" s="59" t="str">
        <f>IF(B3755="","",IFERROR(INDEX(pr_unit,MATCH(B3755,pr_code,0))&amp;"",""))</f>
        <v/>
      </c>
      <c r="J3755" s="65" t="str">
        <f>IF(COUNTA(A3755:G3755)=0,"",IF(E3755&lt;&gt;"",E3755,IF(B3755="","",IFERROR(IF(INDEX(pr_price,MATCH(B3755,pr_code,0))="","",INDEX(pr_price,MATCH(B3755,pr_code,0))),""))))</f>
        <v/>
      </c>
      <c r="K3755" s="71" t="str">
        <f>IF(COUNTA(A3755:G3755)=0,"",IF(G3755&lt;&gt;"",G3755,IF(B3755="","",IFERROR(IF(INDEX(pr_rate,MATCH(B3755,pr_code,0))="","",INDEX(pr_rate,MATCH(B3755,pr_code,0))),""))))</f>
        <v/>
      </c>
      <c r="L3755" s="65" t="str">
        <f>IF(COUNTA(A3755:G3755)=0,"",IF(AND(ISNUMBER(D3755),ISNUMBER(J3755)),ROUND(D3755*J3755*(1-N(F3755)),2),0))</f>
        <v/>
      </c>
      <c r="M3755" s="62" t="str">
        <f>IF(A3755="","",IFERROR(INDEX(fa_cname,MATCH(A3755,fa_num,0))&amp;"",""))</f>
        <v/>
      </c>
      <c r="N3755" s="59" t="str">
        <f>IF(COUNTA(A3755:G3755)=0,"",IF(A3755="","N° facture manquant",IF(ISNA(MATCH(A3755,fa_num,0)),"Facture inconnue",IF(AND(B3755&lt;&gt;"",ISNA(MATCH(B3755,pr_code,0))),"Article inconnu",IF(H3755="","Désignation manquante",IF(OR(NOT(ISNUMBER(D3755)),N(D3755)&lt;=0),"Quantité invalide",IF(J3755="","Prix manquant",IF(OR(NOT(ISNUMBER(J3755)),N(J3755)&lt;0),"Prix invalide",IF(OR(AND(F3755&lt;&gt;"",NOT(ISNUMBER(F3755))),N(F3755)&lt;0,N(F3755)&gt;1),"Remise invalide",IF(K3755="","Taux de TVA manquant",IF(NOT(ISNUMBER(K3755)),"Taux de TVA invalide",IF(COUNTIF(p_rates,K3755)=0,"Taux de TVA hors liste (Paramètres)",IF(N(O3755)&gt;25,"Au-delà de 25 lignes : non imprimée","OK")))))))))))))</f>
        <v/>
      </c>
      <c r="O3755" s="59" t="str">
        <f>IF(A3755="","",COUNTIF($A$6:A3755,A3755))</f>
        <v/>
      </c>
      <c r="P3755" s="62" t="str">
        <f>IF(A3755="","",A3755&amp;"|"&amp;O3755)</f>
        <v/>
      </c>
    </row>
    <row r="3756">
      <c r="A3756" s="60" t="n"/>
      <c r="B3756" s="63" t="n"/>
      <c r="C3756" s="63" t="n"/>
      <c r="D3756" s="67" t="n"/>
      <c r="E3756" s="68" t="n"/>
      <c r="F3756" s="69" t="n"/>
      <c r="G3756" s="70" t="n"/>
      <c r="H3756" s="62" t="str">
        <f>IF(COUNTA(A3756:G3756)=0,"",IF(C3756&lt;&gt;"",C3756,IF(B3756="","",IFERROR(INDEX(pr_des,MATCH(B3756,pr_code,0))&amp;"",""))))</f>
        <v/>
      </c>
      <c r="I3756" s="59" t="str">
        <f>IF(B3756="","",IFERROR(INDEX(pr_unit,MATCH(B3756,pr_code,0))&amp;"",""))</f>
        <v/>
      </c>
      <c r="J3756" s="65" t="str">
        <f>IF(COUNTA(A3756:G3756)=0,"",IF(E3756&lt;&gt;"",E3756,IF(B3756="","",IFERROR(IF(INDEX(pr_price,MATCH(B3756,pr_code,0))="","",INDEX(pr_price,MATCH(B3756,pr_code,0))),""))))</f>
        <v/>
      </c>
      <c r="K3756" s="71" t="str">
        <f>IF(COUNTA(A3756:G3756)=0,"",IF(G3756&lt;&gt;"",G3756,IF(B3756="","",IFERROR(IF(INDEX(pr_rate,MATCH(B3756,pr_code,0))="","",INDEX(pr_rate,MATCH(B3756,pr_code,0))),""))))</f>
        <v/>
      </c>
      <c r="L3756" s="65" t="str">
        <f>IF(COUNTA(A3756:G3756)=0,"",IF(AND(ISNUMBER(D3756),ISNUMBER(J3756)),ROUND(D3756*J3756*(1-N(F3756)),2),0))</f>
        <v/>
      </c>
      <c r="M3756" s="62" t="str">
        <f>IF(A3756="","",IFERROR(INDEX(fa_cname,MATCH(A3756,fa_num,0))&amp;"",""))</f>
        <v/>
      </c>
      <c r="N3756" s="59" t="str">
        <f>IF(COUNTA(A3756:G3756)=0,"",IF(A3756="","N° facture manquant",IF(ISNA(MATCH(A3756,fa_num,0)),"Facture inconnue",IF(AND(B3756&lt;&gt;"",ISNA(MATCH(B3756,pr_code,0))),"Article inconnu",IF(H3756="","Désignation manquante",IF(OR(NOT(ISNUMBER(D3756)),N(D3756)&lt;=0),"Quantité invalide",IF(J3756="","Prix manquant",IF(OR(NOT(ISNUMBER(J3756)),N(J3756)&lt;0),"Prix invalide",IF(OR(AND(F3756&lt;&gt;"",NOT(ISNUMBER(F3756))),N(F3756)&lt;0,N(F3756)&gt;1),"Remise invalide",IF(K3756="","Taux de TVA manquant",IF(NOT(ISNUMBER(K3756)),"Taux de TVA invalide",IF(COUNTIF(p_rates,K3756)=0,"Taux de TVA hors liste (Paramètres)",IF(N(O3756)&gt;25,"Au-delà de 25 lignes : non imprimée","OK")))))))))))))</f>
        <v/>
      </c>
      <c r="O3756" s="59" t="str">
        <f>IF(A3756="","",COUNTIF($A$6:A3756,A3756))</f>
        <v/>
      </c>
      <c r="P3756" s="62" t="str">
        <f>IF(A3756="","",A3756&amp;"|"&amp;O3756)</f>
        <v/>
      </c>
    </row>
    <row r="3757">
      <c r="A3757" s="60" t="n"/>
      <c r="B3757" s="63" t="n"/>
      <c r="C3757" s="63" t="n"/>
      <c r="D3757" s="67" t="n"/>
      <c r="E3757" s="68" t="n"/>
      <c r="F3757" s="69" t="n"/>
      <c r="G3757" s="70" t="n"/>
      <c r="H3757" s="62" t="str">
        <f>IF(COUNTA(A3757:G3757)=0,"",IF(C3757&lt;&gt;"",C3757,IF(B3757="","",IFERROR(INDEX(pr_des,MATCH(B3757,pr_code,0))&amp;"",""))))</f>
        <v/>
      </c>
      <c r="I3757" s="59" t="str">
        <f>IF(B3757="","",IFERROR(INDEX(pr_unit,MATCH(B3757,pr_code,0))&amp;"",""))</f>
        <v/>
      </c>
      <c r="J3757" s="65" t="str">
        <f>IF(COUNTA(A3757:G3757)=0,"",IF(E3757&lt;&gt;"",E3757,IF(B3757="","",IFERROR(IF(INDEX(pr_price,MATCH(B3757,pr_code,0))="","",INDEX(pr_price,MATCH(B3757,pr_code,0))),""))))</f>
        <v/>
      </c>
      <c r="K3757" s="71" t="str">
        <f>IF(COUNTA(A3757:G3757)=0,"",IF(G3757&lt;&gt;"",G3757,IF(B3757="","",IFERROR(IF(INDEX(pr_rate,MATCH(B3757,pr_code,0))="","",INDEX(pr_rate,MATCH(B3757,pr_code,0))),""))))</f>
        <v/>
      </c>
      <c r="L3757" s="65" t="str">
        <f>IF(COUNTA(A3757:G3757)=0,"",IF(AND(ISNUMBER(D3757),ISNUMBER(J3757)),ROUND(D3757*J3757*(1-N(F3757)),2),0))</f>
        <v/>
      </c>
      <c r="M3757" s="62" t="str">
        <f>IF(A3757="","",IFERROR(INDEX(fa_cname,MATCH(A3757,fa_num,0))&amp;"",""))</f>
        <v/>
      </c>
      <c r="N3757" s="59" t="str">
        <f>IF(COUNTA(A3757:G3757)=0,"",IF(A3757="","N° facture manquant",IF(ISNA(MATCH(A3757,fa_num,0)),"Facture inconnue",IF(AND(B3757&lt;&gt;"",ISNA(MATCH(B3757,pr_code,0))),"Article inconnu",IF(H3757="","Désignation manquante",IF(OR(NOT(ISNUMBER(D3757)),N(D3757)&lt;=0),"Quantité invalide",IF(J3757="","Prix manquant",IF(OR(NOT(ISNUMBER(J3757)),N(J3757)&lt;0),"Prix invalide",IF(OR(AND(F3757&lt;&gt;"",NOT(ISNUMBER(F3757))),N(F3757)&lt;0,N(F3757)&gt;1),"Remise invalide",IF(K3757="","Taux de TVA manquant",IF(NOT(ISNUMBER(K3757)),"Taux de TVA invalide",IF(COUNTIF(p_rates,K3757)=0,"Taux de TVA hors liste (Paramètres)",IF(N(O3757)&gt;25,"Au-delà de 25 lignes : non imprimée","OK")))))))))))))</f>
        <v/>
      </c>
      <c r="O3757" s="59" t="str">
        <f>IF(A3757="","",COUNTIF($A$6:A3757,A3757))</f>
        <v/>
      </c>
      <c r="P3757" s="62" t="str">
        <f>IF(A3757="","",A3757&amp;"|"&amp;O3757)</f>
        <v/>
      </c>
    </row>
    <row r="3758">
      <c r="A3758" s="60" t="n"/>
      <c r="B3758" s="63" t="n"/>
      <c r="C3758" s="63" t="n"/>
      <c r="D3758" s="67" t="n"/>
      <c r="E3758" s="68" t="n"/>
      <c r="F3758" s="69" t="n"/>
      <c r="G3758" s="70" t="n"/>
      <c r="H3758" s="62" t="str">
        <f>IF(COUNTA(A3758:G3758)=0,"",IF(C3758&lt;&gt;"",C3758,IF(B3758="","",IFERROR(INDEX(pr_des,MATCH(B3758,pr_code,0))&amp;"",""))))</f>
        <v/>
      </c>
      <c r="I3758" s="59" t="str">
        <f>IF(B3758="","",IFERROR(INDEX(pr_unit,MATCH(B3758,pr_code,0))&amp;"",""))</f>
        <v/>
      </c>
      <c r="J3758" s="65" t="str">
        <f>IF(COUNTA(A3758:G3758)=0,"",IF(E3758&lt;&gt;"",E3758,IF(B3758="","",IFERROR(IF(INDEX(pr_price,MATCH(B3758,pr_code,0))="","",INDEX(pr_price,MATCH(B3758,pr_code,0))),""))))</f>
        <v/>
      </c>
      <c r="K3758" s="71" t="str">
        <f>IF(COUNTA(A3758:G3758)=0,"",IF(G3758&lt;&gt;"",G3758,IF(B3758="","",IFERROR(IF(INDEX(pr_rate,MATCH(B3758,pr_code,0))="","",INDEX(pr_rate,MATCH(B3758,pr_code,0))),""))))</f>
        <v/>
      </c>
      <c r="L3758" s="65" t="str">
        <f>IF(COUNTA(A3758:G3758)=0,"",IF(AND(ISNUMBER(D3758),ISNUMBER(J3758)),ROUND(D3758*J3758*(1-N(F3758)),2),0))</f>
        <v/>
      </c>
      <c r="M3758" s="62" t="str">
        <f>IF(A3758="","",IFERROR(INDEX(fa_cname,MATCH(A3758,fa_num,0))&amp;"",""))</f>
        <v/>
      </c>
      <c r="N3758" s="59" t="str">
        <f>IF(COUNTA(A3758:G3758)=0,"",IF(A3758="","N° facture manquant",IF(ISNA(MATCH(A3758,fa_num,0)),"Facture inconnue",IF(AND(B3758&lt;&gt;"",ISNA(MATCH(B3758,pr_code,0))),"Article inconnu",IF(H3758="","Désignation manquante",IF(OR(NOT(ISNUMBER(D3758)),N(D3758)&lt;=0),"Quantité invalide",IF(J3758="","Prix manquant",IF(OR(NOT(ISNUMBER(J3758)),N(J3758)&lt;0),"Prix invalide",IF(OR(AND(F3758&lt;&gt;"",NOT(ISNUMBER(F3758))),N(F3758)&lt;0,N(F3758)&gt;1),"Remise invalide",IF(K3758="","Taux de TVA manquant",IF(NOT(ISNUMBER(K3758)),"Taux de TVA invalide",IF(COUNTIF(p_rates,K3758)=0,"Taux de TVA hors liste (Paramètres)",IF(N(O3758)&gt;25,"Au-delà de 25 lignes : non imprimée","OK")))))))))))))</f>
        <v/>
      </c>
      <c r="O3758" s="59" t="str">
        <f>IF(A3758="","",COUNTIF($A$6:A3758,A3758))</f>
        <v/>
      </c>
      <c r="P3758" s="62" t="str">
        <f>IF(A3758="","",A3758&amp;"|"&amp;O3758)</f>
        <v/>
      </c>
    </row>
    <row r="3759">
      <c r="A3759" s="60" t="n"/>
      <c r="B3759" s="63" t="n"/>
      <c r="C3759" s="63" t="n"/>
      <c r="D3759" s="67" t="n"/>
      <c r="E3759" s="68" t="n"/>
      <c r="F3759" s="69" t="n"/>
      <c r="G3759" s="70" t="n"/>
      <c r="H3759" s="62" t="str">
        <f>IF(COUNTA(A3759:G3759)=0,"",IF(C3759&lt;&gt;"",C3759,IF(B3759="","",IFERROR(INDEX(pr_des,MATCH(B3759,pr_code,0))&amp;"",""))))</f>
        <v/>
      </c>
      <c r="I3759" s="59" t="str">
        <f>IF(B3759="","",IFERROR(INDEX(pr_unit,MATCH(B3759,pr_code,0))&amp;"",""))</f>
        <v/>
      </c>
      <c r="J3759" s="65" t="str">
        <f>IF(COUNTA(A3759:G3759)=0,"",IF(E3759&lt;&gt;"",E3759,IF(B3759="","",IFERROR(IF(INDEX(pr_price,MATCH(B3759,pr_code,0))="","",INDEX(pr_price,MATCH(B3759,pr_code,0))),""))))</f>
        <v/>
      </c>
      <c r="K3759" s="71" t="str">
        <f>IF(COUNTA(A3759:G3759)=0,"",IF(G3759&lt;&gt;"",G3759,IF(B3759="","",IFERROR(IF(INDEX(pr_rate,MATCH(B3759,pr_code,0))="","",INDEX(pr_rate,MATCH(B3759,pr_code,0))),""))))</f>
        <v/>
      </c>
      <c r="L3759" s="65" t="str">
        <f>IF(COUNTA(A3759:G3759)=0,"",IF(AND(ISNUMBER(D3759),ISNUMBER(J3759)),ROUND(D3759*J3759*(1-N(F3759)),2),0))</f>
        <v/>
      </c>
      <c r="M3759" s="62" t="str">
        <f>IF(A3759="","",IFERROR(INDEX(fa_cname,MATCH(A3759,fa_num,0))&amp;"",""))</f>
        <v/>
      </c>
      <c r="N3759" s="59" t="str">
        <f>IF(COUNTA(A3759:G3759)=0,"",IF(A3759="","N° facture manquant",IF(ISNA(MATCH(A3759,fa_num,0)),"Facture inconnue",IF(AND(B3759&lt;&gt;"",ISNA(MATCH(B3759,pr_code,0))),"Article inconnu",IF(H3759="","Désignation manquante",IF(OR(NOT(ISNUMBER(D3759)),N(D3759)&lt;=0),"Quantité invalide",IF(J3759="","Prix manquant",IF(OR(NOT(ISNUMBER(J3759)),N(J3759)&lt;0),"Prix invalide",IF(OR(AND(F3759&lt;&gt;"",NOT(ISNUMBER(F3759))),N(F3759)&lt;0,N(F3759)&gt;1),"Remise invalide",IF(K3759="","Taux de TVA manquant",IF(NOT(ISNUMBER(K3759)),"Taux de TVA invalide",IF(COUNTIF(p_rates,K3759)=0,"Taux de TVA hors liste (Paramètres)",IF(N(O3759)&gt;25,"Au-delà de 25 lignes : non imprimée","OK")))))))))))))</f>
        <v/>
      </c>
      <c r="O3759" s="59" t="str">
        <f>IF(A3759="","",COUNTIF($A$6:A3759,A3759))</f>
        <v/>
      </c>
      <c r="P3759" s="62" t="str">
        <f>IF(A3759="","",A3759&amp;"|"&amp;O3759)</f>
        <v/>
      </c>
    </row>
    <row r="3760">
      <c r="A3760" s="60" t="n"/>
      <c r="B3760" s="63" t="n"/>
      <c r="C3760" s="63" t="n"/>
      <c r="D3760" s="67" t="n"/>
      <c r="E3760" s="68" t="n"/>
      <c r="F3760" s="69" t="n"/>
      <c r="G3760" s="70" t="n"/>
      <c r="H3760" s="62" t="str">
        <f>IF(COUNTA(A3760:G3760)=0,"",IF(C3760&lt;&gt;"",C3760,IF(B3760="","",IFERROR(INDEX(pr_des,MATCH(B3760,pr_code,0))&amp;"",""))))</f>
        <v/>
      </c>
      <c r="I3760" s="59" t="str">
        <f>IF(B3760="","",IFERROR(INDEX(pr_unit,MATCH(B3760,pr_code,0))&amp;"",""))</f>
        <v/>
      </c>
      <c r="J3760" s="65" t="str">
        <f>IF(COUNTA(A3760:G3760)=0,"",IF(E3760&lt;&gt;"",E3760,IF(B3760="","",IFERROR(IF(INDEX(pr_price,MATCH(B3760,pr_code,0))="","",INDEX(pr_price,MATCH(B3760,pr_code,0))),""))))</f>
        <v/>
      </c>
      <c r="K3760" s="71" t="str">
        <f>IF(COUNTA(A3760:G3760)=0,"",IF(G3760&lt;&gt;"",G3760,IF(B3760="","",IFERROR(IF(INDEX(pr_rate,MATCH(B3760,pr_code,0))="","",INDEX(pr_rate,MATCH(B3760,pr_code,0))),""))))</f>
        <v/>
      </c>
      <c r="L3760" s="65" t="str">
        <f>IF(COUNTA(A3760:G3760)=0,"",IF(AND(ISNUMBER(D3760),ISNUMBER(J3760)),ROUND(D3760*J3760*(1-N(F3760)),2),0))</f>
        <v/>
      </c>
      <c r="M3760" s="62" t="str">
        <f>IF(A3760="","",IFERROR(INDEX(fa_cname,MATCH(A3760,fa_num,0))&amp;"",""))</f>
        <v/>
      </c>
      <c r="N3760" s="59" t="str">
        <f>IF(COUNTA(A3760:G3760)=0,"",IF(A3760="","N° facture manquant",IF(ISNA(MATCH(A3760,fa_num,0)),"Facture inconnue",IF(AND(B3760&lt;&gt;"",ISNA(MATCH(B3760,pr_code,0))),"Article inconnu",IF(H3760="","Désignation manquante",IF(OR(NOT(ISNUMBER(D3760)),N(D3760)&lt;=0),"Quantité invalide",IF(J3760="","Prix manquant",IF(OR(NOT(ISNUMBER(J3760)),N(J3760)&lt;0),"Prix invalide",IF(OR(AND(F3760&lt;&gt;"",NOT(ISNUMBER(F3760))),N(F3760)&lt;0,N(F3760)&gt;1),"Remise invalide",IF(K3760="","Taux de TVA manquant",IF(NOT(ISNUMBER(K3760)),"Taux de TVA invalide",IF(COUNTIF(p_rates,K3760)=0,"Taux de TVA hors liste (Paramètres)",IF(N(O3760)&gt;25,"Au-delà de 25 lignes : non imprimée","OK")))))))))))))</f>
        <v/>
      </c>
      <c r="O3760" s="59" t="str">
        <f>IF(A3760="","",COUNTIF($A$6:A3760,A3760))</f>
        <v/>
      </c>
      <c r="P3760" s="62" t="str">
        <f>IF(A3760="","",A3760&amp;"|"&amp;O3760)</f>
        <v/>
      </c>
    </row>
    <row r="3761">
      <c r="A3761" s="60" t="n"/>
      <c r="B3761" s="63" t="n"/>
      <c r="C3761" s="63" t="n"/>
      <c r="D3761" s="67" t="n"/>
      <c r="E3761" s="68" t="n"/>
      <c r="F3761" s="69" t="n"/>
      <c r="G3761" s="70" t="n"/>
      <c r="H3761" s="62" t="str">
        <f>IF(COUNTA(A3761:G3761)=0,"",IF(C3761&lt;&gt;"",C3761,IF(B3761="","",IFERROR(INDEX(pr_des,MATCH(B3761,pr_code,0))&amp;"",""))))</f>
        <v/>
      </c>
      <c r="I3761" s="59" t="str">
        <f>IF(B3761="","",IFERROR(INDEX(pr_unit,MATCH(B3761,pr_code,0))&amp;"",""))</f>
        <v/>
      </c>
      <c r="J3761" s="65" t="str">
        <f>IF(COUNTA(A3761:G3761)=0,"",IF(E3761&lt;&gt;"",E3761,IF(B3761="","",IFERROR(IF(INDEX(pr_price,MATCH(B3761,pr_code,0))="","",INDEX(pr_price,MATCH(B3761,pr_code,0))),""))))</f>
        <v/>
      </c>
      <c r="K3761" s="71" t="str">
        <f>IF(COUNTA(A3761:G3761)=0,"",IF(G3761&lt;&gt;"",G3761,IF(B3761="","",IFERROR(IF(INDEX(pr_rate,MATCH(B3761,pr_code,0))="","",INDEX(pr_rate,MATCH(B3761,pr_code,0))),""))))</f>
        <v/>
      </c>
      <c r="L3761" s="65" t="str">
        <f>IF(COUNTA(A3761:G3761)=0,"",IF(AND(ISNUMBER(D3761),ISNUMBER(J3761)),ROUND(D3761*J3761*(1-N(F3761)),2),0))</f>
        <v/>
      </c>
      <c r="M3761" s="62" t="str">
        <f>IF(A3761="","",IFERROR(INDEX(fa_cname,MATCH(A3761,fa_num,0))&amp;"",""))</f>
        <v/>
      </c>
      <c r="N3761" s="59" t="str">
        <f>IF(COUNTA(A3761:G3761)=0,"",IF(A3761="","N° facture manquant",IF(ISNA(MATCH(A3761,fa_num,0)),"Facture inconnue",IF(AND(B3761&lt;&gt;"",ISNA(MATCH(B3761,pr_code,0))),"Article inconnu",IF(H3761="","Désignation manquante",IF(OR(NOT(ISNUMBER(D3761)),N(D3761)&lt;=0),"Quantité invalide",IF(J3761="","Prix manquant",IF(OR(NOT(ISNUMBER(J3761)),N(J3761)&lt;0),"Prix invalide",IF(OR(AND(F3761&lt;&gt;"",NOT(ISNUMBER(F3761))),N(F3761)&lt;0,N(F3761)&gt;1),"Remise invalide",IF(K3761="","Taux de TVA manquant",IF(NOT(ISNUMBER(K3761)),"Taux de TVA invalide",IF(COUNTIF(p_rates,K3761)=0,"Taux de TVA hors liste (Paramètres)",IF(N(O3761)&gt;25,"Au-delà de 25 lignes : non imprimée","OK")))))))))))))</f>
        <v/>
      </c>
      <c r="O3761" s="59" t="str">
        <f>IF(A3761="","",COUNTIF($A$6:A3761,A3761))</f>
        <v/>
      </c>
      <c r="P3761" s="62" t="str">
        <f>IF(A3761="","",A3761&amp;"|"&amp;O3761)</f>
        <v/>
      </c>
    </row>
    <row r="3762">
      <c r="A3762" s="60" t="n"/>
      <c r="B3762" s="63" t="n"/>
      <c r="C3762" s="63" t="n"/>
      <c r="D3762" s="67" t="n"/>
      <c r="E3762" s="68" t="n"/>
      <c r="F3762" s="69" t="n"/>
      <c r="G3762" s="70" t="n"/>
      <c r="H3762" s="62" t="str">
        <f>IF(COUNTA(A3762:G3762)=0,"",IF(C3762&lt;&gt;"",C3762,IF(B3762="","",IFERROR(INDEX(pr_des,MATCH(B3762,pr_code,0))&amp;"",""))))</f>
        <v/>
      </c>
      <c r="I3762" s="59" t="str">
        <f>IF(B3762="","",IFERROR(INDEX(pr_unit,MATCH(B3762,pr_code,0))&amp;"",""))</f>
        <v/>
      </c>
      <c r="J3762" s="65" t="str">
        <f>IF(COUNTA(A3762:G3762)=0,"",IF(E3762&lt;&gt;"",E3762,IF(B3762="","",IFERROR(IF(INDEX(pr_price,MATCH(B3762,pr_code,0))="","",INDEX(pr_price,MATCH(B3762,pr_code,0))),""))))</f>
        <v/>
      </c>
      <c r="K3762" s="71" t="str">
        <f>IF(COUNTA(A3762:G3762)=0,"",IF(G3762&lt;&gt;"",G3762,IF(B3762="","",IFERROR(IF(INDEX(pr_rate,MATCH(B3762,pr_code,0))="","",INDEX(pr_rate,MATCH(B3762,pr_code,0))),""))))</f>
        <v/>
      </c>
      <c r="L3762" s="65" t="str">
        <f>IF(COUNTA(A3762:G3762)=0,"",IF(AND(ISNUMBER(D3762),ISNUMBER(J3762)),ROUND(D3762*J3762*(1-N(F3762)),2),0))</f>
        <v/>
      </c>
      <c r="M3762" s="62" t="str">
        <f>IF(A3762="","",IFERROR(INDEX(fa_cname,MATCH(A3762,fa_num,0))&amp;"",""))</f>
        <v/>
      </c>
      <c r="N3762" s="59" t="str">
        <f>IF(COUNTA(A3762:G3762)=0,"",IF(A3762="","N° facture manquant",IF(ISNA(MATCH(A3762,fa_num,0)),"Facture inconnue",IF(AND(B3762&lt;&gt;"",ISNA(MATCH(B3762,pr_code,0))),"Article inconnu",IF(H3762="","Désignation manquante",IF(OR(NOT(ISNUMBER(D3762)),N(D3762)&lt;=0),"Quantité invalide",IF(J3762="","Prix manquant",IF(OR(NOT(ISNUMBER(J3762)),N(J3762)&lt;0),"Prix invalide",IF(OR(AND(F3762&lt;&gt;"",NOT(ISNUMBER(F3762))),N(F3762)&lt;0,N(F3762)&gt;1),"Remise invalide",IF(K3762="","Taux de TVA manquant",IF(NOT(ISNUMBER(K3762)),"Taux de TVA invalide",IF(COUNTIF(p_rates,K3762)=0,"Taux de TVA hors liste (Paramètres)",IF(N(O3762)&gt;25,"Au-delà de 25 lignes : non imprimée","OK")))))))))))))</f>
        <v/>
      </c>
      <c r="O3762" s="59" t="str">
        <f>IF(A3762="","",COUNTIF($A$6:A3762,A3762))</f>
        <v/>
      </c>
      <c r="P3762" s="62" t="str">
        <f>IF(A3762="","",A3762&amp;"|"&amp;O3762)</f>
        <v/>
      </c>
    </row>
    <row r="3763">
      <c r="A3763" s="60" t="n"/>
      <c r="B3763" s="63" t="n"/>
      <c r="C3763" s="63" t="n"/>
      <c r="D3763" s="67" t="n"/>
      <c r="E3763" s="68" t="n"/>
      <c r="F3763" s="69" t="n"/>
      <c r="G3763" s="70" t="n"/>
      <c r="H3763" s="62" t="str">
        <f>IF(COUNTA(A3763:G3763)=0,"",IF(C3763&lt;&gt;"",C3763,IF(B3763="","",IFERROR(INDEX(pr_des,MATCH(B3763,pr_code,0))&amp;"",""))))</f>
        <v/>
      </c>
      <c r="I3763" s="59" t="str">
        <f>IF(B3763="","",IFERROR(INDEX(pr_unit,MATCH(B3763,pr_code,0))&amp;"",""))</f>
        <v/>
      </c>
      <c r="J3763" s="65" t="str">
        <f>IF(COUNTA(A3763:G3763)=0,"",IF(E3763&lt;&gt;"",E3763,IF(B3763="","",IFERROR(IF(INDEX(pr_price,MATCH(B3763,pr_code,0))="","",INDEX(pr_price,MATCH(B3763,pr_code,0))),""))))</f>
        <v/>
      </c>
      <c r="K3763" s="71" t="str">
        <f>IF(COUNTA(A3763:G3763)=0,"",IF(G3763&lt;&gt;"",G3763,IF(B3763="","",IFERROR(IF(INDEX(pr_rate,MATCH(B3763,pr_code,0))="","",INDEX(pr_rate,MATCH(B3763,pr_code,0))),""))))</f>
        <v/>
      </c>
      <c r="L3763" s="65" t="str">
        <f>IF(COUNTA(A3763:G3763)=0,"",IF(AND(ISNUMBER(D3763),ISNUMBER(J3763)),ROUND(D3763*J3763*(1-N(F3763)),2),0))</f>
        <v/>
      </c>
      <c r="M3763" s="62" t="str">
        <f>IF(A3763="","",IFERROR(INDEX(fa_cname,MATCH(A3763,fa_num,0))&amp;"",""))</f>
        <v/>
      </c>
      <c r="N3763" s="59" t="str">
        <f>IF(COUNTA(A3763:G3763)=0,"",IF(A3763="","N° facture manquant",IF(ISNA(MATCH(A3763,fa_num,0)),"Facture inconnue",IF(AND(B3763&lt;&gt;"",ISNA(MATCH(B3763,pr_code,0))),"Article inconnu",IF(H3763="","Désignation manquante",IF(OR(NOT(ISNUMBER(D3763)),N(D3763)&lt;=0),"Quantité invalide",IF(J3763="","Prix manquant",IF(OR(NOT(ISNUMBER(J3763)),N(J3763)&lt;0),"Prix invalide",IF(OR(AND(F3763&lt;&gt;"",NOT(ISNUMBER(F3763))),N(F3763)&lt;0,N(F3763)&gt;1),"Remise invalide",IF(K3763="","Taux de TVA manquant",IF(NOT(ISNUMBER(K3763)),"Taux de TVA invalide",IF(COUNTIF(p_rates,K3763)=0,"Taux de TVA hors liste (Paramètres)",IF(N(O3763)&gt;25,"Au-delà de 25 lignes : non imprimée","OK")))))))))))))</f>
        <v/>
      </c>
      <c r="O3763" s="59" t="str">
        <f>IF(A3763="","",COUNTIF($A$6:A3763,A3763))</f>
        <v/>
      </c>
      <c r="P3763" s="62" t="str">
        <f>IF(A3763="","",A3763&amp;"|"&amp;O3763)</f>
        <v/>
      </c>
    </row>
    <row r="3764">
      <c r="A3764" s="60" t="n"/>
      <c r="B3764" s="63" t="n"/>
      <c r="C3764" s="63" t="n"/>
      <c r="D3764" s="67" t="n"/>
      <c r="E3764" s="68" t="n"/>
      <c r="F3764" s="69" t="n"/>
      <c r="G3764" s="70" t="n"/>
      <c r="H3764" s="62" t="str">
        <f>IF(COUNTA(A3764:G3764)=0,"",IF(C3764&lt;&gt;"",C3764,IF(B3764="","",IFERROR(INDEX(pr_des,MATCH(B3764,pr_code,0))&amp;"",""))))</f>
        <v/>
      </c>
      <c r="I3764" s="59" t="str">
        <f>IF(B3764="","",IFERROR(INDEX(pr_unit,MATCH(B3764,pr_code,0))&amp;"",""))</f>
        <v/>
      </c>
      <c r="J3764" s="65" t="str">
        <f>IF(COUNTA(A3764:G3764)=0,"",IF(E3764&lt;&gt;"",E3764,IF(B3764="","",IFERROR(IF(INDEX(pr_price,MATCH(B3764,pr_code,0))="","",INDEX(pr_price,MATCH(B3764,pr_code,0))),""))))</f>
        <v/>
      </c>
      <c r="K3764" s="71" t="str">
        <f>IF(COUNTA(A3764:G3764)=0,"",IF(G3764&lt;&gt;"",G3764,IF(B3764="","",IFERROR(IF(INDEX(pr_rate,MATCH(B3764,pr_code,0))="","",INDEX(pr_rate,MATCH(B3764,pr_code,0))),""))))</f>
        <v/>
      </c>
      <c r="L3764" s="65" t="str">
        <f>IF(COUNTA(A3764:G3764)=0,"",IF(AND(ISNUMBER(D3764),ISNUMBER(J3764)),ROUND(D3764*J3764*(1-N(F3764)),2),0))</f>
        <v/>
      </c>
      <c r="M3764" s="62" t="str">
        <f>IF(A3764="","",IFERROR(INDEX(fa_cname,MATCH(A3764,fa_num,0))&amp;"",""))</f>
        <v/>
      </c>
      <c r="N3764" s="59" t="str">
        <f>IF(COUNTA(A3764:G3764)=0,"",IF(A3764="","N° facture manquant",IF(ISNA(MATCH(A3764,fa_num,0)),"Facture inconnue",IF(AND(B3764&lt;&gt;"",ISNA(MATCH(B3764,pr_code,0))),"Article inconnu",IF(H3764="","Désignation manquante",IF(OR(NOT(ISNUMBER(D3764)),N(D3764)&lt;=0),"Quantité invalide",IF(J3764="","Prix manquant",IF(OR(NOT(ISNUMBER(J3764)),N(J3764)&lt;0),"Prix invalide",IF(OR(AND(F3764&lt;&gt;"",NOT(ISNUMBER(F3764))),N(F3764)&lt;0,N(F3764)&gt;1),"Remise invalide",IF(K3764="","Taux de TVA manquant",IF(NOT(ISNUMBER(K3764)),"Taux de TVA invalide",IF(COUNTIF(p_rates,K3764)=0,"Taux de TVA hors liste (Paramètres)",IF(N(O3764)&gt;25,"Au-delà de 25 lignes : non imprimée","OK")))))))))))))</f>
        <v/>
      </c>
      <c r="O3764" s="59" t="str">
        <f>IF(A3764="","",COUNTIF($A$6:A3764,A3764))</f>
        <v/>
      </c>
      <c r="P3764" s="62" t="str">
        <f>IF(A3764="","",A3764&amp;"|"&amp;O3764)</f>
        <v/>
      </c>
    </row>
    <row r="3765">
      <c r="A3765" s="60" t="n"/>
      <c r="B3765" s="63" t="n"/>
      <c r="C3765" s="63" t="n"/>
      <c r="D3765" s="67" t="n"/>
      <c r="E3765" s="68" t="n"/>
      <c r="F3765" s="69" t="n"/>
      <c r="G3765" s="70" t="n"/>
      <c r="H3765" s="62" t="str">
        <f>IF(COUNTA(A3765:G3765)=0,"",IF(C3765&lt;&gt;"",C3765,IF(B3765="","",IFERROR(INDEX(pr_des,MATCH(B3765,pr_code,0))&amp;"",""))))</f>
        <v/>
      </c>
      <c r="I3765" s="59" t="str">
        <f>IF(B3765="","",IFERROR(INDEX(pr_unit,MATCH(B3765,pr_code,0))&amp;"",""))</f>
        <v/>
      </c>
      <c r="J3765" s="65" t="str">
        <f>IF(COUNTA(A3765:G3765)=0,"",IF(E3765&lt;&gt;"",E3765,IF(B3765="","",IFERROR(IF(INDEX(pr_price,MATCH(B3765,pr_code,0))="","",INDEX(pr_price,MATCH(B3765,pr_code,0))),""))))</f>
        <v/>
      </c>
      <c r="K3765" s="71" t="str">
        <f>IF(COUNTA(A3765:G3765)=0,"",IF(G3765&lt;&gt;"",G3765,IF(B3765="","",IFERROR(IF(INDEX(pr_rate,MATCH(B3765,pr_code,0))="","",INDEX(pr_rate,MATCH(B3765,pr_code,0))),""))))</f>
        <v/>
      </c>
      <c r="L3765" s="65" t="str">
        <f>IF(COUNTA(A3765:G3765)=0,"",IF(AND(ISNUMBER(D3765),ISNUMBER(J3765)),ROUND(D3765*J3765*(1-N(F3765)),2),0))</f>
        <v/>
      </c>
      <c r="M3765" s="62" t="str">
        <f>IF(A3765="","",IFERROR(INDEX(fa_cname,MATCH(A3765,fa_num,0))&amp;"",""))</f>
        <v/>
      </c>
      <c r="N3765" s="59" t="str">
        <f>IF(COUNTA(A3765:G3765)=0,"",IF(A3765="","N° facture manquant",IF(ISNA(MATCH(A3765,fa_num,0)),"Facture inconnue",IF(AND(B3765&lt;&gt;"",ISNA(MATCH(B3765,pr_code,0))),"Article inconnu",IF(H3765="","Désignation manquante",IF(OR(NOT(ISNUMBER(D3765)),N(D3765)&lt;=0),"Quantité invalide",IF(J3765="","Prix manquant",IF(OR(NOT(ISNUMBER(J3765)),N(J3765)&lt;0),"Prix invalide",IF(OR(AND(F3765&lt;&gt;"",NOT(ISNUMBER(F3765))),N(F3765)&lt;0,N(F3765)&gt;1),"Remise invalide",IF(K3765="","Taux de TVA manquant",IF(NOT(ISNUMBER(K3765)),"Taux de TVA invalide",IF(COUNTIF(p_rates,K3765)=0,"Taux de TVA hors liste (Paramètres)",IF(N(O3765)&gt;25,"Au-delà de 25 lignes : non imprimée","OK")))))))))))))</f>
        <v/>
      </c>
      <c r="O3765" s="59" t="str">
        <f>IF(A3765="","",COUNTIF($A$6:A3765,A3765))</f>
        <v/>
      </c>
      <c r="P3765" s="62" t="str">
        <f>IF(A3765="","",A3765&amp;"|"&amp;O3765)</f>
        <v/>
      </c>
    </row>
    <row r="3766">
      <c r="A3766" s="60" t="n"/>
      <c r="B3766" s="63" t="n"/>
      <c r="C3766" s="63" t="n"/>
      <c r="D3766" s="67" t="n"/>
      <c r="E3766" s="68" t="n"/>
      <c r="F3766" s="69" t="n"/>
      <c r="G3766" s="70" t="n"/>
      <c r="H3766" s="62" t="str">
        <f>IF(COUNTA(A3766:G3766)=0,"",IF(C3766&lt;&gt;"",C3766,IF(B3766="","",IFERROR(INDEX(pr_des,MATCH(B3766,pr_code,0))&amp;"",""))))</f>
        <v/>
      </c>
      <c r="I3766" s="59" t="str">
        <f>IF(B3766="","",IFERROR(INDEX(pr_unit,MATCH(B3766,pr_code,0))&amp;"",""))</f>
        <v/>
      </c>
      <c r="J3766" s="65" t="str">
        <f>IF(COUNTA(A3766:G3766)=0,"",IF(E3766&lt;&gt;"",E3766,IF(B3766="","",IFERROR(IF(INDEX(pr_price,MATCH(B3766,pr_code,0))="","",INDEX(pr_price,MATCH(B3766,pr_code,0))),""))))</f>
        <v/>
      </c>
      <c r="K3766" s="71" t="str">
        <f>IF(COUNTA(A3766:G3766)=0,"",IF(G3766&lt;&gt;"",G3766,IF(B3766="","",IFERROR(IF(INDEX(pr_rate,MATCH(B3766,pr_code,0))="","",INDEX(pr_rate,MATCH(B3766,pr_code,0))),""))))</f>
        <v/>
      </c>
      <c r="L3766" s="65" t="str">
        <f>IF(COUNTA(A3766:G3766)=0,"",IF(AND(ISNUMBER(D3766),ISNUMBER(J3766)),ROUND(D3766*J3766*(1-N(F3766)),2),0))</f>
        <v/>
      </c>
      <c r="M3766" s="62" t="str">
        <f>IF(A3766="","",IFERROR(INDEX(fa_cname,MATCH(A3766,fa_num,0))&amp;"",""))</f>
        <v/>
      </c>
      <c r="N3766" s="59" t="str">
        <f>IF(COUNTA(A3766:G3766)=0,"",IF(A3766="","N° facture manquant",IF(ISNA(MATCH(A3766,fa_num,0)),"Facture inconnue",IF(AND(B3766&lt;&gt;"",ISNA(MATCH(B3766,pr_code,0))),"Article inconnu",IF(H3766="","Désignation manquante",IF(OR(NOT(ISNUMBER(D3766)),N(D3766)&lt;=0),"Quantité invalide",IF(J3766="","Prix manquant",IF(OR(NOT(ISNUMBER(J3766)),N(J3766)&lt;0),"Prix invalide",IF(OR(AND(F3766&lt;&gt;"",NOT(ISNUMBER(F3766))),N(F3766)&lt;0,N(F3766)&gt;1),"Remise invalide",IF(K3766="","Taux de TVA manquant",IF(NOT(ISNUMBER(K3766)),"Taux de TVA invalide",IF(COUNTIF(p_rates,K3766)=0,"Taux de TVA hors liste (Paramètres)",IF(N(O3766)&gt;25,"Au-delà de 25 lignes : non imprimée","OK")))))))))))))</f>
        <v/>
      </c>
      <c r="O3766" s="59" t="str">
        <f>IF(A3766="","",COUNTIF($A$6:A3766,A3766))</f>
        <v/>
      </c>
      <c r="P3766" s="62" t="str">
        <f>IF(A3766="","",A3766&amp;"|"&amp;O3766)</f>
        <v/>
      </c>
    </row>
    <row r="3767">
      <c r="A3767" s="60" t="n"/>
      <c r="B3767" s="63" t="n"/>
      <c r="C3767" s="63" t="n"/>
      <c r="D3767" s="67" t="n"/>
      <c r="E3767" s="68" t="n"/>
      <c r="F3767" s="69" t="n"/>
      <c r="G3767" s="70" t="n"/>
      <c r="H3767" s="62" t="str">
        <f>IF(COUNTA(A3767:G3767)=0,"",IF(C3767&lt;&gt;"",C3767,IF(B3767="","",IFERROR(INDEX(pr_des,MATCH(B3767,pr_code,0))&amp;"",""))))</f>
        <v/>
      </c>
      <c r="I3767" s="59" t="str">
        <f>IF(B3767="","",IFERROR(INDEX(pr_unit,MATCH(B3767,pr_code,0))&amp;"",""))</f>
        <v/>
      </c>
      <c r="J3767" s="65" t="str">
        <f>IF(COUNTA(A3767:G3767)=0,"",IF(E3767&lt;&gt;"",E3767,IF(B3767="","",IFERROR(IF(INDEX(pr_price,MATCH(B3767,pr_code,0))="","",INDEX(pr_price,MATCH(B3767,pr_code,0))),""))))</f>
        <v/>
      </c>
      <c r="K3767" s="71" t="str">
        <f>IF(COUNTA(A3767:G3767)=0,"",IF(G3767&lt;&gt;"",G3767,IF(B3767="","",IFERROR(IF(INDEX(pr_rate,MATCH(B3767,pr_code,0))="","",INDEX(pr_rate,MATCH(B3767,pr_code,0))),""))))</f>
        <v/>
      </c>
      <c r="L3767" s="65" t="str">
        <f>IF(COUNTA(A3767:G3767)=0,"",IF(AND(ISNUMBER(D3767),ISNUMBER(J3767)),ROUND(D3767*J3767*(1-N(F3767)),2),0))</f>
        <v/>
      </c>
      <c r="M3767" s="62" t="str">
        <f>IF(A3767="","",IFERROR(INDEX(fa_cname,MATCH(A3767,fa_num,0))&amp;"",""))</f>
        <v/>
      </c>
      <c r="N3767" s="59" t="str">
        <f>IF(COUNTA(A3767:G3767)=0,"",IF(A3767="","N° facture manquant",IF(ISNA(MATCH(A3767,fa_num,0)),"Facture inconnue",IF(AND(B3767&lt;&gt;"",ISNA(MATCH(B3767,pr_code,0))),"Article inconnu",IF(H3767="","Désignation manquante",IF(OR(NOT(ISNUMBER(D3767)),N(D3767)&lt;=0),"Quantité invalide",IF(J3767="","Prix manquant",IF(OR(NOT(ISNUMBER(J3767)),N(J3767)&lt;0),"Prix invalide",IF(OR(AND(F3767&lt;&gt;"",NOT(ISNUMBER(F3767))),N(F3767)&lt;0,N(F3767)&gt;1),"Remise invalide",IF(K3767="","Taux de TVA manquant",IF(NOT(ISNUMBER(K3767)),"Taux de TVA invalide",IF(COUNTIF(p_rates,K3767)=0,"Taux de TVA hors liste (Paramètres)",IF(N(O3767)&gt;25,"Au-delà de 25 lignes : non imprimée","OK")))))))))))))</f>
        <v/>
      </c>
      <c r="O3767" s="59" t="str">
        <f>IF(A3767="","",COUNTIF($A$6:A3767,A3767))</f>
        <v/>
      </c>
      <c r="P3767" s="62" t="str">
        <f>IF(A3767="","",A3767&amp;"|"&amp;O3767)</f>
        <v/>
      </c>
    </row>
    <row r="3768">
      <c r="A3768" s="60" t="n"/>
      <c r="B3768" s="63" t="n"/>
      <c r="C3768" s="63" t="n"/>
      <c r="D3768" s="67" t="n"/>
      <c r="E3768" s="68" t="n"/>
      <c r="F3768" s="69" t="n"/>
      <c r="G3768" s="70" t="n"/>
      <c r="H3768" s="62" t="str">
        <f>IF(COUNTA(A3768:G3768)=0,"",IF(C3768&lt;&gt;"",C3768,IF(B3768="","",IFERROR(INDEX(pr_des,MATCH(B3768,pr_code,0))&amp;"",""))))</f>
        <v/>
      </c>
      <c r="I3768" s="59" t="str">
        <f>IF(B3768="","",IFERROR(INDEX(pr_unit,MATCH(B3768,pr_code,0))&amp;"",""))</f>
        <v/>
      </c>
      <c r="J3768" s="65" t="str">
        <f>IF(COUNTA(A3768:G3768)=0,"",IF(E3768&lt;&gt;"",E3768,IF(B3768="","",IFERROR(IF(INDEX(pr_price,MATCH(B3768,pr_code,0))="","",INDEX(pr_price,MATCH(B3768,pr_code,0))),""))))</f>
        <v/>
      </c>
      <c r="K3768" s="71" t="str">
        <f>IF(COUNTA(A3768:G3768)=0,"",IF(G3768&lt;&gt;"",G3768,IF(B3768="","",IFERROR(IF(INDEX(pr_rate,MATCH(B3768,pr_code,0))="","",INDEX(pr_rate,MATCH(B3768,pr_code,0))),""))))</f>
        <v/>
      </c>
      <c r="L3768" s="65" t="str">
        <f>IF(COUNTA(A3768:G3768)=0,"",IF(AND(ISNUMBER(D3768),ISNUMBER(J3768)),ROUND(D3768*J3768*(1-N(F3768)),2),0))</f>
        <v/>
      </c>
      <c r="M3768" s="62" t="str">
        <f>IF(A3768="","",IFERROR(INDEX(fa_cname,MATCH(A3768,fa_num,0))&amp;"",""))</f>
        <v/>
      </c>
      <c r="N3768" s="59" t="str">
        <f>IF(COUNTA(A3768:G3768)=0,"",IF(A3768="","N° facture manquant",IF(ISNA(MATCH(A3768,fa_num,0)),"Facture inconnue",IF(AND(B3768&lt;&gt;"",ISNA(MATCH(B3768,pr_code,0))),"Article inconnu",IF(H3768="","Désignation manquante",IF(OR(NOT(ISNUMBER(D3768)),N(D3768)&lt;=0),"Quantité invalide",IF(J3768="","Prix manquant",IF(OR(NOT(ISNUMBER(J3768)),N(J3768)&lt;0),"Prix invalide",IF(OR(AND(F3768&lt;&gt;"",NOT(ISNUMBER(F3768))),N(F3768)&lt;0,N(F3768)&gt;1),"Remise invalide",IF(K3768="","Taux de TVA manquant",IF(NOT(ISNUMBER(K3768)),"Taux de TVA invalide",IF(COUNTIF(p_rates,K3768)=0,"Taux de TVA hors liste (Paramètres)",IF(N(O3768)&gt;25,"Au-delà de 25 lignes : non imprimée","OK")))))))))))))</f>
        <v/>
      </c>
      <c r="O3768" s="59" t="str">
        <f>IF(A3768="","",COUNTIF($A$6:A3768,A3768))</f>
        <v/>
      </c>
      <c r="P3768" s="62" t="str">
        <f>IF(A3768="","",A3768&amp;"|"&amp;O3768)</f>
        <v/>
      </c>
    </row>
    <row r="3769">
      <c r="A3769" s="60" t="n"/>
      <c r="B3769" s="63" t="n"/>
      <c r="C3769" s="63" t="n"/>
      <c r="D3769" s="67" t="n"/>
      <c r="E3769" s="68" t="n"/>
      <c r="F3769" s="69" t="n"/>
      <c r="G3769" s="70" t="n"/>
      <c r="H3769" s="62" t="str">
        <f>IF(COUNTA(A3769:G3769)=0,"",IF(C3769&lt;&gt;"",C3769,IF(B3769="","",IFERROR(INDEX(pr_des,MATCH(B3769,pr_code,0))&amp;"",""))))</f>
        <v/>
      </c>
      <c r="I3769" s="59" t="str">
        <f>IF(B3769="","",IFERROR(INDEX(pr_unit,MATCH(B3769,pr_code,0))&amp;"",""))</f>
        <v/>
      </c>
      <c r="J3769" s="65" t="str">
        <f>IF(COUNTA(A3769:G3769)=0,"",IF(E3769&lt;&gt;"",E3769,IF(B3769="","",IFERROR(IF(INDEX(pr_price,MATCH(B3769,pr_code,0))="","",INDEX(pr_price,MATCH(B3769,pr_code,0))),""))))</f>
        <v/>
      </c>
      <c r="K3769" s="71" t="str">
        <f>IF(COUNTA(A3769:G3769)=0,"",IF(G3769&lt;&gt;"",G3769,IF(B3769="","",IFERROR(IF(INDEX(pr_rate,MATCH(B3769,pr_code,0))="","",INDEX(pr_rate,MATCH(B3769,pr_code,0))),""))))</f>
        <v/>
      </c>
      <c r="L3769" s="65" t="str">
        <f>IF(COUNTA(A3769:G3769)=0,"",IF(AND(ISNUMBER(D3769),ISNUMBER(J3769)),ROUND(D3769*J3769*(1-N(F3769)),2),0))</f>
        <v/>
      </c>
      <c r="M3769" s="62" t="str">
        <f>IF(A3769="","",IFERROR(INDEX(fa_cname,MATCH(A3769,fa_num,0))&amp;"",""))</f>
        <v/>
      </c>
      <c r="N3769" s="59" t="str">
        <f>IF(COUNTA(A3769:G3769)=0,"",IF(A3769="","N° facture manquant",IF(ISNA(MATCH(A3769,fa_num,0)),"Facture inconnue",IF(AND(B3769&lt;&gt;"",ISNA(MATCH(B3769,pr_code,0))),"Article inconnu",IF(H3769="","Désignation manquante",IF(OR(NOT(ISNUMBER(D3769)),N(D3769)&lt;=0),"Quantité invalide",IF(J3769="","Prix manquant",IF(OR(NOT(ISNUMBER(J3769)),N(J3769)&lt;0),"Prix invalide",IF(OR(AND(F3769&lt;&gt;"",NOT(ISNUMBER(F3769))),N(F3769)&lt;0,N(F3769)&gt;1),"Remise invalide",IF(K3769="","Taux de TVA manquant",IF(NOT(ISNUMBER(K3769)),"Taux de TVA invalide",IF(COUNTIF(p_rates,K3769)=0,"Taux de TVA hors liste (Paramètres)",IF(N(O3769)&gt;25,"Au-delà de 25 lignes : non imprimée","OK")))))))))))))</f>
        <v/>
      </c>
      <c r="O3769" s="59" t="str">
        <f>IF(A3769="","",COUNTIF($A$6:A3769,A3769))</f>
        <v/>
      </c>
      <c r="P3769" s="62" t="str">
        <f>IF(A3769="","",A3769&amp;"|"&amp;O3769)</f>
        <v/>
      </c>
    </row>
    <row r="3770">
      <c r="A3770" s="60" t="n"/>
      <c r="B3770" s="63" t="n"/>
      <c r="C3770" s="63" t="n"/>
      <c r="D3770" s="67" t="n"/>
      <c r="E3770" s="68" t="n"/>
      <c r="F3770" s="69" t="n"/>
      <c r="G3770" s="70" t="n"/>
      <c r="H3770" s="62" t="str">
        <f>IF(COUNTA(A3770:G3770)=0,"",IF(C3770&lt;&gt;"",C3770,IF(B3770="","",IFERROR(INDEX(pr_des,MATCH(B3770,pr_code,0))&amp;"",""))))</f>
        <v/>
      </c>
      <c r="I3770" s="59" t="str">
        <f>IF(B3770="","",IFERROR(INDEX(pr_unit,MATCH(B3770,pr_code,0))&amp;"",""))</f>
        <v/>
      </c>
      <c r="J3770" s="65" t="str">
        <f>IF(COUNTA(A3770:G3770)=0,"",IF(E3770&lt;&gt;"",E3770,IF(B3770="","",IFERROR(IF(INDEX(pr_price,MATCH(B3770,pr_code,0))="","",INDEX(pr_price,MATCH(B3770,pr_code,0))),""))))</f>
        <v/>
      </c>
      <c r="K3770" s="71" t="str">
        <f>IF(COUNTA(A3770:G3770)=0,"",IF(G3770&lt;&gt;"",G3770,IF(B3770="","",IFERROR(IF(INDEX(pr_rate,MATCH(B3770,pr_code,0))="","",INDEX(pr_rate,MATCH(B3770,pr_code,0))),""))))</f>
        <v/>
      </c>
      <c r="L3770" s="65" t="str">
        <f>IF(COUNTA(A3770:G3770)=0,"",IF(AND(ISNUMBER(D3770),ISNUMBER(J3770)),ROUND(D3770*J3770*(1-N(F3770)),2),0))</f>
        <v/>
      </c>
      <c r="M3770" s="62" t="str">
        <f>IF(A3770="","",IFERROR(INDEX(fa_cname,MATCH(A3770,fa_num,0))&amp;"",""))</f>
        <v/>
      </c>
      <c r="N3770" s="59" t="str">
        <f>IF(COUNTA(A3770:G3770)=0,"",IF(A3770="","N° facture manquant",IF(ISNA(MATCH(A3770,fa_num,0)),"Facture inconnue",IF(AND(B3770&lt;&gt;"",ISNA(MATCH(B3770,pr_code,0))),"Article inconnu",IF(H3770="","Désignation manquante",IF(OR(NOT(ISNUMBER(D3770)),N(D3770)&lt;=0),"Quantité invalide",IF(J3770="","Prix manquant",IF(OR(NOT(ISNUMBER(J3770)),N(J3770)&lt;0),"Prix invalide",IF(OR(AND(F3770&lt;&gt;"",NOT(ISNUMBER(F3770))),N(F3770)&lt;0,N(F3770)&gt;1),"Remise invalide",IF(K3770="","Taux de TVA manquant",IF(NOT(ISNUMBER(K3770)),"Taux de TVA invalide",IF(COUNTIF(p_rates,K3770)=0,"Taux de TVA hors liste (Paramètres)",IF(N(O3770)&gt;25,"Au-delà de 25 lignes : non imprimée","OK")))))))))))))</f>
        <v/>
      </c>
      <c r="O3770" s="59" t="str">
        <f>IF(A3770="","",COUNTIF($A$6:A3770,A3770))</f>
        <v/>
      </c>
      <c r="P3770" s="62" t="str">
        <f>IF(A3770="","",A3770&amp;"|"&amp;O3770)</f>
        <v/>
      </c>
    </row>
    <row r="3771">
      <c r="A3771" s="60" t="n"/>
      <c r="B3771" s="63" t="n"/>
      <c r="C3771" s="63" t="n"/>
      <c r="D3771" s="67" t="n"/>
      <c r="E3771" s="68" t="n"/>
      <c r="F3771" s="69" t="n"/>
      <c r="G3771" s="70" t="n"/>
      <c r="H3771" s="62" t="str">
        <f>IF(COUNTA(A3771:G3771)=0,"",IF(C3771&lt;&gt;"",C3771,IF(B3771="","",IFERROR(INDEX(pr_des,MATCH(B3771,pr_code,0))&amp;"",""))))</f>
        <v/>
      </c>
      <c r="I3771" s="59" t="str">
        <f>IF(B3771="","",IFERROR(INDEX(pr_unit,MATCH(B3771,pr_code,0))&amp;"",""))</f>
        <v/>
      </c>
      <c r="J3771" s="65" t="str">
        <f>IF(COUNTA(A3771:G3771)=0,"",IF(E3771&lt;&gt;"",E3771,IF(B3771="","",IFERROR(IF(INDEX(pr_price,MATCH(B3771,pr_code,0))="","",INDEX(pr_price,MATCH(B3771,pr_code,0))),""))))</f>
        <v/>
      </c>
      <c r="K3771" s="71" t="str">
        <f>IF(COUNTA(A3771:G3771)=0,"",IF(G3771&lt;&gt;"",G3771,IF(B3771="","",IFERROR(IF(INDEX(pr_rate,MATCH(B3771,pr_code,0))="","",INDEX(pr_rate,MATCH(B3771,pr_code,0))),""))))</f>
        <v/>
      </c>
      <c r="L3771" s="65" t="str">
        <f>IF(COUNTA(A3771:G3771)=0,"",IF(AND(ISNUMBER(D3771),ISNUMBER(J3771)),ROUND(D3771*J3771*(1-N(F3771)),2),0))</f>
        <v/>
      </c>
      <c r="M3771" s="62" t="str">
        <f>IF(A3771="","",IFERROR(INDEX(fa_cname,MATCH(A3771,fa_num,0))&amp;"",""))</f>
        <v/>
      </c>
      <c r="N3771" s="59" t="str">
        <f>IF(COUNTA(A3771:G3771)=0,"",IF(A3771="","N° facture manquant",IF(ISNA(MATCH(A3771,fa_num,0)),"Facture inconnue",IF(AND(B3771&lt;&gt;"",ISNA(MATCH(B3771,pr_code,0))),"Article inconnu",IF(H3771="","Désignation manquante",IF(OR(NOT(ISNUMBER(D3771)),N(D3771)&lt;=0),"Quantité invalide",IF(J3771="","Prix manquant",IF(OR(NOT(ISNUMBER(J3771)),N(J3771)&lt;0),"Prix invalide",IF(OR(AND(F3771&lt;&gt;"",NOT(ISNUMBER(F3771))),N(F3771)&lt;0,N(F3771)&gt;1),"Remise invalide",IF(K3771="","Taux de TVA manquant",IF(NOT(ISNUMBER(K3771)),"Taux de TVA invalide",IF(COUNTIF(p_rates,K3771)=0,"Taux de TVA hors liste (Paramètres)",IF(N(O3771)&gt;25,"Au-delà de 25 lignes : non imprimée","OK")))))))))))))</f>
        <v/>
      </c>
      <c r="O3771" s="59" t="str">
        <f>IF(A3771="","",COUNTIF($A$6:A3771,A3771))</f>
        <v/>
      </c>
      <c r="P3771" s="62" t="str">
        <f>IF(A3771="","",A3771&amp;"|"&amp;O3771)</f>
        <v/>
      </c>
    </row>
    <row r="3772">
      <c r="A3772" s="60" t="n"/>
      <c r="B3772" s="63" t="n"/>
      <c r="C3772" s="63" t="n"/>
      <c r="D3772" s="67" t="n"/>
      <c r="E3772" s="68" t="n"/>
      <c r="F3772" s="69" t="n"/>
      <c r="G3772" s="70" t="n"/>
      <c r="H3772" s="62" t="str">
        <f>IF(COUNTA(A3772:G3772)=0,"",IF(C3772&lt;&gt;"",C3772,IF(B3772="","",IFERROR(INDEX(pr_des,MATCH(B3772,pr_code,0))&amp;"",""))))</f>
        <v/>
      </c>
      <c r="I3772" s="59" t="str">
        <f>IF(B3772="","",IFERROR(INDEX(pr_unit,MATCH(B3772,pr_code,0))&amp;"",""))</f>
        <v/>
      </c>
      <c r="J3772" s="65" t="str">
        <f>IF(COUNTA(A3772:G3772)=0,"",IF(E3772&lt;&gt;"",E3772,IF(B3772="","",IFERROR(IF(INDEX(pr_price,MATCH(B3772,pr_code,0))="","",INDEX(pr_price,MATCH(B3772,pr_code,0))),""))))</f>
        <v/>
      </c>
      <c r="K3772" s="71" t="str">
        <f>IF(COUNTA(A3772:G3772)=0,"",IF(G3772&lt;&gt;"",G3772,IF(B3772="","",IFERROR(IF(INDEX(pr_rate,MATCH(B3772,pr_code,0))="","",INDEX(pr_rate,MATCH(B3772,pr_code,0))),""))))</f>
        <v/>
      </c>
      <c r="L3772" s="65" t="str">
        <f>IF(COUNTA(A3772:G3772)=0,"",IF(AND(ISNUMBER(D3772),ISNUMBER(J3772)),ROUND(D3772*J3772*(1-N(F3772)),2),0))</f>
        <v/>
      </c>
      <c r="M3772" s="62" t="str">
        <f>IF(A3772="","",IFERROR(INDEX(fa_cname,MATCH(A3772,fa_num,0))&amp;"",""))</f>
        <v/>
      </c>
      <c r="N3772" s="59" t="str">
        <f>IF(COUNTA(A3772:G3772)=0,"",IF(A3772="","N° facture manquant",IF(ISNA(MATCH(A3772,fa_num,0)),"Facture inconnue",IF(AND(B3772&lt;&gt;"",ISNA(MATCH(B3772,pr_code,0))),"Article inconnu",IF(H3772="","Désignation manquante",IF(OR(NOT(ISNUMBER(D3772)),N(D3772)&lt;=0),"Quantité invalide",IF(J3772="","Prix manquant",IF(OR(NOT(ISNUMBER(J3772)),N(J3772)&lt;0),"Prix invalide",IF(OR(AND(F3772&lt;&gt;"",NOT(ISNUMBER(F3772))),N(F3772)&lt;0,N(F3772)&gt;1),"Remise invalide",IF(K3772="","Taux de TVA manquant",IF(NOT(ISNUMBER(K3772)),"Taux de TVA invalide",IF(COUNTIF(p_rates,K3772)=0,"Taux de TVA hors liste (Paramètres)",IF(N(O3772)&gt;25,"Au-delà de 25 lignes : non imprimée","OK")))))))))))))</f>
        <v/>
      </c>
      <c r="O3772" s="59" t="str">
        <f>IF(A3772="","",COUNTIF($A$6:A3772,A3772))</f>
        <v/>
      </c>
      <c r="P3772" s="62" t="str">
        <f>IF(A3772="","",A3772&amp;"|"&amp;O3772)</f>
        <v/>
      </c>
    </row>
    <row r="3773">
      <c r="A3773" s="60" t="n"/>
      <c r="B3773" s="63" t="n"/>
      <c r="C3773" s="63" t="n"/>
      <c r="D3773" s="67" t="n"/>
      <c r="E3773" s="68" t="n"/>
      <c r="F3773" s="69" t="n"/>
      <c r="G3773" s="70" t="n"/>
      <c r="H3773" s="62" t="str">
        <f>IF(COUNTA(A3773:G3773)=0,"",IF(C3773&lt;&gt;"",C3773,IF(B3773="","",IFERROR(INDEX(pr_des,MATCH(B3773,pr_code,0))&amp;"",""))))</f>
        <v/>
      </c>
      <c r="I3773" s="59" t="str">
        <f>IF(B3773="","",IFERROR(INDEX(pr_unit,MATCH(B3773,pr_code,0))&amp;"",""))</f>
        <v/>
      </c>
      <c r="J3773" s="65" t="str">
        <f>IF(COUNTA(A3773:G3773)=0,"",IF(E3773&lt;&gt;"",E3773,IF(B3773="","",IFERROR(IF(INDEX(pr_price,MATCH(B3773,pr_code,0))="","",INDEX(pr_price,MATCH(B3773,pr_code,0))),""))))</f>
        <v/>
      </c>
      <c r="K3773" s="71" t="str">
        <f>IF(COUNTA(A3773:G3773)=0,"",IF(G3773&lt;&gt;"",G3773,IF(B3773="","",IFERROR(IF(INDEX(pr_rate,MATCH(B3773,pr_code,0))="","",INDEX(pr_rate,MATCH(B3773,pr_code,0))),""))))</f>
        <v/>
      </c>
      <c r="L3773" s="65" t="str">
        <f>IF(COUNTA(A3773:G3773)=0,"",IF(AND(ISNUMBER(D3773),ISNUMBER(J3773)),ROUND(D3773*J3773*(1-N(F3773)),2),0))</f>
        <v/>
      </c>
      <c r="M3773" s="62" t="str">
        <f>IF(A3773="","",IFERROR(INDEX(fa_cname,MATCH(A3773,fa_num,0))&amp;"",""))</f>
        <v/>
      </c>
      <c r="N3773" s="59" t="str">
        <f>IF(COUNTA(A3773:G3773)=0,"",IF(A3773="","N° facture manquant",IF(ISNA(MATCH(A3773,fa_num,0)),"Facture inconnue",IF(AND(B3773&lt;&gt;"",ISNA(MATCH(B3773,pr_code,0))),"Article inconnu",IF(H3773="","Désignation manquante",IF(OR(NOT(ISNUMBER(D3773)),N(D3773)&lt;=0),"Quantité invalide",IF(J3773="","Prix manquant",IF(OR(NOT(ISNUMBER(J3773)),N(J3773)&lt;0),"Prix invalide",IF(OR(AND(F3773&lt;&gt;"",NOT(ISNUMBER(F3773))),N(F3773)&lt;0,N(F3773)&gt;1),"Remise invalide",IF(K3773="","Taux de TVA manquant",IF(NOT(ISNUMBER(K3773)),"Taux de TVA invalide",IF(COUNTIF(p_rates,K3773)=0,"Taux de TVA hors liste (Paramètres)",IF(N(O3773)&gt;25,"Au-delà de 25 lignes : non imprimée","OK")))))))))))))</f>
        <v/>
      </c>
      <c r="O3773" s="59" t="str">
        <f>IF(A3773="","",COUNTIF($A$6:A3773,A3773))</f>
        <v/>
      </c>
      <c r="P3773" s="62" t="str">
        <f>IF(A3773="","",A3773&amp;"|"&amp;O3773)</f>
        <v/>
      </c>
    </row>
    <row r="3774">
      <c r="A3774" s="60" t="n"/>
      <c r="B3774" s="63" t="n"/>
      <c r="C3774" s="63" t="n"/>
      <c r="D3774" s="67" t="n"/>
      <c r="E3774" s="68" t="n"/>
      <c r="F3774" s="69" t="n"/>
      <c r="G3774" s="70" t="n"/>
      <c r="H3774" s="62" t="str">
        <f>IF(COUNTA(A3774:G3774)=0,"",IF(C3774&lt;&gt;"",C3774,IF(B3774="","",IFERROR(INDEX(pr_des,MATCH(B3774,pr_code,0))&amp;"",""))))</f>
        <v/>
      </c>
      <c r="I3774" s="59" t="str">
        <f>IF(B3774="","",IFERROR(INDEX(pr_unit,MATCH(B3774,pr_code,0))&amp;"",""))</f>
        <v/>
      </c>
      <c r="J3774" s="65" t="str">
        <f>IF(COUNTA(A3774:G3774)=0,"",IF(E3774&lt;&gt;"",E3774,IF(B3774="","",IFERROR(IF(INDEX(pr_price,MATCH(B3774,pr_code,0))="","",INDEX(pr_price,MATCH(B3774,pr_code,0))),""))))</f>
        <v/>
      </c>
      <c r="K3774" s="71" t="str">
        <f>IF(COUNTA(A3774:G3774)=0,"",IF(G3774&lt;&gt;"",G3774,IF(B3774="","",IFERROR(IF(INDEX(pr_rate,MATCH(B3774,pr_code,0))="","",INDEX(pr_rate,MATCH(B3774,pr_code,0))),""))))</f>
        <v/>
      </c>
      <c r="L3774" s="65" t="str">
        <f>IF(COUNTA(A3774:G3774)=0,"",IF(AND(ISNUMBER(D3774),ISNUMBER(J3774)),ROUND(D3774*J3774*(1-N(F3774)),2),0))</f>
        <v/>
      </c>
      <c r="M3774" s="62" t="str">
        <f>IF(A3774="","",IFERROR(INDEX(fa_cname,MATCH(A3774,fa_num,0))&amp;"",""))</f>
        <v/>
      </c>
      <c r="N3774" s="59" t="str">
        <f>IF(COUNTA(A3774:G3774)=0,"",IF(A3774="","N° facture manquant",IF(ISNA(MATCH(A3774,fa_num,0)),"Facture inconnue",IF(AND(B3774&lt;&gt;"",ISNA(MATCH(B3774,pr_code,0))),"Article inconnu",IF(H3774="","Désignation manquante",IF(OR(NOT(ISNUMBER(D3774)),N(D3774)&lt;=0),"Quantité invalide",IF(J3774="","Prix manquant",IF(OR(NOT(ISNUMBER(J3774)),N(J3774)&lt;0),"Prix invalide",IF(OR(AND(F3774&lt;&gt;"",NOT(ISNUMBER(F3774))),N(F3774)&lt;0,N(F3774)&gt;1),"Remise invalide",IF(K3774="","Taux de TVA manquant",IF(NOT(ISNUMBER(K3774)),"Taux de TVA invalide",IF(COUNTIF(p_rates,K3774)=0,"Taux de TVA hors liste (Paramètres)",IF(N(O3774)&gt;25,"Au-delà de 25 lignes : non imprimée","OK")))))))))))))</f>
        <v/>
      </c>
      <c r="O3774" s="59" t="str">
        <f>IF(A3774="","",COUNTIF($A$6:A3774,A3774))</f>
        <v/>
      </c>
      <c r="P3774" s="62" t="str">
        <f>IF(A3774="","",A3774&amp;"|"&amp;O3774)</f>
        <v/>
      </c>
    </row>
    <row r="3775">
      <c r="A3775" s="60" t="n"/>
      <c r="B3775" s="63" t="n"/>
      <c r="C3775" s="63" t="n"/>
      <c r="D3775" s="67" t="n"/>
      <c r="E3775" s="68" t="n"/>
      <c r="F3775" s="69" t="n"/>
      <c r="G3775" s="70" t="n"/>
      <c r="H3775" s="62" t="str">
        <f>IF(COUNTA(A3775:G3775)=0,"",IF(C3775&lt;&gt;"",C3775,IF(B3775="","",IFERROR(INDEX(pr_des,MATCH(B3775,pr_code,0))&amp;"",""))))</f>
        <v/>
      </c>
      <c r="I3775" s="59" t="str">
        <f>IF(B3775="","",IFERROR(INDEX(pr_unit,MATCH(B3775,pr_code,0))&amp;"",""))</f>
        <v/>
      </c>
      <c r="J3775" s="65" t="str">
        <f>IF(COUNTA(A3775:G3775)=0,"",IF(E3775&lt;&gt;"",E3775,IF(B3775="","",IFERROR(IF(INDEX(pr_price,MATCH(B3775,pr_code,0))="","",INDEX(pr_price,MATCH(B3775,pr_code,0))),""))))</f>
        <v/>
      </c>
      <c r="K3775" s="71" t="str">
        <f>IF(COUNTA(A3775:G3775)=0,"",IF(G3775&lt;&gt;"",G3775,IF(B3775="","",IFERROR(IF(INDEX(pr_rate,MATCH(B3775,pr_code,0))="","",INDEX(pr_rate,MATCH(B3775,pr_code,0))),""))))</f>
        <v/>
      </c>
      <c r="L3775" s="65" t="str">
        <f>IF(COUNTA(A3775:G3775)=0,"",IF(AND(ISNUMBER(D3775),ISNUMBER(J3775)),ROUND(D3775*J3775*(1-N(F3775)),2),0))</f>
        <v/>
      </c>
      <c r="M3775" s="62" t="str">
        <f>IF(A3775="","",IFERROR(INDEX(fa_cname,MATCH(A3775,fa_num,0))&amp;"",""))</f>
        <v/>
      </c>
      <c r="N3775" s="59" t="str">
        <f>IF(COUNTA(A3775:G3775)=0,"",IF(A3775="","N° facture manquant",IF(ISNA(MATCH(A3775,fa_num,0)),"Facture inconnue",IF(AND(B3775&lt;&gt;"",ISNA(MATCH(B3775,pr_code,0))),"Article inconnu",IF(H3775="","Désignation manquante",IF(OR(NOT(ISNUMBER(D3775)),N(D3775)&lt;=0),"Quantité invalide",IF(J3775="","Prix manquant",IF(OR(NOT(ISNUMBER(J3775)),N(J3775)&lt;0),"Prix invalide",IF(OR(AND(F3775&lt;&gt;"",NOT(ISNUMBER(F3775))),N(F3775)&lt;0,N(F3775)&gt;1),"Remise invalide",IF(K3775="","Taux de TVA manquant",IF(NOT(ISNUMBER(K3775)),"Taux de TVA invalide",IF(COUNTIF(p_rates,K3775)=0,"Taux de TVA hors liste (Paramètres)",IF(N(O3775)&gt;25,"Au-delà de 25 lignes : non imprimée","OK")))))))))))))</f>
        <v/>
      </c>
      <c r="O3775" s="59" t="str">
        <f>IF(A3775="","",COUNTIF($A$6:A3775,A3775))</f>
        <v/>
      </c>
      <c r="P3775" s="62" t="str">
        <f>IF(A3775="","",A3775&amp;"|"&amp;O3775)</f>
        <v/>
      </c>
    </row>
    <row r="3776">
      <c r="A3776" s="60" t="n"/>
      <c r="B3776" s="63" t="n"/>
      <c r="C3776" s="63" t="n"/>
      <c r="D3776" s="67" t="n"/>
      <c r="E3776" s="68" t="n"/>
      <c r="F3776" s="69" t="n"/>
      <c r="G3776" s="70" t="n"/>
      <c r="H3776" s="62" t="str">
        <f>IF(COUNTA(A3776:G3776)=0,"",IF(C3776&lt;&gt;"",C3776,IF(B3776="","",IFERROR(INDEX(pr_des,MATCH(B3776,pr_code,0))&amp;"",""))))</f>
        <v/>
      </c>
      <c r="I3776" s="59" t="str">
        <f>IF(B3776="","",IFERROR(INDEX(pr_unit,MATCH(B3776,pr_code,0))&amp;"",""))</f>
        <v/>
      </c>
      <c r="J3776" s="65" t="str">
        <f>IF(COUNTA(A3776:G3776)=0,"",IF(E3776&lt;&gt;"",E3776,IF(B3776="","",IFERROR(IF(INDEX(pr_price,MATCH(B3776,pr_code,0))="","",INDEX(pr_price,MATCH(B3776,pr_code,0))),""))))</f>
        <v/>
      </c>
      <c r="K3776" s="71" t="str">
        <f>IF(COUNTA(A3776:G3776)=0,"",IF(G3776&lt;&gt;"",G3776,IF(B3776="","",IFERROR(IF(INDEX(pr_rate,MATCH(B3776,pr_code,0))="","",INDEX(pr_rate,MATCH(B3776,pr_code,0))),""))))</f>
        <v/>
      </c>
      <c r="L3776" s="65" t="str">
        <f>IF(COUNTA(A3776:G3776)=0,"",IF(AND(ISNUMBER(D3776),ISNUMBER(J3776)),ROUND(D3776*J3776*(1-N(F3776)),2),0))</f>
        <v/>
      </c>
      <c r="M3776" s="62" t="str">
        <f>IF(A3776="","",IFERROR(INDEX(fa_cname,MATCH(A3776,fa_num,0))&amp;"",""))</f>
        <v/>
      </c>
      <c r="N3776" s="59" t="str">
        <f>IF(COUNTA(A3776:G3776)=0,"",IF(A3776="","N° facture manquant",IF(ISNA(MATCH(A3776,fa_num,0)),"Facture inconnue",IF(AND(B3776&lt;&gt;"",ISNA(MATCH(B3776,pr_code,0))),"Article inconnu",IF(H3776="","Désignation manquante",IF(OR(NOT(ISNUMBER(D3776)),N(D3776)&lt;=0),"Quantité invalide",IF(J3776="","Prix manquant",IF(OR(NOT(ISNUMBER(J3776)),N(J3776)&lt;0),"Prix invalide",IF(OR(AND(F3776&lt;&gt;"",NOT(ISNUMBER(F3776))),N(F3776)&lt;0,N(F3776)&gt;1),"Remise invalide",IF(K3776="","Taux de TVA manquant",IF(NOT(ISNUMBER(K3776)),"Taux de TVA invalide",IF(COUNTIF(p_rates,K3776)=0,"Taux de TVA hors liste (Paramètres)",IF(N(O3776)&gt;25,"Au-delà de 25 lignes : non imprimée","OK")))))))))))))</f>
        <v/>
      </c>
      <c r="O3776" s="59" t="str">
        <f>IF(A3776="","",COUNTIF($A$6:A3776,A3776))</f>
        <v/>
      </c>
      <c r="P3776" s="62" t="str">
        <f>IF(A3776="","",A3776&amp;"|"&amp;O3776)</f>
        <v/>
      </c>
    </row>
    <row r="3777">
      <c r="A3777" s="60" t="n"/>
      <c r="B3777" s="63" t="n"/>
      <c r="C3777" s="63" t="n"/>
      <c r="D3777" s="67" t="n"/>
      <c r="E3777" s="68" t="n"/>
      <c r="F3777" s="69" t="n"/>
      <c r="G3777" s="70" t="n"/>
      <c r="H3777" s="62" t="str">
        <f>IF(COUNTA(A3777:G3777)=0,"",IF(C3777&lt;&gt;"",C3777,IF(B3777="","",IFERROR(INDEX(pr_des,MATCH(B3777,pr_code,0))&amp;"",""))))</f>
        <v/>
      </c>
      <c r="I3777" s="59" t="str">
        <f>IF(B3777="","",IFERROR(INDEX(pr_unit,MATCH(B3777,pr_code,0))&amp;"",""))</f>
        <v/>
      </c>
      <c r="J3777" s="65" t="str">
        <f>IF(COUNTA(A3777:G3777)=0,"",IF(E3777&lt;&gt;"",E3777,IF(B3777="","",IFERROR(IF(INDEX(pr_price,MATCH(B3777,pr_code,0))="","",INDEX(pr_price,MATCH(B3777,pr_code,0))),""))))</f>
        <v/>
      </c>
      <c r="K3777" s="71" t="str">
        <f>IF(COUNTA(A3777:G3777)=0,"",IF(G3777&lt;&gt;"",G3777,IF(B3777="","",IFERROR(IF(INDEX(pr_rate,MATCH(B3777,pr_code,0))="","",INDEX(pr_rate,MATCH(B3777,pr_code,0))),""))))</f>
        <v/>
      </c>
      <c r="L3777" s="65" t="str">
        <f>IF(COUNTA(A3777:G3777)=0,"",IF(AND(ISNUMBER(D3777),ISNUMBER(J3777)),ROUND(D3777*J3777*(1-N(F3777)),2),0))</f>
        <v/>
      </c>
      <c r="M3777" s="62" t="str">
        <f>IF(A3777="","",IFERROR(INDEX(fa_cname,MATCH(A3777,fa_num,0))&amp;"",""))</f>
        <v/>
      </c>
      <c r="N3777" s="59" t="str">
        <f>IF(COUNTA(A3777:G3777)=0,"",IF(A3777="","N° facture manquant",IF(ISNA(MATCH(A3777,fa_num,0)),"Facture inconnue",IF(AND(B3777&lt;&gt;"",ISNA(MATCH(B3777,pr_code,0))),"Article inconnu",IF(H3777="","Désignation manquante",IF(OR(NOT(ISNUMBER(D3777)),N(D3777)&lt;=0),"Quantité invalide",IF(J3777="","Prix manquant",IF(OR(NOT(ISNUMBER(J3777)),N(J3777)&lt;0),"Prix invalide",IF(OR(AND(F3777&lt;&gt;"",NOT(ISNUMBER(F3777))),N(F3777)&lt;0,N(F3777)&gt;1),"Remise invalide",IF(K3777="","Taux de TVA manquant",IF(NOT(ISNUMBER(K3777)),"Taux de TVA invalide",IF(COUNTIF(p_rates,K3777)=0,"Taux de TVA hors liste (Paramètres)",IF(N(O3777)&gt;25,"Au-delà de 25 lignes : non imprimée","OK")))))))))))))</f>
        <v/>
      </c>
      <c r="O3777" s="59" t="str">
        <f>IF(A3777="","",COUNTIF($A$6:A3777,A3777))</f>
        <v/>
      </c>
      <c r="P3777" s="62" t="str">
        <f>IF(A3777="","",A3777&amp;"|"&amp;O3777)</f>
        <v/>
      </c>
    </row>
    <row r="3778">
      <c r="A3778" s="60" t="n"/>
      <c r="B3778" s="63" t="n"/>
      <c r="C3778" s="63" t="n"/>
      <c r="D3778" s="67" t="n"/>
      <c r="E3778" s="68" t="n"/>
      <c r="F3778" s="69" t="n"/>
      <c r="G3778" s="70" t="n"/>
      <c r="H3778" s="62" t="str">
        <f>IF(COUNTA(A3778:G3778)=0,"",IF(C3778&lt;&gt;"",C3778,IF(B3778="","",IFERROR(INDEX(pr_des,MATCH(B3778,pr_code,0))&amp;"",""))))</f>
        <v/>
      </c>
      <c r="I3778" s="59" t="str">
        <f>IF(B3778="","",IFERROR(INDEX(pr_unit,MATCH(B3778,pr_code,0))&amp;"",""))</f>
        <v/>
      </c>
      <c r="J3778" s="65" t="str">
        <f>IF(COUNTA(A3778:G3778)=0,"",IF(E3778&lt;&gt;"",E3778,IF(B3778="","",IFERROR(IF(INDEX(pr_price,MATCH(B3778,pr_code,0))="","",INDEX(pr_price,MATCH(B3778,pr_code,0))),""))))</f>
        <v/>
      </c>
      <c r="K3778" s="71" t="str">
        <f>IF(COUNTA(A3778:G3778)=0,"",IF(G3778&lt;&gt;"",G3778,IF(B3778="","",IFERROR(IF(INDEX(pr_rate,MATCH(B3778,pr_code,0))="","",INDEX(pr_rate,MATCH(B3778,pr_code,0))),""))))</f>
        <v/>
      </c>
      <c r="L3778" s="65" t="str">
        <f>IF(COUNTA(A3778:G3778)=0,"",IF(AND(ISNUMBER(D3778),ISNUMBER(J3778)),ROUND(D3778*J3778*(1-N(F3778)),2),0))</f>
        <v/>
      </c>
      <c r="M3778" s="62" t="str">
        <f>IF(A3778="","",IFERROR(INDEX(fa_cname,MATCH(A3778,fa_num,0))&amp;"",""))</f>
        <v/>
      </c>
      <c r="N3778" s="59" t="str">
        <f>IF(COUNTA(A3778:G3778)=0,"",IF(A3778="","N° facture manquant",IF(ISNA(MATCH(A3778,fa_num,0)),"Facture inconnue",IF(AND(B3778&lt;&gt;"",ISNA(MATCH(B3778,pr_code,0))),"Article inconnu",IF(H3778="","Désignation manquante",IF(OR(NOT(ISNUMBER(D3778)),N(D3778)&lt;=0),"Quantité invalide",IF(J3778="","Prix manquant",IF(OR(NOT(ISNUMBER(J3778)),N(J3778)&lt;0),"Prix invalide",IF(OR(AND(F3778&lt;&gt;"",NOT(ISNUMBER(F3778))),N(F3778)&lt;0,N(F3778)&gt;1),"Remise invalide",IF(K3778="","Taux de TVA manquant",IF(NOT(ISNUMBER(K3778)),"Taux de TVA invalide",IF(COUNTIF(p_rates,K3778)=0,"Taux de TVA hors liste (Paramètres)",IF(N(O3778)&gt;25,"Au-delà de 25 lignes : non imprimée","OK")))))))))))))</f>
        <v/>
      </c>
      <c r="O3778" s="59" t="str">
        <f>IF(A3778="","",COUNTIF($A$6:A3778,A3778))</f>
        <v/>
      </c>
      <c r="P3778" s="62" t="str">
        <f>IF(A3778="","",A3778&amp;"|"&amp;O3778)</f>
        <v/>
      </c>
    </row>
    <row r="3779">
      <c r="A3779" s="60" t="n"/>
      <c r="B3779" s="63" t="n"/>
      <c r="C3779" s="63" t="n"/>
      <c r="D3779" s="67" t="n"/>
      <c r="E3779" s="68" t="n"/>
      <c r="F3779" s="69" t="n"/>
      <c r="G3779" s="70" t="n"/>
      <c r="H3779" s="62" t="str">
        <f>IF(COUNTA(A3779:G3779)=0,"",IF(C3779&lt;&gt;"",C3779,IF(B3779="","",IFERROR(INDEX(pr_des,MATCH(B3779,pr_code,0))&amp;"",""))))</f>
        <v/>
      </c>
      <c r="I3779" s="59" t="str">
        <f>IF(B3779="","",IFERROR(INDEX(pr_unit,MATCH(B3779,pr_code,0))&amp;"",""))</f>
        <v/>
      </c>
      <c r="J3779" s="65" t="str">
        <f>IF(COUNTA(A3779:G3779)=0,"",IF(E3779&lt;&gt;"",E3779,IF(B3779="","",IFERROR(IF(INDEX(pr_price,MATCH(B3779,pr_code,0))="","",INDEX(pr_price,MATCH(B3779,pr_code,0))),""))))</f>
        <v/>
      </c>
      <c r="K3779" s="71" t="str">
        <f>IF(COUNTA(A3779:G3779)=0,"",IF(G3779&lt;&gt;"",G3779,IF(B3779="","",IFERROR(IF(INDEX(pr_rate,MATCH(B3779,pr_code,0))="","",INDEX(pr_rate,MATCH(B3779,pr_code,0))),""))))</f>
        <v/>
      </c>
      <c r="L3779" s="65" t="str">
        <f>IF(COUNTA(A3779:G3779)=0,"",IF(AND(ISNUMBER(D3779),ISNUMBER(J3779)),ROUND(D3779*J3779*(1-N(F3779)),2),0))</f>
        <v/>
      </c>
      <c r="M3779" s="62" t="str">
        <f>IF(A3779="","",IFERROR(INDEX(fa_cname,MATCH(A3779,fa_num,0))&amp;"",""))</f>
        <v/>
      </c>
      <c r="N3779" s="59" t="str">
        <f>IF(COUNTA(A3779:G3779)=0,"",IF(A3779="","N° facture manquant",IF(ISNA(MATCH(A3779,fa_num,0)),"Facture inconnue",IF(AND(B3779&lt;&gt;"",ISNA(MATCH(B3779,pr_code,0))),"Article inconnu",IF(H3779="","Désignation manquante",IF(OR(NOT(ISNUMBER(D3779)),N(D3779)&lt;=0),"Quantité invalide",IF(J3779="","Prix manquant",IF(OR(NOT(ISNUMBER(J3779)),N(J3779)&lt;0),"Prix invalide",IF(OR(AND(F3779&lt;&gt;"",NOT(ISNUMBER(F3779))),N(F3779)&lt;0,N(F3779)&gt;1),"Remise invalide",IF(K3779="","Taux de TVA manquant",IF(NOT(ISNUMBER(K3779)),"Taux de TVA invalide",IF(COUNTIF(p_rates,K3779)=0,"Taux de TVA hors liste (Paramètres)",IF(N(O3779)&gt;25,"Au-delà de 25 lignes : non imprimée","OK")))))))))))))</f>
        <v/>
      </c>
      <c r="O3779" s="59" t="str">
        <f>IF(A3779="","",COUNTIF($A$6:A3779,A3779))</f>
        <v/>
      </c>
      <c r="P3779" s="62" t="str">
        <f>IF(A3779="","",A3779&amp;"|"&amp;O3779)</f>
        <v/>
      </c>
    </row>
    <row r="3780">
      <c r="A3780" s="60" t="n"/>
      <c r="B3780" s="63" t="n"/>
      <c r="C3780" s="63" t="n"/>
      <c r="D3780" s="67" t="n"/>
      <c r="E3780" s="68" t="n"/>
      <c r="F3780" s="69" t="n"/>
      <c r="G3780" s="70" t="n"/>
      <c r="H3780" s="62" t="str">
        <f>IF(COUNTA(A3780:G3780)=0,"",IF(C3780&lt;&gt;"",C3780,IF(B3780="","",IFERROR(INDEX(pr_des,MATCH(B3780,pr_code,0))&amp;"",""))))</f>
        <v/>
      </c>
      <c r="I3780" s="59" t="str">
        <f>IF(B3780="","",IFERROR(INDEX(pr_unit,MATCH(B3780,pr_code,0))&amp;"",""))</f>
        <v/>
      </c>
      <c r="J3780" s="65" t="str">
        <f>IF(COUNTA(A3780:G3780)=0,"",IF(E3780&lt;&gt;"",E3780,IF(B3780="","",IFERROR(IF(INDEX(pr_price,MATCH(B3780,pr_code,0))="","",INDEX(pr_price,MATCH(B3780,pr_code,0))),""))))</f>
        <v/>
      </c>
      <c r="K3780" s="71" t="str">
        <f>IF(COUNTA(A3780:G3780)=0,"",IF(G3780&lt;&gt;"",G3780,IF(B3780="","",IFERROR(IF(INDEX(pr_rate,MATCH(B3780,pr_code,0))="","",INDEX(pr_rate,MATCH(B3780,pr_code,0))),""))))</f>
        <v/>
      </c>
      <c r="L3780" s="65" t="str">
        <f>IF(COUNTA(A3780:G3780)=0,"",IF(AND(ISNUMBER(D3780),ISNUMBER(J3780)),ROUND(D3780*J3780*(1-N(F3780)),2),0))</f>
        <v/>
      </c>
      <c r="M3780" s="62" t="str">
        <f>IF(A3780="","",IFERROR(INDEX(fa_cname,MATCH(A3780,fa_num,0))&amp;"",""))</f>
        <v/>
      </c>
      <c r="N3780" s="59" t="str">
        <f>IF(COUNTA(A3780:G3780)=0,"",IF(A3780="","N° facture manquant",IF(ISNA(MATCH(A3780,fa_num,0)),"Facture inconnue",IF(AND(B3780&lt;&gt;"",ISNA(MATCH(B3780,pr_code,0))),"Article inconnu",IF(H3780="","Désignation manquante",IF(OR(NOT(ISNUMBER(D3780)),N(D3780)&lt;=0),"Quantité invalide",IF(J3780="","Prix manquant",IF(OR(NOT(ISNUMBER(J3780)),N(J3780)&lt;0),"Prix invalide",IF(OR(AND(F3780&lt;&gt;"",NOT(ISNUMBER(F3780))),N(F3780)&lt;0,N(F3780)&gt;1),"Remise invalide",IF(K3780="","Taux de TVA manquant",IF(NOT(ISNUMBER(K3780)),"Taux de TVA invalide",IF(COUNTIF(p_rates,K3780)=0,"Taux de TVA hors liste (Paramètres)",IF(N(O3780)&gt;25,"Au-delà de 25 lignes : non imprimée","OK")))))))))))))</f>
        <v/>
      </c>
      <c r="O3780" s="59" t="str">
        <f>IF(A3780="","",COUNTIF($A$6:A3780,A3780))</f>
        <v/>
      </c>
      <c r="P3780" s="62" t="str">
        <f>IF(A3780="","",A3780&amp;"|"&amp;O3780)</f>
        <v/>
      </c>
    </row>
    <row r="3781">
      <c r="A3781" s="60" t="n"/>
      <c r="B3781" s="63" t="n"/>
      <c r="C3781" s="63" t="n"/>
      <c r="D3781" s="67" t="n"/>
      <c r="E3781" s="68" t="n"/>
      <c r="F3781" s="69" t="n"/>
      <c r="G3781" s="70" t="n"/>
      <c r="H3781" s="62" t="str">
        <f>IF(COUNTA(A3781:G3781)=0,"",IF(C3781&lt;&gt;"",C3781,IF(B3781="","",IFERROR(INDEX(pr_des,MATCH(B3781,pr_code,0))&amp;"",""))))</f>
        <v/>
      </c>
      <c r="I3781" s="59" t="str">
        <f>IF(B3781="","",IFERROR(INDEX(pr_unit,MATCH(B3781,pr_code,0))&amp;"",""))</f>
        <v/>
      </c>
      <c r="J3781" s="65" t="str">
        <f>IF(COUNTA(A3781:G3781)=0,"",IF(E3781&lt;&gt;"",E3781,IF(B3781="","",IFERROR(IF(INDEX(pr_price,MATCH(B3781,pr_code,0))="","",INDEX(pr_price,MATCH(B3781,pr_code,0))),""))))</f>
        <v/>
      </c>
      <c r="K3781" s="71" t="str">
        <f>IF(COUNTA(A3781:G3781)=0,"",IF(G3781&lt;&gt;"",G3781,IF(B3781="","",IFERROR(IF(INDEX(pr_rate,MATCH(B3781,pr_code,0))="","",INDEX(pr_rate,MATCH(B3781,pr_code,0))),""))))</f>
        <v/>
      </c>
      <c r="L3781" s="65" t="str">
        <f>IF(COUNTA(A3781:G3781)=0,"",IF(AND(ISNUMBER(D3781),ISNUMBER(J3781)),ROUND(D3781*J3781*(1-N(F3781)),2),0))</f>
        <v/>
      </c>
      <c r="M3781" s="62" t="str">
        <f>IF(A3781="","",IFERROR(INDEX(fa_cname,MATCH(A3781,fa_num,0))&amp;"",""))</f>
        <v/>
      </c>
      <c r="N3781" s="59" t="str">
        <f>IF(COUNTA(A3781:G3781)=0,"",IF(A3781="","N° facture manquant",IF(ISNA(MATCH(A3781,fa_num,0)),"Facture inconnue",IF(AND(B3781&lt;&gt;"",ISNA(MATCH(B3781,pr_code,0))),"Article inconnu",IF(H3781="","Désignation manquante",IF(OR(NOT(ISNUMBER(D3781)),N(D3781)&lt;=0),"Quantité invalide",IF(J3781="","Prix manquant",IF(OR(NOT(ISNUMBER(J3781)),N(J3781)&lt;0),"Prix invalide",IF(OR(AND(F3781&lt;&gt;"",NOT(ISNUMBER(F3781))),N(F3781)&lt;0,N(F3781)&gt;1),"Remise invalide",IF(K3781="","Taux de TVA manquant",IF(NOT(ISNUMBER(K3781)),"Taux de TVA invalide",IF(COUNTIF(p_rates,K3781)=0,"Taux de TVA hors liste (Paramètres)",IF(N(O3781)&gt;25,"Au-delà de 25 lignes : non imprimée","OK")))))))))))))</f>
        <v/>
      </c>
      <c r="O3781" s="59" t="str">
        <f>IF(A3781="","",COUNTIF($A$6:A3781,A3781))</f>
        <v/>
      </c>
      <c r="P3781" s="62" t="str">
        <f>IF(A3781="","",A3781&amp;"|"&amp;O3781)</f>
        <v/>
      </c>
    </row>
    <row r="3782">
      <c r="A3782" s="60" t="n"/>
      <c r="B3782" s="63" t="n"/>
      <c r="C3782" s="63" t="n"/>
      <c r="D3782" s="67" t="n"/>
      <c r="E3782" s="68" t="n"/>
      <c r="F3782" s="69" t="n"/>
      <c r="G3782" s="70" t="n"/>
      <c r="H3782" s="62" t="str">
        <f>IF(COUNTA(A3782:G3782)=0,"",IF(C3782&lt;&gt;"",C3782,IF(B3782="","",IFERROR(INDEX(pr_des,MATCH(B3782,pr_code,0))&amp;"",""))))</f>
        <v/>
      </c>
      <c r="I3782" s="59" t="str">
        <f>IF(B3782="","",IFERROR(INDEX(pr_unit,MATCH(B3782,pr_code,0))&amp;"",""))</f>
        <v/>
      </c>
      <c r="J3782" s="65" t="str">
        <f>IF(COUNTA(A3782:G3782)=0,"",IF(E3782&lt;&gt;"",E3782,IF(B3782="","",IFERROR(IF(INDEX(pr_price,MATCH(B3782,pr_code,0))="","",INDEX(pr_price,MATCH(B3782,pr_code,0))),""))))</f>
        <v/>
      </c>
      <c r="K3782" s="71" t="str">
        <f>IF(COUNTA(A3782:G3782)=0,"",IF(G3782&lt;&gt;"",G3782,IF(B3782="","",IFERROR(IF(INDEX(pr_rate,MATCH(B3782,pr_code,0))="","",INDEX(pr_rate,MATCH(B3782,pr_code,0))),""))))</f>
        <v/>
      </c>
      <c r="L3782" s="65" t="str">
        <f>IF(COUNTA(A3782:G3782)=0,"",IF(AND(ISNUMBER(D3782),ISNUMBER(J3782)),ROUND(D3782*J3782*(1-N(F3782)),2),0))</f>
        <v/>
      </c>
      <c r="M3782" s="62" t="str">
        <f>IF(A3782="","",IFERROR(INDEX(fa_cname,MATCH(A3782,fa_num,0))&amp;"",""))</f>
        <v/>
      </c>
      <c r="N3782" s="59" t="str">
        <f>IF(COUNTA(A3782:G3782)=0,"",IF(A3782="","N° facture manquant",IF(ISNA(MATCH(A3782,fa_num,0)),"Facture inconnue",IF(AND(B3782&lt;&gt;"",ISNA(MATCH(B3782,pr_code,0))),"Article inconnu",IF(H3782="","Désignation manquante",IF(OR(NOT(ISNUMBER(D3782)),N(D3782)&lt;=0),"Quantité invalide",IF(J3782="","Prix manquant",IF(OR(NOT(ISNUMBER(J3782)),N(J3782)&lt;0),"Prix invalide",IF(OR(AND(F3782&lt;&gt;"",NOT(ISNUMBER(F3782))),N(F3782)&lt;0,N(F3782)&gt;1),"Remise invalide",IF(K3782="","Taux de TVA manquant",IF(NOT(ISNUMBER(K3782)),"Taux de TVA invalide",IF(COUNTIF(p_rates,K3782)=0,"Taux de TVA hors liste (Paramètres)",IF(N(O3782)&gt;25,"Au-delà de 25 lignes : non imprimée","OK")))))))))))))</f>
        <v/>
      </c>
      <c r="O3782" s="59" t="str">
        <f>IF(A3782="","",COUNTIF($A$6:A3782,A3782))</f>
        <v/>
      </c>
      <c r="P3782" s="62" t="str">
        <f>IF(A3782="","",A3782&amp;"|"&amp;O3782)</f>
        <v/>
      </c>
    </row>
    <row r="3783">
      <c r="A3783" s="60" t="n"/>
      <c r="B3783" s="63" t="n"/>
      <c r="C3783" s="63" t="n"/>
      <c r="D3783" s="67" t="n"/>
      <c r="E3783" s="68" t="n"/>
      <c r="F3783" s="69" t="n"/>
      <c r="G3783" s="70" t="n"/>
      <c r="H3783" s="62" t="str">
        <f>IF(COUNTA(A3783:G3783)=0,"",IF(C3783&lt;&gt;"",C3783,IF(B3783="","",IFERROR(INDEX(pr_des,MATCH(B3783,pr_code,0))&amp;"",""))))</f>
        <v/>
      </c>
      <c r="I3783" s="59" t="str">
        <f>IF(B3783="","",IFERROR(INDEX(pr_unit,MATCH(B3783,pr_code,0))&amp;"",""))</f>
        <v/>
      </c>
      <c r="J3783" s="65" t="str">
        <f>IF(COUNTA(A3783:G3783)=0,"",IF(E3783&lt;&gt;"",E3783,IF(B3783="","",IFERROR(IF(INDEX(pr_price,MATCH(B3783,pr_code,0))="","",INDEX(pr_price,MATCH(B3783,pr_code,0))),""))))</f>
        <v/>
      </c>
      <c r="K3783" s="71" t="str">
        <f>IF(COUNTA(A3783:G3783)=0,"",IF(G3783&lt;&gt;"",G3783,IF(B3783="","",IFERROR(IF(INDEX(pr_rate,MATCH(B3783,pr_code,0))="","",INDEX(pr_rate,MATCH(B3783,pr_code,0))),""))))</f>
        <v/>
      </c>
      <c r="L3783" s="65" t="str">
        <f>IF(COUNTA(A3783:G3783)=0,"",IF(AND(ISNUMBER(D3783),ISNUMBER(J3783)),ROUND(D3783*J3783*(1-N(F3783)),2),0))</f>
        <v/>
      </c>
      <c r="M3783" s="62" t="str">
        <f>IF(A3783="","",IFERROR(INDEX(fa_cname,MATCH(A3783,fa_num,0))&amp;"",""))</f>
        <v/>
      </c>
      <c r="N3783" s="59" t="str">
        <f>IF(COUNTA(A3783:G3783)=0,"",IF(A3783="","N° facture manquant",IF(ISNA(MATCH(A3783,fa_num,0)),"Facture inconnue",IF(AND(B3783&lt;&gt;"",ISNA(MATCH(B3783,pr_code,0))),"Article inconnu",IF(H3783="","Désignation manquante",IF(OR(NOT(ISNUMBER(D3783)),N(D3783)&lt;=0),"Quantité invalide",IF(J3783="","Prix manquant",IF(OR(NOT(ISNUMBER(J3783)),N(J3783)&lt;0),"Prix invalide",IF(OR(AND(F3783&lt;&gt;"",NOT(ISNUMBER(F3783))),N(F3783)&lt;0,N(F3783)&gt;1),"Remise invalide",IF(K3783="","Taux de TVA manquant",IF(NOT(ISNUMBER(K3783)),"Taux de TVA invalide",IF(COUNTIF(p_rates,K3783)=0,"Taux de TVA hors liste (Paramètres)",IF(N(O3783)&gt;25,"Au-delà de 25 lignes : non imprimée","OK")))))))))))))</f>
        <v/>
      </c>
      <c r="O3783" s="59" t="str">
        <f>IF(A3783="","",COUNTIF($A$6:A3783,A3783))</f>
        <v/>
      </c>
      <c r="P3783" s="62" t="str">
        <f>IF(A3783="","",A3783&amp;"|"&amp;O3783)</f>
        <v/>
      </c>
    </row>
    <row r="3784">
      <c r="A3784" s="60" t="n"/>
      <c r="B3784" s="63" t="n"/>
      <c r="C3784" s="63" t="n"/>
      <c r="D3784" s="67" t="n"/>
      <c r="E3784" s="68" t="n"/>
      <c r="F3784" s="69" t="n"/>
      <c r="G3784" s="70" t="n"/>
      <c r="H3784" s="62" t="str">
        <f>IF(COUNTA(A3784:G3784)=0,"",IF(C3784&lt;&gt;"",C3784,IF(B3784="","",IFERROR(INDEX(pr_des,MATCH(B3784,pr_code,0))&amp;"",""))))</f>
        <v/>
      </c>
      <c r="I3784" s="59" t="str">
        <f>IF(B3784="","",IFERROR(INDEX(pr_unit,MATCH(B3784,pr_code,0))&amp;"",""))</f>
        <v/>
      </c>
      <c r="J3784" s="65" t="str">
        <f>IF(COUNTA(A3784:G3784)=0,"",IF(E3784&lt;&gt;"",E3784,IF(B3784="","",IFERROR(IF(INDEX(pr_price,MATCH(B3784,pr_code,0))="","",INDEX(pr_price,MATCH(B3784,pr_code,0))),""))))</f>
        <v/>
      </c>
      <c r="K3784" s="71" t="str">
        <f>IF(COUNTA(A3784:G3784)=0,"",IF(G3784&lt;&gt;"",G3784,IF(B3784="","",IFERROR(IF(INDEX(pr_rate,MATCH(B3784,pr_code,0))="","",INDEX(pr_rate,MATCH(B3784,pr_code,0))),""))))</f>
        <v/>
      </c>
      <c r="L3784" s="65" t="str">
        <f>IF(COUNTA(A3784:G3784)=0,"",IF(AND(ISNUMBER(D3784),ISNUMBER(J3784)),ROUND(D3784*J3784*(1-N(F3784)),2),0))</f>
        <v/>
      </c>
      <c r="M3784" s="62" t="str">
        <f>IF(A3784="","",IFERROR(INDEX(fa_cname,MATCH(A3784,fa_num,0))&amp;"",""))</f>
        <v/>
      </c>
      <c r="N3784" s="59" t="str">
        <f>IF(COUNTA(A3784:G3784)=0,"",IF(A3784="","N° facture manquant",IF(ISNA(MATCH(A3784,fa_num,0)),"Facture inconnue",IF(AND(B3784&lt;&gt;"",ISNA(MATCH(B3784,pr_code,0))),"Article inconnu",IF(H3784="","Désignation manquante",IF(OR(NOT(ISNUMBER(D3784)),N(D3784)&lt;=0),"Quantité invalide",IF(J3784="","Prix manquant",IF(OR(NOT(ISNUMBER(J3784)),N(J3784)&lt;0),"Prix invalide",IF(OR(AND(F3784&lt;&gt;"",NOT(ISNUMBER(F3784))),N(F3784)&lt;0,N(F3784)&gt;1),"Remise invalide",IF(K3784="","Taux de TVA manquant",IF(NOT(ISNUMBER(K3784)),"Taux de TVA invalide",IF(COUNTIF(p_rates,K3784)=0,"Taux de TVA hors liste (Paramètres)",IF(N(O3784)&gt;25,"Au-delà de 25 lignes : non imprimée","OK")))))))))))))</f>
        <v/>
      </c>
      <c r="O3784" s="59" t="str">
        <f>IF(A3784="","",COUNTIF($A$6:A3784,A3784))</f>
        <v/>
      </c>
      <c r="P3784" s="62" t="str">
        <f>IF(A3784="","",A3784&amp;"|"&amp;O3784)</f>
        <v/>
      </c>
    </row>
    <row r="3785">
      <c r="A3785" s="60" t="n"/>
      <c r="B3785" s="63" t="n"/>
      <c r="C3785" s="63" t="n"/>
      <c r="D3785" s="67" t="n"/>
      <c r="E3785" s="68" t="n"/>
      <c r="F3785" s="69" t="n"/>
      <c r="G3785" s="70" t="n"/>
      <c r="H3785" s="62" t="str">
        <f>IF(COUNTA(A3785:G3785)=0,"",IF(C3785&lt;&gt;"",C3785,IF(B3785="","",IFERROR(INDEX(pr_des,MATCH(B3785,pr_code,0))&amp;"",""))))</f>
        <v/>
      </c>
      <c r="I3785" s="59" t="str">
        <f>IF(B3785="","",IFERROR(INDEX(pr_unit,MATCH(B3785,pr_code,0))&amp;"",""))</f>
        <v/>
      </c>
      <c r="J3785" s="65" t="str">
        <f>IF(COUNTA(A3785:G3785)=0,"",IF(E3785&lt;&gt;"",E3785,IF(B3785="","",IFERROR(IF(INDEX(pr_price,MATCH(B3785,pr_code,0))="","",INDEX(pr_price,MATCH(B3785,pr_code,0))),""))))</f>
        <v/>
      </c>
      <c r="K3785" s="71" t="str">
        <f>IF(COUNTA(A3785:G3785)=0,"",IF(G3785&lt;&gt;"",G3785,IF(B3785="","",IFERROR(IF(INDEX(pr_rate,MATCH(B3785,pr_code,0))="","",INDEX(pr_rate,MATCH(B3785,pr_code,0))),""))))</f>
        <v/>
      </c>
      <c r="L3785" s="65" t="str">
        <f>IF(COUNTA(A3785:G3785)=0,"",IF(AND(ISNUMBER(D3785),ISNUMBER(J3785)),ROUND(D3785*J3785*(1-N(F3785)),2),0))</f>
        <v/>
      </c>
      <c r="M3785" s="62" t="str">
        <f>IF(A3785="","",IFERROR(INDEX(fa_cname,MATCH(A3785,fa_num,0))&amp;"",""))</f>
        <v/>
      </c>
      <c r="N3785" s="59" t="str">
        <f>IF(COUNTA(A3785:G3785)=0,"",IF(A3785="","N° facture manquant",IF(ISNA(MATCH(A3785,fa_num,0)),"Facture inconnue",IF(AND(B3785&lt;&gt;"",ISNA(MATCH(B3785,pr_code,0))),"Article inconnu",IF(H3785="","Désignation manquante",IF(OR(NOT(ISNUMBER(D3785)),N(D3785)&lt;=0),"Quantité invalide",IF(J3785="","Prix manquant",IF(OR(NOT(ISNUMBER(J3785)),N(J3785)&lt;0),"Prix invalide",IF(OR(AND(F3785&lt;&gt;"",NOT(ISNUMBER(F3785))),N(F3785)&lt;0,N(F3785)&gt;1),"Remise invalide",IF(K3785="","Taux de TVA manquant",IF(NOT(ISNUMBER(K3785)),"Taux de TVA invalide",IF(COUNTIF(p_rates,K3785)=0,"Taux de TVA hors liste (Paramètres)",IF(N(O3785)&gt;25,"Au-delà de 25 lignes : non imprimée","OK")))))))))))))</f>
        <v/>
      </c>
      <c r="O3785" s="59" t="str">
        <f>IF(A3785="","",COUNTIF($A$6:A3785,A3785))</f>
        <v/>
      </c>
      <c r="P3785" s="62" t="str">
        <f>IF(A3785="","",A3785&amp;"|"&amp;O3785)</f>
        <v/>
      </c>
    </row>
    <row r="3786">
      <c r="A3786" s="60" t="n"/>
      <c r="B3786" s="63" t="n"/>
      <c r="C3786" s="63" t="n"/>
      <c r="D3786" s="67" t="n"/>
      <c r="E3786" s="68" t="n"/>
      <c r="F3786" s="69" t="n"/>
      <c r="G3786" s="70" t="n"/>
      <c r="H3786" s="62" t="str">
        <f>IF(COUNTA(A3786:G3786)=0,"",IF(C3786&lt;&gt;"",C3786,IF(B3786="","",IFERROR(INDEX(pr_des,MATCH(B3786,pr_code,0))&amp;"",""))))</f>
        <v/>
      </c>
      <c r="I3786" s="59" t="str">
        <f>IF(B3786="","",IFERROR(INDEX(pr_unit,MATCH(B3786,pr_code,0))&amp;"",""))</f>
        <v/>
      </c>
      <c r="J3786" s="65" t="str">
        <f>IF(COUNTA(A3786:G3786)=0,"",IF(E3786&lt;&gt;"",E3786,IF(B3786="","",IFERROR(IF(INDEX(pr_price,MATCH(B3786,pr_code,0))="","",INDEX(pr_price,MATCH(B3786,pr_code,0))),""))))</f>
        <v/>
      </c>
      <c r="K3786" s="71" t="str">
        <f>IF(COUNTA(A3786:G3786)=0,"",IF(G3786&lt;&gt;"",G3786,IF(B3786="","",IFERROR(IF(INDEX(pr_rate,MATCH(B3786,pr_code,0))="","",INDEX(pr_rate,MATCH(B3786,pr_code,0))),""))))</f>
        <v/>
      </c>
      <c r="L3786" s="65" t="str">
        <f>IF(COUNTA(A3786:G3786)=0,"",IF(AND(ISNUMBER(D3786),ISNUMBER(J3786)),ROUND(D3786*J3786*(1-N(F3786)),2),0))</f>
        <v/>
      </c>
      <c r="M3786" s="62" t="str">
        <f>IF(A3786="","",IFERROR(INDEX(fa_cname,MATCH(A3786,fa_num,0))&amp;"",""))</f>
        <v/>
      </c>
      <c r="N3786" s="59" t="str">
        <f>IF(COUNTA(A3786:G3786)=0,"",IF(A3786="","N° facture manquant",IF(ISNA(MATCH(A3786,fa_num,0)),"Facture inconnue",IF(AND(B3786&lt;&gt;"",ISNA(MATCH(B3786,pr_code,0))),"Article inconnu",IF(H3786="","Désignation manquante",IF(OR(NOT(ISNUMBER(D3786)),N(D3786)&lt;=0),"Quantité invalide",IF(J3786="","Prix manquant",IF(OR(NOT(ISNUMBER(J3786)),N(J3786)&lt;0),"Prix invalide",IF(OR(AND(F3786&lt;&gt;"",NOT(ISNUMBER(F3786))),N(F3786)&lt;0,N(F3786)&gt;1),"Remise invalide",IF(K3786="","Taux de TVA manquant",IF(NOT(ISNUMBER(K3786)),"Taux de TVA invalide",IF(COUNTIF(p_rates,K3786)=0,"Taux de TVA hors liste (Paramètres)",IF(N(O3786)&gt;25,"Au-delà de 25 lignes : non imprimée","OK")))))))))))))</f>
        <v/>
      </c>
      <c r="O3786" s="59" t="str">
        <f>IF(A3786="","",COUNTIF($A$6:A3786,A3786))</f>
        <v/>
      </c>
      <c r="P3786" s="62" t="str">
        <f>IF(A3786="","",A3786&amp;"|"&amp;O3786)</f>
        <v/>
      </c>
    </row>
    <row r="3787">
      <c r="A3787" s="60" t="n"/>
      <c r="B3787" s="63" t="n"/>
      <c r="C3787" s="63" t="n"/>
      <c r="D3787" s="67" t="n"/>
      <c r="E3787" s="68" t="n"/>
      <c r="F3787" s="69" t="n"/>
      <c r="G3787" s="70" t="n"/>
      <c r="H3787" s="62" t="str">
        <f>IF(COUNTA(A3787:G3787)=0,"",IF(C3787&lt;&gt;"",C3787,IF(B3787="","",IFERROR(INDEX(pr_des,MATCH(B3787,pr_code,0))&amp;"",""))))</f>
        <v/>
      </c>
      <c r="I3787" s="59" t="str">
        <f>IF(B3787="","",IFERROR(INDEX(pr_unit,MATCH(B3787,pr_code,0))&amp;"",""))</f>
        <v/>
      </c>
      <c r="J3787" s="65" t="str">
        <f>IF(COUNTA(A3787:G3787)=0,"",IF(E3787&lt;&gt;"",E3787,IF(B3787="","",IFERROR(IF(INDEX(pr_price,MATCH(B3787,pr_code,0))="","",INDEX(pr_price,MATCH(B3787,pr_code,0))),""))))</f>
        <v/>
      </c>
      <c r="K3787" s="71" t="str">
        <f>IF(COUNTA(A3787:G3787)=0,"",IF(G3787&lt;&gt;"",G3787,IF(B3787="","",IFERROR(IF(INDEX(pr_rate,MATCH(B3787,pr_code,0))="","",INDEX(pr_rate,MATCH(B3787,pr_code,0))),""))))</f>
        <v/>
      </c>
      <c r="L3787" s="65" t="str">
        <f>IF(COUNTA(A3787:G3787)=0,"",IF(AND(ISNUMBER(D3787),ISNUMBER(J3787)),ROUND(D3787*J3787*(1-N(F3787)),2),0))</f>
        <v/>
      </c>
      <c r="M3787" s="62" t="str">
        <f>IF(A3787="","",IFERROR(INDEX(fa_cname,MATCH(A3787,fa_num,0))&amp;"",""))</f>
        <v/>
      </c>
      <c r="N3787" s="59" t="str">
        <f>IF(COUNTA(A3787:G3787)=0,"",IF(A3787="","N° facture manquant",IF(ISNA(MATCH(A3787,fa_num,0)),"Facture inconnue",IF(AND(B3787&lt;&gt;"",ISNA(MATCH(B3787,pr_code,0))),"Article inconnu",IF(H3787="","Désignation manquante",IF(OR(NOT(ISNUMBER(D3787)),N(D3787)&lt;=0),"Quantité invalide",IF(J3787="","Prix manquant",IF(OR(NOT(ISNUMBER(J3787)),N(J3787)&lt;0),"Prix invalide",IF(OR(AND(F3787&lt;&gt;"",NOT(ISNUMBER(F3787))),N(F3787)&lt;0,N(F3787)&gt;1),"Remise invalide",IF(K3787="","Taux de TVA manquant",IF(NOT(ISNUMBER(K3787)),"Taux de TVA invalide",IF(COUNTIF(p_rates,K3787)=0,"Taux de TVA hors liste (Paramètres)",IF(N(O3787)&gt;25,"Au-delà de 25 lignes : non imprimée","OK")))))))))))))</f>
        <v/>
      </c>
      <c r="O3787" s="59" t="str">
        <f>IF(A3787="","",COUNTIF($A$6:A3787,A3787))</f>
        <v/>
      </c>
      <c r="P3787" s="62" t="str">
        <f>IF(A3787="","",A3787&amp;"|"&amp;O3787)</f>
        <v/>
      </c>
    </row>
    <row r="3788">
      <c r="A3788" s="60" t="n"/>
      <c r="B3788" s="63" t="n"/>
      <c r="C3788" s="63" t="n"/>
      <c r="D3788" s="67" t="n"/>
      <c r="E3788" s="68" t="n"/>
      <c r="F3788" s="69" t="n"/>
      <c r="G3788" s="70" t="n"/>
      <c r="H3788" s="62" t="str">
        <f>IF(COUNTA(A3788:G3788)=0,"",IF(C3788&lt;&gt;"",C3788,IF(B3788="","",IFERROR(INDEX(pr_des,MATCH(B3788,pr_code,0))&amp;"",""))))</f>
        <v/>
      </c>
      <c r="I3788" s="59" t="str">
        <f>IF(B3788="","",IFERROR(INDEX(pr_unit,MATCH(B3788,pr_code,0))&amp;"",""))</f>
        <v/>
      </c>
      <c r="J3788" s="65" t="str">
        <f>IF(COUNTA(A3788:G3788)=0,"",IF(E3788&lt;&gt;"",E3788,IF(B3788="","",IFERROR(IF(INDEX(pr_price,MATCH(B3788,pr_code,0))="","",INDEX(pr_price,MATCH(B3788,pr_code,0))),""))))</f>
        <v/>
      </c>
      <c r="K3788" s="71" t="str">
        <f>IF(COUNTA(A3788:G3788)=0,"",IF(G3788&lt;&gt;"",G3788,IF(B3788="","",IFERROR(IF(INDEX(pr_rate,MATCH(B3788,pr_code,0))="","",INDEX(pr_rate,MATCH(B3788,pr_code,0))),""))))</f>
        <v/>
      </c>
      <c r="L3788" s="65" t="str">
        <f>IF(COUNTA(A3788:G3788)=0,"",IF(AND(ISNUMBER(D3788),ISNUMBER(J3788)),ROUND(D3788*J3788*(1-N(F3788)),2),0))</f>
        <v/>
      </c>
      <c r="M3788" s="62" t="str">
        <f>IF(A3788="","",IFERROR(INDEX(fa_cname,MATCH(A3788,fa_num,0))&amp;"",""))</f>
        <v/>
      </c>
      <c r="N3788" s="59" t="str">
        <f>IF(COUNTA(A3788:G3788)=0,"",IF(A3788="","N° facture manquant",IF(ISNA(MATCH(A3788,fa_num,0)),"Facture inconnue",IF(AND(B3788&lt;&gt;"",ISNA(MATCH(B3788,pr_code,0))),"Article inconnu",IF(H3788="","Désignation manquante",IF(OR(NOT(ISNUMBER(D3788)),N(D3788)&lt;=0),"Quantité invalide",IF(J3788="","Prix manquant",IF(OR(NOT(ISNUMBER(J3788)),N(J3788)&lt;0),"Prix invalide",IF(OR(AND(F3788&lt;&gt;"",NOT(ISNUMBER(F3788))),N(F3788)&lt;0,N(F3788)&gt;1),"Remise invalide",IF(K3788="","Taux de TVA manquant",IF(NOT(ISNUMBER(K3788)),"Taux de TVA invalide",IF(COUNTIF(p_rates,K3788)=0,"Taux de TVA hors liste (Paramètres)",IF(N(O3788)&gt;25,"Au-delà de 25 lignes : non imprimée","OK")))))))))))))</f>
        <v/>
      </c>
      <c r="O3788" s="59" t="str">
        <f>IF(A3788="","",COUNTIF($A$6:A3788,A3788))</f>
        <v/>
      </c>
      <c r="P3788" s="62" t="str">
        <f>IF(A3788="","",A3788&amp;"|"&amp;O3788)</f>
        <v/>
      </c>
    </row>
    <row r="3789">
      <c r="A3789" s="60" t="n"/>
      <c r="B3789" s="63" t="n"/>
      <c r="C3789" s="63" t="n"/>
      <c r="D3789" s="67" t="n"/>
      <c r="E3789" s="68" t="n"/>
      <c r="F3789" s="69" t="n"/>
      <c r="G3789" s="70" t="n"/>
      <c r="H3789" s="62" t="str">
        <f>IF(COUNTA(A3789:G3789)=0,"",IF(C3789&lt;&gt;"",C3789,IF(B3789="","",IFERROR(INDEX(pr_des,MATCH(B3789,pr_code,0))&amp;"",""))))</f>
        <v/>
      </c>
      <c r="I3789" s="59" t="str">
        <f>IF(B3789="","",IFERROR(INDEX(pr_unit,MATCH(B3789,pr_code,0))&amp;"",""))</f>
        <v/>
      </c>
      <c r="J3789" s="65" t="str">
        <f>IF(COUNTA(A3789:G3789)=0,"",IF(E3789&lt;&gt;"",E3789,IF(B3789="","",IFERROR(IF(INDEX(pr_price,MATCH(B3789,pr_code,0))="","",INDEX(pr_price,MATCH(B3789,pr_code,0))),""))))</f>
        <v/>
      </c>
      <c r="K3789" s="71" t="str">
        <f>IF(COUNTA(A3789:G3789)=0,"",IF(G3789&lt;&gt;"",G3789,IF(B3789="","",IFERROR(IF(INDEX(pr_rate,MATCH(B3789,pr_code,0))="","",INDEX(pr_rate,MATCH(B3789,pr_code,0))),""))))</f>
        <v/>
      </c>
      <c r="L3789" s="65" t="str">
        <f>IF(COUNTA(A3789:G3789)=0,"",IF(AND(ISNUMBER(D3789),ISNUMBER(J3789)),ROUND(D3789*J3789*(1-N(F3789)),2),0))</f>
        <v/>
      </c>
      <c r="M3789" s="62" t="str">
        <f>IF(A3789="","",IFERROR(INDEX(fa_cname,MATCH(A3789,fa_num,0))&amp;"",""))</f>
        <v/>
      </c>
      <c r="N3789" s="59" t="str">
        <f>IF(COUNTA(A3789:G3789)=0,"",IF(A3789="","N° facture manquant",IF(ISNA(MATCH(A3789,fa_num,0)),"Facture inconnue",IF(AND(B3789&lt;&gt;"",ISNA(MATCH(B3789,pr_code,0))),"Article inconnu",IF(H3789="","Désignation manquante",IF(OR(NOT(ISNUMBER(D3789)),N(D3789)&lt;=0),"Quantité invalide",IF(J3789="","Prix manquant",IF(OR(NOT(ISNUMBER(J3789)),N(J3789)&lt;0),"Prix invalide",IF(OR(AND(F3789&lt;&gt;"",NOT(ISNUMBER(F3789))),N(F3789)&lt;0,N(F3789)&gt;1),"Remise invalide",IF(K3789="","Taux de TVA manquant",IF(NOT(ISNUMBER(K3789)),"Taux de TVA invalide",IF(COUNTIF(p_rates,K3789)=0,"Taux de TVA hors liste (Paramètres)",IF(N(O3789)&gt;25,"Au-delà de 25 lignes : non imprimée","OK")))))))))))))</f>
        <v/>
      </c>
      <c r="O3789" s="59" t="str">
        <f>IF(A3789="","",COUNTIF($A$6:A3789,A3789))</f>
        <v/>
      </c>
      <c r="P3789" s="62" t="str">
        <f>IF(A3789="","",A3789&amp;"|"&amp;O3789)</f>
        <v/>
      </c>
    </row>
    <row r="3790">
      <c r="A3790" s="60" t="n"/>
      <c r="B3790" s="63" t="n"/>
      <c r="C3790" s="63" t="n"/>
      <c r="D3790" s="67" t="n"/>
      <c r="E3790" s="68" t="n"/>
      <c r="F3790" s="69" t="n"/>
      <c r="G3790" s="70" t="n"/>
      <c r="H3790" s="62" t="str">
        <f>IF(COUNTA(A3790:G3790)=0,"",IF(C3790&lt;&gt;"",C3790,IF(B3790="","",IFERROR(INDEX(pr_des,MATCH(B3790,pr_code,0))&amp;"",""))))</f>
        <v/>
      </c>
      <c r="I3790" s="59" t="str">
        <f>IF(B3790="","",IFERROR(INDEX(pr_unit,MATCH(B3790,pr_code,0))&amp;"",""))</f>
        <v/>
      </c>
      <c r="J3790" s="65" t="str">
        <f>IF(COUNTA(A3790:G3790)=0,"",IF(E3790&lt;&gt;"",E3790,IF(B3790="","",IFERROR(IF(INDEX(pr_price,MATCH(B3790,pr_code,0))="","",INDEX(pr_price,MATCH(B3790,pr_code,0))),""))))</f>
        <v/>
      </c>
      <c r="K3790" s="71" t="str">
        <f>IF(COUNTA(A3790:G3790)=0,"",IF(G3790&lt;&gt;"",G3790,IF(B3790="","",IFERROR(IF(INDEX(pr_rate,MATCH(B3790,pr_code,0))="","",INDEX(pr_rate,MATCH(B3790,pr_code,0))),""))))</f>
        <v/>
      </c>
      <c r="L3790" s="65" t="str">
        <f>IF(COUNTA(A3790:G3790)=0,"",IF(AND(ISNUMBER(D3790),ISNUMBER(J3790)),ROUND(D3790*J3790*(1-N(F3790)),2),0))</f>
        <v/>
      </c>
      <c r="M3790" s="62" t="str">
        <f>IF(A3790="","",IFERROR(INDEX(fa_cname,MATCH(A3790,fa_num,0))&amp;"",""))</f>
        <v/>
      </c>
      <c r="N3790" s="59" t="str">
        <f>IF(COUNTA(A3790:G3790)=0,"",IF(A3790="","N° facture manquant",IF(ISNA(MATCH(A3790,fa_num,0)),"Facture inconnue",IF(AND(B3790&lt;&gt;"",ISNA(MATCH(B3790,pr_code,0))),"Article inconnu",IF(H3790="","Désignation manquante",IF(OR(NOT(ISNUMBER(D3790)),N(D3790)&lt;=0),"Quantité invalide",IF(J3790="","Prix manquant",IF(OR(NOT(ISNUMBER(J3790)),N(J3790)&lt;0),"Prix invalide",IF(OR(AND(F3790&lt;&gt;"",NOT(ISNUMBER(F3790))),N(F3790)&lt;0,N(F3790)&gt;1),"Remise invalide",IF(K3790="","Taux de TVA manquant",IF(NOT(ISNUMBER(K3790)),"Taux de TVA invalide",IF(COUNTIF(p_rates,K3790)=0,"Taux de TVA hors liste (Paramètres)",IF(N(O3790)&gt;25,"Au-delà de 25 lignes : non imprimée","OK")))))))))))))</f>
        <v/>
      </c>
      <c r="O3790" s="59" t="str">
        <f>IF(A3790="","",COUNTIF($A$6:A3790,A3790))</f>
        <v/>
      </c>
      <c r="P3790" s="62" t="str">
        <f>IF(A3790="","",A3790&amp;"|"&amp;O3790)</f>
        <v/>
      </c>
    </row>
    <row r="3791">
      <c r="A3791" s="60" t="n"/>
      <c r="B3791" s="63" t="n"/>
      <c r="C3791" s="63" t="n"/>
      <c r="D3791" s="67" t="n"/>
      <c r="E3791" s="68" t="n"/>
      <c r="F3791" s="69" t="n"/>
      <c r="G3791" s="70" t="n"/>
      <c r="H3791" s="62" t="str">
        <f>IF(COUNTA(A3791:G3791)=0,"",IF(C3791&lt;&gt;"",C3791,IF(B3791="","",IFERROR(INDEX(pr_des,MATCH(B3791,pr_code,0))&amp;"",""))))</f>
        <v/>
      </c>
      <c r="I3791" s="59" t="str">
        <f>IF(B3791="","",IFERROR(INDEX(pr_unit,MATCH(B3791,pr_code,0))&amp;"",""))</f>
        <v/>
      </c>
      <c r="J3791" s="65" t="str">
        <f>IF(COUNTA(A3791:G3791)=0,"",IF(E3791&lt;&gt;"",E3791,IF(B3791="","",IFERROR(IF(INDEX(pr_price,MATCH(B3791,pr_code,0))="","",INDEX(pr_price,MATCH(B3791,pr_code,0))),""))))</f>
        <v/>
      </c>
      <c r="K3791" s="71" t="str">
        <f>IF(COUNTA(A3791:G3791)=0,"",IF(G3791&lt;&gt;"",G3791,IF(B3791="","",IFERROR(IF(INDEX(pr_rate,MATCH(B3791,pr_code,0))="","",INDEX(pr_rate,MATCH(B3791,pr_code,0))),""))))</f>
        <v/>
      </c>
      <c r="L3791" s="65" t="str">
        <f>IF(COUNTA(A3791:G3791)=0,"",IF(AND(ISNUMBER(D3791),ISNUMBER(J3791)),ROUND(D3791*J3791*(1-N(F3791)),2),0))</f>
        <v/>
      </c>
      <c r="M3791" s="62" t="str">
        <f>IF(A3791="","",IFERROR(INDEX(fa_cname,MATCH(A3791,fa_num,0))&amp;"",""))</f>
        <v/>
      </c>
      <c r="N3791" s="59" t="str">
        <f>IF(COUNTA(A3791:G3791)=0,"",IF(A3791="","N° facture manquant",IF(ISNA(MATCH(A3791,fa_num,0)),"Facture inconnue",IF(AND(B3791&lt;&gt;"",ISNA(MATCH(B3791,pr_code,0))),"Article inconnu",IF(H3791="","Désignation manquante",IF(OR(NOT(ISNUMBER(D3791)),N(D3791)&lt;=0),"Quantité invalide",IF(J3791="","Prix manquant",IF(OR(NOT(ISNUMBER(J3791)),N(J3791)&lt;0),"Prix invalide",IF(OR(AND(F3791&lt;&gt;"",NOT(ISNUMBER(F3791))),N(F3791)&lt;0,N(F3791)&gt;1),"Remise invalide",IF(K3791="","Taux de TVA manquant",IF(NOT(ISNUMBER(K3791)),"Taux de TVA invalide",IF(COUNTIF(p_rates,K3791)=0,"Taux de TVA hors liste (Paramètres)",IF(N(O3791)&gt;25,"Au-delà de 25 lignes : non imprimée","OK")))))))))))))</f>
        <v/>
      </c>
      <c r="O3791" s="59" t="str">
        <f>IF(A3791="","",COUNTIF($A$6:A3791,A3791))</f>
        <v/>
      </c>
      <c r="P3791" s="62" t="str">
        <f>IF(A3791="","",A3791&amp;"|"&amp;O3791)</f>
        <v/>
      </c>
    </row>
    <row r="3792">
      <c r="A3792" s="60" t="n"/>
      <c r="B3792" s="63" t="n"/>
      <c r="C3792" s="63" t="n"/>
      <c r="D3792" s="67" t="n"/>
      <c r="E3792" s="68" t="n"/>
      <c r="F3792" s="69" t="n"/>
      <c r="G3792" s="70" t="n"/>
      <c r="H3792" s="62" t="str">
        <f>IF(COUNTA(A3792:G3792)=0,"",IF(C3792&lt;&gt;"",C3792,IF(B3792="","",IFERROR(INDEX(pr_des,MATCH(B3792,pr_code,0))&amp;"",""))))</f>
        <v/>
      </c>
      <c r="I3792" s="59" t="str">
        <f>IF(B3792="","",IFERROR(INDEX(pr_unit,MATCH(B3792,pr_code,0))&amp;"",""))</f>
        <v/>
      </c>
      <c r="J3792" s="65" t="str">
        <f>IF(COUNTA(A3792:G3792)=0,"",IF(E3792&lt;&gt;"",E3792,IF(B3792="","",IFERROR(IF(INDEX(pr_price,MATCH(B3792,pr_code,0))="","",INDEX(pr_price,MATCH(B3792,pr_code,0))),""))))</f>
        <v/>
      </c>
      <c r="K3792" s="71" t="str">
        <f>IF(COUNTA(A3792:G3792)=0,"",IF(G3792&lt;&gt;"",G3792,IF(B3792="","",IFERROR(IF(INDEX(pr_rate,MATCH(B3792,pr_code,0))="","",INDEX(pr_rate,MATCH(B3792,pr_code,0))),""))))</f>
        <v/>
      </c>
      <c r="L3792" s="65" t="str">
        <f>IF(COUNTA(A3792:G3792)=0,"",IF(AND(ISNUMBER(D3792),ISNUMBER(J3792)),ROUND(D3792*J3792*(1-N(F3792)),2),0))</f>
        <v/>
      </c>
      <c r="M3792" s="62" t="str">
        <f>IF(A3792="","",IFERROR(INDEX(fa_cname,MATCH(A3792,fa_num,0))&amp;"",""))</f>
        <v/>
      </c>
      <c r="N3792" s="59" t="str">
        <f>IF(COUNTA(A3792:G3792)=0,"",IF(A3792="","N° facture manquant",IF(ISNA(MATCH(A3792,fa_num,0)),"Facture inconnue",IF(AND(B3792&lt;&gt;"",ISNA(MATCH(B3792,pr_code,0))),"Article inconnu",IF(H3792="","Désignation manquante",IF(OR(NOT(ISNUMBER(D3792)),N(D3792)&lt;=0),"Quantité invalide",IF(J3792="","Prix manquant",IF(OR(NOT(ISNUMBER(J3792)),N(J3792)&lt;0),"Prix invalide",IF(OR(AND(F3792&lt;&gt;"",NOT(ISNUMBER(F3792))),N(F3792)&lt;0,N(F3792)&gt;1),"Remise invalide",IF(K3792="","Taux de TVA manquant",IF(NOT(ISNUMBER(K3792)),"Taux de TVA invalide",IF(COUNTIF(p_rates,K3792)=0,"Taux de TVA hors liste (Paramètres)",IF(N(O3792)&gt;25,"Au-delà de 25 lignes : non imprimée","OK")))))))))))))</f>
        <v/>
      </c>
      <c r="O3792" s="59" t="str">
        <f>IF(A3792="","",COUNTIF($A$6:A3792,A3792))</f>
        <v/>
      </c>
      <c r="P3792" s="62" t="str">
        <f>IF(A3792="","",A3792&amp;"|"&amp;O3792)</f>
        <v/>
      </c>
    </row>
    <row r="3793">
      <c r="A3793" s="60" t="n"/>
      <c r="B3793" s="63" t="n"/>
      <c r="C3793" s="63" t="n"/>
      <c r="D3793" s="67" t="n"/>
      <c r="E3793" s="68" t="n"/>
      <c r="F3793" s="69" t="n"/>
      <c r="G3793" s="70" t="n"/>
      <c r="H3793" s="62" t="str">
        <f>IF(COUNTA(A3793:G3793)=0,"",IF(C3793&lt;&gt;"",C3793,IF(B3793="","",IFERROR(INDEX(pr_des,MATCH(B3793,pr_code,0))&amp;"",""))))</f>
        <v/>
      </c>
      <c r="I3793" s="59" t="str">
        <f>IF(B3793="","",IFERROR(INDEX(pr_unit,MATCH(B3793,pr_code,0))&amp;"",""))</f>
        <v/>
      </c>
      <c r="J3793" s="65" t="str">
        <f>IF(COUNTA(A3793:G3793)=0,"",IF(E3793&lt;&gt;"",E3793,IF(B3793="","",IFERROR(IF(INDEX(pr_price,MATCH(B3793,pr_code,0))="","",INDEX(pr_price,MATCH(B3793,pr_code,0))),""))))</f>
        <v/>
      </c>
      <c r="K3793" s="71" t="str">
        <f>IF(COUNTA(A3793:G3793)=0,"",IF(G3793&lt;&gt;"",G3793,IF(B3793="","",IFERROR(IF(INDEX(pr_rate,MATCH(B3793,pr_code,0))="","",INDEX(pr_rate,MATCH(B3793,pr_code,0))),""))))</f>
        <v/>
      </c>
      <c r="L3793" s="65" t="str">
        <f>IF(COUNTA(A3793:G3793)=0,"",IF(AND(ISNUMBER(D3793),ISNUMBER(J3793)),ROUND(D3793*J3793*(1-N(F3793)),2),0))</f>
        <v/>
      </c>
      <c r="M3793" s="62" t="str">
        <f>IF(A3793="","",IFERROR(INDEX(fa_cname,MATCH(A3793,fa_num,0))&amp;"",""))</f>
        <v/>
      </c>
      <c r="N3793" s="59" t="str">
        <f>IF(COUNTA(A3793:G3793)=0,"",IF(A3793="","N° facture manquant",IF(ISNA(MATCH(A3793,fa_num,0)),"Facture inconnue",IF(AND(B3793&lt;&gt;"",ISNA(MATCH(B3793,pr_code,0))),"Article inconnu",IF(H3793="","Désignation manquante",IF(OR(NOT(ISNUMBER(D3793)),N(D3793)&lt;=0),"Quantité invalide",IF(J3793="","Prix manquant",IF(OR(NOT(ISNUMBER(J3793)),N(J3793)&lt;0),"Prix invalide",IF(OR(AND(F3793&lt;&gt;"",NOT(ISNUMBER(F3793))),N(F3793)&lt;0,N(F3793)&gt;1),"Remise invalide",IF(K3793="","Taux de TVA manquant",IF(NOT(ISNUMBER(K3793)),"Taux de TVA invalide",IF(COUNTIF(p_rates,K3793)=0,"Taux de TVA hors liste (Paramètres)",IF(N(O3793)&gt;25,"Au-delà de 25 lignes : non imprimée","OK")))))))))))))</f>
        <v/>
      </c>
      <c r="O3793" s="59" t="str">
        <f>IF(A3793="","",COUNTIF($A$6:A3793,A3793))</f>
        <v/>
      </c>
      <c r="P3793" s="62" t="str">
        <f>IF(A3793="","",A3793&amp;"|"&amp;O3793)</f>
        <v/>
      </c>
    </row>
    <row r="3794">
      <c r="A3794" s="60" t="n"/>
      <c r="B3794" s="63" t="n"/>
      <c r="C3794" s="63" t="n"/>
      <c r="D3794" s="67" t="n"/>
      <c r="E3794" s="68" t="n"/>
      <c r="F3794" s="69" t="n"/>
      <c r="G3794" s="70" t="n"/>
      <c r="H3794" s="62" t="str">
        <f>IF(COUNTA(A3794:G3794)=0,"",IF(C3794&lt;&gt;"",C3794,IF(B3794="","",IFERROR(INDEX(pr_des,MATCH(B3794,pr_code,0))&amp;"",""))))</f>
        <v/>
      </c>
      <c r="I3794" s="59" t="str">
        <f>IF(B3794="","",IFERROR(INDEX(pr_unit,MATCH(B3794,pr_code,0))&amp;"",""))</f>
        <v/>
      </c>
      <c r="J3794" s="65" t="str">
        <f>IF(COUNTA(A3794:G3794)=0,"",IF(E3794&lt;&gt;"",E3794,IF(B3794="","",IFERROR(IF(INDEX(pr_price,MATCH(B3794,pr_code,0))="","",INDEX(pr_price,MATCH(B3794,pr_code,0))),""))))</f>
        <v/>
      </c>
      <c r="K3794" s="71" t="str">
        <f>IF(COUNTA(A3794:G3794)=0,"",IF(G3794&lt;&gt;"",G3794,IF(B3794="","",IFERROR(IF(INDEX(pr_rate,MATCH(B3794,pr_code,0))="","",INDEX(pr_rate,MATCH(B3794,pr_code,0))),""))))</f>
        <v/>
      </c>
      <c r="L3794" s="65" t="str">
        <f>IF(COUNTA(A3794:G3794)=0,"",IF(AND(ISNUMBER(D3794),ISNUMBER(J3794)),ROUND(D3794*J3794*(1-N(F3794)),2),0))</f>
        <v/>
      </c>
      <c r="M3794" s="62" t="str">
        <f>IF(A3794="","",IFERROR(INDEX(fa_cname,MATCH(A3794,fa_num,0))&amp;"",""))</f>
        <v/>
      </c>
      <c r="N3794" s="59" t="str">
        <f>IF(COUNTA(A3794:G3794)=0,"",IF(A3794="","N° facture manquant",IF(ISNA(MATCH(A3794,fa_num,0)),"Facture inconnue",IF(AND(B3794&lt;&gt;"",ISNA(MATCH(B3794,pr_code,0))),"Article inconnu",IF(H3794="","Désignation manquante",IF(OR(NOT(ISNUMBER(D3794)),N(D3794)&lt;=0),"Quantité invalide",IF(J3794="","Prix manquant",IF(OR(NOT(ISNUMBER(J3794)),N(J3794)&lt;0),"Prix invalide",IF(OR(AND(F3794&lt;&gt;"",NOT(ISNUMBER(F3794))),N(F3794)&lt;0,N(F3794)&gt;1),"Remise invalide",IF(K3794="","Taux de TVA manquant",IF(NOT(ISNUMBER(K3794)),"Taux de TVA invalide",IF(COUNTIF(p_rates,K3794)=0,"Taux de TVA hors liste (Paramètres)",IF(N(O3794)&gt;25,"Au-delà de 25 lignes : non imprimée","OK")))))))))))))</f>
        <v/>
      </c>
      <c r="O3794" s="59" t="str">
        <f>IF(A3794="","",COUNTIF($A$6:A3794,A3794))</f>
        <v/>
      </c>
      <c r="P3794" s="62" t="str">
        <f>IF(A3794="","",A3794&amp;"|"&amp;O3794)</f>
        <v/>
      </c>
    </row>
    <row r="3795">
      <c r="A3795" s="60" t="n"/>
      <c r="B3795" s="63" t="n"/>
      <c r="C3795" s="63" t="n"/>
      <c r="D3795" s="67" t="n"/>
      <c r="E3795" s="68" t="n"/>
      <c r="F3795" s="69" t="n"/>
      <c r="G3795" s="70" t="n"/>
      <c r="H3795" s="62" t="str">
        <f>IF(COUNTA(A3795:G3795)=0,"",IF(C3795&lt;&gt;"",C3795,IF(B3795="","",IFERROR(INDEX(pr_des,MATCH(B3795,pr_code,0))&amp;"",""))))</f>
        <v/>
      </c>
      <c r="I3795" s="59" t="str">
        <f>IF(B3795="","",IFERROR(INDEX(pr_unit,MATCH(B3795,pr_code,0))&amp;"",""))</f>
        <v/>
      </c>
      <c r="J3795" s="65" t="str">
        <f>IF(COUNTA(A3795:G3795)=0,"",IF(E3795&lt;&gt;"",E3795,IF(B3795="","",IFERROR(IF(INDEX(pr_price,MATCH(B3795,pr_code,0))="","",INDEX(pr_price,MATCH(B3795,pr_code,0))),""))))</f>
        <v/>
      </c>
      <c r="K3795" s="71" t="str">
        <f>IF(COUNTA(A3795:G3795)=0,"",IF(G3795&lt;&gt;"",G3795,IF(B3795="","",IFERROR(IF(INDEX(pr_rate,MATCH(B3795,pr_code,0))="","",INDEX(pr_rate,MATCH(B3795,pr_code,0))),""))))</f>
        <v/>
      </c>
      <c r="L3795" s="65" t="str">
        <f>IF(COUNTA(A3795:G3795)=0,"",IF(AND(ISNUMBER(D3795),ISNUMBER(J3795)),ROUND(D3795*J3795*(1-N(F3795)),2),0))</f>
        <v/>
      </c>
      <c r="M3795" s="62" t="str">
        <f>IF(A3795="","",IFERROR(INDEX(fa_cname,MATCH(A3795,fa_num,0))&amp;"",""))</f>
        <v/>
      </c>
      <c r="N3795" s="59" t="str">
        <f>IF(COUNTA(A3795:G3795)=0,"",IF(A3795="","N° facture manquant",IF(ISNA(MATCH(A3795,fa_num,0)),"Facture inconnue",IF(AND(B3795&lt;&gt;"",ISNA(MATCH(B3795,pr_code,0))),"Article inconnu",IF(H3795="","Désignation manquante",IF(OR(NOT(ISNUMBER(D3795)),N(D3795)&lt;=0),"Quantité invalide",IF(J3795="","Prix manquant",IF(OR(NOT(ISNUMBER(J3795)),N(J3795)&lt;0),"Prix invalide",IF(OR(AND(F3795&lt;&gt;"",NOT(ISNUMBER(F3795))),N(F3795)&lt;0,N(F3795)&gt;1),"Remise invalide",IF(K3795="","Taux de TVA manquant",IF(NOT(ISNUMBER(K3795)),"Taux de TVA invalide",IF(COUNTIF(p_rates,K3795)=0,"Taux de TVA hors liste (Paramètres)",IF(N(O3795)&gt;25,"Au-delà de 25 lignes : non imprimée","OK")))))))))))))</f>
        <v/>
      </c>
      <c r="O3795" s="59" t="str">
        <f>IF(A3795="","",COUNTIF($A$6:A3795,A3795))</f>
        <v/>
      </c>
      <c r="P3795" s="62" t="str">
        <f>IF(A3795="","",A3795&amp;"|"&amp;O3795)</f>
        <v/>
      </c>
    </row>
    <row r="3796">
      <c r="A3796" s="60" t="n"/>
      <c r="B3796" s="63" t="n"/>
      <c r="C3796" s="63" t="n"/>
      <c r="D3796" s="67" t="n"/>
      <c r="E3796" s="68" t="n"/>
      <c r="F3796" s="69" t="n"/>
      <c r="G3796" s="70" t="n"/>
      <c r="H3796" s="62" t="str">
        <f>IF(COUNTA(A3796:G3796)=0,"",IF(C3796&lt;&gt;"",C3796,IF(B3796="","",IFERROR(INDEX(pr_des,MATCH(B3796,pr_code,0))&amp;"",""))))</f>
        <v/>
      </c>
      <c r="I3796" s="59" t="str">
        <f>IF(B3796="","",IFERROR(INDEX(pr_unit,MATCH(B3796,pr_code,0))&amp;"",""))</f>
        <v/>
      </c>
      <c r="J3796" s="65" t="str">
        <f>IF(COUNTA(A3796:G3796)=0,"",IF(E3796&lt;&gt;"",E3796,IF(B3796="","",IFERROR(IF(INDEX(pr_price,MATCH(B3796,pr_code,0))="","",INDEX(pr_price,MATCH(B3796,pr_code,0))),""))))</f>
        <v/>
      </c>
      <c r="K3796" s="71" t="str">
        <f>IF(COUNTA(A3796:G3796)=0,"",IF(G3796&lt;&gt;"",G3796,IF(B3796="","",IFERROR(IF(INDEX(pr_rate,MATCH(B3796,pr_code,0))="","",INDEX(pr_rate,MATCH(B3796,pr_code,0))),""))))</f>
        <v/>
      </c>
      <c r="L3796" s="65" t="str">
        <f>IF(COUNTA(A3796:G3796)=0,"",IF(AND(ISNUMBER(D3796),ISNUMBER(J3796)),ROUND(D3796*J3796*(1-N(F3796)),2),0))</f>
        <v/>
      </c>
      <c r="M3796" s="62" t="str">
        <f>IF(A3796="","",IFERROR(INDEX(fa_cname,MATCH(A3796,fa_num,0))&amp;"",""))</f>
        <v/>
      </c>
      <c r="N3796" s="59" t="str">
        <f>IF(COUNTA(A3796:G3796)=0,"",IF(A3796="","N° facture manquant",IF(ISNA(MATCH(A3796,fa_num,0)),"Facture inconnue",IF(AND(B3796&lt;&gt;"",ISNA(MATCH(B3796,pr_code,0))),"Article inconnu",IF(H3796="","Désignation manquante",IF(OR(NOT(ISNUMBER(D3796)),N(D3796)&lt;=0),"Quantité invalide",IF(J3796="","Prix manquant",IF(OR(NOT(ISNUMBER(J3796)),N(J3796)&lt;0),"Prix invalide",IF(OR(AND(F3796&lt;&gt;"",NOT(ISNUMBER(F3796))),N(F3796)&lt;0,N(F3796)&gt;1),"Remise invalide",IF(K3796="","Taux de TVA manquant",IF(NOT(ISNUMBER(K3796)),"Taux de TVA invalide",IF(COUNTIF(p_rates,K3796)=0,"Taux de TVA hors liste (Paramètres)",IF(N(O3796)&gt;25,"Au-delà de 25 lignes : non imprimée","OK")))))))))))))</f>
        <v/>
      </c>
      <c r="O3796" s="59" t="str">
        <f>IF(A3796="","",COUNTIF($A$6:A3796,A3796))</f>
        <v/>
      </c>
      <c r="P3796" s="62" t="str">
        <f>IF(A3796="","",A3796&amp;"|"&amp;O3796)</f>
        <v/>
      </c>
    </row>
    <row r="3797">
      <c r="A3797" s="60" t="n"/>
      <c r="B3797" s="63" t="n"/>
      <c r="C3797" s="63" t="n"/>
      <c r="D3797" s="67" t="n"/>
      <c r="E3797" s="68" t="n"/>
      <c r="F3797" s="69" t="n"/>
      <c r="G3797" s="70" t="n"/>
      <c r="H3797" s="62" t="str">
        <f>IF(COUNTA(A3797:G3797)=0,"",IF(C3797&lt;&gt;"",C3797,IF(B3797="","",IFERROR(INDEX(pr_des,MATCH(B3797,pr_code,0))&amp;"",""))))</f>
        <v/>
      </c>
      <c r="I3797" s="59" t="str">
        <f>IF(B3797="","",IFERROR(INDEX(pr_unit,MATCH(B3797,pr_code,0))&amp;"",""))</f>
        <v/>
      </c>
      <c r="J3797" s="65" t="str">
        <f>IF(COUNTA(A3797:G3797)=0,"",IF(E3797&lt;&gt;"",E3797,IF(B3797="","",IFERROR(IF(INDEX(pr_price,MATCH(B3797,pr_code,0))="","",INDEX(pr_price,MATCH(B3797,pr_code,0))),""))))</f>
        <v/>
      </c>
      <c r="K3797" s="71" t="str">
        <f>IF(COUNTA(A3797:G3797)=0,"",IF(G3797&lt;&gt;"",G3797,IF(B3797="","",IFERROR(IF(INDEX(pr_rate,MATCH(B3797,pr_code,0))="","",INDEX(pr_rate,MATCH(B3797,pr_code,0))),""))))</f>
        <v/>
      </c>
      <c r="L3797" s="65" t="str">
        <f>IF(COUNTA(A3797:G3797)=0,"",IF(AND(ISNUMBER(D3797),ISNUMBER(J3797)),ROUND(D3797*J3797*(1-N(F3797)),2),0))</f>
        <v/>
      </c>
      <c r="M3797" s="62" t="str">
        <f>IF(A3797="","",IFERROR(INDEX(fa_cname,MATCH(A3797,fa_num,0))&amp;"",""))</f>
        <v/>
      </c>
      <c r="N3797" s="59" t="str">
        <f>IF(COUNTA(A3797:G3797)=0,"",IF(A3797="","N° facture manquant",IF(ISNA(MATCH(A3797,fa_num,0)),"Facture inconnue",IF(AND(B3797&lt;&gt;"",ISNA(MATCH(B3797,pr_code,0))),"Article inconnu",IF(H3797="","Désignation manquante",IF(OR(NOT(ISNUMBER(D3797)),N(D3797)&lt;=0),"Quantité invalide",IF(J3797="","Prix manquant",IF(OR(NOT(ISNUMBER(J3797)),N(J3797)&lt;0),"Prix invalide",IF(OR(AND(F3797&lt;&gt;"",NOT(ISNUMBER(F3797))),N(F3797)&lt;0,N(F3797)&gt;1),"Remise invalide",IF(K3797="","Taux de TVA manquant",IF(NOT(ISNUMBER(K3797)),"Taux de TVA invalide",IF(COUNTIF(p_rates,K3797)=0,"Taux de TVA hors liste (Paramètres)",IF(N(O3797)&gt;25,"Au-delà de 25 lignes : non imprimée","OK")))))))))))))</f>
        <v/>
      </c>
      <c r="O3797" s="59" t="str">
        <f>IF(A3797="","",COUNTIF($A$6:A3797,A3797))</f>
        <v/>
      </c>
      <c r="P3797" s="62" t="str">
        <f>IF(A3797="","",A3797&amp;"|"&amp;O3797)</f>
        <v/>
      </c>
    </row>
    <row r="3798">
      <c r="A3798" s="60" t="n"/>
      <c r="B3798" s="63" t="n"/>
      <c r="C3798" s="63" t="n"/>
      <c r="D3798" s="67" t="n"/>
      <c r="E3798" s="68" t="n"/>
      <c r="F3798" s="69" t="n"/>
      <c r="G3798" s="70" t="n"/>
      <c r="H3798" s="62" t="str">
        <f>IF(COUNTA(A3798:G3798)=0,"",IF(C3798&lt;&gt;"",C3798,IF(B3798="","",IFERROR(INDEX(pr_des,MATCH(B3798,pr_code,0))&amp;"",""))))</f>
        <v/>
      </c>
      <c r="I3798" s="59" t="str">
        <f>IF(B3798="","",IFERROR(INDEX(pr_unit,MATCH(B3798,pr_code,0))&amp;"",""))</f>
        <v/>
      </c>
      <c r="J3798" s="65" t="str">
        <f>IF(COUNTA(A3798:G3798)=0,"",IF(E3798&lt;&gt;"",E3798,IF(B3798="","",IFERROR(IF(INDEX(pr_price,MATCH(B3798,pr_code,0))="","",INDEX(pr_price,MATCH(B3798,pr_code,0))),""))))</f>
        <v/>
      </c>
      <c r="K3798" s="71" t="str">
        <f>IF(COUNTA(A3798:G3798)=0,"",IF(G3798&lt;&gt;"",G3798,IF(B3798="","",IFERROR(IF(INDEX(pr_rate,MATCH(B3798,pr_code,0))="","",INDEX(pr_rate,MATCH(B3798,pr_code,0))),""))))</f>
        <v/>
      </c>
      <c r="L3798" s="65" t="str">
        <f>IF(COUNTA(A3798:G3798)=0,"",IF(AND(ISNUMBER(D3798),ISNUMBER(J3798)),ROUND(D3798*J3798*(1-N(F3798)),2),0))</f>
        <v/>
      </c>
      <c r="M3798" s="62" t="str">
        <f>IF(A3798="","",IFERROR(INDEX(fa_cname,MATCH(A3798,fa_num,0))&amp;"",""))</f>
        <v/>
      </c>
      <c r="N3798" s="59" t="str">
        <f>IF(COUNTA(A3798:G3798)=0,"",IF(A3798="","N° facture manquant",IF(ISNA(MATCH(A3798,fa_num,0)),"Facture inconnue",IF(AND(B3798&lt;&gt;"",ISNA(MATCH(B3798,pr_code,0))),"Article inconnu",IF(H3798="","Désignation manquante",IF(OR(NOT(ISNUMBER(D3798)),N(D3798)&lt;=0),"Quantité invalide",IF(J3798="","Prix manquant",IF(OR(NOT(ISNUMBER(J3798)),N(J3798)&lt;0),"Prix invalide",IF(OR(AND(F3798&lt;&gt;"",NOT(ISNUMBER(F3798))),N(F3798)&lt;0,N(F3798)&gt;1),"Remise invalide",IF(K3798="","Taux de TVA manquant",IF(NOT(ISNUMBER(K3798)),"Taux de TVA invalide",IF(COUNTIF(p_rates,K3798)=0,"Taux de TVA hors liste (Paramètres)",IF(N(O3798)&gt;25,"Au-delà de 25 lignes : non imprimée","OK")))))))))))))</f>
        <v/>
      </c>
      <c r="O3798" s="59" t="str">
        <f>IF(A3798="","",COUNTIF($A$6:A3798,A3798))</f>
        <v/>
      </c>
      <c r="P3798" s="62" t="str">
        <f>IF(A3798="","",A3798&amp;"|"&amp;O3798)</f>
        <v/>
      </c>
    </row>
    <row r="3799">
      <c r="A3799" s="60" t="n"/>
      <c r="B3799" s="63" t="n"/>
      <c r="C3799" s="63" t="n"/>
      <c r="D3799" s="67" t="n"/>
      <c r="E3799" s="68" t="n"/>
      <c r="F3799" s="69" t="n"/>
      <c r="G3799" s="70" t="n"/>
      <c r="H3799" s="62" t="str">
        <f>IF(COUNTA(A3799:G3799)=0,"",IF(C3799&lt;&gt;"",C3799,IF(B3799="","",IFERROR(INDEX(pr_des,MATCH(B3799,pr_code,0))&amp;"",""))))</f>
        <v/>
      </c>
      <c r="I3799" s="59" t="str">
        <f>IF(B3799="","",IFERROR(INDEX(pr_unit,MATCH(B3799,pr_code,0))&amp;"",""))</f>
        <v/>
      </c>
      <c r="J3799" s="65" t="str">
        <f>IF(COUNTA(A3799:G3799)=0,"",IF(E3799&lt;&gt;"",E3799,IF(B3799="","",IFERROR(IF(INDEX(pr_price,MATCH(B3799,pr_code,0))="","",INDEX(pr_price,MATCH(B3799,pr_code,0))),""))))</f>
        <v/>
      </c>
      <c r="K3799" s="71" t="str">
        <f>IF(COUNTA(A3799:G3799)=0,"",IF(G3799&lt;&gt;"",G3799,IF(B3799="","",IFERROR(IF(INDEX(pr_rate,MATCH(B3799,pr_code,0))="","",INDEX(pr_rate,MATCH(B3799,pr_code,0))),""))))</f>
        <v/>
      </c>
      <c r="L3799" s="65" t="str">
        <f>IF(COUNTA(A3799:G3799)=0,"",IF(AND(ISNUMBER(D3799),ISNUMBER(J3799)),ROUND(D3799*J3799*(1-N(F3799)),2),0))</f>
        <v/>
      </c>
      <c r="M3799" s="62" t="str">
        <f>IF(A3799="","",IFERROR(INDEX(fa_cname,MATCH(A3799,fa_num,0))&amp;"",""))</f>
        <v/>
      </c>
      <c r="N3799" s="59" t="str">
        <f>IF(COUNTA(A3799:G3799)=0,"",IF(A3799="","N° facture manquant",IF(ISNA(MATCH(A3799,fa_num,0)),"Facture inconnue",IF(AND(B3799&lt;&gt;"",ISNA(MATCH(B3799,pr_code,0))),"Article inconnu",IF(H3799="","Désignation manquante",IF(OR(NOT(ISNUMBER(D3799)),N(D3799)&lt;=0),"Quantité invalide",IF(J3799="","Prix manquant",IF(OR(NOT(ISNUMBER(J3799)),N(J3799)&lt;0),"Prix invalide",IF(OR(AND(F3799&lt;&gt;"",NOT(ISNUMBER(F3799))),N(F3799)&lt;0,N(F3799)&gt;1),"Remise invalide",IF(K3799="","Taux de TVA manquant",IF(NOT(ISNUMBER(K3799)),"Taux de TVA invalide",IF(COUNTIF(p_rates,K3799)=0,"Taux de TVA hors liste (Paramètres)",IF(N(O3799)&gt;25,"Au-delà de 25 lignes : non imprimée","OK")))))))))))))</f>
        <v/>
      </c>
      <c r="O3799" s="59" t="str">
        <f>IF(A3799="","",COUNTIF($A$6:A3799,A3799))</f>
        <v/>
      </c>
      <c r="P3799" s="62" t="str">
        <f>IF(A3799="","",A3799&amp;"|"&amp;O3799)</f>
        <v/>
      </c>
    </row>
    <row r="3800">
      <c r="A3800" s="60" t="n"/>
      <c r="B3800" s="63" t="n"/>
      <c r="C3800" s="63" t="n"/>
      <c r="D3800" s="67" t="n"/>
      <c r="E3800" s="68" t="n"/>
      <c r="F3800" s="69" t="n"/>
      <c r="G3800" s="70" t="n"/>
      <c r="H3800" s="62" t="str">
        <f>IF(COUNTA(A3800:G3800)=0,"",IF(C3800&lt;&gt;"",C3800,IF(B3800="","",IFERROR(INDEX(pr_des,MATCH(B3800,pr_code,0))&amp;"",""))))</f>
        <v/>
      </c>
      <c r="I3800" s="59" t="str">
        <f>IF(B3800="","",IFERROR(INDEX(pr_unit,MATCH(B3800,pr_code,0))&amp;"",""))</f>
        <v/>
      </c>
      <c r="J3800" s="65" t="str">
        <f>IF(COUNTA(A3800:G3800)=0,"",IF(E3800&lt;&gt;"",E3800,IF(B3800="","",IFERROR(IF(INDEX(pr_price,MATCH(B3800,pr_code,0))="","",INDEX(pr_price,MATCH(B3800,pr_code,0))),""))))</f>
        <v/>
      </c>
      <c r="K3800" s="71" t="str">
        <f>IF(COUNTA(A3800:G3800)=0,"",IF(G3800&lt;&gt;"",G3800,IF(B3800="","",IFERROR(IF(INDEX(pr_rate,MATCH(B3800,pr_code,0))="","",INDEX(pr_rate,MATCH(B3800,pr_code,0))),""))))</f>
        <v/>
      </c>
      <c r="L3800" s="65" t="str">
        <f>IF(COUNTA(A3800:G3800)=0,"",IF(AND(ISNUMBER(D3800),ISNUMBER(J3800)),ROUND(D3800*J3800*(1-N(F3800)),2),0))</f>
        <v/>
      </c>
      <c r="M3800" s="62" t="str">
        <f>IF(A3800="","",IFERROR(INDEX(fa_cname,MATCH(A3800,fa_num,0))&amp;"",""))</f>
        <v/>
      </c>
      <c r="N3800" s="59" t="str">
        <f>IF(COUNTA(A3800:G3800)=0,"",IF(A3800="","N° facture manquant",IF(ISNA(MATCH(A3800,fa_num,0)),"Facture inconnue",IF(AND(B3800&lt;&gt;"",ISNA(MATCH(B3800,pr_code,0))),"Article inconnu",IF(H3800="","Désignation manquante",IF(OR(NOT(ISNUMBER(D3800)),N(D3800)&lt;=0),"Quantité invalide",IF(J3800="","Prix manquant",IF(OR(NOT(ISNUMBER(J3800)),N(J3800)&lt;0),"Prix invalide",IF(OR(AND(F3800&lt;&gt;"",NOT(ISNUMBER(F3800))),N(F3800)&lt;0,N(F3800)&gt;1),"Remise invalide",IF(K3800="","Taux de TVA manquant",IF(NOT(ISNUMBER(K3800)),"Taux de TVA invalide",IF(COUNTIF(p_rates,K3800)=0,"Taux de TVA hors liste (Paramètres)",IF(N(O3800)&gt;25,"Au-delà de 25 lignes : non imprimée","OK")))))))))))))</f>
        <v/>
      </c>
      <c r="O3800" s="59" t="str">
        <f>IF(A3800="","",COUNTIF($A$6:A3800,A3800))</f>
        <v/>
      </c>
      <c r="P3800" s="62" t="str">
        <f>IF(A3800="","",A3800&amp;"|"&amp;O3800)</f>
        <v/>
      </c>
    </row>
    <row r="3801">
      <c r="A3801" s="60" t="n"/>
      <c r="B3801" s="63" t="n"/>
      <c r="C3801" s="63" t="n"/>
      <c r="D3801" s="67" t="n"/>
      <c r="E3801" s="68" t="n"/>
      <c r="F3801" s="69" t="n"/>
      <c r="G3801" s="70" t="n"/>
      <c r="H3801" s="62" t="str">
        <f>IF(COUNTA(A3801:G3801)=0,"",IF(C3801&lt;&gt;"",C3801,IF(B3801="","",IFERROR(INDEX(pr_des,MATCH(B3801,pr_code,0))&amp;"",""))))</f>
        <v/>
      </c>
      <c r="I3801" s="59" t="str">
        <f>IF(B3801="","",IFERROR(INDEX(pr_unit,MATCH(B3801,pr_code,0))&amp;"",""))</f>
        <v/>
      </c>
      <c r="J3801" s="65" t="str">
        <f>IF(COUNTA(A3801:G3801)=0,"",IF(E3801&lt;&gt;"",E3801,IF(B3801="","",IFERROR(IF(INDEX(pr_price,MATCH(B3801,pr_code,0))="","",INDEX(pr_price,MATCH(B3801,pr_code,0))),""))))</f>
        <v/>
      </c>
      <c r="K3801" s="71" t="str">
        <f>IF(COUNTA(A3801:G3801)=0,"",IF(G3801&lt;&gt;"",G3801,IF(B3801="","",IFERROR(IF(INDEX(pr_rate,MATCH(B3801,pr_code,0))="","",INDEX(pr_rate,MATCH(B3801,pr_code,0))),""))))</f>
        <v/>
      </c>
      <c r="L3801" s="65" t="str">
        <f>IF(COUNTA(A3801:G3801)=0,"",IF(AND(ISNUMBER(D3801),ISNUMBER(J3801)),ROUND(D3801*J3801*(1-N(F3801)),2),0))</f>
        <v/>
      </c>
      <c r="M3801" s="62" t="str">
        <f>IF(A3801="","",IFERROR(INDEX(fa_cname,MATCH(A3801,fa_num,0))&amp;"",""))</f>
        <v/>
      </c>
      <c r="N3801" s="59" t="str">
        <f>IF(COUNTA(A3801:G3801)=0,"",IF(A3801="","N° facture manquant",IF(ISNA(MATCH(A3801,fa_num,0)),"Facture inconnue",IF(AND(B3801&lt;&gt;"",ISNA(MATCH(B3801,pr_code,0))),"Article inconnu",IF(H3801="","Désignation manquante",IF(OR(NOT(ISNUMBER(D3801)),N(D3801)&lt;=0),"Quantité invalide",IF(J3801="","Prix manquant",IF(OR(NOT(ISNUMBER(J3801)),N(J3801)&lt;0),"Prix invalide",IF(OR(AND(F3801&lt;&gt;"",NOT(ISNUMBER(F3801))),N(F3801)&lt;0,N(F3801)&gt;1),"Remise invalide",IF(K3801="","Taux de TVA manquant",IF(NOT(ISNUMBER(K3801)),"Taux de TVA invalide",IF(COUNTIF(p_rates,K3801)=0,"Taux de TVA hors liste (Paramètres)",IF(N(O3801)&gt;25,"Au-delà de 25 lignes : non imprimée","OK")))))))))))))</f>
        <v/>
      </c>
      <c r="O3801" s="59" t="str">
        <f>IF(A3801="","",COUNTIF($A$6:A3801,A3801))</f>
        <v/>
      </c>
      <c r="P3801" s="62" t="str">
        <f>IF(A3801="","",A3801&amp;"|"&amp;O3801)</f>
        <v/>
      </c>
    </row>
    <row r="3802">
      <c r="A3802" s="60" t="n"/>
      <c r="B3802" s="63" t="n"/>
      <c r="C3802" s="63" t="n"/>
      <c r="D3802" s="67" t="n"/>
      <c r="E3802" s="68" t="n"/>
      <c r="F3802" s="69" t="n"/>
      <c r="G3802" s="70" t="n"/>
      <c r="H3802" s="62" t="str">
        <f>IF(COUNTA(A3802:G3802)=0,"",IF(C3802&lt;&gt;"",C3802,IF(B3802="","",IFERROR(INDEX(pr_des,MATCH(B3802,pr_code,0))&amp;"",""))))</f>
        <v/>
      </c>
      <c r="I3802" s="59" t="str">
        <f>IF(B3802="","",IFERROR(INDEX(pr_unit,MATCH(B3802,pr_code,0))&amp;"",""))</f>
        <v/>
      </c>
      <c r="J3802" s="65" t="str">
        <f>IF(COUNTA(A3802:G3802)=0,"",IF(E3802&lt;&gt;"",E3802,IF(B3802="","",IFERROR(IF(INDEX(pr_price,MATCH(B3802,pr_code,0))="","",INDEX(pr_price,MATCH(B3802,pr_code,0))),""))))</f>
        <v/>
      </c>
      <c r="K3802" s="71" t="str">
        <f>IF(COUNTA(A3802:G3802)=0,"",IF(G3802&lt;&gt;"",G3802,IF(B3802="","",IFERROR(IF(INDEX(pr_rate,MATCH(B3802,pr_code,0))="","",INDEX(pr_rate,MATCH(B3802,pr_code,0))),""))))</f>
        <v/>
      </c>
      <c r="L3802" s="65" t="str">
        <f>IF(COUNTA(A3802:G3802)=0,"",IF(AND(ISNUMBER(D3802),ISNUMBER(J3802)),ROUND(D3802*J3802*(1-N(F3802)),2),0))</f>
        <v/>
      </c>
      <c r="M3802" s="62" t="str">
        <f>IF(A3802="","",IFERROR(INDEX(fa_cname,MATCH(A3802,fa_num,0))&amp;"",""))</f>
        <v/>
      </c>
      <c r="N3802" s="59" t="str">
        <f>IF(COUNTA(A3802:G3802)=0,"",IF(A3802="","N° facture manquant",IF(ISNA(MATCH(A3802,fa_num,0)),"Facture inconnue",IF(AND(B3802&lt;&gt;"",ISNA(MATCH(B3802,pr_code,0))),"Article inconnu",IF(H3802="","Désignation manquante",IF(OR(NOT(ISNUMBER(D3802)),N(D3802)&lt;=0),"Quantité invalide",IF(J3802="","Prix manquant",IF(OR(NOT(ISNUMBER(J3802)),N(J3802)&lt;0),"Prix invalide",IF(OR(AND(F3802&lt;&gt;"",NOT(ISNUMBER(F3802))),N(F3802)&lt;0,N(F3802)&gt;1),"Remise invalide",IF(K3802="","Taux de TVA manquant",IF(NOT(ISNUMBER(K3802)),"Taux de TVA invalide",IF(COUNTIF(p_rates,K3802)=0,"Taux de TVA hors liste (Paramètres)",IF(N(O3802)&gt;25,"Au-delà de 25 lignes : non imprimée","OK")))))))))))))</f>
        <v/>
      </c>
      <c r="O3802" s="59" t="str">
        <f>IF(A3802="","",COUNTIF($A$6:A3802,A3802))</f>
        <v/>
      </c>
      <c r="P3802" s="62" t="str">
        <f>IF(A3802="","",A3802&amp;"|"&amp;O3802)</f>
        <v/>
      </c>
    </row>
    <row r="3803">
      <c r="A3803" s="60" t="n"/>
      <c r="B3803" s="63" t="n"/>
      <c r="C3803" s="63" t="n"/>
      <c r="D3803" s="67" t="n"/>
      <c r="E3803" s="68" t="n"/>
      <c r="F3803" s="69" t="n"/>
      <c r="G3803" s="70" t="n"/>
      <c r="H3803" s="62" t="str">
        <f>IF(COUNTA(A3803:G3803)=0,"",IF(C3803&lt;&gt;"",C3803,IF(B3803="","",IFERROR(INDEX(pr_des,MATCH(B3803,pr_code,0))&amp;"",""))))</f>
        <v/>
      </c>
      <c r="I3803" s="59" t="str">
        <f>IF(B3803="","",IFERROR(INDEX(pr_unit,MATCH(B3803,pr_code,0))&amp;"",""))</f>
        <v/>
      </c>
      <c r="J3803" s="65" t="str">
        <f>IF(COUNTA(A3803:G3803)=0,"",IF(E3803&lt;&gt;"",E3803,IF(B3803="","",IFERROR(IF(INDEX(pr_price,MATCH(B3803,pr_code,0))="","",INDEX(pr_price,MATCH(B3803,pr_code,0))),""))))</f>
        <v/>
      </c>
      <c r="K3803" s="71" t="str">
        <f>IF(COUNTA(A3803:G3803)=0,"",IF(G3803&lt;&gt;"",G3803,IF(B3803="","",IFERROR(IF(INDEX(pr_rate,MATCH(B3803,pr_code,0))="","",INDEX(pr_rate,MATCH(B3803,pr_code,0))),""))))</f>
        <v/>
      </c>
      <c r="L3803" s="65" t="str">
        <f>IF(COUNTA(A3803:G3803)=0,"",IF(AND(ISNUMBER(D3803),ISNUMBER(J3803)),ROUND(D3803*J3803*(1-N(F3803)),2),0))</f>
        <v/>
      </c>
      <c r="M3803" s="62" t="str">
        <f>IF(A3803="","",IFERROR(INDEX(fa_cname,MATCH(A3803,fa_num,0))&amp;"",""))</f>
        <v/>
      </c>
      <c r="N3803" s="59" t="str">
        <f>IF(COUNTA(A3803:G3803)=0,"",IF(A3803="","N° facture manquant",IF(ISNA(MATCH(A3803,fa_num,0)),"Facture inconnue",IF(AND(B3803&lt;&gt;"",ISNA(MATCH(B3803,pr_code,0))),"Article inconnu",IF(H3803="","Désignation manquante",IF(OR(NOT(ISNUMBER(D3803)),N(D3803)&lt;=0),"Quantité invalide",IF(J3803="","Prix manquant",IF(OR(NOT(ISNUMBER(J3803)),N(J3803)&lt;0),"Prix invalide",IF(OR(AND(F3803&lt;&gt;"",NOT(ISNUMBER(F3803))),N(F3803)&lt;0,N(F3803)&gt;1),"Remise invalide",IF(K3803="","Taux de TVA manquant",IF(NOT(ISNUMBER(K3803)),"Taux de TVA invalide",IF(COUNTIF(p_rates,K3803)=0,"Taux de TVA hors liste (Paramètres)",IF(N(O3803)&gt;25,"Au-delà de 25 lignes : non imprimée","OK")))))))))))))</f>
        <v/>
      </c>
      <c r="O3803" s="59" t="str">
        <f>IF(A3803="","",COUNTIF($A$6:A3803,A3803))</f>
        <v/>
      </c>
      <c r="P3803" s="62" t="str">
        <f>IF(A3803="","",A3803&amp;"|"&amp;O3803)</f>
        <v/>
      </c>
    </row>
    <row r="3804">
      <c r="A3804" s="60" t="n"/>
      <c r="B3804" s="63" t="n"/>
      <c r="C3804" s="63" t="n"/>
      <c r="D3804" s="67" t="n"/>
      <c r="E3804" s="68" t="n"/>
      <c r="F3804" s="69" t="n"/>
      <c r="G3804" s="70" t="n"/>
      <c r="H3804" s="62" t="str">
        <f>IF(COUNTA(A3804:G3804)=0,"",IF(C3804&lt;&gt;"",C3804,IF(B3804="","",IFERROR(INDEX(pr_des,MATCH(B3804,pr_code,0))&amp;"",""))))</f>
        <v/>
      </c>
      <c r="I3804" s="59" t="str">
        <f>IF(B3804="","",IFERROR(INDEX(pr_unit,MATCH(B3804,pr_code,0))&amp;"",""))</f>
        <v/>
      </c>
      <c r="J3804" s="65" t="str">
        <f>IF(COUNTA(A3804:G3804)=0,"",IF(E3804&lt;&gt;"",E3804,IF(B3804="","",IFERROR(IF(INDEX(pr_price,MATCH(B3804,pr_code,0))="","",INDEX(pr_price,MATCH(B3804,pr_code,0))),""))))</f>
        <v/>
      </c>
      <c r="K3804" s="71" t="str">
        <f>IF(COUNTA(A3804:G3804)=0,"",IF(G3804&lt;&gt;"",G3804,IF(B3804="","",IFERROR(IF(INDEX(pr_rate,MATCH(B3804,pr_code,0))="","",INDEX(pr_rate,MATCH(B3804,pr_code,0))),""))))</f>
        <v/>
      </c>
      <c r="L3804" s="65" t="str">
        <f>IF(COUNTA(A3804:G3804)=0,"",IF(AND(ISNUMBER(D3804),ISNUMBER(J3804)),ROUND(D3804*J3804*(1-N(F3804)),2),0))</f>
        <v/>
      </c>
      <c r="M3804" s="62" t="str">
        <f>IF(A3804="","",IFERROR(INDEX(fa_cname,MATCH(A3804,fa_num,0))&amp;"",""))</f>
        <v/>
      </c>
      <c r="N3804" s="59" t="str">
        <f>IF(COUNTA(A3804:G3804)=0,"",IF(A3804="","N° facture manquant",IF(ISNA(MATCH(A3804,fa_num,0)),"Facture inconnue",IF(AND(B3804&lt;&gt;"",ISNA(MATCH(B3804,pr_code,0))),"Article inconnu",IF(H3804="","Désignation manquante",IF(OR(NOT(ISNUMBER(D3804)),N(D3804)&lt;=0),"Quantité invalide",IF(J3804="","Prix manquant",IF(OR(NOT(ISNUMBER(J3804)),N(J3804)&lt;0),"Prix invalide",IF(OR(AND(F3804&lt;&gt;"",NOT(ISNUMBER(F3804))),N(F3804)&lt;0,N(F3804)&gt;1),"Remise invalide",IF(K3804="","Taux de TVA manquant",IF(NOT(ISNUMBER(K3804)),"Taux de TVA invalide",IF(COUNTIF(p_rates,K3804)=0,"Taux de TVA hors liste (Paramètres)",IF(N(O3804)&gt;25,"Au-delà de 25 lignes : non imprimée","OK")))))))))))))</f>
        <v/>
      </c>
      <c r="O3804" s="59" t="str">
        <f>IF(A3804="","",COUNTIF($A$6:A3804,A3804))</f>
        <v/>
      </c>
      <c r="P3804" s="62" t="str">
        <f>IF(A3804="","",A3804&amp;"|"&amp;O3804)</f>
        <v/>
      </c>
    </row>
    <row r="3805">
      <c r="A3805" s="60" t="n"/>
      <c r="B3805" s="63" t="n"/>
      <c r="C3805" s="63" t="n"/>
      <c r="D3805" s="67" t="n"/>
      <c r="E3805" s="68" t="n"/>
      <c r="F3805" s="69" t="n"/>
      <c r="G3805" s="70" t="n"/>
      <c r="H3805" s="62" t="str">
        <f>IF(COUNTA(A3805:G3805)=0,"",IF(C3805&lt;&gt;"",C3805,IF(B3805="","",IFERROR(INDEX(pr_des,MATCH(B3805,pr_code,0))&amp;"",""))))</f>
        <v/>
      </c>
      <c r="I3805" s="59" t="str">
        <f>IF(B3805="","",IFERROR(INDEX(pr_unit,MATCH(B3805,pr_code,0))&amp;"",""))</f>
        <v/>
      </c>
      <c r="J3805" s="65" t="str">
        <f>IF(COUNTA(A3805:G3805)=0,"",IF(E3805&lt;&gt;"",E3805,IF(B3805="","",IFERROR(IF(INDEX(pr_price,MATCH(B3805,pr_code,0))="","",INDEX(pr_price,MATCH(B3805,pr_code,0))),""))))</f>
        <v/>
      </c>
      <c r="K3805" s="71" t="str">
        <f>IF(COUNTA(A3805:G3805)=0,"",IF(G3805&lt;&gt;"",G3805,IF(B3805="","",IFERROR(IF(INDEX(pr_rate,MATCH(B3805,pr_code,0))="","",INDEX(pr_rate,MATCH(B3805,pr_code,0))),""))))</f>
        <v/>
      </c>
      <c r="L3805" s="65" t="str">
        <f>IF(COUNTA(A3805:G3805)=0,"",IF(AND(ISNUMBER(D3805),ISNUMBER(J3805)),ROUND(D3805*J3805*(1-N(F3805)),2),0))</f>
        <v/>
      </c>
      <c r="M3805" s="62" t="str">
        <f>IF(A3805="","",IFERROR(INDEX(fa_cname,MATCH(A3805,fa_num,0))&amp;"",""))</f>
        <v/>
      </c>
      <c r="N3805" s="59" t="str">
        <f>IF(COUNTA(A3805:G3805)=0,"",IF(A3805="","N° facture manquant",IF(ISNA(MATCH(A3805,fa_num,0)),"Facture inconnue",IF(AND(B3805&lt;&gt;"",ISNA(MATCH(B3805,pr_code,0))),"Article inconnu",IF(H3805="","Désignation manquante",IF(OR(NOT(ISNUMBER(D3805)),N(D3805)&lt;=0),"Quantité invalide",IF(J3805="","Prix manquant",IF(OR(NOT(ISNUMBER(J3805)),N(J3805)&lt;0),"Prix invalide",IF(OR(AND(F3805&lt;&gt;"",NOT(ISNUMBER(F3805))),N(F3805)&lt;0,N(F3805)&gt;1),"Remise invalide",IF(K3805="","Taux de TVA manquant",IF(NOT(ISNUMBER(K3805)),"Taux de TVA invalide",IF(COUNTIF(p_rates,K3805)=0,"Taux de TVA hors liste (Paramètres)",IF(N(O3805)&gt;25,"Au-delà de 25 lignes : non imprimée","OK")))))))))))))</f>
        <v/>
      </c>
      <c r="O3805" s="59" t="str">
        <f>IF(A3805="","",COUNTIF($A$6:A3805,A3805))</f>
        <v/>
      </c>
      <c r="P3805" s="62" t="str">
        <f>IF(A3805="","",A3805&amp;"|"&amp;O3805)</f>
        <v/>
      </c>
    </row>
    <row r="3806">
      <c r="A3806" s="60" t="n"/>
      <c r="B3806" s="63" t="n"/>
      <c r="C3806" s="63" t="n"/>
      <c r="D3806" s="67" t="n"/>
      <c r="E3806" s="68" t="n"/>
      <c r="F3806" s="69" t="n"/>
      <c r="G3806" s="70" t="n"/>
      <c r="H3806" s="62" t="str">
        <f>IF(COUNTA(A3806:G3806)=0,"",IF(C3806&lt;&gt;"",C3806,IF(B3806="","",IFERROR(INDEX(pr_des,MATCH(B3806,pr_code,0))&amp;"",""))))</f>
        <v/>
      </c>
      <c r="I3806" s="59" t="str">
        <f>IF(B3806="","",IFERROR(INDEX(pr_unit,MATCH(B3806,pr_code,0))&amp;"",""))</f>
        <v/>
      </c>
      <c r="J3806" s="65" t="str">
        <f>IF(COUNTA(A3806:G3806)=0,"",IF(E3806&lt;&gt;"",E3806,IF(B3806="","",IFERROR(IF(INDEX(pr_price,MATCH(B3806,pr_code,0))="","",INDEX(pr_price,MATCH(B3806,pr_code,0))),""))))</f>
        <v/>
      </c>
      <c r="K3806" s="71" t="str">
        <f>IF(COUNTA(A3806:G3806)=0,"",IF(G3806&lt;&gt;"",G3806,IF(B3806="","",IFERROR(IF(INDEX(pr_rate,MATCH(B3806,pr_code,0))="","",INDEX(pr_rate,MATCH(B3806,pr_code,0))),""))))</f>
        <v/>
      </c>
      <c r="L3806" s="65" t="str">
        <f>IF(COUNTA(A3806:G3806)=0,"",IF(AND(ISNUMBER(D3806),ISNUMBER(J3806)),ROUND(D3806*J3806*(1-N(F3806)),2),0))</f>
        <v/>
      </c>
      <c r="M3806" s="62" t="str">
        <f>IF(A3806="","",IFERROR(INDEX(fa_cname,MATCH(A3806,fa_num,0))&amp;"",""))</f>
        <v/>
      </c>
      <c r="N3806" s="59" t="str">
        <f>IF(COUNTA(A3806:G3806)=0,"",IF(A3806="","N° facture manquant",IF(ISNA(MATCH(A3806,fa_num,0)),"Facture inconnue",IF(AND(B3806&lt;&gt;"",ISNA(MATCH(B3806,pr_code,0))),"Article inconnu",IF(H3806="","Désignation manquante",IF(OR(NOT(ISNUMBER(D3806)),N(D3806)&lt;=0),"Quantité invalide",IF(J3806="","Prix manquant",IF(OR(NOT(ISNUMBER(J3806)),N(J3806)&lt;0),"Prix invalide",IF(OR(AND(F3806&lt;&gt;"",NOT(ISNUMBER(F3806))),N(F3806)&lt;0,N(F3806)&gt;1),"Remise invalide",IF(K3806="","Taux de TVA manquant",IF(NOT(ISNUMBER(K3806)),"Taux de TVA invalide",IF(COUNTIF(p_rates,K3806)=0,"Taux de TVA hors liste (Paramètres)",IF(N(O3806)&gt;25,"Au-delà de 25 lignes : non imprimée","OK")))))))))))))</f>
        <v/>
      </c>
      <c r="O3806" s="59" t="str">
        <f>IF(A3806="","",COUNTIF($A$6:A3806,A3806))</f>
        <v/>
      </c>
      <c r="P3806" s="62" t="str">
        <f>IF(A3806="","",A3806&amp;"|"&amp;O3806)</f>
        <v/>
      </c>
    </row>
    <row r="3807">
      <c r="A3807" s="60" t="n"/>
      <c r="B3807" s="63" t="n"/>
      <c r="C3807" s="63" t="n"/>
      <c r="D3807" s="67" t="n"/>
      <c r="E3807" s="68" t="n"/>
      <c r="F3807" s="69" t="n"/>
      <c r="G3807" s="70" t="n"/>
      <c r="H3807" s="62" t="str">
        <f>IF(COUNTA(A3807:G3807)=0,"",IF(C3807&lt;&gt;"",C3807,IF(B3807="","",IFERROR(INDEX(pr_des,MATCH(B3807,pr_code,0))&amp;"",""))))</f>
        <v/>
      </c>
      <c r="I3807" s="59" t="str">
        <f>IF(B3807="","",IFERROR(INDEX(pr_unit,MATCH(B3807,pr_code,0))&amp;"",""))</f>
        <v/>
      </c>
      <c r="J3807" s="65" t="str">
        <f>IF(COUNTA(A3807:G3807)=0,"",IF(E3807&lt;&gt;"",E3807,IF(B3807="","",IFERROR(IF(INDEX(pr_price,MATCH(B3807,pr_code,0))="","",INDEX(pr_price,MATCH(B3807,pr_code,0))),""))))</f>
        <v/>
      </c>
      <c r="K3807" s="71" t="str">
        <f>IF(COUNTA(A3807:G3807)=0,"",IF(G3807&lt;&gt;"",G3807,IF(B3807="","",IFERROR(IF(INDEX(pr_rate,MATCH(B3807,pr_code,0))="","",INDEX(pr_rate,MATCH(B3807,pr_code,0))),""))))</f>
        <v/>
      </c>
      <c r="L3807" s="65" t="str">
        <f>IF(COUNTA(A3807:G3807)=0,"",IF(AND(ISNUMBER(D3807),ISNUMBER(J3807)),ROUND(D3807*J3807*(1-N(F3807)),2),0))</f>
        <v/>
      </c>
      <c r="M3807" s="62" t="str">
        <f>IF(A3807="","",IFERROR(INDEX(fa_cname,MATCH(A3807,fa_num,0))&amp;"",""))</f>
        <v/>
      </c>
      <c r="N3807" s="59" t="str">
        <f>IF(COUNTA(A3807:G3807)=0,"",IF(A3807="","N° facture manquant",IF(ISNA(MATCH(A3807,fa_num,0)),"Facture inconnue",IF(AND(B3807&lt;&gt;"",ISNA(MATCH(B3807,pr_code,0))),"Article inconnu",IF(H3807="","Désignation manquante",IF(OR(NOT(ISNUMBER(D3807)),N(D3807)&lt;=0),"Quantité invalide",IF(J3807="","Prix manquant",IF(OR(NOT(ISNUMBER(J3807)),N(J3807)&lt;0),"Prix invalide",IF(OR(AND(F3807&lt;&gt;"",NOT(ISNUMBER(F3807))),N(F3807)&lt;0,N(F3807)&gt;1),"Remise invalide",IF(K3807="","Taux de TVA manquant",IF(NOT(ISNUMBER(K3807)),"Taux de TVA invalide",IF(COUNTIF(p_rates,K3807)=0,"Taux de TVA hors liste (Paramètres)",IF(N(O3807)&gt;25,"Au-delà de 25 lignes : non imprimée","OK")))))))))))))</f>
        <v/>
      </c>
      <c r="O3807" s="59" t="str">
        <f>IF(A3807="","",COUNTIF($A$6:A3807,A3807))</f>
        <v/>
      </c>
      <c r="P3807" s="62" t="str">
        <f>IF(A3807="","",A3807&amp;"|"&amp;O3807)</f>
        <v/>
      </c>
    </row>
    <row r="3808">
      <c r="A3808" s="60" t="n"/>
      <c r="B3808" s="63" t="n"/>
      <c r="C3808" s="63" t="n"/>
      <c r="D3808" s="67" t="n"/>
      <c r="E3808" s="68" t="n"/>
      <c r="F3808" s="69" t="n"/>
      <c r="G3808" s="70" t="n"/>
      <c r="H3808" s="62" t="str">
        <f>IF(COUNTA(A3808:G3808)=0,"",IF(C3808&lt;&gt;"",C3808,IF(B3808="","",IFERROR(INDEX(pr_des,MATCH(B3808,pr_code,0))&amp;"",""))))</f>
        <v/>
      </c>
      <c r="I3808" s="59" t="str">
        <f>IF(B3808="","",IFERROR(INDEX(pr_unit,MATCH(B3808,pr_code,0))&amp;"",""))</f>
        <v/>
      </c>
      <c r="J3808" s="65" t="str">
        <f>IF(COUNTA(A3808:G3808)=0,"",IF(E3808&lt;&gt;"",E3808,IF(B3808="","",IFERROR(IF(INDEX(pr_price,MATCH(B3808,pr_code,0))="","",INDEX(pr_price,MATCH(B3808,pr_code,0))),""))))</f>
        <v/>
      </c>
      <c r="K3808" s="71" t="str">
        <f>IF(COUNTA(A3808:G3808)=0,"",IF(G3808&lt;&gt;"",G3808,IF(B3808="","",IFERROR(IF(INDEX(pr_rate,MATCH(B3808,pr_code,0))="","",INDEX(pr_rate,MATCH(B3808,pr_code,0))),""))))</f>
        <v/>
      </c>
      <c r="L3808" s="65" t="str">
        <f>IF(COUNTA(A3808:G3808)=0,"",IF(AND(ISNUMBER(D3808),ISNUMBER(J3808)),ROUND(D3808*J3808*(1-N(F3808)),2),0))</f>
        <v/>
      </c>
      <c r="M3808" s="62" t="str">
        <f>IF(A3808="","",IFERROR(INDEX(fa_cname,MATCH(A3808,fa_num,0))&amp;"",""))</f>
        <v/>
      </c>
      <c r="N3808" s="59" t="str">
        <f>IF(COUNTA(A3808:G3808)=0,"",IF(A3808="","N° facture manquant",IF(ISNA(MATCH(A3808,fa_num,0)),"Facture inconnue",IF(AND(B3808&lt;&gt;"",ISNA(MATCH(B3808,pr_code,0))),"Article inconnu",IF(H3808="","Désignation manquante",IF(OR(NOT(ISNUMBER(D3808)),N(D3808)&lt;=0),"Quantité invalide",IF(J3808="","Prix manquant",IF(OR(NOT(ISNUMBER(J3808)),N(J3808)&lt;0),"Prix invalide",IF(OR(AND(F3808&lt;&gt;"",NOT(ISNUMBER(F3808))),N(F3808)&lt;0,N(F3808)&gt;1),"Remise invalide",IF(K3808="","Taux de TVA manquant",IF(NOT(ISNUMBER(K3808)),"Taux de TVA invalide",IF(COUNTIF(p_rates,K3808)=0,"Taux de TVA hors liste (Paramètres)",IF(N(O3808)&gt;25,"Au-delà de 25 lignes : non imprimée","OK")))))))))))))</f>
        <v/>
      </c>
      <c r="O3808" s="59" t="str">
        <f>IF(A3808="","",COUNTIF($A$6:A3808,A3808))</f>
        <v/>
      </c>
      <c r="P3808" s="62" t="str">
        <f>IF(A3808="","",A3808&amp;"|"&amp;O3808)</f>
        <v/>
      </c>
    </row>
    <row r="3809">
      <c r="A3809" s="60" t="n"/>
      <c r="B3809" s="63" t="n"/>
      <c r="C3809" s="63" t="n"/>
      <c r="D3809" s="67" t="n"/>
      <c r="E3809" s="68" t="n"/>
      <c r="F3809" s="69" t="n"/>
      <c r="G3809" s="70" t="n"/>
      <c r="H3809" s="62" t="str">
        <f>IF(COUNTA(A3809:G3809)=0,"",IF(C3809&lt;&gt;"",C3809,IF(B3809="","",IFERROR(INDEX(pr_des,MATCH(B3809,pr_code,0))&amp;"",""))))</f>
        <v/>
      </c>
      <c r="I3809" s="59" t="str">
        <f>IF(B3809="","",IFERROR(INDEX(pr_unit,MATCH(B3809,pr_code,0))&amp;"",""))</f>
        <v/>
      </c>
      <c r="J3809" s="65" t="str">
        <f>IF(COUNTA(A3809:G3809)=0,"",IF(E3809&lt;&gt;"",E3809,IF(B3809="","",IFERROR(IF(INDEX(pr_price,MATCH(B3809,pr_code,0))="","",INDEX(pr_price,MATCH(B3809,pr_code,0))),""))))</f>
        <v/>
      </c>
      <c r="K3809" s="71" t="str">
        <f>IF(COUNTA(A3809:G3809)=0,"",IF(G3809&lt;&gt;"",G3809,IF(B3809="","",IFERROR(IF(INDEX(pr_rate,MATCH(B3809,pr_code,0))="","",INDEX(pr_rate,MATCH(B3809,pr_code,0))),""))))</f>
        <v/>
      </c>
      <c r="L3809" s="65" t="str">
        <f>IF(COUNTA(A3809:G3809)=0,"",IF(AND(ISNUMBER(D3809),ISNUMBER(J3809)),ROUND(D3809*J3809*(1-N(F3809)),2),0))</f>
        <v/>
      </c>
      <c r="M3809" s="62" t="str">
        <f>IF(A3809="","",IFERROR(INDEX(fa_cname,MATCH(A3809,fa_num,0))&amp;"",""))</f>
        <v/>
      </c>
      <c r="N3809" s="59" t="str">
        <f>IF(COUNTA(A3809:G3809)=0,"",IF(A3809="","N° facture manquant",IF(ISNA(MATCH(A3809,fa_num,0)),"Facture inconnue",IF(AND(B3809&lt;&gt;"",ISNA(MATCH(B3809,pr_code,0))),"Article inconnu",IF(H3809="","Désignation manquante",IF(OR(NOT(ISNUMBER(D3809)),N(D3809)&lt;=0),"Quantité invalide",IF(J3809="","Prix manquant",IF(OR(NOT(ISNUMBER(J3809)),N(J3809)&lt;0),"Prix invalide",IF(OR(AND(F3809&lt;&gt;"",NOT(ISNUMBER(F3809))),N(F3809)&lt;0,N(F3809)&gt;1),"Remise invalide",IF(K3809="","Taux de TVA manquant",IF(NOT(ISNUMBER(K3809)),"Taux de TVA invalide",IF(COUNTIF(p_rates,K3809)=0,"Taux de TVA hors liste (Paramètres)",IF(N(O3809)&gt;25,"Au-delà de 25 lignes : non imprimée","OK")))))))))))))</f>
        <v/>
      </c>
      <c r="O3809" s="59" t="str">
        <f>IF(A3809="","",COUNTIF($A$6:A3809,A3809))</f>
        <v/>
      </c>
      <c r="P3809" s="62" t="str">
        <f>IF(A3809="","",A3809&amp;"|"&amp;O3809)</f>
        <v/>
      </c>
    </row>
    <row r="3810">
      <c r="A3810" s="60" t="n"/>
      <c r="B3810" s="63" t="n"/>
      <c r="C3810" s="63" t="n"/>
      <c r="D3810" s="67" t="n"/>
      <c r="E3810" s="68" t="n"/>
      <c r="F3810" s="69" t="n"/>
      <c r="G3810" s="70" t="n"/>
      <c r="H3810" s="62" t="str">
        <f>IF(COUNTA(A3810:G3810)=0,"",IF(C3810&lt;&gt;"",C3810,IF(B3810="","",IFERROR(INDEX(pr_des,MATCH(B3810,pr_code,0))&amp;"",""))))</f>
        <v/>
      </c>
      <c r="I3810" s="59" t="str">
        <f>IF(B3810="","",IFERROR(INDEX(pr_unit,MATCH(B3810,pr_code,0))&amp;"",""))</f>
        <v/>
      </c>
      <c r="J3810" s="65" t="str">
        <f>IF(COUNTA(A3810:G3810)=0,"",IF(E3810&lt;&gt;"",E3810,IF(B3810="","",IFERROR(IF(INDEX(pr_price,MATCH(B3810,pr_code,0))="","",INDEX(pr_price,MATCH(B3810,pr_code,0))),""))))</f>
        <v/>
      </c>
      <c r="K3810" s="71" t="str">
        <f>IF(COUNTA(A3810:G3810)=0,"",IF(G3810&lt;&gt;"",G3810,IF(B3810="","",IFERROR(IF(INDEX(pr_rate,MATCH(B3810,pr_code,0))="","",INDEX(pr_rate,MATCH(B3810,pr_code,0))),""))))</f>
        <v/>
      </c>
      <c r="L3810" s="65" t="str">
        <f>IF(COUNTA(A3810:G3810)=0,"",IF(AND(ISNUMBER(D3810),ISNUMBER(J3810)),ROUND(D3810*J3810*(1-N(F3810)),2),0))</f>
        <v/>
      </c>
      <c r="M3810" s="62" t="str">
        <f>IF(A3810="","",IFERROR(INDEX(fa_cname,MATCH(A3810,fa_num,0))&amp;"",""))</f>
        <v/>
      </c>
      <c r="N3810" s="59" t="str">
        <f>IF(COUNTA(A3810:G3810)=0,"",IF(A3810="","N° facture manquant",IF(ISNA(MATCH(A3810,fa_num,0)),"Facture inconnue",IF(AND(B3810&lt;&gt;"",ISNA(MATCH(B3810,pr_code,0))),"Article inconnu",IF(H3810="","Désignation manquante",IF(OR(NOT(ISNUMBER(D3810)),N(D3810)&lt;=0),"Quantité invalide",IF(J3810="","Prix manquant",IF(OR(NOT(ISNUMBER(J3810)),N(J3810)&lt;0),"Prix invalide",IF(OR(AND(F3810&lt;&gt;"",NOT(ISNUMBER(F3810))),N(F3810)&lt;0,N(F3810)&gt;1),"Remise invalide",IF(K3810="","Taux de TVA manquant",IF(NOT(ISNUMBER(K3810)),"Taux de TVA invalide",IF(COUNTIF(p_rates,K3810)=0,"Taux de TVA hors liste (Paramètres)",IF(N(O3810)&gt;25,"Au-delà de 25 lignes : non imprimée","OK")))))))))))))</f>
        <v/>
      </c>
      <c r="O3810" s="59" t="str">
        <f>IF(A3810="","",COUNTIF($A$6:A3810,A3810))</f>
        <v/>
      </c>
      <c r="P3810" s="62" t="str">
        <f>IF(A3810="","",A3810&amp;"|"&amp;O3810)</f>
        <v/>
      </c>
    </row>
    <row r="3811">
      <c r="A3811" s="60" t="n"/>
      <c r="B3811" s="63" t="n"/>
      <c r="C3811" s="63" t="n"/>
      <c r="D3811" s="67" t="n"/>
      <c r="E3811" s="68" t="n"/>
      <c r="F3811" s="69" t="n"/>
      <c r="G3811" s="70" t="n"/>
      <c r="H3811" s="62" t="str">
        <f>IF(COUNTA(A3811:G3811)=0,"",IF(C3811&lt;&gt;"",C3811,IF(B3811="","",IFERROR(INDEX(pr_des,MATCH(B3811,pr_code,0))&amp;"",""))))</f>
        <v/>
      </c>
      <c r="I3811" s="59" t="str">
        <f>IF(B3811="","",IFERROR(INDEX(pr_unit,MATCH(B3811,pr_code,0))&amp;"",""))</f>
        <v/>
      </c>
      <c r="J3811" s="65" t="str">
        <f>IF(COUNTA(A3811:G3811)=0,"",IF(E3811&lt;&gt;"",E3811,IF(B3811="","",IFERROR(IF(INDEX(pr_price,MATCH(B3811,pr_code,0))="","",INDEX(pr_price,MATCH(B3811,pr_code,0))),""))))</f>
        <v/>
      </c>
      <c r="K3811" s="71" t="str">
        <f>IF(COUNTA(A3811:G3811)=0,"",IF(G3811&lt;&gt;"",G3811,IF(B3811="","",IFERROR(IF(INDEX(pr_rate,MATCH(B3811,pr_code,0))="","",INDEX(pr_rate,MATCH(B3811,pr_code,0))),""))))</f>
        <v/>
      </c>
      <c r="L3811" s="65" t="str">
        <f>IF(COUNTA(A3811:G3811)=0,"",IF(AND(ISNUMBER(D3811),ISNUMBER(J3811)),ROUND(D3811*J3811*(1-N(F3811)),2),0))</f>
        <v/>
      </c>
      <c r="M3811" s="62" t="str">
        <f>IF(A3811="","",IFERROR(INDEX(fa_cname,MATCH(A3811,fa_num,0))&amp;"",""))</f>
        <v/>
      </c>
      <c r="N3811" s="59" t="str">
        <f>IF(COUNTA(A3811:G3811)=0,"",IF(A3811="","N° facture manquant",IF(ISNA(MATCH(A3811,fa_num,0)),"Facture inconnue",IF(AND(B3811&lt;&gt;"",ISNA(MATCH(B3811,pr_code,0))),"Article inconnu",IF(H3811="","Désignation manquante",IF(OR(NOT(ISNUMBER(D3811)),N(D3811)&lt;=0),"Quantité invalide",IF(J3811="","Prix manquant",IF(OR(NOT(ISNUMBER(J3811)),N(J3811)&lt;0),"Prix invalide",IF(OR(AND(F3811&lt;&gt;"",NOT(ISNUMBER(F3811))),N(F3811)&lt;0,N(F3811)&gt;1),"Remise invalide",IF(K3811="","Taux de TVA manquant",IF(NOT(ISNUMBER(K3811)),"Taux de TVA invalide",IF(COUNTIF(p_rates,K3811)=0,"Taux de TVA hors liste (Paramètres)",IF(N(O3811)&gt;25,"Au-delà de 25 lignes : non imprimée","OK")))))))))))))</f>
        <v/>
      </c>
      <c r="O3811" s="59" t="str">
        <f>IF(A3811="","",COUNTIF($A$6:A3811,A3811))</f>
        <v/>
      </c>
      <c r="P3811" s="62" t="str">
        <f>IF(A3811="","",A3811&amp;"|"&amp;O3811)</f>
        <v/>
      </c>
    </row>
    <row r="3812">
      <c r="A3812" s="60" t="n"/>
      <c r="B3812" s="63" t="n"/>
      <c r="C3812" s="63" t="n"/>
      <c r="D3812" s="67" t="n"/>
      <c r="E3812" s="68" t="n"/>
      <c r="F3812" s="69" t="n"/>
      <c r="G3812" s="70" t="n"/>
      <c r="H3812" s="62" t="str">
        <f>IF(COUNTA(A3812:G3812)=0,"",IF(C3812&lt;&gt;"",C3812,IF(B3812="","",IFERROR(INDEX(pr_des,MATCH(B3812,pr_code,0))&amp;"",""))))</f>
        <v/>
      </c>
      <c r="I3812" s="59" t="str">
        <f>IF(B3812="","",IFERROR(INDEX(pr_unit,MATCH(B3812,pr_code,0))&amp;"",""))</f>
        <v/>
      </c>
      <c r="J3812" s="65" t="str">
        <f>IF(COUNTA(A3812:G3812)=0,"",IF(E3812&lt;&gt;"",E3812,IF(B3812="","",IFERROR(IF(INDEX(pr_price,MATCH(B3812,pr_code,0))="","",INDEX(pr_price,MATCH(B3812,pr_code,0))),""))))</f>
        <v/>
      </c>
      <c r="K3812" s="71" t="str">
        <f>IF(COUNTA(A3812:G3812)=0,"",IF(G3812&lt;&gt;"",G3812,IF(B3812="","",IFERROR(IF(INDEX(pr_rate,MATCH(B3812,pr_code,0))="","",INDEX(pr_rate,MATCH(B3812,pr_code,0))),""))))</f>
        <v/>
      </c>
      <c r="L3812" s="65" t="str">
        <f>IF(COUNTA(A3812:G3812)=0,"",IF(AND(ISNUMBER(D3812),ISNUMBER(J3812)),ROUND(D3812*J3812*(1-N(F3812)),2),0))</f>
        <v/>
      </c>
      <c r="M3812" s="62" t="str">
        <f>IF(A3812="","",IFERROR(INDEX(fa_cname,MATCH(A3812,fa_num,0))&amp;"",""))</f>
        <v/>
      </c>
      <c r="N3812" s="59" t="str">
        <f>IF(COUNTA(A3812:G3812)=0,"",IF(A3812="","N° facture manquant",IF(ISNA(MATCH(A3812,fa_num,0)),"Facture inconnue",IF(AND(B3812&lt;&gt;"",ISNA(MATCH(B3812,pr_code,0))),"Article inconnu",IF(H3812="","Désignation manquante",IF(OR(NOT(ISNUMBER(D3812)),N(D3812)&lt;=0),"Quantité invalide",IF(J3812="","Prix manquant",IF(OR(NOT(ISNUMBER(J3812)),N(J3812)&lt;0),"Prix invalide",IF(OR(AND(F3812&lt;&gt;"",NOT(ISNUMBER(F3812))),N(F3812)&lt;0,N(F3812)&gt;1),"Remise invalide",IF(K3812="","Taux de TVA manquant",IF(NOT(ISNUMBER(K3812)),"Taux de TVA invalide",IF(COUNTIF(p_rates,K3812)=0,"Taux de TVA hors liste (Paramètres)",IF(N(O3812)&gt;25,"Au-delà de 25 lignes : non imprimée","OK")))))))))))))</f>
        <v/>
      </c>
      <c r="O3812" s="59" t="str">
        <f>IF(A3812="","",COUNTIF($A$6:A3812,A3812))</f>
        <v/>
      </c>
      <c r="P3812" s="62" t="str">
        <f>IF(A3812="","",A3812&amp;"|"&amp;O3812)</f>
        <v/>
      </c>
    </row>
    <row r="3813">
      <c r="A3813" s="60" t="n"/>
      <c r="B3813" s="63" t="n"/>
      <c r="C3813" s="63" t="n"/>
      <c r="D3813" s="67" t="n"/>
      <c r="E3813" s="68" t="n"/>
      <c r="F3813" s="69" t="n"/>
      <c r="G3813" s="70" t="n"/>
      <c r="H3813" s="62" t="str">
        <f>IF(COUNTA(A3813:G3813)=0,"",IF(C3813&lt;&gt;"",C3813,IF(B3813="","",IFERROR(INDEX(pr_des,MATCH(B3813,pr_code,0))&amp;"",""))))</f>
        <v/>
      </c>
      <c r="I3813" s="59" t="str">
        <f>IF(B3813="","",IFERROR(INDEX(pr_unit,MATCH(B3813,pr_code,0))&amp;"",""))</f>
        <v/>
      </c>
      <c r="J3813" s="65" t="str">
        <f>IF(COUNTA(A3813:G3813)=0,"",IF(E3813&lt;&gt;"",E3813,IF(B3813="","",IFERROR(IF(INDEX(pr_price,MATCH(B3813,pr_code,0))="","",INDEX(pr_price,MATCH(B3813,pr_code,0))),""))))</f>
        <v/>
      </c>
      <c r="K3813" s="71" t="str">
        <f>IF(COUNTA(A3813:G3813)=0,"",IF(G3813&lt;&gt;"",G3813,IF(B3813="","",IFERROR(IF(INDEX(pr_rate,MATCH(B3813,pr_code,0))="","",INDEX(pr_rate,MATCH(B3813,pr_code,0))),""))))</f>
        <v/>
      </c>
      <c r="L3813" s="65" t="str">
        <f>IF(COUNTA(A3813:G3813)=0,"",IF(AND(ISNUMBER(D3813),ISNUMBER(J3813)),ROUND(D3813*J3813*(1-N(F3813)),2),0))</f>
        <v/>
      </c>
      <c r="M3813" s="62" t="str">
        <f>IF(A3813="","",IFERROR(INDEX(fa_cname,MATCH(A3813,fa_num,0))&amp;"",""))</f>
        <v/>
      </c>
      <c r="N3813" s="59" t="str">
        <f>IF(COUNTA(A3813:G3813)=0,"",IF(A3813="","N° facture manquant",IF(ISNA(MATCH(A3813,fa_num,0)),"Facture inconnue",IF(AND(B3813&lt;&gt;"",ISNA(MATCH(B3813,pr_code,0))),"Article inconnu",IF(H3813="","Désignation manquante",IF(OR(NOT(ISNUMBER(D3813)),N(D3813)&lt;=0),"Quantité invalide",IF(J3813="","Prix manquant",IF(OR(NOT(ISNUMBER(J3813)),N(J3813)&lt;0),"Prix invalide",IF(OR(AND(F3813&lt;&gt;"",NOT(ISNUMBER(F3813))),N(F3813)&lt;0,N(F3813)&gt;1),"Remise invalide",IF(K3813="","Taux de TVA manquant",IF(NOT(ISNUMBER(K3813)),"Taux de TVA invalide",IF(COUNTIF(p_rates,K3813)=0,"Taux de TVA hors liste (Paramètres)",IF(N(O3813)&gt;25,"Au-delà de 25 lignes : non imprimée","OK")))))))))))))</f>
        <v/>
      </c>
      <c r="O3813" s="59" t="str">
        <f>IF(A3813="","",COUNTIF($A$6:A3813,A3813))</f>
        <v/>
      </c>
      <c r="P3813" s="62" t="str">
        <f>IF(A3813="","",A3813&amp;"|"&amp;O3813)</f>
        <v/>
      </c>
    </row>
    <row r="3814">
      <c r="A3814" s="60" t="n"/>
      <c r="B3814" s="63" t="n"/>
      <c r="C3814" s="63" t="n"/>
      <c r="D3814" s="67" t="n"/>
      <c r="E3814" s="68" t="n"/>
      <c r="F3814" s="69" t="n"/>
      <c r="G3814" s="70" t="n"/>
      <c r="H3814" s="62" t="str">
        <f>IF(COUNTA(A3814:G3814)=0,"",IF(C3814&lt;&gt;"",C3814,IF(B3814="","",IFERROR(INDEX(pr_des,MATCH(B3814,pr_code,0))&amp;"",""))))</f>
        <v/>
      </c>
      <c r="I3814" s="59" t="str">
        <f>IF(B3814="","",IFERROR(INDEX(pr_unit,MATCH(B3814,pr_code,0))&amp;"",""))</f>
        <v/>
      </c>
      <c r="J3814" s="65" t="str">
        <f>IF(COUNTA(A3814:G3814)=0,"",IF(E3814&lt;&gt;"",E3814,IF(B3814="","",IFERROR(IF(INDEX(pr_price,MATCH(B3814,pr_code,0))="","",INDEX(pr_price,MATCH(B3814,pr_code,0))),""))))</f>
        <v/>
      </c>
      <c r="K3814" s="71" t="str">
        <f>IF(COUNTA(A3814:G3814)=0,"",IF(G3814&lt;&gt;"",G3814,IF(B3814="","",IFERROR(IF(INDEX(pr_rate,MATCH(B3814,pr_code,0))="","",INDEX(pr_rate,MATCH(B3814,pr_code,0))),""))))</f>
        <v/>
      </c>
      <c r="L3814" s="65" t="str">
        <f>IF(COUNTA(A3814:G3814)=0,"",IF(AND(ISNUMBER(D3814),ISNUMBER(J3814)),ROUND(D3814*J3814*(1-N(F3814)),2),0))</f>
        <v/>
      </c>
      <c r="M3814" s="62" t="str">
        <f>IF(A3814="","",IFERROR(INDEX(fa_cname,MATCH(A3814,fa_num,0))&amp;"",""))</f>
        <v/>
      </c>
      <c r="N3814" s="59" t="str">
        <f>IF(COUNTA(A3814:G3814)=0,"",IF(A3814="","N° facture manquant",IF(ISNA(MATCH(A3814,fa_num,0)),"Facture inconnue",IF(AND(B3814&lt;&gt;"",ISNA(MATCH(B3814,pr_code,0))),"Article inconnu",IF(H3814="","Désignation manquante",IF(OR(NOT(ISNUMBER(D3814)),N(D3814)&lt;=0),"Quantité invalide",IF(J3814="","Prix manquant",IF(OR(NOT(ISNUMBER(J3814)),N(J3814)&lt;0),"Prix invalide",IF(OR(AND(F3814&lt;&gt;"",NOT(ISNUMBER(F3814))),N(F3814)&lt;0,N(F3814)&gt;1),"Remise invalide",IF(K3814="","Taux de TVA manquant",IF(NOT(ISNUMBER(K3814)),"Taux de TVA invalide",IF(COUNTIF(p_rates,K3814)=0,"Taux de TVA hors liste (Paramètres)",IF(N(O3814)&gt;25,"Au-delà de 25 lignes : non imprimée","OK")))))))))))))</f>
        <v/>
      </c>
      <c r="O3814" s="59" t="str">
        <f>IF(A3814="","",COUNTIF($A$6:A3814,A3814))</f>
        <v/>
      </c>
      <c r="P3814" s="62" t="str">
        <f>IF(A3814="","",A3814&amp;"|"&amp;O3814)</f>
        <v/>
      </c>
    </row>
    <row r="3815">
      <c r="A3815" s="60" t="n"/>
      <c r="B3815" s="63" t="n"/>
      <c r="C3815" s="63" t="n"/>
      <c r="D3815" s="67" t="n"/>
      <c r="E3815" s="68" t="n"/>
      <c r="F3815" s="69" t="n"/>
      <c r="G3815" s="70" t="n"/>
      <c r="H3815" s="62" t="str">
        <f>IF(COUNTA(A3815:G3815)=0,"",IF(C3815&lt;&gt;"",C3815,IF(B3815="","",IFERROR(INDEX(pr_des,MATCH(B3815,pr_code,0))&amp;"",""))))</f>
        <v/>
      </c>
      <c r="I3815" s="59" t="str">
        <f>IF(B3815="","",IFERROR(INDEX(pr_unit,MATCH(B3815,pr_code,0))&amp;"",""))</f>
        <v/>
      </c>
      <c r="J3815" s="65" t="str">
        <f>IF(COUNTA(A3815:G3815)=0,"",IF(E3815&lt;&gt;"",E3815,IF(B3815="","",IFERROR(IF(INDEX(pr_price,MATCH(B3815,pr_code,0))="","",INDEX(pr_price,MATCH(B3815,pr_code,0))),""))))</f>
        <v/>
      </c>
      <c r="K3815" s="71" t="str">
        <f>IF(COUNTA(A3815:G3815)=0,"",IF(G3815&lt;&gt;"",G3815,IF(B3815="","",IFERROR(IF(INDEX(pr_rate,MATCH(B3815,pr_code,0))="","",INDEX(pr_rate,MATCH(B3815,pr_code,0))),""))))</f>
        <v/>
      </c>
      <c r="L3815" s="65" t="str">
        <f>IF(COUNTA(A3815:G3815)=0,"",IF(AND(ISNUMBER(D3815),ISNUMBER(J3815)),ROUND(D3815*J3815*(1-N(F3815)),2),0))</f>
        <v/>
      </c>
      <c r="M3815" s="62" t="str">
        <f>IF(A3815="","",IFERROR(INDEX(fa_cname,MATCH(A3815,fa_num,0))&amp;"",""))</f>
        <v/>
      </c>
      <c r="N3815" s="59" t="str">
        <f>IF(COUNTA(A3815:G3815)=0,"",IF(A3815="","N° facture manquant",IF(ISNA(MATCH(A3815,fa_num,0)),"Facture inconnue",IF(AND(B3815&lt;&gt;"",ISNA(MATCH(B3815,pr_code,0))),"Article inconnu",IF(H3815="","Désignation manquante",IF(OR(NOT(ISNUMBER(D3815)),N(D3815)&lt;=0),"Quantité invalide",IF(J3815="","Prix manquant",IF(OR(NOT(ISNUMBER(J3815)),N(J3815)&lt;0),"Prix invalide",IF(OR(AND(F3815&lt;&gt;"",NOT(ISNUMBER(F3815))),N(F3815)&lt;0,N(F3815)&gt;1),"Remise invalide",IF(K3815="","Taux de TVA manquant",IF(NOT(ISNUMBER(K3815)),"Taux de TVA invalide",IF(COUNTIF(p_rates,K3815)=0,"Taux de TVA hors liste (Paramètres)",IF(N(O3815)&gt;25,"Au-delà de 25 lignes : non imprimée","OK")))))))))))))</f>
        <v/>
      </c>
      <c r="O3815" s="59" t="str">
        <f>IF(A3815="","",COUNTIF($A$6:A3815,A3815))</f>
        <v/>
      </c>
      <c r="P3815" s="62" t="str">
        <f>IF(A3815="","",A3815&amp;"|"&amp;O3815)</f>
        <v/>
      </c>
    </row>
    <row r="3816">
      <c r="A3816" s="60" t="n"/>
      <c r="B3816" s="63" t="n"/>
      <c r="C3816" s="63" t="n"/>
      <c r="D3816" s="67" t="n"/>
      <c r="E3816" s="68" t="n"/>
      <c r="F3816" s="69" t="n"/>
      <c r="G3816" s="70" t="n"/>
      <c r="H3816" s="62" t="str">
        <f>IF(COUNTA(A3816:G3816)=0,"",IF(C3816&lt;&gt;"",C3816,IF(B3816="","",IFERROR(INDEX(pr_des,MATCH(B3816,pr_code,0))&amp;"",""))))</f>
        <v/>
      </c>
      <c r="I3816" s="59" t="str">
        <f>IF(B3816="","",IFERROR(INDEX(pr_unit,MATCH(B3816,pr_code,0))&amp;"",""))</f>
        <v/>
      </c>
      <c r="J3816" s="65" t="str">
        <f>IF(COUNTA(A3816:G3816)=0,"",IF(E3816&lt;&gt;"",E3816,IF(B3816="","",IFERROR(IF(INDEX(pr_price,MATCH(B3816,pr_code,0))="","",INDEX(pr_price,MATCH(B3816,pr_code,0))),""))))</f>
        <v/>
      </c>
      <c r="K3816" s="71" t="str">
        <f>IF(COUNTA(A3816:G3816)=0,"",IF(G3816&lt;&gt;"",G3816,IF(B3816="","",IFERROR(IF(INDEX(pr_rate,MATCH(B3816,pr_code,0))="","",INDEX(pr_rate,MATCH(B3816,pr_code,0))),""))))</f>
        <v/>
      </c>
      <c r="L3816" s="65" t="str">
        <f>IF(COUNTA(A3816:G3816)=0,"",IF(AND(ISNUMBER(D3816),ISNUMBER(J3816)),ROUND(D3816*J3816*(1-N(F3816)),2),0))</f>
        <v/>
      </c>
      <c r="M3816" s="62" t="str">
        <f>IF(A3816="","",IFERROR(INDEX(fa_cname,MATCH(A3816,fa_num,0))&amp;"",""))</f>
        <v/>
      </c>
      <c r="N3816" s="59" t="str">
        <f>IF(COUNTA(A3816:G3816)=0,"",IF(A3816="","N° facture manquant",IF(ISNA(MATCH(A3816,fa_num,0)),"Facture inconnue",IF(AND(B3816&lt;&gt;"",ISNA(MATCH(B3816,pr_code,0))),"Article inconnu",IF(H3816="","Désignation manquante",IF(OR(NOT(ISNUMBER(D3816)),N(D3816)&lt;=0),"Quantité invalide",IF(J3816="","Prix manquant",IF(OR(NOT(ISNUMBER(J3816)),N(J3816)&lt;0),"Prix invalide",IF(OR(AND(F3816&lt;&gt;"",NOT(ISNUMBER(F3816))),N(F3816)&lt;0,N(F3816)&gt;1),"Remise invalide",IF(K3816="","Taux de TVA manquant",IF(NOT(ISNUMBER(K3816)),"Taux de TVA invalide",IF(COUNTIF(p_rates,K3816)=0,"Taux de TVA hors liste (Paramètres)",IF(N(O3816)&gt;25,"Au-delà de 25 lignes : non imprimée","OK")))))))))))))</f>
        <v/>
      </c>
      <c r="O3816" s="59" t="str">
        <f>IF(A3816="","",COUNTIF($A$6:A3816,A3816))</f>
        <v/>
      </c>
      <c r="P3816" s="62" t="str">
        <f>IF(A3816="","",A3816&amp;"|"&amp;O3816)</f>
        <v/>
      </c>
    </row>
    <row r="3817">
      <c r="A3817" s="60" t="n"/>
      <c r="B3817" s="63" t="n"/>
      <c r="C3817" s="63" t="n"/>
      <c r="D3817" s="67" t="n"/>
      <c r="E3817" s="68" t="n"/>
      <c r="F3817" s="69" t="n"/>
      <c r="G3817" s="70" t="n"/>
      <c r="H3817" s="62" t="str">
        <f>IF(COUNTA(A3817:G3817)=0,"",IF(C3817&lt;&gt;"",C3817,IF(B3817="","",IFERROR(INDEX(pr_des,MATCH(B3817,pr_code,0))&amp;"",""))))</f>
        <v/>
      </c>
      <c r="I3817" s="59" t="str">
        <f>IF(B3817="","",IFERROR(INDEX(pr_unit,MATCH(B3817,pr_code,0))&amp;"",""))</f>
        <v/>
      </c>
      <c r="J3817" s="65" t="str">
        <f>IF(COUNTA(A3817:G3817)=0,"",IF(E3817&lt;&gt;"",E3817,IF(B3817="","",IFERROR(IF(INDEX(pr_price,MATCH(B3817,pr_code,0))="","",INDEX(pr_price,MATCH(B3817,pr_code,0))),""))))</f>
        <v/>
      </c>
      <c r="K3817" s="71" t="str">
        <f>IF(COUNTA(A3817:G3817)=0,"",IF(G3817&lt;&gt;"",G3817,IF(B3817="","",IFERROR(IF(INDEX(pr_rate,MATCH(B3817,pr_code,0))="","",INDEX(pr_rate,MATCH(B3817,pr_code,0))),""))))</f>
        <v/>
      </c>
      <c r="L3817" s="65" t="str">
        <f>IF(COUNTA(A3817:G3817)=0,"",IF(AND(ISNUMBER(D3817),ISNUMBER(J3817)),ROUND(D3817*J3817*(1-N(F3817)),2),0))</f>
        <v/>
      </c>
      <c r="M3817" s="62" t="str">
        <f>IF(A3817="","",IFERROR(INDEX(fa_cname,MATCH(A3817,fa_num,0))&amp;"",""))</f>
        <v/>
      </c>
      <c r="N3817" s="59" t="str">
        <f>IF(COUNTA(A3817:G3817)=0,"",IF(A3817="","N° facture manquant",IF(ISNA(MATCH(A3817,fa_num,0)),"Facture inconnue",IF(AND(B3817&lt;&gt;"",ISNA(MATCH(B3817,pr_code,0))),"Article inconnu",IF(H3817="","Désignation manquante",IF(OR(NOT(ISNUMBER(D3817)),N(D3817)&lt;=0),"Quantité invalide",IF(J3817="","Prix manquant",IF(OR(NOT(ISNUMBER(J3817)),N(J3817)&lt;0),"Prix invalide",IF(OR(AND(F3817&lt;&gt;"",NOT(ISNUMBER(F3817))),N(F3817)&lt;0,N(F3817)&gt;1),"Remise invalide",IF(K3817="","Taux de TVA manquant",IF(NOT(ISNUMBER(K3817)),"Taux de TVA invalide",IF(COUNTIF(p_rates,K3817)=0,"Taux de TVA hors liste (Paramètres)",IF(N(O3817)&gt;25,"Au-delà de 25 lignes : non imprimée","OK")))))))))))))</f>
        <v/>
      </c>
      <c r="O3817" s="59" t="str">
        <f>IF(A3817="","",COUNTIF($A$6:A3817,A3817))</f>
        <v/>
      </c>
      <c r="P3817" s="62" t="str">
        <f>IF(A3817="","",A3817&amp;"|"&amp;O3817)</f>
        <v/>
      </c>
    </row>
    <row r="3818">
      <c r="A3818" s="60" t="n"/>
      <c r="B3818" s="63" t="n"/>
      <c r="C3818" s="63" t="n"/>
      <c r="D3818" s="67" t="n"/>
      <c r="E3818" s="68" t="n"/>
      <c r="F3818" s="69" t="n"/>
      <c r="G3818" s="70" t="n"/>
      <c r="H3818" s="62" t="str">
        <f>IF(COUNTA(A3818:G3818)=0,"",IF(C3818&lt;&gt;"",C3818,IF(B3818="","",IFERROR(INDEX(pr_des,MATCH(B3818,pr_code,0))&amp;"",""))))</f>
        <v/>
      </c>
      <c r="I3818" s="59" t="str">
        <f>IF(B3818="","",IFERROR(INDEX(pr_unit,MATCH(B3818,pr_code,0))&amp;"",""))</f>
        <v/>
      </c>
      <c r="J3818" s="65" t="str">
        <f>IF(COUNTA(A3818:G3818)=0,"",IF(E3818&lt;&gt;"",E3818,IF(B3818="","",IFERROR(IF(INDEX(pr_price,MATCH(B3818,pr_code,0))="","",INDEX(pr_price,MATCH(B3818,pr_code,0))),""))))</f>
        <v/>
      </c>
      <c r="K3818" s="71" t="str">
        <f>IF(COUNTA(A3818:G3818)=0,"",IF(G3818&lt;&gt;"",G3818,IF(B3818="","",IFERROR(IF(INDEX(pr_rate,MATCH(B3818,pr_code,0))="","",INDEX(pr_rate,MATCH(B3818,pr_code,0))),""))))</f>
        <v/>
      </c>
      <c r="L3818" s="65" t="str">
        <f>IF(COUNTA(A3818:G3818)=0,"",IF(AND(ISNUMBER(D3818),ISNUMBER(J3818)),ROUND(D3818*J3818*(1-N(F3818)),2),0))</f>
        <v/>
      </c>
      <c r="M3818" s="62" t="str">
        <f>IF(A3818="","",IFERROR(INDEX(fa_cname,MATCH(A3818,fa_num,0))&amp;"",""))</f>
        <v/>
      </c>
      <c r="N3818" s="59" t="str">
        <f>IF(COUNTA(A3818:G3818)=0,"",IF(A3818="","N° facture manquant",IF(ISNA(MATCH(A3818,fa_num,0)),"Facture inconnue",IF(AND(B3818&lt;&gt;"",ISNA(MATCH(B3818,pr_code,0))),"Article inconnu",IF(H3818="","Désignation manquante",IF(OR(NOT(ISNUMBER(D3818)),N(D3818)&lt;=0),"Quantité invalide",IF(J3818="","Prix manquant",IF(OR(NOT(ISNUMBER(J3818)),N(J3818)&lt;0),"Prix invalide",IF(OR(AND(F3818&lt;&gt;"",NOT(ISNUMBER(F3818))),N(F3818)&lt;0,N(F3818)&gt;1),"Remise invalide",IF(K3818="","Taux de TVA manquant",IF(NOT(ISNUMBER(K3818)),"Taux de TVA invalide",IF(COUNTIF(p_rates,K3818)=0,"Taux de TVA hors liste (Paramètres)",IF(N(O3818)&gt;25,"Au-delà de 25 lignes : non imprimée","OK")))))))))))))</f>
        <v/>
      </c>
      <c r="O3818" s="59" t="str">
        <f>IF(A3818="","",COUNTIF($A$6:A3818,A3818))</f>
        <v/>
      </c>
      <c r="P3818" s="62" t="str">
        <f>IF(A3818="","",A3818&amp;"|"&amp;O3818)</f>
        <v/>
      </c>
    </row>
    <row r="3819">
      <c r="A3819" s="60" t="n"/>
      <c r="B3819" s="63" t="n"/>
      <c r="C3819" s="63" t="n"/>
      <c r="D3819" s="67" t="n"/>
      <c r="E3819" s="68" t="n"/>
      <c r="F3819" s="69" t="n"/>
      <c r="G3819" s="70" t="n"/>
      <c r="H3819" s="62" t="str">
        <f>IF(COUNTA(A3819:G3819)=0,"",IF(C3819&lt;&gt;"",C3819,IF(B3819="","",IFERROR(INDEX(pr_des,MATCH(B3819,pr_code,0))&amp;"",""))))</f>
        <v/>
      </c>
      <c r="I3819" s="59" t="str">
        <f>IF(B3819="","",IFERROR(INDEX(pr_unit,MATCH(B3819,pr_code,0))&amp;"",""))</f>
        <v/>
      </c>
      <c r="J3819" s="65" t="str">
        <f>IF(COUNTA(A3819:G3819)=0,"",IF(E3819&lt;&gt;"",E3819,IF(B3819="","",IFERROR(IF(INDEX(pr_price,MATCH(B3819,pr_code,0))="","",INDEX(pr_price,MATCH(B3819,pr_code,0))),""))))</f>
        <v/>
      </c>
      <c r="K3819" s="71" t="str">
        <f>IF(COUNTA(A3819:G3819)=0,"",IF(G3819&lt;&gt;"",G3819,IF(B3819="","",IFERROR(IF(INDEX(pr_rate,MATCH(B3819,pr_code,0))="","",INDEX(pr_rate,MATCH(B3819,pr_code,0))),""))))</f>
        <v/>
      </c>
      <c r="L3819" s="65" t="str">
        <f>IF(COUNTA(A3819:G3819)=0,"",IF(AND(ISNUMBER(D3819),ISNUMBER(J3819)),ROUND(D3819*J3819*(1-N(F3819)),2),0))</f>
        <v/>
      </c>
      <c r="M3819" s="62" t="str">
        <f>IF(A3819="","",IFERROR(INDEX(fa_cname,MATCH(A3819,fa_num,0))&amp;"",""))</f>
        <v/>
      </c>
      <c r="N3819" s="59" t="str">
        <f>IF(COUNTA(A3819:G3819)=0,"",IF(A3819="","N° facture manquant",IF(ISNA(MATCH(A3819,fa_num,0)),"Facture inconnue",IF(AND(B3819&lt;&gt;"",ISNA(MATCH(B3819,pr_code,0))),"Article inconnu",IF(H3819="","Désignation manquante",IF(OR(NOT(ISNUMBER(D3819)),N(D3819)&lt;=0),"Quantité invalide",IF(J3819="","Prix manquant",IF(OR(NOT(ISNUMBER(J3819)),N(J3819)&lt;0),"Prix invalide",IF(OR(AND(F3819&lt;&gt;"",NOT(ISNUMBER(F3819))),N(F3819)&lt;0,N(F3819)&gt;1),"Remise invalide",IF(K3819="","Taux de TVA manquant",IF(NOT(ISNUMBER(K3819)),"Taux de TVA invalide",IF(COUNTIF(p_rates,K3819)=0,"Taux de TVA hors liste (Paramètres)",IF(N(O3819)&gt;25,"Au-delà de 25 lignes : non imprimée","OK")))))))))))))</f>
        <v/>
      </c>
      <c r="O3819" s="59" t="str">
        <f>IF(A3819="","",COUNTIF($A$6:A3819,A3819))</f>
        <v/>
      </c>
      <c r="P3819" s="62" t="str">
        <f>IF(A3819="","",A3819&amp;"|"&amp;O3819)</f>
        <v/>
      </c>
    </row>
    <row r="3820">
      <c r="A3820" s="60" t="n"/>
      <c r="B3820" s="63" t="n"/>
      <c r="C3820" s="63" t="n"/>
      <c r="D3820" s="67" t="n"/>
      <c r="E3820" s="68" t="n"/>
      <c r="F3820" s="69" t="n"/>
      <c r="G3820" s="70" t="n"/>
      <c r="H3820" s="62" t="str">
        <f>IF(COUNTA(A3820:G3820)=0,"",IF(C3820&lt;&gt;"",C3820,IF(B3820="","",IFERROR(INDEX(pr_des,MATCH(B3820,pr_code,0))&amp;"",""))))</f>
        <v/>
      </c>
      <c r="I3820" s="59" t="str">
        <f>IF(B3820="","",IFERROR(INDEX(pr_unit,MATCH(B3820,pr_code,0))&amp;"",""))</f>
        <v/>
      </c>
      <c r="J3820" s="65" t="str">
        <f>IF(COUNTA(A3820:G3820)=0,"",IF(E3820&lt;&gt;"",E3820,IF(B3820="","",IFERROR(IF(INDEX(pr_price,MATCH(B3820,pr_code,0))="","",INDEX(pr_price,MATCH(B3820,pr_code,0))),""))))</f>
        <v/>
      </c>
      <c r="K3820" s="71" t="str">
        <f>IF(COUNTA(A3820:G3820)=0,"",IF(G3820&lt;&gt;"",G3820,IF(B3820="","",IFERROR(IF(INDEX(pr_rate,MATCH(B3820,pr_code,0))="","",INDEX(pr_rate,MATCH(B3820,pr_code,0))),""))))</f>
        <v/>
      </c>
      <c r="L3820" s="65" t="str">
        <f>IF(COUNTA(A3820:G3820)=0,"",IF(AND(ISNUMBER(D3820),ISNUMBER(J3820)),ROUND(D3820*J3820*(1-N(F3820)),2),0))</f>
        <v/>
      </c>
      <c r="M3820" s="62" t="str">
        <f>IF(A3820="","",IFERROR(INDEX(fa_cname,MATCH(A3820,fa_num,0))&amp;"",""))</f>
        <v/>
      </c>
      <c r="N3820" s="59" t="str">
        <f>IF(COUNTA(A3820:G3820)=0,"",IF(A3820="","N° facture manquant",IF(ISNA(MATCH(A3820,fa_num,0)),"Facture inconnue",IF(AND(B3820&lt;&gt;"",ISNA(MATCH(B3820,pr_code,0))),"Article inconnu",IF(H3820="","Désignation manquante",IF(OR(NOT(ISNUMBER(D3820)),N(D3820)&lt;=0),"Quantité invalide",IF(J3820="","Prix manquant",IF(OR(NOT(ISNUMBER(J3820)),N(J3820)&lt;0),"Prix invalide",IF(OR(AND(F3820&lt;&gt;"",NOT(ISNUMBER(F3820))),N(F3820)&lt;0,N(F3820)&gt;1),"Remise invalide",IF(K3820="","Taux de TVA manquant",IF(NOT(ISNUMBER(K3820)),"Taux de TVA invalide",IF(COUNTIF(p_rates,K3820)=0,"Taux de TVA hors liste (Paramètres)",IF(N(O3820)&gt;25,"Au-delà de 25 lignes : non imprimée","OK")))))))))))))</f>
        <v/>
      </c>
      <c r="O3820" s="59" t="str">
        <f>IF(A3820="","",COUNTIF($A$6:A3820,A3820))</f>
        <v/>
      </c>
      <c r="P3820" s="62" t="str">
        <f>IF(A3820="","",A3820&amp;"|"&amp;O3820)</f>
        <v/>
      </c>
    </row>
    <row r="3821">
      <c r="A3821" s="60" t="n"/>
      <c r="B3821" s="63" t="n"/>
      <c r="C3821" s="63" t="n"/>
      <c r="D3821" s="67" t="n"/>
      <c r="E3821" s="68" t="n"/>
      <c r="F3821" s="69" t="n"/>
      <c r="G3821" s="70" t="n"/>
      <c r="H3821" s="62" t="str">
        <f>IF(COUNTA(A3821:G3821)=0,"",IF(C3821&lt;&gt;"",C3821,IF(B3821="","",IFERROR(INDEX(pr_des,MATCH(B3821,pr_code,0))&amp;"",""))))</f>
        <v/>
      </c>
      <c r="I3821" s="59" t="str">
        <f>IF(B3821="","",IFERROR(INDEX(pr_unit,MATCH(B3821,pr_code,0))&amp;"",""))</f>
        <v/>
      </c>
      <c r="J3821" s="65" t="str">
        <f>IF(COUNTA(A3821:G3821)=0,"",IF(E3821&lt;&gt;"",E3821,IF(B3821="","",IFERROR(IF(INDEX(pr_price,MATCH(B3821,pr_code,0))="","",INDEX(pr_price,MATCH(B3821,pr_code,0))),""))))</f>
        <v/>
      </c>
      <c r="K3821" s="71" t="str">
        <f>IF(COUNTA(A3821:G3821)=0,"",IF(G3821&lt;&gt;"",G3821,IF(B3821="","",IFERROR(IF(INDEX(pr_rate,MATCH(B3821,pr_code,0))="","",INDEX(pr_rate,MATCH(B3821,pr_code,0))),""))))</f>
        <v/>
      </c>
      <c r="L3821" s="65" t="str">
        <f>IF(COUNTA(A3821:G3821)=0,"",IF(AND(ISNUMBER(D3821),ISNUMBER(J3821)),ROUND(D3821*J3821*(1-N(F3821)),2),0))</f>
        <v/>
      </c>
      <c r="M3821" s="62" t="str">
        <f>IF(A3821="","",IFERROR(INDEX(fa_cname,MATCH(A3821,fa_num,0))&amp;"",""))</f>
        <v/>
      </c>
      <c r="N3821" s="59" t="str">
        <f>IF(COUNTA(A3821:G3821)=0,"",IF(A3821="","N° facture manquant",IF(ISNA(MATCH(A3821,fa_num,0)),"Facture inconnue",IF(AND(B3821&lt;&gt;"",ISNA(MATCH(B3821,pr_code,0))),"Article inconnu",IF(H3821="","Désignation manquante",IF(OR(NOT(ISNUMBER(D3821)),N(D3821)&lt;=0),"Quantité invalide",IF(J3821="","Prix manquant",IF(OR(NOT(ISNUMBER(J3821)),N(J3821)&lt;0),"Prix invalide",IF(OR(AND(F3821&lt;&gt;"",NOT(ISNUMBER(F3821))),N(F3821)&lt;0,N(F3821)&gt;1),"Remise invalide",IF(K3821="","Taux de TVA manquant",IF(NOT(ISNUMBER(K3821)),"Taux de TVA invalide",IF(COUNTIF(p_rates,K3821)=0,"Taux de TVA hors liste (Paramètres)",IF(N(O3821)&gt;25,"Au-delà de 25 lignes : non imprimée","OK")))))))))))))</f>
        <v/>
      </c>
      <c r="O3821" s="59" t="str">
        <f>IF(A3821="","",COUNTIF($A$6:A3821,A3821))</f>
        <v/>
      </c>
      <c r="P3821" s="62" t="str">
        <f>IF(A3821="","",A3821&amp;"|"&amp;O3821)</f>
        <v/>
      </c>
    </row>
    <row r="3822">
      <c r="A3822" s="60" t="n"/>
      <c r="B3822" s="63" t="n"/>
      <c r="C3822" s="63" t="n"/>
      <c r="D3822" s="67" t="n"/>
      <c r="E3822" s="68" t="n"/>
      <c r="F3822" s="69" t="n"/>
      <c r="G3822" s="70" t="n"/>
      <c r="H3822" s="62" t="str">
        <f>IF(COUNTA(A3822:G3822)=0,"",IF(C3822&lt;&gt;"",C3822,IF(B3822="","",IFERROR(INDEX(pr_des,MATCH(B3822,pr_code,0))&amp;"",""))))</f>
        <v/>
      </c>
      <c r="I3822" s="59" t="str">
        <f>IF(B3822="","",IFERROR(INDEX(pr_unit,MATCH(B3822,pr_code,0))&amp;"",""))</f>
        <v/>
      </c>
      <c r="J3822" s="65" t="str">
        <f>IF(COUNTA(A3822:G3822)=0,"",IF(E3822&lt;&gt;"",E3822,IF(B3822="","",IFERROR(IF(INDEX(pr_price,MATCH(B3822,pr_code,0))="","",INDEX(pr_price,MATCH(B3822,pr_code,0))),""))))</f>
        <v/>
      </c>
      <c r="K3822" s="71" t="str">
        <f>IF(COUNTA(A3822:G3822)=0,"",IF(G3822&lt;&gt;"",G3822,IF(B3822="","",IFERROR(IF(INDEX(pr_rate,MATCH(B3822,pr_code,0))="","",INDEX(pr_rate,MATCH(B3822,pr_code,0))),""))))</f>
        <v/>
      </c>
      <c r="L3822" s="65" t="str">
        <f>IF(COUNTA(A3822:G3822)=0,"",IF(AND(ISNUMBER(D3822),ISNUMBER(J3822)),ROUND(D3822*J3822*(1-N(F3822)),2),0))</f>
        <v/>
      </c>
      <c r="M3822" s="62" t="str">
        <f>IF(A3822="","",IFERROR(INDEX(fa_cname,MATCH(A3822,fa_num,0))&amp;"",""))</f>
        <v/>
      </c>
      <c r="N3822" s="59" t="str">
        <f>IF(COUNTA(A3822:G3822)=0,"",IF(A3822="","N° facture manquant",IF(ISNA(MATCH(A3822,fa_num,0)),"Facture inconnue",IF(AND(B3822&lt;&gt;"",ISNA(MATCH(B3822,pr_code,0))),"Article inconnu",IF(H3822="","Désignation manquante",IF(OR(NOT(ISNUMBER(D3822)),N(D3822)&lt;=0),"Quantité invalide",IF(J3822="","Prix manquant",IF(OR(NOT(ISNUMBER(J3822)),N(J3822)&lt;0),"Prix invalide",IF(OR(AND(F3822&lt;&gt;"",NOT(ISNUMBER(F3822))),N(F3822)&lt;0,N(F3822)&gt;1),"Remise invalide",IF(K3822="","Taux de TVA manquant",IF(NOT(ISNUMBER(K3822)),"Taux de TVA invalide",IF(COUNTIF(p_rates,K3822)=0,"Taux de TVA hors liste (Paramètres)",IF(N(O3822)&gt;25,"Au-delà de 25 lignes : non imprimée","OK")))))))))))))</f>
        <v/>
      </c>
      <c r="O3822" s="59" t="str">
        <f>IF(A3822="","",COUNTIF($A$6:A3822,A3822))</f>
        <v/>
      </c>
      <c r="P3822" s="62" t="str">
        <f>IF(A3822="","",A3822&amp;"|"&amp;O3822)</f>
        <v/>
      </c>
    </row>
    <row r="3823">
      <c r="A3823" s="60" t="n"/>
      <c r="B3823" s="63" t="n"/>
      <c r="C3823" s="63" t="n"/>
      <c r="D3823" s="67" t="n"/>
      <c r="E3823" s="68" t="n"/>
      <c r="F3823" s="69" t="n"/>
      <c r="G3823" s="70" t="n"/>
      <c r="H3823" s="62" t="str">
        <f>IF(COUNTA(A3823:G3823)=0,"",IF(C3823&lt;&gt;"",C3823,IF(B3823="","",IFERROR(INDEX(pr_des,MATCH(B3823,pr_code,0))&amp;"",""))))</f>
        <v/>
      </c>
      <c r="I3823" s="59" t="str">
        <f>IF(B3823="","",IFERROR(INDEX(pr_unit,MATCH(B3823,pr_code,0))&amp;"",""))</f>
        <v/>
      </c>
      <c r="J3823" s="65" t="str">
        <f>IF(COUNTA(A3823:G3823)=0,"",IF(E3823&lt;&gt;"",E3823,IF(B3823="","",IFERROR(IF(INDEX(pr_price,MATCH(B3823,pr_code,0))="","",INDEX(pr_price,MATCH(B3823,pr_code,0))),""))))</f>
        <v/>
      </c>
      <c r="K3823" s="71" t="str">
        <f>IF(COUNTA(A3823:G3823)=0,"",IF(G3823&lt;&gt;"",G3823,IF(B3823="","",IFERROR(IF(INDEX(pr_rate,MATCH(B3823,pr_code,0))="","",INDEX(pr_rate,MATCH(B3823,pr_code,0))),""))))</f>
        <v/>
      </c>
      <c r="L3823" s="65" t="str">
        <f>IF(COUNTA(A3823:G3823)=0,"",IF(AND(ISNUMBER(D3823),ISNUMBER(J3823)),ROUND(D3823*J3823*(1-N(F3823)),2),0))</f>
        <v/>
      </c>
      <c r="M3823" s="62" t="str">
        <f>IF(A3823="","",IFERROR(INDEX(fa_cname,MATCH(A3823,fa_num,0))&amp;"",""))</f>
        <v/>
      </c>
      <c r="N3823" s="59" t="str">
        <f>IF(COUNTA(A3823:G3823)=0,"",IF(A3823="","N° facture manquant",IF(ISNA(MATCH(A3823,fa_num,0)),"Facture inconnue",IF(AND(B3823&lt;&gt;"",ISNA(MATCH(B3823,pr_code,0))),"Article inconnu",IF(H3823="","Désignation manquante",IF(OR(NOT(ISNUMBER(D3823)),N(D3823)&lt;=0),"Quantité invalide",IF(J3823="","Prix manquant",IF(OR(NOT(ISNUMBER(J3823)),N(J3823)&lt;0),"Prix invalide",IF(OR(AND(F3823&lt;&gt;"",NOT(ISNUMBER(F3823))),N(F3823)&lt;0,N(F3823)&gt;1),"Remise invalide",IF(K3823="","Taux de TVA manquant",IF(NOT(ISNUMBER(K3823)),"Taux de TVA invalide",IF(COUNTIF(p_rates,K3823)=0,"Taux de TVA hors liste (Paramètres)",IF(N(O3823)&gt;25,"Au-delà de 25 lignes : non imprimée","OK")))))))))))))</f>
        <v/>
      </c>
      <c r="O3823" s="59" t="str">
        <f>IF(A3823="","",COUNTIF($A$6:A3823,A3823))</f>
        <v/>
      </c>
      <c r="P3823" s="62" t="str">
        <f>IF(A3823="","",A3823&amp;"|"&amp;O3823)</f>
        <v/>
      </c>
    </row>
    <row r="3824">
      <c r="A3824" s="60" t="n"/>
      <c r="B3824" s="63" t="n"/>
      <c r="C3824" s="63" t="n"/>
      <c r="D3824" s="67" t="n"/>
      <c r="E3824" s="68" t="n"/>
      <c r="F3824" s="69" t="n"/>
      <c r="G3824" s="70" t="n"/>
      <c r="H3824" s="62" t="str">
        <f>IF(COUNTA(A3824:G3824)=0,"",IF(C3824&lt;&gt;"",C3824,IF(B3824="","",IFERROR(INDEX(pr_des,MATCH(B3824,pr_code,0))&amp;"",""))))</f>
        <v/>
      </c>
      <c r="I3824" s="59" t="str">
        <f>IF(B3824="","",IFERROR(INDEX(pr_unit,MATCH(B3824,pr_code,0))&amp;"",""))</f>
        <v/>
      </c>
      <c r="J3824" s="65" t="str">
        <f>IF(COUNTA(A3824:G3824)=0,"",IF(E3824&lt;&gt;"",E3824,IF(B3824="","",IFERROR(IF(INDEX(pr_price,MATCH(B3824,pr_code,0))="","",INDEX(pr_price,MATCH(B3824,pr_code,0))),""))))</f>
        <v/>
      </c>
      <c r="K3824" s="71" t="str">
        <f>IF(COUNTA(A3824:G3824)=0,"",IF(G3824&lt;&gt;"",G3824,IF(B3824="","",IFERROR(IF(INDEX(pr_rate,MATCH(B3824,pr_code,0))="","",INDEX(pr_rate,MATCH(B3824,pr_code,0))),""))))</f>
        <v/>
      </c>
      <c r="L3824" s="65" t="str">
        <f>IF(COUNTA(A3824:G3824)=0,"",IF(AND(ISNUMBER(D3824),ISNUMBER(J3824)),ROUND(D3824*J3824*(1-N(F3824)),2),0))</f>
        <v/>
      </c>
      <c r="M3824" s="62" t="str">
        <f>IF(A3824="","",IFERROR(INDEX(fa_cname,MATCH(A3824,fa_num,0))&amp;"",""))</f>
        <v/>
      </c>
      <c r="N3824" s="59" t="str">
        <f>IF(COUNTA(A3824:G3824)=0,"",IF(A3824="","N° facture manquant",IF(ISNA(MATCH(A3824,fa_num,0)),"Facture inconnue",IF(AND(B3824&lt;&gt;"",ISNA(MATCH(B3824,pr_code,0))),"Article inconnu",IF(H3824="","Désignation manquante",IF(OR(NOT(ISNUMBER(D3824)),N(D3824)&lt;=0),"Quantité invalide",IF(J3824="","Prix manquant",IF(OR(NOT(ISNUMBER(J3824)),N(J3824)&lt;0),"Prix invalide",IF(OR(AND(F3824&lt;&gt;"",NOT(ISNUMBER(F3824))),N(F3824)&lt;0,N(F3824)&gt;1),"Remise invalide",IF(K3824="","Taux de TVA manquant",IF(NOT(ISNUMBER(K3824)),"Taux de TVA invalide",IF(COUNTIF(p_rates,K3824)=0,"Taux de TVA hors liste (Paramètres)",IF(N(O3824)&gt;25,"Au-delà de 25 lignes : non imprimée","OK")))))))))))))</f>
        <v/>
      </c>
      <c r="O3824" s="59" t="str">
        <f>IF(A3824="","",COUNTIF($A$6:A3824,A3824))</f>
        <v/>
      </c>
      <c r="P3824" s="62" t="str">
        <f>IF(A3824="","",A3824&amp;"|"&amp;O3824)</f>
        <v/>
      </c>
    </row>
    <row r="3825">
      <c r="A3825" s="60" t="n"/>
      <c r="B3825" s="63" t="n"/>
      <c r="C3825" s="63" t="n"/>
      <c r="D3825" s="67" t="n"/>
      <c r="E3825" s="68" t="n"/>
      <c r="F3825" s="69" t="n"/>
      <c r="G3825" s="70" t="n"/>
      <c r="H3825" s="62" t="str">
        <f>IF(COUNTA(A3825:G3825)=0,"",IF(C3825&lt;&gt;"",C3825,IF(B3825="","",IFERROR(INDEX(pr_des,MATCH(B3825,pr_code,0))&amp;"",""))))</f>
        <v/>
      </c>
      <c r="I3825" s="59" t="str">
        <f>IF(B3825="","",IFERROR(INDEX(pr_unit,MATCH(B3825,pr_code,0))&amp;"",""))</f>
        <v/>
      </c>
      <c r="J3825" s="65" t="str">
        <f>IF(COUNTA(A3825:G3825)=0,"",IF(E3825&lt;&gt;"",E3825,IF(B3825="","",IFERROR(IF(INDEX(pr_price,MATCH(B3825,pr_code,0))="","",INDEX(pr_price,MATCH(B3825,pr_code,0))),""))))</f>
        <v/>
      </c>
      <c r="K3825" s="71" t="str">
        <f>IF(COUNTA(A3825:G3825)=0,"",IF(G3825&lt;&gt;"",G3825,IF(B3825="","",IFERROR(IF(INDEX(pr_rate,MATCH(B3825,pr_code,0))="","",INDEX(pr_rate,MATCH(B3825,pr_code,0))),""))))</f>
        <v/>
      </c>
      <c r="L3825" s="65" t="str">
        <f>IF(COUNTA(A3825:G3825)=0,"",IF(AND(ISNUMBER(D3825),ISNUMBER(J3825)),ROUND(D3825*J3825*(1-N(F3825)),2),0))</f>
        <v/>
      </c>
      <c r="M3825" s="62" t="str">
        <f>IF(A3825="","",IFERROR(INDEX(fa_cname,MATCH(A3825,fa_num,0))&amp;"",""))</f>
        <v/>
      </c>
      <c r="N3825" s="59" t="str">
        <f>IF(COUNTA(A3825:G3825)=0,"",IF(A3825="","N° facture manquant",IF(ISNA(MATCH(A3825,fa_num,0)),"Facture inconnue",IF(AND(B3825&lt;&gt;"",ISNA(MATCH(B3825,pr_code,0))),"Article inconnu",IF(H3825="","Désignation manquante",IF(OR(NOT(ISNUMBER(D3825)),N(D3825)&lt;=0),"Quantité invalide",IF(J3825="","Prix manquant",IF(OR(NOT(ISNUMBER(J3825)),N(J3825)&lt;0),"Prix invalide",IF(OR(AND(F3825&lt;&gt;"",NOT(ISNUMBER(F3825))),N(F3825)&lt;0,N(F3825)&gt;1),"Remise invalide",IF(K3825="","Taux de TVA manquant",IF(NOT(ISNUMBER(K3825)),"Taux de TVA invalide",IF(COUNTIF(p_rates,K3825)=0,"Taux de TVA hors liste (Paramètres)",IF(N(O3825)&gt;25,"Au-delà de 25 lignes : non imprimée","OK")))))))))))))</f>
        <v/>
      </c>
      <c r="O3825" s="59" t="str">
        <f>IF(A3825="","",COUNTIF($A$6:A3825,A3825))</f>
        <v/>
      </c>
      <c r="P3825" s="62" t="str">
        <f>IF(A3825="","",A3825&amp;"|"&amp;O3825)</f>
        <v/>
      </c>
    </row>
    <row r="3826">
      <c r="A3826" s="60" t="n"/>
      <c r="B3826" s="63" t="n"/>
      <c r="C3826" s="63" t="n"/>
      <c r="D3826" s="67" t="n"/>
      <c r="E3826" s="68" t="n"/>
      <c r="F3826" s="69" t="n"/>
      <c r="G3826" s="70" t="n"/>
      <c r="H3826" s="62" t="str">
        <f>IF(COUNTA(A3826:G3826)=0,"",IF(C3826&lt;&gt;"",C3826,IF(B3826="","",IFERROR(INDEX(pr_des,MATCH(B3826,pr_code,0))&amp;"",""))))</f>
        <v/>
      </c>
      <c r="I3826" s="59" t="str">
        <f>IF(B3826="","",IFERROR(INDEX(pr_unit,MATCH(B3826,pr_code,0))&amp;"",""))</f>
        <v/>
      </c>
      <c r="J3826" s="65" t="str">
        <f>IF(COUNTA(A3826:G3826)=0,"",IF(E3826&lt;&gt;"",E3826,IF(B3826="","",IFERROR(IF(INDEX(pr_price,MATCH(B3826,pr_code,0))="","",INDEX(pr_price,MATCH(B3826,pr_code,0))),""))))</f>
        <v/>
      </c>
      <c r="K3826" s="71" t="str">
        <f>IF(COUNTA(A3826:G3826)=0,"",IF(G3826&lt;&gt;"",G3826,IF(B3826="","",IFERROR(IF(INDEX(pr_rate,MATCH(B3826,pr_code,0))="","",INDEX(pr_rate,MATCH(B3826,pr_code,0))),""))))</f>
        <v/>
      </c>
      <c r="L3826" s="65" t="str">
        <f>IF(COUNTA(A3826:G3826)=0,"",IF(AND(ISNUMBER(D3826),ISNUMBER(J3826)),ROUND(D3826*J3826*(1-N(F3826)),2),0))</f>
        <v/>
      </c>
      <c r="M3826" s="62" t="str">
        <f>IF(A3826="","",IFERROR(INDEX(fa_cname,MATCH(A3826,fa_num,0))&amp;"",""))</f>
        <v/>
      </c>
      <c r="N3826" s="59" t="str">
        <f>IF(COUNTA(A3826:G3826)=0,"",IF(A3826="","N° facture manquant",IF(ISNA(MATCH(A3826,fa_num,0)),"Facture inconnue",IF(AND(B3826&lt;&gt;"",ISNA(MATCH(B3826,pr_code,0))),"Article inconnu",IF(H3826="","Désignation manquante",IF(OR(NOT(ISNUMBER(D3826)),N(D3826)&lt;=0),"Quantité invalide",IF(J3826="","Prix manquant",IF(OR(NOT(ISNUMBER(J3826)),N(J3826)&lt;0),"Prix invalide",IF(OR(AND(F3826&lt;&gt;"",NOT(ISNUMBER(F3826))),N(F3826)&lt;0,N(F3826)&gt;1),"Remise invalide",IF(K3826="","Taux de TVA manquant",IF(NOT(ISNUMBER(K3826)),"Taux de TVA invalide",IF(COUNTIF(p_rates,K3826)=0,"Taux de TVA hors liste (Paramètres)",IF(N(O3826)&gt;25,"Au-delà de 25 lignes : non imprimée","OK")))))))))))))</f>
        <v/>
      </c>
      <c r="O3826" s="59" t="str">
        <f>IF(A3826="","",COUNTIF($A$6:A3826,A3826))</f>
        <v/>
      </c>
      <c r="P3826" s="62" t="str">
        <f>IF(A3826="","",A3826&amp;"|"&amp;O3826)</f>
        <v/>
      </c>
    </row>
    <row r="3827">
      <c r="A3827" s="60" t="n"/>
      <c r="B3827" s="63" t="n"/>
      <c r="C3827" s="63" t="n"/>
      <c r="D3827" s="67" t="n"/>
      <c r="E3827" s="68" t="n"/>
      <c r="F3827" s="69" t="n"/>
      <c r="G3827" s="70" t="n"/>
      <c r="H3827" s="62" t="str">
        <f>IF(COUNTA(A3827:G3827)=0,"",IF(C3827&lt;&gt;"",C3827,IF(B3827="","",IFERROR(INDEX(pr_des,MATCH(B3827,pr_code,0))&amp;"",""))))</f>
        <v/>
      </c>
      <c r="I3827" s="59" t="str">
        <f>IF(B3827="","",IFERROR(INDEX(pr_unit,MATCH(B3827,pr_code,0))&amp;"",""))</f>
        <v/>
      </c>
      <c r="J3827" s="65" t="str">
        <f>IF(COUNTA(A3827:G3827)=0,"",IF(E3827&lt;&gt;"",E3827,IF(B3827="","",IFERROR(IF(INDEX(pr_price,MATCH(B3827,pr_code,0))="","",INDEX(pr_price,MATCH(B3827,pr_code,0))),""))))</f>
        <v/>
      </c>
      <c r="K3827" s="71" t="str">
        <f>IF(COUNTA(A3827:G3827)=0,"",IF(G3827&lt;&gt;"",G3827,IF(B3827="","",IFERROR(IF(INDEX(pr_rate,MATCH(B3827,pr_code,0))="","",INDEX(pr_rate,MATCH(B3827,pr_code,0))),""))))</f>
        <v/>
      </c>
      <c r="L3827" s="65" t="str">
        <f>IF(COUNTA(A3827:G3827)=0,"",IF(AND(ISNUMBER(D3827),ISNUMBER(J3827)),ROUND(D3827*J3827*(1-N(F3827)),2),0))</f>
        <v/>
      </c>
      <c r="M3827" s="62" t="str">
        <f>IF(A3827="","",IFERROR(INDEX(fa_cname,MATCH(A3827,fa_num,0))&amp;"",""))</f>
        <v/>
      </c>
      <c r="N3827" s="59" t="str">
        <f>IF(COUNTA(A3827:G3827)=0,"",IF(A3827="","N° facture manquant",IF(ISNA(MATCH(A3827,fa_num,0)),"Facture inconnue",IF(AND(B3827&lt;&gt;"",ISNA(MATCH(B3827,pr_code,0))),"Article inconnu",IF(H3827="","Désignation manquante",IF(OR(NOT(ISNUMBER(D3827)),N(D3827)&lt;=0),"Quantité invalide",IF(J3827="","Prix manquant",IF(OR(NOT(ISNUMBER(J3827)),N(J3827)&lt;0),"Prix invalide",IF(OR(AND(F3827&lt;&gt;"",NOT(ISNUMBER(F3827))),N(F3827)&lt;0,N(F3827)&gt;1),"Remise invalide",IF(K3827="","Taux de TVA manquant",IF(NOT(ISNUMBER(K3827)),"Taux de TVA invalide",IF(COUNTIF(p_rates,K3827)=0,"Taux de TVA hors liste (Paramètres)",IF(N(O3827)&gt;25,"Au-delà de 25 lignes : non imprimée","OK")))))))))))))</f>
        <v/>
      </c>
      <c r="O3827" s="59" t="str">
        <f>IF(A3827="","",COUNTIF($A$6:A3827,A3827))</f>
        <v/>
      </c>
      <c r="P3827" s="62" t="str">
        <f>IF(A3827="","",A3827&amp;"|"&amp;O3827)</f>
        <v/>
      </c>
    </row>
    <row r="3828">
      <c r="A3828" s="60" t="n"/>
      <c r="B3828" s="63" t="n"/>
      <c r="C3828" s="63" t="n"/>
      <c r="D3828" s="67" t="n"/>
      <c r="E3828" s="68" t="n"/>
      <c r="F3828" s="69" t="n"/>
      <c r="G3828" s="70" t="n"/>
      <c r="H3828" s="62" t="str">
        <f>IF(COUNTA(A3828:G3828)=0,"",IF(C3828&lt;&gt;"",C3828,IF(B3828="","",IFERROR(INDEX(pr_des,MATCH(B3828,pr_code,0))&amp;"",""))))</f>
        <v/>
      </c>
      <c r="I3828" s="59" t="str">
        <f>IF(B3828="","",IFERROR(INDEX(pr_unit,MATCH(B3828,pr_code,0))&amp;"",""))</f>
        <v/>
      </c>
      <c r="J3828" s="65" t="str">
        <f>IF(COUNTA(A3828:G3828)=0,"",IF(E3828&lt;&gt;"",E3828,IF(B3828="","",IFERROR(IF(INDEX(pr_price,MATCH(B3828,pr_code,0))="","",INDEX(pr_price,MATCH(B3828,pr_code,0))),""))))</f>
        <v/>
      </c>
      <c r="K3828" s="71" t="str">
        <f>IF(COUNTA(A3828:G3828)=0,"",IF(G3828&lt;&gt;"",G3828,IF(B3828="","",IFERROR(IF(INDEX(pr_rate,MATCH(B3828,pr_code,0))="","",INDEX(pr_rate,MATCH(B3828,pr_code,0))),""))))</f>
        <v/>
      </c>
      <c r="L3828" s="65" t="str">
        <f>IF(COUNTA(A3828:G3828)=0,"",IF(AND(ISNUMBER(D3828),ISNUMBER(J3828)),ROUND(D3828*J3828*(1-N(F3828)),2),0))</f>
        <v/>
      </c>
      <c r="M3828" s="62" t="str">
        <f>IF(A3828="","",IFERROR(INDEX(fa_cname,MATCH(A3828,fa_num,0))&amp;"",""))</f>
        <v/>
      </c>
      <c r="N3828" s="59" t="str">
        <f>IF(COUNTA(A3828:G3828)=0,"",IF(A3828="","N° facture manquant",IF(ISNA(MATCH(A3828,fa_num,0)),"Facture inconnue",IF(AND(B3828&lt;&gt;"",ISNA(MATCH(B3828,pr_code,0))),"Article inconnu",IF(H3828="","Désignation manquante",IF(OR(NOT(ISNUMBER(D3828)),N(D3828)&lt;=0),"Quantité invalide",IF(J3828="","Prix manquant",IF(OR(NOT(ISNUMBER(J3828)),N(J3828)&lt;0),"Prix invalide",IF(OR(AND(F3828&lt;&gt;"",NOT(ISNUMBER(F3828))),N(F3828)&lt;0,N(F3828)&gt;1),"Remise invalide",IF(K3828="","Taux de TVA manquant",IF(NOT(ISNUMBER(K3828)),"Taux de TVA invalide",IF(COUNTIF(p_rates,K3828)=0,"Taux de TVA hors liste (Paramètres)",IF(N(O3828)&gt;25,"Au-delà de 25 lignes : non imprimée","OK")))))))))))))</f>
        <v/>
      </c>
      <c r="O3828" s="59" t="str">
        <f>IF(A3828="","",COUNTIF($A$6:A3828,A3828))</f>
        <v/>
      </c>
      <c r="P3828" s="62" t="str">
        <f>IF(A3828="","",A3828&amp;"|"&amp;O3828)</f>
        <v/>
      </c>
    </row>
    <row r="3829">
      <c r="A3829" s="60" t="n"/>
      <c r="B3829" s="63" t="n"/>
      <c r="C3829" s="63" t="n"/>
      <c r="D3829" s="67" t="n"/>
      <c r="E3829" s="68" t="n"/>
      <c r="F3829" s="69" t="n"/>
      <c r="G3829" s="70" t="n"/>
      <c r="H3829" s="62" t="str">
        <f>IF(COUNTA(A3829:G3829)=0,"",IF(C3829&lt;&gt;"",C3829,IF(B3829="","",IFERROR(INDEX(pr_des,MATCH(B3829,pr_code,0))&amp;"",""))))</f>
        <v/>
      </c>
      <c r="I3829" s="59" t="str">
        <f>IF(B3829="","",IFERROR(INDEX(pr_unit,MATCH(B3829,pr_code,0))&amp;"",""))</f>
        <v/>
      </c>
      <c r="J3829" s="65" t="str">
        <f>IF(COUNTA(A3829:G3829)=0,"",IF(E3829&lt;&gt;"",E3829,IF(B3829="","",IFERROR(IF(INDEX(pr_price,MATCH(B3829,pr_code,0))="","",INDEX(pr_price,MATCH(B3829,pr_code,0))),""))))</f>
        <v/>
      </c>
      <c r="K3829" s="71" t="str">
        <f>IF(COUNTA(A3829:G3829)=0,"",IF(G3829&lt;&gt;"",G3829,IF(B3829="","",IFERROR(IF(INDEX(pr_rate,MATCH(B3829,pr_code,0))="","",INDEX(pr_rate,MATCH(B3829,pr_code,0))),""))))</f>
        <v/>
      </c>
      <c r="L3829" s="65" t="str">
        <f>IF(COUNTA(A3829:G3829)=0,"",IF(AND(ISNUMBER(D3829),ISNUMBER(J3829)),ROUND(D3829*J3829*(1-N(F3829)),2),0))</f>
        <v/>
      </c>
      <c r="M3829" s="62" t="str">
        <f>IF(A3829="","",IFERROR(INDEX(fa_cname,MATCH(A3829,fa_num,0))&amp;"",""))</f>
        <v/>
      </c>
      <c r="N3829" s="59" t="str">
        <f>IF(COUNTA(A3829:G3829)=0,"",IF(A3829="","N° facture manquant",IF(ISNA(MATCH(A3829,fa_num,0)),"Facture inconnue",IF(AND(B3829&lt;&gt;"",ISNA(MATCH(B3829,pr_code,0))),"Article inconnu",IF(H3829="","Désignation manquante",IF(OR(NOT(ISNUMBER(D3829)),N(D3829)&lt;=0),"Quantité invalide",IF(J3829="","Prix manquant",IF(OR(NOT(ISNUMBER(J3829)),N(J3829)&lt;0),"Prix invalide",IF(OR(AND(F3829&lt;&gt;"",NOT(ISNUMBER(F3829))),N(F3829)&lt;0,N(F3829)&gt;1),"Remise invalide",IF(K3829="","Taux de TVA manquant",IF(NOT(ISNUMBER(K3829)),"Taux de TVA invalide",IF(COUNTIF(p_rates,K3829)=0,"Taux de TVA hors liste (Paramètres)",IF(N(O3829)&gt;25,"Au-delà de 25 lignes : non imprimée","OK")))))))))))))</f>
        <v/>
      </c>
      <c r="O3829" s="59" t="str">
        <f>IF(A3829="","",COUNTIF($A$6:A3829,A3829))</f>
        <v/>
      </c>
      <c r="P3829" s="62" t="str">
        <f>IF(A3829="","",A3829&amp;"|"&amp;O3829)</f>
        <v/>
      </c>
    </row>
    <row r="3830">
      <c r="A3830" s="60" t="n"/>
      <c r="B3830" s="63" t="n"/>
      <c r="C3830" s="63" t="n"/>
      <c r="D3830" s="67" t="n"/>
      <c r="E3830" s="68" t="n"/>
      <c r="F3830" s="69" t="n"/>
      <c r="G3830" s="70" t="n"/>
      <c r="H3830" s="62" t="str">
        <f>IF(COUNTA(A3830:G3830)=0,"",IF(C3830&lt;&gt;"",C3830,IF(B3830="","",IFERROR(INDEX(pr_des,MATCH(B3830,pr_code,0))&amp;"",""))))</f>
        <v/>
      </c>
      <c r="I3830" s="59" t="str">
        <f>IF(B3830="","",IFERROR(INDEX(pr_unit,MATCH(B3830,pr_code,0))&amp;"",""))</f>
        <v/>
      </c>
      <c r="J3830" s="65" t="str">
        <f>IF(COUNTA(A3830:G3830)=0,"",IF(E3830&lt;&gt;"",E3830,IF(B3830="","",IFERROR(IF(INDEX(pr_price,MATCH(B3830,pr_code,0))="","",INDEX(pr_price,MATCH(B3830,pr_code,0))),""))))</f>
        <v/>
      </c>
      <c r="K3830" s="71" t="str">
        <f>IF(COUNTA(A3830:G3830)=0,"",IF(G3830&lt;&gt;"",G3830,IF(B3830="","",IFERROR(IF(INDEX(pr_rate,MATCH(B3830,pr_code,0))="","",INDEX(pr_rate,MATCH(B3830,pr_code,0))),""))))</f>
        <v/>
      </c>
      <c r="L3830" s="65" t="str">
        <f>IF(COUNTA(A3830:G3830)=0,"",IF(AND(ISNUMBER(D3830),ISNUMBER(J3830)),ROUND(D3830*J3830*(1-N(F3830)),2),0))</f>
        <v/>
      </c>
      <c r="M3830" s="62" t="str">
        <f>IF(A3830="","",IFERROR(INDEX(fa_cname,MATCH(A3830,fa_num,0))&amp;"",""))</f>
        <v/>
      </c>
      <c r="N3830" s="59" t="str">
        <f>IF(COUNTA(A3830:G3830)=0,"",IF(A3830="","N° facture manquant",IF(ISNA(MATCH(A3830,fa_num,0)),"Facture inconnue",IF(AND(B3830&lt;&gt;"",ISNA(MATCH(B3830,pr_code,0))),"Article inconnu",IF(H3830="","Désignation manquante",IF(OR(NOT(ISNUMBER(D3830)),N(D3830)&lt;=0),"Quantité invalide",IF(J3830="","Prix manquant",IF(OR(NOT(ISNUMBER(J3830)),N(J3830)&lt;0),"Prix invalide",IF(OR(AND(F3830&lt;&gt;"",NOT(ISNUMBER(F3830))),N(F3830)&lt;0,N(F3830)&gt;1),"Remise invalide",IF(K3830="","Taux de TVA manquant",IF(NOT(ISNUMBER(K3830)),"Taux de TVA invalide",IF(COUNTIF(p_rates,K3830)=0,"Taux de TVA hors liste (Paramètres)",IF(N(O3830)&gt;25,"Au-delà de 25 lignes : non imprimée","OK")))))))))))))</f>
        <v/>
      </c>
      <c r="O3830" s="59" t="str">
        <f>IF(A3830="","",COUNTIF($A$6:A3830,A3830))</f>
        <v/>
      </c>
      <c r="P3830" s="62" t="str">
        <f>IF(A3830="","",A3830&amp;"|"&amp;O3830)</f>
        <v/>
      </c>
    </row>
    <row r="3831">
      <c r="A3831" s="60" t="n"/>
      <c r="B3831" s="63" t="n"/>
      <c r="C3831" s="63" t="n"/>
      <c r="D3831" s="67" t="n"/>
      <c r="E3831" s="68" t="n"/>
      <c r="F3831" s="69" t="n"/>
      <c r="G3831" s="70" t="n"/>
      <c r="H3831" s="62" t="str">
        <f>IF(COUNTA(A3831:G3831)=0,"",IF(C3831&lt;&gt;"",C3831,IF(B3831="","",IFERROR(INDEX(pr_des,MATCH(B3831,pr_code,0))&amp;"",""))))</f>
        <v/>
      </c>
      <c r="I3831" s="59" t="str">
        <f>IF(B3831="","",IFERROR(INDEX(pr_unit,MATCH(B3831,pr_code,0))&amp;"",""))</f>
        <v/>
      </c>
      <c r="J3831" s="65" t="str">
        <f>IF(COUNTA(A3831:G3831)=0,"",IF(E3831&lt;&gt;"",E3831,IF(B3831="","",IFERROR(IF(INDEX(pr_price,MATCH(B3831,pr_code,0))="","",INDEX(pr_price,MATCH(B3831,pr_code,0))),""))))</f>
        <v/>
      </c>
      <c r="K3831" s="71" t="str">
        <f>IF(COUNTA(A3831:G3831)=0,"",IF(G3831&lt;&gt;"",G3831,IF(B3831="","",IFERROR(IF(INDEX(pr_rate,MATCH(B3831,pr_code,0))="","",INDEX(pr_rate,MATCH(B3831,pr_code,0))),""))))</f>
        <v/>
      </c>
      <c r="L3831" s="65" t="str">
        <f>IF(COUNTA(A3831:G3831)=0,"",IF(AND(ISNUMBER(D3831),ISNUMBER(J3831)),ROUND(D3831*J3831*(1-N(F3831)),2),0))</f>
        <v/>
      </c>
      <c r="M3831" s="62" t="str">
        <f>IF(A3831="","",IFERROR(INDEX(fa_cname,MATCH(A3831,fa_num,0))&amp;"",""))</f>
        <v/>
      </c>
      <c r="N3831" s="59" t="str">
        <f>IF(COUNTA(A3831:G3831)=0,"",IF(A3831="","N° facture manquant",IF(ISNA(MATCH(A3831,fa_num,0)),"Facture inconnue",IF(AND(B3831&lt;&gt;"",ISNA(MATCH(B3831,pr_code,0))),"Article inconnu",IF(H3831="","Désignation manquante",IF(OR(NOT(ISNUMBER(D3831)),N(D3831)&lt;=0),"Quantité invalide",IF(J3831="","Prix manquant",IF(OR(NOT(ISNUMBER(J3831)),N(J3831)&lt;0),"Prix invalide",IF(OR(AND(F3831&lt;&gt;"",NOT(ISNUMBER(F3831))),N(F3831)&lt;0,N(F3831)&gt;1),"Remise invalide",IF(K3831="","Taux de TVA manquant",IF(NOT(ISNUMBER(K3831)),"Taux de TVA invalide",IF(COUNTIF(p_rates,K3831)=0,"Taux de TVA hors liste (Paramètres)",IF(N(O3831)&gt;25,"Au-delà de 25 lignes : non imprimée","OK")))))))))))))</f>
        <v/>
      </c>
      <c r="O3831" s="59" t="str">
        <f>IF(A3831="","",COUNTIF($A$6:A3831,A3831))</f>
        <v/>
      </c>
      <c r="P3831" s="62" t="str">
        <f>IF(A3831="","",A3831&amp;"|"&amp;O3831)</f>
        <v/>
      </c>
    </row>
    <row r="3832">
      <c r="A3832" s="60" t="n"/>
      <c r="B3832" s="63" t="n"/>
      <c r="C3832" s="63" t="n"/>
      <c r="D3832" s="67" t="n"/>
      <c r="E3832" s="68" t="n"/>
      <c r="F3832" s="69" t="n"/>
      <c r="G3832" s="70" t="n"/>
      <c r="H3832" s="62" t="str">
        <f>IF(COUNTA(A3832:G3832)=0,"",IF(C3832&lt;&gt;"",C3832,IF(B3832="","",IFERROR(INDEX(pr_des,MATCH(B3832,pr_code,0))&amp;"",""))))</f>
        <v/>
      </c>
      <c r="I3832" s="59" t="str">
        <f>IF(B3832="","",IFERROR(INDEX(pr_unit,MATCH(B3832,pr_code,0))&amp;"",""))</f>
        <v/>
      </c>
      <c r="J3832" s="65" t="str">
        <f>IF(COUNTA(A3832:G3832)=0,"",IF(E3832&lt;&gt;"",E3832,IF(B3832="","",IFERROR(IF(INDEX(pr_price,MATCH(B3832,pr_code,0))="","",INDEX(pr_price,MATCH(B3832,pr_code,0))),""))))</f>
        <v/>
      </c>
      <c r="K3832" s="71" t="str">
        <f>IF(COUNTA(A3832:G3832)=0,"",IF(G3832&lt;&gt;"",G3832,IF(B3832="","",IFERROR(IF(INDEX(pr_rate,MATCH(B3832,pr_code,0))="","",INDEX(pr_rate,MATCH(B3832,pr_code,0))),""))))</f>
        <v/>
      </c>
      <c r="L3832" s="65" t="str">
        <f>IF(COUNTA(A3832:G3832)=0,"",IF(AND(ISNUMBER(D3832),ISNUMBER(J3832)),ROUND(D3832*J3832*(1-N(F3832)),2),0))</f>
        <v/>
      </c>
      <c r="M3832" s="62" t="str">
        <f>IF(A3832="","",IFERROR(INDEX(fa_cname,MATCH(A3832,fa_num,0))&amp;"",""))</f>
        <v/>
      </c>
      <c r="N3832" s="59" t="str">
        <f>IF(COUNTA(A3832:G3832)=0,"",IF(A3832="","N° facture manquant",IF(ISNA(MATCH(A3832,fa_num,0)),"Facture inconnue",IF(AND(B3832&lt;&gt;"",ISNA(MATCH(B3832,pr_code,0))),"Article inconnu",IF(H3832="","Désignation manquante",IF(OR(NOT(ISNUMBER(D3832)),N(D3832)&lt;=0),"Quantité invalide",IF(J3832="","Prix manquant",IF(OR(NOT(ISNUMBER(J3832)),N(J3832)&lt;0),"Prix invalide",IF(OR(AND(F3832&lt;&gt;"",NOT(ISNUMBER(F3832))),N(F3832)&lt;0,N(F3832)&gt;1),"Remise invalide",IF(K3832="","Taux de TVA manquant",IF(NOT(ISNUMBER(K3832)),"Taux de TVA invalide",IF(COUNTIF(p_rates,K3832)=0,"Taux de TVA hors liste (Paramètres)",IF(N(O3832)&gt;25,"Au-delà de 25 lignes : non imprimée","OK")))))))))))))</f>
        <v/>
      </c>
      <c r="O3832" s="59" t="str">
        <f>IF(A3832="","",COUNTIF($A$6:A3832,A3832))</f>
        <v/>
      </c>
      <c r="P3832" s="62" t="str">
        <f>IF(A3832="","",A3832&amp;"|"&amp;O3832)</f>
        <v/>
      </c>
    </row>
    <row r="3833">
      <c r="A3833" s="60" t="n"/>
      <c r="B3833" s="63" t="n"/>
      <c r="C3833" s="63" t="n"/>
      <c r="D3833" s="67" t="n"/>
      <c r="E3833" s="68" t="n"/>
      <c r="F3833" s="69" t="n"/>
      <c r="G3833" s="70" t="n"/>
      <c r="H3833" s="62" t="str">
        <f>IF(COUNTA(A3833:G3833)=0,"",IF(C3833&lt;&gt;"",C3833,IF(B3833="","",IFERROR(INDEX(pr_des,MATCH(B3833,pr_code,0))&amp;"",""))))</f>
        <v/>
      </c>
      <c r="I3833" s="59" t="str">
        <f>IF(B3833="","",IFERROR(INDEX(pr_unit,MATCH(B3833,pr_code,0))&amp;"",""))</f>
        <v/>
      </c>
      <c r="J3833" s="65" t="str">
        <f>IF(COUNTA(A3833:G3833)=0,"",IF(E3833&lt;&gt;"",E3833,IF(B3833="","",IFERROR(IF(INDEX(pr_price,MATCH(B3833,pr_code,0))="","",INDEX(pr_price,MATCH(B3833,pr_code,0))),""))))</f>
        <v/>
      </c>
      <c r="K3833" s="71" t="str">
        <f>IF(COUNTA(A3833:G3833)=0,"",IF(G3833&lt;&gt;"",G3833,IF(B3833="","",IFERROR(IF(INDEX(pr_rate,MATCH(B3833,pr_code,0))="","",INDEX(pr_rate,MATCH(B3833,pr_code,0))),""))))</f>
        <v/>
      </c>
      <c r="L3833" s="65" t="str">
        <f>IF(COUNTA(A3833:G3833)=0,"",IF(AND(ISNUMBER(D3833),ISNUMBER(J3833)),ROUND(D3833*J3833*(1-N(F3833)),2),0))</f>
        <v/>
      </c>
      <c r="M3833" s="62" t="str">
        <f>IF(A3833="","",IFERROR(INDEX(fa_cname,MATCH(A3833,fa_num,0))&amp;"",""))</f>
        <v/>
      </c>
      <c r="N3833" s="59" t="str">
        <f>IF(COUNTA(A3833:G3833)=0,"",IF(A3833="","N° facture manquant",IF(ISNA(MATCH(A3833,fa_num,0)),"Facture inconnue",IF(AND(B3833&lt;&gt;"",ISNA(MATCH(B3833,pr_code,0))),"Article inconnu",IF(H3833="","Désignation manquante",IF(OR(NOT(ISNUMBER(D3833)),N(D3833)&lt;=0),"Quantité invalide",IF(J3833="","Prix manquant",IF(OR(NOT(ISNUMBER(J3833)),N(J3833)&lt;0),"Prix invalide",IF(OR(AND(F3833&lt;&gt;"",NOT(ISNUMBER(F3833))),N(F3833)&lt;0,N(F3833)&gt;1),"Remise invalide",IF(K3833="","Taux de TVA manquant",IF(NOT(ISNUMBER(K3833)),"Taux de TVA invalide",IF(COUNTIF(p_rates,K3833)=0,"Taux de TVA hors liste (Paramètres)",IF(N(O3833)&gt;25,"Au-delà de 25 lignes : non imprimée","OK")))))))))))))</f>
        <v/>
      </c>
      <c r="O3833" s="59" t="str">
        <f>IF(A3833="","",COUNTIF($A$6:A3833,A3833))</f>
        <v/>
      </c>
      <c r="P3833" s="62" t="str">
        <f>IF(A3833="","",A3833&amp;"|"&amp;O3833)</f>
        <v/>
      </c>
    </row>
    <row r="3834">
      <c r="A3834" s="60" t="n"/>
      <c r="B3834" s="63" t="n"/>
      <c r="C3834" s="63" t="n"/>
      <c r="D3834" s="67" t="n"/>
      <c r="E3834" s="68" t="n"/>
      <c r="F3834" s="69" t="n"/>
      <c r="G3834" s="70" t="n"/>
      <c r="H3834" s="62" t="str">
        <f>IF(COUNTA(A3834:G3834)=0,"",IF(C3834&lt;&gt;"",C3834,IF(B3834="","",IFERROR(INDEX(pr_des,MATCH(B3834,pr_code,0))&amp;"",""))))</f>
        <v/>
      </c>
      <c r="I3834" s="59" t="str">
        <f>IF(B3834="","",IFERROR(INDEX(pr_unit,MATCH(B3834,pr_code,0))&amp;"",""))</f>
        <v/>
      </c>
      <c r="J3834" s="65" t="str">
        <f>IF(COUNTA(A3834:G3834)=0,"",IF(E3834&lt;&gt;"",E3834,IF(B3834="","",IFERROR(IF(INDEX(pr_price,MATCH(B3834,pr_code,0))="","",INDEX(pr_price,MATCH(B3834,pr_code,0))),""))))</f>
        <v/>
      </c>
      <c r="K3834" s="71" t="str">
        <f>IF(COUNTA(A3834:G3834)=0,"",IF(G3834&lt;&gt;"",G3834,IF(B3834="","",IFERROR(IF(INDEX(pr_rate,MATCH(B3834,pr_code,0))="","",INDEX(pr_rate,MATCH(B3834,pr_code,0))),""))))</f>
        <v/>
      </c>
      <c r="L3834" s="65" t="str">
        <f>IF(COUNTA(A3834:G3834)=0,"",IF(AND(ISNUMBER(D3834),ISNUMBER(J3834)),ROUND(D3834*J3834*(1-N(F3834)),2),0))</f>
        <v/>
      </c>
      <c r="M3834" s="62" t="str">
        <f>IF(A3834="","",IFERROR(INDEX(fa_cname,MATCH(A3834,fa_num,0))&amp;"",""))</f>
        <v/>
      </c>
      <c r="N3834" s="59" t="str">
        <f>IF(COUNTA(A3834:G3834)=0,"",IF(A3834="","N° facture manquant",IF(ISNA(MATCH(A3834,fa_num,0)),"Facture inconnue",IF(AND(B3834&lt;&gt;"",ISNA(MATCH(B3834,pr_code,0))),"Article inconnu",IF(H3834="","Désignation manquante",IF(OR(NOT(ISNUMBER(D3834)),N(D3834)&lt;=0),"Quantité invalide",IF(J3834="","Prix manquant",IF(OR(NOT(ISNUMBER(J3834)),N(J3834)&lt;0),"Prix invalide",IF(OR(AND(F3834&lt;&gt;"",NOT(ISNUMBER(F3834))),N(F3834)&lt;0,N(F3834)&gt;1),"Remise invalide",IF(K3834="","Taux de TVA manquant",IF(NOT(ISNUMBER(K3834)),"Taux de TVA invalide",IF(COUNTIF(p_rates,K3834)=0,"Taux de TVA hors liste (Paramètres)",IF(N(O3834)&gt;25,"Au-delà de 25 lignes : non imprimée","OK")))))))))))))</f>
        <v/>
      </c>
      <c r="O3834" s="59" t="str">
        <f>IF(A3834="","",COUNTIF($A$6:A3834,A3834))</f>
        <v/>
      </c>
      <c r="P3834" s="62" t="str">
        <f>IF(A3834="","",A3834&amp;"|"&amp;O3834)</f>
        <v/>
      </c>
    </row>
    <row r="3835">
      <c r="A3835" s="60" t="n"/>
      <c r="B3835" s="63" t="n"/>
      <c r="C3835" s="63" t="n"/>
      <c r="D3835" s="67" t="n"/>
      <c r="E3835" s="68" t="n"/>
      <c r="F3835" s="69" t="n"/>
      <c r="G3835" s="70" t="n"/>
      <c r="H3835" s="62" t="str">
        <f>IF(COUNTA(A3835:G3835)=0,"",IF(C3835&lt;&gt;"",C3835,IF(B3835="","",IFERROR(INDEX(pr_des,MATCH(B3835,pr_code,0))&amp;"",""))))</f>
        <v/>
      </c>
      <c r="I3835" s="59" t="str">
        <f>IF(B3835="","",IFERROR(INDEX(pr_unit,MATCH(B3835,pr_code,0))&amp;"",""))</f>
        <v/>
      </c>
      <c r="J3835" s="65" t="str">
        <f>IF(COUNTA(A3835:G3835)=0,"",IF(E3835&lt;&gt;"",E3835,IF(B3835="","",IFERROR(IF(INDEX(pr_price,MATCH(B3835,pr_code,0))="","",INDEX(pr_price,MATCH(B3835,pr_code,0))),""))))</f>
        <v/>
      </c>
      <c r="K3835" s="71" t="str">
        <f>IF(COUNTA(A3835:G3835)=0,"",IF(G3835&lt;&gt;"",G3835,IF(B3835="","",IFERROR(IF(INDEX(pr_rate,MATCH(B3835,pr_code,0))="","",INDEX(pr_rate,MATCH(B3835,pr_code,0))),""))))</f>
        <v/>
      </c>
      <c r="L3835" s="65" t="str">
        <f>IF(COUNTA(A3835:G3835)=0,"",IF(AND(ISNUMBER(D3835),ISNUMBER(J3835)),ROUND(D3835*J3835*(1-N(F3835)),2),0))</f>
        <v/>
      </c>
      <c r="M3835" s="62" t="str">
        <f>IF(A3835="","",IFERROR(INDEX(fa_cname,MATCH(A3835,fa_num,0))&amp;"",""))</f>
        <v/>
      </c>
      <c r="N3835" s="59" t="str">
        <f>IF(COUNTA(A3835:G3835)=0,"",IF(A3835="","N° facture manquant",IF(ISNA(MATCH(A3835,fa_num,0)),"Facture inconnue",IF(AND(B3835&lt;&gt;"",ISNA(MATCH(B3835,pr_code,0))),"Article inconnu",IF(H3835="","Désignation manquante",IF(OR(NOT(ISNUMBER(D3835)),N(D3835)&lt;=0),"Quantité invalide",IF(J3835="","Prix manquant",IF(OR(NOT(ISNUMBER(J3835)),N(J3835)&lt;0),"Prix invalide",IF(OR(AND(F3835&lt;&gt;"",NOT(ISNUMBER(F3835))),N(F3835)&lt;0,N(F3835)&gt;1),"Remise invalide",IF(K3835="","Taux de TVA manquant",IF(NOT(ISNUMBER(K3835)),"Taux de TVA invalide",IF(COUNTIF(p_rates,K3835)=0,"Taux de TVA hors liste (Paramètres)",IF(N(O3835)&gt;25,"Au-delà de 25 lignes : non imprimée","OK")))))))))))))</f>
        <v/>
      </c>
      <c r="O3835" s="59" t="str">
        <f>IF(A3835="","",COUNTIF($A$6:A3835,A3835))</f>
        <v/>
      </c>
      <c r="P3835" s="62" t="str">
        <f>IF(A3835="","",A3835&amp;"|"&amp;O3835)</f>
        <v/>
      </c>
    </row>
    <row r="3836">
      <c r="A3836" s="60" t="n"/>
      <c r="B3836" s="63" t="n"/>
      <c r="C3836" s="63" t="n"/>
      <c r="D3836" s="67" t="n"/>
      <c r="E3836" s="68" t="n"/>
      <c r="F3836" s="69" t="n"/>
      <c r="G3836" s="70" t="n"/>
      <c r="H3836" s="62" t="str">
        <f>IF(COUNTA(A3836:G3836)=0,"",IF(C3836&lt;&gt;"",C3836,IF(B3836="","",IFERROR(INDEX(pr_des,MATCH(B3836,pr_code,0))&amp;"",""))))</f>
        <v/>
      </c>
      <c r="I3836" s="59" t="str">
        <f>IF(B3836="","",IFERROR(INDEX(pr_unit,MATCH(B3836,pr_code,0))&amp;"",""))</f>
        <v/>
      </c>
      <c r="J3836" s="65" t="str">
        <f>IF(COUNTA(A3836:G3836)=0,"",IF(E3836&lt;&gt;"",E3836,IF(B3836="","",IFERROR(IF(INDEX(pr_price,MATCH(B3836,pr_code,0))="","",INDEX(pr_price,MATCH(B3836,pr_code,0))),""))))</f>
        <v/>
      </c>
      <c r="K3836" s="71" t="str">
        <f>IF(COUNTA(A3836:G3836)=0,"",IF(G3836&lt;&gt;"",G3836,IF(B3836="","",IFERROR(IF(INDEX(pr_rate,MATCH(B3836,pr_code,0))="","",INDEX(pr_rate,MATCH(B3836,pr_code,0))),""))))</f>
        <v/>
      </c>
      <c r="L3836" s="65" t="str">
        <f>IF(COUNTA(A3836:G3836)=0,"",IF(AND(ISNUMBER(D3836),ISNUMBER(J3836)),ROUND(D3836*J3836*(1-N(F3836)),2),0))</f>
        <v/>
      </c>
      <c r="M3836" s="62" t="str">
        <f>IF(A3836="","",IFERROR(INDEX(fa_cname,MATCH(A3836,fa_num,0))&amp;"",""))</f>
        <v/>
      </c>
      <c r="N3836" s="59" t="str">
        <f>IF(COUNTA(A3836:G3836)=0,"",IF(A3836="","N° facture manquant",IF(ISNA(MATCH(A3836,fa_num,0)),"Facture inconnue",IF(AND(B3836&lt;&gt;"",ISNA(MATCH(B3836,pr_code,0))),"Article inconnu",IF(H3836="","Désignation manquante",IF(OR(NOT(ISNUMBER(D3836)),N(D3836)&lt;=0),"Quantité invalide",IF(J3836="","Prix manquant",IF(OR(NOT(ISNUMBER(J3836)),N(J3836)&lt;0),"Prix invalide",IF(OR(AND(F3836&lt;&gt;"",NOT(ISNUMBER(F3836))),N(F3836)&lt;0,N(F3836)&gt;1),"Remise invalide",IF(K3836="","Taux de TVA manquant",IF(NOT(ISNUMBER(K3836)),"Taux de TVA invalide",IF(COUNTIF(p_rates,K3836)=0,"Taux de TVA hors liste (Paramètres)",IF(N(O3836)&gt;25,"Au-delà de 25 lignes : non imprimée","OK")))))))))))))</f>
        <v/>
      </c>
      <c r="O3836" s="59" t="str">
        <f>IF(A3836="","",COUNTIF($A$6:A3836,A3836))</f>
        <v/>
      </c>
      <c r="P3836" s="62" t="str">
        <f>IF(A3836="","",A3836&amp;"|"&amp;O3836)</f>
        <v/>
      </c>
    </row>
    <row r="3837">
      <c r="A3837" s="60" t="n"/>
      <c r="B3837" s="63" t="n"/>
      <c r="C3837" s="63" t="n"/>
      <c r="D3837" s="67" t="n"/>
      <c r="E3837" s="68" t="n"/>
      <c r="F3837" s="69" t="n"/>
      <c r="G3837" s="70" t="n"/>
      <c r="H3837" s="62" t="str">
        <f>IF(COUNTA(A3837:G3837)=0,"",IF(C3837&lt;&gt;"",C3837,IF(B3837="","",IFERROR(INDEX(pr_des,MATCH(B3837,pr_code,0))&amp;"",""))))</f>
        <v/>
      </c>
      <c r="I3837" s="59" t="str">
        <f>IF(B3837="","",IFERROR(INDEX(pr_unit,MATCH(B3837,pr_code,0))&amp;"",""))</f>
        <v/>
      </c>
      <c r="J3837" s="65" t="str">
        <f>IF(COUNTA(A3837:G3837)=0,"",IF(E3837&lt;&gt;"",E3837,IF(B3837="","",IFERROR(IF(INDEX(pr_price,MATCH(B3837,pr_code,0))="","",INDEX(pr_price,MATCH(B3837,pr_code,0))),""))))</f>
        <v/>
      </c>
      <c r="K3837" s="71" t="str">
        <f>IF(COUNTA(A3837:G3837)=0,"",IF(G3837&lt;&gt;"",G3837,IF(B3837="","",IFERROR(IF(INDEX(pr_rate,MATCH(B3837,pr_code,0))="","",INDEX(pr_rate,MATCH(B3837,pr_code,0))),""))))</f>
        <v/>
      </c>
      <c r="L3837" s="65" t="str">
        <f>IF(COUNTA(A3837:G3837)=0,"",IF(AND(ISNUMBER(D3837),ISNUMBER(J3837)),ROUND(D3837*J3837*(1-N(F3837)),2),0))</f>
        <v/>
      </c>
      <c r="M3837" s="62" t="str">
        <f>IF(A3837="","",IFERROR(INDEX(fa_cname,MATCH(A3837,fa_num,0))&amp;"",""))</f>
        <v/>
      </c>
      <c r="N3837" s="59" t="str">
        <f>IF(COUNTA(A3837:G3837)=0,"",IF(A3837="","N° facture manquant",IF(ISNA(MATCH(A3837,fa_num,0)),"Facture inconnue",IF(AND(B3837&lt;&gt;"",ISNA(MATCH(B3837,pr_code,0))),"Article inconnu",IF(H3837="","Désignation manquante",IF(OR(NOT(ISNUMBER(D3837)),N(D3837)&lt;=0),"Quantité invalide",IF(J3837="","Prix manquant",IF(OR(NOT(ISNUMBER(J3837)),N(J3837)&lt;0),"Prix invalide",IF(OR(AND(F3837&lt;&gt;"",NOT(ISNUMBER(F3837))),N(F3837)&lt;0,N(F3837)&gt;1),"Remise invalide",IF(K3837="","Taux de TVA manquant",IF(NOT(ISNUMBER(K3837)),"Taux de TVA invalide",IF(COUNTIF(p_rates,K3837)=0,"Taux de TVA hors liste (Paramètres)",IF(N(O3837)&gt;25,"Au-delà de 25 lignes : non imprimée","OK")))))))))))))</f>
        <v/>
      </c>
      <c r="O3837" s="59" t="str">
        <f>IF(A3837="","",COUNTIF($A$6:A3837,A3837))</f>
        <v/>
      </c>
      <c r="P3837" s="62" t="str">
        <f>IF(A3837="","",A3837&amp;"|"&amp;O3837)</f>
        <v/>
      </c>
    </row>
    <row r="3838">
      <c r="A3838" s="60" t="n"/>
      <c r="B3838" s="63" t="n"/>
      <c r="C3838" s="63" t="n"/>
      <c r="D3838" s="67" t="n"/>
      <c r="E3838" s="68" t="n"/>
      <c r="F3838" s="69" t="n"/>
      <c r="G3838" s="70" t="n"/>
      <c r="H3838" s="62" t="str">
        <f>IF(COUNTA(A3838:G3838)=0,"",IF(C3838&lt;&gt;"",C3838,IF(B3838="","",IFERROR(INDEX(pr_des,MATCH(B3838,pr_code,0))&amp;"",""))))</f>
        <v/>
      </c>
      <c r="I3838" s="59" t="str">
        <f>IF(B3838="","",IFERROR(INDEX(pr_unit,MATCH(B3838,pr_code,0))&amp;"",""))</f>
        <v/>
      </c>
      <c r="J3838" s="65" t="str">
        <f>IF(COUNTA(A3838:G3838)=0,"",IF(E3838&lt;&gt;"",E3838,IF(B3838="","",IFERROR(IF(INDEX(pr_price,MATCH(B3838,pr_code,0))="","",INDEX(pr_price,MATCH(B3838,pr_code,0))),""))))</f>
        <v/>
      </c>
      <c r="K3838" s="71" t="str">
        <f>IF(COUNTA(A3838:G3838)=0,"",IF(G3838&lt;&gt;"",G3838,IF(B3838="","",IFERROR(IF(INDEX(pr_rate,MATCH(B3838,pr_code,0))="","",INDEX(pr_rate,MATCH(B3838,pr_code,0))),""))))</f>
        <v/>
      </c>
      <c r="L3838" s="65" t="str">
        <f>IF(COUNTA(A3838:G3838)=0,"",IF(AND(ISNUMBER(D3838),ISNUMBER(J3838)),ROUND(D3838*J3838*(1-N(F3838)),2),0))</f>
        <v/>
      </c>
      <c r="M3838" s="62" t="str">
        <f>IF(A3838="","",IFERROR(INDEX(fa_cname,MATCH(A3838,fa_num,0))&amp;"",""))</f>
        <v/>
      </c>
      <c r="N3838" s="59" t="str">
        <f>IF(COUNTA(A3838:G3838)=0,"",IF(A3838="","N° facture manquant",IF(ISNA(MATCH(A3838,fa_num,0)),"Facture inconnue",IF(AND(B3838&lt;&gt;"",ISNA(MATCH(B3838,pr_code,0))),"Article inconnu",IF(H3838="","Désignation manquante",IF(OR(NOT(ISNUMBER(D3838)),N(D3838)&lt;=0),"Quantité invalide",IF(J3838="","Prix manquant",IF(OR(NOT(ISNUMBER(J3838)),N(J3838)&lt;0),"Prix invalide",IF(OR(AND(F3838&lt;&gt;"",NOT(ISNUMBER(F3838))),N(F3838)&lt;0,N(F3838)&gt;1),"Remise invalide",IF(K3838="","Taux de TVA manquant",IF(NOT(ISNUMBER(K3838)),"Taux de TVA invalide",IF(COUNTIF(p_rates,K3838)=0,"Taux de TVA hors liste (Paramètres)",IF(N(O3838)&gt;25,"Au-delà de 25 lignes : non imprimée","OK")))))))))))))</f>
        <v/>
      </c>
      <c r="O3838" s="59" t="str">
        <f>IF(A3838="","",COUNTIF($A$6:A3838,A3838))</f>
        <v/>
      </c>
      <c r="P3838" s="62" t="str">
        <f>IF(A3838="","",A3838&amp;"|"&amp;O3838)</f>
        <v/>
      </c>
    </row>
    <row r="3839">
      <c r="A3839" s="60" t="n"/>
      <c r="B3839" s="63" t="n"/>
      <c r="C3839" s="63" t="n"/>
      <c r="D3839" s="67" t="n"/>
      <c r="E3839" s="68" t="n"/>
      <c r="F3839" s="69" t="n"/>
      <c r="G3839" s="70" t="n"/>
      <c r="H3839" s="62" t="str">
        <f>IF(COUNTA(A3839:G3839)=0,"",IF(C3839&lt;&gt;"",C3839,IF(B3839="","",IFERROR(INDEX(pr_des,MATCH(B3839,pr_code,0))&amp;"",""))))</f>
        <v/>
      </c>
      <c r="I3839" s="59" t="str">
        <f>IF(B3839="","",IFERROR(INDEX(pr_unit,MATCH(B3839,pr_code,0))&amp;"",""))</f>
        <v/>
      </c>
      <c r="J3839" s="65" t="str">
        <f>IF(COUNTA(A3839:G3839)=0,"",IF(E3839&lt;&gt;"",E3839,IF(B3839="","",IFERROR(IF(INDEX(pr_price,MATCH(B3839,pr_code,0))="","",INDEX(pr_price,MATCH(B3839,pr_code,0))),""))))</f>
        <v/>
      </c>
      <c r="K3839" s="71" t="str">
        <f>IF(COUNTA(A3839:G3839)=0,"",IF(G3839&lt;&gt;"",G3839,IF(B3839="","",IFERROR(IF(INDEX(pr_rate,MATCH(B3839,pr_code,0))="","",INDEX(pr_rate,MATCH(B3839,pr_code,0))),""))))</f>
        <v/>
      </c>
      <c r="L3839" s="65" t="str">
        <f>IF(COUNTA(A3839:G3839)=0,"",IF(AND(ISNUMBER(D3839),ISNUMBER(J3839)),ROUND(D3839*J3839*(1-N(F3839)),2),0))</f>
        <v/>
      </c>
      <c r="M3839" s="62" t="str">
        <f>IF(A3839="","",IFERROR(INDEX(fa_cname,MATCH(A3839,fa_num,0))&amp;"",""))</f>
        <v/>
      </c>
      <c r="N3839" s="59" t="str">
        <f>IF(COUNTA(A3839:G3839)=0,"",IF(A3839="","N° facture manquant",IF(ISNA(MATCH(A3839,fa_num,0)),"Facture inconnue",IF(AND(B3839&lt;&gt;"",ISNA(MATCH(B3839,pr_code,0))),"Article inconnu",IF(H3839="","Désignation manquante",IF(OR(NOT(ISNUMBER(D3839)),N(D3839)&lt;=0),"Quantité invalide",IF(J3839="","Prix manquant",IF(OR(NOT(ISNUMBER(J3839)),N(J3839)&lt;0),"Prix invalide",IF(OR(AND(F3839&lt;&gt;"",NOT(ISNUMBER(F3839))),N(F3839)&lt;0,N(F3839)&gt;1),"Remise invalide",IF(K3839="","Taux de TVA manquant",IF(NOT(ISNUMBER(K3839)),"Taux de TVA invalide",IF(COUNTIF(p_rates,K3839)=0,"Taux de TVA hors liste (Paramètres)",IF(N(O3839)&gt;25,"Au-delà de 25 lignes : non imprimée","OK")))))))))))))</f>
        <v/>
      </c>
      <c r="O3839" s="59" t="str">
        <f>IF(A3839="","",COUNTIF($A$6:A3839,A3839))</f>
        <v/>
      </c>
      <c r="P3839" s="62" t="str">
        <f>IF(A3839="","",A3839&amp;"|"&amp;O3839)</f>
        <v/>
      </c>
    </row>
    <row r="3840">
      <c r="A3840" s="60" t="n"/>
      <c r="B3840" s="63" t="n"/>
      <c r="C3840" s="63" t="n"/>
      <c r="D3840" s="67" t="n"/>
      <c r="E3840" s="68" t="n"/>
      <c r="F3840" s="69" t="n"/>
      <c r="G3840" s="70" t="n"/>
      <c r="H3840" s="62" t="str">
        <f>IF(COUNTA(A3840:G3840)=0,"",IF(C3840&lt;&gt;"",C3840,IF(B3840="","",IFERROR(INDEX(pr_des,MATCH(B3840,pr_code,0))&amp;"",""))))</f>
        <v/>
      </c>
      <c r="I3840" s="59" t="str">
        <f>IF(B3840="","",IFERROR(INDEX(pr_unit,MATCH(B3840,pr_code,0))&amp;"",""))</f>
        <v/>
      </c>
      <c r="J3840" s="65" t="str">
        <f>IF(COUNTA(A3840:G3840)=0,"",IF(E3840&lt;&gt;"",E3840,IF(B3840="","",IFERROR(IF(INDEX(pr_price,MATCH(B3840,pr_code,0))="","",INDEX(pr_price,MATCH(B3840,pr_code,0))),""))))</f>
        <v/>
      </c>
      <c r="K3840" s="71" t="str">
        <f>IF(COUNTA(A3840:G3840)=0,"",IF(G3840&lt;&gt;"",G3840,IF(B3840="","",IFERROR(IF(INDEX(pr_rate,MATCH(B3840,pr_code,0))="","",INDEX(pr_rate,MATCH(B3840,pr_code,0))),""))))</f>
        <v/>
      </c>
      <c r="L3840" s="65" t="str">
        <f>IF(COUNTA(A3840:G3840)=0,"",IF(AND(ISNUMBER(D3840),ISNUMBER(J3840)),ROUND(D3840*J3840*(1-N(F3840)),2),0))</f>
        <v/>
      </c>
      <c r="M3840" s="62" t="str">
        <f>IF(A3840="","",IFERROR(INDEX(fa_cname,MATCH(A3840,fa_num,0))&amp;"",""))</f>
        <v/>
      </c>
      <c r="N3840" s="59" t="str">
        <f>IF(COUNTA(A3840:G3840)=0,"",IF(A3840="","N° facture manquant",IF(ISNA(MATCH(A3840,fa_num,0)),"Facture inconnue",IF(AND(B3840&lt;&gt;"",ISNA(MATCH(B3840,pr_code,0))),"Article inconnu",IF(H3840="","Désignation manquante",IF(OR(NOT(ISNUMBER(D3840)),N(D3840)&lt;=0),"Quantité invalide",IF(J3840="","Prix manquant",IF(OR(NOT(ISNUMBER(J3840)),N(J3840)&lt;0),"Prix invalide",IF(OR(AND(F3840&lt;&gt;"",NOT(ISNUMBER(F3840))),N(F3840)&lt;0,N(F3840)&gt;1),"Remise invalide",IF(K3840="","Taux de TVA manquant",IF(NOT(ISNUMBER(K3840)),"Taux de TVA invalide",IF(COUNTIF(p_rates,K3840)=0,"Taux de TVA hors liste (Paramètres)",IF(N(O3840)&gt;25,"Au-delà de 25 lignes : non imprimée","OK")))))))))))))</f>
        <v/>
      </c>
      <c r="O3840" s="59" t="str">
        <f>IF(A3840="","",COUNTIF($A$6:A3840,A3840))</f>
        <v/>
      </c>
      <c r="P3840" s="62" t="str">
        <f>IF(A3840="","",A3840&amp;"|"&amp;O3840)</f>
        <v/>
      </c>
    </row>
    <row r="3841">
      <c r="A3841" s="60" t="n"/>
      <c r="B3841" s="63" t="n"/>
      <c r="C3841" s="63" t="n"/>
      <c r="D3841" s="67" t="n"/>
      <c r="E3841" s="68" t="n"/>
      <c r="F3841" s="69" t="n"/>
      <c r="G3841" s="70" t="n"/>
      <c r="H3841" s="62" t="str">
        <f>IF(COUNTA(A3841:G3841)=0,"",IF(C3841&lt;&gt;"",C3841,IF(B3841="","",IFERROR(INDEX(pr_des,MATCH(B3841,pr_code,0))&amp;"",""))))</f>
        <v/>
      </c>
      <c r="I3841" s="59" t="str">
        <f>IF(B3841="","",IFERROR(INDEX(pr_unit,MATCH(B3841,pr_code,0))&amp;"",""))</f>
        <v/>
      </c>
      <c r="J3841" s="65" t="str">
        <f>IF(COUNTA(A3841:G3841)=0,"",IF(E3841&lt;&gt;"",E3841,IF(B3841="","",IFERROR(IF(INDEX(pr_price,MATCH(B3841,pr_code,0))="","",INDEX(pr_price,MATCH(B3841,pr_code,0))),""))))</f>
        <v/>
      </c>
      <c r="K3841" s="71" t="str">
        <f>IF(COUNTA(A3841:G3841)=0,"",IF(G3841&lt;&gt;"",G3841,IF(B3841="","",IFERROR(IF(INDEX(pr_rate,MATCH(B3841,pr_code,0))="","",INDEX(pr_rate,MATCH(B3841,pr_code,0))),""))))</f>
        <v/>
      </c>
      <c r="L3841" s="65" t="str">
        <f>IF(COUNTA(A3841:G3841)=0,"",IF(AND(ISNUMBER(D3841),ISNUMBER(J3841)),ROUND(D3841*J3841*(1-N(F3841)),2),0))</f>
        <v/>
      </c>
      <c r="M3841" s="62" t="str">
        <f>IF(A3841="","",IFERROR(INDEX(fa_cname,MATCH(A3841,fa_num,0))&amp;"",""))</f>
        <v/>
      </c>
      <c r="N3841" s="59" t="str">
        <f>IF(COUNTA(A3841:G3841)=0,"",IF(A3841="","N° facture manquant",IF(ISNA(MATCH(A3841,fa_num,0)),"Facture inconnue",IF(AND(B3841&lt;&gt;"",ISNA(MATCH(B3841,pr_code,0))),"Article inconnu",IF(H3841="","Désignation manquante",IF(OR(NOT(ISNUMBER(D3841)),N(D3841)&lt;=0),"Quantité invalide",IF(J3841="","Prix manquant",IF(OR(NOT(ISNUMBER(J3841)),N(J3841)&lt;0),"Prix invalide",IF(OR(AND(F3841&lt;&gt;"",NOT(ISNUMBER(F3841))),N(F3841)&lt;0,N(F3841)&gt;1),"Remise invalide",IF(K3841="","Taux de TVA manquant",IF(NOT(ISNUMBER(K3841)),"Taux de TVA invalide",IF(COUNTIF(p_rates,K3841)=0,"Taux de TVA hors liste (Paramètres)",IF(N(O3841)&gt;25,"Au-delà de 25 lignes : non imprimée","OK")))))))))))))</f>
        <v/>
      </c>
      <c r="O3841" s="59" t="str">
        <f>IF(A3841="","",COUNTIF($A$6:A3841,A3841))</f>
        <v/>
      </c>
      <c r="P3841" s="62" t="str">
        <f>IF(A3841="","",A3841&amp;"|"&amp;O3841)</f>
        <v/>
      </c>
    </row>
    <row r="3842">
      <c r="A3842" s="60" t="n"/>
      <c r="B3842" s="63" t="n"/>
      <c r="C3842" s="63" t="n"/>
      <c r="D3842" s="67" t="n"/>
      <c r="E3842" s="68" t="n"/>
      <c r="F3842" s="69" t="n"/>
      <c r="G3842" s="70" t="n"/>
      <c r="H3842" s="62" t="str">
        <f>IF(COUNTA(A3842:G3842)=0,"",IF(C3842&lt;&gt;"",C3842,IF(B3842="","",IFERROR(INDEX(pr_des,MATCH(B3842,pr_code,0))&amp;"",""))))</f>
        <v/>
      </c>
      <c r="I3842" s="59" t="str">
        <f>IF(B3842="","",IFERROR(INDEX(pr_unit,MATCH(B3842,pr_code,0))&amp;"",""))</f>
        <v/>
      </c>
      <c r="J3842" s="65" t="str">
        <f>IF(COUNTA(A3842:G3842)=0,"",IF(E3842&lt;&gt;"",E3842,IF(B3842="","",IFERROR(IF(INDEX(pr_price,MATCH(B3842,pr_code,0))="","",INDEX(pr_price,MATCH(B3842,pr_code,0))),""))))</f>
        <v/>
      </c>
      <c r="K3842" s="71" t="str">
        <f>IF(COUNTA(A3842:G3842)=0,"",IF(G3842&lt;&gt;"",G3842,IF(B3842="","",IFERROR(IF(INDEX(pr_rate,MATCH(B3842,pr_code,0))="","",INDEX(pr_rate,MATCH(B3842,pr_code,0))),""))))</f>
        <v/>
      </c>
      <c r="L3842" s="65" t="str">
        <f>IF(COUNTA(A3842:G3842)=0,"",IF(AND(ISNUMBER(D3842),ISNUMBER(J3842)),ROUND(D3842*J3842*(1-N(F3842)),2),0))</f>
        <v/>
      </c>
      <c r="M3842" s="62" t="str">
        <f>IF(A3842="","",IFERROR(INDEX(fa_cname,MATCH(A3842,fa_num,0))&amp;"",""))</f>
        <v/>
      </c>
      <c r="N3842" s="59" t="str">
        <f>IF(COUNTA(A3842:G3842)=0,"",IF(A3842="","N° facture manquant",IF(ISNA(MATCH(A3842,fa_num,0)),"Facture inconnue",IF(AND(B3842&lt;&gt;"",ISNA(MATCH(B3842,pr_code,0))),"Article inconnu",IF(H3842="","Désignation manquante",IF(OR(NOT(ISNUMBER(D3842)),N(D3842)&lt;=0),"Quantité invalide",IF(J3842="","Prix manquant",IF(OR(NOT(ISNUMBER(J3842)),N(J3842)&lt;0),"Prix invalide",IF(OR(AND(F3842&lt;&gt;"",NOT(ISNUMBER(F3842))),N(F3842)&lt;0,N(F3842)&gt;1),"Remise invalide",IF(K3842="","Taux de TVA manquant",IF(NOT(ISNUMBER(K3842)),"Taux de TVA invalide",IF(COUNTIF(p_rates,K3842)=0,"Taux de TVA hors liste (Paramètres)",IF(N(O3842)&gt;25,"Au-delà de 25 lignes : non imprimée","OK")))))))))))))</f>
        <v/>
      </c>
      <c r="O3842" s="59" t="str">
        <f>IF(A3842="","",COUNTIF($A$6:A3842,A3842))</f>
        <v/>
      </c>
      <c r="P3842" s="62" t="str">
        <f>IF(A3842="","",A3842&amp;"|"&amp;O3842)</f>
        <v/>
      </c>
    </row>
    <row r="3843">
      <c r="A3843" s="60" t="n"/>
      <c r="B3843" s="63" t="n"/>
      <c r="C3843" s="63" t="n"/>
      <c r="D3843" s="67" t="n"/>
      <c r="E3843" s="68" t="n"/>
      <c r="F3843" s="69" t="n"/>
      <c r="G3843" s="70" t="n"/>
      <c r="H3843" s="62" t="str">
        <f>IF(COUNTA(A3843:G3843)=0,"",IF(C3843&lt;&gt;"",C3843,IF(B3843="","",IFERROR(INDEX(pr_des,MATCH(B3843,pr_code,0))&amp;"",""))))</f>
        <v/>
      </c>
      <c r="I3843" s="59" t="str">
        <f>IF(B3843="","",IFERROR(INDEX(pr_unit,MATCH(B3843,pr_code,0))&amp;"",""))</f>
        <v/>
      </c>
      <c r="J3843" s="65" t="str">
        <f>IF(COUNTA(A3843:G3843)=0,"",IF(E3843&lt;&gt;"",E3843,IF(B3843="","",IFERROR(IF(INDEX(pr_price,MATCH(B3843,pr_code,0))="","",INDEX(pr_price,MATCH(B3843,pr_code,0))),""))))</f>
        <v/>
      </c>
      <c r="K3843" s="71" t="str">
        <f>IF(COUNTA(A3843:G3843)=0,"",IF(G3843&lt;&gt;"",G3843,IF(B3843="","",IFERROR(IF(INDEX(pr_rate,MATCH(B3843,pr_code,0))="","",INDEX(pr_rate,MATCH(B3843,pr_code,0))),""))))</f>
        <v/>
      </c>
      <c r="L3843" s="65" t="str">
        <f>IF(COUNTA(A3843:G3843)=0,"",IF(AND(ISNUMBER(D3843),ISNUMBER(J3843)),ROUND(D3843*J3843*(1-N(F3843)),2),0))</f>
        <v/>
      </c>
      <c r="M3843" s="62" t="str">
        <f>IF(A3843="","",IFERROR(INDEX(fa_cname,MATCH(A3843,fa_num,0))&amp;"",""))</f>
        <v/>
      </c>
      <c r="N3843" s="59" t="str">
        <f>IF(COUNTA(A3843:G3843)=0,"",IF(A3843="","N° facture manquant",IF(ISNA(MATCH(A3843,fa_num,0)),"Facture inconnue",IF(AND(B3843&lt;&gt;"",ISNA(MATCH(B3843,pr_code,0))),"Article inconnu",IF(H3843="","Désignation manquante",IF(OR(NOT(ISNUMBER(D3843)),N(D3843)&lt;=0),"Quantité invalide",IF(J3843="","Prix manquant",IF(OR(NOT(ISNUMBER(J3843)),N(J3843)&lt;0),"Prix invalide",IF(OR(AND(F3843&lt;&gt;"",NOT(ISNUMBER(F3843))),N(F3843)&lt;0,N(F3843)&gt;1),"Remise invalide",IF(K3843="","Taux de TVA manquant",IF(NOT(ISNUMBER(K3843)),"Taux de TVA invalide",IF(COUNTIF(p_rates,K3843)=0,"Taux de TVA hors liste (Paramètres)",IF(N(O3843)&gt;25,"Au-delà de 25 lignes : non imprimée","OK")))))))))))))</f>
        <v/>
      </c>
      <c r="O3843" s="59" t="str">
        <f>IF(A3843="","",COUNTIF($A$6:A3843,A3843))</f>
        <v/>
      </c>
      <c r="P3843" s="62" t="str">
        <f>IF(A3843="","",A3843&amp;"|"&amp;O3843)</f>
        <v/>
      </c>
    </row>
    <row r="3844">
      <c r="A3844" s="60" t="n"/>
      <c r="B3844" s="63" t="n"/>
      <c r="C3844" s="63" t="n"/>
      <c r="D3844" s="67" t="n"/>
      <c r="E3844" s="68" t="n"/>
      <c r="F3844" s="69" t="n"/>
      <c r="G3844" s="70" t="n"/>
      <c r="H3844" s="62" t="str">
        <f>IF(COUNTA(A3844:G3844)=0,"",IF(C3844&lt;&gt;"",C3844,IF(B3844="","",IFERROR(INDEX(pr_des,MATCH(B3844,pr_code,0))&amp;"",""))))</f>
        <v/>
      </c>
      <c r="I3844" s="59" t="str">
        <f>IF(B3844="","",IFERROR(INDEX(pr_unit,MATCH(B3844,pr_code,0))&amp;"",""))</f>
        <v/>
      </c>
      <c r="J3844" s="65" t="str">
        <f>IF(COUNTA(A3844:G3844)=0,"",IF(E3844&lt;&gt;"",E3844,IF(B3844="","",IFERROR(IF(INDEX(pr_price,MATCH(B3844,pr_code,0))="","",INDEX(pr_price,MATCH(B3844,pr_code,0))),""))))</f>
        <v/>
      </c>
      <c r="K3844" s="71" t="str">
        <f>IF(COUNTA(A3844:G3844)=0,"",IF(G3844&lt;&gt;"",G3844,IF(B3844="","",IFERROR(IF(INDEX(pr_rate,MATCH(B3844,pr_code,0))="","",INDEX(pr_rate,MATCH(B3844,pr_code,0))),""))))</f>
        <v/>
      </c>
      <c r="L3844" s="65" t="str">
        <f>IF(COUNTA(A3844:G3844)=0,"",IF(AND(ISNUMBER(D3844),ISNUMBER(J3844)),ROUND(D3844*J3844*(1-N(F3844)),2),0))</f>
        <v/>
      </c>
      <c r="M3844" s="62" t="str">
        <f>IF(A3844="","",IFERROR(INDEX(fa_cname,MATCH(A3844,fa_num,0))&amp;"",""))</f>
        <v/>
      </c>
      <c r="N3844" s="59" t="str">
        <f>IF(COUNTA(A3844:G3844)=0,"",IF(A3844="","N° facture manquant",IF(ISNA(MATCH(A3844,fa_num,0)),"Facture inconnue",IF(AND(B3844&lt;&gt;"",ISNA(MATCH(B3844,pr_code,0))),"Article inconnu",IF(H3844="","Désignation manquante",IF(OR(NOT(ISNUMBER(D3844)),N(D3844)&lt;=0),"Quantité invalide",IF(J3844="","Prix manquant",IF(OR(NOT(ISNUMBER(J3844)),N(J3844)&lt;0),"Prix invalide",IF(OR(AND(F3844&lt;&gt;"",NOT(ISNUMBER(F3844))),N(F3844)&lt;0,N(F3844)&gt;1),"Remise invalide",IF(K3844="","Taux de TVA manquant",IF(NOT(ISNUMBER(K3844)),"Taux de TVA invalide",IF(COUNTIF(p_rates,K3844)=0,"Taux de TVA hors liste (Paramètres)",IF(N(O3844)&gt;25,"Au-delà de 25 lignes : non imprimée","OK")))))))))))))</f>
        <v/>
      </c>
      <c r="O3844" s="59" t="str">
        <f>IF(A3844="","",COUNTIF($A$6:A3844,A3844))</f>
        <v/>
      </c>
      <c r="P3844" s="62" t="str">
        <f>IF(A3844="","",A3844&amp;"|"&amp;O3844)</f>
        <v/>
      </c>
    </row>
    <row r="3845">
      <c r="A3845" s="60" t="n"/>
      <c r="B3845" s="63" t="n"/>
      <c r="C3845" s="63" t="n"/>
      <c r="D3845" s="67" t="n"/>
      <c r="E3845" s="68" t="n"/>
      <c r="F3845" s="69" t="n"/>
      <c r="G3845" s="70" t="n"/>
      <c r="H3845" s="62" t="str">
        <f>IF(COUNTA(A3845:G3845)=0,"",IF(C3845&lt;&gt;"",C3845,IF(B3845="","",IFERROR(INDEX(pr_des,MATCH(B3845,pr_code,0))&amp;"",""))))</f>
        <v/>
      </c>
      <c r="I3845" s="59" t="str">
        <f>IF(B3845="","",IFERROR(INDEX(pr_unit,MATCH(B3845,pr_code,0))&amp;"",""))</f>
        <v/>
      </c>
      <c r="J3845" s="65" t="str">
        <f>IF(COUNTA(A3845:G3845)=0,"",IF(E3845&lt;&gt;"",E3845,IF(B3845="","",IFERROR(IF(INDEX(pr_price,MATCH(B3845,pr_code,0))="","",INDEX(pr_price,MATCH(B3845,pr_code,0))),""))))</f>
        <v/>
      </c>
      <c r="K3845" s="71" t="str">
        <f>IF(COUNTA(A3845:G3845)=0,"",IF(G3845&lt;&gt;"",G3845,IF(B3845="","",IFERROR(IF(INDEX(pr_rate,MATCH(B3845,pr_code,0))="","",INDEX(pr_rate,MATCH(B3845,pr_code,0))),""))))</f>
        <v/>
      </c>
      <c r="L3845" s="65" t="str">
        <f>IF(COUNTA(A3845:G3845)=0,"",IF(AND(ISNUMBER(D3845),ISNUMBER(J3845)),ROUND(D3845*J3845*(1-N(F3845)),2),0))</f>
        <v/>
      </c>
      <c r="M3845" s="62" t="str">
        <f>IF(A3845="","",IFERROR(INDEX(fa_cname,MATCH(A3845,fa_num,0))&amp;"",""))</f>
        <v/>
      </c>
      <c r="N3845" s="59" t="str">
        <f>IF(COUNTA(A3845:G3845)=0,"",IF(A3845="","N° facture manquant",IF(ISNA(MATCH(A3845,fa_num,0)),"Facture inconnue",IF(AND(B3845&lt;&gt;"",ISNA(MATCH(B3845,pr_code,0))),"Article inconnu",IF(H3845="","Désignation manquante",IF(OR(NOT(ISNUMBER(D3845)),N(D3845)&lt;=0),"Quantité invalide",IF(J3845="","Prix manquant",IF(OR(NOT(ISNUMBER(J3845)),N(J3845)&lt;0),"Prix invalide",IF(OR(AND(F3845&lt;&gt;"",NOT(ISNUMBER(F3845))),N(F3845)&lt;0,N(F3845)&gt;1),"Remise invalide",IF(K3845="","Taux de TVA manquant",IF(NOT(ISNUMBER(K3845)),"Taux de TVA invalide",IF(COUNTIF(p_rates,K3845)=0,"Taux de TVA hors liste (Paramètres)",IF(N(O3845)&gt;25,"Au-delà de 25 lignes : non imprimée","OK")))))))))))))</f>
        <v/>
      </c>
      <c r="O3845" s="59" t="str">
        <f>IF(A3845="","",COUNTIF($A$6:A3845,A3845))</f>
        <v/>
      </c>
      <c r="P3845" s="62" t="str">
        <f>IF(A3845="","",A3845&amp;"|"&amp;O3845)</f>
        <v/>
      </c>
    </row>
    <row r="3846">
      <c r="A3846" s="60" t="n"/>
      <c r="B3846" s="63" t="n"/>
      <c r="C3846" s="63" t="n"/>
      <c r="D3846" s="67" t="n"/>
      <c r="E3846" s="68" t="n"/>
      <c r="F3846" s="69" t="n"/>
      <c r="G3846" s="70" t="n"/>
      <c r="H3846" s="62" t="str">
        <f>IF(COUNTA(A3846:G3846)=0,"",IF(C3846&lt;&gt;"",C3846,IF(B3846="","",IFERROR(INDEX(pr_des,MATCH(B3846,pr_code,0))&amp;"",""))))</f>
        <v/>
      </c>
      <c r="I3846" s="59" t="str">
        <f>IF(B3846="","",IFERROR(INDEX(pr_unit,MATCH(B3846,pr_code,0))&amp;"",""))</f>
        <v/>
      </c>
      <c r="J3846" s="65" t="str">
        <f>IF(COUNTA(A3846:G3846)=0,"",IF(E3846&lt;&gt;"",E3846,IF(B3846="","",IFERROR(IF(INDEX(pr_price,MATCH(B3846,pr_code,0))="","",INDEX(pr_price,MATCH(B3846,pr_code,0))),""))))</f>
        <v/>
      </c>
      <c r="K3846" s="71" t="str">
        <f>IF(COUNTA(A3846:G3846)=0,"",IF(G3846&lt;&gt;"",G3846,IF(B3846="","",IFERROR(IF(INDEX(pr_rate,MATCH(B3846,pr_code,0))="","",INDEX(pr_rate,MATCH(B3846,pr_code,0))),""))))</f>
        <v/>
      </c>
      <c r="L3846" s="65" t="str">
        <f>IF(COUNTA(A3846:G3846)=0,"",IF(AND(ISNUMBER(D3846),ISNUMBER(J3846)),ROUND(D3846*J3846*(1-N(F3846)),2),0))</f>
        <v/>
      </c>
      <c r="M3846" s="62" t="str">
        <f>IF(A3846="","",IFERROR(INDEX(fa_cname,MATCH(A3846,fa_num,0))&amp;"",""))</f>
        <v/>
      </c>
      <c r="N3846" s="59" t="str">
        <f>IF(COUNTA(A3846:G3846)=0,"",IF(A3846="","N° facture manquant",IF(ISNA(MATCH(A3846,fa_num,0)),"Facture inconnue",IF(AND(B3846&lt;&gt;"",ISNA(MATCH(B3846,pr_code,0))),"Article inconnu",IF(H3846="","Désignation manquante",IF(OR(NOT(ISNUMBER(D3846)),N(D3846)&lt;=0),"Quantité invalide",IF(J3846="","Prix manquant",IF(OR(NOT(ISNUMBER(J3846)),N(J3846)&lt;0),"Prix invalide",IF(OR(AND(F3846&lt;&gt;"",NOT(ISNUMBER(F3846))),N(F3846)&lt;0,N(F3846)&gt;1),"Remise invalide",IF(K3846="","Taux de TVA manquant",IF(NOT(ISNUMBER(K3846)),"Taux de TVA invalide",IF(COUNTIF(p_rates,K3846)=0,"Taux de TVA hors liste (Paramètres)",IF(N(O3846)&gt;25,"Au-delà de 25 lignes : non imprimée","OK")))))))))))))</f>
        <v/>
      </c>
      <c r="O3846" s="59" t="str">
        <f>IF(A3846="","",COUNTIF($A$6:A3846,A3846))</f>
        <v/>
      </c>
      <c r="P3846" s="62" t="str">
        <f>IF(A3846="","",A3846&amp;"|"&amp;O3846)</f>
        <v/>
      </c>
    </row>
    <row r="3847">
      <c r="A3847" s="60" t="n"/>
      <c r="B3847" s="63" t="n"/>
      <c r="C3847" s="63" t="n"/>
      <c r="D3847" s="67" t="n"/>
      <c r="E3847" s="68" t="n"/>
      <c r="F3847" s="69" t="n"/>
      <c r="G3847" s="70" t="n"/>
      <c r="H3847" s="62" t="str">
        <f>IF(COUNTA(A3847:G3847)=0,"",IF(C3847&lt;&gt;"",C3847,IF(B3847="","",IFERROR(INDEX(pr_des,MATCH(B3847,pr_code,0))&amp;"",""))))</f>
        <v/>
      </c>
      <c r="I3847" s="59" t="str">
        <f>IF(B3847="","",IFERROR(INDEX(pr_unit,MATCH(B3847,pr_code,0))&amp;"",""))</f>
        <v/>
      </c>
      <c r="J3847" s="65" t="str">
        <f>IF(COUNTA(A3847:G3847)=0,"",IF(E3847&lt;&gt;"",E3847,IF(B3847="","",IFERROR(IF(INDEX(pr_price,MATCH(B3847,pr_code,0))="","",INDEX(pr_price,MATCH(B3847,pr_code,0))),""))))</f>
        <v/>
      </c>
      <c r="K3847" s="71" t="str">
        <f>IF(COUNTA(A3847:G3847)=0,"",IF(G3847&lt;&gt;"",G3847,IF(B3847="","",IFERROR(IF(INDEX(pr_rate,MATCH(B3847,pr_code,0))="","",INDEX(pr_rate,MATCH(B3847,pr_code,0))),""))))</f>
        <v/>
      </c>
      <c r="L3847" s="65" t="str">
        <f>IF(COUNTA(A3847:G3847)=0,"",IF(AND(ISNUMBER(D3847),ISNUMBER(J3847)),ROUND(D3847*J3847*(1-N(F3847)),2),0))</f>
        <v/>
      </c>
      <c r="M3847" s="62" t="str">
        <f>IF(A3847="","",IFERROR(INDEX(fa_cname,MATCH(A3847,fa_num,0))&amp;"",""))</f>
        <v/>
      </c>
      <c r="N3847" s="59" t="str">
        <f>IF(COUNTA(A3847:G3847)=0,"",IF(A3847="","N° facture manquant",IF(ISNA(MATCH(A3847,fa_num,0)),"Facture inconnue",IF(AND(B3847&lt;&gt;"",ISNA(MATCH(B3847,pr_code,0))),"Article inconnu",IF(H3847="","Désignation manquante",IF(OR(NOT(ISNUMBER(D3847)),N(D3847)&lt;=0),"Quantité invalide",IF(J3847="","Prix manquant",IF(OR(NOT(ISNUMBER(J3847)),N(J3847)&lt;0),"Prix invalide",IF(OR(AND(F3847&lt;&gt;"",NOT(ISNUMBER(F3847))),N(F3847)&lt;0,N(F3847)&gt;1),"Remise invalide",IF(K3847="","Taux de TVA manquant",IF(NOT(ISNUMBER(K3847)),"Taux de TVA invalide",IF(COUNTIF(p_rates,K3847)=0,"Taux de TVA hors liste (Paramètres)",IF(N(O3847)&gt;25,"Au-delà de 25 lignes : non imprimée","OK")))))))))))))</f>
        <v/>
      </c>
      <c r="O3847" s="59" t="str">
        <f>IF(A3847="","",COUNTIF($A$6:A3847,A3847))</f>
        <v/>
      </c>
      <c r="P3847" s="62" t="str">
        <f>IF(A3847="","",A3847&amp;"|"&amp;O3847)</f>
        <v/>
      </c>
    </row>
    <row r="3848">
      <c r="A3848" s="60" t="n"/>
      <c r="B3848" s="63" t="n"/>
      <c r="C3848" s="63" t="n"/>
      <c r="D3848" s="67" t="n"/>
      <c r="E3848" s="68" t="n"/>
      <c r="F3848" s="69" t="n"/>
      <c r="G3848" s="70" t="n"/>
      <c r="H3848" s="62" t="str">
        <f>IF(COUNTA(A3848:G3848)=0,"",IF(C3848&lt;&gt;"",C3848,IF(B3848="","",IFERROR(INDEX(pr_des,MATCH(B3848,pr_code,0))&amp;"",""))))</f>
        <v/>
      </c>
      <c r="I3848" s="59" t="str">
        <f>IF(B3848="","",IFERROR(INDEX(pr_unit,MATCH(B3848,pr_code,0))&amp;"",""))</f>
        <v/>
      </c>
      <c r="J3848" s="65" t="str">
        <f>IF(COUNTA(A3848:G3848)=0,"",IF(E3848&lt;&gt;"",E3848,IF(B3848="","",IFERROR(IF(INDEX(pr_price,MATCH(B3848,pr_code,0))="","",INDEX(pr_price,MATCH(B3848,pr_code,0))),""))))</f>
        <v/>
      </c>
      <c r="K3848" s="71" t="str">
        <f>IF(COUNTA(A3848:G3848)=0,"",IF(G3848&lt;&gt;"",G3848,IF(B3848="","",IFERROR(IF(INDEX(pr_rate,MATCH(B3848,pr_code,0))="","",INDEX(pr_rate,MATCH(B3848,pr_code,0))),""))))</f>
        <v/>
      </c>
      <c r="L3848" s="65" t="str">
        <f>IF(COUNTA(A3848:G3848)=0,"",IF(AND(ISNUMBER(D3848),ISNUMBER(J3848)),ROUND(D3848*J3848*(1-N(F3848)),2),0))</f>
        <v/>
      </c>
      <c r="M3848" s="62" t="str">
        <f>IF(A3848="","",IFERROR(INDEX(fa_cname,MATCH(A3848,fa_num,0))&amp;"",""))</f>
        <v/>
      </c>
      <c r="N3848" s="59" t="str">
        <f>IF(COUNTA(A3848:G3848)=0,"",IF(A3848="","N° facture manquant",IF(ISNA(MATCH(A3848,fa_num,0)),"Facture inconnue",IF(AND(B3848&lt;&gt;"",ISNA(MATCH(B3848,pr_code,0))),"Article inconnu",IF(H3848="","Désignation manquante",IF(OR(NOT(ISNUMBER(D3848)),N(D3848)&lt;=0),"Quantité invalide",IF(J3848="","Prix manquant",IF(OR(NOT(ISNUMBER(J3848)),N(J3848)&lt;0),"Prix invalide",IF(OR(AND(F3848&lt;&gt;"",NOT(ISNUMBER(F3848))),N(F3848)&lt;0,N(F3848)&gt;1),"Remise invalide",IF(K3848="","Taux de TVA manquant",IF(NOT(ISNUMBER(K3848)),"Taux de TVA invalide",IF(COUNTIF(p_rates,K3848)=0,"Taux de TVA hors liste (Paramètres)",IF(N(O3848)&gt;25,"Au-delà de 25 lignes : non imprimée","OK")))))))))))))</f>
        <v/>
      </c>
      <c r="O3848" s="59" t="str">
        <f>IF(A3848="","",COUNTIF($A$6:A3848,A3848))</f>
        <v/>
      </c>
      <c r="P3848" s="62" t="str">
        <f>IF(A3848="","",A3848&amp;"|"&amp;O3848)</f>
        <v/>
      </c>
    </row>
    <row r="3849">
      <c r="A3849" s="60" t="n"/>
      <c r="B3849" s="63" t="n"/>
      <c r="C3849" s="63" t="n"/>
      <c r="D3849" s="67" t="n"/>
      <c r="E3849" s="68" t="n"/>
      <c r="F3849" s="69" t="n"/>
      <c r="G3849" s="70" t="n"/>
      <c r="H3849" s="62" t="str">
        <f>IF(COUNTA(A3849:G3849)=0,"",IF(C3849&lt;&gt;"",C3849,IF(B3849="","",IFERROR(INDEX(pr_des,MATCH(B3849,pr_code,0))&amp;"",""))))</f>
        <v/>
      </c>
      <c r="I3849" s="59" t="str">
        <f>IF(B3849="","",IFERROR(INDEX(pr_unit,MATCH(B3849,pr_code,0))&amp;"",""))</f>
        <v/>
      </c>
      <c r="J3849" s="65" t="str">
        <f>IF(COUNTA(A3849:G3849)=0,"",IF(E3849&lt;&gt;"",E3849,IF(B3849="","",IFERROR(IF(INDEX(pr_price,MATCH(B3849,pr_code,0))="","",INDEX(pr_price,MATCH(B3849,pr_code,0))),""))))</f>
        <v/>
      </c>
      <c r="K3849" s="71" t="str">
        <f>IF(COUNTA(A3849:G3849)=0,"",IF(G3849&lt;&gt;"",G3849,IF(B3849="","",IFERROR(IF(INDEX(pr_rate,MATCH(B3849,pr_code,0))="","",INDEX(pr_rate,MATCH(B3849,pr_code,0))),""))))</f>
        <v/>
      </c>
      <c r="L3849" s="65" t="str">
        <f>IF(COUNTA(A3849:G3849)=0,"",IF(AND(ISNUMBER(D3849),ISNUMBER(J3849)),ROUND(D3849*J3849*(1-N(F3849)),2),0))</f>
        <v/>
      </c>
      <c r="M3849" s="62" t="str">
        <f>IF(A3849="","",IFERROR(INDEX(fa_cname,MATCH(A3849,fa_num,0))&amp;"",""))</f>
        <v/>
      </c>
      <c r="N3849" s="59" t="str">
        <f>IF(COUNTA(A3849:G3849)=0,"",IF(A3849="","N° facture manquant",IF(ISNA(MATCH(A3849,fa_num,0)),"Facture inconnue",IF(AND(B3849&lt;&gt;"",ISNA(MATCH(B3849,pr_code,0))),"Article inconnu",IF(H3849="","Désignation manquante",IF(OR(NOT(ISNUMBER(D3849)),N(D3849)&lt;=0),"Quantité invalide",IF(J3849="","Prix manquant",IF(OR(NOT(ISNUMBER(J3849)),N(J3849)&lt;0),"Prix invalide",IF(OR(AND(F3849&lt;&gt;"",NOT(ISNUMBER(F3849))),N(F3849)&lt;0,N(F3849)&gt;1),"Remise invalide",IF(K3849="","Taux de TVA manquant",IF(NOT(ISNUMBER(K3849)),"Taux de TVA invalide",IF(COUNTIF(p_rates,K3849)=0,"Taux de TVA hors liste (Paramètres)",IF(N(O3849)&gt;25,"Au-delà de 25 lignes : non imprimée","OK")))))))))))))</f>
        <v/>
      </c>
      <c r="O3849" s="59" t="str">
        <f>IF(A3849="","",COUNTIF($A$6:A3849,A3849))</f>
        <v/>
      </c>
      <c r="P3849" s="62" t="str">
        <f>IF(A3849="","",A3849&amp;"|"&amp;O3849)</f>
        <v/>
      </c>
    </row>
    <row r="3850">
      <c r="A3850" s="60" t="n"/>
      <c r="B3850" s="63" t="n"/>
      <c r="C3850" s="63" t="n"/>
      <c r="D3850" s="67" t="n"/>
      <c r="E3850" s="68" t="n"/>
      <c r="F3850" s="69" t="n"/>
      <c r="G3850" s="70" t="n"/>
      <c r="H3850" s="62" t="str">
        <f>IF(COUNTA(A3850:G3850)=0,"",IF(C3850&lt;&gt;"",C3850,IF(B3850="","",IFERROR(INDEX(pr_des,MATCH(B3850,pr_code,0))&amp;"",""))))</f>
        <v/>
      </c>
      <c r="I3850" s="59" t="str">
        <f>IF(B3850="","",IFERROR(INDEX(pr_unit,MATCH(B3850,pr_code,0))&amp;"",""))</f>
        <v/>
      </c>
      <c r="J3850" s="65" t="str">
        <f>IF(COUNTA(A3850:G3850)=0,"",IF(E3850&lt;&gt;"",E3850,IF(B3850="","",IFERROR(IF(INDEX(pr_price,MATCH(B3850,pr_code,0))="","",INDEX(pr_price,MATCH(B3850,pr_code,0))),""))))</f>
        <v/>
      </c>
      <c r="K3850" s="71" t="str">
        <f>IF(COUNTA(A3850:G3850)=0,"",IF(G3850&lt;&gt;"",G3850,IF(B3850="","",IFERROR(IF(INDEX(pr_rate,MATCH(B3850,pr_code,0))="","",INDEX(pr_rate,MATCH(B3850,pr_code,0))),""))))</f>
        <v/>
      </c>
      <c r="L3850" s="65" t="str">
        <f>IF(COUNTA(A3850:G3850)=0,"",IF(AND(ISNUMBER(D3850),ISNUMBER(J3850)),ROUND(D3850*J3850*(1-N(F3850)),2),0))</f>
        <v/>
      </c>
      <c r="M3850" s="62" t="str">
        <f>IF(A3850="","",IFERROR(INDEX(fa_cname,MATCH(A3850,fa_num,0))&amp;"",""))</f>
        <v/>
      </c>
      <c r="N3850" s="59" t="str">
        <f>IF(COUNTA(A3850:G3850)=0,"",IF(A3850="","N° facture manquant",IF(ISNA(MATCH(A3850,fa_num,0)),"Facture inconnue",IF(AND(B3850&lt;&gt;"",ISNA(MATCH(B3850,pr_code,0))),"Article inconnu",IF(H3850="","Désignation manquante",IF(OR(NOT(ISNUMBER(D3850)),N(D3850)&lt;=0),"Quantité invalide",IF(J3850="","Prix manquant",IF(OR(NOT(ISNUMBER(J3850)),N(J3850)&lt;0),"Prix invalide",IF(OR(AND(F3850&lt;&gt;"",NOT(ISNUMBER(F3850))),N(F3850)&lt;0,N(F3850)&gt;1),"Remise invalide",IF(K3850="","Taux de TVA manquant",IF(NOT(ISNUMBER(K3850)),"Taux de TVA invalide",IF(COUNTIF(p_rates,K3850)=0,"Taux de TVA hors liste (Paramètres)",IF(N(O3850)&gt;25,"Au-delà de 25 lignes : non imprimée","OK")))))))))))))</f>
        <v/>
      </c>
      <c r="O3850" s="59" t="str">
        <f>IF(A3850="","",COUNTIF($A$6:A3850,A3850))</f>
        <v/>
      </c>
      <c r="P3850" s="62" t="str">
        <f>IF(A3850="","",A3850&amp;"|"&amp;O3850)</f>
        <v/>
      </c>
    </row>
    <row r="3851">
      <c r="A3851" s="60" t="n"/>
      <c r="B3851" s="63" t="n"/>
      <c r="C3851" s="63" t="n"/>
      <c r="D3851" s="67" t="n"/>
      <c r="E3851" s="68" t="n"/>
      <c r="F3851" s="69" t="n"/>
      <c r="G3851" s="70" t="n"/>
      <c r="H3851" s="62" t="str">
        <f>IF(COUNTA(A3851:G3851)=0,"",IF(C3851&lt;&gt;"",C3851,IF(B3851="","",IFERROR(INDEX(pr_des,MATCH(B3851,pr_code,0))&amp;"",""))))</f>
        <v/>
      </c>
      <c r="I3851" s="59" t="str">
        <f>IF(B3851="","",IFERROR(INDEX(pr_unit,MATCH(B3851,pr_code,0))&amp;"",""))</f>
        <v/>
      </c>
      <c r="J3851" s="65" t="str">
        <f>IF(COUNTA(A3851:G3851)=0,"",IF(E3851&lt;&gt;"",E3851,IF(B3851="","",IFERROR(IF(INDEX(pr_price,MATCH(B3851,pr_code,0))="","",INDEX(pr_price,MATCH(B3851,pr_code,0))),""))))</f>
        <v/>
      </c>
      <c r="K3851" s="71" t="str">
        <f>IF(COUNTA(A3851:G3851)=0,"",IF(G3851&lt;&gt;"",G3851,IF(B3851="","",IFERROR(IF(INDEX(pr_rate,MATCH(B3851,pr_code,0))="","",INDEX(pr_rate,MATCH(B3851,pr_code,0))),""))))</f>
        <v/>
      </c>
      <c r="L3851" s="65" t="str">
        <f>IF(COUNTA(A3851:G3851)=0,"",IF(AND(ISNUMBER(D3851),ISNUMBER(J3851)),ROUND(D3851*J3851*(1-N(F3851)),2),0))</f>
        <v/>
      </c>
      <c r="M3851" s="62" t="str">
        <f>IF(A3851="","",IFERROR(INDEX(fa_cname,MATCH(A3851,fa_num,0))&amp;"",""))</f>
        <v/>
      </c>
      <c r="N3851" s="59" t="str">
        <f>IF(COUNTA(A3851:G3851)=0,"",IF(A3851="","N° facture manquant",IF(ISNA(MATCH(A3851,fa_num,0)),"Facture inconnue",IF(AND(B3851&lt;&gt;"",ISNA(MATCH(B3851,pr_code,0))),"Article inconnu",IF(H3851="","Désignation manquante",IF(OR(NOT(ISNUMBER(D3851)),N(D3851)&lt;=0),"Quantité invalide",IF(J3851="","Prix manquant",IF(OR(NOT(ISNUMBER(J3851)),N(J3851)&lt;0),"Prix invalide",IF(OR(AND(F3851&lt;&gt;"",NOT(ISNUMBER(F3851))),N(F3851)&lt;0,N(F3851)&gt;1),"Remise invalide",IF(K3851="","Taux de TVA manquant",IF(NOT(ISNUMBER(K3851)),"Taux de TVA invalide",IF(COUNTIF(p_rates,K3851)=0,"Taux de TVA hors liste (Paramètres)",IF(N(O3851)&gt;25,"Au-delà de 25 lignes : non imprimée","OK")))))))))))))</f>
        <v/>
      </c>
      <c r="O3851" s="59" t="str">
        <f>IF(A3851="","",COUNTIF($A$6:A3851,A3851))</f>
        <v/>
      </c>
      <c r="P3851" s="62" t="str">
        <f>IF(A3851="","",A3851&amp;"|"&amp;O3851)</f>
        <v/>
      </c>
    </row>
    <row r="3852">
      <c r="A3852" s="60" t="n"/>
      <c r="B3852" s="63" t="n"/>
      <c r="C3852" s="63" t="n"/>
      <c r="D3852" s="67" t="n"/>
      <c r="E3852" s="68" t="n"/>
      <c r="F3852" s="69" t="n"/>
      <c r="G3852" s="70" t="n"/>
      <c r="H3852" s="62" t="str">
        <f>IF(COUNTA(A3852:G3852)=0,"",IF(C3852&lt;&gt;"",C3852,IF(B3852="","",IFERROR(INDEX(pr_des,MATCH(B3852,pr_code,0))&amp;"",""))))</f>
        <v/>
      </c>
      <c r="I3852" s="59" t="str">
        <f>IF(B3852="","",IFERROR(INDEX(pr_unit,MATCH(B3852,pr_code,0))&amp;"",""))</f>
        <v/>
      </c>
      <c r="J3852" s="65" t="str">
        <f>IF(COUNTA(A3852:G3852)=0,"",IF(E3852&lt;&gt;"",E3852,IF(B3852="","",IFERROR(IF(INDEX(pr_price,MATCH(B3852,pr_code,0))="","",INDEX(pr_price,MATCH(B3852,pr_code,0))),""))))</f>
        <v/>
      </c>
      <c r="K3852" s="71" t="str">
        <f>IF(COUNTA(A3852:G3852)=0,"",IF(G3852&lt;&gt;"",G3852,IF(B3852="","",IFERROR(IF(INDEX(pr_rate,MATCH(B3852,pr_code,0))="","",INDEX(pr_rate,MATCH(B3852,pr_code,0))),""))))</f>
        <v/>
      </c>
      <c r="L3852" s="65" t="str">
        <f>IF(COUNTA(A3852:G3852)=0,"",IF(AND(ISNUMBER(D3852),ISNUMBER(J3852)),ROUND(D3852*J3852*(1-N(F3852)),2),0))</f>
        <v/>
      </c>
      <c r="M3852" s="62" t="str">
        <f>IF(A3852="","",IFERROR(INDEX(fa_cname,MATCH(A3852,fa_num,0))&amp;"",""))</f>
        <v/>
      </c>
      <c r="N3852" s="59" t="str">
        <f>IF(COUNTA(A3852:G3852)=0,"",IF(A3852="","N° facture manquant",IF(ISNA(MATCH(A3852,fa_num,0)),"Facture inconnue",IF(AND(B3852&lt;&gt;"",ISNA(MATCH(B3852,pr_code,0))),"Article inconnu",IF(H3852="","Désignation manquante",IF(OR(NOT(ISNUMBER(D3852)),N(D3852)&lt;=0),"Quantité invalide",IF(J3852="","Prix manquant",IF(OR(NOT(ISNUMBER(J3852)),N(J3852)&lt;0),"Prix invalide",IF(OR(AND(F3852&lt;&gt;"",NOT(ISNUMBER(F3852))),N(F3852)&lt;0,N(F3852)&gt;1),"Remise invalide",IF(K3852="","Taux de TVA manquant",IF(NOT(ISNUMBER(K3852)),"Taux de TVA invalide",IF(COUNTIF(p_rates,K3852)=0,"Taux de TVA hors liste (Paramètres)",IF(N(O3852)&gt;25,"Au-delà de 25 lignes : non imprimée","OK")))))))))))))</f>
        <v/>
      </c>
      <c r="O3852" s="59" t="str">
        <f>IF(A3852="","",COUNTIF($A$6:A3852,A3852))</f>
        <v/>
      </c>
      <c r="P3852" s="62" t="str">
        <f>IF(A3852="","",A3852&amp;"|"&amp;O3852)</f>
        <v/>
      </c>
    </row>
    <row r="3853">
      <c r="A3853" s="60" t="n"/>
      <c r="B3853" s="63" t="n"/>
      <c r="C3853" s="63" t="n"/>
      <c r="D3853" s="67" t="n"/>
      <c r="E3853" s="68" t="n"/>
      <c r="F3853" s="69" t="n"/>
      <c r="G3853" s="70" t="n"/>
      <c r="H3853" s="62" t="str">
        <f>IF(COUNTA(A3853:G3853)=0,"",IF(C3853&lt;&gt;"",C3853,IF(B3853="","",IFERROR(INDEX(pr_des,MATCH(B3853,pr_code,0))&amp;"",""))))</f>
        <v/>
      </c>
      <c r="I3853" s="59" t="str">
        <f>IF(B3853="","",IFERROR(INDEX(pr_unit,MATCH(B3853,pr_code,0))&amp;"",""))</f>
        <v/>
      </c>
      <c r="J3853" s="65" t="str">
        <f>IF(COUNTA(A3853:G3853)=0,"",IF(E3853&lt;&gt;"",E3853,IF(B3853="","",IFERROR(IF(INDEX(pr_price,MATCH(B3853,pr_code,0))="","",INDEX(pr_price,MATCH(B3853,pr_code,0))),""))))</f>
        <v/>
      </c>
      <c r="K3853" s="71" t="str">
        <f>IF(COUNTA(A3853:G3853)=0,"",IF(G3853&lt;&gt;"",G3853,IF(B3853="","",IFERROR(IF(INDEX(pr_rate,MATCH(B3853,pr_code,0))="","",INDEX(pr_rate,MATCH(B3853,pr_code,0))),""))))</f>
        <v/>
      </c>
      <c r="L3853" s="65" t="str">
        <f>IF(COUNTA(A3853:G3853)=0,"",IF(AND(ISNUMBER(D3853),ISNUMBER(J3853)),ROUND(D3853*J3853*(1-N(F3853)),2),0))</f>
        <v/>
      </c>
      <c r="M3853" s="62" t="str">
        <f>IF(A3853="","",IFERROR(INDEX(fa_cname,MATCH(A3853,fa_num,0))&amp;"",""))</f>
        <v/>
      </c>
      <c r="N3853" s="59" t="str">
        <f>IF(COUNTA(A3853:G3853)=0,"",IF(A3853="","N° facture manquant",IF(ISNA(MATCH(A3853,fa_num,0)),"Facture inconnue",IF(AND(B3853&lt;&gt;"",ISNA(MATCH(B3853,pr_code,0))),"Article inconnu",IF(H3853="","Désignation manquante",IF(OR(NOT(ISNUMBER(D3853)),N(D3853)&lt;=0),"Quantité invalide",IF(J3853="","Prix manquant",IF(OR(NOT(ISNUMBER(J3853)),N(J3853)&lt;0),"Prix invalide",IF(OR(AND(F3853&lt;&gt;"",NOT(ISNUMBER(F3853))),N(F3853)&lt;0,N(F3853)&gt;1),"Remise invalide",IF(K3853="","Taux de TVA manquant",IF(NOT(ISNUMBER(K3853)),"Taux de TVA invalide",IF(COUNTIF(p_rates,K3853)=0,"Taux de TVA hors liste (Paramètres)",IF(N(O3853)&gt;25,"Au-delà de 25 lignes : non imprimée","OK")))))))))))))</f>
        <v/>
      </c>
      <c r="O3853" s="59" t="str">
        <f>IF(A3853="","",COUNTIF($A$6:A3853,A3853))</f>
        <v/>
      </c>
      <c r="P3853" s="62" t="str">
        <f>IF(A3853="","",A3853&amp;"|"&amp;O3853)</f>
        <v/>
      </c>
    </row>
    <row r="3854">
      <c r="A3854" s="60" t="n"/>
      <c r="B3854" s="63" t="n"/>
      <c r="C3854" s="63" t="n"/>
      <c r="D3854" s="67" t="n"/>
      <c r="E3854" s="68" t="n"/>
      <c r="F3854" s="69" t="n"/>
      <c r="G3854" s="70" t="n"/>
      <c r="H3854" s="62" t="str">
        <f>IF(COUNTA(A3854:G3854)=0,"",IF(C3854&lt;&gt;"",C3854,IF(B3854="","",IFERROR(INDEX(pr_des,MATCH(B3854,pr_code,0))&amp;"",""))))</f>
        <v/>
      </c>
      <c r="I3854" s="59" t="str">
        <f>IF(B3854="","",IFERROR(INDEX(pr_unit,MATCH(B3854,pr_code,0))&amp;"",""))</f>
        <v/>
      </c>
      <c r="J3854" s="65" t="str">
        <f>IF(COUNTA(A3854:G3854)=0,"",IF(E3854&lt;&gt;"",E3854,IF(B3854="","",IFERROR(IF(INDEX(pr_price,MATCH(B3854,pr_code,0))="","",INDEX(pr_price,MATCH(B3854,pr_code,0))),""))))</f>
        <v/>
      </c>
      <c r="K3854" s="71" t="str">
        <f>IF(COUNTA(A3854:G3854)=0,"",IF(G3854&lt;&gt;"",G3854,IF(B3854="","",IFERROR(IF(INDEX(pr_rate,MATCH(B3854,pr_code,0))="","",INDEX(pr_rate,MATCH(B3854,pr_code,0))),""))))</f>
        <v/>
      </c>
      <c r="L3854" s="65" t="str">
        <f>IF(COUNTA(A3854:G3854)=0,"",IF(AND(ISNUMBER(D3854),ISNUMBER(J3854)),ROUND(D3854*J3854*(1-N(F3854)),2),0))</f>
        <v/>
      </c>
      <c r="M3854" s="62" t="str">
        <f>IF(A3854="","",IFERROR(INDEX(fa_cname,MATCH(A3854,fa_num,0))&amp;"",""))</f>
        <v/>
      </c>
      <c r="N3854" s="59" t="str">
        <f>IF(COUNTA(A3854:G3854)=0,"",IF(A3854="","N° facture manquant",IF(ISNA(MATCH(A3854,fa_num,0)),"Facture inconnue",IF(AND(B3854&lt;&gt;"",ISNA(MATCH(B3854,pr_code,0))),"Article inconnu",IF(H3854="","Désignation manquante",IF(OR(NOT(ISNUMBER(D3854)),N(D3854)&lt;=0),"Quantité invalide",IF(J3854="","Prix manquant",IF(OR(NOT(ISNUMBER(J3854)),N(J3854)&lt;0),"Prix invalide",IF(OR(AND(F3854&lt;&gt;"",NOT(ISNUMBER(F3854))),N(F3854)&lt;0,N(F3854)&gt;1),"Remise invalide",IF(K3854="","Taux de TVA manquant",IF(NOT(ISNUMBER(K3854)),"Taux de TVA invalide",IF(COUNTIF(p_rates,K3854)=0,"Taux de TVA hors liste (Paramètres)",IF(N(O3854)&gt;25,"Au-delà de 25 lignes : non imprimée","OK")))))))))))))</f>
        <v/>
      </c>
      <c r="O3854" s="59" t="str">
        <f>IF(A3854="","",COUNTIF($A$6:A3854,A3854))</f>
        <v/>
      </c>
      <c r="P3854" s="62" t="str">
        <f>IF(A3854="","",A3854&amp;"|"&amp;O3854)</f>
        <v/>
      </c>
    </row>
    <row r="3855">
      <c r="A3855" s="60" t="n"/>
      <c r="B3855" s="63" t="n"/>
      <c r="C3855" s="63" t="n"/>
      <c r="D3855" s="67" t="n"/>
      <c r="E3855" s="68" t="n"/>
      <c r="F3855" s="69" t="n"/>
      <c r="G3855" s="70" t="n"/>
      <c r="H3855" s="62" t="str">
        <f>IF(COUNTA(A3855:G3855)=0,"",IF(C3855&lt;&gt;"",C3855,IF(B3855="","",IFERROR(INDEX(pr_des,MATCH(B3855,pr_code,0))&amp;"",""))))</f>
        <v/>
      </c>
      <c r="I3855" s="59" t="str">
        <f>IF(B3855="","",IFERROR(INDEX(pr_unit,MATCH(B3855,pr_code,0))&amp;"",""))</f>
        <v/>
      </c>
      <c r="J3855" s="65" t="str">
        <f>IF(COUNTA(A3855:G3855)=0,"",IF(E3855&lt;&gt;"",E3855,IF(B3855="","",IFERROR(IF(INDEX(pr_price,MATCH(B3855,pr_code,0))="","",INDEX(pr_price,MATCH(B3855,pr_code,0))),""))))</f>
        <v/>
      </c>
      <c r="K3855" s="71" t="str">
        <f>IF(COUNTA(A3855:G3855)=0,"",IF(G3855&lt;&gt;"",G3855,IF(B3855="","",IFERROR(IF(INDEX(pr_rate,MATCH(B3855,pr_code,0))="","",INDEX(pr_rate,MATCH(B3855,pr_code,0))),""))))</f>
        <v/>
      </c>
      <c r="L3855" s="65" t="str">
        <f>IF(COUNTA(A3855:G3855)=0,"",IF(AND(ISNUMBER(D3855),ISNUMBER(J3855)),ROUND(D3855*J3855*(1-N(F3855)),2),0))</f>
        <v/>
      </c>
      <c r="M3855" s="62" t="str">
        <f>IF(A3855="","",IFERROR(INDEX(fa_cname,MATCH(A3855,fa_num,0))&amp;"",""))</f>
        <v/>
      </c>
      <c r="N3855" s="59" t="str">
        <f>IF(COUNTA(A3855:G3855)=0,"",IF(A3855="","N° facture manquant",IF(ISNA(MATCH(A3855,fa_num,0)),"Facture inconnue",IF(AND(B3855&lt;&gt;"",ISNA(MATCH(B3855,pr_code,0))),"Article inconnu",IF(H3855="","Désignation manquante",IF(OR(NOT(ISNUMBER(D3855)),N(D3855)&lt;=0),"Quantité invalide",IF(J3855="","Prix manquant",IF(OR(NOT(ISNUMBER(J3855)),N(J3855)&lt;0),"Prix invalide",IF(OR(AND(F3855&lt;&gt;"",NOT(ISNUMBER(F3855))),N(F3855)&lt;0,N(F3855)&gt;1),"Remise invalide",IF(K3855="","Taux de TVA manquant",IF(NOT(ISNUMBER(K3855)),"Taux de TVA invalide",IF(COUNTIF(p_rates,K3855)=0,"Taux de TVA hors liste (Paramètres)",IF(N(O3855)&gt;25,"Au-delà de 25 lignes : non imprimée","OK")))))))))))))</f>
        <v/>
      </c>
      <c r="O3855" s="59" t="str">
        <f>IF(A3855="","",COUNTIF($A$6:A3855,A3855))</f>
        <v/>
      </c>
      <c r="P3855" s="62" t="str">
        <f>IF(A3855="","",A3855&amp;"|"&amp;O3855)</f>
        <v/>
      </c>
    </row>
    <row r="3856">
      <c r="A3856" s="60" t="n"/>
      <c r="B3856" s="63" t="n"/>
      <c r="C3856" s="63" t="n"/>
      <c r="D3856" s="67" t="n"/>
      <c r="E3856" s="68" t="n"/>
      <c r="F3856" s="69" t="n"/>
      <c r="G3856" s="70" t="n"/>
      <c r="H3856" s="62" t="str">
        <f>IF(COUNTA(A3856:G3856)=0,"",IF(C3856&lt;&gt;"",C3856,IF(B3856="","",IFERROR(INDEX(pr_des,MATCH(B3856,pr_code,0))&amp;"",""))))</f>
        <v/>
      </c>
      <c r="I3856" s="59" t="str">
        <f>IF(B3856="","",IFERROR(INDEX(pr_unit,MATCH(B3856,pr_code,0))&amp;"",""))</f>
        <v/>
      </c>
      <c r="J3856" s="65" t="str">
        <f>IF(COUNTA(A3856:G3856)=0,"",IF(E3856&lt;&gt;"",E3856,IF(B3856="","",IFERROR(IF(INDEX(pr_price,MATCH(B3856,pr_code,0))="","",INDEX(pr_price,MATCH(B3856,pr_code,0))),""))))</f>
        <v/>
      </c>
      <c r="K3856" s="71" t="str">
        <f>IF(COUNTA(A3856:G3856)=0,"",IF(G3856&lt;&gt;"",G3856,IF(B3856="","",IFERROR(IF(INDEX(pr_rate,MATCH(B3856,pr_code,0))="","",INDEX(pr_rate,MATCH(B3856,pr_code,0))),""))))</f>
        <v/>
      </c>
      <c r="L3856" s="65" t="str">
        <f>IF(COUNTA(A3856:G3856)=0,"",IF(AND(ISNUMBER(D3856),ISNUMBER(J3856)),ROUND(D3856*J3856*(1-N(F3856)),2),0))</f>
        <v/>
      </c>
      <c r="M3856" s="62" t="str">
        <f>IF(A3856="","",IFERROR(INDEX(fa_cname,MATCH(A3856,fa_num,0))&amp;"",""))</f>
        <v/>
      </c>
      <c r="N3856" s="59" t="str">
        <f>IF(COUNTA(A3856:G3856)=0,"",IF(A3856="","N° facture manquant",IF(ISNA(MATCH(A3856,fa_num,0)),"Facture inconnue",IF(AND(B3856&lt;&gt;"",ISNA(MATCH(B3856,pr_code,0))),"Article inconnu",IF(H3856="","Désignation manquante",IF(OR(NOT(ISNUMBER(D3856)),N(D3856)&lt;=0),"Quantité invalide",IF(J3856="","Prix manquant",IF(OR(NOT(ISNUMBER(J3856)),N(J3856)&lt;0),"Prix invalide",IF(OR(AND(F3856&lt;&gt;"",NOT(ISNUMBER(F3856))),N(F3856)&lt;0,N(F3856)&gt;1),"Remise invalide",IF(K3856="","Taux de TVA manquant",IF(NOT(ISNUMBER(K3856)),"Taux de TVA invalide",IF(COUNTIF(p_rates,K3856)=0,"Taux de TVA hors liste (Paramètres)",IF(N(O3856)&gt;25,"Au-delà de 25 lignes : non imprimée","OK")))))))))))))</f>
        <v/>
      </c>
      <c r="O3856" s="59" t="str">
        <f>IF(A3856="","",COUNTIF($A$6:A3856,A3856))</f>
        <v/>
      </c>
      <c r="P3856" s="62" t="str">
        <f>IF(A3856="","",A3856&amp;"|"&amp;O3856)</f>
        <v/>
      </c>
    </row>
    <row r="3857">
      <c r="A3857" s="60" t="n"/>
      <c r="B3857" s="63" t="n"/>
      <c r="C3857" s="63" t="n"/>
      <c r="D3857" s="67" t="n"/>
      <c r="E3857" s="68" t="n"/>
      <c r="F3857" s="69" t="n"/>
      <c r="G3857" s="70" t="n"/>
      <c r="H3857" s="62" t="str">
        <f>IF(COUNTA(A3857:G3857)=0,"",IF(C3857&lt;&gt;"",C3857,IF(B3857="","",IFERROR(INDEX(pr_des,MATCH(B3857,pr_code,0))&amp;"",""))))</f>
        <v/>
      </c>
      <c r="I3857" s="59" t="str">
        <f>IF(B3857="","",IFERROR(INDEX(pr_unit,MATCH(B3857,pr_code,0))&amp;"",""))</f>
        <v/>
      </c>
      <c r="J3857" s="65" t="str">
        <f>IF(COUNTA(A3857:G3857)=0,"",IF(E3857&lt;&gt;"",E3857,IF(B3857="","",IFERROR(IF(INDEX(pr_price,MATCH(B3857,pr_code,0))="","",INDEX(pr_price,MATCH(B3857,pr_code,0))),""))))</f>
        <v/>
      </c>
      <c r="K3857" s="71" t="str">
        <f>IF(COUNTA(A3857:G3857)=0,"",IF(G3857&lt;&gt;"",G3857,IF(B3857="","",IFERROR(IF(INDEX(pr_rate,MATCH(B3857,pr_code,0))="","",INDEX(pr_rate,MATCH(B3857,pr_code,0))),""))))</f>
        <v/>
      </c>
      <c r="L3857" s="65" t="str">
        <f>IF(COUNTA(A3857:G3857)=0,"",IF(AND(ISNUMBER(D3857),ISNUMBER(J3857)),ROUND(D3857*J3857*(1-N(F3857)),2),0))</f>
        <v/>
      </c>
      <c r="M3857" s="62" t="str">
        <f>IF(A3857="","",IFERROR(INDEX(fa_cname,MATCH(A3857,fa_num,0))&amp;"",""))</f>
        <v/>
      </c>
      <c r="N3857" s="59" t="str">
        <f>IF(COUNTA(A3857:G3857)=0,"",IF(A3857="","N° facture manquant",IF(ISNA(MATCH(A3857,fa_num,0)),"Facture inconnue",IF(AND(B3857&lt;&gt;"",ISNA(MATCH(B3857,pr_code,0))),"Article inconnu",IF(H3857="","Désignation manquante",IF(OR(NOT(ISNUMBER(D3857)),N(D3857)&lt;=0),"Quantité invalide",IF(J3857="","Prix manquant",IF(OR(NOT(ISNUMBER(J3857)),N(J3857)&lt;0),"Prix invalide",IF(OR(AND(F3857&lt;&gt;"",NOT(ISNUMBER(F3857))),N(F3857)&lt;0,N(F3857)&gt;1),"Remise invalide",IF(K3857="","Taux de TVA manquant",IF(NOT(ISNUMBER(K3857)),"Taux de TVA invalide",IF(COUNTIF(p_rates,K3857)=0,"Taux de TVA hors liste (Paramètres)",IF(N(O3857)&gt;25,"Au-delà de 25 lignes : non imprimée","OK")))))))))))))</f>
        <v/>
      </c>
      <c r="O3857" s="59" t="str">
        <f>IF(A3857="","",COUNTIF($A$6:A3857,A3857))</f>
        <v/>
      </c>
      <c r="P3857" s="62" t="str">
        <f>IF(A3857="","",A3857&amp;"|"&amp;O3857)</f>
        <v/>
      </c>
    </row>
    <row r="3858">
      <c r="A3858" s="60" t="n"/>
      <c r="B3858" s="63" t="n"/>
      <c r="C3858" s="63" t="n"/>
      <c r="D3858" s="67" t="n"/>
      <c r="E3858" s="68" t="n"/>
      <c r="F3858" s="69" t="n"/>
      <c r="G3858" s="70" t="n"/>
      <c r="H3858" s="62" t="str">
        <f>IF(COUNTA(A3858:G3858)=0,"",IF(C3858&lt;&gt;"",C3858,IF(B3858="","",IFERROR(INDEX(pr_des,MATCH(B3858,pr_code,0))&amp;"",""))))</f>
        <v/>
      </c>
      <c r="I3858" s="59" t="str">
        <f>IF(B3858="","",IFERROR(INDEX(pr_unit,MATCH(B3858,pr_code,0))&amp;"",""))</f>
        <v/>
      </c>
      <c r="J3858" s="65" t="str">
        <f>IF(COUNTA(A3858:G3858)=0,"",IF(E3858&lt;&gt;"",E3858,IF(B3858="","",IFERROR(IF(INDEX(pr_price,MATCH(B3858,pr_code,0))="","",INDEX(pr_price,MATCH(B3858,pr_code,0))),""))))</f>
        <v/>
      </c>
      <c r="K3858" s="71" t="str">
        <f>IF(COUNTA(A3858:G3858)=0,"",IF(G3858&lt;&gt;"",G3858,IF(B3858="","",IFERROR(IF(INDEX(pr_rate,MATCH(B3858,pr_code,0))="","",INDEX(pr_rate,MATCH(B3858,pr_code,0))),""))))</f>
        <v/>
      </c>
      <c r="L3858" s="65" t="str">
        <f>IF(COUNTA(A3858:G3858)=0,"",IF(AND(ISNUMBER(D3858),ISNUMBER(J3858)),ROUND(D3858*J3858*(1-N(F3858)),2),0))</f>
        <v/>
      </c>
      <c r="M3858" s="62" t="str">
        <f>IF(A3858="","",IFERROR(INDEX(fa_cname,MATCH(A3858,fa_num,0))&amp;"",""))</f>
        <v/>
      </c>
      <c r="N3858" s="59" t="str">
        <f>IF(COUNTA(A3858:G3858)=0,"",IF(A3858="","N° facture manquant",IF(ISNA(MATCH(A3858,fa_num,0)),"Facture inconnue",IF(AND(B3858&lt;&gt;"",ISNA(MATCH(B3858,pr_code,0))),"Article inconnu",IF(H3858="","Désignation manquante",IF(OR(NOT(ISNUMBER(D3858)),N(D3858)&lt;=0),"Quantité invalide",IF(J3858="","Prix manquant",IF(OR(NOT(ISNUMBER(J3858)),N(J3858)&lt;0),"Prix invalide",IF(OR(AND(F3858&lt;&gt;"",NOT(ISNUMBER(F3858))),N(F3858)&lt;0,N(F3858)&gt;1),"Remise invalide",IF(K3858="","Taux de TVA manquant",IF(NOT(ISNUMBER(K3858)),"Taux de TVA invalide",IF(COUNTIF(p_rates,K3858)=0,"Taux de TVA hors liste (Paramètres)",IF(N(O3858)&gt;25,"Au-delà de 25 lignes : non imprimée","OK")))))))))))))</f>
        <v/>
      </c>
      <c r="O3858" s="59" t="str">
        <f>IF(A3858="","",COUNTIF($A$6:A3858,A3858))</f>
        <v/>
      </c>
      <c r="P3858" s="62" t="str">
        <f>IF(A3858="","",A3858&amp;"|"&amp;O3858)</f>
        <v/>
      </c>
    </row>
    <row r="3859">
      <c r="A3859" s="60" t="n"/>
      <c r="B3859" s="63" t="n"/>
      <c r="C3859" s="63" t="n"/>
      <c r="D3859" s="67" t="n"/>
      <c r="E3859" s="68" t="n"/>
      <c r="F3859" s="69" t="n"/>
      <c r="G3859" s="70" t="n"/>
      <c r="H3859" s="62" t="str">
        <f>IF(COUNTA(A3859:G3859)=0,"",IF(C3859&lt;&gt;"",C3859,IF(B3859="","",IFERROR(INDEX(pr_des,MATCH(B3859,pr_code,0))&amp;"",""))))</f>
        <v/>
      </c>
      <c r="I3859" s="59" t="str">
        <f>IF(B3859="","",IFERROR(INDEX(pr_unit,MATCH(B3859,pr_code,0))&amp;"",""))</f>
        <v/>
      </c>
      <c r="J3859" s="65" t="str">
        <f>IF(COUNTA(A3859:G3859)=0,"",IF(E3859&lt;&gt;"",E3859,IF(B3859="","",IFERROR(IF(INDEX(pr_price,MATCH(B3859,pr_code,0))="","",INDEX(pr_price,MATCH(B3859,pr_code,0))),""))))</f>
        <v/>
      </c>
      <c r="K3859" s="71" t="str">
        <f>IF(COUNTA(A3859:G3859)=0,"",IF(G3859&lt;&gt;"",G3859,IF(B3859="","",IFERROR(IF(INDEX(pr_rate,MATCH(B3859,pr_code,0))="","",INDEX(pr_rate,MATCH(B3859,pr_code,0))),""))))</f>
        <v/>
      </c>
      <c r="L3859" s="65" t="str">
        <f>IF(COUNTA(A3859:G3859)=0,"",IF(AND(ISNUMBER(D3859),ISNUMBER(J3859)),ROUND(D3859*J3859*(1-N(F3859)),2),0))</f>
        <v/>
      </c>
      <c r="M3859" s="62" t="str">
        <f>IF(A3859="","",IFERROR(INDEX(fa_cname,MATCH(A3859,fa_num,0))&amp;"",""))</f>
        <v/>
      </c>
      <c r="N3859" s="59" t="str">
        <f>IF(COUNTA(A3859:G3859)=0,"",IF(A3859="","N° facture manquant",IF(ISNA(MATCH(A3859,fa_num,0)),"Facture inconnue",IF(AND(B3859&lt;&gt;"",ISNA(MATCH(B3859,pr_code,0))),"Article inconnu",IF(H3859="","Désignation manquante",IF(OR(NOT(ISNUMBER(D3859)),N(D3859)&lt;=0),"Quantité invalide",IF(J3859="","Prix manquant",IF(OR(NOT(ISNUMBER(J3859)),N(J3859)&lt;0),"Prix invalide",IF(OR(AND(F3859&lt;&gt;"",NOT(ISNUMBER(F3859))),N(F3859)&lt;0,N(F3859)&gt;1),"Remise invalide",IF(K3859="","Taux de TVA manquant",IF(NOT(ISNUMBER(K3859)),"Taux de TVA invalide",IF(COUNTIF(p_rates,K3859)=0,"Taux de TVA hors liste (Paramètres)",IF(N(O3859)&gt;25,"Au-delà de 25 lignes : non imprimée","OK")))))))))))))</f>
        <v/>
      </c>
      <c r="O3859" s="59" t="str">
        <f>IF(A3859="","",COUNTIF($A$6:A3859,A3859))</f>
        <v/>
      </c>
      <c r="P3859" s="62" t="str">
        <f>IF(A3859="","",A3859&amp;"|"&amp;O3859)</f>
        <v/>
      </c>
    </row>
    <row r="3860">
      <c r="A3860" s="60" t="n"/>
      <c r="B3860" s="63" t="n"/>
      <c r="C3860" s="63" t="n"/>
      <c r="D3860" s="67" t="n"/>
      <c r="E3860" s="68" t="n"/>
      <c r="F3860" s="69" t="n"/>
      <c r="G3860" s="70" t="n"/>
      <c r="H3860" s="62" t="str">
        <f>IF(COUNTA(A3860:G3860)=0,"",IF(C3860&lt;&gt;"",C3860,IF(B3860="","",IFERROR(INDEX(pr_des,MATCH(B3860,pr_code,0))&amp;"",""))))</f>
        <v/>
      </c>
      <c r="I3860" s="59" t="str">
        <f>IF(B3860="","",IFERROR(INDEX(pr_unit,MATCH(B3860,pr_code,0))&amp;"",""))</f>
        <v/>
      </c>
      <c r="J3860" s="65" t="str">
        <f>IF(COUNTA(A3860:G3860)=0,"",IF(E3860&lt;&gt;"",E3860,IF(B3860="","",IFERROR(IF(INDEX(pr_price,MATCH(B3860,pr_code,0))="","",INDEX(pr_price,MATCH(B3860,pr_code,0))),""))))</f>
        <v/>
      </c>
      <c r="K3860" s="71" t="str">
        <f>IF(COUNTA(A3860:G3860)=0,"",IF(G3860&lt;&gt;"",G3860,IF(B3860="","",IFERROR(IF(INDEX(pr_rate,MATCH(B3860,pr_code,0))="","",INDEX(pr_rate,MATCH(B3860,pr_code,0))),""))))</f>
        <v/>
      </c>
      <c r="L3860" s="65" t="str">
        <f>IF(COUNTA(A3860:G3860)=0,"",IF(AND(ISNUMBER(D3860),ISNUMBER(J3860)),ROUND(D3860*J3860*(1-N(F3860)),2),0))</f>
        <v/>
      </c>
      <c r="M3860" s="62" t="str">
        <f>IF(A3860="","",IFERROR(INDEX(fa_cname,MATCH(A3860,fa_num,0))&amp;"",""))</f>
        <v/>
      </c>
      <c r="N3860" s="59" t="str">
        <f>IF(COUNTA(A3860:G3860)=0,"",IF(A3860="","N° facture manquant",IF(ISNA(MATCH(A3860,fa_num,0)),"Facture inconnue",IF(AND(B3860&lt;&gt;"",ISNA(MATCH(B3860,pr_code,0))),"Article inconnu",IF(H3860="","Désignation manquante",IF(OR(NOT(ISNUMBER(D3860)),N(D3860)&lt;=0),"Quantité invalide",IF(J3860="","Prix manquant",IF(OR(NOT(ISNUMBER(J3860)),N(J3860)&lt;0),"Prix invalide",IF(OR(AND(F3860&lt;&gt;"",NOT(ISNUMBER(F3860))),N(F3860)&lt;0,N(F3860)&gt;1),"Remise invalide",IF(K3860="","Taux de TVA manquant",IF(NOT(ISNUMBER(K3860)),"Taux de TVA invalide",IF(COUNTIF(p_rates,K3860)=0,"Taux de TVA hors liste (Paramètres)",IF(N(O3860)&gt;25,"Au-delà de 25 lignes : non imprimée","OK")))))))))))))</f>
        <v/>
      </c>
      <c r="O3860" s="59" t="str">
        <f>IF(A3860="","",COUNTIF($A$6:A3860,A3860))</f>
        <v/>
      </c>
      <c r="P3860" s="62" t="str">
        <f>IF(A3860="","",A3860&amp;"|"&amp;O3860)</f>
        <v/>
      </c>
    </row>
    <row r="3861">
      <c r="A3861" s="60" t="n"/>
      <c r="B3861" s="63" t="n"/>
      <c r="C3861" s="63" t="n"/>
      <c r="D3861" s="67" t="n"/>
      <c r="E3861" s="68" t="n"/>
      <c r="F3861" s="69" t="n"/>
      <c r="G3861" s="70" t="n"/>
      <c r="H3861" s="62" t="str">
        <f>IF(COUNTA(A3861:G3861)=0,"",IF(C3861&lt;&gt;"",C3861,IF(B3861="","",IFERROR(INDEX(pr_des,MATCH(B3861,pr_code,0))&amp;"",""))))</f>
        <v/>
      </c>
      <c r="I3861" s="59" t="str">
        <f>IF(B3861="","",IFERROR(INDEX(pr_unit,MATCH(B3861,pr_code,0))&amp;"",""))</f>
        <v/>
      </c>
      <c r="J3861" s="65" t="str">
        <f>IF(COUNTA(A3861:G3861)=0,"",IF(E3861&lt;&gt;"",E3861,IF(B3861="","",IFERROR(IF(INDEX(pr_price,MATCH(B3861,pr_code,0))="","",INDEX(pr_price,MATCH(B3861,pr_code,0))),""))))</f>
        <v/>
      </c>
      <c r="K3861" s="71" t="str">
        <f>IF(COUNTA(A3861:G3861)=0,"",IF(G3861&lt;&gt;"",G3861,IF(B3861="","",IFERROR(IF(INDEX(pr_rate,MATCH(B3861,pr_code,0))="","",INDEX(pr_rate,MATCH(B3861,pr_code,0))),""))))</f>
        <v/>
      </c>
      <c r="L3861" s="65" t="str">
        <f>IF(COUNTA(A3861:G3861)=0,"",IF(AND(ISNUMBER(D3861),ISNUMBER(J3861)),ROUND(D3861*J3861*(1-N(F3861)),2),0))</f>
        <v/>
      </c>
      <c r="M3861" s="62" t="str">
        <f>IF(A3861="","",IFERROR(INDEX(fa_cname,MATCH(A3861,fa_num,0))&amp;"",""))</f>
        <v/>
      </c>
      <c r="N3861" s="59" t="str">
        <f>IF(COUNTA(A3861:G3861)=0,"",IF(A3861="","N° facture manquant",IF(ISNA(MATCH(A3861,fa_num,0)),"Facture inconnue",IF(AND(B3861&lt;&gt;"",ISNA(MATCH(B3861,pr_code,0))),"Article inconnu",IF(H3861="","Désignation manquante",IF(OR(NOT(ISNUMBER(D3861)),N(D3861)&lt;=0),"Quantité invalide",IF(J3861="","Prix manquant",IF(OR(NOT(ISNUMBER(J3861)),N(J3861)&lt;0),"Prix invalide",IF(OR(AND(F3861&lt;&gt;"",NOT(ISNUMBER(F3861))),N(F3861)&lt;0,N(F3861)&gt;1),"Remise invalide",IF(K3861="","Taux de TVA manquant",IF(NOT(ISNUMBER(K3861)),"Taux de TVA invalide",IF(COUNTIF(p_rates,K3861)=0,"Taux de TVA hors liste (Paramètres)",IF(N(O3861)&gt;25,"Au-delà de 25 lignes : non imprimée","OK")))))))))))))</f>
        <v/>
      </c>
      <c r="O3861" s="59" t="str">
        <f>IF(A3861="","",COUNTIF($A$6:A3861,A3861))</f>
        <v/>
      </c>
      <c r="P3861" s="62" t="str">
        <f>IF(A3861="","",A3861&amp;"|"&amp;O3861)</f>
        <v/>
      </c>
    </row>
    <row r="3862">
      <c r="A3862" s="60" t="n"/>
      <c r="B3862" s="63" t="n"/>
      <c r="C3862" s="63" t="n"/>
      <c r="D3862" s="67" t="n"/>
      <c r="E3862" s="68" t="n"/>
      <c r="F3862" s="69" t="n"/>
      <c r="G3862" s="70" t="n"/>
      <c r="H3862" s="62" t="str">
        <f>IF(COUNTA(A3862:G3862)=0,"",IF(C3862&lt;&gt;"",C3862,IF(B3862="","",IFERROR(INDEX(pr_des,MATCH(B3862,pr_code,0))&amp;"",""))))</f>
        <v/>
      </c>
      <c r="I3862" s="59" t="str">
        <f>IF(B3862="","",IFERROR(INDEX(pr_unit,MATCH(B3862,pr_code,0))&amp;"",""))</f>
        <v/>
      </c>
      <c r="J3862" s="65" t="str">
        <f>IF(COUNTA(A3862:G3862)=0,"",IF(E3862&lt;&gt;"",E3862,IF(B3862="","",IFERROR(IF(INDEX(pr_price,MATCH(B3862,pr_code,0))="","",INDEX(pr_price,MATCH(B3862,pr_code,0))),""))))</f>
        <v/>
      </c>
      <c r="K3862" s="71" t="str">
        <f>IF(COUNTA(A3862:G3862)=0,"",IF(G3862&lt;&gt;"",G3862,IF(B3862="","",IFERROR(IF(INDEX(pr_rate,MATCH(B3862,pr_code,0))="","",INDEX(pr_rate,MATCH(B3862,pr_code,0))),""))))</f>
        <v/>
      </c>
      <c r="L3862" s="65" t="str">
        <f>IF(COUNTA(A3862:G3862)=0,"",IF(AND(ISNUMBER(D3862),ISNUMBER(J3862)),ROUND(D3862*J3862*(1-N(F3862)),2),0))</f>
        <v/>
      </c>
      <c r="M3862" s="62" t="str">
        <f>IF(A3862="","",IFERROR(INDEX(fa_cname,MATCH(A3862,fa_num,0))&amp;"",""))</f>
        <v/>
      </c>
      <c r="N3862" s="59" t="str">
        <f>IF(COUNTA(A3862:G3862)=0,"",IF(A3862="","N° facture manquant",IF(ISNA(MATCH(A3862,fa_num,0)),"Facture inconnue",IF(AND(B3862&lt;&gt;"",ISNA(MATCH(B3862,pr_code,0))),"Article inconnu",IF(H3862="","Désignation manquante",IF(OR(NOT(ISNUMBER(D3862)),N(D3862)&lt;=0),"Quantité invalide",IF(J3862="","Prix manquant",IF(OR(NOT(ISNUMBER(J3862)),N(J3862)&lt;0),"Prix invalide",IF(OR(AND(F3862&lt;&gt;"",NOT(ISNUMBER(F3862))),N(F3862)&lt;0,N(F3862)&gt;1),"Remise invalide",IF(K3862="","Taux de TVA manquant",IF(NOT(ISNUMBER(K3862)),"Taux de TVA invalide",IF(COUNTIF(p_rates,K3862)=0,"Taux de TVA hors liste (Paramètres)",IF(N(O3862)&gt;25,"Au-delà de 25 lignes : non imprimée","OK")))))))))))))</f>
        <v/>
      </c>
      <c r="O3862" s="59" t="str">
        <f>IF(A3862="","",COUNTIF($A$6:A3862,A3862))</f>
        <v/>
      </c>
      <c r="P3862" s="62" t="str">
        <f>IF(A3862="","",A3862&amp;"|"&amp;O3862)</f>
        <v/>
      </c>
    </row>
    <row r="3863">
      <c r="A3863" s="60" t="n"/>
      <c r="B3863" s="63" t="n"/>
      <c r="C3863" s="63" t="n"/>
      <c r="D3863" s="67" t="n"/>
      <c r="E3863" s="68" t="n"/>
      <c r="F3863" s="69" t="n"/>
      <c r="G3863" s="70" t="n"/>
      <c r="H3863" s="62" t="str">
        <f>IF(COUNTA(A3863:G3863)=0,"",IF(C3863&lt;&gt;"",C3863,IF(B3863="","",IFERROR(INDEX(pr_des,MATCH(B3863,pr_code,0))&amp;"",""))))</f>
        <v/>
      </c>
      <c r="I3863" s="59" t="str">
        <f>IF(B3863="","",IFERROR(INDEX(pr_unit,MATCH(B3863,pr_code,0))&amp;"",""))</f>
        <v/>
      </c>
      <c r="J3863" s="65" t="str">
        <f>IF(COUNTA(A3863:G3863)=0,"",IF(E3863&lt;&gt;"",E3863,IF(B3863="","",IFERROR(IF(INDEX(pr_price,MATCH(B3863,pr_code,0))="","",INDEX(pr_price,MATCH(B3863,pr_code,0))),""))))</f>
        <v/>
      </c>
      <c r="K3863" s="71" t="str">
        <f>IF(COUNTA(A3863:G3863)=0,"",IF(G3863&lt;&gt;"",G3863,IF(B3863="","",IFERROR(IF(INDEX(pr_rate,MATCH(B3863,pr_code,0))="","",INDEX(pr_rate,MATCH(B3863,pr_code,0))),""))))</f>
        <v/>
      </c>
      <c r="L3863" s="65" t="str">
        <f>IF(COUNTA(A3863:G3863)=0,"",IF(AND(ISNUMBER(D3863),ISNUMBER(J3863)),ROUND(D3863*J3863*(1-N(F3863)),2),0))</f>
        <v/>
      </c>
      <c r="M3863" s="62" t="str">
        <f>IF(A3863="","",IFERROR(INDEX(fa_cname,MATCH(A3863,fa_num,0))&amp;"",""))</f>
        <v/>
      </c>
      <c r="N3863" s="59" t="str">
        <f>IF(COUNTA(A3863:G3863)=0,"",IF(A3863="","N° facture manquant",IF(ISNA(MATCH(A3863,fa_num,0)),"Facture inconnue",IF(AND(B3863&lt;&gt;"",ISNA(MATCH(B3863,pr_code,0))),"Article inconnu",IF(H3863="","Désignation manquante",IF(OR(NOT(ISNUMBER(D3863)),N(D3863)&lt;=0),"Quantité invalide",IF(J3863="","Prix manquant",IF(OR(NOT(ISNUMBER(J3863)),N(J3863)&lt;0),"Prix invalide",IF(OR(AND(F3863&lt;&gt;"",NOT(ISNUMBER(F3863))),N(F3863)&lt;0,N(F3863)&gt;1),"Remise invalide",IF(K3863="","Taux de TVA manquant",IF(NOT(ISNUMBER(K3863)),"Taux de TVA invalide",IF(COUNTIF(p_rates,K3863)=0,"Taux de TVA hors liste (Paramètres)",IF(N(O3863)&gt;25,"Au-delà de 25 lignes : non imprimée","OK")))))))))))))</f>
        <v/>
      </c>
      <c r="O3863" s="59" t="str">
        <f>IF(A3863="","",COUNTIF($A$6:A3863,A3863))</f>
        <v/>
      </c>
      <c r="P3863" s="62" t="str">
        <f>IF(A3863="","",A3863&amp;"|"&amp;O3863)</f>
        <v/>
      </c>
    </row>
    <row r="3864">
      <c r="A3864" s="60" t="n"/>
      <c r="B3864" s="63" t="n"/>
      <c r="C3864" s="63" t="n"/>
      <c r="D3864" s="67" t="n"/>
      <c r="E3864" s="68" t="n"/>
      <c r="F3864" s="69" t="n"/>
      <c r="G3864" s="70" t="n"/>
      <c r="H3864" s="62" t="str">
        <f>IF(COUNTA(A3864:G3864)=0,"",IF(C3864&lt;&gt;"",C3864,IF(B3864="","",IFERROR(INDEX(pr_des,MATCH(B3864,pr_code,0))&amp;"",""))))</f>
        <v/>
      </c>
      <c r="I3864" s="59" t="str">
        <f>IF(B3864="","",IFERROR(INDEX(pr_unit,MATCH(B3864,pr_code,0))&amp;"",""))</f>
        <v/>
      </c>
      <c r="J3864" s="65" t="str">
        <f>IF(COUNTA(A3864:G3864)=0,"",IF(E3864&lt;&gt;"",E3864,IF(B3864="","",IFERROR(IF(INDEX(pr_price,MATCH(B3864,pr_code,0))="","",INDEX(pr_price,MATCH(B3864,pr_code,0))),""))))</f>
        <v/>
      </c>
      <c r="K3864" s="71" t="str">
        <f>IF(COUNTA(A3864:G3864)=0,"",IF(G3864&lt;&gt;"",G3864,IF(B3864="","",IFERROR(IF(INDEX(pr_rate,MATCH(B3864,pr_code,0))="","",INDEX(pr_rate,MATCH(B3864,pr_code,0))),""))))</f>
        <v/>
      </c>
      <c r="L3864" s="65" t="str">
        <f>IF(COUNTA(A3864:G3864)=0,"",IF(AND(ISNUMBER(D3864),ISNUMBER(J3864)),ROUND(D3864*J3864*(1-N(F3864)),2),0))</f>
        <v/>
      </c>
      <c r="M3864" s="62" t="str">
        <f>IF(A3864="","",IFERROR(INDEX(fa_cname,MATCH(A3864,fa_num,0))&amp;"",""))</f>
        <v/>
      </c>
      <c r="N3864" s="59" t="str">
        <f>IF(COUNTA(A3864:G3864)=0,"",IF(A3864="","N° facture manquant",IF(ISNA(MATCH(A3864,fa_num,0)),"Facture inconnue",IF(AND(B3864&lt;&gt;"",ISNA(MATCH(B3864,pr_code,0))),"Article inconnu",IF(H3864="","Désignation manquante",IF(OR(NOT(ISNUMBER(D3864)),N(D3864)&lt;=0),"Quantité invalide",IF(J3864="","Prix manquant",IF(OR(NOT(ISNUMBER(J3864)),N(J3864)&lt;0),"Prix invalide",IF(OR(AND(F3864&lt;&gt;"",NOT(ISNUMBER(F3864))),N(F3864)&lt;0,N(F3864)&gt;1),"Remise invalide",IF(K3864="","Taux de TVA manquant",IF(NOT(ISNUMBER(K3864)),"Taux de TVA invalide",IF(COUNTIF(p_rates,K3864)=0,"Taux de TVA hors liste (Paramètres)",IF(N(O3864)&gt;25,"Au-delà de 25 lignes : non imprimée","OK")))))))))))))</f>
        <v/>
      </c>
      <c r="O3864" s="59" t="str">
        <f>IF(A3864="","",COUNTIF($A$6:A3864,A3864))</f>
        <v/>
      </c>
      <c r="P3864" s="62" t="str">
        <f>IF(A3864="","",A3864&amp;"|"&amp;O3864)</f>
        <v/>
      </c>
    </row>
    <row r="3865">
      <c r="A3865" s="60" t="n"/>
      <c r="B3865" s="63" t="n"/>
      <c r="C3865" s="63" t="n"/>
      <c r="D3865" s="67" t="n"/>
      <c r="E3865" s="68" t="n"/>
      <c r="F3865" s="69" t="n"/>
      <c r="G3865" s="70" t="n"/>
      <c r="H3865" s="62" t="str">
        <f>IF(COUNTA(A3865:G3865)=0,"",IF(C3865&lt;&gt;"",C3865,IF(B3865="","",IFERROR(INDEX(pr_des,MATCH(B3865,pr_code,0))&amp;"",""))))</f>
        <v/>
      </c>
      <c r="I3865" s="59" t="str">
        <f>IF(B3865="","",IFERROR(INDEX(pr_unit,MATCH(B3865,pr_code,0))&amp;"",""))</f>
        <v/>
      </c>
      <c r="J3865" s="65" t="str">
        <f>IF(COUNTA(A3865:G3865)=0,"",IF(E3865&lt;&gt;"",E3865,IF(B3865="","",IFERROR(IF(INDEX(pr_price,MATCH(B3865,pr_code,0))="","",INDEX(pr_price,MATCH(B3865,pr_code,0))),""))))</f>
        <v/>
      </c>
      <c r="K3865" s="71" t="str">
        <f>IF(COUNTA(A3865:G3865)=0,"",IF(G3865&lt;&gt;"",G3865,IF(B3865="","",IFERROR(IF(INDEX(pr_rate,MATCH(B3865,pr_code,0))="","",INDEX(pr_rate,MATCH(B3865,pr_code,0))),""))))</f>
        <v/>
      </c>
      <c r="L3865" s="65" t="str">
        <f>IF(COUNTA(A3865:G3865)=0,"",IF(AND(ISNUMBER(D3865),ISNUMBER(J3865)),ROUND(D3865*J3865*(1-N(F3865)),2),0))</f>
        <v/>
      </c>
      <c r="M3865" s="62" t="str">
        <f>IF(A3865="","",IFERROR(INDEX(fa_cname,MATCH(A3865,fa_num,0))&amp;"",""))</f>
        <v/>
      </c>
      <c r="N3865" s="59" t="str">
        <f>IF(COUNTA(A3865:G3865)=0,"",IF(A3865="","N° facture manquant",IF(ISNA(MATCH(A3865,fa_num,0)),"Facture inconnue",IF(AND(B3865&lt;&gt;"",ISNA(MATCH(B3865,pr_code,0))),"Article inconnu",IF(H3865="","Désignation manquante",IF(OR(NOT(ISNUMBER(D3865)),N(D3865)&lt;=0),"Quantité invalide",IF(J3865="","Prix manquant",IF(OR(NOT(ISNUMBER(J3865)),N(J3865)&lt;0),"Prix invalide",IF(OR(AND(F3865&lt;&gt;"",NOT(ISNUMBER(F3865))),N(F3865)&lt;0,N(F3865)&gt;1),"Remise invalide",IF(K3865="","Taux de TVA manquant",IF(NOT(ISNUMBER(K3865)),"Taux de TVA invalide",IF(COUNTIF(p_rates,K3865)=0,"Taux de TVA hors liste (Paramètres)",IF(N(O3865)&gt;25,"Au-delà de 25 lignes : non imprimée","OK")))))))))))))</f>
        <v/>
      </c>
      <c r="O3865" s="59" t="str">
        <f>IF(A3865="","",COUNTIF($A$6:A3865,A3865))</f>
        <v/>
      </c>
      <c r="P3865" s="62" t="str">
        <f>IF(A3865="","",A3865&amp;"|"&amp;O3865)</f>
        <v/>
      </c>
    </row>
    <row r="3866">
      <c r="A3866" s="60" t="n"/>
      <c r="B3866" s="63" t="n"/>
      <c r="C3866" s="63" t="n"/>
      <c r="D3866" s="67" t="n"/>
      <c r="E3866" s="68" t="n"/>
      <c r="F3866" s="69" t="n"/>
      <c r="G3866" s="70" t="n"/>
      <c r="H3866" s="62" t="str">
        <f>IF(COUNTA(A3866:G3866)=0,"",IF(C3866&lt;&gt;"",C3866,IF(B3866="","",IFERROR(INDEX(pr_des,MATCH(B3866,pr_code,0))&amp;"",""))))</f>
        <v/>
      </c>
      <c r="I3866" s="59" t="str">
        <f>IF(B3866="","",IFERROR(INDEX(pr_unit,MATCH(B3866,pr_code,0))&amp;"",""))</f>
        <v/>
      </c>
      <c r="J3866" s="65" t="str">
        <f>IF(COUNTA(A3866:G3866)=0,"",IF(E3866&lt;&gt;"",E3866,IF(B3866="","",IFERROR(IF(INDEX(pr_price,MATCH(B3866,pr_code,0))="","",INDEX(pr_price,MATCH(B3866,pr_code,0))),""))))</f>
        <v/>
      </c>
      <c r="K3866" s="71" t="str">
        <f>IF(COUNTA(A3866:G3866)=0,"",IF(G3866&lt;&gt;"",G3866,IF(B3866="","",IFERROR(IF(INDEX(pr_rate,MATCH(B3866,pr_code,0))="","",INDEX(pr_rate,MATCH(B3866,pr_code,0))),""))))</f>
        <v/>
      </c>
      <c r="L3866" s="65" t="str">
        <f>IF(COUNTA(A3866:G3866)=0,"",IF(AND(ISNUMBER(D3866),ISNUMBER(J3866)),ROUND(D3866*J3866*(1-N(F3866)),2),0))</f>
        <v/>
      </c>
      <c r="M3866" s="62" t="str">
        <f>IF(A3866="","",IFERROR(INDEX(fa_cname,MATCH(A3866,fa_num,0))&amp;"",""))</f>
        <v/>
      </c>
      <c r="N3866" s="59" t="str">
        <f>IF(COUNTA(A3866:G3866)=0,"",IF(A3866="","N° facture manquant",IF(ISNA(MATCH(A3866,fa_num,0)),"Facture inconnue",IF(AND(B3866&lt;&gt;"",ISNA(MATCH(B3866,pr_code,0))),"Article inconnu",IF(H3866="","Désignation manquante",IF(OR(NOT(ISNUMBER(D3866)),N(D3866)&lt;=0),"Quantité invalide",IF(J3866="","Prix manquant",IF(OR(NOT(ISNUMBER(J3866)),N(J3866)&lt;0),"Prix invalide",IF(OR(AND(F3866&lt;&gt;"",NOT(ISNUMBER(F3866))),N(F3866)&lt;0,N(F3866)&gt;1),"Remise invalide",IF(K3866="","Taux de TVA manquant",IF(NOT(ISNUMBER(K3866)),"Taux de TVA invalide",IF(COUNTIF(p_rates,K3866)=0,"Taux de TVA hors liste (Paramètres)",IF(N(O3866)&gt;25,"Au-delà de 25 lignes : non imprimée","OK")))))))))))))</f>
        <v/>
      </c>
      <c r="O3866" s="59" t="str">
        <f>IF(A3866="","",COUNTIF($A$6:A3866,A3866))</f>
        <v/>
      </c>
      <c r="P3866" s="62" t="str">
        <f>IF(A3866="","",A3866&amp;"|"&amp;O3866)</f>
        <v/>
      </c>
    </row>
    <row r="3867">
      <c r="A3867" s="60" t="n"/>
      <c r="B3867" s="63" t="n"/>
      <c r="C3867" s="63" t="n"/>
      <c r="D3867" s="67" t="n"/>
      <c r="E3867" s="68" t="n"/>
      <c r="F3867" s="69" t="n"/>
      <c r="G3867" s="70" t="n"/>
      <c r="H3867" s="62" t="str">
        <f>IF(COUNTA(A3867:G3867)=0,"",IF(C3867&lt;&gt;"",C3867,IF(B3867="","",IFERROR(INDEX(pr_des,MATCH(B3867,pr_code,0))&amp;"",""))))</f>
        <v/>
      </c>
      <c r="I3867" s="59" t="str">
        <f>IF(B3867="","",IFERROR(INDEX(pr_unit,MATCH(B3867,pr_code,0))&amp;"",""))</f>
        <v/>
      </c>
      <c r="J3867" s="65" t="str">
        <f>IF(COUNTA(A3867:G3867)=0,"",IF(E3867&lt;&gt;"",E3867,IF(B3867="","",IFERROR(IF(INDEX(pr_price,MATCH(B3867,pr_code,0))="","",INDEX(pr_price,MATCH(B3867,pr_code,0))),""))))</f>
        <v/>
      </c>
      <c r="K3867" s="71" t="str">
        <f>IF(COUNTA(A3867:G3867)=0,"",IF(G3867&lt;&gt;"",G3867,IF(B3867="","",IFERROR(IF(INDEX(pr_rate,MATCH(B3867,pr_code,0))="","",INDEX(pr_rate,MATCH(B3867,pr_code,0))),""))))</f>
        <v/>
      </c>
      <c r="L3867" s="65" t="str">
        <f>IF(COUNTA(A3867:G3867)=0,"",IF(AND(ISNUMBER(D3867),ISNUMBER(J3867)),ROUND(D3867*J3867*(1-N(F3867)),2),0))</f>
        <v/>
      </c>
      <c r="M3867" s="62" t="str">
        <f>IF(A3867="","",IFERROR(INDEX(fa_cname,MATCH(A3867,fa_num,0))&amp;"",""))</f>
        <v/>
      </c>
      <c r="N3867" s="59" t="str">
        <f>IF(COUNTA(A3867:G3867)=0,"",IF(A3867="","N° facture manquant",IF(ISNA(MATCH(A3867,fa_num,0)),"Facture inconnue",IF(AND(B3867&lt;&gt;"",ISNA(MATCH(B3867,pr_code,0))),"Article inconnu",IF(H3867="","Désignation manquante",IF(OR(NOT(ISNUMBER(D3867)),N(D3867)&lt;=0),"Quantité invalide",IF(J3867="","Prix manquant",IF(OR(NOT(ISNUMBER(J3867)),N(J3867)&lt;0),"Prix invalide",IF(OR(AND(F3867&lt;&gt;"",NOT(ISNUMBER(F3867))),N(F3867)&lt;0,N(F3867)&gt;1),"Remise invalide",IF(K3867="","Taux de TVA manquant",IF(NOT(ISNUMBER(K3867)),"Taux de TVA invalide",IF(COUNTIF(p_rates,K3867)=0,"Taux de TVA hors liste (Paramètres)",IF(N(O3867)&gt;25,"Au-delà de 25 lignes : non imprimée","OK")))))))))))))</f>
        <v/>
      </c>
      <c r="O3867" s="59" t="str">
        <f>IF(A3867="","",COUNTIF($A$6:A3867,A3867))</f>
        <v/>
      </c>
      <c r="P3867" s="62" t="str">
        <f>IF(A3867="","",A3867&amp;"|"&amp;O3867)</f>
        <v/>
      </c>
    </row>
    <row r="3868">
      <c r="A3868" s="60" t="n"/>
      <c r="B3868" s="63" t="n"/>
      <c r="C3868" s="63" t="n"/>
      <c r="D3868" s="67" t="n"/>
      <c r="E3868" s="68" t="n"/>
      <c r="F3868" s="69" t="n"/>
      <c r="G3868" s="70" t="n"/>
      <c r="H3868" s="62" t="str">
        <f>IF(COUNTA(A3868:G3868)=0,"",IF(C3868&lt;&gt;"",C3868,IF(B3868="","",IFERROR(INDEX(pr_des,MATCH(B3868,pr_code,0))&amp;"",""))))</f>
        <v/>
      </c>
      <c r="I3868" s="59" t="str">
        <f>IF(B3868="","",IFERROR(INDEX(pr_unit,MATCH(B3868,pr_code,0))&amp;"",""))</f>
        <v/>
      </c>
      <c r="J3868" s="65" t="str">
        <f>IF(COUNTA(A3868:G3868)=0,"",IF(E3868&lt;&gt;"",E3868,IF(B3868="","",IFERROR(IF(INDEX(pr_price,MATCH(B3868,pr_code,0))="","",INDEX(pr_price,MATCH(B3868,pr_code,0))),""))))</f>
        <v/>
      </c>
      <c r="K3868" s="71" t="str">
        <f>IF(COUNTA(A3868:G3868)=0,"",IF(G3868&lt;&gt;"",G3868,IF(B3868="","",IFERROR(IF(INDEX(pr_rate,MATCH(B3868,pr_code,0))="","",INDEX(pr_rate,MATCH(B3868,pr_code,0))),""))))</f>
        <v/>
      </c>
      <c r="L3868" s="65" t="str">
        <f>IF(COUNTA(A3868:G3868)=0,"",IF(AND(ISNUMBER(D3868),ISNUMBER(J3868)),ROUND(D3868*J3868*(1-N(F3868)),2),0))</f>
        <v/>
      </c>
      <c r="M3868" s="62" t="str">
        <f>IF(A3868="","",IFERROR(INDEX(fa_cname,MATCH(A3868,fa_num,0))&amp;"",""))</f>
        <v/>
      </c>
      <c r="N3868" s="59" t="str">
        <f>IF(COUNTA(A3868:G3868)=0,"",IF(A3868="","N° facture manquant",IF(ISNA(MATCH(A3868,fa_num,0)),"Facture inconnue",IF(AND(B3868&lt;&gt;"",ISNA(MATCH(B3868,pr_code,0))),"Article inconnu",IF(H3868="","Désignation manquante",IF(OR(NOT(ISNUMBER(D3868)),N(D3868)&lt;=0),"Quantité invalide",IF(J3868="","Prix manquant",IF(OR(NOT(ISNUMBER(J3868)),N(J3868)&lt;0),"Prix invalide",IF(OR(AND(F3868&lt;&gt;"",NOT(ISNUMBER(F3868))),N(F3868)&lt;0,N(F3868)&gt;1),"Remise invalide",IF(K3868="","Taux de TVA manquant",IF(NOT(ISNUMBER(K3868)),"Taux de TVA invalide",IF(COUNTIF(p_rates,K3868)=0,"Taux de TVA hors liste (Paramètres)",IF(N(O3868)&gt;25,"Au-delà de 25 lignes : non imprimée","OK")))))))))))))</f>
        <v/>
      </c>
      <c r="O3868" s="59" t="str">
        <f>IF(A3868="","",COUNTIF($A$6:A3868,A3868))</f>
        <v/>
      </c>
      <c r="P3868" s="62" t="str">
        <f>IF(A3868="","",A3868&amp;"|"&amp;O3868)</f>
        <v/>
      </c>
    </row>
    <row r="3869">
      <c r="A3869" s="60" t="n"/>
      <c r="B3869" s="63" t="n"/>
      <c r="C3869" s="63" t="n"/>
      <c r="D3869" s="67" t="n"/>
      <c r="E3869" s="68" t="n"/>
      <c r="F3869" s="69" t="n"/>
      <c r="G3869" s="70" t="n"/>
      <c r="H3869" s="62" t="str">
        <f>IF(COUNTA(A3869:G3869)=0,"",IF(C3869&lt;&gt;"",C3869,IF(B3869="","",IFERROR(INDEX(pr_des,MATCH(B3869,pr_code,0))&amp;"",""))))</f>
        <v/>
      </c>
      <c r="I3869" s="59" t="str">
        <f>IF(B3869="","",IFERROR(INDEX(pr_unit,MATCH(B3869,pr_code,0))&amp;"",""))</f>
        <v/>
      </c>
      <c r="J3869" s="65" t="str">
        <f>IF(COUNTA(A3869:G3869)=0,"",IF(E3869&lt;&gt;"",E3869,IF(B3869="","",IFERROR(IF(INDEX(pr_price,MATCH(B3869,pr_code,0))="","",INDEX(pr_price,MATCH(B3869,pr_code,0))),""))))</f>
        <v/>
      </c>
      <c r="K3869" s="71" t="str">
        <f>IF(COUNTA(A3869:G3869)=0,"",IF(G3869&lt;&gt;"",G3869,IF(B3869="","",IFERROR(IF(INDEX(pr_rate,MATCH(B3869,pr_code,0))="","",INDEX(pr_rate,MATCH(B3869,pr_code,0))),""))))</f>
        <v/>
      </c>
      <c r="L3869" s="65" t="str">
        <f>IF(COUNTA(A3869:G3869)=0,"",IF(AND(ISNUMBER(D3869),ISNUMBER(J3869)),ROUND(D3869*J3869*(1-N(F3869)),2),0))</f>
        <v/>
      </c>
      <c r="M3869" s="62" t="str">
        <f>IF(A3869="","",IFERROR(INDEX(fa_cname,MATCH(A3869,fa_num,0))&amp;"",""))</f>
        <v/>
      </c>
      <c r="N3869" s="59" t="str">
        <f>IF(COUNTA(A3869:G3869)=0,"",IF(A3869="","N° facture manquant",IF(ISNA(MATCH(A3869,fa_num,0)),"Facture inconnue",IF(AND(B3869&lt;&gt;"",ISNA(MATCH(B3869,pr_code,0))),"Article inconnu",IF(H3869="","Désignation manquante",IF(OR(NOT(ISNUMBER(D3869)),N(D3869)&lt;=0),"Quantité invalide",IF(J3869="","Prix manquant",IF(OR(NOT(ISNUMBER(J3869)),N(J3869)&lt;0),"Prix invalide",IF(OR(AND(F3869&lt;&gt;"",NOT(ISNUMBER(F3869))),N(F3869)&lt;0,N(F3869)&gt;1),"Remise invalide",IF(K3869="","Taux de TVA manquant",IF(NOT(ISNUMBER(K3869)),"Taux de TVA invalide",IF(COUNTIF(p_rates,K3869)=0,"Taux de TVA hors liste (Paramètres)",IF(N(O3869)&gt;25,"Au-delà de 25 lignes : non imprimée","OK")))))))))))))</f>
        <v/>
      </c>
      <c r="O3869" s="59" t="str">
        <f>IF(A3869="","",COUNTIF($A$6:A3869,A3869))</f>
        <v/>
      </c>
      <c r="P3869" s="62" t="str">
        <f>IF(A3869="","",A3869&amp;"|"&amp;O3869)</f>
        <v/>
      </c>
    </row>
    <row r="3870">
      <c r="A3870" s="60" t="n"/>
      <c r="B3870" s="63" t="n"/>
      <c r="C3870" s="63" t="n"/>
      <c r="D3870" s="67" t="n"/>
      <c r="E3870" s="68" t="n"/>
      <c r="F3870" s="69" t="n"/>
      <c r="G3870" s="70" t="n"/>
      <c r="H3870" s="62" t="str">
        <f>IF(COUNTA(A3870:G3870)=0,"",IF(C3870&lt;&gt;"",C3870,IF(B3870="","",IFERROR(INDEX(pr_des,MATCH(B3870,pr_code,0))&amp;"",""))))</f>
        <v/>
      </c>
      <c r="I3870" s="59" t="str">
        <f>IF(B3870="","",IFERROR(INDEX(pr_unit,MATCH(B3870,pr_code,0))&amp;"",""))</f>
        <v/>
      </c>
      <c r="J3870" s="65" t="str">
        <f>IF(COUNTA(A3870:G3870)=0,"",IF(E3870&lt;&gt;"",E3870,IF(B3870="","",IFERROR(IF(INDEX(pr_price,MATCH(B3870,pr_code,0))="","",INDEX(pr_price,MATCH(B3870,pr_code,0))),""))))</f>
        <v/>
      </c>
      <c r="K3870" s="71" t="str">
        <f>IF(COUNTA(A3870:G3870)=0,"",IF(G3870&lt;&gt;"",G3870,IF(B3870="","",IFERROR(IF(INDEX(pr_rate,MATCH(B3870,pr_code,0))="","",INDEX(pr_rate,MATCH(B3870,pr_code,0))),""))))</f>
        <v/>
      </c>
      <c r="L3870" s="65" t="str">
        <f>IF(COUNTA(A3870:G3870)=0,"",IF(AND(ISNUMBER(D3870),ISNUMBER(J3870)),ROUND(D3870*J3870*(1-N(F3870)),2),0))</f>
        <v/>
      </c>
      <c r="M3870" s="62" t="str">
        <f>IF(A3870="","",IFERROR(INDEX(fa_cname,MATCH(A3870,fa_num,0))&amp;"",""))</f>
        <v/>
      </c>
      <c r="N3870" s="59" t="str">
        <f>IF(COUNTA(A3870:G3870)=0,"",IF(A3870="","N° facture manquant",IF(ISNA(MATCH(A3870,fa_num,0)),"Facture inconnue",IF(AND(B3870&lt;&gt;"",ISNA(MATCH(B3870,pr_code,0))),"Article inconnu",IF(H3870="","Désignation manquante",IF(OR(NOT(ISNUMBER(D3870)),N(D3870)&lt;=0),"Quantité invalide",IF(J3870="","Prix manquant",IF(OR(NOT(ISNUMBER(J3870)),N(J3870)&lt;0),"Prix invalide",IF(OR(AND(F3870&lt;&gt;"",NOT(ISNUMBER(F3870))),N(F3870)&lt;0,N(F3870)&gt;1),"Remise invalide",IF(K3870="","Taux de TVA manquant",IF(NOT(ISNUMBER(K3870)),"Taux de TVA invalide",IF(COUNTIF(p_rates,K3870)=0,"Taux de TVA hors liste (Paramètres)",IF(N(O3870)&gt;25,"Au-delà de 25 lignes : non imprimée","OK")))))))))))))</f>
        <v/>
      </c>
      <c r="O3870" s="59" t="str">
        <f>IF(A3870="","",COUNTIF($A$6:A3870,A3870))</f>
        <v/>
      </c>
      <c r="P3870" s="62" t="str">
        <f>IF(A3870="","",A3870&amp;"|"&amp;O3870)</f>
        <v/>
      </c>
    </row>
    <row r="3871">
      <c r="A3871" s="60" t="n"/>
      <c r="B3871" s="63" t="n"/>
      <c r="C3871" s="63" t="n"/>
      <c r="D3871" s="67" t="n"/>
      <c r="E3871" s="68" t="n"/>
      <c r="F3871" s="69" t="n"/>
      <c r="G3871" s="70" t="n"/>
      <c r="H3871" s="62" t="str">
        <f>IF(COUNTA(A3871:G3871)=0,"",IF(C3871&lt;&gt;"",C3871,IF(B3871="","",IFERROR(INDEX(pr_des,MATCH(B3871,pr_code,0))&amp;"",""))))</f>
        <v/>
      </c>
      <c r="I3871" s="59" t="str">
        <f>IF(B3871="","",IFERROR(INDEX(pr_unit,MATCH(B3871,pr_code,0))&amp;"",""))</f>
        <v/>
      </c>
      <c r="J3871" s="65" t="str">
        <f>IF(COUNTA(A3871:G3871)=0,"",IF(E3871&lt;&gt;"",E3871,IF(B3871="","",IFERROR(IF(INDEX(pr_price,MATCH(B3871,pr_code,0))="","",INDEX(pr_price,MATCH(B3871,pr_code,0))),""))))</f>
        <v/>
      </c>
      <c r="K3871" s="71" t="str">
        <f>IF(COUNTA(A3871:G3871)=0,"",IF(G3871&lt;&gt;"",G3871,IF(B3871="","",IFERROR(IF(INDEX(pr_rate,MATCH(B3871,pr_code,0))="","",INDEX(pr_rate,MATCH(B3871,pr_code,0))),""))))</f>
        <v/>
      </c>
      <c r="L3871" s="65" t="str">
        <f>IF(COUNTA(A3871:G3871)=0,"",IF(AND(ISNUMBER(D3871),ISNUMBER(J3871)),ROUND(D3871*J3871*(1-N(F3871)),2),0))</f>
        <v/>
      </c>
      <c r="M3871" s="62" t="str">
        <f>IF(A3871="","",IFERROR(INDEX(fa_cname,MATCH(A3871,fa_num,0))&amp;"",""))</f>
        <v/>
      </c>
      <c r="N3871" s="59" t="str">
        <f>IF(COUNTA(A3871:G3871)=0,"",IF(A3871="","N° facture manquant",IF(ISNA(MATCH(A3871,fa_num,0)),"Facture inconnue",IF(AND(B3871&lt;&gt;"",ISNA(MATCH(B3871,pr_code,0))),"Article inconnu",IF(H3871="","Désignation manquante",IF(OR(NOT(ISNUMBER(D3871)),N(D3871)&lt;=0),"Quantité invalide",IF(J3871="","Prix manquant",IF(OR(NOT(ISNUMBER(J3871)),N(J3871)&lt;0),"Prix invalide",IF(OR(AND(F3871&lt;&gt;"",NOT(ISNUMBER(F3871))),N(F3871)&lt;0,N(F3871)&gt;1),"Remise invalide",IF(K3871="","Taux de TVA manquant",IF(NOT(ISNUMBER(K3871)),"Taux de TVA invalide",IF(COUNTIF(p_rates,K3871)=0,"Taux de TVA hors liste (Paramètres)",IF(N(O3871)&gt;25,"Au-delà de 25 lignes : non imprimée","OK")))))))))))))</f>
        <v/>
      </c>
      <c r="O3871" s="59" t="str">
        <f>IF(A3871="","",COUNTIF($A$6:A3871,A3871))</f>
        <v/>
      </c>
      <c r="P3871" s="62" t="str">
        <f>IF(A3871="","",A3871&amp;"|"&amp;O3871)</f>
        <v/>
      </c>
    </row>
    <row r="3872">
      <c r="A3872" s="60" t="n"/>
      <c r="B3872" s="63" t="n"/>
      <c r="C3872" s="63" t="n"/>
      <c r="D3872" s="67" t="n"/>
      <c r="E3872" s="68" t="n"/>
      <c r="F3872" s="69" t="n"/>
      <c r="G3872" s="70" t="n"/>
      <c r="H3872" s="62" t="str">
        <f>IF(COUNTA(A3872:G3872)=0,"",IF(C3872&lt;&gt;"",C3872,IF(B3872="","",IFERROR(INDEX(pr_des,MATCH(B3872,pr_code,0))&amp;"",""))))</f>
        <v/>
      </c>
      <c r="I3872" s="59" t="str">
        <f>IF(B3872="","",IFERROR(INDEX(pr_unit,MATCH(B3872,pr_code,0))&amp;"",""))</f>
        <v/>
      </c>
      <c r="J3872" s="65" t="str">
        <f>IF(COUNTA(A3872:G3872)=0,"",IF(E3872&lt;&gt;"",E3872,IF(B3872="","",IFERROR(IF(INDEX(pr_price,MATCH(B3872,pr_code,0))="","",INDEX(pr_price,MATCH(B3872,pr_code,0))),""))))</f>
        <v/>
      </c>
      <c r="K3872" s="71" t="str">
        <f>IF(COUNTA(A3872:G3872)=0,"",IF(G3872&lt;&gt;"",G3872,IF(B3872="","",IFERROR(IF(INDEX(pr_rate,MATCH(B3872,pr_code,0))="","",INDEX(pr_rate,MATCH(B3872,pr_code,0))),""))))</f>
        <v/>
      </c>
      <c r="L3872" s="65" t="str">
        <f>IF(COUNTA(A3872:G3872)=0,"",IF(AND(ISNUMBER(D3872),ISNUMBER(J3872)),ROUND(D3872*J3872*(1-N(F3872)),2),0))</f>
        <v/>
      </c>
      <c r="M3872" s="62" t="str">
        <f>IF(A3872="","",IFERROR(INDEX(fa_cname,MATCH(A3872,fa_num,0))&amp;"",""))</f>
        <v/>
      </c>
      <c r="N3872" s="59" t="str">
        <f>IF(COUNTA(A3872:G3872)=0,"",IF(A3872="","N° facture manquant",IF(ISNA(MATCH(A3872,fa_num,0)),"Facture inconnue",IF(AND(B3872&lt;&gt;"",ISNA(MATCH(B3872,pr_code,0))),"Article inconnu",IF(H3872="","Désignation manquante",IF(OR(NOT(ISNUMBER(D3872)),N(D3872)&lt;=0),"Quantité invalide",IF(J3872="","Prix manquant",IF(OR(NOT(ISNUMBER(J3872)),N(J3872)&lt;0),"Prix invalide",IF(OR(AND(F3872&lt;&gt;"",NOT(ISNUMBER(F3872))),N(F3872)&lt;0,N(F3872)&gt;1),"Remise invalide",IF(K3872="","Taux de TVA manquant",IF(NOT(ISNUMBER(K3872)),"Taux de TVA invalide",IF(COUNTIF(p_rates,K3872)=0,"Taux de TVA hors liste (Paramètres)",IF(N(O3872)&gt;25,"Au-delà de 25 lignes : non imprimée","OK")))))))))))))</f>
        <v/>
      </c>
      <c r="O3872" s="59" t="str">
        <f>IF(A3872="","",COUNTIF($A$6:A3872,A3872))</f>
        <v/>
      </c>
      <c r="P3872" s="62" t="str">
        <f>IF(A3872="","",A3872&amp;"|"&amp;O3872)</f>
        <v/>
      </c>
    </row>
    <row r="3873">
      <c r="A3873" s="60" t="n"/>
      <c r="B3873" s="63" t="n"/>
      <c r="C3873" s="63" t="n"/>
      <c r="D3873" s="67" t="n"/>
      <c r="E3873" s="68" t="n"/>
      <c r="F3873" s="69" t="n"/>
      <c r="G3873" s="70" t="n"/>
      <c r="H3873" s="62" t="str">
        <f>IF(COUNTA(A3873:G3873)=0,"",IF(C3873&lt;&gt;"",C3873,IF(B3873="","",IFERROR(INDEX(pr_des,MATCH(B3873,pr_code,0))&amp;"",""))))</f>
        <v/>
      </c>
      <c r="I3873" s="59" t="str">
        <f>IF(B3873="","",IFERROR(INDEX(pr_unit,MATCH(B3873,pr_code,0))&amp;"",""))</f>
        <v/>
      </c>
      <c r="J3873" s="65" t="str">
        <f>IF(COUNTA(A3873:G3873)=0,"",IF(E3873&lt;&gt;"",E3873,IF(B3873="","",IFERROR(IF(INDEX(pr_price,MATCH(B3873,pr_code,0))="","",INDEX(pr_price,MATCH(B3873,pr_code,0))),""))))</f>
        <v/>
      </c>
      <c r="K3873" s="71" t="str">
        <f>IF(COUNTA(A3873:G3873)=0,"",IF(G3873&lt;&gt;"",G3873,IF(B3873="","",IFERROR(IF(INDEX(pr_rate,MATCH(B3873,pr_code,0))="","",INDEX(pr_rate,MATCH(B3873,pr_code,0))),""))))</f>
        <v/>
      </c>
      <c r="L3873" s="65" t="str">
        <f>IF(COUNTA(A3873:G3873)=0,"",IF(AND(ISNUMBER(D3873),ISNUMBER(J3873)),ROUND(D3873*J3873*(1-N(F3873)),2),0))</f>
        <v/>
      </c>
      <c r="M3873" s="62" t="str">
        <f>IF(A3873="","",IFERROR(INDEX(fa_cname,MATCH(A3873,fa_num,0))&amp;"",""))</f>
        <v/>
      </c>
      <c r="N3873" s="59" t="str">
        <f>IF(COUNTA(A3873:G3873)=0,"",IF(A3873="","N° facture manquant",IF(ISNA(MATCH(A3873,fa_num,0)),"Facture inconnue",IF(AND(B3873&lt;&gt;"",ISNA(MATCH(B3873,pr_code,0))),"Article inconnu",IF(H3873="","Désignation manquante",IF(OR(NOT(ISNUMBER(D3873)),N(D3873)&lt;=0),"Quantité invalide",IF(J3873="","Prix manquant",IF(OR(NOT(ISNUMBER(J3873)),N(J3873)&lt;0),"Prix invalide",IF(OR(AND(F3873&lt;&gt;"",NOT(ISNUMBER(F3873))),N(F3873)&lt;0,N(F3873)&gt;1),"Remise invalide",IF(K3873="","Taux de TVA manquant",IF(NOT(ISNUMBER(K3873)),"Taux de TVA invalide",IF(COUNTIF(p_rates,K3873)=0,"Taux de TVA hors liste (Paramètres)",IF(N(O3873)&gt;25,"Au-delà de 25 lignes : non imprimée","OK")))))))))))))</f>
        <v/>
      </c>
      <c r="O3873" s="59" t="str">
        <f>IF(A3873="","",COUNTIF($A$6:A3873,A3873))</f>
        <v/>
      </c>
      <c r="P3873" s="62" t="str">
        <f>IF(A3873="","",A3873&amp;"|"&amp;O3873)</f>
        <v/>
      </c>
    </row>
    <row r="3874">
      <c r="A3874" s="60" t="n"/>
      <c r="B3874" s="63" t="n"/>
      <c r="C3874" s="63" t="n"/>
      <c r="D3874" s="67" t="n"/>
      <c r="E3874" s="68" t="n"/>
      <c r="F3874" s="69" t="n"/>
      <c r="G3874" s="70" t="n"/>
      <c r="H3874" s="62" t="str">
        <f>IF(COUNTA(A3874:G3874)=0,"",IF(C3874&lt;&gt;"",C3874,IF(B3874="","",IFERROR(INDEX(pr_des,MATCH(B3874,pr_code,0))&amp;"",""))))</f>
        <v/>
      </c>
      <c r="I3874" s="59" t="str">
        <f>IF(B3874="","",IFERROR(INDEX(pr_unit,MATCH(B3874,pr_code,0))&amp;"",""))</f>
        <v/>
      </c>
      <c r="J3874" s="65" t="str">
        <f>IF(COUNTA(A3874:G3874)=0,"",IF(E3874&lt;&gt;"",E3874,IF(B3874="","",IFERROR(IF(INDEX(pr_price,MATCH(B3874,pr_code,0))="","",INDEX(pr_price,MATCH(B3874,pr_code,0))),""))))</f>
        <v/>
      </c>
      <c r="K3874" s="71" t="str">
        <f>IF(COUNTA(A3874:G3874)=0,"",IF(G3874&lt;&gt;"",G3874,IF(B3874="","",IFERROR(IF(INDEX(pr_rate,MATCH(B3874,pr_code,0))="","",INDEX(pr_rate,MATCH(B3874,pr_code,0))),""))))</f>
        <v/>
      </c>
      <c r="L3874" s="65" t="str">
        <f>IF(COUNTA(A3874:G3874)=0,"",IF(AND(ISNUMBER(D3874),ISNUMBER(J3874)),ROUND(D3874*J3874*(1-N(F3874)),2),0))</f>
        <v/>
      </c>
      <c r="M3874" s="62" t="str">
        <f>IF(A3874="","",IFERROR(INDEX(fa_cname,MATCH(A3874,fa_num,0))&amp;"",""))</f>
        <v/>
      </c>
      <c r="N3874" s="59" t="str">
        <f>IF(COUNTA(A3874:G3874)=0,"",IF(A3874="","N° facture manquant",IF(ISNA(MATCH(A3874,fa_num,0)),"Facture inconnue",IF(AND(B3874&lt;&gt;"",ISNA(MATCH(B3874,pr_code,0))),"Article inconnu",IF(H3874="","Désignation manquante",IF(OR(NOT(ISNUMBER(D3874)),N(D3874)&lt;=0),"Quantité invalide",IF(J3874="","Prix manquant",IF(OR(NOT(ISNUMBER(J3874)),N(J3874)&lt;0),"Prix invalide",IF(OR(AND(F3874&lt;&gt;"",NOT(ISNUMBER(F3874))),N(F3874)&lt;0,N(F3874)&gt;1),"Remise invalide",IF(K3874="","Taux de TVA manquant",IF(NOT(ISNUMBER(K3874)),"Taux de TVA invalide",IF(COUNTIF(p_rates,K3874)=0,"Taux de TVA hors liste (Paramètres)",IF(N(O3874)&gt;25,"Au-delà de 25 lignes : non imprimée","OK")))))))))))))</f>
        <v/>
      </c>
      <c r="O3874" s="59" t="str">
        <f>IF(A3874="","",COUNTIF($A$6:A3874,A3874))</f>
        <v/>
      </c>
      <c r="P3874" s="62" t="str">
        <f>IF(A3874="","",A3874&amp;"|"&amp;O3874)</f>
        <v/>
      </c>
    </row>
    <row r="3875">
      <c r="A3875" s="60" t="n"/>
      <c r="B3875" s="63" t="n"/>
      <c r="C3875" s="63" t="n"/>
      <c r="D3875" s="67" t="n"/>
      <c r="E3875" s="68" t="n"/>
      <c r="F3875" s="69" t="n"/>
      <c r="G3875" s="70" t="n"/>
      <c r="H3875" s="62" t="str">
        <f>IF(COUNTA(A3875:G3875)=0,"",IF(C3875&lt;&gt;"",C3875,IF(B3875="","",IFERROR(INDEX(pr_des,MATCH(B3875,pr_code,0))&amp;"",""))))</f>
        <v/>
      </c>
      <c r="I3875" s="59" t="str">
        <f>IF(B3875="","",IFERROR(INDEX(pr_unit,MATCH(B3875,pr_code,0))&amp;"",""))</f>
        <v/>
      </c>
      <c r="J3875" s="65" t="str">
        <f>IF(COUNTA(A3875:G3875)=0,"",IF(E3875&lt;&gt;"",E3875,IF(B3875="","",IFERROR(IF(INDEX(pr_price,MATCH(B3875,pr_code,0))="","",INDEX(pr_price,MATCH(B3875,pr_code,0))),""))))</f>
        <v/>
      </c>
      <c r="K3875" s="71" t="str">
        <f>IF(COUNTA(A3875:G3875)=0,"",IF(G3875&lt;&gt;"",G3875,IF(B3875="","",IFERROR(IF(INDEX(pr_rate,MATCH(B3875,pr_code,0))="","",INDEX(pr_rate,MATCH(B3875,pr_code,0))),""))))</f>
        <v/>
      </c>
      <c r="L3875" s="65" t="str">
        <f>IF(COUNTA(A3875:G3875)=0,"",IF(AND(ISNUMBER(D3875),ISNUMBER(J3875)),ROUND(D3875*J3875*(1-N(F3875)),2),0))</f>
        <v/>
      </c>
      <c r="M3875" s="62" t="str">
        <f>IF(A3875="","",IFERROR(INDEX(fa_cname,MATCH(A3875,fa_num,0))&amp;"",""))</f>
        <v/>
      </c>
      <c r="N3875" s="59" t="str">
        <f>IF(COUNTA(A3875:G3875)=0,"",IF(A3875="","N° facture manquant",IF(ISNA(MATCH(A3875,fa_num,0)),"Facture inconnue",IF(AND(B3875&lt;&gt;"",ISNA(MATCH(B3875,pr_code,0))),"Article inconnu",IF(H3875="","Désignation manquante",IF(OR(NOT(ISNUMBER(D3875)),N(D3875)&lt;=0),"Quantité invalide",IF(J3875="","Prix manquant",IF(OR(NOT(ISNUMBER(J3875)),N(J3875)&lt;0),"Prix invalide",IF(OR(AND(F3875&lt;&gt;"",NOT(ISNUMBER(F3875))),N(F3875)&lt;0,N(F3875)&gt;1),"Remise invalide",IF(K3875="","Taux de TVA manquant",IF(NOT(ISNUMBER(K3875)),"Taux de TVA invalide",IF(COUNTIF(p_rates,K3875)=0,"Taux de TVA hors liste (Paramètres)",IF(N(O3875)&gt;25,"Au-delà de 25 lignes : non imprimée","OK")))))))))))))</f>
        <v/>
      </c>
      <c r="O3875" s="59" t="str">
        <f>IF(A3875="","",COUNTIF($A$6:A3875,A3875))</f>
        <v/>
      </c>
      <c r="P3875" s="62" t="str">
        <f>IF(A3875="","",A3875&amp;"|"&amp;O3875)</f>
        <v/>
      </c>
    </row>
    <row r="3876">
      <c r="A3876" s="60" t="n"/>
      <c r="B3876" s="63" t="n"/>
      <c r="C3876" s="63" t="n"/>
      <c r="D3876" s="67" t="n"/>
      <c r="E3876" s="68" t="n"/>
      <c r="F3876" s="69" t="n"/>
      <c r="G3876" s="70" t="n"/>
      <c r="H3876" s="62" t="str">
        <f>IF(COUNTA(A3876:G3876)=0,"",IF(C3876&lt;&gt;"",C3876,IF(B3876="","",IFERROR(INDEX(pr_des,MATCH(B3876,pr_code,0))&amp;"",""))))</f>
        <v/>
      </c>
      <c r="I3876" s="59" t="str">
        <f>IF(B3876="","",IFERROR(INDEX(pr_unit,MATCH(B3876,pr_code,0))&amp;"",""))</f>
        <v/>
      </c>
      <c r="J3876" s="65" t="str">
        <f>IF(COUNTA(A3876:G3876)=0,"",IF(E3876&lt;&gt;"",E3876,IF(B3876="","",IFERROR(IF(INDEX(pr_price,MATCH(B3876,pr_code,0))="","",INDEX(pr_price,MATCH(B3876,pr_code,0))),""))))</f>
        <v/>
      </c>
      <c r="K3876" s="71" t="str">
        <f>IF(COUNTA(A3876:G3876)=0,"",IF(G3876&lt;&gt;"",G3876,IF(B3876="","",IFERROR(IF(INDEX(pr_rate,MATCH(B3876,pr_code,0))="","",INDEX(pr_rate,MATCH(B3876,pr_code,0))),""))))</f>
        <v/>
      </c>
      <c r="L3876" s="65" t="str">
        <f>IF(COUNTA(A3876:G3876)=0,"",IF(AND(ISNUMBER(D3876),ISNUMBER(J3876)),ROUND(D3876*J3876*(1-N(F3876)),2),0))</f>
        <v/>
      </c>
      <c r="M3876" s="62" t="str">
        <f>IF(A3876="","",IFERROR(INDEX(fa_cname,MATCH(A3876,fa_num,0))&amp;"",""))</f>
        <v/>
      </c>
      <c r="N3876" s="59" t="str">
        <f>IF(COUNTA(A3876:G3876)=0,"",IF(A3876="","N° facture manquant",IF(ISNA(MATCH(A3876,fa_num,0)),"Facture inconnue",IF(AND(B3876&lt;&gt;"",ISNA(MATCH(B3876,pr_code,0))),"Article inconnu",IF(H3876="","Désignation manquante",IF(OR(NOT(ISNUMBER(D3876)),N(D3876)&lt;=0),"Quantité invalide",IF(J3876="","Prix manquant",IF(OR(NOT(ISNUMBER(J3876)),N(J3876)&lt;0),"Prix invalide",IF(OR(AND(F3876&lt;&gt;"",NOT(ISNUMBER(F3876))),N(F3876)&lt;0,N(F3876)&gt;1),"Remise invalide",IF(K3876="","Taux de TVA manquant",IF(NOT(ISNUMBER(K3876)),"Taux de TVA invalide",IF(COUNTIF(p_rates,K3876)=0,"Taux de TVA hors liste (Paramètres)",IF(N(O3876)&gt;25,"Au-delà de 25 lignes : non imprimée","OK")))))))))))))</f>
        <v/>
      </c>
      <c r="O3876" s="59" t="str">
        <f>IF(A3876="","",COUNTIF($A$6:A3876,A3876))</f>
        <v/>
      </c>
      <c r="P3876" s="62" t="str">
        <f>IF(A3876="","",A3876&amp;"|"&amp;O3876)</f>
        <v/>
      </c>
    </row>
    <row r="3877">
      <c r="A3877" s="60" t="n"/>
      <c r="B3877" s="63" t="n"/>
      <c r="C3877" s="63" t="n"/>
      <c r="D3877" s="67" t="n"/>
      <c r="E3877" s="68" t="n"/>
      <c r="F3877" s="69" t="n"/>
      <c r="G3877" s="70" t="n"/>
      <c r="H3877" s="62" t="str">
        <f>IF(COUNTA(A3877:G3877)=0,"",IF(C3877&lt;&gt;"",C3877,IF(B3877="","",IFERROR(INDEX(pr_des,MATCH(B3877,pr_code,0))&amp;"",""))))</f>
        <v/>
      </c>
      <c r="I3877" s="59" t="str">
        <f>IF(B3877="","",IFERROR(INDEX(pr_unit,MATCH(B3877,pr_code,0))&amp;"",""))</f>
        <v/>
      </c>
      <c r="J3877" s="65" t="str">
        <f>IF(COUNTA(A3877:G3877)=0,"",IF(E3877&lt;&gt;"",E3877,IF(B3877="","",IFERROR(IF(INDEX(pr_price,MATCH(B3877,pr_code,0))="","",INDEX(pr_price,MATCH(B3877,pr_code,0))),""))))</f>
        <v/>
      </c>
      <c r="K3877" s="71" t="str">
        <f>IF(COUNTA(A3877:G3877)=0,"",IF(G3877&lt;&gt;"",G3877,IF(B3877="","",IFERROR(IF(INDEX(pr_rate,MATCH(B3877,pr_code,0))="","",INDEX(pr_rate,MATCH(B3877,pr_code,0))),""))))</f>
        <v/>
      </c>
      <c r="L3877" s="65" t="str">
        <f>IF(COUNTA(A3877:G3877)=0,"",IF(AND(ISNUMBER(D3877),ISNUMBER(J3877)),ROUND(D3877*J3877*(1-N(F3877)),2),0))</f>
        <v/>
      </c>
      <c r="M3877" s="62" t="str">
        <f>IF(A3877="","",IFERROR(INDEX(fa_cname,MATCH(A3877,fa_num,0))&amp;"",""))</f>
        <v/>
      </c>
      <c r="N3877" s="59" t="str">
        <f>IF(COUNTA(A3877:G3877)=0,"",IF(A3877="","N° facture manquant",IF(ISNA(MATCH(A3877,fa_num,0)),"Facture inconnue",IF(AND(B3877&lt;&gt;"",ISNA(MATCH(B3877,pr_code,0))),"Article inconnu",IF(H3877="","Désignation manquante",IF(OR(NOT(ISNUMBER(D3877)),N(D3877)&lt;=0),"Quantité invalide",IF(J3877="","Prix manquant",IF(OR(NOT(ISNUMBER(J3877)),N(J3877)&lt;0),"Prix invalide",IF(OR(AND(F3877&lt;&gt;"",NOT(ISNUMBER(F3877))),N(F3877)&lt;0,N(F3877)&gt;1),"Remise invalide",IF(K3877="","Taux de TVA manquant",IF(NOT(ISNUMBER(K3877)),"Taux de TVA invalide",IF(COUNTIF(p_rates,K3877)=0,"Taux de TVA hors liste (Paramètres)",IF(N(O3877)&gt;25,"Au-delà de 25 lignes : non imprimée","OK")))))))))))))</f>
        <v/>
      </c>
      <c r="O3877" s="59" t="str">
        <f>IF(A3877="","",COUNTIF($A$6:A3877,A3877))</f>
        <v/>
      </c>
      <c r="P3877" s="62" t="str">
        <f>IF(A3877="","",A3877&amp;"|"&amp;O3877)</f>
        <v/>
      </c>
    </row>
    <row r="3878">
      <c r="A3878" s="60" t="n"/>
      <c r="B3878" s="63" t="n"/>
      <c r="C3878" s="63" t="n"/>
      <c r="D3878" s="67" t="n"/>
      <c r="E3878" s="68" t="n"/>
      <c r="F3878" s="69" t="n"/>
      <c r="G3878" s="70" t="n"/>
      <c r="H3878" s="62" t="str">
        <f>IF(COUNTA(A3878:G3878)=0,"",IF(C3878&lt;&gt;"",C3878,IF(B3878="","",IFERROR(INDEX(pr_des,MATCH(B3878,pr_code,0))&amp;"",""))))</f>
        <v/>
      </c>
      <c r="I3878" s="59" t="str">
        <f>IF(B3878="","",IFERROR(INDEX(pr_unit,MATCH(B3878,pr_code,0))&amp;"",""))</f>
        <v/>
      </c>
      <c r="J3878" s="65" t="str">
        <f>IF(COUNTA(A3878:G3878)=0,"",IF(E3878&lt;&gt;"",E3878,IF(B3878="","",IFERROR(IF(INDEX(pr_price,MATCH(B3878,pr_code,0))="","",INDEX(pr_price,MATCH(B3878,pr_code,0))),""))))</f>
        <v/>
      </c>
      <c r="K3878" s="71" t="str">
        <f>IF(COUNTA(A3878:G3878)=0,"",IF(G3878&lt;&gt;"",G3878,IF(B3878="","",IFERROR(IF(INDEX(pr_rate,MATCH(B3878,pr_code,0))="","",INDEX(pr_rate,MATCH(B3878,pr_code,0))),""))))</f>
        <v/>
      </c>
      <c r="L3878" s="65" t="str">
        <f>IF(COUNTA(A3878:G3878)=0,"",IF(AND(ISNUMBER(D3878),ISNUMBER(J3878)),ROUND(D3878*J3878*(1-N(F3878)),2),0))</f>
        <v/>
      </c>
      <c r="M3878" s="62" t="str">
        <f>IF(A3878="","",IFERROR(INDEX(fa_cname,MATCH(A3878,fa_num,0))&amp;"",""))</f>
        <v/>
      </c>
      <c r="N3878" s="59" t="str">
        <f>IF(COUNTA(A3878:G3878)=0,"",IF(A3878="","N° facture manquant",IF(ISNA(MATCH(A3878,fa_num,0)),"Facture inconnue",IF(AND(B3878&lt;&gt;"",ISNA(MATCH(B3878,pr_code,0))),"Article inconnu",IF(H3878="","Désignation manquante",IF(OR(NOT(ISNUMBER(D3878)),N(D3878)&lt;=0),"Quantité invalide",IF(J3878="","Prix manquant",IF(OR(NOT(ISNUMBER(J3878)),N(J3878)&lt;0),"Prix invalide",IF(OR(AND(F3878&lt;&gt;"",NOT(ISNUMBER(F3878))),N(F3878)&lt;0,N(F3878)&gt;1),"Remise invalide",IF(K3878="","Taux de TVA manquant",IF(NOT(ISNUMBER(K3878)),"Taux de TVA invalide",IF(COUNTIF(p_rates,K3878)=0,"Taux de TVA hors liste (Paramètres)",IF(N(O3878)&gt;25,"Au-delà de 25 lignes : non imprimée","OK")))))))))))))</f>
        <v/>
      </c>
      <c r="O3878" s="59" t="str">
        <f>IF(A3878="","",COUNTIF($A$6:A3878,A3878))</f>
        <v/>
      </c>
      <c r="P3878" s="62" t="str">
        <f>IF(A3878="","",A3878&amp;"|"&amp;O3878)</f>
        <v/>
      </c>
    </row>
    <row r="3879">
      <c r="A3879" s="60" t="n"/>
      <c r="B3879" s="63" t="n"/>
      <c r="C3879" s="63" t="n"/>
      <c r="D3879" s="67" t="n"/>
      <c r="E3879" s="68" t="n"/>
      <c r="F3879" s="69" t="n"/>
      <c r="G3879" s="70" t="n"/>
      <c r="H3879" s="62" t="str">
        <f>IF(COUNTA(A3879:G3879)=0,"",IF(C3879&lt;&gt;"",C3879,IF(B3879="","",IFERROR(INDEX(pr_des,MATCH(B3879,pr_code,0))&amp;"",""))))</f>
        <v/>
      </c>
      <c r="I3879" s="59" t="str">
        <f>IF(B3879="","",IFERROR(INDEX(pr_unit,MATCH(B3879,pr_code,0))&amp;"",""))</f>
        <v/>
      </c>
      <c r="J3879" s="65" t="str">
        <f>IF(COUNTA(A3879:G3879)=0,"",IF(E3879&lt;&gt;"",E3879,IF(B3879="","",IFERROR(IF(INDEX(pr_price,MATCH(B3879,pr_code,0))="","",INDEX(pr_price,MATCH(B3879,pr_code,0))),""))))</f>
        <v/>
      </c>
      <c r="K3879" s="71" t="str">
        <f>IF(COUNTA(A3879:G3879)=0,"",IF(G3879&lt;&gt;"",G3879,IF(B3879="","",IFERROR(IF(INDEX(pr_rate,MATCH(B3879,pr_code,0))="","",INDEX(pr_rate,MATCH(B3879,pr_code,0))),""))))</f>
        <v/>
      </c>
      <c r="L3879" s="65" t="str">
        <f>IF(COUNTA(A3879:G3879)=0,"",IF(AND(ISNUMBER(D3879),ISNUMBER(J3879)),ROUND(D3879*J3879*(1-N(F3879)),2),0))</f>
        <v/>
      </c>
      <c r="M3879" s="62" t="str">
        <f>IF(A3879="","",IFERROR(INDEX(fa_cname,MATCH(A3879,fa_num,0))&amp;"",""))</f>
        <v/>
      </c>
      <c r="N3879" s="59" t="str">
        <f>IF(COUNTA(A3879:G3879)=0,"",IF(A3879="","N° facture manquant",IF(ISNA(MATCH(A3879,fa_num,0)),"Facture inconnue",IF(AND(B3879&lt;&gt;"",ISNA(MATCH(B3879,pr_code,0))),"Article inconnu",IF(H3879="","Désignation manquante",IF(OR(NOT(ISNUMBER(D3879)),N(D3879)&lt;=0),"Quantité invalide",IF(J3879="","Prix manquant",IF(OR(NOT(ISNUMBER(J3879)),N(J3879)&lt;0),"Prix invalide",IF(OR(AND(F3879&lt;&gt;"",NOT(ISNUMBER(F3879))),N(F3879)&lt;0,N(F3879)&gt;1),"Remise invalide",IF(K3879="","Taux de TVA manquant",IF(NOT(ISNUMBER(K3879)),"Taux de TVA invalide",IF(COUNTIF(p_rates,K3879)=0,"Taux de TVA hors liste (Paramètres)",IF(N(O3879)&gt;25,"Au-delà de 25 lignes : non imprimée","OK")))))))))))))</f>
        <v/>
      </c>
      <c r="O3879" s="59" t="str">
        <f>IF(A3879="","",COUNTIF($A$6:A3879,A3879))</f>
        <v/>
      </c>
      <c r="P3879" s="62" t="str">
        <f>IF(A3879="","",A3879&amp;"|"&amp;O3879)</f>
        <v/>
      </c>
    </row>
    <row r="3880">
      <c r="A3880" s="60" t="n"/>
      <c r="B3880" s="63" t="n"/>
      <c r="C3880" s="63" t="n"/>
      <c r="D3880" s="67" t="n"/>
      <c r="E3880" s="68" t="n"/>
      <c r="F3880" s="69" t="n"/>
      <c r="G3880" s="70" t="n"/>
      <c r="H3880" s="62" t="str">
        <f>IF(COUNTA(A3880:G3880)=0,"",IF(C3880&lt;&gt;"",C3880,IF(B3880="","",IFERROR(INDEX(pr_des,MATCH(B3880,pr_code,0))&amp;"",""))))</f>
        <v/>
      </c>
      <c r="I3880" s="59" t="str">
        <f>IF(B3880="","",IFERROR(INDEX(pr_unit,MATCH(B3880,pr_code,0))&amp;"",""))</f>
        <v/>
      </c>
      <c r="J3880" s="65" t="str">
        <f>IF(COUNTA(A3880:G3880)=0,"",IF(E3880&lt;&gt;"",E3880,IF(B3880="","",IFERROR(IF(INDEX(pr_price,MATCH(B3880,pr_code,0))="","",INDEX(pr_price,MATCH(B3880,pr_code,0))),""))))</f>
        <v/>
      </c>
      <c r="K3880" s="71" t="str">
        <f>IF(COUNTA(A3880:G3880)=0,"",IF(G3880&lt;&gt;"",G3880,IF(B3880="","",IFERROR(IF(INDEX(pr_rate,MATCH(B3880,pr_code,0))="","",INDEX(pr_rate,MATCH(B3880,pr_code,0))),""))))</f>
        <v/>
      </c>
      <c r="L3880" s="65" t="str">
        <f>IF(COUNTA(A3880:G3880)=0,"",IF(AND(ISNUMBER(D3880),ISNUMBER(J3880)),ROUND(D3880*J3880*(1-N(F3880)),2),0))</f>
        <v/>
      </c>
      <c r="M3880" s="62" t="str">
        <f>IF(A3880="","",IFERROR(INDEX(fa_cname,MATCH(A3880,fa_num,0))&amp;"",""))</f>
        <v/>
      </c>
      <c r="N3880" s="59" t="str">
        <f>IF(COUNTA(A3880:G3880)=0,"",IF(A3880="","N° facture manquant",IF(ISNA(MATCH(A3880,fa_num,0)),"Facture inconnue",IF(AND(B3880&lt;&gt;"",ISNA(MATCH(B3880,pr_code,0))),"Article inconnu",IF(H3880="","Désignation manquante",IF(OR(NOT(ISNUMBER(D3880)),N(D3880)&lt;=0),"Quantité invalide",IF(J3880="","Prix manquant",IF(OR(NOT(ISNUMBER(J3880)),N(J3880)&lt;0),"Prix invalide",IF(OR(AND(F3880&lt;&gt;"",NOT(ISNUMBER(F3880))),N(F3880)&lt;0,N(F3880)&gt;1),"Remise invalide",IF(K3880="","Taux de TVA manquant",IF(NOT(ISNUMBER(K3880)),"Taux de TVA invalide",IF(COUNTIF(p_rates,K3880)=0,"Taux de TVA hors liste (Paramètres)",IF(N(O3880)&gt;25,"Au-delà de 25 lignes : non imprimée","OK")))))))))))))</f>
        <v/>
      </c>
      <c r="O3880" s="59" t="str">
        <f>IF(A3880="","",COUNTIF($A$6:A3880,A3880))</f>
        <v/>
      </c>
      <c r="P3880" s="62" t="str">
        <f>IF(A3880="","",A3880&amp;"|"&amp;O3880)</f>
        <v/>
      </c>
    </row>
    <row r="3881">
      <c r="A3881" s="60" t="n"/>
      <c r="B3881" s="63" t="n"/>
      <c r="C3881" s="63" t="n"/>
      <c r="D3881" s="67" t="n"/>
      <c r="E3881" s="68" t="n"/>
      <c r="F3881" s="69" t="n"/>
      <c r="G3881" s="70" t="n"/>
      <c r="H3881" s="62" t="str">
        <f>IF(COUNTA(A3881:G3881)=0,"",IF(C3881&lt;&gt;"",C3881,IF(B3881="","",IFERROR(INDEX(pr_des,MATCH(B3881,pr_code,0))&amp;"",""))))</f>
        <v/>
      </c>
      <c r="I3881" s="59" t="str">
        <f>IF(B3881="","",IFERROR(INDEX(pr_unit,MATCH(B3881,pr_code,0))&amp;"",""))</f>
        <v/>
      </c>
      <c r="J3881" s="65" t="str">
        <f>IF(COUNTA(A3881:G3881)=0,"",IF(E3881&lt;&gt;"",E3881,IF(B3881="","",IFERROR(IF(INDEX(pr_price,MATCH(B3881,pr_code,0))="","",INDEX(pr_price,MATCH(B3881,pr_code,0))),""))))</f>
        <v/>
      </c>
      <c r="K3881" s="71" t="str">
        <f>IF(COUNTA(A3881:G3881)=0,"",IF(G3881&lt;&gt;"",G3881,IF(B3881="","",IFERROR(IF(INDEX(pr_rate,MATCH(B3881,pr_code,0))="","",INDEX(pr_rate,MATCH(B3881,pr_code,0))),""))))</f>
        <v/>
      </c>
      <c r="L3881" s="65" t="str">
        <f>IF(COUNTA(A3881:G3881)=0,"",IF(AND(ISNUMBER(D3881),ISNUMBER(J3881)),ROUND(D3881*J3881*(1-N(F3881)),2),0))</f>
        <v/>
      </c>
      <c r="M3881" s="62" t="str">
        <f>IF(A3881="","",IFERROR(INDEX(fa_cname,MATCH(A3881,fa_num,0))&amp;"",""))</f>
        <v/>
      </c>
      <c r="N3881" s="59" t="str">
        <f>IF(COUNTA(A3881:G3881)=0,"",IF(A3881="","N° facture manquant",IF(ISNA(MATCH(A3881,fa_num,0)),"Facture inconnue",IF(AND(B3881&lt;&gt;"",ISNA(MATCH(B3881,pr_code,0))),"Article inconnu",IF(H3881="","Désignation manquante",IF(OR(NOT(ISNUMBER(D3881)),N(D3881)&lt;=0),"Quantité invalide",IF(J3881="","Prix manquant",IF(OR(NOT(ISNUMBER(J3881)),N(J3881)&lt;0),"Prix invalide",IF(OR(AND(F3881&lt;&gt;"",NOT(ISNUMBER(F3881))),N(F3881)&lt;0,N(F3881)&gt;1),"Remise invalide",IF(K3881="","Taux de TVA manquant",IF(NOT(ISNUMBER(K3881)),"Taux de TVA invalide",IF(COUNTIF(p_rates,K3881)=0,"Taux de TVA hors liste (Paramètres)",IF(N(O3881)&gt;25,"Au-delà de 25 lignes : non imprimée","OK")))))))))))))</f>
        <v/>
      </c>
      <c r="O3881" s="59" t="str">
        <f>IF(A3881="","",COUNTIF($A$6:A3881,A3881))</f>
        <v/>
      </c>
      <c r="P3881" s="62" t="str">
        <f>IF(A3881="","",A3881&amp;"|"&amp;O3881)</f>
        <v/>
      </c>
    </row>
    <row r="3882">
      <c r="A3882" s="60" t="n"/>
      <c r="B3882" s="63" t="n"/>
      <c r="C3882" s="63" t="n"/>
      <c r="D3882" s="67" t="n"/>
      <c r="E3882" s="68" t="n"/>
      <c r="F3882" s="69" t="n"/>
      <c r="G3882" s="70" t="n"/>
      <c r="H3882" s="62" t="str">
        <f>IF(COUNTA(A3882:G3882)=0,"",IF(C3882&lt;&gt;"",C3882,IF(B3882="","",IFERROR(INDEX(pr_des,MATCH(B3882,pr_code,0))&amp;"",""))))</f>
        <v/>
      </c>
      <c r="I3882" s="59" t="str">
        <f>IF(B3882="","",IFERROR(INDEX(pr_unit,MATCH(B3882,pr_code,0))&amp;"",""))</f>
        <v/>
      </c>
      <c r="J3882" s="65" t="str">
        <f>IF(COUNTA(A3882:G3882)=0,"",IF(E3882&lt;&gt;"",E3882,IF(B3882="","",IFERROR(IF(INDEX(pr_price,MATCH(B3882,pr_code,0))="","",INDEX(pr_price,MATCH(B3882,pr_code,0))),""))))</f>
        <v/>
      </c>
      <c r="K3882" s="71" t="str">
        <f>IF(COUNTA(A3882:G3882)=0,"",IF(G3882&lt;&gt;"",G3882,IF(B3882="","",IFERROR(IF(INDEX(pr_rate,MATCH(B3882,pr_code,0))="","",INDEX(pr_rate,MATCH(B3882,pr_code,0))),""))))</f>
        <v/>
      </c>
      <c r="L3882" s="65" t="str">
        <f>IF(COUNTA(A3882:G3882)=0,"",IF(AND(ISNUMBER(D3882),ISNUMBER(J3882)),ROUND(D3882*J3882*(1-N(F3882)),2),0))</f>
        <v/>
      </c>
      <c r="M3882" s="62" t="str">
        <f>IF(A3882="","",IFERROR(INDEX(fa_cname,MATCH(A3882,fa_num,0))&amp;"",""))</f>
        <v/>
      </c>
      <c r="N3882" s="59" t="str">
        <f>IF(COUNTA(A3882:G3882)=0,"",IF(A3882="","N° facture manquant",IF(ISNA(MATCH(A3882,fa_num,0)),"Facture inconnue",IF(AND(B3882&lt;&gt;"",ISNA(MATCH(B3882,pr_code,0))),"Article inconnu",IF(H3882="","Désignation manquante",IF(OR(NOT(ISNUMBER(D3882)),N(D3882)&lt;=0),"Quantité invalide",IF(J3882="","Prix manquant",IF(OR(NOT(ISNUMBER(J3882)),N(J3882)&lt;0),"Prix invalide",IF(OR(AND(F3882&lt;&gt;"",NOT(ISNUMBER(F3882))),N(F3882)&lt;0,N(F3882)&gt;1),"Remise invalide",IF(K3882="","Taux de TVA manquant",IF(NOT(ISNUMBER(K3882)),"Taux de TVA invalide",IF(COUNTIF(p_rates,K3882)=0,"Taux de TVA hors liste (Paramètres)",IF(N(O3882)&gt;25,"Au-delà de 25 lignes : non imprimée","OK")))))))))))))</f>
        <v/>
      </c>
      <c r="O3882" s="59" t="str">
        <f>IF(A3882="","",COUNTIF($A$6:A3882,A3882))</f>
        <v/>
      </c>
      <c r="P3882" s="62" t="str">
        <f>IF(A3882="","",A3882&amp;"|"&amp;O3882)</f>
        <v/>
      </c>
    </row>
    <row r="3883">
      <c r="A3883" s="60" t="n"/>
      <c r="B3883" s="63" t="n"/>
      <c r="C3883" s="63" t="n"/>
      <c r="D3883" s="67" t="n"/>
      <c r="E3883" s="68" t="n"/>
      <c r="F3883" s="69" t="n"/>
      <c r="G3883" s="70" t="n"/>
      <c r="H3883" s="62" t="str">
        <f>IF(COUNTA(A3883:G3883)=0,"",IF(C3883&lt;&gt;"",C3883,IF(B3883="","",IFERROR(INDEX(pr_des,MATCH(B3883,pr_code,0))&amp;"",""))))</f>
        <v/>
      </c>
      <c r="I3883" s="59" t="str">
        <f>IF(B3883="","",IFERROR(INDEX(pr_unit,MATCH(B3883,pr_code,0))&amp;"",""))</f>
        <v/>
      </c>
      <c r="J3883" s="65" t="str">
        <f>IF(COUNTA(A3883:G3883)=0,"",IF(E3883&lt;&gt;"",E3883,IF(B3883="","",IFERROR(IF(INDEX(pr_price,MATCH(B3883,pr_code,0))="","",INDEX(pr_price,MATCH(B3883,pr_code,0))),""))))</f>
        <v/>
      </c>
      <c r="K3883" s="71" t="str">
        <f>IF(COUNTA(A3883:G3883)=0,"",IF(G3883&lt;&gt;"",G3883,IF(B3883="","",IFERROR(IF(INDEX(pr_rate,MATCH(B3883,pr_code,0))="","",INDEX(pr_rate,MATCH(B3883,pr_code,0))),""))))</f>
        <v/>
      </c>
      <c r="L3883" s="65" t="str">
        <f>IF(COUNTA(A3883:G3883)=0,"",IF(AND(ISNUMBER(D3883),ISNUMBER(J3883)),ROUND(D3883*J3883*(1-N(F3883)),2),0))</f>
        <v/>
      </c>
      <c r="M3883" s="62" t="str">
        <f>IF(A3883="","",IFERROR(INDEX(fa_cname,MATCH(A3883,fa_num,0))&amp;"",""))</f>
        <v/>
      </c>
      <c r="N3883" s="59" t="str">
        <f>IF(COUNTA(A3883:G3883)=0,"",IF(A3883="","N° facture manquant",IF(ISNA(MATCH(A3883,fa_num,0)),"Facture inconnue",IF(AND(B3883&lt;&gt;"",ISNA(MATCH(B3883,pr_code,0))),"Article inconnu",IF(H3883="","Désignation manquante",IF(OR(NOT(ISNUMBER(D3883)),N(D3883)&lt;=0),"Quantité invalide",IF(J3883="","Prix manquant",IF(OR(NOT(ISNUMBER(J3883)),N(J3883)&lt;0),"Prix invalide",IF(OR(AND(F3883&lt;&gt;"",NOT(ISNUMBER(F3883))),N(F3883)&lt;0,N(F3883)&gt;1),"Remise invalide",IF(K3883="","Taux de TVA manquant",IF(NOT(ISNUMBER(K3883)),"Taux de TVA invalide",IF(COUNTIF(p_rates,K3883)=0,"Taux de TVA hors liste (Paramètres)",IF(N(O3883)&gt;25,"Au-delà de 25 lignes : non imprimée","OK")))))))))))))</f>
        <v/>
      </c>
      <c r="O3883" s="59" t="str">
        <f>IF(A3883="","",COUNTIF($A$6:A3883,A3883))</f>
        <v/>
      </c>
      <c r="P3883" s="62" t="str">
        <f>IF(A3883="","",A3883&amp;"|"&amp;O3883)</f>
        <v/>
      </c>
    </row>
    <row r="3884">
      <c r="A3884" s="60" t="n"/>
      <c r="B3884" s="63" t="n"/>
      <c r="C3884" s="63" t="n"/>
      <c r="D3884" s="67" t="n"/>
      <c r="E3884" s="68" t="n"/>
      <c r="F3884" s="69" t="n"/>
      <c r="G3884" s="70" t="n"/>
      <c r="H3884" s="62" t="str">
        <f>IF(COUNTA(A3884:G3884)=0,"",IF(C3884&lt;&gt;"",C3884,IF(B3884="","",IFERROR(INDEX(pr_des,MATCH(B3884,pr_code,0))&amp;"",""))))</f>
        <v/>
      </c>
      <c r="I3884" s="59" t="str">
        <f>IF(B3884="","",IFERROR(INDEX(pr_unit,MATCH(B3884,pr_code,0))&amp;"",""))</f>
        <v/>
      </c>
      <c r="J3884" s="65" t="str">
        <f>IF(COUNTA(A3884:G3884)=0,"",IF(E3884&lt;&gt;"",E3884,IF(B3884="","",IFERROR(IF(INDEX(pr_price,MATCH(B3884,pr_code,0))="","",INDEX(pr_price,MATCH(B3884,pr_code,0))),""))))</f>
        <v/>
      </c>
      <c r="K3884" s="71" t="str">
        <f>IF(COUNTA(A3884:G3884)=0,"",IF(G3884&lt;&gt;"",G3884,IF(B3884="","",IFERROR(IF(INDEX(pr_rate,MATCH(B3884,pr_code,0))="","",INDEX(pr_rate,MATCH(B3884,pr_code,0))),""))))</f>
        <v/>
      </c>
      <c r="L3884" s="65" t="str">
        <f>IF(COUNTA(A3884:G3884)=0,"",IF(AND(ISNUMBER(D3884),ISNUMBER(J3884)),ROUND(D3884*J3884*(1-N(F3884)),2),0))</f>
        <v/>
      </c>
      <c r="M3884" s="62" t="str">
        <f>IF(A3884="","",IFERROR(INDEX(fa_cname,MATCH(A3884,fa_num,0))&amp;"",""))</f>
        <v/>
      </c>
      <c r="N3884" s="59" t="str">
        <f>IF(COUNTA(A3884:G3884)=0,"",IF(A3884="","N° facture manquant",IF(ISNA(MATCH(A3884,fa_num,0)),"Facture inconnue",IF(AND(B3884&lt;&gt;"",ISNA(MATCH(B3884,pr_code,0))),"Article inconnu",IF(H3884="","Désignation manquante",IF(OR(NOT(ISNUMBER(D3884)),N(D3884)&lt;=0),"Quantité invalide",IF(J3884="","Prix manquant",IF(OR(NOT(ISNUMBER(J3884)),N(J3884)&lt;0),"Prix invalide",IF(OR(AND(F3884&lt;&gt;"",NOT(ISNUMBER(F3884))),N(F3884)&lt;0,N(F3884)&gt;1),"Remise invalide",IF(K3884="","Taux de TVA manquant",IF(NOT(ISNUMBER(K3884)),"Taux de TVA invalide",IF(COUNTIF(p_rates,K3884)=0,"Taux de TVA hors liste (Paramètres)",IF(N(O3884)&gt;25,"Au-delà de 25 lignes : non imprimée","OK")))))))))))))</f>
        <v/>
      </c>
      <c r="O3884" s="59" t="str">
        <f>IF(A3884="","",COUNTIF($A$6:A3884,A3884))</f>
        <v/>
      </c>
      <c r="P3884" s="62" t="str">
        <f>IF(A3884="","",A3884&amp;"|"&amp;O3884)</f>
        <v/>
      </c>
    </row>
    <row r="3885">
      <c r="A3885" s="60" t="n"/>
      <c r="B3885" s="63" t="n"/>
      <c r="C3885" s="63" t="n"/>
      <c r="D3885" s="67" t="n"/>
      <c r="E3885" s="68" t="n"/>
      <c r="F3885" s="69" t="n"/>
      <c r="G3885" s="70" t="n"/>
      <c r="H3885" s="62" t="str">
        <f>IF(COUNTA(A3885:G3885)=0,"",IF(C3885&lt;&gt;"",C3885,IF(B3885="","",IFERROR(INDEX(pr_des,MATCH(B3885,pr_code,0))&amp;"",""))))</f>
        <v/>
      </c>
      <c r="I3885" s="59" t="str">
        <f>IF(B3885="","",IFERROR(INDEX(pr_unit,MATCH(B3885,pr_code,0))&amp;"",""))</f>
        <v/>
      </c>
      <c r="J3885" s="65" t="str">
        <f>IF(COUNTA(A3885:G3885)=0,"",IF(E3885&lt;&gt;"",E3885,IF(B3885="","",IFERROR(IF(INDEX(pr_price,MATCH(B3885,pr_code,0))="","",INDEX(pr_price,MATCH(B3885,pr_code,0))),""))))</f>
        <v/>
      </c>
      <c r="K3885" s="71" t="str">
        <f>IF(COUNTA(A3885:G3885)=0,"",IF(G3885&lt;&gt;"",G3885,IF(B3885="","",IFERROR(IF(INDEX(pr_rate,MATCH(B3885,pr_code,0))="","",INDEX(pr_rate,MATCH(B3885,pr_code,0))),""))))</f>
        <v/>
      </c>
      <c r="L3885" s="65" t="str">
        <f>IF(COUNTA(A3885:G3885)=0,"",IF(AND(ISNUMBER(D3885),ISNUMBER(J3885)),ROUND(D3885*J3885*(1-N(F3885)),2),0))</f>
        <v/>
      </c>
      <c r="M3885" s="62" t="str">
        <f>IF(A3885="","",IFERROR(INDEX(fa_cname,MATCH(A3885,fa_num,0))&amp;"",""))</f>
        <v/>
      </c>
      <c r="N3885" s="59" t="str">
        <f>IF(COUNTA(A3885:G3885)=0,"",IF(A3885="","N° facture manquant",IF(ISNA(MATCH(A3885,fa_num,0)),"Facture inconnue",IF(AND(B3885&lt;&gt;"",ISNA(MATCH(B3885,pr_code,0))),"Article inconnu",IF(H3885="","Désignation manquante",IF(OR(NOT(ISNUMBER(D3885)),N(D3885)&lt;=0),"Quantité invalide",IF(J3885="","Prix manquant",IF(OR(NOT(ISNUMBER(J3885)),N(J3885)&lt;0),"Prix invalide",IF(OR(AND(F3885&lt;&gt;"",NOT(ISNUMBER(F3885))),N(F3885)&lt;0,N(F3885)&gt;1),"Remise invalide",IF(K3885="","Taux de TVA manquant",IF(NOT(ISNUMBER(K3885)),"Taux de TVA invalide",IF(COUNTIF(p_rates,K3885)=0,"Taux de TVA hors liste (Paramètres)",IF(N(O3885)&gt;25,"Au-delà de 25 lignes : non imprimée","OK")))))))))))))</f>
        <v/>
      </c>
      <c r="O3885" s="59" t="str">
        <f>IF(A3885="","",COUNTIF($A$6:A3885,A3885))</f>
        <v/>
      </c>
      <c r="P3885" s="62" t="str">
        <f>IF(A3885="","",A3885&amp;"|"&amp;O3885)</f>
        <v/>
      </c>
    </row>
    <row r="3886">
      <c r="A3886" s="60" t="n"/>
      <c r="B3886" s="63" t="n"/>
      <c r="C3886" s="63" t="n"/>
      <c r="D3886" s="67" t="n"/>
      <c r="E3886" s="68" t="n"/>
      <c r="F3886" s="69" t="n"/>
      <c r="G3886" s="70" t="n"/>
      <c r="H3886" s="62" t="str">
        <f>IF(COUNTA(A3886:G3886)=0,"",IF(C3886&lt;&gt;"",C3886,IF(B3886="","",IFERROR(INDEX(pr_des,MATCH(B3886,pr_code,0))&amp;"",""))))</f>
        <v/>
      </c>
      <c r="I3886" s="59" t="str">
        <f>IF(B3886="","",IFERROR(INDEX(pr_unit,MATCH(B3886,pr_code,0))&amp;"",""))</f>
        <v/>
      </c>
      <c r="J3886" s="65" t="str">
        <f>IF(COUNTA(A3886:G3886)=0,"",IF(E3886&lt;&gt;"",E3886,IF(B3886="","",IFERROR(IF(INDEX(pr_price,MATCH(B3886,pr_code,0))="","",INDEX(pr_price,MATCH(B3886,pr_code,0))),""))))</f>
        <v/>
      </c>
      <c r="K3886" s="71" t="str">
        <f>IF(COUNTA(A3886:G3886)=0,"",IF(G3886&lt;&gt;"",G3886,IF(B3886="","",IFERROR(IF(INDEX(pr_rate,MATCH(B3886,pr_code,0))="","",INDEX(pr_rate,MATCH(B3886,pr_code,0))),""))))</f>
        <v/>
      </c>
      <c r="L3886" s="65" t="str">
        <f>IF(COUNTA(A3886:G3886)=0,"",IF(AND(ISNUMBER(D3886),ISNUMBER(J3886)),ROUND(D3886*J3886*(1-N(F3886)),2),0))</f>
        <v/>
      </c>
      <c r="M3886" s="62" t="str">
        <f>IF(A3886="","",IFERROR(INDEX(fa_cname,MATCH(A3886,fa_num,0))&amp;"",""))</f>
        <v/>
      </c>
      <c r="N3886" s="59" t="str">
        <f>IF(COUNTA(A3886:G3886)=0,"",IF(A3886="","N° facture manquant",IF(ISNA(MATCH(A3886,fa_num,0)),"Facture inconnue",IF(AND(B3886&lt;&gt;"",ISNA(MATCH(B3886,pr_code,0))),"Article inconnu",IF(H3886="","Désignation manquante",IF(OR(NOT(ISNUMBER(D3886)),N(D3886)&lt;=0),"Quantité invalide",IF(J3886="","Prix manquant",IF(OR(NOT(ISNUMBER(J3886)),N(J3886)&lt;0),"Prix invalide",IF(OR(AND(F3886&lt;&gt;"",NOT(ISNUMBER(F3886))),N(F3886)&lt;0,N(F3886)&gt;1),"Remise invalide",IF(K3886="","Taux de TVA manquant",IF(NOT(ISNUMBER(K3886)),"Taux de TVA invalide",IF(COUNTIF(p_rates,K3886)=0,"Taux de TVA hors liste (Paramètres)",IF(N(O3886)&gt;25,"Au-delà de 25 lignes : non imprimée","OK")))))))))))))</f>
        <v/>
      </c>
      <c r="O3886" s="59" t="str">
        <f>IF(A3886="","",COUNTIF($A$6:A3886,A3886))</f>
        <v/>
      </c>
      <c r="P3886" s="62" t="str">
        <f>IF(A3886="","",A3886&amp;"|"&amp;O3886)</f>
        <v/>
      </c>
    </row>
    <row r="3887">
      <c r="A3887" s="60" t="n"/>
      <c r="B3887" s="63" t="n"/>
      <c r="C3887" s="63" t="n"/>
      <c r="D3887" s="67" t="n"/>
      <c r="E3887" s="68" t="n"/>
      <c r="F3887" s="69" t="n"/>
      <c r="G3887" s="70" t="n"/>
      <c r="H3887" s="62" t="str">
        <f>IF(COUNTA(A3887:G3887)=0,"",IF(C3887&lt;&gt;"",C3887,IF(B3887="","",IFERROR(INDEX(pr_des,MATCH(B3887,pr_code,0))&amp;"",""))))</f>
        <v/>
      </c>
      <c r="I3887" s="59" t="str">
        <f>IF(B3887="","",IFERROR(INDEX(pr_unit,MATCH(B3887,pr_code,0))&amp;"",""))</f>
        <v/>
      </c>
      <c r="J3887" s="65" t="str">
        <f>IF(COUNTA(A3887:G3887)=0,"",IF(E3887&lt;&gt;"",E3887,IF(B3887="","",IFERROR(IF(INDEX(pr_price,MATCH(B3887,pr_code,0))="","",INDEX(pr_price,MATCH(B3887,pr_code,0))),""))))</f>
        <v/>
      </c>
      <c r="K3887" s="71" t="str">
        <f>IF(COUNTA(A3887:G3887)=0,"",IF(G3887&lt;&gt;"",G3887,IF(B3887="","",IFERROR(IF(INDEX(pr_rate,MATCH(B3887,pr_code,0))="","",INDEX(pr_rate,MATCH(B3887,pr_code,0))),""))))</f>
        <v/>
      </c>
      <c r="L3887" s="65" t="str">
        <f>IF(COUNTA(A3887:G3887)=0,"",IF(AND(ISNUMBER(D3887),ISNUMBER(J3887)),ROUND(D3887*J3887*(1-N(F3887)),2),0))</f>
        <v/>
      </c>
      <c r="M3887" s="62" t="str">
        <f>IF(A3887="","",IFERROR(INDEX(fa_cname,MATCH(A3887,fa_num,0))&amp;"",""))</f>
        <v/>
      </c>
      <c r="N3887" s="59" t="str">
        <f>IF(COUNTA(A3887:G3887)=0,"",IF(A3887="","N° facture manquant",IF(ISNA(MATCH(A3887,fa_num,0)),"Facture inconnue",IF(AND(B3887&lt;&gt;"",ISNA(MATCH(B3887,pr_code,0))),"Article inconnu",IF(H3887="","Désignation manquante",IF(OR(NOT(ISNUMBER(D3887)),N(D3887)&lt;=0),"Quantité invalide",IF(J3887="","Prix manquant",IF(OR(NOT(ISNUMBER(J3887)),N(J3887)&lt;0),"Prix invalide",IF(OR(AND(F3887&lt;&gt;"",NOT(ISNUMBER(F3887))),N(F3887)&lt;0,N(F3887)&gt;1),"Remise invalide",IF(K3887="","Taux de TVA manquant",IF(NOT(ISNUMBER(K3887)),"Taux de TVA invalide",IF(COUNTIF(p_rates,K3887)=0,"Taux de TVA hors liste (Paramètres)",IF(N(O3887)&gt;25,"Au-delà de 25 lignes : non imprimée","OK")))))))))))))</f>
        <v/>
      </c>
      <c r="O3887" s="59" t="str">
        <f>IF(A3887="","",COUNTIF($A$6:A3887,A3887))</f>
        <v/>
      </c>
      <c r="P3887" s="62" t="str">
        <f>IF(A3887="","",A3887&amp;"|"&amp;O3887)</f>
        <v/>
      </c>
    </row>
    <row r="3888">
      <c r="A3888" s="60" t="n"/>
      <c r="B3888" s="63" t="n"/>
      <c r="C3888" s="63" t="n"/>
      <c r="D3888" s="67" t="n"/>
      <c r="E3888" s="68" t="n"/>
      <c r="F3888" s="69" t="n"/>
      <c r="G3888" s="70" t="n"/>
      <c r="H3888" s="62" t="str">
        <f>IF(COUNTA(A3888:G3888)=0,"",IF(C3888&lt;&gt;"",C3888,IF(B3888="","",IFERROR(INDEX(pr_des,MATCH(B3888,pr_code,0))&amp;"",""))))</f>
        <v/>
      </c>
      <c r="I3888" s="59" t="str">
        <f>IF(B3888="","",IFERROR(INDEX(pr_unit,MATCH(B3888,pr_code,0))&amp;"",""))</f>
        <v/>
      </c>
      <c r="J3888" s="65" t="str">
        <f>IF(COUNTA(A3888:G3888)=0,"",IF(E3888&lt;&gt;"",E3888,IF(B3888="","",IFERROR(IF(INDEX(pr_price,MATCH(B3888,pr_code,0))="","",INDEX(pr_price,MATCH(B3888,pr_code,0))),""))))</f>
        <v/>
      </c>
      <c r="K3888" s="71" t="str">
        <f>IF(COUNTA(A3888:G3888)=0,"",IF(G3888&lt;&gt;"",G3888,IF(B3888="","",IFERROR(IF(INDEX(pr_rate,MATCH(B3888,pr_code,0))="","",INDEX(pr_rate,MATCH(B3888,pr_code,0))),""))))</f>
        <v/>
      </c>
      <c r="L3888" s="65" t="str">
        <f>IF(COUNTA(A3888:G3888)=0,"",IF(AND(ISNUMBER(D3888),ISNUMBER(J3888)),ROUND(D3888*J3888*(1-N(F3888)),2),0))</f>
        <v/>
      </c>
      <c r="M3888" s="62" t="str">
        <f>IF(A3888="","",IFERROR(INDEX(fa_cname,MATCH(A3888,fa_num,0))&amp;"",""))</f>
        <v/>
      </c>
      <c r="N3888" s="59" t="str">
        <f>IF(COUNTA(A3888:G3888)=0,"",IF(A3888="","N° facture manquant",IF(ISNA(MATCH(A3888,fa_num,0)),"Facture inconnue",IF(AND(B3888&lt;&gt;"",ISNA(MATCH(B3888,pr_code,0))),"Article inconnu",IF(H3888="","Désignation manquante",IF(OR(NOT(ISNUMBER(D3888)),N(D3888)&lt;=0),"Quantité invalide",IF(J3888="","Prix manquant",IF(OR(NOT(ISNUMBER(J3888)),N(J3888)&lt;0),"Prix invalide",IF(OR(AND(F3888&lt;&gt;"",NOT(ISNUMBER(F3888))),N(F3888)&lt;0,N(F3888)&gt;1),"Remise invalide",IF(K3888="","Taux de TVA manquant",IF(NOT(ISNUMBER(K3888)),"Taux de TVA invalide",IF(COUNTIF(p_rates,K3888)=0,"Taux de TVA hors liste (Paramètres)",IF(N(O3888)&gt;25,"Au-delà de 25 lignes : non imprimée","OK")))))))))))))</f>
        <v/>
      </c>
      <c r="O3888" s="59" t="str">
        <f>IF(A3888="","",COUNTIF($A$6:A3888,A3888))</f>
        <v/>
      </c>
      <c r="P3888" s="62" t="str">
        <f>IF(A3888="","",A3888&amp;"|"&amp;O3888)</f>
        <v/>
      </c>
    </row>
    <row r="3889">
      <c r="A3889" s="60" t="n"/>
      <c r="B3889" s="63" t="n"/>
      <c r="C3889" s="63" t="n"/>
      <c r="D3889" s="67" t="n"/>
      <c r="E3889" s="68" t="n"/>
      <c r="F3889" s="69" t="n"/>
      <c r="G3889" s="70" t="n"/>
      <c r="H3889" s="62" t="str">
        <f>IF(COUNTA(A3889:G3889)=0,"",IF(C3889&lt;&gt;"",C3889,IF(B3889="","",IFERROR(INDEX(pr_des,MATCH(B3889,pr_code,0))&amp;"",""))))</f>
        <v/>
      </c>
      <c r="I3889" s="59" t="str">
        <f>IF(B3889="","",IFERROR(INDEX(pr_unit,MATCH(B3889,pr_code,0))&amp;"",""))</f>
        <v/>
      </c>
      <c r="J3889" s="65" t="str">
        <f>IF(COUNTA(A3889:G3889)=0,"",IF(E3889&lt;&gt;"",E3889,IF(B3889="","",IFERROR(IF(INDEX(pr_price,MATCH(B3889,pr_code,0))="","",INDEX(pr_price,MATCH(B3889,pr_code,0))),""))))</f>
        <v/>
      </c>
      <c r="K3889" s="71" t="str">
        <f>IF(COUNTA(A3889:G3889)=0,"",IF(G3889&lt;&gt;"",G3889,IF(B3889="","",IFERROR(IF(INDEX(pr_rate,MATCH(B3889,pr_code,0))="","",INDEX(pr_rate,MATCH(B3889,pr_code,0))),""))))</f>
        <v/>
      </c>
      <c r="L3889" s="65" t="str">
        <f>IF(COUNTA(A3889:G3889)=0,"",IF(AND(ISNUMBER(D3889),ISNUMBER(J3889)),ROUND(D3889*J3889*(1-N(F3889)),2),0))</f>
        <v/>
      </c>
      <c r="M3889" s="62" t="str">
        <f>IF(A3889="","",IFERROR(INDEX(fa_cname,MATCH(A3889,fa_num,0))&amp;"",""))</f>
        <v/>
      </c>
      <c r="N3889" s="59" t="str">
        <f>IF(COUNTA(A3889:G3889)=0,"",IF(A3889="","N° facture manquant",IF(ISNA(MATCH(A3889,fa_num,0)),"Facture inconnue",IF(AND(B3889&lt;&gt;"",ISNA(MATCH(B3889,pr_code,0))),"Article inconnu",IF(H3889="","Désignation manquante",IF(OR(NOT(ISNUMBER(D3889)),N(D3889)&lt;=0),"Quantité invalide",IF(J3889="","Prix manquant",IF(OR(NOT(ISNUMBER(J3889)),N(J3889)&lt;0),"Prix invalide",IF(OR(AND(F3889&lt;&gt;"",NOT(ISNUMBER(F3889))),N(F3889)&lt;0,N(F3889)&gt;1),"Remise invalide",IF(K3889="","Taux de TVA manquant",IF(NOT(ISNUMBER(K3889)),"Taux de TVA invalide",IF(COUNTIF(p_rates,K3889)=0,"Taux de TVA hors liste (Paramètres)",IF(N(O3889)&gt;25,"Au-delà de 25 lignes : non imprimée","OK")))))))))))))</f>
        <v/>
      </c>
      <c r="O3889" s="59" t="str">
        <f>IF(A3889="","",COUNTIF($A$6:A3889,A3889))</f>
        <v/>
      </c>
      <c r="P3889" s="62" t="str">
        <f>IF(A3889="","",A3889&amp;"|"&amp;O3889)</f>
        <v/>
      </c>
    </row>
    <row r="3890">
      <c r="A3890" s="60" t="n"/>
      <c r="B3890" s="63" t="n"/>
      <c r="C3890" s="63" t="n"/>
      <c r="D3890" s="67" t="n"/>
      <c r="E3890" s="68" t="n"/>
      <c r="F3890" s="69" t="n"/>
      <c r="G3890" s="70" t="n"/>
      <c r="H3890" s="62" t="str">
        <f>IF(COUNTA(A3890:G3890)=0,"",IF(C3890&lt;&gt;"",C3890,IF(B3890="","",IFERROR(INDEX(pr_des,MATCH(B3890,pr_code,0))&amp;"",""))))</f>
        <v/>
      </c>
      <c r="I3890" s="59" t="str">
        <f>IF(B3890="","",IFERROR(INDEX(pr_unit,MATCH(B3890,pr_code,0))&amp;"",""))</f>
        <v/>
      </c>
      <c r="J3890" s="65" t="str">
        <f>IF(COUNTA(A3890:G3890)=0,"",IF(E3890&lt;&gt;"",E3890,IF(B3890="","",IFERROR(IF(INDEX(pr_price,MATCH(B3890,pr_code,0))="","",INDEX(pr_price,MATCH(B3890,pr_code,0))),""))))</f>
        <v/>
      </c>
      <c r="K3890" s="71" t="str">
        <f>IF(COUNTA(A3890:G3890)=0,"",IF(G3890&lt;&gt;"",G3890,IF(B3890="","",IFERROR(IF(INDEX(pr_rate,MATCH(B3890,pr_code,0))="","",INDEX(pr_rate,MATCH(B3890,pr_code,0))),""))))</f>
        <v/>
      </c>
      <c r="L3890" s="65" t="str">
        <f>IF(COUNTA(A3890:G3890)=0,"",IF(AND(ISNUMBER(D3890),ISNUMBER(J3890)),ROUND(D3890*J3890*(1-N(F3890)),2),0))</f>
        <v/>
      </c>
      <c r="M3890" s="62" t="str">
        <f>IF(A3890="","",IFERROR(INDEX(fa_cname,MATCH(A3890,fa_num,0))&amp;"",""))</f>
        <v/>
      </c>
      <c r="N3890" s="59" t="str">
        <f>IF(COUNTA(A3890:G3890)=0,"",IF(A3890="","N° facture manquant",IF(ISNA(MATCH(A3890,fa_num,0)),"Facture inconnue",IF(AND(B3890&lt;&gt;"",ISNA(MATCH(B3890,pr_code,0))),"Article inconnu",IF(H3890="","Désignation manquante",IF(OR(NOT(ISNUMBER(D3890)),N(D3890)&lt;=0),"Quantité invalide",IF(J3890="","Prix manquant",IF(OR(NOT(ISNUMBER(J3890)),N(J3890)&lt;0),"Prix invalide",IF(OR(AND(F3890&lt;&gt;"",NOT(ISNUMBER(F3890))),N(F3890)&lt;0,N(F3890)&gt;1),"Remise invalide",IF(K3890="","Taux de TVA manquant",IF(NOT(ISNUMBER(K3890)),"Taux de TVA invalide",IF(COUNTIF(p_rates,K3890)=0,"Taux de TVA hors liste (Paramètres)",IF(N(O3890)&gt;25,"Au-delà de 25 lignes : non imprimée","OK")))))))))))))</f>
        <v/>
      </c>
      <c r="O3890" s="59" t="str">
        <f>IF(A3890="","",COUNTIF($A$6:A3890,A3890))</f>
        <v/>
      </c>
      <c r="P3890" s="62" t="str">
        <f>IF(A3890="","",A3890&amp;"|"&amp;O3890)</f>
        <v/>
      </c>
    </row>
    <row r="3891">
      <c r="A3891" s="60" t="n"/>
      <c r="B3891" s="63" t="n"/>
      <c r="C3891" s="63" t="n"/>
      <c r="D3891" s="67" t="n"/>
      <c r="E3891" s="68" t="n"/>
      <c r="F3891" s="69" t="n"/>
      <c r="G3891" s="70" t="n"/>
      <c r="H3891" s="62" t="str">
        <f>IF(COUNTA(A3891:G3891)=0,"",IF(C3891&lt;&gt;"",C3891,IF(B3891="","",IFERROR(INDEX(pr_des,MATCH(B3891,pr_code,0))&amp;"",""))))</f>
        <v/>
      </c>
      <c r="I3891" s="59" t="str">
        <f>IF(B3891="","",IFERROR(INDEX(pr_unit,MATCH(B3891,pr_code,0))&amp;"",""))</f>
        <v/>
      </c>
      <c r="J3891" s="65" t="str">
        <f>IF(COUNTA(A3891:G3891)=0,"",IF(E3891&lt;&gt;"",E3891,IF(B3891="","",IFERROR(IF(INDEX(pr_price,MATCH(B3891,pr_code,0))="","",INDEX(pr_price,MATCH(B3891,pr_code,0))),""))))</f>
        <v/>
      </c>
      <c r="K3891" s="71" t="str">
        <f>IF(COUNTA(A3891:G3891)=0,"",IF(G3891&lt;&gt;"",G3891,IF(B3891="","",IFERROR(IF(INDEX(pr_rate,MATCH(B3891,pr_code,0))="","",INDEX(pr_rate,MATCH(B3891,pr_code,0))),""))))</f>
        <v/>
      </c>
      <c r="L3891" s="65" t="str">
        <f>IF(COUNTA(A3891:G3891)=0,"",IF(AND(ISNUMBER(D3891),ISNUMBER(J3891)),ROUND(D3891*J3891*(1-N(F3891)),2),0))</f>
        <v/>
      </c>
      <c r="M3891" s="62" t="str">
        <f>IF(A3891="","",IFERROR(INDEX(fa_cname,MATCH(A3891,fa_num,0))&amp;"",""))</f>
        <v/>
      </c>
      <c r="N3891" s="59" t="str">
        <f>IF(COUNTA(A3891:G3891)=0,"",IF(A3891="","N° facture manquant",IF(ISNA(MATCH(A3891,fa_num,0)),"Facture inconnue",IF(AND(B3891&lt;&gt;"",ISNA(MATCH(B3891,pr_code,0))),"Article inconnu",IF(H3891="","Désignation manquante",IF(OR(NOT(ISNUMBER(D3891)),N(D3891)&lt;=0),"Quantité invalide",IF(J3891="","Prix manquant",IF(OR(NOT(ISNUMBER(J3891)),N(J3891)&lt;0),"Prix invalide",IF(OR(AND(F3891&lt;&gt;"",NOT(ISNUMBER(F3891))),N(F3891)&lt;0,N(F3891)&gt;1),"Remise invalide",IF(K3891="","Taux de TVA manquant",IF(NOT(ISNUMBER(K3891)),"Taux de TVA invalide",IF(COUNTIF(p_rates,K3891)=0,"Taux de TVA hors liste (Paramètres)",IF(N(O3891)&gt;25,"Au-delà de 25 lignes : non imprimée","OK")))))))))))))</f>
        <v/>
      </c>
      <c r="O3891" s="59" t="str">
        <f>IF(A3891="","",COUNTIF($A$6:A3891,A3891))</f>
        <v/>
      </c>
      <c r="P3891" s="62" t="str">
        <f>IF(A3891="","",A3891&amp;"|"&amp;O3891)</f>
        <v/>
      </c>
    </row>
    <row r="3892">
      <c r="A3892" s="60" t="n"/>
      <c r="B3892" s="63" t="n"/>
      <c r="C3892" s="63" t="n"/>
      <c r="D3892" s="67" t="n"/>
      <c r="E3892" s="68" t="n"/>
      <c r="F3892" s="69" t="n"/>
      <c r="G3892" s="70" t="n"/>
      <c r="H3892" s="62" t="str">
        <f>IF(COUNTA(A3892:G3892)=0,"",IF(C3892&lt;&gt;"",C3892,IF(B3892="","",IFERROR(INDEX(pr_des,MATCH(B3892,pr_code,0))&amp;"",""))))</f>
        <v/>
      </c>
      <c r="I3892" s="59" t="str">
        <f>IF(B3892="","",IFERROR(INDEX(pr_unit,MATCH(B3892,pr_code,0))&amp;"",""))</f>
        <v/>
      </c>
      <c r="J3892" s="65" t="str">
        <f>IF(COUNTA(A3892:G3892)=0,"",IF(E3892&lt;&gt;"",E3892,IF(B3892="","",IFERROR(IF(INDEX(pr_price,MATCH(B3892,pr_code,0))="","",INDEX(pr_price,MATCH(B3892,pr_code,0))),""))))</f>
        <v/>
      </c>
      <c r="K3892" s="71" t="str">
        <f>IF(COUNTA(A3892:G3892)=0,"",IF(G3892&lt;&gt;"",G3892,IF(B3892="","",IFERROR(IF(INDEX(pr_rate,MATCH(B3892,pr_code,0))="","",INDEX(pr_rate,MATCH(B3892,pr_code,0))),""))))</f>
        <v/>
      </c>
      <c r="L3892" s="65" t="str">
        <f>IF(COUNTA(A3892:G3892)=0,"",IF(AND(ISNUMBER(D3892),ISNUMBER(J3892)),ROUND(D3892*J3892*(1-N(F3892)),2),0))</f>
        <v/>
      </c>
      <c r="M3892" s="62" t="str">
        <f>IF(A3892="","",IFERROR(INDEX(fa_cname,MATCH(A3892,fa_num,0))&amp;"",""))</f>
        <v/>
      </c>
      <c r="N3892" s="59" t="str">
        <f>IF(COUNTA(A3892:G3892)=0,"",IF(A3892="","N° facture manquant",IF(ISNA(MATCH(A3892,fa_num,0)),"Facture inconnue",IF(AND(B3892&lt;&gt;"",ISNA(MATCH(B3892,pr_code,0))),"Article inconnu",IF(H3892="","Désignation manquante",IF(OR(NOT(ISNUMBER(D3892)),N(D3892)&lt;=0),"Quantité invalide",IF(J3892="","Prix manquant",IF(OR(NOT(ISNUMBER(J3892)),N(J3892)&lt;0),"Prix invalide",IF(OR(AND(F3892&lt;&gt;"",NOT(ISNUMBER(F3892))),N(F3892)&lt;0,N(F3892)&gt;1),"Remise invalide",IF(K3892="","Taux de TVA manquant",IF(NOT(ISNUMBER(K3892)),"Taux de TVA invalide",IF(COUNTIF(p_rates,K3892)=0,"Taux de TVA hors liste (Paramètres)",IF(N(O3892)&gt;25,"Au-delà de 25 lignes : non imprimée","OK")))))))))))))</f>
        <v/>
      </c>
      <c r="O3892" s="59" t="str">
        <f>IF(A3892="","",COUNTIF($A$6:A3892,A3892))</f>
        <v/>
      </c>
      <c r="P3892" s="62" t="str">
        <f>IF(A3892="","",A3892&amp;"|"&amp;O3892)</f>
        <v/>
      </c>
    </row>
    <row r="3893">
      <c r="A3893" s="60" t="n"/>
      <c r="B3893" s="63" t="n"/>
      <c r="C3893" s="63" t="n"/>
      <c r="D3893" s="67" t="n"/>
      <c r="E3893" s="68" t="n"/>
      <c r="F3893" s="69" t="n"/>
      <c r="G3893" s="70" t="n"/>
      <c r="H3893" s="62" t="str">
        <f>IF(COUNTA(A3893:G3893)=0,"",IF(C3893&lt;&gt;"",C3893,IF(B3893="","",IFERROR(INDEX(pr_des,MATCH(B3893,pr_code,0))&amp;"",""))))</f>
        <v/>
      </c>
      <c r="I3893" s="59" t="str">
        <f>IF(B3893="","",IFERROR(INDEX(pr_unit,MATCH(B3893,pr_code,0))&amp;"",""))</f>
        <v/>
      </c>
      <c r="J3893" s="65" t="str">
        <f>IF(COUNTA(A3893:G3893)=0,"",IF(E3893&lt;&gt;"",E3893,IF(B3893="","",IFERROR(IF(INDEX(pr_price,MATCH(B3893,pr_code,0))="","",INDEX(pr_price,MATCH(B3893,pr_code,0))),""))))</f>
        <v/>
      </c>
      <c r="K3893" s="71" t="str">
        <f>IF(COUNTA(A3893:G3893)=0,"",IF(G3893&lt;&gt;"",G3893,IF(B3893="","",IFERROR(IF(INDEX(pr_rate,MATCH(B3893,pr_code,0))="","",INDEX(pr_rate,MATCH(B3893,pr_code,0))),""))))</f>
        <v/>
      </c>
      <c r="L3893" s="65" t="str">
        <f>IF(COUNTA(A3893:G3893)=0,"",IF(AND(ISNUMBER(D3893),ISNUMBER(J3893)),ROUND(D3893*J3893*(1-N(F3893)),2),0))</f>
        <v/>
      </c>
      <c r="M3893" s="62" t="str">
        <f>IF(A3893="","",IFERROR(INDEX(fa_cname,MATCH(A3893,fa_num,0))&amp;"",""))</f>
        <v/>
      </c>
      <c r="N3893" s="59" t="str">
        <f>IF(COUNTA(A3893:G3893)=0,"",IF(A3893="","N° facture manquant",IF(ISNA(MATCH(A3893,fa_num,0)),"Facture inconnue",IF(AND(B3893&lt;&gt;"",ISNA(MATCH(B3893,pr_code,0))),"Article inconnu",IF(H3893="","Désignation manquante",IF(OR(NOT(ISNUMBER(D3893)),N(D3893)&lt;=0),"Quantité invalide",IF(J3893="","Prix manquant",IF(OR(NOT(ISNUMBER(J3893)),N(J3893)&lt;0),"Prix invalide",IF(OR(AND(F3893&lt;&gt;"",NOT(ISNUMBER(F3893))),N(F3893)&lt;0,N(F3893)&gt;1),"Remise invalide",IF(K3893="","Taux de TVA manquant",IF(NOT(ISNUMBER(K3893)),"Taux de TVA invalide",IF(COUNTIF(p_rates,K3893)=0,"Taux de TVA hors liste (Paramètres)",IF(N(O3893)&gt;25,"Au-delà de 25 lignes : non imprimée","OK")))))))))))))</f>
        <v/>
      </c>
      <c r="O3893" s="59" t="str">
        <f>IF(A3893="","",COUNTIF($A$6:A3893,A3893))</f>
        <v/>
      </c>
      <c r="P3893" s="62" t="str">
        <f>IF(A3893="","",A3893&amp;"|"&amp;O3893)</f>
        <v/>
      </c>
    </row>
    <row r="3894">
      <c r="A3894" s="60" t="n"/>
      <c r="B3894" s="63" t="n"/>
      <c r="C3894" s="63" t="n"/>
      <c r="D3894" s="67" t="n"/>
      <c r="E3894" s="68" t="n"/>
      <c r="F3894" s="69" t="n"/>
      <c r="G3894" s="70" t="n"/>
      <c r="H3894" s="62" t="str">
        <f>IF(COUNTA(A3894:G3894)=0,"",IF(C3894&lt;&gt;"",C3894,IF(B3894="","",IFERROR(INDEX(pr_des,MATCH(B3894,pr_code,0))&amp;"",""))))</f>
        <v/>
      </c>
      <c r="I3894" s="59" t="str">
        <f>IF(B3894="","",IFERROR(INDEX(pr_unit,MATCH(B3894,pr_code,0))&amp;"",""))</f>
        <v/>
      </c>
      <c r="J3894" s="65" t="str">
        <f>IF(COUNTA(A3894:G3894)=0,"",IF(E3894&lt;&gt;"",E3894,IF(B3894="","",IFERROR(IF(INDEX(pr_price,MATCH(B3894,pr_code,0))="","",INDEX(pr_price,MATCH(B3894,pr_code,0))),""))))</f>
        <v/>
      </c>
      <c r="K3894" s="71" t="str">
        <f>IF(COUNTA(A3894:G3894)=0,"",IF(G3894&lt;&gt;"",G3894,IF(B3894="","",IFERROR(IF(INDEX(pr_rate,MATCH(B3894,pr_code,0))="","",INDEX(pr_rate,MATCH(B3894,pr_code,0))),""))))</f>
        <v/>
      </c>
      <c r="L3894" s="65" t="str">
        <f>IF(COUNTA(A3894:G3894)=0,"",IF(AND(ISNUMBER(D3894),ISNUMBER(J3894)),ROUND(D3894*J3894*(1-N(F3894)),2),0))</f>
        <v/>
      </c>
      <c r="M3894" s="62" t="str">
        <f>IF(A3894="","",IFERROR(INDEX(fa_cname,MATCH(A3894,fa_num,0))&amp;"",""))</f>
        <v/>
      </c>
      <c r="N3894" s="59" t="str">
        <f>IF(COUNTA(A3894:G3894)=0,"",IF(A3894="","N° facture manquant",IF(ISNA(MATCH(A3894,fa_num,0)),"Facture inconnue",IF(AND(B3894&lt;&gt;"",ISNA(MATCH(B3894,pr_code,0))),"Article inconnu",IF(H3894="","Désignation manquante",IF(OR(NOT(ISNUMBER(D3894)),N(D3894)&lt;=0),"Quantité invalide",IF(J3894="","Prix manquant",IF(OR(NOT(ISNUMBER(J3894)),N(J3894)&lt;0),"Prix invalide",IF(OR(AND(F3894&lt;&gt;"",NOT(ISNUMBER(F3894))),N(F3894)&lt;0,N(F3894)&gt;1),"Remise invalide",IF(K3894="","Taux de TVA manquant",IF(NOT(ISNUMBER(K3894)),"Taux de TVA invalide",IF(COUNTIF(p_rates,K3894)=0,"Taux de TVA hors liste (Paramètres)",IF(N(O3894)&gt;25,"Au-delà de 25 lignes : non imprimée","OK")))))))))))))</f>
        <v/>
      </c>
      <c r="O3894" s="59" t="str">
        <f>IF(A3894="","",COUNTIF($A$6:A3894,A3894))</f>
        <v/>
      </c>
      <c r="P3894" s="62" t="str">
        <f>IF(A3894="","",A3894&amp;"|"&amp;O3894)</f>
        <v/>
      </c>
    </row>
    <row r="3895">
      <c r="A3895" s="60" t="n"/>
      <c r="B3895" s="63" t="n"/>
      <c r="C3895" s="63" t="n"/>
      <c r="D3895" s="67" t="n"/>
      <c r="E3895" s="68" t="n"/>
      <c r="F3895" s="69" t="n"/>
      <c r="G3895" s="70" t="n"/>
      <c r="H3895" s="62" t="str">
        <f>IF(COUNTA(A3895:G3895)=0,"",IF(C3895&lt;&gt;"",C3895,IF(B3895="","",IFERROR(INDEX(pr_des,MATCH(B3895,pr_code,0))&amp;"",""))))</f>
        <v/>
      </c>
      <c r="I3895" s="59" t="str">
        <f>IF(B3895="","",IFERROR(INDEX(pr_unit,MATCH(B3895,pr_code,0))&amp;"",""))</f>
        <v/>
      </c>
      <c r="J3895" s="65" t="str">
        <f>IF(COUNTA(A3895:G3895)=0,"",IF(E3895&lt;&gt;"",E3895,IF(B3895="","",IFERROR(IF(INDEX(pr_price,MATCH(B3895,pr_code,0))="","",INDEX(pr_price,MATCH(B3895,pr_code,0))),""))))</f>
        <v/>
      </c>
      <c r="K3895" s="71" t="str">
        <f>IF(COUNTA(A3895:G3895)=0,"",IF(G3895&lt;&gt;"",G3895,IF(B3895="","",IFERROR(IF(INDEX(pr_rate,MATCH(B3895,pr_code,0))="","",INDEX(pr_rate,MATCH(B3895,pr_code,0))),""))))</f>
        <v/>
      </c>
      <c r="L3895" s="65" t="str">
        <f>IF(COUNTA(A3895:G3895)=0,"",IF(AND(ISNUMBER(D3895),ISNUMBER(J3895)),ROUND(D3895*J3895*(1-N(F3895)),2),0))</f>
        <v/>
      </c>
      <c r="M3895" s="62" t="str">
        <f>IF(A3895="","",IFERROR(INDEX(fa_cname,MATCH(A3895,fa_num,0))&amp;"",""))</f>
        <v/>
      </c>
      <c r="N3895" s="59" t="str">
        <f>IF(COUNTA(A3895:G3895)=0,"",IF(A3895="","N° facture manquant",IF(ISNA(MATCH(A3895,fa_num,0)),"Facture inconnue",IF(AND(B3895&lt;&gt;"",ISNA(MATCH(B3895,pr_code,0))),"Article inconnu",IF(H3895="","Désignation manquante",IF(OR(NOT(ISNUMBER(D3895)),N(D3895)&lt;=0),"Quantité invalide",IF(J3895="","Prix manquant",IF(OR(NOT(ISNUMBER(J3895)),N(J3895)&lt;0),"Prix invalide",IF(OR(AND(F3895&lt;&gt;"",NOT(ISNUMBER(F3895))),N(F3895)&lt;0,N(F3895)&gt;1),"Remise invalide",IF(K3895="","Taux de TVA manquant",IF(NOT(ISNUMBER(K3895)),"Taux de TVA invalide",IF(COUNTIF(p_rates,K3895)=0,"Taux de TVA hors liste (Paramètres)",IF(N(O3895)&gt;25,"Au-delà de 25 lignes : non imprimée","OK")))))))))))))</f>
        <v/>
      </c>
      <c r="O3895" s="59" t="str">
        <f>IF(A3895="","",COUNTIF($A$6:A3895,A3895))</f>
        <v/>
      </c>
      <c r="P3895" s="62" t="str">
        <f>IF(A3895="","",A3895&amp;"|"&amp;O3895)</f>
        <v/>
      </c>
    </row>
    <row r="3896">
      <c r="A3896" s="60" t="n"/>
      <c r="B3896" s="63" t="n"/>
      <c r="C3896" s="63" t="n"/>
      <c r="D3896" s="67" t="n"/>
      <c r="E3896" s="68" t="n"/>
      <c r="F3896" s="69" t="n"/>
      <c r="G3896" s="70" t="n"/>
      <c r="H3896" s="62" t="str">
        <f>IF(COUNTA(A3896:G3896)=0,"",IF(C3896&lt;&gt;"",C3896,IF(B3896="","",IFERROR(INDEX(pr_des,MATCH(B3896,pr_code,0))&amp;"",""))))</f>
        <v/>
      </c>
      <c r="I3896" s="59" t="str">
        <f>IF(B3896="","",IFERROR(INDEX(pr_unit,MATCH(B3896,pr_code,0))&amp;"",""))</f>
        <v/>
      </c>
      <c r="J3896" s="65" t="str">
        <f>IF(COUNTA(A3896:G3896)=0,"",IF(E3896&lt;&gt;"",E3896,IF(B3896="","",IFERROR(IF(INDEX(pr_price,MATCH(B3896,pr_code,0))="","",INDEX(pr_price,MATCH(B3896,pr_code,0))),""))))</f>
        <v/>
      </c>
      <c r="K3896" s="71" t="str">
        <f>IF(COUNTA(A3896:G3896)=0,"",IF(G3896&lt;&gt;"",G3896,IF(B3896="","",IFERROR(IF(INDEX(pr_rate,MATCH(B3896,pr_code,0))="","",INDEX(pr_rate,MATCH(B3896,pr_code,0))),""))))</f>
        <v/>
      </c>
      <c r="L3896" s="65" t="str">
        <f>IF(COUNTA(A3896:G3896)=0,"",IF(AND(ISNUMBER(D3896),ISNUMBER(J3896)),ROUND(D3896*J3896*(1-N(F3896)),2),0))</f>
        <v/>
      </c>
      <c r="M3896" s="62" t="str">
        <f>IF(A3896="","",IFERROR(INDEX(fa_cname,MATCH(A3896,fa_num,0))&amp;"",""))</f>
        <v/>
      </c>
      <c r="N3896" s="59" t="str">
        <f>IF(COUNTA(A3896:G3896)=0,"",IF(A3896="","N° facture manquant",IF(ISNA(MATCH(A3896,fa_num,0)),"Facture inconnue",IF(AND(B3896&lt;&gt;"",ISNA(MATCH(B3896,pr_code,0))),"Article inconnu",IF(H3896="","Désignation manquante",IF(OR(NOT(ISNUMBER(D3896)),N(D3896)&lt;=0),"Quantité invalide",IF(J3896="","Prix manquant",IF(OR(NOT(ISNUMBER(J3896)),N(J3896)&lt;0),"Prix invalide",IF(OR(AND(F3896&lt;&gt;"",NOT(ISNUMBER(F3896))),N(F3896)&lt;0,N(F3896)&gt;1),"Remise invalide",IF(K3896="","Taux de TVA manquant",IF(NOT(ISNUMBER(K3896)),"Taux de TVA invalide",IF(COUNTIF(p_rates,K3896)=0,"Taux de TVA hors liste (Paramètres)",IF(N(O3896)&gt;25,"Au-delà de 25 lignes : non imprimée","OK")))))))))))))</f>
        <v/>
      </c>
      <c r="O3896" s="59" t="str">
        <f>IF(A3896="","",COUNTIF($A$6:A3896,A3896))</f>
        <v/>
      </c>
      <c r="P3896" s="62" t="str">
        <f>IF(A3896="","",A3896&amp;"|"&amp;O3896)</f>
        <v/>
      </c>
    </row>
    <row r="3897">
      <c r="A3897" s="60" t="n"/>
      <c r="B3897" s="63" t="n"/>
      <c r="C3897" s="63" t="n"/>
      <c r="D3897" s="67" t="n"/>
      <c r="E3897" s="68" t="n"/>
      <c r="F3897" s="69" t="n"/>
      <c r="G3897" s="70" t="n"/>
      <c r="H3897" s="62" t="str">
        <f>IF(COUNTA(A3897:G3897)=0,"",IF(C3897&lt;&gt;"",C3897,IF(B3897="","",IFERROR(INDEX(pr_des,MATCH(B3897,pr_code,0))&amp;"",""))))</f>
        <v/>
      </c>
      <c r="I3897" s="59" t="str">
        <f>IF(B3897="","",IFERROR(INDEX(pr_unit,MATCH(B3897,pr_code,0))&amp;"",""))</f>
        <v/>
      </c>
      <c r="J3897" s="65" t="str">
        <f>IF(COUNTA(A3897:G3897)=0,"",IF(E3897&lt;&gt;"",E3897,IF(B3897="","",IFERROR(IF(INDEX(pr_price,MATCH(B3897,pr_code,0))="","",INDEX(pr_price,MATCH(B3897,pr_code,0))),""))))</f>
        <v/>
      </c>
      <c r="K3897" s="71" t="str">
        <f>IF(COUNTA(A3897:G3897)=0,"",IF(G3897&lt;&gt;"",G3897,IF(B3897="","",IFERROR(IF(INDEX(pr_rate,MATCH(B3897,pr_code,0))="","",INDEX(pr_rate,MATCH(B3897,pr_code,0))),""))))</f>
        <v/>
      </c>
      <c r="L3897" s="65" t="str">
        <f>IF(COUNTA(A3897:G3897)=0,"",IF(AND(ISNUMBER(D3897),ISNUMBER(J3897)),ROUND(D3897*J3897*(1-N(F3897)),2),0))</f>
        <v/>
      </c>
      <c r="M3897" s="62" t="str">
        <f>IF(A3897="","",IFERROR(INDEX(fa_cname,MATCH(A3897,fa_num,0))&amp;"",""))</f>
        <v/>
      </c>
      <c r="N3897" s="59" t="str">
        <f>IF(COUNTA(A3897:G3897)=0,"",IF(A3897="","N° facture manquant",IF(ISNA(MATCH(A3897,fa_num,0)),"Facture inconnue",IF(AND(B3897&lt;&gt;"",ISNA(MATCH(B3897,pr_code,0))),"Article inconnu",IF(H3897="","Désignation manquante",IF(OR(NOT(ISNUMBER(D3897)),N(D3897)&lt;=0),"Quantité invalide",IF(J3897="","Prix manquant",IF(OR(NOT(ISNUMBER(J3897)),N(J3897)&lt;0),"Prix invalide",IF(OR(AND(F3897&lt;&gt;"",NOT(ISNUMBER(F3897))),N(F3897)&lt;0,N(F3897)&gt;1),"Remise invalide",IF(K3897="","Taux de TVA manquant",IF(NOT(ISNUMBER(K3897)),"Taux de TVA invalide",IF(COUNTIF(p_rates,K3897)=0,"Taux de TVA hors liste (Paramètres)",IF(N(O3897)&gt;25,"Au-delà de 25 lignes : non imprimée","OK")))))))))))))</f>
        <v/>
      </c>
      <c r="O3897" s="59" t="str">
        <f>IF(A3897="","",COUNTIF($A$6:A3897,A3897))</f>
        <v/>
      </c>
      <c r="P3897" s="62" t="str">
        <f>IF(A3897="","",A3897&amp;"|"&amp;O3897)</f>
        <v/>
      </c>
    </row>
    <row r="3898">
      <c r="A3898" s="60" t="n"/>
      <c r="B3898" s="63" t="n"/>
      <c r="C3898" s="63" t="n"/>
      <c r="D3898" s="67" t="n"/>
      <c r="E3898" s="68" t="n"/>
      <c r="F3898" s="69" t="n"/>
      <c r="G3898" s="70" t="n"/>
      <c r="H3898" s="62" t="str">
        <f>IF(COUNTA(A3898:G3898)=0,"",IF(C3898&lt;&gt;"",C3898,IF(B3898="","",IFERROR(INDEX(pr_des,MATCH(B3898,pr_code,0))&amp;"",""))))</f>
        <v/>
      </c>
      <c r="I3898" s="59" t="str">
        <f>IF(B3898="","",IFERROR(INDEX(pr_unit,MATCH(B3898,pr_code,0))&amp;"",""))</f>
        <v/>
      </c>
      <c r="J3898" s="65" t="str">
        <f>IF(COUNTA(A3898:G3898)=0,"",IF(E3898&lt;&gt;"",E3898,IF(B3898="","",IFERROR(IF(INDEX(pr_price,MATCH(B3898,pr_code,0))="","",INDEX(pr_price,MATCH(B3898,pr_code,0))),""))))</f>
        <v/>
      </c>
      <c r="K3898" s="71" t="str">
        <f>IF(COUNTA(A3898:G3898)=0,"",IF(G3898&lt;&gt;"",G3898,IF(B3898="","",IFERROR(IF(INDEX(pr_rate,MATCH(B3898,pr_code,0))="","",INDEX(pr_rate,MATCH(B3898,pr_code,0))),""))))</f>
        <v/>
      </c>
      <c r="L3898" s="65" t="str">
        <f>IF(COUNTA(A3898:G3898)=0,"",IF(AND(ISNUMBER(D3898),ISNUMBER(J3898)),ROUND(D3898*J3898*(1-N(F3898)),2),0))</f>
        <v/>
      </c>
      <c r="M3898" s="62" t="str">
        <f>IF(A3898="","",IFERROR(INDEX(fa_cname,MATCH(A3898,fa_num,0))&amp;"",""))</f>
        <v/>
      </c>
      <c r="N3898" s="59" t="str">
        <f>IF(COUNTA(A3898:G3898)=0,"",IF(A3898="","N° facture manquant",IF(ISNA(MATCH(A3898,fa_num,0)),"Facture inconnue",IF(AND(B3898&lt;&gt;"",ISNA(MATCH(B3898,pr_code,0))),"Article inconnu",IF(H3898="","Désignation manquante",IF(OR(NOT(ISNUMBER(D3898)),N(D3898)&lt;=0),"Quantité invalide",IF(J3898="","Prix manquant",IF(OR(NOT(ISNUMBER(J3898)),N(J3898)&lt;0),"Prix invalide",IF(OR(AND(F3898&lt;&gt;"",NOT(ISNUMBER(F3898))),N(F3898)&lt;0,N(F3898)&gt;1),"Remise invalide",IF(K3898="","Taux de TVA manquant",IF(NOT(ISNUMBER(K3898)),"Taux de TVA invalide",IF(COUNTIF(p_rates,K3898)=0,"Taux de TVA hors liste (Paramètres)",IF(N(O3898)&gt;25,"Au-delà de 25 lignes : non imprimée","OK")))))))))))))</f>
        <v/>
      </c>
      <c r="O3898" s="59" t="str">
        <f>IF(A3898="","",COUNTIF($A$6:A3898,A3898))</f>
        <v/>
      </c>
      <c r="P3898" s="62" t="str">
        <f>IF(A3898="","",A3898&amp;"|"&amp;O3898)</f>
        <v/>
      </c>
    </row>
    <row r="3899">
      <c r="A3899" s="60" t="n"/>
      <c r="B3899" s="63" t="n"/>
      <c r="C3899" s="63" t="n"/>
      <c r="D3899" s="67" t="n"/>
      <c r="E3899" s="68" t="n"/>
      <c r="F3899" s="69" t="n"/>
      <c r="G3899" s="70" t="n"/>
      <c r="H3899" s="62" t="str">
        <f>IF(COUNTA(A3899:G3899)=0,"",IF(C3899&lt;&gt;"",C3899,IF(B3899="","",IFERROR(INDEX(pr_des,MATCH(B3899,pr_code,0))&amp;"",""))))</f>
        <v/>
      </c>
      <c r="I3899" s="59" t="str">
        <f>IF(B3899="","",IFERROR(INDEX(pr_unit,MATCH(B3899,pr_code,0))&amp;"",""))</f>
        <v/>
      </c>
      <c r="J3899" s="65" t="str">
        <f>IF(COUNTA(A3899:G3899)=0,"",IF(E3899&lt;&gt;"",E3899,IF(B3899="","",IFERROR(IF(INDEX(pr_price,MATCH(B3899,pr_code,0))="","",INDEX(pr_price,MATCH(B3899,pr_code,0))),""))))</f>
        <v/>
      </c>
      <c r="K3899" s="71" t="str">
        <f>IF(COUNTA(A3899:G3899)=0,"",IF(G3899&lt;&gt;"",G3899,IF(B3899="","",IFERROR(IF(INDEX(pr_rate,MATCH(B3899,pr_code,0))="","",INDEX(pr_rate,MATCH(B3899,pr_code,0))),""))))</f>
        <v/>
      </c>
      <c r="L3899" s="65" t="str">
        <f>IF(COUNTA(A3899:G3899)=0,"",IF(AND(ISNUMBER(D3899),ISNUMBER(J3899)),ROUND(D3899*J3899*(1-N(F3899)),2),0))</f>
        <v/>
      </c>
      <c r="M3899" s="62" t="str">
        <f>IF(A3899="","",IFERROR(INDEX(fa_cname,MATCH(A3899,fa_num,0))&amp;"",""))</f>
        <v/>
      </c>
      <c r="N3899" s="59" t="str">
        <f>IF(COUNTA(A3899:G3899)=0,"",IF(A3899="","N° facture manquant",IF(ISNA(MATCH(A3899,fa_num,0)),"Facture inconnue",IF(AND(B3899&lt;&gt;"",ISNA(MATCH(B3899,pr_code,0))),"Article inconnu",IF(H3899="","Désignation manquante",IF(OR(NOT(ISNUMBER(D3899)),N(D3899)&lt;=0),"Quantité invalide",IF(J3899="","Prix manquant",IF(OR(NOT(ISNUMBER(J3899)),N(J3899)&lt;0),"Prix invalide",IF(OR(AND(F3899&lt;&gt;"",NOT(ISNUMBER(F3899))),N(F3899)&lt;0,N(F3899)&gt;1),"Remise invalide",IF(K3899="","Taux de TVA manquant",IF(NOT(ISNUMBER(K3899)),"Taux de TVA invalide",IF(COUNTIF(p_rates,K3899)=0,"Taux de TVA hors liste (Paramètres)",IF(N(O3899)&gt;25,"Au-delà de 25 lignes : non imprimée","OK")))))))))))))</f>
        <v/>
      </c>
      <c r="O3899" s="59" t="str">
        <f>IF(A3899="","",COUNTIF($A$6:A3899,A3899))</f>
        <v/>
      </c>
      <c r="P3899" s="62" t="str">
        <f>IF(A3899="","",A3899&amp;"|"&amp;O3899)</f>
        <v/>
      </c>
    </row>
    <row r="3900">
      <c r="A3900" s="60" t="n"/>
      <c r="B3900" s="63" t="n"/>
      <c r="C3900" s="63" t="n"/>
      <c r="D3900" s="67" t="n"/>
      <c r="E3900" s="68" t="n"/>
      <c r="F3900" s="69" t="n"/>
      <c r="G3900" s="70" t="n"/>
      <c r="H3900" s="62" t="str">
        <f>IF(COUNTA(A3900:G3900)=0,"",IF(C3900&lt;&gt;"",C3900,IF(B3900="","",IFERROR(INDEX(pr_des,MATCH(B3900,pr_code,0))&amp;"",""))))</f>
        <v/>
      </c>
      <c r="I3900" s="59" t="str">
        <f>IF(B3900="","",IFERROR(INDEX(pr_unit,MATCH(B3900,pr_code,0))&amp;"",""))</f>
        <v/>
      </c>
      <c r="J3900" s="65" t="str">
        <f>IF(COUNTA(A3900:G3900)=0,"",IF(E3900&lt;&gt;"",E3900,IF(B3900="","",IFERROR(IF(INDEX(pr_price,MATCH(B3900,pr_code,0))="","",INDEX(pr_price,MATCH(B3900,pr_code,0))),""))))</f>
        <v/>
      </c>
      <c r="K3900" s="71" t="str">
        <f>IF(COUNTA(A3900:G3900)=0,"",IF(G3900&lt;&gt;"",G3900,IF(B3900="","",IFERROR(IF(INDEX(pr_rate,MATCH(B3900,pr_code,0))="","",INDEX(pr_rate,MATCH(B3900,pr_code,0))),""))))</f>
        <v/>
      </c>
      <c r="L3900" s="65" t="str">
        <f>IF(COUNTA(A3900:G3900)=0,"",IF(AND(ISNUMBER(D3900),ISNUMBER(J3900)),ROUND(D3900*J3900*(1-N(F3900)),2),0))</f>
        <v/>
      </c>
      <c r="M3900" s="62" t="str">
        <f>IF(A3900="","",IFERROR(INDEX(fa_cname,MATCH(A3900,fa_num,0))&amp;"",""))</f>
        <v/>
      </c>
      <c r="N3900" s="59" t="str">
        <f>IF(COUNTA(A3900:G3900)=0,"",IF(A3900="","N° facture manquant",IF(ISNA(MATCH(A3900,fa_num,0)),"Facture inconnue",IF(AND(B3900&lt;&gt;"",ISNA(MATCH(B3900,pr_code,0))),"Article inconnu",IF(H3900="","Désignation manquante",IF(OR(NOT(ISNUMBER(D3900)),N(D3900)&lt;=0),"Quantité invalide",IF(J3900="","Prix manquant",IF(OR(NOT(ISNUMBER(J3900)),N(J3900)&lt;0),"Prix invalide",IF(OR(AND(F3900&lt;&gt;"",NOT(ISNUMBER(F3900))),N(F3900)&lt;0,N(F3900)&gt;1),"Remise invalide",IF(K3900="","Taux de TVA manquant",IF(NOT(ISNUMBER(K3900)),"Taux de TVA invalide",IF(COUNTIF(p_rates,K3900)=0,"Taux de TVA hors liste (Paramètres)",IF(N(O3900)&gt;25,"Au-delà de 25 lignes : non imprimée","OK")))))))))))))</f>
        <v/>
      </c>
      <c r="O3900" s="59" t="str">
        <f>IF(A3900="","",COUNTIF($A$6:A3900,A3900))</f>
        <v/>
      </c>
      <c r="P3900" s="62" t="str">
        <f>IF(A3900="","",A3900&amp;"|"&amp;O3900)</f>
        <v/>
      </c>
    </row>
    <row r="3901">
      <c r="A3901" s="60" t="n"/>
      <c r="B3901" s="63" t="n"/>
      <c r="C3901" s="63" t="n"/>
      <c r="D3901" s="67" t="n"/>
      <c r="E3901" s="68" t="n"/>
      <c r="F3901" s="69" t="n"/>
      <c r="G3901" s="70" t="n"/>
      <c r="H3901" s="62" t="str">
        <f>IF(COUNTA(A3901:G3901)=0,"",IF(C3901&lt;&gt;"",C3901,IF(B3901="","",IFERROR(INDEX(pr_des,MATCH(B3901,pr_code,0))&amp;"",""))))</f>
        <v/>
      </c>
      <c r="I3901" s="59" t="str">
        <f>IF(B3901="","",IFERROR(INDEX(pr_unit,MATCH(B3901,pr_code,0))&amp;"",""))</f>
        <v/>
      </c>
      <c r="J3901" s="65" t="str">
        <f>IF(COUNTA(A3901:G3901)=0,"",IF(E3901&lt;&gt;"",E3901,IF(B3901="","",IFERROR(IF(INDEX(pr_price,MATCH(B3901,pr_code,0))="","",INDEX(pr_price,MATCH(B3901,pr_code,0))),""))))</f>
        <v/>
      </c>
      <c r="K3901" s="71" t="str">
        <f>IF(COUNTA(A3901:G3901)=0,"",IF(G3901&lt;&gt;"",G3901,IF(B3901="","",IFERROR(IF(INDEX(pr_rate,MATCH(B3901,pr_code,0))="","",INDEX(pr_rate,MATCH(B3901,pr_code,0))),""))))</f>
        <v/>
      </c>
      <c r="L3901" s="65" t="str">
        <f>IF(COUNTA(A3901:G3901)=0,"",IF(AND(ISNUMBER(D3901),ISNUMBER(J3901)),ROUND(D3901*J3901*(1-N(F3901)),2),0))</f>
        <v/>
      </c>
      <c r="M3901" s="62" t="str">
        <f>IF(A3901="","",IFERROR(INDEX(fa_cname,MATCH(A3901,fa_num,0))&amp;"",""))</f>
        <v/>
      </c>
      <c r="N3901" s="59" t="str">
        <f>IF(COUNTA(A3901:G3901)=0,"",IF(A3901="","N° facture manquant",IF(ISNA(MATCH(A3901,fa_num,0)),"Facture inconnue",IF(AND(B3901&lt;&gt;"",ISNA(MATCH(B3901,pr_code,0))),"Article inconnu",IF(H3901="","Désignation manquante",IF(OR(NOT(ISNUMBER(D3901)),N(D3901)&lt;=0),"Quantité invalide",IF(J3901="","Prix manquant",IF(OR(NOT(ISNUMBER(J3901)),N(J3901)&lt;0),"Prix invalide",IF(OR(AND(F3901&lt;&gt;"",NOT(ISNUMBER(F3901))),N(F3901)&lt;0,N(F3901)&gt;1),"Remise invalide",IF(K3901="","Taux de TVA manquant",IF(NOT(ISNUMBER(K3901)),"Taux de TVA invalide",IF(COUNTIF(p_rates,K3901)=0,"Taux de TVA hors liste (Paramètres)",IF(N(O3901)&gt;25,"Au-delà de 25 lignes : non imprimée","OK")))))))))))))</f>
        <v/>
      </c>
      <c r="O3901" s="59" t="str">
        <f>IF(A3901="","",COUNTIF($A$6:A3901,A3901))</f>
        <v/>
      </c>
      <c r="P3901" s="62" t="str">
        <f>IF(A3901="","",A3901&amp;"|"&amp;O3901)</f>
        <v/>
      </c>
    </row>
    <row r="3902">
      <c r="A3902" s="60" t="n"/>
      <c r="B3902" s="63" t="n"/>
      <c r="C3902" s="63" t="n"/>
      <c r="D3902" s="67" t="n"/>
      <c r="E3902" s="68" t="n"/>
      <c r="F3902" s="69" t="n"/>
      <c r="G3902" s="70" t="n"/>
      <c r="H3902" s="62" t="str">
        <f>IF(COUNTA(A3902:G3902)=0,"",IF(C3902&lt;&gt;"",C3902,IF(B3902="","",IFERROR(INDEX(pr_des,MATCH(B3902,pr_code,0))&amp;"",""))))</f>
        <v/>
      </c>
      <c r="I3902" s="59" t="str">
        <f>IF(B3902="","",IFERROR(INDEX(pr_unit,MATCH(B3902,pr_code,0))&amp;"",""))</f>
        <v/>
      </c>
      <c r="J3902" s="65" t="str">
        <f>IF(COUNTA(A3902:G3902)=0,"",IF(E3902&lt;&gt;"",E3902,IF(B3902="","",IFERROR(IF(INDEX(pr_price,MATCH(B3902,pr_code,0))="","",INDEX(pr_price,MATCH(B3902,pr_code,0))),""))))</f>
        <v/>
      </c>
      <c r="K3902" s="71" t="str">
        <f>IF(COUNTA(A3902:G3902)=0,"",IF(G3902&lt;&gt;"",G3902,IF(B3902="","",IFERROR(IF(INDEX(pr_rate,MATCH(B3902,pr_code,0))="","",INDEX(pr_rate,MATCH(B3902,pr_code,0))),""))))</f>
        <v/>
      </c>
      <c r="L3902" s="65" t="str">
        <f>IF(COUNTA(A3902:G3902)=0,"",IF(AND(ISNUMBER(D3902),ISNUMBER(J3902)),ROUND(D3902*J3902*(1-N(F3902)),2),0))</f>
        <v/>
      </c>
      <c r="M3902" s="62" t="str">
        <f>IF(A3902="","",IFERROR(INDEX(fa_cname,MATCH(A3902,fa_num,0))&amp;"",""))</f>
        <v/>
      </c>
      <c r="N3902" s="59" t="str">
        <f>IF(COUNTA(A3902:G3902)=0,"",IF(A3902="","N° facture manquant",IF(ISNA(MATCH(A3902,fa_num,0)),"Facture inconnue",IF(AND(B3902&lt;&gt;"",ISNA(MATCH(B3902,pr_code,0))),"Article inconnu",IF(H3902="","Désignation manquante",IF(OR(NOT(ISNUMBER(D3902)),N(D3902)&lt;=0),"Quantité invalide",IF(J3902="","Prix manquant",IF(OR(NOT(ISNUMBER(J3902)),N(J3902)&lt;0),"Prix invalide",IF(OR(AND(F3902&lt;&gt;"",NOT(ISNUMBER(F3902))),N(F3902)&lt;0,N(F3902)&gt;1),"Remise invalide",IF(K3902="","Taux de TVA manquant",IF(NOT(ISNUMBER(K3902)),"Taux de TVA invalide",IF(COUNTIF(p_rates,K3902)=0,"Taux de TVA hors liste (Paramètres)",IF(N(O3902)&gt;25,"Au-delà de 25 lignes : non imprimée","OK")))))))))))))</f>
        <v/>
      </c>
      <c r="O3902" s="59" t="str">
        <f>IF(A3902="","",COUNTIF($A$6:A3902,A3902))</f>
        <v/>
      </c>
      <c r="P3902" s="62" t="str">
        <f>IF(A3902="","",A3902&amp;"|"&amp;O3902)</f>
        <v/>
      </c>
    </row>
    <row r="3903">
      <c r="A3903" s="60" t="n"/>
      <c r="B3903" s="63" t="n"/>
      <c r="C3903" s="63" t="n"/>
      <c r="D3903" s="67" t="n"/>
      <c r="E3903" s="68" t="n"/>
      <c r="F3903" s="69" t="n"/>
      <c r="G3903" s="70" t="n"/>
      <c r="H3903" s="62" t="str">
        <f>IF(COUNTA(A3903:G3903)=0,"",IF(C3903&lt;&gt;"",C3903,IF(B3903="","",IFERROR(INDEX(pr_des,MATCH(B3903,pr_code,0))&amp;"",""))))</f>
        <v/>
      </c>
      <c r="I3903" s="59" t="str">
        <f>IF(B3903="","",IFERROR(INDEX(pr_unit,MATCH(B3903,pr_code,0))&amp;"",""))</f>
        <v/>
      </c>
      <c r="J3903" s="65" t="str">
        <f>IF(COUNTA(A3903:G3903)=0,"",IF(E3903&lt;&gt;"",E3903,IF(B3903="","",IFERROR(IF(INDEX(pr_price,MATCH(B3903,pr_code,0))="","",INDEX(pr_price,MATCH(B3903,pr_code,0))),""))))</f>
        <v/>
      </c>
      <c r="K3903" s="71" t="str">
        <f>IF(COUNTA(A3903:G3903)=0,"",IF(G3903&lt;&gt;"",G3903,IF(B3903="","",IFERROR(IF(INDEX(pr_rate,MATCH(B3903,pr_code,0))="","",INDEX(pr_rate,MATCH(B3903,pr_code,0))),""))))</f>
        <v/>
      </c>
      <c r="L3903" s="65" t="str">
        <f>IF(COUNTA(A3903:G3903)=0,"",IF(AND(ISNUMBER(D3903),ISNUMBER(J3903)),ROUND(D3903*J3903*(1-N(F3903)),2),0))</f>
        <v/>
      </c>
      <c r="M3903" s="62" t="str">
        <f>IF(A3903="","",IFERROR(INDEX(fa_cname,MATCH(A3903,fa_num,0))&amp;"",""))</f>
        <v/>
      </c>
      <c r="N3903" s="59" t="str">
        <f>IF(COUNTA(A3903:G3903)=0,"",IF(A3903="","N° facture manquant",IF(ISNA(MATCH(A3903,fa_num,0)),"Facture inconnue",IF(AND(B3903&lt;&gt;"",ISNA(MATCH(B3903,pr_code,0))),"Article inconnu",IF(H3903="","Désignation manquante",IF(OR(NOT(ISNUMBER(D3903)),N(D3903)&lt;=0),"Quantité invalide",IF(J3903="","Prix manquant",IF(OR(NOT(ISNUMBER(J3903)),N(J3903)&lt;0),"Prix invalide",IF(OR(AND(F3903&lt;&gt;"",NOT(ISNUMBER(F3903))),N(F3903)&lt;0,N(F3903)&gt;1),"Remise invalide",IF(K3903="","Taux de TVA manquant",IF(NOT(ISNUMBER(K3903)),"Taux de TVA invalide",IF(COUNTIF(p_rates,K3903)=0,"Taux de TVA hors liste (Paramètres)",IF(N(O3903)&gt;25,"Au-delà de 25 lignes : non imprimée","OK")))))))))))))</f>
        <v/>
      </c>
      <c r="O3903" s="59" t="str">
        <f>IF(A3903="","",COUNTIF($A$6:A3903,A3903))</f>
        <v/>
      </c>
      <c r="P3903" s="62" t="str">
        <f>IF(A3903="","",A3903&amp;"|"&amp;O3903)</f>
        <v/>
      </c>
    </row>
    <row r="3904">
      <c r="A3904" s="60" t="n"/>
      <c r="B3904" s="63" t="n"/>
      <c r="C3904" s="63" t="n"/>
      <c r="D3904" s="67" t="n"/>
      <c r="E3904" s="68" t="n"/>
      <c r="F3904" s="69" t="n"/>
      <c r="G3904" s="70" t="n"/>
      <c r="H3904" s="62" t="str">
        <f>IF(COUNTA(A3904:G3904)=0,"",IF(C3904&lt;&gt;"",C3904,IF(B3904="","",IFERROR(INDEX(pr_des,MATCH(B3904,pr_code,0))&amp;"",""))))</f>
        <v/>
      </c>
      <c r="I3904" s="59" t="str">
        <f>IF(B3904="","",IFERROR(INDEX(pr_unit,MATCH(B3904,pr_code,0))&amp;"",""))</f>
        <v/>
      </c>
      <c r="J3904" s="65" t="str">
        <f>IF(COUNTA(A3904:G3904)=0,"",IF(E3904&lt;&gt;"",E3904,IF(B3904="","",IFERROR(IF(INDEX(pr_price,MATCH(B3904,pr_code,0))="","",INDEX(pr_price,MATCH(B3904,pr_code,0))),""))))</f>
        <v/>
      </c>
      <c r="K3904" s="71" t="str">
        <f>IF(COUNTA(A3904:G3904)=0,"",IF(G3904&lt;&gt;"",G3904,IF(B3904="","",IFERROR(IF(INDEX(pr_rate,MATCH(B3904,pr_code,0))="","",INDEX(pr_rate,MATCH(B3904,pr_code,0))),""))))</f>
        <v/>
      </c>
      <c r="L3904" s="65" t="str">
        <f>IF(COUNTA(A3904:G3904)=0,"",IF(AND(ISNUMBER(D3904),ISNUMBER(J3904)),ROUND(D3904*J3904*(1-N(F3904)),2),0))</f>
        <v/>
      </c>
      <c r="M3904" s="62" t="str">
        <f>IF(A3904="","",IFERROR(INDEX(fa_cname,MATCH(A3904,fa_num,0))&amp;"",""))</f>
        <v/>
      </c>
      <c r="N3904" s="59" t="str">
        <f>IF(COUNTA(A3904:G3904)=0,"",IF(A3904="","N° facture manquant",IF(ISNA(MATCH(A3904,fa_num,0)),"Facture inconnue",IF(AND(B3904&lt;&gt;"",ISNA(MATCH(B3904,pr_code,0))),"Article inconnu",IF(H3904="","Désignation manquante",IF(OR(NOT(ISNUMBER(D3904)),N(D3904)&lt;=0),"Quantité invalide",IF(J3904="","Prix manquant",IF(OR(NOT(ISNUMBER(J3904)),N(J3904)&lt;0),"Prix invalide",IF(OR(AND(F3904&lt;&gt;"",NOT(ISNUMBER(F3904))),N(F3904)&lt;0,N(F3904)&gt;1),"Remise invalide",IF(K3904="","Taux de TVA manquant",IF(NOT(ISNUMBER(K3904)),"Taux de TVA invalide",IF(COUNTIF(p_rates,K3904)=0,"Taux de TVA hors liste (Paramètres)",IF(N(O3904)&gt;25,"Au-delà de 25 lignes : non imprimée","OK")))))))))))))</f>
        <v/>
      </c>
      <c r="O3904" s="59" t="str">
        <f>IF(A3904="","",COUNTIF($A$6:A3904,A3904))</f>
        <v/>
      </c>
      <c r="P3904" s="62" t="str">
        <f>IF(A3904="","",A3904&amp;"|"&amp;O3904)</f>
        <v/>
      </c>
    </row>
    <row r="3905">
      <c r="A3905" s="60" t="n"/>
      <c r="B3905" s="63" t="n"/>
      <c r="C3905" s="63" t="n"/>
      <c r="D3905" s="67" t="n"/>
      <c r="E3905" s="68" t="n"/>
      <c r="F3905" s="69" t="n"/>
      <c r="G3905" s="70" t="n"/>
      <c r="H3905" s="62" t="str">
        <f>IF(COUNTA(A3905:G3905)=0,"",IF(C3905&lt;&gt;"",C3905,IF(B3905="","",IFERROR(INDEX(pr_des,MATCH(B3905,pr_code,0))&amp;"",""))))</f>
        <v/>
      </c>
      <c r="I3905" s="59" t="str">
        <f>IF(B3905="","",IFERROR(INDEX(pr_unit,MATCH(B3905,pr_code,0))&amp;"",""))</f>
        <v/>
      </c>
      <c r="J3905" s="65" t="str">
        <f>IF(COUNTA(A3905:G3905)=0,"",IF(E3905&lt;&gt;"",E3905,IF(B3905="","",IFERROR(IF(INDEX(pr_price,MATCH(B3905,pr_code,0))="","",INDEX(pr_price,MATCH(B3905,pr_code,0))),""))))</f>
        <v/>
      </c>
      <c r="K3905" s="71" t="str">
        <f>IF(COUNTA(A3905:G3905)=0,"",IF(G3905&lt;&gt;"",G3905,IF(B3905="","",IFERROR(IF(INDEX(pr_rate,MATCH(B3905,pr_code,0))="","",INDEX(pr_rate,MATCH(B3905,pr_code,0))),""))))</f>
        <v/>
      </c>
      <c r="L3905" s="65" t="str">
        <f>IF(COUNTA(A3905:G3905)=0,"",IF(AND(ISNUMBER(D3905),ISNUMBER(J3905)),ROUND(D3905*J3905*(1-N(F3905)),2),0))</f>
        <v/>
      </c>
      <c r="M3905" s="62" t="str">
        <f>IF(A3905="","",IFERROR(INDEX(fa_cname,MATCH(A3905,fa_num,0))&amp;"",""))</f>
        <v/>
      </c>
      <c r="N3905" s="59" t="str">
        <f>IF(COUNTA(A3905:G3905)=0,"",IF(A3905="","N° facture manquant",IF(ISNA(MATCH(A3905,fa_num,0)),"Facture inconnue",IF(AND(B3905&lt;&gt;"",ISNA(MATCH(B3905,pr_code,0))),"Article inconnu",IF(H3905="","Désignation manquante",IF(OR(NOT(ISNUMBER(D3905)),N(D3905)&lt;=0),"Quantité invalide",IF(J3905="","Prix manquant",IF(OR(NOT(ISNUMBER(J3905)),N(J3905)&lt;0),"Prix invalide",IF(OR(AND(F3905&lt;&gt;"",NOT(ISNUMBER(F3905))),N(F3905)&lt;0,N(F3905)&gt;1),"Remise invalide",IF(K3905="","Taux de TVA manquant",IF(NOT(ISNUMBER(K3905)),"Taux de TVA invalide",IF(COUNTIF(p_rates,K3905)=0,"Taux de TVA hors liste (Paramètres)",IF(N(O3905)&gt;25,"Au-delà de 25 lignes : non imprimée","OK")))))))))))))</f>
        <v/>
      </c>
      <c r="O3905" s="59" t="str">
        <f>IF(A3905="","",COUNTIF($A$6:A3905,A3905))</f>
        <v/>
      </c>
      <c r="P3905" s="62" t="str">
        <f>IF(A3905="","",A3905&amp;"|"&amp;O3905)</f>
        <v/>
      </c>
    </row>
    <row r="3906">
      <c r="A3906" s="60" t="n"/>
      <c r="B3906" s="63" t="n"/>
      <c r="C3906" s="63" t="n"/>
      <c r="D3906" s="67" t="n"/>
      <c r="E3906" s="68" t="n"/>
      <c r="F3906" s="69" t="n"/>
      <c r="G3906" s="70" t="n"/>
      <c r="H3906" s="62" t="str">
        <f>IF(COUNTA(A3906:G3906)=0,"",IF(C3906&lt;&gt;"",C3906,IF(B3906="","",IFERROR(INDEX(pr_des,MATCH(B3906,pr_code,0))&amp;"",""))))</f>
        <v/>
      </c>
      <c r="I3906" s="59" t="str">
        <f>IF(B3906="","",IFERROR(INDEX(pr_unit,MATCH(B3906,pr_code,0))&amp;"",""))</f>
        <v/>
      </c>
      <c r="J3906" s="65" t="str">
        <f>IF(COUNTA(A3906:G3906)=0,"",IF(E3906&lt;&gt;"",E3906,IF(B3906="","",IFERROR(IF(INDEX(pr_price,MATCH(B3906,pr_code,0))="","",INDEX(pr_price,MATCH(B3906,pr_code,0))),""))))</f>
        <v/>
      </c>
      <c r="K3906" s="71" t="str">
        <f>IF(COUNTA(A3906:G3906)=0,"",IF(G3906&lt;&gt;"",G3906,IF(B3906="","",IFERROR(IF(INDEX(pr_rate,MATCH(B3906,pr_code,0))="","",INDEX(pr_rate,MATCH(B3906,pr_code,0))),""))))</f>
        <v/>
      </c>
      <c r="L3906" s="65" t="str">
        <f>IF(COUNTA(A3906:G3906)=0,"",IF(AND(ISNUMBER(D3906),ISNUMBER(J3906)),ROUND(D3906*J3906*(1-N(F3906)),2),0))</f>
        <v/>
      </c>
      <c r="M3906" s="62" t="str">
        <f>IF(A3906="","",IFERROR(INDEX(fa_cname,MATCH(A3906,fa_num,0))&amp;"",""))</f>
        <v/>
      </c>
      <c r="N3906" s="59" t="str">
        <f>IF(COUNTA(A3906:G3906)=0,"",IF(A3906="","N° facture manquant",IF(ISNA(MATCH(A3906,fa_num,0)),"Facture inconnue",IF(AND(B3906&lt;&gt;"",ISNA(MATCH(B3906,pr_code,0))),"Article inconnu",IF(H3906="","Désignation manquante",IF(OR(NOT(ISNUMBER(D3906)),N(D3906)&lt;=0),"Quantité invalide",IF(J3906="","Prix manquant",IF(OR(NOT(ISNUMBER(J3906)),N(J3906)&lt;0),"Prix invalide",IF(OR(AND(F3906&lt;&gt;"",NOT(ISNUMBER(F3906))),N(F3906)&lt;0,N(F3906)&gt;1),"Remise invalide",IF(K3906="","Taux de TVA manquant",IF(NOT(ISNUMBER(K3906)),"Taux de TVA invalide",IF(COUNTIF(p_rates,K3906)=0,"Taux de TVA hors liste (Paramètres)",IF(N(O3906)&gt;25,"Au-delà de 25 lignes : non imprimée","OK")))))))))))))</f>
        <v/>
      </c>
      <c r="O3906" s="59" t="str">
        <f>IF(A3906="","",COUNTIF($A$6:A3906,A3906))</f>
        <v/>
      </c>
      <c r="P3906" s="62" t="str">
        <f>IF(A3906="","",A3906&amp;"|"&amp;O3906)</f>
        <v/>
      </c>
    </row>
    <row r="3907">
      <c r="A3907" s="60" t="n"/>
      <c r="B3907" s="63" t="n"/>
      <c r="C3907" s="63" t="n"/>
      <c r="D3907" s="67" t="n"/>
      <c r="E3907" s="68" t="n"/>
      <c r="F3907" s="69" t="n"/>
      <c r="G3907" s="70" t="n"/>
      <c r="H3907" s="62" t="str">
        <f>IF(COUNTA(A3907:G3907)=0,"",IF(C3907&lt;&gt;"",C3907,IF(B3907="","",IFERROR(INDEX(pr_des,MATCH(B3907,pr_code,0))&amp;"",""))))</f>
        <v/>
      </c>
      <c r="I3907" s="59" t="str">
        <f>IF(B3907="","",IFERROR(INDEX(pr_unit,MATCH(B3907,pr_code,0))&amp;"",""))</f>
        <v/>
      </c>
      <c r="J3907" s="65" t="str">
        <f>IF(COUNTA(A3907:G3907)=0,"",IF(E3907&lt;&gt;"",E3907,IF(B3907="","",IFERROR(IF(INDEX(pr_price,MATCH(B3907,pr_code,0))="","",INDEX(pr_price,MATCH(B3907,pr_code,0))),""))))</f>
        <v/>
      </c>
      <c r="K3907" s="71" t="str">
        <f>IF(COUNTA(A3907:G3907)=0,"",IF(G3907&lt;&gt;"",G3907,IF(B3907="","",IFERROR(IF(INDEX(pr_rate,MATCH(B3907,pr_code,0))="","",INDEX(pr_rate,MATCH(B3907,pr_code,0))),""))))</f>
        <v/>
      </c>
      <c r="L3907" s="65" t="str">
        <f>IF(COUNTA(A3907:G3907)=0,"",IF(AND(ISNUMBER(D3907),ISNUMBER(J3907)),ROUND(D3907*J3907*(1-N(F3907)),2),0))</f>
        <v/>
      </c>
      <c r="M3907" s="62" t="str">
        <f>IF(A3907="","",IFERROR(INDEX(fa_cname,MATCH(A3907,fa_num,0))&amp;"",""))</f>
        <v/>
      </c>
      <c r="N3907" s="59" t="str">
        <f>IF(COUNTA(A3907:G3907)=0,"",IF(A3907="","N° facture manquant",IF(ISNA(MATCH(A3907,fa_num,0)),"Facture inconnue",IF(AND(B3907&lt;&gt;"",ISNA(MATCH(B3907,pr_code,0))),"Article inconnu",IF(H3907="","Désignation manquante",IF(OR(NOT(ISNUMBER(D3907)),N(D3907)&lt;=0),"Quantité invalide",IF(J3907="","Prix manquant",IF(OR(NOT(ISNUMBER(J3907)),N(J3907)&lt;0),"Prix invalide",IF(OR(AND(F3907&lt;&gt;"",NOT(ISNUMBER(F3907))),N(F3907)&lt;0,N(F3907)&gt;1),"Remise invalide",IF(K3907="","Taux de TVA manquant",IF(NOT(ISNUMBER(K3907)),"Taux de TVA invalide",IF(COUNTIF(p_rates,K3907)=0,"Taux de TVA hors liste (Paramètres)",IF(N(O3907)&gt;25,"Au-delà de 25 lignes : non imprimée","OK")))))))))))))</f>
        <v/>
      </c>
      <c r="O3907" s="59" t="str">
        <f>IF(A3907="","",COUNTIF($A$6:A3907,A3907))</f>
        <v/>
      </c>
      <c r="P3907" s="62" t="str">
        <f>IF(A3907="","",A3907&amp;"|"&amp;O3907)</f>
        <v/>
      </c>
    </row>
    <row r="3908">
      <c r="A3908" s="60" t="n"/>
      <c r="B3908" s="63" t="n"/>
      <c r="C3908" s="63" t="n"/>
      <c r="D3908" s="67" t="n"/>
      <c r="E3908" s="68" t="n"/>
      <c r="F3908" s="69" t="n"/>
      <c r="G3908" s="70" t="n"/>
      <c r="H3908" s="62" t="str">
        <f>IF(COUNTA(A3908:G3908)=0,"",IF(C3908&lt;&gt;"",C3908,IF(B3908="","",IFERROR(INDEX(pr_des,MATCH(B3908,pr_code,0))&amp;"",""))))</f>
        <v/>
      </c>
      <c r="I3908" s="59" t="str">
        <f>IF(B3908="","",IFERROR(INDEX(pr_unit,MATCH(B3908,pr_code,0))&amp;"",""))</f>
        <v/>
      </c>
      <c r="J3908" s="65" t="str">
        <f>IF(COUNTA(A3908:G3908)=0,"",IF(E3908&lt;&gt;"",E3908,IF(B3908="","",IFERROR(IF(INDEX(pr_price,MATCH(B3908,pr_code,0))="","",INDEX(pr_price,MATCH(B3908,pr_code,0))),""))))</f>
        <v/>
      </c>
      <c r="K3908" s="71" t="str">
        <f>IF(COUNTA(A3908:G3908)=0,"",IF(G3908&lt;&gt;"",G3908,IF(B3908="","",IFERROR(IF(INDEX(pr_rate,MATCH(B3908,pr_code,0))="","",INDEX(pr_rate,MATCH(B3908,pr_code,0))),""))))</f>
        <v/>
      </c>
      <c r="L3908" s="65" t="str">
        <f>IF(COUNTA(A3908:G3908)=0,"",IF(AND(ISNUMBER(D3908),ISNUMBER(J3908)),ROUND(D3908*J3908*(1-N(F3908)),2),0))</f>
        <v/>
      </c>
      <c r="M3908" s="62" t="str">
        <f>IF(A3908="","",IFERROR(INDEX(fa_cname,MATCH(A3908,fa_num,0))&amp;"",""))</f>
        <v/>
      </c>
      <c r="N3908" s="59" t="str">
        <f>IF(COUNTA(A3908:G3908)=0,"",IF(A3908="","N° facture manquant",IF(ISNA(MATCH(A3908,fa_num,0)),"Facture inconnue",IF(AND(B3908&lt;&gt;"",ISNA(MATCH(B3908,pr_code,0))),"Article inconnu",IF(H3908="","Désignation manquante",IF(OR(NOT(ISNUMBER(D3908)),N(D3908)&lt;=0),"Quantité invalide",IF(J3908="","Prix manquant",IF(OR(NOT(ISNUMBER(J3908)),N(J3908)&lt;0),"Prix invalide",IF(OR(AND(F3908&lt;&gt;"",NOT(ISNUMBER(F3908))),N(F3908)&lt;0,N(F3908)&gt;1),"Remise invalide",IF(K3908="","Taux de TVA manquant",IF(NOT(ISNUMBER(K3908)),"Taux de TVA invalide",IF(COUNTIF(p_rates,K3908)=0,"Taux de TVA hors liste (Paramètres)",IF(N(O3908)&gt;25,"Au-delà de 25 lignes : non imprimée","OK")))))))))))))</f>
        <v/>
      </c>
      <c r="O3908" s="59" t="str">
        <f>IF(A3908="","",COUNTIF($A$6:A3908,A3908))</f>
        <v/>
      </c>
      <c r="P3908" s="62" t="str">
        <f>IF(A3908="","",A3908&amp;"|"&amp;O3908)</f>
        <v/>
      </c>
    </row>
    <row r="3909">
      <c r="A3909" s="60" t="n"/>
      <c r="B3909" s="63" t="n"/>
      <c r="C3909" s="63" t="n"/>
      <c r="D3909" s="67" t="n"/>
      <c r="E3909" s="68" t="n"/>
      <c r="F3909" s="69" t="n"/>
      <c r="G3909" s="70" t="n"/>
      <c r="H3909" s="62" t="str">
        <f>IF(COUNTA(A3909:G3909)=0,"",IF(C3909&lt;&gt;"",C3909,IF(B3909="","",IFERROR(INDEX(pr_des,MATCH(B3909,pr_code,0))&amp;"",""))))</f>
        <v/>
      </c>
      <c r="I3909" s="59" t="str">
        <f>IF(B3909="","",IFERROR(INDEX(pr_unit,MATCH(B3909,pr_code,0))&amp;"",""))</f>
        <v/>
      </c>
      <c r="J3909" s="65" t="str">
        <f>IF(COUNTA(A3909:G3909)=0,"",IF(E3909&lt;&gt;"",E3909,IF(B3909="","",IFERROR(IF(INDEX(pr_price,MATCH(B3909,pr_code,0))="","",INDEX(pr_price,MATCH(B3909,pr_code,0))),""))))</f>
        <v/>
      </c>
      <c r="K3909" s="71" t="str">
        <f>IF(COUNTA(A3909:G3909)=0,"",IF(G3909&lt;&gt;"",G3909,IF(B3909="","",IFERROR(IF(INDEX(pr_rate,MATCH(B3909,pr_code,0))="","",INDEX(pr_rate,MATCH(B3909,pr_code,0))),""))))</f>
        <v/>
      </c>
      <c r="L3909" s="65" t="str">
        <f>IF(COUNTA(A3909:G3909)=0,"",IF(AND(ISNUMBER(D3909),ISNUMBER(J3909)),ROUND(D3909*J3909*(1-N(F3909)),2),0))</f>
        <v/>
      </c>
      <c r="M3909" s="62" t="str">
        <f>IF(A3909="","",IFERROR(INDEX(fa_cname,MATCH(A3909,fa_num,0))&amp;"",""))</f>
        <v/>
      </c>
      <c r="N3909" s="59" t="str">
        <f>IF(COUNTA(A3909:G3909)=0,"",IF(A3909="","N° facture manquant",IF(ISNA(MATCH(A3909,fa_num,0)),"Facture inconnue",IF(AND(B3909&lt;&gt;"",ISNA(MATCH(B3909,pr_code,0))),"Article inconnu",IF(H3909="","Désignation manquante",IF(OR(NOT(ISNUMBER(D3909)),N(D3909)&lt;=0),"Quantité invalide",IF(J3909="","Prix manquant",IF(OR(NOT(ISNUMBER(J3909)),N(J3909)&lt;0),"Prix invalide",IF(OR(AND(F3909&lt;&gt;"",NOT(ISNUMBER(F3909))),N(F3909)&lt;0,N(F3909)&gt;1),"Remise invalide",IF(K3909="","Taux de TVA manquant",IF(NOT(ISNUMBER(K3909)),"Taux de TVA invalide",IF(COUNTIF(p_rates,K3909)=0,"Taux de TVA hors liste (Paramètres)",IF(N(O3909)&gt;25,"Au-delà de 25 lignes : non imprimée","OK")))))))))))))</f>
        <v/>
      </c>
      <c r="O3909" s="59" t="str">
        <f>IF(A3909="","",COUNTIF($A$6:A3909,A3909))</f>
        <v/>
      </c>
      <c r="P3909" s="62" t="str">
        <f>IF(A3909="","",A3909&amp;"|"&amp;O3909)</f>
        <v/>
      </c>
    </row>
    <row r="3910">
      <c r="A3910" s="60" t="n"/>
      <c r="B3910" s="63" t="n"/>
      <c r="C3910" s="63" t="n"/>
      <c r="D3910" s="67" t="n"/>
      <c r="E3910" s="68" t="n"/>
      <c r="F3910" s="69" t="n"/>
      <c r="G3910" s="70" t="n"/>
      <c r="H3910" s="62" t="str">
        <f>IF(COUNTA(A3910:G3910)=0,"",IF(C3910&lt;&gt;"",C3910,IF(B3910="","",IFERROR(INDEX(pr_des,MATCH(B3910,pr_code,0))&amp;"",""))))</f>
        <v/>
      </c>
      <c r="I3910" s="59" t="str">
        <f>IF(B3910="","",IFERROR(INDEX(pr_unit,MATCH(B3910,pr_code,0))&amp;"",""))</f>
        <v/>
      </c>
      <c r="J3910" s="65" t="str">
        <f>IF(COUNTA(A3910:G3910)=0,"",IF(E3910&lt;&gt;"",E3910,IF(B3910="","",IFERROR(IF(INDEX(pr_price,MATCH(B3910,pr_code,0))="","",INDEX(pr_price,MATCH(B3910,pr_code,0))),""))))</f>
        <v/>
      </c>
      <c r="K3910" s="71" t="str">
        <f>IF(COUNTA(A3910:G3910)=0,"",IF(G3910&lt;&gt;"",G3910,IF(B3910="","",IFERROR(IF(INDEX(pr_rate,MATCH(B3910,pr_code,0))="","",INDEX(pr_rate,MATCH(B3910,pr_code,0))),""))))</f>
        <v/>
      </c>
      <c r="L3910" s="65" t="str">
        <f>IF(COUNTA(A3910:G3910)=0,"",IF(AND(ISNUMBER(D3910),ISNUMBER(J3910)),ROUND(D3910*J3910*(1-N(F3910)),2),0))</f>
        <v/>
      </c>
      <c r="M3910" s="62" t="str">
        <f>IF(A3910="","",IFERROR(INDEX(fa_cname,MATCH(A3910,fa_num,0))&amp;"",""))</f>
        <v/>
      </c>
      <c r="N3910" s="59" t="str">
        <f>IF(COUNTA(A3910:G3910)=0,"",IF(A3910="","N° facture manquant",IF(ISNA(MATCH(A3910,fa_num,0)),"Facture inconnue",IF(AND(B3910&lt;&gt;"",ISNA(MATCH(B3910,pr_code,0))),"Article inconnu",IF(H3910="","Désignation manquante",IF(OR(NOT(ISNUMBER(D3910)),N(D3910)&lt;=0),"Quantité invalide",IF(J3910="","Prix manquant",IF(OR(NOT(ISNUMBER(J3910)),N(J3910)&lt;0),"Prix invalide",IF(OR(AND(F3910&lt;&gt;"",NOT(ISNUMBER(F3910))),N(F3910)&lt;0,N(F3910)&gt;1),"Remise invalide",IF(K3910="","Taux de TVA manquant",IF(NOT(ISNUMBER(K3910)),"Taux de TVA invalide",IF(COUNTIF(p_rates,K3910)=0,"Taux de TVA hors liste (Paramètres)",IF(N(O3910)&gt;25,"Au-delà de 25 lignes : non imprimée","OK")))))))))))))</f>
        <v/>
      </c>
      <c r="O3910" s="59" t="str">
        <f>IF(A3910="","",COUNTIF($A$6:A3910,A3910))</f>
        <v/>
      </c>
      <c r="P3910" s="62" t="str">
        <f>IF(A3910="","",A3910&amp;"|"&amp;O3910)</f>
        <v/>
      </c>
    </row>
    <row r="3911">
      <c r="A3911" s="60" t="n"/>
      <c r="B3911" s="63" t="n"/>
      <c r="C3911" s="63" t="n"/>
      <c r="D3911" s="67" t="n"/>
      <c r="E3911" s="68" t="n"/>
      <c r="F3911" s="69" t="n"/>
      <c r="G3911" s="70" t="n"/>
      <c r="H3911" s="62" t="str">
        <f>IF(COUNTA(A3911:G3911)=0,"",IF(C3911&lt;&gt;"",C3911,IF(B3911="","",IFERROR(INDEX(pr_des,MATCH(B3911,pr_code,0))&amp;"",""))))</f>
        <v/>
      </c>
      <c r="I3911" s="59" t="str">
        <f>IF(B3911="","",IFERROR(INDEX(pr_unit,MATCH(B3911,pr_code,0))&amp;"",""))</f>
        <v/>
      </c>
      <c r="J3911" s="65" t="str">
        <f>IF(COUNTA(A3911:G3911)=0,"",IF(E3911&lt;&gt;"",E3911,IF(B3911="","",IFERROR(IF(INDEX(pr_price,MATCH(B3911,pr_code,0))="","",INDEX(pr_price,MATCH(B3911,pr_code,0))),""))))</f>
        <v/>
      </c>
      <c r="K3911" s="71" t="str">
        <f>IF(COUNTA(A3911:G3911)=0,"",IF(G3911&lt;&gt;"",G3911,IF(B3911="","",IFERROR(IF(INDEX(pr_rate,MATCH(B3911,pr_code,0))="","",INDEX(pr_rate,MATCH(B3911,pr_code,0))),""))))</f>
        <v/>
      </c>
      <c r="L3911" s="65" t="str">
        <f>IF(COUNTA(A3911:G3911)=0,"",IF(AND(ISNUMBER(D3911),ISNUMBER(J3911)),ROUND(D3911*J3911*(1-N(F3911)),2),0))</f>
        <v/>
      </c>
      <c r="M3911" s="62" t="str">
        <f>IF(A3911="","",IFERROR(INDEX(fa_cname,MATCH(A3911,fa_num,0))&amp;"",""))</f>
        <v/>
      </c>
      <c r="N3911" s="59" t="str">
        <f>IF(COUNTA(A3911:G3911)=0,"",IF(A3911="","N° facture manquant",IF(ISNA(MATCH(A3911,fa_num,0)),"Facture inconnue",IF(AND(B3911&lt;&gt;"",ISNA(MATCH(B3911,pr_code,0))),"Article inconnu",IF(H3911="","Désignation manquante",IF(OR(NOT(ISNUMBER(D3911)),N(D3911)&lt;=0),"Quantité invalide",IF(J3911="","Prix manquant",IF(OR(NOT(ISNUMBER(J3911)),N(J3911)&lt;0),"Prix invalide",IF(OR(AND(F3911&lt;&gt;"",NOT(ISNUMBER(F3911))),N(F3911)&lt;0,N(F3911)&gt;1),"Remise invalide",IF(K3911="","Taux de TVA manquant",IF(NOT(ISNUMBER(K3911)),"Taux de TVA invalide",IF(COUNTIF(p_rates,K3911)=0,"Taux de TVA hors liste (Paramètres)",IF(N(O3911)&gt;25,"Au-delà de 25 lignes : non imprimée","OK")))))))))))))</f>
        <v/>
      </c>
      <c r="O3911" s="59" t="str">
        <f>IF(A3911="","",COUNTIF($A$6:A3911,A3911))</f>
        <v/>
      </c>
      <c r="P3911" s="62" t="str">
        <f>IF(A3911="","",A3911&amp;"|"&amp;O3911)</f>
        <v/>
      </c>
    </row>
    <row r="3912">
      <c r="A3912" s="60" t="n"/>
      <c r="B3912" s="63" t="n"/>
      <c r="C3912" s="63" t="n"/>
      <c r="D3912" s="67" t="n"/>
      <c r="E3912" s="68" t="n"/>
      <c r="F3912" s="69" t="n"/>
      <c r="G3912" s="70" t="n"/>
      <c r="H3912" s="62" t="str">
        <f>IF(COUNTA(A3912:G3912)=0,"",IF(C3912&lt;&gt;"",C3912,IF(B3912="","",IFERROR(INDEX(pr_des,MATCH(B3912,pr_code,0))&amp;"",""))))</f>
        <v/>
      </c>
      <c r="I3912" s="59" t="str">
        <f>IF(B3912="","",IFERROR(INDEX(pr_unit,MATCH(B3912,pr_code,0))&amp;"",""))</f>
        <v/>
      </c>
      <c r="J3912" s="65" t="str">
        <f>IF(COUNTA(A3912:G3912)=0,"",IF(E3912&lt;&gt;"",E3912,IF(B3912="","",IFERROR(IF(INDEX(pr_price,MATCH(B3912,pr_code,0))="","",INDEX(pr_price,MATCH(B3912,pr_code,0))),""))))</f>
        <v/>
      </c>
      <c r="K3912" s="71" t="str">
        <f>IF(COUNTA(A3912:G3912)=0,"",IF(G3912&lt;&gt;"",G3912,IF(B3912="","",IFERROR(IF(INDEX(pr_rate,MATCH(B3912,pr_code,0))="","",INDEX(pr_rate,MATCH(B3912,pr_code,0))),""))))</f>
        <v/>
      </c>
      <c r="L3912" s="65" t="str">
        <f>IF(COUNTA(A3912:G3912)=0,"",IF(AND(ISNUMBER(D3912),ISNUMBER(J3912)),ROUND(D3912*J3912*(1-N(F3912)),2),0))</f>
        <v/>
      </c>
      <c r="M3912" s="62" t="str">
        <f>IF(A3912="","",IFERROR(INDEX(fa_cname,MATCH(A3912,fa_num,0))&amp;"",""))</f>
        <v/>
      </c>
      <c r="N3912" s="59" t="str">
        <f>IF(COUNTA(A3912:G3912)=0,"",IF(A3912="","N° facture manquant",IF(ISNA(MATCH(A3912,fa_num,0)),"Facture inconnue",IF(AND(B3912&lt;&gt;"",ISNA(MATCH(B3912,pr_code,0))),"Article inconnu",IF(H3912="","Désignation manquante",IF(OR(NOT(ISNUMBER(D3912)),N(D3912)&lt;=0),"Quantité invalide",IF(J3912="","Prix manquant",IF(OR(NOT(ISNUMBER(J3912)),N(J3912)&lt;0),"Prix invalide",IF(OR(AND(F3912&lt;&gt;"",NOT(ISNUMBER(F3912))),N(F3912)&lt;0,N(F3912)&gt;1),"Remise invalide",IF(K3912="","Taux de TVA manquant",IF(NOT(ISNUMBER(K3912)),"Taux de TVA invalide",IF(COUNTIF(p_rates,K3912)=0,"Taux de TVA hors liste (Paramètres)",IF(N(O3912)&gt;25,"Au-delà de 25 lignes : non imprimée","OK")))))))))))))</f>
        <v/>
      </c>
      <c r="O3912" s="59" t="str">
        <f>IF(A3912="","",COUNTIF($A$6:A3912,A3912))</f>
        <v/>
      </c>
      <c r="P3912" s="62" t="str">
        <f>IF(A3912="","",A3912&amp;"|"&amp;O3912)</f>
        <v/>
      </c>
    </row>
    <row r="3913">
      <c r="A3913" s="60" t="n"/>
      <c r="B3913" s="63" t="n"/>
      <c r="C3913" s="63" t="n"/>
      <c r="D3913" s="67" t="n"/>
      <c r="E3913" s="68" t="n"/>
      <c r="F3913" s="69" t="n"/>
      <c r="G3913" s="70" t="n"/>
      <c r="H3913" s="62" t="str">
        <f>IF(COUNTA(A3913:G3913)=0,"",IF(C3913&lt;&gt;"",C3913,IF(B3913="","",IFERROR(INDEX(pr_des,MATCH(B3913,pr_code,0))&amp;"",""))))</f>
        <v/>
      </c>
      <c r="I3913" s="59" t="str">
        <f>IF(B3913="","",IFERROR(INDEX(pr_unit,MATCH(B3913,pr_code,0))&amp;"",""))</f>
        <v/>
      </c>
      <c r="J3913" s="65" t="str">
        <f>IF(COUNTA(A3913:G3913)=0,"",IF(E3913&lt;&gt;"",E3913,IF(B3913="","",IFERROR(IF(INDEX(pr_price,MATCH(B3913,pr_code,0))="","",INDEX(pr_price,MATCH(B3913,pr_code,0))),""))))</f>
        <v/>
      </c>
      <c r="K3913" s="71" t="str">
        <f>IF(COUNTA(A3913:G3913)=0,"",IF(G3913&lt;&gt;"",G3913,IF(B3913="","",IFERROR(IF(INDEX(pr_rate,MATCH(B3913,pr_code,0))="","",INDEX(pr_rate,MATCH(B3913,pr_code,0))),""))))</f>
        <v/>
      </c>
      <c r="L3913" s="65" t="str">
        <f>IF(COUNTA(A3913:G3913)=0,"",IF(AND(ISNUMBER(D3913),ISNUMBER(J3913)),ROUND(D3913*J3913*(1-N(F3913)),2),0))</f>
        <v/>
      </c>
      <c r="M3913" s="62" t="str">
        <f>IF(A3913="","",IFERROR(INDEX(fa_cname,MATCH(A3913,fa_num,0))&amp;"",""))</f>
        <v/>
      </c>
      <c r="N3913" s="59" t="str">
        <f>IF(COUNTA(A3913:G3913)=0,"",IF(A3913="","N° facture manquant",IF(ISNA(MATCH(A3913,fa_num,0)),"Facture inconnue",IF(AND(B3913&lt;&gt;"",ISNA(MATCH(B3913,pr_code,0))),"Article inconnu",IF(H3913="","Désignation manquante",IF(OR(NOT(ISNUMBER(D3913)),N(D3913)&lt;=0),"Quantité invalide",IF(J3913="","Prix manquant",IF(OR(NOT(ISNUMBER(J3913)),N(J3913)&lt;0),"Prix invalide",IF(OR(AND(F3913&lt;&gt;"",NOT(ISNUMBER(F3913))),N(F3913)&lt;0,N(F3913)&gt;1),"Remise invalide",IF(K3913="","Taux de TVA manquant",IF(NOT(ISNUMBER(K3913)),"Taux de TVA invalide",IF(COUNTIF(p_rates,K3913)=0,"Taux de TVA hors liste (Paramètres)",IF(N(O3913)&gt;25,"Au-delà de 25 lignes : non imprimée","OK")))))))))))))</f>
        <v/>
      </c>
      <c r="O3913" s="59" t="str">
        <f>IF(A3913="","",COUNTIF($A$6:A3913,A3913))</f>
        <v/>
      </c>
      <c r="P3913" s="62" t="str">
        <f>IF(A3913="","",A3913&amp;"|"&amp;O3913)</f>
        <v/>
      </c>
    </row>
    <row r="3914">
      <c r="A3914" s="60" t="n"/>
      <c r="B3914" s="63" t="n"/>
      <c r="C3914" s="63" t="n"/>
      <c r="D3914" s="67" t="n"/>
      <c r="E3914" s="68" t="n"/>
      <c r="F3914" s="69" t="n"/>
      <c r="G3914" s="70" t="n"/>
      <c r="H3914" s="62" t="str">
        <f>IF(COUNTA(A3914:G3914)=0,"",IF(C3914&lt;&gt;"",C3914,IF(B3914="","",IFERROR(INDEX(pr_des,MATCH(B3914,pr_code,0))&amp;"",""))))</f>
        <v/>
      </c>
      <c r="I3914" s="59" t="str">
        <f>IF(B3914="","",IFERROR(INDEX(pr_unit,MATCH(B3914,pr_code,0))&amp;"",""))</f>
        <v/>
      </c>
      <c r="J3914" s="65" t="str">
        <f>IF(COUNTA(A3914:G3914)=0,"",IF(E3914&lt;&gt;"",E3914,IF(B3914="","",IFERROR(IF(INDEX(pr_price,MATCH(B3914,pr_code,0))="","",INDEX(pr_price,MATCH(B3914,pr_code,0))),""))))</f>
        <v/>
      </c>
      <c r="K3914" s="71" t="str">
        <f>IF(COUNTA(A3914:G3914)=0,"",IF(G3914&lt;&gt;"",G3914,IF(B3914="","",IFERROR(IF(INDEX(pr_rate,MATCH(B3914,pr_code,0))="","",INDEX(pr_rate,MATCH(B3914,pr_code,0))),""))))</f>
        <v/>
      </c>
      <c r="L3914" s="65" t="str">
        <f>IF(COUNTA(A3914:G3914)=0,"",IF(AND(ISNUMBER(D3914),ISNUMBER(J3914)),ROUND(D3914*J3914*(1-N(F3914)),2),0))</f>
        <v/>
      </c>
      <c r="M3914" s="62" t="str">
        <f>IF(A3914="","",IFERROR(INDEX(fa_cname,MATCH(A3914,fa_num,0))&amp;"",""))</f>
        <v/>
      </c>
      <c r="N3914" s="59" t="str">
        <f>IF(COUNTA(A3914:G3914)=0,"",IF(A3914="","N° facture manquant",IF(ISNA(MATCH(A3914,fa_num,0)),"Facture inconnue",IF(AND(B3914&lt;&gt;"",ISNA(MATCH(B3914,pr_code,0))),"Article inconnu",IF(H3914="","Désignation manquante",IF(OR(NOT(ISNUMBER(D3914)),N(D3914)&lt;=0),"Quantité invalide",IF(J3914="","Prix manquant",IF(OR(NOT(ISNUMBER(J3914)),N(J3914)&lt;0),"Prix invalide",IF(OR(AND(F3914&lt;&gt;"",NOT(ISNUMBER(F3914))),N(F3914)&lt;0,N(F3914)&gt;1),"Remise invalide",IF(K3914="","Taux de TVA manquant",IF(NOT(ISNUMBER(K3914)),"Taux de TVA invalide",IF(COUNTIF(p_rates,K3914)=0,"Taux de TVA hors liste (Paramètres)",IF(N(O3914)&gt;25,"Au-delà de 25 lignes : non imprimée","OK")))))))))))))</f>
        <v/>
      </c>
      <c r="O3914" s="59" t="str">
        <f>IF(A3914="","",COUNTIF($A$6:A3914,A3914))</f>
        <v/>
      </c>
      <c r="P3914" s="62" t="str">
        <f>IF(A3914="","",A3914&amp;"|"&amp;O3914)</f>
        <v/>
      </c>
    </row>
    <row r="3915">
      <c r="A3915" s="60" t="n"/>
      <c r="B3915" s="63" t="n"/>
      <c r="C3915" s="63" t="n"/>
      <c r="D3915" s="67" t="n"/>
      <c r="E3915" s="68" t="n"/>
      <c r="F3915" s="69" t="n"/>
      <c r="G3915" s="70" t="n"/>
      <c r="H3915" s="62" t="str">
        <f>IF(COUNTA(A3915:G3915)=0,"",IF(C3915&lt;&gt;"",C3915,IF(B3915="","",IFERROR(INDEX(pr_des,MATCH(B3915,pr_code,0))&amp;"",""))))</f>
        <v/>
      </c>
      <c r="I3915" s="59" t="str">
        <f>IF(B3915="","",IFERROR(INDEX(pr_unit,MATCH(B3915,pr_code,0))&amp;"",""))</f>
        <v/>
      </c>
      <c r="J3915" s="65" t="str">
        <f>IF(COUNTA(A3915:G3915)=0,"",IF(E3915&lt;&gt;"",E3915,IF(B3915="","",IFERROR(IF(INDEX(pr_price,MATCH(B3915,pr_code,0))="","",INDEX(pr_price,MATCH(B3915,pr_code,0))),""))))</f>
        <v/>
      </c>
      <c r="K3915" s="71" t="str">
        <f>IF(COUNTA(A3915:G3915)=0,"",IF(G3915&lt;&gt;"",G3915,IF(B3915="","",IFERROR(IF(INDEX(pr_rate,MATCH(B3915,pr_code,0))="","",INDEX(pr_rate,MATCH(B3915,pr_code,0))),""))))</f>
        <v/>
      </c>
      <c r="L3915" s="65" t="str">
        <f>IF(COUNTA(A3915:G3915)=0,"",IF(AND(ISNUMBER(D3915),ISNUMBER(J3915)),ROUND(D3915*J3915*(1-N(F3915)),2),0))</f>
        <v/>
      </c>
      <c r="M3915" s="62" t="str">
        <f>IF(A3915="","",IFERROR(INDEX(fa_cname,MATCH(A3915,fa_num,0))&amp;"",""))</f>
        <v/>
      </c>
      <c r="N3915" s="59" t="str">
        <f>IF(COUNTA(A3915:G3915)=0,"",IF(A3915="","N° facture manquant",IF(ISNA(MATCH(A3915,fa_num,0)),"Facture inconnue",IF(AND(B3915&lt;&gt;"",ISNA(MATCH(B3915,pr_code,0))),"Article inconnu",IF(H3915="","Désignation manquante",IF(OR(NOT(ISNUMBER(D3915)),N(D3915)&lt;=0),"Quantité invalide",IF(J3915="","Prix manquant",IF(OR(NOT(ISNUMBER(J3915)),N(J3915)&lt;0),"Prix invalide",IF(OR(AND(F3915&lt;&gt;"",NOT(ISNUMBER(F3915))),N(F3915)&lt;0,N(F3915)&gt;1),"Remise invalide",IF(K3915="","Taux de TVA manquant",IF(NOT(ISNUMBER(K3915)),"Taux de TVA invalide",IF(COUNTIF(p_rates,K3915)=0,"Taux de TVA hors liste (Paramètres)",IF(N(O3915)&gt;25,"Au-delà de 25 lignes : non imprimée","OK")))))))))))))</f>
        <v/>
      </c>
      <c r="O3915" s="59" t="str">
        <f>IF(A3915="","",COUNTIF($A$6:A3915,A3915))</f>
        <v/>
      </c>
      <c r="P3915" s="62" t="str">
        <f>IF(A3915="","",A3915&amp;"|"&amp;O3915)</f>
        <v/>
      </c>
    </row>
    <row r="3916">
      <c r="A3916" s="60" t="n"/>
      <c r="B3916" s="63" t="n"/>
      <c r="C3916" s="63" t="n"/>
      <c r="D3916" s="67" t="n"/>
      <c r="E3916" s="68" t="n"/>
      <c r="F3916" s="69" t="n"/>
      <c r="G3916" s="70" t="n"/>
      <c r="H3916" s="62" t="str">
        <f>IF(COUNTA(A3916:G3916)=0,"",IF(C3916&lt;&gt;"",C3916,IF(B3916="","",IFERROR(INDEX(pr_des,MATCH(B3916,pr_code,0))&amp;"",""))))</f>
        <v/>
      </c>
      <c r="I3916" s="59" t="str">
        <f>IF(B3916="","",IFERROR(INDEX(pr_unit,MATCH(B3916,pr_code,0))&amp;"",""))</f>
        <v/>
      </c>
      <c r="J3916" s="65" t="str">
        <f>IF(COUNTA(A3916:G3916)=0,"",IF(E3916&lt;&gt;"",E3916,IF(B3916="","",IFERROR(IF(INDEX(pr_price,MATCH(B3916,pr_code,0))="","",INDEX(pr_price,MATCH(B3916,pr_code,0))),""))))</f>
        <v/>
      </c>
      <c r="K3916" s="71" t="str">
        <f>IF(COUNTA(A3916:G3916)=0,"",IF(G3916&lt;&gt;"",G3916,IF(B3916="","",IFERROR(IF(INDEX(pr_rate,MATCH(B3916,pr_code,0))="","",INDEX(pr_rate,MATCH(B3916,pr_code,0))),""))))</f>
        <v/>
      </c>
      <c r="L3916" s="65" t="str">
        <f>IF(COUNTA(A3916:G3916)=0,"",IF(AND(ISNUMBER(D3916),ISNUMBER(J3916)),ROUND(D3916*J3916*(1-N(F3916)),2),0))</f>
        <v/>
      </c>
      <c r="M3916" s="62" t="str">
        <f>IF(A3916="","",IFERROR(INDEX(fa_cname,MATCH(A3916,fa_num,0))&amp;"",""))</f>
        <v/>
      </c>
      <c r="N3916" s="59" t="str">
        <f>IF(COUNTA(A3916:G3916)=0,"",IF(A3916="","N° facture manquant",IF(ISNA(MATCH(A3916,fa_num,0)),"Facture inconnue",IF(AND(B3916&lt;&gt;"",ISNA(MATCH(B3916,pr_code,0))),"Article inconnu",IF(H3916="","Désignation manquante",IF(OR(NOT(ISNUMBER(D3916)),N(D3916)&lt;=0),"Quantité invalide",IF(J3916="","Prix manquant",IF(OR(NOT(ISNUMBER(J3916)),N(J3916)&lt;0),"Prix invalide",IF(OR(AND(F3916&lt;&gt;"",NOT(ISNUMBER(F3916))),N(F3916)&lt;0,N(F3916)&gt;1),"Remise invalide",IF(K3916="","Taux de TVA manquant",IF(NOT(ISNUMBER(K3916)),"Taux de TVA invalide",IF(COUNTIF(p_rates,K3916)=0,"Taux de TVA hors liste (Paramètres)",IF(N(O3916)&gt;25,"Au-delà de 25 lignes : non imprimée","OK")))))))))))))</f>
        <v/>
      </c>
      <c r="O3916" s="59" t="str">
        <f>IF(A3916="","",COUNTIF($A$6:A3916,A3916))</f>
        <v/>
      </c>
      <c r="P3916" s="62" t="str">
        <f>IF(A3916="","",A3916&amp;"|"&amp;O3916)</f>
        <v/>
      </c>
    </row>
    <row r="3917">
      <c r="A3917" s="60" t="n"/>
      <c r="B3917" s="63" t="n"/>
      <c r="C3917" s="63" t="n"/>
      <c r="D3917" s="67" t="n"/>
      <c r="E3917" s="68" t="n"/>
      <c r="F3917" s="69" t="n"/>
      <c r="G3917" s="70" t="n"/>
      <c r="H3917" s="62" t="str">
        <f>IF(COUNTA(A3917:G3917)=0,"",IF(C3917&lt;&gt;"",C3917,IF(B3917="","",IFERROR(INDEX(pr_des,MATCH(B3917,pr_code,0))&amp;"",""))))</f>
        <v/>
      </c>
      <c r="I3917" s="59" t="str">
        <f>IF(B3917="","",IFERROR(INDEX(pr_unit,MATCH(B3917,pr_code,0))&amp;"",""))</f>
        <v/>
      </c>
      <c r="J3917" s="65" t="str">
        <f>IF(COUNTA(A3917:G3917)=0,"",IF(E3917&lt;&gt;"",E3917,IF(B3917="","",IFERROR(IF(INDEX(pr_price,MATCH(B3917,pr_code,0))="","",INDEX(pr_price,MATCH(B3917,pr_code,0))),""))))</f>
        <v/>
      </c>
      <c r="K3917" s="71" t="str">
        <f>IF(COUNTA(A3917:G3917)=0,"",IF(G3917&lt;&gt;"",G3917,IF(B3917="","",IFERROR(IF(INDEX(pr_rate,MATCH(B3917,pr_code,0))="","",INDEX(pr_rate,MATCH(B3917,pr_code,0))),""))))</f>
        <v/>
      </c>
      <c r="L3917" s="65" t="str">
        <f>IF(COUNTA(A3917:G3917)=0,"",IF(AND(ISNUMBER(D3917),ISNUMBER(J3917)),ROUND(D3917*J3917*(1-N(F3917)),2),0))</f>
        <v/>
      </c>
      <c r="M3917" s="62" t="str">
        <f>IF(A3917="","",IFERROR(INDEX(fa_cname,MATCH(A3917,fa_num,0))&amp;"",""))</f>
        <v/>
      </c>
      <c r="N3917" s="59" t="str">
        <f>IF(COUNTA(A3917:G3917)=0,"",IF(A3917="","N° facture manquant",IF(ISNA(MATCH(A3917,fa_num,0)),"Facture inconnue",IF(AND(B3917&lt;&gt;"",ISNA(MATCH(B3917,pr_code,0))),"Article inconnu",IF(H3917="","Désignation manquante",IF(OR(NOT(ISNUMBER(D3917)),N(D3917)&lt;=0),"Quantité invalide",IF(J3917="","Prix manquant",IF(OR(NOT(ISNUMBER(J3917)),N(J3917)&lt;0),"Prix invalide",IF(OR(AND(F3917&lt;&gt;"",NOT(ISNUMBER(F3917))),N(F3917)&lt;0,N(F3917)&gt;1),"Remise invalide",IF(K3917="","Taux de TVA manquant",IF(NOT(ISNUMBER(K3917)),"Taux de TVA invalide",IF(COUNTIF(p_rates,K3917)=0,"Taux de TVA hors liste (Paramètres)",IF(N(O3917)&gt;25,"Au-delà de 25 lignes : non imprimée","OK")))))))))))))</f>
        <v/>
      </c>
      <c r="O3917" s="59" t="str">
        <f>IF(A3917="","",COUNTIF($A$6:A3917,A3917))</f>
        <v/>
      </c>
      <c r="P3917" s="62" t="str">
        <f>IF(A3917="","",A3917&amp;"|"&amp;O3917)</f>
        <v/>
      </c>
    </row>
    <row r="3918">
      <c r="A3918" s="60" t="n"/>
      <c r="B3918" s="63" t="n"/>
      <c r="C3918" s="63" t="n"/>
      <c r="D3918" s="67" t="n"/>
      <c r="E3918" s="68" t="n"/>
      <c r="F3918" s="69" t="n"/>
      <c r="G3918" s="70" t="n"/>
      <c r="H3918" s="62" t="str">
        <f>IF(COUNTA(A3918:G3918)=0,"",IF(C3918&lt;&gt;"",C3918,IF(B3918="","",IFERROR(INDEX(pr_des,MATCH(B3918,pr_code,0))&amp;"",""))))</f>
        <v/>
      </c>
      <c r="I3918" s="59" t="str">
        <f>IF(B3918="","",IFERROR(INDEX(pr_unit,MATCH(B3918,pr_code,0))&amp;"",""))</f>
        <v/>
      </c>
      <c r="J3918" s="65" t="str">
        <f>IF(COUNTA(A3918:G3918)=0,"",IF(E3918&lt;&gt;"",E3918,IF(B3918="","",IFERROR(IF(INDEX(pr_price,MATCH(B3918,pr_code,0))="","",INDEX(pr_price,MATCH(B3918,pr_code,0))),""))))</f>
        <v/>
      </c>
      <c r="K3918" s="71" t="str">
        <f>IF(COUNTA(A3918:G3918)=0,"",IF(G3918&lt;&gt;"",G3918,IF(B3918="","",IFERROR(IF(INDEX(pr_rate,MATCH(B3918,pr_code,0))="","",INDEX(pr_rate,MATCH(B3918,pr_code,0))),""))))</f>
        <v/>
      </c>
      <c r="L3918" s="65" t="str">
        <f>IF(COUNTA(A3918:G3918)=0,"",IF(AND(ISNUMBER(D3918),ISNUMBER(J3918)),ROUND(D3918*J3918*(1-N(F3918)),2),0))</f>
        <v/>
      </c>
      <c r="M3918" s="62" t="str">
        <f>IF(A3918="","",IFERROR(INDEX(fa_cname,MATCH(A3918,fa_num,0))&amp;"",""))</f>
        <v/>
      </c>
      <c r="N3918" s="59" t="str">
        <f>IF(COUNTA(A3918:G3918)=0,"",IF(A3918="","N° facture manquant",IF(ISNA(MATCH(A3918,fa_num,0)),"Facture inconnue",IF(AND(B3918&lt;&gt;"",ISNA(MATCH(B3918,pr_code,0))),"Article inconnu",IF(H3918="","Désignation manquante",IF(OR(NOT(ISNUMBER(D3918)),N(D3918)&lt;=0),"Quantité invalide",IF(J3918="","Prix manquant",IF(OR(NOT(ISNUMBER(J3918)),N(J3918)&lt;0),"Prix invalide",IF(OR(AND(F3918&lt;&gt;"",NOT(ISNUMBER(F3918))),N(F3918)&lt;0,N(F3918)&gt;1),"Remise invalide",IF(K3918="","Taux de TVA manquant",IF(NOT(ISNUMBER(K3918)),"Taux de TVA invalide",IF(COUNTIF(p_rates,K3918)=0,"Taux de TVA hors liste (Paramètres)",IF(N(O3918)&gt;25,"Au-delà de 25 lignes : non imprimée","OK")))))))))))))</f>
        <v/>
      </c>
      <c r="O3918" s="59" t="str">
        <f>IF(A3918="","",COUNTIF($A$6:A3918,A3918))</f>
        <v/>
      </c>
      <c r="P3918" s="62" t="str">
        <f>IF(A3918="","",A3918&amp;"|"&amp;O3918)</f>
        <v/>
      </c>
    </row>
    <row r="3919">
      <c r="A3919" s="60" t="n"/>
      <c r="B3919" s="63" t="n"/>
      <c r="C3919" s="63" t="n"/>
      <c r="D3919" s="67" t="n"/>
      <c r="E3919" s="68" t="n"/>
      <c r="F3919" s="69" t="n"/>
      <c r="G3919" s="70" t="n"/>
      <c r="H3919" s="62" t="str">
        <f>IF(COUNTA(A3919:G3919)=0,"",IF(C3919&lt;&gt;"",C3919,IF(B3919="","",IFERROR(INDEX(pr_des,MATCH(B3919,pr_code,0))&amp;"",""))))</f>
        <v/>
      </c>
      <c r="I3919" s="59" t="str">
        <f>IF(B3919="","",IFERROR(INDEX(pr_unit,MATCH(B3919,pr_code,0))&amp;"",""))</f>
        <v/>
      </c>
      <c r="J3919" s="65" t="str">
        <f>IF(COUNTA(A3919:G3919)=0,"",IF(E3919&lt;&gt;"",E3919,IF(B3919="","",IFERROR(IF(INDEX(pr_price,MATCH(B3919,pr_code,0))="","",INDEX(pr_price,MATCH(B3919,pr_code,0))),""))))</f>
        <v/>
      </c>
      <c r="K3919" s="71" t="str">
        <f>IF(COUNTA(A3919:G3919)=0,"",IF(G3919&lt;&gt;"",G3919,IF(B3919="","",IFERROR(IF(INDEX(pr_rate,MATCH(B3919,pr_code,0))="","",INDEX(pr_rate,MATCH(B3919,pr_code,0))),""))))</f>
        <v/>
      </c>
      <c r="L3919" s="65" t="str">
        <f>IF(COUNTA(A3919:G3919)=0,"",IF(AND(ISNUMBER(D3919),ISNUMBER(J3919)),ROUND(D3919*J3919*(1-N(F3919)),2),0))</f>
        <v/>
      </c>
      <c r="M3919" s="62" t="str">
        <f>IF(A3919="","",IFERROR(INDEX(fa_cname,MATCH(A3919,fa_num,0))&amp;"",""))</f>
        <v/>
      </c>
      <c r="N3919" s="59" t="str">
        <f>IF(COUNTA(A3919:G3919)=0,"",IF(A3919="","N° facture manquant",IF(ISNA(MATCH(A3919,fa_num,0)),"Facture inconnue",IF(AND(B3919&lt;&gt;"",ISNA(MATCH(B3919,pr_code,0))),"Article inconnu",IF(H3919="","Désignation manquante",IF(OR(NOT(ISNUMBER(D3919)),N(D3919)&lt;=0),"Quantité invalide",IF(J3919="","Prix manquant",IF(OR(NOT(ISNUMBER(J3919)),N(J3919)&lt;0),"Prix invalide",IF(OR(AND(F3919&lt;&gt;"",NOT(ISNUMBER(F3919))),N(F3919)&lt;0,N(F3919)&gt;1),"Remise invalide",IF(K3919="","Taux de TVA manquant",IF(NOT(ISNUMBER(K3919)),"Taux de TVA invalide",IF(COUNTIF(p_rates,K3919)=0,"Taux de TVA hors liste (Paramètres)",IF(N(O3919)&gt;25,"Au-delà de 25 lignes : non imprimée","OK")))))))))))))</f>
        <v/>
      </c>
      <c r="O3919" s="59" t="str">
        <f>IF(A3919="","",COUNTIF($A$6:A3919,A3919))</f>
        <v/>
      </c>
      <c r="P3919" s="62" t="str">
        <f>IF(A3919="","",A3919&amp;"|"&amp;O3919)</f>
        <v/>
      </c>
    </row>
    <row r="3920">
      <c r="A3920" s="60" t="n"/>
      <c r="B3920" s="63" t="n"/>
      <c r="C3920" s="63" t="n"/>
      <c r="D3920" s="67" t="n"/>
      <c r="E3920" s="68" t="n"/>
      <c r="F3920" s="69" t="n"/>
      <c r="G3920" s="70" t="n"/>
      <c r="H3920" s="62" t="str">
        <f>IF(COUNTA(A3920:G3920)=0,"",IF(C3920&lt;&gt;"",C3920,IF(B3920="","",IFERROR(INDEX(pr_des,MATCH(B3920,pr_code,0))&amp;"",""))))</f>
        <v/>
      </c>
      <c r="I3920" s="59" t="str">
        <f>IF(B3920="","",IFERROR(INDEX(pr_unit,MATCH(B3920,pr_code,0))&amp;"",""))</f>
        <v/>
      </c>
      <c r="J3920" s="65" t="str">
        <f>IF(COUNTA(A3920:G3920)=0,"",IF(E3920&lt;&gt;"",E3920,IF(B3920="","",IFERROR(IF(INDEX(pr_price,MATCH(B3920,pr_code,0))="","",INDEX(pr_price,MATCH(B3920,pr_code,0))),""))))</f>
        <v/>
      </c>
      <c r="K3920" s="71" t="str">
        <f>IF(COUNTA(A3920:G3920)=0,"",IF(G3920&lt;&gt;"",G3920,IF(B3920="","",IFERROR(IF(INDEX(pr_rate,MATCH(B3920,pr_code,0))="","",INDEX(pr_rate,MATCH(B3920,pr_code,0))),""))))</f>
        <v/>
      </c>
      <c r="L3920" s="65" t="str">
        <f>IF(COUNTA(A3920:G3920)=0,"",IF(AND(ISNUMBER(D3920),ISNUMBER(J3920)),ROUND(D3920*J3920*(1-N(F3920)),2),0))</f>
        <v/>
      </c>
      <c r="M3920" s="62" t="str">
        <f>IF(A3920="","",IFERROR(INDEX(fa_cname,MATCH(A3920,fa_num,0))&amp;"",""))</f>
        <v/>
      </c>
      <c r="N3920" s="59" t="str">
        <f>IF(COUNTA(A3920:G3920)=0,"",IF(A3920="","N° facture manquant",IF(ISNA(MATCH(A3920,fa_num,0)),"Facture inconnue",IF(AND(B3920&lt;&gt;"",ISNA(MATCH(B3920,pr_code,0))),"Article inconnu",IF(H3920="","Désignation manquante",IF(OR(NOT(ISNUMBER(D3920)),N(D3920)&lt;=0),"Quantité invalide",IF(J3920="","Prix manquant",IF(OR(NOT(ISNUMBER(J3920)),N(J3920)&lt;0),"Prix invalide",IF(OR(AND(F3920&lt;&gt;"",NOT(ISNUMBER(F3920))),N(F3920)&lt;0,N(F3920)&gt;1),"Remise invalide",IF(K3920="","Taux de TVA manquant",IF(NOT(ISNUMBER(K3920)),"Taux de TVA invalide",IF(COUNTIF(p_rates,K3920)=0,"Taux de TVA hors liste (Paramètres)",IF(N(O3920)&gt;25,"Au-delà de 25 lignes : non imprimée","OK")))))))))))))</f>
        <v/>
      </c>
      <c r="O3920" s="59" t="str">
        <f>IF(A3920="","",COUNTIF($A$6:A3920,A3920))</f>
        <v/>
      </c>
      <c r="P3920" s="62" t="str">
        <f>IF(A3920="","",A3920&amp;"|"&amp;O3920)</f>
        <v/>
      </c>
    </row>
    <row r="3921">
      <c r="A3921" s="60" t="n"/>
      <c r="B3921" s="63" t="n"/>
      <c r="C3921" s="63" t="n"/>
      <c r="D3921" s="67" t="n"/>
      <c r="E3921" s="68" t="n"/>
      <c r="F3921" s="69" t="n"/>
      <c r="G3921" s="70" t="n"/>
      <c r="H3921" s="62" t="str">
        <f>IF(COUNTA(A3921:G3921)=0,"",IF(C3921&lt;&gt;"",C3921,IF(B3921="","",IFERROR(INDEX(pr_des,MATCH(B3921,pr_code,0))&amp;"",""))))</f>
        <v/>
      </c>
      <c r="I3921" s="59" t="str">
        <f>IF(B3921="","",IFERROR(INDEX(pr_unit,MATCH(B3921,pr_code,0))&amp;"",""))</f>
        <v/>
      </c>
      <c r="J3921" s="65" t="str">
        <f>IF(COUNTA(A3921:G3921)=0,"",IF(E3921&lt;&gt;"",E3921,IF(B3921="","",IFERROR(IF(INDEX(pr_price,MATCH(B3921,pr_code,0))="","",INDEX(pr_price,MATCH(B3921,pr_code,0))),""))))</f>
        <v/>
      </c>
      <c r="K3921" s="71" t="str">
        <f>IF(COUNTA(A3921:G3921)=0,"",IF(G3921&lt;&gt;"",G3921,IF(B3921="","",IFERROR(IF(INDEX(pr_rate,MATCH(B3921,pr_code,0))="","",INDEX(pr_rate,MATCH(B3921,pr_code,0))),""))))</f>
        <v/>
      </c>
      <c r="L3921" s="65" t="str">
        <f>IF(COUNTA(A3921:G3921)=0,"",IF(AND(ISNUMBER(D3921),ISNUMBER(J3921)),ROUND(D3921*J3921*(1-N(F3921)),2),0))</f>
        <v/>
      </c>
      <c r="M3921" s="62" t="str">
        <f>IF(A3921="","",IFERROR(INDEX(fa_cname,MATCH(A3921,fa_num,0))&amp;"",""))</f>
        <v/>
      </c>
      <c r="N3921" s="59" t="str">
        <f>IF(COUNTA(A3921:G3921)=0,"",IF(A3921="","N° facture manquant",IF(ISNA(MATCH(A3921,fa_num,0)),"Facture inconnue",IF(AND(B3921&lt;&gt;"",ISNA(MATCH(B3921,pr_code,0))),"Article inconnu",IF(H3921="","Désignation manquante",IF(OR(NOT(ISNUMBER(D3921)),N(D3921)&lt;=0),"Quantité invalide",IF(J3921="","Prix manquant",IF(OR(NOT(ISNUMBER(J3921)),N(J3921)&lt;0),"Prix invalide",IF(OR(AND(F3921&lt;&gt;"",NOT(ISNUMBER(F3921))),N(F3921)&lt;0,N(F3921)&gt;1),"Remise invalide",IF(K3921="","Taux de TVA manquant",IF(NOT(ISNUMBER(K3921)),"Taux de TVA invalide",IF(COUNTIF(p_rates,K3921)=0,"Taux de TVA hors liste (Paramètres)",IF(N(O3921)&gt;25,"Au-delà de 25 lignes : non imprimée","OK")))))))))))))</f>
        <v/>
      </c>
      <c r="O3921" s="59" t="str">
        <f>IF(A3921="","",COUNTIF($A$6:A3921,A3921))</f>
        <v/>
      </c>
      <c r="P3921" s="62" t="str">
        <f>IF(A3921="","",A3921&amp;"|"&amp;O3921)</f>
        <v/>
      </c>
    </row>
    <row r="3922">
      <c r="A3922" s="60" t="n"/>
      <c r="B3922" s="63" t="n"/>
      <c r="C3922" s="63" t="n"/>
      <c r="D3922" s="67" t="n"/>
      <c r="E3922" s="68" t="n"/>
      <c r="F3922" s="69" t="n"/>
      <c r="G3922" s="70" t="n"/>
      <c r="H3922" s="62" t="str">
        <f>IF(COUNTA(A3922:G3922)=0,"",IF(C3922&lt;&gt;"",C3922,IF(B3922="","",IFERROR(INDEX(pr_des,MATCH(B3922,pr_code,0))&amp;"",""))))</f>
        <v/>
      </c>
      <c r="I3922" s="59" t="str">
        <f>IF(B3922="","",IFERROR(INDEX(pr_unit,MATCH(B3922,pr_code,0))&amp;"",""))</f>
        <v/>
      </c>
      <c r="J3922" s="65" t="str">
        <f>IF(COUNTA(A3922:G3922)=0,"",IF(E3922&lt;&gt;"",E3922,IF(B3922="","",IFERROR(IF(INDEX(pr_price,MATCH(B3922,pr_code,0))="","",INDEX(pr_price,MATCH(B3922,pr_code,0))),""))))</f>
        <v/>
      </c>
      <c r="K3922" s="71" t="str">
        <f>IF(COUNTA(A3922:G3922)=0,"",IF(G3922&lt;&gt;"",G3922,IF(B3922="","",IFERROR(IF(INDEX(pr_rate,MATCH(B3922,pr_code,0))="","",INDEX(pr_rate,MATCH(B3922,pr_code,0))),""))))</f>
        <v/>
      </c>
      <c r="L3922" s="65" t="str">
        <f>IF(COUNTA(A3922:G3922)=0,"",IF(AND(ISNUMBER(D3922),ISNUMBER(J3922)),ROUND(D3922*J3922*(1-N(F3922)),2),0))</f>
        <v/>
      </c>
      <c r="M3922" s="62" t="str">
        <f>IF(A3922="","",IFERROR(INDEX(fa_cname,MATCH(A3922,fa_num,0))&amp;"",""))</f>
        <v/>
      </c>
      <c r="N3922" s="59" t="str">
        <f>IF(COUNTA(A3922:G3922)=0,"",IF(A3922="","N° facture manquant",IF(ISNA(MATCH(A3922,fa_num,0)),"Facture inconnue",IF(AND(B3922&lt;&gt;"",ISNA(MATCH(B3922,pr_code,0))),"Article inconnu",IF(H3922="","Désignation manquante",IF(OR(NOT(ISNUMBER(D3922)),N(D3922)&lt;=0),"Quantité invalide",IF(J3922="","Prix manquant",IF(OR(NOT(ISNUMBER(J3922)),N(J3922)&lt;0),"Prix invalide",IF(OR(AND(F3922&lt;&gt;"",NOT(ISNUMBER(F3922))),N(F3922)&lt;0,N(F3922)&gt;1),"Remise invalide",IF(K3922="","Taux de TVA manquant",IF(NOT(ISNUMBER(K3922)),"Taux de TVA invalide",IF(COUNTIF(p_rates,K3922)=0,"Taux de TVA hors liste (Paramètres)",IF(N(O3922)&gt;25,"Au-delà de 25 lignes : non imprimée","OK")))))))))))))</f>
        <v/>
      </c>
      <c r="O3922" s="59" t="str">
        <f>IF(A3922="","",COUNTIF($A$6:A3922,A3922))</f>
        <v/>
      </c>
      <c r="P3922" s="62" t="str">
        <f>IF(A3922="","",A3922&amp;"|"&amp;O3922)</f>
        <v/>
      </c>
    </row>
    <row r="3923">
      <c r="A3923" s="60" t="n"/>
      <c r="B3923" s="63" t="n"/>
      <c r="C3923" s="63" t="n"/>
      <c r="D3923" s="67" t="n"/>
      <c r="E3923" s="68" t="n"/>
      <c r="F3923" s="69" t="n"/>
      <c r="G3923" s="70" t="n"/>
      <c r="H3923" s="62" t="str">
        <f>IF(COUNTA(A3923:G3923)=0,"",IF(C3923&lt;&gt;"",C3923,IF(B3923="","",IFERROR(INDEX(pr_des,MATCH(B3923,pr_code,0))&amp;"",""))))</f>
        <v/>
      </c>
      <c r="I3923" s="59" t="str">
        <f>IF(B3923="","",IFERROR(INDEX(pr_unit,MATCH(B3923,pr_code,0))&amp;"",""))</f>
        <v/>
      </c>
      <c r="J3923" s="65" t="str">
        <f>IF(COUNTA(A3923:G3923)=0,"",IF(E3923&lt;&gt;"",E3923,IF(B3923="","",IFERROR(IF(INDEX(pr_price,MATCH(B3923,pr_code,0))="","",INDEX(pr_price,MATCH(B3923,pr_code,0))),""))))</f>
        <v/>
      </c>
      <c r="K3923" s="71" t="str">
        <f>IF(COUNTA(A3923:G3923)=0,"",IF(G3923&lt;&gt;"",G3923,IF(B3923="","",IFERROR(IF(INDEX(pr_rate,MATCH(B3923,pr_code,0))="","",INDEX(pr_rate,MATCH(B3923,pr_code,0))),""))))</f>
        <v/>
      </c>
      <c r="L3923" s="65" t="str">
        <f>IF(COUNTA(A3923:G3923)=0,"",IF(AND(ISNUMBER(D3923),ISNUMBER(J3923)),ROUND(D3923*J3923*(1-N(F3923)),2),0))</f>
        <v/>
      </c>
      <c r="M3923" s="62" t="str">
        <f>IF(A3923="","",IFERROR(INDEX(fa_cname,MATCH(A3923,fa_num,0))&amp;"",""))</f>
        <v/>
      </c>
      <c r="N3923" s="59" t="str">
        <f>IF(COUNTA(A3923:G3923)=0,"",IF(A3923="","N° facture manquant",IF(ISNA(MATCH(A3923,fa_num,0)),"Facture inconnue",IF(AND(B3923&lt;&gt;"",ISNA(MATCH(B3923,pr_code,0))),"Article inconnu",IF(H3923="","Désignation manquante",IF(OR(NOT(ISNUMBER(D3923)),N(D3923)&lt;=0),"Quantité invalide",IF(J3923="","Prix manquant",IF(OR(NOT(ISNUMBER(J3923)),N(J3923)&lt;0),"Prix invalide",IF(OR(AND(F3923&lt;&gt;"",NOT(ISNUMBER(F3923))),N(F3923)&lt;0,N(F3923)&gt;1),"Remise invalide",IF(K3923="","Taux de TVA manquant",IF(NOT(ISNUMBER(K3923)),"Taux de TVA invalide",IF(COUNTIF(p_rates,K3923)=0,"Taux de TVA hors liste (Paramètres)",IF(N(O3923)&gt;25,"Au-delà de 25 lignes : non imprimée","OK")))))))))))))</f>
        <v/>
      </c>
      <c r="O3923" s="59" t="str">
        <f>IF(A3923="","",COUNTIF($A$6:A3923,A3923))</f>
        <v/>
      </c>
      <c r="P3923" s="62" t="str">
        <f>IF(A3923="","",A3923&amp;"|"&amp;O3923)</f>
        <v/>
      </c>
    </row>
    <row r="3924">
      <c r="A3924" s="60" t="n"/>
      <c r="B3924" s="63" t="n"/>
      <c r="C3924" s="63" t="n"/>
      <c r="D3924" s="67" t="n"/>
      <c r="E3924" s="68" t="n"/>
      <c r="F3924" s="69" t="n"/>
      <c r="G3924" s="70" t="n"/>
      <c r="H3924" s="62" t="str">
        <f>IF(COUNTA(A3924:G3924)=0,"",IF(C3924&lt;&gt;"",C3924,IF(B3924="","",IFERROR(INDEX(pr_des,MATCH(B3924,pr_code,0))&amp;"",""))))</f>
        <v/>
      </c>
      <c r="I3924" s="59" t="str">
        <f>IF(B3924="","",IFERROR(INDEX(pr_unit,MATCH(B3924,pr_code,0))&amp;"",""))</f>
        <v/>
      </c>
      <c r="J3924" s="65" t="str">
        <f>IF(COUNTA(A3924:G3924)=0,"",IF(E3924&lt;&gt;"",E3924,IF(B3924="","",IFERROR(IF(INDEX(pr_price,MATCH(B3924,pr_code,0))="","",INDEX(pr_price,MATCH(B3924,pr_code,0))),""))))</f>
        <v/>
      </c>
      <c r="K3924" s="71" t="str">
        <f>IF(COUNTA(A3924:G3924)=0,"",IF(G3924&lt;&gt;"",G3924,IF(B3924="","",IFERROR(IF(INDEX(pr_rate,MATCH(B3924,pr_code,0))="","",INDEX(pr_rate,MATCH(B3924,pr_code,0))),""))))</f>
        <v/>
      </c>
      <c r="L3924" s="65" t="str">
        <f>IF(COUNTA(A3924:G3924)=0,"",IF(AND(ISNUMBER(D3924),ISNUMBER(J3924)),ROUND(D3924*J3924*(1-N(F3924)),2),0))</f>
        <v/>
      </c>
      <c r="M3924" s="62" t="str">
        <f>IF(A3924="","",IFERROR(INDEX(fa_cname,MATCH(A3924,fa_num,0))&amp;"",""))</f>
        <v/>
      </c>
      <c r="N3924" s="59" t="str">
        <f>IF(COUNTA(A3924:G3924)=0,"",IF(A3924="","N° facture manquant",IF(ISNA(MATCH(A3924,fa_num,0)),"Facture inconnue",IF(AND(B3924&lt;&gt;"",ISNA(MATCH(B3924,pr_code,0))),"Article inconnu",IF(H3924="","Désignation manquante",IF(OR(NOT(ISNUMBER(D3924)),N(D3924)&lt;=0),"Quantité invalide",IF(J3924="","Prix manquant",IF(OR(NOT(ISNUMBER(J3924)),N(J3924)&lt;0),"Prix invalide",IF(OR(AND(F3924&lt;&gt;"",NOT(ISNUMBER(F3924))),N(F3924)&lt;0,N(F3924)&gt;1),"Remise invalide",IF(K3924="","Taux de TVA manquant",IF(NOT(ISNUMBER(K3924)),"Taux de TVA invalide",IF(COUNTIF(p_rates,K3924)=0,"Taux de TVA hors liste (Paramètres)",IF(N(O3924)&gt;25,"Au-delà de 25 lignes : non imprimée","OK")))))))))))))</f>
        <v/>
      </c>
      <c r="O3924" s="59" t="str">
        <f>IF(A3924="","",COUNTIF($A$6:A3924,A3924))</f>
        <v/>
      </c>
      <c r="P3924" s="62" t="str">
        <f>IF(A3924="","",A3924&amp;"|"&amp;O3924)</f>
        <v/>
      </c>
    </row>
    <row r="3925">
      <c r="A3925" s="60" t="n"/>
      <c r="B3925" s="63" t="n"/>
      <c r="C3925" s="63" t="n"/>
      <c r="D3925" s="67" t="n"/>
      <c r="E3925" s="68" t="n"/>
      <c r="F3925" s="69" t="n"/>
      <c r="G3925" s="70" t="n"/>
      <c r="H3925" s="62" t="str">
        <f>IF(COUNTA(A3925:G3925)=0,"",IF(C3925&lt;&gt;"",C3925,IF(B3925="","",IFERROR(INDEX(pr_des,MATCH(B3925,pr_code,0))&amp;"",""))))</f>
        <v/>
      </c>
      <c r="I3925" s="59" t="str">
        <f>IF(B3925="","",IFERROR(INDEX(pr_unit,MATCH(B3925,pr_code,0))&amp;"",""))</f>
        <v/>
      </c>
      <c r="J3925" s="65" t="str">
        <f>IF(COUNTA(A3925:G3925)=0,"",IF(E3925&lt;&gt;"",E3925,IF(B3925="","",IFERROR(IF(INDEX(pr_price,MATCH(B3925,pr_code,0))="","",INDEX(pr_price,MATCH(B3925,pr_code,0))),""))))</f>
        <v/>
      </c>
      <c r="K3925" s="71" t="str">
        <f>IF(COUNTA(A3925:G3925)=0,"",IF(G3925&lt;&gt;"",G3925,IF(B3925="","",IFERROR(IF(INDEX(pr_rate,MATCH(B3925,pr_code,0))="","",INDEX(pr_rate,MATCH(B3925,pr_code,0))),""))))</f>
        <v/>
      </c>
      <c r="L3925" s="65" t="str">
        <f>IF(COUNTA(A3925:G3925)=0,"",IF(AND(ISNUMBER(D3925),ISNUMBER(J3925)),ROUND(D3925*J3925*(1-N(F3925)),2),0))</f>
        <v/>
      </c>
      <c r="M3925" s="62" t="str">
        <f>IF(A3925="","",IFERROR(INDEX(fa_cname,MATCH(A3925,fa_num,0))&amp;"",""))</f>
        <v/>
      </c>
      <c r="N3925" s="59" t="str">
        <f>IF(COUNTA(A3925:G3925)=0,"",IF(A3925="","N° facture manquant",IF(ISNA(MATCH(A3925,fa_num,0)),"Facture inconnue",IF(AND(B3925&lt;&gt;"",ISNA(MATCH(B3925,pr_code,0))),"Article inconnu",IF(H3925="","Désignation manquante",IF(OR(NOT(ISNUMBER(D3925)),N(D3925)&lt;=0),"Quantité invalide",IF(J3925="","Prix manquant",IF(OR(NOT(ISNUMBER(J3925)),N(J3925)&lt;0),"Prix invalide",IF(OR(AND(F3925&lt;&gt;"",NOT(ISNUMBER(F3925))),N(F3925)&lt;0,N(F3925)&gt;1),"Remise invalide",IF(K3925="","Taux de TVA manquant",IF(NOT(ISNUMBER(K3925)),"Taux de TVA invalide",IF(COUNTIF(p_rates,K3925)=0,"Taux de TVA hors liste (Paramètres)",IF(N(O3925)&gt;25,"Au-delà de 25 lignes : non imprimée","OK")))))))))))))</f>
        <v/>
      </c>
      <c r="O3925" s="59" t="str">
        <f>IF(A3925="","",COUNTIF($A$6:A3925,A3925))</f>
        <v/>
      </c>
      <c r="P3925" s="62" t="str">
        <f>IF(A3925="","",A3925&amp;"|"&amp;O3925)</f>
        <v/>
      </c>
    </row>
    <row r="3926">
      <c r="A3926" s="60" t="n"/>
      <c r="B3926" s="63" t="n"/>
      <c r="C3926" s="63" t="n"/>
      <c r="D3926" s="67" t="n"/>
      <c r="E3926" s="68" t="n"/>
      <c r="F3926" s="69" t="n"/>
      <c r="G3926" s="70" t="n"/>
      <c r="H3926" s="62" t="str">
        <f>IF(COUNTA(A3926:G3926)=0,"",IF(C3926&lt;&gt;"",C3926,IF(B3926="","",IFERROR(INDEX(pr_des,MATCH(B3926,pr_code,0))&amp;"",""))))</f>
        <v/>
      </c>
      <c r="I3926" s="59" t="str">
        <f>IF(B3926="","",IFERROR(INDEX(pr_unit,MATCH(B3926,pr_code,0))&amp;"",""))</f>
        <v/>
      </c>
      <c r="J3926" s="65" t="str">
        <f>IF(COUNTA(A3926:G3926)=0,"",IF(E3926&lt;&gt;"",E3926,IF(B3926="","",IFERROR(IF(INDEX(pr_price,MATCH(B3926,pr_code,0))="","",INDEX(pr_price,MATCH(B3926,pr_code,0))),""))))</f>
        <v/>
      </c>
      <c r="K3926" s="71" t="str">
        <f>IF(COUNTA(A3926:G3926)=0,"",IF(G3926&lt;&gt;"",G3926,IF(B3926="","",IFERROR(IF(INDEX(pr_rate,MATCH(B3926,pr_code,0))="","",INDEX(pr_rate,MATCH(B3926,pr_code,0))),""))))</f>
        <v/>
      </c>
      <c r="L3926" s="65" t="str">
        <f>IF(COUNTA(A3926:G3926)=0,"",IF(AND(ISNUMBER(D3926),ISNUMBER(J3926)),ROUND(D3926*J3926*(1-N(F3926)),2),0))</f>
        <v/>
      </c>
      <c r="M3926" s="62" t="str">
        <f>IF(A3926="","",IFERROR(INDEX(fa_cname,MATCH(A3926,fa_num,0))&amp;"",""))</f>
        <v/>
      </c>
      <c r="N3926" s="59" t="str">
        <f>IF(COUNTA(A3926:G3926)=0,"",IF(A3926="","N° facture manquant",IF(ISNA(MATCH(A3926,fa_num,0)),"Facture inconnue",IF(AND(B3926&lt;&gt;"",ISNA(MATCH(B3926,pr_code,0))),"Article inconnu",IF(H3926="","Désignation manquante",IF(OR(NOT(ISNUMBER(D3926)),N(D3926)&lt;=0),"Quantité invalide",IF(J3926="","Prix manquant",IF(OR(NOT(ISNUMBER(J3926)),N(J3926)&lt;0),"Prix invalide",IF(OR(AND(F3926&lt;&gt;"",NOT(ISNUMBER(F3926))),N(F3926)&lt;0,N(F3926)&gt;1),"Remise invalide",IF(K3926="","Taux de TVA manquant",IF(NOT(ISNUMBER(K3926)),"Taux de TVA invalide",IF(COUNTIF(p_rates,K3926)=0,"Taux de TVA hors liste (Paramètres)",IF(N(O3926)&gt;25,"Au-delà de 25 lignes : non imprimée","OK")))))))))))))</f>
        <v/>
      </c>
      <c r="O3926" s="59" t="str">
        <f>IF(A3926="","",COUNTIF($A$6:A3926,A3926))</f>
        <v/>
      </c>
      <c r="P3926" s="62" t="str">
        <f>IF(A3926="","",A3926&amp;"|"&amp;O3926)</f>
        <v/>
      </c>
    </row>
    <row r="3927">
      <c r="A3927" s="60" t="n"/>
      <c r="B3927" s="63" t="n"/>
      <c r="C3927" s="63" t="n"/>
      <c r="D3927" s="67" t="n"/>
      <c r="E3927" s="68" t="n"/>
      <c r="F3927" s="69" t="n"/>
      <c r="G3927" s="70" t="n"/>
      <c r="H3927" s="62" t="str">
        <f>IF(COUNTA(A3927:G3927)=0,"",IF(C3927&lt;&gt;"",C3927,IF(B3927="","",IFERROR(INDEX(pr_des,MATCH(B3927,pr_code,0))&amp;"",""))))</f>
        <v/>
      </c>
      <c r="I3927" s="59" t="str">
        <f>IF(B3927="","",IFERROR(INDEX(pr_unit,MATCH(B3927,pr_code,0))&amp;"",""))</f>
        <v/>
      </c>
      <c r="J3927" s="65" t="str">
        <f>IF(COUNTA(A3927:G3927)=0,"",IF(E3927&lt;&gt;"",E3927,IF(B3927="","",IFERROR(IF(INDEX(pr_price,MATCH(B3927,pr_code,0))="","",INDEX(pr_price,MATCH(B3927,pr_code,0))),""))))</f>
        <v/>
      </c>
      <c r="K3927" s="71" t="str">
        <f>IF(COUNTA(A3927:G3927)=0,"",IF(G3927&lt;&gt;"",G3927,IF(B3927="","",IFERROR(IF(INDEX(pr_rate,MATCH(B3927,pr_code,0))="","",INDEX(pr_rate,MATCH(B3927,pr_code,0))),""))))</f>
        <v/>
      </c>
      <c r="L3927" s="65" t="str">
        <f>IF(COUNTA(A3927:G3927)=0,"",IF(AND(ISNUMBER(D3927),ISNUMBER(J3927)),ROUND(D3927*J3927*(1-N(F3927)),2),0))</f>
        <v/>
      </c>
      <c r="M3927" s="62" t="str">
        <f>IF(A3927="","",IFERROR(INDEX(fa_cname,MATCH(A3927,fa_num,0))&amp;"",""))</f>
        <v/>
      </c>
      <c r="N3927" s="59" t="str">
        <f>IF(COUNTA(A3927:G3927)=0,"",IF(A3927="","N° facture manquant",IF(ISNA(MATCH(A3927,fa_num,0)),"Facture inconnue",IF(AND(B3927&lt;&gt;"",ISNA(MATCH(B3927,pr_code,0))),"Article inconnu",IF(H3927="","Désignation manquante",IF(OR(NOT(ISNUMBER(D3927)),N(D3927)&lt;=0),"Quantité invalide",IF(J3927="","Prix manquant",IF(OR(NOT(ISNUMBER(J3927)),N(J3927)&lt;0),"Prix invalide",IF(OR(AND(F3927&lt;&gt;"",NOT(ISNUMBER(F3927))),N(F3927)&lt;0,N(F3927)&gt;1),"Remise invalide",IF(K3927="","Taux de TVA manquant",IF(NOT(ISNUMBER(K3927)),"Taux de TVA invalide",IF(COUNTIF(p_rates,K3927)=0,"Taux de TVA hors liste (Paramètres)",IF(N(O3927)&gt;25,"Au-delà de 25 lignes : non imprimée","OK")))))))))))))</f>
        <v/>
      </c>
      <c r="O3927" s="59" t="str">
        <f>IF(A3927="","",COUNTIF($A$6:A3927,A3927))</f>
        <v/>
      </c>
      <c r="P3927" s="62" t="str">
        <f>IF(A3927="","",A3927&amp;"|"&amp;O3927)</f>
        <v/>
      </c>
    </row>
    <row r="3928">
      <c r="A3928" s="60" t="n"/>
      <c r="B3928" s="63" t="n"/>
      <c r="C3928" s="63" t="n"/>
      <c r="D3928" s="67" t="n"/>
      <c r="E3928" s="68" t="n"/>
      <c r="F3928" s="69" t="n"/>
      <c r="G3928" s="70" t="n"/>
      <c r="H3928" s="62" t="str">
        <f>IF(COUNTA(A3928:G3928)=0,"",IF(C3928&lt;&gt;"",C3928,IF(B3928="","",IFERROR(INDEX(pr_des,MATCH(B3928,pr_code,0))&amp;"",""))))</f>
        <v/>
      </c>
      <c r="I3928" s="59" t="str">
        <f>IF(B3928="","",IFERROR(INDEX(pr_unit,MATCH(B3928,pr_code,0))&amp;"",""))</f>
        <v/>
      </c>
      <c r="J3928" s="65" t="str">
        <f>IF(COUNTA(A3928:G3928)=0,"",IF(E3928&lt;&gt;"",E3928,IF(B3928="","",IFERROR(IF(INDEX(pr_price,MATCH(B3928,pr_code,0))="","",INDEX(pr_price,MATCH(B3928,pr_code,0))),""))))</f>
        <v/>
      </c>
      <c r="K3928" s="71" t="str">
        <f>IF(COUNTA(A3928:G3928)=0,"",IF(G3928&lt;&gt;"",G3928,IF(B3928="","",IFERROR(IF(INDEX(pr_rate,MATCH(B3928,pr_code,0))="","",INDEX(pr_rate,MATCH(B3928,pr_code,0))),""))))</f>
        <v/>
      </c>
      <c r="L3928" s="65" t="str">
        <f>IF(COUNTA(A3928:G3928)=0,"",IF(AND(ISNUMBER(D3928),ISNUMBER(J3928)),ROUND(D3928*J3928*(1-N(F3928)),2),0))</f>
        <v/>
      </c>
      <c r="M3928" s="62" t="str">
        <f>IF(A3928="","",IFERROR(INDEX(fa_cname,MATCH(A3928,fa_num,0))&amp;"",""))</f>
        <v/>
      </c>
      <c r="N3928" s="59" t="str">
        <f>IF(COUNTA(A3928:G3928)=0,"",IF(A3928="","N° facture manquant",IF(ISNA(MATCH(A3928,fa_num,0)),"Facture inconnue",IF(AND(B3928&lt;&gt;"",ISNA(MATCH(B3928,pr_code,0))),"Article inconnu",IF(H3928="","Désignation manquante",IF(OR(NOT(ISNUMBER(D3928)),N(D3928)&lt;=0),"Quantité invalide",IF(J3928="","Prix manquant",IF(OR(NOT(ISNUMBER(J3928)),N(J3928)&lt;0),"Prix invalide",IF(OR(AND(F3928&lt;&gt;"",NOT(ISNUMBER(F3928))),N(F3928)&lt;0,N(F3928)&gt;1),"Remise invalide",IF(K3928="","Taux de TVA manquant",IF(NOT(ISNUMBER(K3928)),"Taux de TVA invalide",IF(COUNTIF(p_rates,K3928)=0,"Taux de TVA hors liste (Paramètres)",IF(N(O3928)&gt;25,"Au-delà de 25 lignes : non imprimée","OK")))))))))))))</f>
        <v/>
      </c>
      <c r="O3928" s="59" t="str">
        <f>IF(A3928="","",COUNTIF($A$6:A3928,A3928))</f>
        <v/>
      </c>
      <c r="P3928" s="62" t="str">
        <f>IF(A3928="","",A3928&amp;"|"&amp;O3928)</f>
        <v/>
      </c>
    </row>
    <row r="3929">
      <c r="A3929" s="60" t="n"/>
      <c r="B3929" s="63" t="n"/>
      <c r="C3929" s="63" t="n"/>
      <c r="D3929" s="67" t="n"/>
      <c r="E3929" s="68" t="n"/>
      <c r="F3929" s="69" t="n"/>
      <c r="G3929" s="70" t="n"/>
      <c r="H3929" s="62" t="str">
        <f>IF(COUNTA(A3929:G3929)=0,"",IF(C3929&lt;&gt;"",C3929,IF(B3929="","",IFERROR(INDEX(pr_des,MATCH(B3929,pr_code,0))&amp;"",""))))</f>
        <v/>
      </c>
      <c r="I3929" s="59" t="str">
        <f>IF(B3929="","",IFERROR(INDEX(pr_unit,MATCH(B3929,pr_code,0))&amp;"",""))</f>
        <v/>
      </c>
      <c r="J3929" s="65" t="str">
        <f>IF(COUNTA(A3929:G3929)=0,"",IF(E3929&lt;&gt;"",E3929,IF(B3929="","",IFERROR(IF(INDEX(pr_price,MATCH(B3929,pr_code,0))="","",INDEX(pr_price,MATCH(B3929,pr_code,0))),""))))</f>
        <v/>
      </c>
      <c r="K3929" s="71" t="str">
        <f>IF(COUNTA(A3929:G3929)=0,"",IF(G3929&lt;&gt;"",G3929,IF(B3929="","",IFERROR(IF(INDEX(pr_rate,MATCH(B3929,pr_code,0))="","",INDEX(pr_rate,MATCH(B3929,pr_code,0))),""))))</f>
        <v/>
      </c>
      <c r="L3929" s="65" t="str">
        <f>IF(COUNTA(A3929:G3929)=0,"",IF(AND(ISNUMBER(D3929),ISNUMBER(J3929)),ROUND(D3929*J3929*(1-N(F3929)),2),0))</f>
        <v/>
      </c>
      <c r="M3929" s="62" t="str">
        <f>IF(A3929="","",IFERROR(INDEX(fa_cname,MATCH(A3929,fa_num,0))&amp;"",""))</f>
        <v/>
      </c>
      <c r="N3929" s="59" t="str">
        <f>IF(COUNTA(A3929:G3929)=0,"",IF(A3929="","N° facture manquant",IF(ISNA(MATCH(A3929,fa_num,0)),"Facture inconnue",IF(AND(B3929&lt;&gt;"",ISNA(MATCH(B3929,pr_code,0))),"Article inconnu",IF(H3929="","Désignation manquante",IF(OR(NOT(ISNUMBER(D3929)),N(D3929)&lt;=0),"Quantité invalide",IF(J3929="","Prix manquant",IF(OR(NOT(ISNUMBER(J3929)),N(J3929)&lt;0),"Prix invalide",IF(OR(AND(F3929&lt;&gt;"",NOT(ISNUMBER(F3929))),N(F3929)&lt;0,N(F3929)&gt;1),"Remise invalide",IF(K3929="","Taux de TVA manquant",IF(NOT(ISNUMBER(K3929)),"Taux de TVA invalide",IF(COUNTIF(p_rates,K3929)=0,"Taux de TVA hors liste (Paramètres)",IF(N(O3929)&gt;25,"Au-delà de 25 lignes : non imprimée","OK")))))))))))))</f>
        <v/>
      </c>
      <c r="O3929" s="59" t="str">
        <f>IF(A3929="","",COUNTIF($A$6:A3929,A3929))</f>
        <v/>
      </c>
      <c r="P3929" s="62" t="str">
        <f>IF(A3929="","",A3929&amp;"|"&amp;O3929)</f>
        <v/>
      </c>
    </row>
    <row r="3930">
      <c r="A3930" s="60" t="n"/>
      <c r="B3930" s="63" t="n"/>
      <c r="C3930" s="63" t="n"/>
      <c r="D3930" s="67" t="n"/>
      <c r="E3930" s="68" t="n"/>
      <c r="F3930" s="69" t="n"/>
      <c r="G3930" s="70" t="n"/>
      <c r="H3930" s="62" t="str">
        <f>IF(COUNTA(A3930:G3930)=0,"",IF(C3930&lt;&gt;"",C3930,IF(B3930="","",IFERROR(INDEX(pr_des,MATCH(B3930,pr_code,0))&amp;"",""))))</f>
        <v/>
      </c>
      <c r="I3930" s="59" t="str">
        <f>IF(B3930="","",IFERROR(INDEX(pr_unit,MATCH(B3930,pr_code,0))&amp;"",""))</f>
        <v/>
      </c>
      <c r="J3930" s="65" t="str">
        <f>IF(COUNTA(A3930:G3930)=0,"",IF(E3930&lt;&gt;"",E3930,IF(B3930="","",IFERROR(IF(INDEX(pr_price,MATCH(B3930,pr_code,0))="","",INDEX(pr_price,MATCH(B3930,pr_code,0))),""))))</f>
        <v/>
      </c>
      <c r="K3930" s="71" t="str">
        <f>IF(COUNTA(A3930:G3930)=0,"",IF(G3930&lt;&gt;"",G3930,IF(B3930="","",IFERROR(IF(INDEX(pr_rate,MATCH(B3930,pr_code,0))="","",INDEX(pr_rate,MATCH(B3930,pr_code,0))),""))))</f>
        <v/>
      </c>
      <c r="L3930" s="65" t="str">
        <f>IF(COUNTA(A3930:G3930)=0,"",IF(AND(ISNUMBER(D3930),ISNUMBER(J3930)),ROUND(D3930*J3930*(1-N(F3930)),2),0))</f>
        <v/>
      </c>
      <c r="M3930" s="62" t="str">
        <f>IF(A3930="","",IFERROR(INDEX(fa_cname,MATCH(A3930,fa_num,0))&amp;"",""))</f>
        <v/>
      </c>
      <c r="N3930" s="59" t="str">
        <f>IF(COUNTA(A3930:G3930)=0,"",IF(A3930="","N° facture manquant",IF(ISNA(MATCH(A3930,fa_num,0)),"Facture inconnue",IF(AND(B3930&lt;&gt;"",ISNA(MATCH(B3930,pr_code,0))),"Article inconnu",IF(H3930="","Désignation manquante",IF(OR(NOT(ISNUMBER(D3930)),N(D3930)&lt;=0),"Quantité invalide",IF(J3930="","Prix manquant",IF(OR(NOT(ISNUMBER(J3930)),N(J3930)&lt;0),"Prix invalide",IF(OR(AND(F3930&lt;&gt;"",NOT(ISNUMBER(F3930))),N(F3930)&lt;0,N(F3930)&gt;1),"Remise invalide",IF(K3930="","Taux de TVA manquant",IF(NOT(ISNUMBER(K3930)),"Taux de TVA invalide",IF(COUNTIF(p_rates,K3930)=0,"Taux de TVA hors liste (Paramètres)",IF(N(O3930)&gt;25,"Au-delà de 25 lignes : non imprimée","OK")))))))))))))</f>
        <v/>
      </c>
      <c r="O3930" s="59" t="str">
        <f>IF(A3930="","",COUNTIF($A$6:A3930,A3930))</f>
        <v/>
      </c>
      <c r="P3930" s="62" t="str">
        <f>IF(A3930="","",A3930&amp;"|"&amp;O3930)</f>
        <v/>
      </c>
    </row>
    <row r="3931">
      <c r="A3931" s="60" t="n"/>
      <c r="B3931" s="63" t="n"/>
      <c r="C3931" s="63" t="n"/>
      <c r="D3931" s="67" t="n"/>
      <c r="E3931" s="68" t="n"/>
      <c r="F3931" s="69" t="n"/>
      <c r="G3931" s="70" t="n"/>
      <c r="H3931" s="62" t="str">
        <f>IF(COUNTA(A3931:G3931)=0,"",IF(C3931&lt;&gt;"",C3931,IF(B3931="","",IFERROR(INDEX(pr_des,MATCH(B3931,pr_code,0))&amp;"",""))))</f>
        <v/>
      </c>
      <c r="I3931" s="59" t="str">
        <f>IF(B3931="","",IFERROR(INDEX(pr_unit,MATCH(B3931,pr_code,0))&amp;"",""))</f>
        <v/>
      </c>
      <c r="J3931" s="65" t="str">
        <f>IF(COUNTA(A3931:G3931)=0,"",IF(E3931&lt;&gt;"",E3931,IF(B3931="","",IFERROR(IF(INDEX(pr_price,MATCH(B3931,pr_code,0))="","",INDEX(pr_price,MATCH(B3931,pr_code,0))),""))))</f>
        <v/>
      </c>
      <c r="K3931" s="71" t="str">
        <f>IF(COUNTA(A3931:G3931)=0,"",IF(G3931&lt;&gt;"",G3931,IF(B3931="","",IFERROR(IF(INDEX(pr_rate,MATCH(B3931,pr_code,0))="","",INDEX(pr_rate,MATCH(B3931,pr_code,0))),""))))</f>
        <v/>
      </c>
      <c r="L3931" s="65" t="str">
        <f>IF(COUNTA(A3931:G3931)=0,"",IF(AND(ISNUMBER(D3931),ISNUMBER(J3931)),ROUND(D3931*J3931*(1-N(F3931)),2),0))</f>
        <v/>
      </c>
      <c r="M3931" s="62" t="str">
        <f>IF(A3931="","",IFERROR(INDEX(fa_cname,MATCH(A3931,fa_num,0))&amp;"",""))</f>
        <v/>
      </c>
      <c r="N3931" s="59" t="str">
        <f>IF(COUNTA(A3931:G3931)=0,"",IF(A3931="","N° facture manquant",IF(ISNA(MATCH(A3931,fa_num,0)),"Facture inconnue",IF(AND(B3931&lt;&gt;"",ISNA(MATCH(B3931,pr_code,0))),"Article inconnu",IF(H3931="","Désignation manquante",IF(OR(NOT(ISNUMBER(D3931)),N(D3931)&lt;=0),"Quantité invalide",IF(J3931="","Prix manquant",IF(OR(NOT(ISNUMBER(J3931)),N(J3931)&lt;0),"Prix invalide",IF(OR(AND(F3931&lt;&gt;"",NOT(ISNUMBER(F3931))),N(F3931)&lt;0,N(F3931)&gt;1),"Remise invalide",IF(K3931="","Taux de TVA manquant",IF(NOT(ISNUMBER(K3931)),"Taux de TVA invalide",IF(COUNTIF(p_rates,K3931)=0,"Taux de TVA hors liste (Paramètres)",IF(N(O3931)&gt;25,"Au-delà de 25 lignes : non imprimée","OK")))))))))))))</f>
        <v/>
      </c>
      <c r="O3931" s="59" t="str">
        <f>IF(A3931="","",COUNTIF($A$6:A3931,A3931))</f>
        <v/>
      </c>
      <c r="P3931" s="62" t="str">
        <f>IF(A3931="","",A3931&amp;"|"&amp;O3931)</f>
        <v/>
      </c>
    </row>
    <row r="3932">
      <c r="A3932" s="60" t="n"/>
      <c r="B3932" s="63" t="n"/>
      <c r="C3932" s="63" t="n"/>
      <c r="D3932" s="67" t="n"/>
      <c r="E3932" s="68" t="n"/>
      <c r="F3932" s="69" t="n"/>
      <c r="G3932" s="70" t="n"/>
      <c r="H3932" s="62" t="str">
        <f>IF(COUNTA(A3932:G3932)=0,"",IF(C3932&lt;&gt;"",C3932,IF(B3932="","",IFERROR(INDEX(pr_des,MATCH(B3932,pr_code,0))&amp;"",""))))</f>
        <v/>
      </c>
      <c r="I3932" s="59" t="str">
        <f>IF(B3932="","",IFERROR(INDEX(pr_unit,MATCH(B3932,pr_code,0))&amp;"",""))</f>
        <v/>
      </c>
      <c r="J3932" s="65" t="str">
        <f>IF(COUNTA(A3932:G3932)=0,"",IF(E3932&lt;&gt;"",E3932,IF(B3932="","",IFERROR(IF(INDEX(pr_price,MATCH(B3932,pr_code,0))="","",INDEX(pr_price,MATCH(B3932,pr_code,0))),""))))</f>
        <v/>
      </c>
      <c r="K3932" s="71" t="str">
        <f>IF(COUNTA(A3932:G3932)=0,"",IF(G3932&lt;&gt;"",G3932,IF(B3932="","",IFERROR(IF(INDEX(pr_rate,MATCH(B3932,pr_code,0))="","",INDEX(pr_rate,MATCH(B3932,pr_code,0))),""))))</f>
        <v/>
      </c>
      <c r="L3932" s="65" t="str">
        <f>IF(COUNTA(A3932:G3932)=0,"",IF(AND(ISNUMBER(D3932),ISNUMBER(J3932)),ROUND(D3932*J3932*(1-N(F3932)),2),0))</f>
        <v/>
      </c>
      <c r="M3932" s="62" t="str">
        <f>IF(A3932="","",IFERROR(INDEX(fa_cname,MATCH(A3932,fa_num,0))&amp;"",""))</f>
        <v/>
      </c>
      <c r="N3932" s="59" t="str">
        <f>IF(COUNTA(A3932:G3932)=0,"",IF(A3932="","N° facture manquant",IF(ISNA(MATCH(A3932,fa_num,0)),"Facture inconnue",IF(AND(B3932&lt;&gt;"",ISNA(MATCH(B3932,pr_code,0))),"Article inconnu",IF(H3932="","Désignation manquante",IF(OR(NOT(ISNUMBER(D3932)),N(D3932)&lt;=0),"Quantité invalide",IF(J3932="","Prix manquant",IF(OR(NOT(ISNUMBER(J3932)),N(J3932)&lt;0),"Prix invalide",IF(OR(AND(F3932&lt;&gt;"",NOT(ISNUMBER(F3932))),N(F3932)&lt;0,N(F3932)&gt;1),"Remise invalide",IF(K3932="","Taux de TVA manquant",IF(NOT(ISNUMBER(K3932)),"Taux de TVA invalide",IF(COUNTIF(p_rates,K3932)=0,"Taux de TVA hors liste (Paramètres)",IF(N(O3932)&gt;25,"Au-delà de 25 lignes : non imprimée","OK")))))))))))))</f>
        <v/>
      </c>
      <c r="O3932" s="59" t="str">
        <f>IF(A3932="","",COUNTIF($A$6:A3932,A3932))</f>
        <v/>
      </c>
      <c r="P3932" s="62" t="str">
        <f>IF(A3932="","",A3932&amp;"|"&amp;O3932)</f>
        <v/>
      </c>
    </row>
    <row r="3933">
      <c r="A3933" s="60" t="n"/>
      <c r="B3933" s="63" t="n"/>
      <c r="C3933" s="63" t="n"/>
      <c r="D3933" s="67" t="n"/>
      <c r="E3933" s="68" t="n"/>
      <c r="F3933" s="69" t="n"/>
      <c r="G3933" s="70" t="n"/>
      <c r="H3933" s="62" t="str">
        <f>IF(COUNTA(A3933:G3933)=0,"",IF(C3933&lt;&gt;"",C3933,IF(B3933="","",IFERROR(INDEX(pr_des,MATCH(B3933,pr_code,0))&amp;"",""))))</f>
        <v/>
      </c>
      <c r="I3933" s="59" t="str">
        <f>IF(B3933="","",IFERROR(INDEX(pr_unit,MATCH(B3933,pr_code,0))&amp;"",""))</f>
        <v/>
      </c>
      <c r="J3933" s="65" t="str">
        <f>IF(COUNTA(A3933:G3933)=0,"",IF(E3933&lt;&gt;"",E3933,IF(B3933="","",IFERROR(IF(INDEX(pr_price,MATCH(B3933,pr_code,0))="","",INDEX(pr_price,MATCH(B3933,pr_code,0))),""))))</f>
        <v/>
      </c>
      <c r="K3933" s="71" t="str">
        <f>IF(COUNTA(A3933:G3933)=0,"",IF(G3933&lt;&gt;"",G3933,IF(B3933="","",IFERROR(IF(INDEX(pr_rate,MATCH(B3933,pr_code,0))="","",INDEX(pr_rate,MATCH(B3933,pr_code,0))),""))))</f>
        <v/>
      </c>
      <c r="L3933" s="65" t="str">
        <f>IF(COUNTA(A3933:G3933)=0,"",IF(AND(ISNUMBER(D3933),ISNUMBER(J3933)),ROUND(D3933*J3933*(1-N(F3933)),2),0))</f>
        <v/>
      </c>
      <c r="M3933" s="62" t="str">
        <f>IF(A3933="","",IFERROR(INDEX(fa_cname,MATCH(A3933,fa_num,0))&amp;"",""))</f>
        <v/>
      </c>
      <c r="N3933" s="59" t="str">
        <f>IF(COUNTA(A3933:G3933)=0,"",IF(A3933="","N° facture manquant",IF(ISNA(MATCH(A3933,fa_num,0)),"Facture inconnue",IF(AND(B3933&lt;&gt;"",ISNA(MATCH(B3933,pr_code,0))),"Article inconnu",IF(H3933="","Désignation manquante",IF(OR(NOT(ISNUMBER(D3933)),N(D3933)&lt;=0),"Quantité invalide",IF(J3933="","Prix manquant",IF(OR(NOT(ISNUMBER(J3933)),N(J3933)&lt;0),"Prix invalide",IF(OR(AND(F3933&lt;&gt;"",NOT(ISNUMBER(F3933))),N(F3933)&lt;0,N(F3933)&gt;1),"Remise invalide",IF(K3933="","Taux de TVA manquant",IF(NOT(ISNUMBER(K3933)),"Taux de TVA invalide",IF(COUNTIF(p_rates,K3933)=0,"Taux de TVA hors liste (Paramètres)",IF(N(O3933)&gt;25,"Au-delà de 25 lignes : non imprimée","OK")))))))))))))</f>
        <v/>
      </c>
      <c r="O3933" s="59" t="str">
        <f>IF(A3933="","",COUNTIF($A$6:A3933,A3933))</f>
        <v/>
      </c>
      <c r="P3933" s="62" t="str">
        <f>IF(A3933="","",A3933&amp;"|"&amp;O3933)</f>
        <v/>
      </c>
    </row>
    <row r="3934">
      <c r="A3934" s="60" t="n"/>
      <c r="B3934" s="63" t="n"/>
      <c r="C3934" s="63" t="n"/>
      <c r="D3934" s="67" t="n"/>
      <c r="E3934" s="68" t="n"/>
      <c r="F3934" s="69" t="n"/>
      <c r="G3934" s="70" t="n"/>
      <c r="H3934" s="62" t="str">
        <f>IF(COUNTA(A3934:G3934)=0,"",IF(C3934&lt;&gt;"",C3934,IF(B3934="","",IFERROR(INDEX(pr_des,MATCH(B3934,pr_code,0))&amp;"",""))))</f>
        <v/>
      </c>
      <c r="I3934" s="59" t="str">
        <f>IF(B3934="","",IFERROR(INDEX(pr_unit,MATCH(B3934,pr_code,0))&amp;"",""))</f>
        <v/>
      </c>
      <c r="J3934" s="65" t="str">
        <f>IF(COUNTA(A3934:G3934)=0,"",IF(E3934&lt;&gt;"",E3934,IF(B3934="","",IFERROR(IF(INDEX(pr_price,MATCH(B3934,pr_code,0))="","",INDEX(pr_price,MATCH(B3934,pr_code,0))),""))))</f>
        <v/>
      </c>
      <c r="K3934" s="71" t="str">
        <f>IF(COUNTA(A3934:G3934)=0,"",IF(G3934&lt;&gt;"",G3934,IF(B3934="","",IFERROR(IF(INDEX(pr_rate,MATCH(B3934,pr_code,0))="","",INDEX(pr_rate,MATCH(B3934,pr_code,0))),""))))</f>
        <v/>
      </c>
      <c r="L3934" s="65" t="str">
        <f>IF(COUNTA(A3934:G3934)=0,"",IF(AND(ISNUMBER(D3934),ISNUMBER(J3934)),ROUND(D3934*J3934*(1-N(F3934)),2),0))</f>
        <v/>
      </c>
      <c r="M3934" s="62" t="str">
        <f>IF(A3934="","",IFERROR(INDEX(fa_cname,MATCH(A3934,fa_num,0))&amp;"",""))</f>
        <v/>
      </c>
      <c r="N3934" s="59" t="str">
        <f>IF(COUNTA(A3934:G3934)=0,"",IF(A3934="","N° facture manquant",IF(ISNA(MATCH(A3934,fa_num,0)),"Facture inconnue",IF(AND(B3934&lt;&gt;"",ISNA(MATCH(B3934,pr_code,0))),"Article inconnu",IF(H3934="","Désignation manquante",IF(OR(NOT(ISNUMBER(D3934)),N(D3934)&lt;=0),"Quantité invalide",IF(J3934="","Prix manquant",IF(OR(NOT(ISNUMBER(J3934)),N(J3934)&lt;0),"Prix invalide",IF(OR(AND(F3934&lt;&gt;"",NOT(ISNUMBER(F3934))),N(F3934)&lt;0,N(F3934)&gt;1),"Remise invalide",IF(K3934="","Taux de TVA manquant",IF(NOT(ISNUMBER(K3934)),"Taux de TVA invalide",IF(COUNTIF(p_rates,K3934)=0,"Taux de TVA hors liste (Paramètres)",IF(N(O3934)&gt;25,"Au-delà de 25 lignes : non imprimée","OK")))))))))))))</f>
        <v/>
      </c>
      <c r="O3934" s="59" t="str">
        <f>IF(A3934="","",COUNTIF($A$6:A3934,A3934))</f>
        <v/>
      </c>
      <c r="P3934" s="62" t="str">
        <f>IF(A3934="","",A3934&amp;"|"&amp;O3934)</f>
        <v/>
      </c>
    </row>
    <row r="3935">
      <c r="A3935" s="60" t="n"/>
      <c r="B3935" s="63" t="n"/>
      <c r="C3935" s="63" t="n"/>
      <c r="D3935" s="67" t="n"/>
      <c r="E3935" s="68" t="n"/>
      <c r="F3935" s="69" t="n"/>
      <c r="G3935" s="70" t="n"/>
      <c r="H3935" s="62" t="str">
        <f>IF(COUNTA(A3935:G3935)=0,"",IF(C3935&lt;&gt;"",C3935,IF(B3935="","",IFERROR(INDEX(pr_des,MATCH(B3935,pr_code,0))&amp;"",""))))</f>
        <v/>
      </c>
      <c r="I3935" s="59" t="str">
        <f>IF(B3935="","",IFERROR(INDEX(pr_unit,MATCH(B3935,pr_code,0))&amp;"",""))</f>
        <v/>
      </c>
      <c r="J3935" s="65" t="str">
        <f>IF(COUNTA(A3935:G3935)=0,"",IF(E3935&lt;&gt;"",E3935,IF(B3935="","",IFERROR(IF(INDEX(pr_price,MATCH(B3935,pr_code,0))="","",INDEX(pr_price,MATCH(B3935,pr_code,0))),""))))</f>
        <v/>
      </c>
      <c r="K3935" s="71" t="str">
        <f>IF(COUNTA(A3935:G3935)=0,"",IF(G3935&lt;&gt;"",G3935,IF(B3935="","",IFERROR(IF(INDEX(pr_rate,MATCH(B3935,pr_code,0))="","",INDEX(pr_rate,MATCH(B3935,pr_code,0))),""))))</f>
        <v/>
      </c>
      <c r="L3935" s="65" t="str">
        <f>IF(COUNTA(A3935:G3935)=0,"",IF(AND(ISNUMBER(D3935),ISNUMBER(J3935)),ROUND(D3935*J3935*(1-N(F3935)),2),0))</f>
        <v/>
      </c>
      <c r="M3935" s="62" t="str">
        <f>IF(A3935="","",IFERROR(INDEX(fa_cname,MATCH(A3935,fa_num,0))&amp;"",""))</f>
        <v/>
      </c>
      <c r="N3935" s="59" t="str">
        <f>IF(COUNTA(A3935:G3935)=0,"",IF(A3935="","N° facture manquant",IF(ISNA(MATCH(A3935,fa_num,0)),"Facture inconnue",IF(AND(B3935&lt;&gt;"",ISNA(MATCH(B3935,pr_code,0))),"Article inconnu",IF(H3935="","Désignation manquante",IF(OR(NOT(ISNUMBER(D3935)),N(D3935)&lt;=0),"Quantité invalide",IF(J3935="","Prix manquant",IF(OR(NOT(ISNUMBER(J3935)),N(J3935)&lt;0),"Prix invalide",IF(OR(AND(F3935&lt;&gt;"",NOT(ISNUMBER(F3935))),N(F3935)&lt;0,N(F3935)&gt;1),"Remise invalide",IF(K3935="","Taux de TVA manquant",IF(NOT(ISNUMBER(K3935)),"Taux de TVA invalide",IF(COUNTIF(p_rates,K3935)=0,"Taux de TVA hors liste (Paramètres)",IF(N(O3935)&gt;25,"Au-delà de 25 lignes : non imprimée","OK")))))))))))))</f>
        <v/>
      </c>
      <c r="O3935" s="59" t="str">
        <f>IF(A3935="","",COUNTIF($A$6:A3935,A3935))</f>
        <v/>
      </c>
      <c r="P3935" s="62" t="str">
        <f>IF(A3935="","",A3935&amp;"|"&amp;O3935)</f>
        <v/>
      </c>
    </row>
    <row r="3936">
      <c r="A3936" s="60" t="n"/>
      <c r="B3936" s="63" t="n"/>
      <c r="C3936" s="63" t="n"/>
      <c r="D3936" s="67" t="n"/>
      <c r="E3936" s="68" t="n"/>
      <c r="F3936" s="69" t="n"/>
      <c r="G3936" s="70" t="n"/>
      <c r="H3936" s="62" t="str">
        <f>IF(COUNTA(A3936:G3936)=0,"",IF(C3936&lt;&gt;"",C3936,IF(B3936="","",IFERROR(INDEX(pr_des,MATCH(B3936,pr_code,0))&amp;"",""))))</f>
        <v/>
      </c>
      <c r="I3936" s="59" t="str">
        <f>IF(B3936="","",IFERROR(INDEX(pr_unit,MATCH(B3936,pr_code,0))&amp;"",""))</f>
        <v/>
      </c>
      <c r="J3936" s="65" t="str">
        <f>IF(COUNTA(A3936:G3936)=0,"",IF(E3936&lt;&gt;"",E3936,IF(B3936="","",IFERROR(IF(INDEX(pr_price,MATCH(B3936,pr_code,0))="","",INDEX(pr_price,MATCH(B3936,pr_code,0))),""))))</f>
        <v/>
      </c>
      <c r="K3936" s="71" t="str">
        <f>IF(COUNTA(A3936:G3936)=0,"",IF(G3936&lt;&gt;"",G3936,IF(B3936="","",IFERROR(IF(INDEX(pr_rate,MATCH(B3936,pr_code,0))="","",INDEX(pr_rate,MATCH(B3936,pr_code,0))),""))))</f>
        <v/>
      </c>
      <c r="L3936" s="65" t="str">
        <f>IF(COUNTA(A3936:G3936)=0,"",IF(AND(ISNUMBER(D3936),ISNUMBER(J3936)),ROUND(D3936*J3936*(1-N(F3936)),2),0))</f>
        <v/>
      </c>
      <c r="M3936" s="62" t="str">
        <f>IF(A3936="","",IFERROR(INDEX(fa_cname,MATCH(A3936,fa_num,0))&amp;"",""))</f>
        <v/>
      </c>
      <c r="N3936" s="59" t="str">
        <f>IF(COUNTA(A3936:G3936)=0,"",IF(A3936="","N° facture manquant",IF(ISNA(MATCH(A3936,fa_num,0)),"Facture inconnue",IF(AND(B3936&lt;&gt;"",ISNA(MATCH(B3936,pr_code,0))),"Article inconnu",IF(H3936="","Désignation manquante",IF(OR(NOT(ISNUMBER(D3936)),N(D3936)&lt;=0),"Quantité invalide",IF(J3936="","Prix manquant",IF(OR(NOT(ISNUMBER(J3936)),N(J3936)&lt;0),"Prix invalide",IF(OR(AND(F3936&lt;&gt;"",NOT(ISNUMBER(F3936))),N(F3936)&lt;0,N(F3936)&gt;1),"Remise invalide",IF(K3936="","Taux de TVA manquant",IF(NOT(ISNUMBER(K3936)),"Taux de TVA invalide",IF(COUNTIF(p_rates,K3936)=0,"Taux de TVA hors liste (Paramètres)",IF(N(O3936)&gt;25,"Au-delà de 25 lignes : non imprimée","OK")))))))))))))</f>
        <v/>
      </c>
      <c r="O3936" s="59" t="str">
        <f>IF(A3936="","",COUNTIF($A$6:A3936,A3936))</f>
        <v/>
      </c>
      <c r="P3936" s="62" t="str">
        <f>IF(A3936="","",A3936&amp;"|"&amp;O3936)</f>
        <v/>
      </c>
    </row>
    <row r="3937">
      <c r="A3937" s="60" t="n"/>
      <c r="B3937" s="63" t="n"/>
      <c r="C3937" s="63" t="n"/>
      <c r="D3937" s="67" t="n"/>
      <c r="E3937" s="68" t="n"/>
      <c r="F3937" s="69" t="n"/>
      <c r="G3937" s="70" t="n"/>
      <c r="H3937" s="62" t="str">
        <f>IF(COUNTA(A3937:G3937)=0,"",IF(C3937&lt;&gt;"",C3937,IF(B3937="","",IFERROR(INDEX(pr_des,MATCH(B3937,pr_code,0))&amp;"",""))))</f>
        <v/>
      </c>
      <c r="I3937" s="59" t="str">
        <f>IF(B3937="","",IFERROR(INDEX(pr_unit,MATCH(B3937,pr_code,0))&amp;"",""))</f>
        <v/>
      </c>
      <c r="J3937" s="65" t="str">
        <f>IF(COUNTA(A3937:G3937)=0,"",IF(E3937&lt;&gt;"",E3937,IF(B3937="","",IFERROR(IF(INDEX(pr_price,MATCH(B3937,pr_code,0))="","",INDEX(pr_price,MATCH(B3937,pr_code,0))),""))))</f>
        <v/>
      </c>
      <c r="K3937" s="71" t="str">
        <f>IF(COUNTA(A3937:G3937)=0,"",IF(G3937&lt;&gt;"",G3937,IF(B3937="","",IFERROR(IF(INDEX(pr_rate,MATCH(B3937,pr_code,0))="","",INDEX(pr_rate,MATCH(B3937,pr_code,0))),""))))</f>
        <v/>
      </c>
      <c r="L3937" s="65" t="str">
        <f>IF(COUNTA(A3937:G3937)=0,"",IF(AND(ISNUMBER(D3937),ISNUMBER(J3937)),ROUND(D3937*J3937*(1-N(F3937)),2),0))</f>
        <v/>
      </c>
      <c r="M3937" s="62" t="str">
        <f>IF(A3937="","",IFERROR(INDEX(fa_cname,MATCH(A3937,fa_num,0))&amp;"",""))</f>
        <v/>
      </c>
      <c r="N3937" s="59" t="str">
        <f>IF(COUNTA(A3937:G3937)=0,"",IF(A3937="","N° facture manquant",IF(ISNA(MATCH(A3937,fa_num,0)),"Facture inconnue",IF(AND(B3937&lt;&gt;"",ISNA(MATCH(B3937,pr_code,0))),"Article inconnu",IF(H3937="","Désignation manquante",IF(OR(NOT(ISNUMBER(D3937)),N(D3937)&lt;=0),"Quantité invalide",IF(J3937="","Prix manquant",IF(OR(NOT(ISNUMBER(J3937)),N(J3937)&lt;0),"Prix invalide",IF(OR(AND(F3937&lt;&gt;"",NOT(ISNUMBER(F3937))),N(F3937)&lt;0,N(F3937)&gt;1),"Remise invalide",IF(K3937="","Taux de TVA manquant",IF(NOT(ISNUMBER(K3937)),"Taux de TVA invalide",IF(COUNTIF(p_rates,K3937)=0,"Taux de TVA hors liste (Paramètres)",IF(N(O3937)&gt;25,"Au-delà de 25 lignes : non imprimée","OK")))))))))))))</f>
        <v/>
      </c>
      <c r="O3937" s="59" t="str">
        <f>IF(A3937="","",COUNTIF($A$6:A3937,A3937))</f>
        <v/>
      </c>
      <c r="P3937" s="62" t="str">
        <f>IF(A3937="","",A3937&amp;"|"&amp;O3937)</f>
        <v/>
      </c>
    </row>
    <row r="3938">
      <c r="A3938" s="60" t="n"/>
      <c r="B3938" s="63" t="n"/>
      <c r="C3938" s="63" t="n"/>
      <c r="D3938" s="67" t="n"/>
      <c r="E3938" s="68" t="n"/>
      <c r="F3938" s="69" t="n"/>
      <c r="G3938" s="70" t="n"/>
      <c r="H3938" s="62" t="str">
        <f>IF(COUNTA(A3938:G3938)=0,"",IF(C3938&lt;&gt;"",C3938,IF(B3938="","",IFERROR(INDEX(pr_des,MATCH(B3938,pr_code,0))&amp;"",""))))</f>
        <v/>
      </c>
      <c r="I3938" s="59" t="str">
        <f>IF(B3938="","",IFERROR(INDEX(pr_unit,MATCH(B3938,pr_code,0))&amp;"",""))</f>
        <v/>
      </c>
      <c r="J3938" s="65" t="str">
        <f>IF(COUNTA(A3938:G3938)=0,"",IF(E3938&lt;&gt;"",E3938,IF(B3938="","",IFERROR(IF(INDEX(pr_price,MATCH(B3938,pr_code,0))="","",INDEX(pr_price,MATCH(B3938,pr_code,0))),""))))</f>
        <v/>
      </c>
      <c r="K3938" s="71" t="str">
        <f>IF(COUNTA(A3938:G3938)=0,"",IF(G3938&lt;&gt;"",G3938,IF(B3938="","",IFERROR(IF(INDEX(pr_rate,MATCH(B3938,pr_code,0))="","",INDEX(pr_rate,MATCH(B3938,pr_code,0))),""))))</f>
        <v/>
      </c>
      <c r="L3938" s="65" t="str">
        <f>IF(COUNTA(A3938:G3938)=0,"",IF(AND(ISNUMBER(D3938),ISNUMBER(J3938)),ROUND(D3938*J3938*(1-N(F3938)),2),0))</f>
        <v/>
      </c>
      <c r="M3938" s="62" t="str">
        <f>IF(A3938="","",IFERROR(INDEX(fa_cname,MATCH(A3938,fa_num,0))&amp;"",""))</f>
        <v/>
      </c>
      <c r="N3938" s="59" t="str">
        <f>IF(COUNTA(A3938:G3938)=0,"",IF(A3938="","N° facture manquant",IF(ISNA(MATCH(A3938,fa_num,0)),"Facture inconnue",IF(AND(B3938&lt;&gt;"",ISNA(MATCH(B3938,pr_code,0))),"Article inconnu",IF(H3938="","Désignation manquante",IF(OR(NOT(ISNUMBER(D3938)),N(D3938)&lt;=0),"Quantité invalide",IF(J3938="","Prix manquant",IF(OR(NOT(ISNUMBER(J3938)),N(J3938)&lt;0),"Prix invalide",IF(OR(AND(F3938&lt;&gt;"",NOT(ISNUMBER(F3938))),N(F3938)&lt;0,N(F3938)&gt;1),"Remise invalide",IF(K3938="","Taux de TVA manquant",IF(NOT(ISNUMBER(K3938)),"Taux de TVA invalide",IF(COUNTIF(p_rates,K3938)=0,"Taux de TVA hors liste (Paramètres)",IF(N(O3938)&gt;25,"Au-delà de 25 lignes : non imprimée","OK")))))))))))))</f>
        <v/>
      </c>
      <c r="O3938" s="59" t="str">
        <f>IF(A3938="","",COUNTIF($A$6:A3938,A3938))</f>
        <v/>
      </c>
      <c r="P3938" s="62" t="str">
        <f>IF(A3938="","",A3938&amp;"|"&amp;O3938)</f>
        <v/>
      </c>
    </row>
    <row r="3939">
      <c r="A3939" s="60" t="n"/>
      <c r="B3939" s="63" t="n"/>
      <c r="C3939" s="63" t="n"/>
      <c r="D3939" s="67" t="n"/>
      <c r="E3939" s="68" t="n"/>
      <c r="F3939" s="69" t="n"/>
      <c r="G3939" s="70" t="n"/>
      <c r="H3939" s="62" t="str">
        <f>IF(COUNTA(A3939:G3939)=0,"",IF(C3939&lt;&gt;"",C3939,IF(B3939="","",IFERROR(INDEX(pr_des,MATCH(B3939,pr_code,0))&amp;"",""))))</f>
        <v/>
      </c>
      <c r="I3939" s="59" t="str">
        <f>IF(B3939="","",IFERROR(INDEX(pr_unit,MATCH(B3939,pr_code,0))&amp;"",""))</f>
        <v/>
      </c>
      <c r="J3939" s="65" t="str">
        <f>IF(COUNTA(A3939:G3939)=0,"",IF(E3939&lt;&gt;"",E3939,IF(B3939="","",IFERROR(IF(INDEX(pr_price,MATCH(B3939,pr_code,0))="","",INDEX(pr_price,MATCH(B3939,pr_code,0))),""))))</f>
        <v/>
      </c>
      <c r="K3939" s="71" t="str">
        <f>IF(COUNTA(A3939:G3939)=0,"",IF(G3939&lt;&gt;"",G3939,IF(B3939="","",IFERROR(IF(INDEX(pr_rate,MATCH(B3939,pr_code,0))="","",INDEX(pr_rate,MATCH(B3939,pr_code,0))),""))))</f>
        <v/>
      </c>
      <c r="L3939" s="65" t="str">
        <f>IF(COUNTA(A3939:G3939)=0,"",IF(AND(ISNUMBER(D3939),ISNUMBER(J3939)),ROUND(D3939*J3939*(1-N(F3939)),2),0))</f>
        <v/>
      </c>
      <c r="M3939" s="62" t="str">
        <f>IF(A3939="","",IFERROR(INDEX(fa_cname,MATCH(A3939,fa_num,0))&amp;"",""))</f>
        <v/>
      </c>
      <c r="N3939" s="59" t="str">
        <f>IF(COUNTA(A3939:G3939)=0,"",IF(A3939="","N° facture manquant",IF(ISNA(MATCH(A3939,fa_num,0)),"Facture inconnue",IF(AND(B3939&lt;&gt;"",ISNA(MATCH(B3939,pr_code,0))),"Article inconnu",IF(H3939="","Désignation manquante",IF(OR(NOT(ISNUMBER(D3939)),N(D3939)&lt;=0),"Quantité invalide",IF(J3939="","Prix manquant",IF(OR(NOT(ISNUMBER(J3939)),N(J3939)&lt;0),"Prix invalide",IF(OR(AND(F3939&lt;&gt;"",NOT(ISNUMBER(F3939))),N(F3939)&lt;0,N(F3939)&gt;1),"Remise invalide",IF(K3939="","Taux de TVA manquant",IF(NOT(ISNUMBER(K3939)),"Taux de TVA invalide",IF(COUNTIF(p_rates,K3939)=0,"Taux de TVA hors liste (Paramètres)",IF(N(O3939)&gt;25,"Au-delà de 25 lignes : non imprimée","OK")))))))))))))</f>
        <v/>
      </c>
      <c r="O3939" s="59" t="str">
        <f>IF(A3939="","",COUNTIF($A$6:A3939,A3939))</f>
        <v/>
      </c>
      <c r="P3939" s="62" t="str">
        <f>IF(A3939="","",A3939&amp;"|"&amp;O3939)</f>
        <v/>
      </c>
    </row>
    <row r="3940">
      <c r="A3940" s="60" t="n"/>
      <c r="B3940" s="63" t="n"/>
      <c r="C3940" s="63" t="n"/>
      <c r="D3940" s="67" t="n"/>
      <c r="E3940" s="68" t="n"/>
      <c r="F3940" s="69" t="n"/>
      <c r="G3940" s="70" t="n"/>
      <c r="H3940" s="62" t="str">
        <f>IF(COUNTA(A3940:G3940)=0,"",IF(C3940&lt;&gt;"",C3940,IF(B3940="","",IFERROR(INDEX(pr_des,MATCH(B3940,pr_code,0))&amp;"",""))))</f>
        <v/>
      </c>
      <c r="I3940" s="59" t="str">
        <f>IF(B3940="","",IFERROR(INDEX(pr_unit,MATCH(B3940,pr_code,0))&amp;"",""))</f>
        <v/>
      </c>
      <c r="J3940" s="65" t="str">
        <f>IF(COUNTA(A3940:G3940)=0,"",IF(E3940&lt;&gt;"",E3940,IF(B3940="","",IFERROR(IF(INDEX(pr_price,MATCH(B3940,pr_code,0))="","",INDEX(pr_price,MATCH(B3940,pr_code,0))),""))))</f>
        <v/>
      </c>
      <c r="K3940" s="71" t="str">
        <f>IF(COUNTA(A3940:G3940)=0,"",IF(G3940&lt;&gt;"",G3940,IF(B3940="","",IFERROR(IF(INDEX(pr_rate,MATCH(B3940,pr_code,0))="","",INDEX(pr_rate,MATCH(B3940,pr_code,0))),""))))</f>
        <v/>
      </c>
      <c r="L3940" s="65" t="str">
        <f>IF(COUNTA(A3940:G3940)=0,"",IF(AND(ISNUMBER(D3940),ISNUMBER(J3940)),ROUND(D3940*J3940*(1-N(F3940)),2),0))</f>
        <v/>
      </c>
      <c r="M3940" s="62" t="str">
        <f>IF(A3940="","",IFERROR(INDEX(fa_cname,MATCH(A3940,fa_num,0))&amp;"",""))</f>
        <v/>
      </c>
      <c r="N3940" s="59" t="str">
        <f>IF(COUNTA(A3940:G3940)=0,"",IF(A3940="","N° facture manquant",IF(ISNA(MATCH(A3940,fa_num,0)),"Facture inconnue",IF(AND(B3940&lt;&gt;"",ISNA(MATCH(B3940,pr_code,0))),"Article inconnu",IF(H3940="","Désignation manquante",IF(OR(NOT(ISNUMBER(D3940)),N(D3940)&lt;=0),"Quantité invalide",IF(J3940="","Prix manquant",IF(OR(NOT(ISNUMBER(J3940)),N(J3940)&lt;0),"Prix invalide",IF(OR(AND(F3940&lt;&gt;"",NOT(ISNUMBER(F3940))),N(F3940)&lt;0,N(F3940)&gt;1),"Remise invalide",IF(K3940="","Taux de TVA manquant",IF(NOT(ISNUMBER(K3940)),"Taux de TVA invalide",IF(COUNTIF(p_rates,K3940)=0,"Taux de TVA hors liste (Paramètres)",IF(N(O3940)&gt;25,"Au-delà de 25 lignes : non imprimée","OK")))))))))))))</f>
        <v/>
      </c>
      <c r="O3940" s="59" t="str">
        <f>IF(A3940="","",COUNTIF($A$6:A3940,A3940))</f>
        <v/>
      </c>
      <c r="P3940" s="62" t="str">
        <f>IF(A3940="","",A3940&amp;"|"&amp;O3940)</f>
        <v/>
      </c>
    </row>
    <row r="3941">
      <c r="A3941" s="60" t="n"/>
      <c r="B3941" s="63" t="n"/>
      <c r="C3941" s="63" t="n"/>
      <c r="D3941" s="67" t="n"/>
      <c r="E3941" s="68" t="n"/>
      <c r="F3941" s="69" t="n"/>
      <c r="G3941" s="70" t="n"/>
      <c r="H3941" s="62" t="str">
        <f>IF(COUNTA(A3941:G3941)=0,"",IF(C3941&lt;&gt;"",C3941,IF(B3941="","",IFERROR(INDEX(pr_des,MATCH(B3941,pr_code,0))&amp;"",""))))</f>
        <v/>
      </c>
      <c r="I3941" s="59" t="str">
        <f>IF(B3941="","",IFERROR(INDEX(pr_unit,MATCH(B3941,pr_code,0))&amp;"",""))</f>
        <v/>
      </c>
      <c r="J3941" s="65" t="str">
        <f>IF(COUNTA(A3941:G3941)=0,"",IF(E3941&lt;&gt;"",E3941,IF(B3941="","",IFERROR(IF(INDEX(pr_price,MATCH(B3941,pr_code,0))="","",INDEX(pr_price,MATCH(B3941,pr_code,0))),""))))</f>
        <v/>
      </c>
      <c r="K3941" s="71" t="str">
        <f>IF(COUNTA(A3941:G3941)=0,"",IF(G3941&lt;&gt;"",G3941,IF(B3941="","",IFERROR(IF(INDEX(pr_rate,MATCH(B3941,pr_code,0))="","",INDEX(pr_rate,MATCH(B3941,pr_code,0))),""))))</f>
        <v/>
      </c>
      <c r="L3941" s="65" t="str">
        <f>IF(COUNTA(A3941:G3941)=0,"",IF(AND(ISNUMBER(D3941),ISNUMBER(J3941)),ROUND(D3941*J3941*(1-N(F3941)),2),0))</f>
        <v/>
      </c>
      <c r="M3941" s="62" t="str">
        <f>IF(A3941="","",IFERROR(INDEX(fa_cname,MATCH(A3941,fa_num,0))&amp;"",""))</f>
        <v/>
      </c>
      <c r="N3941" s="59" t="str">
        <f>IF(COUNTA(A3941:G3941)=0,"",IF(A3941="","N° facture manquant",IF(ISNA(MATCH(A3941,fa_num,0)),"Facture inconnue",IF(AND(B3941&lt;&gt;"",ISNA(MATCH(B3941,pr_code,0))),"Article inconnu",IF(H3941="","Désignation manquante",IF(OR(NOT(ISNUMBER(D3941)),N(D3941)&lt;=0),"Quantité invalide",IF(J3941="","Prix manquant",IF(OR(NOT(ISNUMBER(J3941)),N(J3941)&lt;0),"Prix invalide",IF(OR(AND(F3941&lt;&gt;"",NOT(ISNUMBER(F3941))),N(F3941)&lt;0,N(F3941)&gt;1),"Remise invalide",IF(K3941="","Taux de TVA manquant",IF(NOT(ISNUMBER(K3941)),"Taux de TVA invalide",IF(COUNTIF(p_rates,K3941)=0,"Taux de TVA hors liste (Paramètres)",IF(N(O3941)&gt;25,"Au-delà de 25 lignes : non imprimée","OK")))))))))))))</f>
        <v/>
      </c>
      <c r="O3941" s="59" t="str">
        <f>IF(A3941="","",COUNTIF($A$6:A3941,A3941))</f>
        <v/>
      </c>
      <c r="P3941" s="62" t="str">
        <f>IF(A3941="","",A3941&amp;"|"&amp;O3941)</f>
        <v/>
      </c>
    </row>
    <row r="3942">
      <c r="A3942" s="60" t="n"/>
      <c r="B3942" s="63" t="n"/>
      <c r="C3942" s="63" t="n"/>
      <c r="D3942" s="67" t="n"/>
      <c r="E3942" s="68" t="n"/>
      <c r="F3942" s="69" t="n"/>
      <c r="G3942" s="70" t="n"/>
      <c r="H3942" s="62" t="str">
        <f>IF(COUNTA(A3942:G3942)=0,"",IF(C3942&lt;&gt;"",C3942,IF(B3942="","",IFERROR(INDEX(pr_des,MATCH(B3942,pr_code,0))&amp;"",""))))</f>
        <v/>
      </c>
      <c r="I3942" s="59" t="str">
        <f>IF(B3942="","",IFERROR(INDEX(pr_unit,MATCH(B3942,pr_code,0))&amp;"",""))</f>
        <v/>
      </c>
      <c r="J3942" s="65" t="str">
        <f>IF(COUNTA(A3942:G3942)=0,"",IF(E3942&lt;&gt;"",E3942,IF(B3942="","",IFERROR(IF(INDEX(pr_price,MATCH(B3942,pr_code,0))="","",INDEX(pr_price,MATCH(B3942,pr_code,0))),""))))</f>
        <v/>
      </c>
      <c r="K3942" s="71" t="str">
        <f>IF(COUNTA(A3942:G3942)=0,"",IF(G3942&lt;&gt;"",G3942,IF(B3942="","",IFERROR(IF(INDEX(pr_rate,MATCH(B3942,pr_code,0))="","",INDEX(pr_rate,MATCH(B3942,pr_code,0))),""))))</f>
        <v/>
      </c>
      <c r="L3942" s="65" t="str">
        <f>IF(COUNTA(A3942:G3942)=0,"",IF(AND(ISNUMBER(D3942),ISNUMBER(J3942)),ROUND(D3942*J3942*(1-N(F3942)),2),0))</f>
        <v/>
      </c>
      <c r="M3942" s="62" t="str">
        <f>IF(A3942="","",IFERROR(INDEX(fa_cname,MATCH(A3942,fa_num,0))&amp;"",""))</f>
        <v/>
      </c>
      <c r="N3942" s="59" t="str">
        <f>IF(COUNTA(A3942:G3942)=0,"",IF(A3942="","N° facture manquant",IF(ISNA(MATCH(A3942,fa_num,0)),"Facture inconnue",IF(AND(B3942&lt;&gt;"",ISNA(MATCH(B3942,pr_code,0))),"Article inconnu",IF(H3942="","Désignation manquante",IF(OR(NOT(ISNUMBER(D3942)),N(D3942)&lt;=0),"Quantité invalide",IF(J3942="","Prix manquant",IF(OR(NOT(ISNUMBER(J3942)),N(J3942)&lt;0),"Prix invalide",IF(OR(AND(F3942&lt;&gt;"",NOT(ISNUMBER(F3942))),N(F3942)&lt;0,N(F3942)&gt;1),"Remise invalide",IF(K3942="","Taux de TVA manquant",IF(NOT(ISNUMBER(K3942)),"Taux de TVA invalide",IF(COUNTIF(p_rates,K3942)=0,"Taux de TVA hors liste (Paramètres)",IF(N(O3942)&gt;25,"Au-delà de 25 lignes : non imprimée","OK")))))))))))))</f>
        <v/>
      </c>
      <c r="O3942" s="59" t="str">
        <f>IF(A3942="","",COUNTIF($A$6:A3942,A3942))</f>
        <v/>
      </c>
      <c r="P3942" s="62" t="str">
        <f>IF(A3942="","",A3942&amp;"|"&amp;O3942)</f>
        <v/>
      </c>
    </row>
    <row r="3943">
      <c r="A3943" s="60" t="n"/>
      <c r="B3943" s="63" t="n"/>
      <c r="C3943" s="63" t="n"/>
      <c r="D3943" s="67" t="n"/>
      <c r="E3943" s="68" t="n"/>
      <c r="F3943" s="69" t="n"/>
      <c r="G3943" s="70" t="n"/>
      <c r="H3943" s="62" t="str">
        <f>IF(COUNTA(A3943:G3943)=0,"",IF(C3943&lt;&gt;"",C3943,IF(B3943="","",IFERROR(INDEX(pr_des,MATCH(B3943,pr_code,0))&amp;"",""))))</f>
        <v/>
      </c>
      <c r="I3943" s="59" t="str">
        <f>IF(B3943="","",IFERROR(INDEX(pr_unit,MATCH(B3943,pr_code,0))&amp;"",""))</f>
        <v/>
      </c>
      <c r="J3943" s="65" t="str">
        <f>IF(COUNTA(A3943:G3943)=0,"",IF(E3943&lt;&gt;"",E3943,IF(B3943="","",IFERROR(IF(INDEX(pr_price,MATCH(B3943,pr_code,0))="","",INDEX(pr_price,MATCH(B3943,pr_code,0))),""))))</f>
        <v/>
      </c>
      <c r="K3943" s="71" t="str">
        <f>IF(COUNTA(A3943:G3943)=0,"",IF(G3943&lt;&gt;"",G3943,IF(B3943="","",IFERROR(IF(INDEX(pr_rate,MATCH(B3943,pr_code,0))="","",INDEX(pr_rate,MATCH(B3943,pr_code,0))),""))))</f>
        <v/>
      </c>
      <c r="L3943" s="65" t="str">
        <f>IF(COUNTA(A3943:G3943)=0,"",IF(AND(ISNUMBER(D3943),ISNUMBER(J3943)),ROUND(D3943*J3943*(1-N(F3943)),2),0))</f>
        <v/>
      </c>
      <c r="M3943" s="62" t="str">
        <f>IF(A3943="","",IFERROR(INDEX(fa_cname,MATCH(A3943,fa_num,0))&amp;"",""))</f>
        <v/>
      </c>
      <c r="N3943" s="59" t="str">
        <f>IF(COUNTA(A3943:G3943)=0,"",IF(A3943="","N° facture manquant",IF(ISNA(MATCH(A3943,fa_num,0)),"Facture inconnue",IF(AND(B3943&lt;&gt;"",ISNA(MATCH(B3943,pr_code,0))),"Article inconnu",IF(H3943="","Désignation manquante",IF(OR(NOT(ISNUMBER(D3943)),N(D3943)&lt;=0),"Quantité invalide",IF(J3943="","Prix manquant",IF(OR(NOT(ISNUMBER(J3943)),N(J3943)&lt;0),"Prix invalide",IF(OR(AND(F3943&lt;&gt;"",NOT(ISNUMBER(F3943))),N(F3943)&lt;0,N(F3943)&gt;1),"Remise invalide",IF(K3943="","Taux de TVA manquant",IF(NOT(ISNUMBER(K3943)),"Taux de TVA invalide",IF(COUNTIF(p_rates,K3943)=0,"Taux de TVA hors liste (Paramètres)",IF(N(O3943)&gt;25,"Au-delà de 25 lignes : non imprimée","OK")))))))))))))</f>
        <v/>
      </c>
      <c r="O3943" s="59" t="str">
        <f>IF(A3943="","",COUNTIF($A$6:A3943,A3943))</f>
        <v/>
      </c>
      <c r="P3943" s="62" t="str">
        <f>IF(A3943="","",A3943&amp;"|"&amp;O3943)</f>
        <v/>
      </c>
    </row>
    <row r="3944">
      <c r="A3944" s="60" t="n"/>
      <c r="B3944" s="63" t="n"/>
      <c r="C3944" s="63" t="n"/>
      <c r="D3944" s="67" t="n"/>
      <c r="E3944" s="68" t="n"/>
      <c r="F3944" s="69" t="n"/>
      <c r="G3944" s="70" t="n"/>
      <c r="H3944" s="62" t="str">
        <f>IF(COUNTA(A3944:G3944)=0,"",IF(C3944&lt;&gt;"",C3944,IF(B3944="","",IFERROR(INDEX(pr_des,MATCH(B3944,pr_code,0))&amp;"",""))))</f>
        <v/>
      </c>
      <c r="I3944" s="59" t="str">
        <f>IF(B3944="","",IFERROR(INDEX(pr_unit,MATCH(B3944,pr_code,0))&amp;"",""))</f>
        <v/>
      </c>
      <c r="J3944" s="65" t="str">
        <f>IF(COUNTA(A3944:G3944)=0,"",IF(E3944&lt;&gt;"",E3944,IF(B3944="","",IFERROR(IF(INDEX(pr_price,MATCH(B3944,pr_code,0))="","",INDEX(pr_price,MATCH(B3944,pr_code,0))),""))))</f>
        <v/>
      </c>
      <c r="K3944" s="71" t="str">
        <f>IF(COUNTA(A3944:G3944)=0,"",IF(G3944&lt;&gt;"",G3944,IF(B3944="","",IFERROR(IF(INDEX(pr_rate,MATCH(B3944,pr_code,0))="","",INDEX(pr_rate,MATCH(B3944,pr_code,0))),""))))</f>
        <v/>
      </c>
      <c r="L3944" s="65" t="str">
        <f>IF(COUNTA(A3944:G3944)=0,"",IF(AND(ISNUMBER(D3944),ISNUMBER(J3944)),ROUND(D3944*J3944*(1-N(F3944)),2),0))</f>
        <v/>
      </c>
      <c r="M3944" s="62" t="str">
        <f>IF(A3944="","",IFERROR(INDEX(fa_cname,MATCH(A3944,fa_num,0))&amp;"",""))</f>
        <v/>
      </c>
      <c r="N3944" s="59" t="str">
        <f>IF(COUNTA(A3944:G3944)=0,"",IF(A3944="","N° facture manquant",IF(ISNA(MATCH(A3944,fa_num,0)),"Facture inconnue",IF(AND(B3944&lt;&gt;"",ISNA(MATCH(B3944,pr_code,0))),"Article inconnu",IF(H3944="","Désignation manquante",IF(OR(NOT(ISNUMBER(D3944)),N(D3944)&lt;=0),"Quantité invalide",IF(J3944="","Prix manquant",IF(OR(NOT(ISNUMBER(J3944)),N(J3944)&lt;0),"Prix invalide",IF(OR(AND(F3944&lt;&gt;"",NOT(ISNUMBER(F3944))),N(F3944)&lt;0,N(F3944)&gt;1),"Remise invalide",IF(K3944="","Taux de TVA manquant",IF(NOT(ISNUMBER(K3944)),"Taux de TVA invalide",IF(COUNTIF(p_rates,K3944)=0,"Taux de TVA hors liste (Paramètres)",IF(N(O3944)&gt;25,"Au-delà de 25 lignes : non imprimée","OK")))))))))))))</f>
        <v/>
      </c>
      <c r="O3944" s="59" t="str">
        <f>IF(A3944="","",COUNTIF($A$6:A3944,A3944))</f>
        <v/>
      </c>
      <c r="P3944" s="62" t="str">
        <f>IF(A3944="","",A3944&amp;"|"&amp;O3944)</f>
        <v/>
      </c>
    </row>
    <row r="3945">
      <c r="A3945" s="60" t="n"/>
      <c r="B3945" s="63" t="n"/>
      <c r="C3945" s="63" t="n"/>
      <c r="D3945" s="67" t="n"/>
      <c r="E3945" s="68" t="n"/>
      <c r="F3945" s="69" t="n"/>
      <c r="G3945" s="70" t="n"/>
      <c r="H3945" s="62" t="str">
        <f>IF(COUNTA(A3945:G3945)=0,"",IF(C3945&lt;&gt;"",C3945,IF(B3945="","",IFERROR(INDEX(pr_des,MATCH(B3945,pr_code,0))&amp;"",""))))</f>
        <v/>
      </c>
      <c r="I3945" s="59" t="str">
        <f>IF(B3945="","",IFERROR(INDEX(pr_unit,MATCH(B3945,pr_code,0))&amp;"",""))</f>
        <v/>
      </c>
      <c r="J3945" s="65" t="str">
        <f>IF(COUNTA(A3945:G3945)=0,"",IF(E3945&lt;&gt;"",E3945,IF(B3945="","",IFERROR(IF(INDEX(pr_price,MATCH(B3945,pr_code,0))="","",INDEX(pr_price,MATCH(B3945,pr_code,0))),""))))</f>
        <v/>
      </c>
      <c r="K3945" s="71" t="str">
        <f>IF(COUNTA(A3945:G3945)=0,"",IF(G3945&lt;&gt;"",G3945,IF(B3945="","",IFERROR(IF(INDEX(pr_rate,MATCH(B3945,pr_code,0))="","",INDEX(pr_rate,MATCH(B3945,pr_code,0))),""))))</f>
        <v/>
      </c>
      <c r="L3945" s="65" t="str">
        <f>IF(COUNTA(A3945:G3945)=0,"",IF(AND(ISNUMBER(D3945),ISNUMBER(J3945)),ROUND(D3945*J3945*(1-N(F3945)),2),0))</f>
        <v/>
      </c>
      <c r="M3945" s="62" t="str">
        <f>IF(A3945="","",IFERROR(INDEX(fa_cname,MATCH(A3945,fa_num,0))&amp;"",""))</f>
        <v/>
      </c>
      <c r="N3945" s="59" t="str">
        <f>IF(COUNTA(A3945:G3945)=0,"",IF(A3945="","N° facture manquant",IF(ISNA(MATCH(A3945,fa_num,0)),"Facture inconnue",IF(AND(B3945&lt;&gt;"",ISNA(MATCH(B3945,pr_code,0))),"Article inconnu",IF(H3945="","Désignation manquante",IF(OR(NOT(ISNUMBER(D3945)),N(D3945)&lt;=0),"Quantité invalide",IF(J3945="","Prix manquant",IF(OR(NOT(ISNUMBER(J3945)),N(J3945)&lt;0),"Prix invalide",IF(OR(AND(F3945&lt;&gt;"",NOT(ISNUMBER(F3945))),N(F3945)&lt;0,N(F3945)&gt;1),"Remise invalide",IF(K3945="","Taux de TVA manquant",IF(NOT(ISNUMBER(K3945)),"Taux de TVA invalide",IF(COUNTIF(p_rates,K3945)=0,"Taux de TVA hors liste (Paramètres)",IF(N(O3945)&gt;25,"Au-delà de 25 lignes : non imprimée","OK")))))))))))))</f>
        <v/>
      </c>
      <c r="O3945" s="59" t="str">
        <f>IF(A3945="","",COUNTIF($A$6:A3945,A3945))</f>
        <v/>
      </c>
      <c r="P3945" s="62" t="str">
        <f>IF(A3945="","",A3945&amp;"|"&amp;O3945)</f>
        <v/>
      </c>
    </row>
    <row r="3946">
      <c r="A3946" s="60" t="n"/>
      <c r="B3946" s="63" t="n"/>
      <c r="C3946" s="63" t="n"/>
      <c r="D3946" s="67" t="n"/>
      <c r="E3946" s="68" t="n"/>
      <c r="F3946" s="69" t="n"/>
      <c r="G3946" s="70" t="n"/>
      <c r="H3946" s="62" t="str">
        <f>IF(COUNTA(A3946:G3946)=0,"",IF(C3946&lt;&gt;"",C3946,IF(B3946="","",IFERROR(INDEX(pr_des,MATCH(B3946,pr_code,0))&amp;"",""))))</f>
        <v/>
      </c>
      <c r="I3946" s="59" t="str">
        <f>IF(B3946="","",IFERROR(INDEX(pr_unit,MATCH(B3946,pr_code,0))&amp;"",""))</f>
        <v/>
      </c>
      <c r="J3946" s="65" t="str">
        <f>IF(COUNTA(A3946:G3946)=0,"",IF(E3946&lt;&gt;"",E3946,IF(B3946="","",IFERROR(IF(INDEX(pr_price,MATCH(B3946,pr_code,0))="","",INDEX(pr_price,MATCH(B3946,pr_code,0))),""))))</f>
        <v/>
      </c>
      <c r="K3946" s="71" t="str">
        <f>IF(COUNTA(A3946:G3946)=0,"",IF(G3946&lt;&gt;"",G3946,IF(B3946="","",IFERROR(IF(INDEX(pr_rate,MATCH(B3946,pr_code,0))="","",INDEX(pr_rate,MATCH(B3946,pr_code,0))),""))))</f>
        <v/>
      </c>
      <c r="L3946" s="65" t="str">
        <f>IF(COUNTA(A3946:G3946)=0,"",IF(AND(ISNUMBER(D3946),ISNUMBER(J3946)),ROUND(D3946*J3946*(1-N(F3946)),2),0))</f>
        <v/>
      </c>
      <c r="M3946" s="62" t="str">
        <f>IF(A3946="","",IFERROR(INDEX(fa_cname,MATCH(A3946,fa_num,0))&amp;"",""))</f>
        <v/>
      </c>
      <c r="N3946" s="59" t="str">
        <f>IF(COUNTA(A3946:G3946)=0,"",IF(A3946="","N° facture manquant",IF(ISNA(MATCH(A3946,fa_num,0)),"Facture inconnue",IF(AND(B3946&lt;&gt;"",ISNA(MATCH(B3946,pr_code,0))),"Article inconnu",IF(H3946="","Désignation manquante",IF(OR(NOT(ISNUMBER(D3946)),N(D3946)&lt;=0),"Quantité invalide",IF(J3946="","Prix manquant",IF(OR(NOT(ISNUMBER(J3946)),N(J3946)&lt;0),"Prix invalide",IF(OR(AND(F3946&lt;&gt;"",NOT(ISNUMBER(F3946))),N(F3946)&lt;0,N(F3946)&gt;1),"Remise invalide",IF(K3946="","Taux de TVA manquant",IF(NOT(ISNUMBER(K3946)),"Taux de TVA invalide",IF(COUNTIF(p_rates,K3946)=0,"Taux de TVA hors liste (Paramètres)",IF(N(O3946)&gt;25,"Au-delà de 25 lignes : non imprimée","OK")))))))))))))</f>
        <v/>
      </c>
      <c r="O3946" s="59" t="str">
        <f>IF(A3946="","",COUNTIF($A$6:A3946,A3946))</f>
        <v/>
      </c>
      <c r="P3946" s="62" t="str">
        <f>IF(A3946="","",A3946&amp;"|"&amp;O3946)</f>
        <v/>
      </c>
    </row>
    <row r="3947">
      <c r="A3947" s="60" t="n"/>
      <c r="B3947" s="63" t="n"/>
      <c r="C3947" s="63" t="n"/>
      <c r="D3947" s="67" t="n"/>
      <c r="E3947" s="68" t="n"/>
      <c r="F3947" s="69" t="n"/>
      <c r="G3947" s="70" t="n"/>
      <c r="H3947" s="62" t="str">
        <f>IF(COUNTA(A3947:G3947)=0,"",IF(C3947&lt;&gt;"",C3947,IF(B3947="","",IFERROR(INDEX(pr_des,MATCH(B3947,pr_code,0))&amp;"",""))))</f>
        <v/>
      </c>
      <c r="I3947" s="59" t="str">
        <f>IF(B3947="","",IFERROR(INDEX(pr_unit,MATCH(B3947,pr_code,0))&amp;"",""))</f>
        <v/>
      </c>
      <c r="J3947" s="65" t="str">
        <f>IF(COUNTA(A3947:G3947)=0,"",IF(E3947&lt;&gt;"",E3947,IF(B3947="","",IFERROR(IF(INDEX(pr_price,MATCH(B3947,pr_code,0))="","",INDEX(pr_price,MATCH(B3947,pr_code,0))),""))))</f>
        <v/>
      </c>
      <c r="K3947" s="71" t="str">
        <f>IF(COUNTA(A3947:G3947)=0,"",IF(G3947&lt;&gt;"",G3947,IF(B3947="","",IFERROR(IF(INDEX(pr_rate,MATCH(B3947,pr_code,0))="","",INDEX(pr_rate,MATCH(B3947,pr_code,0))),""))))</f>
        <v/>
      </c>
      <c r="L3947" s="65" t="str">
        <f>IF(COUNTA(A3947:G3947)=0,"",IF(AND(ISNUMBER(D3947),ISNUMBER(J3947)),ROUND(D3947*J3947*(1-N(F3947)),2),0))</f>
        <v/>
      </c>
      <c r="M3947" s="62" t="str">
        <f>IF(A3947="","",IFERROR(INDEX(fa_cname,MATCH(A3947,fa_num,0))&amp;"",""))</f>
        <v/>
      </c>
      <c r="N3947" s="59" t="str">
        <f>IF(COUNTA(A3947:G3947)=0,"",IF(A3947="","N° facture manquant",IF(ISNA(MATCH(A3947,fa_num,0)),"Facture inconnue",IF(AND(B3947&lt;&gt;"",ISNA(MATCH(B3947,pr_code,0))),"Article inconnu",IF(H3947="","Désignation manquante",IF(OR(NOT(ISNUMBER(D3947)),N(D3947)&lt;=0),"Quantité invalide",IF(J3947="","Prix manquant",IF(OR(NOT(ISNUMBER(J3947)),N(J3947)&lt;0),"Prix invalide",IF(OR(AND(F3947&lt;&gt;"",NOT(ISNUMBER(F3947))),N(F3947)&lt;0,N(F3947)&gt;1),"Remise invalide",IF(K3947="","Taux de TVA manquant",IF(NOT(ISNUMBER(K3947)),"Taux de TVA invalide",IF(COUNTIF(p_rates,K3947)=0,"Taux de TVA hors liste (Paramètres)",IF(N(O3947)&gt;25,"Au-delà de 25 lignes : non imprimée","OK")))))))))))))</f>
        <v/>
      </c>
      <c r="O3947" s="59" t="str">
        <f>IF(A3947="","",COUNTIF($A$6:A3947,A3947))</f>
        <v/>
      </c>
      <c r="P3947" s="62" t="str">
        <f>IF(A3947="","",A3947&amp;"|"&amp;O3947)</f>
        <v/>
      </c>
    </row>
    <row r="3948">
      <c r="A3948" s="60" t="n"/>
      <c r="B3948" s="63" t="n"/>
      <c r="C3948" s="63" t="n"/>
      <c r="D3948" s="67" t="n"/>
      <c r="E3948" s="68" t="n"/>
      <c r="F3948" s="69" t="n"/>
      <c r="G3948" s="70" t="n"/>
      <c r="H3948" s="62" t="str">
        <f>IF(COUNTA(A3948:G3948)=0,"",IF(C3948&lt;&gt;"",C3948,IF(B3948="","",IFERROR(INDEX(pr_des,MATCH(B3948,pr_code,0))&amp;"",""))))</f>
        <v/>
      </c>
      <c r="I3948" s="59" t="str">
        <f>IF(B3948="","",IFERROR(INDEX(pr_unit,MATCH(B3948,pr_code,0))&amp;"",""))</f>
        <v/>
      </c>
      <c r="J3948" s="65" t="str">
        <f>IF(COUNTA(A3948:G3948)=0,"",IF(E3948&lt;&gt;"",E3948,IF(B3948="","",IFERROR(IF(INDEX(pr_price,MATCH(B3948,pr_code,0))="","",INDEX(pr_price,MATCH(B3948,pr_code,0))),""))))</f>
        <v/>
      </c>
      <c r="K3948" s="71" t="str">
        <f>IF(COUNTA(A3948:G3948)=0,"",IF(G3948&lt;&gt;"",G3948,IF(B3948="","",IFERROR(IF(INDEX(pr_rate,MATCH(B3948,pr_code,0))="","",INDEX(pr_rate,MATCH(B3948,pr_code,0))),""))))</f>
        <v/>
      </c>
      <c r="L3948" s="65" t="str">
        <f>IF(COUNTA(A3948:G3948)=0,"",IF(AND(ISNUMBER(D3948),ISNUMBER(J3948)),ROUND(D3948*J3948*(1-N(F3948)),2),0))</f>
        <v/>
      </c>
      <c r="M3948" s="62" t="str">
        <f>IF(A3948="","",IFERROR(INDEX(fa_cname,MATCH(A3948,fa_num,0))&amp;"",""))</f>
        <v/>
      </c>
      <c r="N3948" s="59" t="str">
        <f>IF(COUNTA(A3948:G3948)=0,"",IF(A3948="","N° facture manquant",IF(ISNA(MATCH(A3948,fa_num,0)),"Facture inconnue",IF(AND(B3948&lt;&gt;"",ISNA(MATCH(B3948,pr_code,0))),"Article inconnu",IF(H3948="","Désignation manquante",IF(OR(NOT(ISNUMBER(D3948)),N(D3948)&lt;=0),"Quantité invalide",IF(J3948="","Prix manquant",IF(OR(NOT(ISNUMBER(J3948)),N(J3948)&lt;0),"Prix invalide",IF(OR(AND(F3948&lt;&gt;"",NOT(ISNUMBER(F3948))),N(F3948)&lt;0,N(F3948)&gt;1),"Remise invalide",IF(K3948="","Taux de TVA manquant",IF(NOT(ISNUMBER(K3948)),"Taux de TVA invalide",IF(COUNTIF(p_rates,K3948)=0,"Taux de TVA hors liste (Paramètres)",IF(N(O3948)&gt;25,"Au-delà de 25 lignes : non imprimée","OK")))))))))))))</f>
        <v/>
      </c>
      <c r="O3948" s="59" t="str">
        <f>IF(A3948="","",COUNTIF($A$6:A3948,A3948))</f>
        <v/>
      </c>
      <c r="P3948" s="62" t="str">
        <f>IF(A3948="","",A3948&amp;"|"&amp;O3948)</f>
        <v/>
      </c>
    </row>
    <row r="3949">
      <c r="A3949" s="60" t="n"/>
      <c r="B3949" s="63" t="n"/>
      <c r="C3949" s="63" t="n"/>
      <c r="D3949" s="67" t="n"/>
      <c r="E3949" s="68" t="n"/>
      <c r="F3949" s="69" t="n"/>
      <c r="G3949" s="70" t="n"/>
      <c r="H3949" s="62" t="str">
        <f>IF(COUNTA(A3949:G3949)=0,"",IF(C3949&lt;&gt;"",C3949,IF(B3949="","",IFERROR(INDEX(pr_des,MATCH(B3949,pr_code,0))&amp;"",""))))</f>
        <v/>
      </c>
      <c r="I3949" s="59" t="str">
        <f>IF(B3949="","",IFERROR(INDEX(pr_unit,MATCH(B3949,pr_code,0))&amp;"",""))</f>
        <v/>
      </c>
      <c r="J3949" s="65" t="str">
        <f>IF(COUNTA(A3949:G3949)=0,"",IF(E3949&lt;&gt;"",E3949,IF(B3949="","",IFERROR(IF(INDEX(pr_price,MATCH(B3949,pr_code,0))="","",INDEX(pr_price,MATCH(B3949,pr_code,0))),""))))</f>
        <v/>
      </c>
      <c r="K3949" s="71" t="str">
        <f>IF(COUNTA(A3949:G3949)=0,"",IF(G3949&lt;&gt;"",G3949,IF(B3949="","",IFERROR(IF(INDEX(pr_rate,MATCH(B3949,pr_code,0))="","",INDEX(pr_rate,MATCH(B3949,pr_code,0))),""))))</f>
        <v/>
      </c>
      <c r="L3949" s="65" t="str">
        <f>IF(COUNTA(A3949:G3949)=0,"",IF(AND(ISNUMBER(D3949),ISNUMBER(J3949)),ROUND(D3949*J3949*(1-N(F3949)),2),0))</f>
        <v/>
      </c>
      <c r="M3949" s="62" t="str">
        <f>IF(A3949="","",IFERROR(INDEX(fa_cname,MATCH(A3949,fa_num,0))&amp;"",""))</f>
        <v/>
      </c>
      <c r="N3949" s="59" t="str">
        <f>IF(COUNTA(A3949:G3949)=0,"",IF(A3949="","N° facture manquant",IF(ISNA(MATCH(A3949,fa_num,0)),"Facture inconnue",IF(AND(B3949&lt;&gt;"",ISNA(MATCH(B3949,pr_code,0))),"Article inconnu",IF(H3949="","Désignation manquante",IF(OR(NOT(ISNUMBER(D3949)),N(D3949)&lt;=0),"Quantité invalide",IF(J3949="","Prix manquant",IF(OR(NOT(ISNUMBER(J3949)),N(J3949)&lt;0),"Prix invalide",IF(OR(AND(F3949&lt;&gt;"",NOT(ISNUMBER(F3949))),N(F3949)&lt;0,N(F3949)&gt;1),"Remise invalide",IF(K3949="","Taux de TVA manquant",IF(NOT(ISNUMBER(K3949)),"Taux de TVA invalide",IF(COUNTIF(p_rates,K3949)=0,"Taux de TVA hors liste (Paramètres)",IF(N(O3949)&gt;25,"Au-delà de 25 lignes : non imprimée","OK")))))))))))))</f>
        <v/>
      </c>
      <c r="O3949" s="59" t="str">
        <f>IF(A3949="","",COUNTIF($A$6:A3949,A3949))</f>
        <v/>
      </c>
      <c r="P3949" s="62" t="str">
        <f>IF(A3949="","",A3949&amp;"|"&amp;O3949)</f>
        <v/>
      </c>
    </row>
    <row r="3950">
      <c r="A3950" s="60" t="n"/>
      <c r="B3950" s="63" t="n"/>
      <c r="C3950" s="63" t="n"/>
      <c r="D3950" s="67" t="n"/>
      <c r="E3950" s="68" t="n"/>
      <c r="F3950" s="69" t="n"/>
      <c r="G3950" s="70" t="n"/>
      <c r="H3950" s="62" t="str">
        <f>IF(COUNTA(A3950:G3950)=0,"",IF(C3950&lt;&gt;"",C3950,IF(B3950="","",IFERROR(INDEX(pr_des,MATCH(B3950,pr_code,0))&amp;"",""))))</f>
        <v/>
      </c>
      <c r="I3950" s="59" t="str">
        <f>IF(B3950="","",IFERROR(INDEX(pr_unit,MATCH(B3950,pr_code,0))&amp;"",""))</f>
        <v/>
      </c>
      <c r="J3950" s="65" t="str">
        <f>IF(COUNTA(A3950:G3950)=0,"",IF(E3950&lt;&gt;"",E3950,IF(B3950="","",IFERROR(IF(INDEX(pr_price,MATCH(B3950,pr_code,0))="","",INDEX(pr_price,MATCH(B3950,pr_code,0))),""))))</f>
        <v/>
      </c>
      <c r="K3950" s="71" t="str">
        <f>IF(COUNTA(A3950:G3950)=0,"",IF(G3950&lt;&gt;"",G3950,IF(B3950="","",IFERROR(IF(INDEX(pr_rate,MATCH(B3950,pr_code,0))="","",INDEX(pr_rate,MATCH(B3950,pr_code,0))),""))))</f>
        <v/>
      </c>
      <c r="L3950" s="65" t="str">
        <f>IF(COUNTA(A3950:G3950)=0,"",IF(AND(ISNUMBER(D3950),ISNUMBER(J3950)),ROUND(D3950*J3950*(1-N(F3950)),2),0))</f>
        <v/>
      </c>
      <c r="M3950" s="62" t="str">
        <f>IF(A3950="","",IFERROR(INDEX(fa_cname,MATCH(A3950,fa_num,0))&amp;"",""))</f>
        <v/>
      </c>
      <c r="N3950" s="59" t="str">
        <f>IF(COUNTA(A3950:G3950)=0,"",IF(A3950="","N° facture manquant",IF(ISNA(MATCH(A3950,fa_num,0)),"Facture inconnue",IF(AND(B3950&lt;&gt;"",ISNA(MATCH(B3950,pr_code,0))),"Article inconnu",IF(H3950="","Désignation manquante",IF(OR(NOT(ISNUMBER(D3950)),N(D3950)&lt;=0),"Quantité invalide",IF(J3950="","Prix manquant",IF(OR(NOT(ISNUMBER(J3950)),N(J3950)&lt;0),"Prix invalide",IF(OR(AND(F3950&lt;&gt;"",NOT(ISNUMBER(F3950))),N(F3950)&lt;0,N(F3950)&gt;1),"Remise invalide",IF(K3950="","Taux de TVA manquant",IF(NOT(ISNUMBER(K3950)),"Taux de TVA invalide",IF(COUNTIF(p_rates,K3950)=0,"Taux de TVA hors liste (Paramètres)",IF(N(O3950)&gt;25,"Au-delà de 25 lignes : non imprimée","OK")))))))))))))</f>
        <v/>
      </c>
      <c r="O3950" s="59" t="str">
        <f>IF(A3950="","",COUNTIF($A$6:A3950,A3950))</f>
        <v/>
      </c>
      <c r="P3950" s="62" t="str">
        <f>IF(A3950="","",A3950&amp;"|"&amp;O3950)</f>
        <v/>
      </c>
    </row>
    <row r="3951">
      <c r="A3951" s="60" t="n"/>
      <c r="B3951" s="63" t="n"/>
      <c r="C3951" s="63" t="n"/>
      <c r="D3951" s="67" t="n"/>
      <c r="E3951" s="68" t="n"/>
      <c r="F3951" s="69" t="n"/>
      <c r="G3951" s="70" t="n"/>
      <c r="H3951" s="62" t="str">
        <f>IF(COUNTA(A3951:G3951)=0,"",IF(C3951&lt;&gt;"",C3951,IF(B3951="","",IFERROR(INDEX(pr_des,MATCH(B3951,pr_code,0))&amp;"",""))))</f>
        <v/>
      </c>
      <c r="I3951" s="59" t="str">
        <f>IF(B3951="","",IFERROR(INDEX(pr_unit,MATCH(B3951,pr_code,0))&amp;"",""))</f>
        <v/>
      </c>
      <c r="J3951" s="65" t="str">
        <f>IF(COUNTA(A3951:G3951)=0,"",IF(E3951&lt;&gt;"",E3951,IF(B3951="","",IFERROR(IF(INDEX(pr_price,MATCH(B3951,pr_code,0))="","",INDEX(pr_price,MATCH(B3951,pr_code,0))),""))))</f>
        <v/>
      </c>
      <c r="K3951" s="71" t="str">
        <f>IF(COUNTA(A3951:G3951)=0,"",IF(G3951&lt;&gt;"",G3951,IF(B3951="","",IFERROR(IF(INDEX(pr_rate,MATCH(B3951,pr_code,0))="","",INDEX(pr_rate,MATCH(B3951,pr_code,0))),""))))</f>
        <v/>
      </c>
      <c r="L3951" s="65" t="str">
        <f>IF(COUNTA(A3951:G3951)=0,"",IF(AND(ISNUMBER(D3951),ISNUMBER(J3951)),ROUND(D3951*J3951*(1-N(F3951)),2),0))</f>
        <v/>
      </c>
      <c r="M3951" s="62" t="str">
        <f>IF(A3951="","",IFERROR(INDEX(fa_cname,MATCH(A3951,fa_num,0))&amp;"",""))</f>
        <v/>
      </c>
      <c r="N3951" s="59" t="str">
        <f>IF(COUNTA(A3951:G3951)=0,"",IF(A3951="","N° facture manquant",IF(ISNA(MATCH(A3951,fa_num,0)),"Facture inconnue",IF(AND(B3951&lt;&gt;"",ISNA(MATCH(B3951,pr_code,0))),"Article inconnu",IF(H3951="","Désignation manquante",IF(OR(NOT(ISNUMBER(D3951)),N(D3951)&lt;=0),"Quantité invalide",IF(J3951="","Prix manquant",IF(OR(NOT(ISNUMBER(J3951)),N(J3951)&lt;0),"Prix invalide",IF(OR(AND(F3951&lt;&gt;"",NOT(ISNUMBER(F3951))),N(F3951)&lt;0,N(F3951)&gt;1),"Remise invalide",IF(K3951="","Taux de TVA manquant",IF(NOT(ISNUMBER(K3951)),"Taux de TVA invalide",IF(COUNTIF(p_rates,K3951)=0,"Taux de TVA hors liste (Paramètres)",IF(N(O3951)&gt;25,"Au-delà de 25 lignes : non imprimée","OK")))))))))))))</f>
        <v/>
      </c>
      <c r="O3951" s="59" t="str">
        <f>IF(A3951="","",COUNTIF($A$6:A3951,A3951))</f>
        <v/>
      </c>
      <c r="P3951" s="62" t="str">
        <f>IF(A3951="","",A3951&amp;"|"&amp;O3951)</f>
        <v/>
      </c>
    </row>
    <row r="3952">
      <c r="A3952" s="60" t="n"/>
      <c r="B3952" s="63" t="n"/>
      <c r="C3952" s="63" t="n"/>
      <c r="D3952" s="67" t="n"/>
      <c r="E3952" s="68" t="n"/>
      <c r="F3952" s="69" t="n"/>
      <c r="G3952" s="70" t="n"/>
      <c r="H3952" s="62" t="str">
        <f>IF(COUNTA(A3952:G3952)=0,"",IF(C3952&lt;&gt;"",C3952,IF(B3952="","",IFERROR(INDEX(pr_des,MATCH(B3952,pr_code,0))&amp;"",""))))</f>
        <v/>
      </c>
      <c r="I3952" s="59" t="str">
        <f>IF(B3952="","",IFERROR(INDEX(pr_unit,MATCH(B3952,pr_code,0))&amp;"",""))</f>
        <v/>
      </c>
      <c r="J3952" s="65" t="str">
        <f>IF(COUNTA(A3952:G3952)=0,"",IF(E3952&lt;&gt;"",E3952,IF(B3952="","",IFERROR(IF(INDEX(pr_price,MATCH(B3952,pr_code,0))="","",INDEX(pr_price,MATCH(B3952,pr_code,0))),""))))</f>
        <v/>
      </c>
      <c r="K3952" s="71" t="str">
        <f>IF(COUNTA(A3952:G3952)=0,"",IF(G3952&lt;&gt;"",G3952,IF(B3952="","",IFERROR(IF(INDEX(pr_rate,MATCH(B3952,pr_code,0))="","",INDEX(pr_rate,MATCH(B3952,pr_code,0))),""))))</f>
        <v/>
      </c>
      <c r="L3952" s="65" t="str">
        <f>IF(COUNTA(A3952:G3952)=0,"",IF(AND(ISNUMBER(D3952),ISNUMBER(J3952)),ROUND(D3952*J3952*(1-N(F3952)),2),0))</f>
        <v/>
      </c>
      <c r="M3952" s="62" t="str">
        <f>IF(A3952="","",IFERROR(INDEX(fa_cname,MATCH(A3952,fa_num,0))&amp;"",""))</f>
        <v/>
      </c>
      <c r="N3952" s="59" t="str">
        <f>IF(COUNTA(A3952:G3952)=0,"",IF(A3952="","N° facture manquant",IF(ISNA(MATCH(A3952,fa_num,0)),"Facture inconnue",IF(AND(B3952&lt;&gt;"",ISNA(MATCH(B3952,pr_code,0))),"Article inconnu",IF(H3952="","Désignation manquante",IF(OR(NOT(ISNUMBER(D3952)),N(D3952)&lt;=0),"Quantité invalide",IF(J3952="","Prix manquant",IF(OR(NOT(ISNUMBER(J3952)),N(J3952)&lt;0),"Prix invalide",IF(OR(AND(F3952&lt;&gt;"",NOT(ISNUMBER(F3952))),N(F3952)&lt;0,N(F3952)&gt;1),"Remise invalide",IF(K3952="","Taux de TVA manquant",IF(NOT(ISNUMBER(K3952)),"Taux de TVA invalide",IF(COUNTIF(p_rates,K3952)=0,"Taux de TVA hors liste (Paramètres)",IF(N(O3952)&gt;25,"Au-delà de 25 lignes : non imprimée","OK")))))))))))))</f>
        <v/>
      </c>
      <c r="O3952" s="59" t="str">
        <f>IF(A3952="","",COUNTIF($A$6:A3952,A3952))</f>
        <v/>
      </c>
      <c r="P3952" s="62" t="str">
        <f>IF(A3952="","",A3952&amp;"|"&amp;O3952)</f>
        <v/>
      </c>
    </row>
    <row r="3953">
      <c r="A3953" s="60" t="n"/>
      <c r="B3953" s="63" t="n"/>
      <c r="C3953" s="63" t="n"/>
      <c r="D3953" s="67" t="n"/>
      <c r="E3953" s="68" t="n"/>
      <c r="F3953" s="69" t="n"/>
      <c r="G3953" s="70" t="n"/>
      <c r="H3953" s="62" t="str">
        <f>IF(COUNTA(A3953:G3953)=0,"",IF(C3953&lt;&gt;"",C3953,IF(B3953="","",IFERROR(INDEX(pr_des,MATCH(B3953,pr_code,0))&amp;"",""))))</f>
        <v/>
      </c>
      <c r="I3953" s="59" t="str">
        <f>IF(B3953="","",IFERROR(INDEX(pr_unit,MATCH(B3953,pr_code,0))&amp;"",""))</f>
        <v/>
      </c>
      <c r="J3953" s="65" t="str">
        <f>IF(COUNTA(A3953:G3953)=0,"",IF(E3953&lt;&gt;"",E3953,IF(B3953="","",IFERROR(IF(INDEX(pr_price,MATCH(B3953,pr_code,0))="","",INDEX(pr_price,MATCH(B3953,pr_code,0))),""))))</f>
        <v/>
      </c>
      <c r="K3953" s="71" t="str">
        <f>IF(COUNTA(A3953:G3953)=0,"",IF(G3953&lt;&gt;"",G3953,IF(B3953="","",IFERROR(IF(INDEX(pr_rate,MATCH(B3953,pr_code,0))="","",INDEX(pr_rate,MATCH(B3953,pr_code,0))),""))))</f>
        <v/>
      </c>
      <c r="L3953" s="65" t="str">
        <f>IF(COUNTA(A3953:G3953)=0,"",IF(AND(ISNUMBER(D3953),ISNUMBER(J3953)),ROUND(D3953*J3953*(1-N(F3953)),2),0))</f>
        <v/>
      </c>
      <c r="M3953" s="62" t="str">
        <f>IF(A3953="","",IFERROR(INDEX(fa_cname,MATCH(A3953,fa_num,0))&amp;"",""))</f>
        <v/>
      </c>
      <c r="N3953" s="59" t="str">
        <f>IF(COUNTA(A3953:G3953)=0,"",IF(A3953="","N° facture manquant",IF(ISNA(MATCH(A3953,fa_num,0)),"Facture inconnue",IF(AND(B3953&lt;&gt;"",ISNA(MATCH(B3953,pr_code,0))),"Article inconnu",IF(H3953="","Désignation manquante",IF(OR(NOT(ISNUMBER(D3953)),N(D3953)&lt;=0),"Quantité invalide",IF(J3953="","Prix manquant",IF(OR(NOT(ISNUMBER(J3953)),N(J3953)&lt;0),"Prix invalide",IF(OR(AND(F3953&lt;&gt;"",NOT(ISNUMBER(F3953))),N(F3953)&lt;0,N(F3953)&gt;1),"Remise invalide",IF(K3953="","Taux de TVA manquant",IF(NOT(ISNUMBER(K3953)),"Taux de TVA invalide",IF(COUNTIF(p_rates,K3953)=0,"Taux de TVA hors liste (Paramètres)",IF(N(O3953)&gt;25,"Au-delà de 25 lignes : non imprimée","OK")))))))))))))</f>
        <v/>
      </c>
      <c r="O3953" s="59" t="str">
        <f>IF(A3953="","",COUNTIF($A$6:A3953,A3953))</f>
        <v/>
      </c>
      <c r="P3953" s="62" t="str">
        <f>IF(A3953="","",A3953&amp;"|"&amp;O3953)</f>
        <v/>
      </c>
    </row>
    <row r="3954">
      <c r="A3954" s="60" t="n"/>
      <c r="B3954" s="63" t="n"/>
      <c r="C3954" s="63" t="n"/>
      <c r="D3954" s="67" t="n"/>
      <c r="E3954" s="68" t="n"/>
      <c r="F3954" s="69" t="n"/>
      <c r="G3954" s="70" t="n"/>
      <c r="H3954" s="62" t="str">
        <f>IF(COUNTA(A3954:G3954)=0,"",IF(C3954&lt;&gt;"",C3954,IF(B3954="","",IFERROR(INDEX(pr_des,MATCH(B3954,pr_code,0))&amp;"",""))))</f>
        <v/>
      </c>
      <c r="I3954" s="59" t="str">
        <f>IF(B3954="","",IFERROR(INDEX(pr_unit,MATCH(B3954,pr_code,0))&amp;"",""))</f>
        <v/>
      </c>
      <c r="J3954" s="65" t="str">
        <f>IF(COUNTA(A3954:G3954)=0,"",IF(E3954&lt;&gt;"",E3954,IF(B3954="","",IFERROR(IF(INDEX(pr_price,MATCH(B3954,pr_code,0))="","",INDEX(pr_price,MATCH(B3954,pr_code,0))),""))))</f>
        <v/>
      </c>
      <c r="K3954" s="71" t="str">
        <f>IF(COUNTA(A3954:G3954)=0,"",IF(G3954&lt;&gt;"",G3954,IF(B3954="","",IFERROR(IF(INDEX(pr_rate,MATCH(B3954,pr_code,0))="","",INDEX(pr_rate,MATCH(B3954,pr_code,0))),""))))</f>
        <v/>
      </c>
      <c r="L3954" s="65" t="str">
        <f>IF(COUNTA(A3954:G3954)=0,"",IF(AND(ISNUMBER(D3954),ISNUMBER(J3954)),ROUND(D3954*J3954*(1-N(F3954)),2),0))</f>
        <v/>
      </c>
      <c r="M3954" s="62" t="str">
        <f>IF(A3954="","",IFERROR(INDEX(fa_cname,MATCH(A3954,fa_num,0))&amp;"",""))</f>
        <v/>
      </c>
      <c r="N3954" s="59" t="str">
        <f>IF(COUNTA(A3954:G3954)=0,"",IF(A3954="","N° facture manquant",IF(ISNA(MATCH(A3954,fa_num,0)),"Facture inconnue",IF(AND(B3954&lt;&gt;"",ISNA(MATCH(B3954,pr_code,0))),"Article inconnu",IF(H3954="","Désignation manquante",IF(OR(NOT(ISNUMBER(D3954)),N(D3954)&lt;=0),"Quantité invalide",IF(J3954="","Prix manquant",IF(OR(NOT(ISNUMBER(J3954)),N(J3954)&lt;0),"Prix invalide",IF(OR(AND(F3954&lt;&gt;"",NOT(ISNUMBER(F3954))),N(F3954)&lt;0,N(F3954)&gt;1),"Remise invalide",IF(K3954="","Taux de TVA manquant",IF(NOT(ISNUMBER(K3954)),"Taux de TVA invalide",IF(COUNTIF(p_rates,K3954)=0,"Taux de TVA hors liste (Paramètres)",IF(N(O3954)&gt;25,"Au-delà de 25 lignes : non imprimée","OK")))))))))))))</f>
        <v/>
      </c>
      <c r="O3954" s="59" t="str">
        <f>IF(A3954="","",COUNTIF($A$6:A3954,A3954))</f>
        <v/>
      </c>
      <c r="P3954" s="62" t="str">
        <f>IF(A3954="","",A3954&amp;"|"&amp;O3954)</f>
        <v/>
      </c>
    </row>
    <row r="3955">
      <c r="A3955" s="60" t="n"/>
      <c r="B3955" s="63" t="n"/>
      <c r="C3955" s="63" t="n"/>
      <c r="D3955" s="67" t="n"/>
      <c r="E3955" s="68" t="n"/>
      <c r="F3955" s="69" t="n"/>
      <c r="G3955" s="70" t="n"/>
      <c r="H3955" s="62" t="str">
        <f>IF(COUNTA(A3955:G3955)=0,"",IF(C3955&lt;&gt;"",C3955,IF(B3955="","",IFERROR(INDEX(pr_des,MATCH(B3955,pr_code,0))&amp;"",""))))</f>
        <v/>
      </c>
      <c r="I3955" s="59" t="str">
        <f>IF(B3955="","",IFERROR(INDEX(pr_unit,MATCH(B3955,pr_code,0))&amp;"",""))</f>
        <v/>
      </c>
      <c r="J3955" s="65" t="str">
        <f>IF(COUNTA(A3955:G3955)=0,"",IF(E3955&lt;&gt;"",E3955,IF(B3955="","",IFERROR(IF(INDEX(pr_price,MATCH(B3955,pr_code,0))="","",INDEX(pr_price,MATCH(B3955,pr_code,0))),""))))</f>
        <v/>
      </c>
      <c r="K3955" s="71" t="str">
        <f>IF(COUNTA(A3955:G3955)=0,"",IF(G3955&lt;&gt;"",G3955,IF(B3955="","",IFERROR(IF(INDEX(pr_rate,MATCH(B3955,pr_code,0))="","",INDEX(pr_rate,MATCH(B3955,pr_code,0))),""))))</f>
        <v/>
      </c>
      <c r="L3955" s="65" t="str">
        <f>IF(COUNTA(A3955:G3955)=0,"",IF(AND(ISNUMBER(D3955),ISNUMBER(J3955)),ROUND(D3955*J3955*(1-N(F3955)),2),0))</f>
        <v/>
      </c>
      <c r="M3955" s="62" t="str">
        <f>IF(A3955="","",IFERROR(INDEX(fa_cname,MATCH(A3955,fa_num,0))&amp;"",""))</f>
        <v/>
      </c>
      <c r="N3955" s="59" t="str">
        <f>IF(COUNTA(A3955:G3955)=0,"",IF(A3955="","N° facture manquant",IF(ISNA(MATCH(A3955,fa_num,0)),"Facture inconnue",IF(AND(B3955&lt;&gt;"",ISNA(MATCH(B3955,pr_code,0))),"Article inconnu",IF(H3955="","Désignation manquante",IF(OR(NOT(ISNUMBER(D3955)),N(D3955)&lt;=0),"Quantité invalide",IF(J3955="","Prix manquant",IF(OR(NOT(ISNUMBER(J3955)),N(J3955)&lt;0),"Prix invalide",IF(OR(AND(F3955&lt;&gt;"",NOT(ISNUMBER(F3955))),N(F3955)&lt;0,N(F3955)&gt;1),"Remise invalide",IF(K3955="","Taux de TVA manquant",IF(NOT(ISNUMBER(K3955)),"Taux de TVA invalide",IF(COUNTIF(p_rates,K3955)=0,"Taux de TVA hors liste (Paramètres)",IF(N(O3955)&gt;25,"Au-delà de 25 lignes : non imprimée","OK")))))))))))))</f>
        <v/>
      </c>
      <c r="O3955" s="59" t="str">
        <f>IF(A3955="","",COUNTIF($A$6:A3955,A3955))</f>
        <v/>
      </c>
      <c r="P3955" s="62" t="str">
        <f>IF(A3955="","",A3955&amp;"|"&amp;O3955)</f>
        <v/>
      </c>
    </row>
    <row r="3956">
      <c r="A3956" s="60" t="n"/>
      <c r="B3956" s="63" t="n"/>
      <c r="C3956" s="63" t="n"/>
      <c r="D3956" s="67" t="n"/>
      <c r="E3956" s="68" t="n"/>
      <c r="F3956" s="69" t="n"/>
      <c r="G3956" s="70" t="n"/>
      <c r="H3956" s="62" t="str">
        <f>IF(COUNTA(A3956:G3956)=0,"",IF(C3956&lt;&gt;"",C3956,IF(B3956="","",IFERROR(INDEX(pr_des,MATCH(B3956,pr_code,0))&amp;"",""))))</f>
        <v/>
      </c>
      <c r="I3956" s="59" t="str">
        <f>IF(B3956="","",IFERROR(INDEX(pr_unit,MATCH(B3956,pr_code,0))&amp;"",""))</f>
        <v/>
      </c>
      <c r="J3956" s="65" t="str">
        <f>IF(COUNTA(A3956:G3956)=0,"",IF(E3956&lt;&gt;"",E3956,IF(B3956="","",IFERROR(IF(INDEX(pr_price,MATCH(B3956,pr_code,0))="","",INDEX(pr_price,MATCH(B3956,pr_code,0))),""))))</f>
        <v/>
      </c>
      <c r="K3956" s="71" t="str">
        <f>IF(COUNTA(A3956:G3956)=0,"",IF(G3956&lt;&gt;"",G3956,IF(B3956="","",IFERROR(IF(INDEX(pr_rate,MATCH(B3956,pr_code,0))="","",INDEX(pr_rate,MATCH(B3956,pr_code,0))),""))))</f>
        <v/>
      </c>
      <c r="L3956" s="65" t="str">
        <f>IF(COUNTA(A3956:G3956)=0,"",IF(AND(ISNUMBER(D3956),ISNUMBER(J3956)),ROUND(D3956*J3956*(1-N(F3956)),2),0))</f>
        <v/>
      </c>
      <c r="M3956" s="62" t="str">
        <f>IF(A3956="","",IFERROR(INDEX(fa_cname,MATCH(A3956,fa_num,0))&amp;"",""))</f>
        <v/>
      </c>
      <c r="N3956" s="59" t="str">
        <f>IF(COUNTA(A3956:G3956)=0,"",IF(A3956="","N° facture manquant",IF(ISNA(MATCH(A3956,fa_num,0)),"Facture inconnue",IF(AND(B3956&lt;&gt;"",ISNA(MATCH(B3956,pr_code,0))),"Article inconnu",IF(H3956="","Désignation manquante",IF(OR(NOT(ISNUMBER(D3956)),N(D3956)&lt;=0),"Quantité invalide",IF(J3956="","Prix manquant",IF(OR(NOT(ISNUMBER(J3956)),N(J3956)&lt;0),"Prix invalide",IF(OR(AND(F3956&lt;&gt;"",NOT(ISNUMBER(F3956))),N(F3956)&lt;0,N(F3956)&gt;1),"Remise invalide",IF(K3956="","Taux de TVA manquant",IF(NOT(ISNUMBER(K3956)),"Taux de TVA invalide",IF(COUNTIF(p_rates,K3956)=0,"Taux de TVA hors liste (Paramètres)",IF(N(O3956)&gt;25,"Au-delà de 25 lignes : non imprimée","OK")))))))))))))</f>
        <v/>
      </c>
      <c r="O3956" s="59" t="str">
        <f>IF(A3956="","",COUNTIF($A$6:A3956,A3956))</f>
        <v/>
      </c>
      <c r="P3956" s="62" t="str">
        <f>IF(A3956="","",A3956&amp;"|"&amp;O3956)</f>
        <v/>
      </c>
    </row>
    <row r="3957">
      <c r="A3957" s="60" t="n"/>
      <c r="B3957" s="63" t="n"/>
      <c r="C3957" s="63" t="n"/>
      <c r="D3957" s="67" t="n"/>
      <c r="E3957" s="68" t="n"/>
      <c r="F3957" s="69" t="n"/>
      <c r="G3957" s="70" t="n"/>
      <c r="H3957" s="62" t="str">
        <f>IF(COUNTA(A3957:G3957)=0,"",IF(C3957&lt;&gt;"",C3957,IF(B3957="","",IFERROR(INDEX(pr_des,MATCH(B3957,pr_code,0))&amp;"",""))))</f>
        <v/>
      </c>
      <c r="I3957" s="59" t="str">
        <f>IF(B3957="","",IFERROR(INDEX(pr_unit,MATCH(B3957,pr_code,0))&amp;"",""))</f>
        <v/>
      </c>
      <c r="J3957" s="65" t="str">
        <f>IF(COUNTA(A3957:G3957)=0,"",IF(E3957&lt;&gt;"",E3957,IF(B3957="","",IFERROR(IF(INDEX(pr_price,MATCH(B3957,pr_code,0))="","",INDEX(pr_price,MATCH(B3957,pr_code,0))),""))))</f>
        <v/>
      </c>
      <c r="K3957" s="71" t="str">
        <f>IF(COUNTA(A3957:G3957)=0,"",IF(G3957&lt;&gt;"",G3957,IF(B3957="","",IFERROR(IF(INDEX(pr_rate,MATCH(B3957,pr_code,0))="","",INDEX(pr_rate,MATCH(B3957,pr_code,0))),""))))</f>
        <v/>
      </c>
      <c r="L3957" s="65" t="str">
        <f>IF(COUNTA(A3957:G3957)=0,"",IF(AND(ISNUMBER(D3957),ISNUMBER(J3957)),ROUND(D3957*J3957*(1-N(F3957)),2),0))</f>
        <v/>
      </c>
      <c r="M3957" s="62" t="str">
        <f>IF(A3957="","",IFERROR(INDEX(fa_cname,MATCH(A3957,fa_num,0))&amp;"",""))</f>
        <v/>
      </c>
      <c r="N3957" s="59" t="str">
        <f>IF(COUNTA(A3957:G3957)=0,"",IF(A3957="","N° facture manquant",IF(ISNA(MATCH(A3957,fa_num,0)),"Facture inconnue",IF(AND(B3957&lt;&gt;"",ISNA(MATCH(B3957,pr_code,0))),"Article inconnu",IF(H3957="","Désignation manquante",IF(OR(NOT(ISNUMBER(D3957)),N(D3957)&lt;=0),"Quantité invalide",IF(J3957="","Prix manquant",IF(OR(NOT(ISNUMBER(J3957)),N(J3957)&lt;0),"Prix invalide",IF(OR(AND(F3957&lt;&gt;"",NOT(ISNUMBER(F3957))),N(F3957)&lt;0,N(F3957)&gt;1),"Remise invalide",IF(K3957="","Taux de TVA manquant",IF(NOT(ISNUMBER(K3957)),"Taux de TVA invalide",IF(COUNTIF(p_rates,K3957)=0,"Taux de TVA hors liste (Paramètres)",IF(N(O3957)&gt;25,"Au-delà de 25 lignes : non imprimée","OK")))))))))))))</f>
        <v/>
      </c>
      <c r="O3957" s="59" t="str">
        <f>IF(A3957="","",COUNTIF($A$6:A3957,A3957))</f>
        <v/>
      </c>
      <c r="P3957" s="62" t="str">
        <f>IF(A3957="","",A3957&amp;"|"&amp;O3957)</f>
        <v/>
      </c>
    </row>
    <row r="3958">
      <c r="A3958" s="60" t="n"/>
      <c r="B3958" s="63" t="n"/>
      <c r="C3958" s="63" t="n"/>
      <c r="D3958" s="67" t="n"/>
      <c r="E3958" s="68" t="n"/>
      <c r="F3958" s="69" t="n"/>
      <c r="G3958" s="70" t="n"/>
      <c r="H3958" s="62" t="str">
        <f>IF(COUNTA(A3958:G3958)=0,"",IF(C3958&lt;&gt;"",C3958,IF(B3958="","",IFERROR(INDEX(pr_des,MATCH(B3958,pr_code,0))&amp;"",""))))</f>
        <v/>
      </c>
      <c r="I3958" s="59" t="str">
        <f>IF(B3958="","",IFERROR(INDEX(pr_unit,MATCH(B3958,pr_code,0))&amp;"",""))</f>
        <v/>
      </c>
      <c r="J3958" s="65" t="str">
        <f>IF(COUNTA(A3958:G3958)=0,"",IF(E3958&lt;&gt;"",E3958,IF(B3958="","",IFERROR(IF(INDEX(pr_price,MATCH(B3958,pr_code,0))="","",INDEX(pr_price,MATCH(B3958,pr_code,0))),""))))</f>
        <v/>
      </c>
      <c r="K3958" s="71" t="str">
        <f>IF(COUNTA(A3958:G3958)=0,"",IF(G3958&lt;&gt;"",G3958,IF(B3958="","",IFERROR(IF(INDEX(pr_rate,MATCH(B3958,pr_code,0))="","",INDEX(pr_rate,MATCH(B3958,pr_code,0))),""))))</f>
        <v/>
      </c>
      <c r="L3958" s="65" t="str">
        <f>IF(COUNTA(A3958:G3958)=0,"",IF(AND(ISNUMBER(D3958),ISNUMBER(J3958)),ROUND(D3958*J3958*(1-N(F3958)),2),0))</f>
        <v/>
      </c>
      <c r="M3958" s="62" t="str">
        <f>IF(A3958="","",IFERROR(INDEX(fa_cname,MATCH(A3958,fa_num,0))&amp;"",""))</f>
        <v/>
      </c>
      <c r="N3958" s="59" t="str">
        <f>IF(COUNTA(A3958:G3958)=0,"",IF(A3958="","N° facture manquant",IF(ISNA(MATCH(A3958,fa_num,0)),"Facture inconnue",IF(AND(B3958&lt;&gt;"",ISNA(MATCH(B3958,pr_code,0))),"Article inconnu",IF(H3958="","Désignation manquante",IF(OR(NOT(ISNUMBER(D3958)),N(D3958)&lt;=0),"Quantité invalide",IF(J3958="","Prix manquant",IF(OR(NOT(ISNUMBER(J3958)),N(J3958)&lt;0),"Prix invalide",IF(OR(AND(F3958&lt;&gt;"",NOT(ISNUMBER(F3958))),N(F3958)&lt;0,N(F3958)&gt;1),"Remise invalide",IF(K3958="","Taux de TVA manquant",IF(NOT(ISNUMBER(K3958)),"Taux de TVA invalide",IF(COUNTIF(p_rates,K3958)=0,"Taux de TVA hors liste (Paramètres)",IF(N(O3958)&gt;25,"Au-delà de 25 lignes : non imprimée","OK")))))))))))))</f>
        <v/>
      </c>
      <c r="O3958" s="59" t="str">
        <f>IF(A3958="","",COUNTIF($A$6:A3958,A3958))</f>
        <v/>
      </c>
      <c r="P3958" s="62" t="str">
        <f>IF(A3958="","",A3958&amp;"|"&amp;O3958)</f>
        <v/>
      </c>
    </row>
    <row r="3959">
      <c r="A3959" s="60" t="n"/>
      <c r="B3959" s="63" t="n"/>
      <c r="C3959" s="63" t="n"/>
      <c r="D3959" s="67" t="n"/>
      <c r="E3959" s="68" t="n"/>
      <c r="F3959" s="69" t="n"/>
      <c r="G3959" s="70" t="n"/>
      <c r="H3959" s="62" t="str">
        <f>IF(COUNTA(A3959:G3959)=0,"",IF(C3959&lt;&gt;"",C3959,IF(B3959="","",IFERROR(INDEX(pr_des,MATCH(B3959,pr_code,0))&amp;"",""))))</f>
        <v/>
      </c>
      <c r="I3959" s="59" t="str">
        <f>IF(B3959="","",IFERROR(INDEX(pr_unit,MATCH(B3959,pr_code,0))&amp;"",""))</f>
        <v/>
      </c>
      <c r="J3959" s="65" t="str">
        <f>IF(COUNTA(A3959:G3959)=0,"",IF(E3959&lt;&gt;"",E3959,IF(B3959="","",IFERROR(IF(INDEX(pr_price,MATCH(B3959,pr_code,0))="","",INDEX(pr_price,MATCH(B3959,pr_code,0))),""))))</f>
        <v/>
      </c>
      <c r="K3959" s="71" t="str">
        <f>IF(COUNTA(A3959:G3959)=0,"",IF(G3959&lt;&gt;"",G3959,IF(B3959="","",IFERROR(IF(INDEX(pr_rate,MATCH(B3959,pr_code,0))="","",INDEX(pr_rate,MATCH(B3959,pr_code,0))),""))))</f>
        <v/>
      </c>
      <c r="L3959" s="65" t="str">
        <f>IF(COUNTA(A3959:G3959)=0,"",IF(AND(ISNUMBER(D3959),ISNUMBER(J3959)),ROUND(D3959*J3959*(1-N(F3959)),2),0))</f>
        <v/>
      </c>
      <c r="M3959" s="62" t="str">
        <f>IF(A3959="","",IFERROR(INDEX(fa_cname,MATCH(A3959,fa_num,0))&amp;"",""))</f>
        <v/>
      </c>
      <c r="N3959" s="59" t="str">
        <f>IF(COUNTA(A3959:G3959)=0,"",IF(A3959="","N° facture manquant",IF(ISNA(MATCH(A3959,fa_num,0)),"Facture inconnue",IF(AND(B3959&lt;&gt;"",ISNA(MATCH(B3959,pr_code,0))),"Article inconnu",IF(H3959="","Désignation manquante",IF(OR(NOT(ISNUMBER(D3959)),N(D3959)&lt;=0),"Quantité invalide",IF(J3959="","Prix manquant",IF(OR(NOT(ISNUMBER(J3959)),N(J3959)&lt;0),"Prix invalide",IF(OR(AND(F3959&lt;&gt;"",NOT(ISNUMBER(F3959))),N(F3959)&lt;0,N(F3959)&gt;1),"Remise invalide",IF(K3959="","Taux de TVA manquant",IF(NOT(ISNUMBER(K3959)),"Taux de TVA invalide",IF(COUNTIF(p_rates,K3959)=0,"Taux de TVA hors liste (Paramètres)",IF(N(O3959)&gt;25,"Au-delà de 25 lignes : non imprimée","OK")))))))))))))</f>
        <v/>
      </c>
      <c r="O3959" s="59" t="str">
        <f>IF(A3959="","",COUNTIF($A$6:A3959,A3959))</f>
        <v/>
      </c>
      <c r="P3959" s="62" t="str">
        <f>IF(A3959="","",A3959&amp;"|"&amp;O3959)</f>
        <v/>
      </c>
    </row>
    <row r="3960">
      <c r="A3960" s="60" t="n"/>
      <c r="B3960" s="63" t="n"/>
      <c r="C3960" s="63" t="n"/>
      <c r="D3960" s="67" t="n"/>
      <c r="E3960" s="68" t="n"/>
      <c r="F3960" s="69" t="n"/>
      <c r="G3960" s="70" t="n"/>
      <c r="H3960" s="62" t="str">
        <f>IF(COUNTA(A3960:G3960)=0,"",IF(C3960&lt;&gt;"",C3960,IF(B3960="","",IFERROR(INDEX(pr_des,MATCH(B3960,pr_code,0))&amp;"",""))))</f>
        <v/>
      </c>
      <c r="I3960" s="59" t="str">
        <f>IF(B3960="","",IFERROR(INDEX(pr_unit,MATCH(B3960,pr_code,0))&amp;"",""))</f>
        <v/>
      </c>
      <c r="J3960" s="65" t="str">
        <f>IF(COUNTA(A3960:G3960)=0,"",IF(E3960&lt;&gt;"",E3960,IF(B3960="","",IFERROR(IF(INDEX(pr_price,MATCH(B3960,pr_code,0))="","",INDEX(pr_price,MATCH(B3960,pr_code,0))),""))))</f>
        <v/>
      </c>
      <c r="K3960" s="71" t="str">
        <f>IF(COUNTA(A3960:G3960)=0,"",IF(G3960&lt;&gt;"",G3960,IF(B3960="","",IFERROR(IF(INDEX(pr_rate,MATCH(B3960,pr_code,0))="","",INDEX(pr_rate,MATCH(B3960,pr_code,0))),""))))</f>
        <v/>
      </c>
      <c r="L3960" s="65" t="str">
        <f>IF(COUNTA(A3960:G3960)=0,"",IF(AND(ISNUMBER(D3960),ISNUMBER(J3960)),ROUND(D3960*J3960*(1-N(F3960)),2),0))</f>
        <v/>
      </c>
      <c r="M3960" s="62" t="str">
        <f>IF(A3960="","",IFERROR(INDEX(fa_cname,MATCH(A3960,fa_num,0))&amp;"",""))</f>
        <v/>
      </c>
      <c r="N3960" s="59" t="str">
        <f>IF(COUNTA(A3960:G3960)=0,"",IF(A3960="","N° facture manquant",IF(ISNA(MATCH(A3960,fa_num,0)),"Facture inconnue",IF(AND(B3960&lt;&gt;"",ISNA(MATCH(B3960,pr_code,0))),"Article inconnu",IF(H3960="","Désignation manquante",IF(OR(NOT(ISNUMBER(D3960)),N(D3960)&lt;=0),"Quantité invalide",IF(J3960="","Prix manquant",IF(OR(NOT(ISNUMBER(J3960)),N(J3960)&lt;0),"Prix invalide",IF(OR(AND(F3960&lt;&gt;"",NOT(ISNUMBER(F3960))),N(F3960)&lt;0,N(F3960)&gt;1),"Remise invalide",IF(K3960="","Taux de TVA manquant",IF(NOT(ISNUMBER(K3960)),"Taux de TVA invalide",IF(COUNTIF(p_rates,K3960)=0,"Taux de TVA hors liste (Paramètres)",IF(N(O3960)&gt;25,"Au-delà de 25 lignes : non imprimée","OK")))))))))))))</f>
        <v/>
      </c>
      <c r="O3960" s="59" t="str">
        <f>IF(A3960="","",COUNTIF($A$6:A3960,A3960))</f>
        <v/>
      </c>
      <c r="P3960" s="62" t="str">
        <f>IF(A3960="","",A3960&amp;"|"&amp;O3960)</f>
        <v/>
      </c>
    </row>
    <row r="3961">
      <c r="A3961" s="60" t="n"/>
      <c r="B3961" s="63" t="n"/>
      <c r="C3961" s="63" t="n"/>
      <c r="D3961" s="67" t="n"/>
      <c r="E3961" s="68" t="n"/>
      <c r="F3961" s="69" t="n"/>
      <c r="G3961" s="70" t="n"/>
      <c r="H3961" s="62" t="str">
        <f>IF(COUNTA(A3961:G3961)=0,"",IF(C3961&lt;&gt;"",C3961,IF(B3961="","",IFERROR(INDEX(pr_des,MATCH(B3961,pr_code,0))&amp;"",""))))</f>
        <v/>
      </c>
      <c r="I3961" s="59" t="str">
        <f>IF(B3961="","",IFERROR(INDEX(pr_unit,MATCH(B3961,pr_code,0))&amp;"",""))</f>
        <v/>
      </c>
      <c r="J3961" s="65" t="str">
        <f>IF(COUNTA(A3961:G3961)=0,"",IF(E3961&lt;&gt;"",E3961,IF(B3961="","",IFERROR(IF(INDEX(pr_price,MATCH(B3961,pr_code,0))="","",INDEX(pr_price,MATCH(B3961,pr_code,0))),""))))</f>
        <v/>
      </c>
      <c r="K3961" s="71" t="str">
        <f>IF(COUNTA(A3961:G3961)=0,"",IF(G3961&lt;&gt;"",G3961,IF(B3961="","",IFERROR(IF(INDEX(pr_rate,MATCH(B3961,pr_code,0))="","",INDEX(pr_rate,MATCH(B3961,pr_code,0))),""))))</f>
        <v/>
      </c>
      <c r="L3961" s="65" t="str">
        <f>IF(COUNTA(A3961:G3961)=0,"",IF(AND(ISNUMBER(D3961),ISNUMBER(J3961)),ROUND(D3961*J3961*(1-N(F3961)),2),0))</f>
        <v/>
      </c>
      <c r="M3961" s="62" t="str">
        <f>IF(A3961="","",IFERROR(INDEX(fa_cname,MATCH(A3961,fa_num,0))&amp;"",""))</f>
        <v/>
      </c>
      <c r="N3961" s="59" t="str">
        <f>IF(COUNTA(A3961:G3961)=0,"",IF(A3961="","N° facture manquant",IF(ISNA(MATCH(A3961,fa_num,0)),"Facture inconnue",IF(AND(B3961&lt;&gt;"",ISNA(MATCH(B3961,pr_code,0))),"Article inconnu",IF(H3961="","Désignation manquante",IF(OR(NOT(ISNUMBER(D3961)),N(D3961)&lt;=0),"Quantité invalide",IF(J3961="","Prix manquant",IF(OR(NOT(ISNUMBER(J3961)),N(J3961)&lt;0),"Prix invalide",IF(OR(AND(F3961&lt;&gt;"",NOT(ISNUMBER(F3961))),N(F3961)&lt;0,N(F3961)&gt;1),"Remise invalide",IF(K3961="","Taux de TVA manquant",IF(NOT(ISNUMBER(K3961)),"Taux de TVA invalide",IF(COUNTIF(p_rates,K3961)=0,"Taux de TVA hors liste (Paramètres)",IF(N(O3961)&gt;25,"Au-delà de 25 lignes : non imprimée","OK")))))))))))))</f>
        <v/>
      </c>
      <c r="O3961" s="59" t="str">
        <f>IF(A3961="","",COUNTIF($A$6:A3961,A3961))</f>
        <v/>
      </c>
      <c r="P3961" s="62" t="str">
        <f>IF(A3961="","",A3961&amp;"|"&amp;O3961)</f>
        <v/>
      </c>
    </row>
    <row r="3962">
      <c r="A3962" s="60" t="n"/>
      <c r="B3962" s="63" t="n"/>
      <c r="C3962" s="63" t="n"/>
      <c r="D3962" s="67" t="n"/>
      <c r="E3962" s="68" t="n"/>
      <c r="F3962" s="69" t="n"/>
      <c r="G3962" s="70" t="n"/>
      <c r="H3962" s="62" t="str">
        <f>IF(COUNTA(A3962:G3962)=0,"",IF(C3962&lt;&gt;"",C3962,IF(B3962="","",IFERROR(INDEX(pr_des,MATCH(B3962,pr_code,0))&amp;"",""))))</f>
        <v/>
      </c>
      <c r="I3962" s="59" t="str">
        <f>IF(B3962="","",IFERROR(INDEX(pr_unit,MATCH(B3962,pr_code,0))&amp;"",""))</f>
        <v/>
      </c>
      <c r="J3962" s="65" t="str">
        <f>IF(COUNTA(A3962:G3962)=0,"",IF(E3962&lt;&gt;"",E3962,IF(B3962="","",IFERROR(IF(INDEX(pr_price,MATCH(B3962,pr_code,0))="","",INDEX(pr_price,MATCH(B3962,pr_code,0))),""))))</f>
        <v/>
      </c>
      <c r="K3962" s="71" t="str">
        <f>IF(COUNTA(A3962:G3962)=0,"",IF(G3962&lt;&gt;"",G3962,IF(B3962="","",IFERROR(IF(INDEX(pr_rate,MATCH(B3962,pr_code,0))="","",INDEX(pr_rate,MATCH(B3962,pr_code,0))),""))))</f>
        <v/>
      </c>
      <c r="L3962" s="65" t="str">
        <f>IF(COUNTA(A3962:G3962)=0,"",IF(AND(ISNUMBER(D3962),ISNUMBER(J3962)),ROUND(D3962*J3962*(1-N(F3962)),2),0))</f>
        <v/>
      </c>
      <c r="M3962" s="62" t="str">
        <f>IF(A3962="","",IFERROR(INDEX(fa_cname,MATCH(A3962,fa_num,0))&amp;"",""))</f>
        <v/>
      </c>
      <c r="N3962" s="59" t="str">
        <f>IF(COUNTA(A3962:G3962)=0,"",IF(A3962="","N° facture manquant",IF(ISNA(MATCH(A3962,fa_num,0)),"Facture inconnue",IF(AND(B3962&lt;&gt;"",ISNA(MATCH(B3962,pr_code,0))),"Article inconnu",IF(H3962="","Désignation manquante",IF(OR(NOT(ISNUMBER(D3962)),N(D3962)&lt;=0),"Quantité invalide",IF(J3962="","Prix manquant",IF(OR(NOT(ISNUMBER(J3962)),N(J3962)&lt;0),"Prix invalide",IF(OR(AND(F3962&lt;&gt;"",NOT(ISNUMBER(F3962))),N(F3962)&lt;0,N(F3962)&gt;1),"Remise invalide",IF(K3962="","Taux de TVA manquant",IF(NOT(ISNUMBER(K3962)),"Taux de TVA invalide",IF(COUNTIF(p_rates,K3962)=0,"Taux de TVA hors liste (Paramètres)",IF(N(O3962)&gt;25,"Au-delà de 25 lignes : non imprimée","OK")))))))))))))</f>
        <v/>
      </c>
      <c r="O3962" s="59" t="str">
        <f>IF(A3962="","",COUNTIF($A$6:A3962,A3962))</f>
        <v/>
      </c>
      <c r="P3962" s="62" t="str">
        <f>IF(A3962="","",A3962&amp;"|"&amp;O3962)</f>
        <v/>
      </c>
    </row>
    <row r="3963">
      <c r="A3963" s="60" t="n"/>
      <c r="B3963" s="63" t="n"/>
      <c r="C3963" s="63" t="n"/>
      <c r="D3963" s="67" t="n"/>
      <c r="E3963" s="68" t="n"/>
      <c r="F3963" s="69" t="n"/>
      <c r="G3963" s="70" t="n"/>
      <c r="H3963" s="62" t="str">
        <f>IF(COUNTA(A3963:G3963)=0,"",IF(C3963&lt;&gt;"",C3963,IF(B3963="","",IFERROR(INDEX(pr_des,MATCH(B3963,pr_code,0))&amp;"",""))))</f>
        <v/>
      </c>
      <c r="I3963" s="59" t="str">
        <f>IF(B3963="","",IFERROR(INDEX(pr_unit,MATCH(B3963,pr_code,0))&amp;"",""))</f>
        <v/>
      </c>
      <c r="J3963" s="65" t="str">
        <f>IF(COUNTA(A3963:G3963)=0,"",IF(E3963&lt;&gt;"",E3963,IF(B3963="","",IFERROR(IF(INDEX(pr_price,MATCH(B3963,pr_code,0))="","",INDEX(pr_price,MATCH(B3963,pr_code,0))),""))))</f>
        <v/>
      </c>
      <c r="K3963" s="71" t="str">
        <f>IF(COUNTA(A3963:G3963)=0,"",IF(G3963&lt;&gt;"",G3963,IF(B3963="","",IFERROR(IF(INDEX(pr_rate,MATCH(B3963,pr_code,0))="","",INDEX(pr_rate,MATCH(B3963,pr_code,0))),""))))</f>
        <v/>
      </c>
      <c r="L3963" s="65" t="str">
        <f>IF(COUNTA(A3963:G3963)=0,"",IF(AND(ISNUMBER(D3963),ISNUMBER(J3963)),ROUND(D3963*J3963*(1-N(F3963)),2),0))</f>
        <v/>
      </c>
      <c r="M3963" s="62" t="str">
        <f>IF(A3963="","",IFERROR(INDEX(fa_cname,MATCH(A3963,fa_num,0))&amp;"",""))</f>
        <v/>
      </c>
      <c r="N3963" s="59" t="str">
        <f>IF(COUNTA(A3963:G3963)=0,"",IF(A3963="","N° facture manquant",IF(ISNA(MATCH(A3963,fa_num,0)),"Facture inconnue",IF(AND(B3963&lt;&gt;"",ISNA(MATCH(B3963,pr_code,0))),"Article inconnu",IF(H3963="","Désignation manquante",IF(OR(NOT(ISNUMBER(D3963)),N(D3963)&lt;=0),"Quantité invalide",IF(J3963="","Prix manquant",IF(OR(NOT(ISNUMBER(J3963)),N(J3963)&lt;0),"Prix invalide",IF(OR(AND(F3963&lt;&gt;"",NOT(ISNUMBER(F3963))),N(F3963)&lt;0,N(F3963)&gt;1),"Remise invalide",IF(K3963="","Taux de TVA manquant",IF(NOT(ISNUMBER(K3963)),"Taux de TVA invalide",IF(COUNTIF(p_rates,K3963)=0,"Taux de TVA hors liste (Paramètres)",IF(N(O3963)&gt;25,"Au-delà de 25 lignes : non imprimée","OK")))))))))))))</f>
        <v/>
      </c>
      <c r="O3963" s="59" t="str">
        <f>IF(A3963="","",COUNTIF($A$6:A3963,A3963))</f>
        <v/>
      </c>
      <c r="P3963" s="62" t="str">
        <f>IF(A3963="","",A3963&amp;"|"&amp;O3963)</f>
        <v/>
      </c>
    </row>
    <row r="3964">
      <c r="A3964" s="60" t="n"/>
      <c r="B3964" s="63" t="n"/>
      <c r="C3964" s="63" t="n"/>
      <c r="D3964" s="67" t="n"/>
      <c r="E3964" s="68" t="n"/>
      <c r="F3964" s="69" t="n"/>
      <c r="G3964" s="70" t="n"/>
      <c r="H3964" s="62" t="str">
        <f>IF(COUNTA(A3964:G3964)=0,"",IF(C3964&lt;&gt;"",C3964,IF(B3964="","",IFERROR(INDEX(pr_des,MATCH(B3964,pr_code,0))&amp;"",""))))</f>
        <v/>
      </c>
      <c r="I3964" s="59" t="str">
        <f>IF(B3964="","",IFERROR(INDEX(pr_unit,MATCH(B3964,pr_code,0))&amp;"",""))</f>
        <v/>
      </c>
      <c r="J3964" s="65" t="str">
        <f>IF(COUNTA(A3964:G3964)=0,"",IF(E3964&lt;&gt;"",E3964,IF(B3964="","",IFERROR(IF(INDEX(pr_price,MATCH(B3964,pr_code,0))="","",INDEX(pr_price,MATCH(B3964,pr_code,0))),""))))</f>
        <v/>
      </c>
      <c r="K3964" s="71" t="str">
        <f>IF(COUNTA(A3964:G3964)=0,"",IF(G3964&lt;&gt;"",G3964,IF(B3964="","",IFERROR(IF(INDEX(pr_rate,MATCH(B3964,pr_code,0))="","",INDEX(pr_rate,MATCH(B3964,pr_code,0))),""))))</f>
        <v/>
      </c>
      <c r="L3964" s="65" t="str">
        <f>IF(COUNTA(A3964:G3964)=0,"",IF(AND(ISNUMBER(D3964),ISNUMBER(J3964)),ROUND(D3964*J3964*(1-N(F3964)),2),0))</f>
        <v/>
      </c>
      <c r="M3964" s="62" t="str">
        <f>IF(A3964="","",IFERROR(INDEX(fa_cname,MATCH(A3964,fa_num,0))&amp;"",""))</f>
        <v/>
      </c>
      <c r="N3964" s="59" t="str">
        <f>IF(COUNTA(A3964:G3964)=0,"",IF(A3964="","N° facture manquant",IF(ISNA(MATCH(A3964,fa_num,0)),"Facture inconnue",IF(AND(B3964&lt;&gt;"",ISNA(MATCH(B3964,pr_code,0))),"Article inconnu",IF(H3964="","Désignation manquante",IF(OR(NOT(ISNUMBER(D3964)),N(D3964)&lt;=0),"Quantité invalide",IF(J3964="","Prix manquant",IF(OR(NOT(ISNUMBER(J3964)),N(J3964)&lt;0),"Prix invalide",IF(OR(AND(F3964&lt;&gt;"",NOT(ISNUMBER(F3964))),N(F3964)&lt;0,N(F3964)&gt;1),"Remise invalide",IF(K3964="","Taux de TVA manquant",IF(NOT(ISNUMBER(K3964)),"Taux de TVA invalide",IF(COUNTIF(p_rates,K3964)=0,"Taux de TVA hors liste (Paramètres)",IF(N(O3964)&gt;25,"Au-delà de 25 lignes : non imprimée","OK")))))))))))))</f>
        <v/>
      </c>
      <c r="O3964" s="59" t="str">
        <f>IF(A3964="","",COUNTIF($A$6:A3964,A3964))</f>
        <v/>
      </c>
      <c r="P3964" s="62" t="str">
        <f>IF(A3964="","",A3964&amp;"|"&amp;O3964)</f>
        <v/>
      </c>
    </row>
    <row r="3965">
      <c r="A3965" s="60" t="n"/>
      <c r="B3965" s="63" t="n"/>
      <c r="C3965" s="63" t="n"/>
      <c r="D3965" s="67" t="n"/>
      <c r="E3965" s="68" t="n"/>
      <c r="F3965" s="69" t="n"/>
      <c r="G3965" s="70" t="n"/>
      <c r="H3965" s="62" t="str">
        <f>IF(COUNTA(A3965:G3965)=0,"",IF(C3965&lt;&gt;"",C3965,IF(B3965="","",IFERROR(INDEX(pr_des,MATCH(B3965,pr_code,0))&amp;"",""))))</f>
        <v/>
      </c>
      <c r="I3965" s="59" t="str">
        <f>IF(B3965="","",IFERROR(INDEX(pr_unit,MATCH(B3965,pr_code,0))&amp;"",""))</f>
        <v/>
      </c>
      <c r="J3965" s="65" t="str">
        <f>IF(COUNTA(A3965:G3965)=0,"",IF(E3965&lt;&gt;"",E3965,IF(B3965="","",IFERROR(IF(INDEX(pr_price,MATCH(B3965,pr_code,0))="","",INDEX(pr_price,MATCH(B3965,pr_code,0))),""))))</f>
        <v/>
      </c>
      <c r="K3965" s="71" t="str">
        <f>IF(COUNTA(A3965:G3965)=0,"",IF(G3965&lt;&gt;"",G3965,IF(B3965="","",IFERROR(IF(INDEX(pr_rate,MATCH(B3965,pr_code,0))="","",INDEX(pr_rate,MATCH(B3965,pr_code,0))),""))))</f>
        <v/>
      </c>
      <c r="L3965" s="65" t="str">
        <f>IF(COUNTA(A3965:G3965)=0,"",IF(AND(ISNUMBER(D3965),ISNUMBER(J3965)),ROUND(D3965*J3965*(1-N(F3965)),2),0))</f>
        <v/>
      </c>
      <c r="M3965" s="62" t="str">
        <f>IF(A3965="","",IFERROR(INDEX(fa_cname,MATCH(A3965,fa_num,0))&amp;"",""))</f>
        <v/>
      </c>
      <c r="N3965" s="59" t="str">
        <f>IF(COUNTA(A3965:G3965)=0,"",IF(A3965="","N° facture manquant",IF(ISNA(MATCH(A3965,fa_num,0)),"Facture inconnue",IF(AND(B3965&lt;&gt;"",ISNA(MATCH(B3965,pr_code,0))),"Article inconnu",IF(H3965="","Désignation manquante",IF(OR(NOT(ISNUMBER(D3965)),N(D3965)&lt;=0),"Quantité invalide",IF(J3965="","Prix manquant",IF(OR(NOT(ISNUMBER(J3965)),N(J3965)&lt;0),"Prix invalide",IF(OR(AND(F3965&lt;&gt;"",NOT(ISNUMBER(F3965))),N(F3965)&lt;0,N(F3965)&gt;1),"Remise invalide",IF(K3965="","Taux de TVA manquant",IF(NOT(ISNUMBER(K3965)),"Taux de TVA invalide",IF(COUNTIF(p_rates,K3965)=0,"Taux de TVA hors liste (Paramètres)",IF(N(O3965)&gt;25,"Au-delà de 25 lignes : non imprimée","OK")))))))))))))</f>
        <v/>
      </c>
      <c r="O3965" s="59" t="str">
        <f>IF(A3965="","",COUNTIF($A$6:A3965,A3965))</f>
        <v/>
      </c>
      <c r="P3965" s="62" t="str">
        <f>IF(A3965="","",A3965&amp;"|"&amp;O3965)</f>
        <v/>
      </c>
    </row>
    <row r="3966">
      <c r="A3966" s="60" t="n"/>
      <c r="B3966" s="63" t="n"/>
      <c r="C3966" s="63" t="n"/>
      <c r="D3966" s="67" t="n"/>
      <c r="E3966" s="68" t="n"/>
      <c r="F3966" s="69" t="n"/>
      <c r="G3966" s="70" t="n"/>
      <c r="H3966" s="62" t="str">
        <f>IF(COUNTA(A3966:G3966)=0,"",IF(C3966&lt;&gt;"",C3966,IF(B3966="","",IFERROR(INDEX(pr_des,MATCH(B3966,pr_code,0))&amp;"",""))))</f>
        <v/>
      </c>
      <c r="I3966" s="59" t="str">
        <f>IF(B3966="","",IFERROR(INDEX(pr_unit,MATCH(B3966,pr_code,0))&amp;"",""))</f>
        <v/>
      </c>
      <c r="J3966" s="65" t="str">
        <f>IF(COUNTA(A3966:G3966)=0,"",IF(E3966&lt;&gt;"",E3966,IF(B3966="","",IFERROR(IF(INDEX(pr_price,MATCH(B3966,pr_code,0))="","",INDEX(pr_price,MATCH(B3966,pr_code,0))),""))))</f>
        <v/>
      </c>
      <c r="K3966" s="71" t="str">
        <f>IF(COUNTA(A3966:G3966)=0,"",IF(G3966&lt;&gt;"",G3966,IF(B3966="","",IFERROR(IF(INDEX(pr_rate,MATCH(B3966,pr_code,0))="","",INDEX(pr_rate,MATCH(B3966,pr_code,0))),""))))</f>
        <v/>
      </c>
      <c r="L3966" s="65" t="str">
        <f>IF(COUNTA(A3966:G3966)=0,"",IF(AND(ISNUMBER(D3966),ISNUMBER(J3966)),ROUND(D3966*J3966*(1-N(F3966)),2),0))</f>
        <v/>
      </c>
      <c r="M3966" s="62" t="str">
        <f>IF(A3966="","",IFERROR(INDEX(fa_cname,MATCH(A3966,fa_num,0))&amp;"",""))</f>
        <v/>
      </c>
      <c r="N3966" s="59" t="str">
        <f>IF(COUNTA(A3966:G3966)=0,"",IF(A3966="","N° facture manquant",IF(ISNA(MATCH(A3966,fa_num,0)),"Facture inconnue",IF(AND(B3966&lt;&gt;"",ISNA(MATCH(B3966,pr_code,0))),"Article inconnu",IF(H3966="","Désignation manquante",IF(OR(NOT(ISNUMBER(D3966)),N(D3966)&lt;=0),"Quantité invalide",IF(J3966="","Prix manquant",IF(OR(NOT(ISNUMBER(J3966)),N(J3966)&lt;0),"Prix invalide",IF(OR(AND(F3966&lt;&gt;"",NOT(ISNUMBER(F3966))),N(F3966)&lt;0,N(F3966)&gt;1),"Remise invalide",IF(K3966="","Taux de TVA manquant",IF(NOT(ISNUMBER(K3966)),"Taux de TVA invalide",IF(COUNTIF(p_rates,K3966)=0,"Taux de TVA hors liste (Paramètres)",IF(N(O3966)&gt;25,"Au-delà de 25 lignes : non imprimée","OK")))))))))))))</f>
        <v/>
      </c>
      <c r="O3966" s="59" t="str">
        <f>IF(A3966="","",COUNTIF($A$6:A3966,A3966))</f>
        <v/>
      </c>
      <c r="P3966" s="62" t="str">
        <f>IF(A3966="","",A3966&amp;"|"&amp;O3966)</f>
        <v/>
      </c>
    </row>
    <row r="3967">
      <c r="A3967" s="60" t="n"/>
      <c r="B3967" s="63" t="n"/>
      <c r="C3967" s="63" t="n"/>
      <c r="D3967" s="67" t="n"/>
      <c r="E3967" s="68" t="n"/>
      <c r="F3967" s="69" t="n"/>
      <c r="G3967" s="70" t="n"/>
      <c r="H3967" s="62" t="str">
        <f>IF(COUNTA(A3967:G3967)=0,"",IF(C3967&lt;&gt;"",C3967,IF(B3967="","",IFERROR(INDEX(pr_des,MATCH(B3967,pr_code,0))&amp;"",""))))</f>
        <v/>
      </c>
      <c r="I3967" s="59" t="str">
        <f>IF(B3967="","",IFERROR(INDEX(pr_unit,MATCH(B3967,pr_code,0))&amp;"",""))</f>
        <v/>
      </c>
      <c r="J3967" s="65" t="str">
        <f>IF(COUNTA(A3967:G3967)=0,"",IF(E3967&lt;&gt;"",E3967,IF(B3967="","",IFERROR(IF(INDEX(pr_price,MATCH(B3967,pr_code,0))="","",INDEX(pr_price,MATCH(B3967,pr_code,0))),""))))</f>
        <v/>
      </c>
      <c r="K3967" s="71" t="str">
        <f>IF(COUNTA(A3967:G3967)=0,"",IF(G3967&lt;&gt;"",G3967,IF(B3967="","",IFERROR(IF(INDEX(pr_rate,MATCH(B3967,pr_code,0))="","",INDEX(pr_rate,MATCH(B3967,pr_code,0))),""))))</f>
        <v/>
      </c>
      <c r="L3967" s="65" t="str">
        <f>IF(COUNTA(A3967:G3967)=0,"",IF(AND(ISNUMBER(D3967),ISNUMBER(J3967)),ROUND(D3967*J3967*(1-N(F3967)),2),0))</f>
        <v/>
      </c>
      <c r="M3967" s="62" t="str">
        <f>IF(A3967="","",IFERROR(INDEX(fa_cname,MATCH(A3967,fa_num,0))&amp;"",""))</f>
        <v/>
      </c>
      <c r="N3967" s="59" t="str">
        <f>IF(COUNTA(A3967:G3967)=0,"",IF(A3967="","N° facture manquant",IF(ISNA(MATCH(A3967,fa_num,0)),"Facture inconnue",IF(AND(B3967&lt;&gt;"",ISNA(MATCH(B3967,pr_code,0))),"Article inconnu",IF(H3967="","Désignation manquante",IF(OR(NOT(ISNUMBER(D3967)),N(D3967)&lt;=0),"Quantité invalide",IF(J3967="","Prix manquant",IF(OR(NOT(ISNUMBER(J3967)),N(J3967)&lt;0),"Prix invalide",IF(OR(AND(F3967&lt;&gt;"",NOT(ISNUMBER(F3967))),N(F3967)&lt;0,N(F3967)&gt;1),"Remise invalide",IF(K3967="","Taux de TVA manquant",IF(NOT(ISNUMBER(K3967)),"Taux de TVA invalide",IF(COUNTIF(p_rates,K3967)=0,"Taux de TVA hors liste (Paramètres)",IF(N(O3967)&gt;25,"Au-delà de 25 lignes : non imprimée","OK")))))))))))))</f>
        <v/>
      </c>
      <c r="O3967" s="59" t="str">
        <f>IF(A3967="","",COUNTIF($A$6:A3967,A3967))</f>
        <v/>
      </c>
      <c r="P3967" s="62" t="str">
        <f>IF(A3967="","",A3967&amp;"|"&amp;O3967)</f>
        <v/>
      </c>
    </row>
    <row r="3968">
      <c r="A3968" s="60" t="n"/>
      <c r="B3968" s="63" t="n"/>
      <c r="C3968" s="63" t="n"/>
      <c r="D3968" s="67" t="n"/>
      <c r="E3968" s="68" t="n"/>
      <c r="F3968" s="69" t="n"/>
      <c r="G3968" s="70" t="n"/>
      <c r="H3968" s="62" t="str">
        <f>IF(COUNTA(A3968:G3968)=0,"",IF(C3968&lt;&gt;"",C3968,IF(B3968="","",IFERROR(INDEX(pr_des,MATCH(B3968,pr_code,0))&amp;"",""))))</f>
        <v/>
      </c>
      <c r="I3968" s="59" t="str">
        <f>IF(B3968="","",IFERROR(INDEX(pr_unit,MATCH(B3968,pr_code,0))&amp;"",""))</f>
        <v/>
      </c>
      <c r="J3968" s="65" t="str">
        <f>IF(COUNTA(A3968:G3968)=0,"",IF(E3968&lt;&gt;"",E3968,IF(B3968="","",IFERROR(IF(INDEX(pr_price,MATCH(B3968,pr_code,0))="","",INDEX(pr_price,MATCH(B3968,pr_code,0))),""))))</f>
        <v/>
      </c>
      <c r="K3968" s="71" t="str">
        <f>IF(COUNTA(A3968:G3968)=0,"",IF(G3968&lt;&gt;"",G3968,IF(B3968="","",IFERROR(IF(INDEX(pr_rate,MATCH(B3968,pr_code,0))="","",INDEX(pr_rate,MATCH(B3968,pr_code,0))),""))))</f>
        <v/>
      </c>
      <c r="L3968" s="65" t="str">
        <f>IF(COUNTA(A3968:G3968)=0,"",IF(AND(ISNUMBER(D3968),ISNUMBER(J3968)),ROUND(D3968*J3968*(1-N(F3968)),2),0))</f>
        <v/>
      </c>
      <c r="M3968" s="62" t="str">
        <f>IF(A3968="","",IFERROR(INDEX(fa_cname,MATCH(A3968,fa_num,0))&amp;"",""))</f>
        <v/>
      </c>
      <c r="N3968" s="59" t="str">
        <f>IF(COUNTA(A3968:G3968)=0,"",IF(A3968="","N° facture manquant",IF(ISNA(MATCH(A3968,fa_num,0)),"Facture inconnue",IF(AND(B3968&lt;&gt;"",ISNA(MATCH(B3968,pr_code,0))),"Article inconnu",IF(H3968="","Désignation manquante",IF(OR(NOT(ISNUMBER(D3968)),N(D3968)&lt;=0),"Quantité invalide",IF(J3968="","Prix manquant",IF(OR(NOT(ISNUMBER(J3968)),N(J3968)&lt;0),"Prix invalide",IF(OR(AND(F3968&lt;&gt;"",NOT(ISNUMBER(F3968))),N(F3968)&lt;0,N(F3968)&gt;1),"Remise invalide",IF(K3968="","Taux de TVA manquant",IF(NOT(ISNUMBER(K3968)),"Taux de TVA invalide",IF(COUNTIF(p_rates,K3968)=0,"Taux de TVA hors liste (Paramètres)",IF(N(O3968)&gt;25,"Au-delà de 25 lignes : non imprimée","OK")))))))))))))</f>
        <v/>
      </c>
      <c r="O3968" s="59" t="str">
        <f>IF(A3968="","",COUNTIF($A$6:A3968,A3968))</f>
        <v/>
      </c>
      <c r="P3968" s="62" t="str">
        <f>IF(A3968="","",A3968&amp;"|"&amp;O3968)</f>
        <v/>
      </c>
    </row>
    <row r="3969">
      <c r="A3969" s="60" t="n"/>
      <c r="B3969" s="63" t="n"/>
      <c r="C3969" s="63" t="n"/>
      <c r="D3969" s="67" t="n"/>
      <c r="E3969" s="68" t="n"/>
      <c r="F3969" s="69" t="n"/>
      <c r="G3969" s="70" t="n"/>
      <c r="H3969" s="62" t="str">
        <f>IF(COUNTA(A3969:G3969)=0,"",IF(C3969&lt;&gt;"",C3969,IF(B3969="","",IFERROR(INDEX(pr_des,MATCH(B3969,pr_code,0))&amp;"",""))))</f>
        <v/>
      </c>
      <c r="I3969" s="59" t="str">
        <f>IF(B3969="","",IFERROR(INDEX(pr_unit,MATCH(B3969,pr_code,0))&amp;"",""))</f>
        <v/>
      </c>
      <c r="J3969" s="65" t="str">
        <f>IF(COUNTA(A3969:G3969)=0,"",IF(E3969&lt;&gt;"",E3969,IF(B3969="","",IFERROR(IF(INDEX(pr_price,MATCH(B3969,pr_code,0))="","",INDEX(pr_price,MATCH(B3969,pr_code,0))),""))))</f>
        <v/>
      </c>
      <c r="K3969" s="71" t="str">
        <f>IF(COUNTA(A3969:G3969)=0,"",IF(G3969&lt;&gt;"",G3969,IF(B3969="","",IFERROR(IF(INDEX(pr_rate,MATCH(B3969,pr_code,0))="","",INDEX(pr_rate,MATCH(B3969,pr_code,0))),""))))</f>
        <v/>
      </c>
      <c r="L3969" s="65" t="str">
        <f>IF(COUNTA(A3969:G3969)=0,"",IF(AND(ISNUMBER(D3969),ISNUMBER(J3969)),ROUND(D3969*J3969*(1-N(F3969)),2),0))</f>
        <v/>
      </c>
      <c r="M3969" s="62" t="str">
        <f>IF(A3969="","",IFERROR(INDEX(fa_cname,MATCH(A3969,fa_num,0))&amp;"",""))</f>
        <v/>
      </c>
      <c r="N3969" s="59" t="str">
        <f>IF(COUNTA(A3969:G3969)=0,"",IF(A3969="","N° facture manquant",IF(ISNA(MATCH(A3969,fa_num,0)),"Facture inconnue",IF(AND(B3969&lt;&gt;"",ISNA(MATCH(B3969,pr_code,0))),"Article inconnu",IF(H3969="","Désignation manquante",IF(OR(NOT(ISNUMBER(D3969)),N(D3969)&lt;=0),"Quantité invalide",IF(J3969="","Prix manquant",IF(OR(NOT(ISNUMBER(J3969)),N(J3969)&lt;0),"Prix invalide",IF(OR(AND(F3969&lt;&gt;"",NOT(ISNUMBER(F3969))),N(F3969)&lt;0,N(F3969)&gt;1),"Remise invalide",IF(K3969="","Taux de TVA manquant",IF(NOT(ISNUMBER(K3969)),"Taux de TVA invalide",IF(COUNTIF(p_rates,K3969)=0,"Taux de TVA hors liste (Paramètres)",IF(N(O3969)&gt;25,"Au-delà de 25 lignes : non imprimée","OK")))))))))))))</f>
        <v/>
      </c>
      <c r="O3969" s="59" t="str">
        <f>IF(A3969="","",COUNTIF($A$6:A3969,A3969))</f>
        <v/>
      </c>
      <c r="P3969" s="62" t="str">
        <f>IF(A3969="","",A3969&amp;"|"&amp;O3969)</f>
        <v/>
      </c>
    </row>
    <row r="3970">
      <c r="A3970" s="60" t="n"/>
      <c r="B3970" s="63" t="n"/>
      <c r="C3970" s="63" t="n"/>
      <c r="D3970" s="67" t="n"/>
      <c r="E3970" s="68" t="n"/>
      <c r="F3970" s="69" t="n"/>
      <c r="G3970" s="70" t="n"/>
      <c r="H3970" s="62" t="str">
        <f>IF(COUNTA(A3970:G3970)=0,"",IF(C3970&lt;&gt;"",C3970,IF(B3970="","",IFERROR(INDEX(pr_des,MATCH(B3970,pr_code,0))&amp;"",""))))</f>
        <v/>
      </c>
      <c r="I3970" s="59" t="str">
        <f>IF(B3970="","",IFERROR(INDEX(pr_unit,MATCH(B3970,pr_code,0))&amp;"",""))</f>
        <v/>
      </c>
      <c r="J3970" s="65" t="str">
        <f>IF(COUNTA(A3970:G3970)=0,"",IF(E3970&lt;&gt;"",E3970,IF(B3970="","",IFERROR(IF(INDEX(pr_price,MATCH(B3970,pr_code,0))="","",INDEX(pr_price,MATCH(B3970,pr_code,0))),""))))</f>
        <v/>
      </c>
      <c r="K3970" s="71" t="str">
        <f>IF(COUNTA(A3970:G3970)=0,"",IF(G3970&lt;&gt;"",G3970,IF(B3970="","",IFERROR(IF(INDEX(pr_rate,MATCH(B3970,pr_code,0))="","",INDEX(pr_rate,MATCH(B3970,pr_code,0))),""))))</f>
        <v/>
      </c>
      <c r="L3970" s="65" t="str">
        <f>IF(COUNTA(A3970:G3970)=0,"",IF(AND(ISNUMBER(D3970),ISNUMBER(J3970)),ROUND(D3970*J3970*(1-N(F3970)),2),0))</f>
        <v/>
      </c>
      <c r="M3970" s="62" t="str">
        <f>IF(A3970="","",IFERROR(INDEX(fa_cname,MATCH(A3970,fa_num,0))&amp;"",""))</f>
        <v/>
      </c>
      <c r="N3970" s="59" t="str">
        <f>IF(COUNTA(A3970:G3970)=0,"",IF(A3970="","N° facture manquant",IF(ISNA(MATCH(A3970,fa_num,0)),"Facture inconnue",IF(AND(B3970&lt;&gt;"",ISNA(MATCH(B3970,pr_code,0))),"Article inconnu",IF(H3970="","Désignation manquante",IF(OR(NOT(ISNUMBER(D3970)),N(D3970)&lt;=0),"Quantité invalide",IF(J3970="","Prix manquant",IF(OR(NOT(ISNUMBER(J3970)),N(J3970)&lt;0),"Prix invalide",IF(OR(AND(F3970&lt;&gt;"",NOT(ISNUMBER(F3970))),N(F3970)&lt;0,N(F3970)&gt;1),"Remise invalide",IF(K3970="","Taux de TVA manquant",IF(NOT(ISNUMBER(K3970)),"Taux de TVA invalide",IF(COUNTIF(p_rates,K3970)=0,"Taux de TVA hors liste (Paramètres)",IF(N(O3970)&gt;25,"Au-delà de 25 lignes : non imprimée","OK")))))))))))))</f>
        <v/>
      </c>
      <c r="O3970" s="59" t="str">
        <f>IF(A3970="","",COUNTIF($A$6:A3970,A3970))</f>
        <v/>
      </c>
      <c r="P3970" s="62" t="str">
        <f>IF(A3970="","",A3970&amp;"|"&amp;O3970)</f>
        <v/>
      </c>
    </row>
    <row r="3971">
      <c r="A3971" s="60" t="n"/>
      <c r="B3971" s="63" t="n"/>
      <c r="C3971" s="63" t="n"/>
      <c r="D3971" s="67" t="n"/>
      <c r="E3971" s="68" t="n"/>
      <c r="F3971" s="69" t="n"/>
      <c r="G3971" s="70" t="n"/>
      <c r="H3971" s="62" t="str">
        <f>IF(COUNTA(A3971:G3971)=0,"",IF(C3971&lt;&gt;"",C3971,IF(B3971="","",IFERROR(INDEX(pr_des,MATCH(B3971,pr_code,0))&amp;"",""))))</f>
        <v/>
      </c>
      <c r="I3971" s="59" t="str">
        <f>IF(B3971="","",IFERROR(INDEX(pr_unit,MATCH(B3971,pr_code,0))&amp;"",""))</f>
        <v/>
      </c>
      <c r="J3971" s="65" t="str">
        <f>IF(COUNTA(A3971:G3971)=0,"",IF(E3971&lt;&gt;"",E3971,IF(B3971="","",IFERROR(IF(INDEX(pr_price,MATCH(B3971,pr_code,0))="","",INDEX(pr_price,MATCH(B3971,pr_code,0))),""))))</f>
        <v/>
      </c>
      <c r="K3971" s="71" t="str">
        <f>IF(COUNTA(A3971:G3971)=0,"",IF(G3971&lt;&gt;"",G3971,IF(B3971="","",IFERROR(IF(INDEX(pr_rate,MATCH(B3971,pr_code,0))="","",INDEX(pr_rate,MATCH(B3971,pr_code,0))),""))))</f>
        <v/>
      </c>
      <c r="L3971" s="65" t="str">
        <f>IF(COUNTA(A3971:G3971)=0,"",IF(AND(ISNUMBER(D3971),ISNUMBER(J3971)),ROUND(D3971*J3971*(1-N(F3971)),2),0))</f>
        <v/>
      </c>
      <c r="M3971" s="62" t="str">
        <f>IF(A3971="","",IFERROR(INDEX(fa_cname,MATCH(A3971,fa_num,0))&amp;"",""))</f>
        <v/>
      </c>
      <c r="N3971" s="59" t="str">
        <f>IF(COUNTA(A3971:G3971)=0,"",IF(A3971="","N° facture manquant",IF(ISNA(MATCH(A3971,fa_num,0)),"Facture inconnue",IF(AND(B3971&lt;&gt;"",ISNA(MATCH(B3971,pr_code,0))),"Article inconnu",IF(H3971="","Désignation manquante",IF(OR(NOT(ISNUMBER(D3971)),N(D3971)&lt;=0),"Quantité invalide",IF(J3971="","Prix manquant",IF(OR(NOT(ISNUMBER(J3971)),N(J3971)&lt;0),"Prix invalide",IF(OR(AND(F3971&lt;&gt;"",NOT(ISNUMBER(F3971))),N(F3971)&lt;0,N(F3971)&gt;1),"Remise invalide",IF(K3971="","Taux de TVA manquant",IF(NOT(ISNUMBER(K3971)),"Taux de TVA invalide",IF(COUNTIF(p_rates,K3971)=0,"Taux de TVA hors liste (Paramètres)",IF(N(O3971)&gt;25,"Au-delà de 25 lignes : non imprimée","OK")))))))))))))</f>
        <v/>
      </c>
      <c r="O3971" s="59" t="str">
        <f>IF(A3971="","",COUNTIF($A$6:A3971,A3971))</f>
        <v/>
      </c>
      <c r="P3971" s="62" t="str">
        <f>IF(A3971="","",A3971&amp;"|"&amp;O3971)</f>
        <v/>
      </c>
    </row>
    <row r="3972">
      <c r="A3972" s="60" t="n"/>
      <c r="B3972" s="63" t="n"/>
      <c r="C3972" s="63" t="n"/>
      <c r="D3972" s="67" t="n"/>
      <c r="E3972" s="68" t="n"/>
      <c r="F3972" s="69" t="n"/>
      <c r="G3972" s="70" t="n"/>
      <c r="H3972" s="62" t="str">
        <f>IF(COUNTA(A3972:G3972)=0,"",IF(C3972&lt;&gt;"",C3972,IF(B3972="","",IFERROR(INDEX(pr_des,MATCH(B3972,pr_code,0))&amp;"",""))))</f>
        <v/>
      </c>
      <c r="I3972" s="59" t="str">
        <f>IF(B3972="","",IFERROR(INDEX(pr_unit,MATCH(B3972,pr_code,0))&amp;"",""))</f>
        <v/>
      </c>
      <c r="J3972" s="65" t="str">
        <f>IF(COUNTA(A3972:G3972)=0,"",IF(E3972&lt;&gt;"",E3972,IF(B3972="","",IFERROR(IF(INDEX(pr_price,MATCH(B3972,pr_code,0))="","",INDEX(pr_price,MATCH(B3972,pr_code,0))),""))))</f>
        <v/>
      </c>
      <c r="K3972" s="71" t="str">
        <f>IF(COUNTA(A3972:G3972)=0,"",IF(G3972&lt;&gt;"",G3972,IF(B3972="","",IFERROR(IF(INDEX(pr_rate,MATCH(B3972,pr_code,0))="","",INDEX(pr_rate,MATCH(B3972,pr_code,0))),""))))</f>
        <v/>
      </c>
      <c r="L3972" s="65" t="str">
        <f>IF(COUNTA(A3972:G3972)=0,"",IF(AND(ISNUMBER(D3972),ISNUMBER(J3972)),ROUND(D3972*J3972*(1-N(F3972)),2),0))</f>
        <v/>
      </c>
      <c r="M3972" s="62" t="str">
        <f>IF(A3972="","",IFERROR(INDEX(fa_cname,MATCH(A3972,fa_num,0))&amp;"",""))</f>
        <v/>
      </c>
      <c r="N3972" s="59" t="str">
        <f>IF(COUNTA(A3972:G3972)=0,"",IF(A3972="","N° facture manquant",IF(ISNA(MATCH(A3972,fa_num,0)),"Facture inconnue",IF(AND(B3972&lt;&gt;"",ISNA(MATCH(B3972,pr_code,0))),"Article inconnu",IF(H3972="","Désignation manquante",IF(OR(NOT(ISNUMBER(D3972)),N(D3972)&lt;=0),"Quantité invalide",IF(J3972="","Prix manquant",IF(OR(NOT(ISNUMBER(J3972)),N(J3972)&lt;0),"Prix invalide",IF(OR(AND(F3972&lt;&gt;"",NOT(ISNUMBER(F3972))),N(F3972)&lt;0,N(F3972)&gt;1),"Remise invalide",IF(K3972="","Taux de TVA manquant",IF(NOT(ISNUMBER(K3972)),"Taux de TVA invalide",IF(COUNTIF(p_rates,K3972)=0,"Taux de TVA hors liste (Paramètres)",IF(N(O3972)&gt;25,"Au-delà de 25 lignes : non imprimée","OK")))))))))))))</f>
        <v/>
      </c>
      <c r="O3972" s="59" t="str">
        <f>IF(A3972="","",COUNTIF($A$6:A3972,A3972))</f>
        <v/>
      </c>
      <c r="P3972" s="62" t="str">
        <f>IF(A3972="","",A3972&amp;"|"&amp;O3972)</f>
        <v/>
      </c>
    </row>
    <row r="3973">
      <c r="A3973" s="60" t="n"/>
      <c r="B3973" s="63" t="n"/>
      <c r="C3973" s="63" t="n"/>
      <c r="D3973" s="67" t="n"/>
      <c r="E3973" s="68" t="n"/>
      <c r="F3973" s="69" t="n"/>
      <c r="G3973" s="70" t="n"/>
      <c r="H3973" s="62" t="str">
        <f>IF(COUNTA(A3973:G3973)=0,"",IF(C3973&lt;&gt;"",C3973,IF(B3973="","",IFERROR(INDEX(pr_des,MATCH(B3973,pr_code,0))&amp;"",""))))</f>
        <v/>
      </c>
      <c r="I3973" s="59" t="str">
        <f>IF(B3973="","",IFERROR(INDEX(pr_unit,MATCH(B3973,pr_code,0))&amp;"",""))</f>
        <v/>
      </c>
      <c r="J3973" s="65" t="str">
        <f>IF(COUNTA(A3973:G3973)=0,"",IF(E3973&lt;&gt;"",E3973,IF(B3973="","",IFERROR(IF(INDEX(pr_price,MATCH(B3973,pr_code,0))="","",INDEX(pr_price,MATCH(B3973,pr_code,0))),""))))</f>
        <v/>
      </c>
      <c r="K3973" s="71" t="str">
        <f>IF(COUNTA(A3973:G3973)=0,"",IF(G3973&lt;&gt;"",G3973,IF(B3973="","",IFERROR(IF(INDEX(pr_rate,MATCH(B3973,pr_code,0))="","",INDEX(pr_rate,MATCH(B3973,pr_code,0))),""))))</f>
        <v/>
      </c>
      <c r="L3973" s="65" t="str">
        <f>IF(COUNTA(A3973:G3973)=0,"",IF(AND(ISNUMBER(D3973),ISNUMBER(J3973)),ROUND(D3973*J3973*(1-N(F3973)),2),0))</f>
        <v/>
      </c>
      <c r="M3973" s="62" t="str">
        <f>IF(A3973="","",IFERROR(INDEX(fa_cname,MATCH(A3973,fa_num,0))&amp;"",""))</f>
        <v/>
      </c>
      <c r="N3973" s="59" t="str">
        <f>IF(COUNTA(A3973:G3973)=0,"",IF(A3973="","N° facture manquant",IF(ISNA(MATCH(A3973,fa_num,0)),"Facture inconnue",IF(AND(B3973&lt;&gt;"",ISNA(MATCH(B3973,pr_code,0))),"Article inconnu",IF(H3973="","Désignation manquante",IF(OR(NOT(ISNUMBER(D3973)),N(D3973)&lt;=0),"Quantité invalide",IF(J3973="","Prix manquant",IF(OR(NOT(ISNUMBER(J3973)),N(J3973)&lt;0),"Prix invalide",IF(OR(AND(F3973&lt;&gt;"",NOT(ISNUMBER(F3973))),N(F3973)&lt;0,N(F3973)&gt;1),"Remise invalide",IF(K3973="","Taux de TVA manquant",IF(NOT(ISNUMBER(K3973)),"Taux de TVA invalide",IF(COUNTIF(p_rates,K3973)=0,"Taux de TVA hors liste (Paramètres)",IF(N(O3973)&gt;25,"Au-delà de 25 lignes : non imprimée","OK")))))))))))))</f>
        <v/>
      </c>
      <c r="O3973" s="59" t="str">
        <f>IF(A3973="","",COUNTIF($A$6:A3973,A3973))</f>
        <v/>
      </c>
      <c r="P3973" s="62" t="str">
        <f>IF(A3973="","",A3973&amp;"|"&amp;O3973)</f>
        <v/>
      </c>
    </row>
    <row r="3974">
      <c r="A3974" s="60" t="n"/>
      <c r="B3974" s="63" t="n"/>
      <c r="C3974" s="63" t="n"/>
      <c r="D3974" s="67" t="n"/>
      <c r="E3974" s="68" t="n"/>
      <c r="F3974" s="69" t="n"/>
      <c r="G3974" s="70" t="n"/>
      <c r="H3974" s="62" t="str">
        <f>IF(COUNTA(A3974:G3974)=0,"",IF(C3974&lt;&gt;"",C3974,IF(B3974="","",IFERROR(INDEX(pr_des,MATCH(B3974,pr_code,0))&amp;"",""))))</f>
        <v/>
      </c>
      <c r="I3974" s="59" t="str">
        <f>IF(B3974="","",IFERROR(INDEX(pr_unit,MATCH(B3974,pr_code,0))&amp;"",""))</f>
        <v/>
      </c>
      <c r="J3974" s="65" t="str">
        <f>IF(COUNTA(A3974:G3974)=0,"",IF(E3974&lt;&gt;"",E3974,IF(B3974="","",IFERROR(IF(INDEX(pr_price,MATCH(B3974,pr_code,0))="","",INDEX(pr_price,MATCH(B3974,pr_code,0))),""))))</f>
        <v/>
      </c>
      <c r="K3974" s="71" t="str">
        <f>IF(COUNTA(A3974:G3974)=0,"",IF(G3974&lt;&gt;"",G3974,IF(B3974="","",IFERROR(IF(INDEX(pr_rate,MATCH(B3974,pr_code,0))="","",INDEX(pr_rate,MATCH(B3974,pr_code,0))),""))))</f>
        <v/>
      </c>
      <c r="L3974" s="65" t="str">
        <f>IF(COUNTA(A3974:G3974)=0,"",IF(AND(ISNUMBER(D3974),ISNUMBER(J3974)),ROUND(D3974*J3974*(1-N(F3974)),2),0))</f>
        <v/>
      </c>
      <c r="M3974" s="62" t="str">
        <f>IF(A3974="","",IFERROR(INDEX(fa_cname,MATCH(A3974,fa_num,0))&amp;"",""))</f>
        <v/>
      </c>
      <c r="N3974" s="59" t="str">
        <f>IF(COUNTA(A3974:G3974)=0,"",IF(A3974="","N° facture manquant",IF(ISNA(MATCH(A3974,fa_num,0)),"Facture inconnue",IF(AND(B3974&lt;&gt;"",ISNA(MATCH(B3974,pr_code,0))),"Article inconnu",IF(H3974="","Désignation manquante",IF(OR(NOT(ISNUMBER(D3974)),N(D3974)&lt;=0),"Quantité invalide",IF(J3974="","Prix manquant",IF(OR(NOT(ISNUMBER(J3974)),N(J3974)&lt;0),"Prix invalide",IF(OR(AND(F3974&lt;&gt;"",NOT(ISNUMBER(F3974))),N(F3974)&lt;0,N(F3974)&gt;1),"Remise invalide",IF(K3974="","Taux de TVA manquant",IF(NOT(ISNUMBER(K3974)),"Taux de TVA invalide",IF(COUNTIF(p_rates,K3974)=0,"Taux de TVA hors liste (Paramètres)",IF(N(O3974)&gt;25,"Au-delà de 25 lignes : non imprimée","OK")))))))))))))</f>
        <v/>
      </c>
      <c r="O3974" s="59" t="str">
        <f>IF(A3974="","",COUNTIF($A$6:A3974,A3974))</f>
        <v/>
      </c>
      <c r="P3974" s="62" t="str">
        <f>IF(A3974="","",A3974&amp;"|"&amp;O3974)</f>
        <v/>
      </c>
    </row>
    <row r="3975">
      <c r="A3975" s="60" t="n"/>
      <c r="B3975" s="63" t="n"/>
      <c r="C3975" s="63" t="n"/>
      <c r="D3975" s="67" t="n"/>
      <c r="E3975" s="68" t="n"/>
      <c r="F3975" s="69" t="n"/>
      <c r="G3975" s="70" t="n"/>
      <c r="H3975" s="62" t="str">
        <f>IF(COUNTA(A3975:G3975)=0,"",IF(C3975&lt;&gt;"",C3975,IF(B3975="","",IFERROR(INDEX(pr_des,MATCH(B3975,pr_code,0))&amp;"",""))))</f>
        <v/>
      </c>
      <c r="I3975" s="59" t="str">
        <f>IF(B3975="","",IFERROR(INDEX(pr_unit,MATCH(B3975,pr_code,0))&amp;"",""))</f>
        <v/>
      </c>
      <c r="J3975" s="65" t="str">
        <f>IF(COUNTA(A3975:G3975)=0,"",IF(E3975&lt;&gt;"",E3975,IF(B3975="","",IFERROR(IF(INDEX(pr_price,MATCH(B3975,pr_code,0))="","",INDEX(pr_price,MATCH(B3975,pr_code,0))),""))))</f>
        <v/>
      </c>
      <c r="K3975" s="71" t="str">
        <f>IF(COUNTA(A3975:G3975)=0,"",IF(G3975&lt;&gt;"",G3975,IF(B3975="","",IFERROR(IF(INDEX(pr_rate,MATCH(B3975,pr_code,0))="","",INDEX(pr_rate,MATCH(B3975,pr_code,0))),""))))</f>
        <v/>
      </c>
      <c r="L3975" s="65" t="str">
        <f>IF(COUNTA(A3975:G3975)=0,"",IF(AND(ISNUMBER(D3975),ISNUMBER(J3975)),ROUND(D3975*J3975*(1-N(F3975)),2),0))</f>
        <v/>
      </c>
      <c r="M3975" s="62" t="str">
        <f>IF(A3975="","",IFERROR(INDEX(fa_cname,MATCH(A3975,fa_num,0))&amp;"",""))</f>
        <v/>
      </c>
      <c r="N3975" s="59" t="str">
        <f>IF(COUNTA(A3975:G3975)=0,"",IF(A3975="","N° facture manquant",IF(ISNA(MATCH(A3975,fa_num,0)),"Facture inconnue",IF(AND(B3975&lt;&gt;"",ISNA(MATCH(B3975,pr_code,0))),"Article inconnu",IF(H3975="","Désignation manquante",IF(OR(NOT(ISNUMBER(D3975)),N(D3975)&lt;=0),"Quantité invalide",IF(J3975="","Prix manquant",IF(OR(NOT(ISNUMBER(J3975)),N(J3975)&lt;0),"Prix invalide",IF(OR(AND(F3975&lt;&gt;"",NOT(ISNUMBER(F3975))),N(F3975)&lt;0,N(F3975)&gt;1),"Remise invalide",IF(K3975="","Taux de TVA manquant",IF(NOT(ISNUMBER(K3975)),"Taux de TVA invalide",IF(COUNTIF(p_rates,K3975)=0,"Taux de TVA hors liste (Paramètres)",IF(N(O3975)&gt;25,"Au-delà de 25 lignes : non imprimée","OK")))))))))))))</f>
        <v/>
      </c>
      <c r="O3975" s="59" t="str">
        <f>IF(A3975="","",COUNTIF($A$6:A3975,A3975))</f>
        <v/>
      </c>
      <c r="P3975" s="62" t="str">
        <f>IF(A3975="","",A3975&amp;"|"&amp;O3975)</f>
        <v/>
      </c>
    </row>
    <row r="3976">
      <c r="A3976" s="60" t="n"/>
      <c r="B3976" s="63" t="n"/>
      <c r="C3976" s="63" t="n"/>
      <c r="D3976" s="67" t="n"/>
      <c r="E3976" s="68" t="n"/>
      <c r="F3976" s="69" t="n"/>
      <c r="G3976" s="70" t="n"/>
      <c r="H3976" s="62" t="str">
        <f>IF(COUNTA(A3976:G3976)=0,"",IF(C3976&lt;&gt;"",C3976,IF(B3976="","",IFERROR(INDEX(pr_des,MATCH(B3976,pr_code,0))&amp;"",""))))</f>
        <v/>
      </c>
      <c r="I3976" s="59" t="str">
        <f>IF(B3976="","",IFERROR(INDEX(pr_unit,MATCH(B3976,pr_code,0))&amp;"",""))</f>
        <v/>
      </c>
      <c r="J3976" s="65" t="str">
        <f>IF(COUNTA(A3976:G3976)=0,"",IF(E3976&lt;&gt;"",E3976,IF(B3976="","",IFERROR(IF(INDEX(pr_price,MATCH(B3976,pr_code,0))="","",INDEX(pr_price,MATCH(B3976,pr_code,0))),""))))</f>
        <v/>
      </c>
      <c r="K3976" s="71" t="str">
        <f>IF(COUNTA(A3976:G3976)=0,"",IF(G3976&lt;&gt;"",G3976,IF(B3976="","",IFERROR(IF(INDEX(pr_rate,MATCH(B3976,pr_code,0))="","",INDEX(pr_rate,MATCH(B3976,pr_code,0))),""))))</f>
        <v/>
      </c>
      <c r="L3976" s="65" t="str">
        <f>IF(COUNTA(A3976:G3976)=0,"",IF(AND(ISNUMBER(D3976),ISNUMBER(J3976)),ROUND(D3976*J3976*(1-N(F3976)),2),0))</f>
        <v/>
      </c>
      <c r="M3976" s="62" t="str">
        <f>IF(A3976="","",IFERROR(INDEX(fa_cname,MATCH(A3976,fa_num,0))&amp;"",""))</f>
        <v/>
      </c>
      <c r="N3976" s="59" t="str">
        <f>IF(COUNTA(A3976:G3976)=0,"",IF(A3976="","N° facture manquant",IF(ISNA(MATCH(A3976,fa_num,0)),"Facture inconnue",IF(AND(B3976&lt;&gt;"",ISNA(MATCH(B3976,pr_code,0))),"Article inconnu",IF(H3976="","Désignation manquante",IF(OR(NOT(ISNUMBER(D3976)),N(D3976)&lt;=0),"Quantité invalide",IF(J3976="","Prix manquant",IF(OR(NOT(ISNUMBER(J3976)),N(J3976)&lt;0),"Prix invalide",IF(OR(AND(F3976&lt;&gt;"",NOT(ISNUMBER(F3976))),N(F3976)&lt;0,N(F3976)&gt;1),"Remise invalide",IF(K3976="","Taux de TVA manquant",IF(NOT(ISNUMBER(K3976)),"Taux de TVA invalide",IF(COUNTIF(p_rates,K3976)=0,"Taux de TVA hors liste (Paramètres)",IF(N(O3976)&gt;25,"Au-delà de 25 lignes : non imprimée","OK")))))))))))))</f>
        <v/>
      </c>
      <c r="O3976" s="59" t="str">
        <f>IF(A3976="","",COUNTIF($A$6:A3976,A3976))</f>
        <v/>
      </c>
      <c r="P3976" s="62" t="str">
        <f>IF(A3976="","",A3976&amp;"|"&amp;O3976)</f>
        <v/>
      </c>
    </row>
    <row r="3977">
      <c r="A3977" s="60" t="n"/>
      <c r="B3977" s="63" t="n"/>
      <c r="C3977" s="63" t="n"/>
      <c r="D3977" s="67" t="n"/>
      <c r="E3977" s="68" t="n"/>
      <c r="F3977" s="69" t="n"/>
      <c r="G3977" s="70" t="n"/>
      <c r="H3977" s="62" t="str">
        <f>IF(COUNTA(A3977:G3977)=0,"",IF(C3977&lt;&gt;"",C3977,IF(B3977="","",IFERROR(INDEX(pr_des,MATCH(B3977,pr_code,0))&amp;"",""))))</f>
        <v/>
      </c>
      <c r="I3977" s="59" t="str">
        <f>IF(B3977="","",IFERROR(INDEX(pr_unit,MATCH(B3977,pr_code,0))&amp;"",""))</f>
        <v/>
      </c>
      <c r="J3977" s="65" t="str">
        <f>IF(COUNTA(A3977:G3977)=0,"",IF(E3977&lt;&gt;"",E3977,IF(B3977="","",IFERROR(IF(INDEX(pr_price,MATCH(B3977,pr_code,0))="","",INDEX(pr_price,MATCH(B3977,pr_code,0))),""))))</f>
        <v/>
      </c>
      <c r="K3977" s="71" t="str">
        <f>IF(COUNTA(A3977:G3977)=0,"",IF(G3977&lt;&gt;"",G3977,IF(B3977="","",IFERROR(IF(INDEX(pr_rate,MATCH(B3977,pr_code,0))="","",INDEX(pr_rate,MATCH(B3977,pr_code,0))),""))))</f>
        <v/>
      </c>
      <c r="L3977" s="65" t="str">
        <f>IF(COUNTA(A3977:G3977)=0,"",IF(AND(ISNUMBER(D3977),ISNUMBER(J3977)),ROUND(D3977*J3977*(1-N(F3977)),2),0))</f>
        <v/>
      </c>
      <c r="M3977" s="62" t="str">
        <f>IF(A3977="","",IFERROR(INDEX(fa_cname,MATCH(A3977,fa_num,0))&amp;"",""))</f>
        <v/>
      </c>
      <c r="N3977" s="59" t="str">
        <f>IF(COUNTA(A3977:G3977)=0,"",IF(A3977="","N° facture manquant",IF(ISNA(MATCH(A3977,fa_num,0)),"Facture inconnue",IF(AND(B3977&lt;&gt;"",ISNA(MATCH(B3977,pr_code,0))),"Article inconnu",IF(H3977="","Désignation manquante",IF(OR(NOT(ISNUMBER(D3977)),N(D3977)&lt;=0),"Quantité invalide",IF(J3977="","Prix manquant",IF(OR(NOT(ISNUMBER(J3977)),N(J3977)&lt;0),"Prix invalide",IF(OR(AND(F3977&lt;&gt;"",NOT(ISNUMBER(F3977))),N(F3977)&lt;0,N(F3977)&gt;1),"Remise invalide",IF(K3977="","Taux de TVA manquant",IF(NOT(ISNUMBER(K3977)),"Taux de TVA invalide",IF(COUNTIF(p_rates,K3977)=0,"Taux de TVA hors liste (Paramètres)",IF(N(O3977)&gt;25,"Au-delà de 25 lignes : non imprimée","OK")))))))))))))</f>
        <v/>
      </c>
      <c r="O3977" s="59" t="str">
        <f>IF(A3977="","",COUNTIF($A$6:A3977,A3977))</f>
        <v/>
      </c>
      <c r="P3977" s="62" t="str">
        <f>IF(A3977="","",A3977&amp;"|"&amp;O3977)</f>
        <v/>
      </c>
    </row>
    <row r="3978">
      <c r="A3978" s="60" t="n"/>
      <c r="B3978" s="63" t="n"/>
      <c r="C3978" s="63" t="n"/>
      <c r="D3978" s="67" t="n"/>
      <c r="E3978" s="68" t="n"/>
      <c r="F3978" s="69" t="n"/>
      <c r="G3978" s="70" t="n"/>
      <c r="H3978" s="62" t="str">
        <f>IF(COUNTA(A3978:G3978)=0,"",IF(C3978&lt;&gt;"",C3978,IF(B3978="","",IFERROR(INDEX(pr_des,MATCH(B3978,pr_code,0))&amp;"",""))))</f>
        <v/>
      </c>
      <c r="I3978" s="59" t="str">
        <f>IF(B3978="","",IFERROR(INDEX(pr_unit,MATCH(B3978,pr_code,0))&amp;"",""))</f>
        <v/>
      </c>
      <c r="J3978" s="65" t="str">
        <f>IF(COUNTA(A3978:G3978)=0,"",IF(E3978&lt;&gt;"",E3978,IF(B3978="","",IFERROR(IF(INDEX(pr_price,MATCH(B3978,pr_code,0))="","",INDEX(pr_price,MATCH(B3978,pr_code,0))),""))))</f>
        <v/>
      </c>
      <c r="K3978" s="71" t="str">
        <f>IF(COUNTA(A3978:G3978)=0,"",IF(G3978&lt;&gt;"",G3978,IF(B3978="","",IFERROR(IF(INDEX(pr_rate,MATCH(B3978,pr_code,0))="","",INDEX(pr_rate,MATCH(B3978,pr_code,0))),""))))</f>
        <v/>
      </c>
      <c r="L3978" s="65" t="str">
        <f>IF(COUNTA(A3978:G3978)=0,"",IF(AND(ISNUMBER(D3978),ISNUMBER(J3978)),ROUND(D3978*J3978*(1-N(F3978)),2),0))</f>
        <v/>
      </c>
      <c r="M3978" s="62" t="str">
        <f>IF(A3978="","",IFERROR(INDEX(fa_cname,MATCH(A3978,fa_num,0))&amp;"",""))</f>
        <v/>
      </c>
      <c r="N3978" s="59" t="str">
        <f>IF(COUNTA(A3978:G3978)=0,"",IF(A3978="","N° facture manquant",IF(ISNA(MATCH(A3978,fa_num,0)),"Facture inconnue",IF(AND(B3978&lt;&gt;"",ISNA(MATCH(B3978,pr_code,0))),"Article inconnu",IF(H3978="","Désignation manquante",IF(OR(NOT(ISNUMBER(D3978)),N(D3978)&lt;=0),"Quantité invalide",IF(J3978="","Prix manquant",IF(OR(NOT(ISNUMBER(J3978)),N(J3978)&lt;0),"Prix invalide",IF(OR(AND(F3978&lt;&gt;"",NOT(ISNUMBER(F3978))),N(F3978)&lt;0,N(F3978)&gt;1),"Remise invalide",IF(K3978="","Taux de TVA manquant",IF(NOT(ISNUMBER(K3978)),"Taux de TVA invalide",IF(COUNTIF(p_rates,K3978)=0,"Taux de TVA hors liste (Paramètres)",IF(N(O3978)&gt;25,"Au-delà de 25 lignes : non imprimée","OK")))))))))))))</f>
        <v/>
      </c>
      <c r="O3978" s="59" t="str">
        <f>IF(A3978="","",COUNTIF($A$6:A3978,A3978))</f>
        <v/>
      </c>
      <c r="P3978" s="62" t="str">
        <f>IF(A3978="","",A3978&amp;"|"&amp;O3978)</f>
        <v/>
      </c>
    </row>
    <row r="3979">
      <c r="A3979" s="60" t="n"/>
      <c r="B3979" s="63" t="n"/>
      <c r="C3979" s="63" t="n"/>
      <c r="D3979" s="67" t="n"/>
      <c r="E3979" s="68" t="n"/>
      <c r="F3979" s="69" t="n"/>
      <c r="G3979" s="70" t="n"/>
      <c r="H3979" s="62" t="str">
        <f>IF(COUNTA(A3979:G3979)=0,"",IF(C3979&lt;&gt;"",C3979,IF(B3979="","",IFERROR(INDEX(pr_des,MATCH(B3979,pr_code,0))&amp;"",""))))</f>
        <v/>
      </c>
      <c r="I3979" s="59" t="str">
        <f>IF(B3979="","",IFERROR(INDEX(pr_unit,MATCH(B3979,pr_code,0))&amp;"",""))</f>
        <v/>
      </c>
      <c r="J3979" s="65" t="str">
        <f>IF(COUNTA(A3979:G3979)=0,"",IF(E3979&lt;&gt;"",E3979,IF(B3979="","",IFERROR(IF(INDEX(pr_price,MATCH(B3979,pr_code,0))="","",INDEX(pr_price,MATCH(B3979,pr_code,0))),""))))</f>
        <v/>
      </c>
      <c r="K3979" s="71" t="str">
        <f>IF(COUNTA(A3979:G3979)=0,"",IF(G3979&lt;&gt;"",G3979,IF(B3979="","",IFERROR(IF(INDEX(pr_rate,MATCH(B3979,pr_code,0))="","",INDEX(pr_rate,MATCH(B3979,pr_code,0))),""))))</f>
        <v/>
      </c>
      <c r="L3979" s="65" t="str">
        <f>IF(COUNTA(A3979:G3979)=0,"",IF(AND(ISNUMBER(D3979),ISNUMBER(J3979)),ROUND(D3979*J3979*(1-N(F3979)),2),0))</f>
        <v/>
      </c>
      <c r="M3979" s="62" t="str">
        <f>IF(A3979="","",IFERROR(INDEX(fa_cname,MATCH(A3979,fa_num,0))&amp;"",""))</f>
        <v/>
      </c>
      <c r="N3979" s="59" t="str">
        <f>IF(COUNTA(A3979:G3979)=0,"",IF(A3979="","N° facture manquant",IF(ISNA(MATCH(A3979,fa_num,0)),"Facture inconnue",IF(AND(B3979&lt;&gt;"",ISNA(MATCH(B3979,pr_code,0))),"Article inconnu",IF(H3979="","Désignation manquante",IF(OR(NOT(ISNUMBER(D3979)),N(D3979)&lt;=0),"Quantité invalide",IF(J3979="","Prix manquant",IF(OR(NOT(ISNUMBER(J3979)),N(J3979)&lt;0),"Prix invalide",IF(OR(AND(F3979&lt;&gt;"",NOT(ISNUMBER(F3979))),N(F3979)&lt;0,N(F3979)&gt;1),"Remise invalide",IF(K3979="","Taux de TVA manquant",IF(NOT(ISNUMBER(K3979)),"Taux de TVA invalide",IF(COUNTIF(p_rates,K3979)=0,"Taux de TVA hors liste (Paramètres)",IF(N(O3979)&gt;25,"Au-delà de 25 lignes : non imprimée","OK")))))))))))))</f>
        <v/>
      </c>
      <c r="O3979" s="59" t="str">
        <f>IF(A3979="","",COUNTIF($A$6:A3979,A3979))</f>
        <v/>
      </c>
      <c r="P3979" s="62" t="str">
        <f>IF(A3979="","",A3979&amp;"|"&amp;O3979)</f>
        <v/>
      </c>
    </row>
    <row r="3980">
      <c r="A3980" s="60" t="n"/>
      <c r="B3980" s="63" t="n"/>
      <c r="C3980" s="63" t="n"/>
      <c r="D3980" s="67" t="n"/>
      <c r="E3980" s="68" t="n"/>
      <c r="F3980" s="69" t="n"/>
      <c r="G3980" s="70" t="n"/>
      <c r="H3980" s="62" t="str">
        <f>IF(COUNTA(A3980:G3980)=0,"",IF(C3980&lt;&gt;"",C3980,IF(B3980="","",IFERROR(INDEX(pr_des,MATCH(B3980,pr_code,0))&amp;"",""))))</f>
        <v/>
      </c>
      <c r="I3980" s="59" t="str">
        <f>IF(B3980="","",IFERROR(INDEX(pr_unit,MATCH(B3980,pr_code,0))&amp;"",""))</f>
        <v/>
      </c>
      <c r="J3980" s="65" t="str">
        <f>IF(COUNTA(A3980:G3980)=0,"",IF(E3980&lt;&gt;"",E3980,IF(B3980="","",IFERROR(IF(INDEX(pr_price,MATCH(B3980,pr_code,0))="","",INDEX(pr_price,MATCH(B3980,pr_code,0))),""))))</f>
        <v/>
      </c>
      <c r="K3980" s="71" t="str">
        <f>IF(COUNTA(A3980:G3980)=0,"",IF(G3980&lt;&gt;"",G3980,IF(B3980="","",IFERROR(IF(INDEX(pr_rate,MATCH(B3980,pr_code,0))="","",INDEX(pr_rate,MATCH(B3980,pr_code,0))),""))))</f>
        <v/>
      </c>
      <c r="L3980" s="65" t="str">
        <f>IF(COUNTA(A3980:G3980)=0,"",IF(AND(ISNUMBER(D3980),ISNUMBER(J3980)),ROUND(D3980*J3980*(1-N(F3980)),2),0))</f>
        <v/>
      </c>
      <c r="M3980" s="62" t="str">
        <f>IF(A3980="","",IFERROR(INDEX(fa_cname,MATCH(A3980,fa_num,0))&amp;"",""))</f>
        <v/>
      </c>
      <c r="N3980" s="59" t="str">
        <f>IF(COUNTA(A3980:G3980)=0,"",IF(A3980="","N° facture manquant",IF(ISNA(MATCH(A3980,fa_num,0)),"Facture inconnue",IF(AND(B3980&lt;&gt;"",ISNA(MATCH(B3980,pr_code,0))),"Article inconnu",IF(H3980="","Désignation manquante",IF(OR(NOT(ISNUMBER(D3980)),N(D3980)&lt;=0),"Quantité invalide",IF(J3980="","Prix manquant",IF(OR(NOT(ISNUMBER(J3980)),N(J3980)&lt;0),"Prix invalide",IF(OR(AND(F3980&lt;&gt;"",NOT(ISNUMBER(F3980))),N(F3980)&lt;0,N(F3980)&gt;1),"Remise invalide",IF(K3980="","Taux de TVA manquant",IF(NOT(ISNUMBER(K3980)),"Taux de TVA invalide",IF(COUNTIF(p_rates,K3980)=0,"Taux de TVA hors liste (Paramètres)",IF(N(O3980)&gt;25,"Au-delà de 25 lignes : non imprimée","OK")))))))))))))</f>
        <v/>
      </c>
      <c r="O3980" s="59" t="str">
        <f>IF(A3980="","",COUNTIF($A$6:A3980,A3980))</f>
        <v/>
      </c>
      <c r="P3980" s="62" t="str">
        <f>IF(A3980="","",A3980&amp;"|"&amp;O3980)</f>
        <v/>
      </c>
    </row>
    <row r="3981">
      <c r="A3981" s="60" t="n"/>
      <c r="B3981" s="63" t="n"/>
      <c r="C3981" s="63" t="n"/>
      <c r="D3981" s="67" t="n"/>
      <c r="E3981" s="68" t="n"/>
      <c r="F3981" s="69" t="n"/>
      <c r="G3981" s="70" t="n"/>
      <c r="H3981" s="62" t="str">
        <f>IF(COUNTA(A3981:G3981)=0,"",IF(C3981&lt;&gt;"",C3981,IF(B3981="","",IFERROR(INDEX(pr_des,MATCH(B3981,pr_code,0))&amp;"",""))))</f>
        <v/>
      </c>
      <c r="I3981" s="59" t="str">
        <f>IF(B3981="","",IFERROR(INDEX(pr_unit,MATCH(B3981,pr_code,0))&amp;"",""))</f>
        <v/>
      </c>
      <c r="J3981" s="65" t="str">
        <f>IF(COUNTA(A3981:G3981)=0,"",IF(E3981&lt;&gt;"",E3981,IF(B3981="","",IFERROR(IF(INDEX(pr_price,MATCH(B3981,pr_code,0))="","",INDEX(pr_price,MATCH(B3981,pr_code,0))),""))))</f>
        <v/>
      </c>
      <c r="K3981" s="71" t="str">
        <f>IF(COUNTA(A3981:G3981)=0,"",IF(G3981&lt;&gt;"",G3981,IF(B3981="","",IFERROR(IF(INDEX(pr_rate,MATCH(B3981,pr_code,0))="","",INDEX(pr_rate,MATCH(B3981,pr_code,0))),""))))</f>
        <v/>
      </c>
      <c r="L3981" s="65" t="str">
        <f>IF(COUNTA(A3981:G3981)=0,"",IF(AND(ISNUMBER(D3981),ISNUMBER(J3981)),ROUND(D3981*J3981*(1-N(F3981)),2),0))</f>
        <v/>
      </c>
      <c r="M3981" s="62" t="str">
        <f>IF(A3981="","",IFERROR(INDEX(fa_cname,MATCH(A3981,fa_num,0))&amp;"",""))</f>
        <v/>
      </c>
      <c r="N3981" s="59" t="str">
        <f>IF(COUNTA(A3981:G3981)=0,"",IF(A3981="","N° facture manquant",IF(ISNA(MATCH(A3981,fa_num,0)),"Facture inconnue",IF(AND(B3981&lt;&gt;"",ISNA(MATCH(B3981,pr_code,0))),"Article inconnu",IF(H3981="","Désignation manquante",IF(OR(NOT(ISNUMBER(D3981)),N(D3981)&lt;=0),"Quantité invalide",IF(J3981="","Prix manquant",IF(OR(NOT(ISNUMBER(J3981)),N(J3981)&lt;0),"Prix invalide",IF(OR(AND(F3981&lt;&gt;"",NOT(ISNUMBER(F3981))),N(F3981)&lt;0,N(F3981)&gt;1),"Remise invalide",IF(K3981="","Taux de TVA manquant",IF(NOT(ISNUMBER(K3981)),"Taux de TVA invalide",IF(COUNTIF(p_rates,K3981)=0,"Taux de TVA hors liste (Paramètres)",IF(N(O3981)&gt;25,"Au-delà de 25 lignes : non imprimée","OK")))))))))))))</f>
        <v/>
      </c>
      <c r="O3981" s="59" t="str">
        <f>IF(A3981="","",COUNTIF($A$6:A3981,A3981))</f>
        <v/>
      </c>
      <c r="P3981" s="62" t="str">
        <f>IF(A3981="","",A3981&amp;"|"&amp;O3981)</f>
        <v/>
      </c>
    </row>
    <row r="3982">
      <c r="A3982" s="60" t="n"/>
      <c r="B3982" s="63" t="n"/>
      <c r="C3982" s="63" t="n"/>
      <c r="D3982" s="67" t="n"/>
      <c r="E3982" s="68" t="n"/>
      <c r="F3982" s="69" t="n"/>
      <c r="G3982" s="70" t="n"/>
      <c r="H3982" s="62" t="str">
        <f>IF(COUNTA(A3982:G3982)=0,"",IF(C3982&lt;&gt;"",C3982,IF(B3982="","",IFERROR(INDEX(pr_des,MATCH(B3982,pr_code,0))&amp;"",""))))</f>
        <v/>
      </c>
      <c r="I3982" s="59" t="str">
        <f>IF(B3982="","",IFERROR(INDEX(pr_unit,MATCH(B3982,pr_code,0))&amp;"",""))</f>
        <v/>
      </c>
      <c r="J3982" s="65" t="str">
        <f>IF(COUNTA(A3982:G3982)=0,"",IF(E3982&lt;&gt;"",E3982,IF(B3982="","",IFERROR(IF(INDEX(pr_price,MATCH(B3982,pr_code,0))="","",INDEX(pr_price,MATCH(B3982,pr_code,0))),""))))</f>
        <v/>
      </c>
      <c r="K3982" s="71" t="str">
        <f>IF(COUNTA(A3982:G3982)=0,"",IF(G3982&lt;&gt;"",G3982,IF(B3982="","",IFERROR(IF(INDEX(pr_rate,MATCH(B3982,pr_code,0))="","",INDEX(pr_rate,MATCH(B3982,pr_code,0))),""))))</f>
        <v/>
      </c>
      <c r="L3982" s="65" t="str">
        <f>IF(COUNTA(A3982:G3982)=0,"",IF(AND(ISNUMBER(D3982),ISNUMBER(J3982)),ROUND(D3982*J3982*(1-N(F3982)),2),0))</f>
        <v/>
      </c>
      <c r="M3982" s="62" t="str">
        <f>IF(A3982="","",IFERROR(INDEX(fa_cname,MATCH(A3982,fa_num,0))&amp;"",""))</f>
        <v/>
      </c>
      <c r="N3982" s="59" t="str">
        <f>IF(COUNTA(A3982:G3982)=0,"",IF(A3982="","N° facture manquant",IF(ISNA(MATCH(A3982,fa_num,0)),"Facture inconnue",IF(AND(B3982&lt;&gt;"",ISNA(MATCH(B3982,pr_code,0))),"Article inconnu",IF(H3982="","Désignation manquante",IF(OR(NOT(ISNUMBER(D3982)),N(D3982)&lt;=0),"Quantité invalide",IF(J3982="","Prix manquant",IF(OR(NOT(ISNUMBER(J3982)),N(J3982)&lt;0),"Prix invalide",IF(OR(AND(F3982&lt;&gt;"",NOT(ISNUMBER(F3982))),N(F3982)&lt;0,N(F3982)&gt;1),"Remise invalide",IF(K3982="","Taux de TVA manquant",IF(NOT(ISNUMBER(K3982)),"Taux de TVA invalide",IF(COUNTIF(p_rates,K3982)=0,"Taux de TVA hors liste (Paramètres)",IF(N(O3982)&gt;25,"Au-delà de 25 lignes : non imprimée","OK")))))))))))))</f>
        <v/>
      </c>
      <c r="O3982" s="59" t="str">
        <f>IF(A3982="","",COUNTIF($A$6:A3982,A3982))</f>
        <v/>
      </c>
      <c r="P3982" s="62" t="str">
        <f>IF(A3982="","",A3982&amp;"|"&amp;O3982)</f>
        <v/>
      </c>
    </row>
    <row r="3983">
      <c r="A3983" s="60" t="n"/>
      <c r="B3983" s="63" t="n"/>
      <c r="C3983" s="63" t="n"/>
      <c r="D3983" s="67" t="n"/>
      <c r="E3983" s="68" t="n"/>
      <c r="F3983" s="69" t="n"/>
      <c r="G3983" s="70" t="n"/>
      <c r="H3983" s="62" t="str">
        <f>IF(COUNTA(A3983:G3983)=0,"",IF(C3983&lt;&gt;"",C3983,IF(B3983="","",IFERROR(INDEX(pr_des,MATCH(B3983,pr_code,0))&amp;"",""))))</f>
        <v/>
      </c>
      <c r="I3983" s="59" t="str">
        <f>IF(B3983="","",IFERROR(INDEX(pr_unit,MATCH(B3983,pr_code,0))&amp;"",""))</f>
        <v/>
      </c>
      <c r="J3983" s="65" t="str">
        <f>IF(COUNTA(A3983:G3983)=0,"",IF(E3983&lt;&gt;"",E3983,IF(B3983="","",IFERROR(IF(INDEX(pr_price,MATCH(B3983,pr_code,0))="","",INDEX(pr_price,MATCH(B3983,pr_code,0))),""))))</f>
        <v/>
      </c>
      <c r="K3983" s="71" t="str">
        <f>IF(COUNTA(A3983:G3983)=0,"",IF(G3983&lt;&gt;"",G3983,IF(B3983="","",IFERROR(IF(INDEX(pr_rate,MATCH(B3983,pr_code,0))="","",INDEX(pr_rate,MATCH(B3983,pr_code,0))),""))))</f>
        <v/>
      </c>
      <c r="L3983" s="65" t="str">
        <f>IF(COUNTA(A3983:G3983)=0,"",IF(AND(ISNUMBER(D3983),ISNUMBER(J3983)),ROUND(D3983*J3983*(1-N(F3983)),2),0))</f>
        <v/>
      </c>
      <c r="M3983" s="62" t="str">
        <f>IF(A3983="","",IFERROR(INDEX(fa_cname,MATCH(A3983,fa_num,0))&amp;"",""))</f>
        <v/>
      </c>
      <c r="N3983" s="59" t="str">
        <f>IF(COUNTA(A3983:G3983)=0,"",IF(A3983="","N° facture manquant",IF(ISNA(MATCH(A3983,fa_num,0)),"Facture inconnue",IF(AND(B3983&lt;&gt;"",ISNA(MATCH(B3983,pr_code,0))),"Article inconnu",IF(H3983="","Désignation manquante",IF(OR(NOT(ISNUMBER(D3983)),N(D3983)&lt;=0),"Quantité invalide",IF(J3983="","Prix manquant",IF(OR(NOT(ISNUMBER(J3983)),N(J3983)&lt;0),"Prix invalide",IF(OR(AND(F3983&lt;&gt;"",NOT(ISNUMBER(F3983))),N(F3983)&lt;0,N(F3983)&gt;1),"Remise invalide",IF(K3983="","Taux de TVA manquant",IF(NOT(ISNUMBER(K3983)),"Taux de TVA invalide",IF(COUNTIF(p_rates,K3983)=0,"Taux de TVA hors liste (Paramètres)",IF(N(O3983)&gt;25,"Au-delà de 25 lignes : non imprimée","OK")))))))))))))</f>
        <v/>
      </c>
      <c r="O3983" s="59" t="str">
        <f>IF(A3983="","",COUNTIF($A$6:A3983,A3983))</f>
        <v/>
      </c>
      <c r="P3983" s="62" t="str">
        <f>IF(A3983="","",A3983&amp;"|"&amp;O3983)</f>
        <v/>
      </c>
    </row>
    <row r="3984">
      <c r="A3984" s="60" t="n"/>
      <c r="B3984" s="63" t="n"/>
      <c r="C3984" s="63" t="n"/>
      <c r="D3984" s="67" t="n"/>
      <c r="E3984" s="68" t="n"/>
      <c r="F3984" s="69" t="n"/>
      <c r="G3984" s="70" t="n"/>
      <c r="H3984" s="62" t="str">
        <f>IF(COUNTA(A3984:G3984)=0,"",IF(C3984&lt;&gt;"",C3984,IF(B3984="","",IFERROR(INDEX(pr_des,MATCH(B3984,pr_code,0))&amp;"",""))))</f>
        <v/>
      </c>
      <c r="I3984" s="59" t="str">
        <f>IF(B3984="","",IFERROR(INDEX(pr_unit,MATCH(B3984,pr_code,0))&amp;"",""))</f>
        <v/>
      </c>
      <c r="J3984" s="65" t="str">
        <f>IF(COUNTA(A3984:G3984)=0,"",IF(E3984&lt;&gt;"",E3984,IF(B3984="","",IFERROR(IF(INDEX(pr_price,MATCH(B3984,pr_code,0))="","",INDEX(pr_price,MATCH(B3984,pr_code,0))),""))))</f>
        <v/>
      </c>
      <c r="K3984" s="71" t="str">
        <f>IF(COUNTA(A3984:G3984)=0,"",IF(G3984&lt;&gt;"",G3984,IF(B3984="","",IFERROR(IF(INDEX(pr_rate,MATCH(B3984,pr_code,0))="","",INDEX(pr_rate,MATCH(B3984,pr_code,0))),""))))</f>
        <v/>
      </c>
      <c r="L3984" s="65" t="str">
        <f>IF(COUNTA(A3984:G3984)=0,"",IF(AND(ISNUMBER(D3984),ISNUMBER(J3984)),ROUND(D3984*J3984*(1-N(F3984)),2),0))</f>
        <v/>
      </c>
      <c r="M3984" s="62" t="str">
        <f>IF(A3984="","",IFERROR(INDEX(fa_cname,MATCH(A3984,fa_num,0))&amp;"",""))</f>
        <v/>
      </c>
      <c r="N3984" s="59" t="str">
        <f>IF(COUNTA(A3984:G3984)=0,"",IF(A3984="","N° facture manquant",IF(ISNA(MATCH(A3984,fa_num,0)),"Facture inconnue",IF(AND(B3984&lt;&gt;"",ISNA(MATCH(B3984,pr_code,0))),"Article inconnu",IF(H3984="","Désignation manquante",IF(OR(NOT(ISNUMBER(D3984)),N(D3984)&lt;=0),"Quantité invalide",IF(J3984="","Prix manquant",IF(OR(NOT(ISNUMBER(J3984)),N(J3984)&lt;0),"Prix invalide",IF(OR(AND(F3984&lt;&gt;"",NOT(ISNUMBER(F3984))),N(F3984)&lt;0,N(F3984)&gt;1),"Remise invalide",IF(K3984="","Taux de TVA manquant",IF(NOT(ISNUMBER(K3984)),"Taux de TVA invalide",IF(COUNTIF(p_rates,K3984)=0,"Taux de TVA hors liste (Paramètres)",IF(N(O3984)&gt;25,"Au-delà de 25 lignes : non imprimée","OK")))))))))))))</f>
        <v/>
      </c>
      <c r="O3984" s="59" t="str">
        <f>IF(A3984="","",COUNTIF($A$6:A3984,A3984))</f>
        <v/>
      </c>
      <c r="P3984" s="62" t="str">
        <f>IF(A3984="","",A3984&amp;"|"&amp;O3984)</f>
        <v/>
      </c>
    </row>
    <row r="3985">
      <c r="A3985" s="60" t="n"/>
      <c r="B3985" s="63" t="n"/>
      <c r="C3985" s="63" t="n"/>
      <c r="D3985" s="67" t="n"/>
      <c r="E3985" s="68" t="n"/>
      <c r="F3985" s="69" t="n"/>
      <c r="G3985" s="70" t="n"/>
      <c r="H3985" s="62" t="str">
        <f>IF(COUNTA(A3985:G3985)=0,"",IF(C3985&lt;&gt;"",C3985,IF(B3985="","",IFERROR(INDEX(pr_des,MATCH(B3985,pr_code,0))&amp;"",""))))</f>
        <v/>
      </c>
      <c r="I3985" s="59" t="str">
        <f>IF(B3985="","",IFERROR(INDEX(pr_unit,MATCH(B3985,pr_code,0))&amp;"",""))</f>
        <v/>
      </c>
      <c r="J3985" s="65" t="str">
        <f>IF(COUNTA(A3985:G3985)=0,"",IF(E3985&lt;&gt;"",E3985,IF(B3985="","",IFERROR(IF(INDEX(pr_price,MATCH(B3985,pr_code,0))="","",INDEX(pr_price,MATCH(B3985,pr_code,0))),""))))</f>
        <v/>
      </c>
      <c r="K3985" s="71" t="str">
        <f>IF(COUNTA(A3985:G3985)=0,"",IF(G3985&lt;&gt;"",G3985,IF(B3985="","",IFERROR(IF(INDEX(pr_rate,MATCH(B3985,pr_code,0))="","",INDEX(pr_rate,MATCH(B3985,pr_code,0))),""))))</f>
        <v/>
      </c>
      <c r="L3985" s="65" t="str">
        <f>IF(COUNTA(A3985:G3985)=0,"",IF(AND(ISNUMBER(D3985),ISNUMBER(J3985)),ROUND(D3985*J3985*(1-N(F3985)),2),0))</f>
        <v/>
      </c>
      <c r="M3985" s="62" t="str">
        <f>IF(A3985="","",IFERROR(INDEX(fa_cname,MATCH(A3985,fa_num,0))&amp;"",""))</f>
        <v/>
      </c>
      <c r="N3985" s="59" t="str">
        <f>IF(COUNTA(A3985:G3985)=0,"",IF(A3985="","N° facture manquant",IF(ISNA(MATCH(A3985,fa_num,0)),"Facture inconnue",IF(AND(B3985&lt;&gt;"",ISNA(MATCH(B3985,pr_code,0))),"Article inconnu",IF(H3985="","Désignation manquante",IF(OR(NOT(ISNUMBER(D3985)),N(D3985)&lt;=0),"Quantité invalide",IF(J3985="","Prix manquant",IF(OR(NOT(ISNUMBER(J3985)),N(J3985)&lt;0),"Prix invalide",IF(OR(AND(F3985&lt;&gt;"",NOT(ISNUMBER(F3985))),N(F3985)&lt;0,N(F3985)&gt;1),"Remise invalide",IF(K3985="","Taux de TVA manquant",IF(NOT(ISNUMBER(K3985)),"Taux de TVA invalide",IF(COUNTIF(p_rates,K3985)=0,"Taux de TVA hors liste (Paramètres)",IF(N(O3985)&gt;25,"Au-delà de 25 lignes : non imprimée","OK")))))))))))))</f>
        <v/>
      </c>
      <c r="O3985" s="59" t="str">
        <f>IF(A3985="","",COUNTIF($A$6:A3985,A3985))</f>
        <v/>
      </c>
      <c r="P3985" s="62" t="str">
        <f>IF(A3985="","",A3985&amp;"|"&amp;O3985)</f>
        <v/>
      </c>
    </row>
    <row r="3986">
      <c r="A3986" s="60" t="n"/>
      <c r="B3986" s="63" t="n"/>
      <c r="C3986" s="63" t="n"/>
      <c r="D3986" s="67" t="n"/>
      <c r="E3986" s="68" t="n"/>
      <c r="F3986" s="69" t="n"/>
      <c r="G3986" s="70" t="n"/>
      <c r="H3986" s="62" t="str">
        <f>IF(COUNTA(A3986:G3986)=0,"",IF(C3986&lt;&gt;"",C3986,IF(B3986="","",IFERROR(INDEX(pr_des,MATCH(B3986,pr_code,0))&amp;"",""))))</f>
        <v/>
      </c>
      <c r="I3986" s="59" t="str">
        <f>IF(B3986="","",IFERROR(INDEX(pr_unit,MATCH(B3986,pr_code,0))&amp;"",""))</f>
        <v/>
      </c>
      <c r="J3986" s="65" t="str">
        <f>IF(COUNTA(A3986:G3986)=0,"",IF(E3986&lt;&gt;"",E3986,IF(B3986="","",IFERROR(IF(INDEX(pr_price,MATCH(B3986,pr_code,0))="","",INDEX(pr_price,MATCH(B3986,pr_code,0))),""))))</f>
        <v/>
      </c>
      <c r="K3986" s="71" t="str">
        <f>IF(COUNTA(A3986:G3986)=0,"",IF(G3986&lt;&gt;"",G3986,IF(B3986="","",IFERROR(IF(INDEX(pr_rate,MATCH(B3986,pr_code,0))="","",INDEX(pr_rate,MATCH(B3986,pr_code,0))),""))))</f>
        <v/>
      </c>
      <c r="L3986" s="65" t="str">
        <f>IF(COUNTA(A3986:G3986)=0,"",IF(AND(ISNUMBER(D3986),ISNUMBER(J3986)),ROUND(D3986*J3986*(1-N(F3986)),2),0))</f>
        <v/>
      </c>
      <c r="M3986" s="62" t="str">
        <f>IF(A3986="","",IFERROR(INDEX(fa_cname,MATCH(A3986,fa_num,0))&amp;"",""))</f>
        <v/>
      </c>
      <c r="N3986" s="59" t="str">
        <f>IF(COUNTA(A3986:G3986)=0,"",IF(A3986="","N° facture manquant",IF(ISNA(MATCH(A3986,fa_num,0)),"Facture inconnue",IF(AND(B3986&lt;&gt;"",ISNA(MATCH(B3986,pr_code,0))),"Article inconnu",IF(H3986="","Désignation manquante",IF(OR(NOT(ISNUMBER(D3986)),N(D3986)&lt;=0),"Quantité invalide",IF(J3986="","Prix manquant",IF(OR(NOT(ISNUMBER(J3986)),N(J3986)&lt;0),"Prix invalide",IF(OR(AND(F3986&lt;&gt;"",NOT(ISNUMBER(F3986))),N(F3986)&lt;0,N(F3986)&gt;1),"Remise invalide",IF(K3986="","Taux de TVA manquant",IF(NOT(ISNUMBER(K3986)),"Taux de TVA invalide",IF(COUNTIF(p_rates,K3986)=0,"Taux de TVA hors liste (Paramètres)",IF(N(O3986)&gt;25,"Au-delà de 25 lignes : non imprimée","OK")))))))))))))</f>
        <v/>
      </c>
      <c r="O3986" s="59" t="str">
        <f>IF(A3986="","",COUNTIF($A$6:A3986,A3986))</f>
        <v/>
      </c>
      <c r="P3986" s="62" t="str">
        <f>IF(A3986="","",A3986&amp;"|"&amp;O3986)</f>
        <v/>
      </c>
    </row>
    <row r="3987">
      <c r="A3987" s="60" t="n"/>
      <c r="B3987" s="63" t="n"/>
      <c r="C3987" s="63" t="n"/>
      <c r="D3987" s="67" t="n"/>
      <c r="E3987" s="68" t="n"/>
      <c r="F3987" s="69" t="n"/>
      <c r="G3987" s="70" t="n"/>
      <c r="H3987" s="62" t="str">
        <f>IF(COUNTA(A3987:G3987)=0,"",IF(C3987&lt;&gt;"",C3987,IF(B3987="","",IFERROR(INDEX(pr_des,MATCH(B3987,pr_code,0))&amp;"",""))))</f>
        <v/>
      </c>
      <c r="I3987" s="59" t="str">
        <f>IF(B3987="","",IFERROR(INDEX(pr_unit,MATCH(B3987,pr_code,0))&amp;"",""))</f>
        <v/>
      </c>
      <c r="J3987" s="65" t="str">
        <f>IF(COUNTA(A3987:G3987)=0,"",IF(E3987&lt;&gt;"",E3987,IF(B3987="","",IFERROR(IF(INDEX(pr_price,MATCH(B3987,pr_code,0))="","",INDEX(pr_price,MATCH(B3987,pr_code,0))),""))))</f>
        <v/>
      </c>
      <c r="K3987" s="71" t="str">
        <f>IF(COUNTA(A3987:G3987)=0,"",IF(G3987&lt;&gt;"",G3987,IF(B3987="","",IFERROR(IF(INDEX(pr_rate,MATCH(B3987,pr_code,0))="","",INDEX(pr_rate,MATCH(B3987,pr_code,0))),""))))</f>
        <v/>
      </c>
      <c r="L3987" s="65" t="str">
        <f>IF(COUNTA(A3987:G3987)=0,"",IF(AND(ISNUMBER(D3987),ISNUMBER(J3987)),ROUND(D3987*J3987*(1-N(F3987)),2),0))</f>
        <v/>
      </c>
      <c r="M3987" s="62" t="str">
        <f>IF(A3987="","",IFERROR(INDEX(fa_cname,MATCH(A3987,fa_num,0))&amp;"",""))</f>
        <v/>
      </c>
      <c r="N3987" s="59" t="str">
        <f>IF(COUNTA(A3987:G3987)=0,"",IF(A3987="","N° facture manquant",IF(ISNA(MATCH(A3987,fa_num,0)),"Facture inconnue",IF(AND(B3987&lt;&gt;"",ISNA(MATCH(B3987,pr_code,0))),"Article inconnu",IF(H3987="","Désignation manquante",IF(OR(NOT(ISNUMBER(D3987)),N(D3987)&lt;=0),"Quantité invalide",IF(J3987="","Prix manquant",IF(OR(NOT(ISNUMBER(J3987)),N(J3987)&lt;0),"Prix invalide",IF(OR(AND(F3987&lt;&gt;"",NOT(ISNUMBER(F3987))),N(F3987)&lt;0,N(F3987)&gt;1),"Remise invalide",IF(K3987="","Taux de TVA manquant",IF(NOT(ISNUMBER(K3987)),"Taux de TVA invalide",IF(COUNTIF(p_rates,K3987)=0,"Taux de TVA hors liste (Paramètres)",IF(N(O3987)&gt;25,"Au-delà de 25 lignes : non imprimée","OK")))))))))))))</f>
        <v/>
      </c>
      <c r="O3987" s="59" t="str">
        <f>IF(A3987="","",COUNTIF($A$6:A3987,A3987))</f>
        <v/>
      </c>
      <c r="P3987" s="62" t="str">
        <f>IF(A3987="","",A3987&amp;"|"&amp;O3987)</f>
        <v/>
      </c>
    </row>
    <row r="3988">
      <c r="A3988" s="60" t="n"/>
      <c r="B3988" s="63" t="n"/>
      <c r="C3988" s="63" t="n"/>
      <c r="D3988" s="67" t="n"/>
      <c r="E3988" s="68" t="n"/>
      <c r="F3988" s="69" t="n"/>
      <c r="G3988" s="70" t="n"/>
      <c r="H3988" s="62" t="str">
        <f>IF(COUNTA(A3988:G3988)=0,"",IF(C3988&lt;&gt;"",C3988,IF(B3988="","",IFERROR(INDEX(pr_des,MATCH(B3988,pr_code,0))&amp;"",""))))</f>
        <v/>
      </c>
      <c r="I3988" s="59" t="str">
        <f>IF(B3988="","",IFERROR(INDEX(pr_unit,MATCH(B3988,pr_code,0))&amp;"",""))</f>
        <v/>
      </c>
      <c r="J3988" s="65" t="str">
        <f>IF(COUNTA(A3988:G3988)=0,"",IF(E3988&lt;&gt;"",E3988,IF(B3988="","",IFERROR(IF(INDEX(pr_price,MATCH(B3988,pr_code,0))="","",INDEX(pr_price,MATCH(B3988,pr_code,0))),""))))</f>
        <v/>
      </c>
      <c r="K3988" s="71" t="str">
        <f>IF(COUNTA(A3988:G3988)=0,"",IF(G3988&lt;&gt;"",G3988,IF(B3988="","",IFERROR(IF(INDEX(pr_rate,MATCH(B3988,pr_code,0))="","",INDEX(pr_rate,MATCH(B3988,pr_code,0))),""))))</f>
        <v/>
      </c>
      <c r="L3988" s="65" t="str">
        <f>IF(COUNTA(A3988:G3988)=0,"",IF(AND(ISNUMBER(D3988),ISNUMBER(J3988)),ROUND(D3988*J3988*(1-N(F3988)),2),0))</f>
        <v/>
      </c>
      <c r="M3988" s="62" t="str">
        <f>IF(A3988="","",IFERROR(INDEX(fa_cname,MATCH(A3988,fa_num,0))&amp;"",""))</f>
        <v/>
      </c>
      <c r="N3988" s="59" t="str">
        <f>IF(COUNTA(A3988:G3988)=0,"",IF(A3988="","N° facture manquant",IF(ISNA(MATCH(A3988,fa_num,0)),"Facture inconnue",IF(AND(B3988&lt;&gt;"",ISNA(MATCH(B3988,pr_code,0))),"Article inconnu",IF(H3988="","Désignation manquante",IF(OR(NOT(ISNUMBER(D3988)),N(D3988)&lt;=0),"Quantité invalide",IF(J3988="","Prix manquant",IF(OR(NOT(ISNUMBER(J3988)),N(J3988)&lt;0),"Prix invalide",IF(OR(AND(F3988&lt;&gt;"",NOT(ISNUMBER(F3988))),N(F3988)&lt;0,N(F3988)&gt;1),"Remise invalide",IF(K3988="","Taux de TVA manquant",IF(NOT(ISNUMBER(K3988)),"Taux de TVA invalide",IF(COUNTIF(p_rates,K3988)=0,"Taux de TVA hors liste (Paramètres)",IF(N(O3988)&gt;25,"Au-delà de 25 lignes : non imprimée","OK")))))))))))))</f>
        <v/>
      </c>
      <c r="O3988" s="59" t="str">
        <f>IF(A3988="","",COUNTIF($A$6:A3988,A3988))</f>
        <v/>
      </c>
      <c r="P3988" s="62" t="str">
        <f>IF(A3988="","",A3988&amp;"|"&amp;O3988)</f>
        <v/>
      </c>
    </row>
    <row r="3989">
      <c r="A3989" s="60" t="n"/>
      <c r="B3989" s="63" t="n"/>
      <c r="C3989" s="63" t="n"/>
      <c r="D3989" s="67" t="n"/>
      <c r="E3989" s="68" t="n"/>
      <c r="F3989" s="69" t="n"/>
      <c r="G3989" s="70" t="n"/>
      <c r="H3989" s="62" t="str">
        <f>IF(COUNTA(A3989:G3989)=0,"",IF(C3989&lt;&gt;"",C3989,IF(B3989="","",IFERROR(INDEX(pr_des,MATCH(B3989,pr_code,0))&amp;"",""))))</f>
        <v/>
      </c>
      <c r="I3989" s="59" t="str">
        <f>IF(B3989="","",IFERROR(INDEX(pr_unit,MATCH(B3989,pr_code,0))&amp;"",""))</f>
        <v/>
      </c>
      <c r="J3989" s="65" t="str">
        <f>IF(COUNTA(A3989:G3989)=0,"",IF(E3989&lt;&gt;"",E3989,IF(B3989="","",IFERROR(IF(INDEX(pr_price,MATCH(B3989,pr_code,0))="","",INDEX(pr_price,MATCH(B3989,pr_code,0))),""))))</f>
        <v/>
      </c>
      <c r="K3989" s="71" t="str">
        <f>IF(COUNTA(A3989:G3989)=0,"",IF(G3989&lt;&gt;"",G3989,IF(B3989="","",IFERROR(IF(INDEX(pr_rate,MATCH(B3989,pr_code,0))="","",INDEX(pr_rate,MATCH(B3989,pr_code,0))),""))))</f>
        <v/>
      </c>
      <c r="L3989" s="65" t="str">
        <f>IF(COUNTA(A3989:G3989)=0,"",IF(AND(ISNUMBER(D3989),ISNUMBER(J3989)),ROUND(D3989*J3989*(1-N(F3989)),2),0))</f>
        <v/>
      </c>
      <c r="M3989" s="62" t="str">
        <f>IF(A3989="","",IFERROR(INDEX(fa_cname,MATCH(A3989,fa_num,0))&amp;"",""))</f>
        <v/>
      </c>
      <c r="N3989" s="59" t="str">
        <f>IF(COUNTA(A3989:G3989)=0,"",IF(A3989="","N° facture manquant",IF(ISNA(MATCH(A3989,fa_num,0)),"Facture inconnue",IF(AND(B3989&lt;&gt;"",ISNA(MATCH(B3989,pr_code,0))),"Article inconnu",IF(H3989="","Désignation manquante",IF(OR(NOT(ISNUMBER(D3989)),N(D3989)&lt;=0),"Quantité invalide",IF(J3989="","Prix manquant",IF(OR(NOT(ISNUMBER(J3989)),N(J3989)&lt;0),"Prix invalide",IF(OR(AND(F3989&lt;&gt;"",NOT(ISNUMBER(F3989))),N(F3989)&lt;0,N(F3989)&gt;1),"Remise invalide",IF(K3989="","Taux de TVA manquant",IF(NOT(ISNUMBER(K3989)),"Taux de TVA invalide",IF(COUNTIF(p_rates,K3989)=0,"Taux de TVA hors liste (Paramètres)",IF(N(O3989)&gt;25,"Au-delà de 25 lignes : non imprimée","OK")))))))))))))</f>
        <v/>
      </c>
      <c r="O3989" s="59" t="str">
        <f>IF(A3989="","",COUNTIF($A$6:A3989,A3989))</f>
        <v/>
      </c>
      <c r="P3989" s="62" t="str">
        <f>IF(A3989="","",A3989&amp;"|"&amp;O3989)</f>
        <v/>
      </c>
    </row>
    <row r="3990">
      <c r="A3990" s="60" t="n"/>
      <c r="B3990" s="63" t="n"/>
      <c r="C3990" s="63" t="n"/>
      <c r="D3990" s="67" t="n"/>
      <c r="E3990" s="68" t="n"/>
      <c r="F3990" s="69" t="n"/>
      <c r="G3990" s="70" t="n"/>
      <c r="H3990" s="62" t="str">
        <f>IF(COUNTA(A3990:G3990)=0,"",IF(C3990&lt;&gt;"",C3990,IF(B3990="","",IFERROR(INDEX(pr_des,MATCH(B3990,pr_code,0))&amp;"",""))))</f>
        <v/>
      </c>
      <c r="I3990" s="59" t="str">
        <f>IF(B3990="","",IFERROR(INDEX(pr_unit,MATCH(B3990,pr_code,0))&amp;"",""))</f>
        <v/>
      </c>
      <c r="J3990" s="65" t="str">
        <f>IF(COUNTA(A3990:G3990)=0,"",IF(E3990&lt;&gt;"",E3990,IF(B3990="","",IFERROR(IF(INDEX(pr_price,MATCH(B3990,pr_code,0))="","",INDEX(pr_price,MATCH(B3990,pr_code,0))),""))))</f>
        <v/>
      </c>
      <c r="K3990" s="71" t="str">
        <f>IF(COUNTA(A3990:G3990)=0,"",IF(G3990&lt;&gt;"",G3990,IF(B3990="","",IFERROR(IF(INDEX(pr_rate,MATCH(B3990,pr_code,0))="","",INDEX(pr_rate,MATCH(B3990,pr_code,0))),""))))</f>
        <v/>
      </c>
      <c r="L3990" s="65" t="str">
        <f>IF(COUNTA(A3990:G3990)=0,"",IF(AND(ISNUMBER(D3990),ISNUMBER(J3990)),ROUND(D3990*J3990*(1-N(F3990)),2),0))</f>
        <v/>
      </c>
      <c r="M3990" s="62" t="str">
        <f>IF(A3990="","",IFERROR(INDEX(fa_cname,MATCH(A3990,fa_num,0))&amp;"",""))</f>
        <v/>
      </c>
      <c r="N3990" s="59" t="str">
        <f>IF(COUNTA(A3990:G3990)=0,"",IF(A3990="","N° facture manquant",IF(ISNA(MATCH(A3990,fa_num,0)),"Facture inconnue",IF(AND(B3990&lt;&gt;"",ISNA(MATCH(B3990,pr_code,0))),"Article inconnu",IF(H3990="","Désignation manquante",IF(OR(NOT(ISNUMBER(D3990)),N(D3990)&lt;=0),"Quantité invalide",IF(J3990="","Prix manquant",IF(OR(NOT(ISNUMBER(J3990)),N(J3990)&lt;0),"Prix invalide",IF(OR(AND(F3990&lt;&gt;"",NOT(ISNUMBER(F3990))),N(F3990)&lt;0,N(F3990)&gt;1),"Remise invalide",IF(K3990="","Taux de TVA manquant",IF(NOT(ISNUMBER(K3990)),"Taux de TVA invalide",IF(COUNTIF(p_rates,K3990)=0,"Taux de TVA hors liste (Paramètres)",IF(N(O3990)&gt;25,"Au-delà de 25 lignes : non imprimée","OK")))))))))))))</f>
        <v/>
      </c>
      <c r="O3990" s="59" t="str">
        <f>IF(A3990="","",COUNTIF($A$6:A3990,A3990))</f>
        <v/>
      </c>
      <c r="P3990" s="62" t="str">
        <f>IF(A3990="","",A3990&amp;"|"&amp;O3990)</f>
        <v/>
      </c>
    </row>
    <row r="3991">
      <c r="A3991" s="60" t="n"/>
      <c r="B3991" s="63" t="n"/>
      <c r="C3991" s="63" t="n"/>
      <c r="D3991" s="67" t="n"/>
      <c r="E3991" s="68" t="n"/>
      <c r="F3991" s="69" t="n"/>
      <c r="G3991" s="70" t="n"/>
      <c r="H3991" s="62" t="str">
        <f>IF(COUNTA(A3991:G3991)=0,"",IF(C3991&lt;&gt;"",C3991,IF(B3991="","",IFERROR(INDEX(pr_des,MATCH(B3991,pr_code,0))&amp;"",""))))</f>
        <v/>
      </c>
      <c r="I3991" s="59" t="str">
        <f>IF(B3991="","",IFERROR(INDEX(pr_unit,MATCH(B3991,pr_code,0))&amp;"",""))</f>
        <v/>
      </c>
      <c r="J3991" s="65" t="str">
        <f>IF(COUNTA(A3991:G3991)=0,"",IF(E3991&lt;&gt;"",E3991,IF(B3991="","",IFERROR(IF(INDEX(pr_price,MATCH(B3991,pr_code,0))="","",INDEX(pr_price,MATCH(B3991,pr_code,0))),""))))</f>
        <v/>
      </c>
      <c r="K3991" s="71" t="str">
        <f>IF(COUNTA(A3991:G3991)=0,"",IF(G3991&lt;&gt;"",G3991,IF(B3991="","",IFERROR(IF(INDEX(pr_rate,MATCH(B3991,pr_code,0))="","",INDEX(pr_rate,MATCH(B3991,pr_code,0))),""))))</f>
        <v/>
      </c>
      <c r="L3991" s="65" t="str">
        <f>IF(COUNTA(A3991:G3991)=0,"",IF(AND(ISNUMBER(D3991),ISNUMBER(J3991)),ROUND(D3991*J3991*(1-N(F3991)),2),0))</f>
        <v/>
      </c>
      <c r="M3991" s="62" t="str">
        <f>IF(A3991="","",IFERROR(INDEX(fa_cname,MATCH(A3991,fa_num,0))&amp;"",""))</f>
        <v/>
      </c>
      <c r="N3991" s="59" t="str">
        <f>IF(COUNTA(A3991:G3991)=0,"",IF(A3991="","N° facture manquant",IF(ISNA(MATCH(A3991,fa_num,0)),"Facture inconnue",IF(AND(B3991&lt;&gt;"",ISNA(MATCH(B3991,pr_code,0))),"Article inconnu",IF(H3991="","Désignation manquante",IF(OR(NOT(ISNUMBER(D3991)),N(D3991)&lt;=0),"Quantité invalide",IF(J3991="","Prix manquant",IF(OR(NOT(ISNUMBER(J3991)),N(J3991)&lt;0),"Prix invalide",IF(OR(AND(F3991&lt;&gt;"",NOT(ISNUMBER(F3991))),N(F3991)&lt;0,N(F3991)&gt;1),"Remise invalide",IF(K3991="","Taux de TVA manquant",IF(NOT(ISNUMBER(K3991)),"Taux de TVA invalide",IF(COUNTIF(p_rates,K3991)=0,"Taux de TVA hors liste (Paramètres)",IF(N(O3991)&gt;25,"Au-delà de 25 lignes : non imprimée","OK")))))))))))))</f>
        <v/>
      </c>
      <c r="O3991" s="59" t="str">
        <f>IF(A3991="","",COUNTIF($A$6:A3991,A3991))</f>
        <v/>
      </c>
      <c r="P3991" s="62" t="str">
        <f>IF(A3991="","",A3991&amp;"|"&amp;O3991)</f>
        <v/>
      </c>
    </row>
    <row r="3992">
      <c r="A3992" s="60" t="n"/>
      <c r="B3992" s="63" t="n"/>
      <c r="C3992" s="63" t="n"/>
      <c r="D3992" s="67" t="n"/>
      <c r="E3992" s="68" t="n"/>
      <c r="F3992" s="69" t="n"/>
      <c r="G3992" s="70" t="n"/>
      <c r="H3992" s="62" t="str">
        <f>IF(COUNTA(A3992:G3992)=0,"",IF(C3992&lt;&gt;"",C3992,IF(B3992="","",IFERROR(INDEX(pr_des,MATCH(B3992,pr_code,0))&amp;"",""))))</f>
        <v/>
      </c>
      <c r="I3992" s="59" t="str">
        <f>IF(B3992="","",IFERROR(INDEX(pr_unit,MATCH(B3992,pr_code,0))&amp;"",""))</f>
        <v/>
      </c>
      <c r="J3992" s="65" t="str">
        <f>IF(COUNTA(A3992:G3992)=0,"",IF(E3992&lt;&gt;"",E3992,IF(B3992="","",IFERROR(IF(INDEX(pr_price,MATCH(B3992,pr_code,0))="","",INDEX(pr_price,MATCH(B3992,pr_code,0))),""))))</f>
        <v/>
      </c>
      <c r="K3992" s="71" t="str">
        <f>IF(COUNTA(A3992:G3992)=0,"",IF(G3992&lt;&gt;"",G3992,IF(B3992="","",IFERROR(IF(INDEX(pr_rate,MATCH(B3992,pr_code,0))="","",INDEX(pr_rate,MATCH(B3992,pr_code,0))),""))))</f>
        <v/>
      </c>
      <c r="L3992" s="65" t="str">
        <f>IF(COUNTA(A3992:G3992)=0,"",IF(AND(ISNUMBER(D3992),ISNUMBER(J3992)),ROUND(D3992*J3992*(1-N(F3992)),2),0))</f>
        <v/>
      </c>
      <c r="M3992" s="62" t="str">
        <f>IF(A3992="","",IFERROR(INDEX(fa_cname,MATCH(A3992,fa_num,0))&amp;"",""))</f>
        <v/>
      </c>
      <c r="N3992" s="59" t="str">
        <f>IF(COUNTA(A3992:G3992)=0,"",IF(A3992="","N° facture manquant",IF(ISNA(MATCH(A3992,fa_num,0)),"Facture inconnue",IF(AND(B3992&lt;&gt;"",ISNA(MATCH(B3992,pr_code,0))),"Article inconnu",IF(H3992="","Désignation manquante",IF(OR(NOT(ISNUMBER(D3992)),N(D3992)&lt;=0),"Quantité invalide",IF(J3992="","Prix manquant",IF(OR(NOT(ISNUMBER(J3992)),N(J3992)&lt;0),"Prix invalide",IF(OR(AND(F3992&lt;&gt;"",NOT(ISNUMBER(F3992))),N(F3992)&lt;0,N(F3992)&gt;1),"Remise invalide",IF(K3992="","Taux de TVA manquant",IF(NOT(ISNUMBER(K3992)),"Taux de TVA invalide",IF(COUNTIF(p_rates,K3992)=0,"Taux de TVA hors liste (Paramètres)",IF(N(O3992)&gt;25,"Au-delà de 25 lignes : non imprimée","OK")))))))))))))</f>
        <v/>
      </c>
      <c r="O3992" s="59" t="str">
        <f>IF(A3992="","",COUNTIF($A$6:A3992,A3992))</f>
        <v/>
      </c>
      <c r="P3992" s="62" t="str">
        <f>IF(A3992="","",A3992&amp;"|"&amp;O3992)</f>
        <v/>
      </c>
    </row>
    <row r="3993">
      <c r="A3993" s="60" t="n"/>
      <c r="B3993" s="63" t="n"/>
      <c r="C3993" s="63" t="n"/>
      <c r="D3993" s="67" t="n"/>
      <c r="E3993" s="68" t="n"/>
      <c r="F3993" s="69" t="n"/>
      <c r="G3993" s="70" t="n"/>
      <c r="H3993" s="62" t="str">
        <f>IF(COUNTA(A3993:G3993)=0,"",IF(C3993&lt;&gt;"",C3993,IF(B3993="","",IFERROR(INDEX(pr_des,MATCH(B3993,pr_code,0))&amp;"",""))))</f>
        <v/>
      </c>
      <c r="I3993" s="59" t="str">
        <f>IF(B3993="","",IFERROR(INDEX(pr_unit,MATCH(B3993,pr_code,0))&amp;"",""))</f>
        <v/>
      </c>
      <c r="J3993" s="65" t="str">
        <f>IF(COUNTA(A3993:G3993)=0,"",IF(E3993&lt;&gt;"",E3993,IF(B3993="","",IFERROR(IF(INDEX(pr_price,MATCH(B3993,pr_code,0))="","",INDEX(pr_price,MATCH(B3993,pr_code,0))),""))))</f>
        <v/>
      </c>
      <c r="K3993" s="71" t="str">
        <f>IF(COUNTA(A3993:G3993)=0,"",IF(G3993&lt;&gt;"",G3993,IF(B3993="","",IFERROR(IF(INDEX(pr_rate,MATCH(B3993,pr_code,0))="","",INDEX(pr_rate,MATCH(B3993,pr_code,0))),""))))</f>
        <v/>
      </c>
      <c r="L3993" s="65" t="str">
        <f>IF(COUNTA(A3993:G3993)=0,"",IF(AND(ISNUMBER(D3993),ISNUMBER(J3993)),ROUND(D3993*J3993*(1-N(F3993)),2),0))</f>
        <v/>
      </c>
      <c r="M3993" s="62" t="str">
        <f>IF(A3993="","",IFERROR(INDEX(fa_cname,MATCH(A3993,fa_num,0))&amp;"",""))</f>
        <v/>
      </c>
      <c r="N3993" s="59" t="str">
        <f>IF(COUNTA(A3993:G3993)=0,"",IF(A3993="","N° facture manquant",IF(ISNA(MATCH(A3993,fa_num,0)),"Facture inconnue",IF(AND(B3993&lt;&gt;"",ISNA(MATCH(B3993,pr_code,0))),"Article inconnu",IF(H3993="","Désignation manquante",IF(OR(NOT(ISNUMBER(D3993)),N(D3993)&lt;=0),"Quantité invalide",IF(J3993="","Prix manquant",IF(OR(NOT(ISNUMBER(J3993)),N(J3993)&lt;0),"Prix invalide",IF(OR(AND(F3993&lt;&gt;"",NOT(ISNUMBER(F3993))),N(F3993)&lt;0,N(F3993)&gt;1),"Remise invalide",IF(K3993="","Taux de TVA manquant",IF(NOT(ISNUMBER(K3993)),"Taux de TVA invalide",IF(COUNTIF(p_rates,K3993)=0,"Taux de TVA hors liste (Paramètres)",IF(N(O3993)&gt;25,"Au-delà de 25 lignes : non imprimée","OK")))))))))))))</f>
        <v/>
      </c>
      <c r="O3993" s="59" t="str">
        <f>IF(A3993="","",COUNTIF($A$6:A3993,A3993))</f>
        <v/>
      </c>
      <c r="P3993" s="62" t="str">
        <f>IF(A3993="","",A3993&amp;"|"&amp;O3993)</f>
        <v/>
      </c>
    </row>
    <row r="3994">
      <c r="A3994" s="60" t="n"/>
      <c r="B3994" s="63" t="n"/>
      <c r="C3994" s="63" t="n"/>
      <c r="D3994" s="67" t="n"/>
      <c r="E3994" s="68" t="n"/>
      <c r="F3994" s="69" t="n"/>
      <c r="G3994" s="70" t="n"/>
      <c r="H3994" s="62" t="str">
        <f>IF(COUNTA(A3994:G3994)=0,"",IF(C3994&lt;&gt;"",C3994,IF(B3994="","",IFERROR(INDEX(pr_des,MATCH(B3994,pr_code,0))&amp;"",""))))</f>
        <v/>
      </c>
      <c r="I3994" s="59" t="str">
        <f>IF(B3994="","",IFERROR(INDEX(pr_unit,MATCH(B3994,pr_code,0))&amp;"",""))</f>
        <v/>
      </c>
      <c r="J3994" s="65" t="str">
        <f>IF(COUNTA(A3994:G3994)=0,"",IF(E3994&lt;&gt;"",E3994,IF(B3994="","",IFERROR(IF(INDEX(pr_price,MATCH(B3994,pr_code,0))="","",INDEX(pr_price,MATCH(B3994,pr_code,0))),""))))</f>
        <v/>
      </c>
      <c r="K3994" s="71" t="str">
        <f>IF(COUNTA(A3994:G3994)=0,"",IF(G3994&lt;&gt;"",G3994,IF(B3994="","",IFERROR(IF(INDEX(pr_rate,MATCH(B3994,pr_code,0))="","",INDEX(pr_rate,MATCH(B3994,pr_code,0))),""))))</f>
        <v/>
      </c>
      <c r="L3994" s="65" t="str">
        <f>IF(COUNTA(A3994:G3994)=0,"",IF(AND(ISNUMBER(D3994),ISNUMBER(J3994)),ROUND(D3994*J3994*(1-N(F3994)),2),0))</f>
        <v/>
      </c>
      <c r="M3994" s="62" t="str">
        <f>IF(A3994="","",IFERROR(INDEX(fa_cname,MATCH(A3994,fa_num,0))&amp;"",""))</f>
        <v/>
      </c>
      <c r="N3994" s="59" t="str">
        <f>IF(COUNTA(A3994:G3994)=0,"",IF(A3994="","N° facture manquant",IF(ISNA(MATCH(A3994,fa_num,0)),"Facture inconnue",IF(AND(B3994&lt;&gt;"",ISNA(MATCH(B3994,pr_code,0))),"Article inconnu",IF(H3994="","Désignation manquante",IF(OR(NOT(ISNUMBER(D3994)),N(D3994)&lt;=0),"Quantité invalide",IF(J3994="","Prix manquant",IF(OR(NOT(ISNUMBER(J3994)),N(J3994)&lt;0),"Prix invalide",IF(OR(AND(F3994&lt;&gt;"",NOT(ISNUMBER(F3994))),N(F3994)&lt;0,N(F3994)&gt;1),"Remise invalide",IF(K3994="","Taux de TVA manquant",IF(NOT(ISNUMBER(K3994)),"Taux de TVA invalide",IF(COUNTIF(p_rates,K3994)=0,"Taux de TVA hors liste (Paramètres)",IF(N(O3994)&gt;25,"Au-delà de 25 lignes : non imprimée","OK")))))))))))))</f>
        <v/>
      </c>
      <c r="O3994" s="59" t="str">
        <f>IF(A3994="","",COUNTIF($A$6:A3994,A3994))</f>
        <v/>
      </c>
      <c r="P3994" s="62" t="str">
        <f>IF(A3994="","",A3994&amp;"|"&amp;O3994)</f>
        <v/>
      </c>
    </row>
    <row r="3995">
      <c r="A3995" s="60" t="n"/>
      <c r="B3995" s="63" t="n"/>
      <c r="C3995" s="63" t="n"/>
      <c r="D3995" s="67" t="n"/>
      <c r="E3995" s="68" t="n"/>
      <c r="F3995" s="69" t="n"/>
      <c r="G3995" s="70" t="n"/>
      <c r="H3995" s="62" t="str">
        <f>IF(COUNTA(A3995:G3995)=0,"",IF(C3995&lt;&gt;"",C3995,IF(B3995="","",IFERROR(INDEX(pr_des,MATCH(B3995,pr_code,0))&amp;"",""))))</f>
        <v/>
      </c>
      <c r="I3995" s="59" t="str">
        <f>IF(B3995="","",IFERROR(INDEX(pr_unit,MATCH(B3995,pr_code,0))&amp;"",""))</f>
        <v/>
      </c>
      <c r="J3995" s="65" t="str">
        <f>IF(COUNTA(A3995:G3995)=0,"",IF(E3995&lt;&gt;"",E3995,IF(B3995="","",IFERROR(IF(INDEX(pr_price,MATCH(B3995,pr_code,0))="","",INDEX(pr_price,MATCH(B3995,pr_code,0))),""))))</f>
        <v/>
      </c>
      <c r="K3995" s="71" t="str">
        <f>IF(COUNTA(A3995:G3995)=0,"",IF(G3995&lt;&gt;"",G3995,IF(B3995="","",IFERROR(IF(INDEX(pr_rate,MATCH(B3995,pr_code,0))="","",INDEX(pr_rate,MATCH(B3995,pr_code,0))),""))))</f>
        <v/>
      </c>
      <c r="L3995" s="65" t="str">
        <f>IF(COUNTA(A3995:G3995)=0,"",IF(AND(ISNUMBER(D3995),ISNUMBER(J3995)),ROUND(D3995*J3995*(1-N(F3995)),2),0))</f>
        <v/>
      </c>
      <c r="M3995" s="62" t="str">
        <f>IF(A3995="","",IFERROR(INDEX(fa_cname,MATCH(A3995,fa_num,0))&amp;"",""))</f>
        <v/>
      </c>
      <c r="N3995" s="59" t="str">
        <f>IF(COUNTA(A3995:G3995)=0,"",IF(A3995="","N° facture manquant",IF(ISNA(MATCH(A3995,fa_num,0)),"Facture inconnue",IF(AND(B3995&lt;&gt;"",ISNA(MATCH(B3995,pr_code,0))),"Article inconnu",IF(H3995="","Désignation manquante",IF(OR(NOT(ISNUMBER(D3995)),N(D3995)&lt;=0),"Quantité invalide",IF(J3995="","Prix manquant",IF(OR(NOT(ISNUMBER(J3995)),N(J3995)&lt;0),"Prix invalide",IF(OR(AND(F3995&lt;&gt;"",NOT(ISNUMBER(F3995))),N(F3995)&lt;0,N(F3995)&gt;1),"Remise invalide",IF(K3995="","Taux de TVA manquant",IF(NOT(ISNUMBER(K3995)),"Taux de TVA invalide",IF(COUNTIF(p_rates,K3995)=0,"Taux de TVA hors liste (Paramètres)",IF(N(O3995)&gt;25,"Au-delà de 25 lignes : non imprimée","OK")))))))))))))</f>
        <v/>
      </c>
      <c r="O3995" s="59" t="str">
        <f>IF(A3995="","",COUNTIF($A$6:A3995,A3995))</f>
        <v/>
      </c>
      <c r="P3995" s="62" t="str">
        <f>IF(A3995="","",A3995&amp;"|"&amp;O3995)</f>
        <v/>
      </c>
    </row>
    <row r="3996">
      <c r="A3996" s="60" t="n"/>
      <c r="B3996" s="63" t="n"/>
      <c r="C3996" s="63" t="n"/>
      <c r="D3996" s="67" t="n"/>
      <c r="E3996" s="68" t="n"/>
      <c r="F3996" s="69" t="n"/>
      <c r="G3996" s="70" t="n"/>
      <c r="H3996" s="62" t="str">
        <f>IF(COUNTA(A3996:G3996)=0,"",IF(C3996&lt;&gt;"",C3996,IF(B3996="","",IFERROR(INDEX(pr_des,MATCH(B3996,pr_code,0))&amp;"",""))))</f>
        <v/>
      </c>
      <c r="I3996" s="59" t="str">
        <f>IF(B3996="","",IFERROR(INDEX(pr_unit,MATCH(B3996,pr_code,0))&amp;"",""))</f>
        <v/>
      </c>
      <c r="J3996" s="65" t="str">
        <f>IF(COUNTA(A3996:G3996)=0,"",IF(E3996&lt;&gt;"",E3996,IF(B3996="","",IFERROR(IF(INDEX(pr_price,MATCH(B3996,pr_code,0))="","",INDEX(pr_price,MATCH(B3996,pr_code,0))),""))))</f>
        <v/>
      </c>
      <c r="K3996" s="71" t="str">
        <f>IF(COUNTA(A3996:G3996)=0,"",IF(G3996&lt;&gt;"",G3996,IF(B3996="","",IFERROR(IF(INDEX(pr_rate,MATCH(B3996,pr_code,0))="","",INDEX(pr_rate,MATCH(B3996,pr_code,0))),""))))</f>
        <v/>
      </c>
      <c r="L3996" s="65" t="str">
        <f>IF(COUNTA(A3996:G3996)=0,"",IF(AND(ISNUMBER(D3996),ISNUMBER(J3996)),ROUND(D3996*J3996*(1-N(F3996)),2),0))</f>
        <v/>
      </c>
      <c r="M3996" s="62" t="str">
        <f>IF(A3996="","",IFERROR(INDEX(fa_cname,MATCH(A3996,fa_num,0))&amp;"",""))</f>
        <v/>
      </c>
      <c r="N3996" s="59" t="str">
        <f>IF(COUNTA(A3996:G3996)=0,"",IF(A3996="","N° facture manquant",IF(ISNA(MATCH(A3996,fa_num,0)),"Facture inconnue",IF(AND(B3996&lt;&gt;"",ISNA(MATCH(B3996,pr_code,0))),"Article inconnu",IF(H3996="","Désignation manquante",IF(OR(NOT(ISNUMBER(D3996)),N(D3996)&lt;=0),"Quantité invalide",IF(J3996="","Prix manquant",IF(OR(NOT(ISNUMBER(J3996)),N(J3996)&lt;0),"Prix invalide",IF(OR(AND(F3996&lt;&gt;"",NOT(ISNUMBER(F3996))),N(F3996)&lt;0,N(F3996)&gt;1),"Remise invalide",IF(K3996="","Taux de TVA manquant",IF(NOT(ISNUMBER(K3996)),"Taux de TVA invalide",IF(COUNTIF(p_rates,K3996)=0,"Taux de TVA hors liste (Paramètres)",IF(N(O3996)&gt;25,"Au-delà de 25 lignes : non imprimée","OK")))))))))))))</f>
        <v/>
      </c>
      <c r="O3996" s="59" t="str">
        <f>IF(A3996="","",COUNTIF($A$6:A3996,A3996))</f>
        <v/>
      </c>
      <c r="P3996" s="62" t="str">
        <f>IF(A3996="","",A3996&amp;"|"&amp;O3996)</f>
        <v/>
      </c>
    </row>
    <row r="3997">
      <c r="A3997" s="60" t="n"/>
      <c r="B3997" s="63" t="n"/>
      <c r="C3997" s="63" t="n"/>
      <c r="D3997" s="67" t="n"/>
      <c r="E3997" s="68" t="n"/>
      <c r="F3997" s="69" t="n"/>
      <c r="G3997" s="70" t="n"/>
      <c r="H3997" s="62" t="str">
        <f>IF(COUNTA(A3997:G3997)=0,"",IF(C3997&lt;&gt;"",C3997,IF(B3997="","",IFERROR(INDEX(pr_des,MATCH(B3997,pr_code,0))&amp;"",""))))</f>
        <v/>
      </c>
      <c r="I3997" s="59" t="str">
        <f>IF(B3997="","",IFERROR(INDEX(pr_unit,MATCH(B3997,pr_code,0))&amp;"",""))</f>
        <v/>
      </c>
      <c r="J3997" s="65" t="str">
        <f>IF(COUNTA(A3997:G3997)=0,"",IF(E3997&lt;&gt;"",E3997,IF(B3997="","",IFERROR(IF(INDEX(pr_price,MATCH(B3997,pr_code,0))="","",INDEX(pr_price,MATCH(B3997,pr_code,0))),""))))</f>
        <v/>
      </c>
      <c r="K3997" s="71" t="str">
        <f>IF(COUNTA(A3997:G3997)=0,"",IF(G3997&lt;&gt;"",G3997,IF(B3997="","",IFERROR(IF(INDEX(pr_rate,MATCH(B3997,pr_code,0))="","",INDEX(pr_rate,MATCH(B3997,pr_code,0))),""))))</f>
        <v/>
      </c>
      <c r="L3997" s="65" t="str">
        <f>IF(COUNTA(A3997:G3997)=0,"",IF(AND(ISNUMBER(D3997),ISNUMBER(J3997)),ROUND(D3997*J3997*(1-N(F3997)),2),0))</f>
        <v/>
      </c>
      <c r="M3997" s="62" t="str">
        <f>IF(A3997="","",IFERROR(INDEX(fa_cname,MATCH(A3997,fa_num,0))&amp;"",""))</f>
        <v/>
      </c>
      <c r="N3997" s="59" t="str">
        <f>IF(COUNTA(A3997:G3997)=0,"",IF(A3997="","N° facture manquant",IF(ISNA(MATCH(A3997,fa_num,0)),"Facture inconnue",IF(AND(B3997&lt;&gt;"",ISNA(MATCH(B3997,pr_code,0))),"Article inconnu",IF(H3997="","Désignation manquante",IF(OR(NOT(ISNUMBER(D3997)),N(D3997)&lt;=0),"Quantité invalide",IF(J3997="","Prix manquant",IF(OR(NOT(ISNUMBER(J3997)),N(J3997)&lt;0),"Prix invalide",IF(OR(AND(F3997&lt;&gt;"",NOT(ISNUMBER(F3997))),N(F3997)&lt;0,N(F3997)&gt;1),"Remise invalide",IF(K3997="","Taux de TVA manquant",IF(NOT(ISNUMBER(K3997)),"Taux de TVA invalide",IF(COUNTIF(p_rates,K3997)=0,"Taux de TVA hors liste (Paramètres)",IF(N(O3997)&gt;25,"Au-delà de 25 lignes : non imprimée","OK")))))))))))))</f>
        <v/>
      </c>
      <c r="O3997" s="59" t="str">
        <f>IF(A3997="","",COUNTIF($A$6:A3997,A3997))</f>
        <v/>
      </c>
      <c r="P3997" s="62" t="str">
        <f>IF(A3997="","",A3997&amp;"|"&amp;O3997)</f>
        <v/>
      </c>
    </row>
    <row r="3998">
      <c r="A3998" s="60" t="n"/>
      <c r="B3998" s="63" t="n"/>
      <c r="C3998" s="63" t="n"/>
      <c r="D3998" s="67" t="n"/>
      <c r="E3998" s="68" t="n"/>
      <c r="F3998" s="69" t="n"/>
      <c r="G3998" s="70" t="n"/>
      <c r="H3998" s="62" t="str">
        <f>IF(COUNTA(A3998:G3998)=0,"",IF(C3998&lt;&gt;"",C3998,IF(B3998="","",IFERROR(INDEX(pr_des,MATCH(B3998,pr_code,0))&amp;"",""))))</f>
        <v/>
      </c>
      <c r="I3998" s="59" t="str">
        <f>IF(B3998="","",IFERROR(INDEX(pr_unit,MATCH(B3998,pr_code,0))&amp;"",""))</f>
        <v/>
      </c>
      <c r="J3998" s="65" t="str">
        <f>IF(COUNTA(A3998:G3998)=0,"",IF(E3998&lt;&gt;"",E3998,IF(B3998="","",IFERROR(IF(INDEX(pr_price,MATCH(B3998,pr_code,0))="","",INDEX(pr_price,MATCH(B3998,pr_code,0))),""))))</f>
        <v/>
      </c>
      <c r="K3998" s="71" t="str">
        <f>IF(COUNTA(A3998:G3998)=0,"",IF(G3998&lt;&gt;"",G3998,IF(B3998="","",IFERROR(IF(INDEX(pr_rate,MATCH(B3998,pr_code,0))="","",INDEX(pr_rate,MATCH(B3998,pr_code,0))),""))))</f>
        <v/>
      </c>
      <c r="L3998" s="65" t="str">
        <f>IF(COUNTA(A3998:G3998)=0,"",IF(AND(ISNUMBER(D3998),ISNUMBER(J3998)),ROUND(D3998*J3998*(1-N(F3998)),2),0))</f>
        <v/>
      </c>
      <c r="M3998" s="62" t="str">
        <f>IF(A3998="","",IFERROR(INDEX(fa_cname,MATCH(A3998,fa_num,0))&amp;"",""))</f>
        <v/>
      </c>
      <c r="N3998" s="59" t="str">
        <f>IF(COUNTA(A3998:G3998)=0,"",IF(A3998="","N° facture manquant",IF(ISNA(MATCH(A3998,fa_num,0)),"Facture inconnue",IF(AND(B3998&lt;&gt;"",ISNA(MATCH(B3998,pr_code,0))),"Article inconnu",IF(H3998="","Désignation manquante",IF(OR(NOT(ISNUMBER(D3998)),N(D3998)&lt;=0),"Quantité invalide",IF(J3998="","Prix manquant",IF(OR(NOT(ISNUMBER(J3998)),N(J3998)&lt;0),"Prix invalide",IF(OR(AND(F3998&lt;&gt;"",NOT(ISNUMBER(F3998))),N(F3998)&lt;0,N(F3998)&gt;1),"Remise invalide",IF(K3998="","Taux de TVA manquant",IF(NOT(ISNUMBER(K3998)),"Taux de TVA invalide",IF(COUNTIF(p_rates,K3998)=0,"Taux de TVA hors liste (Paramètres)",IF(N(O3998)&gt;25,"Au-delà de 25 lignes : non imprimée","OK")))))))))))))</f>
        <v/>
      </c>
      <c r="O3998" s="59" t="str">
        <f>IF(A3998="","",COUNTIF($A$6:A3998,A3998))</f>
        <v/>
      </c>
      <c r="P3998" s="62" t="str">
        <f>IF(A3998="","",A3998&amp;"|"&amp;O3998)</f>
        <v/>
      </c>
    </row>
    <row r="3999">
      <c r="A3999" s="60" t="n"/>
      <c r="B3999" s="63" t="n"/>
      <c r="C3999" s="63" t="n"/>
      <c r="D3999" s="67" t="n"/>
      <c r="E3999" s="68" t="n"/>
      <c r="F3999" s="69" t="n"/>
      <c r="G3999" s="70" t="n"/>
      <c r="H3999" s="62" t="str">
        <f>IF(COUNTA(A3999:G3999)=0,"",IF(C3999&lt;&gt;"",C3999,IF(B3999="","",IFERROR(INDEX(pr_des,MATCH(B3999,pr_code,0))&amp;"",""))))</f>
        <v/>
      </c>
      <c r="I3999" s="59" t="str">
        <f>IF(B3999="","",IFERROR(INDEX(pr_unit,MATCH(B3999,pr_code,0))&amp;"",""))</f>
        <v/>
      </c>
      <c r="J3999" s="65" t="str">
        <f>IF(COUNTA(A3999:G3999)=0,"",IF(E3999&lt;&gt;"",E3999,IF(B3999="","",IFERROR(IF(INDEX(pr_price,MATCH(B3999,pr_code,0))="","",INDEX(pr_price,MATCH(B3999,pr_code,0))),""))))</f>
        <v/>
      </c>
      <c r="K3999" s="71" t="str">
        <f>IF(COUNTA(A3999:G3999)=0,"",IF(G3999&lt;&gt;"",G3999,IF(B3999="","",IFERROR(IF(INDEX(pr_rate,MATCH(B3999,pr_code,0))="","",INDEX(pr_rate,MATCH(B3999,pr_code,0))),""))))</f>
        <v/>
      </c>
      <c r="L3999" s="65" t="str">
        <f>IF(COUNTA(A3999:G3999)=0,"",IF(AND(ISNUMBER(D3999),ISNUMBER(J3999)),ROUND(D3999*J3999*(1-N(F3999)),2),0))</f>
        <v/>
      </c>
      <c r="M3999" s="62" t="str">
        <f>IF(A3999="","",IFERROR(INDEX(fa_cname,MATCH(A3999,fa_num,0))&amp;"",""))</f>
        <v/>
      </c>
      <c r="N3999" s="59" t="str">
        <f>IF(COUNTA(A3999:G3999)=0,"",IF(A3999="","N° facture manquant",IF(ISNA(MATCH(A3999,fa_num,0)),"Facture inconnue",IF(AND(B3999&lt;&gt;"",ISNA(MATCH(B3999,pr_code,0))),"Article inconnu",IF(H3999="","Désignation manquante",IF(OR(NOT(ISNUMBER(D3999)),N(D3999)&lt;=0),"Quantité invalide",IF(J3999="","Prix manquant",IF(OR(NOT(ISNUMBER(J3999)),N(J3999)&lt;0),"Prix invalide",IF(OR(AND(F3999&lt;&gt;"",NOT(ISNUMBER(F3999))),N(F3999)&lt;0,N(F3999)&gt;1),"Remise invalide",IF(K3999="","Taux de TVA manquant",IF(NOT(ISNUMBER(K3999)),"Taux de TVA invalide",IF(COUNTIF(p_rates,K3999)=0,"Taux de TVA hors liste (Paramètres)",IF(N(O3999)&gt;25,"Au-delà de 25 lignes : non imprimée","OK")))))))))))))</f>
        <v/>
      </c>
      <c r="O3999" s="59" t="str">
        <f>IF(A3999="","",COUNTIF($A$6:A3999,A3999))</f>
        <v/>
      </c>
      <c r="P3999" s="62" t="str">
        <f>IF(A3999="","",A3999&amp;"|"&amp;O3999)</f>
        <v/>
      </c>
    </row>
    <row r="4000">
      <c r="A4000" s="60" t="n"/>
      <c r="B4000" s="63" t="n"/>
      <c r="C4000" s="63" t="n"/>
      <c r="D4000" s="67" t="n"/>
      <c r="E4000" s="68" t="n"/>
      <c r="F4000" s="69" t="n"/>
      <c r="G4000" s="70" t="n"/>
      <c r="H4000" s="62" t="str">
        <f>IF(COUNTA(A4000:G4000)=0,"",IF(C4000&lt;&gt;"",C4000,IF(B4000="","",IFERROR(INDEX(pr_des,MATCH(B4000,pr_code,0))&amp;"",""))))</f>
        <v/>
      </c>
      <c r="I4000" s="59" t="str">
        <f>IF(B4000="","",IFERROR(INDEX(pr_unit,MATCH(B4000,pr_code,0))&amp;"",""))</f>
        <v/>
      </c>
      <c r="J4000" s="65" t="str">
        <f>IF(COUNTA(A4000:G4000)=0,"",IF(E4000&lt;&gt;"",E4000,IF(B4000="","",IFERROR(IF(INDEX(pr_price,MATCH(B4000,pr_code,0))="","",INDEX(pr_price,MATCH(B4000,pr_code,0))),""))))</f>
        <v/>
      </c>
      <c r="K4000" s="71" t="str">
        <f>IF(COUNTA(A4000:G4000)=0,"",IF(G4000&lt;&gt;"",G4000,IF(B4000="","",IFERROR(IF(INDEX(pr_rate,MATCH(B4000,pr_code,0))="","",INDEX(pr_rate,MATCH(B4000,pr_code,0))),""))))</f>
        <v/>
      </c>
      <c r="L4000" s="65" t="str">
        <f>IF(COUNTA(A4000:G4000)=0,"",IF(AND(ISNUMBER(D4000),ISNUMBER(J4000)),ROUND(D4000*J4000*(1-N(F4000)),2),0))</f>
        <v/>
      </c>
      <c r="M4000" s="62" t="str">
        <f>IF(A4000="","",IFERROR(INDEX(fa_cname,MATCH(A4000,fa_num,0))&amp;"",""))</f>
        <v/>
      </c>
      <c r="N4000" s="59" t="str">
        <f>IF(COUNTA(A4000:G4000)=0,"",IF(A4000="","N° facture manquant",IF(ISNA(MATCH(A4000,fa_num,0)),"Facture inconnue",IF(AND(B4000&lt;&gt;"",ISNA(MATCH(B4000,pr_code,0))),"Article inconnu",IF(H4000="","Désignation manquante",IF(OR(NOT(ISNUMBER(D4000)),N(D4000)&lt;=0),"Quantité invalide",IF(J4000="","Prix manquant",IF(OR(NOT(ISNUMBER(J4000)),N(J4000)&lt;0),"Prix invalide",IF(OR(AND(F4000&lt;&gt;"",NOT(ISNUMBER(F4000))),N(F4000)&lt;0,N(F4000)&gt;1),"Remise invalide",IF(K4000="","Taux de TVA manquant",IF(NOT(ISNUMBER(K4000)),"Taux de TVA invalide",IF(COUNTIF(p_rates,K4000)=0,"Taux de TVA hors liste (Paramètres)",IF(N(O4000)&gt;25,"Au-delà de 25 lignes : non imprimée","OK")))))))))))))</f>
        <v/>
      </c>
      <c r="O4000" s="59" t="str">
        <f>IF(A4000="","",COUNTIF($A$6:A4000,A4000))</f>
        <v/>
      </c>
      <c r="P4000" s="62" t="str">
        <f>IF(A4000="","",A4000&amp;"|"&amp;O4000)</f>
        <v/>
      </c>
    </row>
    <row r="4001">
      <c r="A4001" s="60" t="n"/>
      <c r="B4001" s="63" t="n"/>
      <c r="C4001" s="63" t="n"/>
      <c r="D4001" s="67" t="n"/>
      <c r="E4001" s="68" t="n"/>
      <c r="F4001" s="69" t="n"/>
      <c r="G4001" s="70" t="n"/>
      <c r="H4001" s="62" t="str">
        <f>IF(COUNTA(A4001:G4001)=0,"",IF(C4001&lt;&gt;"",C4001,IF(B4001="","",IFERROR(INDEX(pr_des,MATCH(B4001,pr_code,0))&amp;"",""))))</f>
        <v/>
      </c>
      <c r="I4001" s="59" t="str">
        <f>IF(B4001="","",IFERROR(INDEX(pr_unit,MATCH(B4001,pr_code,0))&amp;"",""))</f>
        <v/>
      </c>
      <c r="J4001" s="65" t="str">
        <f>IF(COUNTA(A4001:G4001)=0,"",IF(E4001&lt;&gt;"",E4001,IF(B4001="","",IFERROR(IF(INDEX(pr_price,MATCH(B4001,pr_code,0))="","",INDEX(pr_price,MATCH(B4001,pr_code,0))),""))))</f>
        <v/>
      </c>
      <c r="K4001" s="71" t="str">
        <f>IF(COUNTA(A4001:G4001)=0,"",IF(G4001&lt;&gt;"",G4001,IF(B4001="","",IFERROR(IF(INDEX(pr_rate,MATCH(B4001,pr_code,0))="","",INDEX(pr_rate,MATCH(B4001,pr_code,0))),""))))</f>
        <v/>
      </c>
      <c r="L4001" s="65" t="str">
        <f>IF(COUNTA(A4001:G4001)=0,"",IF(AND(ISNUMBER(D4001),ISNUMBER(J4001)),ROUND(D4001*J4001*(1-N(F4001)),2),0))</f>
        <v/>
      </c>
      <c r="M4001" s="62" t="str">
        <f>IF(A4001="","",IFERROR(INDEX(fa_cname,MATCH(A4001,fa_num,0))&amp;"",""))</f>
        <v/>
      </c>
      <c r="N4001" s="59" t="str">
        <f>IF(COUNTA(A4001:G4001)=0,"",IF(A4001="","N° facture manquant",IF(ISNA(MATCH(A4001,fa_num,0)),"Facture inconnue",IF(AND(B4001&lt;&gt;"",ISNA(MATCH(B4001,pr_code,0))),"Article inconnu",IF(H4001="","Désignation manquante",IF(OR(NOT(ISNUMBER(D4001)),N(D4001)&lt;=0),"Quantité invalide",IF(J4001="","Prix manquant",IF(OR(NOT(ISNUMBER(J4001)),N(J4001)&lt;0),"Prix invalide",IF(OR(AND(F4001&lt;&gt;"",NOT(ISNUMBER(F4001))),N(F4001)&lt;0,N(F4001)&gt;1),"Remise invalide",IF(K4001="","Taux de TVA manquant",IF(NOT(ISNUMBER(K4001)),"Taux de TVA invalide",IF(COUNTIF(p_rates,K4001)=0,"Taux de TVA hors liste (Paramètres)",IF(N(O4001)&gt;25,"Au-delà de 25 lignes : non imprimée","OK")))))))))))))</f>
        <v/>
      </c>
      <c r="O4001" s="59" t="str">
        <f>IF(A4001="","",COUNTIF($A$6:A4001,A4001))</f>
        <v/>
      </c>
      <c r="P4001" s="62" t="str">
        <f>IF(A4001="","",A4001&amp;"|"&amp;O4001)</f>
        <v/>
      </c>
    </row>
    <row r="4002">
      <c r="A4002" s="60" t="n"/>
      <c r="B4002" s="63" t="n"/>
      <c r="C4002" s="63" t="n"/>
      <c r="D4002" s="67" t="n"/>
      <c r="E4002" s="68" t="n"/>
      <c r="F4002" s="69" t="n"/>
      <c r="G4002" s="70" t="n"/>
      <c r="H4002" s="62" t="str">
        <f>IF(COUNTA(A4002:G4002)=0,"",IF(C4002&lt;&gt;"",C4002,IF(B4002="","",IFERROR(INDEX(pr_des,MATCH(B4002,pr_code,0))&amp;"",""))))</f>
        <v/>
      </c>
      <c r="I4002" s="59" t="str">
        <f>IF(B4002="","",IFERROR(INDEX(pr_unit,MATCH(B4002,pr_code,0))&amp;"",""))</f>
        <v/>
      </c>
      <c r="J4002" s="65" t="str">
        <f>IF(COUNTA(A4002:G4002)=0,"",IF(E4002&lt;&gt;"",E4002,IF(B4002="","",IFERROR(IF(INDEX(pr_price,MATCH(B4002,pr_code,0))="","",INDEX(pr_price,MATCH(B4002,pr_code,0))),""))))</f>
        <v/>
      </c>
      <c r="K4002" s="71" t="str">
        <f>IF(COUNTA(A4002:G4002)=0,"",IF(G4002&lt;&gt;"",G4002,IF(B4002="","",IFERROR(IF(INDEX(pr_rate,MATCH(B4002,pr_code,0))="","",INDEX(pr_rate,MATCH(B4002,pr_code,0))),""))))</f>
        <v/>
      </c>
      <c r="L4002" s="65" t="str">
        <f>IF(COUNTA(A4002:G4002)=0,"",IF(AND(ISNUMBER(D4002),ISNUMBER(J4002)),ROUND(D4002*J4002*(1-N(F4002)),2),0))</f>
        <v/>
      </c>
      <c r="M4002" s="62" t="str">
        <f>IF(A4002="","",IFERROR(INDEX(fa_cname,MATCH(A4002,fa_num,0))&amp;"",""))</f>
        <v/>
      </c>
      <c r="N4002" s="59" t="str">
        <f>IF(COUNTA(A4002:G4002)=0,"",IF(A4002="","N° facture manquant",IF(ISNA(MATCH(A4002,fa_num,0)),"Facture inconnue",IF(AND(B4002&lt;&gt;"",ISNA(MATCH(B4002,pr_code,0))),"Article inconnu",IF(H4002="","Désignation manquante",IF(OR(NOT(ISNUMBER(D4002)),N(D4002)&lt;=0),"Quantité invalide",IF(J4002="","Prix manquant",IF(OR(NOT(ISNUMBER(J4002)),N(J4002)&lt;0),"Prix invalide",IF(OR(AND(F4002&lt;&gt;"",NOT(ISNUMBER(F4002))),N(F4002)&lt;0,N(F4002)&gt;1),"Remise invalide",IF(K4002="","Taux de TVA manquant",IF(NOT(ISNUMBER(K4002)),"Taux de TVA invalide",IF(COUNTIF(p_rates,K4002)=0,"Taux de TVA hors liste (Paramètres)",IF(N(O4002)&gt;25,"Au-delà de 25 lignes : non imprimée","OK")))))))))))))</f>
        <v/>
      </c>
      <c r="O4002" s="59" t="str">
        <f>IF(A4002="","",COUNTIF($A$6:A4002,A4002))</f>
        <v/>
      </c>
      <c r="P4002" s="62" t="str">
        <f>IF(A4002="","",A4002&amp;"|"&amp;O4002)</f>
        <v/>
      </c>
    </row>
    <row r="4003">
      <c r="A4003" s="60" t="n"/>
      <c r="B4003" s="63" t="n"/>
      <c r="C4003" s="63" t="n"/>
      <c r="D4003" s="67" t="n"/>
      <c r="E4003" s="68" t="n"/>
      <c r="F4003" s="69" t="n"/>
      <c r="G4003" s="70" t="n"/>
      <c r="H4003" s="62" t="str">
        <f>IF(COUNTA(A4003:G4003)=0,"",IF(C4003&lt;&gt;"",C4003,IF(B4003="","",IFERROR(INDEX(pr_des,MATCH(B4003,pr_code,0))&amp;"",""))))</f>
        <v/>
      </c>
      <c r="I4003" s="59" t="str">
        <f>IF(B4003="","",IFERROR(INDEX(pr_unit,MATCH(B4003,pr_code,0))&amp;"",""))</f>
        <v/>
      </c>
      <c r="J4003" s="65" t="str">
        <f>IF(COUNTA(A4003:G4003)=0,"",IF(E4003&lt;&gt;"",E4003,IF(B4003="","",IFERROR(IF(INDEX(pr_price,MATCH(B4003,pr_code,0))="","",INDEX(pr_price,MATCH(B4003,pr_code,0))),""))))</f>
        <v/>
      </c>
      <c r="K4003" s="71" t="str">
        <f>IF(COUNTA(A4003:G4003)=0,"",IF(G4003&lt;&gt;"",G4003,IF(B4003="","",IFERROR(IF(INDEX(pr_rate,MATCH(B4003,pr_code,0))="","",INDEX(pr_rate,MATCH(B4003,pr_code,0))),""))))</f>
        <v/>
      </c>
      <c r="L4003" s="65" t="str">
        <f>IF(COUNTA(A4003:G4003)=0,"",IF(AND(ISNUMBER(D4003),ISNUMBER(J4003)),ROUND(D4003*J4003*(1-N(F4003)),2),0))</f>
        <v/>
      </c>
      <c r="M4003" s="62" t="str">
        <f>IF(A4003="","",IFERROR(INDEX(fa_cname,MATCH(A4003,fa_num,0))&amp;"",""))</f>
        <v/>
      </c>
      <c r="N4003" s="59" t="str">
        <f>IF(COUNTA(A4003:G4003)=0,"",IF(A4003="","N° facture manquant",IF(ISNA(MATCH(A4003,fa_num,0)),"Facture inconnue",IF(AND(B4003&lt;&gt;"",ISNA(MATCH(B4003,pr_code,0))),"Article inconnu",IF(H4003="","Désignation manquante",IF(OR(NOT(ISNUMBER(D4003)),N(D4003)&lt;=0),"Quantité invalide",IF(J4003="","Prix manquant",IF(OR(NOT(ISNUMBER(J4003)),N(J4003)&lt;0),"Prix invalide",IF(OR(AND(F4003&lt;&gt;"",NOT(ISNUMBER(F4003))),N(F4003)&lt;0,N(F4003)&gt;1),"Remise invalide",IF(K4003="","Taux de TVA manquant",IF(NOT(ISNUMBER(K4003)),"Taux de TVA invalide",IF(COUNTIF(p_rates,K4003)=0,"Taux de TVA hors liste (Paramètres)",IF(N(O4003)&gt;25,"Au-delà de 25 lignes : non imprimée","OK")))))))))))))</f>
        <v/>
      </c>
      <c r="O4003" s="59" t="str">
        <f>IF(A4003="","",COUNTIF($A$6:A4003,A4003))</f>
        <v/>
      </c>
      <c r="P4003" s="62" t="str">
        <f>IF(A4003="","",A4003&amp;"|"&amp;O4003)</f>
        <v/>
      </c>
    </row>
    <row r="4004">
      <c r="A4004" s="60" t="n"/>
      <c r="B4004" s="63" t="n"/>
      <c r="C4004" s="63" t="n"/>
      <c r="D4004" s="67" t="n"/>
      <c r="E4004" s="68" t="n"/>
      <c r="F4004" s="69" t="n"/>
      <c r="G4004" s="70" t="n"/>
      <c r="H4004" s="62" t="str">
        <f>IF(COUNTA(A4004:G4004)=0,"",IF(C4004&lt;&gt;"",C4004,IF(B4004="","",IFERROR(INDEX(pr_des,MATCH(B4004,pr_code,0))&amp;"",""))))</f>
        <v/>
      </c>
      <c r="I4004" s="59" t="str">
        <f>IF(B4004="","",IFERROR(INDEX(pr_unit,MATCH(B4004,pr_code,0))&amp;"",""))</f>
        <v/>
      </c>
      <c r="J4004" s="65" t="str">
        <f>IF(COUNTA(A4004:G4004)=0,"",IF(E4004&lt;&gt;"",E4004,IF(B4004="","",IFERROR(IF(INDEX(pr_price,MATCH(B4004,pr_code,0))="","",INDEX(pr_price,MATCH(B4004,pr_code,0))),""))))</f>
        <v/>
      </c>
      <c r="K4004" s="71" t="str">
        <f>IF(COUNTA(A4004:G4004)=0,"",IF(G4004&lt;&gt;"",G4004,IF(B4004="","",IFERROR(IF(INDEX(pr_rate,MATCH(B4004,pr_code,0))="","",INDEX(pr_rate,MATCH(B4004,pr_code,0))),""))))</f>
        <v/>
      </c>
      <c r="L4004" s="65" t="str">
        <f>IF(COUNTA(A4004:G4004)=0,"",IF(AND(ISNUMBER(D4004),ISNUMBER(J4004)),ROUND(D4004*J4004*(1-N(F4004)),2),0))</f>
        <v/>
      </c>
      <c r="M4004" s="62" t="str">
        <f>IF(A4004="","",IFERROR(INDEX(fa_cname,MATCH(A4004,fa_num,0))&amp;"",""))</f>
        <v/>
      </c>
      <c r="N4004" s="59" t="str">
        <f>IF(COUNTA(A4004:G4004)=0,"",IF(A4004="","N° facture manquant",IF(ISNA(MATCH(A4004,fa_num,0)),"Facture inconnue",IF(AND(B4004&lt;&gt;"",ISNA(MATCH(B4004,pr_code,0))),"Article inconnu",IF(H4004="","Désignation manquante",IF(OR(NOT(ISNUMBER(D4004)),N(D4004)&lt;=0),"Quantité invalide",IF(J4004="","Prix manquant",IF(OR(NOT(ISNUMBER(J4004)),N(J4004)&lt;0),"Prix invalide",IF(OR(AND(F4004&lt;&gt;"",NOT(ISNUMBER(F4004))),N(F4004)&lt;0,N(F4004)&gt;1),"Remise invalide",IF(K4004="","Taux de TVA manquant",IF(NOT(ISNUMBER(K4004)),"Taux de TVA invalide",IF(COUNTIF(p_rates,K4004)=0,"Taux de TVA hors liste (Paramètres)",IF(N(O4004)&gt;25,"Au-delà de 25 lignes : non imprimée","OK")))))))))))))</f>
        <v/>
      </c>
      <c r="O4004" s="59" t="str">
        <f>IF(A4004="","",COUNTIF($A$6:A4004,A4004))</f>
        <v/>
      </c>
      <c r="P4004" s="62" t="str">
        <f>IF(A4004="","",A4004&amp;"|"&amp;O4004)</f>
        <v/>
      </c>
    </row>
    <row r="4005">
      <c r="A4005" s="60" t="n"/>
      <c r="B4005" s="63" t="n"/>
      <c r="C4005" s="63" t="n"/>
      <c r="D4005" s="67" t="n"/>
      <c r="E4005" s="68" t="n"/>
      <c r="F4005" s="69" t="n"/>
      <c r="G4005" s="70" t="n"/>
      <c r="H4005" s="62" t="str">
        <f>IF(COUNTA(A4005:G4005)=0,"",IF(C4005&lt;&gt;"",C4005,IF(B4005="","",IFERROR(INDEX(pr_des,MATCH(B4005,pr_code,0))&amp;"",""))))</f>
        <v/>
      </c>
      <c r="I4005" s="59" t="str">
        <f>IF(B4005="","",IFERROR(INDEX(pr_unit,MATCH(B4005,pr_code,0))&amp;"",""))</f>
        <v/>
      </c>
      <c r="J4005" s="65" t="str">
        <f>IF(COUNTA(A4005:G4005)=0,"",IF(E4005&lt;&gt;"",E4005,IF(B4005="","",IFERROR(IF(INDEX(pr_price,MATCH(B4005,pr_code,0))="","",INDEX(pr_price,MATCH(B4005,pr_code,0))),""))))</f>
        <v/>
      </c>
      <c r="K4005" s="71" t="str">
        <f>IF(COUNTA(A4005:G4005)=0,"",IF(G4005&lt;&gt;"",G4005,IF(B4005="","",IFERROR(IF(INDEX(pr_rate,MATCH(B4005,pr_code,0))="","",INDEX(pr_rate,MATCH(B4005,pr_code,0))),""))))</f>
        <v/>
      </c>
      <c r="L4005" s="65" t="str">
        <f>IF(COUNTA(A4005:G4005)=0,"",IF(AND(ISNUMBER(D4005),ISNUMBER(J4005)),ROUND(D4005*J4005*(1-N(F4005)),2),0))</f>
        <v/>
      </c>
      <c r="M4005" s="62" t="str">
        <f>IF(A4005="","",IFERROR(INDEX(fa_cname,MATCH(A4005,fa_num,0))&amp;"",""))</f>
        <v/>
      </c>
      <c r="N4005" s="59" t="str">
        <f>IF(COUNTA(A4005:G4005)=0,"",IF(A4005="","N° facture manquant",IF(ISNA(MATCH(A4005,fa_num,0)),"Facture inconnue",IF(AND(B4005&lt;&gt;"",ISNA(MATCH(B4005,pr_code,0))),"Article inconnu",IF(H4005="","Désignation manquante",IF(OR(NOT(ISNUMBER(D4005)),N(D4005)&lt;=0),"Quantité invalide",IF(J4005="","Prix manquant",IF(OR(NOT(ISNUMBER(J4005)),N(J4005)&lt;0),"Prix invalide",IF(OR(AND(F4005&lt;&gt;"",NOT(ISNUMBER(F4005))),N(F4005)&lt;0,N(F4005)&gt;1),"Remise invalide",IF(K4005="","Taux de TVA manquant",IF(NOT(ISNUMBER(K4005)),"Taux de TVA invalide",IF(COUNTIF(p_rates,K4005)=0,"Taux de TVA hors liste (Paramètres)",IF(N(O4005)&gt;25,"Au-delà de 25 lignes : non imprimée","OK")))))))))))))</f>
        <v/>
      </c>
      <c r="O4005" s="59" t="str">
        <f>IF(A4005="","",COUNTIF($A$6:A4005,A4005))</f>
        <v/>
      </c>
      <c r="P4005" s="62" t="str">
        <f>IF(A4005="","",A4005&amp;"|"&amp;O4005)</f>
        <v/>
      </c>
    </row>
  </sheetData>
  <autoFilter ref="A5:N4005"/>
  <conditionalFormatting sqref="N6:N4005">
    <cfRule type="expression" priority="1" dxfId="11">
      <formula>$N6="OK"</formula>
    </cfRule>
    <cfRule type="expression" priority="2" dxfId="4">
      <formula>AND($N6&lt;&gt;"",$N6&lt;&gt;"OK")</formula>
    </cfRule>
  </conditionalFormatting>
  <conditionalFormatting sqref="E6:E4005">
    <cfRule type="expression" priority="3" dxfId="5">
      <formula>p_currency="MAD"</formula>
    </cfRule>
    <cfRule type="expression" priority="6" dxfId="6">
      <formula>p_currency="EUR"</formula>
    </cfRule>
    <cfRule type="expression" priority="9" dxfId="7">
      <formula>p_currency="USD"</formula>
    </cfRule>
  </conditionalFormatting>
  <conditionalFormatting sqref="J6:J4005">
    <cfRule type="expression" priority="4" dxfId="5">
      <formula>p_currency="MAD"</formula>
    </cfRule>
    <cfRule type="expression" priority="7" dxfId="6">
      <formula>p_currency="EUR"</formula>
    </cfRule>
    <cfRule type="expression" priority="10" dxfId="7">
      <formula>p_currency="USD"</formula>
    </cfRule>
  </conditionalFormatting>
  <conditionalFormatting sqref="L6:L4005">
    <cfRule type="expression" priority="5" dxfId="5">
      <formula>p_currency="MAD"</formula>
    </cfRule>
    <cfRule type="expression" priority="8" dxfId="6">
      <formula>p_currency="EUR"</formula>
    </cfRule>
    <cfRule type="expression" priority="11" dxfId="7">
      <formula>p_currency="USD"</formula>
    </cfRule>
  </conditionalFormatting>
  <dataValidations count="7">
    <dataValidation sqref="A6:A4005" showDropDown="0" showInputMessage="1" showErrorMessage="1" allowBlank="1" errorTitle="N° facture" error="Choisissez le numéro dans la liste (feuille « Factures »). Créez d'abord le document avec sa date et son client." promptTitle="N° facture" prompt="Choisissez le numéro dans la liste (feuille « Factures »). Créez d'abord le document avec sa date et son client." type="list">
      <formula1>=fa_num</formula1>
    </dataValidation>
    <dataValidation sqref="B6:B4005" showDropDown="0" showInputMessage="1" showErrorMessage="1" allowBlank="1" errorTitle="Article" error="Choisissez l'article (feuille « Produits et services »). Laissez vide pour une ligne libre : saisissez alors désignation, prix et TVA." promptTitle="Article" prompt="Choisissez l'article (feuille « Produits et services »). Laissez vide pour une ligne libre : saisissez alors désignation, prix et TVA." type="list">
      <formula1>=pr_code</formula1>
    </dataValidation>
    <dataValidation sqref="C6:C4005" showDropDown="0" showInputMessage="1" showErrorMessage="1" allowBlank="1" errorTitle="Désignation" error="150 caractères au maximum." promptTitle="Désignation" prompt="Facultatif : remplace la désignation de l'article sur ce document." type="textLength" operator="lessThanOrEqual">
      <formula1>150</formula1>
    </dataValidation>
    <dataValidation sqref="D6:D4005" showDropDown="0" showInputMessage="1" showErrorMessage="1" allowBlank="1" errorTitle="Quantité" error="Quantité supérieure à zéro, décimales permises (2,5 h)." promptTitle="Quantité" prompt="Quantité supérieure à zéro, décimales permises (2,5 h)." type="decimal" operator="greaterThan">
      <formula1>0</formula1>
    </dataValidation>
    <dataValidation sqref="E6:E4005" showDropDown="0" showInputMessage="1" showErrorMessage="1" allowBlank="1" errorTitle="Prix unitaire HT" error="Facultatif : remplace le prix de l'article sur cette ligne." promptTitle="Prix unitaire HT" prompt="Facultatif : remplace le prix de l'article sur cette ligne." type="decimal" operator="greaterThanOrEqual">
      <formula1>0</formula1>
    </dataValidation>
    <dataValidation sqref="F6:F4005" showDropDown="0" showInputMessage="1" showErrorMessage="1" allowBlank="1" errorTitle="Remise" error="Remise de la ligne en pourcentage, entre 0 et 100 % (tapez 5 % ou 0,05)." promptTitle="Remise" prompt="Remise de la ligne en pourcentage, entre 0 et 100 % (tapez 5 % ou 0,05)." type="decimal" operator="between">
      <formula1>0</formula1>
      <formula2>1</formula2>
    </dataValidation>
    <dataValidation sqref="G6:G4005" showDropDown="0" showInputMessage="1" showErrorMessage="1" allowBlank="1" errorTitle="TVA" error="Facultatif : remplace le taux de TVA de l'article (exemple : 0 % pour un export)." promptTitle="TVA" prompt="Facultatif : remplace le taux de TVA de l'article (exemple : 0 % pour un export)." type="list">
      <formula1>=p_rates</formula1>
    </dataValidation>
  </dataValidations>
  <hyperlinks>
    <hyperlink ref="N1" location="'Mode d''emploi'!A1"/>
  </hyperlinks>
  <printOptions horizontalCentered="1"/>
  <pageMargins left="0.4" right="0.4" top="0.5" bottom="0.5" header="0.5" footer="0.5"/>
  <pageSetup orientation="landscape" paperSize="9" fitToHeight="0" fitToWidth="1"/>
</worksheet>
</file>

<file path=xl/worksheets/sheet5.xml><?xml version="1.0" encoding="utf-8"?>
<worksheet xmlns="http://schemas.openxmlformats.org/spreadsheetml/2006/main">
  <sheetPr>
    <tabColor rgb="FFBE185D"/>
    <outlinePr summaryBelow="1" summaryRight="1"/>
    <pageSetUpPr fitToPage="1"/>
  </sheetPr>
  <dimension ref="A1:H15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2" customWidth="1" min="1" max="1"/>
    <col width="16" customWidth="1" min="2" max="2"/>
    <col width="15" customWidth="1" min="3" max="3"/>
    <col width="18" customWidth="1" min="4" max="4"/>
    <col width="20" customWidth="1" min="5" max="5"/>
    <col width="28" customWidth="1" min="6" max="6"/>
    <col width="26" customWidth="1" min="7" max="7"/>
    <col width="34" customWidth="1" min="8" max="8"/>
  </cols>
  <sheetData>
    <row r="1" ht="38" customHeight="1">
      <c r="A1" s="2" t="inlineStr">
        <is>
          <t>Paiements</t>
        </is>
      </c>
      <c r="B1" s="1" t="n"/>
      <c r="C1" s="1" t="n"/>
      <c r="D1" s="1" t="n"/>
      <c r="E1" s="1" t="n"/>
      <c r="F1" s="1" t="n"/>
      <c r="G1" s="1" t="n"/>
      <c r="H1" s="18" t="inlineStr">
        <is>
          <t>⌂ Mode d'emploi</t>
        </is>
      </c>
    </row>
    <row r="2" ht="22" customHeight="1">
      <c r="A2" s="4" t="inlineStr">
        <is>
          <t>Un encaissement par ligne, même partiel. Le reste dû des factures se met à jour.</t>
        </is>
      </c>
      <c r="B2" s="3" t="n"/>
      <c r="C2" s="3" t="n"/>
      <c r="D2" s="3" t="n"/>
      <c r="E2" s="3" t="n"/>
      <c r="F2" s="3" t="n"/>
      <c r="G2" s="3" t="n"/>
      <c r="H2" s="3" t="n"/>
    </row>
    <row r="3" ht="18" customHeight="1">
      <c r="F3" s="16" t="inlineStr">
        <is>
          <t>Saisie</t>
        </is>
      </c>
      <c r="G3" s="17" t="inlineStr">
        <is>
          <t>Calcul auto</t>
        </is>
      </c>
    </row>
    <row r="5" ht="34" customHeight="1">
      <c r="A5" s="43" t="inlineStr">
        <is>
          <t>Date</t>
        </is>
      </c>
      <c r="B5" s="43" t="inlineStr">
        <is>
          <t>N° facture</t>
        </is>
      </c>
      <c r="C5" s="43" t="inlineStr">
        <is>
          <t>Montant</t>
        </is>
      </c>
      <c r="D5" s="43" t="inlineStr">
        <is>
          <t>Mode</t>
        </is>
      </c>
      <c r="E5" s="43" t="inlineStr">
        <is>
          <t>Référence</t>
        </is>
      </c>
      <c r="F5" s="43" t="inlineStr">
        <is>
          <t>Commentaire</t>
        </is>
      </c>
      <c r="G5" s="43" t="inlineStr">
        <is>
          <t>Client</t>
        </is>
      </c>
      <c r="H5" s="43" t="inlineStr">
        <is>
          <t>Contrôle</t>
        </is>
      </c>
    </row>
    <row r="6">
      <c r="A6" s="61" t="n"/>
      <c r="B6" s="60" t="n"/>
      <c r="C6" s="68" t="n"/>
      <c r="D6" s="60" t="n"/>
      <c r="E6" s="63" t="n"/>
      <c r="F6" s="63" t="n"/>
      <c r="G6" s="62" t="str">
        <f>IF(B6="","",IFERROR(INDEX(fa_cname,MATCH(B6,fa_num,0))&amp;"",""))</f>
        <v/>
      </c>
      <c r="H6" s="59" t="str">
        <f>IF(COUNTA(A6:F6)=0,"",IF(A6="","Date manquante",IF(NOT(ISNUMBER(A6)),"Date invalide",IF(B6="","N° de facture manquant",IF(ISNA(MATCH(B6,fa_num,0)),"Facture inconnue",IF(INDEX(fa_type,MATCH(B6,fa_num,0))="Avoir","Paiement sur un avoir",IF(OR(NOT(ISNUMBER(C6)),N(C6)&lt;=0),"Montant invalide",IF(A6&lt;INDEX(fa_date,MATCH(B6,fa_num,0)),"Date antérieure à la facture",IF(SUMIF($B$6:B6,B6,$C$6:C6)&gt;INDEX(fa_ttc,MATCH(B6,fa_num,0))-N(INDEX(fa_avoirs,MATCH(B6,fa_num,0)))+0.001,"Dépasse le montant de la facture","OK")))))))))</f>
        <v/>
      </c>
    </row>
    <row r="7">
      <c r="A7" s="61" t="n"/>
      <c r="B7" s="60" t="n"/>
      <c r="C7" s="68" t="n"/>
      <c r="D7" s="60" t="n"/>
      <c r="E7" s="63" t="n"/>
      <c r="F7" s="63" t="n"/>
      <c r="G7" s="62" t="str">
        <f>IF(B7="","",IFERROR(INDEX(fa_cname,MATCH(B7,fa_num,0))&amp;"",""))</f>
        <v/>
      </c>
      <c r="H7" s="59" t="str">
        <f>IF(COUNTA(A7:F7)=0,"",IF(A7="","Date manquante",IF(NOT(ISNUMBER(A7)),"Date invalide",IF(B7="","N° de facture manquant",IF(ISNA(MATCH(B7,fa_num,0)),"Facture inconnue",IF(INDEX(fa_type,MATCH(B7,fa_num,0))="Avoir","Paiement sur un avoir",IF(OR(NOT(ISNUMBER(C7)),N(C7)&lt;=0),"Montant invalide",IF(A7&lt;INDEX(fa_date,MATCH(B7,fa_num,0)),"Date antérieure à la facture",IF(SUMIF($B$6:B7,B7,$C$6:C7)&gt;INDEX(fa_ttc,MATCH(B7,fa_num,0))-N(INDEX(fa_avoirs,MATCH(B7,fa_num,0)))+0.001,"Dépasse le montant de la facture","OK")))))))))</f>
        <v/>
      </c>
    </row>
    <row r="8">
      <c r="A8" s="61" t="n"/>
      <c r="B8" s="60" t="n"/>
      <c r="C8" s="68" t="n"/>
      <c r="D8" s="60" t="n"/>
      <c r="E8" s="63" t="n"/>
      <c r="F8" s="63" t="n"/>
      <c r="G8" s="62" t="str">
        <f>IF(B8="","",IFERROR(INDEX(fa_cname,MATCH(B8,fa_num,0))&amp;"",""))</f>
        <v/>
      </c>
      <c r="H8" s="59" t="str">
        <f>IF(COUNTA(A8:F8)=0,"",IF(A8="","Date manquante",IF(NOT(ISNUMBER(A8)),"Date invalide",IF(B8="","N° de facture manquant",IF(ISNA(MATCH(B8,fa_num,0)),"Facture inconnue",IF(INDEX(fa_type,MATCH(B8,fa_num,0))="Avoir","Paiement sur un avoir",IF(OR(NOT(ISNUMBER(C8)),N(C8)&lt;=0),"Montant invalide",IF(A8&lt;INDEX(fa_date,MATCH(B8,fa_num,0)),"Date antérieure à la facture",IF(SUMIF($B$6:B8,B8,$C$6:C8)&gt;INDEX(fa_ttc,MATCH(B8,fa_num,0))-N(INDEX(fa_avoirs,MATCH(B8,fa_num,0)))+0.001,"Dépasse le montant de la facture","OK")))))))))</f>
        <v/>
      </c>
    </row>
    <row r="9">
      <c r="A9" s="61" t="n"/>
      <c r="B9" s="60" t="n"/>
      <c r="C9" s="68" t="n"/>
      <c r="D9" s="60" t="n"/>
      <c r="E9" s="63" t="n"/>
      <c r="F9" s="63" t="n"/>
      <c r="G9" s="62" t="str">
        <f>IF(B9="","",IFERROR(INDEX(fa_cname,MATCH(B9,fa_num,0))&amp;"",""))</f>
        <v/>
      </c>
      <c r="H9" s="59" t="str">
        <f>IF(COUNTA(A9:F9)=0,"",IF(A9="","Date manquante",IF(NOT(ISNUMBER(A9)),"Date invalide",IF(B9="","N° de facture manquant",IF(ISNA(MATCH(B9,fa_num,0)),"Facture inconnue",IF(INDEX(fa_type,MATCH(B9,fa_num,0))="Avoir","Paiement sur un avoir",IF(OR(NOT(ISNUMBER(C9)),N(C9)&lt;=0),"Montant invalide",IF(A9&lt;INDEX(fa_date,MATCH(B9,fa_num,0)),"Date antérieure à la facture",IF(SUMIF($B$6:B9,B9,$C$6:C9)&gt;INDEX(fa_ttc,MATCH(B9,fa_num,0))-N(INDEX(fa_avoirs,MATCH(B9,fa_num,0)))+0.001,"Dépasse le montant de la facture","OK")))))))))</f>
        <v/>
      </c>
    </row>
    <row r="10">
      <c r="A10" s="61" t="n"/>
      <c r="B10" s="60" t="n"/>
      <c r="C10" s="68" t="n"/>
      <c r="D10" s="60" t="n"/>
      <c r="E10" s="63" t="n"/>
      <c r="F10" s="63" t="n"/>
      <c r="G10" s="62" t="str">
        <f>IF(B10="","",IFERROR(INDEX(fa_cname,MATCH(B10,fa_num,0))&amp;"",""))</f>
        <v/>
      </c>
      <c r="H10" s="59" t="str">
        <f>IF(COUNTA(A10:F10)=0,"",IF(A10="","Date manquante",IF(NOT(ISNUMBER(A10)),"Date invalide",IF(B10="","N° de facture manquant",IF(ISNA(MATCH(B10,fa_num,0)),"Facture inconnue",IF(INDEX(fa_type,MATCH(B10,fa_num,0))="Avoir","Paiement sur un avoir",IF(OR(NOT(ISNUMBER(C10)),N(C10)&lt;=0),"Montant invalide",IF(A10&lt;INDEX(fa_date,MATCH(B10,fa_num,0)),"Date antérieure à la facture",IF(SUMIF($B$6:B10,B10,$C$6:C10)&gt;INDEX(fa_ttc,MATCH(B10,fa_num,0))-N(INDEX(fa_avoirs,MATCH(B10,fa_num,0)))+0.001,"Dépasse le montant de la facture","OK")))))))))</f>
        <v/>
      </c>
    </row>
    <row r="11">
      <c r="A11" s="61" t="n"/>
      <c r="B11" s="60" t="n"/>
      <c r="C11" s="68" t="n"/>
      <c r="D11" s="60" t="n"/>
      <c r="E11" s="63" t="n"/>
      <c r="F11" s="63" t="n"/>
      <c r="G11" s="62" t="str">
        <f>IF(B11="","",IFERROR(INDEX(fa_cname,MATCH(B11,fa_num,0))&amp;"",""))</f>
        <v/>
      </c>
      <c r="H11" s="59" t="str">
        <f>IF(COUNTA(A11:F11)=0,"",IF(A11="","Date manquante",IF(NOT(ISNUMBER(A11)),"Date invalide",IF(B11="","N° de facture manquant",IF(ISNA(MATCH(B11,fa_num,0)),"Facture inconnue",IF(INDEX(fa_type,MATCH(B11,fa_num,0))="Avoir","Paiement sur un avoir",IF(OR(NOT(ISNUMBER(C11)),N(C11)&lt;=0),"Montant invalide",IF(A11&lt;INDEX(fa_date,MATCH(B11,fa_num,0)),"Date antérieure à la facture",IF(SUMIF($B$6:B11,B11,$C$6:C11)&gt;INDEX(fa_ttc,MATCH(B11,fa_num,0))-N(INDEX(fa_avoirs,MATCH(B11,fa_num,0)))+0.001,"Dépasse le montant de la facture","OK")))))))))</f>
        <v/>
      </c>
    </row>
    <row r="12">
      <c r="A12" s="61" t="n"/>
      <c r="B12" s="60" t="n"/>
      <c r="C12" s="68" t="n"/>
      <c r="D12" s="60" t="n"/>
      <c r="E12" s="63" t="n"/>
      <c r="F12" s="63" t="n"/>
      <c r="G12" s="62" t="str">
        <f>IF(B12="","",IFERROR(INDEX(fa_cname,MATCH(B12,fa_num,0))&amp;"",""))</f>
        <v/>
      </c>
      <c r="H12" s="59" t="str">
        <f>IF(COUNTA(A12:F12)=0,"",IF(A12="","Date manquante",IF(NOT(ISNUMBER(A12)),"Date invalide",IF(B12="","N° de facture manquant",IF(ISNA(MATCH(B12,fa_num,0)),"Facture inconnue",IF(INDEX(fa_type,MATCH(B12,fa_num,0))="Avoir","Paiement sur un avoir",IF(OR(NOT(ISNUMBER(C12)),N(C12)&lt;=0),"Montant invalide",IF(A12&lt;INDEX(fa_date,MATCH(B12,fa_num,0)),"Date antérieure à la facture",IF(SUMIF($B$6:B12,B12,$C$6:C12)&gt;INDEX(fa_ttc,MATCH(B12,fa_num,0))-N(INDEX(fa_avoirs,MATCH(B12,fa_num,0)))+0.001,"Dépasse le montant de la facture","OK")))))))))</f>
        <v/>
      </c>
    </row>
    <row r="13">
      <c r="A13" s="61" t="n"/>
      <c r="B13" s="60" t="n"/>
      <c r="C13" s="68" t="n"/>
      <c r="D13" s="60" t="n"/>
      <c r="E13" s="63" t="n"/>
      <c r="F13" s="63" t="n"/>
      <c r="G13" s="62" t="str">
        <f>IF(B13="","",IFERROR(INDEX(fa_cname,MATCH(B13,fa_num,0))&amp;"",""))</f>
        <v/>
      </c>
      <c r="H13" s="59" t="str">
        <f>IF(COUNTA(A13:F13)=0,"",IF(A13="","Date manquante",IF(NOT(ISNUMBER(A13)),"Date invalide",IF(B13="","N° de facture manquant",IF(ISNA(MATCH(B13,fa_num,0)),"Facture inconnue",IF(INDEX(fa_type,MATCH(B13,fa_num,0))="Avoir","Paiement sur un avoir",IF(OR(NOT(ISNUMBER(C13)),N(C13)&lt;=0),"Montant invalide",IF(A13&lt;INDEX(fa_date,MATCH(B13,fa_num,0)),"Date antérieure à la facture",IF(SUMIF($B$6:B13,B13,$C$6:C13)&gt;INDEX(fa_ttc,MATCH(B13,fa_num,0))-N(INDEX(fa_avoirs,MATCH(B13,fa_num,0)))+0.001,"Dépasse le montant de la facture","OK")))))))))</f>
        <v/>
      </c>
    </row>
    <row r="14">
      <c r="A14" s="61" t="n"/>
      <c r="B14" s="60" t="n"/>
      <c r="C14" s="68" t="n"/>
      <c r="D14" s="60" t="n"/>
      <c r="E14" s="63" t="n"/>
      <c r="F14" s="63" t="n"/>
      <c r="G14" s="62" t="str">
        <f>IF(B14="","",IFERROR(INDEX(fa_cname,MATCH(B14,fa_num,0))&amp;"",""))</f>
        <v/>
      </c>
      <c r="H14" s="59" t="str">
        <f>IF(COUNTA(A14:F14)=0,"",IF(A14="","Date manquante",IF(NOT(ISNUMBER(A14)),"Date invalide",IF(B14="","N° de facture manquant",IF(ISNA(MATCH(B14,fa_num,0)),"Facture inconnue",IF(INDEX(fa_type,MATCH(B14,fa_num,0))="Avoir","Paiement sur un avoir",IF(OR(NOT(ISNUMBER(C14)),N(C14)&lt;=0),"Montant invalide",IF(A14&lt;INDEX(fa_date,MATCH(B14,fa_num,0)),"Date antérieure à la facture",IF(SUMIF($B$6:B14,B14,$C$6:C14)&gt;INDEX(fa_ttc,MATCH(B14,fa_num,0))-N(INDEX(fa_avoirs,MATCH(B14,fa_num,0)))+0.001,"Dépasse le montant de la facture","OK")))))))))</f>
        <v/>
      </c>
    </row>
    <row r="15">
      <c r="A15" s="61" t="n"/>
      <c r="B15" s="60" t="n"/>
      <c r="C15" s="68" t="n"/>
      <c r="D15" s="60" t="n"/>
      <c r="E15" s="63" t="n"/>
      <c r="F15" s="63" t="n"/>
      <c r="G15" s="62" t="str">
        <f>IF(B15="","",IFERROR(INDEX(fa_cname,MATCH(B15,fa_num,0))&amp;"",""))</f>
        <v/>
      </c>
      <c r="H15" s="59" t="str">
        <f>IF(COUNTA(A15:F15)=0,"",IF(A15="","Date manquante",IF(NOT(ISNUMBER(A15)),"Date invalide",IF(B15="","N° de facture manquant",IF(ISNA(MATCH(B15,fa_num,0)),"Facture inconnue",IF(INDEX(fa_type,MATCH(B15,fa_num,0))="Avoir","Paiement sur un avoir",IF(OR(NOT(ISNUMBER(C15)),N(C15)&lt;=0),"Montant invalide",IF(A15&lt;INDEX(fa_date,MATCH(B15,fa_num,0)),"Date antérieure à la facture",IF(SUMIF($B$6:B15,B15,$C$6:C15)&gt;INDEX(fa_ttc,MATCH(B15,fa_num,0))-N(INDEX(fa_avoirs,MATCH(B15,fa_num,0)))+0.001,"Dépasse le montant de la facture","OK")))))))))</f>
        <v/>
      </c>
    </row>
    <row r="16">
      <c r="A16" s="61" t="n"/>
      <c r="B16" s="60" t="n"/>
      <c r="C16" s="68" t="n"/>
      <c r="D16" s="60" t="n"/>
      <c r="E16" s="63" t="n"/>
      <c r="F16" s="63" t="n"/>
      <c r="G16" s="62" t="str">
        <f>IF(B16="","",IFERROR(INDEX(fa_cname,MATCH(B16,fa_num,0))&amp;"",""))</f>
        <v/>
      </c>
      <c r="H16" s="59" t="str">
        <f>IF(COUNTA(A16:F16)=0,"",IF(A16="","Date manquante",IF(NOT(ISNUMBER(A16)),"Date invalide",IF(B16="","N° de facture manquant",IF(ISNA(MATCH(B16,fa_num,0)),"Facture inconnue",IF(INDEX(fa_type,MATCH(B16,fa_num,0))="Avoir","Paiement sur un avoir",IF(OR(NOT(ISNUMBER(C16)),N(C16)&lt;=0),"Montant invalide",IF(A16&lt;INDEX(fa_date,MATCH(B16,fa_num,0)),"Date antérieure à la facture",IF(SUMIF($B$6:B16,B16,$C$6:C16)&gt;INDEX(fa_ttc,MATCH(B16,fa_num,0))-N(INDEX(fa_avoirs,MATCH(B16,fa_num,0)))+0.001,"Dépasse le montant de la facture","OK")))))))))</f>
        <v/>
      </c>
    </row>
    <row r="17">
      <c r="A17" s="61" t="n"/>
      <c r="B17" s="60" t="n"/>
      <c r="C17" s="68" t="n"/>
      <c r="D17" s="60" t="n"/>
      <c r="E17" s="63" t="n"/>
      <c r="F17" s="63" t="n"/>
      <c r="G17" s="62" t="str">
        <f>IF(B17="","",IFERROR(INDEX(fa_cname,MATCH(B17,fa_num,0))&amp;"",""))</f>
        <v/>
      </c>
      <c r="H17" s="59" t="str">
        <f>IF(COUNTA(A17:F17)=0,"",IF(A17="","Date manquante",IF(NOT(ISNUMBER(A17)),"Date invalide",IF(B17="","N° de facture manquant",IF(ISNA(MATCH(B17,fa_num,0)),"Facture inconnue",IF(INDEX(fa_type,MATCH(B17,fa_num,0))="Avoir","Paiement sur un avoir",IF(OR(NOT(ISNUMBER(C17)),N(C17)&lt;=0),"Montant invalide",IF(A17&lt;INDEX(fa_date,MATCH(B17,fa_num,0)),"Date antérieure à la facture",IF(SUMIF($B$6:B17,B17,$C$6:C17)&gt;INDEX(fa_ttc,MATCH(B17,fa_num,0))-N(INDEX(fa_avoirs,MATCH(B17,fa_num,0)))+0.001,"Dépasse le montant de la facture","OK")))))))))</f>
        <v/>
      </c>
    </row>
    <row r="18">
      <c r="A18" s="61" t="n"/>
      <c r="B18" s="60" t="n"/>
      <c r="C18" s="68" t="n"/>
      <c r="D18" s="60" t="n"/>
      <c r="E18" s="63" t="n"/>
      <c r="F18" s="63" t="n"/>
      <c r="G18" s="62" t="str">
        <f>IF(B18="","",IFERROR(INDEX(fa_cname,MATCH(B18,fa_num,0))&amp;"",""))</f>
        <v/>
      </c>
      <c r="H18" s="59" t="str">
        <f>IF(COUNTA(A18:F18)=0,"",IF(A18="","Date manquante",IF(NOT(ISNUMBER(A18)),"Date invalide",IF(B18="","N° de facture manquant",IF(ISNA(MATCH(B18,fa_num,0)),"Facture inconnue",IF(INDEX(fa_type,MATCH(B18,fa_num,0))="Avoir","Paiement sur un avoir",IF(OR(NOT(ISNUMBER(C18)),N(C18)&lt;=0),"Montant invalide",IF(A18&lt;INDEX(fa_date,MATCH(B18,fa_num,0)),"Date antérieure à la facture",IF(SUMIF($B$6:B18,B18,$C$6:C18)&gt;INDEX(fa_ttc,MATCH(B18,fa_num,0))-N(INDEX(fa_avoirs,MATCH(B18,fa_num,0)))+0.001,"Dépasse le montant de la facture","OK")))))))))</f>
        <v/>
      </c>
    </row>
    <row r="19">
      <c r="A19" s="61" t="n"/>
      <c r="B19" s="60" t="n"/>
      <c r="C19" s="68" t="n"/>
      <c r="D19" s="60" t="n"/>
      <c r="E19" s="63" t="n"/>
      <c r="F19" s="63" t="n"/>
      <c r="G19" s="62" t="str">
        <f>IF(B19="","",IFERROR(INDEX(fa_cname,MATCH(B19,fa_num,0))&amp;"",""))</f>
        <v/>
      </c>
      <c r="H19" s="59" t="str">
        <f>IF(COUNTA(A19:F19)=0,"",IF(A19="","Date manquante",IF(NOT(ISNUMBER(A19)),"Date invalide",IF(B19="","N° de facture manquant",IF(ISNA(MATCH(B19,fa_num,0)),"Facture inconnue",IF(INDEX(fa_type,MATCH(B19,fa_num,0))="Avoir","Paiement sur un avoir",IF(OR(NOT(ISNUMBER(C19)),N(C19)&lt;=0),"Montant invalide",IF(A19&lt;INDEX(fa_date,MATCH(B19,fa_num,0)),"Date antérieure à la facture",IF(SUMIF($B$6:B19,B19,$C$6:C19)&gt;INDEX(fa_ttc,MATCH(B19,fa_num,0))-N(INDEX(fa_avoirs,MATCH(B19,fa_num,0)))+0.001,"Dépasse le montant de la facture","OK")))))))))</f>
        <v/>
      </c>
    </row>
    <row r="20">
      <c r="A20" s="61" t="n"/>
      <c r="B20" s="60" t="n"/>
      <c r="C20" s="68" t="n"/>
      <c r="D20" s="60" t="n"/>
      <c r="E20" s="63" t="n"/>
      <c r="F20" s="63" t="n"/>
      <c r="G20" s="62" t="str">
        <f>IF(B20="","",IFERROR(INDEX(fa_cname,MATCH(B20,fa_num,0))&amp;"",""))</f>
        <v/>
      </c>
      <c r="H20" s="59" t="str">
        <f>IF(COUNTA(A20:F20)=0,"",IF(A20="","Date manquante",IF(NOT(ISNUMBER(A20)),"Date invalide",IF(B20="","N° de facture manquant",IF(ISNA(MATCH(B20,fa_num,0)),"Facture inconnue",IF(INDEX(fa_type,MATCH(B20,fa_num,0))="Avoir","Paiement sur un avoir",IF(OR(NOT(ISNUMBER(C20)),N(C20)&lt;=0),"Montant invalide",IF(A20&lt;INDEX(fa_date,MATCH(B20,fa_num,0)),"Date antérieure à la facture",IF(SUMIF($B$6:B20,B20,$C$6:C20)&gt;INDEX(fa_ttc,MATCH(B20,fa_num,0))-N(INDEX(fa_avoirs,MATCH(B20,fa_num,0)))+0.001,"Dépasse le montant de la facture","OK")))))))))</f>
        <v/>
      </c>
    </row>
    <row r="21">
      <c r="A21" s="61" t="n"/>
      <c r="B21" s="60" t="n"/>
      <c r="C21" s="68" t="n"/>
      <c r="D21" s="60" t="n"/>
      <c r="E21" s="63" t="n"/>
      <c r="F21" s="63" t="n"/>
      <c r="G21" s="62" t="str">
        <f>IF(B21="","",IFERROR(INDEX(fa_cname,MATCH(B21,fa_num,0))&amp;"",""))</f>
        <v/>
      </c>
      <c r="H21" s="59" t="str">
        <f>IF(COUNTA(A21:F21)=0,"",IF(A21="","Date manquante",IF(NOT(ISNUMBER(A21)),"Date invalide",IF(B21="","N° de facture manquant",IF(ISNA(MATCH(B21,fa_num,0)),"Facture inconnue",IF(INDEX(fa_type,MATCH(B21,fa_num,0))="Avoir","Paiement sur un avoir",IF(OR(NOT(ISNUMBER(C21)),N(C21)&lt;=0),"Montant invalide",IF(A21&lt;INDEX(fa_date,MATCH(B21,fa_num,0)),"Date antérieure à la facture",IF(SUMIF($B$6:B21,B21,$C$6:C21)&gt;INDEX(fa_ttc,MATCH(B21,fa_num,0))-N(INDEX(fa_avoirs,MATCH(B21,fa_num,0)))+0.001,"Dépasse le montant de la facture","OK")))))))))</f>
        <v/>
      </c>
    </row>
    <row r="22">
      <c r="A22" s="61" t="n"/>
      <c r="B22" s="60" t="n"/>
      <c r="C22" s="68" t="n"/>
      <c r="D22" s="60" t="n"/>
      <c r="E22" s="63" t="n"/>
      <c r="F22" s="63" t="n"/>
      <c r="G22" s="62" t="str">
        <f>IF(B22="","",IFERROR(INDEX(fa_cname,MATCH(B22,fa_num,0))&amp;"",""))</f>
        <v/>
      </c>
      <c r="H22" s="59" t="str">
        <f>IF(COUNTA(A22:F22)=0,"",IF(A22="","Date manquante",IF(NOT(ISNUMBER(A22)),"Date invalide",IF(B22="","N° de facture manquant",IF(ISNA(MATCH(B22,fa_num,0)),"Facture inconnue",IF(INDEX(fa_type,MATCH(B22,fa_num,0))="Avoir","Paiement sur un avoir",IF(OR(NOT(ISNUMBER(C22)),N(C22)&lt;=0),"Montant invalide",IF(A22&lt;INDEX(fa_date,MATCH(B22,fa_num,0)),"Date antérieure à la facture",IF(SUMIF($B$6:B22,B22,$C$6:C22)&gt;INDEX(fa_ttc,MATCH(B22,fa_num,0))-N(INDEX(fa_avoirs,MATCH(B22,fa_num,0)))+0.001,"Dépasse le montant de la facture","OK")))))))))</f>
        <v/>
      </c>
    </row>
    <row r="23">
      <c r="A23" s="61" t="n"/>
      <c r="B23" s="60" t="n"/>
      <c r="C23" s="68" t="n"/>
      <c r="D23" s="60" t="n"/>
      <c r="E23" s="63" t="n"/>
      <c r="F23" s="63" t="n"/>
      <c r="G23" s="62" t="str">
        <f>IF(B23="","",IFERROR(INDEX(fa_cname,MATCH(B23,fa_num,0))&amp;"",""))</f>
        <v/>
      </c>
      <c r="H23" s="59" t="str">
        <f>IF(COUNTA(A23:F23)=0,"",IF(A23="","Date manquante",IF(NOT(ISNUMBER(A23)),"Date invalide",IF(B23="","N° de facture manquant",IF(ISNA(MATCH(B23,fa_num,0)),"Facture inconnue",IF(INDEX(fa_type,MATCH(B23,fa_num,0))="Avoir","Paiement sur un avoir",IF(OR(NOT(ISNUMBER(C23)),N(C23)&lt;=0),"Montant invalide",IF(A23&lt;INDEX(fa_date,MATCH(B23,fa_num,0)),"Date antérieure à la facture",IF(SUMIF($B$6:B23,B23,$C$6:C23)&gt;INDEX(fa_ttc,MATCH(B23,fa_num,0))-N(INDEX(fa_avoirs,MATCH(B23,fa_num,0)))+0.001,"Dépasse le montant de la facture","OK")))))))))</f>
        <v/>
      </c>
    </row>
    <row r="24">
      <c r="A24" s="61" t="n"/>
      <c r="B24" s="60" t="n"/>
      <c r="C24" s="68" t="n"/>
      <c r="D24" s="60" t="n"/>
      <c r="E24" s="63" t="n"/>
      <c r="F24" s="63" t="n"/>
      <c r="G24" s="62" t="str">
        <f>IF(B24="","",IFERROR(INDEX(fa_cname,MATCH(B24,fa_num,0))&amp;"",""))</f>
        <v/>
      </c>
      <c r="H24" s="59" t="str">
        <f>IF(COUNTA(A24:F24)=0,"",IF(A24="","Date manquante",IF(NOT(ISNUMBER(A24)),"Date invalide",IF(B24="","N° de facture manquant",IF(ISNA(MATCH(B24,fa_num,0)),"Facture inconnue",IF(INDEX(fa_type,MATCH(B24,fa_num,0))="Avoir","Paiement sur un avoir",IF(OR(NOT(ISNUMBER(C24)),N(C24)&lt;=0),"Montant invalide",IF(A24&lt;INDEX(fa_date,MATCH(B24,fa_num,0)),"Date antérieure à la facture",IF(SUMIF($B$6:B24,B24,$C$6:C24)&gt;INDEX(fa_ttc,MATCH(B24,fa_num,0))-N(INDEX(fa_avoirs,MATCH(B24,fa_num,0)))+0.001,"Dépasse le montant de la facture","OK")))))))))</f>
        <v/>
      </c>
    </row>
    <row r="25">
      <c r="A25" s="61" t="n"/>
      <c r="B25" s="60" t="n"/>
      <c r="C25" s="68" t="n"/>
      <c r="D25" s="60" t="n"/>
      <c r="E25" s="63" t="n"/>
      <c r="F25" s="63" t="n"/>
      <c r="G25" s="62" t="str">
        <f>IF(B25="","",IFERROR(INDEX(fa_cname,MATCH(B25,fa_num,0))&amp;"",""))</f>
        <v/>
      </c>
      <c r="H25" s="59" t="str">
        <f>IF(COUNTA(A25:F25)=0,"",IF(A25="","Date manquante",IF(NOT(ISNUMBER(A25)),"Date invalide",IF(B25="","N° de facture manquant",IF(ISNA(MATCH(B25,fa_num,0)),"Facture inconnue",IF(INDEX(fa_type,MATCH(B25,fa_num,0))="Avoir","Paiement sur un avoir",IF(OR(NOT(ISNUMBER(C25)),N(C25)&lt;=0),"Montant invalide",IF(A25&lt;INDEX(fa_date,MATCH(B25,fa_num,0)),"Date antérieure à la facture",IF(SUMIF($B$6:B25,B25,$C$6:C25)&gt;INDEX(fa_ttc,MATCH(B25,fa_num,0))-N(INDEX(fa_avoirs,MATCH(B25,fa_num,0)))+0.001,"Dépasse le montant de la facture","OK")))))))))</f>
        <v/>
      </c>
    </row>
    <row r="26">
      <c r="A26" s="61" t="n"/>
      <c r="B26" s="60" t="n"/>
      <c r="C26" s="68" t="n"/>
      <c r="D26" s="60" t="n"/>
      <c r="E26" s="63" t="n"/>
      <c r="F26" s="63" t="n"/>
      <c r="G26" s="62" t="str">
        <f>IF(B26="","",IFERROR(INDEX(fa_cname,MATCH(B26,fa_num,0))&amp;"",""))</f>
        <v/>
      </c>
      <c r="H26" s="59" t="str">
        <f>IF(COUNTA(A26:F26)=0,"",IF(A26="","Date manquante",IF(NOT(ISNUMBER(A26)),"Date invalide",IF(B26="","N° de facture manquant",IF(ISNA(MATCH(B26,fa_num,0)),"Facture inconnue",IF(INDEX(fa_type,MATCH(B26,fa_num,0))="Avoir","Paiement sur un avoir",IF(OR(NOT(ISNUMBER(C26)),N(C26)&lt;=0),"Montant invalide",IF(A26&lt;INDEX(fa_date,MATCH(B26,fa_num,0)),"Date antérieure à la facture",IF(SUMIF($B$6:B26,B26,$C$6:C26)&gt;INDEX(fa_ttc,MATCH(B26,fa_num,0))-N(INDEX(fa_avoirs,MATCH(B26,fa_num,0)))+0.001,"Dépasse le montant de la facture","OK")))))))))</f>
        <v/>
      </c>
    </row>
    <row r="27">
      <c r="A27" s="61" t="n"/>
      <c r="B27" s="60" t="n"/>
      <c r="C27" s="68" t="n"/>
      <c r="D27" s="60" t="n"/>
      <c r="E27" s="63" t="n"/>
      <c r="F27" s="63" t="n"/>
      <c r="G27" s="62" t="str">
        <f>IF(B27="","",IFERROR(INDEX(fa_cname,MATCH(B27,fa_num,0))&amp;"",""))</f>
        <v/>
      </c>
      <c r="H27" s="59" t="str">
        <f>IF(COUNTA(A27:F27)=0,"",IF(A27="","Date manquante",IF(NOT(ISNUMBER(A27)),"Date invalide",IF(B27="","N° de facture manquant",IF(ISNA(MATCH(B27,fa_num,0)),"Facture inconnue",IF(INDEX(fa_type,MATCH(B27,fa_num,0))="Avoir","Paiement sur un avoir",IF(OR(NOT(ISNUMBER(C27)),N(C27)&lt;=0),"Montant invalide",IF(A27&lt;INDEX(fa_date,MATCH(B27,fa_num,0)),"Date antérieure à la facture",IF(SUMIF($B$6:B27,B27,$C$6:C27)&gt;INDEX(fa_ttc,MATCH(B27,fa_num,0))-N(INDEX(fa_avoirs,MATCH(B27,fa_num,0)))+0.001,"Dépasse le montant de la facture","OK")))))))))</f>
        <v/>
      </c>
    </row>
    <row r="28">
      <c r="A28" s="61" t="n"/>
      <c r="B28" s="60" t="n"/>
      <c r="C28" s="68" t="n"/>
      <c r="D28" s="60" t="n"/>
      <c r="E28" s="63" t="n"/>
      <c r="F28" s="63" t="n"/>
      <c r="G28" s="62" t="str">
        <f>IF(B28="","",IFERROR(INDEX(fa_cname,MATCH(B28,fa_num,0))&amp;"",""))</f>
        <v/>
      </c>
      <c r="H28" s="59" t="str">
        <f>IF(COUNTA(A28:F28)=0,"",IF(A28="","Date manquante",IF(NOT(ISNUMBER(A28)),"Date invalide",IF(B28="","N° de facture manquant",IF(ISNA(MATCH(B28,fa_num,0)),"Facture inconnue",IF(INDEX(fa_type,MATCH(B28,fa_num,0))="Avoir","Paiement sur un avoir",IF(OR(NOT(ISNUMBER(C28)),N(C28)&lt;=0),"Montant invalide",IF(A28&lt;INDEX(fa_date,MATCH(B28,fa_num,0)),"Date antérieure à la facture",IF(SUMIF($B$6:B28,B28,$C$6:C28)&gt;INDEX(fa_ttc,MATCH(B28,fa_num,0))-N(INDEX(fa_avoirs,MATCH(B28,fa_num,0)))+0.001,"Dépasse le montant de la facture","OK")))))))))</f>
        <v/>
      </c>
    </row>
    <row r="29">
      <c r="A29" s="61" t="n"/>
      <c r="B29" s="60" t="n"/>
      <c r="C29" s="68" t="n"/>
      <c r="D29" s="60" t="n"/>
      <c r="E29" s="63" t="n"/>
      <c r="F29" s="63" t="n"/>
      <c r="G29" s="62" t="str">
        <f>IF(B29="","",IFERROR(INDEX(fa_cname,MATCH(B29,fa_num,0))&amp;"",""))</f>
        <v/>
      </c>
      <c r="H29" s="59" t="str">
        <f>IF(COUNTA(A29:F29)=0,"",IF(A29="","Date manquante",IF(NOT(ISNUMBER(A29)),"Date invalide",IF(B29="","N° de facture manquant",IF(ISNA(MATCH(B29,fa_num,0)),"Facture inconnue",IF(INDEX(fa_type,MATCH(B29,fa_num,0))="Avoir","Paiement sur un avoir",IF(OR(NOT(ISNUMBER(C29)),N(C29)&lt;=0),"Montant invalide",IF(A29&lt;INDEX(fa_date,MATCH(B29,fa_num,0)),"Date antérieure à la facture",IF(SUMIF($B$6:B29,B29,$C$6:C29)&gt;INDEX(fa_ttc,MATCH(B29,fa_num,0))-N(INDEX(fa_avoirs,MATCH(B29,fa_num,0)))+0.001,"Dépasse le montant de la facture","OK")))))))))</f>
        <v/>
      </c>
    </row>
    <row r="30">
      <c r="A30" s="61" t="n"/>
      <c r="B30" s="60" t="n"/>
      <c r="C30" s="68" t="n"/>
      <c r="D30" s="60" t="n"/>
      <c r="E30" s="63" t="n"/>
      <c r="F30" s="63" t="n"/>
      <c r="G30" s="62" t="str">
        <f>IF(B30="","",IFERROR(INDEX(fa_cname,MATCH(B30,fa_num,0))&amp;"",""))</f>
        <v/>
      </c>
      <c r="H30" s="59" t="str">
        <f>IF(COUNTA(A30:F30)=0,"",IF(A30="","Date manquante",IF(NOT(ISNUMBER(A30)),"Date invalide",IF(B30="","N° de facture manquant",IF(ISNA(MATCH(B30,fa_num,0)),"Facture inconnue",IF(INDEX(fa_type,MATCH(B30,fa_num,0))="Avoir","Paiement sur un avoir",IF(OR(NOT(ISNUMBER(C30)),N(C30)&lt;=0),"Montant invalide",IF(A30&lt;INDEX(fa_date,MATCH(B30,fa_num,0)),"Date antérieure à la facture",IF(SUMIF($B$6:B30,B30,$C$6:C30)&gt;INDEX(fa_ttc,MATCH(B30,fa_num,0))-N(INDEX(fa_avoirs,MATCH(B30,fa_num,0)))+0.001,"Dépasse le montant de la facture","OK")))))))))</f>
        <v/>
      </c>
    </row>
    <row r="31">
      <c r="A31" s="61" t="n"/>
      <c r="B31" s="60" t="n"/>
      <c r="C31" s="68" t="n"/>
      <c r="D31" s="60" t="n"/>
      <c r="E31" s="63" t="n"/>
      <c r="F31" s="63" t="n"/>
      <c r="G31" s="62" t="str">
        <f>IF(B31="","",IFERROR(INDEX(fa_cname,MATCH(B31,fa_num,0))&amp;"",""))</f>
        <v/>
      </c>
      <c r="H31" s="59" t="str">
        <f>IF(COUNTA(A31:F31)=0,"",IF(A31="","Date manquante",IF(NOT(ISNUMBER(A31)),"Date invalide",IF(B31="","N° de facture manquant",IF(ISNA(MATCH(B31,fa_num,0)),"Facture inconnue",IF(INDEX(fa_type,MATCH(B31,fa_num,0))="Avoir","Paiement sur un avoir",IF(OR(NOT(ISNUMBER(C31)),N(C31)&lt;=0),"Montant invalide",IF(A31&lt;INDEX(fa_date,MATCH(B31,fa_num,0)),"Date antérieure à la facture",IF(SUMIF($B$6:B31,B31,$C$6:C31)&gt;INDEX(fa_ttc,MATCH(B31,fa_num,0))-N(INDEX(fa_avoirs,MATCH(B31,fa_num,0)))+0.001,"Dépasse le montant de la facture","OK")))))))))</f>
        <v/>
      </c>
    </row>
    <row r="32">
      <c r="A32" s="61" t="n"/>
      <c r="B32" s="60" t="n"/>
      <c r="C32" s="68" t="n"/>
      <c r="D32" s="60" t="n"/>
      <c r="E32" s="63" t="n"/>
      <c r="F32" s="63" t="n"/>
      <c r="G32" s="62" t="str">
        <f>IF(B32="","",IFERROR(INDEX(fa_cname,MATCH(B32,fa_num,0))&amp;"",""))</f>
        <v/>
      </c>
      <c r="H32" s="59" t="str">
        <f>IF(COUNTA(A32:F32)=0,"",IF(A32="","Date manquante",IF(NOT(ISNUMBER(A32)),"Date invalide",IF(B32="","N° de facture manquant",IF(ISNA(MATCH(B32,fa_num,0)),"Facture inconnue",IF(INDEX(fa_type,MATCH(B32,fa_num,0))="Avoir","Paiement sur un avoir",IF(OR(NOT(ISNUMBER(C32)),N(C32)&lt;=0),"Montant invalide",IF(A32&lt;INDEX(fa_date,MATCH(B32,fa_num,0)),"Date antérieure à la facture",IF(SUMIF($B$6:B32,B32,$C$6:C32)&gt;INDEX(fa_ttc,MATCH(B32,fa_num,0))-N(INDEX(fa_avoirs,MATCH(B32,fa_num,0)))+0.001,"Dépasse le montant de la facture","OK")))))))))</f>
        <v/>
      </c>
    </row>
    <row r="33">
      <c r="A33" s="61" t="n"/>
      <c r="B33" s="60" t="n"/>
      <c r="C33" s="68" t="n"/>
      <c r="D33" s="60" t="n"/>
      <c r="E33" s="63" t="n"/>
      <c r="F33" s="63" t="n"/>
      <c r="G33" s="62" t="str">
        <f>IF(B33="","",IFERROR(INDEX(fa_cname,MATCH(B33,fa_num,0))&amp;"",""))</f>
        <v/>
      </c>
      <c r="H33" s="59" t="str">
        <f>IF(COUNTA(A33:F33)=0,"",IF(A33="","Date manquante",IF(NOT(ISNUMBER(A33)),"Date invalide",IF(B33="","N° de facture manquant",IF(ISNA(MATCH(B33,fa_num,0)),"Facture inconnue",IF(INDEX(fa_type,MATCH(B33,fa_num,0))="Avoir","Paiement sur un avoir",IF(OR(NOT(ISNUMBER(C33)),N(C33)&lt;=0),"Montant invalide",IF(A33&lt;INDEX(fa_date,MATCH(B33,fa_num,0)),"Date antérieure à la facture",IF(SUMIF($B$6:B33,B33,$C$6:C33)&gt;INDEX(fa_ttc,MATCH(B33,fa_num,0))-N(INDEX(fa_avoirs,MATCH(B33,fa_num,0)))+0.001,"Dépasse le montant de la facture","OK")))))))))</f>
        <v/>
      </c>
    </row>
    <row r="34">
      <c r="A34" s="61" t="n"/>
      <c r="B34" s="60" t="n"/>
      <c r="C34" s="68" t="n"/>
      <c r="D34" s="60" t="n"/>
      <c r="E34" s="63" t="n"/>
      <c r="F34" s="63" t="n"/>
      <c r="G34" s="62" t="str">
        <f>IF(B34="","",IFERROR(INDEX(fa_cname,MATCH(B34,fa_num,0))&amp;"",""))</f>
        <v/>
      </c>
      <c r="H34" s="59" t="str">
        <f>IF(COUNTA(A34:F34)=0,"",IF(A34="","Date manquante",IF(NOT(ISNUMBER(A34)),"Date invalide",IF(B34="","N° de facture manquant",IF(ISNA(MATCH(B34,fa_num,0)),"Facture inconnue",IF(INDEX(fa_type,MATCH(B34,fa_num,0))="Avoir","Paiement sur un avoir",IF(OR(NOT(ISNUMBER(C34)),N(C34)&lt;=0),"Montant invalide",IF(A34&lt;INDEX(fa_date,MATCH(B34,fa_num,0)),"Date antérieure à la facture",IF(SUMIF($B$6:B34,B34,$C$6:C34)&gt;INDEX(fa_ttc,MATCH(B34,fa_num,0))-N(INDEX(fa_avoirs,MATCH(B34,fa_num,0)))+0.001,"Dépasse le montant de la facture","OK")))))))))</f>
        <v/>
      </c>
    </row>
    <row r="35">
      <c r="A35" s="61" t="n"/>
      <c r="B35" s="60" t="n"/>
      <c r="C35" s="68" t="n"/>
      <c r="D35" s="60" t="n"/>
      <c r="E35" s="63" t="n"/>
      <c r="F35" s="63" t="n"/>
      <c r="G35" s="62" t="str">
        <f>IF(B35="","",IFERROR(INDEX(fa_cname,MATCH(B35,fa_num,0))&amp;"",""))</f>
        <v/>
      </c>
      <c r="H35" s="59" t="str">
        <f>IF(COUNTA(A35:F35)=0,"",IF(A35="","Date manquante",IF(NOT(ISNUMBER(A35)),"Date invalide",IF(B35="","N° de facture manquant",IF(ISNA(MATCH(B35,fa_num,0)),"Facture inconnue",IF(INDEX(fa_type,MATCH(B35,fa_num,0))="Avoir","Paiement sur un avoir",IF(OR(NOT(ISNUMBER(C35)),N(C35)&lt;=0),"Montant invalide",IF(A35&lt;INDEX(fa_date,MATCH(B35,fa_num,0)),"Date antérieure à la facture",IF(SUMIF($B$6:B35,B35,$C$6:C35)&gt;INDEX(fa_ttc,MATCH(B35,fa_num,0))-N(INDEX(fa_avoirs,MATCH(B35,fa_num,0)))+0.001,"Dépasse le montant de la facture","OK")))))))))</f>
        <v/>
      </c>
    </row>
    <row r="36">
      <c r="A36" s="61" t="n"/>
      <c r="B36" s="60" t="n"/>
      <c r="C36" s="68" t="n"/>
      <c r="D36" s="60" t="n"/>
      <c r="E36" s="63" t="n"/>
      <c r="F36" s="63" t="n"/>
      <c r="G36" s="62" t="str">
        <f>IF(B36="","",IFERROR(INDEX(fa_cname,MATCH(B36,fa_num,0))&amp;"",""))</f>
        <v/>
      </c>
      <c r="H36" s="59" t="str">
        <f>IF(COUNTA(A36:F36)=0,"",IF(A36="","Date manquante",IF(NOT(ISNUMBER(A36)),"Date invalide",IF(B36="","N° de facture manquant",IF(ISNA(MATCH(B36,fa_num,0)),"Facture inconnue",IF(INDEX(fa_type,MATCH(B36,fa_num,0))="Avoir","Paiement sur un avoir",IF(OR(NOT(ISNUMBER(C36)),N(C36)&lt;=0),"Montant invalide",IF(A36&lt;INDEX(fa_date,MATCH(B36,fa_num,0)),"Date antérieure à la facture",IF(SUMIF($B$6:B36,B36,$C$6:C36)&gt;INDEX(fa_ttc,MATCH(B36,fa_num,0))-N(INDEX(fa_avoirs,MATCH(B36,fa_num,0)))+0.001,"Dépasse le montant de la facture","OK")))))))))</f>
        <v/>
      </c>
    </row>
    <row r="37">
      <c r="A37" s="61" t="n"/>
      <c r="B37" s="60" t="n"/>
      <c r="C37" s="68" t="n"/>
      <c r="D37" s="60" t="n"/>
      <c r="E37" s="63" t="n"/>
      <c r="F37" s="63" t="n"/>
      <c r="G37" s="62" t="str">
        <f>IF(B37="","",IFERROR(INDEX(fa_cname,MATCH(B37,fa_num,0))&amp;"",""))</f>
        <v/>
      </c>
      <c r="H37" s="59" t="str">
        <f>IF(COUNTA(A37:F37)=0,"",IF(A37="","Date manquante",IF(NOT(ISNUMBER(A37)),"Date invalide",IF(B37="","N° de facture manquant",IF(ISNA(MATCH(B37,fa_num,0)),"Facture inconnue",IF(INDEX(fa_type,MATCH(B37,fa_num,0))="Avoir","Paiement sur un avoir",IF(OR(NOT(ISNUMBER(C37)),N(C37)&lt;=0),"Montant invalide",IF(A37&lt;INDEX(fa_date,MATCH(B37,fa_num,0)),"Date antérieure à la facture",IF(SUMIF($B$6:B37,B37,$C$6:C37)&gt;INDEX(fa_ttc,MATCH(B37,fa_num,0))-N(INDEX(fa_avoirs,MATCH(B37,fa_num,0)))+0.001,"Dépasse le montant de la facture","OK")))))))))</f>
        <v/>
      </c>
    </row>
    <row r="38">
      <c r="A38" s="61" t="n"/>
      <c r="B38" s="60" t="n"/>
      <c r="C38" s="68" t="n"/>
      <c r="D38" s="60" t="n"/>
      <c r="E38" s="63" t="n"/>
      <c r="F38" s="63" t="n"/>
      <c r="G38" s="62" t="str">
        <f>IF(B38="","",IFERROR(INDEX(fa_cname,MATCH(B38,fa_num,0))&amp;"",""))</f>
        <v/>
      </c>
      <c r="H38" s="59" t="str">
        <f>IF(COUNTA(A38:F38)=0,"",IF(A38="","Date manquante",IF(NOT(ISNUMBER(A38)),"Date invalide",IF(B38="","N° de facture manquant",IF(ISNA(MATCH(B38,fa_num,0)),"Facture inconnue",IF(INDEX(fa_type,MATCH(B38,fa_num,0))="Avoir","Paiement sur un avoir",IF(OR(NOT(ISNUMBER(C38)),N(C38)&lt;=0),"Montant invalide",IF(A38&lt;INDEX(fa_date,MATCH(B38,fa_num,0)),"Date antérieure à la facture",IF(SUMIF($B$6:B38,B38,$C$6:C38)&gt;INDEX(fa_ttc,MATCH(B38,fa_num,0))-N(INDEX(fa_avoirs,MATCH(B38,fa_num,0)))+0.001,"Dépasse le montant de la facture","OK")))))))))</f>
        <v/>
      </c>
    </row>
    <row r="39">
      <c r="A39" s="61" t="n"/>
      <c r="B39" s="60" t="n"/>
      <c r="C39" s="68" t="n"/>
      <c r="D39" s="60" t="n"/>
      <c r="E39" s="63" t="n"/>
      <c r="F39" s="63" t="n"/>
      <c r="G39" s="62" t="str">
        <f>IF(B39="","",IFERROR(INDEX(fa_cname,MATCH(B39,fa_num,0))&amp;"",""))</f>
        <v/>
      </c>
      <c r="H39" s="59" t="str">
        <f>IF(COUNTA(A39:F39)=0,"",IF(A39="","Date manquante",IF(NOT(ISNUMBER(A39)),"Date invalide",IF(B39="","N° de facture manquant",IF(ISNA(MATCH(B39,fa_num,0)),"Facture inconnue",IF(INDEX(fa_type,MATCH(B39,fa_num,0))="Avoir","Paiement sur un avoir",IF(OR(NOT(ISNUMBER(C39)),N(C39)&lt;=0),"Montant invalide",IF(A39&lt;INDEX(fa_date,MATCH(B39,fa_num,0)),"Date antérieure à la facture",IF(SUMIF($B$6:B39,B39,$C$6:C39)&gt;INDEX(fa_ttc,MATCH(B39,fa_num,0))-N(INDEX(fa_avoirs,MATCH(B39,fa_num,0)))+0.001,"Dépasse le montant de la facture","OK")))))))))</f>
        <v/>
      </c>
    </row>
    <row r="40">
      <c r="A40" s="61" t="n"/>
      <c r="B40" s="60" t="n"/>
      <c r="C40" s="68" t="n"/>
      <c r="D40" s="60" t="n"/>
      <c r="E40" s="63" t="n"/>
      <c r="F40" s="63" t="n"/>
      <c r="G40" s="62" t="str">
        <f>IF(B40="","",IFERROR(INDEX(fa_cname,MATCH(B40,fa_num,0))&amp;"",""))</f>
        <v/>
      </c>
      <c r="H40" s="59" t="str">
        <f>IF(COUNTA(A40:F40)=0,"",IF(A40="","Date manquante",IF(NOT(ISNUMBER(A40)),"Date invalide",IF(B40="","N° de facture manquant",IF(ISNA(MATCH(B40,fa_num,0)),"Facture inconnue",IF(INDEX(fa_type,MATCH(B40,fa_num,0))="Avoir","Paiement sur un avoir",IF(OR(NOT(ISNUMBER(C40)),N(C40)&lt;=0),"Montant invalide",IF(A40&lt;INDEX(fa_date,MATCH(B40,fa_num,0)),"Date antérieure à la facture",IF(SUMIF($B$6:B40,B40,$C$6:C40)&gt;INDEX(fa_ttc,MATCH(B40,fa_num,0))-N(INDEX(fa_avoirs,MATCH(B40,fa_num,0)))+0.001,"Dépasse le montant de la facture","OK")))))))))</f>
        <v/>
      </c>
    </row>
    <row r="41">
      <c r="A41" s="61" t="n"/>
      <c r="B41" s="60" t="n"/>
      <c r="C41" s="68" t="n"/>
      <c r="D41" s="60" t="n"/>
      <c r="E41" s="63" t="n"/>
      <c r="F41" s="63" t="n"/>
      <c r="G41" s="62" t="str">
        <f>IF(B41="","",IFERROR(INDEX(fa_cname,MATCH(B41,fa_num,0))&amp;"",""))</f>
        <v/>
      </c>
      <c r="H41" s="59" t="str">
        <f>IF(COUNTA(A41:F41)=0,"",IF(A41="","Date manquante",IF(NOT(ISNUMBER(A41)),"Date invalide",IF(B41="","N° de facture manquant",IF(ISNA(MATCH(B41,fa_num,0)),"Facture inconnue",IF(INDEX(fa_type,MATCH(B41,fa_num,0))="Avoir","Paiement sur un avoir",IF(OR(NOT(ISNUMBER(C41)),N(C41)&lt;=0),"Montant invalide",IF(A41&lt;INDEX(fa_date,MATCH(B41,fa_num,0)),"Date antérieure à la facture",IF(SUMIF($B$6:B41,B41,$C$6:C41)&gt;INDEX(fa_ttc,MATCH(B41,fa_num,0))-N(INDEX(fa_avoirs,MATCH(B41,fa_num,0)))+0.001,"Dépasse le montant de la facture","OK")))))))))</f>
        <v/>
      </c>
    </row>
    <row r="42">
      <c r="A42" s="61" t="n"/>
      <c r="B42" s="60" t="n"/>
      <c r="C42" s="68" t="n"/>
      <c r="D42" s="60" t="n"/>
      <c r="E42" s="63" t="n"/>
      <c r="F42" s="63" t="n"/>
      <c r="G42" s="62" t="str">
        <f>IF(B42="","",IFERROR(INDEX(fa_cname,MATCH(B42,fa_num,0))&amp;"",""))</f>
        <v/>
      </c>
      <c r="H42" s="59" t="str">
        <f>IF(COUNTA(A42:F42)=0,"",IF(A42="","Date manquante",IF(NOT(ISNUMBER(A42)),"Date invalide",IF(B42="","N° de facture manquant",IF(ISNA(MATCH(B42,fa_num,0)),"Facture inconnue",IF(INDEX(fa_type,MATCH(B42,fa_num,0))="Avoir","Paiement sur un avoir",IF(OR(NOT(ISNUMBER(C42)),N(C42)&lt;=0),"Montant invalide",IF(A42&lt;INDEX(fa_date,MATCH(B42,fa_num,0)),"Date antérieure à la facture",IF(SUMIF($B$6:B42,B42,$C$6:C42)&gt;INDEX(fa_ttc,MATCH(B42,fa_num,0))-N(INDEX(fa_avoirs,MATCH(B42,fa_num,0)))+0.001,"Dépasse le montant de la facture","OK")))))))))</f>
        <v/>
      </c>
    </row>
    <row r="43">
      <c r="A43" s="61" t="n"/>
      <c r="B43" s="60" t="n"/>
      <c r="C43" s="68" t="n"/>
      <c r="D43" s="60" t="n"/>
      <c r="E43" s="63" t="n"/>
      <c r="F43" s="63" t="n"/>
      <c r="G43" s="62" t="str">
        <f>IF(B43="","",IFERROR(INDEX(fa_cname,MATCH(B43,fa_num,0))&amp;"",""))</f>
        <v/>
      </c>
      <c r="H43" s="59" t="str">
        <f>IF(COUNTA(A43:F43)=0,"",IF(A43="","Date manquante",IF(NOT(ISNUMBER(A43)),"Date invalide",IF(B43="","N° de facture manquant",IF(ISNA(MATCH(B43,fa_num,0)),"Facture inconnue",IF(INDEX(fa_type,MATCH(B43,fa_num,0))="Avoir","Paiement sur un avoir",IF(OR(NOT(ISNUMBER(C43)),N(C43)&lt;=0),"Montant invalide",IF(A43&lt;INDEX(fa_date,MATCH(B43,fa_num,0)),"Date antérieure à la facture",IF(SUMIF($B$6:B43,B43,$C$6:C43)&gt;INDEX(fa_ttc,MATCH(B43,fa_num,0))-N(INDEX(fa_avoirs,MATCH(B43,fa_num,0)))+0.001,"Dépasse le montant de la facture","OK")))))))))</f>
        <v/>
      </c>
    </row>
    <row r="44">
      <c r="A44" s="61" t="n"/>
      <c r="B44" s="60" t="n"/>
      <c r="C44" s="68" t="n"/>
      <c r="D44" s="60" t="n"/>
      <c r="E44" s="63" t="n"/>
      <c r="F44" s="63" t="n"/>
      <c r="G44" s="62" t="str">
        <f>IF(B44="","",IFERROR(INDEX(fa_cname,MATCH(B44,fa_num,0))&amp;"",""))</f>
        <v/>
      </c>
      <c r="H44" s="59" t="str">
        <f>IF(COUNTA(A44:F44)=0,"",IF(A44="","Date manquante",IF(NOT(ISNUMBER(A44)),"Date invalide",IF(B44="","N° de facture manquant",IF(ISNA(MATCH(B44,fa_num,0)),"Facture inconnue",IF(INDEX(fa_type,MATCH(B44,fa_num,0))="Avoir","Paiement sur un avoir",IF(OR(NOT(ISNUMBER(C44)),N(C44)&lt;=0),"Montant invalide",IF(A44&lt;INDEX(fa_date,MATCH(B44,fa_num,0)),"Date antérieure à la facture",IF(SUMIF($B$6:B44,B44,$C$6:C44)&gt;INDEX(fa_ttc,MATCH(B44,fa_num,0))-N(INDEX(fa_avoirs,MATCH(B44,fa_num,0)))+0.001,"Dépasse le montant de la facture","OK")))))))))</f>
        <v/>
      </c>
    </row>
    <row r="45">
      <c r="A45" s="61" t="n"/>
      <c r="B45" s="60" t="n"/>
      <c r="C45" s="68" t="n"/>
      <c r="D45" s="60" t="n"/>
      <c r="E45" s="63" t="n"/>
      <c r="F45" s="63" t="n"/>
      <c r="G45" s="62" t="str">
        <f>IF(B45="","",IFERROR(INDEX(fa_cname,MATCH(B45,fa_num,0))&amp;"",""))</f>
        <v/>
      </c>
      <c r="H45" s="59" t="str">
        <f>IF(COUNTA(A45:F45)=0,"",IF(A45="","Date manquante",IF(NOT(ISNUMBER(A45)),"Date invalide",IF(B45="","N° de facture manquant",IF(ISNA(MATCH(B45,fa_num,0)),"Facture inconnue",IF(INDEX(fa_type,MATCH(B45,fa_num,0))="Avoir","Paiement sur un avoir",IF(OR(NOT(ISNUMBER(C45)),N(C45)&lt;=0),"Montant invalide",IF(A45&lt;INDEX(fa_date,MATCH(B45,fa_num,0)),"Date antérieure à la facture",IF(SUMIF($B$6:B45,B45,$C$6:C45)&gt;INDEX(fa_ttc,MATCH(B45,fa_num,0))-N(INDEX(fa_avoirs,MATCH(B45,fa_num,0)))+0.001,"Dépasse le montant de la facture","OK")))))))))</f>
        <v/>
      </c>
    </row>
    <row r="46">
      <c r="A46" s="61" t="n"/>
      <c r="B46" s="60" t="n"/>
      <c r="C46" s="68" t="n"/>
      <c r="D46" s="60" t="n"/>
      <c r="E46" s="63" t="n"/>
      <c r="F46" s="63" t="n"/>
      <c r="G46" s="62" t="str">
        <f>IF(B46="","",IFERROR(INDEX(fa_cname,MATCH(B46,fa_num,0))&amp;"",""))</f>
        <v/>
      </c>
      <c r="H46" s="59" t="str">
        <f>IF(COUNTA(A46:F46)=0,"",IF(A46="","Date manquante",IF(NOT(ISNUMBER(A46)),"Date invalide",IF(B46="","N° de facture manquant",IF(ISNA(MATCH(B46,fa_num,0)),"Facture inconnue",IF(INDEX(fa_type,MATCH(B46,fa_num,0))="Avoir","Paiement sur un avoir",IF(OR(NOT(ISNUMBER(C46)),N(C46)&lt;=0),"Montant invalide",IF(A46&lt;INDEX(fa_date,MATCH(B46,fa_num,0)),"Date antérieure à la facture",IF(SUMIF($B$6:B46,B46,$C$6:C46)&gt;INDEX(fa_ttc,MATCH(B46,fa_num,0))-N(INDEX(fa_avoirs,MATCH(B46,fa_num,0)))+0.001,"Dépasse le montant de la facture","OK")))))))))</f>
        <v/>
      </c>
    </row>
    <row r="47">
      <c r="A47" s="61" t="n"/>
      <c r="B47" s="60" t="n"/>
      <c r="C47" s="68" t="n"/>
      <c r="D47" s="60" t="n"/>
      <c r="E47" s="63" t="n"/>
      <c r="F47" s="63" t="n"/>
      <c r="G47" s="62" t="str">
        <f>IF(B47="","",IFERROR(INDEX(fa_cname,MATCH(B47,fa_num,0))&amp;"",""))</f>
        <v/>
      </c>
      <c r="H47" s="59" t="str">
        <f>IF(COUNTA(A47:F47)=0,"",IF(A47="","Date manquante",IF(NOT(ISNUMBER(A47)),"Date invalide",IF(B47="","N° de facture manquant",IF(ISNA(MATCH(B47,fa_num,0)),"Facture inconnue",IF(INDEX(fa_type,MATCH(B47,fa_num,0))="Avoir","Paiement sur un avoir",IF(OR(NOT(ISNUMBER(C47)),N(C47)&lt;=0),"Montant invalide",IF(A47&lt;INDEX(fa_date,MATCH(B47,fa_num,0)),"Date antérieure à la facture",IF(SUMIF($B$6:B47,B47,$C$6:C47)&gt;INDEX(fa_ttc,MATCH(B47,fa_num,0))-N(INDEX(fa_avoirs,MATCH(B47,fa_num,0)))+0.001,"Dépasse le montant de la facture","OK")))))))))</f>
        <v/>
      </c>
    </row>
    <row r="48">
      <c r="A48" s="61" t="n"/>
      <c r="B48" s="60" t="n"/>
      <c r="C48" s="68" t="n"/>
      <c r="D48" s="60" t="n"/>
      <c r="E48" s="63" t="n"/>
      <c r="F48" s="63" t="n"/>
      <c r="G48" s="62" t="str">
        <f>IF(B48="","",IFERROR(INDEX(fa_cname,MATCH(B48,fa_num,0))&amp;"",""))</f>
        <v/>
      </c>
      <c r="H48" s="59" t="str">
        <f>IF(COUNTA(A48:F48)=0,"",IF(A48="","Date manquante",IF(NOT(ISNUMBER(A48)),"Date invalide",IF(B48="","N° de facture manquant",IF(ISNA(MATCH(B48,fa_num,0)),"Facture inconnue",IF(INDEX(fa_type,MATCH(B48,fa_num,0))="Avoir","Paiement sur un avoir",IF(OR(NOT(ISNUMBER(C48)),N(C48)&lt;=0),"Montant invalide",IF(A48&lt;INDEX(fa_date,MATCH(B48,fa_num,0)),"Date antérieure à la facture",IF(SUMIF($B$6:B48,B48,$C$6:C48)&gt;INDEX(fa_ttc,MATCH(B48,fa_num,0))-N(INDEX(fa_avoirs,MATCH(B48,fa_num,0)))+0.001,"Dépasse le montant de la facture","OK")))))))))</f>
        <v/>
      </c>
    </row>
    <row r="49">
      <c r="A49" s="61" t="n"/>
      <c r="B49" s="60" t="n"/>
      <c r="C49" s="68" t="n"/>
      <c r="D49" s="60" t="n"/>
      <c r="E49" s="63" t="n"/>
      <c r="F49" s="63" t="n"/>
      <c r="G49" s="62" t="str">
        <f>IF(B49="","",IFERROR(INDEX(fa_cname,MATCH(B49,fa_num,0))&amp;"",""))</f>
        <v/>
      </c>
      <c r="H49" s="59" t="str">
        <f>IF(COUNTA(A49:F49)=0,"",IF(A49="","Date manquante",IF(NOT(ISNUMBER(A49)),"Date invalide",IF(B49="","N° de facture manquant",IF(ISNA(MATCH(B49,fa_num,0)),"Facture inconnue",IF(INDEX(fa_type,MATCH(B49,fa_num,0))="Avoir","Paiement sur un avoir",IF(OR(NOT(ISNUMBER(C49)),N(C49)&lt;=0),"Montant invalide",IF(A49&lt;INDEX(fa_date,MATCH(B49,fa_num,0)),"Date antérieure à la facture",IF(SUMIF($B$6:B49,B49,$C$6:C49)&gt;INDEX(fa_ttc,MATCH(B49,fa_num,0))-N(INDEX(fa_avoirs,MATCH(B49,fa_num,0)))+0.001,"Dépasse le montant de la facture","OK")))))))))</f>
        <v/>
      </c>
    </row>
    <row r="50">
      <c r="A50" s="61" t="n"/>
      <c r="B50" s="60" t="n"/>
      <c r="C50" s="68" t="n"/>
      <c r="D50" s="60" t="n"/>
      <c r="E50" s="63" t="n"/>
      <c r="F50" s="63" t="n"/>
      <c r="G50" s="62" t="str">
        <f>IF(B50="","",IFERROR(INDEX(fa_cname,MATCH(B50,fa_num,0))&amp;"",""))</f>
        <v/>
      </c>
      <c r="H50" s="59" t="str">
        <f>IF(COUNTA(A50:F50)=0,"",IF(A50="","Date manquante",IF(NOT(ISNUMBER(A50)),"Date invalide",IF(B50="","N° de facture manquant",IF(ISNA(MATCH(B50,fa_num,0)),"Facture inconnue",IF(INDEX(fa_type,MATCH(B50,fa_num,0))="Avoir","Paiement sur un avoir",IF(OR(NOT(ISNUMBER(C50)),N(C50)&lt;=0),"Montant invalide",IF(A50&lt;INDEX(fa_date,MATCH(B50,fa_num,0)),"Date antérieure à la facture",IF(SUMIF($B$6:B50,B50,$C$6:C50)&gt;INDEX(fa_ttc,MATCH(B50,fa_num,0))-N(INDEX(fa_avoirs,MATCH(B50,fa_num,0)))+0.001,"Dépasse le montant de la facture","OK")))))))))</f>
        <v/>
      </c>
    </row>
    <row r="51">
      <c r="A51" s="61" t="n"/>
      <c r="B51" s="60" t="n"/>
      <c r="C51" s="68" t="n"/>
      <c r="D51" s="60" t="n"/>
      <c r="E51" s="63" t="n"/>
      <c r="F51" s="63" t="n"/>
      <c r="G51" s="62" t="str">
        <f>IF(B51="","",IFERROR(INDEX(fa_cname,MATCH(B51,fa_num,0))&amp;"",""))</f>
        <v/>
      </c>
      <c r="H51" s="59" t="str">
        <f>IF(COUNTA(A51:F51)=0,"",IF(A51="","Date manquante",IF(NOT(ISNUMBER(A51)),"Date invalide",IF(B51="","N° de facture manquant",IF(ISNA(MATCH(B51,fa_num,0)),"Facture inconnue",IF(INDEX(fa_type,MATCH(B51,fa_num,0))="Avoir","Paiement sur un avoir",IF(OR(NOT(ISNUMBER(C51)),N(C51)&lt;=0),"Montant invalide",IF(A51&lt;INDEX(fa_date,MATCH(B51,fa_num,0)),"Date antérieure à la facture",IF(SUMIF($B$6:B51,B51,$C$6:C51)&gt;INDEX(fa_ttc,MATCH(B51,fa_num,0))-N(INDEX(fa_avoirs,MATCH(B51,fa_num,0)))+0.001,"Dépasse le montant de la facture","OK")))))))))</f>
        <v/>
      </c>
    </row>
    <row r="52">
      <c r="A52" s="61" t="n"/>
      <c r="B52" s="60" t="n"/>
      <c r="C52" s="68" t="n"/>
      <c r="D52" s="60" t="n"/>
      <c r="E52" s="63" t="n"/>
      <c r="F52" s="63" t="n"/>
      <c r="G52" s="62" t="str">
        <f>IF(B52="","",IFERROR(INDEX(fa_cname,MATCH(B52,fa_num,0))&amp;"",""))</f>
        <v/>
      </c>
      <c r="H52" s="59" t="str">
        <f>IF(COUNTA(A52:F52)=0,"",IF(A52="","Date manquante",IF(NOT(ISNUMBER(A52)),"Date invalide",IF(B52="","N° de facture manquant",IF(ISNA(MATCH(B52,fa_num,0)),"Facture inconnue",IF(INDEX(fa_type,MATCH(B52,fa_num,0))="Avoir","Paiement sur un avoir",IF(OR(NOT(ISNUMBER(C52)),N(C52)&lt;=0),"Montant invalide",IF(A52&lt;INDEX(fa_date,MATCH(B52,fa_num,0)),"Date antérieure à la facture",IF(SUMIF($B$6:B52,B52,$C$6:C52)&gt;INDEX(fa_ttc,MATCH(B52,fa_num,0))-N(INDEX(fa_avoirs,MATCH(B52,fa_num,0)))+0.001,"Dépasse le montant de la facture","OK")))))))))</f>
        <v/>
      </c>
    </row>
    <row r="53">
      <c r="A53" s="61" t="n"/>
      <c r="B53" s="60" t="n"/>
      <c r="C53" s="68" t="n"/>
      <c r="D53" s="60" t="n"/>
      <c r="E53" s="63" t="n"/>
      <c r="F53" s="63" t="n"/>
      <c r="G53" s="62" t="str">
        <f>IF(B53="","",IFERROR(INDEX(fa_cname,MATCH(B53,fa_num,0))&amp;"",""))</f>
        <v/>
      </c>
      <c r="H53" s="59" t="str">
        <f>IF(COUNTA(A53:F53)=0,"",IF(A53="","Date manquante",IF(NOT(ISNUMBER(A53)),"Date invalide",IF(B53="","N° de facture manquant",IF(ISNA(MATCH(B53,fa_num,0)),"Facture inconnue",IF(INDEX(fa_type,MATCH(B53,fa_num,0))="Avoir","Paiement sur un avoir",IF(OR(NOT(ISNUMBER(C53)),N(C53)&lt;=0),"Montant invalide",IF(A53&lt;INDEX(fa_date,MATCH(B53,fa_num,0)),"Date antérieure à la facture",IF(SUMIF($B$6:B53,B53,$C$6:C53)&gt;INDEX(fa_ttc,MATCH(B53,fa_num,0))-N(INDEX(fa_avoirs,MATCH(B53,fa_num,0)))+0.001,"Dépasse le montant de la facture","OK")))))))))</f>
        <v/>
      </c>
    </row>
    <row r="54">
      <c r="A54" s="61" t="n"/>
      <c r="B54" s="60" t="n"/>
      <c r="C54" s="68" t="n"/>
      <c r="D54" s="60" t="n"/>
      <c r="E54" s="63" t="n"/>
      <c r="F54" s="63" t="n"/>
      <c r="G54" s="62" t="str">
        <f>IF(B54="","",IFERROR(INDEX(fa_cname,MATCH(B54,fa_num,0))&amp;"",""))</f>
        <v/>
      </c>
      <c r="H54" s="59" t="str">
        <f>IF(COUNTA(A54:F54)=0,"",IF(A54="","Date manquante",IF(NOT(ISNUMBER(A54)),"Date invalide",IF(B54="","N° de facture manquant",IF(ISNA(MATCH(B54,fa_num,0)),"Facture inconnue",IF(INDEX(fa_type,MATCH(B54,fa_num,0))="Avoir","Paiement sur un avoir",IF(OR(NOT(ISNUMBER(C54)),N(C54)&lt;=0),"Montant invalide",IF(A54&lt;INDEX(fa_date,MATCH(B54,fa_num,0)),"Date antérieure à la facture",IF(SUMIF($B$6:B54,B54,$C$6:C54)&gt;INDEX(fa_ttc,MATCH(B54,fa_num,0))-N(INDEX(fa_avoirs,MATCH(B54,fa_num,0)))+0.001,"Dépasse le montant de la facture","OK")))))))))</f>
        <v/>
      </c>
    </row>
    <row r="55">
      <c r="A55" s="61" t="n"/>
      <c r="B55" s="60" t="n"/>
      <c r="C55" s="68" t="n"/>
      <c r="D55" s="60" t="n"/>
      <c r="E55" s="63" t="n"/>
      <c r="F55" s="63" t="n"/>
      <c r="G55" s="62" t="str">
        <f>IF(B55="","",IFERROR(INDEX(fa_cname,MATCH(B55,fa_num,0))&amp;"",""))</f>
        <v/>
      </c>
      <c r="H55" s="59" t="str">
        <f>IF(COUNTA(A55:F55)=0,"",IF(A55="","Date manquante",IF(NOT(ISNUMBER(A55)),"Date invalide",IF(B55="","N° de facture manquant",IF(ISNA(MATCH(B55,fa_num,0)),"Facture inconnue",IF(INDEX(fa_type,MATCH(B55,fa_num,0))="Avoir","Paiement sur un avoir",IF(OR(NOT(ISNUMBER(C55)),N(C55)&lt;=0),"Montant invalide",IF(A55&lt;INDEX(fa_date,MATCH(B55,fa_num,0)),"Date antérieure à la facture",IF(SUMIF($B$6:B55,B55,$C$6:C55)&gt;INDEX(fa_ttc,MATCH(B55,fa_num,0))-N(INDEX(fa_avoirs,MATCH(B55,fa_num,0)))+0.001,"Dépasse le montant de la facture","OK")))))))))</f>
        <v/>
      </c>
    </row>
    <row r="56">
      <c r="A56" s="61" t="n"/>
      <c r="B56" s="60" t="n"/>
      <c r="C56" s="68" t="n"/>
      <c r="D56" s="60" t="n"/>
      <c r="E56" s="63" t="n"/>
      <c r="F56" s="63" t="n"/>
      <c r="G56" s="62" t="str">
        <f>IF(B56="","",IFERROR(INDEX(fa_cname,MATCH(B56,fa_num,0))&amp;"",""))</f>
        <v/>
      </c>
      <c r="H56" s="59" t="str">
        <f>IF(COUNTA(A56:F56)=0,"",IF(A56="","Date manquante",IF(NOT(ISNUMBER(A56)),"Date invalide",IF(B56="","N° de facture manquant",IF(ISNA(MATCH(B56,fa_num,0)),"Facture inconnue",IF(INDEX(fa_type,MATCH(B56,fa_num,0))="Avoir","Paiement sur un avoir",IF(OR(NOT(ISNUMBER(C56)),N(C56)&lt;=0),"Montant invalide",IF(A56&lt;INDEX(fa_date,MATCH(B56,fa_num,0)),"Date antérieure à la facture",IF(SUMIF($B$6:B56,B56,$C$6:C56)&gt;INDEX(fa_ttc,MATCH(B56,fa_num,0))-N(INDEX(fa_avoirs,MATCH(B56,fa_num,0)))+0.001,"Dépasse le montant de la facture","OK")))))))))</f>
        <v/>
      </c>
    </row>
    <row r="57">
      <c r="A57" s="61" t="n"/>
      <c r="B57" s="60" t="n"/>
      <c r="C57" s="68" t="n"/>
      <c r="D57" s="60" t="n"/>
      <c r="E57" s="63" t="n"/>
      <c r="F57" s="63" t="n"/>
      <c r="G57" s="62" t="str">
        <f>IF(B57="","",IFERROR(INDEX(fa_cname,MATCH(B57,fa_num,0))&amp;"",""))</f>
        <v/>
      </c>
      <c r="H57" s="59" t="str">
        <f>IF(COUNTA(A57:F57)=0,"",IF(A57="","Date manquante",IF(NOT(ISNUMBER(A57)),"Date invalide",IF(B57="","N° de facture manquant",IF(ISNA(MATCH(B57,fa_num,0)),"Facture inconnue",IF(INDEX(fa_type,MATCH(B57,fa_num,0))="Avoir","Paiement sur un avoir",IF(OR(NOT(ISNUMBER(C57)),N(C57)&lt;=0),"Montant invalide",IF(A57&lt;INDEX(fa_date,MATCH(B57,fa_num,0)),"Date antérieure à la facture",IF(SUMIF($B$6:B57,B57,$C$6:C57)&gt;INDEX(fa_ttc,MATCH(B57,fa_num,0))-N(INDEX(fa_avoirs,MATCH(B57,fa_num,0)))+0.001,"Dépasse le montant de la facture","OK")))))))))</f>
        <v/>
      </c>
    </row>
    <row r="58">
      <c r="A58" s="61" t="n"/>
      <c r="B58" s="60" t="n"/>
      <c r="C58" s="68" t="n"/>
      <c r="D58" s="60" t="n"/>
      <c r="E58" s="63" t="n"/>
      <c r="F58" s="63" t="n"/>
      <c r="G58" s="62" t="str">
        <f>IF(B58="","",IFERROR(INDEX(fa_cname,MATCH(B58,fa_num,0))&amp;"",""))</f>
        <v/>
      </c>
      <c r="H58" s="59" t="str">
        <f>IF(COUNTA(A58:F58)=0,"",IF(A58="","Date manquante",IF(NOT(ISNUMBER(A58)),"Date invalide",IF(B58="","N° de facture manquant",IF(ISNA(MATCH(B58,fa_num,0)),"Facture inconnue",IF(INDEX(fa_type,MATCH(B58,fa_num,0))="Avoir","Paiement sur un avoir",IF(OR(NOT(ISNUMBER(C58)),N(C58)&lt;=0),"Montant invalide",IF(A58&lt;INDEX(fa_date,MATCH(B58,fa_num,0)),"Date antérieure à la facture",IF(SUMIF($B$6:B58,B58,$C$6:C58)&gt;INDEX(fa_ttc,MATCH(B58,fa_num,0))-N(INDEX(fa_avoirs,MATCH(B58,fa_num,0)))+0.001,"Dépasse le montant de la facture","OK")))))))))</f>
        <v/>
      </c>
    </row>
    <row r="59">
      <c r="A59" s="61" t="n"/>
      <c r="B59" s="60" t="n"/>
      <c r="C59" s="68" t="n"/>
      <c r="D59" s="60" t="n"/>
      <c r="E59" s="63" t="n"/>
      <c r="F59" s="63" t="n"/>
      <c r="G59" s="62" t="str">
        <f>IF(B59="","",IFERROR(INDEX(fa_cname,MATCH(B59,fa_num,0))&amp;"",""))</f>
        <v/>
      </c>
      <c r="H59" s="59" t="str">
        <f>IF(COUNTA(A59:F59)=0,"",IF(A59="","Date manquante",IF(NOT(ISNUMBER(A59)),"Date invalide",IF(B59="","N° de facture manquant",IF(ISNA(MATCH(B59,fa_num,0)),"Facture inconnue",IF(INDEX(fa_type,MATCH(B59,fa_num,0))="Avoir","Paiement sur un avoir",IF(OR(NOT(ISNUMBER(C59)),N(C59)&lt;=0),"Montant invalide",IF(A59&lt;INDEX(fa_date,MATCH(B59,fa_num,0)),"Date antérieure à la facture",IF(SUMIF($B$6:B59,B59,$C$6:C59)&gt;INDEX(fa_ttc,MATCH(B59,fa_num,0))-N(INDEX(fa_avoirs,MATCH(B59,fa_num,0)))+0.001,"Dépasse le montant de la facture","OK")))))))))</f>
        <v/>
      </c>
    </row>
    <row r="60">
      <c r="A60" s="61" t="n"/>
      <c r="B60" s="60" t="n"/>
      <c r="C60" s="68" t="n"/>
      <c r="D60" s="60" t="n"/>
      <c r="E60" s="63" t="n"/>
      <c r="F60" s="63" t="n"/>
      <c r="G60" s="62" t="str">
        <f>IF(B60="","",IFERROR(INDEX(fa_cname,MATCH(B60,fa_num,0))&amp;"",""))</f>
        <v/>
      </c>
      <c r="H60" s="59" t="str">
        <f>IF(COUNTA(A60:F60)=0,"",IF(A60="","Date manquante",IF(NOT(ISNUMBER(A60)),"Date invalide",IF(B60="","N° de facture manquant",IF(ISNA(MATCH(B60,fa_num,0)),"Facture inconnue",IF(INDEX(fa_type,MATCH(B60,fa_num,0))="Avoir","Paiement sur un avoir",IF(OR(NOT(ISNUMBER(C60)),N(C60)&lt;=0),"Montant invalide",IF(A60&lt;INDEX(fa_date,MATCH(B60,fa_num,0)),"Date antérieure à la facture",IF(SUMIF($B$6:B60,B60,$C$6:C60)&gt;INDEX(fa_ttc,MATCH(B60,fa_num,0))-N(INDEX(fa_avoirs,MATCH(B60,fa_num,0)))+0.001,"Dépasse le montant de la facture","OK")))))))))</f>
        <v/>
      </c>
    </row>
    <row r="61">
      <c r="A61" s="61" t="n"/>
      <c r="B61" s="60" t="n"/>
      <c r="C61" s="68" t="n"/>
      <c r="D61" s="60" t="n"/>
      <c r="E61" s="63" t="n"/>
      <c r="F61" s="63" t="n"/>
      <c r="G61" s="62" t="str">
        <f>IF(B61="","",IFERROR(INDEX(fa_cname,MATCH(B61,fa_num,0))&amp;"",""))</f>
        <v/>
      </c>
      <c r="H61" s="59" t="str">
        <f>IF(COUNTA(A61:F61)=0,"",IF(A61="","Date manquante",IF(NOT(ISNUMBER(A61)),"Date invalide",IF(B61="","N° de facture manquant",IF(ISNA(MATCH(B61,fa_num,0)),"Facture inconnue",IF(INDEX(fa_type,MATCH(B61,fa_num,0))="Avoir","Paiement sur un avoir",IF(OR(NOT(ISNUMBER(C61)),N(C61)&lt;=0),"Montant invalide",IF(A61&lt;INDEX(fa_date,MATCH(B61,fa_num,0)),"Date antérieure à la facture",IF(SUMIF($B$6:B61,B61,$C$6:C61)&gt;INDEX(fa_ttc,MATCH(B61,fa_num,0))-N(INDEX(fa_avoirs,MATCH(B61,fa_num,0)))+0.001,"Dépasse le montant de la facture","OK")))))))))</f>
        <v/>
      </c>
    </row>
    <row r="62">
      <c r="A62" s="61" t="n"/>
      <c r="B62" s="60" t="n"/>
      <c r="C62" s="68" t="n"/>
      <c r="D62" s="60" t="n"/>
      <c r="E62" s="63" t="n"/>
      <c r="F62" s="63" t="n"/>
      <c r="G62" s="62" t="str">
        <f>IF(B62="","",IFERROR(INDEX(fa_cname,MATCH(B62,fa_num,0))&amp;"",""))</f>
        <v/>
      </c>
      <c r="H62" s="59" t="str">
        <f>IF(COUNTA(A62:F62)=0,"",IF(A62="","Date manquante",IF(NOT(ISNUMBER(A62)),"Date invalide",IF(B62="","N° de facture manquant",IF(ISNA(MATCH(B62,fa_num,0)),"Facture inconnue",IF(INDEX(fa_type,MATCH(B62,fa_num,0))="Avoir","Paiement sur un avoir",IF(OR(NOT(ISNUMBER(C62)),N(C62)&lt;=0),"Montant invalide",IF(A62&lt;INDEX(fa_date,MATCH(B62,fa_num,0)),"Date antérieure à la facture",IF(SUMIF($B$6:B62,B62,$C$6:C62)&gt;INDEX(fa_ttc,MATCH(B62,fa_num,0))-N(INDEX(fa_avoirs,MATCH(B62,fa_num,0)))+0.001,"Dépasse le montant de la facture","OK")))))))))</f>
        <v/>
      </c>
    </row>
    <row r="63">
      <c r="A63" s="61" t="n"/>
      <c r="B63" s="60" t="n"/>
      <c r="C63" s="68" t="n"/>
      <c r="D63" s="60" t="n"/>
      <c r="E63" s="63" t="n"/>
      <c r="F63" s="63" t="n"/>
      <c r="G63" s="62" t="str">
        <f>IF(B63="","",IFERROR(INDEX(fa_cname,MATCH(B63,fa_num,0))&amp;"",""))</f>
        <v/>
      </c>
      <c r="H63" s="59" t="str">
        <f>IF(COUNTA(A63:F63)=0,"",IF(A63="","Date manquante",IF(NOT(ISNUMBER(A63)),"Date invalide",IF(B63="","N° de facture manquant",IF(ISNA(MATCH(B63,fa_num,0)),"Facture inconnue",IF(INDEX(fa_type,MATCH(B63,fa_num,0))="Avoir","Paiement sur un avoir",IF(OR(NOT(ISNUMBER(C63)),N(C63)&lt;=0),"Montant invalide",IF(A63&lt;INDEX(fa_date,MATCH(B63,fa_num,0)),"Date antérieure à la facture",IF(SUMIF($B$6:B63,B63,$C$6:C63)&gt;INDEX(fa_ttc,MATCH(B63,fa_num,0))-N(INDEX(fa_avoirs,MATCH(B63,fa_num,0)))+0.001,"Dépasse le montant de la facture","OK")))))))))</f>
        <v/>
      </c>
    </row>
    <row r="64">
      <c r="A64" s="61" t="n"/>
      <c r="B64" s="60" t="n"/>
      <c r="C64" s="68" t="n"/>
      <c r="D64" s="60" t="n"/>
      <c r="E64" s="63" t="n"/>
      <c r="F64" s="63" t="n"/>
      <c r="G64" s="62" t="str">
        <f>IF(B64="","",IFERROR(INDEX(fa_cname,MATCH(B64,fa_num,0))&amp;"",""))</f>
        <v/>
      </c>
      <c r="H64" s="59" t="str">
        <f>IF(COUNTA(A64:F64)=0,"",IF(A64="","Date manquante",IF(NOT(ISNUMBER(A64)),"Date invalide",IF(B64="","N° de facture manquant",IF(ISNA(MATCH(B64,fa_num,0)),"Facture inconnue",IF(INDEX(fa_type,MATCH(B64,fa_num,0))="Avoir","Paiement sur un avoir",IF(OR(NOT(ISNUMBER(C64)),N(C64)&lt;=0),"Montant invalide",IF(A64&lt;INDEX(fa_date,MATCH(B64,fa_num,0)),"Date antérieure à la facture",IF(SUMIF($B$6:B64,B64,$C$6:C64)&gt;INDEX(fa_ttc,MATCH(B64,fa_num,0))-N(INDEX(fa_avoirs,MATCH(B64,fa_num,0)))+0.001,"Dépasse le montant de la facture","OK")))))))))</f>
        <v/>
      </c>
    </row>
    <row r="65">
      <c r="A65" s="61" t="n"/>
      <c r="B65" s="60" t="n"/>
      <c r="C65" s="68" t="n"/>
      <c r="D65" s="60" t="n"/>
      <c r="E65" s="63" t="n"/>
      <c r="F65" s="63" t="n"/>
      <c r="G65" s="62" t="str">
        <f>IF(B65="","",IFERROR(INDEX(fa_cname,MATCH(B65,fa_num,0))&amp;"",""))</f>
        <v/>
      </c>
      <c r="H65" s="59" t="str">
        <f>IF(COUNTA(A65:F65)=0,"",IF(A65="","Date manquante",IF(NOT(ISNUMBER(A65)),"Date invalide",IF(B65="","N° de facture manquant",IF(ISNA(MATCH(B65,fa_num,0)),"Facture inconnue",IF(INDEX(fa_type,MATCH(B65,fa_num,0))="Avoir","Paiement sur un avoir",IF(OR(NOT(ISNUMBER(C65)),N(C65)&lt;=0),"Montant invalide",IF(A65&lt;INDEX(fa_date,MATCH(B65,fa_num,0)),"Date antérieure à la facture",IF(SUMIF($B$6:B65,B65,$C$6:C65)&gt;INDEX(fa_ttc,MATCH(B65,fa_num,0))-N(INDEX(fa_avoirs,MATCH(B65,fa_num,0)))+0.001,"Dépasse le montant de la facture","OK")))))))))</f>
        <v/>
      </c>
    </row>
    <row r="66">
      <c r="A66" s="61" t="n"/>
      <c r="B66" s="60" t="n"/>
      <c r="C66" s="68" t="n"/>
      <c r="D66" s="60" t="n"/>
      <c r="E66" s="63" t="n"/>
      <c r="F66" s="63" t="n"/>
      <c r="G66" s="62" t="str">
        <f>IF(B66="","",IFERROR(INDEX(fa_cname,MATCH(B66,fa_num,0))&amp;"",""))</f>
        <v/>
      </c>
      <c r="H66" s="59" t="str">
        <f>IF(COUNTA(A66:F66)=0,"",IF(A66="","Date manquante",IF(NOT(ISNUMBER(A66)),"Date invalide",IF(B66="","N° de facture manquant",IF(ISNA(MATCH(B66,fa_num,0)),"Facture inconnue",IF(INDEX(fa_type,MATCH(B66,fa_num,0))="Avoir","Paiement sur un avoir",IF(OR(NOT(ISNUMBER(C66)),N(C66)&lt;=0),"Montant invalide",IF(A66&lt;INDEX(fa_date,MATCH(B66,fa_num,0)),"Date antérieure à la facture",IF(SUMIF($B$6:B66,B66,$C$6:C66)&gt;INDEX(fa_ttc,MATCH(B66,fa_num,0))-N(INDEX(fa_avoirs,MATCH(B66,fa_num,0)))+0.001,"Dépasse le montant de la facture","OK")))))))))</f>
        <v/>
      </c>
    </row>
    <row r="67">
      <c r="A67" s="61" t="n"/>
      <c r="B67" s="60" t="n"/>
      <c r="C67" s="68" t="n"/>
      <c r="D67" s="60" t="n"/>
      <c r="E67" s="63" t="n"/>
      <c r="F67" s="63" t="n"/>
      <c r="G67" s="62" t="str">
        <f>IF(B67="","",IFERROR(INDEX(fa_cname,MATCH(B67,fa_num,0))&amp;"",""))</f>
        <v/>
      </c>
      <c r="H67" s="59" t="str">
        <f>IF(COUNTA(A67:F67)=0,"",IF(A67="","Date manquante",IF(NOT(ISNUMBER(A67)),"Date invalide",IF(B67="","N° de facture manquant",IF(ISNA(MATCH(B67,fa_num,0)),"Facture inconnue",IF(INDEX(fa_type,MATCH(B67,fa_num,0))="Avoir","Paiement sur un avoir",IF(OR(NOT(ISNUMBER(C67)),N(C67)&lt;=0),"Montant invalide",IF(A67&lt;INDEX(fa_date,MATCH(B67,fa_num,0)),"Date antérieure à la facture",IF(SUMIF($B$6:B67,B67,$C$6:C67)&gt;INDEX(fa_ttc,MATCH(B67,fa_num,0))-N(INDEX(fa_avoirs,MATCH(B67,fa_num,0)))+0.001,"Dépasse le montant de la facture","OK")))))))))</f>
        <v/>
      </c>
    </row>
    <row r="68">
      <c r="A68" s="61" t="n"/>
      <c r="B68" s="60" t="n"/>
      <c r="C68" s="68" t="n"/>
      <c r="D68" s="60" t="n"/>
      <c r="E68" s="63" t="n"/>
      <c r="F68" s="63" t="n"/>
      <c r="G68" s="62" t="str">
        <f>IF(B68="","",IFERROR(INDEX(fa_cname,MATCH(B68,fa_num,0))&amp;"",""))</f>
        <v/>
      </c>
      <c r="H68" s="59" t="str">
        <f>IF(COUNTA(A68:F68)=0,"",IF(A68="","Date manquante",IF(NOT(ISNUMBER(A68)),"Date invalide",IF(B68="","N° de facture manquant",IF(ISNA(MATCH(B68,fa_num,0)),"Facture inconnue",IF(INDEX(fa_type,MATCH(B68,fa_num,0))="Avoir","Paiement sur un avoir",IF(OR(NOT(ISNUMBER(C68)),N(C68)&lt;=0),"Montant invalide",IF(A68&lt;INDEX(fa_date,MATCH(B68,fa_num,0)),"Date antérieure à la facture",IF(SUMIF($B$6:B68,B68,$C$6:C68)&gt;INDEX(fa_ttc,MATCH(B68,fa_num,0))-N(INDEX(fa_avoirs,MATCH(B68,fa_num,0)))+0.001,"Dépasse le montant de la facture","OK")))))))))</f>
        <v/>
      </c>
    </row>
    <row r="69">
      <c r="A69" s="61" t="n"/>
      <c r="B69" s="60" t="n"/>
      <c r="C69" s="68" t="n"/>
      <c r="D69" s="60" t="n"/>
      <c r="E69" s="63" t="n"/>
      <c r="F69" s="63" t="n"/>
      <c r="G69" s="62" t="str">
        <f>IF(B69="","",IFERROR(INDEX(fa_cname,MATCH(B69,fa_num,0))&amp;"",""))</f>
        <v/>
      </c>
      <c r="H69" s="59" t="str">
        <f>IF(COUNTA(A69:F69)=0,"",IF(A69="","Date manquante",IF(NOT(ISNUMBER(A69)),"Date invalide",IF(B69="","N° de facture manquant",IF(ISNA(MATCH(B69,fa_num,0)),"Facture inconnue",IF(INDEX(fa_type,MATCH(B69,fa_num,0))="Avoir","Paiement sur un avoir",IF(OR(NOT(ISNUMBER(C69)),N(C69)&lt;=0),"Montant invalide",IF(A69&lt;INDEX(fa_date,MATCH(B69,fa_num,0)),"Date antérieure à la facture",IF(SUMIF($B$6:B69,B69,$C$6:C69)&gt;INDEX(fa_ttc,MATCH(B69,fa_num,0))-N(INDEX(fa_avoirs,MATCH(B69,fa_num,0)))+0.001,"Dépasse le montant de la facture","OK")))))))))</f>
        <v/>
      </c>
    </row>
    <row r="70">
      <c r="A70" s="61" t="n"/>
      <c r="B70" s="60" t="n"/>
      <c r="C70" s="68" t="n"/>
      <c r="D70" s="60" t="n"/>
      <c r="E70" s="63" t="n"/>
      <c r="F70" s="63" t="n"/>
      <c r="G70" s="62" t="str">
        <f>IF(B70="","",IFERROR(INDEX(fa_cname,MATCH(B70,fa_num,0))&amp;"",""))</f>
        <v/>
      </c>
      <c r="H70" s="59" t="str">
        <f>IF(COUNTA(A70:F70)=0,"",IF(A70="","Date manquante",IF(NOT(ISNUMBER(A70)),"Date invalide",IF(B70="","N° de facture manquant",IF(ISNA(MATCH(B70,fa_num,0)),"Facture inconnue",IF(INDEX(fa_type,MATCH(B70,fa_num,0))="Avoir","Paiement sur un avoir",IF(OR(NOT(ISNUMBER(C70)),N(C70)&lt;=0),"Montant invalide",IF(A70&lt;INDEX(fa_date,MATCH(B70,fa_num,0)),"Date antérieure à la facture",IF(SUMIF($B$6:B70,B70,$C$6:C70)&gt;INDEX(fa_ttc,MATCH(B70,fa_num,0))-N(INDEX(fa_avoirs,MATCH(B70,fa_num,0)))+0.001,"Dépasse le montant de la facture","OK")))))))))</f>
        <v/>
      </c>
    </row>
    <row r="71">
      <c r="A71" s="61" t="n"/>
      <c r="B71" s="60" t="n"/>
      <c r="C71" s="68" t="n"/>
      <c r="D71" s="60" t="n"/>
      <c r="E71" s="63" t="n"/>
      <c r="F71" s="63" t="n"/>
      <c r="G71" s="62" t="str">
        <f>IF(B71="","",IFERROR(INDEX(fa_cname,MATCH(B71,fa_num,0))&amp;"",""))</f>
        <v/>
      </c>
      <c r="H71" s="59" t="str">
        <f>IF(COUNTA(A71:F71)=0,"",IF(A71="","Date manquante",IF(NOT(ISNUMBER(A71)),"Date invalide",IF(B71="","N° de facture manquant",IF(ISNA(MATCH(B71,fa_num,0)),"Facture inconnue",IF(INDEX(fa_type,MATCH(B71,fa_num,0))="Avoir","Paiement sur un avoir",IF(OR(NOT(ISNUMBER(C71)),N(C71)&lt;=0),"Montant invalide",IF(A71&lt;INDEX(fa_date,MATCH(B71,fa_num,0)),"Date antérieure à la facture",IF(SUMIF($B$6:B71,B71,$C$6:C71)&gt;INDEX(fa_ttc,MATCH(B71,fa_num,0))-N(INDEX(fa_avoirs,MATCH(B71,fa_num,0)))+0.001,"Dépasse le montant de la facture","OK")))))))))</f>
        <v/>
      </c>
    </row>
    <row r="72">
      <c r="A72" s="61" t="n"/>
      <c r="B72" s="60" t="n"/>
      <c r="C72" s="68" t="n"/>
      <c r="D72" s="60" t="n"/>
      <c r="E72" s="63" t="n"/>
      <c r="F72" s="63" t="n"/>
      <c r="G72" s="62" t="str">
        <f>IF(B72="","",IFERROR(INDEX(fa_cname,MATCH(B72,fa_num,0))&amp;"",""))</f>
        <v/>
      </c>
      <c r="H72" s="59" t="str">
        <f>IF(COUNTA(A72:F72)=0,"",IF(A72="","Date manquante",IF(NOT(ISNUMBER(A72)),"Date invalide",IF(B72="","N° de facture manquant",IF(ISNA(MATCH(B72,fa_num,0)),"Facture inconnue",IF(INDEX(fa_type,MATCH(B72,fa_num,0))="Avoir","Paiement sur un avoir",IF(OR(NOT(ISNUMBER(C72)),N(C72)&lt;=0),"Montant invalide",IF(A72&lt;INDEX(fa_date,MATCH(B72,fa_num,0)),"Date antérieure à la facture",IF(SUMIF($B$6:B72,B72,$C$6:C72)&gt;INDEX(fa_ttc,MATCH(B72,fa_num,0))-N(INDEX(fa_avoirs,MATCH(B72,fa_num,0)))+0.001,"Dépasse le montant de la facture","OK")))))))))</f>
        <v/>
      </c>
    </row>
    <row r="73">
      <c r="A73" s="61" t="n"/>
      <c r="B73" s="60" t="n"/>
      <c r="C73" s="68" t="n"/>
      <c r="D73" s="60" t="n"/>
      <c r="E73" s="63" t="n"/>
      <c r="F73" s="63" t="n"/>
      <c r="G73" s="62" t="str">
        <f>IF(B73="","",IFERROR(INDEX(fa_cname,MATCH(B73,fa_num,0))&amp;"",""))</f>
        <v/>
      </c>
      <c r="H73" s="59" t="str">
        <f>IF(COUNTA(A73:F73)=0,"",IF(A73="","Date manquante",IF(NOT(ISNUMBER(A73)),"Date invalide",IF(B73="","N° de facture manquant",IF(ISNA(MATCH(B73,fa_num,0)),"Facture inconnue",IF(INDEX(fa_type,MATCH(B73,fa_num,0))="Avoir","Paiement sur un avoir",IF(OR(NOT(ISNUMBER(C73)),N(C73)&lt;=0),"Montant invalide",IF(A73&lt;INDEX(fa_date,MATCH(B73,fa_num,0)),"Date antérieure à la facture",IF(SUMIF($B$6:B73,B73,$C$6:C73)&gt;INDEX(fa_ttc,MATCH(B73,fa_num,0))-N(INDEX(fa_avoirs,MATCH(B73,fa_num,0)))+0.001,"Dépasse le montant de la facture","OK")))))))))</f>
        <v/>
      </c>
    </row>
    <row r="74">
      <c r="A74" s="61" t="n"/>
      <c r="B74" s="60" t="n"/>
      <c r="C74" s="68" t="n"/>
      <c r="D74" s="60" t="n"/>
      <c r="E74" s="63" t="n"/>
      <c r="F74" s="63" t="n"/>
      <c r="G74" s="62" t="str">
        <f>IF(B74="","",IFERROR(INDEX(fa_cname,MATCH(B74,fa_num,0))&amp;"",""))</f>
        <v/>
      </c>
      <c r="H74" s="59" t="str">
        <f>IF(COUNTA(A74:F74)=0,"",IF(A74="","Date manquante",IF(NOT(ISNUMBER(A74)),"Date invalide",IF(B74="","N° de facture manquant",IF(ISNA(MATCH(B74,fa_num,0)),"Facture inconnue",IF(INDEX(fa_type,MATCH(B74,fa_num,0))="Avoir","Paiement sur un avoir",IF(OR(NOT(ISNUMBER(C74)),N(C74)&lt;=0),"Montant invalide",IF(A74&lt;INDEX(fa_date,MATCH(B74,fa_num,0)),"Date antérieure à la facture",IF(SUMIF($B$6:B74,B74,$C$6:C74)&gt;INDEX(fa_ttc,MATCH(B74,fa_num,0))-N(INDEX(fa_avoirs,MATCH(B74,fa_num,0)))+0.001,"Dépasse le montant de la facture","OK")))))))))</f>
        <v/>
      </c>
    </row>
    <row r="75">
      <c r="A75" s="61" t="n"/>
      <c r="B75" s="60" t="n"/>
      <c r="C75" s="68" t="n"/>
      <c r="D75" s="60" t="n"/>
      <c r="E75" s="63" t="n"/>
      <c r="F75" s="63" t="n"/>
      <c r="G75" s="62" t="str">
        <f>IF(B75="","",IFERROR(INDEX(fa_cname,MATCH(B75,fa_num,0))&amp;"",""))</f>
        <v/>
      </c>
      <c r="H75" s="59" t="str">
        <f>IF(COUNTA(A75:F75)=0,"",IF(A75="","Date manquante",IF(NOT(ISNUMBER(A75)),"Date invalide",IF(B75="","N° de facture manquant",IF(ISNA(MATCH(B75,fa_num,0)),"Facture inconnue",IF(INDEX(fa_type,MATCH(B75,fa_num,0))="Avoir","Paiement sur un avoir",IF(OR(NOT(ISNUMBER(C75)),N(C75)&lt;=0),"Montant invalide",IF(A75&lt;INDEX(fa_date,MATCH(B75,fa_num,0)),"Date antérieure à la facture",IF(SUMIF($B$6:B75,B75,$C$6:C75)&gt;INDEX(fa_ttc,MATCH(B75,fa_num,0))-N(INDEX(fa_avoirs,MATCH(B75,fa_num,0)))+0.001,"Dépasse le montant de la facture","OK")))))))))</f>
        <v/>
      </c>
    </row>
    <row r="76">
      <c r="A76" s="61" t="n"/>
      <c r="B76" s="60" t="n"/>
      <c r="C76" s="68" t="n"/>
      <c r="D76" s="60" t="n"/>
      <c r="E76" s="63" t="n"/>
      <c r="F76" s="63" t="n"/>
      <c r="G76" s="62" t="str">
        <f>IF(B76="","",IFERROR(INDEX(fa_cname,MATCH(B76,fa_num,0))&amp;"",""))</f>
        <v/>
      </c>
      <c r="H76" s="59" t="str">
        <f>IF(COUNTA(A76:F76)=0,"",IF(A76="","Date manquante",IF(NOT(ISNUMBER(A76)),"Date invalide",IF(B76="","N° de facture manquant",IF(ISNA(MATCH(B76,fa_num,0)),"Facture inconnue",IF(INDEX(fa_type,MATCH(B76,fa_num,0))="Avoir","Paiement sur un avoir",IF(OR(NOT(ISNUMBER(C76)),N(C76)&lt;=0),"Montant invalide",IF(A76&lt;INDEX(fa_date,MATCH(B76,fa_num,0)),"Date antérieure à la facture",IF(SUMIF($B$6:B76,B76,$C$6:C76)&gt;INDEX(fa_ttc,MATCH(B76,fa_num,0))-N(INDEX(fa_avoirs,MATCH(B76,fa_num,0)))+0.001,"Dépasse le montant de la facture","OK")))))))))</f>
        <v/>
      </c>
    </row>
    <row r="77">
      <c r="A77" s="61" t="n"/>
      <c r="B77" s="60" t="n"/>
      <c r="C77" s="68" t="n"/>
      <c r="D77" s="60" t="n"/>
      <c r="E77" s="63" t="n"/>
      <c r="F77" s="63" t="n"/>
      <c r="G77" s="62" t="str">
        <f>IF(B77="","",IFERROR(INDEX(fa_cname,MATCH(B77,fa_num,0))&amp;"",""))</f>
        <v/>
      </c>
      <c r="H77" s="59" t="str">
        <f>IF(COUNTA(A77:F77)=0,"",IF(A77="","Date manquante",IF(NOT(ISNUMBER(A77)),"Date invalide",IF(B77="","N° de facture manquant",IF(ISNA(MATCH(B77,fa_num,0)),"Facture inconnue",IF(INDEX(fa_type,MATCH(B77,fa_num,0))="Avoir","Paiement sur un avoir",IF(OR(NOT(ISNUMBER(C77)),N(C77)&lt;=0),"Montant invalide",IF(A77&lt;INDEX(fa_date,MATCH(B77,fa_num,0)),"Date antérieure à la facture",IF(SUMIF($B$6:B77,B77,$C$6:C77)&gt;INDEX(fa_ttc,MATCH(B77,fa_num,0))-N(INDEX(fa_avoirs,MATCH(B77,fa_num,0)))+0.001,"Dépasse le montant de la facture","OK")))))))))</f>
        <v/>
      </c>
    </row>
    <row r="78">
      <c r="A78" s="61" t="n"/>
      <c r="B78" s="60" t="n"/>
      <c r="C78" s="68" t="n"/>
      <c r="D78" s="60" t="n"/>
      <c r="E78" s="63" t="n"/>
      <c r="F78" s="63" t="n"/>
      <c r="G78" s="62" t="str">
        <f>IF(B78="","",IFERROR(INDEX(fa_cname,MATCH(B78,fa_num,0))&amp;"",""))</f>
        <v/>
      </c>
      <c r="H78" s="59" t="str">
        <f>IF(COUNTA(A78:F78)=0,"",IF(A78="","Date manquante",IF(NOT(ISNUMBER(A78)),"Date invalide",IF(B78="","N° de facture manquant",IF(ISNA(MATCH(B78,fa_num,0)),"Facture inconnue",IF(INDEX(fa_type,MATCH(B78,fa_num,0))="Avoir","Paiement sur un avoir",IF(OR(NOT(ISNUMBER(C78)),N(C78)&lt;=0),"Montant invalide",IF(A78&lt;INDEX(fa_date,MATCH(B78,fa_num,0)),"Date antérieure à la facture",IF(SUMIF($B$6:B78,B78,$C$6:C78)&gt;INDEX(fa_ttc,MATCH(B78,fa_num,0))-N(INDEX(fa_avoirs,MATCH(B78,fa_num,0)))+0.001,"Dépasse le montant de la facture","OK")))))))))</f>
        <v/>
      </c>
    </row>
    <row r="79">
      <c r="A79" s="61" t="n"/>
      <c r="B79" s="60" t="n"/>
      <c r="C79" s="68" t="n"/>
      <c r="D79" s="60" t="n"/>
      <c r="E79" s="63" t="n"/>
      <c r="F79" s="63" t="n"/>
      <c r="G79" s="62" t="str">
        <f>IF(B79="","",IFERROR(INDEX(fa_cname,MATCH(B79,fa_num,0))&amp;"",""))</f>
        <v/>
      </c>
      <c r="H79" s="59" t="str">
        <f>IF(COUNTA(A79:F79)=0,"",IF(A79="","Date manquante",IF(NOT(ISNUMBER(A79)),"Date invalide",IF(B79="","N° de facture manquant",IF(ISNA(MATCH(B79,fa_num,0)),"Facture inconnue",IF(INDEX(fa_type,MATCH(B79,fa_num,0))="Avoir","Paiement sur un avoir",IF(OR(NOT(ISNUMBER(C79)),N(C79)&lt;=0),"Montant invalide",IF(A79&lt;INDEX(fa_date,MATCH(B79,fa_num,0)),"Date antérieure à la facture",IF(SUMIF($B$6:B79,B79,$C$6:C79)&gt;INDEX(fa_ttc,MATCH(B79,fa_num,0))-N(INDEX(fa_avoirs,MATCH(B79,fa_num,0)))+0.001,"Dépasse le montant de la facture","OK")))))))))</f>
        <v/>
      </c>
    </row>
    <row r="80">
      <c r="A80" s="61" t="n"/>
      <c r="B80" s="60" t="n"/>
      <c r="C80" s="68" t="n"/>
      <c r="D80" s="60" t="n"/>
      <c r="E80" s="63" t="n"/>
      <c r="F80" s="63" t="n"/>
      <c r="G80" s="62" t="str">
        <f>IF(B80="","",IFERROR(INDEX(fa_cname,MATCH(B80,fa_num,0))&amp;"",""))</f>
        <v/>
      </c>
      <c r="H80" s="59" t="str">
        <f>IF(COUNTA(A80:F80)=0,"",IF(A80="","Date manquante",IF(NOT(ISNUMBER(A80)),"Date invalide",IF(B80="","N° de facture manquant",IF(ISNA(MATCH(B80,fa_num,0)),"Facture inconnue",IF(INDEX(fa_type,MATCH(B80,fa_num,0))="Avoir","Paiement sur un avoir",IF(OR(NOT(ISNUMBER(C80)),N(C80)&lt;=0),"Montant invalide",IF(A80&lt;INDEX(fa_date,MATCH(B80,fa_num,0)),"Date antérieure à la facture",IF(SUMIF($B$6:B80,B80,$C$6:C80)&gt;INDEX(fa_ttc,MATCH(B80,fa_num,0))-N(INDEX(fa_avoirs,MATCH(B80,fa_num,0)))+0.001,"Dépasse le montant de la facture","OK")))))))))</f>
        <v/>
      </c>
    </row>
    <row r="81">
      <c r="A81" s="61" t="n"/>
      <c r="B81" s="60" t="n"/>
      <c r="C81" s="68" t="n"/>
      <c r="D81" s="60" t="n"/>
      <c r="E81" s="63" t="n"/>
      <c r="F81" s="63" t="n"/>
      <c r="G81" s="62" t="str">
        <f>IF(B81="","",IFERROR(INDEX(fa_cname,MATCH(B81,fa_num,0))&amp;"",""))</f>
        <v/>
      </c>
      <c r="H81" s="59" t="str">
        <f>IF(COUNTA(A81:F81)=0,"",IF(A81="","Date manquante",IF(NOT(ISNUMBER(A81)),"Date invalide",IF(B81="","N° de facture manquant",IF(ISNA(MATCH(B81,fa_num,0)),"Facture inconnue",IF(INDEX(fa_type,MATCH(B81,fa_num,0))="Avoir","Paiement sur un avoir",IF(OR(NOT(ISNUMBER(C81)),N(C81)&lt;=0),"Montant invalide",IF(A81&lt;INDEX(fa_date,MATCH(B81,fa_num,0)),"Date antérieure à la facture",IF(SUMIF($B$6:B81,B81,$C$6:C81)&gt;INDEX(fa_ttc,MATCH(B81,fa_num,0))-N(INDEX(fa_avoirs,MATCH(B81,fa_num,0)))+0.001,"Dépasse le montant de la facture","OK")))))))))</f>
        <v/>
      </c>
    </row>
    <row r="82">
      <c r="A82" s="61" t="n"/>
      <c r="B82" s="60" t="n"/>
      <c r="C82" s="68" t="n"/>
      <c r="D82" s="60" t="n"/>
      <c r="E82" s="63" t="n"/>
      <c r="F82" s="63" t="n"/>
      <c r="G82" s="62" t="str">
        <f>IF(B82="","",IFERROR(INDEX(fa_cname,MATCH(B82,fa_num,0))&amp;"",""))</f>
        <v/>
      </c>
      <c r="H82" s="59" t="str">
        <f>IF(COUNTA(A82:F82)=0,"",IF(A82="","Date manquante",IF(NOT(ISNUMBER(A82)),"Date invalide",IF(B82="","N° de facture manquant",IF(ISNA(MATCH(B82,fa_num,0)),"Facture inconnue",IF(INDEX(fa_type,MATCH(B82,fa_num,0))="Avoir","Paiement sur un avoir",IF(OR(NOT(ISNUMBER(C82)),N(C82)&lt;=0),"Montant invalide",IF(A82&lt;INDEX(fa_date,MATCH(B82,fa_num,0)),"Date antérieure à la facture",IF(SUMIF($B$6:B82,B82,$C$6:C82)&gt;INDEX(fa_ttc,MATCH(B82,fa_num,0))-N(INDEX(fa_avoirs,MATCH(B82,fa_num,0)))+0.001,"Dépasse le montant de la facture","OK")))))))))</f>
        <v/>
      </c>
    </row>
    <row r="83">
      <c r="A83" s="61" t="n"/>
      <c r="B83" s="60" t="n"/>
      <c r="C83" s="68" t="n"/>
      <c r="D83" s="60" t="n"/>
      <c r="E83" s="63" t="n"/>
      <c r="F83" s="63" t="n"/>
      <c r="G83" s="62" t="str">
        <f>IF(B83="","",IFERROR(INDEX(fa_cname,MATCH(B83,fa_num,0))&amp;"",""))</f>
        <v/>
      </c>
      <c r="H83" s="59" t="str">
        <f>IF(COUNTA(A83:F83)=0,"",IF(A83="","Date manquante",IF(NOT(ISNUMBER(A83)),"Date invalide",IF(B83="","N° de facture manquant",IF(ISNA(MATCH(B83,fa_num,0)),"Facture inconnue",IF(INDEX(fa_type,MATCH(B83,fa_num,0))="Avoir","Paiement sur un avoir",IF(OR(NOT(ISNUMBER(C83)),N(C83)&lt;=0),"Montant invalide",IF(A83&lt;INDEX(fa_date,MATCH(B83,fa_num,0)),"Date antérieure à la facture",IF(SUMIF($B$6:B83,B83,$C$6:C83)&gt;INDEX(fa_ttc,MATCH(B83,fa_num,0))-N(INDEX(fa_avoirs,MATCH(B83,fa_num,0)))+0.001,"Dépasse le montant de la facture","OK")))))))))</f>
        <v/>
      </c>
    </row>
    <row r="84">
      <c r="A84" s="61" t="n"/>
      <c r="B84" s="60" t="n"/>
      <c r="C84" s="68" t="n"/>
      <c r="D84" s="60" t="n"/>
      <c r="E84" s="63" t="n"/>
      <c r="F84" s="63" t="n"/>
      <c r="G84" s="62" t="str">
        <f>IF(B84="","",IFERROR(INDEX(fa_cname,MATCH(B84,fa_num,0))&amp;"",""))</f>
        <v/>
      </c>
      <c r="H84" s="59" t="str">
        <f>IF(COUNTA(A84:F84)=0,"",IF(A84="","Date manquante",IF(NOT(ISNUMBER(A84)),"Date invalide",IF(B84="","N° de facture manquant",IF(ISNA(MATCH(B84,fa_num,0)),"Facture inconnue",IF(INDEX(fa_type,MATCH(B84,fa_num,0))="Avoir","Paiement sur un avoir",IF(OR(NOT(ISNUMBER(C84)),N(C84)&lt;=0),"Montant invalide",IF(A84&lt;INDEX(fa_date,MATCH(B84,fa_num,0)),"Date antérieure à la facture",IF(SUMIF($B$6:B84,B84,$C$6:C84)&gt;INDEX(fa_ttc,MATCH(B84,fa_num,0))-N(INDEX(fa_avoirs,MATCH(B84,fa_num,0)))+0.001,"Dépasse le montant de la facture","OK")))))))))</f>
        <v/>
      </c>
    </row>
    <row r="85">
      <c r="A85" s="61" t="n"/>
      <c r="B85" s="60" t="n"/>
      <c r="C85" s="68" t="n"/>
      <c r="D85" s="60" t="n"/>
      <c r="E85" s="63" t="n"/>
      <c r="F85" s="63" t="n"/>
      <c r="G85" s="62" t="str">
        <f>IF(B85="","",IFERROR(INDEX(fa_cname,MATCH(B85,fa_num,0))&amp;"",""))</f>
        <v/>
      </c>
      <c r="H85" s="59" t="str">
        <f>IF(COUNTA(A85:F85)=0,"",IF(A85="","Date manquante",IF(NOT(ISNUMBER(A85)),"Date invalide",IF(B85="","N° de facture manquant",IF(ISNA(MATCH(B85,fa_num,0)),"Facture inconnue",IF(INDEX(fa_type,MATCH(B85,fa_num,0))="Avoir","Paiement sur un avoir",IF(OR(NOT(ISNUMBER(C85)),N(C85)&lt;=0),"Montant invalide",IF(A85&lt;INDEX(fa_date,MATCH(B85,fa_num,0)),"Date antérieure à la facture",IF(SUMIF($B$6:B85,B85,$C$6:C85)&gt;INDEX(fa_ttc,MATCH(B85,fa_num,0))-N(INDEX(fa_avoirs,MATCH(B85,fa_num,0)))+0.001,"Dépasse le montant de la facture","OK")))))))))</f>
        <v/>
      </c>
    </row>
    <row r="86">
      <c r="A86" s="61" t="n"/>
      <c r="B86" s="60" t="n"/>
      <c r="C86" s="68" t="n"/>
      <c r="D86" s="60" t="n"/>
      <c r="E86" s="63" t="n"/>
      <c r="F86" s="63" t="n"/>
      <c r="G86" s="62" t="str">
        <f>IF(B86="","",IFERROR(INDEX(fa_cname,MATCH(B86,fa_num,0))&amp;"",""))</f>
        <v/>
      </c>
      <c r="H86" s="59" t="str">
        <f>IF(COUNTA(A86:F86)=0,"",IF(A86="","Date manquante",IF(NOT(ISNUMBER(A86)),"Date invalide",IF(B86="","N° de facture manquant",IF(ISNA(MATCH(B86,fa_num,0)),"Facture inconnue",IF(INDEX(fa_type,MATCH(B86,fa_num,0))="Avoir","Paiement sur un avoir",IF(OR(NOT(ISNUMBER(C86)),N(C86)&lt;=0),"Montant invalide",IF(A86&lt;INDEX(fa_date,MATCH(B86,fa_num,0)),"Date antérieure à la facture",IF(SUMIF($B$6:B86,B86,$C$6:C86)&gt;INDEX(fa_ttc,MATCH(B86,fa_num,0))-N(INDEX(fa_avoirs,MATCH(B86,fa_num,0)))+0.001,"Dépasse le montant de la facture","OK")))))))))</f>
        <v/>
      </c>
    </row>
    <row r="87">
      <c r="A87" s="61" t="n"/>
      <c r="B87" s="60" t="n"/>
      <c r="C87" s="68" t="n"/>
      <c r="D87" s="60" t="n"/>
      <c r="E87" s="63" t="n"/>
      <c r="F87" s="63" t="n"/>
      <c r="G87" s="62" t="str">
        <f>IF(B87="","",IFERROR(INDEX(fa_cname,MATCH(B87,fa_num,0))&amp;"",""))</f>
        <v/>
      </c>
      <c r="H87" s="59" t="str">
        <f>IF(COUNTA(A87:F87)=0,"",IF(A87="","Date manquante",IF(NOT(ISNUMBER(A87)),"Date invalide",IF(B87="","N° de facture manquant",IF(ISNA(MATCH(B87,fa_num,0)),"Facture inconnue",IF(INDEX(fa_type,MATCH(B87,fa_num,0))="Avoir","Paiement sur un avoir",IF(OR(NOT(ISNUMBER(C87)),N(C87)&lt;=0),"Montant invalide",IF(A87&lt;INDEX(fa_date,MATCH(B87,fa_num,0)),"Date antérieure à la facture",IF(SUMIF($B$6:B87,B87,$C$6:C87)&gt;INDEX(fa_ttc,MATCH(B87,fa_num,0))-N(INDEX(fa_avoirs,MATCH(B87,fa_num,0)))+0.001,"Dépasse le montant de la facture","OK")))))))))</f>
        <v/>
      </c>
    </row>
    <row r="88">
      <c r="A88" s="61" t="n"/>
      <c r="B88" s="60" t="n"/>
      <c r="C88" s="68" t="n"/>
      <c r="D88" s="60" t="n"/>
      <c r="E88" s="63" t="n"/>
      <c r="F88" s="63" t="n"/>
      <c r="G88" s="62" t="str">
        <f>IF(B88="","",IFERROR(INDEX(fa_cname,MATCH(B88,fa_num,0))&amp;"",""))</f>
        <v/>
      </c>
      <c r="H88" s="59" t="str">
        <f>IF(COUNTA(A88:F88)=0,"",IF(A88="","Date manquante",IF(NOT(ISNUMBER(A88)),"Date invalide",IF(B88="","N° de facture manquant",IF(ISNA(MATCH(B88,fa_num,0)),"Facture inconnue",IF(INDEX(fa_type,MATCH(B88,fa_num,0))="Avoir","Paiement sur un avoir",IF(OR(NOT(ISNUMBER(C88)),N(C88)&lt;=0),"Montant invalide",IF(A88&lt;INDEX(fa_date,MATCH(B88,fa_num,0)),"Date antérieure à la facture",IF(SUMIF($B$6:B88,B88,$C$6:C88)&gt;INDEX(fa_ttc,MATCH(B88,fa_num,0))-N(INDEX(fa_avoirs,MATCH(B88,fa_num,0)))+0.001,"Dépasse le montant de la facture","OK")))))))))</f>
        <v/>
      </c>
    </row>
    <row r="89">
      <c r="A89" s="61" t="n"/>
      <c r="B89" s="60" t="n"/>
      <c r="C89" s="68" t="n"/>
      <c r="D89" s="60" t="n"/>
      <c r="E89" s="63" t="n"/>
      <c r="F89" s="63" t="n"/>
      <c r="G89" s="62" t="str">
        <f>IF(B89="","",IFERROR(INDEX(fa_cname,MATCH(B89,fa_num,0))&amp;"",""))</f>
        <v/>
      </c>
      <c r="H89" s="59" t="str">
        <f>IF(COUNTA(A89:F89)=0,"",IF(A89="","Date manquante",IF(NOT(ISNUMBER(A89)),"Date invalide",IF(B89="","N° de facture manquant",IF(ISNA(MATCH(B89,fa_num,0)),"Facture inconnue",IF(INDEX(fa_type,MATCH(B89,fa_num,0))="Avoir","Paiement sur un avoir",IF(OR(NOT(ISNUMBER(C89)),N(C89)&lt;=0),"Montant invalide",IF(A89&lt;INDEX(fa_date,MATCH(B89,fa_num,0)),"Date antérieure à la facture",IF(SUMIF($B$6:B89,B89,$C$6:C89)&gt;INDEX(fa_ttc,MATCH(B89,fa_num,0))-N(INDEX(fa_avoirs,MATCH(B89,fa_num,0)))+0.001,"Dépasse le montant de la facture","OK")))))))))</f>
        <v/>
      </c>
    </row>
    <row r="90">
      <c r="A90" s="61" t="n"/>
      <c r="B90" s="60" t="n"/>
      <c r="C90" s="68" t="n"/>
      <c r="D90" s="60" t="n"/>
      <c r="E90" s="63" t="n"/>
      <c r="F90" s="63" t="n"/>
      <c r="G90" s="62" t="str">
        <f>IF(B90="","",IFERROR(INDEX(fa_cname,MATCH(B90,fa_num,0))&amp;"",""))</f>
        <v/>
      </c>
      <c r="H90" s="59" t="str">
        <f>IF(COUNTA(A90:F90)=0,"",IF(A90="","Date manquante",IF(NOT(ISNUMBER(A90)),"Date invalide",IF(B90="","N° de facture manquant",IF(ISNA(MATCH(B90,fa_num,0)),"Facture inconnue",IF(INDEX(fa_type,MATCH(B90,fa_num,0))="Avoir","Paiement sur un avoir",IF(OR(NOT(ISNUMBER(C90)),N(C90)&lt;=0),"Montant invalide",IF(A90&lt;INDEX(fa_date,MATCH(B90,fa_num,0)),"Date antérieure à la facture",IF(SUMIF($B$6:B90,B90,$C$6:C90)&gt;INDEX(fa_ttc,MATCH(B90,fa_num,0))-N(INDEX(fa_avoirs,MATCH(B90,fa_num,0)))+0.001,"Dépasse le montant de la facture","OK")))))))))</f>
        <v/>
      </c>
    </row>
    <row r="91">
      <c r="A91" s="61" t="n"/>
      <c r="B91" s="60" t="n"/>
      <c r="C91" s="68" t="n"/>
      <c r="D91" s="60" t="n"/>
      <c r="E91" s="63" t="n"/>
      <c r="F91" s="63" t="n"/>
      <c r="G91" s="62" t="str">
        <f>IF(B91="","",IFERROR(INDEX(fa_cname,MATCH(B91,fa_num,0))&amp;"",""))</f>
        <v/>
      </c>
      <c r="H91" s="59" t="str">
        <f>IF(COUNTA(A91:F91)=0,"",IF(A91="","Date manquante",IF(NOT(ISNUMBER(A91)),"Date invalide",IF(B91="","N° de facture manquant",IF(ISNA(MATCH(B91,fa_num,0)),"Facture inconnue",IF(INDEX(fa_type,MATCH(B91,fa_num,0))="Avoir","Paiement sur un avoir",IF(OR(NOT(ISNUMBER(C91)),N(C91)&lt;=0),"Montant invalide",IF(A91&lt;INDEX(fa_date,MATCH(B91,fa_num,0)),"Date antérieure à la facture",IF(SUMIF($B$6:B91,B91,$C$6:C91)&gt;INDEX(fa_ttc,MATCH(B91,fa_num,0))-N(INDEX(fa_avoirs,MATCH(B91,fa_num,0)))+0.001,"Dépasse le montant de la facture","OK")))))))))</f>
        <v/>
      </c>
    </row>
    <row r="92">
      <c r="A92" s="61" t="n"/>
      <c r="B92" s="60" t="n"/>
      <c r="C92" s="68" t="n"/>
      <c r="D92" s="60" t="n"/>
      <c r="E92" s="63" t="n"/>
      <c r="F92" s="63" t="n"/>
      <c r="G92" s="62" t="str">
        <f>IF(B92="","",IFERROR(INDEX(fa_cname,MATCH(B92,fa_num,0))&amp;"",""))</f>
        <v/>
      </c>
      <c r="H92" s="59" t="str">
        <f>IF(COUNTA(A92:F92)=0,"",IF(A92="","Date manquante",IF(NOT(ISNUMBER(A92)),"Date invalide",IF(B92="","N° de facture manquant",IF(ISNA(MATCH(B92,fa_num,0)),"Facture inconnue",IF(INDEX(fa_type,MATCH(B92,fa_num,0))="Avoir","Paiement sur un avoir",IF(OR(NOT(ISNUMBER(C92)),N(C92)&lt;=0),"Montant invalide",IF(A92&lt;INDEX(fa_date,MATCH(B92,fa_num,0)),"Date antérieure à la facture",IF(SUMIF($B$6:B92,B92,$C$6:C92)&gt;INDEX(fa_ttc,MATCH(B92,fa_num,0))-N(INDEX(fa_avoirs,MATCH(B92,fa_num,0)))+0.001,"Dépasse le montant de la facture","OK")))))))))</f>
        <v/>
      </c>
    </row>
    <row r="93">
      <c r="A93" s="61" t="n"/>
      <c r="B93" s="60" t="n"/>
      <c r="C93" s="68" t="n"/>
      <c r="D93" s="60" t="n"/>
      <c r="E93" s="63" t="n"/>
      <c r="F93" s="63" t="n"/>
      <c r="G93" s="62" t="str">
        <f>IF(B93="","",IFERROR(INDEX(fa_cname,MATCH(B93,fa_num,0))&amp;"",""))</f>
        <v/>
      </c>
      <c r="H93" s="59" t="str">
        <f>IF(COUNTA(A93:F93)=0,"",IF(A93="","Date manquante",IF(NOT(ISNUMBER(A93)),"Date invalide",IF(B93="","N° de facture manquant",IF(ISNA(MATCH(B93,fa_num,0)),"Facture inconnue",IF(INDEX(fa_type,MATCH(B93,fa_num,0))="Avoir","Paiement sur un avoir",IF(OR(NOT(ISNUMBER(C93)),N(C93)&lt;=0),"Montant invalide",IF(A93&lt;INDEX(fa_date,MATCH(B93,fa_num,0)),"Date antérieure à la facture",IF(SUMIF($B$6:B93,B93,$C$6:C93)&gt;INDEX(fa_ttc,MATCH(B93,fa_num,0))-N(INDEX(fa_avoirs,MATCH(B93,fa_num,0)))+0.001,"Dépasse le montant de la facture","OK")))))))))</f>
        <v/>
      </c>
    </row>
    <row r="94">
      <c r="A94" s="61" t="n"/>
      <c r="B94" s="60" t="n"/>
      <c r="C94" s="68" t="n"/>
      <c r="D94" s="60" t="n"/>
      <c r="E94" s="63" t="n"/>
      <c r="F94" s="63" t="n"/>
      <c r="G94" s="62" t="str">
        <f>IF(B94="","",IFERROR(INDEX(fa_cname,MATCH(B94,fa_num,0))&amp;"",""))</f>
        <v/>
      </c>
      <c r="H94" s="59" t="str">
        <f>IF(COUNTA(A94:F94)=0,"",IF(A94="","Date manquante",IF(NOT(ISNUMBER(A94)),"Date invalide",IF(B94="","N° de facture manquant",IF(ISNA(MATCH(B94,fa_num,0)),"Facture inconnue",IF(INDEX(fa_type,MATCH(B94,fa_num,0))="Avoir","Paiement sur un avoir",IF(OR(NOT(ISNUMBER(C94)),N(C94)&lt;=0),"Montant invalide",IF(A94&lt;INDEX(fa_date,MATCH(B94,fa_num,0)),"Date antérieure à la facture",IF(SUMIF($B$6:B94,B94,$C$6:C94)&gt;INDEX(fa_ttc,MATCH(B94,fa_num,0))-N(INDEX(fa_avoirs,MATCH(B94,fa_num,0)))+0.001,"Dépasse le montant de la facture","OK")))))))))</f>
        <v/>
      </c>
    </row>
    <row r="95">
      <c r="A95" s="61" t="n"/>
      <c r="B95" s="60" t="n"/>
      <c r="C95" s="68" t="n"/>
      <c r="D95" s="60" t="n"/>
      <c r="E95" s="63" t="n"/>
      <c r="F95" s="63" t="n"/>
      <c r="G95" s="62" t="str">
        <f>IF(B95="","",IFERROR(INDEX(fa_cname,MATCH(B95,fa_num,0))&amp;"",""))</f>
        <v/>
      </c>
      <c r="H95" s="59" t="str">
        <f>IF(COUNTA(A95:F95)=0,"",IF(A95="","Date manquante",IF(NOT(ISNUMBER(A95)),"Date invalide",IF(B95="","N° de facture manquant",IF(ISNA(MATCH(B95,fa_num,0)),"Facture inconnue",IF(INDEX(fa_type,MATCH(B95,fa_num,0))="Avoir","Paiement sur un avoir",IF(OR(NOT(ISNUMBER(C95)),N(C95)&lt;=0),"Montant invalide",IF(A95&lt;INDEX(fa_date,MATCH(B95,fa_num,0)),"Date antérieure à la facture",IF(SUMIF($B$6:B95,B95,$C$6:C95)&gt;INDEX(fa_ttc,MATCH(B95,fa_num,0))-N(INDEX(fa_avoirs,MATCH(B95,fa_num,0)))+0.001,"Dépasse le montant de la facture","OK")))))))))</f>
        <v/>
      </c>
    </row>
    <row r="96">
      <c r="A96" s="61" t="n"/>
      <c r="B96" s="60" t="n"/>
      <c r="C96" s="68" t="n"/>
      <c r="D96" s="60" t="n"/>
      <c r="E96" s="63" t="n"/>
      <c r="F96" s="63" t="n"/>
      <c r="G96" s="62" t="str">
        <f>IF(B96="","",IFERROR(INDEX(fa_cname,MATCH(B96,fa_num,0))&amp;"",""))</f>
        <v/>
      </c>
      <c r="H96" s="59" t="str">
        <f>IF(COUNTA(A96:F96)=0,"",IF(A96="","Date manquante",IF(NOT(ISNUMBER(A96)),"Date invalide",IF(B96="","N° de facture manquant",IF(ISNA(MATCH(B96,fa_num,0)),"Facture inconnue",IF(INDEX(fa_type,MATCH(B96,fa_num,0))="Avoir","Paiement sur un avoir",IF(OR(NOT(ISNUMBER(C96)),N(C96)&lt;=0),"Montant invalide",IF(A96&lt;INDEX(fa_date,MATCH(B96,fa_num,0)),"Date antérieure à la facture",IF(SUMIF($B$6:B96,B96,$C$6:C96)&gt;INDEX(fa_ttc,MATCH(B96,fa_num,0))-N(INDEX(fa_avoirs,MATCH(B96,fa_num,0)))+0.001,"Dépasse le montant de la facture","OK")))))))))</f>
        <v/>
      </c>
    </row>
    <row r="97">
      <c r="A97" s="61" t="n"/>
      <c r="B97" s="60" t="n"/>
      <c r="C97" s="68" t="n"/>
      <c r="D97" s="60" t="n"/>
      <c r="E97" s="63" t="n"/>
      <c r="F97" s="63" t="n"/>
      <c r="G97" s="62" t="str">
        <f>IF(B97="","",IFERROR(INDEX(fa_cname,MATCH(B97,fa_num,0))&amp;"",""))</f>
        <v/>
      </c>
      <c r="H97" s="59" t="str">
        <f>IF(COUNTA(A97:F97)=0,"",IF(A97="","Date manquante",IF(NOT(ISNUMBER(A97)),"Date invalide",IF(B97="","N° de facture manquant",IF(ISNA(MATCH(B97,fa_num,0)),"Facture inconnue",IF(INDEX(fa_type,MATCH(B97,fa_num,0))="Avoir","Paiement sur un avoir",IF(OR(NOT(ISNUMBER(C97)),N(C97)&lt;=0),"Montant invalide",IF(A97&lt;INDEX(fa_date,MATCH(B97,fa_num,0)),"Date antérieure à la facture",IF(SUMIF($B$6:B97,B97,$C$6:C97)&gt;INDEX(fa_ttc,MATCH(B97,fa_num,0))-N(INDEX(fa_avoirs,MATCH(B97,fa_num,0)))+0.001,"Dépasse le montant de la facture","OK")))))))))</f>
        <v/>
      </c>
    </row>
    <row r="98">
      <c r="A98" s="61" t="n"/>
      <c r="B98" s="60" t="n"/>
      <c r="C98" s="68" t="n"/>
      <c r="D98" s="60" t="n"/>
      <c r="E98" s="63" t="n"/>
      <c r="F98" s="63" t="n"/>
      <c r="G98" s="62" t="str">
        <f>IF(B98="","",IFERROR(INDEX(fa_cname,MATCH(B98,fa_num,0))&amp;"",""))</f>
        <v/>
      </c>
      <c r="H98" s="59" t="str">
        <f>IF(COUNTA(A98:F98)=0,"",IF(A98="","Date manquante",IF(NOT(ISNUMBER(A98)),"Date invalide",IF(B98="","N° de facture manquant",IF(ISNA(MATCH(B98,fa_num,0)),"Facture inconnue",IF(INDEX(fa_type,MATCH(B98,fa_num,0))="Avoir","Paiement sur un avoir",IF(OR(NOT(ISNUMBER(C98)),N(C98)&lt;=0),"Montant invalide",IF(A98&lt;INDEX(fa_date,MATCH(B98,fa_num,0)),"Date antérieure à la facture",IF(SUMIF($B$6:B98,B98,$C$6:C98)&gt;INDEX(fa_ttc,MATCH(B98,fa_num,0))-N(INDEX(fa_avoirs,MATCH(B98,fa_num,0)))+0.001,"Dépasse le montant de la facture","OK")))))))))</f>
        <v/>
      </c>
    </row>
    <row r="99">
      <c r="A99" s="61" t="n"/>
      <c r="B99" s="60" t="n"/>
      <c r="C99" s="68" t="n"/>
      <c r="D99" s="60" t="n"/>
      <c r="E99" s="63" t="n"/>
      <c r="F99" s="63" t="n"/>
      <c r="G99" s="62" t="str">
        <f>IF(B99="","",IFERROR(INDEX(fa_cname,MATCH(B99,fa_num,0))&amp;"",""))</f>
        <v/>
      </c>
      <c r="H99" s="59" t="str">
        <f>IF(COUNTA(A99:F99)=0,"",IF(A99="","Date manquante",IF(NOT(ISNUMBER(A99)),"Date invalide",IF(B99="","N° de facture manquant",IF(ISNA(MATCH(B99,fa_num,0)),"Facture inconnue",IF(INDEX(fa_type,MATCH(B99,fa_num,0))="Avoir","Paiement sur un avoir",IF(OR(NOT(ISNUMBER(C99)),N(C99)&lt;=0),"Montant invalide",IF(A99&lt;INDEX(fa_date,MATCH(B99,fa_num,0)),"Date antérieure à la facture",IF(SUMIF($B$6:B99,B99,$C$6:C99)&gt;INDEX(fa_ttc,MATCH(B99,fa_num,0))-N(INDEX(fa_avoirs,MATCH(B99,fa_num,0)))+0.001,"Dépasse le montant de la facture","OK")))))))))</f>
        <v/>
      </c>
    </row>
    <row r="100">
      <c r="A100" s="61" t="n"/>
      <c r="B100" s="60" t="n"/>
      <c r="C100" s="68" t="n"/>
      <c r="D100" s="60" t="n"/>
      <c r="E100" s="63" t="n"/>
      <c r="F100" s="63" t="n"/>
      <c r="G100" s="62" t="str">
        <f>IF(B100="","",IFERROR(INDEX(fa_cname,MATCH(B100,fa_num,0))&amp;"",""))</f>
        <v/>
      </c>
      <c r="H100" s="59" t="str">
        <f>IF(COUNTA(A100:F100)=0,"",IF(A100="","Date manquante",IF(NOT(ISNUMBER(A100)),"Date invalide",IF(B100="","N° de facture manquant",IF(ISNA(MATCH(B100,fa_num,0)),"Facture inconnue",IF(INDEX(fa_type,MATCH(B100,fa_num,0))="Avoir","Paiement sur un avoir",IF(OR(NOT(ISNUMBER(C100)),N(C100)&lt;=0),"Montant invalide",IF(A100&lt;INDEX(fa_date,MATCH(B100,fa_num,0)),"Date antérieure à la facture",IF(SUMIF($B$6:B100,B100,$C$6:C100)&gt;INDEX(fa_ttc,MATCH(B100,fa_num,0))-N(INDEX(fa_avoirs,MATCH(B100,fa_num,0)))+0.001,"Dépasse le montant de la facture","OK")))))))))</f>
        <v/>
      </c>
    </row>
    <row r="101">
      <c r="A101" s="61" t="n"/>
      <c r="B101" s="60" t="n"/>
      <c r="C101" s="68" t="n"/>
      <c r="D101" s="60" t="n"/>
      <c r="E101" s="63" t="n"/>
      <c r="F101" s="63" t="n"/>
      <c r="G101" s="62" t="str">
        <f>IF(B101="","",IFERROR(INDEX(fa_cname,MATCH(B101,fa_num,0))&amp;"",""))</f>
        <v/>
      </c>
      <c r="H101" s="59" t="str">
        <f>IF(COUNTA(A101:F101)=0,"",IF(A101="","Date manquante",IF(NOT(ISNUMBER(A101)),"Date invalide",IF(B101="","N° de facture manquant",IF(ISNA(MATCH(B101,fa_num,0)),"Facture inconnue",IF(INDEX(fa_type,MATCH(B101,fa_num,0))="Avoir","Paiement sur un avoir",IF(OR(NOT(ISNUMBER(C101)),N(C101)&lt;=0),"Montant invalide",IF(A101&lt;INDEX(fa_date,MATCH(B101,fa_num,0)),"Date antérieure à la facture",IF(SUMIF($B$6:B101,B101,$C$6:C101)&gt;INDEX(fa_ttc,MATCH(B101,fa_num,0))-N(INDEX(fa_avoirs,MATCH(B101,fa_num,0)))+0.001,"Dépasse le montant de la facture","OK")))))))))</f>
        <v/>
      </c>
    </row>
    <row r="102">
      <c r="A102" s="61" t="n"/>
      <c r="B102" s="60" t="n"/>
      <c r="C102" s="68" t="n"/>
      <c r="D102" s="60" t="n"/>
      <c r="E102" s="63" t="n"/>
      <c r="F102" s="63" t="n"/>
      <c r="G102" s="62" t="str">
        <f>IF(B102="","",IFERROR(INDEX(fa_cname,MATCH(B102,fa_num,0))&amp;"",""))</f>
        <v/>
      </c>
      <c r="H102" s="59" t="str">
        <f>IF(COUNTA(A102:F102)=0,"",IF(A102="","Date manquante",IF(NOT(ISNUMBER(A102)),"Date invalide",IF(B102="","N° de facture manquant",IF(ISNA(MATCH(B102,fa_num,0)),"Facture inconnue",IF(INDEX(fa_type,MATCH(B102,fa_num,0))="Avoir","Paiement sur un avoir",IF(OR(NOT(ISNUMBER(C102)),N(C102)&lt;=0),"Montant invalide",IF(A102&lt;INDEX(fa_date,MATCH(B102,fa_num,0)),"Date antérieure à la facture",IF(SUMIF($B$6:B102,B102,$C$6:C102)&gt;INDEX(fa_ttc,MATCH(B102,fa_num,0))-N(INDEX(fa_avoirs,MATCH(B102,fa_num,0)))+0.001,"Dépasse le montant de la facture","OK")))))))))</f>
        <v/>
      </c>
    </row>
    <row r="103">
      <c r="A103" s="61" t="n"/>
      <c r="B103" s="60" t="n"/>
      <c r="C103" s="68" t="n"/>
      <c r="D103" s="60" t="n"/>
      <c r="E103" s="63" t="n"/>
      <c r="F103" s="63" t="n"/>
      <c r="G103" s="62" t="str">
        <f>IF(B103="","",IFERROR(INDEX(fa_cname,MATCH(B103,fa_num,0))&amp;"",""))</f>
        <v/>
      </c>
      <c r="H103" s="59" t="str">
        <f>IF(COUNTA(A103:F103)=0,"",IF(A103="","Date manquante",IF(NOT(ISNUMBER(A103)),"Date invalide",IF(B103="","N° de facture manquant",IF(ISNA(MATCH(B103,fa_num,0)),"Facture inconnue",IF(INDEX(fa_type,MATCH(B103,fa_num,0))="Avoir","Paiement sur un avoir",IF(OR(NOT(ISNUMBER(C103)),N(C103)&lt;=0),"Montant invalide",IF(A103&lt;INDEX(fa_date,MATCH(B103,fa_num,0)),"Date antérieure à la facture",IF(SUMIF($B$6:B103,B103,$C$6:C103)&gt;INDEX(fa_ttc,MATCH(B103,fa_num,0))-N(INDEX(fa_avoirs,MATCH(B103,fa_num,0)))+0.001,"Dépasse le montant de la facture","OK")))))))))</f>
        <v/>
      </c>
    </row>
    <row r="104">
      <c r="A104" s="61" t="n"/>
      <c r="B104" s="60" t="n"/>
      <c r="C104" s="68" t="n"/>
      <c r="D104" s="60" t="n"/>
      <c r="E104" s="63" t="n"/>
      <c r="F104" s="63" t="n"/>
      <c r="G104" s="62" t="str">
        <f>IF(B104="","",IFERROR(INDEX(fa_cname,MATCH(B104,fa_num,0))&amp;"",""))</f>
        <v/>
      </c>
      <c r="H104" s="59" t="str">
        <f>IF(COUNTA(A104:F104)=0,"",IF(A104="","Date manquante",IF(NOT(ISNUMBER(A104)),"Date invalide",IF(B104="","N° de facture manquant",IF(ISNA(MATCH(B104,fa_num,0)),"Facture inconnue",IF(INDEX(fa_type,MATCH(B104,fa_num,0))="Avoir","Paiement sur un avoir",IF(OR(NOT(ISNUMBER(C104)),N(C104)&lt;=0),"Montant invalide",IF(A104&lt;INDEX(fa_date,MATCH(B104,fa_num,0)),"Date antérieure à la facture",IF(SUMIF($B$6:B104,B104,$C$6:C104)&gt;INDEX(fa_ttc,MATCH(B104,fa_num,0))-N(INDEX(fa_avoirs,MATCH(B104,fa_num,0)))+0.001,"Dépasse le montant de la facture","OK")))))))))</f>
        <v/>
      </c>
    </row>
    <row r="105">
      <c r="A105" s="61" t="n"/>
      <c r="B105" s="60" t="n"/>
      <c r="C105" s="68" t="n"/>
      <c r="D105" s="60" t="n"/>
      <c r="E105" s="63" t="n"/>
      <c r="F105" s="63" t="n"/>
      <c r="G105" s="62" t="str">
        <f>IF(B105="","",IFERROR(INDEX(fa_cname,MATCH(B105,fa_num,0))&amp;"",""))</f>
        <v/>
      </c>
      <c r="H105" s="59" t="str">
        <f>IF(COUNTA(A105:F105)=0,"",IF(A105="","Date manquante",IF(NOT(ISNUMBER(A105)),"Date invalide",IF(B105="","N° de facture manquant",IF(ISNA(MATCH(B105,fa_num,0)),"Facture inconnue",IF(INDEX(fa_type,MATCH(B105,fa_num,0))="Avoir","Paiement sur un avoir",IF(OR(NOT(ISNUMBER(C105)),N(C105)&lt;=0),"Montant invalide",IF(A105&lt;INDEX(fa_date,MATCH(B105,fa_num,0)),"Date antérieure à la facture",IF(SUMIF($B$6:B105,B105,$C$6:C105)&gt;INDEX(fa_ttc,MATCH(B105,fa_num,0))-N(INDEX(fa_avoirs,MATCH(B105,fa_num,0)))+0.001,"Dépasse le montant de la facture","OK")))))))))</f>
        <v/>
      </c>
    </row>
    <row r="106">
      <c r="A106" s="61" t="n"/>
      <c r="B106" s="60" t="n"/>
      <c r="C106" s="68" t="n"/>
      <c r="D106" s="60" t="n"/>
      <c r="E106" s="63" t="n"/>
      <c r="F106" s="63" t="n"/>
      <c r="G106" s="62" t="str">
        <f>IF(B106="","",IFERROR(INDEX(fa_cname,MATCH(B106,fa_num,0))&amp;"",""))</f>
        <v/>
      </c>
      <c r="H106" s="59" t="str">
        <f>IF(COUNTA(A106:F106)=0,"",IF(A106="","Date manquante",IF(NOT(ISNUMBER(A106)),"Date invalide",IF(B106="","N° de facture manquant",IF(ISNA(MATCH(B106,fa_num,0)),"Facture inconnue",IF(INDEX(fa_type,MATCH(B106,fa_num,0))="Avoir","Paiement sur un avoir",IF(OR(NOT(ISNUMBER(C106)),N(C106)&lt;=0),"Montant invalide",IF(A106&lt;INDEX(fa_date,MATCH(B106,fa_num,0)),"Date antérieure à la facture",IF(SUMIF($B$6:B106,B106,$C$6:C106)&gt;INDEX(fa_ttc,MATCH(B106,fa_num,0))-N(INDEX(fa_avoirs,MATCH(B106,fa_num,0)))+0.001,"Dépasse le montant de la facture","OK")))))))))</f>
        <v/>
      </c>
    </row>
    <row r="107">
      <c r="A107" s="61" t="n"/>
      <c r="B107" s="60" t="n"/>
      <c r="C107" s="68" t="n"/>
      <c r="D107" s="60" t="n"/>
      <c r="E107" s="63" t="n"/>
      <c r="F107" s="63" t="n"/>
      <c r="G107" s="62" t="str">
        <f>IF(B107="","",IFERROR(INDEX(fa_cname,MATCH(B107,fa_num,0))&amp;"",""))</f>
        <v/>
      </c>
      <c r="H107" s="59" t="str">
        <f>IF(COUNTA(A107:F107)=0,"",IF(A107="","Date manquante",IF(NOT(ISNUMBER(A107)),"Date invalide",IF(B107="","N° de facture manquant",IF(ISNA(MATCH(B107,fa_num,0)),"Facture inconnue",IF(INDEX(fa_type,MATCH(B107,fa_num,0))="Avoir","Paiement sur un avoir",IF(OR(NOT(ISNUMBER(C107)),N(C107)&lt;=0),"Montant invalide",IF(A107&lt;INDEX(fa_date,MATCH(B107,fa_num,0)),"Date antérieure à la facture",IF(SUMIF($B$6:B107,B107,$C$6:C107)&gt;INDEX(fa_ttc,MATCH(B107,fa_num,0))-N(INDEX(fa_avoirs,MATCH(B107,fa_num,0)))+0.001,"Dépasse le montant de la facture","OK")))))))))</f>
        <v/>
      </c>
    </row>
    <row r="108">
      <c r="A108" s="61" t="n"/>
      <c r="B108" s="60" t="n"/>
      <c r="C108" s="68" t="n"/>
      <c r="D108" s="60" t="n"/>
      <c r="E108" s="63" t="n"/>
      <c r="F108" s="63" t="n"/>
      <c r="G108" s="62" t="str">
        <f>IF(B108="","",IFERROR(INDEX(fa_cname,MATCH(B108,fa_num,0))&amp;"",""))</f>
        <v/>
      </c>
      <c r="H108" s="59" t="str">
        <f>IF(COUNTA(A108:F108)=0,"",IF(A108="","Date manquante",IF(NOT(ISNUMBER(A108)),"Date invalide",IF(B108="","N° de facture manquant",IF(ISNA(MATCH(B108,fa_num,0)),"Facture inconnue",IF(INDEX(fa_type,MATCH(B108,fa_num,0))="Avoir","Paiement sur un avoir",IF(OR(NOT(ISNUMBER(C108)),N(C108)&lt;=0),"Montant invalide",IF(A108&lt;INDEX(fa_date,MATCH(B108,fa_num,0)),"Date antérieure à la facture",IF(SUMIF($B$6:B108,B108,$C$6:C108)&gt;INDEX(fa_ttc,MATCH(B108,fa_num,0))-N(INDEX(fa_avoirs,MATCH(B108,fa_num,0)))+0.001,"Dépasse le montant de la facture","OK")))))))))</f>
        <v/>
      </c>
    </row>
    <row r="109">
      <c r="A109" s="61" t="n"/>
      <c r="B109" s="60" t="n"/>
      <c r="C109" s="68" t="n"/>
      <c r="D109" s="60" t="n"/>
      <c r="E109" s="63" t="n"/>
      <c r="F109" s="63" t="n"/>
      <c r="G109" s="62" t="str">
        <f>IF(B109="","",IFERROR(INDEX(fa_cname,MATCH(B109,fa_num,0))&amp;"",""))</f>
        <v/>
      </c>
      <c r="H109" s="59" t="str">
        <f>IF(COUNTA(A109:F109)=0,"",IF(A109="","Date manquante",IF(NOT(ISNUMBER(A109)),"Date invalide",IF(B109="","N° de facture manquant",IF(ISNA(MATCH(B109,fa_num,0)),"Facture inconnue",IF(INDEX(fa_type,MATCH(B109,fa_num,0))="Avoir","Paiement sur un avoir",IF(OR(NOT(ISNUMBER(C109)),N(C109)&lt;=0),"Montant invalide",IF(A109&lt;INDEX(fa_date,MATCH(B109,fa_num,0)),"Date antérieure à la facture",IF(SUMIF($B$6:B109,B109,$C$6:C109)&gt;INDEX(fa_ttc,MATCH(B109,fa_num,0))-N(INDEX(fa_avoirs,MATCH(B109,fa_num,0)))+0.001,"Dépasse le montant de la facture","OK")))))))))</f>
        <v/>
      </c>
    </row>
    <row r="110">
      <c r="A110" s="61" t="n"/>
      <c r="B110" s="60" t="n"/>
      <c r="C110" s="68" t="n"/>
      <c r="D110" s="60" t="n"/>
      <c r="E110" s="63" t="n"/>
      <c r="F110" s="63" t="n"/>
      <c r="G110" s="62" t="str">
        <f>IF(B110="","",IFERROR(INDEX(fa_cname,MATCH(B110,fa_num,0))&amp;"",""))</f>
        <v/>
      </c>
      <c r="H110" s="59" t="str">
        <f>IF(COUNTA(A110:F110)=0,"",IF(A110="","Date manquante",IF(NOT(ISNUMBER(A110)),"Date invalide",IF(B110="","N° de facture manquant",IF(ISNA(MATCH(B110,fa_num,0)),"Facture inconnue",IF(INDEX(fa_type,MATCH(B110,fa_num,0))="Avoir","Paiement sur un avoir",IF(OR(NOT(ISNUMBER(C110)),N(C110)&lt;=0),"Montant invalide",IF(A110&lt;INDEX(fa_date,MATCH(B110,fa_num,0)),"Date antérieure à la facture",IF(SUMIF($B$6:B110,B110,$C$6:C110)&gt;INDEX(fa_ttc,MATCH(B110,fa_num,0))-N(INDEX(fa_avoirs,MATCH(B110,fa_num,0)))+0.001,"Dépasse le montant de la facture","OK")))))))))</f>
        <v/>
      </c>
    </row>
    <row r="111">
      <c r="A111" s="61" t="n"/>
      <c r="B111" s="60" t="n"/>
      <c r="C111" s="68" t="n"/>
      <c r="D111" s="60" t="n"/>
      <c r="E111" s="63" t="n"/>
      <c r="F111" s="63" t="n"/>
      <c r="G111" s="62" t="str">
        <f>IF(B111="","",IFERROR(INDEX(fa_cname,MATCH(B111,fa_num,0))&amp;"",""))</f>
        <v/>
      </c>
      <c r="H111" s="59" t="str">
        <f>IF(COUNTA(A111:F111)=0,"",IF(A111="","Date manquante",IF(NOT(ISNUMBER(A111)),"Date invalide",IF(B111="","N° de facture manquant",IF(ISNA(MATCH(B111,fa_num,0)),"Facture inconnue",IF(INDEX(fa_type,MATCH(B111,fa_num,0))="Avoir","Paiement sur un avoir",IF(OR(NOT(ISNUMBER(C111)),N(C111)&lt;=0),"Montant invalide",IF(A111&lt;INDEX(fa_date,MATCH(B111,fa_num,0)),"Date antérieure à la facture",IF(SUMIF($B$6:B111,B111,$C$6:C111)&gt;INDEX(fa_ttc,MATCH(B111,fa_num,0))-N(INDEX(fa_avoirs,MATCH(B111,fa_num,0)))+0.001,"Dépasse le montant de la facture","OK")))))))))</f>
        <v/>
      </c>
    </row>
    <row r="112">
      <c r="A112" s="61" t="n"/>
      <c r="B112" s="60" t="n"/>
      <c r="C112" s="68" t="n"/>
      <c r="D112" s="60" t="n"/>
      <c r="E112" s="63" t="n"/>
      <c r="F112" s="63" t="n"/>
      <c r="G112" s="62" t="str">
        <f>IF(B112="","",IFERROR(INDEX(fa_cname,MATCH(B112,fa_num,0))&amp;"",""))</f>
        <v/>
      </c>
      <c r="H112" s="59" t="str">
        <f>IF(COUNTA(A112:F112)=0,"",IF(A112="","Date manquante",IF(NOT(ISNUMBER(A112)),"Date invalide",IF(B112="","N° de facture manquant",IF(ISNA(MATCH(B112,fa_num,0)),"Facture inconnue",IF(INDEX(fa_type,MATCH(B112,fa_num,0))="Avoir","Paiement sur un avoir",IF(OR(NOT(ISNUMBER(C112)),N(C112)&lt;=0),"Montant invalide",IF(A112&lt;INDEX(fa_date,MATCH(B112,fa_num,0)),"Date antérieure à la facture",IF(SUMIF($B$6:B112,B112,$C$6:C112)&gt;INDEX(fa_ttc,MATCH(B112,fa_num,0))-N(INDEX(fa_avoirs,MATCH(B112,fa_num,0)))+0.001,"Dépasse le montant de la facture","OK")))))))))</f>
        <v/>
      </c>
    </row>
    <row r="113">
      <c r="A113" s="61" t="n"/>
      <c r="B113" s="60" t="n"/>
      <c r="C113" s="68" t="n"/>
      <c r="D113" s="60" t="n"/>
      <c r="E113" s="63" t="n"/>
      <c r="F113" s="63" t="n"/>
      <c r="G113" s="62" t="str">
        <f>IF(B113="","",IFERROR(INDEX(fa_cname,MATCH(B113,fa_num,0))&amp;"",""))</f>
        <v/>
      </c>
      <c r="H113" s="59" t="str">
        <f>IF(COUNTA(A113:F113)=0,"",IF(A113="","Date manquante",IF(NOT(ISNUMBER(A113)),"Date invalide",IF(B113="","N° de facture manquant",IF(ISNA(MATCH(B113,fa_num,0)),"Facture inconnue",IF(INDEX(fa_type,MATCH(B113,fa_num,0))="Avoir","Paiement sur un avoir",IF(OR(NOT(ISNUMBER(C113)),N(C113)&lt;=0),"Montant invalide",IF(A113&lt;INDEX(fa_date,MATCH(B113,fa_num,0)),"Date antérieure à la facture",IF(SUMIF($B$6:B113,B113,$C$6:C113)&gt;INDEX(fa_ttc,MATCH(B113,fa_num,0))-N(INDEX(fa_avoirs,MATCH(B113,fa_num,0)))+0.001,"Dépasse le montant de la facture","OK")))))))))</f>
        <v/>
      </c>
    </row>
    <row r="114">
      <c r="A114" s="61" t="n"/>
      <c r="B114" s="60" t="n"/>
      <c r="C114" s="68" t="n"/>
      <c r="D114" s="60" t="n"/>
      <c r="E114" s="63" t="n"/>
      <c r="F114" s="63" t="n"/>
      <c r="G114" s="62" t="str">
        <f>IF(B114="","",IFERROR(INDEX(fa_cname,MATCH(B114,fa_num,0))&amp;"",""))</f>
        <v/>
      </c>
      <c r="H114" s="59" t="str">
        <f>IF(COUNTA(A114:F114)=0,"",IF(A114="","Date manquante",IF(NOT(ISNUMBER(A114)),"Date invalide",IF(B114="","N° de facture manquant",IF(ISNA(MATCH(B114,fa_num,0)),"Facture inconnue",IF(INDEX(fa_type,MATCH(B114,fa_num,0))="Avoir","Paiement sur un avoir",IF(OR(NOT(ISNUMBER(C114)),N(C114)&lt;=0),"Montant invalide",IF(A114&lt;INDEX(fa_date,MATCH(B114,fa_num,0)),"Date antérieure à la facture",IF(SUMIF($B$6:B114,B114,$C$6:C114)&gt;INDEX(fa_ttc,MATCH(B114,fa_num,0))-N(INDEX(fa_avoirs,MATCH(B114,fa_num,0)))+0.001,"Dépasse le montant de la facture","OK")))))))))</f>
        <v/>
      </c>
    </row>
    <row r="115">
      <c r="A115" s="61" t="n"/>
      <c r="B115" s="60" t="n"/>
      <c r="C115" s="68" t="n"/>
      <c r="D115" s="60" t="n"/>
      <c r="E115" s="63" t="n"/>
      <c r="F115" s="63" t="n"/>
      <c r="G115" s="62" t="str">
        <f>IF(B115="","",IFERROR(INDEX(fa_cname,MATCH(B115,fa_num,0))&amp;"",""))</f>
        <v/>
      </c>
      <c r="H115" s="59" t="str">
        <f>IF(COUNTA(A115:F115)=0,"",IF(A115="","Date manquante",IF(NOT(ISNUMBER(A115)),"Date invalide",IF(B115="","N° de facture manquant",IF(ISNA(MATCH(B115,fa_num,0)),"Facture inconnue",IF(INDEX(fa_type,MATCH(B115,fa_num,0))="Avoir","Paiement sur un avoir",IF(OR(NOT(ISNUMBER(C115)),N(C115)&lt;=0),"Montant invalide",IF(A115&lt;INDEX(fa_date,MATCH(B115,fa_num,0)),"Date antérieure à la facture",IF(SUMIF($B$6:B115,B115,$C$6:C115)&gt;INDEX(fa_ttc,MATCH(B115,fa_num,0))-N(INDEX(fa_avoirs,MATCH(B115,fa_num,0)))+0.001,"Dépasse le montant de la facture","OK")))))))))</f>
        <v/>
      </c>
    </row>
    <row r="116">
      <c r="A116" s="61" t="n"/>
      <c r="B116" s="60" t="n"/>
      <c r="C116" s="68" t="n"/>
      <c r="D116" s="60" t="n"/>
      <c r="E116" s="63" t="n"/>
      <c r="F116" s="63" t="n"/>
      <c r="G116" s="62" t="str">
        <f>IF(B116="","",IFERROR(INDEX(fa_cname,MATCH(B116,fa_num,0))&amp;"",""))</f>
        <v/>
      </c>
      <c r="H116" s="59" t="str">
        <f>IF(COUNTA(A116:F116)=0,"",IF(A116="","Date manquante",IF(NOT(ISNUMBER(A116)),"Date invalide",IF(B116="","N° de facture manquant",IF(ISNA(MATCH(B116,fa_num,0)),"Facture inconnue",IF(INDEX(fa_type,MATCH(B116,fa_num,0))="Avoir","Paiement sur un avoir",IF(OR(NOT(ISNUMBER(C116)),N(C116)&lt;=0),"Montant invalide",IF(A116&lt;INDEX(fa_date,MATCH(B116,fa_num,0)),"Date antérieure à la facture",IF(SUMIF($B$6:B116,B116,$C$6:C116)&gt;INDEX(fa_ttc,MATCH(B116,fa_num,0))-N(INDEX(fa_avoirs,MATCH(B116,fa_num,0)))+0.001,"Dépasse le montant de la facture","OK")))))))))</f>
        <v/>
      </c>
    </row>
    <row r="117">
      <c r="A117" s="61" t="n"/>
      <c r="B117" s="60" t="n"/>
      <c r="C117" s="68" t="n"/>
      <c r="D117" s="60" t="n"/>
      <c r="E117" s="63" t="n"/>
      <c r="F117" s="63" t="n"/>
      <c r="G117" s="62" t="str">
        <f>IF(B117="","",IFERROR(INDEX(fa_cname,MATCH(B117,fa_num,0))&amp;"",""))</f>
        <v/>
      </c>
      <c r="H117" s="59" t="str">
        <f>IF(COUNTA(A117:F117)=0,"",IF(A117="","Date manquante",IF(NOT(ISNUMBER(A117)),"Date invalide",IF(B117="","N° de facture manquant",IF(ISNA(MATCH(B117,fa_num,0)),"Facture inconnue",IF(INDEX(fa_type,MATCH(B117,fa_num,0))="Avoir","Paiement sur un avoir",IF(OR(NOT(ISNUMBER(C117)),N(C117)&lt;=0),"Montant invalide",IF(A117&lt;INDEX(fa_date,MATCH(B117,fa_num,0)),"Date antérieure à la facture",IF(SUMIF($B$6:B117,B117,$C$6:C117)&gt;INDEX(fa_ttc,MATCH(B117,fa_num,0))-N(INDEX(fa_avoirs,MATCH(B117,fa_num,0)))+0.001,"Dépasse le montant de la facture","OK")))))))))</f>
        <v/>
      </c>
    </row>
    <row r="118">
      <c r="A118" s="61" t="n"/>
      <c r="B118" s="60" t="n"/>
      <c r="C118" s="68" t="n"/>
      <c r="D118" s="60" t="n"/>
      <c r="E118" s="63" t="n"/>
      <c r="F118" s="63" t="n"/>
      <c r="G118" s="62" t="str">
        <f>IF(B118="","",IFERROR(INDEX(fa_cname,MATCH(B118,fa_num,0))&amp;"",""))</f>
        <v/>
      </c>
      <c r="H118" s="59" t="str">
        <f>IF(COUNTA(A118:F118)=0,"",IF(A118="","Date manquante",IF(NOT(ISNUMBER(A118)),"Date invalide",IF(B118="","N° de facture manquant",IF(ISNA(MATCH(B118,fa_num,0)),"Facture inconnue",IF(INDEX(fa_type,MATCH(B118,fa_num,0))="Avoir","Paiement sur un avoir",IF(OR(NOT(ISNUMBER(C118)),N(C118)&lt;=0),"Montant invalide",IF(A118&lt;INDEX(fa_date,MATCH(B118,fa_num,0)),"Date antérieure à la facture",IF(SUMIF($B$6:B118,B118,$C$6:C118)&gt;INDEX(fa_ttc,MATCH(B118,fa_num,0))-N(INDEX(fa_avoirs,MATCH(B118,fa_num,0)))+0.001,"Dépasse le montant de la facture","OK")))))))))</f>
        <v/>
      </c>
    </row>
    <row r="119">
      <c r="A119" s="61" t="n"/>
      <c r="B119" s="60" t="n"/>
      <c r="C119" s="68" t="n"/>
      <c r="D119" s="60" t="n"/>
      <c r="E119" s="63" t="n"/>
      <c r="F119" s="63" t="n"/>
      <c r="G119" s="62" t="str">
        <f>IF(B119="","",IFERROR(INDEX(fa_cname,MATCH(B119,fa_num,0))&amp;"",""))</f>
        <v/>
      </c>
      <c r="H119" s="59" t="str">
        <f>IF(COUNTA(A119:F119)=0,"",IF(A119="","Date manquante",IF(NOT(ISNUMBER(A119)),"Date invalide",IF(B119="","N° de facture manquant",IF(ISNA(MATCH(B119,fa_num,0)),"Facture inconnue",IF(INDEX(fa_type,MATCH(B119,fa_num,0))="Avoir","Paiement sur un avoir",IF(OR(NOT(ISNUMBER(C119)),N(C119)&lt;=0),"Montant invalide",IF(A119&lt;INDEX(fa_date,MATCH(B119,fa_num,0)),"Date antérieure à la facture",IF(SUMIF($B$6:B119,B119,$C$6:C119)&gt;INDEX(fa_ttc,MATCH(B119,fa_num,0))-N(INDEX(fa_avoirs,MATCH(B119,fa_num,0)))+0.001,"Dépasse le montant de la facture","OK")))))))))</f>
        <v/>
      </c>
    </row>
    <row r="120">
      <c r="A120" s="61" t="n"/>
      <c r="B120" s="60" t="n"/>
      <c r="C120" s="68" t="n"/>
      <c r="D120" s="60" t="n"/>
      <c r="E120" s="63" t="n"/>
      <c r="F120" s="63" t="n"/>
      <c r="G120" s="62" t="str">
        <f>IF(B120="","",IFERROR(INDEX(fa_cname,MATCH(B120,fa_num,0))&amp;"",""))</f>
        <v/>
      </c>
      <c r="H120" s="59" t="str">
        <f>IF(COUNTA(A120:F120)=0,"",IF(A120="","Date manquante",IF(NOT(ISNUMBER(A120)),"Date invalide",IF(B120="","N° de facture manquant",IF(ISNA(MATCH(B120,fa_num,0)),"Facture inconnue",IF(INDEX(fa_type,MATCH(B120,fa_num,0))="Avoir","Paiement sur un avoir",IF(OR(NOT(ISNUMBER(C120)),N(C120)&lt;=0),"Montant invalide",IF(A120&lt;INDEX(fa_date,MATCH(B120,fa_num,0)),"Date antérieure à la facture",IF(SUMIF($B$6:B120,B120,$C$6:C120)&gt;INDEX(fa_ttc,MATCH(B120,fa_num,0))-N(INDEX(fa_avoirs,MATCH(B120,fa_num,0)))+0.001,"Dépasse le montant de la facture","OK")))))))))</f>
        <v/>
      </c>
    </row>
    <row r="121">
      <c r="A121" s="61" t="n"/>
      <c r="B121" s="60" t="n"/>
      <c r="C121" s="68" t="n"/>
      <c r="D121" s="60" t="n"/>
      <c r="E121" s="63" t="n"/>
      <c r="F121" s="63" t="n"/>
      <c r="G121" s="62" t="str">
        <f>IF(B121="","",IFERROR(INDEX(fa_cname,MATCH(B121,fa_num,0))&amp;"",""))</f>
        <v/>
      </c>
      <c r="H121" s="59" t="str">
        <f>IF(COUNTA(A121:F121)=0,"",IF(A121="","Date manquante",IF(NOT(ISNUMBER(A121)),"Date invalide",IF(B121="","N° de facture manquant",IF(ISNA(MATCH(B121,fa_num,0)),"Facture inconnue",IF(INDEX(fa_type,MATCH(B121,fa_num,0))="Avoir","Paiement sur un avoir",IF(OR(NOT(ISNUMBER(C121)),N(C121)&lt;=0),"Montant invalide",IF(A121&lt;INDEX(fa_date,MATCH(B121,fa_num,0)),"Date antérieure à la facture",IF(SUMIF($B$6:B121,B121,$C$6:C121)&gt;INDEX(fa_ttc,MATCH(B121,fa_num,0))-N(INDEX(fa_avoirs,MATCH(B121,fa_num,0)))+0.001,"Dépasse le montant de la facture","OK")))))))))</f>
        <v/>
      </c>
    </row>
    <row r="122">
      <c r="A122" s="61" t="n"/>
      <c r="B122" s="60" t="n"/>
      <c r="C122" s="68" t="n"/>
      <c r="D122" s="60" t="n"/>
      <c r="E122" s="63" t="n"/>
      <c r="F122" s="63" t="n"/>
      <c r="G122" s="62" t="str">
        <f>IF(B122="","",IFERROR(INDEX(fa_cname,MATCH(B122,fa_num,0))&amp;"",""))</f>
        <v/>
      </c>
      <c r="H122" s="59" t="str">
        <f>IF(COUNTA(A122:F122)=0,"",IF(A122="","Date manquante",IF(NOT(ISNUMBER(A122)),"Date invalide",IF(B122="","N° de facture manquant",IF(ISNA(MATCH(B122,fa_num,0)),"Facture inconnue",IF(INDEX(fa_type,MATCH(B122,fa_num,0))="Avoir","Paiement sur un avoir",IF(OR(NOT(ISNUMBER(C122)),N(C122)&lt;=0),"Montant invalide",IF(A122&lt;INDEX(fa_date,MATCH(B122,fa_num,0)),"Date antérieure à la facture",IF(SUMIF($B$6:B122,B122,$C$6:C122)&gt;INDEX(fa_ttc,MATCH(B122,fa_num,0))-N(INDEX(fa_avoirs,MATCH(B122,fa_num,0)))+0.001,"Dépasse le montant de la facture","OK")))))))))</f>
        <v/>
      </c>
    </row>
    <row r="123">
      <c r="A123" s="61" t="n"/>
      <c r="B123" s="60" t="n"/>
      <c r="C123" s="68" t="n"/>
      <c r="D123" s="60" t="n"/>
      <c r="E123" s="63" t="n"/>
      <c r="F123" s="63" t="n"/>
      <c r="G123" s="62" t="str">
        <f>IF(B123="","",IFERROR(INDEX(fa_cname,MATCH(B123,fa_num,0))&amp;"",""))</f>
        <v/>
      </c>
      <c r="H123" s="59" t="str">
        <f>IF(COUNTA(A123:F123)=0,"",IF(A123="","Date manquante",IF(NOT(ISNUMBER(A123)),"Date invalide",IF(B123="","N° de facture manquant",IF(ISNA(MATCH(B123,fa_num,0)),"Facture inconnue",IF(INDEX(fa_type,MATCH(B123,fa_num,0))="Avoir","Paiement sur un avoir",IF(OR(NOT(ISNUMBER(C123)),N(C123)&lt;=0),"Montant invalide",IF(A123&lt;INDEX(fa_date,MATCH(B123,fa_num,0)),"Date antérieure à la facture",IF(SUMIF($B$6:B123,B123,$C$6:C123)&gt;INDEX(fa_ttc,MATCH(B123,fa_num,0))-N(INDEX(fa_avoirs,MATCH(B123,fa_num,0)))+0.001,"Dépasse le montant de la facture","OK")))))))))</f>
        <v/>
      </c>
    </row>
    <row r="124">
      <c r="A124" s="61" t="n"/>
      <c r="B124" s="60" t="n"/>
      <c r="C124" s="68" t="n"/>
      <c r="D124" s="60" t="n"/>
      <c r="E124" s="63" t="n"/>
      <c r="F124" s="63" t="n"/>
      <c r="G124" s="62" t="str">
        <f>IF(B124="","",IFERROR(INDEX(fa_cname,MATCH(B124,fa_num,0))&amp;"",""))</f>
        <v/>
      </c>
      <c r="H124" s="59" t="str">
        <f>IF(COUNTA(A124:F124)=0,"",IF(A124="","Date manquante",IF(NOT(ISNUMBER(A124)),"Date invalide",IF(B124="","N° de facture manquant",IF(ISNA(MATCH(B124,fa_num,0)),"Facture inconnue",IF(INDEX(fa_type,MATCH(B124,fa_num,0))="Avoir","Paiement sur un avoir",IF(OR(NOT(ISNUMBER(C124)),N(C124)&lt;=0),"Montant invalide",IF(A124&lt;INDEX(fa_date,MATCH(B124,fa_num,0)),"Date antérieure à la facture",IF(SUMIF($B$6:B124,B124,$C$6:C124)&gt;INDEX(fa_ttc,MATCH(B124,fa_num,0))-N(INDEX(fa_avoirs,MATCH(B124,fa_num,0)))+0.001,"Dépasse le montant de la facture","OK")))))))))</f>
        <v/>
      </c>
    </row>
    <row r="125">
      <c r="A125" s="61" t="n"/>
      <c r="B125" s="60" t="n"/>
      <c r="C125" s="68" t="n"/>
      <c r="D125" s="60" t="n"/>
      <c r="E125" s="63" t="n"/>
      <c r="F125" s="63" t="n"/>
      <c r="G125" s="62" t="str">
        <f>IF(B125="","",IFERROR(INDEX(fa_cname,MATCH(B125,fa_num,0))&amp;"",""))</f>
        <v/>
      </c>
      <c r="H125" s="59" t="str">
        <f>IF(COUNTA(A125:F125)=0,"",IF(A125="","Date manquante",IF(NOT(ISNUMBER(A125)),"Date invalide",IF(B125="","N° de facture manquant",IF(ISNA(MATCH(B125,fa_num,0)),"Facture inconnue",IF(INDEX(fa_type,MATCH(B125,fa_num,0))="Avoir","Paiement sur un avoir",IF(OR(NOT(ISNUMBER(C125)),N(C125)&lt;=0),"Montant invalide",IF(A125&lt;INDEX(fa_date,MATCH(B125,fa_num,0)),"Date antérieure à la facture",IF(SUMIF($B$6:B125,B125,$C$6:C125)&gt;INDEX(fa_ttc,MATCH(B125,fa_num,0))-N(INDEX(fa_avoirs,MATCH(B125,fa_num,0)))+0.001,"Dépasse le montant de la facture","OK")))))))))</f>
        <v/>
      </c>
    </row>
    <row r="126">
      <c r="A126" s="61" t="n"/>
      <c r="B126" s="60" t="n"/>
      <c r="C126" s="68" t="n"/>
      <c r="D126" s="60" t="n"/>
      <c r="E126" s="63" t="n"/>
      <c r="F126" s="63" t="n"/>
      <c r="G126" s="62" t="str">
        <f>IF(B126="","",IFERROR(INDEX(fa_cname,MATCH(B126,fa_num,0))&amp;"",""))</f>
        <v/>
      </c>
      <c r="H126" s="59" t="str">
        <f>IF(COUNTA(A126:F126)=0,"",IF(A126="","Date manquante",IF(NOT(ISNUMBER(A126)),"Date invalide",IF(B126="","N° de facture manquant",IF(ISNA(MATCH(B126,fa_num,0)),"Facture inconnue",IF(INDEX(fa_type,MATCH(B126,fa_num,0))="Avoir","Paiement sur un avoir",IF(OR(NOT(ISNUMBER(C126)),N(C126)&lt;=0),"Montant invalide",IF(A126&lt;INDEX(fa_date,MATCH(B126,fa_num,0)),"Date antérieure à la facture",IF(SUMIF($B$6:B126,B126,$C$6:C126)&gt;INDEX(fa_ttc,MATCH(B126,fa_num,0))-N(INDEX(fa_avoirs,MATCH(B126,fa_num,0)))+0.001,"Dépasse le montant de la facture","OK")))))))))</f>
        <v/>
      </c>
    </row>
    <row r="127">
      <c r="A127" s="61" t="n"/>
      <c r="B127" s="60" t="n"/>
      <c r="C127" s="68" t="n"/>
      <c r="D127" s="60" t="n"/>
      <c r="E127" s="63" t="n"/>
      <c r="F127" s="63" t="n"/>
      <c r="G127" s="62" t="str">
        <f>IF(B127="","",IFERROR(INDEX(fa_cname,MATCH(B127,fa_num,0))&amp;"",""))</f>
        <v/>
      </c>
      <c r="H127" s="59" t="str">
        <f>IF(COUNTA(A127:F127)=0,"",IF(A127="","Date manquante",IF(NOT(ISNUMBER(A127)),"Date invalide",IF(B127="","N° de facture manquant",IF(ISNA(MATCH(B127,fa_num,0)),"Facture inconnue",IF(INDEX(fa_type,MATCH(B127,fa_num,0))="Avoir","Paiement sur un avoir",IF(OR(NOT(ISNUMBER(C127)),N(C127)&lt;=0),"Montant invalide",IF(A127&lt;INDEX(fa_date,MATCH(B127,fa_num,0)),"Date antérieure à la facture",IF(SUMIF($B$6:B127,B127,$C$6:C127)&gt;INDEX(fa_ttc,MATCH(B127,fa_num,0))-N(INDEX(fa_avoirs,MATCH(B127,fa_num,0)))+0.001,"Dépasse le montant de la facture","OK")))))))))</f>
        <v/>
      </c>
    </row>
    <row r="128">
      <c r="A128" s="61" t="n"/>
      <c r="B128" s="60" t="n"/>
      <c r="C128" s="68" t="n"/>
      <c r="D128" s="60" t="n"/>
      <c r="E128" s="63" t="n"/>
      <c r="F128" s="63" t="n"/>
      <c r="G128" s="62" t="str">
        <f>IF(B128="","",IFERROR(INDEX(fa_cname,MATCH(B128,fa_num,0))&amp;"",""))</f>
        <v/>
      </c>
      <c r="H128" s="59" t="str">
        <f>IF(COUNTA(A128:F128)=0,"",IF(A128="","Date manquante",IF(NOT(ISNUMBER(A128)),"Date invalide",IF(B128="","N° de facture manquant",IF(ISNA(MATCH(B128,fa_num,0)),"Facture inconnue",IF(INDEX(fa_type,MATCH(B128,fa_num,0))="Avoir","Paiement sur un avoir",IF(OR(NOT(ISNUMBER(C128)),N(C128)&lt;=0),"Montant invalide",IF(A128&lt;INDEX(fa_date,MATCH(B128,fa_num,0)),"Date antérieure à la facture",IF(SUMIF($B$6:B128,B128,$C$6:C128)&gt;INDEX(fa_ttc,MATCH(B128,fa_num,0))-N(INDEX(fa_avoirs,MATCH(B128,fa_num,0)))+0.001,"Dépasse le montant de la facture","OK")))))))))</f>
        <v/>
      </c>
    </row>
    <row r="129">
      <c r="A129" s="61" t="n"/>
      <c r="B129" s="60" t="n"/>
      <c r="C129" s="68" t="n"/>
      <c r="D129" s="60" t="n"/>
      <c r="E129" s="63" t="n"/>
      <c r="F129" s="63" t="n"/>
      <c r="G129" s="62" t="str">
        <f>IF(B129="","",IFERROR(INDEX(fa_cname,MATCH(B129,fa_num,0))&amp;"",""))</f>
        <v/>
      </c>
      <c r="H129" s="59" t="str">
        <f>IF(COUNTA(A129:F129)=0,"",IF(A129="","Date manquante",IF(NOT(ISNUMBER(A129)),"Date invalide",IF(B129="","N° de facture manquant",IF(ISNA(MATCH(B129,fa_num,0)),"Facture inconnue",IF(INDEX(fa_type,MATCH(B129,fa_num,0))="Avoir","Paiement sur un avoir",IF(OR(NOT(ISNUMBER(C129)),N(C129)&lt;=0),"Montant invalide",IF(A129&lt;INDEX(fa_date,MATCH(B129,fa_num,0)),"Date antérieure à la facture",IF(SUMIF($B$6:B129,B129,$C$6:C129)&gt;INDEX(fa_ttc,MATCH(B129,fa_num,0))-N(INDEX(fa_avoirs,MATCH(B129,fa_num,0)))+0.001,"Dépasse le montant de la facture","OK")))))))))</f>
        <v/>
      </c>
    </row>
    <row r="130">
      <c r="A130" s="61" t="n"/>
      <c r="B130" s="60" t="n"/>
      <c r="C130" s="68" t="n"/>
      <c r="D130" s="60" t="n"/>
      <c r="E130" s="63" t="n"/>
      <c r="F130" s="63" t="n"/>
      <c r="G130" s="62" t="str">
        <f>IF(B130="","",IFERROR(INDEX(fa_cname,MATCH(B130,fa_num,0))&amp;"",""))</f>
        <v/>
      </c>
      <c r="H130" s="59" t="str">
        <f>IF(COUNTA(A130:F130)=0,"",IF(A130="","Date manquante",IF(NOT(ISNUMBER(A130)),"Date invalide",IF(B130="","N° de facture manquant",IF(ISNA(MATCH(B130,fa_num,0)),"Facture inconnue",IF(INDEX(fa_type,MATCH(B130,fa_num,0))="Avoir","Paiement sur un avoir",IF(OR(NOT(ISNUMBER(C130)),N(C130)&lt;=0),"Montant invalide",IF(A130&lt;INDEX(fa_date,MATCH(B130,fa_num,0)),"Date antérieure à la facture",IF(SUMIF($B$6:B130,B130,$C$6:C130)&gt;INDEX(fa_ttc,MATCH(B130,fa_num,0))-N(INDEX(fa_avoirs,MATCH(B130,fa_num,0)))+0.001,"Dépasse le montant de la facture","OK")))))))))</f>
        <v/>
      </c>
    </row>
    <row r="131">
      <c r="A131" s="61" t="n"/>
      <c r="B131" s="60" t="n"/>
      <c r="C131" s="68" t="n"/>
      <c r="D131" s="60" t="n"/>
      <c r="E131" s="63" t="n"/>
      <c r="F131" s="63" t="n"/>
      <c r="G131" s="62" t="str">
        <f>IF(B131="","",IFERROR(INDEX(fa_cname,MATCH(B131,fa_num,0))&amp;"",""))</f>
        <v/>
      </c>
      <c r="H131" s="59" t="str">
        <f>IF(COUNTA(A131:F131)=0,"",IF(A131="","Date manquante",IF(NOT(ISNUMBER(A131)),"Date invalide",IF(B131="","N° de facture manquant",IF(ISNA(MATCH(B131,fa_num,0)),"Facture inconnue",IF(INDEX(fa_type,MATCH(B131,fa_num,0))="Avoir","Paiement sur un avoir",IF(OR(NOT(ISNUMBER(C131)),N(C131)&lt;=0),"Montant invalide",IF(A131&lt;INDEX(fa_date,MATCH(B131,fa_num,0)),"Date antérieure à la facture",IF(SUMIF($B$6:B131,B131,$C$6:C131)&gt;INDEX(fa_ttc,MATCH(B131,fa_num,0))-N(INDEX(fa_avoirs,MATCH(B131,fa_num,0)))+0.001,"Dépasse le montant de la facture","OK")))))))))</f>
        <v/>
      </c>
    </row>
    <row r="132">
      <c r="A132" s="61" t="n"/>
      <c r="B132" s="60" t="n"/>
      <c r="C132" s="68" t="n"/>
      <c r="D132" s="60" t="n"/>
      <c r="E132" s="63" t="n"/>
      <c r="F132" s="63" t="n"/>
      <c r="G132" s="62" t="str">
        <f>IF(B132="","",IFERROR(INDEX(fa_cname,MATCH(B132,fa_num,0))&amp;"",""))</f>
        <v/>
      </c>
      <c r="H132" s="59" t="str">
        <f>IF(COUNTA(A132:F132)=0,"",IF(A132="","Date manquante",IF(NOT(ISNUMBER(A132)),"Date invalide",IF(B132="","N° de facture manquant",IF(ISNA(MATCH(B132,fa_num,0)),"Facture inconnue",IF(INDEX(fa_type,MATCH(B132,fa_num,0))="Avoir","Paiement sur un avoir",IF(OR(NOT(ISNUMBER(C132)),N(C132)&lt;=0),"Montant invalide",IF(A132&lt;INDEX(fa_date,MATCH(B132,fa_num,0)),"Date antérieure à la facture",IF(SUMIF($B$6:B132,B132,$C$6:C132)&gt;INDEX(fa_ttc,MATCH(B132,fa_num,0))-N(INDEX(fa_avoirs,MATCH(B132,fa_num,0)))+0.001,"Dépasse le montant de la facture","OK")))))))))</f>
        <v/>
      </c>
    </row>
    <row r="133">
      <c r="A133" s="61" t="n"/>
      <c r="B133" s="60" t="n"/>
      <c r="C133" s="68" t="n"/>
      <c r="D133" s="60" t="n"/>
      <c r="E133" s="63" t="n"/>
      <c r="F133" s="63" t="n"/>
      <c r="G133" s="62" t="str">
        <f>IF(B133="","",IFERROR(INDEX(fa_cname,MATCH(B133,fa_num,0))&amp;"",""))</f>
        <v/>
      </c>
      <c r="H133" s="59" t="str">
        <f>IF(COUNTA(A133:F133)=0,"",IF(A133="","Date manquante",IF(NOT(ISNUMBER(A133)),"Date invalide",IF(B133="","N° de facture manquant",IF(ISNA(MATCH(B133,fa_num,0)),"Facture inconnue",IF(INDEX(fa_type,MATCH(B133,fa_num,0))="Avoir","Paiement sur un avoir",IF(OR(NOT(ISNUMBER(C133)),N(C133)&lt;=0),"Montant invalide",IF(A133&lt;INDEX(fa_date,MATCH(B133,fa_num,0)),"Date antérieure à la facture",IF(SUMIF($B$6:B133,B133,$C$6:C133)&gt;INDEX(fa_ttc,MATCH(B133,fa_num,0))-N(INDEX(fa_avoirs,MATCH(B133,fa_num,0)))+0.001,"Dépasse le montant de la facture","OK")))))))))</f>
        <v/>
      </c>
    </row>
    <row r="134">
      <c r="A134" s="61" t="n"/>
      <c r="B134" s="60" t="n"/>
      <c r="C134" s="68" t="n"/>
      <c r="D134" s="60" t="n"/>
      <c r="E134" s="63" t="n"/>
      <c r="F134" s="63" t="n"/>
      <c r="G134" s="62" t="str">
        <f>IF(B134="","",IFERROR(INDEX(fa_cname,MATCH(B134,fa_num,0))&amp;"",""))</f>
        <v/>
      </c>
      <c r="H134" s="59" t="str">
        <f>IF(COUNTA(A134:F134)=0,"",IF(A134="","Date manquante",IF(NOT(ISNUMBER(A134)),"Date invalide",IF(B134="","N° de facture manquant",IF(ISNA(MATCH(B134,fa_num,0)),"Facture inconnue",IF(INDEX(fa_type,MATCH(B134,fa_num,0))="Avoir","Paiement sur un avoir",IF(OR(NOT(ISNUMBER(C134)),N(C134)&lt;=0),"Montant invalide",IF(A134&lt;INDEX(fa_date,MATCH(B134,fa_num,0)),"Date antérieure à la facture",IF(SUMIF($B$6:B134,B134,$C$6:C134)&gt;INDEX(fa_ttc,MATCH(B134,fa_num,0))-N(INDEX(fa_avoirs,MATCH(B134,fa_num,0)))+0.001,"Dépasse le montant de la facture","OK")))))))))</f>
        <v/>
      </c>
    </row>
    <row r="135">
      <c r="A135" s="61" t="n"/>
      <c r="B135" s="60" t="n"/>
      <c r="C135" s="68" t="n"/>
      <c r="D135" s="60" t="n"/>
      <c r="E135" s="63" t="n"/>
      <c r="F135" s="63" t="n"/>
      <c r="G135" s="62" t="str">
        <f>IF(B135="","",IFERROR(INDEX(fa_cname,MATCH(B135,fa_num,0))&amp;"",""))</f>
        <v/>
      </c>
      <c r="H135" s="59" t="str">
        <f>IF(COUNTA(A135:F135)=0,"",IF(A135="","Date manquante",IF(NOT(ISNUMBER(A135)),"Date invalide",IF(B135="","N° de facture manquant",IF(ISNA(MATCH(B135,fa_num,0)),"Facture inconnue",IF(INDEX(fa_type,MATCH(B135,fa_num,0))="Avoir","Paiement sur un avoir",IF(OR(NOT(ISNUMBER(C135)),N(C135)&lt;=0),"Montant invalide",IF(A135&lt;INDEX(fa_date,MATCH(B135,fa_num,0)),"Date antérieure à la facture",IF(SUMIF($B$6:B135,B135,$C$6:C135)&gt;INDEX(fa_ttc,MATCH(B135,fa_num,0))-N(INDEX(fa_avoirs,MATCH(B135,fa_num,0)))+0.001,"Dépasse le montant de la facture","OK")))))))))</f>
        <v/>
      </c>
    </row>
    <row r="136">
      <c r="A136" s="61" t="n"/>
      <c r="B136" s="60" t="n"/>
      <c r="C136" s="68" t="n"/>
      <c r="D136" s="60" t="n"/>
      <c r="E136" s="63" t="n"/>
      <c r="F136" s="63" t="n"/>
      <c r="G136" s="62" t="str">
        <f>IF(B136="","",IFERROR(INDEX(fa_cname,MATCH(B136,fa_num,0))&amp;"",""))</f>
        <v/>
      </c>
      <c r="H136" s="59" t="str">
        <f>IF(COUNTA(A136:F136)=0,"",IF(A136="","Date manquante",IF(NOT(ISNUMBER(A136)),"Date invalide",IF(B136="","N° de facture manquant",IF(ISNA(MATCH(B136,fa_num,0)),"Facture inconnue",IF(INDEX(fa_type,MATCH(B136,fa_num,0))="Avoir","Paiement sur un avoir",IF(OR(NOT(ISNUMBER(C136)),N(C136)&lt;=0),"Montant invalide",IF(A136&lt;INDEX(fa_date,MATCH(B136,fa_num,0)),"Date antérieure à la facture",IF(SUMIF($B$6:B136,B136,$C$6:C136)&gt;INDEX(fa_ttc,MATCH(B136,fa_num,0))-N(INDEX(fa_avoirs,MATCH(B136,fa_num,0)))+0.001,"Dépasse le montant de la facture","OK")))))))))</f>
        <v/>
      </c>
    </row>
    <row r="137">
      <c r="A137" s="61" t="n"/>
      <c r="B137" s="60" t="n"/>
      <c r="C137" s="68" t="n"/>
      <c r="D137" s="60" t="n"/>
      <c r="E137" s="63" t="n"/>
      <c r="F137" s="63" t="n"/>
      <c r="G137" s="62" t="str">
        <f>IF(B137="","",IFERROR(INDEX(fa_cname,MATCH(B137,fa_num,0))&amp;"",""))</f>
        <v/>
      </c>
      <c r="H137" s="59" t="str">
        <f>IF(COUNTA(A137:F137)=0,"",IF(A137="","Date manquante",IF(NOT(ISNUMBER(A137)),"Date invalide",IF(B137="","N° de facture manquant",IF(ISNA(MATCH(B137,fa_num,0)),"Facture inconnue",IF(INDEX(fa_type,MATCH(B137,fa_num,0))="Avoir","Paiement sur un avoir",IF(OR(NOT(ISNUMBER(C137)),N(C137)&lt;=0),"Montant invalide",IF(A137&lt;INDEX(fa_date,MATCH(B137,fa_num,0)),"Date antérieure à la facture",IF(SUMIF($B$6:B137,B137,$C$6:C137)&gt;INDEX(fa_ttc,MATCH(B137,fa_num,0))-N(INDEX(fa_avoirs,MATCH(B137,fa_num,0)))+0.001,"Dépasse le montant de la facture","OK")))))))))</f>
        <v/>
      </c>
    </row>
    <row r="138">
      <c r="A138" s="61" t="n"/>
      <c r="B138" s="60" t="n"/>
      <c r="C138" s="68" t="n"/>
      <c r="D138" s="60" t="n"/>
      <c r="E138" s="63" t="n"/>
      <c r="F138" s="63" t="n"/>
      <c r="G138" s="62" t="str">
        <f>IF(B138="","",IFERROR(INDEX(fa_cname,MATCH(B138,fa_num,0))&amp;"",""))</f>
        <v/>
      </c>
      <c r="H138" s="59" t="str">
        <f>IF(COUNTA(A138:F138)=0,"",IF(A138="","Date manquante",IF(NOT(ISNUMBER(A138)),"Date invalide",IF(B138="","N° de facture manquant",IF(ISNA(MATCH(B138,fa_num,0)),"Facture inconnue",IF(INDEX(fa_type,MATCH(B138,fa_num,0))="Avoir","Paiement sur un avoir",IF(OR(NOT(ISNUMBER(C138)),N(C138)&lt;=0),"Montant invalide",IF(A138&lt;INDEX(fa_date,MATCH(B138,fa_num,0)),"Date antérieure à la facture",IF(SUMIF($B$6:B138,B138,$C$6:C138)&gt;INDEX(fa_ttc,MATCH(B138,fa_num,0))-N(INDEX(fa_avoirs,MATCH(B138,fa_num,0)))+0.001,"Dépasse le montant de la facture","OK")))))))))</f>
        <v/>
      </c>
    </row>
    <row r="139">
      <c r="A139" s="61" t="n"/>
      <c r="B139" s="60" t="n"/>
      <c r="C139" s="68" t="n"/>
      <c r="D139" s="60" t="n"/>
      <c r="E139" s="63" t="n"/>
      <c r="F139" s="63" t="n"/>
      <c r="G139" s="62" t="str">
        <f>IF(B139="","",IFERROR(INDEX(fa_cname,MATCH(B139,fa_num,0))&amp;"",""))</f>
        <v/>
      </c>
      <c r="H139" s="59" t="str">
        <f>IF(COUNTA(A139:F139)=0,"",IF(A139="","Date manquante",IF(NOT(ISNUMBER(A139)),"Date invalide",IF(B139="","N° de facture manquant",IF(ISNA(MATCH(B139,fa_num,0)),"Facture inconnue",IF(INDEX(fa_type,MATCH(B139,fa_num,0))="Avoir","Paiement sur un avoir",IF(OR(NOT(ISNUMBER(C139)),N(C139)&lt;=0),"Montant invalide",IF(A139&lt;INDEX(fa_date,MATCH(B139,fa_num,0)),"Date antérieure à la facture",IF(SUMIF($B$6:B139,B139,$C$6:C139)&gt;INDEX(fa_ttc,MATCH(B139,fa_num,0))-N(INDEX(fa_avoirs,MATCH(B139,fa_num,0)))+0.001,"Dépasse le montant de la facture","OK")))))))))</f>
        <v/>
      </c>
    </row>
    <row r="140">
      <c r="A140" s="61" t="n"/>
      <c r="B140" s="60" t="n"/>
      <c r="C140" s="68" t="n"/>
      <c r="D140" s="60" t="n"/>
      <c r="E140" s="63" t="n"/>
      <c r="F140" s="63" t="n"/>
      <c r="G140" s="62" t="str">
        <f>IF(B140="","",IFERROR(INDEX(fa_cname,MATCH(B140,fa_num,0))&amp;"",""))</f>
        <v/>
      </c>
      <c r="H140" s="59" t="str">
        <f>IF(COUNTA(A140:F140)=0,"",IF(A140="","Date manquante",IF(NOT(ISNUMBER(A140)),"Date invalide",IF(B140="","N° de facture manquant",IF(ISNA(MATCH(B140,fa_num,0)),"Facture inconnue",IF(INDEX(fa_type,MATCH(B140,fa_num,0))="Avoir","Paiement sur un avoir",IF(OR(NOT(ISNUMBER(C140)),N(C140)&lt;=0),"Montant invalide",IF(A140&lt;INDEX(fa_date,MATCH(B140,fa_num,0)),"Date antérieure à la facture",IF(SUMIF($B$6:B140,B140,$C$6:C140)&gt;INDEX(fa_ttc,MATCH(B140,fa_num,0))-N(INDEX(fa_avoirs,MATCH(B140,fa_num,0)))+0.001,"Dépasse le montant de la facture","OK")))))))))</f>
        <v/>
      </c>
    </row>
    <row r="141">
      <c r="A141" s="61" t="n"/>
      <c r="B141" s="60" t="n"/>
      <c r="C141" s="68" t="n"/>
      <c r="D141" s="60" t="n"/>
      <c r="E141" s="63" t="n"/>
      <c r="F141" s="63" t="n"/>
      <c r="G141" s="62" t="str">
        <f>IF(B141="","",IFERROR(INDEX(fa_cname,MATCH(B141,fa_num,0))&amp;"",""))</f>
        <v/>
      </c>
      <c r="H141" s="59" t="str">
        <f>IF(COUNTA(A141:F141)=0,"",IF(A141="","Date manquante",IF(NOT(ISNUMBER(A141)),"Date invalide",IF(B141="","N° de facture manquant",IF(ISNA(MATCH(B141,fa_num,0)),"Facture inconnue",IF(INDEX(fa_type,MATCH(B141,fa_num,0))="Avoir","Paiement sur un avoir",IF(OR(NOT(ISNUMBER(C141)),N(C141)&lt;=0),"Montant invalide",IF(A141&lt;INDEX(fa_date,MATCH(B141,fa_num,0)),"Date antérieure à la facture",IF(SUMIF($B$6:B141,B141,$C$6:C141)&gt;INDEX(fa_ttc,MATCH(B141,fa_num,0))-N(INDEX(fa_avoirs,MATCH(B141,fa_num,0)))+0.001,"Dépasse le montant de la facture","OK")))))))))</f>
        <v/>
      </c>
    </row>
    <row r="142">
      <c r="A142" s="61" t="n"/>
      <c r="B142" s="60" t="n"/>
      <c r="C142" s="68" t="n"/>
      <c r="D142" s="60" t="n"/>
      <c r="E142" s="63" t="n"/>
      <c r="F142" s="63" t="n"/>
      <c r="G142" s="62" t="str">
        <f>IF(B142="","",IFERROR(INDEX(fa_cname,MATCH(B142,fa_num,0))&amp;"",""))</f>
        <v/>
      </c>
      <c r="H142" s="59" t="str">
        <f>IF(COUNTA(A142:F142)=0,"",IF(A142="","Date manquante",IF(NOT(ISNUMBER(A142)),"Date invalide",IF(B142="","N° de facture manquant",IF(ISNA(MATCH(B142,fa_num,0)),"Facture inconnue",IF(INDEX(fa_type,MATCH(B142,fa_num,0))="Avoir","Paiement sur un avoir",IF(OR(NOT(ISNUMBER(C142)),N(C142)&lt;=0),"Montant invalide",IF(A142&lt;INDEX(fa_date,MATCH(B142,fa_num,0)),"Date antérieure à la facture",IF(SUMIF($B$6:B142,B142,$C$6:C142)&gt;INDEX(fa_ttc,MATCH(B142,fa_num,0))-N(INDEX(fa_avoirs,MATCH(B142,fa_num,0)))+0.001,"Dépasse le montant de la facture","OK")))))))))</f>
        <v/>
      </c>
    </row>
    <row r="143">
      <c r="A143" s="61" t="n"/>
      <c r="B143" s="60" t="n"/>
      <c r="C143" s="68" t="n"/>
      <c r="D143" s="60" t="n"/>
      <c r="E143" s="63" t="n"/>
      <c r="F143" s="63" t="n"/>
      <c r="G143" s="62" t="str">
        <f>IF(B143="","",IFERROR(INDEX(fa_cname,MATCH(B143,fa_num,0))&amp;"",""))</f>
        <v/>
      </c>
      <c r="H143" s="59" t="str">
        <f>IF(COUNTA(A143:F143)=0,"",IF(A143="","Date manquante",IF(NOT(ISNUMBER(A143)),"Date invalide",IF(B143="","N° de facture manquant",IF(ISNA(MATCH(B143,fa_num,0)),"Facture inconnue",IF(INDEX(fa_type,MATCH(B143,fa_num,0))="Avoir","Paiement sur un avoir",IF(OR(NOT(ISNUMBER(C143)),N(C143)&lt;=0),"Montant invalide",IF(A143&lt;INDEX(fa_date,MATCH(B143,fa_num,0)),"Date antérieure à la facture",IF(SUMIF($B$6:B143,B143,$C$6:C143)&gt;INDEX(fa_ttc,MATCH(B143,fa_num,0))-N(INDEX(fa_avoirs,MATCH(B143,fa_num,0)))+0.001,"Dépasse le montant de la facture","OK")))))))))</f>
        <v/>
      </c>
    </row>
    <row r="144">
      <c r="A144" s="61" t="n"/>
      <c r="B144" s="60" t="n"/>
      <c r="C144" s="68" t="n"/>
      <c r="D144" s="60" t="n"/>
      <c r="E144" s="63" t="n"/>
      <c r="F144" s="63" t="n"/>
      <c r="G144" s="62" t="str">
        <f>IF(B144="","",IFERROR(INDEX(fa_cname,MATCH(B144,fa_num,0))&amp;"",""))</f>
        <v/>
      </c>
      <c r="H144" s="59" t="str">
        <f>IF(COUNTA(A144:F144)=0,"",IF(A144="","Date manquante",IF(NOT(ISNUMBER(A144)),"Date invalide",IF(B144="","N° de facture manquant",IF(ISNA(MATCH(B144,fa_num,0)),"Facture inconnue",IF(INDEX(fa_type,MATCH(B144,fa_num,0))="Avoir","Paiement sur un avoir",IF(OR(NOT(ISNUMBER(C144)),N(C144)&lt;=0),"Montant invalide",IF(A144&lt;INDEX(fa_date,MATCH(B144,fa_num,0)),"Date antérieure à la facture",IF(SUMIF($B$6:B144,B144,$C$6:C144)&gt;INDEX(fa_ttc,MATCH(B144,fa_num,0))-N(INDEX(fa_avoirs,MATCH(B144,fa_num,0)))+0.001,"Dépasse le montant de la facture","OK")))))))))</f>
        <v/>
      </c>
    </row>
    <row r="145">
      <c r="A145" s="61" t="n"/>
      <c r="B145" s="60" t="n"/>
      <c r="C145" s="68" t="n"/>
      <c r="D145" s="60" t="n"/>
      <c r="E145" s="63" t="n"/>
      <c r="F145" s="63" t="n"/>
      <c r="G145" s="62" t="str">
        <f>IF(B145="","",IFERROR(INDEX(fa_cname,MATCH(B145,fa_num,0))&amp;"",""))</f>
        <v/>
      </c>
      <c r="H145" s="59" t="str">
        <f>IF(COUNTA(A145:F145)=0,"",IF(A145="","Date manquante",IF(NOT(ISNUMBER(A145)),"Date invalide",IF(B145="","N° de facture manquant",IF(ISNA(MATCH(B145,fa_num,0)),"Facture inconnue",IF(INDEX(fa_type,MATCH(B145,fa_num,0))="Avoir","Paiement sur un avoir",IF(OR(NOT(ISNUMBER(C145)),N(C145)&lt;=0),"Montant invalide",IF(A145&lt;INDEX(fa_date,MATCH(B145,fa_num,0)),"Date antérieure à la facture",IF(SUMIF($B$6:B145,B145,$C$6:C145)&gt;INDEX(fa_ttc,MATCH(B145,fa_num,0))-N(INDEX(fa_avoirs,MATCH(B145,fa_num,0)))+0.001,"Dépasse le montant de la facture","OK")))))))))</f>
        <v/>
      </c>
    </row>
    <row r="146">
      <c r="A146" s="61" t="n"/>
      <c r="B146" s="60" t="n"/>
      <c r="C146" s="68" t="n"/>
      <c r="D146" s="60" t="n"/>
      <c r="E146" s="63" t="n"/>
      <c r="F146" s="63" t="n"/>
      <c r="G146" s="62" t="str">
        <f>IF(B146="","",IFERROR(INDEX(fa_cname,MATCH(B146,fa_num,0))&amp;"",""))</f>
        <v/>
      </c>
      <c r="H146" s="59" t="str">
        <f>IF(COUNTA(A146:F146)=0,"",IF(A146="","Date manquante",IF(NOT(ISNUMBER(A146)),"Date invalide",IF(B146="","N° de facture manquant",IF(ISNA(MATCH(B146,fa_num,0)),"Facture inconnue",IF(INDEX(fa_type,MATCH(B146,fa_num,0))="Avoir","Paiement sur un avoir",IF(OR(NOT(ISNUMBER(C146)),N(C146)&lt;=0),"Montant invalide",IF(A146&lt;INDEX(fa_date,MATCH(B146,fa_num,0)),"Date antérieure à la facture",IF(SUMIF($B$6:B146,B146,$C$6:C146)&gt;INDEX(fa_ttc,MATCH(B146,fa_num,0))-N(INDEX(fa_avoirs,MATCH(B146,fa_num,0)))+0.001,"Dépasse le montant de la facture","OK")))))))))</f>
        <v/>
      </c>
    </row>
    <row r="147">
      <c r="A147" s="61" t="n"/>
      <c r="B147" s="60" t="n"/>
      <c r="C147" s="68" t="n"/>
      <c r="D147" s="60" t="n"/>
      <c r="E147" s="63" t="n"/>
      <c r="F147" s="63" t="n"/>
      <c r="G147" s="62" t="str">
        <f>IF(B147="","",IFERROR(INDEX(fa_cname,MATCH(B147,fa_num,0))&amp;"",""))</f>
        <v/>
      </c>
      <c r="H147" s="59" t="str">
        <f>IF(COUNTA(A147:F147)=0,"",IF(A147="","Date manquante",IF(NOT(ISNUMBER(A147)),"Date invalide",IF(B147="","N° de facture manquant",IF(ISNA(MATCH(B147,fa_num,0)),"Facture inconnue",IF(INDEX(fa_type,MATCH(B147,fa_num,0))="Avoir","Paiement sur un avoir",IF(OR(NOT(ISNUMBER(C147)),N(C147)&lt;=0),"Montant invalide",IF(A147&lt;INDEX(fa_date,MATCH(B147,fa_num,0)),"Date antérieure à la facture",IF(SUMIF($B$6:B147,B147,$C$6:C147)&gt;INDEX(fa_ttc,MATCH(B147,fa_num,0))-N(INDEX(fa_avoirs,MATCH(B147,fa_num,0)))+0.001,"Dépasse le montant de la facture","OK")))))))))</f>
        <v/>
      </c>
    </row>
    <row r="148">
      <c r="A148" s="61" t="n"/>
      <c r="B148" s="60" t="n"/>
      <c r="C148" s="68" t="n"/>
      <c r="D148" s="60" t="n"/>
      <c r="E148" s="63" t="n"/>
      <c r="F148" s="63" t="n"/>
      <c r="G148" s="62" t="str">
        <f>IF(B148="","",IFERROR(INDEX(fa_cname,MATCH(B148,fa_num,0))&amp;"",""))</f>
        <v/>
      </c>
      <c r="H148" s="59" t="str">
        <f>IF(COUNTA(A148:F148)=0,"",IF(A148="","Date manquante",IF(NOT(ISNUMBER(A148)),"Date invalide",IF(B148="","N° de facture manquant",IF(ISNA(MATCH(B148,fa_num,0)),"Facture inconnue",IF(INDEX(fa_type,MATCH(B148,fa_num,0))="Avoir","Paiement sur un avoir",IF(OR(NOT(ISNUMBER(C148)),N(C148)&lt;=0),"Montant invalide",IF(A148&lt;INDEX(fa_date,MATCH(B148,fa_num,0)),"Date antérieure à la facture",IF(SUMIF($B$6:B148,B148,$C$6:C148)&gt;INDEX(fa_ttc,MATCH(B148,fa_num,0))-N(INDEX(fa_avoirs,MATCH(B148,fa_num,0)))+0.001,"Dépasse le montant de la facture","OK")))))))))</f>
        <v/>
      </c>
    </row>
    <row r="149">
      <c r="A149" s="61" t="n"/>
      <c r="B149" s="60" t="n"/>
      <c r="C149" s="68" t="n"/>
      <c r="D149" s="60" t="n"/>
      <c r="E149" s="63" t="n"/>
      <c r="F149" s="63" t="n"/>
      <c r="G149" s="62" t="str">
        <f>IF(B149="","",IFERROR(INDEX(fa_cname,MATCH(B149,fa_num,0))&amp;"",""))</f>
        <v/>
      </c>
      <c r="H149" s="59" t="str">
        <f>IF(COUNTA(A149:F149)=0,"",IF(A149="","Date manquante",IF(NOT(ISNUMBER(A149)),"Date invalide",IF(B149="","N° de facture manquant",IF(ISNA(MATCH(B149,fa_num,0)),"Facture inconnue",IF(INDEX(fa_type,MATCH(B149,fa_num,0))="Avoir","Paiement sur un avoir",IF(OR(NOT(ISNUMBER(C149)),N(C149)&lt;=0),"Montant invalide",IF(A149&lt;INDEX(fa_date,MATCH(B149,fa_num,0)),"Date antérieure à la facture",IF(SUMIF($B$6:B149,B149,$C$6:C149)&gt;INDEX(fa_ttc,MATCH(B149,fa_num,0))-N(INDEX(fa_avoirs,MATCH(B149,fa_num,0)))+0.001,"Dépasse le montant de la facture","OK")))))))))</f>
        <v/>
      </c>
    </row>
    <row r="150">
      <c r="A150" s="61" t="n"/>
      <c r="B150" s="60" t="n"/>
      <c r="C150" s="68" t="n"/>
      <c r="D150" s="60" t="n"/>
      <c r="E150" s="63" t="n"/>
      <c r="F150" s="63" t="n"/>
      <c r="G150" s="62" t="str">
        <f>IF(B150="","",IFERROR(INDEX(fa_cname,MATCH(B150,fa_num,0))&amp;"",""))</f>
        <v/>
      </c>
      <c r="H150" s="59" t="str">
        <f>IF(COUNTA(A150:F150)=0,"",IF(A150="","Date manquante",IF(NOT(ISNUMBER(A150)),"Date invalide",IF(B150="","N° de facture manquant",IF(ISNA(MATCH(B150,fa_num,0)),"Facture inconnue",IF(INDEX(fa_type,MATCH(B150,fa_num,0))="Avoir","Paiement sur un avoir",IF(OR(NOT(ISNUMBER(C150)),N(C150)&lt;=0),"Montant invalide",IF(A150&lt;INDEX(fa_date,MATCH(B150,fa_num,0)),"Date antérieure à la facture",IF(SUMIF($B$6:B150,B150,$C$6:C150)&gt;INDEX(fa_ttc,MATCH(B150,fa_num,0))-N(INDEX(fa_avoirs,MATCH(B150,fa_num,0)))+0.001,"Dépasse le montant de la facture","OK")))))))))</f>
        <v/>
      </c>
    </row>
    <row r="151">
      <c r="A151" s="61" t="n"/>
      <c r="B151" s="60" t="n"/>
      <c r="C151" s="68" t="n"/>
      <c r="D151" s="60" t="n"/>
      <c r="E151" s="63" t="n"/>
      <c r="F151" s="63" t="n"/>
      <c r="G151" s="62" t="str">
        <f>IF(B151="","",IFERROR(INDEX(fa_cname,MATCH(B151,fa_num,0))&amp;"",""))</f>
        <v/>
      </c>
      <c r="H151" s="59" t="str">
        <f>IF(COUNTA(A151:F151)=0,"",IF(A151="","Date manquante",IF(NOT(ISNUMBER(A151)),"Date invalide",IF(B151="","N° de facture manquant",IF(ISNA(MATCH(B151,fa_num,0)),"Facture inconnue",IF(INDEX(fa_type,MATCH(B151,fa_num,0))="Avoir","Paiement sur un avoir",IF(OR(NOT(ISNUMBER(C151)),N(C151)&lt;=0),"Montant invalide",IF(A151&lt;INDEX(fa_date,MATCH(B151,fa_num,0)),"Date antérieure à la facture",IF(SUMIF($B$6:B151,B151,$C$6:C151)&gt;INDEX(fa_ttc,MATCH(B151,fa_num,0))-N(INDEX(fa_avoirs,MATCH(B151,fa_num,0)))+0.001,"Dépasse le montant de la facture","OK")))))))))</f>
        <v/>
      </c>
    </row>
    <row r="152">
      <c r="A152" s="61" t="n"/>
      <c r="B152" s="60" t="n"/>
      <c r="C152" s="68" t="n"/>
      <c r="D152" s="60" t="n"/>
      <c r="E152" s="63" t="n"/>
      <c r="F152" s="63" t="n"/>
      <c r="G152" s="62" t="str">
        <f>IF(B152="","",IFERROR(INDEX(fa_cname,MATCH(B152,fa_num,0))&amp;"",""))</f>
        <v/>
      </c>
      <c r="H152" s="59" t="str">
        <f>IF(COUNTA(A152:F152)=0,"",IF(A152="","Date manquante",IF(NOT(ISNUMBER(A152)),"Date invalide",IF(B152="","N° de facture manquant",IF(ISNA(MATCH(B152,fa_num,0)),"Facture inconnue",IF(INDEX(fa_type,MATCH(B152,fa_num,0))="Avoir","Paiement sur un avoir",IF(OR(NOT(ISNUMBER(C152)),N(C152)&lt;=0),"Montant invalide",IF(A152&lt;INDEX(fa_date,MATCH(B152,fa_num,0)),"Date antérieure à la facture",IF(SUMIF($B$6:B152,B152,$C$6:C152)&gt;INDEX(fa_ttc,MATCH(B152,fa_num,0))-N(INDEX(fa_avoirs,MATCH(B152,fa_num,0)))+0.001,"Dépasse le montant de la facture","OK")))))))))</f>
        <v/>
      </c>
    </row>
    <row r="153">
      <c r="A153" s="61" t="n"/>
      <c r="B153" s="60" t="n"/>
      <c r="C153" s="68" t="n"/>
      <c r="D153" s="60" t="n"/>
      <c r="E153" s="63" t="n"/>
      <c r="F153" s="63" t="n"/>
      <c r="G153" s="62" t="str">
        <f>IF(B153="","",IFERROR(INDEX(fa_cname,MATCH(B153,fa_num,0))&amp;"",""))</f>
        <v/>
      </c>
      <c r="H153" s="59" t="str">
        <f>IF(COUNTA(A153:F153)=0,"",IF(A153="","Date manquante",IF(NOT(ISNUMBER(A153)),"Date invalide",IF(B153="","N° de facture manquant",IF(ISNA(MATCH(B153,fa_num,0)),"Facture inconnue",IF(INDEX(fa_type,MATCH(B153,fa_num,0))="Avoir","Paiement sur un avoir",IF(OR(NOT(ISNUMBER(C153)),N(C153)&lt;=0),"Montant invalide",IF(A153&lt;INDEX(fa_date,MATCH(B153,fa_num,0)),"Date antérieure à la facture",IF(SUMIF($B$6:B153,B153,$C$6:C153)&gt;INDEX(fa_ttc,MATCH(B153,fa_num,0))-N(INDEX(fa_avoirs,MATCH(B153,fa_num,0)))+0.001,"Dépasse le montant de la facture","OK")))))))))</f>
        <v/>
      </c>
    </row>
    <row r="154">
      <c r="A154" s="61" t="n"/>
      <c r="B154" s="60" t="n"/>
      <c r="C154" s="68" t="n"/>
      <c r="D154" s="60" t="n"/>
      <c r="E154" s="63" t="n"/>
      <c r="F154" s="63" t="n"/>
      <c r="G154" s="62" t="str">
        <f>IF(B154="","",IFERROR(INDEX(fa_cname,MATCH(B154,fa_num,0))&amp;"",""))</f>
        <v/>
      </c>
      <c r="H154" s="59" t="str">
        <f>IF(COUNTA(A154:F154)=0,"",IF(A154="","Date manquante",IF(NOT(ISNUMBER(A154)),"Date invalide",IF(B154="","N° de facture manquant",IF(ISNA(MATCH(B154,fa_num,0)),"Facture inconnue",IF(INDEX(fa_type,MATCH(B154,fa_num,0))="Avoir","Paiement sur un avoir",IF(OR(NOT(ISNUMBER(C154)),N(C154)&lt;=0),"Montant invalide",IF(A154&lt;INDEX(fa_date,MATCH(B154,fa_num,0)),"Date antérieure à la facture",IF(SUMIF($B$6:B154,B154,$C$6:C154)&gt;INDEX(fa_ttc,MATCH(B154,fa_num,0))-N(INDEX(fa_avoirs,MATCH(B154,fa_num,0)))+0.001,"Dépasse le montant de la facture","OK")))))))))</f>
        <v/>
      </c>
    </row>
    <row r="155">
      <c r="A155" s="61" t="n"/>
      <c r="B155" s="60" t="n"/>
      <c r="C155" s="68" t="n"/>
      <c r="D155" s="60" t="n"/>
      <c r="E155" s="63" t="n"/>
      <c r="F155" s="63" t="n"/>
      <c r="G155" s="62" t="str">
        <f>IF(B155="","",IFERROR(INDEX(fa_cname,MATCH(B155,fa_num,0))&amp;"",""))</f>
        <v/>
      </c>
      <c r="H155" s="59" t="str">
        <f>IF(COUNTA(A155:F155)=0,"",IF(A155="","Date manquante",IF(NOT(ISNUMBER(A155)),"Date invalide",IF(B155="","N° de facture manquant",IF(ISNA(MATCH(B155,fa_num,0)),"Facture inconnue",IF(INDEX(fa_type,MATCH(B155,fa_num,0))="Avoir","Paiement sur un avoir",IF(OR(NOT(ISNUMBER(C155)),N(C155)&lt;=0),"Montant invalide",IF(A155&lt;INDEX(fa_date,MATCH(B155,fa_num,0)),"Date antérieure à la facture",IF(SUMIF($B$6:B155,B155,$C$6:C155)&gt;INDEX(fa_ttc,MATCH(B155,fa_num,0))-N(INDEX(fa_avoirs,MATCH(B155,fa_num,0)))+0.001,"Dépasse le montant de la facture","OK")))))))))</f>
        <v/>
      </c>
    </row>
    <row r="156">
      <c r="A156" s="61" t="n"/>
      <c r="B156" s="60" t="n"/>
      <c r="C156" s="68" t="n"/>
      <c r="D156" s="60" t="n"/>
      <c r="E156" s="63" t="n"/>
      <c r="F156" s="63" t="n"/>
      <c r="G156" s="62" t="str">
        <f>IF(B156="","",IFERROR(INDEX(fa_cname,MATCH(B156,fa_num,0))&amp;"",""))</f>
        <v/>
      </c>
      <c r="H156" s="59" t="str">
        <f>IF(COUNTA(A156:F156)=0,"",IF(A156="","Date manquante",IF(NOT(ISNUMBER(A156)),"Date invalide",IF(B156="","N° de facture manquant",IF(ISNA(MATCH(B156,fa_num,0)),"Facture inconnue",IF(INDEX(fa_type,MATCH(B156,fa_num,0))="Avoir","Paiement sur un avoir",IF(OR(NOT(ISNUMBER(C156)),N(C156)&lt;=0),"Montant invalide",IF(A156&lt;INDEX(fa_date,MATCH(B156,fa_num,0)),"Date antérieure à la facture",IF(SUMIF($B$6:B156,B156,$C$6:C156)&gt;INDEX(fa_ttc,MATCH(B156,fa_num,0))-N(INDEX(fa_avoirs,MATCH(B156,fa_num,0)))+0.001,"Dépasse le montant de la facture","OK")))))))))</f>
        <v/>
      </c>
    </row>
    <row r="157">
      <c r="A157" s="61" t="n"/>
      <c r="B157" s="60" t="n"/>
      <c r="C157" s="68" t="n"/>
      <c r="D157" s="60" t="n"/>
      <c r="E157" s="63" t="n"/>
      <c r="F157" s="63" t="n"/>
      <c r="G157" s="62" t="str">
        <f>IF(B157="","",IFERROR(INDEX(fa_cname,MATCH(B157,fa_num,0))&amp;"",""))</f>
        <v/>
      </c>
      <c r="H157" s="59" t="str">
        <f>IF(COUNTA(A157:F157)=0,"",IF(A157="","Date manquante",IF(NOT(ISNUMBER(A157)),"Date invalide",IF(B157="","N° de facture manquant",IF(ISNA(MATCH(B157,fa_num,0)),"Facture inconnue",IF(INDEX(fa_type,MATCH(B157,fa_num,0))="Avoir","Paiement sur un avoir",IF(OR(NOT(ISNUMBER(C157)),N(C157)&lt;=0),"Montant invalide",IF(A157&lt;INDEX(fa_date,MATCH(B157,fa_num,0)),"Date antérieure à la facture",IF(SUMIF($B$6:B157,B157,$C$6:C157)&gt;INDEX(fa_ttc,MATCH(B157,fa_num,0))-N(INDEX(fa_avoirs,MATCH(B157,fa_num,0)))+0.001,"Dépasse le montant de la facture","OK")))))))))</f>
        <v/>
      </c>
    </row>
    <row r="158">
      <c r="A158" s="61" t="n"/>
      <c r="B158" s="60" t="n"/>
      <c r="C158" s="68" t="n"/>
      <c r="D158" s="60" t="n"/>
      <c r="E158" s="63" t="n"/>
      <c r="F158" s="63" t="n"/>
      <c r="G158" s="62" t="str">
        <f>IF(B158="","",IFERROR(INDEX(fa_cname,MATCH(B158,fa_num,0))&amp;"",""))</f>
        <v/>
      </c>
      <c r="H158" s="59" t="str">
        <f>IF(COUNTA(A158:F158)=0,"",IF(A158="","Date manquante",IF(NOT(ISNUMBER(A158)),"Date invalide",IF(B158="","N° de facture manquant",IF(ISNA(MATCH(B158,fa_num,0)),"Facture inconnue",IF(INDEX(fa_type,MATCH(B158,fa_num,0))="Avoir","Paiement sur un avoir",IF(OR(NOT(ISNUMBER(C158)),N(C158)&lt;=0),"Montant invalide",IF(A158&lt;INDEX(fa_date,MATCH(B158,fa_num,0)),"Date antérieure à la facture",IF(SUMIF($B$6:B158,B158,$C$6:C158)&gt;INDEX(fa_ttc,MATCH(B158,fa_num,0))-N(INDEX(fa_avoirs,MATCH(B158,fa_num,0)))+0.001,"Dépasse le montant de la facture","OK")))))))))</f>
        <v/>
      </c>
    </row>
    <row r="159">
      <c r="A159" s="61" t="n"/>
      <c r="B159" s="60" t="n"/>
      <c r="C159" s="68" t="n"/>
      <c r="D159" s="60" t="n"/>
      <c r="E159" s="63" t="n"/>
      <c r="F159" s="63" t="n"/>
      <c r="G159" s="62" t="str">
        <f>IF(B159="","",IFERROR(INDEX(fa_cname,MATCH(B159,fa_num,0))&amp;"",""))</f>
        <v/>
      </c>
      <c r="H159" s="59" t="str">
        <f>IF(COUNTA(A159:F159)=0,"",IF(A159="","Date manquante",IF(NOT(ISNUMBER(A159)),"Date invalide",IF(B159="","N° de facture manquant",IF(ISNA(MATCH(B159,fa_num,0)),"Facture inconnue",IF(INDEX(fa_type,MATCH(B159,fa_num,0))="Avoir","Paiement sur un avoir",IF(OR(NOT(ISNUMBER(C159)),N(C159)&lt;=0),"Montant invalide",IF(A159&lt;INDEX(fa_date,MATCH(B159,fa_num,0)),"Date antérieure à la facture",IF(SUMIF($B$6:B159,B159,$C$6:C159)&gt;INDEX(fa_ttc,MATCH(B159,fa_num,0))-N(INDEX(fa_avoirs,MATCH(B159,fa_num,0)))+0.001,"Dépasse le montant de la facture","OK")))))))))</f>
        <v/>
      </c>
    </row>
    <row r="160">
      <c r="A160" s="61" t="n"/>
      <c r="B160" s="60" t="n"/>
      <c r="C160" s="68" t="n"/>
      <c r="D160" s="60" t="n"/>
      <c r="E160" s="63" t="n"/>
      <c r="F160" s="63" t="n"/>
      <c r="G160" s="62" t="str">
        <f>IF(B160="","",IFERROR(INDEX(fa_cname,MATCH(B160,fa_num,0))&amp;"",""))</f>
        <v/>
      </c>
      <c r="H160" s="59" t="str">
        <f>IF(COUNTA(A160:F160)=0,"",IF(A160="","Date manquante",IF(NOT(ISNUMBER(A160)),"Date invalide",IF(B160="","N° de facture manquant",IF(ISNA(MATCH(B160,fa_num,0)),"Facture inconnue",IF(INDEX(fa_type,MATCH(B160,fa_num,0))="Avoir","Paiement sur un avoir",IF(OR(NOT(ISNUMBER(C160)),N(C160)&lt;=0),"Montant invalide",IF(A160&lt;INDEX(fa_date,MATCH(B160,fa_num,0)),"Date antérieure à la facture",IF(SUMIF($B$6:B160,B160,$C$6:C160)&gt;INDEX(fa_ttc,MATCH(B160,fa_num,0))-N(INDEX(fa_avoirs,MATCH(B160,fa_num,0)))+0.001,"Dépasse le montant de la facture","OK")))))))))</f>
        <v/>
      </c>
    </row>
    <row r="161">
      <c r="A161" s="61" t="n"/>
      <c r="B161" s="60" t="n"/>
      <c r="C161" s="68" t="n"/>
      <c r="D161" s="60" t="n"/>
      <c r="E161" s="63" t="n"/>
      <c r="F161" s="63" t="n"/>
      <c r="G161" s="62" t="str">
        <f>IF(B161="","",IFERROR(INDEX(fa_cname,MATCH(B161,fa_num,0))&amp;"",""))</f>
        <v/>
      </c>
      <c r="H161" s="59" t="str">
        <f>IF(COUNTA(A161:F161)=0,"",IF(A161="","Date manquante",IF(NOT(ISNUMBER(A161)),"Date invalide",IF(B161="","N° de facture manquant",IF(ISNA(MATCH(B161,fa_num,0)),"Facture inconnue",IF(INDEX(fa_type,MATCH(B161,fa_num,0))="Avoir","Paiement sur un avoir",IF(OR(NOT(ISNUMBER(C161)),N(C161)&lt;=0),"Montant invalide",IF(A161&lt;INDEX(fa_date,MATCH(B161,fa_num,0)),"Date antérieure à la facture",IF(SUMIF($B$6:B161,B161,$C$6:C161)&gt;INDEX(fa_ttc,MATCH(B161,fa_num,0))-N(INDEX(fa_avoirs,MATCH(B161,fa_num,0)))+0.001,"Dépasse le montant de la facture","OK")))))))))</f>
        <v/>
      </c>
    </row>
    <row r="162">
      <c r="A162" s="61" t="n"/>
      <c r="B162" s="60" t="n"/>
      <c r="C162" s="68" t="n"/>
      <c r="D162" s="60" t="n"/>
      <c r="E162" s="63" t="n"/>
      <c r="F162" s="63" t="n"/>
      <c r="G162" s="62" t="str">
        <f>IF(B162="","",IFERROR(INDEX(fa_cname,MATCH(B162,fa_num,0))&amp;"",""))</f>
        <v/>
      </c>
      <c r="H162" s="59" t="str">
        <f>IF(COUNTA(A162:F162)=0,"",IF(A162="","Date manquante",IF(NOT(ISNUMBER(A162)),"Date invalide",IF(B162="","N° de facture manquant",IF(ISNA(MATCH(B162,fa_num,0)),"Facture inconnue",IF(INDEX(fa_type,MATCH(B162,fa_num,0))="Avoir","Paiement sur un avoir",IF(OR(NOT(ISNUMBER(C162)),N(C162)&lt;=0),"Montant invalide",IF(A162&lt;INDEX(fa_date,MATCH(B162,fa_num,0)),"Date antérieure à la facture",IF(SUMIF($B$6:B162,B162,$C$6:C162)&gt;INDEX(fa_ttc,MATCH(B162,fa_num,0))-N(INDEX(fa_avoirs,MATCH(B162,fa_num,0)))+0.001,"Dépasse le montant de la facture","OK")))))))))</f>
        <v/>
      </c>
    </row>
    <row r="163">
      <c r="A163" s="61" t="n"/>
      <c r="B163" s="60" t="n"/>
      <c r="C163" s="68" t="n"/>
      <c r="D163" s="60" t="n"/>
      <c r="E163" s="63" t="n"/>
      <c r="F163" s="63" t="n"/>
      <c r="G163" s="62" t="str">
        <f>IF(B163="","",IFERROR(INDEX(fa_cname,MATCH(B163,fa_num,0))&amp;"",""))</f>
        <v/>
      </c>
      <c r="H163" s="59" t="str">
        <f>IF(COUNTA(A163:F163)=0,"",IF(A163="","Date manquante",IF(NOT(ISNUMBER(A163)),"Date invalide",IF(B163="","N° de facture manquant",IF(ISNA(MATCH(B163,fa_num,0)),"Facture inconnue",IF(INDEX(fa_type,MATCH(B163,fa_num,0))="Avoir","Paiement sur un avoir",IF(OR(NOT(ISNUMBER(C163)),N(C163)&lt;=0),"Montant invalide",IF(A163&lt;INDEX(fa_date,MATCH(B163,fa_num,0)),"Date antérieure à la facture",IF(SUMIF($B$6:B163,B163,$C$6:C163)&gt;INDEX(fa_ttc,MATCH(B163,fa_num,0))-N(INDEX(fa_avoirs,MATCH(B163,fa_num,0)))+0.001,"Dépasse le montant de la facture","OK")))))))))</f>
        <v/>
      </c>
    </row>
    <row r="164">
      <c r="A164" s="61" t="n"/>
      <c r="B164" s="60" t="n"/>
      <c r="C164" s="68" t="n"/>
      <c r="D164" s="60" t="n"/>
      <c r="E164" s="63" t="n"/>
      <c r="F164" s="63" t="n"/>
      <c r="G164" s="62" t="str">
        <f>IF(B164="","",IFERROR(INDEX(fa_cname,MATCH(B164,fa_num,0))&amp;"",""))</f>
        <v/>
      </c>
      <c r="H164" s="59" t="str">
        <f>IF(COUNTA(A164:F164)=0,"",IF(A164="","Date manquante",IF(NOT(ISNUMBER(A164)),"Date invalide",IF(B164="","N° de facture manquant",IF(ISNA(MATCH(B164,fa_num,0)),"Facture inconnue",IF(INDEX(fa_type,MATCH(B164,fa_num,0))="Avoir","Paiement sur un avoir",IF(OR(NOT(ISNUMBER(C164)),N(C164)&lt;=0),"Montant invalide",IF(A164&lt;INDEX(fa_date,MATCH(B164,fa_num,0)),"Date antérieure à la facture",IF(SUMIF($B$6:B164,B164,$C$6:C164)&gt;INDEX(fa_ttc,MATCH(B164,fa_num,0))-N(INDEX(fa_avoirs,MATCH(B164,fa_num,0)))+0.001,"Dépasse le montant de la facture","OK")))))))))</f>
        <v/>
      </c>
    </row>
    <row r="165">
      <c r="A165" s="61" t="n"/>
      <c r="B165" s="60" t="n"/>
      <c r="C165" s="68" t="n"/>
      <c r="D165" s="60" t="n"/>
      <c r="E165" s="63" t="n"/>
      <c r="F165" s="63" t="n"/>
      <c r="G165" s="62" t="str">
        <f>IF(B165="","",IFERROR(INDEX(fa_cname,MATCH(B165,fa_num,0))&amp;"",""))</f>
        <v/>
      </c>
      <c r="H165" s="59" t="str">
        <f>IF(COUNTA(A165:F165)=0,"",IF(A165="","Date manquante",IF(NOT(ISNUMBER(A165)),"Date invalide",IF(B165="","N° de facture manquant",IF(ISNA(MATCH(B165,fa_num,0)),"Facture inconnue",IF(INDEX(fa_type,MATCH(B165,fa_num,0))="Avoir","Paiement sur un avoir",IF(OR(NOT(ISNUMBER(C165)),N(C165)&lt;=0),"Montant invalide",IF(A165&lt;INDEX(fa_date,MATCH(B165,fa_num,0)),"Date antérieure à la facture",IF(SUMIF($B$6:B165,B165,$C$6:C165)&gt;INDEX(fa_ttc,MATCH(B165,fa_num,0))-N(INDEX(fa_avoirs,MATCH(B165,fa_num,0)))+0.001,"Dépasse le montant de la facture","OK")))))))))</f>
        <v/>
      </c>
    </row>
    <row r="166">
      <c r="A166" s="61" t="n"/>
      <c r="B166" s="60" t="n"/>
      <c r="C166" s="68" t="n"/>
      <c r="D166" s="60" t="n"/>
      <c r="E166" s="63" t="n"/>
      <c r="F166" s="63" t="n"/>
      <c r="G166" s="62" t="str">
        <f>IF(B166="","",IFERROR(INDEX(fa_cname,MATCH(B166,fa_num,0))&amp;"",""))</f>
        <v/>
      </c>
      <c r="H166" s="59" t="str">
        <f>IF(COUNTA(A166:F166)=0,"",IF(A166="","Date manquante",IF(NOT(ISNUMBER(A166)),"Date invalide",IF(B166="","N° de facture manquant",IF(ISNA(MATCH(B166,fa_num,0)),"Facture inconnue",IF(INDEX(fa_type,MATCH(B166,fa_num,0))="Avoir","Paiement sur un avoir",IF(OR(NOT(ISNUMBER(C166)),N(C166)&lt;=0),"Montant invalide",IF(A166&lt;INDEX(fa_date,MATCH(B166,fa_num,0)),"Date antérieure à la facture",IF(SUMIF($B$6:B166,B166,$C$6:C166)&gt;INDEX(fa_ttc,MATCH(B166,fa_num,0))-N(INDEX(fa_avoirs,MATCH(B166,fa_num,0)))+0.001,"Dépasse le montant de la facture","OK")))))))))</f>
        <v/>
      </c>
    </row>
    <row r="167">
      <c r="A167" s="61" t="n"/>
      <c r="B167" s="60" t="n"/>
      <c r="C167" s="68" t="n"/>
      <c r="D167" s="60" t="n"/>
      <c r="E167" s="63" t="n"/>
      <c r="F167" s="63" t="n"/>
      <c r="G167" s="62" t="str">
        <f>IF(B167="","",IFERROR(INDEX(fa_cname,MATCH(B167,fa_num,0))&amp;"",""))</f>
        <v/>
      </c>
      <c r="H167" s="59" t="str">
        <f>IF(COUNTA(A167:F167)=0,"",IF(A167="","Date manquante",IF(NOT(ISNUMBER(A167)),"Date invalide",IF(B167="","N° de facture manquant",IF(ISNA(MATCH(B167,fa_num,0)),"Facture inconnue",IF(INDEX(fa_type,MATCH(B167,fa_num,0))="Avoir","Paiement sur un avoir",IF(OR(NOT(ISNUMBER(C167)),N(C167)&lt;=0),"Montant invalide",IF(A167&lt;INDEX(fa_date,MATCH(B167,fa_num,0)),"Date antérieure à la facture",IF(SUMIF($B$6:B167,B167,$C$6:C167)&gt;INDEX(fa_ttc,MATCH(B167,fa_num,0))-N(INDEX(fa_avoirs,MATCH(B167,fa_num,0)))+0.001,"Dépasse le montant de la facture","OK")))))))))</f>
        <v/>
      </c>
    </row>
    <row r="168">
      <c r="A168" s="61" t="n"/>
      <c r="B168" s="60" t="n"/>
      <c r="C168" s="68" t="n"/>
      <c r="D168" s="60" t="n"/>
      <c r="E168" s="63" t="n"/>
      <c r="F168" s="63" t="n"/>
      <c r="G168" s="62" t="str">
        <f>IF(B168="","",IFERROR(INDEX(fa_cname,MATCH(B168,fa_num,0))&amp;"",""))</f>
        <v/>
      </c>
      <c r="H168" s="59" t="str">
        <f>IF(COUNTA(A168:F168)=0,"",IF(A168="","Date manquante",IF(NOT(ISNUMBER(A168)),"Date invalide",IF(B168="","N° de facture manquant",IF(ISNA(MATCH(B168,fa_num,0)),"Facture inconnue",IF(INDEX(fa_type,MATCH(B168,fa_num,0))="Avoir","Paiement sur un avoir",IF(OR(NOT(ISNUMBER(C168)),N(C168)&lt;=0),"Montant invalide",IF(A168&lt;INDEX(fa_date,MATCH(B168,fa_num,0)),"Date antérieure à la facture",IF(SUMIF($B$6:B168,B168,$C$6:C168)&gt;INDEX(fa_ttc,MATCH(B168,fa_num,0))-N(INDEX(fa_avoirs,MATCH(B168,fa_num,0)))+0.001,"Dépasse le montant de la facture","OK")))))))))</f>
        <v/>
      </c>
    </row>
    <row r="169">
      <c r="A169" s="61" t="n"/>
      <c r="B169" s="60" t="n"/>
      <c r="C169" s="68" t="n"/>
      <c r="D169" s="60" t="n"/>
      <c r="E169" s="63" t="n"/>
      <c r="F169" s="63" t="n"/>
      <c r="G169" s="62" t="str">
        <f>IF(B169="","",IFERROR(INDEX(fa_cname,MATCH(B169,fa_num,0))&amp;"",""))</f>
        <v/>
      </c>
      <c r="H169" s="59" t="str">
        <f>IF(COUNTA(A169:F169)=0,"",IF(A169="","Date manquante",IF(NOT(ISNUMBER(A169)),"Date invalide",IF(B169="","N° de facture manquant",IF(ISNA(MATCH(B169,fa_num,0)),"Facture inconnue",IF(INDEX(fa_type,MATCH(B169,fa_num,0))="Avoir","Paiement sur un avoir",IF(OR(NOT(ISNUMBER(C169)),N(C169)&lt;=0),"Montant invalide",IF(A169&lt;INDEX(fa_date,MATCH(B169,fa_num,0)),"Date antérieure à la facture",IF(SUMIF($B$6:B169,B169,$C$6:C169)&gt;INDEX(fa_ttc,MATCH(B169,fa_num,0))-N(INDEX(fa_avoirs,MATCH(B169,fa_num,0)))+0.001,"Dépasse le montant de la facture","OK")))))))))</f>
        <v/>
      </c>
    </row>
    <row r="170">
      <c r="A170" s="61" t="n"/>
      <c r="B170" s="60" t="n"/>
      <c r="C170" s="68" t="n"/>
      <c r="D170" s="60" t="n"/>
      <c r="E170" s="63" t="n"/>
      <c r="F170" s="63" t="n"/>
      <c r="G170" s="62" t="str">
        <f>IF(B170="","",IFERROR(INDEX(fa_cname,MATCH(B170,fa_num,0))&amp;"",""))</f>
        <v/>
      </c>
      <c r="H170" s="59" t="str">
        <f>IF(COUNTA(A170:F170)=0,"",IF(A170="","Date manquante",IF(NOT(ISNUMBER(A170)),"Date invalide",IF(B170="","N° de facture manquant",IF(ISNA(MATCH(B170,fa_num,0)),"Facture inconnue",IF(INDEX(fa_type,MATCH(B170,fa_num,0))="Avoir","Paiement sur un avoir",IF(OR(NOT(ISNUMBER(C170)),N(C170)&lt;=0),"Montant invalide",IF(A170&lt;INDEX(fa_date,MATCH(B170,fa_num,0)),"Date antérieure à la facture",IF(SUMIF($B$6:B170,B170,$C$6:C170)&gt;INDEX(fa_ttc,MATCH(B170,fa_num,0))-N(INDEX(fa_avoirs,MATCH(B170,fa_num,0)))+0.001,"Dépasse le montant de la facture","OK")))))))))</f>
        <v/>
      </c>
    </row>
    <row r="171">
      <c r="A171" s="61" t="n"/>
      <c r="B171" s="60" t="n"/>
      <c r="C171" s="68" t="n"/>
      <c r="D171" s="60" t="n"/>
      <c r="E171" s="63" t="n"/>
      <c r="F171" s="63" t="n"/>
      <c r="G171" s="62" t="str">
        <f>IF(B171="","",IFERROR(INDEX(fa_cname,MATCH(B171,fa_num,0))&amp;"",""))</f>
        <v/>
      </c>
      <c r="H171" s="59" t="str">
        <f>IF(COUNTA(A171:F171)=0,"",IF(A171="","Date manquante",IF(NOT(ISNUMBER(A171)),"Date invalide",IF(B171="","N° de facture manquant",IF(ISNA(MATCH(B171,fa_num,0)),"Facture inconnue",IF(INDEX(fa_type,MATCH(B171,fa_num,0))="Avoir","Paiement sur un avoir",IF(OR(NOT(ISNUMBER(C171)),N(C171)&lt;=0),"Montant invalide",IF(A171&lt;INDEX(fa_date,MATCH(B171,fa_num,0)),"Date antérieure à la facture",IF(SUMIF($B$6:B171,B171,$C$6:C171)&gt;INDEX(fa_ttc,MATCH(B171,fa_num,0))-N(INDEX(fa_avoirs,MATCH(B171,fa_num,0)))+0.001,"Dépasse le montant de la facture","OK")))))))))</f>
        <v/>
      </c>
    </row>
    <row r="172">
      <c r="A172" s="61" t="n"/>
      <c r="B172" s="60" t="n"/>
      <c r="C172" s="68" t="n"/>
      <c r="D172" s="60" t="n"/>
      <c r="E172" s="63" t="n"/>
      <c r="F172" s="63" t="n"/>
      <c r="G172" s="62" t="str">
        <f>IF(B172="","",IFERROR(INDEX(fa_cname,MATCH(B172,fa_num,0))&amp;"",""))</f>
        <v/>
      </c>
      <c r="H172" s="59" t="str">
        <f>IF(COUNTA(A172:F172)=0,"",IF(A172="","Date manquante",IF(NOT(ISNUMBER(A172)),"Date invalide",IF(B172="","N° de facture manquant",IF(ISNA(MATCH(B172,fa_num,0)),"Facture inconnue",IF(INDEX(fa_type,MATCH(B172,fa_num,0))="Avoir","Paiement sur un avoir",IF(OR(NOT(ISNUMBER(C172)),N(C172)&lt;=0),"Montant invalide",IF(A172&lt;INDEX(fa_date,MATCH(B172,fa_num,0)),"Date antérieure à la facture",IF(SUMIF($B$6:B172,B172,$C$6:C172)&gt;INDEX(fa_ttc,MATCH(B172,fa_num,0))-N(INDEX(fa_avoirs,MATCH(B172,fa_num,0)))+0.001,"Dépasse le montant de la facture","OK")))))))))</f>
        <v/>
      </c>
    </row>
    <row r="173">
      <c r="A173" s="61" t="n"/>
      <c r="B173" s="60" t="n"/>
      <c r="C173" s="68" t="n"/>
      <c r="D173" s="60" t="n"/>
      <c r="E173" s="63" t="n"/>
      <c r="F173" s="63" t="n"/>
      <c r="G173" s="62" t="str">
        <f>IF(B173="","",IFERROR(INDEX(fa_cname,MATCH(B173,fa_num,0))&amp;"",""))</f>
        <v/>
      </c>
      <c r="H173" s="59" t="str">
        <f>IF(COUNTA(A173:F173)=0,"",IF(A173="","Date manquante",IF(NOT(ISNUMBER(A173)),"Date invalide",IF(B173="","N° de facture manquant",IF(ISNA(MATCH(B173,fa_num,0)),"Facture inconnue",IF(INDEX(fa_type,MATCH(B173,fa_num,0))="Avoir","Paiement sur un avoir",IF(OR(NOT(ISNUMBER(C173)),N(C173)&lt;=0),"Montant invalide",IF(A173&lt;INDEX(fa_date,MATCH(B173,fa_num,0)),"Date antérieure à la facture",IF(SUMIF($B$6:B173,B173,$C$6:C173)&gt;INDEX(fa_ttc,MATCH(B173,fa_num,0))-N(INDEX(fa_avoirs,MATCH(B173,fa_num,0)))+0.001,"Dépasse le montant de la facture","OK")))))))))</f>
        <v/>
      </c>
    </row>
    <row r="174">
      <c r="A174" s="61" t="n"/>
      <c r="B174" s="60" t="n"/>
      <c r="C174" s="68" t="n"/>
      <c r="D174" s="60" t="n"/>
      <c r="E174" s="63" t="n"/>
      <c r="F174" s="63" t="n"/>
      <c r="G174" s="62" t="str">
        <f>IF(B174="","",IFERROR(INDEX(fa_cname,MATCH(B174,fa_num,0))&amp;"",""))</f>
        <v/>
      </c>
      <c r="H174" s="59" t="str">
        <f>IF(COUNTA(A174:F174)=0,"",IF(A174="","Date manquante",IF(NOT(ISNUMBER(A174)),"Date invalide",IF(B174="","N° de facture manquant",IF(ISNA(MATCH(B174,fa_num,0)),"Facture inconnue",IF(INDEX(fa_type,MATCH(B174,fa_num,0))="Avoir","Paiement sur un avoir",IF(OR(NOT(ISNUMBER(C174)),N(C174)&lt;=0),"Montant invalide",IF(A174&lt;INDEX(fa_date,MATCH(B174,fa_num,0)),"Date antérieure à la facture",IF(SUMIF($B$6:B174,B174,$C$6:C174)&gt;INDEX(fa_ttc,MATCH(B174,fa_num,0))-N(INDEX(fa_avoirs,MATCH(B174,fa_num,0)))+0.001,"Dépasse le montant de la facture","OK")))))))))</f>
        <v/>
      </c>
    </row>
    <row r="175">
      <c r="A175" s="61" t="n"/>
      <c r="B175" s="60" t="n"/>
      <c r="C175" s="68" t="n"/>
      <c r="D175" s="60" t="n"/>
      <c r="E175" s="63" t="n"/>
      <c r="F175" s="63" t="n"/>
      <c r="G175" s="62" t="str">
        <f>IF(B175="","",IFERROR(INDEX(fa_cname,MATCH(B175,fa_num,0))&amp;"",""))</f>
        <v/>
      </c>
      <c r="H175" s="59" t="str">
        <f>IF(COUNTA(A175:F175)=0,"",IF(A175="","Date manquante",IF(NOT(ISNUMBER(A175)),"Date invalide",IF(B175="","N° de facture manquant",IF(ISNA(MATCH(B175,fa_num,0)),"Facture inconnue",IF(INDEX(fa_type,MATCH(B175,fa_num,0))="Avoir","Paiement sur un avoir",IF(OR(NOT(ISNUMBER(C175)),N(C175)&lt;=0),"Montant invalide",IF(A175&lt;INDEX(fa_date,MATCH(B175,fa_num,0)),"Date antérieure à la facture",IF(SUMIF($B$6:B175,B175,$C$6:C175)&gt;INDEX(fa_ttc,MATCH(B175,fa_num,0))-N(INDEX(fa_avoirs,MATCH(B175,fa_num,0)))+0.001,"Dépasse le montant de la facture","OK")))))))))</f>
        <v/>
      </c>
    </row>
    <row r="176">
      <c r="A176" s="61" t="n"/>
      <c r="B176" s="60" t="n"/>
      <c r="C176" s="68" t="n"/>
      <c r="D176" s="60" t="n"/>
      <c r="E176" s="63" t="n"/>
      <c r="F176" s="63" t="n"/>
      <c r="G176" s="62" t="str">
        <f>IF(B176="","",IFERROR(INDEX(fa_cname,MATCH(B176,fa_num,0))&amp;"",""))</f>
        <v/>
      </c>
      <c r="H176" s="59" t="str">
        <f>IF(COUNTA(A176:F176)=0,"",IF(A176="","Date manquante",IF(NOT(ISNUMBER(A176)),"Date invalide",IF(B176="","N° de facture manquant",IF(ISNA(MATCH(B176,fa_num,0)),"Facture inconnue",IF(INDEX(fa_type,MATCH(B176,fa_num,0))="Avoir","Paiement sur un avoir",IF(OR(NOT(ISNUMBER(C176)),N(C176)&lt;=0),"Montant invalide",IF(A176&lt;INDEX(fa_date,MATCH(B176,fa_num,0)),"Date antérieure à la facture",IF(SUMIF($B$6:B176,B176,$C$6:C176)&gt;INDEX(fa_ttc,MATCH(B176,fa_num,0))-N(INDEX(fa_avoirs,MATCH(B176,fa_num,0)))+0.001,"Dépasse le montant de la facture","OK")))))))))</f>
        <v/>
      </c>
    </row>
    <row r="177">
      <c r="A177" s="61" t="n"/>
      <c r="B177" s="60" t="n"/>
      <c r="C177" s="68" t="n"/>
      <c r="D177" s="60" t="n"/>
      <c r="E177" s="63" t="n"/>
      <c r="F177" s="63" t="n"/>
      <c r="G177" s="62" t="str">
        <f>IF(B177="","",IFERROR(INDEX(fa_cname,MATCH(B177,fa_num,0))&amp;"",""))</f>
        <v/>
      </c>
      <c r="H177" s="59" t="str">
        <f>IF(COUNTA(A177:F177)=0,"",IF(A177="","Date manquante",IF(NOT(ISNUMBER(A177)),"Date invalide",IF(B177="","N° de facture manquant",IF(ISNA(MATCH(B177,fa_num,0)),"Facture inconnue",IF(INDEX(fa_type,MATCH(B177,fa_num,0))="Avoir","Paiement sur un avoir",IF(OR(NOT(ISNUMBER(C177)),N(C177)&lt;=0),"Montant invalide",IF(A177&lt;INDEX(fa_date,MATCH(B177,fa_num,0)),"Date antérieure à la facture",IF(SUMIF($B$6:B177,B177,$C$6:C177)&gt;INDEX(fa_ttc,MATCH(B177,fa_num,0))-N(INDEX(fa_avoirs,MATCH(B177,fa_num,0)))+0.001,"Dépasse le montant de la facture","OK")))))))))</f>
        <v/>
      </c>
    </row>
    <row r="178">
      <c r="A178" s="61" t="n"/>
      <c r="B178" s="60" t="n"/>
      <c r="C178" s="68" t="n"/>
      <c r="D178" s="60" t="n"/>
      <c r="E178" s="63" t="n"/>
      <c r="F178" s="63" t="n"/>
      <c r="G178" s="62" t="str">
        <f>IF(B178="","",IFERROR(INDEX(fa_cname,MATCH(B178,fa_num,0))&amp;"",""))</f>
        <v/>
      </c>
      <c r="H178" s="59" t="str">
        <f>IF(COUNTA(A178:F178)=0,"",IF(A178="","Date manquante",IF(NOT(ISNUMBER(A178)),"Date invalide",IF(B178="","N° de facture manquant",IF(ISNA(MATCH(B178,fa_num,0)),"Facture inconnue",IF(INDEX(fa_type,MATCH(B178,fa_num,0))="Avoir","Paiement sur un avoir",IF(OR(NOT(ISNUMBER(C178)),N(C178)&lt;=0),"Montant invalide",IF(A178&lt;INDEX(fa_date,MATCH(B178,fa_num,0)),"Date antérieure à la facture",IF(SUMIF($B$6:B178,B178,$C$6:C178)&gt;INDEX(fa_ttc,MATCH(B178,fa_num,0))-N(INDEX(fa_avoirs,MATCH(B178,fa_num,0)))+0.001,"Dépasse le montant de la facture","OK")))))))))</f>
        <v/>
      </c>
    </row>
    <row r="179">
      <c r="A179" s="61" t="n"/>
      <c r="B179" s="60" t="n"/>
      <c r="C179" s="68" t="n"/>
      <c r="D179" s="60" t="n"/>
      <c r="E179" s="63" t="n"/>
      <c r="F179" s="63" t="n"/>
      <c r="G179" s="62" t="str">
        <f>IF(B179="","",IFERROR(INDEX(fa_cname,MATCH(B179,fa_num,0))&amp;"",""))</f>
        <v/>
      </c>
      <c r="H179" s="59" t="str">
        <f>IF(COUNTA(A179:F179)=0,"",IF(A179="","Date manquante",IF(NOT(ISNUMBER(A179)),"Date invalide",IF(B179="","N° de facture manquant",IF(ISNA(MATCH(B179,fa_num,0)),"Facture inconnue",IF(INDEX(fa_type,MATCH(B179,fa_num,0))="Avoir","Paiement sur un avoir",IF(OR(NOT(ISNUMBER(C179)),N(C179)&lt;=0),"Montant invalide",IF(A179&lt;INDEX(fa_date,MATCH(B179,fa_num,0)),"Date antérieure à la facture",IF(SUMIF($B$6:B179,B179,$C$6:C179)&gt;INDEX(fa_ttc,MATCH(B179,fa_num,0))-N(INDEX(fa_avoirs,MATCH(B179,fa_num,0)))+0.001,"Dépasse le montant de la facture","OK")))))))))</f>
        <v/>
      </c>
    </row>
    <row r="180">
      <c r="A180" s="61" t="n"/>
      <c r="B180" s="60" t="n"/>
      <c r="C180" s="68" t="n"/>
      <c r="D180" s="60" t="n"/>
      <c r="E180" s="63" t="n"/>
      <c r="F180" s="63" t="n"/>
      <c r="G180" s="62" t="str">
        <f>IF(B180="","",IFERROR(INDEX(fa_cname,MATCH(B180,fa_num,0))&amp;"",""))</f>
        <v/>
      </c>
      <c r="H180" s="59" t="str">
        <f>IF(COUNTA(A180:F180)=0,"",IF(A180="","Date manquante",IF(NOT(ISNUMBER(A180)),"Date invalide",IF(B180="","N° de facture manquant",IF(ISNA(MATCH(B180,fa_num,0)),"Facture inconnue",IF(INDEX(fa_type,MATCH(B180,fa_num,0))="Avoir","Paiement sur un avoir",IF(OR(NOT(ISNUMBER(C180)),N(C180)&lt;=0),"Montant invalide",IF(A180&lt;INDEX(fa_date,MATCH(B180,fa_num,0)),"Date antérieure à la facture",IF(SUMIF($B$6:B180,B180,$C$6:C180)&gt;INDEX(fa_ttc,MATCH(B180,fa_num,0))-N(INDEX(fa_avoirs,MATCH(B180,fa_num,0)))+0.001,"Dépasse le montant de la facture","OK")))))))))</f>
        <v/>
      </c>
    </row>
    <row r="181">
      <c r="A181" s="61" t="n"/>
      <c r="B181" s="60" t="n"/>
      <c r="C181" s="68" t="n"/>
      <c r="D181" s="60" t="n"/>
      <c r="E181" s="63" t="n"/>
      <c r="F181" s="63" t="n"/>
      <c r="G181" s="62" t="str">
        <f>IF(B181="","",IFERROR(INDEX(fa_cname,MATCH(B181,fa_num,0))&amp;"",""))</f>
        <v/>
      </c>
      <c r="H181" s="59" t="str">
        <f>IF(COUNTA(A181:F181)=0,"",IF(A181="","Date manquante",IF(NOT(ISNUMBER(A181)),"Date invalide",IF(B181="","N° de facture manquant",IF(ISNA(MATCH(B181,fa_num,0)),"Facture inconnue",IF(INDEX(fa_type,MATCH(B181,fa_num,0))="Avoir","Paiement sur un avoir",IF(OR(NOT(ISNUMBER(C181)),N(C181)&lt;=0),"Montant invalide",IF(A181&lt;INDEX(fa_date,MATCH(B181,fa_num,0)),"Date antérieure à la facture",IF(SUMIF($B$6:B181,B181,$C$6:C181)&gt;INDEX(fa_ttc,MATCH(B181,fa_num,0))-N(INDEX(fa_avoirs,MATCH(B181,fa_num,0)))+0.001,"Dépasse le montant de la facture","OK")))))))))</f>
        <v/>
      </c>
    </row>
    <row r="182">
      <c r="A182" s="61" t="n"/>
      <c r="B182" s="60" t="n"/>
      <c r="C182" s="68" t="n"/>
      <c r="D182" s="60" t="n"/>
      <c r="E182" s="63" t="n"/>
      <c r="F182" s="63" t="n"/>
      <c r="G182" s="62" t="str">
        <f>IF(B182="","",IFERROR(INDEX(fa_cname,MATCH(B182,fa_num,0))&amp;"",""))</f>
        <v/>
      </c>
      <c r="H182" s="59" t="str">
        <f>IF(COUNTA(A182:F182)=0,"",IF(A182="","Date manquante",IF(NOT(ISNUMBER(A182)),"Date invalide",IF(B182="","N° de facture manquant",IF(ISNA(MATCH(B182,fa_num,0)),"Facture inconnue",IF(INDEX(fa_type,MATCH(B182,fa_num,0))="Avoir","Paiement sur un avoir",IF(OR(NOT(ISNUMBER(C182)),N(C182)&lt;=0),"Montant invalide",IF(A182&lt;INDEX(fa_date,MATCH(B182,fa_num,0)),"Date antérieure à la facture",IF(SUMIF($B$6:B182,B182,$C$6:C182)&gt;INDEX(fa_ttc,MATCH(B182,fa_num,0))-N(INDEX(fa_avoirs,MATCH(B182,fa_num,0)))+0.001,"Dépasse le montant de la facture","OK")))))))))</f>
        <v/>
      </c>
    </row>
    <row r="183">
      <c r="A183" s="61" t="n"/>
      <c r="B183" s="60" t="n"/>
      <c r="C183" s="68" t="n"/>
      <c r="D183" s="60" t="n"/>
      <c r="E183" s="63" t="n"/>
      <c r="F183" s="63" t="n"/>
      <c r="G183" s="62" t="str">
        <f>IF(B183="","",IFERROR(INDEX(fa_cname,MATCH(B183,fa_num,0))&amp;"",""))</f>
        <v/>
      </c>
      <c r="H183" s="59" t="str">
        <f>IF(COUNTA(A183:F183)=0,"",IF(A183="","Date manquante",IF(NOT(ISNUMBER(A183)),"Date invalide",IF(B183="","N° de facture manquant",IF(ISNA(MATCH(B183,fa_num,0)),"Facture inconnue",IF(INDEX(fa_type,MATCH(B183,fa_num,0))="Avoir","Paiement sur un avoir",IF(OR(NOT(ISNUMBER(C183)),N(C183)&lt;=0),"Montant invalide",IF(A183&lt;INDEX(fa_date,MATCH(B183,fa_num,0)),"Date antérieure à la facture",IF(SUMIF($B$6:B183,B183,$C$6:C183)&gt;INDEX(fa_ttc,MATCH(B183,fa_num,0))-N(INDEX(fa_avoirs,MATCH(B183,fa_num,0)))+0.001,"Dépasse le montant de la facture","OK")))))))))</f>
        <v/>
      </c>
    </row>
    <row r="184">
      <c r="A184" s="61" t="n"/>
      <c r="B184" s="60" t="n"/>
      <c r="C184" s="68" t="n"/>
      <c r="D184" s="60" t="n"/>
      <c r="E184" s="63" t="n"/>
      <c r="F184" s="63" t="n"/>
      <c r="G184" s="62" t="str">
        <f>IF(B184="","",IFERROR(INDEX(fa_cname,MATCH(B184,fa_num,0))&amp;"",""))</f>
        <v/>
      </c>
      <c r="H184" s="59" t="str">
        <f>IF(COUNTA(A184:F184)=0,"",IF(A184="","Date manquante",IF(NOT(ISNUMBER(A184)),"Date invalide",IF(B184="","N° de facture manquant",IF(ISNA(MATCH(B184,fa_num,0)),"Facture inconnue",IF(INDEX(fa_type,MATCH(B184,fa_num,0))="Avoir","Paiement sur un avoir",IF(OR(NOT(ISNUMBER(C184)),N(C184)&lt;=0),"Montant invalide",IF(A184&lt;INDEX(fa_date,MATCH(B184,fa_num,0)),"Date antérieure à la facture",IF(SUMIF($B$6:B184,B184,$C$6:C184)&gt;INDEX(fa_ttc,MATCH(B184,fa_num,0))-N(INDEX(fa_avoirs,MATCH(B184,fa_num,0)))+0.001,"Dépasse le montant de la facture","OK")))))))))</f>
        <v/>
      </c>
    </row>
    <row r="185">
      <c r="A185" s="61" t="n"/>
      <c r="B185" s="60" t="n"/>
      <c r="C185" s="68" t="n"/>
      <c r="D185" s="60" t="n"/>
      <c r="E185" s="63" t="n"/>
      <c r="F185" s="63" t="n"/>
      <c r="G185" s="62" t="str">
        <f>IF(B185="","",IFERROR(INDEX(fa_cname,MATCH(B185,fa_num,0))&amp;"",""))</f>
        <v/>
      </c>
      <c r="H185" s="59" t="str">
        <f>IF(COUNTA(A185:F185)=0,"",IF(A185="","Date manquante",IF(NOT(ISNUMBER(A185)),"Date invalide",IF(B185="","N° de facture manquant",IF(ISNA(MATCH(B185,fa_num,0)),"Facture inconnue",IF(INDEX(fa_type,MATCH(B185,fa_num,0))="Avoir","Paiement sur un avoir",IF(OR(NOT(ISNUMBER(C185)),N(C185)&lt;=0),"Montant invalide",IF(A185&lt;INDEX(fa_date,MATCH(B185,fa_num,0)),"Date antérieure à la facture",IF(SUMIF($B$6:B185,B185,$C$6:C185)&gt;INDEX(fa_ttc,MATCH(B185,fa_num,0))-N(INDEX(fa_avoirs,MATCH(B185,fa_num,0)))+0.001,"Dépasse le montant de la facture","OK")))))))))</f>
        <v/>
      </c>
    </row>
    <row r="186">
      <c r="A186" s="61" t="n"/>
      <c r="B186" s="60" t="n"/>
      <c r="C186" s="68" t="n"/>
      <c r="D186" s="60" t="n"/>
      <c r="E186" s="63" t="n"/>
      <c r="F186" s="63" t="n"/>
      <c r="G186" s="62" t="str">
        <f>IF(B186="","",IFERROR(INDEX(fa_cname,MATCH(B186,fa_num,0))&amp;"",""))</f>
        <v/>
      </c>
      <c r="H186" s="59" t="str">
        <f>IF(COUNTA(A186:F186)=0,"",IF(A186="","Date manquante",IF(NOT(ISNUMBER(A186)),"Date invalide",IF(B186="","N° de facture manquant",IF(ISNA(MATCH(B186,fa_num,0)),"Facture inconnue",IF(INDEX(fa_type,MATCH(B186,fa_num,0))="Avoir","Paiement sur un avoir",IF(OR(NOT(ISNUMBER(C186)),N(C186)&lt;=0),"Montant invalide",IF(A186&lt;INDEX(fa_date,MATCH(B186,fa_num,0)),"Date antérieure à la facture",IF(SUMIF($B$6:B186,B186,$C$6:C186)&gt;INDEX(fa_ttc,MATCH(B186,fa_num,0))-N(INDEX(fa_avoirs,MATCH(B186,fa_num,0)))+0.001,"Dépasse le montant de la facture","OK")))))))))</f>
        <v/>
      </c>
    </row>
    <row r="187">
      <c r="A187" s="61" t="n"/>
      <c r="B187" s="60" t="n"/>
      <c r="C187" s="68" t="n"/>
      <c r="D187" s="60" t="n"/>
      <c r="E187" s="63" t="n"/>
      <c r="F187" s="63" t="n"/>
      <c r="G187" s="62" t="str">
        <f>IF(B187="","",IFERROR(INDEX(fa_cname,MATCH(B187,fa_num,0))&amp;"",""))</f>
        <v/>
      </c>
      <c r="H187" s="59" t="str">
        <f>IF(COUNTA(A187:F187)=0,"",IF(A187="","Date manquante",IF(NOT(ISNUMBER(A187)),"Date invalide",IF(B187="","N° de facture manquant",IF(ISNA(MATCH(B187,fa_num,0)),"Facture inconnue",IF(INDEX(fa_type,MATCH(B187,fa_num,0))="Avoir","Paiement sur un avoir",IF(OR(NOT(ISNUMBER(C187)),N(C187)&lt;=0),"Montant invalide",IF(A187&lt;INDEX(fa_date,MATCH(B187,fa_num,0)),"Date antérieure à la facture",IF(SUMIF($B$6:B187,B187,$C$6:C187)&gt;INDEX(fa_ttc,MATCH(B187,fa_num,0))-N(INDEX(fa_avoirs,MATCH(B187,fa_num,0)))+0.001,"Dépasse le montant de la facture","OK")))))))))</f>
        <v/>
      </c>
    </row>
    <row r="188">
      <c r="A188" s="61" t="n"/>
      <c r="B188" s="60" t="n"/>
      <c r="C188" s="68" t="n"/>
      <c r="D188" s="60" t="n"/>
      <c r="E188" s="63" t="n"/>
      <c r="F188" s="63" t="n"/>
      <c r="G188" s="62" t="str">
        <f>IF(B188="","",IFERROR(INDEX(fa_cname,MATCH(B188,fa_num,0))&amp;"",""))</f>
        <v/>
      </c>
      <c r="H188" s="59" t="str">
        <f>IF(COUNTA(A188:F188)=0,"",IF(A188="","Date manquante",IF(NOT(ISNUMBER(A188)),"Date invalide",IF(B188="","N° de facture manquant",IF(ISNA(MATCH(B188,fa_num,0)),"Facture inconnue",IF(INDEX(fa_type,MATCH(B188,fa_num,0))="Avoir","Paiement sur un avoir",IF(OR(NOT(ISNUMBER(C188)),N(C188)&lt;=0),"Montant invalide",IF(A188&lt;INDEX(fa_date,MATCH(B188,fa_num,0)),"Date antérieure à la facture",IF(SUMIF($B$6:B188,B188,$C$6:C188)&gt;INDEX(fa_ttc,MATCH(B188,fa_num,0))-N(INDEX(fa_avoirs,MATCH(B188,fa_num,0)))+0.001,"Dépasse le montant de la facture","OK")))))))))</f>
        <v/>
      </c>
    </row>
    <row r="189">
      <c r="A189" s="61" t="n"/>
      <c r="B189" s="60" t="n"/>
      <c r="C189" s="68" t="n"/>
      <c r="D189" s="60" t="n"/>
      <c r="E189" s="63" t="n"/>
      <c r="F189" s="63" t="n"/>
      <c r="G189" s="62" t="str">
        <f>IF(B189="","",IFERROR(INDEX(fa_cname,MATCH(B189,fa_num,0))&amp;"",""))</f>
        <v/>
      </c>
      <c r="H189" s="59" t="str">
        <f>IF(COUNTA(A189:F189)=0,"",IF(A189="","Date manquante",IF(NOT(ISNUMBER(A189)),"Date invalide",IF(B189="","N° de facture manquant",IF(ISNA(MATCH(B189,fa_num,0)),"Facture inconnue",IF(INDEX(fa_type,MATCH(B189,fa_num,0))="Avoir","Paiement sur un avoir",IF(OR(NOT(ISNUMBER(C189)),N(C189)&lt;=0),"Montant invalide",IF(A189&lt;INDEX(fa_date,MATCH(B189,fa_num,0)),"Date antérieure à la facture",IF(SUMIF($B$6:B189,B189,$C$6:C189)&gt;INDEX(fa_ttc,MATCH(B189,fa_num,0))-N(INDEX(fa_avoirs,MATCH(B189,fa_num,0)))+0.001,"Dépasse le montant de la facture","OK")))))))))</f>
        <v/>
      </c>
    </row>
    <row r="190">
      <c r="A190" s="61" t="n"/>
      <c r="B190" s="60" t="n"/>
      <c r="C190" s="68" t="n"/>
      <c r="D190" s="60" t="n"/>
      <c r="E190" s="63" t="n"/>
      <c r="F190" s="63" t="n"/>
      <c r="G190" s="62" t="str">
        <f>IF(B190="","",IFERROR(INDEX(fa_cname,MATCH(B190,fa_num,0))&amp;"",""))</f>
        <v/>
      </c>
      <c r="H190" s="59" t="str">
        <f>IF(COUNTA(A190:F190)=0,"",IF(A190="","Date manquante",IF(NOT(ISNUMBER(A190)),"Date invalide",IF(B190="","N° de facture manquant",IF(ISNA(MATCH(B190,fa_num,0)),"Facture inconnue",IF(INDEX(fa_type,MATCH(B190,fa_num,0))="Avoir","Paiement sur un avoir",IF(OR(NOT(ISNUMBER(C190)),N(C190)&lt;=0),"Montant invalide",IF(A190&lt;INDEX(fa_date,MATCH(B190,fa_num,0)),"Date antérieure à la facture",IF(SUMIF($B$6:B190,B190,$C$6:C190)&gt;INDEX(fa_ttc,MATCH(B190,fa_num,0))-N(INDEX(fa_avoirs,MATCH(B190,fa_num,0)))+0.001,"Dépasse le montant de la facture","OK")))))))))</f>
        <v/>
      </c>
    </row>
    <row r="191">
      <c r="A191" s="61" t="n"/>
      <c r="B191" s="60" t="n"/>
      <c r="C191" s="68" t="n"/>
      <c r="D191" s="60" t="n"/>
      <c r="E191" s="63" t="n"/>
      <c r="F191" s="63" t="n"/>
      <c r="G191" s="62" t="str">
        <f>IF(B191="","",IFERROR(INDEX(fa_cname,MATCH(B191,fa_num,0))&amp;"",""))</f>
        <v/>
      </c>
      <c r="H191" s="59" t="str">
        <f>IF(COUNTA(A191:F191)=0,"",IF(A191="","Date manquante",IF(NOT(ISNUMBER(A191)),"Date invalide",IF(B191="","N° de facture manquant",IF(ISNA(MATCH(B191,fa_num,0)),"Facture inconnue",IF(INDEX(fa_type,MATCH(B191,fa_num,0))="Avoir","Paiement sur un avoir",IF(OR(NOT(ISNUMBER(C191)),N(C191)&lt;=0),"Montant invalide",IF(A191&lt;INDEX(fa_date,MATCH(B191,fa_num,0)),"Date antérieure à la facture",IF(SUMIF($B$6:B191,B191,$C$6:C191)&gt;INDEX(fa_ttc,MATCH(B191,fa_num,0))-N(INDEX(fa_avoirs,MATCH(B191,fa_num,0)))+0.001,"Dépasse le montant de la facture","OK")))))))))</f>
        <v/>
      </c>
    </row>
    <row r="192">
      <c r="A192" s="61" t="n"/>
      <c r="B192" s="60" t="n"/>
      <c r="C192" s="68" t="n"/>
      <c r="D192" s="60" t="n"/>
      <c r="E192" s="63" t="n"/>
      <c r="F192" s="63" t="n"/>
      <c r="G192" s="62" t="str">
        <f>IF(B192="","",IFERROR(INDEX(fa_cname,MATCH(B192,fa_num,0))&amp;"",""))</f>
        <v/>
      </c>
      <c r="H192" s="59" t="str">
        <f>IF(COUNTA(A192:F192)=0,"",IF(A192="","Date manquante",IF(NOT(ISNUMBER(A192)),"Date invalide",IF(B192="","N° de facture manquant",IF(ISNA(MATCH(B192,fa_num,0)),"Facture inconnue",IF(INDEX(fa_type,MATCH(B192,fa_num,0))="Avoir","Paiement sur un avoir",IF(OR(NOT(ISNUMBER(C192)),N(C192)&lt;=0),"Montant invalide",IF(A192&lt;INDEX(fa_date,MATCH(B192,fa_num,0)),"Date antérieure à la facture",IF(SUMIF($B$6:B192,B192,$C$6:C192)&gt;INDEX(fa_ttc,MATCH(B192,fa_num,0))-N(INDEX(fa_avoirs,MATCH(B192,fa_num,0)))+0.001,"Dépasse le montant de la facture","OK")))))))))</f>
        <v/>
      </c>
    </row>
    <row r="193">
      <c r="A193" s="61" t="n"/>
      <c r="B193" s="60" t="n"/>
      <c r="C193" s="68" t="n"/>
      <c r="D193" s="60" t="n"/>
      <c r="E193" s="63" t="n"/>
      <c r="F193" s="63" t="n"/>
      <c r="G193" s="62" t="str">
        <f>IF(B193="","",IFERROR(INDEX(fa_cname,MATCH(B193,fa_num,0))&amp;"",""))</f>
        <v/>
      </c>
      <c r="H193" s="59" t="str">
        <f>IF(COUNTA(A193:F193)=0,"",IF(A193="","Date manquante",IF(NOT(ISNUMBER(A193)),"Date invalide",IF(B193="","N° de facture manquant",IF(ISNA(MATCH(B193,fa_num,0)),"Facture inconnue",IF(INDEX(fa_type,MATCH(B193,fa_num,0))="Avoir","Paiement sur un avoir",IF(OR(NOT(ISNUMBER(C193)),N(C193)&lt;=0),"Montant invalide",IF(A193&lt;INDEX(fa_date,MATCH(B193,fa_num,0)),"Date antérieure à la facture",IF(SUMIF($B$6:B193,B193,$C$6:C193)&gt;INDEX(fa_ttc,MATCH(B193,fa_num,0))-N(INDEX(fa_avoirs,MATCH(B193,fa_num,0)))+0.001,"Dépasse le montant de la facture","OK")))))))))</f>
        <v/>
      </c>
    </row>
    <row r="194">
      <c r="A194" s="61" t="n"/>
      <c r="B194" s="60" t="n"/>
      <c r="C194" s="68" t="n"/>
      <c r="D194" s="60" t="n"/>
      <c r="E194" s="63" t="n"/>
      <c r="F194" s="63" t="n"/>
      <c r="G194" s="62" t="str">
        <f>IF(B194="","",IFERROR(INDEX(fa_cname,MATCH(B194,fa_num,0))&amp;"",""))</f>
        <v/>
      </c>
      <c r="H194" s="59" t="str">
        <f>IF(COUNTA(A194:F194)=0,"",IF(A194="","Date manquante",IF(NOT(ISNUMBER(A194)),"Date invalide",IF(B194="","N° de facture manquant",IF(ISNA(MATCH(B194,fa_num,0)),"Facture inconnue",IF(INDEX(fa_type,MATCH(B194,fa_num,0))="Avoir","Paiement sur un avoir",IF(OR(NOT(ISNUMBER(C194)),N(C194)&lt;=0),"Montant invalide",IF(A194&lt;INDEX(fa_date,MATCH(B194,fa_num,0)),"Date antérieure à la facture",IF(SUMIF($B$6:B194,B194,$C$6:C194)&gt;INDEX(fa_ttc,MATCH(B194,fa_num,0))-N(INDEX(fa_avoirs,MATCH(B194,fa_num,0)))+0.001,"Dépasse le montant de la facture","OK")))))))))</f>
        <v/>
      </c>
    </row>
    <row r="195">
      <c r="A195" s="61" t="n"/>
      <c r="B195" s="60" t="n"/>
      <c r="C195" s="68" t="n"/>
      <c r="D195" s="60" t="n"/>
      <c r="E195" s="63" t="n"/>
      <c r="F195" s="63" t="n"/>
      <c r="G195" s="62" t="str">
        <f>IF(B195="","",IFERROR(INDEX(fa_cname,MATCH(B195,fa_num,0))&amp;"",""))</f>
        <v/>
      </c>
      <c r="H195" s="59" t="str">
        <f>IF(COUNTA(A195:F195)=0,"",IF(A195="","Date manquante",IF(NOT(ISNUMBER(A195)),"Date invalide",IF(B195="","N° de facture manquant",IF(ISNA(MATCH(B195,fa_num,0)),"Facture inconnue",IF(INDEX(fa_type,MATCH(B195,fa_num,0))="Avoir","Paiement sur un avoir",IF(OR(NOT(ISNUMBER(C195)),N(C195)&lt;=0),"Montant invalide",IF(A195&lt;INDEX(fa_date,MATCH(B195,fa_num,0)),"Date antérieure à la facture",IF(SUMIF($B$6:B195,B195,$C$6:C195)&gt;INDEX(fa_ttc,MATCH(B195,fa_num,0))-N(INDEX(fa_avoirs,MATCH(B195,fa_num,0)))+0.001,"Dépasse le montant de la facture","OK")))))))))</f>
        <v/>
      </c>
    </row>
    <row r="196">
      <c r="A196" s="61" t="n"/>
      <c r="B196" s="60" t="n"/>
      <c r="C196" s="68" t="n"/>
      <c r="D196" s="60" t="n"/>
      <c r="E196" s="63" t="n"/>
      <c r="F196" s="63" t="n"/>
      <c r="G196" s="62" t="str">
        <f>IF(B196="","",IFERROR(INDEX(fa_cname,MATCH(B196,fa_num,0))&amp;"",""))</f>
        <v/>
      </c>
      <c r="H196" s="59" t="str">
        <f>IF(COUNTA(A196:F196)=0,"",IF(A196="","Date manquante",IF(NOT(ISNUMBER(A196)),"Date invalide",IF(B196="","N° de facture manquant",IF(ISNA(MATCH(B196,fa_num,0)),"Facture inconnue",IF(INDEX(fa_type,MATCH(B196,fa_num,0))="Avoir","Paiement sur un avoir",IF(OR(NOT(ISNUMBER(C196)),N(C196)&lt;=0),"Montant invalide",IF(A196&lt;INDEX(fa_date,MATCH(B196,fa_num,0)),"Date antérieure à la facture",IF(SUMIF($B$6:B196,B196,$C$6:C196)&gt;INDEX(fa_ttc,MATCH(B196,fa_num,0))-N(INDEX(fa_avoirs,MATCH(B196,fa_num,0)))+0.001,"Dépasse le montant de la facture","OK")))))))))</f>
        <v/>
      </c>
    </row>
    <row r="197">
      <c r="A197" s="61" t="n"/>
      <c r="B197" s="60" t="n"/>
      <c r="C197" s="68" t="n"/>
      <c r="D197" s="60" t="n"/>
      <c r="E197" s="63" t="n"/>
      <c r="F197" s="63" t="n"/>
      <c r="G197" s="62" t="str">
        <f>IF(B197="","",IFERROR(INDEX(fa_cname,MATCH(B197,fa_num,0))&amp;"",""))</f>
        <v/>
      </c>
      <c r="H197" s="59" t="str">
        <f>IF(COUNTA(A197:F197)=0,"",IF(A197="","Date manquante",IF(NOT(ISNUMBER(A197)),"Date invalide",IF(B197="","N° de facture manquant",IF(ISNA(MATCH(B197,fa_num,0)),"Facture inconnue",IF(INDEX(fa_type,MATCH(B197,fa_num,0))="Avoir","Paiement sur un avoir",IF(OR(NOT(ISNUMBER(C197)),N(C197)&lt;=0),"Montant invalide",IF(A197&lt;INDEX(fa_date,MATCH(B197,fa_num,0)),"Date antérieure à la facture",IF(SUMIF($B$6:B197,B197,$C$6:C197)&gt;INDEX(fa_ttc,MATCH(B197,fa_num,0))-N(INDEX(fa_avoirs,MATCH(B197,fa_num,0)))+0.001,"Dépasse le montant de la facture","OK")))))))))</f>
        <v/>
      </c>
    </row>
    <row r="198">
      <c r="A198" s="61" t="n"/>
      <c r="B198" s="60" t="n"/>
      <c r="C198" s="68" t="n"/>
      <c r="D198" s="60" t="n"/>
      <c r="E198" s="63" t="n"/>
      <c r="F198" s="63" t="n"/>
      <c r="G198" s="62" t="str">
        <f>IF(B198="","",IFERROR(INDEX(fa_cname,MATCH(B198,fa_num,0))&amp;"",""))</f>
        <v/>
      </c>
      <c r="H198" s="59" t="str">
        <f>IF(COUNTA(A198:F198)=0,"",IF(A198="","Date manquante",IF(NOT(ISNUMBER(A198)),"Date invalide",IF(B198="","N° de facture manquant",IF(ISNA(MATCH(B198,fa_num,0)),"Facture inconnue",IF(INDEX(fa_type,MATCH(B198,fa_num,0))="Avoir","Paiement sur un avoir",IF(OR(NOT(ISNUMBER(C198)),N(C198)&lt;=0),"Montant invalide",IF(A198&lt;INDEX(fa_date,MATCH(B198,fa_num,0)),"Date antérieure à la facture",IF(SUMIF($B$6:B198,B198,$C$6:C198)&gt;INDEX(fa_ttc,MATCH(B198,fa_num,0))-N(INDEX(fa_avoirs,MATCH(B198,fa_num,0)))+0.001,"Dépasse le montant de la facture","OK")))))))))</f>
        <v/>
      </c>
    </row>
    <row r="199">
      <c r="A199" s="61" t="n"/>
      <c r="B199" s="60" t="n"/>
      <c r="C199" s="68" t="n"/>
      <c r="D199" s="60" t="n"/>
      <c r="E199" s="63" t="n"/>
      <c r="F199" s="63" t="n"/>
      <c r="G199" s="62" t="str">
        <f>IF(B199="","",IFERROR(INDEX(fa_cname,MATCH(B199,fa_num,0))&amp;"",""))</f>
        <v/>
      </c>
      <c r="H199" s="59" t="str">
        <f>IF(COUNTA(A199:F199)=0,"",IF(A199="","Date manquante",IF(NOT(ISNUMBER(A199)),"Date invalide",IF(B199="","N° de facture manquant",IF(ISNA(MATCH(B199,fa_num,0)),"Facture inconnue",IF(INDEX(fa_type,MATCH(B199,fa_num,0))="Avoir","Paiement sur un avoir",IF(OR(NOT(ISNUMBER(C199)),N(C199)&lt;=0),"Montant invalide",IF(A199&lt;INDEX(fa_date,MATCH(B199,fa_num,0)),"Date antérieure à la facture",IF(SUMIF($B$6:B199,B199,$C$6:C199)&gt;INDEX(fa_ttc,MATCH(B199,fa_num,0))-N(INDEX(fa_avoirs,MATCH(B199,fa_num,0)))+0.001,"Dépasse le montant de la facture","OK")))))))))</f>
        <v/>
      </c>
    </row>
    <row r="200">
      <c r="A200" s="61" t="n"/>
      <c r="B200" s="60" t="n"/>
      <c r="C200" s="68" t="n"/>
      <c r="D200" s="60" t="n"/>
      <c r="E200" s="63" t="n"/>
      <c r="F200" s="63" t="n"/>
      <c r="G200" s="62" t="str">
        <f>IF(B200="","",IFERROR(INDEX(fa_cname,MATCH(B200,fa_num,0))&amp;"",""))</f>
        <v/>
      </c>
      <c r="H200" s="59" t="str">
        <f>IF(COUNTA(A200:F200)=0,"",IF(A200="","Date manquante",IF(NOT(ISNUMBER(A200)),"Date invalide",IF(B200="","N° de facture manquant",IF(ISNA(MATCH(B200,fa_num,0)),"Facture inconnue",IF(INDEX(fa_type,MATCH(B200,fa_num,0))="Avoir","Paiement sur un avoir",IF(OR(NOT(ISNUMBER(C200)),N(C200)&lt;=0),"Montant invalide",IF(A200&lt;INDEX(fa_date,MATCH(B200,fa_num,0)),"Date antérieure à la facture",IF(SUMIF($B$6:B200,B200,$C$6:C200)&gt;INDEX(fa_ttc,MATCH(B200,fa_num,0))-N(INDEX(fa_avoirs,MATCH(B200,fa_num,0)))+0.001,"Dépasse le montant de la facture","OK")))))))))</f>
        <v/>
      </c>
    </row>
    <row r="201">
      <c r="A201" s="61" t="n"/>
      <c r="B201" s="60" t="n"/>
      <c r="C201" s="68" t="n"/>
      <c r="D201" s="60" t="n"/>
      <c r="E201" s="63" t="n"/>
      <c r="F201" s="63" t="n"/>
      <c r="G201" s="62" t="str">
        <f>IF(B201="","",IFERROR(INDEX(fa_cname,MATCH(B201,fa_num,0))&amp;"",""))</f>
        <v/>
      </c>
      <c r="H201" s="59" t="str">
        <f>IF(COUNTA(A201:F201)=0,"",IF(A201="","Date manquante",IF(NOT(ISNUMBER(A201)),"Date invalide",IF(B201="","N° de facture manquant",IF(ISNA(MATCH(B201,fa_num,0)),"Facture inconnue",IF(INDEX(fa_type,MATCH(B201,fa_num,0))="Avoir","Paiement sur un avoir",IF(OR(NOT(ISNUMBER(C201)),N(C201)&lt;=0),"Montant invalide",IF(A201&lt;INDEX(fa_date,MATCH(B201,fa_num,0)),"Date antérieure à la facture",IF(SUMIF($B$6:B201,B201,$C$6:C201)&gt;INDEX(fa_ttc,MATCH(B201,fa_num,0))-N(INDEX(fa_avoirs,MATCH(B201,fa_num,0)))+0.001,"Dépasse le montant de la facture","OK")))))))))</f>
        <v/>
      </c>
    </row>
    <row r="202">
      <c r="A202" s="61" t="n"/>
      <c r="B202" s="60" t="n"/>
      <c r="C202" s="68" t="n"/>
      <c r="D202" s="60" t="n"/>
      <c r="E202" s="63" t="n"/>
      <c r="F202" s="63" t="n"/>
      <c r="G202" s="62" t="str">
        <f>IF(B202="","",IFERROR(INDEX(fa_cname,MATCH(B202,fa_num,0))&amp;"",""))</f>
        <v/>
      </c>
      <c r="H202" s="59" t="str">
        <f>IF(COUNTA(A202:F202)=0,"",IF(A202="","Date manquante",IF(NOT(ISNUMBER(A202)),"Date invalide",IF(B202="","N° de facture manquant",IF(ISNA(MATCH(B202,fa_num,0)),"Facture inconnue",IF(INDEX(fa_type,MATCH(B202,fa_num,0))="Avoir","Paiement sur un avoir",IF(OR(NOT(ISNUMBER(C202)),N(C202)&lt;=0),"Montant invalide",IF(A202&lt;INDEX(fa_date,MATCH(B202,fa_num,0)),"Date antérieure à la facture",IF(SUMIF($B$6:B202,B202,$C$6:C202)&gt;INDEX(fa_ttc,MATCH(B202,fa_num,0))-N(INDEX(fa_avoirs,MATCH(B202,fa_num,0)))+0.001,"Dépasse le montant de la facture","OK")))))))))</f>
        <v/>
      </c>
    </row>
    <row r="203">
      <c r="A203" s="61" t="n"/>
      <c r="B203" s="60" t="n"/>
      <c r="C203" s="68" t="n"/>
      <c r="D203" s="60" t="n"/>
      <c r="E203" s="63" t="n"/>
      <c r="F203" s="63" t="n"/>
      <c r="G203" s="62" t="str">
        <f>IF(B203="","",IFERROR(INDEX(fa_cname,MATCH(B203,fa_num,0))&amp;"",""))</f>
        <v/>
      </c>
      <c r="H203" s="59" t="str">
        <f>IF(COUNTA(A203:F203)=0,"",IF(A203="","Date manquante",IF(NOT(ISNUMBER(A203)),"Date invalide",IF(B203="","N° de facture manquant",IF(ISNA(MATCH(B203,fa_num,0)),"Facture inconnue",IF(INDEX(fa_type,MATCH(B203,fa_num,0))="Avoir","Paiement sur un avoir",IF(OR(NOT(ISNUMBER(C203)),N(C203)&lt;=0),"Montant invalide",IF(A203&lt;INDEX(fa_date,MATCH(B203,fa_num,0)),"Date antérieure à la facture",IF(SUMIF($B$6:B203,B203,$C$6:C203)&gt;INDEX(fa_ttc,MATCH(B203,fa_num,0))-N(INDEX(fa_avoirs,MATCH(B203,fa_num,0)))+0.001,"Dépasse le montant de la facture","OK")))))))))</f>
        <v/>
      </c>
    </row>
    <row r="204">
      <c r="A204" s="61" t="n"/>
      <c r="B204" s="60" t="n"/>
      <c r="C204" s="68" t="n"/>
      <c r="D204" s="60" t="n"/>
      <c r="E204" s="63" t="n"/>
      <c r="F204" s="63" t="n"/>
      <c r="G204" s="62" t="str">
        <f>IF(B204="","",IFERROR(INDEX(fa_cname,MATCH(B204,fa_num,0))&amp;"",""))</f>
        <v/>
      </c>
      <c r="H204" s="59" t="str">
        <f>IF(COUNTA(A204:F204)=0,"",IF(A204="","Date manquante",IF(NOT(ISNUMBER(A204)),"Date invalide",IF(B204="","N° de facture manquant",IF(ISNA(MATCH(B204,fa_num,0)),"Facture inconnue",IF(INDEX(fa_type,MATCH(B204,fa_num,0))="Avoir","Paiement sur un avoir",IF(OR(NOT(ISNUMBER(C204)),N(C204)&lt;=0),"Montant invalide",IF(A204&lt;INDEX(fa_date,MATCH(B204,fa_num,0)),"Date antérieure à la facture",IF(SUMIF($B$6:B204,B204,$C$6:C204)&gt;INDEX(fa_ttc,MATCH(B204,fa_num,0))-N(INDEX(fa_avoirs,MATCH(B204,fa_num,0)))+0.001,"Dépasse le montant de la facture","OK")))))))))</f>
        <v/>
      </c>
    </row>
    <row r="205">
      <c r="A205" s="61" t="n"/>
      <c r="B205" s="60" t="n"/>
      <c r="C205" s="68" t="n"/>
      <c r="D205" s="60" t="n"/>
      <c r="E205" s="63" t="n"/>
      <c r="F205" s="63" t="n"/>
      <c r="G205" s="62" t="str">
        <f>IF(B205="","",IFERROR(INDEX(fa_cname,MATCH(B205,fa_num,0))&amp;"",""))</f>
        <v/>
      </c>
      <c r="H205" s="59" t="str">
        <f>IF(COUNTA(A205:F205)=0,"",IF(A205="","Date manquante",IF(NOT(ISNUMBER(A205)),"Date invalide",IF(B205="","N° de facture manquant",IF(ISNA(MATCH(B205,fa_num,0)),"Facture inconnue",IF(INDEX(fa_type,MATCH(B205,fa_num,0))="Avoir","Paiement sur un avoir",IF(OR(NOT(ISNUMBER(C205)),N(C205)&lt;=0),"Montant invalide",IF(A205&lt;INDEX(fa_date,MATCH(B205,fa_num,0)),"Date antérieure à la facture",IF(SUMIF($B$6:B205,B205,$C$6:C205)&gt;INDEX(fa_ttc,MATCH(B205,fa_num,0))-N(INDEX(fa_avoirs,MATCH(B205,fa_num,0)))+0.001,"Dépasse le montant de la facture","OK")))))))))</f>
        <v/>
      </c>
    </row>
    <row r="206">
      <c r="A206" s="61" t="n"/>
      <c r="B206" s="60" t="n"/>
      <c r="C206" s="68" t="n"/>
      <c r="D206" s="60" t="n"/>
      <c r="E206" s="63" t="n"/>
      <c r="F206" s="63" t="n"/>
      <c r="G206" s="62" t="str">
        <f>IF(B206="","",IFERROR(INDEX(fa_cname,MATCH(B206,fa_num,0))&amp;"",""))</f>
        <v/>
      </c>
      <c r="H206" s="59" t="str">
        <f>IF(COUNTA(A206:F206)=0,"",IF(A206="","Date manquante",IF(NOT(ISNUMBER(A206)),"Date invalide",IF(B206="","N° de facture manquant",IF(ISNA(MATCH(B206,fa_num,0)),"Facture inconnue",IF(INDEX(fa_type,MATCH(B206,fa_num,0))="Avoir","Paiement sur un avoir",IF(OR(NOT(ISNUMBER(C206)),N(C206)&lt;=0),"Montant invalide",IF(A206&lt;INDEX(fa_date,MATCH(B206,fa_num,0)),"Date antérieure à la facture",IF(SUMIF($B$6:B206,B206,$C$6:C206)&gt;INDEX(fa_ttc,MATCH(B206,fa_num,0))-N(INDEX(fa_avoirs,MATCH(B206,fa_num,0)))+0.001,"Dépasse le montant de la facture","OK")))))))))</f>
        <v/>
      </c>
    </row>
    <row r="207">
      <c r="A207" s="61" t="n"/>
      <c r="B207" s="60" t="n"/>
      <c r="C207" s="68" t="n"/>
      <c r="D207" s="60" t="n"/>
      <c r="E207" s="63" t="n"/>
      <c r="F207" s="63" t="n"/>
      <c r="G207" s="62" t="str">
        <f>IF(B207="","",IFERROR(INDEX(fa_cname,MATCH(B207,fa_num,0))&amp;"",""))</f>
        <v/>
      </c>
      <c r="H207" s="59" t="str">
        <f>IF(COUNTA(A207:F207)=0,"",IF(A207="","Date manquante",IF(NOT(ISNUMBER(A207)),"Date invalide",IF(B207="","N° de facture manquant",IF(ISNA(MATCH(B207,fa_num,0)),"Facture inconnue",IF(INDEX(fa_type,MATCH(B207,fa_num,0))="Avoir","Paiement sur un avoir",IF(OR(NOT(ISNUMBER(C207)),N(C207)&lt;=0),"Montant invalide",IF(A207&lt;INDEX(fa_date,MATCH(B207,fa_num,0)),"Date antérieure à la facture",IF(SUMIF($B$6:B207,B207,$C$6:C207)&gt;INDEX(fa_ttc,MATCH(B207,fa_num,0))-N(INDEX(fa_avoirs,MATCH(B207,fa_num,0)))+0.001,"Dépasse le montant de la facture","OK")))))))))</f>
        <v/>
      </c>
    </row>
    <row r="208">
      <c r="A208" s="61" t="n"/>
      <c r="B208" s="60" t="n"/>
      <c r="C208" s="68" t="n"/>
      <c r="D208" s="60" t="n"/>
      <c r="E208" s="63" t="n"/>
      <c r="F208" s="63" t="n"/>
      <c r="G208" s="62" t="str">
        <f>IF(B208="","",IFERROR(INDEX(fa_cname,MATCH(B208,fa_num,0))&amp;"",""))</f>
        <v/>
      </c>
      <c r="H208" s="59" t="str">
        <f>IF(COUNTA(A208:F208)=0,"",IF(A208="","Date manquante",IF(NOT(ISNUMBER(A208)),"Date invalide",IF(B208="","N° de facture manquant",IF(ISNA(MATCH(B208,fa_num,0)),"Facture inconnue",IF(INDEX(fa_type,MATCH(B208,fa_num,0))="Avoir","Paiement sur un avoir",IF(OR(NOT(ISNUMBER(C208)),N(C208)&lt;=0),"Montant invalide",IF(A208&lt;INDEX(fa_date,MATCH(B208,fa_num,0)),"Date antérieure à la facture",IF(SUMIF($B$6:B208,B208,$C$6:C208)&gt;INDEX(fa_ttc,MATCH(B208,fa_num,0))-N(INDEX(fa_avoirs,MATCH(B208,fa_num,0)))+0.001,"Dépasse le montant de la facture","OK")))))))))</f>
        <v/>
      </c>
    </row>
    <row r="209">
      <c r="A209" s="61" t="n"/>
      <c r="B209" s="60" t="n"/>
      <c r="C209" s="68" t="n"/>
      <c r="D209" s="60" t="n"/>
      <c r="E209" s="63" t="n"/>
      <c r="F209" s="63" t="n"/>
      <c r="G209" s="62" t="str">
        <f>IF(B209="","",IFERROR(INDEX(fa_cname,MATCH(B209,fa_num,0))&amp;"",""))</f>
        <v/>
      </c>
      <c r="H209" s="59" t="str">
        <f>IF(COUNTA(A209:F209)=0,"",IF(A209="","Date manquante",IF(NOT(ISNUMBER(A209)),"Date invalide",IF(B209="","N° de facture manquant",IF(ISNA(MATCH(B209,fa_num,0)),"Facture inconnue",IF(INDEX(fa_type,MATCH(B209,fa_num,0))="Avoir","Paiement sur un avoir",IF(OR(NOT(ISNUMBER(C209)),N(C209)&lt;=0),"Montant invalide",IF(A209&lt;INDEX(fa_date,MATCH(B209,fa_num,0)),"Date antérieure à la facture",IF(SUMIF($B$6:B209,B209,$C$6:C209)&gt;INDEX(fa_ttc,MATCH(B209,fa_num,0))-N(INDEX(fa_avoirs,MATCH(B209,fa_num,0)))+0.001,"Dépasse le montant de la facture","OK")))))))))</f>
        <v/>
      </c>
    </row>
    <row r="210">
      <c r="A210" s="61" t="n"/>
      <c r="B210" s="60" t="n"/>
      <c r="C210" s="68" t="n"/>
      <c r="D210" s="60" t="n"/>
      <c r="E210" s="63" t="n"/>
      <c r="F210" s="63" t="n"/>
      <c r="G210" s="62" t="str">
        <f>IF(B210="","",IFERROR(INDEX(fa_cname,MATCH(B210,fa_num,0))&amp;"",""))</f>
        <v/>
      </c>
      <c r="H210" s="59" t="str">
        <f>IF(COUNTA(A210:F210)=0,"",IF(A210="","Date manquante",IF(NOT(ISNUMBER(A210)),"Date invalide",IF(B210="","N° de facture manquant",IF(ISNA(MATCH(B210,fa_num,0)),"Facture inconnue",IF(INDEX(fa_type,MATCH(B210,fa_num,0))="Avoir","Paiement sur un avoir",IF(OR(NOT(ISNUMBER(C210)),N(C210)&lt;=0),"Montant invalide",IF(A210&lt;INDEX(fa_date,MATCH(B210,fa_num,0)),"Date antérieure à la facture",IF(SUMIF($B$6:B210,B210,$C$6:C210)&gt;INDEX(fa_ttc,MATCH(B210,fa_num,0))-N(INDEX(fa_avoirs,MATCH(B210,fa_num,0)))+0.001,"Dépasse le montant de la facture","OK")))))))))</f>
        <v/>
      </c>
    </row>
    <row r="211">
      <c r="A211" s="61" t="n"/>
      <c r="B211" s="60" t="n"/>
      <c r="C211" s="68" t="n"/>
      <c r="D211" s="60" t="n"/>
      <c r="E211" s="63" t="n"/>
      <c r="F211" s="63" t="n"/>
      <c r="G211" s="62" t="str">
        <f>IF(B211="","",IFERROR(INDEX(fa_cname,MATCH(B211,fa_num,0))&amp;"",""))</f>
        <v/>
      </c>
      <c r="H211" s="59" t="str">
        <f>IF(COUNTA(A211:F211)=0,"",IF(A211="","Date manquante",IF(NOT(ISNUMBER(A211)),"Date invalide",IF(B211="","N° de facture manquant",IF(ISNA(MATCH(B211,fa_num,0)),"Facture inconnue",IF(INDEX(fa_type,MATCH(B211,fa_num,0))="Avoir","Paiement sur un avoir",IF(OR(NOT(ISNUMBER(C211)),N(C211)&lt;=0),"Montant invalide",IF(A211&lt;INDEX(fa_date,MATCH(B211,fa_num,0)),"Date antérieure à la facture",IF(SUMIF($B$6:B211,B211,$C$6:C211)&gt;INDEX(fa_ttc,MATCH(B211,fa_num,0))-N(INDEX(fa_avoirs,MATCH(B211,fa_num,0)))+0.001,"Dépasse le montant de la facture","OK")))))))))</f>
        <v/>
      </c>
    </row>
    <row r="212">
      <c r="A212" s="61" t="n"/>
      <c r="B212" s="60" t="n"/>
      <c r="C212" s="68" t="n"/>
      <c r="D212" s="60" t="n"/>
      <c r="E212" s="63" t="n"/>
      <c r="F212" s="63" t="n"/>
      <c r="G212" s="62" t="str">
        <f>IF(B212="","",IFERROR(INDEX(fa_cname,MATCH(B212,fa_num,0))&amp;"",""))</f>
        <v/>
      </c>
      <c r="H212" s="59" t="str">
        <f>IF(COUNTA(A212:F212)=0,"",IF(A212="","Date manquante",IF(NOT(ISNUMBER(A212)),"Date invalide",IF(B212="","N° de facture manquant",IF(ISNA(MATCH(B212,fa_num,0)),"Facture inconnue",IF(INDEX(fa_type,MATCH(B212,fa_num,0))="Avoir","Paiement sur un avoir",IF(OR(NOT(ISNUMBER(C212)),N(C212)&lt;=0),"Montant invalide",IF(A212&lt;INDEX(fa_date,MATCH(B212,fa_num,0)),"Date antérieure à la facture",IF(SUMIF($B$6:B212,B212,$C$6:C212)&gt;INDEX(fa_ttc,MATCH(B212,fa_num,0))-N(INDEX(fa_avoirs,MATCH(B212,fa_num,0)))+0.001,"Dépasse le montant de la facture","OK")))))))))</f>
        <v/>
      </c>
    </row>
    <row r="213">
      <c r="A213" s="61" t="n"/>
      <c r="B213" s="60" t="n"/>
      <c r="C213" s="68" t="n"/>
      <c r="D213" s="60" t="n"/>
      <c r="E213" s="63" t="n"/>
      <c r="F213" s="63" t="n"/>
      <c r="G213" s="62" t="str">
        <f>IF(B213="","",IFERROR(INDEX(fa_cname,MATCH(B213,fa_num,0))&amp;"",""))</f>
        <v/>
      </c>
      <c r="H213" s="59" t="str">
        <f>IF(COUNTA(A213:F213)=0,"",IF(A213="","Date manquante",IF(NOT(ISNUMBER(A213)),"Date invalide",IF(B213="","N° de facture manquant",IF(ISNA(MATCH(B213,fa_num,0)),"Facture inconnue",IF(INDEX(fa_type,MATCH(B213,fa_num,0))="Avoir","Paiement sur un avoir",IF(OR(NOT(ISNUMBER(C213)),N(C213)&lt;=0),"Montant invalide",IF(A213&lt;INDEX(fa_date,MATCH(B213,fa_num,0)),"Date antérieure à la facture",IF(SUMIF($B$6:B213,B213,$C$6:C213)&gt;INDEX(fa_ttc,MATCH(B213,fa_num,0))-N(INDEX(fa_avoirs,MATCH(B213,fa_num,0)))+0.001,"Dépasse le montant de la facture","OK")))))))))</f>
        <v/>
      </c>
    </row>
    <row r="214">
      <c r="A214" s="61" t="n"/>
      <c r="B214" s="60" t="n"/>
      <c r="C214" s="68" t="n"/>
      <c r="D214" s="60" t="n"/>
      <c r="E214" s="63" t="n"/>
      <c r="F214" s="63" t="n"/>
      <c r="G214" s="62" t="str">
        <f>IF(B214="","",IFERROR(INDEX(fa_cname,MATCH(B214,fa_num,0))&amp;"",""))</f>
        <v/>
      </c>
      <c r="H214" s="59" t="str">
        <f>IF(COUNTA(A214:F214)=0,"",IF(A214="","Date manquante",IF(NOT(ISNUMBER(A214)),"Date invalide",IF(B214="","N° de facture manquant",IF(ISNA(MATCH(B214,fa_num,0)),"Facture inconnue",IF(INDEX(fa_type,MATCH(B214,fa_num,0))="Avoir","Paiement sur un avoir",IF(OR(NOT(ISNUMBER(C214)),N(C214)&lt;=0),"Montant invalide",IF(A214&lt;INDEX(fa_date,MATCH(B214,fa_num,0)),"Date antérieure à la facture",IF(SUMIF($B$6:B214,B214,$C$6:C214)&gt;INDEX(fa_ttc,MATCH(B214,fa_num,0))-N(INDEX(fa_avoirs,MATCH(B214,fa_num,0)))+0.001,"Dépasse le montant de la facture","OK")))))))))</f>
        <v/>
      </c>
    </row>
    <row r="215">
      <c r="A215" s="61" t="n"/>
      <c r="B215" s="60" t="n"/>
      <c r="C215" s="68" t="n"/>
      <c r="D215" s="60" t="n"/>
      <c r="E215" s="63" t="n"/>
      <c r="F215" s="63" t="n"/>
      <c r="G215" s="62" t="str">
        <f>IF(B215="","",IFERROR(INDEX(fa_cname,MATCH(B215,fa_num,0))&amp;"",""))</f>
        <v/>
      </c>
      <c r="H215" s="59" t="str">
        <f>IF(COUNTA(A215:F215)=0,"",IF(A215="","Date manquante",IF(NOT(ISNUMBER(A215)),"Date invalide",IF(B215="","N° de facture manquant",IF(ISNA(MATCH(B215,fa_num,0)),"Facture inconnue",IF(INDEX(fa_type,MATCH(B215,fa_num,0))="Avoir","Paiement sur un avoir",IF(OR(NOT(ISNUMBER(C215)),N(C215)&lt;=0),"Montant invalide",IF(A215&lt;INDEX(fa_date,MATCH(B215,fa_num,0)),"Date antérieure à la facture",IF(SUMIF($B$6:B215,B215,$C$6:C215)&gt;INDEX(fa_ttc,MATCH(B215,fa_num,0))-N(INDEX(fa_avoirs,MATCH(B215,fa_num,0)))+0.001,"Dépasse le montant de la facture","OK")))))))))</f>
        <v/>
      </c>
    </row>
    <row r="216">
      <c r="A216" s="61" t="n"/>
      <c r="B216" s="60" t="n"/>
      <c r="C216" s="68" t="n"/>
      <c r="D216" s="60" t="n"/>
      <c r="E216" s="63" t="n"/>
      <c r="F216" s="63" t="n"/>
      <c r="G216" s="62" t="str">
        <f>IF(B216="","",IFERROR(INDEX(fa_cname,MATCH(B216,fa_num,0))&amp;"",""))</f>
        <v/>
      </c>
      <c r="H216" s="59" t="str">
        <f>IF(COUNTA(A216:F216)=0,"",IF(A216="","Date manquante",IF(NOT(ISNUMBER(A216)),"Date invalide",IF(B216="","N° de facture manquant",IF(ISNA(MATCH(B216,fa_num,0)),"Facture inconnue",IF(INDEX(fa_type,MATCH(B216,fa_num,0))="Avoir","Paiement sur un avoir",IF(OR(NOT(ISNUMBER(C216)),N(C216)&lt;=0),"Montant invalide",IF(A216&lt;INDEX(fa_date,MATCH(B216,fa_num,0)),"Date antérieure à la facture",IF(SUMIF($B$6:B216,B216,$C$6:C216)&gt;INDEX(fa_ttc,MATCH(B216,fa_num,0))-N(INDEX(fa_avoirs,MATCH(B216,fa_num,0)))+0.001,"Dépasse le montant de la facture","OK")))))))))</f>
        <v/>
      </c>
    </row>
    <row r="217">
      <c r="A217" s="61" t="n"/>
      <c r="B217" s="60" t="n"/>
      <c r="C217" s="68" t="n"/>
      <c r="D217" s="60" t="n"/>
      <c r="E217" s="63" t="n"/>
      <c r="F217" s="63" t="n"/>
      <c r="G217" s="62" t="str">
        <f>IF(B217="","",IFERROR(INDEX(fa_cname,MATCH(B217,fa_num,0))&amp;"",""))</f>
        <v/>
      </c>
      <c r="H217" s="59" t="str">
        <f>IF(COUNTA(A217:F217)=0,"",IF(A217="","Date manquante",IF(NOT(ISNUMBER(A217)),"Date invalide",IF(B217="","N° de facture manquant",IF(ISNA(MATCH(B217,fa_num,0)),"Facture inconnue",IF(INDEX(fa_type,MATCH(B217,fa_num,0))="Avoir","Paiement sur un avoir",IF(OR(NOT(ISNUMBER(C217)),N(C217)&lt;=0),"Montant invalide",IF(A217&lt;INDEX(fa_date,MATCH(B217,fa_num,0)),"Date antérieure à la facture",IF(SUMIF($B$6:B217,B217,$C$6:C217)&gt;INDEX(fa_ttc,MATCH(B217,fa_num,0))-N(INDEX(fa_avoirs,MATCH(B217,fa_num,0)))+0.001,"Dépasse le montant de la facture","OK")))))))))</f>
        <v/>
      </c>
    </row>
    <row r="218">
      <c r="A218" s="61" t="n"/>
      <c r="B218" s="60" t="n"/>
      <c r="C218" s="68" t="n"/>
      <c r="D218" s="60" t="n"/>
      <c r="E218" s="63" t="n"/>
      <c r="F218" s="63" t="n"/>
      <c r="G218" s="62" t="str">
        <f>IF(B218="","",IFERROR(INDEX(fa_cname,MATCH(B218,fa_num,0))&amp;"",""))</f>
        <v/>
      </c>
      <c r="H218" s="59" t="str">
        <f>IF(COUNTA(A218:F218)=0,"",IF(A218="","Date manquante",IF(NOT(ISNUMBER(A218)),"Date invalide",IF(B218="","N° de facture manquant",IF(ISNA(MATCH(B218,fa_num,0)),"Facture inconnue",IF(INDEX(fa_type,MATCH(B218,fa_num,0))="Avoir","Paiement sur un avoir",IF(OR(NOT(ISNUMBER(C218)),N(C218)&lt;=0),"Montant invalide",IF(A218&lt;INDEX(fa_date,MATCH(B218,fa_num,0)),"Date antérieure à la facture",IF(SUMIF($B$6:B218,B218,$C$6:C218)&gt;INDEX(fa_ttc,MATCH(B218,fa_num,0))-N(INDEX(fa_avoirs,MATCH(B218,fa_num,0)))+0.001,"Dépasse le montant de la facture","OK")))))))))</f>
        <v/>
      </c>
    </row>
    <row r="219">
      <c r="A219" s="61" t="n"/>
      <c r="B219" s="60" t="n"/>
      <c r="C219" s="68" t="n"/>
      <c r="D219" s="60" t="n"/>
      <c r="E219" s="63" t="n"/>
      <c r="F219" s="63" t="n"/>
      <c r="G219" s="62" t="str">
        <f>IF(B219="","",IFERROR(INDEX(fa_cname,MATCH(B219,fa_num,0))&amp;"",""))</f>
        <v/>
      </c>
      <c r="H219" s="59" t="str">
        <f>IF(COUNTA(A219:F219)=0,"",IF(A219="","Date manquante",IF(NOT(ISNUMBER(A219)),"Date invalide",IF(B219="","N° de facture manquant",IF(ISNA(MATCH(B219,fa_num,0)),"Facture inconnue",IF(INDEX(fa_type,MATCH(B219,fa_num,0))="Avoir","Paiement sur un avoir",IF(OR(NOT(ISNUMBER(C219)),N(C219)&lt;=0),"Montant invalide",IF(A219&lt;INDEX(fa_date,MATCH(B219,fa_num,0)),"Date antérieure à la facture",IF(SUMIF($B$6:B219,B219,$C$6:C219)&gt;INDEX(fa_ttc,MATCH(B219,fa_num,0))-N(INDEX(fa_avoirs,MATCH(B219,fa_num,0)))+0.001,"Dépasse le montant de la facture","OK")))))))))</f>
        <v/>
      </c>
    </row>
    <row r="220">
      <c r="A220" s="61" t="n"/>
      <c r="B220" s="60" t="n"/>
      <c r="C220" s="68" t="n"/>
      <c r="D220" s="60" t="n"/>
      <c r="E220" s="63" t="n"/>
      <c r="F220" s="63" t="n"/>
      <c r="G220" s="62" t="str">
        <f>IF(B220="","",IFERROR(INDEX(fa_cname,MATCH(B220,fa_num,0))&amp;"",""))</f>
        <v/>
      </c>
      <c r="H220" s="59" t="str">
        <f>IF(COUNTA(A220:F220)=0,"",IF(A220="","Date manquante",IF(NOT(ISNUMBER(A220)),"Date invalide",IF(B220="","N° de facture manquant",IF(ISNA(MATCH(B220,fa_num,0)),"Facture inconnue",IF(INDEX(fa_type,MATCH(B220,fa_num,0))="Avoir","Paiement sur un avoir",IF(OR(NOT(ISNUMBER(C220)),N(C220)&lt;=0),"Montant invalide",IF(A220&lt;INDEX(fa_date,MATCH(B220,fa_num,0)),"Date antérieure à la facture",IF(SUMIF($B$6:B220,B220,$C$6:C220)&gt;INDEX(fa_ttc,MATCH(B220,fa_num,0))-N(INDEX(fa_avoirs,MATCH(B220,fa_num,0)))+0.001,"Dépasse le montant de la facture","OK")))))))))</f>
        <v/>
      </c>
    </row>
    <row r="221">
      <c r="A221" s="61" t="n"/>
      <c r="B221" s="60" t="n"/>
      <c r="C221" s="68" t="n"/>
      <c r="D221" s="60" t="n"/>
      <c r="E221" s="63" t="n"/>
      <c r="F221" s="63" t="n"/>
      <c r="G221" s="62" t="str">
        <f>IF(B221="","",IFERROR(INDEX(fa_cname,MATCH(B221,fa_num,0))&amp;"",""))</f>
        <v/>
      </c>
      <c r="H221" s="59" t="str">
        <f>IF(COUNTA(A221:F221)=0,"",IF(A221="","Date manquante",IF(NOT(ISNUMBER(A221)),"Date invalide",IF(B221="","N° de facture manquant",IF(ISNA(MATCH(B221,fa_num,0)),"Facture inconnue",IF(INDEX(fa_type,MATCH(B221,fa_num,0))="Avoir","Paiement sur un avoir",IF(OR(NOT(ISNUMBER(C221)),N(C221)&lt;=0),"Montant invalide",IF(A221&lt;INDEX(fa_date,MATCH(B221,fa_num,0)),"Date antérieure à la facture",IF(SUMIF($B$6:B221,B221,$C$6:C221)&gt;INDEX(fa_ttc,MATCH(B221,fa_num,0))-N(INDEX(fa_avoirs,MATCH(B221,fa_num,0)))+0.001,"Dépasse le montant de la facture","OK")))))))))</f>
        <v/>
      </c>
    </row>
    <row r="222">
      <c r="A222" s="61" t="n"/>
      <c r="B222" s="60" t="n"/>
      <c r="C222" s="68" t="n"/>
      <c r="D222" s="60" t="n"/>
      <c r="E222" s="63" t="n"/>
      <c r="F222" s="63" t="n"/>
      <c r="G222" s="62" t="str">
        <f>IF(B222="","",IFERROR(INDEX(fa_cname,MATCH(B222,fa_num,0))&amp;"",""))</f>
        <v/>
      </c>
      <c r="H222" s="59" t="str">
        <f>IF(COUNTA(A222:F222)=0,"",IF(A222="","Date manquante",IF(NOT(ISNUMBER(A222)),"Date invalide",IF(B222="","N° de facture manquant",IF(ISNA(MATCH(B222,fa_num,0)),"Facture inconnue",IF(INDEX(fa_type,MATCH(B222,fa_num,0))="Avoir","Paiement sur un avoir",IF(OR(NOT(ISNUMBER(C222)),N(C222)&lt;=0),"Montant invalide",IF(A222&lt;INDEX(fa_date,MATCH(B222,fa_num,0)),"Date antérieure à la facture",IF(SUMIF($B$6:B222,B222,$C$6:C222)&gt;INDEX(fa_ttc,MATCH(B222,fa_num,0))-N(INDEX(fa_avoirs,MATCH(B222,fa_num,0)))+0.001,"Dépasse le montant de la facture","OK")))))))))</f>
        <v/>
      </c>
    </row>
    <row r="223">
      <c r="A223" s="61" t="n"/>
      <c r="B223" s="60" t="n"/>
      <c r="C223" s="68" t="n"/>
      <c r="D223" s="60" t="n"/>
      <c r="E223" s="63" t="n"/>
      <c r="F223" s="63" t="n"/>
      <c r="G223" s="62" t="str">
        <f>IF(B223="","",IFERROR(INDEX(fa_cname,MATCH(B223,fa_num,0))&amp;"",""))</f>
        <v/>
      </c>
      <c r="H223" s="59" t="str">
        <f>IF(COUNTA(A223:F223)=0,"",IF(A223="","Date manquante",IF(NOT(ISNUMBER(A223)),"Date invalide",IF(B223="","N° de facture manquant",IF(ISNA(MATCH(B223,fa_num,0)),"Facture inconnue",IF(INDEX(fa_type,MATCH(B223,fa_num,0))="Avoir","Paiement sur un avoir",IF(OR(NOT(ISNUMBER(C223)),N(C223)&lt;=0),"Montant invalide",IF(A223&lt;INDEX(fa_date,MATCH(B223,fa_num,0)),"Date antérieure à la facture",IF(SUMIF($B$6:B223,B223,$C$6:C223)&gt;INDEX(fa_ttc,MATCH(B223,fa_num,0))-N(INDEX(fa_avoirs,MATCH(B223,fa_num,0)))+0.001,"Dépasse le montant de la facture","OK")))))))))</f>
        <v/>
      </c>
    </row>
    <row r="224">
      <c r="A224" s="61" t="n"/>
      <c r="B224" s="60" t="n"/>
      <c r="C224" s="68" t="n"/>
      <c r="D224" s="60" t="n"/>
      <c r="E224" s="63" t="n"/>
      <c r="F224" s="63" t="n"/>
      <c r="G224" s="62" t="str">
        <f>IF(B224="","",IFERROR(INDEX(fa_cname,MATCH(B224,fa_num,0))&amp;"",""))</f>
        <v/>
      </c>
      <c r="H224" s="59" t="str">
        <f>IF(COUNTA(A224:F224)=0,"",IF(A224="","Date manquante",IF(NOT(ISNUMBER(A224)),"Date invalide",IF(B224="","N° de facture manquant",IF(ISNA(MATCH(B224,fa_num,0)),"Facture inconnue",IF(INDEX(fa_type,MATCH(B224,fa_num,0))="Avoir","Paiement sur un avoir",IF(OR(NOT(ISNUMBER(C224)),N(C224)&lt;=0),"Montant invalide",IF(A224&lt;INDEX(fa_date,MATCH(B224,fa_num,0)),"Date antérieure à la facture",IF(SUMIF($B$6:B224,B224,$C$6:C224)&gt;INDEX(fa_ttc,MATCH(B224,fa_num,0))-N(INDEX(fa_avoirs,MATCH(B224,fa_num,0)))+0.001,"Dépasse le montant de la facture","OK")))))))))</f>
        <v/>
      </c>
    </row>
    <row r="225">
      <c r="A225" s="61" t="n"/>
      <c r="B225" s="60" t="n"/>
      <c r="C225" s="68" t="n"/>
      <c r="D225" s="60" t="n"/>
      <c r="E225" s="63" t="n"/>
      <c r="F225" s="63" t="n"/>
      <c r="G225" s="62" t="str">
        <f>IF(B225="","",IFERROR(INDEX(fa_cname,MATCH(B225,fa_num,0))&amp;"",""))</f>
        <v/>
      </c>
      <c r="H225" s="59" t="str">
        <f>IF(COUNTA(A225:F225)=0,"",IF(A225="","Date manquante",IF(NOT(ISNUMBER(A225)),"Date invalide",IF(B225="","N° de facture manquant",IF(ISNA(MATCH(B225,fa_num,0)),"Facture inconnue",IF(INDEX(fa_type,MATCH(B225,fa_num,0))="Avoir","Paiement sur un avoir",IF(OR(NOT(ISNUMBER(C225)),N(C225)&lt;=0),"Montant invalide",IF(A225&lt;INDEX(fa_date,MATCH(B225,fa_num,0)),"Date antérieure à la facture",IF(SUMIF($B$6:B225,B225,$C$6:C225)&gt;INDEX(fa_ttc,MATCH(B225,fa_num,0))-N(INDEX(fa_avoirs,MATCH(B225,fa_num,0)))+0.001,"Dépasse le montant de la facture","OK")))))))))</f>
        <v/>
      </c>
    </row>
    <row r="226">
      <c r="A226" s="61" t="n"/>
      <c r="B226" s="60" t="n"/>
      <c r="C226" s="68" t="n"/>
      <c r="D226" s="60" t="n"/>
      <c r="E226" s="63" t="n"/>
      <c r="F226" s="63" t="n"/>
      <c r="G226" s="62" t="str">
        <f>IF(B226="","",IFERROR(INDEX(fa_cname,MATCH(B226,fa_num,0))&amp;"",""))</f>
        <v/>
      </c>
      <c r="H226" s="59" t="str">
        <f>IF(COUNTA(A226:F226)=0,"",IF(A226="","Date manquante",IF(NOT(ISNUMBER(A226)),"Date invalide",IF(B226="","N° de facture manquant",IF(ISNA(MATCH(B226,fa_num,0)),"Facture inconnue",IF(INDEX(fa_type,MATCH(B226,fa_num,0))="Avoir","Paiement sur un avoir",IF(OR(NOT(ISNUMBER(C226)),N(C226)&lt;=0),"Montant invalide",IF(A226&lt;INDEX(fa_date,MATCH(B226,fa_num,0)),"Date antérieure à la facture",IF(SUMIF($B$6:B226,B226,$C$6:C226)&gt;INDEX(fa_ttc,MATCH(B226,fa_num,0))-N(INDEX(fa_avoirs,MATCH(B226,fa_num,0)))+0.001,"Dépasse le montant de la facture","OK")))))))))</f>
        <v/>
      </c>
    </row>
    <row r="227">
      <c r="A227" s="61" t="n"/>
      <c r="B227" s="60" t="n"/>
      <c r="C227" s="68" t="n"/>
      <c r="D227" s="60" t="n"/>
      <c r="E227" s="63" t="n"/>
      <c r="F227" s="63" t="n"/>
      <c r="G227" s="62" t="str">
        <f>IF(B227="","",IFERROR(INDEX(fa_cname,MATCH(B227,fa_num,0))&amp;"",""))</f>
        <v/>
      </c>
      <c r="H227" s="59" t="str">
        <f>IF(COUNTA(A227:F227)=0,"",IF(A227="","Date manquante",IF(NOT(ISNUMBER(A227)),"Date invalide",IF(B227="","N° de facture manquant",IF(ISNA(MATCH(B227,fa_num,0)),"Facture inconnue",IF(INDEX(fa_type,MATCH(B227,fa_num,0))="Avoir","Paiement sur un avoir",IF(OR(NOT(ISNUMBER(C227)),N(C227)&lt;=0),"Montant invalide",IF(A227&lt;INDEX(fa_date,MATCH(B227,fa_num,0)),"Date antérieure à la facture",IF(SUMIF($B$6:B227,B227,$C$6:C227)&gt;INDEX(fa_ttc,MATCH(B227,fa_num,0))-N(INDEX(fa_avoirs,MATCH(B227,fa_num,0)))+0.001,"Dépasse le montant de la facture","OK")))))))))</f>
        <v/>
      </c>
    </row>
    <row r="228">
      <c r="A228" s="61" t="n"/>
      <c r="B228" s="60" t="n"/>
      <c r="C228" s="68" t="n"/>
      <c r="D228" s="60" t="n"/>
      <c r="E228" s="63" t="n"/>
      <c r="F228" s="63" t="n"/>
      <c r="G228" s="62" t="str">
        <f>IF(B228="","",IFERROR(INDEX(fa_cname,MATCH(B228,fa_num,0))&amp;"",""))</f>
        <v/>
      </c>
      <c r="H228" s="59" t="str">
        <f>IF(COUNTA(A228:F228)=0,"",IF(A228="","Date manquante",IF(NOT(ISNUMBER(A228)),"Date invalide",IF(B228="","N° de facture manquant",IF(ISNA(MATCH(B228,fa_num,0)),"Facture inconnue",IF(INDEX(fa_type,MATCH(B228,fa_num,0))="Avoir","Paiement sur un avoir",IF(OR(NOT(ISNUMBER(C228)),N(C228)&lt;=0),"Montant invalide",IF(A228&lt;INDEX(fa_date,MATCH(B228,fa_num,0)),"Date antérieure à la facture",IF(SUMIF($B$6:B228,B228,$C$6:C228)&gt;INDEX(fa_ttc,MATCH(B228,fa_num,0))-N(INDEX(fa_avoirs,MATCH(B228,fa_num,0)))+0.001,"Dépasse le montant de la facture","OK")))))))))</f>
        <v/>
      </c>
    </row>
    <row r="229">
      <c r="A229" s="61" t="n"/>
      <c r="B229" s="60" t="n"/>
      <c r="C229" s="68" t="n"/>
      <c r="D229" s="60" t="n"/>
      <c r="E229" s="63" t="n"/>
      <c r="F229" s="63" t="n"/>
      <c r="G229" s="62" t="str">
        <f>IF(B229="","",IFERROR(INDEX(fa_cname,MATCH(B229,fa_num,0))&amp;"",""))</f>
        <v/>
      </c>
      <c r="H229" s="59" t="str">
        <f>IF(COUNTA(A229:F229)=0,"",IF(A229="","Date manquante",IF(NOT(ISNUMBER(A229)),"Date invalide",IF(B229="","N° de facture manquant",IF(ISNA(MATCH(B229,fa_num,0)),"Facture inconnue",IF(INDEX(fa_type,MATCH(B229,fa_num,0))="Avoir","Paiement sur un avoir",IF(OR(NOT(ISNUMBER(C229)),N(C229)&lt;=0),"Montant invalide",IF(A229&lt;INDEX(fa_date,MATCH(B229,fa_num,0)),"Date antérieure à la facture",IF(SUMIF($B$6:B229,B229,$C$6:C229)&gt;INDEX(fa_ttc,MATCH(B229,fa_num,0))-N(INDEX(fa_avoirs,MATCH(B229,fa_num,0)))+0.001,"Dépasse le montant de la facture","OK")))))))))</f>
        <v/>
      </c>
    </row>
    <row r="230">
      <c r="A230" s="61" t="n"/>
      <c r="B230" s="60" t="n"/>
      <c r="C230" s="68" t="n"/>
      <c r="D230" s="60" t="n"/>
      <c r="E230" s="63" t="n"/>
      <c r="F230" s="63" t="n"/>
      <c r="G230" s="62" t="str">
        <f>IF(B230="","",IFERROR(INDEX(fa_cname,MATCH(B230,fa_num,0))&amp;"",""))</f>
        <v/>
      </c>
      <c r="H230" s="59" t="str">
        <f>IF(COUNTA(A230:F230)=0,"",IF(A230="","Date manquante",IF(NOT(ISNUMBER(A230)),"Date invalide",IF(B230="","N° de facture manquant",IF(ISNA(MATCH(B230,fa_num,0)),"Facture inconnue",IF(INDEX(fa_type,MATCH(B230,fa_num,0))="Avoir","Paiement sur un avoir",IF(OR(NOT(ISNUMBER(C230)),N(C230)&lt;=0),"Montant invalide",IF(A230&lt;INDEX(fa_date,MATCH(B230,fa_num,0)),"Date antérieure à la facture",IF(SUMIF($B$6:B230,B230,$C$6:C230)&gt;INDEX(fa_ttc,MATCH(B230,fa_num,0))-N(INDEX(fa_avoirs,MATCH(B230,fa_num,0)))+0.001,"Dépasse le montant de la facture","OK")))))))))</f>
        <v/>
      </c>
    </row>
    <row r="231">
      <c r="A231" s="61" t="n"/>
      <c r="B231" s="60" t="n"/>
      <c r="C231" s="68" t="n"/>
      <c r="D231" s="60" t="n"/>
      <c r="E231" s="63" t="n"/>
      <c r="F231" s="63" t="n"/>
      <c r="G231" s="62" t="str">
        <f>IF(B231="","",IFERROR(INDEX(fa_cname,MATCH(B231,fa_num,0))&amp;"",""))</f>
        <v/>
      </c>
      <c r="H231" s="59" t="str">
        <f>IF(COUNTA(A231:F231)=0,"",IF(A231="","Date manquante",IF(NOT(ISNUMBER(A231)),"Date invalide",IF(B231="","N° de facture manquant",IF(ISNA(MATCH(B231,fa_num,0)),"Facture inconnue",IF(INDEX(fa_type,MATCH(B231,fa_num,0))="Avoir","Paiement sur un avoir",IF(OR(NOT(ISNUMBER(C231)),N(C231)&lt;=0),"Montant invalide",IF(A231&lt;INDEX(fa_date,MATCH(B231,fa_num,0)),"Date antérieure à la facture",IF(SUMIF($B$6:B231,B231,$C$6:C231)&gt;INDEX(fa_ttc,MATCH(B231,fa_num,0))-N(INDEX(fa_avoirs,MATCH(B231,fa_num,0)))+0.001,"Dépasse le montant de la facture","OK")))))))))</f>
        <v/>
      </c>
    </row>
    <row r="232">
      <c r="A232" s="61" t="n"/>
      <c r="B232" s="60" t="n"/>
      <c r="C232" s="68" t="n"/>
      <c r="D232" s="60" t="n"/>
      <c r="E232" s="63" t="n"/>
      <c r="F232" s="63" t="n"/>
      <c r="G232" s="62" t="str">
        <f>IF(B232="","",IFERROR(INDEX(fa_cname,MATCH(B232,fa_num,0))&amp;"",""))</f>
        <v/>
      </c>
      <c r="H232" s="59" t="str">
        <f>IF(COUNTA(A232:F232)=0,"",IF(A232="","Date manquante",IF(NOT(ISNUMBER(A232)),"Date invalide",IF(B232="","N° de facture manquant",IF(ISNA(MATCH(B232,fa_num,0)),"Facture inconnue",IF(INDEX(fa_type,MATCH(B232,fa_num,0))="Avoir","Paiement sur un avoir",IF(OR(NOT(ISNUMBER(C232)),N(C232)&lt;=0),"Montant invalide",IF(A232&lt;INDEX(fa_date,MATCH(B232,fa_num,0)),"Date antérieure à la facture",IF(SUMIF($B$6:B232,B232,$C$6:C232)&gt;INDEX(fa_ttc,MATCH(B232,fa_num,0))-N(INDEX(fa_avoirs,MATCH(B232,fa_num,0)))+0.001,"Dépasse le montant de la facture","OK")))))))))</f>
        <v/>
      </c>
    </row>
    <row r="233">
      <c r="A233" s="61" t="n"/>
      <c r="B233" s="60" t="n"/>
      <c r="C233" s="68" t="n"/>
      <c r="D233" s="60" t="n"/>
      <c r="E233" s="63" t="n"/>
      <c r="F233" s="63" t="n"/>
      <c r="G233" s="62" t="str">
        <f>IF(B233="","",IFERROR(INDEX(fa_cname,MATCH(B233,fa_num,0))&amp;"",""))</f>
        <v/>
      </c>
      <c r="H233" s="59" t="str">
        <f>IF(COUNTA(A233:F233)=0,"",IF(A233="","Date manquante",IF(NOT(ISNUMBER(A233)),"Date invalide",IF(B233="","N° de facture manquant",IF(ISNA(MATCH(B233,fa_num,0)),"Facture inconnue",IF(INDEX(fa_type,MATCH(B233,fa_num,0))="Avoir","Paiement sur un avoir",IF(OR(NOT(ISNUMBER(C233)),N(C233)&lt;=0),"Montant invalide",IF(A233&lt;INDEX(fa_date,MATCH(B233,fa_num,0)),"Date antérieure à la facture",IF(SUMIF($B$6:B233,B233,$C$6:C233)&gt;INDEX(fa_ttc,MATCH(B233,fa_num,0))-N(INDEX(fa_avoirs,MATCH(B233,fa_num,0)))+0.001,"Dépasse le montant de la facture","OK")))))))))</f>
        <v/>
      </c>
    </row>
    <row r="234">
      <c r="A234" s="61" t="n"/>
      <c r="B234" s="60" t="n"/>
      <c r="C234" s="68" t="n"/>
      <c r="D234" s="60" t="n"/>
      <c r="E234" s="63" t="n"/>
      <c r="F234" s="63" t="n"/>
      <c r="G234" s="62" t="str">
        <f>IF(B234="","",IFERROR(INDEX(fa_cname,MATCH(B234,fa_num,0))&amp;"",""))</f>
        <v/>
      </c>
      <c r="H234" s="59" t="str">
        <f>IF(COUNTA(A234:F234)=0,"",IF(A234="","Date manquante",IF(NOT(ISNUMBER(A234)),"Date invalide",IF(B234="","N° de facture manquant",IF(ISNA(MATCH(B234,fa_num,0)),"Facture inconnue",IF(INDEX(fa_type,MATCH(B234,fa_num,0))="Avoir","Paiement sur un avoir",IF(OR(NOT(ISNUMBER(C234)),N(C234)&lt;=0),"Montant invalide",IF(A234&lt;INDEX(fa_date,MATCH(B234,fa_num,0)),"Date antérieure à la facture",IF(SUMIF($B$6:B234,B234,$C$6:C234)&gt;INDEX(fa_ttc,MATCH(B234,fa_num,0))-N(INDEX(fa_avoirs,MATCH(B234,fa_num,0)))+0.001,"Dépasse le montant de la facture","OK")))))))))</f>
        <v/>
      </c>
    </row>
    <row r="235">
      <c r="A235" s="61" t="n"/>
      <c r="B235" s="60" t="n"/>
      <c r="C235" s="68" t="n"/>
      <c r="D235" s="60" t="n"/>
      <c r="E235" s="63" t="n"/>
      <c r="F235" s="63" t="n"/>
      <c r="G235" s="62" t="str">
        <f>IF(B235="","",IFERROR(INDEX(fa_cname,MATCH(B235,fa_num,0))&amp;"",""))</f>
        <v/>
      </c>
      <c r="H235" s="59" t="str">
        <f>IF(COUNTA(A235:F235)=0,"",IF(A235="","Date manquante",IF(NOT(ISNUMBER(A235)),"Date invalide",IF(B235="","N° de facture manquant",IF(ISNA(MATCH(B235,fa_num,0)),"Facture inconnue",IF(INDEX(fa_type,MATCH(B235,fa_num,0))="Avoir","Paiement sur un avoir",IF(OR(NOT(ISNUMBER(C235)),N(C235)&lt;=0),"Montant invalide",IF(A235&lt;INDEX(fa_date,MATCH(B235,fa_num,0)),"Date antérieure à la facture",IF(SUMIF($B$6:B235,B235,$C$6:C235)&gt;INDEX(fa_ttc,MATCH(B235,fa_num,0))-N(INDEX(fa_avoirs,MATCH(B235,fa_num,0)))+0.001,"Dépasse le montant de la facture","OK")))))))))</f>
        <v/>
      </c>
    </row>
    <row r="236">
      <c r="A236" s="61" t="n"/>
      <c r="B236" s="60" t="n"/>
      <c r="C236" s="68" t="n"/>
      <c r="D236" s="60" t="n"/>
      <c r="E236" s="63" t="n"/>
      <c r="F236" s="63" t="n"/>
      <c r="G236" s="62" t="str">
        <f>IF(B236="","",IFERROR(INDEX(fa_cname,MATCH(B236,fa_num,0))&amp;"",""))</f>
        <v/>
      </c>
      <c r="H236" s="59" t="str">
        <f>IF(COUNTA(A236:F236)=0,"",IF(A236="","Date manquante",IF(NOT(ISNUMBER(A236)),"Date invalide",IF(B236="","N° de facture manquant",IF(ISNA(MATCH(B236,fa_num,0)),"Facture inconnue",IF(INDEX(fa_type,MATCH(B236,fa_num,0))="Avoir","Paiement sur un avoir",IF(OR(NOT(ISNUMBER(C236)),N(C236)&lt;=0),"Montant invalide",IF(A236&lt;INDEX(fa_date,MATCH(B236,fa_num,0)),"Date antérieure à la facture",IF(SUMIF($B$6:B236,B236,$C$6:C236)&gt;INDEX(fa_ttc,MATCH(B236,fa_num,0))-N(INDEX(fa_avoirs,MATCH(B236,fa_num,0)))+0.001,"Dépasse le montant de la facture","OK")))))))))</f>
        <v/>
      </c>
    </row>
    <row r="237">
      <c r="A237" s="61" t="n"/>
      <c r="B237" s="60" t="n"/>
      <c r="C237" s="68" t="n"/>
      <c r="D237" s="60" t="n"/>
      <c r="E237" s="63" t="n"/>
      <c r="F237" s="63" t="n"/>
      <c r="G237" s="62" t="str">
        <f>IF(B237="","",IFERROR(INDEX(fa_cname,MATCH(B237,fa_num,0))&amp;"",""))</f>
        <v/>
      </c>
      <c r="H237" s="59" t="str">
        <f>IF(COUNTA(A237:F237)=0,"",IF(A237="","Date manquante",IF(NOT(ISNUMBER(A237)),"Date invalide",IF(B237="","N° de facture manquant",IF(ISNA(MATCH(B237,fa_num,0)),"Facture inconnue",IF(INDEX(fa_type,MATCH(B237,fa_num,0))="Avoir","Paiement sur un avoir",IF(OR(NOT(ISNUMBER(C237)),N(C237)&lt;=0),"Montant invalide",IF(A237&lt;INDEX(fa_date,MATCH(B237,fa_num,0)),"Date antérieure à la facture",IF(SUMIF($B$6:B237,B237,$C$6:C237)&gt;INDEX(fa_ttc,MATCH(B237,fa_num,0))-N(INDEX(fa_avoirs,MATCH(B237,fa_num,0)))+0.001,"Dépasse le montant de la facture","OK")))))))))</f>
        <v/>
      </c>
    </row>
    <row r="238">
      <c r="A238" s="61" t="n"/>
      <c r="B238" s="60" t="n"/>
      <c r="C238" s="68" t="n"/>
      <c r="D238" s="60" t="n"/>
      <c r="E238" s="63" t="n"/>
      <c r="F238" s="63" t="n"/>
      <c r="G238" s="62" t="str">
        <f>IF(B238="","",IFERROR(INDEX(fa_cname,MATCH(B238,fa_num,0))&amp;"",""))</f>
        <v/>
      </c>
      <c r="H238" s="59" t="str">
        <f>IF(COUNTA(A238:F238)=0,"",IF(A238="","Date manquante",IF(NOT(ISNUMBER(A238)),"Date invalide",IF(B238="","N° de facture manquant",IF(ISNA(MATCH(B238,fa_num,0)),"Facture inconnue",IF(INDEX(fa_type,MATCH(B238,fa_num,0))="Avoir","Paiement sur un avoir",IF(OR(NOT(ISNUMBER(C238)),N(C238)&lt;=0),"Montant invalide",IF(A238&lt;INDEX(fa_date,MATCH(B238,fa_num,0)),"Date antérieure à la facture",IF(SUMIF($B$6:B238,B238,$C$6:C238)&gt;INDEX(fa_ttc,MATCH(B238,fa_num,0))-N(INDEX(fa_avoirs,MATCH(B238,fa_num,0)))+0.001,"Dépasse le montant de la facture","OK")))))))))</f>
        <v/>
      </c>
    </row>
    <row r="239">
      <c r="A239" s="61" t="n"/>
      <c r="B239" s="60" t="n"/>
      <c r="C239" s="68" t="n"/>
      <c r="D239" s="60" t="n"/>
      <c r="E239" s="63" t="n"/>
      <c r="F239" s="63" t="n"/>
      <c r="G239" s="62" t="str">
        <f>IF(B239="","",IFERROR(INDEX(fa_cname,MATCH(B239,fa_num,0))&amp;"",""))</f>
        <v/>
      </c>
      <c r="H239" s="59" t="str">
        <f>IF(COUNTA(A239:F239)=0,"",IF(A239="","Date manquante",IF(NOT(ISNUMBER(A239)),"Date invalide",IF(B239="","N° de facture manquant",IF(ISNA(MATCH(B239,fa_num,0)),"Facture inconnue",IF(INDEX(fa_type,MATCH(B239,fa_num,0))="Avoir","Paiement sur un avoir",IF(OR(NOT(ISNUMBER(C239)),N(C239)&lt;=0),"Montant invalide",IF(A239&lt;INDEX(fa_date,MATCH(B239,fa_num,0)),"Date antérieure à la facture",IF(SUMIF($B$6:B239,B239,$C$6:C239)&gt;INDEX(fa_ttc,MATCH(B239,fa_num,0))-N(INDEX(fa_avoirs,MATCH(B239,fa_num,0)))+0.001,"Dépasse le montant de la facture","OK")))))))))</f>
        <v/>
      </c>
    </row>
    <row r="240">
      <c r="A240" s="61" t="n"/>
      <c r="B240" s="60" t="n"/>
      <c r="C240" s="68" t="n"/>
      <c r="D240" s="60" t="n"/>
      <c r="E240" s="63" t="n"/>
      <c r="F240" s="63" t="n"/>
      <c r="G240" s="62" t="str">
        <f>IF(B240="","",IFERROR(INDEX(fa_cname,MATCH(B240,fa_num,0))&amp;"",""))</f>
        <v/>
      </c>
      <c r="H240" s="59" t="str">
        <f>IF(COUNTA(A240:F240)=0,"",IF(A240="","Date manquante",IF(NOT(ISNUMBER(A240)),"Date invalide",IF(B240="","N° de facture manquant",IF(ISNA(MATCH(B240,fa_num,0)),"Facture inconnue",IF(INDEX(fa_type,MATCH(B240,fa_num,0))="Avoir","Paiement sur un avoir",IF(OR(NOT(ISNUMBER(C240)),N(C240)&lt;=0),"Montant invalide",IF(A240&lt;INDEX(fa_date,MATCH(B240,fa_num,0)),"Date antérieure à la facture",IF(SUMIF($B$6:B240,B240,$C$6:C240)&gt;INDEX(fa_ttc,MATCH(B240,fa_num,0))-N(INDEX(fa_avoirs,MATCH(B240,fa_num,0)))+0.001,"Dépasse le montant de la facture","OK")))))))))</f>
        <v/>
      </c>
    </row>
    <row r="241">
      <c r="A241" s="61" t="n"/>
      <c r="B241" s="60" t="n"/>
      <c r="C241" s="68" t="n"/>
      <c r="D241" s="60" t="n"/>
      <c r="E241" s="63" t="n"/>
      <c r="F241" s="63" t="n"/>
      <c r="G241" s="62" t="str">
        <f>IF(B241="","",IFERROR(INDEX(fa_cname,MATCH(B241,fa_num,0))&amp;"",""))</f>
        <v/>
      </c>
      <c r="H241" s="59" t="str">
        <f>IF(COUNTA(A241:F241)=0,"",IF(A241="","Date manquante",IF(NOT(ISNUMBER(A241)),"Date invalide",IF(B241="","N° de facture manquant",IF(ISNA(MATCH(B241,fa_num,0)),"Facture inconnue",IF(INDEX(fa_type,MATCH(B241,fa_num,0))="Avoir","Paiement sur un avoir",IF(OR(NOT(ISNUMBER(C241)),N(C241)&lt;=0),"Montant invalide",IF(A241&lt;INDEX(fa_date,MATCH(B241,fa_num,0)),"Date antérieure à la facture",IF(SUMIF($B$6:B241,B241,$C$6:C241)&gt;INDEX(fa_ttc,MATCH(B241,fa_num,0))-N(INDEX(fa_avoirs,MATCH(B241,fa_num,0)))+0.001,"Dépasse le montant de la facture","OK")))))))))</f>
        <v/>
      </c>
    </row>
    <row r="242">
      <c r="A242" s="61" t="n"/>
      <c r="B242" s="60" t="n"/>
      <c r="C242" s="68" t="n"/>
      <c r="D242" s="60" t="n"/>
      <c r="E242" s="63" t="n"/>
      <c r="F242" s="63" t="n"/>
      <c r="G242" s="62" t="str">
        <f>IF(B242="","",IFERROR(INDEX(fa_cname,MATCH(B242,fa_num,0))&amp;"",""))</f>
        <v/>
      </c>
      <c r="H242" s="59" t="str">
        <f>IF(COUNTA(A242:F242)=0,"",IF(A242="","Date manquante",IF(NOT(ISNUMBER(A242)),"Date invalide",IF(B242="","N° de facture manquant",IF(ISNA(MATCH(B242,fa_num,0)),"Facture inconnue",IF(INDEX(fa_type,MATCH(B242,fa_num,0))="Avoir","Paiement sur un avoir",IF(OR(NOT(ISNUMBER(C242)),N(C242)&lt;=0),"Montant invalide",IF(A242&lt;INDEX(fa_date,MATCH(B242,fa_num,0)),"Date antérieure à la facture",IF(SUMIF($B$6:B242,B242,$C$6:C242)&gt;INDEX(fa_ttc,MATCH(B242,fa_num,0))-N(INDEX(fa_avoirs,MATCH(B242,fa_num,0)))+0.001,"Dépasse le montant de la facture","OK")))))))))</f>
        <v/>
      </c>
    </row>
    <row r="243">
      <c r="A243" s="61" t="n"/>
      <c r="B243" s="60" t="n"/>
      <c r="C243" s="68" t="n"/>
      <c r="D243" s="60" t="n"/>
      <c r="E243" s="63" t="n"/>
      <c r="F243" s="63" t="n"/>
      <c r="G243" s="62" t="str">
        <f>IF(B243="","",IFERROR(INDEX(fa_cname,MATCH(B243,fa_num,0))&amp;"",""))</f>
        <v/>
      </c>
      <c r="H243" s="59" t="str">
        <f>IF(COUNTA(A243:F243)=0,"",IF(A243="","Date manquante",IF(NOT(ISNUMBER(A243)),"Date invalide",IF(B243="","N° de facture manquant",IF(ISNA(MATCH(B243,fa_num,0)),"Facture inconnue",IF(INDEX(fa_type,MATCH(B243,fa_num,0))="Avoir","Paiement sur un avoir",IF(OR(NOT(ISNUMBER(C243)),N(C243)&lt;=0),"Montant invalide",IF(A243&lt;INDEX(fa_date,MATCH(B243,fa_num,0)),"Date antérieure à la facture",IF(SUMIF($B$6:B243,B243,$C$6:C243)&gt;INDEX(fa_ttc,MATCH(B243,fa_num,0))-N(INDEX(fa_avoirs,MATCH(B243,fa_num,0)))+0.001,"Dépasse le montant de la facture","OK")))))))))</f>
        <v/>
      </c>
    </row>
    <row r="244">
      <c r="A244" s="61" t="n"/>
      <c r="B244" s="60" t="n"/>
      <c r="C244" s="68" t="n"/>
      <c r="D244" s="60" t="n"/>
      <c r="E244" s="63" t="n"/>
      <c r="F244" s="63" t="n"/>
      <c r="G244" s="62" t="str">
        <f>IF(B244="","",IFERROR(INDEX(fa_cname,MATCH(B244,fa_num,0))&amp;"",""))</f>
        <v/>
      </c>
      <c r="H244" s="59" t="str">
        <f>IF(COUNTA(A244:F244)=0,"",IF(A244="","Date manquante",IF(NOT(ISNUMBER(A244)),"Date invalide",IF(B244="","N° de facture manquant",IF(ISNA(MATCH(B244,fa_num,0)),"Facture inconnue",IF(INDEX(fa_type,MATCH(B244,fa_num,0))="Avoir","Paiement sur un avoir",IF(OR(NOT(ISNUMBER(C244)),N(C244)&lt;=0),"Montant invalide",IF(A244&lt;INDEX(fa_date,MATCH(B244,fa_num,0)),"Date antérieure à la facture",IF(SUMIF($B$6:B244,B244,$C$6:C244)&gt;INDEX(fa_ttc,MATCH(B244,fa_num,0))-N(INDEX(fa_avoirs,MATCH(B244,fa_num,0)))+0.001,"Dépasse le montant de la facture","OK")))))))))</f>
        <v/>
      </c>
    </row>
    <row r="245">
      <c r="A245" s="61" t="n"/>
      <c r="B245" s="60" t="n"/>
      <c r="C245" s="68" t="n"/>
      <c r="D245" s="60" t="n"/>
      <c r="E245" s="63" t="n"/>
      <c r="F245" s="63" t="n"/>
      <c r="G245" s="62" t="str">
        <f>IF(B245="","",IFERROR(INDEX(fa_cname,MATCH(B245,fa_num,0))&amp;"",""))</f>
        <v/>
      </c>
      <c r="H245" s="59" t="str">
        <f>IF(COUNTA(A245:F245)=0,"",IF(A245="","Date manquante",IF(NOT(ISNUMBER(A245)),"Date invalide",IF(B245="","N° de facture manquant",IF(ISNA(MATCH(B245,fa_num,0)),"Facture inconnue",IF(INDEX(fa_type,MATCH(B245,fa_num,0))="Avoir","Paiement sur un avoir",IF(OR(NOT(ISNUMBER(C245)),N(C245)&lt;=0),"Montant invalide",IF(A245&lt;INDEX(fa_date,MATCH(B245,fa_num,0)),"Date antérieure à la facture",IF(SUMIF($B$6:B245,B245,$C$6:C245)&gt;INDEX(fa_ttc,MATCH(B245,fa_num,0))-N(INDEX(fa_avoirs,MATCH(B245,fa_num,0)))+0.001,"Dépasse le montant de la facture","OK")))))))))</f>
        <v/>
      </c>
    </row>
    <row r="246">
      <c r="A246" s="61" t="n"/>
      <c r="B246" s="60" t="n"/>
      <c r="C246" s="68" t="n"/>
      <c r="D246" s="60" t="n"/>
      <c r="E246" s="63" t="n"/>
      <c r="F246" s="63" t="n"/>
      <c r="G246" s="62" t="str">
        <f>IF(B246="","",IFERROR(INDEX(fa_cname,MATCH(B246,fa_num,0))&amp;"",""))</f>
        <v/>
      </c>
      <c r="H246" s="59" t="str">
        <f>IF(COUNTA(A246:F246)=0,"",IF(A246="","Date manquante",IF(NOT(ISNUMBER(A246)),"Date invalide",IF(B246="","N° de facture manquant",IF(ISNA(MATCH(B246,fa_num,0)),"Facture inconnue",IF(INDEX(fa_type,MATCH(B246,fa_num,0))="Avoir","Paiement sur un avoir",IF(OR(NOT(ISNUMBER(C246)),N(C246)&lt;=0),"Montant invalide",IF(A246&lt;INDEX(fa_date,MATCH(B246,fa_num,0)),"Date antérieure à la facture",IF(SUMIF($B$6:B246,B246,$C$6:C246)&gt;INDEX(fa_ttc,MATCH(B246,fa_num,0))-N(INDEX(fa_avoirs,MATCH(B246,fa_num,0)))+0.001,"Dépasse le montant de la facture","OK")))))))))</f>
        <v/>
      </c>
    </row>
    <row r="247">
      <c r="A247" s="61" t="n"/>
      <c r="B247" s="60" t="n"/>
      <c r="C247" s="68" t="n"/>
      <c r="D247" s="60" t="n"/>
      <c r="E247" s="63" t="n"/>
      <c r="F247" s="63" t="n"/>
      <c r="G247" s="62" t="str">
        <f>IF(B247="","",IFERROR(INDEX(fa_cname,MATCH(B247,fa_num,0))&amp;"",""))</f>
        <v/>
      </c>
      <c r="H247" s="59" t="str">
        <f>IF(COUNTA(A247:F247)=0,"",IF(A247="","Date manquante",IF(NOT(ISNUMBER(A247)),"Date invalide",IF(B247="","N° de facture manquant",IF(ISNA(MATCH(B247,fa_num,0)),"Facture inconnue",IF(INDEX(fa_type,MATCH(B247,fa_num,0))="Avoir","Paiement sur un avoir",IF(OR(NOT(ISNUMBER(C247)),N(C247)&lt;=0),"Montant invalide",IF(A247&lt;INDEX(fa_date,MATCH(B247,fa_num,0)),"Date antérieure à la facture",IF(SUMIF($B$6:B247,B247,$C$6:C247)&gt;INDEX(fa_ttc,MATCH(B247,fa_num,0))-N(INDEX(fa_avoirs,MATCH(B247,fa_num,0)))+0.001,"Dépasse le montant de la facture","OK")))))))))</f>
        <v/>
      </c>
    </row>
    <row r="248">
      <c r="A248" s="61" t="n"/>
      <c r="B248" s="60" t="n"/>
      <c r="C248" s="68" t="n"/>
      <c r="D248" s="60" t="n"/>
      <c r="E248" s="63" t="n"/>
      <c r="F248" s="63" t="n"/>
      <c r="G248" s="62" t="str">
        <f>IF(B248="","",IFERROR(INDEX(fa_cname,MATCH(B248,fa_num,0))&amp;"",""))</f>
        <v/>
      </c>
      <c r="H248" s="59" t="str">
        <f>IF(COUNTA(A248:F248)=0,"",IF(A248="","Date manquante",IF(NOT(ISNUMBER(A248)),"Date invalide",IF(B248="","N° de facture manquant",IF(ISNA(MATCH(B248,fa_num,0)),"Facture inconnue",IF(INDEX(fa_type,MATCH(B248,fa_num,0))="Avoir","Paiement sur un avoir",IF(OR(NOT(ISNUMBER(C248)),N(C248)&lt;=0),"Montant invalide",IF(A248&lt;INDEX(fa_date,MATCH(B248,fa_num,0)),"Date antérieure à la facture",IF(SUMIF($B$6:B248,B248,$C$6:C248)&gt;INDEX(fa_ttc,MATCH(B248,fa_num,0))-N(INDEX(fa_avoirs,MATCH(B248,fa_num,0)))+0.001,"Dépasse le montant de la facture","OK")))))))))</f>
        <v/>
      </c>
    </row>
    <row r="249">
      <c r="A249" s="61" t="n"/>
      <c r="B249" s="60" t="n"/>
      <c r="C249" s="68" t="n"/>
      <c r="D249" s="60" t="n"/>
      <c r="E249" s="63" t="n"/>
      <c r="F249" s="63" t="n"/>
      <c r="G249" s="62" t="str">
        <f>IF(B249="","",IFERROR(INDEX(fa_cname,MATCH(B249,fa_num,0))&amp;"",""))</f>
        <v/>
      </c>
      <c r="H249" s="59" t="str">
        <f>IF(COUNTA(A249:F249)=0,"",IF(A249="","Date manquante",IF(NOT(ISNUMBER(A249)),"Date invalide",IF(B249="","N° de facture manquant",IF(ISNA(MATCH(B249,fa_num,0)),"Facture inconnue",IF(INDEX(fa_type,MATCH(B249,fa_num,0))="Avoir","Paiement sur un avoir",IF(OR(NOT(ISNUMBER(C249)),N(C249)&lt;=0),"Montant invalide",IF(A249&lt;INDEX(fa_date,MATCH(B249,fa_num,0)),"Date antérieure à la facture",IF(SUMIF($B$6:B249,B249,$C$6:C249)&gt;INDEX(fa_ttc,MATCH(B249,fa_num,0))-N(INDEX(fa_avoirs,MATCH(B249,fa_num,0)))+0.001,"Dépasse le montant de la facture","OK")))))))))</f>
        <v/>
      </c>
    </row>
    <row r="250">
      <c r="A250" s="61" t="n"/>
      <c r="B250" s="60" t="n"/>
      <c r="C250" s="68" t="n"/>
      <c r="D250" s="60" t="n"/>
      <c r="E250" s="63" t="n"/>
      <c r="F250" s="63" t="n"/>
      <c r="G250" s="62" t="str">
        <f>IF(B250="","",IFERROR(INDEX(fa_cname,MATCH(B250,fa_num,0))&amp;"",""))</f>
        <v/>
      </c>
      <c r="H250" s="59" t="str">
        <f>IF(COUNTA(A250:F250)=0,"",IF(A250="","Date manquante",IF(NOT(ISNUMBER(A250)),"Date invalide",IF(B250="","N° de facture manquant",IF(ISNA(MATCH(B250,fa_num,0)),"Facture inconnue",IF(INDEX(fa_type,MATCH(B250,fa_num,0))="Avoir","Paiement sur un avoir",IF(OR(NOT(ISNUMBER(C250)),N(C250)&lt;=0),"Montant invalide",IF(A250&lt;INDEX(fa_date,MATCH(B250,fa_num,0)),"Date antérieure à la facture",IF(SUMIF($B$6:B250,B250,$C$6:C250)&gt;INDEX(fa_ttc,MATCH(B250,fa_num,0))-N(INDEX(fa_avoirs,MATCH(B250,fa_num,0)))+0.001,"Dépasse le montant de la facture","OK")))))))))</f>
        <v/>
      </c>
    </row>
    <row r="251">
      <c r="A251" s="61" t="n"/>
      <c r="B251" s="60" t="n"/>
      <c r="C251" s="68" t="n"/>
      <c r="D251" s="60" t="n"/>
      <c r="E251" s="63" t="n"/>
      <c r="F251" s="63" t="n"/>
      <c r="G251" s="62" t="str">
        <f>IF(B251="","",IFERROR(INDEX(fa_cname,MATCH(B251,fa_num,0))&amp;"",""))</f>
        <v/>
      </c>
      <c r="H251" s="59" t="str">
        <f>IF(COUNTA(A251:F251)=0,"",IF(A251="","Date manquante",IF(NOT(ISNUMBER(A251)),"Date invalide",IF(B251="","N° de facture manquant",IF(ISNA(MATCH(B251,fa_num,0)),"Facture inconnue",IF(INDEX(fa_type,MATCH(B251,fa_num,0))="Avoir","Paiement sur un avoir",IF(OR(NOT(ISNUMBER(C251)),N(C251)&lt;=0),"Montant invalide",IF(A251&lt;INDEX(fa_date,MATCH(B251,fa_num,0)),"Date antérieure à la facture",IF(SUMIF($B$6:B251,B251,$C$6:C251)&gt;INDEX(fa_ttc,MATCH(B251,fa_num,0))-N(INDEX(fa_avoirs,MATCH(B251,fa_num,0)))+0.001,"Dépasse le montant de la facture","OK")))))))))</f>
        <v/>
      </c>
    </row>
    <row r="252">
      <c r="A252" s="61" t="n"/>
      <c r="B252" s="60" t="n"/>
      <c r="C252" s="68" t="n"/>
      <c r="D252" s="60" t="n"/>
      <c r="E252" s="63" t="n"/>
      <c r="F252" s="63" t="n"/>
      <c r="G252" s="62" t="str">
        <f>IF(B252="","",IFERROR(INDEX(fa_cname,MATCH(B252,fa_num,0))&amp;"",""))</f>
        <v/>
      </c>
      <c r="H252" s="59" t="str">
        <f>IF(COUNTA(A252:F252)=0,"",IF(A252="","Date manquante",IF(NOT(ISNUMBER(A252)),"Date invalide",IF(B252="","N° de facture manquant",IF(ISNA(MATCH(B252,fa_num,0)),"Facture inconnue",IF(INDEX(fa_type,MATCH(B252,fa_num,0))="Avoir","Paiement sur un avoir",IF(OR(NOT(ISNUMBER(C252)),N(C252)&lt;=0),"Montant invalide",IF(A252&lt;INDEX(fa_date,MATCH(B252,fa_num,0)),"Date antérieure à la facture",IF(SUMIF($B$6:B252,B252,$C$6:C252)&gt;INDEX(fa_ttc,MATCH(B252,fa_num,0))-N(INDEX(fa_avoirs,MATCH(B252,fa_num,0)))+0.001,"Dépasse le montant de la facture","OK")))))))))</f>
        <v/>
      </c>
    </row>
    <row r="253">
      <c r="A253" s="61" t="n"/>
      <c r="B253" s="60" t="n"/>
      <c r="C253" s="68" t="n"/>
      <c r="D253" s="60" t="n"/>
      <c r="E253" s="63" t="n"/>
      <c r="F253" s="63" t="n"/>
      <c r="G253" s="62" t="str">
        <f>IF(B253="","",IFERROR(INDEX(fa_cname,MATCH(B253,fa_num,0))&amp;"",""))</f>
        <v/>
      </c>
      <c r="H253" s="59" t="str">
        <f>IF(COUNTA(A253:F253)=0,"",IF(A253="","Date manquante",IF(NOT(ISNUMBER(A253)),"Date invalide",IF(B253="","N° de facture manquant",IF(ISNA(MATCH(B253,fa_num,0)),"Facture inconnue",IF(INDEX(fa_type,MATCH(B253,fa_num,0))="Avoir","Paiement sur un avoir",IF(OR(NOT(ISNUMBER(C253)),N(C253)&lt;=0),"Montant invalide",IF(A253&lt;INDEX(fa_date,MATCH(B253,fa_num,0)),"Date antérieure à la facture",IF(SUMIF($B$6:B253,B253,$C$6:C253)&gt;INDEX(fa_ttc,MATCH(B253,fa_num,0))-N(INDEX(fa_avoirs,MATCH(B253,fa_num,0)))+0.001,"Dépasse le montant de la facture","OK")))))))))</f>
        <v/>
      </c>
    </row>
    <row r="254">
      <c r="A254" s="61" t="n"/>
      <c r="B254" s="60" t="n"/>
      <c r="C254" s="68" t="n"/>
      <c r="D254" s="60" t="n"/>
      <c r="E254" s="63" t="n"/>
      <c r="F254" s="63" t="n"/>
      <c r="G254" s="62" t="str">
        <f>IF(B254="","",IFERROR(INDEX(fa_cname,MATCH(B254,fa_num,0))&amp;"",""))</f>
        <v/>
      </c>
      <c r="H254" s="59" t="str">
        <f>IF(COUNTA(A254:F254)=0,"",IF(A254="","Date manquante",IF(NOT(ISNUMBER(A254)),"Date invalide",IF(B254="","N° de facture manquant",IF(ISNA(MATCH(B254,fa_num,0)),"Facture inconnue",IF(INDEX(fa_type,MATCH(B254,fa_num,0))="Avoir","Paiement sur un avoir",IF(OR(NOT(ISNUMBER(C254)),N(C254)&lt;=0),"Montant invalide",IF(A254&lt;INDEX(fa_date,MATCH(B254,fa_num,0)),"Date antérieure à la facture",IF(SUMIF($B$6:B254,B254,$C$6:C254)&gt;INDEX(fa_ttc,MATCH(B254,fa_num,0))-N(INDEX(fa_avoirs,MATCH(B254,fa_num,0)))+0.001,"Dépasse le montant de la facture","OK")))))))))</f>
        <v/>
      </c>
    </row>
    <row r="255">
      <c r="A255" s="61" t="n"/>
      <c r="B255" s="60" t="n"/>
      <c r="C255" s="68" t="n"/>
      <c r="D255" s="60" t="n"/>
      <c r="E255" s="63" t="n"/>
      <c r="F255" s="63" t="n"/>
      <c r="G255" s="62" t="str">
        <f>IF(B255="","",IFERROR(INDEX(fa_cname,MATCH(B255,fa_num,0))&amp;"",""))</f>
        <v/>
      </c>
      <c r="H255" s="59" t="str">
        <f>IF(COUNTA(A255:F255)=0,"",IF(A255="","Date manquante",IF(NOT(ISNUMBER(A255)),"Date invalide",IF(B255="","N° de facture manquant",IF(ISNA(MATCH(B255,fa_num,0)),"Facture inconnue",IF(INDEX(fa_type,MATCH(B255,fa_num,0))="Avoir","Paiement sur un avoir",IF(OR(NOT(ISNUMBER(C255)),N(C255)&lt;=0),"Montant invalide",IF(A255&lt;INDEX(fa_date,MATCH(B255,fa_num,0)),"Date antérieure à la facture",IF(SUMIF($B$6:B255,B255,$C$6:C255)&gt;INDEX(fa_ttc,MATCH(B255,fa_num,0))-N(INDEX(fa_avoirs,MATCH(B255,fa_num,0)))+0.001,"Dépasse le montant de la facture","OK")))))))))</f>
        <v/>
      </c>
    </row>
    <row r="256">
      <c r="A256" s="61" t="n"/>
      <c r="B256" s="60" t="n"/>
      <c r="C256" s="68" t="n"/>
      <c r="D256" s="60" t="n"/>
      <c r="E256" s="63" t="n"/>
      <c r="F256" s="63" t="n"/>
      <c r="G256" s="62" t="str">
        <f>IF(B256="","",IFERROR(INDEX(fa_cname,MATCH(B256,fa_num,0))&amp;"",""))</f>
        <v/>
      </c>
      <c r="H256" s="59" t="str">
        <f>IF(COUNTA(A256:F256)=0,"",IF(A256="","Date manquante",IF(NOT(ISNUMBER(A256)),"Date invalide",IF(B256="","N° de facture manquant",IF(ISNA(MATCH(B256,fa_num,0)),"Facture inconnue",IF(INDEX(fa_type,MATCH(B256,fa_num,0))="Avoir","Paiement sur un avoir",IF(OR(NOT(ISNUMBER(C256)),N(C256)&lt;=0),"Montant invalide",IF(A256&lt;INDEX(fa_date,MATCH(B256,fa_num,0)),"Date antérieure à la facture",IF(SUMIF($B$6:B256,B256,$C$6:C256)&gt;INDEX(fa_ttc,MATCH(B256,fa_num,0))-N(INDEX(fa_avoirs,MATCH(B256,fa_num,0)))+0.001,"Dépasse le montant de la facture","OK")))))))))</f>
        <v/>
      </c>
    </row>
    <row r="257">
      <c r="A257" s="61" t="n"/>
      <c r="B257" s="60" t="n"/>
      <c r="C257" s="68" t="n"/>
      <c r="D257" s="60" t="n"/>
      <c r="E257" s="63" t="n"/>
      <c r="F257" s="63" t="n"/>
      <c r="G257" s="62" t="str">
        <f>IF(B257="","",IFERROR(INDEX(fa_cname,MATCH(B257,fa_num,0))&amp;"",""))</f>
        <v/>
      </c>
      <c r="H257" s="59" t="str">
        <f>IF(COUNTA(A257:F257)=0,"",IF(A257="","Date manquante",IF(NOT(ISNUMBER(A257)),"Date invalide",IF(B257="","N° de facture manquant",IF(ISNA(MATCH(B257,fa_num,0)),"Facture inconnue",IF(INDEX(fa_type,MATCH(B257,fa_num,0))="Avoir","Paiement sur un avoir",IF(OR(NOT(ISNUMBER(C257)),N(C257)&lt;=0),"Montant invalide",IF(A257&lt;INDEX(fa_date,MATCH(B257,fa_num,0)),"Date antérieure à la facture",IF(SUMIF($B$6:B257,B257,$C$6:C257)&gt;INDEX(fa_ttc,MATCH(B257,fa_num,0))-N(INDEX(fa_avoirs,MATCH(B257,fa_num,0)))+0.001,"Dépasse le montant de la facture","OK")))))))))</f>
        <v/>
      </c>
    </row>
    <row r="258">
      <c r="A258" s="61" t="n"/>
      <c r="B258" s="60" t="n"/>
      <c r="C258" s="68" t="n"/>
      <c r="D258" s="60" t="n"/>
      <c r="E258" s="63" t="n"/>
      <c r="F258" s="63" t="n"/>
      <c r="G258" s="62" t="str">
        <f>IF(B258="","",IFERROR(INDEX(fa_cname,MATCH(B258,fa_num,0))&amp;"",""))</f>
        <v/>
      </c>
      <c r="H258" s="59" t="str">
        <f>IF(COUNTA(A258:F258)=0,"",IF(A258="","Date manquante",IF(NOT(ISNUMBER(A258)),"Date invalide",IF(B258="","N° de facture manquant",IF(ISNA(MATCH(B258,fa_num,0)),"Facture inconnue",IF(INDEX(fa_type,MATCH(B258,fa_num,0))="Avoir","Paiement sur un avoir",IF(OR(NOT(ISNUMBER(C258)),N(C258)&lt;=0),"Montant invalide",IF(A258&lt;INDEX(fa_date,MATCH(B258,fa_num,0)),"Date antérieure à la facture",IF(SUMIF($B$6:B258,B258,$C$6:C258)&gt;INDEX(fa_ttc,MATCH(B258,fa_num,0))-N(INDEX(fa_avoirs,MATCH(B258,fa_num,0)))+0.001,"Dépasse le montant de la facture","OK")))))))))</f>
        <v/>
      </c>
    </row>
    <row r="259">
      <c r="A259" s="61" t="n"/>
      <c r="B259" s="60" t="n"/>
      <c r="C259" s="68" t="n"/>
      <c r="D259" s="60" t="n"/>
      <c r="E259" s="63" t="n"/>
      <c r="F259" s="63" t="n"/>
      <c r="G259" s="62" t="str">
        <f>IF(B259="","",IFERROR(INDEX(fa_cname,MATCH(B259,fa_num,0))&amp;"",""))</f>
        <v/>
      </c>
      <c r="H259" s="59" t="str">
        <f>IF(COUNTA(A259:F259)=0,"",IF(A259="","Date manquante",IF(NOT(ISNUMBER(A259)),"Date invalide",IF(B259="","N° de facture manquant",IF(ISNA(MATCH(B259,fa_num,0)),"Facture inconnue",IF(INDEX(fa_type,MATCH(B259,fa_num,0))="Avoir","Paiement sur un avoir",IF(OR(NOT(ISNUMBER(C259)),N(C259)&lt;=0),"Montant invalide",IF(A259&lt;INDEX(fa_date,MATCH(B259,fa_num,0)),"Date antérieure à la facture",IF(SUMIF($B$6:B259,B259,$C$6:C259)&gt;INDEX(fa_ttc,MATCH(B259,fa_num,0))-N(INDEX(fa_avoirs,MATCH(B259,fa_num,0)))+0.001,"Dépasse le montant de la facture","OK")))))))))</f>
        <v/>
      </c>
    </row>
    <row r="260">
      <c r="A260" s="61" t="n"/>
      <c r="B260" s="60" t="n"/>
      <c r="C260" s="68" t="n"/>
      <c r="D260" s="60" t="n"/>
      <c r="E260" s="63" t="n"/>
      <c r="F260" s="63" t="n"/>
      <c r="G260" s="62" t="str">
        <f>IF(B260="","",IFERROR(INDEX(fa_cname,MATCH(B260,fa_num,0))&amp;"",""))</f>
        <v/>
      </c>
      <c r="H260" s="59" t="str">
        <f>IF(COUNTA(A260:F260)=0,"",IF(A260="","Date manquante",IF(NOT(ISNUMBER(A260)),"Date invalide",IF(B260="","N° de facture manquant",IF(ISNA(MATCH(B260,fa_num,0)),"Facture inconnue",IF(INDEX(fa_type,MATCH(B260,fa_num,0))="Avoir","Paiement sur un avoir",IF(OR(NOT(ISNUMBER(C260)),N(C260)&lt;=0),"Montant invalide",IF(A260&lt;INDEX(fa_date,MATCH(B260,fa_num,0)),"Date antérieure à la facture",IF(SUMIF($B$6:B260,B260,$C$6:C260)&gt;INDEX(fa_ttc,MATCH(B260,fa_num,0))-N(INDEX(fa_avoirs,MATCH(B260,fa_num,0)))+0.001,"Dépasse le montant de la facture","OK")))))))))</f>
        <v/>
      </c>
    </row>
    <row r="261">
      <c r="A261" s="61" t="n"/>
      <c r="B261" s="60" t="n"/>
      <c r="C261" s="68" t="n"/>
      <c r="D261" s="60" t="n"/>
      <c r="E261" s="63" t="n"/>
      <c r="F261" s="63" t="n"/>
      <c r="G261" s="62" t="str">
        <f>IF(B261="","",IFERROR(INDEX(fa_cname,MATCH(B261,fa_num,0))&amp;"",""))</f>
        <v/>
      </c>
      <c r="H261" s="59" t="str">
        <f>IF(COUNTA(A261:F261)=0,"",IF(A261="","Date manquante",IF(NOT(ISNUMBER(A261)),"Date invalide",IF(B261="","N° de facture manquant",IF(ISNA(MATCH(B261,fa_num,0)),"Facture inconnue",IF(INDEX(fa_type,MATCH(B261,fa_num,0))="Avoir","Paiement sur un avoir",IF(OR(NOT(ISNUMBER(C261)),N(C261)&lt;=0),"Montant invalide",IF(A261&lt;INDEX(fa_date,MATCH(B261,fa_num,0)),"Date antérieure à la facture",IF(SUMIF($B$6:B261,B261,$C$6:C261)&gt;INDEX(fa_ttc,MATCH(B261,fa_num,0))-N(INDEX(fa_avoirs,MATCH(B261,fa_num,0)))+0.001,"Dépasse le montant de la facture","OK")))))))))</f>
        <v/>
      </c>
    </row>
    <row r="262">
      <c r="A262" s="61" t="n"/>
      <c r="B262" s="60" t="n"/>
      <c r="C262" s="68" t="n"/>
      <c r="D262" s="60" t="n"/>
      <c r="E262" s="63" t="n"/>
      <c r="F262" s="63" t="n"/>
      <c r="G262" s="62" t="str">
        <f>IF(B262="","",IFERROR(INDEX(fa_cname,MATCH(B262,fa_num,0))&amp;"",""))</f>
        <v/>
      </c>
      <c r="H262" s="59" t="str">
        <f>IF(COUNTA(A262:F262)=0,"",IF(A262="","Date manquante",IF(NOT(ISNUMBER(A262)),"Date invalide",IF(B262="","N° de facture manquant",IF(ISNA(MATCH(B262,fa_num,0)),"Facture inconnue",IF(INDEX(fa_type,MATCH(B262,fa_num,0))="Avoir","Paiement sur un avoir",IF(OR(NOT(ISNUMBER(C262)),N(C262)&lt;=0),"Montant invalide",IF(A262&lt;INDEX(fa_date,MATCH(B262,fa_num,0)),"Date antérieure à la facture",IF(SUMIF($B$6:B262,B262,$C$6:C262)&gt;INDEX(fa_ttc,MATCH(B262,fa_num,0))-N(INDEX(fa_avoirs,MATCH(B262,fa_num,0)))+0.001,"Dépasse le montant de la facture","OK")))))))))</f>
        <v/>
      </c>
    </row>
    <row r="263">
      <c r="A263" s="61" t="n"/>
      <c r="B263" s="60" t="n"/>
      <c r="C263" s="68" t="n"/>
      <c r="D263" s="60" t="n"/>
      <c r="E263" s="63" t="n"/>
      <c r="F263" s="63" t="n"/>
      <c r="G263" s="62" t="str">
        <f>IF(B263="","",IFERROR(INDEX(fa_cname,MATCH(B263,fa_num,0))&amp;"",""))</f>
        <v/>
      </c>
      <c r="H263" s="59" t="str">
        <f>IF(COUNTA(A263:F263)=0,"",IF(A263="","Date manquante",IF(NOT(ISNUMBER(A263)),"Date invalide",IF(B263="","N° de facture manquant",IF(ISNA(MATCH(B263,fa_num,0)),"Facture inconnue",IF(INDEX(fa_type,MATCH(B263,fa_num,0))="Avoir","Paiement sur un avoir",IF(OR(NOT(ISNUMBER(C263)),N(C263)&lt;=0),"Montant invalide",IF(A263&lt;INDEX(fa_date,MATCH(B263,fa_num,0)),"Date antérieure à la facture",IF(SUMIF($B$6:B263,B263,$C$6:C263)&gt;INDEX(fa_ttc,MATCH(B263,fa_num,0))-N(INDEX(fa_avoirs,MATCH(B263,fa_num,0)))+0.001,"Dépasse le montant de la facture","OK")))))))))</f>
        <v/>
      </c>
    </row>
    <row r="264">
      <c r="A264" s="61" t="n"/>
      <c r="B264" s="60" t="n"/>
      <c r="C264" s="68" t="n"/>
      <c r="D264" s="60" t="n"/>
      <c r="E264" s="63" t="n"/>
      <c r="F264" s="63" t="n"/>
      <c r="G264" s="62" t="str">
        <f>IF(B264="","",IFERROR(INDEX(fa_cname,MATCH(B264,fa_num,0))&amp;"",""))</f>
        <v/>
      </c>
      <c r="H264" s="59" t="str">
        <f>IF(COUNTA(A264:F264)=0,"",IF(A264="","Date manquante",IF(NOT(ISNUMBER(A264)),"Date invalide",IF(B264="","N° de facture manquant",IF(ISNA(MATCH(B264,fa_num,0)),"Facture inconnue",IF(INDEX(fa_type,MATCH(B264,fa_num,0))="Avoir","Paiement sur un avoir",IF(OR(NOT(ISNUMBER(C264)),N(C264)&lt;=0),"Montant invalide",IF(A264&lt;INDEX(fa_date,MATCH(B264,fa_num,0)),"Date antérieure à la facture",IF(SUMIF($B$6:B264,B264,$C$6:C264)&gt;INDEX(fa_ttc,MATCH(B264,fa_num,0))-N(INDEX(fa_avoirs,MATCH(B264,fa_num,0)))+0.001,"Dépasse le montant de la facture","OK")))))))))</f>
        <v/>
      </c>
    </row>
    <row r="265">
      <c r="A265" s="61" t="n"/>
      <c r="B265" s="60" t="n"/>
      <c r="C265" s="68" t="n"/>
      <c r="D265" s="60" t="n"/>
      <c r="E265" s="63" t="n"/>
      <c r="F265" s="63" t="n"/>
      <c r="G265" s="62" t="str">
        <f>IF(B265="","",IFERROR(INDEX(fa_cname,MATCH(B265,fa_num,0))&amp;"",""))</f>
        <v/>
      </c>
      <c r="H265" s="59" t="str">
        <f>IF(COUNTA(A265:F265)=0,"",IF(A265="","Date manquante",IF(NOT(ISNUMBER(A265)),"Date invalide",IF(B265="","N° de facture manquant",IF(ISNA(MATCH(B265,fa_num,0)),"Facture inconnue",IF(INDEX(fa_type,MATCH(B265,fa_num,0))="Avoir","Paiement sur un avoir",IF(OR(NOT(ISNUMBER(C265)),N(C265)&lt;=0),"Montant invalide",IF(A265&lt;INDEX(fa_date,MATCH(B265,fa_num,0)),"Date antérieure à la facture",IF(SUMIF($B$6:B265,B265,$C$6:C265)&gt;INDEX(fa_ttc,MATCH(B265,fa_num,0))-N(INDEX(fa_avoirs,MATCH(B265,fa_num,0)))+0.001,"Dépasse le montant de la facture","OK")))))))))</f>
        <v/>
      </c>
    </row>
    <row r="266">
      <c r="A266" s="61" t="n"/>
      <c r="B266" s="60" t="n"/>
      <c r="C266" s="68" t="n"/>
      <c r="D266" s="60" t="n"/>
      <c r="E266" s="63" t="n"/>
      <c r="F266" s="63" t="n"/>
      <c r="G266" s="62" t="str">
        <f>IF(B266="","",IFERROR(INDEX(fa_cname,MATCH(B266,fa_num,0))&amp;"",""))</f>
        <v/>
      </c>
      <c r="H266" s="59" t="str">
        <f>IF(COUNTA(A266:F266)=0,"",IF(A266="","Date manquante",IF(NOT(ISNUMBER(A266)),"Date invalide",IF(B266="","N° de facture manquant",IF(ISNA(MATCH(B266,fa_num,0)),"Facture inconnue",IF(INDEX(fa_type,MATCH(B266,fa_num,0))="Avoir","Paiement sur un avoir",IF(OR(NOT(ISNUMBER(C266)),N(C266)&lt;=0),"Montant invalide",IF(A266&lt;INDEX(fa_date,MATCH(B266,fa_num,0)),"Date antérieure à la facture",IF(SUMIF($B$6:B266,B266,$C$6:C266)&gt;INDEX(fa_ttc,MATCH(B266,fa_num,0))-N(INDEX(fa_avoirs,MATCH(B266,fa_num,0)))+0.001,"Dépasse le montant de la facture","OK")))))))))</f>
        <v/>
      </c>
    </row>
    <row r="267">
      <c r="A267" s="61" t="n"/>
      <c r="B267" s="60" t="n"/>
      <c r="C267" s="68" t="n"/>
      <c r="D267" s="60" t="n"/>
      <c r="E267" s="63" t="n"/>
      <c r="F267" s="63" t="n"/>
      <c r="G267" s="62" t="str">
        <f>IF(B267="","",IFERROR(INDEX(fa_cname,MATCH(B267,fa_num,0))&amp;"",""))</f>
        <v/>
      </c>
      <c r="H267" s="59" t="str">
        <f>IF(COUNTA(A267:F267)=0,"",IF(A267="","Date manquante",IF(NOT(ISNUMBER(A267)),"Date invalide",IF(B267="","N° de facture manquant",IF(ISNA(MATCH(B267,fa_num,0)),"Facture inconnue",IF(INDEX(fa_type,MATCH(B267,fa_num,0))="Avoir","Paiement sur un avoir",IF(OR(NOT(ISNUMBER(C267)),N(C267)&lt;=0),"Montant invalide",IF(A267&lt;INDEX(fa_date,MATCH(B267,fa_num,0)),"Date antérieure à la facture",IF(SUMIF($B$6:B267,B267,$C$6:C267)&gt;INDEX(fa_ttc,MATCH(B267,fa_num,0))-N(INDEX(fa_avoirs,MATCH(B267,fa_num,0)))+0.001,"Dépasse le montant de la facture","OK")))))))))</f>
        <v/>
      </c>
    </row>
    <row r="268">
      <c r="A268" s="61" t="n"/>
      <c r="B268" s="60" t="n"/>
      <c r="C268" s="68" t="n"/>
      <c r="D268" s="60" t="n"/>
      <c r="E268" s="63" t="n"/>
      <c r="F268" s="63" t="n"/>
      <c r="G268" s="62" t="str">
        <f>IF(B268="","",IFERROR(INDEX(fa_cname,MATCH(B268,fa_num,0))&amp;"",""))</f>
        <v/>
      </c>
      <c r="H268" s="59" t="str">
        <f>IF(COUNTA(A268:F268)=0,"",IF(A268="","Date manquante",IF(NOT(ISNUMBER(A268)),"Date invalide",IF(B268="","N° de facture manquant",IF(ISNA(MATCH(B268,fa_num,0)),"Facture inconnue",IF(INDEX(fa_type,MATCH(B268,fa_num,0))="Avoir","Paiement sur un avoir",IF(OR(NOT(ISNUMBER(C268)),N(C268)&lt;=0),"Montant invalide",IF(A268&lt;INDEX(fa_date,MATCH(B268,fa_num,0)),"Date antérieure à la facture",IF(SUMIF($B$6:B268,B268,$C$6:C268)&gt;INDEX(fa_ttc,MATCH(B268,fa_num,0))-N(INDEX(fa_avoirs,MATCH(B268,fa_num,0)))+0.001,"Dépasse le montant de la facture","OK")))))))))</f>
        <v/>
      </c>
    </row>
    <row r="269">
      <c r="A269" s="61" t="n"/>
      <c r="B269" s="60" t="n"/>
      <c r="C269" s="68" t="n"/>
      <c r="D269" s="60" t="n"/>
      <c r="E269" s="63" t="n"/>
      <c r="F269" s="63" t="n"/>
      <c r="G269" s="62" t="str">
        <f>IF(B269="","",IFERROR(INDEX(fa_cname,MATCH(B269,fa_num,0))&amp;"",""))</f>
        <v/>
      </c>
      <c r="H269" s="59" t="str">
        <f>IF(COUNTA(A269:F269)=0,"",IF(A269="","Date manquante",IF(NOT(ISNUMBER(A269)),"Date invalide",IF(B269="","N° de facture manquant",IF(ISNA(MATCH(B269,fa_num,0)),"Facture inconnue",IF(INDEX(fa_type,MATCH(B269,fa_num,0))="Avoir","Paiement sur un avoir",IF(OR(NOT(ISNUMBER(C269)),N(C269)&lt;=0),"Montant invalide",IF(A269&lt;INDEX(fa_date,MATCH(B269,fa_num,0)),"Date antérieure à la facture",IF(SUMIF($B$6:B269,B269,$C$6:C269)&gt;INDEX(fa_ttc,MATCH(B269,fa_num,0))-N(INDEX(fa_avoirs,MATCH(B269,fa_num,0)))+0.001,"Dépasse le montant de la facture","OK")))))))))</f>
        <v/>
      </c>
    </row>
    <row r="270">
      <c r="A270" s="61" t="n"/>
      <c r="B270" s="60" t="n"/>
      <c r="C270" s="68" t="n"/>
      <c r="D270" s="60" t="n"/>
      <c r="E270" s="63" t="n"/>
      <c r="F270" s="63" t="n"/>
      <c r="G270" s="62" t="str">
        <f>IF(B270="","",IFERROR(INDEX(fa_cname,MATCH(B270,fa_num,0))&amp;"",""))</f>
        <v/>
      </c>
      <c r="H270" s="59" t="str">
        <f>IF(COUNTA(A270:F270)=0,"",IF(A270="","Date manquante",IF(NOT(ISNUMBER(A270)),"Date invalide",IF(B270="","N° de facture manquant",IF(ISNA(MATCH(B270,fa_num,0)),"Facture inconnue",IF(INDEX(fa_type,MATCH(B270,fa_num,0))="Avoir","Paiement sur un avoir",IF(OR(NOT(ISNUMBER(C270)),N(C270)&lt;=0),"Montant invalide",IF(A270&lt;INDEX(fa_date,MATCH(B270,fa_num,0)),"Date antérieure à la facture",IF(SUMIF($B$6:B270,B270,$C$6:C270)&gt;INDEX(fa_ttc,MATCH(B270,fa_num,0))-N(INDEX(fa_avoirs,MATCH(B270,fa_num,0)))+0.001,"Dépasse le montant de la facture","OK")))))))))</f>
        <v/>
      </c>
    </row>
    <row r="271">
      <c r="A271" s="61" t="n"/>
      <c r="B271" s="60" t="n"/>
      <c r="C271" s="68" t="n"/>
      <c r="D271" s="60" t="n"/>
      <c r="E271" s="63" t="n"/>
      <c r="F271" s="63" t="n"/>
      <c r="G271" s="62" t="str">
        <f>IF(B271="","",IFERROR(INDEX(fa_cname,MATCH(B271,fa_num,0))&amp;"",""))</f>
        <v/>
      </c>
      <c r="H271" s="59" t="str">
        <f>IF(COUNTA(A271:F271)=0,"",IF(A271="","Date manquante",IF(NOT(ISNUMBER(A271)),"Date invalide",IF(B271="","N° de facture manquant",IF(ISNA(MATCH(B271,fa_num,0)),"Facture inconnue",IF(INDEX(fa_type,MATCH(B271,fa_num,0))="Avoir","Paiement sur un avoir",IF(OR(NOT(ISNUMBER(C271)),N(C271)&lt;=0),"Montant invalide",IF(A271&lt;INDEX(fa_date,MATCH(B271,fa_num,0)),"Date antérieure à la facture",IF(SUMIF($B$6:B271,B271,$C$6:C271)&gt;INDEX(fa_ttc,MATCH(B271,fa_num,0))-N(INDEX(fa_avoirs,MATCH(B271,fa_num,0)))+0.001,"Dépasse le montant de la facture","OK")))))))))</f>
        <v/>
      </c>
    </row>
    <row r="272">
      <c r="A272" s="61" t="n"/>
      <c r="B272" s="60" t="n"/>
      <c r="C272" s="68" t="n"/>
      <c r="D272" s="60" t="n"/>
      <c r="E272" s="63" t="n"/>
      <c r="F272" s="63" t="n"/>
      <c r="G272" s="62" t="str">
        <f>IF(B272="","",IFERROR(INDEX(fa_cname,MATCH(B272,fa_num,0))&amp;"",""))</f>
        <v/>
      </c>
      <c r="H272" s="59" t="str">
        <f>IF(COUNTA(A272:F272)=0,"",IF(A272="","Date manquante",IF(NOT(ISNUMBER(A272)),"Date invalide",IF(B272="","N° de facture manquant",IF(ISNA(MATCH(B272,fa_num,0)),"Facture inconnue",IF(INDEX(fa_type,MATCH(B272,fa_num,0))="Avoir","Paiement sur un avoir",IF(OR(NOT(ISNUMBER(C272)),N(C272)&lt;=0),"Montant invalide",IF(A272&lt;INDEX(fa_date,MATCH(B272,fa_num,0)),"Date antérieure à la facture",IF(SUMIF($B$6:B272,B272,$C$6:C272)&gt;INDEX(fa_ttc,MATCH(B272,fa_num,0))-N(INDEX(fa_avoirs,MATCH(B272,fa_num,0)))+0.001,"Dépasse le montant de la facture","OK")))))))))</f>
        <v/>
      </c>
    </row>
    <row r="273">
      <c r="A273" s="61" t="n"/>
      <c r="B273" s="60" t="n"/>
      <c r="C273" s="68" t="n"/>
      <c r="D273" s="60" t="n"/>
      <c r="E273" s="63" t="n"/>
      <c r="F273" s="63" t="n"/>
      <c r="G273" s="62" t="str">
        <f>IF(B273="","",IFERROR(INDEX(fa_cname,MATCH(B273,fa_num,0))&amp;"",""))</f>
        <v/>
      </c>
      <c r="H273" s="59" t="str">
        <f>IF(COUNTA(A273:F273)=0,"",IF(A273="","Date manquante",IF(NOT(ISNUMBER(A273)),"Date invalide",IF(B273="","N° de facture manquant",IF(ISNA(MATCH(B273,fa_num,0)),"Facture inconnue",IF(INDEX(fa_type,MATCH(B273,fa_num,0))="Avoir","Paiement sur un avoir",IF(OR(NOT(ISNUMBER(C273)),N(C273)&lt;=0),"Montant invalide",IF(A273&lt;INDEX(fa_date,MATCH(B273,fa_num,0)),"Date antérieure à la facture",IF(SUMIF($B$6:B273,B273,$C$6:C273)&gt;INDEX(fa_ttc,MATCH(B273,fa_num,0))-N(INDEX(fa_avoirs,MATCH(B273,fa_num,0)))+0.001,"Dépasse le montant de la facture","OK")))))))))</f>
        <v/>
      </c>
    </row>
    <row r="274">
      <c r="A274" s="61" t="n"/>
      <c r="B274" s="60" t="n"/>
      <c r="C274" s="68" t="n"/>
      <c r="D274" s="60" t="n"/>
      <c r="E274" s="63" t="n"/>
      <c r="F274" s="63" t="n"/>
      <c r="G274" s="62" t="str">
        <f>IF(B274="","",IFERROR(INDEX(fa_cname,MATCH(B274,fa_num,0))&amp;"",""))</f>
        <v/>
      </c>
      <c r="H274" s="59" t="str">
        <f>IF(COUNTA(A274:F274)=0,"",IF(A274="","Date manquante",IF(NOT(ISNUMBER(A274)),"Date invalide",IF(B274="","N° de facture manquant",IF(ISNA(MATCH(B274,fa_num,0)),"Facture inconnue",IF(INDEX(fa_type,MATCH(B274,fa_num,0))="Avoir","Paiement sur un avoir",IF(OR(NOT(ISNUMBER(C274)),N(C274)&lt;=0),"Montant invalide",IF(A274&lt;INDEX(fa_date,MATCH(B274,fa_num,0)),"Date antérieure à la facture",IF(SUMIF($B$6:B274,B274,$C$6:C274)&gt;INDEX(fa_ttc,MATCH(B274,fa_num,0))-N(INDEX(fa_avoirs,MATCH(B274,fa_num,0)))+0.001,"Dépasse le montant de la facture","OK")))))))))</f>
        <v/>
      </c>
    </row>
    <row r="275">
      <c r="A275" s="61" t="n"/>
      <c r="B275" s="60" t="n"/>
      <c r="C275" s="68" t="n"/>
      <c r="D275" s="60" t="n"/>
      <c r="E275" s="63" t="n"/>
      <c r="F275" s="63" t="n"/>
      <c r="G275" s="62" t="str">
        <f>IF(B275="","",IFERROR(INDEX(fa_cname,MATCH(B275,fa_num,0))&amp;"",""))</f>
        <v/>
      </c>
      <c r="H275" s="59" t="str">
        <f>IF(COUNTA(A275:F275)=0,"",IF(A275="","Date manquante",IF(NOT(ISNUMBER(A275)),"Date invalide",IF(B275="","N° de facture manquant",IF(ISNA(MATCH(B275,fa_num,0)),"Facture inconnue",IF(INDEX(fa_type,MATCH(B275,fa_num,0))="Avoir","Paiement sur un avoir",IF(OR(NOT(ISNUMBER(C275)),N(C275)&lt;=0),"Montant invalide",IF(A275&lt;INDEX(fa_date,MATCH(B275,fa_num,0)),"Date antérieure à la facture",IF(SUMIF($B$6:B275,B275,$C$6:C275)&gt;INDEX(fa_ttc,MATCH(B275,fa_num,0))-N(INDEX(fa_avoirs,MATCH(B275,fa_num,0)))+0.001,"Dépasse le montant de la facture","OK")))))))))</f>
        <v/>
      </c>
    </row>
    <row r="276">
      <c r="A276" s="61" t="n"/>
      <c r="B276" s="60" t="n"/>
      <c r="C276" s="68" t="n"/>
      <c r="D276" s="60" t="n"/>
      <c r="E276" s="63" t="n"/>
      <c r="F276" s="63" t="n"/>
      <c r="G276" s="62" t="str">
        <f>IF(B276="","",IFERROR(INDEX(fa_cname,MATCH(B276,fa_num,0))&amp;"",""))</f>
        <v/>
      </c>
      <c r="H276" s="59" t="str">
        <f>IF(COUNTA(A276:F276)=0,"",IF(A276="","Date manquante",IF(NOT(ISNUMBER(A276)),"Date invalide",IF(B276="","N° de facture manquant",IF(ISNA(MATCH(B276,fa_num,0)),"Facture inconnue",IF(INDEX(fa_type,MATCH(B276,fa_num,0))="Avoir","Paiement sur un avoir",IF(OR(NOT(ISNUMBER(C276)),N(C276)&lt;=0),"Montant invalide",IF(A276&lt;INDEX(fa_date,MATCH(B276,fa_num,0)),"Date antérieure à la facture",IF(SUMIF($B$6:B276,B276,$C$6:C276)&gt;INDEX(fa_ttc,MATCH(B276,fa_num,0))-N(INDEX(fa_avoirs,MATCH(B276,fa_num,0)))+0.001,"Dépasse le montant de la facture","OK")))))))))</f>
        <v/>
      </c>
    </row>
    <row r="277">
      <c r="A277" s="61" t="n"/>
      <c r="B277" s="60" t="n"/>
      <c r="C277" s="68" t="n"/>
      <c r="D277" s="60" t="n"/>
      <c r="E277" s="63" t="n"/>
      <c r="F277" s="63" t="n"/>
      <c r="G277" s="62" t="str">
        <f>IF(B277="","",IFERROR(INDEX(fa_cname,MATCH(B277,fa_num,0))&amp;"",""))</f>
        <v/>
      </c>
      <c r="H277" s="59" t="str">
        <f>IF(COUNTA(A277:F277)=0,"",IF(A277="","Date manquante",IF(NOT(ISNUMBER(A277)),"Date invalide",IF(B277="","N° de facture manquant",IF(ISNA(MATCH(B277,fa_num,0)),"Facture inconnue",IF(INDEX(fa_type,MATCH(B277,fa_num,0))="Avoir","Paiement sur un avoir",IF(OR(NOT(ISNUMBER(C277)),N(C277)&lt;=0),"Montant invalide",IF(A277&lt;INDEX(fa_date,MATCH(B277,fa_num,0)),"Date antérieure à la facture",IF(SUMIF($B$6:B277,B277,$C$6:C277)&gt;INDEX(fa_ttc,MATCH(B277,fa_num,0))-N(INDEX(fa_avoirs,MATCH(B277,fa_num,0)))+0.001,"Dépasse le montant de la facture","OK")))))))))</f>
        <v/>
      </c>
    </row>
    <row r="278">
      <c r="A278" s="61" t="n"/>
      <c r="B278" s="60" t="n"/>
      <c r="C278" s="68" t="n"/>
      <c r="D278" s="60" t="n"/>
      <c r="E278" s="63" t="n"/>
      <c r="F278" s="63" t="n"/>
      <c r="G278" s="62" t="str">
        <f>IF(B278="","",IFERROR(INDEX(fa_cname,MATCH(B278,fa_num,0))&amp;"",""))</f>
        <v/>
      </c>
      <c r="H278" s="59" t="str">
        <f>IF(COUNTA(A278:F278)=0,"",IF(A278="","Date manquante",IF(NOT(ISNUMBER(A278)),"Date invalide",IF(B278="","N° de facture manquant",IF(ISNA(MATCH(B278,fa_num,0)),"Facture inconnue",IF(INDEX(fa_type,MATCH(B278,fa_num,0))="Avoir","Paiement sur un avoir",IF(OR(NOT(ISNUMBER(C278)),N(C278)&lt;=0),"Montant invalide",IF(A278&lt;INDEX(fa_date,MATCH(B278,fa_num,0)),"Date antérieure à la facture",IF(SUMIF($B$6:B278,B278,$C$6:C278)&gt;INDEX(fa_ttc,MATCH(B278,fa_num,0))-N(INDEX(fa_avoirs,MATCH(B278,fa_num,0)))+0.001,"Dépasse le montant de la facture","OK")))))))))</f>
        <v/>
      </c>
    </row>
    <row r="279">
      <c r="A279" s="61" t="n"/>
      <c r="B279" s="60" t="n"/>
      <c r="C279" s="68" t="n"/>
      <c r="D279" s="60" t="n"/>
      <c r="E279" s="63" t="n"/>
      <c r="F279" s="63" t="n"/>
      <c r="G279" s="62" t="str">
        <f>IF(B279="","",IFERROR(INDEX(fa_cname,MATCH(B279,fa_num,0))&amp;"",""))</f>
        <v/>
      </c>
      <c r="H279" s="59" t="str">
        <f>IF(COUNTA(A279:F279)=0,"",IF(A279="","Date manquante",IF(NOT(ISNUMBER(A279)),"Date invalide",IF(B279="","N° de facture manquant",IF(ISNA(MATCH(B279,fa_num,0)),"Facture inconnue",IF(INDEX(fa_type,MATCH(B279,fa_num,0))="Avoir","Paiement sur un avoir",IF(OR(NOT(ISNUMBER(C279)),N(C279)&lt;=0),"Montant invalide",IF(A279&lt;INDEX(fa_date,MATCH(B279,fa_num,0)),"Date antérieure à la facture",IF(SUMIF($B$6:B279,B279,$C$6:C279)&gt;INDEX(fa_ttc,MATCH(B279,fa_num,0))-N(INDEX(fa_avoirs,MATCH(B279,fa_num,0)))+0.001,"Dépasse le montant de la facture","OK")))))))))</f>
        <v/>
      </c>
    </row>
    <row r="280">
      <c r="A280" s="61" t="n"/>
      <c r="B280" s="60" t="n"/>
      <c r="C280" s="68" t="n"/>
      <c r="D280" s="60" t="n"/>
      <c r="E280" s="63" t="n"/>
      <c r="F280" s="63" t="n"/>
      <c r="G280" s="62" t="str">
        <f>IF(B280="","",IFERROR(INDEX(fa_cname,MATCH(B280,fa_num,0))&amp;"",""))</f>
        <v/>
      </c>
      <c r="H280" s="59" t="str">
        <f>IF(COUNTA(A280:F280)=0,"",IF(A280="","Date manquante",IF(NOT(ISNUMBER(A280)),"Date invalide",IF(B280="","N° de facture manquant",IF(ISNA(MATCH(B280,fa_num,0)),"Facture inconnue",IF(INDEX(fa_type,MATCH(B280,fa_num,0))="Avoir","Paiement sur un avoir",IF(OR(NOT(ISNUMBER(C280)),N(C280)&lt;=0),"Montant invalide",IF(A280&lt;INDEX(fa_date,MATCH(B280,fa_num,0)),"Date antérieure à la facture",IF(SUMIF($B$6:B280,B280,$C$6:C280)&gt;INDEX(fa_ttc,MATCH(B280,fa_num,0))-N(INDEX(fa_avoirs,MATCH(B280,fa_num,0)))+0.001,"Dépasse le montant de la facture","OK")))))))))</f>
        <v/>
      </c>
    </row>
    <row r="281">
      <c r="A281" s="61" t="n"/>
      <c r="B281" s="60" t="n"/>
      <c r="C281" s="68" t="n"/>
      <c r="D281" s="60" t="n"/>
      <c r="E281" s="63" t="n"/>
      <c r="F281" s="63" t="n"/>
      <c r="G281" s="62" t="str">
        <f>IF(B281="","",IFERROR(INDEX(fa_cname,MATCH(B281,fa_num,0))&amp;"",""))</f>
        <v/>
      </c>
      <c r="H281" s="59" t="str">
        <f>IF(COUNTA(A281:F281)=0,"",IF(A281="","Date manquante",IF(NOT(ISNUMBER(A281)),"Date invalide",IF(B281="","N° de facture manquant",IF(ISNA(MATCH(B281,fa_num,0)),"Facture inconnue",IF(INDEX(fa_type,MATCH(B281,fa_num,0))="Avoir","Paiement sur un avoir",IF(OR(NOT(ISNUMBER(C281)),N(C281)&lt;=0),"Montant invalide",IF(A281&lt;INDEX(fa_date,MATCH(B281,fa_num,0)),"Date antérieure à la facture",IF(SUMIF($B$6:B281,B281,$C$6:C281)&gt;INDEX(fa_ttc,MATCH(B281,fa_num,0))-N(INDEX(fa_avoirs,MATCH(B281,fa_num,0)))+0.001,"Dépasse le montant de la facture","OK")))))))))</f>
        <v/>
      </c>
    </row>
    <row r="282">
      <c r="A282" s="61" t="n"/>
      <c r="B282" s="60" t="n"/>
      <c r="C282" s="68" t="n"/>
      <c r="D282" s="60" t="n"/>
      <c r="E282" s="63" t="n"/>
      <c r="F282" s="63" t="n"/>
      <c r="G282" s="62" t="str">
        <f>IF(B282="","",IFERROR(INDEX(fa_cname,MATCH(B282,fa_num,0))&amp;"",""))</f>
        <v/>
      </c>
      <c r="H282" s="59" t="str">
        <f>IF(COUNTA(A282:F282)=0,"",IF(A282="","Date manquante",IF(NOT(ISNUMBER(A282)),"Date invalide",IF(B282="","N° de facture manquant",IF(ISNA(MATCH(B282,fa_num,0)),"Facture inconnue",IF(INDEX(fa_type,MATCH(B282,fa_num,0))="Avoir","Paiement sur un avoir",IF(OR(NOT(ISNUMBER(C282)),N(C282)&lt;=0),"Montant invalide",IF(A282&lt;INDEX(fa_date,MATCH(B282,fa_num,0)),"Date antérieure à la facture",IF(SUMIF($B$6:B282,B282,$C$6:C282)&gt;INDEX(fa_ttc,MATCH(B282,fa_num,0))-N(INDEX(fa_avoirs,MATCH(B282,fa_num,0)))+0.001,"Dépasse le montant de la facture","OK")))))))))</f>
        <v/>
      </c>
    </row>
    <row r="283">
      <c r="A283" s="61" t="n"/>
      <c r="B283" s="60" t="n"/>
      <c r="C283" s="68" t="n"/>
      <c r="D283" s="60" t="n"/>
      <c r="E283" s="63" t="n"/>
      <c r="F283" s="63" t="n"/>
      <c r="G283" s="62" t="str">
        <f>IF(B283="","",IFERROR(INDEX(fa_cname,MATCH(B283,fa_num,0))&amp;"",""))</f>
        <v/>
      </c>
      <c r="H283" s="59" t="str">
        <f>IF(COUNTA(A283:F283)=0,"",IF(A283="","Date manquante",IF(NOT(ISNUMBER(A283)),"Date invalide",IF(B283="","N° de facture manquant",IF(ISNA(MATCH(B283,fa_num,0)),"Facture inconnue",IF(INDEX(fa_type,MATCH(B283,fa_num,0))="Avoir","Paiement sur un avoir",IF(OR(NOT(ISNUMBER(C283)),N(C283)&lt;=0),"Montant invalide",IF(A283&lt;INDEX(fa_date,MATCH(B283,fa_num,0)),"Date antérieure à la facture",IF(SUMIF($B$6:B283,B283,$C$6:C283)&gt;INDEX(fa_ttc,MATCH(B283,fa_num,0))-N(INDEX(fa_avoirs,MATCH(B283,fa_num,0)))+0.001,"Dépasse le montant de la facture","OK")))))))))</f>
        <v/>
      </c>
    </row>
    <row r="284">
      <c r="A284" s="61" t="n"/>
      <c r="B284" s="60" t="n"/>
      <c r="C284" s="68" t="n"/>
      <c r="D284" s="60" t="n"/>
      <c r="E284" s="63" t="n"/>
      <c r="F284" s="63" t="n"/>
      <c r="G284" s="62" t="str">
        <f>IF(B284="","",IFERROR(INDEX(fa_cname,MATCH(B284,fa_num,0))&amp;"",""))</f>
        <v/>
      </c>
      <c r="H284" s="59" t="str">
        <f>IF(COUNTA(A284:F284)=0,"",IF(A284="","Date manquante",IF(NOT(ISNUMBER(A284)),"Date invalide",IF(B284="","N° de facture manquant",IF(ISNA(MATCH(B284,fa_num,0)),"Facture inconnue",IF(INDEX(fa_type,MATCH(B284,fa_num,0))="Avoir","Paiement sur un avoir",IF(OR(NOT(ISNUMBER(C284)),N(C284)&lt;=0),"Montant invalide",IF(A284&lt;INDEX(fa_date,MATCH(B284,fa_num,0)),"Date antérieure à la facture",IF(SUMIF($B$6:B284,B284,$C$6:C284)&gt;INDEX(fa_ttc,MATCH(B284,fa_num,0))-N(INDEX(fa_avoirs,MATCH(B284,fa_num,0)))+0.001,"Dépasse le montant de la facture","OK")))))))))</f>
        <v/>
      </c>
    </row>
    <row r="285">
      <c r="A285" s="61" t="n"/>
      <c r="B285" s="60" t="n"/>
      <c r="C285" s="68" t="n"/>
      <c r="D285" s="60" t="n"/>
      <c r="E285" s="63" t="n"/>
      <c r="F285" s="63" t="n"/>
      <c r="G285" s="62" t="str">
        <f>IF(B285="","",IFERROR(INDEX(fa_cname,MATCH(B285,fa_num,0))&amp;"",""))</f>
        <v/>
      </c>
      <c r="H285" s="59" t="str">
        <f>IF(COUNTA(A285:F285)=0,"",IF(A285="","Date manquante",IF(NOT(ISNUMBER(A285)),"Date invalide",IF(B285="","N° de facture manquant",IF(ISNA(MATCH(B285,fa_num,0)),"Facture inconnue",IF(INDEX(fa_type,MATCH(B285,fa_num,0))="Avoir","Paiement sur un avoir",IF(OR(NOT(ISNUMBER(C285)),N(C285)&lt;=0),"Montant invalide",IF(A285&lt;INDEX(fa_date,MATCH(B285,fa_num,0)),"Date antérieure à la facture",IF(SUMIF($B$6:B285,B285,$C$6:C285)&gt;INDEX(fa_ttc,MATCH(B285,fa_num,0))-N(INDEX(fa_avoirs,MATCH(B285,fa_num,0)))+0.001,"Dépasse le montant de la facture","OK")))))))))</f>
        <v/>
      </c>
    </row>
    <row r="286">
      <c r="A286" s="61" t="n"/>
      <c r="B286" s="60" t="n"/>
      <c r="C286" s="68" t="n"/>
      <c r="D286" s="60" t="n"/>
      <c r="E286" s="63" t="n"/>
      <c r="F286" s="63" t="n"/>
      <c r="G286" s="62" t="str">
        <f>IF(B286="","",IFERROR(INDEX(fa_cname,MATCH(B286,fa_num,0))&amp;"",""))</f>
        <v/>
      </c>
      <c r="H286" s="59" t="str">
        <f>IF(COUNTA(A286:F286)=0,"",IF(A286="","Date manquante",IF(NOT(ISNUMBER(A286)),"Date invalide",IF(B286="","N° de facture manquant",IF(ISNA(MATCH(B286,fa_num,0)),"Facture inconnue",IF(INDEX(fa_type,MATCH(B286,fa_num,0))="Avoir","Paiement sur un avoir",IF(OR(NOT(ISNUMBER(C286)),N(C286)&lt;=0),"Montant invalide",IF(A286&lt;INDEX(fa_date,MATCH(B286,fa_num,0)),"Date antérieure à la facture",IF(SUMIF($B$6:B286,B286,$C$6:C286)&gt;INDEX(fa_ttc,MATCH(B286,fa_num,0))-N(INDEX(fa_avoirs,MATCH(B286,fa_num,0)))+0.001,"Dépasse le montant de la facture","OK")))))))))</f>
        <v/>
      </c>
    </row>
    <row r="287">
      <c r="A287" s="61" t="n"/>
      <c r="B287" s="60" t="n"/>
      <c r="C287" s="68" t="n"/>
      <c r="D287" s="60" t="n"/>
      <c r="E287" s="63" t="n"/>
      <c r="F287" s="63" t="n"/>
      <c r="G287" s="62" t="str">
        <f>IF(B287="","",IFERROR(INDEX(fa_cname,MATCH(B287,fa_num,0))&amp;"",""))</f>
        <v/>
      </c>
      <c r="H287" s="59" t="str">
        <f>IF(COUNTA(A287:F287)=0,"",IF(A287="","Date manquante",IF(NOT(ISNUMBER(A287)),"Date invalide",IF(B287="","N° de facture manquant",IF(ISNA(MATCH(B287,fa_num,0)),"Facture inconnue",IF(INDEX(fa_type,MATCH(B287,fa_num,0))="Avoir","Paiement sur un avoir",IF(OR(NOT(ISNUMBER(C287)),N(C287)&lt;=0),"Montant invalide",IF(A287&lt;INDEX(fa_date,MATCH(B287,fa_num,0)),"Date antérieure à la facture",IF(SUMIF($B$6:B287,B287,$C$6:C287)&gt;INDEX(fa_ttc,MATCH(B287,fa_num,0))-N(INDEX(fa_avoirs,MATCH(B287,fa_num,0)))+0.001,"Dépasse le montant de la facture","OK")))))))))</f>
        <v/>
      </c>
    </row>
    <row r="288">
      <c r="A288" s="61" t="n"/>
      <c r="B288" s="60" t="n"/>
      <c r="C288" s="68" t="n"/>
      <c r="D288" s="60" t="n"/>
      <c r="E288" s="63" t="n"/>
      <c r="F288" s="63" t="n"/>
      <c r="G288" s="62" t="str">
        <f>IF(B288="","",IFERROR(INDEX(fa_cname,MATCH(B288,fa_num,0))&amp;"",""))</f>
        <v/>
      </c>
      <c r="H288" s="59" t="str">
        <f>IF(COUNTA(A288:F288)=0,"",IF(A288="","Date manquante",IF(NOT(ISNUMBER(A288)),"Date invalide",IF(B288="","N° de facture manquant",IF(ISNA(MATCH(B288,fa_num,0)),"Facture inconnue",IF(INDEX(fa_type,MATCH(B288,fa_num,0))="Avoir","Paiement sur un avoir",IF(OR(NOT(ISNUMBER(C288)),N(C288)&lt;=0),"Montant invalide",IF(A288&lt;INDEX(fa_date,MATCH(B288,fa_num,0)),"Date antérieure à la facture",IF(SUMIF($B$6:B288,B288,$C$6:C288)&gt;INDEX(fa_ttc,MATCH(B288,fa_num,0))-N(INDEX(fa_avoirs,MATCH(B288,fa_num,0)))+0.001,"Dépasse le montant de la facture","OK")))))))))</f>
        <v/>
      </c>
    </row>
    <row r="289">
      <c r="A289" s="61" t="n"/>
      <c r="B289" s="60" t="n"/>
      <c r="C289" s="68" t="n"/>
      <c r="D289" s="60" t="n"/>
      <c r="E289" s="63" t="n"/>
      <c r="F289" s="63" t="n"/>
      <c r="G289" s="62" t="str">
        <f>IF(B289="","",IFERROR(INDEX(fa_cname,MATCH(B289,fa_num,0))&amp;"",""))</f>
        <v/>
      </c>
      <c r="H289" s="59" t="str">
        <f>IF(COUNTA(A289:F289)=0,"",IF(A289="","Date manquante",IF(NOT(ISNUMBER(A289)),"Date invalide",IF(B289="","N° de facture manquant",IF(ISNA(MATCH(B289,fa_num,0)),"Facture inconnue",IF(INDEX(fa_type,MATCH(B289,fa_num,0))="Avoir","Paiement sur un avoir",IF(OR(NOT(ISNUMBER(C289)),N(C289)&lt;=0),"Montant invalide",IF(A289&lt;INDEX(fa_date,MATCH(B289,fa_num,0)),"Date antérieure à la facture",IF(SUMIF($B$6:B289,B289,$C$6:C289)&gt;INDEX(fa_ttc,MATCH(B289,fa_num,0))-N(INDEX(fa_avoirs,MATCH(B289,fa_num,0)))+0.001,"Dépasse le montant de la facture","OK")))))))))</f>
        <v/>
      </c>
    </row>
    <row r="290">
      <c r="A290" s="61" t="n"/>
      <c r="B290" s="60" t="n"/>
      <c r="C290" s="68" t="n"/>
      <c r="D290" s="60" t="n"/>
      <c r="E290" s="63" t="n"/>
      <c r="F290" s="63" t="n"/>
      <c r="G290" s="62" t="str">
        <f>IF(B290="","",IFERROR(INDEX(fa_cname,MATCH(B290,fa_num,0))&amp;"",""))</f>
        <v/>
      </c>
      <c r="H290" s="59" t="str">
        <f>IF(COUNTA(A290:F290)=0,"",IF(A290="","Date manquante",IF(NOT(ISNUMBER(A290)),"Date invalide",IF(B290="","N° de facture manquant",IF(ISNA(MATCH(B290,fa_num,0)),"Facture inconnue",IF(INDEX(fa_type,MATCH(B290,fa_num,0))="Avoir","Paiement sur un avoir",IF(OR(NOT(ISNUMBER(C290)),N(C290)&lt;=0),"Montant invalide",IF(A290&lt;INDEX(fa_date,MATCH(B290,fa_num,0)),"Date antérieure à la facture",IF(SUMIF($B$6:B290,B290,$C$6:C290)&gt;INDEX(fa_ttc,MATCH(B290,fa_num,0))-N(INDEX(fa_avoirs,MATCH(B290,fa_num,0)))+0.001,"Dépasse le montant de la facture","OK")))))))))</f>
        <v/>
      </c>
    </row>
    <row r="291">
      <c r="A291" s="61" t="n"/>
      <c r="B291" s="60" t="n"/>
      <c r="C291" s="68" t="n"/>
      <c r="D291" s="60" t="n"/>
      <c r="E291" s="63" t="n"/>
      <c r="F291" s="63" t="n"/>
      <c r="G291" s="62" t="str">
        <f>IF(B291="","",IFERROR(INDEX(fa_cname,MATCH(B291,fa_num,0))&amp;"",""))</f>
        <v/>
      </c>
      <c r="H291" s="59" t="str">
        <f>IF(COUNTA(A291:F291)=0,"",IF(A291="","Date manquante",IF(NOT(ISNUMBER(A291)),"Date invalide",IF(B291="","N° de facture manquant",IF(ISNA(MATCH(B291,fa_num,0)),"Facture inconnue",IF(INDEX(fa_type,MATCH(B291,fa_num,0))="Avoir","Paiement sur un avoir",IF(OR(NOT(ISNUMBER(C291)),N(C291)&lt;=0),"Montant invalide",IF(A291&lt;INDEX(fa_date,MATCH(B291,fa_num,0)),"Date antérieure à la facture",IF(SUMIF($B$6:B291,B291,$C$6:C291)&gt;INDEX(fa_ttc,MATCH(B291,fa_num,0))-N(INDEX(fa_avoirs,MATCH(B291,fa_num,0)))+0.001,"Dépasse le montant de la facture","OK")))))))))</f>
        <v/>
      </c>
    </row>
    <row r="292">
      <c r="A292" s="61" t="n"/>
      <c r="B292" s="60" t="n"/>
      <c r="C292" s="68" t="n"/>
      <c r="D292" s="60" t="n"/>
      <c r="E292" s="63" t="n"/>
      <c r="F292" s="63" t="n"/>
      <c r="G292" s="62" t="str">
        <f>IF(B292="","",IFERROR(INDEX(fa_cname,MATCH(B292,fa_num,0))&amp;"",""))</f>
        <v/>
      </c>
      <c r="H292" s="59" t="str">
        <f>IF(COUNTA(A292:F292)=0,"",IF(A292="","Date manquante",IF(NOT(ISNUMBER(A292)),"Date invalide",IF(B292="","N° de facture manquant",IF(ISNA(MATCH(B292,fa_num,0)),"Facture inconnue",IF(INDEX(fa_type,MATCH(B292,fa_num,0))="Avoir","Paiement sur un avoir",IF(OR(NOT(ISNUMBER(C292)),N(C292)&lt;=0),"Montant invalide",IF(A292&lt;INDEX(fa_date,MATCH(B292,fa_num,0)),"Date antérieure à la facture",IF(SUMIF($B$6:B292,B292,$C$6:C292)&gt;INDEX(fa_ttc,MATCH(B292,fa_num,0))-N(INDEX(fa_avoirs,MATCH(B292,fa_num,0)))+0.001,"Dépasse le montant de la facture","OK")))))))))</f>
        <v/>
      </c>
    </row>
    <row r="293">
      <c r="A293" s="61" t="n"/>
      <c r="B293" s="60" t="n"/>
      <c r="C293" s="68" t="n"/>
      <c r="D293" s="60" t="n"/>
      <c r="E293" s="63" t="n"/>
      <c r="F293" s="63" t="n"/>
      <c r="G293" s="62" t="str">
        <f>IF(B293="","",IFERROR(INDEX(fa_cname,MATCH(B293,fa_num,0))&amp;"",""))</f>
        <v/>
      </c>
      <c r="H293" s="59" t="str">
        <f>IF(COUNTA(A293:F293)=0,"",IF(A293="","Date manquante",IF(NOT(ISNUMBER(A293)),"Date invalide",IF(B293="","N° de facture manquant",IF(ISNA(MATCH(B293,fa_num,0)),"Facture inconnue",IF(INDEX(fa_type,MATCH(B293,fa_num,0))="Avoir","Paiement sur un avoir",IF(OR(NOT(ISNUMBER(C293)),N(C293)&lt;=0),"Montant invalide",IF(A293&lt;INDEX(fa_date,MATCH(B293,fa_num,0)),"Date antérieure à la facture",IF(SUMIF($B$6:B293,B293,$C$6:C293)&gt;INDEX(fa_ttc,MATCH(B293,fa_num,0))-N(INDEX(fa_avoirs,MATCH(B293,fa_num,0)))+0.001,"Dépasse le montant de la facture","OK")))))))))</f>
        <v/>
      </c>
    </row>
    <row r="294">
      <c r="A294" s="61" t="n"/>
      <c r="B294" s="60" t="n"/>
      <c r="C294" s="68" t="n"/>
      <c r="D294" s="60" t="n"/>
      <c r="E294" s="63" t="n"/>
      <c r="F294" s="63" t="n"/>
      <c r="G294" s="62" t="str">
        <f>IF(B294="","",IFERROR(INDEX(fa_cname,MATCH(B294,fa_num,0))&amp;"",""))</f>
        <v/>
      </c>
      <c r="H294" s="59" t="str">
        <f>IF(COUNTA(A294:F294)=0,"",IF(A294="","Date manquante",IF(NOT(ISNUMBER(A294)),"Date invalide",IF(B294="","N° de facture manquant",IF(ISNA(MATCH(B294,fa_num,0)),"Facture inconnue",IF(INDEX(fa_type,MATCH(B294,fa_num,0))="Avoir","Paiement sur un avoir",IF(OR(NOT(ISNUMBER(C294)),N(C294)&lt;=0),"Montant invalide",IF(A294&lt;INDEX(fa_date,MATCH(B294,fa_num,0)),"Date antérieure à la facture",IF(SUMIF($B$6:B294,B294,$C$6:C294)&gt;INDEX(fa_ttc,MATCH(B294,fa_num,0))-N(INDEX(fa_avoirs,MATCH(B294,fa_num,0)))+0.001,"Dépasse le montant de la facture","OK")))))))))</f>
        <v/>
      </c>
    </row>
    <row r="295">
      <c r="A295" s="61" t="n"/>
      <c r="B295" s="60" t="n"/>
      <c r="C295" s="68" t="n"/>
      <c r="D295" s="60" t="n"/>
      <c r="E295" s="63" t="n"/>
      <c r="F295" s="63" t="n"/>
      <c r="G295" s="62" t="str">
        <f>IF(B295="","",IFERROR(INDEX(fa_cname,MATCH(B295,fa_num,0))&amp;"",""))</f>
        <v/>
      </c>
      <c r="H295" s="59" t="str">
        <f>IF(COUNTA(A295:F295)=0,"",IF(A295="","Date manquante",IF(NOT(ISNUMBER(A295)),"Date invalide",IF(B295="","N° de facture manquant",IF(ISNA(MATCH(B295,fa_num,0)),"Facture inconnue",IF(INDEX(fa_type,MATCH(B295,fa_num,0))="Avoir","Paiement sur un avoir",IF(OR(NOT(ISNUMBER(C295)),N(C295)&lt;=0),"Montant invalide",IF(A295&lt;INDEX(fa_date,MATCH(B295,fa_num,0)),"Date antérieure à la facture",IF(SUMIF($B$6:B295,B295,$C$6:C295)&gt;INDEX(fa_ttc,MATCH(B295,fa_num,0))-N(INDEX(fa_avoirs,MATCH(B295,fa_num,0)))+0.001,"Dépasse le montant de la facture","OK")))))))))</f>
        <v/>
      </c>
    </row>
    <row r="296">
      <c r="A296" s="61" t="n"/>
      <c r="B296" s="60" t="n"/>
      <c r="C296" s="68" t="n"/>
      <c r="D296" s="60" t="n"/>
      <c r="E296" s="63" t="n"/>
      <c r="F296" s="63" t="n"/>
      <c r="G296" s="62" t="str">
        <f>IF(B296="","",IFERROR(INDEX(fa_cname,MATCH(B296,fa_num,0))&amp;"",""))</f>
        <v/>
      </c>
      <c r="H296" s="59" t="str">
        <f>IF(COUNTA(A296:F296)=0,"",IF(A296="","Date manquante",IF(NOT(ISNUMBER(A296)),"Date invalide",IF(B296="","N° de facture manquant",IF(ISNA(MATCH(B296,fa_num,0)),"Facture inconnue",IF(INDEX(fa_type,MATCH(B296,fa_num,0))="Avoir","Paiement sur un avoir",IF(OR(NOT(ISNUMBER(C296)),N(C296)&lt;=0),"Montant invalide",IF(A296&lt;INDEX(fa_date,MATCH(B296,fa_num,0)),"Date antérieure à la facture",IF(SUMIF($B$6:B296,B296,$C$6:C296)&gt;INDEX(fa_ttc,MATCH(B296,fa_num,0))-N(INDEX(fa_avoirs,MATCH(B296,fa_num,0)))+0.001,"Dépasse le montant de la facture","OK")))))))))</f>
        <v/>
      </c>
    </row>
    <row r="297">
      <c r="A297" s="61" t="n"/>
      <c r="B297" s="60" t="n"/>
      <c r="C297" s="68" t="n"/>
      <c r="D297" s="60" t="n"/>
      <c r="E297" s="63" t="n"/>
      <c r="F297" s="63" t="n"/>
      <c r="G297" s="62" t="str">
        <f>IF(B297="","",IFERROR(INDEX(fa_cname,MATCH(B297,fa_num,0))&amp;"",""))</f>
        <v/>
      </c>
      <c r="H297" s="59" t="str">
        <f>IF(COUNTA(A297:F297)=0,"",IF(A297="","Date manquante",IF(NOT(ISNUMBER(A297)),"Date invalide",IF(B297="","N° de facture manquant",IF(ISNA(MATCH(B297,fa_num,0)),"Facture inconnue",IF(INDEX(fa_type,MATCH(B297,fa_num,0))="Avoir","Paiement sur un avoir",IF(OR(NOT(ISNUMBER(C297)),N(C297)&lt;=0),"Montant invalide",IF(A297&lt;INDEX(fa_date,MATCH(B297,fa_num,0)),"Date antérieure à la facture",IF(SUMIF($B$6:B297,B297,$C$6:C297)&gt;INDEX(fa_ttc,MATCH(B297,fa_num,0))-N(INDEX(fa_avoirs,MATCH(B297,fa_num,0)))+0.001,"Dépasse le montant de la facture","OK")))))))))</f>
        <v/>
      </c>
    </row>
    <row r="298">
      <c r="A298" s="61" t="n"/>
      <c r="B298" s="60" t="n"/>
      <c r="C298" s="68" t="n"/>
      <c r="D298" s="60" t="n"/>
      <c r="E298" s="63" t="n"/>
      <c r="F298" s="63" t="n"/>
      <c r="G298" s="62" t="str">
        <f>IF(B298="","",IFERROR(INDEX(fa_cname,MATCH(B298,fa_num,0))&amp;"",""))</f>
        <v/>
      </c>
      <c r="H298" s="59" t="str">
        <f>IF(COUNTA(A298:F298)=0,"",IF(A298="","Date manquante",IF(NOT(ISNUMBER(A298)),"Date invalide",IF(B298="","N° de facture manquant",IF(ISNA(MATCH(B298,fa_num,0)),"Facture inconnue",IF(INDEX(fa_type,MATCH(B298,fa_num,0))="Avoir","Paiement sur un avoir",IF(OR(NOT(ISNUMBER(C298)),N(C298)&lt;=0),"Montant invalide",IF(A298&lt;INDEX(fa_date,MATCH(B298,fa_num,0)),"Date antérieure à la facture",IF(SUMIF($B$6:B298,B298,$C$6:C298)&gt;INDEX(fa_ttc,MATCH(B298,fa_num,0))-N(INDEX(fa_avoirs,MATCH(B298,fa_num,0)))+0.001,"Dépasse le montant de la facture","OK")))))))))</f>
        <v/>
      </c>
    </row>
    <row r="299">
      <c r="A299" s="61" t="n"/>
      <c r="B299" s="60" t="n"/>
      <c r="C299" s="68" t="n"/>
      <c r="D299" s="60" t="n"/>
      <c r="E299" s="63" t="n"/>
      <c r="F299" s="63" t="n"/>
      <c r="G299" s="62" t="str">
        <f>IF(B299="","",IFERROR(INDEX(fa_cname,MATCH(B299,fa_num,0))&amp;"",""))</f>
        <v/>
      </c>
      <c r="H299" s="59" t="str">
        <f>IF(COUNTA(A299:F299)=0,"",IF(A299="","Date manquante",IF(NOT(ISNUMBER(A299)),"Date invalide",IF(B299="","N° de facture manquant",IF(ISNA(MATCH(B299,fa_num,0)),"Facture inconnue",IF(INDEX(fa_type,MATCH(B299,fa_num,0))="Avoir","Paiement sur un avoir",IF(OR(NOT(ISNUMBER(C299)),N(C299)&lt;=0),"Montant invalide",IF(A299&lt;INDEX(fa_date,MATCH(B299,fa_num,0)),"Date antérieure à la facture",IF(SUMIF($B$6:B299,B299,$C$6:C299)&gt;INDEX(fa_ttc,MATCH(B299,fa_num,0))-N(INDEX(fa_avoirs,MATCH(B299,fa_num,0)))+0.001,"Dépasse le montant de la facture","OK")))))))))</f>
        <v/>
      </c>
    </row>
    <row r="300">
      <c r="A300" s="61" t="n"/>
      <c r="B300" s="60" t="n"/>
      <c r="C300" s="68" t="n"/>
      <c r="D300" s="60" t="n"/>
      <c r="E300" s="63" t="n"/>
      <c r="F300" s="63" t="n"/>
      <c r="G300" s="62" t="str">
        <f>IF(B300="","",IFERROR(INDEX(fa_cname,MATCH(B300,fa_num,0))&amp;"",""))</f>
        <v/>
      </c>
      <c r="H300" s="59" t="str">
        <f>IF(COUNTA(A300:F300)=0,"",IF(A300="","Date manquante",IF(NOT(ISNUMBER(A300)),"Date invalide",IF(B300="","N° de facture manquant",IF(ISNA(MATCH(B300,fa_num,0)),"Facture inconnue",IF(INDEX(fa_type,MATCH(B300,fa_num,0))="Avoir","Paiement sur un avoir",IF(OR(NOT(ISNUMBER(C300)),N(C300)&lt;=0),"Montant invalide",IF(A300&lt;INDEX(fa_date,MATCH(B300,fa_num,0)),"Date antérieure à la facture",IF(SUMIF($B$6:B300,B300,$C$6:C300)&gt;INDEX(fa_ttc,MATCH(B300,fa_num,0))-N(INDEX(fa_avoirs,MATCH(B300,fa_num,0)))+0.001,"Dépasse le montant de la facture","OK")))))))))</f>
        <v/>
      </c>
    </row>
    <row r="301">
      <c r="A301" s="61" t="n"/>
      <c r="B301" s="60" t="n"/>
      <c r="C301" s="68" t="n"/>
      <c r="D301" s="60" t="n"/>
      <c r="E301" s="63" t="n"/>
      <c r="F301" s="63" t="n"/>
      <c r="G301" s="62" t="str">
        <f>IF(B301="","",IFERROR(INDEX(fa_cname,MATCH(B301,fa_num,0))&amp;"",""))</f>
        <v/>
      </c>
      <c r="H301" s="59" t="str">
        <f>IF(COUNTA(A301:F301)=0,"",IF(A301="","Date manquante",IF(NOT(ISNUMBER(A301)),"Date invalide",IF(B301="","N° de facture manquant",IF(ISNA(MATCH(B301,fa_num,0)),"Facture inconnue",IF(INDEX(fa_type,MATCH(B301,fa_num,0))="Avoir","Paiement sur un avoir",IF(OR(NOT(ISNUMBER(C301)),N(C301)&lt;=0),"Montant invalide",IF(A301&lt;INDEX(fa_date,MATCH(B301,fa_num,0)),"Date antérieure à la facture",IF(SUMIF($B$6:B301,B301,$C$6:C301)&gt;INDEX(fa_ttc,MATCH(B301,fa_num,0))-N(INDEX(fa_avoirs,MATCH(B301,fa_num,0)))+0.001,"Dépasse le montant de la facture","OK")))))))))</f>
        <v/>
      </c>
    </row>
    <row r="302">
      <c r="A302" s="61" t="n"/>
      <c r="B302" s="60" t="n"/>
      <c r="C302" s="68" t="n"/>
      <c r="D302" s="60" t="n"/>
      <c r="E302" s="63" t="n"/>
      <c r="F302" s="63" t="n"/>
      <c r="G302" s="62" t="str">
        <f>IF(B302="","",IFERROR(INDEX(fa_cname,MATCH(B302,fa_num,0))&amp;"",""))</f>
        <v/>
      </c>
      <c r="H302" s="59" t="str">
        <f>IF(COUNTA(A302:F302)=0,"",IF(A302="","Date manquante",IF(NOT(ISNUMBER(A302)),"Date invalide",IF(B302="","N° de facture manquant",IF(ISNA(MATCH(B302,fa_num,0)),"Facture inconnue",IF(INDEX(fa_type,MATCH(B302,fa_num,0))="Avoir","Paiement sur un avoir",IF(OR(NOT(ISNUMBER(C302)),N(C302)&lt;=0),"Montant invalide",IF(A302&lt;INDEX(fa_date,MATCH(B302,fa_num,0)),"Date antérieure à la facture",IF(SUMIF($B$6:B302,B302,$C$6:C302)&gt;INDEX(fa_ttc,MATCH(B302,fa_num,0))-N(INDEX(fa_avoirs,MATCH(B302,fa_num,0)))+0.001,"Dépasse le montant de la facture","OK")))))))))</f>
        <v/>
      </c>
    </row>
    <row r="303">
      <c r="A303" s="61" t="n"/>
      <c r="B303" s="60" t="n"/>
      <c r="C303" s="68" t="n"/>
      <c r="D303" s="60" t="n"/>
      <c r="E303" s="63" t="n"/>
      <c r="F303" s="63" t="n"/>
      <c r="G303" s="62" t="str">
        <f>IF(B303="","",IFERROR(INDEX(fa_cname,MATCH(B303,fa_num,0))&amp;"",""))</f>
        <v/>
      </c>
      <c r="H303" s="59" t="str">
        <f>IF(COUNTA(A303:F303)=0,"",IF(A303="","Date manquante",IF(NOT(ISNUMBER(A303)),"Date invalide",IF(B303="","N° de facture manquant",IF(ISNA(MATCH(B303,fa_num,0)),"Facture inconnue",IF(INDEX(fa_type,MATCH(B303,fa_num,0))="Avoir","Paiement sur un avoir",IF(OR(NOT(ISNUMBER(C303)),N(C303)&lt;=0),"Montant invalide",IF(A303&lt;INDEX(fa_date,MATCH(B303,fa_num,0)),"Date antérieure à la facture",IF(SUMIF($B$6:B303,B303,$C$6:C303)&gt;INDEX(fa_ttc,MATCH(B303,fa_num,0))-N(INDEX(fa_avoirs,MATCH(B303,fa_num,0)))+0.001,"Dépasse le montant de la facture","OK")))))))))</f>
        <v/>
      </c>
    </row>
    <row r="304">
      <c r="A304" s="61" t="n"/>
      <c r="B304" s="60" t="n"/>
      <c r="C304" s="68" t="n"/>
      <c r="D304" s="60" t="n"/>
      <c r="E304" s="63" t="n"/>
      <c r="F304" s="63" t="n"/>
      <c r="G304" s="62" t="str">
        <f>IF(B304="","",IFERROR(INDEX(fa_cname,MATCH(B304,fa_num,0))&amp;"",""))</f>
        <v/>
      </c>
      <c r="H304" s="59" t="str">
        <f>IF(COUNTA(A304:F304)=0,"",IF(A304="","Date manquante",IF(NOT(ISNUMBER(A304)),"Date invalide",IF(B304="","N° de facture manquant",IF(ISNA(MATCH(B304,fa_num,0)),"Facture inconnue",IF(INDEX(fa_type,MATCH(B304,fa_num,0))="Avoir","Paiement sur un avoir",IF(OR(NOT(ISNUMBER(C304)),N(C304)&lt;=0),"Montant invalide",IF(A304&lt;INDEX(fa_date,MATCH(B304,fa_num,0)),"Date antérieure à la facture",IF(SUMIF($B$6:B304,B304,$C$6:C304)&gt;INDEX(fa_ttc,MATCH(B304,fa_num,0))-N(INDEX(fa_avoirs,MATCH(B304,fa_num,0)))+0.001,"Dépasse le montant de la facture","OK")))))))))</f>
        <v/>
      </c>
    </row>
    <row r="305">
      <c r="A305" s="61" t="n"/>
      <c r="B305" s="60" t="n"/>
      <c r="C305" s="68" t="n"/>
      <c r="D305" s="60" t="n"/>
      <c r="E305" s="63" t="n"/>
      <c r="F305" s="63" t="n"/>
      <c r="G305" s="62" t="str">
        <f>IF(B305="","",IFERROR(INDEX(fa_cname,MATCH(B305,fa_num,0))&amp;"",""))</f>
        <v/>
      </c>
      <c r="H305" s="59" t="str">
        <f>IF(COUNTA(A305:F305)=0,"",IF(A305="","Date manquante",IF(NOT(ISNUMBER(A305)),"Date invalide",IF(B305="","N° de facture manquant",IF(ISNA(MATCH(B305,fa_num,0)),"Facture inconnue",IF(INDEX(fa_type,MATCH(B305,fa_num,0))="Avoir","Paiement sur un avoir",IF(OR(NOT(ISNUMBER(C305)),N(C305)&lt;=0),"Montant invalide",IF(A305&lt;INDEX(fa_date,MATCH(B305,fa_num,0)),"Date antérieure à la facture",IF(SUMIF($B$6:B305,B305,$C$6:C305)&gt;INDEX(fa_ttc,MATCH(B305,fa_num,0))-N(INDEX(fa_avoirs,MATCH(B305,fa_num,0)))+0.001,"Dépasse le montant de la facture","OK")))))))))</f>
        <v/>
      </c>
    </row>
    <row r="306">
      <c r="A306" s="61" t="n"/>
      <c r="B306" s="60" t="n"/>
      <c r="C306" s="68" t="n"/>
      <c r="D306" s="60" t="n"/>
      <c r="E306" s="63" t="n"/>
      <c r="F306" s="63" t="n"/>
      <c r="G306" s="62" t="str">
        <f>IF(B306="","",IFERROR(INDEX(fa_cname,MATCH(B306,fa_num,0))&amp;"",""))</f>
        <v/>
      </c>
      <c r="H306" s="59" t="str">
        <f>IF(COUNTA(A306:F306)=0,"",IF(A306="","Date manquante",IF(NOT(ISNUMBER(A306)),"Date invalide",IF(B306="","N° de facture manquant",IF(ISNA(MATCH(B306,fa_num,0)),"Facture inconnue",IF(INDEX(fa_type,MATCH(B306,fa_num,0))="Avoir","Paiement sur un avoir",IF(OR(NOT(ISNUMBER(C306)),N(C306)&lt;=0),"Montant invalide",IF(A306&lt;INDEX(fa_date,MATCH(B306,fa_num,0)),"Date antérieure à la facture",IF(SUMIF($B$6:B306,B306,$C$6:C306)&gt;INDEX(fa_ttc,MATCH(B306,fa_num,0))-N(INDEX(fa_avoirs,MATCH(B306,fa_num,0)))+0.001,"Dépasse le montant de la facture","OK")))))))))</f>
        <v/>
      </c>
    </row>
    <row r="307">
      <c r="A307" s="61" t="n"/>
      <c r="B307" s="60" t="n"/>
      <c r="C307" s="68" t="n"/>
      <c r="D307" s="60" t="n"/>
      <c r="E307" s="63" t="n"/>
      <c r="F307" s="63" t="n"/>
      <c r="G307" s="62" t="str">
        <f>IF(B307="","",IFERROR(INDEX(fa_cname,MATCH(B307,fa_num,0))&amp;"",""))</f>
        <v/>
      </c>
      <c r="H307" s="59" t="str">
        <f>IF(COUNTA(A307:F307)=0,"",IF(A307="","Date manquante",IF(NOT(ISNUMBER(A307)),"Date invalide",IF(B307="","N° de facture manquant",IF(ISNA(MATCH(B307,fa_num,0)),"Facture inconnue",IF(INDEX(fa_type,MATCH(B307,fa_num,0))="Avoir","Paiement sur un avoir",IF(OR(NOT(ISNUMBER(C307)),N(C307)&lt;=0),"Montant invalide",IF(A307&lt;INDEX(fa_date,MATCH(B307,fa_num,0)),"Date antérieure à la facture",IF(SUMIF($B$6:B307,B307,$C$6:C307)&gt;INDEX(fa_ttc,MATCH(B307,fa_num,0))-N(INDEX(fa_avoirs,MATCH(B307,fa_num,0)))+0.001,"Dépasse le montant de la facture","OK")))))))))</f>
        <v/>
      </c>
    </row>
    <row r="308">
      <c r="A308" s="61" t="n"/>
      <c r="B308" s="60" t="n"/>
      <c r="C308" s="68" t="n"/>
      <c r="D308" s="60" t="n"/>
      <c r="E308" s="63" t="n"/>
      <c r="F308" s="63" t="n"/>
      <c r="G308" s="62" t="str">
        <f>IF(B308="","",IFERROR(INDEX(fa_cname,MATCH(B308,fa_num,0))&amp;"",""))</f>
        <v/>
      </c>
      <c r="H308" s="59" t="str">
        <f>IF(COUNTA(A308:F308)=0,"",IF(A308="","Date manquante",IF(NOT(ISNUMBER(A308)),"Date invalide",IF(B308="","N° de facture manquant",IF(ISNA(MATCH(B308,fa_num,0)),"Facture inconnue",IF(INDEX(fa_type,MATCH(B308,fa_num,0))="Avoir","Paiement sur un avoir",IF(OR(NOT(ISNUMBER(C308)),N(C308)&lt;=0),"Montant invalide",IF(A308&lt;INDEX(fa_date,MATCH(B308,fa_num,0)),"Date antérieure à la facture",IF(SUMIF($B$6:B308,B308,$C$6:C308)&gt;INDEX(fa_ttc,MATCH(B308,fa_num,0))-N(INDEX(fa_avoirs,MATCH(B308,fa_num,0)))+0.001,"Dépasse le montant de la facture","OK")))))))))</f>
        <v/>
      </c>
    </row>
    <row r="309">
      <c r="A309" s="61" t="n"/>
      <c r="B309" s="60" t="n"/>
      <c r="C309" s="68" t="n"/>
      <c r="D309" s="60" t="n"/>
      <c r="E309" s="63" t="n"/>
      <c r="F309" s="63" t="n"/>
      <c r="G309" s="62" t="str">
        <f>IF(B309="","",IFERROR(INDEX(fa_cname,MATCH(B309,fa_num,0))&amp;"",""))</f>
        <v/>
      </c>
      <c r="H309" s="59" t="str">
        <f>IF(COUNTA(A309:F309)=0,"",IF(A309="","Date manquante",IF(NOT(ISNUMBER(A309)),"Date invalide",IF(B309="","N° de facture manquant",IF(ISNA(MATCH(B309,fa_num,0)),"Facture inconnue",IF(INDEX(fa_type,MATCH(B309,fa_num,0))="Avoir","Paiement sur un avoir",IF(OR(NOT(ISNUMBER(C309)),N(C309)&lt;=0),"Montant invalide",IF(A309&lt;INDEX(fa_date,MATCH(B309,fa_num,0)),"Date antérieure à la facture",IF(SUMIF($B$6:B309,B309,$C$6:C309)&gt;INDEX(fa_ttc,MATCH(B309,fa_num,0))-N(INDEX(fa_avoirs,MATCH(B309,fa_num,0)))+0.001,"Dépasse le montant de la facture","OK")))))))))</f>
        <v/>
      </c>
    </row>
    <row r="310">
      <c r="A310" s="61" t="n"/>
      <c r="B310" s="60" t="n"/>
      <c r="C310" s="68" t="n"/>
      <c r="D310" s="60" t="n"/>
      <c r="E310" s="63" t="n"/>
      <c r="F310" s="63" t="n"/>
      <c r="G310" s="62" t="str">
        <f>IF(B310="","",IFERROR(INDEX(fa_cname,MATCH(B310,fa_num,0))&amp;"",""))</f>
        <v/>
      </c>
      <c r="H310" s="59" t="str">
        <f>IF(COUNTA(A310:F310)=0,"",IF(A310="","Date manquante",IF(NOT(ISNUMBER(A310)),"Date invalide",IF(B310="","N° de facture manquant",IF(ISNA(MATCH(B310,fa_num,0)),"Facture inconnue",IF(INDEX(fa_type,MATCH(B310,fa_num,0))="Avoir","Paiement sur un avoir",IF(OR(NOT(ISNUMBER(C310)),N(C310)&lt;=0),"Montant invalide",IF(A310&lt;INDEX(fa_date,MATCH(B310,fa_num,0)),"Date antérieure à la facture",IF(SUMIF($B$6:B310,B310,$C$6:C310)&gt;INDEX(fa_ttc,MATCH(B310,fa_num,0))-N(INDEX(fa_avoirs,MATCH(B310,fa_num,0)))+0.001,"Dépasse le montant de la facture","OK")))))))))</f>
        <v/>
      </c>
    </row>
    <row r="311">
      <c r="A311" s="61" t="n"/>
      <c r="B311" s="60" t="n"/>
      <c r="C311" s="68" t="n"/>
      <c r="D311" s="60" t="n"/>
      <c r="E311" s="63" t="n"/>
      <c r="F311" s="63" t="n"/>
      <c r="G311" s="62" t="str">
        <f>IF(B311="","",IFERROR(INDEX(fa_cname,MATCH(B311,fa_num,0))&amp;"",""))</f>
        <v/>
      </c>
      <c r="H311" s="59" t="str">
        <f>IF(COUNTA(A311:F311)=0,"",IF(A311="","Date manquante",IF(NOT(ISNUMBER(A311)),"Date invalide",IF(B311="","N° de facture manquant",IF(ISNA(MATCH(B311,fa_num,0)),"Facture inconnue",IF(INDEX(fa_type,MATCH(B311,fa_num,0))="Avoir","Paiement sur un avoir",IF(OR(NOT(ISNUMBER(C311)),N(C311)&lt;=0),"Montant invalide",IF(A311&lt;INDEX(fa_date,MATCH(B311,fa_num,0)),"Date antérieure à la facture",IF(SUMIF($B$6:B311,B311,$C$6:C311)&gt;INDEX(fa_ttc,MATCH(B311,fa_num,0))-N(INDEX(fa_avoirs,MATCH(B311,fa_num,0)))+0.001,"Dépasse le montant de la facture","OK")))))))))</f>
        <v/>
      </c>
    </row>
    <row r="312">
      <c r="A312" s="61" t="n"/>
      <c r="B312" s="60" t="n"/>
      <c r="C312" s="68" t="n"/>
      <c r="D312" s="60" t="n"/>
      <c r="E312" s="63" t="n"/>
      <c r="F312" s="63" t="n"/>
      <c r="G312" s="62" t="str">
        <f>IF(B312="","",IFERROR(INDEX(fa_cname,MATCH(B312,fa_num,0))&amp;"",""))</f>
        <v/>
      </c>
      <c r="H312" s="59" t="str">
        <f>IF(COUNTA(A312:F312)=0,"",IF(A312="","Date manquante",IF(NOT(ISNUMBER(A312)),"Date invalide",IF(B312="","N° de facture manquant",IF(ISNA(MATCH(B312,fa_num,0)),"Facture inconnue",IF(INDEX(fa_type,MATCH(B312,fa_num,0))="Avoir","Paiement sur un avoir",IF(OR(NOT(ISNUMBER(C312)),N(C312)&lt;=0),"Montant invalide",IF(A312&lt;INDEX(fa_date,MATCH(B312,fa_num,0)),"Date antérieure à la facture",IF(SUMIF($B$6:B312,B312,$C$6:C312)&gt;INDEX(fa_ttc,MATCH(B312,fa_num,0))-N(INDEX(fa_avoirs,MATCH(B312,fa_num,0)))+0.001,"Dépasse le montant de la facture","OK")))))))))</f>
        <v/>
      </c>
    </row>
    <row r="313">
      <c r="A313" s="61" t="n"/>
      <c r="B313" s="60" t="n"/>
      <c r="C313" s="68" t="n"/>
      <c r="D313" s="60" t="n"/>
      <c r="E313" s="63" t="n"/>
      <c r="F313" s="63" t="n"/>
      <c r="G313" s="62" t="str">
        <f>IF(B313="","",IFERROR(INDEX(fa_cname,MATCH(B313,fa_num,0))&amp;"",""))</f>
        <v/>
      </c>
      <c r="H313" s="59" t="str">
        <f>IF(COUNTA(A313:F313)=0,"",IF(A313="","Date manquante",IF(NOT(ISNUMBER(A313)),"Date invalide",IF(B313="","N° de facture manquant",IF(ISNA(MATCH(B313,fa_num,0)),"Facture inconnue",IF(INDEX(fa_type,MATCH(B313,fa_num,0))="Avoir","Paiement sur un avoir",IF(OR(NOT(ISNUMBER(C313)),N(C313)&lt;=0),"Montant invalide",IF(A313&lt;INDEX(fa_date,MATCH(B313,fa_num,0)),"Date antérieure à la facture",IF(SUMIF($B$6:B313,B313,$C$6:C313)&gt;INDEX(fa_ttc,MATCH(B313,fa_num,0))-N(INDEX(fa_avoirs,MATCH(B313,fa_num,0)))+0.001,"Dépasse le montant de la facture","OK")))))))))</f>
        <v/>
      </c>
    </row>
    <row r="314">
      <c r="A314" s="61" t="n"/>
      <c r="B314" s="60" t="n"/>
      <c r="C314" s="68" t="n"/>
      <c r="D314" s="60" t="n"/>
      <c r="E314" s="63" t="n"/>
      <c r="F314" s="63" t="n"/>
      <c r="G314" s="62" t="str">
        <f>IF(B314="","",IFERROR(INDEX(fa_cname,MATCH(B314,fa_num,0))&amp;"",""))</f>
        <v/>
      </c>
      <c r="H314" s="59" t="str">
        <f>IF(COUNTA(A314:F314)=0,"",IF(A314="","Date manquante",IF(NOT(ISNUMBER(A314)),"Date invalide",IF(B314="","N° de facture manquant",IF(ISNA(MATCH(B314,fa_num,0)),"Facture inconnue",IF(INDEX(fa_type,MATCH(B314,fa_num,0))="Avoir","Paiement sur un avoir",IF(OR(NOT(ISNUMBER(C314)),N(C314)&lt;=0),"Montant invalide",IF(A314&lt;INDEX(fa_date,MATCH(B314,fa_num,0)),"Date antérieure à la facture",IF(SUMIF($B$6:B314,B314,$C$6:C314)&gt;INDEX(fa_ttc,MATCH(B314,fa_num,0))-N(INDEX(fa_avoirs,MATCH(B314,fa_num,0)))+0.001,"Dépasse le montant de la facture","OK")))))))))</f>
        <v/>
      </c>
    </row>
    <row r="315">
      <c r="A315" s="61" t="n"/>
      <c r="B315" s="60" t="n"/>
      <c r="C315" s="68" t="n"/>
      <c r="D315" s="60" t="n"/>
      <c r="E315" s="63" t="n"/>
      <c r="F315" s="63" t="n"/>
      <c r="G315" s="62" t="str">
        <f>IF(B315="","",IFERROR(INDEX(fa_cname,MATCH(B315,fa_num,0))&amp;"",""))</f>
        <v/>
      </c>
      <c r="H315" s="59" t="str">
        <f>IF(COUNTA(A315:F315)=0,"",IF(A315="","Date manquante",IF(NOT(ISNUMBER(A315)),"Date invalide",IF(B315="","N° de facture manquant",IF(ISNA(MATCH(B315,fa_num,0)),"Facture inconnue",IF(INDEX(fa_type,MATCH(B315,fa_num,0))="Avoir","Paiement sur un avoir",IF(OR(NOT(ISNUMBER(C315)),N(C315)&lt;=0),"Montant invalide",IF(A315&lt;INDEX(fa_date,MATCH(B315,fa_num,0)),"Date antérieure à la facture",IF(SUMIF($B$6:B315,B315,$C$6:C315)&gt;INDEX(fa_ttc,MATCH(B315,fa_num,0))-N(INDEX(fa_avoirs,MATCH(B315,fa_num,0)))+0.001,"Dépasse le montant de la facture","OK")))))))))</f>
        <v/>
      </c>
    </row>
    <row r="316">
      <c r="A316" s="61" t="n"/>
      <c r="B316" s="60" t="n"/>
      <c r="C316" s="68" t="n"/>
      <c r="D316" s="60" t="n"/>
      <c r="E316" s="63" t="n"/>
      <c r="F316" s="63" t="n"/>
      <c r="G316" s="62" t="str">
        <f>IF(B316="","",IFERROR(INDEX(fa_cname,MATCH(B316,fa_num,0))&amp;"",""))</f>
        <v/>
      </c>
      <c r="H316" s="59" t="str">
        <f>IF(COUNTA(A316:F316)=0,"",IF(A316="","Date manquante",IF(NOT(ISNUMBER(A316)),"Date invalide",IF(B316="","N° de facture manquant",IF(ISNA(MATCH(B316,fa_num,0)),"Facture inconnue",IF(INDEX(fa_type,MATCH(B316,fa_num,0))="Avoir","Paiement sur un avoir",IF(OR(NOT(ISNUMBER(C316)),N(C316)&lt;=0),"Montant invalide",IF(A316&lt;INDEX(fa_date,MATCH(B316,fa_num,0)),"Date antérieure à la facture",IF(SUMIF($B$6:B316,B316,$C$6:C316)&gt;INDEX(fa_ttc,MATCH(B316,fa_num,0))-N(INDEX(fa_avoirs,MATCH(B316,fa_num,0)))+0.001,"Dépasse le montant de la facture","OK")))))))))</f>
        <v/>
      </c>
    </row>
    <row r="317">
      <c r="A317" s="61" t="n"/>
      <c r="B317" s="60" t="n"/>
      <c r="C317" s="68" t="n"/>
      <c r="D317" s="60" t="n"/>
      <c r="E317" s="63" t="n"/>
      <c r="F317" s="63" t="n"/>
      <c r="G317" s="62" t="str">
        <f>IF(B317="","",IFERROR(INDEX(fa_cname,MATCH(B317,fa_num,0))&amp;"",""))</f>
        <v/>
      </c>
      <c r="H317" s="59" t="str">
        <f>IF(COUNTA(A317:F317)=0,"",IF(A317="","Date manquante",IF(NOT(ISNUMBER(A317)),"Date invalide",IF(B317="","N° de facture manquant",IF(ISNA(MATCH(B317,fa_num,0)),"Facture inconnue",IF(INDEX(fa_type,MATCH(B317,fa_num,0))="Avoir","Paiement sur un avoir",IF(OR(NOT(ISNUMBER(C317)),N(C317)&lt;=0),"Montant invalide",IF(A317&lt;INDEX(fa_date,MATCH(B317,fa_num,0)),"Date antérieure à la facture",IF(SUMIF($B$6:B317,B317,$C$6:C317)&gt;INDEX(fa_ttc,MATCH(B317,fa_num,0))-N(INDEX(fa_avoirs,MATCH(B317,fa_num,0)))+0.001,"Dépasse le montant de la facture","OK")))))))))</f>
        <v/>
      </c>
    </row>
    <row r="318">
      <c r="A318" s="61" t="n"/>
      <c r="B318" s="60" t="n"/>
      <c r="C318" s="68" t="n"/>
      <c r="D318" s="60" t="n"/>
      <c r="E318" s="63" t="n"/>
      <c r="F318" s="63" t="n"/>
      <c r="G318" s="62" t="str">
        <f>IF(B318="","",IFERROR(INDEX(fa_cname,MATCH(B318,fa_num,0))&amp;"",""))</f>
        <v/>
      </c>
      <c r="H318" s="59" t="str">
        <f>IF(COUNTA(A318:F318)=0,"",IF(A318="","Date manquante",IF(NOT(ISNUMBER(A318)),"Date invalide",IF(B318="","N° de facture manquant",IF(ISNA(MATCH(B318,fa_num,0)),"Facture inconnue",IF(INDEX(fa_type,MATCH(B318,fa_num,0))="Avoir","Paiement sur un avoir",IF(OR(NOT(ISNUMBER(C318)),N(C318)&lt;=0),"Montant invalide",IF(A318&lt;INDEX(fa_date,MATCH(B318,fa_num,0)),"Date antérieure à la facture",IF(SUMIF($B$6:B318,B318,$C$6:C318)&gt;INDEX(fa_ttc,MATCH(B318,fa_num,0))-N(INDEX(fa_avoirs,MATCH(B318,fa_num,0)))+0.001,"Dépasse le montant de la facture","OK")))))))))</f>
        <v/>
      </c>
    </row>
    <row r="319">
      <c r="A319" s="61" t="n"/>
      <c r="B319" s="60" t="n"/>
      <c r="C319" s="68" t="n"/>
      <c r="D319" s="60" t="n"/>
      <c r="E319" s="63" t="n"/>
      <c r="F319" s="63" t="n"/>
      <c r="G319" s="62" t="str">
        <f>IF(B319="","",IFERROR(INDEX(fa_cname,MATCH(B319,fa_num,0))&amp;"",""))</f>
        <v/>
      </c>
      <c r="H319" s="59" t="str">
        <f>IF(COUNTA(A319:F319)=0,"",IF(A319="","Date manquante",IF(NOT(ISNUMBER(A319)),"Date invalide",IF(B319="","N° de facture manquant",IF(ISNA(MATCH(B319,fa_num,0)),"Facture inconnue",IF(INDEX(fa_type,MATCH(B319,fa_num,0))="Avoir","Paiement sur un avoir",IF(OR(NOT(ISNUMBER(C319)),N(C319)&lt;=0),"Montant invalide",IF(A319&lt;INDEX(fa_date,MATCH(B319,fa_num,0)),"Date antérieure à la facture",IF(SUMIF($B$6:B319,B319,$C$6:C319)&gt;INDEX(fa_ttc,MATCH(B319,fa_num,0))-N(INDEX(fa_avoirs,MATCH(B319,fa_num,0)))+0.001,"Dépasse le montant de la facture","OK")))))))))</f>
        <v/>
      </c>
    </row>
    <row r="320">
      <c r="A320" s="61" t="n"/>
      <c r="B320" s="60" t="n"/>
      <c r="C320" s="68" t="n"/>
      <c r="D320" s="60" t="n"/>
      <c r="E320" s="63" t="n"/>
      <c r="F320" s="63" t="n"/>
      <c r="G320" s="62" t="str">
        <f>IF(B320="","",IFERROR(INDEX(fa_cname,MATCH(B320,fa_num,0))&amp;"",""))</f>
        <v/>
      </c>
      <c r="H320" s="59" t="str">
        <f>IF(COUNTA(A320:F320)=0,"",IF(A320="","Date manquante",IF(NOT(ISNUMBER(A320)),"Date invalide",IF(B320="","N° de facture manquant",IF(ISNA(MATCH(B320,fa_num,0)),"Facture inconnue",IF(INDEX(fa_type,MATCH(B320,fa_num,0))="Avoir","Paiement sur un avoir",IF(OR(NOT(ISNUMBER(C320)),N(C320)&lt;=0),"Montant invalide",IF(A320&lt;INDEX(fa_date,MATCH(B320,fa_num,0)),"Date antérieure à la facture",IF(SUMIF($B$6:B320,B320,$C$6:C320)&gt;INDEX(fa_ttc,MATCH(B320,fa_num,0))-N(INDEX(fa_avoirs,MATCH(B320,fa_num,0)))+0.001,"Dépasse le montant de la facture","OK")))))))))</f>
        <v/>
      </c>
    </row>
    <row r="321">
      <c r="A321" s="61" t="n"/>
      <c r="B321" s="60" t="n"/>
      <c r="C321" s="68" t="n"/>
      <c r="D321" s="60" t="n"/>
      <c r="E321" s="63" t="n"/>
      <c r="F321" s="63" t="n"/>
      <c r="G321" s="62" t="str">
        <f>IF(B321="","",IFERROR(INDEX(fa_cname,MATCH(B321,fa_num,0))&amp;"",""))</f>
        <v/>
      </c>
      <c r="H321" s="59" t="str">
        <f>IF(COUNTA(A321:F321)=0,"",IF(A321="","Date manquante",IF(NOT(ISNUMBER(A321)),"Date invalide",IF(B321="","N° de facture manquant",IF(ISNA(MATCH(B321,fa_num,0)),"Facture inconnue",IF(INDEX(fa_type,MATCH(B321,fa_num,0))="Avoir","Paiement sur un avoir",IF(OR(NOT(ISNUMBER(C321)),N(C321)&lt;=0),"Montant invalide",IF(A321&lt;INDEX(fa_date,MATCH(B321,fa_num,0)),"Date antérieure à la facture",IF(SUMIF($B$6:B321,B321,$C$6:C321)&gt;INDEX(fa_ttc,MATCH(B321,fa_num,0))-N(INDEX(fa_avoirs,MATCH(B321,fa_num,0)))+0.001,"Dépasse le montant de la facture","OK")))))))))</f>
        <v/>
      </c>
    </row>
    <row r="322">
      <c r="A322" s="61" t="n"/>
      <c r="B322" s="60" t="n"/>
      <c r="C322" s="68" t="n"/>
      <c r="D322" s="60" t="n"/>
      <c r="E322" s="63" t="n"/>
      <c r="F322" s="63" t="n"/>
      <c r="G322" s="62" t="str">
        <f>IF(B322="","",IFERROR(INDEX(fa_cname,MATCH(B322,fa_num,0))&amp;"",""))</f>
        <v/>
      </c>
      <c r="H322" s="59" t="str">
        <f>IF(COUNTA(A322:F322)=0,"",IF(A322="","Date manquante",IF(NOT(ISNUMBER(A322)),"Date invalide",IF(B322="","N° de facture manquant",IF(ISNA(MATCH(B322,fa_num,0)),"Facture inconnue",IF(INDEX(fa_type,MATCH(B322,fa_num,0))="Avoir","Paiement sur un avoir",IF(OR(NOT(ISNUMBER(C322)),N(C322)&lt;=0),"Montant invalide",IF(A322&lt;INDEX(fa_date,MATCH(B322,fa_num,0)),"Date antérieure à la facture",IF(SUMIF($B$6:B322,B322,$C$6:C322)&gt;INDEX(fa_ttc,MATCH(B322,fa_num,0))-N(INDEX(fa_avoirs,MATCH(B322,fa_num,0)))+0.001,"Dépasse le montant de la facture","OK")))))))))</f>
        <v/>
      </c>
    </row>
    <row r="323">
      <c r="A323" s="61" t="n"/>
      <c r="B323" s="60" t="n"/>
      <c r="C323" s="68" t="n"/>
      <c r="D323" s="60" t="n"/>
      <c r="E323" s="63" t="n"/>
      <c r="F323" s="63" t="n"/>
      <c r="G323" s="62" t="str">
        <f>IF(B323="","",IFERROR(INDEX(fa_cname,MATCH(B323,fa_num,0))&amp;"",""))</f>
        <v/>
      </c>
      <c r="H323" s="59" t="str">
        <f>IF(COUNTA(A323:F323)=0,"",IF(A323="","Date manquante",IF(NOT(ISNUMBER(A323)),"Date invalide",IF(B323="","N° de facture manquant",IF(ISNA(MATCH(B323,fa_num,0)),"Facture inconnue",IF(INDEX(fa_type,MATCH(B323,fa_num,0))="Avoir","Paiement sur un avoir",IF(OR(NOT(ISNUMBER(C323)),N(C323)&lt;=0),"Montant invalide",IF(A323&lt;INDEX(fa_date,MATCH(B323,fa_num,0)),"Date antérieure à la facture",IF(SUMIF($B$6:B323,B323,$C$6:C323)&gt;INDEX(fa_ttc,MATCH(B323,fa_num,0))-N(INDEX(fa_avoirs,MATCH(B323,fa_num,0)))+0.001,"Dépasse le montant de la facture","OK")))))))))</f>
        <v/>
      </c>
    </row>
    <row r="324">
      <c r="A324" s="61" t="n"/>
      <c r="B324" s="60" t="n"/>
      <c r="C324" s="68" t="n"/>
      <c r="D324" s="60" t="n"/>
      <c r="E324" s="63" t="n"/>
      <c r="F324" s="63" t="n"/>
      <c r="G324" s="62" t="str">
        <f>IF(B324="","",IFERROR(INDEX(fa_cname,MATCH(B324,fa_num,0))&amp;"",""))</f>
        <v/>
      </c>
      <c r="H324" s="59" t="str">
        <f>IF(COUNTA(A324:F324)=0,"",IF(A324="","Date manquante",IF(NOT(ISNUMBER(A324)),"Date invalide",IF(B324="","N° de facture manquant",IF(ISNA(MATCH(B324,fa_num,0)),"Facture inconnue",IF(INDEX(fa_type,MATCH(B324,fa_num,0))="Avoir","Paiement sur un avoir",IF(OR(NOT(ISNUMBER(C324)),N(C324)&lt;=0),"Montant invalide",IF(A324&lt;INDEX(fa_date,MATCH(B324,fa_num,0)),"Date antérieure à la facture",IF(SUMIF($B$6:B324,B324,$C$6:C324)&gt;INDEX(fa_ttc,MATCH(B324,fa_num,0))-N(INDEX(fa_avoirs,MATCH(B324,fa_num,0)))+0.001,"Dépasse le montant de la facture","OK")))))))))</f>
        <v/>
      </c>
    </row>
    <row r="325">
      <c r="A325" s="61" t="n"/>
      <c r="B325" s="60" t="n"/>
      <c r="C325" s="68" t="n"/>
      <c r="D325" s="60" t="n"/>
      <c r="E325" s="63" t="n"/>
      <c r="F325" s="63" t="n"/>
      <c r="G325" s="62" t="str">
        <f>IF(B325="","",IFERROR(INDEX(fa_cname,MATCH(B325,fa_num,0))&amp;"",""))</f>
        <v/>
      </c>
      <c r="H325" s="59" t="str">
        <f>IF(COUNTA(A325:F325)=0,"",IF(A325="","Date manquante",IF(NOT(ISNUMBER(A325)),"Date invalide",IF(B325="","N° de facture manquant",IF(ISNA(MATCH(B325,fa_num,0)),"Facture inconnue",IF(INDEX(fa_type,MATCH(B325,fa_num,0))="Avoir","Paiement sur un avoir",IF(OR(NOT(ISNUMBER(C325)),N(C325)&lt;=0),"Montant invalide",IF(A325&lt;INDEX(fa_date,MATCH(B325,fa_num,0)),"Date antérieure à la facture",IF(SUMIF($B$6:B325,B325,$C$6:C325)&gt;INDEX(fa_ttc,MATCH(B325,fa_num,0))-N(INDEX(fa_avoirs,MATCH(B325,fa_num,0)))+0.001,"Dépasse le montant de la facture","OK")))))))))</f>
        <v/>
      </c>
    </row>
    <row r="326">
      <c r="A326" s="61" t="n"/>
      <c r="B326" s="60" t="n"/>
      <c r="C326" s="68" t="n"/>
      <c r="D326" s="60" t="n"/>
      <c r="E326" s="63" t="n"/>
      <c r="F326" s="63" t="n"/>
      <c r="G326" s="62" t="str">
        <f>IF(B326="","",IFERROR(INDEX(fa_cname,MATCH(B326,fa_num,0))&amp;"",""))</f>
        <v/>
      </c>
      <c r="H326" s="59" t="str">
        <f>IF(COUNTA(A326:F326)=0,"",IF(A326="","Date manquante",IF(NOT(ISNUMBER(A326)),"Date invalide",IF(B326="","N° de facture manquant",IF(ISNA(MATCH(B326,fa_num,0)),"Facture inconnue",IF(INDEX(fa_type,MATCH(B326,fa_num,0))="Avoir","Paiement sur un avoir",IF(OR(NOT(ISNUMBER(C326)),N(C326)&lt;=0),"Montant invalide",IF(A326&lt;INDEX(fa_date,MATCH(B326,fa_num,0)),"Date antérieure à la facture",IF(SUMIF($B$6:B326,B326,$C$6:C326)&gt;INDEX(fa_ttc,MATCH(B326,fa_num,0))-N(INDEX(fa_avoirs,MATCH(B326,fa_num,0)))+0.001,"Dépasse le montant de la facture","OK")))))))))</f>
        <v/>
      </c>
    </row>
    <row r="327">
      <c r="A327" s="61" t="n"/>
      <c r="B327" s="60" t="n"/>
      <c r="C327" s="68" t="n"/>
      <c r="D327" s="60" t="n"/>
      <c r="E327" s="63" t="n"/>
      <c r="F327" s="63" t="n"/>
      <c r="G327" s="62" t="str">
        <f>IF(B327="","",IFERROR(INDEX(fa_cname,MATCH(B327,fa_num,0))&amp;"",""))</f>
        <v/>
      </c>
      <c r="H327" s="59" t="str">
        <f>IF(COUNTA(A327:F327)=0,"",IF(A327="","Date manquante",IF(NOT(ISNUMBER(A327)),"Date invalide",IF(B327="","N° de facture manquant",IF(ISNA(MATCH(B327,fa_num,0)),"Facture inconnue",IF(INDEX(fa_type,MATCH(B327,fa_num,0))="Avoir","Paiement sur un avoir",IF(OR(NOT(ISNUMBER(C327)),N(C327)&lt;=0),"Montant invalide",IF(A327&lt;INDEX(fa_date,MATCH(B327,fa_num,0)),"Date antérieure à la facture",IF(SUMIF($B$6:B327,B327,$C$6:C327)&gt;INDEX(fa_ttc,MATCH(B327,fa_num,0))-N(INDEX(fa_avoirs,MATCH(B327,fa_num,0)))+0.001,"Dépasse le montant de la facture","OK")))))))))</f>
        <v/>
      </c>
    </row>
    <row r="328">
      <c r="A328" s="61" t="n"/>
      <c r="B328" s="60" t="n"/>
      <c r="C328" s="68" t="n"/>
      <c r="D328" s="60" t="n"/>
      <c r="E328" s="63" t="n"/>
      <c r="F328" s="63" t="n"/>
      <c r="G328" s="62" t="str">
        <f>IF(B328="","",IFERROR(INDEX(fa_cname,MATCH(B328,fa_num,0))&amp;"",""))</f>
        <v/>
      </c>
      <c r="H328" s="59" t="str">
        <f>IF(COUNTA(A328:F328)=0,"",IF(A328="","Date manquante",IF(NOT(ISNUMBER(A328)),"Date invalide",IF(B328="","N° de facture manquant",IF(ISNA(MATCH(B328,fa_num,0)),"Facture inconnue",IF(INDEX(fa_type,MATCH(B328,fa_num,0))="Avoir","Paiement sur un avoir",IF(OR(NOT(ISNUMBER(C328)),N(C328)&lt;=0),"Montant invalide",IF(A328&lt;INDEX(fa_date,MATCH(B328,fa_num,0)),"Date antérieure à la facture",IF(SUMIF($B$6:B328,B328,$C$6:C328)&gt;INDEX(fa_ttc,MATCH(B328,fa_num,0))-N(INDEX(fa_avoirs,MATCH(B328,fa_num,0)))+0.001,"Dépasse le montant de la facture","OK")))))))))</f>
        <v/>
      </c>
    </row>
    <row r="329">
      <c r="A329" s="61" t="n"/>
      <c r="B329" s="60" t="n"/>
      <c r="C329" s="68" t="n"/>
      <c r="D329" s="60" t="n"/>
      <c r="E329" s="63" t="n"/>
      <c r="F329" s="63" t="n"/>
      <c r="G329" s="62" t="str">
        <f>IF(B329="","",IFERROR(INDEX(fa_cname,MATCH(B329,fa_num,0))&amp;"",""))</f>
        <v/>
      </c>
      <c r="H329" s="59" t="str">
        <f>IF(COUNTA(A329:F329)=0,"",IF(A329="","Date manquante",IF(NOT(ISNUMBER(A329)),"Date invalide",IF(B329="","N° de facture manquant",IF(ISNA(MATCH(B329,fa_num,0)),"Facture inconnue",IF(INDEX(fa_type,MATCH(B329,fa_num,0))="Avoir","Paiement sur un avoir",IF(OR(NOT(ISNUMBER(C329)),N(C329)&lt;=0),"Montant invalide",IF(A329&lt;INDEX(fa_date,MATCH(B329,fa_num,0)),"Date antérieure à la facture",IF(SUMIF($B$6:B329,B329,$C$6:C329)&gt;INDEX(fa_ttc,MATCH(B329,fa_num,0))-N(INDEX(fa_avoirs,MATCH(B329,fa_num,0)))+0.001,"Dépasse le montant de la facture","OK")))))))))</f>
        <v/>
      </c>
    </row>
    <row r="330">
      <c r="A330" s="61" t="n"/>
      <c r="B330" s="60" t="n"/>
      <c r="C330" s="68" t="n"/>
      <c r="D330" s="60" t="n"/>
      <c r="E330" s="63" t="n"/>
      <c r="F330" s="63" t="n"/>
      <c r="G330" s="62" t="str">
        <f>IF(B330="","",IFERROR(INDEX(fa_cname,MATCH(B330,fa_num,0))&amp;"",""))</f>
        <v/>
      </c>
      <c r="H330" s="59" t="str">
        <f>IF(COUNTA(A330:F330)=0,"",IF(A330="","Date manquante",IF(NOT(ISNUMBER(A330)),"Date invalide",IF(B330="","N° de facture manquant",IF(ISNA(MATCH(B330,fa_num,0)),"Facture inconnue",IF(INDEX(fa_type,MATCH(B330,fa_num,0))="Avoir","Paiement sur un avoir",IF(OR(NOT(ISNUMBER(C330)),N(C330)&lt;=0),"Montant invalide",IF(A330&lt;INDEX(fa_date,MATCH(B330,fa_num,0)),"Date antérieure à la facture",IF(SUMIF($B$6:B330,B330,$C$6:C330)&gt;INDEX(fa_ttc,MATCH(B330,fa_num,0))-N(INDEX(fa_avoirs,MATCH(B330,fa_num,0)))+0.001,"Dépasse le montant de la facture","OK")))))))))</f>
        <v/>
      </c>
    </row>
    <row r="331">
      <c r="A331" s="61" t="n"/>
      <c r="B331" s="60" t="n"/>
      <c r="C331" s="68" t="n"/>
      <c r="D331" s="60" t="n"/>
      <c r="E331" s="63" t="n"/>
      <c r="F331" s="63" t="n"/>
      <c r="G331" s="62" t="str">
        <f>IF(B331="","",IFERROR(INDEX(fa_cname,MATCH(B331,fa_num,0))&amp;"",""))</f>
        <v/>
      </c>
      <c r="H331" s="59" t="str">
        <f>IF(COUNTA(A331:F331)=0,"",IF(A331="","Date manquante",IF(NOT(ISNUMBER(A331)),"Date invalide",IF(B331="","N° de facture manquant",IF(ISNA(MATCH(B331,fa_num,0)),"Facture inconnue",IF(INDEX(fa_type,MATCH(B331,fa_num,0))="Avoir","Paiement sur un avoir",IF(OR(NOT(ISNUMBER(C331)),N(C331)&lt;=0),"Montant invalide",IF(A331&lt;INDEX(fa_date,MATCH(B331,fa_num,0)),"Date antérieure à la facture",IF(SUMIF($B$6:B331,B331,$C$6:C331)&gt;INDEX(fa_ttc,MATCH(B331,fa_num,0))-N(INDEX(fa_avoirs,MATCH(B331,fa_num,0)))+0.001,"Dépasse le montant de la facture","OK")))))))))</f>
        <v/>
      </c>
    </row>
    <row r="332">
      <c r="A332" s="61" t="n"/>
      <c r="B332" s="60" t="n"/>
      <c r="C332" s="68" t="n"/>
      <c r="D332" s="60" t="n"/>
      <c r="E332" s="63" t="n"/>
      <c r="F332" s="63" t="n"/>
      <c r="G332" s="62" t="str">
        <f>IF(B332="","",IFERROR(INDEX(fa_cname,MATCH(B332,fa_num,0))&amp;"",""))</f>
        <v/>
      </c>
      <c r="H332" s="59" t="str">
        <f>IF(COUNTA(A332:F332)=0,"",IF(A332="","Date manquante",IF(NOT(ISNUMBER(A332)),"Date invalide",IF(B332="","N° de facture manquant",IF(ISNA(MATCH(B332,fa_num,0)),"Facture inconnue",IF(INDEX(fa_type,MATCH(B332,fa_num,0))="Avoir","Paiement sur un avoir",IF(OR(NOT(ISNUMBER(C332)),N(C332)&lt;=0),"Montant invalide",IF(A332&lt;INDEX(fa_date,MATCH(B332,fa_num,0)),"Date antérieure à la facture",IF(SUMIF($B$6:B332,B332,$C$6:C332)&gt;INDEX(fa_ttc,MATCH(B332,fa_num,0))-N(INDEX(fa_avoirs,MATCH(B332,fa_num,0)))+0.001,"Dépasse le montant de la facture","OK")))))))))</f>
        <v/>
      </c>
    </row>
    <row r="333">
      <c r="A333" s="61" t="n"/>
      <c r="B333" s="60" t="n"/>
      <c r="C333" s="68" t="n"/>
      <c r="D333" s="60" t="n"/>
      <c r="E333" s="63" t="n"/>
      <c r="F333" s="63" t="n"/>
      <c r="G333" s="62" t="str">
        <f>IF(B333="","",IFERROR(INDEX(fa_cname,MATCH(B333,fa_num,0))&amp;"",""))</f>
        <v/>
      </c>
      <c r="H333" s="59" t="str">
        <f>IF(COUNTA(A333:F333)=0,"",IF(A333="","Date manquante",IF(NOT(ISNUMBER(A333)),"Date invalide",IF(B333="","N° de facture manquant",IF(ISNA(MATCH(B333,fa_num,0)),"Facture inconnue",IF(INDEX(fa_type,MATCH(B333,fa_num,0))="Avoir","Paiement sur un avoir",IF(OR(NOT(ISNUMBER(C333)),N(C333)&lt;=0),"Montant invalide",IF(A333&lt;INDEX(fa_date,MATCH(B333,fa_num,0)),"Date antérieure à la facture",IF(SUMIF($B$6:B333,B333,$C$6:C333)&gt;INDEX(fa_ttc,MATCH(B333,fa_num,0))-N(INDEX(fa_avoirs,MATCH(B333,fa_num,0)))+0.001,"Dépasse le montant de la facture","OK")))))))))</f>
        <v/>
      </c>
    </row>
    <row r="334">
      <c r="A334" s="61" t="n"/>
      <c r="B334" s="60" t="n"/>
      <c r="C334" s="68" t="n"/>
      <c r="D334" s="60" t="n"/>
      <c r="E334" s="63" t="n"/>
      <c r="F334" s="63" t="n"/>
      <c r="G334" s="62" t="str">
        <f>IF(B334="","",IFERROR(INDEX(fa_cname,MATCH(B334,fa_num,0))&amp;"",""))</f>
        <v/>
      </c>
      <c r="H334" s="59" t="str">
        <f>IF(COUNTA(A334:F334)=0,"",IF(A334="","Date manquante",IF(NOT(ISNUMBER(A334)),"Date invalide",IF(B334="","N° de facture manquant",IF(ISNA(MATCH(B334,fa_num,0)),"Facture inconnue",IF(INDEX(fa_type,MATCH(B334,fa_num,0))="Avoir","Paiement sur un avoir",IF(OR(NOT(ISNUMBER(C334)),N(C334)&lt;=0),"Montant invalide",IF(A334&lt;INDEX(fa_date,MATCH(B334,fa_num,0)),"Date antérieure à la facture",IF(SUMIF($B$6:B334,B334,$C$6:C334)&gt;INDEX(fa_ttc,MATCH(B334,fa_num,0))-N(INDEX(fa_avoirs,MATCH(B334,fa_num,0)))+0.001,"Dépasse le montant de la facture","OK")))))))))</f>
        <v/>
      </c>
    </row>
    <row r="335">
      <c r="A335" s="61" t="n"/>
      <c r="B335" s="60" t="n"/>
      <c r="C335" s="68" t="n"/>
      <c r="D335" s="60" t="n"/>
      <c r="E335" s="63" t="n"/>
      <c r="F335" s="63" t="n"/>
      <c r="G335" s="62" t="str">
        <f>IF(B335="","",IFERROR(INDEX(fa_cname,MATCH(B335,fa_num,0))&amp;"",""))</f>
        <v/>
      </c>
      <c r="H335" s="59" t="str">
        <f>IF(COUNTA(A335:F335)=0,"",IF(A335="","Date manquante",IF(NOT(ISNUMBER(A335)),"Date invalide",IF(B335="","N° de facture manquant",IF(ISNA(MATCH(B335,fa_num,0)),"Facture inconnue",IF(INDEX(fa_type,MATCH(B335,fa_num,0))="Avoir","Paiement sur un avoir",IF(OR(NOT(ISNUMBER(C335)),N(C335)&lt;=0),"Montant invalide",IF(A335&lt;INDEX(fa_date,MATCH(B335,fa_num,0)),"Date antérieure à la facture",IF(SUMIF($B$6:B335,B335,$C$6:C335)&gt;INDEX(fa_ttc,MATCH(B335,fa_num,0))-N(INDEX(fa_avoirs,MATCH(B335,fa_num,0)))+0.001,"Dépasse le montant de la facture","OK")))))))))</f>
        <v/>
      </c>
    </row>
    <row r="336">
      <c r="A336" s="61" t="n"/>
      <c r="B336" s="60" t="n"/>
      <c r="C336" s="68" t="n"/>
      <c r="D336" s="60" t="n"/>
      <c r="E336" s="63" t="n"/>
      <c r="F336" s="63" t="n"/>
      <c r="G336" s="62" t="str">
        <f>IF(B336="","",IFERROR(INDEX(fa_cname,MATCH(B336,fa_num,0))&amp;"",""))</f>
        <v/>
      </c>
      <c r="H336" s="59" t="str">
        <f>IF(COUNTA(A336:F336)=0,"",IF(A336="","Date manquante",IF(NOT(ISNUMBER(A336)),"Date invalide",IF(B336="","N° de facture manquant",IF(ISNA(MATCH(B336,fa_num,0)),"Facture inconnue",IF(INDEX(fa_type,MATCH(B336,fa_num,0))="Avoir","Paiement sur un avoir",IF(OR(NOT(ISNUMBER(C336)),N(C336)&lt;=0),"Montant invalide",IF(A336&lt;INDEX(fa_date,MATCH(B336,fa_num,0)),"Date antérieure à la facture",IF(SUMIF($B$6:B336,B336,$C$6:C336)&gt;INDEX(fa_ttc,MATCH(B336,fa_num,0))-N(INDEX(fa_avoirs,MATCH(B336,fa_num,0)))+0.001,"Dépasse le montant de la facture","OK")))))))))</f>
        <v/>
      </c>
    </row>
    <row r="337">
      <c r="A337" s="61" t="n"/>
      <c r="B337" s="60" t="n"/>
      <c r="C337" s="68" t="n"/>
      <c r="D337" s="60" t="n"/>
      <c r="E337" s="63" t="n"/>
      <c r="F337" s="63" t="n"/>
      <c r="G337" s="62" t="str">
        <f>IF(B337="","",IFERROR(INDEX(fa_cname,MATCH(B337,fa_num,0))&amp;"",""))</f>
        <v/>
      </c>
      <c r="H337" s="59" t="str">
        <f>IF(COUNTA(A337:F337)=0,"",IF(A337="","Date manquante",IF(NOT(ISNUMBER(A337)),"Date invalide",IF(B337="","N° de facture manquant",IF(ISNA(MATCH(B337,fa_num,0)),"Facture inconnue",IF(INDEX(fa_type,MATCH(B337,fa_num,0))="Avoir","Paiement sur un avoir",IF(OR(NOT(ISNUMBER(C337)),N(C337)&lt;=0),"Montant invalide",IF(A337&lt;INDEX(fa_date,MATCH(B337,fa_num,0)),"Date antérieure à la facture",IF(SUMIF($B$6:B337,B337,$C$6:C337)&gt;INDEX(fa_ttc,MATCH(B337,fa_num,0))-N(INDEX(fa_avoirs,MATCH(B337,fa_num,0)))+0.001,"Dépasse le montant de la facture","OK")))))))))</f>
        <v/>
      </c>
    </row>
    <row r="338">
      <c r="A338" s="61" t="n"/>
      <c r="B338" s="60" t="n"/>
      <c r="C338" s="68" t="n"/>
      <c r="D338" s="60" t="n"/>
      <c r="E338" s="63" t="n"/>
      <c r="F338" s="63" t="n"/>
      <c r="G338" s="62" t="str">
        <f>IF(B338="","",IFERROR(INDEX(fa_cname,MATCH(B338,fa_num,0))&amp;"",""))</f>
        <v/>
      </c>
      <c r="H338" s="59" t="str">
        <f>IF(COUNTA(A338:F338)=0,"",IF(A338="","Date manquante",IF(NOT(ISNUMBER(A338)),"Date invalide",IF(B338="","N° de facture manquant",IF(ISNA(MATCH(B338,fa_num,0)),"Facture inconnue",IF(INDEX(fa_type,MATCH(B338,fa_num,0))="Avoir","Paiement sur un avoir",IF(OR(NOT(ISNUMBER(C338)),N(C338)&lt;=0),"Montant invalide",IF(A338&lt;INDEX(fa_date,MATCH(B338,fa_num,0)),"Date antérieure à la facture",IF(SUMIF($B$6:B338,B338,$C$6:C338)&gt;INDEX(fa_ttc,MATCH(B338,fa_num,0))-N(INDEX(fa_avoirs,MATCH(B338,fa_num,0)))+0.001,"Dépasse le montant de la facture","OK")))))))))</f>
        <v/>
      </c>
    </row>
    <row r="339">
      <c r="A339" s="61" t="n"/>
      <c r="B339" s="60" t="n"/>
      <c r="C339" s="68" t="n"/>
      <c r="D339" s="60" t="n"/>
      <c r="E339" s="63" t="n"/>
      <c r="F339" s="63" t="n"/>
      <c r="G339" s="62" t="str">
        <f>IF(B339="","",IFERROR(INDEX(fa_cname,MATCH(B339,fa_num,0))&amp;"",""))</f>
        <v/>
      </c>
      <c r="H339" s="59" t="str">
        <f>IF(COUNTA(A339:F339)=0,"",IF(A339="","Date manquante",IF(NOT(ISNUMBER(A339)),"Date invalide",IF(B339="","N° de facture manquant",IF(ISNA(MATCH(B339,fa_num,0)),"Facture inconnue",IF(INDEX(fa_type,MATCH(B339,fa_num,0))="Avoir","Paiement sur un avoir",IF(OR(NOT(ISNUMBER(C339)),N(C339)&lt;=0),"Montant invalide",IF(A339&lt;INDEX(fa_date,MATCH(B339,fa_num,0)),"Date antérieure à la facture",IF(SUMIF($B$6:B339,B339,$C$6:C339)&gt;INDEX(fa_ttc,MATCH(B339,fa_num,0))-N(INDEX(fa_avoirs,MATCH(B339,fa_num,0)))+0.001,"Dépasse le montant de la facture","OK")))))))))</f>
        <v/>
      </c>
    </row>
    <row r="340">
      <c r="A340" s="61" t="n"/>
      <c r="B340" s="60" t="n"/>
      <c r="C340" s="68" t="n"/>
      <c r="D340" s="60" t="n"/>
      <c r="E340" s="63" t="n"/>
      <c r="F340" s="63" t="n"/>
      <c r="G340" s="62" t="str">
        <f>IF(B340="","",IFERROR(INDEX(fa_cname,MATCH(B340,fa_num,0))&amp;"",""))</f>
        <v/>
      </c>
      <c r="H340" s="59" t="str">
        <f>IF(COUNTA(A340:F340)=0,"",IF(A340="","Date manquante",IF(NOT(ISNUMBER(A340)),"Date invalide",IF(B340="","N° de facture manquant",IF(ISNA(MATCH(B340,fa_num,0)),"Facture inconnue",IF(INDEX(fa_type,MATCH(B340,fa_num,0))="Avoir","Paiement sur un avoir",IF(OR(NOT(ISNUMBER(C340)),N(C340)&lt;=0),"Montant invalide",IF(A340&lt;INDEX(fa_date,MATCH(B340,fa_num,0)),"Date antérieure à la facture",IF(SUMIF($B$6:B340,B340,$C$6:C340)&gt;INDEX(fa_ttc,MATCH(B340,fa_num,0))-N(INDEX(fa_avoirs,MATCH(B340,fa_num,0)))+0.001,"Dépasse le montant de la facture","OK")))))))))</f>
        <v/>
      </c>
    </row>
    <row r="341">
      <c r="A341" s="61" t="n"/>
      <c r="B341" s="60" t="n"/>
      <c r="C341" s="68" t="n"/>
      <c r="D341" s="60" t="n"/>
      <c r="E341" s="63" t="n"/>
      <c r="F341" s="63" t="n"/>
      <c r="G341" s="62" t="str">
        <f>IF(B341="","",IFERROR(INDEX(fa_cname,MATCH(B341,fa_num,0))&amp;"",""))</f>
        <v/>
      </c>
      <c r="H341" s="59" t="str">
        <f>IF(COUNTA(A341:F341)=0,"",IF(A341="","Date manquante",IF(NOT(ISNUMBER(A341)),"Date invalide",IF(B341="","N° de facture manquant",IF(ISNA(MATCH(B341,fa_num,0)),"Facture inconnue",IF(INDEX(fa_type,MATCH(B341,fa_num,0))="Avoir","Paiement sur un avoir",IF(OR(NOT(ISNUMBER(C341)),N(C341)&lt;=0),"Montant invalide",IF(A341&lt;INDEX(fa_date,MATCH(B341,fa_num,0)),"Date antérieure à la facture",IF(SUMIF($B$6:B341,B341,$C$6:C341)&gt;INDEX(fa_ttc,MATCH(B341,fa_num,0))-N(INDEX(fa_avoirs,MATCH(B341,fa_num,0)))+0.001,"Dépasse le montant de la facture","OK")))))))))</f>
        <v/>
      </c>
    </row>
    <row r="342">
      <c r="A342" s="61" t="n"/>
      <c r="B342" s="60" t="n"/>
      <c r="C342" s="68" t="n"/>
      <c r="D342" s="60" t="n"/>
      <c r="E342" s="63" t="n"/>
      <c r="F342" s="63" t="n"/>
      <c r="G342" s="62" t="str">
        <f>IF(B342="","",IFERROR(INDEX(fa_cname,MATCH(B342,fa_num,0))&amp;"",""))</f>
        <v/>
      </c>
      <c r="H342" s="59" t="str">
        <f>IF(COUNTA(A342:F342)=0,"",IF(A342="","Date manquante",IF(NOT(ISNUMBER(A342)),"Date invalide",IF(B342="","N° de facture manquant",IF(ISNA(MATCH(B342,fa_num,0)),"Facture inconnue",IF(INDEX(fa_type,MATCH(B342,fa_num,0))="Avoir","Paiement sur un avoir",IF(OR(NOT(ISNUMBER(C342)),N(C342)&lt;=0),"Montant invalide",IF(A342&lt;INDEX(fa_date,MATCH(B342,fa_num,0)),"Date antérieure à la facture",IF(SUMIF($B$6:B342,B342,$C$6:C342)&gt;INDEX(fa_ttc,MATCH(B342,fa_num,0))-N(INDEX(fa_avoirs,MATCH(B342,fa_num,0)))+0.001,"Dépasse le montant de la facture","OK")))))))))</f>
        <v/>
      </c>
    </row>
    <row r="343">
      <c r="A343" s="61" t="n"/>
      <c r="B343" s="60" t="n"/>
      <c r="C343" s="68" t="n"/>
      <c r="D343" s="60" t="n"/>
      <c r="E343" s="63" t="n"/>
      <c r="F343" s="63" t="n"/>
      <c r="G343" s="62" t="str">
        <f>IF(B343="","",IFERROR(INDEX(fa_cname,MATCH(B343,fa_num,0))&amp;"",""))</f>
        <v/>
      </c>
      <c r="H343" s="59" t="str">
        <f>IF(COUNTA(A343:F343)=0,"",IF(A343="","Date manquante",IF(NOT(ISNUMBER(A343)),"Date invalide",IF(B343="","N° de facture manquant",IF(ISNA(MATCH(B343,fa_num,0)),"Facture inconnue",IF(INDEX(fa_type,MATCH(B343,fa_num,0))="Avoir","Paiement sur un avoir",IF(OR(NOT(ISNUMBER(C343)),N(C343)&lt;=0),"Montant invalide",IF(A343&lt;INDEX(fa_date,MATCH(B343,fa_num,0)),"Date antérieure à la facture",IF(SUMIF($B$6:B343,B343,$C$6:C343)&gt;INDEX(fa_ttc,MATCH(B343,fa_num,0))-N(INDEX(fa_avoirs,MATCH(B343,fa_num,0)))+0.001,"Dépasse le montant de la facture","OK")))))))))</f>
        <v/>
      </c>
    </row>
    <row r="344">
      <c r="A344" s="61" t="n"/>
      <c r="B344" s="60" t="n"/>
      <c r="C344" s="68" t="n"/>
      <c r="D344" s="60" t="n"/>
      <c r="E344" s="63" t="n"/>
      <c r="F344" s="63" t="n"/>
      <c r="G344" s="62" t="str">
        <f>IF(B344="","",IFERROR(INDEX(fa_cname,MATCH(B344,fa_num,0))&amp;"",""))</f>
        <v/>
      </c>
      <c r="H344" s="59" t="str">
        <f>IF(COUNTA(A344:F344)=0,"",IF(A344="","Date manquante",IF(NOT(ISNUMBER(A344)),"Date invalide",IF(B344="","N° de facture manquant",IF(ISNA(MATCH(B344,fa_num,0)),"Facture inconnue",IF(INDEX(fa_type,MATCH(B344,fa_num,0))="Avoir","Paiement sur un avoir",IF(OR(NOT(ISNUMBER(C344)),N(C344)&lt;=0),"Montant invalide",IF(A344&lt;INDEX(fa_date,MATCH(B344,fa_num,0)),"Date antérieure à la facture",IF(SUMIF($B$6:B344,B344,$C$6:C344)&gt;INDEX(fa_ttc,MATCH(B344,fa_num,0))-N(INDEX(fa_avoirs,MATCH(B344,fa_num,0)))+0.001,"Dépasse le montant de la facture","OK")))))))))</f>
        <v/>
      </c>
    </row>
    <row r="345">
      <c r="A345" s="61" t="n"/>
      <c r="B345" s="60" t="n"/>
      <c r="C345" s="68" t="n"/>
      <c r="D345" s="60" t="n"/>
      <c r="E345" s="63" t="n"/>
      <c r="F345" s="63" t="n"/>
      <c r="G345" s="62" t="str">
        <f>IF(B345="","",IFERROR(INDEX(fa_cname,MATCH(B345,fa_num,0))&amp;"",""))</f>
        <v/>
      </c>
      <c r="H345" s="59" t="str">
        <f>IF(COUNTA(A345:F345)=0,"",IF(A345="","Date manquante",IF(NOT(ISNUMBER(A345)),"Date invalide",IF(B345="","N° de facture manquant",IF(ISNA(MATCH(B345,fa_num,0)),"Facture inconnue",IF(INDEX(fa_type,MATCH(B345,fa_num,0))="Avoir","Paiement sur un avoir",IF(OR(NOT(ISNUMBER(C345)),N(C345)&lt;=0),"Montant invalide",IF(A345&lt;INDEX(fa_date,MATCH(B345,fa_num,0)),"Date antérieure à la facture",IF(SUMIF($B$6:B345,B345,$C$6:C345)&gt;INDEX(fa_ttc,MATCH(B345,fa_num,0))-N(INDEX(fa_avoirs,MATCH(B345,fa_num,0)))+0.001,"Dépasse le montant de la facture","OK")))))))))</f>
        <v/>
      </c>
    </row>
    <row r="346">
      <c r="A346" s="61" t="n"/>
      <c r="B346" s="60" t="n"/>
      <c r="C346" s="68" t="n"/>
      <c r="D346" s="60" t="n"/>
      <c r="E346" s="63" t="n"/>
      <c r="F346" s="63" t="n"/>
      <c r="G346" s="62" t="str">
        <f>IF(B346="","",IFERROR(INDEX(fa_cname,MATCH(B346,fa_num,0))&amp;"",""))</f>
        <v/>
      </c>
      <c r="H346" s="59" t="str">
        <f>IF(COUNTA(A346:F346)=0,"",IF(A346="","Date manquante",IF(NOT(ISNUMBER(A346)),"Date invalide",IF(B346="","N° de facture manquant",IF(ISNA(MATCH(B346,fa_num,0)),"Facture inconnue",IF(INDEX(fa_type,MATCH(B346,fa_num,0))="Avoir","Paiement sur un avoir",IF(OR(NOT(ISNUMBER(C346)),N(C346)&lt;=0),"Montant invalide",IF(A346&lt;INDEX(fa_date,MATCH(B346,fa_num,0)),"Date antérieure à la facture",IF(SUMIF($B$6:B346,B346,$C$6:C346)&gt;INDEX(fa_ttc,MATCH(B346,fa_num,0))-N(INDEX(fa_avoirs,MATCH(B346,fa_num,0)))+0.001,"Dépasse le montant de la facture","OK")))))))))</f>
        <v/>
      </c>
    </row>
    <row r="347">
      <c r="A347" s="61" t="n"/>
      <c r="B347" s="60" t="n"/>
      <c r="C347" s="68" t="n"/>
      <c r="D347" s="60" t="n"/>
      <c r="E347" s="63" t="n"/>
      <c r="F347" s="63" t="n"/>
      <c r="G347" s="62" t="str">
        <f>IF(B347="","",IFERROR(INDEX(fa_cname,MATCH(B347,fa_num,0))&amp;"",""))</f>
        <v/>
      </c>
      <c r="H347" s="59" t="str">
        <f>IF(COUNTA(A347:F347)=0,"",IF(A347="","Date manquante",IF(NOT(ISNUMBER(A347)),"Date invalide",IF(B347="","N° de facture manquant",IF(ISNA(MATCH(B347,fa_num,0)),"Facture inconnue",IF(INDEX(fa_type,MATCH(B347,fa_num,0))="Avoir","Paiement sur un avoir",IF(OR(NOT(ISNUMBER(C347)),N(C347)&lt;=0),"Montant invalide",IF(A347&lt;INDEX(fa_date,MATCH(B347,fa_num,0)),"Date antérieure à la facture",IF(SUMIF($B$6:B347,B347,$C$6:C347)&gt;INDEX(fa_ttc,MATCH(B347,fa_num,0))-N(INDEX(fa_avoirs,MATCH(B347,fa_num,0)))+0.001,"Dépasse le montant de la facture","OK")))))))))</f>
        <v/>
      </c>
    </row>
    <row r="348">
      <c r="A348" s="61" t="n"/>
      <c r="B348" s="60" t="n"/>
      <c r="C348" s="68" t="n"/>
      <c r="D348" s="60" t="n"/>
      <c r="E348" s="63" t="n"/>
      <c r="F348" s="63" t="n"/>
      <c r="G348" s="62" t="str">
        <f>IF(B348="","",IFERROR(INDEX(fa_cname,MATCH(B348,fa_num,0))&amp;"",""))</f>
        <v/>
      </c>
      <c r="H348" s="59" t="str">
        <f>IF(COUNTA(A348:F348)=0,"",IF(A348="","Date manquante",IF(NOT(ISNUMBER(A348)),"Date invalide",IF(B348="","N° de facture manquant",IF(ISNA(MATCH(B348,fa_num,0)),"Facture inconnue",IF(INDEX(fa_type,MATCH(B348,fa_num,0))="Avoir","Paiement sur un avoir",IF(OR(NOT(ISNUMBER(C348)),N(C348)&lt;=0),"Montant invalide",IF(A348&lt;INDEX(fa_date,MATCH(B348,fa_num,0)),"Date antérieure à la facture",IF(SUMIF($B$6:B348,B348,$C$6:C348)&gt;INDEX(fa_ttc,MATCH(B348,fa_num,0))-N(INDEX(fa_avoirs,MATCH(B348,fa_num,0)))+0.001,"Dépasse le montant de la facture","OK")))))))))</f>
        <v/>
      </c>
    </row>
    <row r="349">
      <c r="A349" s="61" t="n"/>
      <c r="B349" s="60" t="n"/>
      <c r="C349" s="68" t="n"/>
      <c r="D349" s="60" t="n"/>
      <c r="E349" s="63" t="n"/>
      <c r="F349" s="63" t="n"/>
      <c r="G349" s="62" t="str">
        <f>IF(B349="","",IFERROR(INDEX(fa_cname,MATCH(B349,fa_num,0))&amp;"",""))</f>
        <v/>
      </c>
      <c r="H349" s="59" t="str">
        <f>IF(COUNTA(A349:F349)=0,"",IF(A349="","Date manquante",IF(NOT(ISNUMBER(A349)),"Date invalide",IF(B349="","N° de facture manquant",IF(ISNA(MATCH(B349,fa_num,0)),"Facture inconnue",IF(INDEX(fa_type,MATCH(B349,fa_num,0))="Avoir","Paiement sur un avoir",IF(OR(NOT(ISNUMBER(C349)),N(C349)&lt;=0),"Montant invalide",IF(A349&lt;INDEX(fa_date,MATCH(B349,fa_num,0)),"Date antérieure à la facture",IF(SUMIF($B$6:B349,B349,$C$6:C349)&gt;INDEX(fa_ttc,MATCH(B349,fa_num,0))-N(INDEX(fa_avoirs,MATCH(B349,fa_num,0)))+0.001,"Dépasse le montant de la facture","OK")))))))))</f>
        <v/>
      </c>
    </row>
    <row r="350">
      <c r="A350" s="61" t="n"/>
      <c r="B350" s="60" t="n"/>
      <c r="C350" s="68" t="n"/>
      <c r="D350" s="60" t="n"/>
      <c r="E350" s="63" t="n"/>
      <c r="F350" s="63" t="n"/>
      <c r="G350" s="62" t="str">
        <f>IF(B350="","",IFERROR(INDEX(fa_cname,MATCH(B350,fa_num,0))&amp;"",""))</f>
        <v/>
      </c>
      <c r="H350" s="59" t="str">
        <f>IF(COUNTA(A350:F350)=0,"",IF(A350="","Date manquante",IF(NOT(ISNUMBER(A350)),"Date invalide",IF(B350="","N° de facture manquant",IF(ISNA(MATCH(B350,fa_num,0)),"Facture inconnue",IF(INDEX(fa_type,MATCH(B350,fa_num,0))="Avoir","Paiement sur un avoir",IF(OR(NOT(ISNUMBER(C350)),N(C350)&lt;=0),"Montant invalide",IF(A350&lt;INDEX(fa_date,MATCH(B350,fa_num,0)),"Date antérieure à la facture",IF(SUMIF($B$6:B350,B350,$C$6:C350)&gt;INDEX(fa_ttc,MATCH(B350,fa_num,0))-N(INDEX(fa_avoirs,MATCH(B350,fa_num,0)))+0.001,"Dépasse le montant de la facture","OK")))))))))</f>
        <v/>
      </c>
    </row>
    <row r="351">
      <c r="A351" s="61" t="n"/>
      <c r="B351" s="60" t="n"/>
      <c r="C351" s="68" t="n"/>
      <c r="D351" s="60" t="n"/>
      <c r="E351" s="63" t="n"/>
      <c r="F351" s="63" t="n"/>
      <c r="G351" s="62" t="str">
        <f>IF(B351="","",IFERROR(INDEX(fa_cname,MATCH(B351,fa_num,0))&amp;"",""))</f>
        <v/>
      </c>
      <c r="H351" s="59" t="str">
        <f>IF(COUNTA(A351:F351)=0,"",IF(A351="","Date manquante",IF(NOT(ISNUMBER(A351)),"Date invalide",IF(B351="","N° de facture manquant",IF(ISNA(MATCH(B351,fa_num,0)),"Facture inconnue",IF(INDEX(fa_type,MATCH(B351,fa_num,0))="Avoir","Paiement sur un avoir",IF(OR(NOT(ISNUMBER(C351)),N(C351)&lt;=0),"Montant invalide",IF(A351&lt;INDEX(fa_date,MATCH(B351,fa_num,0)),"Date antérieure à la facture",IF(SUMIF($B$6:B351,B351,$C$6:C351)&gt;INDEX(fa_ttc,MATCH(B351,fa_num,0))-N(INDEX(fa_avoirs,MATCH(B351,fa_num,0)))+0.001,"Dépasse le montant de la facture","OK")))))))))</f>
        <v/>
      </c>
    </row>
    <row r="352">
      <c r="A352" s="61" t="n"/>
      <c r="B352" s="60" t="n"/>
      <c r="C352" s="68" t="n"/>
      <c r="D352" s="60" t="n"/>
      <c r="E352" s="63" t="n"/>
      <c r="F352" s="63" t="n"/>
      <c r="G352" s="62" t="str">
        <f>IF(B352="","",IFERROR(INDEX(fa_cname,MATCH(B352,fa_num,0))&amp;"",""))</f>
        <v/>
      </c>
      <c r="H352" s="59" t="str">
        <f>IF(COUNTA(A352:F352)=0,"",IF(A352="","Date manquante",IF(NOT(ISNUMBER(A352)),"Date invalide",IF(B352="","N° de facture manquant",IF(ISNA(MATCH(B352,fa_num,0)),"Facture inconnue",IF(INDEX(fa_type,MATCH(B352,fa_num,0))="Avoir","Paiement sur un avoir",IF(OR(NOT(ISNUMBER(C352)),N(C352)&lt;=0),"Montant invalide",IF(A352&lt;INDEX(fa_date,MATCH(B352,fa_num,0)),"Date antérieure à la facture",IF(SUMIF($B$6:B352,B352,$C$6:C352)&gt;INDEX(fa_ttc,MATCH(B352,fa_num,0))-N(INDEX(fa_avoirs,MATCH(B352,fa_num,0)))+0.001,"Dépasse le montant de la facture","OK")))))))))</f>
        <v/>
      </c>
    </row>
    <row r="353">
      <c r="A353" s="61" t="n"/>
      <c r="B353" s="60" t="n"/>
      <c r="C353" s="68" t="n"/>
      <c r="D353" s="60" t="n"/>
      <c r="E353" s="63" t="n"/>
      <c r="F353" s="63" t="n"/>
      <c r="G353" s="62" t="str">
        <f>IF(B353="","",IFERROR(INDEX(fa_cname,MATCH(B353,fa_num,0))&amp;"",""))</f>
        <v/>
      </c>
      <c r="H353" s="59" t="str">
        <f>IF(COUNTA(A353:F353)=0,"",IF(A353="","Date manquante",IF(NOT(ISNUMBER(A353)),"Date invalide",IF(B353="","N° de facture manquant",IF(ISNA(MATCH(B353,fa_num,0)),"Facture inconnue",IF(INDEX(fa_type,MATCH(B353,fa_num,0))="Avoir","Paiement sur un avoir",IF(OR(NOT(ISNUMBER(C353)),N(C353)&lt;=0),"Montant invalide",IF(A353&lt;INDEX(fa_date,MATCH(B353,fa_num,0)),"Date antérieure à la facture",IF(SUMIF($B$6:B353,B353,$C$6:C353)&gt;INDEX(fa_ttc,MATCH(B353,fa_num,0))-N(INDEX(fa_avoirs,MATCH(B353,fa_num,0)))+0.001,"Dépasse le montant de la facture","OK")))))))))</f>
        <v/>
      </c>
    </row>
    <row r="354">
      <c r="A354" s="61" t="n"/>
      <c r="B354" s="60" t="n"/>
      <c r="C354" s="68" t="n"/>
      <c r="D354" s="60" t="n"/>
      <c r="E354" s="63" t="n"/>
      <c r="F354" s="63" t="n"/>
      <c r="G354" s="62" t="str">
        <f>IF(B354="","",IFERROR(INDEX(fa_cname,MATCH(B354,fa_num,0))&amp;"",""))</f>
        <v/>
      </c>
      <c r="H354" s="59" t="str">
        <f>IF(COUNTA(A354:F354)=0,"",IF(A354="","Date manquante",IF(NOT(ISNUMBER(A354)),"Date invalide",IF(B354="","N° de facture manquant",IF(ISNA(MATCH(B354,fa_num,0)),"Facture inconnue",IF(INDEX(fa_type,MATCH(B354,fa_num,0))="Avoir","Paiement sur un avoir",IF(OR(NOT(ISNUMBER(C354)),N(C354)&lt;=0),"Montant invalide",IF(A354&lt;INDEX(fa_date,MATCH(B354,fa_num,0)),"Date antérieure à la facture",IF(SUMIF($B$6:B354,B354,$C$6:C354)&gt;INDEX(fa_ttc,MATCH(B354,fa_num,0))-N(INDEX(fa_avoirs,MATCH(B354,fa_num,0)))+0.001,"Dépasse le montant de la facture","OK")))))))))</f>
        <v/>
      </c>
    </row>
    <row r="355">
      <c r="A355" s="61" t="n"/>
      <c r="B355" s="60" t="n"/>
      <c r="C355" s="68" t="n"/>
      <c r="D355" s="60" t="n"/>
      <c r="E355" s="63" t="n"/>
      <c r="F355" s="63" t="n"/>
      <c r="G355" s="62" t="str">
        <f>IF(B355="","",IFERROR(INDEX(fa_cname,MATCH(B355,fa_num,0))&amp;"",""))</f>
        <v/>
      </c>
      <c r="H355" s="59" t="str">
        <f>IF(COUNTA(A355:F355)=0,"",IF(A355="","Date manquante",IF(NOT(ISNUMBER(A355)),"Date invalide",IF(B355="","N° de facture manquant",IF(ISNA(MATCH(B355,fa_num,0)),"Facture inconnue",IF(INDEX(fa_type,MATCH(B355,fa_num,0))="Avoir","Paiement sur un avoir",IF(OR(NOT(ISNUMBER(C355)),N(C355)&lt;=0),"Montant invalide",IF(A355&lt;INDEX(fa_date,MATCH(B355,fa_num,0)),"Date antérieure à la facture",IF(SUMIF($B$6:B355,B355,$C$6:C355)&gt;INDEX(fa_ttc,MATCH(B355,fa_num,0))-N(INDEX(fa_avoirs,MATCH(B355,fa_num,0)))+0.001,"Dépasse le montant de la facture","OK")))))))))</f>
        <v/>
      </c>
    </row>
    <row r="356">
      <c r="A356" s="61" t="n"/>
      <c r="B356" s="60" t="n"/>
      <c r="C356" s="68" t="n"/>
      <c r="D356" s="60" t="n"/>
      <c r="E356" s="63" t="n"/>
      <c r="F356" s="63" t="n"/>
      <c r="G356" s="62" t="str">
        <f>IF(B356="","",IFERROR(INDEX(fa_cname,MATCH(B356,fa_num,0))&amp;"",""))</f>
        <v/>
      </c>
      <c r="H356" s="59" t="str">
        <f>IF(COUNTA(A356:F356)=0,"",IF(A356="","Date manquante",IF(NOT(ISNUMBER(A356)),"Date invalide",IF(B356="","N° de facture manquant",IF(ISNA(MATCH(B356,fa_num,0)),"Facture inconnue",IF(INDEX(fa_type,MATCH(B356,fa_num,0))="Avoir","Paiement sur un avoir",IF(OR(NOT(ISNUMBER(C356)),N(C356)&lt;=0),"Montant invalide",IF(A356&lt;INDEX(fa_date,MATCH(B356,fa_num,0)),"Date antérieure à la facture",IF(SUMIF($B$6:B356,B356,$C$6:C356)&gt;INDEX(fa_ttc,MATCH(B356,fa_num,0))-N(INDEX(fa_avoirs,MATCH(B356,fa_num,0)))+0.001,"Dépasse le montant de la facture","OK")))))))))</f>
        <v/>
      </c>
    </row>
    <row r="357">
      <c r="A357" s="61" t="n"/>
      <c r="B357" s="60" t="n"/>
      <c r="C357" s="68" t="n"/>
      <c r="D357" s="60" t="n"/>
      <c r="E357" s="63" t="n"/>
      <c r="F357" s="63" t="n"/>
      <c r="G357" s="62" t="str">
        <f>IF(B357="","",IFERROR(INDEX(fa_cname,MATCH(B357,fa_num,0))&amp;"",""))</f>
        <v/>
      </c>
      <c r="H357" s="59" t="str">
        <f>IF(COUNTA(A357:F357)=0,"",IF(A357="","Date manquante",IF(NOT(ISNUMBER(A357)),"Date invalide",IF(B357="","N° de facture manquant",IF(ISNA(MATCH(B357,fa_num,0)),"Facture inconnue",IF(INDEX(fa_type,MATCH(B357,fa_num,0))="Avoir","Paiement sur un avoir",IF(OR(NOT(ISNUMBER(C357)),N(C357)&lt;=0),"Montant invalide",IF(A357&lt;INDEX(fa_date,MATCH(B357,fa_num,0)),"Date antérieure à la facture",IF(SUMIF($B$6:B357,B357,$C$6:C357)&gt;INDEX(fa_ttc,MATCH(B357,fa_num,0))-N(INDEX(fa_avoirs,MATCH(B357,fa_num,0)))+0.001,"Dépasse le montant de la facture","OK")))))))))</f>
        <v/>
      </c>
    </row>
    <row r="358">
      <c r="A358" s="61" t="n"/>
      <c r="B358" s="60" t="n"/>
      <c r="C358" s="68" t="n"/>
      <c r="D358" s="60" t="n"/>
      <c r="E358" s="63" t="n"/>
      <c r="F358" s="63" t="n"/>
      <c r="G358" s="62" t="str">
        <f>IF(B358="","",IFERROR(INDEX(fa_cname,MATCH(B358,fa_num,0))&amp;"",""))</f>
        <v/>
      </c>
      <c r="H358" s="59" t="str">
        <f>IF(COUNTA(A358:F358)=0,"",IF(A358="","Date manquante",IF(NOT(ISNUMBER(A358)),"Date invalide",IF(B358="","N° de facture manquant",IF(ISNA(MATCH(B358,fa_num,0)),"Facture inconnue",IF(INDEX(fa_type,MATCH(B358,fa_num,0))="Avoir","Paiement sur un avoir",IF(OR(NOT(ISNUMBER(C358)),N(C358)&lt;=0),"Montant invalide",IF(A358&lt;INDEX(fa_date,MATCH(B358,fa_num,0)),"Date antérieure à la facture",IF(SUMIF($B$6:B358,B358,$C$6:C358)&gt;INDEX(fa_ttc,MATCH(B358,fa_num,0))-N(INDEX(fa_avoirs,MATCH(B358,fa_num,0)))+0.001,"Dépasse le montant de la facture","OK")))))))))</f>
        <v/>
      </c>
    </row>
    <row r="359">
      <c r="A359" s="61" t="n"/>
      <c r="B359" s="60" t="n"/>
      <c r="C359" s="68" t="n"/>
      <c r="D359" s="60" t="n"/>
      <c r="E359" s="63" t="n"/>
      <c r="F359" s="63" t="n"/>
      <c r="G359" s="62" t="str">
        <f>IF(B359="","",IFERROR(INDEX(fa_cname,MATCH(B359,fa_num,0))&amp;"",""))</f>
        <v/>
      </c>
      <c r="H359" s="59" t="str">
        <f>IF(COUNTA(A359:F359)=0,"",IF(A359="","Date manquante",IF(NOT(ISNUMBER(A359)),"Date invalide",IF(B359="","N° de facture manquant",IF(ISNA(MATCH(B359,fa_num,0)),"Facture inconnue",IF(INDEX(fa_type,MATCH(B359,fa_num,0))="Avoir","Paiement sur un avoir",IF(OR(NOT(ISNUMBER(C359)),N(C359)&lt;=0),"Montant invalide",IF(A359&lt;INDEX(fa_date,MATCH(B359,fa_num,0)),"Date antérieure à la facture",IF(SUMIF($B$6:B359,B359,$C$6:C359)&gt;INDEX(fa_ttc,MATCH(B359,fa_num,0))-N(INDEX(fa_avoirs,MATCH(B359,fa_num,0)))+0.001,"Dépasse le montant de la facture","OK")))))))))</f>
        <v/>
      </c>
    </row>
    <row r="360">
      <c r="A360" s="61" t="n"/>
      <c r="B360" s="60" t="n"/>
      <c r="C360" s="68" t="n"/>
      <c r="D360" s="60" t="n"/>
      <c r="E360" s="63" t="n"/>
      <c r="F360" s="63" t="n"/>
      <c r="G360" s="62" t="str">
        <f>IF(B360="","",IFERROR(INDEX(fa_cname,MATCH(B360,fa_num,0))&amp;"",""))</f>
        <v/>
      </c>
      <c r="H360" s="59" t="str">
        <f>IF(COUNTA(A360:F360)=0,"",IF(A360="","Date manquante",IF(NOT(ISNUMBER(A360)),"Date invalide",IF(B360="","N° de facture manquant",IF(ISNA(MATCH(B360,fa_num,0)),"Facture inconnue",IF(INDEX(fa_type,MATCH(B360,fa_num,0))="Avoir","Paiement sur un avoir",IF(OR(NOT(ISNUMBER(C360)),N(C360)&lt;=0),"Montant invalide",IF(A360&lt;INDEX(fa_date,MATCH(B360,fa_num,0)),"Date antérieure à la facture",IF(SUMIF($B$6:B360,B360,$C$6:C360)&gt;INDEX(fa_ttc,MATCH(B360,fa_num,0))-N(INDEX(fa_avoirs,MATCH(B360,fa_num,0)))+0.001,"Dépasse le montant de la facture","OK")))))))))</f>
        <v/>
      </c>
    </row>
    <row r="361">
      <c r="A361" s="61" t="n"/>
      <c r="B361" s="60" t="n"/>
      <c r="C361" s="68" t="n"/>
      <c r="D361" s="60" t="n"/>
      <c r="E361" s="63" t="n"/>
      <c r="F361" s="63" t="n"/>
      <c r="G361" s="62" t="str">
        <f>IF(B361="","",IFERROR(INDEX(fa_cname,MATCH(B361,fa_num,0))&amp;"",""))</f>
        <v/>
      </c>
      <c r="H361" s="59" t="str">
        <f>IF(COUNTA(A361:F361)=0,"",IF(A361="","Date manquante",IF(NOT(ISNUMBER(A361)),"Date invalide",IF(B361="","N° de facture manquant",IF(ISNA(MATCH(B361,fa_num,0)),"Facture inconnue",IF(INDEX(fa_type,MATCH(B361,fa_num,0))="Avoir","Paiement sur un avoir",IF(OR(NOT(ISNUMBER(C361)),N(C361)&lt;=0),"Montant invalide",IF(A361&lt;INDEX(fa_date,MATCH(B361,fa_num,0)),"Date antérieure à la facture",IF(SUMIF($B$6:B361,B361,$C$6:C361)&gt;INDEX(fa_ttc,MATCH(B361,fa_num,0))-N(INDEX(fa_avoirs,MATCH(B361,fa_num,0)))+0.001,"Dépasse le montant de la facture","OK")))))))))</f>
        <v/>
      </c>
    </row>
    <row r="362">
      <c r="A362" s="61" t="n"/>
      <c r="B362" s="60" t="n"/>
      <c r="C362" s="68" t="n"/>
      <c r="D362" s="60" t="n"/>
      <c r="E362" s="63" t="n"/>
      <c r="F362" s="63" t="n"/>
      <c r="G362" s="62" t="str">
        <f>IF(B362="","",IFERROR(INDEX(fa_cname,MATCH(B362,fa_num,0))&amp;"",""))</f>
        <v/>
      </c>
      <c r="H362" s="59" t="str">
        <f>IF(COUNTA(A362:F362)=0,"",IF(A362="","Date manquante",IF(NOT(ISNUMBER(A362)),"Date invalide",IF(B362="","N° de facture manquant",IF(ISNA(MATCH(B362,fa_num,0)),"Facture inconnue",IF(INDEX(fa_type,MATCH(B362,fa_num,0))="Avoir","Paiement sur un avoir",IF(OR(NOT(ISNUMBER(C362)),N(C362)&lt;=0),"Montant invalide",IF(A362&lt;INDEX(fa_date,MATCH(B362,fa_num,0)),"Date antérieure à la facture",IF(SUMIF($B$6:B362,B362,$C$6:C362)&gt;INDEX(fa_ttc,MATCH(B362,fa_num,0))-N(INDEX(fa_avoirs,MATCH(B362,fa_num,0)))+0.001,"Dépasse le montant de la facture","OK")))))))))</f>
        <v/>
      </c>
    </row>
    <row r="363">
      <c r="A363" s="61" t="n"/>
      <c r="B363" s="60" t="n"/>
      <c r="C363" s="68" t="n"/>
      <c r="D363" s="60" t="n"/>
      <c r="E363" s="63" t="n"/>
      <c r="F363" s="63" t="n"/>
      <c r="G363" s="62" t="str">
        <f>IF(B363="","",IFERROR(INDEX(fa_cname,MATCH(B363,fa_num,0))&amp;"",""))</f>
        <v/>
      </c>
      <c r="H363" s="59" t="str">
        <f>IF(COUNTA(A363:F363)=0,"",IF(A363="","Date manquante",IF(NOT(ISNUMBER(A363)),"Date invalide",IF(B363="","N° de facture manquant",IF(ISNA(MATCH(B363,fa_num,0)),"Facture inconnue",IF(INDEX(fa_type,MATCH(B363,fa_num,0))="Avoir","Paiement sur un avoir",IF(OR(NOT(ISNUMBER(C363)),N(C363)&lt;=0),"Montant invalide",IF(A363&lt;INDEX(fa_date,MATCH(B363,fa_num,0)),"Date antérieure à la facture",IF(SUMIF($B$6:B363,B363,$C$6:C363)&gt;INDEX(fa_ttc,MATCH(B363,fa_num,0))-N(INDEX(fa_avoirs,MATCH(B363,fa_num,0)))+0.001,"Dépasse le montant de la facture","OK")))))))))</f>
        <v/>
      </c>
    </row>
    <row r="364">
      <c r="A364" s="61" t="n"/>
      <c r="B364" s="60" t="n"/>
      <c r="C364" s="68" t="n"/>
      <c r="D364" s="60" t="n"/>
      <c r="E364" s="63" t="n"/>
      <c r="F364" s="63" t="n"/>
      <c r="G364" s="62" t="str">
        <f>IF(B364="","",IFERROR(INDEX(fa_cname,MATCH(B364,fa_num,0))&amp;"",""))</f>
        <v/>
      </c>
      <c r="H364" s="59" t="str">
        <f>IF(COUNTA(A364:F364)=0,"",IF(A364="","Date manquante",IF(NOT(ISNUMBER(A364)),"Date invalide",IF(B364="","N° de facture manquant",IF(ISNA(MATCH(B364,fa_num,0)),"Facture inconnue",IF(INDEX(fa_type,MATCH(B364,fa_num,0))="Avoir","Paiement sur un avoir",IF(OR(NOT(ISNUMBER(C364)),N(C364)&lt;=0),"Montant invalide",IF(A364&lt;INDEX(fa_date,MATCH(B364,fa_num,0)),"Date antérieure à la facture",IF(SUMIF($B$6:B364,B364,$C$6:C364)&gt;INDEX(fa_ttc,MATCH(B364,fa_num,0))-N(INDEX(fa_avoirs,MATCH(B364,fa_num,0)))+0.001,"Dépasse le montant de la facture","OK")))))))))</f>
        <v/>
      </c>
    </row>
    <row r="365">
      <c r="A365" s="61" t="n"/>
      <c r="B365" s="60" t="n"/>
      <c r="C365" s="68" t="n"/>
      <c r="D365" s="60" t="n"/>
      <c r="E365" s="63" t="n"/>
      <c r="F365" s="63" t="n"/>
      <c r="G365" s="62" t="str">
        <f>IF(B365="","",IFERROR(INDEX(fa_cname,MATCH(B365,fa_num,0))&amp;"",""))</f>
        <v/>
      </c>
      <c r="H365" s="59" t="str">
        <f>IF(COUNTA(A365:F365)=0,"",IF(A365="","Date manquante",IF(NOT(ISNUMBER(A365)),"Date invalide",IF(B365="","N° de facture manquant",IF(ISNA(MATCH(B365,fa_num,0)),"Facture inconnue",IF(INDEX(fa_type,MATCH(B365,fa_num,0))="Avoir","Paiement sur un avoir",IF(OR(NOT(ISNUMBER(C365)),N(C365)&lt;=0),"Montant invalide",IF(A365&lt;INDEX(fa_date,MATCH(B365,fa_num,0)),"Date antérieure à la facture",IF(SUMIF($B$6:B365,B365,$C$6:C365)&gt;INDEX(fa_ttc,MATCH(B365,fa_num,0))-N(INDEX(fa_avoirs,MATCH(B365,fa_num,0)))+0.001,"Dépasse le montant de la facture","OK")))))))))</f>
        <v/>
      </c>
    </row>
    <row r="366">
      <c r="A366" s="61" t="n"/>
      <c r="B366" s="60" t="n"/>
      <c r="C366" s="68" t="n"/>
      <c r="D366" s="60" t="n"/>
      <c r="E366" s="63" t="n"/>
      <c r="F366" s="63" t="n"/>
      <c r="G366" s="62" t="str">
        <f>IF(B366="","",IFERROR(INDEX(fa_cname,MATCH(B366,fa_num,0))&amp;"",""))</f>
        <v/>
      </c>
      <c r="H366" s="59" t="str">
        <f>IF(COUNTA(A366:F366)=0,"",IF(A366="","Date manquante",IF(NOT(ISNUMBER(A366)),"Date invalide",IF(B366="","N° de facture manquant",IF(ISNA(MATCH(B366,fa_num,0)),"Facture inconnue",IF(INDEX(fa_type,MATCH(B366,fa_num,0))="Avoir","Paiement sur un avoir",IF(OR(NOT(ISNUMBER(C366)),N(C366)&lt;=0),"Montant invalide",IF(A366&lt;INDEX(fa_date,MATCH(B366,fa_num,0)),"Date antérieure à la facture",IF(SUMIF($B$6:B366,B366,$C$6:C366)&gt;INDEX(fa_ttc,MATCH(B366,fa_num,0))-N(INDEX(fa_avoirs,MATCH(B366,fa_num,0)))+0.001,"Dépasse le montant de la facture","OK")))))))))</f>
        <v/>
      </c>
    </row>
    <row r="367">
      <c r="A367" s="61" t="n"/>
      <c r="B367" s="60" t="n"/>
      <c r="C367" s="68" t="n"/>
      <c r="D367" s="60" t="n"/>
      <c r="E367" s="63" t="n"/>
      <c r="F367" s="63" t="n"/>
      <c r="G367" s="62" t="str">
        <f>IF(B367="","",IFERROR(INDEX(fa_cname,MATCH(B367,fa_num,0))&amp;"",""))</f>
        <v/>
      </c>
      <c r="H367" s="59" t="str">
        <f>IF(COUNTA(A367:F367)=0,"",IF(A367="","Date manquante",IF(NOT(ISNUMBER(A367)),"Date invalide",IF(B367="","N° de facture manquant",IF(ISNA(MATCH(B367,fa_num,0)),"Facture inconnue",IF(INDEX(fa_type,MATCH(B367,fa_num,0))="Avoir","Paiement sur un avoir",IF(OR(NOT(ISNUMBER(C367)),N(C367)&lt;=0),"Montant invalide",IF(A367&lt;INDEX(fa_date,MATCH(B367,fa_num,0)),"Date antérieure à la facture",IF(SUMIF($B$6:B367,B367,$C$6:C367)&gt;INDEX(fa_ttc,MATCH(B367,fa_num,0))-N(INDEX(fa_avoirs,MATCH(B367,fa_num,0)))+0.001,"Dépasse le montant de la facture","OK")))))))))</f>
        <v/>
      </c>
    </row>
    <row r="368">
      <c r="A368" s="61" t="n"/>
      <c r="B368" s="60" t="n"/>
      <c r="C368" s="68" t="n"/>
      <c r="D368" s="60" t="n"/>
      <c r="E368" s="63" t="n"/>
      <c r="F368" s="63" t="n"/>
      <c r="G368" s="62" t="str">
        <f>IF(B368="","",IFERROR(INDEX(fa_cname,MATCH(B368,fa_num,0))&amp;"",""))</f>
        <v/>
      </c>
      <c r="H368" s="59" t="str">
        <f>IF(COUNTA(A368:F368)=0,"",IF(A368="","Date manquante",IF(NOT(ISNUMBER(A368)),"Date invalide",IF(B368="","N° de facture manquant",IF(ISNA(MATCH(B368,fa_num,0)),"Facture inconnue",IF(INDEX(fa_type,MATCH(B368,fa_num,0))="Avoir","Paiement sur un avoir",IF(OR(NOT(ISNUMBER(C368)),N(C368)&lt;=0),"Montant invalide",IF(A368&lt;INDEX(fa_date,MATCH(B368,fa_num,0)),"Date antérieure à la facture",IF(SUMIF($B$6:B368,B368,$C$6:C368)&gt;INDEX(fa_ttc,MATCH(B368,fa_num,0))-N(INDEX(fa_avoirs,MATCH(B368,fa_num,0)))+0.001,"Dépasse le montant de la facture","OK")))))))))</f>
        <v/>
      </c>
    </row>
    <row r="369">
      <c r="A369" s="61" t="n"/>
      <c r="B369" s="60" t="n"/>
      <c r="C369" s="68" t="n"/>
      <c r="D369" s="60" t="n"/>
      <c r="E369" s="63" t="n"/>
      <c r="F369" s="63" t="n"/>
      <c r="G369" s="62" t="str">
        <f>IF(B369="","",IFERROR(INDEX(fa_cname,MATCH(B369,fa_num,0))&amp;"",""))</f>
        <v/>
      </c>
      <c r="H369" s="59" t="str">
        <f>IF(COUNTA(A369:F369)=0,"",IF(A369="","Date manquante",IF(NOT(ISNUMBER(A369)),"Date invalide",IF(B369="","N° de facture manquant",IF(ISNA(MATCH(B369,fa_num,0)),"Facture inconnue",IF(INDEX(fa_type,MATCH(B369,fa_num,0))="Avoir","Paiement sur un avoir",IF(OR(NOT(ISNUMBER(C369)),N(C369)&lt;=0),"Montant invalide",IF(A369&lt;INDEX(fa_date,MATCH(B369,fa_num,0)),"Date antérieure à la facture",IF(SUMIF($B$6:B369,B369,$C$6:C369)&gt;INDEX(fa_ttc,MATCH(B369,fa_num,0))-N(INDEX(fa_avoirs,MATCH(B369,fa_num,0)))+0.001,"Dépasse le montant de la facture","OK")))))))))</f>
        <v/>
      </c>
    </row>
    <row r="370">
      <c r="A370" s="61" t="n"/>
      <c r="B370" s="60" t="n"/>
      <c r="C370" s="68" t="n"/>
      <c r="D370" s="60" t="n"/>
      <c r="E370" s="63" t="n"/>
      <c r="F370" s="63" t="n"/>
      <c r="G370" s="62" t="str">
        <f>IF(B370="","",IFERROR(INDEX(fa_cname,MATCH(B370,fa_num,0))&amp;"",""))</f>
        <v/>
      </c>
      <c r="H370" s="59" t="str">
        <f>IF(COUNTA(A370:F370)=0,"",IF(A370="","Date manquante",IF(NOT(ISNUMBER(A370)),"Date invalide",IF(B370="","N° de facture manquant",IF(ISNA(MATCH(B370,fa_num,0)),"Facture inconnue",IF(INDEX(fa_type,MATCH(B370,fa_num,0))="Avoir","Paiement sur un avoir",IF(OR(NOT(ISNUMBER(C370)),N(C370)&lt;=0),"Montant invalide",IF(A370&lt;INDEX(fa_date,MATCH(B370,fa_num,0)),"Date antérieure à la facture",IF(SUMIF($B$6:B370,B370,$C$6:C370)&gt;INDEX(fa_ttc,MATCH(B370,fa_num,0))-N(INDEX(fa_avoirs,MATCH(B370,fa_num,0)))+0.001,"Dépasse le montant de la facture","OK")))))))))</f>
        <v/>
      </c>
    </row>
    <row r="371">
      <c r="A371" s="61" t="n"/>
      <c r="B371" s="60" t="n"/>
      <c r="C371" s="68" t="n"/>
      <c r="D371" s="60" t="n"/>
      <c r="E371" s="63" t="n"/>
      <c r="F371" s="63" t="n"/>
      <c r="G371" s="62" t="str">
        <f>IF(B371="","",IFERROR(INDEX(fa_cname,MATCH(B371,fa_num,0))&amp;"",""))</f>
        <v/>
      </c>
      <c r="H371" s="59" t="str">
        <f>IF(COUNTA(A371:F371)=0,"",IF(A371="","Date manquante",IF(NOT(ISNUMBER(A371)),"Date invalide",IF(B371="","N° de facture manquant",IF(ISNA(MATCH(B371,fa_num,0)),"Facture inconnue",IF(INDEX(fa_type,MATCH(B371,fa_num,0))="Avoir","Paiement sur un avoir",IF(OR(NOT(ISNUMBER(C371)),N(C371)&lt;=0),"Montant invalide",IF(A371&lt;INDEX(fa_date,MATCH(B371,fa_num,0)),"Date antérieure à la facture",IF(SUMIF($B$6:B371,B371,$C$6:C371)&gt;INDEX(fa_ttc,MATCH(B371,fa_num,0))-N(INDEX(fa_avoirs,MATCH(B371,fa_num,0)))+0.001,"Dépasse le montant de la facture","OK")))))))))</f>
        <v/>
      </c>
    </row>
    <row r="372">
      <c r="A372" s="61" t="n"/>
      <c r="B372" s="60" t="n"/>
      <c r="C372" s="68" t="n"/>
      <c r="D372" s="60" t="n"/>
      <c r="E372" s="63" t="n"/>
      <c r="F372" s="63" t="n"/>
      <c r="G372" s="62" t="str">
        <f>IF(B372="","",IFERROR(INDEX(fa_cname,MATCH(B372,fa_num,0))&amp;"",""))</f>
        <v/>
      </c>
      <c r="H372" s="59" t="str">
        <f>IF(COUNTA(A372:F372)=0,"",IF(A372="","Date manquante",IF(NOT(ISNUMBER(A372)),"Date invalide",IF(B372="","N° de facture manquant",IF(ISNA(MATCH(B372,fa_num,0)),"Facture inconnue",IF(INDEX(fa_type,MATCH(B372,fa_num,0))="Avoir","Paiement sur un avoir",IF(OR(NOT(ISNUMBER(C372)),N(C372)&lt;=0),"Montant invalide",IF(A372&lt;INDEX(fa_date,MATCH(B372,fa_num,0)),"Date antérieure à la facture",IF(SUMIF($B$6:B372,B372,$C$6:C372)&gt;INDEX(fa_ttc,MATCH(B372,fa_num,0))-N(INDEX(fa_avoirs,MATCH(B372,fa_num,0)))+0.001,"Dépasse le montant de la facture","OK")))))))))</f>
        <v/>
      </c>
    </row>
    <row r="373">
      <c r="A373" s="61" t="n"/>
      <c r="B373" s="60" t="n"/>
      <c r="C373" s="68" t="n"/>
      <c r="D373" s="60" t="n"/>
      <c r="E373" s="63" t="n"/>
      <c r="F373" s="63" t="n"/>
      <c r="G373" s="62" t="str">
        <f>IF(B373="","",IFERROR(INDEX(fa_cname,MATCH(B373,fa_num,0))&amp;"",""))</f>
        <v/>
      </c>
      <c r="H373" s="59" t="str">
        <f>IF(COUNTA(A373:F373)=0,"",IF(A373="","Date manquante",IF(NOT(ISNUMBER(A373)),"Date invalide",IF(B373="","N° de facture manquant",IF(ISNA(MATCH(B373,fa_num,0)),"Facture inconnue",IF(INDEX(fa_type,MATCH(B373,fa_num,0))="Avoir","Paiement sur un avoir",IF(OR(NOT(ISNUMBER(C373)),N(C373)&lt;=0),"Montant invalide",IF(A373&lt;INDEX(fa_date,MATCH(B373,fa_num,0)),"Date antérieure à la facture",IF(SUMIF($B$6:B373,B373,$C$6:C373)&gt;INDEX(fa_ttc,MATCH(B373,fa_num,0))-N(INDEX(fa_avoirs,MATCH(B373,fa_num,0)))+0.001,"Dépasse le montant de la facture","OK")))))))))</f>
        <v/>
      </c>
    </row>
    <row r="374">
      <c r="A374" s="61" t="n"/>
      <c r="B374" s="60" t="n"/>
      <c r="C374" s="68" t="n"/>
      <c r="D374" s="60" t="n"/>
      <c r="E374" s="63" t="n"/>
      <c r="F374" s="63" t="n"/>
      <c r="G374" s="62" t="str">
        <f>IF(B374="","",IFERROR(INDEX(fa_cname,MATCH(B374,fa_num,0))&amp;"",""))</f>
        <v/>
      </c>
      <c r="H374" s="59" t="str">
        <f>IF(COUNTA(A374:F374)=0,"",IF(A374="","Date manquante",IF(NOT(ISNUMBER(A374)),"Date invalide",IF(B374="","N° de facture manquant",IF(ISNA(MATCH(B374,fa_num,0)),"Facture inconnue",IF(INDEX(fa_type,MATCH(B374,fa_num,0))="Avoir","Paiement sur un avoir",IF(OR(NOT(ISNUMBER(C374)),N(C374)&lt;=0),"Montant invalide",IF(A374&lt;INDEX(fa_date,MATCH(B374,fa_num,0)),"Date antérieure à la facture",IF(SUMIF($B$6:B374,B374,$C$6:C374)&gt;INDEX(fa_ttc,MATCH(B374,fa_num,0))-N(INDEX(fa_avoirs,MATCH(B374,fa_num,0)))+0.001,"Dépasse le montant de la facture","OK")))))))))</f>
        <v/>
      </c>
    </row>
    <row r="375">
      <c r="A375" s="61" t="n"/>
      <c r="B375" s="60" t="n"/>
      <c r="C375" s="68" t="n"/>
      <c r="D375" s="60" t="n"/>
      <c r="E375" s="63" t="n"/>
      <c r="F375" s="63" t="n"/>
      <c r="G375" s="62" t="str">
        <f>IF(B375="","",IFERROR(INDEX(fa_cname,MATCH(B375,fa_num,0))&amp;"",""))</f>
        <v/>
      </c>
      <c r="H375" s="59" t="str">
        <f>IF(COUNTA(A375:F375)=0,"",IF(A375="","Date manquante",IF(NOT(ISNUMBER(A375)),"Date invalide",IF(B375="","N° de facture manquant",IF(ISNA(MATCH(B375,fa_num,0)),"Facture inconnue",IF(INDEX(fa_type,MATCH(B375,fa_num,0))="Avoir","Paiement sur un avoir",IF(OR(NOT(ISNUMBER(C375)),N(C375)&lt;=0),"Montant invalide",IF(A375&lt;INDEX(fa_date,MATCH(B375,fa_num,0)),"Date antérieure à la facture",IF(SUMIF($B$6:B375,B375,$C$6:C375)&gt;INDEX(fa_ttc,MATCH(B375,fa_num,0))-N(INDEX(fa_avoirs,MATCH(B375,fa_num,0)))+0.001,"Dépasse le montant de la facture","OK")))))))))</f>
        <v/>
      </c>
    </row>
    <row r="376">
      <c r="A376" s="61" t="n"/>
      <c r="B376" s="60" t="n"/>
      <c r="C376" s="68" t="n"/>
      <c r="D376" s="60" t="n"/>
      <c r="E376" s="63" t="n"/>
      <c r="F376" s="63" t="n"/>
      <c r="G376" s="62" t="str">
        <f>IF(B376="","",IFERROR(INDEX(fa_cname,MATCH(B376,fa_num,0))&amp;"",""))</f>
        <v/>
      </c>
      <c r="H376" s="59" t="str">
        <f>IF(COUNTA(A376:F376)=0,"",IF(A376="","Date manquante",IF(NOT(ISNUMBER(A376)),"Date invalide",IF(B376="","N° de facture manquant",IF(ISNA(MATCH(B376,fa_num,0)),"Facture inconnue",IF(INDEX(fa_type,MATCH(B376,fa_num,0))="Avoir","Paiement sur un avoir",IF(OR(NOT(ISNUMBER(C376)),N(C376)&lt;=0),"Montant invalide",IF(A376&lt;INDEX(fa_date,MATCH(B376,fa_num,0)),"Date antérieure à la facture",IF(SUMIF($B$6:B376,B376,$C$6:C376)&gt;INDEX(fa_ttc,MATCH(B376,fa_num,0))-N(INDEX(fa_avoirs,MATCH(B376,fa_num,0)))+0.001,"Dépasse le montant de la facture","OK")))))))))</f>
        <v/>
      </c>
    </row>
    <row r="377">
      <c r="A377" s="61" t="n"/>
      <c r="B377" s="60" t="n"/>
      <c r="C377" s="68" t="n"/>
      <c r="D377" s="60" t="n"/>
      <c r="E377" s="63" t="n"/>
      <c r="F377" s="63" t="n"/>
      <c r="G377" s="62" t="str">
        <f>IF(B377="","",IFERROR(INDEX(fa_cname,MATCH(B377,fa_num,0))&amp;"",""))</f>
        <v/>
      </c>
      <c r="H377" s="59" t="str">
        <f>IF(COUNTA(A377:F377)=0,"",IF(A377="","Date manquante",IF(NOT(ISNUMBER(A377)),"Date invalide",IF(B377="","N° de facture manquant",IF(ISNA(MATCH(B377,fa_num,0)),"Facture inconnue",IF(INDEX(fa_type,MATCH(B377,fa_num,0))="Avoir","Paiement sur un avoir",IF(OR(NOT(ISNUMBER(C377)),N(C377)&lt;=0),"Montant invalide",IF(A377&lt;INDEX(fa_date,MATCH(B377,fa_num,0)),"Date antérieure à la facture",IF(SUMIF($B$6:B377,B377,$C$6:C377)&gt;INDEX(fa_ttc,MATCH(B377,fa_num,0))-N(INDEX(fa_avoirs,MATCH(B377,fa_num,0)))+0.001,"Dépasse le montant de la facture","OK")))))))))</f>
        <v/>
      </c>
    </row>
    <row r="378">
      <c r="A378" s="61" t="n"/>
      <c r="B378" s="60" t="n"/>
      <c r="C378" s="68" t="n"/>
      <c r="D378" s="60" t="n"/>
      <c r="E378" s="63" t="n"/>
      <c r="F378" s="63" t="n"/>
      <c r="G378" s="62" t="str">
        <f>IF(B378="","",IFERROR(INDEX(fa_cname,MATCH(B378,fa_num,0))&amp;"",""))</f>
        <v/>
      </c>
      <c r="H378" s="59" t="str">
        <f>IF(COUNTA(A378:F378)=0,"",IF(A378="","Date manquante",IF(NOT(ISNUMBER(A378)),"Date invalide",IF(B378="","N° de facture manquant",IF(ISNA(MATCH(B378,fa_num,0)),"Facture inconnue",IF(INDEX(fa_type,MATCH(B378,fa_num,0))="Avoir","Paiement sur un avoir",IF(OR(NOT(ISNUMBER(C378)),N(C378)&lt;=0),"Montant invalide",IF(A378&lt;INDEX(fa_date,MATCH(B378,fa_num,0)),"Date antérieure à la facture",IF(SUMIF($B$6:B378,B378,$C$6:C378)&gt;INDEX(fa_ttc,MATCH(B378,fa_num,0))-N(INDEX(fa_avoirs,MATCH(B378,fa_num,0)))+0.001,"Dépasse le montant de la facture","OK")))))))))</f>
        <v/>
      </c>
    </row>
    <row r="379">
      <c r="A379" s="61" t="n"/>
      <c r="B379" s="60" t="n"/>
      <c r="C379" s="68" t="n"/>
      <c r="D379" s="60" t="n"/>
      <c r="E379" s="63" t="n"/>
      <c r="F379" s="63" t="n"/>
      <c r="G379" s="62" t="str">
        <f>IF(B379="","",IFERROR(INDEX(fa_cname,MATCH(B379,fa_num,0))&amp;"",""))</f>
        <v/>
      </c>
      <c r="H379" s="59" t="str">
        <f>IF(COUNTA(A379:F379)=0,"",IF(A379="","Date manquante",IF(NOT(ISNUMBER(A379)),"Date invalide",IF(B379="","N° de facture manquant",IF(ISNA(MATCH(B379,fa_num,0)),"Facture inconnue",IF(INDEX(fa_type,MATCH(B379,fa_num,0))="Avoir","Paiement sur un avoir",IF(OR(NOT(ISNUMBER(C379)),N(C379)&lt;=0),"Montant invalide",IF(A379&lt;INDEX(fa_date,MATCH(B379,fa_num,0)),"Date antérieure à la facture",IF(SUMIF($B$6:B379,B379,$C$6:C379)&gt;INDEX(fa_ttc,MATCH(B379,fa_num,0))-N(INDEX(fa_avoirs,MATCH(B379,fa_num,0)))+0.001,"Dépasse le montant de la facture","OK")))))))))</f>
        <v/>
      </c>
    </row>
    <row r="380">
      <c r="A380" s="61" t="n"/>
      <c r="B380" s="60" t="n"/>
      <c r="C380" s="68" t="n"/>
      <c r="D380" s="60" t="n"/>
      <c r="E380" s="63" t="n"/>
      <c r="F380" s="63" t="n"/>
      <c r="G380" s="62" t="str">
        <f>IF(B380="","",IFERROR(INDEX(fa_cname,MATCH(B380,fa_num,0))&amp;"",""))</f>
        <v/>
      </c>
      <c r="H380" s="59" t="str">
        <f>IF(COUNTA(A380:F380)=0,"",IF(A380="","Date manquante",IF(NOT(ISNUMBER(A380)),"Date invalide",IF(B380="","N° de facture manquant",IF(ISNA(MATCH(B380,fa_num,0)),"Facture inconnue",IF(INDEX(fa_type,MATCH(B380,fa_num,0))="Avoir","Paiement sur un avoir",IF(OR(NOT(ISNUMBER(C380)),N(C380)&lt;=0),"Montant invalide",IF(A380&lt;INDEX(fa_date,MATCH(B380,fa_num,0)),"Date antérieure à la facture",IF(SUMIF($B$6:B380,B380,$C$6:C380)&gt;INDEX(fa_ttc,MATCH(B380,fa_num,0))-N(INDEX(fa_avoirs,MATCH(B380,fa_num,0)))+0.001,"Dépasse le montant de la facture","OK")))))))))</f>
        <v/>
      </c>
    </row>
    <row r="381">
      <c r="A381" s="61" t="n"/>
      <c r="B381" s="60" t="n"/>
      <c r="C381" s="68" t="n"/>
      <c r="D381" s="60" t="n"/>
      <c r="E381" s="63" t="n"/>
      <c r="F381" s="63" t="n"/>
      <c r="G381" s="62" t="str">
        <f>IF(B381="","",IFERROR(INDEX(fa_cname,MATCH(B381,fa_num,0))&amp;"",""))</f>
        <v/>
      </c>
      <c r="H381" s="59" t="str">
        <f>IF(COUNTA(A381:F381)=0,"",IF(A381="","Date manquante",IF(NOT(ISNUMBER(A381)),"Date invalide",IF(B381="","N° de facture manquant",IF(ISNA(MATCH(B381,fa_num,0)),"Facture inconnue",IF(INDEX(fa_type,MATCH(B381,fa_num,0))="Avoir","Paiement sur un avoir",IF(OR(NOT(ISNUMBER(C381)),N(C381)&lt;=0),"Montant invalide",IF(A381&lt;INDEX(fa_date,MATCH(B381,fa_num,0)),"Date antérieure à la facture",IF(SUMIF($B$6:B381,B381,$C$6:C381)&gt;INDEX(fa_ttc,MATCH(B381,fa_num,0))-N(INDEX(fa_avoirs,MATCH(B381,fa_num,0)))+0.001,"Dépasse le montant de la facture","OK")))))))))</f>
        <v/>
      </c>
    </row>
    <row r="382">
      <c r="A382" s="61" t="n"/>
      <c r="B382" s="60" t="n"/>
      <c r="C382" s="68" t="n"/>
      <c r="D382" s="60" t="n"/>
      <c r="E382" s="63" t="n"/>
      <c r="F382" s="63" t="n"/>
      <c r="G382" s="62" t="str">
        <f>IF(B382="","",IFERROR(INDEX(fa_cname,MATCH(B382,fa_num,0))&amp;"",""))</f>
        <v/>
      </c>
      <c r="H382" s="59" t="str">
        <f>IF(COUNTA(A382:F382)=0,"",IF(A382="","Date manquante",IF(NOT(ISNUMBER(A382)),"Date invalide",IF(B382="","N° de facture manquant",IF(ISNA(MATCH(B382,fa_num,0)),"Facture inconnue",IF(INDEX(fa_type,MATCH(B382,fa_num,0))="Avoir","Paiement sur un avoir",IF(OR(NOT(ISNUMBER(C382)),N(C382)&lt;=0),"Montant invalide",IF(A382&lt;INDEX(fa_date,MATCH(B382,fa_num,0)),"Date antérieure à la facture",IF(SUMIF($B$6:B382,B382,$C$6:C382)&gt;INDEX(fa_ttc,MATCH(B382,fa_num,0))-N(INDEX(fa_avoirs,MATCH(B382,fa_num,0)))+0.001,"Dépasse le montant de la facture","OK")))))))))</f>
        <v/>
      </c>
    </row>
    <row r="383">
      <c r="A383" s="61" t="n"/>
      <c r="B383" s="60" t="n"/>
      <c r="C383" s="68" t="n"/>
      <c r="D383" s="60" t="n"/>
      <c r="E383" s="63" t="n"/>
      <c r="F383" s="63" t="n"/>
      <c r="G383" s="62" t="str">
        <f>IF(B383="","",IFERROR(INDEX(fa_cname,MATCH(B383,fa_num,0))&amp;"",""))</f>
        <v/>
      </c>
      <c r="H383" s="59" t="str">
        <f>IF(COUNTA(A383:F383)=0,"",IF(A383="","Date manquante",IF(NOT(ISNUMBER(A383)),"Date invalide",IF(B383="","N° de facture manquant",IF(ISNA(MATCH(B383,fa_num,0)),"Facture inconnue",IF(INDEX(fa_type,MATCH(B383,fa_num,0))="Avoir","Paiement sur un avoir",IF(OR(NOT(ISNUMBER(C383)),N(C383)&lt;=0),"Montant invalide",IF(A383&lt;INDEX(fa_date,MATCH(B383,fa_num,0)),"Date antérieure à la facture",IF(SUMIF($B$6:B383,B383,$C$6:C383)&gt;INDEX(fa_ttc,MATCH(B383,fa_num,0))-N(INDEX(fa_avoirs,MATCH(B383,fa_num,0)))+0.001,"Dépasse le montant de la facture","OK")))))))))</f>
        <v/>
      </c>
    </row>
    <row r="384">
      <c r="A384" s="61" t="n"/>
      <c r="B384" s="60" t="n"/>
      <c r="C384" s="68" t="n"/>
      <c r="D384" s="60" t="n"/>
      <c r="E384" s="63" t="n"/>
      <c r="F384" s="63" t="n"/>
      <c r="G384" s="62" t="str">
        <f>IF(B384="","",IFERROR(INDEX(fa_cname,MATCH(B384,fa_num,0))&amp;"",""))</f>
        <v/>
      </c>
      <c r="H384" s="59" t="str">
        <f>IF(COUNTA(A384:F384)=0,"",IF(A384="","Date manquante",IF(NOT(ISNUMBER(A384)),"Date invalide",IF(B384="","N° de facture manquant",IF(ISNA(MATCH(B384,fa_num,0)),"Facture inconnue",IF(INDEX(fa_type,MATCH(B384,fa_num,0))="Avoir","Paiement sur un avoir",IF(OR(NOT(ISNUMBER(C384)),N(C384)&lt;=0),"Montant invalide",IF(A384&lt;INDEX(fa_date,MATCH(B384,fa_num,0)),"Date antérieure à la facture",IF(SUMIF($B$6:B384,B384,$C$6:C384)&gt;INDEX(fa_ttc,MATCH(B384,fa_num,0))-N(INDEX(fa_avoirs,MATCH(B384,fa_num,0)))+0.001,"Dépasse le montant de la facture","OK")))))))))</f>
        <v/>
      </c>
    </row>
    <row r="385">
      <c r="A385" s="61" t="n"/>
      <c r="B385" s="60" t="n"/>
      <c r="C385" s="68" t="n"/>
      <c r="D385" s="60" t="n"/>
      <c r="E385" s="63" t="n"/>
      <c r="F385" s="63" t="n"/>
      <c r="G385" s="62" t="str">
        <f>IF(B385="","",IFERROR(INDEX(fa_cname,MATCH(B385,fa_num,0))&amp;"",""))</f>
        <v/>
      </c>
      <c r="H385" s="59" t="str">
        <f>IF(COUNTA(A385:F385)=0,"",IF(A385="","Date manquante",IF(NOT(ISNUMBER(A385)),"Date invalide",IF(B385="","N° de facture manquant",IF(ISNA(MATCH(B385,fa_num,0)),"Facture inconnue",IF(INDEX(fa_type,MATCH(B385,fa_num,0))="Avoir","Paiement sur un avoir",IF(OR(NOT(ISNUMBER(C385)),N(C385)&lt;=0),"Montant invalide",IF(A385&lt;INDEX(fa_date,MATCH(B385,fa_num,0)),"Date antérieure à la facture",IF(SUMIF($B$6:B385,B385,$C$6:C385)&gt;INDEX(fa_ttc,MATCH(B385,fa_num,0))-N(INDEX(fa_avoirs,MATCH(B385,fa_num,0)))+0.001,"Dépasse le montant de la facture","OK")))))))))</f>
        <v/>
      </c>
    </row>
    <row r="386">
      <c r="A386" s="61" t="n"/>
      <c r="B386" s="60" t="n"/>
      <c r="C386" s="68" t="n"/>
      <c r="D386" s="60" t="n"/>
      <c r="E386" s="63" t="n"/>
      <c r="F386" s="63" t="n"/>
      <c r="G386" s="62" t="str">
        <f>IF(B386="","",IFERROR(INDEX(fa_cname,MATCH(B386,fa_num,0))&amp;"",""))</f>
        <v/>
      </c>
      <c r="H386" s="59" t="str">
        <f>IF(COUNTA(A386:F386)=0,"",IF(A386="","Date manquante",IF(NOT(ISNUMBER(A386)),"Date invalide",IF(B386="","N° de facture manquant",IF(ISNA(MATCH(B386,fa_num,0)),"Facture inconnue",IF(INDEX(fa_type,MATCH(B386,fa_num,0))="Avoir","Paiement sur un avoir",IF(OR(NOT(ISNUMBER(C386)),N(C386)&lt;=0),"Montant invalide",IF(A386&lt;INDEX(fa_date,MATCH(B386,fa_num,0)),"Date antérieure à la facture",IF(SUMIF($B$6:B386,B386,$C$6:C386)&gt;INDEX(fa_ttc,MATCH(B386,fa_num,0))-N(INDEX(fa_avoirs,MATCH(B386,fa_num,0)))+0.001,"Dépasse le montant de la facture","OK")))))))))</f>
        <v/>
      </c>
    </row>
    <row r="387">
      <c r="A387" s="61" t="n"/>
      <c r="B387" s="60" t="n"/>
      <c r="C387" s="68" t="n"/>
      <c r="D387" s="60" t="n"/>
      <c r="E387" s="63" t="n"/>
      <c r="F387" s="63" t="n"/>
      <c r="G387" s="62" t="str">
        <f>IF(B387="","",IFERROR(INDEX(fa_cname,MATCH(B387,fa_num,0))&amp;"",""))</f>
        <v/>
      </c>
      <c r="H387" s="59" t="str">
        <f>IF(COUNTA(A387:F387)=0,"",IF(A387="","Date manquante",IF(NOT(ISNUMBER(A387)),"Date invalide",IF(B387="","N° de facture manquant",IF(ISNA(MATCH(B387,fa_num,0)),"Facture inconnue",IF(INDEX(fa_type,MATCH(B387,fa_num,0))="Avoir","Paiement sur un avoir",IF(OR(NOT(ISNUMBER(C387)),N(C387)&lt;=0),"Montant invalide",IF(A387&lt;INDEX(fa_date,MATCH(B387,fa_num,0)),"Date antérieure à la facture",IF(SUMIF($B$6:B387,B387,$C$6:C387)&gt;INDEX(fa_ttc,MATCH(B387,fa_num,0))-N(INDEX(fa_avoirs,MATCH(B387,fa_num,0)))+0.001,"Dépasse le montant de la facture","OK")))))))))</f>
        <v/>
      </c>
    </row>
    <row r="388">
      <c r="A388" s="61" t="n"/>
      <c r="B388" s="60" t="n"/>
      <c r="C388" s="68" t="n"/>
      <c r="D388" s="60" t="n"/>
      <c r="E388" s="63" t="n"/>
      <c r="F388" s="63" t="n"/>
      <c r="G388" s="62" t="str">
        <f>IF(B388="","",IFERROR(INDEX(fa_cname,MATCH(B388,fa_num,0))&amp;"",""))</f>
        <v/>
      </c>
      <c r="H388" s="59" t="str">
        <f>IF(COUNTA(A388:F388)=0,"",IF(A388="","Date manquante",IF(NOT(ISNUMBER(A388)),"Date invalide",IF(B388="","N° de facture manquant",IF(ISNA(MATCH(B388,fa_num,0)),"Facture inconnue",IF(INDEX(fa_type,MATCH(B388,fa_num,0))="Avoir","Paiement sur un avoir",IF(OR(NOT(ISNUMBER(C388)),N(C388)&lt;=0),"Montant invalide",IF(A388&lt;INDEX(fa_date,MATCH(B388,fa_num,0)),"Date antérieure à la facture",IF(SUMIF($B$6:B388,B388,$C$6:C388)&gt;INDEX(fa_ttc,MATCH(B388,fa_num,0))-N(INDEX(fa_avoirs,MATCH(B388,fa_num,0)))+0.001,"Dépasse le montant de la facture","OK")))))))))</f>
        <v/>
      </c>
    </row>
    <row r="389">
      <c r="A389" s="61" t="n"/>
      <c r="B389" s="60" t="n"/>
      <c r="C389" s="68" t="n"/>
      <c r="D389" s="60" t="n"/>
      <c r="E389" s="63" t="n"/>
      <c r="F389" s="63" t="n"/>
      <c r="G389" s="62" t="str">
        <f>IF(B389="","",IFERROR(INDEX(fa_cname,MATCH(B389,fa_num,0))&amp;"",""))</f>
        <v/>
      </c>
      <c r="H389" s="59" t="str">
        <f>IF(COUNTA(A389:F389)=0,"",IF(A389="","Date manquante",IF(NOT(ISNUMBER(A389)),"Date invalide",IF(B389="","N° de facture manquant",IF(ISNA(MATCH(B389,fa_num,0)),"Facture inconnue",IF(INDEX(fa_type,MATCH(B389,fa_num,0))="Avoir","Paiement sur un avoir",IF(OR(NOT(ISNUMBER(C389)),N(C389)&lt;=0),"Montant invalide",IF(A389&lt;INDEX(fa_date,MATCH(B389,fa_num,0)),"Date antérieure à la facture",IF(SUMIF($B$6:B389,B389,$C$6:C389)&gt;INDEX(fa_ttc,MATCH(B389,fa_num,0))-N(INDEX(fa_avoirs,MATCH(B389,fa_num,0)))+0.001,"Dépasse le montant de la facture","OK")))))))))</f>
        <v/>
      </c>
    </row>
    <row r="390">
      <c r="A390" s="61" t="n"/>
      <c r="B390" s="60" t="n"/>
      <c r="C390" s="68" t="n"/>
      <c r="D390" s="60" t="n"/>
      <c r="E390" s="63" t="n"/>
      <c r="F390" s="63" t="n"/>
      <c r="G390" s="62" t="str">
        <f>IF(B390="","",IFERROR(INDEX(fa_cname,MATCH(B390,fa_num,0))&amp;"",""))</f>
        <v/>
      </c>
      <c r="H390" s="59" t="str">
        <f>IF(COUNTA(A390:F390)=0,"",IF(A390="","Date manquante",IF(NOT(ISNUMBER(A390)),"Date invalide",IF(B390="","N° de facture manquant",IF(ISNA(MATCH(B390,fa_num,0)),"Facture inconnue",IF(INDEX(fa_type,MATCH(B390,fa_num,0))="Avoir","Paiement sur un avoir",IF(OR(NOT(ISNUMBER(C390)),N(C390)&lt;=0),"Montant invalide",IF(A390&lt;INDEX(fa_date,MATCH(B390,fa_num,0)),"Date antérieure à la facture",IF(SUMIF($B$6:B390,B390,$C$6:C390)&gt;INDEX(fa_ttc,MATCH(B390,fa_num,0))-N(INDEX(fa_avoirs,MATCH(B390,fa_num,0)))+0.001,"Dépasse le montant de la facture","OK")))))))))</f>
        <v/>
      </c>
    </row>
    <row r="391">
      <c r="A391" s="61" t="n"/>
      <c r="B391" s="60" t="n"/>
      <c r="C391" s="68" t="n"/>
      <c r="D391" s="60" t="n"/>
      <c r="E391" s="63" t="n"/>
      <c r="F391" s="63" t="n"/>
      <c r="G391" s="62" t="str">
        <f>IF(B391="","",IFERROR(INDEX(fa_cname,MATCH(B391,fa_num,0))&amp;"",""))</f>
        <v/>
      </c>
      <c r="H391" s="59" t="str">
        <f>IF(COUNTA(A391:F391)=0,"",IF(A391="","Date manquante",IF(NOT(ISNUMBER(A391)),"Date invalide",IF(B391="","N° de facture manquant",IF(ISNA(MATCH(B391,fa_num,0)),"Facture inconnue",IF(INDEX(fa_type,MATCH(B391,fa_num,0))="Avoir","Paiement sur un avoir",IF(OR(NOT(ISNUMBER(C391)),N(C391)&lt;=0),"Montant invalide",IF(A391&lt;INDEX(fa_date,MATCH(B391,fa_num,0)),"Date antérieure à la facture",IF(SUMIF($B$6:B391,B391,$C$6:C391)&gt;INDEX(fa_ttc,MATCH(B391,fa_num,0))-N(INDEX(fa_avoirs,MATCH(B391,fa_num,0)))+0.001,"Dépasse le montant de la facture","OK")))))))))</f>
        <v/>
      </c>
    </row>
    <row r="392">
      <c r="A392" s="61" t="n"/>
      <c r="B392" s="60" t="n"/>
      <c r="C392" s="68" t="n"/>
      <c r="D392" s="60" t="n"/>
      <c r="E392" s="63" t="n"/>
      <c r="F392" s="63" t="n"/>
      <c r="G392" s="62" t="str">
        <f>IF(B392="","",IFERROR(INDEX(fa_cname,MATCH(B392,fa_num,0))&amp;"",""))</f>
        <v/>
      </c>
      <c r="H392" s="59" t="str">
        <f>IF(COUNTA(A392:F392)=0,"",IF(A392="","Date manquante",IF(NOT(ISNUMBER(A392)),"Date invalide",IF(B392="","N° de facture manquant",IF(ISNA(MATCH(B392,fa_num,0)),"Facture inconnue",IF(INDEX(fa_type,MATCH(B392,fa_num,0))="Avoir","Paiement sur un avoir",IF(OR(NOT(ISNUMBER(C392)),N(C392)&lt;=0),"Montant invalide",IF(A392&lt;INDEX(fa_date,MATCH(B392,fa_num,0)),"Date antérieure à la facture",IF(SUMIF($B$6:B392,B392,$C$6:C392)&gt;INDEX(fa_ttc,MATCH(B392,fa_num,0))-N(INDEX(fa_avoirs,MATCH(B392,fa_num,0)))+0.001,"Dépasse le montant de la facture","OK")))))))))</f>
        <v/>
      </c>
    </row>
    <row r="393">
      <c r="A393" s="61" t="n"/>
      <c r="B393" s="60" t="n"/>
      <c r="C393" s="68" t="n"/>
      <c r="D393" s="60" t="n"/>
      <c r="E393" s="63" t="n"/>
      <c r="F393" s="63" t="n"/>
      <c r="G393" s="62" t="str">
        <f>IF(B393="","",IFERROR(INDEX(fa_cname,MATCH(B393,fa_num,0))&amp;"",""))</f>
        <v/>
      </c>
      <c r="H393" s="59" t="str">
        <f>IF(COUNTA(A393:F393)=0,"",IF(A393="","Date manquante",IF(NOT(ISNUMBER(A393)),"Date invalide",IF(B393="","N° de facture manquant",IF(ISNA(MATCH(B393,fa_num,0)),"Facture inconnue",IF(INDEX(fa_type,MATCH(B393,fa_num,0))="Avoir","Paiement sur un avoir",IF(OR(NOT(ISNUMBER(C393)),N(C393)&lt;=0),"Montant invalide",IF(A393&lt;INDEX(fa_date,MATCH(B393,fa_num,0)),"Date antérieure à la facture",IF(SUMIF($B$6:B393,B393,$C$6:C393)&gt;INDEX(fa_ttc,MATCH(B393,fa_num,0))-N(INDEX(fa_avoirs,MATCH(B393,fa_num,0)))+0.001,"Dépasse le montant de la facture","OK")))))))))</f>
        <v/>
      </c>
    </row>
    <row r="394">
      <c r="A394" s="61" t="n"/>
      <c r="B394" s="60" t="n"/>
      <c r="C394" s="68" t="n"/>
      <c r="D394" s="60" t="n"/>
      <c r="E394" s="63" t="n"/>
      <c r="F394" s="63" t="n"/>
      <c r="G394" s="62" t="str">
        <f>IF(B394="","",IFERROR(INDEX(fa_cname,MATCH(B394,fa_num,0))&amp;"",""))</f>
        <v/>
      </c>
      <c r="H394" s="59" t="str">
        <f>IF(COUNTA(A394:F394)=0,"",IF(A394="","Date manquante",IF(NOT(ISNUMBER(A394)),"Date invalide",IF(B394="","N° de facture manquant",IF(ISNA(MATCH(B394,fa_num,0)),"Facture inconnue",IF(INDEX(fa_type,MATCH(B394,fa_num,0))="Avoir","Paiement sur un avoir",IF(OR(NOT(ISNUMBER(C394)),N(C394)&lt;=0),"Montant invalide",IF(A394&lt;INDEX(fa_date,MATCH(B394,fa_num,0)),"Date antérieure à la facture",IF(SUMIF($B$6:B394,B394,$C$6:C394)&gt;INDEX(fa_ttc,MATCH(B394,fa_num,0))-N(INDEX(fa_avoirs,MATCH(B394,fa_num,0)))+0.001,"Dépasse le montant de la facture","OK")))))))))</f>
        <v/>
      </c>
    </row>
    <row r="395">
      <c r="A395" s="61" t="n"/>
      <c r="B395" s="60" t="n"/>
      <c r="C395" s="68" t="n"/>
      <c r="D395" s="60" t="n"/>
      <c r="E395" s="63" t="n"/>
      <c r="F395" s="63" t="n"/>
      <c r="G395" s="62" t="str">
        <f>IF(B395="","",IFERROR(INDEX(fa_cname,MATCH(B395,fa_num,0))&amp;"",""))</f>
        <v/>
      </c>
      <c r="H395" s="59" t="str">
        <f>IF(COUNTA(A395:F395)=0,"",IF(A395="","Date manquante",IF(NOT(ISNUMBER(A395)),"Date invalide",IF(B395="","N° de facture manquant",IF(ISNA(MATCH(B395,fa_num,0)),"Facture inconnue",IF(INDEX(fa_type,MATCH(B395,fa_num,0))="Avoir","Paiement sur un avoir",IF(OR(NOT(ISNUMBER(C395)),N(C395)&lt;=0),"Montant invalide",IF(A395&lt;INDEX(fa_date,MATCH(B395,fa_num,0)),"Date antérieure à la facture",IF(SUMIF($B$6:B395,B395,$C$6:C395)&gt;INDEX(fa_ttc,MATCH(B395,fa_num,0))-N(INDEX(fa_avoirs,MATCH(B395,fa_num,0)))+0.001,"Dépasse le montant de la facture","OK")))))))))</f>
        <v/>
      </c>
    </row>
    <row r="396">
      <c r="A396" s="61" t="n"/>
      <c r="B396" s="60" t="n"/>
      <c r="C396" s="68" t="n"/>
      <c r="D396" s="60" t="n"/>
      <c r="E396" s="63" t="n"/>
      <c r="F396" s="63" t="n"/>
      <c r="G396" s="62" t="str">
        <f>IF(B396="","",IFERROR(INDEX(fa_cname,MATCH(B396,fa_num,0))&amp;"",""))</f>
        <v/>
      </c>
      <c r="H396" s="59" t="str">
        <f>IF(COUNTA(A396:F396)=0,"",IF(A396="","Date manquante",IF(NOT(ISNUMBER(A396)),"Date invalide",IF(B396="","N° de facture manquant",IF(ISNA(MATCH(B396,fa_num,0)),"Facture inconnue",IF(INDEX(fa_type,MATCH(B396,fa_num,0))="Avoir","Paiement sur un avoir",IF(OR(NOT(ISNUMBER(C396)),N(C396)&lt;=0),"Montant invalide",IF(A396&lt;INDEX(fa_date,MATCH(B396,fa_num,0)),"Date antérieure à la facture",IF(SUMIF($B$6:B396,B396,$C$6:C396)&gt;INDEX(fa_ttc,MATCH(B396,fa_num,0))-N(INDEX(fa_avoirs,MATCH(B396,fa_num,0)))+0.001,"Dépasse le montant de la facture","OK")))))))))</f>
        <v/>
      </c>
    </row>
    <row r="397">
      <c r="A397" s="61" t="n"/>
      <c r="B397" s="60" t="n"/>
      <c r="C397" s="68" t="n"/>
      <c r="D397" s="60" t="n"/>
      <c r="E397" s="63" t="n"/>
      <c r="F397" s="63" t="n"/>
      <c r="G397" s="62" t="str">
        <f>IF(B397="","",IFERROR(INDEX(fa_cname,MATCH(B397,fa_num,0))&amp;"",""))</f>
        <v/>
      </c>
      <c r="H397" s="59" t="str">
        <f>IF(COUNTA(A397:F397)=0,"",IF(A397="","Date manquante",IF(NOT(ISNUMBER(A397)),"Date invalide",IF(B397="","N° de facture manquant",IF(ISNA(MATCH(B397,fa_num,0)),"Facture inconnue",IF(INDEX(fa_type,MATCH(B397,fa_num,0))="Avoir","Paiement sur un avoir",IF(OR(NOT(ISNUMBER(C397)),N(C397)&lt;=0),"Montant invalide",IF(A397&lt;INDEX(fa_date,MATCH(B397,fa_num,0)),"Date antérieure à la facture",IF(SUMIF($B$6:B397,B397,$C$6:C397)&gt;INDEX(fa_ttc,MATCH(B397,fa_num,0))-N(INDEX(fa_avoirs,MATCH(B397,fa_num,0)))+0.001,"Dépasse le montant de la facture","OK")))))))))</f>
        <v/>
      </c>
    </row>
    <row r="398">
      <c r="A398" s="61" t="n"/>
      <c r="B398" s="60" t="n"/>
      <c r="C398" s="68" t="n"/>
      <c r="D398" s="60" t="n"/>
      <c r="E398" s="63" t="n"/>
      <c r="F398" s="63" t="n"/>
      <c r="G398" s="62" t="str">
        <f>IF(B398="","",IFERROR(INDEX(fa_cname,MATCH(B398,fa_num,0))&amp;"",""))</f>
        <v/>
      </c>
      <c r="H398" s="59" t="str">
        <f>IF(COUNTA(A398:F398)=0,"",IF(A398="","Date manquante",IF(NOT(ISNUMBER(A398)),"Date invalide",IF(B398="","N° de facture manquant",IF(ISNA(MATCH(B398,fa_num,0)),"Facture inconnue",IF(INDEX(fa_type,MATCH(B398,fa_num,0))="Avoir","Paiement sur un avoir",IF(OR(NOT(ISNUMBER(C398)),N(C398)&lt;=0),"Montant invalide",IF(A398&lt;INDEX(fa_date,MATCH(B398,fa_num,0)),"Date antérieure à la facture",IF(SUMIF($B$6:B398,B398,$C$6:C398)&gt;INDEX(fa_ttc,MATCH(B398,fa_num,0))-N(INDEX(fa_avoirs,MATCH(B398,fa_num,0)))+0.001,"Dépasse le montant de la facture","OK")))))))))</f>
        <v/>
      </c>
    </row>
    <row r="399">
      <c r="A399" s="61" t="n"/>
      <c r="B399" s="60" t="n"/>
      <c r="C399" s="68" t="n"/>
      <c r="D399" s="60" t="n"/>
      <c r="E399" s="63" t="n"/>
      <c r="F399" s="63" t="n"/>
      <c r="G399" s="62" t="str">
        <f>IF(B399="","",IFERROR(INDEX(fa_cname,MATCH(B399,fa_num,0))&amp;"",""))</f>
        <v/>
      </c>
      <c r="H399" s="59" t="str">
        <f>IF(COUNTA(A399:F399)=0,"",IF(A399="","Date manquante",IF(NOT(ISNUMBER(A399)),"Date invalide",IF(B399="","N° de facture manquant",IF(ISNA(MATCH(B399,fa_num,0)),"Facture inconnue",IF(INDEX(fa_type,MATCH(B399,fa_num,0))="Avoir","Paiement sur un avoir",IF(OR(NOT(ISNUMBER(C399)),N(C399)&lt;=0),"Montant invalide",IF(A399&lt;INDEX(fa_date,MATCH(B399,fa_num,0)),"Date antérieure à la facture",IF(SUMIF($B$6:B399,B399,$C$6:C399)&gt;INDEX(fa_ttc,MATCH(B399,fa_num,0))-N(INDEX(fa_avoirs,MATCH(B399,fa_num,0)))+0.001,"Dépasse le montant de la facture","OK")))))))))</f>
        <v/>
      </c>
    </row>
    <row r="400">
      <c r="A400" s="61" t="n"/>
      <c r="B400" s="60" t="n"/>
      <c r="C400" s="68" t="n"/>
      <c r="D400" s="60" t="n"/>
      <c r="E400" s="63" t="n"/>
      <c r="F400" s="63" t="n"/>
      <c r="G400" s="62" t="str">
        <f>IF(B400="","",IFERROR(INDEX(fa_cname,MATCH(B400,fa_num,0))&amp;"",""))</f>
        <v/>
      </c>
      <c r="H400" s="59" t="str">
        <f>IF(COUNTA(A400:F400)=0,"",IF(A400="","Date manquante",IF(NOT(ISNUMBER(A400)),"Date invalide",IF(B400="","N° de facture manquant",IF(ISNA(MATCH(B400,fa_num,0)),"Facture inconnue",IF(INDEX(fa_type,MATCH(B400,fa_num,0))="Avoir","Paiement sur un avoir",IF(OR(NOT(ISNUMBER(C400)),N(C400)&lt;=0),"Montant invalide",IF(A400&lt;INDEX(fa_date,MATCH(B400,fa_num,0)),"Date antérieure à la facture",IF(SUMIF($B$6:B400,B400,$C$6:C400)&gt;INDEX(fa_ttc,MATCH(B400,fa_num,0))-N(INDEX(fa_avoirs,MATCH(B400,fa_num,0)))+0.001,"Dépasse le montant de la facture","OK")))))))))</f>
        <v/>
      </c>
    </row>
    <row r="401">
      <c r="A401" s="61" t="n"/>
      <c r="B401" s="60" t="n"/>
      <c r="C401" s="68" t="n"/>
      <c r="D401" s="60" t="n"/>
      <c r="E401" s="63" t="n"/>
      <c r="F401" s="63" t="n"/>
      <c r="G401" s="62" t="str">
        <f>IF(B401="","",IFERROR(INDEX(fa_cname,MATCH(B401,fa_num,0))&amp;"",""))</f>
        <v/>
      </c>
      <c r="H401" s="59" t="str">
        <f>IF(COUNTA(A401:F401)=0,"",IF(A401="","Date manquante",IF(NOT(ISNUMBER(A401)),"Date invalide",IF(B401="","N° de facture manquant",IF(ISNA(MATCH(B401,fa_num,0)),"Facture inconnue",IF(INDEX(fa_type,MATCH(B401,fa_num,0))="Avoir","Paiement sur un avoir",IF(OR(NOT(ISNUMBER(C401)),N(C401)&lt;=0),"Montant invalide",IF(A401&lt;INDEX(fa_date,MATCH(B401,fa_num,0)),"Date antérieure à la facture",IF(SUMIF($B$6:B401,B401,$C$6:C401)&gt;INDEX(fa_ttc,MATCH(B401,fa_num,0))-N(INDEX(fa_avoirs,MATCH(B401,fa_num,0)))+0.001,"Dépasse le montant de la facture","OK")))))))))</f>
        <v/>
      </c>
    </row>
    <row r="402">
      <c r="A402" s="61" t="n"/>
      <c r="B402" s="60" t="n"/>
      <c r="C402" s="68" t="n"/>
      <c r="D402" s="60" t="n"/>
      <c r="E402" s="63" t="n"/>
      <c r="F402" s="63" t="n"/>
      <c r="G402" s="62" t="str">
        <f>IF(B402="","",IFERROR(INDEX(fa_cname,MATCH(B402,fa_num,0))&amp;"",""))</f>
        <v/>
      </c>
      <c r="H402" s="59" t="str">
        <f>IF(COUNTA(A402:F402)=0,"",IF(A402="","Date manquante",IF(NOT(ISNUMBER(A402)),"Date invalide",IF(B402="","N° de facture manquant",IF(ISNA(MATCH(B402,fa_num,0)),"Facture inconnue",IF(INDEX(fa_type,MATCH(B402,fa_num,0))="Avoir","Paiement sur un avoir",IF(OR(NOT(ISNUMBER(C402)),N(C402)&lt;=0),"Montant invalide",IF(A402&lt;INDEX(fa_date,MATCH(B402,fa_num,0)),"Date antérieure à la facture",IF(SUMIF($B$6:B402,B402,$C$6:C402)&gt;INDEX(fa_ttc,MATCH(B402,fa_num,0))-N(INDEX(fa_avoirs,MATCH(B402,fa_num,0)))+0.001,"Dépasse le montant de la facture","OK")))))))))</f>
        <v/>
      </c>
    </row>
    <row r="403">
      <c r="A403" s="61" t="n"/>
      <c r="B403" s="60" t="n"/>
      <c r="C403" s="68" t="n"/>
      <c r="D403" s="60" t="n"/>
      <c r="E403" s="63" t="n"/>
      <c r="F403" s="63" t="n"/>
      <c r="G403" s="62" t="str">
        <f>IF(B403="","",IFERROR(INDEX(fa_cname,MATCH(B403,fa_num,0))&amp;"",""))</f>
        <v/>
      </c>
      <c r="H403" s="59" t="str">
        <f>IF(COUNTA(A403:F403)=0,"",IF(A403="","Date manquante",IF(NOT(ISNUMBER(A403)),"Date invalide",IF(B403="","N° de facture manquant",IF(ISNA(MATCH(B403,fa_num,0)),"Facture inconnue",IF(INDEX(fa_type,MATCH(B403,fa_num,0))="Avoir","Paiement sur un avoir",IF(OR(NOT(ISNUMBER(C403)),N(C403)&lt;=0),"Montant invalide",IF(A403&lt;INDEX(fa_date,MATCH(B403,fa_num,0)),"Date antérieure à la facture",IF(SUMIF($B$6:B403,B403,$C$6:C403)&gt;INDEX(fa_ttc,MATCH(B403,fa_num,0))-N(INDEX(fa_avoirs,MATCH(B403,fa_num,0)))+0.001,"Dépasse le montant de la facture","OK")))))))))</f>
        <v/>
      </c>
    </row>
    <row r="404">
      <c r="A404" s="61" t="n"/>
      <c r="B404" s="60" t="n"/>
      <c r="C404" s="68" t="n"/>
      <c r="D404" s="60" t="n"/>
      <c r="E404" s="63" t="n"/>
      <c r="F404" s="63" t="n"/>
      <c r="G404" s="62" t="str">
        <f>IF(B404="","",IFERROR(INDEX(fa_cname,MATCH(B404,fa_num,0))&amp;"",""))</f>
        <v/>
      </c>
      <c r="H404" s="59" t="str">
        <f>IF(COUNTA(A404:F404)=0,"",IF(A404="","Date manquante",IF(NOT(ISNUMBER(A404)),"Date invalide",IF(B404="","N° de facture manquant",IF(ISNA(MATCH(B404,fa_num,0)),"Facture inconnue",IF(INDEX(fa_type,MATCH(B404,fa_num,0))="Avoir","Paiement sur un avoir",IF(OR(NOT(ISNUMBER(C404)),N(C404)&lt;=0),"Montant invalide",IF(A404&lt;INDEX(fa_date,MATCH(B404,fa_num,0)),"Date antérieure à la facture",IF(SUMIF($B$6:B404,B404,$C$6:C404)&gt;INDEX(fa_ttc,MATCH(B404,fa_num,0))-N(INDEX(fa_avoirs,MATCH(B404,fa_num,0)))+0.001,"Dépasse le montant de la facture","OK")))))))))</f>
        <v/>
      </c>
    </row>
    <row r="405">
      <c r="A405" s="61" t="n"/>
      <c r="B405" s="60" t="n"/>
      <c r="C405" s="68" t="n"/>
      <c r="D405" s="60" t="n"/>
      <c r="E405" s="63" t="n"/>
      <c r="F405" s="63" t="n"/>
      <c r="G405" s="62" t="str">
        <f>IF(B405="","",IFERROR(INDEX(fa_cname,MATCH(B405,fa_num,0))&amp;"",""))</f>
        <v/>
      </c>
      <c r="H405" s="59" t="str">
        <f>IF(COUNTA(A405:F405)=0,"",IF(A405="","Date manquante",IF(NOT(ISNUMBER(A405)),"Date invalide",IF(B405="","N° de facture manquant",IF(ISNA(MATCH(B405,fa_num,0)),"Facture inconnue",IF(INDEX(fa_type,MATCH(B405,fa_num,0))="Avoir","Paiement sur un avoir",IF(OR(NOT(ISNUMBER(C405)),N(C405)&lt;=0),"Montant invalide",IF(A405&lt;INDEX(fa_date,MATCH(B405,fa_num,0)),"Date antérieure à la facture",IF(SUMIF($B$6:B405,B405,$C$6:C405)&gt;INDEX(fa_ttc,MATCH(B405,fa_num,0))-N(INDEX(fa_avoirs,MATCH(B405,fa_num,0)))+0.001,"Dépasse le montant de la facture","OK")))))))))</f>
        <v/>
      </c>
    </row>
    <row r="406">
      <c r="A406" s="61" t="n"/>
      <c r="B406" s="60" t="n"/>
      <c r="C406" s="68" t="n"/>
      <c r="D406" s="60" t="n"/>
      <c r="E406" s="63" t="n"/>
      <c r="F406" s="63" t="n"/>
      <c r="G406" s="62" t="str">
        <f>IF(B406="","",IFERROR(INDEX(fa_cname,MATCH(B406,fa_num,0))&amp;"",""))</f>
        <v/>
      </c>
      <c r="H406" s="59" t="str">
        <f>IF(COUNTA(A406:F406)=0,"",IF(A406="","Date manquante",IF(NOT(ISNUMBER(A406)),"Date invalide",IF(B406="","N° de facture manquant",IF(ISNA(MATCH(B406,fa_num,0)),"Facture inconnue",IF(INDEX(fa_type,MATCH(B406,fa_num,0))="Avoir","Paiement sur un avoir",IF(OR(NOT(ISNUMBER(C406)),N(C406)&lt;=0),"Montant invalide",IF(A406&lt;INDEX(fa_date,MATCH(B406,fa_num,0)),"Date antérieure à la facture",IF(SUMIF($B$6:B406,B406,$C$6:C406)&gt;INDEX(fa_ttc,MATCH(B406,fa_num,0))-N(INDEX(fa_avoirs,MATCH(B406,fa_num,0)))+0.001,"Dépasse le montant de la facture","OK")))))))))</f>
        <v/>
      </c>
    </row>
    <row r="407">
      <c r="A407" s="61" t="n"/>
      <c r="B407" s="60" t="n"/>
      <c r="C407" s="68" t="n"/>
      <c r="D407" s="60" t="n"/>
      <c r="E407" s="63" t="n"/>
      <c r="F407" s="63" t="n"/>
      <c r="G407" s="62" t="str">
        <f>IF(B407="","",IFERROR(INDEX(fa_cname,MATCH(B407,fa_num,0))&amp;"",""))</f>
        <v/>
      </c>
      <c r="H407" s="59" t="str">
        <f>IF(COUNTA(A407:F407)=0,"",IF(A407="","Date manquante",IF(NOT(ISNUMBER(A407)),"Date invalide",IF(B407="","N° de facture manquant",IF(ISNA(MATCH(B407,fa_num,0)),"Facture inconnue",IF(INDEX(fa_type,MATCH(B407,fa_num,0))="Avoir","Paiement sur un avoir",IF(OR(NOT(ISNUMBER(C407)),N(C407)&lt;=0),"Montant invalide",IF(A407&lt;INDEX(fa_date,MATCH(B407,fa_num,0)),"Date antérieure à la facture",IF(SUMIF($B$6:B407,B407,$C$6:C407)&gt;INDEX(fa_ttc,MATCH(B407,fa_num,0))-N(INDEX(fa_avoirs,MATCH(B407,fa_num,0)))+0.001,"Dépasse le montant de la facture","OK")))))))))</f>
        <v/>
      </c>
    </row>
    <row r="408">
      <c r="A408" s="61" t="n"/>
      <c r="B408" s="60" t="n"/>
      <c r="C408" s="68" t="n"/>
      <c r="D408" s="60" t="n"/>
      <c r="E408" s="63" t="n"/>
      <c r="F408" s="63" t="n"/>
      <c r="G408" s="62" t="str">
        <f>IF(B408="","",IFERROR(INDEX(fa_cname,MATCH(B408,fa_num,0))&amp;"",""))</f>
        <v/>
      </c>
      <c r="H408" s="59" t="str">
        <f>IF(COUNTA(A408:F408)=0,"",IF(A408="","Date manquante",IF(NOT(ISNUMBER(A408)),"Date invalide",IF(B408="","N° de facture manquant",IF(ISNA(MATCH(B408,fa_num,0)),"Facture inconnue",IF(INDEX(fa_type,MATCH(B408,fa_num,0))="Avoir","Paiement sur un avoir",IF(OR(NOT(ISNUMBER(C408)),N(C408)&lt;=0),"Montant invalide",IF(A408&lt;INDEX(fa_date,MATCH(B408,fa_num,0)),"Date antérieure à la facture",IF(SUMIF($B$6:B408,B408,$C$6:C408)&gt;INDEX(fa_ttc,MATCH(B408,fa_num,0))-N(INDEX(fa_avoirs,MATCH(B408,fa_num,0)))+0.001,"Dépasse le montant de la facture","OK")))))))))</f>
        <v/>
      </c>
    </row>
    <row r="409">
      <c r="A409" s="61" t="n"/>
      <c r="B409" s="60" t="n"/>
      <c r="C409" s="68" t="n"/>
      <c r="D409" s="60" t="n"/>
      <c r="E409" s="63" t="n"/>
      <c r="F409" s="63" t="n"/>
      <c r="G409" s="62" t="str">
        <f>IF(B409="","",IFERROR(INDEX(fa_cname,MATCH(B409,fa_num,0))&amp;"",""))</f>
        <v/>
      </c>
      <c r="H409" s="59" t="str">
        <f>IF(COUNTA(A409:F409)=0,"",IF(A409="","Date manquante",IF(NOT(ISNUMBER(A409)),"Date invalide",IF(B409="","N° de facture manquant",IF(ISNA(MATCH(B409,fa_num,0)),"Facture inconnue",IF(INDEX(fa_type,MATCH(B409,fa_num,0))="Avoir","Paiement sur un avoir",IF(OR(NOT(ISNUMBER(C409)),N(C409)&lt;=0),"Montant invalide",IF(A409&lt;INDEX(fa_date,MATCH(B409,fa_num,0)),"Date antérieure à la facture",IF(SUMIF($B$6:B409,B409,$C$6:C409)&gt;INDEX(fa_ttc,MATCH(B409,fa_num,0))-N(INDEX(fa_avoirs,MATCH(B409,fa_num,0)))+0.001,"Dépasse le montant de la facture","OK")))))))))</f>
        <v/>
      </c>
    </row>
    <row r="410">
      <c r="A410" s="61" t="n"/>
      <c r="B410" s="60" t="n"/>
      <c r="C410" s="68" t="n"/>
      <c r="D410" s="60" t="n"/>
      <c r="E410" s="63" t="n"/>
      <c r="F410" s="63" t="n"/>
      <c r="G410" s="62" t="str">
        <f>IF(B410="","",IFERROR(INDEX(fa_cname,MATCH(B410,fa_num,0))&amp;"",""))</f>
        <v/>
      </c>
      <c r="H410" s="59" t="str">
        <f>IF(COUNTA(A410:F410)=0,"",IF(A410="","Date manquante",IF(NOT(ISNUMBER(A410)),"Date invalide",IF(B410="","N° de facture manquant",IF(ISNA(MATCH(B410,fa_num,0)),"Facture inconnue",IF(INDEX(fa_type,MATCH(B410,fa_num,0))="Avoir","Paiement sur un avoir",IF(OR(NOT(ISNUMBER(C410)),N(C410)&lt;=0),"Montant invalide",IF(A410&lt;INDEX(fa_date,MATCH(B410,fa_num,0)),"Date antérieure à la facture",IF(SUMIF($B$6:B410,B410,$C$6:C410)&gt;INDEX(fa_ttc,MATCH(B410,fa_num,0))-N(INDEX(fa_avoirs,MATCH(B410,fa_num,0)))+0.001,"Dépasse le montant de la facture","OK")))))))))</f>
        <v/>
      </c>
    </row>
    <row r="411">
      <c r="A411" s="61" t="n"/>
      <c r="B411" s="60" t="n"/>
      <c r="C411" s="68" t="n"/>
      <c r="D411" s="60" t="n"/>
      <c r="E411" s="63" t="n"/>
      <c r="F411" s="63" t="n"/>
      <c r="G411" s="62" t="str">
        <f>IF(B411="","",IFERROR(INDEX(fa_cname,MATCH(B411,fa_num,0))&amp;"",""))</f>
        <v/>
      </c>
      <c r="H411" s="59" t="str">
        <f>IF(COUNTA(A411:F411)=0,"",IF(A411="","Date manquante",IF(NOT(ISNUMBER(A411)),"Date invalide",IF(B411="","N° de facture manquant",IF(ISNA(MATCH(B411,fa_num,0)),"Facture inconnue",IF(INDEX(fa_type,MATCH(B411,fa_num,0))="Avoir","Paiement sur un avoir",IF(OR(NOT(ISNUMBER(C411)),N(C411)&lt;=0),"Montant invalide",IF(A411&lt;INDEX(fa_date,MATCH(B411,fa_num,0)),"Date antérieure à la facture",IF(SUMIF($B$6:B411,B411,$C$6:C411)&gt;INDEX(fa_ttc,MATCH(B411,fa_num,0))-N(INDEX(fa_avoirs,MATCH(B411,fa_num,0)))+0.001,"Dépasse le montant de la facture","OK")))))))))</f>
        <v/>
      </c>
    </row>
    <row r="412">
      <c r="A412" s="61" t="n"/>
      <c r="B412" s="60" t="n"/>
      <c r="C412" s="68" t="n"/>
      <c r="D412" s="60" t="n"/>
      <c r="E412" s="63" t="n"/>
      <c r="F412" s="63" t="n"/>
      <c r="G412" s="62" t="str">
        <f>IF(B412="","",IFERROR(INDEX(fa_cname,MATCH(B412,fa_num,0))&amp;"",""))</f>
        <v/>
      </c>
      <c r="H412" s="59" t="str">
        <f>IF(COUNTA(A412:F412)=0,"",IF(A412="","Date manquante",IF(NOT(ISNUMBER(A412)),"Date invalide",IF(B412="","N° de facture manquant",IF(ISNA(MATCH(B412,fa_num,0)),"Facture inconnue",IF(INDEX(fa_type,MATCH(B412,fa_num,0))="Avoir","Paiement sur un avoir",IF(OR(NOT(ISNUMBER(C412)),N(C412)&lt;=0),"Montant invalide",IF(A412&lt;INDEX(fa_date,MATCH(B412,fa_num,0)),"Date antérieure à la facture",IF(SUMIF($B$6:B412,B412,$C$6:C412)&gt;INDEX(fa_ttc,MATCH(B412,fa_num,0))-N(INDEX(fa_avoirs,MATCH(B412,fa_num,0)))+0.001,"Dépasse le montant de la facture","OK")))))))))</f>
        <v/>
      </c>
    </row>
    <row r="413">
      <c r="A413" s="61" t="n"/>
      <c r="B413" s="60" t="n"/>
      <c r="C413" s="68" t="n"/>
      <c r="D413" s="60" t="n"/>
      <c r="E413" s="63" t="n"/>
      <c r="F413" s="63" t="n"/>
      <c r="G413" s="62" t="str">
        <f>IF(B413="","",IFERROR(INDEX(fa_cname,MATCH(B413,fa_num,0))&amp;"",""))</f>
        <v/>
      </c>
      <c r="H413" s="59" t="str">
        <f>IF(COUNTA(A413:F413)=0,"",IF(A413="","Date manquante",IF(NOT(ISNUMBER(A413)),"Date invalide",IF(B413="","N° de facture manquant",IF(ISNA(MATCH(B413,fa_num,0)),"Facture inconnue",IF(INDEX(fa_type,MATCH(B413,fa_num,0))="Avoir","Paiement sur un avoir",IF(OR(NOT(ISNUMBER(C413)),N(C413)&lt;=0),"Montant invalide",IF(A413&lt;INDEX(fa_date,MATCH(B413,fa_num,0)),"Date antérieure à la facture",IF(SUMIF($B$6:B413,B413,$C$6:C413)&gt;INDEX(fa_ttc,MATCH(B413,fa_num,0))-N(INDEX(fa_avoirs,MATCH(B413,fa_num,0)))+0.001,"Dépasse le montant de la facture","OK")))))))))</f>
        <v/>
      </c>
    </row>
    <row r="414">
      <c r="A414" s="61" t="n"/>
      <c r="B414" s="60" t="n"/>
      <c r="C414" s="68" t="n"/>
      <c r="D414" s="60" t="n"/>
      <c r="E414" s="63" t="n"/>
      <c r="F414" s="63" t="n"/>
      <c r="G414" s="62" t="str">
        <f>IF(B414="","",IFERROR(INDEX(fa_cname,MATCH(B414,fa_num,0))&amp;"",""))</f>
        <v/>
      </c>
      <c r="H414" s="59" t="str">
        <f>IF(COUNTA(A414:F414)=0,"",IF(A414="","Date manquante",IF(NOT(ISNUMBER(A414)),"Date invalide",IF(B414="","N° de facture manquant",IF(ISNA(MATCH(B414,fa_num,0)),"Facture inconnue",IF(INDEX(fa_type,MATCH(B414,fa_num,0))="Avoir","Paiement sur un avoir",IF(OR(NOT(ISNUMBER(C414)),N(C414)&lt;=0),"Montant invalide",IF(A414&lt;INDEX(fa_date,MATCH(B414,fa_num,0)),"Date antérieure à la facture",IF(SUMIF($B$6:B414,B414,$C$6:C414)&gt;INDEX(fa_ttc,MATCH(B414,fa_num,0))-N(INDEX(fa_avoirs,MATCH(B414,fa_num,0)))+0.001,"Dépasse le montant de la facture","OK")))))))))</f>
        <v/>
      </c>
    </row>
    <row r="415">
      <c r="A415" s="61" t="n"/>
      <c r="B415" s="60" t="n"/>
      <c r="C415" s="68" t="n"/>
      <c r="D415" s="60" t="n"/>
      <c r="E415" s="63" t="n"/>
      <c r="F415" s="63" t="n"/>
      <c r="G415" s="62" t="str">
        <f>IF(B415="","",IFERROR(INDEX(fa_cname,MATCH(B415,fa_num,0))&amp;"",""))</f>
        <v/>
      </c>
      <c r="H415" s="59" t="str">
        <f>IF(COUNTA(A415:F415)=0,"",IF(A415="","Date manquante",IF(NOT(ISNUMBER(A415)),"Date invalide",IF(B415="","N° de facture manquant",IF(ISNA(MATCH(B415,fa_num,0)),"Facture inconnue",IF(INDEX(fa_type,MATCH(B415,fa_num,0))="Avoir","Paiement sur un avoir",IF(OR(NOT(ISNUMBER(C415)),N(C415)&lt;=0),"Montant invalide",IF(A415&lt;INDEX(fa_date,MATCH(B415,fa_num,0)),"Date antérieure à la facture",IF(SUMIF($B$6:B415,B415,$C$6:C415)&gt;INDEX(fa_ttc,MATCH(B415,fa_num,0))-N(INDEX(fa_avoirs,MATCH(B415,fa_num,0)))+0.001,"Dépasse le montant de la facture","OK")))))))))</f>
        <v/>
      </c>
    </row>
    <row r="416">
      <c r="A416" s="61" t="n"/>
      <c r="B416" s="60" t="n"/>
      <c r="C416" s="68" t="n"/>
      <c r="D416" s="60" t="n"/>
      <c r="E416" s="63" t="n"/>
      <c r="F416" s="63" t="n"/>
      <c r="G416" s="62" t="str">
        <f>IF(B416="","",IFERROR(INDEX(fa_cname,MATCH(B416,fa_num,0))&amp;"",""))</f>
        <v/>
      </c>
      <c r="H416" s="59" t="str">
        <f>IF(COUNTA(A416:F416)=0,"",IF(A416="","Date manquante",IF(NOT(ISNUMBER(A416)),"Date invalide",IF(B416="","N° de facture manquant",IF(ISNA(MATCH(B416,fa_num,0)),"Facture inconnue",IF(INDEX(fa_type,MATCH(B416,fa_num,0))="Avoir","Paiement sur un avoir",IF(OR(NOT(ISNUMBER(C416)),N(C416)&lt;=0),"Montant invalide",IF(A416&lt;INDEX(fa_date,MATCH(B416,fa_num,0)),"Date antérieure à la facture",IF(SUMIF($B$6:B416,B416,$C$6:C416)&gt;INDEX(fa_ttc,MATCH(B416,fa_num,0))-N(INDEX(fa_avoirs,MATCH(B416,fa_num,0)))+0.001,"Dépasse le montant de la facture","OK")))))))))</f>
        <v/>
      </c>
    </row>
    <row r="417">
      <c r="A417" s="61" t="n"/>
      <c r="B417" s="60" t="n"/>
      <c r="C417" s="68" t="n"/>
      <c r="D417" s="60" t="n"/>
      <c r="E417" s="63" t="n"/>
      <c r="F417" s="63" t="n"/>
      <c r="G417" s="62" t="str">
        <f>IF(B417="","",IFERROR(INDEX(fa_cname,MATCH(B417,fa_num,0))&amp;"",""))</f>
        <v/>
      </c>
      <c r="H417" s="59" t="str">
        <f>IF(COUNTA(A417:F417)=0,"",IF(A417="","Date manquante",IF(NOT(ISNUMBER(A417)),"Date invalide",IF(B417="","N° de facture manquant",IF(ISNA(MATCH(B417,fa_num,0)),"Facture inconnue",IF(INDEX(fa_type,MATCH(B417,fa_num,0))="Avoir","Paiement sur un avoir",IF(OR(NOT(ISNUMBER(C417)),N(C417)&lt;=0),"Montant invalide",IF(A417&lt;INDEX(fa_date,MATCH(B417,fa_num,0)),"Date antérieure à la facture",IF(SUMIF($B$6:B417,B417,$C$6:C417)&gt;INDEX(fa_ttc,MATCH(B417,fa_num,0))-N(INDEX(fa_avoirs,MATCH(B417,fa_num,0)))+0.001,"Dépasse le montant de la facture","OK")))))))))</f>
        <v/>
      </c>
    </row>
    <row r="418">
      <c r="A418" s="61" t="n"/>
      <c r="B418" s="60" t="n"/>
      <c r="C418" s="68" t="n"/>
      <c r="D418" s="60" t="n"/>
      <c r="E418" s="63" t="n"/>
      <c r="F418" s="63" t="n"/>
      <c r="G418" s="62" t="str">
        <f>IF(B418="","",IFERROR(INDEX(fa_cname,MATCH(B418,fa_num,0))&amp;"",""))</f>
        <v/>
      </c>
      <c r="H418" s="59" t="str">
        <f>IF(COUNTA(A418:F418)=0,"",IF(A418="","Date manquante",IF(NOT(ISNUMBER(A418)),"Date invalide",IF(B418="","N° de facture manquant",IF(ISNA(MATCH(B418,fa_num,0)),"Facture inconnue",IF(INDEX(fa_type,MATCH(B418,fa_num,0))="Avoir","Paiement sur un avoir",IF(OR(NOT(ISNUMBER(C418)),N(C418)&lt;=0),"Montant invalide",IF(A418&lt;INDEX(fa_date,MATCH(B418,fa_num,0)),"Date antérieure à la facture",IF(SUMIF($B$6:B418,B418,$C$6:C418)&gt;INDEX(fa_ttc,MATCH(B418,fa_num,0))-N(INDEX(fa_avoirs,MATCH(B418,fa_num,0)))+0.001,"Dépasse le montant de la facture","OK")))))))))</f>
        <v/>
      </c>
    </row>
    <row r="419">
      <c r="A419" s="61" t="n"/>
      <c r="B419" s="60" t="n"/>
      <c r="C419" s="68" t="n"/>
      <c r="D419" s="60" t="n"/>
      <c r="E419" s="63" t="n"/>
      <c r="F419" s="63" t="n"/>
      <c r="G419" s="62" t="str">
        <f>IF(B419="","",IFERROR(INDEX(fa_cname,MATCH(B419,fa_num,0))&amp;"",""))</f>
        <v/>
      </c>
      <c r="H419" s="59" t="str">
        <f>IF(COUNTA(A419:F419)=0,"",IF(A419="","Date manquante",IF(NOT(ISNUMBER(A419)),"Date invalide",IF(B419="","N° de facture manquant",IF(ISNA(MATCH(B419,fa_num,0)),"Facture inconnue",IF(INDEX(fa_type,MATCH(B419,fa_num,0))="Avoir","Paiement sur un avoir",IF(OR(NOT(ISNUMBER(C419)),N(C419)&lt;=0),"Montant invalide",IF(A419&lt;INDEX(fa_date,MATCH(B419,fa_num,0)),"Date antérieure à la facture",IF(SUMIF($B$6:B419,B419,$C$6:C419)&gt;INDEX(fa_ttc,MATCH(B419,fa_num,0))-N(INDEX(fa_avoirs,MATCH(B419,fa_num,0)))+0.001,"Dépasse le montant de la facture","OK")))))))))</f>
        <v/>
      </c>
    </row>
    <row r="420">
      <c r="A420" s="61" t="n"/>
      <c r="B420" s="60" t="n"/>
      <c r="C420" s="68" t="n"/>
      <c r="D420" s="60" t="n"/>
      <c r="E420" s="63" t="n"/>
      <c r="F420" s="63" t="n"/>
      <c r="G420" s="62" t="str">
        <f>IF(B420="","",IFERROR(INDEX(fa_cname,MATCH(B420,fa_num,0))&amp;"",""))</f>
        <v/>
      </c>
      <c r="H420" s="59" t="str">
        <f>IF(COUNTA(A420:F420)=0,"",IF(A420="","Date manquante",IF(NOT(ISNUMBER(A420)),"Date invalide",IF(B420="","N° de facture manquant",IF(ISNA(MATCH(B420,fa_num,0)),"Facture inconnue",IF(INDEX(fa_type,MATCH(B420,fa_num,0))="Avoir","Paiement sur un avoir",IF(OR(NOT(ISNUMBER(C420)),N(C420)&lt;=0),"Montant invalide",IF(A420&lt;INDEX(fa_date,MATCH(B420,fa_num,0)),"Date antérieure à la facture",IF(SUMIF($B$6:B420,B420,$C$6:C420)&gt;INDEX(fa_ttc,MATCH(B420,fa_num,0))-N(INDEX(fa_avoirs,MATCH(B420,fa_num,0)))+0.001,"Dépasse le montant de la facture","OK")))))))))</f>
        <v/>
      </c>
    </row>
    <row r="421">
      <c r="A421" s="61" t="n"/>
      <c r="B421" s="60" t="n"/>
      <c r="C421" s="68" t="n"/>
      <c r="D421" s="60" t="n"/>
      <c r="E421" s="63" t="n"/>
      <c r="F421" s="63" t="n"/>
      <c r="G421" s="62" t="str">
        <f>IF(B421="","",IFERROR(INDEX(fa_cname,MATCH(B421,fa_num,0))&amp;"",""))</f>
        <v/>
      </c>
      <c r="H421" s="59" t="str">
        <f>IF(COUNTA(A421:F421)=0,"",IF(A421="","Date manquante",IF(NOT(ISNUMBER(A421)),"Date invalide",IF(B421="","N° de facture manquant",IF(ISNA(MATCH(B421,fa_num,0)),"Facture inconnue",IF(INDEX(fa_type,MATCH(B421,fa_num,0))="Avoir","Paiement sur un avoir",IF(OR(NOT(ISNUMBER(C421)),N(C421)&lt;=0),"Montant invalide",IF(A421&lt;INDEX(fa_date,MATCH(B421,fa_num,0)),"Date antérieure à la facture",IF(SUMIF($B$6:B421,B421,$C$6:C421)&gt;INDEX(fa_ttc,MATCH(B421,fa_num,0))-N(INDEX(fa_avoirs,MATCH(B421,fa_num,0)))+0.001,"Dépasse le montant de la facture","OK")))))))))</f>
        <v/>
      </c>
    </row>
    <row r="422">
      <c r="A422" s="61" t="n"/>
      <c r="B422" s="60" t="n"/>
      <c r="C422" s="68" t="n"/>
      <c r="D422" s="60" t="n"/>
      <c r="E422" s="63" t="n"/>
      <c r="F422" s="63" t="n"/>
      <c r="G422" s="62" t="str">
        <f>IF(B422="","",IFERROR(INDEX(fa_cname,MATCH(B422,fa_num,0))&amp;"",""))</f>
        <v/>
      </c>
      <c r="H422" s="59" t="str">
        <f>IF(COUNTA(A422:F422)=0,"",IF(A422="","Date manquante",IF(NOT(ISNUMBER(A422)),"Date invalide",IF(B422="","N° de facture manquant",IF(ISNA(MATCH(B422,fa_num,0)),"Facture inconnue",IF(INDEX(fa_type,MATCH(B422,fa_num,0))="Avoir","Paiement sur un avoir",IF(OR(NOT(ISNUMBER(C422)),N(C422)&lt;=0),"Montant invalide",IF(A422&lt;INDEX(fa_date,MATCH(B422,fa_num,0)),"Date antérieure à la facture",IF(SUMIF($B$6:B422,B422,$C$6:C422)&gt;INDEX(fa_ttc,MATCH(B422,fa_num,0))-N(INDEX(fa_avoirs,MATCH(B422,fa_num,0)))+0.001,"Dépasse le montant de la facture","OK")))))))))</f>
        <v/>
      </c>
    </row>
    <row r="423">
      <c r="A423" s="61" t="n"/>
      <c r="B423" s="60" t="n"/>
      <c r="C423" s="68" t="n"/>
      <c r="D423" s="60" t="n"/>
      <c r="E423" s="63" t="n"/>
      <c r="F423" s="63" t="n"/>
      <c r="G423" s="62" t="str">
        <f>IF(B423="","",IFERROR(INDEX(fa_cname,MATCH(B423,fa_num,0))&amp;"",""))</f>
        <v/>
      </c>
      <c r="H423" s="59" t="str">
        <f>IF(COUNTA(A423:F423)=0,"",IF(A423="","Date manquante",IF(NOT(ISNUMBER(A423)),"Date invalide",IF(B423="","N° de facture manquant",IF(ISNA(MATCH(B423,fa_num,0)),"Facture inconnue",IF(INDEX(fa_type,MATCH(B423,fa_num,0))="Avoir","Paiement sur un avoir",IF(OR(NOT(ISNUMBER(C423)),N(C423)&lt;=0),"Montant invalide",IF(A423&lt;INDEX(fa_date,MATCH(B423,fa_num,0)),"Date antérieure à la facture",IF(SUMIF($B$6:B423,B423,$C$6:C423)&gt;INDEX(fa_ttc,MATCH(B423,fa_num,0))-N(INDEX(fa_avoirs,MATCH(B423,fa_num,0)))+0.001,"Dépasse le montant de la facture","OK")))))))))</f>
        <v/>
      </c>
    </row>
    <row r="424">
      <c r="A424" s="61" t="n"/>
      <c r="B424" s="60" t="n"/>
      <c r="C424" s="68" t="n"/>
      <c r="D424" s="60" t="n"/>
      <c r="E424" s="63" t="n"/>
      <c r="F424" s="63" t="n"/>
      <c r="G424" s="62" t="str">
        <f>IF(B424="","",IFERROR(INDEX(fa_cname,MATCH(B424,fa_num,0))&amp;"",""))</f>
        <v/>
      </c>
      <c r="H424" s="59" t="str">
        <f>IF(COUNTA(A424:F424)=0,"",IF(A424="","Date manquante",IF(NOT(ISNUMBER(A424)),"Date invalide",IF(B424="","N° de facture manquant",IF(ISNA(MATCH(B424,fa_num,0)),"Facture inconnue",IF(INDEX(fa_type,MATCH(B424,fa_num,0))="Avoir","Paiement sur un avoir",IF(OR(NOT(ISNUMBER(C424)),N(C424)&lt;=0),"Montant invalide",IF(A424&lt;INDEX(fa_date,MATCH(B424,fa_num,0)),"Date antérieure à la facture",IF(SUMIF($B$6:B424,B424,$C$6:C424)&gt;INDEX(fa_ttc,MATCH(B424,fa_num,0))-N(INDEX(fa_avoirs,MATCH(B424,fa_num,0)))+0.001,"Dépasse le montant de la facture","OK")))))))))</f>
        <v/>
      </c>
    </row>
    <row r="425">
      <c r="A425" s="61" t="n"/>
      <c r="B425" s="60" t="n"/>
      <c r="C425" s="68" t="n"/>
      <c r="D425" s="60" t="n"/>
      <c r="E425" s="63" t="n"/>
      <c r="F425" s="63" t="n"/>
      <c r="G425" s="62" t="str">
        <f>IF(B425="","",IFERROR(INDEX(fa_cname,MATCH(B425,fa_num,0))&amp;"",""))</f>
        <v/>
      </c>
      <c r="H425" s="59" t="str">
        <f>IF(COUNTA(A425:F425)=0,"",IF(A425="","Date manquante",IF(NOT(ISNUMBER(A425)),"Date invalide",IF(B425="","N° de facture manquant",IF(ISNA(MATCH(B425,fa_num,0)),"Facture inconnue",IF(INDEX(fa_type,MATCH(B425,fa_num,0))="Avoir","Paiement sur un avoir",IF(OR(NOT(ISNUMBER(C425)),N(C425)&lt;=0),"Montant invalide",IF(A425&lt;INDEX(fa_date,MATCH(B425,fa_num,0)),"Date antérieure à la facture",IF(SUMIF($B$6:B425,B425,$C$6:C425)&gt;INDEX(fa_ttc,MATCH(B425,fa_num,0))-N(INDEX(fa_avoirs,MATCH(B425,fa_num,0)))+0.001,"Dépasse le montant de la facture","OK")))))))))</f>
        <v/>
      </c>
    </row>
    <row r="426">
      <c r="A426" s="61" t="n"/>
      <c r="B426" s="60" t="n"/>
      <c r="C426" s="68" t="n"/>
      <c r="D426" s="60" t="n"/>
      <c r="E426" s="63" t="n"/>
      <c r="F426" s="63" t="n"/>
      <c r="G426" s="62" t="str">
        <f>IF(B426="","",IFERROR(INDEX(fa_cname,MATCH(B426,fa_num,0))&amp;"",""))</f>
        <v/>
      </c>
      <c r="H426" s="59" t="str">
        <f>IF(COUNTA(A426:F426)=0,"",IF(A426="","Date manquante",IF(NOT(ISNUMBER(A426)),"Date invalide",IF(B426="","N° de facture manquant",IF(ISNA(MATCH(B426,fa_num,0)),"Facture inconnue",IF(INDEX(fa_type,MATCH(B426,fa_num,0))="Avoir","Paiement sur un avoir",IF(OR(NOT(ISNUMBER(C426)),N(C426)&lt;=0),"Montant invalide",IF(A426&lt;INDEX(fa_date,MATCH(B426,fa_num,0)),"Date antérieure à la facture",IF(SUMIF($B$6:B426,B426,$C$6:C426)&gt;INDEX(fa_ttc,MATCH(B426,fa_num,0))-N(INDEX(fa_avoirs,MATCH(B426,fa_num,0)))+0.001,"Dépasse le montant de la facture","OK")))))))))</f>
        <v/>
      </c>
    </row>
    <row r="427">
      <c r="A427" s="61" t="n"/>
      <c r="B427" s="60" t="n"/>
      <c r="C427" s="68" t="n"/>
      <c r="D427" s="60" t="n"/>
      <c r="E427" s="63" t="n"/>
      <c r="F427" s="63" t="n"/>
      <c r="G427" s="62" t="str">
        <f>IF(B427="","",IFERROR(INDEX(fa_cname,MATCH(B427,fa_num,0))&amp;"",""))</f>
        <v/>
      </c>
      <c r="H427" s="59" t="str">
        <f>IF(COUNTA(A427:F427)=0,"",IF(A427="","Date manquante",IF(NOT(ISNUMBER(A427)),"Date invalide",IF(B427="","N° de facture manquant",IF(ISNA(MATCH(B427,fa_num,0)),"Facture inconnue",IF(INDEX(fa_type,MATCH(B427,fa_num,0))="Avoir","Paiement sur un avoir",IF(OR(NOT(ISNUMBER(C427)),N(C427)&lt;=0),"Montant invalide",IF(A427&lt;INDEX(fa_date,MATCH(B427,fa_num,0)),"Date antérieure à la facture",IF(SUMIF($B$6:B427,B427,$C$6:C427)&gt;INDEX(fa_ttc,MATCH(B427,fa_num,0))-N(INDEX(fa_avoirs,MATCH(B427,fa_num,0)))+0.001,"Dépasse le montant de la facture","OK")))))))))</f>
        <v/>
      </c>
    </row>
    <row r="428">
      <c r="A428" s="61" t="n"/>
      <c r="B428" s="60" t="n"/>
      <c r="C428" s="68" t="n"/>
      <c r="D428" s="60" t="n"/>
      <c r="E428" s="63" t="n"/>
      <c r="F428" s="63" t="n"/>
      <c r="G428" s="62" t="str">
        <f>IF(B428="","",IFERROR(INDEX(fa_cname,MATCH(B428,fa_num,0))&amp;"",""))</f>
        <v/>
      </c>
      <c r="H428" s="59" t="str">
        <f>IF(COUNTA(A428:F428)=0,"",IF(A428="","Date manquante",IF(NOT(ISNUMBER(A428)),"Date invalide",IF(B428="","N° de facture manquant",IF(ISNA(MATCH(B428,fa_num,0)),"Facture inconnue",IF(INDEX(fa_type,MATCH(B428,fa_num,0))="Avoir","Paiement sur un avoir",IF(OR(NOT(ISNUMBER(C428)),N(C428)&lt;=0),"Montant invalide",IF(A428&lt;INDEX(fa_date,MATCH(B428,fa_num,0)),"Date antérieure à la facture",IF(SUMIF($B$6:B428,B428,$C$6:C428)&gt;INDEX(fa_ttc,MATCH(B428,fa_num,0))-N(INDEX(fa_avoirs,MATCH(B428,fa_num,0)))+0.001,"Dépasse le montant de la facture","OK")))))))))</f>
        <v/>
      </c>
    </row>
    <row r="429">
      <c r="A429" s="61" t="n"/>
      <c r="B429" s="60" t="n"/>
      <c r="C429" s="68" t="n"/>
      <c r="D429" s="60" t="n"/>
      <c r="E429" s="63" t="n"/>
      <c r="F429" s="63" t="n"/>
      <c r="G429" s="62" t="str">
        <f>IF(B429="","",IFERROR(INDEX(fa_cname,MATCH(B429,fa_num,0))&amp;"",""))</f>
        <v/>
      </c>
      <c r="H429" s="59" t="str">
        <f>IF(COUNTA(A429:F429)=0,"",IF(A429="","Date manquante",IF(NOT(ISNUMBER(A429)),"Date invalide",IF(B429="","N° de facture manquant",IF(ISNA(MATCH(B429,fa_num,0)),"Facture inconnue",IF(INDEX(fa_type,MATCH(B429,fa_num,0))="Avoir","Paiement sur un avoir",IF(OR(NOT(ISNUMBER(C429)),N(C429)&lt;=0),"Montant invalide",IF(A429&lt;INDEX(fa_date,MATCH(B429,fa_num,0)),"Date antérieure à la facture",IF(SUMIF($B$6:B429,B429,$C$6:C429)&gt;INDEX(fa_ttc,MATCH(B429,fa_num,0))-N(INDEX(fa_avoirs,MATCH(B429,fa_num,0)))+0.001,"Dépasse le montant de la facture","OK")))))))))</f>
        <v/>
      </c>
    </row>
    <row r="430">
      <c r="A430" s="61" t="n"/>
      <c r="B430" s="60" t="n"/>
      <c r="C430" s="68" t="n"/>
      <c r="D430" s="60" t="n"/>
      <c r="E430" s="63" t="n"/>
      <c r="F430" s="63" t="n"/>
      <c r="G430" s="62" t="str">
        <f>IF(B430="","",IFERROR(INDEX(fa_cname,MATCH(B430,fa_num,0))&amp;"",""))</f>
        <v/>
      </c>
      <c r="H430" s="59" t="str">
        <f>IF(COUNTA(A430:F430)=0,"",IF(A430="","Date manquante",IF(NOT(ISNUMBER(A430)),"Date invalide",IF(B430="","N° de facture manquant",IF(ISNA(MATCH(B430,fa_num,0)),"Facture inconnue",IF(INDEX(fa_type,MATCH(B430,fa_num,0))="Avoir","Paiement sur un avoir",IF(OR(NOT(ISNUMBER(C430)),N(C430)&lt;=0),"Montant invalide",IF(A430&lt;INDEX(fa_date,MATCH(B430,fa_num,0)),"Date antérieure à la facture",IF(SUMIF($B$6:B430,B430,$C$6:C430)&gt;INDEX(fa_ttc,MATCH(B430,fa_num,0))-N(INDEX(fa_avoirs,MATCH(B430,fa_num,0)))+0.001,"Dépasse le montant de la facture","OK")))))))))</f>
        <v/>
      </c>
    </row>
    <row r="431">
      <c r="A431" s="61" t="n"/>
      <c r="B431" s="60" t="n"/>
      <c r="C431" s="68" t="n"/>
      <c r="D431" s="60" t="n"/>
      <c r="E431" s="63" t="n"/>
      <c r="F431" s="63" t="n"/>
      <c r="G431" s="62" t="str">
        <f>IF(B431="","",IFERROR(INDEX(fa_cname,MATCH(B431,fa_num,0))&amp;"",""))</f>
        <v/>
      </c>
      <c r="H431" s="59" t="str">
        <f>IF(COUNTA(A431:F431)=0,"",IF(A431="","Date manquante",IF(NOT(ISNUMBER(A431)),"Date invalide",IF(B431="","N° de facture manquant",IF(ISNA(MATCH(B431,fa_num,0)),"Facture inconnue",IF(INDEX(fa_type,MATCH(B431,fa_num,0))="Avoir","Paiement sur un avoir",IF(OR(NOT(ISNUMBER(C431)),N(C431)&lt;=0),"Montant invalide",IF(A431&lt;INDEX(fa_date,MATCH(B431,fa_num,0)),"Date antérieure à la facture",IF(SUMIF($B$6:B431,B431,$C$6:C431)&gt;INDEX(fa_ttc,MATCH(B431,fa_num,0))-N(INDEX(fa_avoirs,MATCH(B431,fa_num,0)))+0.001,"Dépasse le montant de la facture","OK")))))))))</f>
        <v/>
      </c>
    </row>
    <row r="432">
      <c r="A432" s="61" t="n"/>
      <c r="B432" s="60" t="n"/>
      <c r="C432" s="68" t="n"/>
      <c r="D432" s="60" t="n"/>
      <c r="E432" s="63" t="n"/>
      <c r="F432" s="63" t="n"/>
      <c r="G432" s="62" t="str">
        <f>IF(B432="","",IFERROR(INDEX(fa_cname,MATCH(B432,fa_num,0))&amp;"",""))</f>
        <v/>
      </c>
      <c r="H432" s="59" t="str">
        <f>IF(COUNTA(A432:F432)=0,"",IF(A432="","Date manquante",IF(NOT(ISNUMBER(A432)),"Date invalide",IF(B432="","N° de facture manquant",IF(ISNA(MATCH(B432,fa_num,0)),"Facture inconnue",IF(INDEX(fa_type,MATCH(B432,fa_num,0))="Avoir","Paiement sur un avoir",IF(OR(NOT(ISNUMBER(C432)),N(C432)&lt;=0),"Montant invalide",IF(A432&lt;INDEX(fa_date,MATCH(B432,fa_num,0)),"Date antérieure à la facture",IF(SUMIF($B$6:B432,B432,$C$6:C432)&gt;INDEX(fa_ttc,MATCH(B432,fa_num,0))-N(INDEX(fa_avoirs,MATCH(B432,fa_num,0)))+0.001,"Dépasse le montant de la facture","OK")))))))))</f>
        <v/>
      </c>
    </row>
    <row r="433">
      <c r="A433" s="61" t="n"/>
      <c r="B433" s="60" t="n"/>
      <c r="C433" s="68" t="n"/>
      <c r="D433" s="60" t="n"/>
      <c r="E433" s="63" t="n"/>
      <c r="F433" s="63" t="n"/>
      <c r="G433" s="62" t="str">
        <f>IF(B433="","",IFERROR(INDEX(fa_cname,MATCH(B433,fa_num,0))&amp;"",""))</f>
        <v/>
      </c>
      <c r="H433" s="59" t="str">
        <f>IF(COUNTA(A433:F433)=0,"",IF(A433="","Date manquante",IF(NOT(ISNUMBER(A433)),"Date invalide",IF(B433="","N° de facture manquant",IF(ISNA(MATCH(B433,fa_num,0)),"Facture inconnue",IF(INDEX(fa_type,MATCH(B433,fa_num,0))="Avoir","Paiement sur un avoir",IF(OR(NOT(ISNUMBER(C433)),N(C433)&lt;=0),"Montant invalide",IF(A433&lt;INDEX(fa_date,MATCH(B433,fa_num,0)),"Date antérieure à la facture",IF(SUMIF($B$6:B433,B433,$C$6:C433)&gt;INDEX(fa_ttc,MATCH(B433,fa_num,0))-N(INDEX(fa_avoirs,MATCH(B433,fa_num,0)))+0.001,"Dépasse le montant de la facture","OK")))))))))</f>
        <v/>
      </c>
    </row>
    <row r="434">
      <c r="A434" s="61" t="n"/>
      <c r="B434" s="60" t="n"/>
      <c r="C434" s="68" t="n"/>
      <c r="D434" s="60" t="n"/>
      <c r="E434" s="63" t="n"/>
      <c r="F434" s="63" t="n"/>
      <c r="G434" s="62" t="str">
        <f>IF(B434="","",IFERROR(INDEX(fa_cname,MATCH(B434,fa_num,0))&amp;"",""))</f>
        <v/>
      </c>
      <c r="H434" s="59" t="str">
        <f>IF(COUNTA(A434:F434)=0,"",IF(A434="","Date manquante",IF(NOT(ISNUMBER(A434)),"Date invalide",IF(B434="","N° de facture manquant",IF(ISNA(MATCH(B434,fa_num,0)),"Facture inconnue",IF(INDEX(fa_type,MATCH(B434,fa_num,0))="Avoir","Paiement sur un avoir",IF(OR(NOT(ISNUMBER(C434)),N(C434)&lt;=0),"Montant invalide",IF(A434&lt;INDEX(fa_date,MATCH(B434,fa_num,0)),"Date antérieure à la facture",IF(SUMIF($B$6:B434,B434,$C$6:C434)&gt;INDEX(fa_ttc,MATCH(B434,fa_num,0))-N(INDEX(fa_avoirs,MATCH(B434,fa_num,0)))+0.001,"Dépasse le montant de la facture","OK")))))))))</f>
        <v/>
      </c>
    </row>
    <row r="435">
      <c r="A435" s="61" t="n"/>
      <c r="B435" s="60" t="n"/>
      <c r="C435" s="68" t="n"/>
      <c r="D435" s="60" t="n"/>
      <c r="E435" s="63" t="n"/>
      <c r="F435" s="63" t="n"/>
      <c r="G435" s="62" t="str">
        <f>IF(B435="","",IFERROR(INDEX(fa_cname,MATCH(B435,fa_num,0))&amp;"",""))</f>
        <v/>
      </c>
      <c r="H435" s="59" t="str">
        <f>IF(COUNTA(A435:F435)=0,"",IF(A435="","Date manquante",IF(NOT(ISNUMBER(A435)),"Date invalide",IF(B435="","N° de facture manquant",IF(ISNA(MATCH(B435,fa_num,0)),"Facture inconnue",IF(INDEX(fa_type,MATCH(B435,fa_num,0))="Avoir","Paiement sur un avoir",IF(OR(NOT(ISNUMBER(C435)),N(C435)&lt;=0),"Montant invalide",IF(A435&lt;INDEX(fa_date,MATCH(B435,fa_num,0)),"Date antérieure à la facture",IF(SUMIF($B$6:B435,B435,$C$6:C435)&gt;INDEX(fa_ttc,MATCH(B435,fa_num,0))-N(INDEX(fa_avoirs,MATCH(B435,fa_num,0)))+0.001,"Dépasse le montant de la facture","OK")))))))))</f>
        <v/>
      </c>
    </row>
    <row r="436">
      <c r="A436" s="61" t="n"/>
      <c r="B436" s="60" t="n"/>
      <c r="C436" s="68" t="n"/>
      <c r="D436" s="60" t="n"/>
      <c r="E436" s="63" t="n"/>
      <c r="F436" s="63" t="n"/>
      <c r="G436" s="62" t="str">
        <f>IF(B436="","",IFERROR(INDEX(fa_cname,MATCH(B436,fa_num,0))&amp;"",""))</f>
        <v/>
      </c>
      <c r="H436" s="59" t="str">
        <f>IF(COUNTA(A436:F436)=0,"",IF(A436="","Date manquante",IF(NOT(ISNUMBER(A436)),"Date invalide",IF(B436="","N° de facture manquant",IF(ISNA(MATCH(B436,fa_num,0)),"Facture inconnue",IF(INDEX(fa_type,MATCH(B436,fa_num,0))="Avoir","Paiement sur un avoir",IF(OR(NOT(ISNUMBER(C436)),N(C436)&lt;=0),"Montant invalide",IF(A436&lt;INDEX(fa_date,MATCH(B436,fa_num,0)),"Date antérieure à la facture",IF(SUMIF($B$6:B436,B436,$C$6:C436)&gt;INDEX(fa_ttc,MATCH(B436,fa_num,0))-N(INDEX(fa_avoirs,MATCH(B436,fa_num,0)))+0.001,"Dépasse le montant de la facture","OK")))))))))</f>
        <v/>
      </c>
    </row>
    <row r="437">
      <c r="A437" s="61" t="n"/>
      <c r="B437" s="60" t="n"/>
      <c r="C437" s="68" t="n"/>
      <c r="D437" s="60" t="n"/>
      <c r="E437" s="63" t="n"/>
      <c r="F437" s="63" t="n"/>
      <c r="G437" s="62" t="str">
        <f>IF(B437="","",IFERROR(INDEX(fa_cname,MATCH(B437,fa_num,0))&amp;"",""))</f>
        <v/>
      </c>
      <c r="H437" s="59" t="str">
        <f>IF(COUNTA(A437:F437)=0,"",IF(A437="","Date manquante",IF(NOT(ISNUMBER(A437)),"Date invalide",IF(B437="","N° de facture manquant",IF(ISNA(MATCH(B437,fa_num,0)),"Facture inconnue",IF(INDEX(fa_type,MATCH(B437,fa_num,0))="Avoir","Paiement sur un avoir",IF(OR(NOT(ISNUMBER(C437)),N(C437)&lt;=0),"Montant invalide",IF(A437&lt;INDEX(fa_date,MATCH(B437,fa_num,0)),"Date antérieure à la facture",IF(SUMIF($B$6:B437,B437,$C$6:C437)&gt;INDEX(fa_ttc,MATCH(B437,fa_num,0))-N(INDEX(fa_avoirs,MATCH(B437,fa_num,0)))+0.001,"Dépasse le montant de la facture","OK")))))))))</f>
        <v/>
      </c>
    </row>
    <row r="438">
      <c r="A438" s="61" t="n"/>
      <c r="B438" s="60" t="n"/>
      <c r="C438" s="68" t="n"/>
      <c r="D438" s="60" t="n"/>
      <c r="E438" s="63" t="n"/>
      <c r="F438" s="63" t="n"/>
      <c r="G438" s="62" t="str">
        <f>IF(B438="","",IFERROR(INDEX(fa_cname,MATCH(B438,fa_num,0))&amp;"",""))</f>
        <v/>
      </c>
      <c r="H438" s="59" t="str">
        <f>IF(COUNTA(A438:F438)=0,"",IF(A438="","Date manquante",IF(NOT(ISNUMBER(A438)),"Date invalide",IF(B438="","N° de facture manquant",IF(ISNA(MATCH(B438,fa_num,0)),"Facture inconnue",IF(INDEX(fa_type,MATCH(B438,fa_num,0))="Avoir","Paiement sur un avoir",IF(OR(NOT(ISNUMBER(C438)),N(C438)&lt;=0),"Montant invalide",IF(A438&lt;INDEX(fa_date,MATCH(B438,fa_num,0)),"Date antérieure à la facture",IF(SUMIF($B$6:B438,B438,$C$6:C438)&gt;INDEX(fa_ttc,MATCH(B438,fa_num,0))-N(INDEX(fa_avoirs,MATCH(B438,fa_num,0)))+0.001,"Dépasse le montant de la facture","OK")))))))))</f>
        <v/>
      </c>
    </row>
    <row r="439">
      <c r="A439" s="61" t="n"/>
      <c r="B439" s="60" t="n"/>
      <c r="C439" s="68" t="n"/>
      <c r="D439" s="60" t="n"/>
      <c r="E439" s="63" t="n"/>
      <c r="F439" s="63" t="n"/>
      <c r="G439" s="62" t="str">
        <f>IF(B439="","",IFERROR(INDEX(fa_cname,MATCH(B439,fa_num,0))&amp;"",""))</f>
        <v/>
      </c>
      <c r="H439" s="59" t="str">
        <f>IF(COUNTA(A439:F439)=0,"",IF(A439="","Date manquante",IF(NOT(ISNUMBER(A439)),"Date invalide",IF(B439="","N° de facture manquant",IF(ISNA(MATCH(B439,fa_num,0)),"Facture inconnue",IF(INDEX(fa_type,MATCH(B439,fa_num,0))="Avoir","Paiement sur un avoir",IF(OR(NOT(ISNUMBER(C439)),N(C439)&lt;=0),"Montant invalide",IF(A439&lt;INDEX(fa_date,MATCH(B439,fa_num,0)),"Date antérieure à la facture",IF(SUMIF($B$6:B439,B439,$C$6:C439)&gt;INDEX(fa_ttc,MATCH(B439,fa_num,0))-N(INDEX(fa_avoirs,MATCH(B439,fa_num,0)))+0.001,"Dépasse le montant de la facture","OK")))))))))</f>
        <v/>
      </c>
    </row>
    <row r="440">
      <c r="A440" s="61" t="n"/>
      <c r="B440" s="60" t="n"/>
      <c r="C440" s="68" t="n"/>
      <c r="D440" s="60" t="n"/>
      <c r="E440" s="63" t="n"/>
      <c r="F440" s="63" t="n"/>
      <c r="G440" s="62" t="str">
        <f>IF(B440="","",IFERROR(INDEX(fa_cname,MATCH(B440,fa_num,0))&amp;"",""))</f>
        <v/>
      </c>
      <c r="H440" s="59" t="str">
        <f>IF(COUNTA(A440:F440)=0,"",IF(A440="","Date manquante",IF(NOT(ISNUMBER(A440)),"Date invalide",IF(B440="","N° de facture manquant",IF(ISNA(MATCH(B440,fa_num,0)),"Facture inconnue",IF(INDEX(fa_type,MATCH(B440,fa_num,0))="Avoir","Paiement sur un avoir",IF(OR(NOT(ISNUMBER(C440)),N(C440)&lt;=0),"Montant invalide",IF(A440&lt;INDEX(fa_date,MATCH(B440,fa_num,0)),"Date antérieure à la facture",IF(SUMIF($B$6:B440,B440,$C$6:C440)&gt;INDEX(fa_ttc,MATCH(B440,fa_num,0))-N(INDEX(fa_avoirs,MATCH(B440,fa_num,0)))+0.001,"Dépasse le montant de la facture","OK")))))))))</f>
        <v/>
      </c>
    </row>
    <row r="441">
      <c r="A441" s="61" t="n"/>
      <c r="B441" s="60" t="n"/>
      <c r="C441" s="68" t="n"/>
      <c r="D441" s="60" t="n"/>
      <c r="E441" s="63" t="n"/>
      <c r="F441" s="63" t="n"/>
      <c r="G441" s="62" t="str">
        <f>IF(B441="","",IFERROR(INDEX(fa_cname,MATCH(B441,fa_num,0))&amp;"",""))</f>
        <v/>
      </c>
      <c r="H441" s="59" t="str">
        <f>IF(COUNTA(A441:F441)=0,"",IF(A441="","Date manquante",IF(NOT(ISNUMBER(A441)),"Date invalide",IF(B441="","N° de facture manquant",IF(ISNA(MATCH(B441,fa_num,0)),"Facture inconnue",IF(INDEX(fa_type,MATCH(B441,fa_num,0))="Avoir","Paiement sur un avoir",IF(OR(NOT(ISNUMBER(C441)),N(C441)&lt;=0),"Montant invalide",IF(A441&lt;INDEX(fa_date,MATCH(B441,fa_num,0)),"Date antérieure à la facture",IF(SUMIF($B$6:B441,B441,$C$6:C441)&gt;INDEX(fa_ttc,MATCH(B441,fa_num,0))-N(INDEX(fa_avoirs,MATCH(B441,fa_num,0)))+0.001,"Dépasse le montant de la facture","OK")))))))))</f>
        <v/>
      </c>
    </row>
    <row r="442">
      <c r="A442" s="61" t="n"/>
      <c r="B442" s="60" t="n"/>
      <c r="C442" s="68" t="n"/>
      <c r="D442" s="60" t="n"/>
      <c r="E442" s="63" t="n"/>
      <c r="F442" s="63" t="n"/>
      <c r="G442" s="62" t="str">
        <f>IF(B442="","",IFERROR(INDEX(fa_cname,MATCH(B442,fa_num,0))&amp;"",""))</f>
        <v/>
      </c>
      <c r="H442" s="59" t="str">
        <f>IF(COUNTA(A442:F442)=0,"",IF(A442="","Date manquante",IF(NOT(ISNUMBER(A442)),"Date invalide",IF(B442="","N° de facture manquant",IF(ISNA(MATCH(B442,fa_num,0)),"Facture inconnue",IF(INDEX(fa_type,MATCH(B442,fa_num,0))="Avoir","Paiement sur un avoir",IF(OR(NOT(ISNUMBER(C442)),N(C442)&lt;=0),"Montant invalide",IF(A442&lt;INDEX(fa_date,MATCH(B442,fa_num,0)),"Date antérieure à la facture",IF(SUMIF($B$6:B442,B442,$C$6:C442)&gt;INDEX(fa_ttc,MATCH(B442,fa_num,0))-N(INDEX(fa_avoirs,MATCH(B442,fa_num,0)))+0.001,"Dépasse le montant de la facture","OK")))))))))</f>
        <v/>
      </c>
    </row>
    <row r="443">
      <c r="A443" s="61" t="n"/>
      <c r="B443" s="60" t="n"/>
      <c r="C443" s="68" t="n"/>
      <c r="D443" s="60" t="n"/>
      <c r="E443" s="63" t="n"/>
      <c r="F443" s="63" t="n"/>
      <c r="G443" s="62" t="str">
        <f>IF(B443="","",IFERROR(INDEX(fa_cname,MATCH(B443,fa_num,0))&amp;"",""))</f>
        <v/>
      </c>
      <c r="H443" s="59" t="str">
        <f>IF(COUNTA(A443:F443)=0,"",IF(A443="","Date manquante",IF(NOT(ISNUMBER(A443)),"Date invalide",IF(B443="","N° de facture manquant",IF(ISNA(MATCH(B443,fa_num,0)),"Facture inconnue",IF(INDEX(fa_type,MATCH(B443,fa_num,0))="Avoir","Paiement sur un avoir",IF(OR(NOT(ISNUMBER(C443)),N(C443)&lt;=0),"Montant invalide",IF(A443&lt;INDEX(fa_date,MATCH(B443,fa_num,0)),"Date antérieure à la facture",IF(SUMIF($B$6:B443,B443,$C$6:C443)&gt;INDEX(fa_ttc,MATCH(B443,fa_num,0))-N(INDEX(fa_avoirs,MATCH(B443,fa_num,0)))+0.001,"Dépasse le montant de la facture","OK")))))))))</f>
        <v/>
      </c>
    </row>
    <row r="444">
      <c r="A444" s="61" t="n"/>
      <c r="B444" s="60" t="n"/>
      <c r="C444" s="68" t="n"/>
      <c r="D444" s="60" t="n"/>
      <c r="E444" s="63" t="n"/>
      <c r="F444" s="63" t="n"/>
      <c r="G444" s="62" t="str">
        <f>IF(B444="","",IFERROR(INDEX(fa_cname,MATCH(B444,fa_num,0))&amp;"",""))</f>
        <v/>
      </c>
      <c r="H444" s="59" t="str">
        <f>IF(COUNTA(A444:F444)=0,"",IF(A444="","Date manquante",IF(NOT(ISNUMBER(A444)),"Date invalide",IF(B444="","N° de facture manquant",IF(ISNA(MATCH(B444,fa_num,0)),"Facture inconnue",IF(INDEX(fa_type,MATCH(B444,fa_num,0))="Avoir","Paiement sur un avoir",IF(OR(NOT(ISNUMBER(C444)),N(C444)&lt;=0),"Montant invalide",IF(A444&lt;INDEX(fa_date,MATCH(B444,fa_num,0)),"Date antérieure à la facture",IF(SUMIF($B$6:B444,B444,$C$6:C444)&gt;INDEX(fa_ttc,MATCH(B444,fa_num,0))-N(INDEX(fa_avoirs,MATCH(B444,fa_num,0)))+0.001,"Dépasse le montant de la facture","OK")))))))))</f>
        <v/>
      </c>
    </row>
    <row r="445">
      <c r="A445" s="61" t="n"/>
      <c r="B445" s="60" t="n"/>
      <c r="C445" s="68" t="n"/>
      <c r="D445" s="60" t="n"/>
      <c r="E445" s="63" t="n"/>
      <c r="F445" s="63" t="n"/>
      <c r="G445" s="62" t="str">
        <f>IF(B445="","",IFERROR(INDEX(fa_cname,MATCH(B445,fa_num,0))&amp;"",""))</f>
        <v/>
      </c>
      <c r="H445" s="59" t="str">
        <f>IF(COUNTA(A445:F445)=0,"",IF(A445="","Date manquante",IF(NOT(ISNUMBER(A445)),"Date invalide",IF(B445="","N° de facture manquant",IF(ISNA(MATCH(B445,fa_num,0)),"Facture inconnue",IF(INDEX(fa_type,MATCH(B445,fa_num,0))="Avoir","Paiement sur un avoir",IF(OR(NOT(ISNUMBER(C445)),N(C445)&lt;=0),"Montant invalide",IF(A445&lt;INDEX(fa_date,MATCH(B445,fa_num,0)),"Date antérieure à la facture",IF(SUMIF($B$6:B445,B445,$C$6:C445)&gt;INDEX(fa_ttc,MATCH(B445,fa_num,0))-N(INDEX(fa_avoirs,MATCH(B445,fa_num,0)))+0.001,"Dépasse le montant de la facture","OK")))))))))</f>
        <v/>
      </c>
    </row>
    <row r="446">
      <c r="A446" s="61" t="n"/>
      <c r="B446" s="60" t="n"/>
      <c r="C446" s="68" t="n"/>
      <c r="D446" s="60" t="n"/>
      <c r="E446" s="63" t="n"/>
      <c r="F446" s="63" t="n"/>
      <c r="G446" s="62" t="str">
        <f>IF(B446="","",IFERROR(INDEX(fa_cname,MATCH(B446,fa_num,0))&amp;"",""))</f>
        <v/>
      </c>
      <c r="H446" s="59" t="str">
        <f>IF(COUNTA(A446:F446)=0,"",IF(A446="","Date manquante",IF(NOT(ISNUMBER(A446)),"Date invalide",IF(B446="","N° de facture manquant",IF(ISNA(MATCH(B446,fa_num,0)),"Facture inconnue",IF(INDEX(fa_type,MATCH(B446,fa_num,0))="Avoir","Paiement sur un avoir",IF(OR(NOT(ISNUMBER(C446)),N(C446)&lt;=0),"Montant invalide",IF(A446&lt;INDEX(fa_date,MATCH(B446,fa_num,0)),"Date antérieure à la facture",IF(SUMIF($B$6:B446,B446,$C$6:C446)&gt;INDEX(fa_ttc,MATCH(B446,fa_num,0))-N(INDEX(fa_avoirs,MATCH(B446,fa_num,0)))+0.001,"Dépasse le montant de la facture","OK")))))))))</f>
        <v/>
      </c>
    </row>
    <row r="447">
      <c r="A447" s="61" t="n"/>
      <c r="B447" s="60" t="n"/>
      <c r="C447" s="68" t="n"/>
      <c r="D447" s="60" t="n"/>
      <c r="E447" s="63" t="n"/>
      <c r="F447" s="63" t="n"/>
      <c r="G447" s="62" t="str">
        <f>IF(B447="","",IFERROR(INDEX(fa_cname,MATCH(B447,fa_num,0))&amp;"",""))</f>
        <v/>
      </c>
      <c r="H447" s="59" t="str">
        <f>IF(COUNTA(A447:F447)=0,"",IF(A447="","Date manquante",IF(NOT(ISNUMBER(A447)),"Date invalide",IF(B447="","N° de facture manquant",IF(ISNA(MATCH(B447,fa_num,0)),"Facture inconnue",IF(INDEX(fa_type,MATCH(B447,fa_num,0))="Avoir","Paiement sur un avoir",IF(OR(NOT(ISNUMBER(C447)),N(C447)&lt;=0),"Montant invalide",IF(A447&lt;INDEX(fa_date,MATCH(B447,fa_num,0)),"Date antérieure à la facture",IF(SUMIF($B$6:B447,B447,$C$6:C447)&gt;INDEX(fa_ttc,MATCH(B447,fa_num,0))-N(INDEX(fa_avoirs,MATCH(B447,fa_num,0)))+0.001,"Dépasse le montant de la facture","OK")))))))))</f>
        <v/>
      </c>
    </row>
    <row r="448">
      <c r="A448" s="61" t="n"/>
      <c r="B448" s="60" t="n"/>
      <c r="C448" s="68" t="n"/>
      <c r="D448" s="60" t="n"/>
      <c r="E448" s="63" t="n"/>
      <c r="F448" s="63" t="n"/>
      <c r="G448" s="62" t="str">
        <f>IF(B448="","",IFERROR(INDEX(fa_cname,MATCH(B448,fa_num,0))&amp;"",""))</f>
        <v/>
      </c>
      <c r="H448" s="59" t="str">
        <f>IF(COUNTA(A448:F448)=0,"",IF(A448="","Date manquante",IF(NOT(ISNUMBER(A448)),"Date invalide",IF(B448="","N° de facture manquant",IF(ISNA(MATCH(B448,fa_num,0)),"Facture inconnue",IF(INDEX(fa_type,MATCH(B448,fa_num,0))="Avoir","Paiement sur un avoir",IF(OR(NOT(ISNUMBER(C448)),N(C448)&lt;=0),"Montant invalide",IF(A448&lt;INDEX(fa_date,MATCH(B448,fa_num,0)),"Date antérieure à la facture",IF(SUMIF($B$6:B448,B448,$C$6:C448)&gt;INDEX(fa_ttc,MATCH(B448,fa_num,0))-N(INDEX(fa_avoirs,MATCH(B448,fa_num,0)))+0.001,"Dépasse le montant de la facture","OK")))))))))</f>
        <v/>
      </c>
    </row>
    <row r="449">
      <c r="A449" s="61" t="n"/>
      <c r="B449" s="60" t="n"/>
      <c r="C449" s="68" t="n"/>
      <c r="D449" s="60" t="n"/>
      <c r="E449" s="63" t="n"/>
      <c r="F449" s="63" t="n"/>
      <c r="G449" s="62" t="str">
        <f>IF(B449="","",IFERROR(INDEX(fa_cname,MATCH(B449,fa_num,0))&amp;"",""))</f>
        <v/>
      </c>
      <c r="H449" s="59" t="str">
        <f>IF(COUNTA(A449:F449)=0,"",IF(A449="","Date manquante",IF(NOT(ISNUMBER(A449)),"Date invalide",IF(B449="","N° de facture manquant",IF(ISNA(MATCH(B449,fa_num,0)),"Facture inconnue",IF(INDEX(fa_type,MATCH(B449,fa_num,0))="Avoir","Paiement sur un avoir",IF(OR(NOT(ISNUMBER(C449)),N(C449)&lt;=0),"Montant invalide",IF(A449&lt;INDEX(fa_date,MATCH(B449,fa_num,0)),"Date antérieure à la facture",IF(SUMIF($B$6:B449,B449,$C$6:C449)&gt;INDEX(fa_ttc,MATCH(B449,fa_num,0))-N(INDEX(fa_avoirs,MATCH(B449,fa_num,0)))+0.001,"Dépasse le montant de la facture","OK")))))))))</f>
        <v/>
      </c>
    </row>
    <row r="450">
      <c r="A450" s="61" t="n"/>
      <c r="B450" s="60" t="n"/>
      <c r="C450" s="68" t="n"/>
      <c r="D450" s="60" t="n"/>
      <c r="E450" s="63" t="n"/>
      <c r="F450" s="63" t="n"/>
      <c r="G450" s="62" t="str">
        <f>IF(B450="","",IFERROR(INDEX(fa_cname,MATCH(B450,fa_num,0))&amp;"",""))</f>
        <v/>
      </c>
      <c r="H450" s="59" t="str">
        <f>IF(COUNTA(A450:F450)=0,"",IF(A450="","Date manquante",IF(NOT(ISNUMBER(A450)),"Date invalide",IF(B450="","N° de facture manquant",IF(ISNA(MATCH(B450,fa_num,0)),"Facture inconnue",IF(INDEX(fa_type,MATCH(B450,fa_num,0))="Avoir","Paiement sur un avoir",IF(OR(NOT(ISNUMBER(C450)),N(C450)&lt;=0),"Montant invalide",IF(A450&lt;INDEX(fa_date,MATCH(B450,fa_num,0)),"Date antérieure à la facture",IF(SUMIF($B$6:B450,B450,$C$6:C450)&gt;INDEX(fa_ttc,MATCH(B450,fa_num,0))-N(INDEX(fa_avoirs,MATCH(B450,fa_num,0)))+0.001,"Dépasse le montant de la facture","OK")))))))))</f>
        <v/>
      </c>
    </row>
    <row r="451">
      <c r="A451" s="61" t="n"/>
      <c r="B451" s="60" t="n"/>
      <c r="C451" s="68" t="n"/>
      <c r="D451" s="60" t="n"/>
      <c r="E451" s="63" t="n"/>
      <c r="F451" s="63" t="n"/>
      <c r="G451" s="62" t="str">
        <f>IF(B451="","",IFERROR(INDEX(fa_cname,MATCH(B451,fa_num,0))&amp;"",""))</f>
        <v/>
      </c>
      <c r="H451" s="59" t="str">
        <f>IF(COUNTA(A451:F451)=0,"",IF(A451="","Date manquante",IF(NOT(ISNUMBER(A451)),"Date invalide",IF(B451="","N° de facture manquant",IF(ISNA(MATCH(B451,fa_num,0)),"Facture inconnue",IF(INDEX(fa_type,MATCH(B451,fa_num,0))="Avoir","Paiement sur un avoir",IF(OR(NOT(ISNUMBER(C451)),N(C451)&lt;=0),"Montant invalide",IF(A451&lt;INDEX(fa_date,MATCH(B451,fa_num,0)),"Date antérieure à la facture",IF(SUMIF($B$6:B451,B451,$C$6:C451)&gt;INDEX(fa_ttc,MATCH(B451,fa_num,0))-N(INDEX(fa_avoirs,MATCH(B451,fa_num,0)))+0.001,"Dépasse le montant de la facture","OK")))))))))</f>
        <v/>
      </c>
    </row>
    <row r="452">
      <c r="A452" s="61" t="n"/>
      <c r="B452" s="60" t="n"/>
      <c r="C452" s="68" t="n"/>
      <c r="D452" s="60" t="n"/>
      <c r="E452" s="63" t="n"/>
      <c r="F452" s="63" t="n"/>
      <c r="G452" s="62" t="str">
        <f>IF(B452="","",IFERROR(INDEX(fa_cname,MATCH(B452,fa_num,0))&amp;"",""))</f>
        <v/>
      </c>
      <c r="H452" s="59" t="str">
        <f>IF(COUNTA(A452:F452)=0,"",IF(A452="","Date manquante",IF(NOT(ISNUMBER(A452)),"Date invalide",IF(B452="","N° de facture manquant",IF(ISNA(MATCH(B452,fa_num,0)),"Facture inconnue",IF(INDEX(fa_type,MATCH(B452,fa_num,0))="Avoir","Paiement sur un avoir",IF(OR(NOT(ISNUMBER(C452)),N(C452)&lt;=0),"Montant invalide",IF(A452&lt;INDEX(fa_date,MATCH(B452,fa_num,0)),"Date antérieure à la facture",IF(SUMIF($B$6:B452,B452,$C$6:C452)&gt;INDEX(fa_ttc,MATCH(B452,fa_num,0))-N(INDEX(fa_avoirs,MATCH(B452,fa_num,0)))+0.001,"Dépasse le montant de la facture","OK")))))))))</f>
        <v/>
      </c>
    </row>
    <row r="453">
      <c r="A453" s="61" t="n"/>
      <c r="B453" s="60" t="n"/>
      <c r="C453" s="68" t="n"/>
      <c r="D453" s="60" t="n"/>
      <c r="E453" s="63" t="n"/>
      <c r="F453" s="63" t="n"/>
      <c r="G453" s="62" t="str">
        <f>IF(B453="","",IFERROR(INDEX(fa_cname,MATCH(B453,fa_num,0))&amp;"",""))</f>
        <v/>
      </c>
      <c r="H453" s="59" t="str">
        <f>IF(COUNTA(A453:F453)=0,"",IF(A453="","Date manquante",IF(NOT(ISNUMBER(A453)),"Date invalide",IF(B453="","N° de facture manquant",IF(ISNA(MATCH(B453,fa_num,0)),"Facture inconnue",IF(INDEX(fa_type,MATCH(B453,fa_num,0))="Avoir","Paiement sur un avoir",IF(OR(NOT(ISNUMBER(C453)),N(C453)&lt;=0),"Montant invalide",IF(A453&lt;INDEX(fa_date,MATCH(B453,fa_num,0)),"Date antérieure à la facture",IF(SUMIF($B$6:B453,B453,$C$6:C453)&gt;INDEX(fa_ttc,MATCH(B453,fa_num,0))-N(INDEX(fa_avoirs,MATCH(B453,fa_num,0)))+0.001,"Dépasse le montant de la facture","OK")))))))))</f>
        <v/>
      </c>
    </row>
    <row r="454">
      <c r="A454" s="61" t="n"/>
      <c r="B454" s="60" t="n"/>
      <c r="C454" s="68" t="n"/>
      <c r="D454" s="60" t="n"/>
      <c r="E454" s="63" t="n"/>
      <c r="F454" s="63" t="n"/>
      <c r="G454" s="62" t="str">
        <f>IF(B454="","",IFERROR(INDEX(fa_cname,MATCH(B454,fa_num,0))&amp;"",""))</f>
        <v/>
      </c>
      <c r="H454" s="59" t="str">
        <f>IF(COUNTA(A454:F454)=0,"",IF(A454="","Date manquante",IF(NOT(ISNUMBER(A454)),"Date invalide",IF(B454="","N° de facture manquant",IF(ISNA(MATCH(B454,fa_num,0)),"Facture inconnue",IF(INDEX(fa_type,MATCH(B454,fa_num,0))="Avoir","Paiement sur un avoir",IF(OR(NOT(ISNUMBER(C454)),N(C454)&lt;=0),"Montant invalide",IF(A454&lt;INDEX(fa_date,MATCH(B454,fa_num,0)),"Date antérieure à la facture",IF(SUMIF($B$6:B454,B454,$C$6:C454)&gt;INDEX(fa_ttc,MATCH(B454,fa_num,0))-N(INDEX(fa_avoirs,MATCH(B454,fa_num,0)))+0.001,"Dépasse le montant de la facture","OK")))))))))</f>
        <v/>
      </c>
    </row>
    <row r="455">
      <c r="A455" s="61" t="n"/>
      <c r="B455" s="60" t="n"/>
      <c r="C455" s="68" t="n"/>
      <c r="D455" s="60" t="n"/>
      <c r="E455" s="63" t="n"/>
      <c r="F455" s="63" t="n"/>
      <c r="G455" s="62" t="str">
        <f>IF(B455="","",IFERROR(INDEX(fa_cname,MATCH(B455,fa_num,0))&amp;"",""))</f>
        <v/>
      </c>
      <c r="H455" s="59" t="str">
        <f>IF(COUNTA(A455:F455)=0,"",IF(A455="","Date manquante",IF(NOT(ISNUMBER(A455)),"Date invalide",IF(B455="","N° de facture manquant",IF(ISNA(MATCH(B455,fa_num,0)),"Facture inconnue",IF(INDEX(fa_type,MATCH(B455,fa_num,0))="Avoir","Paiement sur un avoir",IF(OR(NOT(ISNUMBER(C455)),N(C455)&lt;=0),"Montant invalide",IF(A455&lt;INDEX(fa_date,MATCH(B455,fa_num,0)),"Date antérieure à la facture",IF(SUMIF($B$6:B455,B455,$C$6:C455)&gt;INDEX(fa_ttc,MATCH(B455,fa_num,0))-N(INDEX(fa_avoirs,MATCH(B455,fa_num,0)))+0.001,"Dépasse le montant de la facture","OK")))))))))</f>
        <v/>
      </c>
    </row>
    <row r="456">
      <c r="A456" s="61" t="n"/>
      <c r="B456" s="60" t="n"/>
      <c r="C456" s="68" t="n"/>
      <c r="D456" s="60" t="n"/>
      <c r="E456" s="63" t="n"/>
      <c r="F456" s="63" t="n"/>
      <c r="G456" s="62" t="str">
        <f>IF(B456="","",IFERROR(INDEX(fa_cname,MATCH(B456,fa_num,0))&amp;"",""))</f>
        <v/>
      </c>
      <c r="H456" s="59" t="str">
        <f>IF(COUNTA(A456:F456)=0,"",IF(A456="","Date manquante",IF(NOT(ISNUMBER(A456)),"Date invalide",IF(B456="","N° de facture manquant",IF(ISNA(MATCH(B456,fa_num,0)),"Facture inconnue",IF(INDEX(fa_type,MATCH(B456,fa_num,0))="Avoir","Paiement sur un avoir",IF(OR(NOT(ISNUMBER(C456)),N(C456)&lt;=0),"Montant invalide",IF(A456&lt;INDEX(fa_date,MATCH(B456,fa_num,0)),"Date antérieure à la facture",IF(SUMIF($B$6:B456,B456,$C$6:C456)&gt;INDEX(fa_ttc,MATCH(B456,fa_num,0))-N(INDEX(fa_avoirs,MATCH(B456,fa_num,0)))+0.001,"Dépasse le montant de la facture","OK")))))))))</f>
        <v/>
      </c>
    </row>
    <row r="457">
      <c r="A457" s="61" t="n"/>
      <c r="B457" s="60" t="n"/>
      <c r="C457" s="68" t="n"/>
      <c r="D457" s="60" t="n"/>
      <c r="E457" s="63" t="n"/>
      <c r="F457" s="63" t="n"/>
      <c r="G457" s="62" t="str">
        <f>IF(B457="","",IFERROR(INDEX(fa_cname,MATCH(B457,fa_num,0))&amp;"",""))</f>
        <v/>
      </c>
      <c r="H457" s="59" t="str">
        <f>IF(COUNTA(A457:F457)=0,"",IF(A457="","Date manquante",IF(NOT(ISNUMBER(A457)),"Date invalide",IF(B457="","N° de facture manquant",IF(ISNA(MATCH(B457,fa_num,0)),"Facture inconnue",IF(INDEX(fa_type,MATCH(B457,fa_num,0))="Avoir","Paiement sur un avoir",IF(OR(NOT(ISNUMBER(C457)),N(C457)&lt;=0),"Montant invalide",IF(A457&lt;INDEX(fa_date,MATCH(B457,fa_num,0)),"Date antérieure à la facture",IF(SUMIF($B$6:B457,B457,$C$6:C457)&gt;INDEX(fa_ttc,MATCH(B457,fa_num,0))-N(INDEX(fa_avoirs,MATCH(B457,fa_num,0)))+0.001,"Dépasse le montant de la facture","OK")))))))))</f>
        <v/>
      </c>
    </row>
    <row r="458">
      <c r="A458" s="61" t="n"/>
      <c r="B458" s="60" t="n"/>
      <c r="C458" s="68" t="n"/>
      <c r="D458" s="60" t="n"/>
      <c r="E458" s="63" t="n"/>
      <c r="F458" s="63" t="n"/>
      <c r="G458" s="62" t="str">
        <f>IF(B458="","",IFERROR(INDEX(fa_cname,MATCH(B458,fa_num,0))&amp;"",""))</f>
        <v/>
      </c>
      <c r="H458" s="59" t="str">
        <f>IF(COUNTA(A458:F458)=0,"",IF(A458="","Date manquante",IF(NOT(ISNUMBER(A458)),"Date invalide",IF(B458="","N° de facture manquant",IF(ISNA(MATCH(B458,fa_num,0)),"Facture inconnue",IF(INDEX(fa_type,MATCH(B458,fa_num,0))="Avoir","Paiement sur un avoir",IF(OR(NOT(ISNUMBER(C458)),N(C458)&lt;=0),"Montant invalide",IF(A458&lt;INDEX(fa_date,MATCH(B458,fa_num,0)),"Date antérieure à la facture",IF(SUMIF($B$6:B458,B458,$C$6:C458)&gt;INDEX(fa_ttc,MATCH(B458,fa_num,0))-N(INDEX(fa_avoirs,MATCH(B458,fa_num,0)))+0.001,"Dépasse le montant de la facture","OK")))))))))</f>
        <v/>
      </c>
    </row>
    <row r="459">
      <c r="A459" s="61" t="n"/>
      <c r="B459" s="60" t="n"/>
      <c r="C459" s="68" t="n"/>
      <c r="D459" s="60" t="n"/>
      <c r="E459" s="63" t="n"/>
      <c r="F459" s="63" t="n"/>
      <c r="G459" s="62" t="str">
        <f>IF(B459="","",IFERROR(INDEX(fa_cname,MATCH(B459,fa_num,0))&amp;"",""))</f>
        <v/>
      </c>
      <c r="H459" s="59" t="str">
        <f>IF(COUNTA(A459:F459)=0,"",IF(A459="","Date manquante",IF(NOT(ISNUMBER(A459)),"Date invalide",IF(B459="","N° de facture manquant",IF(ISNA(MATCH(B459,fa_num,0)),"Facture inconnue",IF(INDEX(fa_type,MATCH(B459,fa_num,0))="Avoir","Paiement sur un avoir",IF(OR(NOT(ISNUMBER(C459)),N(C459)&lt;=0),"Montant invalide",IF(A459&lt;INDEX(fa_date,MATCH(B459,fa_num,0)),"Date antérieure à la facture",IF(SUMIF($B$6:B459,B459,$C$6:C459)&gt;INDEX(fa_ttc,MATCH(B459,fa_num,0))-N(INDEX(fa_avoirs,MATCH(B459,fa_num,0)))+0.001,"Dépasse le montant de la facture","OK")))))))))</f>
        <v/>
      </c>
    </row>
    <row r="460">
      <c r="A460" s="61" t="n"/>
      <c r="B460" s="60" t="n"/>
      <c r="C460" s="68" t="n"/>
      <c r="D460" s="60" t="n"/>
      <c r="E460" s="63" t="n"/>
      <c r="F460" s="63" t="n"/>
      <c r="G460" s="62" t="str">
        <f>IF(B460="","",IFERROR(INDEX(fa_cname,MATCH(B460,fa_num,0))&amp;"",""))</f>
        <v/>
      </c>
      <c r="H460" s="59" t="str">
        <f>IF(COUNTA(A460:F460)=0,"",IF(A460="","Date manquante",IF(NOT(ISNUMBER(A460)),"Date invalide",IF(B460="","N° de facture manquant",IF(ISNA(MATCH(B460,fa_num,0)),"Facture inconnue",IF(INDEX(fa_type,MATCH(B460,fa_num,0))="Avoir","Paiement sur un avoir",IF(OR(NOT(ISNUMBER(C460)),N(C460)&lt;=0),"Montant invalide",IF(A460&lt;INDEX(fa_date,MATCH(B460,fa_num,0)),"Date antérieure à la facture",IF(SUMIF($B$6:B460,B460,$C$6:C460)&gt;INDEX(fa_ttc,MATCH(B460,fa_num,0))-N(INDEX(fa_avoirs,MATCH(B460,fa_num,0)))+0.001,"Dépasse le montant de la facture","OK")))))))))</f>
        <v/>
      </c>
    </row>
    <row r="461">
      <c r="A461" s="61" t="n"/>
      <c r="B461" s="60" t="n"/>
      <c r="C461" s="68" t="n"/>
      <c r="D461" s="60" t="n"/>
      <c r="E461" s="63" t="n"/>
      <c r="F461" s="63" t="n"/>
      <c r="G461" s="62" t="str">
        <f>IF(B461="","",IFERROR(INDEX(fa_cname,MATCH(B461,fa_num,0))&amp;"",""))</f>
        <v/>
      </c>
      <c r="H461" s="59" t="str">
        <f>IF(COUNTA(A461:F461)=0,"",IF(A461="","Date manquante",IF(NOT(ISNUMBER(A461)),"Date invalide",IF(B461="","N° de facture manquant",IF(ISNA(MATCH(B461,fa_num,0)),"Facture inconnue",IF(INDEX(fa_type,MATCH(B461,fa_num,0))="Avoir","Paiement sur un avoir",IF(OR(NOT(ISNUMBER(C461)),N(C461)&lt;=0),"Montant invalide",IF(A461&lt;INDEX(fa_date,MATCH(B461,fa_num,0)),"Date antérieure à la facture",IF(SUMIF($B$6:B461,B461,$C$6:C461)&gt;INDEX(fa_ttc,MATCH(B461,fa_num,0))-N(INDEX(fa_avoirs,MATCH(B461,fa_num,0)))+0.001,"Dépasse le montant de la facture","OK")))))))))</f>
        <v/>
      </c>
    </row>
    <row r="462">
      <c r="A462" s="61" t="n"/>
      <c r="B462" s="60" t="n"/>
      <c r="C462" s="68" t="n"/>
      <c r="D462" s="60" t="n"/>
      <c r="E462" s="63" t="n"/>
      <c r="F462" s="63" t="n"/>
      <c r="G462" s="62" t="str">
        <f>IF(B462="","",IFERROR(INDEX(fa_cname,MATCH(B462,fa_num,0))&amp;"",""))</f>
        <v/>
      </c>
      <c r="H462" s="59" t="str">
        <f>IF(COUNTA(A462:F462)=0,"",IF(A462="","Date manquante",IF(NOT(ISNUMBER(A462)),"Date invalide",IF(B462="","N° de facture manquant",IF(ISNA(MATCH(B462,fa_num,0)),"Facture inconnue",IF(INDEX(fa_type,MATCH(B462,fa_num,0))="Avoir","Paiement sur un avoir",IF(OR(NOT(ISNUMBER(C462)),N(C462)&lt;=0),"Montant invalide",IF(A462&lt;INDEX(fa_date,MATCH(B462,fa_num,0)),"Date antérieure à la facture",IF(SUMIF($B$6:B462,B462,$C$6:C462)&gt;INDEX(fa_ttc,MATCH(B462,fa_num,0))-N(INDEX(fa_avoirs,MATCH(B462,fa_num,0)))+0.001,"Dépasse le montant de la facture","OK")))))))))</f>
        <v/>
      </c>
    </row>
    <row r="463">
      <c r="A463" s="61" t="n"/>
      <c r="B463" s="60" t="n"/>
      <c r="C463" s="68" t="n"/>
      <c r="D463" s="60" t="n"/>
      <c r="E463" s="63" t="n"/>
      <c r="F463" s="63" t="n"/>
      <c r="G463" s="62" t="str">
        <f>IF(B463="","",IFERROR(INDEX(fa_cname,MATCH(B463,fa_num,0))&amp;"",""))</f>
        <v/>
      </c>
      <c r="H463" s="59" t="str">
        <f>IF(COUNTA(A463:F463)=0,"",IF(A463="","Date manquante",IF(NOT(ISNUMBER(A463)),"Date invalide",IF(B463="","N° de facture manquant",IF(ISNA(MATCH(B463,fa_num,0)),"Facture inconnue",IF(INDEX(fa_type,MATCH(B463,fa_num,0))="Avoir","Paiement sur un avoir",IF(OR(NOT(ISNUMBER(C463)),N(C463)&lt;=0),"Montant invalide",IF(A463&lt;INDEX(fa_date,MATCH(B463,fa_num,0)),"Date antérieure à la facture",IF(SUMIF($B$6:B463,B463,$C$6:C463)&gt;INDEX(fa_ttc,MATCH(B463,fa_num,0))-N(INDEX(fa_avoirs,MATCH(B463,fa_num,0)))+0.001,"Dépasse le montant de la facture","OK")))))))))</f>
        <v/>
      </c>
    </row>
    <row r="464">
      <c r="A464" s="61" t="n"/>
      <c r="B464" s="60" t="n"/>
      <c r="C464" s="68" t="n"/>
      <c r="D464" s="60" t="n"/>
      <c r="E464" s="63" t="n"/>
      <c r="F464" s="63" t="n"/>
      <c r="G464" s="62" t="str">
        <f>IF(B464="","",IFERROR(INDEX(fa_cname,MATCH(B464,fa_num,0))&amp;"",""))</f>
        <v/>
      </c>
      <c r="H464" s="59" t="str">
        <f>IF(COUNTA(A464:F464)=0,"",IF(A464="","Date manquante",IF(NOT(ISNUMBER(A464)),"Date invalide",IF(B464="","N° de facture manquant",IF(ISNA(MATCH(B464,fa_num,0)),"Facture inconnue",IF(INDEX(fa_type,MATCH(B464,fa_num,0))="Avoir","Paiement sur un avoir",IF(OR(NOT(ISNUMBER(C464)),N(C464)&lt;=0),"Montant invalide",IF(A464&lt;INDEX(fa_date,MATCH(B464,fa_num,0)),"Date antérieure à la facture",IF(SUMIF($B$6:B464,B464,$C$6:C464)&gt;INDEX(fa_ttc,MATCH(B464,fa_num,0))-N(INDEX(fa_avoirs,MATCH(B464,fa_num,0)))+0.001,"Dépasse le montant de la facture","OK")))))))))</f>
        <v/>
      </c>
    </row>
    <row r="465">
      <c r="A465" s="61" t="n"/>
      <c r="B465" s="60" t="n"/>
      <c r="C465" s="68" t="n"/>
      <c r="D465" s="60" t="n"/>
      <c r="E465" s="63" t="n"/>
      <c r="F465" s="63" t="n"/>
      <c r="G465" s="62" t="str">
        <f>IF(B465="","",IFERROR(INDEX(fa_cname,MATCH(B465,fa_num,0))&amp;"",""))</f>
        <v/>
      </c>
      <c r="H465" s="59" t="str">
        <f>IF(COUNTA(A465:F465)=0,"",IF(A465="","Date manquante",IF(NOT(ISNUMBER(A465)),"Date invalide",IF(B465="","N° de facture manquant",IF(ISNA(MATCH(B465,fa_num,0)),"Facture inconnue",IF(INDEX(fa_type,MATCH(B465,fa_num,0))="Avoir","Paiement sur un avoir",IF(OR(NOT(ISNUMBER(C465)),N(C465)&lt;=0),"Montant invalide",IF(A465&lt;INDEX(fa_date,MATCH(B465,fa_num,0)),"Date antérieure à la facture",IF(SUMIF($B$6:B465,B465,$C$6:C465)&gt;INDEX(fa_ttc,MATCH(B465,fa_num,0))-N(INDEX(fa_avoirs,MATCH(B465,fa_num,0)))+0.001,"Dépasse le montant de la facture","OK")))))))))</f>
        <v/>
      </c>
    </row>
    <row r="466">
      <c r="A466" s="61" t="n"/>
      <c r="B466" s="60" t="n"/>
      <c r="C466" s="68" t="n"/>
      <c r="D466" s="60" t="n"/>
      <c r="E466" s="63" t="n"/>
      <c r="F466" s="63" t="n"/>
      <c r="G466" s="62" t="str">
        <f>IF(B466="","",IFERROR(INDEX(fa_cname,MATCH(B466,fa_num,0))&amp;"",""))</f>
        <v/>
      </c>
      <c r="H466" s="59" t="str">
        <f>IF(COUNTA(A466:F466)=0,"",IF(A466="","Date manquante",IF(NOT(ISNUMBER(A466)),"Date invalide",IF(B466="","N° de facture manquant",IF(ISNA(MATCH(B466,fa_num,0)),"Facture inconnue",IF(INDEX(fa_type,MATCH(B466,fa_num,0))="Avoir","Paiement sur un avoir",IF(OR(NOT(ISNUMBER(C466)),N(C466)&lt;=0),"Montant invalide",IF(A466&lt;INDEX(fa_date,MATCH(B466,fa_num,0)),"Date antérieure à la facture",IF(SUMIF($B$6:B466,B466,$C$6:C466)&gt;INDEX(fa_ttc,MATCH(B466,fa_num,0))-N(INDEX(fa_avoirs,MATCH(B466,fa_num,0)))+0.001,"Dépasse le montant de la facture","OK")))))))))</f>
        <v/>
      </c>
    </row>
    <row r="467">
      <c r="A467" s="61" t="n"/>
      <c r="B467" s="60" t="n"/>
      <c r="C467" s="68" t="n"/>
      <c r="D467" s="60" t="n"/>
      <c r="E467" s="63" t="n"/>
      <c r="F467" s="63" t="n"/>
      <c r="G467" s="62" t="str">
        <f>IF(B467="","",IFERROR(INDEX(fa_cname,MATCH(B467,fa_num,0))&amp;"",""))</f>
        <v/>
      </c>
      <c r="H467" s="59" t="str">
        <f>IF(COUNTA(A467:F467)=0,"",IF(A467="","Date manquante",IF(NOT(ISNUMBER(A467)),"Date invalide",IF(B467="","N° de facture manquant",IF(ISNA(MATCH(B467,fa_num,0)),"Facture inconnue",IF(INDEX(fa_type,MATCH(B467,fa_num,0))="Avoir","Paiement sur un avoir",IF(OR(NOT(ISNUMBER(C467)),N(C467)&lt;=0),"Montant invalide",IF(A467&lt;INDEX(fa_date,MATCH(B467,fa_num,0)),"Date antérieure à la facture",IF(SUMIF($B$6:B467,B467,$C$6:C467)&gt;INDEX(fa_ttc,MATCH(B467,fa_num,0))-N(INDEX(fa_avoirs,MATCH(B467,fa_num,0)))+0.001,"Dépasse le montant de la facture","OK")))))))))</f>
        <v/>
      </c>
    </row>
    <row r="468">
      <c r="A468" s="61" t="n"/>
      <c r="B468" s="60" t="n"/>
      <c r="C468" s="68" t="n"/>
      <c r="D468" s="60" t="n"/>
      <c r="E468" s="63" t="n"/>
      <c r="F468" s="63" t="n"/>
      <c r="G468" s="62" t="str">
        <f>IF(B468="","",IFERROR(INDEX(fa_cname,MATCH(B468,fa_num,0))&amp;"",""))</f>
        <v/>
      </c>
      <c r="H468" s="59" t="str">
        <f>IF(COUNTA(A468:F468)=0,"",IF(A468="","Date manquante",IF(NOT(ISNUMBER(A468)),"Date invalide",IF(B468="","N° de facture manquant",IF(ISNA(MATCH(B468,fa_num,0)),"Facture inconnue",IF(INDEX(fa_type,MATCH(B468,fa_num,0))="Avoir","Paiement sur un avoir",IF(OR(NOT(ISNUMBER(C468)),N(C468)&lt;=0),"Montant invalide",IF(A468&lt;INDEX(fa_date,MATCH(B468,fa_num,0)),"Date antérieure à la facture",IF(SUMIF($B$6:B468,B468,$C$6:C468)&gt;INDEX(fa_ttc,MATCH(B468,fa_num,0))-N(INDEX(fa_avoirs,MATCH(B468,fa_num,0)))+0.001,"Dépasse le montant de la facture","OK")))))))))</f>
        <v/>
      </c>
    </row>
    <row r="469">
      <c r="A469" s="61" t="n"/>
      <c r="B469" s="60" t="n"/>
      <c r="C469" s="68" t="n"/>
      <c r="D469" s="60" t="n"/>
      <c r="E469" s="63" t="n"/>
      <c r="F469" s="63" t="n"/>
      <c r="G469" s="62" t="str">
        <f>IF(B469="","",IFERROR(INDEX(fa_cname,MATCH(B469,fa_num,0))&amp;"",""))</f>
        <v/>
      </c>
      <c r="H469" s="59" t="str">
        <f>IF(COUNTA(A469:F469)=0,"",IF(A469="","Date manquante",IF(NOT(ISNUMBER(A469)),"Date invalide",IF(B469="","N° de facture manquant",IF(ISNA(MATCH(B469,fa_num,0)),"Facture inconnue",IF(INDEX(fa_type,MATCH(B469,fa_num,0))="Avoir","Paiement sur un avoir",IF(OR(NOT(ISNUMBER(C469)),N(C469)&lt;=0),"Montant invalide",IF(A469&lt;INDEX(fa_date,MATCH(B469,fa_num,0)),"Date antérieure à la facture",IF(SUMIF($B$6:B469,B469,$C$6:C469)&gt;INDEX(fa_ttc,MATCH(B469,fa_num,0))-N(INDEX(fa_avoirs,MATCH(B469,fa_num,0)))+0.001,"Dépasse le montant de la facture","OK")))))))))</f>
        <v/>
      </c>
    </row>
    <row r="470">
      <c r="A470" s="61" t="n"/>
      <c r="B470" s="60" t="n"/>
      <c r="C470" s="68" t="n"/>
      <c r="D470" s="60" t="n"/>
      <c r="E470" s="63" t="n"/>
      <c r="F470" s="63" t="n"/>
      <c r="G470" s="62" t="str">
        <f>IF(B470="","",IFERROR(INDEX(fa_cname,MATCH(B470,fa_num,0))&amp;"",""))</f>
        <v/>
      </c>
      <c r="H470" s="59" t="str">
        <f>IF(COUNTA(A470:F470)=0,"",IF(A470="","Date manquante",IF(NOT(ISNUMBER(A470)),"Date invalide",IF(B470="","N° de facture manquant",IF(ISNA(MATCH(B470,fa_num,0)),"Facture inconnue",IF(INDEX(fa_type,MATCH(B470,fa_num,0))="Avoir","Paiement sur un avoir",IF(OR(NOT(ISNUMBER(C470)),N(C470)&lt;=0),"Montant invalide",IF(A470&lt;INDEX(fa_date,MATCH(B470,fa_num,0)),"Date antérieure à la facture",IF(SUMIF($B$6:B470,B470,$C$6:C470)&gt;INDEX(fa_ttc,MATCH(B470,fa_num,0))-N(INDEX(fa_avoirs,MATCH(B470,fa_num,0)))+0.001,"Dépasse le montant de la facture","OK")))))))))</f>
        <v/>
      </c>
    </row>
    <row r="471">
      <c r="A471" s="61" t="n"/>
      <c r="B471" s="60" t="n"/>
      <c r="C471" s="68" t="n"/>
      <c r="D471" s="60" t="n"/>
      <c r="E471" s="63" t="n"/>
      <c r="F471" s="63" t="n"/>
      <c r="G471" s="62" t="str">
        <f>IF(B471="","",IFERROR(INDEX(fa_cname,MATCH(B471,fa_num,0))&amp;"",""))</f>
        <v/>
      </c>
      <c r="H471" s="59" t="str">
        <f>IF(COUNTA(A471:F471)=0,"",IF(A471="","Date manquante",IF(NOT(ISNUMBER(A471)),"Date invalide",IF(B471="","N° de facture manquant",IF(ISNA(MATCH(B471,fa_num,0)),"Facture inconnue",IF(INDEX(fa_type,MATCH(B471,fa_num,0))="Avoir","Paiement sur un avoir",IF(OR(NOT(ISNUMBER(C471)),N(C471)&lt;=0),"Montant invalide",IF(A471&lt;INDEX(fa_date,MATCH(B471,fa_num,0)),"Date antérieure à la facture",IF(SUMIF($B$6:B471,B471,$C$6:C471)&gt;INDEX(fa_ttc,MATCH(B471,fa_num,0))-N(INDEX(fa_avoirs,MATCH(B471,fa_num,0)))+0.001,"Dépasse le montant de la facture","OK")))))))))</f>
        <v/>
      </c>
    </row>
    <row r="472">
      <c r="A472" s="61" t="n"/>
      <c r="B472" s="60" t="n"/>
      <c r="C472" s="68" t="n"/>
      <c r="D472" s="60" t="n"/>
      <c r="E472" s="63" t="n"/>
      <c r="F472" s="63" t="n"/>
      <c r="G472" s="62" t="str">
        <f>IF(B472="","",IFERROR(INDEX(fa_cname,MATCH(B472,fa_num,0))&amp;"",""))</f>
        <v/>
      </c>
      <c r="H472" s="59" t="str">
        <f>IF(COUNTA(A472:F472)=0,"",IF(A472="","Date manquante",IF(NOT(ISNUMBER(A472)),"Date invalide",IF(B472="","N° de facture manquant",IF(ISNA(MATCH(B472,fa_num,0)),"Facture inconnue",IF(INDEX(fa_type,MATCH(B472,fa_num,0))="Avoir","Paiement sur un avoir",IF(OR(NOT(ISNUMBER(C472)),N(C472)&lt;=0),"Montant invalide",IF(A472&lt;INDEX(fa_date,MATCH(B472,fa_num,0)),"Date antérieure à la facture",IF(SUMIF($B$6:B472,B472,$C$6:C472)&gt;INDEX(fa_ttc,MATCH(B472,fa_num,0))-N(INDEX(fa_avoirs,MATCH(B472,fa_num,0)))+0.001,"Dépasse le montant de la facture","OK")))))))))</f>
        <v/>
      </c>
    </row>
    <row r="473">
      <c r="A473" s="61" t="n"/>
      <c r="B473" s="60" t="n"/>
      <c r="C473" s="68" t="n"/>
      <c r="D473" s="60" t="n"/>
      <c r="E473" s="63" t="n"/>
      <c r="F473" s="63" t="n"/>
      <c r="G473" s="62" t="str">
        <f>IF(B473="","",IFERROR(INDEX(fa_cname,MATCH(B473,fa_num,0))&amp;"",""))</f>
        <v/>
      </c>
      <c r="H473" s="59" t="str">
        <f>IF(COUNTA(A473:F473)=0,"",IF(A473="","Date manquante",IF(NOT(ISNUMBER(A473)),"Date invalide",IF(B473="","N° de facture manquant",IF(ISNA(MATCH(B473,fa_num,0)),"Facture inconnue",IF(INDEX(fa_type,MATCH(B473,fa_num,0))="Avoir","Paiement sur un avoir",IF(OR(NOT(ISNUMBER(C473)),N(C473)&lt;=0),"Montant invalide",IF(A473&lt;INDEX(fa_date,MATCH(B473,fa_num,0)),"Date antérieure à la facture",IF(SUMIF($B$6:B473,B473,$C$6:C473)&gt;INDEX(fa_ttc,MATCH(B473,fa_num,0))-N(INDEX(fa_avoirs,MATCH(B473,fa_num,0)))+0.001,"Dépasse le montant de la facture","OK")))))))))</f>
        <v/>
      </c>
    </row>
    <row r="474">
      <c r="A474" s="61" t="n"/>
      <c r="B474" s="60" t="n"/>
      <c r="C474" s="68" t="n"/>
      <c r="D474" s="60" t="n"/>
      <c r="E474" s="63" t="n"/>
      <c r="F474" s="63" t="n"/>
      <c r="G474" s="62" t="str">
        <f>IF(B474="","",IFERROR(INDEX(fa_cname,MATCH(B474,fa_num,0))&amp;"",""))</f>
        <v/>
      </c>
      <c r="H474" s="59" t="str">
        <f>IF(COUNTA(A474:F474)=0,"",IF(A474="","Date manquante",IF(NOT(ISNUMBER(A474)),"Date invalide",IF(B474="","N° de facture manquant",IF(ISNA(MATCH(B474,fa_num,0)),"Facture inconnue",IF(INDEX(fa_type,MATCH(B474,fa_num,0))="Avoir","Paiement sur un avoir",IF(OR(NOT(ISNUMBER(C474)),N(C474)&lt;=0),"Montant invalide",IF(A474&lt;INDEX(fa_date,MATCH(B474,fa_num,0)),"Date antérieure à la facture",IF(SUMIF($B$6:B474,B474,$C$6:C474)&gt;INDEX(fa_ttc,MATCH(B474,fa_num,0))-N(INDEX(fa_avoirs,MATCH(B474,fa_num,0)))+0.001,"Dépasse le montant de la facture","OK")))))))))</f>
        <v/>
      </c>
    </row>
    <row r="475">
      <c r="A475" s="61" t="n"/>
      <c r="B475" s="60" t="n"/>
      <c r="C475" s="68" t="n"/>
      <c r="D475" s="60" t="n"/>
      <c r="E475" s="63" t="n"/>
      <c r="F475" s="63" t="n"/>
      <c r="G475" s="62" t="str">
        <f>IF(B475="","",IFERROR(INDEX(fa_cname,MATCH(B475,fa_num,0))&amp;"",""))</f>
        <v/>
      </c>
      <c r="H475" s="59" t="str">
        <f>IF(COUNTA(A475:F475)=0,"",IF(A475="","Date manquante",IF(NOT(ISNUMBER(A475)),"Date invalide",IF(B475="","N° de facture manquant",IF(ISNA(MATCH(B475,fa_num,0)),"Facture inconnue",IF(INDEX(fa_type,MATCH(B475,fa_num,0))="Avoir","Paiement sur un avoir",IF(OR(NOT(ISNUMBER(C475)),N(C475)&lt;=0),"Montant invalide",IF(A475&lt;INDEX(fa_date,MATCH(B475,fa_num,0)),"Date antérieure à la facture",IF(SUMIF($B$6:B475,B475,$C$6:C475)&gt;INDEX(fa_ttc,MATCH(B475,fa_num,0))-N(INDEX(fa_avoirs,MATCH(B475,fa_num,0)))+0.001,"Dépasse le montant de la facture","OK")))))))))</f>
        <v/>
      </c>
    </row>
    <row r="476">
      <c r="A476" s="61" t="n"/>
      <c r="B476" s="60" t="n"/>
      <c r="C476" s="68" t="n"/>
      <c r="D476" s="60" t="n"/>
      <c r="E476" s="63" t="n"/>
      <c r="F476" s="63" t="n"/>
      <c r="G476" s="62" t="str">
        <f>IF(B476="","",IFERROR(INDEX(fa_cname,MATCH(B476,fa_num,0))&amp;"",""))</f>
        <v/>
      </c>
      <c r="H476" s="59" t="str">
        <f>IF(COUNTA(A476:F476)=0,"",IF(A476="","Date manquante",IF(NOT(ISNUMBER(A476)),"Date invalide",IF(B476="","N° de facture manquant",IF(ISNA(MATCH(B476,fa_num,0)),"Facture inconnue",IF(INDEX(fa_type,MATCH(B476,fa_num,0))="Avoir","Paiement sur un avoir",IF(OR(NOT(ISNUMBER(C476)),N(C476)&lt;=0),"Montant invalide",IF(A476&lt;INDEX(fa_date,MATCH(B476,fa_num,0)),"Date antérieure à la facture",IF(SUMIF($B$6:B476,B476,$C$6:C476)&gt;INDEX(fa_ttc,MATCH(B476,fa_num,0))-N(INDEX(fa_avoirs,MATCH(B476,fa_num,0)))+0.001,"Dépasse le montant de la facture","OK")))))))))</f>
        <v/>
      </c>
    </row>
    <row r="477">
      <c r="A477" s="61" t="n"/>
      <c r="B477" s="60" t="n"/>
      <c r="C477" s="68" t="n"/>
      <c r="D477" s="60" t="n"/>
      <c r="E477" s="63" t="n"/>
      <c r="F477" s="63" t="n"/>
      <c r="G477" s="62" t="str">
        <f>IF(B477="","",IFERROR(INDEX(fa_cname,MATCH(B477,fa_num,0))&amp;"",""))</f>
        <v/>
      </c>
      <c r="H477" s="59" t="str">
        <f>IF(COUNTA(A477:F477)=0,"",IF(A477="","Date manquante",IF(NOT(ISNUMBER(A477)),"Date invalide",IF(B477="","N° de facture manquant",IF(ISNA(MATCH(B477,fa_num,0)),"Facture inconnue",IF(INDEX(fa_type,MATCH(B477,fa_num,0))="Avoir","Paiement sur un avoir",IF(OR(NOT(ISNUMBER(C477)),N(C477)&lt;=0),"Montant invalide",IF(A477&lt;INDEX(fa_date,MATCH(B477,fa_num,0)),"Date antérieure à la facture",IF(SUMIF($B$6:B477,B477,$C$6:C477)&gt;INDEX(fa_ttc,MATCH(B477,fa_num,0))-N(INDEX(fa_avoirs,MATCH(B477,fa_num,0)))+0.001,"Dépasse le montant de la facture","OK")))))))))</f>
        <v/>
      </c>
    </row>
    <row r="478">
      <c r="A478" s="61" t="n"/>
      <c r="B478" s="60" t="n"/>
      <c r="C478" s="68" t="n"/>
      <c r="D478" s="60" t="n"/>
      <c r="E478" s="63" t="n"/>
      <c r="F478" s="63" t="n"/>
      <c r="G478" s="62" t="str">
        <f>IF(B478="","",IFERROR(INDEX(fa_cname,MATCH(B478,fa_num,0))&amp;"",""))</f>
        <v/>
      </c>
      <c r="H478" s="59" t="str">
        <f>IF(COUNTA(A478:F478)=0,"",IF(A478="","Date manquante",IF(NOT(ISNUMBER(A478)),"Date invalide",IF(B478="","N° de facture manquant",IF(ISNA(MATCH(B478,fa_num,0)),"Facture inconnue",IF(INDEX(fa_type,MATCH(B478,fa_num,0))="Avoir","Paiement sur un avoir",IF(OR(NOT(ISNUMBER(C478)),N(C478)&lt;=0),"Montant invalide",IF(A478&lt;INDEX(fa_date,MATCH(B478,fa_num,0)),"Date antérieure à la facture",IF(SUMIF($B$6:B478,B478,$C$6:C478)&gt;INDEX(fa_ttc,MATCH(B478,fa_num,0))-N(INDEX(fa_avoirs,MATCH(B478,fa_num,0)))+0.001,"Dépasse le montant de la facture","OK")))))))))</f>
        <v/>
      </c>
    </row>
    <row r="479">
      <c r="A479" s="61" t="n"/>
      <c r="B479" s="60" t="n"/>
      <c r="C479" s="68" t="n"/>
      <c r="D479" s="60" t="n"/>
      <c r="E479" s="63" t="n"/>
      <c r="F479" s="63" t="n"/>
      <c r="G479" s="62" t="str">
        <f>IF(B479="","",IFERROR(INDEX(fa_cname,MATCH(B479,fa_num,0))&amp;"",""))</f>
        <v/>
      </c>
      <c r="H479" s="59" t="str">
        <f>IF(COUNTA(A479:F479)=0,"",IF(A479="","Date manquante",IF(NOT(ISNUMBER(A479)),"Date invalide",IF(B479="","N° de facture manquant",IF(ISNA(MATCH(B479,fa_num,0)),"Facture inconnue",IF(INDEX(fa_type,MATCH(B479,fa_num,0))="Avoir","Paiement sur un avoir",IF(OR(NOT(ISNUMBER(C479)),N(C479)&lt;=0),"Montant invalide",IF(A479&lt;INDEX(fa_date,MATCH(B479,fa_num,0)),"Date antérieure à la facture",IF(SUMIF($B$6:B479,B479,$C$6:C479)&gt;INDEX(fa_ttc,MATCH(B479,fa_num,0))-N(INDEX(fa_avoirs,MATCH(B479,fa_num,0)))+0.001,"Dépasse le montant de la facture","OK")))))))))</f>
        <v/>
      </c>
    </row>
    <row r="480">
      <c r="A480" s="61" t="n"/>
      <c r="B480" s="60" t="n"/>
      <c r="C480" s="68" t="n"/>
      <c r="D480" s="60" t="n"/>
      <c r="E480" s="63" t="n"/>
      <c r="F480" s="63" t="n"/>
      <c r="G480" s="62" t="str">
        <f>IF(B480="","",IFERROR(INDEX(fa_cname,MATCH(B480,fa_num,0))&amp;"",""))</f>
        <v/>
      </c>
      <c r="H480" s="59" t="str">
        <f>IF(COUNTA(A480:F480)=0,"",IF(A480="","Date manquante",IF(NOT(ISNUMBER(A480)),"Date invalide",IF(B480="","N° de facture manquant",IF(ISNA(MATCH(B480,fa_num,0)),"Facture inconnue",IF(INDEX(fa_type,MATCH(B480,fa_num,0))="Avoir","Paiement sur un avoir",IF(OR(NOT(ISNUMBER(C480)),N(C480)&lt;=0),"Montant invalide",IF(A480&lt;INDEX(fa_date,MATCH(B480,fa_num,0)),"Date antérieure à la facture",IF(SUMIF($B$6:B480,B480,$C$6:C480)&gt;INDEX(fa_ttc,MATCH(B480,fa_num,0))-N(INDEX(fa_avoirs,MATCH(B480,fa_num,0)))+0.001,"Dépasse le montant de la facture","OK")))))))))</f>
        <v/>
      </c>
    </row>
    <row r="481">
      <c r="A481" s="61" t="n"/>
      <c r="B481" s="60" t="n"/>
      <c r="C481" s="68" t="n"/>
      <c r="D481" s="60" t="n"/>
      <c r="E481" s="63" t="n"/>
      <c r="F481" s="63" t="n"/>
      <c r="G481" s="62" t="str">
        <f>IF(B481="","",IFERROR(INDEX(fa_cname,MATCH(B481,fa_num,0))&amp;"",""))</f>
        <v/>
      </c>
      <c r="H481" s="59" t="str">
        <f>IF(COUNTA(A481:F481)=0,"",IF(A481="","Date manquante",IF(NOT(ISNUMBER(A481)),"Date invalide",IF(B481="","N° de facture manquant",IF(ISNA(MATCH(B481,fa_num,0)),"Facture inconnue",IF(INDEX(fa_type,MATCH(B481,fa_num,0))="Avoir","Paiement sur un avoir",IF(OR(NOT(ISNUMBER(C481)),N(C481)&lt;=0),"Montant invalide",IF(A481&lt;INDEX(fa_date,MATCH(B481,fa_num,0)),"Date antérieure à la facture",IF(SUMIF($B$6:B481,B481,$C$6:C481)&gt;INDEX(fa_ttc,MATCH(B481,fa_num,0))-N(INDEX(fa_avoirs,MATCH(B481,fa_num,0)))+0.001,"Dépasse le montant de la facture","OK")))))))))</f>
        <v/>
      </c>
    </row>
    <row r="482">
      <c r="A482" s="61" t="n"/>
      <c r="B482" s="60" t="n"/>
      <c r="C482" s="68" t="n"/>
      <c r="D482" s="60" t="n"/>
      <c r="E482" s="63" t="n"/>
      <c r="F482" s="63" t="n"/>
      <c r="G482" s="62" t="str">
        <f>IF(B482="","",IFERROR(INDEX(fa_cname,MATCH(B482,fa_num,0))&amp;"",""))</f>
        <v/>
      </c>
      <c r="H482" s="59" t="str">
        <f>IF(COUNTA(A482:F482)=0,"",IF(A482="","Date manquante",IF(NOT(ISNUMBER(A482)),"Date invalide",IF(B482="","N° de facture manquant",IF(ISNA(MATCH(B482,fa_num,0)),"Facture inconnue",IF(INDEX(fa_type,MATCH(B482,fa_num,0))="Avoir","Paiement sur un avoir",IF(OR(NOT(ISNUMBER(C482)),N(C482)&lt;=0),"Montant invalide",IF(A482&lt;INDEX(fa_date,MATCH(B482,fa_num,0)),"Date antérieure à la facture",IF(SUMIF($B$6:B482,B482,$C$6:C482)&gt;INDEX(fa_ttc,MATCH(B482,fa_num,0))-N(INDEX(fa_avoirs,MATCH(B482,fa_num,0)))+0.001,"Dépasse le montant de la facture","OK")))))))))</f>
        <v/>
      </c>
    </row>
    <row r="483">
      <c r="A483" s="61" t="n"/>
      <c r="B483" s="60" t="n"/>
      <c r="C483" s="68" t="n"/>
      <c r="D483" s="60" t="n"/>
      <c r="E483" s="63" t="n"/>
      <c r="F483" s="63" t="n"/>
      <c r="G483" s="62" t="str">
        <f>IF(B483="","",IFERROR(INDEX(fa_cname,MATCH(B483,fa_num,0))&amp;"",""))</f>
        <v/>
      </c>
      <c r="H483" s="59" t="str">
        <f>IF(COUNTA(A483:F483)=0,"",IF(A483="","Date manquante",IF(NOT(ISNUMBER(A483)),"Date invalide",IF(B483="","N° de facture manquant",IF(ISNA(MATCH(B483,fa_num,0)),"Facture inconnue",IF(INDEX(fa_type,MATCH(B483,fa_num,0))="Avoir","Paiement sur un avoir",IF(OR(NOT(ISNUMBER(C483)),N(C483)&lt;=0),"Montant invalide",IF(A483&lt;INDEX(fa_date,MATCH(B483,fa_num,0)),"Date antérieure à la facture",IF(SUMIF($B$6:B483,B483,$C$6:C483)&gt;INDEX(fa_ttc,MATCH(B483,fa_num,0))-N(INDEX(fa_avoirs,MATCH(B483,fa_num,0)))+0.001,"Dépasse le montant de la facture","OK")))))))))</f>
        <v/>
      </c>
    </row>
    <row r="484">
      <c r="A484" s="61" t="n"/>
      <c r="B484" s="60" t="n"/>
      <c r="C484" s="68" t="n"/>
      <c r="D484" s="60" t="n"/>
      <c r="E484" s="63" t="n"/>
      <c r="F484" s="63" t="n"/>
      <c r="G484" s="62" t="str">
        <f>IF(B484="","",IFERROR(INDEX(fa_cname,MATCH(B484,fa_num,0))&amp;"",""))</f>
        <v/>
      </c>
      <c r="H484" s="59" t="str">
        <f>IF(COUNTA(A484:F484)=0,"",IF(A484="","Date manquante",IF(NOT(ISNUMBER(A484)),"Date invalide",IF(B484="","N° de facture manquant",IF(ISNA(MATCH(B484,fa_num,0)),"Facture inconnue",IF(INDEX(fa_type,MATCH(B484,fa_num,0))="Avoir","Paiement sur un avoir",IF(OR(NOT(ISNUMBER(C484)),N(C484)&lt;=0),"Montant invalide",IF(A484&lt;INDEX(fa_date,MATCH(B484,fa_num,0)),"Date antérieure à la facture",IF(SUMIF($B$6:B484,B484,$C$6:C484)&gt;INDEX(fa_ttc,MATCH(B484,fa_num,0))-N(INDEX(fa_avoirs,MATCH(B484,fa_num,0)))+0.001,"Dépasse le montant de la facture","OK")))))))))</f>
        <v/>
      </c>
    </row>
    <row r="485">
      <c r="A485" s="61" t="n"/>
      <c r="B485" s="60" t="n"/>
      <c r="C485" s="68" t="n"/>
      <c r="D485" s="60" t="n"/>
      <c r="E485" s="63" t="n"/>
      <c r="F485" s="63" t="n"/>
      <c r="G485" s="62" t="str">
        <f>IF(B485="","",IFERROR(INDEX(fa_cname,MATCH(B485,fa_num,0))&amp;"",""))</f>
        <v/>
      </c>
      <c r="H485" s="59" t="str">
        <f>IF(COUNTA(A485:F485)=0,"",IF(A485="","Date manquante",IF(NOT(ISNUMBER(A485)),"Date invalide",IF(B485="","N° de facture manquant",IF(ISNA(MATCH(B485,fa_num,0)),"Facture inconnue",IF(INDEX(fa_type,MATCH(B485,fa_num,0))="Avoir","Paiement sur un avoir",IF(OR(NOT(ISNUMBER(C485)),N(C485)&lt;=0),"Montant invalide",IF(A485&lt;INDEX(fa_date,MATCH(B485,fa_num,0)),"Date antérieure à la facture",IF(SUMIF($B$6:B485,B485,$C$6:C485)&gt;INDEX(fa_ttc,MATCH(B485,fa_num,0))-N(INDEX(fa_avoirs,MATCH(B485,fa_num,0)))+0.001,"Dépasse le montant de la facture","OK")))))))))</f>
        <v/>
      </c>
    </row>
    <row r="486">
      <c r="A486" s="61" t="n"/>
      <c r="B486" s="60" t="n"/>
      <c r="C486" s="68" t="n"/>
      <c r="D486" s="60" t="n"/>
      <c r="E486" s="63" t="n"/>
      <c r="F486" s="63" t="n"/>
      <c r="G486" s="62" t="str">
        <f>IF(B486="","",IFERROR(INDEX(fa_cname,MATCH(B486,fa_num,0))&amp;"",""))</f>
        <v/>
      </c>
      <c r="H486" s="59" t="str">
        <f>IF(COUNTA(A486:F486)=0,"",IF(A486="","Date manquante",IF(NOT(ISNUMBER(A486)),"Date invalide",IF(B486="","N° de facture manquant",IF(ISNA(MATCH(B486,fa_num,0)),"Facture inconnue",IF(INDEX(fa_type,MATCH(B486,fa_num,0))="Avoir","Paiement sur un avoir",IF(OR(NOT(ISNUMBER(C486)),N(C486)&lt;=0),"Montant invalide",IF(A486&lt;INDEX(fa_date,MATCH(B486,fa_num,0)),"Date antérieure à la facture",IF(SUMIF($B$6:B486,B486,$C$6:C486)&gt;INDEX(fa_ttc,MATCH(B486,fa_num,0))-N(INDEX(fa_avoirs,MATCH(B486,fa_num,0)))+0.001,"Dépasse le montant de la facture","OK")))))))))</f>
        <v/>
      </c>
    </row>
    <row r="487">
      <c r="A487" s="61" t="n"/>
      <c r="B487" s="60" t="n"/>
      <c r="C487" s="68" t="n"/>
      <c r="D487" s="60" t="n"/>
      <c r="E487" s="63" t="n"/>
      <c r="F487" s="63" t="n"/>
      <c r="G487" s="62" t="str">
        <f>IF(B487="","",IFERROR(INDEX(fa_cname,MATCH(B487,fa_num,0))&amp;"",""))</f>
        <v/>
      </c>
      <c r="H487" s="59" t="str">
        <f>IF(COUNTA(A487:F487)=0,"",IF(A487="","Date manquante",IF(NOT(ISNUMBER(A487)),"Date invalide",IF(B487="","N° de facture manquant",IF(ISNA(MATCH(B487,fa_num,0)),"Facture inconnue",IF(INDEX(fa_type,MATCH(B487,fa_num,0))="Avoir","Paiement sur un avoir",IF(OR(NOT(ISNUMBER(C487)),N(C487)&lt;=0),"Montant invalide",IF(A487&lt;INDEX(fa_date,MATCH(B487,fa_num,0)),"Date antérieure à la facture",IF(SUMIF($B$6:B487,B487,$C$6:C487)&gt;INDEX(fa_ttc,MATCH(B487,fa_num,0))-N(INDEX(fa_avoirs,MATCH(B487,fa_num,0)))+0.001,"Dépasse le montant de la facture","OK")))))))))</f>
        <v/>
      </c>
    </row>
    <row r="488">
      <c r="A488" s="61" t="n"/>
      <c r="B488" s="60" t="n"/>
      <c r="C488" s="68" t="n"/>
      <c r="D488" s="60" t="n"/>
      <c r="E488" s="63" t="n"/>
      <c r="F488" s="63" t="n"/>
      <c r="G488" s="62" t="str">
        <f>IF(B488="","",IFERROR(INDEX(fa_cname,MATCH(B488,fa_num,0))&amp;"",""))</f>
        <v/>
      </c>
      <c r="H488" s="59" t="str">
        <f>IF(COUNTA(A488:F488)=0,"",IF(A488="","Date manquante",IF(NOT(ISNUMBER(A488)),"Date invalide",IF(B488="","N° de facture manquant",IF(ISNA(MATCH(B488,fa_num,0)),"Facture inconnue",IF(INDEX(fa_type,MATCH(B488,fa_num,0))="Avoir","Paiement sur un avoir",IF(OR(NOT(ISNUMBER(C488)),N(C488)&lt;=0),"Montant invalide",IF(A488&lt;INDEX(fa_date,MATCH(B488,fa_num,0)),"Date antérieure à la facture",IF(SUMIF($B$6:B488,B488,$C$6:C488)&gt;INDEX(fa_ttc,MATCH(B488,fa_num,0))-N(INDEX(fa_avoirs,MATCH(B488,fa_num,0)))+0.001,"Dépasse le montant de la facture","OK")))))))))</f>
        <v/>
      </c>
    </row>
    <row r="489">
      <c r="A489" s="61" t="n"/>
      <c r="B489" s="60" t="n"/>
      <c r="C489" s="68" t="n"/>
      <c r="D489" s="60" t="n"/>
      <c r="E489" s="63" t="n"/>
      <c r="F489" s="63" t="n"/>
      <c r="G489" s="62" t="str">
        <f>IF(B489="","",IFERROR(INDEX(fa_cname,MATCH(B489,fa_num,0))&amp;"",""))</f>
        <v/>
      </c>
      <c r="H489" s="59" t="str">
        <f>IF(COUNTA(A489:F489)=0,"",IF(A489="","Date manquante",IF(NOT(ISNUMBER(A489)),"Date invalide",IF(B489="","N° de facture manquant",IF(ISNA(MATCH(B489,fa_num,0)),"Facture inconnue",IF(INDEX(fa_type,MATCH(B489,fa_num,0))="Avoir","Paiement sur un avoir",IF(OR(NOT(ISNUMBER(C489)),N(C489)&lt;=0),"Montant invalide",IF(A489&lt;INDEX(fa_date,MATCH(B489,fa_num,0)),"Date antérieure à la facture",IF(SUMIF($B$6:B489,B489,$C$6:C489)&gt;INDEX(fa_ttc,MATCH(B489,fa_num,0))-N(INDEX(fa_avoirs,MATCH(B489,fa_num,0)))+0.001,"Dépasse le montant de la facture","OK")))))))))</f>
        <v/>
      </c>
    </row>
    <row r="490">
      <c r="A490" s="61" t="n"/>
      <c r="B490" s="60" t="n"/>
      <c r="C490" s="68" t="n"/>
      <c r="D490" s="60" t="n"/>
      <c r="E490" s="63" t="n"/>
      <c r="F490" s="63" t="n"/>
      <c r="G490" s="62" t="str">
        <f>IF(B490="","",IFERROR(INDEX(fa_cname,MATCH(B490,fa_num,0))&amp;"",""))</f>
        <v/>
      </c>
      <c r="H490" s="59" t="str">
        <f>IF(COUNTA(A490:F490)=0,"",IF(A490="","Date manquante",IF(NOT(ISNUMBER(A490)),"Date invalide",IF(B490="","N° de facture manquant",IF(ISNA(MATCH(B490,fa_num,0)),"Facture inconnue",IF(INDEX(fa_type,MATCH(B490,fa_num,0))="Avoir","Paiement sur un avoir",IF(OR(NOT(ISNUMBER(C490)),N(C490)&lt;=0),"Montant invalide",IF(A490&lt;INDEX(fa_date,MATCH(B490,fa_num,0)),"Date antérieure à la facture",IF(SUMIF($B$6:B490,B490,$C$6:C490)&gt;INDEX(fa_ttc,MATCH(B490,fa_num,0))-N(INDEX(fa_avoirs,MATCH(B490,fa_num,0)))+0.001,"Dépasse le montant de la facture","OK")))))))))</f>
        <v/>
      </c>
    </row>
    <row r="491">
      <c r="A491" s="61" t="n"/>
      <c r="B491" s="60" t="n"/>
      <c r="C491" s="68" t="n"/>
      <c r="D491" s="60" t="n"/>
      <c r="E491" s="63" t="n"/>
      <c r="F491" s="63" t="n"/>
      <c r="G491" s="62" t="str">
        <f>IF(B491="","",IFERROR(INDEX(fa_cname,MATCH(B491,fa_num,0))&amp;"",""))</f>
        <v/>
      </c>
      <c r="H491" s="59" t="str">
        <f>IF(COUNTA(A491:F491)=0,"",IF(A491="","Date manquante",IF(NOT(ISNUMBER(A491)),"Date invalide",IF(B491="","N° de facture manquant",IF(ISNA(MATCH(B491,fa_num,0)),"Facture inconnue",IF(INDEX(fa_type,MATCH(B491,fa_num,0))="Avoir","Paiement sur un avoir",IF(OR(NOT(ISNUMBER(C491)),N(C491)&lt;=0),"Montant invalide",IF(A491&lt;INDEX(fa_date,MATCH(B491,fa_num,0)),"Date antérieure à la facture",IF(SUMIF($B$6:B491,B491,$C$6:C491)&gt;INDEX(fa_ttc,MATCH(B491,fa_num,0))-N(INDEX(fa_avoirs,MATCH(B491,fa_num,0)))+0.001,"Dépasse le montant de la facture","OK")))))))))</f>
        <v/>
      </c>
    </row>
    <row r="492">
      <c r="A492" s="61" t="n"/>
      <c r="B492" s="60" t="n"/>
      <c r="C492" s="68" t="n"/>
      <c r="D492" s="60" t="n"/>
      <c r="E492" s="63" t="n"/>
      <c r="F492" s="63" t="n"/>
      <c r="G492" s="62" t="str">
        <f>IF(B492="","",IFERROR(INDEX(fa_cname,MATCH(B492,fa_num,0))&amp;"",""))</f>
        <v/>
      </c>
      <c r="H492" s="59" t="str">
        <f>IF(COUNTA(A492:F492)=0,"",IF(A492="","Date manquante",IF(NOT(ISNUMBER(A492)),"Date invalide",IF(B492="","N° de facture manquant",IF(ISNA(MATCH(B492,fa_num,0)),"Facture inconnue",IF(INDEX(fa_type,MATCH(B492,fa_num,0))="Avoir","Paiement sur un avoir",IF(OR(NOT(ISNUMBER(C492)),N(C492)&lt;=0),"Montant invalide",IF(A492&lt;INDEX(fa_date,MATCH(B492,fa_num,0)),"Date antérieure à la facture",IF(SUMIF($B$6:B492,B492,$C$6:C492)&gt;INDEX(fa_ttc,MATCH(B492,fa_num,0))-N(INDEX(fa_avoirs,MATCH(B492,fa_num,0)))+0.001,"Dépasse le montant de la facture","OK")))))))))</f>
        <v/>
      </c>
    </row>
    <row r="493">
      <c r="A493" s="61" t="n"/>
      <c r="B493" s="60" t="n"/>
      <c r="C493" s="68" t="n"/>
      <c r="D493" s="60" t="n"/>
      <c r="E493" s="63" t="n"/>
      <c r="F493" s="63" t="n"/>
      <c r="G493" s="62" t="str">
        <f>IF(B493="","",IFERROR(INDEX(fa_cname,MATCH(B493,fa_num,0))&amp;"",""))</f>
        <v/>
      </c>
      <c r="H493" s="59" t="str">
        <f>IF(COUNTA(A493:F493)=0,"",IF(A493="","Date manquante",IF(NOT(ISNUMBER(A493)),"Date invalide",IF(B493="","N° de facture manquant",IF(ISNA(MATCH(B493,fa_num,0)),"Facture inconnue",IF(INDEX(fa_type,MATCH(B493,fa_num,0))="Avoir","Paiement sur un avoir",IF(OR(NOT(ISNUMBER(C493)),N(C493)&lt;=0),"Montant invalide",IF(A493&lt;INDEX(fa_date,MATCH(B493,fa_num,0)),"Date antérieure à la facture",IF(SUMIF($B$6:B493,B493,$C$6:C493)&gt;INDEX(fa_ttc,MATCH(B493,fa_num,0))-N(INDEX(fa_avoirs,MATCH(B493,fa_num,0)))+0.001,"Dépasse le montant de la facture","OK")))))))))</f>
        <v/>
      </c>
    </row>
    <row r="494">
      <c r="A494" s="61" t="n"/>
      <c r="B494" s="60" t="n"/>
      <c r="C494" s="68" t="n"/>
      <c r="D494" s="60" t="n"/>
      <c r="E494" s="63" t="n"/>
      <c r="F494" s="63" t="n"/>
      <c r="G494" s="62" t="str">
        <f>IF(B494="","",IFERROR(INDEX(fa_cname,MATCH(B494,fa_num,0))&amp;"",""))</f>
        <v/>
      </c>
      <c r="H494" s="59" t="str">
        <f>IF(COUNTA(A494:F494)=0,"",IF(A494="","Date manquante",IF(NOT(ISNUMBER(A494)),"Date invalide",IF(B494="","N° de facture manquant",IF(ISNA(MATCH(B494,fa_num,0)),"Facture inconnue",IF(INDEX(fa_type,MATCH(B494,fa_num,0))="Avoir","Paiement sur un avoir",IF(OR(NOT(ISNUMBER(C494)),N(C494)&lt;=0),"Montant invalide",IF(A494&lt;INDEX(fa_date,MATCH(B494,fa_num,0)),"Date antérieure à la facture",IF(SUMIF($B$6:B494,B494,$C$6:C494)&gt;INDEX(fa_ttc,MATCH(B494,fa_num,0))-N(INDEX(fa_avoirs,MATCH(B494,fa_num,0)))+0.001,"Dépasse le montant de la facture","OK")))))))))</f>
        <v/>
      </c>
    </row>
    <row r="495">
      <c r="A495" s="61" t="n"/>
      <c r="B495" s="60" t="n"/>
      <c r="C495" s="68" t="n"/>
      <c r="D495" s="60" t="n"/>
      <c r="E495" s="63" t="n"/>
      <c r="F495" s="63" t="n"/>
      <c r="G495" s="62" t="str">
        <f>IF(B495="","",IFERROR(INDEX(fa_cname,MATCH(B495,fa_num,0))&amp;"",""))</f>
        <v/>
      </c>
      <c r="H495" s="59" t="str">
        <f>IF(COUNTA(A495:F495)=0,"",IF(A495="","Date manquante",IF(NOT(ISNUMBER(A495)),"Date invalide",IF(B495="","N° de facture manquant",IF(ISNA(MATCH(B495,fa_num,0)),"Facture inconnue",IF(INDEX(fa_type,MATCH(B495,fa_num,0))="Avoir","Paiement sur un avoir",IF(OR(NOT(ISNUMBER(C495)),N(C495)&lt;=0),"Montant invalide",IF(A495&lt;INDEX(fa_date,MATCH(B495,fa_num,0)),"Date antérieure à la facture",IF(SUMIF($B$6:B495,B495,$C$6:C495)&gt;INDEX(fa_ttc,MATCH(B495,fa_num,0))-N(INDEX(fa_avoirs,MATCH(B495,fa_num,0)))+0.001,"Dépasse le montant de la facture","OK")))))))))</f>
        <v/>
      </c>
    </row>
    <row r="496">
      <c r="A496" s="61" t="n"/>
      <c r="B496" s="60" t="n"/>
      <c r="C496" s="68" t="n"/>
      <c r="D496" s="60" t="n"/>
      <c r="E496" s="63" t="n"/>
      <c r="F496" s="63" t="n"/>
      <c r="G496" s="62" t="str">
        <f>IF(B496="","",IFERROR(INDEX(fa_cname,MATCH(B496,fa_num,0))&amp;"",""))</f>
        <v/>
      </c>
      <c r="H496" s="59" t="str">
        <f>IF(COUNTA(A496:F496)=0,"",IF(A496="","Date manquante",IF(NOT(ISNUMBER(A496)),"Date invalide",IF(B496="","N° de facture manquant",IF(ISNA(MATCH(B496,fa_num,0)),"Facture inconnue",IF(INDEX(fa_type,MATCH(B496,fa_num,0))="Avoir","Paiement sur un avoir",IF(OR(NOT(ISNUMBER(C496)),N(C496)&lt;=0),"Montant invalide",IF(A496&lt;INDEX(fa_date,MATCH(B496,fa_num,0)),"Date antérieure à la facture",IF(SUMIF($B$6:B496,B496,$C$6:C496)&gt;INDEX(fa_ttc,MATCH(B496,fa_num,0))-N(INDEX(fa_avoirs,MATCH(B496,fa_num,0)))+0.001,"Dépasse le montant de la facture","OK")))))))))</f>
        <v/>
      </c>
    </row>
    <row r="497">
      <c r="A497" s="61" t="n"/>
      <c r="B497" s="60" t="n"/>
      <c r="C497" s="68" t="n"/>
      <c r="D497" s="60" t="n"/>
      <c r="E497" s="63" t="n"/>
      <c r="F497" s="63" t="n"/>
      <c r="G497" s="62" t="str">
        <f>IF(B497="","",IFERROR(INDEX(fa_cname,MATCH(B497,fa_num,0))&amp;"",""))</f>
        <v/>
      </c>
      <c r="H497" s="59" t="str">
        <f>IF(COUNTA(A497:F497)=0,"",IF(A497="","Date manquante",IF(NOT(ISNUMBER(A497)),"Date invalide",IF(B497="","N° de facture manquant",IF(ISNA(MATCH(B497,fa_num,0)),"Facture inconnue",IF(INDEX(fa_type,MATCH(B497,fa_num,0))="Avoir","Paiement sur un avoir",IF(OR(NOT(ISNUMBER(C497)),N(C497)&lt;=0),"Montant invalide",IF(A497&lt;INDEX(fa_date,MATCH(B497,fa_num,0)),"Date antérieure à la facture",IF(SUMIF($B$6:B497,B497,$C$6:C497)&gt;INDEX(fa_ttc,MATCH(B497,fa_num,0))-N(INDEX(fa_avoirs,MATCH(B497,fa_num,0)))+0.001,"Dépasse le montant de la facture","OK")))))))))</f>
        <v/>
      </c>
    </row>
    <row r="498">
      <c r="A498" s="61" t="n"/>
      <c r="B498" s="60" t="n"/>
      <c r="C498" s="68" t="n"/>
      <c r="D498" s="60" t="n"/>
      <c r="E498" s="63" t="n"/>
      <c r="F498" s="63" t="n"/>
      <c r="G498" s="62" t="str">
        <f>IF(B498="","",IFERROR(INDEX(fa_cname,MATCH(B498,fa_num,0))&amp;"",""))</f>
        <v/>
      </c>
      <c r="H498" s="59" t="str">
        <f>IF(COUNTA(A498:F498)=0,"",IF(A498="","Date manquante",IF(NOT(ISNUMBER(A498)),"Date invalide",IF(B498="","N° de facture manquant",IF(ISNA(MATCH(B498,fa_num,0)),"Facture inconnue",IF(INDEX(fa_type,MATCH(B498,fa_num,0))="Avoir","Paiement sur un avoir",IF(OR(NOT(ISNUMBER(C498)),N(C498)&lt;=0),"Montant invalide",IF(A498&lt;INDEX(fa_date,MATCH(B498,fa_num,0)),"Date antérieure à la facture",IF(SUMIF($B$6:B498,B498,$C$6:C498)&gt;INDEX(fa_ttc,MATCH(B498,fa_num,0))-N(INDEX(fa_avoirs,MATCH(B498,fa_num,0)))+0.001,"Dépasse le montant de la facture","OK")))))))))</f>
        <v/>
      </c>
    </row>
    <row r="499">
      <c r="A499" s="61" t="n"/>
      <c r="B499" s="60" t="n"/>
      <c r="C499" s="68" t="n"/>
      <c r="D499" s="60" t="n"/>
      <c r="E499" s="63" t="n"/>
      <c r="F499" s="63" t="n"/>
      <c r="G499" s="62" t="str">
        <f>IF(B499="","",IFERROR(INDEX(fa_cname,MATCH(B499,fa_num,0))&amp;"",""))</f>
        <v/>
      </c>
      <c r="H499" s="59" t="str">
        <f>IF(COUNTA(A499:F499)=0,"",IF(A499="","Date manquante",IF(NOT(ISNUMBER(A499)),"Date invalide",IF(B499="","N° de facture manquant",IF(ISNA(MATCH(B499,fa_num,0)),"Facture inconnue",IF(INDEX(fa_type,MATCH(B499,fa_num,0))="Avoir","Paiement sur un avoir",IF(OR(NOT(ISNUMBER(C499)),N(C499)&lt;=0),"Montant invalide",IF(A499&lt;INDEX(fa_date,MATCH(B499,fa_num,0)),"Date antérieure à la facture",IF(SUMIF($B$6:B499,B499,$C$6:C499)&gt;INDEX(fa_ttc,MATCH(B499,fa_num,0))-N(INDEX(fa_avoirs,MATCH(B499,fa_num,0)))+0.001,"Dépasse le montant de la facture","OK")))))))))</f>
        <v/>
      </c>
    </row>
    <row r="500">
      <c r="A500" s="61" t="n"/>
      <c r="B500" s="60" t="n"/>
      <c r="C500" s="68" t="n"/>
      <c r="D500" s="60" t="n"/>
      <c r="E500" s="63" t="n"/>
      <c r="F500" s="63" t="n"/>
      <c r="G500" s="62" t="str">
        <f>IF(B500="","",IFERROR(INDEX(fa_cname,MATCH(B500,fa_num,0))&amp;"",""))</f>
        <v/>
      </c>
      <c r="H500" s="59" t="str">
        <f>IF(COUNTA(A500:F500)=0,"",IF(A500="","Date manquante",IF(NOT(ISNUMBER(A500)),"Date invalide",IF(B500="","N° de facture manquant",IF(ISNA(MATCH(B500,fa_num,0)),"Facture inconnue",IF(INDEX(fa_type,MATCH(B500,fa_num,0))="Avoir","Paiement sur un avoir",IF(OR(NOT(ISNUMBER(C500)),N(C500)&lt;=0),"Montant invalide",IF(A500&lt;INDEX(fa_date,MATCH(B500,fa_num,0)),"Date antérieure à la facture",IF(SUMIF($B$6:B500,B500,$C$6:C500)&gt;INDEX(fa_ttc,MATCH(B500,fa_num,0))-N(INDEX(fa_avoirs,MATCH(B500,fa_num,0)))+0.001,"Dépasse le montant de la facture","OK")))))))))</f>
        <v/>
      </c>
    </row>
    <row r="501">
      <c r="A501" s="61" t="n"/>
      <c r="B501" s="60" t="n"/>
      <c r="C501" s="68" t="n"/>
      <c r="D501" s="60" t="n"/>
      <c r="E501" s="63" t="n"/>
      <c r="F501" s="63" t="n"/>
      <c r="G501" s="62" t="str">
        <f>IF(B501="","",IFERROR(INDEX(fa_cname,MATCH(B501,fa_num,0))&amp;"",""))</f>
        <v/>
      </c>
      <c r="H501" s="59" t="str">
        <f>IF(COUNTA(A501:F501)=0,"",IF(A501="","Date manquante",IF(NOT(ISNUMBER(A501)),"Date invalide",IF(B501="","N° de facture manquant",IF(ISNA(MATCH(B501,fa_num,0)),"Facture inconnue",IF(INDEX(fa_type,MATCH(B501,fa_num,0))="Avoir","Paiement sur un avoir",IF(OR(NOT(ISNUMBER(C501)),N(C501)&lt;=0),"Montant invalide",IF(A501&lt;INDEX(fa_date,MATCH(B501,fa_num,0)),"Date antérieure à la facture",IF(SUMIF($B$6:B501,B501,$C$6:C501)&gt;INDEX(fa_ttc,MATCH(B501,fa_num,0))-N(INDEX(fa_avoirs,MATCH(B501,fa_num,0)))+0.001,"Dépasse le montant de la facture","OK")))))))))</f>
        <v/>
      </c>
    </row>
    <row r="502">
      <c r="A502" s="61" t="n"/>
      <c r="B502" s="60" t="n"/>
      <c r="C502" s="68" t="n"/>
      <c r="D502" s="60" t="n"/>
      <c r="E502" s="63" t="n"/>
      <c r="F502" s="63" t="n"/>
      <c r="G502" s="62" t="str">
        <f>IF(B502="","",IFERROR(INDEX(fa_cname,MATCH(B502,fa_num,0))&amp;"",""))</f>
        <v/>
      </c>
      <c r="H502" s="59" t="str">
        <f>IF(COUNTA(A502:F502)=0,"",IF(A502="","Date manquante",IF(NOT(ISNUMBER(A502)),"Date invalide",IF(B502="","N° de facture manquant",IF(ISNA(MATCH(B502,fa_num,0)),"Facture inconnue",IF(INDEX(fa_type,MATCH(B502,fa_num,0))="Avoir","Paiement sur un avoir",IF(OR(NOT(ISNUMBER(C502)),N(C502)&lt;=0),"Montant invalide",IF(A502&lt;INDEX(fa_date,MATCH(B502,fa_num,0)),"Date antérieure à la facture",IF(SUMIF($B$6:B502,B502,$C$6:C502)&gt;INDEX(fa_ttc,MATCH(B502,fa_num,0))-N(INDEX(fa_avoirs,MATCH(B502,fa_num,0)))+0.001,"Dépasse le montant de la facture","OK")))))))))</f>
        <v/>
      </c>
    </row>
    <row r="503">
      <c r="A503" s="61" t="n"/>
      <c r="B503" s="60" t="n"/>
      <c r="C503" s="68" t="n"/>
      <c r="D503" s="60" t="n"/>
      <c r="E503" s="63" t="n"/>
      <c r="F503" s="63" t="n"/>
      <c r="G503" s="62" t="str">
        <f>IF(B503="","",IFERROR(INDEX(fa_cname,MATCH(B503,fa_num,0))&amp;"",""))</f>
        <v/>
      </c>
      <c r="H503" s="59" t="str">
        <f>IF(COUNTA(A503:F503)=0,"",IF(A503="","Date manquante",IF(NOT(ISNUMBER(A503)),"Date invalide",IF(B503="","N° de facture manquant",IF(ISNA(MATCH(B503,fa_num,0)),"Facture inconnue",IF(INDEX(fa_type,MATCH(B503,fa_num,0))="Avoir","Paiement sur un avoir",IF(OR(NOT(ISNUMBER(C503)),N(C503)&lt;=0),"Montant invalide",IF(A503&lt;INDEX(fa_date,MATCH(B503,fa_num,0)),"Date antérieure à la facture",IF(SUMIF($B$6:B503,B503,$C$6:C503)&gt;INDEX(fa_ttc,MATCH(B503,fa_num,0))-N(INDEX(fa_avoirs,MATCH(B503,fa_num,0)))+0.001,"Dépasse le montant de la facture","OK")))))))))</f>
        <v/>
      </c>
    </row>
    <row r="504">
      <c r="A504" s="61" t="n"/>
      <c r="B504" s="60" t="n"/>
      <c r="C504" s="68" t="n"/>
      <c r="D504" s="60" t="n"/>
      <c r="E504" s="63" t="n"/>
      <c r="F504" s="63" t="n"/>
      <c r="G504" s="62" t="str">
        <f>IF(B504="","",IFERROR(INDEX(fa_cname,MATCH(B504,fa_num,0))&amp;"",""))</f>
        <v/>
      </c>
      <c r="H504" s="59" t="str">
        <f>IF(COUNTA(A504:F504)=0,"",IF(A504="","Date manquante",IF(NOT(ISNUMBER(A504)),"Date invalide",IF(B504="","N° de facture manquant",IF(ISNA(MATCH(B504,fa_num,0)),"Facture inconnue",IF(INDEX(fa_type,MATCH(B504,fa_num,0))="Avoir","Paiement sur un avoir",IF(OR(NOT(ISNUMBER(C504)),N(C504)&lt;=0),"Montant invalide",IF(A504&lt;INDEX(fa_date,MATCH(B504,fa_num,0)),"Date antérieure à la facture",IF(SUMIF($B$6:B504,B504,$C$6:C504)&gt;INDEX(fa_ttc,MATCH(B504,fa_num,0))-N(INDEX(fa_avoirs,MATCH(B504,fa_num,0)))+0.001,"Dépasse le montant de la facture","OK")))))))))</f>
        <v/>
      </c>
    </row>
    <row r="505">
      <c r="A505" s="61" t="n"/>
      <c r="B505" s="60" t="n"/>
      <c r="C505" s="68" t="n"/>
      <c r="D505" s="60" t="n"/>
      <c r="E505" s="63" t="n"/>
      <c r="F505" s="63" t="n"/>
      <c r="G505" s="62" t="str">
        <f>IF(B505="","",IFERROR(INDEX(fa_cname,MATCH(B505,fa_num,0))&amp;"",""))</f>
        <v/>
      </c>
      <c r="H505" s="59" t="str">
        <f>IF(COUNTA(A505:F505)=0,"",IF(A505="","Date manquante",IF(NOT(ISNUMBER(A505)),"Date invalide",IF(B505="","N° de facture manquant",IF(ISNA(MATCH(B505,fa_num,0)),"Facture inconnue",IF(INDEX(fa_type,MATCH(B505,fa_num,0))="Avoir","Paiement sur un avoir",IF(OR(NOT(ISNUMBER(C505)),N(C505)&lt;=0),"Montant invalide",IF(A505&lt;INDEX(fa_date,MATCH(B505,fa_num,0)),"Date antérieure à la facture",IF(SUMIF($B$6:B505,B505,$C$6:C505)&gt;INDEX(fa_ttc,MATCH(B505,fa_num,0))-N(INDEX(fa_avoirs,MATCH(B505,fa_num,0)))+0.001,"Dépasse le montant de la facture","OK")))))))))</f>
        <v/>
      </c>
    </row>
    <row r="506">
      <c r="A506" s="61" t="n"/>
      <c r="B506" s="60" t="n"/>
      <c r="C506" s="68" t="n"/>
      <c r="D506" s="60" t="n"/>
      <c r="E506" s="63" t="n"/>
      <c r="F506" s="63" t="n"/>
      <c r="G506" s="62" t="str">
        <f>IF(B506="","",IFERROR(INDEX(fa_cname,MATCH(B506,fa_num,0))&amp;"",""))</f>
        <v/>
      </c>
      <c r="H506" s="59" t="str">
        <f>IF(COUNTA(A506:F506)=0,"",IF(A506="","Date manquante",IF(NOT(ISNUMBER(A506)),"Date invalide",IF(B506="","N° de facture manquant",IF(ISNA(MATCH(B506,fa_num,0)),"Facture inconnue",IF(INDEX(fa_type,MATCH(B506,fa_num,0))="Avoir","Paiement sur un avoir",IF(OR(NOT(ISNUMBER(C506)),N(C506)&lt;=0),"Montant invalide",IF(A506&lt;INDEX(fa_date,MATCH(B506,fa_num,0)),"Date antérieure à la facture",IF(SUMIF($B$6:B506,B506,$C$6:C506)&gt;INDEX(fa_ttc,MATCH(B506,fa_num,0))-N(INDEX(fa_avoirs,MATCH(B506,fa_num,0)))+0.001,"Dépasse le montant de la facture","OK")))))))))</f>
        <v/>
      </c>
    </row>
    <row r="507">
      <c r="A507" s="61" t="n"/>
      <c r="B507" s="60" t="n"/>
      <c r="C507" s="68" t="n"/>
      <c r="D507" s="60" t="n"/>
      <c r="E507" s="63" t="n"/>
      <c r="F507" s="63" t="n"/>
      <c r="G507" s="62" t="str">
        <f>IF(B507="","",IFERROR(INDEX(fa_cname,MATCH(B507,fa_num,0))&amp;"",""))</f>
        <v/>
      </c>
      <c r="H507" s="59" t="str">
        <f>IF(COUNTA(A507:F507)=0,"",IF(A507="","Date manquante",IF(NOT(ISNUMBER(A507)),"Date invalide",IF(B507="","N° de facture manquant",IF(ISNA(MATCH(B507,fa_num,0)),"Facture inconnue",IF(INDEX(fa_type,MATCH(B507,fa_num,0))="Avoir","Paiement sur un avoir",IF(OR(NOT(ISNUMBER(C507)),N(C507)&lt;=0),"Montant invalide",IF(A507&lt;INDEX(fa_date,MATCH(B507,fa_num,0)),"Date antérieure à la facture",IF(SUMIF($B$6:B507,B507,$C$6:C507)&gt;INDEX(fa_ttc,MATCH(B507,fa_num,0))-N(INDEX(fa_avoirs,MATCH(B507,fa_num,0)))+0.001,"Dépasse le montant de la facture","OK")))))))))</f>
        <v/>
      </c>
    </row>
    <row r="508">
      <c r="A508" s="61" t="n"/>
      <c r="B508" s="60" t="n"/>
      <c r="C508" s="68" t="n"/>
      <c r="D508" s="60" t="n"/>
      <c r="E508" s="63" t="n"/>
      <c r="F508" s="63" t="n"/>
      <c r="G508" s="62" t="str">
        <f>IF(B508="","",IFERROR(INDEX(fa_cname,MATCH(B508,fa_num,0))&amp;"",""))</f>
        <v/>
      </c>
      <c r="H508" s="59" t="str">
        <f>IF(COUNTA(A508:F508)=0,"",IF(A508="","Date manquante",IF(NOT(ISNUMBER(A508)),"Date invalide",IF(B508="","N° de facture manquant",IF(ISNA(MATCH(B508,fa_num,0)),"Facture inconnue",IF(INDEX(fa_type,MATCH(B508,fa_num,0))="Avoir","Paiement sur un avoir",IF(OR(NOT(ISNUMBER(C508)),N(C508)&lt;=0),"Montant invalide",IF(A508&lt;INDEX(fa_date,MATCH(B508,fa_num,0)),"Date antérieure à la facture",IF(SUMIF($B$6:B508,B508,$C$6:C508)&gt;INDEX(fa_ttc,MATCH(B508,fa_num,0))-N(INDEX(fa_avoirs,MATCH(B508,fa_num,0)))+0.001,"Dépasse le montant de la facture","OK")))))))))</f>
        <v/>
      </c>
    </row>
    <row r="509">
      <c r="A509" s="61" t="n"/>
      <c r="B509" s="60" t="n"/>
      <c r="C509" s="68" t="n"/>
      <c r="D509" s="60" t="n"/>
      <c r="E509" s="63" t="n"/>
      <c r="F509" s="63" t="n"/>
      <c r="G509" s="62" t="str">
        <f>IF(B509="","",IFERROR(INDEX(fa_cname,MATCH(B509,fa_num,0))&amp;"",""))</f>
        <v/>
      </c>
      <c r="H509" s="59" t="str">
        <f>IF(COUNTA(A509:F509)=0,"",IF(A509="","Date manquante",IF(NOT(ISNUMBER(A509)),"Date invalide",IF(B509="","N° de facture manquant",IF(ISNA(MATCH(B509,fa_num,0)),"Facture inconnue",IF(INDEX(fa_type,MATCH(B509,fa_num,0))="Avoir","Paiement sur un avoir",IF(OR(NOT(ISNUMBER(C509)),N(C509)&lt;=0),"Montant invalide",IF(A509&lt;INDEX(fa_date,MATCH(B509,fa_num,0)),"Date antérieure à la facture",IF(SUMIF($B$6:B509,B509,$C$6:C509)&gt;INDEX(fa_ttc,MATCH(B509,fa_num,0))-N(INDEX(fa_avoirs,MATCH(B509,fa_num,0)))+0.001,"Dépasse le montant de la facture","OK")))))))))</f>
        <v/>
      </c>
    </row>
    <row r="510">
      <c r="A510" s="61" t="n"/>
      <c r="B510" s="60" t="n"/>
      <c r="C510" s="68" t="n"/>
      <c r="D510" s="60" t="n"/>
      <c r="E510" s="63" t="n"/>
      <c r="F510" s="63" t="n"/>
      <c r="G510" s="62" t="str">
        <f>IF(B510="","",IFERROR(INDEX(fa_cname,MATCH(B510,fa_num,0))&amp;"",""))</f>
        <v/>
      </c>
      <c r="H510" s="59" t="str">
        <f>IF(COUNTA(A510:F510)=0,"",IF(A510="","Date manquante",IF(NOT(ISNUMBER(A510)),"Date invalide",IF(B510="","N° de facture manquant",IF(ISNA(MATCH(B510,fa_num,0)),"Facture inconnue",IF(INDEX(fa_type,MATCH(B510,fa_num,0))="Avoir","Paiement sur un avoir",IF(OR(NOT(ISNUMBER(C510)),N(C510)&lt;=0),"Montant invalide",IF(A510&lt;INDEX(fa_date,MATCH(B510,fa_num,0)),"Date antérieure à la facture",IF(SUMIF($B$6:B510,B510,$C$6:C510)&gt;INDEX(fa_ttc,MATCH(B510,fa_num,0))-N(INDEX(fa_avoirs,MATCH(B510,fa_num,0)))+0.001,"Dépasse le montant de la facture","OK")))))))))</f>
        <v/>
      </c>
    </row>
    <row r="511">
      <c r="A511" s="61" t="n"/>
      <c r="B511" s="60" t="n"/>
      <c r="C511" s="68" t="n"/>
      <c r="D511" s="60" t="n"/>
      <c r="E511" s="63" t="n"/>
      <c r="F511" s="63" t="n"/>
      <c r="G511" s="62" t="str">
        <f>IF(B511="","",IFERROR(INDEX(fa_cname,MATCH(B511,fa_num,0))&amp;"",""))</f>
        <v/>
      </c>
      <c r="H511" s="59" t="str">
        <f>IF(COUNTA(A511:F511)=0,"",IF(A511="","Date manquante",IF(NOT(ISNUMBER(A511)),"Date invalide",IF(B511="","N° de facture manquant",IF(ISNA(MATCH(B511,fa_num,0)),"Facture inconnue",IF(INDEX(fa_type,MATCH(B511,fa_num,0))="Avoir","Paiement sur un avoir",IF(OR(NOT(ISNUMBER(C511)),N(C511)&lt;=0),"Montant invalide",IF(A511&lt;INDEX(fa_date,MATCH(B511,fa_num,0)),"Date antérieure à la facture",IF(SUMIF($B$6:B511,B511,$C$6:C511)&gt;INDEX(fa_ttc,MATCH(B511,fa_num,0))-N(INDEX(fa_avoirs,MATCH(B511,fa_num,0)))+0.001,"Dépasse le montant de la facture","OK")))))))))</f>
        <v/>
      </c>
    </row>
    <row r="512">
      <c r="A512" s="61" t="n"/>
      <c r="B512" s="60" t="n"/>
      <c r="C512" s="68" t="n"/>
      <c r="D512" s="60" t="n"/>
      <c r="E512" s="63" t="n"/>
      <c r="F512" s="63" t="n"/>
      <c r="G512" s="62" t="str">
        <f>IF(B512="","",IFERROR(INDEX(fa_cname,MATCH(B512,fa_num,0))&amp;"",""))</f>
        <v/>
      </c>
      <c r="H512" s="59" t="str">
        <f>IF(COUNTA(A512:F512)=0,"",IF(A512="","Date manquante",IF(NOT(ISNUMBER(A512)),"Date invalide",IF(B512="","N° de facture manquant",IF(ISNA(MATCH(B512,fa_num,0)),"Facture inconnue",IF(INDEX(fa_type,MATCH(B512,fa_num,0))="Avoir","Paiement sur un avoir",IF(OR(NOT(ISNUMBER(C512)),N(C512)&lt;=0),"Montant invalide",IF(A512&lt;INDEX(fa_date,MATCH(B512,fa_num,0)),"Date antérieure à la facture",IF(SUMIF($B$6:B512,B512,$C$6:C512)&gt;INDEX(fa_ttc,MATCH(B512,fa_num,0))-N(INDEX(fa_avoirs,MATCH(B512,fa_num,0)))+0.001,"Dépasse le montant de la facture","OK")))))))))</f>
        <v/>
      </c>
    </row>
    <row r="513">
      <c r="A513" s="61" t="n"/>
      <c r="B513" s="60" t="n"/>
      <c r="C513" s="68" t="n"/>
      <c r="D513" s="60" t="n"/>
      <c r="E513" s="63" t="n"/>
      <c r="F513" s="63" t="n"/>
      <c r="G513" s="62" t="str">
        <f>IF(B513="","",IFERROR(INDEX(fa_cname,MATCH(B513,fa_num,0))&amp;"",""))</f>
        <v/>
      </c>
      <c r="H513" s="59" t="str">
        <f>IF(COUNTA(A513:F513)=0,"",IF(A513="","Date manquante",IF(NOT(ISNUMBER(A513)),"Date invalide",IF(B513="","N° de facture manquant",IF(ISNA(MATCH(B513,fa_num,0)),"Facture inconnue",IF(INDEX(fa_type,MATCH(B513,fa_num,0))="Avoir","Paiement sur un avoir",IF(OR(NOT(ISNUMBER(C513)),N(C513)&lt;=0),"Montant invalide",IF(A513&lt;INDEX(fa_date,MATCH(B513,fa_num,0)),"Date antérieure à la facture",IF(SUMIF($B$6:B513,B513,$C$6:C513)&gt;INDEX(fa_ttc,MATCH(B513,fa_num,0))-N(INDEX(fa_avoirs,MATCH(B513,fa_num,0)))+0.001,"Dépasse le montant de la facture","OK")))))))))</f>
        <v/>
      </c>
    </row>
    <row r="514">
      <c r="A514" s="61" t="n"/>
      <c r="B514" s="60" t="n"/>
      <c r="C514" s="68" t="n"/>
      <c r="D514" s="60" t="n"/>
      <c r="E514" s="63" t="n"/>
      <c r="F514" s="63" t="n"/>
      <c r="G514" s="62" t="str">
        <f>IF(B514="","",IFERROR(INDEX(fa_cname,MATCH(B514,fa_num,0))&amp;"",""))</f>
        <v/>
      </c>
      <c r="H514" s="59" t="str">
        <f>IF(COUNTA(A514:F514)=0,"",IF(A514="","Date manquante",IF(NOT(ISNUMBER(A514)),"Date invalide",IF(B514="","N° de facture manquant",IF(ISNA(MATCH(B514,fa_num,0)),"Facture inconnue",IF(INDEX(fa_type,MATCH(B514,fa_num,0))="Avoir","Paiement sur un avoir",IF(OR(NOT(ISNUMBER(C514)),N(C514)&lt;=0),"Montant invalide",IF(A514&lt;INDEX(fa_date,MATCH(B514,fa_num,0)),"Date antérieure à la facture",IF(SUMIF($B$6:B514,B514,$C$6:C514)&gt;INDEX(fa_ttc,MATCH(B514,fa_num,0))-N(INDEX(fa_avoirs,MATCH(B514,fa_num,0)))+0.001,"Dépasse le montant de la facture","OK")))))))))</f>
        <v/>
      </c>
    </row>
    <row r="515">
      <c r="A515" s="61" t="n"/>
      <c r="B515" s="60" t="n"/>
      <c r="C515" s="68" t="n"/>
      <c r="D515" s="60" t="n"/>
      <c r="E515" s="63" t="n"/>
      <c r="F515" s="63" t="n"/>
      <c r="G515" s="62" t="str">
        <f>IF(B515="","",IFERROR(INDEX(fa_cname,MATCH(B515,fa_num,0))&amp;"",""))</f>
        <v/>
      </c>
      <c r="H515" s="59" t="str">
        <f>IF(COUNTA(A515:F515)=0,"",IF(A515="","Date manquante",IF(NOT(ISNUMBER(A515)),"Date invalide",IF(B515="","N° de facture manquant",IF(ISNA(MATCH(B515,fa_num,0)),"Facture inconnue",IF(INDEX(fa_type,MATCH(B515,fa_num,0))="Avoir","Paiement sur un avoir",IF(OR(NOT(ISNUMBER(C515)),N(C515)&lt;=0),"Montant invalide",IF(A515&lt;INDEX(fa_date,MATCH(B515,fa_num,0)),"Date antérieure à la facture",IF(SUMIF($B$6:B515,B515,$C$6:C515)&gt;INDEX(fa_ttc,MATCH(B515,fa_num,0))-N(INDEX(fa_avoirs,MATCH(B515,fa_num,0)))+0.001,"Dépasse le montant de la facture","OK")))))))))</f>
        <v/>
      </c>
    </row>
    <row r="516">
      <c r="A516" s="61" t="n"/>
      <c r="B516" s="60" t="n"/>
      <c r="C516" s="68" t="n"/>
      <c r="D516" s="60" t="n"/>
      <c r="E516" s="63" t="n"/>
      <c r="F516" s="63" t="n"/>
      <c r="G516" s="62" t="str">
        <f>IF(B516="","",IFERROR(INDEX(fa_cname,MATCH(B516,fa_num,0))&amp;"",""))</f>
        <v/>
      </c>
      <c r="H516" s="59" t="str">
        <f>IF(COUNTA(A516:F516)=0,"",IF(A516="","Date manquante",IF(NOT(ISNUMBER(A516)),"Date invalide",IF(B516="","N° de facture manquant",IF(ISNA(MATCH(B516,fa_num,0)),"Facture inconnue",IF(INDEX(fa_type,MATCH(B516,fa_num,0))="Avoir","Paiement sur un avoir",IF(OR(NOT(ISNUMBER(C516)),N(C516)&lt;=0),"Montant invalide",IF(A516&lt;INDEX(fa_date,MATCH(B516,fa_num,0)),"Date antérieure à la facture",IF(SUMIF($B$6:B516,B516,$C$6:C516)&gt;INDEX(fa_ttc,MATCH(B516,fa_num,0))-N(INDEX(fa_avoirs,MATCH(B516,fa_num,0)))+0.001,"Dépasse le montant de la facture","OK")))))))))</f>
        <v/>
      </c>
    </row>
    <row r="517">
      <c r="A517" s="61" t="n"/>
      <c r="B517" s="60" t="n"/>
      <c r="C517" s="68" t="n"/>
      <c r="D517" s="60" t="n"/>
      <c r="E517" s="63" t="n"/>
      <c r="F517" s="63" t="n"/>
      <c r="G517" s="62" t="str">
        <f>IF(B517="","",IFERROR(INDEX(fa_cname,MATCH(B517,fa_num,0))&amp;"",""))</f>
        <v/>
      </c>
      <c r="H517" s="59" t="str">
        <f>IF(COUNTA(A517:F517)=0,"",IF(A517="","Date manquante",IF(NOT(ISNUMBER(A517)),"Date invalide",IF(B517="","N° de facture manquant",IF(ISNA(MATCH(B517,fa_num,0)),"Facture inconnue",IF(INDEX(fa_type,MATCH(B517,fa_num,0))="Avoir","Paiement sur un avoir",IF(OR(NOT(ISNUMBER(C517)),N(C517)&lt;=0),"Montant invalide",IF(A517&lt;INDEX(fa_date,MATCH(B517,fa_num,0)),"Date antérieure à la facture",IF(SUMIF($B$6:B517,B517,$C$6:C517)&gt;INDEX(fa_ttc,MATCH(B517,fa_num,0))-N(INDEX(fa_avoirs,MATCH(B517,fa_num,0)))+0.001,"Dépasse le montant de la facture","OK")))))))))</f>
        <v/>
      </c>
    </row>
    <row r="518">
      <c r="A518" s="61" t="n"/>
      <c r="B518" s="60" t="n"/>
      <c r="C518" s="68" t="n"/>
      <c r="D518" s="60" t="n"/>
      <c r="E518" s="63" t="n"/>
      <c r="F518" s="63" t="n"/>
      <c r="G518" s="62" t="str">
        <f>IF(B518="","",IFERROR(INDEX(fa_cname,MATCH(B518,fa_num,0))&amp;"",""))</f>
        <v/>
      </c>
      <c r="H518" s="59" t="str">
        <f>IF(COUNTA(A518:F518)=0,"",IF(A518="","Date manquante",IF(NOT(ISNUMBER(A518)),"Date invalide",IF(B518="","N° de facture manquant",IF(ISNA(MATCH(B518,fa_num,0)),"Facture inconnue",IF(INDEX(fa_type,MATCH(B518,fa_num,0))="Avoir","Paiement sur un avoir",IF(OR(NOT(ISNUMBER(C518)),N(C518)&lt;=0),"Montant invalide",IF(A518&lt;INDEX(fa_date,MATCH(B518,fa_num,0)),"Date antérieure à la facture",IF(SUMIF($B$6:B518,B518,$C$6:C518)&gt;INDEX(fa_ttc,MATCH(B518,fa_num,0))-N(INDEX(fa_avoirs,MATCH(B518,fa_num,0)))+0.001,"Dépasse le montant de la facture","OK")))))))))</f>
        <v/>
      </c>
    </row>
    <row r="519">
      <c r="A519" s="61" t="n"/>
      <c r="B519" s="60" t="n"/>
      <c r="C519" s="68" t="n"/>
      <c r="D519" s="60" t="n"/>
      <c r="E519" s="63" t="n"/>
      <c r="F519" s="63" t="n"/>
      <c r="G519" s="62" t="str">
        <f>IF(B519="","",IFERROR(INDEX(fa_cname,MATCH(B519,fa_num,0))&amp;"",""))</f>
        <v/>
      </c>
      <c r="H519" s="59" t="str">
        <f>IF(COUNTA(A519:F519)=0,"",IF(A519="","Date manquante",IF(NOT(ISNUMBER(A519)),"Date invalide",IF(B519="","N° de facture manquant",IF(ISNA(MATCH(B519,fa_num,0)),"Facture inconnue",IF(INDEX(fa_type,MATCH(B519,fa_num,0))="Avoir","Paiement sur un avoir",IF(OR(NOT(ISNUMBER(C519)),N(C519)&lt;=0),"Montant invalide",IF(A519&lt;INDEX(fa_date,MATCH(B519,fa_num,0)),"Date antérieure à la facture",IF(SUMIF($B$6:B519,B519,$C$6:C519)&gt;INDEX(fa_ttc,MATCH(B519,fa_num,0))-N(INDEX(fa_avoirs,MATCH(B519,fa_num,0)))+0.001,"Dépasse le montant de la facture","OK")))))))))</f>
        <v/>
      </c>
    </row>
    <row r="520">
      <c r="A520" s="61" t="n"/>
      <c r="B520" s="60" t="n"/>
      <c r="C520" s="68" t="n"/>
      <c r="D520" s="60" t="n"/>
      <c r="E520" s="63" t="n"/>
      <c r="F520" s="63" t="n"/>
      <c r="G520" s="62" t="str">
        <f>IF(B520="","",IFERROR(INDEX(fa_cname,MATCH(B520,fa_num,0))&amp;"",""))</f>
        <v/>
      </c>
      <c r="H520" s="59" t="str">
        <f>IF(COUNTA(A520:F520)=0,"",IF(A520="","Date manquante",IF(NOT(ISNUMBER(A520)),"Date invalide",IF(B520="","N° de facture manquant",IF(ISNA(MATCH(B520,fa_num,0)),"Facture inconnue",IF(INDEX(fa_type,MATCH(B520,fa_num,0))="Avoir","Paiement sur un avoir",IF(OR(NOT(ISNUMBER(C520)),N(C520)&lt;=0),"Montant invalide",IF(A520&lt;INDEX(fa_date,MATCH(B520,fa_num,0)),"Date antérieure à la facture",IF(SUMIF($B$6:B520,B520,$C$6:C520)&gt;INDEX(fa_ttc,MATCH(B520,fa_num,0))-N(INDEX(fa_avoirs,MATCH(B520,fa_num,0)))+0.001,"Dépasse le montant de la facture","OK")))))))))</f>
        <v/>
      </c>
    </row>
    <row r="521">
      <c r="A521" s="61" t="n"/>
      <c r="B521" s="60" t="n"/>
      <c r="C521" s="68" t="n"/>
      <c r="D521" s="60" t="n"/>
      <c r="E521" s="63" t="n"/>
      <c r="F521" s="63" t="n"/>
      <c r="G521" s="62" t="str">
        <f>IF(B521="","",IFERROR(INDEX(fa_cname,MATCH(B521,fa_num,0))&amp;"",""))</f>
        <v/>
      </c>
      <c r="H521" s="59" t="str">
        <f>IF(COUNTA(A521:F521)=0,"",IF(A521="","Date manquante",IF(NOT(ISNUMBER(A521)),"Date invalide",IF(B521="","N° de facture manquant",IF(ISNA(MATCH(B521,fa_num,0)),"Facture inconnue",IF(INDEX(fa_type,MATCH(B521,fa_num,0))="Avoir","Paiement sur un avoir",IF(OR(NOT(ISNUMBER(C521)),N(C521)&lt;=0),"Montant invalide",IF(A521&lt;INDEX(fa_date,MATCH(B521,fa_num,0)),"Date antérieure à la facture",IF(SUMIF($B$6:B521,B521,$C$6:C521)&gt;INDEX(fa_ttc,MATCH(B521,fa_num,0))-N(INDEX(fa_avoirs,MATCH(B521,fa_num,0)))+0.001,"Dépasse le montant de la facture","OK")))))))))</f>
        <v/>
      </c>
    </row>
    <row r="522">
      <c r="A522" s="61" t="n"/>
      <c r="B522" s="60" t="n"/>
      <c r="C522" s="68" t="n"/>
      <c r="D522" s="60" t="n"/>
      <c r="E522" s="63" t="n"/>
      <c r="F522" s="63" t="n"/>
      <c r="G522" s="62" t="str">
        <f>IF(B522="","",IFERROR(INDEX(fa_cname,MATCH(B522,fa_num,0))&amp;"",""))</f>
        <v/>
      </c>
      <c r="H522" s="59" t="str">
        <f>IF(COUNTA(A522:F522)=0,"",IF(A522="","Date manquante",IF(NOT(ISNUMBER(A522)),"Date invalide",IF(B522="","N° de facture manquant",IF(ISNA(MATCH(B522,fa_num,0)),"Facture inconnue",IF(INDEX(fa_type,MATCH(B522,fa_num,0))="Avoir","Paiement sur un avoir",IF(OR(NOT(ISNUMBER(C522)),N(C522)&lt;=0),"Montant invalide",IF(A522&lt;INDEX(fa_date,MATCH(B522,fa_num,0)),"Date antérieure à la facture",IF(SUMIF($B$6:B522,B522,$C$6:C522)&gt;INDEX(fa_ttc,MATCH(B522,fa_num,0))-N(INDEX(fa_avoirs,MATCH(B522,fa_num,0)))+0.001,"Dépasse le montant de la facture","OK")))))))))</f>
        <v/>
      </c>
    </row>
    <row r="523">
      <c r="A523" s="61" t="n"/>
      <c r="B523" s="60" t="n"/>
      <c r="C523" s="68" t="n"/>
      <c r="D523" s="60" t="n"/>
      <c r="E523" s="63" t="n"/>
      <c r="F523" s="63" t="n"/>
      <c r="G523" s="62" t="str">
        <f>IF(B523="","",IFERROR(INDEX(fa_cname,MATCH(B523,fa_num,0))&amp;"",""))</f>
        <v/>
      </c>
      <c r="H523" s="59" t="str">
        <f>IF(COUNTA(A523:F523)=0,"",IF(A523="","Date manquante",IF(NOT(ISNUMBER(A523)),"Date invalide",IF(B523="","N° de facture manquant",IF(ISNA(MATCH(B523,fa_num,0)),"Facture inconnue",IF(INDEX(fa_type,MATCH(B523,fa_num,0))="Avoir","Paiement sur un avoir",IF(OR(NOT(ISNUMBER(C523)),N(C523)&lt;=0),"Montant invalide",IF(A523&lt;INDEX(fa_date,MATCH(B523,fa_num,0)),"Date antérieure à la facture",IF(SUMIF($B$6:B523,B523,$C$6:C523)&gt;INDEX(fa_ttc,MATCH(B523,fa_num,0))-N(INDEX(fa_avoirs,MATCH(B523,fa_num,0)))+0.001,"Dépasse le montant de la facture","OK")))))))))</f>
        <v/>
      </c>
    </row>
    <row r="524">
      <c r="A524" s="61" t="n"/>
      <c r="B524" s="60" t="n"/>
      <c r="C524" s="68" t="n"/>
      <c r="D524" s="60" t="n"/>
      <c r="E524" s="63" t="n"/>
      <c r="F524" s="63" t="n"/>
      <c r="G524" s="62" t="str">
        <f>IF(B524="","",IFERROR(INDEX(fa_cname,MATCH(B524,fa_num,0))&amp;"",""))</f>
        <v/>
      </c>
      <c r="H524" s="59" t="str">
        <f>IF(COUNTA(A524:F524)=0,"",IF(A524="","Date manquante",IF(NOT(ISNUMBER(A524)),"Date invalide",IF(B524="","N° de facture manquant",IF(ISNA(MATCH(B524,fa_num,0)),"Facture inconnue",IF(INDEX(fa_type,MATCH(B524,fa_num,0))="Avoir","Paiement sur un avoir",IF(OR(NOT(ISNUMBER(C524)),N(C524)&lt;=0),"Montant invalide",IF(A524&lt;INDEX(fa_date,MATCH(B524,fa_num,0)),"Date antérieure à la facture",IF(SUMIF($B$6:B524,B524,$C$6:C524)&gt;INDEX(fa_ttc,MATCH(B524,fa_num,0))-N(INDEX(fa_avoirs,MATCH(B524,fa_num,0)))+0.001,"Dépasse le montant de la facture","OK")))))))))</f>
        <v/>
      </c>
    </row>
    <row r="525">
      <c r="A525" s="61" t="n"/>
      <c r="B525" s="60" t="n"/>
      <c r="C525" s="68" t="n"/>
      <c r="D525" s="60" t="n"/>
      <c r="E525" s="63" t="n"/>
      <c r="F525" s="63" t="n"/>
      <c r="G525" s="62" t="str">
        <f>IF(B525="","",IFERROR(INDEX(fa_cname,MATCH(B525,fa_num,0))&amp;"",""))</f>
        <v/>
      </c>
      <c r="H525" s="59" t="str">
        <f>IF(COUNTA(A525:F525)=0,"",IF(A525="","Date manquante",IF(NOT(ISNUMBER(A525)),"Date invalide",IF(B525="","N° de facture manquant",IF(ISNA(MATCH(B525,fa_num,0)),"Facture inconnue",IF(INDEX(fa_type,MATCH(B525,fa_num,0))="Avoir","Paiement sur un avoir",IF(OR(NOT(ISNUMBER(C525)),N(C525)&lt;=0),"Montant invalide",IF(A525&lt;INDEX(fa_date,MATCH(B525,fa_num,0)),"Date antérieure à la facture",IF(SUMIF($B$6:B525,B525,$C$6:C525)&gt;INDEX(fa_ttc,MATCH(B525,fa_num,0))-N(INDEX(fa_avoirs,MATCH(B525,fa_num,0)))+0.001,"Dépasse le montant de la facture","OK")))))))))</f>
        <v/>
      </c>
    </row>
    <row r="526">
      <c r="A526" s="61" t="n"/>
      <c r="B526" s="60" t="n"/>
      <c r="C526" s="68" t="n"/>
      <c r="D526" s="60" t="n"/>
      <c r="E526" s="63" t="n"/>
      <c r="F526" s="63" t="n"/>
      <c r="G526" s="62" t="str">
        <f>IF(B526="","",IFERROR(INDEX(fa_cname,MATCH(B526,fa_num,0))&amp;"",""))</f>
        <v/>
      </c>
      <c r="H526" s="59" t="str">
        <f>IF(COUNTA(A526:F526)=0,"",IF(A526="","Date manquante",IF(NOT(ISNUMBER(A526)),"Date invalide",IF(B526="","N° de facture manquant",IF(ISNA(MATCH(B526,fa_num,0)),"Facture inconnue",IF(INDEX(fa_type,MATCH(B526,fa_num,0))="Avoir","Paiement sur un avoir",IF(OR(NOT(ISNUMBER(C526)),N(C526)&lt;=0),"Montant invalide",IF(A526&lt;INDEX(fa_date,MATCH(B526,fa_num,0)),"Date antérieure à la facture",IF(SUMIF($B$6:B526,B526,$C$6:C526)&gt;INDEX(fa_ttc,MATCH(B526,fa_num,0))-N(INDEX(fa_avoirs,MATCH(B526,fa_num,0)))+0.001,"Dépasse le montant de la facture","OK")))))))))</f>
        <v/>
      </c>
    </row>
    <row r="527">
      <c r="A527" s="61" t="n"/>
      <c r="B527" s="60" t="n"/>
      <c r="C527" s="68" t="n"/>
      <c r="D527" s="60" t="n"/>
      <c r="E527" s="63" t="n"/>
      <c r="F527" s="63" t="n"/>
      <c r="G527" s="62" t="str">
        <f>IF(B527="","",IFERROR(INDEX(fa_cname,MATCH(B527,fa_num,0))&amp;"",""))</f>
        <v/>
      </c>
      <c r="H527" s="59" t="str">
        <f>IF(COUNTA(A527:F527)=0,"",IF(A527="","Date manquante",IF(NOT(ISNUMBER(A527)),"Date invalide",IF(B527="","N° de facture manquant",IF(ISNA(MATCH(B527,fa_num,0)),"Facture inconnue",IF(INDEX(fa_type,MATCH(B527,fa_num,0))="Avoir","Paiement sur un avoir",IF(OR(NOT(ISNUMBER(C527)),N(C527)&lt;=0),"Montant invalide",IF(A527&lt;INDEX(fa_date,MATCH(B527,fa_num,0)),"Date antérieure à la facture",IF(SUMIF($B$6:B527,B527,$C$6:C527)&gt;INDEX(fa_ttc,MATCH(B527,fa_num,0))-N(INDEX(fa_avoirs,MATCH(B527,fa_num,0)))+0.001,"Dépasse le montant de la facture","OK")))))))))</f>
        <v/>
      </c>
    </row>
    <row r="528">
      <c r="A528" s="61" t="n"/>
      <c r="B528" s="60" t="n"/>
      <c r="C528" s="68" t="n"/>
      <c r="D528" s="60" t="n"/>
      <c r="E528" s="63" t="n"/>
      <c r="F528" s="63" t="n"/>
      <c r="G528" s="62" t="str">
        <f>IF(B528="","",IFERROR(INDEX(fa_cname,MATCH(B528,fa_num,0))&amp;"",""))</f>
        <v/>
      </c>
      <c r="H528" s="59" t="str">
        <f>IF(COUNTA(A528:F528)=0,"",IF(A528="","Date manquante",IF(NOT(ISNUMBER(A528)),"Date invalide",IF(B528="","N° de facture manquant",IF(ISNA(MATCH(B528,fa_num,0)),"Facture inconnue",IF(INDEX(fa_type,MATCH(B528,fa_num,0))="Avoir","Paiement sur un avoir",IF(OR(NOT(ISNUMBER(C528)),N(C528)&lt;=0),"Montant invalide",IF(A528&lt;INDEX(fa_date,MATCH(B528,fa_num,0)),"Date antérieure à la facture",IF(SUMIF($B$6:B528,B528,$C$6:C528)&gt;INDEX(fa_ttc,MATCH(B528,fa_num,0))-N(INDEX(fa_avoirs,MATCH(B528,fa_num,0)))+0.001,"Dépasse le montant de la facture","OK")))))))))</f>
        <v/>
      </c>
    </row>
    <row r="529">
      <c r="A529" s="61" t="n"/>
      <c r="B529" s="60" t="n"/>
      <c r="C529" s="68" t="n"/>
      <c r="D529" s="60" t="n"/>
      <c r="E529" s="63" t="n"/>
      <c r="F529" s="63" t="n"/>
      <c r="G529" s="62" t="str">
        <f>IF(B529="","",IFERROR(INDEX(fa_cname,MATCH(B529,fa_num,0))&amp;"",""))</f>
        <v/>
      </c>
      <c r="H529" s="59" t="str">
        <f>IF(COUNTA(A529:F529)=0,"",IF(A529="","Date manquante",IF(NOT(ISNUMBER(A529)),"Date invalide",IF(B529="","N° de facture manquant",IF(ISNA(MATCH(B529,fa_num,0)),"Facture inconnue",IF(INDEX(fa_type,MATCH(B529,fa_num,0))="Avoir","Paiement sur un avoir",IF(OR(NOT(ISNUMBER(C529)),N(C529)&lt;=0),"Montant invalide",IF(A529&lt;INDEX(fa_date,MATCH(B529,fa_num,0)),"Date antérieure à la facture",IF(SUMIF($B$6:B529,B529,$C$6:C529)&gt;INDEX(fa_ttc,MATCH(B529,fa_num,0))-N(INDEX(fa_avoirs,MATCH(B529,fa_num,0)))+0.001,"Dépasse le montant de la facture","OK")))))))))</f>
        <v/>
      </c>
    </row>
    <row r="530">
      <c r="A530" s="61" t="n"/>
      <c r="B530" s="60" t="n"/>
      <c r="C530" s="68" t="n"/>
      <c r="D530" s="60" t="n"/>
      <c r="E530" s="63" t="n"/>
      <c r="F530" s="63" t="n"/>
      <c r="G530" s="62" t="str">
        <f>IF(B530="","",IFERROR(INDEX(fa_cname,MATCH(B530,fa_num,0))&amp;"",""))</f>
        <v/>
      </c>
      <c r="H530" s="59" t="str">
        <f>IF(COUNTA(A530:F530)=0,"",IF(A530="","Date manquante",IF(NOT(ISNUMBER(A530)),"Date invalide",IF(B530="","N° de facture manquant",IF(ISNA(MATCH(B530,fa_num,0)),"Facture inconnue",IF(INDEX(fa_type,MATCH(B530,fa_num,0))="Avoir","Paiement sur un avoir",IF(OR(NOT(ISNUMBER(C530)),N(C530)&lt;=0),"Montant invalide",IF(A530&lt;INDEX(fa_date,MATCH(B530,fa_num,0)),"Date antérieure à la facture",IF(SUMIF($B$6:B530,B530,$C$6:C530)&gt;INDEX(fa_ttc,MATCH(B530,fa_num,0))-N(INDEX(fa_avoirs,MATCH(B530,fa_num,0)))+0.001,"Dépasse le montant de la facture","OK")))))))))</f>
        <v/>
      </c>
    </row>
    <row r="531">
      <c r="A531" s="61" t="n"/>
      <c r="B531" s="60" t="n"/>
      <c r="C531" s="68" t="n"/>
      <c r="D531" s="60" t="n"/>
      <c r="E531" s="63" t="n"/>
      <c r="F531" s="63" t="n"/>
      <c r="G531" s="62" t="str">
        <f>IF(B531="","",IFERROR(INDEX(fa_cname,MATCH(B531,fa_num,0))&amp;"",""))</f>
        <v/>
      </c>
      <c r="H531" s="59" t="str">
        <f>IF(COUNTA(A531:F531)=0,"",IF(A531="","Date manquante",IF(NOT(ISNUMBER(A531)),"Date invalide",IF(B531="","N° de facture manquant",IF(ISNA(MATCH(B531,fa_num,0)),"Facture inconnue",IF(INDEX(fa_type,MATCH(B531,fa_num,0))="Avoir","Paiement sur un avoir",IF(OR(NOT(ISNUMBER(C531)),N(C531)&lt;=0),"Montant invalide",IF(A531&lt;INDEX(fa_date,MATCH(B531,fa_num,0)),"Date antérieure à la facture",IF(SUMIF($B$6:B531,B531,$C$6:C531)&gt;INDEX(fa_ttc,MATCH(B531,fa_num,0))-N(INDEX(fa_avoirs,MATCH(B531,fa_num,0)))+0.001,"Dépasse le montant de la facture","OK")))))))))</f>
        <v/>
      </c>
    </row>
    <row r="532">
      <c r="A532" s="61" t="n"/>
      <c r="B532" s="60" t="n"/>
      <c r="C532" s="68" t="n"/>
      <c r="D532" s="60" t="n"/>
      <c r="E532" s="63" t="n"/>
      <c r="F532" s="63" t="n"/>
      <c r="G532" s="62" t="str">
        <f>IF(B532="","",IFERROR(INDEX(fa_cname,MATCH(B532,fa_num,0))&amp;"",""))</f>
        <v/>
      </c>
      <c r="H532" s="59" t="str">
        <f>IF(COUNTA(A532:F532)=0,"",IF(A532="","Date manquante",IF(NOT(ISNUMBER(A532)),"Date invalide",IF(B532="","N° de facture manquant",IF(ISNA(MATCH(B532,fa_num,0)),"Facture inconnue",IF(INDEX(fa_type,MATCH(B532,fa_num,0))="Avoir","Paiement sur un avoir",IF(OR(NOT(ISNUMBER(C532)),N(C532)&lt;=0),"Montant invalide",IF(A532&lt;INDEX(fa_date,MATCH(B532,fa_num,0)),"Date antérieure à la facture",IF(SUMIF($B$6:B532,B532,$C$6:C532)&gt;INDEX(fa_ttc,MATCH(B532,fa_num,0))-N(INDEX(fa_avoirs,MATCH(B532,fa_num,0)))+0.001,"Dépasse le montant de la facture","OK")))))))))</f>
        <v/>
      </c>
    </row>
    <row r="533">
      <c r="A533" s="61" t="n"/>
      <c r="B533" s="60" t="n"/>
      <c r="C533" s="68" t="n"/>
      <c r="D533" s="60" t="n"/>
      <c r="E533" s="63" t="n"/>
      <c r="F533" s="63" t="n"/>
      <c r="G533" s="62" t="str">
        <f>IF(B533="","",IFERROR(INDEX(fa_cname,MATCH(B533,fa_num,0))&amp;"",""))</f>
        <v/>
      </c>
      <c r="H533" s="59" t="str">
        <f>IF(COUNTA(A533:F533)=0,"",IF(A533="","Date manquante",IF(NOT(ISNUMBER(A533)),"Date invalide",IF(B533="","N° de facture manquant",IF(ISNA(MATCH(B533,fa_num,0)),"Facture inconnue",IF(INDEX(fa_type,MATCH(B533,fa_num,0))="Avoir","Paiement sur un avoir",IF(OR(NOT(ISNUMBER(C533)),N(C533)&lt;=0),"Montant invalide",IF(A533&lt;INDEX(fa_date,MATCH(B533,fa_num,0)),"Date antérieure à la facture",IF(SUMIF($B$6:B533,B533,$C$6:C533)&gt;INDEX(fa_ttc,MATCH(B533,fa_num,0))-N(INDEX(fa_avoirs,MATCH(B533,fa_num,0)))+0.001,"Dépasse le montant de la facture","OK")))))))))</f>
        <v/>
      </c>
    </row>
    <row r="534">
      <c r="A534" s="61" t="n"/>
      <c r="B534" s="60" t="n"/>
      <c r="C534" s="68" t="n"/>
      <c r="D534" s="60" t="n"/>
      <c r="E534" s="63" t="n"/>
      <c r="F534" s="63" t="n"/>
      <c r="G534" s="62" t="str">
        <f>IF(B534="","",IFERROR(INDEX(fa_cname,MATCH(B534,fa_num,0))&amp;"",""))</f>
        <v/>
      </c>
      <c r="H534" s="59" t="str">
        <f>IF(COUNTA(A534:F534)=0,"",IF(A534="","Date manquante",IF(NOT(ISNUMBER(A534)),"Date invalide",IF(B534="","N° de facture manquant",IF(ISNA(MATCH(B534,fa_num,0)),"Facture inconnue",IF(INDEX(fa_type,MATCH(B534,fa_num,0))="Avoir","Paiement sur un avoir",IF(OR(NOT(ISNUMBER(C534)),N(C534)&lt;=0),"Montant invalide",IF(A534&lt;INDEX(fa_date,MATCH(B534,fa_num,0)),"Date antérieure à la facture",IF(SUMIF($B$6:B534,B534,$C$6:C534)&gt;INDEX(fa_ttc,MATCH(B534,fa_num,0))-N(INDEX(fa_avoirs,MATCH(B534,fa_num,0)))+0.001,"Dépasse le montant de la facture","OK")))))))))</f>
        <v/>
      </c>
    </row>
    <row r="535">
      <c r="A535" s="61" t="n"/>
      <c r="B535" s="60" t="n"/>
      <c r="C535" s="68" t="n"/>
      <c r="D535" s="60" t="n"/>
      <c r="E535" s="63" t="n"/>
      <c r="F535" s="63" t="n"/>
      <c r="G535" s="62" t="str">
        <f>IF(B535="","",IFERROR(INDEX(fa_cname,MATCH(B535,fa_num,0))&amp;"",""))</f>
        <v/>
      </c>
      <c r="H535" s="59" t="str">
        <f>IF(COUNTA(A535:F535)=0,"",IF(A535="","Date manquante",IF(NOT(ISNUMBER(A535)),"Date invalide",IF(B535="","N° de facture manquant",IF(ISNA(MATCH(B535,fa_num,0)),"Facture inconnue",IF(INDEX(fa_type,MATCH(B535,fa_num,0))="Avoir","Paiement sur un avoir",IF(OR(NOT(ISNUMBER(C535)),N(C535)&lt;=0),"Montant invalide",IF(A535&lt;INDEX(fa_date,MATCH(B535,fa_num,0)),"Date antérieure à la facture",IF(SUMIF($B$6:B535,B535,$C$6:C535)&gt;INDEX(fa_ttc,MATCH(B535,fa_num,0))-N(INDEX(fa_avoirs,MATCH(B535,fa_num,0)))+0.001,"Dépasse le montant de la facture","OK")))))))))</f>
        <v/>
      </c>
    </row>
    <row r="536">
      <c r="A536" s="61" t="n"/>
      <c r="B536" s="60" t="n"/>
      <c r="C536" s="68" t="n"/>
      <c r="D536" s="60" t="n"/>
      <c r="E536" s="63" t="n"/>
      <c r="F536" s="63" t="n"/>
      <c r="G536" s="62" t="str">
        <f>IF(B536="","",IFERROR(INDEX(fa_cname,MATCH(B536,fa_num,0))&amp;"",""))</f>
        <v/>
      </c>
      <c r="H536" s="59" t="str">
        <f>IF(COUNTA(A536:F536)=0,"",IF(A536="","Date manquante",IF(NOT(ISNUMBER(A536)),"Date invalide",IF(B536="","N° de facture manquant",IF(ISNA(MATCH(B536,fa_num,0)),"Facture inconnue",IF(INDEX(fa_type,MATCH(B536,fa_num,0))="Avoir","Paiement sur un avoir",IF(OR(NOT(ISNUMBER(C536)),N(C536)&lt;=0),"Montant invalide",IF(A536&lt;INDEX(fa_date,MATCH(B536,fa_num,0)),"Date antérieure à la facture",IF(SUMIF($B$6:B536,B536,$C$6:C536)&gt;INDEX(fa_ttc,MATCH(B536,fa_num,0))-N(INDEX(fa_avoirs,MATCH(B536,fa_num,0)))+0.001,"Dépasse le montant de la facture","OK")))))))))</f>
        <v/>
      </c>
    </row>
    <row r="537">
      <c r="A537" s="61" t="n"/>
      <c r="B537" s="60" t="n"/>
      <c r="C537" s="68" t="n"/>
      <c r="D537" s="60" t="n"/>
      <c r="E537" s="63" t="n"/>
      <c r="F537" s="63" t="n"/>
      <c r="G537" s="62" t="str">
        <f>IF(B537="","",IFERROR(INDEX(fa_cname,MATCH(B537,fa_num,0))&amp;"",""))</f>
        <v/>
      </c>
      <c r="H537" s="59" t="str">
        <f>IF(COUNTA(A537:F537)=0,"",IF(A537="","Date manquante",IF(NOT(ISNUMBER(A537)),"Date invalide",IF(B537="","N° de facture manquant",IF(ISNA(MATCH(B537,fa_num,0)),"Facture inconnue",IF(INDEX(fa_type,MATCH(B537,fa_num,0))="Avoir","Paiement sur un avoir",IF(OR(NOT(ISNUMBER(C537)),N(C537)&lt;=0),"Montant invalide",IF(A537&lt;INDEX(fa_date,MATCH(B537,fa_num,0)),"Date antérieure à la facture",IF(SUMIF($B$6:B537,B537,$C$6:C537)&gt;INDEX(fa_ttc,MATCH(B537,fa_num,0))-N(INDEX(fa_avoirs,MATCH(B537,fa_num,0)))+0.001,"Dépasse le montant de la facture","OK")))))))))</f>
        <v/>
      </c>
    </row>
    <row r="538">
      <c r="A538" s="61" t="n"/>
      <c r="B538" s="60" t="n"/>
      <c r="C538" s="68" t="n"/>
      <c r="D538" s="60" t="n"/>
      <c r="E538" s="63" t="n"/>
      <c r="F538" s="63" t="n"/>
      <c r="G538" s="62" t="str">
        <f>IF(B538="","",IFERROR(INDEX(fa_cname,MATCH(B538,fa_num,0))&amp;"",""))</f>
        <v/>
      </c>
      <c r="H538" s="59" t="str">
        <f>IF(COUNTA(A538:F538)=0,"",IF(A538="","Date manquante",IF(NOT(ISNUMBER(A538)),"Date invalide",IF(B538="","N° de facture manquant",IF(ISNA(MATCH(B538,fa_num,0)),"Facture inconnue",IF(INDEX(fa_type,MATCH(B538,fa_num,0))="Avoir","Paiement sur un avoir",IF(OR(NOT(ISNUMBER(C538)),N(C538)&lt;=0),"Montant invalide",IF(A538&lt;INDEX(fa_date,MATCH(B538,fa_num,0)),"Date antérieure à la facture",IF(SUMIF($B$6:B538,B538,$C$6:C538)&gt;INDEX(fa_ttc,MATCH(B538,fa_num,0))-N(INDEX(fa_avoirs,MATCH(B538,fa_num,0)))+0.001,"Dépasse le montant de la facture","OK")))))))))</f>
        <v/>
      </c>
    </row>
    <row r="539">
      <c r="A539" s="61" t="n"/>
      <c r="B539" s="60" t="n"/>
      <c r="C539" s="68" t="n"/>
      <c r="D539" s="60" t="n"/>
      <c r="E539" s="63" t="n"/>
      <c r="F539" s="63" t="n"/>
      <c r="G539" s="62" t="str">
        <f>IF(B539="","",IFERROR(INDEX(fa_cname,MATCH(B539,fa_num,0))&amp;"",""))</f>
        <v/>
      </c>
      <c r="H539" s="59" t="str">
        <f>IF(COUNTA(A539:F539)=0,"",IF(A539="","Date manquante",IF(NOT(ISNUMBER(A539)),"Date invalide",IF(B539="","N° de facture manquant",IF(ISNA(MATCH(B539,fa_num,0)),"Facture inconnue",IF(INDEX(fa_type,MATCH(B539,fa_num,0))="Avoir","Paiement sur un avoir",IF(OR(NOT(ISNUMBER(C539)),N(C539)&lt;=0),"Montant invalide",IF(A539&lt;INDEX(fa_date,MATCH(B539,fa_num,0)),"Date antérieure à la facture",IF(SUMIF($B$6:B539,B539,$C$6:C539)&gt;INDEX(fa_ttc,MATCH(B539,fa_num,0))-N(INDEX(fa_avoirs,MATCH(B539,fa_num,0)))+0.001,"Dépasse le montant de la facture","OK")))))))))</f>
        <v/>
      </c>
    </row>
    <row r="540">
      <c r="A540" s="61" t="n"/>
      <c r="B540" s="60" t="n"/>
      <c r="C540" s="68" t="n"/>
      <c r="D540" s="60" t="n"/>
      <c r="E540" s="63" t="n"/>
      <c r="F540" s="63" t="n"/>
      <c r="G540" s="62" t="str">
        <f>IF(B540="","",IFERROR(INDEX(fa_cname,MATCH(B540,fa_num,0))&amp;"",""))</f>
        <v/>
      </c>
      <c r="H540" s="59" t="str">
        <f>IF(COUNTA(A540:F540)=0,"",IF(A540="","Date manquante",IF(NOT(ISNUMBER(A540)),"Date invalide",IF(B540="","N° de facture manquant",IF(ISNA(MATCH(B540,fa_num,0)),"Facture inconnue",IF(INDEX(fa_type,MATCH(B540,fa_num,0))="Avoir","Paiement sur un avoir",IF(OR(NOT(ISNUMBER(C540)),N(C540)&lt;=0),"Montant invalide",IF(A540&lt;INDEX(fa_date,MATCH(B540,fa_num,0)),"Date antérieure à la facture",IF(SUMIF($B$6:B540,B540,$C$6:C540)&gt;INDEX(fa_ttc,MATCH(B540,fa_num,0))-N(INDEX(fa_avoirs,MATCH(B540,fa_num,0)))+0.001,"Dépasse le montant de la facture","OK")))))))))</f>
        <v/>
      </c>
    </row>
    <row r="541">
      <c r="A541" s="61" t="n"/>
      <c r="B541" s="60" t="n"/>
      <c r="C541" s="68" t="n"/>
      <c r="D541" s="60" t="n"/>
      <c r="E541" s="63" t="n"/>
      <c r="F541" s="63" t="n"/>
      <c r="G541" s="62" t="str">
        <f>IF(B541="","",IFERROR(INDEX(fa_cname,MATCH(B541,fa_num,0))&amp;"",""))</f>
        <v/>
      </c>
      <c r="H541" s="59" t="str">
        <f>IF(COUNTA(A541:F541)=0,"",IF(A541="","Date manquante",IF(NOT(ISNUMBER(A541)),"Date invalide",IF(B541="","N° de facture manquant",IF(ISNA(MATCH(B541,fa_num,0)),"Facture inconnue",IF(INDEX(fa_type,MATCH(B541,fa_num,0))="Avoir","Paiement sur un avoir",IF(OR(NOT(ISNUMBER(C541)),N(C541)&lt;=0),"Montant invalide",IF(A541&lt;INDEX(fa_date,MATCH(B541,fa_num,0)),"Date antérieure à la facture",IF(SUMIF($B$6:B541,B541,$C$6:C541)&gt;INDEX(fa_ttc,MATCH(B541,fa_num,0))-N(INDEX(fa_avoirs,MATCH(B541,fa_num,0)))+0.001,"Dépasse le montant de la facture","OK")))))))))</f>
        <v/>
      </c>
    </row>
    <row r="542">
      <c r="A542" s="61" t="n"/>
      <c r="B542" s="60" t="n"/>
      <c r="C542" s="68" t="n"/>
      <c r="D542" s="60" t="n"/>
      <c r="E542" s="63" t="n"/>
      <c r="F542" s="63" t="n"/>
      <c r="G542" s="62" t="str">
        <f>IF(B542="","",IFERROR(INDEX(fa_cname,MATCH(B542,fa_num,0))&amp;"",""))</f>
        <v/>
      </c>
      <c r="H542" s="59" t="str">
        <f>IF(COUNTA(A542:F542)=0,"",IF(A542="","Date manquante",IF(NOT(ISNUMBER(A542)),"Date invalide",IF(B542="","N° de facture manquant",IF(ISNA(MATCH(B542,fa_num,0)),"Facture inconnue",IF(INDEX(fa_type,MATCH(B542,fa_num,0))="Avoir","Paiement sur un avoir",IF(OR(NOT(ISNUMBER(C542)),N(C542)&lt;=0),"Montant invalide",IF(A542&lt;INDEX(fa_date,MATCH(B542,fa_num,0)),"Date antérieure à la facture",IF(SUMIF($B$6:B542,B542,$C$6:C542)&gt;INDEX(fa_ttc,MATCH(B542,fa_num,0))-N(INDEX(fa_avoirs,MATCH(B542,fa_num,0)))+0.001,"Dépasse le montant de la facture","OK")))))))))</f>
        <v/>
      </c>
    </row>
    <row r="543">
      <c r="A543" s="61" t="n"/>
      <c r="B543" s="60" t="n"/>
      <c r="C543" s="68" t="n"/>
      <c r="D543" s="60" t="n"/>
      <c r="E543" s="63" t="n"/>
      <c r="F543" s="63" t="n"/>
      <c r="G543" s="62" t="str">
        <f>IF(B543="","",IFERROR(INDEX(fa_cname,MATCH(B543,fa_num,0))&amp;"",""))</f>
        <v/>
      </c>
      <c r="H543" s="59" t="str">
        <f>IF(COUNTA(A543:F543)=0,"",IF(A543="","Date manquante",IF(NOT(ISNUMBER(A543)),"Date invalide",IF(B543="","N° de facture manquant",IF(ISNA(MATCH(B543,fa_num,0)),"Facture inconnue",IF(INDEX(fa_type,MATCH(B543,fa_num,0))="Avoir","Paiement sur un avoir",IF(OR(NOT(ISNUMBER(C543)),N(C543)&lt;=0),"Montant invalide",IF(A543&lt;INDEX(fa_date,MATCH(B543,fa_num,0)),"Date antérieure à la facture",IF(SUMIF($B$6:B543,B543,$C$6:C543)&gt;INDEX(fa_ttc,MATCH(B543,fa_num,0))-N(INDEX(fa_avoirs,MATCH(B543,fa_num,0)))+0.001,"Dépasse le montant de la facture","OK")))))))))</f>
        <v/>
      </c>
    </row>
    <row r="544">
      <c r="A544" s="61" t="n"/>
      <c r="B544" s="60" t="n"/>
      <c r="C544" s="68" t="n"/>
      <c r="D544" s="60" t="n"/>
      <c r="E544" s="63" t="n"/>
      <c r="F544" s="63" t="n"/>
      <c r="G544" s="62" t="str">
        <f>IF(B544="","",IFERROR(INDEX(fa_cname,MATCH(B544,fa_num,0))&amp;"",""))</f>
        <v/>
      </c>
      <c r="H544" s="59" t="str">
        <f>IF(COUNTA(A544:F544)=0,"",IF(A544="","Date manquante",IF(NOT(ISNUMBER(A544)),"Date invalide",IF(B544="","N° de facture manquant",IF(ISNA(MATCH(B544,fa_num,0)),"Facture inconnue",IF(INDEX(fa_type,MATCH(B544,fa_num,0))="Avoir","Paiement sur un avoir",IF(OR(NOT(ISNUMBER(C544)),N(C544)&lt;=0),"Montant invalide",IF(A544&lt;INDEX(fa_date,MATCH(B544,fa_num,0)),"Date antérieure à la facture",IF(SUMIF($B$6:B544,B544,$C$6:C544)&gt;INDEX(fa_ttc,MATCH(B544,fa_num,0))-N(INDEX(fa_avoirs,MATCH(B544,fa_num,0)))+0.001,"Dépasse le montant de la facture","OK")))))))))</f>
        <v/>
      </c>
    </row>
    <row r="545">
      <c r="A545" s="61" t="n"/>
      <c r="B545" s="60" t="n"/>
      <c r="C545" s="68" t="n"/>
      <c r="D545" s="60" t="n"/>
      <c r="E545" s="63" t="n"/>
      <c r="F545" s="63" t="n"/>
      <c r="G545" s="62" t="str">
        <f>IF(B545="","",IFERROR(INDEX(fa_cname,MATCH(B545,fa_num,0))&amp;"",""))</f>
        <v/>
      </c>
      <c r="H545" s="59" t="str">
        <f>IF(COUNTA(A545:F545)=0,"",IF(A545="","Date manquante",IF(NOT(ISNUMBER(A545)),"Date invalide",IF(B545="","N° de facture manquant",IF(ISNA(MATCH(B545,fa_num,0)),"Facture inconnue",IF(INDEX(fa_type,MATCH(B545,fa_num,0))="Avoir","Paiement sur un avoir",IF(OR(NOT(ISNUMBER(C545)),N(C545)&lt;=0),"Montant invalide",IF(A545&lt;INDEX(fa_date,MATCH(B545,fa_num,0)),"Date antérieure à la facture",IF(SUMIF($B$6:B545,B545,$C$6:C545)&gt;INDEX(fa_ttc,MATCH(B545,fa_num,0))-N(INDEX(fa_avoirs,MATCH(B545,fa_num,0)))+0.001,"Dépasse le montant de la facture","OK")))))))))</f>
        <v/>
      </c>
    </row>
    <row r="546">
      <c r="A546" s="61" t="n"/>
      <c r="B546" s="60" t="n"/>
      <c r="C546" s="68" t="n"/>
      <c r="D546" s="60" t="n"/>
      <c r="E546" s="63" t="n"/>
      <c r="F546" s="63" t="n"/>
      <c r="G546" s="62" t="str">
        <f>IF(B546="","",IFERROR(INDEX(fa_cname,MATCH(B546,fa_num,0))&amp;"",""))</f>
        <v/>
      </c>
      <c r="H546" s="59" t="str">
        <f>IF(COUNTA(A546:F546)=0,"",IF(A546="","Date manquante",IF(NOT(ISNUMBER(A546)),"Date invalide",IF(B546="","N° de facture manquant",IF(ISNA(MATCH(B546,fa_num,0)),"Facture inconnue",IF(INDEX(fa_type,MATCH(B546,fa_num,0))="Avoir","Paiement sur un avoir",IF(OR(NOT(ISNUMBER(C546)),N(C546)&lt;=0),"Montant invalide",IF(A546&lt;INDEX(fa_date,MATCH(B546,fa_num,0)),"Date antérieure à la facture",IF(SUMIF($B$6:B546,B546,$C$6:C546)&gt;INDEX(fa_ttc,MATCH(B546,fa_num,0))-N(INDEX(fa_avoirs,MATCH(B546,fa_num,0)))+0.001,"Dépasse le montant de la facture","OK")))))))))</f>
        <v/>
      </c>
    </row>
    <row r="547">
      <c r="A547" s="61" t="n"/>
      <c r="B547" s="60" t="n"/>
      <c r="C547" s="68" t="n"/>
      <c r="D547" s="60" t="n"/>
      <c r="E547" s="63" t="n"/>
      <c r="F547" s="63" t="n"/>
      <c r="G547" s="62" t="str">
        <f>IF(B547="","",IFERROR(INDEX(fa_cname,MATCH(B547,fa_num,0))&amp;"",""))</f>
        <v/>
      </c>
      <c r="H547" s="59" t="str">
        <f>IF(COUNTA(A547:F547)=0,"",IF(A547="","Date manquante",IF(NOT(ISNUMBER(A547)),"Date invalide",IF(B547="","N° de facture manquant",IF(ISNA(MATCH(B547,fa_num,0)),"Facture inconnue",IF(INDEX(fa_type,MATCH(B547,fa_num,0))="Avoir","Paiement sur un avoir",IF(OR(NOT(ISNUMBER(C547)),N(C547)&lt;=0),"Montant invalide",IF(A547&lt;INDEX(fa_date,MATCH(B547,fa_num,0)),"Date antérieure à la facture",IF(SUMIF($B$6:B547,B547,$C$6:C547)&gt;INDEX(fa_ttc,MATCH(B547,fa_num,0))-N(INDEX(fa_avoirs,MATCH(B547,fa_num,0)))+0.001,"Dépasse le montant de la facture","OK")))))))))</f>
        <v/>
      </c>
    </row>
    <row r="548">
      <c r="A548" s="61" t="n"/>
      <c r="B548" s="60" t="n"/>
      <c r="C548" s="68" t="n"/>
      <c r="D548" s="60" t="n"/>
      <c r="E548" s="63" t="n"/>
      <c r="F548" s="63" t="n"/>
      <c r="G548" s="62" t="str">
        <f>IF(B548="","",IFERROR(INDEX(fa_cname,MATCH(B548,fa_num,0))&amp;"",""))</f>
        <v/>
      </c>
      <c r="H548" s="59" t="str">
        <f>IF(COUNTA(A548:F548)=0,"",IF(A548="","Date manquante",IF(NOT(ISNUMBER(A548)),"Date invalide",IF(B548="","N° de facture manquant",IF(ISNA(MATCH(B548,fa_num,0)),"Facture inconnue",IF(INDEX(fa_type,MATCH(B548,fa_num,0))="Avoir","Paiement sur un avoir",IF(OR(NOT(ISNUMBER(C548)),N(C548)&lt;=0),"Montant invalide",IF(A548&lt;INDEX(fa_date,MATCH(B548,fa_num,0)),"Date antérieure à la facture",IF(SUMIF($B$6:B548,B548,$C$6:C548)&gt;INDEX(fa_ttc,MATCH(B548,fa_num,0))-N(INDEX(fa_avoirs,MATCH(B548,fa_num,0)))+0.001,"Dépasse le montant de la facture","OK")))))))))</f>
        <v/>
      </c>
    </row>
    <row r="549">
      <c r="A549" s="61" t="n"/>
      <c r="B549" s="60" t="n"/>
      <c r="C549" s="68" t="n"/>
      <c r="D549" s="60" t="n"/>
      <c r="E549" s="63" t="n"/>
      <c r="F549" s="63" t="n"/>
      <c r="G549" s="62" t="str">
        <f>IF(B549="","",IFERROR(INDEX(fa_cname,MATCH(B549,fa_num,0))&amp;"",""))</f>
        <v/>
      </c>
      <c r="H549" s="59" t="str">
        <f>IF(COUNTA(A549:F549)=0,"",IF(A549="","Date manquante",IF(NOT(ISNUMBER(A549)),"Date invalide",IF(B549="","N° de facture manquant",IF(ISNA(MATCH(B549,fa_num,0)),"Facture inconnue",IF(INDEX(fa_type,MATCH(B549,fa_num,0))="Avoir","Paiement sur un avoir",IF(OR(NOT(ISNUMBER(C549)),N(C549)&lt;=0),"Montant invalide",IF(A549&lt;INDEX(fa_date,MATCH(B549,fa_num,0)),"Date antérieure à la facture",IF(SUMIF($B$6:B549,B549,$C$6:C549)&gt;INDEX(fa_ttc,MATCH(B549,fa_num,0))-N(INDEX(fa_avoirs,MATCH(B549,fa_num,0)))+0.001,"Dépasse le montant de la facture","OK")))))))))</f>
        <v/>
      </c>
    </row>
    <row r="550">
      <c r="A550" s="61" t="n"/>
      <c r="B550" s="60" t="n"/>
      <c r="C550" s="68" t="n"/>
      <c r="D550" s="60" t="n"/>
      <c r="E550" s="63" t="n"/>
      <c r="F550" s="63" t="n"/>
      <c r="G550" s="62" t="str">
        <f>IF(B550="","",IFERROR(INDEX(fa_cname,MATCH(B550,fa_num,0))&amp;"",""))</f>
        <v/>
      </c>
      <c r="H550" s="59" t="str">
        <f>IF(COUNTA(A550:F550)=0,"",IF(A550="","Date manquante",IF(NOT(ISNUMBER(A550)),"Date invalide",IF(B550="","N° de facture manquant",IF(ISNA(MATCH(B550,fa_num,0)),"Facture inconnue",IF(INDEX(fa_type,MATCH(B550,fa_num,0))="Avoir","Paiement sur un avoir",IF(OR(NOT(ISNUMBER(C550)),N(C550)&lt;=0),"Montant invalide",IF(A550&lt;INDEX(fa_date,MATCH(B550,fa_num,0)),"Date antérieure à la facture",IF(SUMIF($B$6:B550,B550,$C$6:C550)&gt;INDEX(fa_ttc,MATCH(B550,fa_num,0))-N(INDEX(fa_avoirs,MATCH(B550,fa_num,0)))+0.001,"Dépasse le montant de la facture","OK")))))))))</f>
        <v/>
      </c>
    </row>
    <row r="551">
      <c r="A551" s="61" t="n"/>
      <c r="B551" s="60" t="n"/>
      <c r="C551" s="68" t="n"/>
      <c r="D551" s="60" t="n"/>
      <c r="E551" s="63" t="n"/>
      <c r="F551" s="63" t="n"/>
      <c r="G551" s="62" t="str">
        <f>IF(B551="","",IFERROR(INDEX(fa_cname,MATCH(B551,fa_num,0))&amp;"",""))</f>
        <v/>
      </c>
      <c r="H551" s="59" t="str">
        <f>IF(COUNTA(A551:F551)=0,"",IF(A551="","Date manquante",IF(NOT(ISNUMBER(A551)),"Date invalide",IF(B551="","N° de facture manquant",IF(ISNA(MATCH(B551,fa_num,0)),"Facture inconnue",IF(INDEX(fa_type,MATCH(B551,fa_num,0))="Avoir","Paiement sur un avoir",IF(OR(NOT(ISNUMBER(C551)),N(C551)&lt;=0),"Montant invalide",IF(A551&lt;INDEX(fa_date,MATCH(B551,fa_num,0)),"Date antérieure à la facture",IF(SUMIF($B$6:B551,B551,$C$6:C551)&gt;INDEX(fa_ttc,MATCH(B551,fa_num,0))-N(INDEX(fa_avoirs,MATCH(B551,fa_num,0)))+0.001,"Dépasse le montant de la facture","OK")))))))))</f>
        <v/>
      </c>
    </row>
    <row r="552">
      <c r="A552" s="61" t="n"/>
      <c r="B552" s="60" t="n"/>
      <c r="C552" s="68" t="n"/>
      <c r="D552" s="60" t="n"/>
      <c r="E552" s="63" t="n"/>
      <c r="F552" s="63" t="n"/>
      <c r="G552" s="62" t="str">
        <f>IF(B552="","",IFERROR(INDEX(fa_cname,MATCH(B552,fa_num,0))&amp;"",""))</f>
        <v/>
      </c>
      <c r="H552" s="59" t="str">
        <f>IF(COUNTA(A552:F552)=0,"",IF(A552="","Date manquante",IF(NOT(ISNUMBER(A552)),"Date invalide",IF(B552="","N° de facture manquant",IF(ISNA(MATCH(B552,fa_num,0)),"Facture inconnue",IF(INDEX(fa_type,MATCH(B552,fa_num,0))="Avoir","Paiement sur un avoir",IF(OR(NOT(ISNUMBER(C552)),N(C552)&lt;=0),"Montant invalide",IF(A552&lt;INDEX(fa_date,MATCH(B552,fa_num,0)),"Date antérieure à la facture",IF(SUMIF($B$6:B552,B552,$C$6:C552)&gt;INDEX(fa_ttc,MATCH(B552,fa_num,0))-N(INDEX(fa_avoirs,MATCH(B552,fa_num,0)))+0.001,"Dépasse le montant de la facture","OK")))))))))</f>
        <v/>
      </c>
    </row>
    <row r="553">
      <c r="A553" s="61" t="n"/>
      <c r="B553" s="60" t="n"/>
      <c r="C553" s="68" t="n"/>
      <c r="D553" s="60" t="n"/>
      <c r="E553" s="63" t="n"/>
      <c r="F553" s="63" t="n"/>
      <c r="G553" s="62" t="str">
        <f>IF(B553="","",IFERROR(INDEX(fa_cname,MATCH(B553,fa_num,0))&amp;"",""))</f>
        <v/>
      </c>
      <c r="H553" s="59" t="str">
        <f>IF(COUNTA(A553:F553)=0,"",IF(A553="","Date manquante",IF(NOT(ISNUMBER(A553)),"Date invalide",IF(B553="","N° de facture manquant",IF(ISNA(MATCH(B553,fa_num,0)),"Facture inconnue",IF(INDEX(fa_type,MATCH(B553,fa_num,0))="Avoir","Paiement sur un avoir",IF(OR(NOT(ISNUMBER(C553)),N(C553)&lt;=0),"Montant invalide",IF(A553&lt;INDEX(fa_date,MATCH(B553,fa_num,0)),"Date antérieure à la facture",IF(SUMIF($B$6:B553,B553,$C$6:C553)&gt;INDEX(fa_ttc,MATCH(B553,fa_num,0))-N(INDEX(fa_avoirs,MATCH(B553,fa_num,0)))+0.001,"Dépasse le montant de la facture","OK")))))))))</f>
        <v/>
      </c>
    </row>
    <row r="554">
      <c r="A554" s="61" t="n"/>
      <c r="B554" s="60" t="n"/>
      <c r="C554" s="68" t="n"/>
      <c r="D554" s="60" t="n"/>
      <c r="E554" s="63" t="n"/>
      <c r="F554" s="63" t="n"/>
      <c r="G554" s="62" t="str">
        <f>IF(B554="","",IFERROR(INDEX(fa_cname,MATCH(B554,fa_num,0))&amp;"",""))</f>
        <v/>
      </c>
      <c r="H554" s="59" t="str">
        <f>IF(COUNTA(A554:F554)=0,"",IF(A554="","Date manquante",IF(NOT(ISNUMBER(A554)),"Date invalide",IF(B554="","N° de facture manquant",IF(ISNA(MATCH(B554,fa_num,0)),"Facture inconnue",IF(INDEX(fa_type,MATCH(B554,fa_num,0))="Avoir","Paiement sur un avoir",IF(OR(NOT(ISNUMBER(C554)),N(C554)&lt;=0),"Montant invalide",IF(A554&lt;INDEX(fa_date,MATCH(B554,fa_num,0)),"Date antérieure à la facture",IF(SUMIF($B$6:B554,B554,$C$6:C554)&gt;INDEX(fa_ttc,MATCH(B554,fa_num,0))-N(INDEX(fa_avoirs,MATCH(B554,fa_num,0)))+0.001,"Dépasse le montant de la facture","OK")))))))))</f>
        <v/>
      </c>
    </row>
    <row r="555">
      <c r="A555" s="61" t="n"/>
      <c r="B555" s="60" t="n"/>
      <c r="C555" s="68" t="n"/>
      <c r="D555" s="60" t="n"/>
      <c r="E555" s="63" t="n"/>
      <c r="F555" s="63" t="n"/>
      <c r="G555" s="62" t="str">
        <f>IF(B555="","",IFERROR(INDEX(fa_cname,MATCH(B555,fa_num,0))&amp;"",""))</f>
        <v/>
      </c>
      <c r="H555" s="59" t="str">
        <f>IF(COUNTA(A555:F555)=0,"",IF(A555="","Date manquante",IF(NOT(ISNUMBER(A555)),"Date invalide",IF(B555="","N° de facture manquant",IF(ISNA(MATCH(B555,fa_num,0)),"Facture inconnue",IF(INDEX(fa_type,MATCH(B555,fa_num,0))="Avoir","Paiement sur un avoir",IF(OR(NOT(ISNUMBER(C555)),N(C555)&lt;=0),"Montant invalide",IF(A555&lt;INDEX(fa_date,MATCH(B555,fa_num,0)),"Date antérieure à la facture",IF(SUMIF($B$6:B555,B555,$C$6:C555)&gt;INDEX(fa_ttc,MATCH(B555,fa_num,0))-N(INDEX(fa_avoirs,MATCH(B555,fa_num,0)))+0.001,"Dépasse le montant de la facture","OK")))))))))</f>
        <v/>
      </c>
    </row>
    <row r="556">
      <c r="A556" s="61" t="n"/>
      <c r="B556" s="60" t="n"/>
      <c r="C556" s="68" t="n"/>
      <c r="D556" s="60" t="n"/>
      <c r="E556" s="63" t="n"/>
      <c r="F556" s="63" t="n"/>
      <c r="G556" s="62" t="str">
        <f>IF(B556="","",IFERROR(INDEX(fa_cname,MATCH(B556,fa_num,0))&amp;"",""))</f>
        <v/>
      </c>
      <c r="H556" s="59" t="str">
        <f>IF(COUNTA(A556:F556)=0,"",IF(A556="","Date manquante",IF(NOT(ISNUMBER(A556)),"Date invalide",IF(B556="","N° de facture manquant",IF(ISNA(MATCH(B556,fa_num,0)),"Facture inconnue",IF(INDEX(fa_type,MATCH(B556,fa_num,0))="Avoir","Paiement sur un avoir",IF(OR(NOT(ISNUMBER(C556)),N(C556)&lt;=0),"Montant invalide",IF(A556&lt;INDEX(fa_date,MATCH(B556,fa_num,0)),"Date antérieure à la facture",IF(SUMIF($B$6:B556,B556,$C$6:C556)&gt;INDEX(fa_ttc,MATCH(B556,fa_num,0))-N(INDEX(fa_avoirs,MATCH(B556,fa_num,0)))+0.001,"Dépasse le montant de la facture","OK")))))))))</f>
        <v/>
      </c>
    </row>
    <row r="557">
      <c r="A557" s="61" t="n"/>
      <c r="B557" s="60" t="n"/>
      <c r="C557" s="68" t="n"/>
      <c r="D557" s="60" t="n"/>
      <c r="E557" s="63" t="n"/>
      <c r="F557" s="63" t="n"/>
      <c r="G557" s="62" t="str">
        <f>IF(B557="","",IFERROR(INDEX(fa_cname,MATCH(B557,fa_num,0))&amp;"",""))</f>
        <v/>
      </c>
      <c r="H557" s="59" t="str">
        <f>IF(COUNTA(A557:F557)=0,"",IF(A557="","Date manquante",IF(NOT(ISNUMBER(A557)),"Date invalide",IF(B557="","N° de facture manquant",IF(ISNA(MATCH(B557,fa_num,0)),"Facture inconnue",IF(INDEX(fa_type,MATCH(B557,fa_num,0))="Avoir","Paiement sur un avoir",IF(OR(NOT(ISNUMBER(C557)),N(C557)&lt;=0),"Montant invalide",IF(A557&lt;INDEX(fa_date,MATCH(B557,fa_num,0)),"Date antérieure à la facture",IF(SUMIF($B$6:B557,B557,$C$6:C557)&gt;INDEX(fa_ttc,MATCH(B557,fa_num,0))-N(INDEX(fa_avoirs,MATCH(B557,fa_num,0)))+0.001,"Dépasse le montant de la facture","OK")))))))))</f>
        <v/>
      </c>
    </row>
    <row r="558">
      <c r="A558" s="61" t="n"/>
      <c r="B558" s="60" t="n"/>
      <c r="C558" s="68" t="n"/>
      <c r="D558" s="60" t="n"/>
      <c r="E558" s="63" t="n"/>
      <c r="F558" s="63" t="n"/>
      <c r="G558" s="62" t="str">
        <f>IF(B558="","",IFERROR(INDEX(fa_cname,MATCH(B558,fa_num,0))&amp;"",""))</f>
        <v/>
      </c>
      <c r="H558" s="59" t="str">
        <f>IF(COUNTA(A558:F558)=0,"",IF(A558="","Date manquante",IF(NOT(ISNUMBER(A558)),"Date invalide",IF(B558="","N° de facture manquant",IF(ISNA(MATCH(B558,fa_num,0)),"Facture inconnue",IF(INDEX(fa_type,MATCH(B558,fa_num,0))="Avoir","Paiement sur un avoir",IF(OR(NOT(ISNUMBER(C558)),N(C558)&lt;=0),"Montant invalide",IF(A558&lt;INDEX(fa_date,MATCH(B558,fa_num,0)),"Date antérieure à la facture",IF(SUMIF($B$6:B558,B558,$C$6:C558)&gt;INDEX(fa_ttc,MATCH(B558,fa_num,0))-N(INDEX(fa_avoirs,MATCH(B558,fa_num,0)))+0.001,"Dépasse le montant de la facture","OK")))))))))</f>
        <v/>
      </c>
    </row>
    <row r="559">
      <c r="A559" s="61" t="n"/>
      <c r="B559" s="60" t="n"/>
      <c r="C559" s="68" t="n"/>
      <c r="D559" s="60" t="n"/>
      <c r="E559" s="63" t="n"/>
      <c r="F559" s="63" t="n"/>
      <c r="G559" s="62" t="str">
        <f>IF(B559="","",IFERROR(INDEX(fa_cname,MATCH(B559,fa_num,0))&amp;"",""))</f>
        <v/>
      </c>
      <c r="H559" s="59" t="str">
        <f>IF(COUNTA(A559:F559)=0,"",IF(A559="","Date manquante",IF(NOT(ISNUMBER(A559)),"Date invalide",IF(B559="","N° de facture manquant",IF(ISNA(MATCH(B559,fa_num,0)),"Facture inconnue",IF(INDEX(fa_type,MATCH(B559,fa_num,0))="Avoir","Paiement sur un avoir",IF(OR(NOT(ISNUMBER(C559)),N(C559)&lt;=0),"Montant invalide",IF(A559&lt;INDEX(fa_date,MATCH(B559,fa_num,0)),"Date antérieure à la facture",IF(SUMIF($B$6:B559,B559,$C$6:C559)&gt;INDEX(fa_ttc,MATCH(B559,fa_num,0))-N(INDEX(fa_avoirs,MATCH(B559,fa_num,0)))+0.001,"Dépasse le montant de la facture","OK")))))))))</f>
        <v/>
      </c>
    </row>
    <row r="560">
      <c r="A560" s="61" t="n"/>
      <c r="B560" s="60" t="n"/>
      <c r="C560" s="68" t="n"/>
      <c r="D560" s="60" t="n"/>
      <c r="E560" s="63" t="n"/>
      <c r="F560" s="63" t="n"/>
      <c r="G560" s="62" t="str">
        <f>IF(B560="","",IFERROR(INDEX(fa_cname,MATCH(B560,fa_num,0))&amp;"",""))</f>
        <v/>
      </c>
      <c r="H560" s="59" t="str">
        <f>IF(COUNTA(A560:F560)=0,"",IF(A560="","Date manquante",IF(NOT(ISNUMBER(A560)),"Date invalide",IF(B560="","N° de facture manquant",IF(ISNA(MATCH(B560,fa_num,0)),"Facture inconnue",IF(INDEX(fa_type,MATCH(B560,fa_num,0))="Avoir","Paiement sur un avoir",IF(OR(NOT(ISNUMBER(C560)),N(C560)&lt;=0),"Montant invalide",IF(A560&lt;INDEX(fa_date,MATCH(B560,fa_num,0)),"Date antérieure à la facture",IF(SUMIF($B$6:B560,B560,$C$6:C560)&gt;INDEX(fa_ttc,MATCH(B560,fa_num,0))-N(INDEX(fa_avoirs,MATCH(B560,fa_num,0)))+0.001,"Dépasse le montant de la facture","OK")))))))))</f>
        <v/>
      </c>
    </row>
    <row r="561">
      <c r="A561" s="61" t="n"/>
      <c r="B561" s="60" t="n"/>
      <c r="C561" s="68" t="n"/>
      <c r="D561" s="60" t="n"/>
      <c r="E561" s="63" t="n"/>
      <c r="F561" s="63" t="n"/>
      <c r="G561" s="62" t="str">
        <f>IF(B561="","",IFERROR(INDEX(fa_cname,MATCH(B561,fa_num,0))&amp;"",""))</f>
        <v/>
      </c>
      <c r="H561" s="59" t="str">
        <f>IF(COUNTA(A561:F561)=0,"",IF(A561="","Date manquante",IF(NOT(ISNUMBER(A561)),"Date invalide",IF(B561="","N° de facture manquant",IF(ISNA(MATCH(B561,fa_num,0)),"Facture inconnue",IF(INDEX(fa_type,MATCH(B561,fa_num,0))="Avoir","Paiement sur un avoir",IF(OR(NOT(ISNUMBER(C561)),N(C561)&lt;=0),"Montant invalide",IF(A561&lt;INDEX(fa_date,MATCH(B561,fa_num,0)),"Date antérieure à la facture",IF(SUMIF($B$6:B561,B561,$C$6:C561)&gt;INDEX(fa_ttc,MATCH(B561,fa_num,0))-N(INDEX(fa_avoirs,MATCH(B561,fa_num,0)))+0.001,"Dépasse le montant de la facture","OK")))))))))</f>
        <v/>
      </c>
    </row>
    <row r="562">
      <c r="A562" s="61" t="n"/>
      <c r="B562" s="60" t="n"/>
      <c r="C562" s="68" t="n"/>
      <c r="D562" s="60" t="n"/>
      <c r="E562" s="63" t="n"/>
      <c r="F562" s="63" t="n"/>
      <c r="G562" s="62" t="str">
        <f>IF(B562="","",IFERROR(INDEX(fa_cname,MATCH(B562,fa_num,0))&amp;"",""))</f>
        <v/>
      </c>
      <c r="H562" s="59" t="str">
        <f>IF(COUNTA(A562:F562)=0,"",IF(A562="","Date manquante",IF(NOT(ISNUMBER(A562)),"Date invalide",IF(B562="","N° de facture manquant",IF(ISNA(MATCH(B562,fa_num,0)),"Facture inconnue",IF(INDEX(fa_type,MATCH(B562,fa_num,0))="Avoir","Paiement sur un avoir",IF(OR(NOT(ISNUMBER(C562)),N(C562)&lt;=0),"Montant invalide",IF(A562&lt;INDEX(fa_date,MATCH(B562,fa_num,0)),"Date antérieure à la facture",IF(SUMIF($B$6:B562,B562,$C$6:C562)&gt;INDEX(fa_ttc,MATCH(B562,fa_num,0))-N(INDEX(fa_avoirs,MATCH(B562,fa_num,0)))+0.001,"Dépasse le montant de la facture","OK")))))))))</f>
        <v/>
      </c>
    </row>
    <row r="563">
      <c r="A563" s="61" t="n"/>
      <c r="B563" s="60" t="n"/>
      <c r="C563" s="68" t="n"/>
      <c r="D563" s="60" t="n"/>
      <c r="E563" s="63" t="n"/>
      <c r="F563" s="63" t="n"/>
      <c r="G563" s="62" t="str">
        <f>IF(B563="","",IFERROR(INDEX(fa_cname,MATCH(B563,fa_num,0))&amp;"",""))</f>
        <v/>
      </c>
      <c r="H563" s="59" t="str">
        <f>IF(COUNTA(A563:F563)=0,"",IF(A563="","Date manquante",IF(NOT(ISNUMBER(A563)),"Date invalide",IF(B563="","N° de facture manquant",IF(ISNA(MATCH(B563,fa_num,0)),"Facture inconnue",IF(INDEX(fa_type,MATCH(B563,fa_num,0))="Avoir","Paiement sur un avoir",IF(OR(NOT(ISNUMBER(C563)),N(C563)&lt;=0),"Montant invalide",IF(A563&lt;INDEX(fa_date,MATCH(B563,fa_num,0)),"Date antérieure à la facture",IF(SUMIF($B$6:B563,B563,$C$6:C563)&gt;INDEX(fa_ttc,MATCH(B563,fa_num,0))-N(INDEX(fa_avoirs,MATCH(B563,fa_num,0)))+0.001,"Dépasse le montant de la facture","OK")))))))))</f>
        <v/>
      </c>
    </row>
    <row r="564">
      <c r="A564" s="61" t="n"/>
      <c r="B564" s="60" t="n"/>
      <c r="C564" s="68" t="n"/>
      <c r="D564" s="60" t="n"/>
      <c r="E564" s="63" t="n"/>
      <c r="F564" s="63" t="n"/>
      <c r="G564" s="62" t="str">
        <f>IF(B564="","",IFERROR(INDEX(fa_cname,MATCH(B564,fa_num,0))&amp;"",""))</f>
        <v/>
      </c>
      <c r="H564" s="59" t="str">
        <f>IF(COUNTA(A564:F564)=0,"",IF(A564="","Date manquante",IF(NOT(ISNUMBER(A564)),"Date invalide",IF(B564="","N° de facture manquant",IF(ISNA(MATCH(B564,fa_num,0)),"Facture inconnue",IF(INDEX(fa_type,MATCH(B564,fa_num,0))="Avoir","Paiement sur un avoir",IF(OR(NOT(ISNUMBER(C564)),N(C564)&lt;=0),"Montant invalide",IF(A564&lt;INDEX(fa_date,MATCH(B564,fa_num,0)),"Date antérieure à la facture",IF(SUMIF($B$6:B564,B564,$C$6:C564)&gt;INDEX(fa_ttc,MATCH(B564,fa_num,0))-N(INDEX(fa_avoirs,MATCH(B564,fa_num,0)))+0.001,"Dépasse le montant de la facture","OK")))))))))</f>
        <v/>
      </c>
    </row>
    <row r="565">
      <c r="A565" s="61" t="n"/>
      <c r="B565" s="60" t="n"/>
      <c r="C565" s="68" t="n"/>
      <c r="D565" s="60" t="n"/>
      <c r="E565" s="63" t="n"/>
      <c r="F565" s="63" t="n"/>
      <c r="G565" s="62" t="str">
        <f>IF(B565="","",IFERROR(INDEX(fa_cname,MATCH(B565,fa_num,0))&amp;"",""))</f>
        <v/>
      </c>
      <c r="H565" s="59" t="str">
        <f>IF(COUNTA(A565:F565)=0,"",IF(A565="","Date manquante",IF(NOT(ISNUMBER(A565)),"Date invalide",IF(B565="","N° de facture manquant",IF(ISNA(MATCH(B565,fa_num,0)),"Facture inconnue",IF(INDEX(fa_type,MATCH(B565,fa_num,0))="Avoir","Paiement sur un avoir",IF(OR(NOT(ISNUMBER(C565)),N(C565)&lt;=0),"Montant invalide",IF(A565&lt;INDEX(fa_date,MATCH(B565,fa_num,0)),"Date antérieure à la facture",IF(SUMIF($B$6:B565,B565,$C$6:C565)&gt;INDEX(fa_ttc,MATCH(B565,fa_num,0))-N(INDEX(fa_avoirs,MATCH(B565,fa_num,0)))+0.001,"Dépasse le montant de la facture","OK")))))))))</f>
        <v/>
      </c>
    </row>
    <row r="566">
      <c r="A566" s="61" t="n"/>
      <c r="B566" s="60" t="n"/>
      <c r="C566" s="68" t="n"/>
      <c r="D566" s="60" t="n"/>
      <c r="E566" s="63" t="n"/>
      <c r="F566" s="63" t="n"/>
      <c r="G566" s="62" t="str">
        <f>IF(B566="","",IFERROR(INDEX(fa_cname,MATCH(B566,fa_num,0))&amp;"",""))</f>
        <v/>
      </c>
      <c r="H566" s="59" t="str">
        <f>IF(COUNTA(A566:F566)=0,"",IF(A566="","Date manquante",IF(NOT(ISNUMBER(A566)),"Date invalide",IF(B566="","N° de facture manquant",IF(ISNA(MATCH(B566,fa_num,0)),"Facture inconnue",IF(INDEX(fa_type,MATCH(B566,fa_num,0))="Avoir","Paiement sur un avoir",IF(OR(NOT(ISNUMBER(C566)),N(C566)&lt;=0),"Montant invalide",IF(A566&lt;INDEX(fa_date,MATCH(B566,fa_num,0)),"Date antérieure à la facture",IF(SUMIF($B$6:B566,B566,$C$6:C566)&gt;INDEX(fa_ttc,MATCH(B566,fa_num,0))-N(INDEX(fa_avoirs,MATCH(B566,fa_num,0)))+0.001,"Dépasse le montant de la facture","OK")))))))))</f>
        <v/>
      </c>
    </row>
    <row r="567">
      <c r="A567" s="61" t="n"/>
      <c r="B567" s="60" t="n"/>
      <c r="C567" s="68" t="n"/>
      <c r="D567" s="60" t="n"/>
      <c r="E567" s="63" t="n"/>
      <c r="F567" s="63" t="n"/>
      <c r="G567" s="62" t="str">
        <f>IF(B567="","",IFERROR(INDEX(fa_cname,MATCH(B567,fa_num,0))&amp;"",""))</f>
        <v/>
      </c>
      <c r="H567" s="59" t="str">
        <f>IF(COUNTA(A567:F567)=0,"",IF(A567="","Date manquante",IF(NOT(ISNUMBER(A567)),"Date invalide",IF(B567="","N° de facture manquant",IF(ISNA(MATCH(B567,fa_num,0)),"Facture inconnue",IF(INDEX(fa_type,MATCH(B567,fa_num,0))="Avoir","Paiement sur un avoir",IF(OR(NOT(ISNUMBER(C567)),N(C567)&lt;=0),"Montant invalide",IF(A567&lt;INDEX(fa_date,MATCH(B567,fa_num,0)),"Date antérieure à la facture",IF(SUMIF($B$6:B567,B567,$C$6:C567)&gt;INDEX(fa_ttc,MATCH(B567,fa_num,0))-N(INDEX(fa_avoirs,MATCH(B567,fa_num,0)))+0.001,"Dépasse le montant de la facture","OK")))))))))</f>
        <v/>
      </c>
    </row>
    <row r="568">
      <c r="A568" s="61" t="n"/>
      <c r="B568" s="60" t="n"/>
      <c r="C568" s="68" t="n"/>
      <c r="D568" s="60" t="n"/>
      <c r="E568" s="63" t="n"/>
      <c r="F568" s="63" t="n"/>
      <c r="G568" s="62" t="str">
        <f>IF(B568="","",IFERROR(INDEX(fa_cname,MATCH(B568,fa_num,0))&amp;"",""))</f>
        <v/>
      </c>
      <c r="H568" s="59" t="str">
        <f>IF(COUNTA(A568:F568)=0,"",IF(A568="","Date manquante",IF(NOT(ISNUMBER(A568)),"Date invalide",IF(B568="","N° de facture manquant",IF(ISNA(MATCH(B568,fa_num,0)),"Facture inconnue",IF(INDEX(fa_type,MATCH(B568,fa_num,0))="Avoir","Paiement sur un avoir",IF(OR(NOT(ISNUMBER(C568)),N(C568)&lt;=0),"Montant invalide",IF(A568&lt;INDEX(fa_date,MATCH(B568,fa_num,0)),"Date antérieure à la facture",IF(SUMIF($B$6:B568,B568,$C$6:C568)&gt;INDEX(fa_ttc,MATCH(B568,fa_num,0))-N(INDEX(fa_avoirs,MATCH(B568,fa_num,0)))+0.001,"Dépasse le montant de la facture","OK")))))))))</f>
        <v/>
      </c>
    </row>
    <row r="569">
      <c r="A569" s="61" t="n"/>
      <c r="B569" s="60" t="n"/>
      <c r="C569" s="68" t="n"/>
      <c r="D569" s="60" t="n"/>
      <c r="E569" s="63" t="n"/>
      <c r="F569" s="63" t="n"/>
      <c r="G569" s="62" t="str">
        <f>IF(B569="","",IFERROR(INDEX(fa_cname,MATCH(B569,fa_num,0))&amp;"",""))</f>
        <v/>
      </c>
      <c r="H569" s="59" t="str">
        <f>IF(COUNTA(A569:F569)=0,"",IF(A569="","Date manquante",IF(NOT(ISNUMBER(A569)),"Date invalide",IF(B569="","N° de facture manquant",IF(ISNA(MATCH(B569,fa_num,0)),"Facture inconnue",IF(INDEX(fa_type,MATCH(B569,fa_num,0))="Avoir","Paiement sur un avoir",IF(OR(NOT(ISNUMBER(C569)),N(C569)&lt;=0),"Montant invalide",IF(A569&lt;INDEX(fa_date,MATCH(B569,fa_num,0)),"Date antérieure à la facture",IF(SUMIF($B$6:B569,B569,$C$6:C569)&gt;INDEX(fa_ttc,MATCH(B569,fa_num,0))-N(INDEX(fa_avoirs,MATCH(B569,fa_num,0)))+0.001,"Dépasse le montant de la facture","OK")))))))))</f>
        <v/>
      </c>
    </row>
    <row r="570">
      <c r="A570" s="61" t="n"/>
      <c r="B570" s="60" t="n"/>
      <c r="C570" s="68" t="n"/>
      <c r="D570" s="60" t="n"/>
      <c r="E570" s="63" t="n"/>
      <c r="F570" s="63" t="n"/>
      <c r="G570" s="62" t="str">
        <f>IF(B570="","",IFERROR(INDEX(fa_cname,MATCH(B570,fa_num,0))&amp;"",""))</f>
        <v/>
      </c>
      <c r="H570" s="59" t="str">
        <f>IF(COUNTA(A570:F570)=0,"",IF(A570="","Date manquante",IF(NOT(ISNUMBER(A570)),"Date invalide",IF(B570="","N° de facture manquant",IF(ISNA(MATCH(B570,fa_num,0)),"Facture inconnue",IF(INDEX(fa_type,MATCH(B570,fa_num,0))="Avoir","Paiement sur un avoir",IF(OR(NOT(ISNUMBER(C570)),N(C570)&lt;=0),"Montant invalide",IF(A570&lt;INDEX(fa_date,MATCH(B570,fa_num,0)),"Date antérieure à la facture",IF(SUMIF($B$6:B570,B570,$C$6:C570)&gt;INDEX(fa_ttc,MATCH(B570,fa_num,0))-N(INDEX(fa_avoirs,MATCH(B570,fa_num,0)))+0.001,"Dépasse le montant de la facture","OK")))))))))</f>
        <v/>
      </c>
    </row>
    <row r="571">
      <c r="A571" s="61" t="n"/>
      <c r="B571" s="60" t="n"/>
      <c r="C571" s="68" t="n"/>
      <c r="D571" s="60" t="n"/>
      <c r="E571" s="63" t="n"/>
      <c r="F571" s="63" t="n"/>
      <c r="G571" s="62" t="str">
        <f>IF(B571="","",IFERROR(INDEX(fa_cname,MATCH(B571,fa_num,0))&amp;"",""))</f>
        <v/>
      </c>
      <c r="H571" s="59" t="str">
        <f>IF(COUNTA(A571:F571)=0,"",IF(A571="","Date manquante",IF(NOT(ISNUMBER(A571)),"Date invalide",IF(B571="","N° de facture manquant",IF(ISNA(MATCH(B571,fa_num,0)),"Facture inconnue",IF(INDEX(fa_type,MATCH(B571,fa_num,0))="Avoir","Paiement sur un avoir",IF(OR(NOT(ISNUMBER(C571)),N(C571)&lt;=0),"Montant invalide",IF(A571&lt;INDEX(fa_date,MATCH(B571,fa_num,0)),"Date antérieure à la facture",IF(SUMIF($B$6:B571,B571,$C$6:C571)&gt;INDEX(fa_ttc,MATCH(B571,fa_num,0))-N(INDEX(fa_avoirs,MATCH(B571,fa_num,0)))+0.001,"Dépasse le montant de la facture","OK")))))))))</f>
        <v/>
      </c>
    </row>
    <row r="572">
      <c r="A572" s="61" t="n"/>
      <c r="B572" s="60" t="n"/>
      <c r="C572" s="68" t="n"/>
      <c r="D572" s="60" t="n"/>
      <c r="E572" s="63" t="n"/>
      <c r="F572" s="63" t="n"/>
      <c r="G572" s="62" t="str">
        <f>IF(B572="","",IFERROR(INDEX(fa_cname,MATCH(B572,fa_num,0))&amp;"",""))</f>
        <v/>
      </c>
      <c r="H572" s="59" t="str">
        <f>IF(COUNTA(A572:F572)=0,"",IF(A572="","Date manquante",IF(NOT(ISNUMBER(A572)),"Date invalide",IF(B572="","N° de facture manquant",IF(ISNA(MATCH(B572,fa_num,0)),"Facture inconnue",IF(INDEX(fa_type,MATCH(B572,fa_num,0))="Avoir","Paiement sur un avoir",IF(OR(NOT(ISNUMBER(C572)),N(C572)&lt;=0),"Montant invalide",IF(A572&lt;INDEX(fa_date,MATCH(B572,fa_num,0)),"Date antérieure à la facture",IF(SUMIF($B$6:B572,B572,$C$6:C572)&gt;INDEX(fa_ttc,MATCH(B572,fa_num,0))-N(INDEX(fa_avoirs,MATCH(B572,fa_num,0)))+0.001,"Dépasse le montant de la facture","OK")))))))))</f>
        <v/>
      </c>
    </row>
    <row r="573">
      <c r="A573" s="61" t="n"/>
      <c r="B573" s="60" t="n"/>
      <c r="C573" s="68" t="n"/>
      <c r="D573" s="60" t="n"/>
      <c r="E573" s="63" t="n"/>
      <c r="F573" s="63" t="n"/>
      <c r="G573" s="62" t="str">
        <f>IF(B573="","",IFERROR(INDEX(fa_cname,MATCH(B573,fa_num,0))&amp;"",""))</f>
        <v/>
      </c>
      <c r="H573" s="59" t="str">
        <f>IF(COUNTA(A573:F573)=0,"",IF(A573="","Date manquante",IF(NOT(ISNUMBER(A573)),"Date invalide",IF(B573="","N° de facture manquant",IF(ISNA(MATCH(B573,fa_num,0)),"Facture inconnue",IF(INDEX(fa_type,MATCH(B573,fa_num,0))="Avoir","Paiement sur un avoir",IF(OR(NOT(ISNUMBER(C573)),N(C573)&lt;=0),"Montant invalide",IF(A573&lt;INDEX(fa_date,MATCH(B573,fa_num,0)),"Date antérieure à la facture",IF(SUMIF($B$6:B573,B573,$C$6:C573)&gt;INDEX(fa_ttc,MATCH(B573,fa_num,0))-N(INDEX(fa_avoirs,MATCH(B573,fa_num,0)))+0.001,"Dépasse le montant de la facture","OK")))))))))</f>
        <v/>
      </c>
    </row>
    <row r="574">
      <c r="A574" s="61" t="n"/>
      <c r="B574" s="60" t="n"/>
      <c r="C574" s="68" t="n"/>
      <c r="D574" s="60" t="n"/>
      <c r="E574" s="63" t="n"/>
      <c r="F574" s="63" t="n"/>
      <c r="G574" s="62" t="str">
        <f>IF(B574="","",IFERROR(INDEX(fa_cname,MATCH(B574,fa_num,0))&amp;"",""))</f>
        <v/>
      </c>
      <c r="H574" s="59" t="str">
        <f>IF(COUNTA(A574:F574)=0,"",IF(A574="","Date manquante",IF(NOT(ISNUMBER(A574)),"Date invalide",IF(B574="","N° de facture manquant",IF(ISNA(MATCH(B574,fa_num,0)),"Facture inconnue",IF(INDEX(fa_type,MATCH(B574,fa_num,0))="Avoir","Paiement sur un avoir",IF(OR(NOT(ISNUMBER(C574)),N(C574)&lt;=0),"Montant invalide",IF(A574&lt;INDEX(fa_date,MATCH(B574,fa_num,0)),"Date antérieure à la facture",IF(SUMIF($B$6:B574,B574,$C$6:C574)&gt;INDEX(fa_ttc,MATCH(B574,fa_num,0))-N(INDEX(fa_avoirs,MATCH(B574,fa_num,0)))+0.001,"Dépasse le montant de la facture","OK")))))))))</f>
        <v/>
      </c>
    </row>
    <row r="575">
      <c r="A575" s="61" t="n"/>
      <c r="B575" s="60" t="n"/>
      <c r="C575" s="68" t="n"/>
      <c r="D575" s="60" t="n"/>
      <c r="E575" s="63" t="n"/>
      <c r="F575" s="63" t="n"/>
      <c r="G575" s="62" t="str">
        <f>IF(B575="","",IFERROR(INDEX(fa_cname,MATCH(B575,fa_num,0))&amp;"",""))</f>
        <v/>
      </c>
      <c r="H575" s="59" t="str">
        <f>IF(COUNTA(A575:F575)=0,"",IF(A575="","Date manquante",IF(NOT(ISNUMBER(A575)),"Date invalide",IF(B575="","N° de facture manquant",IF(ISNA(MATCH(B575,fa_num,0)),"Facture inconnue",IF(INDEX(fa_type,MATCH(B575,fa_num,0))="Avoir","Paiement sur un avoir",IF(OR(NOT(ISNUMBER(C575)),N(C575)&lt;=0),"Montant invalide",IF(A575&lt;INDEX(fa_date,MATCH(B575,fa_num,0)),"Date antérieure à la facture",IF(SUMIF($B$6:B575,B575,$C$6:C575)&gt;INDEX(fa_ttc,MATCH(B575,fa_num,0))-N(INDEX(fa_avoirs,MATCH(B575,fa_num,0)))+0.001,"Dépasse le montant de la facture","OK")))))))))</f>
        <v/>
      </c>
    </row>
    <row r="576">
      <c r="A576" s="61" t="n"/>
      <c r="B576" s="60" t="n"/>
      <c r="C576" s="68" t="n"/>
      <c r="D576" s="60" t="n"/>
      <c r="E576" s="63" t="n"/>
      <c r="F576" s="63" t="n"/>
      <c r="G576" s="62" t="str">
        <f>IF(B576="","",IFERROR(INDEX(fa_cname,MATCH(B576,fa_num,0))&amp;"",""))</f>
        <v/>
      </c>
      <c r="H576" s="59" t="str">
        <f>IF(COUNTA(A576:F576)=0,"",IF(A576="","Date manquante",IF(NOT(ISNUMBER(A576)),"Date invalide",IF(B576="","N° de facture manquant",IF(ISNA(MATCH(B576,fa_num,0)),"Facture inconnue",IF(INDEX(fa_type,MATCH(B576,fa_num,0))="Avoir","Paiement sur un avoir",IF(OR(NOT(ISNUMBER(C576)),N(C576)&lt;=0),"Montant invalide",IF(A576&lt;INDEX(fa_date,MATCH(B576,fa_num,0)),"Date antérieure à la facture",IF(SUMIF($B$6:B576,B576,$C$6:C576)&gt;INDEX(fa_ttc,MATCH(B576,fa_num,0))-N(INDEX(fa_avoirs,MATCH(B576,fa_num,0)))+0.001,"Dépasse le montant de la facture","OK")))))))))</f>
        <v/>
      </c>
    </row>
    <row r="577">
      <c r="A577" s="61" t="n"/>
      <c r="B577" s="60" t="n"/>
      <c r="C577" s="68" t="n"/>
      <c r="D577" s="60" t="n"/>
      <c r="E577" s="63" t="n"/>
      <c r="F577" s="63" t="n"/>
      <c r="G577" s="62" t="str">
        <f>IF(B577="","",IFERROR(INDEX(fa_cname,MATCH(B577,fa_num,0))&amp;"",""))</f>
        <v/>
      </c>
      <c r="H577" s="59" t="str">
        <f>IF(COUNTA(A577:F577)=0,"",IF(A577="","Date manquante",IF(NOT(ISNUMBER(A577)),"Date invalide",IF(B577="","N° de facture manquant",IF(ISNA(MATCH(B577,fa_num,0)),"Facture inconnue",IF(INDEX(fa_type,MATCH(B577,fa_num,0))="Avoir","Paiement sur un avoir",IF(OR(NOT(ISNUMBER(C577)),N(C577)&lt;=0),"Montant invalide",IF(A577&lt;INDEX(fa_date,MATCH(B577,fa_num,0)),"Date antérieure à la facture",IF(SUMIF($B$6:B577,B577,$C$6:C577)&gt;INDEX(fa_ttc,MATCH(B577,fa_num,0))-N(INDEX(fa_avoirs,MATCH(B577,fa_num,0)))+0.001,"Dépasse le montant de la facture","OK")))))))))</f>
        <v/>
      </c>
    </row>
    <row r="578">
      <c r="A578" s="61" t="n"/>
      <c r="B578" s="60" t="n"/>
      <c r="C578" s="68" t="n"/>
      <c r="D578" s="60" t="n"/>
      <c r="E578" s="63" t="n"/>
      <c r="F578" s="63" t="n"/>
      <c r="G578" s="62" t="str">
        <f>IF(B578="","",IFERROR(INDEX(fa_cname,MATCH(B578,fa_num,0))&amp;"",""))</f>
        <v/>
      </c>
      <c r="H578" s="59" t="str">
        <f>IF(COUNTA(A578:F578)=0,"",IF(A578="","Date manquante",IF(NOT(ISNUMBER(A578)),"Date invalide",IF(B578="","N° de facture manquant",IF(ISNA(MATCH(B578,fa_num,0)),"Facture inconnue",IF(INDEX(fa_type,MATCH(B578,fa_num,0))="Avoir","Paiement sur un avoir",IF(OR(NOT(ISNUMBER(C578)),N(C578)&lt;=0),"Montant invalide",IF(A578&lt;INDEX(fa_date,MATCH(B578,fa_num,0)),"Date antérieure à la facture",IF(SUMIF($B$6:B578,B578,$C$6:C578)&gt;INDEX(fa_ttc,MATCH(B578,fa_num,0))-N(INDEX(fa_avoirs,MATCH(B578,fa_num,0)))+0.001,"Dépasse le montant de la facture","OK")))))))))</f>
        <v/>
      </c>
    </row>
    <row r="579">
      <c r="A579" s="61" t="n"/>
      <c r="B579" s="60" t="n"/>
      <c r="C579" s="68" t="n"/>
      <c r="D579" s="60" t="n"/>
      <c r="E579" s="63" t="n"/>
      <c r="F579" s="63" t="n"/>
      <c r="G579" s="62" t="str">
        <f>IF(B579="","",IFERROR(INDEX(fa_cname,MATCH(B579,fa_num,0))&amp;"",""))</f>
        <v/>
      </c>
      <c r="H579" s="59" t="str">
        <f>IF(COUNTA(A579:F579)=0,"",IF(A579="","Date manquante",IF(NOT(ISNUMBER(A579)),"Date invalide",IF(B579="","N° de facture manquant",IF(ISNA(MATCH(B579,fa_num,0)),"Facture inconnue",IF(INDEX(fa_type,MATCH(B579,fa_num,0))="Avoir","Paiement sur un avoir",IF(OR(NOT(ISNUMBER(C579)),N(C579)&lt;=0),"Montant invalide",IF(A579&lt;INDEX(fa_date,MATCH(B579,fa_num,0)),"Date antérieure à la facture",IF(SUMIF($B$6:B579,B579,$C$6:C579)&gt;INDEX(fa_ttc,MATCH(B579,fa_num,0))-N(INDEX(fa_avoirs,MATCH(B579,fa_num,0)))+0.001,"Dépasse le montant de la facture","OK")))))))))</f>
        <v/>
      </c>
    </row>
    <row r="580">
      <c r="A580" s="61" t="n"/>
      <c r="B580" s="60" t="n"/>
      <c r="C580" s="68" t="n"/>
      <c r="D580" s="60" t="n"/>
      <c r="E580" s="63" t="n"/>
      <c r="F580" s="63" t="n"/>
      <c r="G580" s="62" t="str">
        <f>IF(B580="","",IFERROR(INDEX(fa_cname,MATCH(B580,fa_num,0))&amp;"",""))</f>
        <v/>
      </c>
      <c r="H580" s="59" t="str">
        <f>IF(COUNTA(A580:F580)=0,"",IF(A580="","Date manquante",IF(NOT(ISNUMBER(A580)),"Date invalide",IF(B580="","N° de facture manquant",IF(ISNA(MATCH(B580,fa_num,0)),"Facture inconnue",IF(INDEX(fa_type,MATCH(B580,fa_num,0))="Avoir","Paiement sur un avoir",IF(OR(NOT(ISNUMBER(C580)),N(C580)&lt;=0),"Montant invalide",IF(A580&lt;INDEX(fa_date,MATCH(B580,fa_num,0)),"Date antérieure à la facture",IF(SUMIF($B$6:B580,B580,$C$6:C580)&gt;INDEX(fa_ttc,MATCH(B580,fa_num,0))-N(INDEX(fa_avoirs,MATCH(B580,fa_num,0)))+0.001,"Dépasse le montant de la facture","OK")))))))))</f>
        <v/>
      </c>
    </row>
    <row r="581">
      <c r="A581" s="61" t="n"/>
      <c r="B581" s="60" t="n"/>
      <c r="C581" s="68" t="n"/>
      <c r="D581" s="60" t="n"/>
      <c r="E581" s="63" t="n"/>
      <c r="F581" s="63" t="n"/>
      <c r="G581" s="62" t="str">
        <f>IF(B581="","",IFERROR(INDEX(fa_cname,MATCH(B581,fa_num,0))&amp;"",""))</f>
        <v/>
      </c>
      <c r="H581" s="59" t="str">
        <f>IF(COUNTA(A581:F581)=0,"",IF(A581="","Date manquante",IF(NOT(ISNUMBER(A581)),"Date invalide",IF(B581="","N° de facture manquant",IF(ISNA(MATCH(B581,fa_num,0)),"Facture inconnue",IF(INDEX(fa_type,MATCH(B581,fa_num,0))="Avoir","Paiement sur un avoir",IF(OR(NOT(ISNUMBER(C581)),N(C581)&lt;=0),"Montant invalide",IF(A581&lt;INDEX(fa_date,MATCH(B581,fa_num,0)),"Date antérieure à la facture",IF(SUMIF($B$6:B581,B581,$C$6:C581)&gt;INDEX(fa_ttc,MATCH(B581,fa_num,0))-N(INDEX(fa_avoirs,MATCH(B581,fa_num,0)))+0.001,"Dépasse le montant de la facture","OK")))))))))</f>
        <v/>
      </c>
    </row>
    <row r="582">
      <c r="A582" s="61" t="n"/>
      <c r="B582" s="60" t="n"/>
      <c r="C582" s="68" t="n"/>
      <c r="D582" s="60" t="n"/>
      <c r="E582" s="63" t="n"/>
      <c r="F582" s="63" t="n"/>
      <c r="G582" s="62" t="str">
        <f>IF(B582="","",IFERROR(INDEX(fa_cname,MATCH(B582,fa_num,0))&amp;"",""))</f>
        <v/>
      </c>
      <c r="H582" s="59" t="str">
        <f>IF(COUNTA(A582:F582)=0,"",IF(A582="","Date manquante",IF(NOT(ISNUMBER(A582)),"Date invalide",IF(B582="","N° de facture manquant",IF(ISNA(MATCH(B582,fa_num,0)),"Facture inconnue",IF(INDEX(fa_type,MATCH(B582,fa_num,0))="Avoir","Paiement sur un avoir",IF(OR(NOT(ISNUMBER(C582)),N(C582)&lt;=0),"Montant invalide",IF(A582&lt;INDEX(fa_date,MATCH(B582,fa_num,0)),"Date antérieure à la facture",IF(SUMIF($B$6:B582,B582,$C$6:C582)&gt;INDEX(fa_ttc,MATCH(B582,fa_num,0))-N(INDEX(fa_avoirs,MATCH(B582,fa_num,0)))+0.001,"Dépasse le montant de la facture","OK")))))))))</f>
        <v/>
      </c>
    </row>
    <row r="583">
      <c r="A583" s="61" t="n"/>
      <c r="B583" s="60" t="n"/>
      <c r="C583" s="68" t="n"/>
      <c r="D583" s="60" t="n"/>
      <c r="E583" s="63" t="n"/>
      <c r="F583" s="63" t="n"/>
      <c r="G583" s="62" t="str">
        <f>IF(B583="","",IFERROR(INDEX(fa_cname,MATCH(B583,fa_num,0))&amp;"",""))</f>
        <v/>
      </c>
      <c r="H583" s="59" t="str">
        <f>IF(COUNTA(A583:F583)=0,"",IF(A583="","Date manquante",IF(NOT(ISNUMBER(A583)),"Date invalide",IF(B583="","N° de facture manquant",IF(ISNA(MATCH(B583,fa_num,0)),"Facture inconnue",IF(INDEX(fa_type,MATCH(B583,fa_num,0))="Avoir","Paiement sur un avoir",IF(OR(NOT(ISNUMBER(C583)),N(C583)&lt;=0),"Montant invalide",IF(A583&lt;INDEX(fa_date,MATCH(B583,fa_num,0)),"Date antérieure à la facture",IF(SUMIF($B$6:B583,B583,$C$6:C583)&gt;INDEX(fa_ttc,MATCH(B583,fa_num,0))-N(INDEX(fa_avoirs,MATCH(B583,fa_num,0)))+0.001,"Dépasse le montant de la facture","OK")))))))))</f>
        <v/>
      </c>
    </row>
    <row r="584">
      <c r="A584" s="61" t="n"/>
      <c r="B584" s="60" t="n"/>
      <c r="C584" s="68" t="n"/>
      <c r="D584" s="60" t="n"/>
      <c r="E584" s="63" t="n"/>
      <c r="F584" s="63" t="n"/>
      <c r="G584" s="62" t="str">
        <f>IF(B584="","",IFERROR(INDEX(fa_cname,MATCH(B584,fa_num,0))&amp;"",""))</f>
        <v/>
      </c>
      <c r="H584" s="59" t="str">
        <f>IF(COUNTA(A584:F584)=0,"",IF(A584="","Date manquante",IF(NOT(ISNUMBER(A584)),"Date invalide",IF(B584="","N° de facture manquant",IF(ISNA(MATCH(B584,fa_num,0)),"Facture inconnue",IF(INDEX(fa_type,MATCH(B584,fa_num,0))="Avoir","Paiement sur un avoir",IF(OR(NOT(ISNUMBER(C584)),N(C584)&lt;=0),"Montant invalide",IF(A584&lt;INDEX(fa_date,MATCH(B584,fa_num,0)),"Date antérieure à la facture",IF(SUMIF($B$6:B584,B584,$C$6:C584)&gt;INDEX(fa_ttc,MATCH(B584,fa_num,0))-N(INDEX(fa_avoirs,MATCH(B584,fa_num,0)))+0.001,"Dépasse le montant de la facture","OK")))))))))</f>
        <v/>
      </c>
    </row>
    <row r="585">
      <c r="A585" s="61" t="n"/>
      <c r="B585" s="60" t="n"/>
      <c r="C585" s="68" t="n"/>
      <c r="D585" s="60" t="n"/>
      <c r="E585" s="63" t="n"/>
      <c r="F585" s="63" t="n"/>
      <c r="G585" s="62" t="str">
        <f>IF(B585="","",IFERROR(INDEX(fa_cname,MATCH(B585,fa_num,0))&amp;"",""))</f>
        <v/>
      </c>
      <c r="H585" s="59" t="str">
        <f>IF(COUNTA(A585:F585)=0,"",IF(A585="","Date manquante",IF(NOT(ISNUMBER(A585)),"Date invalide",IF(B585="","N° de facture manquant",IF(ISNA(MATCH(B585,fa_num,0)),"Facture inconnue",IF(INDEX(fa_type,MATCH(B585,fa_num,0))="Avoir","Paiement sur un avoir",IF(OR(NOT(ISNUMBER(C585)),N(C585)&lt;=0),"Montant invalide",IF(A585&lt;INDEX(fa_date,MATCH(B585,fa_num,0)),"Date antérieure à la facture",IF(SUMIF($B$6:B585,B585,$C$6:C585)&gt;INDEX(fa_ttc,MATCH(B585,fa_num,0))-N(INDEX(fa_avoirs,MATCH(B585,fa_num,0)))+0.001,"Dépasse le montant de la facture","OK")))))))))</f>
        <v/>
      </c>
    </row>
    <row r="586">
      <c r="A586" s="61" t="n"/>
      <c r="B586" s="60" t="n"/>
      <c r="C586" s="68" t="n"/>
      <c r="D586" s="60" t="n"/>
      <c r="E586" s="63" t="n"/>
      <c r="F586" s="63" t="n"/>
      <c r="G586" s="62" t="str">
        <f>IF(B586="","",IFERROR(INDEX(fa_cname,MATCH(B586,fa_num,0))&amp;"",""))</f>
        <v/>
      </c>
      <c r="H586" s="59" t="str">
        <f>IF(COUNTA(A586:F586)=0,"",IF(A586="","Date manquante",IF(NOT(ISNUMBER(A586)),"Date invalide",IF(B586="","N° de facture manquant",IF(ISNA(MATCH(B586,fa_num,0)),"Facture inconnue",IF(INDEX(fa_type,MATCH(B586,fa_num,0))="Avoir","Paiement sur un avoir",IF(OR(NOT(ISNUMBER(C586)),N(C586)&lt;=0),"Montant invalide",IF(A586&lt;INDEX(fa_date,MATCH(B586,fa_num,0)),"Date antérieure à la facture",IF(SUMIF($B$6:B586,B586,$C$6:C586)&gt;INDEX(fa_ttc,MATCH(B586,fa_num,0))-N(INDEX(fa_avoirs,MATCH(B586,fa_num,0)))+0.001,"Dépasse le montant de la facture","OK")))))))))</f>
        <v/>
      </c>
    </row>
    <row r="587">
      <c r="A587" s="61" t="n"/>
      <c r="B587" s="60" t="n"/>
      <c r="C587" s="68" t="n"/>
      <c r="D587" s="60" t="n"/>
      <c r="E587" s="63" t="n"/>
      <c r="F587" s="63" t="n"/>
      <c r="G587" s="62" t="str">
        <f>IF(B587="","",IFERROR(INDEX(fa_cname,MATCH(B587,fa_num,0))&amp;"",""))</f>
        <v/>
      </c>
      <c r="H587" s="59" t="str">
        <f>IF(COUNTA(A587:F587)=0,"",IF(A587="","Date manquante",IF(NOT(ISNUMBER(A587)),"Date invalide",IF(B587="","N° de facture manquant",IF(ISNA(MATCH(B587,fa_num,0)),"Facture inconnue",IF(INDEX(fa_type,MATCH(B587,fa_num,0))="Avoir","Paiement sur un avoir",IF(OR(NOT(ISNUMBER(C587)),N(C587)&lt;=0),"Montant invalide",IF(A587&lt;INDEX(fa_date,MATCH(B587,fa_num,0)),"Date antérieure à la facture",IF(SUMIF($B$6:B587,B587,$C$6:C587)&gt;INDEX(fa_ttc,MATCH(B587,fa_num,0))-N(INDEX(fa_avoirs,MATCH(B587,fa_num,0)))+0.001,"Dépasse le montant de la facture","OK")))))))))</f>
        <v/>
      </c>
    </row>
    <row r="588">
      <c r="A588" s="61" t="n"/>
      <c r="B588" s="60" t="n"/>
      <c r="C588" s="68" t="n"/>
      <c r="D588" s="60" t="n"/>
      <c r="E588" s="63" t="n"/>
      <c r="F588" s="63" t="n"/>
      <c r="G588" s="62" t="str">
        <f>IF(B588="","",IFERROR(INDEX(fa_cname,MATCH(B588,fa_num,0))&amp;"",""))</f>
        <v/>
      </c>
      <c r="H588" s="59" t="str">
        <f>IF(COUNTA(A588:F588)=0,"",IF(A588="","Date manquante",IF(NOT(ISNUMBER(A588)),"Date invalide",IF(B588="","N° de facture manquant",IF(ISNA(MATCH(B588,fa_num,0)),"Facture inconnue",IF(INDEX(fa_type,MATCH(B588,fa_num,0))="Avoir","Paiement sur un avoir",IF(OR(NOT(ISNUMBER(C588)),N(C588)&lt;=0),"Montant invalide",IF(A588&lt;INDEX(fa_date,MATCH(B588,fa_num,0)),"Date antérieure à la facture",IF(SUMIF($B$6:B588,B588,$C$6:C588)&gt;INDEX(fa_ttc,MATCH(B588,fa_num,0))-N(INDEX(fa_avoirs,MATCH(B588,fa_num,0)))+0.001,"Dépasse le montant de la facture","OK")))))))))</f>
        <v/>
      </c>
    </row>
    <row r="589">
      <c r="A589" s="61" t="n"/>
      <c r="B589" s="60" t="n"/>
      <c r="C589" s="68" t="n"/>
      <c r="D589" s="60" t="n"/>
      <c r="E589" s="63" t="n"/>
      <c r="F589" s="63" t="n"/>
      <c r="G589" s="62" t="str">
        <f>IF(B589="","",IFERROR(INDEX(fa_cname,MATCH(B589,fa_num,0))&amp;"",""))</f>
        <v/>
      </c>
      <c r="H589" s="59" t="str">
        <f>IF(COUNTA(A589:F589)=0,"",IF(A589="","Date manquante",IF(NOT(ISNUMBER(A589)),"Date invalide",IF(B589="","N° de facture manquant",IF(ISNA(MATCH(B589,fa_num,0)),"Facture inconnue",IF(INDEX(fa_type,MATCH(B589,fa_num,0))="Avoir","Paiement sur un avoir",IF(OR(NOT(ISNUMBER(C589)),N(C589)&lt;=0),"Montant invalide",IF(A589&lt;INDEX(fa_date,MATCH(B589,fa_num,0)),"Date antérieure à la facture",IF(SUMIF($B$6:B589,B589,$C$6:C589)&gt;INDEX(fa_ttc,MATCH(B589,fa_num,0))-N(INDEX(fa_avoirs,MATCH(B589,fa_num,0)))+0.001,"Dépasse le montant de la facture","OK")))))))))</f>
        <v/>
      </c>
    </row>
    <row r="590">
      <c r="A590" s="61" t="n"/>
      <c r="B590" s="60" t="n"/>
      <c r="C590" s="68" t="n"/>
      <c r="D590" s="60" t="n"/>
      <c r="E590" s="63" t="n"/>
      <c r="F590" s="63" t="n"/>
      <c r="G590" s="62" t="str">
        <f>IF(B590="","",IFERROR(INDEX(fa_cname,MATCH(B590,fa_num,0))&amp;"",""))</f>
        <v/>
      </c>
      <c r="H590" s="59" t="str">
        <f>IF(COUNTA(A590:F590)=0,"",IF(A590="","Date manquante",IF(NOT(ISNUMBER(A590)),"Date invalide",IF(B590="","N° de facture manquant",IF(ISNA(MATCH(B590,fa_num,0)),"Facture inconnue",IF(INDEX(fa_type,MATCH(B590,fa_num,0))="Avoir","Paiement sur un avoir",IF(OR(NOT(ISNUMBER(C590)),N(C590)&lt;=0),"Montant invalide",IF(A590&lt;INDEX(fa_date,MATCH(B590,fa_num,0)),"Date antérieure à la facture",IF(SUMIF($B$6:B590,B590,$C$6:C590)&gt;INDEX(fa_ttc,MATCH(B590,fa_num,0))-N(INDEX(fa_avoirs,MATCH(B590,fa_num,0)))+0.001,"Dépasse le montant de la facture","OK")))))))))</f>
        <v/>
      </c>
    </row>
    <row r="591">
      <c r="A591" s="61" t="n"/>
      <c r="B591" s="60" t="n"/>
      <c r="C591" s="68" t="n"/>
      <c r="D591" s="60" t="n"/>
      <c r="E591" s="63" t="n"/>
      <c r="F591" s="63" t="n"/>
      <c r="G591" s="62" t="str">
        <f>IF(B591="","",IFERROR(INDEX(fa_cname,MATCH(B591,fa_num,0))&amp;"",""))</f>
        <v/>
      </c>
      <c r="H591" s="59" t="str">
        <f>IF(COUNTA(A591:F591)=0,"",IF(A591="","Date manquante",IF(NOT(ISNUMBER(A591)),"Date invalide",IF(B591="","N° de facture manquant",IF(ISNA(MATCH(B591,fa_num,0)),"Facture inconnue",IF(INDEX(fa_type,MATCH(B591,fa_num,0))="Avoir","Paiement sur un avoir",IF(OR(NOT(ISNUMBER(C591)),N(C591)&lt;=0),"Montant invalide",IF(A591&lt;INDEX(fa_date,MATCH(B591,fa_num,0)),"Date antérieure à la facture",IF(SUMIF($B$6:B591,B591,$C$6:C591)&gt;INDEX(fa_ttc,MATCH(B591,fa_num,0))-N(INDEX(fa_avoirs,MATCH(B591,fa_num,0)))+0.001,"Dépasse le montant de la facture","OK")))))))))</f>
        <v/>
      </c>
    </row>
    <row r="592">
      <c r="A592" s="61" t="n"/>
      <c r="B592" s="60" t="n"/>
      <c r="C592" s="68" t="n"/>
      <c r="D592" s="60" t="n"/>
      <c r="E592" s="63" t="n"/>
      <c r="F592" s="63" t="n"/>
      <c r="G592" s="62" t="str">
        <f>IF(B592="","",IFERROR(INDEX(fa_cname,MATCH(B592,fa_num,0))&amp;"",""))</f>
        <v/>
      </c>
      <c r="H592" s="59" t="str">
        <f>IF(COUNTA(A592:F592)=0,"",IF(A592="","Date manquante",IF(NOT(ISNUMBER(A592)),"Date invalide",IF(B592="","N° de facture manquant",IF(ISNA(MATCH(B592,fa_num,0)),"Facture inconnue",IF(INDEX(fa_type,MATCH(B592,fa_num,0))="Avoir","Paiement sur un avoir",IF(OR(NOT(ISNUMBER(C592)),N(C592)&lt;=0),"Montant invalide",IF(A592&lt;INDEX(fa_date,MATCH(B592,fa_num,0)),"Date antérieure à la facture",IF(SUMIF($B$6:B592,B592,$C$6:C592)&gt;INDEX(fa_ttc,MATCH(B592,fa_num,0))-N(INDEX(fa_avoirs,MATCH(B592,fa_num,0)))+0.001,"Dépasse le montant de la facture","OK")))))))))</f>
        <v/>
      </c>
    </row>
    <row r="593">
      <c r="A593" s="61" t="n"/>
      <c r="B593" s="60" t="n"/>
      <c r="C593" s="68" t="n"/>
      <c r="D593" s="60" t="n"/>
      <c r="E593" s="63" t="n"/>
      <c r="F593" s="63" t="n"/>
      <c r="G593" s="62" t="str">
        <f>IF(B593="","",IFERROR(INDEX(fa_cname,MATCH(B593,fa_num,0))&amp;"",""))</f>
        <v/>
      </c>
      <c r="H593" s="59" t="str">
        <f>IF(COUNTA(A593:F593)=0,"",IF(A593="","Date manquante",IF(NOT(ISNUMBER(A593)),"Date invalide",IF(B593="","N° de facture manquant",IF(ISNA(MATCH(B593,fa_num,0)),"Facture inconnue",IF(INDEX(fa_type,MATCH(B593,fa_num,0))="Avoir","Paiement sur un avoir",IF(OR(NOT(ISNUMBER(C593)),N(C593)&lt;=0),"Montant invalide",IF(A593&lt;INDEX(fa_date,MATCH(B593,fa_num,0)),"Date antérieure à la facture",IF(SUMIF($B$6:B593,B593,$C$6:C593)&gt;INDEX(fa_ttc,MATCH(B593,fa_num,0))-N(INDEX(fa_avoirs,MATCH(B593,fa_num,0)))+0.001,"Dépasse le montant de la facture","OK")))))))))</f>
        <v/>
      </c>
    </row>
    <row r="594">
      <c r="A594" s="61" t="n"/>
      <c r="B594" s="60" t="n"/>
      <c r="C594" s="68" t="n"/>
      <c r="D594" s="60" t="n"/>
      <c r="E594" s="63" t="n"/>
      <c r="F594" s="63" t="n"/>
      <c r="G594" s="62" t="str">
        <f>IF(B594="","",IFERROR(INDEX(fa_cname,MATCH(B594,fa_num,0))&amp;"",""))</f>
        <v/>
      </c>
      <c r="H594" s="59" t="str">
        <f>IF(COUNTA(A594:F594)=0,"",IF(A594="","Date manquante",IF(NOT(ISNUMBER(A594)),"Date invalide",IF(B594="","N° de facture manquant",IF(ISNA(MATCH(B594,fa_num,0)),"Facture inconnue",IF(INDEX(fa_type,MATCH(B594,fa_num,0))="Avoir","Paiement sur un avoir",IF(OR(NOT(ISNUMBER(C594)),N(C594)&lt;=0),"Montant invalide",IF(A594&lt;INDEX(fa_date,MATCH(B594,fa_num,0)),"Date antérieure à la facture",IF(SUMIF($B$6:B594,B594,$C$6:C594)&gt;INDEX(fa_ttc,MATCH(B594,fa_num,0))-N(INDEX(fa_avoirs,MATCH(B594,fa_num,0)))+0.001,"Dépasse le montant de la facture","OK")))))))))</f>
        <v/>
      </c>
    </row>
    <row r="595">
      <c r="A595" s="61" t="n"/>
      <c r="B595" s="60" t="n"/>
      <c r="C595" s="68" t="n"/>
      <c r="D595" s="60" t="n"/>
      <c r="E595" s="63" t="n"/>
      <c r="F595" s="63" t="n"/>
      <c r="G595" s="62" t="str">
        <f>IF(B595="","",IFERROR(INDEX(fa_cname,MATCH(B595,fa_num,0))&amp;"",""))</f>
        <v/>
      </c>
      <c r="H595" s="59" t="str">
        <f>IF(COUNTA(A595:F595)=0,"",IF(A595="","Date manquante",IF(NOT(ISNUMBER(A595)),"Date invalide",IF(B595="","N° de facture manquant",IF(ISNA(MATCH(B595,fa_num,0)),"Facture inconnue",IF(INDEX(fa_type,MATCH(B595,fa_num,0))="Avoir","Paiement sur un avoir",IF(OR(NOT(ISNUMBER(C595)),N(C595)&lt;=0),"Montant invalide",IF(A595&lt;INDEX(fa_date,MATCH(B595,fa_num,0)),"Date antérieure à la facture",IF(SUMIF($B$6:B595,B595,$C$6:C595)&gt;INDEX(fa_ttc,MATCH(B595,fa_num,0))-N(INDEX(fa_avoirs,MATCH(B595,fa_num,0)))+0.001,"Dépasse le montant de la facture","OK")))))))))</f>
        <v/>
      </c>
    </row>
    <row r="596">
      <c r="A596" s="61" t="n"/>
      <c r="B596" s="60" t="n"/>
      <c r="C596" s="68" t="n"/>
      <c r="D596" s="60" t="n"/>
      <c r="E596" s="63" t="n"/>
      <c r="F596" s="63" t="n"/>
      <c r="G596" s="62" t="str">
        <f>IF(B596="","",IFERROR(INDEX(fa_cname,MATCH(B596,fa_num,0))&amp;"",""))</f>
        <v/>
      </c>
      <c r="H596" s="59" t="str">
        <f>IF(COUNTA(A596:F596)=0,"",IF(A596="","Date manquante",IF(NOT(ISNUMBER(A596)),"Date invalide",IF(B596="","N° de facture manquant",IF(ISNA(MATCH(B596,fa_num,0)),"Facture inconnue",IF(INDEX(fa_type,MATCH(B596,fa_num,0))="Avoir","Paiement sur un avoir",IF(OR(NOT(ISNUMBER(C596)),N(C596)&lt;=0),"Montant invalide",IF(A596&lt;INDEX(fa_date,MATCH(B596,fa_num,0)),"Date antérieure à la facture",IF(SUMIF($B$6:B596,B596,$C$6:C596)&gt;INDEX(fa_ttc,MATCH(B596,fa_num,0))-N(INDEX(fa_avoirs,MATCH(B596,fa_num,0)))+0.001,"Dépasse le montant de la facture","OK")))))))))</f>
        <v/>
      </c>
    </row>
    <row r="597">
      <c r="A597" s="61" t="n"/>
      <c r="B597" s="60" t="n"/>
      <c r="C597" s="68" t="n"/>
      <c r="D597" s="60" t="n"/>
      <c r="E597" s="63" t="n"/>
      <c r="F597" s="63" t="n"/>
      <c r="G597" s="62" t="str">
        <f>IF(B597="","",IFERROR(INDEX(fa_cname,MATCH(B597,fa_num,0))&amp;"",""))</f>
        <v/>
      </c>
      <c r="H597" s="59" t="str">
        <f>IF(COUNTA(A597:F597)=0,"",IF(A597="","Date manquante",IF(NOT(ISNUMBER(A597)),"Date invalide",IF(B597="","N° de facture manquant",IF(ISNA(MATCH(B597,fa_num,0)),"Facture inconnue",IF(INDEX(fa_type,MATCH(B597,fa_num,0))="Avoir","Paiement sur un avoir",IF(OR(NOT(ISNUMBER(C597)),N(C597)&lt;=0),"Montant invalide",IF(A597&lt;INDEX(fa_date,MATCH(B597,fa_num,0)),"Date antérieure à la facture",IF(SUMIF($B$6:B597,B597,$C$6:C597)&gt;INDEX(fa_ttc,MATCH(B597,fa_num,0))-N(INDEX(fa_avoirs,MATCH(B597,fa_num,0)))+0.001,"Dépasse le montant de la facture","OK")))))))))</f>
        <v/>
      </c>
    </row>
    <row r="598">
      <c r="A598" s="61" t="n"/>
      <c r="B598" s="60" t="n"/>
      <c r="C598" s="68" t="n"/>
      <c r="D598" s="60" t="n"/>
      <c r="E598" s="63" t="n"/>
      <c r="F598" s="63" t="n"/>
      <c r="G598" s="62" t="str">
        <f>IF(B598="","",IFERROR(INDEX(fa_cname,MATCH(B598,fa_num,0))&amp;"",""))</f>
        <v/>
      </c>
      <c r="H598" s="59" t="str">
        <f>IF(COUNTA(A598:F598)=0,"",IF(A598="","Date manquante",IF(NOT(ISNUMBER(A598)),"Date invalide",IF(B598="","N° de facture manquant",IF(ISNA(MATCH(B598,fa_num,0)),"Facture inconnue",IF(INDEX(fa_type,MATCH(B598,fa_num,0))="Avoir","Paiement sur un avoir",IF(OR(NOT(ISNUMBER(C598)),N(C598)&lt;=0),"Montant invalide",IF(A598&lt;INDEX(fa_date,MATCH(B598,fa_num,0)),"Date antérieure à la facture",IF(SUMIF($B$6:B598,B598,$C$6:C598)&gt;INDEX(fa_ttc,MATCH(B598,fa_num,0))-N(INDEX(fa_avoirs,MATCH(B598,fa_num,0)))+0.001,"Dépasse le montant de la facture","OK")))))))))</f>
        <v/>
      </c>
    </row>
    <row r="599">
      <c r="A599" s="61" t="n"/>
      <c r="B599" s="60" t="n"/>
      <c r="C599" s="68" t="n"/>
      <c r="D599" s="60" t="n"/>
      <c r="E599" s="63" t="n"/>
      <c r="F599" s="63" t="n"/>
      <c r="G599" s="62" t="str">
        <f>IF(B599="","",IFERROR(INDEX(fa_cname,MATCH(B599,fa_num,0))&amp;"",""))</f>
        <v/>
      </c>
      <c r="H599" s="59" t="str">
        <f>IF(COUNTA(A599:F599)=0,"",IF(A599="","Date manquante",IF(NOT(ISNUMBER(A599)),"Date invalide",IF(B599="","N° de facture manquant",IF(ISNA(MATCH(B599,fa_num,0)),"Facture inconnue",IF(INDEX(fa_type,MATCH(B599,fa_num,0))="Avoir","Paiement sur un avoir",IF(OR(NOT(ISNUMBER(C599)),N(C599)&lt;=0),"Montant invalide",IF(A599&lt;INDEX(fa_date,MATCH(B599,fa_num,0)),"Date antérieure à la facture",IF(SUMIF($B$6:B599,B599,$C$6:C599)&gt;INDEX(fa_ttc,MATCH(B599,fa_num,0))-N(INDEX(fa_avoirs,MATCH(B599,fa_num,0)))+0.001,"Dépasse le montant de la facture","OK")))))))))</f>
        <v/>
      </c>
    </row>
    <row r="600">
      <c r="A600" s="61" t="n"/>
      <c r="B600" s="60" t="n"/>
      <c r="C600" s="68" t="n"/>
      <c r="D600" s="60" t="n"/>
      <c r="E600" s="63" t="n"/>
      <c r="F600" s="63" t="n"/>
      <c r="G600" s="62" t="str">
        <f>IF(B600="","",IFERROR(INDEX(fa_cname,MATCH(B600,fa_num,0))&amp;"",""))</f>
        <v/>
      </c>
      <c r="H600" s="59" t="str">
        <f>IF(COUNTA(A600:F600)=0,"",IF(A600="","Date manquante",IF(NOT(ISNUMBER(A600)),"Date invalide",IF(B600="","N° de facture manquant",IF(ISNA(MATCH(B600,fa_num,0)),"Facture inconnue",IF(INDEX(fa_type,MATCH(B600,fa_num,0))="Avoir","Paiement sur un avoir",IF(OR(NOT(ISNUMBER(C600)),N(C600)&lt;=0),"Montant invalide",IF(A600&lt;INDEX(fa_date,MATCH(B600,fa_num,0)),"Date antérieure à la facture",IF(SUMIF($B$6:B600,B600,$C$6:C600)&gt;INDEX(fa_ttc,MATCH(B600,fa_num,0))-N(INDEX(fa_avoirs,MATCH(B600,fa_num,0)))+0.001,"Dépasse le montant de la facture","OK")))))))))</f>
        <v/>
      </c>
    </row>
    <row r="601">
      <c r="A601" s="61" t="n"/>
      <c r="B601" s="60" t="n"/>
      <c r="C601" s="68" t="n"/>
      <c r="D601" s="60" t="n"/>
      <c r="E601" s="63" t="n"/>
      <c r="F601" s="63" t="n"/>
      <c r="G601" s="62" t="str">
        <f>IF(B601="","",IFERROR(INDEX(fa_cname,MATCH(B601,fa_num,0))&amp;"",""))</f>
        <v/>
      </c>
      <c r="H601" s="59" t="str">
        <f>IF(COUNTA(A601:F601)=0,"",IF(A601="","Date manquante",IF(NOT(ISNUMBER(A601)),"Date invalide",IF(B601="","N° de facture manquant",IF(ISNA(MATCH(B601,fa_num,0)),"Facture inconnue",IF(INDEX(fa_type,MATCH(B601,fa_num,0))="Avoir","Paiement sur un avoir",IF(OR(NOT(ISNUMBER(C601)),N(C601)&lt;=0),"Montant invalide",IF(A601&lt;INDEX(fa_date,MATCH(B601,fa_num,0)),"Date antérieure à la facture",IF(SUMIF($B$6:B601,B601,$C$6:C601)&gt;INDEX(fa_ttc,MATCH(B601,fa_num,0))-N(INDEX(fa_avoirs,MATCH(B601,fa_num,0)))+0.001,"Dépasse le montant de la facture","OK")))))))))</f>
        <v/>
      </c>
    </row>
    <row r="602">
      <c r="A602" s="61" t="n"/>
      <c r="B602" s="60" t="n"/>
      <c r="C602" s="68" t="n"/>
      <c r="D602" s="60" t="n"/>
      <c r="E602" s="63" t="n"/>
      <c r="F602" s="63" t="n"/>
      <c r="G602" s="62" t="str">
        <f>IF(B602="","",IFERROR(INDEX(fa_cname,MATCH(B602,fa_num,0))&amp;"",""))</f>
        <v/>
      </c>
      <c r="H602" s="59" t="str">
        <f>IF(COUNTA(A602:F602)=0,"",IF(A602="","Date manquante",IF(NOT(ISNUMBER(A602)),"Date invalide",IF(B602="","N° de facture manquant",IF(ISNA(MATCH(B602,fa_num,0)),"Facture inconnue",IF(INDEX(fa_type,MATCH(B602,fa_num,0))="Avoir","Paiement sur un avoir",IF(OR(NOT(ISNUMBER(C602)),N(C602)&lt;=0),"Montant invalide",IF(A602&lt;INDEX(fa_date,MATCH(B602,fa_num,0)),"Date antérieure à la facture",IF(SUMIF($B$6:B602,B602,$C$6:C602)&gt;INDEX(fa_ttc,MATCH(B602,fa_num,0))-N(INDEX(fa_avoirs,MATCH(B602,fa_num,0)))+0.001,"Dépasse le montant de la facture","OK")))))))))</f>
        <v/>
      </c>
    </row>
    <row r="603">
      <c r="A603" s="61" t="n"/>
      <c r="B603" s="60" t="n"/>
      <c r="C603" s="68" t="n"/>
      <c r="D603" s="60" t="n"/>
      <c r="E603" s="63" t="n"/>
      <c r="F603" s="63" t="n"/>
      <c r="G603" s="62" t="str">
        <f>IF(B603="","",IFERROR(INDEX(fa_cname,MATCH(B603,fa_num,0))&amp;"",""))</f>
        <v/>
      </c>
      <c r="H603" s="59" t="str">
        <f>IF(COUNTA(A603:F603)=0,"",IF(A603="","Date manquante",IF(NOT(ISNUMBER(A603)),"Date invalide",IF(B603="","N° de facture manquant",IF(ISNA(MATCH(B603,fa_num,0)),"Facture inconnue",IF(INDEX(fa_type,MATCH(B603,fa_num,0))="Avoir","Paiement sur un avoir",IF(OR(NOT(ISNUMBER(C603)),N(C603)&lt;=0),"Montant invalide",IF(A603&lt;INDEX(fa_date,MATCH(B603,fa_num,0)),"Date antérieure à la facture",IF(SUMIF($B$6:B603,B603,$C$6:C603)&gt;INDEX(fa_ttc,MATCH(B603,fa_num,0))-N(INDEX(fa_avoirs,MATCH(B603,fa_num,0)))+0.001,"Dépasse le montant de la facture","OK")))))))))</f>
        <v/>
      </c>
    </row>
    <row r="604">
      <c r="A604" s="61" t="n"/>
      <c r="B604" s="60" t="n"/>
      <c r="C604" s="68" t="n"/>
      <c r="D604" s="60" t="n"/>
      <c r="E604" s="63" t="n"/>
      <c r="F604" s="63" t="n"/>
      <c r="G604" s="62" t="str">
        <f>IF(B604="","",IFERROR(INDEX(fa_cname,MATCH(B604,fa_num,0))&amp;"",""))</f>
        <v/>
      </c>
      <c r="H604" s="59" t="str">
        <f>IF(COUNTA(A604:F604)=0,"",IF(A604="","Date manquante",IF(NOT(ISNUMBER(A604)),"Date invalide",IF(B604="","N° de facture manquant",IF(ISNA(MATCH(B604,fa_num,0)),"Facture inconnue",IF(INDEX(fa_type,MATCH(B604,fa_num,0))="Avoir","Paiement sur un avoir",IF(OR(NOT(ISNUMBER(C604)),N(C604)&lt;=0),"Montant invalide",IF(A604&lt;INDEX(fa_date,MATCH(B604,fa_num,0)),"Date antérieure à la facture",IF(SUMIF($B$6:B604,B604,$C$6:C604)&gt;INDEX(fa_ttc,MATCH(B604,fa_num,0))-N(INDEX(fa_avoirs,MATCH(B604,fa_num,0)))+0.001,"Dépasse le montant de la facture","OK")))))))))</f>
        <v/>
      </c>
    </row>
    <row r="605">
      <c r="A605" s="61" t="n"/>
      <c r="B605" s="60" t="n"/>
      <c r="C605" s="68" t="n"/>
      <c r="D605" s="60" t="n"/>
      <c r="E605" s="63" t="n"/>
      <c r="F605" s="63" t="n"/>
      <c r="G605" s="62" t="str">
        <f>IF(B605="","",IFERROR(INDEX(fa_cname,MATCH(B605,fa_num,0))&amp;"",""))</f>
        <v/>
      </c>
      <c r="H605" s="59" t="str">
        <f>IF(COUNTA(A605:F605)=0,"",IF(A605="","Date manquante",IF(NOT(ISNUMBER(A605)),"Date invalide",IF(B605="","N° de facture manquant",IF(ISNA(MATCH(B605,fa_num,0)),"Facture inconnue",IF(INDEX(fa_type,MATCH(B605,fa_num,0))="Avoir","Paiement sur un avoir",IF(OR(NOT(ISNUMBER(C605)),N(C605)&lt;=0),"Montant invalide",IF(A605&lt;INDEX(fa_date,MATCH(B605,fa_num,0)),"Date antérieure à la facture",IF(SUMIF($B$6:B605,B605,$C$6:C605)&gt;INDEX(fa_ttc,MATCH(B605,fa_num,0))-N(INDEX(fa_avoirs,MATCH(B605,fa_num,0)))+0.001,"Dépasse le montant de la facture","OK")))))))))</f>
        <v/>
      </c>
    </row>
    <row r="606">
      <c r="A606" s="61" t="n"/>
      <c r="B606" s="60" t="n"/>
      <c r="C606" s="68" t="n"/>
      <c r="D606" s="60" t="n"/>
      <c r="E606" s="63" t="n"/>
      <c r="F606" s="63" t="n"/>
      <c r="G606" s="62" t="str">
        <f>IF(B606="","",IFERROR(INDEX(fa_cname,MATCH(B606,fa_num,0))&amp;"",""))</f>
        <v/>
      </c>
      <c r="H606" s="59" t="str">
        <f>IF(COUNTA(A606:F606)=0,"",IF(A606="","Date manquante",IF(NOT(ISNUMBER(A606)),"Date invalide",IF(B606="","N° de facture manquant",IF(ISNA(MATCH(B606,fa_num,0)),"Facture inconnue",IF(INDEX(fa_type,MATCH(B606,fa_num,0))="Avoir","Paiement sur un avoir",IF(OR(NOT(ISNUMBER(C606)),N(C606)&lt;=0),"Montant invalide",IF(A606&lt;INDEX(fa_date,MATCH(B606,fa_num,0)),"Date antérieure à la facture",IF(SUMIF($B$6:B606,B606,$C$6:C606)&gt;INDEX(fa_ttc,MATCH(B606,fa_num,0))-N(INDEX(fa_avoirs,MATCH(B606,fa_num,0)))+0.001,"Dépasse le montant de la facture","OK")))))))))</f>
        <v/>
      </c>
    </row>
    <row r="607">
      <c r="A607" s="61" t="n"/>
      <c r="B607" s="60" t="n"/>
      <c r="C607" s="68" t="n"/>
      <c r="D607" s="60" t="n"/>
      <c r="E607" s="63" t="n"/>
      <c r="F607" s="63" t="n"/>
      <c r="G607" s="62" t="str">
        <f>IF(B607="","",IFERROR(INDEX(fa_cname,MATCH(B607,fa_num,0))&amp;"",""))</f>
        <v/>
      </c>
      <c r="H607" s="59" t="str">
        <f>IF(COUNTA(A607:F607)=0,"",IF(A607="","Date manquante",IF(NOT(ISNUMBER(A607)),"Date invalide",IF(B607="","N° de facture manquant",IF(ISNA(MATCH(B607,fa_num,0)),"Facture inconnue",IF(INDEX(fa_type,MATCH(B607,fa_num,0))="Avoir","Paiement sur un avoir",IF(OR(NOT(ISNUMBER(C607)),N(C607)&lt;=0),"Montant invalide",IF(A607&lt;INDEX(fa_date,MATCH(B607,fa_num,0)),"Date antérieure à la facture",IF(SUMIF($B$6:B607,B607,$C$6:C607)&gt;INDEX(fa_ttc,MATCH(B607,fa_num,0))-N(INDEX(fa_avoirs,MATCH(B607,fa_num,0)))+0.001,"Dépasse le montant de la facture","OK")))))))))</f>
        <v/>
      </c>
    </row>
    <row r="608">
      <c r="A608" s="61" t="n"/>
      <c r="B608" s="60" t="n"/>
      <c r="C608" s="68" t="n"/>
      <c r="D608" s="60" t="n"/>
      <c r="E608" s="63" t="n"/>
      <c r="F608" s="63" t="n"/>
      <c r="G608" s="62" t="str">
        <f>IF(B608="","",IFERROR(INDEX(fa_cname,MATCH(B608,fa_num,0))&amp;"",""))</f>
        <v/>
      </c>
      <c r="H608" s="59" t="str">
        <f>IF(COUNTA(A608:F608)=0,"",IF(A608="","Date manquante",IF(NOT(ISNUMBER(A608)),"Date invalide",IF(B608="","N° de facture manquant",IF(ISNA(MATCH(B608,fa_num,0)),"Facture inconnue",IF(INDEX(fa_type,MATCH(B608,fa_num,0))="Avoir","Paiement sur un avoir",IF(OR(NOT(ISNUMBER(C608)),N(C608)&lt;=0),"Montant invalide",IF(A608&lt;INDEX(fa_date,MATCH(B608,fa_num,0)),"Date antérieure à la facture",IF(SUMIF($B$6:B608,B608,$C$6:C608)&gt;INDEX(fa_ttc,MATCH(B608,fa_num,0))-N(INDEX(fa_avoirs,MATCH(B608,fa_num,0)))+0.001,"Dépasse le montant de la facture","OK")))))))))</f>
        <v/>
      </c>
    </row>
    <row r="609">
      <c r="A609" s="61" t="n"/>
      <c r="B609" s="60" t="n"/>
      <c r="C609" s="68" t="n"/>
      <c r="D609" s="60" t="n"/>
      <c r="E609" s="63" t="n"/>
      <c r="F609" s="63" t="n"/>
      <c r="G609" s="62" t="str">
        <f>IF(B609="","",IFERROR(INDEX(fa_cname,MATCH(B609,fa_num,0))&amp;"",""))</f>
        <v/>
      </c>
      <c r="H609" s="59" t="str">
        <f>IF(COUNTA(A609:F609)=0,"",IF(A609="","Date manquante",IF(NOT(ISNUMBER(A609)),"Date invalide",IF(B609="","N° de facture manquant",IF(ISNA(MATCH(B609,fa_num,0)),"Facture inconnue",IF(INDEX(fa_type,MATCH(B609,fa_num,0))="Avoir","Paiement sur un avoir",IF(OR(NOT(ISNUMBER(C609)),N(C609)&lt;=0),"Montant invalide",IF(A609&lt;INDEX(fa_date,MATCH(B609,fa_num,0)),"Date antérieure à la facture",IF(SUMIF($B$6:B609,B609,$C$6:C609)&gt;INDEX(fa_ttc,MATCH(B609,fa_num,0))-N(INDEX(fa_avoirs,MATCH(B609,fa_num,0)))+0.001,"Dépasse le montant de la facture","OK")))))))))</f>
        <v/>
      </c>
    </row>
    <row r="610">
      <c r="A610" s="61" t="n"/>
      <c r="B610" s="60" t="n"/>
      <c r="C610" s="68" t="n"/>
      <c r="D610" s="60" t="n"/>
      <c r="E610" s="63" t="n"/>
      <c r="F610" s="63" t="n"/>
      <c r="G610" s="62" t="str">
        <f>IF(B610="","",IFERROR(INDEX(fa_cname,MATCH(B610,fa_num,0))&amp;"",""))</f>
        <v/>
      </c>
      <c r="H610" s="59" t="str">
        <f>IF(COUNTA(A610:F610)=0,"",IF(A610="","Date manquante",IF(NOT(ISNUMBER(A610)),"Date invalide",IF(B610="","N° de facture manquant",IF(ISNA(MATCH(B610,fa_num,0)),"Facture inconnue",IF(INDEX(fa_type,MATCH(B610,fa_num,0))="Avoir","Paiement sur un avoir",IF(OR(NOT(ISNUMBER(C610)),N(C610)&lt;=0),"Montant invalide",IF(A610&lt;INDEX(fa_date,MATCH(B610,fa_num,0)),"Date antérieure à la facture",IF(SUMIF($B$6:B610,B610,$C$6:C610)&gt;INDEX(fa_ttc,MATCH(B610,fa_num,0))-N(INDEX(fa_avoirs,MATCH(B610,fa_num,0)))+0.001,"Dépasse le montant de la facture","OK")))))))))</f>
        <v/>
      </c>
    </row>
    <row r="611">
      <c r="A611" s="61" t="n"/>
      <c r="B611" s="60" t="n"/>
      <c r="C611" s="68" t="n"/>
      <c r="D611" s="60" t="n"/>
      <c r="E611" s="63" t="n"/>
      <c r="F611" s="63" t="n"/>
      <c r="G611" s="62" t="str">
        <f>IF(B611="","",IFERROR(INDEX(fa_cname,MATCH(B611,fa_num,0))&amp;"",""))</f>
        <v/>
      </c>
      <c r="H611" s="59" t="str">
        <f>IF(COUNTA(A611:F611)=0,"",IF(A611="","Date manquante",IF(NOT(ISNUMBER(A611)),"Date invalide",IF(B611="","N° de facture manquant",IF(ISNA(MATCH(B611,fa_num,0)),"Facture inconnue",IF(INDEX(fa_type,MATCH(B611,fa_num,0))="Avoir","Paiement sur un avoir",IF(OR(NOT(ISNUMBER(C611)),N(C611)&lt;=0),"Montant invalide",IF(A611&lt;INDEX(fa_date,MATCH(B611,fa_num,0)),"Date antérieure à la facture",IF(SUMIF($B$6:B611,B611,$C$6:C611)&gt;INDEX(fa_ttc,MATCH(B611,fa_num,0))-N(INDEX(fa_avoirs,MATCH(B611,fa_num,0)))+0.001,"Dépasse le montant de la facture","OK")))))))))</f>
        <v/>
      </c>
    </row>
    <row r="612">
      <c r="A612" s="61" t="n"/>
      <c r="B612" s="60" t="n"/>
      <c r="C612" s="68" t="n"/>
      <c r="D612" s="60" t="n"/>
      <c r="E612" s="63" t="n"/>
      <c r="F612" s="63" t="n"/>
      <c r="G612" s="62" t="str">
        <f>IF(B612="","",IFERROR(INDEX(fa_cname,MATCH(B612,fa_num,0))&amp;"",""))</f>
        <v/>
      </c>
      <c r="H612" s="59" t="str">
        <f>IF(COUNTA(A612:F612)=0,"",IF(A612="","Date manquante",IF(NOT(ISNUMBER(A612)),"Date invalide",IF(B612="","N° de facture manquant",IF(ISNA(MATCH(B612,fa_num,0)),"Facture inconnue",IF(INDEX(fa_type,MATCH(B612,fa_num,0))="Avoir","Paiement sur un avoir",IF(OR(NOT(ISNUMBER(C612)),N(C612)&lt;=0),"Montant invalide",IF(A612&lt;INDEX(fa_date,MATCH(B612,fa_num,0)),"Date antérieure à la facture",IF(SUMIF($B$6:B612,B612,$C$6:C612)&gt;INDEX(fa_ttc,MATCH(B612,fa_num,0))-N(INDEX(fa_avoirs,MATCH(B612,fa_num,0)))+0.001,"Dépasse le montant de la facture","OK")))))))))</f>
        <v/>
      </c>
    </row>
    <row r="613">
      <c r="A613" s="61" t="n"/>
      <c r="B613" s="60" t="n"/>
      <c r="C613" s="68" t="n"/>
      <c r="D613" s="60" t="n"/>
      <c r="E613" s="63" t="n"/>
      <c r="F613" s="63" t="n"/>
      <c r="G613" s="62" t="str">
        <f>IF(B613="","",IFERROR(INDEX(fa_cname,MATCH(B613,fa_num,0))&amp;"",""))</f>
        <v/>
      </c>
      <c r="H613" s="59" t="str">
        <f>IF(COUNTA(A613:F613)=0,"",IF(A613="","Date manquante",IF(NOT(ISNUMBER(A613)),"Date invalide",IF(B613="","N° de facture manquant",IF(ISNA(MATCH(B613,fa_num,0)),"Facture inconnue",IF(INDEX(fa_type,MATCH(B613,fa_num,0))="Avoir","Paiement sur un avoir",IF(OR(NOT(ISNUMBER(C613)),N(C613)&lt;=0),"Montant invalide",IF(A613&lt;INDEX(fa_date,MATCH(B613,fa_num,0)),"Date antérieure à la facture",IF(SUMIF($B$6:B613,B613,$C$6:C613)&gt;INDEX(fa_ttc,MATCH(B613,fa_num,0))-N(INDEX(fa_avoirs,MATCH(B613,fa_num,0)))+0.001,"Dépasse le montant de la facture","OK")))))))))</f>
        <v/>
      </c>
    </row>
    <row r="614">
      <c r="A614" s="61" t="n"/>
      <c r="B614" s="60" t="n"/>
      <c r="C614" s="68" t="n"/>
      <c r="D614" s="60" t="n"/>
      <c r="E614" s="63" t="n"/>
      <c r="F614" s="63" t="n"/>
      <c r="G614" s="62" t="str">
        <f>IF(B614="","",IFERROR(INDEX(fa_cname,MATCH(B614,fa_num,0))&amp;"",""))</f>
        <v/>
      </c>
      <c r="H614" s="59" t="str">
        <f>IF(COUNTA(A614:F614)=0,"",IF(A614="","Date manquante",IF(NOT(ISNUMBER(A614)),"Date invalide",IF(B614="","N° de facture manquant",IF(ISNA(MATCH(B614,fa_num,0)),"Facture inconnue",IF(INDEX(fa_type,MATCH(B614,fa_num,0))="Avoir","Paiement sur un avoir",IF(OR(NOT(ISNUMBER(C614)),N(C614)&lt;=0),"Montant invalide",IF(A614&lt;INDEX(fa_date,MATCH(B614,fa_num,0)),"Date antérieure à la facture",IF(SUMIF($B$6:B614,B614,$C$6:C614)&gt;INDEX(fa_ttc,MATCH(B614,fa_num,0))-N(INDEX(fa_avoirs,MATCH(B614,fa_num,0)))+0.001,"Dépasse le montant de la facture","OK")))))))))</f>
        <v/>
      </c>
    </row>
    <row r="615">
      <c r="A615" s="61" t="n"/>
      <c r="B615" s="60" t="n"/>
      <c r="C615" s="68" t="n"/>
      <c r="D615" s="60" t="n"/>
      <c r="E615" s="63" t="n"/>
      <c r="F615" s="63" t="n"/>
      <c r="G615" s="62" t="str">
        <f>IF(B615="","",IFERROR(INDEX(fa_cname,MATCH(B615,fa_num,0))&amp;"",""))</f>
        <v/>
      </c>
      <c r="H615" s="59" t="str">
        <f>IF(COUNTA(A615:F615)=0,"",IF(A615="","Date manquante",IF(NOT(ISNUMBER(A615)),"Date invalide",IF(B615="","N° de facture manquant",IF(ISNA(MATCH(B615,fa_num,0)),"Facture inconnue",IF(INDEX(fa_type,MATCH(B615,fa_num,0))="Avoir","Paiement sur un avoir",IF(OR(NOT(ISNUMBER(C615)),N(C615)&lt;=0),"Montant invalide",IF(A615&lt;INDEX(fa_date,MATCH(B615,fa_num,0)),"Date antérieure à la facture",IF(SUMIF($B$6:B615,B615,$C$6:C615)&gt;INDEX(fa_ttc,MATCH(B615,fa_num,0))-N(INDEX(fa_avoirs,MATCH(B615,fa_num,0)))+0.001,"Dépasse le montant de la facture","OK")))))))))</f>
        <v/>
      </c>
    </row>
    <row r="616">
      <c r="A616" s="61" t="n"/>
      <c r="B616" s="60" t="n"/>
      <c r="C616" s="68" t="n"/>
      <c r="D616" s="60" t="n"/>
      <c r="E616" s="63" t="n"/>
      <c r="F616" s="63" t="n"/>
      <c r="G616" s="62" t="str">
        <f>IF(B616="","",IFERROR(INDEX(fa_cname,MATCH(B616,fa_num,0))&amp;"",""))</f>
        <v/>
      </c>
      <c r="H616" s="59" t="str">
        <f>IF(COUNTA(A616:F616)=0,"",IF(A616="","Date manquante",IF(NOT(ISNUMBER(A616)),"Date invalide",IF(B616="","N° de facture manquant",IF(ISNA(MATCH(B616,fa_num,0)),"Facture inconnue",IF(INDEX(fa_type,MATCH(B616,fa_num,0))="Avoir","Paiement sur un avoir",IF(OR(NOT(ISNUMBER(C616)),N(C616)&lt;=0),"Montant invalide",IF(A616&lt;INDEX(fa_date,MATCH(B616,fa_num,0)),"Date antérieure à la facture",IF(SUMIF($B$6:B616,B616,$C$6:C616)&gt;INDEX(fa_ttc,MATCH(B616,fa_num,0))-N(INDEX(fa_avoirs,MATCH(B616,fa_num,0)))+0.001,"Dépasse le montant de la facture","OK")))))))))</f>
        <v/>
      </c>
    </row>
    <row r="617">
      <c r="A617" s="61" t="n"/>
      <c r="B617" s="60" t="n"/>
      <c r="C617" s="68" t="n"/>
      <c r="D617" s="60" t="n"/>
      <c r="E617" s="63" t="n"/>
      <c r="F617" s="63" t="n"/>
      <c r="G617" s="62" t="str">
        <f>IF(B617="","",IFERROR(INDEX(fa_cname,MATCH(B617,fa_num,0))&amp;"",""))</f>
        <v/>
      </c>
      <c r="H617" s="59" t="str">
        <f>IF(COUNTA(A617:F617)=0,"",IF(A617="","Date manquante",IF(NOT(ISNUMBER(A617)),"Date invalide",IF(B617="","N° de facture manquant",IF(ISNA(MATCH(B617,fa_num,0)),"Facture inconnue",IF(INDEX(fa_type,MATCH(B617,fa_num,0))="Avoir","Paiement sur un avoir",IF(OR(NOT(ISNUMBER(C617)),N(C617)&lt;=0),"Montant invalide",IF(A617&lt;INDEX(fa_date,MATCH(B617,fa_num,0)),"Date antérieure à la facture",IF(SUMIF($B$6:B617,B617,$C$6:C617)&gt;INDEX(fa_ttc,MATCH(B617,fa_num,0))-N(INDEX(fa_avoirs,MATCH(B617,fa_num,0)))+0.001,"Dépasse le montant de la facture","OK")))))))))</f>
        <v/>
      </c>
    </row>
    <row r="618">
      <c r="A618" s="61" t="n"/>
      <c r="B618" s="60" t="n"/>
      <c r="C618" s="68" t="n"/>
      <c r="D618" s="60" t="n"/>
      <c r="E618" s="63" t="n"/>
      <c r="F618" s="63" t="n"/>
      <c r="G618" s="62" t="str">
        <f>IF(B618="","",IFERROR(INDEX(fa_cname,MATCH(B618,fa_num,0))&amp;"",""))</f>
        <v/>
      </c>
      <c r="H618" s="59" t="str">
        <f>IF(COUNTA(A618:F618)=0,"",IF(A618="","Date manquante",IF(NOT(ISNUMBER(A618)),"Date invalide",IF(B618="","N° de facture manquant",IF(ISNA(MATCH(B618,fa_num,0)),"Facture inconnue",IF(INDEX(fa_type,MATCH(B618,fa_num,0))="Avoir","Paiement sur un avoir",IF(OR(NOT(ISNUMBER(C618)),N(C618)&lt;=0),"Montant invalide",IF(A618&lt;INDEX(fa_date,MATCH(B618,fa_num,0)),"Date antérieure à la facture",IF(SUMIF($B$6:B618,B618,$C$6:C618)&gt;INDEX(fa_ttc,MATCH(B618,fa_num,0))-N(INDEX(fa_avoirs,MATCH(B618,fa_num,0)))+0.001,"Dépasse le montant de la facture","OK")))))))))</f>
        <v/>
      </c>
    </row>
    <row r="619">
      <c r="A619" s="61" t="n"/>
      <c r="B619" s="60" t="n"/>
      <c r="C619" s="68" t="n"/>
      <c r="D619" s="60" t="n"/>
      <c r="E619" s="63" t="n"/>
      <c r="F619" s="63" t="n"/>
      <c r="G619" s="62" t="str">
        <f>IF(B619="","",IFERROR(INDEX(fa_cname,MATCH(B619,fa_num,0))&amp;"",""))</f>
        <v/>
      </c>
      <c r="H619" s="59" t="str">
        <f>IF(COUNTA(A619:F619)=0,"",IF(A619="","Date manquante",IF(NOT(ISNUMBER(A619)),"Date invalide",IF(B619="","N° de facture manquant",IF(ISNA(MATCH(B619,fa_num,0)),"Facture inconnue",IF(INDEX(fa_type,MATCH(B619,fa_num,0))="Avoir","Paiement sur un avoir",IF(OR(NOT(ISNUMBER(C619)),N(C619)&lt;=0),"Montant invalide",IF(A619&lt;INDEX(fa_date,MATCH(B619,fa_num,0)),"Date antérieure à la facture",IF(SUMIF($B$6:B619,B619,$C$6:C619)&gt;INDEX(fa_ttc,MATCH(B619,fa_num,0))-N(INDEX(fa_avoirs,MATCH(B619,fa_num,0)))+0.001,"Dépasse le montant de la facture","OK")))))))))</f>
        <v/>
      </c>
    </row>
    <row r="620">
      <c r="A620" s="61" t="n"/>
      <c r="B620" s="60" t="n"/>
      <c r="C620" s="68" t="n"/>
      <c r="D620" s="60" t="n"/>
      <c r="E620" s="63" t="n"/>
      <c r="F620" s="63" t="n"/>
      <c r="G620" s="62" t="str">
        <f>IF(B620="","",IFERROR(INDEX(fa_cname,MATCH(B620,fa_num,0))&amp;"",""))</f>
        <v/>
      </c>
      <c r="H620" s="59" t="str">
        <f>IF(COUNTA(A620:F620)=0,"",IF(A620="","Date manquante",IF(NOT(ISNUMBER(A620)),"Date invalide",IF(B620="","N° de facture manquant",IF(ISNA(MATCH(B620,fa_num,0)),"Facture inconnue",IF(INDEX(fa_type,MATCH(B620,fa_num,0))="Avoir","Paiement sur un avoir",IF(OR(NOT(ISNUMBER(C620)),N(C620)&lt;=0),"Montant invalide",IF(A620&lt;INDEX(fa_date,MATCH(B620,fa_num,0)),"Date antérieure à la facture",IF(SUMIF($B$6:B620,B620,$C$6:C620)&gt;INDEX(fa_ttc,MATCH(B620,fa_num,0))-N(INDEX(fa_avoirs,MATCH(B620,fa_num,0)))+0.001,"Dépasse le montant de la facture","OK")))))))))</f>
        <v/>
      </c>
    </row>
    <row r="621">
      <c r="A621" s="61" t="n"/>
      <c r="B621" s="60" t="n"/>
      <c r="C621" s="68" t="n"/>
      <c r="D621" s="60" t="n"/>
      <c r="E621" s="63" t="n"/>
      <c r="F621" s="63" t="n"/>
      <c r="G621" s="62" t="str">
        <f>IF(B621="","",IFERROR(INDEX(fa_cname,MATCH(B621,fa_num,0))&amp;"",""))</f>
        <v/>
      </c>
      <c r="H621" s="59" t="str">
        <f>IF(COUNTA(A621:F621)=0,"",IF(A621="","Date manquante",IF(NOT(ISNUMBER(A621)),"Date invalide",IF(B621="","N° de facture manquant",IF(ISNA(MATCH(B621,fa_num,0)),"Facture inconnue",IF(INDEX(fa_type,MATCH(B621,fa_num,0))="Avoir","Paiement sur un avoir",IF(OR(NOT(ISNUMBER(C621)),N(C621)&lt;=0),"Montant invalide",IF(A621&lt;INDEX(fa_date,MATCH(B621,fa_num,0)),"Date antérieure à la facture",IF(SUMIF($B$6:B621,B621,$C$6:C621)&gt;INDEX(fa_ttc,MATCH(B621,fa_num,0))-N(INDEX(fa_avoirs,MATCH(B621,fa_num,0)))+0.001,"Dépasse le montant de la facture","OK")))))))))</f>
        <v/>
      </c>
    </row>
    <row r="622">
      <c r="A622" s="61" t="n"/>
      <c r="B622" s="60" t="n"/>
      <c r="C622" s="68" t="n"/>
      <c r="D622" s="60" t="n"/>
      <c r="E622" s="63" t="n"/>
      <c r="F622" s="63" t="n"/>
      <c r="G622" s="62" t="str">
        <f>IF(B622="","",IFERROR(INDEX(fa_cname,MATCH(B622,fa_num,0))&amp;"",""))</f>
        <v/>
      </c>
      <c r="H622" s="59" t="str">
        <f>IF(COUNTA(A622:F622)=0,"",IF(A622="","Date manquante",IF(NOT(ISNUMBER(A622)),"Date invalide",IF(B622="","N° de facture manquant",IF(ISNA(MATCH(B622,fa_num,0)),"Facture inconnue",IF(INDEX(fa_type,MATCH(B622,fa_num,0))="Avoir","Paiement sur un avoir",IF(OR(NOT(ISNUMBER(C622)),N(C622)&lt;=0),"Montant invalide",IF(A622&lt;INDEX(fa_date,MATCH(B622,fa_num,0)),"Date antérieure à la facture",IF(SUMIF($B$6:B622,B622,$C$6:C622)&gt;INDEX(fa_ttc,MATCH(B622,fa_num,0))-N(INDEX(fa_avoirs,MATCH(B622,fa_num,0)))+0.001,"Dépasse le montant de la facture","OK")))))))))</f>
        <v/>
      </c>
    </row>
    <row r="623">
      <c r="A623" s="61" t="n"/>
      <c r="B623" s="60" t="n"/>
      <c r="C623" s="68" t="n"/>
      <c r="D623" s="60" t="n"/>
      <c r="E623" s="63" t="n"/>
      <c r="F623" s="63" t="n"/>
      <c r="G623" s="62" t="str">
        <f>IF(B623="","",IFERROR(INDEX(fa_cname,MATCH(B623,fa_num,0))&amp;"",""))</f>
        <v/>
      </c>
      <c r="H623" s="59" t="str">
        <f>IF(COUNTA(A623:F623)=0,"",IF(A623="","Date manquante",IF(NOT(ISNUMBER(A623)),"Date invalide",IF(B623="","N° de facture manquant",IF(ISNA(MATCH(B623,fa_num,0)),"Facture inconnue",IF(INDEX(fa_type,MATCH(B623,fa_num,0))="Avoir","Paiement sur un avoir",IF(OR(NOT(ISNUMBER(C623)),N(C623)&lt;=0),"Montant invalide",IF(A623&lt;INDEX(fa_date,MATCH(B623,fa_num,0)),"Date antérieure à la facture",IF(SUMIF($B$6:B623,B623,$C$6:C623)&gt;INDEX(fa_ttc,MATCH(B623,fa_num,0))-N(INDEX(fa_avoirs,MATCH(B623,fa_num,0)))+0.001,"Dépasse le montant de la facture","OK")))))))))</f>
        <v/>
      </c>
    </row>
    <row r="624">
      <c r="A624" s="61" t="n"/>
      <c r="B624" s="60" t="n"/>
      <c r="C624" s="68" t="n"/>
      <c r="D624" s="60" t="n"/>
      <c r="E624" s="63" t="n"/>
      <c r="F624" s="63" t="n"/>
      <c r="G624" s="62" t="str">
        <f>IF(B624="","",IFERROR(INDEX(fa_cname,MATCH(B624,fa_num,0))&amp;"",""))</f>
        <v/>
      </c>
      <c r="H624" s="59" t="str">
        <f>IF(COUNTA(A624:F624)=0,"",IF(A624="","Date manquante",IF(NOT(ISNUMBER(A624)),"Date invalide",IF(B624="","N° de facture manquant",IF(ISNA(MATCH(B624,fa_num,0)),"Facture inconnue",IF(INDEX(fa_type,MATCH(B624,fa_num,0))="Avoir","Paiement sur un avoir",IF(OR(NOT(ISNUMBER(C624)),N(C624)&lt;=0),"Montant invalide",IF(A624&lt;INDEX(fa_date,MATCH(B624,fa_num,0)),"Date antérieure à la facture",IF(SUMIF($B$6:B624,B624,$C$6:C624)&gt;INDEX(fa_ttc,MATCH(B624,fa_num,0))-N(INDEX(fa_avoirs,MATCH(B624,fa_num,0)))+0.001,"Dépasse le montant de la facture","OK")))))))))</f>
        <v/>
      </c>
    </row>
    <row r="625">
      <c r="A625" s="61" t="n"/>
      <c r="B625" s="60" t="n"/>
      <c r="C625" s="68" t="n"/>
      <c r="D625" s="60" t="n"/>
      <c r="E625" s="63" t="n"/>
      <c r="F625" s="63" t="n"/>
      <c r="G625" s="62" t="str">
        <f>IF(B625="","",IFERROR(INDEX(fa_cname,MATCH(B625,fa_num,0))&amp;"",""))</f>
        <v/>
      </c>
      <c r="H625" s="59" t="str">
        <f>IF(COUNTA(A625:F625)=0,"",IF(A625="","Date manquante",IF(NOT(ISNUMBER(A625)),"Date invalide",IF(B625="","N° de facture manquant",IF(ISNA(MATCH(B625,fa_num,0)),"Facture inconnue",IF(INDEX(fa_type,MATCH(B625,fa_num,0))="Avoir","Paiement sur un avoir",IF(OR(NOT(ISNUMBER(C625)),N(C625)&lt;=0),"Montant invalide",IF(A625&lt;INDEX(fa_date,MATCH(B625,fa_num,0)),"Date antérieure à la facture",IF(SUMIF($B$6:B625,B625,$C$6:C625)&gt;INDEX(fa_ttc,MATCH(B625,fa_num,0))-N(INDEX(fa_avoirs,MATCH(B625,fa_num,0)))+0.001,"Dépasse le montant de la facture","OK")))))))))</f>
        <v/>
      </c>
    </row>
    <row r="626">
      <c r="A626" s="61" t="n"/>
      <c r="B626" s="60" t="n"/>
      <c r="C626" s="68" t="n"/>
      <c r="D626" s="60" t="n"/>
      <c r="E626" s="63" t="n"/>
      <c r="F626" s="63" t="n"/>
      <c r="G626" s="62" t="str">
        <f>IF(B626="","",IFERROR(INDEX(fa_cname,MATCH(B626,fa_num,0))&amp;"",""))</f>
        <v/>
      </c>
      <c r="H626" s="59" t="str">
        <f>IF(COUNTA(A626:F626)=0,"",IF(A626="","Date manquante",IF(NOT(ISNUMBER(A626)),"Date invalide",IF(B626="","N° de facture manquant",IF(ISNA(MATCH(B626,fa_num,0)),"Facture inconnue",IF(INDEX(fa_type,MATCH(B626,fa_num,0))="Avoir","Paiement sur un avoir",IF(OR(NOT(ISNUMBER(C626)),N(C626)&lt;=0),"Montant invalide",IF(A626&lt;INDEX(fa_date,MATCH(B626,fa_num,0)),"Date antérieure à la facture",IF(SUMIF($B$6:B626,B626,$C$6:C626)&gt;INDEX(fa_ttc,MATCH(B626,fa_num,0))-N(INDEX(fa_avoirs,MATCH(B626,fa_num,0)))+0.001,"Dépasse le montant de la facture","OK")))))))))</f>
        <v/>
      </c>
    </row>
    <row r="627">
      <c r="A627" s="61" t="n"/>
      <c r="B627" s="60" t="n"/>
      <c r="C627" s="68" t="n"/>
      <c r="D627" s="60" t="n"/>
      <c r="E627" s="63" t="n"/>
      <c r="F627" s="63" t="n"/>
      <c r="G627" s="62" t="str">
        <f>IF(B627="","",IFERROR(INDEX(fa_cname,MATCH(B627,fa_num,0))&amp;"",""))</f>
        <v/>
      </c>
      <c r="H627" s="59" t="str">
        <f>IF(COUNTA(A627:F627)=0,"",IF(A627="","Date manquante",IF(NOT(ISNUMBER(A627)),"Date invalide",IF(B627="","N° de facture manquant",IF(ISNA(MATCH(B627,fa_num,0)),"Facture inconnue",IF(INDEX(fa_type,MATCH(B627,fa_num,0))="Avoir","Paiement sur un avoir",IF(OR(NOT(ISNUMBER(C627)),N(C627)&lt;=0),"Montant invalide",IF(A627&lt;INDEX(fa_date,MATCH(B627,fa_num,0)),"Date antérieure à la facture",IF(SUMIF($B$6:B627,B627,$C$6:C627)&gt;INDEX(fa_ttc,MATCH(B627,fa_num,0))-N(INDEX(fa_avoirs,MATCH(B627,fa_num,0)))+0.001,"Dépasse le montant de la facture","OK")))))))))</f>
        <v/>
      </c>
    </row>
    <row r="628">
      <c r="A628" s="61" t="n"/>
      <c r="B628" s="60" t="n"/>
      <c r="C628" s="68" t="n"/>
      <c r="D628" s="60" t="n"/>
      <c r="E628" s="63" t="n"/>
      <c r="F628" s="63" t="n"/>
      <c r="G628" s="62" t="str">
        <f>IF(B628="","",IFERROR(INDEX(fa_cname,MATCH(B628,fa_num,0))&amp;"",""))</f>
        <v/>
      </c>
      <c r="H628" s="59" t="str">
        <f>IF(COUNTA(A628:F628)=0,"",IF(A628="","Date manquante",IF(NOT(ISNUMBER(A628)),"Date invalide",IF(B628="","N° de facture manquant",IF(ISNA(MATCH(B628,fa_num,0)),"Facture inconnue",IF(INDEX(fa_type,MATCH(B628,fa_num,0))="Avoir","Paiement sur un avoir",IF(OR(NOT(ISNUMBER(C628)),N(C628)&lt;=0),"Montant invalide",IF(A628&lt;INDEX(fa_date,MATCH(B628,fa_num,0)),"Date antérieure à la facture",IF(SUMIF($B$6:B628,B628,$C$6:C628)&gt;INDEX(fa_ttc,MATCH(B628,fa_num,0))-N(INDEX(fa_avoirs,MATCH(B628,fa_num,0)))+0.001,"Dépasse le montant de la facture","OK")))))))))</f>
        <v/>
      </c>
    </row>
    <row r="629">
      <c r="A629" s="61" t="n"/>
      <c r="B629" s="60" t="n"/>
      <c r="C629" s="68" t="n"/>
      <c r="D629" s="60" t="n"/>
      <c r="E629" s="63" t="n"/>
      <c r="F629" s="63" t="n"/>
      <c r="G629" s="62" t="str">
        <f>IF(B629="","",IFERROR(INDEX(fa_cname,MATCH(B629,fa_num,0))&amp;"",""))</f>
        <v/>
      </c>
      <c r="H629" s="59" t="str">
        <f>IF(COUNTA(A629:F629)=0,"",IF(A629="","Date manquante",IF(NOT(ISNUMBER(A629)),"Date invalide",IF(B629="","N° de facture manquant",IF(ISNA(MATCH(B629,fa_num,0)),"Facture inconnue",IF(INDEX(fa_type,MATCH(B629,fa_num,0))="Avoir","Paiement sur un avoir",IF(OR(NOT(ISNUMBER(C629)),N(C629)&lt;=0),"Montant invalide",IF(A629&lt;INDEX(fa_date,MATCH(B629,fa_num,0)),"Date antérieure à la facture",IF(SUMIF($B$6:B629,B629,$C$6:C629)&gt;INDEX(fa_ttc,MATCH(B629,fa_num,0))-N(INDEX(fa_avoirs,MATCH(B629,fa_num,0)))+0.001,"Dépasse le montant de la facture","OK")))))))))</f>
        <v/>
      </c>
    </row>
    <row r="630">
      <c r="A630" s="61" t="n"/>
      <c r="B630" s="60" t="n"/>
      <c r="C630" s="68" t="n"/>
      <c r="D630" s="60" t="n"/>
      <c r="E630" s="63" t="n"/>
      <c r="F630" s="63" t="n"/>
      <c r="G630" s="62" t="str">
        <f>IF(B630="","",IFERROR(INDEX(fa_cname,MATCH(B630,fa_num,0))&amp;"",""))</f>
        <v/>
      </c>
      <c r="H630" s="59" t="str">
        <f>IF(COUNTA(A630:F630)=0,"",IF(A630="","Date manquante",IF(NOT(ISNUMBER(A630)),"Date invalide",IF(B630="","N° de facture manquant",IF(ISNA(MATCH(B630,fa_num,0)),"Facture inconnue",IF(INDEX(fa_type,MATCH(B630,fa_num,0))="Avoir","Paiement sur un avoir",IF(OR(NOT(ISNUMBER(C630)),N(C630)&lt;=0),"Montant invalide",IF(A630&lt;INDEX(fa_date,MATCH(B630,fa_num,0)),"Date antérieure à la facture",IF(SUMIF($B$6:B630,B630,$C$6:C630)&gt;INDEX(fa_ttc,MATCH(B630,fa_num,0))-N(INDEX(fa_avoirs,MATCH(B630,fa_num,0)))+0.001,"Dépasse le montant de la facture","OK")))))))))</f>
        <v/>
      </c>
    </row>
    <row r="631">
      <c r="A631" s="61" t="n"/>
      <c r="B631" s="60" t="n"/>
      <c r="C631" s="68" t="n"/>
      <c r="D631" s="60" t="n"/>
      <c r="E631" s="63" t="n"/>
      <c r="F631" s="63" t="n"/>
      <c r="G631" s="62" t="str">
        <f>IF(B631="","",IFERROR(INDEX(fa_cname,MATCH(B631,fa_num,0))&amp;"",""))</f>
        <v/>
      </c>
      <c r="H631" s="59" t="str">
        <f>IF(COUNTA(A631:F631)=0,"",IF(A631="","Date manquante",IF(NOT(ISNUMBER(A631)),"Date invalide",IF(B631="","N° de facture manquant",IF(ISNA(MATCH(B631,fa_num,0)),"Facture inconnue",IF(INDEX(fa_type,MATCH(B631,fa_num,0))="Avoir","Paiement sur un avoir",IF(OR(NOT(ISNUMBER(C631)),N(C631)&lt;=0),"Montant invalide",IF(A631&lt;INDEX(fa_date,MATCH(B631,fa_num,0)),"Date antérieure à la facture",IF(SUMIF($B$6:B631,B631,$C$6:C631)&gt;INDEX(fa_ttc,MATCH(B631,fa_num,0))-N(INDEX(fa_avoirs,MATCH(B631,fa_num,0)))+0.001,"Dépasse le montant de la facture","OK")))))))))</f>
        <v/>
      </c>
    </row>
    <row r="632">
      <c r="A632" s="61" t="n"/>
      <c r="B632" s="60" t="n"/>
      <c r="C632" s="68" t="n"/>
      <c r="D632" s="60" t="n"/>
      <c r="E632" s="63" t="n"/>
      <c r="F632" s="63" t="n"/>
      <c r="G632" s="62" t="str">
        <f>IF(B632="","",IFERROR(INDEX(fa_cname,MATCH(B632,fa_num,0))&amp;"",""))</f>
        <v/>
      </c>
      <c r="H632" s="59" t="str">
        <f>IF(COUNTA(A632:F632)=0,"",IF(A632="","Date manquante",IF(NOT(ISNUMBER(A632)),"Date invalide",IF(B632="","N° de facture manquant",IF(ISNA(MATCH(B632,fa_num,0)),"Facture inconnue",IF(INDEX(fa_type,MATCH(B632,fa_num,0))="Avoir","Paiement sur un avoir",IF(OR(NOT(ISNUMBER(C632)),N(C632)&lt;=0),"Montant invalide",IF(A632&lt;INDEX(fa_date,MATCH(B632,fa_num,0)),"Date antérieure à la facture",IF(SUMIF($B$6:B632,B632,$C$6:C632)&gt;INDEX(fa_ttc,MATCH(B632,fa_num,0))-N(INDEX(fa_avoirs,MATCH(B632,fa_num,0)))+0.001,"Dépasse le montant de la facture","OK")))))))))</f>
        <v/>
      </c>
    </row>
    <row r="633">
      <c r="A633" s="61" t="n"/>
      <c r="B633" s="60" t="n"/>
      <c r="C633" s="68" t="n"/>
      <c r="D633" s="60" t="n"/>
      <c r="E633" s="63" t="n"/>
      <c r="F633" s="63" t="n"/>
      <c r="G633" s="62" t="str">
        <f>IF(B633="","",IFERROR(INDEX(fa_cname,MATCH(B633,fa_num,0))&amp;"",""))</f>
        <v/>
      </c>
      <c r="H633" s="59" t="str">
        <f>IF(COUNTA(A633:F633)=0,"",IF(A633="","Date manquante",IF(NOT(ISNUMBER(A633)),"Date invalide",IF(B633="","N° de facture manquant",IF(ISNA(MATCH(B633,fa_num,0)),"Facture inconnue",IF(INDEX(fa_type,MATCH(B633,fa_num,0))="Avoir","Paiement sur un avoir",IF(OR(NOT(ISNUMBER(C633)),N(C633)&lt;=0),"Montant invalide",IF(A633&lt;INDEX(fa_date,MATCH(B633,fa_num,0)),"Date antérieure à la facture",IF(SUMIF($B$6:B633,B633,$C$6:C633)&gt;INDEX(fa_ttc,MATCH(B633,fa_num,0))-N(INDEX(fa_avoirs,MATCH(B633,fa_num,0)))+0.001,"Dépasse le montant de la facture","OK")))))))))</f>
        <v/>
      </c>
    </row>
    <row r="634">
      <c r="A634" s="61" t="n"/>
      <c r="B634" s="60" t="n"/>
      <c r="C634" s="68" t="n"/>
      <c r="D634" s="60" t="n"/>
      <c r="E634" s="63" t="n"/>
      <c r="F634" s="63" t="n"/>
      <c r="G634" s="62" t="str">
        <f>IF(B634="","",IFERROR(INDEX(fa_cname,MATCH(B634,fa_num,0))&amp;"",""))</f>
        <v/>
      </c>
      <c r="H634" s="59" t="str">
        <f>IF(COUNTA(A634:F634)=0,"",IF(A634="","Date manquante",IF(NOT(ISNUMBER(A634)),"Date invalide",IF(B634="","N° de facture manquant",IF(ISNA(MATCH(B634,fa_num,0)),"Facture inconnue",IF(INDEX(fa_type,MATCH(B634,fa_num,0))="Avoir","Paiement sur un avoir",IF(OR(NOT(ISNUMBER(C634)),N(C634)&lt;=0),"Montant invalide",IF(A634&lt;INDEX(fa_date,MATCH(B634,fa_num,0)),"Date antérieure à la facture",IF(SUMIF($B$6:B634,B634,$C$6:C634)&gt;INDEX(fa_ttc,MATCH(B634,fa_num,0))-N(INDEX(fa_avoirs,MATCH(B634,fa_num,0)))+0.001,"Dépasse le montant de la facture","OK")))))))))</f>
        <v/>
      </c>
    </row>
    <row r="635">
      <c r="A635" s="61" t="n"/>
      <c r="B635" s="60" t="n"/>
      <c r="C635" s="68" t="n"/>
      <c r="D635" s="60" t="n"/>
      <c r="E635" s="63" t="n"/>
      <c r="F635" s="63" t="n"/>
      <c r="G635" s="62" t="str">
        <f>IF(B635="","",IFERROR(INDEX(fa_cname,MATCH(B635,fa_num,0))&amp;"",""))</f>
        <v/>
      </c>
      <c r="H635" s="59" t="str">
        <f>IF(COUNTA(A635:F635)=0,"",IF(A635="","Date manquante",IF(NOT(ISNUMBER(A635)),"Date invalide",IF(B635="","N° de facture manquant",IF(ISNA(MATCH(B635,fa_num,0)),"Facture inconnue",IF(INDEX(fa_type,MATCH(B635,fa_num,0))="Avoir","Paiement sur un avoir",IF(OR(NOT(ISNUMBER(C635)),N(C635)&lt;=0),"Montant invalide",IF(A635&lt;INDEX(fa_date,MATCH(B635,fa_num,0)),"Date antérieure à la facture",IF(SUMIF($B$6:B635,B635,$C$6:C635)&gt;INDEX(fa_ttc,MATCH(B635,fa_num,0))-N(INDEX(fa_avoirs,MATCH(B635,fa_num,0)))+0.001,"Dépasse le montant de la facture","OK")))))))))</f>
        <v/>
      </c>
    </row>
    <row r="636">
      <c r="A636" s="61" t="n"/>
      <c r="B636" s="60" t="n"/>
      <c r="C636" s="68" t="n"/>
      <c r="D636" s="60" t="n"/>
      <c r="E636" s="63" t="n"/>
      <c r="F636" s="63" t="n"/>
      <c r="G636" s="62" t="str">
        <f>IF(B636="","",IFERROR(INDEX(fa_cname,MATCH(B636,fa_num,0))&amp;"",""))</f>
        <v/>
      </c>
      <c r="H636" s="59" t="str">
        <f>IF(COUNTA(A636:F636)=0,"",IF(A636="","Date manquante",IF(NOT(ISNUMBER(A636)),"Date invalide",IF(B636="","N° de facture manquant",IF(ISNA(MATCH(B636,fa_num,0)),"Facture inconnue",IF(INDEX(fa_type,MATCH(B636,fa_num,0))="Avoir","Paiement sur un avoir",IF(OR(NOT(ISNUMBER(C636)),N(C636)&lt;=0),"Montant invalide",IF(A636&lt;INDEX(fa_date,MATCH(B636,fa_num,0)),"Date antérieure à la facture",IF(SUMIF($B$6:B636,B636,$C$6:C636)&gt;INDEX(fa_ttc,MATCH(B636,fa_num,0))-N(INDEX(fa_avoirs,MATCH(B636,fa_num,0)))+0.001,"Dépasse le montant de la facture","OK")))))))))</f>
        <v/>
      </c>
    </row>
    <row r="637">
      <c r="A637" s="61" t="n"/>
      <c r="B637" s="60" t="n"/>
      <c r="C637" s="68" t="n"/>
      <c r="D637" s="60" t="n"/>
      <c r="E637" s="63" t="n"/>
      <c r="F637" s="63" t="n"/>
      <c r="G637" s="62" t="str">
        <f>IF(B637="","",IFERROR(INDEX(fa_cname,MATCH(B637,fa_num,0))&amp;"",""))</f>
        <v/>
      </c>
      <c r="H637" s="59" t="str">
        <f>IF(COUNTA(A637:F637)=0,"",IF(A637="","Date manquante",IF(NOT(ISNUMBER(A637)),"Date invalide",IF(B637="","N° de facture manquant",IF(ISNA(MATCH(B637,fa_num,0)),"Facture inconnue",IF(INDEX(fa_type,MATCH(B637,fa_num,0))="Avoir","Paiement sur un avoir",IF(OR(NOT(ISNUMBER(C637)),N(C637)&lt;=0),"Montant invalide",IF(A637&lt;INDEX(fa_date,MATCH(B637,fa_num,0)),"Date antérieure à la facture",IF(SUMIF($B$6:B637,B637,$C$6:C637)&gt;INDEX(fa_ttc,MATCH(B637,fa_num,0))-N(INDEX(fa_avoirs,MATCH(B637,fa_num,0)))+0.001,"Dépasse le montant de la facture","OK")))))))))</f>
        <v/>
      </c>
    </row>
    <row r="638">
      <c r="A638" s="61" t="n"/>
      <c r="B638" s="60" t="n"/>
      <c r="C638" s="68" t="n"/>
      <c r="D638" s="60" t="n"/>
      <c r="E638" s="63" t="n"/>
      <c r="F638" s="63" t="n"/>
      <c r="G638" s="62" t="str">
        <f>IF(B638="","",IFERROR(INDEX(fa_cname,MATCH(B638,fa_num,0))&amp;"",""))</f>
        <v/>
      </c>
      <c r="H638" s="59" t="str">
        <f>IF(COUNTA(A638:F638)=0,"",IF(A638="","Date manquante",IF(NOT(ISNUMBER(A638)),"Date invalide",IF(B638="","N° de facture manquant",IF(ISNA(MATCH(B638,fa_num,0)),"Facture inconnue",IF(INDEX(fa_type,MATCH(B638,fa_num,0))="Avoir","Paiement sur un avoir",IF(OR(NOT(ISNUMBER(C638)),N(C638)&lt;=0),"Montant invalide",IF(A638&lt;INDEX(fa_date,MATCH(B638,fa_num,0)),"Date antérieure à la facture",IF(SUMIF($B$6:B638,B638,$C$6:C638)&gt;INDEX(fa_ttc,MATCH(B638,fa_num,0))-N(INDEX(fa_avoirs,MATCH(B638,fa_num,0)))+0.001,"Dépasse le montant de la facture","OK")))))))))</f>
        <v/>
      </c>
    </row>
    <row r="639">
      <c r="A639" s="61" t="n"/>
      <c r="B639" s="60" t="n"/>
      <c r="C639" s="68" t="n"/>
      <c r="D639" s="60" t="n"/>
      <c r="E639" s="63" t="n"/>
      <c r="F639" s="63" t="n"/>
      <c r="G639" s="62" t="str">
        <f>IF(B639="","",IFERROR(INDEX(fa_cname,MATCH(B639,fa_num,0))&amp;"",""))</f>
        <v/>
      </c>
      <c r="H639" s="59" t="str">
        <f>IF(COUNTA(A639:F639)=0,"",IF(A639="","Date manquante",IF(NOT(ISNUMBER(A639)),"Date invalide",IF(B639="","N° de facture manquant",IF(ISNA(MATCH(B639,fa_num,0)),"Facture inconnue",IF(INDEX(fa_type,MATCH(B639,fa_num,0))="Avoir","Paiement sur un avoir",IF(OR(NOT(ISNUMBER(C639)),N(C639)&lt;=0),"Montant invalide",IF(A639&lt;INDEX(fa_date,MATCH(B639,fa_num,0)),"Date antérieure à la facture",IF(SUMIF($B$6:B639,B639,$C$6:C639)&gt;INDEX(fa_ttc,MATCH(B639,fa_num,0))-N(INDEX(fa_avoirs,MATCH(B639,fa_num,0)))+0.001,"Dépasse le montant de la facture","OK")))))))))</f>
        <v/>
      </c>
    </row>
    <row r="640">
      <c r="A640" s="61" t="n"/>
      <c r="B640" s="60" t="n"/>
      <c r="C640" s="68" t="n"/>
      <c r="D640" s="60" t="n"/>
      <c r="E640" s="63" t="n"/>
      <c r="F640" s="63" t="n"/>
      <c r="G640" s="62" t="str">
        <f>IF(B640="","",IFERROR(INDEX(fa_cname,MATCH(B640,fa_num,0))&amp;"",""))</f>
        <v/>
      </c>
      <c r="H640" s="59" t="str">
        <f>IF(COUNTA(A640:F640)=0,"",IF(A640="","Date manquante",IF(NOT(ISNUMBER(A640)),"Date invalide",IF(B640="","N° de facture manquant",IF(ISNA(MATCH(B640,fa_num,0)),"Facture inconnue",IF(INDEX(fa_type,MATCH(B640,fa_num,0))="Avoir","Paiement sur un avoir",IF(OR(NOT(ISNUMBER(C640)),N(C640)&lt;=0),"Montant invalide",IF(A640&lt;INDEX(fa_date,MATCH(B640,fa_num,0)),"Date antérieure à la facture",IF(SUMIF($B$6:B640,B640,$C$6:C640)&gt;INDEX(fa_ttc,MATCH(B640,fa_num,0))-N(INDEX(fa_avoirs,MATCH(B640,fa_num,0)))+0.001,"Dépasse le montant de la facture","OK")))))))))</f>
        <v/>
      </c>
    </row>
    <row r="641">
      <c r="A641" s="61" t="n"/>
      <c r="B641" s="60" t="n"/>
      <c r="C641" s="68" t="n"/>
      <c r="D641" s="60" t="n"/>
      <c r="E641" s="63" t="n"/>
      <c r="F641" s="63" t="n"/>
      <c r="G641" s="62" t="str">
        <f>IF(B641="","",IFERROR(INDEX(fa_cname,MATCH(B641,fa_num,0))&amp;"",""))</f>
        <v/>
      </c>
      <c r="H641" s="59" t="str">
        <f>IF(COUNTA(A641:F641)=0,"",IF(A641="","Date manquante",IF(NOT(ISNUMBER(A641)),"Date invalide",IF(B641="","N° de facture manquant",IF(ISNA(MATCH(B641,fa_num,0)),"Facture inconnue",IF(INDEX(fa_type,MATCH(B641,fa_num,0))="Avoir","Paiement sur un avoir",IF(OR(NOT(ISNUMBER(C641)),N(C641)&lt;=0),"Montant invalide",IF(A641&lt;INDEX(fa_date,MATCH(B641,fa_num,0)),"Date antérieure à la facture",IF(SUMIF($B$6:B641,B641,$C$6:C641)&gt;INDEX(fa_ttc,MATCH(B641,fa_num,0))-N(INDEX(fa_avoirs,MATCH(B641,fa_num,0)))+0.001,"Dépasse le montant de la facture","OK")))))))))</f>
        <v/>
      </c>
    </row>
    <row r="642">
      <c r="A642" s="61" t="n"/>
      <c r="B642" s="60" t="n"/>
      <c r="C642" s="68" t="n"/>
      <c r="D642" s="60" t="n"/>
      <c r="E642" s="63" t="n"/>
      <c r="F642" s="63" t="n"/>
      <c r="G642" s="62" t="str">
        <f>IF(B642="","",IFERROR(INDEX(fa_cname,MATCH(B642,fa_num,0))&amp;"",""))</f>
        <v/>
      </c>
      <c r="H642" s="59" t="str">
        <f>IF(COUNTA(A642:F642)=0,"",IF(A642="","Date manquante",IF(NOT(ISNUMBER(A642)),"Date invalide",IF(B642="","N° de facture manquant",IF(ISNA(MATCH(B642,fa_num,0)),"Facture inconnue",IF(INDEX(fa_type,MATCH(B642,fa_num,0))="Avoir","Paiement sur un avoir",IF(OR(NOT(ISNUMBER(C642)),N(C642)&lt;=0),"Montant invalide",IF(A642&lt;INDEX(fa_date,MATCH(B642,fa_num,0)),"Date antérieure à la facture",IF(SUMIF($B$6:B642,B642,$C$6:C642)&gt;INDEX(fa_ttc,MATCH(B642,fa_num,0))-N(INDEX(fa_avoirs,MATCH(B642,fa_num,0)))+0.001,"Dépasse le montant de la facture","OK")))))))))</f>
        <v/>
      </c>
    </row>
    <row r="643">
      <c r="A643" s="61" t="n"/>
      <c r="B643" s="60" t="n"/>
      <c r="C643" s="68" t="n"/>
      <c r="D643" s="60" t="n"/>
      <c r="E643" s="63" t="n"/>
      <c r="F643" s="63" t="n"/>
      <c r="G643" s="62" t="str">
        <f>IF(B643="","",IFERROR(INDEX(fa_cname,MATCH(B643,fa_num,0))&amp;"",""))</f>
        <v/>
      </c>
      <c r="H643" s="59" t="str">
        <f>IF(COUNTA(A643:F643)=0,"",IF(A643="","Date manquante",IF(NOT(ISNUMBER(A643)),"Date invalide",IF(B643="","N° de facture manquant",IF(ISNA(MATCH(B643,fa_num,0)),"Facture inconnue",IF(INDEX(fa_type,MATCH(B643,fa_num,0))="Avoir","Paiement sur un avoir",IF(OR(NOT(ISNUMBER(C643)),N(C643)&lt;=0),"Montant invalide",IF(A643&lt;INDEX(fa_date,MATCH(B643,fa_num,0)),"Date antérieure à la facture",IF(SUMIF($B$6:B643,B643,$C$6:C643)&gt;INDEX(fa_ttc,MATCH(B643,fa_num,0))-N(INDEX(fa_avoirs,MATCH(B643,fa_num,0)))+0.001,"Dépasse le montant de la facture","OK")))))))))</f>
        <v/>
      </c>
    </row>
    <row r="644">
      <c r="A644" s="61" t="n"/>
      <c r="B644" s="60" t="n"/>
      <c r="C644" s="68" t="n"/>
      <c r="D644" s="60" t="n"/>
      <c r="E644" s="63" t="n"/>
      <c r="F644" s="63" t="n"/>
      <c r="G644" s="62" t="str">
        <f>IF(B644="","",IFERROR(INDEX(fa_cname,MATCH(B644,fa_num,0))&amp;"",""))</f>
        <v/>
      </c>
      <c r="H644" s="59" t="str">
        <f>IF(COUNTA(A644:F644)=0,"",IF(A644="","Date manquante",IF(NOT(ISNUMBER(A644)),"Date invalide",IF(B644="","N° de facture manquant",IF(ISNA(MATCH(B644,fa_num,0)),"Facture inconnue",IF(INDEX(fa_type,MATCH(B644,fa_num,0))="Avoir","Paiement sur un avoir",IF(OR(NOT(ISNUMBER(C644)),N(C644)&lt;=0),"Montant invalide",IF(A644&lt;INDEX(fa_date,MATCH(B644,fa_num,0)),"Date antérieure à la facture",IF(SUMIF($B$6:B644,B644,$C$6:C644)&gt;INDEX(fa_ttc,MATCH(B644,fa_num,0))-N(INDEX(fa_avoirs,MATCH(B644,fa_num,0)))+0.001,"Dépasse le montant de la facture","OK")))))))))</f>
        <v/>
      </c>
    </row>
    <row r="645">
      <c r="A645" s="61" t="n"/>
      <c r="B645" s="60" t="n"/>
      <c r="C645" s="68" t="n"/>
      <c r="D645" s="60" t="n"/>
      <c r="E645" s="63" t="n"/>
      <c r="F645" s="63" t="n"/>
      <c r="G645" s="62" t="str">
        <f>IF(B645="","",IFERROR(INDEX(fa_cname,MATCH(B645,fa_num,0))&amp;"",""))</f>
        <v/>
      </c>
      <c r="H645" s="59" t="str">
        <f>IF(COUNTA(A645:F645)=0,"",IF(A645="","Date manquante",IF(NOT(ISNUMBER(A645)),"Date invalide",IF(B645="","N° de facture manquant",IF(ISNA(MATCH(B645,fa_num,0)),"Facture inconnue",IF(INDEX(fa_type,MATCH(B645,fa_num,0))="Avoir","Paiement sur un avoir",IF(OR(NOT(ISNUMBER(C645)),N(C645)&lt;=0),"Montant invalide",IF(A645&lt;INDEX(fa_date,MATCH(B645,fa_num,0)),"Date antérieure à la facture",IF(SUMIF($B$6:B645,B645,$C$6:C645)&gt;INDEX(fa_ttc,MATCH(B645,fa_num,0))-N(INDEX(fa_avoirs,MATCH(B645,fa_num,0)))+0.001,"Dépasse le montant de la facture","OK")))))))))</f>
        <v/>
      </c>
    </row>
    <row r="646">
      <c r="A646" s="61" t="n"/>
      <c r="B646" s="60" t="n"/>
      <c r="C646" s="68" t="n"/>
      <c r="D646" s="60" t="n"/>
      <c r="E646" s="63" t="n"/>
      <c r="F646" s="63" t="n"/>
      <c r="G646" s="62" t="str">
        <f>IF(B646="","",IFERROR(INDEX(fa_cname,MATCH(B646,fa_num,0))&amp;"",""))</f>
        <v/>
      </c>
      <c r="H646" s="59" t="str">
        <f>IF(COUNTA(A646:F646)=0,"",IF(A646="","Date manquante",IF(NOT(ISNUMBER(A646)),"Date invalide",IF(B646="","N° de facture manquant",IF(ISNA(MATCH(B646,fa_num,0)),"Facture inconnue",IF(INDEX(fa_type,MATCH(B646,fa_num,0))="Avoir","Paiement sur un avoir",IF(OR(NOT(ISNUMBER(C646)),N(C646)&lt;=0),"Montant invalide",IF(A646&lt;INDEX(fa_date,MATCH(B646,fa_num,0)),"Date antérieure à la facture",IF(SUMIF($B$6:B646,B646,$C$6:C646)&gt;INDEX(fa_ttc,MATCH(B646,fa_num,0))-N(INDEX(fa_avoirs,MATCH(B646,fa_num,0)))+0.001,"Dépasse le montant de la facture","OK")))))))))</f>
        <v/>
      </c>
    </row>
    <row r="647">
      <c r="A647" s="61" t="n"/>
      <c r="B647" s="60" t="n"/>
      <c r="C647" s="68" t="n"/>
      <c r="D647" s="60" t="n"/>
      <c r="E647" s="63" t="n"/>
      <c r="F647" s="63" t="n"/>
      <c r="G647" s="62" t="str">
        <f>IF(B647="","",IFERROR(INDEX(fa_cname,MATCH(B647,fa_num,0))&amp;"",""))</f>
        <v/>
      </c>
      <c r="H647" s="59" t="str">
        <f>IF(COUNTA(A647:F647)=0,"",IF(A647="","Date manquante",IF(NOT(ISNUMBER(A647)),"Date invalide",IF(B647="","N° de facture manquant",IF(ISNA(MATCH(B647,fa_num,0)),"Facture inconnue",IF(INDEX(fa_type,MATCH(B647,fa_num,0))="Avoir","Paiement sur un avoir",IF(OR(NOT(ISNUMBER(C647)),N(C647)&lt;=0),"Montant invalide",IF(A647&lt;INDEX(fa_date,MATCH(B647,fa_num,0)),"Date antérieure à la facture",IF(SUMIF($B$6:B647,B647,$C$6:C647)&gt;INDEX(fa_ttc,MATCH(B647,fa_num,0))-N(INDEX(fa_avoirs,MATCH(B647,fa_num,0)))+0.001,"Dépasse le montant de la facture","OK")))))))))</f>
        <v/>
      </c>
    </row>
    <row r="648">
      <c r="A648" s="61" t="n"/>
      <c r="B648" s="60" t="n"/>
      <c r="C648" s="68" t="n"/>
      <c r="D648" s="60" t="n"/>
      <c r="E648" s="63" t="n"/>
      <c r="F648" s="63" t="n"/>
      <c r="G648" s="62" t="str">
        <f>IF(B648="","",IFERROR(INDEX(fa_cname,MATCH(B648,fa_num,0))&amp;"",""))</f>
        <v/>
      </c>
      <c r="H648" s="59" t="str">
        <f>IF(COUNTA(A648:F648)=0,"",IF(A648="","Date manquante",IF(NOT(ISNUMBER(A648)),"Date invalide",IF(B648="","N° de facture manquant",IF(ISNA(MATCH(B648,fa_num,0)),"Facture inconnue",IF(INDEX(fa_type,MATCH(B648,fa_num,0))="Avoir","Paiement sur un avoir",IF(OR(NOT(ISNUMBER(C648)),N(C648)&lt;=0),"Montant invalide",IF(A648&lt;INDEX(fa_date,MATCH(B648,fa_num,0)),"Date antérieure à la facture",IF(SUMIF($B$6:B648,B648,$C$6:C648)&gt;INDEX(fa_ttc,MATCH(B648,fa_num,0))-N(INDEX(fa_avoirs,MATCH(B648,fa_num,0)))+0.001,"Dépasse le montant de la facture","OK")))))))))</f>
        <v/>
      </c>
    </row>
    <row r="649">
      <c r="A649" s="61" t="n"/>
      <c r="B649" s="60" t="n"/>
      <c r="C649" s="68" t="n"/>
      <c r="D649" s="60" t="n"/>
      <c r="E649" s="63" t="n"/>
      <c r="F649" s="63" t="n"/>
      <c r="G649" s="62" t="str">
        <f>IF(B649="","",IFERROR(INDEX(fa_cname,MATCH(B649,fa_num,0))&amp;"",""))</f>
        <v/>
      </c>
      <c r="H649" s="59" t="str">
        <f>IF(COUNTA(A649:F649)=0,"",IF(A649="","Date manquante",IF(NOT(ISNUMBER(A649)),"Date invalide",IF(B649="","N° de facture manquant",IF(ISNA(MATCH(B649,fa_num,0)),"Facture inconnue",IF(INDEX(fa_type,MATCH(B649,fa_num,0))="Avoir","Paiement sur un avoir",IF(OR(NOT(ISNUMBER(C649)),N(C649)&lt;=0),"Montant invalide",IF(A649&lt;INDEX(fa_date,MATCH(B649,fa_num,0)),"Date antérieure à la facture",IF(SUMIF($B$6:B649,B649,$C$6:C649)&gt;INDEX(fa_ttc,MATCH(B649,fa_num,0))-N(INDEX(fa_avoirs,MATCH(B649,fa_num,0)))+0.001,"Dépasse le montant de la facture","OK")))))))))</f>
        <v/>
      </c>
    </row>
    <row r="650">
      <c r="A650" s="61" t="n"/>
      <c r="B650" s="60" t="n"/>
      <c r="C650" s="68" t="n"/>
      <c r="D650" s="60" t="n"/>
      <c r="E650" s="63" t="n"/>
      <c r="F650" s="63" t="n"/>
      <c r="G650" s="62" t="str">
        <f>IF(B650="","",IFERROR(INDEX(fa_cname,MATCH(B650,fa_num,0))&amp;"",""))</f>
        <v/>
      </c>
      <c r="H650" s="59" t="str">
        <f>IF(COUNTA(A650:F650)=0,"",IF(A650="","Date manquante",IF(NOT(ISNUMBER(A650)),"Date invalide",IF(B650="","N° de facture manquant",IF(ISNA(MATCH(B650,fa_num,0)),"Facture inconnue",IF(INDEX(fa_type,MATCH(B650,fa_num,0))="Avoir","Paiement sur un avoir",IF(OR(NOT(ISNUMBER(C650)),N(C650)&lt;=0),"Montant invalide",IF(A650&lt;INDEX(fa_date,MATCH(B650,fa_num,0)),"Date antérieure à la facture",IF(SUMIF($B$6:B650,B650,$C$6:C650)&gt;INDEX(fa_ttc,MATCH(B650,fa_num,0))-N(INDEX(fa_avoirs,MATCH(B650,fa_num,0)))+0.001,"Dépasse le montant de la facture","OK")))))))))</f>
        <v/>
      </c>
    </row>
    <row r="651">
      <c r="A651" s="61" t="n"/>
      <c r="B651" s="60" t="n"/>
      <c r="C651" s="68" t="n"/>
      <c r="D651" s="60" t="n"/>
      <c r="E651" s="63" t="n"/>
      <c r="F651" s="63" t="n"/>
      <c r="G651" s="62" t="str">
        <f>IF(B651="","",IFERROR(INDEX(fa_cname,MATCH(B651,fa_num,0))&amp;"",""))</f>
        <v/>
      </c>
      <c r="H651" s="59" t="str">
        <f>IF(COUNTA(A651:F651)=0,"",IF(A651="","Date manquante",IF(NOT(ISNUMBER(A651)),"Date invalide",IF(B651="","N° de facture manquant",IF(ISNA(MATCH(B651,fa_num,0)),"Facture inconnue",IF(INDEX(fa_type,MATCH(B651,fa_num,0))="Avoir","Paiement sur un avoir",IF(OR(NOT(ISNUMBER(C651)),N(C651)&lt;=0),"Montant invalide",IF(A651&lt;INDEX(fa_date,MATCH(B651,fa_num,0)),"Date antérieure à la facture",IF(SUMIF($B$6:B651,B651,$C$6:C651)&gt;INDEX(fa_ttc,MATCH(B651,fa_num,0))-N(INDEX(fa_avoirs,MATCH(B651,fa_num,0)))+0.001,"Dépasse le montant de la facture","OK")))))))))</f>
        <v/>
      </c>
    </row>
    <row r="652">
      <c r="A652" s="61" t="n"/>
      <c r="B652" s="60" t="n"/>
      <c r="C652" s="68" t="n"/>
      <c r="D652" s="60" t="n"/>
      <c r="E652" s="63" t="n"/>
      <c r="F652" s="63" t="n"/>
      <c r="G652" s="62" t="str">
        <f>IF(B652="","",IFERROR(INDEX(fa_cname,MATCH(B652,fa_num,0))&amp;"",""))</f>
        <v/>
      </c>
      <c r="H652" s="59" t="str">
        <f>IF(COUNTA(A652:F652)=0,"",IF(A652="","Date manquante",IF(NOT(ISNUMBER(A652)),"Date invalide",IF(B652="","N° de facture manquant",IF(ISNA(MATCH(B652,fa_num,0)),"Facture inconnue",IF(INDEX(fa_type,MATCH(B652,fa_num,0))="Avoir","Paiement sur un avoir",IF(OR(NOT(ISNUMBER(C652)),N(C652)&lt;=0),"Montant invalide",IF(A652&lt;INDEX(fa_date,MATCH(B652,fa_num,0)),"Date antérieure à la facture",IF(SUMIF($B$6:B652,B652,$C$6:C652)&gt;INDEX(fa_ttc,MATCH(B652,fa_num,0))-N(INDEX(fa_avoirs,MATCH(B652,fa_num,0)))+0.001,"Dépasse le montant de la facture","OK")))))))))</f>
        <v/>
      </c>
    </row>
    <row r="653">
      <c r="A653" s="61" t="n"/>
      <c r="B653" s="60" t="n"/>
      <c r="C653" s="68" t="n"/>
      <c r="D653" s="60" t="n"/>
      <c r="E653" s="63" t="n"/>
      <c r="F653" s="63" t="n"/>
      <c r="G653" s="62" t="str">
        <f>IF(B653="","",IFERROR(INDEX(fa_cname,MATCH(B653,fa_num,0))&amp;"",""))</f>
        <v/>
      </c>
      <c r="H653" s="59" t="str">
        <f>IF(COUNTA(A653:F653)=0,"",IF(A653="","Date manquante",IF(NOT(ISNUMBER(A653)),"Date invalide",IF(B653="","N° de facture manquant",IF(ISNA(MATCH(B653,fa_num,0)),"Facture inconnue",IF(INDEX(fa_type,MATCH(B653,fa_num,0))="Avoir","Paiement sur un avoir",IF(OR(NOT(ISNUMBER(C653)),N(C653)&lt;=0),"Montant invalide",IF(A653&lt;INDEX(fa_date,MATCH(B653,fa_num,0)),"Date antérieure à la facture",IF(SUMIF($B$6:B653,B653,$C$6:C653)&gt;INDEX(fa_ttc,MATCH(B653,fa_num,0))-N(INDEX(fa_avoirs,MATCH(B653,fa_num,0)))+0.001,"Dépasse le montant de la facture","OK")))))))))</f>
        <v/>
      </c>
    </row>
    <row r="654">
      <c r="A654" s="61" t="n"/>
      <c r="B654" s="60" t="n"/>
      <c r="C654" s="68" t="n"/>
      <c r="D654" s="60" t="n"/>
      <c r="E654" s="63" t="n"/>
      <c r="F654" s="63" t="n"/>
      <c r="G654" s="62" t="str">
        <f>IF(B654="","",IFERROR(INDEX(fa_cname,MATCH(B654,fa_num,0))&amp;"",""))</f>
        <v/>
      </c>
      <c r="H654" s="59" t="str">
        <f>IF(COUNTA(A654:F654)=0,"",IF(A654="","Date manquante",IF(NOT(ISNUMBER(A654)),"Date invalide",IF(B654="","N° de facture manquant",IF(ISNA(MATCH(B654,fa_num,0)),"Facture inconnue",IF(INDEX(fa_type,MATCH(B654,fa_num,0))="Avoir","Paiement sur un avoir",IF(OR(NOT(ISNUMBER(C654)),N(C654)&lt;=0),"Montant invalide",IF(A654&lt;INDEX(fa_date,MATCH(B654,fa_num,0)),"Date antérieure à la facture",IF(SUMIF($B$6:B654,B654,$C$6:C654)&gt;INDEX(fa_ttc,MATCH(B654,fa_num,0))-N(INDEX(fa_avoirs,MATCH(B654,fa_num,0)))+0.001,"Dépasse le montant de la facture","OK")))))))))</f>
        <v/>
      </c>
    </row>
    <row r="655">
      <c r="A655" s="61" t="n"/>
      <c r="B655" s="60" t="n"/>
      <c r="C655" s="68" t="n"/>
      <c r="D655" s="60" t="n"/>
      <c r="E655" s="63" t="n"/>
      <c r="F655" s="63" t="n"/>
      <c r="G655" s="62" t="str">
        <f>IF(B655="","",IFERROR(INDEX(fa_cname,MATCH(B655,fa_num,0))&amp;"",""))</f>
        <v/>
      </c>
      <c r="H655" s="59" t="str">
        <f>IF(COUNTA(A655:F655)=0,"",IF(A655="","Date manquante",IF(NOT(ISNUMBER(A655)),"Date invalide",IF(B655="","N° de facture manquant",IF(ISNA(MATCH(B655,fa_num,0)),"Facture inconnue",IF(INDEX(fa_type,MATCH(B655,fa_num,0))="Avoir","Paiement sur un avoir",IF(OR(NOT(ISNUMBER(C655)),N(C655)&lt;=0),"Montant invalide",IF(A655&lt;INDEX(fa_date,MATCH(B655,fa_num,0)),"Date antérieure à la facture",IF(SUMIF($B$6:B655,B655,$C$6:C655)&gt;INDEX(fa_ttc,MATCH(B655,fa_num,0))-N(INDEX(fa_avoirs,MATCH(B655,fa_num,0)))+0.001,"Dépasse le montant de la facture","OK")))))))))</f>
        <v/>
      </c>
    </row>
    <row r="656">
      <c r="A656" s="61" t="n"/>
      <c r="B656" s="60" t="n"/>
      <c r="C656" s="68" t="n"/>
      <c r="D656" s="60" t="n"/>
      <c r="E656" s="63" t="n"/>
      <c r="F656" s="63" t="n"/>
      <c r="G656" s="62" t="str">
        <f>IF(B656="","",IFERROR(INDEX(fa_cname,MATCH(B656,fa_num,0))&amp;"",""))</f>
        <v/>
      </c>
      <c r="H656" s="59" t="str">
        <f>IF(COUNTA(A656:F656)=0,"",IF(A656="","Date manquante",IF(NOT(ISNUMBER(A656)),"Date invalide",IF(B656="","N° de facture manquant",IF(ISNA(MATCH(B656,fa_num,0)),"Facture inconnue",IF(INDEX(fa_type,MATCH(B656,fa_num,0))="Avoir","Paiement sur un avoir",IF(OR(NOT(ISNUMBER(C656)),N(C656)&lt;=0),"Montant invalide",IF(A656&lt;INDEX(fa_date,MATCH(B656,fa_num,0)),"Date antérieure à la facture",IF(SUMIF($B$6:B656,B656,$C$6:C656)&gt;INDEX(fa_ttc,MATCH(B656,fa_num,0))-N(INDEX(fa_avoirs,MATCH(B656,fa_num,0)))+0.001,"Dépasse le montant de la facture","OK")))))))))</f>
        <v/>
      </c>
    </row>
    <row r="657">
      <c r="A657" s="61" t="n"/>
      <c r="B657" s="60" t="n"/>
      <c r="C657" s="68" t="n"/>
      <c r="D657" s="60" t="n"/>
      <c r="E657" s="63" t="n"/>
      <c r="F657" s="63" t="n"/>
      <c r="G657" s="62" t="str">
        <f>IF(B657="","",IFERROR(INDEX(fa_cname,MATCH(B657,fa_num,0))&amp;"",""))</f>
        <v/>
      </c>
      <c r="H657" s="59" t="str">
        <f>IF(COUNTA(A657:F657)=0,"",IF(A657="","Date manquante",IF(NOT(ISNUMBER(A657)),"Date invalide",IF(B657="","N° de facture manquant",IF(ISNA(MATCH(B657,fa_num,0)),"Facture inconnue",IF(INDEX(fa_type,MATCH(B657,fa_num,0))="Avoir","Paiement sur un avoir",IF(OR(NOT(ISNUMBER(C657)),N(C657)&lt;=0),"Montant invalide",IF(A657&lt;INDEX(fa_date,MATCH(B657,fa_num,0)),"Date antérieure à la facture",IF(SUMIF($B$6:B657,B657,$C$6:C657)&gt;INDEX(fa_ttc,MATCH(B657,fa_num,0))-N(INDEX(fa_avoirs,MATCH(B657,fa_num,0)))+0.001,"Dépasse le montant de la facture","OK")))))))))</f>
        <v/>
      </c>
    </row>
    <row r="658">
      <c r="A658" s="61" t="n"/>
      <c r="B658" s="60" t="n"/>
      <c r="C658" s="68" t="n"/>
      <c r="D658" s="60" t="n"/>
      <c r="E658" s="63" t="n"/>
      <c r="F658" s="63" t="n"/>
      <c r="G658" s="62" t="str">
        <f>IF(B658="","",IFERROR(INDEX(fa_cname,MATCH(B658,fa_num,0))&amp;"",""))</f>
        <v/>
      </c>
      <c r="H658" s="59" t="str">
        <f>IF(COUNTA(A658:F658)=0,"",IF(A658="","Date manquante",IF(NOT(ISNUMBER(A658)),"Date invalide",IF(B658="","N° de facture manquant",IF(ISNA(MATCH(B658,fa_num,0)),"Facture inconnue",IF(INDEX(fa_type,MATCH(B658,fa_num,0))="Avoir","Paiement sur un avoir",IF(OR(NOT(ISNUMBER(C658)),N(C658)&lt;=0),"Montant invalide",IF(A658&lt;INDEX(fa_date,MATCH(B658,fa_num,0)),"Date antérieure à la facture",IF(SUMIF($B$6:B658,B658,$C$6:C658)&gt;INDEX(fa_ttc,MATCH(B658,fa_num,0))-N(INDEX(fa_avoirs,MATCH(B658,fa_num,0)))+0.001,"Dépasse le montant de la facture","OK")))))))))</f>
        <v/>
      </c>
    </row>
    <row r="659">
      <c r="A659" s="61" t="n"/>
      <c r="B659" s="60" t="n"/>
      <c r="C659" s="68" t="n"/>
      <c r="D659" s="60" t="n"/>
      <c r="E659" s="63" t="n"/>
      <c r="F659" s="63" t="n"/>
      <c r="G659" s="62" t="str">
        <f>IF(B659="","",IFERROR(INDEX(fa_cname,MATCH(B659,fa_num,0))&amp;"",""))</f>
        <v/>
      </c>
      <c r="H659" s="59" t="str">
        <f>IF(COUNTA(A659:F659)=0,"",IF(A659="","Date manquante",IF(NOT(ISNUMBER(A659)),"Date invalide",IF(B659="","N° de facture manquant",IF(ISNA(MATCH(B659,fa_num,0)),"Facture inconnue",IF(INDEX(fa_type,MATCH(B659,fa_num,0))="Avoir","Paiement sur un avoir",IF(OR(NOT(ISNUMBER(C659)),N(C659)&lt;=0),"Montant invalide",IF(A659&lt;INDEX(fa_date,MATCH(B659,fa_num,0)),"Date antérieure à la facture",IF(SUMIF($B$6:B659,B659,$C$6:C659)&gt;INDEX(fa_ttc,MATCH(B659,fa_num,0))-N(INDEX(fa_avoirs,MATCH(B659,fa_num,0)))+0.001,"Dépasse le montant de la facture","OK")))))))))</f>
        <v/>
      </c>
    </row>
    <row r="660">
      <c r="A660" s="61" t="n"/>
      <c r="B660" s="60" t="n"/>
      <c r="C660" s="68" t="n"/>
      <c r="D660" s="60" t="n"/>
      <c r="E660" s="63" t="n"/>
      <c r="F660" s="63" t="n"/>
      <c r="G660" s="62" t="str">
        <f>IF(B660="","",IFERROR(INDEX(fa_cname,MATCH(B660,fa_num,0))&amp;"",""))</f>
        <v/>
      </c>
      <c r="H660" s="59" t="str">
        <f>IF(COUNTA(A660:F660)=0,"",IF(A660="","Date manquante",IF(NOT(ISNUMBER(A660)),"Date invalide",IF(B660="","N° de facture manquant",IF(ISNA(MATCH(B660,fa_num,0)),"Facture inconnue",IF(INDEX(fa_type,MATCH(B660,fa_num,0))="Avoir","Paiement sur un avoir",IF(OR(NOT(ISNUMBER(C660)),N(C660)&lt;=0),"Montant invalide",IF(A660&lt;INDEX(fa_date,MATCH(B660,fa_num,0)),"Date antérieure à la facture",IF(SUMIF($B$6:B660,B660,$C$6:C660)&gt;INDEX(fa_ttc,MATCH(B660,fa_num,0))-N(INDEX(fa_avoirs,MATCH(B660,fa_num,0)))+0.001,"Dépasse le montant de la facture","OK")))))))))</f>
        <v/>
      </c>
    </row>
    <row r="661">
      <c r="A661" s="61" t="n"/>
      <c r="B661" s="60" t="n"/>
      <c r="C661" s="68" t="n"/>
      <c r="D661" s="60" t="n"/>
      <c r="E661" s="63" t="n"/>
      <c r="F661" s="63" t="n"/>
      <c r="G661" s="62" t="str">
        <f>IF(B661="","",IFERROR(INDEX(fa_cname,MATCH(B661,fa_num,0))&amp;"",""))</f>
        <v/>
      </c>
      <c r="H661" s="59" t="str">
        <f>IF(COUNTA(A661:F661)=0,"",IF(A661="","Date manquante",IF(NOT(ISNUMBER(A661)),"Date invalide",IF(B661="","N° de facture manquant",IF(ISNA(MATCH(B661,fa_num,0)),"Facture inconnue",IF(INDEX(fa_type,MATCH(B661,fa_num,0))="Avoir","Paiement sur un avoir",IF(OR(NOT(ISNUMBER(C661)),N(C661)&lt;=0),"Montant invalide",IF(A661&lt;INDEX(fa_date,MATCH(B661,fa_num,0)),"Date antérieure à la facture",IF(SUMIF($B$6:B661,B661,$C$6:C661)&gt;INDEX(fa_ttc,MATCH(B661,fa_num,0))-N(INDEX(fa_avoirs,MATCH(B661,fa_num,0)))+0.001,"Dépasse le montant de la facture","OK")))))))))</f>
        <v/>
      </c>
    </row>
    <row r="662">
      <c r="A662" s="61" t="n"/>
      <c r="B662" s="60" t="n"/>
      <c r="C662" s="68" t="n"/>
      <c r="D662" s="60" t="n"/>
      <c r="E662" s="63" t="n"/>
      <c r="F662" s="63" t="n"/>
      <c r="G662" s="62" t="str">
        <f>IF(B662="","",IFERROR(INDEX(fa_cname,MATCH(B662,fa_num,0))&amp;"",""))</f>
        <v/>
      </c>
      <c r="H662" s="59" t="str">
        <f>IF(COUNTA(A662:F662)=0,"",IF(A662="","Date manquante",IF(NOT(ISNUMBER(A662)),"Date invalide",IF(B662="","N° de facture manquant",IF(ISNA(MATCH(B662,fa_num,0)),"Facture inconnue",IF(INDEX(fa_type,MATCH(B662,fa_num,0))="Avoir","Paiement sur un avoir",IF(OR(NOT(ISNUMBER(C662)),N(C662)&lt;=0),"Montant invalide",IF(A662&lt;INDEX(fa_date,MATCH(B662,fa_num,0)),"Date antérieure à la facture",IF(SUMIF($B$6:B662,B662,$C$6:C662)&gt;INDEX(fa_ttc,MATCH(B662,fa_num,0))-N(INDEX(fa_avoirs,MATCH(B662,fa_num,0)))+0.001,"Dépasse le montant de la facture","OK")))))))))</f>
        <v/>
      </c>
    </row>
    <row r="663">
      <c r="A663" s="61" t="n"/>
      <c r="B663" s="60" t="n"/>
      <c r="C663" s="68" t="n"/>
      <c r="D663" s="60" t="n"/>
      <c r="E663" s="63" t="n"/>
      <c r="F663" s="63" t="n"/>
      <c r="G663" s="62" t="str">
        <f>IF(B663="","",IFERROR(INDEX(fa_cname,MATCH(B663,fa_num,0))&amp;"",""))</f>
        <v/>
      </c>
      <c r="H663" s="59" t="str">
        <f>IF(COUNTA(A663:F663)=0,"",IF(A663="","Date manquante",IF(NOT(ISNUMBER(A663)),"Date invalide",IF(B663="","N° de facture manquant",IF(ISNA(MATCH(B663,fa_num,0)),"Facture inconnue",IF(INDEX(fa_type,MATCH(B663,fa_num,0))="Avoir","Paiement sur un avoir",IF(OR(NOT(ISNUMBER(C663)),N(C663)&lt;=0),"Montant invalide",IF(A663&lt;INDEX(fa_date,MATCH(B663,fa_num,0)),"Date antérieure à la facture",IF(SUMIF($B$6:B663,B663,$C$6:C663)&gt;INDEX(fa_ttc,MATCH(B663,fa_num,0))-N(INDEX(fa_avoirs,MATCH(B663,fa_num,0)))+0.001,"Dépasse le montant de la facture","OK")))))))))</f>
        <v/>
      </c>
    </row>
    <row r="664">
      <c r="A664" s="61" t="n"/>
      <c r="B664" s="60" t="n"/>
      <c r="C664" s="68" t="n"/>
      <c r="D664" s="60" t="n"/>
      <c r="E664" s="63" t="n"/>
      <c r="F664" s="63" t="n"/>
      <c r="G664" s="62" t="str">
        <f>IF(B664="","",IFERROR(INDEX(fa_cname,MATCH(B664,fa_num,0))&amp;"",""))</f>
        <v/>
      </c>
      <c r="H664" s="59" t="str">
        <f>IF(COUNTA(A664:F664)=0,"",IF(A664="","Date manquante",IF(NOT(ISNUMBER(A664)),"Date invalide",IF(B664="","N° de facture manquant",IF(ISNA(MATCH(B664,fa_num,0)),"Facture inconnue",IF(INDEX(fa_type,MATCH(B664,fa_num,0))="Avoir","Paiement sur un avoir",IF(OR(NOT(ISNUMBER(C664)),N(C664)&lt;=0),"Montant invalide",IF(A664&lt;INDEX(fa_date,MATCH(B664,fa_num,0)),"Date antérieure à la facture",IF(SUMIF($B$6:B664,B664,$C$6:C664)&gt;INDEX(fa_ttc,MATCH(B664,fa_num,0))-N(INDEX(fa_avoirs,MATCH(B664,fa_num,0)))+0.001,"Dépasse le montant de la facture","OK")))))))))</f>
        <v/>
      </c>
    </row>
    <row r="665">
      <c r="A665" s="61" t="n"/>
      <c r="B665" s="60" t="n"/>
      <c r="C665" s="68" t="n"/>
      <c r="D665" s="60" t="n"/>
      <c r="E665" s="63" t="n"/>
      <c r="F665" s="63" t="n"/>
      <c r="G665" s="62" t="str">
        <f>IF(B665="","",IFERROR(INDEX(fa_cname,MATCH(B665,fa_num,0))&amp;"",""))</f>
        <v/>
      </c>
      <c r="H665" s="59" t="str">
        <f>IF(COUNTA(A665:F665)=0,"",IF(A665="","Date manquante",IF(NOT(ISNUMBER(A665)),"Date invalide",IF(B665="","N° de facture manquant",IF(ISNA(MATCH(B665,fa_num,0)),"Facture inconnue",IF(INDEX(fa_type,MATCH(B665,fa_num,0))="Avoir","Paiement sur un avoir",IF(OR(NOT(ISNUMBER(C665)),N(C665)&lt;=0),"Montant invalide",IF(A665&lt;INDEX(fa_date,MATCH(B665,fa_num,0)),"Date antérieure à la facture",IF(SUMIF($B$6:B665,B665,$C$6:C665)&gt;INDEX(fa_ttc,MATCH(B665,fa_num,0))-N(INDEX(fa_avoirs,MATCH(B665,fa_num,0)))+0.001,"Dépasse le montant de la facture","OK")))))))))</f>
        <v/>
      </c>
    </row>
    <row r="666">
      <c r="A666" s="61" t="n"/>
      <c r="B666" s="60" t="n"/>
      <c r="C666" s="68" t="n"/>
      <c r="D666" s="60" t="n"/>
      <c r="E666" s="63" t="n"/>
      <c r="F666" s="63" t="n"/>
      <c r="G666" s="62" t="str">
        <f>IF(B666="","",IFERROR(INDEX(fa_cname,MATCH(B666,fa_num,0))&amp;"",""))</f>
        <v/>
      </c>
      <c r="H666" s="59" t="str">
        <f>IF(COUNTA(A666:F666)=0,"",IF(A666="","Date manquante",IF(NOT(ISNUMBER(A666)),"Date invalide",IF(B666="","N° de facture manquant",IF(ISNA(MATCH(B666,fa_num,0)),"Facture inconnue",IF(INDEX(fa_type,MATCH(B666,fa_num,0))="Avoir","Paiement sur un avoir",IF(OR(NOT(ISNUMBER(C666)),N(C666)&lt;=0),"Montant invalide",IF(A666&lt;INDEX(fa_date,MATCH(B666,fa_num,0)),"Date antérieure à la facture",IF(SUMIF($B$6:B666,B666,$C$6:C666)&gt;INDEX(fa_ttc,MATCH(B666,fa_num,0))-N(INDEX(fa_avoirs,MATCH(B666,fa_num,0)))+0.001,"Dépasse le montant de la facture","OK")))))))))</f>
        <v/>
      </c>
    </row>
    <row r="667">
      <c r="A667" s="61" t="n"/>
      <c r="B667" s="60" t="n"/>
      <c r="C667" s="68" t="n"/>
      <c r="D667" s="60" t="n"/>
      <c r="E667" s="63" t="n"/>
      <c r="F667" s="63" t="n"/>
      <c r="G667" s="62" t="str">
        <f>IF(B667="","",IFERROR(INDEX(fa_cname,MATCH(B667,fa_num,0))&amp;"",""))</f>
        <v/>
      </c>
      <c r="H667" s="59" t="str">
        <f>IF(COUNTA(A667:F667)=0,"",IF(A667="","Date manquante",IF(NOT(ISNUMBER(A667)),"Date invalide",IF(B667="","N° de facture manquant",IF(ISNA(MATCH(B667,fa_num,0)),"Facture inconnue",IF(INDEX(fa_type,MATCH(B667,fa_num,0))="Avoir","Paiement sur un avoir",IF(OR(NOT(ISNUMBER(C667)),N(C667)&lt;=0),"Montant invalide",IF(A667&lt;INDEX(fa_date,MATCH(B667,fa_num,0)),"Date antérieure à la facture",IF(SUMIF($B$6:B667,B667,$C$6:C667)&gt;INDEX(fa_ttc,MATCH(B667,fa_num,0))-N(INDEX(fa_avoirs,MATCH(B667,fa_num,0)))+0.001,"Dépasse le montant de la facture","OK")))))))))</f>
        <v/>
      </c>
    </row>
    <row r="668">
      <c r="A668" s="61" t="n"/>
      <c r="B668" s="60" t="n"/>
      <c r="C668" s="68" t="n"/>
      <c r="D668" s="60" t="n"/>
      <c r="E668" s="63" t="n"/>
      <c r="F668" s="63" t="n"/>
      <c r="G668" s="62" t="str">
        <f>IF(B668="","",IFERROR(INDEX(fa_cname,MATCH(B668,fa_num,0))&amp;"",""))</f>
        <v/>
      </c>
      <c r="H668" s="59" t="str">
        <f>IF(COUNTA(A668:F668)=0,"",IF(A668="","Date manquante",IF(NOT(ISNUMBER(A668)),"Date invalide",IF(B668="","N° de facture manquant",IF(ISNA(MATCH(B668,fa_num,0)),"Facture inconnue",IF(INDEX(fa_type,MATCH(B668,fa_num,0))="Avoir","Paiement sur un avoir",IF(OR(NOT(ISNUMBER(C668)),N(C668)&lt;=0),"Montant invalide",IF(A668&lt;INDEX(fa_date,MATCH(B668,fa_num,0)),"Date antérieure à la facture",IF(SUMIF($B$6:B668,B668,$C$6:C668)&gt;INDEX(fa_ttc,MATCH(B668,fa_num,0))-N(INDEX(fa_avoirs,MATCH(B668,fa_num,0)))+0.001,"Dépasse le montant de la facture","OK")))))))))</f>
        <v/>
      </c>
    </row>
    <row r="669">
      <c r="A669" s="61" t="n"/>
      <c r="B669" s="60" t="n"/>
      <c r="C669" s="68" t="n"/>
      <c r="D669" s="60" t="n"/>
      <c r="E669" s="63" t="n"/>
      <c r="F669" s="63" t="n"/>
      <c r="G669" s="62" t="str">
        <f>IF(B669="","",IFERROR(INDEX(fa_cname,MATCH(B669,fa_num,0))&amp;"",""))</f>
        <v/>
      </c>
      <c r="H669" s="59" t="str">
        <f>IF(COUNTA(A669:F669)=0,"",IF(A669="","Date manquante",IF(NOT(ISNUMBER(A669)),"Date invalide",IF(B669="","N° de facture manquant",IF(ISNA(MATCH(B669,fa_num,0)),"Facture inconnue",IF(INDEX(fa_type,MATCH(B669,fa_num,0))="Avoir","Paiement sur un avoir",IF(OR(NOT(ISNUMBER(C669)),N(C669)&lt;=0),"Montant invalide",IF(A669&lt;INDEX(fa_date,MATCH(B669,fa_num,0)),"Date antérieure à la facture",IF(SUMIF($B$6:B669,B669,$C$6:C669)&gt;INDEX(fa_ttc,MATCH(B669,fa_num,0))-N(INDEX(fa_avoirs,MATCH(B669,fa_num,0)))+0.001,"Dépasse le montant de la facture","OK")))))))))</f>
        <v/>
      </c>
    </row>
    <row r="670">
      <c r="A670" s="61" t="n"/>
      <c r="B670" s="60" t="n"/>
      <c r="C670" s="68" t="n"/>
      <c r="D670" s="60" t="n"/>
      <c r="E670" s="63" t="n"/>
      <c r="F670" s="63" t="n"/>
      <c r="G670" s="62" t="str">
        <f>IF(B670="","",IFERROR(INDEX(fa_cname,MATCH(B670,fa_num,0))&amp;"",""))</f>
        <v/>
      </c>
      <c r="H670" s="59" t="str">
        <f>IF(COUNTA(A670:F670)=0,"",IF(A670="","Date manquante",IF(NOT(ISNUMBER(A670)),"Date invalide",IF(B670="","N° de facture manquant",IF(ISNA(MATCH(B670,fa_num,0)),"Facture inconnue",IF(INDEX(fa_type,MATCH(B670,fa_num,0))="Avoir","Paiement sur un avoir",IF(OR(NOT(ISNUMBER(C670)),N(C670)&lt;=0),"Montant invalide",IF(A670&lt;INDEX(fa_date,MATCH(B670,fa_num,0)),"Date antérieure à la facture",IF(SUMIF($B$6:B670,B670,$C$6:C670)&gt;INDEX(fa_ttc,MATCH(B670,fa_num,0))-N(INDEX(fa_avoirs,MATCH(B670,fa_num,0)))+0.001,"Dépasse le montant de la facture","OK")))))))))</f>
        <v/>
      </c>
    </row>
    <row r="671">
      <c r="A671" s="61" t="n"/>
      <c r="B671" s="60" t="n"/>
      <c r="C671" s="68" t="n"/>
      <c r="D671" s="60" t="n"/>
      <c r="E671" s="63" t="n"/>
      <c r="F671" s="63" t="n"/>
      <c r="G671" s="62" t="str">
        <f>IF(B671="","",IFERROR(INDEX(fa_cname,MATCH(B671,fa_num,0))&amp;"",""))</f>
        <v/>
      </c>
      <c r="H671" s="59" t="str">
        <f>IF(COUNTA(A671:F671)=0,"",IF(A671="","Date manquante",IF(NOT(ISNUMBER(A671)),"Date invalide",IF(B671="","N° de facture manquant",IF(ISNA(MATCH(B671,fa_num,0)),"Facture inconnue",IF(INDEX(fa_type,MATCH(B671,fa_num,0))="Avoir","Paiement sur un avoir",IF(OR(NOT(ISNUMBER(C671)),N(C671)&lt;=0),"Montant invalide",IF(A671&lt;INDEX(fa_date,MATCH(B671,fa_num,0)),"Date antérieure à la facture",IF(SUMIF($B$6:B671,B671,$C$6:C671)&gt;INDEX(fa_ttc,MATCH(B671,fa_num,0))-N(INDEX(fa_avoirs,MATCH(B671,fa_num,0)))+0.001,"Dépasse le montant de la facture","OK")))))))))</f>
        <v/>
      </c>
    </row>
    <row r="672">
      <c r="A672" s="61" t="n"/>
      <c r="B672" s="60" t="n"/>
      <c r="C672" s="68" t="n"/>
      <c r="D672" s="60" t="n"/>
      <c r="E672" s="63" t="n"/>
      <c r="F672" s="63" t="n"/>
      <c r="G672" s="62" t="str">
        <f>IF(B672="","",IFERROR(INDEX(fa_cname,MATCH(B672,fa_num,0))&amp;"",""))</f>
        <v/>
      </c>
      <c r="H672" s="59" t="str">
        <f>IF(COUNTA(A672:F672)=0,"",IF(A672="","Date manquante",IF(NOT(ISNUMBER(A672)),"Date invalide",IF(B672="","N° de facture manquant",IF(ISNA(MATCH(B672,fa_num,0)),"Facture inconnue",IF(INDEX(fa_type,MATCH(B672,fa_num,0))="Avoir","Paiement sur un avoir",IF(OR(NOT(ISNUMBER(C672)),N(C672)&lt;=0),"Montant invalide",IF(A672&lt;INDEX(fa_date,MATCH(B672,fa_num,0)),"Date antérieure à la facture",IF(SUMIF($B$6:B672,B672,$C$6:C672)&gt;INDEX(fa_ttc,MATCH(B672,fa_num,0))-N(INDEX(fa_avoirs,MATCH(B672,fa_num,0)))+0.001,"Dépasse le montant de la facture","OK")))))))))</f>
        <v/>
      </c>
    </row>
    <row r="673">
      <c r="A673" s="61" t="n"/>
      <c r="B673" s="60" t="n"/>
      <c r="C673" s="68" t="n"/>
      <c r="D673" s="60" t="n"/>
      <c r="E673" s="63" t="n"/>
      <c r="F673" s="63" t="n"/>
      <c r="G673" s="62" t="str">
        <f>IF(B673="","",IFERROR(INDEX(fa_cname,MATCH(B673,fa_num,0))&amp;"",""))</f>
        <v/>
      </c>
      <c r="H673" s="59" t="str">
        <f>IF(COUNTA(A673:F673)=0,"",IF(A673="","Date manquante",IF(NOT(ISNUMBER(A673)),"Date invalide",IF(B673="","N° de facture manquant",IF(ISNA(MATCH(B673,fa_num,0)),"Facture inconnue",IF(INDEX(fa_type,MATCH(B673,fa_num,0))="Avoir","Paiement sur un avoir",IF(OR(NOT(ISNUMBER(C673)),N(C673)&lt;=0),"Montant invalide",IF(A673&lt;INDEX(fa_date,MATCH(B673,fa_num,0)),"Date antérieure à la facture",IF(SUMIF($B$6:B673,B673,$C$6:C673)&gt;INDEX(fa_ttc,MATCH(B673,fa_num,0))-N(INDEX(fa_avoirs,MATCH(B673,fa_num,0)))+0.001,"Dépasse le montant de la facture","OK")))))))))</f>
        <v/>
      </c>
    </row>
    <row r="674">
      <c r="A674" s="61" t="n"/>
      <c r="B674" s="60" t="n"/>
      <c r="C674" s="68" t="n"/>
      <c r="D674" s="60" t="n"/>
      <c r="E674" s="63" t="n"/>
      <c r="F674" s="63" t="n"/>
      <c r="G674" s="62" t="str">
        <f>IF(B674="","",IFERROR(INDEX(fa_cname,MATCH(B674,fa_num,0))&amp;"",""))</f>
        <v/>
      </c>
      <c r="H674" s="59" t="str">
        <f>IF(COUNTA(A674:F674)=0,"",IF(A674="","Date manquante",IF(NOT(ISNUMBER(A674)),"Date invalide",IF(B674="","N° de facture manquant",IF(ISNA(MATCH(B674,fa_num,0)),"Facture inconnue",IF(INDEX(fa_type,MATCH(B674,fa_num,0))="Avoir","Paiement sur un avoir",IF(OR(NOT(ISNUMBER(C674)),N(C674)&lt;=0),"Montant invalide",IF(A674&lt;INDEX(fa_date,MATCH(B674,fa_num,0)),"Date antérieure à la facture",IF(SUMIF($B$6:B674,B674,$C$6:C674)&gt;INDEX(fa_ttc,MATCH(B674,fa_num,0))-N(INDEX(fa_avoirs,MATCH(B674,fa_num,0)))+0.001,"Dépasse le montant de la facture","OK")))))))))</f>
        <v/>
      </c>
    </row>
    <row r="675">
      <c r="A675" s="61" t="n"/>
      <c r="B675" s="60" t="n"/>
      <c r="C675" s="68" t="n"/>
      <c r="D675" s="60" t="n"/>
      <c r="E675" s="63" t="n"/>
      <c r="F675" s="63" t="n"/>
      <c r="G675" s="62" t="str">
        <f>IF(B675="","",IFERROR(INDEX(fa_cname,MATCH(B675,fa_num,0))&amp;"",""))</f>
        <v/>
      </c>
      <c r="H675" s="59" t="str">
        <f>IF(COUNTA(A675:F675)=0,"",IF(A675="","Date manquante",IF(NOT(ISNUMBER(A675)),"Date invalide",IF(B675="","N° de facture manquant",IF(ISNA(MATCH(B675,fa_num,0)),"Facture inconnue",IF(INDEX(fa_type,MATCH(B675,fa_num,0))="Avoir","Paiement sur un avoir",IF(OR(NOT(ISNUMBER(C675)),N(C675)&lt;=0),"Montant invalide",IF(A675&lt;INDEX(fa_date,MATCH(B675,fa_num,0)),"Date antérieure à la facture",IF(SUMIF($B$6:B675,B675,$C$6:C675)&gt;INDEX(fa_ttc,MATCH(B675,fa_num,0))-N(INDEX(fa_avoirs,MATCH(B675,fa_num,0)))+0.001,"Dépasse le montant de la facture","OK")))))))))</f>
        <v/>
      </c>
    </row>
    <row r="676">
      <c r="A676" s="61" t="n"/>
      <c r="B676" s="60" t="n"/>
      <c r="C676" s="68" t="n"/>
      <c r="D676" s="60" t="n"/>
      <c r="E676" s="63" t="n"/>
      <c r="F676" s="63" t="n"/>
      <c r="G676" s="62" t="str">
        <f>IF(B676="","",IFERROR(INDEX(fa_cname,MATCH(B676,fa_num,0))&amp;"",""))</f>
        <v/>
      </c>
      <c r="H676" s="59" t="str">
        <f>IF(COUNTA(A676:F676)=0,"",IF(A676="","Date manquante",IF(NOT(ISNUMBER(A676)),"Date invalide",IF(B676="","N° de facture manquant",IF(ISNA(MATCH(B676,fa_num,0)),"Facture inconnue",IF(INDEX(fa_type,MATCH(B676,fa_num,0))="Avoir","Paiement sur un avoir",IF(OR(NOT(ISNUMBER(C676)),N(C676)&lt;=0),"Montant invalide",IF(A676&lt;INDEX(fa_date,MATCH(B676,fa_num,0)),"Date antérieure à la facture",IF(SUMIF($B$6:B676,B676,$C$6:C676)&gt;INDEX(fa_ttc,MATCH(B676,fa_num,0))-N(INDEX(fa_avoirs,MATCH(B676,fa_num,0)))+0.001,"Dépasse le montant de la facture","OK")))))))))</f>
        <v/>
      </c>
    </row>
    <row r="677">
      <c r="A677" s="61" t="n"/>
      <c r="B677" s="60" t="n"/>
      <c r="C677" s="68" t="n"/>
      <c r="D677" s="60" t="n"/>
      <c r="E677" s="63" t="n"/>
      <c r="F677" s="63" t="n"/>
      <c r="G677" s="62" t="str">
        <f>IF(B677="","",IFERROR(INDEX(fa_cname,MATCH(B677,fa_num,0))&amp;"",""))</f>
        <v/>
      </c>
      <c r="H677" s="59" t="str">
        <f>IF(COUNTA(A677:F677)=0,"",IF(A677="","Date manquante",IF(NOT(ISNUMBER(A677)),"Date invalide",IF(B677="","N° de facture manquant",IF(ISNA(MATCH(B677,fa_num,0)),"Facture inconnue",IF(INDEX(fa_type,MATCH(B677,fa_num,0))="Avoir","Paiement sur un avoir",IF(OR(NOT(ISNUMBER(C677)),N(C677)&lt;=0),"Montant invalide",IF(A677&lt;INDEX(fa_date,MATCH(B677,fa_num,0)),"Date antérieure à la facture",IF(SUMIF($B$6:B677,B677,$C$6:C677)&gt;INDEX(fa_ttc,MATCH(B677,fa_num,0))-N(INDEX(fa_avoirs,MATCH(B677,fa_num,0)))+0.001,"Dépasse le montant de la facture","OK")))))))))</f>
        <v/>
      </c>
    </row>
    <row r="678">
      <c r="A678" s="61" t="n"/>
      <c r="B678" s="60" t="n"/>
      <c r="C678" s="68" t="n"/>
      <c r="D678" s="60" t="n"/>
      <c r="E678" s="63" t="n"/>
      <c r="F678" s="63" t="n"/>
      <c r="G678" s="62" t="str">
        <f>IF(B678="","",IFERROR(INDEX(fa_cname,MATCH(B678,fa_num,0))&amp;"",""))</f>
        <v/>
      </c>
      <c r="H678" s="59" t="str">
        <f>IF(COUNTA(A678:F678)=0,"",IF(A678="","Date manquante",IF(NOT(ISNUMBER(A678)),"Date invalide",IF(B678="","N° de facture manquant",IF(ISNA(MATCH(B678,fa_num,0)),"Facture inconnue",IF(INDEX(fa_type,MATCH(B678,fa_num,0))="Avoir","Paiement sur un avoir",IF(OR(NOT(ISNUMBER(C678)),N(C678)&lt;=0),"Montant invalide",IF(A678&lt;INDEX(fa_date,MATCH(B678,fa_num,0)),"Date antérieure à la facture",IF(SUMIF($B$6:B678,B678,$C$6:C678)&gt;INDEX(fa_ttc,MATCH(B678,fa_num,0))-N(INDEX(fa_avoirs,MATCH(B678,fa_num,0)))+0.001,"Dépasse le montant de la facture","OK")))))))))</f>
        <v/>
      </c>
    </row>
    <row r="679">
      <c r="A679" s="61" t="n"/>
      <c r="B679" s="60" t="n"/>
      <c r="C679" s="68" t="n"/>
      <c r="D679" s="60" t="n"/>
      <c r="E679" s="63" t="n"/>
      <c r="F679" s="63" t="n"/>
      <c r="G679" s="62" t="str">
        <f>IF(B679="","",IFERROR(INDEX(fa_cname,MATCH(B679,fa_num,0))&amp;"",""))</f>
        <v/>
      </c>
      <c r="H679" s="59" t="str">
        <f>IF(COUNTA(A679:F679)=0,"",IF(A679="","Date manquante",IF(NOT(ISNUMBER(A679)),"Date invalide",IF(B679="","N° de facture manquant",IF(ISNA(MATCH(B679,fa_num,0)),"Facture inconnue",IF(INDEX(fa_type,MATCH(B679,fa_num,0))="Avoir","Paiement sur un avoir",IF(OR(NOT(ISNUMBER(C679)),N(C679)&lt;=0),"Montant invalide",IF(A679&lt;INDEX(fa_date,MATCH(B679,fa_num,0)),"Date antérieure à la facture",IF(SUMIF($B$6:B679,B679,$C$6:C679)&gt;INDEX(fa_ttc,MATCH(B679,fa_num,0))-N(INDEX(fa_avoirs,MATCH(B679,fa_num,0)))+0.001,"Dépasse le montant de la facture","OK")))))))))</f>
        <v/>
      </c>
    </row>
    <row r="680">
      <c r="A680" s="61" t="n"/>
      <c r="B680" s="60" t="n"/>
      <c r="C680" s="68" t="n"/>
      <c r="D680" s="60" t="n"/>
      <c r="E680" s="63" t="n"/>
      <c r="F680" s="63" t="n"/>
      <c r="G680" s="62" t="str">
        <f>IF(B680="","",IFERROR(INDEX(fa_cname,MATCH(B680,fa_num,0))&amp;"",""))</f>
        <v/>
      </c>
      <c r="H680" s="59" t="str">
        <f>IF(COUNTA(A680:F680)=0,"",IF(A680="","Date manquante",IF(NOT(ISNUMBER(A680)),"Date invalide",IF(B680="","N° de facture manquant",IF(ISNA(MATCH(B680,fa_num,0)),"Facture inconnue",IF(INDEX(fa_type,MATCH(B680,fa_num,0))="Avoir","Paiement sur un avoir",IF(OR(NOT(ISNUMBER(C680)),N(C680)&lt;=0),"Montant invalide",IF(A680&lt;INDEX(fa_date,MATCH(B680,fa_num,0)),"Date antérieure à la facture",IF(SUMIF($B$6:B680,B680,$C$6:C680)&gt;INDEX(fa_ttc,MATCH(B680,fa_num,0))-N(INDEX(fa_avoirs,MATCH(B680,fa_num,0)))+0.001,"Dépasse le montant de la facture","OK")))))))))</f>
        <v/>
      </c>
    </row>
    <row r="681">
      <c r="A681" s="61" t="n"/>
      <c r="B681" s="60" t="n"/>
      <c r="C681" s="68" t="n"/>
      <c r="D681" s="60" t="n"/>
      <c r="E681" s="63" t="n"/>
      <c r="F681" s="63" t="n"/>
      <c r="G681" s="62" t="str">
        <f>IF(B681="","",IFERROR(INDEX(fa_cname,MATCH(B681,fa_num,0))&amp;"",""))</f>
        <v/>
      </c>
      <c r="H681" s="59" t="str">
        <f>IF(COUNTA(A681:F681)=0,"",IF(A681="","Date manquante",IF(NOT(ISNUMBER(A681)),"Date invalide",IF(B681="","N° de facture manquant",IF(ISNA(MATCH(B681,fa_num,0)),"Facture inconnue",IF(INDEX(fa_type,MATCH(B681,fa_num,0))="Avoir","Paiement sur un avoir",IF(OR(NOT(ISNUMBER(C681)),N(C681)&lt;=0),"Montant invalide",IF(A681&lt;INDEX(fa_date,MATCH(B681,fa_num,0)),"Date antérieure à la facture",IF(SUMIF($B$6:B681,B681,$C$6:C681)&gt;INDEX(fa_ttc,MATCH(B681,fa_num,0))-N(INDEX(fa_avoirs,MATCH(B681,fa_num,0)))+0.001,"Dépasse le montant de la facture","OK")))))))))</f>
        <v/>
      </c>
    </row>
    <row r="682">
      <c r="A682" s="61" t="n"/>
      <c r="B682" s="60" t="n"/>
      <c r="C682" s="68" t="n"/>
      <c r="D682" s="60" t="n"/>
      <c r="E682" s="63" t="n"/>
      <c r="F682" s="63" t="n"/>
      <c r="G682" s="62" t="str">
        <f>IF(B682="","",IFERROR(INDEX(fa_cname,MATCH(B682,fa_num,0))&amp;"",""))</f>
        <v/>
      </c>
      <c r="H682" s="59" t="str">
        <f>IF(COUNTA(A682:F682)=0,"",IF(A682="","Date manquante",IF(NOT(ISNUMBER(A682)),"Date invalide",IF(B682="","N° de facture manquant",IF(ISNA(MATCH(B682,fa_num,0)),"Facture inconnue",IF(INDEX(fa_type,MATCH(B682,fa_num,0))="Avoir","Paiement sur un avoir",IF(OR(NOT(ISNUMBER(C682)),N(C682)&lt;=0),"Montant invalide",IF(A682&lt;INDEX(fa_date,MATCH(B682,fa_num,0)),"Date antérieure à la facture",IF(SUMIF($B$6:B682,B682,$C$6:C682)&gt;INDEX(fa_ttc,MATCH(B682,fa_num,0))-N(INDEX(fa_avoirs,MATCH(B682,fa_num,0)))+0.001,"Dépasse le montant de la facture","OK")))))))))</f>
        <v/>
      </c>
    </row>
    <row r="683">
      <c r="A683" s="61" t="n"/>
      <c r="B683" s="60" t="n"/>
      <c r="C683" s="68" t="n"/>
      <c r="D683" s="60" t="n"/>
      <c r="E683" s="63" t="n"/>
      <c r="F683" s="63" t="n"/>
      <c r="G683" s="62" t="str">
        <f>IF(B683="","",IFERROR(INDEX(fa_cname,MATCH(B683,fa_num,0))&amp;"",""))</f>
        <v/>
      </c>
      <c r="H683" s="59" t="str">
        <f>IF(COUNTA(A683:F683)=0,"",IF(A683="","Date manquante",IF(NOT(ISNUMBER(A683)),"Date invalide",IF(B683="","N° de facture manquant",IF(ISNA(MATCH(B683,fa_num,0)),"Facture inconnue",IF(INDEX(fa_type,MATCH(B683,fa_num,0))="Avoir","Paiement sur un avoir",IF(OR(NOT(ISNUMBER(C683)),N(C683)&lt;=0),"Montant invalide",IF(A683&lt;INDEX(fa_date,MATCH(B683,fa_num,0)),"Date antérieure à la facture",IF(SUMIF($B$6:B683,B683,$C$6:C683)&gt;INDEX(fa_ttc,MATCH(B683,fa_num,0))-N(INDEX(fa_avoirs,MATCH(B683,fa_num,0)))+0.001,"Dépasse le montant de la facture","OK")))))))))</f>
        <v/>
      </c>
    </row>
    <row r="684">
      <c r="A684" s="61" t="n"/>
      <c r="B684" s="60" t="n"/>
      <c r="C684" s="68" t="n"/>
      <c r="D684" s="60" t="n"/>
      <c r="E684" s="63" t="n"/>
      <c r="F684" s="63" t="n"/>
      <c r="G684" s="62" t="str">
        <f>IF(B684="","",IFERROR(INDEX(fa_cname,MATCH(B684,fa_num,0))&amp;"",""))</f>
        <v/>
      </c>
      <c r="H684" s="59" t="str">
        <f>IF(COUNTA(A684:F684)=0,"",IF(A684="","Date manquante",IF(NOT(ISNUMBER(A684)),"Date invalide",IF(B684="","N° de facture manquant",IF(ISNA(MATCH(B684,fa_num,0)),"Facture inconnue",IF(INDEX(fa_type,MATCH(B684,fa_num,0))="Avoir","Paiement sur un avoir",IF(OR(NOT(ISNUMBER(C684)),N(C684)&lt;=0),"Montant invalide",IF(A684&lt;INDEX(fa_date,MATCH(B684,fa_num,0)),"Date antérieure à la facture",IF(SUMIF($B$6:B684,B684,$C$6:C684)&gt;INDEX(fa_ttc,MATCH(B684,fa_num,0))-N(INDEX(fa_avoirs,MATCH(B684,fa_num,0)))+0.001,"Dépasse le montant de la facture","OK")))))))))</f>
        <v/>
      </c>
    </row>
    <row r="685">
      <c r="A685" s="61" t="n"/>
      <c r="B685" s="60" t="n"/>
      <c r="C685" s="68" t="n"/>
      <c r="D685" s="60" t="n"/>
      <c r="E685" s="63" t="n"/>
      <c r="F685" s="63" t="n"/>
      <c r="G685" s="62" t="str">
        <f>IF(B685="","",IFERROR(INDEX(fa_cname,MATCH(B685,fa_num,0))&amp;"",""))</f>
        <v/>
      </c>
      <c r="H685" s="59" t="str">
        <f>IF(COUNTA(A685:F685)=0,"",IF(A685="","Date manquante",IF(NOT(ISNUMBER(A685)),"Date invalide",IF(B685="","N° de facture manquant",IF(ISNA(MATCH(B685,fa_num,0)),"Facture inconnue",IF(INDEX(fa_type,MATCH(B685,fa_num,0))="Avoir","Paiement sur un avoir",IF(OR(NOT(ISNUMBER(C685)),N(C685)&lt;=0),"Montant invalide",IF(A685&lt;INDEX(fa_date,MATCH(B685,fa_num,0)),"Date antérieure à la facture",IF(SUMIF($B$6:B685,B685,$C$6:C685)&gt;INDEX(fa_ttc,MATCH(B685,fa_num,0))-N(INDEX(fa_avoirs,MATCH(B685,fa_num,0)))+0.001,"Dépasse le montant de la facture","OK")))))))))</f>
        <v/>
      </c>
    </row>
    <row r="686">
      <c r="A686" s="61" t="n"/>
      <c r="B686" s="60" t="n"/>
      <c r="C686" s="68" t="n"/>
      <c r="D686" s="60" t="n"/>
      <c r="E686" s="63" t="n"/>
      <c r="F686" s="63" t="n"/>
      <c r="G686" s="62" t="str">
        <f>IF(B686="","",IFERROR(INDEX(fa_cname,MATCH(B686,fa_num,0))&amp;"",""))</f>
        <v/>
      </c>
      <c r="H686" s="59" t="str">
        <f>IF(COUNTA(A686:F686)=0,"",IF(A686="","Date manquante",IF(NOT(ISNUMBER(A686)),"Date invalide",IF(B686="","N° de facture manquant",IF(ISNA(MATCH(B686,fa_num,0)),"Facture inconnue",IF(INDEX(fa_type,MATCH(B686,fa_num,0))="Avoir","Paiement sur un avoir",IF(OR(NOT(ISNUMBER(C686)),N(C686)&lt;=0),"Montant invalide",IF(A686&lt;INDEX(fa_date,MATCH(B686,fa_num,0)),"Date antérieure à la facture",IF(SUMIF($B$6:B686,B686,$C$6:C686)&gt;INDEX(fa_ttc,MATCH(B686,fa_num,0))-N(INDEX(fa_avoirs,MATCH(B686,fa_num,0)))+0.001,"Dépasse le montant de la facture","OK")))))))))</f>
        <v/>
      </c>
    </row>
    <row r="687">
      <c r="A687" s="61" t="n"/>
      <c r="B687" s="60" t="n"/>
      <c r="C687" s="68" t="n"/>
      <c r="D687" s="60" t="n"/>
      <c r="E687" s="63" t="n"/>
      <c r="F687" s="63" t="n"/>
      <c r="G687" s="62" t="str">
        <f>IF(B687="","",IFERROR(INDEX(fa_cname,MATCH(B687,fa_num,0))&amp;"",""))</f>
        <v/>
      </c>
      <c r="H687" s="59" t="str">
        <f>IF(COUNTA(A687:F687)=0,"",IF(A687="","Date manquante",IF(NOT(ISNUMBER(A687)),"Date invalide",IF(B687="","N° de facture manquant",IF(ISNA(MATCH(B687,fa_num,0)),"Facture inconnue",IF(INDEX(fa_type,MATCH(B687,fa_num,0))="Avoir","Paiement sur un avoir",IF(OR(NOT(ISNUMBER(C687)),N(C687)&lt;=0),"Montant invalide",IF(A687&lt;INDEX(fa_date,MATCH(B687,fa_num,0)),"Date antérieure à la facture",IF(SUMIF($B$6:B687,B687,$C$6:C687)&gt;INDEX(fa_ttc,MATCH(B687,fa_num,0))-N(INDEX(fa_avoirs,MATCH(B687,fa_num,0)))+0.001,"Dépasse le montant de la facture","OK")))))))))</f>
        <v/>
      </c>
    </row>
    <row r="688">
      <c r="A688" s="61" t="n"/>
      <c r="B688" s="60" t="n"/>
      <c r="C688" s="68" t="n"/>
      <c r="D688" s="60" t="n"/>
      <c r="E688" s="63" t="n"/>
      <c r="F688" s="63" t="n"/>
      <c r="G688" s="62" t="str">
        <f>IF(B688="","",IFERROR(INDEX(fa_cname,MATCH(B688,fa_num,0))&amp;"",""))</f>
        <v/>
      </c>
      <c r="H688" s="59" t="str">
        <f>IF(COUNTA(A688:F688)=0,"",IF(A688="","Date manquante",IF(NOT(ISNUMBER(A688)),"Date invalide",IF(B688="","N° de facture manquant",IF(ISNA(MATCH(B688,fa_num,0)),"Facture inconnue",IF(INDEX(fa_type,MATCH(B688,fa_num,0))="Avoir","Paiement sur un avoir",IF(OR(NOT(ISNUMBER(C688)),N(C688)&lt;=0),"Montant invalide",IF(A688&lt;INDEX(fa_date,MATCH(B688,fa_num,0)),"Date antérieure à la facture",IF(SUMIF($B$6:B688,B688,$C$6:C688)&gt;INDEX(fa_ttc,MATCH(B688,fa_num,0))-N(INDEX(fa_avoirs,MATCH(B688,fa_num,0)))+0.001,"Dépasse le montant de la facture","OK")))))))))</f>
        <v/>
      </c>
    </row>
    <row r="689">
      <c r="A689" s="61" t="n"/>
      <c r="B689" s="60" t="n"/>
      <c r="C689" s="68" t="n"/>
      <c r="D689" s="60" t="n"/>
      <c r="E689" s="63" t="n"/>
      <c r="F689" s="63" t="n"/>
      <c r="G689" s="62" t="str">
        <f>IF(B689="","",IFERROR(INDEX(fa_cname,MATCH(B689,fa_num,0))&amp;"",""))</f>
        <v/>
      </c>
      <c r="H689" s="59" t="str">
        <f>IF(COUNTA(A689:F689)=0,"",IF(A689="","Date manquante",IF(NOT(ISNUMBER(A689)),"Date invalide",IF(B689="","N° de facture manquant",IF(ISNA(MATCH(B689,fa_num,0)),"Facture inconnue",IF(INDEX(fa_type,MATCH(B689,fa_num,0))="Avoir","Paiement sur un avoir",IF(OR(NOT(ISNUMBER(C689)),N(C689)&lt;=0),"Montant invalide",IF(A689&lt;INDEX(fa_date,MATCH(B689,fa_num,0)),"Date antérieure à la facture",IF(SUMIF($B$6:B689,B689,$C$6:C689)&gt;INDEX(fa_ttc,MATCH(B689,fa_num,0))-N(INDEX(fa_avoirs,MATCH(B689,fa_num,0)))+0.001,"Dépasse le montant de la facture","OK")))))))))</f>
        <v/>
      </c>
    </row>
    <row r="690">
      <c r="A690" s="61" t="n"/>
      <c r="B690" s="60" t="n"/>
      <c r="C690" s="68" t="n"/>
      <c r="D690" s="60" t="n"/>
      <c r="E690" s="63" t="n"/>
      <c r="F690" s="63" t="n"/>
      <c r="G690" s="62" t="str">
        <f>IF(B690="","",IFERROR(INDEX(fa_cname,MATCH(B690,fa_num,0))&amp;"",""))</f>
        <v/>
      </c>
      <c r="H690" s="59" t="str">
        <f>IF(COUNTA(A690:F690)=0,"",IF(A690="","Date manquante",IF(NOT(ISNUMBER(A690)),"Date invalide",IF(B690="","N° de facture manquant",IF(ISNA(MATCH(B690,fa_num,0)),"Facture inconnue",IF(INDEX(fa_type,MATCH(B690,fa_num,0))="Avoir","Paiement sur un avoir",IF(OR(NOT(ISNUMBER(C690)),N(C690)&lt;=0),"Montant invalide",IF(A690&lt;INDEX(fa_date,MATCH(B690,fa_num,0)),"Date antérieure à la facture",IF(SUMIF($B$6:B690,B690,$C$6:C690)&gt;INDEX(fa_ttc,MATCH(B690,fa_num,0))-N(INDEX(fa_avoirs,MATCH(B690,fa_num,0)))+0.001,"Dépasse le montant de la facture","OK")))))))))</f>
        <v/>
      </c>
    </row>
    <row r="691">
      <c r="A691" s="61" t="n"/>
      <c r="B691" s="60" t="n"/>
      <c r="C691" s="68" t="n"/>
      <c r="D691" s="60" t="n"/>
      <c r="E691" s="63" t="n"/>
      <c r="F691" s="63" t="n"/>
      <c r="G691" s="62" t="str">
        <f>IF(B691="","",IFERROR(INDEX(fa_cname,MATCH(B691,fa_num,0))&amp;"",""))</f>
        <v/>
      </c>
      <c r="H691" s="59" t="str">
        <f>IF(COUNTA(A691:F691)=0,"",IF(A691="","Date manquante",IF(NOT(ISNUMBER(A691)),"Date invalide",IF(B691="","N° de facture manquant",IF(ISNA(MATCH(B691,fa_num,0)),"Facture inconnue",IF(INDEX(fa_type,MATCH(B691,fa_num,0))="Avoir","Paiement sur un avoir",IF(OR(NOT(ISNUMBER(C691)),N(C691)&lt;=0),"Montant invalide",IF(A691&lt;INDEX(fa_date,MATCH(B691,fa_num,0)),"Date antérieure à la facture",IF(SUMIF($B$6:B691,B691,$C$6:C691)&gt;INDEX(fa_ttc,MATCH(B691,fa_num,0))-N(INDEX(fa_avoirs,MATCH(B691,fa_num,0)))+0.001,"Dépasse le montant de la facture","OK")))))))))</f>
        <v/>
      </c>
    </row>
    <row r="692">
      <c r="A692" s="61" t="n"/>
      <c r="B692" s="60" t="n"/>
      <c r="C692" s="68" t="n"/>
      <c r="D692" s="60" t="n"/>
      <c r="E692" s="63" t="n"/>
      <c r="F692" s="63" t="n"/>
      <c r="G692" s="62" t="str">
        <f>IF(B692="","",IFERROR(INDEX(fa_cname,MATCH(B692,fa_num,0))&amp;"",""))</f>
        <v/>
      </c>
      <c r="H692" s="59" t="str">
        <f>IF(COUNTA(A692:F692)=0,"",IF(A692="","Date manquante",IF(NOT(ISNUMBER(A692)),"Date invalide",IF(B692="","N° de facture manquant",IF(ISNA(MATCH(B692,fa_num,0)),"Facture inconnue",IF(INDEX(fa_type,MATCH(B692,fa_num,0))="Avoir","Paiement sur un avoir",IF(OR(NOT(ISNUMBER(C692)),N(C692)&lt;=0),"Montant invalide",IF(A692&lt;INDEX(fa_date,MATCH(B692,fa_num,0)),"Date antérieure à la facture",IF(SUMIF($B$6:B692,B692,$C$6:C692)&gt;INDEX(fa_ttc,MATCH(B692,fa_num,0))-N(INDEX(fa_avoirs,MATCH(B692,fa_num,0)))+0.001,"Dépasse le montant de la facture","OK")))))))))</f>
        <v/>
      </c>
    </row>
    <row r="693">
      <c r="A693" s="61" t="n"/>
      <c r="B693" s="60" t="n"/>
      <c r="C693" s="68" t="n"/>
      <c r="D693" s="60" t="n"/>
      <c r="E693" s="63" t="n"/>
      <c r="F693" s="63" t="n"/>
      <c r="G693" s="62" t="str">
        <f>IF(B693="","",IFERROR(INDEX(fa_cname,MATCH(B693,fa_num,0))&amp;"",""))</f>
        <v/>
      </c>
      <c r="H693" s="59" t="str">
        <f>IF(COUNTA(A693:F693)=0,"",IF(A693="","Date manquante",IF(NOT(ISNUMBER(A693)),"Date invalide",IF(B693="","N° de facture manquant",IF(ISNA(MATCH(B693,fa_num,0)),"Facture inconnue",IF(INDEX(fa_type,MATCH(B693,fa_num,0))="Avoir","Paiement sur un avoir",IF(OR(NOT(ISNUMBER(C693)),N(C693)&lt;=0),"Montant invalide",IF(A693&lt;INDEX(fa_date,MATCH(B693,fa_num,0)),"Date antérieure à la facture",IF(SUMIF($B$6:B693,B693,$C$6:C693)&gt;INDEX(fa_ttc,MATCH(B693,fa_num,0))-N(INDEX(fa_avoirs,MATCH(B693,fa_num,0)))+0.001,"Dépasse le montant de la facture","OK")))))))))</f>
        <v/>
      </c>
    </row>
    <row r="694">
      <c r="A694" s="61" t="n"/>
      <c r="B694" s="60" t="n"/>
      <c r="C694" s="68" t="n"/>
      <c r="D694" s="60" t="n"/>
      <c r="E694" s="63" t="n"/>
      <c r="F694" s="63" t="n"/>
      <c r="G694" s="62" t="str">
        <f>IF(B694="","",IFERROR(INDEX(fa_cname,MATCH(B694,fa_num,0))&amp;"",""))</f>
        <v/>
      </c>
      <c r="H694" s="59" t="str">
        <f>IF(COUNTA(A694:F694)=0,"",IF(A694="","Date manquante",IF(NOT(ISNUMBER(A694)),"Date invalide",IF(B694="","N° de facture manquant",IF(ISNA(MATCH(B694,fa_num,0)),"Facture inconnue",IF(INDEX(fa_type,MATCH(B694,fa_num,0))="Avoir","Paiement sur un avoir",IF(OR(NOT(ISNUMBER(C694)),N(C694)&lt;=0),"Montant invalide",IF(A694&lt;INDEX(fa_date,MATCH(B694,fa_num,0)),"Date antérieure à la facture",IF(SUMIF($B$6:B694,B694,$C$6:C694)&gt;INDEX(fa_ttc,MATCH(B694,fa_num,0))-N(INDEX(fa_avoirs,MATCH(B694,fa_num,0)))+0.001,"Dépasse le montant de la facture","OK")))))))))</f>
        <v/>
      </c>
    </row>
    <row r="695">
      <c r="A695" s="61" t="n"/>
      <c r="B695" s="60" t="n"/>
      <c r="C695" s="68" t="n"/>
      <c r="D695" s="60" t="n"/>
      <c r="E695" s="63" t="n"/>
      <c r="F695" s="63" t="n"/>
      <c r="G695" s="62" t="str">
        <f>IF(B695="","",IFERROR(INDEX(fa_cname,MATCH(B695,fa_num,0))&amp;"",""))</f>
        <v/>
      </c>
      <c r="H695" s="59" t="str">
        <f>IF(COUNTA(A695:F695)=0,"",IF(A695="","Date manquante",IF(NOT(ISNUMBER(A695)),"Date invalide",IF(B695="","N° de facture manquant",IF(ISNA(MATCH(B695,fa_num,0)),"Facture inconnue",IF(INDEX(fa_type,MATCH(B695,fa_num,0))="Avoir","Paiement sur un avoir",IF(OR(NOT(ISNUMBER(C695)),N(C695)&lt;=0),"Montant invalide",IF(A695&lt;INDEX(fa_date,MATCH(B695,fa_num,0)),"Date antérieure à la facture",IF(SUMIF($B$6:B695,B695,$C$6:C695)&gt;INDEX(fa_ttc,MATCH(B695,fa_num,0))-N(INDEX(fa_avoirs,MATCH(B695,fa_num,0)))+0.001,"Dépasse le montant de la facture","OK")))))))))</f>
        <v/>
      </c>
    </row>
    <row r="696">
      <c r="A696" s="61" t="n"/>
      <c r="B696" s="60" t="n"/>
      <c r="C696" s="68" t="n"/>
      <c r="D696" s="60" t="n"/>
      <c r="E696" s="63" t="n"/>
      <c r="F696" s="63" t="n"/>
      <c r="G696" s="62" t="str">
        <f>IF(B696="","",IFERROR(INDEX(fa_cname,MATCH(B696,fa_num,0))&amp;"",""))</f>
        <v/>
      </c>
      <c r="H696" s="59" t="str">
        <f>IF(COUNTA(A696:F696)=0,"",IF(A696="","Date manquante",IF(NOT(ISNUMBER(A696)),"Date invalide",IF(B696="","N° de facture manquant",IF(ISNA(MATCH(B696,fa_num,0)),"Facture inconnue",IF(INDEX(fa_type,MATCH(B696,fa_num,0))="Avoir","Paiement sur un avoir",IF(OR(NOT(ISNUMBER(C696)),N(C696)&lt;=0),"Montant invalide",IF(A696&lt;INDEX(fa_date,MATCH(B696,fa_num,0)),"Date antérieure à la facture",IF(SUMIF($B$6:B696,B696,$C$6:C696)&gt;INDEX(fa_ttc,MATCH(B696,fa_num,0))-N(INDEX(fa_avoirs,MATCH(B696,fa_num,0)))+0.001,"Dépasse le montant de la facture","OK")))))))))</f>
        <v/>
      </c>
    </row>
    <row r="697">
      <c r="A697" s="61" t="n"/>
      <c r="B697" s="60" t="n"/>
      <c r="C697" s="68" t="n"/>
      <c r="D697" s="60" t="n"/>
      <c r="E697" s="63" t="n"/>
      <c r="F697" s="63" t="n"/>
      <c r="G697" s="62" t="str">
        <f>IF(B697="","",IFERROR(INDEX(fa_cname,MATCH(B697,fa_num,0))&amp;"",""))</f>
        <v/>
      </c>
      <c r="H697" s="59" t="str">
        <f>IF(COUNTA(A697:F697)=0,"",IF(A697="","Date manquante",IF(NOT(ISNUMBER(A697)),"Date invalide",IF(B697="","N° de facture manquant",IF(ISNA(MATCH(B697,fa_num,0)),"Facture inconnue",IF(INDEX(fa_type,MATCH(B697,fa_num,0))="Avoir","Paiement sur un avoir",IF(OR(NOT(ISNUMBER(C697)),N(C697)&lt;=0),"Montant invalide",IF(A697&lt;INDEX(fa_date,MATCH(B697,fa_num,0)),"Date antérieure à la facture",IF(SUMIF($B$6:B697,B697,$C$6:C697)&gt;INDEX(fa_ttc,MATCH(B697,fa_num,0))-N(INDEX(fa_avoirs,MATCH(B697,fa_num,0)))+0.001,"Dépasse le montant de la facture","OK")))))))))</f>
        <v/>
      </c>
    </row>
    <row r="698">
      <c r="A698" s="61" t="n"/>
      <c r="B698" s="60" t="n"/>
      <c r="C698" s="68" t="n"/>
      <c r="D698" s="60" t="n"/>
      <c r="E698" s="63" t="n"/>
      <c r="F698" s="63" t="n"/>
      <c r="G698" s="62" t="str">
        <f>IF(B698="","",IFERROR(INDEX(fa_cname,MATCH(B698,fa_num,0))&amp;"",""))</f>
        <v/>
      </c>
      <c r="H698" s="59" t="str">
        <f>IF(COUNTA(A698:F698)=0,"",IF(A698="","Date manquante",IF(NOT(ISNUMBER(A698)),"Date invalide",IF(B698="","N° de facture manquant",IF(ISNA(MATCH(B698,fa_num,0)),"Facture inconnue",IF(INDEX(fa_type,MATCH(B698,fa_num,0))="Avoir","Paiement sur un avoir",IF(OR(NOT(ISNUMBER(C698)),N(C698)&lt;=0),"Montant invalide",IF(A698&lt;INDEX(fa_date,MATCH(B698,fa_num,0)),"Date antérieure à la facture",IF(SUMIF($B$6:B698,B698,$C$6:C698)&gt;INDEX(fa_ttc,MATCH(B698,fa_num,0))-N(INDEX(fa_avoirs,MATCH(B698,fa_num,0)))+0.001,"Dépasse le montant de la facture","OK")))))))))</f>
        <v/>
      </c>
    </row>
    <row r="699">
      <c r="A699" s="61" t="n"/>
      <c r="B699" s="60" t="n"/>
      <c r="C699" s="68" t="n"/>
      <c r="D699" s="60" t="n"/>
      <c r="E699" s="63" t="n"/>
      <c r="F699" s="63" t="n"/>
      <c r="G699" s="62" t="str">
        <f>IF(B699="","",IFERROR(INDEX(fa_cname,MATCH(B699,fa_num,0))&amp;"",""))</f>
        <v/>
      </c>
      <c r="H699" s="59" t="str">
        <f>IF(COUNTA(A699:F699)=0,"",IF(A699="","Date manquante",IF(NOT(ISNUMBER(A699)),"Date invalide",IF(B699="","N° de facture manquant",IF(ISNA(MATCH(B699,fa_num,0)),"Facture inconnue",IF(INDEX(fa_type,MATCH(B699,fa_num,0))="Avoir","Paiement sur un avoir",IF(OR(NOT(ISNUMBER(C699)),N(C699)&lt;=0),"Montant invalide",IF(A699&lt;INDEX(fa_date,MATCH(B699,fa_num,0)),"Date antérieure à la facture",IF(SUMIF($B$6:B699,B699,$C$6:C699)&gt;INDEX(fa_ttc,MATCH(B699,fa_num,0))-N(INDEX(fa_avoirs,MATCH(B699,fa_num,0)))+0.001,"Dépasse le montant de la facture","OK")))))))))</f>
        <v/>
      </c>
    </row>
    <row r="700">
      <c r="A700" s="61" t="n"/>
      <c r="B700" s="60" t="n"/>
      <c r="C700" s="68" t="n"/>
      <c r="D700" s="60" t="n"/>
      <c r="E700" s="63" t="n"/>
      <c r="F700" s="63" t="n"/>
      <c r="G700" s="62" t="str">
        <f>IF(B700="","",IFERROR(INDEX(fa_cname,MATCH(B700,fa_num,0))&amp;"",""))</f>
        <v/>
      </c>
      <c r="H700" s="59" t="str">
        <f>IF(COUNTA(A700:F700)=0,"",IF(A700="","Date manquante",IF(NOT(ISNUMBER(A700)),"Date invalide",IF(B700="","N° de facture manquant",IF(ISNA(MATCH(B700,fa_num,0)),"Facture inconnue",IF(INDEX(fa_type,MATCH(B700,fa_num,0))="Avoir","Paiement sur un avoir",IF(OR(NOT(ISNUMBER(C700)),N(C700)&lt;=0),"Montant invalide",IF(A700&lt;INDEX(fa_date,MATCH(B700,fa_num,0)),"Date antérieure à la facture",IF(SUMIF($B$6:B700,B700,$C$6:C700)&gt;INDEX(fa_ttc,MATCH(B700,fa_num,0))-N(INDEX(fa_avoirs,MATCH(B700,fa_num,0)))+0.001,"Dépasse le montant de la facture","OK")))))))))</f>
        <v/>
      </c>
    </row>
    <row r="701">
      <c r="A701" s="61" t="n"/>
      <c r="B701" s="60" t="n"/>
      <c r="C701" s="68" t="n"/>
      <c r="D701" s="60" t="n"/>
      <c r="E701" s="63" t="n"/>
      <c r="F701" s="63" t="n"/>
      <c r="G701" s="62" t="str">
        <f>IF(B701="","",IFERROR(INDEX(fa_cname,MATCH(B701,fa_num,0))&amp;"",""))</f>
        <v/>
      </c>
      <c r="H701" s="59" t="str">
        <f>IF(COUNTA(A701:F701)=0,"",IF(A701="","Date manquante",IF(NOT(ISNUMBER(A701)),"Date invalide",IF(B701="","N° de facture manquant",IF(ISNA(MATCH(B701,fa_num,0)),"Facture inconnue",IF(INDEX(fa_type,MATCH(B701,fa_num,0))="Avoir","Paiement sur un avoir",IF(OR(NOT(ISNUMBER(C701)),N(C701)&lt;=0),"Montant invalide",IF(A701&lt;INDEX(fa_date,MATCH(B701,fa_num,0)),"Date antérieure à la facture",IF(SUMIF($B$6:B701,B701,$C$6:C701)&gt;INDEX(fa_ttc,MATCH(B701,fa_num,0))-N(INDEX(fa_avoirs,MATCH(B701,fa_num,0)))+0.001,"Dépasse le montant de la facture","OK")))))))))</f>
        <v/>
      </c>
    </row>
    <row r="702">
      <c r="A702" s="61" t="n"/>
      <c r="B702" s="60" t="n"/>
      <c r="C702" s="68" t="n"/>
      <c r="D702" s="60" t="n"/>
      <c r="E702" s="63" t="n"/>
      <c r="F702" s="63" t="n"/>
      <c r="G702" s="62" t="str">
        <f>IF(B702="","",IFERROR(INDEX(fa_cname,MATCH(B702,fa_num,0))&amp;"",""))</f>
        <v/>
      </c>
      <c r="H702" s="59" t="str">
        <f>IF(COUNTA(A702:F702)=0,"",IF(A702="","Date manquante",IF(NOT(ISNUMBER(A702)),"Date invalide",IF(B702="","N° de facture manquant",IF(ISNA(MATCH(B702,fa_num,0)),"Facture inconnue",IF(INDEX(fa_type,MATCH(B702,fa_num,0))="Avoir","Paiement sur un avoir",IF(OR(NOT(ISNUMBER(C702)),N(C702)&lt;=0),"Montant invalide",IF(A702&lt;INDEX(fa_date,MATCH(B702,fa_num,0)),"Date antérieure à la facture",IF(SUMIF($B$6:B702,B702,$C$6:C702)&gt;INDEX(fa_ttc,MATCH(B702,fa_num,0))-N(INDEX(fa_avoirs,MATCH(B702,fa_num,0)))+0.001,"Dépasse le montant de la facture","OK")))))))))</f>
        <v/>
      </c>
    </row>
    <row r="703">
      <c r="A703" s="61" t="n"/>
      <c r="B703" s="60" t="n"/>
      <c r="C703" s="68" t="n"/>
      <c r="D703" s="60" t="n"/>
      <c r="E703" s="63" t="n"/>
      <c r="F703" s="63" t="n"/>
      <c r="G703" s="62" t="str">
        <f>IF(B703="","",IFERROR(INDEX(fa_cname,MATCH(B703,fa_num,0))&amp;"",""))</f>
        <v/>
      </c>
      <c r="H703" s="59" t="str">
        <f>IF(COUNTA(A703:F703)=0,"",IF(A703="","Date manquante",IF(NOT(ISNUMBER(A703)),"Date invalide",IF(B703="","N° de facture manquant",IF(ISNA(MATCH(B703,fa_num,0)),"Facture inconnue",IF(INDEX(fa_type,MATCH(B703,fa_num,0))="Avoir","Paiement sur un avoir",IF(OR(NOT(ISNUMBER(C703)),N(C703)&lt;=0),"Montant invalide",IF(A703&lt;INDEX(fa_date,MATCH(B703,fa_num,0)),"Date antérieure à la facture",IF(SUMIF($B$6:B703,B703,$C$6:C703)&gt;INDEX(fa_ttc,MATCH(B703,fa_num,0))-N(INDEX(fa_avoirs,MATCH(B703,fa_num,0)))+0.001,"Dépasse le montant de la facture","OK")))))))))</f>
        <v/>
      </c>
    </row>
    <row r="704">
      <c r="A704" s="61" t="n"/>
      <c r="B704" s="60" t="n"/>
      <c r="C704" s="68" t="n"/>
      <c r="D704" s="60" t="n"/>
      <c r="E704" s="63" t="n"/>
      <c r="F704" s="63" t="n"/>
      <c r="G704" s="62" t="str">
        <f>IF(B704="","",IFERROR(INDEX(fa_cname,MATCH(B704,fa_num,0))&amp;"",""))</f>
        <v/>
      </c>
      <c r="H704" s="59" t="str">
        <f>IF(COUNTA(A704:F704)=0,"",IF(A704="","Date manquante",IF(NOT(ISNUMBER(A704)),"Date invalide",IF(B704="","N° de facture manquant",IF(ISNA(MATCH(B704,fa_num,0)),"Facture inconnue",IF(INDEX(fa_type,MATCH(B704,fa_num,0))="Avoir","Paiement sur un avoir",IF(OR(NOT(ISNUMBER(C704)),N(C704)&lt;=0),"Montant invalide",IF(A704&lt;INDEX(fa_date,MATCH(B704,fa_num,0)),"Date antérieure à la facture",IF(SUMIF($B$6:B704,B704,$C$6:C704)&gt;INDEX(fa_ttc,MATCH(B704,fa_num,0))-N(INDEX(fa_avoirs,MATCH(B704,fa_num,0)))+0.001,"Dépasse le montant de la facture","OK")))))))))</f>
        <v/>
      </c>
    </row>
    <row r="705">
      <c r="A705" s="61" t="n"/>
      <c r="B705" s="60" t="n"/>
      <c r="C705" s="68" t="n"/>
      <c r="D705" s="60" t="n"/>
      <c r="E705" s="63" t="n"/>
      <c r="F705" s="63" t="n"/>
      <c r="G705" s="62" t="str">
        <f>IF(B705="","",IFERROR(INDEX(fa_cname,MATCH(B705,fa_num,0))&amp;"",""))</f>
        <v/>
      </c>
      <c r="H705" s="59" t="str">
        <f>IF(COUNTA(A705:F705)=0,"",IF(A705="","Date manquante",IF(NOT(ISNUMBER(A705)),"Date invalide",IF(B705="","N° de facture manquant",IF(ISNA(MATCH(B705,fa_num,0)),"Facture inconnue",IF(INDEX(fa_type,MATCH(B705,fa_num,0))="Avoir","Paiement sur un avoir",IF(OR(NOT(ISNUMBER(C705)),N(C705)&lt;=0),"Montant invalide",IF(A705&lt;INDEX(fa_date,MATCH(B705,fa_num,0)),"Date antérieure à la facture",IF(SUMIF($B$6:B705,B705,$C$6:C705)&gt;INDEX(fa_ttc,MATCH(B705,fa_num,0))-N(INDEX(fa_avoirs,MATCH(B705,fa_num,0)))+0.001,"Dépasse le montant de la facture","OK")))))))))</f>
        <v/>
      </c>
    </row>
    <row r="706">
      <c r="A706" s="61" t="n"/>
      <c r="B706" s="60" t="n"/>
      <c r="C706" s="68" t="n"/>
      <c r="D706" s="60" t="n"/>
      <c r="E706" s="63" t="n"/>
      <c r="F706" s="63" t="n"/>
      <c r="G706" s="62" t="str">
        <f>IF(B706="","",IFERROR(INDEX(fa_cname,MATCH(B706,fa_num,0))&amp;"",""))</f>
        <v/>
      </c>
      <c r="H706" s="59" t="str">
        <f>IF(COUNTA(A706:F706)=0,"",IF(A706="","Date manquante",IF(NOT(ISNUMBER(A706)),"Date invalide",IF(B706="","N° de facture manquant",IF(ISNA(MATCH(B706,fa_num,0)),"Facture inconnue",IF(INDEX(fa_type,MATCH(B706,fa_num,0))="Avoir","Paiement sur un avoir",IF(OR(NOT(ISNUMBER(C706)),N(C706)&lt;=0),"Montant invalide",IF(A706&lt;INDEX(fa_date,MATCH(B706,fa_num,0)),"Date antérieure à la facture",IF(SUMIF($B$6:B706,B706,$C$6:C706)&gt;INDEX(fa_ttc,MATCH(B706,fa_num,0))-N(INDEX(fa_avoirs,MATCH(B706,fa_num,0)))+0.001,"Dépasse le montant de la facture","OK")))))))))</f>
        <v/>
      </c>
    </row>
    <row r="707">
      <c r="A707" s="61" t="n"/>
      <c r="B707" s="60" t="n"/>
      <c r="C707" s="68" t="n"/>
      <c r="D707" s="60" t="n"/>
      <c r="E707" s="63" t="n"/>
      <c r="F707" s="63" t="n"/>
      <c r="G707" s="62" t="str">
        <f>IF(B707="","",IFERROR(INDEX(fa_cname,MATCH(B707,fa_num,0))&amp;"",""))</f>
        <v/>
      </c>
      <c r="H707" s="59" t="str">
        <f>IF(COUNTA(A707:F707)=0,"",IF(A707="","Date manquante",IF(NOT(ISNUMBER(A707)),"Date invalide",IF(B707="","N° de facture manquant",IF(ISNA(MATCH(B707,fa_num,0)),"Facture inconnue",IF(INDEX(fa_type,MATCH(B707,fa_num,0))="Avoir","Paiement sur un avoir",IF(OR(NOT(ISNUMBER(C707)),N(C707)&lt;=0),"Montant invalide",IF(A707&lt;INDEX(fa_date,MATCH(B707,fa_num,0)),"Date antérieure à la facture",IF(SUMIF($B$6:B707,B707,$C$6:C707)&gt;INDEX(fa_ttc,MATCH(B707,fa_num,0))-N(INDEX(fa_avoirs,MATCH(B707,fa_num,0)))+0.001,"Dépasse le montant de la facture","OK")))))))))</f>
        <v/>
      </c>
    </row>
    <row r="708">
      <c r="A708" s="61" t="n"/>
      <c r="B708" s="60" t="n"/>
      <c r="C708" s="68" t="n"/>
      <c r="D708" s="60" t="n"/>
      <c r="E708" s="63" t="n"/>
      <c r="F708" s="63" t="n"/>
      <c r="G708" s="62" t="str">
        <f>IF(B708="","",IFERROR(INDEX(fa_cname,MATCH(B708,fa_num,0))&amp;"",""))</f>
        <v/>
      </c>
      <c r="H708" s="59" t="str">
        <f>IF(COUNTA(A708:F708)=0,"",IF(A708="","Date manquante",IF(NOT(ISNUMBER(A708)),"Date invalide",IF(B708="","N° de facture manquant",IF(ISNA(MATCH(B708,fa_num,0)),"Facture inconnue",IF(INDEX(fa_type,MATCH(B708,fa_num,0))="Avoir","Paiement sur un avoir",IF(OR(NOT(ISNUMBER(C708)),N(C708)&lt;=0),"Montant invalide",IF(A708&lt;INDEX(fa_date,MATCH(B708,fa_num,0)),"Date antérieure à la facture",IF(SUMIF($B$6:B708,B708,$C$6:C708)&gt;INDEX(fa_ttc,MATCH(B708,fa_num,0))-N(INDEX(fa_avoirs,MATCH(B708,fa_num,0)))+0.001,"Dépasse le montant de la facture","OK")))))))))</f>
        <v/>
      </c>
    </row>
    <row r="709">
      <c r="A709" s="61" t="n"/>
      <c r="B709" s="60" t="n"/>
      <c r="C709" s="68" t="n"/>
      <c r="D709" s="60" t="n"/>
      <c r="E709" s="63" t="n"/>
      <c r="F709" s="63" t="n"/>
      <c r="G709" s="62" t="str">
        <f>IF(B709="","",IFERROR(INDEX(fa_cname,MATCH(B709,fa_num,0))&amp;"",""))</f>
        <v/>
      </c>
      <c r="H709" s="59" t="str">
        <f>IF(COUNTA(A709:F709)=0,"",IF(A709="","Date manquante",IF(NOT(ISNUMBER(A709)),"Date invalide",IF(B709="","N° de facture manquant",IF(ISNA(MATCH(B709,fa_num,0)),"Facture inconnue",IF(INDEX(fa_type,MATCH(B709,fa_num,0))="Avoir","Paiement sur un avoir",IF(OR(NOT(ISNUMBER(C709)),N(C709)&lt;=0),"Montant invalide",IF(A709&lt;INDEX(fa_date,MATCH(B709,fa_num,0)),"Date antérieure à la facture",IF(SUMIF($B$6:B709,B709,$C$6:C709)&gt;INDEX(fa_ttc,MATCH(B709,fa_num,0))-N(INDEX(fa_avoirs,MATCH(B709,fa_num,0)))+0.001,"Dépasse le montant de la facture","OK")))))))))</f>
        <v/>
      </c>
    </row>
    <row r="710">
      <c r="A710" s="61" t="n"/>
      <c r="B710" s="60" t="n"/>
      <c r="C710" s="68" t="n"/>
      <c r="D710" s="60" t="n"/>
      <c r="E710" s="63" t="n"/>
      <c r="F710" s="63" t="n"/>
      <c r="G710" s="62" t="str">
        <f>IF(B710="","",IFERROR(INDEX(fa_cname,MATCH(B710,fa_num,0))&amp;"",""))</f>
        <v/>
      </c>
      <c r="H710" s="59" t="str">
        <f>IF(COUNTA(A710:F710)=0,"",IF(A710="","Date manquante",IF(NOT(ISNUMBER(A710)),"Date invalide",IF(B710="","N° de facture manquant",IF(ISNA(MATCH(B710,fa_num,0)),"Facture inconnue",IF(INDEX(fa_type,MATCH(B710,fa_num,0))="Avoir","Paiement sur un avoir",IF(OR(NOT(ISNUMBER(C710)),N(C710)&lt;=0),"Montant invalide",IF(A710&lt;INDEX(fa_date,MATCH(B710,fa_num,0)),"Date antérieure à la facture",IF(SUMIF($B$6:B710,B710,$C$6:C710)&gt;INDEX(fa_ttc,MATCH(B710,fa_num,0))-N(INDEX(fa_avoirs,MATCH(B710,fa_num,0)))+0.001,"Dépasse le montant de la facture","OK")))))))))</f>
        <v/>
      </c>
    </row>
    <row r="711">
      <c r="A711" s="61" t="n"/>
      <c r="B711" s="60" t="n"/>
      <c r="C711" s="68" t="n"/>
      <c r="D711" s="60" t="n"/>
      <c r="E711" s="63" t="n"/>
      <c r="F711" s="63" t="n"/>
      <c r="G711" s="62" t="str">
        <f>IF(B711="","",IFERROR(INDEX(fa_cname,MATCH(B711,fa_num,0))&amp;"",""))</f>
        <v/>
      </c>
      <c r="H711" s="59" t="str">
        <f>IF(COUNTA(A711:F711)=0,"",IF(A711="","Date manquante",IF(NOT(ISNUMBER(A711)),"Date invalide",IF(B711="","N° de facture manquant",IF(ISNA(MATCH(B711,fa_num,0)),"Facture inconnue",IF(INDEX(fa_type,MATCH(B711,fa_num,0))="Avoir","Paiement sur un avoir",IF(OR(NOT(ISNUMBER(C711)),N(C711)&lt;=0),"Montant invalide",IF(A711&lt;INDEX(fa_date,MATCH(B711,fa_num,0)),"Date antérieure à la facture",IF(SUMIF($B$6:B711,B711,$C$6:C711)&gt;INDEX(fa_ttc,MATCH(B711,fa_num,0))-N(INDEX(fa_avoirs,MATCH(B711,fa_num,0)))+0.001,"Dépasse le montant de la facture","OK")))))))))</f>
        <v/>
      </c>
    </row>
    <row r="712">
      <c r="A712" s="61" t="n"/>
      <c r="B712" s="60" t="n"/>
      <c r="C712" s="68" t="n"/>
      <c r="D712" s="60" t="n"/>
      <c r="E712" s="63" t="n"/>
      <c r="F712" s="63" t="n"/>
      <c r="G712" s="62" t="str">
        <f>IF(B712="","",IFERROR(INDEX(fa_cname,MATCH(B712,fa_num,0))&amp;"",""))</f>
        <v/>
      </c>
      <c r="H712" s="59" t="str">
        <f>IF(COUNTA(A712:F712)=0,"",IF(A712="","Date manquante",IF(NOT(ISNUMBER(A712)),"Date invalide",IF(B712="","N° de facture manquant",IF(ISNA(MATCH(B712,fa_num,0)),"Facture inconnue",IF(INDEX(fa_type,MATCH(B712,fa_num,0))="Avoir","Paiement sur un avoir",IF(OR(NOT(ISNUMBER(C712)),N(C712)&lt;=0),"Montant invalide",IF(A712&lt;INDEX(fa_date,MATCH(B712,fa_num,0)),"Date antérieure à la facture",IF(SUMIF($B$6:B712,B712,$C$6:C712)&gt;INDEX(fa_ttc,MATCH(B712,fa_num,0))-N(INDEX(fa_avoirs,MATCH(B712,fa_num,0)))+0.001,"Dépasse le montant de la facture","OK")))))))))</f>
        <v/>
      </c>
    </row>
    <row r="713">
      <c r="A713" s="61" t="n"/>
      <c r="B713" s="60" t="n"/>
      <c r="C713" s="68" t="n"/>
      <c r="D713" s="60" t="n"/>
      <c r="E713" s="63" t="n"/>
      <c r="F713" s="63" t="n"/>
      <c r="G713" s="62" t="str">
        <f>IF(B713="","",IFERROR(INDEX(fa_cname,MATCH(B713,fa_num,0))&amp;"",""))</f>
        <v/>
      </c>
      <c r="H713" s="59" t="str">
        <f>IF(COUNTA(A713:F713)=0,"",IF(A713="","Date manquante",IF(NOT(ISNUMBER(A713)),"Date invalide",IF(B713="","N° de facture manquant",IF(ISNA(MATCH(B713,fa_num,0)),"Facture inconnue",IF(INDEX(fa_type,MATCH(B713,fa_num,0))="Avoir","Paiement sur un avoir",IF(OR(NOT(ISNUMBER(C713)),N(C713)&lt;=0),"Montant invalide",IF(A713&lt;INDEX(fa_date,MATCH(B713,fa_num,0)),"Date antérieure à la facture",IF(SUMIF($B$6:B713,B713,$C$6:C713)&gt;INDEX(fa_ttc,MATCH(B713,fa_num,0))-N(INDEX(fa_avoirs,MATCH(B713,fa_num,0)))+0.001,"Dépasse le montant de la facture","OK")))))))))</f>
        <v/>
      </c>
    </row>
    <row r="714">
      <c r="A714" s="61" t="n"/>
      <c r="B714" s="60" t="n"/>
      <c r="C714" s="68" t="n"/>
      <c r="D714" s="60" t="n"/>
      <c r="E714" s="63" t="n"/>
      <c r="F714" s="63" t="n"/>
      <c r="G714" s="62" t="str">
        <f>IF(B714="","",IFERROR(INDEX(fa_cname,MATCH(B714,fa_num,0))&amp;"",""))</f>
        <v/>
      </c>
      <c r="H714" s="59" t="str">
        <f>IF(COUNTA(A714:F714)=0,"",IF(A714="","Date manquante",IF(NOT(ISNUMBER(A714)),"Date invalide",IF(B714="","N° de facture manquant",IF(ISNA(MATCH(B714,fa_num,0)),"Facture inconnue",IF(INDEX(fa_type,MATCH(B714,fa_num,0))="Avoir","Paiement sur un avoir",IF(OR(NOT(ISNUMBER(C714)),N(C714)&lt;=0),"Montant invalide",IF(A714&lt;INDEX(fa_date,MATCH(B714,fa_num,0)),"Date antérieure à la facture",IF(SUMIF($B$6:B714,B714,$C$6:C714)&gt;INDEX(fa_ttc,MATCH(B714,fa_num,0))-N(INDEX(fa_avoirs,MATCH(B714,fa_num,0)))+0.001,"Dépasse le montant de la facture","OK")))))))))</f>
        <v/>
      </c>
    </row>
    <row r="715">
      <c r="A715" s="61" t="n"/>
      <c r="B715" s="60" t="n"/>
      <c r="C715" s="68" t="n"/>
      <c r="D715" s="60" t="n"/>
      <c r="E715" s="63" t="n"/>
      <c r="F715" s="63" t="n"/>
      <c r="G715" s="62" t="str">
        <f>IF(B715="","",IFERROR(INDEX(fa_cname,MATCH(B715,fa_num,0))&amp;"",""))</f>
        <v/>
      </c>
      <c r="H715" s="59" t="str">
        <f>IF(COUNTA(A715:F715)=0,"",IF(A715="","Date manquante",IF(NOT(ISNUMBER(A715)),"Date invalide",IF(B715="","N° de facture manquant",IF(ISNA(MATCH(B715,fa_num,0)),"Facture inconnue",IF(INDEX(fa_type,MATCH(B715,fa_num,0))="Avoir","Paiement sur un avoir",IF(OR(NOT(ISNUMBER(C715)),N(C715)&lt;=0),"Montant invalide",IF(A715&lt;INDEX(fa_date,MATCH(B715,fa_num,0)),"Date antérieure à la facture",IF(SUMIF($B$6:B715,B715,$C$6:C715)&gt;INDEX(fa_ttc,MATCH(B715,fa_num,0))-N(INDEX(fa_avoirs,MATCH(B715,fa_num,0)))+0.001,"Dépasse le montant de la facture","OK")))))))))</f>
        <v/>
      </c>
    </row>
    <row r="716">
      <c r="A716" s="61" t="n"/>
      <c r="B716" s="60" t="n"/>
      <c r="C716" s="68" t="n"/>
      <c r="D716" s="60" t="n"/>
      <c r="E716" s="63" t="n"/>
      <c r="F716" s="63" t="n"/>
      <c r="G716" s="62" t="str">
        <f>IF(B716="","",IFERROR(INDEX(fa_cname,MATCH(B716,fa_num,0))&amp;"",""))</f>
        <v/>
      </c>
      <c r="H716" s="59" t="str">
        <f>IF(COUNTA(A716:F716)=0,"",IF(A716="","Date manquante",IF(NOT(ISNUMBER(A716)),"Date invalide",IF(B716="","N° de facture manquant",IF(ISNA(MATCH(B716,fa_num,0)),"Facture inconnue",IF(INDEX(fa_type,MATCH(B716,fa_num,0))="Avoir","Paiement sur un avoir",IF(OR(NOT(ISNUMBER(C716)),N(C716)&lt;=0),"Montant invalide",IF(A716&lt;INDEX(fa_date,MATCH(B716,fa_num,0)),"Date antérieure à la facture",IF(SUMIF($B$6:B716,B716,$C$6:C716)&gt;INDEX(fa_ttc,MATCH(B716,fa_num,0))-N(INDEX(fa_avoirs,MATCH(B716,fa_num,0)))+0.001,"Dépasse le montant de la facture","OK")))))))))</f>
        <v/>
      </c>
    </row>
    <row r="717">
      <c r="A717" s="61" t="n"/>
      <c r="B717" s="60" t="n"/>
      <c r="C717" s="68" t="n"/>
      <c r="D717" s="60" t="n"/>
      <c r="E717" s="63" t="n"/>
      <c r="F717" s="63" t="n"/>
      <c r="G717" s="62" t="str">
        <f>IF(B717="","",IFERROR(INDEX(fa_cname,MATCH(B717,fa_num,0))&amp;"",""))</f>
        <v/>
      </c>
      <c r="H717" s="59" t="str">
        <f>IF(COUNTA(A717:F717)=0,"",IF(A717="","Date manquante",IF(NOT(ISNUMBER(A717)),"Date invalide",IF(B717="","N° de facture manquant",IF(ISNA(MATCH(B717,fa_num,0)),"Facture inconnue",IF(INDEX(fa_type,MATCH(B717,fa_num,0))="Avoir","Paiement sur un avoir",IF(OR(NOT(ISNUMBER(C717)),N(C717)&lt;=0),"Montant invalide",IF(A717&lt;INDEX(fa_date,MATCH(B717,fa_num,0)),"Date antérieure à la facture",IF(SUMIF($B$6:B717,B717,$C$6:C717)&gt;INDEX(fa_ttc,MATCH(B717,fa_num,0))-N(INDEX(fa_avoirs,MATCH(B717,fa_num,0)))+0.001,"Dépasse le montant de la facture","OK")))))))))</f>
        <v/>
      </c>
    </row>
    <row r="718">
      <c r="A718" s="61" t="n"/>
      <c r="B718" s="60" t="n"/>
      <c r="C718" s="68" t="n"/>
      <c r="D718" s="60" t="n"/>
      <c r="E718" s="63" t="n"/>
      <c r="F718" s="63" t="n"/>
      <c r="G718" s="62" t="str">
        <f>IF(B718="","",IFERROR(INDEX(fa_cname,MATCH(B718,fa_num,0))&amp;"",""))</f>
        <v/>
      </c>
      <c r="H718" s="59" t="str">
        <f>IF(COUNTA(A718:F718)=0,"",IF(A718="","Date manquante",IF(NOT(ISNUMBER(A718)),"Date invalide",IF(B718="","N° de facture manquant",IF(ISNA(MATCH(B718,fa_num,0)),"Facture inconnue",IF(INDEX(fa_type,MATCH(B718,fa_num,0))="Avoir","Paiement sur un avoir",IF(OR(NOT(ISNUMBER(C718)),N(C718)&lt;=0),"Montant invalide",IF(A718&lt;INDEX(fa_date,MATCH(B718,fa_num,0)),"Date antérieure à la facture",IF(SUMIF($B$6:B718,B718,$C$6:C718)&gt;INDEX(fa_ttc,MATCH(B718,fa_num,0))-N(INDEX(fa_avoirs,MATCH(B718,fa_num,0)))+0.001,"Dépasse le montant de la facture","OK")))))))))</f>
        <v/>
      </c>
    </row>
    <row r="719">
      <c r="A719" s="61" t="n"/>
      <c r="B719" s="60" t="n"/>
      <c r="C719" s="68" t="n"/>
      <c r="D719" s="60" t="n"/>
      <c r="E719" s="63" t="n"/>
      <c r="F719" s="63" t="n"/>
      <c r="G719" s="62" t="str">
        <f>IF(B719="","",IFERROR(INDEX(fa_cname,MATCH(B719,fa_num,0))&amp;"",""))</f>
        <v/>
      </c>
      <c r="H719" s="59" t="str">
        <f>IF(COUNTA(A719:F719)=0,"",IF(A719="","Date manquante",IF(NOT(ISNUMBER(A719)),"Date invalide",IF(B719="","N° de facture manquant",IF(ISNA(MATCH(B719,fa_num,0)),"Facture inconnue",IF(INDEX(fa_type,MATCH(B719,fa_num,0))="Avoir","Paiement sur un avoir",IF(OR(NOT(ISNUMBER(C719)),N(C719)&lt;=0),"Montant invalide",IF(A719&lt;INDEX(fa_date,MATCH(B719,fa_num,0)),"Date antérieure à la facture",IF(SUMIF($B$6:B719,B719,$C$6:C719)&gt;INDEX(fa_ttc,MATCH(B719,fa_num,0))-N(INDEX(fa_avoirs,MATCH(B719,fa_num,0)))+0.001,"Dépasse le montant de la facture","OK")))))))))</f>
        <v/>
      </c>
    </row>
    <row r="720">
      <c r="A720" s="61" t="n"/>
      <c r="B720" s="60" t="n"/>
      <c r="C720" s="68" t="n"/>
      <c r="D720" s="60" t="n"/>
      <c r="E720" s="63" t="n"/>
      <c r="F720" s="63" t="n"/>
      <c r="G720" s="62" t="str">
        <f>IF(B720="","",IFERROR(INDEX(fa_cname,MATCH(B720,fa_num,0))&amp;"",""))</f>
        <v/>
      </c>
      <c r="H720" s="59" t="str">
        <f>IF(COUNTA(A720:F720)=0,"",IF(A720="","Date manquante",IF(NOT(ISNUMBER(A720)),"Date invalide",IF(B720="","N° de facture manquant",IF(ISNA(MATCH(B720,fa_num,0)),"Facture inconnue",IF(INDEX(fa_type,MATCH(B720,fa_num,0))="Avoir","Paiement sur un avoir",IF(OR(NOT(ISNUMBER(C720)),N(C720)&lt;=0),"Montant invalide",IF(A720&lt;INDEX(fa_date,MATCH(B720,fa_num,0)),"Date antérieure à la facture",IF(SUMIF($B$6:B720,B720,$C$6:C720)&gt;INDEX(fa_ttc,MATCH(B720,fa_num,0))-N(INDEX(fa_avoirs,MATCH(B720,fa_num,0)))+0.001,"Dépasse le montant de la facture","OK")))))))))</f>
        <v/>
      </c>
    </row>
    <row r="721">
      <c r="A721" s="61" t="n"/>
      <c r="B721" s="60" t="n"/>
      <c r="C721" s="68" t="n"/>
      <c r="D721" s="60" t="n"/>
      <c r="E721" s="63" t="n"/>
      <c r="F721" s="63" t="n"/>
      <c r="G721" s="62" t="str">
        <f>IF(B721="","",IFERROR(INDEX(fa_cname,MATCH(B721,fa_num,0))&amp;"",""))</f>
        <v/>
      </c>
      <c r="H721" s="59" t="str">
        <f>IF(COUNTA(A721:F721)=0,"",IF(A721="","Date manquante",IF(NOT(ISNUMBER(A721)),"Date invalide",IF(B721="","N° de facture manquant",IF(ISNA(MATCH(B721,fa_num,0)),"Facture inconnue",IF(INDEX(fa_type,MATCH(B721,fa_num,0))="Avoir","Paiement sur un avoir",IF(OR(NOT(ISNUMBER(C721)),N(C721)&lt;=0),"Montant invalide",IF(A721&lt;INDEX(fa_date,MATCH(B721,fa_num,0)),"Date antérieure à la facture",IF(SUMIF($B$6:B721,B721,$C$6:C721)&gt;INDEX(fa_ttc,MATCH(B721,fa_num,0))-N(INDEX(fa_avoirs,MATCH(B721,fa_num,0)))+0.001,"Dépasse le montant de la facture","OK")))))))))</f>
        <v/>
      </c>
    </row>
    <row r="722">
      <c r="A722" s="61" t="n"/>
      <c r="B722" s="60" t="n"/>
      <c r="C722" s="68" t="n"/>
      <c r="D722" s="60" t="n"/>
      <c r="E722" s="63" t="n"/>
      <c r="F722" s="63" t="n"/>
      <c r="G722" s="62" t="str">
        <f>IF(B722="","",IFERROR(INDEX(fa_cname,MATCH(B722,fa_num,0))&amp;"",""))</f>
        <v/>
      </c>
      <c r="H722" s="59" t="str">
        <f>IF(COUNTA(A722:F722)=0,"",IF(A722="","Date manquante",IF(NOT(ISNUMBER(A722)),"Date invalide",IF(B722="","N° de facture manquant",IF(ISNA(MATCH(B722,fa_num,0)),"Facture inconnue",IF(INDEX(fa_type,MATCH(B722,fa_num,0))="Avoir","Paiement sur un avoir",IF(OR(NOT(ISNUMBER(C722)),N(C722)&lt;=0),"Montant invalide",IF(A722&lt;INDEX(fa_date,MATCH(B722,fa_num,0)),"Date antérieure à la facture",IF(SUMIF($B$6:B722,B722,$C$6:C722)&gt;INDEX(fa_ttc,MATCH(B722,fa_num,0))-N(INDEX(fa_avoirs,MATCH(B722,fa_num,0)))+0.001,"Dépasse le montant de la facture","OK")))))))))</f>
        <v/>
      </c>
    </row>
    <row r="723">
      <c r="A723" s="61" t="n"/>
      <c r="B723" s="60" t="n"/>
      <c r="C723" s="68" t="n"/>
      <c r="D723" s="60" t="n"/>
      <c r="E723" s="63" t="n"/>
      <c r="F723" s="63" t="n"/>
      <c r="G723" s="62" t="str">
        <f>IF(B723="","",IFERROR(INDEX(fa_cname,MATCH(B723,fa_num,0))&amp;"",""))</f>
        <v/>
      </c>
      <c r="H723" s="59" t="str">
        <f>IF(COUNTA(A723:F723)=0,"",IF(A723="","Date manquante",IF(NOT(ISNUMBER(A723)),"Date invalide",IF(B723="","N° de facture manquant",IF(ISNA(MATCH(B723,fa_num,0)),"Facture inconnue",IF(INDEX(fa_type,MATCH(B723,fa_num,0))="Avoir","Paiement sur un avoir",IF(OR(NOT(ISNUMBER(C723)),N(C723)&lt;=0),"Montant invalide",IF(A723&lt;INDEX(fa_date,MATCH(B723,fa_num,0)),"Date antérieure à la facture",IF(SUMIF($B$6:B723,B723,$C$6:C723)&gt;INDEX(fa_ttc,MATCH(B723,fa_num,0))-N(INDEX(fa_avoirs,MATCH(B723,fa_num,0)))+0.001,"Dépasse le montant de la facture","OK")))))))))</f>
        <v/>
      </c>
    </row>
    <row r="724">
      <c r="A724" s="61" t="n"/>
      <c r="B724" s="60" t="n"/>
      <c r="C724" s="68" t="n"/>
      <c r="D724" s="60" t="n"/>
      <c r="E724" s="63" t="n"/>
      <c r="F724" s="63" t="n"/>
      <c r="G724" s="62" t="str">
        <f>IF(B724="","",IFERROR(INDEX(fa_cname,MATCH(B724,fa_num,0))&amp;"",""))</f>
        <v/>
      </c>
      <c r="H724" s="59" t="str">
        <f>IF(COUNTA(A724:F724)=0,"",IF(A724="","Date manquante",IF(NOT(ISNUMBER(A724)),"Date invalide",IF(B724="","N° de facture manquant",IF(ISNA(MATCH(B724,fa_num,0)),"Facture inconnue",IF(INDEX(fa_type,MATCH(B724,fa_num,0))="Avoir","Paiement sur un avoir",IF(OR(NOT(ISNUMBER(C724)),N(C724)&lt;=0),"Montant invalide",IF(A724&lt;INDEX(fa_date,MATCH(B724,fa_num,0)),"Date antérieure à la facture",IF(SUMIF($B$6:B724,B724,$C$6:C724)&gt;INDEX(fa_ttc,MATCH(B724,fa_num,0))-N(INDEX(fa_avoirs,MATCH(B724,fa_num,0)))+0.001,"Dépasse le montant de la facture","OK")))))))))</f>
        <v/>
      </c>
    </row>
    <row r="725">
      <c r="A725" s="61" t="n"/>
      <c r="B725" s="60" t="n"/>
      <c r="C725" s="68" t="n"/>
      <c r="D725" s="60" t="n"/>
      <c r="E725" s="63" t="n"/>
      <c r="F725" s="63" t="n"/>
      <c r="G725" s="62" t="str">
        <f>IF(B725="","",IFERROR(INDEX(fa_cname,MATCH(B725,fa_num,0))&amp;"",""))</f>
        <v/>
      </c>
      <c r="H725" s="59" t="str">
        <f>IF(COUNTA(A725:F725)=0,"",IF(A725="","Date manquante",IF(NOT(ISNUMBER(A725)),"Date invalide",IF(B725="","N° de facture manquant",IF(ISNA(MATCH(B725,fa_num,0)),"Facture inconnue",IF(INDEX(fa_type,MATCH(B725,fa_num,0))="Avoir","Paiement sur un avoir",IF(OR(NOT(ISNUMBER(C725)),N(C725)&lt;=0),"Montant invalide",IF(A725&lt;INDEX(fa_date,MATCH(B725,fa_num,0)),"Date antérieure à la facture",IF(SUMIF($B$6:B725,B725,$C$6:C725)&gt;INDEX(fa_ttc,MATCH(B725,fa_num,0))-N(INDEX(fa_avoirs,MATCH(B725,fa_num,0)))+0.001,"Dépasse le montant de la facture","OK")))))))))</f>
        <v/>
      </c>
    </row>
    <row r="726">
      <c r="A726" s="61" t="n"/>
      <c r="B726" s="60" t="n"/>
      <c r="C726" s="68" t="n"/>
      <c r="D726" s="60" t="n"/>
      <c r="E726" s="63" t="n"/>
      <c r="F726" s="63" t="n"/>
      <c r="G726" s="62" t="str">
        <f>IF(B726="","",IFERROR(INDEX(fa_cname,MATCH(B726,fa_num,0))&amp;"",""))</f>
        <v/>
      </c>
      <c r="H726" s="59" t="str">
        <f>IF(COUNTA(A726:F726)=0,"",IF(A726="","Date manquante",IF(NOT(ISNUMBER(A726)),"Date invalide",IF(B726="","N° de facture manquant",IF(ISNA(MATCH(B726,fa_num,0)),"Facture inconnue",IF(INDEX(fa_type,MATCH(B726,fa_num,0))="Avoir","Paiement sur un avoir",IF(OR(NOT(ISNUMBER(C726)),N(C726)&lt;=0),"Montant invalide",IF(A726&lt;INDEX(fa_date,MATCH(B726,fa_num,0)),"Date antérieure à la facture",IF(SUMIF($B$6:B726,B726,$C$6:C726)&gt;INDEX(fa_ttc,MATCH(B726,fa_num,0))-N(INDEX(fa_avoirs,MATCH(B726,fa_num,0)))+0.001,"Dépasse le montant de la facture","OK")))))))))</f>
        <v/>
      </c>
    </row>
    <row r="727">
      <c r="A727" s="61" t="n"/>
      <c r="B727" s="60" t="n"/>
      <c r="C727" s="68" t="n"/>
      <c r="D727" s="60" t="n"/>
      <c r="E727" s="63" t="n"/>
      <c r="F727" s="63" t="n"/>
      <c r="G727" s="62" t="str">
        <f>IF(B727="","",IFERROR(INDEX(fa_cname,MATCH(B727,fa_num,0))&amp;"",""))</f>
        <v/>
      </c>
      <c r="H727" s="59" t="str">
        <f>IF(COUNTA(A727:F727)=0,"",IF(A727="","Date manquante",IF(NOT(ISNUMBER(A727)),"Date invalide",IF(B727="","N° de facture manquant",IF(ISNA(MATCH(B727,fa_num,0)),"Facture inconnue",IF(INDEX(fa_type,MATCH(B727,fa_num,0))="Avoir","Paiement sur un avoir",IF(OR(NOT(ISNUMBER(C727)),N(C727)&lt;=0),"Montant invalide",IF(A727&lt;INDEX(fa_date,MATCH(B727,fa_num,0)),"Date antérieure à la facture",IF(SUMIF($B$6:B727,B727,$C$6:C727)&gt;INDEX(fa_ttc,MATCH(B727,fa_num,0))-N(INDEX(fa_avoirs,MATCH(B727,fa_num,0)))+0.001,"Dépasse le montant de la facture","OK")))))))))</f>
        <v/>
      </c>
    </row>
    <row r="728">
      <c r="A728" s="61" t="n"/>
      <c r="B728" s="60" t="n"/>
      <c r="C728" s="68" t="n"/>
      <c r="D728" s="60" t="n"/>
      <c r="E728" s="63" t="n"/>
      <c r="F728" s="63" t="n"/>
      <c r="G728" s="62" t="str">
        <f>IF(B728="","",IFERROR(INDEX(fa_cname,MATCH(B728,fa_num,0))&amp;"",""))</f>
        <v/>
      </c>
      <c r="H728" s="59" t="str">
        <f>IF(COUNTA(A728:F728)=0,"",IF(A728="","Date manquante",IF(NOT(ISNUMBER(A728)),"Date invalide",IF(B728="","N° de facture manquant",IF(ISNA(MATCH(B728,fa_num,0)),"Facture inconnue",IF(INDEX(fa_type,MATCH(B728,fa_num,0))="Avoir","Paiement sur un avoir",IF(OR(NOT(ISNUMBER(C728)),N(C728)&lt;=0),"Montant invalide",IF(A728&lt;INDEX(fa_date,MATCH(B728,fa_num,0)),"Date antérieure à la facture",IF(SUMIF($B$6:B728,B728,$C$6:C728)&gt;INDEX(fa_ttc,MATCH(B728,fa_num,0))-N(INDEX(fa_avoirs,MATCH(B728,fa_num,0)))+0.001,"Dépasse le montant de la facture","OK")))))))))</f>
        <v/>
      </c>
    </row>
    <row r="729">
      <c r="A729" s="61" t="n"/>
      <c r="B729" s="60" t="n"/>
      <c r="C729" s="68" t="n"/>
      <c r="D729" s="60" t="n"/>
      <c r="E729" s="63" t="n"/>
      <c r="F729" s="63" t="n"/>
      <c r="G729" s="62" t="str">
        <f>IF(B729="","",IFERROR(INDEX(fa_cname,MATCH(B729,fa_num,0))&amp;"",""))</f>
        <v/>
      </c>
      <c r="H729" s="59" t="str">
        <f>IF(COUNTA(A729:F729)=0,"",IF(A729="","Date manquante",IF(NOT(ISNUMBER(A729)),"Date invalide",IF(B729="","N° de facture manquant",IF(ISNA(MATCH(B729,fa_num,0)),"Facture inconnue",IF(INDEX(fa_type,MATCH(B729,fa_num,0))="Avoir","Paiement sur un avoir",IF(OR(NOT(ISNUMBER(C729)),N(C729)&lt;=0),"Montant invalide",IF(A729&lt;INDEX(fa_date,MATCH(B729,fa_num,0)),"Date antérieure à la facture",IF(SUMIF($B$6:B729,B729,$C$6:C729)&gt;INDEX(fa_ttc,MATCH(B729,fa_num,0))-N(INDEX(fa_avoirs,MATCH(B729,fa_num,0)))+0.001,"Dépasse le montant de la facture","OK")))))))))</f>
        <v/>
      </c>
    </row>
    <row r="730">
      <c r="A730" s="61" t="n"/>
      <c r="B730" s="60" t="n"/>
      <c r="C730" s="68" t="n"/>
      <c r="D730" s="60" t="n"/>
      <c r="E730" s="63" t="n"/>
      <c r="F730" s="63" t="n"/>
      <c r="G730" s="62" t="str">
        <f>IF(B730="","",IFERROR(INDEX(fa_cname,MATCH(B730,fa_num,0))&amp;"",""))</f>
        <v/>
      </c>
      <c r="H730" s="59" t="str">
        <f>IF(COUNTA(A730:F730)=0,"",IF(A730="","Date manquante",IF(NOT(ISNUMBER(A730)),"Date invalide",IF(B730="","N° de facture manquant",IF(ISNA(MATCH(B730,fa_num,0)),"Facture inconnue",IF(INDEX(fa_type,MATCH(B730,fa_num,0))="Avoir","Paiement sur un avoir",IF(OR(NOT(ISNUMBER(C730)),N(C730)&lt;=0),"Montant invalide",IF(A730&lt;INDEX(fa_date,MATCH(B730,fa_num,0)),"Date antérieure à la facture",IF(SUMIF($B$6:B730,B730,$C$6:C730)&gt;INDEX(fa_ttc,MATCH(B730,fa_num,0))-N(INDEX(fa_avoirs,MATCH(B730,fa_num,0)))+0.001,"Dépasse le montant de la facture","OK")))))))))</f>
        <v/>
      </c>
    </row>
    <row r="731">
      <c r="A731" s="61" t="n"/>
      <c r="B731" s="60" t="n"/>
      <c r="C731" s="68" t="n"/>
      <c r="D731" s="60" t="n"/>
      <c r="E731" s="63" t="n"/>
      <c r="F731" s="63" t="n"/>
      <c r="G731" s="62" t="str">
        <f>IF(B731="","",IFERROR(INDEX(fa_cname,MATCH(B731,fa_num,0))&amp;"",""))</f>
        <v/>
      </c>
      <c r="H731" s="59" t="str">
        <f>IF(COUNTA(A731:F731)=0,"",IF(A731="","Date manquante",IF(NOT(ISNUMBER(A731)),"Date invalide",IF(B731="","N° de facture manquant",IF(ISNA(MATCH(B731,fa_num,0)),"Facture inconnue",IF(INDEX(fa_type,MATCH(B731,fa_num,0))="Avoir","Paiement sur un avoir",IF(OR(NOT(ISNUMBER(C731)),N(C731)&lt;=0),"Montant invalide",IF(A731&lt;INDEX(fa_date,MATCH(B731,fa_num,0)),"Date antérieure à la facture",IF(SUMIF($B$6:B731,B731,$C$6:C731)&gt;INDEX(fa_ttc,MATCH(B731,fa_num,0))-N(INDEX(fa_avoirs,MATCH(B731,fa_num,0)))+0.001,"Dépasse le montant de la facture","OK")))))))))</f>
        <v/>
      </c>
    </row>
    <row r="732">
      <c r="A732" s="61" t="n"/>
      <c r="B732" s="60" t="n"/>
      <c r="C732" s="68" t="n"/>
      <c r="D732" s="60" t="n"/>
      <c r="E732" s="63" t="n"/>
      <c r="F732" s="63" t="n"/>
      <c r="G732" s="62" t="str">
        <f>IF(B732="","",IFERROR(INDEX(fa_cname,MATCH(B732,fa_num,0))&amp;"",""))</f>
        <v/>
      </c>
      <c r="H732" s="59" t="str">
        <f>IF(COUNTA(A732:F732)=0,"",IF(A732="","Date manquante",IF(NOT(ISNUMBER(A732)),"Date invalide",IF(B732="","N° de facture manquant",IF(ISNA(MATCH(B732,fa_num,0)),"Facture inconnue",IF(INDEX(fa_type,MATCH(B732,fa_num,0))="Avoir","Paiement sur un avoir",IF(OR(NOT(ISNUMBER(C732)),N(C732)&lt;=0),"Montant invalide",IF(A732&lt;INDEX(fa_date,MATCH(B732,fa_num,0)),"Date antérieure à la facture",IF(SUMIF($B$6:B732,B732,$C$6:C732)&gt;INDEX(fa_ttc,MATCH(B732,fa_num,0))-N(INDEX(fa_avoirs,MATCH(B732,fa_num,0)))+0.001,"Dépasse le montant de la facture","OK")))))))))</f>
        <v/>
      </c>
    </row>
    <row r="733">
      <c r="A733" s="61" t="n"/>
      <c r="B733" s="60" t="n"/>
      <c r="C733" s="68" t="n"/>
      <c r="D733" s="60" t="n"/>
      <c r="E733" s="63" t="n"/>
      <c r="F733" s="63" t="n"/>
      <c r="G733" s="62" t="str">
        <f>IF(B733="","",IFERROR(INDEX(fa_cname,MATCH(B733,fa_num,0))&amp;"",""))</f>
        <v/>
      </c>
      <c r="H733" s="59" t="str">
        <f>IF(COUNTA(A733:F733)=0,"",IF(A733="","Date manquante",IF(NOT(ISNUMBER(A733)),"Date invalide",IF(B733="","N° de facture manquant",IF(ISNA(MATCH(B733,fa_num,0)),"Facture inconnue",IF(INDEX(fa_type,MATCH(B733,fa_num,0))="Avoir","Paiement sur un avoir",IF(OR(NOT(ISNUMBER(C733)),N(C733)&lt;=0),"Montant invalide",IF(A733&lt;INDEX(fa_date,MATCH(B733,fa_num,0)),"Date antérieure à la facture",IF(SUMIF($B$6:B733,B733,$C$6:C733)&gt;INDEX(fa_ttc,MATCH(B733,fa_num,0))-N(INDEX(fa_avoirs,MATCH(B733,fa_num,0)))+0.001,"Dépasse le montant de la facture","OK")))))))))</f>
        <v/>
      </c>
    </row>
    <row r="734">
      <c r="A734" s="61" t="n"/>
      <c r="B734" s="60" t="n"/>
      <c r="C734" s="68" t="n"/>
      <c r="D734" s="60" t="n"/>
      <c r="E734" s="63" t="n"/>
      <c r="F734" s="63" t="n"/>
      <c r="G734" s="62" t="str">
        <f>IF(B734="","",IFERROR(INDEX(fa_cname,MATCH(B734,fa_num,0))&amp;"",""))</f>
        <v/>
      </c>
      <c r="H734" s="59" t="str">
        <f>IF(COUNTA(A734:F734)=0,"",IF(A734="","Date manquante",IF(NOT(ISNUMBER(A734)),"Date invalide",IF(B734="","N° de facture manquant",IF(ISNA(MATCH(B734,fa_num,0)),"Facture inconnue",IF(INDEX(fa_type,MATCH(B734,fa_num,0))="Avoir","Paiement sur un avoir",IF(OR(NOT(ISNUMBER(C734)),N(C734)&lt;=0),"Montant invalide",IF(A734&lt;INDEX(fa_date,MATCH(B734,fa_num,0)),"Date antérieure à la facture",IF(SUMIF($B$6:B734,B734,$C$6:C734)&gt;INDEX(fa_ttc,MATCH(B734,fa_num,0))-N(INDEX(fa_avoirs,MATCH(B734,fa_num,0)))+0.001,"Dépasse le montant de la facture","OK")))))))))</f>
        <v/>
      </c>
    </row>
    <row r="735">
      <c r="A735" s="61" t="n"/>
      <c r="B735" s="60" t="n"/>
      <c r="C735" s="68" t="n"/>
      <c r="D735" s="60" t="n"/>
      <c r="E735" s="63" t="n"/>
      <c r="F735" s="63" t="n"/>
      <c r="G735" s="62" t="str">
        <f>IF(B735="","",IFERROR(INDEX(fa_cname,MATCH(B735,fa_num,0))&amp;"",""))</f>
        <v/>
      </c>
      <c r="H735" s="59" t="str">
        <f>IF(COUNTA(A735:F735)=0,"",IF(A735="","Date manquante",IF(NOT(ISNUMBER(A735)),"Date invalide",IF(B735="","N° de facture manquant",IF(ISNA(MATCH(B735,fa_num,0)),"Facture inconnue",IF(INDEX(fa_type,MATCH(B735,fa_num,0))="Avoir","Paiement sur un avoir",IF(OR(NOT(ISNUMBER(C735)),N(C735)&lt;=0),"Montant invalide",IF(A735&lt;INDEX(fa_date,MATCH(B735,fa_num,0)),"Date antérieure à la facture",IF(SUMIF($B$6:B735,B735,$C$6:C735)&gt;INDEX(fa_ttc,MATCH(B735,fa_num,0))-N(INDEX(fa_avoirs,MATCH(B735,fa_num,0)))+0.001,"Dépasse le montant de la facture","OK")))))))))</f>
        <v/>
      </c>
    </row>
    <row r="736">
      <c r="A736" s="61" t="n"/>
      <c r="B736" s="60" t="n"/>
      <c r="C736" s="68" t="n"/>
      <c r="D736" s="60" t="n"/>
      <c r="E736" s="63" t="n"/>
      <c r="F736" s="63" t="n"/>
      <c r="G736" s="62" t="str">
        <f>IF(B736="","",IFERROR(INDEX(fa_cname,MATCH(B736,fa_num,0))&amp;"",""))</f>
        <v/>
      </c>
      <c r="H736" s="59" t="str">
        <f>IF(COUNTA(A736:F736)=0,"",IF(A736="","Date manquante",IF(NOT(ISNUMBER(A736)),"Date invalide",IF(B736="","N° de facture manquant",IF(ISNA(MATCH(B736,fa_num,0)),"Facture inconnue",IF(INDEX(fa_type,MATCH(B736,fa_num,0))="Avoir","Paiement sur un avoir",IF(OR(NOT(ISNUMBER(C736)),N(C736)&lt;=0),"Montant invalide",IF(A736&lt;INDEX(fa_date,MATCH(B736,fa_num,0)),"Date antérieure à la facture",IF(SUMIF($B$6:B736,B736,$C$6:C736)&gt;INDEX(fa_ttc,MATCH(B736,fa_num,0))-N(INDEX(fa_avoirs,MATCH(B736,fa_num,0)))+0.001,"Dépasse le montant de la facture","OK")))))))))</f>
        <v/>
      </c>
    </row>
    <row r="737">
      <c r="A737" s="61" t="n"/>
      <c r="B737" s="60" t="n"/>
      <c r="C737" s="68" t="n"/>
      <c r="D737" s="60" t="n"/>
      <c r="E737" s="63" t="n"/>
      <c r="F737" s="63" t="n"/>
      <c r="G737" s="62" t="str">
        <f>IF(B737="","",IFERROR(INDEX(fa_cname,MATCH(B737,fa_num,0))&amp;"",""))</f>
        <v/>
      </c>
      <c r="H737" s="59" t="str">
        <f>IF(COUNTA(A737:F737)=0,"",IF(A737="","Date manquante",IF(NOT(ISNUMBER(A737)),"Date invalide",IF(B737="","N° de facture manquant",IF(ISNA(MATCH(B737,fa_num,0)),"Facture inconnue",IF(INDEX(fa_type,MATCH(B737,fa_num,0))="Avoir","Paiement sur un avoir",IF(OR(NOT(ISNUMBER(C737)),N(C737)&lt;=0),"Montant invalide",IF(A737&lt;INDEX(fa_date,MATCH(B737,fa_num,0)),"Date antérieure à la facture",IF(SUMIF($B$6:B737,B737,$C$6:C737)&gt;INDEX(fa_ttc,MATCH(B737,fa_num,0))-N(INDEX(fa_avoirs,MATCH(B737,fa_num,0)))+0.001,"Dépasse le montant de la facture","OK")))))))))</f>
        <v/>
      </c>
    </row>
    <row r="738">
      <c r="A738" s="61" t="n"/>
      <c r="B738" s="60" t="n"/>
      <c r="C738" s="68" t="n"/>
      <c r="D738" s="60" t="n"/>
      <c r="E738" s="63" t="n"/>
      <c r="F738" s="63" t="n"/>
      <c r="G738" s="62" t="str">
        <f>IF(B738="","",IFERROR(INDEX(fa_cname,MATCH(B738,fa_num,0))&amp;"",""))</f>
        <v/>
      </c>
      <c r="H738" s="59" t="str">
        <f>IF(COUNTA(A738:F738)=0,"",IF(A738="","Date manquante",IF(NOT(ISNUMBER(A738)),"Date invalide",IF(B738="","N° de facture manquant",IF(ISNA(MATCH(B738,fa_num,0)),"Facture inconnue",IF(INDEX(fa_type,MATCH(B738,fa_num,0))="Avoir","Paiement sur un avoir",IF(OR(NOT(ISNUMBER(C738)),N(C738)&lt;=0),"Montant invalide",IF(A738&lt;INDEX(fa_date,MATCH(B738,fa_num,0)),"Date antérieure à la facture",IF(SUMIF($B$6:B738,B738,$C$6:C738)&gt;INDEX(fa_ttc,MATCH(B738,fa_num,0))-N(INDEX(fa_avoirs,MATCH(B738,fa_num,0)))+0.001,"Dépasse le montant de la facture","OK")))))))))</f>
        <v/>
      </c>
    </row>
    <row r="739">
      <c r="A739" s="61" t="n"/>
      <c r="B739" s="60" t="n"/>
      <c r="C739" s="68" t="n"/>
      <c r="D739" s="60" t="n"/>
      <c r="E739" s="63" t="n"/>
      <c r="F739" s="63" t="n"/>
      <c r="G739" s="62" t="str">
        <f>IF(B739="","",IFERROR(INDEX(fa_cname,MATCH(B739,fa_num,0))&amp;"",""))</f>
        <v/>
      </c>
      <c r="H739" s="59" t="str">
        <f>IF(COUNTA(A739:F739)=0,"",IF(A739="","Date manquante",IF(NOT(ISNUMBER(A739)),"Date invalide",IF(B739="","N° de facture manquant",IF(ISNA(MATCH(B739,fa_num,0)),"Facture inconnue",IF(INDEX(fa_type,MATCH(B739,fa_num,0))="Avoir","Paiement sur un avoir",IF(OR(NOT(ISNUMBER(C739)),N(C739)&lt;=0),"Montant invalide",IF(A739&lt;INDEX(fa_date,MATCH(B739,fa_num,0)),"Date antérieure à la facture",IF(SUMIF($B$6:B739,B739,$C$6:C739)&gt;INDEX(fa_ttc,MATCH(B739,fa_num,0))-N(INDEX(fa_avoirs,MATCH(B739,fa_num,0)))+0.001,"Dépasse le montant de la facture","OK")))))))))</f>
        <v/>
      </c>
    </row>
    <row r="740">
      <c r="A740" s="61" t="n"/>
      <c r="B740" s="60" t="n"/>
      <c r="C740" s="68" t="n"/>
      <c r="D740" s="60" t="n"/>
      <c r="E740" s="63" t="n"/>
      <c r="F740" s="63" t="n"/>
      <c r="G740" s="62" t="str">
        <f>IF(B740="","",IFERROR(INDEX(fa_cname,MATCH(B740,fa_num,0))&amp;"",""))</f>
        <v/>
      </c>
      <c r="H740" s="59" t="str">
        <f>IF(COUNTA(A740:F740)=0,"",IF(A740="","Date manquante",IF(NOT(ISNUMBER(A740)),"Date invalide",IF(B740="","N° de facture manquant",IF(ISNA(MATCH(B740,fa_num,0)),"Facture inconnue",IF(INDEX(fa_type,MATCH(B740,fa_num,0))="Avoir","Paiement sur un avoir",IF(OR(NOT(ISNUMBER(C740)),N(C740)&lt;=0),"Montant invalide",IF(A740&lt;INDEX(fa_date,MATCH(B740,fa_num,0)),"Date antérieure à la facture",IF(SUMIF($B$6:B740,B740,$C$6:C740)&gt;INDEX(fa_ttc,MATCH(B740,fa_num,0))-N(INDEX(fa_avoirs,MATCH(B740,fa_num,0)))+0.001,"Dépasse le montant de la facture","OK")))))))))</f>
        <v/>
      </c>
    </row>
    <row r="741">
      <c r="A741" s="61" t="n"/>
      <c r="B741" s="60" t="n"/>
      <c r="C741" s="68" t="n"/>
      <c r="D741" s="60" t="n"/>
      <c r="E741" s="63" t="n"/>
      <c r="F741" s="63" t="n"/>
      <c r="G741" s="62" t="str">
        <f>IF(B741="","",IFERROR(INDEX(fa_cname,MATCH(B741,fa_num,0))&amp;"",""))</f>
        <v/>
      </c>
      <c r="H741" s="59" t="str">
        <f>IF(COUNTA(A741:F741)=0,"",IF(A741="","Date manquante",IF(NOT(ISNUMBER(A741)),"Date invalide",IF(B741="","N° de facture manquant",IF(ISNA(MATCH(B741,fa_num,0)),"Facture inconnue",IF(INDEX(fa_type,MATCH(B741,fa_num,0))="Avoir","Paiement sur un avoir",IF(OR(NOT(ISNUMBER(C741)),N(C741)&lt;=0),"Montant invalide",IF(A741&lt;INDEX(fa_date,MATCH(B741,fa_num,0)),"Date antérieure à la facture",IF(SUMIF($B$6:B741,B741,$C$6:C741)&gt;INDEX(fa_ttc,MATCH(B741,fa_num,0))-N(INDEX(fa_avoirs,MATCH(B741,fa_num,0)))+0.001,"Dépasse le montant de la facture","OK")))))))))</f>
        <v/>
      </c>
    </row>
    <row r="742">
      <c r="A742" s="61" t="n"/>
      <c r="B742" s="60" t="n"/>
      <c r="C742" s="68" t="n"/>
      <c r="D742" s="60" t="n"/>
      <c r="E742" s="63" t="n"/>
      <c r="F742" s="63" t="n"/>
      <c r="G742" s="62" t="str">
        <f>IF(B742="","",IFERROR(INDEX(fa_cname,MATCH(B742,fa_num,0))&amp;"",""))</f>
        <v/>
      </c>
      <c r="H742" s="59" t="str">
        <f>IF(COUNTA(A742:F742)=0,"",IF(A742="","Date manquante",IF(NOT(ISNUMBER(A742)),"Date invalide",IF(B742="","N° de facture manquant",IF(ISNA(MATCH(B742,fa_num,0)),"Facture inconnue",IF(INDEX(fa_type,MATCH(B742,fa_num,0))="Avoir","Paiement sur un avoir",IF(OR(NOT(ISNUMBER(C742)),N(C742)&lt;=0),"Montant invalide",IF(A742&lt;INDEX(fa_date,MATCH(B742,fa_num,0)),"Date antérieure à la facture",IF(SUMIF($B$6:B742,B742,$C$6:C742)&gt;INDEX(fa_ttc,MATCH(B742,fa_num,0))-N(INDEX(fa_avoirs,MATCH(B742,fa_num,0)))+0.001,"Dépasse le montant de la facture","OK")))))))))</f>
        <v/>
      </c>
    </row>
    <row r="743">
      <c r="A743" s="61" t="n"/>
      <c r="B743" s="60" t="n"/>
      <c r="C743" s="68" t="n"/>
      <c r="D743" s="60" t="n"/>
      <c r="E743" s="63" t="n"/>
      <c r="F743" s="63" t="n"/>
      <c r="G743" s="62" t="str">
        <f>IF(B743="","",IFERROR(INDEX(fa_cname,MATCH(B743,fa_num,0))&amp;"",""))</f>
        <v/>
      </c>
      <c r="H743" s="59" t="str">
        <f>IF(COUNTA(A743:F743)=0,"",IF(A743="","Date manquante",IF(NOT(ISNUMBER(A743)),"Date invalide",IF(B743="","N° de facture manquant",IF(ISNA(MATCH(B743,fa_num,0)),"Facture inconnue",IF(INDEX(fa_type,MATCH(B743,fa_num,0))="Avoir","Paiement sur un avoir",IF(OR(NOT(ISNUMBER(C743)),N(C743)&lt;=0),"Montant invalide",IF(A743&lt;INDEX(fa_date,MATCH(B743,fa_num,0)),"Date antérieure à la facture",IF(SUMIF($B$6:B743,B743,$C$6:C743)&gt;INDEX(fa_ttc,MATCH(B743,fa_num,0))-N(INDEX(fa_avoirs,MATCH(B743,fa_num,0)))+0.001,"Dépasse le montant de la facture","OK")))))))))</f>
        <v/>
      </c>
    </row>
    <row r="744">
      <c r="A744" s="61" t="n"/>
      <c r="B744" s="60" t="n"/>
      <c r="C744" s="68" t="n"/>
      <c r="D744" s="60" t="n"/>
      <c r="E744" s="63" t="n"/>
      <c r="F744" s="63" t="n"/>
      <c r="G744" s="62" t="str">
        <f>IF(B744="","",IFERROR(INDEX(fa_cname,MATCH(B744,fa_num,0))&amp;"",""))</f>
        <v/>
      </c>
      <c r="H744" s="59" t="str">
        <f>IF(COUNTA(A744:F744)=0,"",IF(A744="","Date manquante",IF(NOT(ISNUMBER(A744)),"Date invalide",IF(B744="","N° de facture manquant",IF(ISNA(MATCH(B744,fa_num,0)),"Facture inconnue",IF(INDEX(fa_type,MATCH(B744,fa_num,0))="Avoir","Paiement sur un avoir",IF(OR(NOT(ISNUMBER(C744)),N(C744)&lt;=0),"Montant invalide",IF(A744&lt;INDEX(fa_date,MATCH(B744,fa_num,0)),"Date antérieure à la facture",IF(SUMIF($B$6:B744,B744,$C$6:C744)&gt;INDEX(fa_ttc,MATCH(B744,fa_num,0))-N(INDEX(fa_avoirs,MATCH(B744,fa_num,0)))+0.001,"Dépasse le montant de la facture","OK")))))))))</f>
        <v/>
      </c>
    </row>
    <row r="745">
      <c r="A745" s="61" t="n"/>
      <c r="B745" s="60" t="n"/>
      <c r="C745" s="68" t="n"/>
      <c r="D745" s="60" t="n"/>
      <c r="E745" s="63" t="n"/>
      <c r="F745" s="63" t="n"/>
      <c r="G745" s="62" t="str">
        <f>IF(B745="","",IFERROR(INDEX(fa_cname,MATCH(B745,fa_num,0))&amp;"",""))</f>
        <v/>
      </c>
      <c r="H745" s="59" t="str">
        <f>IF(COUNTA(A745:F745)=0,"",IF(A745="","Date manquante",IF(NOT(ISNUMBER(A745)),"Date invalide",IF(B745="","N° de facture manquant",IF(ISNA(MATCH(B745,fa_num,0)),"Facture inconnue",IF(INDEX(fa_type,MATCH(B745,fa_num,0))="Avoir","Paiement sur un avoir",IF(OR(NOT(ISNUMBER(C745)),N(C745)&lt;=0),"Montant invalide",IF(A745&lt;INDEX(fa_date,MATCH(B745,fa_num,0)),"Date antérieure à la facture",IF(SUMIF($B$6:B745,B745,$C$6:C745)&gt;INDEX(fa_ttc,MATCH(B745,fa_num,0))-N(INDEX(fa_avoirs,MATCH(B745,fa_num,0)))+0.001,"Dépasse le montant de la facture","OK")))))))))</f>
        <v/>
      </c>
    </row>
    <row r="746">
      <c r="A746" s="61" t="n"/>
      <c r="B746" s="60" t="n"/>
      <c r="C746" s="68" t="n"/>
      <c r="D746" s="60" t="n"/>
      <c r="E746" s="63" t="n"/>
      <c r="F746" s="63" t="n"/>
      <c r="G746" s="62" t="str">
        <f>IF(B746="","",IFERROR(INDEX(fa_cname,MATCH(B746,fa_num,0))&amp;"",""))</f>
        <v/>
      </c>
      <c r="H746" s="59" t="str">
        <f>IF(COUNTA(A746:F746)=0,"",IF(A746="","Date manquante",IF(NOT(ISNUMBER(A746)),"Date invalide",IF(B746="","N° de facture manquant",IF(ISNA(MATCH(B746,fa_num,0)),"Facture inconnue",IF(INDEX(fa_type,MATCH(B746,fa_num,0))="Avoir","Paiement sur un avoir",IF(OR(NOT(ISNUMBER(C746)),N(C746)&lt;=0),"Montant invalide",IF(A746&lt;INDEX(fa_date,MATCH(B746,fa_num,0)),"Date antérieure à la facture",IF(SUMIF($B$6:B746,B746,$C$6:C746)&gt;INDEX(fa_ttc,MATCH(B746,fa_num,0))-N(INDEX(fa_avoirs,MATCH(B746,fa_num,0)))+0.001,"Dépasse le montant de la facture","OK")))))))))</f>
        <v/>
      </c>
    </row>
    <row r="747">
      <c r="A747" s="61" t="n"/>
      <c r="B747" s="60" t="n"/>
      <c r="C747" s="68" t="n"/>
      <c r="D747" s="60" t="n"/>
      <c r="E747" s="63" t="n"/>
      <c r="F747" s="63" t="n"/>
      <c r="G747" s="62" t="str">
        <f>IF(B747="","",IFERROR(INDEX(fa_cname,MATCH(B747,fa_num,0))&amp;"",""))</f>
        <v/>
      </c>
      <c r="H747" s="59" t="str">
        <f>IF(COUNTA(A747:F747)=0,"",IF(A747="","Date manquante",IF(NOT(ISNUMBER(A747)),"Date invalide",IF(B747="","N° de facture manquant",IF(ISNA(MATCH(B747,fa_num,0)),"Facture inconnue",IF(INDEX(fa_type,MATCH(B747,fa_num,0))="Avoir","Paiement sur un avoir",IF(OR(NOT(ISNUMBER(C747)),N(C747)&lt;=0),"Montant invalide",IF(A747&lt;INDEX(fa_date,MATCH(B747,fa_num,0)),"Date antérieure à la facture",IF(SUMIF($B$6:B747,B747,$C$6:C747)&gt;INDEX(fa_ttc,MATCH(B747,fa_num,0))-N(INDEX(fa_avoirs,MATCH(B747,fa_num,0)))+0.001,"Dépasse le montant de la facture","OK")))))))))</f>
        <v/>
      </c>
    </row>
    <row r="748">
      <c r="A748" s="61" t="n"/>
      <c r="B748" s="60" t="n"/>
      <c r="C748" s="68" t="n"/>
      <c r="D748" s="60" t="n"/>
      <c r="E748" s="63" t="n"/>
      <c r="F748" s="63" t="n"/>
      <c r="G748" s="62" t="str">
        <f>IF(B748="","",IFERROR(INDEX(fa_cname,MATCH(B748,fa_num,0))&amp;"",""))</f>
        <v/>
      </c>
      <c r="H748" s="59" t="str">
        <f>IF(COUNTA(A748:F748)=0,"",IF(A748="","Date manquante",IF(NOT(ISNUMBER(A748)),"Date invalide",IF(B748="","N° de facture manquant",IF(ISNA(MATCH(B748,fa_num,0)),"Facture inconnue",IF(INDEX(fa_type,MATCH(B748,fa_num,0))="Avoir","Paiement sur un avoir",IF(OR(NOT(ISNUMBER(C748)),N(C748)&lt;=0),"Montant invalide",IF(A748&lt;INDEX(fa_date,MATCH(B748,fa_num,0)),"Date antérieure à la facture",IF(SUMIF($B$6:B748,B748,$C$6:C748)&gt;INDEX(fa_ttc,MATCH(B748,fa_num,0))-N(INDEX(fa_avoirs,MATCH(B748,fa_num,0)))+0.001,"Dépasse le montant de la facture","OK")))))))))</f>
        <v/>
      </c>
    </row>
    <row r="749">
      <c r="A749" s="61" t="n"/>
      <c r="B749" s="60" t="n"/>
      <c r="C749" s="68" t="n"/>
      <c r="D749" s="60" t="n"/>
      <c r="E749" s="63" t="n"/>
      <c r="F749" s="63" t="n"/>
      <c r="G749" s="62" t="str">
        <f>IF(B749="","",IFERROR(INDEX(fa_cname,MATCH(B749,fa_num,0))&amp;"",""))</f>
        <v/>
      </c>
      <c r="H749" s="59" t="str">
        <f>IF(COUNTA(A749:F749)=0,"",IF(A749="","Date manquante",IF(NOT(ISNUMBER(A749)),"Date invalide",IF(B749="","N° de facture manquant",IF(ISNA(MATCH(B749,fa_num,0)),"Facture inconnue",IF(INDEX(fa_type,MATCH(B749,fa_num,0))="Avoir","Paiement sur un avoir",IF(OR(NOT(ISNUMBER(C749)),N(C749)&lt;=0),"Montant invalide",IF(A749&lt;INDEX(fa_date,MATCH(B749,fa_num,0)),"Date antérieure à la facture",IF(SUMIF($B$6:B749,B749,$C$6:C749)&gt;INDEX(fa_ttc,MATCH(B749,fa_num,0))-N(INDEX(fa_avoirs,MATCH(B749,fa_num,0)))+0.001,"Dépasse le montant de la facture","OK")))))))))</f>
        <v/>
      </c>
    </row>
    <row r="750">
      <c r="A750" s="61" t="n"/>
      <c r="B750" s="60" t="n"/>
      <c r="C750" s="68" t="n"/>
      <c r="D750" s="60" t="n"/>
      <c r="E750" s="63" t="n"/>
      <c r="F750" s="63" t="n"/>
      <c r="G750" s="62" t="str">
        <f>IF(B750="","",IFERROR(INDEX(fa_cname,MATCH(B750,fa_num,0))&amp;"",""))</f>
        <v/>
      </c>
      <c r="H750" s="59" t="str">
        <f>IF(COUNTA(A750:F750)=0,"",IF(A750="","Date manquante",IF(NOT(ISNUMBER(A750)),"Date invalide",IF(B750="","N° de facture manquant",IF(ISNA(MATCH(B750,fa_num,0)),"Facture inconnue",IF(INDEX(fa_type,MATCH(B750,fa_num,0))="Avoir","Paiement sur un avoir",IF(OR(NOT(ISNUMBER(C750)),N(C750)&lt;=0),"Montant invalide",IF(A750&lt;INDEX(fa_date,MATCH(B750,fa_num,0)),"Date antérieure à la facture",IF(SUMIF($B$6:B750,B750,$C$6:C750)&gt;INDEX(fa_ttc,MATCH(B750,fa_num,0))-N(INDEX(fa_avoirs,MATCH(B750,fa_num,0)))+0.001,"Dépasse le montant de la facture","OK")))))))))</f>
        <v/>
      </c>
    </row>
    <row r="751">
      <c r="A751" s="61" t="n"/>
      <c r="B751" s="60" t="n"/>
      <c r="C751" s="68" t="n"/>
      <c r="D751" s="60" t="n"/>
      <c r="E751" s="63" t="n"/>
      <c r="F751" s="63" t="n"/>
      <c r="G751" s="62" t="str">
        <f>IF(B751="","",IFERROR(INDEX(fa_cname,MATCH(B751,fa_num,0))&amp;"",""))</f>
        <v/>
      </c>
      <c r="H751" s="59" t="str">
        <f>IF(COUNTA(A751:F751)=0,"",IF(A751="","Date manquante",IF(NOT(ISNUMBER(A751)),"Date invalide",IF(B751="","N° de facture manquant",IF(ISNA(MATCH(B751,fa_num,0)),"Facture inconnue",IF(INDEX(fa_type,MATCH(B751,fa_num,0))="Avoir","Paiement sur un avoir",IF(OR(NOT(ISNUMBER(C751)),N(C751)&lt;=0),"Montant invalide",IF(A751&lt;INDEX(fa_date,MATCH(B751,fa_num,0)),"Date antérieure à la facture",IF(SUMIF($B$6:B751,B751,$C$6:C751)&gt;INDEX(fa_ttc,MATCH(B751,fa_num,0))-N(INDEX(fa_avoirs,MATCH(B751,fa_num,0)))+0.001,"Dépasse le montant de la facture","OK")))))))))</f>
        <v/>
      </c>
    </row>
    <row r="752">
      <c r="A752" s="61" t="n"/>
      <c r="B752" s="60" t="n"/>
      <c r="C752" s="68" t="n"/>
      <c r="D752" s="60" t="n"/>
      <c r="E752" s="63" t="n"/>
      <c r="F752" s="63" t="n"/>
      <c r="G752" s="62" t="str">
        <f>IF(B752="","",IFERROR(INDEX(fa_cname,MATCH(B752,fa_num,0))&amp;"",""))</f>
        <v/>
      </c>
      <c r="H752" s="59" t="str">
        <f>IF(COUNTA(A752:F752)=0,"",IF(A752="","Date manquante",IF(NOT(ISNUMBER(A752)),"Date invalide",IF(B752="","N° de facture manquant",IF(ISNA(MATCH(B752,fa_num,0)),"Facture inconnue",IF(INDEX(fa_type,MATCH(B752,fa_num,0))="Avoir","Paiement sur un avoir",IF(OR(NOT(ISNUMBER(C752)),N(C752)&lt;=0),"Montant invalide",IF(A752&lt;INDEX(fa_date,MATCH(B752,fa_num,0)),"Date antérieure à la facture",IF(SUMIF($B$6:B752,B752,$C$6:C752)&gt;INDEX(fa_ttc,MATCH(B752,fa_num,0))-N(INDEX(fa_avoirs,MATCH(B752,fa_num,0)))+0.001,"Dépasse le montant de la facture","OK")))))))))</f>
        <v/>
      </c>
    </row>
    <row r="753">
      <c r="A753" s="61" t="n"/>
      <c r="B753" s="60" t="n"/>
      <c r="C753" s="68" t="n"/>
      <c r="D753" s="60" t="n"/>
      <c r="E753" s="63" t="n"/>
      <c r="F753" s="63" t="n"/>
      <c r="G753" s="62" t="str">
        <f>IF(B753="","",IFERROR(INDEX(fa_cname,MATCH(B753,fa_num,0))&amp;"",""))</f>
        <v/>
      </c>
      <c r="H753" s="59" t="str">
        <f>IF(COUNTA(A753:F753)=0,"",IF(A753="","Date manquante",IF(NOT(ISNUMBER(A753)),"Date invalide",IF(B753="","N° de facture manquant",IF(ISNA(MATCH(B753,fa_num,0)),"Facture inconnue",IF(INDEX(fa_type,MATCH(B753,fa_num,0))="Avoir","Paiement sur un avoir",IF(OR(NOT(ISNUMBER(C753)),N(C753)&lt;=0),"Montant invalide",IF(A753&lt;INDEX(fa_date,MATCH(B753,fa_num,0)),"Date antérieure à la facture",IF(SUMIF($B$6:B753,B753,$C$6:C753)&gt;INDEX(fa_ttc,MATCH(B753,fa_num,0))-N(INDEX(fa_avoirs,MATCH(B753,fa_num,0)))+0.001,"Dépasse le montant de la facture","OK")))))))))</f>
        <v/>
      </c>
    </row>
    <row r="754">
      <c r="A754" s="61" t="n"/>
      <c r="B754" s="60" t="n"/>
      <c r="C754" s="68" t="n"/>
      <c r="D754" s="60" t="n"/>
      <c r="E754" s="63" t="n"/>
      <c r="F754" s="63" t="n"/>
      <c r="G754" s="62" t="str">
        <f>IF(B754="","",IFERROR(INDEX(fa_cname,MATCH(B754,fa_num,0))&amp;"",""))</f>
        <v/>
      </c>
      <c r="H754" s="59" t="str">
        <f>IF(COUNTA(A754:F754)=0,"",IF(A754="","Date manquante",IF(NOT(ISNUMBER(A754)),"Date invalide",IF(B754="","N° de facture manquant",IF(ISNA(MATCH(B754,fa_num,0)),"Facture inconnue",IF(INDEX(fa_type,MATCH(B754,fa_num,0))="Avoir","Paiement sur un avoir",IF(OR(NOT(ISNUMBER(C754)),N(C754)&lt;=0),"Montant invalide",IF(A754&lt;INDEX(fa_date,MATCH(B754,fa_num,0)),"Date antérieure à la facture",IF(SUMIF($B$6:B754,B754,$C$6:C754)&gt;INDEX(fa_ttc,MATCH(B754,fa_num,0))-N(INDEX(fa_avoirs,MATCH(B754,fa_num,0)))+0.001,"Dépasse le montant de la facture","OK")))))))))</f>
        <v/>
      </c>
    </row>
    <row r="755">
      <c r="A755" s="61" t="n"/>
      <c r="B755" s="60" t="n"/>
      <c r="C755" s="68" t="n"/>
      <c r="D755" s="60" t="n"/>
      <c r="E755" s="63" t="n"/>
      <c r="F755" s="63" t="n"/>
      <c r="G755" s="62" t="str">
        <f>IF(B755="","",IFERROR(INDEX(fa_cname,MATCH(B755,fa_num,0))&amp;"",""))</f>
        <v/>
      </c>
      <c r="H755" s="59" t="str">
        <f>IF(COUNTA(A755:F755)=0,"",IF(A755="","Date manquante",IF(NOT(ISNUMBER(A755)),"Date invalide",IF(B755="","N° de facture manquant",IF(ISNA(MATCH(B755,fa_num,0)),"Facture inconnue",IF(INDEX(fa_type,MATCH(B755,fa_num,0))="Avoir","Paiement sur un avoir",IF(OR(NOT(ISNUMBER(C755)),N(C755)&lt;=0),"Montant invalide",IF(A755&lt;INDEX(fa_date,MATCH(B755,fa_num,0)),"Date antérieure à la facture",IF(SUMIF($B$6:B755,B755,$C$6:C755)&gt;INDEX(fa_ttc,MATCH(B755,fa_num,0))-N(INDEX(fa_avoirs,MATCH(B755,fa_num,0)))+0.001,"Dépasse le montant de la facture","OK")))))))))</f>
        <v/>
      </c>
    </row>
    <row r="756">
      <c r="A756" s="61" t="n"/>
      <c r="B756" s="60" t="n"/>
      <c r="C756" s="68" t="n"/>
      <c r="D756" s="60" t="n"/>
      <c r="E756" s="63" t="n"/>
      <c r="F756" s="63" t="n"/>
      <c r="G756" s="62" t="str">
        <f>IF(B756="","",IFERROR(INDEX(fa_cname,MATCH(B756,fa_num,0))&amp;"",""))</f>
        <v/>
      </c>
      <c r="H756" s="59" t="str">
        <f>IF(COUNTA(A756:F756)=0,"",IF(A756="","Date manquante",IF(NOT(ISNUMBER(A756)),"Date invalide",IF(B756="","N° de facture manquant",IF(ISNA(MATCH(B756,fa_num,0)),"Facture inconnue",IF(INDEX(fa_type,MATCH(B756,fa_num,0))="Avoir","Paiement sur un avoir",IF(OR(NOT(ISNUMBER(C756)),N(C756)&lt;=0),"Montant invalide",IF(A756&lt;INDEX(fa_date,MATCH(B756,fa_num,0)),"Date antérieure à la facture",IF(SUMIF($B$6:B756,B756,$C$6:C756)&gt;INDEX(fa_ttc,MATCH(B756,fa_num,0))-N(INDEX(fa_avoirs,MATCH(B756,fa_num,0)))+0.001,"Dépasse le montant de la facture","OK")))))))))</f>
        <v/>
      </c>
    </row>
    <row r="757">
      <c r="A757" s="61" t="n"/>
      <c r="B757" s="60" t="n"/>
      <c r="C757" s="68" t="n"/>
      <c r="D757" s="60" t="n"/>
      <c r="E757" s="63" t="n"/>
      <c r="F757" s="63" t="n"/>
      <c r="G757" s="62" t="str">
        <f>IF(B757="","",IFERROR(INDEX(fa_cname,MATCH(B757,fa_num,0))&amp;"",""))</f>
        <v/>
      </c>
      <c r="H757" s="59" t="str">
        <f>IF(COUNTA(A757:F757)=0,"",IF(A757="","Date manquante",IF(NOT(ISNUMBER(A757)),"Date invalide",IF(B757="","N° de facture manquant",IF(ISNA(MATCH(B757,fa_num,0)),"Facture inconnue",IF(INDEX(fa_type,MATCH(B757,fa_num,0))="Avoir","Paiement sur un avoir",IF(OR(NOT(ISNUMBER(C757)),N(C757)&lt;=0),"Montant invalide",IF(A757&lt;INDEX(fa_date,MATCH(B757,fa_num,0)),"Date antérieure à la facture",IF(SUMIF($B$6:B757,B757,$C$6:C757)&gt;INDEX(fa_ttc,MATCH(B757,fa_num,0))-N(INDEX(fa_avoirs,MATCH(B757,fa_num,0)))+0.001,"Dépasse le montant de la facture","OK")))))))))</f>
        <v/>
      </c>
    </row>
    <row r="758">
      <c r="A758" s="61" t="n"/>
      <c r="B758" s="60" t="n"/>
      <c r="C758" s="68" t="n"/>
      <c r="D758" s="60" t="n"/>
      <c r="E758" s="63" t="n"/>
      <c r="F758" s="63" t="n"/>
      <c r="G758" s="62" t="str">
        <f>IF(B758="","",IFERROR(INDEX(fa_cname,MATCH(B758,fa_num,0))&amp;"",""))</f>
        <v/>
      </c>
      <c r="H758" s="59" t="str">
        <f>IF(COUNTA(A758:F758)=0,"",IF(A758="","Date manquante",IF(NOT(ISNUMBER(A758)),"Date invalide",IF(B758="","N° de facture manquant",IF(ISNA(MATCH(B758,fa_num,0)),"Facture inconnue",IF(INDEX(fa_type,MATCH(B758,fa_num,0))="Avoir","Paiement sur un avoir",IF(OR(NOT(ISNUMBER(C758)),N(C758)&lt;=0),"Montant invalide",IF(A758&lt;INDEX(fa_date,MATCH(B758,fa_num,0)),"Date antérieure à la facture",IF(SUMIF($B$6:B758,B758,$C$6:C758)&gt;INDEX(fa_ttc,MATCH(B758,fa_num,0))-N(INDEX(fa_avoirs,MATCH(B758,fa_num,0)))+0.001,"Dépasse le montant de la facture","OK")))))))))</f>
        <v/>
      </c>
    </row>
    <row r="759">
      <c r="A759" s="61" t="n"/>
      <c r="B759" s="60" t="n"/>
      <c r="C759" s="68" t="n"/>
      <c r="D759" s="60" t="n"/>
      <c r="E759" s="63" t="n"/>
      <c r="F759" s="63" t="n"/>
      <c r="G759" s="62" t="str">
        <f>IF(B759="","",IFERROR(INDEX(fa_cname,MATCH(B759,fa_num,0))&amp;"",""))</f>
        <v/>
      </c>
      <c r="H759" s="59" t="str">
        <f>IF(COUNTA(A759:F759)=0,"",IF(A759="","Date manquante",IF(NOT(ISNUMBER(A759)),"Date invalide",IF(B759="","N° de facture manquant",IF(ISNA(MATCH(B759,fa_num,0)),"Facture inconnue",IF(INDEX(fa_type,MATCH(B759,fa_num,0))="Avoir","Paiement sur un avoir",IF(OR(NOT(ISNUMBER(C759)),N(C759)&lt;=0),"Montant invalide",IF(A759&lt;INDEX(fa_date,MATCH(B759,fa_num,0)),"Date antérieure à la facture",IF(SUMIF($B$6:B759,B759,$C$6:C759)&gt;INDEX(fa_ttc,MATCH(B759,fa_num,0))-N(INDEX(fa_avoirs,MATCH(B759,fa_num,0)))+0.001,"Dépasse le montant de la facture","OK")))))))))</f>
        <v/>
      </c>
    </row>
    <row r="760">
      <c r="A760" s="61" t="n"/>
      <c r="B760" s="60" t="n"/>
      <c r="C760" s="68" t="n"/>
      <c r="D760" s="60" t="n"/>
      <c r="E760" s="63" t="n"/>
      <c r="F760" s="63" t="n"/>
      <c r="G760" s="62" t="str">
        <f>IF(B760="","",IFERROR(INDEX(fa_cname,MATCH(B760,fa_num,0))&amp;"",""))</f>
        <v/>
      </c>
      <c r="H760" s="59" t="str">
        <f>IF(COUNTA(A760:F760)=0,"",IF(A760="","Date manquante",IF(NOT(ISNUMBER(A760)),"Date invalide",IF(B760="","N° de facture manquant",IF(ISNA(MATCH(B760,fa_num,0)),"Facture inconnue",IF(INDEX(fa_type,MATCH(B760,fa_num,0))="Avoir","Paiement sur un avoir",IF(OR(NOT(ISNUMBER(C760)),N(C760)&lt;=0),"Montant invalide",IF(A760&lt;INDEX(fa_date,MATCH(B760,fa_num,0)),"Date antérieure à la facture",IF(SUMIF($B$6:B760,B760,$C$6:C760)&gt;INDEX(fa_ttc,MATCH(B760,fa_num,0))-N(INDEX(fa_avoirs,MATCH(B760,fa_num,0)))+0.001,"Dépasse le montant de la facture","OK")))))))))</f>
        <v/>
      </c>
    </row>
    <row r="761">
      <c r="A761" s="61" t="n"/>
      <c r="B761" s="60" t="n"/>
      <c r="C761" s="68" t="n"/>
      <c r="D761" s="60" t="n"/>
      <c r="E761" s="63" t="n"/>
      <c r="F761" s="63" t="n"/>
      <c r="G761" s="62" t="str">
        <f>IF(B761="","",IFERROR(INDEX(fa_cname,MATCH(B761,fa_num,0))&amp;"",""))</f>
        <v/>
      </c>
      <c r="H761" s="59" t="str">
        <f>IF(COUNTA(A761:F761)=0,"",IF(A761="","Date manquante",IF(NOT(ISNUMBER(A761)),"Date invalide",IF(B761="","N° de facture manquant",IF(ISNA(MATCH(B761,fa_num,0)),"Facture inconnue",IF(INDEX(fa_type,MATCH(B761,fa_num,0))="Avoir","Paiement sur un avoir",IF(OR(NOT(ISNUMBER(C761)),N(C761)&lt;=0),"Montant invalide",IF(A761&lt;INDEX(fa_date,MATCH(B761,fa_num,0)),"Date antérieure à la facture",IF(SUMIF($B$6:B761,B761,$C$6:C761)&gt;INDEX(fa_ttc,MATCH(B761,fa_num,0))-N(INDEX(fa_avoirs,MATCH(B761,fa_num,0)))+0.001,"Dépasse le montant de la facture","OK")))))))))</f>
        <v/>
      </c>
    </row>
    <row r="762">
      <c r="A762" s="61" t="n"/>
      <c r="B762" s="60" t="n"/>
      <c r="C762" s="68" t="n"/>
      <c r="D762" s="60" t="n"/>
      <c r="E762" s="63" t="n"/>
      <c r="F762" s="63" t="n"/>
      <c r="G762" s="62" t="str">
        <f>IF(B762="","",IFERROR(INDEX(fa_cname,MATCH(B762,fa_num,0))&amp;"",""))</f>
        <v/>
      </c>
      <c r="H762" s="59" t="str">
        <f>IF(COUNTA(A762:F762)=0,"",IF(A762="","Date manquante",IF(NOT(ISNUMBER(A762)),"Date invalide",IF(B762="","N° de facture manquant",IF(ISNA(MATCH(B762,fa_num,0)),"Facture inconnue",IF(INDEX(fa_type,MATCH(B762,fa_num,0))="Avoir","Paiement sur un avoir",IF(OR(NOT(ISNUMBER(C762)),N(C762)&lt;=0),"Montant invalide",IF(A762&lt;INDEX(fa_date,MATCH(B762,fa_num,0)),"Date antérieure à la facture",IF(SUMIF($B$6:B762,B762,$C$6:C762)&gt;INDEX(fa_ttc,MATCH(B762,fa_num,0))-N(INDEX(fa_avoirs,MATCH(B762,fa_num,0)))+0.001,"Dépasse le montant de la facture","OK")))))))))</f>
        <v/>
      </c>
    </row>
    <row r="763">
      <c r="A763" s="61" t="n"/>
      <c r="B763" s="60" t="n"/>
      <c r="C763" s="68" t="n"/>
      <c r="D763" s="60" t="n"/>
      <c r="E763" s="63" t="n"/>
      <c r="F763" s="63" t="n"/>
      <c r="G763" s="62" t="str">
        <f>IF(B763="","",IFERROR(INDEX(fa_cname,MATCH(B763,fa_num,0))&amp;"",""))</f>
        <v/>
      </c>
      <c r="H763" s="59" t="str">
        <f>IF(COUNTA(A763:F763)=0,"",IF(A763="","Date manquante",IF(NOT(ISNUMBER(A763)),"Date invalide",IF(B763="","N° de facture manquant",IF(ISNA(MATCH(B763,fa_num,0)),"Facture inconnue",IF(INDEX(fa_type,MATCH(B763,fa_num,0))="Avoir","Paiement sur un avoir",IF(OR(NOT(ISNUMBER(C763)),N(C763)&lt;=0),"Montant invalide",IF(A763&lt;INDEX(fa_date,MATCH(B763,fa_num,0)),"Date antérieure à la facture",IF(SUMIF($B$6:B763,B763,$C$6:C763)&gt;INDEX(fa_ttc,MATCH(B763,fa_num,0))-N(INDEX(fa_avoirs,MATCH(B763,fa_num,0)))+0.001,"Dépasse le montant de la facture","OK")))))))))</f>
        <v/>
      </c>
    </row>
    <row r="764">
      <c r="A764" s="61" t="n"/>
      <c r="B764" s="60" t="n"/>
      <c r="C764" s="68" t="n"/>
      <c r="D764" s="60" t="n"/>
      <c r="E764" s="63" t="n"/>
      <c r="F764" s="63" t="n"/>
      <c r="G764" s="62" t="str">
        <f>IF(B764="","",IFERROR(INDEX(fa_cname,MATCH(B764,fa_num,0))&amp;"",""))</f>
        <v/>
      </c>
      <c r="H764" s="59" t="str">
        <f>IF(COUNTA(A764:F764)=0,"",IF(A764="","Date manquante",IF(NOT(ISNUMBER(A764)),"Date invalide",IF(B764="","N° de facture manquant",IF(ISNA(MATCH(B764,fa_num,0)),"Facture inconnue",IF(INDEX(fa_type,MATCH(B764,fa_num,0))="Avoir","Paiement sur un avoir",IF(OR(NOT(ISNUMBER(C764)),N(C764)&lt;=0),"Montant invalide",IF(A764&lt;INDEX(fa_date,MATCH(B764,fa_num,0)),"Date antérieure à la facture",IF(SUMIF($B$6:B764,B764,$C$6:C764)&gt;INDEX(fa_ttc,MATCH(B764,fa_num,0))-N(INDEX(fa_avoirs,MATCH(B764,fa_num,0)))+0.001,"Dépasse le montant de la facture","OK")))))))))</f>
        <v/>
      </c>
    </row>
    <row r="765">
      <c r="A765" s="61" t="n"/>
      <c r="B765" s="60" t="n"/>
      <c r="C765" s="68" t="n"/>
      <c r="D765" s="60" t="n"/>
      <c r="E765" s="63" t="n"/>
      <c r="F765" s="63" t="n"/>
      <c r="G765" s="62" t="str">
        <f>IF(B765="","",IFERROR(INDEX(fa_cname,MATCH(B765,fa_num,0))&amp;"",""))</f>
        <v/>
      </c>
      <c r="H765" s="59" t="str">
        <f>IF(COUNTA(A765:F765)=0,"",IF(A765="","Date manquante",IF(NOT(ISNUMBER(A765)),"Date invalide",IF(B765="","N° de facture manquant",IF(ISNA(MATCH(B765,fa_num,0)),"Facture inconnue",IF(INDEX(fa_type,MATCH(B765,fa_num,0))="Avoir","Paiement sur un avoir",IF(OR(NOT(ISNUMBER(C765)),N(C765)&lt;=0),"Montant invalide",IF(A765&lt;INDEX(fa_date,MATCH(B765,fa_num,0)),"Date antérieure à la facture",IF(SUMIF($B$6:B765,B765,$C$6:C765)&gt;INDEX(fa_ttc,MATCH(B765,fa_num,0))-N(INDEX(fa_avoirs,MATCH(B765,fa_num,0)))+0.001,"Dépasse le montant de la facture","OK")))))))))</f>
        <v/>
      </c>
    </row>
    <row r="766">
      <c r="A766" s="61" t="n"/>
      <c r="B766" s="60" t="n"/>
      <c r="C766" s="68" t="n"/>
      <c r="D766" s="60" t="n"/>
      <c r="E766" s="63" t="n"/>
      <c r="F766" s="63" t="n"/>
      <c r="G766" s="62" t="str">
        <f>IF(B766="","",IFERROR(INDEX(fa_cname,MATCH(B766,fa_num,0))&amp;"",""))</f>
        <v/>
      </c>
      <c r="H766" s="59" t="str">
        <f>IF(COUNTA(A766:F766)=0,"",IF(A766="","Date manquante",IF(NOT(ISNUMBER(A766)),"Date invalide",IF(B766="","N° de facture manquant",IF(ISNA(MATCH(B766,fa_num,0)),"Facture inconnue",IF(INDEX(fa_type,MATCH(B766,fa_num,0))="Avoir","Paiement sur un avoir",IF(OR(NOT(ISNUMBER(C766)),N(C766)&lt;=0),"Montant invalide",IF(A766&lt;INDEX(fa_date,MATCH(B766,fa_num,0)),"Date antérieure à la facture",IF(SUMIF($B$6:B766,B766,$C$6:C766)&gt;INDEX(fa_ttc,MATCH(B766,fa_num,0))-N(INDEX(fa_avoirs,MATCH(B766,fa_num,0)))+0.001,"Dépasse le montant de la facture","OK")))))))))</f>
        <v/>
      </c>
    </row>
    <row r="767">
      <c r="A767" s="61" t="n"/>
      <c r="B767" s="60" t="n"/>
      <c r="C767" s="68" t="n"/>
      <c r="D767" s="60" t="n"/>
      <c r="E767" s="63" t="n"/>
      <c r="F767" s="63" t="n"/>
      <c r="G767" s="62" t="str">
        <f>IF(B767="","",IFERROR(INDEX(fa_cname,MATCH(B767,fa_num,0))&amp;"",""))</f>
        <v/>
      </c>
      <c r="H767" s="59" t="str">
        <f>IF(COUNTA(A767:F767)=0,"",IF(A767="","Date manquante",IF(NOT(ISNUMBER(A767)),"Date invalide",IF(B767="","N° de facture manquant",IF(ISNA(MATCH(B767,fa_num,0)),"Facture inconnue",IF(INDEX(fa_type,MATCH(B767,fa_num,0))="Avoir","Paiement sur un avoir",IF(OR(NOT(ISNUMBER(C767)),N(C767)&lt;=0),"Montant invalide",IF(A767&lt;INDEX(fa_date,MATCH(B767,fa_num,0)),"Date antérieure à la facture",IF(SUMIF($B$6:B767,B767,$C$6:C767)&gt;INDEX(fa_ttc,MATCH(B767,fa_num,0))-N(INDEX(fa_avoirs,MATCH(B767,fa_num,0)))+0.001,"Dépasse le montant de la facture","OK")))))))))</f>
        <v/>
      </c>
    </row>
    <row r="768">
      <c r="A768" s="61" t="n"/>
      <c r="B768" s="60" t="n"/>
      <c r="C768" s="68" t="n"/>
      <c r="D768" s="60" t="n"/>
      <c r="E768" s="63" t="n"/>
      <c r="F768" s="63" t="n"/>
      <c r="G768" s="62" t="str">
        <f>IF(B768="","",IFERROR(INDEX(fa_cname,MATCH(B768,fa_num,0))&amp;"",""))</f>
        <v/>
      </c>
      <c r="H768" s="59" t="str">
        <f>IF(COUNTA(A768:F768)=0,"",IF(A768="","Date manquante",IF(NOT(ISNUMBER(A768)),"Date invalide",IF(B768="","N° de facture manquant",IF(ISNA(MATCH(B768,fa_num,0)),"Facture inconnue",IF(INDEX(fa_type,MATCH(B768,fa_num,0))="Avoir","Paiement sur un avoir",IF(OR(NOT(ISNUMBER(C768)),N(C768)&lt;=0),"Montant invalide",IF(A768&lt;INDEX(fa_date,MATCH(B768,fa_num,0)),"Date antérieure à la facture",IF(SUMIF($B$6:B768,B768,$C$6:C768)&gt;INDEX(fa_ttc,MATCH(B768,fa_num,0))-N(INDEX(fa_avoirs,MATCH(B768,fa_num,0)))+0.001,"Dépasse le montant de la facture","OK")))))))))</f>
        <v/>
      </c>
    </row>
    <row r="769">
      <c r="A769" s="61" t="n"/>
      <c r="B769" s="60" t="n"/>
      <c r="C769" s="68" t="n"/>
      <c r="D769" s="60" t="n"/>
      <c r="E769" s="63" t="n"/>
      <c r="F769" s="63" t="n"/>
      <c r="G769" s="62" t="str">
        <f>IF(B769="","",IFERROR(INDEX(fa_cname,MATCH(B769,fa_num,0))&amp;"",""))</f>
        <v/>
      </c>
      <c r="H769" s="59" t="str">
        <f>IF(COUNTA(A769:F769)=0,"",IF(A769="","Date manquante",IF(NOT(ISNUMBER(A769)),"Date invalide",IF(B769="","N° de facture manquant",IF(ISNA(MATCH(B769,fa_num,0)),"Facture inconnue",IF(INDEX(fa_type,MATCH(B769,fa_num,0))="Avoir","Paiement sur un avoir",IF(OR(NOT(ISNUMBER(C769)),N(C769)&lt;=0),"Montant invalide",IF(A769&lt;INDEX(fa_date,MATCH(B769,fa_num,0)),"Date antérieure à la facture",IF(SUMIF($B$6:B769,B769,$C$6:C769)&gt;INDEX(fa_ttc,MATCH(B769,fa_num,0))-N(INDEX(fa_avoirs,MATCH(B769,fa_num,0)))+0.001,"Dépasse le montant de la facture","OK")))))))))</f>
        <v/>
      </c>
    </row>
    <row r="770">
      <c r="A770" s="61" t="n"/>
      <c r="B770" s="60" t="n"/>
      <c r="C770" s="68" t="n"/>
      <c r="D770" s="60" t="n"/>
      <c r="E770" s="63" t="n"/>
      <c r="F770" s="63" t="n"/>
      <c r="G770" s="62" t="str">
        <f>IF(B770="","",IFERROR(INDEX(fa_cname,MATCH(B770,fa_num,0))&amp;"",""))</f>
        <v/>
      </c>
      <c r="H770" s="59" t="str">
        <f>IF(COUNTA(A770:F770)=0,"",IF(A770="","Date manquante",IF(NOT(ISNUMBER(A770)),"Date invalide",IF(B770="","N° de facture manquant",IF(ISNA(MATCH(B770,fa_num,0)),"Facture inconnue",IF(INDEX(fa_type,MATCH(B770,fa_num,0))="Avoir","Paiement sur un avoir",IF(OR(NOT(ISNUMBER(C770)),N(C770)&lt;=0),"Montant invalide",IF(A770&lt;INDEX(fa_date,MATCH(B770,fa_num,0)),"Date antérieure à la facture",IF(SUMIF($B$6:B770,B770,$C$6:C770)&gt;INDEX(fa_ttc,MATCH(B770,fa_num,0))-N(INDEX(fa_avoirs,MATCH(B770,fa_num,0)))+0.001,"Dépasse le montant de la facture","OK")))))))))</f>
        <v/>
      </c>
    </row>
    <row r="771">
      <c r="A771" s="61" t="n"/>
      <c r="B771" s="60" t="n"/>
      <c r="C771" s="68" t="n"/>
      <c r="D771" s="60" t="n"/>
      <c r="E771" s="63" t="n"/>
      <c r="F771" s="63" t="n"/>
      <c r="G771" s="62" t="str">
        <f>IF(B771="","",IFERROR(INDEX(fa_cname,MATCH(B771,fa_num,0))&amp;"",""))</f>
        <v/>
      </c>
      <c r="H771" s="59" t="str">
        <f>IF(COUNTA(A771:F771)=0,"",IF(A771="","Date manquante",IF(NOT(ISNUMBER(A771)),"Date invalide",IF(B771="","N° de facture manquant",IF(ISNA(MATCH(B771,fa_num,0)),"Facture inconnue",IF(INDEX(fa_type,MATCH(B771,fa_num,0))="Avoir","Paiement sur un avoir",IF(OR(NOT(ISNUMBER(C771)),N(C771)&lt;=0),"Montant invalide",IF(A771&lt;INDEX(fa_date,MATCH(B771,fa_num,0)),"Date antérieure à la facture",IF(SUMIF($B$6:B771,B771,$C$6:C771)&gt;INDEX(fa_ttc,MATCH(B771,fa_num,0))-N(INDEX(fa_avoirs,MATCH(B771,fa_num,0)))+0.001,"Dépasse le montant de la facture","OK")))))))))</f>
        <v/>
      </c>
    </row>
    <row r="772">
      <c r="A772" s="61" t="n"/>
      <c r="B772" s="60" t="n"/>
      <c r="C772" s="68" t="n"/>
      <c r="D772" s="60" t="n"/>
      <c r="E772" s="63" t="n"/>
      <c r="F772" s="63" t="n"/>
      <c r="G772" s="62" t="str">
        <f>IF(B772="","",IFERROR(INDEX(fa_cname,MATCH(B772,fa_num,0))&amp;"",""))</f>
        <v/>
      </c>
      <c r="H772" s="59" t="str">
        <f>IF(COUNTA(A772:F772)=0,"",IF(A772="","Date manquante",IF(NOT(ISNUMBER(A772)),"Date invalide",IF(B772="","N° de facture manquant",IF(ISNA(MATCH(B772,fa_num,0)),"Facture inconnue",IF(INDEX(fa_type,MATCH(B772,fa_num,0))="Avoir","Paiement sur un avoir",IF(OR(NOT(ISNUMBER(C772)),N(C772)&lt;=0),"Montant invalide",IF(A772&lt;INDEX(fa_date,MATCH(B772,fa_num,0)),"Date antérieure à la facture",IF(SUMIF($B$6:B772,B772,$C$6:C772)&gt;INDEX(fa_ttc,MATCH(B772,fa_num,0))-N(INDEX(fa_avoirs,MATCH(B772,fa_num,0)))+0.001,"Dépasse le montant de la facture","OK")))))))))</f>
        <v/>
      </c>
    </row>
    <row r="773">
      <c r="A773" s="61" t="n"/>
      <c r="B773" s="60" t="n"/>
      <c r="C773" s="68" t="n"/>
      <c r="D773" s="60" t="n"/>
      <c r="E773" s="63" t="n"/>
      <c r="F773" s="63" t="n"/>
      <c r="G773" s="62" t="str">
        <f>IF(B773="","",IFERROR(INDEX(fa_cname,MATCH(B773,fa_num,0))&amp;"",""))</f>
        <v/>
      </c>
      <c r="H773" s="59" t="str">
        <f>IF(COUNTA(A773:F773)=0,"",IF(A773="","Date manquante",IF(NOT(ISNUMBER(A773)),"Date invalide",IF(B773="","N° de facture manquant",IF(ISNA(MATCH(B773,fa_num,0)),"Facture inconnue",IF(INDEX(fa_type,MATCH(B773,fa_num,0))="Avoir","Paiement sur un avoir",IF(OR(NOT(ISNUMBER(C773)),N(C773)&lt;=0),"Montant invalide",IF(A773&lt;INDEX(fa_date,MATCH(B773,fa_num,0)),"Date antérieure à la facture",IF(SUMIF($B$6:B773,B773,$C$6:C773)&gt;INDEX(fa_ttc,MATCH(B773,fa_num,0))-N(INDEX(fa_avoirs,MATCH(B773,fa_num,0)))+0.001,"Dépasse le montant de la facture","OK")))))))))</f>
        <v/>
      </c>
    </row>
    <row r="774">
      <c r="A774" s="61" t="n"/>
      <c r="B774" s="60" t="n"/>
      <c r="C774" s="68" t="n"/>
      <c r="D774" s="60" t="n"/>
      <c r="E774" s="63" t="n"/>
      <c r="F774" s="63" t="n"/>
      <c r="G774" s="62" t="str">
        <f>IF(B774="","",IFERROR(INDEX(fa_cname,MATCH(B774,fa_num,0))&amp;"",""))</f>
        <v/>
      </c>
      <c r="H774" s="59" t="str">
        <f>IF(COUNTA(A774:F774)=0,"",IF(A774="","Date manquante",IF(NOT(ISNUMBER(A774)),"Date invalide",IF(B774="","N° de facture manquant",IF(ISNA(MATCH(B774,fa_num,0)),"Facture inconnue",IF(INDEX(fa_type,MATCH(B774,fa_num,0))="Avoir","Paiement sur un avoir",IF(OR(NOT(ISNUMBER(C774)),N(C774)&lt;=0),"Montant invalide",IF(A774&lt;INDEX(fa_date,MATCH(B774,fa_num,0)),"Date antérieure à la facture",IF(SUMIF($B$6:B774,B774,$C$6:C774)&gt;INDEX(fa_ttc,MATCH(B774,fa_num,0))-N(INDEX(fa_avoirs,MATCH(B774,fa_num,0)))+0.001,"Dépasse le montant de la facture","OK")))))))))</f>
        <v/>
      </c>
    </row>
    <row r="775">
      <c r="A775" s="61" t="n"/>
      <c r="B775" s="60" t="n"/>
      <c r="C775" s="68" t="n"/>
      <c r="D775" s="60" t="n"/>
      <c r="E775" s="63" t="n"/>
      <c r="F775" s="63" t="n"/>
      <c r="G775" s="62" t="str">
        <f>IF(B775="","",IFERROR(INDEX(fa_cname,MATCH(B775,fa_num,0))&amp;"",""))</f>
        <v/>
      </c>
      <c r="H775" s="59" t="str">
        <f>IF(COUNTA(A775:F775)=0,"",IF(A775="","Date manquante",IF(NOT(ISNUMBER(A775)),"Date invalide",IF(B775="","N° de facture manquant",IF(ISNA(MATCH(B775,fa_num,0)),"Facture inconnue",IF(INDEX(fa_type,MATCH(B775,fa_num,0))="Avoir","Paiement sur un avoir",IF(OR(NOT(ISNUMBER(C775)),N(C775)&lt;=0),"Montant invalide",IF(A775&lt;INDEX(fa_date,MATCH(B775,fa_num,0)),"Date antérieure à la facture",IF(SUMIF($B$6:B775,B775,$C$6:C775)&gt;INDEX(fa_ttc,MATCH(B775,fa_num,0))-N(INDEX(fa_avoirs,MATCH(B775,fa_num,0)))+0.001,"Dépasse le montant de la facture","OK")))))))))</f>
        <v/>
      </c>
    </row>
    <row r="776">
      <c r="A776" s="61" t="n"/>
      <c r="B776" s="60" t="n"/>
      <c r="C776" s="68" t="n"/>
      <c r="D776" s="60" t="n"/>
      <c r="E776" s="63" t="n"/>
      <c r="F776" s="63" t="n"/>
      <c r="G776" s="62" t="str">
        <f>IF(B776="","",IFERROR(INDEX(fa_cname,MATCH(B776,fa_num,0))&amp;"",""))</f>
        <v/>
      </c>
      <c r="H776" s="59" t="str">
        <f>IF(COUNTA(A776:F776)=0,"",IF(A776="","Date manquante",IF(NOT(ISNUMBER(A776)),"Date invalide",IF(B776="","N° de facture manquant",IF(ISNA(MATCH(B776,fa_num,0)),"Facture inconnue",IF(INDEX(fa_type,MATCH(B776,fa_num,0))="Avoir","Paiement sur un avoir",IF(OR(NOT(ISNUMBER(C776)),N(C776)&lt;=0),"Montant invalide",IF(A776&lt;INDEX(fa_date,MATCH(B776,fa_num,0)),"Date antérieure à la facture",IF(SUMIF($B$6:B776,B776,$C$6:C776)&gt;INDEX(fa_ttc,MATCH(B776,fa_num,0))-N(INDEX(fa_avoirs,MATCH(B776,fa_num,0)))+0.001,"Dépasse le montant de la facture","OK")))))))))</f>
        <v/>
      </c>
    </row>
    <row r="777">
      <c r="A777" s="61" t="n"/>
      <c r="B777" s="60" t="n"/>
      <c r="C777" s="68" t="n"/>
      <c r="D777" s="60" t="n"/>
      <c r="E777" s="63" t="n"/>
      <c r="F777" s="63" t="n"/>
      <c r="G777" s="62" t="str">
        <f>IF(B777="","",IFERROR(INDEX(fa_cname,MATCH(B777,fa_num,0))&amp;"",""))</f>
        <v/>
      </c>
      <c r="H777" s="59" t="str">
        <f>IF(COUNTA(A777:F777)=0,"",IF(A777="","Date manquante",IF(NOT(ISNUMBER(A777)),"Date invalide",IF(B777="","N° de facture manquant",IF(ISNA(MATCH(B777,fa_num,0)),"Facture inconnue",IF(INDEX(fa_type,MATCH(B777,fa_num,0))="Avoir","Paiement sur un avoir",IF(OR(NOT(ISNUMBER(C777)),N(C777)&lt;=0),"Montant invalide",IF(A777&lt;INDEX(fa_date,MATCH(B777,fa_num,0)),"Date antérieure à la facture",IF(SUMIF($B$6:B777,B777,$C$6:C777)&gt;INDEX(fa_ttc,MATCH(B777,fa_num,0))-N(INDEX(fa_avoirs,MATCH(B777,fa_num,0)))+0.001,"Dépasse le montant de la facture","OK")))))))))</f>
        <v/>
      </c>
    </row>
    <row r="778">
      <c r="A778" s="61" t="n"/>
      <c r="B778" s="60" t="n"/>
      <c r="C778" s="68" t="n"/>
      <c r="D778" s="60" t="n"/>
      <c r="E778" s="63" t="n"/>
      <c r="F778" s="63" t="n"/>
      <c r="G778" s="62" t="str">
        <f>IF(B778="","",IFERROR(INDEX(fa_cname,MATCH(B778,fa_num,0))&amp;"",""))</f>
        <v/>
      </c>
      <c r="H778" s="59" t="str">
        <f>IF(COUNTA(A778:F778)=0,"",IF(A778="","Date manquante",IF(NOT(ISNUMBER(A778)),"Date invalide",IF(B778="","N° de facture manquant",IF(ISNA(MATCH(B778,fa_num,0)),"Facture inconnue",IF(INDEX(fa_type,MATCH(B778,fa_num,0))="Avoir","Paiement sur un avoir",IF(OR(NOT(ISNUMBER(C778)),N(C778)&lt;=0),"Montant invalide",IF(A778&lt;INDEX(fa_date,MATCH(B778,fa_num,0)),"Date antérieure à la facture",IF(SUMIF($B$6:B778,B778,$C$6:C778)&gt;INDEX(fa_ttc,MATCH(B778,fa_num,0))-N(INDEX(fa_avoirs,MATCH(B778,fa_num,0)))+0.001,"Dépasse le montant de la facture","OK")))))))))</f>
        <v/>
      </c>
    </row>
    <row r="779">
      <c r="A779" s="61" t="n"/>
      <c r="B779" s="60" t="n"/>
      <c r="C779" s="68" t="n"/>
      <c r="D779" s="60" t="n"/>
      <c r="E779" s="63" t="n"/>
      <c r="F779" s="63" t="n"/>
      <c r="G779" s="62" t="str">
        <f>IF(B779="","",IFERROR(INDEX(fa_cname,MATCH(B779,fa_num,0))&amp;"",""))</f>
        <v/>
      </c>
      <c r="H779" s="59" t="str">
        <f>IF(COUNTA(A779:F779)=0,"",IF(A779="","Date manquante",IF(NOT(ISNUMBER(A779)),"Date invalide",IF(B779="","N° de facture manquant",IF(ISNA(MATCH(B779,fa_num,0)),"Facture inconnue",IF(INDEX(fa_type,MATCH(B779,fa_num,0))="Avoir","Paiement sur un avoir",IF(OR(NOT(ISNUMBER(C779)),N(C779)&lt;=0),"Montant invalide",IF(A779&lt;INDEX(fa_date,MATCH(B779,fa_num,0)),"Date antérieure à la facture",IF(SUMIF($B$6:B779,B779,$C$6:C779)&gt;INDEX(fa_ttc,MATCH(B779,fa_num,0))-N(INDEX(fa_avoirs,MATCH(B779,fa_num,0)))+0.001,"Dépasse le montant de la facture","OK")))))))))</f>
        <v/>
      </c>
    </row>
    <row r="780">
      <c r="A780" s="61" t="n"/>
      <c r="B780" s="60" t="n"/>
      <c r="C780" s="68" t="n"/>
      <c r="D780" s="60" t="n"/>
      <c r="E780" s="63" t="n"/>
      <c r="F780" s="63" t="n"/>
      <c r="G780" s="62" t="str">
        <f>IF(B780="","",IFERROR(INDEX(fa_cname,MATCH(B780,fa_num,0))&amp;"",""))</f>
        <v/>
      </c>
      <c r="H780" s="59" t="str">
        <f>IF(COUNTA(A780:F780)=0,"",IF(A780="","Date manquante",IF(NOT(ISNUMBER(A780)),"Date invalide",IF(B780="","N° de facture manquant",IF(ISNA(MATCH(B780,fa_num,0)),"Facture inconnue",IF(INDEX(fa_type,MATCH(B780,fa_num,0))="Avoir","Paiement sur un avoir",IF(OR(NOT(ISNUMBER(C780)),N(C780)&lt;=0),"Montant invalide",IF(A780&lt;INDEX(fa_date,MATCH(B780,fa_num,0)),"Date antérieure à la facture",IF(SUMIF($B$6:B780,B780,$C$6:C780)&gt;INDEX(fa_ttc,MATCH(B780,fa_num,0))-N(INDEX(fa_avoirs,MATCH(B780,fa_num,0)))+0.001,"Dépasse le montant de la facture","OK")))))))))</f>
        <v/>
      </c>
    </row>
    <row r="781">
      <c r="A781" s="61" t="n"/>
      <c r="B781" s="60" t="n"/>
      <c r="C781" s="68" t="n"/>
      <c r="D781" s="60" t="n"/>
      <c r="E781" s="63" t="n"/>
      <c r="F781" s="63" t="n"/>
      <c r="G781" s="62" t="str">
        <f>IF(B781="","",IFERROR(INDEX(fa_cname,MATCH(B781,fa_num,0))&amp;"",""))</f>
        <v/>
      </c>
      <c r="H781" s="59" t="str">
        <f>IF(COUNTA(A781:F781)=0,"",IF(A781="","Date manquante",IF(NOT(ISNUMBER(A781)),"Date invalide",IF(B781="","N° de facture manquant",IF(ISNA(MATCH(B781,fa_num,0)),"Facture inconnue",IF(INDEX(fa_type,MATCH(B781,fa_num,0))="Avoir","Paiement sur un avoir",IF(OR(NOT(ISNUMBER(C781)),N(C781)&lt;=0),"Montant invalide",IF(A781&lt;INDEX(fa_date,MATCH(B781,fa_num,0)),"Date antérieure à la facture",IF(SUMIF($B$6:B781,B781,$C$6:C781)&gt;INDEX(fa_ttc,MATCH(B781,fa_num,0))-N(INDEX(fa_avoirs,MATCH(B781,fa_num,0)))+0.001,"Dépasse le montant de la facture","OK")))))))))</f>
        <v/>
      </c>
    </row>
    <row r="782">
      <c r="A782" s="61" t="n"/>
      <c r="B782" s="60" t="n"/>
      <c r="C782" s="68" t="n"/>
      <c r="D782" s="60" t="n"/>
      <c r="E782" s="63" t="n"/>
      <c r="F782" s="63" t="n"/>
      <c r="G782" s="62" t="str">
        <f>IF(B782="","",IFERROR(INDEX(fa_cname,MATCH(B782,fa_num,0))&amp;"",""))</f>
        <v/>
      </c>
      <c r="H782" s="59" t="str">
        <f>IF(COUNTA(A782:F782)=0,"",IF(A782="","Date manquante",IF(NOT(ISNUMBER(A782)),"Date invalide",IF(B782="","N° de facture manquant",IF(ISNA(MATCH(B782,fa_num,0)),"Facture inconnue",IF(INDEX(fa_type,MATCH(B782,fa_num,0))="Avoir","Paiement sur un avoir",IF(OR(NOT(ISNUMBER(C782)),N(C782)&lt;=0),"Montant invalide",IF(A782&lt;INDEX(fa_date,MATCH(B782,fa_num,0)),"Date antérieure à la facture",IF(SUMIF($B$6:B782,B782,$C$6:C782)&gt;INDEX(fa_ttc,MATCH(B782,fa_num,0))-N(INDEX(fa_avoirs,MATCH(B782,fa_num,0)))+0.001,"Dépasse le montant de la facture","OK")))))))))</f>
        <v/>
      </c>
    </row>
    <row r="783">
      <c r="A783" s="61" t="n"/>
      <c r="B783" s="60" t="n"/>
      <c r="C783" s="68" t="n"/>
      <c r="D783" s="60" t="n"/>
      <c r="E783" s="63" t="n"/>
      <c r="F783" s="63" t="n"/>
      <c r="G783" s="62" t="str">
        <f>IF(B783="","",IFERROR(INDEX(fa_cname,MATCH(B783,fa_num,0))&amp;"",""))</f>
        <v/>
      </c>
      <c r="H783" s="59" t="str">
        <f>IF(COUNTA(A783:F783)=0,"",IF(A783="","Date manquante",IF(NOT(ISNUMBER(A783)),"Date invalide",IF(B783="","N° de facture manquant",IF(ISNA(MATCH(B783,fa_num,0)),"Facture inconnue",IF(INDEX(fa_type,MATCH(B783,fa_num,0))="Avoir","Paiement sur un avoir",IF(OR(NOT(ISNUMBER(C783)),N(C783)&lt;=0),"Montant invalide",IF(A783&lt;INDEX(fa_date,MATCH(B783,fa_num,0)),"Date antérieure à la facture",IF(SUMIF($B$6:B783,B783,$C$6:C783)&gt;INDEX(fa_ttc,MATCH(B783,fa_num,0))-N(INDEX(fa_avoirs,MATCH(B783,fa_num,0)))+0.001,"Dépasse le montant de la facture","OK")))))))))</f>
        <v/>
      </c>
    </row>
    <row r="784">
      <c r="A784" s="61" t="n"/>
      <c r="B784" s="60" t="n"/>
      <c r="C784" s="68" t="n"/>
      <c r="D784" s="60" t="n"/>
      <c r="E784" s="63" t="n"/>
      <c r="F784" s="63" t="n"/>
      <c r="G784" s="62" t="str">
        <f>IF(B784="","",IFERROR(INDEX(fa_cname,MATCH(B784,fa_num,0))&amp;"",""))</f>
        <v/>
      </c>
      <c r="H784" s="59" t="str">
        <f>IF(COUNTA(A784:F784)=0,"",IF(A784="","Date manquante",IF(NOT(ISNUMBER(A784)),"Date invalide",IF(B784="","N° de facture manquant",IF(ISNA(MATCH(B784,fa_num,0)),"Facture inconnue",IF(INDEX(fa_type,MATCH(B784,fa_num,0))="Avoir","Paiement sur un avoir",IF(OR(NOT(ISNUMBER(C784)),N(C784)&lt;=0),"Montant invalide",IF(A784&lt;INDEX(fa_date,MATCH(B784,fa_num,0)),"Date antérieure à la facture",IF(SUMIF($B$6:B784,B784,$C$6:C784)&gt;INDEX(fa_ttc,MATCH(B784,fa_num,0))-N(INDEX(fa_avoirs,MATCH(B784,fa_num,0)))+0.001,"Dépasse le montant de la facture","OK")))))))))</f>
        <v/>
      </c>
    </row>
    <row r="785">
      <c r="A785" s="61" t="n"/>
      <c r="B785" s="60" t="n"/>
      <c r="C785" s="68" t="n"/>
      <c r="D785" s="60" t="n"/>
      <c r="E785" s="63" t="n"/>
      <c r="F785" s="63" t="n"/>
      <c r="G785" s="62" t="str">
        <f>IF(B785="","",IFERROR(INDEX(fa_cname,MATCH(B785,fa_num,0))&amp;"",""))</f>
        <v/>
      </c>
      <c r="H785" s="59" t="str">
        <f>IF(COUNTA(A785:F785)=0,"",IF(A785="","Date manquante",IF(NOT(ISNUMBER(A785)),"Date invalide",IF(B785="","N° de facture manquant",IF(ISNA(MATCH(B785,fa_num,0)),"Facture inconnue",IF(INDEX(fa_type,MATCH(B785,fa_num,0))="Avoir","Paiement sur un avoir",IF(OR(NOT(ISNUMBER(C785)),N(C785)&lt;=0),"Montant invalide",IF(A785&lt;INDEX(fa_date,MATCH(B785,fa_num,0)),"Date antérieure à la facture",IF(SUMIF($B$6:B785,B785,$C$6:C785)&gt;INDEX(fa_ttc,MATCH(B785,fa_num,0))-N(INDEX(fa_avoirs,MATCH(B785,fa_num,0)))+0.001,"Dépasse le montant de la facture","OK")))))))))</f>
        <v/>
      </c>
    </row>
    <row r="786">
      <c r="A786" s="61" t="n"/>
      <c r="B786" s="60" t="n"/>
      <c r="C786" s="68" t="n"/>
      <c r="D786" s="60" t="n"/>
      <c r="E786" s="63" t="n"/>
      <c r="F786" s="63" t="n"/>
      <c r="G786" s="62" t="str">
        <f>IF(B786="","",IFERROR(INDEX(fa_cname,MATCH(B786,fa_num,0))&amp;"",""))</f>
        <v/>
      </c>
      <c r="H786" s="59" t="str">
        <f>IF(COUNTA(A786:F786)=0,"",IF(A786="","Date manquante",IF(NOT(ISNUMBER(A786)),"Date invalide",IF(B786="","N° de facture manquant",IF(ISNA(MATCH(B786,fa_num,0)),"Facture inconnue",IF(INDEX(fa_type,MATCH(B786,fa_num,0))="Avoir","Paiement sur un avoir",IF(OR(NOT(ISNUMBER(C786)),N(C786)&lt;=0),"Montant invalide",IF(A786&lt;INDEX(fa_date,MATCH(B786,fa_num,0)),"Date antérieure à la facture",IF(SUMIF($B$6:B786,B786,$C$6:C786)&gt;INDEX(fa_ttc,MATCH(B786,fa_num,0))-N(INDEX(fa_avoirs,MATCH(B786,fa_num,0)))+0.001,"Dépasse le montant de la facture","OK")))))))))</f>
        <v/>
      </c>
    </row>
    <row r="787">
      <c r="A787" s="61" t="n"/>
      <c r="B787" s="60" t="n"/>
      <c r="C787" s="68" t="n"/>
      <c r="D787" s="60" t="n"/>
      <c r="E787" s="63" t="n"/>
      <c r="F787" s="63" t="n"/>
      <c r="G787" s="62" t="str">
        <f>IF(B787="","",IFERROR(INDEX(fa_cname,MATCH(B787,fa_num,0))&amp;"",""))</f>
        <v/>
      </c>
      <c r="H787" s="59" t="str">
        <f>IF(COUNTA(A787:F787)=0,"",IF(A787="","Date manquante",IF(NOT(ISNUMBER(A787)),"Date invalide",IF(B787="","N° de facture manquant",IF(ISNA(MATCH(B787,fa_num,0)),"Facture inconnue",IF(INDEX(fa_type,MATCH(B787,fa_num,0))="Avoir","Paiement sur un avoir",IF(OR(NOT(ISNUMBER(C787)),N(C787)&lt;=0),"Montant invalide",IF(A787&lt;INDEX(fa_date,MATCH(B787,fa_num,0)),"Date antérieure à la facture",IF(SUMIF($B$6:B787,B787,$C$6:C787)&gt;INDEX(fa_ttc,MATCH(B787,fa_num,0))-N(INDEX(fa_avoirs,MATCH(B787,fa_num,0)))+0.001,"Dépasse le montant de la facture","OK")))))))))</f>
        <v/>
      </c>
    </row>
    <row r="788">
      <c r="A788" s="61" t="n"/>
      <c r="B788" s="60" t="n"/>
      <c r="C788" s="68" t="n"/>
      <c r="D788" s="60" t="n"/>
      <c r="E788" s="63" t="n"/>
      <c r="F788" s="63" t="n"/>
      <c r="G788" s="62" t="str">
        <f>IF(B788="","",IFERROR(INDEX(fa_cname,MATCH(B788,fa_num,0))&amp;"",""))</f>
        <v/>
      </c>
      <c r="H788" s="59" t="str">
        <f>IF(COUNTA(A788:F788)=0,"",IF(A788="","Date manquante",IF(NOT(ISNUMBER(A788)),"Date invalide",IF(B788="","N° de facture manquant",IF(ISNA(MATCH(B788,fa_num,0)),"Facture inconnue",IF(INDEX(fa_type,MATCH(B788,fa_num,0))="Avoir","Paiement sur un avoir",IF(OR(NOT(ISNUMBER(C788)),N(C788)&lt;=0),"Montant invalide",IF(A788&lt;INDEX(fa_date,MATCH(B788,fa_num,0)),"Date antérieure à la facture",IF(SUMIF($B$6:B788,B788,$C$6:C788)&gt;INDEX(fa_ttc,MATCH(B788,fa_num,0))-N(INDEX(fa_avoirs,MATCH(B788,fa_num,0)))+0.001,"Dépasse le montant de la facture","OK")))))))))</f>
        <v/>
      </c>
    </row>
    <row r="789">
      <c r="A789" s="61" t="n"/>
      <c r="B789" s="60" t="n"/>
      <c r="C789" s="68" t="n"/>
      <c r="D789" s="60" t="n"/>
      <c r="E789" s="63" t="n"/>
      <c r="F789" s="63" t="n"/>
      <c r="G789" s="62" t="str">
        <f>IF(B789="","",IFERROR(INDEX(fa_cname,MATCH(B789,fa_num,0))&amp;"",""))</f>
        <v/>
      </c>
      <c r="H789" s="59" t="str">
        <f>IF(COUNTA(A789:F789)=0,"",IF(A789="","Date manquante",IF(NOT(ISNUMBER(A789)),"Date invalide",IF(B789="","N° de facture manquant",IF(ISNA(MATCH(B789,fa_num,0)),"Facture inconnue",IF(INDEX(fa_type,MATCH(B789,fa_num,0))="Avoir","Paiement sur un avoir",IF(OR(NOT(ISNUMBER(C789)),N(C789)&lt;=0),"Montant invalide",IF(A789&lt;INDEX(fa_date,MATCH(B789,fa_num,0)),"Date antérieure à la facture",IF(SUMIF($B$6:B789,B789,$C$6:C789)&gt;INDEX(fa_ttc,MATCH(B789,fa_num,0))-N(INDEX(fa_avoirs,MATCH(B789,fa_num,0)))+0.001,"Dépasse le montant de la facture","OK")))))))))</f>
        <v/>
      </c>
    </row>
    <row r="790">
      <c r="A790" s="61" t="n"/>
      <c r="B790" s="60" t="n"/>
      <c r="C790" s="68" t="n"/>
      <c r="D790" s="60" t="n"/>
      <c r="E790" s="63" t="n"/>
      <c r="F790" s="63" t="n"/>
      <c r="G790" s="62" t="str">
        <f>IF(B790="","",IFERROR(INDEX(fa_cname,MATCH(B790,fa_num,0))&amp;"",""))</f>
        <v/>
      </c>
      <c r="H790" s="59" t="str">
        <f>IF(COUNTA(A790:F790)=0,"",IF(A790="","Date manquante",IF(NOT(ISNUMBER(A790)),"Date invalide",IF(B790="","N° de facture manquant",IF(ISNA(MATCH(B790,fa_num,0)),"Facture inconnue",IF(INDEX(fa_type,MATCH(B790,fa_num,0))="Avoir","Paiement sur un avoir",IF(OR(NOT(ISNUMBER(C790)),N(C790)&lt;=0),"Montant invalide",IF(A790&lt;INDEX(fa_date,MATCH(B790,fa_num,0)),"Date antérieure à la facture",IF(SUMIF($B$6:B790,B790,$C$6:C790)&gt;INDEX(fa_ttc,MATCH(B790,fa_num,0))-N(INDEX(fa_avoirs,MATCH(B790,fa_num,0)))+0.001,"Dépasse le montant de la facture","OK")))))))))</f>
        <v/>
      </c>
    </row>
    <row r="791">
      <c r="A791" s="61" t="n"/>
      <c r="B791" s="60" t="n"/>
      <c r="C791" s="68" t="n"/>
      <c r="D791" s="60" t="n"/>
      <c r="E791" s="63" t="n"/>
      <c r="F791" s="63" t="n"/>
      <c r="G791" s="62" t="str">
        <f>IF(B791="","",IFERROR(INDEX(fa_cname,MATCH(B791,fa_num,0))&amp;"",""))</f>
        <v/>
      </c>
      <c r="H791" s="59" t="str">
        <f>IF(COUNTA(A791:F791)=0,"",IF(A791="","Date manquante",IF(NOT(ISNUMBER(A791)),"Date invalide",IF(B791="","N° de facture manquant",IF(ISNA(MATCH(B791,fa_num,0)),"Facture inconnue",IF(INDEX(fa_type,MATCH(B791,fa_num,0))="Avoir","Paiement sur un avoir",IF(OR(NOT(ISNUMBER(C791)),N(C791)&lt;=0),"Montant invalide",IF(A791&lt;INDEX(fa_date,MATCH(B791,fa_num,0)),"Date antérieure à la facture",IF(SUMIF($B$6:B791,B791,$C$6:C791)&gt;INDEX(fa_ttc,MATCH(B791,fa_num,0))-N(INDEX(fa_avoirs,MATCH(B791,fa_num,0)))+0.001,"Dépasse le montant de la facture","OK")))))))))</f>
        <v/>
      </c>
    </row>
    <row r="792">
      <c r="A792" s="61" t="n"/>
      <c r="B792" s="60" t="n"/>
      <c r="C792" s="68" t="n"/>
      <c r="D792" s="60" t="n"/>
      <c r="E792" s="63" t="n"/>
      <c r="F792" s="63" t="n"/>
      <c r="G792" s="62" t="str">
        <f>IF(B792="","",IFERROR(INDEX(fa_cname,MATCH(B792,fa_num,0))&amp;"",""))</f>
        <v/>
      </c>
      <c r="H792" s="59" t="str">
        <f>IF(COUNTA(A792:F792)=0,"",IF(A792="","Date manquante",IF(NOT(ISNUMBER(A792)),"Date invalide",IF(B792="","N° de facture manquant",IF(ISNA(MATCH(B792,fa_num,0)),"Facture inconnue",IF(INDEX(fa_type,MATCH(B792,fa_num,0))="Avoir","Paiement sur un avoir",IF(OR(NOT(ISNUMBER(C792)),N(C792)&lt;=0),"Montant invalide",IF(A792&lt;INDEX(fa_date,MATCH(B792,fa_num,0)),"Date antérieure à la facture",IF(SUMIF($B$6:B792,B792,$C$6:C792)&gt;INDEX(fa_ttc,MATCH(B792,fa_num,0))-N(INDEX(fa_avoirs,MATCH(B792,fa_num,0)))+0.001,"Dépasse le montant de la facture","OK")))))))))</f>
        <v/>
      </c>
    </row>
    <row r="793">
      <c r="A793" s="61" t="n"/>
      <c r="B793" s="60" t="n"/>
      <c r="C793" s="68" t="n"/>
      <c r="D793" s="60" t="n"/>
      <c r="E793" s="63" t="n"/>
      <c r="F793" s="63" t="n"/>
      <c r="G793" s="62" t="str">
        <f>IF(B793="","",IFERROR(INDEX(fa_cname,MATCH(B793,fa_num,0))&amp;"",""))</f>
        <v/>
      </c>
      <c r="H793" s="59" t="str">
        <f>IF(COUNTA(A793:F793)=0,"",IF(A793="","Date manquante",IF(NOT(ISNUMBER(A793)),"Date invalide",IF(B793="","N° de facture manquant",IF(ISNA(MATCH(B793,fa_num,0)),"Facture inconnue",IF(INDEX(fa_type,MATCH(B793,fa_num,0))="Avoir","Paiement sur un avoir",IF(OR(NOT(ISNUMBER(C793)),N(C793)&lt;=0),"Montant invalide",IF(A793&lt;INDEX(fa_date,MATCH(B793,fa_num,0)),"Date antérieure à la facture",IF(SUMIF($B$6:B793,B793,$C$6:C793)&gt;INDEX(fa_ttc,MATCH(B793,fa_num,0))-N(INDEX(fa_avoirs,MATCH(B793,fa_num,0)))+0.001,"Dépasse le montant de la facture","OK")))))))))</f>
        <v/>
      </c>
    </row>
    <row r="794">
      <c r="A794" s="61" t="n"/>
      <c r="B794" s="60" t="n"/>
      <c r="C794" s="68" t="n"/>
      <c r="D794" s="60" t="n"/>
      <c r="E794" s="63" t="n"/>
      <c r="F794" s="63" t="n"/>
      <c r="G794" s="62" t="str">
        <f>IF(B794="","",IFERROR(INDEX(fa_cname,MATCH(B794,fa_num,0))&amp;"",""))</f>
        <v/>
      </c>
      <c r="H794" s="59" t="str">
        <f>IF(COUNTA(A794:F794)=0,"",IF(A794="","Date manquante",IF(NOT(ISNUMBER(A794)),"Date invalide",IF(B794="","N° de facture manquant",IF(ISNA(MATCH(B794,fa_num,0)),"Facture inconnue",IF(INDEX(fa_type,MATCH(B794,fa_num,0))="Avoir","Paiement sur un avoir",IF(OR(NOT(ISNUMBER(C794)),N(C794)&lt;=0),"Montant invalide",IF(A794&lt;INDEX(fa_date,MATCH(B794,fa_num,0)),"Date antérieure à la facture",IF(SUMIF($B$6:B794,B794,$C$6:C794)&gt;INDEX(fa_ttc,MATCH(B794,fa_num,0))-N(INDEX(fa_avoirs,MATCH(B794,fa_num,0)))+0.001,"Dépasse le montant de la facture","OK")))))))))</f>
        <v/>
      </c>
    </row>
    <row r="795">
      <c r="A795" s="61" t="n"/>
      <c r="B795" s="60" t="n"/>
      <c r="C795" s="68" t="n"/>
      <c r="D795" s="60" t="n"/>
      <c r="E795" s="63" t="n"/>
      <c r="F795" s="63" t="n"/>
      <c r="G795" s="62" t="str">
        <f>IF(B795="","",IFERROR(INDEX(fa_cname,MATCH(B795,fa_num,0))&amp;"",""))</f>
        <v/>
      </c>
      <c r="H795" s="59" t="str">
        <f>IF(COUNTA(A795:F795)=0,"",IF(A795="","Date manquante",IF(NOT(ISNUMBER(A795)),"Date invalide",IF(B795="","N° de facture manquant",IF(ISNA(MATCH(B795,fa_num,0)),"Facture inconnue",IF(INDEX(fa_type,MATCH(B795,fa_num,0))="Avoir","Paiement sur un avoir",IF(OR(NOT(ISNUMBER(C795)),N(C795)&lt;=0),"Montant invalide",IF(A795&lt;INDEX(fa_date,MATCH(B795,fa_num,0)),"Date antérieure à la facture",IF(SUMIF($B$6:B795,B795,$C$6:C795)&gt;INDEX(fa_ttc,MATCH(B795,fa_num,0))-N(INDEX(fa_avoirs,MATCH(B795,fa_num,0)))+0.001,"Dépasse le montant de la facture","OK")))))))))</f>
        <v/>
      </c>
    </row>
    <row r="796">
      <c r="A796" s="61" t="n"/>
      <c r="B796" s="60" t="n"/>
      <c r="C796" s="68" t="n"/>
      <c r="D796" s="60" t="n"/>
      <c r="E796" s="63" t="n"/>
      <c r="F796" s="63" t="n"/>
      <c r="G796" s="62" t="str">
        <f>IF(B796="","",IFERROR(INDEX(fa_cname,MATCH(B796,fa_num,0))&amp;"",""))</f>
        <v/>
      </c>
      <c r="H796" s="59" t="str">
        <f>IF(COUNTA(A796:F796)=0,"",IF(A796="","Date manquante",IF(NOT(ISNUMBER(A796)),"Date invalide",IF(B796="","N° de facture manquant",IF(ISNA(MATCH(B796,fa_num,0)),"Facture inconnue",IF(INDEX(fa_type,MATCH(B796,fa_num,0))="Avoir","Paiement sur un avoir",IF(OR(NOT(ISNUMBER(C796)),N(C796)&lt;=0),"Montant invalide",IF(A796&lt;INDEX(fa_date,MATCH(B796,fa_num,0)),"Date antérieure à la facture",IF(SUMIF($B$6:B796,B796,$C$6:C796)&gt;INDEX(fa_ttc,MATCH(B796,fa_num,0))-N(INDEX(fa_avoirs,MATCH(B796,fa_num,0)))+0.001,"Dépasse le montant de la facture","OK")))))))))</f>
        <v/>
      </c>
    </row>
    <row r="797">
      <c r="A797" s="61" t="n"/>
      <c r="B797" s="60" t="n"/>
      <c r="C797" s="68" t="n"/>
      <c r="D797" s="60" t="n"/>
      <c r="E797" s="63" t="n"/>
      <c r="F797" s="63" t="n"/>
      <c r="G797" s="62" t="str">
        <f>IF(B797="","",IFERROR(INDEX(fa_cname,MATCH(B797,fa_num,0))&amp;"",""))</f>
        <v/>
      </c>
      <c r="H797" s="59" t="str">
        <f>IF(COUNTA(A797:F797)=0,"",IF(A797="","Date manquante",IF(NOT(ISNUMBER(A797)),"Date invalide",IF(B797="","N° de facture manquant",IF(ISNA(MATCH(B797,fa_num,0)),"Facture inconnue",IF(INDEX(fa_type,MATCH(B797,fa_num,0))="Avoir","Paiement sur un avoir",IF(OR(NOT(ISNUMBER(C797)),N(C797)&lt;=0),"Montant invalide",IF(A797&lt;INDEX(fa_date,MATCH(B797,fa_num,0)),"Date antérieure à la facture",IF(SUMIF($B$6:B797,B797,$C$6:C797)&gt;INDEX(fa_ttc,MATCH(B797,fa_num,0))-N(INDEX(fa_avoirs,MATCH(B797,fa_num,0)))+0.001,"Dépasse le montant de la facture","OK")))))))))</f>
        <v/>
      </c>
    </row>
    <row r="798">
      <c r="A798" s="61" t="n"/>
      <c r="B798" s="60" t="n"/>
      <c r="C798" s="68" t="n"/>
      <c r="D798" s="60" t="n"/>
      <c r="E798" s="63" t="n"/>
      <c r="F798" s="63" t="n"/>
      <c r="G798" s="62" t="str">
        <f>IF(B798="","",IFERROR(INDEX(fa_cname,MATCH(B798,fa_num,0))&amp;"",""))</f>
        <v/>
      </c>
      <c r="H798" s="59" t="str">
        <f>IF(COUNTA(A798:F798)=0,"",IF(A798="","Date manquante",IF(NOT(ISNUMBER(A798)),"Date invalide",IF(B798="","N° de facture manquant",IF(ISNA(MATCH(B798,fa_num,0)),"Facture inconnue",IF(INDEX(fa_type,MATCH(B798,fa_num,0))="Avoir","Paiement sur un avoir",IF(OR(NOT(ISNUMBER(C798)),N(C798)&lt;=0),"Montant invalide",IF(A798&lt;INDEX(fa_date,MATCH(B798,fa_num,0)),"Date antérieure à la facture",IF(SUMIF($B$6:B798,B798,$C$6:C798)&gt;INDEX(fa_ttc,MATCH(B798,fa_num,0))-N(INDEX(fa_avoirs,MATCH(B798,fa_num,0)))+0.001,"Dépasse le montant de la facture","OK")))))))))</f>
        <v/>
      </c>
    </row>
    <row r="799">
      <c r="A799" s="61" t="n"/>
      <c r="B799" s="60" t="n"/>
      <c r="C799" s="68" t="n"/>
      <c r="D799" s="60" t="n"/>
      <c r="E799" s="63" t="n"/>
      <c r="F799" s="63" t="n"/>
      <c r="G799" s="62" t="str">
        <f>IF(B799="","",IFERROR(INDEX(fa_cname,MATCH(B799,fa_num,0))&amp;"",""))</f>
        <v/>
      </c>
      <c r="H799" s="59" t="str">
        <f>IF(COUNTA(A799:F799)=0,"",IF(A799="","Date manquante",IF(NOT(ISNUMBER(A799)),"Date invalide",IF(B799="","N° de facture manquant",IF(ISNA(MATCH(B799,fa_num,0)),"Facture inconnue",IF(INDEX(fa_type,MATCH(B799,fa_num,0))="Avoir","Paiement sur un avoir",IF(OR(NOT(ISNUMBER(C799)),N(C799)&lt;=0),"Montant invalide",IF(A799&lt;INDEX(fa_date,MATCH(B799,fa_num,0)),"Date antérieure à la facture",IF(SUMIF($B$6:B799,B799,$C$6:C799)&gt;INDEX(fa_ttc,MATCH(B799,fa_num,0))-N(INDEX(fa_avoirs,MATCH(B799,fa_num,0)))+0.001,"Dépasse le montant de la facture","OK")))))))))</f>
        <v/>
      </c>
    </row>
    <row r="800">
      <c r="A800" s="61" t="n"/>
      <c r="B800" s="60" t="n"/>
      <c r="C800" s="68" t="n"/>
      <c r="D800" s="60" t="n"/>
      <c r="E800" s="63" t="n"/>
      <c r="F800" s="63" t="n"/>
      <c r="G800" s="62" t="str">
        <f>IF(B800="","",IFERROR(INDEX(fa_cname,MATCH(B800,fa_num,0))&amp;"",""))</f>
        <v/>
      </c>
      <c r="H800" s="59" t="str">
        <f>IF(COUNTA(A800:F800)=0,"",IF(A800="","Date manquante",IF(NOT(ISNUMBER(A800)),"Date invalide",IF(B800="","N° de facture manquant",IF(ISNA(MATCH(B800,fa_num,0)),"Facture inconnue",IF(INDEX(fa_type,MATCH(B800,fa_num,0))="Avoir","Paiement sur un avoir",IF(OR(NOT(ISNUMBER(C800)),N(C800)&lt;=0),"Montant invalide",IF(A800&lt;INDEX(fa_date,MATCH(B800,fa_num,0)),"Date antérieure à la facture",IF(SUMIF($B$6:B800,B800,$C$6:C800)&gt;INDEX(fa_ttc,MATCH(B800,fa_num,0))-N(INDEX(fa_avoirs,MATCH(B800,fa_num,0)))+0.001,"Dépasse le montant de la facture","OK")))))))))</f>
        <v/>
      </c>
    </row>
    <row r="801">
      <c r="A801" s="61" t="n"/>
      <c r="B801" s="60" t="n"/>
      <c r="C801" s="68" t="n"/>
      <c r="D801" s="60" t="n"/>
      <c r="E801" s="63" t="n"/>
      <c r="F801" s="63" t="n"/>
      <c r="G801" s="62" t="str">
        <f>IF(B801="","",IFERROR(INDEX(fa_cname,MATCH(B801,fa_num,0))&amp;"",""))</f>
        <v/>
      </c>
      <c r="H801" s="59" t="str">
        <f>IF(COUNTA(A801:F801)=0,"",IF(A801="","Date manquante",IF(NOT(ISNUMBER(A801)),"Date invalide",IF(B801="","N° de facture manquant",IF(ISNA(MATCH(B801,fa_num,0)),"Facture inconnue",IF(INDEX(fa_type,MATCH(B801,fa_num,0))="Avoir","Paiement sur un avoir",IF(OR(NOT(ISNUMBER(C801)),N(C801)&lt;=0),"Montant invalide",IF(A801&lt;INDEX(fa_date,MATCH(B801,fa_num,0)),"Date antérieure à la facture",IF(SUMIF($B$6:B801,B801,$C$6:C801)&gt;INDEX(fa_ttc,MATCH(B801,fa_num,0))-N(INDEX(fa_avoirs,MATCH(B801,fa_num,0)))+0.001,"Dépasse le montant de la facture","OK")))))))))</f>
        <v/>
      </c>
    </row>
    <row r="802">
      <c r="A802" s="61" t="n"/>
      <c r="B802" s="60" t="n"/>
      <c r="C802" s="68" t="n"/>
      <c r="D802" s="60" t="n"/>
      <c r="E802" s="63" t="n"/>
      <c r="F802" s="63" t="n"/>
      <c r="G802" s="62" t="str">
        <f>IF(B802="","",IFERROR(INDEX(fa_cname,MATCH(B802,fa_num,0))&amp;"",""))</f>
        <v/>
      </c>
      <c r="H802" s="59" t="str">
        <f>IF(COUNTA(A802:F802)=0,"",IF(A802="","Date manquante",IF(NOT(ISNUMBER(A802)),"Date invalide",IF(B802="","N° de facture manquant",IF(ISNA(MATCH(B802,fa_num,0)),"Facture inconnue",IF(INDEX(fa_type,MATCH(B802,fa_num,0))="Avoir","Paiement sur un avoir",IF(OR(NOT(ISNUMBER(C802)),N(C802)&lt;=0),"Montant invalide",IF(A802&lt;INDEX(fa_date,MATCH(B802,fa_num,0)),"Date antérieure à la facture",IF(SUMIF($B$6:B802,B802,$C$6:C802)&gt;INDEX(fa_ttc,MATCH(B802,fa_num,0))-N(INDEX(fa_avoirs,MATCH(B802,fa_num,0)))+0.001,"Dépasse le montant de la facture","OK")))))))))</f>
        <v/>
      </c>
    </row>
    <row r="803">
      <c r="A803" s="61" t="n"/>
      <c r="B803" s="60" t="n"/>
      <c r="C803" s="68" t="n"/>
      <c r="D803" s="60" t="n"/>
      <c r="E803" s="63" t="n"/>
      <c r="F803" s="63" t="n"/>
      <c r="G803" s="62" t="str">
        <f>IF(B803="","",IFERROR(INDEX(fa_cname,MATCH(B803,fa_num,0))&amp;"",""))</f>
        <v/>
      </c>
      <c r="H803" s="59" t="str">
        <f>IF(COUNTA(A803:F803)=0,"",IF(A803="","Date manquante",IF(NOT(ISNUMBER(A803)),"Date invalide",IF(B803="","N° de facture manquant",IF(ISNA(MATCH(B803,fa_num,0)),"Facture inconnue",IF(INDEX(fa_type,MATCH(B803,fa_num,0))="Avoir","Paiement sur un avoir",IF(OR(NOT(ISNUMBER(C803)),N(C803)&lt;=0),"Montant invalide",IF(A803&lt;INDEX(fa_date,MATCH(B803,fa_num,0)),"Date antérieure à la facture",IF(SUMIF($B$6:B803,B803,$C$6:C803)&gt;INDEX(fa_ttc,MATCH(B803,fa_num,0))-N(INDEX(fa_avoirs,MATCH(B803,fa_num,0)))+0.001,"Dépasse le montant de la facture","OK")))))))))</f>
        <v/>
      </c>
    </row>
    <row r="804">
      <c r="A804" s="61" t="n"/>
      <c r="B804" s="60" t="n"/>
      <c r="C804" s="68" t="n"/>
      <c r="D804" s="60" t="n"/>
      <c r="E804" s="63" t="n"/>
      <c r="F804" s="63" t="n"/>
      <c r="G804" s="62" t="str">
        <f>IF(B804="","",IFERROR(INDEX(fa_cname,MATCH(B804,fa_num,0))&amp;"",""))</f>
        <v/>
      </c>
      <c r="H804" s="59" t="str">
        <f>IF(COUNTA(A804:F804)=0,"",IF(A804="","Date manquante",IF(NOT(ISNUMBER(A804)),"Date invalide",IF(B804="","N° de facture manquant",IF(ISNA(MATCH(B804,fa_num,0)),"Facture inconnue",IF(INDEX(fa_type,MATCH(B804,fa_num,0))="Avoir","Paiement sur un avoir",IF(OR(NOT(ISNUMBER(C804)),N(C804)&lt;=0),"Montant invalide",IF(A804&lt;INDEX(fa_date,MATCH(B804,fa_num,0)),"Date antérieure à la facture",IF(SUMIF($B$6:B804,B804,$C$6:C804)&gt;INDEX(fa_ttc,MATCH(B804,fa_num,0))-N(INDEX(fa_avoirs,MATCH(B804,fa_num,0)))+0.001,"Dépasse le montant de la facture","OK")))))))))</f>
        <v/>
      </c>
    </row>
    <row r="805">
      <c r="A805" s="61" t="n"/>
      <c r="B805" s="60" t="n"/>
      <c r="C805" s="68" t="n"/>
      <c r="D805" s="60" t="n"/>
      <c r="E805" s="63" t="n"/>
      <c r="F805" s="63" t="n"/>
      <c r="G805" s="62" t="str">
        <f>IF(B805="","",IFERROR(INDEX(fa_cname,MATCH(B805,fa_num,0))&amp;"",""))</f>
        <v/>
      </c>
      <c r="H805" s="59" t="str">
        <f>IF(COUNTA(A805:F805)=0,"",IF(A805="","Date manquante",IF(NOT(ISNUMBER(A805)),"Date invalide",IF(B805="","N° de facture manquant",IF(ISNA(MATCH(B805,fa_num,0)),"Facture inconnue",IF(INDEX(fa_type,MATCH(B805,fa_num,0))="Avoir","Paiement sur un avoir",IF(OR(NOT(ISNUMBER(C805)),N(C805)&lt;=0),"Montant invalide",IF(A805&lt;INDEX(fa_date,MATCH(B805,fa_num,0)),"Date antérieure à la facture",IF(SUMIF($B$6:B805,B805,$C$6:C805)&gt;INDEX(fa_ttc,MATCH(B805,fa_num,0))-N(INDEX(fa_avoirs,MATCH(B805,fa_num,0)))+0.001,"Dépasse le montant de la facture","OK")))))))))</f>
        <v/>
      </c>
    </row>
    <row r="806">
      <c r="A806" s="61" t="n"/>
      <c r="B806" s="60" t="n"/>
      <c r="C806" s="68" t="n"/>
      <c r="D806" s="60" t="n"/>
      <c r="E806" s="63" t="n"/>
      <c r="F806" s="63" t="n"/>
      <c r="G806" s="62" t="str">
        <f>IF(B806="","",IFERROR(INDEX(fa_cname,MATCH(B806,fa_num,0))&amp;"",""))</f>
        <v/>
      </c>
      <c r="H806" s="59" t="str">
        <f>IF(COUNTA(A806:F806)=0,"",IF(A806="","Date manquante",IF(NOT(ISNUMBER(A806)),"Date invalide",IF(B806="","N° de facture manquant",IF(ISNA(MATCH(B806,fa_num,0)),"Facture inconnue",IF(INDEX(fa_type,MATCH(B806,fa_num,0))="Avoir","Paiement sur un avoir",IF(OR(NOT(ISNUMBER(C806)),N(C806)&lt;=0),"Montant invalide",IF(A806&lt;INDEX(fa_date,MATCH(B806,fa_num,0)),"Date antérieure à la facture",IF(SUMIF($B$6:B806,B806,$C$6:C806)&gt;INDEX(fa_ttc,MATCH(B806,fa_num,0))-N(INDEX(fa_avoirs,MATCH(B806,fa_num,0)))+0.001,"Dépasse le montant de la facture","OK")))))))))</f>
        <v/>
      </c>
    </row>
    <row r="807">
      <c r="A807" s="61" t="n"/>
      <c r="B807" s="60" t="n"/>
      <c r="C807" s="68" t="n"/>
      <c r="D807" s="60" t="n"/>
      <c r="E807" s="63" t="n"/>
      <c r="F807" s="63" t="n"/>
      <c r="G807" s="62" t="str">
        <f>IF(B807="","",IFERROR(INDEX(fa_cname,MATCH(B807,fa_num,0))&amp;"",""))</f>
        <v/>
      </c>
      <c r="H807" s="59" t="str">
        <f>IF(COUNTA(A807:F807)=0,"",IF(A807="","Date manquante",IF(NOT(ISNUMBER(A807)),"Date invalide",IF(B807="","N° de facture manquant",IF(ISNA(MATCH(B807,fa_num,0)),"Facture inconnue",IF(INDEX(fa_type,MATCH(B807,fa_num,0))="Avoir","Paiement sur un avoir",IF(OR(NOT(ISNUMBER(C807)),N(C807)&lt;=0),"Montant invalide",IF(A807&lt;INDEX(fa_date,MATCH(B807,fa_num,0)),"Date antérieure à la facture",IF(SUMIF($B$6:B807,B807,$C$6:C807)&gt;INDEX(fa_ttc,MATCH(B807,fa_num,0))-N(INDEX(fa_avoirs,MATCH(B807,fa_num,0)))+0.001,"Dépasse le montant de la facture","OK")))))))))</f>
        <v/>
      </c>
    </row>
    <row r="808">
      <c r="A808" s="61" t="n"/>
      <c r="B808" s="60" t="n"/>
      <c r="C808" s="68" t="n"/>
      <c r="D808" s="60" t="n"/>
      <c r="E808" s="63" t="n"/>
      <c r="F808" s="63" t="n"/>
      <c r="G808" s="62" t="str">
        <f>IF(B808="","",IFERROR(INDEX(fa_cname,MATCH(B808,fa_num,0))&amp;"",""))</f>
        <v/>
      </c>
      <c r="H808" s="59" t="str">
        <f>IF(COUNTA(A808:F808)=0,"",IF(A808="","Date manquante",IF(NOT(ISNUMBER(A808)),"Date invalide",IF(B808="","N° de facture manquant",IF(ISNA(MATCH(B808,fa_num,0)),"Facture inconnue",IF(INDEX(fa_type,MATCH(B808,fa_num,0))="Avoir","Paiement sur un avoir",IF(OR(NOT(ISNUMBER(C808)),N(C808)&lt;=0),"Montant invalide",IF(A808&lt;INDEX(fa_date,MATCH(B808,fa_num,0)),"Date antérieure à la facture",IF(SUMIF($B$6:B808,B808,$C$6:C808)&gt;INDEX(fa_ttc,MATCH(B808,fa_num,0))-N(INDEX(fa_avoirs,MATCH(B808,fa_num,0)))+0.001,"Dépasse le montant de la facture","OK")))))))))</f>
        <v/>
      </c>
    </row>
    <row r="809">
      <c r="A809" s="61" t="n"/>
      <c r="B809" s="60" t="n"/>
      <c r="C809" s="68" t="n"/>
      <c r="D809" s="60" t="n"/>
      <c r="E809" s="63" t="n"/>
      <c r="F809" s="63" t="n"/>
      <c r="G809" s="62" t="str">
        <f>IF(B809="","",IFERROR(INDEX(fa_cname,MATCH(B809,fa_num,0))&amp;"",""))</f>
        <v/>
      </c>
      <c r="H809" s="59" t="str">
        <f>IF(COUNTA(A809:F809)=0,"",IF(A809="","Date manquante",IF(NOT(ISNUMBER(A809)),"Date invalide",IF(B809="","N° de facture manquant",IF(ISNA(MATCH(B809,fa_num,0)),"Facture inconnue",IF(INDEX(fa_type,MATCH(B809,fa_num,0))="Avoir","Paiement sur un avoir",IF(OR(NOT(ISNUMBER(C809)),N(C809)&lt;=0),"Montant invalide",IF(A809&lt;INDEX(fa_date,MATCH(B809,fa_num,0)),"Date antérieure à la facture",IF(SUMIF($B$6:B809,B809,$C$6:C809)&gt;INDEX(fa_ttc,MATCH(B809,fa_num,0))-N(INDEX(fa_avoirs,MATCH(B809,fa_num,0)))+0.001,"Dépasse le montant de la facture","OK")))))))))</f>
        <v/>
      </c>
    </row>
    <row r="810">
      <c r="A810" s="61" t="n"/>
      <c r="B810" s="60" t="n"/>
      <c r="C810" s="68" t="n"/>
      <c r="D810" s="60" t="n"/>
      <c r="E810" s="63" t="n"/>
      <c r="F810" s="63" t="n"/>
      <c r="G810" s="62" t="str">
        <f>IF(B810="","",IFERROR(INDEX(fa_cname,MATCH(B810,fa_num,0))&amp;"",""))</f>
        <v/>
      </c>
      <c r="H810" s="59" t="str">
        <f>IF(COUNTA(A810:F810)=0,"",IF(A810="","Date manquante",IF(NOT(ISNUMBER(A810)),"Date invalide",IF(B810="","N° de facture manquant",IF(ISNA(MATCH(B810,fa_num,0)),"Facture inconnue",IF(INDEX(fa_type,MATCH(B810,fa_num,0))="Avoir","Paiement sur un avoir",IF(OR(NOT(ISNUMBER(C810)),N(C810)&lt;=0),"Montant invalide",IF(A810&lt;INDEX(fa_date,MATCH(B810,fa_num,0)),"Date antérieure à la facture",IF(SUMIF($B$6:B810,B810,$C$6:C810)&gt;INDEX(fa_ttc,MATCH(B810,fa_num,0))-N(INDEX(fa_avoirs,MATCH(B810,fa_num,0)))+0.001,"Dépasse le montant de la facture","OK")))))))))</f>
        <v/>
      </c>
    </row>
    <row r="811">
      <c r="A811" s="61" t="n"/>
      <c r="B811" s="60" t="n"/>
      <c r="C811" s="68" t="n"/>
      <c r="D811" s="60" t="n"/>
      <c r="E811" s="63" t="n"/>
      <c r="F811" s="63" t="n"/>
      <c r="G811" s="62" t="str">
        <f>IF(B811="","",IFERROR(INDEX(fa_cname,MATCH(B811,fa_num,0))&amp;"",""))</f>
        <v/>
      </c>
      <c r="H811" s="59" t="str">
        <f>IF(COUNTA(A811:F811)=0,"",IF(A811="","Date manquante",IF(NOT(ISNUMBER(A811)),"Date invalide",IF(B811="","N° de facture manquant",IF(ISNA(MATCH(B811,fa_num,0)),"Facture inconnue",IF(INDEX(fa_type,MATCH(B811,fa_num,0))="Avoir","Paiement sur un avoir",IF(OR(NOT(ISNUMBER(C811)),N(C811)&lt;=0),"Montant invalide",IF(A811&lt;INDEX(fa_date,MATCH(B811,fa_num,0)),"Date antérieure à la facture",IF(SUMIF($B$6:B811,B811,$C$6:C811)&gt;INDEX(fa_ttc,MATCH(B811,fa_num,0))-N(INDEX(fa_avoirs,MATCH(B811,fa_num,0)))+0.001,"Dépasse le montant de la facture","OK")))))))))</f>
        <v/>
      </c>
    </row>
    <row r="812">
      <c r="A812" s="61" t="n"/>
      <c r="B812" s="60" t="n"/>
      <c r="C812" s="68" t="n"/>
      <c r="D812" s="60" t="n"/>
      <c r="E812" s="63" t="n"/>
      <c r="F812" s="63" t="n"/>
      <c r="G812" s="62" t="str">
        <f>IF(B812="","",IFERROR(INDEX(fa_cname,MATCH(B812,fa_num,0))&amp;"",""))</f>
        <v/>
      </c>
      <c r="H812" s="59" t="str">
        <f>IF(COUNTA(A812:F812)=0,"",IF(A812="","Date manquante",IF(NOT(ISNUMBER(A812)),"Date invalide",IF(B812="","N° de facture manquant",IF(ISNA(MATCH(B812,fa_num,0)),"Facture inconnue",IF(INDEX(fa_type,MATCH(B812,fa_num,0))="Avoir","Paiement sur un avoir",IF(OR(NOT(ISNUMBER(C812)),N(C812)&lt;=0),"Montant invalide",IF(A812&lt;INDEX(fa_date,MATCH(B812,fa_num,0)),"Date antérieure à la facture",IF(SUMIF($B$6:B812,B812,$C$6:C812)&gt;INDEX(fa_ttc,MATCH(B812,fa_num,0))-N(INDEX(fa_avoirs,MATCH(B812,fa_num,0)))+0.001,"Dépasse le montant de la facture","OK")))))))))</f>
        <v/>
      </c>
    </row>
    <row r="813">
      <c r="A813" s="61" t="n"/>
      <c r="B813" s="60" t="n"/>
      <c r="C813" s="68" t="n"/>
      <c r="D813" s="60" t="n"/>
      <c r="E813" s="63" t="n"/>
      <c r="F813" s="63" t="n"/>
      <c r="G813" s="62" t="str">
        <f>IF(B813="","",IFERROR(INDEX(fa_cname,MATCH(B813,fa_num,0))&amp;"",""))</f>
        <v/>
      </c>
      <c r="H813" s="59" t="str">
        <f>IF(COUNTA(A813:F813)=0,"",IF(A813="","Date manquante",IF(NOT(ISNUMBER(A813)),"Date invalide",IF(B813="","N° de facture manquant",IF(ISNA(MATCH(B813,fa_num,0)),"Facture inconnue",IF(INDEX(fa_type,MATCH(B813,fa_num,0))="Avoir","Paiement sur un avoir",IF(OR(NOT(ISNUMBER(C813)),N(C813)&lt;=0),"Montant invalide",IF(A813&lt;INDEX(fa_date,MATCH(B813,fa_num,0)),"Date antérieure à la facture",IF(SUMIF($B$6:B813,B813,$C$6:C813)&gt;INDEX(fa_ttc,MATCH(B813,fa_num,0))-N(INDEX(fa_avoirs,MATCH(B813,fa_num,0)))+0.001,"Dépasse le montant de la facture","OK")))))))))</f>
        <v/>
      </c>
    </row>
    <row r="814">
      <c r="A814" s="61" t="n"/>
      <c r="B814" s="60" t="n"/>
      <c r="C814" s="68" t="n"/>
      <c r="D814" s="60" t="n"/>
      <c r="E814" s="63" t="n"/>
      <c r="F814" s="63" t="n"/>
      <c r="G814" s="62" t="str">
        <f>IF(B814="","",IFERROR(INDEX(fa_cname,MATCH(B814,fa_num,0))&amp;"",""))</f>
        <v/>
      </c>
      <c r="H814" s="59" t="str">
        <f>IF(COUNTA(A814:F814)=0,"",IF(A814="","Date manquante",IF(NOT(ISNUMBER(A814)),"Date invalide",IF(B814="","N° de facture manquant",IF(ISNA(MATCH(B814,fa_num,0)),"Facture inconnue",IF(INDEX(fa_type,MATCH(B814,fa_num,0))="Avoir","Paiement sur un avoir",IF(OR(NOT(ISNUMBER(C814)),N(C814)&lt;=0),"Montant invalide",IF(A814&lt;INDEX(fa_date,MATCH(B814,fa_num,0)),"Date antérieure à la facture",IF(SUMIF($B$6:B814,B814,$C$6:C814)&gt;INDEX(fa_ttc,MATCH(B814,fa_num,0))-N(INDEX(fa_avoirs,MATCH(B814,fa_num,0)))+0.001,"Dépasse le montant de la facture","OK")))))))))</f>
        <v/>
      </c>
    </row>
    <row r="815">
      <c r="A815" s="61" t="n"/>
      <c r="B815" s="60" t="n"/>
      <c r="C815" s="68" t="n"/>
      <c r="D815" s="60" t="n"/>
      <c r="E815" s="63" t="n"/>
      <c r="F815" s="63" t="n"/>
      <c r="G815" s="62" t="str">
        <f>IF(B815="","",IFERROR(INDEX(fa_cname,MATCH(B815,fa_num,0))&amp;"",""))</f>
        <v/>
      </c>
      <c r="H815" s="59" t="str">
        <f>IF(COUNTA(A815:F815)=0,"",IF(A815="","Date manquante",IF(NOT(ISNUMBER(A815)),"Date invalide",IF(B815="","N° de facture manquant",IF(ISNA(MATCH(B815,fa_num,0)),"Facture inconnue",IF(INDEX(fa_type,MATCH(B815,fa_num,0))="Avoir","Paiement sur un avoir",IF(OR(NOT(ISNUMBER(C815)),N(C815)&lt;=0),"Montant invalide",IF(A815&lt;INDEX(fa_date,MATCH(B815,fa_num,0)),"Date antérieure à la facture",IF(SUMIF($B$6:B815,B815,$C$6:C815)&gt;INDEX(fa_ttc,MATCH(B815,fa_num,0))-N(INDEX(fa_avoirs,MATCH(B815,fa_num,0)))+0.001,"Dépasse le montant de la facture","OK")))))))))</f>
        <v/>
      </c>
    </row>
    <row r="816">
      <c r="A816" s="61" t="n"/>
      <c r="B816" s="60" t="n"/>
      <c r="C816" s="68" t="n"/>
      <c r="D816" s="60" t="n"/>
      <c r="E816" s="63" t="n"/>
      <c r="F816" s="63" t="n"/>
      <c r="G816" s="62" t="str">
        <f>IF(B816="","",IFERROR(INDEX(fa_cname,MATCH(B816,fa_num,0))&amp;"",""))</f>
        <v/>
      </c>
      <c r="H816" s="59" t="str">
        <f>IF(COUNTA(A816:F816)=0,"",IF(A816="","Date manquante",IF(NOT(ISNUMBER(A816)),"Date invalide",IF(B816="","N° de facture manquant",IF(ISNA(MATCH(B816,fa_num,0)),"Facture inconnue",IF(INDEX(fa_type,MATCH(B816,fa_num,0))="Avoir","Paiement sur un avoir",IF(OR(NOT(ISNUMBER(C816)),N(C816)&lt;=0),"Montant invalide",IF(A816&lt;INDEX(fa_date,MATCH(B816,fa_num,0)),"Date antérieure à la facture",IF(SUMIF($B$6:B816,B816,$C$6:C816)&gt;INDEX(fa_ttc,MATCH(B816,fa_num,0))-N(INDEX(fa_avoirs,MATCH(B816,fa_num,0)))+0.001,"Dépasse le montant de la facture","OK")))))))))</f>
        <v/>
      </c>
    </row>
    <row r="817">
      <c r="A817" s="61" t="n"/>
      <c r="B817" s="60" t="n"/>
      <c r="C817" s="68" t="n"/>
      <c r="D817" s="60" t="n"/>
      <c r="E817" s="63" t="n"/>
      <c r="F817" s="63" t="n"/>
      <c r="G817" s="62" t="str">
        <f>IF(B817="","",IFERROR(INDEX(fa_cname,MATCH(B817,fa_num,0))&amp;"",""))</f>
        <v/>
      </c>
      <c r="H817" s="59" t="str">
        <f>IF(COUNTA(A817:F817)=0,"",IF(A817="","Date manquante",IF(NOT(ISNUMBER(A817)),"Date invalide",IF(B817="","N° de facture manquant",IF(ISNA(MATCH(B817,fa_num,0)),"Facture inconnue",IF(INDEX(fa_type,MATCH(B817,fa_num,0))="Avoir","Paiement sur un avoir",IF(OR(NOT(ISNUMBER(C817)),N(C817)&lt;=0),"Montant invalide",IF(A817&lt;INDEX(fa_date,MATCH(B817,fa_num,0)),"Date antérieure à la facture",IF(SUMIF($B$6:B817,B817,$C$6:C817)&gt;INDEX(fa_ttc,MATCH(B817,fa_num,0))-N(INDEX(fa_avoirs,MATCH(B817,fa_num,0)))+0.001,"Dépasse le montant de la facture","OK")))))))))</f>
        <v/>
      </c>
    </row>
    <row r="818">
      <c r="A818" s="61" t="n"/>
      <c r="B818" s="60" t="n"/>
      <c r="C818" s="68" t="n"/>
      <c r="D818" s="60" t="n"/>
      <c r="E818" s="63" t="n"/>
      <c r="F818" s="63" t="n"/>
      <c r="G818" s="62" t="str">
        <f>IF(B818="","",IFERROR(INDEX(fa_cname,MATCH(B818,fa_num,0))&amp;"",""))</f>
        <v/>
      </c>
      <c r="H818" s="59" t="str">
        <f>IF(COUNTA(A818:F818)=0,"",IF(A818="","Date manquante",IF(NOT(ISNUMBER(A818)),"Date invalide",IF(B818="","N° de facture manquant",IF(ISNA(MATCH(B818,fa_num,0)),"Facture inconnue",IF(INDEX(fa_type,MATCH(B818,fa_num,0))="Avoir","Paiement sur un avoir",IF(OR(NOT(ISNUMBER(C818)),N(C818)&lt;=0),"Montant invalide",IF(A818&lt;INDEX(fa_date,MATCH(B818,fa_num,0)),"Date antérieure à la facture",IF(SUMIF($B$6:B818,B818,$C$6:C818)&gt;INDEX(fa_ttc,MATCH(B818,fa_num,0))-N(INDEX(fa_avoirs,MATCH(B818,fa_num,0)))+0.001,"Dépasse le montant de la facture","OK")))))))))</f>
        <v/>
      </c>
    </row>
    <row r="819">
      <c r="A819" s="61" t="n"/>
      <c r="B819" s="60" t="n"/>
      <c r="C819" s="68" t="n"/>
      <c r="D819" s="60" t="n"/>
      <c r="E819" s="63" t="n"/>
      <c r="F819" s="63" t="n"/>
      <c r="G819" s="62" t="str">
        <f>IF(B819="","",IFERROR(INDEX(fa_cname,MATCH(B819,fa_num,0))&amp;"",""))</f>
        <v/>
      </c>
      <c r="H819" s="59" t="str">
        <f>IF(COUNTA(A819:F819)=0,"",IF(A819="","Date manquante",IF(NOT(ISNUMBER(A819)),"Date invalide",IF(B819="","N° de facture manquant",IF(ISNA(MATCH(B819,fa_num,0)),"Facture inconnue",IF(INDEX(fa_type,MATCH(B819,fa_num,0))="Avoir","Paiement sur un avoir",IF(OR(NOT(ISNUMBER(C819)),N(C819)&lt;=0),"Montant invalide",IF(A819&lt;INDEX(fa_date,MATCH(B819,fa_num,0)),"Date antérieure à la facture",IF(SUMIF($B$6:B819,B819,$C$6:C819)&gt;INDEX(fa_ttc,MATCH(B819,fa_num,0))-N(INDEX(fa_avoirs,MATCH(B819,fa_num,0)))+0.001,"Dépasse le montant de la facture","OK")))))))))</f>
        <v/>
      </c>
    </row>
    <row r="820">
      <c r="A820" s="61" t="n"/>
      <c r="B820" s="60" t="n"/>
      <c r="C820" s="68" t="n"/>
      <c r="D820" s="60" t="n"/>
      <c r="E820" s="63" t="n"/>
      <c r="F820" s="63" t="n"/>
      <c r="G820" s="62" t="str">
        <f>IF(B820="","",IFERROR(INDEX(fa_cname,MATCH(B820,fa_num,0))&amp;"",""))</f>
        <v/>
      </c>
      <c r="H820" s="59" t="str">
        <f>IF(COUNTA(A820:F820)=0,"",IF(A820="","Date manquante",IF(NOT(ISNUMBER(A820)),"Date invalide",IF(B820="","N° de facture manquant",IF(ISNA(MATCH(B820,fa_num,0)),"Facture inconnue",IF(INDEX(fa_type,MATCH(B820,fa_num,0))="Avoir","Paiement sur un avoir",IF(OR(NOT(ISNUMBER(C820)),N(C820)&lt;=0),"Montant invalide",IF(A820&lt;INDEX(fa_date,MATCH(B820,fa_num,0)),"Date antérieure à la facture",IF(SUMIF($B$6:B820,B820,$C$6:C820)&gt;INDEX(fa_ttc,MATCH(B820,fa_num,0))-N(INDEX(fa_avoirs,MATCH(B820,fa_num,0)))+0.001,"Dépasse le montant de la facture","OK")))))))))</f>
        <v/>
      </c>
    </row>
    <row r="821">
      <c r="A821" s="61" t="n"/>
      <c r="B821" s="60" t="n"/>
      <c r="C821" s="68" t="n"/>
      <c r="D821" s="60" t="n"/>
      <c r="E821" s="63" t="n"/>
      <c r="F821" s="63" t="n"/>
      <c r="G821" s="62" t="str">
        <f>IF(B821="","",IFERROR(INDEX(fa_cname,MATCH(B821,fa_num,0))&amp;"",""))</f>
        <v/>
      </c>
      <c r="H821" s="59" t="str">
        <f>IF(COUNTA(A821:F821)=0,"",IF(A821="","Date manquante",IF(NOT(ISNUMBER(A821)),"Date invalide",IF(B821="","N° de facture manquant",IF(ISNA(MATCH(B821,fa_num,0)),"Facture inconnue",IF(INDEX(fa_type,MATCH(B821,fa_num,0))="Avoir","Paiement sur un avoir",IF(OR(NOT(ISNUMBER(C821)),N(C821)&lt;=0),"Montant invalide",IF(A821&lt;INDEX(fa_date,MATCH(B821,fa_num,0)),"Date antérieure à la facture",IF(SUMIF($B$6:B821,B821,$C$6:C821)&gt;INDEX(fa_ttc,MATCH(B821,fa_num,0))-N(INDEX(fa_avoirs,MATCH(B821,fa_num,0)))+0.001,"Dépasse le montant de la facture","OK")))))))))</f>
        <v/>
      </c>
    </row>
    <row r="822">
      <c r="A822" s="61" t="n"/>
      <c r="B822" s="60" t="n"/>
      <c r="C822" s="68" t="n"/>
      <c r="D822" s="60" t="n"/>
      <c r="E822" s="63" t="n"/>
      <c r="F822" s="63" t="n"/>
      <c r="G822" s="62" t="str">
        <f>IF(B822="","",IFERROR(INDEX(fa_cname,MATCH(B822,fa_num,0))&amp;"",""))</f>
        <v/>
      </c>
      <c r="H822" s="59" t="str">
        <f>IF(COUNTA(A822:F822)=0,"",IF(A822="","Date manquante",IF(NOT(ISNUMBER(A822)),"Date invalide",IF(B822="","N° de facture manquant",IF(ISNA(MATCH(B822,fa_num,0)),"Facture inconnue",IF(INDEX(fa_type,MATCH(B822,fa_num,0))="Avoir","Paiement sur un avoir",IF(OR(NOT(ISNUMBER(C822)),N(C822)&lt;=0),"Montant invalide",IF(A822&lt;INDEX(fa_date,MATCH(B822,fa_num,0)),"Date antérieure à la facture",IF(SUMIF($B$6:B822,B822,$C$6:C822)&gt;INDEX(fa_ttc,MATCH(B822,fa_num,0))-N(INDEX(fa_avoirs,MATCH(B822,fa_num,0)))+0.001,"Dépasse le montant de la facture","OK")))))))))</f>
        <v/>
      </c>
    </row>
    <row r="823">
      <c r="A823" s="61" t="n"/>
      <c r="B823" s="60" t="n"/>
      <c r="C823" s="68" t="n"/>
      <c r="D823" s="60" t="n"/>
      <c r="E823" s="63" t="n"/>
      <c r="F823" s="63" t="n"/>
      <c r="G823" s="62" t="str">
        <f>IF(B823="","",IFERROR(INDEX(fa_cname,MATCH(B823,fa_num,0))&amp;"",""))</f>
        <v/>
      </c>
      <c r="H823" s="59" t="str">
        <f>IF(COUNTA(A823:F823)=0,"",IF(A823="","Date manquante",IF(NOT(ISNUMBER(A823)),"Date invalide",IF(B823="","N° de facture manquant",IF(ISNA(MATCH(B823,fa_num,0)),"Facture inconnue",IF(INDEX(fa_type,MATCH(B823,fa_num,0))="Avoir","Paiement sur un avoir",IF(OR(NOT(ISNUMBER(C823)),N(C823)&lt;=0),"Montant invalide",IF(A823&lt;INDEX(fa_date,MATCH(B823,fa_num,0)),"Date antérieure à la facture",IF(SUMIF($B$6:B823,B823,$C$6:C823)&gt;INDEX(fa_ttc,MATCH(B823,fa_num,0))-N(INDEX(fa_avoirs,MATCH(B823,fa_num,0)))+0.001,"Dépasse le montant de la facture","OK")))))))))</f>
        <v/>
      </c>
    </row>
    <row r="824">
      <c r="A824" s="61" t="n"/>
      <c r="B824" s="60" t="n"/>
      <c r="C824" s="68" t="n"/>
      <c r="D824" s="60" t="n"/>
      <c r="E824" s="63" t="n"/>
      <c r="F824" s="63" t="n"/>
      <c r="G824" s="62" t="str">
        <f>IF(B824="","",IFERROR(INDEX(fa_cname,MATCH(B824,fa_num,0))&amp;"",""))</f>
        <v/>
      </c>
      <c r="H824" s="59" t="str">
        <f>IF(COUNTA(A824:F824)=0,"",IF(A824="","Date manquante",IF(NOT(ISNUMBER(A824)),"Date invalide",IF(B824="","N° de facture manquant",IF(ISNA(MATCH(B824,fa_num,0)),"Facture inconnue",IF(INDEX(fa_type,MATCH(B824,fa_num,0))="Avoir","Paiement sur un avoir",IF(OR(NOT(ISNUMBER(C824)),N(C824)&lt;=0),"Montant invalide",IF(A824&lt;INDEX(fa_date,MATCH(B824,fa_num,0)),"Date antérieure à la facture",IF(SUMIF($B$6:B824,B824,$C$6:C824)&gt;INDEX(fa_ttc,MATCH(B824,fa_num,0))-N(INDEX(fa_avoirs,MATCH(B824,fa_num,0)))+0.001,"Dépasse le montant de la facture","OK")))))))))</f>
        <v/>
      </c>
    </row>
    <row r="825">
      <c r="A825" s="61" t="n"/>
      <c r="B825" s="60" t="n"/>
      <c r="C825" s="68" t="n"/>
      <c r="D825" s="60" t="n"/>
      <c r="E825" s="63" t="n"/>
      <c r="F825" s="63" t="n"/>
      <c r="G825" s="62" t="str">
        <f>IF(B825="","",IFERROR(INDEX(fa_cname,MATCH(B825,fa_num,0))&amp;"",""))</f>
        <v/>
      </c>
      <c r="H825" s="59" t="str">
        <f>IF(COUNTA(A825:F825)=0,"",IF(A825="","Date manquante",IF(NOT(ISNUMBER(A825)),"Date invalide",IF(B825="","N° de facture manquant",IF(ISNA(MATCH(B825,fa_num,0)),"Facture inconnue",IF(INDEX(fa_type,MATCH(B825,fa_num,0))="Avoir","Paiement sur un avoir",IF(OR(NOT(ISNUMBER(C825)),N(C825)&lt;=0),"Montant invalide",IF(A825&lt;INDEX(fa_date,MATCH(B825,fa_num,0)),"Date antérieure à la facture",IF(SUMIF($B$6:B825,B825,$C$6:C825)&gt;INDEX(fa_ttc,MATCH(B825,fa_num,0))-N(INDEX(fa_avoirs,MATCH(B825,fa_num,0)))+0.001,"Dépasse le montant de la facture","OK")))))))))</f>
        <v/>
      </c>
    </row>
    <row r="826">
      <c r="A826" s="61" t="n"/>
      <c r="B826" s="60" t="n"/>
      <c r="C826" s="68" t="n"/>
      <c r="D826" s="60" t="n"/>
      <c r="E826" s="63" t="n"/>
      <c r="F826" s="63" t="n"/>
      <c r="G826" s="62" t="str">
        <f>IF(B826="","",IFERROR(INDEX(fa_cname,MATCH(B826,fa_num,0))&amp;"",""))</f>
        <v/>
      </c>
      <c r="H826" s="59" t="str">
        <f>IF(COUNTA(A826:F826)=0,"",IF(A826="","Date manquante",IF(NOT(ISNUMBER(A826)),"Date invalide",IF(B826="","N° de facture manquant",IF(ISNA(MATCH(B826,fa_num,0)),"Facture inconnue",IF(INDEX(fa_type,MATCH(B826,fa_num,0))="Avoir","Paiement sur un avoir",IF(OR(NOT(ISNUMBER(C826)),N(C826)&lt;=0),"Montant invalide",IF(A826&lt;INDEX(fa_date,MATCH(B826,fa_num,0)),"Date antérieure à la facture",IF(SUMIF($B$6:B826,B826,$C$6:C826)&gt;INDEX(fa_ttc,MATCH(B826,fa_num,0))-N(INDEX(fa_avoirs,MATCH(B826,fa_num,0)))+0.001,"Dépasse le montant de la facture","OK")))))))))</f>
        <v/>
      </c>
    </row>
    <row r="827">
      <c r="A827" s="61" t="n"/>
      <c r="B827" s="60" t="n"/>
      <c r="C827" s="68" t="n"/>
      <c r="D827" s="60" t="n"/>
      <c r="E827" s="63" t="n"/>
      <c r="F827" s="63" t="n"/>
      <c r="G827" s="62" t="str">
        <f>IF(B827="","",IFERROR(INDEX(fa_cname,MATCH(B827,fa_num,0))&amp;"",""))</f>
        <v/>
      </c>
      <c r="H827" s="59" t="str">
        <f>IF(COUNTA(A827:F827)=0,"",IF(A827="","Date manquante",IF(NOT(ISNUMBER(A827)),"Date invalide",IF(B827="","N° de facture manquant",IF(ISNA(MATCH(B827,fa_num,0)),"Facture inconnue",IF(INDEX(fa_type,MATCH(B827,fa_num,0))="Avoir","Paiement sur un avoir",IF(OR(NOT(ISNUMBER(C827)),N(C827)&lt;=0),"Montant invalide",IF(A827&lt;INDEX(fa_date,MATCH(B827,fa_num,0)),"Date antérieure à la facture",IF(SUMIF($B$6:B827,B827,$C$6:C827)&gt;INDEX(fa_ttc,MATCH(B827,fa_num,0))-N(INDEX(fa_avoirs,MATCH(B827,fa_num,0)))+0.001,"Dépasse le montant de la facture","OK")))))))))</f>
        <v/>
      </c>
    </row>
    <row r="828">
      <c r="A828" s="61" t="n"/>
      <c r="B828" s="60" t="n"/>
      <c r="C828" s="68" t="n"/>
      <c r="D828" s="60" t="n"/>
      <c r="E828" s="63" t="n"/>
      <c r="F828" s="63" t="n"/>
      <c r="G828" s="62" t="str">
        <f>IF(B828="","",IFERROR(INDEX(fa_cname,MATCH(B828,fa_num,0))&amp;"",""))</f>
        <v/>
      </c>
      <c r="H828" s="59" t="str">
        <f>IF(COUNTA(A828:F828)=0,"",IF(A828="","Date manquante",IF(NOT(ISNUMBER(A828)),"Date invalide",IF(B828="","N° de facture manquant",IF(ISNA(MATCH(B828,fa_num,0)),"Facture inconnue",IF(INDEX(fa_type,MATCH(B828,fa_num,0))="Avoir","Paiement sur un avoir",IF(OR(NOT(ISNUMBER(C828)),N(C828)&lt;=0),"Montant invalide",IF(A828&lt;INDEX(fa_date,MATCH(B828,fa_num,0)),"Date antérieure à la facture",IF(SUMIF($B$6:B828,B828,$C$6:C828)&gt;INDEX(fa_ttc,MATCH(B828,fa_num,0))-N(INDEX(fa_avoirs,MATCH(B828,fa_num,0)))+0.001,"Dépasse le montant de la facture","OK")))))))))</f>
        <v/>
      </c>
    </row>
    <row r="829">
      <c r="A829" s="61" t="n"/>
      <c r="B829" s="60" t="n"/>
      <c r="C829" s="68" t="n"/>
      <c r="D829" s="60" t="n"/>
      <c r="E829" s="63" t="n"/>
      <c r="F829" s="63" t="n"/>
      <c r="G829" s="62" t="str">
        <f>IF(B829="","",IFERROR(INDEX(fa_cname,MATCH(B829,fa_num,0))&amp;"",""))</f>
        <v/>
      </c>
      <c r="H829" s="59" t="str">
        <f>IF(COUNTA(A829:F829)=0,"",IF(A829="","Date manquante",IF(NOT(ISNUMBER(A829)),"Date invalide",IF(B829="","N° de facture manquant",IF(ISNA(MATCH(B829,fa_num,0)),"Facture inconnue",IF(INDEX(fa_type,MATCH(B829,fa_num,0))="Avoir","Paiement sur un avoir",IF(OR(NOT(ISNUMBER(C829)),N(C829)&lt;=0),"Montant invalide",IF(A829&lt;INDEX(fa_date,MATCH(B829,fa_num,0)),"Date antérieure à la facture",IF(SUMIF($B$6:B829,B829,$C$6:C829)&gt;INDEX(fa_ttc,MATCH(B829,fa_num,0))-N(INDEX(fa_avoirs,MATCH(B829,fa_num,0)))+0.001,"Dépasse le montant de la facture","OK")))))))))</f>
        <v/>
      </c>
    </row>
    <row r="830">
      <c r="A830" s="61" t="n"/>
      <c r="B830" s="60" t="n"/>
      <c r="C830" s="68" t="n"/>
      <c r="D830" s="60" t="n"/>
      <c r="E830" s="63" t="n"/>
      <c r="F830" s="63" t="n"/>
      <c r="G830" s="62" t="str">
        <f>IF(B830="","",IFERROR(INDEX(fa_cname,MATCH(B830,fa_num,0))&amp;"",""))</f>
        <v/>
      </c>
      <c r="H830" s="59" t="str">
        <f>IF(COUNTA(A830:F830)=0,"",IF(A830="","Date manquante",IF(NOT(ISNUMBER(A830)),"Date invalide",IF(B830="","N° de facture manquant",IF(ISNA(MATCH(B830,fa_num,0)),"Facture inconnue",IF(INDEX(fa_type,MATCH(B830,fa_num,0))="Avoir","Paiement sur un avoir",IF(OR(NOT(ISNUMBER(C830)),N(C830)&lt;=0),"Montant invalide",IF(A830&lt;INDEX(fa_date,MATCH(B830,fa_num,0)),"Date antérieure à la facture",IF(SUMIF($B$6:B830,B830,$C$6:C830)&gt;INDEX(fa_ttc,MATCH(B830,fa_num,0))-N(INDEX(fa_avoirs,MATCH(B830,fa_num,0)))+0.001,"Dépasse le montant de la facture","OK")))))))))</f>
        <v/>
      </c>
    </row>
    <row r="831">
      <c r="A831" s="61" t="n"/>
      <c r="B831" s="60" t="n"/>
      <c r="C831" s="68" t="n"/>
      <c r="D831" s="60" t="n"/>
      <c r="E831" s="63" t="n"/>
      <c r="F831" s="63" t="n"/>
      <c r="G831" s="62" t="str">
        <f>IF(B831="","",IFERROR(INDEX(fa_cname,MATCH(B831,fa_num,0))&amp;"",""))</f>
        <v/>
      </c>
      <c r="H831" s="59" t="str">
        <f>IF(COUNTA(A831:F831)=0,"",IF(A831="","Date manquante",IF(NOT(ISNUMBER(A831)),"Date invalide",IF(B831="","N° de facture manquant",IF(ISNA(MATCH(B831,fa_num,0)),"Facture inconnue",IF(INDEX(fa_type,MATCH(B831,fa_num,0))="Avoir","Paiement sur un avoir",IF(OR(NOT(ISNUMBER(C831)),N(C831)&lt;=0),"Montant invalide",IF(A831&lt;INDEX(fa_date,MATCH(B831,fa_num,0)),"Date antérieure à la facture",IF(SUMIF($B$6:B831,B831,$C$6:C831)&gt;INDEX(fa_ttc,MATCH(B831,fa_num,0))-N(INDEX(fa_avoirs,MATCH(B831,fa_num,0)))+0.001,"Dépasse le montant de la facture","OK")))))))))</f>
        <v/>
      </c>
    </row>
    <row r="832">
      <c r="A832" s="61" t="n"/>
      <c r="B832" s="60" t="n"/>
      <c r="C832" s="68" t="n"/>
      <c r="D832" s="60" t="n"/>
      <c r="E832" s="63" t="n"/>
      <c r="F832" s="63" t="n"/>
      <c r="G832" s="62" t="str">
        <f>IF(B832="","",IFERROR(INDEX(fa_cname,MATCH(B832,fa_num,0))&amp;"",""))</f>
        <v/>
      </c>
      <c r="H832" s="59" t="str">
        <f>IF(COUNTA(A832:F832)=0,"",IF(A832="","Date manquante",IF(NOT(ISNUMBER(A832)),"Date invalide",IF(B832="","N° de facture manquant",IF(ISNA(MATCH(B832,fa_num,0)),"Facture inconnue",IF(INDEX(fa_type,MATCH(B832,fa_num,0))="Avoir","Paiement sur un avoir",IF(OR(NOT(ISNUMBER(C832)),N(C832)&lt;=0),"Montant invalide",IF(A832&lt;INDEX(fa_date,MATCH(B832,fa_num,0)),"Date antérieure à la facture",IF(SUMIF($B$6:B832,B832,$C$6:C832)&gt;INDEX(fa_ttc,MATCH(B832,fa_num,0))-N(INDEX(fa_avoirs,MATCH(B832,fa_num,0)))+0.001,"Dépasse le montant de la facture","OK")))))))))</f>
        <v/>
      </c>
    </row>
    <row r="833">
      <c r="A833" s="61" t="n"/>
      <c r="B833" s="60" t="n"/>
      <c r="C833" s="68" t="n"/>
      <c r="D833" s="60" t="n"/>
      <c r="E833" s="63" t="n"/>
      <c r="F833" s="63" t="n"/>
      <c r="G833" s="62" t="str">
        <f>IF(B833="","",IFERROR(INDEX(fa_cname,MATCH(B833,fa_num,0))&amp;"",""))</f>
        <v/>
      </c>
      <c r="H833" s="59" t="str">
        <f>IF(COUNTA(A833:F833)=0,"",IF(A833="","Date manquante",IF(NOT(ISNUMBER(A833)),"Date invalide",IF(B833="","N° de facture manquant",IF(ISNA(MATCH(B833,fa_num,0)),"Facture inconnue",IF(INDEX(fa_type,MATCH(B833,fa_num,0))="Avoir","Paiement sur un avoir",IF(OR(NOT(ISNUMBER(C833)),N(C833)&lt;=0),"Montant invalide",IF(A833&lt;INDEX(fa_date,MATCH(B833,fa_num,0)),"Date antérieure à la facture",IF(SUMIF($B$6:B833,B833,$C$6:C833)&gt;INDEX(fa_ttc,MATCH(B833,fa_num,0))-N(INDEX(fa_avoirs,MATCH(B833,fa_num,0)))+0.001,"Dépasse le montant de la facture","OK")))))))))</f>
        <v/>
      </c>
    </row>
    <row r="834">
      <c r="A834" s="61" t="n"/>
      <c r="B834" s="60" t="n"/>
      <c r="C834" s="68" t="n"/>
      <c r="D834" s="60" t="n"/>
      <c r="E834" s="63" t="n"/>
      <c r="F834" s="63" t="n"/>
      <c r="G834" s="62" t="str">
        <f>IF(B834="","",IFERROR(INDEX(fa_cname,MATCH(B834,fa_num,0))&amp;"",""))</f>
        <v/>
      </c>
      <c r="H834" s="59" t="str">
        <f>IF(COUNTA(A834:F834)=0,"",IF(A834="","Date manquante",IF(NOT(ISNUMBER(A834)),"Date invalide",IF(B834="","N° de facture manquant",IF(ISNA(MATCH(B834,fa_num,0)),"Facture inconnue",IF(INDEX(fa_type,MATCH(B834,fa_num,0))="Avoir","Paiement sur un avoir",IF(OR(NOT(ISNUMBER(C834)),N(C834)&lt;=0),"Montant invalide",IF(A834&lt;INDEX(fa_date,MATCH(B834,fa_num,0)),"Date antérieure à la facture",IF(SUMIF($B$6:B834,B834,$C$6:C834)&gt;INDEX(fa_ttc,MATCH(B834,fa_num,0))-N(INDEX(fa_avoirs,MATCH(B834,fa_num,0)))+0.001,"Dépasse le montant de la facture","OK")))))))))</f>
        <v/>
      </c>
    </row>
    <row r="835">
      <c r="A835" s="61" t="n"/>
      <c r="B835" s="60" t="n"/>
      <c r="C835" s="68" t="n"/>
      <c r="D835" s="60" t="n"/>
      <c r="E835" s="63" t="n"/>
      <c r="F835" s="63" t="n"/>
      <c r="G835" s="62" t="str">
        <f>IF(B835="","",IFERROR(INDEX(fa_cname,MATCH(B835,fa_num,0))&amp;"",""))</f>
        <v/>
      </c>
      <c r="H835" s="59" t="str">
        <f>IF(COUNTA(A835:F835)=0,"",IF(A835="","Date manquante",IF(NOT(ISNUMBER(A835)),"Date invalide",IF(B835="","N° de facture manquant",IF(ISNA(MATCH(B835,fa_num,0)),"Facture inconnue",IF(INDEX(fa_type,MATCH(B835,fa_num,0))="Avoir","Paiement sur un avoir",IF(OR(NOT(ISNUMBER(C835)),N(C835)&lt;=0),"Montant invalide",IF(A835&lt;INDEX(fa_date,MATCH(B835,fa_num,0)),"Date antérieure à la facture",IF(SUMIF($B$6:B835,B835,$C$6:C835)&gt;INDEX(fa_ttc,MATCH(B835,fa_num,0))-N(INDEX(fa_avoirs,MATCH(B835,fa_num,0)))+0.001,"Dépasse le montant de la facture","OK")))))))))</f>
        <v/>
      </c>
    </row>
    <row r="836">
      <c r="A836" s="61" t="n"/>
      <c r="B836" s="60" t="n"/>
      <c r="C836" s="68" t="n"/>
      <c r="D836" s="60" t="n"/>
      <c r="E836" s="63" t="n"/>
      <c r="F836" s="63" t="n"/>
      <c r="G836" s="62" t="str">
        <f>IF(B836="","",IFERROR(INDEX(fa_cname,MATCH(B836,fa_num,0))&amp;"",""))</f>
        <v/>
      </c>
      <c r="H836" s="59" t="str">
        <f>IF(COUNTA(A836:F836)=0,"",IF(A836="","Date manquante",IF(NOT(ISNUMBER(A836)),"Date invalide",IF(B836="","N° de facture manquant",IF(ISNA(MATCH(B836,fa_num,0)),"Facture inconnue",IF(INDEX(fa_type,MATCH(B836,fa_num,0))="Avoir","Paiement sur un avoir",IF(OR(NOT(ISNUMBER(C836)),N(C836)&lt;=0),"Montant invalide",IF(A836&lt;INDEX(fa_date,MATCH(B836,fa_num,0)),"Date antérieure à la facture",IF(SUMIF($B$6:B836,B836,$C$6:C836)&gt;INDEX(fa_ttc,MATCH(B836,fa_num,0))-N(INDEX(fa_avoirs,MATCH(B836,fa_num,0)))+0.001,"Dépasse le montant de la facture","OK")))))))))</f>
        <v/>
      </c>
    </row>
    <row r="837">
      <c r="A837" s="61" t="n"/>
      <c r="B837" s="60" t="n"/>
      <c r="C837" s="68" t="n"/>
      <c r="D837" s="60" t="n"/>
      <c r="E837" s="63" t="n"/>
      <c r="F837" s="63" t="n"/>
      <c r="G837" s="62" t="str">
        <f>IF(B837="","",IFERROR(INDEX(fa_cname,MATCH(B837,fa_num,0))&amp;"",""))</f>
        <v/>
      </c>
      <c r="H837" s="59" t="str">
        <f>IF(COUNTA(A837:F837)=0,"",IF(A837="","Date manquante",IF(NOT(ISNUMBER(A837)),"Date invalide",IF(B837="","N° de facture manquant",IF(ISNA(MATCH(B837,fa_num,0)),"Facture inconnue",IF(INDEX(fa_type,MATCH(B837,fa_num,0))="Avoir","Paiement sur un avoir",IF(OR(NOT(ISNUMBER(C837)),N(C837)&lt;=0),"Montant invalide",IF(A837&lt;INDEX(fa_date,MATCH(B837,fa_num,0)),"Date antérieure à la facture",IF(SUMIF($B$6:B837,B837,$C$6:C837)&gt;INDEX(fa_ttc,MATCH(B837,fa_num,0))-N(INDEX(fa_avoirs,MATCH(B837,fa_num,0)))+0.001,"Dépasse le montant de la facture","OK")))))))))</f>
        <v/>
      </c>
    </row>
    <row r="838">
      <c r="A838" s="61" t="n"/>
      <c r="B838" s="60" t="n"/>
      <c r="C838" s="68" t="n"/>
      <c r="D838" s="60" t="n"/>
      <c r="E838" s="63" t="n"/>
      <c r="F838" s="63" t="n"/>
      <c r="G838" s="62" t="str">
        <f>IF(B838="","",IFERROR(INDEX(fa_cname,MATCH(B838,fa_num,0))&amp;"",""))</f>
        <v/>
      </c>
      <c r="H838" s="59" t="str">
        <f>IF(COUNTA(A838:F838)=0,"",IF(A838="","Date manquante",IF(NOT(ISNUMBER(A838)),"Date invalide",IF(B838="","N° de facture manquant",IF(ISNA(MATCH(B838,fa_num,0)),"Facture inconnue",IF(INDEX(fa_type,MATCH(B838,fa_num,0))="Avoir","Paiement sur un avoir",IF(OR(NOT(ISNUMBER(C838)),N(C838)&lt;=0),"Montant invalide",IF(A838&lt;INDEX(fa_date,MATCH(B838,fa_num,0)),"Date antérieure à la facture",IF(SUMIF($B$6:B838,B838,$C$6:C838)&gt;INDEX(fa_ttc,MATCH(B838,fa_num,0))-N(INDEX(fa_avoirs,MATCH(B838,fa_num,0)))+0.001,"Dépasse le montant de la facture","OK")))))))))</f>
        <v/>
      </c>
    </row>
    <row r="839">
      <c r="A839" s="61" t="n"/>
      <c r="B839" s="60" t="n"/>
      <c r="C839" s="68" t="n"/>
      <c r="D839" s="60" t="n"/>
      <c r="E839" s="63" t="n"/>
      <c r="F839" s="63" t="n"/>
      <c r="G839" s="62" t="str">
        <f>IF(B839="","",IFERROR(INDEX(fa_cname,MATCH(B839,fa_num,0))&amp;"",""))</f>
        <v/>
      </c>
      <c r="H839" s="59" t="str">
        <f>IF(COUNTA(A839:F839)=0,"",IF(A839="","Date manquante",IF(NOT(ISNUMBER(A839)),"Date invalide",IF(B839="","N° de facture manquant",IF(ISNA(MATCH(B839,fa_num,0)),"Facture inconnue",IF(INDEX(fa_type,MATCH(B839,fa_num,0))="Avoir","Paiement sur un avoir",IF(OR(NOT(ISNUMBER(C839)),N(C839)&lt;=0),"Montant invalide",IF(A839&lt;INDEX(fa_date,MATCH(B839,fa_num,0)),"Date antérieure à la facture",IF(SUMIF($B$6:B839,B839,$C$6:C839)&gt;INDEX(fa_ttc,MATCH(B839,fa_num,0))-N(INDEX(fa_avoirs,MATCH(B839,fa_num,0)))+0.001,"Dépasse le montant de la facture","OK")))))))))</f>
        <v/>
      </c>
    </row>
    <row r="840">
      <c r="A840" s="61" t="n"/>
      <c r="B840" s="60" t="n"/>
      <c r="C840" s="68" t="n"/>
      <c r="D840" s="60" t="n"/>
      <c r="E840" s="63" t="n"/>
      <c r="F840" s="63" t="n"/>
      <c r="G840" s="62" t="str">
        <f>IF(B840="","",IFERROR(INDEX(fa_cname,MATCH(B840,fa_num,0))&amp;"",""))</f>
        <v/>
      </c>
      <c r="H840" s="59" t="str">
        <f>IF(COUNTA(A840:F840)=0,"",IF(A840="","Date manquante",IF(NOT(ISNUMBER(A840)),"Date invalide",IF(B840="","N° de facture manquant",IF(ISNA(MATCH(B840,fa_num,0)),"Facture inconnue",IF(INDEX(fa_type,MATCH(B840,fa_num,0))="Avoir","Paiement sur un avoir",IF(OR(NOT(ISNUMBER(C840)),N(C840)&lt;=0),"Montant invalide",IF(A840&lt;INDEX(fa_date,MATCH(B840,fa_num,0)),"Date antérieure à la facture",IF(SUMIF($B$6:B840,B840,$C$6:C840)&gt;INDEX(fa_ttc,MATCH(B840,fa_num,0))-N(INDEX(fa_avoirs,MATCH(B840,fa_num,0)))+0.001,"Dépasse le montant de la facture","OK")))))))))</f>
        <v/>
      </c>
    </row>
    <row r="841">
      <c r="A841" s="61" t="n"/>
      <c r="B841" s="60" t="n"/>
      <c r="C841" s="68" t="n"/>
      <c r="D841" s="60" t="n"/>
      <c r="E841" s="63" t="n"/>
      <c r="F841" s="63" t="n"/>
      <c r="G841" s="62" t="str">
        <f>IF(B841="","",IFERROR(INDEX(fa_cname,MATCH(B841,fa_num,0))&amp;"",""))</f>
        <v/>
      </c>
      <c r="H841" s="59" t="str">
        <f>IF(COUNTA(A841:F841)=0,"",IF(A841="","Date manquante",IF(NOT(ISNUMBER(A841)),"Date invalide",IF(B841="","N° de facture manquant",IF(ISNA(MATCH(B841,fa_num,0)),"Facture inconnue",IF(INDEX(fa_type,MATCH(B841,fa_num,0))="Avoir","Paiement sur un avoir",IF(OR(NOT(ISNUMBER(C841)),N(C841)&lt;=0),"Montant invalide",IF(A841&lt;INDEX(fa_date,MATCH(B841,fa_num,0)),"Date antérieure à la facture",IF(SUMIF($B$6:B841,B841,$C$6:C841)&gt;INDEX(fa_ttc,MATCH(B841,fa_num,0))-N(INDEX(fa_avoirs,MATCH(B841,fa_num,0)))+0.001,"Dépasse le montant de la facture","OK")))))))))</f>
        <v/>
      </c>
    </row>
    <row r="842">
      <c r="A842" s="61" t="n"/>
      <c r="B842" s="60" t="n"/>
      <c r="C842" s="68" t="n"/>
      <c r="D842" s="60" t="n"/>
      <c r="E842" s="63" t="n"/>
      <c r="F842" s="63" t="n"/>
      <c r="G842" s="62" t="str">
        <f>IF(B842="","",IFERROR(INDEX(fa_cname,MATCH(B842,fa_num,0))&amp;"",""))</f>
        <v/>
      </c>
      <c r="H842" s="59" t="str">
        <f>IF(COUNTA(A842:F842)=0,"",IF(A842="","Date manquante",IF(NOT(ISNUMBER(A842)),"Date invalide",IF(B842="","N° de facture manquant",IF(ISNA(MATCH(B842,fa_num,0)),"Facture inconnue",IF(INDEX(fa_type,MATCH(B842,fa_num,0))="Avoir","Paiement sur un avoir",IF(OR(NOT(ISNUMBER(C842)),N(C842)&lt;=0),"Montant invalide",IF(A842&lt;INDEX(fa_date,MATCH(B842,fa_num,0)),"Date antérieure à la facture",IF(SUMIF($B$6:B842,B842,$C$6:C842)&gt;INDEX(fa_ttc,MATCH(B842,fa_num,0))-N(INDEX(fa_avoirs,MATCH(B842,fa_num,0)))+0.001,"Dépasse le montant de la facture","OK")))))))))</f>
        <v/>
      </c>
    </row>
    <row r="843">
      <c r="A843" s="61" t="n"/>
      <c r="B843" s="60" t="n"/>
      <c r="C843" s="68" t="n"/>
      <c r="D843" s="60" t="n"/>
      <c r="E843" s="63" t="n"/>
      <c r="F843" s="63" t="n"/>
      <c r="G843" s="62" t="str">
        <f>IF(B843="","",IFERROR(INDEX(fa_cname,MATCH(B843,fa_num,0))&amp;"",""))</f>
        <v/>
      </c>
      <c r="H843" s="59" t="str">
        <f>IF(COUNTA(A843:F843)=0,"",IF(A843="","Date manquante",IF(NOT(ISNUMBER(A843)),"Date invalide",IF(B843="","N° de facture manquant",IF(ISNA(MATCH(B843,fa_num,0)),"Facture inconnue",IF(INDEX(fa_type,MATCH(B843,fa_num,0))="Avoir","Paiement sur un avoir",IF(OR(NOT(ISNUMBER(C843)),N(C843)&lt;=0),"Montant invalide",IF(A843&lt;INDEX(fa_date,MATCH(B843,fa_num,0)),"Date antérieure à la facture",IF(SUMIF($B$6:B843,B843,$C$6:C843)&gt;INDEX(fa_ttc,MATCH(B843,fa_num,0))-N(INDEX(fa_avoirs,MATCH(B843,fa_num,0)))+0.001,"Dépasse le montant de la facture","OK")))))))))</f>
        <v/>
      </c>
    </row>
    <row r="844">
      <c r="A844" s="61" t="n"/>
      <c r="B844" s="60" t="n"/>
      <c r="C844" s="68" t="n"/>
      <c r="D844" s="60" t="n"/>
      <c r="E844" s="63" t="n"/>
      <c r="F844" s="63" t="n"/>
      <c r="G844" s="62" t="str">
        <f>IF(B844="","",IFERROR(INDEX(fa_cname,MATCH(B844,fa_num,0))&amp;"",""))</f>
        <v/>
      </c>
      <c r="H844" s="59" t="str">
        <f>IF(COUNTA(A844:F844)=0,"",IF(A844="","Date manquante",IF(NOT(ISNUMBER(A844)),"Date invalide",IF(B844="","N° de facture manquant",IF(ISNA(MATCH(B844,fa_num,0)),"Facture inconnue",IF(INDEX(fa_type,MATCH(B844,fa_num,0))="Avoir","Paiement sur un avoir",IF(OR(NOT(ISNUMBER(C844)),N(C844)&lt;=0),"Montant invalide",IF(A844&lt;INDEX(fa_date,MATCH(B844,fa_num,0)),"Date antérieure à la facture",IF(SUMIF($B$6:B844,B844,$C$6:C844)&gt;INDEX(fa_ttc,MATCH(B844,fa_num,0))-N(INDEX(fa_avoirs,MATCH(B844,fa_num,0)))+0.001,"Dépasse le montant de la facture","OK")))))))))</f>
        <v/>
      </c>
    </row>
    <row r="845">
      <c r="A845" s="61" t="n"/>
      <c r="B845" s="60" t="n"/>
      <c r="C845" s="68" t="n"/>
      <c r="D845" s="60" t="n"/>
      <c r="E845" s="63" t="n"/>
      <c r="F845" s="63" t="n"/>
      <c r="G845" s="62" t="str">
        <f>IF(B845="","",IFERROR(INDEX(fa_cname,MATCH(B845,fa_num,0))&amp;"",""))</f>
        <v/>
      </c>
      <c r="H845" s="59" t="str">
        <f>IF(COUNTA(A845:F845)=0,"",IF(A845="","Date manquante",IF(NOT(ISNUMBER(A845)),"Date invalide",IF(B845="","N° de facture manquant",IF(ISNA(MATCH(B845,fa_num,0)),"Facture inconnue",IF(INDEX(fa_type,MATCH(B845,fa_num,0))="Avoir","Paiement sur un avoir",IF(OR(NOT(ISNUMBER(C845)),N(C845)&lt;=0),"Montant invalide",IF(A845&lt;INDEX(fa_date,MATCH(B845,fa_num,0)),"Date antérieure à la facture",IF(SUMIF($B$6:B845,B845,$C$6:C845)&gt;INDEX(fa_ttc,MATCH(B845,fa_num,0))-N(INDEX(fa_avoirs,MATCH(B845,fa_num,0)))+0.001,"Dépasse le montant de la facture","OK")))))))))</f>
        <v/>
      </c>
    </row>
    <row r="846">
      <c r="A846" s="61" t="n"/>
      <c r="B846" s="60" t="n"/>
      <c r="C846" s="68" t="n"/>
      <c r="D846" s="60" t="n"/>
      <c r="E846" s="63" t="n"/>
      <c r="F846" s="63" t="n"/>
      <c r="G846" s="62" t="str">
        <f>IF(B846="","",IFERROR(INDEX(fa_cname,MATCH(B846,fa_num,0))&amp;"",""))</f>
        <v/>
      </c>
      <c r="H846" s="59" t="str">
        <f>IF(COUNTA(A846:F846)=0,"",IF(A846="","Date manquante",IF(NOT(ISNUMBER(A846)),"Date invalide",IF(B846="","N° de facture manquant",IF(ISNA(MATCH(B846,fa_num,0)),"Facture inconnue",IF(INDEX(fa_type,MATCH(B846,fa_num,0))="Avoir","Paiement sur un avoir",IF(OR(NOT(ISNUMBER(C846)),N(C846)&lt;=0),"Montant invalide",IF(A846&lt;INDEX(fa_date,MATCH(B846,fa_num,0)),"Date antérieure à la facture",IF(SUMIF($B$6:B846,B846,$C$6:C846)&gt;INDEX(fa_ttc,MATCH(B846,fa_num,0))-N(INDEX(fa_avoirs,MATCH(B846,fa_num,0)))+0.001,"Dépasse le montant de la facture","OK")))))))))</f>
        <v/>
      </c>
    </row>
    <row r="847">
      <c r="A847" s="61" t="n"/>
      <c r="B847" s="60" t="n"/>
      <c r="C847" s="68" t="n"/>
      <c r="D847" s="60" t="n"/>
      <c r="E847" s="63" t="n"/>
      <c r="F847" s="63" t="n"/>
      <c r="G847" s="62" t="str">
        <f>IF(B847="","",IFERROR(INDEX(fa_cname,MATCH(B847,fa_num,0))&amp;"",""))</f>
        <v/>
      </c>
      <c r="H847" s="59" t="str">
        <f>IF(COUNTA(A847:F847)=0,"",IF(A847="","Date manquante",IF(NOT(ISNUMBER(A847)),"Date invalide",IF(B847="","N° de facture manquant",IF(ISNA(MATCH(B847,fa_num,0)),"Facture inconnue",IF(INDEX(fa_type,MATCH(B847,fa_num,0))="Avoir","Paiement sur un avoir",IF(OR(NOT(ISNUMBER(C847)),N(C847)&lt;=0),"Montant invalide",IF(A847&lt;INDEX(fa_date,MATCH(B847,fa_num,0)),"Date antérieure à la facture",IF(SUMIF($B$6:B847,B847,$C$6:C847)&gt;INDEX(fa_ttc,MATCH(B847,fa_num,0))-N(INDEX(fa_avoirs,MATCH(B847,fa_num,0)))+0.001,"Dépasse le montant de la facture","OK")))))))))</f>
        <v/>
      </c>
    </row>
    <row r="848">
      <c r="A848" s="61" t="n"/>
      <c r="B848" s="60" t="n"/>
      <c r="C848" s="68" t="n"/>
      <c r="D848" s="60" t="n"/>
      <c r="E848" s="63" t="n"/>
      <c r="F848" s="63" t="n"/>
      <c r="G848" s="62" t="str">
        <f>IF(B848="","",IFERROR(INDEX(fa_cname,MATCH(B848,fa_num,0))&amp;"",""))</f>
        <v/>
      </c>
      <c r="H848" s="59" t="str">
        <f>IF(COUNTA(A848:F848)=0,"",IF(A848="","Date manquante",IF(NOT(ISNUMBER(A848)),"Date invalide",IF(B848="","N° de facture manquant",IF(ISNA(MATCH(B848,fa_num,0)),"Facture inconnue",IF(INDEX(fa_type,MATCH(B848,fa_num,0))="Avoir","Paiement sur un avoir",IF(OR(NOT(ISNUMBER(C848)),N(C848)&lt;=0),"Montant invalide",IF(A848&lt;INDEX(fa_date,MATCH(B848,fa_num,0)),"Date antérieure à la facture",IF(SUMIF($B$6:B848,B848,$C$6:C848)&gt;INDEX(fa_ttc,MATCH(B848,fa_num,0))-N(INDEX(fa_avoirs,MATCH(B848,fa_num,0)))+0.001,"Dépasse le montant de la facture","OK")))))))))</f>
        <v/>
      </c>
    </row>
    <row r="849">
      <c r="A849" s="61" t="n"/>
      <c r="B849" s="60" t="n"/>
      <c r="C849" s="68" t="n"/>
      <c r="D849" s="60" t="n"/>
      <c r="E849" s="63" t="n"/>
      <c r="F849" s="63" t="n"/>
      <c r="G849" s="62" t="str">
        <f>IF(B849="","",IFERROR(INDEX(fa_cname,MATCH(B849,fa_num,0))&amp;"",""))</f>
        <v/>
      </c>
      <c r="H849" s="59" t="str">
        <f>IF(COUNTA(A849:F849)=0,"",IF(A849="","Date manquante",IF(NOT(ISNUMBER(A849)),"Date invalide",IF(B849="","N° de facture manquant",IF(ISNA(MATCH(B849,fa_num,0)),"Facture inconnue",IF(INDEX(fa_type,MATCH(B849,fa_num,0))="Avoir","Paiement sur un avoir",IF(OR(NOT(ISNUMBER(C849)),N(C849)&lt;=0),"Montant invalide",IF(A849&lt;INDEX(fa_date,MATCH(B849,fa_num,0)),"Date antérieure à la facture",IF(SUMIF($B$6:B849,B849,$C$6:C849)&gt;INDEX(fa_ttc,MATCH(B849,fa_num,0))-N(INDEX(fa_avoirs,MATCH(B849,fa_num,0)))+0.001,"Dépasse le montant de la facture","OK")))))))))</f>
        <v/>
      </c>
    </row>
    <row r="850">
      <c r="A850" s="61" t="n"/>
      <c r="B850" s="60" t="n"/>
      <c r="C850" s="68" t="n"/>
      <c r="D850" s="60" t="n"/>
      <c r="E850" s="63" t="n"/>
      <c r="F850" s="63" t="n"/>
      <c r="G850" s="62" t="str">
        <f>IF(B850="","",IFERROR(INDEX(fa_cname,MATCH(B850,fa_num,0))&amp;"",""))</f>
        <v/>
      </c>
      <c r="H850" s="59" t="str">
        <f>IF(COUNTA(A850:F850)=0,"",IF(A850="","Date manquante",IF(NOT(ISNUMBER(A850)),"Date invalide",IF(B850="","N° de facture manquant",IF(ISNA(MATCH(B850,fa_num,0)),"Facture inconnue",IF(INDEX(fa_type,MATCH(B850,fa_num,0))="Avoir","Paiement sur un avoir",IF(OR(NOT(ISNUMBER(C850)),N(C850)&lt;=0),"Montant invalide",IF(A850&lt;INDEX(fa_date,MATCH(B850,fa_num,0)),"Date antérieure à la facture",IF(SUMIF($B$6:B850,B850,$C$6:C850)&gt;INDEX(fa_ttc,MATCH(B850,fa_num,0))-N(INDEX(fa_avoirs,MATCH(B850,fa_num,0)))+0.001,"Dépasse le montant de la facture","OK")))))))))</f>
        <v/>
      </c>
    </row>
    <row r="851">
      <c r="A851" s="61" t="n"/>
      <c r="B851" s="60" t="n"/>
      <c r="C851" s="68" t="n"/>
      <c r="D851" s="60" t="n"/>
      <c r="E851" s="63" t="n"/>
      <c r="F851" s="63" t="n"/>
      <c r="G851" s="62" t="str">
        <f>IF(B851="","",IFERROR(INDEX(fa_cname,MATCH(B851,fa_num,0))&amp;"",""))</f>
        <v/>
      </c>
      <c r="H851" s="59" t="str">
        <f>IF(COUNTA(A851:F851)=0,"",IF(A851="","Date manquante",IF(NOT(ISNUMBER(A851)),"Date invalide",IF(B851="","N° de facture manquant",IF(ISNA(MATCH(B851,fa_num,0)),"Facture inconnue",IF(INDEX(fa_type,MATCH(B851,fa_num,0))="Avoir","Paiement sur un avoir",IF(OR(NOT(ISNUMBER(C851)),N(C851)&lt;=0),"Montant invalide",IF(A851&lt;INDEX(fa_date,MATCH(B851,fa_num,0)),"Date antérieure à la facture",IF(SUMIF($B$6:B851,B851,$C$6:C851)&gt;INDEX(fa_ttc,MATCH(B851,fa_num,0))-N(INDEX(fa_avoirs,MATCH(B851,fa_num,0)))+0.001,"Dépasse le montant de la facture","OK")))))))))</f>
        <v/>
      </c>
    </row>
    <row r="852">
      <c r="A852" s="61" t="n"/>
      <c r="B852" s="60" t="n"/>
      <c r="C852" s="68" t="n"/>
      <c r="D852" s="60" t="n"/>
      <c r="E852" s="63" t="n"/>
      <c r="F852" s="63" t="n"/>
      <c r="G852" s="62" t="str">
        <f>IF(B852="","",IFERROR(INDEX(fa_cname,MATCH(B852,fa_num,0))&amp;"",""))</f>
        <v/>
      </c>
      <c r="H852" s="59" t="str">
        <f>IF(COUNTA(A852:F852)=0,"",IF(A852="","Date manquante",IF(NOT(ISNUMBER(A852)),"Date invalide",IF(B852="","N° de facture manquant",IF(ISNA(MATCH(B852,fa_num,0)),"Facture inconnue",IF(INDEX(fa_type,MATCH(B852,fa_num,0))="Avoir","Paiement sur un avoir",IF(OR(NOT(ISNUMBER(C852)),N(C852)&lt;=0),"Montant invalide",IF(A852&lt;INDEX(fa_date,MATCH(B852,fa_num,0)),"Date antérieure à la facture",IF(SUMIF($B$6:B852,B852,$C$6:C852)&gt;INDEX(fa_ttc,MATCH(B852,fa_num,0))-N(INDEX(fa_avoirs,MATCH(B852,fa_num,0)))+0.001,"Dépasse le montant de la facture","OK")))))))))</f>
        <v/>
      </c>
    </row>
    <row r="853">
      <c r="A853" s="61" t="n"/>
      <c r="B853" s="60" t="n"/>
      <c r="C853" s="68" t="n"/>
      <c r="D853" s="60" t="n"/>
      <c r="E853" s="63" t="n"/>
      <c r="F853" s="63" t="n"/>
      <c r="G853" s="62" t="str">
        <f>IF(B853="","",IFERROR(INDEX(fa_cname,MATCH(B853,fa_num,0))&amp;"",""))</f>
        <v/>
      </c>
      <c r="H853" s="59" t="str">
        <f>IF(COUNTA(A853:F853)=0,"",IF(A853="","Date manquante",IF(NOT(ISNUMBER(A853)),"Date invalide",IF(B853="","N° de facture manquant",IF(ISNA(MATCH(B853,fa_num,0)),"Facture inconnue",IF(INDEX(fa_type,MATCH(B853,fa_num,0))="Avoir","Paiement sur un avoir",IF(OR(NOT(ISNUMBER(C853)),N(C853)&lt;=0),"Montant invalide",IF(A853&lt;INDEX(fa_date,MATCH(B853,fa_num,0)),"Date antérieure à la facture",IF(SUMIF($B$6:B853,B853,$C$6:C853)&gt;INDEX(fa_ttc,MATCH(B853,fa_num,0))-N(INDEX(fa_avoirs,MATCH(B853,fa_num,0)))+0.001,"Dépasse le montant de la facture","OK")))))))))</f>
        <v/>
      </c>
    </row>
    <row r="854">
      <c r="A854" s="61" t="n"/>
      <c r="B854" s="60" t="n"/>
      <c r="C854" s="68" t="n"/>
      <c r="D854" s="60" t="n"/>
      <c r="E854" s="63" t="n"/>
      <c r="F854" s="63" t="n"/>
      <c r="G854" s="62" t="str">
        <f>IF(B854="","",IFERROR(INDEX(fa_cname,MATCH(B854,fa_num,0))&amp;"",""))</f>
        <v/>
      </c>
      <c r="H854" s="59" t="str">
        <f>IF(COUNTA(A854:F854)=0,"",IF(A854="","Date manquante",IF(NOT(ISNUMBER(A854)),"Date invalide",IF(B854="","N° de facture manquant",IF(ISNA(MATCH(B854,fa_num,0)),"Facture inconnue",IF(INDEX(fa_type,MATCH(B854,fa_num,0))="Avoir","Paiement sur un avoir",IF(OR(NOT(ISNUMBER(C854)),N(C854)&lt;=0),"Montant invalide",IF(A854&lt;INDEX(fa_date,MATCH(B854,fa_num,0)),"Date antérieure à la facture",IF(SUMIF($B$6:B854,B854,$C$6:C854)&gt;INDEX(fa_ttc,MATCH(B854,fa_num,0))-N(INDEX(fa_avoirs,MATCH(B854,fa_num,0)))+0.001,"Dépasse le montant de la facture","OK")))))))))</f>
        <v/>
      </c>
    </row>
    <row r="855">
      <c r="A855" s="61" t="n"/>
      <c r="B855" s="60" t="n"/>
      <c r="C855" s="68" t="n"/>
      <c r="D855" s="60" t="n"/>
      <c r="E855" s="63" t="n"/>
      <c r="F855" s="63" t="n"/>
      <c r="G855" s="62" t="str">
        <f>IF(B855="","",IFERROR(INDEX(fa_cname,MATCH(B855,fa_num,0))&amp;"",""))</f>
        <v/>
      </c>
      <c r="H855" s="59" t="str">
        <f>IF(COUNTA(A855:F855)=0,"",IF(A855="","Date manquante",IF(NOT(ISNUMBER(A855)),"Date invalide",IF(B855="","N° de facture manquant",IF(ISNA(MATCH(B855,fa_num,0)),"Facture inconnue",IF(INDEX(fa_type,MATCH(B855,fa_num,0))="Avoir","Paiement sur un avoir",IF(OR(NOT(ISNUMBER(C855)),N(C855)&lt;=0),"Montant invalide",IF(A855&lt;INDEX(fa_date,MATCH(B855,fa_num,0)),"Date antérieure à la facture",IF(SUMIF($B$6:B855,B855,$C$6:C855)&gt;INDEX(fa_ttc,MATCH(B855,fa_num,0))-N(INDEX(fa_avoirs,MATCH(B855,fa_num,0)))+0.001,"Dépasse le montant de la facture","OK")))))))))</f>
        <v/>
      </c>
    </row>
    <row r="856">
      <c r="A856" s="61" t="n"/>
      <c r="B856" s="60" t="n"/>
      <c r="C856" s="68" t="n"/>
      <c r="D856" s="60" t="n"/>
      <c r="E856" s="63" t="n"/>
      <c r="F856" s="63" t="n"/>
      <c r="G856" s="62" t="str">
        <f>IF(B856="","",IFERROR(INDEX(fa_cname,MATCH(B856,fa_num,0))&amp;"",""))</f>
        <v/>
      </c>
      <c r="H856" s="59" t="str">
        <f>IF(COUNTA(A856:F856)=0,"",IF(A856="","Date manquante",IF(NOT(ISNUMBER(A856)),"Date invalide",IF(B856="","N° de facture manquant",IF(ISNA(MATCH(B856,fa_num,0)),"Facture inconnue",IF(INDEX(fa_type,MATCH(B856,fa_num,0))="Avoir","Paiement sur un avoir",IF(OR(NOT(ISNUMBER(C856)),N(C856)&lt;=0),"Montant invalide",IF(A856&lt;INDEX(fa_date,MATCH(B856,fa_num,0)),"Date antérieure à la facture",IF(SUMIF($B$6:B856,B856,$C$6:C856)&gt;INDEX(fa_ttc,MATCH(B856,fa_num,0))-N(INDEX(fa_avoirs,MATCH(B856,fa_num,0)))+0.001,"Dépasse le montant de la facture","OK")))))))))</f>
        <v/>
      </c>
    </row>
    <row r="857">
      <c r="A857" s="61" t="n"/>
      <c r="B857" s="60" t="n"/>
      <c r="C857" s="68" t="n"/>
      <c r="D857" s="60" t="n"/>
      <c r="E857" s="63" t="n"/>
      <c r="F857" s="63" t="n"/>
      <c r="G857" s="62" t="str">
        <f>IF(B857="","",IFERROR(INDEX(fa_cname,MATCH(B857,fa_num,0))&amp;"",""))</f>
        <v/>
      </c>
      <c r="H857" s="59" t="str">
        <f>IF(COUNTA(A857:F857)=0,"",IF(A857="","Date manquante",IF(NOT(ISNUMBER(A857)),"Date invalide",IF(B857="","N° de facture manquant",IF(ISNA(MATCH(B857,fa_num,0)),"Facture inconnue",IF(INDEX(fa_type,MATCH(B857,fa_num,0))="Avoir","Paiement sur un avoir",IF(OR(NOT(ISNUMBER(C857)),N(C857)&lt;=0),"Montant invalide",IF(A857&lt;INDEX(fa_date,MATCH(B857,fa_num,0)),"Date antérieure à la facture",IF(SUMIF($B$6:B857,B857,$C$6:C857)&gt;INDEX(fa_ttc,MATCH(B857,fa_num,0))-N(INDEX(fa_avoirs,MATCH(B857,fa_num,0)))+0.001,"Dépasse le montant de la facture","OK")))))))))</f>
        <v/>
      </c>
    </row>
    <row r="858">
      <c r="A858" s="61" t="n"/>
      <c r="B858" s="60" t="n"/>
      <c r="C858" s="68" t="n"/>
      <c r="D858" s="60" t="n"/>
      <c r="E858" s="63" t="n"/>
      <c r="F858" s="63" t="n"/>
      <c r="G858" s="62" t="str">
        <f>IF(B858="","",IFERROR(INDEX(fa_cname,MATCH(B858,fa_num,0))&amp;"",""))</f>
        <v/>
      </c>
      <c r="H858" s="59" t="str">
        <f>IF(COUNTA(A858:F858)=0,"",IF(A858="","Date manquante",IF(NOT(ISNUMBER(A858)),"Date invalide",IF(B858="","N° de facture manquant",IF(ISNA(MATCH(B858,fa_num,0)),"Facture inconnue",IF(INDEX(fa_type,MATCH(B858,fa_num,0))="Avoir","Paiement sur un avoir",IF(OR(NOT(ISNUMBER(C858)),N(C858)&lt;=0),"Montant invalide",IF(A858&lt;INDEX(fa_date,MATCH(B858,fa_num,0)),"Date antérieure à la facture",IF(SUMIF($B$6:B858,B858,$C$6:C858)&gt;INDEX(fa_ttc,MATCH(B858,fa_num,0))-N(INDEX(fa_avoirs,MATCH(B858,fa_num,0)))+0.001,"Dépasse le montant de la facture","OK")))))))))</f>
        <v/>
      </c>
    </row>
    <row r="859">
      <c r="A859" s="61" t="n"/>
      <c r="B859" s="60" t="n"/>
      <c r="C859" s="68" t="n"/>
      <c r="D859" s="60" t="n"/>
      <c r="E859" s="63" t="n"/>
      <c r="F859" s="63" t="n"/>
      <c r="G859" s="62" t="str">
        <f>IF(B859="","",IFERROR(INDEX(fa_cname,MATCH(B859,fa_num,0))&amp;"",""))</f>
        <v/>
      </c>
      <c r="H859" s="59" t="str">
        <f>IF(COUNTA(A859:F859)=0,"",IF(A859="","Date manquante",IF(NOT(ISNUMBER(A859)),"Date invalide",IF(B859="","N° de facture manquant",IF(ISNA(MATCH(B859,fa_num,0)),"Facture inconnue",IF(INDEX(fa_type,MATCH(B859,fa_num,0))="Avoir","Paiement sur un avoir",IF(OR(NOT(ISNUMBER(C859)),N(C859)&lt;=0),"Montant invalide",IF(A859&lt;INDEX(fa_date,MATCH(B859,fa_num,0)),"Date antérieure à la facture",IF(SUMIF($B$6:B859,B859,$C$6:C859)&gt;INDEX(fa_ttc,MATCH(B859,fa_num,0))-N(INDEX(fa_avoirs,MATCH(B859,fa_num,0)))+0.001,"Dépasse le montant de la facture","OK")))))))))</f>
        <v/>
      </c>
    </row>
    <row r="860">
      <c r="A860" s="61" t="n"/>
      <c r="B860" s="60" t="n"/>
      <c r="C860" s="68" t="n"/>
      <c r="D860" s="60" t="n"/>
      <c r="E860" s="63" t="n"/>
      <c r="F860" s="63" t="n"/>
      <c r="G860" s="62" t="str">
        <f>IF(B860="","",IFERROR(INDEX(fa_cname,MATCH(B860,fa_num,0))&amp;"",""))</f>
        <v/>
      </c>
      <c r="H860" s="59" t="str">
        <f>IF(COUNTA(A860:F860)=0,"",IF(A860="","Date manquante",IF(NOT(ISNUMBER(A860)),"Date invalide",IF(B860="","N° de facture manquant",IF(ISNA(MATCH(B860,fa_num,0)),"Facture inconnue",IF(INDEX(fa_type,MATCH(B860,fa_num,0))="Avoir","Paiement sur un avoir",IF(OR(NOT(ISNUMBER(C860)),N(C860)&lt;=0),"Montant invalide",IF(A860&lt;INDEX(fa_date,MATCH(B860,fa_num,0)),"Date antérieure à la facture",IF(SUMIF($B$6:B860,B860,$C$6:C860)&gt;INDEX(fa_ttc,MATCH(B860,fa_num,0))-N(INDEX(fa_avoirs,MATCH(B860,fa_num,0)))+0.001,"Dépasse le montant de la facture","OK")))))))))</f>
        <v/>
      </c>
    </row>
    <row r="861">
      <c r="A861" s="61" t="n"/>
      <c r="B861" s="60" t="n"/>
      <c r="C861" s="68" t="n"/>
      <c r="D861" s="60" t="n"/>
      <c r="E861" s="63" t="n"/>
      <c r="F861" s="63" t="n"/>
      <c r="G861" s="62" t="str">
        <f>IF(B861="","",IFERROR(INDEX(fa_cname,MATCH(B861,fa_num,0))&amp;"",""))</f>
        <v/>
      </c>
      <c r="H861" s="59" t="str">
        <f>IF(COUNTA(A861:F861)=0,"",IF(A861="","Date manquante",IF(NOT(ISNUMBER(A861)),"Date invalide",IF(B861="","N° de facture manquant",IF(ISNA(MATCH(B861,fa_num,0)),"Facture inconnue",IF(INDEX(fa_type,MATCH(B861,fa_num,0))="Avoir","Paiement sur un avoir",IF(OR(NOT(ISNUMBER(C861)),N(C861)&lt;=0),"Montant invalide",IF(A861&lt;INDEX(fa_date,MATCH(B861,fa_num,0)),"Date antérieure à la facture",IF(SUMIF($B$6:B861,B861,$C$6:C861)&gt;INDEX(fa_ttc,MATCH(B861,fa_num,0))-N(INDEX(fa_avoirs,MATCH(B861,fa_num,0)))+0.001,"Dépasse le montant de la facture","OK")))))))))</f>
        <v/>
      </c>
    </row>
    <row r="862">
      <c r="A862" s="61" t="n"/>
      <c r="B862" s="60" t="n"/>
      <c r="C862" s="68" t="n"/>
      <c r="D862" s="60" t="n"/>
      <c r="E862" s="63" t="n"/>
      <c r="F862" s="63" t="n"/>
      <c r="G862" s="62" t="str">
        <f>IF(B862="","",IFERROR(INDEX(fa_cname,MATCH(B862,fa_num,0))&amp;"",""))</f>
        <v/>
      </c>
      <c r="H862" s="59" t="str">
        <f>IF(COUNTA(A862:F862)=0,"",IF(A862="","Date manquante",IF(NOT(ISNUMBER(A862)),"Date invalide",IF(B862="","N° de facture manquant",IF(ISNA(MATCH(B862,fa_num,0)),"Facture inconnue",IF(INDEX(fa_type,MATCH(B862,fa_num,0))="Avoir","Paiement sur un avoir",IF(OR(NOT(ISNUMBER(C862)),N(C862)&lt;=0),"Montant invalide",IF(A862&lt;INDEX(fa_date,MATCH(B862,fa_num,0)),"Date antérieure à la facture",IF(SUMIF($B$6:B862,B862,$C$6:C862)&gt;INDEX(fa_ttc,MATCH(B862,fa_num,0))-N(INDEX(fa_avoirs,MATCH(B862,fa_num,0)))+0.001,"Dépasse le montant de la facture","OK")))))))))</f>
        <v/>
      </c>
    </row>
    <row r="863">
      <c r="A863" s="61" t="n"/>
      <c r="B863" s="60" t="n"/>
      <c r="C863" s="68" t="n"/>
      <c r="D863" s="60" t="n"/>
      <c r="E863" s="63" t="n"/>
      <c r="F863" s="63" t="n"/>
      <c r="G863" s="62" t="str">
        <f>IF(B863="","",IFERROR(INDEX(fa_cname,MATCH(B863,fa_num,0))&amp;"",""))</f>
        <v/>
      </c>
      <c r="H863" s="59" t="str">
        <f>IF(COUNTA(A863:F863)=0,"",IF(A863="","Date manquante",IF(NOT(ISNUMBER(A863)),"Date invalide",IF(B863="","N° de facture manquant",IF(ISNA(MATCH(B863,fa_num,0)),"Facture inconnue",IF(INDEX(fa_type,MATCH(B863,fa_num,0))="Avoir","Paiement sur un avoir",IF(OR(NOT(ISNUMBER(C863)),N(C863)&lt;=0),"Montant invalide",IF(A863&lt;INDEX(fa_date,MATCH(B863,fa_num,0)),"Date antérieure à la facture",IF(SUMIF($B$6:B863,B863,$C$6:C863)&gt;INDEX(fa_ttc,MATCH(B863,fa_num,0))-N(INDEX(fa_avoirs,MATCH(B863,fa_num,0)))+0.001,"Dépasse le montant de la facture","OK")))))))))</f>
        <v/>
      </c>
    </row>
    <row r="864">
      <c r="A864" s="61" t="n"/>
      <c r="B864" s="60" t="n"/>
      <c r="C864" s="68" t="n"/>
      <c r="D864" s="60" t="n"/>
      <c r="E864" s="63" t="n"/>
      <c r="F864" s="63" t="n"/>
      <c r="G864" s="62" t="str">
        <f>IF(B864="","",IFERROR(INDEX(fa_cname,MATCH(B864,fa_num,0))&amp;"",""))</f>
        <v/>
      </c>
      <c r="H864" s="59" t="str">
        <f>IF(COUNTA(A864:F864)=0,"",IF(A864="","Date manquante",IF(NOT(ISNUMBER(A864)),"Date invalide",IF(B864="","N° de facture manquant",IF(ISNA(MATCH(B864,fa_num,0)),"Facture inconnue",IF(INDEX(fa_type,MATCH(B864,fa_num,0))="Avoir","Paiement sur un avoir",IF(OR(NOT(ISNUMBER(C864)),N(C864)&lt;=0),"Montant invalide",IF(A864&lt;INDEX(fa_date,MATCH(B864,fa_num,0)),"Date antérieure à la facture",IF(SUMIF($B$6:B864,B864,$C$6:C864)&gt;INDEX(fa_ttc,MATCH(B864,fa_num,0))-N(INDEX(fa_avoirs,MATCH(B864,fa_num,0)))+0.001,"Dépasse le montant de la facture","OK")))))))))</f>
        <v/>
      </c>
    </row>
    <row r="865">
      <c r="A865" s="61" t="n"/>
      <c r="B865" s="60" t="n"/>
      <c r="C865" s="68" t="n"/>
      <c r="D865" s="60" t="n"/>
      <c r="E865" s="63" t="n"/>
      <c r="F865" s="63" t="n"/>
      <c r="G865" s="62" t="str">
        <f>IF(B865="","",IFERROR(INDEX(fa_cname,MATCH(B865,fa_num,0))&amp;"",""))</f>
        <v/>
      </c>
      <c r="H865" s="59" t="str">
        <f>IF(COUNTA(A865:F865)=0,"",IF(A865="","Date manquante",IF(NOT(ISNUMBER(A865)),"Date invalide",IF(B865="","N° de facture manquant",IF(ISNA(MATCH(B865,fa_num,0)),"Facture inconnue",IF(INDEX(fa_type,MATCH(B865,fa_num,0))="Avoir","Paiement sur un avoir",IF(OR(NOT(ISNUMBER(C865)),N(C865)&lt;=0),"Montant invalide",IF(A865&lt;INDEX(fa_date,MATCH(B865,fa_num,0)),"Date antérieure à la facture",IF(SUMIF($B$6:B865,B865,$C$6:C865)&gt;INDEX(fa_ttc,MATCH(B865,fa_num,0))-N(INDEX(fa_avoirs,MATCH(B865,fa_num,0)))+0.001,"Dépasse le montant de la facture","OK")))))))))</f>
        <v/>
      </c>
    </row>
    <row r="866">
      <c r="A866" s="61" t="n"/>
      <c r="B866" s="60" t="n"/>
      <c r="C866" s="68" t="n"/>
      <c r="D866" s="60" t="n"/>
      <c r="E866" s="63" t="n"/>
      <c r="F866" s="63" t="n"/>
      <c r="G866" s="62" t="str">
        <f>IF(B866="","",IFERROR(INDEX(fa_cname,MATCH(B866,fa_num,0))&amp;"",""))</f>
        <v/>
      </c>
      <c r="H866" s="59" t="str">
        <f>IF(COUNTA(A866:F866)=0,"",IF(A866="","Date manquante",IF(NOT(ISNUMBER(A866)),"Date invalide",IF(B866="","N° de facture manquant",IF(ISNA(MATCH(B866,fa_num,0)),"Facture inconnue",IF(INDEX(fa_type,MATCH(B866,fa_num,0))="Avoir","Paiement sur un avoir",IF(OR(NOT(ISNUMBER(C866)),N(C866)&lt;=0),"Montant invalide",IF(A866&lt;INDEX(fa_date,MATCH(B866,fa_num,0)),"Date antérieure à la facture",IF(SUMIF($B$6:B866,B866,$C$6:C866)&gt;INDEX(fa_ttc,MATCH(B866,fa_num,0))-N(INDEX(fa_avoirs,MATCH(B866,fa_num,0)))+0.001,"Dépasse le montant de la facture","OK")))))))))</f>
        <v/>
      </c>
    </row>
    <row r="867">
      <c r="A867" s="61" t="n"/>
      <c r="B867" s="60" t="n"/>
      <c r="C867" s="68" t="n"/>
      <c r="D867" s="60" t="n"/>
      <c r="E867" s="63" t="n"/>
      <c r="F867" s="63" t="n"/>
      <c r="G867" s="62" t="str">
        <f>IF(B867="","",IFERROR(INDEX(fa_cname,MATCH(B867,fa_num,0))&amp;"",""))</f>
        <v/>
      </c>
      <c r="H867" s="59" t="str">
        <f>IF(COUNTA(A867:F867)=0,"",IF(A867="","Date manquante",IF(NOT(ISNUMBER(A867)),"Date invalide",IF(B867="","N° de facture manquant",IF(ISNA(MATCH(B867,fa_num,0)),"Facture inconnue",IF(INDEX(fa_type,MATCH(B867,fa_num,0))="Avoir","Paiement sur un avoir",IF(OR(NOT(ISNUMBER(C867)),N(C867)&lt;=0),"Montant invalide",IF(A867&lt;INDEX(fa_date,MATCH(B867,fa_num,0)),"Date antérieure à la facture",IF(SUMIF($B$6:B867,B867,$C$6:C867)&gt;INDEX(fa_ttc,MATCH(B867,fa_num,0))-N(INDEX(fa_avoirs,MATCH(B867,fa_num,0)))+0.001,"Dépasse le montant de la facture","OK")))))))))</f>
        <v/>
      </c>
    </row>
    <row r="868">
      <c r="A868" s="61" t="n"/>
      <c r="B868" s="60" t="n"/>
      <c r="C868" s="68" t="n"/>
      <c r="D868" s="60" t="n"/>
      <c r="E868" s="63" t="n"/>
      <c r="F868" s="63" t="n"/>
      <c r="G868" s="62" t="str">
        <f>IF(B868="","",IFERROR(INDEX(fa_cname,MATCH(B868,fa_num,0))&amp;"",""))</f>
        <v/>
      </c>
      <c r="H868" s="59" t="str">
        <f>IF(COUNTA(A868:F868)=0,"",IF(A868="","Date manquante",IF(NOT(ISNUMBER(A868)),"Date invalide",IF(B868="","N° de facture manquant",IF(ISNA(MATCH(B868,fa_num,0)),"Facture inconnue",IF(INDEX(fa_type,MATCH(B868,fa_num,0))="Avoir","Paiement sur un avoir",IF(OR(NOT(ISNUMBER(C868)),N(C868)&lt;=0),"Montant invalide",IF(A868&lt;INDEX(fa_date,MATCH(B868,fa_num,0)),"Date antérieure à la facture",IF(SUMIF($B$6:B868,B868,$C$6:C868)&gt;INDEX(fa_ttc,MATCH(B868,fa_num,0))-N(INDEX(fa_avoirs,MATCH(B868,fa_num,0)))+0.001,"Dépasse le montant de la facture","OK")))))))))</f>
        <v/>
      </c>
    </row>
    <row r="869">
      <c r="A869" s="61" t="n"/>
      <c r="B869" s="60" t="n"/>
      <c r="C869" s="68" t="n"/>
      <c r="D869" s="60" t="n"/>
      <c r="E869" s="63" t="n"/>
      <c r="F869" s="63" t="n"/>
      <c r="G869" s="62" t="str">
        <f>IF(B869="","",IFERROR(INDEX(fa_cname,MATCH(B869,fa_num,0))&amp;"",""))</f>
        <v/>
      </c>
      <c r="H869" s="59" t="str">
        <f>IF(COUNTA(A869:F869)=0,"",IF(A869="","Date manquante",IF(NOT(ISNUMBER(A869)),"Date invalide",IF(B869="","N° de facture manquant",IF(ISNA(MATCH(B869,fa_num,0)),"Facture inconnue",IF(INDEX(fa_type,MATCH(B869,fa_num,0))="Avoir","Paiement sur un avoir",IF(OR(NOT(ISNUMBER(C869)),N(C869)&lt;=0),"Montant invalide",IF(A869&lt;INDEX(fa_date,MATCH(B869,fa_num,0)),"Date antérieure à la facture",IF(SUMIF($B$6:B869,B869,$C$6:C869)&gt;INDEX(fa_ttc,MATCH(B869,fa_num,0))-N(INDEX(fa_avoirs,MATCH(B869,fa_num,0)))+0.001,"Dépasse le montant de la facture","OK")))))))))</f>
        <v/>
      </c>
    </row>
    <row r="870">
      <c r="A870" s="61" t="n"/>
      <c r="B870" s="60" t="n"/>
      <c r="C870" s="68" t="n"/>
      <c r="D870" s="60" t="n"/>
      <c r="E870" s="63" t="n"/>
      <c r="F870" s="63" t="n"/>
      <c r="G870" s="62" t="str">
        <f>IF(B870="","",IFERROR(INDEX(fa_cname,MATCH(B870,fa_num,0))&amp;"",""))</f>
        <v/>
      </c>
      <c r="H870" s="59" t="str">
        <f>IF(COUNTA(A870:F870)=0,"",IF(A870="","Date manquante",IF(NOT(ISNUMBER(A870)),"Date invalide",IF(B870="","N° de facture manquant",IF(ISNA(MATCH(B870,fa_num,0)),"Facture inconnue",IF(INDEX(fa_type,MATCH(B870,fa_num,0))="Avoir","Paiement sur un avoir",IF(OR(NOT(ISNUMBER(C870)),N(C870)&lt;=0),"Montant invalide",IF(A870&lt;INDEX(fa_date,MATCH(B870,fa_num,0)),"Date antérieure à la facture",IF(SUMIF($B$6:B870,B870,$C$6:C870)&gt;INDEX(fa_ttc,MATCH(B870,fa_num,0))-N(INDEX(fa_avoirs,MATCH(B870,fa_num,0)))+0.001,"Dépasse le montant de la facture","OK")))))))))</f>
        <v/>
      </c>
    </row>
    <row r="871">
      <c r="A871" s="61" t="n"/>
      <c r="B871" s="60" t="n"/>
      <c r="C871" s="68" t="n"/>
      <c r="D871" s="60" t="n"/>
      <c r="E871" s="63" t="n"/>
      <c r="F871" s="63" t="n"/>
      <c r="G871" s="62" t="str">
        <f>IF(B871="","",IFERROR(INDEX(fa_cname,MATCH(B871,fa_num,0))&amp;"",""))</f>
        <v/>
      </c>
      <c r="H871" s="59" t="str">
        <f>IF(COUNTA(A871:F871)=0,"",IF(A871="","Date manquante",IF(NOT(ISNUMBER(A871)),"Date invalide",IF(B871="","N° de facture manquant",IF(ISNA(MATCH(B871,fa_num,0)),"Facture inconnue",IF(INDEX(fa_type,MATCH(B871,fa_num,0))="Avoir","Paiement sur un avoir",IF(OR(NOT(ISNUMBER(C871)),N(C871)&lt;=0),"Montant invalide",IF(A871&lt;INDEX(fa_date,MATCH(B871,fa_num,0)),"Date antérieure à la facture",IF(SUMIF($B$6:B871,B871,$C$6:C871)&gt;INDEX(fa_ttc,MATCH(B871,fa_num,0))-N(INDEX(fa_avoirs,MATCH(B871,fa_num,0)))+0.001,"Dépasse le montant de la facture","OK")))))))))</f>
        <v/>
      </c>
    </row>
    <row r="872">
      <c r="A872" s="61" t="n"/>
      <c r="B872" s="60" t="n"/>
      <c r="C872" s="68" t="n"/>
      <c r="D872" s="60" t="n"/>
      <c r="E872" s="63" t="n"/>
      <c r="F872" s="63" t="n"/>
      <c r="G872" s="62" t="str">
        <f>IF(B872="","",IFERROR(INDEX(fa_cname,MATCH(B872,fa_num,0))&amp;"",""))</f>
        <v/>
      </c>
      <c r="H872" s="59" t="str">
        <f>IF(COUNTA(A872:F872)=0,"",IF(A872="","Date manquante",IF(NOT(ISNUMBER(A872)),"Date invalide",IF(B872="","N° de facture manquant",IF(ISNA(MATCH(B872,fa_num,0)),"Facture inconnue",IF(INDEX(fa_type,MATCH(B872,fa_num,0))="Avoir","Paiement sur un avoir",IF(OR(NOT(ISNUMBER(C872)),N(C872)&lt;=0),"Montant invalide",IF(A872&lt;INDEX(fa_date,MATCH(B872,fa_num,0)),"Date antérieure à la facture",IF(SUMIF($B$6:B872,B872,$C$6:C872)&gt;INDEX(fa_ttc,MATCH(B872,fa_num,0))-N(INDEX(fa_avoirs,MATCH(B872,fa_num,0)))+0.001,"Dépasse le montant de la facture","OK")))))))))</f>
        <v/>
      </c>
    </row>
    <row r="873">
      <c r="A873" s="61" t="n"/>
      <c r="B873" s="60" t="n"/>
      <c r="C873" s="68" t="n"/>
      <c r="D873" s="60" t="n"/>
      <c r="E873" s="63" t="n"/>
      <c r="F873" s="63" t="n"/>
      <c r="G873" s="62" t="str">
        <f>IF(B873="","",IFERROR(INDEX(fa_cname,MATCH(B873,fa_num,0))&amp;"",""))</f>
        <v/>
      </c>
      <c r="H873" s="59" t="str">
        <f>IF(COUNTA(A873:F873)=0,"",IF(A873="","Date manquante",IF(NOT(ISNUMBER(A873)),"Date invalide",IF(B873="","N° de facture manquant",IF(ISNA(MATCH(B873,fa_num,0)),"Facture inconnue",IF(INDEX(fa_type,MATCH(B873,fa_num,0))="Avoir","Paiement sur un avoir",IF(OR(NOT(ISNUMBER(C873)),N(C873)&lt;=0),"Montant invalide",IF(A873&lt;INDEX(fa_date,MATCH(B873,fa_num,0)),"Date antérieure à la facture",IF(SUMIF($B$6:B873,B873,$C$6:C873)&gt;INDEX(fa_ttc,MATCH(B873,fa_num,0))-N(INDEX(fa_avoirs,MATCH(B873,fa_num,0)))+0.001,"Dépasse le montant de la facture","OK")))))))))</f>
        <v/>
      </c>
    </row>
    <row r="874">
      <c r="A874" s="61" t="n"/>
      <c r="B874" s="60" t="n"/>
      <c r="C874" s="68" t="n"/>
      <c r="D874" s="60" t="n"/>
      <c r="E874" s="63" t="n"/>
      <c r="F874" s="63" t="n"/>
      <c r="G874" s="62" t="str">
        <f>IF(B874="","",IFERROR(INDEX(fa_cname,MATCH(B874,fa_num,0))&amp;"",""))</f>
        <v/>
      </c>
      <c r="H874" s="59" t="str">
        <f>IF(COUNTA(A874:F874)=0,"",IF(A874="","Date manquante",IF(NOT(ISNUMBER(A874)),"Date invalide",IF(B874="","N° de facture manquant",IF(ISNA(MATCH(B874,fa_num,0)),"Facture inconnue",IF(INDEX(fa_type,MATCH(B874,fa_num,0))="Avoir","Paiement sur un avoir",IF(OR(NOT(ISNUMBER(C874)),N(C874)&lt;=0),"Montant invalide",IF(A874&lt;INDEX(fa_date,MATCH(B874,fa_num,0)),"Date antérieure à la facture",IF(SUMIF($B$6:B874,B874,$C$6:C874)&gt;INDEX(fa_ttc,MATCH(B874,fa_num,0))-N(INDEX(fa_avoirs,MATCH(B874,fa_num,0)))+0.001,"Dépasse le montant de la facture","OK")))))))))</f>
        <v/>
      </c>
    </row>
    <row r="875">
      <c r="A875" s="61" t="n"/>
      <c r="B875" s="60" t="n"/>
      <c r="C875" s="68" t="n"/>
      <c r="D875" s="60" t="n"/>
      <c r="E875" s="63" t="n"/>
      <c r="F875" s="63" t="n"/>
      <c r="G875" s="62" t="str">
        <f>IF(B875="","",IFERROR(INDEX(fa_cname,MATCH(B875,fa_num,0))&amp;"",""))</f>
        <v/>
      </c>
      <c r="H875" s="59" t="str">
        <f>IF(COUNTA(A875:F875)=0,"",IF(A875="","Date manquante",IF(NOT(ISNUMBER(A875)),"Date invalide",IF(B875="","N° de facture manquant",IF(ISNA(MATCH(B875,fa_num,0)),"Facture inconnue",IF(INDEX(fa_type,MATCH(B875,fa_num,0))="Avoir","Paiement sur un avoir",IF(OR(NOT(ISNUMBER(C875)),N(C875)&lt;=0),"Montant invalide",IF(A875&lt;INDEX(fa_date,MATCH(B875,fa_num,0)),"Date antérieure à la facture",IF(SUMIF($B$6:B875,B875,$C$6:C875)&gt;INDEX(fa_ttc,MATCH(B875,fa_num,0))-N(INDEX(fa_avoirs,MATCH(B875,fa_num,0)))+0.001,"Dépasse le montant de la facture","OK")))))))))</f>
        <v/>
      </c>
    </row>
    <row r="876">
      <c r="A876" s="61" t="n"/>
      <c r="B876" s="60" t="n"/>
      <c r="C876" s="68" t="n"/>
      <c r="D876" s="60" t="n"/>
      <c r="E876" s="63" t="n"/>
      <c r="F876" s="63" t="n"/>
      <c r="G876" s="62" t="str">
        <f>IF(B876="","",IFERROR(INDEX(fa_cname,MATCH(B876,fa_num,0))&amp;"",""))</f>
        <v/>
      </c>
      <c r="H876" s="59" t="str">
        <f>IF(COUNTA(A876:F876)=0,"",IF(A876="","Date manquante",IF(NOT(ISNUMBER(A876)),"Date invalide",IF(B876="","N° de facture manquant",IF(ISNA(MATCH(B876,fa_num,0)),"Facture inconnue",IF(INDEX(fa_type,MATCH(B876,fa_num,0))="Avoir","Paiement sur un avoir",IF(OR(NOT(ISNUMBER(C876)),N(C876)&lt;=0),"Montant invalide",IF(A876&lt;INDEX(fa_date,MATCH(B876,fa_num,0)),"Date antérieure à la facture",IF(SUMIF($B$6:B876,B876,$C$6:C876)&gt;INDEX(fa_ttc,MATCH(B876,fa_num,0))-N(INDEX(fa_avoirs,MATCH(B876,fa_num,0)))+0.001,"Dépasse le montant de la facture","OK")))))))))</f>
        <v/>
      </c>
    </row>
    <row r="877">
      <c r="A877" s="61" t="n"/>
      <c r="B877" s="60" t="n"/>
      <c r="C877" s="68" t="n"/>
      <c r="D877" s="60" t="n"/>
      <c r="E877" s="63" t="n"/>
      <c r="F877" s="63" t="n"/>
      <c r="G877" s="62" t="str">
        <f>IF(B877="","",IFERROR(INDEX(fa_cname,MATCH(B877,fa_num,0))&amp;"",""))</f>
        <v/>
      </c>
      <c r="H877" s="59" t="str">
        <f>IF(COUNTA(A877:F877)=0,"",IF(A877="","Date manquante",IF(NOT(ISNUMBER(A877)),"Date invalide",IF(B877="","N° de facture manquant",IF(ISNA(MATCH(B877,fa_num,0)),"Facture inconnue",IF(INDEX(fa_type,MATCH(B877,fa_num,0))="Avoir","Paiement sur un avoir",IF(OR(NOT(ISNUMBER(C877)),N(C877)&lt;=0),"Montant invalide",IF(A877&lt;INDEX(fa_date,MATCH(B877,fa_num,0)),"Date antérieure à la facture",IF(SUMIF($B$6:B877,B877,$C$6:C877)&gt;INDEX(fa_ttc,MATCH(B877,fa_num,0))-N(INDEX(fa_avoirs,MATCH(B877,fa_num,0)))+0.001,"Dépasse le montant de la facture","OK")))))))))</f>
        <v/>
      </c>
    </row>
    <row r="878">
      <c r="A878" s="61" t="n"/>
      <c r="B878" s="60" t="n"/>
      <c r="C878" s="68" t="n"/>
      <c r="D878" s="60" t="n"/>
      <c r="E878" s="63" t="n"/>
      <c r="F878" s="63" t="n"/>
      <c r="G878" s="62" t="str">
        <f>IF(B878="","",IFERROR(INDEX(fa_cname,MATCH(B878,fa_num,0))&amp;"",""))</f>
        <v/>
      </c>
      <c r="H878" s="59" t="str">
        <f>IF(COUNTA(A878:F878)=0,"",IF(A878="","Date manquante",IF(NOT(ISNUMBER(A878)),"Date invalide",IF(B878="","N° de facture manquant",IF(ISNA(MATCH(B878,fa_num,0)),"Facture inconnue",IF(INDEX(fa_type,MATCH(B878,fa_num,0))="Avoir","Paiement sur un avoir",IF(OR(NOT(ISNUMBER(C878)),N(C878)&lt;=0),"Montant invalide",IF(A878&lt;INDEX(fa_date,MATCH(B878,fa_num,0)),"Date antérieure à la facture",IF(SUMIF($B$6:B878,B878,$C$6:C878)&gt;INDEX(fa_ttc,MATCH(B878,fa_num,0))-N(INDEX(fa_avoirs,MATCH(B878,fa_num,0)))+0.001,"Dépasse le montant de la facture","OK")))))))))</f>
        <v/>
      </c>
    </row>
    <row r="879">
      <c r="A879" s="61" t="n"/>
      <c r="B879" s="60" t="n"/>
      <c r="C879" s="68" t="n"/>
      <c r="D879" s="60" t="n"/>
      <c r="E879" s="63" t="n"/>
      <c r="F879" s="63" t="n"/>
      <c r="G879" s="62" t="str">
        <f>IF(B879="","",IFERROR(INDEX(fa_cname,MATCH(B879,fa_num,0))&amp;"",""))</f>
        <v/>
      </c>
      <c r="H879" s="59" t="str">
        <f>IF(COUNTA(A879:F879)=0,"",IF(A879="","Date manquante",IF(NOT(ISNUMBER(A879)),"Date invalide",IF(B879="","N° de facture manquant",IF(ISNA(MATCH(B879,fa_num,0)),"Facture inconnue",IF(INDEX(fa_type,MATCH(B879,fa_num,0))="Avoir","Paiement sur un avoir",IF(OR(NOT(ISNUMBER(C879)),N(C879)&lt;=0),"Montant invalide",IF(A879&lt;INDEX(fa_date,MATCH(B879,fa_num,0)),"Date antérieure à la facture",IF(SUMIF($B$6:B879,B879,$C$6:C879)&gt;INDEX(fa_ttc,MATCH(B879,fa_num,0))-N(INDEX(fa_avoirs,MATCH(B879,fa_num,0)))+0.001,"Dépasse le montant de la facture","OK")))))))))</f>
        <v/>
      </c>
    </row>
    <row r="880">
      <c r="A880" s="61" t="n"/>
      <c r="B880" s="60" t="n"/>
      <c r="C880" s="68" t="n"/>
      <c r="D880" s="60" t="n"/>
      <c r="E880" s="63" t="n"/>
      <c r="F880" s="63" t="n"/>
      <c r="G880" s="62" t="str">
        <f>IF(B880="","",IFERROR(INDEX(fa_cname,MATCH(B880,fa_num,0))&amp;"",""))</f>
        <v/>
      </c>
      <c r="H880" s="59" t="str">
        <f>IF(COUNTA(A880:F880)=0,"",IF(A880="","Date manquante",IF(NOT(ISNUMBER(A880)),"Date invalide",IF(B880="","N° de facture manquant",IF(ISNA(MATCH(B880,fa_num,0)),"Facture inconnue",IF(INDEX(fa_type,MATCH(B880,fa_num,0))="Avoir","Paiement sur un avoir",IF(OR(NOT(ISNUMBER(C880)),N(C880)&lt;=0),"Montant invalide",IF(A880&lt;INDEX(fa_date,MATCH(B880,fa_num,0)),"Date antérieure à la facture",IF(SUMIF($B$6:B880,B880,$C$6:C880)&gt;INDEX(fa_ttc,MATCH(B880,fa_num,0))-N(INDEX(fa_avoirs,MATCH(B880,fa_num,0)))+0.001,"Dépasse le montant de la facture","OK")))))))))</f>
        <v/>
      </c>
    </row>
    <row r="881">
      <c r="A881" s="61" t="n"/>
      <c r="B881" s="60" t="n"/>
      <c r="C881" s="68" t="n"/>
      <c r="D881" s="60" t="n"/>
      <c r="E881" s="63" t="n"/>
      <c r="F881" s="63" t="n"/>
      <c r="G881" s="62" t="str">
        <f>IF(B881="","",IFERROR(INDEX(fa_cname,MATCH(B881,fa_num,0))&amp;"",""))</f>
        <v/>
      </c>
      <c r="H881" s="59" t="str">
        <f>IF(COUNTA(A881:F881)=0,"",IF(A881="","Date manquante",IF(NOT(ISNUMBER(A881)),"Date invalide",IF(B881="","N° de facture manquant",IF(ISNA(MATCH(B881,fa_num,0)),"Facture inconnue",IF(INDEX(fa_type,MATCH(B881,fa_num,0))="Avoir","Paiement sur un avoir",IF(OR(NOT(ISNUMBER(C881)),N(C881)&lt;=0),"Montant invalide",IF(A881&lt;INDEX(fa_date,MATCH(B881,fa_num,0)),"Date antérieure à la facture",IF(SUMIF($B$6:B881,B881,$C$6:C881)&gt;INDEX(fa_ttc,MATCH(B881,fa_num,0))-N(INDEX(fa_avoirs,MATCH(B881,fa_num,0)))+0.001,"Dépasse le montant de la facture","OK")))))))))</f>
        <v/>
      </c>
    </row>
    <row r="882">
      <c r="A882" s="61" t="n"/>
      <c r="B882" s="60" t="n"/>
      <c r="C882" s="68" t="n"/>
      <c r="D882" s="60" t="n"/>
      <c r="E882" s="63" t="n"/>
      <c r="F882" s="63" t="n"/>
      <c r="G882" s="62" t="str">
        <f>IF(B882="","",IFERROR(INDEX(fa_cname,MATCH(B882,fa_num,0))&amp;"",""))</f>
        <v/>
      </c>
      <c r="H882" s="59" t="str">
        <f>IF(COUNTA(A882:F882)=0,"",IF(A882="","Date manquante",IF(NOT(ISNUMBER(A882)),"Date invalide",IF(B882="","N° de facture manquant",IF(ISNA(MATCH(B882,fa_num,0)),"Facture inconnue",IF(INDEX(fa_type,MATCH(B882,fa_num,0))="Avoir","Paiement sur un avoir",IF(OR(NOT(ISNUMBER(C882)),N(C882)&lt;=0),"Montant invalide",IF(A882&lt;INDEX(fa_date,MATCH(B882,fa_num,0)),"Date antérieure à la facture",IF(SUMIF($B$6:B882,B882,$C$6:C882)&gt;INDEX(fa_ttc,MATCH(B882,fa_num,0))-N(INDEX(fa_avoirs,MATCH(B882,fa_num,0)))+0.001,"Dépasse le montant de la facture","OK")))))))))</f>
        <v/>
      </c>
    </row>
    <row r="883">
      <c r="A883" s="61" t="n"/>
      <c r="B883" s="60" t="n"/>
      <c r="C883" s="68" t="n"/>
      <c r="D883" s="60" t="n"/>
      <c r="E883" s="63" t="n"/>
      <c r="F883" s="63" t="n"/>
      <c r="G883" s="62" t="str">
        <f>IF(B883="","",IFERROR(INDEX(fa_cname,MATCH(B883,fa_num,0))&amp;"",""))</f>
        <v/>
      </c>
      <c r="H883" s="59" t="str">
        <f>IF(COUNTA(A883:F883)=0,"",IF(A883="","Date manquante",IF(NOT(ISNUMBER(A883)),"Date invalide",IF(B883="","N° de facture manquant",IF(ISNA(MATCH(B883,fa_num,0)),"Facture inconnue",IF(INDEX(fa_type,MATCH(B883,fa_num,0))="Avoir","Paiement sur un avoir",IF(OR(NOT(ISNUMBER(C883)),N(C883)&lt;=0),"Montant invalide",IF(A883&lt;INDEX(fa_date,MATCH(B883,fa_num,0)),"Date antérieure à la facture",IF(SUMIF($B$6:B883,B883,$C$6:C883)&gt;INDEX(fa_ttc,MATCH(B883,fa_num,0))-N(INDEX(fa_avoirs,MATCH(B883,fa_num,0)))+0.001,"Dépasse le montant de la facture","OK")))))))))</f>
        <v/>
      </c>
    </row>
    <row r="884">
      <c r="A884" s="61" t="n"/>
      <c r="B884" s="60" t="n"/>
      <c r="C884" s="68" t="n"/>
      <c r="D884" s="60" t="n"/>
      <c r="E884" s="63" t="n"/>
      <c r="F884" s="63" t="n"/>
      <c r="G884" s="62" t="str">
        <f>IF(B884="","",IFERROR(INDEX(fa_cname,MATCH(B884,fa_num,0))&amp;"",""))</f>
        <v/>
      </c>
      <c r="H884" s="59" t="str">
        <f>IF(COUNTA(A884:F884)=0,"",IF(A884="","Date manquante",IF(NOT(ISNUMBER(A884)),"Date invalide",IF(B884="","N° de facture manquant",IF(ISNA(MATCH(B884,fa_num,0)),"Facture inconnue",IF(INDEX(fa_type,MATCH(B884,fa_num,0))="Avoir","Paiement sur un avoir",IF(OR(NOT(ISNUMBER(C884)),N(C884)&lt;=0),"Montant invalide",IF(A884&lt;INDEX(fa_date,MATCH(B884,fa_num,0)),"Date antérieure à la facture",IF(SUMIF($B$6:B884,B884,$C$6:C884)&gt;INDEX(fa_ttc,MATCH(B884,fa_num,0))-N(INDEX(fa_avoirs,MATCH(B884,fa_num,0)))+0.001,"Dépasse le montant de la facture","OK")))))))))</f>
        <v/>
      </c>
    </row>
    <row r="885">
      <c r="A885" s="61" t="n"/>
      <c r="B885" s="60" t="n"/>
      <c r="C885" s="68" t="n"/>
      <c r="D885" s="60" t="n"/>
      <c r="E885" s="63" t="n"/>
      <c r="F885" s="63" t="n"/>
      <c r="G885" s="62" t="str">
        <f>IF(B885="","",IFERROR(INDEX(fa_cname,MATCH(B885,fa_num,0))&amp;"",""))</f>
        <v/>
      </c>
      <c r="H885" s="59" t="str">
        <f>IF(COUNTA(A885:F885)=0,"",IF(A885="","Date manquante",IF(NOT(ISNUMBER(A885)),"Date invalide",IF(B885="","N° de facture manquant",IF(ISNA(MATCH(B885,fa_num,0)),"Facture inconnue",IF(INDEX(fa_type,MATCH(B885,fa_num,0))="Avoir","Paiement sur un avoir",IF(OR(NOT(ISNUMBER(C885)),N(C885)&lt;=0),"Montant invalide",IF(A885&lt;INDEX(fa_date,MATCH(B885,fa_num,0)),"Date antérieure à la facture",IF(SUMIF($B$6:B885,B885,$C$6:C885)&gt;INDEX(fa_ttc,MATCH(B885,fa_num,0))-N(INDEX(fa_avoirs,MATCH(B885,fa_num,0)))+0.001,"Dépasse le montant de la facture","OK")))))))))</f>
        <v/>
      </c>
    </row>
    <row r="886">
      <c r="A886" s="61" t="n"/>
      <c r="B886" s="60" t="n"/>
      <c r="C886" s="68" t="n"/>
      <c r="D886" s="60" t="n"/>
      <c r="E886" s="63" t="n"/>
      <c r="F886" s="63" t="n"/>
      <c r="G886" s="62" t="str">
        <f>IF(B886="","",IFERROR(INDEX(fa_cname,MATCH(B886,fa_num,0))&amp;"",""))</f>
        <v/>
      </c>
      <c r="H886" s="59" t="str">
        <f>IF(COUNTA(A886:F886)=0,"",IF(A886="","Date manquante",IF(NOT(ISNUMBER(A886)),"Date invalide",IF(B886="","N° de facture manquant",IF(ISNA(MATCH(B886,fa_num,0)),"Facture inconnue",IF(INDEX(fa_type,MATCH(B886,fa_num,0))="Avoir","Paiement sur un avoir",IF(OR(NOT(ISNUMBER(C886)),N(C886)&lt;=0),"Montant invalide",IF(A886&lt;INDEX(fa_date,MATCH(B886,fa_num,0)),"Date antérieure à la facture",IF(SUMIF($B$6:B886,B886,$C$6:C886)&gt;INDEX(fa_ttc,MATCH(B886,fa_num,0))-N(INDEX(fa_avoirs,MATCH(B886,fa_num,0)))+0.001,"Dépasse le montant de la facture","OK")))))))))</f>
        <v/>
      </c>
    </row>
    <row r="887">
      <c r="A887" s="61" t="n"/>
      <c r="B887" s="60" t="n"/>
      <c r="C887" s="68" t="n"/>
      <c r="D887" s="60" t="n"/>
      <c r="E887" s="63" t="n"/>
      <c r="F887" s="63" t="n"/>
      <c r="G887" s="62" t="str">
        <f>IF(B887="","",IFERROR(INDEX(fa_cname,MATCH(B887,fa_num,0))&amp;"",""))</f>
        <v/>
      </c>
      <c r="H887" s="59" t="str">
        <f>IF(COUNTA(A887:F887)=0,"",IF(A887="","Date manquante",IF(NOT(ISNUMBER(A887)),"Date invalide",IF(B887="","N° de facture manquant",IF(ISNA(MATCH(B887,fa_num,0)),"Facture inconnue",IF(INDEX(fa_type,MATCH(B887,fa_num,0))="Avoir","Paiement sur un avoir",IF(OR(NOT(ISNUMBER(C887)),N(C887)&lt;=0),"Montant invalide",IF(A887&lt;INDEX(fa_date,MATCH(B887,fa_num,0)),"Date antérieure à la facture",IF(SUMIF($B$6:B887,B887,$C$6:C887)&gt;INDEX(fa_ttc,MATCH(B887,fa_num,0))-N(INDEX(fa_avoirs,MATCH(B887,fa_num,0)))+0.001,"Dépasse le montant de la facture","OK")))))))))</f>
        <v/>
      </c>
    </row>
    <row r="888">
      <c r="A888" s="61" t="n"/>
      <c r="B888" s="60" t="n"/>
      <c r="C888" s="68" t="n"/>
      <c r="D888" s="60" t="n"/>
      <c r="E888" s="63" t="n"/>
      <c r="F888" s="63" t="n"/>
      <c r="G888" s="62" t="str">
        <f>IF(B888="","",IFERROR(INDEX(fa_cname,MATCH(B888,fa_num,0))&amp;"",""))</f>
        <v/>
      </c>
      <c r="H888" s="59" t="str">
        <f>IF(COUNTA(A888:F888)=0,"",IF(A888="","Date manquante",IF(NOT(ISNUMBER(A888)),"Date invalide",IF(B888="","N° de facture manquant",IF(ISNA(MATCH(B888,fa_num,0)),"Facture inconnue",IF(INDEX(fa_type,MATCH(B888,fa_num,0))="Avoir","Paiement sur un avoir",IF(OR(NOT(ISNUMBER(C888)),N(C888)&lt;=0),"Montant invalide",IF(A888&lt;INDEX(fa_date,MATCH(B888,fa_num,0)),"Date antérieure à la facture",IF(SUMIF($B$6:B888,B888,$C$6:C888)&gt;INDEX(fa_ttc,MATCH(B888,fa_num,0))-N(INDEX(fa_avoirs,MATCH(B888,fa_num,0)))+0.001,"Dépasse le montant de la facture","OK")))))))))</f>
        <v/>
      </c>
    </row>
    <row r="889">
      <c r="A889" s="61" t="n"/>
      <c r="B889" s="60" t="n"/>
      <c r="C889" s="68" t="n"/>
      <c r="D889" s="60" t="n"/>
      <c r="E889" s="63" t="n"/>
      <c r="F889" s="63" t="n"/>
      <c r="G889" s="62" t="str">
        <f>IF(B889="","",IFERROR(INDEX(fa_cname,MATCH(B889,fa_num,0))&amp;"",""))</f>
        <v/>
      </c>
      <c r="H889" s="59" t="str">
        <f>IF(COUNTA(A889:F889)=0,"",IF(A889="","Date manquante",IF(NOT(ISNUMBER(A889)),"Date invalide",IF(B889="","N° de facture manquant",IF(ISNA(MATCH(B889,fa_num,0)),"Facture inconnue",IF(INDEX(fa_type,MATCH(B889,fa_num,0))="Avoir","Paiement sur un avoir",IF(OR(NOT(ISNUMBER(C889)),N(C889)&lt;=0),"Montant invalide",IF(A889&lt;INDEX(fa_date,MATCH(B889,fa_num,0)),"Date antérieure à la facture",IF(SUMIF($B$6:B889,B889,$C$6:C889)&gt;INDEX(fa_ttc,MATCH(B889,fa_num,0))-N(INDEX(fa_avoirs,MATCH(B889,fa_num,0)))+0.001,"Dépasse le montant de la facture","OK")))))))))</f>
        <v/>
      </c>
    </row>
    <row r="890">
      <c r="A890" s="61" t="n"/>
      <c r="B890" s="60" t="n"/>
      <c r="C890" s="68" t="n"/>
      <c r="D890" s="60" t="n"/>
      <c r="E890" s="63" t="n"/>
      <c r="F890" s="63" t="n"/>
      <c r="G890" s="62" t="str">
        <f>IF(B890="","",IFERROR(INDEX(fa_cname,MATCH(B890,fa_num,0))&amp;"",""))</f>
        <v/>
      </c>
      <c r="H890" s="59" t="str">
        <f>IF(COUNTA(A890:F890)=0,"",IF(A890="","Date manquante",IF(NOT(ISNUMBER(A890)),"Date invalide",IF(B890="","N° de facture manquant",IF(ISNA(MATCH(B890,fa_num,0)),"Facture inconnue",IF(INDEX(fa_type,MATCH(B890,fa_num,0))="Avoir","Paiement sur un avoir",IF(OR(NOT(ISNUMBER(C890)),N(C890)&lt;=0),"Montant invalide",IF(A890&lt;INDEX(fa_date,MATCH(B890,fa_num,0)),"Date antérieure à la facture",IF(SUMIF($B$6:B890,B890,$C$6:C890)&gt;INDEX(fa_ttc,MATCH(B890,fa_num,0))-N(INDEX(fa_avoirs,MATCH(B890,fa_num,0)))+0.001,"Dépasse le montant de la facture","OK")))))))))</f>
        <v/>
      </c>
    </row>
    <row r="891">
      <c r="A891" s="61" t="n"/>
      <c r="B891" s="60" t="n"/>
      <c r="C891" s="68" t="n"/>
      <c r="D891" s="60" t="n"/>
      <c r="E891" s="63" t="n"/>
      <c r="F891" s="63" t="n"/>
      <c r="G891" s="62" t="str">
        <f>IF(B891="","",IFERROR(INDEX(fa_cname,MATCH(B891,fa_num,0))&amp;"",""))</f>
        <v/>
      </c>
      <c r="H891" s="59" t="str">
        <f>IF(COUNTA(A891:F891)=0,"",IF(A891="","Date manquante",IF(NOT(ISNUMBER(A891)),"Date invalide",IF(B891="","N° de facture manquant",IF(ISNA(MATCH(B891,fa_num,0)),"Facture inconnue",IF(INDEX(fa_type,MATCH(B891,fa_num,0))="Avoir","Paiement sur un avoir",IF(OR(NOT(ISNUMBER(C891)),N(C891)&lt;=0),"Montant invalide",IF(A891&lt;INDEX(fa_date,MATCH(B891,fa_num,0)),"Date antérieure à la facture",IF(SUMIF($B$6:B891,B891,$C$6:C891)&gt;INDEX(fa_ttc,MATCH(B891,fa_num,0))-N(INDEX(fa_avoirs,MATCH(B891,fa_num,0)))+0.001,"Dépasse le montant de la facture","OK")))))))))</f>
        <v/>
      </c>
    </row>
    <row r="892">
      <c r="A892" s="61" t="n"/>
      <c r="B892" s="60" t="n"/>
      <c r="C892" s="68" t="n"/>
      <c r="D892" s="60" t="n"/>
      <c r="E892" s="63" t="n"/>
      <c r="F892" s="63" t="n"/>
      <c r="G892" s="62" t="str">
        <f>IF(B892="","",IFERROR(INDEX(fa_cname,MATCH(B892,fa_num,0))&amp;"",""))</f>
        <v/>
      </c>
      <c r="H892" s="59" t="str">
        <f>IF(COUNTA(A892:F892)=0,"",IF(A892="","Date manquante",IF(NOT(ISNUMBER(A892)),"Date invalide",IF(B892="","N° de facture manquant",IF(ISNA(MATCH(B892,fa_num,0)),"Facture inconnue",IF(INDEX(fa_type,MATCH(B892,fa_num,0))="Avoir","Paiement sur un avoir",IF(OR(NOT(ISNUMBER(C892)),N(C892)&lt;=0),"Montant invalide",IF(A892&lt;INDEX(fa_date,MATCH(B892,fa_num,0)),"Date antérieure à la facture",IF(SUMIF($B$6:B892,B892,$C$6:C892)&gt;INDEX(fa_ttc,MATCH(B892,fa_num,0))-N(INDEX(fa_avoirs,MATCH(B892,fa_num,0)))+0.001,"Dépasse le montant de la facture","OK")))))))))</f>
        <v/>
      </c>
    </row>
    <row r="893">
      <c r="A893" s="61" t="n"/>
      <c r="B893" s="60" t="n"/>
      <c r="C893" s="68" t="n"/>
      <c r="D893" s="60" t="n"/>
      <c r="E893" s="63" t="n"/>
      <c r="F893" s="63" t="n"/>
      <c r="G893" s="62" t="str">
        <f>IF(B893="","",IFERROR(INDEX(fa_cname,MATCH(B893,fa_num,0))&amp;"",""))</f>
        <v/>
      </c>
      <c r="H893" s="59" t="str">
        <f>IF(COUNTA(A893:F893)=0,"",IF(A893="","Date manquante",IF(NOT(ISNUMBER(A893)),"Date invalide",IF(B893="","N° de facture manquant",IF(ISNA(MATCH(B893,fa_num,0)),"Facture inconnue",IF(INDEX(fa_type,MATCH(B893,fa_num,0))="Avoir","Paiement sur un avoir",IF(OR(NOT(ISNUMBER(C893)),N(C893)&lt;=0),"Montant invalide",IF(A893&lt;INDEX(fa_date,MATCH(B893,fa_num,0)),"Date antérieure à la facture",IF(SUMIF($B$6:B893,B893,$C$6:C893)&gt;INDEX(fa_ttc,MATCH(B893,fa_num,0))-N(INDEX(fa_avoirs,MATCH(B893,fa_num,0)))+0.001,"Dépasse le montant de la facture","OK")))))))))</f>
        <v/>
      </c>
    </row>
    <row r="894">
      <c r="A894" s="61" t="n"/>
      <c r="B894" s="60" t="n"/>
      <c r="C894" s="68" t="n"/>
      <c r="D894" s="60" t="n"/>
      <c r="E894" s="63" t="n"/>
      <c r="F894" s="63" t="n"/>
      <c r="G894" s="62" t="str">
        <f>IF(B894="","",IFERROR(INDEX(fa_cname,MATCH(B894,fa_num,0))&amp;"",""))</f>
        <v/>
      </c>
      <c r="H894" s="59" t="str">
        <f>IF(COUNTA(A894:F894)=0,"",IF(A894="","Date manquante",IF(NOT(ISNUMBER(A894)),"Date invalide",IF(B894="","N° de facture manquant",IF(ISNA(MATCH(B894,fa_num,0)),"Facture inconnue",IF(INDEX(fa_type,MATCH(B894,fa_num,0))="Avoir","Paiement sur un avoir",IF(OR(NOT(ISNUMBER(C894)),N(C894)&lt;=0),"Montant invalide",IF(A894&lt;INDEX(fa_date,MATCH(B894,fa_num,0)),"Date antérieure à la facture",IF(SUMIF($B$6:B894,B894,$C$6:C894)&gt;INDEX(fa_ttc,MATCH(B894,fa_num,0))-N(INDEX(fa_avoirs,MATCH(B894,fa_num,0)))+0.001,"Dépasse le montant de la facture","OK")))))))))</f>
        <v/>
      </c>
    </row>
    <row r="895">
      <c r="A895" s="61" t="n"/>
      <c r="B895" s="60" t="n"/>
      <c r="C895" s="68" t="n"/>
      <c r="D895" s="60" t="n"/>
      <c r="E895" s="63" t="n"/>
      <c r="F895" s="63" t="n"/>
      <c r="G895" s="62" t="str">
        <f>IF(B895="","",IFERROR(INDEX(fa_cname,MATCH(B895,fa_num,0))&amp;"",""))</f>
        <v/>
      </c>
      <c r="H895" s="59" t="str">
        <f>IF(COUNTA(A895:F895)=0,"",IF(A895="","Date manquante",IF(NOT(ISNUMBER(A895)),"Date invalide",IF(B895="","N° de facture manquant",IF(ISNA(MATCH(B895,fa_num,0)),"Facture inconnue",IF(INDEX(fa_type,MATCH(B895,fa_num,0))="Avoir","Paiement sur un avoir",IF(OR(NOT(ISNUMBER(C895)),N(C895)&lt;=0),"Montant invalide",IF(A895&lt;INDEX(fa_date,MATCH(B895,fa_num,0)),"Date antérieure à la facture",IF(SUMIF($B$6:B895,B895,$C$6:C895)&gt;INDEX(fa_ttc,MATCH(B895,fa_num,0))-N(INDEX(fa_avoirs,MATCH(B895,fa_num,0)))+0.001,"Dépasse le montant de la facture","OK")))))))))</f>
        <v/>
      </c>
    </row>
    <row r="896">
      <c r="A896" s="61" t="n"/>
      <c r="B896" s="60" t="n"/>
      <c r="C896" s="68" t="n"/>
      <c r="D896" s="60" t="n"/>
      <c r="E896" s="63" t="n"/>
      <c r="F896" s="63" t="n"/>
      <c r="G896" s="62" t="str">
        <f>IF(B896="","",IFERROR(INDEX(fa_cname,MATCH(B896,fa_num,0))&amp;"",""))</f>
        <v/>
      </c>
      <c r="H896" s="59" t="str">
        <f>IF(COUNTA(A896:F896)=0,"",IF(A896="","Date manquante",IF(NOT(ISNUMBER(A896)),"Date invalide",IF(B896="","N° de facture manquant",IF(ISNA(MATCH(B896,fa_num,0)),"Facture inconnue",IF(INDEX(fa_type,MATCH(B896,fa_num,0))="Avoir","Paiement sur un avoir",IF(OR(NOT(ISNUMBER(C896)),N(C896)&lt;=0),"Montant invalide",IF(A896&lt;INDEX(fa_date,MATCH(B896,fa_num,0)),"Date antérieure à la facture",IF(SUMIF($B$6:B896,B896,$C$6:C896)&gt;INDEX(fa_ttc,MATCH(B896,fa_num,0))-N(INDEX(fa_avoirs,MATCH(B896,fa_num,0)))+0.001,"Dépasse le montant de la facture","OK")))))))))</f>
        <v/>
      </c>
    </row>
    <row r="897">
      <c r="A897" s="61" t="n"/>
      <c r="B897" s="60" t="n"/>
      <c r="C897" s="68" t="n"/>
      <c r="D897" s="60" t="n"/>
      <c r="E897" s="63" t="n"/>
      <c r="F897" s="63" t="n"/>
      <c r="G897" s="62" t="str">
        <f>IF(B897="","",IFERROR(INDEX(fa_cname,MATCH(B897,fa_num,0))&amp;"",""))</f>
        <v/>
      </c>
      <c r="H897" s="59" t="str">
        <f>IF(COUNTA(A897:F897)=0,"",IF(A897="","Date manquante",IF(NOT(ISNUMBER(A897)),"Date invalide",IF(B897="","N° de facture manquant",IF(ISNA(MATCH(B897,fa_num,0)),"Facture inconnue",IF(INDEX(fa_type,MATCH(B897,fa_num,0))="Avoir","Paiement sur un avoir",IF(OR(NOT(ISNUMBER(C897)),N(C897)&lt;=0),"Montant invalide",IF(A897&lt;INDEX(fa_date,MATCH(B897,fa_num,0)),"Date antérieure à la facture",IF(SUMIF($B$6:B897,B897,$C$6:C897)&gt;INDEX(fa_ttc,MATCH(B897,fa_num,0))-N(INDEX(fa_avoirs,MATCH(B897,fa_num,0)))+0.001,"Dépasse le montant de la facture","OK")))))))))</f>
        <v/>
      </c>
    </row>
    <row r="898">
      <c r="A898" s="61" t="n"/>
      <c r="B898" s="60" t="n"/>
      <c r="C898" s="68" t="n"/>
      <c r="D898" s="60" t="n"/>
      <c r="E898" s="63" t="n"/>
      <c r="F898" s="63" t="n"/>
      <c r="G898" s="62" t="str">
        <f>IF(B898="","",IFERROR(INDEX(fa_cname,MATCH(B898,fa_num,0))&amp;"",""))</f>
        <v/>
      </c>
      <c r="H898" s="59" t="str">
        <f>IF(COUNTA(A898:F898)=0,"",IF(A898="","Date manquante",IF(NOT(ISNUMBER(A898)),"Date invalide",IF(B898="","N° de facture manquant",IF(ISNA(MATCH(B898,fa_num,0)),"Facture inconnue",IF(INDEX(fa_type,MATCH(B898,fa_num,0))="Avoir","Paiement sur un avoir",IF(OR(NOT(ISNUMBER(C898)),N(C898)&lt;=0),"Montant invalide",IF(A898&lt;INDEX(fa_date,MATCH(B898,fa_num,0)),"Date antérieure à la facture",IF(SUMIF($B$6:B898,B898,$C$6:C898)&gt;INDEX(fa_ttc,MATCH(B898,fa_num,0))-N(INDEX(fa_avoirs,MATCH(B898,fa_num,0)))+0.001,"Dépasse le montant de la facture","OK")))))))))</f>
        <v/>
      </c>
    </row>
    <row r="899">
      <c r="A899" s="61" t="n"/>
      <c r="B899" s="60" t="n"/>
      <c r="C899" s="68" t="n"/>
      <c r="D899" s="60" t="n"/>
      <c r="E899" s="63" t="n"/>
      <c r="F899" s="63" t="n"/>
      <c r="G899" s="62" t="str">
        <f>IF(B899="","",IFERROR(INDEX(fa_cname,MATCH(B899,fa_num,0))&amp;"",""))</f>
        <v/>
      </c>
      <c r="H899" s="59" t="str">
        <f>IF(COUNTA(A899:F899)=0,"",IF(A899="","Date manquante",IF(NOT(ISNUMBER(A899)),"Date invalide",IF(B899="","N° de facture manquant",IF(ISNA(MATCH(B899,fa_num,0)),"Facture inconnue",IF(INDEX(fa_type,MATCH(B899,fa_num,0))="Avoir","Paiement sur un avoir",IF(OR(NOT(ISNUMBER(C899)),N(C899)&lt;=0),"Montant invalide",IF(A899&lt;INDEX(fa_date,MATCH(B899,fa_num,0)),"Date antérieure à la facture",IF(SUMIF($B$6:B899,B899,$C$6:C899)&gt;INDEX(fa_ttc,MATCH(B899,fa_num,0))-N(INDEX(fa_avoirs,MATCH(B899,fa_num,0)))+0.001,"Dépasse le montant de la facture","OK")))))))))</f>
        <v/>
      </c>
    </row>
    <row r="900">
      <c r="A900" s="61" t="n"/>
      <c r="B900" s="60" t="n"/>
      <c r="C900" s="68" t="n"/>
      <c r="D900" s="60" t="n"/>
      <c r="E900" s="63" t="n"/>
      <c r="F900" s="63" t="n"/>
      <c r="G900" s="62" t="str">
        <f>IF(B900="","",IFERROR(INDEX(fa_cname,MATCH(B900,fa_num,0))&amp;"",""))</f>
        <v/>
      </c>
      <c r="H900" s="59" t="str">
        <f>IF(COUNTA(A900:F900)=0,"",IF(A900="","Date manquante",IF(NOT(ISNUMBER(A900)),"Date invalide",IF(B900="","N° de facture manquant",IF(ISNA(MATCH(B900,fa_num,0)),"Facture inconnue",IF(INDEX(fa_type,MATCH(B900,fa_num,0))="Avoir","Paiement sur un avoir",IF(OR(NOT(ISNUMBER(C900)),N(C900)&lt;=0),"Montant invalide",IF(A900&lt;INDEX(fa_date,MATCH(B900,fa_num,0)),"Date antérieure à la facture",IF(SUMIF($B$6:B900,B900,$C$6:C900)&gt;INDEX(fa_ttc,MATCH(B900,fa_num,0))-N(INDEX(fa_avoirs,MATCH(B900,fa_num,0)))+0.001,"Dépasse le montant de la facture","OK")))))))))</f>
        <v/>
      </c>
    </row>
    <row r="901">
      <c r="A901" s="61" t="n"/>
      <c r="B901" s="60" t="n"/>
      <c r="C901" s="68" t="n"/>
      <c r="D901" s="60" t="n"/>
      <c r="E901" s="63" t="n"/>
      <c r="F901" s="63" t="n"/>
      <c r="G901" s="62" t="str">
        <f>IF(B901="","",IFERROR(INDEX(fa_cname,MATCH(B901,fa_num,0))&amp;"",""))</f>
        <v/>
      </c>
      <c r="H901" s="59" t="str">
        <f>IF(COUNTA(A901:F901)=0,"",IF(A901="","Date manquante",IF(NOT(ISNUMBER(A901)),"Date invalide",IF(B901="","N° de facture manquant",IF(ISNA(MATCH(B901,fa_num,0)),"Facture inconnue",IF(INDEX(fa_type,MATCH(B901,fa_num,0))="Avoir","Paiement sur un avoir",IF(OR(NOT(ISNUMBER(C901)),N(C901)&lt;=0),"Montant invalide",IF(A901&lt;INDEX(fa_date,MATCH(B901,fa_num,0)),"Date antérieure à la facture",IF(SUMIF($B$6:B901,B901,$C$6:C901)&gt;INDEX(fa_ttc,MATCH(B901,fa_num,0))-N(INDEX(fa_avoirs,MATCH(B901,fa_num,0)))+0.001,"Dépasse le montant de la facture","OK")))))))))</f>
        <v/>
      </c>
    </row>
    <row r="902">
      <c r="A902" s="61" t="n"/>
      <c r="B902" s="60" t="n"/>
      <c r="C902" s="68" t="n"/>
      <c r="D902" s="60" t="n"/>
      <c r="E902" s="63" t="n"/>
      <c r="F902" s="63" t="n"/>
      <c r="G902" s="62" t="str">
        <f>IF(B902="","",IFERROR(INDEX(fa_cname,MATCH(B902,fa_num,0))&amp;"",""))</f>
        <v/>
      </c>
      <c r="H902" s="59" t="str">
        <f>IF(COUNTA(A902:F902)=0,"",IF(A902="","Date manquante",IF(NOT(ISNUMBER(A902)),"Date invalide",IF(B902="","N° de facture manquant",IF(ISNA(MATCH(B902,fa_num,0)),"Facture inconnue",IF(INDEX(fa_type,MATCH(B902,fa_num,0))="Avoir","Paiement sur un avoir",IF(OR(NOT(ISNUMBER(C902)),N(C902)&lt;=0),"Montant invalide",IF(A902&lt;INDEX(fa_date,MATCH(B902,fa_num,0)),"Date antérieure à la facture",IF(SUMIF($B$6:B902,B902,$C$6:C902)&gt;INDEX(fa_ttc,MATCH(B902,fa_num,0))-N(INDEX(fa_avoirs,MATCH(B902,fa_num,0)))+0.001,"Dépasse le montant de la facture","OK")))))))))</f>
        <v/>
      </c>
    </row>
    <row r="903">
      <c r="A903" s="61" t="n"/>
      <c r="B903" s="60" t="n"/>
      <c r="C903" s="68" t="n"/>
      <c r="D903" s="60" t="n"/>
      <c r="E903" s="63" t="n"/>
      <c r="F903" s="63" t="n"/>
      <c r="G903" s="62" t="str">
        <f>IF(B903="","",IFERROR(INDEX(fa_cname,MATCH(B903,fa_num,0))&amp;"",""))</f>
        <v/>
      </c>
      <c r="H903" s="59" t="str">
        <f>IF(COUNTA(A903:F903)=0,"",IF(A903="","Date manquante",IF(NOT(ISNUMBER(A903)),"Date invalide",IF(B903="","N° de facture manquant",IF(ISNA(MATCH(B903,fa_num,0)),"Facture inconnue",IF(INDEX(fa_type,MATCH(B903,fa_num,0))="Avoir","Paiement sur un avoir",IF(OR(NOT(ISNUMBER(C903)),N(C903)&lt;=0),"Montant invalide",IF(A903&lt;INDEX(fa_date,MATCH(B903,fa_num,0)),"Date antérieure à la facture",IF(SUMIF($B$6:B903,B903,$C$6:C903)&gt;INDEX(fa_ttc,MATCH(B903,fa_num,0))-N(INDEX(fa_avoirs,MATCH(B903,fa_num,0)))+0.001,"Dépasse le montant de la facture","OK")))))))))</f>
        <v/>
      </c>
    </row>
    <row r="904">
      <c r="A904" s="61" t="n"/>
      <c r="B904" s="60" t="n"/>
      <c r="C904" s="68" t="n"/>
      <c r="D904" s="60" t="n"/>
      <c r="E904" s="63" t="n"/>
      <c r="F904" s="63" t="n"/>
      <c r="G904" s="62" t="str">
        <f>IF(B904="","",IFERROR(INDEX(fa_cname,MATCH(B904,fa_num,0))&amp;"",""))</f>
        <v/>
      </c>
      <c r="H904" s="59" t="str">
        <f>IF(COUNTA(A904:F904)=0,"",IF(A904="","Date manquante",IF(NOT(ISNUMBER(A904)),"Date invalide",IF(B904="","N° de facture manquant",IF(ISNA(MATCH(B904,fa_num,0)),"Facture inconnue",IF(INDEX(fa_type,MATCH(B904,fa_num,0))="Avoir","Paiement sur un avoir",IF(OR(NOT(ISNUMBER(C904)),N(C904)&lt;=0),"Montant invalide",IF(A904&lt;INDEX(fa_date,MATCH(B904,fa_num,0)),"Date antérieure à la facture",IF(SUMIF($B$6:B904,B904,$C$6:C904)&gt;INDEX(fa_ttc,MATCH(B904,fa_num,0))-N(INDEX(fa_avoirs,MATCH(B904,fa_num,0)))+0.001,"Dépasse le montant de la facture","OK")))))))))</f>
        <v/>
      </c>
    </row>
    <row r="905">
      <c r="A905" s="61" t="n"/>
      <c r="B905" s="60" t="n"/>
      <c r="C905" s="68" t="n"/>
      <c r="D905" s="60" t="n"/>
      <c r="E905" s="63" t="n"/>
      <c r="F905" s="63" t="n"/>
      <c r="G905" s="62" t="str">
        <f>IF(B905="","",IFERROR(INDEX(fa_cname,MATCH(B905,fa_num,0))&amp;"",""))</f>
        <v/>
      </c>
      <c r="H905" s="59" t="str">
        <f>IF(COUNTA(A905:F905)=0,"",IF(A905="","Date manquante",IF(NOT(ISNUMBER(A905)),"Date invalide",IF(B905="","N° de facture manquant",IF(ISNA(MATCH(B905,fa_num,0)),"Facture inconnue",IF(INDEX(fa_type,MATCH(B905,fa_num,0))="Avoir","Paiement sur un avoir",IF(OR(NOT(ISNUMBER(C905)),N(C905)&lt;=0),"Montant invalide",IF(A905&lt;INDEX(fa_date,MATCH(B905,fa_num,0)),"Date antérieure à la facture",IF(SUMIF($B$6:B905,B905,$C$6:C905)&gt;INDEX(fa_ttc,MATCH(B905,fa_num,0))-N(INDEX(fa_avoirs,MATCH(B905,fa_num,0)))+0.001,"Dépasse le montant de la facture","OK")))))))))</f>
        <v/>
      </c>
    </row>
    <row r="906">
      <c r="A906" s="61" t="n"/>
      <c r="B906" s="60" t="n"/>
      <c r="C906" s="68" t="n"/>
      <c r="D906" s="60" t="n"/>
      <c r="E906" s="63" t="n"/>
      <c r="F906" s="63" t="n"/>
      <c r="G906" s="62" t="str">
        <f>IF(B906="","",IFERROR(INDEX(fa_cname,MATCH(B906,fa_num,0))&amp;"",""))</f>
        <v/>
      </c>
      <c r="H906" s="59" t="str">
        <f>IF(COUNTA(A906:F906)=0,"",IF(A906="","Date manquante",IF(NOT(ISNUMBER(A906)),"Date invalide",IF(B906="","N° de facture manquant",IF(ISNA(MATCH(B906,fa_num,0)),"Facture inconnue",IF(INDEX(fa_type,MATCH(B906,fa_num,0))="Avoir","Paiement sur un avoir",IF(OR(NOT(ISNUMBER(C906)),N(C906)&lt;=0),"Montant invalide",IF(A906&lt;INDEX(fa_date,MATCH(B906,fa_num,0)),"Date antérieure à la facture",IF(SUMIF($B$6:B906,B906,$C$6:C906)&gt;INDEX(fa_ttc,MATCH(B906,fa_num,0))-N(INDEX(fa_avoirs,MATCH(B906,fa_num,0)))+0.001,"Dépasse le montant de la facture","OK")))))))))</f>
        <v/>
      </c>
    </row>
    <row r="907">
      <c r="A907" s="61" t="n"/>
      <c r="B907" s="60" t="n"/>
      <c r="C907" s="68" t="n"/>
      <c r="D907" s="60" t="n"/>
      <c r="E907" s="63" t="n"/>
      <c r="F907" s="63" t="n"/>
      <c r="G907" s="62" t="str">
        <f>IF(B907="","",IFERROR(INDEX(fa_cname,MATCH(B907,fa_num,0))&amp;"",""))</f>
        <v/>
      </c>
      <c r="H907" s="59" t="str">
        <f>IF(COUNTA(A907:F907)=0,"",IF(A907="","Date manquante",IF(NOT(ISNUMBER(A907)),"Date invalide",IF(B907="","N° de facture manquant",IF(ISNA(MATCH(B907,fa_num,0)),"Facture inconnue",IF(INDEX(fa_type,MATCH(B907,fa_num,0))="Avoir","Paiement sur un avoir",IF(OR(NOT(ISNUMBER(C907)),N(C907)&lt;=0),"Montant invalide",IF(A907&lt;INDEX(fa_date,MATCH(B907,fa_num,0)),"Date antérieure à la facture",IF(SUMIF($B$6:B907,B907,$C$6:C907)&gt;INDEX(fa_ttc,MATCH(B907,fa_num,0))-N(INDEX(fa_avoirs,MATCH(B907,fa_num,0)))+0.001,"Dépasse le montant de la facture","OK")))))))))</f>
        <v/>
      </c>
    </row>
    <row r="908">
      <c r="A908" s="61" t="n"/>
      <c r="B908" s="60" t="n"/>
      <c r="C908" s="68" t="n"/>
      <c r="D908" s="60" t="n"/>
      <c r="E908" s="63" t="n"/>
      <c r="F908" s="63" t="n"/>
      <c r="G908" s="62" t="str">
        <f>IF(B908="","",IFERROR(INDEX(fa_cname,MATCH(B908,fa_num,0))&amp;"",""))</f>
        <v/>
      </c>
      <c r="H908" s="59" t="str">
        <f>IF(COUNTA(A908:F908)=0,"",IF(A908="","Date manquante",IF(NOT(ISNUMBER(A908)),"Date invalide",IF(B908="","N° de facture manquant",IF(ISNA(MATCH(B908,fa_num,0)),"Facture inconnue",IF(INDEX(fa_type,MATCH(B908,fa_num,0))="Avoir","Paiement sur un avoir",IF(OR(NOT(ISNUMBER(C908)),N(C908)&lt;=0),"Montant invalide",IF(A908&lt;INDEX(fa_date,MATCH(B908,fa_num,0)),"Date antérieure à la facture",IF(SUMIF($B$6:B908,B908,$C$6:C908)&gt;INDEX(fa_ttc,MATCH(B908,fa_num,0))-N(INDEX(fa_avoirs,MATCH(B908,fa_num,0)))+0.001,"Dépasse le montant de la facture","OK")))))))))</f>
        <v/>
      </c>
    </row>
    <row r="909">
      <c r="A909" s="61" t="n"/>
      <c r="B909" s="60" t="n"/>
      <c r="C909" s="68" t="n"/>
      <c r="D909" s="60" t="n"/>
      <c r="E909" s="63" t="n"/>
      <c r="F909" s="63" t="n"/>
      <c r="G909" s="62" t="str">
        <f>IF(B909="","",IFERROR(INDEX(fa_cname,MATCH(B909,fa_num,0))&amp;"",""))</f>
        <v/>
      </c>
      <c r="H909" s="59" t="str">
        <f>IF(COUNTA(A909:F909)=0,"",IF(A909="","Date manquante",IF(NOT(ISNUMBER(A909)),"Date invalide",IF(B909="","N° de facture manquant",IF(ISNA(MATCH(B909,fa_num,0)),"Facture inconnue",IF(INDEX(fa_type,MATCH(B909,fa_num,0))="Avoir","Paiement sur un avoir",IF(OR(NOT(ISNUMBER(C909)),N(C909)&lt;=0),"Montant invalide",IF(A909&lt;INDEX(fa_date,MATCH(B909,fa_num,0)),"Date antérieure à la facture",IF(SUMIF($B$6:B909,B909,$C$6:C909)&gt;INDEX(fa_ttc,MATCH(B909,fa_num,0))-N(INDEX(fa_avoirs,MATCH(B909,fa_num,0)))+0.001,"Dépasse le montant de la facture","OK")))))))))</f>
        <v/>
      </c>
    </row>
    <row r="910">
      <c r="A910" s="61" t="n"/>
      <c r="B910" s="60" t="n"/>
      <c r="C910" s="68" t="n"/>
      <c r="D910" s="60" t="n"/>
      <c r="E910" s="63" t="n"/>
      <c r="F910" s="63" t="n"/>
      <c r="G910" s="62" t="str">
        <f>IF(B910="","",IFERROR(INDEX(fa_cname,MATCH(B910,fa_num,0))&amp;"",""))</f>
        <v/>
      </c>
      <c r="H910" s="59" t="str">
        <f>IF(COUNTA(A910:F910)=0,"",IF(A910="","Date manquante",IF(NOT(ISNUMBER(A910)),"Date invalide",IF(B910="","N° de facture manquant",IF(ISNA(MATCH(B910,fa_num,0)),"Facture inconnue",IF(INDEX(fa_type,MATCH(B910,fa_num,0))="Avoir","Paiement sur un avoir",IF(OR(NOT(ISNUMBER(C910)),N(C910)&lt;=0),"Montant invalide",IF(A910&lt;INDEX(fa_date,MATCH(B910,fa_num,0)),"Date antérieure à la facture",IF(SUMIF($B$6:B910,B910,$C$6:C910)&gt;INDEX(fa_ttc,MATCH(B910,fa_num,0))-N(INDEX(fa_avoirs,MATCH(B910,fa_num,0)))+0.001,"Dépasse le montant de la facture","OK")))))))))</f>
        <v/>
      </c>
    </row>
    <row r="911">
      <c r="A911" s="61" t="n"/>
      <c r="B911" s="60" t="n"/>
      <c r="C911" s="68" t="n"/>
      <c r="D911" s="60" t="n"/>
      <c r="E911" s="63" t="n"/>
      <c r="F911" s="63" t="n"/>
      <c r="G911" s="62" t="str">
        <f>IF(B911="","",IFERROR(INDEX(fa_cname,MATCH(B911,fa_num,0))&amp;"",""))</f>
        <v/>
      </c>
      <c r="H911" s="59" t="str">
        <f>IF(COUNTA(A911:F911)=0,"",IF(A911="","Date manquante",IF(NOT(ISNUMBER(A911)),"Date invalide",IF(B911="","N° de facture manquant",IF(ISNA(MATCH(B911,fa_num,0)),"Facture inconnue",IF(INDEX(fa_type,MATCH(B911,fa_num,0))="Avoir","Paiement sur un avoir",IF(OR(NOT(ISNUMBER(C911)),N(C911)&lt;=0),"Montant invalide",IF(A911&lt;INDEX(fa_date,MATCH(B911,fa_num,0)),"Date antérieure à la facture",IF(SUMIF($B$6:B911,B911,$C$6:C911)&gt;INDEX(fa_ttc,MATCH(B911,fa_num,0))-N(INDEX(fa_avoirs,MATCH(B911,fa_num,0)))+0.001,"Dépasse le montant de la facture","OK")))))))))</f>
        <v/>
      </c>
    </row>
    <row r="912">
      <c r="A912" s="61" t="n"/>
      <c r="B912" s="60" t="n"/>
      <c r="C912" s="68" t="n"/>
      <c r="D912" s="60" t="n"/>
      <c r="E912" s="63" t="n"/>
      <c r="F912" s="63" t="n"/>
      <c r="G912" s="62" t="str">
        <f>IF(B912="","",IFERROR(INDEX(fa_cname,MATCH(B912,fa_num,0))&amp;"",""))</f>
        <v/>
      </c>
      <c r="H912" s="59" t="str">
        <f>IF(COUNTA(A912:F912)=0,"",IF(A912="","Date manquante",IF(NOT(ISNUMBER(A912)),"Date invalide",IF(B912="","N° de facture manquant",IF(ISNA(MATCH(B912,fa_num,0)),"Facture inconnue",IF(INDEX(fa_type,MATCH(B912,fa_num,0))="Avoir","Paiement sur un avoir",IF(OR(NOT(ISNUMBER(C912)),N(C912)&lt;=0),"Montant invalide",IF(A912&lt;INDEX(fa_date,MATCH(B912,fa_num,0)),"Date antérieure à la facture",IF(SUMIF($B$6:B912,B912,$C$6:C912)&gt;INDEX(fa_ttc,MATCH(B912,fa_num,0))-N(INDEX(fa_avoirs,MATCH(B912,fa_num,0)))+0.001,"Dépasse le montant de la facture","OK")))))))))</f>
        <v/>
      </c>
    </row>
    <row r="913">
      <c r="A913" s="61" t="n"/>
      <c r="B913" s="60" t="n"/>
      <c r="C913" s="68" t="n"/>
      <c r="D913" s="60" t="n"/>
      <c r="E913" s="63" t="n"/>
      <c r="F913" s="63" t="n"/>
      <c r="G913" s="62" t="str">
        <f>IF(B913="","",IFERROR(INDEX(fa_cname,MATCH(B913,fa_num,0))&amp;"",""))</f>
        <v/>
      </c>
      <c r="H913" s="59" t="str">
        <f>IF(COUNTA(A913:F913)=0,"",IF(A913="","Date manquante",IF(NOT(ISNUMBER(A913)),"Date invalide",IF(B913="","N° de facture manquant",IF(ISNA(MATCH(B913,fa_num,0)),"Facture inconnue",IF(INDEX(fa_type,MATCH(B913,fa_num,0))="Avoir","Paiement sur un avoir",IF(OR(NOT(ISNUMBER(C913)),N(C913)&lt;=0),"Montant invalide",IF(A913&lt;INDEX(fa_date,MATCH(B913,fa_num,0)),"Date antérieure à la facture",IF(SUMIF($B$6:B913,B913,$C$6:C913)&gt;INDEX(fa_ttc,MATCH(B913,fa_num,0))-N(INDEX(fa_avoirs,MATCH(B913,fa_num,0)))+0.001,"Dépasse le montant de la facture","OK")))))))))</f>
        <v/>
      </c>
    </row>
    <row r="914">
      <c r="A914" s="61" t="n"/>
      <c r="B914" s="60" t="n"/>
      <c r="C914" s="68" t="n"/>
      <c r="D914" s="60" t="n"/>
      <c r="E914" s="63" t="n"/>
      <c r="F914" s="63" t="n"/>
      <c r="G914" s="62" t="str">
        <f>IF(B914="","",IFERROR(INDEX(fa_cname,MATCH(B914,fa_num,0))&amp;"",""))</f>
        <v/>
      </c>
      <c r="H914" s="59" t="str">
        <f>IF(COUNTA(A914:F914)=0,"",IF(A914="","Date manquante",IF(NOT(ISNUMBER(A914)),"Date invalide",IF(B914="","N° de facture manquant",IF(ISNA(MATCH(B914,fa_num,0)),"Facture inconnue",IF(INDEX(fa_type,MATCH(B914,fa_num,0))="Avoir","Paiement sur un avoir",IF(OR(NOT(ISNUMBER(C914)),N(C914)&lt;=0),"Montant invalide",IF(A914&lt;INDEX(fa_date,MATCH(B914,fa_num,0)),"Date antérieure à la facture",IF(SUMIF($B$6:B914,B914,$C$6:C914)&gt;INDEX(fa_ttc,MATCH(B914,fa_num,0))-N(INDEX(fa_avoirs,MATCH(B914,fa_num,0)))+0.001,"Dépasse le montant de la facture","OK")))))))))</f>
        <v/>
      </c>
    </row>
    <row r="915">
      <c r="A915" s="61" t="n"/>
      <c r="B915" s="60" t="n"/>
      <c r="C915" s="68" t="n"/>
      <c r="D915" s="60" t="n"/>
      <c r="E915" s="63" t="n"/>
      <c r="F915" s="63" t="n"/>
      <c r="G915" s="62" t="str">
        <f>IF(B915="","",IFERROR(INDEX(fa_cname,MATCH(B915,fa_num,0))&amp;"",""))</f>
        <v/>
      </c>
      <c r="H915" s="59" t="str">
        <f>IF(COUNTA(A915:F915)=0,"",IF(A915="","Date manquante",IF(NOT(ISNUMBER(A915)),"Date invalide",IF(B915="","N° de facture manquant",IF(ISNA(MATCH(B915,fa_num,0)),"Facture inconnue",IF(INDEX(fa_type,MATCH(B915,fa_num,0))="Avoir","Paiement sur un avoir",IF(OR(NOT(ISNUMBER(C915)),N(C915)&lt;=0),"Montant invalide",IF(A915&lt;INDEX(fa_date,MATCH(B915,fa_num,0)),"Date antérieure à la facture",IF(SUMIF($B$6:B915,B915,$C$6:C915)&gt;INDEX(fa_ttc,MATCH(B915,fa_num,0))-N(INDEX(fa_avoirs,MATCH(B915,fa_num,0)))+0.001,"Dépasse le montant de la facture","OK")))))))))</f>
        <v/>
      </c>
    </row>
    <row r="916">
      <c r="A916" s="61" t="n"/>
      <c r="B916" s="60" t="n"/>
      <c r="C916" s="68" t="n"/>
      <c r="D916" s="60" t="n"/>
      <c r="E916" s="63" t="n"/>
      <c r="F916" s="63" t="n"/>
      <c r="G916" s="62" t="str">
        <f>IF(B916="","",IFERROR(INDEX(fa_cname,MATCH(B916,fa_num,0))&amp;"",""))</f>
        <v/>
      </c>
      <c r="H916" s="59" t="str">
        <f>IF(COUNTA(A916:F916)=0,"",IF(A916="","Date manquante",IF(NOT(ISNUMBER(A916)),"Date invalide",IF(B916="","N° de facture manquant",IF(ISNA(MATCH(B916,fa_num,0)),"Facture inconnue",IF(INDEX(fa_type,MATCH(B916,fa_num,0))="Avoir","Paiement sur un avoir",IF(OR(NOT(ISNUMBER(C916)),N(C916)&lt;=0),"Montant invalide",IF(A916&lt;INDEX(fa_date,MATCH(B916,fa_num,0)),"Date antérieure à la facture",IF(SUMIF($B$6:B916,B916,$C$6:C916)&gt;INDEX(fa_ttc,MATCH(B916,fa_num,0))-N(INDEX(fa_avoirs,MATCH(B916,fa_num,0)))+0.001,"Dépasse le montant de la facture","OK")))))))))</f>
        <v/>
      </c>
    </row>
    <row r="917">
      <c r="A917" s="61" t="n"/>
      <c r="B917" s="60" t="n"/>
      <c r="C917" s="68" t="n"/>
      <c r="D917" s="60" t="n"/>
      <c r="E917" s="63" t="n"/>
      <c r="F917" s="63" t="n"/>
      <c r="G917" s="62" t="str">
        <f>IF(B917="","",IFERROR(INDEX(fa_cname,MATCH(B917,fa_num,0))&amp;"",""))</f>
        <v/>
      </c>
      <c r="H917" s="59" t="str">
        <f>IF(COUNTA(A917:F917)=0,"",IF(A917="","Date manquante",IF(NOT(ISNUMBER(A917)),"Date invalide",IF(B917="","N° de facture manquant",IF(ISNA(MATCH(B917,fa_num,0)),"Facture inconnue",IF(INDEX(fa_type,MATCH(B917,fa_num,0))="Avoir","Paiement sur un avoir",IF(OR(NOT(ISNUMBER(C917)),N(C917)&lt;=0),"Montant invalide",IF(A917&lt;INDEX(fa_date,MATCH(B917,fa_num,0)),"Date antérieure à la facture",IF(SUMIF($B$6:B917,B917,$C$6:C917)&gt;INDEX(fa_ttc,MATCH(B917,fa_num,0))-N(INDEX(fa_avoirs,MATCH(B917,fa_num,0)))+0.001,"Dépasse le montant de la facture","OK")))))))))</f>
        <v/>
      </c>
    </row>
    <row r="918">
      <c r="A918" s="61" t="n"/>
      <c r="B918" s="60" t="n"/>
      <c r="C918" s="68" t="n"/>
      <c r="D918" s="60" t="n"/>
      <c r="E918" s="63" t="n"/>
      <c r="F918" s="63" t="n"/>
      <c r="G918" s="62" t="str">
        <f>IF(B918="","",IFERROR(INDEX(fa_cname,MATCH(B918,fa_num,0))&amp;"",""))</f>
        <v/>
      </c>
      <c r="H918" s="59" t="str">
        <f>IF(COUNTA(A918:F918)=0,"",IF(A918="","Date manquante",IF(NOT(ISNUMBER(A918)),"Date invalide",IF(B918="","N° de facture manquant",IF(ISNA(MATCH(B918,fa_num,0)),"Facture inconnue",IF(INDEX(fa_type,MATCH(B918,fa_num,0))="Avoir","Paiement sur un avoir",IF(OR(NOT(ISNUMBER(C918)),N(C918)&lt;=0),"Montant invalide",IF(A918&lt;INDEX(fa_date,MATCH(B918,fa_num,0)),"Date antérieure à la facture",IF(SUMIF($B$6:B918,B918,$C$6:C918)&gt;INDEX(fa_ttc,MATCH(B918,fa_num,0))-N(INDEX(fa_avoirs,MATCH(B918,fa_num,0)))+0.001,"Dépasse le montant de la facture","OK")))))))))</f>
        <v/>
      </c>
    </row>
    <row r="919">
      <c r="A919" s="61" t="n"/>
      <c r="B919" s="60" t="n"/>
      <c r="C919" s="68" t="n"/>
      <c r="D919" s="60" t="n"/>
      <c r="E919" s="63" t="n"/>
      <c r="F919" s="63" t="n"/>
      <c r="G919" s="62" t="str">
        <f>IF(B919="","",IFERROR(INDEX(fa_cname,MATCH(B919,fa_num,0))&amp;"",""))</f>
        <v/>
      </c>
      <c r="H919" s="59" t="str">
        <f>IF(COUNTA(A919:F919)=0,"",IF(A919="","Date manquante",IF(NOT(ISNUMBER(A919)),"Date invalide",IF(B919="","N° de facture manquant",IF(ISNA(MATCH(B919,fa_num,0)),"Facture inconnue",IF(INDEX(fa_type,MATCH(B919,fa_num,0))="Avoir","Paiement sur un avoir",IF(OR(NOT(ISNUMBER(C919)),N(C919)&lt;=0),"Montant invalide",IF(A919&lt;INDEX(fa_date,MATCH(B919,fa_num,0)),"Date antérieure à la facture",IF(SUMIF($B$6:B919,B919,$C$6:C919)&gt;INDEX(fa_ttc,MATCH(B919,fa_num,0))-N(INDEX(fa_avoirs,MATCH(B919,fa_num,0)))+0.001,"Dépasse le montant de la facture","OK")))))))))</f>
        <v/>
      </c>
    </row>
    <row r="920">
      <c r="A920" s="61" t="n"/>
      <c r="B920" s="60" t="n"/>
      <c r="C920" s="68" t="n"/>
      <c r="D920" s="60" t="n"/>
      <c r="E920" s="63" t="n"/>
      <c r="F920" s="63" t="n"/>
      <c r="G920" s="62" t="str">
        <f>IF(B920="","",IFERROR(INDEX(fa_cname,MATCH(B920,fa_num,0))&amp;"",""))</f>
        <v/>
      </c>
      <c r="H920" s="59" t="str">
        <f>IF(COUNTA(A920:F920)=0,"",IF(A920="","Date manquante",IF(NOT(ISNUMBER(A920)),"Date invalide",IF(B920="","N° de facture manquant",IF(ISNA(MATCH(B920,fa_num,0)),"Facture inconnue",IF(INDEX(fa_type,MATCH(B920,fa_num,0))="Avoir","Paiement sur un avoir",IF(OR(NOT(ISNUMBER(C920)),N(C920)&lt;=0),"Montant invalide",IF(A920&lt;INDEX(fa_date,MATCH(B920,fa_num,0)),"Date antérieure à la facture",IF(SUMIF($B$6:B920,B920,$C$6:C920)&gt;INDEX(fa_ttc,MATCH(B920,fa_num,0))-N(INDEX(fa_avoirs,MATCH(B920,fa_num,0)))+0.001,"Dépasse le montant de la facture","OK")))))))))</f>
        <v/>
      </c>
    </row>
    <row r="921">
      <c r="A921" s="61" t="n"/>
      <c r="B921" s="60" t="n"/>
      <c r="C921" s="68" t="n"/>
      <c r="D921" s="60" t="n"/>
      <c r="E921" s="63" t="n"/>
      <c r="F921" s="63" t="n"/>
      <c r="G921" s="62" t="str">
        <f>IF(B921="","",IFERROR(INDEX(fa_cname,MATCH(B921,fa_num,0))&amp;"",""))</f>
        <v/>
      </c>
      <c r="H921" s="59" t="str">
        <f>IF(COUNTA(A921:F921)=0,"",IF(A921="","Date manquante",IF(NOT(ISNUMBER(A921)),"Date invalide",IF(B921="","N° de facture manquant",IF(ISNA(MATCH(B921,fa_num,0)),"Facture inconnue",IF(INDEX(fa_type,MATCH(B921,fa_num,0))="Avoir","Paiement sur un avoir",IF(OR(NOT(ISNUMBER(C921)),N(C921)&lt;=0),"Montant invalide",IF(A921&lt;INDEX(fa_date,MATCH(B921,fa_num,0)),"Date antérieure à la facture",IF(SUMIF($B$6:B921,B921,$C$6:C921)&gt;INDEX(fa_ttc,MATCH(B921,fa_num,0))-N(INDEX(fa_avoirs,MATCH(B921,fa_num,0)))+0.001,"Dépasse le montant de la facture","OK")))))))))</f>
        <v/>
      </c>
    </row>
    <row r="922">
      <c r="A922" s="61" t="n"/>
      <c r="B922" s="60" t="n"/>
      <c r="C922" s="68" t="n"/>
      <c r="D922" s="60" t="n"/>
      <c r="E922" s="63" t="n"/>
      <c r="F922" s="63" t="n"/>
      <c r="G922" s="62" t="str">
        <f>IF(B922="","",IFERROR(INDEX(fa_cname,MATCH(B922,fa_num,0))&amp;"",""))</f>
        <v/>
      </c>
      <c r="H922" s="59" t="str">
        <f>IF(COUNTA(A922:F922)=0,"",IF(A922="","Date manquante",IF(NOT(ISNUMBER(A922)),"Date invalide",IF(B922="","N° de facture manquant",IF(ISNA(MATCH(B922,fa_num,0)),"Facture inconnue",IF(INDEX(fa_type,MATCH(B922,fa_num,0))="Avoir","Paiement sur un avoir",IF(OR(NOT(ISNUMBER(C922)),N(C922)&lt;=0),"Montant invalide",IF(A922&lt;INDEX(fa_date,MATCH(B922,fa_num,0)),"Date antérieure à la facture",IF(SUMIF($B$6:B922,B922,$C$6:C922)&gt;INDEX(fa_ttc,MATCH(B922,fa_num,0))-N(INDEX(fa_avoirs,MATCH(B922,fa_num,0)))+0.001,"Dépasse le montant de la facture","OK")))))))))</f>
        <v/>
      </c>
    </row>
    <row r="923">
      <c r="A923" s="61" t="n"/>
      <c r="B923" s="60" t="n"/>
      <c r="C923" s="68" t="n"/>
      <c r="D923" s="60" t="n"/>
      <c r="E923" s="63" t="n"/>
      <c r="F923" s="63" t="n"/>
      <c r="G923" s="62" t="str">
        <f>IF(B923="","",IFERROR(INDEX(fa_cname,MATCH(B923,fa_num,0))&amp;"",""))</f>
        <v/>
      </c>
      <c r="H923" s="59" t="str">
        <f>IF(COUNTA(A923:F923)=0,"",IF(A923="","Date manquante",IF(NOT(ISNUMBER(A923)),"Date invalide",IF(B923="","N° de facture manquant",IF(ISNA(MATCH(B923,fa_num,0)),"Facture inconnue",IF(INDEX(fa_type,MATCH(B923,fa_num,0))="Avoir","Paiement sur un avoir",IF(OR(NOT(ISNUMBER(C923)),N(C923)&lt;=0),"Montant invalide",IF(A923&lt;INDEX(fa_date,MATCH(B923,fa_num,0)),"Date antérieure à la facture",IF(SUMIF($B$6:B923,B923,$C$6:C923)&gt;INDEX(fa_ttc,MATCH(B923,fa_num,0))-N(INDEX(fa_avoirs,MATCH(B923,fa_num,0)))+0.001,"Dépasse le montant de la facture","OK")))))))))</f>
        <v/>
      </c>
    </row>
    <row r="924">
      <c r="A924" s="61" t="n"/>
      <c r="B924" s="60" t="n"/>
      <c r="C924" s="68" t="n"/>
      <c r="D924" s="60" t="n"/>
      <c r="E924" s="63" t="n"/>
      <c r="F924" s="63" t="n"/>
      <c r="G924" s="62" t="str">
        <f>IF(B924="","",IFERROR(INDEX(fa_cname,MATCH(B924,fa_num,0))&amp;"",""))</f>
        <v/>
      </c>
      <c r="H924" s="59" t="str">
        <f>IF(COUNTA(A924:F924)=0,"",IF(A924="","Date manquante",IF(NOT(ISNUMBER(A924)),"Date invalide",IF(B924="","N° de facture manquant",IF(ISNA(MATCH(B924,fa_num,0)),"Facture inconnue",IF(INDEX(fa_type,MATCH(B924,fa_num,0))="Avoir","Paiement sur un avoir",IF(OR(NOT(ISNUMBER(C924)),N(C924)&lt;=0),"Montant invalide",IF(A924&lt;INDEX(fa_date,MATCH(B924,fa_num,0)),"Date antérieure à la facture",IF(SUMIF($B$6:B924,B924,$C$6:C924)&gt;INDEX(fa_ttc,MATCH(B924,fa_num,0))-N(INDEX(fa_avoirs,MATCH(B924,fa_num,0)))+0.001,"Dépasse le montant de la facture","OK")))))))))</f>
        <v/>
      </c>
    </row>
    <row r="925">
      <c r="A925" s="61" t="n"/>
      <c r="B925" s="60" t="n"/>
      <c r="C925" s="68" t="n"/>
      <c r="D925" s="60" t="n"/>
      <c r="E925" s="63" t="n"/>
      <c r="F925" s="63" t="n"/>
      <c r="G925" s="62" t="str">
        <f>IF(B925="","",IFERROR(INDEX(fa_cname,MATCH(B925,fa_num,0))&amp;"",""))</f>
        <v/>
      </c>
      <c r="H925" s="59" t="str">
        <f>IF(COUNTA(A925:F925)=0,"",IF(A925="","Date manquante",IF(NOT(ISNUMBER(A925)),"Date invalide",IF(B925="","N° de facture manquant",IF(ISNA(MATCH(B925,fa_num,0)),"Facture inconnue",IF(INDEX(fa_type,MATCH(B925,fa_num,0))="Avoir","Paiement sur un avoir",IF(OR(NOT(ISNUMBER(C925)),N(C925)&lt;=0),"Montant invalide",IF(A925&lt;INDEX(fa_date,MATCH(B925,fa_num,0)),"Date antérieure à la facture",IF(SUMIF($B$6:B925,B925,$C$6:C925)&gt;INDEX(fa_ttc,MATCH(B925,fa_num,0))-N(INDEX(fa_avoirs,MATCH(B925,fa_num,0)))+0.001,"Dépasse le montant de la facture","OK")))))))))</f>
        <v/>
      </c>
    </row>
    <row r="926">
      <c r="A926" s="61" t="n"/>
      <c r="B926" s="60" t="n"/>
      <c r="C926" s="68" t="n"/>
      <c r="D926" s="60" t="n"/>
      <c r="E926" s="63" t="n"/>
      <c r="F926" s="63" t="n"/>
      <c r="G926" s="62" t="str">
        <f>IF(B926="","",IFERROR(INDEX(fa_cname,MATCH(B926,fa_num,0))&amp;"",""))</f>
        <v/>
      </c>
      <c r="H926" s="59" t="str">
        <f>IF(COUNTA(A926:F926)=0,"",IF(A926="","Date manquante",IF(NOT(ISNUMBER(A926)),"Date invalide",IF(B926="","N° de facture manquant",IF(ISNA(MATCH(B926,fa_num,0)),"Facture inconnue",IF(INDEX(fa_type,MATCH(B926,fa_num,0))="Avoir","Paiement sur un avoir",IF(OR(NOT(ISNUMBER(C926)),N(C926)&lt;=0),"Montant invalide",IF(A926&lt;INDEX(fa_date,MATCH(B926,fa_num,0)),"Date antérieure à la facture",IF(SUMIF($B$6:B926,B926,$C$6:C926)&gt;INDEX(fa_ttc,MATCH(B926,fa_num,0))-N(INDEX(fa_avoirs,MATCH(B926,fa_num,0)))+0.001,"Dépasse le montant de la facture","OK")))))))))</f>
        <v/>
      </c>
    </row>
    <row r="927">
      <c r="A927" s="61" t="n"/>
      <c r="B927" s="60" t="n"/>
      <c r="C927" s="68" t="n"/>
      <c r="D927" s="60" t="n"/>
      <c r="E927" s="63" t="n"/>
      <c r="F927" s="63" t="n"/>
      <c r="G927" s="62" t="str">
        <f>IF(B927="","",IFERROR(INDEX(fa_cname,MATCH(B927,fa_num,0))&amp;"",""))</f>
        <v/>
      </c>
      <c r="H927" s="59" t="str">
        <f>IF(COUNTA(A927:F927)=0,"",IF(A927="","Date manquante",IF(NOT(ISNUMBER(A927)),"Date invalide",IF(B927="","N° de facture manquant",IF(ISNA(MATCH(B927,fa_num,0)),"Facture inconnue",IF(INDEX(fa_type,MATCH(B927,fa_num,0))="Avoir","Paiement sur un avoir",IF(OR(NOT(ISNUMBER(C927)),N(C927)&lt;=0),"Montant invalide",IF(A927&lt;INDEX(fa_date,MATCH(B927,fa_num,0)),"Date antérieure à la facture",IF(SUMIF($B$6:B927,B927,$C$6:C927)&gt;INDEX(fa_ttc,MATCH(B927,fa_num,0))-N(INDEX(fa_avoirs,MATCH(B927,fa_num,0)))+0.001,"Dépasse le montant de la facture","OK")))))))))</f>
        <v/>
      </c>
    </row>
    <row r="928">
      <c r="A928" s="61" t="n"/>
      <c r="B928" s="60" t="n"/>
      <c r="C928" s="68" t="n"/>
      <c r="D928" s="60" t="n"/>
      <c r="E928" s="63" t="n"/>
      <c r="F928" s="63" t="n"/>
      <c r="G928" s="62" t="str">
        <f>IF(B928="","",IFERROR(INDEX(fa_cname,MATCH(B928,fa_num,0))&amp;"",""))</f>
        <v/>
      </c>
      <c r="H928" s="59" t="str">
        <f>IF(COUNTA(A928:F928)=0,"",IF(A928="","Date manquante",IF(NOT(ISNUMBER(A928)),"Date invalide",IF(B928="","N° de facture manquant",IF(ISNA(MATCH(B928,fa_num,0)),"Facture inconnue",IF(INDEX(fa_type,MATCH(B928,fa_num,0))="Avoir","Paiement sur un avoir",IF(OR(NOT(ISNUMBER(C928)),N(C928)&lt;=0),"Montant invalide",IF(A928&lt;INDEX(fa_date,MATCH(B928,fa_num,0)),"Date antérieure à la facture",IF(SUMIF($B$6:B928,B928,$C$6:C928)&gt;INDEX(fa_ttc,MATCH(B928,fa_num,0))-N(INDEX(fa_avoirs,MATCH(B928,fa_num,0)))+0.001,"Dépasse le montant de la facture","OK")))))))))</f>
        <v/>
      </c>
    </row>
    <row r="929">
      <c r="A929" s="61" t="n"/>
      <c r="B929" s="60" t="n"/>
      <c r="C929" s="68" t="n"/>
      <c r="D929" s="60" t="n"/>
      <c r="E929" s="63" t="n"/>
      <c r="F929" s="63" t="n"/>
      <c r="G929" s="62" t="str">
        <f>IF(B929="","",IFERROR(INDEX(fa_cname,MATCH(B929,fa_num,0))&amp;"",""))</f>
        <v/>
      </c>
      <c r="H929" s="59" t="str">
        <f>IF(COUNTA(A929:F929)=0,"",IF(A929="","Date manquante",IF(NOT(ISNUMBER(A929)),"Date invalide",IF(B929="","N° de facture manquant",IF(ISNA(MATCH(B929,fa_num,0)),"Facture inconnue",IF(INDEX(fa_type,MATCH(B929,fa_num,0))="Avoir","Paiement sur un avoir",IF(OR(NOT(ISNUMBER(C929)),N(C929)&lt;=0),"Montant invalide",IF(A929&lt;INDEX(fa_date,MATCH(B929,fa_num,0)),"Date antérieure à la facture",IF(SUMIF($B$6:B929,B929,$C$6:C929)&gt;INDEX(fa_ttc,MATCH(B929,fa_num,0))-N(INDEX(fa_avoirs,MATCH(B929,fa_num,0)))+0.001,"Dépasse le montant de la facture","OK")))))))))</f>
        <v/>
      </c>
    </row>
    <row r="930">
      <c r="A930" s="61" t="n"/>
      <c r="B930" s="60" t="n"/>
      <c r="C930" s="68" t="n"/>
      <c r="D930" s="60" t="n"/>
      <c r="E930" s="63" t="n"/>
      <c r="F930" s="63" t="n"/>
      <c r="G930" s="62" t="str">
        <f>IF(B930="","",IFERROR(INDEX(fa_cname,MATCH(B930,fa_num,0))&amp;"",""))</f>
        <v/>
      </c>
      <c r="H930" s="59" t="str">
        <f>IF(COUNTA(A930:F930)=0,"",IF(A930="","Date manquante",IF(NOT(ISNUMBER(A930)),"Date invalide",IF(B930="","N° de facture manquant",IF(ISNA(MATCH(B930,fa_num,0)),"Facture inconnue",IF(INDEX(fa_type,MATCH(B930,fa_num,0))="Avoir","Paiement sur un avoir",IF(OR(NOT(ISNUMBER(C930)),N(C930)&lt;=0),"Montant invalide",IF(A930&lt;INDEX(fa_date,MATCH(B930,fa_num,0)),"Date antérieure à la facture",IF(SUMIF($B$6:B930,B930,$C$6:C930)&gt;INDEX(fa_ttc,MATCH(B930,fa_num,0))-N(INDEX(fa_avoirs,MATCH(B930,fa_num,0)))+0.001,"Dépasse le montant de la facture","OK")))))))))</f>
        <v/>
      </c>
    </row>
    <row r="931">
      <c r="A931" s="61" t="n"/>
      <c r="B931" s="60" t="n"/>
      <c r="C931" s="68" t="n"/>
      <c r="D931" s="60" t="n"/>
      <c r="E931" s="63" t="n"/>
      <c r="F931" s="63" t="n"/>
      <c r="G931" s="62" t="str">
        <f>IF(B931="","",IFERROR(INDEX(fa_cname,MATCH(B931,fa_num,0))&amp;"",""))</f>
        <v/>
      </c>
      <c r="H931" s="59" t="str">
        <f>IF(COUNTA(A931:F931)=0,"",IF(A931="","Date manquante",IF(NOT(ISNUMBER(A931)),"Date invalide",IF(B931="","N° de facture manquant",IF(ISNA(MATCH(B931,fa_num,0)),"Facture inconnue",IF(INDEX(fa_type,MATCH(B931,fa_num,0))="Avoir","Paiement sur un avoir",IF(OR(NOT(ISNUMBER(C931)),N(C931)&lt;=0),"Montant invalide",IF(A931&lt;INDEX(fa_date,MATCH(B931,fa_num,0)),"Date antérieure à la facture",IF(SUMIF($B$6:B931,B931,$C$6:C931)&gt;INDEX(fa_ttc,MATCH(B931,fa_num,0))-N(INDEX(fa_avoirs,MATCH(B931,fa_num,0)))+0.001,"Dépasse le montant de la facture","OK")))))))))</f>
        <v/>
      </c>
    </row>
    <row r="932">
      <c r="A932" s="61" t="n"/>
      <c r="B932" s="60" t="n"/>
      <c r="C932" s="68" t="n"/>
      <c r="D932" s="60" t="n"/>
      <c r="E932" s="63" t="n"/>
      <c r="F932" s="63" t="n"/>
      <c r="G932" s="62" t="str">
        <f>IF(B932="","",IFERROR(INDEX(fa_cname,MATCH(B932,fa_num,0))&amp;"",""))</f>
        <v/>
      </c>
      <c r="H932" s="59" t="str">
        <f>IF(COUNTA(A932:F932)=0,"",IF(A932="","Date manquante",IF(NOT(ISNUMBER(A932)),"Date invalide",IF(B932="","N° de facture manquant",IF(ISNA(MATCH(B932,fa_num,0)),"Facture inconnue",IF(INDEX(fa_type,MATCH(B932,fa_num,0))="Avoir","Paiement sur un avoir",IF(OR(NOT(ISNUMBER(C932)),N(C932)&lt;=0),"Montant invalide",IF(A932&lt;INDEX(fa_date,MATCH(B932,fa_num,0)),"Date antérieure à la facture",IF(SUMIF($B$6:B932,B932,$C$6:C932)&gt;INDEX(fa_ttc,MATCH(B932,fa_num,0))-N(INDEX(fa_avoirs,MATCH(B932,fa_num,0)))+0.001,"Dépasse le montant de la facture","OK")))))))))</f>
        <v/>
      </c>
    </row>
    <row r="933">
      <c r="A933" s="61" t="n"/>
      <c r="B933" s="60" t="n"/>
      <c r="C933" s="68" t="n"/>
      <c r="D933" s="60" t="n"/>
      <c r="E933" s="63" t="n"/>
      <c r="F933" s="63" t="n"/>
      <c r="G933" s="62" t="str">
        <f>IF(B933="","",IFERROR(INDEX(fa_cname,MATCH(B933,fa_num,0))&amp;"",""))</f>
        <v/>
      </c>
      <c r="H933" s="59" t="str">
        <f>IF(COUNTA(A933:F933)=0,"",IF(A933="","Date manquante",IF(NOT(ISNUMBER(A933)),"Date invalide",IF(B933="","N° de facture manquant",IF(ISNA(MATCH(B933,fa_num,0)),"Facture inconnue",IF(INDEX(fa_type,MATCH(B933,fa_num,0))="Avoir","Paiement sur un avoir",IF(OR(NOT(ISNUMBER(C933)),N(C933)&lt;=0),"Montant invalide",IF(A933&lt;INDEX(fa_date,MATCH(B933,fa_num,0)),"Date antérieure à la facture",IF(SUMIF($B$6:B933,B933,$C$6:C933)&gt;INDEX(fa_ttc,MATCH(B933,fa_num,0))-N(INDEX(fa_avoirs,MATCH(B933,fa_num,0)))+0.001,"Dépasse le montant de la facture","OK")))))))))</f>
        <v/>
      </c>
    </row>
    <row r="934">
      <c r="A934" s="61" t="n"/>
      <c r="B934" s="60" t="n"/>
      <c r="C934" s="68" t="n"/>
      <c r="D934" s="60" t="n"/>
      <c r="E934" s="63" t="n"/>
      <c r="F934" s="63" t="n"/>
      <c r="G934" s="62" t="str">
        <f>IF(B934="","",IFERROR(INDEX(fa_cname,MATCH(B934,fa_num,0))&amp;"",""))</f>
        <v/>
      </c>
      <c r="H934" s="59" t="str">
        <f>IF(COUNTA(A934:F934)=0,"",IF(A934="","Date manquante",IF(NOT(ISNUMBER(A934)),"Date invalide",IF(B934="","N° de facture manquant",IF(ISNA(MATCH(B934,fa_num,0)),"Facture inconnue",IF(INDEX(fa_type,MATCH(B934,fa_num,0))="Avoir","Paiement sur un avoir",IF(OR(NOT(ISNUMBER(C934)),N(C934)&lt;=0),"Montant invalide",IF(A934&lt;INDEX(fa_date,MATCH(B934,fa_num,0)),"Date antérieure à la facture",IF(SUMIF($B$6:B934,B934,$C$6:C934)&gt;INDEX(fa_ttc,MATCH(B934,fa_num,0))-N(INDEX(fa_avoirs,MATCH(B934,fa_num,0)))+0.001,"Dépasse le montant de la facture","OK")))))))))</f>
        <v/>
      </c>
    </row>
    <row r="935">
      <c r="A935" s="61" t="n"/>
      <c r="B935" s="60" t="n"/>
      <c r="C935" s="68" t="n"/>
      <c r="D935" s="60" t="n"/>
      <c r="E935" s="63" t="n"/>
      <c r="F935" s="63" t="n"/>
      <c r="G935" s="62" t="str">
        <f>IF(B935="","",IFERROR(INDEX(fa_cname,MATCH(B935,fa_num,0))&amp;"",""))</f>
        <v/>
      </c>
      <c r="H935" s="59" t="str">
        <f>IF(COUNTA(A935:F935)=0,"",IF(A935="","Date manquante",IF(NOT(ISNUMBER(A935)),"Date invalide",IF(B935="","N° de facture manquant",IF(ISNA(MATCH(B935,fa_num,0)),"Facture inconnue",IF(INDEX(fa_type,MATCH(B935,fa_num,0))="Avoir","Paiement sur un avoir",IF(OR(NOT(ISNUMBER(C935)),N(C935)&lt;=0),"Montant invalide",IF(A935&lt;INDEX(fa_date,MATCH(B935,fa_num,0)),"Date antérieure à la facture",IF(SUMIF($B$6:B935,B935,$C$6:C935)&gt;INDEX(fa_ttc,MATCH(B935,fa_num,0))-N(INDEX(fa_avoirs,MATCH(B935,fa_num,0)))+0.001,"Dépasse le montant de la facture","OK")))))))))</f>
        <v/>
      </c>
    </row>
    <row r="936">
      <c r="A936" s="61" t="n"/>
      <c r="B936" s="60" t="n"/>
      <c r="C936" s="68" t="n"/>
      <c r="D936" s="60" t="n"/>
      <c r="E936" s="63" t="n"/>
      <c r="F936" s="63" t="n"/>
      <c r="G936" s="62" t="str">
        <f>IF(B936="","",IFERROR(INDEX(fa_cname,MATCH(B936,fa_num,0))&amp;"",""))</f>
        <v/>
      </c>
      <c r="H936" s="59" t="str">
        <f>IF(COUNTA(A936:F936)=0,"",IF(A936="","Date manquante",IF(NOT(ISNUMBER(A936)),"Date invalide",IF(B936="","N° de facture manquant",IF(ISNA(MATCH(B936,fa_num,0)),"Facture inconnue",IF(INDEX(fa_type,MATCH(B936,fa_num,0))="Avoir","Paiement sur un avoir",IF(OR(NOT(ISNUMBER(C936)),N(C936)&lt;=0),"Montant invalide",IF(A936&lt;INDEX(fa_date,MATCH(B936,fa_num,0)),"Date antérieure à la facture",IF(SUMIF($B$6:B936,B936,$C$6:C936)&gt;INDEX(fa_ttc,MATCH(B936,fa_num,0))-N(INDEX(fa_avoirs,MATCH(B936,fa_num,0)))+0.001,"Dépasse le montant de la facture","OK")))))))))</f>
        <v/>
      </c>
    </row>
    <row r="937">
      <c r="A937" s="61" t="n"/>
      <c r="B937" s="60" t="n"/>
      <c r="C937" s="68" t="n"/>
      <c r="D937" s="60" t="n"/>
      <c r="E937" s="63" t="n"/>
      <c r="F937" s="63" t="n"/>
      <c r="G937" s="62" t="str">
        <f>IF(B937="","",IFERROR(INDEX(fa_cname,MATCH(B937,fa_num,0))&amp;"",""))</f>
        <v/>
      </c>
      <c r="H937" s="59" t="str">
        <f>IF(COUNTA(A937:F937)=0,"",IF(A937="","Date manquante",IF(NOT(ISNUMBER(A937)),"Date invalide",IF(B937="","N° de facture manquant",IF(ISNA(MATCH(B937,fa_num,0)),"Facture inconnue",IF(INDEX(fa_type,MATCH(B937,fa_num,0))="Avoir","Paiement sur un avoir",IF(OR(NOT(ISNUMBER(C937)),N(C937)&lt;=0),"Montant invalide",IF(A937&lt;INDEX(fa_date,MATCH(B937,fa_num,0)),"Date antérieure à la facture",IF(SUMIF($B$6:B937,B937,$C$6:C937)&gt;INDEX(fa_ttc,MATCH(B937,fa_num,0))-N(INDEX(fa_avoirs,MATCH(B937,fa_num,0)))+0.001,"Dépasse le montant de la facture","OK")))))))))</f>
        <v/>
      </c>
    </row>
    <row r="938">
      <c r="A938" s="61" t="n"/>
      <c r="B938" s="60" t="n"/>
      <c r="C938" s="68" t="n"/>
      <c r="D938" s="60" t="n"/>
      <c r="E938" s="63" t="n"/>
      <c r="F938" s="63" t="n"/>
      <c r="G938" s="62" t="str">
        <f>IF(B938="","",IFERROR(INDEX(fa_cname,MATCH(B938,fa_num,0))&amp;"",""))</f>
        <v/>
      </c>
      <c r="H938" s="59" t="str">
        <f>IF(COUNTA(A938:F938)=0,"",IF(A938="","Date manquante",IF(NOT(ISNUMBER(A938)),"Date invalide",IF(B938="","N° de facture manquant",IF(ISNA(MATCH(B938,fa_num,0)),"Facture inconnue",IF(INDEX(fa_type,MATCH(B938,fa_num,0))="Avoir","Paiement sur un avoir",IF(OR(NOT(ISNUMBER(C938)),N(C938)&lt;=0),"Montant invalide",IF(A938&lt;INDEX(fa_date,MATCH(B938,fa_num,0)),"Date antérieure à la facture",IF(SUMIF($B$6:B938,B938,$C$6:C938)&gt;INDEX(fa_ttc,MATCH(B938,fa_num,0))-N(INDEX(fa_avoirs,MATCH(B938,fa_num,0)))+0.001,"Dépasse le montant de la facture","OK")))))))))</f>
        <v/>
      </c>
    </row>
    <row r="939">
      <c r="A939" s="61" t="n"/>
      <c r="B939" s="60" t="n"/>
      <c r="C939" s="68" t="n"/>
      <c r="D939" s="60" t="n"/>
      <c r="E939" s="63" t="n"/>
      <c r="F939" s="63" t="n"/>
      <c r="G939" s="62" t="str">
        <f>IF(B939="","",IFERROR(INDEX(fa_cname,MATCH(B939,fa_num,0))&amp;"",""))</f>
        <v/>
      </c>
      <c r="H939" s="59" t="str">
        <f>IF(COUNTA(A939:F939)=0,"",IF(A939="","Date manquante",IF(NOT(ISNUMBER(A939)),"Date invalide",IF(B939="","N° de facture manquant",IF(ISNA(MATCH(B939,fa_num,0)),"Facture inconnue",IF(INDEX(fa_type,MATCH(B939,fa_num,0))="Avoir","Paiement sur un avoir",IF(OR(NOT(ISNUMBER(C939)),N(C939)&lt;=0),"Montant invalide",IF(A939&lt;INDEX(fa_date,MATCH(B939,fa_num,0)),"Date antérieure à la facture",IF(SUMIF($B$6:B939,B939,$C$6:C939)&gt;INDEX(fa_ttc,MATCH(B939,fa_num,0))-N(INDEX(fa_avoirs,MATCH(B939,fa_num,0)))+0.001,"Dépasse le montant de la facture","OK")))))))))</f>
        <v/>
      </c>
    </row>
    <row r="940">
      <c r="A940" s="61" t="n"/>
      <c r="B940" s="60" t="n"/>
      <c r="C940" s="68" t="n"/>
      <c r="D940" s="60" t="n"/>
      <c r="E940" s="63" t="n"/>
      <c r="F940" s="63" t="n"/>
      <c r="G940" s="62" t="str">
        <f>IF(B940="","",IFERROR(INDEX(fa_cname,MATCH(B940,fa_num,0))&amp;"",""))</f>
        <v/>
      </c>
      <c r="H940" s="59" t="str">
        <f>IF(COUNTA(A940:F940)=0,"",IF(A940="","Date manquante",IF(NOT(ISNUMBER(A940)),"Date invalide",IF(B940="","N° de facture manquant",IF(ISNA(MATCH(B940,fa_num,0)),"Facture inconnue",IF(INDEX(fa_type,MATCH(B940,fa_num,0))="Avoir","Paiement sur un avoir",IF(OR(NOT(ISNUMBER(C940)),N(C940)&lt;=0),"Montant invalide",IF(A940&lt;INDEX(fa_date,MATCH(B940,fa_num,0)),"Date antérieure à la facture",IF(SUMIF($B$6:B940,B940,$C$6:C940)&gt;INDEX(fa_ttc,MATCH(B940,fa_num,0))-N(INDEX(fa_avoirs,MATCH(B940,fa_num,0)))+0.001,"Dépasse le montant de la facture","OK")))))))))</f>
        <v/>
      </c>
    </row>
    <row r="941">
      <c r="A941" s="61" t="n"/>
      <c r="B941" s="60" t="n"/>
      <c r="C941" s="68" t="n"/>
      <c r="D941" s="60" t="n"/>
      <c r="E941" s="63" t="n"/>
      <c r="F941" s="63" t="n"/>
      <c r="G941" s="62" t="str">
        <f>IF(B941="","",IFERROR(INDEX(fa_cname,MATCH(B941,fa_num,0))&amp;"",""))</f>
        <v/>
      </c>
      <c r="H941" s="59" t="str">
        <f>IF(COUNTA(A941:F941)=0,"",IF(A941="","Date manquante",IF(NOT(ISNUMBER(A941)),"Date invalide",IF(B941="","N° de facture manquant",IF(ISNA(MATCH(B941,fa_num,0)),"Facture inconnue",IF(INDEX(fa_type,MATCH(B941,fa_num,0))="Avoir","Paiement sur un avoir",IF(OR(NOT(ISNUMBER(C941)),N(C941)&lt;=0),"Montant invalide",IF(A941&lt;INDEX(fa_date,MATCH(B941,fa_num,0)),"Date antérieure à la facture",IF(SUMIF($B$6:B941,B941,$C$6:C941)&gt;INDEX(fa_ttc,MATCH(B941,fa_num,0))-N(INDEX(fa_avoirs,MATCH(B941,fa_num,0)))+0.001,"Dépasse le montant de la facture","OK")))))))))</f>
        <v/>
      </c>
    </row>
    <row r="942">
      <c r="A942" s="61" t="n"/>
      <c r="B942" s="60" t="n"/>
      <c r="C942" s="68" t="n"/>
      <c r="D942" s="60" t="n"/>
      <c r="E942" s="63" t="n"/>
      <c r="F942" s="63" t="n"/>
      <c r="G942" s="62" t="str">
        <f>IF(B942="","",IFERROR(INDEX(fa_cname,MATCH(B942,fa_num,0))&amp;"",""))</f>
        <v/>
      </c>
      <c r="H942" s="59" t="str">
        <f>IF(COUNTA(A942:F942)=0,"",IF(A942="","Date manquante",IF(NOT(ISNUMBER(A942)),"Date invalide",IF(B942="","N° de facture manquant",IF(ISNA(MATCH(B942,fa_num,0)),"Facture inconnue",IF(INDEX(fa_type,MATCH(B942,fa_num,0))="Avoir","Paiement sur un avoir",IF(OR(NOT(ISNUMBER(C942)),N(C942)&lt;=0),"Montant invalide",IF(A942&lt;INDEX(fa_date,MATCH(B942,fa_num,0)),"Date antérieure à la facture",IF(SUMIF($B$6:B942,B942,$C$6:C942)&gt;INDEX(fa_ttc,MATCH(B942,fa_num,0))-N(INDEX(fa_avoirs,MATCH(B942,fa_num,0)))+0.001,"Dépasse le montant de la facture","OK")))))))))</f>
        <v/>
      </c>
    </row>
    <row r="943">
      <c r="A943" s="61" t="n"/>
      <c r="B943" s="60" t="n"/>
      <c r="C943" s="68" t="n"/>
      <c r="D943" s="60" t="n"/>
      <c r="E943" s="63" t="n"/>
      <c r="F943" s="63" t="n"/>
      <c r="G943" s="62" t="str">
        <f>IF(B943="","",IFERROR(INDEX(fa_cname,MATCH(B943,fa_num,0))&amp;"",""))</f>
        <v/>
      </c>
      <c r="H943" s="59" t="str">
        <f>IF(COUNTA(A943:F943)=0,"",IF(A943="","Date manquante",IF(NOT(ISNUMBER(A943)),"Date invalide",IF(B943="","N° de facture manquant",IF(ISNA(MATCH(B943,fa_num,0)),"Facture inconnue",IF(INDEX(fa_type,MATCH(B943,fa_num,0))="Avoir","Paiement sur un avoir",IF(OR(NOT(ISNUMBER(C943)),N(C943)&lt;=0),"Montant invalide",IF(A943&lt;INDEX(fa_date,MATCH(B943,fa_num,0)),"Date antérieure à la facture",IF(SUMIF($B$6:B943,B943,$C$6:C943)&gt;INDEX(fa_ttc,MATCH(B943,fa_num,0))-N(INDEX(fa_avoirs,MATCH(B943,fa_num,0)))+0.001,"Dépasse le montant de la facture","OK")))))))))</f>
        <v/>
      </c>
    </row>
    <row r="944">
      <c r="A944" s="61" t="n"/>
      <c r="B944" s="60" t="n"/>
      <c r="C944" s="68" t="n"/>
      <c r="D944" s="60" t="n"/>
      <c r="E944" s="63" t="n"/>
      <c r="F944" s="63" t="n"/>
      <c r="G944" s="62" t="str">
        <f>IF(B944="","",IFERROR(INDEX(fa_cname,MATCH(B944,fa_num,0))&amp;"",""))</f>
        <v/>
      </c>
      <c r="H944" s="59" t="str">
        <f>IF(COUNTA(A944:F944)=0,"",IF(A944="","Date manquante",IF(NOT(ISNUMBER(A944)),"Date invalide",IF(B944="","N° de facture manquant",IF(ISNA(MATCH(B944,fa_num,0)),"Facture inconnue",IF(INDEX(fa_type,MATCH(B944,fa_num,0))="Avoir","Paiement sur un avoir",IF(OR(NOT(ISNUMBER(C944)),N(C944)&lt;=0),"Montant invalide",IF(A944&lt;INDEX(fa_date,MATCH(B944,fa_num,0)),"Date antérieure à la facture",IF(SUMIF($B$6:B944,B944,$C$6:C944)&gt;INDEX(fa_ttc,MATCH(B944,fa_num,0))-N(INDEX(fa_avoirs,MATCH(B944,fa_num,0)))+0.001,"Dépasse le montant de la facture","OK")))))))))</f>
        <v/>
      </c>
    </row>
    <row r="945">
      <c r="A945" s="61" t="n"/>
      <c r="B945" s="60" t="n"/>
      <c r="C945" s="68" t="n"/>
      <c r="D945" s="60" t="n"/>
      <c r="E945" s="63" t="n"/>
      <c r="F945" s="63" t="n"/>
      <c r="G945" s="62" t="str">
        <f>IF(B945="","",IFERROR(INDEX(fa_cname,MATCH(B945,fa_num,0))&amp;"",""))</f>
        <v/>
      </c>
      <c r="H945" s="59" t="str">
        <f>IF(COUNTA(A945:F945)=0,"",IF(A945="","Date manquante",IF(NOT(ISNUMBER(A945)),"Date invalide",IF(B945="","N° de facture manquant",IF(ISNA(MATCH(B945,fa_num,0)),"Facture inconnue",IF(INDEX(fa_type,MATCH(B945,fa_num,0))="Avoir","Paiement sur un avoir",IF(OR(NOT(ISNUMBER(C945)),N(C945)&lt;=0),"Montant invalide",IF(A945&lt;INDEX(fa_date,MATCH(B945,fa_num,0)),"Date antérieure à la facture",IF(SUMIF($B$6:B945,B945,$C$6:C945)&gt;INDEX(fa_ttc,MATCH(B945,fa_num,0))-N(INDEX(fa_avoirs,MATCH(B945,fa_num,0)))+0.001,"Dépasse le montant de la facture","OK")))))))))</f>
        <v/>
      </c>
    </row>
    <row r="946">
      <c r="A946" s="61" t="n"/>
      <c r="B946" s="60" t="n"/>
      <c r="C946" s="68" t="n"/>
      <c r="D946" s="60" t="n"/>
      <c r="E946" s="63" t="n"/>
      <c r="F946" s="63" t="n"/>
      <c r="G946" s="62" t="str">
        <f>IF(B946="","",IFERROR(INDEX(fa_cname,MATCH(B946,fa_num,0))&amp;"",""))</f>
        <v/>
      </c>
      <c r="H946" s="59" t="str">
        <f>IF(COUNTA(A946:F946)=0,"",IF(A946="","Date manquante",IF(NOT(ISNUMBER(A946)),"Date invalide",IF(B946="","N° de facture manquant",IF(ISNA(MATCH(B946,fa_num,0)),"Facture inconnue",IF(INDEX(fa_type,MATCH(B946,fa_num,0))="Avoir","Paiement sur un avoir",IF(OR(NOT(ISNUMBER(C946)),N(C946)&lt;=0),"Montant invalide",IF(A946&lt;INDEX(fa_date,MATCH(B946,fa_num,0)),"Date antérieure à la facture",IF(SUMIF($B$6:B946,B946,$C$6:C946)&gt;INDEX(fa_ttc,MATCH(B946,fa_num,0))-N(INDEX(fa_avoirs,MATCH(B946,fa_num,0)))+0.001,"Dépasse le montant de la facture","OK")))))))))</f>
        <v/>
      </c>
    </row>
    <row r="947">
      <c r="A947" s="61" t="n"/>
      <c r="B947" s="60" t="n"/>
      <c r="C947" s="68" t="n"/>
      <c r="D947" s="60" t="n"/>
      <c r="E947" s="63" t="n"/>
      <c r="F947" s="63" t="n"/>
      <c r="G947" s="62" t="str">
        <f>IF(B947="","",IFERROR(INDEX(fa_cname,MATCH(B947,fa_num,0))&amp;"",""))</f>
        <v/>
      </c>
      <c r="H947" s="59" t="str">
        <f>IF(COUNTA(A947:F947)=0,"",IF(A947="","Date manquante",IF(NOT(ISNUMBER(A947)),"Date invalide",IF(B947="","N° de facture manquant",IF(ISNA(MATCH(B947,fa_num,0)),"Facture inconnue",IF(INDEX(fa_type,MATCH(B947,fa_num,0))="Avoir","Paiement sur un avoir",IF(OR(NOT(ISNUMBER(C947)),N(C947)&lt;=0),"Montant invalide",IF(A947&lt;INDEX(fa_date,MATCH(B947,fa_num,0)),"Date antérieure à la facture",IF(SUMIF($B$6:B947,B947,$C$6:C947)&gt;INDEX(fa_ttc,MATCH(B947,fa_num,0))-N(INDEX(fa_avoirs,MATCH(B947,fa_num,0)))+0.001,"Dépasse le montant de la facture","OK")))))))))</f>
        <v/>
      </c>
    </row>
    <row r="948">
      <c r="A948" s="61" t="n"/>
      <c r="B948" s="60" t="n"/>
      <c r="C948" s="68" t="n"/>
      <c r="D948" s="60" t="n"/>
      <c r="E948" s="63" t="n"/>
      <c r="F948" s="63" t="n"/>
      <c r="G948" s="62" t="str">
        <f>IF(B948="","",IFERROR(INDEX(fa_cname,MATCH(B948,fa_num,0))&amp;"",""))</f>
        <v/>
      </c>
      <c r="H948" s="59" t="str">
        <f>IF(COUNTA(A948:F948)=0,"",IF(A948="","Date manquante",IF(NOT(ISNUMBER(A948)),"Date invalide",IF(B948="","N° de facture manquant",IF(ISNA(MATCH(B948,fa_num,0)),"Facture inconnue",IF(INDEX(fa_type,MATCH(B948,fa_num,0))="Avoir","Paiement sur un avoir",IF(OR(NOT(ISNUMBER(C948)),N(C948)&lt;=0),"Montant invalide",IF(A948&lt;INDEX(fa_date,MATCH(B948,fa_num,0)),"Date antérieure à la facture",IF(SUMIF($B$6:B948,B948,$C$6:C948)&gt;INDEX(fa_ttc,MATCH(B948,fa_num,0))-N(INDEX(fa_avoirs,MATCH(B948,fa_num,0)))+0.001,"Dépasse le montant de la facture","OK")))))))))</f>
        <v/>
      </c>
    </row>
    <row r="949">
      <c r="A949" s="61" t="n"/>
      <c r="B949" s="60" t="n"/>
      <c r="C949" s="68" t="n"/>
      <c r="D949" s="60" t="n"/>
      <c r="E949" s="63" t="n"/>
      <c r="F949" s="63" t="n"/>
      <c r="G949" s="62" t="str">
        <f>IF(B949="","",IFERROR(INDEX(fa_cname,MATCH(B949,fa_num,0))&amp;"",""))</f>
        <v/>
      </c>
      <c r="H949" s="59" t="str">
        <f>IF(COUNTA(A949:F949)=0,"",IF(A949="","Date manquante",IF(NOT(ISNUMBER(A949)),"Date invalide",IF(B949="","N° de facture manquant",IF(ISNA(MATCH(B949,fa_num,0)),"Facture inconnue",IF(INDEX(fa_type,MATCH(B949,fa_num,0))="Avoir","Paiement sur un avoir",IF(OR(NOT(ISNUMBER(C949)),N(C949)&lt;=0),"Montant invalide",IF(A949&lt;INDEX(fa_date,MATCH(B949,fa_num,0)),"Date antérieure à la facture",IF(SUMIF($B$6:B949,B949,$C$6:C949)&gt;INDEX(fa_ttc,MATCH(B949,fa_num,0))-N(INDEX(fa_avoirs,MATCH(B949,fa_num,0)))+0.001,"Dépasse le montant de la facture","OK")))))))))</f>
        <v/>
      </c>
    </row>
    <row r="950">
      <c r="A950" s="61" t="n"/>
      <c r="B950" s="60" t="n"/>
      <c r="C950" s="68" t="n"/>
      <c r="D950" s="60" t="n"/>
      <c r="E950" s="63" t="n"/>
      <c r="F950" s="63" t="n"/>
      <c r="G950" s="62" t="str">
        <f>IF(B950="","",IFERROR(INDEX(fa_cname,MATCH(B950,fa_num,0))&amp;"",""))</f>
        <v/>
      </c>
      <c r="H950" s="59" t="str">
        <f>IF(COUNTA(A950:F950)=0,"",IF(A950="","Date manquante",IF(NOT(ISNUMBER(A950)),"Date invalide",IF(B950="","N° de facture manquant",IF(ISNA(MATCH(B950,fa_num,0)),"Facture inconnue",IF(INDEX(fa_type,MATCH(B950,fa_num,0))="Avoir","Paiement sur un avoir",IF(OR(NOT(ISNUMBER(C950)),N(C950)&lt;=0),"Montant invalide",IF(A950&lt;INDEX(fa_date,MATCH(B950,fa_num,0)),"Date antérieure à la facture",IF(SUMIF($B$6:B950,B950,$C$6:C950)&gt;INDEX(fa_ttc,MATCH(B950,fa_num,0))-N(INDEX(fa_avoirs,MATCH(B950,fa_num,0)))+0.001,"Dépasse le montant de la facture","OK")))))))))</f>
        <v/>
      </c>
    </row>
    <row r="951">
      <c r="A951" s="61" t="n"/>
      <c r="B951" s="60" t="n"/>
      <c r="C951" s="68" t="n"/>
      <c r="D951" s="60" t="n"/>
      <c r="E951" s="63" t="n"/>
      <c r="F951" s="63" t="n"/>
      <c r="G951" s="62" t="str">
        <f>IF(B951="","",IFERROR(INDEX(fa_cname,MATCH(B951,fa_num,0))&amp;"",""))</f>
        <v/>
      </c>
      <c r="H951" s="59" t="str">
        <f>IF(COUNTA(A951:F951)=0,"",IF(A951="","Date manquante",IF(NOT(ISNUMBER(A951)),"Date invalide",IF(B951="","N° de facture manquant",IF(ISNA(MATCH(B951,fa_num,0)),"Facture inconnue",IF(INDEX(fa_type,MATCH(B951,fa_num,0))="Avoir","Paiement sur un avoir",IF(OR(NOT(ISNUMBER(C951)),N(C951)&lt;=0),"Montant invalide",IF(A951&lt;INDEX(fa_date,MATCH(B951,fa_num,0)),"Date antérieure à la facture",IF(SUMIF($B$6:B951,B951,$C$6:C951)&gt;INDEX(fa_ttc,MATCH(B951,fa_num,0))-N(INDEX(fa_avoirs,MATCH(B951,fa_num,0)))+0.001,"Dépasse le montant de la facture","OK")))))))))</f>
        <v/>
      </c>
    </row>
    <row r="952">
      <c r="A952" s="61" t="n"/>
      <c r="B952" s="60" t="n"/>
      <c r="C952" s="68" t="n"/>
      <c r="D952" s="60" t="n"/>
      <c r="E952" s="63" t="n"/>
      <c r="F952" s="63" t="n"/>
      <c r="G952" s="62" t="str">
        <f>IF(B952="","",IFERROR(INDEX(fa_cname,MATCH(B952,fa_num,0))&amp;"",""))</f>
        <v/>
      </c>
      <c r="H952" s="59" t="str">
        <f>IF(COUNTA(A952:F952)=0,"",IF(A952="","Date manquante",IF(NOT(ISNUMBER(A952)),"Date invalide",IF(B952="","N° de facture manquant",IF(ISNA(MATCH(B952,fa_num,0)),"Facture inconnue",IF(INDEX(fa_type,MATCH(B952,fa_num,0))="Avoir","Paiement sur un avoir",IF(OR(NOT(ISNUMBER(C952)),N(C952)&lt;=0),"Montant invalide",IF(A952&lt;INDEX(fa_date,MATCH(B952,fa_num,0)),"Date antérieure à la facture",IF(SUMIF($B$6:B952,B952,$C$6:C952)&gt;INDEX(fa_ttc,MATCH(B952,fa_num,0))-N(INDEX(fa_avoirs,MATCH(B952,fa_num,0)))+0.001,"Dépasse le montant de la facture","OK")))))))))</f>
        <v/>
      </c>
    </row>
    <row r="953">
      <c r="A953" s="61" t="n"/>
      <c r="B953" s="60" t="n"/>
      <c r="C953" s="68" t="n"/>
      <c r="D953" s="60" t="n"/>
      <c r="E953" s="63" t="n"/>
      <c r="F953" s="63" t="n"/>
      <c r="G953" s="62" t="str">
        <f>IF(B953="","",IFERROR(INDEX(fa_cname,MATCH(B953,fa_num,0))&amp;"",""))</f>
        <v/>
      </c>
      <c r="H953" s="59" t="str">
        <f>IF(COUNTA(A953:F953)=0,"",IF(A953="","Date manquante",IF(NOT(ISNUMBER(A953)),"Date invalide",IF(B953="","N° de facture manquant",IF(ISNA(MATCH(B953,fa_num,0)),"Facture inconnue",IF(INDEX(fa_type,MATCH(B953,fa_num,0))="Avoir","Paiement sur un avoir",IF(OR(NOT(ISNUMBER(C953)),N(C953)&lt;=0),"Montant invalide",IF(A953&lt;INDEX(fa_date,MATCH(B953,fa_num,0)),"Date antérieure à la facture",IF(SUMIF($B$6:B953,B953,$C$6:C953)&gt;INDEX(fa_ttc,MATCH(B953,fa_num,0))-N(INDEX(fa_avoirs,MATCH(B953,fa_num,0)))+0.001,"Dépasse le montant de la facture","OK")))))))))</f>
        <v/>
      </c>
    </row>
    <row r="954">
      <c r="A954" s="61" t="n"/>
      <c r="B954" s="60" t="n"/>
      <c r="C954" s="68" t="n"/>
      <c r="D954" s="60" t="n"/>
      <c r="E954" s="63" t="n"/>
      <c r="F954" s="63" t="n"/>
      <c r="G954" s="62" t="str">
        <f>IF(B954="","",IFERROR(INDEX(fa_cname,MATCH(B954,fa_num,0))&amp;"",""))</f>
        <v/>
      </c>
      <c r="H954" s="59" t="str">
        <f>IF(COUNTA(A954:F954)=0,"",IF(A954="","Date manquante",IF(NOT(ISNUMBER(A954)),"Date invalide",IF(B954="","N° de facture manquant",IF(ISNA(MATCH(B954,fa_num,0)),"Facture inconnue",IF(INDEX(fa_type,MATCH(B954,fa_num,0))="Avoir","Paiement sur un avoir",IF(OR(NOT(ISNUMBER(C954)),N(C954)&lt;=0),"Montant invalide",IF(A954&lt;INDEX(fa_date,MATCH(B954,fa_num,0)),"Date antérieure à la facture",IF(SUMIF($B$6:B954,B954,$C$6:C954)&gt;INDEX(fa_ttc,MATCH(B954,fa_num,0))-N(INDEX(fa_avoirs,MATCH(B954,fa_num,0)))+0.001,"Dépasse le montant de la facture","OK")))))))))</f>
        <v/>
      </c>
    </row>
    <row r="955">
      <c r="A955" s="61" t="n"/>
      <c r="B955" s="60" t="n"/>
      <c r="C955" s="68" t="n"/>
      <c r="D955" s="60" t="n"/>
      <c r="E955" s="63" t="n"/>
      <c r="F955" s="63" t="n"/>
      <c r="G955" s="62" t="str">
        <f>IF(B955="","",IFERROR(INDEX(fa_cname,MATCH(B955,fa_num,0))&amp;"",""))</f>
        <v/>
      </c>
      <c r="H955" s="59" t="str">
        <f>IF(COUNTA(A955:F955)=0,"",IF(A955="","Date manquante",IF(NOT(ISNUMBER(A955)),"Date invalide",IF(B955="","N° de facture manquant",IF(ISNA(MATCH(B955,fa_num,0)),"Facture inconnue",IF(INDEX(fa_type,MATCH(B955,fa_num,0))="Avoir","Paiement sur un avoir",IF(OR(NOT(ISNUMBER(C955)),N(C955)&lt;=0),"Montant invalide",IF(A955&lt;INDEX(fa_date,MATCH(B955,fa_num,0)),"Date antérieure à la facture",IF(SUMIF($B$6:B955,B955,$C$6:C955)&gt;INDEX(fa_ttc,MATCH(B955,fa_num,0))-N(INDEX(fa_avoirs,MATCH(B955,fa_num,0)))+0.001,"Dépasse le montant de la facture","OK")))))))))</f>
        <v/>
      </c>
    </row>
    <row r="956">
      <c r="A956" s="61" t="n"/>
      <c r="B956" s="60" t="n"/>
      <c r="C956" s="68" t="n"/>
      <c r="D956" s="60" t="n"/>
      <c r="E956" s="63" t="n"/>
      <c r="F956" s="63" t="n"/>
      <c r="G956" s="62" t="str">
        <f>IF(B956="","",IFERROR(INDEX(fa_cname,MATCH(B956,fa_num,0))&amp;"",""))</f>
        <v/>
      </c>
      <c r="H956" s="59" t="str">
        <f>IF(COUNTA(A956:F956)=0,"",IF(A956="","Date manquante",IF(NOT(ISNUMBER(A956)),"Date invalide",IF(B956="","N° de facture manquant",IF(ISNA(MATCH(B956,fa_num,0)),"Facture inconnue",IF(INDEX(fa_type,MATCH(B956,fa_num,0))="Avoir","Paiement sur un avoir",IF(OR(NOT(ISNUMBER(C956)),N(C956)&lt;=0),"Montant invalide",IF(A956&lt;INDEX(fa_date,MATCH(B956,fa_num,0)),"Date antérieure à la facture",IF(SUMIF($B$6:B956,B956,$C$6:C956)&gt;INDEX(fa_ttc,MATCH(B956,fa_num,0))-N(INDEX(fa_avoirs,MATCH(B956,fa_num,0)))+0.001,"Dépasse le montant de la facture","OK")))))))))</f>
        <v/>
      </c>
    </row>
    <row r="957">
      <c r="A957" s="61" t="n"/>
      <c r="B957" s="60" t="n"/>
      <c r="C957" s="68" t="n"/>
      <c r="D957" s="60" t="n"/>
      <c r="E957" s="63" t="n"/>
      <c r="F957" s="63" t="n"/>
      <c r="G957" s="62" t="str">
        <f>IF(B957="","",IFERROR(INDEX(fa_cname,MATCH(B957,fa_num,0))&amp;"",""))</f>
        <v/>
      </c>
      <c r="H957" s="59" t="str">
        <f>IF(COUNTA(A957:F957)=0,"",IF(A957="","Date manquante",IF(NOT(ISNUMBER(A957)),"Date invalide",IF(B957="","N° de facture manquant",IF(ISNA(MATCH(B957,fa_num,0)),"Facture inconnue",IF(INDEX(fa_type,MATCH(B957,fa_num,0))="Avoir","Paiement sur un avoir",IF(OR(NOT(ISNUMBER(C957)),N(C957)&lt;=0),"Montant invalide",IF(A957&lt;INDEX(fa_date,MATCH(B957,fa_num,0)),"Date antérieure à la facture",IF(SUMIF($B$6:B957,B957,$C$6:C957)&gt;INDEX(fa_ttc,MATCH(B957,fa_num,0))-N(INDEX(fa_avoirs,MATCH(B957,fa_num,0)))+0.001,"Dépasse le montant de la facture","OK")))))))))</f>
        <v/>
      </c>
    </row>
    <row r="958">
      <c r="A958" s="61" t="n"/>
      <c r="B958" s="60" t="n"/>
      <c r="C958" s="68" t="n"/>
      <c r="D958" s="60" t="n"/>
      <c r="E958" s="63" t="n"/>
      <c r="F958" s="63" t="n"/>
      <c r="G958" s="62" t="str">
        <f>IF(B958="","",IFERROR(INDEX(fa_cname,MATCH(B958,fa_num,0))&amp;"",""))</f>
        <v/>
      </c>
      <c r="H958" s="59" t="str">
        <f>IF(COUNTA(A958:F958)=0,"",IF(A958="","Date manquante",IF(NOT(ISNUMBER(A958)),"Date invalide",IF(B958="","N° de facture manquant",IF(ISNA(MATCH(B958,fa_num,0)),"Facture inconnue",IF(INDEX(fa_type,MATCH(B958,fa_num,0))="Avoir","Paiement sur un avoir",IF(OR(NOT(ISNUMBER(C958)),N(C958)&lt;=0),"Montant invalide",IF(A958&lt;INDEX(fa_date,MATCH(B958,fa_num,0)),"Date antérieure à la facture",IF(SUMIF($B$6:B958,B958,$C$6:C958)&gt;INDEX(fa_ttc,MATCH(B958,fa_num,0))-N(INDEX(fa_avoirs,MATCH(B958,fa_num,0)))+0.001,"Dépasse le montant de la facture","OK")))))))))</f>
        <v/>
      </c>
    </row>
    <row r="959">
      <c r="A959" s="61" t="n"/>
      <c r="B959" s="60" t="n"/>
      <c r="C959" s="68" t="n"/>
      <c r="D959" s="60" t="n"/>
      <c r="E959" s="63" t="n"/>
      <c r="F959" s="63" t="n"/>
      <c r="G959" s="62" t="str">
        <f>IF(B959="","",IFERROR(INDEX(fa_cname,MATCH(B959,fa_num,0))&amp;"",""))</f>
        <v/>
      </c>
      <c r="H959" s="59" t="str">
        <f>IF(COUNTA(A959:F959)=0,"",IF(A959="","Date manquante",IF(NOT(ISNUMBER(A959)),"Date invalide",IF(B959="","N° de facture manquant",IF(ISNA(MATCH(B959,fa_num,0)),"Facture inconnue",IF(INDEX(fa_type,MATCH(B959,fa_num,0))="Avoir","Paiement sur un avoir",IF(OR(NOT(ISNUMBER(C959)),N(C959)&lt;=0),"Montant invalide",IF(A959&lt;INDEX(fa_date,MATCH(B959,fa_num,0)),"Date antérieure à la facture",IF(SUMIF($B$6:B959,B959,$C$6:C959)&gt;INDEX(fa_ttc,MATCH(B959,fa_num,0))-N(INDEX(fa_avoirs,MATCH(B959,fa_num,0)))+0.001,"Dépasse le montant de la facture","OK")))))))))</f>
        <v/>
      </c>
    </row>
    <row r="960">
      <c r="A960" s="61" t="n"/>
      <c r="B960" s="60" t="n"/>
      <c r="C960" s="68" t="n"/>
      <c r="D960" s="60" t="n"/>
      <c r="E960" s="63" t="n"/>
      <c r="F960" s="63" t="n"/>
      <c r="G960" s="62" t="str">
        <f>IF(B960="","",IFERROR(INDEX(fa_cname,MATCH(B960,fa_num,0))&amp;"",""))</f>
        <v/>
      </c>
      <c r="H960" s="59" t="str">
        <f>IF(COUNTA(A960:F960)=0,"",IF(A960="","Date manquante",IF(NOT(ISNUMBER(A960)),"Date invalide",IF(B960="","N° de facture manquant",IF(ISNA(MATCH(B960,fa_num,0)),"Facture inconnue",IF(INDEX(fa_type,MATCH(B960,fa_num,0))="Avoir","Paiement sur un avoir",IF(OR(NOT(ISNUMBER(C960)),N(C960)&lt;=0),"Montant invalide",IF(A960&lt;INDEX(fa_date,MATCH(B960,fa_num,0)),"Date antérieure à la facture",IF(SUMIF($B$6:B960,B960,$C$6:C960)&gt;INDEX(fa_ttc,MATCH(B960,fa_num,0))-N(INDEX(fa_avoirs,MATCH(B960,fa_num,0)))+0.001,"Dépasse le montant de la facture","OK")))))))))</f>
        <v/>
      </c>
    </row>
    <row r="961">
      <c r="A961" s="61" t="n"/>
      <c r="B961" s="60" t="n"/>
      <c r="C961" s="68" t="n"/>
      <c r="D961" s="60" t="n"/>
      <c r="E961" s="63" t="n"/>
      <c r="F961" s="63" t="n"/>
      <c r="G961" s="62" t="str">
        <f>IF(B961="","",IFERROR(INDEX(fa_cname,MATCH(B961,fa_num,0))&amp;"",""))</f>
        <v/>
      </c>
      <c r="H961" s="59" t="str">
        <f>IF(COUNTA(A961:F961)=0,"",IF(A961="","Date manquante",IF(NOT(ISNUMBER(A961)),"Date invalide",IF(B961="","N° de facture manquant",IF(ISNA(MATCH(B961,fa_num,0)),"Facture inconnue",IF(INDEX(fa_type,MATCH(B961,fa_num,0))="Avoir","Paiement sur un avoir",IF(OR(NOT(ISNUMBER(C961)),N(C961)&lt;=0),"Montant invalide",IF(A961&lt;INDEX(fa_date,MATCH(B961,fa_num,0)),"Date antérieure à la facture",IF(SUMIF($B$6:B961,B961,$C$6:C961)&gt;INDEX(fa_ttc,MATCH(B961,fa_num,0))-N(INDEX(fa_avoirs,MATCH(B961,fa_num,0)))+0.001,"Dépasse le montant de la facture","OK")))))))))</f>
        <v/>
      </c>
    </row>
    <row r="962">
      <c r="A962" s="61" t="n"/>
      <c r="B962" s="60" t="n"/>
      <c r="C962" s="68" t="n"/>
      <c r="D962" s="60" t="n"/>
      <c r="E962" s="63" t="n"/>
      <c r="F962" s="63" t="n"/>
      <c r="G962" s="62" t="str">
        <f>IF(B962="","",IFERROR(INDEX(fa_cname,MATCH(B962,fa_num,0))&amp;"",""))</f>
        <v/>
      </c>
      <c r="H962" s="59" t="str">
        <f>IF(COUNTA(A962:F962)=0,"",IF(A962="","Date manquante",IF(NOT(ISNUMBER(A962)),"Date invalide",IF(B962="","N° de facture manquant",IF(ISNA(MATCH(B962,fa_num,0)),"Facture inconnue",IF(INDEX(fa_type,MATCH(B962,fa_num,0))="Avoir","Paiement sur un avoir",IF(OR(NOT(ISNUMBER(C962)),N(C962)&lt;=0),"Montant invalide",IF(A962&lt;INDEX(fa_date,MATCH(B962,fa_num,0)),"Date antérieure à la facture",IF(SUMIF($B$6:B962,B962,$C$6:C962)&gt;INDEX(fa_ttc,MATCH(B962,fa_num,0))-N(INDEX(fa_avoirs,MATCH(B962,fa_num,0)))+0.001,"Dépasse le montant de la facture","OK")))))))))</f>
        <v/>
      </c>
    </row>
    <row r="963">
      <c r="A963" s="61" t="n"/>
      <c r="B963" s="60" t="n"/>
      <c r="C963" s="68" t="n"/>
      <c r="D963" s="60" t="n"/>
      <c r="E963" s="63" t="n"/>
      <c r="F963" s="63" t="n"/>
      <c r="G963" s="62" t="str">
        <f>IF(B963="","",IFERROR(INDEX(fa_cname,MATCH(B963,fa_num,0))&amp;"",""))</f>
        <v/>
      </c>
      <c r="H963" s="59" t="str">
        <f>IF(COUNTA(A963:F963)=0,"",IF(A963="","Date manquante",IF(NOT(ISNUMBER(A963)),"Date invalide",IF(B963="","N° de facture manquant",IF(ISNA(MATCH(B963,fa_num,0)),"Facture inconnue",IF(INDEX(fa_type,MATCH(B963,fa_num,0))="Avoir","Paiement sur un avoir",IF(OR(NOT(ISNUMBER(C963)),N(C963)&lt;=0),"Montant invalide",IF(A963&lt;INDEX(fa_date,MATCH(B963,fa_num,0)),"Date antérieure à la facture",IF(SUMIF($B$6:B963,B963,$C$6:C963)&gt;INDEX(fa_ttc,MATCH(B963,fa_num,0))-N(INDEX(fa_avoirs,MATCH(B963,fa_num,0)))+0.001,"Dépasse le montant de la facture","OK")))))))))</f>
        <v/>
      </c>
    </row>
    <row r="964">
      <c r="A964" s="61" t="n"/>
      <c r="B964" s="60" t="n"/>
      <c r="C964" s="68" t="n"/>
      <c r="D964" s="60" t="n"/>
      <c r="E964" s="63" t="n"/>
      <c r="F964" s="63" t="n"/>
      <c r="G964" s="62" t="str">
        <f>IF(B964="","",IFERROR(INDEX(fa_cname,MATCH(B964,fa_num,0))&amp;"",""))</f>
        <v/>
      </c>
      <c r="H964" s="59" t="str">
        <f>IF(COUNTA(A964:F964)=0,"",IF(A964="","Date manquante",IF(NOT(ISNUMBER(A964)),"Date invalide",IF(B964="","N° de facture manquant",IF(ISNA(MATCH(B964,fa_num,0)),"Facture inconnue",IF(INDEX(fa_type,MATCH(B964,fa_num,0))="Avoir","Paiement sur un avoir",IF(OR(NOT(ISNUMBER(C964)),N(C964)&lt;=0),"Montant invalide",IF(A964&lt;INDEX(fa_date,MATCH(B964,fa_num,0)),"Date antérieure à la facture",IF(SUMIF($B$6:B964,B964,$C$6:C964)&gt;INDEX(fa_ttc,MATCH(B964,fa_num,0))-N(INDEX(fa_avoirs,MATCH(B964,fa_num,0)))+0.001,"Dépasse le montant de la facture","OK")))))))))</f>
        <v/>
      </c>
    </row>
    <row r="965">
      <c r="A965" s="61" t="n"/>
      <c r="B965" s="60" t="n"/>
      <c r="C965" s="68" t="n"/>
      <c r="D965" s="60" t="n"/>
      <c r="E965" s="63" t="n"/>
      <c r="F965" s="63" t="n"/>
      <c r="G965" s="62" t="str">
        <f>IF(B965="","",IFERROR(INDEX(fa_cname,MATCH(B965,fa_num,0))&amp;"",""))</f>
        <v/>
      </c>
      <c r="H965" s="59" t="str">
        <f>IF(COUNTA(A965:F965)=0,"",IF(A965="","Date manquante",IF(NOT(ISNUMBER(A965)),"Date invalide",IF(B965="","N° de facture manquant",IF(ISNA(MATCH(B965,fa_num,0)),"Facture inconnue",IF(INDEX(fa_type,MATCH(B965,fa_num,0))="Avoir","Paiement sur un avoir",IF(OR(NOT(ISNUMBER(C965)),N(C965)&lt;=0),"Montant invalide",IF(A965&lt;INDEX(fa_date,MATCH(B965,fa_num,0)),"Date antérieure à la facture",IF(SUMIF($B$6:B965,B965,$C$6:C965)&gt;INDEX(fa_ttc,MATCH(B965,fa_num,0))-N(INDEX(fa_avoirs,MATCH(B965,fa_num,0)))+0.001,"Dépasse le montant de la facture","OK")))))))))</f>
        <v/>
      </c>
    </row>
    <row r="966">
      <c r="A966" s="61" t="n"/>
      <c r="B966" s="60" t="n"/>
      <c r="C966" s="68" t="n"/>
      <c r="D966" s="60" t="n"/>
      <c r="E966" s="63" t="n"/>
      <c r="F966" s="63" t="n"/>
      <c r="G966" s="62" t="str">
        <f>IF(B966="","",IFERROR(INDEX(fa_cname,MATCH(B966,fa_num,0))&amp;"",""))</f>
        <v/>
      </c>
      <c r="H966" s="59" t="str">
        <f>IF(COUNTA(A966:F966)=0,"",IF(A966="","Date manquante",IF(NOT(ISNUMBER(A966)),"Date invalide",IF(B966="","N° de facture manquant",IF(ISNA(MATCH(B966,fa_num,0)),"Facture inconnue",IF(INDEX(fa_type,MATCH(B966,fa_num,0))="Avoir","Paiement sur un avoir",IF(OR(NOT(ISNUMBER(C966)),N(C966)&lt;=0),"Montant invalide",IF(A966&lt;INDEX(fa_date,MATCH(B966,fa_num,0)),"Date antérieure à la facture",IF(SUMIF($B$6:B966,B966,$C$6:C966)&gt;INDEX(fa_ttc,MATCH(B966,fa_num,0))-N(INDEX(fa_avoirs,MATCH(B966,fa_num,0)))+0.001,"Dépasse le montant de la facture","OK")))))))))</f>
        <v/>
      </c>
    </row>
    <row r="967">
      <c r="A967" s="61" t="n"/>
      <c r="B967" s="60" t="n"/>
      <c r="C967" s="68" t="n"/>
      <c r="D967" s="60" t="n"/>
      <c r="E967" s="63" t="n"/>
      <c r="F967" s="63" t="n"/>
      <c r="G967" s="62" t="str">
        <f>IF(B967="","",IFERROR(INDEX(fa_cname,MATCH(B967,fa_num,0))&amp;"",""))</f>
        <v/>
      </c>
      <c r="H967" s="59" t="str">
        <f>IF(COUNTA(A967:F967)=0,"",IF(A967="","Date manquante",IF(NOT(ISNUMBER(A967)),"Date invalide",IF(B967="","N° de facture manquant",IF(ISNA(MATCH(B967,fa_num,0)),"Facture inconnue",IF(INDEX(fa_type,MATCH(B967,fa_num,0))="Avoir","Paiement sur un avoir",IF(OR(NOT(ISNUMBER(C967)),N(C967)&lt;=0),"Montant invalide",IF(A967&lt;INDEX(fa_date,MATCH(B967,fa_num,0)),"Date antérieure à la facture",IF(SUMIF($B$6:B967,B967,$C$6:C967)&gt;INDEX(fa_ttc,MATCH(B967,fa_num,0))-N(INDEX(fa_avoirs,MATCH(B967,fa_num,0)))+0.001,"Dépasse le montant de la facture","OK")))))))))</f>
        <v/>
      </c>
    </row>
    <row r="968">
      <c r="A968" s="61" t="n"/>
      <c r="B968" s="60" t="n"/>
      <c r="C968" s="68" t="n"/>
      <c r="D968" s="60" t="n"/>
      <c r="E968" s="63" t="n"/>
      <c r="F968" s="63" t="n"/>
      <c r="G968" s="62" t="str">
        <f>IF(B968="","",IFERROR(INDEX(fa_cname,MATCH(B968,fa_num,0))&amp;"",""))</f>
        <v/>
      </c>
      <c r="H968" s="59" t="str">
        <f>IF(COUNTA(A968:F968)=0,"",IF(A968="","Date manquante",IF(NOT(ISNUMBER(A968)),"Date invalide",IF(B968="","N° de facture manquant",IF(ISNA(MATCH(B968,fa_num,0)),"Facture inconnue",IF(INDEX(fa_type,MATCH(B968,fa_num,0))="Avoir","Paiement sur un avoir",IF(OR(NOT(ISNUMBER(C968)),N(C968)&lt;=0),"Montant invalide",IF(A968&lt;INDEX(fa_date,MATCH(B968,fa_num,0)),"Date antérieure à la facture",IF(SUMIF($B$6:B968,B968,$C$6:C968)&gt;INDEX(fa_ttc,MATCH(B968,fa_num,0))-N(INDEX(fa_avoirs,MATCH(B968,fa_num,0)))+0.001,"Dépasse le montant de la facture","OK")))))))))</f>
        <v/>
      </c>
    </row>
    <row r="969">
      <c r="A969" s="61" t="n"/>
      <c r="B969" s="60" t="n"/>
      <c r="C969" s="68" t="n"/>
      <c r="D969" s="60" t="n"/>
      <c r="E969" s="63" t="n"/>
      <c r="F969" s="63" t="n"/>
      <c r="G969" s="62" t="str">
        <f>IF(B969="","",IFERROR(INDEX(fa_cname,MATCH(B969,fa_num,0))&amp;"",""))</f>
        <v/>
      </c>
      <c r="H969" s="59" t="str">
        <f>IF(COUNTA(A969:F969)=0,"",IF(A969="","Date manquante",IF(NOT(ISNUMBER(A969)),"Date invalide",IF(B969="","N° de facture manquant",IF(ISNA(MATCH(B969,fa_num,0)),"Facture inconnue",IF(INDEX(fa_type,MATCH(B969,fa_num,0))="Avoir","Paiement sur un avoir",IF(OR(NOT(ISNUMBER(C969)),N(C969)&lt;=0),"Montant invalide",IF(A969&lt;INDEX(fa_date,MATCH(B969,fa_num,0)),"Date antérieure à la facture",IF(SUMIF($B$6:B969,B969,$C$6:C969)&gt;INDEX(fa_ttc,MATCH(B969,fa_num,0))-N(INDEX(fa_avoirs,MATCH(B969,fa_num,0)))+0.001,"Dépasse le montant de la facture","OK")))))))))</f>
        <v/>
      </c>
    </row>
    <row r="970">
      <c r="A970" s="61" t="n"/>
      <c r="B970" s="60" t="n"/>
      <c r="C970" s="68" t="n"/>
      <c r="D970" s="60" t="n"/>
      <c r="E970" s="63" t="n"/>
      <c r="F970" s="63" t="n"/>
      <c r="G970" s="62" t="str">
        <f>IF(B970="","",IFERROR(INDEX(fa_cname,MATCH(B970,fa_num,0))&amp;"",""))</f>
        <v/>
      </c>
      <c r="H970" s="59" t="str">
        <f>IF(COUNTA(A970:F970)=0,"",IF(A970="","Date manquante",IF(NOT(ISNUMBER(A970)),"Date invalide",IF(B970="","N° de facture manquant",IF(ISNA(MATCH(B970,fa_num,0)),"Facture inconnue",IF(INDEX(fa_type,MATCH(B970,fa_num,0))="Avoir","Paiement sur un avoir",IF(OR(NOT(ISNUMBER(C970)),N(C970)&lt;=0),"Montant invalide",IF(A970&lt;INDEX(fa_date,MATCH(B970,fa_num,0)),"Date antérieure à la facture",IF(SUMIF($B$6:B970,B970,$C$6:C970)&gt;INDEX(fa_ttc,MATCH(B970,fa_num,0))-N(INDEX(fa_avoirs,MATCH(B970,fa_num,0)))+0.001,"Dépasse le montant de la facture","OK")))))))))</f>
        <v/>
      </c>
    </row>
    <row r="971">
      <c r="A971" s="61" t="n"/>
      <c r="B971" s="60" t="n"/>
      <c r="C971" s="68" t="n"/>
      <c r="D971" s="60" t="n"/>
      <c r="E971" s="63" t="n"/>
      <c r="F971" s="63" t="n"/>
      <c r="G971" s="62" t="str">
        <f>IF(B971="","",IFERROR(INDEX(fa_cname,MATCH(B971,fa_num,0))&amp;"",""))</f>
        <v/>
      </c>
      <c r="H971" s="59" t="str">
        <f>IF(COUNTA(A971:F971)=0,"",IF(A971="","Date manquante",IF(NOT(ISNUMBER(A971)),"Date invalide",IF(B971="","N° de facture manquant",IF(ISNA(MATCH(B971,fa_num,0)),"Facture inconnue",IF(INDEX(fa_type,MATCH(B971,fa_num,0))="Avoir","Paiement sur un avoir",IF(OR(NOT(ISNUMBER(C971)),N(C971)&lt;=0),"Montant invalide",IF(A971&lt;INDEX(fa_date,MATCH(B971,fa_num,0)),"Date antérieure à la facture",IF(SUMIF($B$6:B971,B971,$C$6:C971)&gt;INDEX(fa_ttc,MATCH(B971,fa_num,0))-N(INDEX(fa_avoirs,MATCH(B971,fa_num,0)))+0.001,"Dépasse le montant de la facture","OK")))))))))</f>
        <v/>
      </c>
    </row>
    <row r="972">
      <c r="A972" s="61" t="n"/>
      <c r="B972" s="60" t="n"/>
      <c r="C972" s="68" t="n"/>
      <c r="D972" s="60" t="n"/>
      <c r="E972" s="63" t="n"/>
      <c r="F972" s="63" t="n"/>
      <c r="G972" s="62" t="str">
        <f>IF(B972="","",IFERROR(INDEX(fa_cname,MATCH(B972,fa_num,0))&amp;"",""))</f>
        <v/>
      </c>
      <c r="H972" s="59" t="str">
        <f>IF(COUNTA(A972:F972)=0,"",IF(A972="","Date manquante",IF(NOT(ISNUMBER(A972)),"Date invalide",IF(B972="","N° de facture manquant",IF(ISNA(MATCH(B972,fa_num,0)),"Facture inconnue",IF(INDEX(fa_type,MATCH(B972,fa_num,0))="Avoir","Paiement sur un avoir",IF(OR(NOT(ISNUMBER(C972)),N(C972)&lt;=0),"Montant invalide",IF(A972&lt;INDEX(fa_date,MATCH(B972,fa_num,0)),"Date antérieure à la facture",IF(SUMIF($B$6:B972,B972,$C$6:C972)&gt;INDEX(fa_ttc,MATCH(B972,fa_num,0))-N(INDEX(fa_avoirs,MATCH(B972,fa_num,0)))+0.001,"Dépasse le montant de la facture","OK")))))))))</f>
        <v/>
      </c>
    </row>
    <row r="973">
      <c r="A973" s="61" t="n"/>
      <c r="B973" s="60" t="n"/>
      <c r="C973" s="68" t="n"/>
      <c r="D973" s="60" t="n"/>
      <c r="E973" s="63" t="n"/>
      <c r="F973" s="63" t="n"/>
      <c r="G973" s="62" t="str">
        <f>IF(B973="","",IFERROR(INDEX(fa_cname,MATCH(B973,fa_num,0))&amp;"",""))</f>
        <v/>
      </c>
      <c r="H973" s="59" t="str">
        <f>IF(COUNTA(A973:F973)=0,"",IF(A973="","Date manquante",IF(NOT(ISNUMBER(A973)),"Date invalide",IF(B973="","N° de facture manquant",IF(ISNA(MATCH(B973,fa_num,0)),"Facture inconnue",IF(INDEX(fa_type,MATCH(B973,fa_num,0))="Avoir","Paiement sur un avoir",IF(OR(NOT(ISNUMBER(C973)),N(C973)&lt;=0),"Montant invalide",IF(A973&lt;INDEX(fa_date,MATCH(B973,fa_num,0)),"Date antérieure à la facture",IF(SUMIF($B$6:B973,B973,$C$6:C973)&gt;INDEX(fa_ttc,MATCH(B973,fa_num,0))-N(INDEX(fa_avoirs,MATCH(B973,fa_num,0)))+0.001,"Dépasse le montant de la facture","OK")))))))))</f>
        <v/>
      </c>
    </row>
    <row r="974">
      <c r="A974" s="61" t="n"/>
      <c r="B974" s="60" t="n"/>
      <c r="C974" s="68" t="n"/>
      <c r="D974" s="60" t="n"/>
      <c r="E974" s="63" t="n"/>
      <c r="F974" s="63" t="n"/>
      <c r="G974" s="62" t="str">
        <f>IF(B974="","",IFERROR(INDEX(fa_cname,MATCH(B974,fa_num,0))&amp;"",""))</f>
        <v/>
      </c>
      <c r="H974" s="59" t="str">
        <f>IF(COUNTA(A974:F974)=0,"",IF(A974="","Date manquante",IF(NOT(ISNUMBER(A974)),"Date invalide",IF(B974="","N° de facture manquant",IF(ISNA(MATCH(B974,fa_num,0)),"Facture inconnue",IF(INDEX(fa_type,MATCH(B974,fa_num,0))="Avoir","Paiement sur un avoir",IF(OR(NOT(ISNUMBER(C974)),N(C974)&lt;=0),"Montant invalide",IF(A974&lt;INDEX(fa_date,MATCH(B974,fa_num,0)),"Date antérieure à la facture",IF(SUMIF($B$6:B974,B974,$C$6:C974)&gt;INDEX(fa_ttc,MATCH(B974,fa_num,0))-N(INDEX(fa_avoirs,MATCH(B974,fa_num,0)))+0.001,"Dépasse le montant de la facture","OK")))))))))</f>
        <v/>
      </c>
    </row>
    <row r="975">
      <c r="A975" s="61" t="n"/>
      <c r="B975" s="60" t="n"/>
      <c r="C975" s="68" t="n"/>
      <c r="D975" s="60" t="n"/>
      <c r="E975" s="63" t="n"/>
      <c r="F975" s="63" t="n"/>
      <c r="G975" s="62" t="str">
        <f>IF(B975="","",IFERROR(INDEX(fa_cname,MATCH(B975,fa_num,0))&amp;"",""))</f>
        <v/>
      </c>
      <c r="H975" s="59" t="str">
        <f>IF(COUNTA(A975:F975)=0,"",IF(A975="","Date manquante",IF(NOT(ISNUMBER(A975)),"Date invalide",IF(B975="","N° de facture manquant",IF(ISNA(MATCH(B975,fa_num,0)),"Facture inconnue",IF(INDEX(fa_type,MATCH(B975,fa_num,0))="Avoir","Paiement sur un avoir",IF(OR(NOT(ISNUMBER(C975)),N(C975)&lt;=0),"Montant invalide",IF(A975&lt;INDEX(fa_date,MATCH(B975,fa_num,0)),"Date antérieure à la facture",IF(SUMIF($B$6:B975,B975,$C$6:C975)&gt;INDEX(fa_ttc,MATCH(B975,fa_num,0))-N(INDEX(fa_avoirs,MATCH(B975,fa_num,0)))+0.001,"Dépasse le montant de la facture","OK")))))))))</f>
        <v/>
      </c>
    </row>
    <row r="976">
      <c r="A976" s="61" t="n"/>
      <c r="B976" s="60" t="n"/>
      <c r="C976" s="68" t="n"/>
      <c r="D976" s="60" t="n"/>
      <c r="E976" s="63" t="n"/>
      <c r="F976" s="63" t="n"/>
      <c r="G976" s="62" t="str">
        <f>IF(B976="","",IFERROR(INDEX(fa_cname,MATCH(B976,fa_num,0))&amp;"",""))</f>
        <v/>
      </c>
      <c r="H976" s="59" t="str">
        <f>IF(COUNTA(A976:F976)=0,"",IF(A976="","Date manquante",IF(NOT(ISNUMBER(A976)),"Date invalide",IF(B976="","N° de facture manquant",IF(ISNA(MATCH(B976,fa_num,0)),"Facture inconnue",IF(INDEX(fa_type,MATCH(B976,fa_num,0))="Avoir","Paiement sur un avoir",IF(OR(NOT(ISNUMBER(C976)),N(C976)&lt;=0),"Montant invalide",IF(A976&lt;INDEX(fa_date,MATCH(B976,fa_num,0)),"Date antérieure à la facture",IF(SUMIF($B$6:B976,B976,$C$6:C976)&gt;INDEX(fa_ttc,MATCH(B976,fa_num,0))-N(INDEX(fa_avoirs,MATCH(B976,fa_num,0)))+0.001,"Dépasse le montant de la facture","OK")))))))))</f>
        <v/>
      </c>
    </row>
    <row r="977">
      <c r="A977" s="61" t="n"/>
      <c r="B977" s="60" t="n"/>
      <c r="C977" s="68" t="n"/>
      <c r="D977" s="60" t="n"/>
      <c r="E977" s="63" t="n"/>
      <c r="F977" s="63" t="n"/>
      <c r="G977" s="62" t="str">
        <f>IF(B977="","",IFERROR(INDEX(fa_cname,MATCH(B977,fa_num,0))&amp;"",""))</f>
        <v/>
      </c>
      <c r="H977" s="59" t="str">
        <f>IF(COUNTA(A977:F977)=0,"",IF(A977="","Date manquante",IF(NOT(ISNUMBER(A977)),"Date invalide",IF(B977="","N° de facture manquant",IF(ISNA(MATCH(B977,fa_num,0)),"Facture inconnue",IF(INDEX(fa_type,MATCH(B977,fa_num,0))="Avoir","Paiement sur un avoir",IF(OR(NOT(ISNUMBER(C977)),N(C977)&lt;=0),"Montant invalide",IF(A977&lt;INDEX(fa_date,MATCH(B977,fa_num,0)),"Date antérieure à la facture",IF(SUMIF($B$6:B977,B977,$C$6:C977)&gt;INDEX(fa_ttc,MATCH(B977,fa_num,0))-N(INDEX(fa_avoirs,MATCH(B977,fa_num,0)))+0.001,"Dépasse le montant de la facture","OK")))))))))</f>
        <v/>
      </c>
    </row>
    <row r="978">
      <c r="A978" s="61" t="n"/>
      <c r="B978" s="60" t="n"/>
      <c r="C978" s="68" t="n"/>
      <c r="D978" s="60" t="n"/>
      <c r="E978" s="63" t="n"/>
      <c r="F978" s="63" t="n"/>
      <c r="G978" s="62" t="str">
        <f>IF(B978="","",IFERROR(INDEX(fa_cname,MATCH(B978,fa_num,0))&amp;"",""))</f>
        <v/>
      </c>
      <c r="H978" s="59" t="str">
        <f>IF(COUNTA(A978:F978)=0,"",IF(A978="","Date manquante",IF(NOT(ISNUMBER(A978)),"Date invalide",IF(B978="","N° de facture manquant",IF(ISNA(MATCH(B978,fa_num,0)),"Facture inconnue",IF(INDEX(fa_type,MATCH(B978,fa_num,0))="Avoir","Paiement sur un avoir",IF(OR(NOT(ISNUMBER(C978)),N(C978)&lt;=0),"Montant invalide",IF(A978&lt;INDEX(fa_date,MATCH(B978,fa_num,0)),"Date antérieure à la facture",IF(SUMIF($B$6:B978,B978,$C$6:C978)&gt;INDEX(fa_ttc,MATCH(B978,fa_num,0))-N(INDEX(fa_avoirs,MATCH(B978,fa_num,0)))+0.001,"Dépasse le montant de la facture","OK")))))))))</f>
        <v/>
      </c>
    </row>
    <row r="979">
      <c r="A979" s="61" t="n"/>
      <c r="B979" s="60" t="n"/>
      <c r="C979" s="68" t="n"/>
      <c r="D979" s="60" t="n"/>
      <c r="E979" s="63" t="n"/>
      <c r="F979" s="63" t="n"/>
      <c r="G979" s="62" t="str">
        <f>IF(B979="","",IFERROR(INDEX(fa_cname,MATCH(B979,fa_num,0))&amp;"",""))</f>
        <v/>
      </c>
      <c r="H979" s="59" t="str">
        <f>IF(COUNTA(A979:F979)=0,"",IF(A979="","Date manquante",IF(NOT(ISNUMBER(A979)),"Date invalide",IF(B979="","N° de facture manquant",IF(ISNA(MATCH(B979,fa_num,0)),"Facture inconnue",IF(INDEX(fa_type,MATCH(B979,fa_num,0))="Avoir","Paiement sur un avoir",IF(OR(NOT(ISNUMBER(C979)),N(C979)&lt;=0),"Montant invalide",IF(A979&lt;INDEX(fa_date,MATCH(B979,fa_num,0)),"Date antérieure à la facture",IF(SUMIF($B$6:B979,B979,$C$6:C979)&gt;INDEX(fa_ttc,MATCH(B979,fa_num,0))-N(INDEX(fa_avoirs,MATCH(B979,fa_num,0)))+0.001,"Dépasse le montant de la facture","OK")))))))))</f>
        <v/>
      </c>
    </row>
    <row r="980">
      <c r="A980" s="61" t="n"/>
      <c r="B980" s="60" t="n"/>
      <c r="C980" s="68" t="n"/>
      <c r="D980" s="60" t="n"/>
      <c r="E980" s="63" t="n"/>
      <c r="F980" s="63" t="n"/>
      <c r="G980" s="62" t="str">
        <f>IF(B980="","",IFERROR(INDEX(fa_cname,MATCH(B980,fa_num,0))&amp;"",""))</f>
        <v/>
      </c>
      <c r="H980" s="59" t="str">
        <f>IF(COUNTA(A980:F980)=0,"",IF(A980="","Date manquante",IF(NOT(ISNUMBER(A980)),"Date invalide",IF(B980="","N° de facture manquant",IF(ISNA(MATCH(B980,fa_num,0)),"Facture inconnue",IF(INDEX(fa_type,MATCH(B980,fa_num,0))="Avoir","Paiement sur un avoir",IF(OR(NOT(ISNUMBER(C980)),N(C980)&lt;=0),"Montant invalide",IF(A980&lt;INDEX(fa_date,MATCH(B980,fa_num,0)),"Date antérieure à la facture",IF(SUMIF($B$6:B980,B980,$C$6:C980)&gt;INDEX(fa_ttc,MATCH(B980,fa_num,0))-N(INDEX(fa_avoirs,MATCH(B980,fa_num,0)))+0.001,"Dépasse le montant de la facture","OK")))))))))</f>
        <v/>
      </c>
    </row>
    <row r="981">
      <c r="A981" s="61" t="n"/>
      <c r="B981" s="60" t="n"/>
      <c r="C981" s="68" t="n"/>
      <c r="D981" s="60" t="n"/>
      <c r="E981" s="63" t="n"/>
      <c r="F981" s="63" t="n"/>
      <c r="G981" s="62" t="str">
        <f>IF(B981="","",IFERROR(INDEX(fa_cname,MATCH(B981,fa_num,0))&amp;"",""))</f>
        <v/>
      </c>
      <c r="H981" s="59" t="str">
        <f>IF(COUNTA(A981:F981)=0,"",IF(A981="","Date manquante",IF(NOT(ISNUMBER(A981)),"Date invalide",IF(B981="","N° de facture manquant",IF(ISNA(MATCH(B981,fa_num,0)),"Facture inconnue",IF(INDEX(fa_type,MATCH(B981,fa_num,0))="Avoir","Paiement sur un avoir",IF(OR(NOT(ISNUMBER(C981)),N(C981)&lt;=0),"Montant invalide",IF(A981&lt;INDEX(fa_date,MATCH(B981,fa_num,0)),"Date antérieure à la facture",IF(SUMIF($B$6:B981,B981,$C$6:C981)&gt;INDEX(fa_ttc,MATCH(B981,fa_num,0))-N(INDEX(fa_avoirs,MATCH(B981,fa_num,0)))+0.001,"Dépasse le montant de la facture","OK")))))))))</f>
        <v/>
      </c>
    </row>
    <row r="982">
      <c r="A982" s="61" t="n"/>
      <c r="B982" s="60" t="n"/>
      <c r="C982" s="68" t="n"/>
      <c r="D982" s="60" t="n"/>
      <c r="E982" s="63" t="n"/>
      <c r="F982" s="63" t="n"/>
      <c r="G982" s="62" t="str">
        <f>IF(B982="","",IFERROR(INDEX(fa_cname,MATCH(B982,fa_num,0))&amp;"",""))</f>
        <v/>
      </c>
      <c r="H982" s="59" t="str">
        <f>IF(COUNTA(A982:F982)=0,"",IF(A982="","Date manquante",IF(NOT(ISNUMBER(A982)),"Date invalide",IF(B982="","N° de facture manquant",IF(ISNA(MATCH(B982,fa_num,0)),"Facture inconnue",IF(INDEX(fa_type,MATCH(B982,fa_num,0))="Avoir","Paiement sur un avoir",IF(OR(NOT(ISNUMBER(C982)),N(C982)&lt;=0),"Montant invalide",IF(A982&lt;INDEX(fa_date,MATCH(B982,fa_num,0)),"Date antérieure à la facture",IF(SUMIF($B$6:B982,B982,$C$6:C982)&gt;INDEX(fa_ttc,MATCH(B982,fa_num,0))-N(INDEX(fa_avoirs,MATCH(B982,fa_num,0)))+0.001,"Dépasse le montant de la facture","OK")))))))))</f>
        <v/>
      </c>
    </row>
    <row r="983">
      <c r="A983" s="61" t="n"/>
      <c r="B983" s="60" t="n"/>
      <c r="C983" s="68" t="n"/>
      <c r="D983" s="60" t="n"/>
      <c r="E983" s="63" t="n"/>
      <c r="F983" s="63" t="n"/>
      <c r="G983" s="62" t="str">
        <f>IF(B983="","",IFERROR(INDEX(fa_cname,MATCH(B983,fa_num,0))&amp;"",""))</f>
        <v/>
      </c>
      <c r="H983" s="59" t="str">
        <f>IF(COUNTA(A983:F983)=0,"",IF(A983="","Date manquante",IF(NOT(ISNUMBER(A983)),"Date invalide",IF(B983="","N° de facture manquant",IF(ISNA(MATCH(B983,fa_num,0)),"Facture inconnue",IF(INDEX(fa_type,MATCH(B983,fa_num,0))="Avoir","Paiement sur un avoir",IF(OR(NOT(ISNUMBER(C983)),N(C983)&lt;=0),"Montant invalide",IF(A983&lt;INDEX(fa_date,MATCH(B983,fa_num,0)),"Date antérieure à la facture",IF(SUMIF($B$6:B983,B983,$C$6:C983)&gt;INDEX(fa_ttc,MATCH(B983,fa_num,0))-N(INDEX(fa_avoirs,MATCH(B983,fa_num,0)))+0.001,"Dépasse le montant de la facture","OK")))))))))</f>
        <v/>
      </c>
    </row>
    <row r="984">
      <c r="A984" s="61" t="n"/>
      <c r="B984" s="60" t="n"/>
      <c r="C984" s="68" t="n"/>
      <c r="D984" s="60" t="n"/>
      <c r="E984" s="63" t="n"/>
      <c r="F984" s="63" t="n"/>
      <c r="G984" s="62" t="str">
        <f>IF(B984="","",IFERROR(INDEX(fa_cname,MATCH(B984,fa_num,0))&amp;"",""))</f>
        <v/>
      </c>
      <c r="H984" s="59" t="str">
        <f>IF(COUNTA(A984:F984)=0,"",IF(A984="","Date manquante",IF(NOT(ISNUMBER(A984)),"Date invalide",IF(B984="","N° de facture manquant",IF(ISNA(MATCH(B984,fa_num,0)),"Facture inconnue",IF(INDEX(fa_type,MATCH(B984,fa_num,0))="Avoir","Paiement sur un avoir",IF(OR(NOT(ISNUMBER(C984)),N(C984)&lt;=0),"Montant invalide",IF(A984&lt;INDEX(fa_date,MATCH(B984,fa_num,0)),"Date antérieure à la facture",IF(SUMIF($B$6:B984,B984,$C$6:C984)&gt;INDEX(fa_ttc,MATCH(B984,fa_num,0))-N(INDEX(fa_avoirs,MATCH(B984,fa_num,0)))+0.001,"Dépasse le montant de la facture","OK")))))))))</f>
        <v/>
      </c>
    </row>
    <row r="985">
      <c r="A985" s="61" t="n"/>
      <c r="B985" s="60" t="n"/>
      <c r="C985" s="68" t="n"/>
      <c r="D985" s="60" t="n"/>
      <c r="E985" s="63" t="n"/>
      <c r="F985" s="63" t="n"/>
      <c r="G985" s="62" t="str">
        <f>IF(B985="","",IFERROR(INDEX(fa_cname,MATCH(B985,fa_num,0))&amp;"",""))</f>
        <v/>
      </c>
      <c r="H985" s="59" t="str">
        <f>IF(COUNTA(A985:F985)=0,"",IF(A985="","Date manquante",IF(NOT(ISNUMBER(A985)),"Date invalide",IF(B985="","N° de facture manquant",IF(ISNA(MATCH(B985,fa_num,0)),"Facture inconnue",IF(INDEX(fa_type,MATCH(B985,fa_num,0))="Avoir","Paiement sur un avoir",IF(OR(NOT(ISNUMBER(C985)),N(C985)&lt;=0),"Montant invalide",IF(A985&lt;INDEX(fa_date,MATCH(B985,fa_num,0)),"Date antérieure à la facture",IF(SUMIF($B$6:B985,B985,$C$6:C985)&gt;INDEX(fa_ttc,MATCH(B985,fa_num,0))-N(INDEX(fa_avoirs,MATCH(B985,fa_num,0)))+0.001,"Dépasse le montant de la facture","OK")))))))))</f>
        <v/>
      </c>
    </row>
    <row r="986">
      <c r="A986" s="61" t="n"/>
      <c r="B986" s="60" t="n"/>
      <c r="C986" s="68" t="n"/>
      <c r="D986" s="60" t="n"/>
      <c r="E986" s="63" t="n"/>
      <c r="F986" s="63" t="n"/>
      <c r="G986" s="62" t="str">
        <f>IF(B986="","",IFERROR(INDEX(fa_cname,MATCH(B986,fa_num,0))&amp;"",""))</f>
        <v/>
      </c>
      <c r="H986" s="59" t="str">
        <f>IF(COUNTA(A986:F986)=0,"",IF(A986="","Date manquante",IF(NOT(ISNUMBER(A986)),"Date invalide",IF(B986="","N° de facture manquant",IF(ISNA(MATCH(B986,fa_num,0)),"Facture inconnue",IF(INDEX(fa_type,MATCH(B986,fa_num,0))="Avoir","Paiement sur un avoir",IF(OR(NOT(ISNUMBER(C986)),N(C986)&lt;=0),"Montant invalide",IF(A986&lt;INDEX(fa_date,MATCH(B986,fa_num,0)),"Date antérieure à la facture",IF(SUMIF($B$6:B986,B986,$C$6:C986)&gt;INDEX(fa_ttc,MATCH(B986,fa_num,0))-N(INDEX(fa_avoirs,MATCH(B986,fa_num,0)))+0.001,"Dépasse le montant de la facture","OK")))))))))</f>
        <v/>
      </c>
    </row>
    <row r="987">
      <c r="A987" s="61" t="n"/>
      <c r="B987" s="60" t="n"/>
      <c r="C987" s="68" t="n"/>
      <c r="D987" s="60" t="n"/>
      <c r="E987" s="63" t="n"/>
      <c r="F987" s="63" t="n"/>
      <c r="G987" s="62" t="str">
        <f>IF(B987="","",IFERROR(INDEX(fa_cname,MATCH(B987,fa_num,0))&amp;"",""))</f>
        <v/>
      </c>
      <c r="H987" s="59" t="str">
        <f>IF(COUNTA(A987:F987)=0,"",IF(A987="","Date manquante",IF(NOT(ISNUMBER(A987)),"Date invalide",IF(B987="","N° de facture manquant",IF(ISNA(MATCH(B987,fa_num,0)),"Facture inconnue",IF(INDEX(fa_type,MATCH(B987,fa_num,0))="Avoir","Paiement sur un avoir",IF(OR(NOT(ISNUMBER(C987)),N(C987)&lt;=0),"Montant invalide",IF(A987&lt;INDEX(fa_date,MATCH(B987,fa_num,0)),"Date antérieure à la facture",IF(SUMIF($B$6:B987,B987,$C$6:C987)&gt;INDEX(fa_ttc,MATCH(B987,fa_num,0))-N(INDEX(fa_avoirs,MATCH(B987,fa_num,0)))+0.001,"Dépasse le montant de la facture","OK")))))))))</f>
        <v/>
      </c>
    </row>
    <row r="988">
      <c r="A988" s="61" t="n"/>
      <c r="B988" s="60" t="n"/>
      <c r="C988" s="68" t="n"/>
      <c r="D988" s="60" t="n"/>
      <c r="E988" s="63" t="n"/>
      <c r="F988" s="63" t="n"/>
      <c r="G988" s="62" t="str">
        <f>IF(B988="","",IFERROR(INDEX(fa_cname,MATCH(B988,fa_num,0))&amp;"",""))</f>
        <v/>
      </c>
      <c r="H988" s="59" t="str">
        <f>IF(COUNTA(A988:F988)=0,"",IF(A988="","Date manquante",IF(NOT(ISNUMBER(A988)),"Date invalide",IF(B988="","N° de facture manquant",IF(ISNA(MATCH(B988,fa_num,0)),"Facture inconnue",IF(INDEX(fa_type,MATCH(B988,fa_num,0))="Avoir","Paiement sur un avoir",IF(OR(NOT(ISNUMBER(C988)),N(C988)&lt;=0),"Montant invalide",IF(A988&lt;INDEX(fa_date,MATCH(B988,fa_num,0)),"Date antérieure à la facture",IF(SUMIF($B$6:B988,B988,$C$6:C988)&gt;INDEX(fa_ttc,MATCH(B988,fa_num,0))-N(INDEX(fa_avoirs,MATCH(B988,fa_num,0)))+0.001,"Dépasse le montant de la facture","OK")))))))))</f>
        <v/>
      </c>
    </row>
    <row r="989">
      <c r="A989" s="61" t="n"/>
      <c r="B989" s="60" t="n"/>
      <c r="C989" s="68" t="n"/>
      <c r="D989" s="60" t="n"/>
      <c r="E989" s="63" t="n"/>
      <c r="F989" s="63" t="n"/>
      <c r="G989" s="62" t="str">
        <f>IF(B989="","",IFERROR(INDEX(fa_cname,MATCH(B989,fa_num,0))&amp;"",""))</f>
        <v/>
      </c>
      <c r="H989" s="59" t="str">
        <f>IF(COUNTA(A989:F989)=0,"",IF(A989="","Date manquante",IF(NOT(ISNUMBER(A989)),"Date invalide",IF(B989="","N° de facture manquant",IF(ISNA(MATCH(B989,fa_num,0)),"Facture inconnue",IF(INDEX(fa_type,MATCH(B989,fa_num,0))="Avoir","Paiement sur un avoir",IF(OR(NOT(ISNUMBER(C989)),N(C989)&lt;=0),"Montant invalide",IF(A989&lt;INDEX(fa_date,MATCH(B989,fa_num,0)),"Date antérieure à la facture",IF(SUMIF($B$6:B989,B989,$C$6:C989)&gt;INDEX(fa_ttc,MATCH(B989,fa_num,0))-N(INDEX(fa_avoirs,MATCH(B989,fa_num,0)))+0.001,"Dépasse le montant de la facture","OK")))))))))</f>
        <v/>
      </c>
    </row>
    <row r="990">
      <c r="A990" s="61" t="n"/>
      <c r="B990" s="60" t="n"/>
      <c r="C990" s="68" t="n"/>
      <c r="D990" s="60" t="n"/>
      <c r="E990" s="63" t="n"/>
      <c r="F990" s="63" t="n"/>
      <c r="G990" s="62" t="str">
        <f>IF(B990="","",IFERROR(INDEX(fa_cname,MATCH(B990,fa_num,0))&amp;"",""))</f>
        <v/>
      </c>
      <c r="H990" s="59" t="str">
        <f>IF(COUNTA(A990:F990)=0,"",IF(A990="","Date manquante",IF(NOT(ISNUMBER(A990)),"Date invalide",IF(B990="","N° de facture manquant",IF(ISNA(MATCH(B990,fa_num,0)),"Facture inconnue",IF(INDEX(fa_type,MATCH(B990,fa_num,0))="Avoir","Paiement sur un avoir",IF(OR(NOT(ISNUMBER(C990)),N(C990)&lt;=0),"Montant invalide",IF(A990&lt;INDEX(fa_date,MATCH(B990,fa_num,0)),"Date antérieure à la facture",IF(SUMIF($B$6:B990,B990,$C$6:C990)&gt;INDEX(fa_ttc,MATCH(B990,fa_num,0))-N(INDEX(fa_avoirs,MATCH(B990,fa_num,0)))+0.001,"Dépasse le montant de la facture","OK")))))))))</f>
        <v/>
      </c>
    </row>
    <row r="991">
      <c r="A991" s="61" t="n"/>
      <c r="B991" s="60" t="n"/>
      <c r="C991" s="68" t="n"/>
      <c r="D991" s="60" t="n"/>
      <c r="E991" s="63" t="n"/>
      <c r="F991" s="63" t="n"/>
      <c r="G991" s="62" t="str">
        <f>IF(B991="","",IFERROR(INDEX(fa_cname,MATCH(B991,fa_num,0))&amp;"",""))</f>
        <v/>
      </c>
      <c r="H991" s="59" t="str">
        <f>IF(COUNTA(A991:F991)=0,"",IF(A991="","Date manquante",IF(NOT(ISNUMBER(A991)),"Date invalide",IF(B991="","N° de facture manquant",IF(ISNA(MATCH(B991,fa_num,0)),"Facture inconnue",IF(INDEX(fa_type,MATCH(B991,fa_num,0))="Avoir","Paiement sur un avoir",IF(OR(NOT(ISNUMBER(C991)),N(C991)&lt;=0),"Montant invalide",IF(A991&lt;INDEX(fa_date,MATCH(B991,fa_num,0)),"Date antérieure à la facture",IF(SUMIF($B$6:B991,B991,$C$6:C991)&gt;INDEX(fa_ttc,MATCH(B991,fa_num,0))-N(INDEX(fa_avoirs,MATCH(B991,fa_num,0)))+0.001,"Dépasse le montant de la facture","OK")))))))))</f>
        <v/>
      </c>
    </row>
    <row r="992">
      <c r="A992" s="61" t="n"/>
      <c r="B992" s="60" t="n"/>
      <c r="C992" s="68" t="n"/>
      <c r="D992" s="60" t="n"/>
      <c r="E992" s="63" t="n"/>
      <c r="F992" s="63" t="n"/>
      <c r="G992" s="62" t="str">
        <f>IF(B992="","",IFERROR(INDEX(fa_cname,MATCH(B992,fa_num,0))&amp;"",""))</f>
        <v/>
      </c>
      <c r="H992" s="59" t="str">
        <f>IF(COUNTA(A992:F992)=0,"",IF(A992="","Date manquante",IF(NOT(ISNUMBER(A992)),"Date invalide",IF(B992="","N° de facture manquant",IF(ISNA(MATCH(B992,fa_num,0)),"Facture inconnue",IF(INDEX(fa_type,MATCH(B992,fa_num,0))="Avoir","Paiement sur un avoir",IF(OR(NOT(ISNUMBER(C992)),N(C992)&lt;=0),"Montant invalide",IF(A992&lt;INDEX(fa_date,MATCH(B992,fa_num,0)),"Date antérieure à la facture",IF(SUMIF($B$6:B992,B992,$C$6:C992)&gt;INDEX(fa_ttc,MATCH(B992,fa_num,0))-N(INDEX(fa_avoirs,MATCH(B992,fa_num,0)))+0.001,"Dépasse le montant de la facture","OK")))))))))</f>
        <v/>
      </c>
    </row>
    <row r="993">
      <c r="A993" s="61" t="n"/>
      <c r="B993" s="60" t="n"/>
      <c r="C993" s="68" t="n"/>
      <c r="D993" s="60" t="n"/>
      <c r="E993" s="63" t="n"/>
      <c r="F993" s="63" t="n"/>
      <c r="G993" s="62" t="str">
        <f>IF(B993="","",IFERROR(INDEX(fa_cname,MATCH(B993,fa_num,0))&amp;"",""))</f>
        <v/>
      </c>
      <c r="H993" s="59" t="str">
        <f>IF(COUNTA(A993:F993)=0,"",IF(A993="","Date manquante",IF(NOT(ISNUMBER(A993)),"Date invalide",IF(B993="","N° de facture manquant",IF(ISNA(MATCH(B993,fa_num,0)),"Facture inconnue",IF(INDEX(fa_type,MATCH(B993,fa_num,0))="Avoir","Paiement sur un avoir",IF(OR(NOT(ISNUMBER(C993)),N(C993)&lt;=0),"Montant invalide",IF(A993&lt;INDEX(fa_date,MATCH(B993,fa_num,0)),"Date antérieure à la facture",IF(SUMIF($B$6:B993,B993,$C$6:C993)&gt;INDEX(fa_ttc,MATCH(B993,fa_num,0))-N(INDEX(fa_avoirs,MATCH(B993,fa_num,0)))+0.001,"Dépasse le montant de la facture","OK")))))))))</f>
        <v/>
      </c>
    </row>
    <row r="994">
      <c r="A994" s="61" t="n"/>
      <c r="B994" s="60" t="n"/>
      <c r="C994" s="68" t="n"/>
      <c r="D994" s="60" t="n"/>
      <c r="E994" s="63" t="n"/>
      <c r="F994" s="63" t="n"/>
      <c r="G994" s="62" t="str">
        <f>IF(B994="","",IFERROR(INDEX(fa_cname,MATCH(B994,fa_num,0))&amp;"",""))</f>
        <v/>
      </c>
      <c r="H994" s="59" t="str">
        <f>IF(COUNTA(A994:F994)=0,"",IF(A994="","Date manquante",IF(NOT(ISNUMBER(A994)),"Date invalide",IF(B994="","N° de facture manquant",IF(ISNA(MATCH(B994,fa_num,0)),"Facture inconnue",IF(INDEX(fa_type,MATCH(B994,fa_num,0))="Avoir","Paiement sur un avoir",IF(OR(NOT(ISNUMBER(C994)),N(C994)&lt;=0),"Montant invalide",IF(A994&lt;INDEX(fa_date,MATCH(B994,fa_num,0)),"Date antérieure à la facture",IF(SUMIF($B$6:B994,B994,$C$6:C994)&gt;INDEX(fa_ttc,MATCH(B994,fa_num,0))-N(INDEX(fa_avoirs,MATCH(B994,fa_num,0)))+0.001,"Dépasse le montant de la facture","OK")))))))))</f>
        <v/>
      </c>
    </row>
    <row r="995">
      <c r="A995" s="61" t="n"/>
      <c r="B995" s="60" t="n"/>
      <c r="C995" s="68" t="n"/>
      <c r="D995" s="60" t="n"/>
      <c r="E995" s="63" t="n"/>
      <c r="F995" s="63" t="n"/>
      <c r="G995" s="62" t="str">
        <f>IF(B995="","",IFERROR(INDEX(fa_cname,MATCH(B995,fa_num,0))&amp;"",""))</f>
        <v/>
      </c>
      <c r="H995" s="59" t="str">
        <f>IF(COUNTA(A995:F995)=0,"",IF(A995="","Date manquante",IF(NOT(ISNUMBER(A995)),"Date invalide",IF(B995="","N° de facture manquant",IF(ISNA(MATCH(B995,fa_num,0)),"Facture inconnue",IF(INDEX(fa_type,MATCH(B995,fa_num,0))="Avoir","Paiement sur un avoir",IF(OR(NOT(ISNUMBER(C995)),N(C995)&lt;=0),"Montant invalide",IF(A995&lt;INDEX(fa_date,MATCH(B995,fa_num,0)),"Date antérieure à la facture",IF(SUMIF($B$6:B995,B995,$C$6:C995)&gt;INDEX(fa_ttc,MATCH(B995,fa_num,0))-N(INDEX(fa_avoirs,MATCH(B995,fa_num,0)))+0.001,"Dépasse le montant de la facture","OK")))))))))</f>
        <v/>
      </c>
    </row>
    <row r="996">
      <c r="A996" s="61" t="n"/>
      <c r="B996" s="60" t="n"/>
      <c r="C996" s="68" t="n"/>
      <c r="D996" s="60" t="n"/>
      <c r="E996" s="63" t="n"/>
      <c r="F996" s="63" t="n"/>
      <c r="G996" s="62" t="str">
        <f>IF(B996="","",IFERROR(INDEX(fa_cname,MATCH(B996,fa_num,0))&amp;"",""))</f>
        <v/>
      </c>
      <c r="H996" s="59" t="str">
        <f>IF(COUNTA(A996:F996)=0,"",IF(A996="","Date manquante",IF(NOT(ISNUMBER(A996)),"Date invalide",IF(B996="","N° de facture manquant",IF(ISNA(MATCH(B996,fa_num,0)),"Facture inconnue",IF(INDEX(fa_type,MATCH(B996,fa_num,0))="Avoir","Paiement sur un avoir",IF(OR(NOT(ISNUMBER(C996)),N(C996)&lt;=0),"Montant invalide",IF(A996&lt;INDEX(fa_date,MATCH(B996,fa_num,0)),"Date antérieure à la facture",IF(SUMIF($B$6:B996,B996,$C$6:C996)&gt;INDEX(fa_ttc,MATCH(B996,fa_num,0))-N(INDEX(fa_avoirs,MATCH(B996,fa_num,0)))+0.001,"Dépasse le montant de la facture","OK")))))))))</f>
        <v/>
      </c>
    </row>
    <row r="997">
      <c r="A997" s="61" t="n"/>
      <c r="B997" s="60" t="n"/>
      <c r="C997" s="68" t="n"/>
      <c r="D997" s="60" t="n"/>
      <c r="E997" s="63" t="n"/>
      <c r="F997" s="63" t="n"/>
      <c r="G997" s="62" t="str">
        <f>IF(B997="","",IFERROR(INDEX(fa_cname,MATCH(B997,fa_num,0))&amp;"",""))</f>
        <v/>
      </c>
      <c r="H997" s="59" t="str">
        <f>IF(COUNTA(A997:F997)=0,"",IF(A997="","Date manquante",IF(NOT(ISNUMBER(A997)),"Date invalide",IF(B997="","N° de facture manquant",IF(ISNA(MATCH(B997,fa_num,0)),"Facture inconnue",IF(INDEX(fa_type,MATCH(B997,fa_num,0))="Avoir","Paiement sur un avoir",IF(OR(NOT(ISNUMBER(C997)),N(C997)&lt;=0),"Montant invalide",IF(A997&lt;INDEX(fa_date,MATCH(B997,fa_num,0)),"Date antérieure à la facture",IF(SUMIF($B$6:B997,B997,$C$6:C997)&gt;INDEX(fa_ttc,MATCH(B997,fa_num,0))-N(INDEX(fa_avoirs,MATCH(B997,fa_num,0)))+0.001,"Dépasse le montant de la facture","OK")))))))))</f>
        <v/>
      </c>
    </row>
    <row r="998">
      <c r="A998" s="61" t="n"/>
      <c r="B998" s="60" t="n"/>
      <c r="C998" s="68" t="n"/>
      <c r="D998" s="60" t="n"/>
      <c r="E998" s="63" t="n"/>
      <c r="F998" s="63" t="n"/>
      <c r="G998" s="62" t="str">
        <f>IF(B998="","",IFERROR(INDEX(fa_cname,MATCH(B998,fa_num,0))&amp;"",""))</f>
        <v/>
      </c>
      <c r="H998" s="59" t="str">
        <f>IF(COUNTA(A998:F998)=0,"",IF(A998="","Date manquante",IF(NOT(ISNUMBER(A998)),"Date invalide",IF(B998="","N° de facture manquant",IF(ISNA(MATCH(B998,fa_num,0)),"Facture inconnue",IF(INDEX(fa_type,MATCH(B998,fa_num,0))="Avoir","Paiement sur un avoir",IF(OR(NOT(ISNUMBER(C998)),N(C998)&lt;=0),"Montant invalide",IF(A998&lt;INDEX(fa_date,MATCH(B998,fa_num,0)),"Date antérieure à la facture",IF(SUMIF($B$6:B998,B998,$C$6:C998)&gt;INDEX(fa_ttc,MATCH(B998,fa_num,0))-N(INDEX(fa_avoirs,MATCH(B998,fa_num,0)))+0.001,"Dépasse le montant de la facture","OK")))))))))</f>
        <v/>
      </c>
    </row>
    <row r="999">
      <c r="A999" s="61" t="n"/>
      <c r="B999" s="60" t="n"/>
      <c r="C999" s="68" t="n"/>
      <c r="D999" s="60" t="n"/>
      <c r="E999" s="63" t="n"/>
      <c r="F999" s="63" t="n"/>
      <c r="G999" s="62" t="str">
        <f>IF(B999="","",IFERROR(INDEX(fa_cname,MATCH(B999,fa_num,0))&amp;"",""))</f>
        <v/>
      </c>
      <c r="H999" s="59" t="str">
        <f>IF(COUNTA(A999:F999)=0,"",IF(A999="","Date manquante",IF(NOT(ISNUMBER(A999)),"Date invalide",IF(B999="","N° de facture manquant",IF(ISNA(MATCH(B999,fa_num,0)),"Facture inconnue",IF(INDEX(fa_type,MATCH(B999,fa_num,0))="Avoir","Paiement sur un avoir",IF(OR(NOT(ISNUMBER(C999)),N(C999)&lt;=0),"Montant invalide",IF(A999&lt;INDEX(fa_date,MATCH(B999,fa_num,0)),"Date antérieure à la facture",IF(SUMIF($B$6:B999,B999,$C$6:C999)&gt;INDEX(fa_ttc,MATCH(B999,fa_num,0))-N(INDEX(fa_avoirs,MATCH(B999,fa_num,0)))+0.001,"Dépasse le montant de la facture","OK")))))))))</f>
        <v/>
      </c>
    </row>
    <row r="1000">
      <c r="A1000" s="61" t="n"/>
      <c r="B1000" s="60" t="n"/>
      <c r="C1000" s="68" t="n"/>
      <c r="D1000" s="60" t="n"/>
      <c r="E1000" s="63" t="n"/>
      <c r="F1000" s="63" t="n"/>
      <c r="G1000" s="62" t="str">
        <f>IF(B1000="","",IFERROR(INDEX(fa_cname,MATCH(B1000,fa_num,0))&amp;"",""))</f>
        <v/>
      </c>
      <c r="H1000" s="59" t="str">
        <f>IF(COUNTA(A1000:F1000)=0,"",IF(A1000="","Date manquante",IF(NOT(ISNUMBER(A1000)),"Date invalide",IF(B1000="","N° de facture manquant",IF(ISNA(MATCH(B1000,fa_num,0)),"Facture inconnue",IF(INDEX(fa_type,MATCH(B1000,fa_num,0))="Avoir","Paiement sur un avoir",IF(OR(NOT(ISNUMBER(C1000)),N(C1000)&lt;=0),"Montant invalide",IF(A1000&lt;INDEX(fa_date,MATCH(B1000,fa_num,0)),"Date antérieure à la facture",IF(SUMIF($B$6:B1000,B1000,$C$6:C1000)&gt;INDEX(fa_ttc,MATCH(B1000,fa_num,0))-N(INDEX(fa_avoirs,MATCH(B1000,fa_num,0)))+0.001,"Dépasse le montant de la facture","OK")))))))))</f>
        <v/>
      </c>
    </row>
    <row r="1001">
      <c r="A1001" s="61" t="n"/>
      <c r="B1001" s="60" t="n"/>
      <c r="C1001" s="68" t="n"/>
      <c r="D1001" s="60" t="n"/>
      <c r="E1001" s="63" t="n"/>
      <c r="F1001" s="63" t="n"/>
      <c r="G1001" s="62" t="str">
        <f>IF(B1001="","",IFERROR(INDEX(fa_cname,MATCH(B1001,fa_num,0))&amp;"",""))</f>
        <v/>
      </c>
      <c r="H1001" s="59" t="str">
        <f>IF(COUNTA(A1001:F1001)=0,"",IF(A1001="","Date manquante",IF(NOT(ISNUMBER(A1001)),"Date invalide",IF(B1001="","N° de facture manquant",IF(ISNA(MATCH(B1001,fa_num,0)),"Facture inconnue",IF(INDEX(fa_type,MATCH(B1001,fa_num,0))="Avoir","Paiement sur un avoir",IF(OR(NOT(ISNUMBER(C1001)),N(C1001)&lt;=0),"Montant invalide",IF(A1001&lt;INDEX(fa_date,MATCH(B1001,fa_num,0)),"Date antérieure à la facture",IF(SUMIF($B$6:B1001,B1001,$C$6:C1001)&gt;INDEX(fa_ttc,MATCH(B1001,fa_num,0))-N(INDEX(fa_avoirs,MATCH(B1001,fa_num,0)))+0.001,"Dépasse le montant de la facture","OK")))))))))</f>
        <v/>
      </c>
    </row>
    <row r="1002">
      <c r="A1002" s="61" t="n"/>
      <c r="B1002" s="60" t="n"/>
      <c r="C1002" s="68" t="n"/>
      <c r="D1002" s="60" t="n"/>
      <c r="E1002" s="63" t="n"/>
      <c r="F1002" s="63" t="n"/>
      <c r="G1002" s="62" t="str">
        <f>IF(B1002="","",IFERROR(INDEX(fa_cname,MATCH(B1002,fa_num,0))&amp;"",""))</f>
        <v/>
      </c>
      <c r="H1002" s="59" t="str">
        <f>IF(COUNTA(A1002:F1002)=0,"",IF(A1002="","Date manquante",IF(NOT(ISNUMBER(A1002)),"Date invalide",IF(B1002="","N° de facture manquant",IF(ISNA(MATCH(B1002,fa_num,0)),"Facture inconnue",IF(INDEX(fa_type,MATCH(B1002,fa_num,0))="Avoir","Paiement sur un avoir",IF(OR(NOT(ISNUMBER(C1002)),N(C1002)&lt;=0),"Montant invalide",IF(A1002&lt;INDEX(fa_date,MATCH(B1002,fa_num,0)),"Date antérieure à la facture",IF(SUMIF($B$6:B1002,B1002,$C$6:C1002)&gt;INDEX(fa_ttc,MATCH(B1002,fa_num,0))-N(INDEX(fa_avoirs,MATCH(B1002,fa_num,0)))+0.001,"Dépasse le montant de la facture","OK")))))))))</f>
        <v/>
      </c>
    </row>
    <row r="1003">
      <c r="A1003" s="61" t="n"/>
      <c r="B1003" s="60" t="n"/>
      <c r="C1003" s="68" t="n"/>
      <c r="D1003" s="60" t="n"/>
      <c r="E1003" s="63" t="n"/>
      <c r="F1003" s="63" t="n"/>
      <c r="G1003" s="62" t="str">
        <f>IF(B1003="","",IFERROR(INDEX(fa_cname,MATCH(B1003,fa_num,0))&amp;"",""))</f>
        <v/>
      </c>
      <c r="H1003" s="59" t="str">
        <f>IF(COUNTA(A1003:F1003)=0,"",IF(A1003="","Date manquante",IF(NOT(ISNUMBER(A1003)),"Date invalide",IF(B1003="","N° de facture manquant",IF(ISNA(MATCH(B1003,fa_num,0)),"Facture inconnue",IF(INDEX(fa_type,MATCH(B1003,fa_num,0))="Avoir","Paiement sur un avoir",IF(OR(NOT(ISNUMBER(C1003)),N(C1003)&lt;=0),"Montant invalide",IF(A1003&lt;INDEX(fa_date,MATCH(B1003,fa_num,0)),"Date antérieure à la facture",IF(SUMIF($B$6:B1003,B1003,$C$6:C1003)&gt;INDEX(fa_ttc,MATCH(B1003,fa_num,0))-N(INDEX(fa_avoirs,MATCH(B1003,fa_num,0)))+0.001,"Dépasse le montant de la facture","OK")))))))))</f>
        <v/>
      </c>
    </row>
    <row r="1004">
      <c r="A1004" s="61" t="n"/>
      <c r="B1004" s="60" t="n"/>
      <c r="C1004" s="68" t="n"/>
      <c r="D1004" s="60" t="n"/>
      <c r="E1004" s="63" t="n"/>
      <c r="F1004" s="63" t="n"/>
      <c r="G1004" s="62" t="str">
        <f>IF(B1004="","",IFERROR(INDEX(fa_cname,MATCH(B1004,fa_num,0))&amp;"",""))</f>
        <v/>
      </c>
      <c r="H1004" s="59" t="str">
        <f>IF(COUNTA(A1004:F1004)=0,"",IF(A1004="","Date manquante",IF(NOT(ISNUMBER(A1004)),"Date invalide",IF(B1004="","N° de facture manquant",IF(ISNA(MATCH(B1004,fa_num,0)),"Facture inconnue",IF(INDEX(fa_type,MATCH(B1004,fa_num,0))="Avoir","Paiement sur un avoir",IF(OR(NOT(ISNUMBER(C1004)),N(C1004)&lt;=0),"Montant invalide",IF(A1004&lt;INDEX(fa_date,MATCH(B1004,fa_num,0)),"Date antérieure à la facture",IF(SUMIF($B$6:B1004,B1004,$C$6:C1004)&gt;INDEX(fa_ttc,MATCH(B1004,fa_num,0))-N(INDEX(fa_avoirs,MATCH(B1004,fa_num,0)))+0.001,"Dépasse le montant de la facture","OK")))))))))</f>
        <v/>
      </c>
    </row>
    <row r="1005">
      <c r="A1005" s="61" t="n"/>
      <c r="B1005" s="60" t="n"/>
      <c r="C1005" s="68" t="n"/>
      <c r="D1005" s="60" t="n"/>
      <c r="E1005" s="63" t="n"/>
      <c r="F1005" s="63" t="n"/>
      <c r="G1005" s="62" t="str">
        <f>IF(B1005="","",IFERROR(INDEX(fa_cname,MATCH(B1005,fa_num,0))&amp;"",""))</f>
        <v/>
      </c>
      <c r="H1005" s="59" t="str">
        <f>IF(COUNTA(A1005:F1005)=0,"",IF(A1005="","Date manquante",IF(NOT(ISNUMBER(A1005)),"Date invalide",IF(B1005="","N° de facture manquant",IF(ISNA(MATCH(B1005,fa_num,0)),"Facture inconnue",IF(INDEX(fa_type,MATCH(B1005,fa_num,0))="Avoir","Paiement sur un avoir",IF(OR(NOT(ISNUMBER(C1005)),N(C1005)&lt;=0),"Montant invalide",IF(A1005&lt;INDEX(fa_date,MATCH(B1005,fa_num,0)),"Date antérieure à la facture",IF(SUMIF($B$6:B1005,B1005,$C$6:C1005)&gt;INDEX(fa_ttc,MATCH(B1005,fa_num,0))-N(INDEX(fa_avoirs,MATCH(B1005,fa_num,0)))+0.001,"Dépasse le montant de la facture","OK")))))))))</f>
        <v/>
      </c>
    </row>
    <row r="1006">
      <c r="A1006" s="61" t="n"/>
      <c r="B1006" s="60" t="n"/>
      <c r="C1006" s="68" t="n"/>
      <c r="D1006" s="60" t="n"/>
      <c r="E1006" s="63" t="n"/>
      <c r="F1006" s="63" t="n"/>
      <c r="G1006" s="62" t="str">
        <f>IF(B1006="","",IFERROR(INDEX(fa_cname,MATCH(B1006,fa_num,0))&amp;"",""))</f>
        <v/>
      </c>
      <c r="H1006" s="59" t="str">
        <f>IF(COUNTA(A1006:F1006)=0,"",IF(A1006="","Date manquante",IF(NOT(ISNUMBER(A1006)),"Date invalide",IF(B1006="","N° de facture manquant",IF(ISNA(MATCH(B1006,fa_num,0)),"Facture inconnue",IF(INDEX(fa_type,MATCH(B1006,fa_num,0))="Avoir","Paiement sur un avoir",IF(OR(NOT(ISNUMBER(C1006)),N(C1006)&lt;=0),"Montant invalide",IF(A1006&lt;INDEX(fa_date,MATCH(B1006,fa_num,0)),"Date antérieure à la facture",IF(SUMIF($B$6:B1006,B1006,$C$6:C1006)&gt;INDEX(fa_ttc,MATCH(B1006,fa_num,0))-N(INDEX(fa_avoirs,MATCH(B1006,fa_num,0)))+0.001,"Dépasse le montant de la facture","OK")))))))))</f>
        <v/>
      </c>
    </row>
    <row r="1007">
      <c r="A1007" s="61" t="n"/>
      <c r="B1007" s="60" t="n"/>
      <c r="C1007" s="68" t="n"/>
      <c r="D1007" s="60" t="n"/>
      <c r="E1007" s="63" t="n"/>
      <c r="F1007" s="63" t="n"/>
      <c r="G1007" s="62" t="str">
        <f>IF(B1007="","",IFERROR(INDEX(fa_cname,MATCH(B1007,fa_num,0))&amp;"",""))</f>
        <v/>
      </c>
      <c r="H1007" s="59" t="str">
        <f>IF(COUNTA(A1007:F1007)=0,"",IF(A1007="","Date manquante",IF(NOT(ISNUMBER(A1007)),"Date invalide",IF(B1007="","N° de facture manquant",IF(ISNA(MATCH(B1007,fa_num,0)),"Facture inconnue",IF(INDEX(fa_type,MATCH(B1007,fa_num,0))="Avoir","Paiement sur un avoir",IF(OR(NOT(ISNUMBER(C1007)),N(C1007)&lt;=0),"Montant invalide",IF(A1007&lt;INDEX(fa_date,MATCH(B1007,fa_num,0)),"Date antérieure à la facture",IF(SUMIF($B$6:B1007,B1007,$C$6:C1007)&gt;INDEX(fa_ttc,MATCH(B1007,fa_num,0))-N(INDEX(fa_avoirs,MATCH(B1007,fa_num,0)))+0.001,"Dépasse le montant de la facture","OK")))))))))</f>
        <v/>
      </c>
    </row>
    <row r="1008">
      <c r="A1008" s="61" t="n"/>
      <c r="B1008" s="60" t="n"/>
      <c r="C1008" s="68" t="n"/>
      <c r="D1008" s="60" t="n"/>
      <c r="E1008" s="63" t="n"/>
      <c r="F1008" s="63" t="n"/>
      <c r="G1008" s="62" t="str">
        <f>IF(B1008="","",IFERROR(INDEX(fa_cname,MATCH(B1008,fa_num,0))&amp;"",""))</f>
        <v/>
      </c>
      <c r="H1008" s="59" t="str">
        <f>IF(COUNTA(A1008:F1008)=0,"",IF(A1008="","Date manquante",IF(NOT(ISNUMBER(A1008)),"Date invalide",IF(B1008="","N° de facture manquant",IF(ISNA(MATCH(B1008,fa_num,0)),"Facture inconnue",IF(INDEX(fa_type,MATCH(B1008,fa_num,0))="Avoir","Paiement sur un avoir",IF(OR(NOT(ISNUMBER(C1008)),N(C1008)&lt;=0),"Montant invalide",IF(A1008&lt;INDEX(fa_date,MATCH(B1008,fa_num,0)),"Date antérieure à la facture",IF(SUMIF($B$6:B1008,B1008,$C$6:C1008)&gt;INDEX(fa_ttc,MATCH(B1008,fa_num,0))-N(INDEX(fa_avoirs,MATCH(B1008,fa_num,0)))+0.001,"Dépasse le montant de la facture","OK")))))))))</f>
        <v/>
      </c>
    </row>
    <row r="1009">
      <c r="A1009" s="61" t="n"/>
      <c r="B1009" s="60" t="n"/>
      <c r="C1009" s="68" t="n"/>
      <c r="D1009" s="60" t="n"/>
      <c r="E1009" s="63" t="n"/>
      <c r="F1009" s="63" t="n"/>
      <c r="G1009" s="62" t="str">
        <f>IF(B1009="","",IFERROR(INDEX(fa_cname,MATCH(B1009,fa_num,0))&amp;"",""))</f>
        <v/>
      </c>
      <c r="H1009" s="59" t="str">
        <f>IF(COUNTA(A1009:F1009)=0,"",IF(A1009="","Date manquante",IF(NOT(ISNUMBER(A1009)),"Date invalide",IF(B1009="","N° de facture manquant",IF(ISNA(MATCH(B1009,fa_num,0)),"Facture inconnue",IF(INDEX(fa_type,MATCH(B1009,fa_num,0))="Avoir","Paiement sur un avoir",IF(OR(NOT(ISNUMBER(C1009)),N(C1009)&lt;=0),"Montant invalide",IF(A1009&lt;INDEX(fa_date,MATCH(B1009,fa_num,0)),"Date antérieure à la facture",IF(SUMIF($B$6:B1009,B1009,$C$6:C1009)&gt;INDEX(fa_ttc,MATCH(B1009,fa_num,0))-N(INDEX(fa_avoirs,MATCH(B1009,fa_num,0)))+0.001,"Dépasse le montant de la facture","OK")))))))))</f>
        <v/>
      </c>
    </row>
    <row r="1010">
      <c r="A1010" s="61" t="n"/>
      <c r="B1010" s="60" t="n"/>
      <c r="C1010" s="68" t="n"/>
      <c r="D1010" s="60" t="n"/>
      <c r="E1010" s="63" t="n"/>
      <c r="F1010" s="63" t="n"/>
      <c r="G1010" s="62" t="str">
        <f>IF(B1010="","",IFERROR(INDEX(fa_cname,MATCH(B1010,fa_num,0))&amp;"",""))</f>
        <v/>
      </c>
      <c r="H1010" s="59" t="str">
        <f>IF(COUNTA(A1010:F1010)=0,"",IF(A1010="","Date manquante",IF(NOT(ISNUMBER(A1010)),"Date invalide",IF(B1010="","N° de facture manquant",IF(ISNA(MATCH(B1010,fa_num,0)),"Facture inconnue",IF(INDEX(fa_type,MATCH(B1010,fa_num,0))="Avoir","Paiement sur un avoir",IF(OR(NOT(ISNUMBER(C1010)),N(C1010)&lt;=0),"Montant invalide",IF(A1010&lt;INDEX(fa_date,MATCH(B1010,fa_num,0)),"Date antérieure à la facture",IF(SUMIF($B$6:B1010,B1010,$C$6:C1010)&gt;INDEX(fa_ttc,MATCH(B1010,fa_num,0))-N(INDEX(fa_avoirs,MATCH(B1010,fa_num,0)))+0.001,"Dépasse le montant de la facture","OK")))))))))</f>
        <v/>
      </c>
    </row>
    <row r="1011">
      <c r="A1011" s="61" t="n"/>
      <c r="B1011" s="60" t="n"/>
      <c r="C1011" s="68" t="n"/>
      <c r="D1011" s="60" t="n"/>
      <c r="E1011" s="63" t="n"/>
      <c r="F1011" s="63" t="n"/>
      <c r="G1011" s="62" t="str">
        <f>IF(B1011="","",IFERROR(INDEX(fa_cname,MATCH(B1011,fa_num,0))&amp;"",""))</f>
        <v/>
      </c>
      <c r="H1011" s="59" t="str">
        <f>IF(COUNTA(A1011:F1011)=0,"",IF(A1011="","Date manquante",IF(NOT(ISNUMBER(A1011)),"Date invalide",IF(B1011="","N° de facture manquant",IF(ISNA(MATCH(B1011,fa_num,0)),"Facture inconnue",IF(INDEX(fa_type,MATCH(B1011,fa_num,0))="Avoir","Paiement sur un avoir",IF(OR(NOT(ISNUMBER(C1011)),N(C1011)&lt;=0),"Montant invalide",IF(A1011&lt;INDEX(fa_date,MATCH(B1011,fa_num,0)),"Date antérieure à la facture",IF(SUMIF($B$6:B1011,B1011,$C$6:C1011)&gt;INDEX(fa_ttc,MATCH(B1011,fa_num,0))-N(INDEX(fa_avoirs,MATCH(B1011,fa_num,0)))+0.001,"Dépasse le montant de la facture","OK")))))))))</f>
        <v/>
      </c>
    </row>
    <row r="1012">
      <c r="A1012" s="61" t="n"/>
      <c r="B1012" s="60" t="n"/>
      <c r="C1012" s="68" t="n"/>
      <c r="D1012" s="60" t="n"/>
      <c r="E1012" s="63" t="n"/>
      <c r="F1012" s="63" t="n"/>
      <c r="G1012" s="62" t="str">
        <f>IF(B1012="","",IFERROR(INDEX(fa_cname,MATCH(B1012,fa_num,0))&amp;"",""))</f>
        <v/>
      </c>
      <c r="H1012" s="59" t="str">
        <f>IF(COUNTA(A1012:F1012)=0,"",IF(A1012="","Date manquante",IF(NOT(ISNUMBER(A1012)),"Date invalide",IF(B1012="","N° de facture manquant",IF(ISNA(MATCH(B1012,fa_num,0)),"Facture inconnue",IF(INDEX(fa_type,MATCH(B1012,fa_num,0))="Avoir","Paiement sur un avoir",IF(OR(NOT(ISNUMBER(C1012)),N(C1012)&lt;=0),"Montant invalide",IF(A1012&lt;INDEX(fa_date,MATCH(B1012,fa_num,0)),"Date antérieure à la facture",IF(SUMIF($B$6:B1012,B1012,$C$6:C1012)&gt;INDEX(fa_ttc,MATCH(B1012,fa_num,0))-N(INDEX(fa_avoirs,MATCH(B1012,fa_num,0)))+0.001,"Dépasse le montant de la facture","OK")))))))))</f>
        <v/>
      </c>
    </row>
    <row r="1013">
      <c r="A1013" s="61" t="n"/>
      <c r="B1013" s="60" t="n"/>
      <c r="C1013" s="68" t="n"/>
      <c r="D1013" s="60" t="n"/>
      <c r="E1013" s="63" t="n"/>
      <c r="F1013" s="63" t="n"/>
      <c r="G1013" s="62" t="str">
        <f>IF(B1013="","",IFERROR(INDEX(fa_cname,MATCH(B1013,fa_num,0))&amp;"",""))</f>
        <v/>
      </c>
      <c r="H1013" s="59" t="str">
        <f>IF(COUNTA(A1013:F1013)=0,"",IF(A1013="","Date manquante",IF(NOT(ISNUMBER(A1013)),"Date invalide",IF(B1013="","N° de facture manquant",IF(ISNA(MATCH(B1013,fa_num,0)),"Facture inconnue",IF(INDEX(fa_type,MATCH(B1013,fa_num,0))="Avoir","Paiement sur un avoir",IF(OR(NOT(ISNUMBER(C1013)),N(C1013)&lt;=0),"Montant invalide",IF(A1013&lt;INDEX(fa_date,MATCH(B1013,fa_num,0)),"Date antérieure à la facture",IF(SUMIF($B$6:B1013,B1013,$C$6:C1013)&gt;INDEX(fa_ttc,MATCH(B1013,fa_num,0))-N(INDEX(fa_avoirs,MATCH(B1013,fa_num,0)))+0.001,"Dépasse le montant de la facture","OK")))))))))</f>
        <v/>
      </c>
    </row>
    <row r="1014">
      <c r="A1014" s="61" t="n"/>
      <c r="B1014" s="60" t="n"/>
      <c r="C1014" s="68" t="n"/>
      <c r="D1014" s="60" t="n"/>
      <c r="E1014" s="63" t="n"/>
      <c r="F1014" s="63" t="n"/>
      <c r="G1014" s="62" t="str">
        <f>IF(B1014="","",IFERROR(INDEX(fa_cname,MATCH(B1014,fa_num,0))&amp;"",""))</f>
        <v/>
      </c>
      <c r="H1014" s="59" t="str">
        <f>IF(COUNTA(A1014:F1014)=0,"",IF(A1014="","Date manquante",IF(NOT(ISNUMBER(A1014)),"Date invalide",IF(B1014="","N° de facture manquant",IF(ISNA(MATCH(B1014,fa_num,0)),"Facture inconnue",IF(INDEX(fa_type,MATCH(B1014,fa_num,0))="Avoir","Paiement sur un avoir",IF(OR(NOT(ISNUMBER(C1014)),N(C1014)&lt;=0),"Montant invalide",IF(A1014&lt;INDEX(fa_date,MATCH(B1014,fa_num,0)),"Date antérieure à la facture",IF(SUMIF($B$6:B1014,B1014,$C$6:C1014)&gt;INDEX(fa_ttc,MATCH(B1014,fa_num,0))-N(INDEX(fa_avoirs,MATCH(B1014,fa_num,0)))+0.001,"Dépasse le montant de la facture","OK")))))))))</f>
        <v/>
      </c>
    </row>
    <row r="1015">
      <c r="A1015" s="61" t="n"/>
      <c r="B1015" s="60" t="n"/>
      <c r="C1015" s="68" t="n"/>
      <c r="D1015" s="60" t="n"/>
      <c r="E1015" s="63" t="n"/>
      <c r="F1015" s="63" t="n"/>
      <c r="G1015" s="62" t="str">
        <f>IF(B1015="","",IFERROR(INDEX(fa_cname,MATCH(B1015,fa_num,0))&amp;"",""))</f>
        <v/>
      </c>
      <c r="H1015" s="59" t="str">
        <f>IF(COUNTA(A1015:F1015)=0,"",IF(A1015="","Date manquante",IF(NOT(ISNUMBER(A1015)),"Date invalide",IF(B1015="","N° de facture manquant",IF(ISNA(MATCH(B1015,fa_num,0)),"Facture inconnue",IF(INDEX(fa_type,MATCH(B1015,fa_num,0))="Avoir","Paiement sur un avoir",IF(OR(NOT(ISNUMBER(C1015)),N(C1015)&lt;=0),"Montant invalide",IF(A1015&lt;INDEX(fa_date,MATCH(B1015,fa_num,0)),"Date antérieure à la facture",IF(SUMIF($B$6:B1015,B1015,$C$6:C1015)&gt;INDEX(fa_ttc,MATCH(B1015,fa_num,0))-N(INDEX(fa_avoirs,MATCH(B1015,fa_num,0)))+0.001,"Dépasse le montant de la facture","OK")))))))))</f>
        <v/>
      </c>
    </row>
    <row r="1016">
      <c r="A1016" s="61" t="n"/>
      <c r="B1016" s="60" t="n"/>
      <c r="C1016" s="68" t="n"/>
      <c r="D1016" s="60" t="n"/>
      <c r="E1016" s="63" t="n"/>
      <c r="F1016" s="63" t="n"/>
      <c r="G1016" s="62" t="str">
        <f>IF(B1016="","",IFERROR(INDEX(fa_cname,MATCH(B1016,fa_num,0))&amp;"",""))</f>
        <v/>
      </c>
      <c r="H1016" s="59" t="str">
        <f>IF(COUNTA(A1016:F1016)=0,"",IF(A1016="","Date manquante",IF(NOT(ISNUMBER(A1016)),"Date invalide",IF(B1016="","N° de facture manquant",IF(ISNA(MATCH(B1016,fa_num,0)),"Facture inconnue",IF(INDEX(fa_type,MATCH(B1016,fa_num,0))="Avoir","Paiement sur un avoir",IF(OR(NOT(ISNUMBER(C1016)),N(C1016)&lt;=0),"Montant invalide",IF(A1016&lt;INDEX(fa_date,MATCH(B1016,fa_num,0)),"Date antérieure à la facture",IF(SUMIF($B$6:B1016,B1016,$C$6:C1016)&gt;INDEX(fa_ttc,MATCH(B1016,fa_num,0))-N(INDEX(fa_avoirs,MATCH(B1016,fa_num,0)))+0.001,"Dépasse le montant de la facture","OK")))))))))</f>
        <v/>
      </c>
    </row>
    <row r="1017">
      <c r="A1017" s="61" t="n"/>
      <c r="B1017" s="60" t="n"/>
      <c r="C1017" s="68" t="n"/>
      <c r="D1017" s="60" t="n"/>
      <c r="E1017" s="63" t="n"/>
      <c r="F1017" s="63" t="n"/>
      <c r="G1017" s="62" t="str">
        <f>IF(B1017="","",IFERROR(INDEX(fa_cname,MATCH(B1017,fa_num,0))&amp;"",""))</f>
        <v/>
      </c>
      <c r="H1017" s="59" t="str">
        <f>IF(COUNTA(A1017:F1017)=0,"",IF(A1017="","Date manquante",IF(NOT(ISNUMBER(A1017)),"Date invalide",IF(B1017="","N° de facture manquant",IF(ISNA(MATCH(B1017,fa_num,0)),"Facture inconnue",IF(INDEX(fa_type,MATCH(B1017,fa_num,0))="Avoir","Paiement sur un avoir",IF(OR(NOT(ISNUMBER(C1017)),N(C1017)&lt;=0),"Montant invalide",IF(A1017&lt;INDEX(fa_date,MATCH(B1017,fa_num,0)),"Date antérieure à la facture",IF(SUMIF($B$6:B1017,B1017,$C$6:C1017)&gt;INDEX(fa_ttc,MATCH(B1017,fa_num,0))-N(INDEX(fa_avoirs,MATCH(B1017,fa_num,0)))+0.001,"Dépasse le montant de la facture","OK")))))))))</f>
        <v/>
      </c>
    </row>
    <row r="1018">
      <c r="A1018" s="61" t="n"/>
      <c r="B1018" s="60" t="n"/>
      <c r="C1018" s="68" t="n"/>
      <c r="D1018" s="60" t="n"/>
      <c r="E1018" s="63" t="n"/>
      <c r="F1018" s="63" t="n"/>
      <c r="G1018" s="62" t="str">
        <f>IF(B1018="","",IFERROR(INDEX(fa_cname,MATCH(B1018,fa_num,0))&amp;"",""))</f>
        <v/>
      </c>
      <c r="H1018" s="59" t="str">
        <f>IF(COUNTA(A1018:F1018)=0,"",IF(A1018="","Date manquante",IF(NOT(ISNUMBER(A1018)),"Date invalide",IF(B1018="","N° de facture manquant",IF(ISNA(MATCH(B1018,fa_num,0)),"Facture inconnue",IF(INDEX(fa_type,MATCH(B1018,fa_num,0))="Avoir","Paiement sur un avoir",IF(OR(NOT(ISNUMBER(C1018)),N(C1018)&lt;=0),"Montant invalide",IF(A1018&lt;INDEX(fa_date,MATCH(B1018,fa_num,0)),"Date antérieure à la facture",IF(SUMIF($B$6:B1018,B1018,$C$6:C1018)&gt;INDEX(fa_ttc,MATCH(B1018,fa_num,0))-N(INDEX(fa_avoirs,MATCH(B1018,fa_num,0)))+0.001,"Dépasse le montant de la facture","OK")))))))))</f>
        <v/>
      </c>
    </row>
    <row r="1019">
      <c r="A1019" s="61" t="n"/>
      <c r="B1019" s="60" t="n"/>
      <c r="C1019" s="68" t="n"/>
      <c r="D1019" s="60" t="n"/>
      <c r="E1019" s="63" t="n"/>
      <c r="F1019" s="63" t="n"/>
      <c r="G1019" s="62" t="str">
        <f>IF(B1019="","",IFERROR(INDEX(fa_cname,MATCH(B1019,fa_num,0))&amp;"",""))</f>
        <v/>
      </c>
      <c r="H1019" s="59" t="str">
        <f>IF(COUNTA(A1019:F1019)=0,"",IF(A1019="","Date manquante",IF(NOT(ISNUMBER(A1019)),"Date invalide",IF(B1019="","N° de facture manquant",IF(ISNA(MATCH(B1019,fa_num,0)),"Facture inconnue",IF(INDEX(fa_type,MATCH(B1019,fa_num,0))="Avoir","Paiement sur un avoir",IF(OR(NOT(ISNUMBER(C1019)),N(C1019)&lt;=0),"Montant invalide",IF(A1019&lt;INDEX(fa_date,MATCH(B1019,fa_num,0)),"Date antérieure à la facture",IF(SUMIF($B$6:B1019,B1019,$C$6:C1019)&gt;INDEX(fa_ttc,MATCH(B1019,fa_num,0))-N(INDEX(fa_avoirs,MATCH(B1019,fa_num,0)))+0.001,"Dépasse le montant de la facture","OK")))))))))</f>
        <v/>
      </c>
    </row>
    <row r="1020">
      <c r="A1020" s="61" t="n"/>
      <c r="B1020" s="60" t="n"/>
      <c r="C1020" s="68" t="n"/>
      <c r="D1020" s="60" t="n"/>
      <c r="E1020" s="63" t="n"/>
      <c r="F1020" s="63" t="n"/>
      <c r="G1020" s="62" t="str">
        <f>IF(B1020="","",IFERROR(INDEX(fa_cname,MATCH(B1020,fa_num,0))&amp;"",""))</f>
        <v/>
      </c>
      <c r="H1020" s="59" t="str">
        <f>IF(COUNTA(A1020:F1020)=0,"",IF(A1020="","Date manquante",IF(NOT(ISNUMBER(A1020)),"Date invalide",IF(B1020="","N° de facture manquant",IF(ISNA(MATCH(B1020,fa_num,0)),"Facture inconnue",IF(INDEX(fa_type,MATCH(B1020,fa_num,0))="Avoir","Paiement sur un avoir",IF(OR(NOT(ISNUMBER(C1020)),N(C1020)&lt;=0),"Montant invalide",IF(A1020&lt;INDEX(fa_date,MATCH(B1020,fa_num,0)),"Date antérieure à la facture",IF(SUMIF($B$6:B1020,B1020,$C$6:C1020)&gt;INDEX(fa_ttc,MATCH(B1020,fa_num,0))-N(INDEX(fa_avoirs,MATCH(B1020,fa_num,0)))+0.001,"Dépasse le montant de la facture","OK")))))))))</f>
        <v/>
      </c>
    </row>
    <row r="1021">
      <c r="A1021" s="61" t="n"/>
      <c r="B1021" s="60" t="n"/>
      <c r="C1021" s="68" t="n"/>
      <c r="D1021" s="60" t="n"/>
      <c r="E1021" s="63" t="n"/>
      <c r="F1021" s="63" t="n"/>
      <c r="G1021" s="62" t="str">
        <f>IF(B1021="","",IFERROR(INDEX(fa_cname,MATCH(B1021,fa_num,0))&amp;"",""))</f>
        <v/>
      </c>
      <c r="H1021" s="59" t="str">
        <f>IF(COUNTA(A1021:F1021)=0,"",IF(A1021="","Date manquante",IF(NOT(ISNUMBER(A1021)),"Date invalide",IF(B1021="","N° de facture manquant",IF(ISNA(MATCH(B1021,fa_num,0)),"Facture inconnue",IF(INDEX(fa_type,MATCH(B1021,fa_num,0))="Avoir","Paiement sur un avoir",IF(OR(NOT(ISNUMBER(C1021)),N(C1021)&lt;=0),"Montant invalide",IF(A1021&lt;INDEX(fa_date,MATCH(B1021,fa_num,0)),"Date antérieure à la facture",IF(SUMIF($B$6:B1021,B1021,$C$6:C1021)&gt;INDEX(fa_ttc,MATCH(B1021,fa_num,0))-N(INDEX(fa_avoirs,MATCH(B1021,fa_num,0)))+0.001,"Dépasse le montant de la facture","OK")))))))))</f>
        <v/>
      </c>
    </row>
    <row r="1022">
      <c r="A1022" s="61" t="n"/>
      <c r="B1022" s="60" t="n"/>
      <c r="C1022" s="68" t="n"/>
      <c r="D1022" s="60" t="n"/>
      <c r="E1022" s="63" t="n"/>
      <c r="F1022" s="63" t="n"/>
      <c r="G1022" s="62" t="str">
        <f>IF(B1022="","",IFERROR(INDEX(fa_cname,MATCH(B1022,fa_num,0))&amp;"",""))</f>
        <v/>
      </c>
      <c r="H1022" s="59" t="str">
        <f>IF(COUNTA(A1022:F1022)=0,"",IF(A1022="","Date manquante",IF(NOT(ISNUMBER(A1022)),"Date invalide",IF(B1022="","N° de facture manquant",IF(ISNA(MATCH(B1022,fa_num,0)),"Facture inconnue",IF(INDEX(fa_type,MATCH(B1022,fa_num,0))="Avoir","Paiement sur un avoir",IF(OR(NOT(ISNUMBER(C1022)),N(C1022)&lt;=0),"Montant invalide",IF(A1022&lt;INDEX(fa_date,MATCH(B1022,fa_num,0)),"Date antérieure à la facture",IF(SUMIF($B$6:B1022,B1022,$C$6:C1022)&gt;INDEX(fa_ttc,MATCH(B1022,fa_num,0))-N(INDEX(fa_avoirs,MATCH(B1022,fa_num,0)))+0.001,"Dépasse le montant de la facture","OK")))))))))</f>
        <v/>
      </c>
    </row>
    <row r="1023">
      <c r="A1023" s="61" t="n"/>
      <c r="B1023" s="60" t="n"/>
      <c r="C1023" s="68" t="n"/>
      <c r="D1023" s="60" t="n"/>
      <c r="E1023" s="63" t="n"/>
      <c r="F1023" s="63" t="n"/>
      <c r="G1023" s="62" t="str">
        <f>IF(B1023="","",IFERROR(INDEX(fa_cname,MATCH(B1023,fa_num,0))&amp;"",""))</f>
        <v/>
      </c>
      <c r="H1023" s="59" t="str">
        <f>IF(COUNTA(A1023:F1023)=0,"",IF(A1023="","Date manquante",IF(NOT(ISNUMBER(A1023)),"Date invalide",IF(B1023="","N° de facture manquant",IF(ISNA(MATCH(B1023,fa_num,0)),"Facture inconnue",IF(INDEX(fa_type,MATCH(B1023,fa_num,0))="Avoir","Paiement sur un avoir",IF(OR(NOT(ISNUMBER(C1023)),N(C1023)&lt;=0),"Montant invalide",IF(A1023&lt;INDEX(fa_date,MATCH(B1023,fa_num,0)),"Date antérieure à la facture",IF(SUMIF($B$6:B1023,B1023,$C$6:C1023)&gt;INDEX(fa_ttc,MATCH(B1023,fa_num,0))-N(INDEX(fa_avoirs,MATCH(B1023,fa_num,0)))+0.001,"Dépasse le montant de la facture","OK")))))))))</f>
        <v/>
      </c>
    </row>
    <row r="1024">
      <c r="A1024" s="61" t="n"/>
      <c r="B1024" s="60" t="n"/>
      <c r="C1024" s="68" t="n"/>
      <c r="D1024" s="60" t="n"/>
      <c r="E1024" s="63" t="n"/>
      <c r="F1024" s="63" t="n"/>
      <c r="G1024" s="62" t="str">
        <f>IF(B1024="","",IFERROR(INDEX(fa_cname,MATCH(B1024,fa_num,0))&amp;"",""))</f>
        <v/>
      </c>
      <c r="H1024" s="59" t="str">
        <f>IF(COUNTA(A1024:F1024)=0,"",IF(A1024="","Date manquante",IF(NOT(ISNUMBER(A1024)),"Date invalide",IF(B1024="","N° de facture manquant",IF(ISNA(MATCH(B1024,fa_num,0)),"Facture inconnue",IF(INDEX(fa_type,MATCH(B1024,fa_num,0))="Avoir","Paiement sur un avoir",IF(OR(NOT(ISNUMBER(C1024)),N(C1024)&lt;=0),"Montant invalide",IF(A1024&lt;INDEX(fa_date,MATCH(B1024,fa_num,0)),"Date antérieure à la facture",IF(SUMIF($B$6:B1024,B1024,$C$6:C1024)&gt;INDEX(fa_ttc,MATCH(B1024,fa_num,0))-N(INDEX(fa_avoirs,MATCH(B1024,fa_num,0)))+0.001,"Dépasse le montant de la facture","OK")))))))))</f>
        <v/>
      </c>
    </row>
    <row r="1025">
      <c r="A1025" s="61" t="n"/>
      <c r="B1025" s="60" t="n"/>
      <c r="C1025" s="68" t="n"/>
      <c r="D1025" s="60" t="n"/>
      <c r="E1025" s="63" t="n"/>
      <c r="F1025" s="63" t="n"/>
      <c r="G1025" s="62" t="str">
        <f>IF(B1025="","",IFERROR(INDEX(fa_cname,MATCH(B1025,fa_num,0))&amp;"",""))</f>
        <v/>
      </c>
      <c r="H1025" s="59" t="str">
        <f>IF(COUNTA(A1025:F1025)=0,"",IF(A1025="","Date manquante",IF(NOT(ISNUMBER(A1025)),"Date invalide",IF(B1025="","N° de facture manquant",IF(ISNA(MATCH(B1025,fa_num,0)),"Facture inconnue",IF(INDEX(fa_type,MATCH(B1025,fa_num,0))="Avoir","Paiement sur un avoir",IF(OR(NOT(ISNUMBER(C1025)),N(C1025)&lt;=0),"Montant invalide",IF(A1025&lt;INDEX(fa_date,MATCH(B1025,fa_num,0)),"Date antérieure à la facture",IF(SUMIF($B$6:B1025,B1025,$C$6:C1025)&gt;INDEX(fa_ttc,MATCH(B1025,fa_num,0))-N(INDEX(fa_avoirs,MATCH(B1025,fa_num,0)))+0.001,"Dépasse le montant de la facture","OK")))))))))</f>
        <v/>
      </c>
    </row>
    <row r="1026">
      <c r="A1026" s="61" t="n"/>
      <c r="B1026" s="60" t="n"/>
      <c r="C1026" s="68" t="n"/>
      <c r="D1026" s="60" t="n"/>
      <c r="E1026" s="63" t="n"/>
      <c r="F1026" s="63" t="n"/>
      <c r="G1026" s="62" t="str">
        <f>IF(B1026="","",IFERROR(INDEX(fa_cname,MATCH(B1026,fa_num,0))&amp;"",""))</f>
        <v/>
      </c>
      <c r="H1026" s="59" t="str">
        <f>IF(COUNTA(A1026:F1026)=0,"",IF(A1026="","Date manquante",IF(NOT(ISNUMBER(A1026)),"Date invalide",IF(B1026="","N° de facture manquant",IF(ISNA(MATCH(B1026,fa_num,0)),"Facture inconnue",IF(INDEX(fa_type,MATCH(B1026,fa_num,0))="Avoir","Paiement sur un avoir",IF(OR(NOT(ISNUMBER(C1026)),N(C1026)&lt;=0),"Montant invalide",IF(A1026&lt;INDEX(fa_date,MATCH(B1026,fa_num,0)),"Date antérieure à la facture",IF(SUMIF($B$6:B1026,B1026,$C$6:C1026)&gt;INDEX(fa_ttc,MATCH(B1026,fa_num,0))-N(INDEX(fa_avoirs,MATCH(B1026,fa_num,0)))+0.001,"Dépasse le montant de la facture","OK")))))))))</f>
        <v/>
      </c>
    </row>
    <row r="1027">
      <c r="A1027" s="61" t="n"/>
      <c r="B1027" s="60" t="n"/>
      <c r="C1027" s="68" t="n"/>
      <c r="D1027" s="60" t="n"/>
      <c r="E1027" s="63" t="n"/>
      <c r="F1027" s="63" t="n"/>
      <c r="G1027" s="62" t="str">
        <f>IF(B1027="","",IFERROR(INDEX(fa_cname,MATCH(B1027,fa_num,0))&amp;"",""))</f>
        <v/>
      </c>
      <c r="H1027" s="59" t="str">
        <f>IF(COUNTA(A1027:F1027)=0,"",IF(A1027="","Date manquante",IF(NOT(ISNUMBER(A1027)),"Date invalide",IF(B1027="","N° de facture manquant",IF(ISNA(MATCH(B1027,fa_num,0)),"Facture inconnue",IF(INDEX(fa_type,MATCH(B1027,fa_num,0))="Avoir","Paiement sur un avoir",IF(OR(NOT(ISNUMBER(C1027)),N(C1027)&lt;=0),"Montant invalide",IF(A1027&lt;INDEX(fa_date,MATCH(B1027,fa_num,0)),"Date antérieure à la facture",IF(SUMIF($B$6:B1027,B1027,$C$6:C1027)&gt;INDEX(fa_ttc,MATCH(B1027,fa_num,0))-N(INDEX(fa_avoirs,MATCH(B1027,fa_num,0)))+0.001,"Dépasse le montant de la facture","OK")))))))))</f>
        <v/>
      </c>
    </row>
    <row r="1028">
      <c r="A1028" s="61" t="n"/>
      <c r="B1028" s="60" t="n"/>
      <c r="C1028" s="68" t="n"/>
      <c r="D1028" s="60" t="n"/>
      <c r="E1028" s="63" t="n"/>
      <c r="F1028" s="63" t="n"/>
      <c r="G1028" s="62" t="str">
        <f>IF(B1028="","",IFERROR(INDEX(fa_cname,MATCH(B1028,fa_num,0))&amp;"",""))</f>
        <v/>
      </c>
      <c r="H1028" s="59" t="str">
        <f>IF(COUNTA(A1028:F1028)=0,"",IF(A1028="","Date manquante",IF(NOT(ISNUMBER(A1028)),"Date invalide",IF(B1028="","N° de facture manquant",IF(ISNA(MATCH(B1028,fa_num,0)),"Facture inconnue",IF(INDEX(fa_type,MATCH(B1028,fa_num,0))="Avoir","Paiement sur un avoir",IF(OR(NOT(ISNUMBER(C1028)),N(C1028)&lt;=0),"Montant invalide",IF(A1028&lt;INDEX(fa_date,MATCH(B1028,fa_num,0)),"Date antérieure à la facture",IF(SUMIF($B$6:B1028,B1028,$C$6:C1028)&gt;INDEX(fa_ttc,MATCH(B1028,fa_num,0))-N(INDEX(fa_avoirs,MATCH(B1028,fa_num,0)))+0.001,"Dépasse le montant de la facture","OK")))))))))</f>
        <v/>
      </c>
    </row>
    <row r="1029">
      <c r="A1029" s="61" t="n"/>
      <c r="B1029" s="60" t="n"/>
      <c r="C1029" s="68" t="n"/>
      <c r="D1029" s="60" t="n"/>
      <c r="E1029" s="63" t="n"/>
      <c r="F1029" s="63" t="n"/>
      <c r="G1029" s="62" t="str">
        <f>IF(B1029="","",IFERROR(INDEX(fa_cname,MATCH(B1029,fa_num,0))&amp;"",""))</f>
        <v/>
      </c>
      <c r="H1029" s="59" t="str">
        <f>IF(COUNTA(A1029:F1029)=0,"",IF(A1029="","Date manquante",IF(NOT(ISNUMBER(A1029)),"Date invalide",IF(B1029="","N° de facture manquant",IF(ISNA(MATCH(B1029,fa_num,0)),"Facture inconnue",IF(INDEX(fa_type,MATCH(B1029,fa_num,0))="Avoir","Paiement sur un avoir",IF(OR(NOT(ISNUMBER(C1029)),N(C1029)&lt;=0),"Montant invalide",IF(A1029&lt;INDEX(fa_date,MATCH(B1029,fa_num,0)),"Date antérieure à la facture",IF(SUMIF($B$6:B1029,B1029,$C$6:C1029)&gt;INDEX(fa_ttc,MATCH(B1029,fa_num,0))-N(INDEX(fa_avoirs,MATCH(B1029,fa_num,0)))+0.001,"Dépasse le montant de la facture","OK")))))))))</f>
        <v/>
      </c>
    </row>
    <row r="1030">
      <c r="A1030" s="61" t="n"/>
      <c r="B1030" s="60" t="n"/>
      <c r="C1030" s="68" t="n"/>
      <c r="D1030" s="60" t="n"/>
      <c r="E1030" s="63" t="n"/>
      <c r="F1030" s="63" t="n"/>
      <c r="G1030" s="62" t="str">
        <f>IF(B1030="","",IFERROR(INDEX(fa_cname,MATCH(B1030,fa_num,0))&amp;"",""))</f>
        <v/>
      </c>
      <c r="H1030" s="59" t="str">
        <f>IF(COUNTA(A1030:F1030)=0,"",IF(A1030="","Date manquante",IF(NOT(ISNUMBER(A1030)),"Date invalide",IF(B1030="","N° de facture manquant",IF(ISNA(MATCH(B1030,fa_num,0)),"Facture inconnue",IF(INDEX(fa_type,MATCH(B1030,fa_num,0))="Avoir","Paiement sur un avoir",IF(OR(NOT(ISNUMBER(C1030)),N(C1030)&lt;=0),"Montant invalide",IF(A1030&lt;INDEX(fa_date,MATCH(B1030,fa_num,0)),"Date antérieure à la facture",IF(SUMIF($B$6:B1030,B1030,$C$6:C1030)&gt;INDEX(fa_ttc,MATCH(B1030,fa_num,0))-N(INDEX(fa_avoirs,MATCH(B1030,fa_num,0)))+0.001,"Dépasse le montant de la facture","OK")))))))))</f>
        <v/>
      </c>
    </row>
    <row r="1031">
      <c r="A1031" s="61" t="n"/>
      <c r="B1031" s="60" t="n"/>
      <c r="C1031" s="68" t="n"/>
      <c r="D1031" s="60" t="n"/>
      <c r="E1031" s="63" t="n"/>
      <c r="F1031" s="63" t="n"/>
      <c r="G1031" s="62" t="str">
        <f>IF(B1031="","",IFERROR(INDEX(fa_cname,MATCH(B1031,fa_num,0))&amp;"",""))</f>
        <v/>
      </c>
      <c r="H1031" s="59" t="str">
        <f>IF(COUNTA(A1031:F1031)=0,"",IF(A1031="","Date manquante",IF(NOT(ISNUMBER(A1031)),"Date invalide",IF(B1031="","N° de facture manquant",IF(ISNA(MATCH(B1031,fa_num,0)),"Facture inconnue",IF(INDEX(fa_type,MATCH(B1031,fa_num,0))="Avoir","Paiement sur un avoir",IF(OR(NOT(ISNUMBER(C1031)),N(C1031)&lt;=0),"Montant invalide",IF(A1031&lt;INDEX(fa_date,MATCH(B1031,fa_num,0)),"Date antérieure à la facture",IF(SUMIF($B$6:B1031,B1031,$C$6:C1031)&gt;INDEX(fa_ttc,MATCH(B1031,fa_num,0))-N(INDEX(fa_avoirs,MATCH(B1031,fa_num,0)))+0.001,"Dépasse le montant de la facture","OK")))))))))</f>
        <v/>
      </c>
    </row>
    <row r="1032">
      <c r="A1032" s="61" t="n"/>
      <c r="B1032" s="60" t="n"/>
      <c r="C1032" s="68" t="n"/>
      <c r="D1032" s="60" t="n"/>
      <c r="E1032" s="63" t="n"/>
      <c r="F1032" s="63" t="n"/>
      <c r="G1032" s="62" t="str">
        <f>IF(B1032="","",IFERROR(INDEX(fa_cname,MATCH(B1032,fa_num,0))&amp;"",""))</f>
        <v/>
      </c>
      <c r="H1032" s="59" t="str">
        <f>IF(COUNTA(A1032:F1032)=0,"",IF(A1032="","Date manquante",IF(NOT(ISNUMBER(A1032)),"Date invalide",IF(B1032="","N° de facture manquant",IF(ISNA(MATCH(B1032,fa_num,0)),"Facture inconnue",IF(INDEX(fa_type,MATCH(B1032,fa_num,0))="Avoir","Paiement sur un avoir",IF(OR(NOT(ISNUMBER(C1032)),N(C1032)&lt;=0),"Montant invalide",IF(A1032&lt;INDEX(fa_date,MATCH(B1032,fa_num,0)),"Date antérieure à la facture",IF(SUMIF($B$6:B1032,B1032,$C$6:C1032)&gt;INDEX(fa_ttc,MATCH(B1032,fa_num,0))-N(INDEX(fa_avoirs,MATCH(B1032,fa_num,0)))+0.001,"Dépasse le montant de la facture","OK")))))))))</f>
        <v/>
      </c>
    </row>
    <row r="1033">
      <c r="A1033" s="61" t="n"/>
      <c r="B1033" s="60" t="n"/>
      <c r="C1033" s="68" t="n"/>
      <c r="D1033" s="60" t="n"/>
      <c r="E1033" s="63" t="n"/>
      <c r="F1033" s="63" t="n"/>
      <c r="G1033" s="62" t="str">
        <f>IF(B1033="","",IFERROR(INDEX(fa_cname,MATCH(B1033,fa_num,0))&amp;"",""))</f>
        <v/>
      </c>
      <c r="H1033" s="59" t="str">
        <f>IF(COUNTA(A1033:F1033)=0,"",IF(A1033="","Date manquante",IF(NOT(ISNUMBER(A1033)),"Date invalide",IF(B1033="","N° de facture manquant",IF(ISNA(MATCH(B1033,fa_num,0)),"Facture inconnue",IF(INDEX(fa_type,MATCH(B1033,fa_num,0))="Avoir","Paiement sur un avoir",IF(OR(NOT(ISNUMBER(C1033)),N(C1033)&lt;=0),"Montant invalide",IF(A1033&lt;INDEX(fa_date,MATCH(B1033,fa_num,0)),"Date antérieure à la facture",IF(SUMIF($B$6:B1033,B1033,$C$6:C1033)&gt;INDEX(fa_ttc,MATCH(B1033,fa_num,0))-N(INDEX(fa_avoirs,MATCH(B1033,fa_num,0)))+0.001,"Dépasse le montant de la facture","OK")))))))))</f>
        <v/>
      </c>
    </row>
    <row r="1034">
      <c r="A1034" s="61" t="n"/>
      <c r="B1034" s="60" t="n"/>
      <c r="C1034" s="68" t="n"/>
      <c r="D1034" s="60" t="n"/>
      <c r="E1034" s="63" t="n"/>
      <c r="F1034" s="63" t="n"/>
      <c r="G1034" s="62" t="str">
        <f>IF(B1034="","",IFERROR(INDEX(fa_cname,MATCH(B1034,fa_num,0))&amp;"",""))</f>
        <v/>
      </c>
      <c r="H1034" s="59" t="str">
        <f>IF(COUNTA(A1034:F1034)=0,"",IF(A1034="","Date manquante",IF(NOT(ISNUMBER(A1034)),"Date invalide",IF(B1034="","N° de facture manquant",IF(ISNA(MATCH(B1034,fa_num,0)),"Facture inconnue",IF(INDEX(fa_type,MATCH(B1034,fa_num,0))="Avoir","Paiement sur un avoir",IF(OR(NOT(ISNUMBER(C1034)),N(C1034)&lt;=0),"Montant invalide",IF(A1034&lt;INDEX(fa_date,MATCH(B1034,fa_num,0)),"Date antérieure à la facture",IF(SUMIF($B$6:B1034,B1034,$C$6:C1034)&gt;INDEX(fa_ttc,MATCH(B1034,fa_num,0))-N(INDEX(fa_avoirs,MATCH(B1034,fa_num,0)))+0.001,"Dépasse le montant de la facture","OK")))))))))</f>
        <v/>
      </c>
    </row>
    <row r="1035">
      <c r="A1035" s="61" t="n"/>
      <c r="B1035" s="60" t="n"/>
      <c r="C1035" s="68" t="n"/>
      <c r="D1035" s="60" t="n"/>
      <c r="E1035" s="63" t="n"/>
      <c r="F1035" s="63" t="n"/>
      <c r="G1035" s="62" t="str">
        <f>IF(B1035="","",IFERROR(INDEX(fa_cname,MATCH(B1035,fa_num,0))&amp;"",""))</f>
        <v/>
      </c>
      <c r="H1035" s="59" t="str">
        <f>IF(COUNTA(A1035:F1035)=0,"",IF(A1035="","Date manquante",IF(NOT(ISNUMBER(A1035)),"Date invalide",IF(B1035="","N° de facture manquant",IF(ISNA(MATCH(B1035,fa_num,0)),"Facture inconnue",IF(INDEX(fa_type,MATCH(B1035,fa_num,0))="Avoir","Paiement sur un avoir",IF(OR(NOT(ISNUMBER(C1035)),N(C1035)&lt;=0),"Montant invalide",IF(A1035&lt;INDEX(fa_date,MATCH(B1035,fa_num,0)),"Date antérieure à la facture",IF(SUMIF($B$6:B1035,B1035,$C$6:C1035)&gt;INDEX(fa_ttc,MATCH(B1035,fa_num,0))-N(INDEX(fa_avoirs,MATCH(B1035,fa_num,0)))+0.001,"Dépasse le montant de la facture","OK")))))))))</f>
        <v/>
      </c>
    </row>
    <row r="1036">
      <c r="A1036" s="61" t="n"/>
      <c r="B1036" s="60" t="n"/>
      <c r="C1036" s="68" t="n"/>
      <c r="D1036" s="60" t="n"/>
      <c r="E1036" s="63" t="n"/>
      <c r="F1036" s="63" t="n"/>
      <c r="G1036" s="62" t="str">
        <f>IF(B1036="","",IFERROR(INDEX(fa_cname,MATCH(B1036,fa_num,0))&amp;"",""))</f>
        <v/>
      </c>
      <c r="H1036" s="59" t="str">
        <f>IF(COUNTA(A1036:F1036)=0,"",IF(A1036="","Date manquante",IF(NOT(ISNUMBER(A1036)),"Date invalide",IF(B1036="","N° de facture manquant",IF(ISNA(MATCH(B1036,fa_num,0)),"Facture inconnue",IF(INDEX(fa_type,MATCH(B1036,fa_num,0))="Avoir","Paiement sur un avoir",IF(OR(NOT(ISNUMBER(C1036)),N(C1036)&lt;=0),"Montant invalide",IF(A1036&lt;INDEX(fa_date,MATCH(B1036,fa_num,0)),"Date antérieure à la facture",IF(SUMIF($B$6:B1036,B1036,$C$6:C1036)&gt;INDEX(fa_ttc,MATCH(B1036,fa_num,0))-N(INDEX(fa_avoirs,MATCH(B1036,fa_num,0)))+0.001,"Dépasse le montant de la facture","OK")))))))))</f>
        <v/>
      </c>
    </row>
    <row r="1037">
      <c r="A1037" s="61" t="n"/>
      <c r="B1037" s="60" t="n"/>
      <c r="C1037" s="68" t="n"/>
      <c r="D1037" s="60" t="n"/>
      <c r="E1037" s="63" t="n"/>
      <c r="F1037" s="63" t="n"/>
      <c r="G1037" s="62" t="str">
        <f>IF(B1037="","",IFERROR(INDEX(fa_cname,MATCH(B1037,fa_num,0))&amp;"",""))</f>
        <v/>
      </c>
      <c r="H1037" s="59" t="str">
        <f>IF(COUNTA(A1037:F1037)=0,"",IF(A1037="","Date manquante",IF(NOT(ISNUMBER(A1037)),"Date invalide",IF(B1037="","N° de facture manquant",IF(ISNA(MATCH(B1037,fa_num,0)),"Facture inconnue",IF(INDEX(fa_type,MATCH(B1037,fa_num,0))="Avoir","Paiement sur un avoir",IF(OR(NOT(ISNUMBER(C1037)),N(C1037)&lt;=0),"Montant invalide",IF(A1037&lt;INDEX(fa_date,MATCH(B1037,fa_num,0)),"Date antérieure à la facture",IF(SUMIF($B$6:B1037,B1037,$C$6:C1037)&gt;INDEX(fa_ttc,MATCH(B1037,fa_num,0))-N(INDEX(fa_avoirs,MATCH(B1037,fa_num,0)))+0.001,"Dépasse le montant de la facture","OK")))))))))</f>
        <v/>
      </c>
    </row>
    <row r="1038">
      <c r="A1038" s="61" t="n"/>
      <c r="B1038" s="60" t="n"/>
      <c r="C1038" s="68" t="n"/>
      <c r="D1038" s="60" t="n"/>
      <c r="E1038" s="63" t="n"/>
      <c r="F1038" s="63" t="n"/>
      <c r="G1038" s="62" t="str">
        <f>IF(B1038="","",IFERROR(INDEX(fa_cname,MATCH(B1038,fa_num,0))&amp;"",""))</f>
        <v/>
      </c>
      <c r="H1038" s="59" t="str">
        <f>IF(COUNTA(A1038:F1038)=0,"",IF(A1038="","Date manquante",IF(NOT(ISNUMBER(A1038)),"Date invalide",IF(B1038="","N° de facture manquant",IF(ISNA(MATCH(B1038,fa_num,0)),"Facture inconnue",IF(INDEX(fa_type,MATCH(B1038,fa_num,0))="Avoir","Paiement sur un avoir",IF(OR(NOT(ISNUMBER(C1038)),N(C1038)&lt;=0),"Montant invalide",IF(A1038&lt;INDEX(fa_date,MATCH(B1038,fa_num,0)),"Date antérieure à la facture",IF(SUMIF($B$6:B1038,B1038,$C$6:C1038)&gt;INDEX(fa_ttc,MATCH(B1038,fa_num,0))-N(INDEX(fa_avoirs,MATCH(B1038,fa_num,0)))+0.001,"Dépasse le montant de la facture","OK")))))))))</f>
        <v/>
      </c>
    </row>
    <row r="1039">
      <c r="A1039" s="61" t="n"/>
      <c r="B1039" s="60" t="n"/>
      <c r="C1039" s="68" t="n"/>
      <c r="D1039" s="60" t="n"/>
      <c r="E1039" s="63" t="n"/>
      <c r="F1039" s="63" t="n"/>
      <c r="G1039" s="62" t="str">
        <f>IF(B1039="","",IFERROR(INDEX(fa_cname,MATCH(B1039,fa_num,0))&amp;"",""))</f>
        <v/>
      </c>
      <c r="H1039" s="59" t="str">
        <f>IF(COUNTA(A1039:F1039)=0,"",IF(A1039="","Date manquante",IF(NOT(ISNUMBER(A1039)),"Date invalide",IF(B1039="","N° de facture manquant",IF(ISNA(MATCH(B1039,fa_num,0)),"Facture inconnue",IF(INDEX(fa_type,MATCH(B1039,fa_num,0))="Avoir","Paiement sur un avoir",IF(OR(NOT(ISNUMBER(C1039)),N(C1039)&lt;=0),"Montant invalide",IF(A1039&lt;INDEX(fa_date,MATCH(B1039,fa_num,0)),"Date antérieure à la facture",IF(SUMIF($B$6:B1039,B1039,$C$6:C1039)&gt;INDEX(fa_ttc,MATCH(B1039,fa_num,0))-N(INDEX(fa_avoirs,MATCH(B1039,fa_num,0)))+0.001,"Dépasse le montant de la facture","OK")))))))))</f>
        <v/>
      </c>
    </row>
    <row r="1040">
      <c r="A1040" s="61" t="n"/>
      <c r="B1040" s="60" t="n"/>
      <c r="C1040" s="68" t="n"/>
      <c r="D1040" s="60" t="n"/>
      <c r="E1040" s="63" t="n"/>
      <c r="F1040" s="63" t="n"/>
      <c r="G1040" s="62" t="str">
        <f>IF(B1040="","",IFERROR(INDEX(fa_cname,MATCH(B1040,fa_num,0))&amp;"",""))</f>
        <v/>
      </c>
      <c r="H1040" s="59" t="str">
        <f>IF(COUNTA(A1040:F1040)=0,"",IF(A1040="","Date manquante",IF(NOT(ISNUMBER(A1040)),"Date invalide",IF(B1040="","N° de facture manquant",IF(ISNA(MATCH(B1040,fa_num,0)),"Facture inconnue",IF(INDEX(fa_type,MATCH(B1040,fa_num,0))="Avoir","Paiement sur un avoir",IF(OR(NOT(ISNUMBER(C1040)),N(C1040)&lt;=0),"Montant invalide",IF(A1040&lt;INDEX(fa_date,MATCH(B1040,fa_num,0)),"Date antérieure à la facture",IF(SUMIF($B$6:B1040,B1040,$C$6:C1040)&gt;INDEX(fa_ttc,MATCH(B1040,fa_num,0))-N(INDEX(fa_avoirs,MATCH(B1040,fa_num,0)))+0.001,"Dépasse le montant de la facture","OK")))))))))</f>
        <v/>
      </c>
    </row>
    <row r="1041">
      <c r="A1041" s="61" t="n"/>
      <c r="B1041" s="60" t="n"/>
      <c r="C1041" s="68" t="n"/>
      <c r="D1041" s="60" t="n"/>
      <c r="E1041" s="63" t="n"/>
      <c r="F1041" s="63" t="n"/>
      <c r="G1041" s="62" t="str">
        <f>IF(B1041="","",IFERROR(INDEX(fa_cname,MATCH(B1041,fa_num,0))&amp;"",""))</f>
        <v/>
      </c>
      <c r="H1041" s="59" t="str">
        <f>IF(COUNTA(A1041:F1041)=0,"",IF(A1041="","Date manquante",IF(NOT(ISNUMBER(A1041)),"Date invalide",IF(B1041="","N° de facture manquant",IF(ISNA(MATCH(B1041,fa_num,0)),"Facture inconnue",IF(INDEX(fa_type,MATCH(B1041,fa_num,0))="Avoir","Paiement sur un avoir",IF(OR(NOT(ISNUMBER(C1041)),N(C1041)&lt;=0),"Montant invalide",IF(A1041&lt;INDEX(fa_date,MATCH(B1041,fa_num,0)),"Date antérieure à la facture",IF(SUMIF($B$6:B1041,B1041,$C$6:C1041)&gt;INDEX(fa_ttc,MATCH(B1041,fa_num,0))-N(INDEX(fa_avoirs,MATCH(B1041,fa_num,0)))+0.001,"Dépasse le montant de la facture","OK")))))))))</f>
        <v/>
      </c>
    </row>
    <row r="1042">
      <c r="A1042" s="61" t="n"/>
      <c r="B1042" s="60" t="n"/>
      <c r="C1042" s="68" t="n"/>
      <c r="D1042" s="60" t="n"/>
      <c r="E1042" s="63" t="n"/>
      <c r="F1042" s="63" t="n"/>
      <c r="G1042" s="62" t="str">
        <f>IF(B1042="","",IFERROR(INDEX(fa_cname,MATCH(B1042,fa_num,0))&amp;"",""))</f>
        <v/>
      </c>
      <c r="H1042" s="59" t="str">
        <f>IF(COUNTA(A1042:F1042)=0,"",IF(A1042="","Date manquante",IF(NOT(ISNUMBER(A1042)),"Date invalide",IF(B1042="","N° de facture manquant",IF(ISNA(MATCH(B1042,fa_num,0)),"Facture inconnue",IF(INDEX(fa_type,MATCH(B1042,fa_num,0))="Avoir","Paiement sur un avoir",IF(OR(NOT(ISNUMBER(C1042)),N(C1042)&lt;=0),"Montant invalide",IF(A1042&lt;INDEX(fa_date,MATCH(B1042,fa_num,0)),"Date antérieure à la facture",IF(SUMIF($B$6:B1042,B1042,$C$6:C1042)&gt;INDEX(fa_ttc,MATCH(B1042,fa_num,0))-N(INDEX(fa_avoirs,MATCH(B1042,fa_num,0)))+0.001,"Dépasse le montant de la facture","OK")))))))))</f>
        <v/>
      </c>
    </row>
    <row r="1043">
      <c r="A1043" s="61" t="n"/>
      <c r="B1043" s="60" t="n"/>
      <c r="C1043" s="68" t="n"/>
      <c r="D1043" s="60" t="n"/>
      <c r="E1043" s="63" t="n"/>
      <c r="F1043" s="63" t="n"/>
      <c r="G1043" s="62" t="str">
        <f>IF(B1043="","",IFERROR(INDEX(fa_cname,MATCH(B1043,fa_num,0))&amp;"",""))</f>
        <v/>
      </c>
      <c r="H1043" s="59" t="str">
        <f>IF(COUNTA(A1043:F1043)=0,"",IF(A1043="","Date manquante",IF(NOT(ISNUMBER(A1043)),"Date invalide",IF(B1043="","N° de facture manquant",IF(ISNA(MATCH(B1043,fa_num,0)),"Facture inconnue",IF(INDEX(fa_type,MATCH(B1043,fa_num,0))="Avoir","Paiement sur un avoir",IF(OR(NOT(ISNUMBER(C1043)),N(C1043)&lt;=0),"Montant invalide",IF(A1043&lt;INDEX(fa_date,MATCH(B1043,fa_num,0)),"Date antérieure à la facture",IF(SUMIF($B$6:B1043,B1043,$C$6:C1043)&gt;INDEX(fa_ttc,MATCH(B1043,fa_num,0))-N(INDEX(fa_avoirs,MATCH(B1043,fa_num,0)))+0.001,"Dépasse le montant de la facture","OK")))))))))</f>
        <v/>
      </c>
    </row>
    <row r="1044">
      <c r="A1044" s="61" t="n"/>
      <c r="B1044" s="60" t="n"/>
      <c r="C1044" s="68" t="n"/>
      <c r="D1044" s="60" t="n"/>
      <c r="E1044" s="63" t="n"/>
      <c r="F1044" s="63" t="n"/>
      <c r="G1044" s="62" t="str">
        <f>IF(B1044="","",IFERROR(INDEX(fa_cname,MATCH(B1044,fa_num,0))&amp;"",""))</f>
        <v/>
      </c>
      <c r="H1044" s="59" t="str">
        <f>IF(COUNTA(A1044:F1044)=0,"",IF(A1044="","Date manquante",IF(NOT(ISNUMBER(A1044)),"Date invalide",IF(B1044="","N° de facture manquant",IF(ISNA(MATCH(B1044,fa_num,0)),"Facture inconnue",IF(INDEX(fa_type,MATCH(B1044,fa_num,0))="Avoir","Paiement sur un avoir",IF(OR(NOT(ISNUMBER(C1044)),N(C1044)&lt;=0),"Montant invalide",IF(A1044&lt;INDEX(fa_date,MATCH(B1044,fa_num,0)),"Date antérieure à la facture",IF(SUMIF($B$6:B1044,B1044,$C$6:C1044)&gt;INDEX(fa_ttc,MATCH(B1044,fa_num,0))-N(INDEX(fa_avoirs,MATCH(B1044,fa_num,0)))+0.001,"Dépasse le montant de la facture","OK")))))))))</f>
        <v/>
      </c>
    </row>
    <row r="1045">
      <c r="A1045" s="61" t="n"/>
      <c r="B1045" s="60" t="n"/>
      <c r="C1045" s="68" t="n"/>
      <c r="D1045" s="60" t="n"/>
      <c r="E1045" s="63" t="n"/>
      <c r="F1045" s="63" t="n"/>
      <c r="G1045" s="62" t="str">
        <f>IF(B1045="","",IFERROR(INDEX(fa_cname,MATCH(B1045,fa_num,0))&amp;"",""))</f>
        <v/>
      </c>
      <c r="H1045" s="59" t="str">
        <f>IF(COUNTA(A1045:F1045)=0,"",IF(A1045="","Date manquante",IF(NOT(ISNUMBER(A1045)),"Date invalide",IF(B1045="","N° de facture manquant",IF(ISNA(MATCH(B1045,fa_num,0)),"Facture inconnue",IF(INDEX(fa_type,MATCH(B1045,fa_num,0))="Avoir","Paiement sur un avoir",IF(OR(NOT(ISNUMBER(C1045)),N(C1045)&lt;=0),"Montant invalide",IF(A1045&lt;INDEX(fa_date,MATCH(B1045,fa_num,0)),"Date antérieure à la facture",IF(SUMIF($B$6:B1045,B1045,$C$6:C1045)&gt;INDEX(fa_ttc,MATCH(B1045,fa_num,0))-N(INDEX(fa_avoirs,MATCH(B1045,fa_num,0)))+0.001,"Dépasse le montant de la facture","OK")))))))))</f>
        <v/>
      </c>
    </row>
    <row r="1046">
      <c r="A1046" s="61" t="n"/>
      <c r="B1046" s="60" t="n"/>
      <c r="C1046" s="68" t="n"/>
      <c r="D1046" s="60" t="n"/>
      <c r="E1046" s="63" t="n"/>
      <c r="F1046" s="63" t="n"/>
      <c r="G1046" s="62" t="str">
        <f>IF(B1046="","",IFERROR(INDEX(fa_cname,MATCH(B1046,fa_num,0))&amp;"",""))</f>
        <v/>
      </c>
      <c r="H1046" s="59" t="str">
        <f>IF(COUNTA(A1046:F1046)=0,"",IF(A1046="","Date manquante",IF(NOT(ISNUMBER(A1046)),"Date invalide",IF(B1046="","N° de facture manquant",IF(ISNA(MATCH(B1046,fa_num,0)),"Facture inconnue",IF(INDEX(fa_type,MATCH(B1046,fa_num,0))="Avoir","Paiement sur un avoir",IF(OR(NOT(ISNUMBER(C1046)),N(C1046)&lt;=0),"Montant invalide",IF(A1046&lt;INDEX(fa_date,MATCH(B1046,fa_num,0)),"Date antérieure à la facture",IF(SUMIF($B$6:B1046,B1046,$C$6:C1046)&gt;INDEX(fa_ttc,MATCH(B1046,fa_num,0))-N(INDEX(fa_avoirs,MATCH(B1046,fa_num,0)))+0.001,"Dépasse le montant de la facture","OK")))))))))</f>
        <v/>
      </c>
    </row>
    <row r="1047">
      <c r="A1047" s="61" t="n"/>
      <c r="B1047" s="60" t="n"/>
      <c r="C1047" s="68" t="n"/>
      <c r="D1047" s="60" t="n"/>
      <c r="E1047" s="63" t="n"/>
      <c r="F1047" s="63" t="n"/>
      <c r="G1047" s="62" t="str">
        <f>IF(B1047="","",IFERROR(INDEX(fa_cname,MATCH(B1047,fa_num,0))&amp;"",""))</f>
        <v/>
      </c>
      <c r="H1047" s="59" t="str">
        <f>IF(COUNTA(A1047:F1047)=0,"",IF(A1047="","Date manquante",IF(NOT(ISNUMBER(A1047)),"Date invalide",IF(B1047="","N° de facture manquant",IF(ISNA(MATCH(B1047,fa_num,0)),"Facture inconnue",IF(INDEX(fa_type,MATCH(B1047,fa_num,0))="Avoir","Paiement sur un avoir",IF(OR(NOT(ISNUMBER(C1047)),N(C1047)&lt;=0),"Montant invalide",IF(A1047&lt;INDEX(fa_date,MATCH(B1047,fa_num,0)),"Date antérieure à la facture",IF(SUMIF($B$6:B1047,B1047,$C$6:C1047)&gt;INDEX(fa_ttc,MATCH(B1047,fa_num,0))-N(INDEX(fa_avoirs,MATCH(B1047,fa_num,0)))+0.001,"Dépasse le montant de la facture","OK")))))))))</f>
        <v/>
      </c>
    </row>
    <row r="1048">
      <c r="A1048" s="61" t="n"/>
      <c r="B1048" s="60" t="n"/>
      <c r="C1048" s="68" t="n"/>
      <c r="D1048" s="60" t="n"/>
      <c r="E1048" s="63" t="n"/>
      <c r="F1048" s="63" t="n"/>
      <c r="G1048" s="62" t="str">
        <f>IF(B1048="","",IFERROR(INDEX(fa_cname,MATCH(B1048,fa_num,0))&amp;"",""))</f>
        <v/>
      </c>
      <c r="H1048" s="59" t="str">
        <f>IF(COUNTA(A1048:F1048)=0,"",IF(A1048="","Date manquante",IF(NOT(ISNUMBER(A1048)),"Date invalide",IF(B1048="","N° de facture manquant",IF(ISNA(MATCH(B1048,fa_num,0)),"Facture inconnue",IF(INDEX(fa_type,MATCH(B1048,fa_num,0))="Avoir","Paiement sur un avoir",IF(OR(NOT(ISNUMBER(C1048)),N(C1048)&lt;=0),"Montant invalide",IF(A1048&lt;INDEX(fa_date,MATCH(B1048,fa_num,0)),"Date antérieure à la facture",IF(SUMIF($B$6:B1048,B1048,$C$6:C1048)&gt;INDEX(fa_ttc,MATCH(B1048,fa_num,0))-N(INDEX(fa_avoirs,MATCH(B1048,fa_num,0)))+0.001,"Dépasse le montant de la facture","OK")))))))))</f>
        <v/>
      </c>
    </row>
    <row r="1049">
      <c r="A1049" s="61" t="n"/>
      <c r="B1049" s="60" t="n"/>
      <c r="C1049" s="68" t="n"/>
      <c r="D1049" s="60" t="n"/>
      <c r="E1049" s="63" t="n"/>
      <c r="F1049" s="63" t="n"/>
      <c r="G1049" s="62" t="str">
        <f>IF(B1049="","",IFERROR(INDEX(fa_cname,MATCH(B1049,fa_num,0))&amp;"",""))</f>
        <v/>
      </c>
      <c r="H1049" s="59" t="str">
        <f>IF(COUNTA(A1049:F1049)=0,"",IF(A1049="","Date manquante",IF(NOT(ISNUMBER(A1049)),"Date invalide",IF(B1049="","N° de facture manquant",IF(ISNA(MATCH(B1049,fa_num,0)),"Facture inconnue",IF(INDEX(fa_type,MATCH(B1049,fa_num,0))="Avoir","Paiement sur un avoir",IF(OR(NOT(ISNUMBER(C1049)),N(C1049)&lt;=0),"Montant invalide",IF(A1049&lt;INDEX(fa_date,MATCH(B1049,fa_num,0)),"Date antérieure à la facture",IF(SUMIF($B$6:B1049,B1049,$C$6:C1049)&gt;INDEX(fa_ttc,MATCH(B1049,fa_num,0))-N(INDEX(fa_avoirs,MATCH(B1049,fa_num,0)))+0.001,"Dépasse le montant de la facture","OK")))))))))</f>
        <v/>
      </c>
    </row>
    <row r="1050">
      <c r="A1050" s="61" t="n"/>
      <c r="B1050" s="60" t="n"/>
      <c r="C1050" s="68" t="n"/>
      <c r="D1050" s="60" t="n"/>
      <c r="E1050" s="63" t="n"/>
      <c r="F1050" s="63" t="n"/>
      <c r="G1050" s="62" t="str">
        <f>IF(B1050="","",IFERROR(INDEX(fa_cname,MATCH(B1050,fa_num,0))&amp;"",""))</f>
        <v/>
      </c>
      <c r="H1050" s="59" t="str">
        <f>IF(COUNTA(A1050:F1050)=0,"",IF(A1050="","Date manquante",IF(NOT(ISNUMBER(A1050)),"Date invalide",IF(B1050="","N° de facture manquant",IF(ISNA(MATCH(B1050,fa_num,0)),"Facture inconnue",IF(INDEX(fa_type,MATCH(B1050,fa_num,0))="Avoir","Paiement sur un avoir",IF(OR(NOT(ISNUMBER(C1050)),N(C1050)&lt;=0),"Montant invalide",IF(A1050&lt;INDEX(fa_date,MATCH(B1050,fa_num,0)),"Date antérieure à la facture",IF(SUMIF($B$6:B1050,B1050,$C$6:C1050)&gt;INDEX(fa_ttc,MATCH(B1050,fa_num,0))-N(INDEX(fa_avoirs,MATCH(B1050,fa_num,0)))+0.001,"Dépasse le montant de la facture","OK")))))))))</f>
        <v/>
      </c>
    </row>
    <row r="1051">
      <c r="A1051" s="61" t="n"/>
      <c r="B1051" s="60" t="n"/>
      <c r="C1051" s="68" t="n"/>
      <c r="D1051" s="60" t="n"/>
      <c r="E1051" s="63" t="n"/>
      <c r="F1051" s="63" t="n"/>
      <c r="G1051" s="62" t="str">
        <f>IF(B1051="","",IFERROR(INDEX(fa_cname,MATCH(B1051,fa_num,0))&amp;"",""))</f>
        <v/>
      </c>
      <c r="H1051" s="59" t="str">
        <f>IF(COUNTA(A1051:F1051)=0,"",IF(A1051="","Date manquante",IF(NOT(ISNUMBER(A1051)),"Date invalide",IF(B1051="","N° de facture manquant",IF(ISNA(MATCH(B1051,fa_num,0)),"Facture inconnue",IF(INDEX(fa_type,MATCH(B1051,fa_num,0))="Avoir","Paiement sur un avoir",IF(OR(NOT(ISNUMBER(C1051)),N(C1051)&lt;=0),"Montant invalide",IF(A1051&lt;INDEX(fa_date,MATCH(B1051,fa_num,0)),"Date antérieure à la facture",IF(SUMIF($B$6:B1051,B1051,$C$6:C1051)&gt;INDEX(fa_ttc,MATCH(B1051,fa_num,0))-N(INDEX(fa_avoirs,MATCH(B1051,fa_num,0)))+0.001,"Dépasse le montant de la facture","OK")))))))))</f>
        <v/>
      </c>
    </row>
    <row r="1052">
      <c r="A1052" s="61" t="n"/>
      <c r="B1052" s="60" t="n"/>
      <c r="C1052" s="68" t="n"/>
      <c r="D1052" s="60" t="n"/>
      <c r="E1052" s="63" t="n"/>
      <c r="F1052" s="63" t="n"/>
      <c r="G1052" s="62" t="str">
        <f>IF(B1052="","",IFERROR(INDEX(fa_cname,MATCH(B1052,fa_num,0))&amp;"",""))</f>
        <v/>
      </c>
      <c r="H1052" s="59" t="str">
        <f>IF(COUNTA(A1052:F1052)=0,"",IF(A1052="","Date manquante",IF(NOT(ISNUMBER(A1052)),"Date invalide",IF(B1052="","N° de facture manquant",IF(ISNA(MATCH(B1052,fa_num,0)),"Facture inconnue",IF(INDEX(fa_type,MATCH(B1052,fa_num,0))="Avoir","Paiement sur un avoir",IF(OR(NOT(ISNUMBER(C1052)),N(C1052)&lt;=0),"Montant invalide",IF(A1052&lt;INDEX(fa_date,MATCH(B1052,fa_num,0)),"Date antérieure à la facture",IF(SUMIF($B$6:B1052,B1052,$C$6:C1052)&gt;INDEX(fa_ttc,MATCH(B1052,fa_num,0))-N(INDEX(fa_avoirs,MATCH(B1052,fa_num,0)))+0.001,"Dépasse le montant de la facture","OK")))))))))</f>
        <v/>
      </c>
    </row>
    <row r="1053">
      <c r="A1053" s="61" t="n"/>
      <c r="B1053" s="60" t="n"/>
      <c r="C1053" s="68" t="n"/>
      <c r="D1053" s="60" t="n"/>
      <c r="E1053" s="63" t="n"/>
      <c r="F1053" s="63" t="n"/>
      <c r="G1053" s="62" t="str">
        <f>IF(B1053="","",IFERROR(INDEX(fa_cname,MATCH(B1053,fa_num,0))&amp;"",""))</f>
        <v/>
      </c>
      <c r="H1053" s="59" t="str">
        <f>IF(COUNTA(A1053:F1053)=0,"",IF(A1053="","Date manquante",IF(NOT(ISNUMBER(A1053)),"Date invalide",IF(B1053="","N° de facture manquant",IF(ISNA(MATCH(B1053,fa_num,0)),"Facture inconnue",IF(INDEX(fa_type,MATCH(B1053,fa_num,0))="Avoir","Paiement sur un avoir",IF(OR(NOT(ISNUMBER(C1053)),N(C1053)&lt;=0),"Montant invalide",IF(A1053&lt;INDEX(fa_date,MATCH(B1053,fa_num,0)),"Date antérieure à la facture",IF(SUMIF($B$6:B1053,B1053,$C$6:C1053)&gt;INDEX(fa_ttc,MATCH(B1053,fa_num,0))-N(INDEX(fa_avoirs,MATCH(B1053,fa_num,0)))+0.001,"Dépasse le montant de la facture","OK")))))))))</f>
        <v/>
      </c>
    </row>
    <row r="1054">
      <c r="A1054" s="61" t="n"/>
      <c r="B1054" s="60" t="n"/>
      <c r="C1054" s="68" t="n"/>
      <c r="D1054" s="60" t="n"/>
      <c r="E1054" s="63" t="n"/>
      <c r="F1054" s="63" t="n"/>
      <c r="G1054" s="62" t="str">
        <f>IF(B1054="","",IFERROR(INDEX(fa_cname,MATCH(B1054,fa_num,0))&amp;"",""))</f>
        <v/>
      </c>
      <c r="H1054" s="59" t="str">
        <f>IF(COUNTA(A1054:F1054)=0,"",IF(A1054="","Date manquante",IF(NOT(ISNUMBER(A1054)),"Date invalide",IF(B1054="","N° de facture manquant",IF(ISNA(MATCH(B1054,fa_num,0)),"Facture inconnue",IF(INDEX(fa_type,MATCH(B1054,fa_num,0))="Avoir","Paiement sur un avoir",IF(OR(NOT(ISNUMBER(C1054)),N(C1054)&lt;=0),"Montant invalide",IF(A1054&lt;INDEX(fa_date,MATCH(B1054,fa_num,0)),"Date antérieure à la facture",IF(SUMIF($B$6:B1054,B1054,$C$6:C1054)&gt;INDEX(fa_ttc,MATCH(B1054,fa_num,0))-N(INDEX(fa_avoirs,MATCH(B1054,fa_num,0)))+0.001,"Dépasse le montant de la facture","OK")))))))))</f>
        <v/>
      </c>
    </row>
    <row r="1055">
      <c r="A1055" s="61" t="n"/>
      <c r="B1055" s="60" t="n"/>
      <c r="C1055" s="68" t="n"/>
      <c r="D1055" s="60" t="n"/>
      <c r="E1055" s="63" t="n"/>
      <c r="F1055" s="63" t="n"/>
      <c r="G1055" s="62" t="str">
        <f>IF(B1055="","",IFERROR(INDEX(fa_cname,MATCH(B1055,fa_num,0))&amp;"",""))</f>
        <v/>
      </c>
      <c r="H1055" s="59" t="str">
        <f>IF(COUNTA(A1055:F1055)=0,"",IF(A1055="","Date manquante",IF(NOT(ISNUMBER(A1055)),"Date invalide",IF(B1055="","N° de facture manquant",IF(ISNA(MATCH(B1055,fa_num,0)),"Facture inconnue",IF(INDEX(fa_type,MATCH(B1055,fa_num,0))="Avoir","Paiement sur un avoir",IF(OR(NOT(ISNUMBER(C1055)),N(C1055)&lt;=0),"Montant invalide",IF(A1055&lt;INDEX(fa_date,MATCH(B1055,fa_num,0)),"Date antérieure à la facture",IF(SUMIF($B$6:B1055,B1055,$C$6:C1055)&gt;INDEX(fa_ttc,MATCH(B1055,fa_num,0))-N(INDEX(fa_avoirs,MATCH(B1055,fa_num,0)))+0.001,"Dépasse le montant de la facture","OK")))))))))</f>
        <v/>
      </c>
    </row>
    <row r="1056">
      <c r="A1056" s="61" t="n"/>
      <c r="B1056" s="60" t="n"/>
      <c r="C1056" s="68" t="n"/>
      <c r="D1056" s="60" t="n"/>
      <c r="E1056" s="63" t="n"/>
      <c r="F1056" s="63" t="n"/>
      <c r="G1056" s="62" t="str">
        <f>IF(B1056="","",IFERROR(INDEX(fa_cname,MATCH(B1056,fa_num,0))&amp;"",""))</f>
        <v/>
      </c>
      <c r="H1056" s="59" t="str">
        <f>IF(COUNTA(A1056:F1056)=0,"",IF(A1056="","Date manquante",IF(NOT(ISNUMBER(A1056)),"Date invalide",IF(B1056="","N° de facture manquant",IF(ISNA(MATCH(B1056,fa_num,0)),"Facture inconnue",IF(INDEX(fa_type,MATCH(B1056,fa_num,0))="Avoir","Paiement sur un avoir",IF(OR(NOT(ISNUMBER(C1056)),N(C1056)&lt;=0),"Montant invalide",IF(A1056&lt;INDEX(fa_date,MATCH(B1056,fa_num,0)),"Date antérieure à la facture",IF(SUMIF($B$6:B1056,B1056,$C$6:C1056)&gt;INDEX(fa_ttc,MATCH(B1056,fa_num,0))-N(INDEX(fa_avoirs,MATCH(B1056,fa_num,0)))+0.001,"Dépasse le montant de la facture","OK")))))))))</f>
        <v/>
      </c>
    </row>
    <row r="1057">
      <c r="A1057" s="61" t="n"/>
      <c r="B1057" s="60" t="n"/>
      <c r="C1057" s="68" t="n"/>
      <c r="D1057" s="60" t="n"/>
      <c r="E1057" s="63" t="n"/>
      <c r="F1057" s="63" t="n"/>
      <c r="G1057" s="62" t="str">
        <f>IF(B1057="","",IFERROR(INDEX(fa_cname,MATCH(B1057,fa_num,0))&amp;"",""))</f>
        <v/>
      </c>
      <c r="H1057" s="59" t="str">
        <f>IF(COUNTA(A1057:F1057)=0,"",IF(A1057="","Date manquante",IF(NOT(ISNUMBER(A1057)),"Date invalide",IF(B1057="","N° de facture manquant",IF(ISNA(MATCH(B1057,fa_num,0)),"Facture inconnue",IF(INDEX(fa_type,MATCH(B1057,fa_num,0))="Avoir","Paiement sur un avoir",IF(OR(NOT(ISNUMBER(C1057)),N(C1057)&lt;=0),"Montant invalide",IF(A1057&lt;INDEX(fa_date,MATCH(B1057,fa_num,0)),"Date antérieure à la facture",IF(SUMIF($B$6:B1057,B1057,$C$6:C1057)&gt;INDEX(fa_ttc,MATCH(B1057,fa_num,0))-N(INDEX(fa_avoirs,MATCH(B1057,fa_num,0)))+0.001,"Dépasse le montant de la facture","OK")))))))))</f>
        <v/>
      </c>
    </row>
    <row r="1058">
      <c r="A1058" s="61" t="n"/>
      <c r="B1058" s="60" t="n"/>
      <c r="C1058" s="68" t="n"/>
      <c r="D1058" s="60" t="n"/>
      <c r="E1058" s="63" t="n"/>
      <c r="F1058" s="63" t="n"/>
      <c r="G1058" s="62" t="str">
        <f>IF(B1058="","",IFERROR(INDEX(fa_cname,MATCH(B1058,fa_num,0))&amp;"",""))</f>
        <v/>
      </c>
      <c r="H1058" s="59" t="str">
        <f>IF(COUNTA(A1058:F1058)=0,"",IF(A1058="","Date manquante",IF(NOT(ISNUMBER(A1058)),"Date invalide",IF(B1058="","N° de facture manquant",IF(ISNA(MATCH(B1058,fa_num,0)),"Facture inconnue",IF(INDEX(fa_type,MATCH(B1058,fa_num,0))="Avoir","Paiement sur un avoir",IF(OR(NOT(ISNUMBER(C1058)),N(C1058)&lt;=0),"Montant invalide",IF(A1058&lt;INDEX(fa_date,MATCH(B1058,fa_num,0)),"Date antérieure à la facture",IF(SUMIF($B$6:B1058,B1058,$C$6:C1058)&gt;INDEX(fa_ttc,MATCH(B1058,fa_num,0))-N(INDEX(fa_avoirs,MATCH(B1058,fa_num,0)))+0.001,"Dépasse le montant de la facture","OK")))))))))</f>
        <v/>
      </c>
    </row>
    <row r="1059">
      <c r="A1059" s="61" t="n"/>
      <c r="B1059" s="60" t="n"/>
      <c r="C1059" s="68" t="n"/>
      <c r="D1059" s="60" t="n"/>
      <c r="E1059" s="63" t="n"/>
      <c r="F1059" s="63" t="n"/>
      <c r="G1059" s="62" t="str">
        <f>IF(B1059="","",IFERROR(INDEX(fa_cname,MATCH(B1059,fa_num,0))&amp;"",""))</f>
        <v/>
      </c>
      <c r="H1059" s="59" t="str">
        <f>IF(COUNTA(A1059:F1059)=0,"",IF(A1059="","Date manquante",IF(NOT(ISNUMBER(A1059)),"Date invalide",IF(B1059="","N° de facture manquant",IF(ISNA(MATCH(B1059,fa_num,0)),"Facture inconnue",IF(INDEX(fa_type,MATCH(B1059,fa_num,0))="Avoir","Paiement sur un avoir",IF(OR(NOT(ISNUMBER(C1059)),N(C1059)&lt;=0),"Montant invalide",IF(A1059&lt;INDEX(fa_date,MATCH(B1059,fa_num,0)),"Date antérieure à la facture",IF(SUMIF($B$6:B1059,B1059,$C$6:C1059)&gt;INDEX(fa_ttc,MATCH(B1059,fa_num,0))-N(INDEX(fa_avoirs,MATCH(B1059,fa_num,0)))+0.001,"Dépasse le montant de la facture","OK")))))))))</f>
        <v/>
      </c>
    </row>
    <row r="1060">
      <c r="A1060" s="61" t="n"/>
      <c r="B1060" s="60" t="n"/>
      <c r="C1060" s="68" t="n"/>
      <c r="D1060" s="60" t="n"/>
      <c r="E1060" s="63" t="n"/>
      <c r="F1060" s="63" t="n"/>
      <c r="G1060" s="62" t="str">
        <f>IF(B1060="","",IFERROR(INDEX(fa_cname,MATCH(B1060,fa_num,0))&amp;"",""))</f>
        <v/>
      </c>
      <c r="H1060" s="59" t="str">
        <f>IF(COUNTA(A1060:F1060)=0,"",IF(A1060="","Date manquante",IF(NOT(ISNUMBER(A1060)),"Date invalide",IF(B1060="","N° de facture manquant",IF(ISNA(MATCH(B1060,fa_num,0)),"Facture inconnue",IF(INDEX(fa_type,MATCH(B1060,fa_num,0))="Avoir","Paiement sur un avoir",IF(OR(NOT(ISNUMBER(C1060)),N(C1060)&lt;=0),"Montant invalide",IF(A1060&lt;INDEX(fa_date,MATCH(B1060,fa_num,0)),"Date antérieure à la facture",IF(SUMIF($B$6:B1060,B1060,$C$6:C1060)&gt;INDEX(fa_ttc,MATCH(B1060,fa_num,0))-N(INDEX(fa_avoirs,MATCH(B1060,fa_num,0)))+0.001,"Dépasse le montant de la facture","OK")))))))))</f>
        <v/>
      </c>
    </row>
    <row r="1061">
      <c r="A1061" s="61" t="n"/>
      <c r="B1061" s="60" t="n"/>
      <c r="C1061" s="68" t="n"/>
      <c r="D1061" s="60" t="n"/>
      <c r="E1061" s="63" t="n"/>
      <c r="F1061" s="63" t="n"/>
      <c r="G1061" s="62" t="str">
        <f>IF(B1061="","",IFERROR(INDEX(fa_cname,MATCH(B1061,fa_num,0))&amp;"",""))</f>
        <v/>
      </c>
      <c r="H1061" s="59" t="str">
        <f>IF(COUNTA(A1061:F1061)=0,"",IF(A1061="","Date manquante",IF(NOT(ISNUMBER(A1061)),"Date invalide",IF(B1061="","N° de facture manquant",IF(ISNA(MATCH(B1061,fa_num,0)),"Facture inconnue",IF(INDEX(fa_type,MATCH(B1061,fa_num,0))="Avoir","Paiement sur un avoir",IF(OR(NOT(ISNUMBER(C1061)),N(C1061)&lt;=0),"Montant invalide",IF(A1061&lt;INDEX(fa_date,MATCH(B1061,fa_num,0)),"Date antérieure à la facture",IF(SUMIF($B$6:B1061,B1061,$C$6:C1061)&gt;INDEX(fa_ttc,MATCH(B1061,fa_num,0))-N(INDEX(fa_avoirs,MATCH(B1061,fa_num,0)))+0.001,"Dépasse le montant de la facture","OK")))))))))</f>
        <v/>
      </c>
    </row>
    <row r="1062">
      <c r="A1062" s="61" t="n"/>
      <c r="B1062" s="60" t="n"/>
      <c r="C1062" s="68" t="n"/>
      <c r="D1062" s="60" t="n"/>
      <c r="E1062" s="63" t="n"/>
      <c r="F1062" s="63" t="n"/>
      <c r="G1062" s="62" t="str">
        <f>IF(B1062="","",IFERROR(INDEX(fa_cname,MATCH(B1062,fa_num,0))&amp;"",""))</f>
        <v/>
      </c>
      <c r="H1062" s="59" t="str">
        <f>IF(COUNTA(A1062:F1062)=0,"",IF(A1062="","Date manquante",IF(NOT(ISNUMBER(A1062)),"Date invalide",IF(B1062="","N° de facture manquant",IF(ISNA(MATCH(B1062,fa_num,0)),"Facture inconnue",IF(INDEX(fa_type,MATCH(B1062,fa_num,0))="Avoir","Paiement sur un avoir",IF(OR(NOT(ISNUMBER(C1062)),N(C1062)&lt;=0),"Montant invalide",IF(A1062&lt;INDEX(fa_date,MATCH(B1062,fa_num,0)),"Date antérieure à la facture",IF(SUMIF($B$6:B1062,B1062,$C$6:C1062)&gt;INDEX(fa_ttc,MATCH(B1062,fa_num,0))-N(INDEX(fa_avoirs,MATCH(B1062,fa_num,0)))+0.001,"Dépasse le montant de la facture","OK")))))))))</f>
        <v/>
      </c>
    </row>
    <row r="1063">
      <c r="A1063" s="61" t="n"/>
      <c r="B1063" s="60" t="n"/>
      <c r="C1063" s="68" t="n"/>
      <c r="D1063" s="60" t="n"/>
      <c r="E1063" s="63" t="n"/>
      <c r="F1063" s="63" t="n"/>
      <c r="G1063" s="62" t="str">
        <f>IF(B1063="","",IFERROR(INDEX(fa_cname,MATCH(B1063,fa_num,0))&amp;"",""))</f>
        <v/>
      </c>
      <c r="H1063" s="59" t="str">
        <f>IF(COUNTA(A1063:F1063)=0,"",IF(A1063="","Date manquante",IF(NOT(ISNUMBER(A1063)),"Date invalide",IF(B1063="","N° de facture manquant",IF(ISNA(MATCH(B1063,fa_num,0)),"Facture inconnue",IF(INDEX(fa_type,MATCH(B1063,fa_num,0))="Avoir","Paiement sur un avoir",IF(OR(NOT(ISNUMBER(C1063)),N(C1063)&lt;=0),"Montant invalide",IF(A1063&lt;INDEX(fa_date,MATCH(B1063,fa_num,0)),"Date antérieure à la facture",IF(SUMIF($B$6:B1063,B1063,$C$6:C1063)&gt;INDEX(fa_ttc,MATCH(B1063,fa_num,0))-N(INDEX(fa_avoirs,MATCH(B1063,fa_num,0)))+0.001,"Dépasse le montant de la facture","OK")))))))))</f>
        <v/>
      </c>
    </row>
    <row r="1064">
      <c r="A1064" s="61" t="n"/>
      <c r="B1064" s="60" t="n"/>
      <c r="C1064" s="68" t="n"/>
      <c r="D1064" s="60" t="n"/>
      <c r="E1064" s="63" t="n"/>
      <c r="F1064" s="63" t="n"/>
      <c r="G1064" s="62" t="str">
        <f>IF(B1064="","",IFERROR(INDEX(fa_cname,MATCH(B1064,fa_num,0))&amp;"",""))</f>
        <v/>
      </c>
      <c r="H1064" s="59" t="str">
        <f>IF(COUNTA(A1064:F1064)=0,"",IF(A1064="","Date manquante",IF(NOT(ISNUMBER(A1064)),"Date invalide",IF(B1064="","N° de facture manquant",IF(ISNA(MATCH(B1064,fa_num,0)),"Facture inconnue",IF(INDEX(fa_type,MATCH(B1064,fa_num,0))="Avoir","Paiement sur un avoir",IF(OR(NOT(ISNUMBER(C1064)),N(C1064)&lt;=0),"Montant invalide",IF(A1064&lt;INDEX(fa_date,MATCH(B1064,fa_num,0)),"Date antérieure à la facture",IF(SUMIF($B$6:B1064,B1064,$C$6:C1064)&gt;INDEX(fa_ttc,MATCH(B1064,fa_num,0))-N(INDEX(fa_avoirs,MATCH(B1064,fa_num,0)))+0.001,"Dépasse le montant de la facture","OK")))))))))</f>
        <v/>
      </c>
    </row>
    <row r="1065">
      <c r="A1065" s="61" t="n"/>
      <c r="B1065" s="60" t="n"/>
      <c r="C1065" s="68" t="n"/>
      <c r="D1065" s="60" t="n"/>
      <c r="E1065" s="63" t="n"/>
      <c r="F1065" s="63" t="n"/>
      <c r="G1065" s="62" t="str">
        <f>IF(B1065="","",IFERROR(INDEX(fa_cname,MATCH(B1065,fa_num,0))&amp;"",""))</f>
        <v/>
      </c>
      <c r="H1065" s="59" t="str">
        <f>IF(COUNTA(A1065:F1065)=0,"",IF(A1065="","Date manquante",IF(NOT(ISNUMBER(A1065)),"Date invalide",IF(B1065="","N° de facture manquant",IF(ISNA(MATCH(B1065,fa_num,0)),"Facture inconnue",IF(INDEX(fa_type,MATCH(B1065,fa_num,0))="Avoir","Paiement sur un avoir",IF(OR(NOT(ISNUMBER(C1065)),N(C1065)&lt;=0),"Montant invalide",IF(A1065&lt;INDEX(fa_date,MATCH(B1065,fa_num,0)),"Date antérieure à la facture",IF(SUMIF($B$6:B1065,B1065,$C$6:C1065)&gt;INDEX(fa_ttc,MATCH(B1065,fa_num,0))-N(INDEX(fa_avoirs,MATCH(B1065,fa_num,0)))+0.001,"Dépasse le montant de la facture","OK")))))))))</f>
        <v/>
      </c>
    </row>
    <row r="1066">
      <c r="A1066" s="61" t="n"/>
      <c r="B1066" s="60" t="n"/>
      <c r="C1066" s="68" t="n"/>
      <c r="D1066" s="60" t="n"/>
      <c r="E1066" s="63" t="n"/>
      <c r="F1066" s="63" t="n"/>
      <c r="G1066" s="62" t="str">
        <f>IF(B1066="","",IFERROR(INDEX(fa_cname,MATCH(B1066,fa_num,0))&amp;"",""))</f>
        <v/>
      </c>
      <c r="H1066" s="59" t="str">
        <f>IF(COUNTA(A1066:F1066)=0,"",IF(A1066="","Date manquante",IF(NOT(ISNUMBER(A1066)),"Date invalide",IF(B1066="","N° de facture manquant",IF(ISNA(MATCH(B1066,fa_num,0)),"Facture inconnue",IF(INDEX(fa_type,MATCH(B1066,fa_num,0))="Avoir","Paiement sur un avoir",IF(OR(NOT(ISNUMBER(C1066)),N(C1066)&lt;=0),"Montant invalide",IF(A1066&lt;INDEX(fa_date,MATCH(B1066,fa_num,0)),"Date antérieure à la facture",IF(SUMIF($B$6:B1066,B1066,$C$6:C1066)&gt;INDEX(fa_ttc,MATCH(B1066,fa_num,0))-N(INDEX(fa_avoirs,MATCH(B1066,fa_num,0)))+0.001,"Dépasse le montant de la facture","OK")))))))))</f>
        <v/>
      </c>
    </row>
    <row r="1067">
      <c r="A1067" s="61" t="n"/>
      <c r="B1067" s="60" t="n"/>
      <c r="C1067" s="68" t="n"/>
      <c r="D1067" s="60" t="n"/>
      <c r="E1067" s="63" t="n"/>
      <c r="F1067" s="63" t="n"/>
      <c r="G1067" s="62" t="str">
        <f>IF(B1067="","",IFERROR(INDEX(fa_cname,MATCH(B1067,fa_num,0))&amp;"",""))</f>
        <v/>
      </c>
      <c r="H1067" s="59" t="str">
        <f>IF(COUNTA(A1067:F1067)=0,"",IF(A1067="","Date manquante",IF(NOT(ISNUMBER(A1067)),"Date invalide",IF(B1067="","N° de facture manquant",IF(ISNA(MATCH(B1067,fa_num,0)),"Facture inconnue",IF(INDEX(fa_type,MATCH(B1067,fa_num,0))="Avoir","Paiement sur un avoir",IF(OR(NOT(ISNUMBER(C1067)),N(C1067)&lt;=0),"Montant invalide",IF(A1067&lt;INDEX(fa_date,MATCH(B1067,fa_num,0)),"Date antérieure à la facture",IF(SUMIF($B$6:B1067,B1067,$C$6:C1067)&gt;INDEX(fa_ttc,MATCH(B1067,fa_num,0))-N(INDEX(fa_avoirs,MATCH(B1067,fa_num,0)))+0.001,"Dépasse le montant de la facture","OK")))))))))</f>
        <v/>
      </c>
    </row>
    <row r="1068">
      <c r="A1068" s="61" t="n"/>
      <c r="B1068" s="60" t="n"/>
      <c r="C1068" s="68" t="n"/>
      <c r="D1068" s="60" t="n"/>
      <c r="E1068" s="63" t="n"/>
      <c r="F1068" s="63" t="n"/>
      <c r="G1068" s="62" t="str">
        <f>IF(B1068="","",IFERROR(INDEX(fa_cname,MATCH(B1068,fa_num,0))&amp;"",""))</f>
        <v/>
      </c>
      <c r="H1068" s="59" t="str">
        <f>IF(COUNTA(A1068:F1068)=0,"",IF(A1068="","Date manquante",IF(NOT(ISNUMBER(A1068)),"Date invalide",IF(B1068="","N° de facture manquant",IF(ISNA(MATCH(B1068,fa_num,0)),"Facture inconnue",IF(INDEX(fa_type,MATCH(B1068,fa_num,0))="Avoir","Paiement sur un avoir",IF(OR(NOT(ISNUMBER(C1068)),N(C1068)&lt;=0),"Montant invalide",IF(A1068&lt;INDEX(fa_date,MATCH(B1068,fa_num,0)),"Date antérieure à la facture",IF(SUMIF($B$6:B1068,B1068,$C$6:C1068)&gt;INDEX(fa_ttc,MATCH(B1068,fa_num,0))-N(INDEX(fa_avoirs,MATCH(B1068,fa_num,0)))+0.001,"Dépasse le montant de la facture","OK")))))))))</f>
        <v/>
      </c>
    </row>
    <row r="1069">
      <c r="A1069" s="61" t="n"/>
      <c r="B1069" s="60" t="n"/>
      <c r="C1069" s="68" t="n"/>
      <c r="D1069" s="60" t="n"/>
      <c r="E1069" s="63" t="n"/>
      <c r="F1069" s="63" t="n"/>
      <c r="G1069" s="62" t="str">
        <f>IF(B1069="","",IFERROR(INDEX(fa_cname,MATCH(B1069,fa_num,0))&amp;"",""))</f>
        <v/>
      </c>
      <c r="H1069" s="59" t="str">
        <f>IF(COUNTA(A1069:F1069)=0,"",IF(A1069="","Date manquante",IF(NOT(ISNUMBER(A1069)),"Date invalide",IF(B1069="","N° de facture manquant",IF(ISNA(MATCH(B1069,fa_num,0)),"Facture inconnue",IF(INDEX(fa_type,MATCH(B1069,fa_num,0))="Avoir","Paiement sur un avoir",IF(OR(NOT(ISNUMBER(C1069)),N(C1069)&lt;=0),"Montant invalide",IF(A1069&lt;INDEX(fa_date,MATCH(B1069,fa_num,0)),"Date antérieure à la facture",IF(SUMIF($B$6:B1069,B1069,$C$6:C1069)&gt;INDEX(fa_ttc,MATCH(B1069,fa_num,0))-N(INDEX(fa_avoirs,MATCH(B1069,fa_num,0)))+0.001,"Dépasse le montant de la facture","OK")))))))))</f>
        <v/>
      </c>
    </row>
    <row r="1070">
      <c r="A1070" s="61" t="n"/>
      <c r="B1070" s="60" t="n"/>
      <c r="C1070" s="68" t="n"/>
      <c r="D1070" s="60" t="n"/>
      <c r="E1070" s="63" t="n"/>
      <c r="F1070" s="63" t="n"/>
      <c r="G1070" s="62" t="str">
        <f>IF(B1070="","",IFERROR(INDEX(fa_cname,MATCH(B1070,fa_num,0))&amp;"",""))</f>
        <v/>
      </c>
      <c r="H1070" s="59" t="str">
        <f>IF(COUNTA(A1070:F1070)=0,"",IF(A1070="","Date manquante",IF(NOT(ISNUMBER(A1070)),"Date invalide",IF(B1070="","N° de facture manquant",IF(ISNA(MATCH(B1070,fa_num,0)),"Facture inconnue",IF(INDEX(fa_type,MATCH(B1070,fa_num,0))="Avoir","Paiement sur un avoir",IF(OR(NOT(ISNUMBER(C1070)),N(C1070)&lt;=0),"Montant invalide",IF(A1070&lt;INDEX(fa_date,MATCH(B1070,fa_num,0)),"Date antérieure à la facture",IF(SUMIF($B$6:B1070,B1070,$C$6:C1070)&gt;INDEX(fa_ttc,MATCH(B1070,fa_num,0))-N(INDEX(fa_avoirs,MATCH(B1070,fa_num,0)))+0.001,"Dépasse le montant de la facture","OK")))))))))</f>
        <v/>
      </c>
    </row>
    <row r="1071">
      <c r="A1071" s="61" t="n"/>
      <c r="B1071" s="60" t="n"/>
      <c r="C1071" s="68" t="n"/>
      <c r="D1071" s="60" t="n"/>
      <c r="E1071" s="63" t="n"/>
      <c r="F1071" s="63" t="n"/>
      <c r="G1071" s="62" t="str">
        <f>IF(B1071="","",IFERROR(INDEX(fa_cname,MATCH(B1071,fa_num,0))&amp;"",""))</f>
        <v/>
      </c>
      <c r="H1071" s="59" t="str">
        <f>IF(COUNTA(A1071:F1071)=0,"",IF(A1071="","Date manquante",IF(NOT(ISNUMBER(A1071)),"Date invalide",IF(B1071="","N° de facture manquant",IF(ISNA(MATCH(B1071,fa_num,0)),"Facture inconnue",IF(INDEX(fa_type,MATCH(B1071,fa_num,0))="Avoir","Paiement sur un avoir",IF(OR(NOT(ISNUMBER(C1071)),N(C1071)&lt;=0),"Montant invalide",IF(A1071&lt;INDEX(fa_date,MATCH(B1071,fa_num,0)),"Date antérieure à la facture",IF(SUMIF($B$6:B1071,B1071,$C$6:C1071)&gt;INDEX(fa_ttc,MATCH(B1071,fa_num,0))-N(INDEX(fa_avoirs,MATCH(B1071,fa_num,0)))+0.001,"Dépasse le montant de la facture","OK")))))))))</f>
        <v/>
      </c>
    </row>
    <row r="1072">
      <c r="A1072" s="61" t="n"/>
      <c r="B1072" s="60" t="n"/>
      <c r="C1072" s="68" t="n"/>
      <c r="D1072" s="60" t="n"/>
      <c r="E1072" s="63" t="n"/>
      <c r="F1072" s="63" t="n"/>
      <c r="G1072" s="62" t="str">
        <f>IF(B1072="","",IFERROR(INDEX(fa_cname,MATCH(B1072,fa_num,0))&amp;"",""))</f>
        <v/>
      </c>
      <c r="H1072" s="59" t="str">
        <f>IF(COUNTA(A1072:F1072)=0,"",IF(A1072="","Date manquante",IF(NOT(ISNUMBER(A1072)),"Date invalide",IF(B1072="","N° de facture manquant",IF(ISNA(MATCH(B1072,fa_num,0)),"Facture inconnue",IF(INDEX(fa_type,MATCH(B1072,fa_num,0))="Avoir","Paiement sur un avoir",IF(OR(NOT(ISNUMBER(C1072)),N(C1072)&lt;=0),"Montant invalide",IF(A1072&lt;INDEX(fa_date,MATCH(B1072,fa_num,0)),"Date antérieure à la facture",IF(SUMIF($B$6:B1072,B1072,$C$6:C1072)&gt;INDEX(fa_ttc,MATCH(B1072,fa_num,0))-N(INDEX(fa_avoirs,MATCH(B1072,fa_num,0)))+0.001,"Dépasse le montant de la facture","OK")))))))))</f>
        <v/>
      </c>
    </row>
    <row r="1073">
      <c r="A1073" s="61" t="n"/>
      <c r="B1073" s="60" t="n"/>
      <c r="C1073" s="68" t="n"/>
      <c r="D1073" s="60" t="n"/>
      <c r="E1073" s="63" t="n"/>
      <c r="F1073" s="63" t="n"/>
      <c r="G1073" s="62" t="str">
        <f>IF(B1073="","",IFERROR(INDEX(fa_cname,MATCH(B1073,fa_num,0))&amp;"",""))</f>
        <v/>
      </c>
      <c r="H1073" s="59" t="str">
        <f>IF(COUNTA(A1073:F1073)=0,"",IF(A1073="","Date manquante",IF(NOT(ISNUMBER(A1073)),"Date invalide",IF(B1073="","N° de facture manquant",IF(ISNA(MATCH(B1073,fa_num,0)),"Facture inconnue",IF(INDEX(fa_type,MATCH(B1073,fa_num,0))="Avoir","Paiement sur un avoir",IF(OR(NOT(ISNUMBER(C1073)),N(C1073)&lt;=0),"Montant invalide",IF(A1073&lt;INDEX(fa_date,MATCH(B1073,fa_num,0)),"Date antérieure à la facture",IF(SUMIF($B$6:B1073,B1073,$C$6:C1073)&gt;INDEX(fa_ttc,MATCH(B1073,fa_num,0))-N(INDEX(fa_avoirs,MATCH(B1073,fa_num,0)))+0.001,"Dépasse le montant de la facture","OK")))))))))</f>
        <v/>
      </c>
    </row>
    <row r="1074">
      <c r="A1074" s="61" t="n"/>
      <c r="B1074" s="60" t="n"/>
      <c r="C1074" s="68" t="n"/>
      <c r="D1074" s="60" t="n"/>
      <c r="E1074" s="63" t="n"/>
      <c r="F1074" s="63" t="n"/>
      <c r="G1074" s="62" t="str">
        <f>IF(B1074="","",IFERROR(INDEX(fa_cname,MATCH(B1074,fa_num,0))&amp;"",""))</f>
        <v/>
      </c>
      <c r="H1074" s="59" t="str">
        <f>IF(COUNTA(A1074:F1074)=0,"",IF(A1074="","Date manquante",IF(NOT(ISNUMBER(A1074)),"Date invalide",IF(B1074="","N° de facture manquant",IF(ISNA(MATCH(B1074,fa_num,0)),"Facture inconnue",IF(INDEX(fa_type,MATCH(B1074,fa_num,0))="Avoir","Paiement sur un avoir",IF(OR(NOT(ISNUMBER(C1074)),N(C1074)&lt;=0),"Montant invalide",IF(A1074&lt;INDEX(fa_date,MATCH(B1074,fa_num,0)),"Date antérieure à la facture",IF(SUMIF($B$6:B1074,B1074,$C$6:C1074)&gt;INDEX(fa_ttc,MATCH(B1074,fa_num,0))-N(INDEX(fa_avoirs,MATCH(B1074,fa_num,0)))+0.001,"Dépasse le montant de la facture","OK")))))))))</f>
        <v/>
      </c>
    </row>
    <row r="1075">
      <c r="A1075" s="61" t="n"/>
      <c r="B1075" s="60" t="n"/>
      <c r="C1075" s="68" t="n"/>
      <c r="D1075" s="60" t="n"/>
      <c r="E1075" s="63" t="n"/>
      <c r="F1075" s="63" t="n"/>
      <c r="G1075" s="62" t="str">
        <f>IF(B1075="","",IFERROR(INDEX(fa_cname,MATCH(B1075,fa_num,0))&amp;"",""))</f>
        <v/>
      </c>
      <c r="H1075" s="59" t="str">
        <f>IF(COUNTA(A1075:F1075)=0,"",IF(A1075="","Date manquante",IF(NOT(ISNUMBER(A1075)),"Date invalide",IF(B1075="","N° de facture manquant",IF(ISNA(MATCH(B1075,fa_num,0)),"Facture inconnue",IF(INDEX(fa_type,MATCH(B1075,fa_num,0))="Avoir","Paiement sur un avoir",IF(OR(NOT(ISNUMBER(C1075)),N(C1075)&lt;=0),"Montant invalide",IF(A1075&lt;INDEX(fa_date,MATCH(B1075,fa_num,0)),"Date antérieure à la facture",IF(SUMIF($B$6:B1075,B1075,$C$6:C1075)&gt;INDEX(fa_ttc,MATCH(B1075,fa_num,0))-N(INDEX(fa_avoirs,MATCH(B1075,fa_num,0)))+0.001,"Dépasse le montant de la facture","OK")))))))))</f>
        <v/>
      </c>
    </row>
    <row r="1076">
      <c r="A1076" s="61" t="n"/>
      <c r="B1076" s="60" t="n"/>
      <c r="C1076" s="68" t="n"/>
      <c r="D1076" s="60" t="n"/>
      <c r="E1076" s="63" t="n"/>
      <c r="F1076" s="63" t="n"/>
      <c r="G1076" s="62" t="str">
        <f>IF(B1076="","",IFERROR(INDEX(fa_cname,MATCH(B1076,fa_num,0))&amp;"",""))</f>
        <v/>
      </c>
      <c r="H1076" s="59" t="str">
        <f>IF(COUNTA(A1076:F1076)=0,"",IF(A1076="","Date manquante",IF(NOT(ISNUMBER(A1076)),"Date invalide",IF(B1076="","N° de facture manquant",IF(ISNA(MATCH(B1076,fa_num,0)),"Facture inconnue",IF(INDEX(fa_type,MATCH(B1076,fa_num,0))="Avoir","Paiement sur un avoir",IF(OR(NOT(ISNUMBER(C1076)),N(C1076)&lt;=0),"Montant invalide",IF(A1076&lt;INDEX(fa_date,MATCH(B1076,fa_num,0)),"Date antérieure à la facture",IF(SUMIF($B$6:B1076,B1076,$C$6:C1076)&gt;INDEX(fa_ttc,MATCH(B1076,fa_num,0))-N(INDEX(fa_avoirs,MATCH(B1076,fa_num,0)))+0.001,"Dépasse le montant de la facture","OK")))))))))</f>
        <v/>
      </c>
    </row>
    <row r="1077">
      <c r="A1077" s="61" t="n"/>
      <c r="B1077" s="60" t="n"/>
      <c r="C1077" s="68" t="n"/>
      <c r="D1077" s="60" t="n"/>
      <c r="E1077" s="63" t="n"/>
      <c r="F1077" s="63" t="n"/>
      <c r="G1077" s="62" t="str">
        <f>IF(B1077="","",IFERROR(INDEX(fa_cname,MATCH(B1077,fa_num,0))&amp;"",""))</f>
        <v/>
      </c>
      <c r="H1077" s="59" t="str">
        <f>IF(COUNTA(A1077:F1077)=0,"",IF(A1077="","Date manquante",IF(NOT(ISNUMBER(A1077)),"Date invalide",IF(B1077="","N° de facture manquant",IF(ISNA(MATCH(B1077,fa_num,0)),"Facture inconnue",IF(INDEX(fa_type,MATCH(B1077,fa_num,0))="Avoir","Paiement sur un avoir",IF(OR(NOT(ISNUMBER(C1077)),N(C1077)&lt;=0),"Montant invalide",IF(A1077&lt;INDEX(fa_date,MATCH(B1077,fa_num,0)),"Date antérieure à la facture",IF(SUMIF($B$6:B1077,B1077,$C$6:C1077)&gt;INDEX(fa_ttc,MATCH(B1077,fa_num,0))-N(INDEX(fa_avoirs,MATCH(B1077,fa_num,0)))+0.001,"Dépasse le montant de la facture","OK")))))))))</f>
        <v/>
      </c>
    </row>
    <row r="1078">
      <c r="A1078" s="61" t="n"/>
      <c r="B1078" s="60" t="n"/>
      <c r="C1078" s="68" t="n"/>
      <c r="D1078" s="60" t="n"/>
      <c r="E1078" s="63" t="n"/>
      <c r="F1078" s="63" t="n"/>
      <c r="G1078" s="62" t="str">
        <f>IF(B1078="","",IFERROR(INDEX(fa_cname,MATCH(B1078,fa_num,0))&amp;"",""))</f>
        <v/>
      </c>
      <c r="H1078" s="59" t="str">
        <f>IF(COUNTA(A1078:F1078)=0,"",IF(A1078="","Date manquante",IF(NOT(ISNUMBER(A1078)),"Date invalide",IF(B1078="","N° de facture manquant",IF(ISNA(MATCH(B1078,fa_num,0)),"Facture inconnue",IF(INDEX(fa_type,MATCH(B1078,fa_num,0))="Avoir","Paiement sur un avoir",IF(OR(NOT(ISNUMBER(C1078)),N(C1078)&lt;=0),"Montant invalide",IF(A1078&lt;INDEX(fa_date,MATCH(B1078,fa_num,0)),"Date antérieure à la facture",IF(SUMIF($B$6:B1078,B1078,$C$6:C1078)&gt;INDEX(fa_ttc,MATCH(B1078,fa_num,0))-N(INDEX(fa_avoirs,MATCH(B1078,fa_num,0)))+0.001,"Dépasse le montant de la facture","OK")))))))))</f>
        <v/>
      </c>
    </row>
    <row r="1079">
      <c r="A1079" s="61" t="n"/>
      <c r="B1079" s="60" t="n"/>
      <c r="C1079" s="68" t="n"/>
      <c r="D1079" s="60" t="n"/>
      <c r="E1079" s="63" t="n"/>
      <c r="F1079" s="63" t="n"/>
      <c r="G1079" s="62" t="str">
        <f>IF(B1079="","",IFERROR(INDEX(fa_cname,MATCH(B1079,fa_num,0))&amp;"",""))</f>
        <v/>
      </c>
      <c r="H1079" s="59" t="str">
        <f>IF(COUNTA(A1079:F1079)=0,"",IF(A1079="","Date manquante",IF(NOT(ISNUMBER(A1079)),"Date invalide",IF(B1079="","N° de facture manquant",IF(ISNA(MATCH(B1079,fa_num,0)),"Facture inconnue",IF(INDEX(fa_type,MATCH(B1079,fa_num,0))="Avoir","Paiement sur un avoir",IF(OR(NOT(ISNUMBER(C1079)),N(C1079)&lt;=0),"Montant invalide",IF(A1079&lt;INDEX(fa_date,MATCH(B1079,fa_num,0)),"Date antérieure à la facture",IF(SUMIF($B$6:B1079,B1079,$C$6:C1079)&gt;INDEX(fa_ttc,MATCH(B1079,fa_num,0))-N(INDEX(fa_avoirs,MATCH(B1079,fa_num,0)))+0.001,"Dépasse le montant de la facture","OK")))))))))</f>
        <v/>
      </c>
    </row>
    <row r="1080">
      <c r="A1080" s="61" t="n"/>
      <c r="B1080" s="60" t="n"/>
      <c r="C1080" s="68" t="n"/>
      <c r="D1080" s="60" t="n"/>
      <c r="E1080" s="63" t="n"/>
      <c r="F1080" s="63" t="n"/>
      <c r="G1080" s="62" t="str">
        <f>IF(B1080="","",IFERROR(INDEX(fa_cname,MATCH(B1080,fa_num,0))&amp;"",""))</f>
        <v/>
      </c>
      <c r="H1080" s="59" t="str">
        <f>IF(COUNTA(A1080:F1080)=0,"",IF(A1080="","Date manquante",IF(NOT(ISNUMBER(A1080)),"Date invalide",IF(B1080="","N° de facture manquant",IF(ISNA(MATCH(B1080,fa_num,0)),"Facture inconnue",IF(INDEX(fa_type,MATCH(B1080,fa_num,0))="Avoir","Paiement sur un avoir",IF(OR(NOT(ISNUMBER(C1080)),N(C1080)&lt;=0),"Montant invalide",IF(A1080&lt;INDEX(fa_date,MATCH(B1080,fa_num,0)),"Date antérieure à la facture",IF(SUMIF($B$6:B1080,B1080,$C$6:C1080)&gt;INDEX(fa_ttc,MATCH(B1080,fa_num,0))-N(INDEX(fa_avoirs,MATCH(B1080,fa_num,0)))+0.001,"Dépasse le montant de la facture","OK")))))))))</f>
        <v/>
      </c>
    </row>
    <row r="1081">
      <c r="A1081" s="61" t="n"/>
      <c r="B1081" s="60" t="n"/>
      <c r="C1081" s="68" t="n"/>
      <c r="D1081" s="60" t="n"/>
      <c r="E1081" s="63" t="n"/>
      <c r="F1081" s="63" t="n"/>
      <c r="G1081" s="62" t="str">
        <f>IF(B1081="","",IFERROR(INDEX(fa_cname,MATCH(B1081,fa_num,0))&amp;"",""))</f>
        <v/>
      </c>
      <c r="H1081" s="59" t="str">
        <f>IF(COUNTA(A1081:F1081)=0,"",IF(A1081="","Date manquante",IF(NOT(ISNUMBER(A1081)),"Date invalide",IF(B1081="","N° de facture manquant",IF(ISNA(MATCH(B1081,fa_num,0)),"Facture inconnue",IF(INDEX(fa_type,MATCH(B1081,fa_num,0))="Avoir","Paiement sur un avoir",IF(OR(NOT(ISNUMBER(C1081)),N(C1081)&lt;=0),"Montant invalide",IF(A1081&lt;INDEX(fa_date,MATCH(B1081,fa_num,0)),"Date antérieure à la facture",IF(SUMIF($B$6:B1081,B1081,$C$6:C1081)&gt;INDEX(fa_ttc,MATCH(B1081,fa_num,0))-N(INDEX(fa_avoirs,MATCH(B1081,fa_num,0)))+0.001,"Dépasse le montant de la facture","OK")))))))))</f>
        <v/>
      </c>
    </row>
    <row r="1082">
      <c r="A1082" s="61" t="n"/>
      <c r="B1082" s="60" t="n"/>
      <c r="C1082" s="68" t="n"/>
      <c r="D1082" s="60" t="n"/>
      <c r="E1082" s="63" t="n"/>
      <c r="F1082" s="63" t="n"/>
      <c r="G1082" s="62" t="str">
        <f>IF(B1082="","",IFERROR(INDEX(fa_cname,MATCH(B1082,fa_num,0))&amp;"",""))</f>
        <v/>
      </c>
      <c r="H1082" s="59" t="str">
        <f>IF(COUNTA(A1082:F1082)=0,"",IF(A1082="","Date manquante",IF(NOT(ISNUMBER(A1082)),"Date invalide",IF(B1082="","N° de facture manquant",IF(ISNA(MATCH(B1082,fa_num,0)),"Facture inconnue",IF(INDEX(fa_type,MATCH(B1082,fa_num,0))="Avoir","Paiement sur un avoir",IF(OR(NOT(ISNUMBER(C1082)),N(C1082)&lt;=0),"Montant invalide",IF(A1082&lt;INDEX(fa_date,MATCH(B1082,fa_num,0)),"Date antérieure à la facture",IF(SUMIF($B$6:B1082,B1082,$C$6:C1082)&gt;INDEX(fa_ttc,MATCH(B1082,fa_num,0))-N(INDEX(fa_avoirs,MATCH(B1082,fa_num,0)))+0.001,"Dépasse le montant de la facture","OK")))))))))</f>
        <v/>
      </c>
    </row>
    <row r="1083">
      <c r="A1083" s="61" t="n"/>
      <c r="B1083" s="60" t="n"/>
      <c r="C1083" s="68" t="n"/>
      <c r="D1083" s="60" t="n"/>
      <c r="E1083" s="63" t="n"/>
      <c r="F1083" s="63" t="n"/>
      <c r="G1083" s="62" t="str">
        <f>IF(B1083="","",IFERROR(INDEX(fa_cname,MATCH(B1083,fa_num,0))&amp;"",""))</f>
        <v/>
      </c>
      <c r="H1083" s="59" t="str">
        <f>IF(COUNTA(A1083:F1083)=0,"",IF(A1083="","Date manquante",IF(NOT(ISNUMBER(A1083)),"Date invalide",IF(B1083="","N° de facture manquant",IF(ISNA(MATCH(B1083,fa_num,0)),"Facture inconnue",IF(INDEX(fa_type,MATCH(B1083,fa_num,0))="Avoir","Paiement sur un avoir",IF(OR(NOT(ISNUMBER(C1083)),N(C1083)&lt;=0),"Montant invalide",IF(A1083&lt;INDEX(fa_date,MATCH(B1083,fa_num,0)),"Date antérieure à la facture",IF(SUMIF($B$6:B1083,B1083,$C$6:C1083)&gt;INDEX(fa_ttc,MATCH(B1083,fa_num,0))-N(INDEX(fa_avoirs,MATCH(B1083,fa_num,0)))+0.001,"Dépasse le montant de la facture","OK")))))))))</f>
        <v/>
      </c>
    </row>
    <row r="1084">
      <c r="A1084" s="61" t="n"/>
      <c r="B1084" s="60" t="n"/>
      <c r="C1084" s="68" t="n"/>
      <c r="D1084" s="60" t="n"/>
      <c r="E1084" s="63" t="n"/>
      <c r="F1084" s="63" t="n"/>
      <c r="G1084" s="62" t="str">
        <f>IF(B1084="","",IFERROR(INDEX(fa_cname,MATCH(B1084,fa_num,0))&amp;"",""))</f>
        <v/>
      </c>
      <c r="H1084" s="59" t="str">
        <f>IF(COUNTA(A1084:F1084)=0,"",IF(A1084="","Date manquante",IF(NOT(ISNUMBER(A1084)),"Date invalide",IF(B1084="","N° de facture manquant",IF(ISNA(MATCH(B1084,fa_num,0)),"Facture inconnue",IF(INDEX(fa_type,MATCH(B1084,fa_num,0))="Avoir","Paiement sur un avoir",IF(OR(NOT(ISNUMBER(C1084)),N(C1084)&lt;=0),"Montant invalide",IF(A1084&lt;INDEX(fa_date,MATCH(B1084,fa_num,0)),"Date antérieure à la facture",IF(SUMIF($B$6:B1084,B1084,$C$6:C1084)&gt;INDEX(fa_ttc,MATCH(B1084,fa_num,0))-N(INDEX(fa_avoirs,MATCH(B1084,fa_num,0)))+0.001,"Dépasse le montant de la facture","OK")))))))))</f>
        <v/>
      </c>
    </row>
    <row r="1085">
      <c r="A1085" s="61" t="n"/>
      <c r="B1085" s="60" t="n"/>
      <c r="C1085" s="68" t="n"/>
      <c r="D1085" s="60" t="n"/>
      <c r="E1085" s="63" t="n"/>
      <c r="F1085" s="63" t="n"/>
      <c r="G1085" s="62" t="str">
        <f>IF(B1085="","",IFERROR(INDEX(fa_cname,MATCH(B1085,fa_num,0))&amp;"",""))</f>
        <v/>
      </c>
      <c r="H1085" s="59" t="str">
        <f>IF(COUNTA(A1085:F1085)=0,"",IF(A1085="","Date manquante",IF(NOT(ISNUMBER(A1085)),"Date invalide",IF(B1085="","N° de facture manquant",IF(ISNA(MATCH(B1085,fa_num,0)),"Facture inconnue",IF(INDEX(fa_type,MATCH(B1085,fa_num,0))="Avoir","Paiement sur un avoir",IF(OR(NOT(ISNUMBER(C1085)),N(C1085)&lt;=0),"Montant invalide",IF(A1085&lt;INDEX(fa_date,MATCH(B1085,fa_num,0)),"Date antérieure à la facture",IF(SUMIF($B$6:B1085,B1085,$C$6:C1085)&gt;INDEX(fa_ttc,MATCH(B1085,fa_num,0))-N(INDEX(fa_avoirs,MATCH(B1085,fa_num,0)))+0.001,"Dépasse le montant de la facture","OK")))))))))</f>
        <v/>
      </c>
    </row>
    <row r="1086">
      <c r="A1086" s="61" t="n"/>
      <c r="B1086" s="60" t="n"/>
      <c r="C1086" s="68" t="n"/>
      <c r="D1086" s="60" t="n"/>
      <c r="E1086" s="63" t="n"/>
      <c r="F1086" s="63" t="n"/>
      <c r="G1086" s="62" t="str">
        <f>IF(B1086="","",IFERROR(INDEX(fa_cname,MATCH(B1086,fa_num,0))&amp;"",""))</f>
        <v/>
      </c>
      <c r="H1086" s="59" t="str">
        <f>IF(COUNTA(A1086:F1086)=0,"",IF(A1086="","Date manquante",IF(NOT(ISNUMBER(A1086)),"Date invalide",IF(B1086="","N° de facture manquant",IF(ISNA(MATCH(B1086,fa_num,0)),"Facture inconnue",IF(INDEX(fa_type,MATCH(B1086,fa_num,0))="Avoir","Paiement sur un avoir",IF(OR(NOT(ISNUMBER(C1086)),N(C1086)&lt;=0),"Montant invalide",IF(A1086&lt;INDEX(fa_date,MATCH(B1086,fa_num,0)),"Date antérieure à la facture",IF(SUMIF($B$6:B1086,B1086,$C$6:C1086)&gt;INDEX(fa_ttc,MATCH(B1086,fa_num,0))-N(INDEX(fa_avoirs,MATCH(B1086,fa_num,0)))+0.001,"Dépasse le montant de la facture","OK")))))))))</f>
        <v/>
      </c>
    </row>
    <row r="1087">
      <c r="A1087" s="61" t="n"/>
      <c r="B1087" s="60" t="n"/>
      <c r="C1087" s="68" t="n"/>
      <c r="D1087" s="60" t="n"/>
      <c r="E1087" s="63" t="n"/>
      <c r="F1087" s="63" t="n"/>
      <c r="G1087" s="62" t="str">
        <f>IF(B1087="","",IFERROR(INDEX(fa_cname,MATCH(B1087,fa_num,0))&amp;"",""))</f>
        <v/>
      </c>
      <c r="H1087" s="59" t="str">
        <f>IF(COUNTA(A1087:F1087)=0,"",IF(A1087="","Date manquante",IF(NOT(ISNUMBER(A1087)),"Date invalide",IF(B1087="","N° de facture manquant",IF(ISNA(MATCH(B1087,fa_num,0)),"Facture inconnue",IF(INDEX(fa_type,MATCH(B1087,fa_num,0))="Avoir","Paiement sur un avoir",IF(OR(NOT(ISNUMBER(C1087)),N(C1087)&lt;=0),"Montant invalide",IF(A1087&lt;INDEX(fa_date,MATCH(B1087,fa_num,0)),"Date antérieure à la facture",IF(SUMIF($B$6:B1087,B1087,$C$6:C1087)&gt;INDEX(fa_ttc,MATCH(B1087,fa_num,0))-N(INDEX(fa_avoirs,MATCH(B1087,fa_num,0)))+0.001,"Dépasse le montant de la facture","OK")))))))))</f>
        <v/>
      </c>
    </row>
    <row r="1088">
      <c r="A1088" s="61" t="n"/>
      <c r="B1088" s="60" t="n"/>
      <c r="C1088" s="68" t="n"/>
      <c r="D1088" s="60" t="n"/>
      <c r="E1088" s="63" t="n"/>
      <c r="F1088" s="63" t="n"/>
      <c r="G1088" s="62" t="str">
        <f>IF(B1088="","",IFERROR(INDEX(fa_cname,MATCH(B1088,fa_num,0))&amp;"",""))</f>
        <v/>
      </c>
      <c r="H1088" s="59" t="str">
        <f>IF(COUNTA(A1088:F1088)=0,"",IF(A1088="","Date manquante",IF(NOT(ISNUMBER(A1088)),"Date invalide",IF(B1088="","N° de facture manquant",IF(ISNA(MATCH(B1088,fa_num,0)),"Facture inconnue",IF(INDEX(fa_type,MATCH(B1088,fa_num,0))="Avoir","Paiement sur un avoir",IF(OR(NOT(ISNUMBER(C1088)),N(C1088)&lt;=0),"Montant invalide",IF(A1088&lt;INDEX(fa_date,MATCH(B1088,fa_num,0)),"Date antérieure à la facture",IF(SUMIF($B$6:B1088,B1088,$C$6:C1088)&gt;INDEX(fa_ttc,MATCH(B1088,fa_num,0))-N(INDEX(fa_avoirs,MATCH(B1088,fa_num,0)))+0.001,"Dépasse le montant de la facture","OK")))))))))</f>
        <v/>
      </c>
    </row>
    <row r="1089">
      <c r="A1089" s="61" t="n"/>
      <c r="B1089" s="60" t="n"/>
      <c r="C1089" s="68" t="n"/>
      <c r="D1089" s="60" t="n"/>
      <c r="E1089" s="63" t="n"/>
      <c r="F1089" s="63" t="n"/>
      <c r="G1089" s="62" t="str">
        <f>IF(B1089="","",IFERROR(INDEX(fa_cname,MATCH(B1089,fa_num,0))&amp;"",""))</f>
        <v/>
      </c>
      <c r="H1089" s="59" t="str">
        <f>IF(COUNTA(A1089:F1089)=0,"",IF(A1089="","Date manquante",IF(NOT(ISNUMBER(A1089)),"Date invalide",IF(B1089="","N° de facture manquant",IF(ISNA(MATCH(B1089,fa_num,0)),"Facture inconnue",IF(INDEX(fa_type,MATCH(B1089,fa_num,0))="Avoir","Paiement sur un avoir",IF(OR(NOT(ISNUMBER(C1089)),N(C1089)&lt;=0),"Montant invalide",IF(A1089&lt;INDEX(fa_date,MATCH(B1089,fa_num,0)),"Date antérieure à la facture",IF(SUMIF($B$6:B1089,B1089,$C$6:C1089)&gt;INDEX(fa_ttc,MATCH(B1089,fa_num,0))-N(INDEX(fa_avoirs,MATCH(B1089,fa_num,0)))+0.001,"Dépasse le montant de la facture","OK")))))))))</f>
        <v/>
      </c>
    </row>
    <row r="1090">
      <c r="A1090" s="61" t="n"/>
      <c r="B1090" s="60" t="n"/>
      <c r="C1090" s="68" t="n"/>
      <c r="D1090" s="60" t="n"/>
      <c r="E1090" s="63" t="n"/>
      <c r="F1090" s="63" t="n"/>
      <c r="G1090" s="62" t="str">
        <f>IF(B1090="","",IFERROR(INDEX(fa_cname,MATCH(B1090,fa_num,0))&amp;"",""))</f>
        <v/>
      </c>
      <c r="H1090" s="59" t="str">
        <f>IF(COUNTA(A1090:F1090)=0,"",IF(A1090="","Date manquante",IF(NOT(ISNUMBER(A1090)),"Date invalide",IF(B1090="","N° de facture manquant",IF(ISNA(MATCH(B1090,fa_num,0)),"Facture inconnue",IF(INDEX(fa_type,MATCH(B1090,fa_num,0))="Avoir","Paiement sur un avoir",IF(OR(NOT(ISNUMBER(C1090)),N(C1090)&lt;=0),"Montant invalide",IF(A1090&lt;INDEX(fa_date,MATCH(B1090,fa_num,0)),"Date antérieure à la facture",IF(SUMIF($B$6:B1090,B1090,$C$6:C1090)&gt;INDEX(fa_ttc,MATCH(B1090,fa_num,0))-N(INDEX(fa_avoirs,MATCH(B1090,fa_num,0)))+0.001,"Dépasse le montant de la facture","OK")))))))))</f>
        <v/>
      </c>
    </row>
    <row r="1091">
      <c r="A1091" s="61" t="n"/>
      <c r="B1091" s="60" t="n"/>
      <c r="C1091" s="68" t="n"/>
      <c r="D1091" s="60" t="n"/>
      <c r="E1091" s="63" t="n"/>
      <c r="F1091" s="63" t="n"/>
      <c r="G1091" s="62" t="str">
        <f>IF(B1091="","",IFERROR(INDEX(fa_cname,MATCH(B1091,fa_num,0))&amp;"",""))</f>
        <v/>
      </c>
      <c r="H1091" s="59" t="str">
        <f>IF(COUNTA(A1091:F1091)=0,"",IF(A1091="","Date manquante",IF(NOT(ISNUMBER(A1091)),"Date invalide",IF(B1091="","N° de facture manquant",IF(ISNA(MATCH(B1091,fa_num,0)),"Facture inconnue",IF(INDEX(fa_type,MATCH(B1091,fa_num,0))="Avoir","Paiement sur un avoir",IF(OR(NOT(ISNUMBER(C1091)),N(C1091)&lt;=0),"Montant invalide",IF(A1091&lt;INDEX(fa_date,MATCH(B1091,fa_num,0)),"Date antérieure à la facture",IF(SUMIF($B$6:B1091,B1091,$C$6:C1091)&gt;INDEX(fa_ttc,MATCH(B1091,fa_num,0))-N(INDEX(fa_avoirs,MATCH(B1091,fa_num,0)))+0.001,"Dépasse le montant de la facture","OK")))))))))</f>
        <v/>
      </c>
    </row>
    <row r="1092">
      <c r="A1092" s="61" t="n"/>
      <c r="B1092" s="60" t="n"/>
      <c r="C1092" s="68" t="n"/>
      <c r="D1092" s="60" t="n"/>
      <c r="E1092" s="63" t="n"/>
      <c r="F1092" s="63" t="n"/>
      <c r="G1092" s="62" t="str">
        <f>IF(B1092="","",IFERROR(INDEX(fa_cname,MATCH(B1092,fa_num,0))&amp;"",""))</f>
        <v/>
      </c>
      <c r="H1092" s="59" t="str">
        <f>IF(COUNTA(A1092:F1092)=0,"",IF(A1092="","Date manquante",IF(NOT(ISNUMBER(A1092)),"Date invalide",IF(B1092="","N° de facture manquant",IF(ISNA(MATCH(B1092,fa_num,0)),"Facture inconnue",IF(INDEX(fa_type,MATCH(B1092,fa_num,0))="Avoir","Paiement sur un avoir",IF(OR(NOT(ISNUMBER(C1092)),N(C1092)&lt;=0),"Montant invalide",IF(A1092&lt;INDEX(fa_date,MATCH(B1092,fa_num,0)),"Date antérieure à la facture",IF(SUMIF($B$6:B1092,B1092,$C$6:C1092)&gt;INDEX(fa_ttc,MATCH(B1092,fa_num,0))-N(INDEX(fa_avoirs,MATCH(B1092,fa_num,0)))+0.001,"Dépasse le montant de la facture","OK")))))))))</f>
        <v/>
      </c>
    </row>
    <row r="1093">
      <c r="A1093" s="61" t="n"/>
      <c r="B1093" s="60" t="n"/>
      <c r="C1093" s="68" t="n"/>
      <c r="D1093" s="60" t="n"/>
      <c r="E1093" s="63" t="n"/>
      <c r="F1093" s="63" t="n"/>
      <c r="G1093" s="62" t="str">
        <f>IF(B1093="","",IFERROR(INDEX(fa_cname,MATCH(B1093,fa_num,0))&amp;"",""))</f>
        <v/>
      </c>
      <c r="H1093" s="59" t="str">
        <f>IF(COUNTA(A1093:F1093)=0,"",IF(A1093="","Date manquante",IF(NOT(ISNUMBER(A1093)),"Date invalide",IF(B1093="","N° de facture manquant",IF(ISNA(MATCH(B1093,fa_num,0)),"Facture inconnue",IF(INDEX(fa_type,MATCH(B1093,fa_num,0))="Avoir","Paiement sur un avoir",IF(OR(NOT(ISNUMBER(C1093)),N(C1093)&lt;=0),"Montant invalide",IF(A1093&lt;INDEX(fa_date,MATCH(B1093,fa_num,0)),"Date antérieure à la facture",IF(SUMIF($B$6:B1093,B1093,$C$6:C1093)&gt;INDEX(fa_ttc,MATCH(B1093,fa_num,0))-N(INDEX(fa_avoirs,MATCH(B1093,fa_num,0)))+0.001,"Dépasse le montant de la facture","OK")))))))))</f>
        <v/>
      </c>
    </row>
    <row r="1094">
      <c r="A1094" s="61" t="n"/>
      <c r="B1094" s="60" t="n"/>
      <c r="C1094" s="68" t="n"/>
      <c r="D1094" s="60" t="n"/>
      <c r="E1094" s="63" t="n"/>
      <c r="F1094" s="63" t="n"/>
      <c r="G1094" s="62" t="str">
        <f>IF(B1094="","",IFERROR(INDEX(fa_cname,MATCH(B1094,fa_num,0))&amp;"",""))</f>
        <v/>
      </c>
      <c r="H1094" s="59" t="str">
        <f>IF(COUNTA(A1094:F1094)=0,"",IF(A1094="","Date manquante",IF(NOT(ISNUMBER(A1094)),"Date invalide",IF(B1094="","N° de facture manquant",IF(ISNA(MATCH(B1094,fa_num,0)),"Facture inconnue",IF(INDEX(fa_type,MATCH(B1094,fa_num,0))="Avoir","Paiement sur un avoir",IF(OR(NOT(ISNUMBER(C1094)),N(C1094)&lt;=0),"Montant invalide",IF(A1094&lt;INDEX(fa_date,MATCH(B1094,fa_num,0)),"Date antérieure à la facture",IF(SUMIF($B$6:B1094,B1094,$C$6:C1094)&gt;INDEX(fa_ttc,MATCH(B1094,fa_num,0))-N(INDEX(fa_avoirs,MATCH(B1094,fa_num,0)))+0.001,"Dépasse le montant de la facture","OK")))))))))</f>
        <v/>
      </c>
    </row>
    <row r="1095">
      <c r="A1095" s="61" t="n"/>
      <c r="B1095" s="60" t="n"/>
      <c r="C1095" s="68" t="n"/>
      <c r="D1095" s="60" t="n"/>
      <c r="E1095" s="63" t="n"/>
      <c r="F1095" s="63" t="n"/>
      <c r="G1095" s="62" t="str">
        <f>IF(B1095="","",IFERROR(INDEX(fa_cname,MATCH(B1095,fa_num,0))&amp;"",""))</f>
        <v/>
      </c>
      <c r="H1095" s="59" t="str">
        <f>IF(COUNTA(A1095:F1095)=0,"",IF(A1095="","Date manquante",IF(NOT(ISNUMBER(A1095)),"Date invalide",IF(B1095="","N° de facture manquant",IF(ISNA(MATCH(B1095,fa_num,0)),"Facture inconnue",IF(INDEX(fa_type,MATCH(B1095,fa_num,0))="Avoir","Paiement sur un avoir",IF(OR(NOT(ISNUMBER(C1095)),N(C1095)&lt;=0),"Montant invalide",IF(A1095&lt;INDEX(fa_date,MATCH(B1095,fa_num,0)),"Date antérieure à la facture",IF(SUMIF($B$6:B1095,B1095,$C$6:C1095)&gt;INDEX(fa_ttc,MATCH(B1095,fa_num,0))-N(INDEX(fa_avoirs,MATCH(B1095,fa_num,0)))+0.001,"Dépasse le montant de la facture","OK")))))))))</f>
        <v/>
      </c>
    </row>
    <row r="1096">
      <c r="A1096" s="61" t="n"/>
      <c r="B1096" s="60" t="n"/>
      <c r="C1096" s="68" t="n"/>
      <c r="D1096" s="60" t="n"/>
      <c r="E1096" s="63" t="n"/>
      <c r="F1096" s="63" t="n"/>
      <c r="G1096" s="62" t="str">
        <f>IF(B1096="","",IFERROR(INDEX(fa_cname,MATCH(B1096,fa_num,0))&amp;"",""))</f>
        <v/>
      </c>
      <c r="H1096" s="59" t="str">
        <f>IF(COUNTA(A1096:F1096)=0,"",IF(A1096="","Date manquante",IF(NOT(ISNUMBER(A1096)),"Date invalide",IF(B1096="","N° de facture manquant",IF(ISNA(MATCH(B1096,fa_num,0)),"Facture inconnue",IF(INDEX(fa_type,MATCH(B1096,fa_num,0))="Avoir","Paiement sur un avoir",IF(OR(NOT(ISNUMBER(C1096)),N(C1096)&lt;=0),"Montant invalide",IF(A1096&lt;INDEX(fa_date,MATCH(B1096,fa_num,0)),"Date antérieure à la facture",IF(SUMIF($B$6:B1096,B1096,$C$6:C1096)&gt;INDEX(fa_ttc,MATCH(B1096,fa_num,0))-N(INDEX(fa_avoirs,MATCH(B1096,fa_num,0)))+0.001,"Dépasse le montant de la facture","OK")))))))))</f>
        <v/>
      </c>
    </row>
    <row r="1097">
      <c r="A1097" s="61" t="n"/>
      <c r="B1097" s="60" t="n"/>
      <c r="C1097" s="68" t="n"/>
      <c r="D1097" s="60" t="n"/>
      <c r="E1097" s="63" t="n"/>
      <c r="F1097" s="63" t="n"/>
      <c r="G1097" s="62" t="str">
        <f>IF(B1097="","",IFERROR(INDEX(fa_cname,MATCH(B1097,fa_num,0))&amp;"",""))</f>
        <v/>
      </c>
      <c r="H1097" s="59" t="str">
        <f>IF(COUNTA(A1097:F1097)=0,"",IF(A1097="","Date manquante",IF(NOT(ISNUMBER(A1097)),"Date invalide",IF(B1097="","N° de facture manquant",IF(ISNA(MATCH(B1097,fa_num,0)),"Facture inconnue",IF(INDEX(fa_type,MATCH(B1097,fa_num,0))="Avoir","Paiement sur un avoir",IF(OR(NOT(ISNUMBER(C1097)),N(C1097)&lt;=0),"Montant invalide",IF(A1097&lt;INDEX(fa_date,MATCH(B1097,fa_num,0)),"Date antérieure à la facture",IF(SUMIF($B$6:B1097,B1097,$C$6:C1097)&gt;INDEX(fa_ttc,MATCH(B1097,fa_num,0))-N(INDEX(fa_avoirs,MATCH(B1097,fa_num,0)))+0.001,"Dépasse le montant de la facture","OK")))))))))</f>
        <v/>
      </c>
    </row>
    <row r="1098">
      <c r="A1098" s="61" t="n"/>
      <c r="B1098" s="60" t="n"/>
      <c r="C1098" s="68" t="n"/>
      <c r="D1098" s="60" t="n"/>
      <c r="E1098" s="63" t="n"/>
      <c r="F1098" s="63" t="n"/>
      <c r="G1098" s="62" t="str">
        <f>IF(B1098="","",IFERROR(INDEX(fa_cname,MATCH(B1098,fa_num,0))&amp;"",""))</f>
        <v/>
      </c>
      <c r="H1098" s="59" t="str">
        <f>IF(COUNTA(A1098:F1098)=0,"",IF(A1098="","Date manquante",IF(NOT(ISNUMBER(A1098)),"Date invalide",IF(B1098="","N° de facture manquant",IF(ISNA(MATCH(B1098,fa_num,0)),"Facture inconnue",IF(INDEX(fa_type,MATCH(B1098,fa_num,0))="Avoir","Paiement sur un avoir",IF(OR(NOT(ISNUMBER(C1098)),N(C1098)&lt;=0),"Montant invalide",IF(A1098&lt;INDEX(fa_date,MATCH(B1098,fa_num,0)),"Date antérieure à la facture",IF(SUMIF($B$6:B1098,B1098,$C$6:C1098)&gt;INDEX(fa_ttc,MATCH(B1098,fa_num,0))-N(INDEX(fa_avoirs,MATCH(B1098,fa_num,0)))+0.001,"Dépasse le montant de la facture","OK")))))))))</f>
        <v/>
      </c>
    </row>
    <row r="1099">
      <c r="A1099" s="61" t="n"/>
      <c r="B1099" s="60" t="n"/>
      <c r="C1099" s="68" t="n"/>
      <c r="D1099" s="60" t="n"/>
      <c r="E1099" s="63" t="n"/>
      <c r="F1099" s="63" t="n"/>
      <c r="G1099" s="62" t="str">
        <f>IF(B1099="","",IFERROR(INDEX(fa_cname,MATCH(B1099,fa_num,0))&amp;"",""))</f>
        <v/>
      </c>
      <c r="H1099" s="59" t="str">
        <f>IF(COUNTA(A1099:F1099)=0,"",IF(A1099="","Date manquante",IF(NOT(ISNUMBER(A1099)),"Date invalide",IF(B1099="","N° de facture manquant",IF(ISNA(MATCH(B1099,fa_num,0)),"Facture inconnue",IF(INDEX(fa_type,MATCH(B1099,fa_num,0))="Avoir","Paiement sur un avoir",IF(OR(NOT(ISNUMBER(C1099)),N(C1099)&lt;=0),"Montant invalide",IF(A1099&lt;INDEX(fa_date,MATCH(B1099,fa_num,0)),"Date antérieure à la facture",IF(SUMIF($B$6:B1099,B1099,$C$6:C1099)&gt;INDEX(fa_ttc,MATCH(B1099,fa_num,0))-N(INDEX(fa_avoirs,MATCH(B1099,fa_num,0)))+0.001,"Dépasse le montant de la facture","OK")))))))))</f>
        <v/>
      </c>
    </row>
    <row r="1100">
      <c r="A1100" s="61" t="n"/>
      <c r="B1100" s="60" t="n"/>
      <c r="C1100" s="68" t="n"/>
      <c r="D1100" s="60" t="n"/>
      <c r="E1100" s="63" t="n"/>
      <c r="F1100" s="63" t="n"/>
      <c r="G1100" s="62" t="str">
        <f>IF(B1100="","",IFERROR(INDEX(fa_cname,MATCH(B1100,fa_num,0))&amp;"",""))</f>
        <v/>
      </c>
      <c r="H1100" s="59" t="str">
        <f>IF(COUNTA(A1100:F1100)=0,"",IF(A1100="","Date manquante",IF(NOT(ISNUMBER(A1100)),"Date invalide",IF(B1100="","N° de facture manquant",IF(ISNA(MATCH(B1100,fa_num,0)),"Facture inconnue",IF(INDEX(fa_type,MATCH(B1100,fa_num,0))="Avoir","Paiement sur un avoir",IF(OR(NOT(ISNUMBER(C1100)),N(C1100)&lt;=0),"Montant invalide",IF(A1100&lt;INDEX(fa_date,MATCH(B1100,fa_num,0)),"Date antérieure à la facture",IF(SUMIF($B$6:B1100,B1100,$C$6:C1100)&gt;INDEX(fa_ttc,MATCH(B1100,fa_num,0))-N(INDEX(fa_avoirs,MATCH(B1100,fa_num,0)))+0.001,"Dépasse le montant de la facture","OK")))))))))</f>
        <v/>
      </c>
    </row>
    <row r="1101">
      <c r="A1101" s="61" t="n"/>
      <c r="B1101" s="60" t="n"/>
      <c r="C1101" s="68" t="n"/>
      <c r="D1101" s="60" t="n"/>
      <c r="E1101" s="63" t="n"/>
      <c r="F1101" s="63" t="n"/>
      <c r="G1101" s="62" t="str">
        <f>IF(B1101="","",IFERROR(INDEX(fa_cname,MATCH(B1101,fa_num,0))&amp;"",""))</f>
        <v/>
      </c>
      <c r="H1101" s="59" t="str">
        <f>IF(COUNTA(A1101:F1101)=0,"",IF(A1101="","Date manquante",IF(NOT(ISNUMBER(A1101)),"Date invalide",IF(B1101="","N° de facture manquant",IF(ISNA(MATCH(B1101,fa_num,0)),"Facture inconnue",IF(INDEX(fa_type,MATCH(B1101,fa_num,0))="Avoir","Paiement sur un avoir",IF(OR(NOT(ISNUMBER(C1101)),N(C1101)&lt;=0),"Montant invalide",IF(A1101&lt;INDEX(fa_date,MATCH(B1101,fa_num,0)),"Date antérieure à la facture",IF(SUMIF($B$6:B1101,B1101,$C$6:C1101)&gt;INDEX(fa_ttc,MATCH(B1101,fa_num,0))-N(INDEX(fa_avoirs,MATCH(B1101,fa_num,0)))+0.001,"Dépasse le montant de la facture","OK")))))))))</f>
        <v/>
      </c>
    </row>
    <row r="1102">
      <c r="A1102" s="61" t="n"/>
      <c r="B1102" s="60" t="n"/>
      <c r="C1102" s="68" t="n"/>
      <c r="D1102" s="60" t="n"/>
      <c r="E1102" s="63" t="n"/>
      <c r="F1102" s="63" t="n"/>
      <c r="G1102" s="62" t="str">
        <f>IF(B1102="","",IFERROR(INDEX(fa_cname,MATCH(B1102,fa_num,0))&amp;"",""))</f>
        <v/>
      </c>
      <c r="H1102" s="59" t="str">
        <f>IF(COUNTA(A1102:F1102)=0,"",IF(A1102="","Date manquante",IF(NOT(ISNUMBER(A1102)),"Date invalide",IF(B1102="","N° de facture manquant",IF(ISNA(MATCH(B1102,fa_num,0)),"Facture inconnue",IF(INDEX(fa_type,MATCH(B1102,fa_num,0))="Avoir","Paiement sur un avoir",IF(OR(NOT(ISNUMBER(C1102)),N(C1102)&lt;=0),"Montant invalide",IF(A1102&lt;INDEX(fa_date,MATCH(B1102,fa_num,0)),"Date antérieure à la facture",IF(SUMIF($B$6:B1102,B1102,$C$6:C1102)&gt;INDEX(fa_ttc,MATCH(B1102,fa_num,0))-N(INDEX(fa_avoirs,MATCH(B1102,fa_num,0)))+0.001,"Dépasse le montant de la facture","OK")))))))))</f>
        <v/>
      </c>
    </row>
    <row r="1103">
      <c r="A1103" s="61" t="n"/>
      <c r="B1103" s="60" t="n"/>
      <c r="C1103" s="68" t="n"/>
      <c r="D1103" s="60" t="n"/>
      <c r="E1103" s="63" t="n"/>
      <c r="F1103" s="63" t="n"/>
      <c r="G1103" s="62" t="str">
        <f>IF(B1103="","",IFERROR(INDEX(fa_cname,MATCH(B1103,fa_num,0))&amp;"",""))</f>
        <v/>
      </c>
      <c r="H1103" s="59" t="str">
        <f>IF(COUNTA(A1103:F1103)=0,"",IF(A1103="","Date manquante",IF(NOT(ISNUMBER(A1103)),"Date invalide",IF(B1103="","N° de facture manquant",IF(ISNA(MATCH(B1103,fa_num,0)),"Facture inconnue",IF(INDEX(fa_type,MATCH(B1103,fa_num,0))="Avoir","Paiement sur un avoir",IF(OR(NOT(ISNUMBER(C1103)),N(C1103)&lt;=0),"Montant invalide",IF(A1103&lt;INDEX(fa_date,MATCH(B1103,fa_num,0)),"Date antérieure à la facture",IF(SUMIF($B$6:B1103,B1103,$C$6:C1103)&gt;INDEX(fa_ttc,MATCH(B1103,fa_num,0))-N(INDEX(fa_avoirs,MATCH(B1103,fa_num,0)))+0.001,"Dépasse le montant de la facture","OK")))))))))</f>
        <v/>
      </c>
    </row>
    <row r="1104">
      <c r="A1104" s="61" t="n"/>
      <c r="B1104" s="60" t="n"/>
      <c r="C1104" s="68" t="n"/>
      <c r="D1104" s="60" t="n"/>
      <c r="E1104" s="63" t="n"/>
      <c r="F1104" s="63" t="n"/>
      <c r="G1104" s="62" t="str">
        <f>IF(B1104="","",IFERROR(INDEX(fa_cname,MATCH(B1104,fa_num,0))&amp;"",""))</f>
        <v/>
      </c>
      <c r="H1104" s="59" t="str">
        <f>IF(COUNTA(A1104:F1104)=0,"",IF(A1104="","Date manquante",IF(NOT(ISNUMBER(A1104)),"Date invalide",IF(B1104="","N° de facture manquant",IF(ISNA(MATCH(B1104,fa_num,0)),"Facture inconnue",IF(INDEX(fa_type,MATCH(B1104,fa_num,0))="Avoir","Paiement sur un avoir",IF(OR(NOT(ISNUMBER(C1104)),N(C1104)&lt;=0),"Montant invalide",IF(A1104&lt;INDEX(fa_date,MATCH(B1104,fa_num,0)),"Date antérieure à la facture",IF(SUMIF($B$6:B1104,B1104,$C$6:C1104)&gt;INDEX(fa_ttc,MATCH(B1104,fa_num,0))-N(INDEX(fa_avoirs,MATCH(B1104,fa_num,0)))+0.001,"Dépasse le montant de la facture","OK")))))))))</f>
        <v/>
      </c>
    </row>
    <row r="1105">
      <c r="A1105" s="61" t="n"/>
      <c r="B1105" s="60" t="n"/>
      <c r="C1105" s="68" t="n"/>
      <c r="D1105" s="60" t="n"/>
      <c r="E1105" s="63" t="n"/>
      <c r="F1105" s="63" t="n"/>
      <c r="G1105" s="62" t="str">
        <f>IF(B1105="","",IFERROR(INDEX(fa_cname,MATCH(B1105,fa_num,0))&amp;"",""))</f>
        <v/>
      </c>
      <c r="H1105" s="59" t="str">
        <f>IF(COUNTA(A1105:F1105)=0,"",IF(A1105="","Date manquante",IF(NOT(ISNUMBER(A1105)),"Date invalide",IF(B1105="","N° de facture manquant",IF(ISNA(MATCH(B1105,fa_num,0)),"Facture inconnue",IF(INDEX(fa_type,MATCH(B1105,fa_num,0))="Avoir","Paiement sur un avoir",IF(OR(NOT(ISNUMBER(C1105)),N(C1105)&lt;=0),"Montant invalide",IF(A1105&lt;INDEX(fa_date,MATCH(B1105,fa_num,0)),"Date antérieure à la facture",IF(SUMIF($B$6:B1105,B1105,$C$6:C1105)&gt;INDEX(fa_ttc,MATCH(B1105,fa_num,0))-N(INDEX(fa_avoirs,MATCH(B1105,fa_num,0)))+0.001,"Dépasse le montant de la facture","OK")))))))))</f>
        <v/>
      </c>
    </row>
    <row r="1106">
      <c r="A1106" s="61" t="n"/>
      <c r="B1106" s="60" t="n"/>
      <c r="C1106" s="68" t="n"/>
      <c r="D1106" s="60" t="n"/>
      <c r="E1106" s="63" t="n"/>
      <c r="F1106" s="63" t="n"/>
      <c r="G1106" s="62" t="str">
        <f>IF(B1106="","",IFERROR(INDEX(fa_cname,MATCH(B1106,fa_num,0))&amp;"",""))</f>
        <v/>
      </c>
      <c r="H1106" s="59" t="str">
        <f>IF(COUNTA(A1106:F1106)=0,"",IF(A1106="","Date manquante",IF(NOT(ISNUMBER(A1106)),"Date invalide",IF(B1106="","N° de facture manquant",IF(ISNA(MATCH(B1106,fa_num,0)),"Facture inconnue",IF(INDEX(fa_type,MATCH(B1106,fa_num,0))="Avoir","Paiement sur un avoir",IF(OR(NOT(ISNUMBER(C1106)),N(C1106)&lt;=0),"Montant invalide",IF(A1106&lt;INDEX(fa_date,MATCH(B1106,fa_num,0)),"Date antérieure à la facture",IF(SUMIF($B$6:B1106,B1106,$C$6:C1106)&gt;INDEX(fa_ttc,MATCH(B1106,fa_num,0))-N(INDEX(fa_avoirs,MATCH(B1106,fa_num,0)))+0.001,"Dépasse le montant de la facture","OK")))))))))</f>
        <v/>
      </c>
    </row>
    <row r="1107">
      <c r="A1107" s="61" t="n"/>
      <c r="B1107" s="60" t="n"/>
      <c r="C1107" s="68" t="n"/>
      <c r="D1107" s="60" t="n"/>
      <c r="E1107" s="63" t="n"/>
      <c r="F1107" s="63" t="n"/>
      <c r="G1107" s="62" t="str">
        <f>IF(B1107="","",IFERROR(INDEX(fa_cname,MATCH(B1107,fa_num,0))&amp;"",""))</f>
        <v/>
      </c>
      <c r="H1107" s="59" t="str">
        <f>IF(COUNTA(A1107:F1107)=0,"",IF(A1107="","Date manquante",IF(NOT(ISNUMBER(A1107)),"Date invalide",IF(B1107="","N° de facture manquant",IF(ISNA(MATCH(B1107,fa_num,0)),"Facture inconnue",IF(INDEX(fa_type,MATCH(B1107,fa_num,0))="Avoir","Paiement sur un avoir",IF(OR(NOT(ISNUMBER(C1107)),N(C1107)&lt;=0),"Montant invalide",IF(A1107&lt;INDEX(fa_date,MATCH(B1107,fa_num,0)),"Date antérieure à la facture",IF(SUMIF($B$6:B1107,B1107,$C$6:C1107)&gt;INDEX(fa_ttc,MATCH(B1107,fa_num,0))-N(INDEX(fa_avoirs,MATCH(B1107,fa_num,0)))+0.001,"Dépasse le montant de la facture","OK")))))))))</f>
        <v/>
      </c>
    </row>
    <row r="1108">
      <c r="A1108" s="61" t="n"/>
      <c r="B1108" s="60" t="n"/>
      <c r="C1108" s="68" t="n"/>
      <c r="D1108" s="60" t="n"/>
      <c r="E1108" s="63" t="n"/>
      <c r="F1108" s="63" t="n"/>
      <c r="G1108" s="62" t="str">
        <f>IF(B1108="","",IFERROR(INDEX(fa_cname,MATCH(B1108,fa_num,0))&amp;"",""))</f>
        <v/>
      </c>
      <c r="H1108" s="59" t="str">
        <f>IF(COUNTA(A1108:F1108)=0,"",IF(A1108="","Date manquante",IF(NOT(ISNUMBER(A1108)),"Date invalide",IF(B1108="","N° de facture manquant",IF(ISNA(MATCH(B1108,fa_num,0)),"Facture inconnue",IF(INDEX(fa_type,MATCH(B1108,fa_num,0))="Avoir","Paiement sur un avoir",IF(OR(NOT(ISNUMBER(C1108)),N(C1108)&lt;=0),"Montant invalide",IF(A1108&lt;INDEX(fa_date,MATCH(B1108,fa_num,0)),"Date antérieure à la facture",IF(SUMIF($B$6:B1108,B1108,$C$6:C1108)&gt;INDEX(fa_ttc,MATCH(B1108,fa_num,0))-N(INDEX(fa_avoirs,MATCH(B1108,fa_num,0)))+0.001,"Dépasse le montant de la facture","OK")))))))))</f>
        <v/>
      </c>
    </row>
    <row r="1109">
      <c r="A1109" s="61" t="n"/>
      <c r="B1109" s="60" t="n"/>
      <c r="C1109" s="68" t="n"/>
      <c r="D1109" s="60" t="n"/>
      <c r="E1109" s="63" t="n"/>
      <c r="F1109" s="63" t="n"/>
      <c r="G1109" s="62" t="str">
        <f>IF(B1109="","",IFERROR(INDEX(fa_cname,MATCH(B1109,fa_num,0))&amp;"",""))</f>
        <v/>
      </c>
      <c r="H1109" s="59" t="str">
        <f>IF(COUNTA(A1109:F1109)=0,"",IF(A1109="","Date manquante",IF(NOT(ISNUMBER(A1109)),"Date invalide",IF(B1109="","N° de facture manquant",IF(ISNA(MATCH(B1109,fa_num,0)),"Facture inconnue",IF(INDEX(fa_type,MATCH(B1109,fa_num,0))="Avoir","Paiement sur un avoir",IF(OR(NOT(ISNUMBER(C1109)),N(C1109)&lt;=0),"Montant invalide",IF(A1109&lt;INDEX(fa_date,MATCH(B1109,fa_num,0)),"Date antérieure à la facture",IF(SUMIF($B$6:B1109,B1109,$C$6:C1109)&gt;INDEX(fa_ttc,MATCH(B1109,fa_num,0))-N(INDEX(fa_avoirs,MATCH(B1109,fa_num,0)))+0.001,"Dépasse le montant de la facture","OK")))))))))</f>
        <v/>
      </c>
    </row>
    <row r="1110">
      <c r="A1110" s="61" t="n"/>
      <c r="B1110" s="60" t="n"/>
      <c r="C1110" s="68" t="n"/>
      <c r="D1110" s="60" t="n"/>
      <c r="E1110" s="63" t="n"/>
      <c r="F1110" s="63" t="n"/>
      <c r="G1110" s="62" t="str">
        <f>IF(B1110="","",IFERROR(INDEX(fa_cname,MATCH(B1110,fa_num,0))&amp;"",""))</f>
        <v/>
      </c>
      <c r="H1110" s="59" t="str">
        <f>IF(COUNTA(A1110:F1110)=0,"",IF(A1110="","Date manquante",IF(NOT(ISNUMBER(A1110)),"Date invalide",IF(B1110="","N° de facture manquant",IF(ISNA(MATCH(B1110,fa_num,0)),"Facture inconnue",IF(INDEX(fa_type,MATCH(B1110,fa_num,0))="Avoir","Paiement sur un avoir",IF(OR(NOT(ISNUMBER(C1110)),N(C1110)&lt;=0),"Montant invalide",IF(A1110&lt;INDEX(fa_date,MATCH(B1110,fa_num,0)),"Date antérieure à la facture",IF(SUMIF($B$6:B1110,B1110,$C$6:C1110)&gt;INDEX(fa_ttc,MATCH(B1110,fa_num,0))-N(INDEX(fa_avoirs,MATCH(B1110,fa_num,0)))+0.001,"Dépasse le montant de la facture","OK")))))))))</f>
        <v/>
      </c>
    </row>
    <row r="1111">
      <c r="A1111" s="61" t="n"/>
      <c r="B1111" s="60" t="n"/>
      <c r="C1111" s="68" t="n"/>
      <c r="D1111" s="60" t="n"/>
      <c r="E1111" s="63" t="n"/>
      <c r="F1111" s="63" t="n"/>
      <c r="G1111" s="62" t="str">
        <f>IF(B1111="","",IFERROR(INDEX(fa_cname,MATCH(B1111,fa_num,0))&amp;"",""))</f>
        <v/>
      </c>
      <c r="H1111" s="59" t="str">
        <f>IF(COUNTA(A1111:F1111)=0,"",IF(A1111="","Date manquante",IF(NOT(ISNUMBER(A1111)),"Date invalide",IF(B1111="","N° de facture manquant",IF(ISNA(MATCH(B1111,fa_num,0)),"Facture inconnue",IF(INDEX(fa_type,MATCH(B1111,fa_num,0))="Avoir","Paiement sur un avoir",IF(OR(NOT(ISNUMBER(C1111)),N(C1111)&lt;=0),"Montant invalide",IF(A1111&lt;INDEX(fa_date,MATCH(B1111,fa_num,0)),"Date antérieure à la facture",IF(SUMIF($B$6:B1111,B1111,$C$6:C1111)&gt;INDEX(fa_ttc,MATCH(B1111,fa_num,0))-N(INDEX(fa_avoirs,MATCH(B1111,fa_num,0)))+0.001,"Dépasse le montant de la facture","OK")))))))))</f>
        <v/>
      </c>
    </row>
    <row r="1112">
      <c r="A1112" s="61" t="n"/>
      <c r="B1112" s="60" t="n"/>
      <c r="C1112" s="68" t="n"/>
      <c r="D1112" s="60" t="n"/>
      <c r="E1112" s="63" t="n"/>
      <c r="F1112" s="63" t="n"/>
      <c r="G1112" s="62" t="str">
        <f>IF(B1112="","",IFERROR(INDEX(fa_cname,MATCH(B1112,fa_num,0))&amp;"",""))</f>
        <v/>
      </c>
      <c r="H1112" s="59" t="str">
        <f>IF(COUNTA(A1112:F1112)=0,"",IF(A1112="","Date manquante",IF(NOT(ISNUMBER(A1112)),"Date invalide",IF(B1112="","N° de facture manquant",IF(ISNA(MATCH(B1112,fa_num,0)),"Facture inconnue",IF(INDEX(fa_type,MATCH(B1112,fa_num,0))="Avoir","Paiement sur un avoir",IF(OR(NOT(ISNUMBER(C1112)),N(C1112)&lt;=0),"Montant invalide",IF(A1112&lt;INDEX(fa_date,MATCH(B1112,fa_num,0)),"Date antérieure à la facture",IF(SUMIF($B$6:B1112,B1112,$C$6:C1112)&gt;INDEX(fa_ttc,MATCH(B1112,fa_num,0))-N(INDEX(fa_avoirs,MATCH(B1112,fa_num,0)))+0.001,"Dépasse le montant de la facture","OK")))))))))</f>
        <v/>
      </c>
    </row>
    <row r="1113">
      <c r="A1113" s="61" t="n"/>
      <c r="B1113" s="60" t="n"/>
      <c r="C1113" s="68" t="n"/>
      <c r="D1113" s="60" t="n"/>
      <c r="E1113" s="63" t="n"/>
      <c r="F1113" s="63" t="n"/>
      <c r="G1113" s="62" t="str">
        <f>IF(B1113="","",IFERROR(INDEX(fa_cname,MATCH(B1113,fa_num,0))&amp;"",""))</f>
        <v/>
      </c>
      <c r="H1113" s="59" t="str">
        <f>IF(COUNTA(A1113:F1113)=0,"",IF(A1113="","Date manquante",IF(NOT(ISNUMBER(A1113)),"Date invalide",IF(B1113="","N° de facture manquant",IF(ISNA(MATCH(B1113,fa_num,0)),"Facture inconnue",IF(INDEX(fa_type,MATCH(B1113,fa_num,0))="Avoir","Paiement sur un avoir",IF(OR(NOT(ISNUMBER(C1113)),N(C1113)&lt;=0),"Montant invalide",IF(A1113&lt;INDEX(fa_date,MATCH(B1113,fa_num,0)),"Date antérieure à la facture",IF(SUMIF($B$6:B1113,B1113,$C$6:C1113)&gt;INDEX(fa_ttc,MATCH(B1113,fa_num,0))-N(INDEX(fa_avoirs,MATCH(B1113,fa_num,0)))+0.001,"Dépasse le montant de la facture","OK")))))))))</f>
        <v/>
      </c>
    </row>
    <row r="1114">
      <c r="A1114" s="61" t="n"/>
      <c r="B1114" s="60" t="n"/>
      <c r="C1114" s="68" t="n"/>
      <c r="D1114" s="60" t="n"/>
      <c r="E1114" s="63" t="n"/>
      <c r="F1114" s="63" t="n"/>
      <c r="G1114" s="62" t="str">
        <f>IF(B1114="","",IFERROR(INDEX(fa_cname,MATCH(B1114,fa_num,0))&amp;"",""))</f>
        <v/>
      </c>
      <c r="H1114" s="59" t="str">
        <f>IF(COUNTA(A1114:F1114)=0,"",IF(A1114="","Date manquante",IF(NOT(ISNUMBER(A1114)),"Date invalide",IF(B1114="","N° de facture manquant",IF(ISNA(MATCH(B1114,fa_num,0)),"Facture inconnue",IF(INDEX(fa_type,MATCH(B1114,fa_num,0))="Avoir","Paiement sur un avoir",IF(OR(NOT(ISNUMBER(C1114)),N(C1114)&lt;=0),"Montant invalide",IF(A1114&lt;INDEX(fa_date,MATCH(B1114,fa_num,0)),"Date antérieure à la facture",IF(SUMIF($B$6:B1114,B1114,$C$6:C1114)&gt;INDEX(fa_ttc,MATCH(B1114,fa_num,0))-N(INDEX(fa_avoirs,MATCH(B1114,fa_num,0)))+0.001,"Dépasse le montant de la facture","OK")))))))))</f>
        <v/>
      </c>
    </row>
    <row r="1115">
      <c r="A1115" s="61" t="n"/>
      <c r="B1115" s="60" t="n"/>
      <c r="C1115" s="68" t="n"/>
      <c r="D1115" s="60" t="n"/>
      <c r="E1115" s="63" t="n"/>
      <c r="F1115" s="63" t="n"/>
      <c r="G1115" s="62" t="str">
        <f>IF(B1115="","",IFERROR(INDEX(fa_cname,MATCH(B1115,fa_num,0))&amp;"",""))</f>
        <v/>
      </c>
      <c r="H1115" s="59" t="str">
        <f>IF(COUNTA(A1115:F1115)=0,"",IF(A1115="","Date manquante",IF(NOT(ISNUMBER(A1115)),"Date invalide",IF(B1115="","N° de facture manquant",IF(ISNA(MATCH(B1115,fa_num,0)),"Facture inconnue",IF(INDEX(fa_type,MATCH(B1115,fa_num,0))="Avoir","Paiement sur un avoir",IF(OR(NOT(ISNUMBER(C1115)),N(C1115)&lt;=0),"Montant invalide",IF(A1115&lt;INDEX(fa_date,MATCH(B1115,fa_num,0)),"Date antérieure à la facture",IF(SUMIF($B$6:B1115,B1115,$C$6:C1115)&gt;INDEX(fa_ttc,MATCH(B1115,fa_num,0))-N(INDEX(fa_avoirs,MATCH(B1115,fa_num,0)))+0.001,"Dépasse le montant de la facture","OK")))))))))</f>
        <v/>
      </c>
    </row>
    <row r="1116">
      <c r="A1116" s="61" t="n"/>
      <c r="B1116" s="60" t="n"/>
      <c r="C1116" s="68" t="n"/>
      <c r="D1116" s="60" t="n"/>
      <c r="E1116" s="63" t="n"/>
      <c r="F1116" s="63" t="n"/>
      <c r="G1116" s="62" t="str">
        <f>IF(B1116="","",IFERROR(INDEX(fa_cname,MATCH(B1116,fa_num,0))&amp;"",""))</f>
        <v/>
      </c>
      <c r="H1116" s="59" t="str">
        <f>IF(COUNTA(A1116:F1116)=0,"",IF(A1116="","Date manquante",IF(NOT(ISNUMBER(A1116)),"Date invalide",IF(B1116="","N° de facture manquant",IF(ISNA(MATCH(B1116,fa_num,0)),"Facture inconnue",IF(INDEX(fa_type,MATCH(B1116,fa_num,0))="Avoir","Paiement sur un avoir",IF(OR(NOT(ISNUMBER(C1116)),N(C1116)&lt;=0),"Montant invalide",IF(A1116&lt;INDEX(fa_date,MATCH(B1116,fa_num,0)),"Date antérieure à la facture",IF(SUMIF($B$6:B1116,B1116,$C$6:C1116)&gt;INDEX(fa_ttc,MATCH(B1116,fa_num,0))-N(INDEX(fa_avoirs,MATCH(B1116,fa_num,0)))+0.001,"Dépasse le montant de la facture","OK")))))))))</f>
        <v/>
      </c>
    </row>
    <row r="1117">
      <c r="A1117" s="61" t="n"/>
      <c r="B1117" s="60" t="n"/>
      <c r="C1117" s="68" t="n"/>
      <c r="D1117" s="60" t="n"/>
      <c r="E1117" s="63" t="n"/>
      <c r="F1117" s="63" t="n"/>
      <c r="G1117" s="62" t="str">
        <f>IF(B1117="","",IFERROR(INDEX(fa_cname,MATCH(B1117,fa_num,0))&amp;"",""))</f>
        <v/>
      </c>
      <c r="H1117" s="59" t="str">
        <f>IF(COUNTA(A1117:F1117)=0,"",IF(A1117="","Date manquante",IF(NOT(ISNUMBER(A1117)),"Date invalide",IF(B1117="","N° de facture manquant",IF(ISNA(MATCH(B1117,fa_num,0)),"Facture inconnue",IF(INDEX(fa_type,MATCH(B1117,fa_num,0))="Avoir","Paiement sur un avoir",IF(OR(NOT(ISNUMBER(C1117)),N(C1117)&lt;=0),"Montant invalide",IF(A1117&lt;INDEX(fa_date,MATCH(B1117,fa_num,0)),"Date antérieure à la facture",IF(SUMIF($B$6:B1117,B1117,$C$6:C1117)&gt;INDEX(fa_ttc,MATCH(B1117,fa_num,0))-N(INDEX(fa_avoirs,MATCH(B1117,fa_num,0)))+0.001,"Dépasse le montant de la facture","OK")))))))))</f>
        <v/>
      </c>
    </row>
    <row r="1118">
      <c r="A1118" s="61" t="n"/>
      <c r="B1118" s="60" t="n"/>
      <c r="C1118" s="68" t="n"/>
      <c r="D1118" s="60" t="n"/>
      <c r="E1118" s="63" t="n"/>
      <c r="F1118" s="63" t="n"/>
      <c r="G1118" s="62" t="str">
        <f>IF(B1118="","",IFERROR(INDEX(fa_cname,MATCH(B1118,fa_num,0))&amp;"",""))</f>
        <v/>
      </c>
      <c r="H1118" s="59" t="str">
        <f>IF(COUNTA(A1118:F1118)=0,"",IF(A1118="","Date manquante",IF(NOT(ISNUMBER(A1118)),"Date invalide",IF(B1118="","N° de facture manquant",IF(ISNA(MATCH(B1118,fa_num,0)),"Facture inconnue",IF(INDEX(fa_type,MATCH(B1118,fa_num,0))="Avoir","Paiement sur un avoir",IF(OR(NOT(ISNUMBER(C1118)),N(C1118)&lt;=0),"Montant invalide",IF(A1118&lt;INDEX(fa_date,MATCH(B1118,fa_num,0)),"Date antérieure à la facture",IF(SUMIF($B$6:B1118,B1118,$C$6:C1118)&gt;INDEX(fa_ttc,MATCH(B1118,fa_num,0))-N(INDEX(fa_avoirs,MATCH(B1118,fa_num,0)))+0.001,"Dépasse le montant de la facture","OK")))))))))</f>
        <v/>
      </c>
    </row>
    <row r="1119">
      <c r="A1119" s="61" t="n"/>
      <c r="B1119" s="60" t="n"/>
      <c r="C1119" s="68" t="n"/>
      <c r="D1119" s="60" t="n"/>
      <c r="E1119" s="63" t="n"/>
      <c r="F1119" s="63" t="n"/>
      <c r="G1119" s="62" t="str">
        <f>IF(B1119="","",IFERROR(INDEX(fa_cname,MATCH(B1119,fa_num,0))&amp;"",""))</f>
        <v/>
      </c>
      <c r="H1119" s="59" t="str">
        <f>IF(COUNTA(A1119:F1119)=0,"",IF(A1119="","Date manquante",IF(NOT(ISNUMBER(A1119)),"Date invalide",IF(B1119="","N° de facture manquant",IF(ISNA(MATCH(B1119,fa_num,0)),"Facture inconnue",IF(INDEX(fa_type,MATCH(B1119,fa_num,0))="Avoir","Paiement sur un avoir",IF(OR(NOT(ISNUMBER(C1119)),N(C1119)&lt;=0),"Montant invalide",IF(A1119&lt;INDEX(fa_date,MATCH(B1119,fa_num,0)),"Date antérieure à la facture",IF(SUMIF($B$6:B1119,B1119,$C$6:C1119)&gt;INDEX(fa_ttc,MATCH(B1119,fa_num,0))-N(INDEX(fa_avoirs,MATCH(B1119,fa_num,0)))+0.001,"Dépasse le montant de la facture","OK")))))))))</f>
        <v/>
      </c>
    </row>
    <row r="1120">
      <c r="A1120" s="61" t="n"/>
      <c r="B1120" s="60" t="n"/>
      <c r="C1120" s="68" t="n"/>
      <c r="D1120" s="60" t="n"/>
      <c r="E1120" s="63" t="n"/>
      <c r="F1120" s="63" t="n"/>
      <c r="G1120" s="62" t="str">
        <f>IF(B1120="","",IFERROR(INDEX(fa_cname,MATCH(B1120,fa_num,0))&amp;"",""))</f>
        <v/>
      </c>
      <c r="H1120" s="59" t="str">
        <f>IF(COUNTA(A1120:F1120)=0,"",IF(A1120="","Date manquante",IF(NOT(ISNUMBER(A1120)),"Date invalide",IF(B1120="","N° de facture manquant",IF(ISNA(MATCH(B1120,fa_num,0)),"Facture inconnue",IF(INDEX(fa_type,MATCH(B1120,fa_num,0))="Avoir","Paiement sur un avoir",IF(OR(NOT(ISNUMBER(C1120)),N(C1120)&lt;=0),"Montant invalide",IF(A1120&lt;INDEX(fa_date,MATCH(B1120,fa_num,0)),"Date antérieure à la facture",IF(SUMIF($B$6:B1120,B1120,$C$6:C1120)&gt;INDEX(fa_ttc,MATCH(B1120,fa_num,0))-N(INDEX(fa_avoirs,MATCH(B1120,fa_num,0)))+0.001,"Dépasse le montant de la facture","OK")))))))))</f>
        <v/>
      </c>
    </row>
    <row r="1121">
      <c r="A1121" s="61" t="n"/>
      <c r="B1121" s="60" t="n"/>
      <c r="C1121" s="68" t="n"/>
      <c r="D1121" s="60" t="n"/>
      <c r="E1121" s="63" t="n"/>
      <c r="F1121" s="63" t="n"/>
      <c r="G1121" s="62" t="str">
        <f>IF(B1121="","",IFERROR(INDEX(fa_cname,MATCH(B1121,fa_num,0))&amp;"",""))</f>
        <v/>
      </c>
      <c r="H1121" s="59" t="str">
        <f>IF(COUNTA(A1121:F1121)=0,"",IF(A1121="","Date manquante",IF(NOT(ISNUMBER(A1121)),"Date invalide",IF(B1121="","N° de facture manquant",IF(ISNA(MATCH(B1121,fa_num,0)),"Facture inconnue",IF(INDEX(fa_type,MATCH(B1121,fa_num,0))="Avoir","Paiement sur un avoir",IF(OR(NOT(ISNUMBER(C1121)),N(C1121)&lt;=0),"Montant invalide",IF(A1121&lt;INDEX(fa_date,MATCH(B1121,fa_num,0)),"Date antérieure à la facture",IF(SUMIF($B$6:B1121,B1121,$C$6:C1121)&gt;INDEX(fa_ttc,MATCH(B1121,fa_num,0))-N(INDEX(fa_avoirs,MATCH(B1121,fa_num,0)))+0.001,"Dépasse le montant de la facture","OK")))))))))</f>
        <v/>
      </c>
    </row>
    <row r="1122">
      <c r="A1122" s="61" t="n"/>
      <c r="B1122" s="60" t="n"/>
      <c r="C1122" s="68" t="n"/>
      <c r="D1122" s="60" t="n"/>
      <c r="E1122" s="63" t="n"/>
      <c r="F1122" s="63" t="n"/>
      <c r="G1122" s="62" t="str">
        <f>IF(B1122="","",IFERROR(INDEX(fa_cname,MATCH(B1122,fa_num,0))&amp;"",""))</f>
        <v/>
      </c>
      <c r="H1122" s="59" t="str">
        <f>IF(COUNTA(A1122:F1122)=0,"",IF(A1122="","Date manquante",IF(NOT(ISNUMBER(A1122)),"Date invalide",IF(B1122="","N° de facture manquant",IF(ISNA(MATCH(B1122,fa_num,0)),"Facture inconnue",IF(INDEX(fa_type,MATCH(B1122,fa_num,0))="Avoir","Paiement sur un avoir",IF(OR(NOT(ISNUMBER(C1122)),N(C1122)&lt;=0),"Montant invalide",IF(A1122&lt;INDEX(fa_date,MATCH(B1122,fa_num,0)),"Date antérieure à la facture",IF(SUMIF($B$6:B1122,B1122,$C$6:C1122)&gt;INDEX(fa_ttc,MATCH(B1122,fa_num,0))-N(INDEX(fa_avoirs,MATCH(B1122,fa_num,0)))+0.001,"Dépasse le montant de la facture","OK")))))))))</f>
        <v/>
      </c>
    </row>
    <row r="1123">
      <c r="A1123" s="61" t="n"/>
      <c r="B1123" s="60" t="n"/>
      <c r="C1123" s="68" t="n"/>
      <c r="D1123" s="60" t="n"/>
      <c r="E1123" s="63" t="n"/>
      <c r="F1123" s="63" t="n"/>
      <c r="G1123" s="62" t="str">
        <f>IF(B1123="","",IFERROR(INDEX(fa_cname,MATCH(B1123,fa_num,0))&amp;"",""))</f>
        <v/>
      </c>
      <c r="H1123" s="59" t="str">
        <f>IF(COUNTA(A1123:F1123)=0,"",IF(A1123="","Date manquante",IF(NOT(ISNUMBER(A1123)),"Date invalide",IF(B1123="","N° de facture manquant",IF(ISNA(MATCH(B1123,fa_num,0)),"Facture inconnue",IF(INDEX(fa_type,MATCH(B1123,fa_num,0))="Avoir","Paiement sur un avoir",IF(OR(NOT(ISNUMBER(C1123)),N(C1123)&lt;=0),"Montant invalide",IF(A1123&lt;INDEX(fa_date,MATCH(B1123,fa_num,0)),"Date antérieure à la facture",IF(SUMIF($B$6:B1123,B1123,$C$6:C1123)&gt;INDEX(fa_ttc,MATCH(B1123,fa_num,0))-N(INDEX(fa_avoirs,MATCH(B1123,fa_num,0)))+0.001,"Dépasse le montant de la facture","OK")))))))))</f>
        <v/>
      </c>
    </row>
    <row r="1124">
      <c r="A1124" s="61" t="n"/>
      <c r="B1124" s="60" t="n"/>
      <c r="C1124" s="68" t="n"/>
      <c r="D1124" s="60" t="n"/>
      <c r="E1124" s="63" t="n"/>
      <c r="F1124" s="63" t="n"/>
      <c r="G1124" s="62" t="str">
        <f>IF(B1124="","",IFERROR(INDEX(fa_cname,MATCH(B1124,fa_num,0))&amp;"",""))</f>
        <v/>
      </c>
      <c r="H1124" s="59" t="str">
        <f>IF(COUNTA(A1124:F1124)=0,"",IF(A1124="","Date manquante",IF(NOT(ISNUMBER(A1124)),"Date invalide",IF(B1124="","N° de facture manquant",IF(ISNA(MATCH(B1124,fa_num,0)),"Facture inconnue",IF(INDEX(fa_type,MATCH(B1124,fa_num,0))="Avoir","Paiement sur un avoir",IF(OR(NOT(ISNUMBER(C1124)),N(C1124)&lt;=0),"Montant invalide",IF(A1124&lt;INDEX(fa_date,MATCH(B1124,fa_num,0)),"Date antérieure à la facture",IF(SUMIF($B$6:B1124,B1124,$C$6:C1124)&gt;INDEX(fa_ttc,MATCH(B1124,fa_num,0))-N(INDEX(fa_avoirs,MATCH(B1124,fa_num,0)))+0.001,"Dépasse le montant de la facture","OK")))))))))</f>
        <v/>
      </c>
    </row>
    <row r="1125">
      <c r="A1125" s="61" t="n"/>
      <c r="B1125" s="60" t="n"/>
      <c r="C1125" s="68" t="n"/>
      <c r="D1125" s="60" t="n"/>
      <c r="E1125" s="63" t="n"/>
      <c r="F1125" s="63" t="n"/>
      <c r="G1125" s="62" t="str">
        <f>IF(B1125="","",IFERROR(INDEX(fa_cname,MATCH(B1125,fa_num,0))&amp;"",""))</f>
        <v/>
      </c>
      <c r="H1125" s="59" t="str">
        <f>IF(COUNTA(A1125:F1125)=0,"",IF(A1125="","Date manquante",IF(NOT(ISNUMBER(A1125)),"Date invalide",IF(B1125="","N° de facture manquant",IF(ISNA(MATCH(B1125,fa_num,0)),"Facture inconnue",IF(INDEX(fa_type,MATCH(B1125,fa_num,0))="Avoir","Paiement sur un avoir",IF(OR(NOT(ISNUMBER(C1125)),N(C1125)&lt;=0),"Montant invalide",IF(A1125&lt;INDEX(fa_date,MATCH(B1125,fa_num,0)),"Date antérieure à la facture",IF(SUMIF($B$6:B1125,B1125,$C$6:C1125)&gt;INDEX(fa_ttc,MATCH(B1125,fa_num,0))-N(INDEX(fa_avoirs,MATCH(B1125,fa_num,0)))+0.001,"Dépasse le montant de la facture","OK")))))))))</f>
        <v/>
      </c>
    </row>
    <row r="1126">
      <c r="A1126" s="61" t="n"/>
      <c r="B1126" s="60" t="n"/>
      <c r="C1126" s="68" t="n"/>
      <c r="D1126" s="60" t="n"/>
      <c r="E1126" s="63" t="n"/>
      <c r="F1126" s="63" t="n"/>
      <c r="G1126" s="62" t="str">
        <f>IF(B1126="","",IFERROR(INDEX(fa_cname,MATCH(B1126,fa_num,0))&amp;"",""))</f>
        <v/>
      </c>
      <c r="H1126" s="59" t="str">
        <f>IF(COUNTA(A1126:F1126)=0,"",IF(A1126="","Date manquante",IF(NOT(ISNUMBER(A1126)),"Date invalide",IF(B1126="","N° de facture manquant",IF(ISNA(MATCH(B1126,fa_num,0)),"Facture inconnue",IF(INDEX(fa_type,MATCH(B1126,fa_num,0))="Avoir","Paiement sur un avoir",IF(OR(NOT(ISNUMBER(C1126)),N(C1126)&lt;=0),"Montant invalide",IF(A1126&lt;INDEX(fa_date,MATCH(B1126,fa_num,0)),"Date antérieure à la facture",IF(SUMIF($B$6:B1126,B1126,$C$6:C1126)&gt;INDEX(fa_ttc,MATCH(B1126,fa_num,0))-N(INDEX(fa_avoirs,MATCH(B1126,fa_num,0)))+0.001,"Dépasse le montant de la facture","OK")))))))))</f>
        <v/>
      </c>
    </row>
    <row r="1127">
      <c r="A1127" s="61" t="n"/>
      <c r="B1127" s="60" t="n"/>
      <c r="C1127" s="68" t="n"/>
      <c r="D1127" s="60" t="n"/>
      <c r="E1127" s="63" t="n"/>
      <c r="F1127" s="63" t="n"/>
      <c r="G1127" s="62" t="str">
        <f>IF(B1127="","",IFERROR(INDEX(fa_cname,MATCH(B1127,fa_num,0))&amp;"",""))</f>
        <v/>
      </c>
      <c r="H1127" s="59" t="str">
        <f>IF(COUNTA(A1127:F1127)=0,"",IF(A1127="","Date manquante",IF(NOT(ISNUMBER(A1127)),"Date invalide",IF(B1127="","N° de facture manquant",IF(ISNA(MATCH(B1127,fa_num,0)),"Facture inconnue",IF(INDEX(fa_type,MATCH(B1127,fa_num,0))="Avoir","Paiement sur un avoir",IF(OR(NOT(ISNUMBER(C1127)),N(C1127)&lt;=0),"Montant invalide",IF(A1127&lt;INDEX(fa_date,MATCH(B1127,fa_num,0)),"Date antérieure à la facture",IF(SUMIF($B$6:B1127,B1127,$C$6:C1127)&gt;INDEX(fa_ttc,MATCH(B1127,fa_num,0))-N(INDEX(fa_avoirs,MATCH(B1127,fa_num,0)))+0.001,"Dépasse le montant de la facture","OK")))))))))</f>
        <v/>
      </c>
    </row>
    <row r="1128">
      <c r="A1128" s="61" t="n"/>
      <c r="B1128" s="60" t="n"/>
      <c r="C1128" s="68" t="n"/>
      <c r="D1128" s="60" t="n"/>
      <c r="E1128" s="63" t="n"/>
      <c r="F1128" s="63" t="n"/>
      <c r="G1128" s="62" t="str">
        <f>IF(B1128="","",IFERROR(INDEX(fa_cname,MATCH(B1128,fa_num,0))&amp;"",""))</f>
        <v/>
      </c>
      <c r="H1128" s="59" t="str">
        <f>IF(COUNTA(A1128:F1128)=0,"",IF(A1128="","Date manquante",IF(NOT(ISNUMBER(A1128)),"Date invalide",IF(B1128="","N° de facture manquant",IF(ISNA(MATCH(B1128,fa_num,0)),"Facture inconnue",IF(INDEX(fa_type,MATCH(B1128,fa_num,0))="Avoir","Paiement sur un avoir",IF(OR(NOT(ISNUMBER(C1128)),N(C1128)&lt;=0),"Montant invalide",IF(A1128&lt;INDEX(fa_date,MATCH(B1128,fa_num,0)),"Date antérieure à la facture",IF(SUMIF($B$6:B1128,B1128,$C$6:C1128)&gt;INDEX(fa_ttc,MATCH(B1128,fa_num,0))-N(INDEX(fa_avoirs,MATCH(B1128,fa_num,0)))+0.001,"Dépasse le montant de la facture","OK")))))))))</f>
        <v/>
      </c>
    </row>
    <row r="1129">
      <c r="A1129" s="61" t="n"/>
      <c r="B1129" s="60" t="n"/>
      <c r="C1129" s="68" t="n"/>
      <c r="D1129" s="60" t="n"/>
      <c r="E1129" s="63" t="n"/>
      <c r="F1129" s="63" t="n"/>
      <c r="G1129" s="62" t="str">
        <f>IF(B1129="","",IFERROR(INDEX(fa_cname,MATCH(B1129,fa_num,0))&amp;"",""))</f>
        <v/>
      </c>
      <c r="H1129" s="59" t="str">
        <f>IF(COUNTA(A1129:F1129)=0,"",IF(A1129="","Date manquante",IF(NOT(ISNUMBER(A1129)),"Date invalide",IF(B1129="","N° de facture manquant",IF(ISNA(MATCH(B1129,fa_num,0)),"Facture inconnue",IF(INDEX(fa_type,MATCH(B1129,fa_num,0))="Avoir","Paiement sur un avoir",IF(OR(NOT(ISNUMBER(C1129)),N(C1129)&lt;=0),"Montant invalide",IF(A1129&lt;INDEX(fa_date,MATCH(B1129,fa_num,0)),"Date antérieure à la facture",IF(SUMIF($B$6:B1129,B1129,$C$6:C1129)&gt;INDEX(fa_ttc,MATCH(B1129,fa_num,0))-N(INDEX(fa_avoirs,MATCH(B1129,fa_num,0)))+0.001,"Dépasse le montant de la facture","OK")))))))))</f>
        <v/>
      </c>
    </row>
    <row r="1130">
      <c r="A1130" s="61" t="n"/>
      <c r="B1130" s="60" t="n"/>
      <c r="C1130" s="68" t="n"/>
      <c r="D1130" s="60" t="n"/>
      <c r="E1130" s="63" t="n"/>
      <c r="F1130" s="63" t="n"/>
      <c r="G1130" s="62" t="str">
        <f>IF(B1130="","",IFERROR(INDEX(fa_cname,MATCH(B1130,fa_num,0))&amp;"",""))</f>
        <v/>
      </c>
      <c r="H1130" s="59" t="str">
        <f>IF(COUNTA(A1130:F1130)=0,"",IF(A1130="","Date manquante",IF(NOT(ISNUMBER(A1130)),"Date invalide",IF(B1130="","N° de facture manquant",IF(ISNA(MATCH(B1130,fa_num,0)),"Facture inconnue",IF(INDEX(fa_type,MATCH(B1130,fa_num,0))="Avoir","Paiement sur un avoir",IF(OR(NOT(ISNUMBER(C1130)),N(C1130)&lt;=0),"Montant invalide",IF(A1130&lt;INDEX(fa_date,MATCH(B1130,fa_num,0)),"Date antérieure à la facture",IF(SUMIF($B$6:B1130,B1130,$C$6:C1130)&gt;INDEX(fa_ttc,MATCH(B1130,fa_num,0))-N(INDEX(fa_avoirs,MATCH(B1130,fa_num,0)))+0.001,"Dépasse le montant de la facture","OK")))))))))</f>
        <v/>
      </c>
    </row>
    <row r="1131">
      <c r="A1131" s="61" t="n"/>
      <c r="B1131" s="60" t="n"/>
      <c r="C1131" s="68" t="n"/>
      <c r="D1131" s="60" t="n"/>
      <c r="E1131" s="63" t="n"/>
      <c r="F1131" s="63" t="n"/>
      <c r="G1131" s="62" t="str">
        <f>IF(B1131="","",IFERROR(INDEX(fa_cname,MATCH(B1131,fa_num,0))&amp;"",""))</f>
        <v/>
      </c>
      <c r="H1131" s="59" t="str">
        <f>IF(COUNTA(A1131:F1131)=0,"",IF(A1131="","Date manquante",IF(NOT(ISNUMBER(A1131)),"Date invalide",IF(B1131="","N° de facture manquant",IF(ISNA(MATCH(B1131,fa_num,0)),"Facture inconnue",IF(INDEX(fa_type,MATCH(B1131,fa_num,0))="Avoir","Paiement sur un avoir",IF(OR(NOT(ISNUMBER(C1131)),N(C1131)&lt;=0),"Montant invalide",IF(A1131&lt;INDEX(fa_date,MATCH(B1131,fa_num,0)),"Date antérieure à la facture",IF(SUMIF($B$6:B1131,B1131,$C$6:C1131)&gt;INDEX(fa_ttc,MATCH(B1131,fa_num,0))-N(INDEX(fa_avoirs,MATCH(B1131,fa_num,0)))+0.001,"Dépasse le montant de la facture","OK")))))))))</f>
        <v/>
      </c>
    </row>
    <row r="1132">
      <c r="A1132" s="61" t="n"/>
      <c r="B1132" s="60" t="n"/>
      <c r="C1132" s="68" t="n"/>
      <c r="D1132" s="60" t="n"/>
      <c r="E1132" s="63" t="n"/>
      <c r="F1132" s="63" t="n"/>
      <c r="G1132" s="62" t="str">
        <f>IF(B1132="","",IFERROR(INDEX(fa_cname,MATCH(B1132,fa_num,0))&amp;"",""))</f>
        <v/>
      </c>
      <c r="H1132" s="59" t="str">
        <f>IF(COUNTA(A1132:F1132)=0,"",IF(A1132="","Date manquante",IF(NOT(ISNUMBER(A1132)),"Date invalide",IF(B1132="","N° de facture manquant",IF(ISNA(MATCH(B1132,fa_num,0)),"Facture inconnue",IF(INDEX(fa_type,MATCH(B1132,fa_num,0))="Avoir","Paiement sur un avoir",IF(OR(NOT(ISNUMBER(C1132)),N(C1132)&lt;=0),"Montant invalide",IF(A1132&lt;INDEX(fa_date,MATCH(B1132,fa_num,0)),"Date antérieure à la facture",IF(SUMIF($B$6:B1132,B1132,$C$6:C1132)&gt;INDEX(fa_ttc,MATCH(B1132,fa_num,0))-N(INDEX(fa_avoirs,MATCH(B1132,fa_num,0)))+0.001,"Dépasse le montant de la facture","OK")))))))))</f>
        <v/>
      </c>
    </row>
    <row r="1133">
      <c r="A1133" s="61" t="n"/>
      <c r="B1133" s="60" t="n"/>
      <c r="C1133" s="68" t="n"/>
      <c r="D1133" s="60" t="n"/>
      <c r="E1133" s="63" t="n"/>
      <c r="F1133" s="63" t="n"/>
      <c r="G1133" s="62" t="str">
        <f>IF(B1133="","",IFERROR(INDEX(fa_cname,MATCH(B1133,fa_num,0))&amp;"",""))</f>
        <v/>
      </c>
      <c r="H1133" s="59" t="str">
        <f>IF(COUNTA(A1133:F1133)=0,"",IF(A1133="","Date manquante",IF(NOT(ISNUMBER(A1133)),"Date invalide",IF(B1133="","N° de facture manquant",IF(ISNA(MATCH(B1133,fa_num,0)),"Facture inconnue",IF(INDEX(fa_type,MATCH(B1133,fa_num,0))="Avoir","Paiement sur un avoir",IF(OR(NOT(ISNUMBER(C1133)),N(C1133)&lt;=0),"Montant invalide",IF(A1133&lt;INDEX(fa_date,MATCH(B1133,fa_num,0)),"Date antérieure à la facture",IF(SUMIF($B$6:B1133,B1133,$C$6:C1133)&gt;INDEX(fa_ttc,MATCH(B1133,fa_num,0))-N(INDEX(fa_avoirs,MATCH(B1133,fa_num,0)))+0.001,"Dépasse le montant de la facture","OK")))))))))</f>
        <v/>
      </c>
    </row>
    <row r="1134">
      <c r="A1134" s="61" t="n"/>
      <c r="B1134" s="60" t="n"/>
      <c r="C1134" s="68" t="n"/>
      <c r="D1134" s="60" t="n"/>
      <c r="E1134" s="63" t="n"/>
      <c r="F1134" s="63" t="n"/>
      <c r="G1134" s="62" t="str">
        <f>IF(B1134="","",IFERROR(INDEX(fa_cname,MATCH(B1134,fa_num,0))&amp;"",""))</f>
        <v/>
      </c>
      <c r="H1134" s="59" t="str">
        <f>IF(COUNTA(A1134:F1134)=0,"",IF(A1134="","Date manquante",IF(NOT(ISNUMBER(A1134)),"Date invalide",IF(B1134="","N° de facture manquant",IF(ISNA(MATCH(B1134,fa_num,0)),"Facture inconnue",IF(INDEX(fa_type,MATCH(B1134,fa_num,0))="Avoir","Paiement sur un avoir",IF(OR(NOT(ISNUMBER(C1134)),N(C1134)&lt;=0),"Montant invalide",IF(A1134&lt;INDEX(fa_date,MATCH(B1134,fa_num,0)),"Date antérieure à la facture",IF(SUMIF($B$6:B1134,B1134,$C$6:C1134)&gt;INDEX(fa_ttc,MATCH(B1134,fa_num,0))-N(INDEX(fa_avoirs,MATCH(B1134,fa_num,0)))+0.001,"Dépasse le montant de la facture","OK")))))))))</f>
        <v/>
      </c>
    </row>
    <row r="1135">
      <c r="A1135" s="61" t="n"/>
      <c r="B1135" s="60" t="n"/>
      <c r="C1135" s="68" t="n"/>
      <c r="D1135" s="60" t="n"/>
      <c r="E1135" s="63" t="n"/>
      <c r="F1135" s="63" t="n"/>
      <c r="G1135" s="62" t="str">
        <f>IF(B1135="","",IFERROR(INDEX(fa_cname,MATCH(B1135,fa_num,0))&amp;"",""))</f>
        <v/>
      </c>
      <c r="H1135" s="59" t="str">
        <f>IF(COUNTA(A1135:F1135)=0,"",IF(A1135="","Date manquante",IF(NOT(ISNUMBER(A1135)),"Date invalide",IF(B1135="","N° de facture manquant",IF(ISNA(MATCH(B1135,fa_num,0)),"Facture inconnue",IF(INDEX(fa_type,MATCH(B1135,fa_num,0))="Avoir","Paiement sur un avoir",IF(OR(NOT(ISNUMBER(C1135)),N(C1135)&lt;=0),"Montant invalide",IF(A1135&lt;INDEX(fa_date,MATCH(B1135,fa_num,0)),"Date antérieure à la facture",IF(SUMIF($B$6:B1135,B1135,$C$6:C1135)&gt;INDEX(fa_ttc,MATCH(B1135,fa_num,0))-N(INDEX(fa_avoirs,MATCH(B1135,fa_num,0)))+0.001,"Dépasse le montant de la facture","OK")))))))))</f>
        <v/>
      </c>
    </row>
    <row r="1136">
      <c r="A1136" s="61" t="n"/>
      <c r="B1136" s="60" t="n"/>
      <c r="C1136" s="68" t="n"/>
      <c r="D1136" s="60" t="n"/>
      <c r="E1136" s="63" t="n"/>
      <c r="F1136" s="63" t="n"/>
      <c r="G1136" s="62" t="str">
        <f>IF(B1136="","",IFERROR(INDEX(fa_cname,MATCH(B1136,fa_num,0))&amp;"",""))</f>
        <v/>
      </c>
      <c r="H1136" s="59" t="str">
        <f>IF(COUNTA(A1136:F1136)=0,"",IF(A1136="","Date manquante",IF(NOT(ISNUMBER(A1136)),"Date invalide",IF(B1136="","N° de facture manquant",IF(ISNA(MATCH(B1136,fa_num,0)),"Facture inconnue",IF(INDEX(fa_type,MATCH(B1136,fa_num,0))="Avoir","Paiement sur un avoir",IF(OR(NOT(ISNUMBER(C1136)),N(C1136)&lt;=0),"Montant invalide",IF(A1136&lt;INDEX(fa_date,MATCH(B1136,fa_num,0)),"Date antérieure à la facture",IF(SUMIF($B$6:B1136,B1136,$C$6:C1136)&gt;INDEX(fa_ttc,MATCH(B1136,fa_num,0))-N(INDEX(fa_avoirs,MATCH(B1136,fa_num,0)))+0.001,"Dépasse le montant de la facture","OK")))))))))</f>
        <v/>
      </c>
    </row>
    <row r="1137">
      <c r="A1137" s="61" t="n"/>
      <c r="B1137" s="60" t="n"/>
      <c r="C1137" s="68" t="n"/>
      <c r="D1137" s="60" t="n"/>
      <c r="E1137" s="63" t="n"/>
      <c r="F1137" s="63" t="n"/>
      <c r="G1137" s="62" t="str">
        <f>IF(B1137="","",IFERROR(INDEX(fa_cname,MATCH(B1137,fa_num,0))&amp;"",""))</f>
        <v/>
      </c>
      <c r="H1137" s="59" t="str">
        <f>IF(COUNTA(A1137:F1137)=0,"",IF(A1137="","Date manquante",IF(NOT(ISNUMBER(A1137)),"Date invalide",IF(B1137="","N° de facture manquant",IF(ISNA(MATCH(B1137,fa_num,0)),"Facture inconnue",IF(INDEX(fa_type,MATCH(B1137,fa_num,0))="Avoir","Paiement sur un avoir",IF(OR(NOT(ISNUMBER(C1137)),N(C1137)&lt;=0),"Montant invalide",IF(A1137&lt;INDEX(fa_date,MATCH(B1137,fa_num,0)),"Date antérieure à la facture",IF(SUMIF($B$6:B1137,B1137,$C$6:C1137)&gt;INDEX(fa_ttc,MATCH(B1137,fa_num,0))-N(INDEX(fa_avoirs,MATCH(B1137,fa_num,0)))+0.001,"Dépasse le montant de la facture","OK")))))))))</f>
        <v/>
      </c>
    </row>
    <row r="1138">
      <c r="A1138" s="61" t="n"/>
      <c r="B1138" s="60" t="n"/>
      <c r="C1138" s="68" t="n"/>
      <c r="D1138" s="60" t="n"/>
      <c r="E1138" s="63" t="n"/>
      <c r="F1138" s="63" t="n"/>
      <c r="G1138" s="62" t="str">
        <f>IF(B1138="","",IFERROR(INDEX(fa_cname,MATCH(B1138,fa_num,0))&amp;"",""))</f>
        <v/>
      </c>
      <c r="H1138" s="59" t="str">
        <f>IF(COUNTA(A1138:F1138)=0,"",IF(A1138="","Date manquante",IF(NOT(ISNUMBER(A1138)),"Date invalide",IF(B1138="","N° de facture manquant",IF(ISNA(MATCH(B1138,fa_num,0)),"Facture inconnue",IF(INDEX(fa_type,MATCH(B1138,fa_num,0))="Avoir","Paiement sur un avoir",IF(OR(NOT(ISNUMBER(C1138)),N(C1138)&lt;=0),"Montant invalide",IF(A1138&lt;INDEX(fa_date,MATCH(B1138,fa_num,0)),"Date antérieure à la facture",IF(SUMIF($B$6:B1138,B1138,$C$6:C1138)&gt;INDEX(fa_ttc,MATCH(B1138,fa_num,0))-N(INDEX(fa_avoirs,MATCH(B1138,fa_num,0)))+0.001,"Dépasse le montant de la facture","OK")))))))))</f>
        <v/>
      </c>
    </row>
    <row r="1139">
      <c r="A1139" s="61" t="n"/>
      <c r="B1139" s="60" t="n"/>
      <c r="C1139" s="68" t="n"/>
      <c r="D1139" s="60" t="n"/>
      <c r="E1139" s="63" t="n"/>
      <c r="F1139" s="63" t="n"/>
      <c r="G1139" s="62" t="str">
        <f>IF(B1139="","",IFERROR(INDEX(fa_cname,MATCH(B1139,fa_num,0))&amp;"",""))</f>
        <v/>
      </c>
      <c r="H1139" s="59" t="str">
        <f>IF(COUNTA(A1139:F1139)=0,"",IF(A1139="","Date manquante",IF(NOT(ISNUMBER(A1139)),"Date invalide",IF(B1139="","N° de facture manquant",IF(ISNA(MATCH(B1139,fa_num,0)),"Facture inconnue",IF(INDEX(fa_type,MATCH(B1139,fa_num,0))="Avoir","Paiement sur un avoir",IF(OR(NOT(ISNUMBER(C1139)),N(C1139)&lt;=0),"Montant invalide",IF(A1139&lt;INDEX(fa_date,MATCH(B1139,fa_num,0)),"Date antérieure à la facture",IF(SUMIF($B$6:B1139,B1139,$C$6:C1139)&gt;INDEX(fa_ttc,MATCH(B1139,fa_num,0))-N(INDEX(fa_avoirs,MATCH(B1139,fa_num,0)))+0.001,"Dépasse le montant de la facture","OK")))))))))</f>
        <v/>
      </c>
    </row>
    <row r="1140">
      <c r="A1140" s="61" t="n"/>
      <c r="B1140" s="60" t="n"/>
      <c r="C1140" s="68" t="n"/>
      <c r="D1140" s="60" t="n"/>
      <c r="E1140" s="63" t="n"/>
      <c r="F1140" s="63" t="n"/>
      <c r="G1140" s="62" t="str">
        <f>IF(B1140="","",IFERROR(INDEX(fa_cname,MATCH(B1140,fa_num,0))&amp;"",""))</f>
        <v/>
      </c>
      <c r="H1140" s="59" t="str">
        <f>IF(COUNTA(A1140:F1140)=0,"",IF(A1140="","Date manquante",IF(NOT(ISNUMBER(A1140)),"Date invalide",IF(B1140="","N° de facture manquant",IF(ISNA(MATCH(B1140,fa_num,0)),"Facture inconnue",IF(INDEX(fa_type,MATCH(B1140,fa_num,0))="Avoir","Paiement sur un avoir",IF(OR(NOT(ISNUMBER(C1140)),N(C1140)&lt;=0),"Montant invalide",IF(A1140&lt;INDEX(fa_date,MATCH(B1140,fa_num,0)),"Date antérieure à la facture",IF(SUMIF($B$6:B1140,B1140,$C$6:C1140)&gt;INDEX(fa_ttc,MATCH(B1140,fa_num,0))-N(INDEX(fa_avoirs,MATCH(B1140,fa_num,0)))+0.001,"Dépasse le montant de la facture","OK")))))))))</f>
        <v/>
      </c>
    </row>
    <row r="1141">
      <c r="A1141" s="61" t="n"/>
      <c r="B1141" s="60" t="n"/>
      <c r="C1141" s="68" t="n"/>
      <c r="D1141" s="60" t="n"/>
      <c r="E1141" s="63" t="n"/>
      <c r="F1141" s="63" t="n"/>
      <c r="G1141" s="62" t="str">
        <f>IF(B1141="","",IFERROR(INDEX(fa_cname,MATCH(B1141,fa_num,0))&amp;"",""))</f>
        <v/>
      </c>
      <c r="H1141" s="59" t="str">
        <f>IF(COUNTA(A1141:F1141)=0,"",IF(A1141="","Date manquante",IF(NOT(ISNUMBER(A1141)),"Date invalide",IF(B1141="","N° de facture manquant",IF(ISNA(MATCH(B1141,fa_num,0)),"Facture inconnue",IF(INDEX(fa_type,MATCH(B1141,fa_num,0))="Avoir","Paiement sur un avoir",IF(OR(NOT(ISNUMBER(C1141)),N(C1141)&lt;=0),"Montant invalide",IF(A1141&lt;INDEX(fa_date,MATCH(B1141,fa_num,0)),"Date antérieure à la facture",IF(SUMIF($B$6:B1141,B1141,$C$6:C1141)&gt;INDEX(fa_ttc,MATCH(B1141,fa_num,0))-N(INDEX(fa_avoirs,MATCH(B1141,fa_num,0)))+0.001,"Dépasse le montant de la facture","OK")))))))))</f>
        <v/>
      </c>
    </row>
    <row r="1142">
      <c r="A1142" s="61" t="n"/>
      <c r="B1142" s="60" t="n"/>
      <c r="C1142" s="68" t="n"/>
      <c r="D1142" s="60" t="n"/>
      <c r="E1142" s="63" t="n"/>
      <c r="F1142" s="63" t="n"/>
      <c r="G1142" s="62" t="str">
        <f>IF(B1142="","",IFERROR(INDEX(fa_cname,MATCH(B1142,fa_num,0))&amp;"",""))</f>
        <v/>
      </c>
      <c r="H1142" s="59" t="str">
        <f>IF(COUNTA(A1142:F1142)=0,"",IF(A1142="","Date manquante",IF(NOT(ISNUMBER(A1142)),"Date invalide",IF(B1142="","N° de facture manquant",IF(ISNA(MATCH(B1142,fa_num,0)),"Facture inconnue",IF(INDEX(fa_type,MATCH(B1142,fa_num,0))="Avoir","Paiement sur un avoir",IF(OR(NOT(ISNUMBER(C1142)),N(C1142)&lt;=0),"Montant invalide",IF(A1142&lt;INDEX(fa_date,MATCH(B1142,fa_num,0)),"Date antérieure à la facture",IF(SUMIF($B$6:B1142,B1142,$C$6:C1142)&gt;INDEX(fa_ttc,MATCH(B1142,fa_num,0))-N(INDEX(fa_avoirs,MATCH(B1142,fa_num,0)))+0.001,"Dépasse le montant de la facture","OK")))))))))</f>
        <v/>
      </c>
    </row>
    <row r="1143">
      <c r="A1143" s="61" t="n"/>
      <c r="B1143" s="60" t="n"/>
      <c r="C1143" s="68" t="n"/>
      <c r="D1143" s="60" t="n"/>
      <c r="E1143" s="63" t="n"/>
      <c r="F1143" s="63" t="n"/>
      <c r="G1143" s="62" t="str">
        <f>IF(B1143="","",IFERROR(INDEX(fa_cname,MATCH(B1143,fa_num,0))&amp;"",""))</f>
        <v/>
      </c>
      <c r="H1143" s="59" t="str">
        <f>IF(COUNTA(A1143:F1143)=0,"",IF(A1143="","Date manquante",IF(NOT(ISNUMBER(A1143)),"Date invalide",IF(B1143="","N° de facture manquant",IF(ISNA(MATCH(B1143,fa_num,0)),"Facture inconnue",IF(INDEX(fa_type,MATCH(B1143,fa_num,0))="Avoir","Paiement sur un avoir",IF(OR(NOT(ISNUMBER(C1143)),N(C1143)&lt;=0),"Montant invalide",IF(A1143&lt;INDEX(fa_date,MATCH(B1143,fa_num,0)),"Date antérieure à la facture",IF(SUMIF($B$6:B1143,B1143,$C$6:C1143)&gt;INDEX(fa_ttc,MATCH(B1143,fa_num,0))-N(INDEX(fa_avoirs,MATCH(B1143,fa_num,0)))+0.001,"Dépasse le montant de la facture","OK")))))))))</f>
        <v/>
      </c>
    </row>
    <row r="1144">
      <c r="A1144" s="61" t="n"/>
      <c r="B1144" s="60" t="n"/>
      <c r="C1144" s="68" t="n"/>
      <c r="D1144" s="60" t="n"/>
      <c r="E1144" s="63" t="n"/>
      <c r="F1144" s="63" t="n"/>
      <c r="G1144" s="62" t="str">
        <f>IF(B1144="","",IFERROR(INDEX(fa_cname,MATCH(B1144,fa_num,0))&amp;"",""))</f>
        <v/>
      </c>
      <c r="H1144" s="59" t="str">
        <f>IF(COUNTA(A1144:F1144)=0,"",IF(A1144="","Date manquante",IF(NOT(ISNUMBER(A1144)),"Date invalide",IF(B1144="","N° de facture manquant",IF(ISNA(MATCH(B1144,fa_num,0)),"Facture inconnue",IF(INDEX(fa_type,MATCH(B1144,fa_num,0))="Avoir","Paiement sur un avoir",IF(OR(NOT(ISNUMBER(C1144)),N(C1144)&lt;=0),"Montant invalide",IF(A1144&lt;INDEX(fa_date,MATCH(B1144,fa_num,0)),"Date antérieure à la facture",IF(SUMIF($B$6:B1144,B1144,$C$6:C1144)&gt;INDEX(fa_ttc,MATCH(B1144,fa_num,0))-N(INDEX(fa_avoirs,MATCH(B1144,fa_num,0)))+0.001,"Dépasse le montant de la facture","OK")))))))))</f>
        <v/>
      </c>
    </row>
    <row r="1145">
      <c r="A1145" s="61" t="n"/>
      <c r="B1145" s="60" t="n"/>
      <c r="C1145" s="68" t="n"/>
      <c r="D1145" s="60" t="n"/>
      <c r="E1145" s="63" t="n"/>
      <c r="F1145" s="63" t="n"/>
      <c r="G1145" s="62" t="str">
        <f>IF(B1145="","",IFERROR(INDEX(fa_cname,MATCH(B1145,fa_num,0))&amp;"",""))</f>
        <v/>
      </c>
      <c r="H1145" s="59" t="str">
        <f>IF(COUNTA(A1145:F1145)=0,"",IF(A1145="","Date manquante",IF(NOT(ISNUMBER(A1145)),"Date invalide",IF(B1145="","N° de facture manquant",IF(ISNA(MATCH(B1145,fa_num,0)),"Facture inconnue",IF(INDEX(fa_type,MATCH(B1145,fa_num,0))="Avoir","Paiement sur un avoir",IF(OR(NOT(ISNUMBER(C1145)),N(C1145)&lt;=0),"Montant invalide",IF(A1145&lt;INDEX(fa_date,MATCH(B1145,fa_num,0)),"Date antérieure à la facture",IF(SUMIF($B$6:B1145,B1145,$C$6:C1145)&gt;INDEX(fa_ttc,MATCH(B1145,fa_num,0))-N(INDEX(fa_avoirs,MATCH(B1145,fa_num,0)))+0.001,"Dépasse le montant de la facture","OK")))))))))</f>
        <v/>
      </c>
    </row>
    <row r="1146">
      <c r="A1146" s="61" t="n"/>
      <c r="B1146" s="60" t="n"/>
      <c r="C1146" s="68" t="n"/>
      <c r="D1146" s="60" t="n"/>
      <c r="E1146" s="63" t="n"/>
      <c r="F1146" s="63" t="n"/>
      <c r="G1146" s="62" t="str">
        <f>IF(B1146="","",IFERROR(INDEX(fa_cname,MATCH(B1146,fa_num,0))&amp;"",""))</f>
        <v/>
      </c>
      <c r="H1146" s="59" t="str">
        <f>IF(COUNTA(A1146:F1146)=0,"",IF(A1146="","Date manquante",IF(NOT(ISNUMBER(A1146)),"Date invalide",IF(B1146="","N° de facture manquant",IF(ISNA(MATCH(B1146,fa_num,0)),"Facture inconnue",IF(INDEX(fa_type,MATCH(B1146,fa_num,0))="Avoir","Paiement sur un avoir",IF(OR(NOT(ISNUMBER(C1146)),N(C1146)&lt;=0),"Montant invalide",IF(A1146&lt;INDEX(fa_date,MATCH(B1146,fa_num,0)),"Date antérieure à la facture",IF(SUMIF($B$6:B1146,B1146,$C$6:C1146)&gt;INDEX(fa_ttc,MATCH(B1146,fa_num,0))-N(INDEX(fa_avoirs,MATCH(B1146,fa_num,0)))+0.001,"Dépasse le montant de la facture","OK")))))))))</f>
        <v/>
      </c>
    </row>
    <row r="1147">
      <c r="A1147" s="61" t="n"/>
      <c r="B1147" s="60" t="n"/>
      <c r="C1147" s="68" t="n"/>
      <c r="D1147" s="60" t="n"/>
      <c r="E1147" s="63" t="n"/>
      <c r="F1147" s="63" t="n"/>
      <c r="G1147" s="62" t="str">
        <f>IF(B1147="","",IFERROR(INDEX(fa_cname,MATCH(B1147,fa_num,0))&amp;"",""))</f>
        <v/>
      </c>
      <c r="H1147" s="59" t="str">
        <f>IF(COUNTA(A1147:F1147)=0,"",IF(A1147="","Date manquante",IF(NOT(ISNUMBER(A1147)),"Date invalide",IF(B1147="","N° de facture manquant",IF(ISNA(MATCH(B1147,fa_num,0)),"Facture inconnue",IF(INDEX(fa_type,MATCH(B1147,fa_num,0))="Avoir","Paiement sur un avoir",IF(OR(NOT(ISNUMBER(C1147)),N(C1147)&lt;=0),"Montant invalide",IF(A1147&lt;INDEX(fa_date,MATCH(B1147,fa_num,0)),"Date antérieure à la facture",IF(SUMIF($B$6:B1147,B1147,$C$6:C1147)&gt;INDEX(fa_ttc,MATCH(B1147,fa_num,0))-N(INDEX(fa_avoirs,MATCH(B1147,fa_num,0)))+0.001,"Dépasse le montant de la facture","OK")))))))))</f>
        <v/>
      </c>
    </row>
    <row r="1148">
      <c r="A1148" s="61" t="n"/>
      <c r="B1148" s="60" t="n"/>
      <c r="C1148" s="68" t="n"/>
      <c r="D1148" s="60" t="n"/>
      <c r="E1148" s="63" t="n"/>
      <c r="F1148" s="63" t="n"/>
      <c r="G1148" s="62" t="str">
        <f>IF(B1148="","",IFERROR(INDEX(fa_cname,MATCH(B1148,fa_num,0))&amp;"",""))</f>
        <v/>
      </c>
      <c r="H1148" s="59" t="str">
        <f>IF(COUNTA(A1148:F1148)=0,"",IF(A1148="","Date manquante",IF(NOT(ISNUMBER(A1148)),"Date invalide",IF(B1148="","N° de facture manquant",IF(ISNA(MATCH(B1148,fa_num,0)),"Facture inconnue",IF(INDEX(fa_type,MATCH(B1148,fa_num,0))="Avoir","Paiement sur un avoir",IF(OR(NOT(ISNUMBER(C1148)),N(C1148)&lt;=0),"Montant invalide",IF(A1148&lt;INDEX(fa_date,MATCH(B1148,fa_num,0)),"Date antérieure à la facture",IF(SUMIF($B$6:B1148,B1148,$C$6:C1148)&gt;INDEX(fa_ttc,MATCH(B1148,fa_num,0))-N(INDEX(fa_avoirs,MATCH(B1148,fa_num,0)))+0.001,"Dépasse le montant de la facture","OK")))))))))</f>
        <v/>
      </c>
    </row>
    <row r="1149">
      <c r="A1149" s="61" t="n"/>
      <c r="B1149" s="60" t="n"/>
      <c r="C1149" s="68" t="n"/>
      <c r="D1149" s="60" t="n"/>
      <c r="E1149" s="63" t="n"/>
      <c r="F1149" s="63" t="n"/>
      <c r="G1149" s="62" t="str">
        <f>IF(B1149="","",IFERROR(INDEX(fa_cname,MATCH(B1149,fa_num,0))&amp;"",""))</f>
        <v/>
      </c>
      <c r="H1149" s="59" t="str">
        <f>IF(COUNTA(A1149:F1149)=0,"",IF(A1149="","Date manquante",IF(NOT(ISNUMBER(A1149)),"Date invalide",IF(B1149="","N° de facture manquant",IF(ISNA(MATCH(B1149,fa_num,0)),"Facture inconnue",IF(INDEX(fa_type,MATCH(B1149,fa_num,0))="Avoir","Paiement sur un avoir",IF(OR(NOT(ISNUMBER(C1149)),N(C1149)&lt;=0),"Montant invalide",IF(A1149&lt;INDEX(fa_date,MATCH(B1149,fa_num,0)),"Date antérieure à la facture",IF(SUMIF($B$6:B1149,B1149,$C$6:C1149)&gt;INDEX(fa_ttc,MATCH(B1149,fa_num,0))-N(INDEX(fa_avoirs,MATCH(B1149,fa_num,0)))+0.001,"Dépasse le montant de la facture","OK")))))))))</f>
        <v/>
      </c>
    </row>
    <row r="1150">
      <c r="A1150" s="61" t="n"/>
      <c r="B1150" s="60" t="n"/>
      <c r="C1150" s="68" t="n"/>
      <c r="D1150" s="60" t="n"/>
      <c r="E1150" s="63" t="n"/>
      <c r="F1150" s="63" t="n"/>
      <c r="G1150" s="62" t="str">
        <f>IF(B1150="","",IFERROR(INDEX(fa_cname,MATCH(B1150,fa_num,0))&amp;"",""))</f>
        <v/>
      </c>
      <c r="H1150" s="59" t="str">
        <f>IF(COUNTA(A1150:F1150)=0,"",IF(A1150="","Date manquante",IF(NOT(ISNUMBER(A1150)),"Date invalide",IF(B1150="","N° de facture manquant",IF(ISNA(MATCH(B1150,fa_num,0)),"Facture inconnue",IF(INDEX(fa_type,MATCH(B1150,fa_num,0))="Avoir","Paiement sur un avoir",IF(OR(NOT(ISNUMBER(C1150)),N(C1150)&lt;=0),"Montant invalide",IF(A1150&lt;INDEX(fa_date,MATCH(B1150,fa_num,0)),"Date antérieure à la facture",IF(SUMIF($B$6:B1150,B1150,$C$6:C1150)&gt;INDEX(fa_ttc,MATCH(B1150,fa_num,0))-N(INDEX(fa_avoirs,MATCH(B1150,fa_num,0)))+0.001,"Dépasse le montant de la facture","OK")))))))))</f>
        <v/>
      </c>
    </row>
    <row r="1151">
      <c r="A1151" s="61" t="n"/>
      <c r="B1151" s="60" t="n"/>
      <c r="C1151" s="68" t="n"/>
      <c r="D1151" s="60" t="n"/>
      <c r="E1151" s="63" t="n"/>
      <c r="F1151" s="63" t="n"/>
      <c r="G1151" s="62" t="str">
        <f>IF(B1151="","",IFERROR(INDEX(fa_cname,MATCH(B1151,fa_num,0))&amp;"",""))</f>
        <v/>
      </c>
      <c r="H1151" s="59" t="str">
        <f>IF(COUNTA(A1151:F1151)=0,"",IF(A1151="","Date manquante",IF(NOT(ISNUMBER(A1151)),"Date invalide",IF(B1151="","N° de facture manquant",IF(ISNA(MATCH(B1151,fa_num,0)),"Facture inconnue",IF(INDEX(fa_type,MATCH(B1151,fa_num,0))="Avoir","Paiement sur un avoir",IF(OR(NOT(ISNUMBER(C1151)),N(C1151)&lt;=0),"Montant invalide",IF(A1151&lt;INDEX(fa_date,MATCH(B1151,fa_num,0)),"Date antérieure à la facture",IF(SUMIF($B$6:B1151,B1151,$C$6:C1151)&gt;INDEX(fa_ttc,MATCH(B1151,fa_num,0))-N(INDEX(fa_avoirs,MATCH(B1151,fa_num,0)))+0.001,"Dépasse le montant de la facture","OK")))))))))</f>
        <v/>
      </c>
    </row>
    <row r="1152">
      <c r="A1152" s="61" t="n"/>
      <c r="B1152" s="60" t="n"/>
      <c r="C1152" s="68" t="n"/>
      <c r="D1152" s="60" t="n"/>
      <c r="E1152" s="63" t="n"/>
      <c r="F1152" s="63" t="n"/>
      <c r="G1152" s="62" t="str">
        <f>IF(B1152="","",IFERROR(INDEX(fa_cname,MATCH(B1152,fa_num,0))&amp;"",""))</f>
        <v/>
      </c>
      <c r="H1152" s="59" t="str">
        <f>IF(COUNTA(A1152:F1152)=0,"",IF(A1152="","Date manquante",IF(NOT(ISNUMBER(A1152)),"Date invalide",IF(B1152="","N° de facture manquant",IF(ISNA(MATCH(B1152,fa_num,0)),"Facture inconnue",IF(INDEX(fa_type,MATCH(B1152,fa_num,0))="Avoir","Paiement sur un avoir",IF(OR(NOT(ISNUMBER(C1152)),N(C1152)&lt;=0),"Montant invalide",IF(A1152&lt;INDEX(fa_date,MATCH(B1152,fa_num,0)),"Date antérieure à la facture",IF(SUMIF($B$6:B1152,B1152,$C$6:C1152)&gt;INDEX(fa_ttc,MATCH(B1152,fa_num,0))-N(INDEX(fa_avoirs,MATCH(B1152,fa_num,0)))+0.001,"Dépasse le montant de la facture","OK")))))))))</f>
        <v/>
      </c>
    </row>
    <row r="1153">
      <c r="A1153" s="61" t="n"/>
      <c r="B1153" s="60" t="n"/>
      <c r="C1153" s="68" t="n"/>
      <c r="D1153" s="60" t="n"/>
      <c r="E1153" s="63" t="n"/>
      <c r="F1153" s="63" t="n"/>
      <c r="G1153" s="62" t="str">
        <f>IF(B1153="","",IFERROR(INDEX(fa_cname,MATCH(B1153,fa_num,0))&amp;"",""))</f>
        <v/>
      </c>
      <c r="H1153" s="59" t="str">
        <f>IF(COUNTA(A1153:F1153)=0,"",IF(A1153="","Date manquante",IF(NOT(ISNUMBER(A1153)),"Date invalide",IF(B1153="","N° de facture manquant",IF(ISNA(MATCH(B1153,fa_num,0)),"Facture inconnue",IF(INDEX(fa_type,MATCH(B1153,fa_num,0))="Avoir","Paiement sur un avoir",IF(OR(NOT(ISNUMBER(C1153)),N(C1153)&lt;=0),"Montant invalide",IF(A1153&lt;INDEX(fa_date,MATCH(B1153,fa_num,0)),"Date antérieure à la facture",IF(SUMIF($B$6:B1153,B1153,$C$6:C1153)&gt;INDEX(fa_ttc,MATCH(B1153,fa_num,0))-N(INDEX(fa_avoirs,MATCH(B1153,fa_num,0)))+0.001,"Dépasse le montant de la facture","OK")))))))))</f>
        <v/>
      </c>
    </row>
    <row r="1154">
      <c r="A1154" s="61" t="n"/>
      <c r="B1154" s="60" t="n"/>
      <c r="C1154" s="68" t="n"/>
      <c r="D1154" s="60" t="n"/>
      <c r="E1154" s="63" t="n"/>
      <c r="F1154" s="63" t="n"/>
      <c r="G1154" s="62" t="str">
        <f>IF(B1154="","",IFERROR(INDEX(fa_cname,MATCH(B1154,fa_num,0))&amp;"",""))</f>
        <v/>
      </c>
      <c r="H1154" s="59" t="str">
        <f>IF(COUNTA(A1154:F1154)=0,"",IF(A1154="","Date manquante",IF(NOT(ISNUMBER(A1154)),"Date invalide",IF(B1154="","N° de facture manquant",IF(ISNA(MATCH(B1154,fa_num,0)),"Facture inconnue",IF(INDEX(fa_type,MATCH(B1154,fa_num,0))="Avoir","Paiement sur un avoir",IF(OR(NOT(ISNUMBER(C1154)),N(C1154)&lt;=0),"Montant invalide",IF(A1154&lt;INDEX(fa_date,MATCH(B1154,fa_num,0)),"Date antérieure à la facture",IF(SUMIF($B$6:B1154,B1154,$C$6:C1154)&gt;INDEX(fa_ttc,MATCH(B1154,fa_num,0))-N(INDEX(fa_avoirs,MATCH(B1154,fa_num,0)))+0.001,"Dépasse le montant de la facture","OK")))))))))</f>
        <v/>
      </c>
    </row>
    <row r="1155">
      <c r="A1155" s="61" t="n"/>
      <c r="B1155" s="60" t="n"/>
      <c r="C1155" s="68" t="n"/>
      <c r="D1155" s="60" t="n"/>
      <c r="E1155" s="63" t="n"/>
      <c r="F1155" s="63" t="n"/>
      <c r="G1155" s="62" t="str">
        <f>IF(B1155="","",IFERROR(INDEX(fa_cname,MATCH(B1155,fa_num,0))&amp;"",""))</f>
        <v/>
      </c>
      <c r="H1155" s="59" t="str">
        <f>IF(COUNTA(A1155:F1155)=0,"",IF(A1155="","Date manquante",IF(NOT(ISNUMBER(A1155)),"Date invalide",IF(B1155="","N° de facture manquant",IF(ISNA(MATCH(B1155,fa_num,0)),"Facture inconnue",IF(INDEX(fa_type,MATCH(B1155,fa_num,0))="Avoir","Paiement sur un avoir",IF(OR(NOT(ISNUMBER(C1155)),N(C1155)&lt;=0),"Montant invalide",IF(A1155&lt;INDEX(fa_date,MATCH(B1155,fa_num,0)),"Date antérieure à la facture",IF(SUMIF($B$6:B1155,B1155,$C$6:C1155)&gt;INDEX(fa_ttc,MATCH(B1155,fa_num,0))-N(INDEX(fa_avoirs,MATCH(B1155,fa_num,0)))+0.001,"Dépasse le montant de la facture","OK")))))))))</f>
        <v/>
      </c>
    </row>
    <row r="1156">
      <c r="A1156" s="61" t="n"/>
      <c r="B1156" s="60" t="n"/>
      <c r="C1156" s="68" t="n"/>
      <c r="D1156" s="60" t="n"/>
      <c r="E1156" s="63" t="n"/>
      <c r="F1156" s="63" t="n"/>
      <c r="G1156" s="62" t="str">
        <f>IF(B1156="","",IFERROR(INDEX(fa_cname,MATCH(B1156,fa_num,0))&amp;"",""))</f>
        <v/>
      </c>
      <c r="H1156" s="59" t="str">
        <f>IF(COUNTA(A1156:F1156)=0,"",IF(A1156="","Date manquante",IF(NOT(ISNUMBER(A1156)),"Date invalide",IF(B1156="","N° de facture manquant",IF(ISNA(MATCH(B1156,fa_num,0)),"Facture inconnue",IF(INDEX(fa_type,MATCH(B1156,fa_num,0))="Avoir","Paiement sur un avoir",IF(OR(NOT(ISNUMBER(C1156)),N(C1156)&lt;=0),"Montant invalide",IF(A1156&lt;INDEX(fa_date,MATCH(B1156,fa_num,0)),"Date antérieure à la facture",IF(SUMIF($B$6:B1156,B1156,$C$6:C1156)&gt;INDEX(fa_ttc,MATCH(B1156,fa_num,0))-N(INDEX(fa_avoirs,MATCH(B1156,fa_num,0)))+0.001,"Dépasse le montant de la facture","OK")))))))))</f>
        <v/>
      </c>
    </row>
    <row r="1157">
      <c r="A1157" s="61" t="n"/>
      <c r="B1157" s="60" t="n"/>
      <c r="C1157" s="68" t="n"/>
      <c r="D1157" s="60" t="n"/>
      <c r="E1157" s="63" t="n"/>
      <c r="F1157" s="63" t="n"/>
      <c r="G1157" s="62" t="str">
        <f>IF(B1157="","",IFERROR(INDEX(fa_cname,MATCH(B1157,fa_num,0))&amp;"",""))</f>
        <v/>
      </c>
      <c r="H1157" s="59" t="str">
        <f>IF(COUNTA(A1157:F1157)=0,"",IF(A1157="","Date manquante",IF(NOT(ISNUMBER(A1157)),"Date invalide",IF(B1157="","N° de facture manquant",IF(ISNA(MATCH(B1157,fa_num,0)),"Facture inconnue",IF(INDEX(fa_type,MATCH(B1157,fa_num,0))="Avoir","Paiement sur un avoir",IF(OR(NOT(ISNUMBER(C1157)),N(C1157)&lt;=0),"Montant invalide",IF(A1157&lt;INDEX(fa_date,MATCH(B1157,fa_num,0)),"Date antérieure à la facture",IF(SUMIF($B$6:B1157,B1157,$C$6:C1157)&gt;INDEX(fa_ttc,MATCH(B1157,fa_num,0))-N(INDEX(fa_avoirs,MATCH(B1157,fa_num,0)))+0.001,"Dépasse le montant de la facture","OK")))))))))</f>
        <v/>
      </c>
    </row>
    <row r="1158">
      <c r="A1158" s="61" t="n"/>
      <c r="B1158" s="60" t="n"/>
      <c r="C1158" s="68" t="n"/>
      <c r="D1158" s="60" t="n"/>
      <c r="E1158" s="63" t="n"/>
      <c r="F1158" s="63" t="n"/>
      <c r="G1158" s="62" t="str">
        <f>IF(B1158="","",IFERROR(INDEX(fa_cname,MATCH(B1158,fa_num,0))&amp;"",""))</f>
        <v/>
      </c>
      <c r="H1158" s="59" t="str">
        <f>IF(COUNTA(A1158:F1158)=0,"",IF(A1158="","Date manquante",IF(NOT(ISNUMBER(A1158)),"Date invalide",IF(B1158="","N° de facture manquant",IF(ISNA(MATCH(B1158,fa_num,0)),"Facture inconnue",IF(INDEX(fa_type,MATCH(B1158,fa_num,0))="Avoir","Paiement sur un avoir",IF(OR(NOT(ISNUMBER(C1158)),N(C1158)&lt;=0),"Montant invalide",IF(A1158&lt;INDEX(fa_date,MATCH(B1158,fa_num,0)),"Date antérieure à la facture",IF(SUMIF($B$6:B1158,B1158,$C$6:C1158)&gt;INDEX(fa_ttc,MATCH(B1158,fa_num,0))-N(INDEX(fa_avoirs,MATCH(B1158,fa_num,0)))+0.001,"Dépasse le montant de la facture","OK")))))))))</f>
        <v/>
      </c>
    </row>
    <row r="1159">
      <c r="A1159" s="61" t="n"/>
      <c r="B1159" s="60" t="n"/>
      <c r="C1159" s="68" t="n"/>
      <c r="D1159" s="60" t="n"/>
      <c r="E1159" s="63" t="n"/>
      <c r="F1159" s="63" t="n"/>
      <c r="G1159" s="62" t="str">
        <f>IF(B1159="","",IFERROR(INDEX(fa_cname,MATCH(B1159,fa_num,0))&amp;"",""))</f>
        <v/>
      </c>
      <c r="H1159" s="59" t="str">
        <f>IF(COUNTA(A1159:F1159)=0,"",IF(A1159="","Date manquante",IF(NOT(ISNUMBER(A1159)),"Date invalide",IF(B1159="","N° de facture manquant",IF(ISNA(MATCH(B1159,fa_num,0)),"Facture inconnue",IF(INDEX(fa_type,MATCH(B1159,fa_num,0))="Avoir","Paiement sur un avoir",IF(OR(NOT(ISNUMBER(C1159)),N(C1159)&lt;=0),"Montant invalide",IF(A1159&lt;INDEX(fa_date,MATCH(B1159,fa_num,0)),"Date antérieure à la facture",IF(SUMIF($B$6:B1159,B1159,$C$6:C1159)&gt;INDEX(fa_ttc,MATCH(B1159,fa_num,0))-N(INDEX(fa_avoirs,MATCH(B1159,fa_num,0)))+0.001,"Dépasse le montant de la facture","OK")))))))))</f>
        <v/>
      </c>
    </row>
    <row r="1160">
      <c r="A1160" s="61" t="n"/>
      <c r="B1160" s="60" t="n"/>
      <c r="C1160" s="68" t="n"/>
      <c r="D1160" s="60" t="n"/>
      <c r="E1160" s="63" t="n"/>
      <c r="F1160" s="63" t="n"/>
      <c r="G1160" s="62" t="str">
        <f>IF(B1160="","",IFERROR(INDEX(fa_cname,MATCH(B1160,fa_num,0))&amp;"",""))</f>
        <v/>
      </c>
      <c r="H1160" s="59" t="str">
        <f>IF(COUNTA(A1160:F1160)=0,"",IF(A1160="","Date manquante",IF(NOT(ISNUMBER(A1160)),"Date invalide",IF(B1160="","N° de facture manquant",IF(ISNA(MATCH(B1160,fa_num,0)),"Facture inconnue",IF(INDEX(fa_type,MATCH(B1160,fa_num,0))="Avoir","Paiement sur un avoir",IF(OR(NOT(ISNUMBER(C1160)),N(C1160)&lt;=0),"Montant invalide",IF(A1160&lt;INDEX(fa_date,MATCH(B1160,fa_num,0)),"Date antérieure à la facture",IF(SUMIF($B$6:B1160,B1160,$C$6:C1160)&gt;INDEX(fa_ttc,MATCH(B1160,fa_num,0))-N(INDEX(fa_avoirs,MATCH(B1160,fa_num,0)))+0.001,"Dépasse le montant de la facture","OK")))))))))</f>
        <v/>
      </c>
    </row>
    <row r="1161">
      <c r="A1161" s="61" t="n"/>
      <c r="B1161" s="60" t="n"/>
      <c r="C1161" s="68" t="n"/>
      <c r="D1161" s="60" t="n"/>
      <c r="E1161" s="63" t="n"/>
      <c r="F1161" s="63" t="n"/>
      <c r="G1161" s="62" t="str">
        <f>IF(B1161="","",IFERROR(INDEX(fa_cname,MATCH(B1161,fa_num,0))&amp;"",""))</f>
        <v/>
      </c>
      <c r="H1161" s="59" t="str">
        <f>IF(COUNTA(A1161:F1161)=0,"",IF(A1161="","Date manquante",IF(NOT(ISNUMBER(A1161)),"Date invalide",IF(B1161="","N° de facture manquant",IF(ISNA(MATCH(B1161,fa_num,0)),"Facture inconnue",IF(INDEX(fa_type,MATCH(B1161,fa_num,0))="Avoir","Paiement sur un avoir",IF(OR(NOT(ISNUMBER(C1161)),N(C1161)&lt;=0),"Montant invalide",IF(A1161&lt;INDEX(fa_date,MATCH(B1161,fa_num,0)),"Date antérieure à la facture",IF(SUMIF($B$6:B1161,B1161,$C$6:C1161)&gt;INDEX(fa_ttc,MATCH(B1161,fa_num,0))-N(INDEX(fa_avoirs,MATCH(B1161,fa_num,0)))+0.001,"Dépasse le montant de la facture","OK")))))))))</f>
        <v/>
      </c>
    </row>
    <row r="1162">
      <c r="A1162" s="61" t="n"/>
      <c r="B1162" s="60" t="n"/>
      <c r="C1162" s="68" t="n"/>
      <c r="D1162" s="60" t="n"/>
      <c r="E1162" s="63" t="n"/>
      <c r="F1162" s="63" t="n"/>
      <c r="G1162" s="62" t="str">
        <f>IF(B1162="","",IFERROR(INDEX(fa_cname,MATCH(B1162,fa_num,0))&amp;"",""))</f>
        <v/>
      </c>
      <c r="H1162" s="59" t="str">
        <f>IF(COUNTA(A1162:F1162)=0,"",IF(A1162="","Date manquante",IF(NOT(ISNUMBER(A1162)),"Date invalide",IF(B1162="","N° de facture manquant",IF(ISNA(MATCH(B1162,fa_num,0)),"Facture inconnue",IF(INDEX(fa_type,MATCH(B1162,fa_num,0))="Avoir","Paiement sur un avoir",IF(OR(NOT(ISNUMBER(C1162)),N(C1162)&lt;=0),"Montant invalide",IF(A1162&lt;INDEX(fa_date,MATCH(B1162,fa_num,0)),"Date antérieure à la facture",IF(SUMIF($B$6:B1162,B1162,$C$6:C1162)&gt;INDEX(fa_ttc,MATCH(B1162,fa_num,0))-N(INDEX(fa_avoirs,MATCH(B1162,fa_num,0)))+0.001,"Dépasse le montant de la facture","OK")))))))))</f>
        <v/>
      </c>
    </row>
    <row r="1163">
      <c r="A1163" s="61" t="n"/>
      <c r="B1163" s="60" t="n"/>
      <c r="C1163" s="68" t="n"/>
      <c r="D1163" s="60" t="n"/>
      <c r="E1163" s="63" t="n"/>
      <c r="F1163" s="63" t="n"/>
      <c r="G1163" s="62" t="str">
        <f>IF(B1163="","",IFERROR(INDEX(fa_cname,MATCH(B1163,fa_num,0))&amp;"",""))</f>
        <v/>
      </c>
      <c r="H1163" s="59" t="str">
        <f>IF(COUNTA(A1163:F1163)=0,"",IF(A1163="","Date manquante",IF(NOT(ISNUMBER(A1163)),"Date invalide",IF(B1163="","N° de facture manquant",IF(ISNA(MATCH(B1163,fa_num,0)),"Facture inconnue",IF(INDEX(fa_type,MATCH(B1163,fa_num,0))="Avoir","Paiement sur un avoir",IF(OR(NOT(ISNUMBER(C1163)),N(C1163)&lt;=0),"Montant invalide",IF(A1163&lt;INDEX(fa_date,MATCH(B1163,fa_num,0)),"Date antérieure à la facture",IF(SUMIF($B$6:B1163,B1163,$C$6:C1163)&gt;INDEX(fa_ttc,MATCH(B1163,fa_num,0))-N(INDEX(fa_avoirs,MATCH(B1163,fa_num,0)))+0.001,"Dépasse le montant de la facture","OK")))))))))</f>
        <v/>
      </c>
    </row>
    <row r="1164">
      <c r="A1164" s="61" t="n"/>
      <c r="B1164" s="60" t="n"/>
      <c r="C1164" s="68" t="n"/>
      <c r="D1164" s="60" t="n"/>
      <c r="E1164" s="63" t="n"/>
      <c r="F1164" s="63" t="n"/>
      <c r="G1164" s="62" t="str">
        <f>IF(B1164="","",IFERROR(INDEX(fa_cname,MATCH(B1164,fa_num,0))&amp;"",""))</f>
        <v/>
      </c>
      <c r="H1164" s="59" t="str">
        <f>IF(COUNTA(A1164:F1164)=0,"",IF(A1164="","Date manquante",IF(NOT(ISNUMBER(A1164)),"Date invalide",IF(B1164="","N° de facture manquant",IF(ISNA(MATCH(B1164,fa_num,0)),"Facture inconnue",IF(INDEX(fa_type,MATCH(B1164,fa_num,0))="Avoir","Paiement sur un avoir",IF(OR(NOT(ISNUMBER(C1164)),N(C1164)&lt;=0),"Montant invalide",IF(A1164&lt;INDEX(fa_date,MATCH(B1164,fa_num,0)),"Date antérieure à la facture",IF(SUMIF($B$6:B1164,B1164,$C$6:C1164)&gt;INDEX(fa_ttc,MATCH(B1164,fa_num,0))-N(INDEX(fa_avoirs,MATCH(B1164,fa_num,0)))+0.001,"Dépasse le montant de la facture","OK")))))))))</f>
        <v/>
      </c>
    </row>
    <row r="1165">
      <c r="A1165" s="61" t="n"/>
      <c r="B1165" s="60" t="n"/>
      <c r="C1165" s="68" t="n"/>
      <c r="D1165" s="60" t="n"/>
      <c r="E1165" s="63" t="n"/>
      <c r="F1165" s="63" t="n"/>
      <c r="G1165" s="62" t="str">
        <f>IF(B1165="","",IFERROR(INDEX(fa_cname,MATCH(B1165,fa_num,0))&amp;"",""))</f>
        <v/>
      </c>
      <c r="H1165" s="59" t="str">
        <f>IF(COUNTA(A1165:F1165)=0,"",IF(A1165="","Date manquante",IF(NOT(ISNUMBER(A1165)),"Date invalide",IF(B1165="","N° de facture manquant",IF(ISNA(MATCH(B1165,fa_num,0)),"Facture inconnue",IF(INDEX(fa_type,MATCH(B1165,fa_num,0))="Avoir","Paiement sur un avoir",IF(OR(NOT(ISNUMBER(C1165)),N(C1165)&lt;=0),"Montant invalide",IF(A1165&lt;INDEX(fa_date,MATCH(B1165,fa_num,0)),"Date antérieure à la facture",IF(SUMIF($B$6:B1165,B1165,$C$6:C1165)&gt;INDEX(fa_ttc,MATCH(B1165,fa_num,0))-N(INDEX(fa_avoirs,MATCH(B1165,fa_num,0)))+0.001,"Dépasse le montant de la facture","OK")))))))))</f>
        <v/>
      </c>
    </row>
    <row r="1166">
      <c r="A1166" s="61" t="n"/>
      <c r="B1166" s="60" t="n"/>
      <c r="C1166" s="68" t="n"/>
      <c r="D1166" s="60" t="n"/>
      <c r="E1166" s="63" t="n"/>
      <c r="F1166" s="63" t="n"/>
      <c r="G1166" s="62" t="str">
        <f>IF(B1166="","",IFERROR(INDEX(fa_cname,MATCH(B1166,fa_num,0))&amp;"",""))</f>
        <v/>
      </c>
      <c r="H1166" s="59" t="str">
        <f>IF(COUNTA(A1166:F1166)=0,"",IF(A1166="","Date manquante",IF(NOT(ISNUMBER(A1166)),"Date invalide",IF(B1166="","N° de facture manquant",IF(ISNA(MATCH(B1166,fa_num,0)),"Facture inconnue",IF(INDEX(fa_type,MATCH(B1166,fa_num,0))="Avoir","Paiement sur un avoir",IF(OR(NOT(ISNUMBER(C1166)),N(C1166)&lt;=0),"Montant invalide",IF(A1166&lt;INDEX(fa_date,MATCH(B1166,fa_num,0)),"Date antérieure à la facture",IF(SUMIF($B$6:B1166,B1166,$C$6:C1166)&gt;INDEX(fa_ttc,MATCH(B1166,fa_num,0))-N(INDEX(fa_avoirs,MATCH(B1166,fa_num,0)))+0.001,"Dépasse le montant de la facture","OK")))))))))</f>
        <v/>
      </c>
    </row>
    <row r="1167">
      <c r="A1167" s="61" t="n"/>
      <c r="B1167" s="60" t="n"/>
      <c r="C1167" s="68" t="n"/>
      <c r="D1167" s="60" t="n"/>
      <c r="E1167" s="63" t="n"/>
      <c r="F1167" s="63" t="n"/>
      <c r="G1167" s="62" t="str">
        <f>IF(B1167="","",IFERROR(INDEX(fa_cname,MATCH(B1167,fa_num,0))&amp;"",""))</f>
        <v/>
      </c>
      <c r="H1167" s="59" t="str">
        <f>IF(COUNTA(A1167:F1167)=0,"",IF(A1167="","Date manquante",IF(NOT(ISNUMBER(A1167)),"Date invalide",IF(B1167="","N° de facture manquant",IF(ISNA(MATCH(B1167,fa_num,0)),"Facture inconnue",IF(INDEX(fa_type,MATCH(B1167,fa_num,0))="Avoir","Paiement sur un avoir",IF(OR(NOT(ISNUMBER(C1167)),N(C1167)&lt;=0),"Montant invalide",IF(A1167&lt;INDEX(fa_date,MATCH(B1167,fa_num,0)),"Date antérieure à la facture",IF(SUMIF($B$6:B1167,B1167,$C$6:C1167)&gt;INDEX(fa_ttc,MATCH(B1167,fa_num,0))-N(INDEX(fa_avoirs,MATCH(B1167,fa_num,0)))+0.001,"Dépasse le montant de la facture","OK")))))))))</f>
        <v/>
      </c>
    </row>
    <row r="1168">
      <c r="A1168" s="61" t="n"/>
      <c r="B1168" s="60" t="n"/>
      <c r="C1168" s="68" t="n"/>
      <c r="D1168" s="60" t="n"/>
      <c r="E1168" s="63" t="n"/>
      <c r="F1168" s="63" t="n"/>
      <c r="G1168" s="62" t="str">
        <f>IF(B1168="","",IFERROR(INDEX(fa_cname,MATCH(B1168,fa_num,0))&amp;"",""))</f>
        <v/>
      </c>
      <c r="H1168" s="59" t="str">
        <f>IF(COUNTA(A1168:F1168)=0,"",IF(A1168="","Date manquante",IF(NOT(ISNUMBER(A1168)),"Date invalide",IF(B1168="","N° de facture manquant",IF(ISNA(MATCH(B1168,fa_num,0)),"Facture inconnue",IF(INDEX(fa_type,MATCH(B1168,fa_num,0))="Avoir","Paiement sur un avoir",IF(OR(NOT(ISNUMBER(C1168)),N(C1168)&lt;=0),"Montant invalide",IF(A1168&lt;INDEX(fa_date,MATCH(B1168,fa_num,0)),"Date antérieure à la facture",IF(SUMIF($B$6:B1168,B1168,$C$6:C1168)&gt;INDEX(fa_ttc,MATCH(B1168,fa_num,0))-N(INDEX(fa_avoirs,MATCH(B1168,fa_num,0)))+0.001,"Dépasse le montant de la facture","OK")))))))))</f>
        <v/>
      </c>
    </row>
    <row r="1169">
      <c r="A1169" s="61" t="n"/>
      <c r="B1169" s="60" t="n"/>
      <c r="C1169" s="68" t="n"/>
      <c r="D1169" s="60" t="n"/>
      <c r="E1169" s="63" t="n"/>
      <c r="F1169" s="63" t="n"/>
      <c r="G1169" s="62" t="str">
        <f>IF(B1169="","",IFERROR(INDEX(fa_cname,MATCH(B1169,fa_num,0))&amp;"",""))</f>
        <v/>
      </c>
      <c r="H1169" s="59" t="str">
        <f>IF(COUNTA(A1169:F1169)=0,"",IF(A1169="","Date manquante",IF(NOT(ISNUMBER(A1169)),"Date invalide",IF(B1169="","N° de facture manquant",IF(ISNA(MATCH(B1169,fa_num,0)),"Facture inconnue",IF(INDEX(fa_type,MATCH(B1169,fa_num,0))="Avoir","Paiement sur un avoir",IF(OR(NOT(ISNUMBER(C1169)),N(C1169)&lt;=0),"Montant invalide",IF(A1169&lt;INDEX(fa_date,MATCH(B1169,fa_num,0)),"Date antérieure à la facture",IF(SUMIF($B$6:B1169,B1169,$C$6:C1169)&gt;INDEX(fa_ttc,MATCH(B1169,fa_num,0))-N(INDEX(fa_avoirs,MATCH(B1169,fa_num,0)))+0.001,"Dépasse le montant de la facture","OK")))))))))</f>
        <v/>
      </c>
    </row>
    <row r="1170">
      <c r="A1170" s="61" t="n"/>
      <c r="B1170" s="60" t="n"/>
      <c r="C1170" s="68" t="n"/>
      <c r="D1170" s="60" t="n"/>
      <c r="E1170" s="63" t="n"/>
      <c r="F1170" s="63" t="n"/>
      <c r="G1170" s="62" t="str">
        <f>IF(B1170="","",IFERROR(INDEX(fa_cname,MATCH(B1170,fa_num,0))&amp;"",""))</f>
        <v/>
      </c>
      <c r="H1170" s="59" t="str">
        <f>IF(COUNTA(A1170:F1170)=0,"",IF(A1170="","Date manquante",IF(NOT(ISNUMBER(A1170)),"Date invalide",IF(B1170="","N° de facture manquant",IF(ISNA(MATCH(B1170,fa_num,0)),"Facture inconnue",IF(INDEX(fa_type,MATCH(B1170,fa_num,0))="Avoir","Paiement sur un avoir",IF(OR(NOT(ISNUMBER(C1170)),N(C1170)&lt;=0),"Montant invalide",IF(A1170&lt;INDEX(fa_date,MATCH(B1170,fa_num,0)),"Date antérieure à la facture",IF(SUMIF($B$6:B1170,B1170,$C$6:C1170)&gt;INDEX(fa_ttc,MATCH(B1170,fa_num,0))-N(INDEX(fa_avoirs,MATCH(B1170,fa_num,0)))+0.001,"Dépasse le montant de la facture","OK")))))))))</f>
        <v/>
      </c>
    </row>
    <row r="1171">
      <c r="A1171" s="61" t="n"/>
      <c r="B1171" s="60" t="n"/>
      <c r="C1171" s="68" t="n"/>
      <c r="D1171" s="60" t="n"/>
      <c r="E1171" s="63" t="n"/>
      <c r="F1171" s="63" t="n"/>
      <c r="G1171" s="62" t="str">
        <f>IF(B1171="","",IFERROR(INDEX(fa_cname,MATCH(B1171,fa_num,0))&amp;"",""))</f>
        <v/>
      </c>
      <c r="H1171" s="59" t="str">
        <f>IF(COUNTA(A1171:F1171)=0,"",IF(A1171="","Date manquante",IF(NOT(ISNUMBER(A1171)),"Date invalide",IF(B1171="","N° de facture manquant",IF(ISNA(MATCH(B1171,fa_num,0)),"Facture inconnue",IF(INDEX(fa_type,MATCH(B1171,fa_num,0))="Avoir","Paiement sur un avoir",IF(OR(NOT(ISNUMBER(C1171)),N(C1171)&lt;=0),"Montant invalide",IF(A1171&lt;INDEX(fa_date,MATCH(B1171,fa_num,0)),"Date antérieure à la facture",IF(SUMIF($B$6:B1171,B1171,$C$6:C1171)&gt;INDEX(fa_ttc,MATCH(B1171,fa_num,0))-N(INDEX(fa_avoirs,MATCH(B1171,fa_num,0)))+0.001,"Dépasse le montant de la facture","OK")))))))))</f>
        <v/>
      </c>
    </row>
    <row r="1172">
      <c r="A1172" s="61" t="n"/>
      <c r="B1172" s="60" t="n"/>
      <c r="C1172" s="68" t="n"/>
      <c r="D1172" s="60" t="n"/>
      <c r="E1172" s="63" t="n"/>
      <c r="F1172" s="63" t="n"/>
      <c r="G1172" s="62" t="str">
        <f>IF(B1172="","",IFERROR(INDEX(fa_cname,MATCH(B1172,fa_num,0))&amp;"",""))</f>
        <v/>
      </c>
      <c r="H1172" s="59" t="str">
        <f>IF(COUNTA(A1172:F1172)=0,"",IF(A1172="","Date manquante",IF(NOT(ISNUMBER(A1172)),"Date invalide",IF(B1172="","N° de facture manquant",IF(ISNA(MATCH(B1172,fa_num,0)),"Facture inconnue",IF(INDEX(fa_type,MATCH(B1172,fa_num,0))="Avoir","Paiement sur un avoir",IF(OR(NOT(ISNUMBER(C1172)),N(C1172)&lt;=0),"Montant invalide",IF(A1172&lt;INDEX(fa_date,MATCH(B1172,fa_num,0)),"Date antérieure à la facture",IF(SUMIF($B$6:B1172,B1172,$C$6:C1172)&gt;INDEX(fa_ttc,MATCH(B1172,fa_num,0))-N(INDEX(fa_avoirs,MATCH(B1172,fa_num,0)))+0.001,"Dépasse le montant de la facture","OK")))))))))</f>
        <v/>
      </c>
    </row>
    <row r="1173">
      <c r="A1173" s="61" t="n"/>
      <c r="B1173" s="60" t="n"/>
      <c r="C1173" s="68" t="n"/>
      <c r="D1173" s="60" t="n"/>
      <c r="E1173" s="63" t="n"/>
      <c r="F1173" s="63" t="n"/>
      <c r="G1173" s="62" t="str">
        <f>IF(B1173="","",IFERROR(INDEX(fa_cname,MATCH(B1173,fa_num,0))&amp;"",""))</f>
        <v/>
      </c>
      <c r="H1173" s="59" t="str">
        <f>IF(COUNTA(A1173:F1173)=0,"",IF(A1173="","Date manquante",IF(NOT(ISNUMBER(A1173)),"Date invalide",IF(B1173="","N° de facture manquant",IF(ISNA(MATCH(B1173,fa_num,0)),"Facture inconnue",IF(INDEX(fa_type,MATCH(B1173,fa_num,0))="Avoir","Paiement sur un avoir",IF(OR(NOT(ISNUMBER(C1173)),N(C1173)&lt;=0),"Montant invalide",IF(A1173&lt;INDEX(fa_date,MATCH(B1173,fa_num,0)),"Date antérieure à la facture",IF(SUMIF($B$6:B1173,B1173,$C$6:C1173)&gt;INDEX(fa_ttc,MATCH(B1173,fa_num,0))-N(INDEX(fa_avoirs,MATCH(B1173,fa_num,0)))+0.001,"Dépasse le montant de la facture","OK")))))))))</f>
        <v/>
      </c>
    </row>
    <row r="1174">
      <c r="A1174" s="61" t="n"/>
      <c r="B1174" s="60" t="n"/>
      <c r="C1174" s="68" t="n"/>
      <c r="D1174" s="60" t="n"/>
      <c r="E1174" s="63" t="n"/>
      <c r="F1174" s="63" t="n"/>
      <c r="G1174" s="62" t="str">
        <f>IF(B1174="","",IFERROR(INDEX(fa_cname,MATCH(B1174,fa_num,0))&amp;"",""))</f>
        <v/>
      </c>
      <c r="H1174" s="59" t="str">
        <f>IF(COUNTA(A1174:F1174)=0,"",IF(A1174="","Date manquante",IF(NOT(ISNUMBER(A1174)),"Date invalide",IF(B1174="","N° de facture manquant",IF(ISNA(MATCH(B1174,fa_num,0)),"Facture inconnue",IF(INDEX(fa_type,MATCH(B1174,fa_num,0))="Avoir","Paiement sur un avoir",IF(OR(NOT(ISNUMBER(C1174)),N(C1174)&lt;=0),"Montant invalide",IF(A1174&lt;INDEX(fa_date,MATCH(B1174,fa_num,0)),"Date antérieure à la facture",IF(SUMIF($B$6:B1174,B1174,$C$6:C1174)&gt;INDEX(fa_ttc,MATCH(B1174,fa_num,0))-N(INDEX(fa_avoirs,MATCH(B1174,fa_num,0)))+0.001,"Dépasse le montant de la facture","OK")))))))))</f>
        <v/>
      </c>
    </row>
    <row r="1175">
      <c r="A1175" s="61" t="n"/>
      <c r="B1175" s="60" t="n"/>
      <c r="C1175" s="68" t="n"/>
      <c r="D1175" s="60" t="n"/>
      <c r="E1175" s="63" t="n"/>
      <c r="F1175" s="63" t="n"/>
      <c r="G1175" s="62" t="str">
        <f>IF(B1175="","",IFERROR(INDEX(fa_cname,MATCH(B1175,fa_num,0))&amp;"",""))</f>
        <v/>
      </c>
      <c r="H1175" s="59" t="str">
        <f>IF(COUNTA(A1175:F1175)=0,"",IF(A1175="","Date manquante",IF(NOT(ISNUMBER(A1175)),"Date invalide",IF(B1175="","N° de facture manquant",IF(ISNA(MATCH(B1175,fa_num,0)),"Facture inconnue",IF(INDEX(fa_type,MATCH(B1175,fa_num,0))="Avoir","Paiement sur un avoir",IF(OR(NOT(ISNUMBER(C1175)),N(C1175)&lt;=0),"Montant invalide",IF(A1175&lt;INDEX(fa_date,MATCH(B1175,fa_num,0)),"Date antérieure à la facture",IF(SUMIF($B$6:B1175,B1175,$C$6:C1175)&gt;INDEX(fa_ttc,MATCH(B1175,fa_num,0))-N(INDEX(fa_avoirs,MATCH(B1175,fa_num,0)))+0.001,"Dépasse le montant de la facture","OK")))))))))</f>
        <v/>
      </c>
    </row>
    <row r="1176">
      <c r="A1176" s="61" t="n"/>
      <c r="B1176" s="60" t="n"/>
      <c r="C1176" s="68" t="n"/>
      <c r="D1176" s="60" t="n"/>
      <c r="E1176" s="63" t="n"/>
      <c r="F1176" s="63" t="n"/>
      <c r="G1176" s="62" t="str">
        <f>IF(B1176="","",IFERROR(INDEX(fa_cname,MATCH(B1176,fa_num,0))&amp;"",""))</f>
        <v/>
      </c>
      <c r="H1176" s="59" t="str">
        <f>IF(COUNTA(A1176:F1176)=0,"",IF(A1176="","Date manquante",IF(NOT(ISNUMBER(A1176)),"Date invalide",IF(B1176="","N° de facture manquant",IF(ISNA(MATCH(B1176,fa_num,0)),"Facture inconnue",IF(INDEX(fa_type,MATCH(B1176,fa_num,0))="Avoir","Paiement sur un avoir",IF(OR(NOT(ISNUMBER(C1176)),N(C1176)&lt;=0),"Montant invalide",IF(A1176&lt;INDEX(fa_date,MATCH(B1176,fa_num,0)),"Date antérieure à la facture",IF(SUMIF($B$6:B1176,B1176,$C$6:C1176)&gt;INDEX(fa_ttc,MATCH(B1176,fa_num,0))-N(INDEX(fa_avoirs,MATCH(B1176,fa_num,0)))+0.001,"Dépasse le montant de la facture","OK")))))))))</f>
        <v/>
      </c>
    </row>
    <row r="1177">
      <c r="A1177" s="61" t="n"/>
      <c r="B1177" s="60" t="n"/>
      <c r="C1177" s="68" t="n"/>
      <c r="D1177" s="60" t="n"/>
      <c r="E1177" s="63" t="n"/>
      <c r="F1177" s="63" t="n"/>
      <c r="G1177" s="62" t="str">
        <f>IF(B1177="","",IFERROR(INDEX(fa_cname,MATCH(B1177,fa_num,0))&amp;"",""))</f>
        <v/>
      </c>
      <c r="H1177" s="59" t="str">
        <f>IF(COUNTA(A1177:F1177)=0,"",IF(A1177="","Date manquante",IF(NOT(ISNUMBER(A1177)),"Date invalide",IF(B1177="","N° de facture manquant",IF(ISNA(MATCH(B1177,fa_num,0)),"Facture inconnue",IF(INDEX(fa_type,MATCH(B1177,fa_num,0))="Avoir","Paiement sur un avoir",IF(OR(NOT(ISNUMBER(C1177)),N(C1177)&lt;=0),"Montant invalide",IF(A1177&lt;INDEX(fa_date,MATCH(B1177,fa_num,0)),"Date antérieure à la facture",IF(SUMIF($B$6:B1177,B1177,$C$6:C1177)&gt;INDEX(fa_ttc,MATCH(B1177,fa_num,0))-N(INDEX(fa_avoirs,MATCH(B1177,fa_num,0)))+0.001,"Dépasse le montant de la facture","OK")))))))))</f>
        <v/>
      </c>
    </row>
    <row r="1178">
      <c r="A1178" s="61" t="n"/>
      <c r="B1178" s="60" t="n"/>
      <c r="C1178" s="68" t="n"/>
      <c r="D1178" s="60" t="n"/>
      <c r="E1178" s="63" t="n"/>
      <c r="F1178" s="63" t="n"/>
      <c r="G1178" s="62" t="str">
        <f>IF(B1178="","",IFERROR(INDEX(fa_cname,MATCH(B1178,fa_num,0))&amp;"",""))</f>
        <v/>
      </c>
      <c r="H1178" s="59" t="str">
        <f>IF(COUNTA(A1178:F1178)=0,"",IF(A1178="","Date manquante",IF(NOT(ISNUMBER(A1178)),"Date invalide",IF(B1178="","N° de facture manquant",IF(ISNA(MATCH(B1178,fa_num,0)),"Facture inconnue",IF(INDEX(fa_type,MATCH(B1178,fa_num,0))="Avoir","Paiement sur un avoir",IF(OR(NOT(ISNUMBER(C1178)),N(C1178)&lt;=0),"Montant invalide",IF(A1178&lt;INDEX(fa_date,MATCH(B1178,fa_num,0)),"Date antérieure à la facture",IF(SUMIF($B$6:B1178,B1178,$C$6:C1178)&gt;INDEX(fa_ttc,MATCH(B1178,fa_num,0))-N(INDEX(fa_avoirs,MATCH(B1178,fa_num,0)))+0.001,"Dépasse le montant de la facture","OK")))))))))</f>
        <v/>
      </c>
    </row>
    <row r="1179">
      <c r="A1179" s="61" t="n"/>
      <c r="B1179" s="60" t="n"/>
      <c r="C1179" s="68" t="n"/>
      <c r="D1179" s="60" t="n"/>
      <c r="E1179" s="63" t="n"/>
      <c r="F1179" s="63" t="n"/>
      <c r="G1179" s="62" t="str">
        <f>IF(B1179="","",IFERROR(INDEX(fa_cname,MATCH(B1179,fa_num,0))&amp;"",""))</f>
        <v/>
      </c>
      <c r="H1179" s="59" t="str">
        <f>IF(COUNTA(A1179:F1179)=0,"",IF(A1179="","Date manquante",IF(NOT(ISNUMBER(A1179)),"Date invalide",IF(B1179="","N° de facture manquant",IF(ISNA(MATCH(B1179,fa_num,0)),"Facture inconnue",IF(INDEX(fa_type,MATCH(B1179,fa_num,0))="Avoir","Paiement sur un avoir",IF(OR(NOT(ISNUMBER(C1179)),N(C1179)&lt;=0),"Montant invalide",IF(A1179&lt;INDEX(fa_date,MATCH(B1179,fa_num,0)),"Date antérieure à la facture",IF(SUMIF($B$6:B1179,B1179,$C$6:C1179)&gt;INDEX(fa_ttc,MATCH(B1179,fa_num,0))-N(INDEX(fa_avoirs,MATCH(B1179,fa_num,0)))+0.001,"Dépasse le montant de la facture","OK")))))))))</f>
        <v/>
      </c>
    </row>
    <row r="1180">
      <c r="A1180" s="61" t="n"/>
      <c r="B1180" s="60" t="n"/>
      <c r="C1180" s="68" t="n"/>
      <c r="D1180" s="60" t="n"/>
      <c r="E1180" s="63" t="n"/>
      <c r="F1180" s="63" t="n"/>
      <c r="G1180" s="62" t="str">
        <f>IF(B1180="","",IFERROR(INDEX(fa_cname,MATCH(B1180,fa_num,0))&amp;"",""))</f>
        <v/>
      </c>
      <c r="H1180" s="59" t="str">
        <f>IF(COUNTA(A1180:F1180)=0,"",IF(A1180="","Date manquante",IF(NOT(ISNUMBER(A1180)),"Date invalide",IF(B1180="","N° de facture manquant",IF(ISNA(MATCH(B1180,fa_num,0)),"Facture inconnue",IF(INDEX(fa_type,MATCH(B1180,fa_num,0))="Avoir","Paiement sur un avoir",IF(OR(NOT(ISNUMBER(C1180)),N(C1180)&lt;=0),"Montant invalide",IF(A1180&lt;INDEX(fa_date,MATCH(B1180,fa_num,0)),"Date antérieure à la facture",IF(SUMIF($B$6:B1180,B1180,$C$6:C1180)&gt;INDEX(fa_ttc,MATCH(B1180,fa_num,0))-N(INDEX(fa_avoirs,MATCH(B1180,fa_num,0)))+0.001,"Dépasse le montant de la facture","OK")))))))))</f>
        <v/>
      </c>
    </row>
    <row r="1181">
      <c r="A1181" s="61" t="n"/>
      <c r="B1181" s="60" t="n"/>
      <c r="C1181" s="68" t="n"/>
      <c r="D1181" s="60" t="n"/>
      <c r="E1181" s="63" t="n"/>
      <c r="F1181" s="63" t="n"/>
      <c r="G1181" s="62" t="str">
        <f>IF(B1181="","",IFERROR(INDEX(fa_cname,MATCH(B1181,fa_num,0))&amp;"",""))</f>
        <v/>
      </c>
      <c r="H1181" s="59" t="str">
        <f>IF(COUNTA(A1181:F1181)=0,"",IF(A1181="","Date manquante",IF(NOT(ISNUMBER(A1181)),"Date invalide",IF(B1181="","N° de facture manquant",IF(ISNA(MATCH(B1181,fa_num,0)),"Facture inconnue",IF(INDEX(fa_type,MATCH(B1181,fa_num,0))="Avoir","Paiement sur un avoir",IF(OR(NOT(ISNUMBER(C1181)),N(C1181)&lt;=0),"Montant invalide",IF(A1181&lt;INDEX(fa_date,MATCH(B1181,fa_num,0)),"Date antérieure à la facture",IF(SUMIF($B$6:B1181,B1181,$C$6:C1181)&gt;INDEX(fa_ttc,MATCH(B1181,fa_num,0))-N(INDEX(fa_avoirs,MATCH(B1181,fa_num,0)))+0.001,"Dépasse le montant de la facture","OK")))))))))</f>
        <v/>
      </c>
    </row>
    <row r="1182">
      <c r="A1182" s="61" t="n"/>
      <c r="B1182" s="60" t="n"/>
      <c r="C1182" s="68" t="n"/>
      <c r="D1182" s="60" t="n"/>
      <c r="E1182" s="63" t="n"/>
      <c r="F1182" s="63" t="n"/>
      <c r="G1182" s="62" t="str">
        <f>IF(B1182="","",IFERROR(INDEX(fa_cname,MATCH(B1182,fa_num,0))&amp;"",""))</f>
        <v/>
      </c>
      <c r="H1182" s="59" t="str">
        <f>IF(COUNTA(A1182:F1182)=0,"",IF(A1182="","Date manquante",IF(NOT(ISNUMBER(A1182)),"Date invalide",IF(B1182="","N° de facture manquant",IF(ISNA(MATCH(B1182,fa_num,0)),"Facture inconnue",IF(INDEX(fa_type,MATCH(B1182,fa_num,0))="Avoir","Paiement sur un avoir",IF(OR(NOT(ISNUMBER(C1182)),N(C1182)&lt;=0),"Montant invalide",IF(A1182&lt;INDEX(fa_date,MATCH(B1182,fa_num,0)),"Date antérieure à la facture",IF(SUMIF($B$6:B1182,B1182,$C$6:C1182)&gt;INDEX(fa_ttc,MATCH(B1182,fa_num,0))-N(INDEX(fa_avoirs,MATCH(B1182,fa_num,0)))+0.001,"Dépasse le montant de la facture","OK")))))))))</f>
        <v/>
      </c>
    </row>
    <row r="1183">
      <c r="A1183" s="61" t="n"/>
      <c r="B1183" s="60" t="n"/>
      <c r="C1183" s="68" t="n"/>
      <c r="D1183" s="60" t="n"/>
      <c r="E1183" s="63" t="n"/>
      <c r="F1183" s="63" t="n"/>
      <c r="G1183" s="62" t="str">
        <f>IF(B1183="","",IFERROR(INDEX(fa_cname,MATCH(B1183,fa_num,0))&amp;"",""))</f>
        <v/>
      </c>
      <c r="H1183" s="59" t="str">
        <f>IF(COUNTA(A1183:F1183)=0,"",IF(A1183="","Date manquante",IF(NOT(ISNUMBER(A1183)),"Date invalide",IF(B1183="","N° de facture manquant",IF(ISNA(MATCH(B1183,fa_num,0)),"Facture inconnue",IF(INDEX(fa_type,MATCH(B1183,fa_num,0))="Avoir","Paiement sur un avoir",IF(OR(NOT(ISNUMBER(C1183)),N(C1183)&lt;=0),"Montant invalide",IF(A1183&lt;INDEX(fa_date,MATCH(B1183,fa_num,0)),"Date antérieure à la facture",IF(SUMIF($B$6:B1183,B1183,$C$6:C1183)&gt;INDEX(fa_ttc,MATCH(B1183,fa_num,0))-N(INDEX(fa_avoirs,MATCH(B1183,fa_num,0)))+0.001,"Dépasse le montant de la facture","OK")))))))))</f>
        <v/>
      </c>
    </row>
    <row r="1184">
      <c r="A1184" s="61" t="n"/>
      <c r="B1184" s="60" t="n"/>
      <c r="C1184" s="68" t="n"/>
      <c r="D1184" s="60" t="n"/>
      <c r="E1184" s="63" t="n"/>
      <c r="F1184" s="63" t="n"/>
      <c r="G1184" s="62" t="str">
        <f>IF(B1184="","",IFERROR(INDEX(fa_cname,MATCH(B1184,fa_num,0))&amp;"",""))</f>
        <v/>
      </c>
      <c r="H1184" s="59" t="str">
        <f>IF(COUNTA(A1184:F1184)=0,"",IF(A1184="","Date manquante",IF(NOT(ISNUMBER(A1184)),"Date invalide",IF(B1184="","N° de facture manquant",IF(ISNA(MATCH(B1184,fa_num,0)),"Facture inconnue",IF(INDEX(fa_type,MATCH(B1184,fa_num,0))="Avoir","Paiement sur un avoir",IF(OR(NOT(ISNUMBER(C1184)),N(C1184)&lt;=0),"Montant invalide",IF(A1184&lt;INDEX(fa_date,MATCH(B1184,fa_num,0)),"Date antérieure à la facture",IF(SUMIF($B$6:B1184,B1184,$C$6:C1184)&gt;INDEX(fa_ttc,MATCH(B1184,fa_num,0))-N(INDEX(fa_avoirs,MATCH(B1184,fa_num,0)))+0.001,"Dépasse le montant de la facture","OK")))))))))</f>
        <v/>
      </c>
    </row>
    <row r="1185">
      <c r="A1185" s="61" t="n"/>
      <c r="B1185" s="60" t="n"/>
      <c r="C1185" s="68" t="n"/>
      <c r="D1185" s="60" t="n"/>
      <c r="E1185" s="63" t="n"/>
      <c r="F1185" s="63" t="n"/>
      <c r="G1185" s="62" t="str">
        <f>IF(B1185="","",IFERROR(INDEX(fa_cname,MATCH(B1185,fa_num,0))&amp;"",""))</f>
        <v/>
      </c>
      <c r="H1185" s="59" t="str">
        <f>IF(COUNTA(A1185:F1185)=0,"",IF(A1185="","Date manquante",IF(NOT(ISNUMBER(A1185)),"Date invalide",IF(B1185="","N° de facture manquant",IF(ISNA(MATCH(B1185,fa_num,0)),"Facture inconnue",IF(INDEX(fa_type,MATCH(B1185,fa_num,0))="Avoir","Paiement sur un avoir",IF(OR(NOT(ISNUMBER(C1185)),N(C1185)&lt;=0),"Montant invalide",IF(A1185&lt;INDEX(fa_date,MATCH(B1185,fa_num,0)),"Date antérieure à la facture",IF(SUMIF($B$6:B1185,B1185,$C$6:C1185)&gt;INDEX(fa_ttc,MATCH(B1185,fa_num,0))-N(INDEX(fa_avoirs,MATCH(B1185,fa_num,0)))+0.001,"Dépasse le montant de la facture","OK")))))))))</f>
        <v/>
      </c>
    </row>
    <row r="1186">
      <c r="A1186" s="61" t="n"/>
      <c r="B1186" s="60" t="n"/>
      <c r="C1186" s="68" t="n"/>
      <c r="D1186" s="60" t="n"/>
      <c r="E1186" s="63" t="n"/>
      <c r="F1186" s="63" t="n"/>
      <c r="G1186" s="62" t="str">
        <f>IF(B1186="","",IFERROR(INDEX(fa_cname,MATCH(B1186,fa_num,0))&amp;"",""))</f>
        <v/>
      </c>
      <c r="H1186" s="59" t="str">
        <f>IF(COUNTA(A1186:F1186)=0,"",IF(A1186="","Date manquante",IF(NOT(ISNUMBER(A1186)),"Date invalide",IF(B1186="","N° de facture manquant",IF(ISNA(MATCH(B1186,fa_num,0)),"Facture inconnue",IF(INDEX(fa_type,MATCH(B1186,fa_num,0))="Avoir","Paiement sur un avoir",IF(OR(NOT(ISNUMBER(C1186)),N(C1186)&lt;=0),"Montant invalide",IF(A1186&lt;INDEX(fa_date,MATCH(B1186,fa_num,0)),"Date antérieure à la facture",IF(SUMIF($B$6:B1186,B1186,$C$6:C1186)&gt;INDEX(fa_ttc,MATCH(B1186,fa_num,0))-N(INDEX(fa_avoirs,MATCH(B1186,fa_num,0)))+0.001,"Dépasse le montant de la facture","OK")))))))))</f>
        <v/>
      </c>
    </row>
    <row r="1187">
      <c r="A1187" s="61" t="n"/>
      <c r="B1187" s="60" t="n"/>
      <c r="C1187" s="68" t="n"/>
      <c r="D1187" s="60" t="n"/>
      <c r="E1187" s="63" t="n"/>
      <c r="F1187" s="63" t="n"/>
      <c r="G1187" s="62" t="str">
        <f>IF(B1187="","",IFERROR(INDEX(fa_cname,MATCH(B1187,fa_num,0))&amp;"",""))</f>
        <v/>
      </c>
      <c r="H1187" s="59" t="str">
        <f>IF(COUNTA(A1187:F1187)=0,"",IF(A1187="","Date manquante",IF(NOT(ISNUMBER(A1187)),"Date invalide",IF(B1187="","N° de facture manquant",IF(ISNA(MATCH(B1187,fa_num,0)),"Facture inconnue",IF(INDEX(fa_type,MATCH(B1187,fa_num,0))="Avoir","Paiement sur un avoir",IF(OR(NOT(ISNUMBER(C1187)),N(C1187)&lt;=0),"Montant invalide",IF(A1187&lt;INDEX(fa_date,MATCH(B1187,fa_num,0)),"Date antérieure à la facture",IF(SUMIF($B$6:B1187,B1187,$C$6:C1187)&gt;INDEX(fa_ttc,MATCH(B1187,fa_num,0))-N(INDEX(fa_avoirs,MATCH(B1187,fa_num,0)))+0.001,"Dépasse le montant de la facture","OK")))))))))</f>
        <v/>
      </c>
    </row>
    <row r="1188">
      <c r="A1188" s="61" t="n"/>
      <c r="B1188" s="60" t="n"/>
      <c r="C1188" s="68" t="n"/>
      <c r="D1188" s="60" t="n"/>
      <c r="E1188" s="63" t="n"/>
      <c r="F1188" s="63" t="n"/>
      <c r="G1188" s="62" t="str">
        <f>IF(B1188="","",IFERROR(INDEX(fa_cname,MATCH(B1188,fa_num,0))&amp;"",""))</f>
        <v/>
      </c>
      <c r="H1188" s="59" t="str">
        <f>IF(COUNTA(A1188:F1188)=0,"",IF(A1188="","Date manquante",IF(NOT(ISNUMBER(A1188)),"Date invalide",IF(B1188="","N° de facture manquant",IF(ISNA(MATCH(B1188,fa_num,0)),"Facture inconnue",IF(INDEX(fa_type,MATCH(B1188,fa_num,0))="Avoir","Paiement sur un avoir",IF(OR(NOT(ISNUMBER(C1188)),N(C1188)&lt;=0),"Montant invalide",IF(A1188&lt;INDEX(fa_date,MATCH(B1188,fa_num,0)),"Date antérieure à la facture",IF(SUMIF($B$6:B1188,B1188,$C$6:C1188)&gt;INDEX(fa_ttc,MATCH(B1188,fa_num,0))-N(INDEX(fa_avoirs,MATCH(B1188,fa_num,0)))+0.001,"Dépasse le montant de la facture","OK")))))))))</f>
        <v/>
      </c>
    </row>
    <row r="1189">
      <c r="A1189" s="61" t="n"/>
      <c r="B1189" s="60" t="n"/>
      <c r="C1189" s="68" t="n"/>
      <c r="D1189" s="60" t="n"/>
      <c r="E1189" s="63" t="n"/>
      <c r="F1189" s="63" t="n"/>
      <c r="G1189" s="62" t="str">
        <f>IF(B1189="","",IFERROR(INDEX(fa_cname,MATCH(B1189,fa_num,0))&amp;"",""))</f>
        <v/>
      </c>
      <c r="H1189" s="59" t="str">
        <f>IF(COUNTA(A1189:F1189)=0,"",IF(A1189="","Date manquante",IF(NOT(ISNUMBER(A1189)),"Date invalide",IF(B1189="","N° de facture manquant",IF(ISNA(MATCH(B1189,fa_num,0)),"Facture inconnue",IF(INDEX(fa_type,MATCH(B1189,fa_num,0))="Avoir","Paiement sur un avoir",IF(OR(NOT(ISNUMBER(C1189)),N(C1189)&lt;=0),"Montant invalide",IF(A1189&lt;INDEX(fa_date,MATCH(B1189,fa_num,0)),"Date antérieure à la facture",IF(SUMIF($B$6:B1189,B1189,$C$6:C1189)&gt;INDEX(fa_ttc,MATCH(B1189,fa_num,0))-N(INDEX(fa_avoirs,MATCH(B1189,fa_num,0)))+0.001,"Dépasse le montant de la facture","OK")))))))))</f>
        <v/>
      </c>
    </row>
    <row r="1190">
      <c r="A1190" s="61" t="n"/>
      <c r="B1190" s="60" t="n"/>
      <c r="C1190" s="68" t="n"/>
      <c r="D1190" s="60" t="n"/>
      <c r="E1190" s="63" t="n"/>
      <c r="F1190" s="63" t="n"/>
      <c r="G1190" s="62" t="str">
        <f>IF(B1190="","",IFERROR(INDEX(fa_cname,MATCH(B1190,fa_num,0))&amp;"",""))</f>
        <v/>
      </c>
      <c r="H1190" s="59" t="str">
        <f>IF(COUNTA(A1190:F1190)=0,"",IF(A1190="","Date manquante",IF(NOT(ISNUMBER(A1190)),"Date invalide",IF(B1190="","N° de facture manquant",IF(ISNA(MATCH(B1190,fa_num,0)),"Facture inconnue",IF(INDEX(fa_type,MATCH(B1190,fa_num,0))="Avoir","Paiement sur un avoir",IF(OR(NOT(ISNUMBER(C1190)),N(C1190)&lt;=0),"Montant invalide",IF(A1190&lt;INDEX(fa_date,MATCH(B1190,fa_num,0)),"Date antérieure à la facture",IF(SUMIF($B$6:B1190,B1190,$C$6:C1190)&gt;INDEX(fa_ttc,MATCH(B1190,fa_num,0))-N(INDEX(fa_avoirs,MATCH(B1190,fa_num,0)))+0.001,"Dépasse le montant de la facture","OK")))))))))</f>
        <v/>
      </c>
    </row>
    <row r="1191">
      <c r="A1191" s="61" t="n"/>
      <c r="B1191" s="60" t="n"/>
      <c r="C1191" s="68" t="n"/>
      <c r="D1191" s="60" t="n"/>
      <c r="E1191" s="63" t="n"/>
      <c r="F1191" s="63" t="n"/>
      <c r="G1191" s="62" t="str">
        <f>IF(B1191="","",IFERROR(INDEX(fa_cname,MATCH(B1191,fa_num,0))&amp;"",""))</f>
        <v/>
      </c>
      <c r="H1191" s="59" t="str">
        <f>IF(COUNTA(A1191:F1191)=0,"",IF(A1191="","Date manquante",IF(NOT(ISNUMBER(A1191)),"Date invalide",IF(B1191="","N° de facture manquant",IF(ISNA(MATCH(B1191,fa_num,0)),"Facture inconnue",IF(INDEX(fa_type,MATCH(B1191,fa_num,0))="Avoir","Paiement sur un avoir",IF(OR(NOT(ISNUMBER(C1191)),N(C1191)&lt;=0),"Montant invalide",IF(A1191&lt;INDEX(fa_date,MATCH(B1191,fa_num,0)),"Date antérieure à la facture",IF(SUMIF($B$6:B1191,B1191,$C$6:C1191)&gt;INDEX(fa_ttc,MATCH(B1191,fa_num,0))-N(INDEX(fa_avoirs,MATCH(B1191,fa_num,0)))+0.001,"Dépasse le montant de la facture","OK")))))))))</f>
        <v/>
      </c>
    </row>
    <row r="1192">
      <c r="A1192" s="61" t="n"/>
      <c r="B1192" s="60" t="n"/>
      <c r="C1192" s="68" t="n"/>
      <c r="D1192" s="60" t="n"/>
      <c r="E1192" s="63" t="n"/>
      <c r="F1192" s="63" t="n"/>
      <c r="G1192" s="62" t="str">
        <f>IF(B1192="","",IFERROR(INDEX(fa_cname,MATCH(B1192,fa_num,0))&amp;"",""))</f>
        <v/>
      </c>
      <c r="H1192" s="59" t="str">
        <f>IF(COUNTA(A1192:F1192)=0,"",IF(A1192="","Date manquante",IF(NOT(ISNUMBER(A1192)),"Date invalide",IF(B1192="","N° de facture manquant",IF(ISNA(MATCH(B1192,fa_num,0)),"Facture inconnue",IF(INDEX(fa_type,MATCH(B1192,fa_num,0))="Avoir","Paiement sur un avoir",IF(OR(NOT(ISNUMBER(C1192)),N(C1192)&lt;=0),"Montant invalide",IF(A1192&lt;INDEX(fa_date,MATCH(B1192,fa_num,0)),"Date antérieure à la facture",IF(SUMIF($B$6:B1192,B1192,$C$6:C1192)&gt;INDEX(fa_ttc,MATCH(B1192,fa_num,0))-N(INDEX(fa_avoirs,MATCH(B1192,fa_num,0)))+0.001,"Dépasse le montant de la facture","OK")))))))))</f>
        <v/>
      </c>
    </row>
    <row r="1193">
      <c r="A1193" s="61" t="n"/>
      <c r="B1193" s="60" t="n"/>
      <c r="C1193" s="68" t="n"/>
      <c r="D1193" s="60" t="n"/>
      <c r="E1193" s="63" t="n"/>
      <c r="F1193" s="63" t="n"/>
      <c r="G1193" s="62" t="str">
        <f>IF(B1193="","",IFERROR(INDEX(fa_cname,MATCH(B1193,fa_num,0))&amp;"",""))</f>
        <v/>
      </c>
      <c r="H1193" s="59" t="str">
        <f>IF(COUNTA(A1193:F1193)=0,"",IF(A1193="","Date manquante",IF(NOT(ISNUMBER(A1193)),"Date invalide",IF(B1193="","N° de facture manquant",IF(ISNA(MATCH(B1193,fa_num,0)),"Facture inconnue",IF(INDEX(fa_type,MATCH(B1193,fa_num,0))="Avoir","Paiement sur un avoir",IF(OR(NOT(ISNUMBER(C1193)),N(C1193)&lt;=0),"Montant invalide",IF(A1193&lt;INDEX(fa_date,MATCH(B1193,fa_num,0)),"Date antérieure à la facture",IF(SUMIF($B$6:B1193,B1193,$C$6:C1193)&gt;INDEX(fa_ttc,MATCH(B1193,fa_num,0))-N(INDEX(fa_avoirs,MATCH(B1193,fa_num,0)))+0.001,"Dépasse le montant de la facture","OK")))))))))</f>
        <v/>
      </c>
    </row>
    <row r="1194">
      <c r="A1194" s="61" t="n"/>
      <c r="B1194" s="60" t="n"/>
      <c r="C1194" s="68" t="n"/>
      <c r="D1194" s="60" t="n"/>
      <c r="E1194" s="63" t="n"/>
      <c r="F1194" s="63" t="n"/>
      <c r="G1194" s="62" t="str">
        <f>IF(B1194="","",IFERROR(INDEX(fa_cname,MATCH(B1194,fa_num,0))&amp;"",""))</f>
        <v/>
      </c>
      <c r="H1194" s="59" t="str">
        <f>IF(COUNTA(A1194:F1194)=0,"",IF(A1194="","Date manquante",IF(NOT(ISNUMBER(A1194)),"Date invalide",IF(B1194="","N° de facture manquant",IF(ISNA(MATCH(B1194,fa_num,0)),"Facture inconnue",IF(INDEX(fa_type,MATCH(B1194,fa_num,0))="Avoir","Paiement sur un avoir",IF(OR(NOT(ISNUMBER(C1194)),N(C1194)&lt;=0),"Montant invalide",IF(A1194&lt;INDEX(fa_date,MATCH(B1194,fa_num,0)),"Date antérieure à la facture",IF(SUMIF($B$6:B1194,B1194,$C$6:C1194)&gt;INDEX(fa_ttc,MATCH(B1194,fa_num,0))-N(INDEX(fa_avoirs,MATCH(B1194,fa_num,0)))+0.001,"Dépasse le montant de la facture","OK")))))))))</f>
        <v/>
      </c>
    </row>
    <row r="1195">
      <c r="A1195" s="61" t="n"/>
      <c r="B1195" s="60" t="n"/>
      <c r="C1195" s="68" t="n"/>
      <c r="D1195" s="60" t="n"/>
      <c r="E1195" s="63" t="n"/>
      <c r="F1195" s="63" t="n"/>
      <c r="G1195" s="62" t="str">
        <f>IF(B1195="","",IFERROR(INDEX(fa_cname,MATCH(B1195,fa_num,0))&amp;"",""))</f>
        <v/>
      </c>
      <c r="H1195" s="59" t="str">
        <f>IF(COUNTA(A1195:F1195)=0,"",IF(A1195="","Date manquante",IF(NOT(ISNUMBER(A1195)),"Date invalide",IF(B1195="","N° de facture manquant",IF(ISNA(MATCH(B1195,fa_num,0)),"Facture inconnue",IF(INDEX(fa_type,MATCH(B1195,fa_num,0))="Avoir","Paiement sur un avoir",IF(OR(NOT(ISNUMBER(C1195)),N(C1195)&lt;=0),"Montant invalide",IF(A1195&lt;INDEX(fa_date,MATCH(B1195,fa_num,0)),"Date antérieure à la facture",IF(SUMIF($B$6:B1195,B1195,$C$6:C1195)&gt;INDEX(fa_ttc,MATCH(B1195,fa_num,0))-N(INDEX(fa_avoirs,MATCH(B1195,fa_num,0)))+0.001,"Dépasse le montant de la facture","OK")))))))))</f>
        <v/>
      </c>
    </row>
    <row r="1196">
      <c r="A1196" s="61" t="n"/>
      <c r="B1196" s="60" t="n"/>
      <c r="C1196" s="68" t="n"/>
      <c r="D1196" s="60" t="n"/>
      <c r="E1196" s="63" t="n"/>
      <c r="F1196" s="63" t="n"/>
      <c r="G1196" s="62" t="str">
        <f>IF(B1196="","",IFERROR(INDEX(fa_cname,MATCH(B1196,fa_num,0))&amp;"",""))</f>
        <v/>
      </c>
      <c r="H1196" s="59" t="str">
        <f>IF(COUNTA(A1196:F1196)=0,"",IF(A1196="","Date manquante",IF(NOT(ISNUMBER(A1196)),"Date invalide",IF(B1196="","N° de facture manquant",IF(ISNA(MATCH(B1196,fa_num,0)),"Facture inconnue",IF(INDEX(fa_type,MATCH(B1196,fa_num,0))="Avoir","Paiement sur un avoir",IF(OR(NOT(ISNUMBER(C1196)),N(C1196)&lt;=0),"Montant invalide",IF(A1196&lt;INDEX(fa_date,MATCH(B1196,fa_num,0)),"Date antérieure à la facture",IF(SUMIF($B$6:B1196,B1196,$C$6:C1196)&gt;INDEX(fa_ttc,MATCH(B1196,fa_num,0))-N(INDEX(fa_avoirs,MATCH(B1196,fa_num,0)))+0.001,"Dépasse le montant de la facture","OK")))))))))</f>
        <v/>
      </c>
    </row>
    <row r="1197">
      <c r="A1197" s="61" t="n"/>
      <c r="B1197" s="60" t="n"/>
      <c r="C1197" s="68" t="n"/>
      <c r="D1197" s="60" t="n"/>
      <c r="E1197" s="63" t="n"/>
      <c r="F1197" s="63" t="n"/>
      <c r="G1197" s="62" t="str">
        <f>IF(B1197="","",IFERROR(INDEX(fa_cname,MATCH(B1197,fa_num,0))&amp;"",""))</f>
        <v/>
      </c>
      <c r="H1197" s="59" t="str">
        <f>IF(COUNTA(A1197:F1197)=0,"",IF(A1197="","Date manquante",IF(NOT(ISNUMBER(A1197)),"Date invalide",IF(B1197="","N° de facture manquant",IF(ISNA(MATCH(B1197,fa_num,0)),"Facture inconnue",IF(INDEX(fa_type,MATCH(B1197,fa_num,0))="Avoir","Paiement sur un avoir",IF(OR(NOT(ISNUMBER(C1197)),N(C1197)&lt;=0),"Montant invalide",IF(A1197&lt;INDEX(fa_date,MATCH(B1197,fa_num,0)),"Date antérieure à la facture",IF(SUMIF($B$6:B1197,B1197,$C$6:C1197)&gt;INDEX(fa_ttc,MATCH(B1197,fa_num,0))-N(INDEX(fa_avoirs,MATCH(B1197,fa_num,0)))+0.001,"Dépasse le montant de la facture","OK")))))))))</f>
        <v/>
      </c>
    </row>
    <row r="1198">
      <c r="A1198" s="61" t="n"/>
      <c r="B1198" s="60" t="n"/>
      <c r="C1198" s="68" t="n"/>
      <c r="D1198" s="60" t="n"/>
      <c r="E1198" s="63" t="n"/>
      <c r="F1198" s="63" t="n"/>
      <c r="G1198" s="62" t="str">
        <f>IF(B1198="","",IFERROR(INDEX(fa_cname,MATCH(B1198,fa_num,0))&amp;"",""))</f>
        <v/>
      </c>
      <c r="H1198" s="59" t="str">
        <f>IF(COUNTA(A1198:F1198)=0,"",IF(A1198="","Date manquante",IF(NOT(ISNUMBER(A1198)),"Date invalide",IF(B1198="","N° de facture manquant",IF(ISNA(MATCH(B1198,fa_num,0)),"Facture inconnue",IF(INDEX(fa_type,MATCH(B1198,fa_num,0))="Avoir","Paiement sur un avoir",IF(OR(NOT(ISNUMBER(C1198)),N(C1198)&lt;=0),"Montant invalide",IF(A1198&lt;INDEX(fa_date,MATCH(B1198,fa_num,0)),"Date antérieure à la facture",IF(SUMIF($B$6:B1198,B1198,$C$6:C1198)&gt;INDEX(fa_ttc,MATCH(B1198,fa_num,0))-N(INDEX(fa_avoirs,MATCH(B1198,fa_num,0)))+0.001,"Dépasse le montant de la facture","OK")))))))))</f>
        <v/>
      </c>
    </row>
    <row r="1199">
      <c r="A1199" s="61" t="n"/>
      <c r="B1199" s="60" t="n"/>
      <c r="C1199" s="68" t="n"/>
      <c r="D1199" s="60" t="n"/>
      <c r="E1199" s="63" t="n"/>
      <c r="F1199" s="63" t="n"/>
      <c r="G1199" s="62" t="str">
        <f>IF(B1199="","",IFERROR(INDEX(fa_cname,MATCH(B1199,fa_num,0))&amp;"",""))</f>
        <v/>
      </c>
      <c r="H1199" s="59" t="str">
        <f>IF(COUNTA(A1199:F1199)=0,"",IF(A1199="","Date manquante",IF(NOT(ISNUMBER(A1199)),"Date invalide",IF(B1199="","N° de facture manquant",IF(ISNA(MATCH(B1199,fa_num,0)),"Facture inconnue",IF(INDEX(fa_type,MATCH(B1199,fa_num,0))="Avoir","Paiement sur un avoir",IF(OR(NOT(ISNUMBER(C1199)),N(C1199)&lt;=0),"Montant invalide",IF(A1199&lt;INDEX(fa_date,MATCH(B1199,fa_num,0)),"Date antérieure à la facture",IF(SUMIF($B$6:B1199,B1199,$C$6:C1199)&gt;INDEX(fa_ttc,MATCH(B1199,fa_num,0))-N(INDEX(fa_avoirs,MATCH(B1199,fa_num,0)))+0.001,"Dépasse le montant de la facture","OK")))))))))</f>
        <v/>
      </c>
    </row>
    <row r="1200">
      <c r="A1200" s="61" t="n"/>
      <c r="B1200" s="60" t="n"/>
      <c r="C1200" s="68" t="n"/>
      <c r="D1200" s="60" t="n"/>
      <c r="E1200" s="63" t="n"/>
      <c r="F1200" s="63" t="n"/>
      <c r="G1200" s="62" t="str">
        <f>IF(B1200="","",IFERROR(INDEX(fa_cname,MATCH(B1200,fa_num,0))&amp;"",""))</f>
        <v/>
      </c>
      <c r="H1200" s="59" t="str">
        <f>IF(COUNTA(A1200:F1200)=0,"",IF(A1200="","Date manquante",IF(NOT(ISNUMBER(A1200)),"Date invalide",IF(B1200="","N° de facture manquant",IF(ISNA(MATCH(B1200,fa_num,0)),"Facture inconnue",IF(INDEX(fa_type,MATCH(B1200,fa_num,0))="Avoir","Paiement sur un avoir",IF(OR(NOT(ISNUMBER(C1200)),N(C1200)&lt;=0),"Montant invalide",IF(A1200&lt;INDEX(fa_date,MATCH(B1200,fa_num,0)),"Date antérieure à la facture",IF(SUMIF($B$6:B1200,B1200,$C$6:C1200)&gt;INDEX(fa_ttc,MATCH(B1200,fa_num,0))-N(INDEX(fa_avoirs,MATCH(B1200,fa_num,0)))+0.001,"Dépasse le montant de la facture","OK")))))))))</f>
        <v/>
      </c>
    </row>
    <row r="1201">
      <c r="A1201" s="61" t="n"/>
      <c r="B1201" s="60" t="n"/>
      <c r="C1201" s="68" t="n"/>
      <c r="D1201" s="60" t="n"/>
      <c r="E1201" s="63" t="n"/>
      <c r="F1201" s="63" t="n"/>
      <c r="G1201" s="62" t="str">
        <f>IF(B1201="","",IFERROR(INDEX(fa_cname,MATCH(B1201,fa_num,0))&amp;"",""))</f>
        <v/>
      </c>
      <c r="H1201" s="59" t="str">
        <f>IF(COUNTA(A1201:F1201)=0,"",IF(A1201="","Date manquante",IF(NOT(ISNUMBER(A1201)),"Date invalide",IF(B1201="","N° de facture manquant",IF(ISNA(MATCH(B1201,fa_num,0)),"Facture inconnue",IF(INDEX(fa_type,MATCH(B1201,fa_num,0))="Avoir","Paiement sur un avoir",IF(OR(NOT(ISNUMBER(C1201)),N(C1201)&lt;=0),"Montant invalide",IF(A1201&lt;INDEX(fa_date,MATCH(B1201,fa_num,0)),"Date antérieure à la facture",IF(SUMIF($B$6:B1201,B1201,$C$6:C1201)&gt;INDEX(fa_ttc,MATCH(B1201,fa_num,0))-N(INDEX(fa_avoirs,MATCH(B1201,fa_num,0)))+0.001,"Dépasse le montant de la facture","OK")))))))))</f>
        <v/>
      </c>
    </row>
    <row r="1202">
      <c r="A1202" s="61" t="n"/>
      <c r="B1202" s="60" t="n"/>
      <c r="C1202" s="68" t="n"/>
      <c r="D1202" s="60" t="n"/>
      <c r="E1202" s="63" t="n"/>
      <c r="F1202" s="63" t="n"/>
      <c r="G1202" s="62" t="str">
        <f>IF(B1202="","",IFERROR(INDEX(fa_cname,MATCH(B1202,fa_num,0))&amp;"",""))</f>
        <v/>
      </c>
      <c r="H1202" s="59" t="str">
        <f>IF(COUNTA(A1202:F1202)=0,"",IF(A1202="","Date manquante",IF(NOT(ISNUMBER(A1202)),"Date invalide",IF(B1202="","N° de facture manquant",IF(ISNA(MATCH(B1202,fa_num,0)),"Facture inconnue",IF(INDEX(fa_type,MATCH(B1202,fa_num,0))="Avoir","Paiement sur un avoir",IF(OR(NOT(ISNUMBER(C1202)),N(C1202)&lt;=0),"Montant invalide",IF(A1202&lt;INDEX(fa_date,MATCH(B1202,fa_num,0)),"Date antérieure à la facture",IF(SUMIF($B$6:B1202,B1202,$C$6:C1202)&gt;INDEX(fa_ttc,MATCH(B1202,fa_num,0))-N(INDEX(fa_avoirs,MATCH(B1202,fa_num,0)))+0.001,"Dépasse le montant de la facture","OK")))))))))</f>
        <v/>
      </c>
    </row>
    <row r="1203">
      <c r="A1203" s="61" t="n"/>
      <c r="B1203" s="60" t="n"/>
      <c r="C1203" s="68" t="n"/>
      <c r="D1203" s="60" t="n"/>
      <c r="E1203" s="63" t="n"/>
      <c r="F1203" s="63" t="n"/>
      <c r="G1203" s="62" t="str">
        <f>IF(B1203="","",IFERROR(INDEX(fa_cname,MATCH(B1203,fa_num,0))&amp;"",""))</f>
        <v/>
      </c>
      <c r="H1203" s="59" t="str">
        <f>IF(COUNTA(A1203:F1203)=0,"",IF(A1203="","Date manquante",IF(NOT(ISNUMBER(A1203)),"Date invalide",IF(B1203="","N° de facture manquant",IF(ISNA(MATCH(B1203,fa_num,0)),"Facture inconnue",IF(INDEX(fa_type,MATCH(B1203,fa_num,0))="Avoir","Paiement sur un avoir",IF(OR(NOT(ISNUMBER(C1203)),N(C1203)&lt;=0),"Montant invalide",IF(A1203&lt;INDEX(fa_date,MATCH(B1203,fa_num,0)),"Date antérieure à la facture",IF(SUMIF($B$6:B1203,B1203,$C$6:C1203)&gt;INDEX(fa_ttc,MATCH(B1203,fa_num,0))-N(INDEX(fa_avoirs,MATCH(B1203,fa_num,0)))+0.001,"Dépasse le montant de la facture","OK")))))))))</f>
        <v/>
      </c>
    </row>
    <row r="1204">
      <c r="A1204" s="61" t="n"/>
      <c r="B1204" s="60" t="n"/>
      <c r="C1204" s="68" t="n"/>
      <c r="D1204" s="60" t="n"/>
      <c r="E1204" s="63" t="n"/>
      <c r="F1204" s="63" t="n"/>
      <c r="G1204" s="62" t="str">
        <f>IF(B1204="","",IFERROR(INDEX(fa_cname,MATCH(B1204,fa_num,0))&amp;"",""))</f>
        <v/>
      </c>
      <c r="H1204" s="59" t="str">
        <f>IF(COUNTA(A1204:F1204)=0,"",IF(A1204="","Date manquante",IF(NOT(ISNUMBER(A1204)),"Date invalide",IF(B1204="","N° de facture manquant",IF(ISNA(MATCH(B1204,fa_num,0)),"Facture inconnue",IF(INDEX(fa_type,MATCH(B1204,fa_num,0))="Avoir","Paiement sur un avoir",IF(OR(NOT(ISNUMBER(C1204)),N(C1204)&lt;=0),"Montant invalide",IF(A1204&lt;INDEX(fa_date,MATCH(B1204,fa_num,0)),"Date antérieure à la facture",IF(SUMIF($B$6:B1204,B1204,$C$6:C1204)&gt;INDEX(fa_ttc,MATCH(B1204,fa_num,0))-N(INDEX(fa_avoirs,MATCH(B1204,fa_num,0)))+0.001,"Dépasse le montant de la facture","OK")))))))))</f>
        <v/>
      </c>
    </row>
    <row r="1205">
      <c r="A1205" s="61" t="n"/>
      <c r="B1205" s="60" t="n"/>
      <c r="C1205" s="68" t="n"/>
      <c r="D1205" s="60" t="n"/>
      <c r="E1205" s="63" t="n"/>
      <c r="F1205" s="63" t="n"/>
      <c r="G1205" s="62" t="str">
        <f>IF(B1205="","",IFERROR(INDEX(fa_cname,MATCH(B1205,fa_num,0))&amp;"",""))</f>
        <v/>
      </c>
      <c r="H1205" s="59" t="str">
        <f>IF(COUNTA(A1205:F1205)=0,"",IF(A1205="","Date manquante",IF(NOT(ISNUMBER(A1205)),"Date invalide",IF(B1205="","N° de facture manquant",IF(ISNA(MATCH(B1205,fa_num,0)),"Facture inconnue",IF(INDEX(fa_type,MATCH(B1205,fa_num,0))="Avoir","Paiement sur un avoir",IF(OR(NOT(ISNUMBER(C1205)),N(C1205)&lt;=0),"Montant invalide",IF(A1205&lt;INDEX(fa_date,MATCH(B1205,fa_num,0)),"Date antérieure à la facture",IF(SUMIF($B$6:B1205,B1205,$C$6:C1205)&gt;INDEX(fa_ttc,MATCH(B1205,fa_num,0))-N(INDEX(fa_avoirs,MATCH(B1205,fa_num,0)))+0.001,"Dépasse le montant de la facture","OK")))))))))</f>
        <v/>
      </c>
    </row>
    <row r="1206">
      <c r="A1206" s="61" t="n"/>
      <c r="B1206" s="60" t="n"/>
      <c r="C1206" s="68" t="n"/>
      <c r="D1206" s="60" t="n"/>
      <c r="E1206" s="63" t="n"/>
      <c r="F1206" s="63" t="n"/>
      <c r="G1206" s="62" t="str">
        <f>IF(B1206="","",IFERROR(INDEX(fa_cname,MATCH(B1206,fa_num,0))&amp;"",""))</f>
        <v/>
      </c>
      <c r="H1206" s="59" t="str">
        <f>IF(COUNTA(A1206:F1206)=0,"",IF(A1206="","Date manquante",IF(NOT(ISNUMBER(A1206)),"Date invalide",IF(B1206="","N° de facture manquant",IF(ISNA(MATCH(B1206,fa_num,0)),"Facture inconnue",IF(INDEX(fa_type,MATCH(B1206,fa_num,0))="Avoir","Paiement sur un avoir",IF(OR(NOT(ISNUMBER(C1206)),N(C1206)&lt;=0),"Montant invalide",IF(A1206&lt;INDEX(fa_date,MATCH(B1206,fa_num,0)),"Date antérieure à la facture",IF(SUMIF($B$6:B1206,B1206,$C$6:C1206)&gt;INDEX(fa_ttc,MATCH(B1206,fa_num,0))-N(INDEX(fa_avoirs,MATCH(B1206,fa_num,0)))+0.001,"Dépasse le montant de la facture","OK")))))))))</f>
        <v/>
      </c>
    </row>
    <row r="1207">
      <c r="A1207" s="61" t="n"/>
      <c r="B1207" s="60" t="n"/>
      <c r="C1207" s="68" t="n"/>
      <c r="D1207" s="60" t="n"/>
      <c r="E1207" s="63" t="n"/>
      <c r="F1207" s="63" t="n"/>
      <c r="G1207" s="62" t="str">
        <f>IF(B1207="","",IFERROR(INDEX(fa_cname,MATCH(B1207,fa_num,0))&amp;"",""))</f>
        <v/>
      </c>
      <c r="H1207" s="59" t="str">
        <f>IF(COUNTA(A1207:F1207)=0,"",IF(A1207="","Date manquante",IF(NOT(ISNUMBER(A1207)),"Date invalide",IF(B1207="","N° de facture manquant",IF(ISNA(MATCH(B1207,fa_num,0)),"Facture inconnue",IF(INDEX(fa_type,MATCH(B1207,fa_num,0))="Avoir","Paiement sur un avoir",IF(OR(NOT(ISNUMBER(C1207)),N(C1207)&lt;=0),"Montant invalide",IF(A1207&lt;INDEX(fa_date,MATCH(B1207,fa_num,0)),"Date antérieure à la facture",IF(SUMIF($B$6:B1207,B1207,$C$6:C1207)&gt;INDEX(fa_ttc,MATCH(B1207,fa_num,0))-N(INDEX(fa_avoirs,MATCH(B1207,fa_num,0)))+0.001,"Dépasse le montant de la facture","OK")))))))))</f>
        <v/>
      </c>
    </row>
    <row r="1208">
      <c r="A1208" s="61" t="n"/>
      <c r="B1208" s="60" t="n"/>
      <c r="C1208" s="68" t="n"/>
      <c r="D1208" s="60" t="n"/>
      <c r="E1208" s="63" t="n"/>
      <c r="F1208" s="63" t="n"/>
      <c r="G1208" s="62" t="str">
        <f>IF(B1208="","",IFERROR(INDEX(fa_cname,MATCH(B1208,fa_num,0))&amp;"",""))</f>
        <v/>
      </c>
      <c r="H1208" s="59" t="str">
        <f>IF(COUNTA(A1208:F1208)=0,"",IF(A1208="","Date manquante",IF(NOT(ISNUMBER(A1208)),"Date invalide",IF(B1208="","N° de facture manquant",IF(ISNA(MATCH(B1208,fa_num,0)),"Facture inconnue",IF(INDEX(fa_type,MATCH(B1208,fa_num,0))="Avoir","Paiement sur un avoir",IF(OR(NOT(ISNUMBER(C1208)),N(C1208)&lt;=0),"Montant invalide",IF(A1208&lt;INDEX(fa_date,MATCH(B1208,fa_num,0)),"Date antérieure à la facture",IF(SUMIF($B$6:B1208,B1208,$C$6:C1208)&gt;INDEX(fa_ttc,MATCH(B1208,fa_num,0))-N(INDEX(fa_avoirs,MATCH(B1208,fa_num,0)))+0.001,"Dépasse le montant de la facture","OK")))))))))</f>
        <v/>
      </c>
    </row>
    <row r="1209">
      <c r="A1209" s="61" t="n"/>
      <c r="B1209" s="60" t="n"/>
      <c r="C1209" s="68" t="n"/>
      <c r="D1209" s="60" t="n"/>
      <c r="E1209" s="63" t="n"/>
      <c r="F1209" s="63" t="n"/>
      <c r="G1209" s="62" t="str">
        <f>IF(B1209="","",IFERROR(INDEX(fa_cname,MATCH(B1209,fa_num,0))&amp;"",""))</f>
        <v/>
      </c>
      <c r="H1209" s="59" t="str">
        <f>IF(COUNTA(A1209:F1209)=0,"",IF(A1209="","Date manquante",IF(NOT(ISNUMBER(A1209)),"Date invalide",IF(B1209="","N° de facture manquant",IF(ISNA(MATCH(B1209,fa_num,0)),"Facture inconnue",IF(INDEX(fa_type,MATCH(B1209,fa_num,0))="Avoir","Paiement sur un avoir",IF(OR(NOT(ISNUMBER(C1209)),N(C1209)&lt;=0),"Montant invalide",IF(A1209&lt;INDEX(fa_date,MATCH(B1209,fa_num,0)),"Date antérieure à la facture",IF(SUMIF($B$6:B1209,B1209,$C$6:C1209)&gt;INDEX(fa_ttc,MATCH(B1209,fa_num,0))-N(INDEX(fa_avoirs,MATCH(B1209,fa_num,0)))+0.001,"Dépasse le montant de la facture","OK")))))))))</f>
        <v/>
      </c>
    </row>
    <row r="1210">
      <c r="A1210" s="61" t="n"/>
      <c r="B1210" s="60" t="n"/>
      <c r="C1210" s="68" t="n"/>
      <c r="D1210" s="60" t="n"/>
      <c r="E1210" s="63" t="n"/>
      <c r="F1210" s="63" t="n"/>
      <c r="G1210" s="62" t="str">
        <f>IF(B1210="","",IFERROR(INDEX(fa_cname,MATCH(B1210,fa_num,0))&amp;"",""))</f>
        <v/>
      </c>
      <c r="H1210" s="59" t="str">
        <f>IF(COUNTA(A1210:F1210)=0,"",IF(A1210="","Date manquante",IF(NOT(ISNUMBER(A1210)),"Date invalide",IF(B1210="","N° de facture manquant",IF(ISNA(MATCH(B1210,fa_num,0)),"Facture inconnue",IF(INDEX(fa_type,MATCH(B1210,fa_num,0))="Avoir","Paiement sur un avoir",IF(OR(NOT(ISNUMBER(C1210)),N(C1210)&lt;=0),"Montant invalide",IF(A1210&lt;INDEX(fa_date,MATCH(B1210,fa_num,0)),"Date antérieure à la facture",IF(SUMIF($B$6:B1210,B1210,$C$6:C1210)&gt;INDEX(fa_ttc,MATCH(B1210,fa_num,0))-N(INDEX(fa_avoirs,MATCH(B1210,fa_num,0)))+0.001,"Dépasse le montant de la facture","OK")))))))))</f>
        <v/>
      </c>
    </row>
    <row r="1211">
      <c r="A1211" s="61" t="n"/>
      <c r="B1211" s="60" t="n"/>
      <c r="C1211" s="68" t="n"/>
      <c r="D1211" s="60" t="n"/>
      <c r="E1211" s="63" t="n"/>
      <c r="F1211" s="63" t="n"/>
      <c r="G1211" s="62" t="str">
        <f>IF(B1211="","",IFERROR(INDEX(fa_cname,MATCH(B1211,fa_num,0))&amp;"",""))</f>
        <v/>
      </c>
      <c r="H1211" s="59" t="str">
        <f>IF(COUNTA(A1211:F1211)=0,"",IF(A1211="","Date manquante",IF(NOT(ISNUMBER(A1211)),"Date invalide",IF(B1211="","N° de facture manquant",IF(ISNA(MATCH(B1211,fa_num,0)),"Facture inconnue",IF(INDEX(fa_type,MATCH(B1211,fa_num,0))="Avoir","Paiement sur un avoir",IF(OR(NOT(ISNUMBER(C1211)),N(C1211)&lt;=0),"Montant invalide",IF(A1211&lt;INDEX(fa_date,MATCH(B1211,fa_num,0)),"Date antérieure à la facture",IF(SUMIF($B$6:B1211,B1211,$C$6:C1211)&gt;INDEX(fa_ttc,MATCH(B1211,fa_num,0))-N(INDEX(fa_avoirs,MATCH(B1211,fa_num,0)))+0.001,"Dépasse le montant de la facture","OK")))))))))</f>
        <v/>
      </c>
    </row>
    <row r="1212">
      <c r="A1212" s="61" t="n"/>
      <c r="B1212" s="60" t="n"/>
      <c r="C1212" s="68" t="n"/>
      <c r="D1212" s="60" t="n"/>
      <c r="E1212" s="63" t="n"/>
      <c r="F1212" s="63" t="n"/>
      <c r="G1212" s="62" t="str">
        <f>IF(B1212="","",IFERROR(INDEX(fa_cname,MATCH(B1212,fa_num,0))&amp;"",""))</f>
        <v/>
      </c>
      <c r="H1212" s="59" t="str">
        <f>IF(COUNTA(A1212:F1212)=0,"",IF(A1212="","Date manquante",IF(NOT(ISNUMBER(A1212)),"Date invalide",IF(B1212="","N° de facture manquant",IF(ISNA(MATCH(B1212,fa_num,0)),"Facture inconnue",IF(INDEX(fa_type,MATCH(B1212,fa_num,0))="Avoir","Paiement sur un avoir",IF(OR(NOT(ISNUMBER(C1212)),N(C1212)&lt;=0),"Montant invalide",IF(A1212&lt;INDEX(fa_date,MATCH(B1212,fa_num,0)),"Date antérieure à la facture",IF(SUMIF($B$6:B1212,B1212,$C$6:C1212)&gt;INDEX(fa_ttc,MATCH(B1212,fa_num,0))-N(INDEX(fa_avoirs,MATCH(B1212,fa_num,0)))+0.001,"Dépasse le montant de la facture","OK")))))))))</f>
        <v/>
      </c>
    </row>
    <row r="1213">
      <c r="A1213" s="61" t="n"/>
      <c r="B1213" s="60" t="n"/>
      <c r="C1213" s="68" t="n"/>
      <c r="D1213" s="60" t="n"/>
      <c r="E1213" s="63" t="n"/>
      <c r="F1213" s="63" t="n"/>
      <c r="G1213" s="62" t="str">
        <f>IF(B1213="","",IFERROR(INDEX(fa_cname,MATCH(B1213,fa_num,0))&amp;"",""))</f>
        <v/>
      </c>
      <c r="H1213" s="59" t="str">
        <f>IF(COUNTA(A1213:F1213)=0,"",IF(A1213="","Date manquante",IF(NOT(ISNUMBER(A1213)),"Date invalide",IF(B1213="","N° de facture manquant",IF(ISNA(MATCH(B1213,fa_num,0)),"Facture inconnue",IF(INDEX(fa_type,MATCH(B1213,fa_num,0))="Avoir","Paiement sur un avoir",IF(OR(NOT(ISNUMBER(C1213)),N(C1213)&lt;=0),"Montant invalide",IF(A1213&lt;INDEX(fa_date,MATCH(B1213,fa_num,0)),"Date antérieure à la facture",IF(SUMIF($B$6:B1213,B1213,$C$6:C1213)&gt;INDEX(fa_ttc,MATCH(B1213,fa_num,0))-N(INDEX(fa_avoirs,MATCH(B1213,fa_num,0)))+0.001,"Dépasse le montant de la facture","OK")))))))))</f>
        <v/>
      </c>
    </row>
    <row r="1214">
      <c r="A1214" s="61" t="n"/>
      <c r="B1214" s="60" t="n"/>
      <c r="C1214" s="68" t="n"/>
      <c r="D1214" s="60" t="n"/>
      <c r="E1214" s="63" t="n"/>
      <c r="F1214" s="63" t="n"/>
      <c r="G1214" s="62" t="str">
        <f>IF(B1214="","",IFERROR(INDEX(fa_cname,MATCH(B1214,fa_num,0))&amp;"",""))</f>
        <v/>
      </c>
      <c r="H1214" s="59" t="str">
        <f>IF(COUNTA(A1214:F1214)=0,"",IF(A1214="","Date manquante",IF(NOT(ISNUMBER(A1214)),"Date invalide",IF(B1214="","N° de facture manquant",IF(ISNA(MATCH(B1214,fa_num,0)),"Facture inconnue",IF(INDEX(fa_type,MATCH(B1214,fa_num,0))="Avoir","Paiement sur un avoir",IF(OR(NOT(ISNUMBER(C1214)),N(C1214)&lt;=0),"Montant invalide",IF(A1214&lt;INDEX(fa_date,MATCH(B1214,fa_num,0)),"Date antérieure à la facture",IF(SUMIF($B$6:B1214,B1214,$C$6:C1214)&gt;INDEX(fa_ttc,MATCH(B1214,fa_num,0))-N(INDEX(fa_avoirs,MATCH(B1214,fa_num,0)))+0.001,"Dépasse le montant de la facture","OK")))))))))</f>
        <v/>
      </c>
    </row>
    <row r="1215">
      <c r="A1215" s="61" t="n"/>
      <c r="B1215" s="60" t="n"/>
      <c r="C1215" s="68" t="n"/>
      <c r="D1215" s="60" t="n"/>
      <c r="E1215" s="63" t="n"/>
      <c r="F1215" s="63" t="n"/>
      <c r="G1215" s="62" t="str">
        <f>IF(B1215="","",IFERROR(INDEX(fa_cname,MATCH(B1215,fa_num,0))&amp;"",""))</f>
        <v/>
      </c>
      <c r="H1215" s="59" t="str">
        <f>IF(COUNTA(A1215:F1215)=0,"",IF(A1215="","Date manquante",IF(NOT(ISNUMBER(A1215)),"Date invalide",IF(B1215="","N° de facture manquant",IF(ISNA(MATCH(B1215,fa_num,0)),"Facture inconnue",IF(INDEX(fa_type,MATCH(B1215,fa_num,0))="Avoir","Paiement sur un avoir",IF(OR(NOT(ISNUMBER(C1215)),N(C1215)&lt;=0),"Montant invalide",IF(A1215&lt;INDEX(fa_date,MATCH(B1215,fa_num,0)),"Date antérieure à la facture",IF(SUMIF($B$6:B1215,B1215,$C$6:C1215)&gt;INDEX(fa_ttc,MATCH(B1215,fa_num,0))-N(INDEX(fa_avoirs,MATCH(B1215,fa_num,0)))+0.001,"Dépasse le montant de la facture","OK")))))))))</f>
        <v/>
      </c>
    </row>
    <row r="1216">
      <c r="A1216" s="61" t="n"/>
      <c r="B1216" s="60" t="n"/>
      <c r="C1216" s="68" t="n"/>
      <c r="D1216" s="60" t="n"/>
      <c r="E1216" s="63" t="n"/>
      <c r="F1216" s="63" t="n"/>
      <c r="G1216" s="62" t="str">
        <f>IF(B1216="","",IFERROR(INDEX(fa_cname,MATCH(B1216,fa_num,0))&amp;"",""))</f>
        <v/>
      </c>
      <c r="H1216" s="59" t="str">
        <f>IF(COUNTA(A1216:F1216)=0,"",IF(A1216="","Date manquante",IF(NOT(ISNUMBER(A1216)),"Date invalide",IF(B1216="","N° de facture manquant",IF(ISNA(MATCH(B1216,fa_num,0)),"Facture inconnue",IF(INDEX(fa_type,MATCH(B1216,fa_num,0))="Avoir","Paiement sur un avoir",IF(OR(NOT(ISNUMBER(C1216)),N(C1216)&lt;=0),"Montant invalide",IF(A1216&lt;INDEX(fa_date,MATCH(B1216,fa_num,0)),"Date antérieure à la facture",IF(SUMIF($B$6:B1216,B1216,$C$6:C1216)&gt;INDEX(fa_ttc,MATCH(B1216,fa_num,0))-N(INDEX(fa_avoirs,MATCH(B1216,fa_num,0)))+0.001,"Dépasse le montant de la facture","OK")))))))))</f>
        <v/>
      </c>
    </row>
    <row r="1217">
      <c r="A1217" s="61" t="n"/>
      <c r="B1217" s="60" t="n"/>
      <c r="C1217" s="68" t="n"/>
      <c r="D1217" s="60" t="n"/>
      <c r="E1217" s="63" t="n"/>
      <c r="F1217" s="63" t="n"/>
      <c r="G1217" s="62" t="str">
        <f>IF(B1217="","",IFERROR(INDEX(fa_cname,MATCH(B1217,fa_num,0))&amp;"",""))</f>
        <v/>
      </c>
      <c r="H1217" s="59" t="str">
        <f>IF(COUNTA(A1217:F1217)=0,"",IF(A1217="","Date manquante",IF(NOT(ISNUMBER(A1217)),"Date invalide",IF(B1217="","N° de facture manquant",IF(ISNA(MATCH(B1217,fa_num,0)),"Facture inconnue",IF(INDEX(fa_type,MATCH(B1217,fa_num,0))="Avoir","Paiement sur un avoir",IF(OR(NOT(ISNUMBER(C1217)),N(C1217)&lt;=0),"Montant invalide",IF(A1217&lt;INDEX(fa_date,MATCH(B1217,fa_num,0)),"Date antérieure à la facture",IF(SUMIF($B$6:B1217,B1217,$C$6:C1217)&gt;INDEX(fa_ttc,MATCH(B1217,fa_num,0))-N(INDEX(fa_avoirs,MATCH(B1217,fa_num,0)))+0.001,"Dépasse le montant de la facture","OK")))))))))</f>
        <v/>
      </c>
    </row>
    <row r="1218">
      <c r="A1218" s="61" t="n"/>
      <c r="B1218" s="60" t="n"/>
      <c r="C1218" s="68" t="n"/>
      <c r="D1218" s="60" t="n"/>
      <c r="E1218" s="63" t="n"/>
      <c r="F1218" s="63" t="n"/>
      <c r="G1218" s="62" t="str">
        <f>IF(B1218="","",IFERROR(INDEX(fa_cname,MATCH(B1218,fa_num,0))&amp;"",""))</f>
        <v/>
      </c>
      <c r="H1218" s="59" t="str">
        <f>IF(COUNTA(A1218:F1218)=0,"",IF(A1218="","Date manquante",IF(NOT(ISNUMBER(A1218)),"Date invalide",IF(B1218="","N° de facture manquant",IF(ISNA(MATCH(B1218,fa_num,0)),"Facture inconnue",IF(INDEX(fa_type,MATCH(B1218,fa_num,0))="Avoir","Paiement sur un avoir",IF(OR(NOT(ISNUMBER(C1218)),N(C1218)&lt;=0),"Montant invalide",IF(A1218&lt;INDEX(fa_date,MATCH(B1218,fa_num,0)),"Date antérieure à la facture",IF(SUMIF($B$6:B1218,B1218,$C$6:C1218)&gt;INDEX(fa_ttc,MATCH(B1218,fa_num,0))-N(INDEX(fa_avoirs,MATCH(B1218,fa_num,0)))+0.001,"Dépasse le montant de la facture","OK")))))))))</f>
        <v/>
      </c>
    </row>
    <row r="1219">
      <c r="A1219" s="61" t="n"/>
      <c r="B1219" s="60" t="n"/>
      <c r="C1219" s="68" t="n"/>
      <c r="D1219" s="60" t="n"/>
      <c r="E1219" s="63" t="n"/>
      <c r="F1219" s="63" t="n"/>
      <c r="G1219" s="62" t="str">
        <f>IF(B1219="","",IFERROR(INDEX(fa_cname,MATCH(B1219,fa_num,0))&amp;"",""))</f>
        <v/>
      </c>
      <c r="H1219" s="59" t="str">
        <f>IF(COUNTA(A1219:F1219)=0,"",IF(A1219="","Date manquante",IF(NOT(ISNUMBER(A1219)),"Date invalide",IF(B1219="","N° de facture manquant",IF(ISNA(MATCH(B1219,fa_num,0)),"Facture inconnue",IF(INDEX(fa_type,MATCH(B1219,fa_num,0))="Avoir","Paiement sur un avoir",IF(OR(NOT(ISNUMBER(C1219)),N(C1219)&lt;=0),"Montant invalide",IF(A1219&lt;INDEX(fa_date,MATCH(B1219,fa_num,0)),"Date antérieure à la facture",IF(SUMIF($B$6:B1219,B1219,$C$6:C1219)&gt;INDEX(fa_ttc,MATCH(B1219,fa_num,0))-N(INDEX(fa_avoirs,MATCH(B1219,fa_num,0)))+0.001,"Dépasse le montant de la facture","OK")))))))))</f>
        <v/>
      </c>
    </row>
    <row r="1220">
      <c r="A1220" s="61" t="n"/>
      <c r="B1220" s="60" t="n"/>
      <c r="C1220" s="68" t="n"/>
      <c r="D1220" s="60" t="n"/>
      <c r="E1220" s="63" t="n"/>
      <c r="F1220" s="63" t="n"/>
      <c r="G1220" s="62" t="str">
        <f>IF(B1220="","",IFERROR(INDEX(fa_cname,MATCH(B1220,fa_num,0))&amp;"",""))</f>
        <v/>
      </c>
      <c r="H1220" s="59" t="str">
        <f>IF(COUNTA(A1220:F1220)=0,"",IF(A1220="","Date manquante",IF(NOT(ISNUMBER(A1220)),"Date invalide",IF(B1220="","N° de facture manquant",IF(ISNA(MATCH(B1220,fa_num,0)),"Facture inconnue",IF(INDEX(fa_type,MATCH(B1220,fa_num,0))="Avoir","Paiement sur un avoir",IF(OR(NOT(ISNUMBER(C1220)),N(C1220)&lt;=0),"Montant invalide",IF(A1220&lt;INDEX(fa_date,MATCH(B1220,fa_num,0)),"Date antérieure à la facture",IF(SUMIF($B$6:B1220,B1220,$C$6:C1220)&gt;INDEX(fa_ttc,MATCH(B1220,fa_num,0))-N(INDEX(fa_avoirs,MATCH(B1220,fa_num,0)))+0.001,"Dépasse le montant de la facture","OK")))))))))</f>
        <v/>
      </c>
    </row>
    <row r="1221">
      <c r="A1221" s="61" t="n"/>
      <c r="B1221" s="60" t="n"/>
      <c r="C1221" s="68" t="n"/>
      <c r="D1221" s="60" t="n"/>
      <c r="E1221" s="63" t="n"/>
      <c r="F1221" s="63" t="n"/>
      <c r="G1221" s="62" t="str">
        <f>IF(B1221="","",IFERROR(INDEX(fa_cname,MATCH(B1221,fa_num,0))&amp;"",""))</f>
        <v/>
      </c>
      <c r="H1221" s="59" t="str">
        <f>IF(COUNTA(A1221:F1221)=0,"",IF(A1221="","Date manquante",IF(NOT(ISNUMBER(A1221)),"Date invalide",IF(B1221="","N° de facture manquant",IF(ISNA(MATCH(B1221,fa_num,0)),"Facture inconnue",IF(INDEX(fa_type,MATCH(B1221,fa_num,0))="Avoir","Paiement sur un avoir",IF(OR(NOT(ISNUMBER(C1221)),N(C1221)&lt;=0),"Montant invalide",IF(A1221&lt;INDEX(fa_date,MATCH(B1221,fa_num,0)),"Date antérieure à la facture",IF(SUMIF($B$6:B1221,B1221,$C$6:C1221)&gt;INDEX(fa_ttc,MATCH(B1221,fa_num,0))-N(INDEX(fa_avoirs,MATCH(B1221,fa_num,0)))+0.001,"Dépasse le montant de la facture","OK")))))))))</f>
        <v/>
      </c>
    </row>
    <row r="1222">
      <c r="A1222" s="61" t="n"/>
      <c r="B1222" s="60" t="n"/>
      <c r="C1222" s="68" t="n"/>
      <c r="D1222" s="60" t="n"/>
      <c r="E1222" s="63" t="n"/>
      <c r="F1222" s="63" t="n"/>
      <c r="G1222" s="62" t="str">
        <f>IF(B1222="","",IFERROR(INDEX(fa_cname,MATCH(B1222,fa_num,0))&amp;"",""))</f>
        <v/>
      </c>
      <c r="H1222" s="59" t="str">
        <f>IF(COUNTA(A1222:F1222)=0,"",IF(A1222="","Date manquante",IF(NOT(ISNUMBER(A1222)),"Date invalide",IF(B1222="","N° de facture manquant",IF(ISNA(MATCH(B1222,fa_num,0)),"Facture inconnue",IF(INDEX(fa_type,MATCH(B1222,fa_num,0))="Avoir","Paiement sur un avoir",IF(OR(NOT(ISNUMBER(C1222)),N(C1222)&lt;=0),"Montant invalide",IF(A1222&lt;INDEX(fa_date,MATCH(B1222,fa_num,0)),"Date antérieure à la facture",IF(SUMIF($B$6:B1222,B1222,$C$6:C1222)&gt;INDEX(fa_ttc,MATCH(B1222,fa_num,0))-N(INDEX(fa_avoirs,MATCH(B1222,fa_num,0)))+0.001,"Dépasse le montant de la facture","OK")))))))))</f>
        <v/>
      </c>
    </row>
    <row r="1223">
      <c r="A1223" s="61" t="n"/>
      <c r="B1223" s="60" t="n"/>
      <c r="C1223" s="68" t="n"/>
      <c r="D1223" s="60" t="n"/>
      <c r="E1223" s="63" t="n"/>
      <c r="F1223" s="63" t="n"/>
      <c r="G1223" s="62" t="str">
        <f>IF(B1223="","",IFERROR(INDEX(fa_cname,MATCH(B1223,fa_num,0))&amp;"",""))</f>
        <v/>
      </c>
      <c r="H1223" s="59" t="str">
        <f>IF(COUNTA(A1223:F1223)=0,"",IF(A1223="","Date manquante",IF(NOT(ISNUMBER(A1223)),"Date invalide",IF(B1223="","N° de facture manquant",IF(ISNA(MATCH(B1223,fa_num,0)),"Facture inconnue",IF(INDEX(fa_type,MATCH(B1223,fa_num,0))="Avoir","Paiement sur un avoir",IF(OR(NOT(ISNUMBER(C1223)),N(C1223)&lt;=0),"Montant invalide",IF(A1223&lt;INDEX(fa_date,MATCH(B1223,fa_num,0)),"Date antérieure à la facture",IF(SUMIF($B$6:B1223,B1223,$C$6:C1223)&gt;INDEX(fa_ttc,MATCH(B1223,fa_num,0))-N(INDEX(fa_avoirs,MATCH(B1223,fa_num,0)))+0.001,"Dépasse le montant de la facture","OK")))))))))</f>
        <v/>
      </c>
    </row>
    <row r="1224">
      <c r="A1224" s="61" t="n"/>
      <c r="B1224" s="60" t="n"/>
      <c r="C1224" s="68" t="n"/>
      <c r="D1224" s="60" t="n"/>
      <c r="E1224" s="63" t="n"/>
      <c r="F1224" s="63" t="n"/>
      <c r="G1224" s="62" t="str">
        <f>IF(B1224="","",IFERROR(INDEX(fa_cname,MATCH(B1224,fa_num,0))&amp;"",""))</f>
        <v/>
      </c>
      <c r="H1224" s="59" t="str">
        <f>IF(COUNTA(A1224:F1224)=0,"",IF(A1224="","Date manquante",IF(NOT(ISNUMBER(A1224)),"Date invalide",IF(B1224="","N° de facture manquant",IF(ISNA(MATCH(B1224,fa_num,0)),"Facture inconnue",IF(INDEX(fa_type,MATCH(B1224,fa_num,0))="Avoir","Paiement sur un avoir",IF(OR(NOT(ISNUMBER(C1224)),N(C1224)&lt;=0),"Montant invalide",IF(A1224&lt;INDEX(fa_date,MATCH(B1224,fa_num,0)),"Date antérieure à la facture",IF(SUMIF($B$6:B1224,B1224,$C$6:C1224)&gt;INDEX(fa_ttc,MATCH(B1224,fa_num,0))-N(INDEX(fa_avoirs,MATCH(B1224,fa_num,0)))+0.001,"Dépasse le montant de la facture","OK")))))))))</f>
        <v/>
      </c>
    </row>
    <row r="1225">
      <c r="A1225" s="61" t="n"/>
      <c r="B1225" s="60" t="n"/>
      <c r="C1225" s="68" t="n"/>
      <c r="D1225" s="60" t="n"/>
      <c r="E1225" s="63" t="n"/>
      <c r="F1225" s="63" t="n"/>
      <c r="G1225" s="62" t="str">
        <f>IF(B1225="","",IFERROR(INDEX(fa_cname,MATCH(B1225,fa_num,0))&amp;"",""))</f>
        <v/>
      </c>
      <c r="H1225" s="59" t="str">
        <f>IF(COUNTA(A1225:F1225)=0,"",IF(A1225="","Date manquante",IF(NOT(ISNUMBER(A1225)),"Date invalide",IF(B1225="","N° de facture manquant",IF(ISNA(MATCH(B1225,fa_num,0)),"Facture inconnue",IF(INDEX(fa_type,MATCH(B1225,fa_num,0))="Avoir","Paiement sur un avoir",IF(OR(NOT(ISNUMBER(C1225)),N(C1225)&lt;=0),"Montant invalide",IF(A1225&lt;INDEX(fa_date,MATCH(B1225,fa_num,0)),"Date antérieure à la facture",IF(SUMIF($B$6:B1225,B1225,$C$6:C1225)&gt;INDEX(fa_ttc,MATCH(B1225,fa_num,0))-N(INDEX(fa_avoirs,MATCH(B1225,fa_num,0)))+0.001,"Dépasse le montant de la facture","OK")))))))))</f>
        <v/>
      </c>
    </row>
    <row r="1226">
      <c r="A1226" s="61" t="n"/>
      <c r="B1226" s="60" t="n"/>
      <c r="C1226" s="68" t="n"/>
      <c r="D1226" s="60" t="n"/>
      <c r="E1226" s="63" t="n"/>
      <c r="F1226" s="63" t="n"/>
      <c r="G1226" s="62" t="str">
        <f>IF(B1226="","",IFERROR(INDEX(fa_cname,MATCH(B1226,fa_num,0))&amp;"",""))</f>
        <v/>
      </c>
      <c r="H1226" s="59" t="str">
        <f>IF(COUNTA(A1226:F1226)=0,"",IF(A1226="","Date manquante",IF(NOT(ISNUMBER(A1226)),"Date invalide",IF(B1226="","N° de facture manquant",IF(ISNA(MATCH(B1226,fa_num,0)),"Facture inconnue",IF(INDEX(fa_type,MATCH(B1226,fa_num,0))="Avoir","Paiement sur un avoir",IF(OR(NOT(ISNUMBER(C1226)),N(C1226)&lt;=0),"Montant invalide",IF(A1226&lt;INDEX(fa_date,MATCH(B1226,fa_num,0)),"Date antérieure à la facture",IF(SUMIF($B$6:B1226,B1226,$C$6:C1226)&gt;INDEX(fa_ttc,MATCH(B1226,fa_num,0))-N(INDEX(fa_avoirs,MATCH(B1226,fa_num,0)))+0.001,"Dépasse le montant de la facture","OK")))))))))</f>
        <v/>
      </c>
    </row>
    <row r="1227">
      <c r="A1227" s="61" t="n"/>
      <c r="B1227" s="60" t="n"/>
      <c r="C1227" s="68" t="n"/>
      <c r="D1227" s="60" t="n"/>
      <c r="E1227" s="63" t="n"/>
      <c r="F1227" s="63" t="n"/>
      <c r="G1227" s="62" t="str">
        <f>IF(B1227="","",IFERROR(INDEX(fa_cname,MATCH(B1227,fa_num,0))&amp;"",""))</f>
        <v/>
      </c>
      <c r="H1227" s="59" t="str">
        <f>IF(COUNTA(A1227:F1227)=0,"",IF(A1227="","Date manquante",IF(NOT(ISNUMBER(A1227)),"Date invalide",IF(B1227="","N° de facture manquant",IF(ISNA(MATCH(B1227,fa_num,0)),"Facture inconnue",IF(INDEX(fa_type,MATCH(B1227,fa_num,0))="Avoir","Paiement sur un avoir",IF(OR(NOT(ISNUMBER(C1227)),N(C1227)&lt;=0),"Montant invalide",IF(A1227&lt;INDEX(fa_date,MATCH(B1227,fa_num,0)),"Date antérieure à la facture",IF(SUMIF($B$6:B1227,B1227,$C$6:C1227)&gt;INDEX(fa_ttc,MATCH(B1227,fa_num,0))-N(INDEX(fa_avoirs,MATCH(B1227,fa_num,0)))+0.001,"Dépasse le montant de la facture","OK")))))))))</f>
        <v/>
      </c>
    </row>
    <row r="1228">
      <c r="A1228" s="61" t="n"/>
      <c r="B1228" s="60" t="n"/>
      <c r="C1228" s="68" t="n"/>
      <c r="D1228" s="60" t="n"/>
      <c r="E1228" s="63" t="n"/>
      <c r="F1228" s="63" t="n"/>
      <c r="G1228" s="62" t="str">
        <f>IF(B1228="","",IFERROR(INDEX(fa_cname,MATCH(B1228,fa_num,0))&amp;"",""))</f>
        <v/>
      </c>
      <c r="H1228" s="59" t="str">
        <f>IF(COUNTA(A1228:F1228)=0,"",IF(A1228="","Date manquante",IF(NOT(ISNUMBER(A1228)),"Date invalide",IF(B1228="","N° de facture manquant",IF(ISNA(MATCH(B1228,fa_num,0)),"Facture inconnue",IF(INDEX(fa_type,MATCH(B1228,fa_num,0))="Avoir","Paiement sur un avoir",IF(OR(NOT(ISNUMBER(C1228)),N(C1228)&lt;=0),"Montant invalide",IF(A1228&lt;INDEX(fa_date,MATCH(B1228,fa_num,0)),"Date antérieure à la facture",IF(SUMIF($B$6:B1228,B1228,$C$6:C1228)&gt;INDEX(fa_ttc,MATCH(B1228,fa_num,0))-N(INDEX(fa_avoirs,MATCH(B1228,fa_num,0)))+0.001,"Dépasse le montant de la facture","OK")))))))))</f>
        <v/>
      </c>
    </row>
    <row r="1229">
      <c r="A1229" s="61" t="n"/>
      <c r="B1229" s="60" t="n"/>
      <c r="C1229" s="68" t="n"/>
      <c r="D1229" s="60" t="n"/>
      <c r="E1229" s="63" t="n"/>
      <c r="F1229" s="63" t="n"/>
      <c r="G1229" s="62" t="str">
        <f>IF(B1229="","",IFERROR(INDEX(fa_cname,MATCH(B1229,fa_num,0))&amp;"",""))</f>
        <v/>
      </c>
      <c r="H1229" s="59" t="str">
        <f>IF(COUNTA(A1229:F1229)=0,"",IF(A1229="","Date manquante",IF(NOT(ISNUMBER(A1229)),"Date invalide",IF(B1229="","N° de facture manquant",IF(ISNA(MATCH(B1229,fa_num,0)),"Facture inconnue",IF(INDEX(fa_type,MATCH(B1229,fa_num,0))="Avoir","Paiement sur un avoir",IF(OR(NOT(ISNUMBER(C1229)),N(C1229)&lt;=0),"Montant invalide",IF(A1229&lt;INDEX(fa_date,MATCH(B1229,fa_num,0)),"Date antérieure à la facture",IF(SUMIF($B$6:B1229,B1229,$C$6:C1229)&gt;INDEX(fa_ttc,MATCH(B1229,fa_num,0))-N(INDEX(fa_avoirs,MATCH(B1229,fa_num,0)))+0.001,"Dépasse le montant de la facture","OK")))))))))</f>
        <v/>
      </c>
    </row>
    <row r="1230">
      <c r="A1230" s="61" t="n"/>
      <c r="B1230" s="60" t="n"/>
      <c r="C1230" s="68" t="n"/>
      <c r="D1230" s="60" t="n"/>
      <c r="E1230" s="63" t="n"/>
      <c r="F1230" s="63" t="n"/>
      <c r="G1230" s="62" t="str">
        <f>IF(B1230="","",IFERROR(INDEX(fa_cname,MATCH(B1230,fa_num,0))&amp;"",""))</f>
        <v/>
      </c>
      <c r="H1230" s="59" t="str">
        <f>IF(COUNTA(A1230:F1230)=0,"",IF(A1230="","Date manquante",IF(NOT(ISNUMBER(A1230)),"Date invalide",IF(B1230="","N° de facture manquant",IF(ISNA(MATCH(B1230,fa_num,0)),"Facture inconnue",IF(INDEX(fa_type,MATCH(B1230,fa_num,0))="Avoir","Paiement sur un avoir",IF(OR(NOT(ISNUMBER(C1230)),N(C1230)&lt;=0),"Montant invalide",IF(A1230&lt;INDEX(fa_date,MATCH(B1230,fa_num,0)),"Date antérieure à la facture",IF(SUMIF($B$6:B1230,B1230,$C$6:C1230)&gt;INDEX(fa_ttc,MATCH(B1230,fa_num,0))-N(INDEX(fa_avoirs,MATCH(B1230,fa_num,0)))+0.001,"Dépasse le montant de la facture","OK")))))))))</f>
        <v/>
      </c>
    </row>
    <row r="1231">
      <c r="A1231" s="61" t="n"/>
      <c r="B1231" s="60" t="n"/>
      <c r="C1231" s="68" t="n"/>
      <c r="D1231" s="60" t="n"/>
      <c r="E1231" s="63" t="n"/>
      <c r="F1231" s="63" t="n"/>
      <c r="G1231" s="62" t="str">
        <f>IF(B1231="","",IFERROR(INDEX(fa_cname,MATCH(B1231,fa_num,0))&amp;"",""))</f>
        <v/>
      </c>
      <c r="H1231" s="59" t="str">
        <f>IF(COUNTA(A1231:F1231)=0,"",IF(A1231="","Date manquante",IF(NOT(ISNUMBER(A1231)),"Date invalide",IF(B1231="","N° de facture manquant",IF(ISNA(MATCH(B1231,fa_num,0)),"Facture inconnue",IF(INDEX(fa_type,MATCH(B1231,fa_num,0))="Avoir","Paiement sur un avoir",IF(OR(NOT(ISNUMBER(C1231)),N(C1231)&lt;=0),"Montant invalide",IF(A1231&lt;INDEX(fa_date,MATCH(B1231,fa_num,0)),"Date antérieure à la facture",IF(SUMIF($B$6:B1231,B1231,$C$6:C1231)&gt;INDEX(fa_ttc,MATCH(B1231,fa_num,0))-N(INDEX(fa_avoirs,MATCH(B1231,fa_num,0)))+0.001,"Dépasse le montant de la facture","OK")))))))))</f>
        <v/>
      </c>
    </row>
    <row r="1232">
      <c r="A1232" s="61" t="n"/>
      <c r="B1232" s="60" t="n"/>
      <c r="C1232" s="68" t="n"/>
      <c r="D1232" s="60" t="n"/>
      <c r="E1232" s="63" t="n"/>
      <c r="F1232" s="63" t="n"/>
      <c r="G1232" s="62" t="str">
        <f>IF(B1232="","",IFERROR(INDEX(fa_cname,MATCH(B1232,fa_num,0))&amp;"",""))</f>
        <v/>
      </c>
      <c r="H1232" s="59" t="str">
        <f>IF(COUNTA(A1232:F1232)=0,"",IF(A1232="","Date manquante",IF(NOT(ISNUMBER(A1232)),"Date invalide",IF(B1232="","N° de facture manquant",IF(ISNA(MATCH(B1232,fa_num,0)),"Facture inconnue",IF(INDEX(fa_type,MATCH(B1232,fa_num,0))="Avoir","Paiement sur un avoir",IF(OR(NOT(ISNUMBER(C1232)),N(C1232)&lt;=0),"Montant invalide",IF(A1232&lt;INDEX(fa_date,MATCH(B1232,fa_num,0)),"Date antérieure à la facture",IF(SUMIF($B$6:B1232,B1232,$C$6:C1232)&gt;INDEX(fa_ttc,MATCH(B1232,fa_num,0))-N(INDEX(fa_avoirs,MATCH(B1232,fa_num,0)))+0.001,"Dépasse le montant de la facture","OK")))))))))</f>
        <v/>
      </c>
    </row>
    <row r="1233">
      <c r="A1233" s="61" t="n"/>
      <c r="B1233" s="60" t="n"/>
      <c r="C1233" s="68" t="n"/>
      <c r="D1233" s="60" t="n"/>
      <c r="E1233" s="63" t="n"/>
      <c r="F1233" s="63" t="n"/>
      <c r="G1233" s="62" t="str">
        <f>IF(B1233="","",IFERROR(INDEX(fa_cname,MATCH(B1233,fa_num,0))&amp;"",""))</f>
        <v/>
      </c>
      <c r="H1233" s="59" t="str">
        <f>IF(COUNTA(A1233:F1233)=0,"",IF(A1233="","Date manquante",IF(NOT(ISNUMBER(A1233)),"Date invalide",IF(B1233="","N° de facture manquant",IF(ISNA(MATCH(B1233,fa_num,0)),"Facture inconnue",IF(INDEX(fa_type,MATCH(B1233,fa_num,0))="Avoir","Paiement sur un avoir",IF(OR(NOT(ISNUMBER(C1233)),N(C1233)&lt;=0),"Montant invalide",IF(A1233&lt;INDEX(fa_date,MATCH(B1233,fa_num,0)),"Date antérieure à la facture",IF(SUMIF($B$6:B1233,B1233,$C$6:C1233)&gt;INDEX(fa_ttc,MATCH(B1233,fa_num,0))-N(INDEX(fa_avoirs,MATCH(B1233,fa_num,0)))+0.001,"Dépasse le montant de la facture","OK")))))))))</f>
        <v/>
      </c>
    </row>
    <row r="1234">
      <c r="A1234" s="61" t="n"/>
      <c r="B1234" s="60" t="n"/>
      <c r="C1234" s="68" t="n"/>
      <c r="D1234" s="60" t="n"/>
      <c r="E1234" s="63" t="n"/>
      <c r="F1234" s="63" t="n"/>
      <c r="G1234" s="62" t="str">
        <f>IF(B1234="","",IFERROR(INDEX(fa_cname,MATCH(B1234,fa_num,0))&amp;"",""))</f>
        <v/>
      </c>
      <c r="H1234" s="59" t="str">
        <f>IF(COUNTA(A1234:F1234)=0,"",IF(A1234="","Date manquante",IF(NOT(ISNUMBER(A1234)),"Date invalide",IF(B1234="","N° de facture manquant",IF(ISNA(MATCH(B1234,fa_num,0)),"Facture inconnue",IF(INDEX(fa_type,MATCH(B1234,fa_num,0))="Avoir","Paiement sur un avoir",IF(OR(NOT(ISNUMBER(C1234)),N(C1234)&lt;=0),"Montant invalide",IF(A1234&lt;INDEX(fa_date,MATCH(B1234,fa_num,0)),"Date antérieure à la facture",IF(SUMIF($B$6:B1234,B1234,$C$6:C1234)&gt;INDEX(fa_ttc,MATCH(B1234,fa_num,0))-N(INDEX(fa_avoirs,MATCH(B1234,fa_num,0)))+0.001,"Dépasse le montant de la facture","OK")))))))))</f>
        <v/>
      </c>
    </row>
    <row r="1235">
      <c r="A1235" s="61" t="n"/>
      <c r="B1235" s="60" t="n"/>
      <c r="C1235" s="68" t="n"/>
      <c r="D1235" s="60" t="n"/>
      <c r="E1235" s="63" t="n"/>
      <c r="F1235" s="63" t="n"/>
      <c r="G1235" s="62" t="str">
        <f>IF(B1235="","",IFERROR(INDEX(fa_cname,MATCH(B1235,fa_num,0))&amp;"",""))</f>
        <v/>
      </c>
      <c r="H1235" s="59" t="str">
        <f>IF(COUNTA(A1235:F1235)=0,"",IF(A1235="","Date manquante",IF(NOT(ISNUMBER(A1235)),"Date invalide",IF(B1235="","N° de facture manquant",IF(ISNA(MATCH(B1235,fa_num,0)),"Facture inconnue",IF(INDEX(fa_type,MATCH(B1235,fa_num,0))="Avoir","Paiement sur un avoir",IF(OR(NOT(ISNUMBER(C1235)),N(C1235)&lt;=0),"Montant invalide",IF(A1235&lt;INDEX(fa_date,MATCH(B1235,fa_num,0)),"Date antérieure à la facture",IF(SUMIF($B$6:B1235,B1235,$C$6:C1235)&gt;INDEX(fa_ttc,MATCH(B1235,fa_num,0))-N(INDEX(fa_avoirs,MATCH(B1235,fa_num,0)))+0.001,"Dépasse le montant de la facture","OK")))))))))</f>
        <v/>
      </c>
    </row>
    <row r="1236">
      <c r="A1236" s="61" t="n"/>
      <c r="B1236" s="60" t="n"/>
      <c r="C1236" s="68" t="n"/>
      <c r="D1236" s="60" t="n"/>
      <c r="E1236" s="63" t="n"/>
      <c r="F1236" s="63" t="n"/>
      <c r="G1236" s="62" t="str">
        <f>IF(B1236="","",IFERROR(INDEX(fa_cname,MATCH(B1236,fa_num,0))&amp;"",""))</f>
        <v/>
      </c>
      <c r="H1236" s="59" t="str">
        <f>IF(COUNTA(A1236:F1236)=0,"",IF(A1236="","Date manquante",IF(NOT(ISNUMBER(A1236)),"Date invalide",IF(B1236="","N° de facture manquant",IF(ISNA(MATCH(B1236,fa_num,0)),"Facture inconnue",IF(INDEX(fa_type,MATCH(B1236,fa_num,0))="Avoir","Paiement sur un avoir",IF(OR(NOT(ISNUMBER(C1236)),N(C1236)&lt;=0),"Montant invalide",IF(A1236&lt;INDEX(fa_date,MATCH(B1236,fa_num,0)),"Date antérieure à la facture",IF(SUMIF($B$6:B1236,B1236,$C$6:C1236)&gt;INDEX(fa_ttc,MATCH(B1236,fa_num,0))-N(INDEX(fa_avoirs,MATCH(B1236,fa_num,0)))+0.001,"Dépasse le montant de la facture","OK")))))))))</f>
        <v/>
      </c>
    </row>
    <row r="1237">
      <c r="A1237" s="61" t="n"/>
      <c r="B1237" s="60" t="n"/>
      <c r="C1237" s="68" t="n"/>
      <c r="D1237" s="60" t="n"/>
      <c r="E1237" s="63" t="n"/>
      <c r="F1237" s="63" t="n"/>
      <c r="G1237" s="62" t="str">
        <f>IF(B1237="","",IFERROR(INDEX(fa_cname,MATCH(B1237,fa_num,0))&amp;"",""))</f>
        <v/>
      </c>
      <c r="H1237" s="59" t="str">
        <f>IF(COUNTA(A1237:F1237)=0,"",IF(A1237="","Date manquante",IF(NOT(ISNUMBER(A1237)),"Date invalide",IF(B1237="","N° de facture manquant",IF(ISNA(MATCH(B1237,fa_num,0)),"Facture inconnue",IF(INDEX(fa_type,MATCH(B1237,fa_num,0))="Avoir","Paiement sur un avoir",IF(OR(NOT(ISNUMBER(C1237)),N(C1237)&lt;=0),"Montant invalide",IF(A1237&lt;INDEX(fa_date,MATCH(B1237,fa_num,0)),"Date antérieure à la facture",IF(SUMIF($B$6:B1237,B1237,$C$6:C1237)&gt;INDEX(fa_ttc,MATCH(B1237,fa_num,0))-N(INDEX(fa_avoirs,MATCH(B1237,fa_num,0)))+0.001,"Dépasse le montant de la facture","OK")))))))))</f>
        <v/>
      </c>
    </row>
    <row r="1238">
      <c r="A1238" s="61" t="n"/>
      <c r="B1238" s="60" t="n"/>
      <c r="C1238" s="68" t="n"/>
      <c r="D1238" s="60" t="n"/>
      <c r="E1238" s="63" t="n"/>
      <c r="F1238" s="63" t="n"/>
      <c r="G1238" s="62" t="str">
        <f>IF(B1238="","",IFERROR(INDEX(fa_cname,MATCH(B1238,fa_num,0))&amp;"",""))</f>
        <v/>
      </c>
      <c r="H1238" s="59" t="str">
        <f>IF(COUNTA(A1238:F1238)=0,"",IF(A1238="","Date manquante",IF(NOT(ISNUMBER(A1238)),"Date invalide",IF(B1238="","N° de facture manquant",IF(ISNA(MATCH(B1238,fa_num,0)),"Facture inconnue",IF(INDEX(fa_type,MATCH(B1238,fa_num,0))="Avoir","Paiement sur un avoir",IF(OR(NOT(ISNUMBER(C1238)),N(C1238)&lt;=0),"Montant invalide",IF(A1238&lt;INDEX(fa_date,MATCH(B1238,fa_num,0)),"Date antérieure à la facture",IF(SUMIF($B$6:B1238,B1238,$C$6:C1238)&gt;INDEX(fa_ttc,MATCH(B1238,fa_num,0))-N(INDEX(fa_avoirs,MATCH(B1238,fa_num,0)))+0.001,"Dépasse le montant de la facture","OK")))))))))</f>
        <v/>
      </c>
    </row>
    <row r="1239">
      <c r="A1239" s="61" t="n"/>
      <c r="B1239" s="60" t="n"/>
      <c r="C1239" s="68" t="n"/>
      <c r="D1239" s="60" t="n"/>
      <c r="E1239" s="63" t="n"/>
      <c r="F1239" s="63" t="n"/>
      <c r="G1239" s="62" t="str">
        <f>IF(B1239="","",IFERROR(INDEX(fa_cname,MATCH(B1239,fa_num,0))&amp;"",""))</f>
        <v/>
      </c>
      <c r="H1239" s="59" t="str">
        <f>IF(COUNTA(A1239:F1239)=0,"",IF(A1239="","Date manquante",IF(NOT(ISNUMBER(A1239)),"Date invalide",IF(B1239="","N° de facture manquant",IF(ISNA(MATCH(B1239,fa_num,0)),"Facture inconnue",IF(INDEX(fa_type,MATCH(B1239,fa_num,0))="Avoir","Paiement sur un avoir",IF(OR(NOT(ISNUMBER(C1239)),N(C1239)&lt;=0),"Montant invalide",IF(A1239&lt;INDEX(fa_date,MATCH(B1239,fa_num,0)),"Date antérieure à la facture",IF(SUMIF($B$6:B1239,B1239,$C$6:C1239)&gt;INDEX(fa_ttc,MATCH(B1239,fa_num,0))-N(INDEX(fa_avoirs,MATCH(B1239,fa_num,0)))+0.001,"Dépasse le montant de la facture","OK")))))))))</f>
        <v/>
      </c>
    </row>
    <row r="1240">
      <c r="A1240" s="61" t="n"/>
      <c r="B1240" s="60" t="n"/>
      <c r="C1240" s="68" t="n"/>
      <c r="D1240" s="60" t="n"/>
      <c r="E1240" s="63" t="n"/>
      <c r="F1240" s="63" t="n"/>
      <c r="G1240" s="62" t="str">
        <f>IF(B1240="","",IFERROR(INDEX(fa_cname,MATCH(B1240,fa_num,0))&amp;"",""))</f>
        <v/>
      </c>
      <c r="H1240" s="59" t="str">
        <f>IF(COUNTA(A1240:F1240)=0,"",IF(A1240="","Date manquante",IF(NOT(ISNUMBER(A1240)),"Date invalide",IF(B1240="","N° de facture manquant",IF(ISNA(MATCH(B1240,fa_num,0)),"Facture inconnue",IF(INDEX(fa_type,MATCH(B1240,fa_num,0))="Avoir","Paiement sur un avoir",IF(OR(NOT(ISNUMBER(C1240)),N(C1240)&lt;=0),"Montant invalide",IF(A1240&lt;INDEX(fa_date,MATCH(B1240,fa_num,0)),"Date antérieure à la facture",IF(SUMIF($B$6:B1240,B1240,$C$6:C1240)&gt;INDEX(fa_ttc,MATCH(B1240,fa_num,0))-N(INDEX(fa_avoirs,MATCH(B1240,fa_num,0)))+0.001,"Dépasse le montant de la facture","OK")))))))))</f>
        <v/>
      </c>
    </row>
    <row r="1241">
      <c r="A1241" s="61" t="n"/>
      <c r="B1241" s="60" t="n"/>
      <c r="C1241" s="68" t="n"/>
      <c r="D1241" s="60" t="n"/>
      <c r="E1241" s="63" t="n"/>
      <c r="F1241" s="63" t="n"/>
      <c r="G1241" s="62" t="str">
        <f>IF(B1241="","",IFERROR(INDEX(fa_cname,MATCH(B1241,fa_num,0))&amp;"",""))</f>
        <v/>
      </c>
      <c r="H1241" s="59" t="str">
        <f>IF(COUNTA(A1241:F1241)=0,"",IF(A1241="","Date manquante",IF(NOT(ISNUMBER(A1241)),"Date invalide",IF(B1241="","N° de facture manquant",IF(ISNA(MATCH(B1241,fa_num,0)),"Facture inconnue",IF(INDEX(fa_type,MATCH(B1241,fa_num,0))="Avoir","Paiement sur un avoir",IF(OR(NOT(ISNUMBER(C1241)),N(C1241)&lt;=0),"Montant invalide",IF(A1241&lt;INDEX(fa_date,MATCH(B1241,fa_num,0)),"Date antérieure à la facture",IF(SUMIF($B$6:B1241,B1241,$C$6:C1241)&gt;INDEX(fa_ttc,MATCH(B1241,fa_num,0))-N(INDEX(fa_avoirs,MATCH(B1241,fa_num,0)))+0.001,"Dépasse le montant de la facture","OK")))))))))</f>
        <v/>
      </c>
    </row>
    <row r="1242">
      <c r="A1242" s="61" t="n"/>
      <c r="B1242" s="60" t="n"/>
      <c r="C1242" s="68" t="n"/>
      <c r="D1242" s="60" t="n"/>
      <c r="E1242" s="63" t="n"/>
      <c r="F1242" s="63" t="n"/>
      <c r="G1242" s="62" t="str">
        <f>IF(B1242="","",IFERROR(INDEX(fa_cname,MATCH(B1242,fa_num,0))&amp;"",""))</f>
        <v/>
      </c>
      <c r="H1242" s="59" t="str">
        <f>IF(COUNTA(A1242:F1242)=0,"",IF(A1242="","Date manquante",IF(NOT(ISNUMBER(A1242)),"Date invalide",IF(B1242="","N° de facture manquant",IF(ISNA(MATCH(B1242,fa_num,0)),"Facture inconnue",IF(INDEX(fa_type,MATCH(B1242,fa_num,0))="Avoir","Paiement sur un avoir",IF(OR(NOT(ISNUMBER(C1242)),N(C1242)&lt;=0),"Montant invalide",IF(A1242&lt;INDEX(fa_date,MATCH(B1242,fa_num,0)),"Date antérieure à la facture",IF(SUMIF($B$6:B1242,B1242,$C$6:C1242)&gt;INDEX(fa_ttc,MATCH(B1242,fa_num,0))-N(INDEX(fa_avoirs,MATCH(B1242,fa_num,0)))+0.001,"Dépasse le montant de la facture","OK")))))))))</f>
        <v/>
      </c>
    </row>
    <row r="1243">
      <c r="A1243" s="61" t="n"/>
      <c r="B1243" s="60" t="n"/>
      <c r="C1243" s="68" t="n"/>
      <c r="D1243" s="60" t="n"/>
      <c r="E1243" s="63" t="n"/>
      <c r="F1243" s="63" t="n"/>
      <c r="G1243" s="62" t="str">
        <f>IF(B1243="","",IFERROR(INDEX(fa_cname,MATCH(B1243,fa_num,0))&amp;"",""))</f>
        <v/>
      </c>
      <c r="H1243" s="59" t="str">
        <f>IF(COUNTA(A1243:F1243)=0,"",IF(A1243="","Date manquante",IF(NOT(ISNUMBER(A1243)),"Date invalide",IF(B1243="","N° de facture manquant",IF(ISNA(MATCH(B1243,fa_num,0)),"Facture inconnue",IF(INDEX(fa_type,MATCH(B1243,fa_num,0))="Avoir","Paiement sur un avoir",IF(OR(NOT(ISNUMBER(C1243)),N(C1243)&lt;=0),"Montant invalide",IF(A1243&lt;INDEX(fa_date,MATCH(B1243,fa_num,0)),"Date antérieure à la facture",IF(SUMIF($B$6:B1243,B1243,$C$6:C1243)&gt;INDEX(fa_ttc,MATCH(B1243,fa_num,0))-N(INDEX(fa_avoirs,MATCH(B1243,fa_num,0)))+0.001,"Dépasse le montant de la facture","OK")))))))))</f>
        <v/>
      </c>
    </row>
    <row r="1244">
      <c r="A1244" s="61" t="n"/>
      <c r="B1244" s="60" t="n"/>
      <c r="C1244" s="68" t="n"/>
      <c r="D1244" s="60" t="n"/>
      <c r="E1244" s="63" t="n"/>
      <c r="F1244" s="63" t="n"/>
      <c r="G1244" s="62" t="str">
        <f>IF(B1244="","",IFERROR(INDEX(fa_cname,MATCH(B1244,fa_num,0))&amp;"",""))</f>
        <v/>
      </c>
      <c r="H1244" s="59" t="str">
        <f>IF(COUNTA(A1244:F1244)=0,"",IF(A1244="","Date manquante",IF(NOT(ISNUMBER(A1244)),"Date invalide",IF(B1244="","N° de facture manquant",IF(ISNA(MATCH(B1244,fa_num,0)),"Facture inconnue",IF(INDEX(fa_type,MATCH(B1244,fa_num,0))="Avoir","Paiement sur un avoir",IF(OR(NOT(ISNUMBER(C1244)),N(C1244)&lt;=0),"Montant invalide",IF(A1244&lt;INDEX(fa_date,MATCH(B1244,fa_num,0)),"Date antérieure à la facture",IF(SUMIF($B$6:B1244,B1244,$C$6:C1244)&gt;INDEX(fa_ttc,MATCH(B1244,fa_num,0))-N(INDEX(fa_avoirs,MATCH(B1244,fa_num,0)))+0.001,"Dépasse le montant de la facture","OK")))))))))</f>
        <v/>
      </c>
    </row>
    <row r="1245">
      <c r="A1245" s="61" t="n"/>
      <c r="B1245" s="60" t="n"/>
      <c r="C1245" s="68" t="n"/>
      <c r="D1245" s="60" t="n"/>
      <c r="E1245" s="63" t="n"/>
      <c r="F1245" s="63" t="n"/>
      <c r="G1245" s="62" t="str">
        <f>IF(B1245="","",IFERROR(INDEX(fa_cname,MATCH(B1245,fa_num,0))&amp;"",""))</f>
        <v/>
      </c>
      <c r="H1245" s="59" t="str">
        <f>IF(COUNTA(A1245:F1245)=0,"",IF(A1245="","Date manquante",IF(NOT(ISNUMBER(A1245)),"Date invalide",IF(B1245="","N° de facture manquant",IF(ISNA(MATCH(B1245,fa_num,0)),"Facture inconnue",IF(INDEX(fa_type,MATCH(B1245,fa_num,0))="Avoir","Paiement sur un avoir",IF(OR(NOT(ISNUMBER(C1245)),N(C1245)&lt;=0),"Montant invalide",IF(A1245&lt;INDEX(fa_date,MATCH(B1245,fa_num,0)),"Date antérieure à la facture",IF(SUMIF($B$6:B1245,B1245,$C$6:C1245)&gt;INDEX(fa_ttc,MATCH(B1245,fa_num,0))-N(INDEX(fa_avoirs,MATCH(B1245,fa_num,0)))+0.001,"Dépasse le montant de la facture","OK")))))))))</f>
        <v/>
      </c>
    </row>
    <row r="1246">
      <c r="A1246" s="61" t="n"/>
      <c r="B1246" s="60" t="n"/>
      <c r="C1246" s="68" t="n"/>
      <c r="D1246" s="60" t="n"/>
      <c r="E1246" s="63" t="n"/>
      <c r="F1246" s="63" t="n"/>
      <c r="G1246" s="62" t="str">
        <f>IF(B1246="","",IFERROR(INDEX(fa_cname,MATCH(B1246,fa_num,0))&amp;"",""))</f>
        <v/>
      </c>
      <c r="H1246" s="59" t="str">
        <f>IF(COUNTA(A1246:F1246)=0,"",IF(A1246="","Date manquante",IF(NOT(ISNUMBER(A1246)),"Date invalide",IF(B1246="","N° de facture manquant",IF(ISNA(MATCH(B1246,fa_num,0)),"Facture inconnue",IF(INDEX(fa_type,MATCH(B1246,fa_num,0))="Avoir","Paiement sur un avoir",IF(OR(NOT(ISNUMBER(C1246)),N(C1246)&lt;=0),"Montant invalide",IF(A1246&lt;INDEX(fa_date,MATCH(B1246,fa_num,0)),"Date antérieure à la facture",IF(SUMIF($B$6:B1246,B1246,$C$6:C1246)&gt;INDEX(fa_ttc,MATCH(B1246,fa_num,0))-N(INDEX(fa_avoirs,MATCH(B1246,fa_num,0)))+0.001,"Dépasse le montant de la facture","OK")))))))))</f>
        <v/>
      </c>
    </row>
    <row r="1247">
      <c r="A1247" s="61" t="n"/>
      <c r="B1247" s="60" t="n"/>
      <c r="C1247" s="68" t="n"/>
      <c r="D1247" s="60" t="n"/>
      <c r="E1247" s="63" t="n"/>
      <c r="F1247" s="63" t="n"/>
      <c r="G1247" s="62" t="str">
        <f>IF(B1247="","",IFERROR(INDEX(fa_cname,MATCH(B1247,fa_num,0))&amp;"",""))</f>
        <v/>
      </c>
      <c r="H1247" s="59" t="str">
        <f>IF(COUNTA(A1247:F1247)=0,"",IF(A1247="","Date manquante",IF(NOT(ISNUMBER(A1247)),"Date invalide",IF(B1247="","N° de facture manquant",IF(ISNA(MATCH(B1247,fa_num,0)),"Facture inconnue",IF(INDEX(fa_type,MATCH(B1247,fa_num,0))="Avoir","Paiement sur un avoir",IF(OR(NOT(ISNUMBER(C1247)),N(C1247)&lt;=0),"Montant invalide",IF(A1247&lt;INDEX(fa_date,MATCH(B1247,fa_num,0)),"Date antérieure à la facture",IF(SUMIF($B$6:B1247,B1247,$C$6:C1247)&gt;INDEX(fa_ttc,MATCH(B1247,fa_num,0))-N(INDEX(fa_avoirs,MATCH(B1247,fa_num,0)))+0.001,"Dépasse le montant de la facture","OK")))))))))</f>
        <v/>
      </c>
    </row>
    <row r="1248">
      <c r="A1248" s="61" t="n"/>
      <c r="B1248" s="60" t="n"/>
      <c r="C1248" s="68" t="n"/>
      <c r="D1248" s="60" t="n"/>
      <c r="E1248" s="63" t="n"/>
      <c r="F1248" s="63" t="n"/>
      <c r="G1248" s="62" t="str">
        <f>IF(B1248="","",IFERROR(INDEX(fa_cname,MATCH(B1248,fa_num,0))&amp;"",""))</f>
        <v/>
      </c>
      <c r="H1248" s="59" t="str">
        <f>IF(COUNTA(A1248:F1248)=0,"",IF(A1248="","Date manquante",IF(NOT(ISNUMBER(A1248)),"Date invalide",IF(B1248="","N° de facture manquant",IF(ISNA(MATCH(B1248,fa_num,0)),"Facture inconnue",IF(INDEX(fa_type,MATCH(B1248,fa_num,0))="Avoir","Paiement sur un avoir",IF(OR(NOT(ISNUMBER(C1248)),N(C1248)&lt;=0),"Montant invalide",IF(A1248&lt;INDEX(fa_date,MATCH(B1248,fa_num,0)),"Date antérieure à la facture",IF(SUMIF($B$6:B1248,B1248,$C$6:C1248)&gt;INDEX(fa_ttc,MATCH(B1248,fa_num,0))-N(INDEX(fa_avoirs,MATCH(B1248,fa_num,0)))+0.001,"Dépasse le montant de la facture","OK")))))))))</f>
        <v/>
      </c>
    </row>
    <row r="1249">
      <c r="A1249" s="61" t="n"/>
      <c r="B1249" s="60" t="n"/>
      <c r="C1249" s="68" t="n"/>
      <c r="D1249" s="60" t="n"/>
      <c r="E1249" s="63" t="n"/>
      <c r="F1249" s="63" t="n"/>
      <c r="G1249" s="62" t="str">
        <f>IF(B1249="","",IFERROR(INDEX(fa_cname,MATCH(B1249,fa_num,0))&amp;"",""))</f>
        <v/>
      </c>
      <c r="H1249" s="59" t="str">
        <f>IF(COUNTA(A1249:F1249)=0,"",IF(A1249="","Date manquante",IF(NOT(ISNUMBER(A1249)),"Date invalide",IF(B1249="","N° de facture manquant",IF(ISNA(MATCH(B1249,fa_num,0)),"Facture inconnue",IF(INDEX(fa_type,MATCH(B1249,fa_num,0))="Avoir","Paiement sur un avoir",IF(OR(NOT(ISNUMBER(C1249)),N(C1249)&lt;=0),"Montant invalide",IF(A1249&lt;INDEX(fa_date,MATCH(B1249,fa_num,0)),"Date antérieure à la facture",IF(SUMIF($B$6:B1249,B1249,$C$6:C1249)&gt;INDEX(fa_ttc,MATCH(B1249,fa_num,0))-N(INDEX(fa_avoirs,MATCH(B1249,fa_num,0)))+0.001,"Dépasse le montant de la facture","OK")))))))))</f>
        <v/>
      </c>
    </row>
    <row r="1250">
      <c r="A1250" s="61" t="n"/>
      <c r="B1250" s="60" t="n"/>
      <c r="C1250" s="68" t="n"/>
      <c r="D1250" s="60" t="n"/>
      <c r="E1250" s="63" t="n"/>
      <c r="F1250" s="63" t="n"/>
      <c r="G1250" s="62" t="str">
        <f>IF(B1250="","",IFERROR(INDEX(fa_cname,MATCH(B1250,fa_num,0))&amp;"",""))</f>
        <v/>
      </c>
      <c r="H1250" s="59" t="str">
        <f>IF(COUNTA(A1250:F1250)=0,"",IF(A1250="","Date manquante",IF(NOT(ISNUMBER(A1250)),"Date invalide",IF(B1250="","N° de facture manquant",IF(ISNA(MATCH(B1250,fa_num,0)),"Facture inconnue",IF(INDEX(fa_type,MATCH(B1250,fa_num,0))="Avoir","Paiement sur un avoir",IF(OR(NOT(ISNUMBER(C1250)),N(C1250)&lt;=0),"Montant invalide",IF(A1250&lt;INDEX(fa_date,MATCH(B1250,fa_num,0)),"Date antérieure à la facture",IF(SUMIF($B$6:B1250,B1250,$C$6:C1250)&gt;INDEX(fa_ttc,MATCH(B1250,fa_num,0))-N(INDEX(fa_avoirs,MATCH(B1250,fa_num,0)))+0.001,"Dépasse le montant de la facture","OK")))))))))</f>
        <v/>
      </c>
    </row>
    <row r="1251">
      <c r="A1251" s="61" t="n"/>
      <c r="B1251" s="60" t="n"/>
      <c r="C1251" s="68" t="n"/>
      <c r="D1251" s="60" t="n"/>
      <c r="E1251" s="63" t="n"/>
      <c r="F1251" s="63" t="n"/>
      <c r="G1251" s="62" t="str">
        <f>IF(B1251="","",IFERROR(INDEX(fa_cname,MATCH(B1251,fa_num,0))&amp;"",""))</f>
        <v/>
      </c>
      <c r="H1251" s="59" t="str">
        <f>IF(COUNTA(A1251:F1251)=0,"",IF(A1251="","Date manquante",IF(NOT(ISNUMBER(A1251)),"Date invalide",IF(B1251="","N° de facture manquant",IF(ISNA(MATCH(B1251,fa_num,0)),"Facture inconnue",IF(INDEX(fa_type,MATCH(B1251,fa_num,0))="Avoir","Paiement sur un avoir",IF(OR(NOT(ISNUMBER(C1251)),N(C1251)&lt;=0),"Montant invalide",IF(A1251&lt;INDEX(fa_date,MATCH(B1251,fa_num,0)),"Date antérieure à la facture",IF(SUMIF($B$6:B1251,B1251,$C$6:C1251)&gt;INDEX(fa_ttc,MATCH(B1251,fa_num,0))-N(INDEX(fa_avoirs,MATCH(B1251,fa_num,0)))+0.001,"Dépasse le montant de la facture","OK")))))))))</f>
        <v/>
      </c>
    </row>
    <row r="1252">
      <c r="A1252" s="61" t="n"/>
      <c r="B1252" s="60" t="n"/>
      <c r="C1252" s="68" t="n"/>
      <c r="D1252" s="60" t="n"/>
      <c r="E1252" s="63" t="n"/>
      <c r="F1252" s="63" t="n"/>
      <c r="G1252" s="62" t="str">
        <f>IF(B1252="","",IFERROR(INDEX(fa_cname,MATCH(B1252,fa_num,0))&amp;"",""))</f>
        <v/>
      </c>
      <c r="H1252" s="59" t="str">
        <f>IF(COUNTA(A1252:F1252)=0,"",IF(A1252="","Date manquante",IF(NOT(ISNUMBER(A1252)),"Date invalide",IF(B1252="","N° de facture manquant",IF(ISNA(MATCH(B1252,fa_num,0)),"Facture inconnue",IF(INDEX(fa_type,MATCH(B1252,fa_num,0))="Avoir","Paiement sur un avoir",IF(OR(NOT(ISNUMBER(C1252)),N(C1252)&lt;=0),"Montant invalide",IF(A1252&lt;INDEX(fa_date,MATCH(B1252,fa_num,0)),"Date antérieure à la facture",IF(SUMIF($B$6:B1252,B1252,$C$6:C1252)&gt;INDEX(fa_ttc,MATCH(B1252,fa_num,0))-N(INDEX(fa_avoirs,MATCH(B1252,fa_num,0)))+0.001,"Dépasse le montant de la facture","OK")))))))))</f>
        <v/>
      </c>
    </row>
    <row r="1253">
      <c r="A1253" s="61" t="n"/>
      <c r="B1253" s="60" t="n"/>
      <c r="C1253" s="68" t="n"/>
      <c r="D1253" s="60" t="n"/>
      <c r="E1253" s="63" t="n"/>
      <c r="F1253" s="63" t="n"/>
      <c r="G1253" s="62" t="str">
        <f>IF(B1253="","",IFERROR(INDEX(fa_cname,MATCH(B1253,fa_num,0))&amp;"",""))</f>
        <v/>
      </c>
      <c r="H1253" s="59" t="str">
        <f>IF(COUNTA(A1253:F1253)=0,"",IF(A1253="","Date manquante",IF(NOT(ISNUMBER(A1253)),"Date invalide",IF(B1253="","N° de facture manquant",IF(ISNA(MATCH(B1253,fa_num,0)),"Facture inconnue",IF(INDEX(fa_type,MATCH(B1253,fa_num,0))="Avoir","Paiement sur un avoir",IF(OR(NOT(ISNUMBER(C1253)),N(C1253)&lt;=0),"Montant invalide",IF(A1253&lt;INDEX(fa_date,MATCH(B1253,fa_num,0)),"Date antérieure à la facture",IF(SUMIF($B$6:B1253,B1253,$C$6:C1253)&gt;INDEX(fa_ttc,MATCH(B1253,fa_num,0))-N(INDEX(fa_avoirs,MATCH(B1253,fa_num,0)))+0.001,"Dépasse le montant de la facture","OK")))))))))</f>
        <v/>
      </c>
    </row>
    <row r="1254">
      <c r="A1254" s="61" t="n"/>
      <c r="B1254" s="60" t="n"/>
      <c r="C1254" s="68" t="n"/>
      <c r="D1254" s="60" t="n"/>
      <c r="E1254" s="63" t="n"/>
      <c r="F1254" s="63" t="n"/>
      <c r="G1254" s="62" t="str">
        <f>IF(B1254="","",IFERROR(INDEX(fa_cname,MATCH(B1254,fa_num,0))&amp;"",""))</f>
        <v/>
      </c>
      <c r="H1254" s="59" t="str">
        <f>IF(COUNTA(A1254:F1254)=0,"",IF(A1254="","Date manquante",IF(NOT(ISNUMBER(A1254)),"Date invalide",IF(B1254="","N° de facture manquant",IF(ISNA(MATCH(B1254,fa_num,0)),"Facture inconnue",IF(INDEX(fa_type,MATCH(B1254,fa_num,0))="Avoir","Paiement sur un avoir",IF(OR(NOT(ISNUMBER(C1254)),N(C1254)&lt;=0),"Montant invalide",IF(A1254&lt;INDEX(fa_date,MATCH(B1254,fa_num,0)),"Date antérieure à la facture",IF(SUMIF($B$6:B1254,B1254,$C$6:C1254)&gt;INDEX(fa_ttc,MATCH(B1254,fa_num,0))-N(INDEX(fa_avoirs,MATCH(B1254,fa_num,0)))+0.001,"Dépasse le montant de la facture","OK")))))))))</f>
        <v/>
      </c>
    </row>
    <row r="1255">
      <c r="A1255" s="61" t="n"/>
      <c r="B1255" s="60" t="n"/>
      <c r="C1255" s="68" t="n"/>
      <c r="D1255" s="60" t="n"/>
      <c r="E1255" s="63" t="n"/>
      <c r="F1255" s="63" t="n"/>
      <c r="G1255" s="62" t="str">
        <f>IF(B1255="","",IFERROR(INDEX(fa_cname,MATCH(B1255,fa_num,0))&amp;"",""))</f>
        <v/>
      </c>
      <c r="H1255" s="59" t="str">
        <f>IF(COUNTA(A1255:F1255)=0,"",IF(A1255="","Date manquante",IF(NOT(ISNUMBER(A1255)),"Date invalide",IF(B1255="","N° de facture manquant",IF(ISNA(MATCH(B1255,fa_num,0)),"Facture inconnue",IF(INDEX(fa_type,MATCH(B1255,fa_num,0))="Avoir","Paiement sur un avoir",IF(OR(NOT(ISNUMBER(C1255)),N(C1255)&lt;=0),"Montant invalide",IF(A1255&lt;INDEX(fa_date,MATCH(B1255,fa_num,0)),"Date antérieure à la facture",IF(SUMIF($B$6:B1255,B1255,$C$6:C1255)&gt;INDEX(fa_ttc,MATCH(B1255,fa_num,0))-N(INDEX(fa_avoirs,MATCH(B1255,fa_num,0)))+0.001,"Dépasse le montant de la facture","OK")))))))))</f>
        <v/>
      </c>
    </row>
    <row r="1256">
      <c r="A1256" s="61" t="n"/>
      <c r="B1256" s="60" t="n"/>
      <c r="C1256" s="68" t="n"/>
      <c r="D1256" s="60" t="n"/>
      <c r="E1256" s="63" t="n"/>
      <c r="F1256" s="63" t="n"/>
      <c r="G1256" s="62" t="str">
        <f>IF(B1256="","",IFERROR(INDEX(fa_cname,MATCH(B1256,fa_num,0))&amp;"",""))</f>
        <v/>
      </c>
      <c r="H1256" s="59" t="str">
        <f>IF(COUNTA(A1256:F1256)=0,"",IF(A1256="","Date manquante",IF(NOT(ISNUMBER(A1256)),"Date invalide",IF(B1256="","N° de facture manquant",IF(ISNA(MATCH(B1256,fa_num,0)),"Facture inconnue",IF(INDEX(fa_type,MATCH(B1256,fa_num,0))="Avoir","Paiement sur un avoir",IF(OR(NOT(ISNUMBER(C1256)),N(C1256)&lt;=0),"Montant invalide",IF(A1256&lt;INDEX(fa_date,MATCH(B1256,fa_num,0)),"Date antérieure à la facture",IF(SUMIF($B$6:B1256,B1256,$C$6:C1256)&gt;INDEX(fa_ttc,MATCH(B1256,fa_num,0))-N(INDEX(fa_avoirs,MATCH(B1256,fa_num,0)))+0.001,"Dépasse le montant de la facture","OK")))))))))</f>
        <v/>
      </c>
    </row>
    <row r="1257">
      <c r="A1257" s="61" t="n"/>
      <c r="B1257" s="60" t="n"/>
      <c r="C1257" s="68" t="n"/>
      <c r="D1257" s="60" t="n"/>
      <c r="E1257" s="63" t="n"/>
      <c r="F1257" s="63" t="n"/>
      <c r="G1257" s="62" t="str">
        <f>IF(B1257="","",IFERROR(INDEX(fa_cname,MATCH(B1257,fa_num,0))&amp;"",""))</f>
        <v/>
      </c>
      <c r="H1257" s="59" t="str">
        <f>IF(COUNTA(A1257:F1257)=0,"",IF(A1257="","Date manquante",IF(NOT(ISNUMBER(A1257)),"Date invalide",IF(B1257="","N° de facture manquant",IF(ISNA(MATCH(B1257,fa_num,0)),"Facture inconnue",IF(INDEX(fa_type,MATCH(B1257,fa_num,0))="Avoir","Paiement sur un avoir",IF(OR(NOT(ISNUMBER(C1257)),N(C1257)&lt;=0),"Montant invalide",IF(A1257&lt;INDEX(fa_date,MATCH(B1257,fa_num,0)),"Date antérieure à la facture",IF(SUMIF($B$6:B1257,B1257,$C$6:C1257)&gt;INDEX(fa_ttc,MATCH(B1257,fa_num,0))-N(INDEX(fa_avoirs,MATCH(B1257,fa_num,0)))+0.001,"Dépasse le montant de la facture","OK")))))))))</f>
        <v/>
      </c>
    </row>
    <row r="1258">
      <c r="A1258" s="61" t="n"/>
      <c r="B1258" s="60" t="n"/>
      <c r="C1258" s="68" t="n"/>
      <c r="D1258" s="60" t="n"/>
      <c r="E1258" s="63" t="n"/>
      <c r="F1258" s="63" t="n"/>
      <c r="G1258" s="62" t="str">
        <f>IF(B1258="","",IFERROR(INDEX(fa_cname,MATCH(B1258,fa_num,0))&amp;"",""))</f>
        <v/>
      </c>
      <c r="H1258" s="59" t="str">
        <f>IF(COUNTA(A1258:F1258)=0,"",IF(A1258="","Date manquante",IF(NOT(ISNUMBER(A1258)),"Date invalide",IF(B1258="","N° de facture manquant",IF(ISNA(MATCH(B1258,fa_num,0)),"Facture inconnue",IF(INDEX(fa_type,MATCH(B1258,fa_num,0))="Avoir","Paiement sur un avoir",IF(OR(NOT(ISNUMBER(C1258)),N(C1258)&lt;=0),"Montant invalide",IF(A1258&lt;INDEX(fa_date,MATCH(B1258,fa_num,0)),"Date antérieure à la facture",IF(SUMIF($B$6:B1258,B1258,$C$6:C1258)&gt;INDEX(fa_ttc,MATCH(B1258,fa_num,0))-N(INDEX(fa_avoirs,MATCH(B1258,fa_num,0)))+0.001,"Dépasse le montant de la facture","OK")))))))))</f>
        <v/>
      </c>
    </row>
    <row r="1259">
      <c r="A1259" s="61" t="n"/>
      <c r="B1259" s="60" t="n"/>
      <c r="C1259" s="68" t="n"/>
      <c r="D1259" s="60" t="n"/>
      <c r="E1259" s="63" t="n"/>
      <c r="F1259" s="63" t="n"/>
      <c r="G1259" s="62" t="str">
        <f>IF(B1259="","",IFERROR(INDEX(fa_cname,MATCH(B1259,fa_num,0))&amp;"",""))</f>
        <v/>
      </c>
      <c r="H1259" s="59" t="str">
        <f>IF(COUNTA(A1259:F1259)=0,"",IF(A1259="","Date manquante",IF(NOT(ISNUMBER(A1259)),"Date invalide",IF(B1259="","N° de facture manquant",IF(ISNA(MATCH(B1259,fa_num,0)),"Facture inconnue",IF(INDEX(fa_type,MATCH(B1259,fa_num,0))="Avoir","Paiement sur un avoir",IF(OR(NOT(ISNUMBER(C1259)),N(C1259)&lt;=0),"Montant invalide",IF(A1259&lt;INDEX(fa_date,MATCH(B1259,fa_num,0)),"Date antérieure à la facture",IF(SUMIF($B$6:B1259,B1259,$C$6:C1259)&gt;INDEX(fa_ttc,MATCH(B1259,fa_num,0))-N(INDEX(fa_avoirs,MATCH(B1259,fa_num,0)))+0.001,"Dépasse le montant de la facture","OK")))))))))</f>
        <v/>
      </c>
    </row>
    <row r="1260">
      <c r="A1260" s="61" t="n"/>
      <c r="B1260" s="60" t="n"/>
      <c r="C1260" s="68" t="n"/>
      <c r="D1260" s="60" t="n"/>
      <c r="E1260" s="63" t="n"/>
      <c r="F1260" s="63" t="n"/>
      <c r="G1260" s="62" t="str">
        <f>IF(B1260="","",IFERROR(INDEX(fa_cname,MATCH(B1260,fa_num,0))&amp;"",""))</f>
        <v/>
      </c>
      <c r="H1260" s="59" t="str">
        <f>IF(COUNTA(A1260:F1260)=0,"",IF(A1260="","Date manquante",IF(NOT(ISNUMBER(A1260)),"Date invalide",IF(B1260="","N° de facture manquant",IF(ISNA(MATCH(B1260,fa_num,0)),"Facture inconnue",IF(INDEX(fa_type,MATCH(B1260,fa_num,0))="Avoir","Paiement sur un avoir",IF(OR(NOT(ISNUMBER(C1260)),N(C1260)&lt;=0),"Montant invalide",IF(A1260&lt;INDEX(fa_date,MATCH(B1260,fa_num,0)),"Date antérieure à la facture",IF(SUMIF($B$6:B1260,B1260,$C$6:C1260)&gt;INDEX(fa_ttc,MATCH(B1260,fa_num,0))-N(INDEX(fa_avoirs,MATCH(B1260,fa_num,0)))+0.001,"Dépasse le montant de la facture","OK")))))))))</f>
        <v/>
      </c>
    </row>
    <row r="1261">
      <c r="A1261" s="61" t="n"/>
      <c r="B1261" s="60" t="n"/>
      <c r="C1261" s="68" t="n"/>
      <c r="D1261" s="60" t="n"/>
      <c r="E1261" s="63" t="n"/>
      <c r="F1261" s="63" t="n"/>
      <c r="G1261" s="62" t="str">
        <f>IF(B1261="","",IFERROR(INDEX(fa_cname,MATCH(B1261,fa_num,0))&amp;"",""))</f>
        <v/>
      </c>
      <c r="H1261" s="59" t="str">
        <f>IF(COUNTA(A1261:F1261)=0,"",IF(A1261="","Date manquante",IF(NOT(ISNUMBER(A1261)),"Date invalide",IF(B1261="","N° de facture manquant",IF(ISNA(MATCH(B1261,fa_num,0)),"Facture inconnue",IF(INDEX(fa_type,MATCH(B1261,fa_num,0))="Avoir","Paiement sur un avoir",IF(OR(NOT(ISNUMBER(C1261)),N(C1261)&lt;=0),"Montant invalide",IF(A1261&lt;INDEX(fa_date,MATCH(B1261,fa_num,0)),"Date antérieure à la facture",IF(SUMIF($B$6:B1261,B1261,$C$6:C1261)&gt;INDEX(fa_ttc,MATCH(B1261,fa_num,0))-N(INDEX(fa_avoirs,MATCH(B1261,fa_num,0)))+0.001,"Dépasse le montant de la facture","OK")))))))))</f>
        <v/>
      </c>
    </row>
    <row r="1262">
      <c r="A1262" s="61" t="n"/>
      <c r="B1262" s="60" t="n"/>
      <c r="C1262" s="68" t="n"/>
      <c r="D1262" s="60" t="n"/>
      <c r="E1262" s="63" t="n"/>
      <c r="F1262" s="63" t="n"/>
      <c r="G1262" s="62" t="str">
        <f>IF(B1262="","",IFERROR(INDEX(fa_cname,MATCH(B1262,fa_num,0))&amp;"",""))</f>
        <v/>
      </c>
      <c r="H1262" s="59" t="str">
        <f>IF(COUNTA(A1262:F1262)=0,"",IF(A1262="","Date manquante",IF(NOT(ISNUMBER(A1262)),"Date invalide",IF(B1262="","N° de facture manquant",IF(ISNA(MATCH(B1262,fa_num,0)),"Facture inconnue",IF(INDEX(fa_type,MATCH(B1262,fa_num,0))="Avoir","Paiement sur un avoir",IF(OR(NOT(ISNUMBER(C1262)),N(C1262)&lt;=0),"Montant invalide",IF(A1262&lt;INDEX(fa_date,MATCH(B1262,fa_num,0)),"Date antérieure à la facture",IF(SUMIF($B$6:B1262,B1262,$C$6:C1262)&gt;INDEX(fa_ttc,MATCH(B1262,fa_num,0))-N(INDEX(fa_avoirs,MATCH(B1262,fa_num,0)))+0.001,"Dépasse le montant de la facture","OK")))))))))</f>
        <v/>
      </c>
    </row>
    <row r="1263">
      <c r="A1263" s="61" t="n"/>
      <c r="B1263" s="60" t="n"/>
      <c r="C1263" s="68" t="n"/>
      <c r="D1263" s="60" t="n"/>
      <c r="E1263" s="63" t="n"/>
      <c r="F1263" s="63" t="n"/>
      <c r="G1263" s="62" t="str">
        <f>IF(B1263="","",IFERROR(INDEX(fa_cname,MATCH(B1263,fa_num,0))&amp;"",""))</f>
        <v/>
      </c>
      <c r="H1263" s="59" t="str">
        <f>IF(COUNTA(A1263:F1263)=0,"",IF(A1263="","Date manquante",IF(NOT(ISNUMBER(A1263)),"Date invalide",IF(B1263="","N° de facture manquant",IF(ISNA(MATCH(B1263,fa_num,0)),"Facture inconnue",IF(INDEX(fa_type,MATCH(B1263,fa_num,0))="Avoir","Paiement sur un avoir",IF(OR(NOT(ISNUMBER(C1263)),N(C1263)&lt;=0),"Montant invalide",IF(A1263&lt;INDEX(fa_date,MATCH(B1263,fa_num,0)),"Date antérieure à la facture",IF(SUMIF($B$6:B1263,B1263,$C$6:C1263)&gt;INDEX(fa_ttc,MATCH(B1263,fa_num,0))-N(INDEX(fa_avoirs,MATCH(B1263,fa_num,0)))+0.001,"Dépasse le montant de la facture","OK")))))))))</f>
        <v/>
      </c>
    </row>
    <row r="1264">
      <c r="A1264" s="61" t="n"/>
      <c r="B1264" s="60" t="n"/>
      <c r="C1264" s="68" t="n"/>
      <c r="D1264" s="60" t="n"/>
      <c r="E1264" s="63" t="n"/>
      <c r="F1264" s="63" t="n"/>
      <c r="G1264" s="62" t="str">
        <f>IF(B1264="","",IFERROR(INDEX(fa_cname,MATCH(B1264,fa_num,0))&amp;"",""))</f>
        <v/>
      </c>
      <c r="H1264" s="59" t="str">
        <f>IF(COUNTA(A1264:F1264)=0,"",IF(A1264="","Date manquante",IF(NOT(ISNUMBER(A1264)),"Date invalide",IF(B1264="","N° de facture manquant",IF(ISNA(MATCH(B1264,fa_num,0)),"Facture inconnue",IF(INDEX(fa_type,MATCH(B1264,fa_num,0))="Avoir","Paiement sur un avoir",IF(OR(NOT(ISNUMBER(C1264)),N(C1264)&lt;=0),"Montant invalide",IF(A1264&lt;INDEX(fa_date,MATCH(B1264,fa_num,0)),"Date antérieure à la facture",IF(SUMIF($B$6:B1264,B1264,$C$6:C1264)&gt;INDEX(fa_ttc,MATCH(B1264,fa_num,0))-N(INDEX(fa_avoirs,MATCH(B1264,fa_num,0)))+0.001,"Dépasse le montant de la facture","OK")))))))))</f>
        <v/>
      </c>
    </row>
    <row r="1265">
      <c r="A1265" s="61" t="n"/>
      <c r="B1265" s="60" t="n"/>
      <c r="C1265" s="68" t="n"/>
      <c r="D1265" s="60" t="n"/>
      <c r="E1265" s="63" t="n"/>
      <c r="F1265" s="63" t="n"/>
      <c r="G1265" s="62" t="str">
        <f>IF(B1265="","",IFERROR(INDEX(fa_cname,MATCH(B1265,fa_num,0))&amp;"",""))</f>
        <v/>
      </c>
      <c r="H1265" s="59" t="str">
        <f>IF(COUNTA(A1265:F1265)=0,"",IF(A1265="","Date manquante",IF(NOT(ISNUMBER(A1265)),"Date invalide",IF(B1265="","N° de facture manquant",IF(ISNA(MATCH(B1265,fa_num,0)),"Facture inconnue",IF(INDEX(fa_type,MATCH(B1265,fa_num,0))="Avoir","Paiement sur un avoir",IF(OR(NOT(ISNUMBER(C1265)),N(C1265)&lt;=0),"Montant invalide",IF(A1265&lt;INDEX(fa_date,MATCH(B1265,fa_num,0)),"Date antérieure à la facture",IF(SUMIF($B$6:B1265,B1265,$C$6:C1265)&gt;INDEX(fa_ttc,MATCH(B1265,fa_num,0))-N(INDEX(fa_avoirs,MATCH(B1265,fa_num,0)))+0.001,"Dépasse le montant de la facture","OK")))))))))</f>
        <v/>
      </c>
    </row>
    <row r="1266">
      <c r="A1266" s="61" t="n"/>
      <c r="B1266" s="60" t="n"/>
      <c r="C1266" s="68" t="n"/>
      <c r="D1266" s="60" t="n"/>
      <c r="E1266" s="63" t="n"/>
      <c r="F1266" s="63" t="n"/>
      <c r="G1266" s="62" t="str">
        <f>IF(B1266="","",IFERROR(INDEX(fa_cname,MATCH(B1266,fa_num,0))&amp;"",""))</f>
        <v/>
      </c>
      <c r="H1266" s="59" t="str">
        <f>IF(COUNTA(A1266:F1266)=0,"",IF(A1266="","Date manquante",IF(NOT(ISNUMBER(A1266)),"Date invalide",IF(B1266="","N° de facture manquant",IF(ISNA(MATCH(B1266,fa_num,0)),"Facture inconnue",IF(INDEX(fa_type,MATCH(B1266,fa_num,0))="Avoir","Paiement sur un avoir",IF(OR(NOT(ISNUMBER(C1266)),N(C1266)&lt;=0),"Montant invalide",IF(A1266&lt;INDEX(fa_date,MATCH(B1266,fa_num,0)),"Date antérieure à la facture",IF(SUMIF($B$6:B1266,B1266,$C$6:C1266)&gt;INDEX(fa_ttc,MATCH(B1266,fa_num,0))-N(INDEX(fa_avoirs,MATCH(B1266,fa_num,0)))+0.001,"Dépasse le montant de la facture","OK")))))))))</f>
        <v/>
      </c>
    </row>
    <row r="1267">
      <c r="A1267" s="61" t="n"/>
      <c r="B1267" s="60" t="n"/>
      <c r="C1267" s="68" t="n"/>
      <c r="D1267" s="60" t="n"/>
      <c r="E1267" s="63" t="n"/>
      <c r="F1267" s="63" t="n"/>
      <c r="G1267" s="62" t="str">
        <f>IF(B1267="","",IFERROR(INDEX(fa_cname,MATCH(B1267,fa_num,0))&amp;"",""))</f>
        <v/>
      </c>
      <c r="H1267" s="59" t="str">
        <f>IF(COUNTA(A1267:F1267)=0,"",IF(A1267="","Date manquante",IF(NOT(ISNUMBER(A1267)),"Date invalide",IF(B1267="","N° de facture manquant",IF(ISNA(MATCH(B1267,fa_num,0)),"Facture inconnue",IF(INDEX(fa_type,MATCH(B1267,fa_num,0))="Avoir","Paiement sur un avoir",IF(OR(NOT(ISNUMBER(C1267)),N(C1267)&lt;=0),"Montant invalide",IF(A1267&lt;INDEX(fa_date,MATCH(B1267,fa_num,0)),"Date antérieure à la facture",IF(SUMIF($B$6:B1267,B1267,$C$6:C1267)&gt;INDEX(fa_ttc,MATCH(B1267,fa_num,0))-N(INDEX(fa_avoirs,MATCH(B1267,fa_num,0)))+0.001,"Dépasse le montant de la facture","OK")))))))))</f>
        <v/>
      </c>
    </row>
    <row r="1268">
      <c r="A1268" s="61" t="n"/>
      <c r="B1268" s="60" t="n"/>
      <c r="C1268" s="68" t="n"/>
      <c r="D1268" s="60" t="n"/>
      <c r="E1268" s="63" t="n"/>
      <c r="F1268" s="63" t="n"/>
      <c r="G1268" s="62" t="str">
        <f>IF(B1268="","",IFERROR(INDEX(fa_cname,MATCH(B1268,fa_num,0))&amp;"",""))</f>
        <v/>
      </c>
      <c r="H1268" s="59" t="str">
        <f>IF(COUNTA(A1268:F1268)=0,"",IF(A1268="","Date manquante",IF(NOT(ISNUMBER(A1268)),"Date invalide",IF(B1268="","N° de facture manquant",IF(ISNA(MATCH(B1268,fa_num,0)),"Facture inconnue",IF(INDEX(fa_type,MATCH(B1268,fa_num,0))="Avoir","Paiement sur un avoir",IF(OR(NOT(ISNUMBER(C1268)),N(C1268)&lt;=0),"Montant invalide",IF(A1268&lt;INDEX(fa_date,MATCH(B1268,fa_num,0)),"Date antérieure à la facture",IF(SUMIF($B$6:B1268,B1268,$C$6:C1268)&gt;INDEX(fa_ttc,MATCH(B1268,fa_num,0))-N(INDEX(fa_avoirs,MATCH(B1268,fa_num,0)))+0.001,"Dépasse le montant de la facture","OK")))))))))</f>
        <v/>
      </c>
    </row>
    <row r="1269">
      <c r="A1269" s="61" t="n"/>
      <c r="B1269" s="60" t="n"/>
      <c r="C1269" s="68" t="n"/>
      <c r="D1269" s="60" t="n"/>
      <c r="E1269" s="63" t="n"/>
      <c r="F1269" s="63" t="n"/>
      <c r="G1269" s="62" t="str">
        <f>IF(B1269="","",IFERROR(INDEX(fa_cname,MATCH(B1269,fa_num,0))&amp;"",""))</f>
        <v/>
      </c>
      <c r="H1269" s="59" t="str">
        <f>IF(COUNTA(A1269:F1269)=0,"",IF(A1269="","Date manquante",IF(NOT(ISNUMBER(A1269)),"Date invalide",IF(B1269="","N° de facture manquant",IF(ISNA(MATCH(B1269,fa_num,0)),"Facture inconnue",IF(INDEX(fa_type,MATCH(B1269,fa_num,0))="Avoir","Paiement sur un avoir",IF(OR(NOT(ISNUMBER(C1269)),N(C1269)&lt;=0),"Montant invalide",IF(A1269&lt;INDEX(fa_date,MATCH(B1269,fa_num,0)),"Date antérieure à la facture",IF(SUMIF($B$6:B1269,B1269,$C$6:C1269)&gt;INDEX(fa_ttc,MATCH(B1269,fa_num,0))-N(INDEX(fa_avoirs,MATCH(B1269,fa_num,0)))+0.001,"Dépasse le montant de la facture","OK")))))))))</f>
        <v/>
      </c>
    </row>
    <row r="1270">
      <c r="A1270" s="61" t="n"/>
      <c r="B1270" s="60" t="n"/>
      <c r="C1270" s="68" t="n"/>
      <c r="D1270" s="60" t="n"/>
      <c r="E1270" s="63" t="n"/>
      <c r="F1270" s="63" t="n"/>
      <c r="G1270" s="62" t="str">
        <f>IF(B1270="","",IFERROR(INDEX(fa_cname,MATCH(B1270,fa_num,0))&amp;"",""))</f>
        <v/>
      </c>
      <c r="H1270" s="59" t="str">
        <f>IF(COUNTA(A1270:F1270)=0,"",IF(A1270="","Date manquante",IF(NOT(ISNUMBER(A1270)),"Date invalide",IF(B1270="","N° de facture manquant",IF(ISNA(MATCH(B1270,fa_num,0)),"Facture inconnue",IF(INDEX(fa_type,MATCH(B1270,fa_num,0))="Avoir","Paiement sur un avoir",IF(OR(NOT(ISNUMBER(C1270)),N(C1270)&lt;=0),"Montant invalide",IF(A1270&lt;INDEX(fa_date,MATCH(B1270,fa_num,0)),"Date antérieure à la facture",IF(SUMIF($B$6:B1270,B1270,$C$6:C1270)&gt;INDEX(fa_ttc,MATCH(B1270,fa_num,0))-N(INDEX(fa_avoirs,MATCH(B1270,fa_num,0)))+0.001,"Dépasse le montant de la facture","OK")))))))))</f>
        <v/>
      </c>
    </row>
    <row r="1271">
      <c r="A1271" s="61" t="n"/>
      <c r="B1271" s="60" t="n"/>
      <c r="C1271" s="68" t="n"/>
      <c r="D1271" s="60" t="n"/>
      <c r="E1271" s="63" t="n"/>
      <c r="F1271" s="63" t="n"/>
      <c r="G1271" s="62" t="str">
        <f>IF(B1271="","",IFERROR(INDEX(fa_cname,MATCH(B1271,fa_num,0))&amp;"",""))</f>
        <v/>
      </c>
      <c r="H1271" s="59" t="str">
        <f>IF(COUNTA(A1271:F1271)=0,"",IF(A1271="","Date manquante",IF(NOT(ISNUMBER(A1271)),"Date invalide",IF(B1271="","N° de facture manquant",IF(ISNA(MATCH(B1271,fa_num,0)),"Facture inconnue",IF(INDEX(fa_type,MATCH(B1271,fa_num,0))="Avoir","Paiement sur un avoir",IF(OR(NOT(ISNUMBER(C1271)),N(C1271)&lt;=0),"Montant invalide",IF(A1271&lt;INDEX(fa_date,MATCH(B1271,fa_num,0)),"Date antérieure à la facture",IF(SUMIF($B$6:B1271,B1271,$C$6:C1271)&gt;INDEX(fa_ttc,MATCH(B1271,fa_num,0))-N(INDEX(fa_avoirs,MATCH(B1271,fa_num,0)))+0.001,"Dépasse le montant de la facture","OK")))))))))</f>
        <v/>
      </c>
    </row>
    <row r="1272">
      <c r="A1272" s="61" t="n"/>
      <c r="B1272" s="60" t="n"/>
      <c r="C1272" s="68" t="n"/>
      <c r="D1272" s="60" t="n"/>
      <c r="E1272" s="63" t="n"/>
      <c r="F1272" s="63" t="n"/>
      <c r="G1272" s="62" t="str">
        <f>IF(B1272="","",IFERROR(INDEX(fa_cname,MATCH(B1272,fa_num,0))&amp;"",""))</f>
        <v/>
      </c>
      <c r="H1272" s="59" t="str">
        <f>IF(COUNTA(A1272:F1272)=0,"",IF(A1272="","Date manquante",IF(NOT(ISNUMBER(A1272)),"Date invalide",IF(B1272="","N° de facture manquant",IF(ISNA(MATCH(B1272,fa_num,0)),"Facture inconnue",IF(INDEX(fa_type,MATCH(B1272,fa_num,0))="Avoir","Paiement sur un avoir",IF(OR(NOT(ISNUMBER(C1272)),N(C1272)&lt;=0),"Montant invalide",IF(A1272&lt;INDEX(fa_date,MATCH(B1272,fa_num,0)),"Date antérieure à la facture",IF(SUMIF($B$6:B1272,B1272,$C$6:C1272)&gt;INDEX(fa_ttc,MATCH(B1272,fa_num,0))-N(INDEX(fa_avoirs,MATCH(B1272,fa_num,0)))+0.001,"Dépasse le montant de la facture","OK")))))))))</f>
        <v/>
      </c>
    </row>
    <row r="1273">
      <c r="A1273" s="61" t="n"/>
      <c r="B1273" s="60" t="n"/>
      <c r="C1273" s="68" t="n"/>
      <c r="D1273" s="60" t="n"/>
      <c r="E1273" s="63" t="n"/>
      <c r="F1273" s="63" t="n"/>
      <c r="G1273" s="62" t="str">
        <f>IF(B1273="","",IFERROR(INDEX(fa_cname,MATCH(B1273,fa_num,0))&amp;"",""))</f>
        <v/>
      </c>
      <c r="H1273" s="59" t="str">
        <f>IF(COUNTA(A1273:F1273)=0,"",IF(A1273="","Date manquante",IF(NOT(ISNUMBER(A1273)),"Date invalide",IF(B1273="","N° de facture manquant",IF(ISNA(MATCH(B1273,fa_num,0)),"Facture inconnue",IF(INDEX(fa_type,MATCH(B1273,fa_num,0))="Avoir","Paiement sur un avoir",IF(OR(NOT(ISNUMBER(C1273)),N(C1273)&lt;=0),"Montant invalide",IF(A1273&lt;INDEX(fa_date,MATCH(B1273,fa_num,0)),"Date antérieure à la facture",IF(SUMIF($B$6:B1273,B1273,$C$6:C1273)&gt;INDEX(fa_ttc,MATCH(B1273,fa_num,0))-N(INDEX(fa_avoirs,MATCH(B1273,fa_num,0)))+0.001,"Dépasse le montant de la facture","OK")))))))))</f>
        <v/>
      </c>
    </row>
    <row r="1274">
      <c r="A1274" s="61" t="n"/>
      <c r="B1274" s="60" t="n"/>
      <c r="C1274" s="68" t="n"/>
      <c r="D1274" s="60" t="n"/>
      <c r="E1274" s="63" t="n"/>
      <c r="F1274" s="63" t="n"/>
      <c r="G1274" s="62" t="str">
        <f>IF(B1274="","",IFERROR(INDEX(fa_cname,MATCH(B1274,fa_num,0))&amp;"",""))</f>
        <v/>
      </c>
      <c r="H1274" s="59" t="str">
        <f>IF(COUNTA(A1274:F1274)=0,"",IF(A1274="","Date manquante",IF(NOT(ISNUMBER(A1274)),"Date invalide",IF(B1274="","N° de facture manquant",IF(ISNA(MATCH(B1274,fa_num,0)),"Facture inconnue",IF(INDEX(fa_type,MATCH(B1274,fa_num,0))="Avoir","Paiement sur un avoir",IF(OR(NOT(ISNUMBER(C1274)),N(C1274)&lt;=0),"Montant invalide",IF(A1274&lt;INDEX(fa_date,MATCH(B1274,fa_num,0)),"Date antérieure à la facture",IF(SUMIF($B$6:B1274,B1274,$C$6:C1274)&gt;INDEX(fa_ttc,MATCH(B1274,fa_num,0))-N(INDEX(fa_avoirs,MATCH(B1274,fa_num,0)))+0.001,"Dépasse le montant de la facture","OK")))))))))</f>
        <v/>
      </c>
    </row>
    <row r="1275">
      <c r="A1275" s="61" t="n"/>
      <c r="B1275" s="60" t="n"/>
      <c r="C1275" s="68" t="n"/>
      <c r="D1275" s="60" t="n"/>
      <c r="E1275" s="63" t="n"/>
      <c r="F1275" s="63" t="n"/>
      <c r="G1275" s="62" t="str">
        <f>IF(B1275="","",IFERROR(INDEX(fa_cname,MATCH(B1275,fa_num,0))&amp;"",""))</f>
        <v/>
      </c>
      <c r="H1275" s="59" t="str">
        <f>IF(COUNTA(A1275:F1275)=0,"",IF(A1275="","Date manquante",IF(NOT(ISNUMBER(A1275)),"Date invalide",IF(B1275="","N° de facture manquant",IF(ISNA(MATCH(B1275,fa_num,0)),"Facture inconnue",IF(INDEX(fa_type,MATCH(B1275,fa_num,0))="Avoir","Paiement sur un avoir",IF(OR(NOT(ISNUMBER(C1275)),N(C1275)&lt;=0),"Montant invalide",IF(A1275&lt;INDEX(fa_date,MATCH(B1275,fa_num,0)),"Date antérieure à la facture",IF(SUMIF($B$6:B1275,B1275,$C$6:C1275)&gt;INDEX(fa_ttc,MATCH(B1275,fa_num,0))-N(INDEX(fa_avoirs,MATCH(B1275,fa_num,0)))+0.001,"Dépasse le montant de la facture","OK")))))))))</f>
        <v/>
      </c>
    </row>
    <row r="1276">
      <c r="A1276" s="61" t="n"/>
      <c r="B1276" s="60" t="n"/>
      <c r="C1276" s="68" t="n"/>
      <c r="D1276" s="60" t="n"/>
      <c r="E1276" s="63" t="n"/>
      <c r="F1276" s="63" t="n"/>
      <c r="G1276" s="62" t="str">
        <f>IF(B1276="","",IFERROR(INDEX(fa_cname,MATCH(B1276,fa_num,0))&amp;"",""))</f>
        <v/>
      </c>
      <c r="H1276" s="59" t="str">
        <f>IF(COUNTA(A1276:F1276)=0,"",IF(A1276="","Date manquante",IF(NOT(ISNUMBER(A1276)),"Date invalide",IF(B1276="","N° de facture manquant",IF(ISNA(MATCH(B1276,fa_num,0)),"Facture inconnue",IF(INDEX(fa_type,MATCH(B1276,fa_num,0))="Avoir","Paiement sur un avoir",IF(OR(NOT(ISNUMBER(C1276)),N(C1276)&lt;=0),"Montant invalide",IF(A1276&lt;INDEX(fa_date,MATCH(B1276,fa_num,0)),"Date antérieure à la facture",IF(SUMIF($B$6:B1276,B1276,$C$6:C1276)&gt;INDEX(fa_ttc,MATCH(B1276,fa_num,0))-N(INDEX(fa_avoirs,MATCH(B1276,fa_num,0)))+0.001,"Dépasse le montant de la facture","OK")))))))))</f>
        <v/>
      </c>
    </row>
    <row r="1277">
      <c r="A1277" s="61" t="n"/>
      <c r="B1277" s="60" t="n"/>
      <c r="C1277" s="68" t="n"/>
      <c r="D1277" s="60" t="n"/>
      <c r="E1277" s="63" t="n"/>
      <c r="F1277" s="63" t="n"/>
      <c r="G1277" s="62" t="str">
        <f>IF(B1277="","",IFERROR(INDEX(fa_cname,MATCH(B1277,fa_num,0))&amp;"",""))</f>
        <v/>
      </c>
      <c r="H1277" s="59" t="str">
        <f>IF(COUNTA(A1277:F1277)=0,"",IF(A1277="","Date manquante",IF(NOT(ISNUMBER(A1277)),"Date invalide",IF(B1277="","N° de facture manquant",IF(ISNA(MATCH(B1277,fa_num,0)),"Facture inconnue",IF(INDEX(fa_type,MATCH(B1277,fa_num,0))="Avoir","Paiement sur un avoir",IF(OR(NOT(ISNUMBER(C1277)),N(C1277)&lt;=0),"Montant invalide",IF(A1277&lt;INDEX(fa_date,MATCH(B1277,fa_num,0)),"Date antérieure à la facture",IF(SUMIF($B$6:B1277,B1277,$C$6:C1277)&gt;INDEX(fa_ttc,MATCH(B1277,fa_num,0))-N(INDEX(fa_avoirs,MATCH(B1277,fa_num,0)))+0.001,"Dépasse le montant de la facture","OK")))))))))</f>
        <v/>
      </c>
    </row>
    <row r="1278">
      <c r="A1278" s="61" t="n"/>
      <c r="B1278" s="60" t="n"/>
      <c r="C1278" s="68" t="n"/>
      <c r="D1278" s="60" t="n"/>
      <c r="E1278" s="63" t="n"/>
      <c r="F1278" s="63" t="n"/>
      <c r="G1278" s="62" t="str">
        <f>IF(B1278="","",IFERROR(INDEX(fa_cname,MATCH(B1278,fa_num,0))&amp;"",""))</f>
        <v/>
      </c>
      <c r="H1278" s="59" t="str">
        <f>IF(COUNTA(A1278:F1278)=0,"",IF(A1278="","Date manquante",IF(NOT(ISNUMBER(A1278)),"Date invalide",IF(B1278="","N° de facture manquant",IF(ISNA(MATCH(B1278,fa_num,0)),"Facture inconnue",IF(INDEX(fa_type,MATCH(B1278,fa_num,0))="Avoir","Paiement sur un avoir",IF(OR(NOT(ISNUMBER(C1278)),N(C1278)&lt;=0),"Montant invalide",IF(A1278&lt;INDEX(fa_date,MATCH(B1278,fa_num,0)),"Date antérieure à la facture",IF(SUMIF($B$6:B1278,B1278,$C$6:C1278)&gt;INDEX(fa_ttc,MATCH(B1278,fa_num,0))-N(INDEX(fa_avoirs,MATCH(B1278,fa_num,0)))+0.001,"Dépasse le montant de la facture","OK")))))))))</f>
        <v/>
      </c>
    </row>
    <row r="1279">
      <c r="A1279" s="61" t="n"/>
      <c r="B1279" s="60" t="n"/>
      <c r="C1279" s="68" t="n"/>
      <c r="D1279" s="60" t="n"/>
      <c r="E1279" s="63" t="n"/>
      <c r="F1279" s="63" t="n"/>
      <c r="G1279" s="62" t="str">
        <f>IF(B1279="","",IFERROR(INDEX(fa_cname,MATCH(B1279,fa_num,0))&amp;"",""))</f>
        <v/>
      </c>
      <c r="H1279" s="59" t="str">
        <f>IF(COUNTA(A1279:F1279)=0,"",IF(A1279="","Date manquante",IF(NOT(ISNUMBER(A1279)),"Date invalide",IF(B1279="","N° de facture manquant",IF(ISNA(MATCH(B1279,fa_num,0)),"Facture inconnue",IF(INDEX(fa_type,MATCH(B1279,fa_num,0))="Avoir","Paiement sur un avoir",IF(OR(NOT(ISNUMBER(C1279)),N(C1279)&lt;=0),"Montant invalide",IF(A1279&lt;INDEX(fa_date,MATCH(B1279,fa_num,0)),"Date antérieure à la facture",IF(SUMIF($B$6:B1279,B1279,$C$6:C1279)&gt;INDEX(fa_ttc,MATCH(B1279,fa_num,0))-N(INDEX(fa_avoirs,MATCH(B1279,fa_num,0)))+0.001,"Dépasse le montant de la facture","OK")))))))))</f>
        <v/>
      </c>
    </row>
    <row r="1280">
      <c r="A1280" s="61" t="n"/>
      <c r="B1280" s="60" t="n"/>
      <c r="C1280" s="68" t="n"/>
      <c r="D1280" s="60" t="n"/>
      <c r="E1280" s="63" t="n"/>
      <c r="F1280" s="63" t="n"/>
      <c r="G1280" s="62" t="str">
        <f>IF(B1280="","",IFERROR(INDEX(fa_cname,MATCH(B1280,fa_num,0))&amp;"",""))</f>
        <v/>
      </c>
      <c r="H1280" s="59" t="str">
        <f>IF(COUNTA(A1280:F1280)=0,"",IF(A1280="","Date manquante",IF(NOT(ISNUMBER(A1280)),"Date invalide",IF(B1280="","N° de facture manquant",IF(ISNA(MATCH(B1280,fa_num,0)),"Facture inconnue",IF(INDEX(fa_type,MATCH(B1280,fa_num,0))="Avoir","Paiement sur un avoir",IF(OR(NOT(ISNUMBER(C1280)),N(C1280)&lt;=0),"Montant invalide",IF(A1280&lt;INDEX(fa_date,MATCH(B1280,fa_num,0)),"Date antérieure à la facture",IF(SUMIF($B$6:B1280,B1280,$C$6:C1280)&gt;INDEX(fa_ttc,MATCH(B1280,fa_num,0))-N(INDEX(fa_avoirs,MATCH(B1280,fa_num,0)))+0.001,"Dépasse le montant de la facture","OK")))))))))</f>
        <v/>
      </c>
    </row>
    <row r="1281">
      <c r="A1281" s="61" t="n"/>
      <c r="B1281" s="60" t="n"/>
      <c r="C1281" s="68" t="n"/>
      <c r="D1281" s="60" t="n"/>
      <c r="E1281" s="63" t="n"/>
      <c r="F1281" s="63" t="n"/>
      <c r="G1281" s="62" t="str">
        <f>IF(B1281="","",IFERROR(INDEX(fa_cname,MATCH(B1281,fa_num,0))&amp;"",""))</f>
        <v/>
      </c>
      <c r="H1281" s="59" t="str">
        <f>IF(COUNTA(A1281:F1281)=0,"",IF(A1281="","Date manquante",IF(NOT(ISNUMBER(A1281)),"Date invalide",IF(B1281="","N° de facture manquant",IF(ISNA(MATCH(B1281,fa_num,0)),"Facture inconnue",IF(INDEX(fa_type,MATCH(B1281,fa_num,0))="Avoir","Paiement sur un avoir",IF(OR(NOT(ISNUMBER(C1281)),N(C1281)&lt;=0),"Montant invalide",IF(A1281&lt;INDEX(fa_date,MATCH(B1281,fa_num,0)),"Date antérieure à la facture",IF(SUMIF($B$6:B1281,B1281,$C$6:C1281)&gt;INDEX(fa_ttc,MATCH(B1281,fa_num,0))-N(INDEX(fa_avoirs,MATCH(B1281,fa_num,0)))+0.001,"Dépasse le montant de la facture","OK")))))))))</f>
        <v/>
      </c>
    </row>
    <row r="1282">
      <c r="A1282" s="61" t="n"/>
      <c r="B1282" s="60" t="n"/>
      <c r="C1282" s="68" t="n"/>
      <c r="D1282" s="60" t="n"/>
      <c r="E1282" s="63" t="n"/>
      <c r="F1282" s="63" t="n"/>
      <c r="G1282" s="62" t="str">
        <f>IF(B1282="","",IFERROR(INDEX(fa_cname,MATCH(B1282,fa_num,0))&amp;"",""))</f>
        <v/>
      </c>
      <c r="H1282" s="59" t="str">
        <f>IF(COUNTA(A1282:F1282)=0,"",IF(A1282="","Date manquante",IF(NOT(ISNUMBER(A1282)),"Date invalide",IF(B1282="","N° de facture manquant",IF(ISNA(MATCH(B1282,fa_num,0)),"Facture inconnue",IF(INDEX(fa_type,MATCH(B1282,fa_num,0))="Avoir","Paiement sur un avoir",IF(OR(NOT(ISNUMBER(C1282)),N(C1282)&lt;=0),"Montant invalide",IF(A1282&lt;INDEX(fa_date,MATCH(B1282,fa_num,0)),"Date antérieure à la facture",IF(SUMIF($B$6:B1282,B1282,$C$6:C1282)&gt;INDEX(fa_ttc,MATCH(B1282,fa_num,0))-N(INDEX(fa_avoirs,MATCH(B1282,fa_num,0)))+0.001,"Dépasse le montant de la facture","OK")))))))))</f>
        <v/>
      </c>
    </row>
    <row r="1283">
      <c r="A1283" s="61" t="n"/>
      <c r="B1283" s="60" t="n"/>
      <c r="C1283" s="68" t="n"/>
      <c r="D1283" s="60" t="n"/>
      <c r="E1283" s="63" t="n"/>
      <c r="F1283" s="63" t="n"/>
      <c r="G1283" s="62" t="str">
        <f>IF(B1283="","",IFERROR(INDEX(fa_cname,MATCH(B1283,fa_num,0))&amp;"",""))</f>
        <v/>
      </c>
      <c r="H1283" s="59" t="str">
        <f>IF(COUNTA(A1283:F1283)=0,"",IF(A1283="","Date manquante",IF(NOT(ISNUMBER(A1283)),"Date invalide",IF(B1283="","N° de facture manquant",IF(ISNA(MATCH(B1283,fa_num,0)),"Facture inconnue",IF(INDEX(fa_type,MATCH(B1283,fa_num,0))="Avoir","Paiement sur un avoir",IF(OR(NOT(ISNUMBER(C1283)),N(C1283)&lt;=0),"Montant invalide",IF(A1283&lt;INDEX(fa_date,MATCH(B1283,fa_num,0)),"Date antérieure à la facture",IF(SUMIF($B$6:B1283,B1283,$C$6:C1283)&gt;INDEX(fa_ttc,MATCH(B1283,fa_num,0))-N(INDEX(fa_avoirs,MATCH(B1283,fa_num,0)))+0.001,"Dépasse le montant de la facture","OK")))))))))</f>
        <v/>
      </c>
    </row>
    <row r="1284">
      <c r="A1284" s="61" t="n"/>
      <c r="B1284" s="60" t="n"/>
      <c r="C1284" s="68" t="n"/>
      <c r="D1284" s="60" t="n"/>
      <c r="E1284" s="63" t="n"/>
      <c r="F1284" s="63" t="n"/>
      <c r="G1284" s="62" t="str">
        <f>IF(B1284="","",IFERROR(INDEX(fa_cname,MATCH(B1284,fa_num,0))&amp;"",""))</f>
        <v/>
      </c>
      <c r="H1284" s="59" t="str">
        <f>IF(COUNTA(A1284:F1284)=0,"",IF(A1284="","Date manquante",IF(NOT(ISNUMBER(A1284)),"Date invalide",IF(B1284="","N° de facture manquant",IF(ISNA(MATCH(B1284,fa_num,0)),"Facture inconnue",IF(INDEX(fa_type,MATCH(B1284,fa_num,0))="Avoir","Paiement sur un avoir",IF(OR(NOT(ISNUMBER(C1284)),N(C1284)&lt;=0),"Montant invalide",IF(A1284&lt;INDEX(fa_date,MATCH(B1284,fa_num,0)),"Date antérieure à la facture",IF(SUMIF($B$6:B1284,B1284,$C$6:C1284)&gt;INDEX(fa_ttc,MATCH(B1284,fa_num,0))-N(INDEX(fa_avoirs,MATCH(B1284,fa_num,0)))+0.001,"Dépasse le montant de la facture","OK")))))))))</f>
        <v/>
      </c>
    </row>
    <row r="1285">
      <c r="A1285" s="61" t="n"/>
      <c r="B1285" s="60" t="n"/>
      <c r="C1285" s="68" t="n"/>
      <c r="D1285" s="60" t="n"/>
      <c r="E1285" s="63" t="n"/>
      <c r="F1285" s="63" t="n"/>
      <c r="G1285" s="62" t="str">
        <f>IF(B1285="","",IFERROR(INDEX(fa_cname,MATCH(B1285,fa_num,0))&amp;"",""))</f>
        <v/>
      </c>
      <c r="H1285" s="59" t="str">
        <f>IF(COUNTA(A1285:F1285)=0,"",IF(A1285="","Date manquante",IF(NOT(ISNUMBER(A1285)),"Date invalide",IF(B1285="","N° de facture manquant",IF(ISNA(MATCH(B1285,fa_num,0)),"Facture inconnue",IF(INDEX(fa_type,MATCH(B1285,fa_num,0))="Avoir","Paiement sur un avoir",IF(OR(NOT(ISNUMBER(C1285)),N(C1285)&lt;=0),"Montant invalide",IF(A1285&lt;INDEX(fa_date,MATCH(B1285,fa_num,0)),"Date antérieure à la facture",IF(SUMIF($B$6:B1285,B1285,$C$6:C1285)&gt;INDEX(fa_ttc,MATCH(B1285,fa_num,0))-N(INDEX(fa_avoirs,MATCH(B1285,fa_num,0)))+0.001,"Dépasse le montant de la facture","OK")))))))))</f>
        <v/>
      </c>
    </row>
    <row r="1286">
      <c r="A1286" s="61" t="n"/>
      <c r="B1286" s="60" t="n"/>
      <c r="C1286" s="68" t="n"/>
      <c r="D1286" s="60" t="n"/>
      <c r="E1286" s="63" t="n"/>
      <c r="F1286" s="63" t="n"/>
      <c r="G1286" s="62" t="str">
        <f>IF(B1286="","",IFERROR(INDEX(fa_cname,MATCH(B1286,fa_num,0))&amp;"",""))</f>
        <v/>
      </c>
      <c r="H1286" s="59" t="str">
        <f>IF(COUNTA(A1286:F1286)=0,"",IF(A1286="","Date manquante",IF(NOT(ISNUMBER(A1286)),"Date invalide",IF(B1286="","N° de facture manquant",IF(ISNA(MATCH(B1286,fa_num,0)),"Facture inconnue",IF(INDEX(fa_type,MATCH(B1286,fa_num,0))="Avoir","Paiement sur un avoir",IF(OR(NOT(ISNUMBER(C1286)),N(C1286)&lt;=0),"Montant invalide",IF(A1286&lt;INDEX(fa_date,MATCH(B1286,fa_num,0)),"Date antérieure à la facture",IF(SUMIF($B$6:B1286,B1286,$C$6:C1286)&gt;INDEX(fa_ttc,MATCH(B1286,fa_num,0))-N(INDEX(fa_avoirs,MATCH(B1286,fa_num,0)))+0.001,"Dépasse le montant de la facture","OK")))))))))</f>
        <v/>
      </c>
    </row>
    <row r="1287">
      <c r="A1287" s="61" t="n"/>
      <c r="B1287" s="60" t="n"/>
      <c r="C1287" s="68" t="n"/>
      <c r="D1287" s="60" t="n"/>
      <c r="E1287" s="63" t="n"/>
      <c r="F1287" s="63" t="n"/>
      <c r="G1287" s="62" t="str">
        <f>IF(B1287="","",IFERROR(INDEX(fa_cname,MATCH(B1287,fa_num,0))&amp;"",""))</f>
        <v/>
      </c>
      <c r="H1287" s="59" t="str">
        <f>IF(COUNTA(A1287:F1287)=0,"",IF(A1287="","Date manquante",IF(NOT(ISNUMBER(A1287)),"Date invalide",IF(B1287="","N° de facture manquant",IF(ISNA(MATCH(B1287,fa_num,0)),"Facture inconnue",IF(INDEX(fa_type,MATCH(B1287,fa_num,0))="Avoir","Paiement sur un avoir",IF(OR(NOT(ISNUMBER(C1287)),N(C1287)&lt;=0),"Montant invalide",IF(A1287&lt;INDEX(fa_date,MATCH(B1287,fa_num,0)),"Date antérieure à la facture",IF(SUMIF($B$6:B1287,B1287,$C$6:C1287)&gt;INDEX(fa_ttc,MATCH(B1287,fa_num,0))-N(INDEX(fa_avoirs,MATCH(B1287,fa_num,0)))+0.001,"Dépasse le montant de la facture","OK")))))))))</f>
        <v/>
      </c>
    </row>
    <row r="1288">
      <c r="A1288" s="61" t="n"/>
      <c r="B1288" s="60" t="n"/>
      <c r="C1288" s="68" t="n"/>
      <c r="D1288" s="60" t="n"/>
      <c r="E1288" s="63" t="n"/>
      <c r="F1288" s="63" t="n"/>
      <c r="G1288" s="62" t="str">
        <f>IF(B1288="","",IFERROR(INDEX(fa_cname,MATCH(B1288,fa_num,0))&amp;"",""))</f>
        <v/>
      </c>
      <c r="H1288" s="59" t="str">
        <f>IF(COUNTA(A1288:F1288)=0,"",IF(A1288="","Date manquante",IF(NOT(ISNUMBER(A1288)),"Date invalide",IF(B1288="","N° de facture manquant",IF(ISNA(MATCH(B1288,fa_num,0)),"Facture inconnue",IF(INDEX(fa_type,MATCH(B1288,fa_num,0))="Avoir","Paiement sur un avoir",IF(OR(NOT(ISNUMBER(C1288)),N(C1288)&lt;=0),"Montant invalide",IF(A1288&lt;INDEX(fa_date,MATCH(B1288,fa_num,0)),"Date antérieure à la facture",IF(SUMIF($B$6:B1288,B1288,$C$6:C1288)&gt;INDEX(fa_ttc,MATCH(B1288,fa_num,0))-N(INDEX(fa_avoirs,MATCH(B1288,fa_num,0)))+0.001,"Dépasse le montant de la facture","OK")))))))))</f>
        <v/>
      </c>
    </row>
    <row r="1289">
      <c r="A1289" s="61" t="n"/>
      <c r="B1289" s="60" t="n"/>
      <c r="C1289" s="68" t="n"/>
      <c r="D1289" s="60" t="n"/>
      <c r="E1289" s="63" t="n"/>
      <c r="F1289" s="63" t="n"/>
      <c r="G1289" s="62" t="str">
        <f>IF(B1289="","",IFERROR(INDEX(fa_cname,MATCH(B1289,fa_num,0))&amp;"",""))</f>
        <v/>
      </c>
      <c r="H1289" s="59" t="str">
        <f>IF(COUNTA(A1289:F1289)=0,"",IF(A1289="","Date manquante",IF(NOT(ISNUMBER(A1289)),"Date invalide",IF(B1289="","N° de facture manquant",IF(ISNA(MATCH(B1289,fa_num,0)),"Facture inconnue",IF(INDEX(fa_type,MATCH(B1289,fa_num,0))="Avoir","Paiement sur un avoir",IF(OR(NOT(ISNUMBER(C1289)),N(C1289)&lt;=0),"Montant invalide",IF(A1289&lt;INDEX(fa_date,MATCH(B1289,fa_num,0)),"Date antérieure à la facture",IF(SUMIF($B$6:B1289,B1289,$C$6:C1289)&gt;INDEX(fa_ttc,MATCH(B1289,fa_num,0))-N(INDEX(fa_avoirs,MATCH(B1289,fa_num,0)))+0.001,"Dépasse le montant de la facture","OK")))))))))</f>
        <v/>
      </c>
    </row>
    <row r="1290">
      <c r="A1290" s="61" t="n"/>
      <c r="B1290" s="60" t="n"/>
      <c r="C1290" s="68" t="n"/>
      <c r="D1290" s="60" t="n"/>
      <c r="E1290" s="63" t="n"/>
      <c r="F1290" s="63" t="n"/>
      <c r="G1290" s="62" t="str">
        <f>IF(B1290="","",IFERROR(INDEX(fa_cname,MATCH(B1290,fa_num,0))&amp;"",""))</f>
        <v/>
      </c>
      <c r="H1290" s="59" t="str">
        <f>IF(COUNTA(A1290:F1290)=0,"",IF(A1290="","Date manquante",IF(NOT(ISNUMBER(A1290)),"Date invalide",IF(B1290="","N° de facture manquant",IF(ISNA(MATCH(B1290,fa_num,0)),"Facture inconnue",IF(INDEX(fa_type,MATCH(B1290,fa_num,0))="Avoir","Paiement sur un avoir",IF(OR(NOT(ISNUMBER(C1290)),N(C1290)&lt;=0),"Montant invalide",IF(A1290&lt;INDEX(fa_date,MATCH(B1290,fa_num,0)),"Date antérieure à la facture",IF(SUMIF($B$6:B1290,B1290,$C$6:C1290)&gt;INDEX(fa_ttc,MATCH(B1290,fa_num,0))-N(INDEX(fa_avoirs,MATCH(B1290,fa_num,0)))+0.001,"Dépasse le montant de la facture","OK")))))))))</f>
        <v/>
      </c>
    </row>
    <row r="1291">
      <c r="A1291" s="61" t="n"/>
      <c r="B1291" s="60" t="n"/>
      <c r="C1291" s="68" t="n"/>
      <c r="D1291" s="60" t="n"/>
      <c r="E1291" s="63" t="n"/>
      <c r="F1291" s="63" t="n"/>
      <c r="G1291" s="62" t="str">
        <f>IF(B1291="","",IFERROR(INDEX(fa_cname,MATCH(B1291,fa_num,0))&amp;"",""))</f>
        <v/>
      </c>
      <c r="H1291" s="59" t="str">
        <f>IF(COUNTA(A1291:F1291)=0,"",IF(A1291="","Date manquante",IF(NOT(ISNUMBER(A1291)),"Date invalide",IF(B1291="","N° de facture manquant",IF(ISNA(MATCH(B1291,fa_num,0)),"Facture inconnue",IF(INDEX(fa_type,MATCH(B1291,fa_num,0))="Avoir","Paiement sur un avoir",IF(OR(NOT(ISNUMBER(C1291)),N(C1291)&lt;=0),"Montant invalide",IF(A1291&lt;INDEX(fa_date,MATCH(B1291,fa_num,0)),"Date antérieure à la facture",IF(SUMIF($B$6:B1291,B1291,$C$6:C1291)&gt;INDEX(fa_ttc,MATCH(B1291,fa_num,0))-N(INDEX(fa_avoirs,MATCH(B1291,fa_num,0)))+0.001,"Dépasse le montant de la facture","OK")))))))))</f>
        <v/>
      </c>
    </row>
    <row r="1292">
      <c r="A1292" s="61" t="n"/>
      <c r="B1292" s="60" t="n"/>
      <c r="C1292" s="68" t="n"/>
      <c r="D1292" s="60" t="n"/>
      <c r="E1292" s="63" t="n"/>
      <c r="F1292" s="63" t="n"/>
      <c r="G1292" s="62" t="str">
        <f>IF(B1292="","",IFERROR(INDEX(fa_cname,MATCH(B1292,fa_num,0))&amp;"",""))</f>
        <v/>
      </c>
      <c r="H1292" s="59" t="str">
        <f>IF(COUNTA(A1292:F1292)=0,"",IF(A1292="","Date manquante",IF(NOT(ISNUMBER(A1292)),"Date invalide",IF(B1292="","N° de facture manquant",IF(ISNA(MATCH(B1292,fa_num,0)),"Facture inconnue",IF(INDEX(fa_type,MATCH(B1292,fa_num,0))="Avoir","Paiement sur un avoir",IF(OR(NOT(ISNUMBER(C1292)),N(C1292)&lt;=0),"Montant invalide",IF(A1292&lt;INDEX(fa_date,MATCH(B1292,fa_num,0)),"Date antérieure à la facture",IF(SUMIF($B$6:B1292,B1292,$C$6:C1292)&gt;INDEX(fa_ttc,MATCH(B1292,fa_num,0))-N(INDEX(fa_avoirs,MATCH(B1292,fa_num,0)))+0.001,"Dépasse le montant de la facture","OK")))))))))</f>
        <v/>
      </c>
    </row>
    <row r="1293">
      <c r="A1293" s="61" t="n"/>
      <c r="B1293" s="60" t="n"/>
      <c r="C1293" s="68" t="n"/>
      <c r="D1293" s="60" t="n"/>
      <c r="E1293" s="63" t="n"/>
      <c r="F1293" s="63" t="n"/>
      <c r="G1293" s="62" t="str">
        <f>IF(B1293="","",IFERROR(INDEX(fa_cname,MATCH(B1293,fa_num,0))&amp;"",""))</f>
        <v/>
      </c>
      <c r="H1293" s="59" t="str">
        <f>IF(COUNTA(A1293:F1293)=0,"",IF(A1293="","Date manquante",IF(NOT(ISNUMBER(A1293)),"Date invalide",IF(B1293="","N° de facture manquant",IF(ISNA(MATCH(B1293,fa_num,0)),"Facture inconnue",IF(INDEX(fa_type,MATCH(B1293,fa_num,0))="Avoir","Paiement sur un avoir",IF(OR(NOT(ISNUMBER(C1293)),N(C1293)&lt;=0),"Montant invalide",IF(A1293&lt;INDEX(fa_date,MATCH(B1293,fa_num,0)),"Date antérieure à la facture",IF(SUMIF($B$6:B1293,B1293,$C$6:C1293)&gt;INDEX(fa_ttc,MATCH(B1293,fa_num,0))-N(INDEX(fa_avoirs,MATCH(B1293,fa_num,0)))+0.001,"Dépasse le montant de la facture","OK")))))))))</f>
        <v/>
      </c>
    </row>
    <row r="1294">
      <c r="A1294" s="61" t="n"/>
      <c r="B1294" s="60" t="n"/>
      <c r="C1294" s="68" t="n"/>
      <c r="D1294" s="60" t="n"/>
      <c r="E1294" s="63" t="n"/>
      <c r="F1294" s="63" t="n"/>
      <c r="G1294" s="62" t="str">
        <f>IF(B1294="","",IFERROR(INDEX(fa_cname,MATCH(B1294,fa_num,0))&amp;"",""))</f>
        <v/>
      </c>
      <c r="H1294" s="59" t="str">
        <f>IF(COUNTA(A1294:F1294)=0,"",IF(A1294="","Date manquante",IF(NOT(ISNUMBER(A1294)),"Date invalide",IF(B1294="","N° de facture manquant",IF(ISNA(MATCH(B1294,fa_num,0)),"Facture inconnue",IF(INDEX(fa_type,MATCH(B1294,fa_num,0))="Avoir","Paiement sur un avoir",IF(OR(NOT(ISNUMBER(C1294)),N(C1294)&lt;=0),"Montant invalide",IF(A1294&lt;INDEX(fa_date,MATCH(B1294,fa_num,0)),"Date antérieure à la facture",IF(SUMIF($B$6:B1294,B1294,$C$6:C1294)&gt;INDEX(fa_ttc,MATCH(B1294,fa_num,0))-N(INDEX(fa_avoirs,MATCH(B1294,fa_num,0)))+0.001,"Dépasse le montant de la facture","OK")))))))))</f>
        <v/>
      </c>
    </row>
    <row r="1295">
      <c r="A1295" s="61" t="n"/>
      <c r="B1295" s="60" t="n"/>
      <c r="C1295" s="68" t="n"/>
      <c r="D1295" s="60" t="n"/>
      <c r="E1295" s="63" t="n"/>
      <c r="F1295" s="63" t="n"/>
      <c r="G1295" s="62" t="str">
        <f>IF(B1295="","",IFERROR(INDEX(fa_cname,MATCH(B1295,fa_num,0))&amp;"",""))</f>
        <v/>
      </c>
      <c r="H1295" s="59" t="str">
        <f>IF(COUNTA(A1295:F1295)=0,"",IF(A1295="","Date manquante",IF(NOT(ISNUMBER(A1295)),"Date invalide",IF(B1295="","N° de facture manquant",IF(ISNA(MATCH(B1295,fa_num,0)),"Facture inconnue",IF(INDEX(fa_type,MATCH(B1295,fa_num,0))="Avoir","Paiement sur un avoir",IF(OR(NOT(ISNUMBER(C1295)),N(C1295)&lt;=0),"Montant invalide",IF(A1295&lt;INDEX(fa_date,MATCH(B1295,fa_num,0)),"Date antérieure à la facture",IF(SUMIF($B$6:B1295,B1295,$C$6:C1295)&gt;INDEX(fa_ttc,MATCH(B1295,fa_num,0))-N(INDEX(fa_avoirs,MATCH(B1295,fa_num,0)))+0.001,"Dépasse le montant de la facture","OK")))))))))</f>
        <v/>
      </c>
    </row>
    <row r="1296">
      <c r="A1296" s="61" t="n"/>
      <c r="B1296" s="60" t="n"/>
      <c r="C1296" s="68" t="n"/>
      <c r="D1296" s="60" t="n"/>
      <c r="E1296" s="63" t="n"/>
      <c r="F1296" s="63" t="n"/>
      <c r="G1296" s="62" t="str">
        <f>IF(B1296="","",IFERROR(INDEX(fa_cname,MATCH(B1296,fa_num,0))&amp;"",""))</f>
        <v/>
      </c>
      <c r="H1296" s="59" t="str">
        <f>IF(COUNTA(A1296:F1296)=0,"",IF(A1296="","Date manquante",IF(NOT(ISNUMBER(A1296)),"Date invalide",IF(B1296="","N° de facture manquant",IF(ISNA(MATCH(B1296,fa_num,0)),"Facture inconnue",IF(INDEX(fa_type,MATCH(B1296,fa_num,0))="Avoir","Paiement sur un avoir",IF(OR(NOT(ISNUMBER(C1296)),N(C1296)&lt;=0),"Montant invalide",IF(A1296&lt;INDEX(fa_date,MATCH(B1296,fa_num,0)),"Date antérieure à la facture",IF(SUMIF($B$6:B1296,B1296,$C$6:C1296)&gt;INDEX(fa_ttc,MATCH(B1296,fa_num,0))-N(INDEX(fa_avoirs,MATCH(B1296,fa_num,0)))+0.001,"Dépasse le montant de la facture","OK")))))))))</f>
        <v/>
      </c>
    </row>
    <row r="1297">
      <c r="A1297" s="61" t="n"/>
      <c r="B1297" s="60" t="n"/>
      <c r="C1297" s="68" t="n"/>
      <c r="D1297" s="60" t="n"/>
      <c r="E1297" s="63" t="n"/>
      <c r="F1297" s="63" t="n"/>
      <c r="G1297" s="62" t="str">
        <f>IF(B1297="","",IFERROR(INDEX(fa_cname,MATCH(B1297,fa_num,0))&amp;"",""))</f>
        <v/>
      </c>
      <c r="H1297" s="59" t="str">
        <f>IF(COUNTA(A1297:F1297)=0,"",IF(A1297="","Date manquante",IF(NOT(ISNUMBER(A1297)),"Date invalide",IF(B1297="","N° de facture manquant",IF(ISNA(MATCH(B1297,fa_num,0)),"Facture inconnue",IF(INDEX(fa_type,MATCH(B1297,fa_num,0))="Avoir","Paiement sur un avoir",IF(OR(NOT(ISNUMBER(C1297)),N(C1297)&lt;=0),"Montant invalide",IF(A1297&lt;INDEX(fa_date,MATCH(B1297,fa_num,0)),"Date antérieure à la facture",IF(SUMIF($B$6:B1297,B1297,$C$6:C1297)&gt;INDEX(fa_ttc,MATCH(B1297,fa_num,0))-N(INDEX(fa_avoirs,MATCH(B1297,fa_num,0)))+0.001,"Dépasse le montant de la facture","OK")))))))))</f>
        <v/>
      </c>
    </row>
    <row r="1298">
      <c r="A1298" s="61" t="n"/>
      <c r="B1298" s="60" t="n"/>
      <c r="C1298" s="68" t="n"/>
      <c r="D1298" s="60" t="n"/>
      <c r="E1298" s="63" t="n"/>
      <c r="F1298" s="63" t="n"/>
      <c r="G1298" s="62" t="str">
        <f>IF(B1298="","",IFERROR(INDEX(fa_cname,MATCH(B1298,fa_num,0))&amp;"",""))</f>
        <v/>
      </c>
      <c r="H1298" s="59" t="str">
        <f>IF(COUNTA(A1298:F1298)=0,"",IF(A1298="","Date manquante",IF(NOT(ISNUMBER(A1298)),"Date invalide",IF(B1298="","N° de facture manquant",IF(ISNA(MATCH(B1298,fa_num,0)),"Facture inconnue",IF(INDEX(fa_type,MATCH(B1298,fa_num,0))="Avoir","Paiement sur un avoir",IF(OR(NOT(ISNUMBER(C1298)),N(C1298)&lt;=0),"Montant invalide",IF(A1298&lt;INDEX(fa_date,MATCH(B1298,fa_num,0)),"Date antérieure à la facture",IF(SUMIF($B$6:B1298,B1298,$C$6:C1298)&gt;INDEX(fa_ttc,MATCH(B1298,fa_num,0))-N(INDEX(fa_avoirs,MATCH(B1298,fa_num,0)))+0.001,"Dépasse le montant de la facture","OK")))))))))</f>
        <v/>
      </c>
    </row>
    <row r="1299">
      <c r="A1299" s="61" t="n"/>
      <c r="B1299" s="60" t="n"/>
      <c r="C1299" s="68" t="n"/>
      <c r="D1299" s="60" t="n"/>
      <c r="E1299" s="63" t="n"/>
      <c r="F1299" s="63" t="n"/>
      <c r="G1299" s="62" t="str">
        <f>IF(B1299="","",IFERROR(INDEX(fa_cname,MATCH(B1299,fa_num,0))&amp;"",""))</f>
        <v/>
      </c>
      <c r="H1299" s="59" t="str">
        <f>IF(COUNTA(A1299:F1299)=0,"",IF(A1299="","Date manquante",IF(NOT(ISNUMBER(A1299)),"Date invalide",IF(B1299="","N° de facture manquant",IF(ISNA(MATCH(B1299,fa_num,0)),"Facture inconnue",IF(INDEX(fa_type,MATCH(B1299,fa_num,0))="Avoir","Paiement sur un avoir",IF(OR(NOT(ISNUMBER(C1299)),N(C1299)&lt;=0),"Montant invalide",IF(A1299&lt;INDEX(fa_date,MATCH(B1299,fa_num,0)),"Date antérieure à la facture",IF(SUMIF($B$6:B1299,B1299,$C$6:C1299)&gt;INDEX(fa_ttc,MATCH(B1299,fa_num,0))-N(INDEX(fa_avoirs,MATCH(B1299,fa_num,0)))+0.001,"Dépasse le montant de la facture","OK")))))))))</f>
        <v/>
      </c>
    </row>
    <row r="1300">
      <c r="A1300" s="61" t="n"/>
      <c r="B1300" s="60" t="n"/>
      <c r="C1300" s="68" t="n"/>
      <c r="D1300" s="60" t="n"/>
      <c r="E1300" s="63" t="n"/>
      <c r="F1300" s="63" t="n"/>
      <c r="G1300" s="62" t="str">
        <f>IF(B1300="","",IFERROR(INDEX(fa_cname,MATCH(B1300,fa_num,0))&amp;"",""))</f>
        <v/>
      </c>
      <c r="H1300" s="59" t="str">
        <f>IF(COUNTA(A1300:F1300)=0,"",IF(A1300="","Date manquante",IF(NOT(ISNUMBER(A1300)),"Date invalide",IF(B1300="","N° de facture manquant",IF(ISNA(MATCH(B1300,fa_num,0)),"Facture inconnue",IF(INDEX(fa_type,MATCH(B1300,fa_num,0))="Avoir","Paiement sur un avoir",IF(OR(NOT(ISNUMBER(C1300)),N(C1300)&lt;=0),"Montant invalide",IF(A1300&lt;INDEX(fa_date,MATCH(B1300,fa_num,0)),"Date antérieure à la facture",IF(SUMIF($B$6:B1300,B1300,$C$6:C1300)&gt;INDEX(fa_ttc,MATCH(B1300,fa_num,0))-N(INDEX(fa_avoirs,MATCH(B1300,fa_num,0)))+0.001,"Dépasse le montant de la facture","OK")))))))))</f>
        <v/>
      </c>
    </row>
    <row r="1301">
      <c r="A1301" s="61" t="n"/>
      <c r="B1301" s="60" t="n"/>
      <c r="C1301" s="68" t="n"/>
      <c r="D1301" s="60" t="n"/>
      <c r="E1301" s="63" t="n"/>
      <c r="F1301" s="63" t="n"/>
      <c r="G1301" s="62" t="str">
        <f>IF(B1301="","",IFERROR(INDEX(fa_cname,MATCH(B1301,fa_num,0))&amp;"",""))</f>
        <v/>
      </c>
      <c r="H1301" s="59" t="str">
        <f>IF(COUNTA(A1301:F1301)=0,"",IF(A1301="","Date manquante",IF(NOT(ISNUMBER(A1301)),"Date invalide",IF(B1301="","N° de facture manquant",IF(ISNA(MATCH(B1301,fa_num,0)),"Facture inconnue",IF(INDEX(fa_type,MATCH(B1301,fa_num,0))="Avoir","Paiement sur un avoir",IF(OR(NOT(ISNUMBER(C1301)),N(C1301)&lt;=0),"Montant invalide",IF(A1301&lt;INDEX(fa_date,MATCH(B1301,fa_num,0)),"Date antérieure à la facture",IF(SUMIF($B$6:B1301,B1301,$C$6:C1301)&gt;INDEX(fa_ttc,MATCH(B1301,fa_num,0))-N(INDEX(fa_avoirs,MATCH(B1301,fa_num,0)))+0.001,"Dépasse le montant de la facture","OK")))))))))</f>
        <v/>
      </c>
    </row>
    <row r="1302">
      <c r="A1302" s="61" t="n"/>
      <c r="B1302" s="60" t="n"/>
      <c r="C1302" s="68" t="n"/>
      <c r="D1302" s="60" t="n"/>
      <c r="E1302" s="63" t="n"/>
      <c r="F1302" s="63" t="n"/>
      <c r="G1302" s="62" t="str">
        <f>IF(B1302="","",IFERROR(INDEX(fa_cname,MATCH(B1302,fa_num,0))&amp;"",""))</f>
        <v/>
      </c>
      <c r="H1302" s="59" t="str">
        <f>IF(COUNTA(A1302:F1302)=0,"",IF(A1302="","Date manquante",IF(NOT(ISNUMBER(A1302)),"Date invalide",IF(B1302="","N° de facture manquant",IF(ISNA(MATCH(B1302,fa_num,0)),"Facture inconnue",IF(INDEX(fa_type,MATCH(B1302,fa_num,0))="Avoir","Paiement sur un avoir",IF(OR(NOT(ISNUMBER(C1302)),N(C1302)&lt;=0),"Montant invalide",IF(A1302&lt;INDEX(fa_date,MATCH(B1302,fa_num,0)),"Date antérieure à la facture",IF(SUMIF($B$6:B1302,B1302,$C$6:C1302)&gt;INDEX(fa_ttc,MATCH(B1302,fa_num,0))-N(INDEX(fa_avoirs,MATCH(B1302,fa_num,0)))+0.001,"Dépasse le montant de la facture","OK")))))))))</f>
        <v/>
      </c>
    </row>
    <row r="1303">
      <c r="A1303" s="61" t="n"/>
      <c r="B1303" s="60" t="n"/>
      <c r="C1303" s="68" t="n"/>
      <c r="D1303" s="60" t="n"/>
      <c r="E1303" s="63" t="n"/>
      <c r="F1303" s="63" t="n"/>
      <c r="G1303" s="62" t="str">
        <f>IF(B1303="","",IFERROR(INDEX(fa_cname,MATCH(B1303,fa_num,0))&amp;"",""))</f>
        <v/>
      </c>
      <c r="H1303" s="59" t="str">
        <f>IF(COUNTA(A1303:F1303)=0,"",IF(A1303="","Date manquante",IF(NOT(ISNUMBER(A1303)),"Date invalide",IF(B1303="","N° de facture manquant",IF(ISNA(MATCH(B1303,fa_num,0)),"Facture inconnue",IF(INDEX(fa_type,MATCH(B1303,fa_num,0))="Avoir","Paiement sur un avoir",IF(OR(NOT(ISNUMBER(C1303)),N(C1303)&lt;=0),"Montant invalide",IF(A1303&lt;INDEX(fa_date,MATCH(B1303,fa_num,0)),"Date antérieure à la facture",IF(SUMIF($B$6:B1303,B1303,$C$6:C1303)&gt;INDEX(fa_ttc,MATCH(B1303,fa_num,0))-N(INDEX(fa_avoirs,MATCH(B1303,fa_num,0)))+0.001,"Dépasse le montant de la facture","OK")))))))))</f>
        <v/>
      </c>
    </row>
    <row r="1304">
      <c r="A1304" s="61" t="n"/>
      <c r="B1304" s="60" t="n"/>
      <c r="C1304" s="68" t="n"/>
      <c r="D1304" s="60" t="n"/>
      <c r="E1304" s="63" t="n"/>
      <c r="F1304" s="63" t="n"/>
      <c r="G1304" s="62" t="str">
        <f>IF(B1304="","",IFERROR(INDEX(fa_cname,MATCH(B1304,fa_num,0))&amp;"",""))</f>
        <v/>
      </c>
      <c r="H1304" s="59" t="str">
        <f>IF(COUNTA(A1304:F1304)=0,"",IF(A1304="","Date manquante",IF(NOT(ISNUMBER(A1304)),"Date invalide",IF(B1304="","N° de facture manquant",IF(ISNA(MATCH(B1304,fa_num,0)),"Facture inconnue",IF(INDEX(fa_type,MATCH(B1304,fa_num,0))="Avoir","Paiement sur un avoir",IF(OR(NOT(ISNUMBER(C1304)),N(C1304)&lt;=0),"Montant invalide",IF(A1304&lt;INDEX(fa_date,MATCH(B1304,fa_num,0)),"Date antérieure à la facture",IF(SUMIF($B$6:B1304,B1304,$C$6:C1304)&gt;INDEX(fa_ttc,MATCH(B1304,fa_num,0))-N(INDEX(fa_avoirs,MATCH(B1304,fa_num,0)))+0.001,"Dépasse le montant de la facture","OK")))))))))</f>
        <v/>
      </c>
    </row>
    <row r="1305">
      <c r="A1305" s="61" t="n"/>
      <c r="B1305" s="60" t="n"/>
      <c r="C1305" s="68" t="n"/>
      <c r="D1305" s="60" t="n"/>
      <c r="E1305" s="63" t="n"/>
      <c r="F1305" s="63" t="n"/>
      <c r="G1305" s="62" t="str">
        <f>IF(B1305="","",IFERROR(INDEX(fa_cname,MATCH(B1305,fa_num,0))&amp;"",""))</f>
        <v/>
      </c>
      <c r="H1305" s="59" t="str">
        <f>IF(COUNTA(A1305:F1305)=0,"",IF(A1305="","Date manquante",IF(NOT(ISNUMBER(A1305)),"Date invalide",IF(B1305="","N° de facture manquant",IF(ISNA(MATCH(B1305,fa_num,0)),"Facture inconnue",IF(INDEX(fa_type,MATCH(B1305,fa_num,0))="Avoir","Paiement sur un avoir",IF(OR(NOT(ISNUMBER(C1305)),N(C1305)&lt;=0),"Montant invalide",IF(A1305&lt;INDEX(fa_date,MATCH(B1305,fa_num,0)),"Date antérieure à la facture",IF(SUMIF($B$6:B1305,B1305,$C$6:C1305)&gt;INDEX(fa_ttc,MATCH(B1305,fa_num,0))-N(INDEX(fa_avoirs,MATCH(B1305,fa_num,0)))+0.001,"Dépasse le montant de la facture","OK")))))))))</f>
        <v/>
      </c>
    </row>
    <row r="1306">
      <c r="A1306" s="61" t="n"/>
      <c r="B1306" s="60" t="n"/>
      <c r="C1306" s="68" t="n"/>
      <c r="D1306" s="60" t="n"/>
      <c r="E1306" s="63" t="n"/>
      <c r="F1306" s="63" t="n"/>
      <c r="G1306" s="62" t="str">
        <f>IF(B1306="","",IFERROR(INDEX(fa_cname,MATCH(B1306,fa_num,0))&amp;"",""))</f>
        <v/>
      </c>
      <c r="H1306" s="59" t="str">
        <f>IF(COUNTA(A1306:F1306)=0,"",IF(A1306="","Date manquante",IF(NOT(ISNUMBER(A1306)),"Date invalide",IF(B1306="","N° de facture manquant",IF(ISNA(MATCH(B1306,fa_num,0)),"Facture inconnue",IF(INDEX(fa_type,MATCH(B1306,fa_num,0))="Avoir","Paiement sur un avoir",IF(OR(NOT(ISNUMBER(C1306)),N(C1306)&lt;=0),"Montant invalide",IF(A1306&lt;INDEX(fa_date,MATCH(B1306,fa_num,0)),"Date antérieure à la facture",IF(SUMIF($B$6:B1306,B1306,$C$6:C1306)&gt;INDEX(fa_ttc,MATCH(B1306,fa_num,0))-N(INDEX(fa_avoirs,MATCH(B1306,fa_num,0)))+0.001,"Dépasse le montant de la facture","OK")))))))))</f>
        <v/>
      </c>
    </row>
    <row r="1307">
      <c r="A1307" s="61" t="n"/>
      <c r="B1307" s="60" t="n"/>
      <c r="C1307" s="68" t="n"/>
      <c r="D1307" s="60" t="n"/>
      <c r="E1307" s="63" t="n"/>
      <c r="F1307" s="63" t="n"/>
      <c r="G1307" s="62" t="str">
        <f>IF(B1307="","",IFERROR(INDEX(fa_cname,MATCH(B1307,fa_num,0))&amp;"",""))</f>
        <v/>
      </c>
      <c r="H1307" s="59" t="str">
        <f>IF(COUNTA(A1307:F1307)=0,"",IF(A1307="","Date manquante",IF(NOT(ISNUMBER(A1307)),"Date invalide",IF(B1307="","N° de facture manquant",IF(ISNA(MATCH(B1307,fa_num,0)),"Facture inconnue",IF(INDEX(fa_type,MATCH(B1307,fa_num,0))="Avoir","Paiement sur un avoir",IF(OR(NOT(ISNUMBER(C1307)),N(C1307)&lt;=0),"Montant invalide",IF(A1307&lt;INDEX(fa_date,MATCH(B1307,fa_num,0)),"Date antérieure à la facture",IF(SUMIF($B$6:B1307,B1307,$C$6:C1307)&gt;INDEX(fa_ttc,MATCH(B1307,fa_num,0))-N(INDEX(fa_avoirs,MATCH(B1307,fa_num,0)))+0.001,"Dépasse le montant de la facture","OK")))))))))</f>
        <v/>
      </c>
    </row>
    <row r="1308">
      <c r="A1308" s="61" t="n"/>
      <c r="B1308" s="60" t="n"/>
      <c r="C1308" s="68" t="n"/>
      <c r="D1308" s="60" t="n"/>
      <c r="E1308" s="63" t="n"/>
      <c r="F1308" s="63" t="n"/>
      <c r="G1308" s="62" t="str">
        <f>IF(B1308="","",IFERROR(INDEX(fa_cname,MATCH(B1308,fa_num,0))&amp;"",""))</f>
        <v/>
      </c>
      <c r="H1308" s="59" t="str">
        <f>IF(COUNTA(A1308:F1308)=0,"",IF(A1308="","Date manquante",IF(NOT(ISNUMBER(A1308)),"Date invalide",IF(B1308="","N° de facture manquant",IF(ISNA(MATCH(B1308,fa_num,0)),"Facture inconnue",IF(INDEX(fa_type,MATCH(B1308,fa_num,0))="Avoir","Paiement sur un avoir",IF(OR(NOT(ISNUMBER(C1308)),N(C1308)&lt;=0),"Montant invalide",IF(A1308&lt;INDEX(fa_date,MATCH(B1308,fa_num,0)),"Date antérieure à la facture",IF(SUMIF($B$6:B1308,B1308,$C$6:C1308)&gt;INDEX(fa_ttc,MATCH(B1308,fa_num,0))-N(INDEX(fa_avoirs,MATCH(B1308,fa_num,0)))+0.001,"Dépasse le montant de la facture","OK")))))))))</f>
        <v/>
      </c>
    </row>
    <row r="1309">
      <c r="A1309" s="61" t="n"/>
      <c r="B1309" s="60" t="n"/>
      <c r="C1309" s="68" t="n"/>
      <c r="D1309" s="60" t="n"/>
      <c r="E1309" s="63" t="n"/>
      <c r="F1309" s="63" t="n"/>
      <c r="G1309" s="62" t="str">
        <f>IF(B1309="","",IFERROR(INDEX(fa_cname,MATCH(B1309,fa_num,0))&amp;"",""))</f>
        <v/>
      </c>
      <c r="H1309" s="59" t="str">
        <f>IF(COUNTA(A1309:F1309)=0,"",IF(A1309="","Date manquante",IF(NOT(ISNUMBER(A1309)),"Date invalide",IF(B1309="","N° de facture manquant",IF(ISNA(MATCH(B1309,fa_num,0)),"Facture inconnue",IF(INDEX(fa_type,MATCH(B1309,fa_num,0))="Avoir","Paiement sur un avoir",IF(OR(NOT(ISNUMBER(C1309)),N(C1309)&lt;=0),"Montant invalide",IF(A1309&lt;INDEX(fa_date,MATCH(B1309,fa_num,0)),"Date antérieure à la facture",IF(SUMIF($B$6:B1309,B1309,$C$6:C1309)&gt;INDEX(fa_ttc,MATCH(B1309,fa_num,0))-N(INDEX(fa_avoirs,MATCH(B1309,fa_num,0)))+0.001,"Dépasse le montant de la facture","OK")))))))))</f>
        <v/>
      </c>
    </row>
    <row r="1310">
      <c r="A1310" s="61" t="n"/>
      <c r="B1310" s="60" t="n"/>
      <c r="C1310" s="68" t="n"/>
      <c r="D1310" s="60" t="n"/>
      <c r="E1310" s="63" t="n"/>
      <c r="F1310" s="63" t="n"/>
      <c r="G1310" s="62" t="str">
        <f>IF(B1310="","",IFERROR(INDEX(fa_cname,MATCH(B1310,fa_num,0))&amp;"",""))</f>
        <v/>
      </c>
      <c r="H1310" s="59" t="str">
        <f>IF(COUNTA(A1310:F1310)=0,"",IF(A1310="","Date manquante",IF(NOT(ISNUMBER(A1310)),"Date invalide",IF(B1310="","N° de facture manquant",IF(ISNA(MATCH(B1310,fa_num,0)),"Facture inconnue",IF(INDEX(fa_type,MATCH(B1310,fa_num,0))="Avoir","Paiement sur un avoir",IF(OR(NOT(ISNUMBER(C1310)),N(C1310)&lt;=0),"Montant invalide",IF(A1310&lt;INDEX(fa_date,MATCH(B1310,fa_num,0)),"Date antérieure à la facture",IF(SUMIF($B$6:B1310,B1310,$C$6:C1310)&gt;INDEX(fa_ttc,MATCH(B1310,fa_num,0))-N(INDEX(fa_avoirs,MATCH(B1310,fa_num,0)))+0.001,"Dépasse le montant de la facture","OK")))))))))</f>
        <v/>
      </c>
    </row>
    <row r="1311">
      <c r="A1311" s="61" t="n"/>
      <c r="B1311" s="60" t="n"/>
      <c r="C1311" s="68" t="n"/>
      <c r="D1311" s="60" t="n"/>
      <c r="E1311" s="63" t="n"/>
      <c r="F1311" s="63" t="n"/>
      <c r="G1311" s="62" t="str">
        <f>IF(B1311="","",IFERROR(INDEX(fa_cname,MATCH(B1311,fa_num,0))&amp;"",""))</f>
        <v/>
      </c>
      <c r="H1311" s="59" t="str">
        <f>IF(COUNTA(A1311:F1311)=0,"",IF(A1311="","Date manquante",IF(NOT(ISNUMBER(A1311)),"Date invalide",IF(B1311="","N° de facture manquant",IF(ISNA(MATCH(B1311,fa_num,0)),"Facture inconnue",IF(INDEX(fa_type,MATCH(B1311,fa_num,0))="Avoir","Paiement sur un avoir",IF(OR(NOT(ISNUMBER(C1311)),N(C1311)&lt;=0),"Montant invalide",IF(A1311&lt;INDEX(fa_date,MATCH(B1311,fa_num,0)),"Date antérieure à la facture",IF(SUMIF($B$6:B1311,B1311,$C$6:C1311)&gt;INDEX(fa_ttc,MATCH(B1311,fa_num,0))-N(INDEX(fa_avoirs,MATCH(B1311,fa_num,0)))+0.001,"Dépasse le montant de la facture","OK")))))))))</f>
        <v/>
      </c>
    </row>
    <row r="1312">
      <c r="A1312" s="61" t="n"/>
      <c r="B1312" s="60" t="n"/>
      <c r="C1312" s="68" t="n"/>
      <c r="D1312" s="60" t="n"/>
      <c r="E1312" s="63" t="n"/>
      <c r="F1312" s="63" t="n"/>
      <c r="G1312" s="62" t="str">
        <f>IF(B1312="","",IFERROR(INDEX(fa_cname,MATCH(B1312,fa_num,0))&amp;"",""))</f>
        <v/>
      </c>
      <c r="H1312" s="59" t="str">
        <f>IF(COUNTA(A1312:F1312)=0,"",IF(A1312="","Date manquante",IF(NOT(ISNUMBER(A1312)),"Date invalide",IF(B1312="","N° de facture manquant",IF(ISNA(MATCH(B1312,fa_num,0)),"Facture inconnue",IF(INDEX(fa_type,MATCH(B1312,fa_num,0))="Avoir","Paiement sur un avoir",IF(OR(NOT(ISNUMBER(C1312)),N(C1312)&lt;=0),"Montant invalide",IF(A1312&lt;INDEX(fa_date,MATCH(B1312,fa_num,0)),"Date antérieure à la facture",IF(SUMIF($B$6:B1312,B1312,$C$6:C1312)&gt;INDEX(fa_ttc,MATCH(B1312,fa_num,0))-N(INDEX(fa_avoirs,MATCH(B1312,fa_num,0)))+0.001,"Dépasse le montant de la facture","OK")))))))))</f>
        <v/>
      </c>
    </row>
    <row r="1313">
      <c r="A1313" s="61" t="n"/>
      <c r="B1313" s="60" t="n"/>
      <c r="C1313" s="68" t="n"/>
      <c r="D1313" s="60" t="n"/>
      <c r="E1313" s="63" t="n"/>
      <c r="F1313" s="63" t="n"/>
      <c r="G1313" s="62" t="str">
        <f>IF(B1313="","",IFERROR(INDEX(fa_cname,MATCH(B1313,fa_num,0))&amp;"",""))</f>
        <v/>
      </c>
      <c r="H1313" s="59" t="str">
        <f>IF(COUNTA(A1313:F1313)=0,"",IF(A1313="","Date manquante",IF(NOT(ISNUMBER(A1313)),"Date invalide",IF(B1313="","N° de facture manquant",IF(ISNA(MATCH(B1313,fa_num,0)),"Facture inconnue",IF(INDEX(fa_type,MATCH(B1313,fa_num,0))="Avoir","Paiement sur un avoir",IF(OR(NOT(ISNUMBER(C1313)),N(C1313)&lt;=0),"Montant invalide",IF(A1313&lt;INDEX(fa_date,MATCH(B1313,fa_num,0)),"Date antérieure à la facture",IF(SUMIF($B$6:B1313,B1313,$C$6:C1313)&gt;INDEX(fa_ttc,MATCH(B1313,fa_num,0))-N(INDEX(fa_avoirs,MATCH(B1313,fa_num,0)))+0.001,"Dépasse le montant de la facture","OK")))))))))</f>
        <v/>
      </c>
    </row>
    <row r="1314">
      <c r="A1314" s="61" t="n"/>
      <c r="B1314" s="60" t="n"/>
      <c r="C1314" s="68" t="n"/>
      <c r="D1314" s="60" t="n"/>
      <c r="E1314" s="63" t="n"/>
      <c r="F1314" s="63" t="n"/>
      <c r="G1314" s="62" t="str">
        <f>IF(B1314="","",IFERROR(INDEX(fa_cname,MATCH(B1314,fa_num,0))&amp;"",""))</f>
        <v/>
      </c>
      <c r="H1314" s="59" t="str">
        <f>IF(COUNTA(A1314:F1314)=0,"",IF(A1314="","Date manquante",IF(NOT(ISNUMBER(A1314)),"Date invalide",IF(B1314="","N° de facture manquant",IF(ISNA(MATCH(B1314,fa_num,0)),"Facture inconnue",IF(INDEX(fa_type,MATCH(B1314,fa_num,0))="Avoir","Paiement sur un avoir",IF(OR(NOT(ISNUMBER(C1314)),N(C1314)&lt;=0),"Montant invalide",IF(A1314&lt;INDEX(fa_date,MATCH(B1314,fa_num,0)),"Date antérieure à la facture",IF(SUMIF($B$6:B1314,B1314,$C$6:C1314)&gt;INDEX(fa_ttc,MATCH(B1314,fa_num,0))-N(INDEX(fa_avoirs,MATCH(B1314,fa_num,0)))+0.001,"Dépasse le montant de la facture","OK")))))))))</f>
        <v/>
      </c>
    </row>
    <row r="1315">
      <c r="A1315" s="61" t="n"/>
      <c r="B1315" s="60" t="n"/>
      <c r="C1315" s="68" t="n"/>
      <c r="D1315" s="60" t="n"/>
      <c r="E1315" s="63" t="n"/>
      <c r="F1315" s="63" t="n"/>
      <c r="G1315" s="62" t="str">
        <f>IF(B1315="","",IFERROR(INDEX(fa_cname,MATCH(B1315,fa_num,0))&amp;"",""))</f>
        <v/>
      </c>
      <c r="H1315" s="59" t="str">
        <f>IF(COUNTA(A1315:F1315)=0,"",IF(A1315="","Date manquante",IF(NOT(ISNUMBER(A1315)),"Date invalide",IF(B1315="","N° de facture manquant",IF(ISNA(MATCH(B1315,fa_num,0)),"Facture inconnue",IF(INDEX(fa_type,MATCH(B1315,fa_num,0))="Avoir","Paiement sur un avoir",IF(OR(NOT(ISNUMBER(C1315)),N(C1315)&lt;=0),"Montant invalide",IF(A1315&lt;INDEX(fa_date,MATCH(B1315,fa_num,0)),"Date antérieure à la facture",IF(SUMIF($B$6:B1315,B1315,$C$6:C1315)&gt;INDEX(fa_ttc,MATCH(B1315,fa_num,0))-N(INDEX(fa_avoirs,MATCH(B1315,fa_num,0)))+0.001,"Dépasse le montant de la facture","OK")))))))))</f>
        <v/>
      </c>
    </row>
    <row r="1316">
      <c r="A1316" s="61" t="n"/>
      <c r="B1316" s="60" t="n"/>
      <c r="C1316" s="68" t="n"/>
      <c r="D1316" s="60" t="n"/>
      <c r="E1316" s="63" t="n"/>
      <c r="F1316" s="63" t="n"/>
      <c r="G1316" s="62" t="str">
        <f>IF(B1316="","",IFERROR(INDEX(fa_cname,MATCH(B1316,fa_num,0))&amp;"",""))</f>
        <v/>
      </c>
      <c r="H1316" s="59" t="str">
        <f>IF(COUNTA(A1316:F1316)=0,"",IF(A1316="","Date manquante",IF(NOT(ISNUMBER(A1316)),"Date invalide",IF(B1316="","N° de facture manquant",IF(ISNA(MATCH(B1316,fa_num,0)),"Facture inconnue",IF(INDEX(fa_type,MATCH(B1316,fa_num,0))="Avoir","Paiement sur un avoir",IF(OR(NOT(ISNUMBER(C1316)),N(C1316)&lt;=0),"Montant invalide",IF(A1316&lt;INDEX(fa_date,MATCH(B1316,fa_num,0)),"Date antérieure à la facture",IF(SUMIF($B$6:B1316,B1316,$C$6:C1316)&gt;INDEX(fa_ttc,MATCH(B1316,fa_num,0))-N(INDEX(fa_avoirs,MATCH(B1316,fa_num,0)))+0.001,"Dépasse le montant de la facture","OK")))))))))</f>
        <v/>
      </c>
    </row>
    <row r="1317">
      <c r="A1317" s="61" t="n"/>
      <c r="B1317" s="60" t="n"/>
      <c r="C1317" s="68" t="n"/>
      <c r="D1317" s="60" t="n"/>
      <c r="E1317" s="63" t="n"/>
      <c r="F1317" s="63" t="n"/>
      <c r="G1317" s="62" t="str">
        <f>IF(B1317="","",IFERROR(INDEX(fa_cname,MATCH(B1317,fa_num,0))&amp;"",""))</f>
        <v/>
      </c>
      <c r="H1317" s="59" t="str">
        <f>IF(COUNTA(A1317:F1317)=0,"",IF(A1317="","Date manquante",IF(NOT(ISNUMBER(A1317)),"Date invalide",IF(B1317="","N° de facture manquant",IF(ISNA(MATCH(B1317,fa_num,0)),"Facture inconnue",IF(INDEX(fa_type,MATCH(B1317,fa_num,0))="Avoir","Paiement sur un avoir",IF(OR(NOT(ISNUMBER(C1317)),N(C1317)&lt;=0),"Montant invalide",IF(A1317&lt;INDEX(fa_date,MATCH(B1317,fa_num,0)),"Date antérieure à la facture",IF(SUMIF($B$6:B1317,B1317,$C$6:C1317)&gt;INDEX(fa_ttc,MATCH(B1317,fa_num,0))-N(INDEX(fa_avoirs,MATCH(B1317,fa_num,0)))+0.001,"Dépasse le montant de la facture","OK")))))))))</f>
        <v/>
      </c>
    </row>
    <row r="1318">
      <c r="A1318" s="61" t="n"/>
      <c r="B1318" s="60" t="n"/>
      <c r="C1318" s="68" t="n"/>
      <c r="D1318" s="60" t="n"/>
      <c r="E1318" s="63" t="n"/>
      <c r="F1318" s="63" t="n"/>
      <c r="G1318" s="62" t="str">
        <f>IF(B1318="","",IFERROR(INDEX(fa_cname,MATCH(B1318,fa_num,0))&amp;"",""))</f>
        <v/>
      </c>
      <c r="H1318" s="59" t="str">
        <f>IF(COUNTA(A1318:F1318)=0,"",IF(A1318="","Date manquante",IF(NOT(ISNUMBER(A1318)),"Date invalide",IF(B1318="","N° de facture manquant",IF(ISNA(MATCH(B1318,fa_num,0)),"Facture inconnue",IF(INDEX(fa_type,MATCH(B1318,fa_num,0))="Avoir","Paiement sur un avoir",IF(OR(NOT(ISNUMBER(C1318)),N(C1318)&lt;=0),"Montant invalide",IF(A1318&lt;INDEX(fa_date,MATCH(B1318,fa_num,0)),"Date antérieure à la facture",IF(SUMIF($B$6:B1318,B1318,$C$6:C1318)&gt;INDEX(fa_ttc,MATCH(B1318,fa_num,0))-N(INDEX(fa_avoirs,MATCH(B1318,fa_num,0)))+0.001,"Dépasse le montant de la facture","OK")))))))))</f>
        <v/>
      </c>
    </row>
    <row r="1319">
      <c r="A1319" s="61" t="n"/>
      <c r="B1319" s="60" t="n"/>
      <c r="C1319" s="68" t="n"/>
      <c r="D1319" s="60" t="n"/>
      <c r="E1319" s="63" t="n"/>
      <c r="F1319" s="63" t="n"/>
      <c r="G1319" s="62" t="str">
        <f>IF(B1319="","",IFERROR(INDEX(fa_cname,MATCH(B1319,fa_num,0))&amp;"",""))</f>
        <v/>
      </c>
      <c r="H1319" s="59" t="str">
        <f>IF(COUNTA(A1319:F1319)=0,"",IF(A1319="","Date manquante",IF(NOT(ISNUMBER(A1319)),"Date invalide",IF(B1319="","N° de facture manquant",IF(ISNA(MATCH(B1319,fa_num,0)),"Facture inconnue",IF(INDEX(fa_type,MATCH(B1319,fa_num,0))="Avoir","Paiement sur un avoir",IF(OR(NOT(ISNUMBER(C1319)),N(C1319)&lt;=0),"Montant invalide",IF(A1319&lt;INDEX(fa_date,MATCH(B1319,fa_num,0)),"Date antérieure à la facture",IF(SUMIF($B$6:B1319,B1319,$C$6:C1319)&gt;INDEX(fa_ttc,MATCH(B1319,fa_num,0))-N(INDEX(fa_avoirs,MATCH(B1319,fa_num,0)))+0.001,"Dépasse le montant de la facture","OK")))))))))</f>
        <v/>
      </c>
    </row>
    <row r="1320">
      <c r="A1320" s="61" t="n"/>
      <c r="B1320" s="60" t="n"/>
      <c r="C1320" s="68" t="n"/>
      <c r="D1320" s="60" t="n"/>
      <c r="E1320" s="63" t="n"/>
      <c r="F1320" s="63" t="n"/>
      <c r="G1320" s="62" t="str">
        <f>IF(B1320="","",IFERROR(INDEX(fa_cname,MATCH(B1320,fa_num,0))&amp;"",""))</f>
        <v/>
      </c>
      <c r="H1320" s="59" t="str">
        <f>IF(COUNTA(A1320:F1320)=0,"",IF(A1320="","Date manquante",IF(NOT(ISNUMBER(A1320)),"Date invalide",IF(B1320="","N° de facture manquant",IF(ISNA(MATCH(B1320,fa_num,0)),"Facture inconnue",IF(INDEX(fa_type,MATCH(B1320,fa_num,0))="Avoir","Paiement sur un avoir",IF(OR(NOT(ISNUMBER(C1320)),N(C1320)&lt;=0),"Montant invalide",IF(A1320&lt;INDEX(fa_date,MATCH(B1320,fa_num,0)),"Date antérieure à la facture",IF(SUMIF($B$6:B1320,B1320,$C$6:C1320)&gt;INDEX(fa_ttc,MATCH(B1320,fa_num,0))-N(INDEX(fa_avoirs,MATCH(B1320,fa_num,0)))+0.001,"Dépasse le montant de la facture","OK")))))))))</f>
        <v/>
      </c>
    </row>
    <row r="1321">
      <c r="A1321" s="61" t="n"/>
      <c r="B1321" s="60" t="n"/>
      <c r="C1321" s="68" t="n"/>
      <c r="D1321" s="60" t="n"/>
      <c r="E1321" s="63" t="n"/>
      <c r="F1321" s="63" t="n"/>
      <c r="G1321" s="62" t="str">
        <f>IF(B1321="","",IFERROR(INDEX(fa_cname,MATCH(B1321,fa_num,0))&amp;"",""))</f>
        <v/>
      </c>
      <c r="H1321" s="59" t="str">
        <f>IF(COUNTA(A1321:F1321)=0,"",IF(A1321="","Date manquante",IF(NOT(ISNUMBER(A1321)),"Date invalide",IF(B1321="","N° de facture manquant",IF(ISNA(MATCH(B1321,fa_num,0)),"Facture inconnue",IF(INDEX(fa_type,MATCH(B1321,fa_num,0))="Avoir","Paiement sur un avoir",IF(OR(NOT(ISNUMBER(C1321)),N(C1321)&lt;=0),"Montant invalide",IF(A1321&lt;INDEX(fa_date,MATCH(B1321,fa_num,0)),"Date antérieure à la facture",IF(SUMIF($B$6:B1321,B1321,$C$6:C1321)&gt;INDEX(fa_ttc,MATCH(B1321,fa_num,0))-N(INDEX(fa_avoirs,MATCH(B1321,fa_num,0)))+0.001,"Dépasse le montant de la facture","OK")))))))))</f>
        <v/>
      </c>
    </row>
    <row r="1322">
      <c r="A1322" s="61" t="n"/>
      <c r="B1322" s="60" t="n"/>
      <c r="C1322" s="68" t="n"/>
      <c r="D1322" s="60" t="n"/>
      <c r="E1322" s="63" t="n"/>
      <c r="F1322" s="63" t="n"/>
      <c r="G1322" s="62" t="str">
        <f>IF(B1322="","",IFERROR(INDEX(fa_cname,MATCH(B1322,fa_num,0))&amp;"",""))</f>
        <v/>
      </c>
      <c r="H1322" s="59" t="str">
        <f>IF(COUNTA(A1322:F1322)=0,"",IF(A1322="","Date manquante",IF(NOT(ISNUMBER(A1322)),"Date invalide",IF(B1322="","N° de facture manquant",IF(ISNA(MATCH(B1322,fa_num,0)),"Facture inconnue",IF(INDEX(fa_type,MATCH(B1322,fa_num,0))="Avoir","Paiement sur un avoir",IF(OR(NOT(ISNUMBER(C1322)),N(C1322)&lt;=0),"Montant invalide",IF(A1322&lt;INDEX(fa_date,MATCH(B1322,fa_num,0)),"Date antérieure à la facture",IF(SUMIF($B$6:B1322,B1322,$C$6:C1322)&gt;INDEX(fa_ttc,MATCH(B1322,fa_num,0))-N(INDEX(fa_avoirs,MATCH(B1322,fa_num,0)))+0.001,"Dépasse le montant de la facture","OK")))))))))</f>
        <v/>
      </c>
    </row>
    <row r="1323">
      <c r="A1323" s="61" t="n"/>
      <c r="B1323" s="60" t="n"/>
      <c r="C1323" s="68" t="n"/>
      <c r="D1323" s="60" t="n"/>
      <c r="E1323" s="63" t="n"/>
      <c r="F1323" s="63" t="n"/>
      <c r="G1323" s="62" t="str">
        <f>IF(B1323="","",IFERROR(INDEX(fa_cname,MATCH(B1323,fa_num,0))&amp;"",""))</f>
        <v/>
      </c>
      <c r="H1323" s="59" t="str">
        <f>IF(COUNTA(A1323:F1323)=0,"",IF(A1323="","Date manquante",IF(NOT(ISNUMBER(A1323)),"Date invalide",IF(B1323="","N° de facture manquant",IF(ISNA(MATCH(B1323,fa_num,0)),"Facture inconnue",IF(INDEX(fa_type,MATCH(B1323,fa_num,0))="Avoir","Paiement sur un avoir",IF(OR(NOT(ISNUMBER(C1323)),N(C1323)&lt;=0),"Montant invalide",IF(A1323&lt;INDEX(fa_date,MATCH(B1323,fa_num,0)),"Date antérieure à la facture",IF(SUMIF($B$6:B1323,B1323,$C$6:C1323)&gt;INDEX(fa_ttc,MATCH(B1323,fa_num,0))-N(INDEX(fa_avoirs,MATCH(B1323,fa_num,0)))+0.001,"Dépasse le montant de la facture","OK")))))))))</f>
        <v/>
      </c>
    </row>
    <row r="1324">
      <c r="A1324" s="61" t="n"/>
      <c r="B1324" s="60" t="n"/>
      <c r="C1324" s="68" t="n"/>
      <c r="D1324" s="60" t="n"/>
      <c r="E1324" s="63" t="n"/>
      <c r="F1324" s="63" t="n"/>
      <c r="G1324" s="62" t="str">
        <f>IF(B1324="","",IFERROR(INDEX(fa_cname,MATCH(B1324,fa_num,0))&amp;"",""))</f>
        <v/>
      </c>
      <c r="H1324" s="59" t="str">
        <f>IF(COUNTA(A1324:F1324)=0,"",IF(A1324="","Date manquante",IF(NOT(ISNUMBER(A1324)),"Date invalide",IF(B1324="","N° de facture manquant",IF(ISNA(MATCH(B1324,fa_num,0)),"Facture inconnue",IF(INDEX(fa_type,MATCH(B1324,fa_num,0))="Avoir","Paiement sur un avoir",IF(OR(NOT(ISNUMBER(C1324)),N(C1324)&lt;=0),"Montant invalide",IF(A1324&lt;INDEX(fa_date,MATCH(B1324,fa_num,0)),"Date antérieure à la facture",IF(SUMIF($B$6:B1324,B1324,$C$6:C1324)&gt;INDEX(fa_ttc,MATCH(B1324,fa_num,0))-N(INDEX(fa_avoirs,MATCH(B1324,fa_num,0)))+0.001,"Dépasse le montant de la facture","OK")))))))))</f>
        <v/>
      </c>
    </row>
    <row r="1325">
      <c r="A1325" s="61" t="n"/>
      <c r="B1325" s="60" t="n"/>
      <c r="C1325" s="68" t="n"/>
      <c r="D1325" s="60" t="n"/>
      <c r="E1325" s="63" t="n"/>
      <c r="F1325" s="63" t="n"/>
      <c r="G1325" s="62" t="str">
        <f>IF(B1325="","",IFERROR(INDEX(fa_cname,MATCH(B1325,fa_num,0))&amp;"",""))</f>
        <v/>
      </c>
      <c r="H1325" s="59" t="str">
        <f>IF(COUNTA(A1325:F1325)=0,"",IF(A1325="","Date manquante",IF(NOT(ISNUMBER(A1325)),"Date invalide",IF(B1325="","N° de facture manquant",IF(ISNA(MATCH(B1325,fa_num,0)),"Facture inconnue",IF(INDEX(fa_type,MATCH(B1325,fa_num,0))="Avoir","Paiement sur un avoir",IF(OR(NOT(ISNUMBER(C1325)),N(C1325)&lt;=0),"Montant invalide",IF(A1325&lt;INDEX(fa_date,MATCH(B1325,fa_num,0)),"Date antérieure à la facture",IF(SUMIF($B$6:B1325,B1325,$C$6:C1325)&gt;INDEX(fa_ttc,MATCH(B1325,fa_num,0))-N(INDEX(fa_avoirs,MATCH(B1325,fa_num,0)))+0.001,"Dépasse le montant de la facture","OK")))))))))</f>
        <v/>
      </c>
    </row>
    <row r="1326">
      <c r="A1326" s="61" t="n"/>
      <c r="B1326" s="60" t="n"/>
      <c r="C1326" s="68" t="n"/>
      <c r="D1326" s="60" t="n"/>
      <c r="E1326" s="63" t="n"/>
      <c r="F1326" s="63" t="n"/>
      <c r="G1326" s="62" t="str">
        <f>IF(B1326="","",IFERROR(INDEX(fa_cname,MATCH(B1326,fa_num,0))&amp;"",""))</f>
        <v/>
      </c>
      <c r="H1326" s="59" t="str">
        <f>IF(COUNTA(A1326:F1326)=0,"",IF(A1326="","Date manquante",IF(NOT(ISNUMBER(A1326)),"Date invalide",IF(B1326="","N° de facture manquant",IF(ISNA(MATCH(B1326,fa_num,0)),"Facture inconnue",IF(INDEX(fa_type,MATCH(B1326,fa_num,0))="Avoir","Paiement sur un avoir",IF(OR(NOT(ISNUMBER(C1326)),N(C1326)&lt;=0),"Montant invalide",IF(A1326&lt;INDEX(fa_date,MATCH(B1326,fa_num,0)),"Date antérieure à la facture",IF(SUMIF($B$6:B1326,B1326,$C$6:C1326)&gt;INDEX(fa_ttc,MATCH(B1326,fa_num,0))-N(INDEX(fa_avoirs,MATCH(B1326,fa_num,0)))+0.001,"Dépasse le montant de la facture","OK")))))))))</f>
        <v/>
      </c>
    </row>
    <row r="1327">
      <c r="A1327" s="61" t="n"/>
      <c r="B1327" s="60" t="n"/>
      <c r="C1327" s="68" t="n"/>
      <c r="D1327" s="60" t="n"/>
      <c r="E1327" s="63" t="n"/>
      <c r="F1327" s="63" t="n"/>
      <c r="G1327" s="62" t="str">
        <f>IF(B1327="","",IFERROR(INDEX(fa_cname,MATCH(B1327,fa_num,0))&amp;"",""))</f>
        <v/>
      </c>
      <c r="H1327" s="59" t="str">
        <f>IF(COUNTA(A1327:F1327)=0,"",IF(A1327="","Date manquante",IF(NOT(ISNUMBER(A1327)),"Date invalide",IF(B1327="","N° de facture manquant",IF(ISNA(MATCH(B1327,fa_num,0)),"Facture inconnue",IF(INDEX(fa_type,MATCH(B1327,fa_num,0))="Avoir","Paiement sur un avoir",IF(OR(NOT(ISNUMBER(C1327)),N(C1327)&lt;=0),"Montant invalide",IF(A1327&lt;INDEX(fa_date,MATCH(B1327,fa_num,0)),"Date antérieure à la facture",IF(SUMIF($B$6:B1327,B1327,$C$6:C1327)&gt;INDEX(fa_ttc,MATCH(B1327,fa_num,0))-N(INDEX(fa_avoirs,MATCH(B1327,fa_num,0)))+0.001,"Dépasse le montant de la facture","OK")))))))))</f>
        <v/>
      </c>
    </row>
    <row r="1328">
      <c r="A1328" s="61" t="n"/>
      <c r="B1328" s="60" t="n"/>
      <c r="C1328" s="68" t="n"/>
      <c r="D1328" s="60" t="n"/>
      <c r="E1328" s="63" t="n"/>
      <c r="F1328" s="63" t="n"/>
      <c r="G1328" s="62" t="str">
        <f>IF(B1328="","",IFERROR(INDEX(fa_cname,MATCH(B1328,fa_num,0))&amp;"",""))</f>
        <v/>
      </c>
      <c r="H1328" s="59" t="str">
        <f>IF(COUNTA(A1328:F1328)=0,"",IF(A1328="","Date manquante",IF(NOT(ISNUMBER(A1328)),"Date invalide",IF(B1328="","N° de facture manquant",IF(ISNA(MATCH(B1328,fa_num,0)),"Facture inconnue",IF(INDEX(fa_type,MATCH(B1328,fa_num,0))="Avoir","Paiement sur un avoir",IF(OR(NOT(ISNUMBER(C1328)),N(C1328)&lt;=0),"Montant invalide",IF(A1328&lt;INDEX(fa_date,MATCH(B1328,fa_num,0)),"Date antérieure à la facture",IF(SUMIF($B$6:B1328,B1328,$C$6:C1328)&gt;INDEX(fa_ttc,MATCH(B1328,fa_num,0))-N(INDEX(fa_avoirs,MATCH(B1328,fa_num,0)))+0.001,"Dépasse le montant de la facture","OK")))))))))</f>
        <v/>
      </c>
    </row>
    <row r="1329">
      <c r="A1329" s="61" t="n"/>
      <c r="B1329" s="60" t="n"/>
      <c r="C1329" s="68" t="n"/>
      <c r="D1329" s="60" t="n"/>
      <c r="E1329" s="63" t="n"/>
      <c r="F1329" s="63" t="n"/>
      <c r="G1329" s="62" t="str">
        <f>IF(B1329="","",IFERROR(INDEX(fa_cname,MATCH(B1329,fa_num,0))&amp;"",""))</f>
        <v/>
      </c>
      <c r="H1329" s="59" t="str">
        <f>IF(COUNTA(A1329:F1329)=0,"",IF(A1329="","Date manquante",IF(NOT(ISNUMBER(A1329)),"Date invalide",IF(B1329="","N° de facture manquant",IF(ISNA(MATCH(B1329,fa_num,0)),"Facture inconnue",IF(INDEX(fa_type,MATCH(B1329,fa_num,0))="Avoir","Paiement sur un avoir",IF(OR(NOT(ISNUMBER(C1329)),N(C1329)&lt;=0),"Montant invalide",IF(A1329&lt;INDEX(fa_date,MATCH(B1329,fa_num,0)),"Date antérieure à la facture",IF(SUMIF($B$6:B1329,B1329,$C$6:C1329)&gt;INDEX(fa_ttc,MATCH(B1329,fa_num,0))-N(INDEX(fa_avoirs,MATCH(B1329,fa_num,0)))+0.001,"Dépasse le montant de la facture","OK")))))))))</f>
        <v/>
      </c>
    </row>
    <row r="1330">
      <c r="A1330" s="61" t="n"/>
      <c r="B1330" s="60" t="n"/>
      <c r="C1330" s="68" t="n"/>
      <c r="D1330" s="60" t="n"/>
      <c r="E1330" s="63" t="n"/>
      <c r="F1330" s="63" t="n"/>
      <c r="G1330" s="62" t="str">
        <f>IF(B1330="","",IFERROR(INDEX(fa_cname,MATCH(B1330,fa_num,0))&amp;"",""))</f>
        <v/>
      </c>
      <c r="H1330" s="59" t="str">
        <f>IF(COUNTA(A1330:F1330)=0,"",IF(A1330="","Date manquante",IF(NOT(ISNUMBER(A1330)),"Date invalide",IF(B1330="","N° de facture manquant",IF(ISNA(MATCH(B1330,fa_num,0)),"Facture inconnue",IF(INDEX(fa_type,MATCH(B1330,fa_num,0))="Avoir","Paiement sur un avoir",IF(OR(NOT(ISNUMBER(C1330)),N(C1330)&lt;=0),"Montant invalide",IF(A1330&lt;INDEX(fa_date,MATCH(B1330,fa_num,0)),"Date antérieure à la facture",IF(SUMIF($B$6:B1330,B1330,$C$6:C1330)&gt;INDEX(fa_ttc,MATCH(B1330,fa_num,0))-N(INDEX(fa_avoirs,MATCH(B1330,fa_num,0)))+0.001,"Dépasse le montant de la facture","OK")))))))))</f>
        <v/>
      </c>
    </row>
    <row r="1331">
      <c r="A1331" s="61" t="n"/>
      <c r="B1331" s="60" t="n"/>
      <c r="C1331" s="68" t="n"/>
      <c r="D1331" s="60" t="n"/>
      <c r="E1331" s="63" t="n"/>
      <c r="F1331" s="63" t="n"/>
      <c r="G1331" s="62" t="str">
        <f>IF(B1331="","",IFERROR(INDEX(fa_cname,MATCH(B1331,fa_num,0))&amp;"",""))</f>
        <v/>
      </c>
      <c r="H1331" s="59" t="str">
        <f>IF(COUNTA(A1331:F1331)=0,"",IF(A1331="","Date manquante",IF(NOT(ISNUMBER(A1331)),"Date invalide",IF(B1331="","N° de facture manquant",IF(ISNA(MATCH(B1331,fa_num,0)),"Facture inconnue",IF(INDEX(fa_type,MATCH(B1331,fa_num,0))="Avoir","Paiement sur un avoir",IF(OR(NOT(ISNUMBER(C1331)),N(C1331)&lt;=0),"Montant invalide",IF(A1331&lt;INDEX(fa_date,MATCH(B1331,fa_num,0)),"Date antérieure à la facture",IF(SUMIF($B$6:B1331,B1331,$C$6:C1331)&gt;INDEX(fa_ttc,MATCH(B1331,fa_num,0))-N(INDEX(fa_avoirs,MATCH(B1331,fa_num,0)))+0.001,"Dépasse le montant de la facture","OK")))))))))</f>
        <v/>
      </c>
    </row>
    <row r="1332">
      <c r="A1332" s="61" t="n"/>
      <c r="B1332" s="60" t="n"/>
      <c r="C1332" s="68" t="n"/>
      <c r="D1332" s="60" t="n"/>
      <c r="E1332" s="63" t="n"/>
      <c r="F1332" s="63" t="n"/>
      <c r="G1332" s="62" t="str">
        <f>IF(B1332="","",IFERROR(INDEX(fa_cname,MATCH(B1332,fa_num,0))&amp;"",""))</f>
        <v/>
      </c>
      <c r="H1332" s="59" t="str">
        <f>IF(COUNTA(A1332:F1332)=0,"",IF(A1332="","Date manquante",IF(NOT(ISNUMBER(A1332)),"Date invalide",IF(B1332="","N° de facture manquant",IF(ISNA(MATCH(B1332,fa_num,0)),"Facture inconnue",IF(INDEX(fa_type,MATCH(B1332,fa_num,0))="Avoir","Paiement sur un avoir",IF(OR(NOT(ISNUMBER(C1332)),N(C1332)&lt;=0),"Montant invalide",IF(A1332&lt;INDEX(fa_date,MATCH(B1332,fa_num,0)),"Date antérieure à la facture",IF(SUMIF($B$6:B1332,B1332,$C$6:C1332)&gt;INDEX(fa_ttc,MATCH(B1332,fa_num,0))-N(INDEX(fa_avoirs,MATCH(B1332,fa_num,0)))+0.001,"Dépasse le montant de la facture","OK")))))))))</f>
        <v/>
      </c>
    </row>
    <row r="1333">
      <c r="A1333" s="61" t="n"/>
      <c r="B1333" s="60" t="n"/>
      <c r="C1333" s="68" t="n"/>
      <c r="D1333" s="60" t="n"/>
      <c r="E1333" s="63" t="n"/>
      <c r="F1333" s="63" t="n"/>
      <c r="G1333" s="62" t="str">
        <f>IF(B1333="","",IFERROR(INDEX(fa_cname,MATCH(B1333,fa_num,0))&amp;"",""))</f>
        <v/>
      </c>
      <c r="H1333" s="59" t="str">
        <f>IF(COUNTA(A1333:F1333)=0,"",IF(A1333="","Date manquante",IF(NOT(ISNUMBER(A1333)),"Date invalide",IF(B1333="","N° de facture manquant",IF(ISNA(MATCH(B1333,fa_num,0)),"Facture inconnue",IF(INDEX(fa_type,MATCH(B1333,fa_num,0))="Avoir","Paiement sur un avoir",IF(OR(NOT(ISNUMBER(C1333)),N(C1333)&lt;=0),"Montant invalide",IF(A1333&lt;INDEX(fa_date,MATCH(B1333,fa_num,0)),"Date antérieure à la facture",IF(SUMIF($B$6:B1333,B1333,$C$6:C1333)&gt;INDEX(fa_ttc,MATCH(B1333,fa_num,0))-N(INDEX(fa_avoirs,MATCH(B1333,fa_num,0)))+0.001,"Dépasse le montant de la facture","OK")))))))))</f>
        <v/>
      </c>
    </row>
    <row r="1334">
      <c r="A1334" s="61" t="n"/>
      <c r="B1334" s="60" t="n"/>
      <c r="C1334" s="68" t="n"/>
      <c r="D1334" s="60" t="n"/>
      <c r="E1334" s="63" t="n"/>
      <c r="F1334" s="63" t="n"/>
      <c r="G1334" s="62" t="str">
        <f>IF(B1334="","",IFERROR(INDEX(fa_cname,MATCH(B1334,fa_num,0))&amp;"",""))</f>
        <v/>
      </c>
      <c r="H1334" s="59" t="str">
        <f>IF(COUNTA(A1334:F1334)=0,"",IF(A1334="","Date manquante",IF(NOT(ISNUMBER(A1334)),"Date invalide",IF(B1334="","N° de facture manquant",IF(ISNA(MATCH(B1334,fa_num,0)),"Facture inconnue",IF(INDEX(fa_type,MATCH(B1334,fa_num,0))="Avoir","Paiement sur un avoir",IF(OR(NOT(ISNUMBER(C1334)),N(C1334)&lt;=0),"Montant invalide",IF(A1334&lt;INDEX(fa_date,MATCH(B1334,fa_num,0)),"Date antérieure à la facture",IF(SUMIF($B$6:B1334,B1334,$C$6:C1334)&gt;INDEX(fa_ttc,MATCH(B1334,fa_num,0))-N(INDEX(fa_avoirs,MATCH(B1334,fa_num,0)))+0.001,"Dépasse le montant de la facture","OK")))))))))</f>
        <v/>
      </c>
    </row>
    <row r="1335">
      <c r="A1335" s="61" t="n"/>
      <c r="B1335" s="60" t="n"/>
      <c r="C1335" s="68" t="n"/>
      <c r="D1335" s="60" t="n"/>
      <c r="E1335" s="63" t="n"/>
      <c r="F1335" s="63" t="n"/>
      <c r="G1335" s="62" t="str">
        <f>IF(B1335="","",IFERROR(INDEX(fa_cname,MATCH(B1335,fa_num,0))&amp;"",""))</f>
        <v/>
      </c>
      <c r="H1335" s="59" t="str">
        <f>IF(COUNTA(A1335:F1335)=0,"",IF(A1335="","Date manquante",IF(NOT(ISNUMBER(A1335)),"Date invalide",IF(B1335="","N° de facture manquant",IF(ISNA(MATCH(B1335,fa_num,0)),"Facture inconnue",IF(INDEX(fa_type,MATCH(B1335,fa_num,0))="Avoir","Paiement sur un avoir",IF(OR(NOT(ISNUMBER(C1335)),N(C1335)&lt;=0),"Montant invalide",IF(A1335&lt;INDEX(fa_date,MATCH(B1335,fa_num,0)),"Date antérieure à la facture",IF(SUMIF($B$6:B1335,B1335,$C$6:C1335)&gt;INDEX(fa_ttc,MATCH(B1335,fa_num,0))-N(INDEX(fa_avoirs,MATCH(B1335,fa_num,0)))+0.001,"Dépasse le montant de la facture","OK")))))))))</f>
        <v/>
      </c>
    </row>
    <row r="1336">
      <c r="A1336" s="61" t="n"/>
      <c r="B1336" s="60" t="n"/>
      <c r="C1336" s="68" t="n"/>
      <c r="D1336" s="60" t="n"/>
      <c r="E1336" s="63" t="n"/>
      <c r="F1336" s="63" t="n"/>
      <c r="G1336" s="62" t="str">
        <f>IF(B1336="","",IFERROR(INDEX(fa_cname,MATCH(B1336,fa_num,0))&amp;"",""))</f>
        <v/>
      </c>
      <c r="H1336" s="59" t="str">
        <f>IF(COUNTA(A1336:F1336)=0,"",IF(A1336="","Date manquante",IF(NOT(ISNUMBER(A1336)),"Date invalide",IF(B1336="","N° de facture manquant",IF(ISNA(MATCH(B1336,fa_num,0)),"Facture inconnue",IF(INDEX(fa_type,MATCH(B1336,fa_num,0))="Avoir","Paiement sur un avoir",IF(OR(NOT(ISNUMBER(C1336)),N(C1336)&lt;=0),"Montant invalide",IF(A1336&lt;INDEX(fa_date,MATCH(B1336,fa_num,0)),"Date antérieure à la facture",IF(SUMIF($B$6:B1336,B1336,$C$6:C1336)&gt;INDEX(fa_ttc,MATCH(B1336,fa_num,0))-N(INDEX(fa_avoirs,MATCH(B1336,fa_num,0)))+0.001,"Dépasse le montant de la facture","OK")))))))))</f>
        <v/>
      </c>
    </row>
    <row r="1337">
      <c r="A1337" s="61" t="n"/>
      <c r="B1337" s="60" t="n"/>
      <c r="C1337" s="68" t="n"/>
      <c r="D1337" s="60" t="n"/>
      <c r="E1337" s="63" t="n"/>
      <c r="F1337" s="63" t="n"/>
      <c r="G1337" s="62" t="str">
        <f>IF(B1337="","",IFERROR(INDEX(fa_cname,MATCH(B1337,fa_num,0))&amp;"",""))</f>
        <v/>
      </c>
      <c r="H1337" s="59" t="str">
        <f>IF(COUNTA(A1337:F1337)=0,"",IF(A1337="","Date manquante",IF(NOT(ISNUMBER(A1337)),"Date invalide",IF(B1337="","N° de facture manquant",IF(ISNA(MATCH(B1337,fa_num,0)),"Facture inconnue",IF(INDEX(fa_type,MATCH(B1337,fa_num,0))="Avoir","Paiement sur un avoir",IF(OR(NOT(ISNUMBER(C1337)),N(C1337)&lt;=0),"Montant invalide",IF(A1337&lt;INDEX(fa_date,MATCH(B1337,fa_num,0)),"Date antérieure à la facture",IF(SUMIF($B$6:B1337,B1337,$C$6:C1337)&gt;INDEX(fa_ttc,MATCH(B1337,fa_num,0))-N(INDEX(fa_avoirs,MATCH(B1337,fa_num,0)))+0.001,"Dépasse le montant de la facture","OK")))))))))</f>
        <v/>
      </c>
    </row>
    <row r="1338">
      <c r="A1338" s="61" t="n"/>
      <c r="B1338" s="60" t="n"/>
      <c r="C1338" s="68" t="n"/>
      <c r="D1338" s="60" t="n"/>
      <c r="E1338" s="63" t="n"/>
      <c r="F1338" s="63" t="n"/>
      <c r="G1338" s="62" t="str">
        <f>IF(B1338="","",IFERROR(INDEX(fa_cname,MATCH(B1338,fa_num,0))&amp;"",""))</f>
        <v/>
      </c>
      <c r="H1338" s="59" t="str">
        <f>IF(COUNTA(A1338:F1338)=0,"",IF(A1338="","Date manquante",IF(NOT(ISNUMBER(A1338)),"Date invalide",IF(B1338="","N° de facture manquant",IF(ISNA(MATCH(B1338,fa_num,0)),"Facture inconnue",IF(INDEX(fa_type,MATCH(B1338,fa_num,0))="Avoir","Paiement sur un avoir",IF(OR(NOT(ISNUMBER(C1338)),N(C1338)&lt;=0),"Montant invalide",IF(A1338&lt;INDEX(fa_date,MATCH(B1338,fa_num,0)),"Date antérieure à la facture",IF(SUMIF($B$6:B1338,B1338,$C$6:C1338)&gt;INDEX(fa_ttc,MATCH(B1338,fa_num,0))-N(INDEX(fa_avoirs,MATCH(B1338,fa_num,0)))+0.001,"Dépasse le montant de la facture","OK")))))))))</f>
        <v/>
      </c>
    </row>
    <row r="1339">
      <c r="A1339" s="61" t="n"/>
      <c r="B1339" s="60" t="n"/>
      <c r="C1339" s="68" t="n"/>
      <c r="D1339" s="60" t="n"/>
      <c r="E1339" s="63" t="n"/>
      <c r="F1339" s="63" t="n"/>
      <c r="G1339" s="62" t="str">
        <f>IF(B1339="","",IFERROR(INDEX(fa_cname,MATCH(B1339,fa_num,0))&amp;"",""))</f>
        <v/>
      </c>
      <c r="H1339" s="59" t="str">
        <f>IF(COUNTA(A1339:F1339)=0,"",IF(A1339="","Date manquante",IF(NOT(ISNUMBER(A1339)),"Date invalide",IF(B1339="","N° de facture manquant",IF(ISNA(MATCH(B1339,fa_num,0)),"Facture inconnue",IF(INDEX(fa_type,MATCH(B1339,fa_num,0))="Avoir","Paiement sur un avoir",IF(OR(NOT(ISNUMBER(C1339)),N(C1339)&lt;=0),"Montant invalide",IF(A1339&lt;INDEX(fa_date,MATCH(B1339,fa_num,0)),"Date antérieure à la facture",IF(SUMIF($B$6:B1339,B1339,$C$6:C1339)&gt;INDEX(fa_ttc,MATCH(B1339,fa_num,0))-N(INDEX(fa_avoirs,MATCH(B1339,fa_num,0)))+0.001,"Dépasse le montant de la facture","OK")))))))))</f>
        <v/>
      </c>
    </row>
    <row r="1340">
      <c r="A1340" s="61" t="n"/>
      <c r="B1340" s="60" t="n"/>
      <c r="C1340" s="68" t="n"/>
      <c r="D1340" s="60" t="n"/>
      <c r="E1340" s="63" t="n"/>
      <c r="F1340" s="63" t="n"/>
      <c r="G1340" s="62" t="str">
        <f>IF(B1340="","",IFERROR(INDEX(fa_cname,MATCH(B1340,fa_num,0))&amp;"",""))</f>
        <v/>
      </c>
      <c r="H1340" s="59" t="str">
        <f>IF(COUNTA(A1340:F1340)=0,"",IF(A1340="","Date manquante",IF(NOT(ISNUMBER(A1340)),"Date invalide",IF(B1340="","N° de facture manquant",IF(ISNA(MATCH(B1340,fa_num,0)),"Facture inconnue",IF(INDEX(fa_type,MATCH(B1340,fa_num,0))="Avoir","Paiement sur un avoir",IF(OR(NOT(ISNUMBER(C1340)),N(C1340)&lt;=0),"Montant invalide",IF(A1340&lt;INDEX(fa_date,MATCH(B1340,fa_num,0)),"Date antérieure à la facture",IF(SUMIF($B$6:B1340,B1340,$C$6:C1340)&gt;INDEX(fa_ttc,MATCH(B1340,fa_num,0))-N(INDEX(fa_avoirs,MATCH(B1340,fa_num,0)))+0.001,"Dépasse le montant de la facture","OK")))))))))</f>
        <v/>
      </c>
    </row>
    <row r="1341">
      <c r="A1341" s="61" t="n"/>
      <c r="B1341" s="60" t="n"/>
      <c r="C1341" s="68" t="n"/>
      <c r="D1341" s="60" t="n"/>
      <c r="E1341" s="63" t="n"/>
      <c r="F1341" s="63" t="n"/>
      <c r="G1341" s="62" t="str">
        <f>IF(B1341="","",IFERROR(INDEX(fa_cname,MATCH(B1341,fa_num,0))&amp;"",""))</f>
        <v/>
      </c>
      <c r="H1341" s="59" t="str">
        <f>IF(COUNTA(A1341:F1341)=0,"",IF(A1341="","Date manquante",IF(NOT(ISNUMBER(A1341)),"Date invalide",IF(B1341="","N° de facture manquant",IF(ISNA(MATCH(B1341,fa_num,0)),"Facture inconnue",IF(INDEX(fa_type,MATCH(B1341,fa_num,0))="Avoir","Paiement sur un avoir",IF(OR(NOT(ISNUMBER(C1341)),N(C1341)&lt;=0),"Montant invalide",IF(A1341&lt;INDEX(fa_date,MATCH(B1341,fa_num,0)),"Date antérieure à la facture",IF(SUMIF($B$6:B1341,B1341,$C$6:C1341)&gt;INDEX(fa_ttc,MATCH(B1341,fa_num,0))-N(INDEX(fa_avoirs,MATCH(B1341,fa_num,0)))+0.001,"Dépasse le montant de la facture","OK")))))))))</f>
        <v/>
      </c>
    </row>
    <row r="1342">
      <c r="A1342" s="61" t="n"/>
      <c r="B1342" s="60" t="n"/>
      <c r="C1342" s="68" t="n"/>
      <c r="D1342" s="60" t="n"/>
      <c r="E1342" s="63" t="n"/>
      <c r="F1342" s="63" t="n"/>
      <c r="G1342" s="62" t="str">
        <f>IF(B1342="","",IFERROR(INDEX(fa_cname,MATCH(B1342,fa_num,0))&amp;"",""))</f>
        <v/>
      </c>
      <c r="H1342" s="59" t="str">
        <f>IF(COUNTA(A1342:F1342)=0,"",IF(A1342="","Date manquante",IF(NOT(ISNUMBER(A1342)),"Date invalide",IF(B1342="","N° de facture manquant",IF(ISNA(MATCH(B1342,fa_num,0)),"Facture inconnue",IF(INDEX(fa_type,MATCH(B1342,fa_num,0))="Avoir","Paiement sur un avoir",IF(OR(NOT(ISNUMBER(C1342)),N(C1342)&lt;=0),"Montant invalide",IF(A1342&lt;INDEX(fa_date,MATCH(B1342,fa_num,0)),"Date antérieure à la facture",IF(SUMIF($B$6:B1342,B1342,$C$6:C1342)&gt;INDEX(fa_ttc,MATCH(B1342,fa_num,0))-N(INDEX(fa_avoirs,MATCH(B1342,fa_num,0)))+0.001,"Dépasse le montant de la facture","OK")))))))))</f>
        <v/>
      </c>
    </row>
    <row r="1343">
      <c r="A1343" s="61" t="n"/>
      <c r="B1343" s="60" t="n"/>
      <c r="C1343" s="68" t="n"/>
      <c r="D1343" s="60" t="n"/>
      <c r="E1343" s="63" t="n"/>
      <c r="F1343" s="63" t="n"/>
      <c r="G1343" s="62" t="str">
        <f>IF(B1343="","",IFERROR(INDEX(fa_cname,MATCH(B1343,fa_num,0))&amp;"",""))</f>
        <v/>
      </c>
      <c r="H1343" s="59" t="str">
        <f>IF(COUNTA(A1343:F1343)=0,"",IF(A1343="","Date manquante",IF(NOT(ISNUMBER(A1343)),"Date invalide",IF(B1343="","N° de facture manquant",IF(ISNA(MATCH(B1343,fa_num,0)),"Facture inconnue",IF(INDEX(fa_type,MATCH(B1343,fa_num,0))="Avoir","Paiement sur un avoir",IF(OR(NOT(ISNUMBER(C1343)),N(C1343)&lt;=0),"Montant invalide",IF(A1343&lt;INDEX(fa_date,MATCH(B1343,fa_num,0)),"Date antérieure à la facture",IF(SUMIF($B$6:B1343,B1343,$C$6:C1343)&gt;INDEX(fa_ttc,MATCH(B1343,fa_num,0))-N(INDEX(fa_avoirs,MATCH(B1343,fa_num,0)))+0.001,"Dépasse le montant de la facture","OK")))))))))</f>
        <v/>
      </c>
    </row>
    <row r="1344">
      <c r="A1344" s="61" t="n"/>
      <c r="B1344" s="60" t="n"/>
      <c r="C1344" s="68" t="n"/>
      <c r="D1344" s="60" t="n"/>
      <c r="E1344" s="63" t="n"/>
      <c r="F1344" s="63" t="n"/>
      <c r="G1344" s="62" t="str">
        <f>IF(B1344="","",IFERROR(INDEX(fa_cname,MATCH(B1344,fa_num,0))&amp;"",""))</f>
        <v/>
      </c>
      <c r="H1344" s="59" t="str">
        <f>IF(COUNTA(A1344:F1344)=0,"",IF(A1344="","Date manquante",IF(NOT(ISNUMBER(A1344)),"Date invalide",IF(B1344="","N° de facture manquant",IF(ISNA(MATCH(B1344,fa_num,0)),"Facture inconnue",IF(INDEX(fa_type,MATCH(B1344,fa_num,0))="Avoir","Paiement sur un avoir",IF(OR(NOT(ISNUMBER(C1344)),N(C1344)&lt;=0),"Montant invalide",IF(A1344&lt;INDEX(fa_date,MATCH(B1344,fa_num,0)),"Date antérieure à la facture",IF(SUMIF($B$6:B1344,B1344,$C$6:C1344)&gt;INDEX(fa_ttc,MATCH(B1344,fa_num,0))-N(INDEX(fa_avoirs,MATCH(B1344,fa_num,0)))+0.001,"Dépasse le montant de la facture","OK")))))))))</f>
        <v/>
      </c>
    </row>
    <row r="1345">
      <c r="A1345" s="61" t="n"/>
      <c r="B1345" s="60" t="n"/>
      <c r="C1345" s="68" t="n"/>
      <c r="D1345" s="60" t="n"/>
      <c r="E1345" s="63" t="n"/>
      <c r="F1345" s="63" t="n"/>
      <c r="G1345" s="62" t="str">
        <f>IF(B1345="","",IFERROR(INDEX(fa_cname,MATCH(B1345,fa_num,0))&amp;"",""))</f>
        <v/>
      </c>
      <c r="H1345" s="59" t="str">
        <f>IF(COUNTA(A1345:F1345)=0,"",IF(A1345="","Date manquante",IF(NOT(ISNUMBER(A1345)),"Date invalide",IF(B1345="","N° de facture manquant",IF(ISNA(MATCH(B1345,fa_num,0)),"Facture inconnue",IF(INDEX(fa_type,MATCH(B1345,fa_num,0))="Avoir","Paiement sur un avoir",IF(OR(NOT(ISNUMBER(C1345)),N(C1345)&lt;=0),"Montant invalide",IF(A1345&lt;INDEX(fa_date,MATCH(B1345,fa_num,0)),"Date antérieure à la facture",IF(SUMIF($B$6:B1345,B1345,$C$6:C1345)&gt;INDEX(fa_ttc,MATCH(B1345,fa_num,0))-N(INDEX(fa_avoirs,MATCH(B1345,fa_num,0)))+0.001,"Dépasse le montant de la facture","OK")))))))))</f>
        <v/>
      </c>
    </row>
    <row r="1346">
      <c r="A1346" s="61" t="n"/>
      <c r="B1346" s="60" t="n"/>
      <c r="C1346" s="68" t="n"/>
      <c r="D1346" s="60" t="n"/>
      <c r="E1346" s="63" t="n"/>
      <c r="F1346" s="63" t="n"/>
      <c r="G1346" s="62" t="str">
        <f>IF(B1346="","",IFERROR(INDEX(fa_cname,MATCH(B1346,fa_num,0))&amp;"",""))</f>
        <v/>
      </c>
      <c r="H1346" s="59" t="str">
        <f>IF(COUNTA(A1346:F1346)=0,"",IF(A1346="","Date manquante",IF(NOT(ISNUMBER(A1346)),"Date invalide",IF(B1346="","N° de facture manquant",IF(ISNA(MATCH(B1346,fa_num,0)),"Facture inconnue",IF(INDEX(fa_type,MATCH(B1346,fa_num,0))="Avoir","Paiement sur un avoir",IF(OR(NOT(ISNUMBER(C1346)),N(C1346)&lt;=0),"Montant invalide",IF(A1346&lt;INDEX(fa_date,MATCH(B1346,fa_num,0)),"Date antérieure à la facture",IF(SUMIF($B$6:B1346,B1346,$C$6:C1346)&gt;INDEX(fa_ttc,MATCH(B1346,fa_num,0))-N(INDEX(fa_avoirs,MATCH(B1346,fa_num,0)))+0.001,"Dépasse le montant de la facture","OK")))))))))</f>
        <v/>
      </c>
    </row>
    <row r="1347">
      <c r="A1347" s="61" t="n"/>
      <c r="B1347" s="60" t="n"/>
      <c r="C1347" s="68" t="n"/>
      <c r="D1347" s="60" t="n"/>
      <c r="E1347" s="63" t="n"/>
      <c r="F1347" s="63" t="n"/>
      <c r="G1347" s="62" t="str">
        <f>IF(B1347="","",IFERROR(INDEX(fa_cname,MATCH(B1347,fa_num,0))&amp;"",""))</f>
        <v/>
      </c>
      <c r="H1347" s="59" t="str">
        <f>IF(COUNTA(A1347:F1347)=0,"",IF(A1347="","Date manquante",IF(NOT(ISNUMBER(A1347)),"Date invalide",IF(B1347="","N° de facture manquant",IF(ISNA(MATCH(B1347,fa_num,0)),"Facture inconnue",IF(INDEX(fa_type,MATCH(B1347,fa_num,0))="Avoir","Paiement sur un avoir",IF(OR(NOT(ISNUMBER(C1347)),N(C1347)&lt;=0),"Montant invalide",IF(A1347&lt;INDEX(fa_date,MATCH(B1347,fa_num,0)),"Date antérieure à la facture",IF(SUMIF($B$6:B1347,B1347,$C$6:C1347)&gt;INDEX(fa_ttc,MATCH(B1347,fa_num,0))-N(INDEX(fa_avoirs,MATCH(B1347,fa_num,0)))+0.001,"Dépasse le montant de la facture","OK")))))))))</f>
        <v/>
      </c>
    </row>
    <row r="1348">
      <c r="A1348" s="61" t="n"/>
      <c r="B1348" s="60" t="n"/>
      <c r="C1348" s="68" t="n"/>
      <c r="D1348" s="60" t="n"/>
      <c r="E1348" s="63" t="n"/>
      <c r="F1348" s="63" t="n"/>
      <c r="G1348" s="62" t="str">
        <f>IF(B1348="","",IFERROR(INDEX(fa_cname,MATCH(B1348,fa_num,0))&amp;"",""))</f>
        <v/>
      </c>
      <c r="H1348" s="59" t="str">
        <f>IF(COUNTA(A1348:F1348)=0,"",IF(A1348="","Date manquante",IF(NOT(ISNUMBER(A1348)),"Date invalide",IF(B1348="","N° de facture manquant",IF(ISNA(MATCH(B1348,fa_num,0)),"Facture inconnue",IF(INDEX(fa_type,MATCH(B1348,fa_num,0))="Avoir","Paiement sur un avoir",IF(OR(NOT(ISNUMBER(C1348)),N(C1348)&lt;=0),"Montant invalide",IF(A1348&lt;INDEX(fa_date,MATCH(B1348,fa_num,0)),"Date antérieure à la facture",IF(SUMIF($B$6:B1348,B1348,$C$6:C1348)&gt;INDEX(fa_ttc,MATCH(B1348,fa_num,0))-N(INDEX(fa_avoirs,MATCH(B1348,fa_num,0)))+0.001,"Dépasse le montant de la facture","OK")))))))))</f>
        <v/>
      </c>
    </row>
    <row r="1349">
      <c r="A1349" s="61" t="n"/>
      <c r="B1349" s="60" t="n"/>
      <c r="C1349" s="68" t="n"/>
      <c r="D1349" s="60" t="n"/>
      <c r="E1349" s="63" t="n"/>
      <c r="F1349" s="63" t="n"/>
      <c r="G1349" s="62" t="str">
        <f>IF(B1349="","",IFERROR(INDEX(fa_cname,MATCH(B1349,fa_num,0))&amp;"",""))</f>
        <v/>
      </c>
      <c r="H1349" s="59" t="str">
        <f>IF(COUNTA(A1349:F1349)=0,"",IF(A1349="","Date manquante",IF(NOT(ISNUMBER(A1349)),"Date invalide",IF(B1349="","N° de facture manquant",IF(ISNA(MATCH(B1349,fa_num,0)),"Facture inconnue",IF(INDEX(fa_type,MATCH(B1349,fa_num,0))="Avoir","Paiement sur un avoir",IF(OR(NOT(ISNUMBER(C1349)),N(C1349)&lt;=0),"Montant invalide",IF(A1349&lt;INDEX(fa_date,MATCH(B1349,fa_num,0)),"Date antérieure à la facture",IF(SUMIF($B$6:B1349,B1349,$C$6:C1349)&gt;INDEX(fa_ttc,MATCH(B1349,fa_num,0))-N(INDEX(fa_avoirs,MATCH(B1349,fa_num,0)))+0.001,"Dépasse le montant de la facture","OK")))))))))</f>
        <v/>
      </c>
    </row>
    <row r="1350">
      <c r="A1350" s="61" t="n"/>
      <c r="B1350" s="60" t="n"/>
      <c r="C1350" s="68" t="n"/>
      <c r="D1350" s="60" t="n"/>
      <c r="E1350" s="63" t="n"/>
      <c r="F1350" s="63" t="n"/>
      <c r="G1350" s="62" t="str">
        <f>IF(B1350="","",IFERROR(INDEX(fa_cname,MATCH(B1350,fa_num,0))&amp;"",""))</f>
        <v/>
      </c>
      <c r="H1350" s="59" t="str">
        <f>IF(COUNTA(A1350:F1350)=0,"",IF(A1350="","Date manquante",IF(NOT(ISNUMBER(A1350)),"Date invalide",IF(B1350="","N° de facture manquant",IF(ISNA(MATCH(B1350,fa_num,0)),"Facture inconnue",IF(INDEX(fa_type,MATCH(B1350,fa_num,0))="Avoir","Paiement sur un avoir",IF(OR(NOT(ISNUMBER(C1350)),N(C1350)&lt;=0),"Montant invalide",IF(A1350&lt;INDEX(fa_date,MATCH(B1350,fa_num,0)),"Date antérieure à la facture",IF(SUMIF($B$6:B1350,B1350,$C$6:C1350)&gt;INDEX(fa_ttc,MATCH(B1350,fa_num,0))-N(INDEX(fa_avoirs,MATCH(B1350,fa_num,0)))+0.001,"Dépasse le montant de la facture","OK")))))))))</f>
        <v/>
      </c>
    </row>
    <row r="1351">
      <c r="A1351" s="61" t="n"/>
      <c r="B1351" s="60" t="n"/>
      <c r="C1351" s="68" t="n"/>
      <c r="D1351" s="60" t="n"/>
      <c r="E1351" s="63" t="n"/>
      <c r="F1351" s="63" t="n"/>
      <c r="G1351" s="62" t="str">
        <f>IF(B1351="","",IFERROR(INDEX(fa_cname,MATCH(B1351,fa_num,0))&amp;"",""))</f>
        <v/>
      </c>
      <c r="H1351" s="59" t="str">
        <f>IF(COUNTA(A1351:F1351)=0,"",IF(A1351="","Date manquante",IF(NOT(ISNUMBER(A1351)),"Date invalide",IF(B1351="","N° de facture manquant",IF(ISNA(MATCH(B1351,fa_num,0)),"Facture inconnue",IF(INDEX(fa_type,MATCH(B1351,fa_num,0))="Avoir","Paiement sur un avoir",IF(OR(NOT(ISNUMBER(C1351)),N(C1351)&lt;=0),"Montant invalide",IF(A1351&lt;INDEX(fa_date,MATCH(B1351,fa_num,0)),"Date antérieure à la facture",IF(SUMIF($B$6:B1351,B1351,$C$6:C1351)&gt;INDEX(fa_ttc,MATCH(B1351,fa_num,0))-N(INDEX(fa_avoirs,MATCH(B1351,fa_num,0)))+0.001,"Dépasse le montant de la facture","OK")))))))))</f>
        <v/>
      </c>
    </row>
    <row r="1352">
      <c r="A1352" s="61" t="n"/>
      <c r="B1352" s="60" t="n"/>
      <c r="C1352" s="68" t="n"/>
      <c r="D1352" s="60" t="n"/>
      <c r="E1352" s="63" t="n"/>
      <c r="F1352" s="63" t="n"/>
      <c r="G1352" s="62" t="str">
        <f>IF(B1352="","",IFERROR(INDEX(fa_cname,MATCH(B1352,fa_num,0))&amp;"",""))</f>
        <v/>
      </c>
      <c r="H1352" s="59" t="str">
        <f>IF(COUNTA(A1352:F1352)=0,"",IF(A1352="","Date manquante",IF(NOT(ISNUMBER(A1352)),"Date invalide",IF(B1352="","N° de facture manquant",IF(ISNA(MATCH(B1352,fa_num,0)),"Facture inconnue",IF(INDEX(fa_type,MATCH(B1352,fa_num,0))="Avoir","Paiement sur un avoir",IF(OR(NOT(ISNUMBER(C1352)),N(C1352)&lt;=0),"Montant invalide",IF(A1352&lt;INDEX(fa_date,MATCH(B1352,fa_num,0)),"Date antérieure à la facture",IF(SUMIF($B$6:B1352,B1352,$C$6:C1352)&gt;INDEX(fa_ttc,MATCH(B1352,fa_num,0))-N(INDEX(fa_avoirs,MATCH(B1352,fa_num,0)))+0.001,"Dépasse le montant de la facture","OK")))))))))</f>
        <v/>
      </c>
    </row>
    <row r="1353">
      <c r="A1353" s="61" t="n"/>
      <c r="B1353" s="60" t="n"/>
      <c r="C1353" s="68" t="n"/>
      <c r="D1353" s="60" t="n"/>
      <c r="E1353" s="63" t="n"/>
      <c r="F1353" s="63" t="n"/>
      <c r="G1353" s="62" t="str">
        <f>IF(B1353="","",IFERROR(INDEX(fa_cname,MATCH(B1353,fa_num,0))&amp;"",""))</f>
        <v/>
      </c>
      <c r="H1353" s="59" t="str">
        <f>IF(COUNTA(A1353:F1353)=0,"",IF(A1353="","Date manquante",IF(NOT(ISNUMBER(A1353)),"Date invalide",IF(B1353="","N° de facture manquant",IF(ISNA(MATCH(B1353,fa_num,0)),"Facture inconnue",IF(INDEX(fa_type,MATCH(B1353,fa_num,0))="Avoir","Paiement sur un avoir",IF(OR(NOT(ISNUMBER(C1353)),N(C1353)&lt;=0),"Montant invalide",IF(A1353&lt;INDEX(fa_date,MATCH(B1353,fa_num,0)),"Date antérieure à la facture",IF(SUMIF($B$6:B1353,B1353,$C$6:C1353)&gt;INDEX(fa_ttc,MATCH(B1353,fa_num,0))-N(INDEX(fa_avoirs,MATCH(B1353,fa_num,0)))+0.001,"Dépasse le montant de la facture","OK")))))))))</f>
        <v/>
      </c>
    </row>
    <row r="1354">
      <c r="A1354" s="61" t="n"/>
      <c r="B1354" s="60" t="n"/>
      <c r="C1354" s="68" t="n"/>
      <c r="D1354" s="60" t="n"/>
      <c r="E1354" s="63" t="n"/>
      <c r="F1354" s="63" t="n"/>
      <c r="G1354" s="62" t="str">
        <f>IF(B1354="","",IFERROR(INDEX(fa_cname,MATCH(B1354,fa_num,0))&amp;"",""))</f>
        <v/>
      </c>
      <c r="H1354" s="59" t="str">
        <f>IF(COUNTA(A1354:F1354)=0,"",IF(A1354="","Date manquante",IF(NOT(ISNUMBER(A1354)),"Date invalide",IF(B1354="","N° de facture manquant",IF(ISNA(MATCH(B1354,fa_num,0)),"Facture inconnue",IF(INDEX(fa_type,MATCH(B1354,fa_num,0))="Avoir","Paiement sur un avoir",IF(OR(NOT(ISNUMBER(C1354)),N(C1354)&lt;=0),"Montant invalide",IF(A1354&lt;INDEX(fa_date,MATCH(B1354,fa_num,0)),"Date antérieure à la facture",IF(SUMIF($B$6:B1354,B1354,$C$6:C1354)&gt;INDEX(fa_ttc,MATCH(B1354,fa_num,0))-N(INDEX(fa_avoirs,MATCH(B1354,fa_num,0)))+0.001,"Dépasse le montant de la facture","OK")))))))))</f>
        <v/>
      </c>
    </row>
    <row r="1355">
      <c r="A1355" s="61" t="n"/>
      <c r="B1355" s="60" t="n"/>
      <c r="C1355" s="68" t="n"/>
      <c r="D1355" s="60" t="n"/>
      <c r="E1355" s="63" t="n"/>
      <c r="F1355" s="63" t="n"/>
      <c r="G1355" s="62" t="str">
        <f>IF(B1355="","",IFERROR(INDEX(fa_cname,MATCH(B1355,fa_num,0))&amp;"",""))</f>
        <v/>
      </c>
      <c r="H1355" s="59" t="str">
        <f>IF(COUNTA(A1355:F1355)=0,"",IF(A1355="","Date manquante",IF(NOT(ISNUMBER(A1355)),"Date invalide",IF(B1355="","N° de facture manquant",IF(ISNA(MATCH(B1355,fa_num,0)),"Facture inconnue",IF(INDEX(fa_type,MATCH(B1355,fa_num,0))="Avoir","Paiement sur un avoir",IF(OR(NOT(ISNUMBER(C1355)),N(C1355)&lt;=0),"Montant invalide",IF(A1355&lt;INDEX(fa_date,MATCH(B1355,fa_num,0)),"Date antérieure à la facture",IF(SUMIF($B$6:B1355,B1355,$C$6:C1355)&gt;INDEX(fa_ttc,MATCH(B1355,fa_num,0))-N(INDEX(fa_avoirs,MATCH(B1355,fa_num,0)))+0.001,"Dépasse le montant de la facture","OK")))))))))</f>
        <v/>
      </c>
    </row>
    <row r="1356">
      <c r="A1356" s="61" t="n"/>
      <c r="B1356" s="60" t="n"/>
      <c r="C1356" s="68" t="n"/>
      <c r="D1356" s="60" t="n"/>
      <c r="E1356" s="63" t="n"/>
      <c r="F1356" s="63" t="n"/>
      <c r="G1356" s="62" t="str">
        <f>IF(B1356="","",IFERROR(INDEX(fa_cname,MATCH(B1356,fa_num,0))&amp;"",""))</f>
        <v/>
      </c>
      <c r="H1356" s="59" t="str">
        <f>IF(COUNTA(A1356:F1356)=0,"",IF(A1356="","Date manquante",IF(NOT(ISNUMBER(A1356)),"Date invalide",IF(B1356="","N° de facture manquant",IF(ISNA(MATCH(B1356,fa_num,0)),"Facture inconnue",IF(INDEX(fa_type,MATCH(B1356,fa_num,0))="Avoir","Paiement sur un avoir",IF(OR(NOT(ISNUMBER(C1356)),N(C1356)&lt;=0),"Montant invalide",IF(A1356&lt;INDEX(fa_date,MATCH(B1356,fa_num,0)),"Date antérieure à la facture",IF(SUMIF($B$6:B1356,B1356,$C$6:C1356)&gt;INDEX(fa_ttc,MATCH(B1356,fa_num,0))-N(INDEX(fa_avoirs,MATCH(B1356,fa_num,0)))+0.001,"Dépasse le montant de la facture","OK")))))))))</f>
        <v/>
      </c>
    </row>
    <row r="1357">
      <c r="A1357" s="61" t="n"/>
      <c r="B1357" s="60" t="n"/>
      <c r="C1357" s="68" t="n"/>
      <c r="D1357" s="60" t="n"/>
      <c r="E1357" s="63" t="n"/>
      <c r="F1357" s="63" t="n"/>
      <c r="G1357" s="62" t="str">
        <f>IF(B1357="","",IFERROR(INDEX(fa_cname,MATCH(B1357,fa_num,0))&amp;"",""))</f>
        <v/>
      </c>
      <c r="H1357" s="59" t="str">
        <f>IF(COUNTA(A1357:F1357)=0,"",IF(A1357="","Date manquante",IF(NOT(ISNUMBER(A1357)),"Date invalide",IF(B1357="","N° de facture manquant",IF(ISNA(MATCH(B1357,fa_num,0)),"Facture inconnue",IF(INDEX(fa_type,MATCH(B1357,fa_num,0))="Avoir","Paiement sur un avoir",IF(OR(NOT(ISNUMBER(C1357)),N(C1357)&lt;=0),"Montant invalide",IF(A1357&lt;INDEX(fa_date,MATCH(B1357,fa_num,0)),"Date antérieure à la facture",IF(SUMIF($B$6:B1357,B1357,$C$6:C1357)&gt;INDEX(fa_ttc,MATCH(B1357,fa_num,0))-N(INDEX(fa_avoirs,MATCH(B1357,fa_num,0)))+0.001,"Dépasse le montant de la facture","OK")))))))))</f>
        <v/>
      </c>
    </row>
    <row r="1358">
      <c r="A1358" s="61" t="n"/>
      <c r="B1358" s="60" t="n"/>
      <c r="C1358" s="68" t="n"/>
      <c r="D1358" s="60" t="n"/>
      <c r="E1358" s="63" t="n"/>
      <c r="F1358" s="63" t="n"/>
      <c r="G1358" s="62" t="str">
        <f>IF(B1358="","",IFERROR(INDEX(fa_cname,MATCH(B1358,fa_num,0))&amp;"",""))</f>
        <v/>
      </c>
      <c r="H1358" s="59" t="str">
        <f>IF(COUNTA(A1358:F1358)=0,"",IF(A1358="","Date manquante",IF(NOT(ISNUMBER(A1358)),"Date invalide",IF(B1358="","N° de facture manquant",IF(ISNA(MATCH(B1358,fa_num,0)),"Facture inconnue",IF(INDEX(fa_type,MATCH(B1358,fa_num,0))="Avoir","Paiement sur un avoir",IF(OR(NOT(ISNUMBER(C1358)),N(C1358)&lt;=0),"Montant invalide",IF(A1358&lt;INDEX(fa_date,MATCH(B1358,fa_num,0)),"Date antérieure à la facture",IF(SUMIF($B$6:B1358,B1358,$C$6:C1358)&gt;INDEX(fa_ttc,MATCH(B1358,fa_num,0))-N(INDEX(fa_avoirs,MATCH(B1358,fa_num,0)))+0.001,"Dépasse le montant de la facture","OK")))))))))</f>
        <v/>
      </c>
    </row>
    <row r="1359">
      <c r="A1359" s="61" t="n"/>
      <c r="B1359" s="60" t="n"/>
      <c r="C1359" s="68" t="n"/>
      <c r="D1359" s="60" t="n"/>
      <c r="E1359" s="63" t="n"/>
      <c r="F1359" s="63" t="n"/>
      <c r="G1359" s="62" t="str">
        <f>IF(B1359="","",IFERROR(INDEX(fa_cname,MATCH(B1359,fa_num,0))&amp;"",""))</f>
        <v/>
      </c>
      <c r="H1359" s="59" t="str">
        <f>IF(COUNTA(A1359:F1359)=0,"",IF(A1359="","Date manquante",IF(NOT(ISNUMBER(A1359)),"Date invalide",IF(B1359="","N° de facture manquant",IF(ISNA(MATCH(B1359,fa_num,0)),"Facture inconnue",IF(INDEX(fa_type,MATCH(B1359,fa_num,0))="Avoir","Paiement sur un avoir",IF(OR(NOT(ISNUMBER(C1359)),N(C1359)&lt;=0),"Montant invalide",IF(A1359&lt;INDEX(fa_date,MATCH(B1359,fa_num,0)),"Date antérieure à la facture",IF(SUMIF($B$6:B1359,B1359,$C$6:C1359)&gt;INDEX(fa_ttc,MATCH(B1359,fa_num,0))-N(INDEX(fa_avoirs,MATCH(B1359,fa_num,0)))+0.001,"Dépasse le montant de la facture","OK")))))))))</f>
        <v/>
      </c>
    </row>
    <row r="1360">
      <c r="A1360" s="61" t="n"/>
      <c r="B1360" s="60" t="n"/>
      <c r="C1360" s="68" t="n"/>
      <c r="D1360" s="60" t="n"/>
      <c r="E1360" s="63" t="n"/>
      <c r="F1360" s="63" t="n"/>
      <c r="G1360" s="62" t="str">
        <f>IF(B1360="","",IFERROR(INDEX(fa_cname,MATCH(B1360,fa_num,0))&amp;"",""))</f>
        <v/>
      </c>
      <c r="H1360" s="59" t="str">
        <f>IF(COUNTA(A1360:F1360)=0,"",IF(A1360="","Date manquante",IF(NOT(ISNUMBER(A1360)),"Date invalide",IF(B1360="","N° de facture manquant",IF(ISNA(MATCH(B1360,fa_num,0)),"Facture inconnue",IF(INDEX(fa_type,MATCH(B1360,fa_num,0))="Avoir","Paiement sur un avoir",IF(OR(NOT(ISNUMBER(C1360)),N(C1360)&lt;=0),"Montant invalide",IF(A1360&lt;INDEX(fa_date,MATCH(B1360,fa_num,0)),"Date antérieure à la facture",IF(SUMIF($B$6:B1360,B1360,$C$6:C1360)&gt;INDEX(fa_ttc,MATCH(B1360,fa_num,0))-N(INDEX(fa_avoirs,MATCH(B1360,fa_num,0)))+0.001,"Dépasse le montant de la facture","OK")))))))))</f>
        <v/>
      </c>
    </row>
    <row r="1361">
      <c r="A1361" s="61" t="n"/>
      <c r="B1361" s="60" t="n"/>
      <c r="C1361" s="68" t="n"/>
      <c r="D1361" s="60" t="n"/>
      <c r="E1361" s="63" t="n"/>
      <c r="F1361" s="63" t="n"/>
      <c r="G1361" s="62" t="str">
        <f>IF(B1361="","",IFERROR(INDEX(fa_cname,MATCH(B1361,fa_num,0))&amp;"",""))</f>
        <v/>
      </c>
      <c r="H1361" s="59" t="str">
        <f>IF(COUNTA(A1361:F1361)=0,"",IF(A1361="","Date manquante",IF(NOT(ISNUMBER(A1361)),"Date invalide",IF(B1361="","N° de facture manquant",IF(ISNA(MATCH(B1361,fa_num,0)),"Facture inconnue",IF(INDEX(fa_type,MATCH(B1361,fa_num,0))="Avoir","Paiement sur un avoir",IF(OR(NOT(ISNUMBER(C1361)),N(C1361)&lt;=0),"Montant invalide",IF(A1361&lt;INDEX(fa_date,MATCH(B1361,fa_num,0)),"Date antérieure à la facture",IF(SUMIF($B$6:B1361,B1361,$C$6:C1361)&gt;INDEX(fa_ttc,MATCH(B1361,fa_num,0))-N(INDEX(fa_avoirs,MATCH(B1361,fa_num,0)))+0.001,"Dépasse le montant de la facture","OK")))))))))</f>
        <v/>
      </c>
    </row>
    <row r="1362">
      <c r="A1362" s="61" t="n"/>
      <c r="B1362" s="60" t="n"/>
      <c r="C1362" s="68" t="n"/>
      <c r="D1362" s="60" t="n"/>
      <c r="E1362" s="63" t="n"/>
      <c r="F1362" s="63" t="n"/>
      <c r="G1362" s="62" t="str">
        <f>IF(B1362="","",IFERROR(INDEX(fa_cname,MATCH(B1362,fa_num,0))&amp;"",""))</f>
        <v/>
      </c>
      <c r="H1362" s="59" t="str">
        <f>IF(COUNTA(A1362:F1362)=0,"",IF(A1362="","Date manquante",IF(NOT(ISNUMBER(A1362)),"Date invalide",IF(B1362="","N° de facture manquant",IF(ISNA(MATCH(B1362,fa_num,0)),"Facture inconnue",IF(INDEX(fa_type,MATCH(B1362,fa_num,0))="Avoir","Paiement sur un avoir",IF(OR(NOT(ISNUMBER(C1362)),N(C1362)&lt;=0),"Montant invalide",IF(A1362&lt;INDEX(fa_date,MATCH(B1362,fa_num,0)),"Date antérieure à la facture",IF(SUMIF($B$6:B1362,B1362,$C$6:C1362)&gt;INDEX(fa_ttc,MATCH(B1362,fa_num,0))-N(INDEX(fa_avoirs,MATCH(B1362,fa_num,0)))+0.001,"Dépasse le montant de la facture","OK")))))))))</f>
        <v/>
      </c>
    </row>
    <row r="1363">
      <c r="A1363" s="61" t="n"/>
      <c r="B1363" s="60" t="n"/>
      <c r="C1363" s="68" t="n"/>
      <c r="D1363" s="60" t="n"/>
      <c r="E1363" s="63" t="n"/>
      <c r="F1363" s="63" t="n"/>
      <c r="G1363" s="62" t="str">
        <f>IF(B1363="","",IFERROR(INDEX(fa_cname,MATCH(B1363,fa_num,0))&amp;"",""))</f>
        <v/>
      </c>
      <c r="H1363" s="59" t="str">
        <f>IF(COUNTA(A1363:F1363)=0,"",IF(A1363="","Date manquante",IF(NOT(ISNUMBER(A1363)),"Date invalide",IF(B1363="","N° de facture manquant",IF(ISNA(MATCH(B1363,fa_num,0)),"Facture inconnue",IF(INDEX(fa_type,MATCH(B1363,fa_num,0))="Avoir","Paiement sur un avoir",IF(OR(NOT(ISNUMBER(C1363)),N(C1363)&lt;=0),"Montant invalide",IF(A1363&lt;INDEX(fa_date,MATCH(B1363,fa_num,0)),"Date antérieure à la facture",IF(SUMIF($B$6:B1363,B1363,$C$6:C1363)&gt;INDEX(fa_ttc,MATCH(B1363,fa_num,0))-N(INDEX(fa_avoirs,MATCH(B1363,fa_num,0)))+0.001,"Dépasse le montant de la facture","OK")))))))))</f>
        <v/>
      </c>
    </row>
    <row r="1364">
      <c r="A1364" s="61" t="n"/>
      <c r="B1364" s="60" t="n"/>
      <c r="C1364" s="68" t="n"/>
      <c r="D1364" s="60" t="n"/>
      <c r="E1364" s="63" t="n"/>
      <c r="F1364" s="63" t="n"/>
      <c r="G1364" s="62" t="str">
        <f>IF(B1364="","",IFERROR(INDEX(fa_cname,MATCH(B1364,fa_num,0))&amp;"",""))</f>
        <v/>
      </c>
      <c r="H1364" s="59" t="str">
        <f>IF(COUNTA(A1364:F1364)=0,"",IF(A1364="","Date manquante",IF(NOT(ISNUMBER(A1364)),"Date invalide",IF(B1364="","N° de facture manquant",IF(ISNA(MATCH(B1364,fa_num,0)),"Facture inconnue",IF(INDEX(fa_type,MATCH(B1364,fa_num,0))="Avoir","Paiement sur un avoir",IF(OR(NOT(ISNUMBER(C1364)),N(C1364)&lt;=0),"Montant invalide",IF(A1364&lt;INDEX(fa_date,MATCH(B1364,fa_num,0)),"Date antérieure à la facture",IF(SUMIF($B$6:B1364,B1364,$C$6:C1364)&gt;INDEX(fa_ttc,MATCH(B1364,fa_num,0))-N(INDEX(fa_avoirs,MATCH(B1364,fa_num,0)))+0.001,"Dépasse le montant de la facture","OK")))))))))</f>
        <v/>
      </c>
    </row>
    <row r="1365">
      <c r="A1365" s="61" t="n"/>
      <c r="B1365" s="60" t="n"/>
      <c r="C1365" s="68" t="n"/>
      <c r="D1365" s="60" t="n"/>
      <c r="E1365" s="63" t="n"/>
      <c r="F1365" s="63" t="n"/>
      <c r="G1365" s="62" t="str">
        <f>IF(B1365="","",IFERROR(INDEX(fa_cname,MATCH(B1365,fa_num,0))&amp;"",""))</f>
        <v/>
      </c>
      <c r="H1365" s="59" t="str">
        <f>IF(COUNTA(A1365:F1365)=0,"",IF(A1365="","Date manquante",IF(NOT(ISNUMBER(A1365)),"Date invalide",IF(B1365="","N° de facture manquant",IF(ISNA(MATCH(B1365,fa_num,0)),"Facture inconnue",IF(INDEX(fa_type,MATCH(B1365,fa_num,0))="Avoir","Paiement sur un avoir",IF(OR(NOT(ISNUMBER(C1365)),N(C1365)&lt;=0),"Montant invalide",IF(A1365&lt;INDEX(fa_date,MATCH(B1365,fa_num,0)),"Date antérieure à la facture",IF(SUMIF($B$6:B1365,B1365,$C$6:C1365)&gt;INDEX(fa_ttc,MATCH(B1365,fa_num,0))-N(INDEX(fa_avoirs,MATCH(B1365,fa_num,0)))+0.001,"Dépasse le montant de la facture","OK")))))))))</f>
        <v/>
      </c>
    </row>
    <row r="1366">
      <c r="A1366" s="61" t="n"/>
      <c r="B1366" s="60" t="n"/>
      <c r="C1366" s="68" t="n"/>
      <c r="D1366" s="60" t="n"/>
      <c r="E1366" s="63" t="n"/>
      <c r="F1366" s="63" t="n"/>
      <c r="G1366" s="62" t="str">
        <f>IF(B1366="","",IFERROR(INDEX(fa_cname,MATCH(B1366,fa_num,0))&amp;"",""))</f>
        <v/>
      </c>
      <c r="H1366" s="59" t="str">
        <f>IF(COUNTA(A1366:F1366)=0,"",IF(A1366="","Date manquante",IF(NOT(ISNUMBER(A1366)),"Date invalide",IF(B1366="","N° de facture manquant",IF(ISNA(MATCH(B1366,fa_num,0)),"Facture inconnue",IF(INDEX(fa_type,MATCH(B1366,fa_num,0))="Avoir","Paiement sur un avoir",IF(OR(NOT(ISNUMBER(C1366)),N(C1366)&lt;=0),"Montant invalide",IF(A1366&lt;INDEX(fa_date,MATCH(B1366,fa_num,0)),"Date antérieure à la facture",IF(SUMIF($B$6:B1366,B1366,$C$6:C1366)&gt;INDEX(fa_ttc,MATCH(B1366,fa_num,0))-N(INDEX(fa_avoirs,MATCH(B1366,fa_num,0)))+0.001,"Dépasse le montant de la facture","OK")))))))))</f>
        <v/>
      </c>
    </row>
    <row r="1367">
      <c r="A1367" s="61" t="n"/>
      <c r="B1367" s="60" t="n"/>
      <c r="C1367" s="68" t="n"/>
      <c r="D1367" s="60" t="n"/>
      <c r="E1367" s="63" t="n"/>
      <c r="F1367" s="63" t="n"/>
      <c r="G1367" s="62" t="str">
        <f>IF(B1367="","",IFERROR(INDEX(fa_cname,MATCH(B1367,fa_num,0))&amp;"",""))</f>
        <v/>
      </c>
      <c r="H1367" s="59" t="str">
        <f>IF(COUNTA(A1367:F1367)=0,"",IF(A1367="","Date manquante",IF(NOT(ISNUMBER(A1367)),"Date invalide",IF(B1367="","N° de facture manquant",IF(ISNA(MATCH(B1367,fa_num,0)),"Facture inconnue",IF(INDEX(fa_type,MATCH(B1367,fa_num,0))="Avoir","Paiement sur un avoir",IF(OR(NOT(ISNUMBER(C1367)),N(C1367)&lt;=0),"Montant invalide",IF(A1367&lt;INDEX(fa_date,MATCH(B1367,fa_num,0)),"Date antérieure à la facture",IF(SUMIF($B$6:B1367,B1367,$C$6:C1367)&gt;INDEX(fa_ttc,MATCH(B1367,fa_num,0))-N(INDEX(fa_avoirs,MATCH(B1367,fa_num,0)))+0.001,"Dépasse le montant de la facture","OK")))))))))</f>
        <v/>
      </c>
    </row>
    <row r="1368">
      <c r="A1368" s="61" t="n"/>
      <c r="B1368" s="60" t="n"/>
      <c r="C1368" s="68" t="n"/>
      <c r="D1368" s="60" t="n"/>
      <c r="E1368" s="63" t="n"/>
      <c r="F1368" s="63" t="n"/>
      <c r="G1368" s="62" t="str">
        <f>IF(B1368="","",IFERROR(INDEX(fa_cname,MATCH(B1368,fa_num,0))&amp;"",""))</f>
        <v/>
      </c>
      <c r="H1368" s="59" t="str">
        <f>IF(COUNTA(A1368:F1368)=0,"",IF(A1368="","Date manquante",IF(NOT(ISNUMBER(A1368)),"Date invalide",IF(B1368="","N° de facture manquant",IF(ISNA(MATCH(B1368,fa_num,0)),"Facture inconnue",IF(INDEX(fa_type,MATCH(B1368,fa_num,0))="Avoir","Paiement sur un avoir",IF(OR(NOT(ISNUMBER(C1368)),N(C1368)&lt;=0),"Montant invalide",IF(A1368&lt;INDEX(fa_date,MATCH(B1368,fa_num,0)),"Date antérieure à la facture",IF(SUMIF($B$6:B1368,B1368,$C$6:C1368)&gt;INDEX(fa_ttc,MATCH(B1368,fa_num,0))-N(INDEX(fa_avoirs,MATCH(B1368,fa_num,0)))+0.001,"Dépasse le montant de la facture","OK")))))))))</f>
        <v/>
      </c>
    </row>
    <row r="1369">
      <c r="A1369" s="61" t="n"/>
      <c r="B1369" s="60" t="n"/>
      <c r="C1369" s="68" t="n"/>
      <c r="D1369" s="60" t="n"/>
      <c r="E1369" s="63" t="n"/>
      <c r="F1369" s="63" t="n"/>
      <c r="G1369" s="62" t="str">
        <f>IF(B1369="","",IFERROR(INDEX(fa_cname,MATCH(B1369,fa_num,0))&amp;"",""))</f>
        <v/>
      </c>
      <c r="H1369" s="59" t="str">
        <f>IF(COUNTA(A1369:F1369)=0,"",IF(A1369="","Date manquante",IF(NOT(ISNUMBER(A1369)),"Date invalide",IF(B1369="","N° de facture manquant",IF(ISNA(MATCH(B1369,fa_num,0)),"Facture inconnue",IF(INDEX(fa_type,MATCH(B1369,fa_num,0))="Avoir","Paiement sur un avoir",IF(OR(NOT(ISNUMBER(C1369)),N(C1369)&lt;=0),"Montant invalide",IF(A1369&lt;INDEX(fa_date,MATCH(B1369,fa_num,0)),"Date antérieure à la facture",IF(SUMIF($B$6:B1369,B1369,$C$6:C1369)&gt;INDEX(fa_ttc,MATCH(B1369,fa_num,0))-N(INDEX(fa_avoirs,MATCH(B1369,fa_num,0)))+0.001,"Dépasse le montant de la facture","OK")))))))))</f>
        <v/>
      </c>
    </row>
    <row r="1370">
      <c r="A1370" s="61" t="n"/>
      <c r="B1370" s="60" t="n"/>
      <c r="C1370" s="68" t="n"/>
      <c r="D1370" s="60" t="n"/>
      <c r="E1370" s="63" t="n"/>
      <c r="F1370" s="63" t="n"/>
      <c r="G1370" s="62" t="str">
        <f>IF(B1370="","",IFERROR(INDEX(fa_cname,MATCH(B1370,fa_num,0))&amp;"",""))</f>
        <v/>
      </c>
      <c r="H1370" s="59" t="str">
        <f>IF(COUNTA(A1370:F1370)=0,"",IF(A1370="","Date manquante",IF(NOT(ISNUMBER(A1370)),"Date invalide",IF(B1370="","N° de facture manquant",IF(ISNA(MATCH(B1370,fa_num,0)),"Facture inconnue",IF(INDEX(fa_type,MATCH(B1370,fa_num,0))="Avoir","Paiement sur un avoir",IF(OR(NOT(ISNUMBER(C1370)),N(C1370)&lt;=0),"Montant invalide",IF(A1370&lt;INDEX(fa_date,MATCH(B1370,fa_num,0)),"Date antérieure à la facture",IF(SUMIF($B$6:B1370,B1370,$C$6:C1370)&gt;INDEX(fa_ttc,MATCH(B1370,fa_num,0))-N(INDEX(fa_avoirs,MATCH(B1370,fa_num,0)))+0.001,"Dépasse le montant de la facture","OK")))))))))</f>
        <v/>
      </c>
    </row>
    <row r="1371">
      <c r="A1371" s="61" t="n"/>
      <c r="B1371" s="60" t="n"/>
      <c r="C1371" s="68" t="n"/>
      <c r="D1371" s="60" t="n"/>
      <c r="E1371" s="63" t="n"/>
      <c r="F1371" s="63" t="n"/>
      <c r="G1371" s="62" t="str">
        <f>IF(B1371="","",IFERROR(INDEX(fa_cname,MATCH(B1371,fa_num,0))&amp;"",""))</f>
        <v/>
      </c>
      <c r="H1371" s="59" t="str">
        <f>IF(COUNTA(A1371:F1371)=0,"",IF(A1371="","Date manquante",IF(NOT(ISNUMBER(A1371)),"Date invalide",IF(B1371="","N° de facture manquant",IF(ISNA(MATCH(B1371,fa_num,0)),"Facture inconnue",IF(INDEX(fa_type,MATCH(B1371,fa_num,0))="Avoir","Paiement sur un avoir",IF(OR(NOT(ISNUMBER(C1371)),N(C1371)&lt;=0),"Montant invalide",IF(A1371&lt;INDEX(fa_date,MATCH(B1371,fa_num,0)),"Date antérieure à la facture",IF(SUMIF($B$6:B1371,B1371,$C$6:C1371)&gt;INDEX(fa_ttc,MATCH(B1371,fa_num,0))-N(INDEX(fa_avoirs,MATCH(B1371,fa_num,0)))+0.001,"Dépasse le montant de la facture","OK")))))))))</f>
        <v/>
      </c>
    </row>
    <row r="1372">
      <c r="A1372" s="61" t="n"/>
      <c r="B1372" s="60" t="n"/>
      <c r="C1372" s="68" t="n"/>
      <c r="D1372" s="60" t="n"/>
      <c r="E1372" s="63" t="n"/>
      <c r="F1372" s="63" t="n"/>
      <c r="G1372" s="62" t="str">
        <f>IF(B1372="","",IFERROR(INDEX(fa_cname,MATCH(B1372,fa_num,0))&amp;"",""))</f>
        <v/>
      </c>
      <c r="H1372" s="59" t="str">
        <f>IF(COUNTA(A1372:F1372)=0,"",IF(A1372="","Date manquante",IF(NOT(ISNUMBER(A1372)),"Date invalide",IF(B1372="","N° de facture manquant",IF(ISNA(MATCH(B1372,fa_num,0)),"Facture inconnue",IF(INDEX(fa_type,MATCH(B1372,fa_num,0))="Avoir","Paiement sur un avoir",IF(OR(NOT(ISNUMBER(C1372)),N(C1372)&lt;=0),"Montant invalide",IF(A1372&lt;INDEX(fa_date,MATCH(B1372,fa_num,0)),"Date antérieure à la facture",IF(SUMIF($B$6:B1372,B1372,$C$6:C1372)&gt;INDEX(fa_ttc,MATCH(B1372,fa_num,0))-N(INDEX(fa_avoirs,MATCH(B1372,fa_num,0)))+0.001,"Dépasse le montant de la facture","OK")))))))))</f>
        <v/>
      </c>
    </row>
    <row r="1373">
      <c r="A1373" s="61" t="n"/>
      <c r="B1373" s="60" t="n"/>
      <c r="C1373" s="68" t="n"/>
      <c r="D1373" s="60" t="n"/>
      <c r="E1373" s="63" t="n"/>
      <c r="F1373" s="63" t="n"/>
      <c r="G1373" s="62" t="str">
        <f>IF(B1373="","",IFERROR(INDEX(fa_cname,MATCH(B1373,fa_num,0))&amp;"",""))</f>
        <v/>
      </c>
      <c r="H1373" s="59" t="str">
        <f>IF(COUNTA(A1373:F1373)=0,"",IF(A1373="","Date manquante",IF(NOT(ISNUMBER(A1373)),"Date invalide",IF(B1373="","N° de facture manquant",IF(ISNA(MATCH(B1373,fa_num,0)),"Facture inconnue",IF(INDEX(fa_type,MATCH(B1373,fa_num,0))="Avoir","Paiement sur un avoir",IF(OR(NOT(ISNUMBER(C1373)),N(C1373)&lt;=0),"Montant invalide",IF(A1373&lt;INDEX(fa_date,MATCH(B1373,fa_num,0)),"Date antérieure à la facture",IF(SUMIF($B$6:B1373,B1373,$C$6:C1373)&gt;INDEX(fa_ttc,MATCH(B1373,fa_num,0))-N(INDEX(fa_avoirs,MATCH(B1373,fa_num,0)))+0.001,"Dépasse le montant de la facture","OK")))))))))</f>
        <v/>
      </c>
    </row>
    <row r="1374">
      <c r="A1374" s="61" t="n"/>
      <c r="B1374" s="60" t="n"/>
      <c r="C1374" s="68" t="n"/>
      <c r="D1374" s="60" t="n"/>
      <c r="E1374" s="63" t="n"/>
      <c r="F1374" s="63" t="n"/>
      <c r="G1374" s="62" t="str">
        <f>IF(B1374="","",IFERROR(INDEX(fa_cname,MATCH(B1374,fa_num,0))&amp;"",""))</f>
        <v/>
      </c>
      <c r="H1374" s="59" t="str">
        <f>IF(COUNTA(A1374:F1374)=0,"",IF(A1374="","Date manquante",IF(NOT(ISNUMBER(A1374)),"Date invalide",IF(B1374="","N° de facture manquant",IF(ISNA(MATCH(B1374,fa_num,0)),"Facture inconnue",IF(INDEX(fa_type,MATCH(B1374,fa_num,0))="Avoir","Paiement sur un avoir",IF(OR(NOT(ISNUMBER(C1374)),N(C1374)&lt;=0),"Montant invalide",IF(A1374&lt;INDEX(fa_date,MATCH(B1374,fa_num,0)),"Date antérieure à la facture",IF(SUMIF($B$6:B1374,B1374,$C$6:C1374)&gt;INDEX(fa_ttc,MATCH(B1374,fa_num,0))-N(INDEX(fa_avoirs,MATCH(B1374,fa_num,0)))+0.001,"Dépasse le montant de la facture","OK")))))))))</f>
        <v/>
      </c>
    </row>
    <row r="1375">
      <c r="A1375" s="61" t="n"/>
      <c r="B1375" s="60" t="n"/>
      <c r="C1375" s="68" t="n"/>
      <c r="D1375" s="60" t="n"/>
      <c r="E1375" s="63" t="n"/>
      <c r="F1375" s="63" t="n"/>
      <c r="G1375" s="62" t="str">
        <f>IF(B1375="","",IFERROR(INDEX(fa_cname,MATCH(B1375,fa_num,0))&amp;"",""))</f>
        <v/>
      </c>
      <c r="H1375" s="59" t="str">
        <f>IF(COUNTA(A1375:F1375)=0,"",IF(A1375="","Date manquante",IF(NOT(ISNUMBER(A1375)),"Date invalide",IF(B1375="","N° de facture manquant",IF(ISNA(MATCH(B1375,fa_num,0)),"Facture inconnue",IF(INDEX(fa_type,MATCH(B1375,fa_num,0))="Avoir","Paiement sur un avoir",IF(OR(NOT(ISNUMBER(C1375)),N(C1375)&lt;=0),"Montant invalide",IF(A1375&lt;INDEX(fa_date,MATCH(B1375,fa_num,0)),"Date antérieure à la facture",IF(SUMIF($B$6:B1375,B1375,$C$6:C1375)&gt;INDEX(fa_ttc,MATCH(B1375,fa_num,0))-N(INDEX(fa_avoirs,MATCH(B1375,fa_num,0)))+0.001,"Dépasse le montant de la facture","OK")))))))))</f>
        <v/>
      </c>
    </row>
    <row r="1376">
      <c r="A1376" s="61" t="n"/>
      <c r="B1376" s="60" t="n"/>
      <c r="C1376" s="68" t="n"/>
      <c r="D1376" s="60" t="n"/>
      <c r="E1376" s="63" t="n"/>
      <c r="F1376" s="63" t="n"/>
      <c r="G1376" s="62" t="str">
        <f>IF(B1376="","",IFERROR(INDEX(fa_cname,MATCH(B1376,fa_num,0))&amp;"",""))</f>
        <v/>
      </c>
      <c r="H1376" s="59" t="str">
        <f>IF(COUNTA(A1376:F1376)=0,"",IF(A1376="","Date manquante",IF(NOT(ISNUMBER(A1376)),"Date invalide",IF(B1376="","N° de facture manquant",IF(ISNA(MATCH(B1376,fa_num,0)),"Facture inconnue",IF(INDEX(fa_type,MATCH(B1376,fa_num,0))="Avoir","Paiement sur un avoir",IF(OR(NOT(ISNUMBER(C1376)),N(C1376)&lt;=0),"Montant invalide",IF(A1376&lt;INDEX(fa_date,MATCH(B1376,fa_num,0)),"Date antérieure à la facture",IF(SUMIF($B$6:B1376,B1376,$C$6:C1376)&gt;INDEX(fa_ttc,MATCH(B1376,fa_num,0))-N(INDEX(fa_avoirs,MATCH(B1376,fa_num,0)))+0.001,"Dépasse le montant de la facture","OK")))))))))</f>
        <v/>
      </c>
    </row>
    <row r="1377">
      <c r="A1377" s="61" t="n"/>
      <c r="B1377" s="60" t="n"/>
      <c r="C1377" s="68" t="n"/>
      <c r="D1377" s="60" t="n"/>
      <c r="E1377" s="63" t="n"/>
      <c r="F1377" s="63" t="n"/>
      <c r="G1377" s="62" t="str">
        <f>IF(B1377="","",IFERROR(INDEX(fa_cname,MATCH(B1377,fa_num,0))&amp;"",""))</f>
        <v/>
      </c>
      <c r="H1377" s="59" t="str">
        <f>IF(COUNTA(A1377:F1377)=0,"",IF(A1377="","Date manquante",IF(NOT(ISNUMBER(A1377)),"Date invalide",IF(B1377="","N° de facture manquant",IF(ISNA(MATCH(B1377,fa_num,0)),"Facture inconnue",IF(INDEX(fa_type,MATCH(B1377,fa_num,0))="Avoir","Paiement sur un avoir",IF(OR(NOT(ISNUMBER(C1377)),N(C1377)&lt;=0),"Montant invalide",IF(A1377&lt;INDEX(fa_date,MATCH(B1377,fa_num,0)),"Date antérieure à la facture",IF(SUMIF($B$6:B1377,B1377,$C$6:C1377)&gt;INDEX(fa_ttc,MATCH(B1377,fa_num,0))-N(INDEX(fa_avoirs,MATCH(B1377,fa_num,0)))+0.001,"Dépasse le montant de la facture","OK")))))))))</f>
        <v/>
      </c>
    </row>
    <row r="1378">
      <c r="A1378" s="61" t="n"/>
      <c r="B1378" s="60" t="n"/>
      <c r="C1378" s="68" t="n"/>
      <c r="D1378" s="60" t="n"/>
      <c r="E1378" s="63" t="n"/>
      <c r="F1378" s="63" t="n"/>
      <c r="G1378" s="62" t="str">
        <f>IF(B1378="","",IFERROR(INDEX(fa_cname,MATCH(B1378,fa_num,0))&amp;"",""))</f>
        <v/>
      </c>
      <c r="H1378" s="59" t="str">
        <f>IF(COUNTA(A1378:F1378)=0,"",IF(A1378="","Date manquante",IF(NOT(ISNUMBER(A1378)),"Date invalide",IF(B1378="","N° de facture manquant",IF(ISNA(MATCH(B1378,fa_num,0)),"Facture inconnue",IF(INDEX(fa_type,MATCH(B1378,fa_num,0))="Avoir","Paiement sur un avoir",IF(OR(NOT(ISNUMBER(C1378)),N(C1378)&lt;=0),"Montant invalide",IF(A1378&lt;INDEX(fa_date,MATCH(B1378,fa_num,0)),"Date antérieure à la facture",IF(SUMIF($B$6:B1378,B1378,$C$6:C1378)&gt;INDEX(fa_ttc,MATCH(B1378,fa_num,0))-N(INDEX(fa_avoirs,MATCH(B1378,fa_num,0)))+0.001,"Dépasse le montant de la facture","OK")))))))))</f>
        <v/>
      </c>
    </row>
    <row r="1379">
      <c r="A1379" s="61" t="n"/>
      <c r="B1379" s="60" t="n"/>
      <c r="C1379" s="68" t="n"/>
      <c r="D1379" s="60" t="n"/>
      <c r="E1379" s="63" t="n"/>
      <c r="F1379" s="63" t="n"/>
      <c r="G1379" s="62" t="str">
        <f>IF(B1379="","",IFERROR(INDEX(fa_cname,MATCH(B1379,fa_num,0))&amp;"",""))</f>
        <v/>
      </c>
      <c r="H1379" s="59" t="str">
        <f>IF(COUNTA(A1379:F1379)=0,"",IF(A1379="","Date manquante",IF(NOT(ISNUMBER(A1379)),"Date invalide",IF(B1379="","N° de facture manquant",IF(ISNA(MATCH(B1379,fa_num,0)),"Facture inconnue",IF(INDEX(fa_type,MATCH(B1379,fa_num,0))="Avoir","Paiement sur un avoir",IF(OR(NOT(ISNUMBER(C1379)),N(C1379)&lt;=0),"Montant invalide",IF(A1379&lt;INDEX(fa_date,MATCH(B1379,fa_num,0)),"Date antérieure à la facture",IF(SUMIF($B$6:B1379,B1379,$C$6:C1379)&gt;INDEX(fa_ttc,MATCH(B1379,fa_num,0))-N(INDEX(fa_avoirs,MATCH(B1379,fa_num,0)))+0.001,"Dépasse le montant de la facture","OK")))))))))</f>
        <v/>
      </c>
    </row>
    <row r="1380">
      <c r="A1380" s="61" t="n"/>
      <c r="B1380" s="60" t="n"/>
      <c r="C1380" s="68" t="n"/>
      <c r="D1380" s="60" t="n"/>
      <c r="E1380" s="63" t="n"/>
      <c r="F1380" s="63" t="n"/>
      <c r="G1380" s="62" t="str">
        <f>IF(B1380="","",IFERROR(INDEX(fa_cname,MATCH(B1380,fa_num,0))&amp;"",""))</f>
        <v/>
      </c>
      <c r="H1380" s="59" t="str">
        <f>IF(COUNTA(A1380:F1380)=0,"",IF(A1380="","Date manquante",IF(NOT(ISNUMBER(A1380)),"Date invalide",IF(B1380="","N° de facture manquant",IF(ISNA(MATCH(B1380,fa_num,0)),"Facture inconnue",IF(INDEX(fa_type,MATCH(B1380,fa_num,0))="Avoir","Paiement sur un avoir",IF(OR(NOT(ISNUMBER(C1380)),N(C1380)&lt;=0),"Montant invalide",IF(A1380&lt;INDEX(fa_date,MATCH(B1380,fa_num,0)),"Date antérieure à la facture",IF(SUMIF($B$6:B1380,B1380,$C$6:C1380)&gt;INDEX(fa_ttc,MATCH(B1380,fa_num,0))-N(INDEX(fa_avoirs,MATCH(B1380,fa_num,0)))+0.001,"Dépasse le montant de la facture","OK")))))))))</f>
        <v/>
      </c>
    </row>
    <row r="1381">
      <c r="A1381" s="61" t="n"/>
      <c r="B1381" s="60" t="n"/>
      <c r="C1381" s="68" t="n"/>
      <c r="D1381" s="60" t="n"/>
      <c r="E1381" s="63" t="n"/>
      <c r="F1381" s="63" t="n"/>
      <c r="G1381" s="62" t="str">
        <f>IF(B1381="","",IFERROR(INDEX(fa_cname,MATCH(B1381,fa_num,0))&amp;"",""))</f>
        <v/>
      </c>
      <c r="H1381" s="59" t="str">
        <f>IF(COUNTA(A1381:F1381)=0,"",IF(A1381="","Date manquante",IF(NOT(ISNUMBER(A1381)),"Date invalide",IF(B1381="","N° de facture manquant",IF(ISNA(MATCH(B1381,fa_num,0)),"Facture inconnue",IF(INDEX(fa_type,MATCH(B1381,fa_num,0))="Avoir","Paiement sur un avoir",IF(OR(NOT(ISNUMBER(C1381)),N(C1381)&lt;=0),"Montant invalide",IF(A1381&lt;INDEX(fa_date,MATCH(B1381,fa_num,0)),"Date antérieure à la facture",IF(SUMIF($B$6:B1381,B1381,$C$6:C1381)&gt;INDEX(fa_ttc,MATCH(B1381,fa_num,0))-N(INDEX(fa_avoirs,MATCH(B1381,fa_num,0)))+0.001,"Dépasse le montant de la facture","OK")))))))))</f>
        <v/>
      </c>
    </row>
    <row r="1382">
      <c r="A1382" s="61" t="n"/>
      <c r="B1382" s="60" t="n"/>
      <c r="C1382" s="68" t="n"/>
      <c r="D1382" s="60" t="n"/>
      <c r="E1382" s="63" t="n"/>
      <c r="F1382" s="63" t="n"/>
      <c r="G1382" s="62" t="str">
        <f>IF(B1382="","",IFERROR(INDEX(fa_cname,MATCH(B1382,fa_num,0))&amp;"",""))</f>
        <v/>
      </c>
      <c r="H1382" s="59" t="str">
        <f>IF(COUNTA(A1382:F1382)=0,"",IF(A1382="","Date manquante",IF(NOT(ISNUMBER(A1382)),"Date invalide",IF(B1382="","N° de facture manquant",IF(ISNA(MATCH(B1382,fa_num,0)),"Facture inconnue",IF(INDEX(fa_type,MATCH(B1382,fa_num,0))="Avoir","Paiement sur un avoir",IF(OR(NOT(ISNUMBER(C1382)),N(C1382)&lt;=0),"Montant invalide",IF(A1382&lt;INDEX(fa_date,MATCH(B1382,fa_num,0)),"Date antérieure à la facture",IF(SUMIF($B$6:B1382,B1382,$C$6:C1382)&gt;INDEX(fa_ttc,MATCH(B1382,fa_num,0))-N(INDEX(fa_avoirs,MATCH(B1382,fa_num,0)))+0.001,"Dépasse le montant de la facture","OK")))))))))</f>
        <v/>
      </c>
    </row>
    <row r="1383">
      <c r="A1383" s="61" t="n"/>
      <c r="B1383" s="60" t="n"/>
      <c r="C1383" s="68" t="n"/>
      <c r="D1383" s="60" t="n"/>
      <c r="E1383" s="63" t="n"/>
      <c r="F1383" s="63" t="n"/>
      <c r="G1383" s="62" t="str">
        <f>IF(B1383="","",IFERROR(INDEX(fa_cname,MATCH(B1383,fa_num,0))&amp;"",""))</f>
        <v/>
      </c>
      <c r="H1383" s="59" t="str">
        <f>IF(COUNTA(A1383:F1383)=0,"",IF(A1383="","Date manquante",IF(NOT(ISNUMBER(A1383)),"Date invalide",IF(B1383="","N° de facture manquant",IF(ISNA(MATCH(B1383,fa_num,0)),"Facture inconnue",IF(INDEX(fa_type,MATCH(B1383,fa_num,0))="Avoir","Paiement sur un avoir",IF(OR(NOT(ISNUMBER(C1383)),N(C1383)&lt;=0),"Montant invalide",IF(A1383&lt;INDEX(fa_date,MATCH(B1383,fa_num,0)),"Date antérieure à la facture",IF(SUMIF($B$6:B1383,B1383,$C$6:C1383)&gt;INDEX(fa_ttc,MATCH(B1383,fa_num,0))-N(INDEX(fa_avoirs,MATCH(B1383,fa_num,0)))+0.001,"Dépasse le montant de la facture","OK")))))))))</f>
        <v/>
      </c>
    </row>
    <row r="1384">
      <c r="A1384" s="61" t="n"/>
      <c r="B1384" s="60" t="n"/>
      <c r="C1384" s="68" t="n"/>
      <c r="D1384" s="60" t="n"/>
      <c r="E1384" s="63" t="n"/>
      <c r="F1384" s="63" t="n"/>
      <c r="G1384" s="62" t="str">
        <f>IF(B1384="","",IFERROR(INDEX(fa_cname,MATCH(B1384,fa_num,0))&amp;"",""))</f>
        <v/>
      </c>
      <c r="H1384" s="59" t="str">
        <f>IF(COUNTA(A1384:F1384)=0,"",IF(A1384="","Date manquante",IF(NOT(ISNUMBER(A1384)),"Date invalide",IF(B1384="","N° de facture manquant",IF(ISNA(MATCH(B1384,fa_num,0)),"Facture inconnue",IF(INDEX(fa_type,MATCH(B1384,fa_num,0))="Avoir","Paiement sur un avoir",IF(OR(NOT(ISNUMBER(C1384)),N(C1384)&lt;=0),"Montant invalide",IF(A1384&lt;INDEX(fa_date,MATCH(B1384,fa_num,0)),"Date antérieure à la facture",IF(SUMIF($B$6:B1384,B1384,$C$6:C1384)&gt;INDEX(fa_ttc,MATCH(B1384,fa_num,0))-N(INDEX(fa_avoirs,MATCH(B1384,fa_num,0)))+0.001,"Dépasse le montant de la facture","OK")))))))))</f>
        <v/>
      </c>
    </row>
    <row r="1385">
      <c r="A1385" s="61" t="n"/>
      <c r="B1385" s="60" t="n"/>
      <c r="C1385" s="68" t="n"/>
      <c r="D1385" s="60" t="n"/>
      <c r="E1385" s="63" t="n"/>
      <c r="F1385" s="63" t="n"/>
      <c r="G1385" s="62" t="str">
        <f>IF(B1385="","",IFERROR(INDEX(fa_cname,MATCH(B1385,fa_num,0))&amp;"",""))</f>
        <v/>
      </c>
      <c r="H1385" s="59" t="str">
        <f>IF(COUNTA(A1385:F1385)=0,"",IF(A1385="","Date manquante",IF(NOT(ISNUMBER(A1385)),"Date invalide",IF(B1385="","N° de facture manquant",IF(ISNA(MATCH(B1385,fa_num,0)),"Facture inconnue",IF(INDEX(fa_type,MATCH(B1385,fa_num,0))="Avoir","Paiement sur un avoir",IF(OR(NOT(ISNUMBER(C1385)),N(C1385)&lt;=0),"Montant invalide",IF(A1385&lt;INDEX(fa_date,MATCH(B1385,fa_num,0)),"Date antérieure à la facture",IF(SUMIF($B$6:B1385,B1385,$C$6:C1385)&gt;INDEX(fa_ttc,MATCH(B1385,fa_num,0))-N(INDEX(fa_avoirs,MATCH(B1385,fa_num,0)))+0.001,"Dépasse le montant de la facture","OK")))))))))</f>
        <v/>
      </c>
    </row>
    <row r="1386">
      <c r="A1386" s="61" t="n"/>
      <c r="B1386" s="60" t="n"/>
      <c r="C1386" s="68" t="n"/>
      <c r="D1386" s="60" t="n"/>
      <c r="E1386" s="63" t="n"/>
      <c r="F1386" s="63" t="n"/>
      <c r="G1386" s="62" t="str">
        <f>IF(B1386="","",IFERROR(INDEX(fa_cname,MATCH(B1386,fa_num,0))&amp;"",""))</f>
        <v/>
      </c>
      <c r="H1386" s="59" t="str">
        <f>IF(COUNTA(A1386:F1386)=0,"",IF(A1386="","Date manquante",IF(NOT(ISNUMBER(A1386)),"Date invalide",IF(B1386="","N° de facture manquant",IF(ISNA(MATCH(B1386,fa_num,0)),"Facture inconnue",IF(INDEX(fa_type,MATCH(B1386,fa_num,0))="Avoir","Paiement sur un avoir",IF(OR(NOT(ISNUMBER(C1386)),N(C1386)&lt;=0),"Montant invalide",IF(A1386&lt;INDEX(fa_date,MATCH(B1386,fa_num,0)),"Date antérieure à la facture",IF(SUMIF($B$6:B1386,B1386,$C$6:C1386)&gt;INDEX(fa_ttc,MATCH(B1386,fa_num,0))-N(INDEX(fa_avoirs,MATCH(B1386,fa_num,0)))+0.001,"Dépasse le montant de la facture","OK")))))))))</f>
        <v/>
      </c>
    </row>
    <row r="1387">
      <c r="A1387" s="61" t="n"/>
      <c r="B1387" s="60" t="n"/>
      <c r="C1387" s="68" t="n"/>
      <c r="D1387" s="60" t="n"/>
      <c r="E1387" s="63" t="n"/>
      <c r="F1387" s="63" t="n"/>
      <c r="G1387" s="62" t="str">
        <f>IF(B1387="","",IFERROR(INDEX(fa_cname,MATCH(B1387,fa_num,0))&amp;"",""))</f>
        <v/>
      </c>
      <c r="H1387" s="59" t="str">
        <f>IF(COUNTA(A1387:F1387)=0,"",IF(A1387="","Date manquante",IF(NOT(ISNUMBER(A1387)),"Date invalide",IF(B1387="","N° de facture manquant",IF(ISNA(MATCH(B1387,fa_num,0)),"Facture inconnue",IF(INDEX(fa_type,MATCH(B1387,fa_num,0))="Avoir","Paiement sur un avoir",IF(OR(NOT(ISNUMBER(C1387)),N(C1387)&lt;=0),"Montant invalide",IF(A1387&lt;INDEX(fa_date,MATCH(B1387,fa_num,0)),"Date antérieure à la facture",IF(SUMIF($B$6:B1387,B1387,$C$6:C1387)&gt;INDEX(fa_ttc,MATCH(B1387,fa_num,0))-N(INDEX(fa_avoirs,MATCH(B1387,fa_num,0)))+0.001,"Dépasse le montant de la facture","OK")))))))))</f>
        <v/>
      </c>
    </row>
    <row r="1388">
      <c r="A1388" s="61" t="n"/>
      <c r="B1388" s="60" t="n"/>
      <c r="C1388" s="68" t="n"/>
      <c r="D1388" s="60" t="n"/>
      <c r="E1388" s="63" t="n"/>
      <c r="F1388" s="63" t="n"/>
      <c r="G1388" s="62" t="str">
        <f>IF(B1388="","",IFERROR(INDEX(fa_cname,MATCH(B1388,fa_num,0))&amp;"",""))</f>
        <v/>
      </c>
      <c r="H1388" s="59" t="str">
        <f>IF(COUNTA(A1388:F1388)=0,"",IF(A1388="","Date manquante",IF(NOT(ISNUMBER(A1388)),"Date invalide",IF(B1388="","N° de facture manquant",IF(ISNA(MATCH(B1388,fa_num,0)),"Facture inconnue",IF(INDEX(fa_type,MATCH(B1388,fa_num,0))="Avoir","Paiement sur un avoir",IF(OR(NOT(ISNUMBER(C1388)),N(C1388)&lt;=0),"Montant invalide",IF(A1388&lt;INDEX(fa_date,MATCH(B1388,fa_num,0)),"Date antérieure à la facture",IF(SUMIF($B$6:B1388,B1388,$C$6:C1388)&gt;INDEX(fa_ttc,MATCH(B1388,fa_num,0))-N(INDEX(fa_avoirs,MATCH(B1388,fa_num,0)))+0.001,"Dépasse le montant de la facture","OK")))))))))</f>
        <v/>
      </c>
    </row>
    <row r="1389">
      <c r="A1389" s="61" t="n"/>
      <c r="B1389" s="60" t="n"/>
      <c r="C1389" s="68" t="n"/>
      <c r="D1389" s="60" t="n"/>
      <c r="E1389" s="63" t="n"/>
      <c r="F1389" s="63" t="n"/>
      <c r="G1389" s="62" t="str">
        <f>IF(B1389="","",IFERROR(INDEX(fa_cname,MATCH(B1389,fa_num,0))&amp;"",""))</f>
        <v/>
      </c>
      <c r="H1389" s="59" t="str">
        <f>IF(COUNTA(A1389:F1389)=0,"",IF(A1389="","Date manquante",IF(NOT(ISNUMBER(A1389)),"Date invalide",IF(B1389="","N° de facture manquant",IF(ISNA(MATCH(B1389,fa_num,0)),"Facture inconnue",IF(INDEX(fa_type,MATCH(B1389,fa_num,0))="Avoir","Paiement sur un avoir",IF(OR(NOT(ISNUMBER(C1389)),N(C1389)&lt;=0),"Montant invalide",IF(A1389&lt;INDEX(fa_date,MATCH(B1389,fa_num,0)),"Date antérieure à la facture",IF(SUMIF($B$6:B1389,B1389,$C$6:C1389)&gt;INDEX(fa_ttc,MATCH(B1389,fa_num,0))-N(INDEX(fa_avoirs,MATCH(B1389,fa_num,0)))+0.001,"Dépasse le montant de la facture","OK")))))))))</f>
        <v/>
      </c>
    </row>
    <row r="1390">
      <c r="A1390" s="61" t="n"/>
      <c r="B1390" s="60" t="n"/>
      <c r="C1390" s="68" t="n"/>
      <c r="D1390" s="60" t="n"/>
      <c r="E1390" s="63" t="n"/>
      <c r="F1390" s="63" t="n"/>
      <c r="G1390" s="62" t="str">
        <f>IF(B1390="","",IFERROR(INDEX(fa_cname,MATCH(B1390,fa_num,0))&amp;"",""))</f>
        <v/>
      </c>
      <c r="H1390" s="59" t="str">
        <f>IF(COUNTA(A1390:F1390)=0,"",IF(A1390="","Date manquante",IF(NOT(ISNUMBER(A1390)),"Date invalide",IF(B1390="","N° de facture manquant",IF(ISNA(MATCH(B1390,fa_num,0)),"Facture inconnue",IF(INDEX(fa_type,MATCH(B1390,fa_num,0))="Avoir","Paiement sur un avoir",IF(OR(NOT(ISNUMBER(C1390)),N(C1390)&lt;=0),"Montant invalide",IF(A1390&lt;INDEX(fa_date,MATCH(B1390,fa_num,0)),"Date antérieure à la facture",IF(SUMIF($B$6:B1390,B1390,$C$6:C1390)&gt;INDEX(fa_ttc,MATCH(B1390,fa_num,0))-N(INDEX(fa_avoirs,MATCH(B1390,fa_num,0)))+0.001,"Dépasse le montant de la facture","OK")))))))))</f>
        <v/>
      </c>
    </row>
    <row r="1391">
      <c r="A1391" s="61" t="n"/>
      <c r="B1391" s="60" t="n"/>
      <c r="C1391" s="68" t="n"/>
      <c r="D1391" s="60" t="n"/>
      <c r="E1391" s="63" t="n"/>
      <c r="F1391" s="63" t="n"/>
      <c r="G1391" s="62" t="str">
        <f>IF(B1391="","",IFERROR(INDEX(fa_cname,MATCH(B1391,fa_num,0))&amp;"",""))</f>
        <v/>
      </c>
      <c r="H1391" s="59" t="str">
        <f>IF(COUNTA(A1391:F1391)=0,"",IF(A1391="","Date manquante",IF(NOT(ISNUMBER(A1391)),"Date invalide",IF(B1391="","N° de facture manquant",IF(ISNA(MATCH(B1391,fa_num,0)),"Facture inconnue",IF(INDEX(fa_type,MATCH(B1391,fa_num,0))="Avoir","Paiement sur un avoir",IF(OR(NOT(ISNUMBER(C1391)),N(C1391)&lt;=0),"Montant invalide",IF(A1391&lt;INDEX(fa_date,MATCH(B1391,fa_num,0)),"Date antérieure à la facture",IF(SUMIF($B$6:B1391,B1391,$C$6:C1391)&gt;INDEX(fa_ttc,MATCH(B1391,fa_num,0))-N(INDEX(fa_avoirs,MATCH(B1391,fa_num,0)))+0.001,"Dépasse le montant de la facture","OK")))))))))</f>
        <v/>
      </c>
    </row>
    <row r="1392">
      <c r="A1392" s="61" t="n"/>
      <c r="B1392" s="60" t="n"/>
      <c r="C1392" s="68" t="n"/>
      <c r="D1392" s="60" t="n"/>
      <c r="E1392" s="63" t="n"/>
      <c r="F1392" s="63" t="n"/>
      <c r="G1392" s="62" t="str">
        <f>IF(B1392="","",IFERROR(INDEX(fa_cname,MATCH(B1392,fa_num,0))&amp;"",""))</f>
        <v/>
      </c>
      <c r="H1392" s="59" t="str">
        <f>IF(COUNTA(A1392:F1392)=0,"",IF(A1392="","Date manquante",IF(NOT(ISNUMBER(A1392)),"Date invalide",IF(B1392="","N° de facture manquant",IF(ISNA(MATCH(B1392,fa_num,0)),"Facture inconnue",IF(INDEX(fa_type,MATCH(B1392,fa_num,0))="Avoir","Paiement sur un avoir",IF(OR(NOT(ISNUMBER(C1392)),N(C1392)&lt;=0),"Montant invalide",IF(A1392&lt;INDEX(fa_date,MATCH(B1392,fa_num,0)),"Date antérieure à la facture",IF(SUMIF($B$6:B1392,B1392,$C$6:C1392)&gt;INDEX(fa_ttc,MATCH(B1392,fa_num,0))-N(INDEX(fa_avoirs,MATCH(B1392,fa_num,0)))+0.001,"Dépasse le montant de la facture","OK")))))))))</f>
        <v/>
      </c>
    </row>
    <row r="1393">
      <c r="A1393" s="61" t="n"/>
      <c r="B1393" s="60" t="n"/>
      <c r="C1393" s="68" t="n"/>
      <c r="D1393" s="60" t="n"/>
      <c r="E1393" s="63" t="n"/>
      <c r="F1393" s="63" t="n"/>
      <c r="G1393" s="62" t="str">
        <f>IF(B1393="","",IFERROR(INDEX(fa_cname,MATCH(B1393,fa_num,0))&amp;"",""))</f>
        <v/>
      </c>
      <c r="H1393" s="59" t="str">
        <f>IF(COUNTA(A1393:F1393)=0,"",IF(A1393="","Date manquante",IF(NOT(ISNUMBER(A1393)),"Date invalide",IF(B1393="","N° de facture manquant",IF(ISNA(MATCH(B1393,fa_num,0)),"Facture inconnue",IF(INDEX(fa_type,MATCH(B1393,fa_num,0))="Avoir","Paiement sur un avoir",IF(OR(NOT(ISNUMBER(C1393)),N(C1393)&lt;=0),"Montant invalide",IF(A1393&lt;INDEX(fa_date,MATCH(B1393,fa_num,0)),"Date antérieure à la facture",IF(SUMIF($B$6:B1393,B1393,$C$6:C1393)&gt;INDEX(fa_ttc,MATCH(B1393,fa_num,0))-N(INDEX(fa_avoirs,MATCH(B1393,fa_num,0)))+0.001,"Dépasse le montant de la facture","OK")))))))))</f>
        <v/>
      </c>
    </row>
    <row r="1394">
      <c r="A1394" s="61" t="n"/>
      <c r="B1394" s="60" t="n"/>
      <c r="C1394" s="68" t="n"/>
      <c r="D1394" s="60" t="n"/>
      <c r="E1394" s="63" t="n"/>
      <c r="F1394" s="63" t="n"/>
      <c r="G1394" s="62" t="str">
        <f>IF(B1394="","",IFERROR(INDEX(fa_cname,MATCH(B1394,fa_num,0))&amp;"",""))</f>
        <v/>
      </c>
      <c r="H1394" s="59" t="str">
        <f>IF(COUNTA(A1394:F1394)=0,"",IF(A1394="","Date manquante",IF(NOT(ISNUMBER(A1394)),"Date invalide",IF(B1394="","N° de facture manquant",IF(ISNA(MATCH(B1394,fa_num,0)),"Facture inconnue",IF(INDEX(fa_type,MATCH(B1394,fa_num,0))="Avoir","Paiement sur un avoir",IF(OR(NOT(ISNUMBER(C1394)),N(C1394)&lt;=0),"Montant invalide",IF(A1394&lt;INDEX(fa_date,MATCH(B1394,fa_num,0)),"Date antérieure à la facture",IF(SUMIF($B$6:B1394,B1394,$C$6:C1394)&gt;INDEX(fa_ttc,MATCH(B1394,fa_num,0))-N(INDEX(fa_avoirs,MATCH(B1394,fa_num,0)))+0.001,"Dépasse le montant de la facture","OK")))))))))</f>
        <v/>
      </c>
    </row>
    <row r="1395">
      <c r="A1395" s="61" t="n"/>
      <c r="B1395" s="60" t="n"/>
      <c r="C1395" s="68" t="n"/>
      <c r="D1395" s="60" t="n"/>
      <c r="E1395" s="63" t="n"/>
      <c r="F1395" s="63" t="n"/>
      <c r="G1395" s="62" t="str">
        <f>IF(B1395="","",IFERROR(INDEX(fa_cname,MATCH(B1395,fa_num,0))&amp;"",""))</f>
        <v/>
      </c>
      <c r="H1395" s="59" t="str">
        <f>IF(COUNTA(A1395:F1395)=0,"",IF(A1395="","Date manquante",IF(NOT(ISNUMBER(A1395)),"Date invalide",IF(B1395="","N° de facture manquant",IF(ISNA(MATCH(B1395,fa_num,0)),"Facture inconnue",IF(INDEX(fa_type,MATCH(B1395,fa_num,0))="Avoir","Paiement sur un avoir",IF(OR(NOT(ISNUMBER(C1395)),N(C1395)&lt;=0),"Montant invalide",IF(A1395&lt;INDEX(fa_date,MATCH(B1395,fa_num,0)),"Date antérieure à la facture",IF(SUMIF($B$6:B1395,B1395,$C$6:C1395)&gt;INDEX(fa_ttc,MATCH(B1395,fa_num,0))-N(INDEX(fa_avoirs,MATCH(B1395,fa_num,0)))+0.001,"Dépasse le montant de la facture","OK")))))))))</f>
        <v/>
      </c>
    </row>
    <row r="1396">
      <c r="A1396" s="61" t="n"/>
      <c r="B1396" s="60" t="n"/>
      <c r="C1396" s="68" t="n"/>
      <c r="D1396" s="60" t="n"/>
      <c r="E1396" s="63" t="n"/>
      <c r="F1396" s="63" t="n"/>
      <c r="G1396" s="62" t="str">
        <f>IF(B1396="","",IFERROR(INDEX(fa_cname,MATCH(B1396,fa_num,0))&amp;"",""))</f>
        <v/>
      </c>
      <c r="H1396" s="59" t="str">
        <f>IF(COUNTA(A1396:F1396)=0,"",IF(A1396="","Date manquante",IF(NOT(ISNUMBER(A1396)),"Date invalide",IF(B1396="","N° de facture manquant",IF(ISNA(MATCH(B1396,fa_num,0)),"Facture inconnue",IF(INDEX(fa_type,MATCH(B1396,fa_num,0))="Avoir","Paiement sur un avoir",IF(OR(NOT(ISNUMBER(C1396)),N(C1396)&lt;=0),"Montant invalide",IF(A1396&lt;INDEX(fa_date,MATCH(B1396,fa_num,0)),"Date antérieure à la facture",IF(SUMIF($B$6:B1396,B1396,$C$6:C1396)&gt;INDEX(fa_ttc,MATCH(B1396,fa_num,0))-N(INDEX(fa_avoirs,MATCH(B1396,fa_num,0)))+0.001,"Dépasse le montant de la facture","OK")))))))))</f>
        <v/>
      </c>
    </row>
    <row r="1397">
      <c r="A1397" s="61" t="n"/>
      <c r="B1397" s="60" t="n"/>
      <c r="C1397" s="68" t="n"/>
      <c r="D1397" s="60" t="n"/>
      <c r="E1397" s="63" t="n"/>
      <c r="F1397" s="63" t="n"/>
      <c r="G1397" s="62" t="str">
        <f>IF(B1397="","",IFERROR(INDEX(fa_cname,MATCH(B1397,fa_num,0))&amp;"",""))</f>
        <v/>
      </c>
      <c r="H1397" s="59" t="str">
        <f>IF(COUNTA(A1397:F1397)=0,"",IF(A1397="","Date manquante",IF(NOT(ISNUMBER(A1397)),"Date invalide",IF(B1397="","N° de facture manquant",IF(ISNA(MATCH(B1397,fa_num,0)),"Facture inconnue",IF(INDEX(fa_type,MATCH(B1397,fa_num,0))="Avoir","Paiement sur un avoir",IF(OR(NOT(ISNUMBER(C1397)),N(C1397)&lt;=0),"Montant invalide",IF(A1397&lt;INDEX(fa_date,MATCH(B1397,fa_num,0)),"Date antérieure à la facture",IF(SUMIF($B$6:B1397,B1397,$C$6:C1397)&gt;INDEX(fa_ttc,MATCH(B1397,fa_num,0))-N(INDEX(fa_avoirs,MATCH(B1397,fa_num,0)))+0.001,"Dépasse le montant de la facture","OK")))))))))</f>
        <v/>
      </c>
    </row>
    <row r="1398">
      <c r="A1398" s="61" t="n"/>
      <c r="B1398" s="60" t="n"/>
      <c r="C1398" s="68" t="n"/>
      <c r="D1398" s="60" t="n"/>
      <c r="E1398" s="63" t="n"/>
      <c r="F1398" s="63" t="n"/>
      <c r="G1398" s="62" t="str">
        <f>IF(B1398="","",IFERROR(INDEX(fa_cname,MATCH(B1398,fa_num,0))&amp;"",""))</f>
        <v/>
      </c>
      <c r="H1398" s="59" t="str">
        <f>IF(COUNTA(A1398:F1398)=0,"",IF(A1398="","Date manquante",IF(NOT(ISNUMBER(A1398)),"Date invalide",IF(B1398="","N° de facture manquant",IF(ISNA(MATCH(B1398,fa_num,0)),"Facture inconnue",IF(INDEX(fa_type,MATCH(B1398,fa_num,0))="Avoir","Paiement sur un avoir",IF(OR(NOT(ISNUMBER(C1398)),N(C1398)&lt;=0),"Montant invalide",IF(A1398&lt;INDEX(fa_date,MATCH(B1398,fa_num,0)),"Date antérieure à la facture",IF(SUMIF($B$6:B1398,B1398,$C$6:C1398)&gt;INDEX(fa_ttc,MATCH(B1398,fa_num,0))-N(INDEX(fa_avoirs,MATCH(B1398,fa_num,0)))+0.001,"Dépasse le montant de la facture","OK")))))))))</f>
        <v/>
      </c>
    </row>
    <row r="1399">
      <c r="A1399" s="61" t="n"/>
      <c r="B1399" s="60" t="n"/>
      <c r="C1399" s="68" t="n"/>
      <c r="D1399" s="60" t="n"/>
      <c r="E1399" s="63" t="n"/>
      <c r="F1399" s="63" t="n"/>
      <c r="G1399" s="62" t="str">
        <f>IF(B1399="","",IFERROR(INDEX(fa_cname,MATCH(B1399,fa_num,0))&amp;"",""))</f>
        <v/>
      </c>
      <c r="H1399" s="59" t="str">
        <f>IF(COUNTA(A1399:F1399)=0,"",IF(A1399="","Date manquante",IF(NOT(ISNUMBER(A1399)),"Date invalide",IF(B1399="","N° de facture manquant",IF(ISNA(MATCH(B1399,fa_num,0)),"Facture inconnue",IF(INDEX(fa_type,MATCH(B1399,fa_num,0))="Avoir","Paiement sur un avoir",IF(OR(NOT(ISNUMBER(C1399)),N(C1399)&lt;=0),"Montant invalide",IF(A1399&lt;INDEX(fa_date,MATCH(B1399,fa_num,0)),"Date antérieure à la facture",IF(SUMIF($B$6:B1399,B1399,$C$6:C1399)&gt;INDEX(fa_ttc,MATCH(B1399,fa_num,0))-N(INDEX(fa_avoirs,MATCH(B1399,fa_num,0)))+0.001,"Dépasse le montant de la facture","OK")))))))))</f>
        <v/>
      </c>
    </row>
    <row r="1400">
      <c r="A1400" s="61" t="n"/>
      <c r="B1400" s="60" t="n"/>
      <c r="C1400" s="68" t="n"/>
      <c r="D1400" s="60" t="n"/>
      <c r="E1400" s="63" t="n"/>
      <c r="F1400" s="63" t="n"/>
      <c r="G1400" s="62" t="str">
        <f>IF(B1400="","",IFERROR(INDEX(fa_cname,MATCH(B1400,fa_num,0))&amp;"",""))</f>
        <v/>
      </c>
      <c r="H1400" s="59" t="str">
        <f>IF(COUNTA(A1400:F1400)=0,"",IF(A1400="","Date manquante",IF(NOT(ISNUMBER(A1400)),"Date invalide",IF(B1400="","N° de facture manquant",IF(ISNA(MATCH(B1400,fa_num,0)),"Facture inconnue",IF(INDEX(fa_type,MATCH(B1400,fa_num,0))="Avoir","Paiement sur un avoir",IF(OR(NOT(ISNUMBER(C1400)),N(C1400)&lt;=0),"Montant invalide",IF(A1400&lt;INDEX(fa_date,MATCH(B1400,fa_num,0)),"Date antérieure à la facture",IF(SUMIF($B$6:B1400,B1400,$C$6:C1400)&gt;INDEX(fa_ttc,MATCH(B1400,fa_num,0))-N(INDEX(fa_avoirs,MATCH(B1400,fa_num,0)))+0.001,"Dépasse le montant de la facture","OK")))))))))</f>
        <v/>
      </c>
    </row>
    <row r="1401">
      <c r="A1401" s="61" t="n"/>
      <c r="B1401" s="60" t="n"/>
      <c r="C1401" s="68" t="n"/>
      <c r="D1401" s="60" t="n"/>
      <c r="E1401" s="63" t="n"/>
      <c r="F1401" s="63" t="n"/>
      <c r="G1401" s="62" t="str">
        <f>IF(B1401="","",IFERROR(INDEX(fa_cname,MATCH(B1401,fa_num,0))&amp;"",""))</f>
        <v/>
      </c>
      <c r="H1401" s="59" t="str">
        <f>IF(COUNTA(A1401:F1401)=0,"",IF(A1401="","Date manquante",IF(NOT(ISNUMBER(A1401)),"Date invalide",IF(B1401="","N° de facture manquant",IF(ISNA(MATCH(B1401,fa_num,0)),"Facture inconnue",IF(INDEX(fa_type,MATCH(B1401,fa_num,0))="Avoir","Paiement sur un avoir",IF(OR(NOT(ISNUMBER(C1401)),N(C1401)&lt;=0),"Montant invalide",IF(A1401&lt;INDEX(fa_date,MATCH(B1401,fa_num,0)),"Date antérieure à la facture",IF(SUMIF($B$6:B1401,B1401,$C$6:C1401)&gt;INDEX(fa_ttc,MATCH(B1401,fa_num,0))-N(INDEX(fa_avoirs,MATCH(B1401,fa_num,0)))+0.001,"Dépasse le montant de la facture","OK")))))))))</f>
        <v/>
      </c>
    </row>
    <row r="1402">
      <c r="A1402" s="61" t="n"/>
      <c r="B1402" s="60" t="n"/>
      <c r="C1402" s="68" t="n"/>
      <c r="D1402" s="60" t="n"/>
      <c r="E1402" s="63" t="n"/>
      <c r="F1402" s="63" t="n"/>
      <c r="G1402" s="62" t="str">
        <f>IF(B1402="","",IFERROR(INDEX(fa_cname,MATCH(B1402,fa_num,0))&amp;"",""))</f>
        <v/>
      </c>
      <c r="H1402" s="59" t="str">
        <f>IF(COUNTA(A1402:F1402)=0,"",IF(A1402="","Date manquante",IF(NOT(ISNUMBER(A1402)),"Date invalide",IF(B1402="","N° de facture manquant",IF(ISNA(MATCH(B1402,fa_num,0)),"Facture inconnue",IF(INDEX(fa_type,MATCH(B1402,fa_num,0))="Avoir","Paiement sur un avoir",IF(OR(NOT(ISNUMBER(C1402)),N(C1402)&lt;=0),"Montant invalide",IF(A1402&lt;INDEX(fa_date,MATCH(B1402,fa_num,0)),"Date antérieure à la facture",IF(SUMIF($B$6:B1402,B1402,$C$6:C1402)&gt;INDEX(fa_ttc,MATCH(B1402,fa_num,0))-N(INDEX(fa_avoirs,MATCH(B1402,fa_num,0)))+0.001,"Dépasse le montant de la facture","OK")))))))))</f>
        <v/>
      </c>
    </row>
    <row r="1403">
      <c r="A1403" s="61" t="n"/>
      <c r="B1403" s="60" t="n"/>
      <c r="C1403" s="68" t="n"/>
      <c r="D1403" s="60" t="n"/>
      <c r="E1403" s="63" t="n"/>
      <c r="F1403" s="63" t="n"/>
      <c r="G1403" s="62" t="str">
        <f>IF(B1403="","",IFERROR(INDEX(fa_cname,MATCH(B1403,fa_num,0))&amp;"",""))</f>
        <v/>
      </c>
      <c r="H1403" s="59" t="str">
        <f>IF(COUNTA(A1403:F1403)=0,"",IF(A1403="","Date manquante",IF(NOT(ISNUMBER(A1403)),"Date invalide",IF(B1403="","N° de facture manquant",IF(ISNA(MATCH(B1403,fa_num,0)),"Facture inconnue",IF(INDEX(fa_type,MATCH(B1403,fa_num,0))="Avoir","Paiement sur un avoir",IF(OR(NOT(ISNUMBER(C1403)),N(C1403)&lt;=0),"Montant invalide",IF(A1403&lt;INDEX(fa_date,MATCH(B1403,fa_num,0)),"Date antérieure à la facture",IF(SUMIF($B$6:B1403,B1403,$C$6:C1403)&gt;INDEX(fa_ttc,MATCH(B1403,fa_num,0))-N(INDEX(fa_avoirs,MATCH(B1403,fa_num,0)))+0.001,"Dépasse le montant de la facture","OK")))))))))</f>
        <v/>
      </c>
    </row>
    <row r="1404">
      <c r="A1404" s="61" t="n"/>
      <c r="B1404" s="60" t="n"/>
      <c r="C1404" s="68" t="n"/>
      <c r="D1404" s="60" t="n"/>
      <c r="E1404" s="63" t="n"/>
      <c r="F1404" s="63" t="n"/>
      <c r="G1404" s="62" t="str">
        <f>IF(B1404="","",IFERROR(INDEX(fa_cname,MATCH(B1404,fa_num,0))&amp;"",""))</f>
        <v/>
      </c>
      <c r="H1404" s="59" t="str">
        <f>IF(COUNTA(A1404:F1404)=0,"",IF(A1404="","Date manquante",IF(NOT(ISNUMBER(A1404)),"Date invalide",IF(B1404="","N° de facture manquant",IF(ISNA(MATCH(B1404,fa_num,0)),"Facture inconnue",IF(INDEX(fa_type,MATCH(B1404,fa_num,0))="Avoir","Paiement sur un avoir",IF(OR(NOT(ISNUMBER(C1404)),N(C1404)&lt;=0),"Montant invalide",IF(A1404&lt;INDEX(fa_date,MATCH(B1404,fa_num,0)),"Date antérieure à la facture",IF(SUMIF($B$6:B1404,B1404,$C$6:C1404)&gt;INDEX(fa_ttc,MATCH(B1404,fa_num,0))-N(INDEX(fa_avoirs,MATCH(B1404,fa_num,0)))+0.001,"Dépasse le montant de la facture","OK")))))))))</f>
        <v/>
      </c>
    </row>
    <row r="1405">
      <c r="A1405" s="61" t="n"/>
      <c r="B1405" s="60" t="n"/>
      <c r="C1405" s="68" t="n"/>
      <c r="D1405" s="60" t="n"/>
      <c r="E1405" s="63" t="n"/>
      <c r="F1405" s="63" t="n"/>
      <c r="G1405" s="62" t="str">
        <f>IF(B1405="","",IFERROR(INDEX(fa_cname,MATCH(B1405,fa_num,0))&amp;"",""))</f>
        <v/>
      </c>
      <c r="H1405" s="59" t="str">
        <f>IF(COUNTA(A1405:F1405)=0,"",IF(A1405="","Date manquante",IF(NOT(ISNUMBER(A1405)),"Date invalide",IF(B1405="","N° de facture manquant",IF(ISNA(MATCH(B1405,fa_num,0)),"Facture inconnue",IF(INDEX(fa_type,MATCH(B1405,fa_num,0))="Avoir","Paiement sur un avoir",IF(OR(NOT(ISNUMBER(C1405)),N(C1405)&lt;=0),"Montant invalide",IF(A1405&lt;INDEX(fa_date,MATCH(B1405,fa_num,0)),"Date antérieure à la facture",IF(SUMIF($B$6:B1405,B1405,$C$6:C1405)&gt;INDEX(fa_ttc,MATCH(B1405,fa_num,0))-N(INDEX(fa_avoirs,MATCH(B1405,fa_num,0)))+0.001,"Dépasse le montant de la facture","OK")))))))))</f>
        <v/>
      </c>
    </row>
    <row r="1406">
      <c r="A1406" s="61" t="n"/>
      <c r="B1406" s="60" t="n"/>
      <c r="C1406" s="68" t="n"/>
      <c r="D1406" s="60" t="n"/>
      <c r="E1406" s="63" t="n"/>
      <c r="F1406" s="63" t="n"/>
      <c r="G1406" s="62" t="str">
        <f>IF(B1406="","",IFERROR(INDEX(fa_cname,MATCH(B1406,fa_num,0))&amp;"",""))</f>
        <v/>
      </c>
      <c r="H1406" s="59" t="str">
        <f>IF(COUNTA(A1406:F1406)=0,"",IF(A1406="","Date manquante",IF(NOT(ISNUMBER(A1406)),"Date invalide",IF(B1406="","N° de facture manquant",IF(ISNA(MATCH(B1406,fa_num,0)),"Facture inconnue",IF(INDEX(fa_type,MATCH(B1406,fa_num,0))="Avoir","Paiement sur un avoir",IF(OR(NOT(ISNUMBER(C1406)),N(C1406)&lt;=0),"Montant invalide",IF(A1406&lt;INDEX(fa_date,MATCH(B1406,fa_num,0)),"Date antérieure à la facture",IF(SUMIF($B$6:B1406,B1406,$C$6:C1406)&gt;INDEX(fa_ttc,MATCH(B1406,fa_num,0))-N(INDEX(fa_avoirs,MATCH(B1406,fa_num,0)))+0.001,"Dépasse le montant de la facture","OK")))))))))</f>
        <v/>
      </c>
    </row>
    <row r="1407">
      <c r="A1407" s="61" t="n"/>
      <c r="B1407" s="60" t="n"/>
      <c r="C1407" s="68" t="n"/>
      <c r="D1407" s="60" t="n"/>
      <c r="E1407" s="63" t="n"/>
      <c r="F1407" s="63" t="n"/>
      <c r="G1407" s="62" t="str">
        <f>IF(B1407="","",IFERROR(INDEX(fa_cname,MATCH(B1407,fa_num,0))&amp;"",""))</f>
        <v/>
      </c>
      <c r="H1407" s="59" t="str">
        <f>IF(COUNTA(A1407:F1407)=0,"",IF(A1407="","Date manquante",IF(NOT(ISNUMBER(A1407)),"Date invalide",IF(B1407="","N° de facture manquant",IF(ISNA(MATCH(B1407,fa_num,0)),"Facture inconnue",IF(INDEX(fa_type,MATCH(B1407,fa_num,0))="Avoir","Paiement sur un avoir",IF(OR(NOT(ISNUMBER(C1407)),N(C1407)&lt;=0),"Montant invalide",IF(A1407&lt;INDEX(fa_date,MATCH(B1407,fa_num,0)),"Date antérieure à la facture",IF(SUMIF($B$6:B1407,B1407,$C$6:C1407)&gt;INDEX(fa_ttc,MATCH(B1407,fa_num,0))-N(INDEX(fa_avoirs,MATCH(B1407,fa_num,0)))+0.001,"Dépasse le montant de la facture","OK")))))))))</f>
        <v/>
      </c>
    </row>
    <row r="1408">
      <c r="A1408" s="61" t="n"/>
      <c r="B1408" s="60" t="n"/>
      <c r="C1408" s="68" t="n"/>
      <c r="D1408" s="60" t="n"/>
      <c r="E1408" s="63" t="n"/>
      <c r="F1408" s="63" t="n"/>
      <c r="G1408" s="62" t="str">
        <f>IF(B1408="","",IFERROR(INDEX(fa_cname,MATCH(B1408,fa_num,0))&amp;"",""))</f>
        <v/>
      </c>
      <c r="H1408" s="59" t="str">
        <f>IF(COUNTA(A1408:F1408)=0,"",IF(A1408="","Date manquante",IF(NOT(ISNUMBER(A1408)),"Date invalide",IF(B1408="","N° de facture manquant",IF(ISNA(MATCH(B1408,fa_num,0)),"Facture inconnue",IF(INDEX(fa_type,MATCH(B1408,fa_num,0))="Avoir","Paiement sur un avoir",IF(OR(NOT(ISNUMBER(C1408)),N(C1408)&lt;=0),"Montant invalide",IF(A1408&lt;INDEX(fa_date,MATCH(B1408,fa_num,0)),"Date antérieure à la facture",IF(SUMIF($B$6:B1408,B1408,$C$6:C1408)&gt;INDEX(fa_ttc,MATCH(B1408,fa_num,0))-N(INDEX(fa_avoirs,MATCH(B1408,fa_num,0)))+0.001,"Dépasse le montant de la facture","OK")))))))))</f>
        <v/>
      </c>
    </row>
    <row r="1409">
      <c r="A1409" s="61" t="n"/>
      <c r="B1409" s="60" t="n"/>
      <c r="C1409" s="68" t="n"/>
      <c r="D1409" s="60" t="n"/>
      <c r="E1409" s="63" t="n"/>
      <c r="F1409" s="63" t="n"/>
      <c r="G1409" s="62" t="str">
        <f>IF(B1409="","",IFERROR(INDEX(fa_cname,MATCH(B1409,fa_num,0))&amp;"",""))</f>
        <v/>
      </c>
      <c r="H1409" s="59" t="str">
        <f>IF(COUNTA(A1409:F1409)=0,"",IF(A1409="","Date manquante",IF(NOT(ISNUMBER(A1409)),"Date invalide",IF(B1409="","N° de facture manquant",IF(ISNA(MATCH(B1409,fa_num,0)),"Facture inconnue",IF(INDEX(fa_type,MATCH(B1409,fa_num,0))="Avoir","Paiement sur un avoir",IF(OR(NOT(ISNUMBER(C1409)),N(C1409)&lt;=0),"Montant invalide",IF(A1409&lt;INDEX(fa_date,MATCH(B1409,fa_num,0)),"Date antérieure à la facture",IF(SUMIF($B$6:B1409,B1409,$C$6:C1409)&gt;INDEX(fa_ttc,MATCH(B1409,fa_num,0))-N(INDEX(fa_avoirs,MATCH(B1409,fa_num,0)))+0.001,"Dépasse le montant de la facture","OK")))))))))</f>
        <v/>
      </c>
    </row>
    <row r="1410">
      <c r="A1410" s="61" t="n"/>
      <c r="B1410" s="60" t="n"/>
      <c r="C1410" s="68" t="n"/>
      <c r="D1410" s="60" t="n"/>
      <c r="E1410" s="63" t="n"/>
      <c r="F1410" s="63" t="n"/>
      <c r="G1410" s="62" t="str">
        <f>IF(B1410="","",IFERROR(INDEX(fa_cname,MATCH(B1410,fa_num,0))&amp;"",""))</f>
        <v/>
      </c>
      <c r="H1410" s="59" t="str">
        <f>IF(COUNTA(A1410:F1410)=0,"",IF(A1410="","Date manquante",IF(NOT(ISNUMBER(A1410)),"Date invalide",IF(B1410="","N° de facture manquant",IF(ISNA(MATCH(B1410,fa_num,0)),"Facture inconnue",IF(INDEX(fa_type,MATCH(B1410,fa_num,0))="Avoir","Paiement sur un avoir",IF(OR(NOT(ISNUMBER(C1410)),N(C1410)&lt;=0),"Montant invalide",IF(A1410&lt;INDEX(fa_date,MATCH(B1410,fa_num,0)),"Date antérieure à la facture",IF(SUMIF($B$6:B1410,B1410,$C$6:C1410)&gt;INDEX(fa_ttc,MATCH(B1410,fa_num,0))-N(INDEX(fa_avoirs,MATCH(B1410,fa_num,0)))+0.001,"Dépasse le montant de la facture","OK")))))))))</f>
        <v/>
      </c>
    </row>
    <row r="1411">
      <c r="A1411" s="61" t="n"/>
      <c r="B1411" s="60" t="n"/>
      <c r="C1411" s="68" t="n"/>
      <c r="D1411" s="60" t="n"/>
      <c r="E1411" s="63" t="n"/>
      <c r="F1411" s="63" t="n"/>
      <c r="G1411" s="62" t="str">
        <f>IF(B1411="","",IFERROR(INDEX(fa_cname,MATCH(B1411,fa_num,0))&amp;"",""))</f>
        <v/>
      </c>
      <c r="H1411" s="59" t="str">
        <f>IF(COUNTA(A1411:F1411)=0,"",IF(A1411="","Date manquante",IF(NOT(ISNUMBER(A1411)),"Date invalide",IF(B1411="","N° de facture manquant",IF(ISNA(MATCH(B1411,fa_num,0)),"Facture inconnue",IF(INDEX(fa_type,MATCH(B1411,fa_num,0))="Avoir","Paiement sur un avoir",IF(OR(NOT(ISNUMBER(C1411)),N(C1411)&lt;=0),"Montant invalide",IF(A1411&lt;INDEX(fa_date,MATCH(B1411,fa_num,0)),"Date antérieure à la facture",IF(SUMIF($B$6:B1411,B1411,$C$6:C1411)&gt;INDEX(fa_ttc,MATCH(B1411,fa_num,0))-N(INDEX(fa_avoirs,MATCH(B1411,fa_num,0)))+0.001,"Dépasse le montant de la facture","OK")))))))))</f>
        <v/>
      </c>
    </row>
    <row r="1412">
      <c r="A1412" s="61" t="n"/>
      <c r="B1412" s="60" t="n"/>
      <c r="C1412" s="68" t="n"/>
      <c r="D1412" s="60" t="n"/>
      <c r="E1412" s="63" t="n"/>
      <c r="F1412" s="63" t="n"/>
      <c r="G1412" s="62" t="str">
        <f>IF(B1412="","",IFERROR(INDEX(fa_cname,MATCH(B1412,fa_num,0))&amp;"",""))</f>
        <v/>
      </c>
      <c r="H1412" s="59" t="str">
        <f>IF(COUNTA(A1412:F1412)=0,"",IF(A1412="","Date manquante",IF(NOT(ISNUMBER(A1412)),"Date invalide",IF(B1412="","N° de facture manquant",IF(ISNA(MATCH(B1412,fa_num,0)),"Facture inconnue",IF(INDEX(fa_type,MATCH(B1412,fa_num,0))="Avoir","Paiement sur un avoir",IF(OR(NOT(ISNUMBER(C1412)),N(C1412)&lt;=0),"Montant invalide",IF(A1412&lt;INDEX(fa_date,MATCH(B1412,fa_num,0)),"Date antérieure à la facture",IF(SUMIF($B$6:B1412,B1412,$C$6:C1412)&gt;INDEX(fa_ttc,MATCH(B1412,fa_num,0))-N(INDEX(fa_avoirs,MATCH(B1412,fa_num,0)))+0.001,"Dépasse le montant de la facture","OK")))))))))</f>
        <v/>
      </c>
    </row>
    <row r="1413">
      <c r="A1413" s="61" t="n"/>
      <c r="B1413" s="60" t="n"/>
      <c r="C1413" s="68" t="n"/>
      <c r="D1413" s="60" t="n"/>
      <c r="E1413" s="63" t="n"/>
      <c r="F1413" s="63" t="n"/>
      <c r="G1413" s="62" t="str">
        <f>IF(B1413="","",IFERROR(INDEX(fa_cname,MATCH(B1413,fa_num,0))&amp;"",""))</f>
        <v/>
      </c>
      <c r="H1413" s="59" t="str">
        <f>IF(COUNTA(A1413:F1413)=0,"",IF(A1413="","Date manquante",IF(NOT(ISNUMBER(A1413)),"Date invalide",IF(B1413="","N° de facture manquant",IF(ISNA(MATCH(B1413,fa_num,0)),"Facture inconnue",IF(INDEX(fa_type,MATCH(B1413,fa_num,0))="Avoir","Paiement sur un avoir",IF(OR(NOT(ISNUMBER(C1413)),N(C1413)&lt;=0),"Montant invalide",IF(A1413&lt;INDEX(fa_date,MATCH(B1413,fa_num,0)),"Date antérieure à la facture",IF(SUMIF($B$6:B1413,B1413,$C$6:C1413)&gt;INDEX(fa_ttc,MATCH(B1413,fa_num,0))-N(INDEX(fa_avoirs,MATCH(B1413,fa_num,0)))+0.001,"Dépasse le montant de la facture","OK")))))))))</f>
        <v/>
      </c>
    </row>
    <row r="1414">
      <c r="A1414" s="61" t="n"/>
      <c r="B1414" s="60" t="n"/>
      <c r="C1414" s="68" t="n"/>
      <c r="D1414" s="60" t="n"/>
      <c r="E1414" s="63" t="n"/>
      <c r="F1414" s="63" t="n"/>
      <c r="G1414" s="62" t="str">
        <f>IF(B1414="","",IFERROR(INDEX(fa_cname,MATCH(B1414,fa_num,0))&amp;"",""))</f>
        <v/>
      </c>
      <c r="H1414" s="59" t="str">
        <f>IF(COUNTA(A1414:F1414)=0,"",IF(A1414="","Date manquante",IF(NOT(ISNUMBER(A1414)),"Date invalide",IF(B1414="","N° de facture manquant",IF(ISNA(MATCH(B1414,fa_num,0)),"Facture inconnue",IF(INDEX(fa_type,MATCH(B1414,fa_num,0))="Avoir","Paiement sur un avoir",IF(OR(NOT(ISNUMBER(C1414)),N(C1414)&lt;=0),"Montant invalide",IF(A1414&lt;INDEX(fa_date,MATCH(B1414,fa_num,0)),"Date antérieure à la facture",IF(SUMIF($B$6:B1414,B1414,$C$6:C1414)&gt;INDEX(fa_ttc,MATCH(B1414,fa_num,0))-N(INDEX(fa_avoirs,MATCH(B1414,fa_num,0)))+0.001,"Dépasse le montant de la facture","OK")))))))))</f>
        <v/>
      </c>
    </row>
    <row r="1415">
      <c r="A1415" s="61" t="n"/>
      <c r="B1415" s="60" t="n"/>
      <c r="C1415" s="68" t="n"/>
      <c r="D1415" s="60" t="n"/>
      <c r="E1415" s="63" t="n"/>
      <c r="F1415" s="63" t="n"/>
      <c r="G1415" s="62" t="str">
        <f>IF(B1415="","",IFERROR(INDEX(fa_cname,MATCH(B1415,fa_num,0))&amp;"",""))</f>
        <v/>
      </c>
      <c r="H1415" s="59" t="str">
        <f>IF(COUNTA(A1415:F1415)=0,"",IF(A1415="","Date manquante",IF(NOT(ISNUMBER(A1415)),"Date invalide",IF(B1415="","N° de facture manquant",IF(ISNA(MATCH(B1415,fa_num,0)),"Facture inconnue",IF(INDEX(fa_type,MATCH(B1415,fa_num,0))="Avoir","Paiement sur un avoir",IF(OR(NOT(ISNUMBER(C1415)),N(C1415)&lt;=0),"Montant invalide",IF(A1415&lt;INDEX(fa_date,MATCH(B1415,fa_num,0)),"Date antérieure à la facture",IF(SUMIF($B$6:B1415,B1415,$C$6:C1415)&gt;INDEX(fa_ttc,MATCH(B1415,fa_num,0))-N(INDEX(fa_avoirs,MATCH(B1415,fa_num,0)))+0.001,"Dépasse le montant de la facture","OK")))))))))</f>
        <v/>
      </c>
    </row>
    <row r="1416">
      <c r="A1416" s="61" t="n"/>
      <c r="B1416" s="60" t="n"/>
      <c r="C1416" s="68" t="n"/>
      <c r="D1416" s="60" t="n"/>
      <c r="E1416" s="63" t="n"/>
      <c r="F1416" s="63" t="n"/>
      <c r="G1416" s="62" t="str">
        <f>IF(B1416="","",IFERROR(INDEX(fa_cname,MATCH(B1416,fa_num,0))&amp;"",""))</f>
        <v/>
      </c>
      <c r="H1416" s="59" t="str">
        <f>IF(COUNTA(A1416:F1416)=0,"",IF(A1416="","Date manquante",IF(NOT(ISNUMBER(A1416)),"Date invalide",IF(B1416="","N° de facture manquant",IF(ISNA(MATCH(B1416,fa_num,0)),"Facture inconnue",IF(INDEX(fa_type,MATCH(B1416,fa_num,0))="Avoir","Paiement sur un avoir",IF(OR(NOT(ISNUMBER(C1416)),N(C1416)&lt;=0),"Montant invalide",IF(A1416&lt;INDEX(fa_date,MATCH(B1416,fa_num,0)),"Date antérieure à la facture",IF(SUMIF($B$6:B1416,B1416,$C$6:C1416)&gt;INDEX(fa_ttc,MATCH(B1416,fa_num,0))-N(INDEX(fa_avoirs,MATCH(B1416,fa_num,0)))+0.001,"Dépasse le montant de la facture","OK")))))))))</f>
        <v/>
      </c>
    </row>
    <row r="1417">
      <c r="A1417" s="61" t="n"/>
      <c r="B1417" s="60" t="n"/>
      <c r="C1417" s="68" t="n"/>
      <c r="D1417" s="60" t="n"/>
      <c r="E1417" s="63" t="n"/>
      <c r="F1417" s="63" t="n"/>
      <c r="G1417" s="62" t="str">
        <f>IF(B1417="","",IFERROR(INDEX(fa_cname,MATCH(B1417,fa_num,0))&amp;"",""))</f>
        <v/>
      </c>
      <c r="H1417" s="59" t="str">
        <f>IF(COUNTA(A1417:F1417)=0,"",IF(A1417="","Date manquante",IF(NOT(ISNUMBER(A1417)),"Date invalide",IF(B1417="","N° de facture manquant",IF(ISNA(MATCH(B1417,fa_num,0)),"Facture inconnue",IF(INDEX(fa_type,MATCH(B1417,fa_num,0))="Avoir","Paiement sur un avoir",IF(OR(NOT(ISNUMBER(C1417)),N(C1417)&lt;=0),"Montant invalide",IF(A1417&lt;INDEX(fa_date,MATCH(B1417,fa_num,0)),"Date antérieure à la facture",IF(SUMIF($B$6:B1417,B1417,$C$6:C1417)&gt;INDEX(fa_ttc,MATCH(B1417,fa_num,0))-N(INDEX(fa_avoirs,MATCH(B1417,fa_num,0)))+0.001,"Dépasse le montant de la facture","OK")))))))))</f>
        <v/>
      </c>
    </row>
    <row r="1418">
      <c r="A1418" s="61" t="n"/>
      <c r="B1418" s="60" t="n"/>
      <c r="C1418" s="68" t="n"/>
      <c r="D1418" s="60" t="n"/>
      <c r="E1418" s="63" t="n"/>
      <c r="F1418" s="63" t="n"/>
      <c r="G1418" s="62" t="str">
        <f>IF(B1418="","",IFERROR(INDEX(fa_cname,MATCH(B1418,fa_num,0))&amp;"",""))</f>
        <v/>
      </c>
      <c r="H1418" s="59" t="str">
        <f>IF(COUNTA(A1418:F1418)=0,"",IF(A1418="","Date manquante",IF(NOT(ISNUMBER(A1418)),"Date invalide",IF(B1418="","N° de facture manquant",IF(ISNA(MATCH(B1418,fa_num,0)),"Facture inconnue",IF(INDEX(fa_type,MATCH(B1418,fa_num,0))="Avoir","Paiement sur un avoir",IF(OR(NOT(ISNUMBER(C1418)),N(C1418)&lt;=0),"Montant invalide",IF(A1418&lt;INDEX(fa_date,MATCH(B1418,fa_num,0)),"Date antérieure à la facture",IF(SUMIF($B$6:B1418,B1418,$C$6:C1418)&gt;INDEX(fa_ttc,MATCH(B1418,fa_num,0))-N(INDEX(fa_avoirs,MATCH(B1418,fa_num,0)))+0.001,"Dépasse le montant de la facture","OK")))))))))</f>
        <v/>
      </c>
    </row>
    <row r="1419">
      <c r="A1419" s="61" t="n"/>
      <c r="B1419" s="60" t="n"/>
      <c r="C1419" s="68" t="n"/>
      <c r="D1419" s="60" t="n"/>
      <c r="E1419" s="63" t="n"/>
      <c r="F1419" s="63" t="n"/>
      <c r="G1419" s="62" t="str">
        <f>IF(B1419="","",IFERROR(INDEX(fa_cname,MATCH(B1419,fa_num,0))&amp;"",""))</f>
        <v/>
      </c>
      <c r="H1419" s="59" t="str">
        <f>IF(COUNTA(A1419:F1419)=0,"",IF(A1419="","Date manquante",IF(NOT(ISNUMBER(A1419)),"Date invalide",IF(B1419="","N° de facture manquant",IF(ISNA(MATCH(B1419,fa_num,0)),"Facture inconnue",IF(INDEX(fa_type,MATCH(B1419,fa_num,0))="Avoir","Paiement sur un avoir",IF(OR(NOT(ISNUMBER(C1419)),N(C1419)&lt;=0),"Montant invalide",IF(A1419&lt;INDEX(fa_date,MATCH(B1419,fa_num,0)),"Date antérieure à la facture",IF(SUMIF($B$6:B1419,B1419,$C$6:C1419)&gt;INDEX(fa_ttc,MATCH(B1419,fa_num,0))-N(INDEX(fa_avoirs,MATCH(B1419,fa_num,0)))+0.001,"Dépasse le montant de la facture","OK")))))))))</f>
        <v/>
      </c>
    </row>
    <row r="1420">
      <c r="A1420" s="61" t="n"/>
      <c r="B1420" s="60" t="n"/>
      <c r="C1420" s="68" t="n"/>
      <c r="D1420" s="60" t="n"/>
      <c r="E1420" s="63" t="n"/>
      <c r="F1420" s="63" t="n"/>
      <c r="G1420" s="62" t="str">
        <f>IF(B1420="","",IFERROR(INDEX(fa_cname,MATCH(B1420,fa_num,0))&amp;"",""))</f>
        <v/>
      </c>
      <c r="H1420" s="59" t="str">
        <f>IF(COUNTA(A1420:F1420)=0,"",IF(A1420="","Date manquante",IF(NOT(ISNUMBER(A1420)),"Date invalide",IF(B1420="","N° de facture manquant",IF(ISNA(MATCH(B1420,fa_num,0)),"Facture inconnue",IF(INDEX(fa_type,MATCH(B1420,fa_num,0))="Avoir","Paiement sur un avoir",IF(OR(NOT(ISNUMBER(C1420)),N(C1420)&lt;=0),"Montant invalide",IF(A1420&lt;INDEX(fa_date,MATCH(B1420,fa_num,0)),"Date antérieure à la facture",IF(SUMIF($B$6:B1420,B1420,$C$6:C1420)&gt;INDEX(fa_ttc,MATCH(B1420,fa_num,0))-N(INDEX(fa_avoirs,MATCH(B1420,fa_num,0)))+0.001,"Dépasse le montant de la facture","OK")))))))))</f>
        <v/>
      </c>
    </row>
    <row r="1421">
      <c r="A1421" s="61" t="n"/>
      <c r="B1421" s="60" t="n"/>
      <c r="C1421" s="68" t="n"/>
      <c r="D1421" s="60" t="n"/>
      <c r="E1421" s="63" t="n"/>
      <c r="F1421" s="63" t="n"/>
      <c r="G1421" s="62" t="str">
        <f>IF(B1421="","",IFERROR(INDEX(fa_cname,MATCH(B1421,fa_num,0))&amp;"",""))</f>
        <v/>
      </c>
      <c r="H1421" s="59" t="str">
        <f>IF(COUNTA(A1421:F1421)=0,"",IF(A1421="","Date manquante",IF(NOT(ISNUMBER(A1421)),"Date invalide",IF(B1421="","N° de facture manquant",IF(ISNA(MATCH(B1421,fa_num,0)),"Facture inconnue",IF(INDEX(fa_type,MATCH(B1421,fa_num,0))="Avoir","Paiement sur un avoir",IF(OR(NOT(ISNUMBER(C1421)),N(C1421)&lt;=0),"Montant invalide",IF(A1421&lt;INDEX(fa_date,MATCH(B1421,fa_num,0)),"Date antérieure à la facture",IF(SUMIF($B$6:B1421,B1421,$C$6:C1421)&gt;INDEX(fa_ttc,MATCH(B1421,fa_num,0))-N(INDEX(fa_avoirs,MATCH(B1421,fa_num,0)))+0.001,"Dépasse le montant de la facture","OK")))))))))</f>
        <v/>
      </c>
    </row>
    <row r="1422">
      <c r="A1422" s="61" t="n"/>
      <c r="B1422" s="60" t="n"/>
      <c r="C1422" s="68" t="n"/>
      <c r="D1422" s="60" t="n"/>
      <c r="E1422" s="63" t="n"/>
      <c r="F1422" s="63" t="n"/>
      <c r="G1422" s="62" t="str">
        <f>IF(B1422="","",IFERROR(INDEX(fa_cname,MATCH(B1422,fa_num,0))&amp;"",""))</f>
        <v/>
      </c>
      <c r="H1422" s="59" t="str">
        <f>IF(COUNTA(A1422:F1422)=0,"",IF(A1422="","Date manquante",IF(NOT(ISNUMBER(A1422)),"Date invalide",IF(B1422="","N° de facture manquant",IF(ISNA(MATCH(B1422,fa_num,0)),"Facture inconnue",IF(INDEX(fa_type,MATCH(B1422,fa_num,0))="Avoir","Paiement sur un avoir",IF(OR(NOT(ISNUMBER(C1422)),N(C1422)&lt;=0),"Montant invalide",IF(A1422&lt;INDEX(fa_date,MATCH(B1422,fa_num,0)),"Date antérieure à la facture",IF(SUMIF($B$6:B1422,B1422,$C$6:C1422)&gt;INDEX(fa_ttc,MATCH(B1422,fa_num,0))-N(INDEX(fa_avoirs,MATCH(B1422,fa_num,0)))+0.001,"Dépasse le montant de la facture","OK")))))))))</f>
        <v/>
      </c>
    </row>
    <row r="1423">
      <c r="A1423" s="61" t="n"/>
      <c r="B1423" s="60" t="n"/>
      <c r="C1423" s="68" t="n"/>
      <c r="D1423" s="60" t="n"/>
      <c r="E1423" s="63" t="n"/>
      <c r="F1423" s="63" t="n"/>
      <c r="G1423" s="62" t="str">
        <f>IF(B1423="","",IFERROR(INDEX(fa_cname,MATCH(B1423,fa_num,0))&amp;"",""))</f>
        <v/>
      </c>
      <c r="H1423" s="59" t="str">
        <f>IF(COUNTA(A1423:F1423)=0,"",IF(A1423="","Date manquante",IF(NOT(ISNUMBER(A1423)),"Date invalide",IF(B1423="","N° de facture manquant",IF(ISNA(MATCH(B1423,fa_num,0)),"Facture inconnue",IF(INDEX(fa_type,MATCH(B1423,fa_num,0))="Avoir","Paiement sur un avoir",IF(OR(NOT(ISNUMBER(C1423)),N(C1423)&lt;=0),"Montant invalide",IF(A1423&lt;INDEX(fa_date,MATCH(B1423,fa_num,0)),"Date antérieure à la facture",IF(SUMIF($B$6:B1423,B1423,$C$6:C1423)&gt;INDEX(fa_ttc,MATCH(B1423,fa_num,0))-N(INDEX(fa_avoirs,MATCH(B1423,fa_num,0)))+0.001,"Dépasse le montant de la facture","OK")))))))))</f>
        <v/>
      </c>
    </row>
    <row r="1424">
      <c r="A1424" s="61" t="n"/>
      <c r="B1424" s="60" t="n"/>
      <c r="C1424" s="68" t="n"/>
      <c r="D1424" s="60" t="n"/>
      <c r="E1424" s="63" t="n"/>
      <c r="F1424" s="63" t="n"/>
      <c r="G1424" s="62" t="str">
        <f>IF(B1424="","",IFERROR(INDEX(fa_cname,MATCH(B1424,fa_num,0))&amp;"",""))</f>
        <v/>
      </c>
      <c r="H1424" s="59" t="str">
        <f>IF(COUNTA(A1424:F1424)=0,"",IF(A1424="","Date manquante",IF(NOT(ISNUMBER(A1424)),"Date invalide",IF(B1424="","N° de facture manquant",IF(ISNA(MATCH(B1424,fa_num,0)),"Facture inconnue",IF(INDEX(fa_type,MATCH(B1424,fa_num,0))="Avoir","Paiement sur un avoir",IF(OR(NOT(ISNUMBER(C1424)),N(C1424)&lt;=0),"Montant invalide",IF(A1424&lt;INDEX(fa_date,MATCH(B1424,fa_num,0)),"Date antérieure à la facture",IF(SUMIF($B$6:B1424,B1424,$C$6:C1424)&gt;INDEX(fa_ttc,MATCH(B1424,fa_num,0))-N(INDEX(fa_avoirs,MATCH(B1424,fa_num,0)))+0.001,"Dépasse le montant de la facture","OK")))))))))</f>
        <v/>
      </c>
    </row>
    <row r="1425">
      <c r="A1425" s="61" t="n"/>
      <c r="B1425" s="60" t="n"/>
      <c r="C1425" s="68" t="n"/>
      <c r="D1425" s="60" t="n"/>
      <c r="E1425" s="63" t="n"/>
      <c r="F1425" s="63" t="n"/>
      <c r="G1425" s="62" t="str">
        <f>IF(B1425="","",IFERROR(INDEX(fa_cname,MATCH(B1425,fa_num,0))&amp;"",""))</f>
        <v/>
      </c>
      <c r="H1425" s="59" t="str">
        <f>IF(COUNTA(A1425:F1425)=0,"",IF(A1425="","Date manquante",IF(NOT(ISNUMBER(A1425)),"Date invalide",IF(B1425="","N° de facture manquant",IF(ISNA(MATCH(B1425,fa_num,0)),"Facture inconnue",IF(INDEX(fa_type,MATCH(B1425,fa_num,0))="Avoir","Paiement sur un avoir",IF(OR(NOT(ISNUMBER(C1425)),N(C1425)&lt;=0),"Montant invalide",IF(A1425&lt;INDEX(fa_date,MATCH(B1425,fa_num,0)),"Date antérieure à la facture",IF(SUMIF($B$6:B1425,B1425,$C$6:C1425)&gt;INDEX(fa_ttc,MATCH(B1425,fa_num,0))-N(INDEX(fa_avoirs,MATCH(B1425,fa_num,0)))+0.001,"Dépasse le montant de la facture","OK")))))))))</f>
        <v/>
      </c>
    </row>
    <row r="1426">
      <c r="A1426" s="61" t="n"/>
      <c r="B1426" s="60" t="n"/>
      <c r="C1426" s="68" t="n"/>
      <c r="D1426" s="60" t="n"/>
      <c r="E1426" s="63" t="n"/>
      <c r="F1426" s="63" t="n"/>
      <c r="G1426" s="62" t="str">
        <f>IF(B1426="","",IFERROR(INDEX(fa_cname,MATCH(B1426,fa_num,0))&amp;"",""))</f>
        <v/>
      </c>
      <c r="H1426" s="59" t="str">
        <f>IF(COUNTA(A1426:F1426)=0,"",IF(A1426="","Date manquante",IF(NOT(ISNUMBER(A1426)),"Date invalide",IF(B1426="","N° de facture manquant",IF(ISNA(MATCH(B1426,fa_num,0)),"Facture inconnue",IF(INDEX(fa_type,MATCH(B1426,fa_num,0))="Avoir","Paiement sur un avoir",IF(OR(NOT(ISNUMBER(C1426)),N(C1426)&lt;=0),"Montant invalide",IF(A1426&lt;INDEX(fa_date,MATCH(B1426,fa_num,0)),"Date antérieure à la facture",IF(SUMIF($B$6:B1426,B1426,$C$6:C1426)&gt;INDEX(fa_ttc,MATCH(B1426,fa_num,0))-N(INDEX(fa_avoirs,MATCH(B1426,fa_num,0)))+0.001,"Dépasse le montant de la facture","OK")))))))))</f>
        <v/>
      </c>
    </row>
    <row r="1427">
      <c r="A1427" s="61" t="n"/>
      <c r="B1427" s="60" t="n"/>
      <c r="C1427" s="68" t="n"/>
      <c r="D1427" s="60" t="n"/>
      <c r="E1427" s="63" t="n"/>
      <c r="F1427" s="63" t="n"/>
      <c r="G1427" s="62" t="str">
        <f>IF(B1427="","",IFERROR(INDEX(fa_cname,MATCH(B1427,fa_num,0))&amp;"",""))</f>
        <v/>
      </c>
      <c r="H1427" s="59" t="str">
        <f>IF(COUNTA(A1427:F1427)=0,"",IF(A1427="","Date manquante",IF(NOT(ISNUMBER(A1427)),"Date invalide",IF(B1427="","N° de facture manquant",IF(ISNA(MATCH(B1427,fa_num,0)),"Facture inconnue",IF(INDEX(fa_type,MATCH(B1427,fa_num,0))="Avoir","Paiement sur un avoir",IF(OR(NOT(ISNUMBER(C1427)),N(C1427)&lt;=0),"Montant invalide",IF(A1427&lt;INDEX(fa_date,MATCH(B1427,fa_num,0)),"Date antérieure à la facture",IF(SUMIF($B$6:B1427,B1427,$C$6:C1427)&gt;INDEX(fa_ttc,MATCH(B1427,fa_num,0))-N(INDEX(fa_avoirs,MATCH(B1427,fa_num,0)))+0.001,"Dépasse le montant de la facture","OK")))))))))</f>
        <v/>
      </c>
    </row>
    <row r="1428">
      <c r="A1428" s="61" t="n"/>
      <c r="B1428" s="60" t="n"/>
      <c r="C1428" s="68" t="n"/>
      <c r="D1428" s="60" t="n"/>
      <c r="E1428" s="63" t="n"/>
      <c r="F1428" s="63" t="n"/>
      <c r="G1428" s="62" t="str">
        <f>IF(B1428="","",IFERROR(INDEX(fa_cname,MATCH(B1428,fa_num,0))&amp;"",""))</f>
        <v/>
      </c>
      <c r="H1428" s="59" t="str">
        <f>IF(COUNTA(A1428:F1428)=0,"",IF(A1428="","Date manquante",IF(NOT(ISNUMBER(A1428)),"Date invalide",IF(B1428="","N° de facture manquant",IF(ISNA(MATCH(B1428,fa_num,0)),"Facture inconnue",IF(INDEX(fa_type,MATCH(B1428,fa_num,0))="Avoir","Paiement sur un avoir",IF(OR(NOT(ISNUMBER(C1428)),N(C1428)&lt;=0),"Montant invalide",IF(A1428&lt;INDEX(fa_date,MATCH(B1428,fa_num,0)),"Date antérieure à la facture",IF(SUMIF($B$6:B1428,B1428,$C$6:C1428)&gt;INDEX(fa_ttc,MATCH(B1428,fa_num,0))-N(INDEX(fa_avoirs,MATCH(B1428,fa_num,0)))+0.001,"Dépasse le montant de la facture","OK")))))))))</f>
        <v/>
      </c>
    </row>
    <row r="1429">
      <c r="A1429" s="61" t="n"/>
      <c r="B1429" s="60" t="n"/>
      <c r="C1429" s="68" t="n"/>
      <c r="D1429" s="60" t="n"/>
      <c r="E1429" s="63" t="n"/>
      <c r="F1429" s="63" t="n"/>
      <c r="G1429" s="62" t="str">
        <f>IF(B1429="","",IFERROR(INDEX(fa_cname,MATCH(B1429,fa_num,0))&amp;"",""))</f>
        <v/>
      </c>
      <c r="H1429" s="59" t="str">
        <f>IF(COUNTA(A1429:F1429)=0,"",IF(A1429="","Date manquante",IF(NOT(ISNUMBER(A1429)),"Date invalide",IF(B1429="","N° de facture manquant",IF(ISNA(MATCH(B1429,fa_num,0)),"Facture inconnue",IF(INDEX(fa_type,MATCH(B1429,fa_num,0))="Avoir","Paiement sur un avoir",IF(OR(NOT(ISNUMBER(C1429)),N(C1429)&lt;=0),"Montant invalide",IF(A1429&lt;INDEX(fa_date,MATCH(B1429,fa_num,0)),"Date antérieure à la facture",IF(SUMIF($B$6:B1429,B1429,$C$6:C1429)&gt;INDEX(fa_ttc,MATCH(B1429,fa_num,0))-N(INDEX(fa_avoirs,MATCH(B1429,fa_num,0)))+0.001,"Dépasse le montant de la facture","OK")))))))))</f>
        <v/>
      </c>
    </row>
    <row r="1430">
      <c r="A1430" s="61" t="n"/>
      <c r="B1430" s="60" t="n"/>
      <c r="C1430" s="68" t="n"/>
      <c r="D1430" s="60" t="n"/>
      <c r="E1430" s="63" t="n"/>
      <c r="F1430" s="63" t="n"/>
      <c r="G1430" s="62" t="str">
        <f>IF(B1430="","",IFERROR(INDEX(fa_cname,MATCH(B1430,fa_num,0))&amp;"",""))</f>
        <v/>
      </c>
      <c r="H1430" s="59" t="str">
        <f>IF(COUNTA(A1430:F1430)=0,"",IF(A1430="","Date manquante",IF(NOT(ISNUMBER(A1430)),"Date invalide",IF(B1430="","N° de facture manquant",IF(ISNA(MATCH(B1430,fa_num,0)),"Facture inconnue",IF(INDEX(fa_type,MATCH(B1430,fa_num,0))="Avoir","Paiement sur un avoir",IF(OR(NOT(ISNUMBER(C1430)),N(C1430)&lt;=0),"Montant invalide",IF(A1430&lt;INDEX(fa_date,MATCH(B1430,fa_num,0)),"Date antérieure à la facture",IF(SUMIF($B$6:B1430,B1430,$C$6:C1430)&gt;INDEX(fa_ttc,MATCH(B1430,fa_num,0))-N(INDEX(fa_avoirs,MATCH(B1430,fa_num,0)))+0.001,"Dépasse le montant de la facture","OK")))))))))</f>
        <v/>
      </c>
    </row>
    <row r="1431">
      <c r="A1431" s="61" t="n"/>
      <c r="B1431" s="60" t="n"/>
      <c r="C1431" s="68" t="n"/>
      <c r="D1431" s="60" t="n"/>
      <c r="E1431" s="63" t="n"/>
      <c r="F1431" s="63" t="n"/>
      <c r="G1431" s="62" t="str">
        <f>IF(B1431="","",IFERROR(INDEX(fa_cname,MATCH(B1431,fa_num,0))&amp;"",""))</f>
        <v/>
      </c>
      <c r="H1431" s="59" t="str">
        <f>IF(COUNTA(A1431:F1431)=0,"",IF(A1431="","Date manquante",IF(NOT(ISNUMBER(A1431)),"Date invalide",IF(B1431="","N° de facture manquant",IF(ISNA(MATCH(B1431,fa_num,0)),"Facture inconnue",IF(INDEX(fa_type,MATCH(B1431,fa_num,0))="Avoir","Paiement sur un avoir",IF(OR(NOT(ISNUMBER(C1431)),N(C1431)&lt;=0),"Montant invalide",IF(A1431&lt;INDEX(fa_date,MATCH(B1431,fa_num,0)),"Date antérieure à la facture",IF(SUMIF($B$6:B1431,B1431,$C$6:C1431)&gt;INDEX(fa_ttc,MATCH(B1431,fa_num,0))-N(INDEX(fa_avoirs,MATCH(B1431,fa_num,0)))+0.001,"Dépasse le montant de la facture","OK")))))))))</f>
        <v/>
      </c>
    </row>
    <row r="1432">
      <c r="A1432" s="61" t="n"/>
      <c r="B1432" s="60" t="n"/>
      <c r="C1432" s="68" t="n"/>
      <c r="D1432" s="60" t="n"/>
      <c r="E1432" s="63" t="n"/>
      <c r="F1432" s="63" t="n"/>
      <c r="G1432" s="62" t="str">
        <f>IF(B1432="","",IFERROR(INDEX(fa_cname,MATCH(B1432,fa_num,0))&amp;"",""))</f>
        <v/>
      </c>
      <c r="H1432" s="59" t="str">
        <f>IF(COUNTA(A1432:F1432)=0,"",IF(A1432="","Date manquante",IF(NOT(ISNUMBER(A1432)),"Date invalide",IF(B1432="","N° de facture manquant",IF(ISNA(MATCH(B1432,fa_num,0)),"Facture inconnue",IF(INDEX(fa_type,MATCH(B1432,fa_num,0))="Avoir","Paiement sur un avoir",IF(OR(NOT(ISNUMBER(C1432)),N(C1432)&lt;=0),"Montant invalide",IF(A1432&lt;INDEX(fa_date,MATCH(B1432,fa_num,0)),"Date antérieure à la facture",IF(SUMIF($B$6:B1432,B1432,$C$6:C1432)&gt;INDEX(fa_ttc,MATCH(B1432,fa_num,0))-N(INDEX(fa_avoirs,MATCH(B1432,fa_num,0)))+0.001,"Dépasse le montant de la facture","OK")))))))))</f>
        <v/>
      </c>
    </row>
    <row r="1433">
      <c r="A1433" s="61" t="n"/>
      <c r="B1433" s="60" t="n"/>
      <c r="C1433" s="68" t="n"/>
      <c r="D1433" s="60" t="n"/>
      <c r="E1433" s="63" t="n"/>
      <c r="F1433" s="63" t="n"/>
      <c r="G1433" s="62" t="str">
        <f>IF(B1433="","",IFERROR(INDEX(fa_cname,MATCH(B1433,fa_num,0))&amp;"",""))</f>
        <v/>
      </c>
      <c r="H1433" s="59" t="str">
        <f>IF(COUNTA(A1433:F1433)=0,"",IF(A1433="","Date manquante",IF(NOT(ISNUMBER(A1433)),"Date invalide",IF(B1433="","N° de facture manquant",IF(ISNA(MATCH(B1433,fa_num,0)),"Facture inconnue",IF(INDEX(fa_type,MATCH(B1433,fa_num,0))="Avoir","Paiement sur un avoir",IF(OR(NOT(ISNUMBER(C1433)),N(C1433)&lt;=0),"Montant invalide",IF(A1433&lt;INDEX(fa_date,MATCH(B1433,fa_num,0)),"Date antérieure à la facture",IF(SUMIF($B$6:B1433,B1433,$C$6:C1433)&gt;INDEX(fa_ttc,MATCH(B1433,fa_num,0))-N(INDEX(fa_avoirs,MATCH(B1433,fa_num,0)))+0.001,"Dépasse le montant de la facture","OK")))))))))</f>
        <v/>
      </c>
    </row>
    <row r="1434">
      <c r="A1434" s="61" t="n"/>
      <c r="B1434" s="60" t="n"/>
      <c r="C1434" s="68" t="n"/>
      <c r="D1434" s="60" t="n"/>
      <c r="E1434" s="63" t="n"/>
      <c r="F1434" s="63" t="n"/>
      <c r="G1434" s="62" t="str">
        <f>IF(B1434="","",IFERROR(INDEX(fa_cname,MATCH(B1434,fa_num,0))&amp;"",""))</f>
        <v/>
      </c>
      <c r="H1434" s="59" t="str">
        <f>IF(COUNTA(A1434:F1434)=0,"",IF(A1434="","Date manquante",IF(NOT(ISNUMBER(A1434)),"Date invalide",IF(B1434="","N° de facture manquant",IF(ISNA(MATCH(B1434,fa_num,0)),"Facture inconnue",IF(INDEX(fa_type,MATCH(B1434,fa_num,0))="Avoir","Paiement sur un avoir",IF(OR(NOT(ISNUMBER(C1434)),N(C1434)&lt;=0),"Montant invalide",IF(A1434&lt;INDEX(fa_date,MATCH(B1434,fa_num,0)),"Date antérieure à la facture",IF(SUMIF($B$6:B1434,B1434,$C$6:C1434)&gt;INDEX(fa_ttc,MATCH(B1434,fa_num,0))-N(INDEX(fa_avoirs,MATCH(B1434,fa_num,0)))+0.001,"Dépasse le montant de la facture","OK")))))))))</f>
        <v/>
      </c>
    </row>
    <row r="1435">
      <c r="A1435" s="61" t="n"/>
      <c r="B1435" s="60" t="n"/>
      <c r="C1435" s="68" t="n"/>
      <c r="D1435" s="60" t="n"/>
      <c r="E1435" s="63" t="n"/>
      <c r="F1435" s="63" t="n"/>
      <c r="G1435" s="62" t="str">
        <f>IF(B1435="","",IFERROR(INDEX(fa_cname,MATCH(B1435,fa_num,0))&amp;"",""))</f>
        <v/>
      </c>
      <c r="H1435" s="59" t="str">
        <f>IF(COUNTA(A1435:F1435)=0,"",IF(A1435="","Date manquante",IF(NOT(ISNUMBER(A1435)),"Date invalide",IF(B1435="","N° de facture manquant",IF(ISNA(MATCH(B1435,fa_num,0)),"Facture inconnue",IF(INDEX(fa_type,MATCH(B1435,fa_num,0))="Avoir","Paiement sur un avoir",IF(OR(NOT(ISNUMBER(C1435)),N(C1435)&lt;=0),"Montant invalide",IF(A1435&lt;INDEX(fa_date,MATCH(B1435,fa_num,0)),"Date antérieure à la facture",IF(SUMIF($B$6:B1435,B1435,$C$6:C1435)&gt;INDEX(fa_ttc,MATCH(B1435,fa_num,0))-N(INDEX(fa_avoirs,MATCH(B1435,fa_num,0)))+0.001,"Dépasse le montant de la facture","OK")))))))))</f>
        <v/>
      </c>
    </row>
    <row r="1436">
      <c r="A1436" s="61" t="n"/>
      <c r="B1436" s="60" t="n"/>
      <c r="C1436" s="68" t="n"/>
      <c r="D1436" s="60" t="n"/>
      <c r="E1436" s="63" t="n"/>
      <c r="F1436" s="63" t="n"/>
      <c r="G1436" s="62" t="str">
        <f>IF(B1436="","",IFERROR(INDEX(fa_cname,MATCH(B1436,fa_num,0))&amp;"",""))</f>
        <v/>
      </c>
      <c r="H1436" s="59" t="str">
        <f>IF(COUNTA(A1436:F1436)=0,"",IF(A1436="","Date manquante",IF(NOT(ISNUMBER(A1436)),"Date invalide",IF(B1436="","N° de facture manquant",IF(ISNA(MATCH(B1436,fa_num,0)),"Facture inconnue",IF(INDEX(fa_type,MATCH(B1436,fa_num,0))="Avoir","Paiement sur un avoir",IF(OR(NOT(ISNUMBER(C1436)),N(C1436)&lt;=0),"Montant invalide",IF(A1436&lt;INDEX(fa_date,MATCH(B1436,fa_num,0)),"Date antérieure à la facture",IF(SUMIF($B$6:B1436,B1436,$C$6:C1436)&gt;INDEX(fa_ttc,MATCH(B1436,fa_num,0))-N(INDEX(fa_avoirs,MATCH(B1436,fa_num,0)))+0.001,"Dépasse le montant de la facture","OK")))))))))</f>
        <v/>
      </c>
    </row>
    <row r="1437">
      <c r="A1437" s="61" t="n"/>
      <c r="B1437" s="60" t="n"/>
      <c r="C1437" s="68" t="n"/>
      <c r="D1437" s="60" t="n"/>
      <c r="E1437" s="63" t="n"/>
      <c r="F1437" s="63" t="n"/>
      <c r="G1437" s="62" t="str">
        <f>IF(B1437="","",IFERROR(INDEX(fa_cname,MATCH(B1437,fa_num,0))&amp;"",""))</f>
        <v/>
      </c>
      <c r="H1437" s="59" t="str">
        <f>IF(COUNTA(A1437:F1437)=0,"",IF(A1437="","Date manquante",IF(NOT(ISNUMBER(A1437)),"Date invalide",IF(B1437="","N° de facture manquant",IF(ISNA(MATCH(B1437,fa_num,0)),"Facture inconnue",IF(INDEX(fa_type,MATCH(B1437,fa_num,0))="Avoir","Paiement sur un avoir",IF(OR(NOT(ISNUMBER(C1437)),N(C1437)&lt;=0),"Montant invalide",IF(A1437&lt;INDEX(fa_date,MATCH(B1437,fa_num,0)),"Date antérieure à la facture",IF(SUMIF($B$6:B1437,B1437,$C$6:C1437)&gt;INDEX(fa_ttc,MATCH(B1437,fa_num,0))-N(INDEX(fa_avoirs,MATCH(B1437,fa_num,0)))+0.001,"Dépasse le montant de la facture","OK")))))))))</f>
        <v/>
      </c>
    </row>
    <row r="1438">
      <c r="A1438" s="61" t="n"/>
      <c r="B1438" s="60" t="n"/>
      <c r="C1438" s="68" t="n"/>
      <c r="D1438" s="60" t="n"/>
      <c r="E1438" s="63" t="n"/>
      <c r="F1438" s="63" t="n"/>
      <c r="G1438" s="62" t="str">
        <f>IF(B1438="","",IFERROR(INDEX(fa_cname,MATCH(B1438,fa_num,0))&amp;"",""))</f>
        <v/>
      </c>
      <c r="H1438" s="59" t="str">
        <f>IF(COUNTA(A1438:F1438)=0,"",IF(A1438="","Date manquante",IF(NOT(ISNUMBER(A1438)),"Date invalide",IF(B1438="","N° de facture manquant",IF(ISNA(MATCH(B1438,fa_num,0)),"Facture inconnue",IF(INDEX(fa_type,MATCH(B1438,fa_num,0))="Avoir","Paiement sur un avoir",IF(OR(NOT(ISNUMBER(C1438)),N(C1438)&lt;=0),"Montant invalide",IF(A1438&lt;INDEX(fa_date,MATCH(B1438,fa_num,0)),"Date antérieure à la facture",IF(SUMIF($B$6:B1438,B1438,$C$6:C1438)&gt;INDEX(fa_ttc,MATCH(B1438,fa_num,0))-N(INDEX(fa_avoirs,MATCH(B1438,fa_num,0)))+0.001,"Dépasse le montant de la facture","OK")))))))))</f>
        <v/>
      </c>
    </row>
    <row r="1439">
      <c r="A1439" s="61" t="n"/>
      <c r="B1439" s="60" t="n"/>
      <c r="C1439" s="68" t="n"/>
      <c r="D1439" s="60" t="n"/>
      <c r="E1439" s="63" t="n"/>
      <c r="F1439" s="63" t="n"/>
      <c r="G1439" s="62" t="str">
        <f>IF(B1439="","",IFERROR(INDEX(fa_cname,MATCH(B1439,fa_num,0))&amp;"",""))</f>
        <v/>
      </c>
      <c r="H1439" s="59" t="str">
        <f>IF(COUNTA(A1439:F1439)=0,"",IF(A1439="","Date manquante",IF(NOT(ISNUMBER(A1439)),"Date invalide",IF(B1439="","N° de facture manquant",IF(ISNA(MATCH(B1439,fa_num,0)),"Facture inconnue",IF(INDEX(fa_type,MATCH(B1439,fa_num,0))="Avoir","Paiement sur un avoir",IF(OR(NOT(ISNUMBER(C1439)),N(C1439)&lt;=0),"Montant invalide",IF(A1439&lt;INDEX(fa_date,MATCH(B1439,fa_num,0)),"Date antérieure à la facture",IF(SUMIF($B$6:B1439,B1439,$C$6:C1439)&gt;INDEX(fa_ttc,MATCH(B1439,fa_num,0))-N(INDEX(fa_avoirs,MATCH(B1439,fa_num,0)))+0.001,"Dépasse le montant de la facture","OK")))))))))</f>
        <v/>
      </c>
    </row>
    <row r="1440">
      <c r="A1440" s="61" t="n"/>
      <c r="B1440" s="60" t="n"/>
      <c r="C1440" s="68" t="n"/>
      <c r="D1440" s="60" t="n"/>
      <c r="E1440" s="63" t="n"/>
      <c r="F1440" s="63" t="n"/>
      <c r="G1440" s="62" t="str">
        <f>IF(B1440="","",IFERROR(INDEX(fa_cname,MATCH(B1440,fa_num,0))&amp;"",""))</f>
        <v/>
      </c>
      <c r="H1440" s="59" t="str">
        <f>IF(COUNTA(A1440:F1440)=0,"",IF(A1440="","Date manquante",IF(NOT(ISNUMBER(A1440)),"Date invalide",IF(B1440="","N° de facture manquant",IF(ISNA(MATCH(B1440,fa_num,0)),"Facture inconnue",IF(INDEX(fa_type,MATCH(B1440,fa_num,0))="Avoir","Paiement sur un avoir",IF(OR(NOT(ISNUMBER(C1440)),N(C1440)&lt;=0),"Montant invalide",IF(A1440&lt;INDEX(fa_date,MATCH(B1440,fa_num,0)),"Date antérieure à la facture",IF(SUMIF($B$6:B1440,B1440,$C$6:C1440)&gt;INDEX(fa_ttc,MATCH(B1440,fa_num,0))-N(INDEX(fa_avoirs,MATCH(B1440,fa_num,0)))+0.001,"Dépasse le montant de la facture","OK")))))))))</f>
        <v/>
      </c>
    </row>
    <row r="1441">
      <c r="A1441" s="61" t="n"/>
      <c r="B1441" s="60" t="n"/>
      <c r="C1441" s="68" t="n"/>
      <c r="D1441" s="60" t="n"/>
      <c r="E1441" s="63" t="n"/>
      <c r="F1441" s="63" t="n"/>
      <c r="G1441" s="62" t="str">
        <f>IF(B1441="","",IFERROR(INDEX(fa_cname,MATCH(B1441,fa_num,0))&amp;"",""))</f>
        <v/>
      </c>
      <c r="H1441" s="59" t="str">
        <f>IF(COUNTA(A1441:F1441)=0,"",IF(A1441="","Date manquante",IF(NOT(ISNUMBER(A1441)),"Date invalide",IF(B1441="","N° de facture manquant",IF(ISNA(MATCH(B1441,fa_num,0)),"Facture inconnue",IF(INDEX(fa_type,MATCH(B1441,fa_num,0))="Avoir","Paiement sur un avoir",IF(OR(NOT(ISNUMBER(C1441)),N(C1441)&lt;=0),"Montant invalide",IF(A1441&lt;INDEX(fa_date,MATCH(B1441,fa_num,0)),"Date antérieure à la facture",IF(SUMIF($B$6:B1441,B1441,$C$6:C1441)&gt;INDEX(fa_ttc,MATCH(B1441,fa_num,0))-N(INDEX(fa_avoirs,MATCH(B1441,fa_num,0)))+0.001,"Dépasse le montant de la facture","OK")))))))))</f>
        <v/>
      </c>
    </row>
    <row r="1442">
      <c r="A1442" s="61" t="n"/>
      <c r="B1442" s="60" t="n"/>
      <c r="C1442" s="68" t="n"/>
      <c r="D1442" s="60" t="n"/>
      <c r="E1442" s="63" t="n"/>
      <c r="F1442" s="63" t="n"/>
      <c r="G1442" s="62" t="str">
        <f>IF(B1442="","",IFERROR(INDEX(fa_cname,MATCH(B1442,fa_num,0))&amp;"",""))</f>
        <v/>
      </c>
      <c r="H1442" s="59" t="str">
        <f>IF(COUNTA(A1442:F1442)=0,"",IF(A1442="","Date manquante",IF(NOT(ISNUMBER(A1442)),"Date invalide",IF(B1442="","N° de facture manquant",IF(ISNA(MATCH(B1442,fa_num,0)),"Facture inconnue",IF(INDEX(fa_type,MATCH(B1442,fa_num,0))="Avoir","Paiement sur un avoir",IF(OR(NOT(ISNUMBER(C1442)),N(C1442)&lt;=0),"Montant invalide",IF(A1442&lt;INDEX(fa_date,MATCH(B1442,fa_num,0)),"Date antérieure à la facture",IF(SUMIF($B$6:B1442,B1442,$C$6:C1442)&gt;INDEX(fa_ttc,MATCH(B1442,fa_num,0))-N(INDEX(fa_avoirs,MATCH(B1442,fa_num,0)))+0.001,"Dépasse le montant de la facture","OK")))))))))</f>
        <v/>
      </c>
    </row>
    <row r="1443">
      <c r="A1443" s="61" t="n"/>
      <c r="B1443" s="60" t="n"/>
      <c r="C1443" s="68" t="n"/>
      <c r="D1443" s="60" t="n"/>
      <c r="E1443" s="63" t="n"/>
      <c r="F1443" s="63" t="n"/>
      <c r="G1443" s="62" t="str">
        <f>IF(B1443="","",IFERROR(INDEX(fa_cname,MATCH(B1443,fa_num,0))&amp;"",""))</f>
        <v/>
      </c>
      <c r="H1443" s="59" t="str">
        <f>IF(COUNTA(A1443:F1443)=0,"",IF(A1443="","Date manquante",IF(NOT(ISNUMBER(A1443)),"Date invalide",IF(B1443="","N° de facture manquant",IF(ISNA(MATCH(B1443,fa_num,0)),"Facture inconnue",IF(INDEX(fa_type,MATCH(B1443,fa_num,0))="Avoir","Paiement sur un avoir",IF(OR(NOT(ISNUMBER(C1443)),N(C1443)&lt;=0),"Montant invalide",IF(A1443&lt;INDEX(fa_date,MATCH(B1443,fa_num,0)),"Date antérieure à la facture",IF(SUMIF($B$6:B1443,B1443,$C$6:C1443)&gt;INDEX(fa_ttc,MATCH(B1443,fa_num,0))-N(INDEX(fa_avoirs,MATCH(B1443,fa_num,0)))+0.001,"Dépasse le montant de la facture","OK")))))))))</f>
        <v/>
      </c>
    </row>
    <row r="1444">
      <c r="A1444" s="61" t="n"/>
      <c r="B1444" s="60" t="n"/>
      <c r="C1444" s="68" t="n"/>
      <c r="D1444" s="60" t="n"/>
      <c r="E1444" s="63" t="n"/>
      <c r="F1444" s="63" t="n"/>
      <c r="G1444" s="62" t="str">
        <f>IF(B1444="","",IFERROR(INDEX(fa_cname,MATCH(B1444,fa_num,0))&amp;"",""))</f>
        <v/>
      </c>
      <c r="H1444" s="59" t="str">
        <f>IF(COUNTA(A1444:F1444)=0,"",IF(A1444="","Date manquante",IF(NOT(ISNUMBER(A1444)),"Date invalide",IF(B1444="","N° de facture manquant",IF(ISNA(MATCH(B1444,fa_num,0)),"Facture inconnue",IF(INDEX(fa_type,MATCH(B1444,fa_num,0))="Avoir","Paiement sur un avoir",IF(OR(NOT(ISNUMBER(C1444)),N(C1444)&lt;=0),"Montant invalide",IF(A1444&lt;INDEX(fa_date,MATCH(B1444,fa_num,0)),"Date antérieure à la facture",IF(SUMIF($B$6:B1444,B1444,$C$6:C1444)&gt;INDEX(fa_ttc,MATCH(B1444,fa_num,0))-N(INDEX(fa_avoirs,MATCH(B1444,fa_num,0)))+0.001,"Dépasse le montant de la facture","OK")))))))))</f>
        <v/>
      </c>
    </row>
    <row r="1445">
      <c r="A1445" s="61" t="n"/>
      <c r="B1445" s="60" t="n"/>
      <c r="C1445" s="68" t="n"/>
      <c r="D1445" s="60" t="n"/>
      <c r="E1445" s="63" t="n"/>
      <c r="F1445" s="63" t="n"/>
      <c r="G1445" s="62" t="str">
        <f>IF(B1445="","",IFERROR(INDEX(fa_cname,MATCH(B1445,fa_num,0))&amp;"",""))</f>
        <v/>
      </c>
      <c r="H1445" s="59" t="str">
        <f>IF(COUNTA(A1445:F1445)=0,"",IF(A1445="","Date manquante",IF(NOT(ISNUMBER(A1445)),"Date invalide",IF(B1445="","N° de facture manquant",IF(ISNA(MATCH(B1445,fa_num,0)),"Facture inconnue",IF(INDEX(fa_type,MATCH(B1445,fa_num,0))="Avoir","Paiement sur un avoir",IF(OR(NOT(ISNUMBER(C1445)),N(C1445)&lt;=0),"Montant invalide",IF(A1445&lt;INDEX(fa_date,MATCH(B1445,fa_num,0)),"Date antérieure à la facture",IF(SUMIF($B$6:B1445,B1445,$C$6:C1445)&gt;INDEX(fa_ttc,MATCH(B1445,fa_num,0))-N(INDEX(fa_avoirs,MATCH(B1445,fa_num,0)))+0.001,"Dépasse le montant de la facture","OK")))))))))</f>
        <v/>
      </c>
    </row>
    <row r="1446">
      <c r="A1446" s="61" t="n"/>
      <c r="B1446" s="60" t="n"/>
      <c r="C1446" s="68" t="n"/>
      <c r="D1446" s="60" t="n"/>
      <c r="E1446" s="63" t="n"/>
      <c r="F1446" s="63" t="n"/>
      <c r="G1446" s="62" t="str">
        <f>IF(B1446="","",IFERROR(INDEX(fa_cname,MATCH(B1446,fa_num,0))&amp;"",""))</f>
        <v/>
      </c>
      <c r="H1446" s="59" t="str">
        <f>IF(COUNTA(A1446:F1446)=0,"",IF(A1446="","Date manquante",IF(NOT(ISNUMBER(A1446)),"Date invalide",IF(B1446="","N° de facture manquant",IF(ISNA(MATCH(B1446,fa_num,0)),"Facture inconnue",IF(INDEX(fa_type,MATCH(B1446,fa_num,0))="Avoir","Paiement sur un avoir",IF(OR(NOT(ISNUMBER(C1446)),N(C1446)&lt;=0),"Montant invalide",IF(A1446&lt;INDEX(fa_date,MATCH(B1446,fa_num,0)),"Date antérieure à la facture",IF(SUMIF($B$6:B1446,B1446,$C$6:C1446)&gt;INDEX(fa_ttc,MATCH(B1446,fa_num,0))-N(INDEX(fa_avoirs,MATCH(B1446,fa_num,0)))+0.001,"Dépasse le montant de la facture","OK")))))))))</f>
        <v/>
      </c>
    </row>
    <row r="1447">
      <c r="A1447" s="61" t="n"/>
      <c r="B1447" s="60" t="n"/>
      <c r="C1447" s="68" t="n"/>
      <c r="D1447" s="60" t="n"/>
      <c r="E1447" s="63" t="n"/>
      <c r="F1447" s="63" t="n"/>
      <c r="G1447" s="62" t="str">
        <f>IF(B1447="","",IFERROR(INDEX(fa_cname,MATCH(B1447,fa_num,0))&amp;"",""))</f>
        <v/>
      </c>
      <c r="H1447" s="59" t="str">
        <f>IF(COUNTA(A1447:F1447)=0,"",IF(A1447="","Date manquante",IF(NOT(ISNUMBER(A1447)),"Date invalide",IF(B1447="","N° de facture manquant",IF(ISNA(MATCH(B1447,fa_num,0)),"Facture inconnue",IF(INDEX(fa_type,MATCH(B1447,fa_num,0))="Avoir","Paiement sur un avoir",IF(OR(NOT(ISNUMBER(C1447)),N(C1447)&lt;=0),"Montant invalide",IF(A1447&lt;INDEX(fa_date,MATCH(B1447,fa_num,0)),"Date antérieure à la facture",IF(SUMIF($B$6:B1447,B1447,$C$6:C1447)&gt;INDEX(fa_ttc,MATCH(B1447,fa_num,0))-N(INDEX(fa_avoirs,MATCH(B1447,fa_num,0)))+0.001,"Dépasse le montant de la facture","OK")))))))))</f>
        <v/>
      </c>
    </row>
    <row r="1448">
      <c r="A1448" s="61" t="n"/>
      <c r="B1448" s="60" t="n"/>
      <c r="C1448" s="68" t="n"/>
      <c r="D1448" s="60" t="n"/>
      <c r="E1448" s="63" t="n"/>
      <c r="F1448" s="63" t="n"/>
      <c r="G1448" s="62" t="str">
        <f>IF(B1448="","",IFERROR(INDEX(fa_cname,MATCH(B1448,fa_num,0))&amp;"",""))</f>
        <v/>
      </c>
      <c r="H1448" s="59" t="str">
        <f>IF(COUNTA(A1448:F1448)=0,"",IF(A1448="","Date manquante",IF(NOT(ISNUMBER(A1448)),"Date invalide",IF(B1448="","N° de facture manquant",IF(ISNA(MATCH(B1448,fa_num,0)),"Facture inconnue",IF(INDEX(fa_type,MATCH(B1448,fa_num,0))="Avoir","Paiement sur un avoir",IF(OR(NOT(ISNUMBER(C1448)),N(C1448)&lt;=0),"Montant invalide",IF(A1448&lt;INDEX(fa_date,MATCH(B1448,fa_num,0)),"Date antérieure à la facture",IF(SUMIF($B$6:B1448,B1448,$C$6:C1448)&gt;INDEX(fa_ttc,MATCH(B1448,fa_num,0))-N(INDEX(fa_avoirs,MATCH(B1448,fa_num,0)))+0.001,"Dépasse le montant de la facture","OK")))))))))</f>
        <v/>
      </c>
    </row>
    <row r="1449">
      <c r="A1449" s="61" t="n"/>
      <c r="B1449" s="60" t="n"/>
      <c r="C1449" s="68" t="n"/>
      <c r="D1449" s="60" t="n"/>
      <c r="E1449" s="63" t="n"/>
      <c r="F1449" s="63" t="n"/>
      <c r="G1449" s="62" t="str">
        <f>IF(B1449="","",IFERROR(INDEX(fa_cname,MATCH(B1449,fa_num,0))&amp;"",""))</f>
        <v/>
      </c>
      <c r="H1449" s="59" t="str">
        <f>IF(COUNTA(A1449:F1449)=0,"",IF(A1449="","Date manquante",IF(NOT(ISNUMBER(A1449)),"Date invalide",IF(B1449="","N° de facture manquant",IF(ISNA(MATCH(B1449,fa_num,0)),"Facture inconnue",IF(INDEX(fa_type,MATCH(B1449,fa_num,0))="Avoir","Paiement sur un avoir",IF(OR(NOT(ISNUMBER(C1449)),N(C1449)&lt;=0),"Montant invalide",IF(A1449&lt;INDEX(fa_date,MATCH(B1449,fa_num,0)),"Date antérieure à la facture",IF(SUMIF($B$6:B1449,B1449,$C$6:C1449)&gt;INDEX(fa_ttc,MATCH(B1449,fa_num,0))-N(INDEX(fa_avoirs,MATCH(B1449,fa_num,0)))+0.001,"Dépasse le montant de la facture","OK")))))))))</f>
        <v/>
      </c>
    </row>
    <row r="1450">
      <c r="A1450" s="61" t="n"/>
      <c r="B1450" s="60" t="n"/>
      <c r="C1450" s="68" t="n"/>
      <c r="D1450" s="60" t="n"/>
      <c r="E1450" s="63" t="n"/>
      <c r="F1450" s="63" t="n"/>
      <c r="G1450" s="62" t="str">
        <f>IF(B1450="","",IFERROR(INDEX(fa_cname,MATCH(B1450,fa_num,0))&amp;"",""))</f>
        <v/>
      </c>
      <c r="H1450" s="59" t="str">
        <f>IF(COUNTA(A1450:F1450)=0,"",IF(A1450="","Date manquante",IF(NOT(ISNUMBER(A1450)),"Date invalide",IF(B1450="","N° de facture manquant",IF(ISNA(MATCH(B1450,fa_num,0)),"Facture inconnue",IF(INDEX(fa_type,MATCH(B1450,fa_num,0))="Avoir","Paiement sur un avoir",IF(OR(NOT(ISNUMBER(C1450)),N(C1450)&lt;=0),"Montant invalide",IF(A1450&lt;INDEX(fa_date,MATCH(B1450,fa_num,0)),"Date antérieure à la facture",IF(SUMIF($B$6:B1450,B1450,$C$6:C1450)&gt;INDEX(fa_ttc,MATCH(B1450,fa_num,0))-N(INDEX(fa_avoirs,MATCH(B1450,fa_num,0)))+0.001,"Dépasse le montant de la facture","OK")))))))))</f>
        <v/>
      </c>
    </row>
    <row r="1451">
      <c r="A1451" s="61" t="n"/>
      <c r="B1451" s="60" t="n"/>
      <c r="C1451" s="68" t="n"/>
      <c r="D1451" s="60" t="n"/>
      <c r="E1451" s="63" t="n"/>
      <c r="F1451" s="63" t="n"/>
      <c r="G1451" s="62" t="str">
        <f>IF(B1451="","",IFERROR(INDEX(fa_cname,MATCH(B1451,fa_num,0))&amp;"",""))</f>
        <v/>
      </c>
      <c r="H1451" s="59" t="str">
        <f>IF(COUNTA(A1451:F1451)=0,"",IF(A1451="","Date manquante",IF(NOT(ISNUMBER(A1451)),"Date invalide",IF(B1451="","N° de facture manquant",IF(ISNA(MATCH(B1451,fa_num,0)),"Facture inconnue",IF(INDEX(fa_type,MATCH(B1451,fa_num,0))="Avoir","Paiement sur un avoir",IF(OR(NOT(ISNUMBER(C1451)),N(C1451)&lt;=0),"Montant invalide",IF(A1451&lt;INDEX(fa_date,MATCH(B1451,fa_num,0)),"Date antérieure à la facture",IF(SUMIF($B$6:B1451,B1451,$C$6:C1451)&gt;INDEX(fa_ttc,MATCH(B1451,fa_num,0))-N(INDEX(fa_avoirs,MATCH(B1451,fa_num,0)))+0.001,"Dépasse le montant de la facture","OK")))))))))</f>
        <v/>
      </c>
    </row>
    <row r="1452">
      <c r="A1452" s="61" t="n"/>
      <c r="B1452" s="60" t="n"/>
      <c r="C1452" s="68" t="n"/>
      <c r="D1452" s="60" t="n"/>
      <c r="E1452" s="63" t="n"/>
      <c r="F1452" s="63" t="n"/>
      <c r="G1452" s="62" t="str">
        <f>IF(B1452="","",IFERROR(INDEX(fa_cname,MATCH(B1452,fa_num,0))&amp;"",""))</f>
        <v/>
      </c>
      <c r="H1452" s="59" t="str">
        <f>IF(COUNTA(A1452:F1452)=0,"",IF(A1452="","Date manquante",IF(NOT(ISNUMBER(A1452)),"Date invalide",IF(B1452="","N° de facture manquant",IF(ISNA(MATCH(B1452,fa_num,0)),"Facture inconnue",IF(INDEX(fa_type,MATCH(B1452,fa_num,0))="Avoir","Paiement sur un avoir",IF(OR(NOT(ISNUMBER(C1452)),N(C1452)&lt;=0),"Montant invalide",IF(A1452&lt;INDEX(fa_date,MATCH(B1452,fa_num,0)),"Date antérieure à la facture",IF(SUMIF($B$6:B1452,B1452,$C$6:C1452)&gt;INDEX(fa_ttc,MATCH(B1452,fa_num,0))-N(INDEX(fa_avoirs,MATCH(B1452,fa_num,0)))+0.001,"Dépasse le montant de la facture","OK")))))))))</f>
        <v/>
      </c>
    </row>
    <row r="1453">
      <c r="A1453" s="61" t="n"/>
      <c r="B1453" s="60" t="n"/>
      <c r="C1453" s="68" t="n"/>
      <c r="D1453" s="60" t="n"/>
      <c r="E1453" s="63" t="n"/>
      <c r="F1453" s="63" t="n"/>
      <c r="G1453" s="62" t="str">
        <f>IF(B1453="","",IFERROR(INDEX(fa_cname,MATCH(B1453,fa_num,0))&amp;"",""))</f>
        <v/>
      </c>
      <c r="H1453" s="59" t="str">
        <f>IF(COUNTA(A1453:F1453)=0,"",IF(A1453="","Date manquante",IF(NOT(ISNUMBER(A1453)),"Date invalide",IF(B1453="","N° de facture manquant",IF(ISNA(MATCH(B1453,fa_num,0)),"Facture inconnue",IF(INDEX(fa_type,MATCH(B1453,fa_num,0))="Avoir","Paiement sur un avoir",IF(OR(NOT(ISNUMBER(C1453)),N(C1453)&lt;=0),"Montant invalide",IF(A1453&lt;INDEX(fa_date,MATCH(B1453,fa_num,0)),"Date antérieure à la facture",IF(SUMIF($B$6:B1453,B1453,$C$6:C1453)&gt;INDEX(fa_ttc,MATCH(B1453,fa_num,0))-N(INDEX(fa_avoirs,MATCH(B1453,fa_num,0)))+0.001,"Dépasse le montant de la facture","OK")))))))))</f>
        <v/>
      </c>
    </row>
    <row r="1454">
      <c r="A1454" s="61" t="n"/>
      <c r="B1454" s="60" t="n"/>
      <c r="C1454" s="68" t="n"/>
      <c r="D1454" s="60" t="n"/>
      <c r="E1454" s="63" t="n"/>
      <c r="F1454" s="63" t="n"/>
      <c r="G1454" s="62" t="str">
        <f>IF(B1454="","",IFERROR(INDEX(fa_cname,MATCH(B1454,fa_num,0))&amp;"",""))</f>
        <v/>
      </c>
      <c r="H1454" s="59" t="str">
        <f>IF(COUNTA(A1454:F1454)=0,"",IF(A1454="","Date manquante",IF(NOT(ISNUMBER(A1454)),"Date invalide",IF(B1454="","N° de facture manquant",IF(ISNA(MATCH(B1454,fa_num,0)),"Facture inconnue",IF(INDEX(fa_type,MATCH(B1454,fa_num,0))="Avoir","Paiement sur un avoir",IF(OR(NOT(ISNUMBER(C1454)),N(C1454)&lt;=0),"Montant invalide",IF(A1454&lt;INDEX(fa_date,MATCH(B1454,fa_num,0)),"Date antérieure à la facture",IF(SUMIF($B$6:B1454,B1454,$C$6:C1454)&gt;INDEX(fa_ttc,MATCH(B1454,fa_num,0))-N(INDEX(fa_avoirs,MATCH(B1454,fa_num,0)))+0.001,"Dépasse le montant de la facture","OK")))))))))</f>
        <v/>
      </c>
    </row>
    <row r="1455">
      <c r="A1455" s="61" t="n"/>
      <c r="B1455" s="60" t="n"/>
      <c r="C1455" s="68" t="n"/>
      <c r="D1455" s="60" t="n"/>
      <c r="E1455" s="63" t="n"/>
      <c r="F1455" s="63" t="n"/>
      <c r="G1455" s="62" t="str">
        <f>IF(B1455="","",IFERROR(INDEX(fa_cname,MATCH(B1455,fa_num,0))&amp;"",""))</f>
        <v/>
      </c>
      <c r="H1455" s="59" t="str">
        <f>IF(COUNTA(A1455:F1455)=0,"",IF(A1455="","Date manquante",IF(NOT(ISNUMBER(A1455)),"Date invalide",IF(B1455="","N° de facture manquant",IF(ISNA(MATCH(B1455,fa_num,0)),"Facture inconnue",IF(INDEX(fa_type,MATCH(B1455,fa_num,0))="Avoir","Paiement sur un avoir",IF(OR(NOT(ISNUMBER(C1455)),N(C1455)&lt;=0),"Montant invalide",IF(A1455&lt;INDEX(fa_date,MATCH(B1455,fa_num,0)),"Date antérieure à la facture",IF(SUMIF($B$6:B1455,B1455,$C$6:C1455)&gt;INDEX(fa_ttc,MATCH(B1455,fa_num,0))-N(INDEX(fa_avoirs,MATCH(B1455,fa_num,0)))+0.001,"Dépasse le montant de la facture","OK")))))))))</f>
        <v/>
      </c>
    </row>
    <row r="1456">
      <c r="A1456" s="61" t="n"/>
      <c r="B1456" s="60" t="n"/>
      <c r="C1456" s="68" t="n"/>
      <c r="D1456" s="60" t="n"/>
      <c r="E1456" s="63" t="n"/>
      <c r="F1456" s="63" t="n"/>
      <c r="G1456" s="62" t="str">
        <f>IF(B1456="","",IFERROR(INDEX(fa_cname,MATCH(B1456,fa_num,0))&amp;"",""))</f>
        <v/>
      </c>
      <c r="H1456" s="59" t="str">
        <f>IF(COUNTA(A1456:F1456)=0,"",IF(A1456="","Date manquante",IF(NOT(ISNUMBER(A1456)),"Date invalide",IF(B1456="","N° de facture manquant",IF(ISNA(MATCH(B1456,fa_num,0)),"Facture inconnue",IF(INDEX(fa_type,MATCH(B1456,fa_num,0))="Avoir","Paiement sur un avoir",IF(OR(NOT(ISNUMBER(C1456)),N(C1456)&lt;=0),"Montant invalide",IF(A1456&lt;INDEX(fa_date,MATCH(B1456,fa_num,0)),"Date antérieure à la facture",IF(SUMIF($B$6:B1456,B1456,$C$6:C1456)&gt;INDEX(fa_ttc,MATCH(B1456,fa_num,0))-N(INDEX(fa_avoirs,MATCH(B1456,fa_num,0)))+0.001,"Dépasse le montant de la facture","OK")))))))))</f>
        <v/>
      </c>
    </row>
    <row r="1457">
      <c r="A1457" s="61" t="n"/>
      <c r="B1457" s="60" t="n"/>
      <c r="C1457" s="68" t="n"/>
      <c r="D1457" s="60" t="n"/>
      <c r="E1457" s="63" t="n"/>
      <c r="F1457" s="63" t="n"/>
      <c r="G1457" s="62" t="str">
        <f>IF(B1457="","",IFERROR(INDEX(fa_cname,MATCH(B1457,fa_num,0))&amp;"",""))</f>
        <v/>
      </c>
      <c r="H1457" s="59" t="str">
        <f>IF(COUNTA(A1457:F1457)=0,"",IF(A1457="","Date manquante",IF(NOT(ISNUMBER(A1457)),"Date invalide",IF(B1457="","N° de facture manquant",IF(ISNA(MATCH(B1457,fa_num,0)),"Facture inconnue",IF(INDEX(fa_type,MATCH(B1457,fa_num,0))="Avoir","Paiement sur un avoir",IF(OR(NOT(ISNUMBER(C1457)),N(C1457)&lt;=0),"Montant invalide",IF(A1457&lt;INDEX(fa_date,MATCH(B1457,fa_num,0)),"Date antérieure à la facture",IF(SUMIF($B$6:B1457,B1457,$C$6:C1457)&gt;INDEX(fa_ttc,MATCH(B1457,fa_num,0))-N(INDEX(fa_avoirs,MATCH(B1457,fa_num,0)))+0.001,"Dépasse le montant de la facture","OK")))))))))</f>
        <v/>
      </c>
    </row>
    <row r="1458">
      <c r="A1458" s="61" t="n"/>
      <c r="B1458" s="60" t="n"/>
      <c r="C1458" s="68" t="n"/>
      <c r="D1458" s="60" t="n"/>
      <c r="E1458" s="63" t="n"/>
      <c r="F1458" s="63" t="n"/>
      <c r="G1458" s="62" t="str">
        <f>IF(B1458="","",IFERROR(INDEX(fa_cname,MATCH(B1458,fa_num,0))&amp;"",""))</f>
        <v/>
      </c>
      <c r="H1458" s="59" t="str">
        <f>IF(COUNTA(A1458:F1458)=0,"",IF(A1458="","Date manquante",IF(NOT(ISNUMBER(A1458)),"Date invalide",IF(B1458="","N° de facture manquant",IF(ISNA(MATCH(B1458,fa_num,0)),"Facture inconnue",IF(INDEX(fa_type,MATCH(B1458,fa_num,0))="Avoir","Paiement sur un avoir",IF(OR(NOT(ISNUMBER(C1458)),N(C1458)&lt;=0),"Montant invalide",IF(A1458&lt;INDEX(fa_date,MATCH(B1458,fa_num,0)),"Date antérieure à la facture",IF(SUMIF($B$6:B1458,B1458,$C$6:C1458)&gt;INDEX(fa_ttc,MATCH(B1458,fa_num,0))-N(INDEX(fa_avoirs,MATCH(B1458,fa_num,0)))+0.001,"Dépasse le montant de la facture","OK")))))))))</f>
        <v/>
      </c>
    </row>
    <row r="1459">
      <c r="A1459" s="61" t="n"/>
      <c r="B1459" s="60" t="n"/>
      <c r="C1459" s="68" t="n"/>
      <c r="D1459" s="60" t="n"/>
      <c r="E1459" s="63" t="n"/>
      <c r="F1459" s="63" t="n"/>
      <c r="G1459" s="62" t="str">
        <f>IF(B1459="","",IFERROR(INDEX(fa_cname,MATCH(B1459,fa_num,0))&amp;"",""))</f>
        <v/>
      </c>
      <c r="H1459" s="59" t="str">
        <f>IF(COUNTA(A1459:F1459)=0,"",IF(A1459="","Date manquante",IF(NOT(ISNUMBER(A1459)),"Date invalide",IF(B1459="","N° de facture manquant",IF(ISNA(MATCH(B1459,fa_num,0)),"Facture inconnue",IF(INDEX(fa_type,MATCH(B1459,fa_num,0))="Avoir","Paiement sur un avoir",IF(OR(NOT(ISNUMBER(C1459)),N(C1459)&lt;=0),"Montant invalide",IF(A1459&lt;INDEX(fa_date,MATCH(B1459,fa_num,0)),"Date antérieure à la facture",IF(SUMIF($B$6:B1459,B1459,$C$6:C1459)&gt;INDEX(fa_ttc,MATCH(B1459,fa_num,0))-N(INDEX(fa_avoirs,MATCH(B1459,fa_num,0)))+0.001,"Dépasse le montant de la facture","OK")))))))))</f>
        <v/>
      </c>
    </row>
    <row r="1460">
      <c r="A1460" s="61" t="n"/>
      <c r="B1460" s="60" t="n"/>
      <c r="C1460" s="68" t="n"/>
      <c r="D1460" s="60" t="n"/>
      <c r="E1460" s="63" t="n"/>
      <c r="F1460" s="63" t="n"/>
      <c r="G1460" s="62" t="str">
        <f>IF(B1460="","",IFERROR(INDEX(fa_cname,MATCH(B1460,fa_num,0))&amp;"",""))</f>
        <v/>
      </c>
      <c r="H1460" s="59" t="str">
        <f>IF(COUNTA(A1460:F1460)=0,"",IF(A1460="","Date manquante",IF(NOT(ISNUMBER(A1460)),"Date invalide",IF(B1460="","N° de facture manquant",IF(ISNA(MATCH(B1460,fa_num,0)),"Facture inconnue",IF(INDEX(fa_type,MATCH(B1460,fa_num,0))="Avoir","Paiement sur un avoir",IF(OR(NOT(ISNUMBER(C1460)),N(C1460)&lt;=0),"Montant invalide",IF(A1460&lt;INDEX(fa_date,MATCH(B1460,fa_num,0)),"Date antérieure à la facture",IF(SUMIF($B$6:B1460,B1460,$C$6:C1460)&gt;INDEX(fa_ttc,MATCH(B1460,fa_num,0))-N(INDEX(fa_avoirs,MATCH(B1460,fa_num,0)))+0.001,"Dépasse le montant de la facture","OK")))))))))</f>
        <v/>
      </c>
    </row>
    <row r="1461">
      <c r="A1461" s="61" t="n"/>
      <c r="B1461" s="60" t="n"/>
      <c r="C1461" s="68" t="n"/>
      <c r="D1461" s="60" t="n"/>
      <c r="E1461" s="63" t="n"/>
      <c r="F1461" s="63" t="n"/>
      <c r="G1461" s="62" t="str">
        <f>IF(B1461="","",IFERROR(INDEX(fa_cname,MATCH(B1461,fa_num,0))&amp;"",""))</f>
        <v/>
      </c>
      <c r="H1461" s="59" t="str">
        <f>IF(COUNTA(A1461:F1461)=0,"",IF(A1461="","Date manquante",IF(NOT(ISNUMBER(A1461)),"Date invalide",IF(B1461="","N° de facture manquant",IF(ISNA(MATCH(B1461,fa_num,0)),"Facture inconnue",IF(INDEX(fa_type,MATCH(B1461,fa_num,0))="Avoir","Paiement sur un avoir",IF(OR(NOT(ISNUMBER(C1461)),N(C1461)&lt;=0),"Montant invalide",IF(A1461&lt;INDEX(fa_date,MATCH(B1461,fa_num,0)),"Date antérieure à la facture",IF(SUMIF($B$6:B1461,B1461,$C$6:C1461)&gt;INDEX(fa_ttc,MATCH(B1461,fa_num,0))-N(INDEX(fa_avoirs,MATCH(B1461,fa_num,0)))+0.001,"Dépasse le montant de la facture","OK")))))))))</f>
        <v/>
      </c>
    </row>
    <row r="1462">
      <c r="A1462" s="61" t="n"/>
      <c r="B1462" s="60" t="n"/>
      <c r="C1462" s="68" t="n"/>
      <c r="D1462" s="60" t="n"/>
      <c r="E1462" s="63" t="n"/>
      <c r="F1462" s="63" t="n"/>
      <c r="G1462" s="62" t="str">
        <f>IF(B1462="","",IFERROR(INDEX(fa_cname,MATCH(B1462,fa_num,0))&amp;"",""))</f>
        <v/>
      </c>
      <c r="H1462" s="59" t="str">
        <f>IF(COUNTA(A1462:F1462)=0,"",IF(A1462="","Date manquante",IF(NOT(ISNUMBER(A1462)),"Date invalide",IF(B1462="","N° de facture manquant",IF(ISNA(MATCH(B1462,fa_num,0)),"Facture inconnue",IF(INDEX(fa_type,MATCH(B1462,fa_num,0))="Avoir","Paiement sur un avoir",IF(OR(NOT(ISNUMBER(C1462)),N(C1462)&lt;=0),"Montant invalide",IF(A1462&lt;INDEX(fa_date,MATCH(B1462,fa_num,0)),"Date antérieure à la facture",IF(SUMIF($B$6:B1462,B1462,$C$6:C1462)&gt;INDEX(fa_ttc,MATCH(B1462,fa_num,0))-N(INDEX(fa_avoirs,MATCH(B1462,fa_num,0)))+0.001,"Dépasse le montant de la facture","OK")))))))))</f>
        <v/>
      </c>
    </row>
    <row r="1463">
      <c r="A1463" s="61" t="n"/>
      <c r="B1463" s="60" t="n"/>
      <c r="C1463" s="68" t="n"/>
      <c r="D1463" s="60" t="n"/>
      <c r="E1463" s="63" t="n"/>
      <c r="F1463" s="63" t="n"/>
      <c r="G1463" s="62" t="str">
        <f>IF(B1463="","",IFERROR(INDEX(fa_cname,MATCH(B1463,fa_num,0))&amp;"",""))</f>
        <v/>
      </c>
      <c r="H1463" s="59" t="str">
        <f>IF(COUNTA(A1463:F1463)=0,"",IF(A1463="","Date manquante",IF(NOT(ISNUMBER(A1463)),"Date invalide",IF(B1463="","N° de facture manquant",IF(ISNA(MATCH(B1463,fa_num,0)),"Facture inconnue",IF(INDEX(fa_type,MATCH(B1463,fa_num,0))="Avoir","Paiement sur un avoir",IF(OR(NOT(ISNUMBER(C1463)),N(C1463)&lt;=0),"Montant invalide",IF(A1463&lt;INDEX(fa_date,MATCH(B1463,fa_num,0)),"Date antérieure à la facture",IF(SUMIF($B$6:B1463,B1463,$C$6:C1463)&gt;INDEX(fa_ttc,MATCH(B1463,fa_num,0))-N(INDEX(fa_avoirs,MATCH(B1463,fa_num,0)))+0.001,"Dépasse le montant de la facture","OK")))))))))</f>
        <v/>
      </c>
    </row>
    <row r="1464">
      <c r="A1464" s="61" t="n"/>
      <c r="B1464" s="60" t="n"/>
      <c r="C1464" s="68" t="n"/>
      <c r="D1464" s="60" t="n"/>
      <c r="E1464" s="63" t="n"/>
      <c r="F1464" s="63" t="n"/>
      <c r="G1464" s="62" t="str">
        <f>IF(B1464="","",IFERROR(INDEX(fa_cname,MATCH(B1464,fa_num,0))&amp;"",""))</f>
        <v/>
      </c>
      <c r="H1464" s="59" t="str">
        <f>IF(COUNTA(A1464:F1464)=0,"",IF(A1464="","Date manquante",IF(NOT(ISNUMBER(A1464)),"Date invalide",IF(B1464="","N° de facture manquant",IF(ISNA(MATCH(B1464,fa_num,0)),"Facture inconnue",IF(INDEX(fa_type,MATCH(B1464,fa_num,0))="Avoir","Paiement sur un avoir",IF(OR(NOT(ISNUMBER(C1464)),N(C1464)&lt;=0),"Montant invalide",IF(A1464&lt;INDEX(fa_date,MATCH(B1464,fa_num,0)),"Date antérieure à la facture",IF(SUMIF($B$6:B1464,B1464,$C$6:C1464)&gt;INDEX(fa_ttc,MATCH(B1464,fa_num,0))-N(INDEX(fa_avoirs,MATCH(B1464,fa_num,0)))+0.001,"Dépasse le montant de la facture","OK")))))))))</f>
        <v/>
      </c>
    </row>
    <row r="1465">
      <c r="A1465" s="61" t="n"/>
      <c r="B1465" s="60" t="n"/>
      <c r="C1465" s="68" t="n"/>
      <c r="D1465" s="60" t="n"/>
      <c r="E1465" s="63" t="n"/>
      <c r="F1465" s="63" t="n"/>
      <c r="G1465" s="62" t="str">
        <f>IF(B1465="","",IFERROR(INDEX(fa_cname,MATCH(B1465,fa_num,0))&amp;"",""))</f>
        <v/>
      </c>
      <c r="H1465" s="59" t="str">
        <f>IF(COUNTA(A1465:F1465)=0,"",IF(A1465="","Date manquante",IF(NOT(ISNUMBER(A1465)),"Date invalide",IF(B1465="","N° de facture manquant",IF(ISNA(MATCH(B1465,fa_num,0)),"Facture inconnue",IF(INDEX(fa_type,MATCH(B1465,fa_num,0))="Avoir","Paiement sur un avoir",IF(OR(NOT(ISNUMBER(C1465)),N(C1465)&lt;=0),"Montant invalide",IF(A1465&lt;INDEX(fa_date,MATCH(B1465,fa_num,0)),"Date antérieure à la facture",IF(SUMIF($B$6:B1465,B1465,$C$6:C1465)&gt;INDEX(fa_ttc,MATCH(B1465,fa_num,0))-N(INDEX(fa_avoirs,MATCH(B1465,fa_num,0)))+0.001,"Dépasse le montant de la facture","OK")))))))))</f>
        <v/>
      </c>
    </row>
    <row r="1466">
      <c r="A1466" s="61" t="n"/>
      <c r="B1466" s="60" t="n"/>
      <c r="C1466" s="68" t="n"/>
      <c r="D1466" s="60" t="n"/>
      <c r="E1466" s="63" t="n"/>
      <c r="F1466" s="63" t="n"/>
      <c r="G1466" s="62" t="str">
        <f>IF(B1466="","",IFERROR(INDEX(fa_cname,MATCH(B1466,fa_num,0))&amp;"",""))</f>
        <v/>
      </c>
      <c r="H1466" s="59" t="str">
        <f>IF(COUNTA(A1466:F1466)=0,"",IF(A1466="","Date manquante",IF(NOT(ISNUMBER(A1466)),"Date invalide",IF(B1466="","N° de facture manquant",IF(ISNA(MATCH(B1466,fa_num,0)),"Facture inconnue",IF(INDEX(fa_type,MATCH(B1466,fa_num,0))="Avoir","Paiement sur un avoir",IF(OR(NOT(ISNUMBER(C1466)),N(C1466)&lt;=0),"Montant invalide",IF(A1466&lt;INDEX(fa_date,MATCH(B1466,fa_num,0)),"Date antérieure à la facture",IF(SUMIF($B$6:B1466,B1466,$C$6:C1466)&gt;INDEX(fa_ttc,MATCH(B1466,fa_num,0))-N(INDEX(fa_avoirs,MATCH(B1466,fa_num,0)))+0.001,"Dépasse le montant de la facture","OK")))))))))</f>
        <v/>
      </c>
    </row>
    <row r="1467">
      <c r="A1467" s="61" t="n"/>
      <c r="B1467" s="60" t="n"/>
      <c r="C1467" s="68" t="n"/>
      <c r="D1467" s="60" t="n"/>
      <c r="E1467" s="63" t="n"/>
      <c r="F1467" s="63" t="n"/>
      <c r="G1467" s="62" t="str">
        <f>IF(B1467="","",IFERROR(INDEX(fa_cname,MATCH(B1467,fa_num,0))&amp;"",""))</f>
        <v/>
      </c>
      <c r="H1467" s="59" t="str">
        <f>IF(COUNTA(A1467:F1467)=0,"",IF(A1467="","Date manquante",IF(NOT(ISNUMBER(A1467)),"Date invalide",IF(B1467="","N° de facture manquant",IF(ISNA(MATCH(B1467,fa_num,0)),"Facture inconnue",IF(INDEX(fa_type,MATCH(B1467,fa_num,0))="Avoir","Paiement sur un avoir",IF(OR(NOT(ISNUMBER(C1467)),N(C1467)&lt;=0),"Montant invalide",IF(A1467&lt;INDEX(fa_date,MATCH(B1467,fa_num,0)),"Date antérieure à la facture",IF(SUMIF($B$6:B1467,B1467,$C$6:C1467)&gt;INDEX(fa_ttc,MATCH(B1467,fa_num,0))-N(INDEX(fa_avoirs,MATCH(B1467,fa_num,0)))+0.001,"Dépasse le montant de la facture","OK")))))))))</f>
        <v/>
      </c>
    </row>
    <row r="1468">
      <c r="A1468" s="61" t="n"/>
      <c r="B1468" s="60" t="n"/>
      <c r="C1468" s="68" t="n"/>
      <c r="D1468" s="60" t="n"/>
      <c r="E1468" s="63" t="n"/>
      <c r="F1468" s="63" t="n"/>
      <c r="G1468" s="62" t="str">
        <f>IF(B1468="","",IFERROR(INDEX(fa_cname,MATCH(B1468,fa_num,0))&amp;"",""))</f>
        <v/>
      </c>
      <c r="H1468" s="59" t="str">
        <f>IF(COUNTA(A1468:F1468)=0,"",IF(A1468="","Date manquante",IF(NOT(ISNUMBER(A1468)),"Date invalide",IF(B1468="","N° de facture manquant",IF(ISNA(MATCH(B1468,fa_num,0)),"Facture inconnue",IF(INDEX(fa_type,MATCH(B1468,fa_num,0))="Avoir","Paiement sur un avoir",IF(OR(NOT(ISNUMBER(C1468)),N(C1468)&lt;=0),"Montant invalide",IF(A1468&lt;INDEX(fa_date,MATCH(B1468,fa_num,0)),"Date antérieure à la facture",IF(SUMIF($B$6:B1468,B1468,$C$6:C1468)&gt;INDEX(fa_ttc,MATCH(B1468,fa_num,0))-N(INDEX(fa_avoirs,MATCH(B1468,fa_num,0)))+0.001,"Dépasse le montant de la facture","OK")))))))))</f>
        <v/>
      </c>
    </row>
    <row r="1469">
      <c r="A1469" s="61" t="n"/>
      <c r="B1469" s="60" t="n"/>
      <c r="C1469" s="68" t="n"/>
      <c r="D1469" s="60" t="n"/>
      <c r="E1469" s="63" t="n"/>
      <c r="F1469" s="63" t="n"/>
      <c r="G1469" s="62" t="str">
        <f>IF(B1469="","",IFERROR(INDEX(fa_cname,MATCH(B1469,fa_num,0))&amp;"",""))</f>
        <v/>
      </c>
      <c r="H1469" s="59" t="str">
        <f>IF(COUNTA(A1469:F1469)=0,"",IF(A1469="","Date manquante",IF(NOT(ISNUMBER(A1469)),"Date invalide",IF(B1469="","N° de facture manquant",IF(ISNA(MATCH(B1469,fa_num,0)),"Facture inconnue",IF(INDEX(fa_type,MATCH(B1469,fa_num,0))="Avoir","Paiement sur un avoir",IF(OR(NOT(ISNUMBER(C1469)),N(C1469)&lt;=0),"Montant invalide",IF(A1469&lt;INDEX(fa_date,MATCH(B1469,fa_num,0)),"Date antérieure à la facture",IF(SUMIF($B$6:B1469,B1469,$C$6:C1469)&gt;INDEX(fa_ttc,MATCH(B1469,fa_num,0))-N(INDEX(fa_avoirs,MATCH(B1469,fa_num,0)))+0.001,"Dépasse le montant de la facture","OK")))))))))</f>
        <v/>
      </c>
    </row>
    <row r="1470">
      <c r="A1470" s="61" t="n"/>
      <c r="B1470" s="60" t="n"/>
      <c r="C1470" s="68" t="n"/>
      <c r="D1470" s="60" t="n"/>
      <c r="E1470" s="63" t="n"/>
      <c r="F1470" s="63" t="n"/>
      <c r="G1470" s="62" t="str">
        <f>IF(B1470="","",IFERROR(INDEX(fa_cname,MATCH(B1470,fa_num,0))&amp;"",""))</f>
        <v/>
      </c>
      <c r="H1470" s="59" t="str">
        <f>IF(COUNTA(A1470:F1470)=0,"",IF(A1470="","Date manquante",IF(NOT(ISNUMBER(A1470)),"Date invalide",IF(B1470="","N° de facture manquant",IF(ISNA(MATCH(B1470,fa_num,0)),"Facture inconnue",IF(INDEX(fa_type,MATCH(B1470,fa_num,0))="Avoir","Paiement sur un avoir",IF(OR(NOT(ISNUMBER(C1470)),N(C1470)&lt;=0),"Montant invalide",IF(A1470&lt;INDEX(fa_date,MATCH(B1470,fa_num,0)),"Date antérieure à la facture",IF(SUMIF($B$6:B1470,B1470,$C$6:C1470)&gt;INDEX(fa_ttc,MATCH(B1470,fa_num,0))-N(INDEX(fa_avoirs,MATCH(B1470,fa_num,0)))+0.001,"Dépasse le montant de la facture","OK")))))))))</f>
        <v/>
      </c>
    </row>
    <row r="1471">
      <c r="A1471" s="61" t="n"/>
      <c r="B1471" s="60" t="n"/>
      <c r="C1471" s="68" t="n"/>
      <c r="D1471" s="60" t="n"/>
      <c r="E1471" s="63" t="n"/>
      <c r="F1471" s="63" t="n"/>
      <c r="G1471" s="62" t="str">
        <f>IF(B1471="","",IFERROR(INDEX(fa_cname,MATCH(B1471,fa_num,0))&amp;"",""))</f>
        <v/>
      </c>
      <c r="H1471" s="59" t="str">
        <f>IF(COUNTA(A1471:F1471)=0,"",IF(A1471="","Date manquante",IF(NOT(ISNUMBER(A1471)),"Date invalide",IF(B1471="","N° de facture manquant",IF(ISNA(MATCH(B1471,fa_num,0)),"Facture inconnue",IF(INDEX(fa_type,MATCH(B1471,fa_num,0))="Avoir","Paiement sur un avoir",IF(OR(NOT(ISNUMBER(C1471)),N(C1471)&lt;=0),"Montant invalide",IF(A1471&lt;INDEX(fa_date,MATCH(B1471,fa_num,0)),"Date antérieure à la facture",IF(SUMIF($B$6:B1471,B1471,$C$6:C1471)&gt;INDEX(fa_ttc,MATCH(B1471,fa_num,0))-N(INDEX(fa_avoirs,MATCH(B1471,fa_num,0)))+0.001,"Dépasse le montant de la facture","OK")))))))))</f>
        <v/>
      </c>
    </row>
    <row r="1472">
      <c r="A1472" s="61" t="n"/>
      <c r="B1472" s="60" t="n"/>
      <c r="C1472" s="68" t="n"/>
      <c r="D1472" s="60" t="n"/>
      <c r="E1472" s="63" t="n"/>
      <c r="F1472" s="63" t="n"/>
      <c r="G1472" s="62" t="str">
        <f>IF(B1472="","",IFERROR(INDEX(fa_cname,MATCH(B1472,fa_num,0))&amp;"",""))</f>
        <v/>
      </c>
      <c r="H1472" s="59" t="str">
        <f>IF(COUNTA(A1472:F1472)=0,"",IF(A1472="","Date manquante",IF(NOT(ISNUMBER(A1472)),"Date invalide",IF(B1472="","N° de facture manquant",IF(ISNA(MATCH(B1472,fa_num,0)),"Facture inconnue",IF(INDEX(fa_type,MATCH(B1472,fa_num,0))="Avoir","Paiement sur un avoir",IF(OR(NOT(ISNUMBER(C1472)),N(C1472)&lt;=0),"Montant invalide",IF(A1472&lt;INDEX(fa_date,MATCH(B1472,fa_num,0)),"Date antérieure à la facture",IF(SUMIF($B$6:B1472,B1472,$C$6:C1472)&gt;INDEX(fa_ttc,MATCH(B1472,fa_num,0))-N(INDEX(fa_avoirs,MATCH(B1472,fa_num,0)))+0.001,"Dépasse le montant de la facture","OK")))))))))</f>
        <v/>
      </c>
    </row>
    <row r="1473">
      <c r="A1473" s="61" t="n"/>
      <c r="B1473" s="60" t="n"/>
      <c r="C1473" s="68" t="n"/>
      <c r="D1473" s="60" t="n"/>
      <c r="E1473" s="63" t="n"/>
      <c r="F1473" s="63" t="n"/>
      <c r="G1473" s="62" t="str">
        <f>IF(B1473="","",IFERROR(INDEX(fa_cname,MATCH(B1473,fa_num,0))&amp;"",""))</f>
        <v/>
      </c>
      <c r="H1473" s="59" t="str">
        <f>IF(COUNTA(A1473:F1473)=0,"",IF(A1473="","Date manquante",IF(NOT(ISNUMBER(A1473)),"Date invalide",IF(B1473="","N° de facture manquant",IF(ISNA(MATCH(B1473,fa_num,0)),"Facture inconnue",IF(INDEX(fa_type,MATCH(B1473,fa_num,0))="Avoir","Paiement sur un avoir",IF(OR(NOT(ISNUMBER(C1473)),N(C1473)&lt;=0),"Montant invalide",IF(A1473&lt;INDEX(fa_date,MATCH(B1473,fa_num,0)),"Date antérieure à la facture",IF(SUMIF($B$6:B1473,B1473,$C$6:C1473)&gt;INDEX(fa_ttc,MATCH(B1473,fa_num,0))-N(INDEX(fa_avoirs,MATCH(B1473,fa_num,0)))+0.001,"Dépasse le montant de la facture","OK")))))))))</f>
        <v/>
      </c>
    </row>
    <row r="1474">
      <c r="A1474" s="61" t="n"/>
      <c r="B1474" s="60" t="n"/>
      <c r="C1474" s="68" t="n"/>
      <c r="D1474" s="60" t="n"/>
      <c r="E1474" s="63" t="n"/>
      <c r="F1474" s="63" t="n"/>
      <c r="G1474" s="62" t="str">
        <f>IF(B1474="","",IFERROR(INDEX(fa_cname,MATCH(B1474,fa_num,0))&amp;"",""))</f>
        <v/>
      </c>
      <c r="H1474" s="59" t="str">
        <f>IF(COUNTA(A1474:F1474)=0,"",IF(A1474="","Date manquante",IF(NOT(ISNUMBER(A1474)),"Date invalide",IF(B1474="","N° de facture manquant",IF(ISNA(MATCH(B1474,fa_num,0)),"Facture inconnue",IF(INDEX(fa_type,MATCH(B1474,fa_num,0))="Avoir","Paiement sur un avoir",IF(OR(NOT(ISNUMBER(C1474)),N(C1474)&lt;=0),"Montant invalide",IF(A1474&lt;INDEX(fa_date,MATCH(B1474,fa_num,0)),"Date antérieure à la facture",IF(SUMIF($B$6:B1474,B1474,$C$6:C1474)&gt;INDEX(fa_ttc,MATCH(B1474,fa_num,0))-N(INDEX(fa_avoirs,MATCH(B1474,fa_num,0)))+0.001,"Dépasse le montant de la facture","OK")))))))))</f>
        <v/>
      </c>
    </row>
    <row r="1475">
      <c r="A1475" s="61" t="n"/>
      <c r="B1475" s="60" t="n"/>
      <c r="C1475" s="68" t="n"/>
      <c r="D1475" s="60" t="n"/>
      <c r="E1475" s="63" t="n"/>
      <c r="F1475" s="63" t="n"/>
      <c r="G1475" s="62" t="str">
        <f>IF(B1475="","",IFERROR(INDEX(fa_cname,MATCH(B1475,fa_num,0))&amp;"",""))</f>
        <v/>
      </c>
      <c r="H1475" s="59" t="str">
        <f>IF(COUNTA(A1475:F1475)=0,"",IF(A1475="","Date manquante",IF(NOT(ISNUMBER(A1475)),"Date invalide",IF(B1475="","N° de facture manquant",IF(ISNA(MATCH(B1475,fa_num,0)),"Facture inconnue",IF(INDEX(fa_type,MATCH(B1475,fa_num,0))="Avoir","Paiement sur un avoir",IF(OR(NOT(ISNUMBER(C1475)),N(C1475)&lt;=0),"Montant invalide",IF(A1475&lt;INDEX(fa_date,MATCH(B1475,fa_num,0)),"Date antérieure à la facture",IF(SUMIF($B$6:B1475,B1475,$C$6:C1475)&gt;INDEX(fa_ttc,MATCH(B1475,fa_num,0))-N(INDEX(fa_avoirs,MATCH(B1475,fa_num,0)))+0.001,"Dépasse le montant de la facture","OK")))))))))</f>
        <v/>
      </c>
    </row>
    <row r="1476">
      <c r="A1476" s="61" t="n"/>
      <c r="B1476" s="60" t="n"/>
      <c r="C1476" s="68" t="n"/>
      <c r="D1476" s="60" t="n"/>
      <c r="E1476" s="63" t="n"/>
      <c r="F1476" s="63" t="n"/>
      <c r="G1476" s="62" t="str">
        <f>IF(B1476="","",IFERROR(INDEX(fa_cname,MATCH(B1476,fa_num,0))&amp;"",""))</f>
        <v/>
      </c>
      <c r="H1476" s="59" t="str">
        <f>IF(COUNTA(A1476:F1476)=0,"",IF(A1476="","Date manquante",IF(NOT(ISNUMBER(A1476)),"Date invalide",IF(B1476="","N° de facture manquant",IF(ISNA(MATCH(B1476,fa_num,0)),"Facture inconnue",IF(INDEX(fa_type,MATCH(B1476,fa_num,0))="Avoir","Paiement sur un avoir",IF(OR(NOT(ISNUMBER(C1476)),N(C1476)&lt;=0),"Montant invalide",IF(A1476&lt;INDEX(fa_date,MATCH(B1476,fa_num,0)),"Date antérieure à la facture",IF(SUMIF($B$6:B1476,B1476,$C$6:C1476)&gt;INDEX(fa_ttc,MATCH(B1476,fa_num,0))-N(INDEX(fa_avoirs,MATCH(B1476,fa_num,0)))+0.001,"Dépasse le montant de la facture","OK")))))))))</f>
        <v/>
      </c>
    </row>
    <row r="1477">
      <c r="A1477" s="61" t="n"/>
      <c r="B1477" s="60" t="n"/>
      <c r="C1477" s="68" t="n"/>
      <c r="D1477" s="60" t="n"/>
      <c r="E1477" s="63" t="n"/>
      <c r="F1477" s="63" t="n"/>
      <c r="G1477" s="62" t="str">
        <f>IF(B1477="","",IFERROR(INDEX(fa_cname,MATCH(B1477,fa_num,0))&amp;"",""))</f>
        <v/>
      </c>
      <c r="H1477" s="59" t="str">
        <f>IF(COUNTA(A1477:F1477)=0,"",IF(A1477="","Date manquante",IF(NOT(ISNUMBER(A1477)),"Date invalide",IF(B1477="","N° de facture manquant",IF(ISNA(MATCH(B1477,fa_num,0)),"Facture inconnue",IF(INDEX(fa_type,MATCH(B1477,fa_num,0))="Avoir","Paiement sur un avoir",IF(OR(NOT(ISNUMBER(C1477)),N(C1477)&lt;=0),"Montant invalide",IF(A1477&lt;INDEX(fa_date,MATCH(B1477,fa_num,0)),"Date antérieure à la facture",IF(SUMIF($B$6:B1477,B1477,$C$6:C1477)&gt;INDEX(fa_ttc,MATCH(B1477,fa_num,0))-N(INDEX(fa_avoirs,MATCH(B1477,fa_num,0)))+0.001,"Dépasse le montant de la facture","OK")))))))))</f>
        <v/>
      </c>
    </row>
    <row r="1478">
      <c r="A1478" s="61" t="n"/>
      <c r="B1478" s="60" t="n"/>
      <c r="C1478" s="68" t="n"/>
      <c r="D1478" s="60" t="n"/>
      <c r="E1478" s="63" t="n"/>
      <c r="F1478" s="63" t="n"/>
      <c r="G1478" s="62" t="str">
        <f>IF(B1478="","",IFERROR(INDEX(fa_cname,MATCH(B1478,fa_num,0))&amp;"",""))</f>
        <v/>
      </c>
      <c r="H1478" s="59" t="str">
        <f>IF(COUNTA(A1478:F1478)=0,"",IF(A1478="","Date manquante",IF(NOT(ISNUMBER(A1478)),"Date invalide",IF(B1478="","N° de facture manquant",IF(ISNA(MATCH(B1478,fa_num,0)),"Facture inconnue",IF(INDEX(fa_type,MATCH(B1478,fa_num,0))="Avoir","Paiement sur un avoir",IF(OR(NOT(ISNUMBER(C1478)),N(C1478)&lt;=0),"Montant invalide",IF(A1478&lt;INDEX(fa_date,MATCH(B1478,fa_num,0)),"Date antérieure à la facture",IF(SUMIF($B$6:B1478,B1478,$C$6:C1478)&gt;INDEX(fa_ttc,MATCH(B1478,fa_num,0))-N(INDEX(fa_avoirs,MATCH(B1478,fa_num,0)))+0.001,"Dépasse le montant de la facture","OK")))))))))</f>
        <v/>
      </c>
    </row>
    <row r="1479">
      <c r="A1479" s="61" t="n"/>
      <c r="B1479" s="60" t="n"/>
      <c r="C1479" s="68" t="n"/>
      <c r="D1479" s="60" t="n"/>
      <c r="E1479" s="63" t="n"/>
      <c r="F1479" s="63" t="n"/>
      <c r="G1479" s="62" t="str">
        <f>IF(B1479="","",IFERROR(INDEX(fa_cname,MATCH(B1479,fa_num,0))&amp;"",""))</f>
        <v/>
      </c>
      <c r="H1479" s="59" t="str">
        <f>IF(COUNTA(A1479:F1479)=0,"",IF(A1479="","Date manquante",IF(NOT(ISNUMBER(A1479)),"Date invalide",IF(B1479="","N° de facture manquant",IF(ISNA(MATCH(B1479,fa_num,0)),"Facture inconnue",IF(INDEX(fa_type,MATCH(B1479,fa_num,0))="Avoir","Paiement sur un avoir",IF(OR(NOT(ISNUMBER(C1479)),N(C1479)&lt;=0),"Montant invalide",IF(A1479&lt;INDEX(fa_date,MATCH(B1479,fa_num,0)),"Date antérieure à la facture",IF(SUMIF($B$6:B1479,B1479,$C$6:C1479)&gt;INDEX(fa_ttc,MATCH(B1479,fa_num,0))-N(INDEX(fa_avoirs,MATCH(B1479,fa_num,0)))+0.001,"Dépasse le montant de la facture","OK")))))))))</f>
        <v/>
      </c>
    </row>
    <row r="1480">
      <c r="A1480" s="61" t="n"/>
      <c r="B1480" s="60" t="n"/>
      <c r="C1480" s="68" t="n"/>
      <c r="D1480" s="60" t="n"/>
      <c r="E1480" s="63" t="n"/>
      <c r="F1480" s="63" t="n"/>
      <c r="G1480" s="62" t="str">
        <f>IF(B1480="","",IFERROR(INDEX(fa_cname,MATCH(B1480,fa_num,0))&amp;"",""))</f>
        <v/>
      </c>
      <c r="H1480" s="59" t="str">
        <f>IF(COUNTA(A1480:F1480)=0,"",IF(A1480="","Date manquante",IF(NOT(ISNUMBER(A1480)),"Date invalide",IF(B1480="","N° de facture manquant",IF(ISNA(MATCH(B1480,fa_num,0)),"Facture inconnue",IF(INDEX(fa_type,MATCH(B1480,fa_num,0))="Avoir","Paiement sur un avoir",IF(OR(NOT(ISNUMBER(C1480)),N(C1480)&lt;=0),"Montant invalide",IF(A1480&lt;INDEX(fa_date,MATCH(B1480,fa_num,0)),"Date antérieure à la facture",IF(SUMIF($B$6:B1480,B1480,$C$6:C1480)&gt;INDEX(fa_ttc,MATCH(B1480,fa_num,0))-N(INDEX(fa_avoirs,MATCH(B1480,fa_num,0)))+0.001,"Dépasse le montant de la facture","OK")))))))))</f>
        <v/>
      </c>
    </row>
    <row r="1481">
      <c r="A1481" s="61" t="n"/>
      <c r="B1481" s="60" t="n"/>
      <c r="C1481" s="68" t="n"/>
      <c r="D1481" s="60" t="n"/>
      <c r="E1481" s="63" t="n"/>
      <c r="F1481" s="63" t="n"/>
      <c r="G1481" s="62" t="str">
        <f>IF(B1481="","",IFERROR(INDEX(fa_cname,MATCH(B1481,fa_num,0))&amp;"",""))</f>
        <v/>
      </c>
      <c r="H1481" s="59" t="str">
        <f>IF(COUNTA(A1481:F1481)=0,"",IF(A1481="","Date manquante",IF(NOT(ISNUMBER(A1481)),"Date invalide",IF(B1481="","N° de facture manquant",IF(ISNA(MATCH(B1481,fa_num,0)),"Facture inconnue",IF(INDEX(fa_type,MATCH(B1481,fa_num,0))="Avoir","Paiement sur un avoir",IF(OR(NOT(ISNUMBER(C1481)),N(C1481)&lt;=0),"Montant invalide",IF(A1481&lt;INDEX(fa_date,MATCH(B1481,fa_num,0)),"Date antérieure à la facture",IF(SUMIF($B$6:B1481,B1481,$C$6:C1481)&gt;INDEX(fa_ttc,MATCH(B1481,fa_num,0))-N(INDEX(fa_avoirs,MATCH(B1481,fa_num,0)))+0.001,"Dépasse le montant de la facture","OK")))))))))</f>
        <v/>
      </c>
    </row>
    <row r="1482">
      <c r="A1482" s="61" t="n"/>
      <c r="B1482" s="60" t="n"/>
      <c r="C1482" s="68" t="n"/>
      <c r="D1482" s="60" t="n"/>
      <c r="E1482" s="63" t="n"/>
      <c r="F1482" s="63" t="n"/>
      <c r="G1482" s="62" t="str">
        <f>IF(B1482="","",IFERROR(INDEX(fa_cname,MATCH(B1482,fa_num,0))&amp;"",""))</f>
        <v/>
      </c>
      <c r="H1482" s="59" t="str">
        <f>IF(COUNTA(A1482:F1482)=0,"",IF(A1482="","Date manquante",IF(NOT(ISNUMBER(A1482)),"Date invalide",IF(B1482="","N° de facture manquant",IF(ISNA(MATCH(B1482,fa_num,0)),"Facture inconnue",IF(INDEX(fa_type,MATCH(B1482,fa_num,0))="Avoir","Paiement sur un avoir",IF(OR(NOT(ISNUMBER(C1482)),N(C1482)&lt;=0),"Montant invalide",IF(A1482&lt;INDEX(fa_date,MATCH(B1482,fa_num,0)),"Date antérieure à la facture",IF(SUMIF($B$6:B1482,B1482,$C$6:C1482)&gt;INDEX(fa_ttc,MATCH(B1482,fa_num,0))-N(INDEX(fa_avoirs,MATCH(B1482,fa_num,0)))+0.001,"Dépasse le montant de la facture","OK")))))))))</f>
        <v/>
      </c>
    </row>
    <row r="1483">
      <c r="A1483" s="61" t="n"/>
      <c r="B1483" s="60" t="n"/>
      <c r="C1483" s="68" t="n"/>
      <c r="D1483" s="60" t="n"/>
      <c r="E1483" s="63" t="n"/>
      <c r="F1483" s="63" t="n"/>
      <c r="G1483" s="62" t="str">
        <f>IF(B1483="","",IFERROR(INDEX(fa_cname,MATCH(B1483,fa_num,0))&amp;"",""))</f>
        <v/>
      </c>
      <c r="H1483" s="59" t="str">
        <f>IF(COUNTA(A1483:F1483)=0,"",IF(A1483="","Date manquante",IF(NOT(ISNUMBER(A1483)),"Date invalide",IF(B1483="","N° de facture manquant",IF(ISNA(MATCH(B1483,fa_num,0)),"Facture inconnue",IF(INDEX(fa_type,MATCH(B1483,fa_num,0))="Avoir","Paiement sur un avoir",IF(OR(NOT(ISNUMBER(C1483)),N(C1483)&lt;=0),"Montant invalide",IF(A1483&lt;INDEX(fa_date,MATCH(B1483,fa_num,0)),"Date antérieure à la facture",IF(SUMIF($B$6:B1483,B1483,$C$6:C1483)&gt;INDEX(fa_ttc,MATCH(B1483,fa_num,0))-N(INDEX(fa_avoirs,MATCH(B1483,fa_num,0)))+0.001,"Dépasse le montant de la facture","OK")))))))))</f>
        <v/>
      </c>
    </row>
    <row r="1484">
      <c r="A1484" s="61" t="n"/>
      <c r="B1484" s="60" t="n"/>
      <c r="C1484" s="68" t="n"/>
      <c r="D1484" s="60" t="n"/>
      <c r="E1484" s="63" t="n"/>
      <c r="F1484" s="63" t="n"/>
      <c r="G1484" s="62" t="str">
        <f>IF(B1484="","",IFERROR(INDEX(fa_cname,MATCH(B1484,fa_num,0))&amp;"",""))</f>
        <v/>
      </c>
      <c r="H1484" s="59" t="str">
        <f>IF(COUNTA(A1484:F1484)=0,"",IF(A1484="","Date manquante",IF(NOT(ISNUMBER(A1484)),"Date invalide",IF(B1484="","N° de facture manquant",IF(ISNA(MATCH(B1484,fa_num,0)),"Facture inconnue",IF(INDEX(fa_type,MATCH(B1484,fa_num,0))="Avoir","Paiement sur un avoir",IF(OR(NOT(ISNUMBER(C1484)),N(C1484)&lt;=0),"Montant invalide",IF(A1484&lt;INDEX(fa_date,MATCH(B1484,fa_num,0)),"Date antérieure à la facture",IF(SUMIF($B$6:B1484,B1484,$C$6:C1484)&gt;INDEX(fa_ttc,MATCH(B1484,fa_num,0))-N(INDEX(fa_avoirs,MATCH(B1484,fa_num,0)))+0.001,"Dépasse le montant de la facture","OK")))))))))</f>
        <v/>
      </c>
    </row>
    <row r="1485">
      <c r="A1485" s="61" t="n"/>
      <c r="B1485" s="60" t="n"/>
      <c r="C1485" s="68" t="n"/>
      <c r="D1485" s="60" t="n"/>
      <c r="E1485" s="63" t="n"/>
      <c r="F1485" s="63" t="n"/>
      <c r="G1485" s="62" t="str">
        <f>IF(B1485="","",IFERROR(INDEX(fa_cname,MATCH(B1485,fa_num,0))&amp;"",""))</f>
        <v/>
      </c>
      <c r="H1485" s="59" t="str">
        <f>IF(COUNTA(A1485:F1485)=0,"",IF(A1485="","Date manquante",IF(NOT(ISNUMBER(A1485)),"Date invalide",IF(B1485="","N° de facture manquant",IF(ISNA(MATCH(B1485,fa_num,0)),"Facture inconnue",IF(INDEX(fa_type,MATCH(B1485,fa_num,0))="Avoir","Paiement sur un avoir",IF(OR(NOT(ISNUMBER(C1485)),N(C1485)&lt;=0),"Montant invalide",IF(A1485&lt;INDEX(fa_date,MATCH(B1485,fa_num,0)),"Date antérieure à la facture",IF(SUMIF($B$6:B1485,B1485,$C$6:C1485)&gt;INDEX(fa_ttc,MATCH(B1485,fa_num,0))-N(INDEX(fa_avoirs,MATCH(B1485,fa_num,0)))+0.001,"Dépasse le montant de la facture","OK")))))))))</f>
        <v/>
      </c>
    </row>
    <row r="1486">
      <c r="A1486" s="61" t="n"/>
      <c r="B1486" s="60" t="n"/>
      <c r="C1486" s="68" t="n"/>
      <c r="D1486" s="60" t="n"/>
      <c r="E1486" s="63" t="n"/>
      <c r="F1486" s="63" t="n"/>
      <c r="G1486" s="62" t="str">
        <f>IF(B1486="","",IFERROR(INDEX(fa_cname,MATCH(B1486,fa_num,0))&amp;"",""))</f>
        <v/>
      </c>
      <c r="H1486" s="59" t="str">
        <f>IF(COUNTA(A1486:F1486)=0,"",IF(A1486="","Date manquante",IF(NOT(ISNUMBER(A1486)),"Date invalide",IF(B1486="","N° de facture manquant",IF(ISNA(MATCH(B1486,fa_num,0)),"Facture inconnue",IF(INDEX(fa_type,MATCH(B1486,fa_num,0))="Avoir","Paiement sur un avoir",IF(OR(NOT(ISNUMBER(C1486)),N(C1486)&lt;=0),"Montant invalide",IF(A1486&lt;INDEX(fa_date,MATCH(B1486,fa_num,0)),"Date antérieure à la facture",IF(SUMIF($B$6:B1486,B1486,$C$6:C1486)&gt;INDEX(fa_ttc,MATCH(B1486,fa_num,0))-N(INDEX(fa_avoirs,MATCH(B1486,fa_num,0)))+0.001,"Dépasse le montant de la facture","OK")))))))))</f>
        <v/>
      </c>
    </row>
    <row r="1487">
      <c r="A1487" s="61" t="n"/>
      <c r="B1487" s="60" t="n"/>
      <c r="C1487" s="68" t="n"/>
      <c r="D1487" s="60" t="n"/>
      <c r="E1487" s="63" t="n"/>
      <c r="F1487" s="63" t="n"/>
      <c r="G1487" s="62" t="str">
        <f>IF(B1487="","",IFERROR(INDEX(fa_cname,MATCH(B1487,fa_num,0))&amp;"",""))</f>
        <v/>
      </c>
      <c r="H1487" s="59" t="str">
        <f>IF(COUNTA(A1487:F1487)=0,"",IF(A1487="","Date manquante",IF(NOT(ISNUMBER(A1487)),"Date invalide",IF(B1487="","N° de facture manquant",IF(ISNA(MATCH(B1487,fa_num,0)),"Facture inconnue",IF(INDEX(fa_type,MATCH(B1487,fa_num,0))="Avoir","Paiement sur un avoir",IF(OR(NOT(ISNUMBER(C1487)),N(C1487)&lt;=0),"Montant invalide",IF(A1487&lt;INDEX(fa_date,MATCH(B1487,fa_num,0)),"Date antérieure à la facture",IF(SUMIF($B$6:B1487,B1487,$C$6:C1487)&gt;INDEX(fa_ttc,MATCH(B1487,fa_num,0))-N(INDEX(fa_avoirs,MATCH(B1487,fa_num,0)))+0.001,"Dépasse le montant de la facture","OK")))))))))</f>
        <v/>
      </c>
    </row>
    <row r="1488">
      <c r="A1488" s="61" t="n"/>
      <c r="B1488" s="60" t="n"/>
      <c r="C1488" s="68" t="n"/>
      <c r="D1488" s="60" t="n"/>
      <c r="E1488" s="63" t="n"/>
      <c r="F1488" s="63" t="n"/>
      <c r="G1488" s="62" t="str">
        <f>IF(B1488="","",IFERROR(INDEX(fa_cname,MATCH(B1488,fa_num,0))&amp;"",""))</f>
        <v/>
      </c>
      <c r="H1488" s="59" t="str">
        <f>IF(COUNTA(A1488:F1488)=0,"",IF(A1488="","Date manquante",IF(NOT(ISNUMBER(A1488)),"Date invalide",IF(B1488="","N° de facture manquant",IF(ISNA(MATCH(B1488,fa_num,0)),"Facture inconnue",IF(INDEX(fa_type,MATCH(B1488,fa_num,0))="Avoir","Paiement sur un avoir",IF(OR(NOT(ISNUMBER(C1488)),N(C1488)&lt;=0),"Montant invalide",IF(A1488&lt;INDEX(fa_date,MATCH(B1488,fa_num,0)),"Date antérieure à la facture",IF(SUMIF($B$6:B1488,B1488,$C$6:C1488)&gt;INDEX(fa_ttc,MATCH(B1488,fa_num,0))-N(INDEX(fa_avoirs,MATCH(B1488,fa_num,0)))+0.001,"Dépasse le montant de la facture","OK")))))))))</f>
        <v/>
      </c>
    </row>
    <row r="1489">
      <c r="A1489" s="61" t="n"/>
      <c r="B1489" s="60" t="n"/>
      <c r="C1489" s="68" t="n"/>
      <c r="D1489" s="60" t="n"/>
      <c r="E1489" s="63" t="n"/>
      <c r="F1489" s="63" t="n"/>
      <c r="G1489" s="62" t="str">
        <f>IF(B1489="","",IFERROR(INDEX(fa_cname,MATCH(B1489,fa_num,0))&amp;"",""))</f>
        <v/>
      </c>
      <c r="H1489" s="59" t="str">
        <f>IF(COUNTA(A1489:F1489)=0,"",IF(A1489="","Date manquante",IF(NOT(ISNUMBER(A1489)),"Date invalide",IF(B1489="","N° de facture manquant",IF(ISNA(MATCH(B1489,fa_num,0)),"Facture inconnue",IF(INDEX(fa_type,MATCH(B1489,fa_num,0))="Avoir","Paiement sur un avoir",IF(OR(NOT(ISNUMBER(C1489)),N(C1489)&lt;=0),"Montant invalide",IF(A1489&lt;INDEX(fa_date,MATCH(B1489,fa_num,0)),"Date antérieure à la facture",IF(SUMIF($B$6:B1489,B1489,$C$6:C1489)&gt;INDEX(fa_ttc,MATCH(B1489,fa_num,0))-N(INDEX(fa_avoirs,MATCH(B1489,fa_num,0)))+0.001,"Dépasse le montant de la facture","OK")))))))))</f>
        <v/>
      </c>
    </row>
    <row r="1490">
      <c r="A1490" s="61" t="n"/>
      <c r="B1490" s="60" t="n"/>
      <c r="C1490" s="68" t="n"/>
      <c r="D1490" s="60" t="n"/>
      <c r="E1490" s="63" t="n"/>
      <c r="F1490" s="63" t="n"/>
      <c r="G1490" s="62" t="str">
        <f>IF(B1490="","",IFERROR(INDEX(fa_cname,MATCH(B1490,fa_num,0))&amp;"",""))</f>
        <v/>
      </c>
      <c r="H1490" s="59" t="str">
        <f>IF(COUNTA(A1490:F1490)=0,"",IF(A1490="","Date manquante",IF(NOT(ISNUMBER(A1490)),"Date invalide",IF(B1490="","N° de facture manquant",IF(ISNA(MATCH(B1490,fa_num,0)),"Facture inconnue",IF(INDEX(fa_type,MATCH(B1490,fa_num,0))="Avoir","Paiement sur un avoir",IF(OR(NOT(ISNUMBER(C1490)),N(C1490)&lt;=0),"Montant invalide",IF(A1490&lt;INDEX(fa_date,MATCH(B1490,fa_num,0)),"Date antérieure à la facture",IF(SUMIF($B$6:B1490,B1490,$C$6:C1490)&gt;INDEX(fa_ttc,MATCH(B1490,fa_num,0))-N(INDEX(fa_avoirs,MATCH(B1490,fa_num,0)))+0.001,"Dépasse le montant de la facture","OK")))))))))</f>
        <v/>
      </c>
    </row>
    <row r="1491">
      <c r="A1491" s="61" t="n"/>
      <c r="B1491" s="60" t="n"/>
      <c r="C1491" s="68" t="n"/>
      <c r="D1491" s="60" t="n"/>
      <c r="E1491" s="63" t="n"/>
      <c r="F1491" s="63" t="n"/>
      <c r="G1491" s="62" t="str">
        <f>IF(B1491="","",IFERROR(INDEX(fa_cname,MATCH(B1491,fa_num,0))&amp;"",""))</f>
        <v/>
      </c>
      <c r="H1491" s="59" t="str">
        <f>IF(COUNTA(A1491:F1491)=0,"",IF(A1491="","Date manquante",IF(NOT(ISNUMBER(A1491)),"Date invalide",IF(B1491="","N° de facture manquant",IF(ISNA(MATCH(B1491,fa_num,0)),"Facture inconnue",IF(INDEX(fa_type,MATCH(B1491,fa_num,0))="Avoir","Paiement sur un avoir",IF(OR(NOT(ISNUMBER(C1491)),N(C1491)&lt;=0),"Montant invalide",IF(A1491&lt;INDEX(fa_date,MATCH(B1491,fa_num,0)),"Date antérieure à la facture",IF(SUMIF($B$6:B1491,B1491,$C$6:C1491)&gt;INDEX(fa_ttc,MATCH(B1491,fa_num,0))-N(INDEX(fa_avoirs,MATCH(B1491,fa_num,0)))+0.001,"Dépasse le montant de la facture","OK")))))))))</f>
        <v/>
      </c>
    </row>
    <row r="1492">
      <c r="A1492" s="61" t="n"/>
      <c r="B1492" s="60" t="n"/>
      <c r="C1492" s="68" t="n"/>
      <c r="D1492" s="60" t="n"/>
      <c r="E1492" s="63" t="n"/>
      <c r="F1492" s="63" t="n"/>
      <c r="G1492" s="62" t="str">
        <f>IF(B1492="","",IFERROR(INDEX(fa_cname,MATCH(B1492,fa_num,0))&amp;"",""))</f>
        <v/>
      </c>
      <c r="H1492" s="59" t="str">
        <f>IF(COUNTA(A1492:F1492)=0,"",IF(A1492="","Date manquante",IF(NOT(ISNUMBER(A1492)),"Date invalide",IF(B1492="","N° de facture manquant",IF(ISNA(MATCH(B1492,fa_num,0)),"Facture inconnue",IF(INDEX(fa_type,MATCH(B1492,fa_num,0))="Avoir","Paiement sur un avoir",IF(OR(NOT(ISNUMBER(C1492)),N(C1492)&lt;=0),"Montant invalide",IF(A1492&lt;INDEX(fa_date,MATCH(B1492,fa_num,0)),"Date antérieure à la facture",IF(SUMIF($B$6:B1492,B1492,$C$6:C1492)&gt;INDEX(fa_ttc,MATCH(B1492,fa_num,0))-N(INDEX(fa_avoirs,MATCH(B1492,fa_num,0)))+0.001,"Dépasse le montant de la facture","OK")))))))))</f>
        <v/>
      </c>
    </row>
    <row r="1493">
      <c r="A1493" s="61" t="n"/>
      <c r="B1493" s="60" t="n"/>
      <c r="C1493" s="68" t="n"/>
      <c r="D1493" s="60" t="n"/>
      <c r="E1493" s="63" t="n"/>
      <c r="F1493" s="63" t="n"/>
      <c r="G1493" s="62" t="str">
        <f>IF(B1493="","",IFERROR(INDEX(fa_cname,MATCH(B1493,fa_num,0))&amp;"",""))</f>
        <v/>
      </c>
      <c r="H1493" s="59" t="str">
        <f>IF(COUNTA(A1493:F1493)=0,"",IF(A1493="","Date manquante",IF(NOT(ISNUMBER(A1493)),"Date invalide",IF(B1493="","N° de facture manquant",IF(ISNA(MATCH(B1493,fa_num,0)),"Facture inconnue",IF(INDEX(fa_type,MATCH(B1493,fa_num,0))="Avoir","Paiement sur un avoir",IF(OR(NOT(ISNUMBER(C1493)),N(C1493)&lt;=0),"Montant invalide",IF(A1493&lt;INDEX(fa_date,MATCH(B1493,fa_num,0)),"Date antérieure à la facture",IF(SUMIF($B$6:B1493,B1493,$C$6:C1493)&gt;INDEX(fa_ttc,MATCH(B1493,fa_num,0))-N(INDEX(fa_avoirs,MATCH(B1493,fa_num,0)))+0.001,"Dépasse le montant de la facture","OK")))))))))</f>
        <v/>
      </c>
    </row>
    <row r="1494">
      <c r="A1494" s="61" t="n"/>
      <c r="B1494" s="60" t="n"/>
      <c r="C1494" s="68" t="n"/>
      <c r="D1494" s="60" t="n"/>
      <c r="E1494" s="63" t="n"/>
      <c r="F1494" s="63" t="n"/>
      <c r="G1494" s="62" t="str">
        <f>IF(B1494="","",IFERROR(INDEX(fa_cname,MATCH(B1494,fa_num,0))&amp;"",""))</f>
        <v/>
      </c>
      <c r="H1494" s="59" t="str">
        <f>IF(COUNTA(A1494:F1494)=0,"",IF(A1494="","Date manquante",IF(NOT(ISNUMBER(A1494)),"Date invalide",IF(B1494="","N° de facture manquant",IF(ISNA(MATCH(B1494,fa_num,0)),"Facture inconnue",IF(INDEX(fa_type,MATCH(B1494,fa_num,0))="Avoir","Paiement sur un avoir",IF(OR(NOT(ISNUMBER(C1494)),N(C1494)&lt;=0),"Montant invalide",IF(A1494&lt;INDEX(fa_date,MATCH(B1494,fa_num,0)),"Date antérieure à la facture",IF(SUMIF($B$6:B1494,B1494,$C$6:C1494)&gt;INDEX(fa_ttc,MATCH(B1494,fa_num,0))-N(INDEX(fa_avoirs,MATCH(B1494,fa_num,0)))+0.001,"Dépasse le montant de la facture","OK")))))))))</f>
        <v/>
      </c>
    </row>
    <row r="1495">
      <c r="A1495" s="61" t="n"/>
      <c r="B1495" s="60" t="n"/>
      <c r="C1495" s="68" t="n"/>
      <c r="D1495" s="60" t="n"/>
      <c r="E1495" s="63" t="n"/>
      <c r="F1495" s="63" t="n"/>
      <c r="G1495" s="62" t="str">
        <f>IF(B1495="","",IFERROR(INDEX(fa_cname,MATCH(B1495,fa_num,0))&amp;"",""))</f>
        <v/>
      </c>
      <c r="H1495" s="59" t="str">
        <f>IF(COUNTA(A1495:F1495)=0,"",IF(A1495="","Date manquante",IF(NOT(ISNUMBER(A1495)),"Date invalide",IF(B1495="","N° de facture manquant",IF(ISNA(MATCH(B1495,fa_num,0)),"Facture inconnue",IF(INDEX(fa_type,MATCH(B1495,fa_num,0))="Avoir","Paiement sur un avoir",IF(OR(NOT(ISNUMBER(C1495)),N(C1495)&lt;=0),"Montant invalide",IF(A1495&lt;INDEX(fa_date,MATCH(B1495,fa_num,0)),"Date antérieure à la facture",IF(SUMIF($B$6:B1495,B1495,$C$6:C1495)&gt;INDEX(fa_ttc,MATCH(B1495,fa_num,0))-N(INDEX(fa_avoirs,MATCH(B1495,fa_num,0)))+0.001,"Dépasse le montant de la facture","OK")))))))))</f>
        <v/>
      </c>
    </row>
    <row r="1496">
      <c r="A1496" s="61" t="n"/>
      <c r="B1496" s="60" t="n"/>
      <c r="C1496" s="68" t="n"/>
      <c r="D1496" s="60" t="n"/>
      <c r="E1496" s="63" t="n"/>
      <c r="F1496" s="63" t="n"/>
      <c r="G1496" s="62" t="str">
        <f>IF(B1496="","",IFERROR(INDEX(fa_cname,MATCH(B1496,fa_num,0))&amp;"",""))</f>
        <v/>
      </c>
      <c r="H1496" s="59" t="str">
        <f>IF(COUNTA(A1496:F1496)=0,"",IF(A1496="","Date manquante",IF(NOT(ISNUMBER(A1496)),"Date invalide",IF(B1496="","N° de facture manquant",IF(ISNA(MATCH(B1496,fa_num,0)),"Facture inconnue",IF(INDEX(fa_type,MATCH(B1496,fa_num,0))="Avoir","Paiement sur un avoir",IF(OR(NOT(ISNUMBER(C1496)),N(C1496)&lt;=0),"Montant invalide",IF(A1496&lt;INDEX(fa_date,MATCH(B1496,fa_num,0)),"Date antérieure à la facture",IF(SUMIF($B$6:B1496,B1496,$C$6:C1496)&gt;INDEX(fa_ttc,MATCH(B1496,fa_num,0))-N(INDEX(fa_avoirs,MATCH(B1496,fa_num,0)))+0.001,"Dépasse le montant de la facture","OK")))))))))</f>
        <v/>
      </c>
    </row>
    <row r="1497">
      <c r="A1497" s="61" t="n"/>
      <c r="B1497" s="60" t="n"/>
      <c r="C1497" s="68" t="n"/>
      <c r="D1497" s="60" t="n"/>
      <c r="E1497" s="63" t="n"/>
      <c r="F1497" s="63" t="n"/>
      <c r="G1497" s="62" t="str">
        <f>IF(B1497="","",IFERROR(INDEX(fa_cname,MATCH(B1497,fa_num,0))&amp;"",""))</f>
        <v/>
      </c>
      <c r="H1497" s="59" t="str">
        <f>IF(COUNTA(A1497:F1497)=0,"",IF(A1497="","Date manquante",IF(NOT(ISNUMBER(A1497)),"Date invalide",IF(B1497="","N° de facture manquant",IF(ISNA(MATCH(B1497,fa_num,0)),"Facture inconnue",IF(INDEX(fa_type,MATCH(B1497,fa_num,0))="Avoir","Paiement sur un avoir",IF(OR(NOT(ISNUMBER(C1497)),N(C1497)&lt;=0),"Montant invalide",IF(A1497&lt;INDEX(fa_date,MATCH(B1497,fa_num,0)),"Date antérieure à la facture",IF(SUMIF($B$6:B1497,B1497,$C$6:C1497)&gt;INDEX(fa_ttc,MATCH(B1497,fa_num,0))-N(INDEX(fa_avoirs,MATCH(B1497,fa_num,0)))+0.001,"Dépasse le montant de la facture","OK")))))))))</f>
        <v/>
      </c>
    </row>
    <row r="1498">
      <c r="A1498" s="61" t="n"/>
      <c r="B1498" s="60" t="n"/>
      <c r="C1498" s="68" t="n"/>
      <c r="D1498" s="60" t="n"/>
      <c r="E1498" s="63" t="n"/>
      <c r="F1498" s="63" t="n"/>
      <c r="G1498" s="62" t="str">
        <f>IF(B1498="","",IFERROR(INDEX(fa_cname,MATCH(B1498,fa_num,0))&amp;"",""))</f>
        <v/>
      </c>
      <c r="H1498" s="59" t="str">
        <f>IF(COUNTA(A1498:F1498)=0,"",IF(A1498="","Date manquante",IF(NOT(ISNUMBER(A1498)),"Date invalide",IF(B1498="","N° de facture manquant",IF(ISNA(MATCH(B1498,fa_num,0)),"Facture inconnue",IF(INDEX(fa_type,MATCH(B1498,fa_num,0))="Avoir","Paiement sur un avoir",IF(OR(NOT(ISNUMBER(C1498)),N(C1498)&lt;=0),"Montant invalide",IF(A1498&lt;INDEX(fa_date,MATCH(B1498,fa_num,0)),"Date antérieure à la facture",IF(SUMIF($B$6:B1498,B1498,$C$6:C1498)&gt;INDEX(fa_ttc,MATCH(B1498,fa_num,0))-N(INDEX(fa_avoirs,MATCH(B1498,fa_num,0)))+0.001,"Dépasse le montant de la facture","OK")))))))))</f>
        <v/>
      </c>
    </row>
    <row r="1499">
      <c r="A1499" s="61" t="n"/>
      <c r="B1499" s="60" t="n"/>
      <c r="C1499" s="68" t="n"/>
      <c r="D1499" s="60" t="n"/>
      <c r="E1499" s="63" t="n"/>
      <c r="F1499" s="63" t="n"/>
      <c r="G1499" s="62" t="str">
        <f>IF(B1499="","",IFERROR(INDEX(fa_cname,MATCH(B1499,fa_num,0))&amp;"",""))</f>
        <v/>
      </c>
      <c r="H1499" s="59" t="str">
        <f>IF(COUNTA(A1499:F1499)=0,"",IF(A1499="","Date manquante",IF(NOT(ISNUMBER(A1499)),"Date invalide",IF(B1499="","N° de facture manquant",IF(ISNA(MATCH(B1499,fa_num,0)),"Facture inconnue",IF(INDEX(fa_type,MATCH(B1499,fa_num,0))="Avoir","Paiement sur un avoir",IF(OR(NOT(ISNUMBER(C1499)),N(C1499)&lt;=0),"Montant invalide",IF(A1499&lt;INDEX(fa_date,MATCH(B1499,fa_num,0)),"Date antérieure à la facture",IF(SUMIF($B$6:B1499,B1499,$C$6:C1499)&gt;INDEX(fa_ttc,MATCH(B1499,fa_num,0))-N(INDEX(fa_avoirs,MATCH(B1499,fa_num,0)))+0.001,"Dépasse le montant de la facture","OK")))))))))</f>
        <v/>
      </c>
    </row>
    <row r="1500">
      <c r="A1500" s="61" t="n"/>
      <c r="B1500" s="60" t="n"/>
      <c r="C1500" s="68" t="n"/>
      <c r="D1500" s="60" t="n"/>
      <c r="E1500" s="63" t="n"/>
      <c r="F1500" s="63" t="n"/>
      <c r="G1500" s="62" t="str">
        <f>IF(B1500="","",IFERROR(INDEX(fa_cname,MATCH(B1500,fa_num,0))&amp;"",""))</f>
        <v/>
      </c>
      <c r="H1500" s="59" t="str">
        <f>IF(COUNTA(A1500:F1500)=0,"",IF(A1500="","Date manquante",IF(NOT(ISNUMBER(A1500)),"Date invalide",IF(B1500="","N° de facture manquant",IF(ISNA(MATCH(B1500,fa_num,0)),"Facture inconnue",IF(INDEX(fa_type,MATCH(B1500,fa_num,0))="Avoir","Paiement sur un avoir",IF(OR(NOT(ISNUMBER(C1500)),N(C1500)&lt;=0),"Montant invalide",IF(A1500&lt;INDEX(fa_date,MATCH(B1500,fa_num,0)),"Date antérieure à la facture",IF(SUMIF($B$6:B1500,B1500,$C$6:C1500)&gt;INDEX(fa_ttc,MATCH(B1500,fa_num,0))-N(INDEX(fa_avoirs,MATCH(B1500,fa_num,0)))+0.001,"Dépasse le montant de la facture","OK")))))))))</f>
        <v/>
      </c>
    </row>
    <row r="1501">
      <c r="A1501" s="61" t="n"/>
      <c r="B1501" s="60" t="n"/>
      <c r="C1501" s="68" t="n"/>
      <c r="D1501" s="60" t="n"/>
      <c r="E1501" s="63" t="n"/>
      <c r="F1501" s="63" t="n"/>
      <c r="G1501" s="62" t="str">
        <f>IF(B1501="","",IFERROR(INDEX(fa_cname,MATCH(B1501,fa_num,0))&amp;"",""))</f>
        <v/>
      </c>
      <c r="H1501" s="59" t="str">
        <f>IF(COUNTA(A1501:F1501)=0,"",IF(A1501="","Date manquante",IF(NOT(ISNUMBER(A1501)),"Date invalide",IF(B1501="","N° de facture manquant",IF(ISNA(MATCH(B1501,fa_num,0)),"Facture inconnue",IF(INDEX(fa_type,MATCH(B1501,fa_num,0))="Avoir","Paiement sur un avoir",IF(OR(NOT(ISNUMBER(C1501)),N(C1501)&lt;=0),"Montant invalide",IF(A1501&lt;INDEX(fa_date,MATCH(B1501,fa_num,0)),"Date antérieure à la facture",IF(SUMIF($B$6:B1501,B1501,$C$6:C1501)&gt;INDEX(fa_ttc,MATCH(B1501,fa_num,0))-N(INDEX(fa_avoirs,MATCH(B1501,fa_num,0)))+0.001,"Dépasse le montant de la facture","OK")))))))))</f>
        <v/>
      </c>
    </row>
    <row r="1502">
      <c r="A1502" s="61" t="n"/>
      <c r="B1502" s="60" t="n"/>
      <c r="C1502" s="68" t="n"/>
      <c r="D1502" s="60" t="n"/>
      <c r="E1502" s="63" t="n"/>
      <c r="F1502" s="63" t="n"/>
      <c r="G1502" s="62" t="str">
        <f>IF(B1502="","",IFERROR(INDEX(fa_cname,MATCH(B1502,fa_num,0))&amp;"",""))</f>
        <v/>
      </c>
      <c r="H1502" s="59" t="str">
        <f>IF(COUNTA(A1502:F1502)=0,"",IF(A1502="","Date manquante",IF(NOT(ISNUMBER(A1502)),"Date invalide",IF(B1502="","N° de facture manquant",IF(ISNA(MATCH(B1502,fa_num,0)),"Facture inconnue",IF(INDEX(fa_type,MATCH(B1502,fa_num,0))="Avoir","Paiement sur un avoir",IF(OR(NOT(ISNUMBER(C1502)),N(C1502)&lt;=0),"Montant invalide",IF(A1502&lt;INDEX(fa_date,MATCH(B1502,fa_num,0)),"Date antérieure à la facture",IF(SUMIF($B$6:B1502,B1502,$C$6:C1502)&gt;INDEX(fa_ttc,MATCH(B1502,fa_num,0))-N(INDEX(fa_avoirs,MATCH(B1502,fa_num,0)))+0.001,"Dépasse le montant de la facture","OK")))))))))</f>
        <v/>
      </c>
    </row>
    <row r="1503">
      <c r="A1503" s="61" t="n"/>
      <c r="B1503" s="60" t="n"/>
      <c r="C1503" s="68" t="n"/>
      <c r="D1503" s="60" t="n"/>
      <c r="E1503" s="63" t="n"/>
      <c r="F1503" s="63" t="n"/>
      <c r="G1503" s="62" t="str">
        <f>IF(B1503="","",IFERROR(INDEX(fa_cname,MATCH(B1503,fa_num,0))&amp;"",""))</f>
        <v/>
      </c>
      <c r="H1503" s="59" t="str">
        <f>IF(COUNTA(A1503:F1503)=0,"",IF(A1503="","Date manquante",IF(NOT(ISNUMBER(A1503)),"Date invalide",IF(B1503="","N° de facture manquant",IF(ISNA(MATCH(B1503,fa_num,0)),"Facture inconnue",IF(INDEX(fa_type,MATCH(B1503,fa_num,0))="Avoir","Paiement sur un avoir",IF(OR(NOT(ISNUMBER(C1503)),N(C1503)&lt;=0),"Montant invalide",IF(A1503&lt;INDEX(fa_date,MATCH(B1503,fa_num,0)),"Date antérieure à la facture",IF(SUMIF($B$6:B1503,B1503,$C$6:C1503)&gt;INDEX(fa_ttc,MATCH(B1503,fa_num,0))-N(INDEX(fa_avoirs,MATCH(B1503,fa_num,0)))+0.001,"Dépasse le montant de la facture","OK")))))))))</f>
        <v/>
      </c>
    </row>
    <row r="1504">
      <c r="A1504" s="61" t="n"/>
      <c r="B1504" s="60" t="n"/>
      <c r="C1504" s="68" t="n"/>
      <c r="D1504" s="60" t="n"/>
      <c r="E1504" s="63" t="n"/>
      <c r="F1504" s="63" t="n"/>
      <c r="G1504" s="62" t="str">
        <f>IF(B1504="","",IFERROR(INDEX(fa_cname,MATCH(B1504,fa_num,0))&amp;"",""))</f>
        <v/>
      </c>
      <c r="H1504" s="59" t="str">
        <f>IF(COUNTA(A1504:F1504)=0,"",IF(A1504="","Date manquante",IF(NOT(ISNUMBER(A1504)),"Date invalide",IF(B1504="","N° de facture manquant",IF(ISNA(MATCH(B1504,fa_num,0)),"Facture inconnue",IF(INDEX(fa_type,MATCH(B1504,fa_num,0))="Avoir","Paiement sur un avoir",IF(OR(NOT(ISNUMBER(C1504)),N(C1504)&lt;=0),"Montant invalide",IF(A1504&lt;INDEX(fa_date,MATCH(B1504,fa_num,0)),"Date antérieure à la facture",IF(SUMIF($B$6:B1504,B1504,$C$6:C1504)&gt;INDEX(fa_ttc,MATCH(B1504,fa_num,0))-N(INDEX(fa_avoirs,MATCH(B1504,fa_num,0)))+0.001,"Dépasse le montant de la facture","OK")))))))))</f>
        <v/>
      </c>
    </row>
    <row r="1505">
      <c r="A1505" s="61" t="n"/>
      <c r="B1505" s="60" t="n"/>
      <c r="C1505" s="68" t="n"/>
      <c r="D1505" s="60" t="n"/>
      <c r="E1505" s="63" t="n"/>
      <c r="F1505" s="63" t="n"/>
      <c r="G1505" s="62" t="str">
        <f>IF(B1505="","",IFERROR(INDEX(fa_cname,MATCH(B1505,fa_num,0))&amp;"",""))</f>
        <v/>
      </c>
      <c r="H1505" s="59" t="str">
        <f>IF(COUNTA(A1505:F1505)=0,"",IF(A1505="","Date manquante",IF(NOT(ISNUMBER(A1505)),"Date invalide",IF(B1505="","N° de facture manquant",IF(ISNA(MATCH(B1505,fa_num,0)),"Facture inconnue",IF(INDEX(fa_type,MATCH(B1505,fa_num,0))="Avoir","Paiement sur un avoir",IF(OR(NOT(ISNUMBER(C1505)),N(C1505)&lt;=0),"Montant invalide",IF(A1505&lt;INDEX(fa_date,MATCH(B1505,fa_num,0)),"Date antérieure à la facture",IF(SUMIF($B$6:B1505,B1505,$C$6:C1505)&gt;INDEX(fa_ttc,MATCH(B1505,fa_num,0))-N(INDEX(fa_avoirs,MATCH(B1505,fa_num,0)))+0.001,"Dépasse le montant de la facture","OK")))))))))</f>
        <v/>
      </c>
    </row>
  </sheetData>
  <autoFilter ref="A5:H1505"/>
  <conditionalFormatting sqref="H6:H1505">
    <cfRule type="expression" priority="1" dxfId="11">
      <formula>$H6="OK"</formula>
    </cfRule>
    <cfRule type="expression" priority="2" dxfId="4">
      <formula>AND($H6&lt;&gt;"",$H6&lt;&gt;"OK")</formula>
    </cfRule>
  </conditionalFormatting>
  <conditionalFormatting sqref="C6:C1505">
    <cfRule type="expression" priority="3" dxfId="5">
      <formula>p_currency="MAD"</formula>
    </cfRule>
    <cfRule type="expression" priority="4" dxfId="6">
      <formula>p_currency="EUR"</formula>
    </cfRule>
    <cfRule type="expression" priority="5" dxfId="7">
      <formula>p_currency="USD"</formula>
    </cfRule>
  </conditionalFormatting>
  <dataValidations count="6">
    <dataValidation sqref="A6:A1505" showDropDown="0" showInputMessage="1" showErrorMessage="1" allowBlank="1" errorTitle="Date d'encaissement" error="Date à laquelle l'argent est reçu (virement crédité, chèque encaissé)." promptTitle="Date d'encaissement" prompt="Date à laquelle l'argent est reçu (virement crédité, chèque encaissé)." type="date" operator="between">
      <formula1>36526</formula1>
      <formula2>73051</formula2>
    </dataValidation>
    <dataValidation sqref="B6:B1505" showDropDown="0" showInputMessage="1" showErrorMessage="1" allowBlank="1" errorTitle="Facture" error="Choisissez la facture réglée. Un règlement de plusieurs factures se saisit sur plusieurs lignes." promptTitle="Facture" prompt="Choisissez la facture réglée. Un règlement de plusieurs factures se saisit sur plusieurs lignes." type="list">
      <formula1>=fa_num</formula1>
    </dataValidation>
    <dataValidation sqref="C6:C1505" showDropDown="0" showInputMessage="1" showErrorMessage="1" allowBlank="1" errorTitle="Montant" error="Montant reçu, supérieur à zéro." promptTitle="Montant" prompt="Montant reçu, supérieur à zéro." type="decimal" operator="greaterThan">
      <formula1>0</formula1>
    </dataValidation>
    <dataValidation sqref="D6:D1505" showDropDown="0" showInputMessage="1" showErrorMessage="1" allowBlank="1" errorTitle="Mode" error="Virement, chèque, effet de commerce, espèces..." promptTitle="Mode" prompt="Virement, chèque, effet de commerce, espèces..." type="list">
      <formula1>"Virement,Chèque,Effet de commerce,Espèces,Carte bancaire,Prélèvement,Compensation"</formula1>
    </dataValidation>
    <dataValidation sqref="E6:E1505" showDropDown="0" showInputMessage="1" showErrorMessage="1" allowBlank="1" errorTitle="Référence" error="60 caractères au maximum." promptTitle="Référence" prompt="N° de chèque, d'effet ou de virement." type="textLength" operator="lessThanOrEqual">
      <formula1>60</formula1>
    </dataValidation>
    <dataValidation sqref="F6:F1505" showDropDown="0" showInputMessage="1" showErrorMessage="1" allowBlank="1" errorTitle="Commentaire" error="200 caractères au maximum." promptTitle="Commentaire" prompt="Texte libre." type="textLength" operator="lessThanOrEqual">
      <formula1>200</formula1>
    </dataValidation>
  </dataValidations>
  <hyperlinks>
    <hyperlink ref="H1" location="'Mode d''emploi'!A1"/>
  </hyperlinks>
  <printOptions horizontalCentered="1"/>
  <pageMargins left="0.4" right="0.4" top="0.5" bottom="0.5" header="0.5" footer="0.5"/>
  <pageSetup orientation="landscape" paperSize="9" fitToHeight="0" fitToWidth="1"/>
</worksheet>
</file>

<file path=xl/worksheets/sheet6.xml><?xml version="1.0" encoding="utf-8"?>
<worksheet xmlns="http://schemas.openxmlformats.org/spreadsheetml/2006/main">
  <sheetPr>
    <tabColor rgb="FFBE185D"/>
    <outlinePr summaryBelow="1" summaryRight="1"/>
    <pageSetUpPr fitToPage="1"/>
  </sheetPr>
  <dimension ref="A1:M831"/>
  <sheetViews>
    <sheetView showGridLines="0" tabSelected="0" zoomScale="100" workbookViewId="0">
      <pane ySplit="4" topLeftCell="A5" activePane="bottomLeft" state="frozen"/>
      <selection pane="bottomLeft" activeCell="A1" sqref="A1"/>
    </sheetView>
  </sheetViews>
  <sheetFormatPr baseColWidth="8" defaultRowHeight="15"/>
  <cols>
    <col width="2" customWidth="1" min="1" max="1"/>
    <col width="16" customWidth="1" min="2" max="2"/>
    <col width="26" customWidth="1" min="3" max="3"/>
    <col width="14" customWidth="1" min="4" max="4"/>
    <col width="14" customWidth="1" min="5" max="5"/>
    <col width="14" customWidth="1" min="6" max="6"/>
    <col width="14" customWidth="1" min="7" max="7"/>
    <col width="14" customWidth="1" min="8" max="8"/>
    <col width="14" customWidth="1" min="9" max="9"/>
    <col width="12" customWidth="1" min="10" max="10"/>
    <col width="12" customWidth="1" min="11" max="11"/>
    <col width="36" customWidth="1" min="12" max="12"/>
    <col hidden="1" width="6" customWidth="1" min="13" max="13"/>
  </cols>
  <sheetData>
    <row r="1" ht="38" customHeight="1">
      <c r="A1" s="1" t="n"/>
      <c r="B1" s="2" t="inlineStr">
        <is>
          <t>Suivi des impayés</t>
        </is>
      </c>
      <c r="C1" s="1" t="n"/>
      <c r="D1" s="1" t="n"/>
      <c r="E1" s="1" t="n"/>
      <c r="F1" s="1" t="n"/>
      <c r="G1" s="1" t="n"/>
      <c r="H1" s="1" t="n"/>
      <c r="I1" s="1" t="n"/>
      <c r="J1" s="1" t="n"/>
      <c r="K1" s="1" t="n"/>
      <c r="L1" s="18" t="inlineStr">
        <is>
          <t>⌂ Mode d'emploi</t>
        </is>
      </c>
    </row>
    <row r="2" ht="22" customHeight="1">
      <c r="A2" s="3" t="n"/>
      <c r="B2" s="4" t="inlineStr">
        <is>
          <t>Balance âgée et liste des factures à encaisser, de la plus en retard à la plus récente.</t>
        </is>
      </c>
      <c r="C2" s="3" t="n"/>
      <c r="D2" s="3" t="n"/>
      <c r="E2" s="3" t="n"/>
      <c r="F2" s="3" t="n"/>
      <c r="G2" s="3" t="n"/>
      <c r="H2" s="3" t="n"/>
      <c r="I2" s="3" t="n"/>
      <c r="J2" s="3" t="n"/>
      <c r="K2" s="3" t="n"/>
      <c r="L2" s="3" t="n"/>
    </row>
    <row r="3" ht="18" customHeight="1">
      <c r="J3" s="19" t="inlineStr">
        <is>
          <t>Situation au</t>
        </is>
      </c>
      <c r="K3" s="21">
        <f>p_asof</f>
        <v>46331.0</v>
      </c>
    </row>
    <row r="5" ht="22" customHeight="1">
      <c r="B5" s="5" t="inlineStr">
        <is>
          <t>Balance âgée par client (les 20 plus gros soldes)</t>
        </is>
      </c>
      <c r="C5" s="6" t="n"/>
      <c r="D5" s="6" t="n"/>
      <c r="E5" s="6" t="n"/>
      <c r="F5" s="6" t="n"/>
      <c r="G5" s="6" t="n"/>
      <c r="H5" s="6" t="n"/>
      <c r="I5" s="6" t="n"/>
    </row>
    <row r="6" ht="22" customHeight="1">
      <c r="B6" s="43" t="inlineStr">
        <is>
          <t>Client</t>
        </is>
      </c>
      <c r="C6" s="48" t="n"/>
      <c r="D6" s="72" t="inlineStr">
        <is>
          <t>Non échu</t>
        </is>
      </c>
      <c r="E6" s="73" t="inlineStr">
        <is>
          <t>1-30 j</t>
        </is>
      </c>
      <c r="F6" s="73" t="inlineStr">
        <is>
          <t>31-60 j</t>
        </is>
      </c>
      <c r="G6" s="74" t="inlineStr">
        <is>
          <t>61-90 j</t>
        </is>
      </c>
      <c r="H6" s="74" t="inlineStr">
        <is>
          <t>Plus de 90 j</t>
        </is>
      </c>
      <c r="I6" s="43" t="inlineStr">
        <is>
          <t>Total</t>
        </is>
      </c>
    </row>
    <row r="7">
      <c r="B7" s="54" t="str">
        <f>IF(M7="","",M7)</f>
        <v/>
      </c>
      <c r="C7" s="75" t="str">
        <f>IF(M7="","",INDEX(cli_name,MATCH(1,cli_rkdue,0))&amp;"")</f>
        <v/>
      </c>
      <c r="D7" s="75" t="str">
        <f>IF($M7="","",SUMIFS(fa_reste,fa_client,$M7,fa_tranche,"Non échu"))</f>
        <v/>
      </c>
      <c r="E7" s="75" t="str">
        <f>IF($M7="","",SUMIFS(fa_reste,fa_client,$M7,fa_tranche,"1-30 j"))</f>
        <v/>
      </c>
      <c r="F7" s="75" t="str">
        <f>IF($M7="","",SUMIFS(fa_reste,fa_client,$M7,fa_tranche,"31-60 j"))</f>
        <v/>
      </c>
      <c r="G7" s="75" t="str">
        <f>IF($M7="","",SUMIFS(fa_reste,fa_client,$M7,fa_tranche,"61-90 j"))</f>
        <v/>
      </c>
      <c r="H7" s="75" t="str">
        <f>IF($M7="","",SUMIFS(fa_reste,fa_client,$M7,fa_tranche,"Plus de 90 j"))</f>
        <v/>
      </c>
      <c r="I7" s="76" t="str">
        <f>IF(M7="","",SUM(D7:H7))</f>
        <v/>
      </c>
      <c r="M7" t="str">
        <f>IFERROR(INDEX(cli_code,MATCH(1,cli_rkdue,0))&amp;"","")</f>
        <v/>
      </c>
    </row>
    <row r="8">
      <c r="B8" s="54" t="str">
        <f>IF(M8="","",M8)</f>
        <v/>
      </c>
      <c r="C8" s="75" t="str">
        <f>IF(M8="","",INDEX(cli_name,MATCH(2,cli_rkdue,0))&amp;"")</f>
        <v/>
      </c>
      <c r="D8" s="75" t="str">
        <f>IF($M8="","",SUMIFS(fa_reste,fa_client,$M8,fa_tranche,"Non échu"))</f>
        <v/>
      </c>
      <c r="E8" s="75" t="str">
        <f>IF($M8="","",SUMIFS(fa_reste,fa_client,$M8,fa_tranche,"1-30 j"))</f>
        <v/>
      </c>
      <c r="F8" s="75" t="str">
        <f>IF($M8="","",SUMIFS(fa_reste,fa_client,$M8,fa_tranche,"31-60 j"))</f>
        <v/>
      </c>
      <c r="G8" s="75" t="str">
        <f>IF($M8="","",SUMIFS(fa_reste,fa_client,$M8,fa_tranche,"61-90 j"))</f>
        <v/>
      </c>
      <c r="H8" s="75" t="str">
        <f>IF($M8="","",SUMIFS(fa_reste,fa_client,$M8,fa_tranche,"Plus de 90 j"))</f>
        <v/>
      </c>
      <c r="I8" s="76" t="str">
        <f>IF(M8="","",SUM(D8:H8))</f>
        <v/>
      </c>
      <c r="M8" t="str">
        <f>IFERROR(INDEX(cli_code,MATCH(2,cli_rkdue,0))&amp;"","")</f>
        <v/>
      </c>
    </row>
    <row r="9">
      <c r="B9" s="54" t="str">
        <f>IF(M9="","",M9)</f>
        <v/>
      </c>
      <c r="C9" s="75" t="str">
        <f>IF(M9="","",INDEX(cli_name,MATCH(3,cli_rkdue,0))&amp;"")</f>
        <v/>
      </c>
      <c r="D9" s="75" t="str">
        <f>IF($M9="","",SUMIFS(fa_reste,fa_client,$M9,fa_tranche,"Non échu"))</f>
        <v/>
      </c>
      <c r="E9" s="75" t="str">
        <f>IF($M9="","",SUMIFS(fa_reste,fa_client,$M9,fa_tranche,"1-30 j"))</f>
        <v/>
      </c>
      <c r="F9" s="75" t="str">
        <f>IF($M9="","",SUMIFS(fa_reste,fa_client,$M9,fa_tranche,"31-60 j"))</f>
        <v/>
      </c>
      <c r="G9" s="75" t="str">
        <f>IF($M9="","",SUMIFS(fa_reste,fa_client,$M9,fa_tranche,"61-90 j"))</f>
        <v/>
      </c>
      <c r="H9" s="75" t="str">
        <f>IF($M9="","",SUMIFS(fa_reste,fa_client,$M9,fa_tranche,"Plus de 90 j"))</f>
        <v/>
      </c>
      <c r="I9" s="76" t="str">
        <f>IF(M9="","",SUM(D9:H9))</f>
        <v/>
      </c>
      <c r="M9" t="str">
        <f>IFERROR(INDEX(cli_code,MATCH(3,cli_rkdue,0))&amp;"","")</f>
        <v/>
      </c>
    </row>
    <row r="10">
      <c r="B10" s="54" t="str">
        <f>IF(M10="","",M10)</f>
        <v/>
      </c>
      <c r="C10" s="75" t="str">
        <f>IF(M10="","",INDEX(cli_name,MATCH(4,cli_rkdue,0))&amp;"")</f>
        <v/>
      </c>
      <c r="D10" s="75" t="str">
        <f>IF($M10="","",SUMIFS(fa_reste,fa_client,$M10,fa_tranche,"Non échu"))</f>
        <v/>
      </c>
      <c r="E10" s="75" t="str">
        <f>IF($M10="","",SUMIFS(fa_reste,fa_client,$M10,fa_tranche,"1-30 j"))</f>
        <v/>
      </c>
      <c r="F10" s="75" t="str">
        <f>IF($M10="","",SUMIFS(fa_reste,fa_client,$M10,fa_tranche,"31-60 j"))</f>
        <v/>
      </c>
      <c r="G10" s="75" t="str">
        <f>IF($M10="","",SUMIFS(fa_reste,fa_client,$M10,fa_tranche,"61-90 j"))</f>
        <v/>
      </c>
      <c r="H10" s="75" t="str">
        <f>IF($M10="","",SUMIFS(fa_reste,fa_client,$M10,fa_tranche,"Plus de 90 j"))</f>
        <v/>
      </c>
      <c r="I10" s="76" t="str">
        <f>IF(M10="","",SUM(D10:H10))</f>
        <v/>
      </c>
      <c r="M10" t="str">
        <f>IFERROR(INDEX(cli_code,MATCH(4,cli_rkdue,0))&amp;"","")</f>
        <v/>
      </c>
    </row>
    <row r="11">
      <c r="B11" s="54" t="str">
        <f>IF(M11="","",M11)</f>
        <v/>
      </c>
      <c r="C11" s="75" t="str">
        <f>IF(M11="","",INDEX(cli_name,MATCH(5,cli_rkdue,0))&amp;"")</f>
        <v/>
      </c>
      <c r="D11" s="75" t="str">
        <f>IF($M11="","",SUMIFS(fa_reste,fa_client,$M11,fa_tranche,"Non échu"))</f>
        <v/>
      </c>
      <c r="E11" s="75" t="str">
        <f>IF($M11="","",SUMIFS(fa_reste,fa_client,$M11,fa_tranche,"1-30 j"))</f>
        <v/>
      </c>
      <c r="F11" s="75" t="str">
        <f>IF($M11="","",SUMIFS(fa_reste,fa_client,$M11,fa_tranche,"31-60 j"))</f>
        <v/>
      </c>
      <c r="G11" s="75" t="str">
        <f>IF($M11="","",SUMIFS(fa_reste,fa_client,$M11,fa_tranche,"61-90 j"))</f>
        <v/>
      </c>
      <c r="H11" s="75" t="str">
        <f>IF($M11="","",SUMIFS(fa_reste,fa_client,$M11,fa_tranche,"Plus de 90 j"))</f>
        <v/>
      </c>
      <c r="I11" s="76" t="str">
        <f>IF(M11="","",SUM(D11:H11))</f>
        <v/>
      </c>
      <c r="M11" t="str">
        <f>IFERROR(INDEX(cli_code,MATCH(5,cli_rkdue,0))&amp;"","")</f>
        <v/>
      </c>
    </row>
    <row r="12">
      <c r="B12" s="54" t="str">
        <f>IF(M12="","",M12)</f>
        <v/>
      </c>
      <c r="C12" s="75" t="str">
        <f>IF(M12="","",INDEX(cli_name,MATCH(6,cli_rkdue,0))&amp;"")</f>
        <v/>
      </c>
      <c r="D12" s="75" t="str">
        <f>IF($M12="","",SUMIFS(fa_reste,fa_client,$M12,fa_tranche,"Non échu"))</f>
        <v/>
      </c>
      <c r="E12" s="75" t="str">
        <f>IF($M12="","",SUMIFS(fa_reste,fa_client,$M12,fa_tranche,"1-30 j"))</f>
        <v/>
      </c>
      <c r="F12" s="75" t="str">
        <f>IF($M12="","",SUMIFS(fa_reste,fa_client,$M12,fa_tranche,"31-60 j"))</f>
        <v/>
      </c>
      <c r="G12" s="75" t="str">
        <f>IF($M12="","",SUMIFS(fa_reste,fa_client,$M12,fa_tranche,"61-90 j"))</f>
        <v/>
      </c>
      <c r="H12" s="75" t="str">
        <f>IF($M12="","",SUMIFS(fa_reste,fa_client,$M12,fa_tranche,"Plus de 90 j"))</f>
        <v/>
      </c>
      <c r="I12" s="76" t="str">
        <f>IF(M12="","",SUM(D12:H12))</f>
        <v/>
      </c>
      <c r="M12" t="str">
        <f>IFERROR(INDEX(cli_code,MATCH(6,cli_rkdue,0))&amp;"","")</f>
        <v/>
      </c>
    </row>
    <row r="13">
      <c r="B13" s="54" t="str">
        <f>IF(M13="","",M13)</f>
        <v/>
      </c>
      <c r="C13" s="75" t="str">
        <f>IF(M13="","",INDEX(cli_name,MATCH(7,cli_rkdue,0))&amp;"")</f>
        <v/>
      </c>
      <c r="D13" s="75" t="str">
        <f>IF($M13="","",SUMIFS(fa_reste,fa_client,$M13,fa_tranche,"Non échu"))</f>
        <v/>
      </c>
      <c r="E13" s="75" t="str">
        <f>IF($M13="","",SUMIFS(fa_reste,fa_client,$M13,fa_tranche,"1-30 j"))</f>
        <v/>
      </c>
      <c r="F13" s="75" t="str">
        <f>IF($M13="","",SUMIFS(fa_reste,fa_client,$M13,fa_tranche,"31-60 j"))</f>
        <v/>
      </c>
      <c r="G13" s="75" t="str">
        <f>IF($M13="","",SUMIFS(fa_reste,fa_client,$M13,fa_tranche,"61-90 j"))</f>
        <v/>
      </c>
      <c r="H13" s="75" t="str">
        <f>IF($M13="","",SUMIFS(fa_reste,fa_client,$M13,fa_tranche,"Plus de 90 j"))</f>
        <v/>
      </c>
      <c r="I13" s="76" t="str">
        <f>IF(M13="","",SUM(D13:H13))</f>
        <v/>
      </c>
      <c r="M13" t="str">
        <f>IFERROR(INDEX(cli_code,MATCH(7,cli_rkdue,0))&amp;"","")</f>
        <v/>
      </c>
    </row>
    <row r="14">
      <c r="B14" s="54" t="str">
        <f>IF(M14="","",M14)</f>
        <v/>
      </c>
      <c r="C14" s="75" t="str">
        <f>IF(M14="","",INDEX(cli_name,MATCH(8,cli_rkdue,0))&amp;"")</f>
        <v/>
      </c>
      <c r="D14" s="75" t="str">
        <f>IF($M14="","",SUMIFS(fa_reste,fa_client,$M14,fa_tranche,"Non échu"))</f>
        <v/>
      </c>
      <c r="E14" s="75" t="str">
        <f>IF($M14="","",SUMIFS(fa_reste,fa_client,$M14,fa_tranche,"1-30 j"))</f>
        <v/>
      </c>
      <c r="F14" s="75" t="str">
        <f>IF($M14="","",SUMIFS(fa_reste,fa_client,$M14,fa_tranche,"31-60 j"))</f>
        <v/>
      </c>
      <c r="G14" s="75" t="str">
        <f>IF($M14="","",SUMIFS(fa_reste,fa_client,$M14,fa_tranche,"61-90 j"))</f>
        <v/>
      </c>
      <c r="H14" s="75" t="str">
        <f>IF($M14="","",SUMIFS(fa_reste,fa_client,$M14,fa_tranche,"Plus de 90 j"))</f>
        <v/>
      </c>
      <c r="I14" s="76" t="str">
        <f>IF(M14="","",SUM(D14:H14))</f>
        <v/>
      </c>
      <c r="M14" t="str">
        <f>IFERROR(INDEX(cli_code,MATCH(8,cli_rkdue,0))&amp;"","")</f>
        <v/>
      </c>
    </row>
    <row r="15">
      <c r="B15" s="54" t="str">
        <f>IF(M15="","",M15)</f>
        <v/>
      </c>
      <c r="C15" s="75" t="str">
        <f>IF(M15="","",INDEX(cli_name,MATCH(9,cli_rkdue,0))&amp;"")</f>
        <v/>
      </c>
      <c r="D15" s="75" t="str">
        <f>IF($M15="","",SUMIFS(fa_reste,fa_client,$M15,fa_tranche,"Non échu"))</f>
        <v/>
      </c>
      <c r="E15" s="75" t="str">
        <f>IF($M15="","",SUMIFS(fa_reste,fa_client,$M15,fa_tranche,"1-30 j"))</f>
        <v/>
      </c>
      <c r="F15" s="75" t="str">
        <f>IF($M15="","",SUMIFS(fa_reste,fa_client,$M15,fa_tranche,"31-60 j"))</f>
        <v/>
      </c>
      <c r="G15" s="75" t="str">
        <f>IF($M15="","",SUMIFS(fa_reste,fa_client,$M15,fa_tranche,"61-90 j"))</f>
        <v/>
      </c>
      <c r="H15" s="75" t="str">
        <f>IF($M15="","",SUMIFS(fa_reste,fa_client,$M15,fa_tranche,"Plus de 90 j"))</f>
        <v/>
      </c>
      <c r="I15" s="76" t="str">
        <f>IF(M15="","",SUM(D15:H15))</f>
        <v/>
      </c>
      <c r="M15" t="str">
        <f>IFERROR(INDEX(cli_code,MATCH(9,cli_rkdue,0))&amp;"","")</f>
        <v/>
      </c>
    </row>
    <row r="16">
      <c r="B16" s="54" t="str">
        <f>IF(M16="","",M16)</f>
        <v/>
      </c>
      <c r="C16" s="75" t="str">
        <f>IF(M16="","",INDEX(cli_name,MATCH(10,cli_rkdue,0))&amp;"")</f>
        <v/>
      </c>
      <c r="D16" s="75" t="str">
        <f>IF($M16="","",SUMIFS(fa_reste,fa_client,$M16,fa_tranche,"Non échu"))</f>
        <v/>
      </c>
      <c r="E16" s="75" t="str">
        <f>IF($M16="","",SUMIFS(fa_reste,fa_client,$M16,fa_tranche,"1-30 j"))</f>
        <v/>
      </c>
      <c r="F16" s="75" t="str">
        <f>IF($M16="","",SUMIFS(fa_reste,fa_client,$M16,fa_tranche,"31-60 j"))</f>
        <v/>
      </c>
      <c r="G16" s="75" t="str">
        <f>IF($M16="","",SUMIFS(fa_reste,fa_client,$M16,fa_tranche,"61-90 j"))</f>
        <v/>
      </c>
      <c r="H16" s="75" t="str">
        <f>IF($M16="","",SUMIFS(fa_reste,fa_client,$M16,fa_tranche,"Plus de 90 j"))</f>
        <v/>
      </c>
      <c r="I16" s="76" t="str">
        <f>IF(M16="","",SUM(D16:H16))</f>
        <v/>
      </c>
      <c r="M16" t="str">
        <f>IFERROR(INDEX(cli_code,MATCH(10,cli_rkdue,0))&amp;"","")</f>
        <v/>
      </c>
    </row>
    <row r="17">
      <c r="B17" s="54" t="str">
        <f>IF(M17="","",M17)</f>
        <v/>
      </c>
      <c r="C17" s="75" t="str">
        <f>IF(M17="","",INDEX(cli_name,MATCH(11,cli_rkdue,0))&amp;"")</f>
        <v/>
      </c>
      <c r="D17" s="75" t="str">
        <f>IF($M17="","",SUMIFS(fa_reste,fa_client,$M17,fa_tranche,"Non échu"))</f>
        <v/>
      </c>
      <c r="E17" s="75" t="str">
        <f>IF($M17="","",SUMIFS(fa_reste,fa_client,$M17,fa_tranche,"1-30 j"))</f>
        <v/>
      </c>
      <c r="F17" s="75" t="str">
        <f>IF($M17="","",SUMIFS(fa_reste,fa_client,$M17,fa_tranche,"31-60 j"))</f>
        <v/>
      </c>
      <c r="G17" s="75" t="str">
        <f>IF($M17="","",SUMIFS(fa_reste,fa_client,$M17,fa_tranche,"61-90 j"))</f>
        <v/>
      </c>
      <c r="H17" s="75" t="str">
        <f>IF($M17="","",SUMIFS(fa_reste,fa_client,$M17,fa_tranche,"Plus de 90 j"))</f>
        <v/>
      </c>
      <c r="I17" s="76" t="str">
        <f>IF(M17="","",SUM(D17:H17))</f>
        <v/>
      </c>
      <c r="M17" t="str">
        <f>IFERROR(INDEX(cli_code,MATCH(11,cli_rkdue,0))&amp;"","")</f>
        <v/>
      </c>
    </row>
    <row r="18">
      <c r="B18" s="54" t="str">
        <f>IF(M18="","",M18)</f>
        <v/>
      </c>
      <c r="C18" s="75" t="str">
        <f>IF(M18="","",INDEX(cli_name,MATCH(12,cli_rkdue,0))&amp;"")</f>
        <v/>
      </c>
      <c r="D18" s="75" t="str">
        <f>IF($M18="","",SUMIFS(fa_reste,fa_client,$M18,fa_tranche,"Non échu"))</f>
        <v/>
      </c>
      <c r="E18" s="75" t="str">
        <f>IF($M18="","",SUMIFS(fa_reste,fa_client,$M18,fa_tranche,"1-30 j"))</f>
        <v/>
      </c>
      <c r="F18" s="75" t="str">
        <f>IF($M18="","",SUMIFS(fa_reste,fa_client,$M18,fa_tranche,"31-60 j"))</f>
        <v/>
      </c>
      <c r="G18" s="75" t="str">
        <f>IF($M18="","",SUMIFS(fa_reste,fa_client,$M18,fa_tranche,"61-90 j"))</f>
        <v/>
      </c>
      <c r="H18" s="75" t="str">
        <f>IF($M18="","",SUMIFS(fa_reste,fa_client,$M18,fa_tranche,"Plus de 90 j"))</f>
        <v/>
      </c>
      <c r="I18" s="76" t="str">
        <f>IF(M18="","",SUM(D18:H18))</f>
        <v/>
      </c>
      <c r="M18" t="str">
        <f>IFERROR(INDEX(cli_code,MATCH(12,cli_rkdue,0))&amp;"","")</f>
        <v/>
      </c>
    </row>
    <row r="19">
      <c r="B19" s="54" t="str">
        <f>IF(M19="","",M19)</f>
        <v/>
      </c>
      <c r="C19" s="75" t="str">
        <f>IF(M19="","",INDEX(cli_name,MATCH(13,cli_rkdue,0))&amp;"")</f>
        <v/>
      </c>
      <c r="D19" s="75" t="str">
        <f>IF($M19="","",SUMIFS(fa_reste,fa_client,$M19,fa_tranche,"Non échu"))</f>
        <v/>
      </c>
      <c r="E19" s="75" t="str">
        <f>IF($M19="","",SUMIFS(fa_reste,fa_client,$M19,fa_tranche,"1-30 j"))</f>
        <v/>
      </c>
      <c r="F19" s="75" t="str">
        <f>IF($M19="","",SUMIFS(fa_reste,fa_client,$M19,fa_tranche,"31-60 j"))</f>
        <v/>
      </c>
      <c r="G19" s="75" t="str">
        <f>IF($M19="","",SUMIFS(fa_reste,fa_client,$M19,fa_tranche,"61-90 j"))</f>
        <v/>
      </c>
      <c r="H19" s="75" t="str">
        <f>IF($M19="","",SUMIFS(fa_reste,fa_client,$M19,fa_tranche,"Plus de 90 j"))</f>
        <v/>
      </c>
      <c r="I19" s="76" t="str">
        <f>IF(M19="","",SUM(D19:H19))</f>
        <v/>
      </c>
      <c r="M19" t="str">
        <f>IFERROR(INDEX(cli_code,MATCH(13,cli_rkdue,0))&amp;"","")</f>
        <v/>
      </c>
    </row>
    <row r="20">
      <c r="B20" s="54" t="str">
        <f>IF(M20="","",M20)</f>
        <v/>
      </c>
      <c r="C20" s="75" t="str">
        <f>IF(M20="","",INDEX(cli_name,MATCH(14,cli_rkdue,0))&amp;"")</f>
        <v/>
      </c>
      <c r="D20" s="75" t="str">
        <f>IF($M20="","",SUMIFS(fa_reste,fa_client,$M20,fa_tranche,"Non échu"))</f>
        <v/>
      </c>
      <c r="E20" s="75" t="str">
        <f>IF($M20="","",SUMIFS(fa_reste,fa_client,$M20,fa_tranche,"1-30 j"))</f>
        <v/>
      </c>
      <c r="F20" s="75" t="str">
        <f>IF($M20="","",SUMIFS(fa_reste,fa_client,$M20,fa_tranche,"31-60 j"))</f>
        <v/>
      </c>
      <c r="G20" s="75" t="str">
        <f>IF($M20="","",SUMIFS(fa_reste,fa_client,$M20,fa_tranche,"61-90 j"))</f>
        <v/>
      </c>
      <c r="H20" s="75" t="str">
        <f>IF($M20="","",SUMIFS(fa_reste,fa_client,$M20,fa_tranche,"Plus de 90 j"))</f>
        <v/>
      </c>
      <c r="I20" s="76" t="str">
        <f>IF(M20="","",SUM(D20:H20))</f>
        <v/>
      </c>
      <c r="M20" t="str">
        <f>IFERROR(INDEX(cli_code,MATCH(14,cli_rkdue,0))&amp;"","")</f>
        <v/>
      </c>
    </row>
    <row r="21">
      <c r="B21" s="54" t="str">
        <f>IF(M21="","",M21)</f>
        <v/>
      </c>
      <c r="C21" s="75" t="str">
        <f>IF(M21="","",INDEX(cli_name,MATCH(15,cli_rkdue,0))&amp;"")</f>
        <v/>
      </c>
      <c r="D21" s="75" t="str">
        <f>IF($M21="","",SUMIFS(fa_reste,fa_client,$M21,fa_tranche,"Non échu"))</f>
        <v/>
      </c>
      <c r="E21" s="75" t="str">
        <f>IF($M21="","",SUMIFS(fa_reste,fa_client,$M21,fa_tranche,"1-30 j"))</f>
        <v/>
      </c>
      <c r="F21" s="75" t="str">
        <f>IF($M21="","",SUMIFS(fa_reste,fa_client,$M21,fa_tranche,"31-60 j"))</f>
        <v/>
      </c>
      <c r="G21" s="75" t="str">
        <f>IF($M21="","",SUMIFS(fa_reste,fa_client,$M21,fa_tranche,"61-90 j"))</f>
        <v/>
      </c>
      <c r="H21" s="75" t="str">
        <f>IF($M21="","",SUMIFS(fa_reste,fa_client,$M21,fa_tranche,"Plus de 90 j"))</f>
        <v/>
      </c>
      <c r="I21" s="76" t="str">
        <f>IF(M21="","",SUM(D21:H21))</f>
        <v/>
      </c>
      <c r="M21" t="str">
        <f>IFERROR(INDEX(cli_code,MATCH(15,cli_rkdue,0))&amp;"","")</f>
        <v/>
      </c>
    </row>
    <row r="22">
      <c r="B22" s="54" t="str">
        <f>IF(M22="","",M22)</f>
        <v/>
      </c>
      <c r="C22" s="75" t="str">
        <f>IF(M22="","",INDEX(cli_name,MATCH(16,cli_rkdue,0))&amp;"")</f>
        <v/>
      </c>
      <c r="D22" s="75" t="str">
        <f>IF($M22="","",SUMIFS(fa_reste,fa_client,$M22,fa_tranche,"Non échu"))</f>
        <v/>
      </c>
      <c r="E22" s="75" t="str">
        <f>IF($M22="","",SUMIFS(fa_reste,fa_client,$M22,fa_tranche,"1-30 j"))</f>
        <v/>
      </c>
      <c r="F22" s="75" t="str">
        <f>IF($M22="","",SUMIFS(fa_reste,fa_client,$M22,fa_tranche,"31-60 j"))</f>
        <v/>
      </c>
      <c r="G22" s="75" t="str">
        <f>IF($M22="","",SUMIFS(fa_reste,fa_client,$M22,fa_tranche,"61-90 j"))</f>
        <v/>
      </c>
      <c r="H22" s="75" t="str">
        <f>IF($M22="","",SUMIFS(fa_reste,fa_client,$M22,fa_tranche,"Plus de 90 j"))</f>
        <v/>
      </c>
      <c r="I22" s="76" t="str">
        <f>IF(M22="","",SUM(D22:H22))</f>
        <v/>
      </c>
      <c r="M22" t="str">
        <f>IFERROR(INDEX(cli_code,MATCH(16,cli_rkdue,0))&amp;"","")</f>
        <v/>
      </c>
    </row>
    <row r="23">
      <c r="B23" s="54" t="str">
        <f>IF(M23="","",M23)</f>
        <v/>
      </c>
      <c r="C23" s="75" t="str">
        <f>IF(M23="","",INDEX(cli_name,MATCH(17,cli_rkdue,0))&amp;"")</f>
        <v/>
      </c>
      <c r="D23" s="75" t="str">
        <f>IF($M23="","",SUMIFS(fa_reste,fa_client,$M23,fa_tranche,"Non échu"))</f>
        <v/>
      </c>
      <c r="E23" s="75" t="str">
        <f>IF($M23="","",SUMIFS(fa_reste,fa_client,$M23,fa_tranche,"1-30 j"))</f>
        <v/>
      </c>
      <c r="F23" s="75" t="str">
        <f>IF($M23="","",SUMIFS(fa_reste,fa_client,$M23,fa_tranche,"31-60 j"))</f>
        <v/>
      </c>
      <c r="G23" s="75" t="str">
        <f>IF($M23="","",SUMIFS(fa_reste,fa_client,$M23,fa_tranche,"61-90 j"))</f>
        <v/>
      </c>
      <c r="H23" s="75" t="str">
        <f>IF($M23="","",SUMIFS(fa_reste,fa_client,$M23,fa_tranche,"Plus de 90 j"))</f>
        <v/>
      </c>
      <c r="I23" s="76" t="str">
        <f>IF(M23="","",SUM(D23:H23))</f>
        <v/>
      </c>
      <c r="M23" t="str">
        <f>IFERROR(INDEX(cli_code,MATCH(17,cli_rkdue,0))&amp;"","")</f>
        <v/>
      </c>
    </row>
    <row r="24">
      <c r="B24" s="54" t="str">
        <f>IF(M24="","",M24)</f>
        <v/>
      </c>
      <c r="C24" s="75" t="str">
        <f>IF(M24="","",INDEX(cli_name,MATCH(18,cli_rkdue,0))&amp;"")</f>
        <v/>
      </c>
      <c r="D24" s="75" t="str">
        <f>IF($M24="","",SUMIFS(fa_reste,fa_client,$M24,fa_tranche,"Non échu"))</f>
        <v/>
      </c>
      <c r="E24" s="75" t="str">
        <f>IF($M24="","",SUMIFS(fa_reste,fa_client,$M24,fa_tranche,"1-30 j"))</f>
        <v/>
      </c>
      <c r="F24" s="75" t="str">
        <f>IF($M24="","",SUMIFS(fa_reste,fa_client,$M24,fa_tranche,"31-60 j"))</f>
        <v/>
      </c>
      <c r="G24" s="75" t="str">
        <f>IF($M24="","",SUMIFS(fa_reste,fa_client,$M24,fa_tranche,"61-90 j"))</f>
        <v/>
      </c>
      <c r="H24" s="75" t="str">
        <f>IF($M24="","",SUMIFS(fa_reste,fa_client,$M24,fa_tranche,"Plus de 90 j"))</f>
        <v/>
      </c>
      <c r="I24" s="76" t="str">
        <f>IF(M24="","",SUM(D24:H24))</f>
        <v/>
      </c>
      <c r="M24" t="str">
        <f>IFERROR(INDEX(cli_code,MATCH(18,cli_rkdue,0))&amp;"","")</f>
        <v/>
      </c>
    </row>
    <row r="25">
      <c r="B25" s="54" t="str">
        <f>IF(M25="","",M25)</f>
        <v/>
      </c>
      <c r="C25" s="75" t="str">
        <f>IF(M25="","",INDEX(cli_name,MATCH(19,cli_rkdue,0))&amp;"")</f>
        <v/>
      </c>
      <c r="D25" s="75" t="str">
        <f>IF($M25="","",SUMIFS(fa_reste,fa_client,$M25,fa_tranche,"Non échu"))</f>
        <v/>
      </c>
      <c r="E25" s="75" t="str">
        <f>IF($M25="","",SUMIFS(fa_reste,fa_client,$M25,fa_tranche,"1-30 j"))</f>
        <v/>
      </c>
      <c r="F25" s="75" t="str">
        <f>IF($M25="","",SUMIFS(fa_reste,fa_client,$M25,fa_tranche,"31-60 j"))</f>
        <v/>
      </c>
      <c r="G25" s="75" t="str">
        <f>IF($M25="","",SUMIFS(fa_reste,fa_client,$M25,fa_tranche,"61-90 j"))</f>
        <v/>
      </c>
      <c r="H25" s="75" t="str">
        <f>IF($M25="","",SUMIFS(fa_reste,fa_client,$M25,fa_tranche,"Plus de 90 j"))</f>
        <v/>
      </c>
      <c r="I25" s="76" t="str">
        <f>IF(M25="","",SUM(D25:H25))</f>
        <v/>
      </c>
      <c r="M25" t="str">
        <f>IFERROR(INDEX(cli_code,MATCH(19,cli_rkdue,0))&amp;"","")</f>
        <v/>
      </c>
    </row>
    <row r="26">
      <c r="B26" s="54" t="str">
        <f>IF(M26="","",M26)</f>
        <v/>
      </c>
      <c r="C26" s="75" t="str">
        <f>IF(M26="","",INDEX(cli_name,MATCH(20,cli_rkdue,0))&amp;"")</f>
        <v/>
      </c>
      <c r="D26" s="75" t="str">
        <f>IF($M26="","",SUMIFS(fa_reste,fa_client,$M26,fa_tranche,"Non échu"))</f>
        <v/>
      </c>
      <c r="E26" s="75" t="str">
        <f>IF($M26="","",SUMIFS(fa_reste,fa_client,$M26,fa_tranche,"1-30 j"))</f>
        <v/>
      </c>
      <c r="F26" s="75" t="str">
        <f>IF($M26="","",SUMIFS(fa_reste,fa_client,$M26,fa_tranche,"31-60 j"))</f>
        <v/>
      </c>
      <c r="G26" s="75" t="str">
        <f>IF($M26="","",SUMIFS(fa_reste,fa_client,$M26,fa_tranche,"61-90 j"))</f>
        <v/>
      </c>
      <c r="H26" s="75" t="str">
        <f>IF($M26="","",SUMIFS(fa_reste,fa_client,$M26,fa_tranche,"Plus de 90 j"))</f>
        <v/>
      </c>
      <c r="I26" s="76" t="str">
        <f>IF(M26="","",SUM(D26:H26))</f>
        <v/>
      </c>
      <c r="M26" t="str">
        <f>IFERROR(INDEX(cli_code,MATCH(20,cli_rkdue,0))&amp;"","")</f>
        <v/>
      </c>
    </row>
    <row r="27">
      <c r="B27" s="77" t="inlineStr">
        <is>
          <t>Total (tous les clients)</t>
        </is>
      </c>
      <c r="C27" s="77" t="n"/>
      <c r="D27" s="77">
        <f>SUMIF(fa_tranche,"Non échu",fa_reste)</f>
        <v>0.0</v>
      </c>
      <c r="E27" s="77">
        <f>SUMIF(fa_tranche,"1-30 j",fa_reste)</f>
        <v>0.0</v>
      </c>
      <c r="F27" s="77">
        <f>SUMIF(fa_tranche,"31-60 j",fa_reste)</f>
        <v>0.0</v>
      </c>
      <c r="G27" s="77">
        <f>SUMIF(fa_tranche,"61-90 j",fa_reste)</f>
        <v>0.0</v>
      </c>
      <c r="H27" s="77">
        <f>SUMIF(fa_tranche,"Plus de 90 j",fa_reste)</f>
        <v>0.0</v>
      </c>
      <c r="I27" s="77">
        <f>SUM(D27:H27)</f>
        <v>0.0</v>
      </c>
    </row>
    <row r="28">
      <c r="B28" s="42" t="str">
        <f>IF(COUNT(cli_rkdue)&gt;20,"Et "&amp;(COUNT(cli_rkdue)-20)&amp;" autre(s) client(s) avec un solde : le total les inclut.","")</f>
        <v/>
      </c>
    </row>
    <row r="30" ht="22" customHeight="1">
      <c r="B30" s="5" t="inlineStr">
        <is>
          <t>Factures à encaisser, de la plus en retard à la plus récente</t>
        </is>
      </c>
      <c r="C30" s="6" t="n"/>
      <c r="D30" s="6" t="n"/>
      <c r="E30" s="6" t="n"/>
      <c r="F30" s="6" t="n"/>
      <c r="G30" s="6" t="n"/>
      <c r="H30" s="6" t="n"/>
      <c r="I30" s="6" t="n"/>
      <c r="J30" s="6" t="n"/>
      <c r="K30" s="6" t="n"/>
      <c r="L30" s="6" t="n"/>
    </row>
    <row r="31" ht="30" customHeight="1">
      <c r="B31" s="43" t="inlineStr">
        <is>
          <t>N° facture</t>
        </is>
      </c>
      <c r="C31" s="43" t="inlineStr">
        <is>
          <t>Client</t>
        </is>
      </c>
      <c r="D31" s="43" t="inlineStr">
        <is>
          <t>Date</t>
        </is>
      </c>
      <c r="E31" s="43" t="inlineStr">
        <is>
          <t>Échéance</t>
        </is>
      </c>
      <c r="F31" s="43" t="inlineStr">
        <is>
          <t>Net à payer</t>
        </is>
      </c>
      <c r="G31" s="43" t="inlineStr">
        <is>
          <t>Encaissé et avoirs</t>
        </is>
      </c>
      <c r="H31" s="43" t="inlineStr">
        <is>
          <t>Reste dû</t>
        </is>
      </c>
      <c r="I31" s="43" t="inlineStr">
        <is>
          <t>Retard (j)</t>
        </is>
      </c>
      <c r="J31" s="43" t="inlineStr">
        <is>
          <t>Tranche</t>
        </is>
      </c>
      <c r="K31" s="43" t="inlineStr">
        <is>
          <t>Dernière relance</t>
        </is>
      </c>
      <c r="L31" s="43" t="inlineStr">
        <is>
          <t>Relance suggérée</t>
        </is>
      </c>
    </row>
    <row r="32">
      <c r="B32" s="78" t="str">
        <f>IF($M32="","",INDEX(fa_num,$M32)&amp;"")</f>
        <v/>
      </c>
      <c r="C32" s="79" t="str">
        <f>IF($M32="","",INDEX(fa_cname,$M32)&amp;"")</f>
        <v/>
      </c>
      <c r="D32" s="56" t="str">
        <f>IF($M32="","",INDEX(fa_date,$M32))</f>
        <v/>
      </c>
      <c r="E32" s="56" t="str">
        <f>IF($M32="","",INDEX(fa_due,$M32))</f>
        <v/>
      </c>
      <c r="F32" s="75" t="str">
        <f>IF($M32="","",INDEX(fa_ttc,$M32))</f>
        <v/>
      </c>
      <c r="G32" s="75" t="str">
        <f>IF($M32="","",INDEX(fa_paid,$M32)+INDEX(fa_avoirs,$M32))</f>
        <v/>
      </c>
      <c r="H32" s="75" t="str">
        <f>IF($M32="","",INDEX(fa_reste,$M32))</f>
        <v/>
      </c>
      <c r="I32" s="58" t="str">
        <f>IF($M32="","",MAX(0,p_asof-E32))</f>
        <v/>
      </c>
      <c r="J32" s="78" t="str">
        <f>IF($M32="","",INDEX(fa_tranche,$M32)&amp;"")</f>
        <v/>
      </c>
      <c r="K32" s="56" t="str">
        <f>IF($M32="","",IF(ISNUMBER(INDEX(fa_relance,$M32)),INDEX(fa_relance,$M32),""))</f>
        <v/>
      </c>
      <c r="L32" s="79" t="str">
        <f>IF($M32="","",IF(AND(ISNUMBER(K32),(p_asof-E32)&gt;0,(p_asof-N(K32))&gt;=0,(p_asof-N(K32))&lt;7),"Déjà relancée il y a "&amp;(p_asof-N(K32))&amp;" j",IF((p_asof-E32)&lt;=0,IF((p_asof-E32)&gt;-8,"Rappel courtois avant l'échéance","Aucune action"),IF((p_asof-E32)&lt;=15,"Relance 1 : e-mail de rappel",IF((p_asof-E32)&lt;=30,"Relance 2 : appel téléphonique",IF((p_asof-E32)&lt;=60,"Relance 3 : lettre de relance",IF((p_asof-E32)&lt;=90,"Mise en demeure (recommandé)","Contentieux : injonction de payer")))))))</f>
        <v/>
      </c>
      <c r="M32" t="str">
        <f>IFERROR(MATCH(1,fa_rank,0),"")</f>
        <v/>
      </c>
    </row>
    <row r="33">
      <c r="B33" s="78" t="str">
        <f>IF($M33="","",INDEX(fa_num,$M33)&amp;"")</f>
        <v/>
      </c>
      <c r="C33" s="79" t="str">
        <f>IF($M33="","",INDEX(fa_cname,$M33)&amp;"")</f>
        <v/>
      </c>
      <c r="D33" s="56" t="str">
        <f>IF($M33="","",INDEX(fa_date,$M33))</f>
        <v/>
      </c>
      <c r="E33" s="56" t="str">
        <f>IF($M33="","",INDEX(fa_due,$M33))</f>
        <v/>
      </c>
      <c r="F33" s="75" t="str">
        <f>IF($M33="","",INDEX(fa_ttc,$M33))</f>
        <v/>
      </c>
      <c r="G33" s="75" t="str">
        <f>IF($M33="","",INDEX(fa_paid,$M33)+INDEX(fa_avoirs,$M33))</f>
        <v/>
      </c>
      <c r="H33" s="75" t="str">
        <f>IF($M33="","",INDEX(fa_reste,$M33))</f>
        <v/>
      </c>
      <c r="I33" s="58" t="str">
        <f>IF($M33="","",MAX(0,p_asof-E33))</f>
        <v/>
      </c>
      <c r="J33" s="78" t="str">
        <f>IF($M33="","",INDEX(fa_tranche,$M33)&amp;"")</f>
        <v/>
      </c>
      <c r="K33" s="56" t="str">
        <f>IF($M33="","",IF(ISNUMBER(INDEX(fa_relance,$M33)),INDEX(fa_relance,$M33),""))</f>
        <v/>
      </c>
      <c r="L33" s="79" t="str">
        <f>IF($M33="","",IF(AND(ISNUMBER(K33),(p_asof-E33)&gt;0,(p_asof-N(K33))&gt;=0,(p_asof-N(K33))&lt;7),"Déjà relancée il y a "&amp;(p_asof-N(K33))&amp;" j",IF((p_asof-E33)&lt;=0,IF((p_asof-E33)&gt;-8,"Rappel courtois avant l'échéance","Aucune action"),IF((p_asof-E33)&lt;=15,"Relance 1 : e-mail de rappel",IF((p_asof-E33)&lt;=30,"Relance 2 : appel téléphonique",IF((p_asof-E33)&lt;=60,"Relance 3 : lettre de relance",IF((p_asof-E33)&lt;=90,"Mise en demeure (recommandé)","Contentieux : injonction de payer")))))))</f>
        <v/>
      </c>
      <c r="M33" t="str">
        <f>IFERROR(MATCH(2,fa_rank,0),"")</f>
        <v/>
      </c>
    </row>
    <row r="34">
      <c r="B34" s="78" t="str">
        <f>IF($M34="","",INDEX(fa_num,$M34)&amp;"")</f>
        <v/>
      </c>
      <c r="C34" s="79" t="str">
        <f>IF($M34="","",INDEX(fa_cname,$M34)&amp;"")</f>
        <v/>
      </c>
      <c r="D34" s="56" t="str">
        <f>IF($M34="","",INDEX(fa_date,$M34))</f>
        <v/>
      </c>
      <c r="E34" s="56" t="str">
        <f>IF($M34="","",INDEX(fa_due,$M34))</f>
        <v/>
      </c>
      <c r="F34" s="75" t="str">
        <f>IF($M34="","",INDEX(fa_ttc,$M34))</f>
        <v/>
      </c>
      <c r="G34" s="75" t="str">
        <f>IF($M34="","",INDEX(fa_paid,$M34)+INDEX(fa_avoirs,$M34))</f>
        <v/>
      </c>
      <c r="H34" s="75" t="str">
        <f>IF($M34="","",INDEX(fa_reste,$M34))</f>
        <v/>
      </c>
      <c r="I34" s="58" t="str">
        <f>IF($M34="","",MAX(0,p_asof-E34))</f>
        <v/>
      </c>
      <c r="J34" s="78" t="str">
        <f>IF($M34="","",INDEX(fa_tranche,$M34)&amp;"")</f>
        <v/>
      </c>
      <c r="K34" s="56" t="str">
        <f>IF($M34="","",IF(ISNUMBER(INDEX(fa_relance,$M34)),INDEX(fa_relance,$M34),""))</f>
        <v/>
      </c>
      <c r="L34" s="79" t="str">
        <f>IF($M34="","",IF(AND(ISNUMBER(K34),(p_asof-E34)&gt;0,(p_asof-N(K34))&gt;=0,(p_asof-N(K34))&lt;7),"Déjà relancée il y a "&amp;(p_asof-N(K34))&amp;" j",IF((p_asof-E34)&lt;=0,IF((p_asof-E34)&gt;-8,"Rappel courtois avant l'échéance","Aucune action"),IF((p_asof-E34)&lt;=15,"Relance 1 : e-mail de rappel",IF((p_asof-E34)&lt;=30,"Relance 2 : appel téléphonique",IF((p_asof-E34)&lt;=60,"Relance 3 : lettre de relance",IF((p_asof-E34)&lt;=90,"Mise en demeure (recommandé)","Contentieux : injonction de payer")))))))</f>
        <v/>
      </c>
      <c r="M34" t="str">
        <f>IFERROR(MATCH(3,fa_rank,0),"")</f>
        <v/>
      </c>
    </row>
    <row r="35">
      <c r="B35" s="78" t="str">
        <f>IF($M35="","",INDEX(fa_num,$M35)&amp;"")</f>
        <v/>
      </c>
      <c r="C35" s="79" t="str">
        <f>IF($M35="","",INDEX(fa_cname,$M35)&amp;"")</f>
        <v/>
      </c>
      <c r="D35" s="56" t="str">
        <f>IF($M35="","",INDEX(fa_date,$M35))</f>
        <v/>
      </c>
      <c r="E35" s="56" t="str">
        <f>IF($M35="","",INDEX(fa_due,$M35))</f>
        <v/>
      </c>
      <c r="F35" s="75" t="str">
        <f>IF($M35="","",INDEX(fa_ttc,$M35))</f>
        <v/>
      </c>
      <c r="G35" s="75" t="str">
        <f>IF($M35="","",INDEX(fa_paid,$M35)+INDEX(fa_avoirs,$M35))</f>
        <v/>
      </c>
      <c r="H35" s="75" t="str">
        <f>IF($M35="","",INDEX(fa_reste,$M35))</f>
        <v/>
      </c>
      <c r="I35" s="58" t="str">
        <f>IF($M35="","",MAX(0,p_asof-E35))</f>
        <v/>
      </c>
      <c r="J35" s="78" t="str">
        <f>IF($M35="","",INDEX(fa_tranche,$M35)&amp;"")</f>
        <v/>
      </c>
      <c r="K35" s="56" t="str">
        <f>IF($M35="","",IF(ISNUMBER(INDEX(fa_relance,$M35)),INDEX(fa_relance,$M35),""))</f>
        <v/>
      </c>
      <c r="L35" s="79" t="str">
        <f>IF($M35="","",IF(AND(ISNUMBER(K35),(p_asof-E35)&gt;0,(p_asof-N(K35))&gt;=0,(p_asof-N(K35))&lt;7),"Déjà relancée il y a "&amp;(p_asof-N(K35))&amp;" j",IF((p_asof-E35)&lt;=0,IF((p_asof-E35)&gt;-8,"Rappel courtois avant l'échéance","Aucune action"),IF((p_asof-E35)&lt;=15,"Relance 1 : e-mail de rappel",IF((p_asof-E35)&lt;=30,"Relance 2 : appel téléphonique",IF((p_asof-E35)&lt;=60,"Relance 3 : lettre de relance",IF((p_asof-E35)&lt;=90,"Mise en demeure (recommandé)","Contentieux : injonction de payer")))))))</f>
        <v/>
      </c>
      <c r="M35" t="str">
        <f>IFERROR(MATCH(4,fa_rank,0),"")</f>
        <v/>
      </c>
    </row>
    <row r="36">
      <c r="B36" s="78" t="str">
        <f>IF($M36="","",INDEX(fa_num,$M36)&amp;"")</f>
        <v/>
      </c>
      <c r="C36" s="79" t="str">
        <f>IF($M36="","",INDEX(fa_cname,$M36)&amp;"")</f>
        <v/>
      </c>
      <c r="D36" s="56" t="str">
        <f>IF($M36="","",INDEX(fa_date,$M36))</f>
        <v/>
      </c>
      <c r="E36" s="56" t="str">
        <f>IF($M36="","",INDEX(fa_due,$M36))</f>
        <v/>
      </c>
      <c r="F36" s="75" t="str">
        <f>IF($M36="","",INDEX(fa_ttc,$M36))</f>
        <v/>
      </c>
      <c r="G36" s="75" t="str">
        <f>IF($M36="","",INDEX(fa_paid,$M36)+INDEX(fa_avoirs,$M36))</f>
        <v/>
      </c>
      <c r="H36" s="75" t="str">
        <f>IF($M36="","",INDEX(fa_reste,$M36))</f>
        <v/>
      </c>
      <c r="I36" s="58" t="str">
        <f>IF($M36="","",MAX(0,p_asof-E36))</f>
        <v/>
      </c>
      <c r="J36" s="78" t="str">
        <f>IF($M36="","",INDEX(fa_tranche,$M36)&amp;"")</f>
        <v/>
      </c>
      <c r="K36" s="56" t="str">
        <f>IF($M36="","",IF(ISNUMBER(INDEX(fa_relance,$M36)),INDEX(fa_relance,$M36),""))</f>
        <v/>
      </c>
      <c r="L36" s="79" t="str">
        <f>IF($M36="","",IF(AND(ISNUMBER(K36),(p_asof-E36)&gt;0,(p_asof-N(K36))&gt;=0,(p_asof-N(K36))&lt;7),"Déjà relancée il y a "&amp;(p_asof-N(K36))&amp;" j",IF((p_asof-E36)&lt;=0,IF((p_asof-E36)&gt;-8,"Rappel courtois avant l'échéance","Aucune action"),IF((p_asof-E36)&lt;=15,"Relance 1 : e-mail de rappel",IF((p_asof-E36)&lt;=30,"Relance 2 : appel téléphonique",IF((p_asof-E36)&lt;=60,"Relance 3 : lettre de relance",IF((p_asof-E36)&lt;=90,"Mise en demeure (recommandé)","Contentieux : injonction de payer")))))))</f>
        <v/>
      </c>
      <c r="M36" t="str">
        <f>IFERROR(MATCH(5,fa_rank,0),"")</f>
        <v/>
      </c>
    </row>
    <row r="37">
      <c r="B37" s="78" t="str">
        <f>IF($M37="","",INDEX(fa_num,$M37)&amp;"")</f>
        <v/>
      </c>
      <c r="C37" s="79" t="str">
        <f>IF($M37="","",INDEX(fa_cname,$M37)&amp;"")</f>
        <v/>
      </c>
      <c r="D37" s="56" t="str">
        <f>IF($M37="","",INDEX(fa_date,$M37))</f>
        <v/>
      </c>
      <c r="E37" s="56" t="str">
        <f>IF($M37="","",INDEX(fa_due,$M37))</f>
        <v/>
      </c>
      <c r="F37" s="75" t="str">
        <f>IF($M37="","",INDEX(fa_ttc,$M37))</f>
        <v/>
      </c>
      <c r="G37" s="75" t="str">
        <f>IF($M37="","",INDEX(fa_paid,$M37)+INDEX(fa_avoirs,$M37))</f>
        <v/>
      </c>
      <c r="H37" s="75" t="str">
        <f>IF($M37="","",INDEX(fa_reste,$M37))</f>
        <v/>
      </c>
      <c r="I37" s="58" t="str">
        <f>IF($M37="","",MAX(0,p_asof-E37))</f>
        <v/>
      </c>
      <c r="J37" s="78" t="str">
        <f>IF($M37="","",INDEX(fa_tranche,$M37)&amp;"")</f>
        <v/>
      </c>
      <c r="K37" s="56" t="str">
        <f>IF($M37="","",IF(ISNUMBER(INDEX(fa_relance,$M37)),INDEX(fa_relance,$M37),""))</f>
        <v/>
      </c>
      <c r="L37" s="79" t="str">
        <f>IF($M37="","",IF(AND(ISNUMBER(K37),(p_asof-E37)&gt;0,(p_asof-N(K37))&gt;=0,(p_asof-N(K37))&lt;7),"Déjà relancée il y a "&amp;(p_asof-N(K37))&amp;" j",IF((p_asof-E37)&lt;=0,IF((p_asof-E37)&gt;-8,"Rappel courtois avant l'échéance","Aucune action"),IF((p_asof-E37)&lt;=15,"Relance 1 : e-mail de rappel",IF((p_asof-E37)&lt;=30,"Relance 2 : appel téléphonique",IF((p_asof-E37)&lt;=60,"Relance 3 : lettre de relance",IF((p_asof-E37)&lt;=90,"Mise en demeure (recommandé)","Contentieux : injonction de payer")))))))</f>
        <v/>
      </c>
      <c r="M37" t="str">
        <f>IFERROR(MATCH(6,fa_rank,0),"")</f>
        <v/>
      </c>
    </row>
    <row r="38">
      <c r="B38" s="78" t="str">
        <f>IF($M38="","",INDEX(fa_num,$M38)&amp;"")</f>
        <v/>
      </c>
      <c r="C38" s="79" t="str">
        <f>IF($M38="","",INDEX(fa_cname,$M38)&amp;"")</f>
        <v/>
      </c>
      <c r="D38" s="56" t="str">
        <f>IF($M38="","",INDEX(fa_date,$M38))</f>
        <v/>
      </c>
      <c r="E38" s="56" t="str">
        <f>IF($M38="","",INDEX(fa_due,$M38))</f>
        <v/>
      </c>
      <c r="F38" s="75" t="str">
        <f>IF($M38="","",INDEX(fa_ttc,$M38))</f>
        <v/>
      </c>
      <c r="G38" s="75" t="str">
        <f>IF($M38="","",INDEX(fa_paid,$M38)+INDEX(fa_avoirs,$M38))</f>
        <v/>
      </c>
      <c r="H38" s="75" t="str">
        <f>IF($M38="","",INDEX(fa_reste,$M38))</f>
        <v/>
      </c>
      <c r="I38" s="58" t="str">
        <f>IF($M38="","",MAX(0,p_asof-E38))</f>
        <v/>
      </c>
      <c r="J38" s="78" t="str">
        <f>IF($M38="","",INDEX(fa_tranche,$M38)&amp;"")</f>
        <v/>
      </c>
      <c r="K38" s="56" t="str">
        <f>IF($M38="","",IF(ISNUMBER(INDEX(fa_relance,$M38)),INDEX(fa_relance,$M38),""))</f>
        <v/>
      </c>
      <c r="L38" s="79" t="str">
        <f>IF($M38="","",IF(AND(ISNUMBER(K38),(p_asof-E38)&gt;0,(p_asof-N(K38))&gt;=0,(p_asof-N(K38))&lt;7),"Déjà relancée il y a "&amp;(p_asof-N(K38))&amp;" j",IF((p_asof-E38)&lt;=0,IF((p_asof-E38)&gt;-8,"Rappel courtois avant l'échéance","Aucune action"),IF((p_asof-E38)&lt;=15,"Relance 1 : e-mail de rappel",IF((p_asof-E38)&lt;=30,"Relance 2 : appel téléphonique",IF((p_asof-E38)&lt;=60,"Relance 3 : lettre de relance",IF((p_asof-E38)&lt;=90,"Mise en demeure (recommandé)","Contentieux : injonction de payer")))))))</f>
        <v/>
      </c>
      <c r="M38" t="str">
        <f>IFERROR(MATCH(7,fa_rank,0),"")</f>
        <v/>
      </c>
    </row>
    <row r="39">
      <c r="B39" s="78" t="str">
        <f>IF($M39="","",INDEX(fa_num,$M39)&amp;"")</f>
        <v/>
      </c>
      <c r="C39" s="79" t="str">
        <f>IF($M39="","",INDEX(fa_cname,$M39)&amp;"")</f>
        <v/>
      </c>
      <c r="D39" s="56" t="str">
        <f>IF($M39="","",INDEX(fa_date,$M39))</f>
        <v/>
      </c>
      <c r="E39" s="56" t="str">
        <f>IF($M39="","",INDEX(fa_due,$M39))</f>
        <v/>
      </c>
      <c r="F39" s="75" t="str">
        <f>IF($M39="","",INDEX(fa_ttc,$M39))</f>
        <v/>
      </c>
      <c r="G39" s="75" t="str">
        <f>IF($M39="","",INDEX(fa_paid,$M39)+INDEX(fa_avoirs,$M39))</f>
        <v/>
      </c>
      <c r="H39" s="75" t="str">
        <f>IF($M39="","",INDEX(fa_reste,$M39))</f>
        <v/>
      </c>
      <c r="I39" s="58" t="str">
        <f>IF($M39="","",MAX(0,p_asof-E39))</f>
        <v/>
      </c>
      <c r="J39" s="78" t="str">
        <f>IF($M39="","",INDEX(fa_tranche,$M39)&amp;"")</f>
        <v/>
      </c>
      <c r="K39" s="56" t="str">
        <f>IF($M39="","",IF(ISNUMBER(INDEX(fa_relance,$M39)),INDEX(fa_relance,$M39),""))</f>
        <v/>
      </c>
      <c r="L39" s="79" t="str">
        <f>IF($M39="","",IF(AND(ISNUMBER(K39),(p_asof-E39)&gt;0,(p_asof-N(K39))&gt;=0,(p_asof-N(K39))&lt;7),"Déjà relancée il y a "&amp;(p_asof-N(K39))&amp;" j",IF((p_asof-E39)&lt;=0,IF((p_asof-E39)&gt;-8,"Rappel courtois avant l'échéance","Aucune action"),IF((p_asof-E39)&lt;=15,"Relance 1 : e-mail de rappel",IF((p_asof-E39)&lt;=30,"Relance 2 : appel téléphonique",IF((p_asof-E39)&lt;=60,"Relance 3 : lettre de relance",IF((p_asof-E39)&lt;=90,"Mise en demeure (recommandé)","Contentieux : injonction de payer")))))))</f>
        <v/>
      </c>
      <c r="M39" t="str">
        <f>IFERROR(MATCH(8,fa_rank,0),"")</f>
        <v/>
      </c>
    </row>
    <row r="40">
      <c r="B40" s="78" t="str">
        <f>IF($M40="","",INDEX(fa_num,$M40)&amp;"")</f>
        <v/>
      </c>
      <c r="C40" s="79" t="str">
        <f>IF($M40="","",INDEX(fa_cname,$M40)&amp;"")</f>
        <v/>
      </c>
      <c r="D40" s="56" t="str">
        <f>IF($M40="","",INDEX(fa_date,$M40))</f>
        <v/>
      </c>
      <c r="E40" s="56" t="str">
        <f>IF($M40="","",INDEX(fa_due,$M40))</f>
        <v/>
      </c>
      <c r="F40" s="75" t="str">
        <f>IF($M40="","",INDEX(fa_ttc,$M40))</f>
        <v/>
      </c>
      <c r="G40" s="75" t="str">
        <f>IF($M40="","",INDEX(fa_paid,$M40)+INDEX(fa_avoirs,$M40))</f>
        <v/>
      </c>
      <c r="H40" s="75" t="str">
        <f>IF($M40="","",INDEX(fa_reste,$M40))</f>
        <v/>
      </c>
      <c r="I40" s="58" t="str">
        <f>IF($M40="","",MAX(0,p_asof-E40))</f>
        <v/>
      </c>
      <c r="J40" s="78" t="str">
        <f>IF($M40="","",INDEX(fa_tranche,$M40)&amp;"")</f>
        <v/>
      </c>
      <c r="K40" s="56" t="str">
        <f>IF($M40="","",IF(ISNUMBER(INDEX(fa_relance,$M40)),INDEX(fa_relance,$M40),""))</f>
        <v/>
      </c>
      <c r="L40" s="79" t="str">
        <f>IF($M40="","",IF(AND(ISNUMBER(K40),(p_asof-E40)&gt;0,(p_asof-N(K40))&gt;=0,(p_asof-N(K40))&lt;7),"Déjà relancée il y a "&amp;(p_asof-N(K40))&amp;" j",IF((p_asof-E40)&lt;=0,IF((p_asof-E40)&gt;-8,"Rappel courtois avant l'échéance","Aucune action"),IF((p_asof-E40)&lt;=15,"Relance 1 : e-mail de rappel",IF((p_asof-E40)&lt;=30,"Relance 2 : appel téléphonique",IF((p_asof-E40)&lt;=60,"Relance 3 : lettre de relance",IF((p_asof-E40)&lt;=90,"Mise en demeure (recommandé)","Contentieux : injonction de payer")))))))</f>
        <v/>
      </c>
      <c r="M40" t="str">
        <f>IFERROR(MATCH(9,fa_rank,0),"")</f>
        <v/>
      </c>
    </row>
    <row r="41">
      <c r="B41" s="78" t="str">
        <f>IF($M41="","",INDEX(fa_num,$M41)&amp;"")</f>
        <v/>
      </c>
      <c r="C41" s="79" t="str">
        <f>IF($M41="","",INDEX(fa_cname,$M41)&amp;"")</f>
        <v/>
      </c>
      <c r="D41" s="56" t="str">
        <f>IF($M41="","",INDEX(fa_date,$M41))</f>
        <v/>
      </c>
      <c r="E41" s="56" t="str">
        <f>IF($M41="","",INDEX(fa_due,$M41))</f>
        <v/>
      </c>
      <c r="F41" s="75" t="str">
        <f>IF($M41="","",INDEX(fa_ttc,$M41))</f>
        <v/>
      </c>
      <c r="G41" s="75" t="str">
        <f>IF($M41="","",INDEX(fa_paid,$M41)+INDEX(fa_avoirs,$M41))</f>
        <v/>
      </c>
      <c r="H41" s="75" t="str">
        <f>IF($M41="","",INDEX(fa_reste,$M41))</f>
        <v/>
      </c>
      <c r="I41" s="58" t="str">
        <f>IF($M41="","",MAX(0,p_asof-E41))</f>
        <v/>
      </c>
      <c r="J41" s="78" t="str">
        <f>IF($M41="","",INDEX(fa_tranche,$M41)&amp;"")</f>
        <v/>
      </c>
      <c r="K41" s="56" t="str">
        <f>IF($M41="","",IF(ISNUMBER(INDEX(fa_relance,$M41)),INDEX(fa_relance,$M41),""))</f>
        <v/>
      </c>
      <c r="L41" s="79" t="str">
        <f>IF($M41="","",IF(AND(ISNUMBER(K41),(p_asof-E41)&gt;0,(p_asof-N(K41))&gt;=0,(p_asof-N(K41))&lt;7),"Déjà relancée il y a "&amp;(p_asof-N(K41))&amp;" j",IF((p_asof-E41)&lt;=0,IF((p_asof-E41)&gt;-8,"Rappel courtois avant l'échéance","Aucune action"),IF((p_asof-E41)&lt;=15,"Relance 1 : e-mail de rappel",IF((p_asof-E41)&lt;=30,"Relance 2 : appel téléphonique",IF((p_asof-E41)&lt;=60,"Relance 3 : lettre de relance",IF((p_asof-E41)&lt;=90,"Mise en demeure (recommandé)","Contentieux : injonction de payer")))))))</f>
        <v/>
      </c>
      <c r="M41" t="str">
        <f>IFERROR(MATCH(10,fa_rank,0),"")</f>
        <v/>
      </c>
    </row>
    <row r="42">
      <c r="B42" s="78" t="str">
        <f>IF($M42="","",INDEX(fa_num,$M42)&amp;"")</f>
        <v/>
      </c>
      <c r="C42" s="79" t="str">
        <f>IF($M42="","",INDEX(fa_cname,$M42)&amp;"")</f>
        <v/>
      </c>
      <c r="D42" s="56" t="str">
        <f>IF($M42="","",INDEX(fa_date,$M42))</f>
        <v/>
      </c>
      <c r="E42" s="56" t="str">
        <f>IF($M42="","",INDEX(fa_due,$M42))</f>
        <v/>
      </c>
      <c r="F42" s="75" t="str">
        <f>IF($M42="","",INDEX(fa_ttc,$M42))</f>
        <v/>
      </c>
      <c r="G42" s="75" t="str">
        <f>IF($M42="","",INDEX(fa_paid,$M42)+INDEX(fa_avoirs,$M42))</f>
        <v/>
      </c>
      <c r="H42" s="75" t="str">
        <f>IF($M42="","",INDEX(fa_reste,$M42))</f>
        <v/>
      </c>
      <c r="I42" s="58" t="str">
        <f>IF($M42="","",MAX(0,p_asof-E42))</f>
        <v/>
      </c>
      <c r="J42" s="78" t="str">
        <f>IF($M42="","",INDEX(fa_tranche,$M42)&amp;"")</f>
        <v/>
      </c>
      <c r="K42" s="56" t="str">
        <f>IF($M42="","",IF(ISNUMBER(INDEX(fa_relance,$M42)),INDEX(fa_relance,$M42),""))</f>
        <v/>
      </c>
      <c r="L42" s="79" t="str">
        <f>IF($M42="","",IF(AND(ISNUMBER(K42),(p_asof-E42)&gt;0,(p_asof-N(K42))&gt;=0,(p_asof-N(K42))&lt;7),"Déjà relancée il y a "&amp;(p_asof-N(K42))&amp;" j",IF((p_asof-E42)&lt;=0,IF((p_asof-E42)&gt;-8,"Rappel courtois avant l'échéance","Aucune action"),IF((p_asof-E42)&lt;=15,"Relance 1 : e-mail de rappel",IF((p_asof-E42)&lt;=30,"Relance 2 : appel téléphonique",IF((p_asof-E42)&lt;=60,"Relance 3 : lettre de relance",IF((p_asof-E42)&lt;=90,"Mise en demeure (recommandé)","Contentieux : injonction de payer")))))))</f>
        <v/>
      </c>
      <c r="M42" t="str">
        <f>IFERROR(MATCH(11,fa_rank,0),"")</f>
        <v/>
      </c>
    </row>
    <row r="43">
      <c r="B43" s="78" t="str">
        <f>IF($M43="","",INDEX(fa_num,$M43)&amp;"")</f>
        <v/>
      </c>
      <c r="C43" s="79" t="str">
        <f>IF($M43="","",INDEX(fa_cname,$M43)&amp;"")</f>
        <v/>
      </c>
      <c r="D43" s="56" t="str">
        <f>IF($M43="","",INDEX(fa_date,$M43))</f>
        <v/>
      </c>
      <c r="E43" s="56" t="str">
        <f>IF($M43="","",INDEX(fa_due,$M43))</f>
        <v/>
      </c>
      <c r="F43" s="75" t="str">
        <f>IF($M43="","",INDEX(fa_ttc,$M43))</f>
        <v/>
      </c>
      <c r="G43" s="75" t="str">
        <f>IF($M43="","",INDEX(fa_paid,$M43)+INDEX(fa_avoirs,$M43))</f>
        <v/>
      </c>
      <c r="H43" s="75" t="str">
        <f>IF($M43="","",INDEX(fa_reste,$M43))</f>
        <v/>
      </c>
      <c r="I43" s="58" t="str">
        <f>IF($M43="","",MAX(0,p_asof-E43))</f>
        <v/>
      </c>
      <c r="J43" s="78" t="str">
        <f>IF($M43="","",INDEX(fa_tranche,$M43)&amp;"")</f>
        <v/>
      </c>
      <c r="K43" s="56" t="str">
        <f>IF($M43="","",IF(ISNUMBER(INDEX(fa_relance,$M43)),INDEX(fa_relance,$M43),""))</f>
        <v/>
      </c>
      <c r="L43" s="79" t="str">
        <f>IF($M43="","",IF(AND(ISNUMBER(K43),(p_asof-E43)&gt;0,(p_asof-N(K43))&gt;=0,(p_asof-N(K43))&lt;7),"Déjà relancée il y a "&amp;(p_asof-N(K43))&amp;" j",IF((p_asof-E43)&lt;=0,IF((p_asof-E43)&gt;-8,"Rappel courtois avant l'échéance","Aucune action"),IF((p_asof-E43)&lt;=15,"Relance 1 : e-mail de rappel",IF((p_asof-E43)&lt;=30,"Relance 2 : appel téléphonique",IF((p_asof-E43)&lt;=60,"Relance 3 : lettre de relance",IF((p_asof-E43)&lt;=90,"Mise en demeure (recommandé)","Contentieux : injonction de payer")))))))</f>
        <v/>
      </c>
      <c r="M43" t="str">
        <f>IFERROR(MATCH(12,fa_rank,0),"")</f>
        <v/>
      </c>
    </row>
    <row r="44">
      <c r="B44" s="78" t="str">
        <f>IF($M44="","",INDEX(fa_num,$M44)&amp;"")</f>
        <v/>
      </c>
      <c r="C44" s="79" t="str">
        <f>IF($M44="","",INDEX(fa_cname,$M44)&amp;"")</f>
        <v/>
      </c>
      <c r="D44" s="56" t="str">
        <f>IF($M44="","",INDEX(fa_date,$M44))</f>
        <v/>
      </c>
      <c r="E44" s="56" t="str">
        <f>IF($M44="","",INDEX(fa_due,$M44))</f>
        <v/>
      </c>
      <c r="F44" s="75" t="str">
        <f>IF($M44="","",INDEX(fa_ttc,$M44))</f>
        <v/>
      </c>
      <c r="G44" s="75" t="str">
        <f>IF($M44="","",INDEX(fa_paid,$M44)+INDEX(fa_avoirs,$M44))</f>
        <v/>
      </c>
      <c r="H44" s="75" t="str">
        <f>IF($M44="","",INDEX(fa_reste,$M44))</f>
        <v/>
      </c>
      <c r="I44" s="58" t="str">
        <f>IF($M44="","",MAX(0,p_asof-E44))</f>
        <v/>
      </c>
      <c r="J44" s="78" t="str">
        <f>IF($M44="","",INDEX(fa_tranche,$M44)&amp;"")</f>
        <v/>
      </c>
      <c r="K44" s="56" t="str">
        <f>IF($M44="","",IF(ISNUMBER(INDEX(fa_relance,$M44)),INDEX(fa_relance,$M44),""))</f>
        <v/>
      </c>
      <c r="L44" s="79" t="str">
        <f>IF($M44="","",IF(AND(ISNUMBER(K44),(p_asof-E44)&gt;0,(p_asof-N(K44))&gt;=0,(p_asof-N(K44))&lt;7),"Déjà relancée il y a "&amp;(p_asof-N(K44))&amp;" j",IF((p_asof-E44)&lt;=0,IF((p_asof-E44)&gt;-8,"Rappel courtois avant l'échéance","Aucune action"),IF((p_asof-E44)&lt;=15,"Relance 1 : e-mail de rappel",IF((p_asof-E44)&lt;=30,"Relance 2 : appel téléphonique",IF((p_asof-E44)&lt;=60,"Relance 3 : lettre de relance",IF((p_asof-E44)&lt;=90,"Mise en demeure (recommandé)","Contentieux : injonction de payer")))))))</f>
        <v/>
      </c>
      <c r="M44" t="str">
        <f>IFERROR(MATCH(13,fa_rank,0),"")</f>
        <v/>
      </c>
    </row>
    <row r="45">
      <c r="B45" s="78" t="str">
        <f>IF($M45="","",INDEX(fa_num,$M45)&amp;"")</f>
        <v/>
      </c>
      <c r="C45" s="79" t="str">
        <f>IF($M45="","",INDEX(fa_cname,$M45)&amp;"")</f>
        <v/>
      </c>
      <c r="D45" s="56" t="str">
        <f>IF($M45="","",INDEX(fa_date,$M45))</f>
        <v/>
      </c>
      <c r="E45" s="56" t="str">
        <f>IF($M45="","",INDEX(fa_due,$M45))</f>
        <v/>
      </c>
      <c r="F45" s="75" t="str">
        <f>IF($M45="","",INDEX(fa_ttc,$M45))</f>
        <v/>
      </c>
      <c r="G45" s="75" t="str">
        <f>IF($M45="","",INDEX(fa_paid,$M45)+INDEX(fa_avoirs,$M45))</f>
        <v/>
      </c>
      <c r="H45" s="75" t="str">
        <f>IF($M45="","",INDEX(fa_reste,$M45))</f>
        <v/>
      </c>
      <c r="I45" s="58" t="str">
        <f>IF($M45="","",MAX(0,p_asof-E45))</f>
        <v/>
      </c>
      <c r="J45" s="78" t="str">
        <f>IF($M45="","",INDEX(fa_tranche,$M45)&amp;"")</f>
        <v/>
      </c>
      <c r="K45" s="56" t="str">
        <f>IF($M45="","",IF(ISNUMBER(INDEX(fa_relance,$M45)),INDEX(fa_relance,$M45),""))</f>
        <v/>
      </c>
      <c r="L45" s="79" t="str">
        <f>IF($M45="","",IF(AND(ISNUMBER(K45),(p_asof-E45)&gt;0,(p_asof-N(K45))&gt;=0,(p_asof-N(K45))&lt;7),"Déjà relancée il y a "&amp;(p_asof-N(K45))&amp;" j",IF((p_asof-E45)&lt;=0,IF((p_asof-E45)&gt;-8,"Rappel courtois avant l'échéance","Aucune action"),IF((p_asof-E45)&lt;=15,"Relance 1 : e-mail de rappel",IF((p_asof-E45)&lt;=30,"Relance 2 : appel téléphonique",IF((p_asof-E45)&lt;=60,"Relance 3 : lettre de relance",IF((p_asof-E45)&lt;=90,"Mise en demeure (recommandé)","Contentieux : injonction de payer")))))))</f>
        <v/>
      </c>
      <c r="M45" t="str">
        <f>IFERROR(MATCH(14,fa_rank,0),"")</f>
        <v/>
      </c>
    </row>
    <row r="46">
      <c r="B46" s="78" t="str">
        <f>IF($M46="","",INDEX(fa_num,$M46)&amp;"")</f>
        <v/>
      </c>
      <c r="C46" s="79" t="str">
        <f>IF($M46="","",INDEX(fa_cname,$M46)&amp;"")</f>
        <v/>
      </c>
      <c r="D46" s="56" t="str">
        <f>IF($M46="","",INDEX(fa_date,$M46))</f>
        <v/>
      </c>
      <c r="E46" s="56" t="str">
        <f>IF($M46="","",INDEX(fa_due,$M46))</f>
        <v/>
      </c>
      <c r="F46" s="75" t="str">
        <f>IF($M46="","",INDEX(fa_ttc,$M46))</f>
        <v/>
      </c>
      <c r="G46" s="75" t="str">
        <f>IF($M46="","",INDEX(fa_paid,$M46)+INDEX(fa_avoirs,$M46))</f>
        <v/>
      </c>
      <c r="H46" s="75" t="str">
        <f>IF($M46="","",INDEX(fa_reste,$M46))</f>
        <v/>
      </c>
      <c r="I46" s="58" t="str">
        <f>IF($M46="","",MAX(0,p_asof-E46))</f>
        <v/>
      </c>
      <c r="J46" s="78" t="str">
        <f>IF($M46="","",INDEX(fa_tranche,$M46)&amp;"")</f>
        <v/>
      </c>
      <c r="K46" s="56" t="str">
        <f>IF($M46="","",IF(ISNUMBER(INDEX(fa_relance,$M46)),INDEX(fa_relance,$M46),""))</f>
        <v/>
      </c>
      <c r="L46" s="79" t="str">
        <f>IF($M46="","",IF(AND(ISNUMBER(K46),(p_asof-E46)&gt;0,(p_asof-N(K46))&gt;=0,(p_asof-N(K46))&lt;7),"Déjà relancée il y a "&amp;(p_asof-N(K46))&amp;" j",IF((p_asof-E46)&lt;=0,IF((p_asof-E46)&gt;-8,"Rappel courtois avant l'échéance","Aucune action"),IF((p_asof-E46)&lt;=15,"Relance 1 : e-mail de rappel",IF((p_asof-E46)&lt;=30,"Relance 2 : appel téléphonique",IF((p_asof-E46)&lt;=60,"Relance 3 : lettre de relance",IF((p_asof-E46)&lt;=90,"Mise en demeure (recommandé)","Contentieux : injonction de payer")))))))</f>
        <v/>
      </c>
      <c r="M46" t="str">
        <f>IFERROR(MATCH(15,fa_rank,0),"")</f>
        <v/>
      </c>
    </row>
    <row r="47">
      <c r="B47" s="78" t="str">
        <f>IF($M47="","",INDEX(fa_num,$M47)&amp;"")</f>
        <v/>
      </c>
      <c r="C47" s="79" t="str">
        <f>IF($M47="","",INDEX(fa_cname,$M47)&amp;"")</f>
        <v/>
      </c>
      <c r="D47" s="56" t="str">
        <f>IF($M47="","",INDEX(fa_date,$M47))</f>
        <v/>
      </c>
      <c r="E47" s="56" t="str">
        <f>IF($M47="","",INDEX(fa_due,$M47))</f>
        <v/>
      </c>
      <c r="F47" s="75" t="str">
        <f>IF($M47="","",INDEX(fa_ttc,$M47))</f>
        <v/>
      </c>
      <c r="G47" s="75" t="str">
        <f>IF($M47="","",INDEX(fa_paid,$M47)+INDEX(fa_avoirs,$M47))</f>
        <v/>
      </c>
      <c r="H47" s="75" t="str">
        <f>IF($M47="","",INDEX(fa_reste,$M47))</f>
        <v/>
      </c>
      <c r="I47" s="58" t="str">
        <f>IF($M47="","",MAX(0,p_asof-E47))</f>
        <v/>
      </c>
      <c r="J47" s="78" t="str">
        <f>IF($M47="","",INDEX(fa_tranche,$M47)&amp;"")</f>
        <v/>
      </c>
      <c r="K47" s="56" t="str">
        <f>IF($M47="","",IF(ISNUMBER(INDEX(fa_relance,$M47)),INDEX(fa_relance,$M47),""))</f>
        <v/>
      </c>
      <c r="L47" s="79" t="str">
        <f>IF($M47="","",IF(AND(ISNUMBER(K47),(p_asof-E47)&gt;0,(p_asof-N(K47))&gt;=0,(p_asof-N(K47))&lt;7),"Déjà relancée il y a "&amp;(p_asof-N(K47))&amp;" j",IF((p_asof-E47)&lt;=0,IF((p_asof-E47)&gt;-8,"Rappel courtois avant l'échéance","Aucune action"),IF((p_asof-E47)&lt;=15,"Relance 1 : e-mail de rappel",IF((p_asof-E47)&lt;=30,"Relance 2 : appel téléphonique",IF((p_asof-E47)&lt;=60,"Relance 3 : lettre de relance",IF((p_asof-E47)&lt;=90,"Mise en demeure (recommandé)","Contentieux : injonction de payer")))))))</f>
        <v/>
      </c>
      <c r="M47" t="str">
        <f>IFERROR(MATCH(16,fa_rank,0),"")</f>
        <v/>
      </c>
    </row>
    <row r="48">
      <c r="B48" s="78" t="str">
        <f>IF($M48="","",INDEX(fa_num,$M48)&amp;"")</f>
        <v/>
      </c>
      <c r="C48" s="79" t="str">
        <f>IF($M48="","",INDEX(fa_cname,$M48)&amp;"")</f>
        <v/>
      </c>
      <c r="D48" s="56" t="str">
        <f>IF($M48="","",INDEX(fa_date,$M48))</f>
        <v/>
      </c>
      <c r="E48" s="56" t="str">
        <f>IF($M48="","",INDEX(fa_due,$M48))</f>
        <v/>
      </c>
      <c r="F48" s="75" t="str">
        <f>IF($M48="","",INDEX(fa_ttc,$M48))</f>
        <v/>
      </c>
      <c r="G48" s="75" t="str">
        <f>IF($M48="","",INDEX(fa_paid,$M48)+INDEX(fa_avoirs,$M48))</f>
        <v/>
      </c>
      <c r="H48" s="75" t="str">
        <f>IF($M48="","",INDEX(fa_reste,$M48))</f>
        <v/>
      </c>
      <c r="I48" s="58" t="str">
        <f>IF($M48="","",MAX(0,p_asof-E48))</f>
        <v/>
      </c>
      <c r="J48" s="78" t="str">
        <f>IF($M48="","",INDEX(fa_tranche,$M48)&amp;"")</f>
        <v/>
      </c>
      <c r="K48" s="56" t="str">
        <f>IF($M48="","",IF(ISNUMBER(INDEX(fa_relance,$M48)),INDEX(fa_relance,$M48),""))</f>
        <v/>
      </c>
      <c r="L48" s="79" t="str">
        <f>IF($M48="","",IF(AND(ISNUMBER(K48),(p_asof-E48)&gt;0,(p_asof-N(K48))&gt;=0,(p_asof-N(K48))&lt;7),"Déjà relancée il y a "&amp;(p_asof-N(K48))&amp;" j",IF((p_asof-E48)&lt;=0,IF((p_asof-E48)&gt;-8,"Rappel courtois avant l'échéance","Aucune action"),IF((p_asof-E48)&lt;=15,"Relance 1 : e-mail de rappel",IF((p_asof-E48)&lt;=30,"Relance 2 : appel téléphonique",IF((p_asof-E48)&lt;=60,"Relance 3 : lettre de relance",IF((p_asof-E48)&lt;=90,"Mise en demeure (recommandé)","Contentieux : injonction de payer")))))))</f>
        <v/>
      </c>
      <c r="M48" t="str">
        <f>IFERROR(MATCH(17,fa_rank,0),"")</f>
        <v/>
      </c>
    </row>
    <row r="49">
      <c r="B49" s="78" t="str">
        <f>IF($M49="","",INDEX(fa_num,$M49)&amp;"")</f>
        <v/>
      </c>
      <c r="C49" s="79" t="str">
        <f>IF($M49="","",INDEX(fa_cname,$M49)&amp;"")</f>
        <v/>
      </c>
      <c r="D49" s="56" t="str">
        <f>IF($M49="","",INDEX(fa_date,$M49))</f>
        <v/>
      </c>
      <c r="E49" s="56" t="str">
        <f>IF($M49="","",INDEX(fa_due,$M49))</f>
        <v/>
      </c>
      <c r="F49" s="75" t="str">
        <f>IF($M49="","",INDEX(fa_ttc,$M49))</f>
        <v/>
      </c>
      <c r="G49" s="75" t="str">
        <f>IF($M49="","",INDEX(fa_paid,$M49)+INDEX(fa_avoirs,$M49))</f>
        <v/>
      </c>
      <c r="H49" s="75" t="str">
        <f>IF($M49="","",INDEX(fa_reste,$M49))</f>
        <v/>
      </c>
      <c r="I49" s="58" t="str">
        <f>IF($M49="","",MAX(0,p_asof-E49))</f>
        <v/>
      </c>
      <c r="J49" s="78" t="str">
        <f>IF($M49="","",INDEX(fa_tranche,$M49)&amp;"")</f>
        <v/>
      </c>
      <c r="K49" s="56" t="str">
        <f>IF($M49="","",IF(ISNUMBER(INDEX(fa_relance,$M49)),INDEX(fa_relance,$M49),""))</f>
        <v/>
      </c>
      <c r="L49" s="79" t="str">
        <f>IF($M49="","",IF(AND(ISNUMBER(K49),(p_asof-E49)&gt;0,(p_asof-N(K49))&gt;=0,(p_asof-N(K49))&lt;7),"Déjà relancée il y a "&amp;(p_asof-N(K49))&amp;" j",IF((p_asof-E49)&lt;=0,IF((p_asof-E49)&gt;-8,"Rappel courtois avant l'échéance","Aucune action"),IF((p_asof-E49)&lt;=15,"Relance 1 : e-mail de rappel",IF((p_asof-E49)&lt;=30,"Relance 2 : appel téléphonique",IF((p_asof-E49)&lt;=60,"Relance 3 : lettre de relance",IF((p_asof-E49)&lt;=90,"Mise en demeure (recommandé)","Contentieux : injonction de payer")))))))</f>
        <v/>
      </c>
      <c r="M49" t="str">
        <f>IFERROR(MATCH(18,fa_rank,0),"")</f>
        <v/>
      </c>
    </row>
    <row r="50">
      <c r="B50" s="78" t="str">
        <f>IF($M50="","",INDEX(fa_num,$M50)&amp;"")</f>
        <v/>
      </c>
      <c r="C50" s="79" t="str">
        <f>IF($M50="","",INDEX(fa_cname,$M50)&amp;"")</f>
        <v/>
      </c>
      <c r="D50" s="56" t="str">
        <f>IF($M50="","",INDEX(fa_date,$M50))</f>
        <v/>
      </c>
      <c r="E50" s="56" t="str">
        <f>IF($M50="","",INDEX(fa_due,$M50))</f>
        <v/>
      </c>
      <c r="F50" s="75" t="str">
        <f>IF($M50="","",INDEX(fa_ttc,$M50))</f>
        <v/>
      </c>
      <c r="G50" s="75" t="str">
        <f>IF($M50="","",INDEX(fa_paid,$M50)+INDEX(fa_avoirs,$M50))</f>
        <v/>
      </c>
      <c r="H50" s="75" t="str">
        <f>IF($M50="","",INDEX(fa_reste,$M50))</f>
        <v/>
      </c>
      <c r="I50" s="58" t="str">
        <f>IF($M50="","",MAX(0,p_asof-E50))</f>
        <v/>
      </c>
      <c r="J50" s="78" t="str">
        <f>IF($M50="","",INDEX(fa_tranche,$M50)&amp;"")</f>
        <v/>
      </c>
      <c r="K50" s="56" t="str">
        <f>IF($M50="","",IF(ISNUMBER(INDEX(fa_relance,$M50)),INDEX(fa_relance,$M50),""))</f>
        <v/>
      </c>
      <c r="L50" s="79" t="str">
        <f>IF($M50="","",IF(AND(ISNUMBER(K50),(p_asof-E50)&gt;0,(p_asof-N(K50))&gt;=0,(p_asof-N(K50))&lt;7),"Déjà relancée il y a "&amp;(p_asof-N(K50))&amp;" j",IF((p_asof-E50)&lt;=0,IF((p_asof-E50)&gt;-8,"Rappel courtois avant l'échéance","Aucune action"),IF((p_asof-E50)&lt;=15,"Relance 1 : e-mail de rappel",IF((p_asof-E50)&lt;=30,"Relance 2 : appel téléphonique",IF((p_asof-E50)&lt;=60,"Relance 3 : lettre de relance",IF((p_asof-E50)&lt;=90,"Mise en demeure (recommandé)","Contentieux : injonction de payer")))))))</f>
        <v/>
      </c>
      <c r="M50" t="str">
        <f>IFERROR(MATCH(19,fa_rank,0),"")</f>
        <v/>
      </c>
    </row>
    <row r="51">
      <c r="B51" s="78" t="str">
        <f>IF($M51="","",INDEX(fa_num,$M51)&amp;"")</f>
        <v/>
      </c>
      <c r="C51" s="79" t="str">
        <f>IF($M51="","",INDEX(fa_cname,$M51)&amp;"")</f>
        <v/>
      </c>
      <c r="D51" s="56" t="str">
        <f>IF($M51="","",INDEX(fa_date,$M51))</f>
        <v/>
      </c>
      <c r="E51" s="56" t="str">
        <f>IF($M51="","",INDEX(fa_due,$M51))</f>
        <v/>
      </c>
      <c r="F51" s="75" t="str">
        <f>IF($M51="","",INDEX(fa_ttc,$M51))</f>
        <v/>
      </c>
      <c r="G51" s="75" t="str">
        <f>IF($M51="","",INDEX(fa_paid,$M51)+INDEX(fa_avoirs,$M51))</f>
        <v/>
      </c>
      <c r="H51" s="75" t="str">
        <f>IF($M51="","",INDEX(fa_reste,$M51))</f>
        <v/>
      </c>
      <c r="I51" s="58" t="str">
        <f>IF($M51="","",MAX(0,p_asof-E51))</f>
        <v/>
      </c>
      <c r="J51" s="78" t="str">
        <f>IF($M51="","",INDEX(fa_tranche,$M51)&amp;"")</f>
        <v/>
      </c>
      <c r="K51" s="56" t="str">
        <f>IF($M51="","",IF(ISNUMBER(INDEX(fa_relance,$M51)),INDEX(fa_relance,$M51),""))</f>
        <v/>
      </c>
      <c r="L51" s="79" t="str">
        <f>IF($M51="","",IF(AND(ISNUMBER(K51),(p_asof-E51)&gt;0,(p_asof-N(K51))&gt;=0,(p_asof-N(K51))&lt;7),"Déjà relancée il y a "&amp;(p_asof-N(K51))&amp;" j",IF((p_asof-E51)&lt;=0,IF((p_asof-E51)&gt;-8,"Rappel courtois avant l'échéance","Aucune action"),IF((p_asof-E51)&lt;=15,"Relance 1 : e-mail de rappel",IF((p_asof-E51)&lt;=30,"Relance 2 : appel téléphonique",IF((p_asof-E51)&lt;=60,"Relance 3 : lettre de relance",IF((p_asof-E51)&lt;=90,"Mise en demeure (recommandé)","Contentieux : injonction de payer")))))))</f>
        <v/>
      </c>
      <c r="M51" t="str">
        <f>IFERROR(MATCH(20,fa_rank,0),"")</f>
        <v/>
      </c>
    </row>
    <row r="52">
      <c r="B52" s="78" t="str">
        <f>IF($M52="","",INDEX(fa_num,$M52)&amp;"")</f>
        <v/>
      </c>
      <c r="C52" s="79" t="str">
        <f>IF($M52="","",INDEX(fa_cname,$M52)&amp;"")</f>
        <v/>
      </c>
      <c r="D52" s="56" t="str">
        <f>IF($M52="","",INDEX(fa_date,$M52))</f>
        <v/>
      </c>
      <c r="E52" s="56" t="str">
        <f>IF($M52="","",INDEX(fa_due,$M52))</f>
        <v/>
      </c>
      <c r="F52" s="75" t="str">
        <f>IF($M52="","",INDEX(fa_ttc,$M52))</f>
        <v/>
      </c>
      <c r="G52" s="75" t="str">
        <f>IF($M52="","",INDEX(fa_paid,$M52)+INDEX(fa_avoirs,$M52))</f>
        <v/>
      </c>
      <c r="H52" s="75" t="str">
        <f>IF($M52="","",INDEX(fa_reste,$M52))</f>
        <v/>
      </c>
      <c r="I52" s="58" t="str">
        <f>IF($M52="","",MAX(0,p_asof-E52))</f>
        <v/>
      </c>
      <c r="J52" s="78" t="str">
        <f>IF($M52="","",INDEX(fa_tranche,$M52)&amp;"")</f>
        <v/>
      </c>
      <c r="K52" s="56" t="str">
        <f>IF($M52="","",IF(ISNUMBER(INDEX(fa_relance,$M52)),INDEX(fa_relance,$M52),""))</f>
        <v/>
      </c>
      <c r="L52" s="79" t="str">
        <f>IF($M52="","",IF(AND(ISNUMBER(K52),(p_asof-E52)&gt;0,(p_asof-N(K52))&gt;=0,(p_asof-N(K52))&lt;7),"Déjà relancée il y a "&amp;(p_asof-N(K52))&amp;" j",IF((p_asof-E52)&lt;=0,IF((p_asof-E52)&gt;-8,"Rappel courtois avant l'échéance","Aucune action"),IF((p_asof-E52)&lt;=15,"Relance 1 : e-mail de rappel",IF((p_asof-E52)&lt;=30,"Relance 2 : appel téléphonique",IF((p_asof-E52)&lt;=60,"Relance 3 : lettre de relance",IF((p_asof-E52)&lt;=90,"Mise en demeure (recommandé)","Contentieux : injonction de payer")))))))</f>
        <v/>
      </c>
      <c r="M52" t="str">
        <f>IFERROR(MATCH(21,fa_rank,0),"")</f>
        <v/>
      </c>
    </row>
    <row r="53">
      <c r="B53" s="78" t="str">
        <f>IF($M53="","",INDEX(fa_num,$M53)&amp;"")</f>
        <v/>
      </c>
      <c r="C53" s="79" t="str">
        <f>IF($M53="","",INDEX(fa_cname,$M53)&amp;"")</f>
        <v/>
      </c>
      <c r="D53" s="56" t="str">
        <f>IF($M53="","",INDEX(fa_date,$M53))</f>
        <v/>
      </c>
      <c r="E53" s="56" t="str">
        <f>IF($M53="","",INDEX(fa_due,$M53))</f>
        <v/>
      </c>
      <c r="F53" s="75" t="str">
        <f>IF($M53="","",INDEX(fa_ttc,$M53))</f>
        <v/>
      </c>
      <c r="G53" s="75" t="str">
        <f>IF($M53="","",INDEX(fa_paid,$M53)+INDEX(fa_avoirs,$M53))</f>
        <v/>
      </c>
      <c r="H53" s="75" t="str">
        <f>IF($M53="","",INDEX(fa_reste,$M53))</f>
        <v/>
      </c>
      <c r="I53" s="58" t="str">
        <f>IF($M53="","",MAX(0,p_asof-E53))</f>
        <v/>
      </c>
      <c r="J53" s="78" t="str">
        <f>IF($M53="","",INDEX(fa_tranche,$M53)&amp;"")</f>
        <v/>
      </c>
      <c r="K53" s="56" t="str">
        <f>IF($M53="","",IF(ISNUMBER(INDEX(fa_relance,$M53)),INDEX(fa_relance,$M53),""))</f>
        <v/>
      </c>
      <c r="L53" s="79" t="str">
        <f>IF($M53="","",IF(AND(ISNUMBER(K53),(p_asof-E53)&gt;0,(p_asof-N(K53))&gt;=0,(p_asof-N(K53))&lt;7),"Déjà relancée il y a "&amp;(p_asof-N(K53))&amp;" j",IF((p_asof-E53)&lt;=0,IF((p_asof-E53)&gt;-8,"Rappel courtois avant l'échéance","Aucune action"),IF((p_asof-E53)&lt;=15,"Relance 1 : e-mail de rappel",IF((p_asof-E53)&lt;=30,"Relance 2 : appel téléphonique",IF((p_asof-E53)&lt;=60,"Relance 3 : lettre de relance",IF((p_asof-E53)&lt;=90,"Mise en demeure (recommandé)","Contentieux : injonction de payer")))))))</f>
        <v/>
      </c>
      <c r="M53" t="str">
        <f>IFERROR(MATCH(22,fa_rank,0),"")</f>
        <v/>
      </c>
    </row>
    <row r="54">
      <c r="B54" s="78" t="str">
        <f>IF($M54="","",INDEX(fa_num,$M54)&amp;"")</f>
        <v/>
      </c>
      <c r="C54" s="79" t="str">
        <f>IF($M54="","",INDEX(fa_cname,$M54)&amp;"")</f>
        <v/>
      </c>
      <c r="D54" s="56" t="str">
        <f>IF($M54="","",INDEX(fa_date,$M54))</f>
        <v/>
      </c>
      <c r="E54" s="56" t="str">
        <f>IF($M54="","",INDEX(fa_due,$M54))</f>
        <v/>
      </c>
      <c r="F54" s="75" t="str">
        <f>IF($M54="","",INDEX(fa_ttc,$M54))</f>
        <v/>
      </c>
      <c r="G54" s="75" t="str">
        <f>IF($M54="","",INDEX(fa_paid,$M54)+INDEX(fa_avoirs,$M54))</f>
        <v/>
      </c>
      <c r="H54" s="75" t="str">
        <f>IF($M54="","",INDEX(fa_reste,$M54))</f>
        <v/>
      </c>
      <c r="I54" s="58" t="str">
        <f>IF($M54="","",MAX(0,p_asof-E54))</f>
        <v/>
      </c>
      <c r="J54" s="78" t="str">
        <f>IF($M54="","",INDEX(fa_tranche,$M54)&amp;"")</f>
        <v/>
      </c>
      <c r="K54" s="56" t="str">
        <f>IF($M54="","",IF(ISNUMBER(INDEX(fa_relance,$M54)),INDEX(fa_relance,$M54),""))</f>
        <v/>
      </c>
      <c r="L54" s="79" t="str">
        <f>IF($M54="","",IF(AND(ISNUMBER(K54),(p_asof-E54)&gt;0,(p_asof-N(K54))&gt;=0,(p_asof-N(K54))&lt;7),"Déjà relancée il y a "&amp;(p_asof-N(K54))&amp;" j",IF((p_asof-E54)&lt;=0,IF((p_asof-E54)&gt;-8,"Rappel courtois avant l'échéance","Aucune action"),IF((p_asof-E54)&lt;=15,"Relance 1 : e-mail de rappel",IF((p_asof-E54)&lt;=30,"Relance 2 : appel téléphonique",IF((p_asof-E54)&lt;=60,"Relance 3 : lettre de relance",IF((p_asof-E54)&lt;=90,"Mise en demeure (recommandé)","Contentieux : injonction de payer")))))))</f>
        <v/>
      </c>
      <c r="M54" t="str">
        <f>IFERROR(MATCH(23,fa_rank,0),"")</f>
        <v/>
      </c>
    </row>
    <row r="55">
      <c r="B55" s="78" t="str">
        <f>IF($M55="","",INDEX(fa_num,$M55)&amp;"")</f>
        <v/>
      </c>
      <c r="C55" s="79" t="str">
        <f>IF($M55="","",INDEX(fa_cname,$M55)&amp;"")</f>
        <v/>
      </c>
      <c r="D55" s="56" t="str">
        <f>IF($M55="","",INDEX(fa_date,$M55))</f>
        <v/>
      </c>
      <c r="E55" s="56" t="str">
        <f>IF($M55="","",INDEX(fa_due,$M55))</f>
        <v/>
      </c>
      <c r="F55" s="75" t="str">
        <f>IF($M55="","",INDEX(fa_ttc,$M55))</f>
        <v/>
      </c>
      <c r="G55" s="75" t="str">
        <f>IF($M55="","",INDEX(fa_paid,$M55)+INDEX(fa_avoirs,$M55))</f>
        <v/>
      </c>
      <c r="H55" s="75" t="str">
        <f>IF($M55="","",INDEX(fa_reste,$M55))</f>
        <v/>
      </c>
      <c r="I55" s="58" t="str">
        <f>IF($M55="","",MAX(0,p_asof-E55))</f>
        <v/>
      </c>
      <c r="J55" s="78" t="str">
        <f>IF($M55="","",INDEX(fa_tranche,$M55)&amp;"")</f>
        <v/>
      </c>
      <c r="K55" s="56" t="str">
        <f>IF($M55="","",IF(ISNUMBER(INDEX(fa_relance,$M55)),INDEX(fa_relance,$M55),""))</f>
        <v/>
      </c>
      <c r="L55" s="79" t="str">
        <f>IF($M55="","",IF(AND(ISNUMBER(K55),(p_asof-E55)&gt;0,(p_asof-N(K55))&gt;=0,(p_asof-N(K55))&lt;7),"Déjà relancée il y a "&amp;(p_asof-N(K55))&amp;" j",IF((p_asof-E55)&lt;=0,IF((p_asof-E55)&gt;-8,"Rappel courtois avant l'échéance","Aucune action"),IF((p_asof-E55)&lt;=15,"Relance 1 : e-mail de rappel",IF((p_asof-E55)&lt;=30,"Relance 2 : appel téléphonique",IF((p_asof-E55)&lt;=60,"Relance 3 : lettre de relance",IF((p_asof-E55)&lt;=90,"Mise en demeure (recommandé)","Contentieux : injonction de payer")))))))</f>
        <v/>
      </c>
      <c r="M55" t="str">
        <f>IFERROR(MATCH(24,fa_rank,0),"")</f>
        <v/>
      </c>
    </row>
    <row r="56">
      <c r="B56" s="78" t="str">
        <f>IF($M56="","",INDEX(fa_num,$M56)&amp;"")</f>
        <v/>
      </c>
      <c r="C56" s="79" t="str">
        <f>IF($M56="","",INDEX(fa_cname,$M56)&amp;"")</f>
        <v/>
      </c>
      <c r="D56" s="56" t="str">
        <f>IF($M56="","",INDEX(fa_date,$M56))</f>
        <v/>
      </c>
      <c r="E56" s="56" t="str">
        <f>IF($M56="","",INDEX(fa_due,$M56))</f>
        <v/>
      </c>
      <c r="F56" s="75" t="str">
        <f>IF($M56="","",INDEX(fa_ttc,$M56))</f>
        <v/>
      </c>
      <c r="G56" s="75" t="str">
        <f>IF($M56="","",INDEX(fa_paid,$M56)+INDEX(fa_avoirs,$M56))</f>
        <v/>
      </c>
      <c r="H56" s="75" t="str">
        <f>IF($M56="","",INDEX(fa_reste,$M56))</f>
        <v/>
      </c>
      <c r="I56" s="58" t="str">
        <f>IF($M56="","",MAX(0,p_asof-E56))</f>
        <v/>
      </c>
      <c r="J56" s="78" t="str">
        <f>IF($M56="","",INDEX(fa_tranche,$M56)&amp;"")</f>
        <v/>
      </c>
      <c r="K56" s="56" t="str">
        <f>IF($M56="","",IF(ISNUMBER(INDEX(fa_relance,$M56)),INDEX(fa_relance,$M56),""))</f>
        <v/>
      </c>
      <c r="L56" s="79" t="str">
        <f>IF($M56="","",IF(AND(ISNUMBER(K56),(p_asof-E56)&gt;0,(p_asof-N(K56))&gt;=0,(p_asof-N(K56))&lt;7),"Déjà relancée il y a "&amp;(p_asof-N(K56))&amp;" j",IF((p_asof-E56)&lt;=0,IF((p_asof-E56)&gt;-8,"Rappel courtois avant l'échéance","Aucune action"),IF((p_asof-E56)&lt;=15,"Relance 1 : e-mail de rappel",IF((p_asof-E56)&lt;=30,"Relance 2 : appel téléphonique",IF((p_asof-E56)&lt;=60,"Relance 3 : lettre de relance",IF((p_asof-E56)&lt;=90,"Mise en demeure (recommandé)","Contentieux : injonction de payer")))))))</f>
        <v/>
      </c>
      <c r="M56" t="str">
        <f>IFERROR(MATCH(25,fa_rank,0),"")</f>
        <v/>
      </c>
    </row>
    <row r="57">
      <c r="B57" s="78" t="str">
        <f>IF($M57="","",INDEX(fa_num,$M57)&amp;"")</f>
        <v/>
      </c>
      <c r="C57" s="79" t="str">
        <f>IF($M57="","",INDEX(fa_cname,$M57)&amp;"")</f>
        <v/>
      </c>
      <c r="D57" s="56" t="str">
        <f>IF($M57="","",INDEX(fa_date,$M57))</f>
        <v/>
      </c>
      <c r="E57" s="56" t="str">
        <f>IF($M57="","",INDEX(fa_due,$M57))</f>
        <v/>
      </c>
      <c r="F57" s="75" t="str">
        <f>IF($M57="","",INDEX(fa_ttc,$M57))</f>
        <v/>
      </c>
      <c r="G57" s="75" t="str">
        <f>IF($M57="","",INDEX(fa_paid,$M57)+INDEX(fa_avoirs,$M57))</f>
        <v/>
      </c>
      <c r="H57" s="75" t="str">
        <f>IF($M57="","",INDEX(fa_reste,$M57))</f>
        <v/>
      </c>
      <c r="I57" s="58" t="str">
        <f>IF($M57="","",MAX(0,p_asof-E57))</f>
        <v/>
      </c>
      <c r="J57" s="78" t="str">
        <f>IF($M57="","",INDEX(fa_tranche,$M57)&amp;"")</f>
        <v/>
      </c>
      <c r="K57" s="56" t="str">
        <f>IF($M57="","",IF(ISNUMBER(INDEX(fa_relance,$M57)),INDEX(fa_relance,$M57),""))</f>
        <v/>
      </c>
      <c r="L57" s="79" t="str">
        <f>IF($M57="","",IF(AND(ISNUMBER(K57),(p_asof-E57)&gt;0,(p_asof-N(K57))&gt;=0,(p_asof-N(K57))&lt;7),"Déjà relancée il y a "&amp;(p_asof-N(K57))&amp;" j",IF((p_asof-E57)&lt;=0,IF((p_asof-E57)&gt;-8,"Rappel courtois avant l'échéance","Aucune action"),IF((p_asof-E57)&lt;=15,"Relance 1 : e-mail de rappel",IF((p_asof-E57)&lt;=30,"Relance 2 : appel téléphonique",IF((p_asof-E57)&lt;=60,"Relance 3 : lettre de relance",IF((p_asof-E57)&lt;=90,"Mise en demeure (recommandé)","Contentieux : injonction de payer")))))))</f>
        <v/>
      </c>
      <c r="M57" t="str">
        <f>IFERROR(MATCH(26,fa_rank,0),"")</f>
        <v/>
      </c>
    </row>
    <row r="58">
      <c r="B58" s="78" t="str">
        <f>IF($M58="","",INDEX(fa_num,$M58)&amp;"")</f>
        <v/>
      </c>
      <c r="C58" s="79" t="str">
        <f>IF($M58="","",INDEX(fa_cname,$M58)&amp;"")</f>
        <v/>
      </c>
      <c r="D58" s="56" t="str">
        <f>IF($M58="","",INDEX(fa_date,$M58))</f>
        <v/>
      </c>
      <c r="E58" s="56" t="str">
        <f>IF($M58="","",INDEX(fa_due,$M58))</f>
        <v/>
      </c>
      <c r="F58" s="75" t="str">
        <f>IF($M58="","",INDEX(fa_ttc,$M58))</f>
        <v/>
      </c>
      <c r="G58" s="75" t="str">
        <f>IF($M58="","",INDEX(fa_paid,$M58)+INDEX(fa_avoirs,$M58))</f>
        <v/>
      </c>
      <c r="H58" s="75" t="str">
        <f>IF($M58="","",INDEX(fa_reste,$M58))</f>
        <v/>
      </c>
      <c r="I58" s="58" t="str">
        <f>IF($M58="","",MAX(0,p_asof-E58))</f>
        <v/>
      </c>
      <c r="J58" s="78" t="str">
        <f>IF($M58="","",INDEX(fa_tranche,$M58)&amp;"")</f>
        <v/>
      </c>
      <c r="K58" s="56" t="str">
        <f>IF($M58="","",IF(ISNUMBER(INDEX(fa_relance,$M58)),INDEX(fa_relance,$M58),""))</f>
        <v/>
      </c>
      <c r="L58" s="79" t="str">
        <f>IF($M58="","",IF(AND(ISNUMBER(K58),(p_asof-E58)&gt;0,(p_asof-N(K58))&gt;=0,(p_asof-N(K58))&lt;7),"Déjà relancée il y a "&amp;(p_asof-N(K58))&amp;" j",IF((p_asof-E58)&lt;=0,IF((p_asof-E58)&gt;-8,"Rappel courtois avant l'échéance","Aucune action"),IF((p_asof-E58)&lt;=15,"Relance 1 : e-mail de rappel",IF((p_asof-E58)&lt;=30,"Relance 2 : appel téléphonique",IF((p_asof-E58)&lt;=60,"Relance 3 : lettre de relance",IF((p_asof-E58)&lt;=90,"Mise en demeure (recommandé)","Contentieux : injonction de payer")))))))</f>
        <v/>
      </c>
      <c r="M58" t="str">
        <f>IFERROR(MATCH(27,fa_rank,0),"")</f>
        <v/>
      </c>
    </row>
    <row r="59">
      <c r="B59" s="78" t="str">
        <f>IF($M59="","",INDEX(fa_num,$M59)&amp;"")</f>
        <v/>
      </c>
      <c r="C59" s="79" t="str">
        <f>IF($M59="","",INDEX(fa_cname,$M59)&amp;"")</f>
        <v/>
      </c>
      <c r="D59" s="56" t="str">
        <f>IF($M59="","",INDEX(fa_date,$M59))</f>
        <v/>
      </c>
      <c r="E59" s="56" t="str">
        <f>IF($M59="","",INDEX(fa_due,$M59))</f>
        <v/>
      </c>
      <c r="F59" s="75" t="str">
        <f>IF($M59="","",INDEX(fa_ttc,$M59))</f>
        <v/>
      </c>
      <c r="G59" s="75" t="str">
        <f>IF($M59="","",INDEX(fa_paid,$M59)+INDEX(fa_avoirs,$M59))</f>
        <v/>
      </c>
      <c r="H59" s="75" t="str">
        <f>IF($M59="","",INDEX(fa_reste,$M59))</f>
        <v/>
      </c>
      <c r="I59" s="58" t="str">
        <f>IF($M59="","",MAX(0,p_asof-E59))</f>
        <v/>
      </c>
      <c r="J59" s="78" t="str">
        <f>IF($M59="","",INDEX(fa_tranche,$M59)&amp;"")</f>
        <v/>
      </c>
      <c r="K59" s="56" t="str">
        <f>IF($M59="","",IF(ISNUMBER(INDEX(fa_relance,$M59)),INDEX(fa_relance,$M59),""))</f>
        <v/>
      </c>
      <c r="L59" s="79" t="str">
        <f>IF($M59="","",IF(AND(ISNUMBER(K59),(p_asof-E59)&gt;0,(p_asof-N(K59))&gt;=0,(p_asof-N(K59))&lt;7),"Déjà relancée il y a "&amp;(p_asof-N(K59))&amp;" j",IF((p_asof-E59)&lt;=0,IF((p_asof-E59)&gt;-8,"Rappel courtois avant l'échéance","Aucune action"),IF((p_asof-E59)&lt;=15,"Relance 1 : e-mail de rappel",IF((p_asof-E59)&lt;=30,"Relance 2 : appel téléphonique",IF((p_asof-E59)&lt;=60,"Relance 3 : lettre de relance",IF((p_asof-E59)&lt;=90,"Mise en demeure (recommandé)","Contentieux : injonction de payer")))))))</f>
        <v/>
      </c>
      <c r="M59" t="str">
        <f>IFERROR(MATCH(28,fa_rank,0),"")</f>
        <v/>
      </c>
    </row>
    <row r="60">
      <c r="B60" s="78" t="str">
        <f>IF($M60="","",INDEX(fa_num,$M60)&amp;"")</f>
        <v/>
      </c>
      <c r="C60" s="79" t="str">
        <f>IF($M60="","",INDEX(fa_cname,$M60)&amp;"")</f>
        <v/>
      </c>
      <c r="D60" s="56" t="str">
        <f>IF($M60="","",INDEX(fa_date,$M60))</f>
        <v/>
      </c>
      <c r="E60" s="56" t="str">
        <f>IF($M60="","",INDEX(fa_due,$M60))</f>
        <v/>
      </c>
      <c r="F60" s="75" t="str">
        <f>IF($M60="","",INDEX(fa_ttc,$M60))</f>
        <v/>
      </c>
      <c r="G60" s="75" t="str">
        <f>IF($M60="","",INDEX(fa_paid,$M60)+INDEX(fa_avoirs,$M60))</f>
        <v/>
      </c>
      <c r="H60" s="75" t="str">
        <f>IF($M60="","",INDEX(fa_reste,$M60))</f>
        <v/>
      </c>
      <c r="I60" s="58" t="str">
        <f>IF($M60="","",MAX(0,p_asof-E60))</f>
        <v/>
      </c>
      <c r="J60" s="78" t="str">
        <f>IF($M60="","",INDEX(fa_tranche,$M60)&amp;"")</f>
        <v/>
      </c>
      <c r="K60" s="56" t="str">
        <f>IF($M60="","",IF(ISNUMBER(INDEX(fa_relance,$M60)),INDEX(fa_relance,$M60),""))</f>
        <v/>
      </c>
      <c r="L60" s="79" t="str">
        <f>IF($M60="","",IF(AND(ISNUMBER(K60),(p_asof-E60)&gt;0,(p_asof-N(K60))&gt;=0,(p_asof-N(K60))&lt;7),"Déjà relancée il y a "&amp;(p_asof-N(K60))&amp;" j",IF((p_asof-E60)&lt;=0,IF((p_asof-E60)&gt;-8,"Rappel courtois avant l'échéance","Aucune action"),IF((p_asof-E60)&lt;=15,"Relance 1 : e-mail de rappel",IF((p_asof-E60)&lt;=30,"Relance 2 : appel téléphonique",IF((p_asof-E60)&lt;=60,"Relance 3 : lettre de relance",IF((p_asof-E60)&lt;=90,"Mise en demeure (recommandé)","Contentieux : injonction de payer")))))))</f>
        <v/>
      </c>
      <c r="M60" t="str">
        <f>IFERROR(MATCH(29,fa_rank,0),"")</f>
        <v/>
      </c>
    </row>
    <row r="61">
      <c r="B61" s="78" t="str">
        <f>IF($M61="","",INDEX(fa_num,$M61)&amp;"")</f>
        <v/>
      </c>
      <c r="C61" s="79" t="str">
        <f>IF($M61="","",INDEX(fa_cname,$M61)&amp;"")</f>
        <v/>
      </c>
      <c r="D61" s="56" t="str">
        <f>IF($M61="","",INDEX(fa_date,$M61))</f>
        <v/>
      </c>
      <c r="E61" s="56" t="str">
        <f>IF($M61="","",INDEX(fa_due,$M61))</f>
        <v/>
      </c>
      <c r="F61" s="75" t="str">
        <f>IF($M61="","",INDEX(fa_ttc,$M61))</f>
        <v/>
      </c>
      <c r="G61" s="75" t="str">
        <f>IF($M61="","",INDEX(fa_paid,$M61)+INDEX(fa_avoirs,$M61))</f>
        <v/>
      </c>
      <c r="H61" s="75" t="str">
        <f>IF($M61="","",INDEX(fa_reste,$M61))</f>
        <v/>
      </c>
      <c r="I61" s="58" t="str">
        <f>IF($M61="","",MAX(0,p_asof-E61))</f>
        <v/>
      </c>
      <c r="J61" s="78" t="str">
        <f>IF($M61="","",INDEX(fa_tranche,$M61)&amp;"")</f>
        <v/>
      </c>
      <c r="K61" s="56" t="str">
        <f>IF($M61="","",IF(ISNUMBER(INDEX(fa_relance,$M61)),INDEX(fa_relance,$M61),""))</f>
        <v/>
      </c>
      <c r="L61" s="79" t="str">
        <f>IF($M61="","",IF(AND(ISNUMBER(K61),(p_asof-E61)&gt;0,(p_asof-N(K61))&gt;=0,(p_asof-N(K61))&lt;7),"Déjà relancée il y a "&amp;(p_asof-N(K61))&amp;" j",IF((p_asof-E61)&lt;=0,IF((p_asof-E61)&gt;-8,"Rappel courtois avant l'échéance","Aucune action"),IF((p_asof-E61)&lt;=15,"Relance 1 : e-mail de rappel",IF((p_asof-E61)&lt;=30,"Relance 2 : appel téléphonique",IF((p_asof-E61)&lt;=60,"Relance 3 : lettre de relance",IF((p_asof-E61)&lt;=90,"Mise en demeure (recommandé)","Contentieux : injonction de payer")))))))</f>
        <v/>
      </c>
      <c r="M61" t="str">
        <f>IFERROR(MATCH(30,fa_rank,0),"")</f>
        <v/>
      </c>
    </row>
    <row r="62">
      <c r="B62" s="78" t="str">
        <f>IF($M62="","",INDEX(fa_num,$M62)&amp;"")</f>
        <v/>
      </c>
      <c r="C62" s="79" t="str">
        <f>IF($M62="","",INDEX(fa_cname,$M62)&amp;"")</f>
        <v/>
      </c>
      <c r="D62" s="56" t="str">
        <f>IF($M62="","",INDEX(fa_date,$M62))</f>
        <v/>
      </c>
      <c r="E62" s="56" t="str">
        <f>IF($M62="","",INDEX(fa_due,$M62))</f>
        <v/>
      </c>
      <c r="F62" s="75" t="str">
        <f>IF($M62="","",INDEX(fa_ttc,$M62))</f>
        <v/>
      </c>
      <c r="G62" s="75" t="str">
        <f>IF($M62="","",INDEX(fa_paid,$M62)+INDEX(fa_avoirs,$M62))</f>
        <v/>
      </c>
      <c r="H62" s="75" t="str">
        <f>IF($M62="","",INDEX(fa_reste,$M62))</f>
        <v/>
      </c>
      <c r="I62" s="58" t="str">
        <f>IF($M62="","",MAX(0,p_asof-E62))</f>
        <v/>
      </c>
      <c r="J62" s="78" t="str">
        <f>IF($M62="","",INDEX(fa_tranche,$M62)&amp;"")</f>
        <v/>
      </c>
      <c r="K62" s="56" t="str">
        <f>IF($M62="","",IF(ISNUMBER(INDEX(fa_relance,$M62)),INDEX(fa_relance,$M62),""))</f>
        <v/>
      </c>
      <c r="L62" s="79" t="str">
        <f>IF($M62="","",IF(AND(ISNUMBER(K62),(p_asof-E62)&gt;0,(p_asof-N(K62))&gt;=0,(p_asof-N(K62))&lt;7),"Déjà relancée il y a "&amp;(p_asof-N(K62))&amp;" j",IF((p_asof-E62)&lt;=0,IF((p_asof-E62)&gt;-8,"Rappel courtois avant l'échéance","Aucune action"),IF((p_asof-E62)&lt;=15,"Relance 1 : e-mail de rappel",IF((p_asof-E62)&lt;=30,"Relance 2 : appel téléphonique",IF((p_asof-E62)&lt;=60,"Relance 3 : lettre de relance",IF((p_asof-E62)&lt;=90,"Mise en demeure (recommandé)","Contentieux : injonction de payer")))))))</f>
        <v/>
      </c>
      <c r="M62" t="str">
        <f>IFERROR(MATCH(31,fa_rank,0),"")</f>
        <v/>
      </c>
    </row>
    <row r="63">
      <c r="B63" s="78" t="str">
        <f>IF($M63="","",INDEX(fa_num,$M63)&amp;"")</f>
        <v/>
      </c>
      <c r="C63" s="79" t="str">
        <f>IF($M63="","",INDEX(fa_cname,$M63)&amp;"")</f>
        <v/>
      </c>
      <c r="D63" s="56" t="str">
        <f>IF($M63="","",INDEX(fa_date,$M63))</f>
        <v/>
      </c>
      <c r="E63" s="56" t="str">
        <f>IF($M63="","",INDEX(fa_due,$M63))</f>
        <v/>
      </c>
      <c r="F63" s="75" t="str">
        <f>IF($M63="","",INDEX(fa_ttc,$M63))</f>
        <v/>
      </c>
      <c r="G63" s="75" t="str">
        <f>IF($M63="","",INDEX(fa_paid,$M63)+INDEX(fa_avoirs,$M63))</f>
        <v/>
      </c>
      <c r="H63" s="75" t="str">
        <f>IF($M63="","",INDEX(fa_reste,$M63))</f>
        <v/>
      </c>
      <c r="I63" s="58" t="str">
        <f>IF($M63="","",MAX(0,p_asof-E63))</f>
        <v/>
      </c>
      <c r="J63" s="78" t="str">
        <f>IF($M63="","",INDEX(fa_tranche,$M63)&amp;"")</f>
        <v/>
      </c>
      <c r="K63" s="56" t="str">
        <f>IF($M63="","",IF(ISNUMBER(INDEX(fa_relance,$M63)),INDEX(fa_relance,$M63),""))</f>
        <v/>
      </c>
      <c r="L63" s="79" t="str">
        <f>IF($M63="","",IF(AND(ISNUMBER(K63),(p_asof-E63)&gt;0,(p_asof-N(K63))&gt;=0,(p_asof-N(K63))&lt;7),"Déjà relancée il y a "&amp;(p_asof-N(K63))&amp;" j",IF((p_asof-E63)&lt;=0,IF((p_asof-E63)&gt;-8,"Rappel courtois avant l'échéance","Aucune action"),IF((p_asof-E63)&lt;=15,"Relance 1 : e-mail de rappel",IF((p_asof-E63)&lt;=30,"Relance 2 : appel téléphonique",IF((p_asof-E63)&lt;=60,"Relance 3 : lettre de relance",IF((p_asof-E63)&lt;=90,"Mise en demeure (recommandé)","Contentieux : injonction de payer")))))))</f>
        <v/>
      </c>
      <c r="M63" t="str">
        <f>IFERROR(MATCH(32,fa_rank,0),"")</f>
        <v/>
      </c>
    </row>
    <row r="64">
      <c r="B64" s="78" t="str">
        <f>IF($M64="","",INDEX(fa_num,$M64)&amp;"")</f>
        <v/>
      </c>
      <c r="C64" s="79" t="str">
        <f>IF($M64="","",INDEX(fa_cname,$M64)&amp;"")</f>
        <v/>
      </c>
      <c r="D64" s="56" t="str">
        <f>IF($M64="","",INDEX(fa_date,$M64))</f>
        <v/>
      </c>
      <c r="E64" s="56" t="str">
        <f>IF($M64="","",INDEX(fa_due,$M64))</f>
        <v/>
      </c>
      <c r="F64" s="75" t="str">
        <f>IF($M64="","",INDEX(fa_ttc,$M64))</f>
        <v/>
      </c>
      <c r="G64" s="75" t="str">
        <f>IF($M64="","",INDEX(fa_paid,$M64)+INDEX(fa_avoirs,$M64))</f>
        <v/>
      </c>
      <c r="H64" s="75" t="str">
        <f>IF($M64="","",INDEX(fa_reste,$M64))</f>
        <v/>
      </c>
      <c r="I64" s="58" t="str">
        <f>IF($M64="","",MAX(0,p_asof-E64))</f>
        <v/>
      </c>
      <c r="J64" s="78" t="str">
        <f>IF($M64="","",INDEX(fa_tranche,$M64)&amp;"")</f>
        <v/>
      </c>
      <c r="K64" s="56" t="str">
        <f>IF($M64="","",IF(ISNUMBER(INDEX(fa_relance,$M64)),INDEX(fa_relance,$M64),""))</f>
        <v/>
      </c>
      <c r="L64" s="79" t="str">
        <f>IF($M64="","",IF(AND(ISNUMBER(K64),(p_asof-E64)&gt;0,(p_asof-N(K64))&gt;=0,(p_asof-N(K64))&lt;7),"Déjà relancée il y a "&amp;(p_asof-N(K64))&amp;" j",IF((p_asof-E64)&lt;=0,IF((p_asof-E64)&gt;-8,"Rappel courtois avant l'échéance","Aucune action"),IF((p_asof-E64)&lt;=15,"Relance 1 : e-mail de rappel",IF((p_asof-E64)&lt;=30,"Relance 2 : appel téléphonique",IF((p_asof-E64)&lt;=60,"Relance 3 : lettre de relance",IF((p_asof-E64)&lt;=90,"Mise en demeure (recommandé)","Contentieux : injonction de payer")))))))</f>
        <v/>
      </c>
      <c r="M64" t="str">
        <f>IFERROR(MATCH(33,fa_rank,0),"")</f>
        <v/>
      </c>
    </row>
    <row r="65">
      <c r="B65" s="78" t="str">
        <f>IF($M65="","",INDEX(fa_num,$M65)&amp;"")</f>
        <v/>
      </c>
      <c r="C65" s="79" t="str">
        <f>IF($M65="","",INDEX(fa_cname,$M65)&amp;"")</f>
        <v/>
      </c>
      <c r="D65" s="56" t="str">
        <f>IF($M65="","",INDEX(fa_date,$M65))</f>
        <v/>
      </c>
      <c r="E65" s="56" t="str">
        <f>IF($M65="","",INDEX(fa_due,$M65))</f>
        <v/>
      </c>
      <c r="F65" s="75" t="str">
        <f>IF($M65="","",INDEX(fa_ttc,$M65))</f>
        <v/>
      </c>
      <c r="G65" s="75" t="str">
        <f>IF($M65="","",INDEX(fa_paid,$M65)+INDEX(fa_avoirs,$M65))</f>
        <v/>
      </c>
      <c r="H65" s="75" t="str">
        <f>IF($M65="","",INDEX(fa_reste,$M65))</f>
        <v/>
      </c>
      <c r="I65" s="58" t="str">
        <f>IF($M65="","",MAX(0,p_asof-E65))</f>
        <v/>
      </c>
      <c r="J65" s="78" t="str">
        <f>IF($M65="","",INDEX(fa_tranche,$M65)&amp;"")</f>
        <v/>
      </c>
      <c r="K65" s="56" t="str">
        <f>IF($M65="","",IF(ISNUMBER(INDEX(fa_relance,$M65)),INDEX(fa_relance,$M65),""))</f>
        <v/>
      </c>
      <c r="L65" s="79" t="str">
        <f>IF($M65="","",IF(AND(ISNUMBER(K65),(p_asof-E65)&gt;0,(p_asof-N(K65))&gt;=0,(p_asof-N(K65))&lt;7),"Déjà relancée il y a "&amp;(p_asof-N(K65))&amp;" j",IF((p_asof-E65)&lt;=0,IF((p_asof-E65)&gt;-8,"Rappel courtois avant l'échéance","Aucune action"),IF((p_asof-E65)&lt;=15,"Relance 1 : e-mail de rappel",IF((p_asof-E65)&lt;=30,"Relance 2 : appel téléphonique",IF((p_asof-E65)&lt;=60,"Relance 3 : lettre de relance",IF((p_asof-E65)&lt;=90,"Mise en demeure (recommandé)","Contentieux : injonction de payer")))))))</f>
        <v/>
      </c>
      <c r="M65" t="str">
        <f>IFERROR(MATCH(34,fa_rank,0),"")</f>
        <v/>
      </c>
    </row>
    <row r="66">
      <c r="B66" s="78" t="str">
        <f>IF($M66="","",INDEX(fa_num,$M66)&amp;"")</f>
        <v/>
      </c>
      <c r="C66" s="79" t="str">
        <f>IF($M66="","",INDEX(fa_cname,$M66)&amp;"")</f>
        <v/>
      </c>
      <c r="D66" s="56" t="str">
        <f>IF($M66="","",INDEX(fa_date,$M66))</f>
        <v/>
      </c>
      <c r="E66" s="56" t="str">
        <f>IF($M66="","",INDEX(fa_due,$M66))</f>
        <v/>
      </c>
      <c r="F66" s="75" t="str">
        <f>IF($M66="","",INDEX(fa_ttc,$M66))</f>
        <v/>
      </c>
      <c r="G66" s="75" t="str">
        <f>IF($M66="","",INDEX(fa_paid,$M66)+INDEX(fa_avoirs,$M66))</f>
        <v/>
      </c>
      <c r="H66" s="75" t="str">
        <f>IF($M66="","",INDEX(fa_reste,$M66))</f>
        <v/>
      </c>
      <c r="I66" s="58" t="str">
        <f>IF($M66="","",MAX(0,p_asof-E66))</f>
        <v/>
      </c>
      <c r="J66" s="78" t="str">
        <f>IF($M66="","",INDEX(fa_tranche,$M66)&amp;"")</f>
        <v/>
      </c>
      <c r="K66" s="56" t="str">
        <f>IF($M66="","",IF(ISNUMBER(INDEX(fa_relance,$M66)),INDEX(fa_relance,$M66),""))</f>
        <v/>
      </c>
      <c r="L66" s="79" t="str">
        <f>IF($M66="","",IF(AND(ISNUMBER(K66),(p_asof-E66)&gt;0,(p_asof-N(K66))&gt;=0,(p_asof-N(K66))&lt;7),"Déjà relancée il y a "&amp;(p_asof-N(K66))&amp;" j",IF((p_asof-E66)&lt;=0,IF((p_asof-E66)&gt;-8,"Rappel courtois avant l'échéance","Aucune action"),IF((p_asof-E66)&lt;=15,"Relance 1 : e-mail de rappel",IF((p_asof-E66)&lt;=30,"Relance 2 : appel téléphonique",IF((p_asof-E66)&lt;=60,"Relance 3 : lettre de relance",IF((p_asof-E66)&lt;=90,"Mise en demeure (recommandé)","Contentieux : injonction de payer")))))))</f>
        <v/>
      </c>
      <c r="M66" t="str">
        <f>IFERROR(MATCH(35,fa_rank,0),"")</f>
        <v/>
      </c>
    </row>
    <row r="67">
      <c r="B67" s="78" t="str">
        <f>IF($M67="","",INDEX(fa_num,$M67)&amp;"")</f>
        <v/>
      </c>
      <c r="C67" s="79" t="str">
        <f>IF($M67="","",INDEX(fa_cname,$M67)&amp;"")</f>
        <v/>
      </c>
      <c r="D67" s="56" t="str">
        <f>IF($M67="","",INDEX(fa_date,$M67))</f>
        <v/>
      </c>
      <c r="E67" s="56" t="str">
        <f>IF($M67="","",INDEX(fa_due,$M67))</f>
        <v/>
      </c>
      <c r="F67" s="75" t="str">
        <f>IF($M67="","",INDEX(fa_ttc,$M67))</f>
        <v/>
      </c>
      <c r="G67" s="75" t="str">
        <f>IF($M67="","",INDEX(fa_paid,$M67)+INDEX(fa_avoirs,$M67))</f>
        <v/>
      </c>
      <c r="H67" s="75" t="str">
        <f>IF($M67="","",INDEX(fa_reste,$M67))</f>
        <v/>
      </c>
      <c r="I67" s="58" t="str">
        <f>IF($M67="","",MAX(0,p_asof-E67))</f>
        <v/>
      </c>
      <c r="J67" s="78" t="str">
        <f>IF($M67="","",INDEX(fa_tranche,$M67)&amp;"")</f>
        <v/>
      </c>
      <c r="K67" s="56" t="str">
        <f>IF($M67="","",IF(ISNUMBER(INDEX(fa_relance,$M67)),INDEX(fa_relance,$M67),""))</f>
        <v/>
      </c>
      <c r="L67" s="79" t="str">
        <f>IF($M67="","",IF(AND(ISNUMBER(K67),(p_asof-E67)&gt;0,(p_asof-N(K67))&gt;=0,(p_asof-N(K67))&lt;7),"Déjà relancée il y a "&amp;(p_asof-N(K67))&amp;" j",IF((p_asof-E67)&lt;=0,IF((p_asof-E67)&gt;-8,"Rappel courtois avant l'échéance","Aucune action"),IF((p_asof-E67)&lt;=15,"Relance 1 : e-mail de rappel",IF((p_asof-E67)&lt;=30,"Relance 2 : appel téléphonique",IF((p_asof-E67)&lt;=60,"Relance 3 : lettre de relance",IF((p_asof-E67)&lt;=90,"Mise en demeure (recommandé)","Contentieux : injonction de payer")))))))</f>
        <v/>
      </c>
      <c r="M67" t="str">
        <f>IFERROR(MATCH(36,fa_rank,0),"")</f>
        <v/>
      </c>
    </row>
    <row r="68">
      <c r="B68" s="78" t="str">
        <f>IF($M68="","",INDEX(fa_num,$M68)&amp;"")</f>
        <v/>
      </c>
      <c r="C68" s="79" t="str">
        <f>IF($M68="","",INDEX(fa_cname,$M68)&amp;"")</f>
        <v/>
      </c>
      <c r="D68" s="56" t="str">
        <f>IF($M68="","",INDEX(fa_date,$M68))</f>
        <v/>
      </c>
      <c r="E68" s="56" t="str">
        <f>IF($M68="","",INDEX(fa_due,$M68))</f>
        <v/>
      </c>
      <c r="F68" s="75" t="str">
        <f>IF($M68="","",INDEX(fa_ttc,$M68))</f>
        <v/>
      </c>
      <c r="G68" s="75" t="str">
        <f>IF($M68="","",INDEX(fa_paid,$M68)+INDEX(fa_avoirs,$M68))</f>
        <v/>
      </c>
      <c r="H68" s="75" t="str">
        <f>IF($M68="","",INDEX(fa_reste,$M68))</f>
        <v/>
      </c>
      <c r="I68" s="58" t="str">
        <f>IF($M68="","",MAX(0,p_asof-E68))</f>
        <v/>
      </c>
      <c r="J68" s="78" t="str">
        <f>IF($M68="","",INDEX(fa_tranche,$M68)&amp;"")</f>
        <v/>
      </c>
      <c r="K68" s="56" t="str">
        <f>IF($M68="","",IF(ISNUMBER(INDEX(fa_relance,$M68)),INDEX(fa_relance,$M68),""))</f>
        <v/>
      </c>
      <c r="L68" s="79" t="str">
        <f>IF($M68="","",IF(AND(ISNUMBER(K68),(p_asof-E68)&gt;0,(p_asof-N(K68))&gt;=0,(p_asof-N(K68))&lt;7),"Déjà relancée il y a "&amp;(p_asof-N(K68))&amp;" j",IF((p_asof-E68)&lt;=0,IF((p_asof-E68)&gt;-8,"Rappel courtois avant l'échéance","Aucune action"),IF((p_asof-E68)&lt;=15,"Relance 1 : e-mail de rappel",IF((p_asof-E68)&lt;=30,"Relance 2 : appel téléphonique",IF((p_asof-E68)&lt;=60,"Relance 3 : lettre de relance",IF((p_asof-E68)&lt;=90,"Mise en demeure (recommandé)","Contentieux : injonction de payer")))))))</f>
        <v/>
      </c>
      <c r="M68" t="str">
        <f>IFERROR(MATCH(37,fa_rank,0),"")</f>
        <v/>
      </c>
    </row>
    <row r="69">
      <c r="B69" s="78" t="str">
        <f>IF($M69="","",INDEX(fa_num,$M69)&amp;"")</f>
        <v/>
      </c>
      <c r="C69" s="79" t="str">
        <f>IF($M69="","",INDEX(fa_cname,$M69)&amp;"")</f>
        <v/>
      </c>
      <c r="D69" s="56" t="str">
        <f>IF($M69="","",INDEX(fa_date,$M69))</f>
        <v/>
      </c>
      <c r="E69" s="56" t="str">
        <f>IF($M69="","",INDEX(fa_due,$M69))</f>
        <v/>
      </c>
      <c r="F69" s="75" t="str">
        <f>IF($M69="","",INDEX(fa_ttc,$M69))</f>
        <v/>
      </c>
      <c r="G69" s="75" t="str">
        <f>IF($M69="","",INDEX(fa_paid,$M69)+INDEX(fa_avoirs,$M69))</f>
        <v/>
      </c>
      <c r="H69" s="75" t="str">
        <f>IF($M69="","",INDEX(fa_reste,$M69))</f>
        <v/>
      </c>
      <c r="I69" s="58" t="str">
        <f>IF($M69="","",MAX(0,p_asof-E69))</f>
        <v/>
      </c>
      <c r="J69" s="78" t="str">
        <f>IF($M69="","",INDEX(fa_tranche,$M69)&amp;"")</f>
        <v/>
      </c>
      <c r="K69" s="56" t="str">
        <f>IF($M69="","",IF(ISNUMBER(INDEX(fa_relance,$M69)),INDEX(fa_relance,$M69),""))</f>
        <v/>
      </c>
      <c r="L69" s="79" t="str">
        <f>IF($M69="","",IF(AND(ISNUMBER(K69),(p_asof-E69)&gt;0,(p_asof-N(K69))&gt;=0,(p_asof-N(K69))&lt;7),"Déjà relancée il y a "&amp;(p_asof-N(K69))&amp;" j",IF((p_asof-E69)&lt;=0,IF((p_asof-E69)&gt;-8,"Rappel courtois avant l'échéance","Aucune action"),IF((p_asof-E69)&lt;=15,"Relance 1 : e-mail de rappel",IF((p_asof-E69)&lt;=30,"Relance 2 : appel téléphonique",IF((p_asof-E69)&lt;=60,"Relance 3 : lettre de relance",IF((p_asof-E69)&lt;=90,"Mise en demeure (recommandé)","Contentieux : injonction de payer")))))))</f>
        <v/>
      </c>
      <c r="M69" t="str">
        <f>IFERROR(MATCH(38,fa_rank,0),"")</f>
        <v/>
      </c>
    </row>
    <row r="70">
      <c r="B70" s="78" t="str">
        <f>IF($M70="","",INDEX(fa_num,$M70)&amp;"")</f>
        <v/>
      </c>
      <c r="C70" s="79" t="str">
        <f>IF($M70="","",INDEX(fa_cname,$M70)&amp;"")</f>
        <v/>
      </c>
      <c r="D70" s="56" t="str">
        <f>IF($M70="","",INDEX(fa_date,$M70))</f>
        <v/>
      </c>
      <c r="E70" s="56" t="str">
        <f>IF($M70="","",INDEX(fa_due,$M70))</f>
        <v/>
      </c>
      <c r="F70" s="75" t="str">
        <f>IF($M70="","",INDEX(fa_ttc,$M70))</f>
        <v/>
      </c>
      <c r="G70" s="75" t="str">
        <f>IF($M70="","",INDEX(fa_paid,$M70)+INDEX(fa_avoirs,$M70))</f>
        <v/>
      </c>
      <c r="H70" s="75" t="str">
        <f>IF($M70="","",INDEX(fa_reste,$M70))</f>
        <v/>
      </c>
      <c r="I70" s="58" t="str">
        <f>IF($M70="","",MAX(0,p_asof-E70))</f>
        <v/>
      </c>
      <c r="J70" s="78" t="str">
        <f>IF($M70="","",INDEX(fa_tranche,$M70)&amp;"")</f>
        <v/>
      </c>
      <c r="K70" s="56" t="str">
        <f>IF($M70="","",IF(ISNUMBER(INDEX(fa_relance,$M70)),INDEX(fa_relance,$M70),""))</f>
        <v/>
      </c>
      <c r="L70" s="79" t="str">
        <f>IF($M70="","",IF(AND(ISNUMBER(K70),(p_asof-E70)&gt;0,(p_asof-N(K70))&gt;=0,(p_asof-N(K70))&lt;7),"Déjà relancée il y a "&amp;(p_asof-N(K70))&amp;" j",IF((p_asof-E70)&lt;=0,IF((p_asof-E70)&gt;-8,"Rappel courtois avant l'échéance","Aucune action"),IF((p_asof-E70)&lt;=15,"Relance 1 : e-mail de rappel",IF((p_asof-E70)&lt;=30,"Relance 2 : appel téléphonique",IF((p_asof-E70)&lt;=60,"Relance 3 : lettre de relance",IF((p_asof-E70)&lt;=90,"Mise en demeure (recommandé)","Contentieux : injonction de payer")))))))</f>
        <v/>
      </c>
      <c r="M70" t="str">
        <f>IFERROR(MATCH(39,fa_rank,0),"")</f>
        <v/>
      </c>
    </row>
    <row r="71">
      <c r="B71" s="78" t="str">
        <f>IF($M71="","",INDEX(fa_num,$M71)&amp;"")</f>
        <v/>
      </c>
      <c r="C71" s="79" t="str">
        <f>IF($M71="","",INDEX(fa_cname,$M71)&amp;"")</f>
        <v/>
      </c>
      <c r="D71" s="56" t="str">
        <f>IF($M71="","",INDEX(fa_date,$M71))</f>
        <v/>
      </c>
      <c r="E71" s="56" t="str">
        <f>IF($M71="","",INDEX(fa_due,$M71))</f>
        <v/>
      </c>
      <c r="F71" s="75" t="str">
        <f>IF($M71="","",INDEX(fa_ttc,$M71))</f>
        <v/>
      </c>
      <c r="G71" s="75" t="str">
        <f>IF($M71="","",INDEX(fa_paid,$M71)+INDEX(fa_avoirs,$M71))</f>
        <v/>
      </c>
      <c r="H71" s="75" t="str">
        <f>IF($M71="","",INDEX(fa_reste,$M71))</f>
        <v/>
      </c>
      <c r="I71" s="58" t="str">
        <f>IF($M71="","",MAX(0,p_asof-E71))</f>
        <v/>
      </c>
      <c r="J71" s="78" t="str">
        <f>IF($M71="","",INDEX(fa_tranche,$M71)&amp;"")</f>
        <v/>
      </c>
      <c r="K71" s="56" t="str">
        <f>IF($M71="","",IF(ISNUMBER(INDEX(fa_relance,$M71)),INDEX(fa_relance,$M71),""))</f>
        <v/>
      </c>
      <c r="L71" s="79" t="str">
        <f>IF($M71="","",IF(AND(ISNUMBER(K71),(p_asof-E71)&gt;0,(p_asof-N(K71))&gt;=0,(p_asof-N(K71))&lt;7),"Déjà relancée il y a "&amp;(p_asof-N(K71))&amp;" j",IF((p_asof-E71)&lt;=0,IF((p_asof-E71)&gt;-8,"Rappel courtois avant l'échéance","Aucune action"),IF((p_asof-E71)&lt;=15,"Relance 1 : e-mail de rappel",IF((p_asof-E71)&lt;=30,"Relance 2 : appel téléphonique",IF((p_asof-E71)&lt;=60,"Relance 3 : lettre de relance",IF((p_asof-E71)&lt;=90,"Mise en demeure (recommandé)","Contentieux : injonction de payer")))))))</f>
        <v/>
      </c>
      <c r="M71" t="str">
        <f>IFERROR(MATCH(40,fa_rank,0),"")</f>
        <v/>
      </c>
    </row>
    <row r="72">
      <c r="B72" s="78" t="str">
        <f>IF($M72="","",INDEX(fa_num,$M72)&amp;"")</f>
        <v/>
      </c>
      <c r="C72" s="79" t="str">
        <f>IF($M72="","",INDEX(fa_cname,$M72)&amp;"")</f>
        <v/>
      </c>
      <c r="D72" s="56" t="str">
        <f>IF($M72="","",INDEX(fa_date,$M72))</f>
        <v/>
      </c>
      <c r="E72" s="56" t="str">
        <f>IF($M72="","",INDEX(fa_due,$M72))</f>
        <v/>
      </c>
      <c r="F72" s="75" t="str">
        <f>IF($M72="","",INDEX(fa_ttc,$M72))</f>
        <v/>
      </c>
      <c r="G72" s="75" t="str">
        <f>IF($M72="","",INDEX(fa_paid,$M72)+INDEX(fa_avoirs,$M72))</f>
        <v/>
      </c>
      <c r="H72" s="75" t="str">
        <f>IF($M72="","",INDEX(fa_reste,$M72))</f>
        <v/>
      </c>
      <c r="I72" s="58" t="str">
        <f>IF($M72="","",MAX(0,p_asof-E72))</f>
        <v/>
      </c>
      <c r="J72" s="78" t="str">
        <f>IF($M72="","",INDEX(fa_tranche,$M72)&amp;"")</f>
        <v/>
      </c>
      <c r="K72" s="56" t="str">
        <f>IF($M72="","",IF(ISNUMBER(INDEX(fa_relance,$M72)),INDEX(fa_relance,$M72),""))</f>
        <v/>
      </c>
      <c r="L72" s="79" t="str">
        <f>IF($M72="","",IF(AND(ISNUMBER(K72),(p_asof-E72)&gt;0,(p_asof-N(K72))&gt;=0,(p_asof-N(K72))&lt;7),"Déjà relancée il y a "&amp;(p_asof-N(K72))&amp;" j",IF((p_asof-E72)&lt;=0,IF((p_asof-E72)&gt;-8,"Rappel courtois avant l'échéance","Aucune action"),IF((p_asof-E72)&lt;=15,"Relance 1 : e-mail de rappel",IF((p_asof-E72)&lt;=30,"Relance 2 : appel téléphonique",IF((p_asof-E72)&lt;=60,"Relance 3 : lettre de relance",IF((p_asof-E72)&lt;=90,"Mise en demeure (recommandé)","Contentieux : injonction de payer")))))))</f>
        <v/>
      </c>
      <c r="M72" t="str">
        <f>IFERROR(MATCH(41,fa_rank,0),"")</f>
        <v/>
      </c>
    </row>
    <row r="73">
      <c r="B73" s="78" t="str">
        <f>IF($M73="","",INDEX(fa_num,$M73)&amp;"")</f>
        <v/>
      </c>
      <c r="C73" s="79" t="str">
        <f>IF($M73="","",INDEX(fa_cname,$M73)&amp;"")</f>
        <v/>
      </c>
      <c r="D73" s="56" t="str">
        <f>IF($M73="","",INDEX(fa_date,$M73))</f>
        <v/>
      </c>
      <c r="E73" s="56" t="str">
        <f>IF($M73="","",INDEX(fa_due,$M73))</f>
        <v/>
      </c>
      <c r="F73" s="75" t="str">
        <f>IF($M73="","",INDEX(fa_ttc,$M73))</f>
        <v/>
      </c>
      <c r="G73" s="75" t="str">
        <f>IF($M73="","",INDEX(fa_paid,$M73)+INDEX(fa_avoirs,$M73))</f>
        <v/>
      </c>
      <c r="H73" s="75" t="str">
        <f>IF($M73="","",INDEX(fa_reste,$M73))</f>
        <v/>
      </c>
      <c r="I73" s="58" t="str">
        <f>IF($M73="","",MAX(0,p_asof-E73))</f>
        <v/>
      </c>
      <c r="J73" s="78" t="str">
        <f>IF($M73="","",INDEX(fa_tranche,$M73)&amp;"")</f>
        <v/>
      </c>
      <c r="K73" s="56" t="str">
        <f>IF($M73="","",IF(ISNUMBER(INDEX(fa_relance,$M73)),INDEX(fa_relance,$M73),""))</f>
        <v/>
      </c>
      <c r="L73" s="79" t="str">
        <f>IF($M73="","",IF(AND(ISNUMBER(K73),(p_asof-E73)&gt;0,(p_asof-N(K73))&gt;=0,(p_asof-N(K73))&lt;7),"Déjà relancée il y a "&amp;(p_asof-N(K73))&amp;" j",IF((p_asof-E73)&lt;=0,IF((p_asof-E73)&gt;-8,"Rappel courtois avant l'échéance","Aucune action"),IF((p_asof-E73)&lt;=15,"Relance 1 : e-mail de rappel",IF((p_asof-E73)&lt;=30,"Relance 2 : appel téléphonique",IF((p_asof-E73)&lt;=60,"Relance 3 : lettre de relance",IF((p_asof-E73)&lt;=90,"Mise en demeure (recommandé)","Contentieux : injonction de payer")))))))</f>
        <v/>
      </c>
      <c r="M73" t="str">
        <f>IFERROR(MATCH(42,fa_rank,0),"")</f>
        <v/>
      </c>
    </row>
    <row r="74">
      <c r="B74" s="78" t="str">
        <f>IF($M74="","",INDEX(fa_num,$M74)&amp;"")</f>
        <v/>
      </c>
      <c r="C74" s="79" t="str">
        <f>IF($M74="","",INDEX(fa_cname,$M74)&amp;"")</f>
        <v/>
      </c>
      <c r="D74" s="56" t="str">
        <f>IF($M74="","",INDEX(fa_date,$M74))</f>
        <v/>
      </c>
      <c r="E74" s="56" t="str">
        <f>IF($M74="","",INDEX(fa_due,$M74))</f>
        <v/>
      </c>
      <c r="F74" s="75" t="str">
        <f>IF($M74="","",INDEX(fa_ttc,$M74))</f>
        <v/>
      </c>
      <c r="G74" s="75" t="str">
        <f>IF($M74="","",INDEX(fa_paid,$M74)+INDEX(fa_avoirs,$M74))</f>
        <v/>
      </c>
      <c r="H74" s="75" t="str">
        <f>IF($M74="","",INDEX(fa_reste,$M74))</f>
        <v/>
      </c>
      <c r="I74" s="58" t="str">
        <f>IF($M74="","",MAX(0,p_asof-E74))</f>
        <v/>
      </c>
      <c r="J74" s="78" t="str">
        <f>IF($M74="","",INDEX(fa_tranche,$M74)&amp;"")</f>
        <v/>
      </c>
      <c r="K74" s="56" t="str">
        <f>IF($M74="","",IF(ISNUMBER(INDEX(fa_relance,$M74)),INDEX(fa_relance,$M74),""))</f>
        <v/>
      </c>
      <c r="L74" s="79" t="str">
        <f>IF($M74="","",IF(AND(ISNUMBER(K74),(p_asof-E74)&gt;0,(p_asof-N(K74))&gt;=0,(p_asof-N(K74))&lt;7),"Déjà relancée il y a "&amp;(p_asof-N(K74))&amp;" j",IF((p_asof-E74)&lt;=0,IF((p_asof-E74)&gt;-8,"Rappel courtois avant l'échéance","Aucune action"),IF((p_asof-E74)&lt;=15,"Relance 1 : e-mail de rappel",IF((p_asof-E74)&lt;=30,"Relance 2 : appel téléphonique",IF((p_asof-E74)&lt;=60,"Relance 3 : lettre de relance",IF((p_asof-E74)&lt;=90,"Mise en demeure (recommandé)","Contentieux : injonction de payer")))))))</f>
        <v/>
      </c>
      <c r="M74" t="str">
        <f>IFERROR(MATCH(43,fa_rank,0),"")</f>
        <v/>
      </c>
    </row>
    <row r="75">
      <c r="B75" s="78" t="str">
        <f>IF($M75="","",INDEX(fa_num,$M75)&amp;"")</f>
        <v/>
      </c>
      <c r="C75" s="79" t="str">
        <f>IF($M75="","",INDEX(fa_cname,$M75)&amp;"")</f>
        <v/>
      </c>
      <c r="D75" s="56" t="str">
        <f>IF($M75="","",INDEX(fa_date,$M75))</f>
        <v/>
      </c>
      <c r="E75" s="56" t="str">
        <f>IF($M75="","",INDEX(fa_due,$M75))</f>
        <v/>
      </c>
      <c r="F75" s="75" t="str">
        <f>IF($M75="","",INDEX(fa_ttc,$M75))</f>
        <v/>
      </c>
      <c r="G75" s="75" t="str">
        <f>IF($M75="","",INDEX(fa_paid,$M75)+INDEX(fa_avoirs,$M75))</f>
        <v/>
      </c>
      <c r="H75" s="75" t="str">
        <f>IF($M75="","",INDEX(fa_reste,$M75))</f>
        <v/>
      </c>
      <c r="I75" s="58" t="str">
        <f>IF($M75="","",MAX(0,p_asof-E75))</f>
        <v/>
      </c>
      <c r="J75" s="78" t="str">
        <f>IF($M75="","",INDEX(fa_tranche,$M75)&amp;"")</f>
        <v/>
      </c>
      <c r="K75" s="56" t="str">
        <f>IF($M75="","",IF(ISNUMBER(INDEX(fa_relance,$M75)),INDEX(fa_relance,$M75),""))</f>
        <v/>
      </c>
      <c r="L75" s="79" t="str">
        <f>IF($M75="","",IF(AND(ISNUMBER(K75),(p_asof-E75)&gt;0,(p_asof-N(K75))&gt;=0,(p_asof-N(K75))&lt;7),"Déjà relancée il y a "&amp;(p_asof-N(K75))&amp;" j",IF((p_asof-E75)&lt;=0,IF((p_asof-E75)&gt;-8,"Rappel courtois avant l'échéance","Aucune action"),IF((p_asof-E75)&lt;=15,"Relance 1 : e-mail de rappel",IF((p_asof-E75)&lt;=30,"Relance 2 : appel téléphonique",IF((p_asof-E75)&lt;=60,"Relance 3 : lettre de relance",IF((p_asof-E75)&lt;=90,"Mise en demeure (recommandé)","Contentieux : injonction de payer")))))))</f>
        <v/>
      </c>
      <c r="M75" t="str">
        <f>IFERROR(MATCH(44,fa_rank,0),"")</f>
        <v/>
      </c>
    </row>
    <row r="76">
      <c r="B76" s="78" t="str">
        <f>IF($M76="","",INDEX(fa_num,$M76)&amp;"")</f>
        <v/>
      </c>
      <c r="C76" s="79" t="str">
        <f>IF($M76="","",INDEX(fa_cname,$M76)&amp;"")</f>
        <v/>
      </c>
      <c r="D76" s="56" t="str">
        <f>IF($M76="","",INDEX(fa_date,$M76))</f>
        <v/>
      </c>
      <c r="E76" s="56" t="str">
        <f>IF($M76="","",INDEX(fa_due,$M76))</f>
        <v/>
      </c>
      <c r="F76" s="75" t="str">
        <f>IF($M76="","",INDEX(fa_ttc,$M76))</f>
        <v/>
      </c>
      <c r="G76" s="75" t="str">
        <f>IF($M76="","",INDEX(fa_paid,$M76)+INDEX(fa_avoirs,$M76))</f>
        <v/>
      </c>
      <c r="H76" s="75" t="str">
        <f>IF($M76="","",INDEX(fa_reste,$M76))</f>
        <v/>
      </c>
      <c r="I76" s="58" t="str">
        <f>IF($M76="","",MAX(0,p_asof-E76))</f>
        <v/>
      </c>
      <c r="J76" s="78" t="str">
        <f>IF($M76="","",INDEX(fa_tranche,$M76)&amp;"")</f>
        <v/>
      </c>
      <c r="K76" s="56" t="str">
        <f>IF($M76="","",IF(ISNUMBER(INDEX(fa_relance,$M76)),INDEX(fa_relance,$M76),""))</f>
        <v/>
      </c>
      <c r="L76" s="79" t="str">
        <f>IF($M76="","",IF(AND(ISNUMBER(K76),(p_asof-E76)&gt;0,(p_asof-N(K76))&gt;=0,(p_asof-N(K76))&lt;7),"Déjà relancée il y a "&amp;(p_asof-N(K76))&amp;" j",IF((p_asof-E76)&lt;=0,IF((p_asof-E76)&gt;-8,"Rappel courtois avant l'échéance","Aucune action"),IF((p_asof-E76)&lt;=15,"Relance 1 : e-mail de rappel",IF((p_asof-E76)&lt;=30,"Relance 2 : appel téléphonique",IF((p_asof-E76)&lt;=60,"Relance 3 : lettre de relance",IF((p_asof-E76)&lt;=90,"Mise en demeure (recommandé)","Contentieux : injonction de payer")))))))</f>
        <v/>
      </c>
      <c r="M76" t="str">
        <f>IFERROR(MATCH(45,fa_rank,0),"")</f>
        <v/>
      </c>
    </row>
    <row r="77">
      <c r="B77" s="78" t="str">
        <f>IF($M77="","",INDEX(fa_num,$M77)&amp;"")</f>
        <v/>
      </c>
      <c r="C77" s="79" t="str">
        <f>IF($M77="","",INDEX(fa_cname,$M77)&amp;"")</f>
        <v/>
      </c>
      <c r="D77" s="56" t="str">
        <f>IF($M77="","",INDEX(fa_date,$M77))</f>
        <v/>
      </c>
      <c r="E77" s="56" t="str">
        <f>IF($M77="","",INDEX(fa_due,$M77))</f>
        <v/>
      </c>
      <c r="F77" s="75" t="str">
        <f>IF($M77="","",INDEX(fa_ttc,$M77))</f>
        <v/>
      </c>
      <c r="G77" s="75" t="str">
        <f>IF($M77="","",INDEX(fa_paid,$M77)+INDEX(fa_avoirs,$M77))</f>
        <v/>
      </c>
      <c r="H77" s="75" t="str">
        <f>IF($M77="","",INDEX(fa_reste,$M77))</f>
        <v/>
      </c>
      <c r="I77" s="58" t="str">
        <f>IF($M77="","",MAX(0,p_asof-E77))</f>
        <v/>
      </c>
      <c r="J77" s="78" t="str">
        <f>IF($M77="","",INDEX(fa_tranche,$M77)&amp;"")</f>
        <v/>
      </c>
      <c r="K77" s="56" t="str">
        <f>IF($M77="","",IF(ISNUMBER(INDEX(fa_relance,$M77)),INDEX(fa_relance,$M77),""))</f>
        <v/>
      </c>
      <c r="L77" s="79" t="str">
        <f>IF($M77="","",IF(AND(ISNUMBER(K77),(p_asof-E77)&gt;0,(p_asof-N(K77))&gt;=0,(p_asof-N(K77))&lt;7),"Déjà relancée il y a "&amp;(p_asof-N(K77))&amp;" j",IF((p_asof-E77)&lt;=0,IF((p_asof-E77)&gt;-8,"Rappel courtois avant l'échéance","Aucune action"),IF((p_asof-E77)&lt;=15,"Relance 1 : e-mail de rappel",IF((p_asof-E77)&lt;=30,"Relance 2 : appel téléphonique",IF((p_asof-E77)&lt;=60,"Relance 3 : lettre de relance",IF((p_asof-E77)&lt;=90,"Mise en demeure (recommandé)","Contentieux : injonction de payer")))))))</f>
        <v/>
      </c>
      <c r="M77" t="str">
        <f>IFERROR(MATCH(46,fa_rank,0),"")</f>
        <v/>
      </c>
    </row>
    <row r="78">
      <c r="B78" s="78" t="str">
        <f>IF($M78="","",INDEX(fa_num,$M78)&amp;"")</f>
        <v/>
      </c>
      <c r="C78" s="79" t="str">
        <f>IF($M78="","",INDEX(fa_cname,$M78)&amp;"")</f>
        <v/>
      </c>
      <c r="D78" s="56" t="str">
        <f>IF($M78="","",INDEX(fa_date,$M78))</f>
        <v/>
      </c>
      <c r="E78" s="56" t="str">
        <f>IF($M78="","",INDEX(fa_due,$M78))</f>
        <v/>
      </c>
      <c r="F78" s="75" t="str">
        <f>IF($M78="","",INDEX(fa_ttc,$M78))</f>
        <v/>
      </c>
      <c r="G78" s="75" t="str">
        <f>IF($M78="","",INDEX(fa_paid,$M78)+INDEX(fa_avoirs,$M78))</f>
        <v/>
      </c>
      <c r="H78" s="75" t="str">
        <f>IF($M78="","",INDEX(fa_reste,$M78))</f>
        <v/>
      </c>
      <c r="I78" s="58" t="str">
        <f>IF($M78="","",MAX(0,p_asof-E78))</f>
        <v/>
      </c>
      <c r="J78" s="78" t="str">
        <f>IF($M78="","",INDEX(fa_tranche,$M78)&amp;"")</f>
        <v/>
      </c>
      <c r="K78" s="56" t="str">
        <f>IF($M78="","",IF(ISNUMBER(INDEX(fa_relance,$M78)),INDEX(fa_relance,$M78),""))</f>
        <v/>
      </c>
      <c r="L78" s="79" t="str">
        <f>IF($M78="","",IF(AND(ISNUMBER(K78),(p_asof-E78)&gt;0,(p_asof-N(K78))&gt;=0,(p_asof-N(K78))&lt;7),"Déjà relancée il y a "&amp;(p_asof-N(K78))&amp;" j",IF((p_asof-E78)&lt;=0,IF((p_asof-E78)&gt;-8,"Rappel courtois avant l'échéance","Aucune action"),IF((p_asof-E78)&lt;=15,"Relance 1 : e-mail de rappel",IF((p_asof-E78)&lt;=30,"Relance 2 : appel téléphonique",IF((p_asof-E78)&lt;=60,"Relance 3 : lettre de relance",IF((p_asof-E78)&lt;=90,"Mise en demeure (recommandé)","Contentieux : injonction de payer")))))))</f>
        <v/>
      </c>
      <c r="M78" t="str">
        <f>IFERROR(MATCH(47,fa_rank,0),"")</f>
        <v/>
      </c>
    </row>
    <row r="79">
      <c r="B79" s="78" t="str">
        <f>IF($M79="","",INDEX(fa_num,$M79)&amp;"")</f>
        <v/>
      </c>
      <c r="C79" s="79" t="str">
        <f>IF($M79="","",INDEX(fa_cname,$M79)&amp;"")</f>
        <v/>
      </c>
      <c r="D79" s="56" t="str">
        <f>IF($M79="","",INDEX(fa_date,$M79))</f>
        <v/>
      </c>
      <c r="E79" s="56" t="str">
        <f>IF($M79="","",INDEX(fa_due,$M79))</f>
        <v/>
      </c>
      <c r="F79" s="75" t="str">
        <f>IF($M79="","",INDEX(fa_ttc,$M79))</f>
        <v/>
      </c>
      <c r="G79" s="75" t="str">
        <f>IF($M79="","",INDEX(fa_paid,$M79)+INDEX(fa_avoirs,$M79))</f>
        <v/>
      </c>
      <c r="H79" s="75" t="str">
        <f>IF($M79="","",INDEX(fa_reste,$M79))</f>
        <v/>
      </c>
      <c r="I79" s="58" t="str">
        <f>IF($M79="","",MAX(0,p_asof-E79))</f>
        <v/>
      </c>
      <c r="J79" s="78" t="str">
        <f>IF($M79="","",INDEX(fa_tranche,$M79)&amp;"")</f>
        <v/>
      </c>
      <c r="K79" s="56" t="str">
        <f>IF($M79="","",IF(ISNUMBER(INDEX(fa_relance,$M79)),INDEX(fa_relance,$M79),""))</f>
        <v/>
      </c>
      <c r="L79" s="79" t="str">
        <f>IF($M79="","",IF(AND(ISNUMBER(K79),(p_asof-E79)&gt;0,(p_asof-N(K79))&gt;=0,(p_asof-N(K79))&lt;7),"Déjà relancée il y a "&amp;(p_asof-N(K79))&amp;" j",IF((p_asof-E79)&lt;=0,IF((p_asof-E79)&gt;-8,"Rappel courtois avant l'échéance","Aucune action"),IF((p_asof-E79)&lt;=15,"Relance 1 : e-mail de rappel",IF((p_asof-E79)&lt;=30,"Relance 2 : appel téléphonique",IF((p_asof-E79)&lt;=60,"Relance 3 : lettre de relance",IF((p_asof-E79)&lt;=90,"Mise en demeure (recommandé)","Contentieux : injonction de payer")))))))</f>
        <v/>
      </c>
      <c r="M79" t="str">
        <f>IFERROR(MATCH(48,fa_rank,0),"")</f>
        <v/>
      </c>
    </row>
    <row r="80">
      <c r="B80" s="78" t="str">
        <f>IF($M80="","",INDEX(fa_num,$M80)&amp;"")</f>
        <v/>
      </c>
      <c r="C80" s="79" t="str">
        <f>IF($M80="","",INDEX(fa_cname,$M80)&amp;"")</f>
        <v/>
      </c>
      <c r="D80" s="56" t="str">
        <f>IF($M80="","",INDEX(fa_date,$M80))</f>
        <v/>
      </c>
      <c r="E80" s="56" t="str">
        <f>IF($M80="","",INDEX(fa_due,$M80))</f>
        <v/>
      </c>
      <c r="F80" s="75" t="str">
        <f>IF($M80="","",INDEX(fa_ttc,$M80))</f>
        <v/>
      </c>
      <c r="G80" s="75" t="str">
        <f>IF($M80="","",INDEX(fa_paid,$M80)+INDEX(fa_avoirs,$M80))</f>
        <v/>
      </c>
      <c r="H80" s="75" t="str">
        <f>IF($M80="","",INDEX(fa_reste,$M80))</f>
        <v/>
      </c>
      <c r="I80" s="58" t="str">
        <f>IF($M80="","",MAX(0,p_asof-E80))</f>
        <v/>
      </c>
      <c r="J80" s="78" t="str">
        <f>IF($M80="","",INDEX(fa_tranche,$M80)&amp;"")</f>
        <v/>
      </c>
      <c r="K80" s="56" t="str">
        <f>IF($M80="","",IF(ISNUMBER(INDEX(fa_relance,$M80)),INDEX(fa_relance,$M80),""))</f>
        <v/>
      </c>
      <c r="L80" s="79" t="str">
        <f>IF($M80="","",IF(AND(ISNUMBER(K80),(p_asof-E80)&gt;0,(p_asof-N(K80))&gt;=0,(p_asof-N(K80))&lt;7),"Déjà relancée il y a "&amp;(p_asof-N(K80))&amp;" j",IF((p_asof-E80)&lt;=0,IF((p_asof-E80)&gt;-8,"Rappel courtois avant l'échéance","Aucune action"),IF((p_asof-E80)&lt;=15,"Relance 1 : e-mail de rappel",IF((p_asof-E80)&lt;=30,"Relance 2 : appel téléphonique",IF((p_asof-E80)&lt;=60,"Relance 3 : lettre de relance",IF((p_asof-E80)&lt;=90,"Mise en demeure (recommandé)","Contentieux : injonction de payer")))))))</f>
        <v/>
      </c>
      <c r="M80" t="str">
        <f>IFERROR(MATCH(49,fa_rank,0),"")</f>
        <v/>
      </c>
    </row>
    <row r="81">
      <c r="B81" s="78" t="str">
        <f>IF($M81="","",INDEX(fa_num,$M81)&amp;"")</f>
        <v/>
      </c>
      <c r="C81" s="79" t="str">
        <f>IF($M81="","",INDEX(fa_cname,$M81)&amp;"")</f>
        <v/>
      </c>
      <c r="D81" s="56" t="str">
        <f>IF($M81="","",INDEX(fa_date,$M81))</f>
        <v/>
      </c>
      <c r="E81" s="56" t="str">
        <f>IF($M81="","",INDEX(fa_due,$M81))</f>
        <v/>
      </c>
      <c r="F81" s="75" t="str">
        <f>IF($M81="","",INDEX(fa_ttc,$M81))</f>
        <v/>
      </c>
      <c r="G81" s="75" t="str">
        <f>IF($M81="","",INDEX(fa_paid,$M81)+INDEX(fa_avoirs,$M81))</f>
        <v/>
      </c>
      <c r="H81" s="75" t="str">
        <f>IF($M81="","",INDEX(fa_reste,$M81))</f>
        <v/>
      </c>
      <c r="I81" s="58" t="str">
        <f>IF($M81="","",MAX(0,p_asof-E81))</f>
        <v/>
      </c>
      <c r="J81" s="78" t="str">
        <f>IF($M81="","",INDEX(fa_tranche,$M81)&amp;"")</f>
        <v/>
      </c>
      <c r="K81" s="56" t="str">
        <f>IF($M81="","",IF(ISNUMBER(INDEX(fa_relance,$M81)),INDEX(fa_relance,$M81),""))</f>
        <v/>
      </c>
      <c r="L81" s="79" t="str">
        <f>IF($M81="","",IF(AND(ISNUMBER(K81),(p_asof-E81)&gt;0,(p_asof-N(K81))&gt;=0,(p_asof-N(K81))&lt;7),"Déjà relancée il y a "&amp;(p_asof-N(K81))&amp;" j",IF((p_asof-E81)&lt;=0,IF((p_asof-E81)&gt;-8,"Rappel courtois avant l'échéance","Aucune action"),IF((p_asof-E81)&lt;=15,"Relance 1 : e-mail de rappel",IF((p_asof-E81)&lt;=30,"Relance 2 : appel téléphonique",IF((p_asof-E81)&lt;=60,"Relance 3 : lettre de relance",IF((p_asof-E81)&lt;=90,"Mise en demeure (recommandé)","Contentieux : injonction de payer")))))))</f>
        <v/>
      </c>
      <c r="M81" t="str">
        <f>IFERROR(MATCH(50,fa_rank,0),"")</f>
        <v/>
      </c>
    </row>
    <row r="82">
      <c r="B82" s="78" t="str">
        <f>IF($M82="","",INDEX(fa_num,$M82)&amp;"")</f>
        <v/>
      </c>
      <c r="C82" s="79" t="str">
        <f>IF($M82="","",INDEX(fa_cname,$M82)&amp;"")</f>
        <v/>
      </c>
      <c r="D82" s="56" t="str">
        <f>IF($M82="","",INDEX(fa_date,$M82))</f>
        <v/>
      </c>
      <c r="E82" s="56" t="str">
        <f>IF($M82="","",INDEX(fa_due,$M82))</f>
        <v/>
      </c>
      <c r="F82" s="75" t="str">
        <f>IF($M82="","",INDEX(fa_ttc,$M82))</f>
        <v/>
      </c>
      <c r="G82" s="75" t="str">
        <f>IF($M82="","",INDEX(fa_paid,$M82)+INDEX(fa_avoirs,$M82))</f>
        <v/>
      </c>
      <c r="H82" s="75" t="str">
        <f>IF($M82="","",INDEX(fa_reste,$M82))</f>
        <v/>
      </c>
      <c r="I82" s="58" t="str">
        <f>IF($M82="","",MAX(0,p_asof-E82))</f>
        <v/>
      </c>
      <c r="J82" s="78" t="str">
        <f>IF($M82="","",INDEX(fa_tranche,$M82)&amp;"")</f>
        <v/>
      </c>
      <c r="K82" s="56" t="str">
        <f>IF($M82="","",IF(ISNUMBER(INDEX(fa_relance,$M82)),INDEX(fa_relance,$M82),""))</f>
        <v/>
      </c>
      <c r="L82" s="79" t="str">
        <f>IF($M82="","",IF(AND(ISNUMBER(K82),(p_asof-E82)&gt;0,(p_asof-N(K82))&gt;=0,(p_asof-N(K82))&lt;7),"Déjà relancée il y a "&amp;(p_asof-N(K82))&amp;" j",IF((p_asof-E82)&lt;=0,IF((p_asof-E82)&gt;-8,"Rappel courtois avant l'échéance","Aucune action"),IF((p_asof-E82)&lt;=15,"Relance 1 : e-mail de rappel",IF((p_asof-E82)&lt;=30,"Relance 2 : appel téléphonique",IF((p_asof-E82)&lt;=60,"Relance 3 : lettre de relance",IF((p_asof-E82)&lt;=90,"Mise en demeure (recommandé)","Contentieux : injonction de payer")))))))</f>
        <v/>
      </c>
      <c r="M82" t="str">
        <f>IFERROR(MATCH(51,fa_rank,0),"")</f>
        <v/>
      </c>
    </row>
    <row r="83">
      <c r="B83" s="78" t="str">
        <f>IF($M83="","",INDEX(fa_num,$M83)&amp;"")</f>
        <v/>
      </c>
      <c r="C83" s="79" t="str">
        <f>IF($M83="","",INDEX(fa_cname,$M83)&amp;"")</f>
        <v/>
      </c>
      <c r="D83" s="56" t="str">
        <f>IF($M83="","",INDEX(fa_date,$M83))</f>
        <v/>
      </c>
      <c r="E83" s="56" t="str">
        <f>IF($M83="","",INDEX(fa_due,$M83))</f>
        <v/>
      </c>
      <c r="F83" s="75" t="str">
        <f>IF($M83="","",INDEX(fa_ttc,$M83))</f>
        <v/>
      </c>
      <c r="G83" s="75" t="str">
        <f>IF($M83="","",INDEX(fa_paid,$M83)+INDEX(fa_avoirs,$M83))</f>
        <v/>
      </c>
      <c r="H83" s="75" t="str">
        <f>IF($M83="","",INDEX(fa_reste,$M83))</f>
        <v/>
      </c>
      <c r="I83" s="58" t="str">
        <f>IF($M83="","",MAX(0,p_asof-E83))</f>
        <v/>
      </c>
      <c r="J83" s="78" t="str">
        <f>IF($M83="","",INDEX(fa_tranche,$M83)&amp;"")</f>
        <v/>
      </c>
      <c r="K83" s="56" t="str">
        <f>IF($M83="","",IF(ISNUMBER(INDEX(fa_relance,$M83)),INDEX(fa_relance,$M83),""))</f>
        <v/>
      </c>
      <c r="L83" s="79" t="str">
        <f>IF($M83="","",IF(AND(ISNUMBER(K83),(p_asof-E83)&gt;0,(p_asof-N(K83))&gt;=0,(p_asof-N(K83))&lt;7),"Déjà relancée il y a "&amp;(p_asof-N(K83))&amp;" j",IF((p_asof-E83)&lt;=0,IF((p_asof-E83)&gt;-8,"Rappel courtois avant l'échéance","Aucune action"),IF((p_asof-E83)&lt;=15,"Relance 1 : e-mail de rappel",IF((p_asof-E83)&lt;=30,"Relance 2 : appel téléphonique",IF((p_asof-E83)&lt;=60,"Relance 3 : lettre de relance",IF((p_asof-E83)&lt;=90,"Mise en demeure (recommandé)","Contentieux : injonction de payer")))))))</f>
        <v/>
      </c>
      <c r="M83" t="str">
        <f>IFERROR(MATCH(52,fa_rank,0),"")</f>
        <v/>
      </c>
    </row>
    <row r="84">
      <c r="B84" s="78" t="str">
        <f>IF($M84="","",INDEX(fa_num,$M84)&amp;"")</f>
        <v/>
      </c>
      <c r="C84" s="79" t="str">
        <f>IF($M84="","",INDEX(fa_cname,$M84)&amp;"")</f>
        <v/>
      </c>
      <c r="D84" s="56" t="str">
        <f>IF($M84="","",INDEX(fa_date,$M84))</f>
        <v/>
      </c>
      <c r="E84" s="56" t="str">
        <f>IF($M84="","",INDEX(fa_due,$M84))</f>
        <v/>
      </c>
      <c r="F84" s="75" t="str">
        <f>IF($M84="","",INDEX(fa_ttc,$M84))</f>
        <v/>
      </c>
      <c r="G84" s="75" t="str">
        <f>IF($M84="","",INDEX(fa_paid,$M84)+INDEX(fa_avoirs,$M84))</f>
        <v/>
      </c>
      <c r="H84" s="75" t="str">
        <f>IF($M84="","",INDEX(fa_reste,$M84))</f>
        <v/>
      </c>
      <c r="I84" s="58" t="str">
        <f>IF($M84="","",MAX(0,p_asof-E84))</f>
        <v/>
      </c>
      <c r="J84" s="78" t="str">
        <f>IF($M84="","",INDEX(fa_tranche,$M84)&amp;"")</f>
        <v/>
      </c>
      <c r="K84" s="56" t="str">
        <f>IF($M84="","",IF(ISNUMBER(INDEX(fa_relance,$M84)),INDEX(fa_relance,$M84),""))</f>
        <v/>
      </c>
      <c r="L84" s="79" t="str">
        <f>IF($M84="","",IF(AND(ISNUMBER(K84),(p_asof-E84)&gt;0,(p_asof-N(K84))&gt;=0,(p_asof-N(K84))&lt;7),"Déjà relancée il y a "&amp;(p_asof-N(K84))&amp;" j",IF((p_asof-E84)&lt;=0,IF((p_asof-E84)&gt;-8,"Rappel courtois avant l'échéance","Aucune action"),IF((p_asof-E84)&lt;=15,"Relance 1 : e-mail de rappel",IF((p_asof-E84)&lt;=30,"Relance 2 : appel téléphonique",IF((p_asof-E84)&lt;=60,"Relance 3 : lettre de relance",IF((p_asof-E84)&lt;=90,"Mise en demeure (recommandé)","Contentieux : injonction de payer")))))))</f>
        <v/>
      </c>
      <c r="M84" t="str">
        <f>IFERROR(MATCH(53,fa_rank,0),"")</f>
        <v/>
      </c>
    </row>
    <row r="85">
      <c r="B85" s="78" t="str">
        <f>IF($M85="","",INDEX(fa_num,$M85)&amp;"")</f>
        <v/>
      </c>
      <c r="C85" s="79" t="str">
        <f>IF($M85="","",INDEX(fa_cname,$M85)&amp;"")</f>
        <v/>
      </c>
      <c r="D85" s="56" t="str">
        <f>IF($M85="","",INDEX(fa_date,$M85))</f>
        <v/>
      </c>
      <c r="E85" s="56" t="str">
        <f>IF($M85="","",INDEX(fa_due,$M85))</f>
        <v/>
      </c>
      <c r="F85" s="75" t="str">
        <f>IF($M85="","",INDEX(fa_ttc,$M85))</f>
        <v/>
      </c>
      <c r="G85" s="75" t="str">
        <f>IF($M85="","",INDEX(fa_paid,$M85)+INDEX(fa_avoirs,$M85))</f>
        <v/>
      </c>
      <c r="H85" s="75" t="str">
        <f>IF($M85="","",INDEX(fa_reste,$M85))</f>
        <v/>
      </c>
      <c r="I85" s="58" t="str">
        <f>IF($M85="","",MAX(0,p_asof-E85))</f>
        <v/>
      </c>
      <c r="J85" s="78" t="str">
        <f>IF($M85="","",INDEX(fa_tranche,$M85)&amp;"")</f>
        <v/>
      </c>
      <c r="K85" s="56" t="str">
        <f>IF($M85="","",IF(ISNUMBER(INDEX(fa_relance,$M85)),INDEX(fa_relance,$M85),""))</f>
        <v/>
      </c>
      <c r="L85" s="79" t="str">
        <f>IF($M85="","",IF(AND(ISNUMBER(K85),(p_asof-E85)&gt;0,(p_asof-N(K85))&gt;=0,(p_asof-N(K85))&lt;7),"Déjà relancée il y a "&amp;(p_asof-N(K85))&amp;" j",IF((p_asof-E85)&lt;=0,IF((p_asof-E85)&gt;-8,"Rappel courtois avant l'échéance","Aucune action"),IF((p_asof-E85)&lt;=15,"Relance 1 : e-mail de rappel",IF((p_asof-E85)&lt;=30,"Relance 2 : appel téléphonique",IF((p_asof-E85)&lt;=60,"Relance 3 : lettre de relance",IF((p_asof-E85)&lt;=90,"Mise en demeure (recommandé)","Contentieux : injonction de payer")))))))</f>
        <v/>
      </c>
      <c r="M85" t="str">
        <f>IFERROR(MATCH(54,fa_rank,0),"")</f>
        <v/>
      </c>
    </row>
    <row r="86">
      <c r="B86" s="78" t="str">
        <f>IF($M86="","",INDEX(fa_num,$M86)&amp;"")</f>
        <v/>
      </c>
      <c r="C86" s="79" t="str">
        <f>IF($M86="","",INDEX(fa_cname,$M86)&amp;"")</f>
        <v/>
      </c>
      <c r="D86" s="56" t="str">
        <f>IF($M86="","",INDEX(fa_date,$M86))</f>
        <v/>
      </c>
      <c r="E86" s="56" t="str">
        <f>IF($M86="","",INDEX(fa_due,$M86))</f>
        <v/>
      </c>
      <c r="F86" s="75" t="str">
        <f>IF($M86="","",INDEX(fa_ttc,$M86))</f>
        <v/>
      </c>
      <c r="G86" s="75" t="str">
        <f>IF($M86="","",INDEX(fa_paid,$M86)+INDEX(fa_avoirs,$M86))</f>
        <v/>
      </c>
      <c r="H86" s="75" t="str">
        <f>IF($M86="","",INDEX(fa_reste,$M86))</f>
        <v/>
      </c>
      <c r="I86" s="58" t="str">
        <f>IF($M86="","",MAX(0,p_asof-E86))</f>
        <v/>
      </c>
      <c r="J86" s="78" t="str">
        <f>IF($M86="","",INDEX(fa_tranche,$M86)&amp;"")</f>
        <v/>
      </c>
      <c r="K86" s="56" t="str">
        <f>IF($M86="","",IF(ISNUMBER(INDEX(fa_relance,$M86)),INDEX(fa_relance,$M86),""))</f>
        <v/>
      </c>
      <c r="L86" s="79" t="str">
        <f>IF($M86="","",IF(AND(ISNUMBER(K86),(p_asof-E86)&gt;0,(p_asof-N(K86))&gt;=0,(p_asof-N(K86))&lt;7),"Déjà relancée il y a "&amp;(p_asof-N(K86))&amp;" j",IF((p_asof-E86)&lt;=0,IF((p_asof-E86)&gt;-8,"Rappel courtois avant l'échéance","Aucune action"),IF((p_asof-E86)&lt;=15,"Relance 1 : e-mail de rappel",IF((p_asof-E86)&lt;=30,"Relance 2 : appel téléphonique",IF((p_asof-E86)&lt;=60,"Relance 3 : lettre de relance",IF((p_asof-E86)&lt;=90,"Mise en demeure (recommandé)","Contentieux : injonction de payer")))))))</f>
        <v/>
      </c>
      <c r="M86" t="str">
        <f>IFERROR(MATCH(55,fa_rank,0),"")</f>
        <v/>
      </c>
    </row>
    <row r="87">
      <c r="B87" s="78" t="str">
        <f>IF($M87="","",INDEX(fa_num,$M87)&amp;"")</f>
        <v/>
      </c>
      <c r="C87" s="79" t="str">
        <f>IF($M87="","",INDEX(fa_cname,$M87)&amp;"")</f>
        <v/>
      </c>
      <c r="D87" s="56" t="str">
        <f>IF($M87="","",INDEX(fa_date,$M87))</f>
        <v/>
      </c>
      <c r="E87" s="56" t="str">
        <f>IF($M87="","",INDEX(fa_due,$M87))</f>
        <v/>
      </c>
      <c r="F87" s="75" t="str">
        <f>IF($M87="","",INDEX(fa_ttc,$M87))</f>
        <v/>
      </c>
      <c r="G87" s="75" t="str">
        <f>IF($M87="","",INDEX(fa_paid,$M87)+INDEX(fa_avoirs,$M87))</f>
        <v/>
      </c>
      <c r="H87" s="75" t="str">
        <f>IF($M87="","",INDEX(fa_reste,$M87))</f>
        <v/>
      </c>
      <c r="I87" s="58" t="str">
        <f>IF($M87="","",MAX(0,p_asof-E87))</f>
        <v/>
      </c>
      <c r="J87" s="78" t="str">
        <f>IF($M87="","",INDEX(fa_tranche,$M87)&amp;"")</f>
        <v/>
      </c>
      <c r="K87" s="56" t="str">
        <f>IF($M87="","",IF(ISNUMBER(INDEX(fa_relance,$M87)),INDEX(fa_relance,$M87),""))</f>
        <v/>
      </c>
      <c r="L87" s="79" t="str">
        <f>IF($M87="","",IF(AND(ISNUMBER(K87),(p_asof-E87)&gt;0,(p_asof-N(K87))&gt;=0,(p_asof-N(K87))&lt;7),"Déjà relancée il y a "&amp;(p_asof-N(K87))&amp;" j",IF((p_asof-E87)&lt;=0,IF((p_asof-E87)&gt;-8,"Rappel courtois avant l'échéance","Aucune action"),IF((p_asof-E87)&lt;=15,"Relance 1 : e-mail de rappel",IF((p_asof-E87)&lt;=30,"Relance 2 : appel téléphonique",IF((p_asof-E87)&lt;=60,"Relance 3 : lettre de relance",IF((p_asof-E87)&lt;=90,"Mise en demeure (recommandé)","Contentieux : injonction de payer")))))))</f>
        <v/>
      </c>
      <c r="M87" t="str">
        <f>IFERROR(MATCH(56,fa_rank,0),"")</f>
        <v/>
      </c>
    </row>
    <row r="88">
      <c r="B88" s="78" t="str">
        <f>IF($M88="","",INDEX(fa_num,$M88)&amp;"")</f>
        <v/>
      </c>
      <c r="C88" s="79" t="str">
        <f>IF($M88="","",INDEX(fa_cname,$M88)&amp;"")</f>
        <v/>
      </c>
      <c r="D88" s="56" t="str">
        <f>IF($M88="","",INDEX(fa_date,$M88))</f>
        <v/>
      </c>
      <c r="E88" s="56" t="str">
        <f>IF($M88="","",INDEX(fa_due,$M88))</f>
        <v/>
      </c>
      <c r="F88" s="75" t="str">
        <f>IF($M88="","",INDEX(fa_ttc,$M88))</f>
        <v/>
      </c>
      <c r="G88" s="75" t="str">
        <f>IF($M88="","",INDEX(fa_paid,$M88)+INDEX(fa_avoirs,$M88))</f>
        <v/>
      </c>
      <c r="H88" s="75" t="str">
        <f>IF($M88="","",INDEX(fa_reste,$M88))</f>
        <v/>
      </c>
      <c r="I88" s="58" t="str">
        <f>IF($M88="","",MAX(0,p_asof-E88))</f>
        <v/>
      </c>
      <c r="J88" s="78" t="str">
        <f>IF($M88="","",INDEX(fa_tranche,$M88)&amp;"")</f>
        <v/>
      </c>
      <c r="K88" s="56" t="str">
        <f>IF($M88="","",IF(ISNUMBER(INDEX(fa_relance,$M88)),INDEX(fa_relance,$M88),""))</f>
        <v/>
      </c>
      <c r="L88" s="79" t="str">
        <f>IF($M88="","",IF(AND(ISNUMBER(K88),(p_asof-E88)&gt;0,(p_asof-N(K88))&gt;=0,(p_asof-N(K88))&lt;7),"Déjà relancée il y a "&amp;(p_asof-N(K88))&amp;" j",IF((p_asof-E88)&lt;=0,IF((p_asof-E88)&gt;-8,"Rappel courtois avant l'échéance","Aucune action"),IF((p_asof-E88)&lt;=15,"Relance 1 : e-mail de rappel",IF((p_asof-E88)&lt;=30,"Relance 2 : appel téléphonique",IF((p_asof-E88)&lt;=60,"Relance 3 : lettre de relance",IF((p_asof-E88)&lt;=90,"Mise en demeure (recommandé)","Contentieux : injonction de payer")))))))</f>
        <v/>
      </c>
      <c r="M88" t="str">
        <f>IFERROR(MATCH(57,fa_rank,0),"")</f>
        <v/>
      </c>
    </row>
    <row r="89">
      <c r="B89" s="78" t="str">
        <f>IF($M89="","",INDEX(fa_num,$M89)&amp;"")</f>
        <v/>
      </c>
      <c r="C89" s="79" t="str">
        <f>IF($M89="","",INDEX(fa_cname,$M89)&amp;"")</f>
        <v/>
      </c>
      <c r="D89" s="56" t="str">
        <f>IF($M89="","",INDEX(fa_date,$M89))</f>
        <v/>
      </c>
      <c r="E89" s="56" t="str">
        <f>IF($M89="","",INDEX(fa_due,$M89))</f>
        <v/>
      </c>
      <c r="F89" s="75" t="str">
        <f>IF($M89="","",INDEX(fa_ttc,$M89))</f>
        <v/>
      </c>
      <c r="G89" s="75" t="str">
        <f>IF($M89="","",INDEX(fa_paid,$M89)+INDEX(fa_avoirs,$M89))</f>
        <v/>
      </c>
      <c r="H89" s="75" t="str">
        <f>IF($M89="","",INDEX(fa_reste,$M89))</f>
        <v/>
      </c>
      <c r="I89" s="58" t="str">
        <f>IF($M89="","",MAX(0,p_asof-E89))</f>
        <v/>
      </c>
      <c r="J89" s="78" t="str">
        <f>IF($M89="","",INDEX(fa_tranche,$M89)&amp;"")</f>
        <v/>
      </c>
      <c r="K89" s="56" t="str">
        <f>IF($M89="","",IF(ISNUMBER(INDEX(fa_relance,$M89)),INDEX(fa_relance,$M89),""))</f>
        <v/>
      </c>
      <c r="L89" s="79" t="str">
        <f>IF($M89="","",IF(AND(ISNUMBER(K89),(p_asof-E89)&gt;0,(p_asof-N(K89))&gt;=0,(p_asof-N(K89))&lt;7),"Déjà relancée il y a "&amp;(p_asof-N(K89))&amp;" j",IF((p_asof-E89)&lt;=0,IF((p_asof-E89)&gt;-8,"Rappel courtois avant l'échéance","Aucune action"),IF((p_asof-E89)&lt;=15,"Relance 1 : e-mail de rappel",IF((p_asof-E89)&lt;=30,"Relance 2 : appel téléphonique",IF((p_asof-E89)&lt;=60,"Relance 3 : lettre de relance",IF((p_asof-E89)&lt;=90,"Mise en demeure (recommandé)","Contentieux : injonction de payer")))))))</f>
        <v/>
      </c>
      <c r="M89" t="str">
        <f>IFERROR(MATCH(58,fa_rank,0),"")</f>
        <v/>
      </c>
    </row>
    <row r="90">
      <c r="B90" s="78" t="str">
        <f>IF($M90="","",INDEX(fa_num,$M90)&amp;"")</f>
        <v/>
      </c>
      <c r="C90" s="79" t="str">
        <f>IF($M90="","",INDEX(fa_cname,$M90)&amp;"")</f>
        <v/>
      </c>
      <c r="D90" s="56" t="str">
        <f>IF($M90="","",INDEX(fa_date,$M90))</f>
        <v/>
      </c>
      <c r="E90" s="56" t="str">
        <f>IF($M90="","",INDEX(fa_due,$M90))</f>
        <v/>
      </c>
      <c r="F90" s="75" t="str">
        <f>IF($M90="","",INDEX(fa_ttc,$M90))</f>
        <v/>
      </c>
      <c r="G90" s="75" t="str">
        <f>IF($M90="","",INDEX(fa_paid,$M90)+INDEX(fa_avoirs,$M90))</f>
        <v/>
      </c>
      <c r="H90" s="75" t="str">
        <f>IF($M90="","",INDEX(fa_reste,$M90))</f>
        <v/>
      </c>
      <c r="I90" s="58" t="str">
        <f>IF($M90="","",MAX(0,p_asof-E90))</f>
        <v/>
      </c>
      <c r="J90" s="78" t="str">
        <f>IF($M90="","",INDEX(fa_tranche,$M90)&amp;"")</f>
        <v/>
      </c>
      <c r="K90" s="56" t="str">
        <f>IF($M90="","",IF(ISNUMBER(INDEX(fa_relance,$M90)),INDEX(fa_relance,$M90),""))</f>
        <v/>
      </c>
      <c r="L90" s="79" t="str">
        <f>IF($M90="","",IF(AND(ISNUMBER(K90),(p_asof-E90)&gt;0,(p_asof-N(K90))&gt;=0,(p_asof-N(K90))&lt;7),"Déjà relancée il y a "&amp;(p_asof-N(K90))&amp;" j",IF((p_asof-E90)&lt;=0,IF((p_asof-E90)&gt;-8,"Rappel courtois avant l'échéance","Aucune action"),IF((p_asof-E90)&lt;=15,"Relance 1 : e-mail de rappel",IF((p_asof-E90)&lt;=30,"Relance 2 : appel téléphonique",IF((p_asof-E90)&lt;=60,"Relance 3 : lettre de relance",IF((p_asof-E90)&lt;=90,"Mise en demeure (recommandé)","Contentieux : injonction de payer")))))))</f>
        <v/>
      </c>
      <c r="M90" t="str">
        <f>IFERROR(MATCH(59,fa_rank,0),"")</f>
        <v/>
      </c>
    </row>
    <row r="91">
      <c r="B91" s="78" t="str">
        <f>IF($M91="","",INDEX(fa_num,$M91)&amp;"")</f>
        <v/>
      </c>
      <c r="C91" s="79" t="str">
        <f>IF($M91="","",INDEX(fa_cname,$M91)&amp;"")</f>
        <v/>
      </c>
      <c r="D91" s="56" t="str">
        <f>IF($M91="","",INDEX(fa_date,$M91))</f>
        <v/>
      </c>
      <c r="E91" s="56" t="str">
        <f>IF($M91="","",INDEX(fa_due,$M91))</f>
        <v/>
      </c>
      <c r="F91" s="75" t="str">
        <f>IF($M91="","",INDEX(fa_ttc,$M91))</f>
        <v/>
      </c>
      <c r="G91" s="75" t="str">
        <f>IF($M91="","",INDEX(fa_paid,$M91)+INDEX(fa_avoirs,$M91))</f>
        <v/>
      </c>
      <c r="H91" s="75" t="str">
        <f>IF($M91="","",INDEX(fa_reste,$M91))</f>
        <v/>
      </c>
      <c r="I91" s="58" t="str">
        <f>IF($M91="","",MAX(0,p_asof-E91))</f>
        <v/>
      </c>
      <c r="J91" s="78" t="str">
        <f>IF($M91="","",INDEX(fa_tranche,$M91)&amp;"")</f>
        <v/>
      </c>
      <c r="K91" s="56" t="str">
        <f>IF($M91="","",IF(ISNUMBER(INDEX(fa_relance,$M91)),INDEX(fa_relance,$M91),""))</f>
        <v/>
      </c>
      <c r="L91" s="79" t="str">
        <f>IF($M91="","",IF(AND(ISNUMBER(K91),(p_asof-E91)&gt;0,(p_asof-N(K91))&gt;=0,(p_asof-N(K91))&lt;7),"Déjà relancée il y a "&amp;(p_asof-N(K91))&amp;" j",IF((p_asof-E91)&lt;=0,IF((p_asof-E91)&gt;-8,"Rappel courtois avant l'échéance","Aucune action"),IF((p_asof-E91)&lt;=15,"Relance 1 : e-mail de rappel",IF((p_asof-E91)&lt;=30,"Relance 2 : appel téléphonique",IF((p_asof-E91)&lt;=60,"Relance 3 : lettre de relance",IF((p_asof-E91)&lt;=90,"Mise en demeure (recommandé)","Contentieux : injonction de payer")))))))</f>
        <v/>
      </c>
      <c r="M91" t="str">
        <f>IFERROR(MATCH(60,fa_rank,0),"")</f>
        <v/>
      </c>
    </row>
    <row r="92">
      <c r="B92" s="78" t="str">
        <f>IF($M92="","",INDEX(fa_num,$M92)&amp;"")</f>
        <v/>
      </c>
      <c r="C92" s="79" t="str">
        <f>IF($M92="","",INDEX(fa_cname,$M92)&amp;"")</f>
        <v/>
      </c>
      <c r="D92" s="56" t="str">
        <f>IF($M92="","",INDEX(fa_date,$M92))</f>
        <v/>
      </c>
      <c r="E92" s="56" t="str">
        <f>IF($M92="","",INDEX(fa_due,$M92))</f>
        <v/>
      </c>
      <c r="F92" s="75" t="str">
        <f>IF($M92="","",INDEX(fa_ttc,$M92))</f>
        <v/>
      </c>
      <c r="G92" s="75" t="str">
        <f>IF($M92="","",INDEX(fa_paid,$M92)+INDEX(fa_avoirs,$M92))</f>
        <v/>
      </c>
      <c r="H92" s="75" t="str">
        <f>IF($M92="","",INDEX(fa_reste,$M92))</f>
        <v/>
      </c>
      <c r="I92" s="58" t="str">
        <f>IF($M92="","",MAX(0,p_asof-E92))</f>
        <v/>
      </c>
      <c r="J92" s="78" t="str">
        <f>IF($M92="","",INDEX(fa_tranche,$M92)&amp;"")</f>
        <v/>
      </c>
      <c r="K92" s="56" t="str">
        <f>IF($M92="","",IF(ISNUMBER(INDEX(fa_relance,$M92)),INDEX(fa_relance,$M92),""))</f>
        <v/>
      </c>
      <c r="L92" s="79" t="str">
        <f>IF($M92="","",IF(AND(ISNUMBER(K92),(p_asof-E92)&gt;0,(p_asof-N(K92))&gt;=0,(p_asof-N(K92))&lt;7),"Déjà relancée il y a "&amp;(p_asof-N(K92))&amp;" j",IF((p_asof-E92)&lt;=0,IF((p_asof-E92)&gt;-8,"Rappel courtois avant l'échéance","Aucune action"),IF((p_asof-E92)&lt;=15,"Relance 1 : e-mail de rappel",IF((p_asof-E92)&lt;=30,"Relance 2 : appel téléphonique",IF((p_asof-E92)&lt;=60,"Relance 3 : lettre de relance",IF((p_asof-E92)&lt;=90,"Mise en demeure (recommandé)","Contentieux : injonction de payer")))))))</f>
        <v/>
      </c>
      <c r="M92" t="str">
        <f>IFERROR(MATCH(61,fa_rank,0),"")</f>
        <v/>
      </c>
    </row>
    <row r="93">
      <c r="B93" s="78" t="str">
        <f>IF($M93="","",INDEX(fa_num,$M93)&amp;"")</f>
        <v/>
      </c>
      <c r="C93" s="79" t="str">
        <f>IF($M93="","",INDEX(fa_cname,$M93)&amp;"")</f>
        <v/>
      </c>
      <c r="D93" s="56" t="str">
        <f>IF($M93="","",INDEX(fa_date,$M93))</f>
        <v/>
      </c>
      <c r="E93" s="56" t="str">
        <f>IF($M93="","",INDEX(fa_due,$M93))</f>
        <v/>
      </c>
      <c r="F93" s="75" t="str">
        <f>IF($M93="","",INDEX(fa_ttc,$M93))</f>
        <v/>
      </c>
      <c r="G93" s="75" t="str">
        <f>IF($M93="","",INDEX(fa_paid,$M93)+INDEX(fa_avoirs,$M93))</f>
        <v/>
      </c>
      <c r="H93" s="75" t="str">
        <f>IF($M93="","",INDEX(fa_reste,$M93))</f>
        <v/>
      </c>
      <c r="I93" s="58" t="str">
        <f>IF($M93="","",MAX(0,p_asof-E93))</f>
        <v/>
      </c>
      <c r="J93" s="78" t="str">
        <f>IF($M93="","",INDEX(fa_tranche,$M93)&amp;"")</f>
        <v/>
      </c>
      <c r="K93" s="56" t="str">
        <f>IF($M93="","",IF(ISNUMBER(INDEX(fa_relance,$M93)),INDEX(fa_relance,$M93),""))</f>
        <v/>
      </c>
      <c r="L93" s="79" t="str">
        <f>IF($M93="","",IF(AND(ISNUMBER(K93),(p_asof-E93)&gt;0,(p_asof-N(K93))&gt;=0,(p_asof-N(K93))&lt;7),"Déjà relancée il y a "&amp;(p_asof-N(K93))&amp;" j",IF((p_asof-E93)&lt;=0,IF((p_asof-E93)&gt;-8,"Rappel courtois avant l'échéance","Aucune action"),IF((p_asof-E93)&lt;=15,"Relance 1 : e-mail de rappel",IF((p_asof-E93)&lt;=30,"Relance 2 : appel téléphonique",IF((p_asof-E93)&lt;=60,"Relance 3 : lettre de relance",IF((p_asof-E93)&lt;=90,"Mise en demeure (recommandé)","Contentieux : injonction de payer")))))))</f>
        <v/>
      </c>
      <c r="M93" t="str">
        <f>IFERROR(MATCH(62,fa_rank,0),"")</f>
        <v/>
      </c>
    </row>
    <row r="94">
      <c r="B94" s="78" t="str">
        <f>IF($M94="","",INDEX(fa_num,$M94)&amp;"")</f>
        <v/>
      </c>
      <c r="C94" s="79" t="str">
        <f>IF($M94="","",INDEX(fa_cname,$M94)&amp;"")</f>
        <v/>
      </c>
      <c r="D94" s="56" t="str">
        <f>IF($M94="","",INDEX(fa_date,$M94))</f>
        <v/>
      </c>
      <c r="E94" s="56" t="str">
        <f>IF($M94="","",INDEX(fa_due,$M94))</f>
        <v/>
      </c>
      <c r="F94" s="75" t="str">
        <f>IF($M94="","",INDEX(fa_ttc,$M94))</f>
        <v/>
      </c>
      <c r="G94" s="75" t="str">
        <f>IF($M94="","",INDEX(fa_paid,$M94)+INDEX(fa_avoirs,$M94))</f>
        <v/>
      </c>
      <c r="H94" s="75" t="str">
        <f>IF($M94="","",INDEX(fa_reste,$M94))</f>
        <v/>
      </c>
      <c r="I94" s="58" t="str">
        <f>IF($M94="","",MAX(0,p_asof-E94))</f>
        <v/>
      </c>
      <c r="J94" s="78" t="str">
        <f>IF($M94="","",INDEX(fa_tranche,$M94)&amp;"")</f>
        <v/>
      </c>
      <c r="K94" s="56" t="str">
        <f>IF($M94="","",IF(ISNUMBER(INDEX(fa_relance,$M94)),INDEX(fa_relance,$M94),""))</f>
        <v/>
      </c>
      <c r="L94" s="79" t="str">
        <f>IF($M94="","",IF(AND(ISNUMBER(K94),(p_asof-E94)&gt;0,(p_asof-N(K94))&gt;=0,(p_asof-N(K94))&lt;7),"Déjà relancée il y a "&amp;(p_asof-N(K94))&amp;" j",IF((p_asof-E94)&lt;=0,IF((p_asof-E94)&gt;-8,"Rappel courtois avant l'échéance","Aucune action"),IF((p_asof-E94)&lt;=15,"Relance 1 : e-mail de rappel",IF((p_asof-E94)&lt;=30,"Relance 2 : appel téléphonique",IF((p_asof-E94)&lt;=60,"Relance 3 : lettre de relance",IF((p_asof-E94)&lt;=90,"Mise en demeure (recommandé)","Contentieux : injonction de payer")))))))</f>
        <v/>
      </c>
      <c r="M94" t="str">
        <f>IFERROR(MATCH(63,fa_rank,0),"")</f>
        <v/>
      </c>
    </row>
    <row r="95">
      <c r="B95" s="78" t="str">
        <f>IF($M95="","",INDEX(fa_num,$M95)&amp;"")</f>
        <v/>
      </c>
      <c r="C95" s="79" t="str">
        <f>IF($M95="","",INDEX(fa_cname,$M95)&amp;"")</f>
        <v/>
      </c>
      <c r="D95" s="56" t="str">
        <f>IF($M95="","",INDEX(fa_date,$M95))</f>
        <v/>
      </c>
      <c r="E95" s="56" t="str">
        <f>IF($M95="","",INDEX(fa_due,$M95))</f>
        <v/>
      </c>
      <c r="F95" s="75" t="str">
        <f>IF($M95="","",INDEX(fa_ttc,$M95))</f>
        <v/>
      </c>
      <c r="G95" s="75" t="str">
        <f>IF($M95="","",INDEX(fa_paid,$M95)+INDEX(fa_avoirs,$M95))</f>
        <v/>
      </c>
      <c r="H95" s="75" t="str">
        <f>IF($M95="","",INDEX(fa_reste,$M95))</f>
        <v/>
      </c>
      <c r="I95" s="58" t="str">
        <f>IF($M95="","",MAX(0,p_asof-E95))</f>
        <v/>
      </c>
      <c r="J95" s="78" t="str">
        <f>IF($M95="","",INDEX(fa_tranche,$M95)&amp;"")</f>
        <v/>
      </c>
      <c r="K95" s="56" t="str">
        <f>IF($M95="","",IF(ISNUMBER(INDEX(fa_relance,$M95)),INDEX(fa_relance,$M95),""))</f>
        <v/>
      </c>
      <c r="L95" s="79" t="str">
        <f>IF($M95="","",IF(AND(ISNUMBER(K95),(p_asof-E95)&gt;0,(p_asof-N(K95))&gt;=0,(p_asof-N(K95))&lt;7),"Déjà relancée il y a "&amp;(p_asof-N(K95))&amp;" j",IF((p_asof-E95)&lt;=0,IF((p_asof-E95)&gt;-8,"Rappel courtois avant l'échéance","Aucune action"),IF((p_asof-E95)&lt;=15,"Relance 1 : e-mail de rappel",IF((p_asof-E95)&lt;=30,"Relance 2 : appel téléphonique",IF((p_asof-E95)&lt;=60,"Relance 3 : lettre de relance",IF((p_asof-E95)&lt;=90,"Mise en demeure (recommandé)","Contentieux : injonction de payer")))))))</f>
        <v/>
      </c>
      <c r="M95" t="str">
        <f>IFERROR(MATCH(64,fa_rank,0),"")</f>
        <v/>
      </c>
    </row>
    <row r="96">
      <c r="B96" s="78" t="str">
        <f>IF($M96="","",INDEX(fa_num,$M96)&amp;"")</f>
        <v/>
      </c>
      <c r="C96" s="79" t="str">
        <f>IF($M96="","",INDEX(fa_cname,$M96)&amp;"")</f>
        <v/>
      </c>
      <c r="D96" s="56" t="str">
        <f>IF($M96="","",INDEX(fa_date,$M96))</f>
        <v/>
      </c>
      <c r="E96" s="56" t="str">
        <f>IF($M96="","",INDEX(fa_due,$M96))</f>
        <v/>
      </c>
      <c r="F96" s="75" t="str">
        <f>IF($M96="","",INDEX(fa_ttc,$M96))</f>
        <v/>
      </c>
      <c r="G96" s="75" t="str">
        <f>IF($M96="","",INDEX(fa_paid,$M96)+INDEX(fa_avoirs,$M96))</f>
        <v/>
      </c>
      <c r="H96" s="75" t="str">
        <f>IF($M96="","",INDEX(fa_reste,$M96))</f>
        <v/>
      </c>
      <c r="I96" s="58" t="str">
        <f>IF($M96="","",MAX(0,p_asof-E96))</f>
        <v/>
      </c>
      <c r="J96" s="78" t="str">
        <f>IF($M96="","",INDEX(fa_tranche,$M96)&amp;"")</f>
        <v/>
      </c>
      <c r="K96" s="56" t="str">
        <f>IF($M96="","",IF(ISNUMBER(INDEX(fa_relance,$M96)),INDEX(fa_relance,$M96),""))</f>
        <v/>
      </c>
      <c r="L96" s="79" t="str">
        <f>IF($M96="","",IF(AND(ISNUMBER(K96),(p_asof-E96)&gt;0,(p_asof-N(K96))&gt;=0,(p_asof-N(K96))&lt;7),"Déjà relancée il y a "&amp;(p_asof-N(K96))&amp;" j",IF((p_asof-E96)&lt;=0,IF((p_asof-E96)&gt;-8,"Rappel courtois avant l'échéance","Aucune action"),IF((p_asof-E96)&lt;=15,"Relance 1 : e-mail de rappel",IF((p_asof-E96)&lt;=30,"Relance 2 : appel téléphonique",IF((p_asof-E96)&lt;=60,"Relance 3 : lettre de relance",IF((p_asof-E96)&lt;=90,"Mise en demeure (recommandé)","Contentieux : injonction de payer")))))))</f>
        <v/>
      </c>
      <c r="M96" t="str">
        <f>IFERROR(MATCH(65,fa_rank,0),"")</f>
        <v/>
      </c>
    </row>
    <row r="97">
      <c r="B97" s="78" t="str">
        <f>IF($M97="","",INDEX(fa_num,$M97)&amp;"")</f>
        <v/>
      </c>
      <c r="C97" s="79" t="str">
        <f>IF($M97="","",INDEX(fa_cname,$M97)&amp;"")</f>
        <v/>
      </c>
      <c r="D97" s="56" t="str">
        <f>IF($M97="","",INDEX(fa_date,$M97))</f>
        <v/>
      </c>
      <c r="E97" s="56" t="str">
        <f>IF($M97="","",INDEX(fa_due,$M97))</f>
        <v/>
      </c>
      <c r="F97" s="75" t="str">
        <f>IF($M97="","",INDEX(fa_ttc,$M97))</f>
        <v/>
      </c>
      <c r="G97" s="75" t="str">
        <f>IF($M97="","",INDEX(fa_paid,$M97)+INDEX(fa_avoirs,$M97))</f>
        <v/>
      </c>
      <c r="H97" s="75" t="str">
        <f>IF($M97="","",INDEX(fa_reste,$M97))</f>
        <v/>
      </c>
      <c r="I97" s="58" t="str">
        <f>IF($M97="","",MAX(0,p_asof-E97))</f>
        <v/>
      </c>
      <c r="J97" s="78" t="str">
        <f>IF($M97="","",INDEX(fa_tranche,$M97)&amp;"")</f>
        <v/>
      </c>
      <c r="K97" s="56" t="str">
        <f>IF($M97="","",IF(ISNUMBER(INDEX(fa_relance,$M97)),INDEX(fa_relance,$M97),""))</f>
        <v/>
      </c>
      <c r="L97" s="79" t="str">
        <f>IF($M97="","",IF(AND(ISNUMBER(K97),(p_asof-E97)&gt;0,(p_asof-N(K97))&gt;=0,(p_asof-N(K97))&lt;7),"Déjà relancée il y a "&amp;(p_asof-N(K97))&amp;" j",IF((p_asof-E97)&lt;=0,IF((p_asof-E97)&gt;-8,"Rappel courtois avant l'échéance","Aucune action"),IF((p_asof-E97)&lt;=15,"Relance 1 : e-mail de rappel",IF((p_asof-E97)&lt;=30,"Relance 2 : appel téléphonique",IF((p_asof-E97)&lt;=60,"Relance 3 : lettre de relance",IF((p_asof-E97)&lt;=90,"Mise en demeure (recommandé)","Contentieux : injonction de payer")))))))</f>
        <v/>
      </c>
      <c r="M97" t="str">
        <f>IFERROR(MATCH(66,fa_rank,0),"")</f>
        <v/>
      </c>
    </row>
    <row r="98">
      <c r="B98" s="78" t="str">
        <f>IF($M98="","",INDEX(fa_num,$M98)&amp;"")</f>
        <v/>
      </c>
      <c r="C98" s="79" t="str">
        <f>IF($M98="","",INDEX(fa_cname,$M98)&amp;"")</f>
        <v/>
      </c>
      <c r="D98" s="56" t="str">
        <f>IF($M98="","",INDEX(fa_date,$M98))</f>
        <v/>
      </c>
      <c r="E98" s="56" t="str">
        <f>IF($M98="","",INDEX(fa_due,$M98))</f>
        <v/>
      </c>
      <c r="F98" s="75" t="str">
        <f>IF($M98="","",INDEX(fa_ttc,$M98))</f>
        <v/>
      </c>
      <c r="G98" s="75" t="str">
        <f>IF($M98="","",INDEX(fa_paid,$M98)+INDEX(fa_avoirs,$M98))</f>
        <v/>
      </c>
      <c r="H98" s="75" t="str">
        <f>IF($M98="","",INDEX(fa_reste,$M98))</f>
        <v/>
      </c>
      <c r="I98" s="58" t="str">
        <f>IF($M98="","",MAX(0,p_asof-E98))</f>
        <v/>
      </c>
      <c r="J98" s="78" t="str">
        <f>IF($M98="","",INDEX(fa_tranche,$M98)&amp;"")</f>
        <v/>
      </c>
      <c r="K98" s="56" t="str">
        <f>IF($M98="","",IF(ISNUMBER(INDEX(fa_relance,$M98)),INDEX(fa_relance,$M98),""))</f>
        <v/>
      </c>
      <c r="L98" s="79" t="str">
        <f>IF($M98="","",IF(AND(ISNUMBER(K98),(p_asof-E98)&gt;0,(p_asof-N(K98))&gt;=0,(p_asof-N(K98))&lt;7),"Déjà relancée il y a "&amp;(p_asof-N(K98))&amp;" j",IF((p_asof-E98)&lt;=0,IF((p_asof-E98)&gt;-8,"Rappel courtois avant l'échéance","Aucune action"),IF((p_asof-E98)&lt;=15,"Relance 1 : e-mail de rappel",IF((p_asof-E98)&lt;=30,"Relance 2 : appel téléphonique",IF((p_asof-E98)&lt;=60,"Relance 3 : lettre de relance",IF((p_asof-E98)&lt;=90,"Mise en demeure (recommandé)","Contentieux : injonction de payer")))))))</f>
        <v/>
      </c>
      <c r="M98" t="str">
        <f>IFERROR(MATCH(67,fa_rank,0),"")</f>
        <v/>
      </c>
    </row>
    <row r="99">
      <c r="B99" s="78" t="str">
        <f>IF($M99="","",INDEX(fa_num,$M99)&amp;"")</f>
        <v/>
      </c>
      <c r="C99" s="79" t="str">
        <f>IF($M99="","",INDEX(fa_cname,$M99)&amp;"")</f>
        <v/>
      </c>
      <c r="D99" s="56" t="str">
        <f>IF($M99="","",INDEX(fa_date,$M99))</f>
        <v/>
      </c>
      <c r="E99" s="56" t="str">
        <f>IF($M99="","",INDEX(fa_due,$M99))</f>
        <v/>
      </c>
      <c r="F99" s="75" t="str">
        <f>IF($M99="","",INDEX(fa_ttc,$M99))</f>
        <v/>
      </c>
      <c r="G99" s="75" t="str">
        <f>IF($M99="","",INDEX(fa_paid,$M99)+INDEX(fa_avoirs,$M99))</f>
        <v/>
      </c>
      <c r="H99" s="75" t="str">
        <f>IF($M99="","",INDEX(fa_reste,$M99))</f>
        <v/>
      </c>
      <c r="I99" s="58" t="str">
        <f>IF($M99="","",MAX(0,p_asof-E99))</f>
        <v/>
      </c>
      <c r="J99" s="78" t="str">
        <f>IF($M99="","",INDEX(fa_tranche,$M99)&amp;"")</f>
        <v/>
      </c>
      <c r="K99" s="56" t="str">
        <f>IF($M99="","",IF(ISNUMBER(INDEX(fa_relance,$M99)),INDEX(fa_relance,$M99),""))</f>
        <v/>
      </c>
      <c r="L99" s="79" t="str">
        <f>IF($M99="","",IF(AND(ISNUMBER(K99),(p_asof-E99)&gt;0,(p_asof-N(K99))&gt;=0,(p_asof-N(K99))&lt;7),"Déjà relancée il y a "&amp;(p_asof-N(K99))&amp;" j",IF((p_asof-E99)&lt;=0,IF((p_asof-E99)&gt;-8,"Rappel courtois avant l'échéance","Aucune action"),IF((p_asof-E99)&lt;=15,"Relance 1 : e-mail de rappel",IF((p_asof-E99)&lt;=30,"Relance 2 : appel téléphonique",IF((p_asof-E99)&lt;=60,"Relance 3 : lettre de relance",IF((p_asof-E99)&lt;=90,"Mise en demeure (recommandé)","Contentieux : injonction de payer")))))))</f>
        <v/>
      </c>
      <c r="M99" t="str">
        <f>IFERROR(MATCH(68,fa_rank,0),"")</f>
        <v/>
      </c>
    </row>
    <row r="100">
      <c r="B100" s="78" t="str">
        <f>IF($M100="","",INDEX(fa_num,$M100)&amp;"")</f>
        <v/>
      </c>
      <c r="C100" s="79" t="str">
        <f>IF($M100="","",INDEX(fa_cname,$M100)&amp;"")</f>
        <v/>
      </c>
      <c r="D100" s="56" t="str">
        <f>IF($M100="","",INDEX(fa_date,$M100))</f>
        <v/>
      </c>
      <c r="E100" s="56" t="str">
        <f>IF($M100="","",INDEX(fa_due,$M100))</f>
        <v/>
      </c>
      <c r="F100" s="75" t="str">
        <f>IF($M100="","",INDEX(fa_ttc,$M100))</f>
        <v/>
      </c>
      <c r="G100" s="75" t="str">
        <f>IF($M100="","",INDEX(fa_paid,$M100)+INDEX(fa_avoirs,$M100))</f>
        <v/>
      </c>
      <c r="H100" s="75" t="str">
        <f>IF($M100="","",INDEX(fa_reste,$M100))</f>
        <v/>
      </c>
      <c r="I100" s="58" t="str">
        <f>IF($M100="","",MAX(0,p_asof-E100))</f>
        <v/>
      </c>
      <c r="J100" s="78" t="str">
        <f>IF($M100="","",INDEX(fa_tranche,$M100)&amp;"")</f>
        <v/>
      </c>
      <c r="K100" s="56" t="str">
        <f>IF($M100="","",IF(ISNUMBER(INDEX(fa_relance,$M100)),INDEX(fa_relance,$M100),""))</f>
        <v/>
      </c>
      <c r="L100" s="79" t="str">
        <f>IF($M100="","",IF(AND(ISNUMBER(K100),(p_asof-E100)&gt;0,(p_asof-N(K100))&gt;=0,(p_asof-N(K100))&lt;7),"Déjà relancée il y a "&amp;(p_asof-N(K100))&amp;" j",IF((p_asof-E100)&lt;=0,IF((p_asof-E100)&gt;-8,"Rappel courtois avant l'échéance","Aucune action"),IF((p_asof-E100)&lt;=15,"Relance 1 : e-mail de rappel",IF((p_asof-E100)&lt;=30,"Relance 2 : appel téléphonique",IF((p_asof-E100)&lt;=60,"Relance 3 : lettre de relance",IF((p_asof-E100)&lt;=90,"Mise en demeure (recommandé)","Contentieux : injonction de payer")))))))</f>
        <v/>
      </c>
      <c r="M100" t="str">
        <f>IFERROR(MATCH(69,fa_rank,0),"")</f>
        <v/>
      </c>
    </row>
    <row r="101">
      <c r="B101" s="78" t="str">
        <f>IF($M101="","",INDEX(fa_num,$M101)&amp;"")</f>
        <v/>
      </c>
      <c r="C101" s="79" t="str">
        <f>IF($M101="","",INDEX(fa_cname,$M101)&amp;"")</f>
        <v/>
      </c>
      <c r="D101" s="56" t="str">
        <f>IF($M101="","",INDEX(fa_date,$M101))</f>
        <v/>
      </c>
      <c r="E101" s="56" t="str">
        <f>IF($M101="","",INDEX(fa_due,$M101))</f>
        <v/>
      </c>
      <c r="F101" s="75" t="str">
        <f>IF($M101="","",INDEX(fa_ttc,$M101))</f>
        <v/>
      </c>
      <c r="G101" s="75" t="str">
        <f>IF($M101="","",INDEX(fa_paid,$M101)+INDEX(fa_avoirs,$M101))</f>
        <v/>
      </c>
      <c r="H101" s="75" t="str">
        <f>IF($M101="","",INDEX(fa_reste,$M101))</f>
        <v/>
      </c>
      <c r="I101" s="58" t="str">
        <f>IF($M101="","",MAX(0,p_asof-E101))</f>
        <v/>
      </c>
      <c r="J101" s="78" t="str">
        <f>IF($M101="","",INDEX(fa_tranche,$M101)&amp;"")</f>
        <v/>
      </c>
      <c r="K101" s="56" t="str">
        <f>IF($M101="","",IF(ISNUMBER(INDEX(fa_relance,$M101)),INDEX(fa_relance,$M101),""))</f>
        <v/>
      </c>
      <c r="L101" s="79" t="str">
        <f>IF($M101="","",IF(AND(ISNUMBER(K101),(p_asof-E101)&gt;0,(p_asof-N(K101))&gt;=0,(p_asof-N(K101))&lt;7),"Déjà relancée il y a "&amp;(p_asof-N(K101))&amp;" j",IF((p_asof-E101)&lt;=0,IF((p_asof-E101)&gt;-8,"Rappel courtois avant l'échéance","Aucune action"),IF((p_asof-E101)&lt;=15,"Relance 1 : e-mail de rappel",IF((p_asof-E101)&lt;=30,"Relance 2 : appel téléphonique",IF((p_asof-E101)&lt;=60,"Relance 3 : lettre de relance",IF((p_asof-E101)&lt;=90,"Mise en demeure (recommandé)","Contentieux : injonction de payer")))))))</f>
        <v/>
      </c>
      <c r="M101" t="str">
        <f>IFERROR(MATCH(70,fa_rank,0),"")</f>
        <v/>
      </c>
    </row>
    <row r="102">
      <c r="B102" s="78" t="str">
        <f>IF($M102="","",INDEX(fa_num,$M102)&amp;"")</f>
        <v/>
      </c>
      <c r="C102" s="79" t="str">
        <f>IF($M102="","",INDEX(fa_cname,$M102)&amp;"")</f>
        <v/>
      </c>
      <c r="D102" s="56" t="str">
        <f>IF($M102="","",INDEX(fa_date,$M102))</f>
        <v/>
      </c>
      <c r="E102" s="56" t="str">
        <f>IF($M102="","",INDEX(fa_due,$M102))</f>
        <v/>
      </c>
      <c r="F102" s="75" t="str">
        <f>IF($M102="","",INDEX(fa_ttc,$M102))</f>
        <v/>
      </c>
      <c r="G102" s="75" t="str">
        <f>IF($M102="","",INDEX(fa_paid,$M102)+INDEX(fa_avoirs,$M102))</f>
        <v/>
      </c>
      <c r="H102" s="75" t="str">
        <f>IF($M102="","",INDEX(fa_reste,$M102))</f>
        <v/>
      </c>
      <c r="I102" s="58" t="str">
        <f>IF($M102="","",MAX(0,p_asof-E102))</f>
        <v/>
      </c>
      <c r="J102" s="78" t="str">
        <f>IF($M102="","",INDEX(fa_tranche,$M102)&amp;"")</f>
        <v/>
      </c>
      <c r="K102" s="56" t="str">
        <f>IF($M102="","",IF(ISNUMBER(INDEX(fa_relance,$M102)),INDEX(fa_relance,$M102),""))</f>
        <v/>
      </c>
      <c r="L102" s="79" t="str">
        <f>IF($M102="","",IF(AND(ISNUMBER(K102),(p_asof-E102)&gt;0,(p_asof-N(K102))&gt;=0,(p_asof-N(K102))&lt;7),"Déjà relancée il y a "&amp;(p_asof-N(K102))&amp;" j",IF((p_asof-E102)&lt;=0,IF((p_asof-E102)&gt;-8,"Rappel courtois avant l'échéance","Aucune action"),IF((p_asof-E102)&lt;=15,"Relance 1 : e-mail de rappel",IF((p_asof-E102)&lt;=30,"Relance 2 : appel téléphonique",IF((p_asof-E102)&lt;=60,"Relance 3 : lettre de relance",IF((p_asof-E102)&lt;=90,"Mise en demeure (recommandé)","Contentieux : injonction de payer")))))))</f>
        <v/>
      </c>
      <c r="M102" t="str">
        <f>IFERROR(MATCH(71,fa_rank,0),"")</f>
        <v/>
      </c>
    </row>
    <row r="103">
      <c r="B103" s="78" t="str">
        <f>IF($M103="","",INDEX(fa_num,$M103)&amp;"")</f>
        <v/>
      </c>
      <c r="C103" s="79" t="str">
        <f>IF($M103="","",INDEX(fa_cname,$M103)&amp;"")</f>
        <v/>
      </c>
      <c r="D103" s="56" t="str">
        <f>IF($M103="","",INDEX(fa_date,$M103))</f>
        <v/>
      </c>
      <c r="E103" s="56" t="str">
        <f>IF($M103="","",INDEX(fa_due,$M103))</f>
        <v/>
      </c>
      <c r="F103" s="75" t="str">
        <f>IF($M103="","",INDEX(fa_ttc,$M103))</f>
        <v/>
      </c>
      <c r="G103" s="75" t="str">
        <f>IF($M103="","",INDEX(fa_paid,$M103)+INDEX(fa_avoirs,$M103))</f>
        <v/>
      </c>
      <c r="H103" s="75" t="str">
        <f>IF($M103="","",INDEX(fa_reste,$M103))</f>
        <v/>
      </c>
      <c r="I103" s="58" t="str">
        <f>IF($M103="","",MAX(0,p_asof-E103))</f>
        <v/>
      </c>
      <c r="J103" s="78" t="str">
        <f>IF($M103="","",INDEX(fa_tranche,$M103)&amp;"")</f>
        <v/>
      </c>
      <c r="K103" s="56" t="str">
        <f>IF($M103="","",IF(ISNUMBER(INDEX(fa_relance,$M103)),INDEX(fa_relance,$M103),""))</f>
        <v/>
      </c>
      <c r="L103" s="79" t="str">
        <f>IF($M103="","",IF(AND(ISNUMBER(K103),(p_asof-E103)&gt;0,(p_asof-N(K103))&gt;=0,(p_asof-N(K103))&lt;7),"Déjà relancée il y a "&amp;(p_asof-N(K103))&amp;" j",IF((p_asof-E103)&lt;=0,IF((p_asof-E103)&gt;-8,"Rappel courtois avant l'échéance","Aucune action"),IF((p_asof-E103)&lt;=15,"Relance 1 : e-mail de rappel",IF((p_asof-E103)&lt;=30,"Relance 2 : appel téléphonique",IF((p_asof-E103)&lt;=60,"Relance 3 : lettre de relance",IF((p_asof-E103)&lt;=90,"Mise en demeure (recommandé)","Contentieux : injonction de payer")))))))</f>
        <v/>
      </c>
      <c r="M103" t="str">
        <f>IFERROR(MATCH(72,fa_rank,0),"")</f>
        <v/>
      </c>
    </row>
    <row r="104">
      <c r="B104" s="78" t="str">
        <f>IF($M104="","",INDEX(fa_num,$M104)&amp;"")</f>
        <v/>
      </c>
      <c r="C104" s="79" t="str">
        <f>IF($M104="","",INDEX(fa_cname,$M104)&amp;"")</f>
        <v/>
      </c>
      <c r="D104" s="56" t="str">
        <f>IF($M104="","",INDEX(fa_date,$M104))</f>
        <v/>
      </c>
      <c r="E104" s="56" t="str">
        <f>IF($M104="","",INDEX(fa_due,$M104))</f>
        <v/>
      </c>
      <c r="F104" s="75" t="str">
        <f>IF($M104="","",INDEX(fa_ttc,$M104))</f>
        <v/>
      </c>
      <c r="G104" s="75" t="str">
        <f>IF($M104="","",INDEX(fa_paid,$M104)+INDEX(fa_avoirs,$M104))</f>
        <v/>
      </c>
      <c r="H104" s="75" t="str">
        <f>IF($M104="","",INDEX(fa_reste,$M104))</f>
        <v/>
      </c>
      <c r="I104" s="58" t="str">
        <f>IF($M104="","",MAX(0,p_asof-E104))</f>
        <v/>
      </c>
      <c r="J104" s="78" t="str">
        <f>IF($M104="","",INDEX(fa_tranche,$M104)&amp;"")</f>
        <v/>
      </c>
      <c r="K104" s="56" t="str">
        <f>IF($M104="","",IF(ISNUMBER(INDEX(fa_relance,$M104)),INDEX(fa_relance,$M104),""))</f>
        <v/>
      </c>
      <c r="L104" s="79" t="str">
        <f>IF($M104="","",IF(AND(ISNUMBER(K104),(p_asof-E104)&gt;0,(p_asof-N(K104))&gt;=0,(p_asof-N(K104))&lt;7),"Déjà relancée il y a "&amp;(p_asof-N(K104))&amp;" j",IF((p_asof-E104)&lt;=0,IF((p_asof-E104)&gt;-8,"Rappel courtois avant l'échéance","Aucune action"),IF((p_asof-E104)&lt;=15,"Relance 1 : e-mail de rappel",IF((p_asof-E104)&lt;=30,"Relance 2 : appel téléphonique",IF((p_asof-E104)&lt;=60,"Relance 3 : lettre de relance",IF((p_asof-E104)&lt;=90,"Mise en demeure (recommandé)","Contentieux : injonction de payer")))))))</f>
        <v/>
      </c>
      <c r="M104" t="str">
        <f>IFERROR(MATCH(73,fa_rank,0),"")</f>
        <v/>
      </c>
    </row>
    <row r="105">
      <c r="B105" s="78" t="str">
        <f>IF($M105="","",INDEX(fa_num,$M105)&amp;"")</f>
        <v/>
      </c>
      <c r="C105" s="79" t="str">
        <f>IF($M105="","",INDEX(fa_cname,$M105)&amp;"")</f>
        <v/>
      </c>
      <c r="D105" s="56" t="str">
        <f>IF($M105="","",INDEX(fa_date,$M105))</f>
        <v/>
      </c>
      <c r="E105" s="56" t="str">
        <f>IF($M105="","",INDEX(fa_due,$M105))</f>
        <v/>
      </c>
      <c r="F105" s="75" t="str">
        <f>IF($M105="","",INDEX(fa_ttc,$M105))</f>
        <v/>
      </c>
      <c r="G105" s="75" t="str">
        <f>IF($M105="","",INDEX(fa_paid,$M105)+INDEX(fa_avoirs,$M105))</f>
        <v/>
      </c>
      <c r="H105" s="75" t="str">
        <f>IF($M105="","",INDEX(fa_reste,$M105))</f>
        <v/>
      </c>
      <c r="I105" s="58" t="str">
        <f>IF($M105="","",MAX(0,p_asof-E105))</f>
        <v/>
      </c>
      <c r="J105" s="78" t="str">
        <f>IF($M105="","",INDEX(fa_tranche,$M105)&amp;"")</f>
        <v/>
      </c>
      <c r="K105" s="56" t="str">
        <f>IF($M105="","",IF(ISNUMBER(INDEX(fa_relance,$M105)),INDEX(fa_relance,$M105),""))</f>
        <v/>
      </c>
      <c r="L105" s="79" t="str">
        <f>IF($M105="","",IF(AND(ISNUMBER(K105),(p_asof-E105)&gt;0,(p_asof-N(K105))&gt;=0,(p_asof-N(K105))&lt;7),"Déjà relancée il y a "&amp;(p_asof-N(K105))&amp;" j",IF((p_asof-E105)&lt;=0,IF((p_asof-E105)&gt;-8,"Rappel courtois avant l'échéance","Aucune action"),IF((p_asof-E105)&lt;=15,"Relance 1 : e-mail de rappel",IF((p_asof-E105)&lt;=30,"Relance 2 : appel téléphonique",IF((p_asof-E105)&lt;=60,"Relance 3 : lettre de relance",IF((p_asof-E105)&lt;=90,"Mise en demeure (recommandé)","Contentieux : injonction de payer")))))))</f>
        <v/>
      </c>
      <c r="M105" t="str">
        <f>IFERROR(MATCH(74,fa_rank,0),"")</f>
        <v/>
      </c>
    </row>
    <row r="106">
      <c r="B106" s="78" t="str">
        <f>IF($M106="","",INDEX(fa_num,$M106)&amp;"")</f>
        <v/>
      </c>
      <c r="C106" s="79" t="str">
        <f>IF($M106="","",INDEX(fa_cname,$M106)&amp;"")</f>
        <v/>
      </c>
      <c r="D106" s="56" t="str">
        <f>IF($M106="","",INDEX(fa_date,$M106))</f>
        <v/>
      </c>
      <c r="E106" s="56" t="str">
        <f>IF($M106="","",INDEX(fa_due,$M106))</f>
        <v/>
      </c>
      <c r="F106" s="75" t="str">
        <f>IF($M106="","",INDEX(fa_ttc,$M106))</f>
        <v/>
      </c>
      <c r="G106" s="75" t="str">
        <f>IF($M106="","",INDEX(fa_paid,$M106)+INDEX(fa_avoirs,$M106))</f>
        <v/>
      </c>
      <c r="H106" s="75" t="str">
        <f>IF($M106="","",INDEX(fa_reste,$M106))</f>
        <v/>
      </c>
      <c r="I106" s="58" t="str">
        <f>IF($M106="","",MAX(0,p_asof-E106))</f>
        <v/>
      </c>
      <c r="J106" s="78" t="str">
        <f>IF($M106="","",INDEX(fa_tranche,$M106)&amp;"")</f>
        <v/>
      </c>
      <c r="K106" s="56" t="str">
        <f>IF($M106="","",IF(ISNUMBER(INDEX(fa_relance,$M106)),INDEX(fa_relance,$M106),""))</f>
        <v/>
      </c>
      <c r="L106" s="79" t="str">
        <f>IF($M106="","",IF(AND(ISNUMBER(K106),(p_asof-E106)&gt;0,(p_asof-N(K106))&gt;=0,(p_asof-N(K106))&lt;7),"Déjà relancée il y a "&amp;(p_asof-N(K106))&amp;" j",IF((p_asof-E106)&lt;=0,IF((p_asof-E106)&gt;-8,"Rappel courtois avant l'échéance","Aucune action"),IF((p_asof-E106)&lt;=15,"Relance 1 : e-mail de rappel",IF((p_asof-E106)&lt;=30,"Relance 2 : appel téléphonique",IF((p_asof-E106)&lt;=60,"Relance 3 : lettre de relance",IF((p_asof-E106)&lt;=90,"Mise en demeure (recommandé)","Contentieux : injonction de payer")))))))</f>
        <v/>
      </c>
      <c r="M106" t="str">
        <f>IFERROR(MATCH(75,fa_rank,0),"")</f>
        <v/>
      </c>
    </row>
    <row r="107">
      <c r="B107" s="78" t="str">
        <f>IF($M107="","",INDEX(fa_num,$M107)&amp;"")</f>
        <v/>
      </c>
      <c r="C107" s="79" t="str">
        <f>IF($M107="","",INDEX(fa_cname,$M107)&amp;"")</f>
        <v/>
      </c>
      <c r="D107" s="56" t="str">
        <f>IF($M107="","",INDEX(fa_date,$M107))</f>
        <v/>
      </c>
      <c r="E107" s="56" t="str">
        <f>IF($M107="","",INDEX(fa_due,$M107))</f>
        <v/>
      </c>
      <c r="F107" s="75" t="str">
        <f>IF($M107="","",INDEX(fa_ttc,$M107))</f>
        <v/>
      </c>
      <c r="G107" s="75" t="str">
        <f>IF($M107="","",INDEX(fa_paid,$M107)+INDEX(fa_avoirs,$M107))</f>
        <v/>
      </c>
      <c r="H107" s="75" t="str">
        <f>IF($M107="","",INDEX(fa_reste,$M107))</f>
        <v/>
      </c>
      <c r="I107" s="58" t="str">
        <f>IF($M107="","",MAX(0,p_asof-E107))</f>
        <v/>
      </c>
      <c r="J107" s="78" t="str">
        <f>IF($M107="","",INDEX(fa_tranche,$M107)&amp;"")</f>
        <v/>
      </c>
      <c r="K107" s="56" t="str">
        <f>IF($M107="","",IF(ISNUMBER(INDEX(fa_relance,$M107)),INDEX(fa_relance,$M107),""))</f>
        <v/>
      </c>
      <c r="L107" s="79" t="str">
        <f>IF($M107="","",IF(AND(ISNUMBER(K107),(p_asof-E107)&gt;0,(p_asof-N(K107))&gt;=0,(p_asof-N(K107))&lt;7),"Déjà relancée il y a "&amp;(p_asof-N(K107))&amp;" j",IF((p_asof-E107)&lt;=0,IF((p_asof-E107)&gt;-8,"Rappel courtois avant l'échéance","Aucune action"),IF((p_asof-E107)&lt;=15,"Relance 1 : e-mail de rappel",IF((p_asof-E107)&lt;=30,"Relance 2 : appel téléphonique",IF((p_asof-E107)&lt;=60,"Relance 3 : lettre de relance",IF((p_asof-E107)&lt;=90,"Mise en demeure (recommandé)","Contentieux : injonction de payer")))))))</f>
        <v/>
      </c>
      <c r="M107" t="str">
        <f>IFERROR(MATCH(76,fa_rank,0),"")</f>
        <v/>
      </c>
    </row>
    <row r="108">
      <c r="B108" s="78" t="str">
        <f>IF($M108="","",INDEX(fa_num,$M108)&amp;"")</f>
        <v/>
      </c>
      <c r="C108" s="79" t="str">
        <f>IF($M108="","",INDEX(fa_cname,$M108)&amp;"")</f>
        <v/>
      </c>
      <c r="D108" s="56" t="str">
        <f>IF($M108="","",INDEX(fa_date,$M108))</f>
        <v/>
      </c>
      <c r="E108" s="56" t="str">
        <f>IF($M108="","",INDEX(fa_due,$M108))</f>
        <v/>
      </c>
      <c r="F108" s="75" t="str">
        <f>IF($M108="","",INDEX(fa_ttc,$M108))</f>
        <v/>
      </c>
      <c r="G108" s="75" t="str">
        <f>IF($M108="","",INDEX(fa_paid,$M108)+INDEX(fa_avoirs,$M108))</f>
        <v/>
      </c>
      <c r="H108" s="75" t="str">
        <f>IF($M108="","",INDEX(fa_reste,$M108))</f>
        <v/>
      </c>
      <c r="I108" s="58" t="str">
        <f>IF($M108="","",MAX(0,p_asof-E108))</f>
        <v/>
      </c>
      <c r="J108" s="78" t="str">
        <f>IF($M108="","",INDEX(fa_tranche,$M108)&amp;"")</f>
        <v/>
      </c>
      <c r="K108" s="56" t="str">
        <f>IF($M108="","",IF(ISNUMBER(INDEX(fa_relance,$M108)),INDEX(fa_relance,$M108),""))</f>
        <v/>
      </c>
      <c r="L108" s="79" t="str">
        <f>IF($M108="","",IF(AND(ISNUMBER(K108),(p_asof-E108)&gt;0,(p_asof-N(K108))&gt;=0,(p_asof-N(K108))&lt;7),"Déjà relancée il y a "&amp;(p_asof-N(K108))&amp;" j",IF((p_asof-E108)&lt;=0,IF((p_asof-E108)&gt;-8,"Rappel courtois avant l'échéance","Aucune action"),IF((p_asof-E108)&lt;=15,"Relance 1 : e-mail de rappel",IF((p_asof-E108)&lt;=30,"Relance 2 : appel téléphonique",IF((p_asof-E108)&lt;=60,"Relance 3 : lettre de relance",IF((p_asof-E108)&lt;=90,"Mise en demeure (recommandé)","Contentieux : injonction de payer")))))))</f>
        <v/>
      </c>
      <c r="M108" t="str">
        <f>IFERROR(MATCH(77,fa_rank,0),"")</f>
        <v/>
      </c>
    </row>
    <row r="109">
      <c r="B109" s="78" t="str">
        <f>IF($M109="","",INDEX(fa_num,$M109)&amp;"")</f>
        <v/>
      </c>
      <c r="C109" s="79" t="str">
        <f>IF($M109="","",INDEX(fa_cname,$M109)&amp;"")</f>
        <v/>
      </c>
      <c r="D109" s="56" t="str">
        <f>IF($M109="","",INDEX(fa_date,$M109))</f>
        <v/>
      </c>
      <c r="E109" s="56" t="str">
        <f>IF($M109="","",INDEX(fa_due,$M109))</f>
        <v/>
      </c>
      <c r="F109" s="75" t="str">
        <f>IF($M109="","",INDEX(fa_ttc,$M109))</f>
        <v/>
      </c>
      <c r="G109" s="75" t="str">
        <f>IF($M109="","",INDEX(fa_paid,$M109)+INDEX(fa_avoirs,$M109))</f>
        <v/>
      </c>
      <c r="H109" s="75" t="str">
        <f>IF($M109="","",INDEX(fa_reste,$M109))</f>
        <v/>
      </c>
      <c r="I109" s="58" t="str">
        <f>IF($M109="","",MAX(0,p_asof-E109))</f>
        <v/>
      </c>
      <c r="J109" s="78" t="str">
        <f>IF($M109="","",INDEX(fa_tranche,$M109)&amp;"")</f>
        <v/>
      </c>
      <c r="K109" s="56" t="str">
        <f>IF($M109="","",IF(ISNUMBER(INDEX(fa_relance,$M109)),INDEX(fa_relance,$M109),""))</f>
        <v/>
      </c>
      <c r="L109" s="79" t="str">
        <f>IF($M109="","",IF(AND(ISNUMBER(K109),(p_asof-E109)&gt;0,(p_asof-N(K109))&gt;=0,(p_asof-N(K109))&lt;7),"Déjà relancée il y a "&amp;(p_asof-N(K109))&amp;" j",IF((p_asof-E109)&lt;=0,IF((p_asof-E109)&gt;-8,"Rappel courtois avant l'échéance","Aucune action"),IF((p_asof-E109)&lt;=15,"Relance 1 : e-mail de rappel",IF((p_asof-E109)&lt;=30,"Relance 2 : appel téléphonique",IF((p_asof-E109)&lt;=60,"Relance 3 : lettre de relance",IF((p_asof-E109)&lt;=90,"Mise en demeure (recommandé)","Contentieux : injonction de payer")))))))</f>
        <v/>
      </c>
      <c r="M109" t="str">
        <f>IFERROR(MATCH(78,fa_rank,0),"")</f>
        <v/>
      </c>
    </row>
    <row r="110">
      <c r="B110" s="78" t="str">
        <f>IF($M110="","",INDEX(fa_num,$M110)&amp;"")</f>
        <v/>
      </c>
      <c r="C110" s="79" t="str">
        <f>IF($M110="","",INDEX(fa_cname,$M110)&amp;"")</f>
        <v/>
      </c>
      <c r="D110" s="56" t="str">
        <f>IF($M110="","",INDEX(fa_date,$M110))</f>
        <v/>
      </c>
      <c r="E110" s="56" t="str">
        <f>IF($M110="","",INDEX(fa_due,$M110))</f>
        <v/>
      </c>
      <c r="F110" s="75" t="str">
        <f>IF($M110="","",INDEX(fa_ttc,$M110))</f>
        <v/>
      </c>
      <c r="G110" s="75" t="str">
        <f>IF($M110="","",INDEX(fa_paid,$M110)+INDEX(fa_avoirs,$M110))</f>
        <v/>
      </c>
      <c r="H110" s="75" t="str">
        <f>IF($M110="","",INDEX(fa_reste,$M110))</f>
        <v/>
      </c>
      <c r="I110" s="58" t="str">
        <f>IF($M110="","",MAX(0,p_asof-E110))</f>
        <v/>
      </c>
      <c r="J110" s="78" t="str">
        <f>IF($M110="","",INDEX(fa_tranche,$M110)&amp;"")</f>
        <v/>
      </c>
      <c r="K110" s="56" t="str">
        <f>IF($M110="","",IF(ISNUMBER(INDEX(fa_relance,$M110)),INDEX(fa_relance,$M110),""))</f>
        <v/>
      </c>
      <c r="L110" s="79" t="str">
        <f>IF($M110="","",IF(AND(ISNUMBER(K110),(p_asof-E110)&gt;0,(p_asof-N(K110))&gt;=0,(p_asof-N(K110))&lt;7),"Déjà relancée il y a "&amp;(p_asof-N(K110))&amp;" j",IF((p_asof-E110)&lt;=0,IF((p_asof-E110)&gt;-8,"Rappel courtois avant l'échéance","Aucune action"),IF((p_asof-E110)&lt;=15,"Relance 1 : e-mail de rappel",IF((p_asof-E110)&lt;=30,"Relance 2 : appel téléphonique",IF((p_asof-E110)&lt;=60,"Relance 3 : lettre de relance",IF((p_asof-E110)&lt;=90,"Mise en demeure (recommandé)","Contentieux : injonction de payer")))))))</f>
        <v/>
      </c>
      <c r="M110" t="str">
        <f>IFERROR(MATCH(79,fa_rank,0),"")</f>
        <v/>
      </c>
    </row>
    <row r="111">
      <c r="B111" s="78" t="str">
        <f>IF($M111="","",INDEX(fa_num,$M111)&amp;"")</f>
        <v/>
      </c>
      <c r="C111" s="79" t="str">
        <f>IF($M111="","",INDEX(fa_cname,$M111)&amp;"")</f>
        <v/>
      </c>
      <c r="D111" s="56" t="str">
        <f>IF($M111="","",INDEX(fa_date,$M111))</f>
        <v/>
      </c>
      <c r="E111" s="56" t="str">
        <f>IF($M111="","",INDEX(fa_due,$M111))</f>
        <v/>
      </c>
      <c r="F111" s="75" t="str">
        <f>IF($M111="","",INDEX(fa_ttc,$M111))</f>
        <v/>
      </c>
      <c r="G111" s="75" t="str">
        <f>IF($M111="","",INDEX(fa_paid,$M111)+INDEX(fa_avoirs,$M111))</f>
        <v/>
      </c>
      <c r="H111" s="75" t="str">
        <f>IF($M111="","",INDEX(fa_reste,$M111))</f>
        <v/>
      </c>
      <c r="I111" s="58" t="str">
        <f>IF($M111="","",MAX(0,p_asof-E111))</f>
        <v/>
      </c>
      <c r="J111" s="78" t="str">
        <f>IF($M111="","",INDEX(fa_tranche,$M111)&amp;"")</f>
        <v/>
      </c>
      <c r="K111" s="56" t="str">
        <f>IF($M111="","",IF(ISNUMBER(INDEX(fa_relance,$M111)),INDEX(fa_relance,$M111),""))</f>
        <v/>
      </c>
      <c r="L111" s="79" t="str">
        <f>IF($M111="","",IF(AND(ISNUMBER(K111),(p_asof-E111)&gt;0,(p_asof-N(K111))&gt;=0,(p_asof-N(K111))&lt;7),"Déjà relancée il y a "&amp;(p_asof-N(K111))&amp;" j",IF((p_asof-E111)&lt;=0,IF((p_asof-E111)&gt;-8,"Rappel courtois avant l'échéance","Aucune action"),IF((p_asof-E111)&lt;=15,"Relance 1 : e-mail de rappel",IF((p_asof-E111)&lt;=30,"Relance 2 : appel téléphonique",IF((p_asof-E111)&lt;=60,"Relance 3 : lettre de relance",IF((p_asof-E111)&lt;=90,"Mise en demeure (recommandé)","Contentieux : injonction de payer")))))))</f>
        <v/>
      </c>
      <c r="M111" t="str">
        <f>IFERROR(MATCH(80,fa_rank,0),"")</f>
        <v/>
      </c>
    </row>
    <row r="112">
      <c r="B112" s="78" t="str">
        <f>IF($M112="","",INDEX(fa_num,$M112)&amp;"")</f>
        <v/>
      </c>
      <c r="C112" s="79" t="str">
        <f>IF($M112="","",INDEX(fa_cname,$M112)&amp;"")</f>
        <v/>
      </c>
      <c r="D112" s="56" t="str">
        <f>IF($M112="","",INDEX(fa_date,$M112))</f>
        <v/>
      </c>
      <c r="E112" s="56" t="str">
        <f>IF($M112="","",INDEX(fa_due,$M112))</f>
        <v/>
      </c>
      <c r="F112" s="75" t="str">
        <f>IF($M112="","",INDEX(fa_ttc,$M112))</f>
        <v/>
      </c>
      <c r="G112" s="75" t="str">
        <f>IF($M112="","",INDEX(fa_paid,$M112)+INDEX(fa_avoirs,$M112))</f>
        <v/>
      </c>
      <c r="H112" s="75" t="str">
        <f>IF($M112="","",INDEX(fa_reste,$M112))</f>
        <v/>
      </c>
      <c r="I112" s="58" t="str">
        <f>IF($M112="","",MAX(0,p_asof-E112))</f>
        <v/>
      </c>
      <c r="J112" s="78" t="str">
        <f>IF($M112="","",INDEX(fa_tranche,$M112)&amp;"")</f>
        <v/>
      </c>
      <c r="K112" s="56" t="str">
        <f>IF($M112="","",IF(ISNUMBER(INDEX(fa_relance,$M112)),INDEX(fa_relance,$M112),""))</f>
        <v/>
      </c>
      <c r="L112" s="79" t="str">
        <f>IF($M112="","",IF(AND(ISNUMBER(K112),(p_asof-E112)&gt;0,(p_asof-N(K112))&gt;=0,(p_asof-N(K112))&lt;7),"Déjà relancée il y a "&amp;(p_asof-N(K112))&amp;" j",IF((p_asof-E112)&lt;=0,IF((p_asof-E112)&gt;-8,"Rappel courtois avant l'échéance","Aucune action"),IF((p_asof-E112)&lt;=15,"Relance 1 : e-mail de rappel",IF((p_asof-E112)&lt;=30,"Relance 2 : appel téléphonique",IF((p_asof-E112)&lt;=60,"Relance 3 : lettre de relance",IF((p_asof-E112)&lt;=90,"Mise en demeure (recommandé)","Contentieux : injonction de payer")))))))</f>
        <v/>
      </c>
      <c r="M112" t="str">
        <f>IFERROR(MATCH(81,fa_rank,0),"")</f>
        <v/>
      </c>
    </row>
    <row r="113">
      <c r="B113" s="78" t="str">
        <f>IF($M113="","",INDEX(fa_num,$M113)&amp;"")</f>
        <v/>
      </c>
      <c r="C113" s="79" t="str">
        <f>IF($M113="","",INDEX(fa_cname,$M113)&amp;"")</f>
        <v/>
      </c>
      <c r="D113" s="56" t="str">
        <f>IF($M113="","",INDEX(fa_date,$M113))</f>
        <v/>
      </c>
      <c r="E113" s="56" t="str">
        <f>IF($M113="","",INDEX(fa_due,$M113))</f>
        <v/>
      </c>
      <c r="F113" s="75" t="str">
        <f>IF($M113="","",INDEX(fa_ttc,$M113))</f>
        <v/>
      </c>
      <c r="G113" s="75" t="str">
        <f>IF($M113="","",INDEX(fa_paid,$M113)+INDEX(fa_avoirs,$M113))</f>
        <v/>
      </c>
      <c r="H113" s="75" t="str">
        <f>IF($M113="","",INDEX(fa_reste,$M113))</f>
        <v/>
      </c>
      <c r="I113" s="58" t="str">
        <f>IF($M113="","",MAX(0,p_asof-E113))</f>
        <v/>
      </c>
      <c r="J113" s="78" t="str">
        <f>IF($M113="","",INDEX(fa_tranche,$M113)&amp;"")</f>
        <v/>
      </c>
      <c r="K113" s="56" t="str">
        <f>IF($M113="","",IF(ISNUMBER(INDEX(fa_relance,$M113)),INDEX(fa_relance,$M113),""))</f>
        <v/>
      </c>
      <c r="L113" s="79" t="str">
        <f>IF($M113="","",IF(AND(ISNUMBER(K113),(p_asof-E113)&gt;0,(p_asof-N(K113))&gt;=0,(p_asof-N(K113))&lt;7),"Déjà relancée il y a "&amp;(p_asof-N(K113))&amp;" j",IF((p_asof-E113)&lt;=0,IF((p_asof-E113)&gt;-8,"Rappel courtois avant l'échéance","Aucune action"),IF((p_asof-E113)&lt;=15,"Relance 1 : e-mail de rappel",IF((p_asof-E113)&lt;=30,"Relance 2 : appel téléphonique",IF((p_asof-E113)&lt;=60,"Relance 3 : lettre de relance",IF((p_asof-E113)&lt;=90,"Mise en demeure (recommandé)","Contentieux : injonction de payer")))))))</f>
        <v/>
      </c>
      <c r="M113" t="str">
        <f>IFERROR(MATCH(82,fa_rank,0),"")</f>
        <v/>
      </c>
    </row>
    <row r="114">
      <c r="B114" s="78" t="str">
        <f>IF($M114="","",INDEX(fa_num,$M114)&amp;"")</f>
        <v/>
      </c>
      <c r="C114" s="79" t="str">
        <f>IF($M114="","",INDEX(fa_cname,$M114)&amp;"")</f>
        <v/>
      </c>
      <c r="D114" s="56" t="str">
        <f>IF($M114="","",INDEX(fa_date,$M114))</f>
        <v/>
      </c>
      <c r="E114" s="56" t="str">
        <f>IF($M114="","",INDEX(fa_due,$M114))</f>
        <v/>
      </c>
      <c r="F114" s="75" t="str">
        <f>IF($M114="","",INDEX(fa_ttc,$M114))</f>
        <v/>
      </c>
      <c r="G114" s="75" t="str">
        <f>IF($M114="","",INDEX(fa_paid,$M114)+INDEX(fa_avoirs,$M114))</f>
        <v/>
      </c>
      <c r="H114" s="75" t="str">
        <f>IF($M114="","",INDEX(fa_reste,$M114))</f>
        <v/>
      </c>
      <c r="I114" s="58" t="str">
        <f>IF($M114="","",MAX(0,p_asof-E114))</f>
        <v/>
      </c>
      <c r="J114" s="78" t="str">
        <f>IF($M114="","",INDEX(fa_tranche,$M114)&amp;"")</f>
        <v/>
      </c>
      <c r="K114" s="56" t="str">
        <f>IF($M114="","",IF(ISNUMBER(INDEX(fa_relance,$M114)),INDEX(fa_relance,$M114),""))</f>
        <v/>
      </c>
      <c r="L114" s="79" t="str">
        <f>IF($M114="","",IF(AND(ISNUMBER(K114),(p_asof-E114)&gt;0,(p_asof-N(K114))&gt;=0,(p_asof-N(K114))&lt;7),"Déjà relancée il y a "&amp;(p_asof-N(K114))&amp;" j",IF((p_asof-E114)&lt;=0,IF((p_asof-E114)&gt;-8,"Rappel courtois avant l'échéance","Aucune action"),IF((p_asof-E114)&lt;=15,"Relance 1 : e-mail de rappel",IF((p_asof-E114)&lt;=30,"Relance 2 : appel téléphonique",IF((p_asof-E114)&lt;=60,"Relance 3 : lettre de relance",IF((p_asof-E114)&lt;=90,"Mise en demeure (recommandé)","Contentieux : injonction de payer")))))))</f>
        <v/>
      </c>
      <c r="M114" t="str">
        <f>IFERROR(MATCH(83,fa_rank,0),"")</f>
        <v/>
      </c>
    </row>
    <row r="115">
      <c r="B115" s="78" t="str">
        <f>IF($M115="","",INDEX(fa_num,$M115)&amp;"")</f>
        <v/>
      </c>
      <c r="C115" s="79" t="str">
        <f>IF($M115="","",INDEX(fa_cname,$M115)&amp;"")</f>
        <v/>
      </c>
      <c r="D115" s="56" t="str">
        <f>IF($M115="","",INDEX(fa_date,$M115))</f>
        <v/>
      </c>
      <c r="E115" s="56" t="str">
        <f>IF($M115="","",INDEX(fa_due,$M115))</f>
        <v/>
      </c>
      <c r="F115" s="75" t="str">
        <f>IF($M115="","",INDEX(fa_ttc,$M115))</f>
        <v/>
      </c>
      <c r="G115" s="75" t="str">
        <f>IF($M115="","",INDEX(fa_paid,$M115)+INDEX(fa_avoirs,$M115))</f>
        <v/>
      </c>
      <c r="H115" s="75" t="str">
        <f>IF($M115="","",INDEX(fa_reste,$M115))</f>
        <v/>
      </c>
      <c r="I115" s="58" t="str">
        <f>IF($M115="","",MAX(0,p_asof-E115))</f>
        <v/>
      </c>
      <c r="J115" s="78" t="str">
        <f>IF($M115="","",INDEX(fa_tranche,$M115)&amp;"")</f>
        <v/>
      </c>
      <c r="K115" s="56" t="str">
        <f>IF($M115="","",IF(ISNUMBER(INDEX(fa_relance,$M115)),INDEX(fa_relance,$M115),""))</f>
        <v/>
      </c>
      <c r="L115" s="79" t="str">
        <f>IF($M115="","",IF(AND(ISNUMBER(K115),(p_asof-E115)&gt;0,(p_asof-N(K115))&gt;=0,(p_asof-N(K115))&lt;7),"Déjà relancée il y a "&amp;(p_asof-N(K115))&amp;" j",IF((p_asof-E115)&lt;=0,IF((p_asof-E115)&gt;-8,"Rappel courtois avant l'échéance","Aucune action"),IF((p_asof-E115)&lt;=15,"Relance 1 : e-mail de rappel",IF((p_asof-E115)&lt;=30,"Relance 2 : appel téléphonique",IF((p_asof-E115)&lt;=60,"Relance 3 : lettre de relance",IF((p_asof-E115)&lt;=90,"Mise en demeure (recommandé)","Contentieux : injonction de payer")))))))</f>
        <v/>
      </c>
      <c r="M115" t="str">
        <f>IFERROR(MATCH(84,fa_rank,0),"")</f>
        <v/>
      </c>
    </row>
    <row r="116">
      <c r="B116" s="78" t="str">
        <f>IF($M116="","",INDEX(fa_num,$M116)&amp;"")</f>
        <v/>
      </c>
      <c r="C116" s="79" t="str">
        <f>IF($M116="","",INDEX(fa_cname,$M116)&amp;"")</f>
        <v/>
      </c>
      <c r="D116" s="56" t="str">
        <f>IF($M116="","",INDEX(fa_date,$M116))</f>
        <v/>
      </c>
      <c r="E116" s="56" t="str">
        <f>IF($M116="","",INDEX(fa_due,$M116))</f>
        <v/>
      </c>
      <c r="F116" s="75" t="str">
        <f>IF($M116="","",INDEX(fa_ttc,$M116))</f>
        <v/>
      </c>
      <c r="G116" s="75" t="str">
        <f>IF($M116="","",INDEX(fa_paid,$M116)+INDEX(fa_avoirs,$M116))</f>
        <v/>
      </c>
      <c r="H116" s="75" t="str">
        <f>IF($M116="","",INDEX(fa_reste,$M116))</f>
        <v/>
      </c>
      <c r="I116" s="58" t="str">
        <f>IF($M116="","",MAX(0,p_asof-E116))</f>
        <v/>
      </c>
      <c r="J116" s="78" t="str">
        <f>IF($M116="","",INDEX(fa_tranche,$M116)&amp;"")</f>
        <v/>
      </c>
      <c r="K116" s="56" t="str">
        <f>IF($M116="","",IF(ISNUMBER(INDEX(fa_relance,$M116)),INDEX(fa_relance,$M116),""))</f>
        <v/>
      </c>
      <c r="L116" s="79" t="str">
        <f>IF($M116="","",IF(AND(ISNUMBER(K116),(p_asof-E116)&gt;0,(p_asof-N(K116))&gt;=0,(p_asof-N(K116))&lt;7),"Déjà relancée il y a "&amp;(p_asof-N(K116))&amp;" j",IF((p_asof-E116)&lt;=0,IF((p_asof-E116)&gt;-8,"Rappel courtois avant l'échéance","Aucune action"),IF((p_asof-E116)&lt;=15,"Relance 1 : e-mail de rappel",IF((p_asof-E116)&lt;=30,"Relance 2 : appel téléphonique",IF((p_asof-E116)&lt;=60,"Relance 3 : lettre de relance",IF((p_asof-E116)&lt;=90,"Mise en demeure (recommandé)","Contentieux : injonction de payer")))))))</f>
        <v/>
      </c>
      <c r="M116" t="str">
        <f>IFERROR(MATCH(85,fa_rank,0),"")</f>
        <v/>
      </c>
    </row>
    <row r="117">
      <c r="B117" s="78" t="str">
        <f>IF($M117="","",INDEX(fa_num,$M117)&amp;"")</f>
        <v/>
      </c>
      <c r="C117" s="79" t="str">
        <f>IF($M117="","",INDEX(fa_cname,$M117)&amp;"")</f>
        <v/>
      </c>
      <c r="D117" s="56" t="str">
        <f>IF($M117="","",INDEX(fa_date,$M117))</f>
        <v/>
      </c>
      <c r="E117" s="56" t="str">
        <f>IF($M117="","",INDEX(fa_due,$M117))</f>
        <v/>
      </c>
      <c r="F117" s="75" t="str">
        <f>IF($M117="","",INDEX(fa_ttc,$M117))</f>
        <v/>
      </c>
      <c r="G117" s="75" t="str">
        <f>IF($M117="","",INDEX(fa_paid,$M117)+INDEX(fa_avoirs,$M117))</f>
        <v/>
      </c>
      <c r="H117" s="75" t="str">
        <f>IF($M117="","",INDEX(fa_reste,$M117))</f>
        <v/>
      </c>
      <c r="I117" s="58" t="str">
        <f>IF($M117="","",MAX(0,p_asof-E117))</f>
        <v/>
      </c>
      <c r="J117" s="78" t="str">
        <f>IF($M117="","",INDEX(fa_tranche,$M117)&amp;"")</f>
        <v/>
      </c>
      <c r="K117" s="56" t="str">
        <f>IF($M117="","",IF(ISNUMBER(INDEX(fa_relance,$M117)),INDEX(fa_relance,$M117),""))</f>
        <v/>
      </c>
      <c r="L117" s="79" t="str">
        <f>IF($M117="","",IF(AND(ISNUMBER(K117),(p_asof-E117)&gt;0,(p_asof-N(K117))&gt;=0,(p_asof-N(K117))&lt;7),"Déjà relancée il y a "&amp;(p_asof-N(K117))&amp;" j",IF((p_asof-E117)&lt;=0,IF((p_asof-E117)&gt;-8,"Rappel courtois avant l'échéance","Aucune action"),IF((p_asof-E117)&lt;=15,"Relance 1 : e-mail de rappel",IF((p_asof-E117)&lt;=30,"Relance 2 : appel téléphonique",IF((p_asof-E117)&lt;=60,"Relance 3 : lettre de relance",IF((p_asof-E117)&lt;=90,"Mise en demeure (recommandé)","Contentieux : injonction de payer")))))))</f>
        <v/>
      </c>
      <c r="M117" t="str">
        <f>IFERROR(MATCH(86,fa_rank,0),"")</f>
        <v/>
      </c>
    </row>
    <row r="118">
      <c r="B118" s="78" t="str">
        <f>IF($M118="","",INDEX(fa_num,$M118)&amp;"")</f>
        <v/>
      </c>
      <c r="C118" s="79" t="str">
        <f>IF($M118="","",INDEX(fa_cname,$M118)&amp;"")</f>
        <v/>
      </c>
      <c r="D118" s="56" t="str">
        <f>IF($M118="","",INDEX(fa_date,$M118))</f>
        <v/>
      </c>
      <c r="E118" s="56" t="str">
        <f>IF($M118="","",INDEX(fa_due,$M118))</f>
        <v/>
      </c>
      <c r="F118" s="75" t="str">
        <f>IF($M118="","",INDEX(fa_ttc,$M118))</f>
        <v/>
      </c>
      <c r="G118" s="75" t="str">
        <f>IF($M118="","",INDEX(fa_paid,$M118)+INDEX(fa_avoirs,$M118))</f>
        <v/>
      </c>
      <c r="H118" s="75" t="str">
        <f>IF($M118="","",INDEX(fa_reste,$M118))</f>
        <v/>
      </c>
      <c r="I118" s="58" t="str">
        <f>IF($M118="","",MAX(0,p_asof-E118))</f>
        <v/>
      </c>
      <c r="J118" s="78" t="str">
        <f>IF($M118="","",INDEX(fa_tranche,$M118)&amp;"")</f>
        <v/>
      </c>
      <c r="K118" s="56" t="str">
        <f>IF($M118="","",IF(ISNUMBER(INDEX(fa_relance,$M118)),INDEX(fa_relance,$M118),""))</f>
        <v/>
      </c>
      <c r="L118" s="79" t="str">
        <f>IF($M118="","",IF(AND(ISNUMBER(K118),(p_asof-E118)&gt;0,(p_asof-N(K118))&gt;=0,(p_asof-N(K118))&lt;7),"Déjà relancée il y a "&amp;(p_asof-N(K118))&amp;" j",IF((p_asof-E118)&lt;=0,IF((p_asof-E118)&gt;-8,"Rappel courtois avant l'échéance","Aucune action"),IF((p_asof-E118)&lt;=15,"Relance 1 : e-mail de rappel",IF((p_asof-E118)&lt;=30,"Relance 2 : appel téléphonique",IF((p_asof-E118)&lt;=60,"Relance 3 : lettre de relance",IF((p_asof-E118)&lt;=90,"Mise en demeure (recommandé)","Contentieux : injonction de payer")))))))</f>
        <v/>
      </c>
      <c r="M118" t="str">
        <f>IFERROR(MATCH(87,fa_rank,0),"")</f>
        <v/>
      </c>
    </row>
    <row r="119">
      <c r="B119" s="78" t="str">
        <f>IF($M119="","",INDEX(fa_num,$M119)&amp;"")</f>
        <v/>
      </c>
      <c r="C119" s="79" t="str">
        <f>IF($M119="","",INDEX(fa_cname,$M119)&amp;"")</f>
        <v/>
      </c>
      <c r="D119" s="56" t="str">
        <f>IF($M119="","",INDEX(fa_date,$M119))</f>
        <v/>
      </c>
      <c r="E119" s="56" t="str">
        <f>IF($M119="","",INDEX(fa_due,$M119))</f>
        <v/>
      </c>
      <c r="F119" s="75" t="str">
        <f>IF($M119="","",INDEX(fa_ttc,$M119))</f>
        <v/>
      </c>
      <c r="G119" s="75" t="str">
        <f>IF($M119="","",INDEX(fa_paid,$M119)+INDEX(fa_avoirs,$M119))</f>
        <v/>
      </c>
      <c r="H119" s="75" t="str">
        <f>IF($M119="","",INDEX(fa_reste,$M119))</f>
        <v/>
      </c>
      <c r="I119" s="58" t="str">
        <f>IF($M119="","",MAX(0,p_asof-E119))</f>
        <v/>
      </c>
      <c r="J119" s="78" t="str">
        <f>IF($M119="","",INDEX(fa_tranche,$M119)&amp;"")</f>
        <v/>
      </c>
      <c r="K119" s="56" t="str">
        <f>IF($M119="","",IF(ISNUMBER(INDEX(fa_relance,$M119)),INDEX(fa_relance,$M119),""))</f>
        <v/>
      </c>
      <c r="L119" s="79" t="str">
        <f>IF($M119="","",IF(AND(ISNUMBER(K119),(p_asof-E119)&gt;0,(p_asof-N(K119))&gt;=0,(p_asof-N(K119))&lt;7),"Déjà relancée il y a "&amp;(p_asof-N(K119))&amp;" j",IF((p_asof-E119)&lt;=0,IF((p_asof-E119)&gt;-8,"Rappel courtois avant l'échéance","Aucune action"),IF((p_asof-E119)&lt;=15,"Relance 1 : e-mail de rappel",IF((p_asof-E119)&lt;=30,"Relance 2 : appel téléphonique",IF((p_asof-E119)&lt;=60,"Relance 3 : lettre de relance",IF((p_asof-E119)&lt;=90,"Mise en demeure (recommandé)","Contentieux : injonction de payer")))))))</f>
        <v/>
      </c>
      <c r="M119" t="str">
        <f>IFERROR(MATCH(88,fa_rank,0),"")</f>
        <v/>
      </c>
    </row>
    <row r="120">
      <c r="B120" s="78" t="str">
        <f>IF($M120="","",INDEX(fa_num,$M120)&amp;"")</f>
        <v/>
      </c>
      <c r="C120" s="79" t="str">
        <f>IF($M120="","",INDEX(fa_cname,$M120)&amp;"")</f>
        <v/>
      </c>
      <c r="D120" s="56" t="str">
        <f>IF($M120="","",INDEX(fa_date,$M120))</f>
        <v/>
      </c>
      <c r="E120" s="56" t="str">
        <f>IF($M120="","",INDEX(fa_due,$M120))</f>
        <v/>
      </c>
      <c r="F120" s="75" t="str">
        <f>IF($M120="","",INDEX(fa_ttc,$M120))</f>
        <v/>
      </c>
      <c r="G120" s="75" t="str">
        <f>IF($M120="","",INDEX(fa_paid,$M120)+INDEX(fa_avoirs,$M120))</f>
        <v/>
      </c>
      <c r="H120" s="75" t="str">
        <f>IF($M120="","",INDEX(fa_reste,$M120))</f>
        <v/>
      </c>
      <c r="I120" s="58" t="str">
        <f>IF($M120="","",MAX(0,p_asof-E120))</f>
        <v/>
      </c>
      <c r="J120" s="78" t="str">
        <f>IF($M120="","",INDEX(fa_tranche,$M120)&amp;"")</f>
        <v/>
      </c>
      <c r="K120" s="56" t="str">
        <f>IF($M120="","",IF(ISNUMBER(INDEX(fa_relance,$M120)),INDEX(fa_relance,$M120),""))</f>
        <v/>
      </c>
      <c r="L120" s="79" t="str">
        <f>IF($M120="","",IF(AND(ISNUMBER(K120),(p_asof-E120)&gt;0,(p_asof-N(K120))&gt;=0,(p_asof-N(K120))&lt;7),"Déjà relancée il y a "&amp;(p_asof-N(K120))&amp;" j",IF((p_asof-E120)&lt;=0,IF((p_asof-E120)&gt;-8,"Rappel courtois avant l'échéance","Aucune action"),IF((p_asof-E120)&lt;=15,"Relance 1 : e-mail de rappel",IF((p_asof-E120)&lt;=30,"Relance 2 : appel téléphonique",IF((p_asof-E120)&lt;=60,"Relance 3 : lettre de relance",IF((p_asof-E120)&lt;=90,"Mise en demeure (recommandé)","Contentieux : injonction de payer")))))))</f>
        <v/>
      </c>
      <c r="M120" t="str">
        <f>IFERROR(MATCH(89,fa_rank,0),"")</f>
        <v/>
      </c>
    </row>
    <row r="121">
      <c r="B121" s="78" t="str">
        <f>IF($M121="","",INDEX(fa_num,$M121)&amp;"")</f>
        <v/>
      </c>
      <c r="C121" s="79" t="str">
        <f>IF($M121="","",INDEX(fa_cname,$M121)&amp;"")</f>
        <v/>
      </c>
      <c r="D121" s="56" t="str">
        <f>IF($M121="","",INDEX(fa_date,$M121))</f>
        <v/>
      </c>
      <c r="E121" s="56" t="str">
        <f>IF($M121="","",INDEX(fa_due,$M121))</f>
        <v/>
      </c>
      <c r="F121" s="75" t="str">
        <f>IF($M121="","",INDEX(fa_ttc,$M121))</f>
        <v/>
      </c>
      <c r="G121" s="75" t="str">
        <f>IF($M121="","",INDEX(fa_paid,$M121)+INDEX(fa_avoirs,$M121))</f>
        <v/>
      </c>
      <c r="H121" s="75" t="str">
        <f>IF($M121="","",INDEX(fa_reste,$M121))</f>
        <v/>
      </c>
      <c r="I121" s="58" t="str">
        <f>IF($M121="","",MAX(0,p_asof-E121))</f>
        <v/>
      </c>
      <c r="J121" s="78" t="str">
        <f>IF($M121="","",INDEX(fa_tranche,$M121)&amp;"")</f>
        <v/>
      </c>
      <c r="K121" s="56" t="str">
        <f>IF($M121="","",IF(ISNUMBER(INDEX(fa_relance,$M121)),INDEX(fa_relance,$M121),""))</f>
        <v/>
      </c>
      <c r="L121" s="79" t="str">
        <f>IF($M121="","",IF(AND(ISNUMBER(K121),(p_asof-E121)&gt;0,(p_asof-N(K121))&gt;=0,(p_asof-N(K121))&lt;7),"Déjà relancée il y a "&amp;(p_asof-N(K121))&amp;" j",IF((p_asof-E121)&lt;=0,IF((p_asof-E121)&gt;-8,"Rappel courtois avant l'échéance","Aucune action"),IF((p_asof-E121)&lt;=15,"Relance 1 : e-mail de rappel",IF((p_asof-E121)&lt;=30,"Relance 2 : appel téléphonique",IF((p_asof-E121)&lt;=60,"Relance 3 : lettre de relance",IF((p_asof-E121)&lt;=90,"Mise en demeure (recommandé)","Contentieux : injonction de payer")))))))</f>
        <v/>
      </c>
      <c r="M121" t="str">
        <f>IFERROR(MATCH(90,fa_rank,0),"")</f>
        <v/>
      </c>
    </row>
    <row r="122">
      <c r="B122" s="78" t="str">
        <f>IF($M122="","",INDEX(fa_num,$M122)&amp;"")</f>
        <v/>
      </c>
      <c r="C122" s="79" t="str">
        <f>IF($M122="","",INDEX(fa_cname,$M122)&amp;"")</f>
        <v/>
      </c>
      <c r="D122" s="56" t="str">
        <f>IF($M122="","",INDEX(fa_date,$M122))</f>
        <v/>
      </c>
      <c r="E122" s="56" t="str">
        <f>IF($M122="","",INDEX(fa_due,$M122))</f>
        <v/>
      </c>
      <c r="F122" s="75" t="str">
        <f>IF($M122="","",INDEX(fa_ttc,$M122))</f>
        <v/>
      </c>
      <c r="G122" s="75" t="str">
        <f>IF($M122="","",INDEX(fa_paid,$M122)+INDEX(fa_avoirs,$M122))</f>
        <v/>
      </c>
      <c r="H122" s="75" t="str">
        <f>IF($M122="","",INDEX(fa_reste,$M122))</f>
        <v/>
      </c>
      <c r="I122" s="58" t="str">
        <f>IF($M122="","",MAX(0,p_asof-E122))</f>
        <v/>
      </c>
      <c r="J122" s="78" t="str">
        <f>IF($M122="","",INDEX(fa_tranche,$M122)&amp;"")</f>
        <v/>
      </c>
      <c r="K122" s="56" t="str">
        <f>IF($M122="","",IF(ISNUMBER(INDEX(fa_relance,$M122)),INDEX(fa_relance,$M122),""))</f>
        <v/>
      </c>
      <c r="L122" s="79" t="str">
        <f>IF($M122="","",IF(AND(ISNUMBER(K122),(p_asof-E122)&gt;0,(p_asof-N(K122))&gt;=0,(p_asof-N(K122))&lt;7),"Déjà relancée il y a "&amp;(p_asof-N(K122))&amp;" j",IF((p_asof-E122)&lt;=0,IF((p_asof-E122)&gt;-8,"Rappel courtois avant l'échéance","Aucune action"),IF((p_asof-E122)&lt;=15,"Relance 1 : e-mail de rappel",IF((p_asof-E122)&lt;=30,"Relance 2 : appel téléphonique",IF((p_asof-E122)&lt;=60,"Relance 3 : lettre de relance",IF((p_asof-E122)&lt;=90,"Mise en demeure (recommandé)","Contentieux : injonction de payer")))))))</f>
        <v/>
      </c>
      <c r="M122" t="str">
        <f>IFERROR(MATCH(91,fa_rank,0),"")</f>
        <v/>
      </c>
    </row>
    <row r="123">
      <c r="B123" s="78" t="str">
        <f>IF($M123="","",INDEX(fa_num,$M123)&amp;"")</f>
        <v/>
      </c>
      <c r="C123" s="79" t="str">
        <f>IF($M123="","",INDEX(fa_cname,$M123)&amp;"")</f>
        <v/>
      </c>
      <c r="D123" s="56" t="str">
        <f>IF($M123="","",INDEX(fa_date,$M123))</f>
        <v/>
      </c>
      <c r="E123" s="56" t="str">
        <f>IF($M123="","",INDEX(fa_due,$M123))</f>
        <v/>
      </c>
      <c r="F123" s="75" t="str">
        <f>IF($M123="","",INDEX(fa_ttc,$M123))</f>
        <v/>
      </c>
      <c r="G123" s="75" t="str">
        <f>IF($M123="","",INDEX(fa_paid,$M123)+INDEX(fa_avoirs,$M123))</f>
        <v/>
      </c>
      <c r="H123" s="75" t="str">
        <f>IF($M123="","",INDEX(fa_reste,$M123))</f>
        <v/>
      </c>
      <c r="I123" s="58" t="str">
        <f>IF($M123="","",MAX(0,p_asof-E123))</f>
        <v/>
      </c>
      <c r="J123" s="78" t="str">
        <f>IF($M123="","",INDEX(fa_tranche,$M123)&amp;"")</f>
        <v/>
      </c>
      <c r="K123" s="56" t="str">
        <f>IF($M123="","",IF(ISNUMBER(INDEX(fa_relance,$M123)),INDEX(fa_relance,$M123),""))</f>
        <v/>
      </c>
      <c r="L123" s="79" t="str">
        <f>IF($M123="","",IF(AND(ISNUMBER(K123),(p_asof-E123)&gt;0,(p_asof-N(K123))&gt;=0,(p_asof-N(K123))&lt;7),"Déjà relancée il y a "&amp;(p_asof-N(K123))&amp;" j",IF((p_asof-E123)&lt;=0,IF((p_asof-E123)&gt;-8,"Rappel courtois avant l'échéance","Aucune action"),IF((p_asof-E123)&lt;=15,"Relance 1 : e-mail de rappel",IF((p_asof-E123)&lt;=30,"Relance 2 : appel téléphonique",IF((p_asof-E123)&lt;=60,"Relance 3 : lettre de relance",IF((p_asof-E123)&lt;=90,"Mise en demeure (recommandé)","Contentieux : injonction de payer")))))))</f>
        <v/>
      </c>
      <c r="M123" t="str">
        <f>IFERROR(MATCH(92,fa_rank,0),"")</f>
        <v/>
      </c>
    </row>
    <row r="124">
      <c r="B124" s="78" t="str">
        <f>IF($M124="","",INDEX(fa_num,$M124)&amp;"")</f>
        <v/>
      </c>
      <c r="C124" s="79" t="str">
        <f>IF($M124="","",INDEX(fa_cname,$M124)&amp;"")</f>
        <v/>
      </c>
      <c r="D124" s="56" t="str">
        <f>IF($M124="","",INDEX(fa_date,$M124))</f>
        <v/>
      </c>
      <c r="E124" s="56" t="str">
        <f>IF($M124="","",INDEX(fa_due,$M124))</f>
        <v/>
      </c>
      <c r="F124" s="75" t="str">
        <f>IF($M124="","",INDEX(fa_ttc,$M124))</f>
        <v/>
      </c>
      <c r="G124" s="75" t="str">
        <f>IF($M124="","",INDEX(fa_paid,$M124)+INDEX(fa_avoirs,$M124))</f>
        <v/>
      </c>
      <c r="H124" s="75" t="str">
        <f>IF($M124="","",INDEX(fa_reste,$M124))</f>
        <v/>
      </c>
      <c r="I124" s="58" t="str">
        <f>IF($M124="","",MAX(0,p_asof-E124))</f>
        <v/>
      </c>
      <c r="J124" s="78" t="str">
        <f>IF($M124="","",INDEX(fa_tranche,$M124)&amp;"")</f>
        <v/>
      </c>
      <c r="K124" s="56" t="str">
        <f>IF($M124="","",IF(ISNUMBER(INDEX(fa_relance,$M124)),INDEX(fa_relance,$M124),""))</f>
        <v/>
      </c>
      <c r="L124" s="79" t="str">
        <f>IF($M124="","",IF(AND(ISNUMBER(K124),(p_asof-E124)&gt;0,(p_asof-N(K124))&gt;=0,(p_asof-N(K124))&lt;7),"Déjà relancée il y a "&amp;(p_asof-N(K124))&amp;" j",IF((p_asof-E124)&lt;=0,IF((p_asof-E124)&gt;-8,"Rappel courtois avant l'échéance","Aucune action"),IF((p_asof-E124)&lt;=15,"Relance 1 : e-mail de rappel",IF((p_asof-E124)&lt;=30,"Relance 2 : appel téléphonique",IF((p_asof-E124)&lt;=60,"Relance 3 : lettre de relance",IF((p_asof-E124)&lt;=90,"Mise en demeure (recommandé)","Contentieux : injonction de payer")))))))</f>
        <v/>
      </c>
      <c r="M124" t="str">
        <f>IFERROR(MATCH(93,fa_rank,0),"")</f>
        <v/>
      </c>
    </row>
    <row r="125">
      <c r="B125" s="78" t="str">
        <f>IF($M125="","",INDEX(fa_num,$M125)&amp;"")</f>
        <v/>
      </c>
      <c r="C125" s="79" t="str">
        <f>IF($M125="","",INDEX(fa_cname,$M125)&amp;"")</f>
        <v/>
      </c>
      <c r="D125" s="56" t="str">
        <f>IF($M125="","",INDEX(fa_date,$M125))</f>
        <v/>
      </c>
      <c r="E125" s="56" t="str">
        <f>IF($M125="","",INDEX(fa_due,$M125))</f>
        <v/>
      </c>
      <c r="F125" s="75" t="str">
        <f>IF($M125="","",INDEX(fa_ttc,$M125))</f>
        <v/>
      </c>
      <c r="G125" s="75" t="str">
        <f>IF($M125="","",INDEX(fa_paid,$M125)+INDEX(fa_avoirs,$M125))</f>
        <v/>
      </c>
      <c r="H125" s="75" t="str">
        <f>IF($M125="","",INDEX(fa_reste,$M125))</f>
        <v/>
      </c>
      <c r="I125" s="58" t="str">
        <f>IF($M125="","",MAX(0,p_asof-E125))</f>
        <v/>
      </c>
      <c r="J125" s="78" t="str">
        <f>IF($M125="","",INDEX(fa_tranche,$M125)&amp;"")</f>
        <v/>
      </c>
      <c r="K125" s="56" t="str">
        <f>IF($M125="","",IF(ISNUMBER(INDEX(fa_relance,$M125)),INDEX(fa_relance,$M125),""))</f>
        <v/>
      </c>
      <c r="L125" s="79" t="str">
        <f>IF($M125="","",IF(AND(ISNUMBER(K125),(p_asof-E125)&gt;0,(p_asof-N(K125))&gt;=0,(p_asof-N(K125))&lt;7),"Déjà relancée il y a "&amp;(p_asof-N(K125))&amp;" j",IF((p_asof-E125)&lt;=0,IF((p_asof-E125)&gt;-8,"Rappel courtois avant l'échéance","Aucune action"),IF((p_asof-E125)&lt;=15,"Relance 1 : e-mail de rappel",IF((p_asof-E125)&lt;=30,"Relance 2 : appel téléphonique",IF((p_asof-E125)&lt;=60,"Relance 3 : lettre de relance",IF((p_asof-E125)&lt;=90,"Mise en demeure (recommandé)","Contentieux : injonction de payer")))))))</f>
        <v/>
      </c>
      <c r="M125" t="str">
        <f>IFERROR(MATCH(94,fa_rank,0),"")</f>
        <v/>
      </c>
    </row>
    <row r="126">
      <c r="B126" s="78" t="str">
        <f>IF($M126="","",INDEX(fa_num,$M126)&amp;"")</f>
        <v/>
      </c>
      <c r="C126" s="79" t="str">
        <f>IF($M126="","",INDEX(fa_cname,$M126)&amp;"")</f>
        <v/>
      </c>
      <c r="D126" s="56" t="str">
        <f>IF($M126="","",INDEX(fa_date,$M126))</f>
        <v/>
      </c>
      <c r="E126" s="56" t="str">
        <f>IF($M126="","",INDEX(fa_due,$M126))</f>
        <v/>
      </c>
      <c r="F126" s="75" t="str">
        <f>IF($M126="","",INDEX(fa_ttc,$M126))</f>
        <v/>
      </c>
      <c r="G126" s="75" t="str">
        <f>IF($M126="","",INDEX(fa_paid,$M126)+INDEX(fa_avoirs,$M126))</f>
        <v/>
      </c>
      <c r="H126" s="75" t="str">
        <f>IF($M126="","",INDEX(fa_reste,$M126))</f>
        <v/>
      </c>
      <c r="I126" s="58" t="str">
        <f>IF($M126="","",MAX(0,p_asof-E126))</f>
        <v/>
      </c>
      <c r="J126" s="78" t="str">
        <f>IF($M126="","",INDEX(fa_tranche,$M126)&amp;"")</f>
        <v/>
      </c>
      <c r="K126" s="56" t="str">
        <f>IF($M126="","",IF(ISNUMBER(INDEX(fa_relance,$M126)),INDEX(fa_relance,$M126),""))</f>
        <v/>
      </c>
      <c r="L126" s="79" t="str">
        <f>IF($M126="","",IF(AND(ISNUMBER(K126),(p_asof-E126)&gt;0,(p_asof-N(K126))&gt;=0,(p_asof-N(K126))&lt;7),"Déjà relancée il y a "&amp;(p_asof-N(K126))&amp;" j",IF((p_asof-E126)&lt;=0,IF((p_asof-E126)&gt;-8,"Rappel courtois avant l'échéance","Aucune action"),IF((p_asof-E126)&lt;=15,"Relance 1 : e-mail de rappel",IF((p_asof-E126)&lt;=30,"Relance 2 : appel téléphonique",IF((p_asof-E126)&lt;=60,"Relance 3 : lettre de relance",IF((p_asof-E126)&lt;=90,"Mise en demeure (recommandé)","Contentieux : injonction de payer")))))))</f>
        <v/>
      </c>
      <c r="M126" t="str">
        <f>IFERROR(MATCH(95,fa_rank,0),"")</f>
        <v/>
      </c>
    </row>
    <row r="127">
      <c r="B127" s="78" t="str">
        <f>IF($M127="","",INDEX(fa_num,$M127)&amp;"")</f>
        <v/>
      </c>
      <c r="C127" s="79" t="str">
        <f>IF($M127="","",INDEX(fa_cname,$M127)&amp;"")</f>
        <v/>
      </c>
      <c r="D127" s="56" t="str">
        <f>IF($M127="","",INDEX(fa_date,$M127))</f>
        <v/>
      </c>
      <c r="E127" s="56" t="str">
        <f>IF($M127="","",INDEX(fa_due,$M127))</f>
        <v/>
      </c>
      <c r="F127" s="75" t="str">
        <f>IF($M127="","",INDEX(fa_ttc,$M127))</f>
        <v/>
      </c>
      <c r="G127" s="75" t="str">
        <f>IF($M127="","",INDEX(fa_paid,$M127)+INDEX(fa_avoirs,$M127))</f>
        <v/>
      </c>
      <c r="H127" s="75" t="str">
        <f>IF($M127="","",INDEX(fa_reste,$M127))</f>
        <v/>
      </c>
      <c r="I127" s="58" t="str">
        <f>IF($M127="","",MAX(0,p_asof-E127))</f>
        <v/>
      </c>
      <c r="J127" s="78" t="str">
        <f>IF($M127="","",INDEX(fa_tranche,$M127)&amp;"")</f>
        <v/>
      </c>
      <c r="K127" s="56" t="str">
        <f>IF($M127="","",IF(ISNUMBER(INDEX(fa_relance,$M127)),INDEX(fa_relance,$M127),""))</f>
        <v/>
      </c>
      <c r="L127" s="79" t="str">
        <f>IF($M127="","",IF(AND(ISNUMBER(K127),(p_asof-E127)&gt;0,(p_asof-N(K127))&gt;=0,(p_asof-N(K127))&lt;7),"Déjà relancée il y a "&amp;(p_asof-N(K127))&amp;" j",IF((p_asof-E127)&lt;=0,IF((p_asof-E127)&gt;-8,"Rappel courtois avant l'échéance","Aucune action"),IF((p_asof-E127)&lt;=15,"Relance 1 : e-mail de rappel",IF((p_asof-E127)&lt;=30,"Relance 2 : appel téléphonique",IF((p_asof-E127)&lt;=60,"Relance 3 : lettre de relance",IF((p_asof-E127)&lt;=90,"Mise en demeure (recommandé)","Contentieux : injonction de payer")))))))</f>
        <v/>
      </c>
      <c r="M127" t="str">
        <f>IFERROR(MATCH(96,fa_rank,0),"")</f>
        <v/>
      </c>
    </row>
    <row r="128">
      <c r="B128" s="78" t="str">
        <f>IF($M128="","",INDEX(fa_num,$M128)&amp;"")</f>
        <v/>
      </c>
      <c r="C128" s="79" t="str">
        <f>IF($M128="","",INDEX(fa_cname,$M128)&amp;"")</f>
        <v/>
      </c>
      <c r="D128" s="56" t="str">
        <f>IF($M128="","",INDEX(fa_date,$M128))</f>
        <v/>
      </c>
      <c r="E128" s="56" t="str">
        <f>IF($M128="","",INDEX(fa_due,$M128))</f>
        <v/>
      </c>
      <c r="F128" s="75" t="str">
        <f>IF($M128="","",INDEX(fa_ttc,$M128))</f>
        <v/>
      </c>
      <c r="G128" s="75" t="str">
        <f>IF($M128="","",INDEX(fa_paid,$M128)+INDEX(fa_avoirs,$M128))</f>
        <v/>
      </c>
      <c r="H128" s="75" t="str">
        <f>IF($M128="","",INDEX(fa_reste,$M128))</f>
        <v/>
      </c>
      <c r="I128" s="58" t="str">
        <f>IF($M128="","",MAX(0,p_asof-E128))</f>
        <v/>
      </c>
      <c r="J128" s="78" t="str">
        <f>IF($M128="","",INDEX(fa_tranche,$M128)&amp;"")</f>
        <v/>
      </c>
      <c r="K128" s="56" t="str">
        <f>IF($M128="","",IF(ISNUMBER(INDEX(fa_relance,$M128)),INDEX(fa_relance,$M128),""))</f>
        <v/>
      </c>
      <c r="L128" s="79" t="str">
        <f>IF($M128="","",IF(AND(ISNUMBER(K128),(p_asof-E128)&gt;0,(p_asof-N(K128))&gt;=0,(p_asof-N(K128))&lt;7),"Déjà relancée il y a "&amp;(p_asof-N(K128))&amp;" j",IF((p_asof-E128)&lt;=0,IF((p_asof-E128)&gt;-8,"Rappel courtois avant l'échéance","Aucune action"),IF((p_asof-E128)&lt;=15,"Relance 1 : e-mail de rappel",IF((p_asof-E128)&lt;=30,"Relance 2 : appel téléphonique",IF((p_asof-E128)&lt;=60,"Relance 3 : lettre de relance",IF((p_asof-E128)&lt;=90,"Mise en demeure (recommandé)","Contentieux : injonction de payer")))))))</f>
        <v/>
      </c>
      <c r="M128" t="str">
        <f>IFERROR(MATCH(97,fa_rank,0),"")</f>
        <v/>
      </c>
    </row>
    <row r="129">
      <c r="B129" s="78" t="str">
        <f>IF($M129="","",INDEX(fa_num,$M129)&amp;"")</f>
        <v/>
      </c>
      <c r="C129" s="79" t="str">
        <f>IF($M129="","",INDEX(fa_cname,$M129)&amp;"")</f>
        <v/>
      </c>
      <c r="D129" s="56" t="str">
        <f>IF($M129="","",INDEX(fa_date,$M129))</f>
        <v/>
      </c>
      <c r="E129" s="56" t="str">
        <f>IF($M129="","",INDEX(fa_due,$M129))</f>
        <v/>
      </c>
      <c r="F129" s="75" t="str">
        <f>IF($M129="","",INDEX(fa_ttc,$M129))</f>
        <v/>
      </c>
      <c r="G129" s="75" t="str">
        <f>IF($M129="","",INDEX(fa_paid,$M129)+INDEX(fa_avoirs,$M129))</f>
        <v/>
      </c>
      <c r="H129" s="75" t="str">
        <f>IF($M129="","",INDEX(fa_reste,$M129))</f>
        <v/>
      </c>
      <c r="I129" s="58" t="str">
        <f>IF($M129="","",MAX(0,p_asof-E129))</f>
        <v/>
      </c>
      <c r="J129" s="78" t="str">
        <f>IF($M129="","",INDEX(fa_tranche,$M129)&amp;"")</f>
        <v/>
      </c>
      <c r="K129" s="56" t="str">
        <f>IF($M129="","",IF(ISNUMBER(INDEX(fa_relance,$M129)),INDEX(fa_relance,$M129),""))</f>
        <v/>
      </c>
      <c r="L129" s="79" t="str">
        <f>IF($M129="","",IF(AND(ISNUMBER(K129),(p_asof-E129)&gt;0,(p_asof-N(K129))&gt;=0,(p_asof-N(K129))&lt;7),"Déjà relancée il y a "&amp;(p_asof-N(K129))&amp;" j",IF((p_asof-E129)&lt;=0,IF((p_asof-E129)&gt;-8,"Rappel courtois avant l'échéance","Aucune action"),IF((p_asof-E129)&lt;=15,"Relance 1 : e-mail de rappel",IF((p_asof-E129)&lt;=30,"Relance 2 : appel téléphonique",IF((p_asof-E129)&lt;=60,"Relance 3 : lettre de relance",IF((p_asof-E129)&lt;=90,"Mise en demeure (recommandé)","Contentieux : injonction de payer")))))))</f>
        <v/>
      </c>
      <c r="M129" t="str">
        <f>IFERROR(MATCH(98,fa_rank,0),"")</f>
        <v/>
      </c>
    </row>
    <row r="130">
      <c r="B130" s="78" t="str">
        <f>IF($M130="","",INDEX(fa_num,$M130)&amp;"")</f>
        <v/>
      </c>
      <c r="C130" s="79" t="str">
        <f>IF($M130="","",INDEX(fa_cname,$M130)&amp;"")</f>
        <v/>
      </c>
      <c r="D130" s="56" t="str">
        <f>IF($M130="","",INDEX(fa_date,$M130))</f>
        <v/>
      </c>
      <c r="E130" s="56" t="str">
        <f>IF($M130="","",INDEX(fa_due,$M130))</f>
        <v/>
      </c>
      <c r="F130" s="75" t="str">
        <f>IF($M130="","",INDEX(fa_ttc,$M130))</f>
        <v/>
      </c>
      <c r="G130" s="75" t="str">
        <f>IF($M130="","",INDEX(fa_paid,$M130)+INDEX(fa_avoirs,$M130))</f>
        <v/>
      </c>
      <c r="H130" s="75" t="str">
        <f>IF($M130="","",INDEX(fa_reste,$M130))</f>
        <v/>
      </c>
      <c r="I130" s="58" t="str">
        <f>IF($M130="","",MAX(0,p_asof-E130))</f>
        <v/>
      </c>
      <c r="J130" s="78" t="str">
        <f>IF($M130="","",INDEX(fa_tranche,$M130)&amp;"")</f>
        <v/>
      </c>
      <c r="K130" s="56" t="str">
        <f>IF($M130="","",IF(ISNUMBER(INDEX(fa_relance,$M130)),INDEX(fa_relance,$M130),""))</f>
        <v/>
      </c>
      <c r="L130" s="79" t="str">
        <f>IF($M130="","",IF(AND(ISNUMBER(K130),(p_asof-E130)&gt;0,(p_asof-N(K130))&gt;=0,(p_asof-N(K130))&lt;7),"Déjà relancée il y a "&amp;(p_asof-N(K130))&amp;" j",IF((p_asof-E130)&lt;=0,IF((p_asof-E130)&gt;-8,"Rappel courtois avant l'échéance","Aucune action"),IF((p_asof-E130)&lt;=15,"Relance 1 : e-mail de rappel",IF((p_asof-E130)&lt;=30,"Relance 2 : appel téléphonique",IF((p_asof-E130)&lt;=60,"Relance 3 : lettre de relance",IF((p_asof-E130)&lt;=90,"Mise en demeure (recommandé)","Contentieux : injonction de payer")))))))</f>
        <v/>
      </c>
      <c r="M130" t="str">
        <f>IFERROR(MATCH(99,fa_rank,0),"")</f>
        <v/>
      </c>
    </row>
    <row r="131">
      <c r="B131" s="78" t="str">
        <f>IF($M131="","",INDEX(fa_num,$M131)&amp;"")</f>
        <v/>
      </c>
      <c r="C131" s="79" t="str">
        <f>IF($M131="","",INDEX(fa_cname,$M131)&amp;"")</f>
        <v/>
      </c>
      <c r="D131" s="56" t="str">
        <f>IF($M131="","",INDEX(fa_date,$M131))</f>
        <v/>
      </c>
      <c r="E131" s="56" t="str">
        <f>IF($M131="","",INDEX(fa_due,$M131))</f>
        <v/>
      </c>
      <c r="F131" s="75" t="str">
        <f>IF($M131="","",INDEX(fa_ttc,$M131))</f>
        <v/>
      </c>
      <c r="G131" s="75" t="str">
        <f>IF($M131="","",INDEX(fa_paid,$M131)+INDEX(fa_avoirs,$M131))</f>
        <v/>
      </c>
      <c r="H131" s="75" t="str">
        <f>IF($M131="","",INDEX(fa_reste,$M131))</f>
        <v/>
      </c>
      <c r="I131" s="58" t="str">
        <f>IF($M131="","",MAX(0,p_asof-E131))</f>
        <v/>
      </c>
      <c r="J131" s="78" t="str">
        <f>IF($M131="","",INDEX(fa_tranche,$M131)&amp;"")</f>
        <v/>
      </c>
      <c r="K131" s="56" t="str">
        <f>IF($M131="","",IF(ISNUMBER(INDEX(fa_relance,$M131)),INDEX(fa_relance,$M131),""))</f>
        <v/>
      </c>
      <c r="L131" s="79" t="str">
        <f>IF($M131="","",IF(AND(ISNUMBER(K131),(p_asof-E131)&gt;0,(p_asof-N(K131))&gt;=0,(p_asof-N(K131))&lt;7),"Déjà relancée il y a "&amp;(p_asof-N(K131))&amp;" j",IF((p_asof-E131)&lt;=0,IF((p_asof-E131)&gt;-8,"Rappel courtois avant l'échéance","Aucune action"),IF((p_asof-E131)&lt;=15,"Relance 1 : e-mail de rappel",IF((p_asof-E131)&lt;=30,"Relance 2 : appel téléphonique",IF((p_asof-E131)&lt;=60,"Relance 3 : lettre de relance",IF((p_asof-E131)&lt;=90,"Mise en demeure (recommandé)","Contentieux : injonction de payer")))))))</f>
        <v/>
      </c>
      <c r="M131" t="str">
        <f>IFERROR(MATCH(100,fa_rank,0),"")</f>
        <v/>
      </c>
    </row>
    <row r="132">
      <c r="B132" s="78" t="str">
        <f>IF($M132="","",INDEX(fa_num,$M132)&amp;"")</f>
        <v/>
      </c>
      <c r="C132" s="79" t="str">
        <f>IF($M132="","",INDEX(fa_cname,$M132)&amp;"")</f>
        <v/>
      </c>
      <c r="D132" s="56" t="str">
        <f>IF($M132="","",INDEX(fa_date,$M132))</f>
        <v/>
      </c>
      <c r="E132" s="56" t="str">
        <f>IF($M132="","",INDEX(fa_due,$M132))</f>
        <v/>
      </c>
      <c r="F132" s="75" t="str">
        <f>IF($M132="","",INDEX(fa_ttc,$M132))</f>
        <v/>
      </c>
      <c r="G132" s="75" t="str">
        <f>IF($M132="","",INDEX(fa_paid,$M132)+INDEX(fa_avoirs,$M132))</f>
        <v/>
      </c>
      <c r="H132" s="75" t="str">
        <f>IF($M132="","",INDEX(fa_reste,$M132))</f>
        <v/>
      </c>
      <c r="I132" s="58" t="str">
        <f>IF($M132="","",MAX(0,p_asof-E132))</f>
        <v/>
      </c>
      <c r="J132" s="78" t="str">
        <f>IF($M132="","",INDEX(fa_tranche,$M132)&amp;"")</f>
        <v/>
      </c>
      <c r="K132" s="56" t="str">
        <f>IF($M132="","",IF(ISNUMBER(INDEX(fa_relance,$M132)),INDEX(fa_relance,$M132),""))</f>
        <v/>
      </c>
      <c r="L132" s="79" t="str">
        <f>IF($M132="","",IF(AND(ISNUMBER(K132),(p_asof-E132)&gt;0,(p_asof-N(K132))&gt;=0,(p_asof-N(K132))&lt;7),"Déjà relancée il y a "&amp;(p_asof-N(K132))&amp;" j",IF((p_asof-E132)&lt;=0,IF((p_asof-E132)&gt;-8,"Rappel courtois avant l'échéance","Aucune action"),IF((p_asof-E132)&lt;=15,"Relance 1 : e-mail de rappel",IF((p_asof-E132)&lt;=30,"Relance 2 : appel téléphonique",IF((p_asof-E132)&lt;=60,"Relance 3 : lettre de relance",IF((p_asof-E132)&lt;=90,"Mise en demeure (recommandé)","Contentieux : injonction de payer")))))))</f>
        <v/>
      </c>
      <c r="M132" t="str">
        <f>IFERROR(MATCH(101,fa_rank,0),"")</f>
        <v/>
      </c>
    </row>
    <row r="133">
      <c r="B133" s="78" t="str">
        <f>IF($M133="","",INDEX(fa_num,$M133)&amp;"")</f>
        <v/>
      </c>
      <c r="C133" s="79" t="str">
        <f>IF($M133="","",INDEX(fa_cname,$M133)&amp;"")</f>
        <v/>
      </c>
      <c r="D133" s="56" t="str">
        <f>IF($M133="","",INDEX(fa_date,$M133))</f>
        <v/>
      </c>
      <c r="E133" s="56" t="str">
        <f>IF($M133="","",INDEX(fa_due,$M133))</f>
        <v/>
      </c>
      <c r="F133" s="75" t="str">
        <f>IF($M133="","",INDEX(fa_ttc,$M133))</f>
        <v/>
      </c>
      <c r="G133" s="75" t="str">
        <f>IF($M133="","",INDEX(fa_paid,$M133)+INDEX(fa_avoirs,$M133))</f>
        <v/>
      </c>
      <c r="H133" s="75" t="str">
        <f>IF($M133="","",INDEX(fa_reste,$M133))</f>
        <v/>
      </c>
      <c r="I133" s="58" t="str">
        <f>IF($M133="","",MAX(0,p_asof-E133))</f>
        <v/>
      </c>
      <c r="J133" s="78" t="str">
        <f>IF($M133="","",INDEX(fa_tranche,$M133)&amp;"")</f>
        <v/>
      </c>
      <c r="K133" s="56" t="str">
        <f>IF($M133="","",IF(ISNUMBER(INDEX(fa_relance,$M133)),INDEX(fa_relance,$M133),""))</f>
        <v/>
      </c>
      <c r="L133" s="79" t="str">
        <f>IF($M133="","",IF(AND(ISNUMBER(K133),(p_asof-E133)&gt;0,(p_asof-N(K133))&gt;=0,(p_asof-N(K133))&lt;7),"Déjà relancée il y a "&amp;(p_asof-N(K133))&amp;" j",IF((p_asof-E133)&lt;=0,IF((p_asof-E133)&gt;-8,"Rappel courtois avant l'échéance","Aucune action"),IF((p_asof-E133)&lt;=15,"Relance 1 : e-mail de rappel",IF((p_asof-E133)&lt;=30,"Relance 2 : appel téléphonique",IF((p_asof-E133)&lt;=60,"Relance 3 : lettre de relance",IF((p_asof-E133)&lt;=90,"Mise en demeure (recommandé)","Contentieux : injonction de payer")))))))</f>
        <v/>
      </c>
      <c r="M133" t="str">
        <f>IFERROR(MATCH(102,fa_rank,0),"")</f>
        <v/>
      </c>
    </row>
    <row r="134">
      <c r="B134" s="78" t="str">
        <f>IF($M134="","",INDEX(fa_num,$M134)&amp;"")</f>
        <v/>
      </c>
      <c r="C134" s="79" t="str">
        <f>IF($M134="","",INDEX(fa_cname,$M134)&amp;"")</f>
        <v/>
      </c>
      <c r="D134" s="56" t="str">
        <f>IF($M134="","",INDEX(fa_date,$M134))</f>
        <v/>
      </c>
      <c r="E134" s="56" t="str">
        <f>IF($M134="","",INDEX(fa_due,$M134))</f>
        <v/>
      </c>
      <c r="F134" s="75" t="str">
        <f>IF($M134="","",INDEX(fa_ttc,$M134))</f>
        <v/>
      </c>
      <c r="G134" s="75" t="str">
        <f>IF($M134="","",INDEX(fa_paid,$M134)+INDEX(fa_avoirs,$M134))</f>
        <v/>
      </c>
      <c r="H134" s="75" t="str">
        <f>IF($M134="","",INDEX(fa_reste,$M134))</f>
        <v/>
      </c>
      <c r="I134" s="58" t="str">
        <f>IF($M134="","",MAX(0,p_asof-E134))</f>
        <v/>
      </c>
      <c r="J134" s="78" t="str">
        <f>IF($M134="","",INDEX(fa_tranche,$M134)&amp;"")</f>
        <v/>
      </c>
      <c r="K134" s="56" t="str">
        <f>IF($M134="","",IF(ISNUMBER(INDEX(fa_relance,$M134)),INDEX(fa_relance,$M134),""))</f>
        <v/>
      </c>
      <c r="L134" s="79" t="str">
        <f>IF($M134="","",IF(AND(ISNUMBER(K134),(p_asof-E134)&gt;0,(p_asof-N(K134))&gt;=0,(p_asof-N(K134))&lt;7),"Déjà relancée il y a "&amp;(p_asof-N(K134))&amp;" j",IF((p_asof-E134)&lt;=0,IF((p_asof-E134)&gt;-8,"Rappel courtois avant l'échéance","Aucune action"),IF((p_asof-E134)&lt;=15,"Relance 1 : e-mail de rappel",IF((p_asof-E134)&lt;=30,"Relance 2 : appel téléphonique",IF((p_asof-E134)&lt;=60,"Relance 3 : lettre de relance",IF((p_asof-E134)&lt;=90,"Mise en demeure (recommandé)","Contentieux : injonction de payer")))))))</f>
        <v/>
      </c>
      <c r="M134" t="str">
        <f>IFERROR(MATCH(103,fa_rank,0),"")</f>
        <v/>
      </c>
    </row>
    <row r="135">
      <c r="B135" s="78" t="str">
        <f>IF($M135="","",INDEX(fa_num,$M135)&amp;"")</f>
        <v/>
      </c>
      <c r="C135" s="79" t="str">
        <f>IF($M135="","",INDEX(fa_cname,$M135)&amp;"")</f>
        <v/>
      </c>
      <c r="D135" s="56" t="str">
        <f>IF($M135="","",INDEX(fa_date,$M135))</f>
        <v/>
      </c>
      <c r="E135" s="56" t="str">
        <f>IF($M135="","",INDEX(fa_due,$M135))</f>
        <v/>
      </c>
      <c r="F135" s="75" t="str">
        <f>IF($M135="","",INDEX(fa_ttc,$M135))</f>
        <v/>
      </c>
      <c r="G135" s="75" t="str">
        <f>IF($M135="","",INDEX(fa_paid,$M135)+INDEX(fa_avoirs,$M135))</f>
        <v/>
      </c>
      <c r="H135" s="75" t="str">
        <f>IF($M135="","",INDEX(fa_reste,$M135))</f>
        <v/>
      </c>
      <c r="I135" s="58" t="str">
        <f>IF($M135="","",MAX(0,p_asof-E135))</f>
        <v/>
      </c>
      <c r="J135" s="78" t="str">
        <f>IF($M135="","",INDEX(fa_tranche,$M135)&amp;"")</f>
        <v/>
      </c>
      <c r="K135" s="56" t="str">
        <f>IF($M135="","",IF(ISNUMBER(INDEX(fa_relance,$M135)),INDEX(fa_relance,$M135),""))</f>
        <v/>
      </c>
      <c r="L135" s="79" t="str">
        <f>IF($M135="","",IF(AND(ISNUMBER(K135),(p_asof-E135)&gt;0,(p_asof-N(K135))&gt;=0,(p_asof-N(K135))&lt;7),"Déjà relancée il y a "&amp;(p_asof-N(K135))&amp;" j",IF((p_asof-E135)&lt;=0,IF((p_asof-E135)&gt;-8,"Rappel courtois avant l'échéance","Aucune action"),IF((p_asof-E135)&lt;=15,"Relance 1 : e-mail de rappel",IF((p_asof-E135)&lt;=30,"Relance 2 : appel téléphonique",IF((p_asof-E135)&lt;=60,"Relance 3 : lettre de relance",IF((p_asof-E135)&lt;=90,"Mise en demeure (recommandé)","Contentieux : injonction de payer")))))))</f>
        <v/>
      </c>
      <c r="M135" t="str">
        <f>IFERROR(MATCH(104,fa_rank,0),"")</f>
        <v/>
      </c>
    </row>
    <row r="136">
      <c r="B136" s="78" t="str">
        <f>IF($M136="","",INDEX(fa_num,$M136)&amp;"")</f>
        <v/>
      </c>
      <c r="C136" s="79" t="str">
        <f>IF($M136="","",INDEX(fa_cname,$M136)&amp;"")</f>
        <v/>
      </c>
      <c r="D136" s="56" t="str">
        <f>IF($M136="","",INDEX(fa_date,$M136))</f>
        <v/>
      </c>
      <c r="E136" s="56" t="str">
        <f>IF($M136="","",INDEX(fa_due,$M136))</f>
        <v/>
      </c>
      <c r="F136" s="75" t="str">
        <f>IF($M136="","",INDEX(fa_ttc,$M136))</f>
        <v/>
      </c>
      <c r="G136" s="75" t="str">
        <f>IF($M136="","",INDEX(fa_paid,$M136)+INDEX(fa_avoirs,$M136))</f>
        <v/>
      </c>
      <c r="H136" s="75" t="str">
        <f>IF($M136="","",INDEX(fa_reste,$M136))</f>
        <v/>
      </c>
      <c r="I136" s="58" t="str">
        <f>IF($M136="","",MAX(0,p_asof-E136))</f>
        <v/>
      </c>
      <c r="J136" s="78" t="str">
        <f>IF($M136="","",INDEX(fa_tranche,$M136)&amp;"")</f>
        <v/>
      </c>
      <c r="K136" s="56" t="str">
        <f>IF($M136="","",IF(ISNUMBER(INDEX(fa_relance,$M136)),INDEX(fa_relance,$M136),""))</f>
        <v/>
      </c>
      <c r="L136" s="79" t="str">
        <f>IF($M136="","",IF(AND(ISNUMBER(K136),(p_asof-E136)&gt;0,(p_asof-N(K136))&gt;=0,(p_asof-N(K136))&lt;7),"Déjà relancée il y a "&amp;(p_asof-N(K136))&amp;" j",IF((p_asof-E136)&lt;=0,IF((p_asof-E136)&gt;-8,"Rappel courtois avant l'échéance","Aucune action"),IF((p_asof-E136)&lt;=15,"Relance 1 : e-mail de rappel",IF((p_asof-E136)&lt;=30,"Relance 2 : appel téléphonique",IF((p_asof-E136)&lt;=60,"Relance 3 : lettre de relance",IF((p_asof-E136)&lt;=90,"Mise en demeure (recommandé)","Contentieux : injonction de payer")))))))</f>
        <v/>
      </c>
      <c r="M136" t="str">
        <f>IFERROR(MATCH(105,fa_rank,0),"")</f>
        <v/>
      </c>
    </row>
    <row r="137">
      <c r="B137" s="78" t="str">
        <f>IF($M137="","",INDEX(fa_num,$M137)&amp;"")</f>
        <v/>
      </c>
      <c r="C137" s="79" t="str">
        <f>IF($M137="","",INDEX(fa_cname,$M137)&amp;"")</f>
        <v/>
      </c>
      <c r="D137" s="56" t="str">
        <f>IF($M137="","",INDEX(fa_date,$M137))</f>
        <v/>
      </c>
      <c r="E137" s="56" t="str">
        <f>IF($M137="","",INDEX(fa_due,$M137))</f>
        <v/>
      </c>
      <c r="F137" s="75" t="str">
        <f>IF($M137="","",INDEX(fa_ttc,$M137))</f>
        <v/>
      </c>
      <c r="G137" s="75" t="str">
        <f>IF($M137="","",INDEX(fa_paid,$M137)+INDEX(fa_avoirs,$M137))</f>
        <v/>
      </c>
      <c r="H137" s="75" t="str">
        <f>IF($M137="","",INDEX(fa_reste,$M137))</f>
        <v/>
      </c>
      <c r="I137" s="58" t="str">
        <f>IF($M137="","",MAX(0,p_asof-E137))</f>
        <v/>
      </c>
      <c r="J137" s="78" t="str">
        <f>IF($M137="","",INDEX(fa_tranche,$M137)&amp;"")</f>
        <v/>
      </c>
      <c r="K137" s="56" t="str">
        <f>IF($M137="","",IF(ISNUMBER(INDEX(fa_relance,$M137)),INDEX(fa_relance,$M137),""))</f>
        <v/>
      </c>
      <c r="L137" s="79" t="str">
        <f>IF($M137="","",IF(AND(ISNUMBER(K137),(p_asof-E137)&gt;0,(p_asof-N(K137))&gt;=0,(p_asof-N(K137))&lt;7),"Déjà relancée il y a "&amp;(p_asof-N(K137))&amp;" j",IF((p_asof-E137)&lt;=0,IF((p_asof-E137)&gt;-8,"Rappel courtois avant l'échéance","Aucune action"),IF((p_asof-E137)&lt;=15,"Relance 1 : e-mail de rappel",IF((p_asof-E137)&lt;=30,"Relance 2 : appel téléphonique",IF((p_asof-E137)&lt;=60,"Relance 3 : lettre de relance",IF((p_asof-E137)&lt;=90,"Mise en demeure (recommandé)","Contentieux : injonction de payer")))))))</f>
        <v/>
      </c>
      <c r="M137" t="str">
        <f>IFERROR(MATCH(106,fa_rank,0),"")</f>
        <v/>
      </c>
    </row>
    <row r="138">
      <c r="B138" s="78" t="str">
        <f>IF($M138="","",INDEX(fa_num,$M138)&amp;"")</f>
        <v/>
      </c>
      <c r="C138" s="79" t="str">
        <f>IF($M138="","",INDEX(fa_cname,$M138)&amp;"")</f>
        <v/>
      </c>
      <c r="D138" s="56" t="str">
        <f>IF($M138="","",INDEX(fa_date,$M138))</f>
        <v/>
      </c>
      <c r="E138" s="56" t="str">
        <f>IF($M138="","",INDEX(fa_due,$M138))</f>
        <v/>
      </c>
      <c r="F138" s="75" t="str">
        <f>IF($M138="","",INDEX(fa_ttc,$M138))</f>
        <v/>
      </c>
      <c r="G138" s="75" t="str">
        <f>IF($M138="","",INDEX(fa_paid,$M138)+INDEX(fa_avoirs,$M138))</f>
        <v/>
      </c>
      <c r="H138" s="75" t="str">
        <f>IF($M138="","",INDEX(fa_reste,$M138))</f>
        <v/>
      </c>
      <c r="I138" s="58" t="str">
        <f>IF($M138="","",MAX(0,p_asof-E138))</f>
        <v/>
      </c>
      <c r="J138" s="78" t="str">
        <f>IF($M138="","",INDEX(fa_tranche,$M138)&amp;"")</f>
        <v/>
      </c>
      <c r="K138" s="56" t="str">
        <f>IF($M138="","",IF(ISNUMBER(INDEX(fa_relance,$M138)),INDEX(fa_relance,$M138),""))</f>
        <v/>
      </c>
      <c r="L138" s="79" t="str">
        <f>IF($M138="","",IF(AND(ISNUMBER(K138),(p_asof-E138)&gt;0,(p_asof-N(K138))&gt;=0,(p_asof-N(K138))&lt;7),"Déjà relancée il y a "&amp;(p_asof-N(K138))&amp;" j",IF((p_asof-E138)&lt;=0,IF((p_asof-E138)&gt;-8,"Rappel courtois avant l'échéance","Aucune action"),IF((p_asof-E138)&lt;=15,"Relance 1 : e-mail de rappel",IF((p_asof-E138)&lt;=30,"Relance 2 : appel téléphonique",IF((p_asof-E138)&lt;=60,"Relance 3 : lettre de relance",IF((p_asof-E138)&lt;=90,"Mise en demeure (recommandé)","Contentieux : injonction de payer")))))))</f>
        <v/>
      </c>
      <c r="M138" t="str">
        <f>IFERROR(MATCH(107,fa_rank,0),"")</f>
        <v/>
      </c>
    </row>
    <row r="139">
      <c r="B139" s="78" t="str">
        <f>IF($M139="","",INDEX(fa_num,$M139)&amp;"")</f>
        <v/>
      </c>
      <c r="C139" s="79" t="str">
        <f>IF($M139="","",INDEX(fa_cname,$M139)&amp;"")</f>
        <v/>
      </c>
      <c r="D139" s="56" t="str">
        <f>IF($M139="","",INDEX(fa_date,$M139))</f>
        <v/>
      </c>
      <c r="E139" s="56" t="str">
        <f>IF($M139="","",INDEX(fa_due,$M139))</f>
        <v/>
      </c>
      <c r="F139" s="75" t="str">
        <f>IF($M139="","",INDEX(fa_ttc,$M139))</f>
        <v/>
      </c>
      <c r="G139" s="75" t="str">
        <f>IF($M139="","",INDEX(fa_paid,$M139)+INDEX(fa_avoirs,$M139))</f>
        <v/>
      </c>
      <c r="H139" s="75" t="str">
        <f>IF($M139="","",INDEX(fa_reste,$M139))</f>
        <v/>
      </c>
      <c r="I139" s="58" t="str">
        <f>IF($M139="","",MAX(0,p_asof-E139))</f>
        <v/>
      </c>
      <c r="J139" s="78" t="str">
        <f>IF($M139="","",INDEX(fa_tranche,$M139)&amp;"")</f>
        <v/>
      </c>
      <c r="K139" s="56" t="str">
        <f>IF($M139="","",IF(ISNUMBER(INDEX(fa_relance,$M139)),INDEX(fa_relance,$M139),""))</f>
        <v/>
      </c>
      <c r="L139" s="79" t="str">
        <f>IF($M139="","",IF(AND(ISNUMBER(K139),(p_asof-E139)&gt;0,(p_asof-N(K139))&gt;=0,(p_asof-N(K139))&lt;7),"Déjà relancée il y a "&amp;(p_asof-N(K139))&amp;" j",IF((p_asof-E139)&lt;=0,IF((p_asof-E139)&gt;-8,"Rappel courtois avant l'échéance","Aucune action"),IF((p_asof-E139)&lt;=15,"Relance 1 : e-mail de rappel",IF((p_asof-E139)&lt;=30,"Relance 2 : appel téléphonique",IF((p_asof-E139)&lt;=60,"Relance 3 : lettre de relance",IF((p_asof-E139)&lt;=90,"Mise en demeure (recommandé)","Contentieux : injonction de payer")))))))</f>
        <v/>
      </c>
      <c r="M139" t="str">
        <f>IFERROR(MATCH(108,fa_rank,0),"")</f>
        <v/>
      </c>
    </row>
    <row r="140">
      <c r="B140" s="78" t="str">
        <f>IF($M140="","",INDEX(fa_num,$M140)&amp;"")</f>
        <v/>
      </c>
      <c r="C140" s="79" t="str">
        <f>IF($M140="","",INDEX(fa_cname,$M140)&amp;"")</f>
        <v/>
      </c>
      <c r="D140" s="56" t="str">
        <f>IF($M140="","",INDEX(fa_date,$M140))</f>
        <v/>
      </c>
      <c r="E140" s="56" t="str">
        <f>IF($M140="","",INDEX(fa_due,$M140))</f>
        <v/>
      </c>
      <c r="F140" s="75" t="str">
        <f>IF($M140="","",INDEX(fa_ttc,$M140))</f>
        <v/>
      </c>
      <c r="G140" s="75" t="str">
        <f>IF($M140="","",INDEX(fa_paid,$M140)+INDEX(fa_avoirs,$M140))</f>
        <v/>
      </c>
      <c r="H140" s="75" t="str">
        <f>IF($M140="","",INDEX(fa_reste,$M140))</f>
        <v/>
      </c>
      <c r="I140" s="58" t="str">
        <f>IF($M140="","",MAX(0,p_asof-E140))</f>
        <v/>
      </c>
      <c r="J140" s="78" t="str">
        <f>IF($M140="","",INDEX(fa_tranche,$M140)&amp;"")</f>
        <v/>
      </c>
      <c r="K140" s="56" t="str">
        <f>IF($M140="","",IF(ISNUMBER(INDEX(fa_relance,$M140)),INDEX(fa_relance,$M140),""))</f>
        <v/>
      </c>
      <c r="L140" s="79" t="str">
        <f>IF($M140="","",IF(AND(ISNUMBER(K140),(p_asof-E140)&gt;0,(p_asof-N(K140))&gt;=0,(p_asof-N(K140))&lt;7),"Déjà relancée il y a "&amp;(p_asof-N(K140))&amp;" j",IF((p_asof-E140)&lt;=0,IF((p_asof-E140)&gt;-8,"Rappel courtois avant l'échéance","Aucune action"),IF((p_asof-E140)&lt;=15,"Relance 1 : e-mail de rappel",IF((p_asof-E140)&lt;=30,"Relance 2 : appel téléphonique",IF((p_asof-E140)&lt;=60,"Relance 3 : lettre de relance",IF((p_asof-E140)&lt;=90,"Mise en demeure (recommandé)","Contentieux : injonction de payer")))))))</f>
        <v/>
      </c>
      <c r="M140" t="str">
        <f>IFERROR(MATCH(109,fa_rank,0),"")</f>
        <v/>
      </c>
    </row>
    <row r="141">
      <c r="B141" s="78" t="str">
        <f>IF($M141="","",INDEX(fa_num,$M141)&amp;"")</f>
        <v/>
      </c>
      <c r="C141" s="79" t="str">
        <f>IF($M141="","",INDEX(fa_cname,$M141)&amp;"")</f>
        <v/>
      </c>
      <c r="D141" s="56" t="str">
        <f>IF($M141="","",INDEX(fa_date,$M141))</f>
        <v/>
      </c>
      <c r="E141" s="56" t="str">
        <f>IF($M141="","",INDEX(fa_due,$M141))</f>
        <v/>
      </c>
      <c r="F141" s="75" t="str">
        <f>IF($M141="","",INDEX(fa_ttc,$M141))</f>
        <v/>
      </c>
      <c r="G141" s="75" t="str">
        <f>IF($M141="","",INDEX(fa_paid,$M141)+INDEX(fa_avoirs,$M141))</f>
        <v/>
      </c>
      <c r="H141" s="75" t="str">
        <f>IF($M141="","",INDEX(fa_reste,$M141))</f>
        <v/>
      </c>
      <c r="I141" s="58" t="str">
        <f>IF($M141="","",MAX(0,p_asof-E141))</f>
        <v/>
      </c>
      <c r="J141" s="78" t="str">
        <f>IF($M141="","",INDEX(fa_tranche,$M141)&amp;"")</f>
        <v/>
      </c>
      <c r="K141" s="56" t="str">
        <f>IF($M141="","",IF(ISNUMBER(INDEX(fa_relance,$M141)),INDEX(fa_relance,$M141),""))</f>
        <v/>
      </c>
      <c r="L141" s="79" t="str">
        <f>IF($M141="","",IF(AND(ISNUMBER(K141),(p_asof-E141)&gt;0,(p_asof-N(K141))&gt;=0,(p_asof-N(K141))&lt;7),"Déjà relancée il y a "&amp;(p_asof-N(K141))&amp;" j",IF((p_asof-E141)&lt;=0,IF((p_asof-E141)&gt;-8,"Rappel courtois avant l'échéance","Aucune action"),IF((p_asof-E141)&lt;=15,"Relance 1 : e-mail de rappel",IF((p_asof-E141)&lt;=30,"Relance 2 : appel téléphonique",IF((p_asof-E141)&lt;=60,"Relance 3 : lettre de relance",IF((p_asof-E141)&lt;=90,"Mise en demeure (recommandé)","Contentieux : injonction de payer")))))))</f>
        <v/>
      </c>
      <c r="M141" t="str">
        <f>IFERROR(MATCH(110,fa_rank,0),"")</f>
        <v/>
      </c>
    </row>
    <row r="142">
      <c r="B142" s="78" t="str">
        <f>IF($M142="","",INDEX(fa_num,$M142)&amp;"")</f>
        <v/>
      </c>
      <c r="C142" s="79" t="str">
        <f>IF($M142="","",INDEX(fa_cname,$M142)&amp;"")</f>
        <v/>
      </c>
      <c r="D142" s="56" t="str">
        <f>IF($M142="","",INDEX(fa_date,$M142))</f>
        <v/>
      </c>
      <c r="E142" s="56" t="str">
        <f>IF($M142="","",INDEX(fa_due,$M142))</f>
        <v/>
      </c>
      <c r="F142" s="75" t="str">
        <f>IF($M142="","",INDEX(fa_ttc,$M142))</f>
        <v/>
      </c>
      <c r="G142" s="75" t="str">
        <f>IF($M142="","",INDEX(fa_paid,$M142)+INDEX(fa_avoirs,$M142))</f>
        <v/>
      </c>
      <c r="H142" s="75" t="str">
        <f>IF($M142="","",INDEX(fa_reste,$M142))</f>
        <v/>
      </c>
      <c r="I142" s="58" t="str">
        <f>IF($M142="","",MAX(0,p_asof-E142))</f>
        <v/>
      </c>
      <c r="J142" s="78" t="str">
        <f>IF($M142="","",INDEX(fa_tranche,$M142)&amp;"")</f>
        <v/>
      </c>
      <c r="K142" s="56" t="str">
        <f>IF($M142="","",IF(ISNUMBER(INDEX(fa_relance,$M142)),INDEX(fa_relance,$M142),""))</f>
        <v/>
      </c>
      <c r="L142" s="79" t="str">
        <f>IF($M142="","",IF(AND(ISNUMBER(K142),(p_asof-E142)&gt;0,(p_asof-N(K142))&gt;=0,(p_asof-N(K142))&lt;7),"Déjà relancée il y a "&amp;(p_asof-N(K142))&amp;" j",IF((p_asof-E142)&lt;=0,IF((p_asof-E142)&gt;-8,"Rappel courtois avant l'échéance","Aucune action"),IF((p_asof-E142)&lt;=15,"Relance 1 : e-mail de rappel",IF((p_asof-E142)&lt;=30,"Relance 2 : appel téléphonique",IF((p_asof-E142)&lt;=60,"Relance 3 : lettre de relance",IF((p_asof-E142)&lt;=90,"Mise en demeure (recommandé)","Contentieux : injonction de payer")))))))</f>
        <v/>
      </c>
      <c r="M142" t="str">
        <f>IFERROR(MATCH(111,fa_rank,0),"")</f>
        <v/>
      </c>
    </row>
    <row r="143">
      <c r="B143" s="78" t="str">
        <f>IF($M143="","",INDEX(fa_num,$M143)&amp;"")</f>
        <v/>
      </c>
      <c r="C143" s="79" t="str">
        <f>IF($M143="","",INDEX(fa_cname,$M143)&amp;"")</f>
        <v/>
      </c>
      <c r="D143" s="56" t="str">
        <f>IF($M143="","",INDEX(fa_date,$M143))</f>
        <v/>
      </c>
      <c r="E143" s="56" t="str">
        <f>IF($M143="","",INDEX(fa_due,$M143))</f>
        <v/>
      </c>
      <c r="F143" s="75" t="str">
        <f>IF($M143="","",INDEX(fa_ttc,$M143))</f>
        <v/>
      </c>
      <c r="G143" s="75" t="str">
        <f>IF($M143="","",INDEX(fa_paid,$M143)+INDEX(fa_avoirs,$M143))</f>
        <v/>
      </c>
      <c r="H143" s="75" t="str">
        <f>IF($M143="","",INDEX(fa_reste,$M143))</f>
        <v/>
      </c>
      <c r="I143" s="58" t="str">
        <f>IF($M143="","",MAX(0,p_asof-E143))</f>
        <v/>
      </c>
      <c r="J143" s="78" t="str">
        <f>IF($M143="","",INDEX(fa_tranche,$M143)&amp;"")</f>
        <v/>
      </c>
      <c r="K143" s="56" t="str">
        <f>IF($M143="","",IF(ISNUMBER(INDEX(fa_relance,$M143)),INDEX(fa_relance,$M143),""))</f>
        <v/>
      </c>
      <c r="L143" s="79" t="str">
        <f>IF($M143="","",IF(AND(ISNUMBER(K143),(p_asof-E143)&gt;0,(p_asof-N(K143))&gt;=0,(p_asof-N(K143))&lt;7),"Déjà relancée il y a "&amp;(p_asof-N(K143))&amp;" j",IF((p_asof-E143)&lt;=0,IF((p_asof-E143)&gt;-8,"Rappel courtois avant l'échéance","Aucune action"),IF((p_asof-E143)&lt;=15,"Relance 1 : e-mail de rappel",IF((p_asof-E143)&lt;=30,"Relance 2 : appel téléphonique",IF((p_asof-E143)&lt;=60,"Relance 3 : lettre de relance",IF((p_asof-E143)&lt;=90,"Mise en demeure (recommandé)","Contentieux : injonction de payer")))))))</f>
        <v/>
      </c>
      <c r="M143" t="str">
        <f>IFERROR(MATCH(112,fa_rank,0),"")</f>
        <v/>
      </c>
    </row>
    <row r="144">
      <c r="B144" s="78" t="str">
        <f>IF($M144="","",INDEX(fa_num,$M144)&amp;"")</f>
        <v/>
      </c>
      <c r="C144" s="79" t="str">
        <f>IF($M144="","",INDEX(fa_cname,$M144)&amp;"")</f>
        <v/>
      </c>
      <c r="D144" s="56" t="str">
        <f>IF($M144="","",INDEX(fa_date,$M144))</f>
        <v/>
      </c>
      <c r="E144" s="56" t="str">
        <f>IF($M144="","",INDEX(fa_due,$M144))</f>
        <v/>
      </c>
      <c r="F144" s="75" t="str">
        <f>IF($M144="","",INDEX(fa_ttc,$M144))</f>
        <v/>
      </c>
      <c r="G144" s="75" t="str">
        <f>IF($M144="","",INDEX(fa_paid,$M144)+INDEX(fa_avoirs,$M144))</f>
        <v/>
      </c>
      <c r="H144" s="75" t="str">
        <f>IF($M144="","",INDEX(fa_reste,$M144))</f>
        <v/>
      </c>
      <c r="I144" s="58" t="str">
        <f>IF($M144="","",MAX(0,p_asof-E144))</f>
        <v/>
      </c>
      <c r="J144" s="78" t="str">
        <f>IF($M144="","",INDEX(fa_tranche,$M144)&amp;"")</f>
        <v/>
      </c>
      <c r="K144" s="56" t="str">
        <f>IF($M144="","",IF(ISNUMBER(INDEX(fa_relance,$M144)),INDEX(fa_relance,$M144),""))</f>
        <v/>
      </c>
      <c r="L144" s="79" t="str">
        <f>IF($M144="","",IF(AND(ISNUMBER(K144),(p_asof-E144)&gt;0,(p_asof-N(K144))&gt;=0,(p_asof-N(K144))&lt;7),"Déjà relancée il y a "&amp;(p_asof-N(K144))&amp;" j",IF((p_asof-E144)&lt;=0,IF((p_asof-E144)&gt;-8,"Rappel courtois avant l'échéance","Aucune action"),IF((p_asof-E144)&lt;=15,"Relance 1 : e-mail de rappel",IF((p_asof-E144)&lt;=30,"Relance 2 : appel téléphonique",IF((p_asof-E144)&lt;=60,"Relance 3 : lettre de relance",IF((p_asof-E144)&lt;=90,"Mise en demeure (recommandé)","Contentieux : injonction de payer")))))))</f>
        <v/>
      </c>
      <c r="M144" t="str">
        <f>IFERROR(MATCH(113,fa_rank,0),"")</f>
        <v/>
      </c>
    </row>
    <row r="145">
      <c r="B145" s="78" t="str">
        <f>IF($M145="","",INDEX(fa_num,$M145)&amp;"")</f>
        <v/>
      </c>
      <c r="C145" s="79" t="str">
        <f>IF($M145="","",INDEX(fa_cname,$M145)&amp;"")</f>
        <v/>
      </c>
      <c r="D145" s="56" t="str">
        <f>IF($M145="","",INDEX(fa_date,$M145))</f>
        <v/>
      </c>
      <c r="E145" s="56" t="str">
        <f>IF($M145="","",INDEX(fa_due,$M145))</f>
        <v/>
      </c>
      <c r="F145" s="75" t="str">
        <f>IF($M145="","",INDEX(fa_ttc,$M145))</f>
        <v/>
      </c>
      <c r="G145" s="75" t="str">
        <f>IF($M145="","",INDEX(fa_paid,$M145)+INDEX(fa_avoirs,$M145))</f>
        <v/>
      </c>
      <c r="H145" s="75" t="str">
        <f>IF($M145="","",INDEX(fa_reste,$M145))</f>
        <v/>
      </c>
      <c r="I145" s="58" t="str">
        <f>IF($M145="","",MAX(0,p_asof-E145))</f>
        <v/>
      </c>
      <c r="J145" s="78" t="str">
        <f>IF($M145="","",INDEX(fa_tranche,$M145)&amp;"")</f>
        <v/>
      </c>
      <c r="K145" s="56" t="str">
        <f>IF($M145="","",IF(ISNUMBER(INDEX(fa_relance,$M145)),INDEX(fa_relance,$M145),""))</f>
        <v/>
      </c>
      <c r="L145" s="79" t="str">
        <f>IF($M145="","",IF(AND(ISNUMBER(K145),(p_asof-E145)&gt;0,(p_asof-N(K145))&gt;=0,(p_asof-N(K145))&lt;7),"Déjà relancée il y a "&amp;(p_asof-N(K145))&amp;" j",IF((p_asof-E145)&lt;=0,IF((p_asof-E145)&gt;-8,"Rappel courtois avant l'échéance","Aucune action"),IF((p_asof-E145)&lt;=15,"Relance 1 : e-mail de rappel",IF((p_asof-E145)&lt;=30,"Relance 2 : appel téléphonique",IF((p_asof-E145)&lt;=60,"Relance 3 : lettre de relance",IF((p_asof-E145)&lt;=90,"Mise en demeure (recommandé)","Contentieux : injonction de payer")))))))</f>
        <v/>
      </c>
      <c r="M145" t="str">
        <f>IFERROR(MATCH(114,fa_rank,0),"")</f>
        <v/>
      </c>
    </row>
    <row r="146">
      <c r="B146" s="78" t="str">
        <f>IF($M146="","",INDEX(fa_num,$M146)&amp;"")</f>
        <v/>
      </c>
      <c r="C146" s="79" t="str">
        <f>IF($M146="","",INDEX(fa_cname,$M146)&amp;"")</f>
        <v/>
      </c>
      <c r="D146" s="56" t="str">
        <f>IF($M146="","",INDEX(fa_date,$M146))</f>
        <v/>
      </c>
      <c r="E146" s="56" t="str">
        <f>IF($M146="","",INDEX(fa_due,$M146))</f>
        <v/>
      </c>
      <c r="F146" s="75" t="str">
        <f>IF($M146="","",INDEX(fa_ttc,$M146))</f>
        <v/>
      </c>
      <c r="G146" s="75" t="str">
        <f>IF($M146="","",INDEX(fa_paid,$M146)+INDEX(fa_avoirs,$M146))</f>
        <v/>
      </c>
      <c r="H146" s="75" t="str">
        <f>IF($M146="","",INDEX(fa_reste,$M146))</f>
        <v/>
      </c>
      <c r="I146" s="58" t="str">
        <f>IF($M146="","",MAX(0,p_asof-E146))</f>
        <v/>
      </c>
      <c r="J146" s="78" t="str">
        <f>IF($M146="","",INDEX(fa_tranche,$M146)&amp;"")</f>
        <v/>
      </c>
      <c r="K146" s="56" t="str">
        <f>IF($M146="","",IF(ISNUMBER(INDEX(fa_relance,$M146)),INDEX(fa_relance,$M146),""))</f>
        <v/>
      </c>
      <c r="L146" s="79" t="str">
        <f>IF($M146="","",IF(AND(ISNUMBER(K146),(p_asof-E146)&gt;0,(p_asof-N(K146))&gt;=0,(p_asof-N(K146))&lt;7),"Déjà relancée il y a "&amp;(p_asof-N(K146))&amp;" j",IF((p_asof-E146)&lt;=0,IF((p_asof-E146)&gt;-8,"Rappel courtois avant l'échéance","Aucune action"),IF((p_asof-E146)&lt;=15,"Relance 1 : e-mail de rappel",IF((p_asof-E146)&lt;=30,"Relance 2 : appel téléphonique",IF((p_asof-E146)&lt;=60,"Relance 3 : lettre de relance",IF((p_asof-E146)&lt;=90,"Mise en demeure (recommandé)","Contentieux : injonction de payer")))))))</f>
        <v/>
      </c>
      <c r="M146" t="str">
        <f>IFERROR(MATCH(115,fa_rank,0),"")</f>
        <v/>
      </c>
    </row>
    <row r="147">
      <c r="B147" s="78" t="str">
        <f>IF($M147="","",INDEX(fa_num,$M147)&amp;"")</f>
        <v/>
      </c>
      <c r="C147" s="79" t="str">
        <f>IF($M147="","",INDEX(fa_cname,$M147)&amp;"")</f>
        <v/>
      </c>
      <c r="D147" s="56" t="str">
        <f>IF($M147="","",INDEX(fa_date,$M147))</f>
        <v/>
      </c>
      <c r="E147" s="56" t="str">
        <f>IF($M147="","",INDEX(fa_due,$M147))</f>
        <v/>
      </c>
      <c r="F147" s="75" t="str">
        <f>IF($M147="","",INDEX(fa_ttc,$M147))</f>
        <v/>
      </c>
      <c r="G147" s="75" t="str">
        <f>IF($M147="","",INDEX(fa_paid,$M147)+INDEX(fa_avoirs,$M147))</f>
        <v/>
      </c>
      <c r="H147" s="75" t="str">
        <f>IF($M147="","",INDEX(fa_reste,$M147))</f>
        <v/>
      </c>
      <c r="I147" s="58" t="str">
        <f>IF($M147="","",MAX(0,p_asof-E147))</f>
        <v/>
      </c>
      <c r="J147" s="78" t="str">
        <f>IF($M147="","",INDEX(fa_tranche,$M147)&amp;"")</f>
        <v/>
      </c>
      <c r="K147" s="56" t="str">
        <f>IF($M147="","",IF(ISNUMBER(INDEX(fa_relance,$M147)),INDEX(fa_relance,$M147),""))</f>
        <v/>
      </c>
      <c r="L147" s="79" t="str">
        <f>IF($M147="","",IF(AND(ISNUMBER(K147),(p_asof-E147)&gt;0,(p_asof-N(K147))&gt;=0,(p_asof-N(K147))&lt;7),"Déjà relancée il y a "&amp;(p_asof-N(K147))&amp;" j",IF((p_asof-E147)&lt;=0,IF((p_asof-E147)&gt;-8,"Rappel courtois avant l'échéance","Aucune action"),IF((p_asof-E147)&lt;=15,"Relance 1 : e-mail de rappel",IF((p_asof-E147)&lt;=30,"Relance 2 : appel téléphonique",IF((p_asof-E147)&lt;=60,"Relance 3 : lettre de relance",IF((p_asof-E147)&lt;=90,"Mise en demeure (recommandé)","Contentieux : injonction de payer")))))))</f>
        <v/>
      </c>
      <c r="M147" t="str">
        <f>IFERROR(MATCH(116,fa_rank,0),"")</f>
        <v/>
      </c>
    </row>
    <row r="148">
      <c r="B148" s="78" t="str">
        <f>IF($M148="","",INDEX(fa_num,$M148)&amp;"")</f>
        <v/>
      </c>
      <c r="C148" s="79" t="str">
        <f>IF($M148="","",INDEX(fa_cname,$M148)&amp;"")</f>
        <v/>
      </c>
      <c r="D148" s="56" t="str">
        <f>IF($M148="","",INDEX(fa_date,$M148))</f>
        <v/>
      </c>
      <c r="E148" s="56" t="str">
        <f>IF($M148="","",INDEX(fa_due,$M148))</f>
        <v/>
      </c>
      <c r="F148" s="75" t="str">
        <f>IF($M148="","",INDEX(fa_ttc,$M148))</f>
        <v/>
      </c>
      <c r="G148" s="75" t="str">
        <f>IF($M148="","",INDEX(fa_paid,$M148)+INDEX(fa_avoirs,$M148))</f>
        <v/>
      </c>
      <c r="H148" s="75" t="str">
        <f>IF($M148="","",INDEX(fa_reste,$M148))</f>
        <v/>
      </c>
      <c r="I148" s="58" t="str">
        <f>IF($M148="","",MAX(0,p_asof-E148))</f>
        <v/>
      </c>
      <c r="J148" s="78" t="str">
        <f>IF($M148="","",INDEX(fa_tranche,$M148)&amp;"")</f>
        <v/>
      </c>
      <c r="K148" s="56" t="str">
        <f>IF($M148="","",IF(ISNUMBER(INDEX(fa_relance,$M148)),INDEX(fa_relance,$M148),""))</f>
        <v/>
      </c>
      <c r="L148" s="79" t="str">
        <f>IF($M148="","",IF(AND(ISNUMBER(K148),(p_asof-E148)&gt;0,(p_asof-N(K148))&gt;=0,(p_asof-N(K148))&lt;7),"Déjà relancée il y a "&amp;(p_asof-N(K148))&amp;" j",IF((p_asof-E148)&lt;=0,IF((p_asof-E148)&gt;-8,"Rappel courtois avant l'échéance","Aucune action"),IF((p_asof-E148)&lt;=15,"Relance 1 : e-mail de rappel",IF((p_asof-E148)&lt;=30,"Relance 2 : appel téléphonique",IF((p_asof-E148)&lt;=60,"Relance 3 : lettre de relance",IF((p_asof-E148)&lt;=90,"Mise en demeure (recommandé)","Contentieux : injonction de payer")))))))</f>
        <v/>
      </c>
      <c r="M148" t="str">
        <f>IFERROR(MATCH(117,fa_rank,0),"")</f>
        <v/>
      </c>
    </row>
    <row r="149">
      <c r="B149" s="78" t="str">
        <f>IF($M149="","",INDEX(fa_num,$M149)&amp;"")</f>
        <v/>
      </c>
      <c r="C149" s="79" t="str">
        <f>IF($M149="","",INDEX(fa_cname,$M149)&amp;"")</f>
        <v/>
      </c>
      <c r="D149" s="56" t="str">
        <f>IF($M149="","",INDEX(fa_date,$M149))</f>
        <v/>
      </c>
      <c r="E149" s="56" t="str">
        <f>IF($M149="","",INDEX(fa_due,$M149))</f>
        <v/>
      </c>
      <c r="F149" s="75" t="str">
        <f>IF($M149="","",INDEX(fa_ttc,$M149))</f>
        <v/>
      </c>
      <c r="G149" s="75" t="str">
        <f>IF($M149="","",INDEX(fa_paid,$M149)+INDEX(fa_avoirs,$M149))</f>
        <v/>
      </c>
      <c r="H149" s="75" t="str">
        <f>IF($M149="","",INDEX(fa_reste,$M149))</f>
        <v/>
      </c>
      <c r="I149" s="58" t="str">
        <f>IF($M149="","",MAX(0,p_asof-E149))</f>
        <v/>
      </c>
      <c r="J149" s="78" t="str">
        <f>IF($M149="","",INDEX(fa_tranche,$M149)&amp;"")</f>
        <v/>
      </c>
      <c r="K149" s="56" t="str">
        <f>IF($M149="","",IF(ISNUMBER(INDEX(fa_relance,$M149)),INDEX(fa_relance,$M149),""))</f>
        <v/>
      </c>
      <c r="L149" s="79" t="str">
        <f>IF($M149="","",IF(AND(ISNUMBER(K149),(p_asof-E149)&gt;0,(p_asof-N(K149))&gt;=0,(p_asof-N(K149))&lt;7),"Déjà relancée il y a "&amp;(p_asof-N(K149))&amp;" j",IF((p_asof-E149)&lt;=0,IF((p_asof-E149)&gt;-8,"Rappel courtois avant l'échéance","Aucune action"),IF((p_asof-E149)&lt;=15,"Relance 1 : e-mail de rappel",IF((p_asof-E149)&lt;=30,"Relance 2 : appel téléphonique",IF((p_asof-E149)&lt;=60,"Relance 3 : lettre de relance",IF((p_asof-E149)&lt;=90,"Mise en demeure (recommandé)","Contentieux : injonction de payer")))))))</f>
        <v/>
      </c>
      <c r="M149" t="str">
        <f>IFERROR(MATCH(118,fa_rank,0),"")</f>
        <v/>
      </c>
    </row>
    <row r="150">
      <c r="B150" s="78" t="str">
        <f>IF($M150="","",INDEX(fa_num,$M150)&amp;"")</f>
        <v/>
      </c>
      <c r="C150" s="79" t="str">
        <f>IF($M150="","",INDEX(fa_cname,$M150)&amp;"")</f>
        <v/>
      </c>
      <c r="D150" s="56" t="str">
        <f>IF($M150="","",INDEX(fa_date,$M150))</f>
        <v/>
      </c>
      <c r="E150" s="56" t="str">
        <f>IF($M150="","",INDEX(fa_due,$M150))</f>
        <v/>
      </c>
      <c r="F150" s="75" t="str">
        <f>IF($M150="","",INDEX(fa_ttc,$M150))</f>
        <v/>
      </c>
      <c r="G150" s="75" t="str">
        <f>IF($M150="","",INDEX(fa_paid,$M150)+INDEX(fa_avoirs,$M150))</f>
        <v/>
      </c>
      <c r="H150" s="75" t="str">
        <f>IF($M150="","",INDEX(fa_reste,$M150))</f>
        <v/>
      </c>
      <c r="I150" s="58" t="str">
        <f>IF($M150="","",MAX(0,p_asof-E150))</f>
        <v/>
      </c>
      <c r="J150" s="78" t="str">
        <f>IF($M150="","",INDEX(fa_tranche,$M150)&amp;"")</f>
        <v/>
      </c>
      <c r="K150" s="56" t="str">
        <f>IF($M150="","",IF(ISNUMBER(INDEX(fa_relance,$M150)),INDEX(fa_relance,$M150),""))</f>
        <v/>
      </c>
      <c r="L150" s="79" t="str">
        <f>IF($M150="","",IF(AND(ISNUMBER(K150),(p_asof-E150)&gt;0,(p_asof-N(K150))&gt;=0,(p_asof-N(K150))&lt;7),"Déjà relancée il y a "&amp;(p_asof-N(K150))&amp;" j",IF((p_asof-E150)&lt;=0,IF((p_asof-E150)&gt;-8,"Rappel courtois avant l'échéance","Aucune action"),IF((p_asof-E150)&lt;=15,"Relance 1 : e-mail de rappel",IF((p_asof-E150)&lt;=30,"Relance 2 : appel téléphonique",IF((p_asof-E150)&lt;=60,"Relance 3 : lettre de relance",IF((p_asof-E150)&lt;=90,"Mise en demeure (recommandé)","Contentieux : injonction de payer")))))))</f>
        <v/>
      </c>
      <c r="M150" t="str">
        <f>IFERROR(MATCH(119,fa_rank,0),"")</f>
        <v/>
      </c>
    </row>
    <row r="151">
      <c r="B151" s="78" t="str">
        <f>IF($M151="","",INDEX(fa_num,$M151)&amp;"")</f>
        <v/>
      </c>
      <c r="C151" s="79" t="str">
        <f>IF($M151="","",INDEX(fa_cname,$M151)&amp;"")</f>
        <v/>
      </c>
      <c r="D151" s="56" t="str">
        <f>IF($M151="","",INDEX(fa_date,$M151))</f>
        <v/>
      </c>
      <c r="E151" s="56" t="str">
        <f>IF($M151="","",INDEX(fa_due,$M151))</f>
        <v/>
      </c>
      <c r="F151" s="75" t="str">
        <f>IF($M151="","",INDEX(fa_ttc,$M151))</f>
        <v/>
      </c>
      <c r="G151" s="75" t="str">
        <f>IF($M151="","",INDEX(fa_paid,$M151)+INDEX(fa_avoirs,$M151))</f>
        <v/>
      </c>
      <c r="H151" s="75" t="str">
        <f>IF($M151="","",INDEX(fa_reste,$M151))</f>
        <v/>
      </c>
      <c r="I151" s="58" t="str">
        <f>IF($M151="","",MAX(0,p_asof-E151))</f>
        <v/>
      </c>
      <c r="J151" s="78" t="str">
        <f>IF($M151="","",INDEX(fa_tranche,$M151)&amp;"")</f>
        <v/>
      </c>
      <c r="K151" s="56" t="str">
        <f>IF($M151="","",IF(ISNUMBER(INDEX(fa_relance,$M151)),INDEX(fa_relance,$M151),""))</f>
        <v/>
      </c>
      <c r="L151" s="79" t="str">
        <f>IF($M151="","",IF(AND(ISNUMBER(K151),(p_asof-E151)&gt;0,(p_asof-N(K151))&gt;=0,(p_asof-N(K151))&lt;7),"Déjà relancée il y a "&amp;(p_asof-N(K151))&amp;" j",IF((p_asof-E151)&lt;=0,IF((p_asof-E151)&gt;-8,"Rappel courtois avant l'échéance","Aucune action"),IF((p_asof-E151)&lt;=15,"Relance 1 : e-mail de rappel",IF((p_asof-E151)&lt;=30,"Relance 2 : appel téléphonique",IF((p_asof-E151)&lt;=60,"Relance 3 : lettre de relance",IF((p_asof-E151)&lt;=90,"Mise en demeure (recommandé)","Contentieux : injonction de payer")))))))</f>
        <v/>
      </c>
      <c r="M151" t="str">
        <f>IFERROR(MATCH(120,fa_rank,0),"")</f>
        <v/>
      </c>
    </row>
    <row r="152">
      <c r="B152" s="78" t="str">
        <f>IF($M152="","",INDEX(fa_num,$M152)&amp;"")</f>
        <v/>
      </c>
      <c r="C152" s="79" t="str">
        <f>IF($M152="","",INDEX(fa_cname,$M152)&amp;"")</f>
        <v/>
      </c>
      <c r="D152" s="56" t="str">
        <f>IF($M152="","",INDEX(fa_date,$M152))</f>
        <v/>
      </c>
      <c r="E152" s="56" t="str">
        <f>IF($M152="","",INDEX(fa_due,$M152))</f>
        <v/>
      </c>
      <c r="F152" s="75" t="str">
        <f>IF($M152="","",INDEX(fa_ttc,$M152))</f>
        <v/>
      </c>
      <c r="G152" s="75" t="str">
        <f>IF($M152="","",INDEX(fa_paid,$M152)+INDEX(fa_avoirs,$M152))</f>
        <v/>
      </c>
      <c r="H152" s="75" t="str">
        <f>IF($M152="","",INDEX(fa_reste,$M152))</f>
        <v/>
      </c>
      <c r="I152" s="58" t="str">
        <f>IF($M152="","",MAX(0,p_asof-E152))</f>
        <v/>
      </c>
      <c r="J152" s="78" t="str">
        <f>IF($M152="","",INDEX(fa_tranche,$M152)&amp;"")</f>
        <v/>
      </c>
      <c r="K152" s="56" t="str">
        <f>IF($M152="","",IF(ISNUMBER(INDEX(fa_relance,$M152)),INDEX(fa_relance,$M152),""))</f>
        <v/>
      </c>
      <c r="L152" s="79" t="str">
        <f>IF($M152="","",IF(AND(ISNUMBER(K152),(p_asof-E152)&gt;0,(p_asof-N(K152))&gt;=0,(p_asof-N(K152))&lt;7),"Déjà relancée il y a "&amp;(p_asof-N(K152))&amp;" j",IF((p_asof-E152)&lt;=0,IF((p_asof-E152)&gt;-8,"Rappel courtois avant l'échéance","Aucune action"),IF((p_asof-E152)&lt;=15,"Relance 1 : e-mail de rappel",IF((p_asof-E152)&lt;=30,"Relance 2 : appel téléphonique",IF((p_asof-E152)&lt;=60,"Relance 3 : lettre de relance",IF((p_asof-E152)&lt;=90,"Mise en demeure (recommandé)","Contentieux : injonction de payer")))))))</f>
        <v/>
      </c>
      <c r="M152" t="str">
        <f>IFERROR(MATCH(121,fa_rank,0),"")</f>
        <v/>
      </c>
    </row>
    <row r="153">
      <c r="B153" s="78" t="str">
        <f>IF($M153="","",INDEX(fa_num,$M153)&amp;"")</f>
        <v/>
      </c>
      <c r="C153" s="79" t="str">
        <f>IF($M153="","",INDEX(fa_cname,$M153)&amp;"")</f>
        <v/>
      </c>
      <c r="D153" s="56" t="str">
        <f>IF($M153="","",INDEX(fa_date,$M153))</f>
        <v/>
      </c>
      <c r="E153" s="56" t="str">
        <f>IF($M153="","",INDEX(fa_due,$M153))</f>
        <v/>
      </c>
      <c r="F153" s="75" t="str">
        <f>IF($M153="","",INDEX(fa_ttc,$M153))</f>
        <v/>
      </c>
      <c r="G153" s="75" t="str">
        <f>IF($M153="","",INDEX(fa_paid,$M153)+INDEX(fa_avoirs,$M153))</f>
        <v/>
      </c>
      <c r="H153" s="75" t="str">
        <f>IF($M153="","",INDEX(fa_reste,$M153))</f>
        <v/>
      </c>
      <c r="I153" s="58" t="str">
        <f>IF($M153="","",MAX(0,p_asof-E153))</f>
        <v/>
      </c>
      <c r="J153" s="78" t="str">
        <f>IF($M153="","",INDEX(fa_tranche,$M153)&amp;"")</f>
        <v/>
      </c>
      <c r="K153" s="56" t="str">
        <f>IF($M153="","",IF(ISNUMBER(INDEX(fa_relance,$M153)),INDEX(fa_relance,$M153),""))</f>
        <v/>
      </c>
      <c r="L153" s="79" t="str">
        <f>IF($M153="","",IF(AND(ISNUMBER(K153),(p_asof-E153)&gt;0,(p_asof-N(K153))&gt;=0,(p_asof-N(K153))&lt;7),"Déjà relancée il y a "&amp;(p_asof-N(K153))&amp;" j",IF((p_asof-E153)&lt;=0,IF((p_asof-E153)&gt;-8,"Rappel courtois avant l'échéance","Aucune action"),IF((p_asof-E153)&lt;=15,"Relance 1 : e-mail de rappel",IF((p_asof-E153)&lt;=30,"Relance 2 : appel téléphonique",IF((p_asof-E153)&lt;=60,"Relance 3 : lettre de relance",IF((p_asof-E153)&lt;=90,"Mise en demeure (recommandé)","Contentieux : injonction de payer")))))))</f>
        <v/>
      </c>
      <c r="M153" t="str">
        <f>IFERROR(MATCH(122,fa_rank,0),"")</f>
        <v/>
      </c>
    </row>
    <row r="154">
      <c r="B154" s="78" t="str">
        <f>IF($M154="","",INDEX(fa_num,$M154)&amp;"")</f>
        <v/>
      </c>
      <c r="C154" s="79" t="str">
        <f>IF($M154="","",INDEX(fa_cname,$M154)&amp;"")</f>
        <v/>
      </c>
      <c r="D154" s="56" t="str">
        <f>IF($M154="","",INDEX(fa_date,$M154))</f>
        <v/>
      </c>
      <c r="E154" s="56" t="str">
        <f>IF($M154="","",INDEX(fa_due,$M154))</f>
        <v/>
      </c>
      <c r="F154" s="75" t="str">
        <f>IF($M154="","",INDEX(fa_ttc,$M154))</f>
        <v/>
      </c>
      <c r="G154" s="75" t="str">
        <f>IF($M154="","",INDEX(fa_paid,$M154)+INDEX(fa_avoirs,$M154))</f>
        <v/>
      </c>
      <c r="H154" s="75" t="str">
        <f>IF($M154="","",INDEX(fa_reste,$M154))</f>
        <v/>
      </c>
      <c r="I154" s="58" t="str">
        <f>IF($M154="","",MAX(0,p_asof-E154))</f>
        <v/>
      </c>
      <c r="J154" s="78" t="str">
        <f>IF($M154="","",INDEX(fa_tranche,$M154)&amp;"")</f>
        <v/>
      </c>
      <c r="K154" s="56" t="str">
        <f>IF($M154="","",IF(ISNUMBER(INDEX(fa_relance,$M154)),INDEX(fa_relance,$M154),""))</f>
        <v/>
      </c>
      <c r="L154" s="79" t="str">
        <f>IF($M154="","",IF(AND(ISNUMBER(K154),(p_asof-E154)&gt;0,(p_asof-N(K154))&gt;=0,(p_asof-N(K154))&lt;7),"Déjà relancée il y a "&amp;(p_asof-N(K154))&amp;" j",IF((p_asof-E154)&lt;=0,IF((p_asof-E154)&gt;-8,"Rappel courtois avant l'échéance","Aucune action"),IF((p_asof-E154)&lt;=15,"Relance 1 : e-mail de rappel",IF((p_asof-E154)&lt;=30,"Relance 2 : appel téléphonique",IF((p_asof-E154)&lt;=60,"Relance 3 : lettre de relance",IF((p_asof-E154)&lt;=90,"Mise en demeure (recommandé)","Contentieux : injonction de payer")))))))</f>
        <v/>
      </c>
      <c r="M154" t="str">
        <f>IFERROR(MATCH(123,fa_rank,0),"")</f>
        <v/>
      </c>
    </row>
    <row r="155">
      <c r="B155" s="78" t="str">
        <f>IF($M155="","",INDEX(fa_num,$M155)&amp;"")</f>
        <v/>
      </c>
      <c r="C155" s="79" t="str">
        <f>IF($M155="","",INDEX(fa_cname,$M155)&amp;"")</f>
        <v/>
      </c>
      <c r="D155" s="56" t="str">
        <f>IF($M155="","",INDEX(fa_date,$M155))</f>
        <v/>
      </c>
      <c r="E155" s="56" t="str">
        <f>IF($M155="","",INDEX(fa_due,$M155))</f>
        <v/>
      </c>
      <c r="F155" s="75" t="str">
        <f>IF($M155="","",INDEX(fa_ttc,$M155))</f>
        <v/>
      </c>
      <c r="G155" s="75" t="str">
        <f>IF($M155="","",INDEX(fa_paid,$M155)+INDEX(fa_avoirs,$M155))</f>
        <v/>
      </c>
      <c r="H155" s="75" t="str">
        <f>IF($M155="","",INDEX(fa_reste,$M155))</f>
        <v/>
      </c>
      <c r="I155" s="58" t="str">
        <f>IF($M155="","",MAX(0,p_asof-E155))</f>
        <v/>
      </c>
      <c r="J155" s="78" t="str">
        <f>IF($M155="","",INDEX(fa_tranche,$M155)&amp;"")</f>
        <v/>
      </c>
      <c r="K155" s="56" t="str">
        <f>IF($M155="","",IF(ISNUMBER(INDEX(fa_relance,$M155)),INDEX(fa_relance,$M155),""))</f>
        <v/>
      </c>
      <c r="L155" s="79" t="str">
        <f>IF($M155="","",IF(AND(ISNUMBER(K155),(p_asof-E155)&gt;0,(p_asof-N(K155))&gt;=0,(p_asof-N(K155))&lt;7),"Déjà relancée il y a "&amp;(p_asof-N(K155))&amp;" j",IF((p_asof-E155)&lt;=0,IF((p_asof-E155)&gt;-8,"Rappel courtois avant l'échéance","Aucune action"),IF((p_asof-E155)&lt;=15,"Relance 1 : e-mail de rappel",IF((p_asof-E155)&lt;=30,"Relance 2 : appel téléphonique",IF((p_asof-E155)&lt;=60,"Relance 3 : lettre de relance",IF((p_asof-E155)&lt;=90,"Mise en demeure (recommandé)","Contentieux : injonction de payer")))))))</f>
        <v/>
      </c>
      <c r="M155" t="str">
        <f>IFERROR(MATCH(124,fa_rank,0),"")</f>
        <v/>
      </c>
    </row>
    <row r="156">
      <c r="B156" s="78" t="str">
        <f>IF($M156="","",INDEX(fa_num,$M156)&amp;"")</f>
        <v/>
      </c>
      <c r="C156" s="79" t="str">
        <f>IF($M156="","",INDEX(fa_cname,$M156)&amp;"")</f>
        <v/>
      </c>
      <c r="D156" s="56" t="str">
        <f>IF($M156="","",INDEX(fa_date,$M156))</f>
        <v/>
      </c>
      <c r="E156" s="56" t="str">
        <f>IF($M156="","",INDEX(fa_due,$M156))</f>
        <v/>
      </c>
      <c r="F156" s="75" t="str">
        <f>IF($M156="","",INDEX(fa_ttc,$M156))</f>
        <v/>
      </c>
      <c r="G156" s="75" t="str">
        <f>IF($M156="","",INDEX(fa_paid,$M156)+INDEX(fa_avoirs,$M156))</f>
        <v/>
      </c>
      <c r="H156" s="75" t="str">
        <f>IF($M156="","",INDEX(fa_reste,$M156))</f>
        <v/>
      </c>
      <c r="I156" s="58" t="str">
        <f>IF($M156="","",MAX(0,p_asof-E156))</f>
        <v/>
      </c>
      <c r="J156" s="78" t="str">
        <f>IF($M156="","",INDEX(fa_tranche,$M156)&amp;"")</f>
        <v/>
      </c>
      <c r="K156" s="56" t="str">
        <f>IF($M156="","",IF(ISNUMBER(INDEX(fa_relance,$M156)),INDEX(fa_relance,$M156),""))</f>
        <v/>
      </c>
      <c r="L156" s="79" t="str">
        <f>IF($M156="","",IF(AND(ISNUMBER(K156),(p_asof-E156)&gt;0,(p_asof-N(K156))&gt;=0,(p_asof-N(K156))&lt;7),"Déjà relancée il y a "&amp;(p_asof-N(K156))&amp;" j",IF((p_asof-E156)&lt;=0,IF((p_asof-E156)&gt;-8,"Rappel courtois avant l'échéance","Aucune action"),IF((p_asof-E156)&lt;=15,"Relance 1 : e-mail de rappel",IF((p_asof-E156)&lt;=30,"Relance 2 : appel téléphonique",IF((p_asof-E156)&lt;=60,"Relance 3 : lettre de relance",IF((p_asof-E156)&lt;=90,"Mise en demeure (recommandé)","Contentieux : injonction de payer")))))))</f>
        <v/>
      </c>
      <c r="M156" t="str">
        <f>IFERROR(MATCH(125,fa_rank,0),"")</f>
        <v/>
      </c>
    </row>
    <row r="157">
      <c r="B157" s="78" t="str">
        <f>IF($M157="","",INDEX(fa_num,$M157)&amp;"")</f>
        <v/>
      </c>
      <c r="C157" s="79" t="str">
        <f>IF($M157="","",INDEX(fa_cname,$M157)&amp;"")</f>
        <v/>
      </c>
      <c r="D157" s="56" t="str">
        <f>IF($M157="","",INDEX(fa_date,$M157))</f>
        <v/>
      </c>
      <c r="E157" s="56" t="str">
        <f>IF($M157="","",INDEX(fa_due,$M157))</f>
        <v/>
      </c>
      <c r="F157" s="75" t="str">
        <f>IF($M157="","",INDEX(fa_ttc,$M157))</f>
        <v/>
      </c>
      <c r="G157" s="75" t="str">
        <f>IF($M157="","",INDEX(fa_paid,$M157)+INDEX(fa_avoirs,$M157))</f>
        <v/>
      </c>
      <c r="H157" s="75" t="str">
        <f>IF($M157="","",INDEX(fa_reste,$M157))</f>
        <v/>
      </c>
      <c r="I157" s="58" t="str">
        <f>IF($M157="","",MAX(0,p_asof-E157))</f>
        <v/>
      </c>
      <c r="J157" s="78" t="str">
        <f>IF($M157="","",INDEX(fa_tranche,$M157)&amp;"")</f>
        <v/>
      </c>
      <c r="K157" s="56" t="str">
        <f>IF($M157="","",IF(ISNUMBER(INDEX(fa_relance,$M157)),INDEX(fa_relance,$M157),""))</f>
        <v/>
      </c>
      <c r="L157" s="79" t="str">
        <f>IF($M157="","",IF(AND(ISNUMBER(K157),(p_asof-E157)&gt;0,(p_asof-N(K157))&gt;=0,(p_asof-N(K157))&lt;7),"Déjà relancée il y a "&amp;(p_asof-N(K157))&amp;" j",IF((p_asof-E157)&lt;=0,IF((p_asof-E157)&gt;-8,"Rappel courtois avant l'échéance","Aucune action"),IF((p_asof-E157)&lt;=15,"Relance 1 : e-mail de rappel",IF((p_asof-E157)&lt;=30,"Relance 2 : appel téléphonique",IF((p_asof-E157)&lt;=60,"Relance 3 : lettre de relance",IF((p_asof-E157)&lt;=90,"Mise en demeure (recommandé)","Contentieux : injonction de payer")))))))</f>
        <v/>
      </c>
      <c r="M157" t="str">
        <f>IFERROR(MATCH(126,fa_rank,0),"")</f>
        <v/>
      </c>
    </row>
    <row r="158">
      <c r="B158" s="78" t="str">
        <f>IF($M158="","",INDEX(fa_num,$M158)&amp;"")</f>
        <v/>
      </c>
      <c r="C158" s="79" t="str">
        <f>IF($M158="","",INDEX(fa_cname,$M158)&amp;"")</f>
        <v/>
      </c>
      <c r="D158" s="56" t="str">
        <f>IF($M158="","",INDEX(fa_date,$M158))</f>
        <v/>
      </c>
      <c r="E158" s="56" t="str">
        <f>IF($M158="","",INDEX(fa_due,$M158))</f>
        <v/>
      </c>
      <c r="F158" s="75" t="str">
        <f>IF($M158="","",INDEX(fa_ttc,$M158))</f>
        <v/>
      </c>
      <c r="G158" s="75" t="str">
        <f>IF($M158="","",INDEX(fa_paid,$M158)+INDEX(fa_avoirs,$M158))</f>
        <v/>
      </c>
      <c r="H158" s="75" t="str">
        <f>IF($M158="","",INDEX(fa_reste,$M158))</f>
        <v/>
      </c>
      <c r="I158" s="58" t="str">
        <f>IF($M158="","",MAX(0,p_asof-E158))</f>
        <v/>
      </c>
      <c r="J158" s="78" t="str">
        <f>IF($M158="","",INDEX(fa_tranche,$M158)&amp;"")</f>
        <v/>
      </c>
      <c r="K158" s="56" t="str">
        <f>IF($M158="","",IF(ISNUMBER(INDEX(fa_relance,$M158)),INDEX(fa_relance,$M158),""))</f>
        <v/>
      </c>
      <c r="L158" s="79" t="str">
        <f>IF($M158="","",IF(AND(ISNUMBER(K158),(p_asof-E158)&gt;0,(p_asof-N(K158))&gt;=0,(p_asof-N(K158))&lt;7),"Déjà relancée il y a "&amp;(p_asof-N(K158))&amp;" j",IF((p_asof-E158)&lt;=0,IF((p_asof-E158)&gt;-8,"Rappel courtois avant l'échéance","Aucune action"),IF((p_asof-E158)&lt;=15,"Relance 1 : e-mail de rappel",IF((p_asof-E158)&lt;=30,"Relance 2 : appel téléphonique",IF((p_asof-E158)&lt;=60,"Relance 3 : lettre de relance",IF((p_asof-E158)&lt;=90,"Mise en demeure (recommandé)","Contentieux : injonction de payer")))))))</f>
        <v/>
      </c>
      <c r="M158" t="str">
        <f>IFERROR(MATCH(127,fa_rank,0),"")</f>
        <v/>
      </c>
    </row>
    <row r="159">
      <c r="B159" s="78" t="str">
        <f>IF($M159="","",INDEX(fa_num,$M159)&amp;"")</f>
        <v/>
      </c>
      <c r="C159" s="79" t="str">
        <f>IF($M159="","",INDEX(fa_cname,$M159)&amp;"")</f>
        <v/>
      </c>
      <c r="D159" s="56" t="str">
        <f>IF($M159="","",INDEX(fa_date,$M159))</f>
        <v/>
      </c>
      <c r="E159" s="56" t="str">
        <f>IF($M159="","",INDEX(fa_due,$M159))</f>
        <v/>
      </c>
      <c r="F159" s="75" t="str">
        <f>IF($M159="","",INDEX(fa_ttc,$M159))</f>
        <v/>
      </c>
      <c r="G159" s="75" t="str">
        <f>IF($M159="","",INDEX(fa_paid,$M159)+INDEX(fa_avoirs,$M159))</f>
        <v/>
      </c>
      <c r="H159" s="75" t="str">
        <f>IF($M159="","",INDEX(fa_reste,$M159))</f>
        <v/>
      </c>
      <c r="I159" s="58" t="str">
        <f>IF($M159="","",MAX(0,p_asof-E159))</f>
        <v/>
      </c>
      <c r="J159" s="78" t="str">
        <f>IF($M159="","",INDEX(fa_tranche,$M159)&amp;"")</f>
        <v/>
      </c>
      <c r="K159" s="56" t="str">
        <f>IF($M159="","",IF(ISNUMBER(INDEX(fa_relance,$M159)),INDEX(fa_relance,$M159),""))</f>
        <v/>
      </c>
      <c r="L159" s="79" t="str">
        <f>IF($M159="","",IF(AND(ISNUMBER(K159),(p_asof-E159)&gt;0,(p_asof-N(K159))&gt;=0,(p_asof-N(K159))&lt;7),"Déjà relancée il y a "&amp;(p_asof-N(K159))&amp;" j",IF((p_asof-E159)&lt;=0,IF((p_asof-E159)&gt;-8,"Rappel courtois avant l'échéance","Aucune action"),IF((p_asof-E159)&lt;=15,"Relance 1 : e-mail de rappel",IF((p_asof-E159)&lt;=30,"Relance 2 : appel téléphonique",IF((p_asof-E159)&lt;=60,"Relance 3 : lettre de relance",IF((p_asof-E159)&lt;=90,"Mise en demeure (recommandé)","Contentieux : injonction de payer")))))))</f>
        <v/>
      </c>
      <c r="M159" t="str">
        <f>IFERROR(MATCH(128,fa_rank,0),"")</f>
        <v/>
      </c>
    </row>
    <row r="160">
      <c r="B160" s="78" t="str">
        <f>IF($M160="","",INDEX(fa_num,$M160)&amp;"")</f>
        <v/>
      </c>
      <c r="C160" s="79" t="str">
        <f>IF($M160="","",INDEX(fa_cname,$M160)&amp;"")</f>
        <v/>
      </c>
      <c r="D160" s="56" t="str">
        <f>IF($M160="","",INDEX(fa_date,$M160))</f>
        <v/>
      </c>
      <c r="E160" s="56" t="str">
        <f>IF($M160="","",INDEX(fa_due,$M160))</f>
        <v/>
      </c>
      <c r="F160" s="75" t="str">
        <f>IF($M160="","",INDEX(fa_ttc,$M160))</f>
        <v/>
      </c>
      <c r="G160" s="75" t="str">
        <f>IF($M160="","",INDEX(fa_paid,$M160)+INDEX(fa_avoirs,$M160))</f>
        <v/>
      </c>
      <c r="H160" s="75" t="str">
        <f>IF($M160="","",INDEX(fa_reste,$M160))</f>
        <v/>
      </c>
      <c r="I160" s="58" t="str">
        <f>IF($M160="","",MAX(0,p_asof-E160))</f>
        <v/>
      </c>
      <c r="J160" s="78" t="str">
        <f>IF($M160="","",INDEX(fa_tranche,$M160)&amp;"")</f>
        <v/>
      </c>
      <c r="K160" s="56" t="str">
        <f>IF($M160="","",IF(ISNUMBER(INDEX(fa_relance,$M160)),INDEX(fa_relance,$M160),""))</f>
        <v/>
      </c>
      <c r="L160" s="79" t="str">
        <f>IF($M160="","",IF(AND(ISNUMBER(K160),(p_asof-E160)&gt;0,(p_asof-N(K160))&gt;=0,(p_asof-N(K160))&lt;7),"Déjà relancée il y a "&amp;(p_asof-N(K160))&amp;" j",IF((p_asof-E160)&lt;=0,IF((p_asof-E160)&gt;-8,"Rappel courtois avant l'échéance","Aucune action"),IF((p_asof-E160)&lt;=15,"Relance 1 : e-mail de rappel",IF((p_asof-E160)&lt;=30,"Relance 2 : appel téléphonique",IF((p_asof-E160)&lt;=60,"Relance 3 : lettre de relance",IF((p_asof-E160)&lt;=90,"Mise en demeure (recommandé)","Contentieux : injonction de payer")))))))</f>
        <v/>
      </c>
      <c r="M160" t="str">
        <f>IFERROR(MATCH(129,fa_rank,0),"")</f>
        <v/>
      </c>
    </row>
    <row r="161">
      <c r="B161" s="78" t="str">
        <f>IF($M161="","",INDEX(fa_num,$M161)&amp;"")</f>
        <v/>
      </c>
      <c r="C161" s="79" t="str">
        <f>IF($M161="","",INDEX(fa_cname,$M161)&amp;"")</f>
        <v/>
      </c>
      <c r="D161" s="56" t="str">
        <f>IF($M161="","",INDEX(fa_date,$M161))</f>
        <v/>
      </c>
      <c r="E161" s="56" t="str">
        <f>IF($M161="","",INDEX(fa_due,$M161))</f>
        <v/>
      </c>
      <c r="F161" s="75" t="str">
        <f>IF($M161="","",INDEX(fa_ttc,$M161))</f>
        <v/>
      </c>
      <c r="G161" s="75" t="str">
        <f>IF($M161="","",INDEX(fa_paid,$M161)+INDEX(fa_avoirs,$M161))</f>
        <v/>
      </c>
      <c r="H161" s="75" t="str">
        <f>IF($M161="","",INDEX(fa_reste,$M161))</f>
        <v/>
      </c>
      <c r="I161" s="58" t="str">
        <f>IF($M161="","",MAX(0,p_asof-E161))</f>
        <v/>
      </c>
      <c r="J161" s="78" t="str">
        <f>IF($M161="","",INDEX(fa_tranche,$M161)&amp;"")</f>
        <v/>
      </c>
      <c r="K161" s="56" t="str">
        <f>IF($M161="","",IF(ISNUMBER(INDEX(fa_relance,$M161)),INDEX(fa_relance,$M161),""))</f>
        <v/>
      </c>
      <c r="L161" s="79" t="str">
        <f>IF($M161="","",IF(AND(ISNUMBER(K161),(p_asof-E161)&gt;0,(p_asof-N(K161))&gt;=0,(p_asof-N(K161))&lt;7),"Déjà relancée il y a "&amp;(p_asof-N(K161))&amp;" j",IF((p_asof-E161)&lt;=0,IF((p_asof-E161)&gt;-8,"Rappel courtois avant l'échéance","Aucune action"),IF((p_asof-E161)&lt;=15,"Relance 1 : e-mail de rappel",IF((p_asof-E161)&lt;=30,"Relance 2 : appel téléphonique",IF((p_asof-E161)&lt;=60,"Relance 3 : lettre de relance",IF((p_asof-E161)&lt;=90,"Mise en demeure (recommandé)","Contentieux : injonction de payer")))))))</f>
        <v/>
      </c>
      <c r="M161" t="str">
        <f>IFERROR(MATCH(130,fa_rank,0),"")</f>
        <v/>
      </c>
    </row>
    <row r="162">
      <c r="B162" s="78" t="str">
        <f>IF($M162="","",INDEX(fa_num,$M162)&amp;"")</f>
        <v/>
      </c>
      <c r="C162" s="79" t="str">
        <f>IF($M162="","",INDEX(fa_cname,$M162)&amp;"")</f>
        <v/>
      </c>
      <c r="D162" s="56" t="str">
        <f>IF($M162="","",INDEX(fa_date,$M162))</f>
        <v/>
      </c>
      <c r="E162" s="56" t="str">
        <f>IF($M162="","",INDEX(fa_due,$M162))</f>
        <v/>
      </c>
      <c r="F162" s="75" t="str">
        <f>IF($M162="","",INDEX(fa_ttc,$M162))</f>
        <v/>
      </c>
      <c r="G162" s="75" t="str">
        <f>IF($M162="","",INDEX(fa_paid,$M162)+INDEX(fa_avoirs,$M162))</f>
        <v/>
      </c>
      <c r="H162" s="75" t="str">
        <f>IF($M162="","",INDEX(fa_reste,$M162))</f>
        <v/>
      </c>
      <c r="I162" s="58" t="str">
        <f>IF($M162="","",MAX(0,p_asof-E162))</f>
        <v/>
      </c>
      <c r="J162" s="78" t="str">
        <f>IF($M162="","",INDEX(fa_tranche,$M162)&amp;"")</f>
        <v/>
      </c>
      <c r="K162" s="56" t="str">
        <f>IF($M162="","",IF(ISNUMBER(INDEX(fa_relance,$M162)),INDEX(fa_relance,$M162),""))</f>
        <v/>
      </c>
      <c r="L162" s="79" t="str">
        <f>IF($M162="","",IF(AND(ISNUMBER(K162),(p_asof-E162)&gt;0,(p_asof-N(K162))&gt;=0,(p_asof-N(K162))&lt;7),"Déjà relancée il y a "&amp;(p_asof-N(K162))&amp;" j",IF((p_asof-E162)&lt;=0,IF((p_asof-E162)&gt;-8,"Rappel courtois avant l'échéance","Aucune action"),IF((p_asof-E162)&lt;=15,"Relance 1 : e-mail de rappel",IF((p_asof-E162)&lt;=30,"Relance 2 : appel téléphonique",IF((p_asof-E162)&lt;=60,"Relance 3 : lettre de relance",IF((p_asof-E162)&lt;=90,"Mise en demeure (recommandé)","Contentieux : injonction de payer")))))))</f>
        <v/>
      </c>
      <c r="M162" t="str">
        <f>IFERROR(MATCH(131,fa_rank,0),"")</f>
        <v/>
      </c>
    </row>
    <row r="163">
      <c r="B163" s="78" t="str">
        <f>IF($M163="","",INDEX(fa_num,$M163)&amp;"")</f>
        <v/>
      </c>
      <c r="C163" s="79" t="str">
        <f>IF($M163="","",INDEX(fa_cname,$M163)&amp;"")</f>
        <v/>
      </c>
      <c r="D163" s="56" t="str">
        <f>IF($M163="","",INDEX(fa_date,$M163))</f>
        <v/>
      </c>
      <c r="E163" s="56" t="str">
        <f>IF($M163="","",INDEX(fa_due,$M163))</f>
        <v/>
      </c>
      <c r="F163" s="75" t="str">
        <f>IF($M163="","",INDEX(fa_ttc,$M163))</f>
        <v/>
      </c>
      <c r="G163" s="75" t="str">
        <f>IF($M163="","",INDEX(fa_paid,$M163)+INDEX(fa_avoirs,$M163))</f>
        <v/>
      </c>
      <c r="H163" s="75" t="str">
        <f>IF($M163="","",INDEX(fa_reste,$M163))</f>
        <v/>
      </c>
      <c r="I163" s="58" t="str">
        <f>IF($M163="","",MAX(0,p_asof-E163))</f>
        <v/>
      </c>
      <c r="J163" s="78" t="str">
        <f>IF($M163="","",INDEX(fa_tranche,$M163)&amp;"")</f>
        <v/>
      </c>
      <c r="K163" s="56" t="str">
        <f>IF($M163="","",IF(ISNUMBER(INDEX(fa_relance,$M163)),INDEX(fa_relance,$M163),""))</f>
        <v/>
      </c>
      <c r="L163" s="79" t="str">
        <f>IF($M163="","",IF(AND(ISNUMBER(K163),(p_asof-E163)&gt;0,(p_asof-N(K163))&gt;=0,(p_asof-N(K163))&lt;7),"Déjà relancée il y a "&amp;(p_asof-N(K163))&amp;" j",IF((p_asof-E163)&lt;=0,IF((p_asof-E163)&gt;-8,"Rappel courtois avant l'échéance","Aucune action"),IF((p_asof-E163)&lt;=15,"Relance 1 : e-mail de rappel",IF((p_asof-E163)&lt;=30,"Relance 2 : appel téléphonique",IF((p_asof-E163)&lt;=60,"Relance 3 : lettre de relance",IF((p_asof-E163)&lt;=90,"Mise en demeure (recommandé)","Contentieux : injonction de payer")))))))</f>
        <v/>
      </c>
      <c r="M163" t="str">
        <f>IFERROR(MATCH(132,fa_rank,0),"")</f>
        <v/>
      </c>
    </row>
    <row r="164">
      <c r="B164" s="78" t="str">
        <f>IF($M164="","",INDEX(fa_num,$M164)&amp;"")</f>
        <v/>
      </c>
      <c r="C164" s="79" t="str">
        <f>IF($M164="","",INDEX(fa_cname,$M164)&amp;"")</f>
        <v/>
      </c>
      <c r="D164" s="56" t="str">
        <f>IF($M164="","",INDEX(fa_date,$M164))</f>
        <v/>
      </c>
      <c r="E164" s="56" t="str">
        <f>IF($M164="","",INDEX(fa_due,$M164))</f>
        <v/>
      </c>
      <c r="F164" s="75" t="str">
        <f>IF($M164="","",INDEX(fa_ttc,$M164))</f>
        <v/>
      </c>
      <c r="G164" s="75" t="str">
        <f>IF($M164="","",INDEX(fa_paid,$M164)+INDEX(fa_avoirs,$M164))</f>
        <v/>
      </c>
      <c r="H164" s="75" t="str">
        <f>IF($M164="","",INDEX(fa_reste,$M164))</f>
        <v/>
      </c>
      <c r="I164" s="58" t="str">
        <f>IF($M164="","",MAX(0,p_asof-E164))</f>
        <v/>
      </c>
      <c r="J164" s="78" t="str">
        <f>IF($M164="","",INDEX(fa_tranche,$M164)&amp;"")</f>
        <v/>
      </c>
      <c r="K164" s="56" t="str">
        <f>IF($M164="","",IF(ISNUMBER(INDEX(fa_relance,$M164)),INDEX(fa_relance,$M164),""))</f>
        <v/>
      </c>
      <c r="L164" s="79" t="str">
        <f>IF($M164="","",IF(AND(ISNUMBER(K164),(p_asof-E164)&gt;0,(p_asof-N(K164))&gt;=0,(p_asof-N(K164))&lt;7),"Déjà relancée il y a "&amp;(p_asof-N(K164))&amp;" j",IF((p_asof-E164)&lt;=0,IF((p_asof-E164)&gt;-8,"Rappel courtois avant l'échéance","Aucune action"),IF((p_asof-E164)&lt;=15,"Relance 1 : e-mail de rappel",IF((p_asof-E164)&lt;=30,"Relance 2 : appel téléphonique",IF((p_asof-E164)&lt;=60,"Relance 3 : lettre de relance",IF((p_asof-E164)&lt;=90,"Mise en demeure (recommandé)","Contentieux : injonction de payer")))))))</f>
        <v/>
      </c>
      <c r="M164" t="str">
        <f>IFERROR(MATCH(133,fa_rank,0),"")</f>
        <v/>
      </c>
    </row>
    <row r="165">
      <c r="B165" s="78" t="str">
        <f>IF($M165="","",INDEX(fa_num,$M165)&amp;"")</f>
        <v/>
      </c>
      <c r="C165" s="79" t="str">
        <f>IF($M165="","",INDEX(fa_cname,$M165)&amp;"")</f>
        <v/>
      </c>
      <c r="D165" s="56" t="str">
        <f>IF($M165="","",INDEX(fa_date,$M165))</f>
        <v/>
      </c>
      <c r="E165" s="56" t="str">
        <f>IF($M165="","",INDEX(fa_due,$M165))</f>
        <v/>
      </c>
      <c r="F165" s="75" t="str">
        <f>IF($M165="","",INDEX(fa_ttc,$M165))</f>
        <v/>
      </c>
      <c r="G165" s="75" t="str">
        <f>IF($M165="","",INDEX(fa_paid,$M165)+INDEX(fa_avoirs,$M165))</f>
        <v/>
      </c>
      <c r="H165" s="75" t="str">
        <f>IF($M165="","",INDEX(fa_reste,$M165))</f>
        <v/>
      </c>
      <c r="I165" s="58" t="str">
        <f>IF($M165="","",MAX(0,p_asof-E165))</f>
        <v/>
      </c>
      <c r="J165" s="78" t="str">
        <f>IF($M165="","",INDEX(fa_tranche,$M165)&amp;"")</f>
        <v/>
      </c>
      <c r="K165" s="56" t="str">
        <f>IF($M165="","",IF(ISNUMBER(INDEX(fa_relance,$M165)),INDEX(fa_relance,$M165),""))</f>
        <v/>
      </c>
      <c r="L165" s="79" t="str">
        <f>IF($M165="","",IF(AND(ISNUMBER(K165),(p_asof-E165)&gt;0,(p_asof-N(K165))&gt;=0,(p_asof-N(K165))&lt;7),"Déjà relancée il y a "&amp;(p_asof-N(K165))&amp;" j",IF((p_asof-E165)&lt;=0,IF((p_asof-E165)&gt;-8,"Rappel courtois avant l'échéance","Aucune action"),IF((p_asof-E165)&lt;=15,"Relance 1 : e-mail de rappel",IF((p_asof-E165)&lt;=30,"Relance 2 : appel téléphonique",IF((p_asof-E165)&lt;=60,"Relance 3 : lettre de relance",IF((p_asof-E165)&lt;=90,"Mise en demeure (recommandé)","Contentieux : injonction de payer")))))))</f>
        <v/>
      </c>
      <c r="M165" t="str">
        <f>IFERROR(MATCH(134,fa_rank,0),"")</f>
        <v/>
      </c>
    </row>
    <row r="166">
      <c r="B166" s="78" t="str">
        <f>IF($M166="","",INDEX(fa_num,$M166)&amp;"")</f>
        <v/>
      </c>
      <c r="C166" s="79" t="str">
        <f>IF($M166="","",INDEX(fa_cname,$M166)&amp;"")</f>
        <v/>
      </c>
      <c r="D166" s="56" t="str">
        <f>IF($M166="","",INDEX(fa_date,$M166))</f>
        <v/>
      </c>
      <c r="E166" s="56" t="str">
        <f>IF($M166="","",INDEX(fa_due,$M166))</f>
        <v/>
      </c>
      <c r="F166" s="75" t="str">
        <f>IF($M166="","",INDEX(fa_ttc,$M166))</f>
        <v/>
      </c>
      <c r="G166" s="75" t="str">
        <f>IF($M166="","",INDEX(fa_paid,$M166)+INDEX(fa_avoirs,$M166))</f>
        <v/>
      </c>
      <c r="H166" s="75" t="str">
        <f>IF($M166="","",INDEX(fa_reste,$M166))</f>
        <v/>
      </c>
      <c r="I166" s="58" t="str">
        <f>IF($M166="","",MAX(0,p_asof-E166))</f>
        <v/>
      </c>
      <c r="J166" s="78" t="str">
        <f>IF($M166="","",INDEX(fa_tranche,$M166)&amp;"")</f>
        <v/>
      </c>
      <c r="K166" s="56" t="str">
        <f>IF($M166="","",IF(ISNUMBER(INDEX(fa_relance,$M166)),INDEX(fa_relance,$M166),""))</f>
        <v/>
      </c>
      <c r="L166" s="79" t="str">
        <f>IF($M166="","",IF(AND(ISNUMBER(K166),(p_asof-E166)&gt;0,(p_asof-N(K166))&gt;=0,(p_asof-N(K166))&lt;7),"Déjà relancée il y a "&amp;(p_asof-N(K166))&amp;" j",IF((p_asof-E166)&lt;=0,IF((p_asof-E166)&gt;-8,"Rappel courtois avant l'échéance","Aucune action"),IF((p_asof-E166)&lt;=15,"Relance 1 : e-mail de rappel",IF((p_asof-E166)&lt;=30,"Relance 2 : appel téléphonique",IF((p_asof-E166)&lt;=60,"Relance 3 : lettre de relance",IF((p_asof-E166)&lt;=90,"Mise en demeure (recommandé)","Contentieux : injonction de payer")))))))</f>
        <v/>
      </c>
      <c r="M166" t="str">
        <f>IFERROR(MATCH(135,fa_rank,0),"")</f>
        <v/>
      </c>
    </row>
    <row r="167">
      <c r="B167" s="78" t="str">
        <f>IF($M167="","",INDEX(fa_num,$M167)&amp;"")</f>
        <v/>
      </c>
      <c r="C167" s="79" t="str">
        <f>IF($M167="","",INDEX(fa_cname,$M167)&amp;"")</f>
        <v/>
      </c>
      <c r="D167" s="56" t="str">
        <f>IF($M167="","",INDEX(fa_date,$M167))</f>
        <v/>
      </c>
      <c r="E167" s="56" t="str">
        <f>IF($M167="","",INDEX(fa_due,$M167))</f>
        <v/>
      </c>
      <c r="F167" s="75" t="str">
        <f>IF($M167="","",INDEX(fa_ttc,$M167))</f>
        <v/>
      </c>
      <c r="G167" s="75" t="str">
        <f>IF($M167="","",INDEX(fa_paid,$M167)+INDEX(fa_avoirs,$M167))</f>
        <v/>
      </c>
      <c r="H167" s="75" t="str">
        <f>IF($M167="","",INDEX(fa_reste,$M167))</f>
        <v/>
      </c>
      <c r="I167" s="58" t="str">
        <f>IF($M167="","",MAX(0,p_asof-E167))</f>
        <v/>
      </c>
      <c r="J167" s="78" t="str">
        <f>IF($M167="","",INDEX(fa_tranche,$M167)&amp;"")</f>
        <v/>
      </c>
      <c r="K167" s="56" t="str">
        <f>IF($M167="","",IF(ISNUMBER(INDEX(fa_relance,$M167)),INDEX(fa_relance,$M167),""))</f>
        <v/>
      </c>
      <c r="L167" s="79" t="str">
        <f>IF($M167="","",IF(AND(ISNUMBER(K167),(p_asof-E167)&gt;0,(p_asof-N(K167))&gt;=0,(p_asof-N(K167))&lt;7),"Déjà relancée il y a "&amp;(p_asof-N(K167))&amp;" j",IF((p_asof-E167)&lt;=0,IF((p_asof-E167)&gt;-8,"Rappel courtois avant l'échéance","Aucune action"),IF((p_asof-E167)&lt;=15,"Relance 1 : e-mail de rappel",IF((p_asof-E167)&lt;=30,"Relance 2 : appel téléphonique",IF((p_asof-E167)&lt;=60,"Relance 3 : lettre de relance",IF((p_asof-E167)&lt;=90,"Mise en demeure (recommandé)","Contentieux : injonction de payer")))))))</f>
        <v/>
      </c>
      <c r="M167" t="str">
        <f>IFERROR(MATCH(136,fa_rank,0),"")</f>
        <v/>
      </c>
    </row>
    <row r="168">
      <c r="B168" s="78" t="str">
        <f>IF($M168="","",INDEX(fa_num,$M168)&amp;"")</f>
        <v/>
      </c>
      <c r="C168" s="79" t="str">
        <f>IF($M168="","",INDEX(fa_cname,$M168)&amp;"")</f>
        <v/>
      </c>
      <c r="D168" s="56" t="str">
        <f>IF($M168="","",INDEX(fa_date,$M168))</f>
        <v/>
      </c>
      <c r="E168" s="56" t="str">
        <f>IF($M168="","",INDEX(fa_due,$M168))</f>
        <v/>
      </c>
      <c r="F168" s="75" t="str">
        <f>IF($M168="","",INDEX(fa_ttc,$M168))</f>
        <v/>
      </c>
      <c r="G168" s="75" t="str">
        <f>IF($M168="","",INDEX(fa_paid,$M168)+INDEX(fa_avoirs,$M168))</f>
        <v/>
      </c>
      <c r="H168" s="75" t="str">
        <f>IF($M168="","",INDEX(fa_reste,$M168))</f>
        <v/>
      </c>
      <c r="I168" s="58" t="str">
        <f>IF($M168="","",MAX(0,p_asof-E168))</f>
        <v/>
      </c>
      <c r="J168" s="78" t="str">
        <f>IF($M168="","",INDEX(fa_tranche,$M168)&amp;"")</f>
        <v/>
      </c>
      <c r="K168" s="56" t="str">
        <f>IF($M168="","",IF(ISNUMBER(INDEX(fa_relance,$M168)),INDEX(fa_relance,$M168),""))</f>
        <v/>
      </c>
      <c r="L168" s="79" t="str">
        <f>IF($M168="","",IF(AND(ISNUMBER(K168),(p_asof-E168)&gt;0,(p_asof-N(K168))&gt;=0,(p_asof-N(K168))&lt;7),"Déjà relancée il y a "&amp;(p_asof-N(K168))&amp;" j",IF((p_asof-E168)&lt;=0,IF((p_asof-E168)&gt;-8,"Rappel courtois avant l'échéance","Aucune action"),IF((p_asof-E168)&lt;=15,"Relance 1 : e-mail de rappel",IF((p_asof-E168)&lt;=30,"Relance 2 : appel téléphonique",IF((p_asof-E168)&lt;=60,"Relance 3 : lettre de relance",IF((p_asof-E168)&lt;=90,"Mise en demeure (recommandé)","Contentieux : injonction de payer")))))))</f>
        <v/>
      </c>
      <c r="M168" t="str">
        <f>IFERROR(MATCH(137,fa_rank,0),"")</f>
        <v/>
      </c>
    </row>
    <row r="169">
      <c r="B169" s="78" t="str">
        <f>IF($M169="","",INDEX(fa_num,$M169)&amp;"")</f>
        <v/>
      </c>
      <c r="C169" s="79" t="str">
        <f>IF($M169="","",INDEX(fa_cname,$M169)&amp;"")</f>
        <v/>
      </c>
      <c r="D169" s="56" t="str">
        <f>IF($M169="","",INDEX(fa_date,$M169))</f>
        <v/>
      </c>
      <c r="E169" s="56" t="str">
        <f>IF($M169="","",INDEX(fa_due,$M169))</f>
        <v/>
      </c>
      <c r="F169" s="75" t="str">
        <f>IF($M169="","",INDEX(fa_ttc,$M169))</f>
        <v/>
      </c>
      <c r="G169" s="75" t="str">
        <f>IF($M169="","",INDEX(fa_paid,$M169)+INDEX(fa_avoirs,$M169))</f>
        <v/>
      </c>
      <c r="H169" s="75" t="str">
        <f>IF($M169="","",INDEX(fa_reste,$M169))</f>
        <v/>
      </c>
      <c r="I169" s="58" t="str">
        <f>IF($M169="","",MAX(0,p_asof-E169))</f>
        <v/>
      </c>
      <c r="J169" s="78" t="str">
        <f>IF($M169="","",INDEX(fa_tranche,$M169)&amp;"")</f>
        <v/>
      </c>
      <c r="K169" s="56" t="str">
        <f>IF($M169="","",IF(ISNUMBER(INDEX(fa_relance,$M169)),INDEX(fa_relance,$M169),""))</f>
        <v/>
      </c>
      <c r="L169" s="79" t="str">
        <f>IF($M169="","",IF(AND(ISNUMBER(K169),(p_asof-E169)&gt;0,(p_asof-N(K169))&gt;=0,(p_asof-N(K169))&lt;7),"Déjà relancée il y a "&amp;(p_asof-N(K169))&amp;" j",IF((p_asof-E169)&lt;=0,IF((p_asof-E169)&gt;-8,"Rappel courtois avant l'échéance","Aucune action"),IF((p_asof-E169)&lt;=15,"Relance 1 : e-mail de rappel",IF((p_asof-E169)&lt;=30,"Relance 2 : appel téléphonique",IF((p_asof-E169)&lt;=60,"Relance 3 : lettre de relance",IF((p_asof-E169)&lt;=90,"Mise en demeure (recommandé)","Contentieux : injonction de payer")))))))</f>
        <v/>
      </c>
      <c r="M169" t="str">
        <f>IFERROR(MATCH(138,fa_rank,0),"")</f>
        <v/>
      </c>
    </row>
    <row r="170">
      <c r="B170" s="78" t="str">
        <f>IF($M170="","",INDEX(fa_num,$M170)&amp;"")</f>
        <v/>
      </c>
      <c r="C170" s="79" t="str">
        <f>IF($M170="","",INDEX(fa_cname,$M170)&amp;"")</f>
        <v/>
      </c>
      <c r="D170" s="56" t="str">
        <f>IF($M170="","",INDEX(fa_date,$M170))</f>
        <v/>
      </c>
      <c r="E170" s="56" t="str">
        <f>IF($M170="","",INDEX(fa_due,$M170))</f>
        <v/>
      </c>
      <c r="F170" s="75" t="str">
        <f>IF($M170="","",INDEX(fa_ttc,$M170))</f>
        <v/>
      </c>
      <c r="G170" s="75" t="str">
        <f>IF($M170="","",INDEX(fa_paid,$M170)+INDEX(fa_avoirs,$M170))</f>
        <v/>
      </c>
      <c r="H170" s="75" t="str">
        <f>IF($M170="","",INDEX(fa_reste,$M170))</f>
        <v/>
      </c>
      <c r="I170" s="58" t="str">
        <f>IF($M170="","",MAX(0,p_asof-E170))</f>
        <v/>
      </c>
      <c r="J170" s="78" t="str">
        <f>IF($M170="","",INDEX(fa_tranche,$M170)&amp;"")</f>
        <v/>
      </c>
      <c r="K170" s="56" t="str">
        <f>IF($M170="","",IF(ISNUMBER(INDEX(fa_relance,$M170)),INDEX(fa_relance,$M170),""))</f>
        <v/>
      </c>
      <c r="L170" s="79" t="str">
        <f>IF($M170="","",IF(AND(ISNUMBER(K170),(p_asof-E170)&gt;0,(p_asof-N(K170))&gt;=0,(p_asof-N(K170))&lt;7),"Déjà relancée il y a "&amp;(p_asof-N(K170))&amp;" j",IF((p_asof-E170)&lt;=0,IF((p_asof-E170)&gt;-8,"Rappel courtois avant l'échéance","Aucune action"),IF((p_asof-E170)&lt;=15,"Relance 1 : e-mail de rappel",IF((p_asof-E170)&lt;=30,"Relance 2 : appel téléphonique",IF((p_asof-E170)&lt;=60,"Relance 3 : lettre de relance",IF((p_asof-E170)&lt;=90,"Mise en demeure (recommandé)","Contentieux : injonction de payer")))))))</f>
        <v/>
      </c>
      <c r="M170" t="str">
        <f>IFERROR(MATCH(139,fa_rank,0),"")</f>
        <v/>
      </c>
    </row>
    <row r="171">
      <c r="B171" s="78" t="str">
        <f>IF($M171="","",INDEX(fa_num,$M171)&amp;"")</f>
        <v/>
      </c>
      <c r="C171" s="79" t="str">
        <f>IF($M171="","",INDEX(fa_cname,$M171)&amp;"")</f>
        <v/>
      </c>
      <c r="D171" s="56" t="str">
        <f>IF($M171="","",INDEX(fa_date,$M171))</f>
        <v/>
      </c>
      <c r="E171" s="56" t="str">
        <f>IF($M171="","",INDEX(fa_due,$M171))</f>
        <v/>
      </c>
      <c r="F171" s="75" t="str">
        <f>IF($M171="","",INDEX(fa_ttc,$M171))</f>
        <v/>
      </c>
      <c r="G171" s="75" t="str">
        <f>IF($M171="","",INDEX(fa_paid,$M171)+INDEX(fa_avoirs,$M171))</f>
        <v/>
      </c>
      <c r="H171" s="75" t="str">
        <f>IF($M171="","",INDEX(fa_reste,$M171))</f>
        <v/>
      </c>
      <c r="I171" s="58" t="str">
        <f>IF($M171="","",MAX(0,p_asof-E171))</f>
        <v/>
      </c>
      <c r="J171" s="78" t="str">
        <f>IF($M171="","",INDEX(fa_tranche,$M171)&amp;"")</f>
        <v/>
      </c>
      <c r="K171" s="56" t="str">
        <f>IF($M171="","",IF(ISNUMBER(INDEX(fa_relance,$M171)),INDEX(fa_relance,$M171),""))</f>
        <v/>
      </c>
      <c r="L171" s="79" t="str">
        <f>IF($M171="","",IF(AND(ISNUMBER(K171),(p_asof-E171)&gt;0,(p_asof-N(K171))&gt;=0,(p_asof-N(K171))&lt;7),"Déjà relancée il y a "&amp;(p_asof-N(K171))&amp;" j",IF((p_asof-E171)&lt;=0,IF((p_asof-E171)&gt;-8,"Rappel courtois avant l'échéance","Aucune action"),IF((p_asof-E171)&lt;=15,"Relance 1 : e-mail de rappel",IF((p_asof-E171)&lt;=30,"Relance 2 : appel téléphonique",IF((p_asof-E171)&lt;=60,"Relance 3 : lettre de relance",IF((p_asof-E171)&lt;=90,"Mise en demeure (recommandé)","Contentieux : injonction de payer")))))))</f>
        <v/>
      </c>
      <c r="M171" t="str">
        <f>IFERROR(MATCH(140,fa_rank,0),"")</f>
        <v/>
      </c>
    </row>
    <row r="172">
      <c r="B172" s="78" t="str">
        <f>IF($M172="","",INDEX(fa_num,$M172)&amp;"")</f>
        <v/>
      </c>
      <c r="C172" s="79" t="str">
        <f>IF($M172="","",INDEX(fa_cname,$M172)&amp;"")</f>
        <v/>
      </c>
      <c r="D172" s="56" t="str">
        <f>IF($M172="","",INDEX(fa_date,$M172))</f>
        <v/>
      </c>
      <c r="E172" s="56" t="str">
        <f>IF($M172="","",INDEX(fa_due,$M172))</f>
        <v/>
      </c>
      <c r="F172" s="75" t="str">
        <f>IF($M172="","",INDEX(fa_ttc,$M172))</f>
        <v/>
      </c>
      <c r="G172" s="75" t="str">
        <f>IF($M172="","",INDEX(fa_paid,$M172)+INDEX(fa_avoirs,$M172))</f>
        <v/>
      </c>
      <c r="H172" s="75" t="str">
        <f>IF($M172="","",INDEX(fa_reste,$M172))</f>
        <v/>
      </c>
      <c r="I172" s="58" t="str">
        <f>IF($M172="","",MAX(0,p_asof-E172))</f>
        <v/>
      </c>
      <c r="J172" s="78" t="str">
        <f>IF($M172="","",INDEX(fa_tranche,$M172)&amp;"")</f>
        <v/>
      </c>
      <c r="K172" s="56" t="str">
        <f>IF($M172="","",IF(ISNUMBER(INDEX(fa_relance,$M172)),INDEX(fa_relance,$M172),""))</f>
        <v/>
      </c>
      <c r="L172" s="79" t="str">
        <f>IF($M172="","",IF(AND(ISNUMBER(K172),(p_asof-E172)&gt;0,(p_asof-N(K172))&gt;=0,(p_asof-N(K172))&lt;7),"Déjà relancée il y a "&amp;(p_asof-N(K172))&amp;" j",IF((p_asof-E172)&lt;=0,IF((p_asof-E172)&gt;-8,"Rappel courtois avant l'échéance","Aucune action"),IF((p_asof-E172)&lt;=15,"Relance 1 : e-mail de rappel",IF((p_asof-E172)&lt;=30,"Relance 2 : appel téléphonique",IF((p_asof-E172)&lt;=60,"Relance 3 : lettre de relance",IF((p_asof-E172)&lt;=90,"Mise en demeure (recommandé)","Contentieux : injonction de payer")))))))</f>
        <v/>
      </c>
      <c r="M172" t="str">
        <f>IFERROR(MATCH(141,fa_rank,0),"")</f>
        <v/>
      </c>
    </row>
    <row r="173">
      <c r="B173" s="78" t="str">
        <f>IF($M173="","",INDEX(fa_num,$M173)&amp;"")</f>
        <v/>
      </c>
      <c r="C173" s="79" t="str">
        <f>IF($M173="","",INDEX(fa_cname,$M173)&amp;"")</f>
        <v/>
      </c>
      <c r="D173" s="56" t="str">
        <f>IF($M173="","",INDEX(fa_date,$M173))</f>
        <v/>
      </c>
      <c r="E173" s="56" t="str">
        <f>IF($M173="","",INDEX(fa_due,$M173))</f>
        <v/>
      </c>
      <c r="F173" s="75" t="str">
        <f>IF($M173="","",INDEX(fa_ttc,$M173))</f>
        <v/>
      </c>
      <c r="G173" s="75" t="str">
        <f>IF($M173="","",INDEX(fa_paid,$M173)+INDEX(fa_avoirs,$M173))</f>
        <v/>
      </c>
      <c r="H173" s="75" t="str">
        <f>IF($M173="","",INDEX(fa_reste,$M173))</f>
        <v/>
      </c>
      <c r="I173" s="58" t="str">
        <f>IF($M173="","",MAX(0,p_asof-E173))</f>
        <v/>
      </c>
      <c r="J173" s="78" t="str">
        <f>IF($M173="","",INDEX(fa_tranche,$M173)&amp;"")</f>
        <v/>
      </c>
      <c r="K173" s="56" t="str">
        <f>IF($M173="","",IF(ISNUMBER(INDEX(fa_relance,$M173)),INDEX(fa_relance,$M173),""))</f>
        <v/>
      </c>
      <c r="L173" s="79" t="str">
        <f>IF($M173="","",IF(AND(ISNUMBER(K173),(p_asof-E173)&gt;0,(p_asof-N(K173))&gt;=0,(p_asof-N(K173))&lt;7),"Déjà relancée il y a "&amp;(p_asof-N(K173))&amp;" j",IF((p_asof-E173)&lt;=0,IF((p_asof-E173)&gt;-8,"Rappel courtois avant l'échéance","Aucune action"),IF((p_asof-E173)&lt;=15,"Relance 1 : e-mail de rappel",IF((p_asof-E173)&lt;=30,"Relance 2 : appel téléphonique",IF((p_asof-E173)&lt;=60,"Relance 3 : lettre de relance",IF((p_asof-E173)&lt;=90,"Mise en demeure (recommandé)","Contentieux : injonction de payer")))))))</f>
        <v/>
      </c>
      <c r="M173" t="str">
        <f>IFERROR(MATCH(142,fa_rank,0),"")</f>
        <v/>
      </c>
    </row>
    <row r="174">
      <c r="B174" s="78" t="str">
        <f>IF($M174="","",INDEX(fa_num,$M174)&amp;"")</f>
        <v/>
      </c>
      <c r="C174" s="79" t="str">
        <f>IF($M174="","",INDEX(fa_cname,$M174)&amp;"")</f>
        <v/>
      </c>
      <c r="D174" s="56" t="str">
        <f>IF($M174="","",INDEX(fa_date,$M174))</f>
        <v/>
      </c>
      <c r="E174" s="56" t="str">
        <f>IF($M174="","",INDEX(fa_due,$M174))</f>
        <v/>
      </c>
      <c r="F174" s="75" t="str">
        <f>IF($M174="","",INDEX(fa_ttc,$M174))</f>
        <v/>
      </c>
      <c r="G174" s="75" t="str">
        <f>IF($M174="","",INDEX(fa_paid,$M174)+INDEX(fa_avoirs,$M174))</f>
        <v/>
      </c>
      <c r="H174" s="75" t="str">
        <f>IF($M174="","",INDEX(fa_reste,$M174))</f>
        <v/>
      </c>
      <c r="I174" s="58" t="str">
        <f>IF($M174="","",MAX(0,p_asof-E174))</f>
        <v/>
      </c>
      <c r="J174" s="78" t="str">
        <f>IF($M174="","",INDEX(fa_tranche,$M174)&amp;"")</f>
        <v/>
      </c>
      <c r="K174" s="56" t="str">
        <f>IF($M174="","",IF(ISNUMBER(INDEX(fa_relance,$M174)),INDEX(fa_relance,$M174),""))</f>
        <v/>
      </c>
      <c r="L174" s="79" t="str">
        <f>IF($M174="","",IF(AND(ISNUMBER(K174),(p_asof-E174)&gt;0,(p_asof-N(K174))&gt;=0,(p_asof-N(K174))&lt;7),"Déjà relancée il y a "&amp;(p_asof-N(K174))&amp;" j",IF((p_asof-E174)&lt;=0,IF((p_asof-E174)&gt;-8,"Rappel courtois avant l'échéance","Aucune action"),IF((p_asof-E174)&lt;=15,"Relance 1 : e-mail de rappel",IF((p_asof-E174)&lt;=30,"Relance 2 : appel téléphonique",IF((p_asof-E174)&lt;=60,"Relance 3 : lettre de relance",IF((p_asof-E174)&lt;=90,"Mise en demeure (recommandé)","Contentieux : injonction de payer")))))))</f>
        <v/>
      </c>
      <c r="M174" t="str">
        <f>IFERROR(MATCH(143,fa_rank,0),"")</f>
        <v/>
      </c>
    </row>
    <row r="175">
      <c r="B175" s="78" t="str">
        <f>IF($M175="","",INDEX(fa_num,$M175)&amp;"")</f>
        <v/>
      </c>
      <c r="C175" s="79" t="str">
        <f>IF($M175="","",INDEX(fa_cname,$M175)&amp;"")</f>
        <v/>
      </c>
      <c r="D175" s="56" t="str">
        <f>IF($M175="","",INDEX(fa_date,$M175))</f>
        <v/>
      </c>
      <c r="E175" s="56" t="str">
        <f>IF($M175="","",INDEX(fa_due,$M175))</f>
        <v/>
      </c>
      <c r="F175" s="75" t="str">
        <f>IF($M175="","",INDEX(fa_ttc,$M175))</f>
        <v/>
      </c>
      <c r="G175" s="75" t="str">
        <f>IF($M175="","",INDEX(fa_paid,$M175)+INDEX(fa_avoirs,$M175))</f>
        <v/>
      </c>
      <c r="H175" s="75" t="str">
        <f>IF($M175="","",INDEX(fa_reste,$M175))</f>
        <v/>
      </c>
      <c r="I175" s="58" t="str">
        <f>IF($M175="","",MAX(0,p_asof-E175))</f>
        <v/>
      </c>
      <c r="J175" s="78" t="str">
        <f>IF($M175="","",INDEX(fa_tranche,$M175)&amp;"")</f>
        <v/>
      </c>
      <c r="K175" s="56" t="str">
        <f>IF($M175="","",IF(ISNUMBER(INDEX(fa_relance,$M175)),INDEX(fa_relance,$M175),""))</f>
        <v/>
      </c>
      <c r="L175" s="79" t="str">
        <f>IF($M175="","",IF(AND(ISNUMBER(K175),(p_asof-E175)&gt;0,(p_asof-N(K175))&gt;=0,(p_asof-N(K175))&lt;7),"Déjà relancée il y a "&amp;(p_asof-N(K175))&amp;" j",IF((p_asof-E175)&lt;=0,IF((p_asof-E175)&gt;-8,"Rappel courtois avant l'échéance","Aucune action"),IF((p_asof-E175)&lt;=15,"Relance 1 : e-mail de rappel",IF((p_asof-E175)&lt;=30,"Relance 2 : appel téléphonique",IF((p_asof-E175)&lt;=60,"Relance 3 : lettre de relance",IF((p_asof-E175)&lt;=90,"Mise en demeure (recommandé)","Contentieux : injonction de payer")))))))</f>
        <v/>
      </c>
      <c r="M175" t="str">
        <f>IFERROR(MATCH(144,fa_rank,0),"")</f>
        <v/>
      </c>
    </row>
    <row r="176">
      <c r="B176" s="78" t="str">
        <f>IF($M176="","",INDEX(fa_num,$M176)&amp;"")</f>
        <v/>
      </c>
      <c r="C176" s="79" t="str">
        <f>IF($M176="","",INDEX(fa_cname,$M176)&amp;"")</f>
        <v/>
      </c>
      <c r="D176" s="56" t="str">
        <f>IF($M176="","",INDEX(fa_date,$M176))</f>
        <v/>
      </c>
      <c r="E176" s="56" t="str">
        <f>IF($M176="","",INDEX(fa_due,$M176))</f>
        <v/>
      </c>
      <c r="F176" s="75" t="str">
        <f>IF($M176="","",INDEX(fa_ttc,$M176))</f>
        <v/>
      </c>
      <c r="G176" s="75" t="str">
        <f>IF($M176="","",INDEX(fa_paid,$M176)+INDEX(fa_avoirs,$M176))</f>
        <v/>
      </c>
      <c r="H176" s="75" t="str">
        <f>IF($M176="","",INDEX(fa_reste,$M176))</f>
        <v/>
      </c>
      <c r="I176" s="58" t="str">
        <f>IF($M176="","",MAX(0,p_asof-E176))</f>
        <v/>
      </c>
      <c r="J176" s="78" t="str">
        <f>IF($M176="","",INDEX(fa_tranche,$M176)&amp;"")</f>
        <v/>
      </c>
      <c r="K176" s="56" t="str">
        <f>IF($M176="","",IF(ISNUMBER(INDEX(fa_relance,$M176)),INDEX(fa_relance,$M176),""))</f>
        <v/>
      </c>
      <c r="L176" s="79" t="str">
        <f>IF($M176="","",IF(AND(ISNUMBER(K176),(p_asof-E176)&gt;0,(p_asof-N(K176))&gt;=0,(p_asof-N(K176))&lt;7),"Déjà relancée il y a "&amp;(p_asof-N(K176))&amp;" j",IF((p_asof-E176)&lt;=0,IF((p_asof-E176)&gt;-8,"Rappel courtois avant l'échéance","Aucune action"),IF((p_asof-E176)&lt;=15,"Relance 1 : e-mail de rappel",IF((p_asof-E176)&lt;=30,"Relance 2 : appel téléphonique",IF((p_asof-E176)&lt;=60,"Relance 3 : lettre de relance",IF((p_asof-E176)&lt;=90,"Mise en demeure (recommandé)","Contentieux : injonction de payer")))))))</f>
        <v/>
      </c>
      <c r="M176" t="str">
        <f>IFERROR(MATCH(145,fa_rank,0),"")</f>
        <v/>
      </c>
    </row>
    <row r="177">
      <c r="B177" s="78" t="str">
        <f>IF($M177="","",INDEX(fa_num,$M177)&amp;"")</f>
        <v/>
      </c>
      <c r="C177" s="79" t="str">
        <f>IF($M177="","",INDEX(fa_cname,$M177)&amp;"")</f>
        <v/>
      </c>
      <c r="D177" s="56" t="str">
        <f>IF($M177="","",INDEX(fa_date,$M177))</f>
        <v/>
      </c>
      <c r="E177" s="56" t="str">
        <f>IF($M177="","",INDEX(fa_due,$M177))</f>
        <v/>
      </c>
      <c r="F177" s="75" t="str">
        <f>IF($M177="","",INDEX(fa_ttc,$M177))</f>
        <v/>
      </c>
      <c r="G177" s="75" t="str">
        <f>IF($M177="","",INDEX(fa_paid,$M177)+INDEX(fa_avoirs,$M177))</f>
        <v/>
      </c>
      <c r="H177" s="75" t="str">
        <f>IF($M177="","",INDEX(fa_reste,$M177))</f>
        <v/>
      </c>
      <c r="I177" s="58" t="str">
        <f>IF($M177="","",MAX(0,p_asof-E177))</f>
        <v/>
      </c>
      <c r="J177" s="78" t="str">
        <f>IF($M177="","",INDEX(fa_tranche,$M177)&amp;"")</f>
        <v/>
      </c>
      <c r="K177" s="56" t="str">
        <f>IF($M177="","",IF(ISNUMBER(INDEX(fa_relance,$M177)),INDEX(fa_relance,$M177),""))</f>
        <v/>
      </c>
      <c r="L177" s="79" t="str">
        <f>IF($M177="","",IF(AND(ISNUMBER(K177),(p_asof-E177)&gt;0,(p_asof-N(K177))&gt;=0,(p_asof-N(K177))&lt;7),"Déjà relancée il y a "&amp;(p_asof-N(K177))&amp;" j",IF((p_asof-E177)&lt;=0,IF((p_asof-E177)&gt;-8,"Rappel courtois avant l'échéance","Aucune action"),IF((p_asof-E177)&lt;=15,"Relance 1 : e-mail de rappel",IF((p_asof-E177)&lt;=30,"Relance 2 : appel téléphonique",IF((p_asof-E177)&lt;=60,"Relance 3 : lettre de relance",IF((p_asof-E177)&lt;=90,"Mise en demeure (recommandé)","Contentieux : injonction de payer")))))))</f>
        <v/>
      </c>
      <c r="M177" t="str">
        <f>IFERROR(MATCH(146,fa_rank,0),"")</f>
        <v/>
      </c>
    </row>
    <row r="178">
      <c r="B178" s="78" t="str">
        <f>IF($M178="","",INDEX(fa_num,$M178)&amp;"")</f>
        <v/>
      </c>
      <c r="C178" s="79" t="str">
        <f>IF($M178="","",INDEX(fa_cname,$M178)&amp;"")</f>
        <v/>
      </c>
      <c r="D178" s="56" t="str">
        <f>IF($M178="","",INDEX(fa_date,$M178))</f>
        <v/>
      </c>
      <c r="E178" s="56" t="str">
        <f>IF($M178="","",INDEX(fa_due,$M178))</f>
        <v/>
      </c>
      <c r="F178" s="75" t="str">
        <f>IF($M178="","",INDEX(fa_ttc,$M178))</f>
        <v/>
      </c>
      <c r="G178" s="75" t="str">
        <f>IF($M178="","",INDEX(fa_paid,$M178)+INDEX(fa_avoirs,$M178))</f>
        <v/>
      </c>
      <c r="H178" s="75" t="str">
        <f>IF($M178="","",INDEX(fa_reste,$M178))</f>
        <v/>
      </c>
      <c r="I178" s="58" t="str">
        <f>IF($M178="","",MAX(0,p_asof-E178))</f>
        <v/>
      </c>
      <c r="J178" s="78" t="str">
        <f>IF($M178="","",INDEX(fa_tranche,$M178)&amp;"")</f>
        <v/>
      </c>
      <c r="K178" s="56" t="str">
        <f>IF($M178="","",IF(ISNUMBER(INDEX(fa_relance,$M178)),INDEX(fa_relance,$M178),""))</f>
        <v/>
      </c>
      <c r="L178" s="79" t="str">
        <f>IF($M178="","",IF(AND(ISNUMBER(K178),(p_asof-E178)&gt;0,(p_asof-N(K178))&gt;=0,(p_asof-N(K178))&lt;7),"Déjà relancée il y a "&amp;(p_asof-N(K178))&amp;" j",IF((p_asof-E178)&lt;=0,IF((p_asof-E178)&gt;-8,"Rappel courtois avant l'échéance","Aucune action"),IF((p_asof-E178)&lt;=15,"Relance 1 : e-mail de rappel",IF((p_asof-E178)&lt;=30,"Relance 2 : appel téléphonique",IF((p_asof-E178)&lt;=60,"Relance 3 : lettre de relance",IF((p_asof-E178)&lt;=90,"Mise en demeure (recommandé)","Contentieux : injonction de payer")))))))</f>
        <v/>
      </c>
      <c r="M178" t="str">
        <f>IFERROR(MATCH(147,fa_rank,0),"")</f>
        <v/>
      </c>
    </row>
    <row r="179">
      <c r="B179" s="78" t="str">
        <f>IF($M179="","",INDEX(fa_num,$M179)&amp;"")</f>
        <v/>
      </c>
      <c r="C179" s="79" t="str">
        <f>IF($M179="","",INDEX(fa_cname,$M179)&amp;"")</f>
        <v/>
      </c>
      <c r="D179" s="56" t="str">
        <f>IF($M179="","",INDEX(fa_date,$M179))</f>
        <v/>
      </c>
      <c r="E179" s="56" t="str">
        <f>IF($M179="","",INDEX(fa_due,$M179))</f>
        <v/>
      </c>
      <c r="F179" s="75" t="str">
        <f>IF($M179="","",INDEX(fa_ttc,$M179))</f>
        <v/>
      </c>
      <c r="G179" s="75" t="str">
        <f>IF($M179="","",INDEX(fa_paid,$M179)+INDEX(fa_avoirs,$M179))</f>
        <v/>
      </c>
      <c r="H179" s="75" t="str">
        <f>IF($M179="","",INDEX(fa_reste,$M179))</f>
        <v/>
      </c>
      <c r="I179" s="58" t="str">
        <f>IF($M179="","",MAX(0,p_asof-E179))</f>
        <v/>
      </c>
      <c r="J179" s="78" t="str">
        <f>IF($M179="","",INDEX(fa_tranche,$M179)&amp;"")</f>
        <v/>
      </c>
      <c r="K179" s="56" t="str">
        <f>IF($M179="","",IF(ISNUMBER(INDEX(fa_relance,$M179)),INDEX(fa_relance,$M179),""))</f>
        <v/>
      </c>
      <c r="L179" s="79" t="str">
        <f>IF($M179="","",IF(AND(ISNUMBER(K179),(p_asof-E179)&gt;0,(p_asof-N(K179))&gt;=0,(p_asof-N(K179))&lt;7),"Déjà relancée il y a "&amp;(p_asof-N(K179))&amp;" j",IF((p_asof-E179)&lt;=0,IF((p_asof-E179)&gt;-8,"Rappel courtois avant l'échéance","Aucune action"),IF((p_asof-E179)&lt;=15,"Relance 1 : e-mail de rappel",IF((p_asof-E179)&lt;=30,"Relance 2 : appel téléphonique",IF((p_asof-E179)&lt;=60,"Relance 3 : lettre de relance",IF((p_asof-E179)&lt;=90,"Mise en demeure (recommandé)","Contentieux : injonction de payer")))))))</f>
        <v/>
      </c>
      <c r="M179" t="str">
        <f>IFERROR(MATCH(148,fa_rank,0),"")</f>
        <v/>
      </c>
    </row>
    <row r="180">
      <c r="B180" s="78" t="str">
        <f>IF($M180="","",INDEX(fa_num,$M180)&amp;"")</f>
        <v/>
      </c>
      <c r="C180" s="79" t="str">
        <f>IF($M180="","",INDEX(fa_cname,$M180)&amp;"")</f>
        <v/>
      </c>
      <c r="D180" s="56" t="str">
        <f>IF($M180="","",INDEX(fa_date,$M180))</f>
        <v/>
      </c>
      <c r="E180" s="56" t="str">
        <f>IF($M180="","",INDEX(fa_due,$M180))</f>
        <v/>
      </c>
      <c r="F180" s="75" t="str">
        <f>IF($M180="","",INDEX(fa_ttc,$M180))</f>
        <v/>
      </c>
      <c r="G180" s="75" t="str">
        <f>IF($M180="","",INDEX(fa_paid,$M180)+INDEX(fa_avoirs,$M180))</f>
        <v/>
      </c>
      <c r="H180" s="75" t="str">
        <f>IF($M180="","",INDEX(fa_reste,$M180))</f>
        <v/>
      </c>
      <c r="I180" s="58" t="str">
        <f>IF($M180="","",MAX(0,p_asof-E180))</f>
        <v/>
      </c>
      <c r="J180" s="78" t="str">
        <f>IF($M180="","",INDEX(fa_tranche,$M180)&amp;"")</f>
        <v/>
      </c>
      <c r="K180" s="56" t="str">
        <f>IF($M180="","",IF(ISNUMBER(INDEX(fa_relance,$M180)),INDEX(fa_relance,$M180),""))</f>
        <v/>
      </c>
      <c r="L180" s="79" t="str">
        <f>IF($M180="","",IF(AND(ISNUMBER(K180),(p_asof-E180)&gt;0,(p_asof-N(K180))&gt;=0,(p_asof-N(K180))&lt;7),"Déjà relancée il y a "&amp;(p_asof-N(K180))&amp;" j",IF((p_asof-E180)&lt;=0,IF((p_asof-E180)&gt;-8,"Rappel courtois avant l'échéance","Aucune action"),IF((p_asof-E180)&lt;=15,"Relance 1 : e-mail de rappel",IF((p_asof-E180)&lt;=30,"Relance 2 : appel téléphonique",IF((p_asof-E180)&lt;=60,"Relance 3 : lettre de relance",IF((p_asof-E180)&lt;=90,"Mise en demeure (recommandé)","Contentieux : injonction de payer")))))))</f>
        <v/>
      </c>
      <c r="M180" t="str">
        <f>IFERROR(MATCH(149,fa_rank,0),"")</f>
        <v/>
      </c>
    </row>
    <row r="181">
      <c r="B181" s="78" t="str">
        <f>IF($M181="","",INDEX(fa_num,$M181)&amp;"")</f>
        <v/>
      </c>
      <c r="C181" s="79" t="str">
        <f>IF($M181="","",INDEX(fa_cname,$M181)&amp;"")</f>
        <v/>
      </c>
      <c r="D181" s="56" t="str">
        <f>IF($M181="","",INDEX(fa_date,$M181))</f>
        <v/>
      </c>
      <c r="E181" s="56" t="str">
        <f>IF($M181="","",INDEX(fa_due,$M181))</f>
        <v/>
      </c>
      <c r="F181" s="75" t="str">
        <f>IF($M181="","",INDEX(fa_ttc,$M181))</f>
        <v/>
      </c>
      <c r="G181" s="75" t="str">
        <f>IF($M181="","",INDEX(fa_paid,$M181)+INDEX(fa_avoirs,$M181))</f>
        <v/>
      </c>
      <c r="H181" s="75" t="str">
        <f>IF($M181="","",INDEX(fa_reste,$M181))</f>
        <v/>
      </c>
      <c r="I181" s="58" t="str">
        <f>IF($M181="","",MAX(0,p_asof-E181))</f>
        <v/>
      </c>
      <c r="J181" s="78" t="str">
        <f>IF($M181="","",INDEX(fa_tranche,$M181)&amp;"")</f>
        <v/>
      </c>
      <c r="K181" s="56" t="str">
        <f>IF($M181="","",IF(ISNUMBER(INDEX(fa_relance,$M181)),INDEX(fa_relance,$M181),""))</f>
        <v/>
      </c>
      <c r="L181" s="79" t="str">
        <f>IF($M181="","",IF(AND(ISNUMBER(K181),(p_asof-E181)&gt;0,(p_asof-N(K181))&gt;=0,(p_asof-N(K181))&lt;7),"Déjà relancée il y a "&amp;(p_asof-N(K181))&amp;" j",IF((p_asof-E181)&lt;=0,IF((p_asof-E181)&gt;-8,"Rappel courtois avant l'échéance","Aucune action"),IF((p_asof-E181)&lt;=15,"Relance 1 : e-mail de rappel",IF((p_asof-E181)&lt;=30,"Relance 2 : appel téléphonique",IF((p_asof-E181)&lt;=60,"Relance 3 : lettre de relance",IF((p_asof-E181)&lt;=90,"Mise en demeure (recommandé)","Contentieux : injonction de payer")))))))</f>
        <v/>
      </c>
      <c r="M181" t="str">
        <f>IFERROR(MATCH(150,fa_rank,0),"")</f>
        <v/>
      </c>
    </row>
    <row r="182">
      <c r="B182" s="78" t="str">
        <f>IF($M182="","",INDEX(fa_num,$M182)&amp;"")</f>
        <v/>
      </c>
      <c r="C182" s="79" t="str">
        <f>IF($M182="","",INDEX(fa_cname,$M182)&amp;"")</f>
        <v/>
      </c>
      <c r="D182" s="56" t="str">
        <f>IF($M182="","",INDEX(fa_date,$M182))</f>
        <v/>
      </c>
      <c r="E182" s="56" t="str">
        <f>IF($M182="","",INDEX(fa_due,$M182))</f>
        <v/>
      </c>
      <c r="F182" s="75" t="str">
        <f>IF($M182="","",INDEX(fa_ttc,$M182))</f>
        <v/>
      </c>
      <c r="G182" s="75" t="str">
        <f>IF($M182="","",INDEX(fa_paid,$M182)+INDEX(fa_avoirs,$M182))</f>
        <v/>
      </c>
      <c r="H182" s="75" t="str">
        <f>IF($M182="","",INDEX(fa_reste,$M182))</f>
        <v/>
      </c>
      <c r="I182" s="58" t="str">
        <f>IF($M182="","",MAX(0,p_asof-E182))</f>
        <v/>
      </c>
      <c r="J182" s="78" t="str">
        <f>IF($M182="","",INDEX(fa_tranche,$M182)&amp;"")</f>
        <v/>
      </c>
      <c r="K182" s="56" t="str">
        <f>IF($M182="","",IF(ISNUMBER(INDEX(fa_relance,$M182)),INDEX(fa_relance,$M182),""))</f>
        <v/>
      </c>
      <c r="L182" s="79" t="str">
        <f>IF($M182="","",IF(AND(ISNUMBER(K182),(p_asof-E182)&gt;0,(p_asof-N(K182))&gt;=0,(p_asof-N(K182))&lt;7),"Déjà relancée il y a "&amp;(p_asof-N(K182))&amp;" j",IF((p_asof-E182)&lt;=0,IF((p_asof-E182)&gt;-8,"Rappel courtois avant l'échéance","Aucune action"),IF((p_asof-E182)&lt;=15,"Relance 1 : e-mail de rappel",IF((p_asof-E182)&lt;=30,"Relance 2 : appel téléphonique",IF((p_asof-E182)&lt;=60,"Relance 3 : lettre de relance",IF((p_asof-E182)&lt;=90,"Mise en demeure (recommandé)","Contentieux : injonction de payer")))))))</f>
        <v/>
      </c>
      <c r="M182" t="str">
        <f>IFERROR(MATCH(151,fa_rank,0),"")</f>
        <v/>
      </c>
    </row>
    <row r="183">
      <c r="B183" s="78" t="str">
        <f>IF($M183="","",INDEX(fa_num,$M183)&amp;"")</f>
        <v/>
      </c>
      <c r="C183" s="79" t="str">
        <f>IF($M183="","",INDEX(fa_cname,$M183)&amp;"")</f>
        <v/>
      </c>
      <c r="D183" s="56" t="str">
        <f>IF($M183="","",INDEX(fa_date,$M183))</f>
        <v/>
      </c>
      <c r="E183" s="56" t="str">
        <f>IF($M183="","",INDEX(fa_due,$M183))</f>
        <v/>
      </c>
      <c r="F183" s="75" t="str">
        <f>IF($M183="","",INDEX(fa_ttc,$M183))</f>
        <v/>
      </c>
      <c r="G183" s="75" t="str">
        <f>IF($M183="","",INDEX(fa_paid,$M183)+INDEX(fa_avoirs,$M183))</f>
        <v/>
      </c>
      <c r="H183" s="75" t="str">
        <f>IF($M183="","",INDEX(fa_reste,$M183))</f>
        <v/>
      </c>
      <c r="I183" s="58" t="str">
        <f>IF($M183="","",MAX(0,p_asof-E183))</f>
        <v/>
      </c>
      <c r="J183" s="78" t="str">
        <f>IF($M183="","",INDEX(fa_tranche,$M183)&amp;"")</f>
        <v/>
      </c>
      <c r="K183" s="56" t="str">
        <f>IF($M183="","",IF(ISNUMBER(INDEX(fa_relance,$M183)),INDEX(fa_relance,$M183),""))</f>
        <v/>
      </c>
      <c r="L183" s="79" t="str">
        <f>IF($M183="","",IF(AND(ISNUMBER(K183),(p_asof-E183)&gt;0,(p_asof-N(K183))&gt;=0,(p_asof-N(K183))&lt;7),"Déjà relancée il y a "&amp;(p_asof-N(K183))&amp;" j",IF((p_asof-E183)&lt;=0,IF((p_asof-E183)&gt;-8,"Rappel courtois avant l'échéance","Aucune action"),IF((p_asof-E183)&lt;=15,"Relance 1 : e-mail de rappel",IF((p_asof-E183)&lt;=30,"Relance 2 : appel téléphonique",IF((p_asof-E183)&lt;=60,"Relance 3 : lettre de relance",IF((p_asof-E183)&lt;=90,"Mise en demeure (recommandé)","Contentieux : injonction de payer")))))))</f>
        <v/>
      </c>
      <c r="M183" t="str">
        <f>IFERROR(MATCH(152,fa_rank,0),"")</f>
        <v/>
      </c>
    </row>
    <row r="184">
      <c r="B184" s="78" t="str">
        <f>IF($M184="","",INDEX(fa_num,$M184)&amp;"")</f>
        <v/>
      </c>
      <c r="C184" s="79" t="str">
        <f>IF($M184="","",INDEX(fa_cname,$M184)&amp;"")</f>
        <v/>
      </c>
      <c r="D184" s="56" t="str">
        <f>IF($M184="","",INDEX(fa_date,$M184))</f>
        <v/>
      </c>
      <c r="E184" s="56" t="str">
        <f>IF($M184="","",INDEX(fa_due,$M184))</f>
        <v/>
      </c>
      <c r="F184" s="75" t="str">
        <f>IF($M184="","",INDEX(fa_ttc,$M184))</f>
        <v/>
      </c>
      <c r="G184" s="75" t="str">
        <f>IF($M184="","",INDEX(fa_paid,$M184)+INDEX(fa_avoirs,$M184))</f>
        <v/>
      </c>
      <c r="H184" s="75" t="str">
        <f>IF($M184="","",INDEX(fa_reste,$M184))</f>
        <v/>
      </c>
      <c r="I184" s="58" t="str">
        <f>IF($M184="","",MAX(0,p_asof-E184))</f>
        <v/>
      </c>
      <c r="J184" s="78" t="str">
        <f>IF($M184="","",INDEX(fa_tranche,$M184)&amp;"")</f>
        <v/>
      </c>
      <c r="K184" s="56" t="str">
        <f>IF($M184="","",IF(ISNUMBER(INDEX(fa_relance,$M184)),INDEX(fa_relance,$M184),""))</f>
        <v/>
      </c>
      <c r="L184" s="79" t="str">
        <f>IF($M184="","",IF(AND(ISNUMBER(K184),(p_asof-E184)&gt;0,(p_asof-N(K184))&gt;=0,(p_asof-N(K184))&lt;7),"Déjà relancée il y a "&amp;(p_asof-N(K184))&amp;" j",IF((p_asof-E184)&lt;=0,IF((p_asof-E184)&gt;-8,"Rappel courtois avant l'échéance","Aucune action"),IF((p_asof-E184)&lt;=15,"Relance 1 : e-mail de rappel",IF((p_asof-E184)&lt;=30,"Relance 2 : appel téléphonique",IF((p_asof-E184)&lt;=60,"Relance 3 : lettre de relance",IF((p_asof-E184)&lt;=90,"Mise en demeure (recommandé)","Contentieux : injonction de payer")))))))</f>
        <v/>
      </c>
      <c r="M184" t="str">
        <f>IFERROR(MATCH(153,fa_rank,0),"")</f>
        <v/>
      </c>
    </row>
    <row r="185">
      <c r="B185" s="78" t="str">
        <f>IF($M185="","",INDEX(fa_num,$M185)&amp;"")</f>
        <v/>
      </c>
      <c r="C185" s="79" t="str">
        <f>IF($M185="","",INDEX(fa_cname,$M185)&amp;"")</f>
        <v/>
      </c>
      <c r="D185" s="56" t="str">
        <f>IF($M185="","",INDEX(fa_date,$M185))</f>
        <v/>
      </c>
      <c r="E185" s="56" t="str">
        <f>IF($M185="","",INDEX(fa_due,$M185))</f>
        <v/>
      </c>
      <c r="F185" s="75" t="str">
        <f>IF($M185="","",INDEX(fa_ttc,$M185))</f>
        <v/>
      </c>
      <c r="G185" s="75" t="str">
        <f>IF($M185="","",INDEX(fa_paid,$M185)+INDEX(fa_avoirs,$M185))</f>
        <v/>
      </c>
      <c r="H185" s="75" t="str">
        <f>IF($M185="","",INDEX(fa_reste,$M185))</f>
        <v/>
      </c>
      <c r="I185" s="58" t="str">
        <f>IF($M185="","",MAX(0,p_asof-E185))</f>
        <v/>
      </c>
      <c r="J185" s="78" t="str">
        <f>IF($M185="","",INDEX(fa_tranche,$M185)&amp;"")</f>
        <v/>
      </c>
      <c r="K185" s="56" t="str">
        <f>IF($M185="","",IF(ISNUMBER(INDEX(fa_relance,$M185)),INDEX(fa_relance,$M185),""))</f>
        <v/>
      </c>
      <c r="L185" s="79" t="str">
        <f>IF($M185="","",IF(AND(ISNUMBER(K185),(p_asof-E185)&gt;0,(p_asof-N(K185))&gt;=0,(p_asof-N(K185))&lt;7),"Déjà relancée il y a "&amp;(p_asof-N(K185))&amp;" j",IF((p_asof-E185)&lt;=0,IF((p_asof-E185)&gt;-8,"Rappel courtois avant l'échéance","Aucune action"),IF((p_asof-E185)&lt;=15,"Relance 1 : e-mail de rappel",IF((p_asof-E185)&lt;=30,"Relance 2 : appel téléphonique",IF((p_asof-E185)&lt;=60,"Relance 3 : lettre de relance",IF((p_asof-E185)&lt;=90,"Mise en demeure (recommandé)","Contentieux : injonction de payer")))))))</f>
        <v/>
      </c>
      <c r="M185" t="str">
        <f>IFERROR(MATCH(154,fa_rank,0),"")</f>
        <v/>
      </c>
    </row>
    <row r="186">
      <c r="B186" s="78" t="str">
        <f>IF($M186="","",INDEX(fa_num,$M186)&amp;"")</f>
        <v/>
      </c>
      <c r="C186" s="79" t="str">
        <f>IF($M186="","",INDEX(fa_cname,$M186)&amp;"")</f>
        <v/>
      </c>
      <c r="D186" s="56" t="str">
        <f>IF($M186="","",INDEX(fa_date,$M186))</f>
        <v/>
      </c>
      <c r="E186" s="56" t="str">
        <f>IF($M186="","",INDEX(fa_due,$M186))</f>
        <v/>
      </c>
      <c r="F186" s="75" t="str">
        <f>IF($M186="","",INDEX(fa_ttc,$M186))</f>
        <v/>
      </c>
      <c r="G186" s="75" t="str">
        <f>IF($M186="","",INDEX(fa_paid,$M186)+INDEX(fa_avoirs,$M186))</f>
        <v/>
      </c>
      <c r="H186" s="75" t="str">
        <f>IF($M186="","",INDEX(fa_reste,$M186))</f>
        <v/>
      </c>
      <c r="I186" s="58" t="str">
        <f>IF($M186="","",MAX(0,p_asof-E186))</f>
        <v/>
      </c>
      <c r="J186" s="78" t="str">
        <f>IF($M186="","",INDEX(fa_tranche,$M186)&amp;"")</f>
        <v/>
      </c>
      <c r="K186" s="56" t="str">
        <f>IF($M186="","",IF(ISNUMBER(INDEX(fa_relance,$M186)),INDEX(fa_relance,$M186),""))</f>
        <v/>
      </c>
      <c r="L186" s="79" t="str">
        <f>IF($M186="","",IF(AND(ISNUMBER(K186),(p_asof-E186)&gt;0,(p_asof-N(K186))&gt;=0,(p_asof-N(K186))&lt;7),"Déjà relancée il y a "&amp;(p_asof-N(K186))&amp;" j",IF((p_asof-E186)&lt;=0,IF((p_asof-E186)&gt;-8,"Rappel courtois avant l'échéance","Aucune action"),IF((p_asof-E186)&lt;=15,"Relance 1 : e-mail de rappel",IF((p_asof-E186)&lt;=30,"Relance 2 : appel téléphonique",IF((p_asof-E186)&lt;=60,"Relance 3 : lettre de relance",IF((p_asof-E186)&lt;=90,"Mise en demeure (recommandé)","Contentieux : injonction de payer")))))))</f>
        <v/>
      </c>
      <c r="M186" t="str">
        <f>IFERROR(MATCH(155,fa_rank,0),"")</f>
        <v/>
      </c>
    </row>
    <row r="187">
      <c r="B187" s="78" t="str">
        <f>IF($M187="","",INDEX(fa_num,$M187)&amp;"")</f>
        <v/>
      </c>
      <c r="C187" s="79" t="str">
        <f>IF($M187="","",INDEX(fa_cname,$M187)&amp;"")</f>
        <v/>
      </c>
      <c r="D187" s="56" t="str">
        <f>IF($M187="","",INDEX(fa_date,$M187))</f>
        <v/>
      </c>
      <c r="E187" s="56" t="str">
        <f>IF($M187="","",INDEX(fa_due,$M187))</f>
        <v/>
      </c>
      <c r="F187" s="75" t="str">
        <f>IF($M187="","",INDEX(fa_ttc,$M187))</f>
        <v/>
      </c>
      <c r="G187" s="75" t="str">
        <f>IF($M187="","",INDEX(fa_paid,$M187)+INDEX(fa_avoirs,$M187))</f>
        <v/>
      </c>
      <c r="H187" s="75" t="str">
        <f>IF($M187="","",INDEX(fa_reste,$M187))</f>
        <v/>
      </c>
      <c r="I187" s="58" t="str">
        <f>IF($M187="","",MAX(0,p_asof-E187))</f>
        <v/>
      </c>
      <c r="J187" s="78" t="str">
        <f>IF($M187="","",INDEX(fa_tranche,$M187)&amp;"")</f>
        <v/>
      </c>
      <c r="K187" s="56" t="str">
        <f>IF($M187="","",IF(ISNUMBER(INDEX(fa_relance,$M187)),INDEX(fa_relance,$M187),""))</f>
        <v/>
      </c>
      <c r="L187" s="79" t="str">
        <f>IF($M187="","",IF(AND(ISNUMBER(K187),(p_asof-E187)&gt;0,(p_asof-N(K187))&gt;=0,(p_asof-N(K187))&lt;7),"Déjà relancée il y a "&amp;(p_asof-N(K187))&amp;" j",IF((p_asof-E187)&lt;=0,IF((p_asof-E187)&gt;-8,"Rappel courtois avant l'échéance","Aucune action"),IF((p_asof-E187)&lt;=15,"Relance 1 : e-mail de rappel",IF((p_asof-E187)&lt;=30,"Relance 2 : appel téléphonique",IF((p_asof-E187)&lt;=60,"Relance 3 : lettre de relance",IF((p_asof-E187)&lt;=90,"Mise en demeure (recommandé)","Contentieux : injonction de payer")))))))</f>
        <v/>
      </c>
      <c r="M187" t="str">
        <f>IFERROR(MATCH(156,fa_rank,0),"")</f>
        <v/>
      </c>
    </row>
    <row r="188">
      <c r="B188" s="78" t="str">
        <f>IF($M188="","",INDEX(fa_num,$M188)&amp;"")</f>
        <v/>
      </c>
      <c r="C188" s="79" t="str">
        <f>IF($M188="","",INDEX(fa_cname,$M188)&amp;"")</f>
        <v/>
      </c>
      <c r="D188" s="56" t="str">
        <f>IF($M188="","",INDEX(fa_date,$M188))</f>
        <v/>
      </c>
      <c r="E188" s="56" t="str">
        <f>IF($M188="","",INDEX(fa_due,$M188))</f>
        <v/>
      </c>
      <c r="F188" s="75" t="str">
        <f>IF($M188="","",INDEX(fa_ttc,$M188))</f>
        <v/>
      </c>
      <c r="G188" s="75" t="str">
        <f>IF($M188="","",INDEX(fa_paid,$M188)+INDEX(fa_avoirs,$M188))</f>
        <v/>
      </c>
      <c r="H188" s="75" t="str">
        <f>IF($M188="","",INDEX(fa_reste,$M188))</f>
        <v/>
      </c>
      <c r="I188" s="58" t="str">
        <f>IF($M188="","",MAX(0,p_asof-E188))</f>
        <v/>
      </c>
      <c r="J188" s="78" t="str">
        <f>IF($M188="","",INDEX(fa_tranche,$M188)&amp;"")</f>
        <v/>
      </c>
      <c r="K188" s="56" t="str">
        <f>IF($M188="","",IF(ISNUMBER(INDEX(fa_relance,$M188)),INDEX(fa_relance,$M188),""))</f>
        <v/>
      </c>
      <c r="L188" s="79" t="str">
        <f>IF($M188="","",IF(AND(ISNUMBER(K188),(p_asof-E188)&gt;0,(p_asof-N(K188))&gt;=0,(p_asof-N(K188))&lt;7),"Déjà relancée il y a "&amp;(p_asof-N(K188))&amp;" j",IF((p_asof-E188)&lt;=0,IF((p_asof-E188)&gt;-8,"Rappel courtois avant l'échéance","Aucune action"),IF((p_asof-E188)&lt;=15,"Relance 1 : e-mail de rappel",IF((p_asof-E188)&lt;=30,"Relance 2 : appel téléphonique",IF((p_asof-E188)&lt;=60,"Relance 3 : lettre de relance",IF((p_asof-E188)&lt;=90,"Mise en demeure (recommandé)","Contentieux : injonction de payer")))))))</f>
        <v/>
      </c>
      <c r="M188" t="str">
        <f>IFERROR(MATCH(157,fa_rank,0),"")</f>
        <v/>
      </c>
    </row>
    <row r="189">
      <c r="B189" s="78" t="str">
        <f>IF($M189="","",INDEX(fa_num,$M189)&amp;"")</f>
        <v/>
      </c>
      <c r="C189" s="79" t="str">
        <f>IF($M189="","",INDEX(fa_cname,$M189)&amp;"")</f>
        <v/>
      </c>
      <c r="D189" s="56" t="str">
        <f>IF($M189="","",INDEX(fa_date,$M189))</f>
        <v/>
      </c>
      <c r="E189" s="56" t="str">
        <f>IF($M189="","",INDEX(fa_due,$M189))</f>
        <v/>
      </c>
      <c r="F189" s="75" t="str">
        <f>IF($M189="","",INDEX(fa_ttc,$M189))</f>
        <v/>
      </c>
      <c r="G189" s="75" t="str">
        <f>IF($M189="","",INDEX(fa_paid,$M189)+INDEX(fa_avoirs,$M189))</f>
        <v/>
      </c>
      <c r="H189" s="75" t="str">
        <f>IF($M189="","",INDEX(fa_reste,$M189))</f>
        <v/>
      </c>
      <c r="I189" s="58" t="str">
        <f>IF($M189="","",MAX(0,p_asof-E189))</f>
        <v/>
      </c>
      <c r="J189" s="78" t="str">
        <f>IF($M189="","",INDEX(fa_tranche,$M189)&amp;"")</f>
        <v/>
      </c>
      <c r="K189" s="56" t="str">
        <f>IF($M189="","",IF(ISNUMBER(INDEX(fa_relance,$M189)),INDEX(fa_relance,$M189),""))</f>
        <v/>
      </c>
      <c r="L189" s="79" t="str">
        <f>IF($M189="","",IF(AND(ISNUMBER(K189),(p_asof-E189)&gt;0,(p_asof-N(K189))&gt;=0,(p_asof-N(K189))&lt;7),"Déjà relancée il y a "&amp;(p_asof-N(K189))&amp;" j",IF((p_asof-E189)&lt;=0,IF((p_asof-E189)&gt;-8,"Rappel courtois avant l'échéance","Aucune action"),IF((p_asof-E189)&lt;=15,"Relance 1 : e-mail de rappel",IF((p_asof-E189)&lt;=30,"Relance 2 : appel téléphonique",IF((p_asof-E189)&lt;=60,"Relance 3 : lettre de relance",IF((p_asof-E189)&lt;=90,"Mise en demeure (recommandé)","Contentieux : injonction de payer")))))))</f>
        <v/>
      </c>
      <c r="M189" t="str">
        <f>IFERROR(MATCH(158,fa_rank,0),"")</f>
        <v/>
      </c>
    </row>
    <row r="190">
      <c r="B190" s="78" t="str">
        <f>IF($M190="","",INDEX(fa_num,$M190)&amp;"")</f>
        <v/>
      </c>
      <c r="C190" s="79" t="str">
        <f>IF($M190="","",INDEX(fa_cname,$M190)&amp;"")</f>
        <v/>
      </c>
      <c r="D190" s="56" t="str">
        <f>IF($M190="","",INDEX(fa_date,$M190))</f>
        <v/>
      </c>
      <c r="E190" s="56" t="str">
        <f>IF($M190="","",INDEX(fa_due,$M190))</f>
        <v/>
      </c>
      <c r="F190" s="75" t="str">
        <f>IF($M190="","",INDEX(fa_ttc,$M190))</f>
        <v/>
      </c>
      <c r="G190" s="75" t="str">
        <f>IF($M190="","",INDEX(fa_paid,$M190)+INDEX(fa_avoirs,$M190))</f>
        <v/>
      </c>
      <c r="H190" s="75" t="str">
        <f>IF($M190="","",INDEX(fa_reste,$M190))</f>
        <v/>
      </c>
      <c r="I190" s="58" t="str">
        <f>IF($M190="","",MAX(0,p_asof-E190))</f>
        <v/>
      </c>
      <c r="J190" s="78" t="str">
        <f>IF($M190="","",INDEX(fa_tranche,$M190)&amp;"")</f>
        <v/>
      </c>
      <c r="K190" s="56" t="str">
        <f>IF($M190="","",IF(ISNUMBER(INDEX(fa_relance,$M190)),INDEX(fa_relance,$M190),""))</f>
        <v/>
      </c>
      <c r="L190" s="79" t="str">
        <f>IF($M190="","",IF(AND(ISNUMBER(K190),(p_asof-E190)&gt;0,(p_asof-N(K190))&gt;=0,(p_asof-N(K190))&lt;7),"Déjà relancée il y a "&amp;(p_asof-N(K190))&amp;" j",IF((p_asof-E190)&lt;=0,IF((p_asof-E190)&gt;-8,"Rappel courtois avant l'échéance","Aucune action"),IF((p_asof-E190)&lt;=15,"Relance 1 : e-mail de rappel",IF((p_asof-E190)&lt;=30,"Relance 2 : appel téléphonique",IF((p_asof-E190)&lt;=60,"Relance 3 : lettre de relance",IF((p_asof-E190)&lt;=90,"Mise en demeure (recommandé)","Contentieux : injonction de payer")))))))</f>
        <v/>
      </c>
      <c r="M190" t="str">
        <f>IFERROR(MATCH(159,fa_rank,0),"")</f>
        <v/>
      </c>
    </row>
    <row r="191">
      <c r="B191" s="78" t="str">
        <f>IF($M191="","",INDEX(fa_num,$M191)&amp;"")</f>
        <v/>
      </c>
      <c r="C191" s="79" t="str">
        <f>IF($M191="","",INDEX(fa_cname,$M191)&amp;"")</f>
        <v/>
      </c>
      <c r="D191" s="56" t="str">
        <f>IF($M191="","",INDEX(fa_date,$M191))</f>
        <v/>
      </c>
      <c r="E191" s="56" t="str">
        <f>IF($M191="","",INDEX(fa_due,$M191))</f>
        <v/>
      </c>
      <c r="F191" s="75" t="str">
        <f>IF($M191="","",INDEX(fa_ttc,$M191))</f>
        <v/>
      </c>
      <c r="G191" s="75" t="str">
        <f>IF($M191="","",INDEX(fa_paid,$M191)+INDEX(fa_avoirs,$M191))</f>
        <v/>
      </c>
      <c r="H191" s="75" t="str">
        <f>IF($M191="","",INDEX(fa_reste,$M191))</f>
        <v/>
      </c>
      <c r="I191" s="58" t="str">
        <f>IF($M191="","",MAX(0,p_asof-E191))</f>
        <v/>
      </c>
      <c r="J191" s="78" t="str">
        <f>IF($M191="","",INDEX(fa_tranche,$M191)&amp;"")</f>
        <v/>
      </c>
      <c r="K191" s="56" t="str">
        <f>IF($M191="","",IF(ISNUMBER(INDEX(fa_relance,$M191)),INDEX(fa_relance,$M191),""))</f>
        <v/>
      </c>
      <c r="L191" s="79" t="str">
        <f>IF($M191="","",IF(AND(ISNUMBER(K191),(p_asof-E191)&gt;0,(p_asof-N(K191))&gt;=0,(p_asof-N(K191))&lt;7),"Déjà relancée il y a "&amp;(p_asof-N(K191))&amp;" j",IF((p_asof-E191)&lt;=0,IF((p_asof-E191)&gt;-8,"Rappel courtois avant l'échéance","Aucune action"),IF((p_asof-E191)&lt;=15,"Relance 1 : e-mail de rappel",IF((p_asof-E191)&lt;=30,"Relance 2 : appel téléphonique",IF((p_asof-E191)&lt;=60,"Relance 3 : lettre de relance",IF((p_asof-E191)&lt;=90,"Mise en demeure (recommandé)","Contentieux : injonction de payer")))))))</f>
        <v/>
      </c>
      <c r="M191" t="str">
        <f>IFERROR(MATCH(160,fa_rank,0),"")</f>
        <v/>
      </c>
    </row>
    <row r="192">
      <c r="B192" s="78" t="str">
        <f>IF($M192="","",INDEX(fa_num,$M192)&amp;"")</f>
        <v/>
      </c>
      <c r="C192" s="79" t="str">
        <f>IF($M192="","",INDEX(fa_cname,$M192)&amp;"")</f>
        <v/>
      </c>
      <c r="D192" s="56" t="str">
        <f>IF($M192="","",INDEX(fa_date,$M192))</f>
        <v/>
      </c>
      <c r="E192" s="56" t="str">
        <f>IF($M192="","",INDEX(fa_due,$M192))</f>
        <v/>
      </c>
      <c r="F192" s="75" t="str">
        <f>IF($M192="","",INDEX(fa_ttc,$M192))</f>
        <v/>
      </c>
      <c r="G192" s="75" t="str">
        <f>IF($M192="","",INDEX(fa_paid,$M192)+INDEX(fa_avoirs,$M192))</f>
        <v/>
      </c>
      <c r="H192" s="75" t="str">
        <f>IF($M192="","",INDEX(fa_reste,$M192))</f>
        <v/>
      </c>
      <c r="I192" s="58" t="str">
        <f>IF($M192="","",MAX(0,p_asof-E192))</f>
        <v/>
      </c>
      <c r="J192" s="78" t="str">
        <f>IF($M192="","",INDEX(fa_tranche,$M192)&amp;"")</f>
        <v/>
      </c>
      <c r="K192" s="56" t="str">
        <f>IF($M192="","",IF(ISNUMBER(INDEX(fa_relance,$M192)),INDEX(fa_relance,$M192),""))</f>
        <v/>
      </c>
      <c r="L192" s="79" t="str">
        <f>IF($M192="","",IF(AND(ISNUMBER(K192),(p_asof-E192)&gt;0,(p_asof-N(K192))&gt;=0,(p_asof-N(K192))&lt;7),"Déjà relancée il y a "&amp;(p_asof-N(K192))&amp;" j",IF((p_asof-E192)&lt;=0,IF((p_asof-E192)&gt;-8,"Rappel courtois avant l'échéance","Aucune action"),IF((p_asof-E192)&lt;=15,"Relance 1 : e-mail de rappel",IF((p_asof-E192)&lt;=30,"Relance 2 : appel téléphonique",IF((p_asof-E192)&lt;=60,"Relance 3 : lettre de relance",IF((p_asof-E192)&lt;=90,"Mise en demeure (recommandé)","Contentieux : injonction de payer")))))))</f>
        <v/>
      </c>
      <c r="M192" t="str">
        <f>IFERROR(MATCH(161,fa_rank,0),"")</f>
        <v/>
      </c>
    </row>
    <row r="193">
      <c r="B193" s="78" t="str">
        <f>IF($M193="","",INDEX(fa_num,$M193)&amp;"")</f>
        <v/>
      </c>
      <c r="C193" s="79" t="str">
        <f>IF($M193="","",INDEX(fa_cname,$M193)&amp;"")</f>
        <v/>
      </c>
      <c r="D193" s="56" t="str">
        <f>IF($M193="","",INDEX(fa_date,$M193))</f>
        <v/>
      </c>
      <c r="E193" s="56" t="str">
        <f>IF($M193="","",INDEX(fa_due,$M193))</f>
        <v/>
      </c>
      <c r="F193" s="75" t="str">
        <f>IF($M193="","",INDEX(fa_ttc,$M193))</f>
        <v/>
      </c>
      <c r="G193" s="75" t="str">
        <f>IF($M193="","",INDEX(fa_paid,$M193)+INDEX(fa_avoirs,$M193))</f>
        <v/>
      </c>
      <c r="H193" s="75" t="str">
        <f>IF($M193="","",INDEX(fa_reste,$M193))</f>
        <v/>
      </c>
      <c r="I193" s="58" t="str">
        <f>IF($M193="","",MAX(0,p_asof-E193))</f>
        <v/>
      </c>
      <c r="J193" s="78" t="str">
        <f>IF($M193="","",INDEX(fa_tranche,$M193)&amp;"")</f>
        <v/>
      </c>
      <c r="K193" s="56" t="str">
        <f>IF($M193="","",IF(ISNUMBER(INDEX(fa_relance,$M193)),INDEX(fa_relance,$M193),""))</f>
        <v/>
      </c>
      <c r="L193" s="79" t="str">
        <f>IF($M193="","",IF(AND(ISNUMBER(K193),(p_asof-E193)&gt;0,(p_asof-N(K193))&gt;=0,(p_asof-N(K193))&lt;7),"Déjà relancée il y a "&amp;(p_asof-N(K193))&amp;" j",IF((p_asof-E193)&lt;=0,IF((p_asof-E193)&gt;-8,"Rappel courtois avant l'échéance","Aucune action"),IF((p_asof-E193)&lt;=15,"Relance 1 : e-mail de rappel",IF((p_asof-E193)&lt;=30,"Relance 2 : appel téléphonique",IF((p_asof-E193)&lt;=60,"Relance 3 : lettre de relance",IF((p_asof-E193)&lt;=90,"Mise en demeure (recommandé)","Contentieux : injonction de payer")))))))</f>
        <v/>
      </c>
      <c r="M193" t="str">
        <f>IFERROR(MATCH(162,fa_rank,0),"")</f>
        <v/>
      </c>
    </row>
    <row r="194">
      <c r="B194" s="78" t="str">
        <f>IF($M194="","",INDEX(fa_num,$M194)&amp;"")</f>
        <v/>
      </c>
      <c r="C194" s="79" t="str">
        <f>IF($M194="","",INDEX(fa_cname,$M194)&amp;"")</f>
        <v/>
      </c>
      <c r="D194" s="56" t="str">
        <f>IF($M194="","",INDEX(fa_date,$M194))</f>
        <v/>
      </c>
      <c r="E194" s="56" t="str">
        <f>IF($M194="","",INDEX(fa_due,$M194))</f>
        <v/>
      </c>
      <c r="F194" s="75" t="str">
        <f>IF($M194="","",INDEX(fa_ttc,$M194))</f>
        <v/>
      </c>
      <c r="G194" s="75" t="str">
        <f>IF($M194="","",INDEX(fa_paid,$M194)+INDEX(fa_avoirs,$M194))</f>
        <v/>
      </c>
      <c r="H194" s="75" t="str">
        <f>IF($M194="","",INDEX(fa_reste,$M194))</f>
        <v/>
      </c>
      <c r="I194" s="58" t="str">
        <f>IF($M194="","",MAX(0,p_asof-E194))</f>
        <v/>
      </c>
      <c r="J194" s="78" t="str">
        <f>IF($M194="","",INDEX(fa_tranche,$M194)&amp;"")</f>
        <v/>
      </c>
      <c r="K194" s="56" t="str">
        <f>IF($M194="","",IF(ISNUMBER(INDEX(fa_relance,$M194)),INDEX(fa_relance,$M194),""))</f>
        <v/>
      </c>
      <c r="L194" s="79" t="str">
        <f>IF($M194="","",IF(AND(ISNUMBER(K194),(p_asof-E194)&gt;0,(p_asof-N(K194))&gt;=0,(p_asof-N(K194))&lt;7),"Déjà relancée il y a "&amp;(p_asof-N(K194))&amp;" j",IF((p_asof-E194)&lt;=0,IF((p_asof-E194)&gt;-8,"Rappel courtois avant l'échéance","Aucune action"),IF((p_asof-E194)&lt;=15,"Relance 1 : e-mail de rappel",IF((p_asof-E194)&lt;=30,"Relance 2 : appel téléphonique",IF((p_asof-E194)&lt;=60,"Relance 3 : lettre de relance",IF((p_asof-E194)&lt;=90,"Mise en demeure (recommandé)","Contentieux : injonction de payer")))))))</f>
        <v/>
      </c>
      <c r="M194" t="str">
        <f>IFERROR(MATCH(163,fa_rank,0),"")</f>
        <v/>
      </c>
    </row>
    <row r="195">
      <c r="B195" s="78" t="str">
        <f>IF($M195="","",INDEX(fa_num,$M195)&amp;"")</f>
        <v/>
      </c>
      <c r="C195" s="79" t="str">
        <f>IF($M195="","",INDEX(fa_cname,$M195)&amp;"")</f>
        <v/>
      </c>
      <c r="D195" s="56" t="str">
        <f>IF($M195="","",INDEX(fa_date,$M195))</f>
        <v/>
      </c>
      <c r="E195" s="56" t="str">
        <f>IF($M195="","",INDEX(fa_due,$M195))</f>
        <v/>
      </c>
      <c r="F195" s="75" t="str">
        <f>IF($M195="","",INDEX(fa_ttc,$M195))</f>
        <v/>
      </c>
      <c r="G195" s="75" t="str">
        <f>IF($M195="","",INDEX(fa_paid,$M195)+INDEX(fa_avoirs,$M195))</f>
        <v/>
      </c>
      <c r="H195" s="75" t="str">
        <f>IF($M195="","",INDEX(fa_reste,$M195))</f>
        <v/>
      </c>
      <c r="I195" s="58" t="str">
        <f>IF($M195="","",MAX(0,p_asof-E195))</f>
        <v/>
      </c>
      <c r="J195" s="78" t="str">
        <f>IF($M195="","",INDEX(fa_tranche,$M195)&amp;"")</f>
        <v/>
      </c>
      <c r="K195" s="56" t="str">
        <f>IF($M195="","",IF(ISNUMBER(INDEX(fa_relance,$M195)),INDEX(fa_relance,$M195),""))</f>
        <v/>
      </c>
      <c r="L195" s="79" t="str">
        <f>IF($M195="","",IF(AND(ISNUMBER(K195),(p_asof-E195)&gt;0,(p_asof-N(K195))&gt;=0,(p_asof-N(K195))&lt;7),"Déjà relancée il y a "&amp;(p_asof-N(K195))&amp;" j",IF((p_asof-E195)&lt;=0,IF((p_asof-E195)&gt;-8,"Rappel courtois avant l'échéance","Aucune action"),IF((p_asof-E195)&lt;=15,"Relance 1 : e-mail de rappel",IF((p_asof-E195)&lt;=30,"Relance 2 : appel téléphonique",IF((p_asof-E195)&lt;=60,"Relance 3 : lettre de relance",IF((p_asof-E195)&lt;=90,"Mise en demeure (recommandé)","Contentieux : injonction de payer")))))))</f>
        <v/>
      </c>
      <c r="M195" t="str">
        <f>IFERROR(MATCH(164,fa_rank,0),"")</f>
        <v/>
      </c>
    </row>
    <row r="196">
      <c r="B196" s="78" t="str">
        <f>IF($M196="","",INDEX(fa_num,$M196)&amp;"")</f>
        <v/>
      </c>
      <c r="C196" s="79" t="str">
        <f>IF($M196="","",INDEX(fa_cname,$M196)&amp;"")</f>
        <v/>
      </c>
      <c r="D196" s="56" t="str">
        <f>IF($M196="","",INDEX(fa_date,$M196))</f>
        <v/>
      </c>
      <c r="E196" s="56" t="str">
        <f>IF($M196="","",INDEX(fa_due,$M196))</f>
        <v/>
      </c>
      <c r="F196" s="75" t="str">
        <f>IF($M196="","",INDEX(fa_ttc,$M196))</f>
        <v/>
      </c>
      <c r="G196" s="75" t="str">
        <f>IF($M196="","",INDEX(fa_paid,$M196)+INDEX(fa_avoirs,$M196))</f>
        <v/>
      </c>
      <c r="H196" s="75" t="str">
        <f>IF($M196="","",INDEX(fa_reste,$M196))</f>
        <v/>
      </c>
      <c r="I196" s="58" t="str">
        <f>IF($M196="","",MAX(0,p_asof-E196))</f>
        <v/>
      </c>
      <c r="J196" s="78" t="str">
        <f>IF($M196="","",INDEX(fa_tranche,$M196)&amp;"")</f>
        <v/>
      </c>
      <c r="K196" s="56" t="str">
        <f>IF($M196="","",IF(ISNUMBER(INDEX(fa_relance,$M196)),INDEX(fa_relance,$M196),""))</f>
        <v/>
      </c>
      <c r="L196" s="79" t="str">
        <f>IF($M196="","",IF(AND(ISNUMBER(K196),(p_asof-E196)&gt;0,(p_asof-N(K196))&gt;=0,(p_asof-N(K196))&lt;7),"Déjà relancée il y a "&amp;(p_asof-N(K196))&amp;" j",IF((p_asof-E196)&lt;=0,IF((p_asof-E196)&gt;-8,"Rappel courtois avant l'échéance","Aucune action"),IF((p_asof-E196)&lt;=15,"Relance 1 : e-mail de rappel",IF((p_asof-E196)&lt;=30,"Relance 2 : appel téléphonique",IF((p_asof-E196)&lt;=60,"Relance 3 : lettre de relance",IF((p_asof-E196)&lt;=90,"Mise en demeure (recommandé)","Contentieux : injonction de payer")))))))</f>
        <v/>
      </c>
      <c r="M196" t="str">
        <f>IFERROR(MATCH(165,fa_rank,0),"")</f>
        <v/>
      </c>
    </row>
    <row r="197">
      <c r="B197" s="78" t="str">
        <f>IF($M197="","",INDEX(fa_num,$M197)&amp;"")</f>
        <v/>
      </c>
      <c r="C197" s="79" t="str">
        <f>IF($M197="","",INDEX(fa_cname,$M197)&amp;"")</f>
        <v/>
      </c>
      <c r="D197" s="56" t="str">
        <f>IF($M197="","",INDEX(fa_date,$M197))</f>
        <v/>
      </c>
      <c r="E197" s="56" t="str">
        <f>IF($M197="","",INDEX(fa_due,$M197))</f>
        <v/>
      </c>
      <c r="F197" s="75" t="str">
        <f>IF($M197="","",INDEX(fa_ttc,$M197))</f>
        <v/>
      </c>
      <c r="G197" s="75" t="str">
        <f>IF($M197="","",INDEX(fa_paid,$M197)+INDEX(fa_avoirs,$M197))</f>
        <v/>
      </c>
      <c r="H197" s="75" t="str">
        <f>IF($M197="","",INDEX(fa_reste,$M197))</f>
        <v/>
      </c>
      <c r="I197" s="58" t="str">
        <f>IF($M197="","",MAX(0,p_asof-E197))</f>
        <v/>
      </c>
      <c r="J197" s="78" t="str">
        <f>IF($M197="","",INDEX(fa_tranche,$M197)&amp;"")</f>
        <v/>
      </c>
      <c r="K197" s="56" t="str">
        <f>IF($M197="","",IF(ISNUMBER(INDEX(fa_relance,$M197)),INDEX(fa_relance,$M197),""))</f>
        <v/>
      </c>
      <c r="L197" s="79" t="str">
        <f>IF($M197="","",IF(AND(ISNUMBER(K197),(p_asof-E197)&gt;0,(p_asof-N(K197))&gt;=0,(p_asof-N(K197))&lt;7),"Déjà relancée il y a "&amp;(p_asof-N(K197))&amp;" j",IF((p_asof-E197)&lt;=0,IF((p_asof-E197)&gt;-8,"Rappel courtois avant l'échéance","Aucune action"),IF((p_asof-E197)&lt;=15,"Relance 1 : e-mail de rappel",IF((p_asof-E197)&lt;=30,"Relance 2 : appel téléphonique",IF((p_asof-E197)&lt;=60,"Relance 3 : lettre de relance",IF((p_asof-E197)&lt;=90,"Mise en demeure (recommandé)","Contentieux : injonction de payer")))))))</f>
        <v/>
      </c>
      <c r="M197" t="str">
        <f>IFERROR(MATCH(166,fa_rank,0),"")</f>
        <v/>
      </c>
    </row>
    <row r="198">
      <c r="B198" s="78" t="str">
        <f>IF($M198="","",INDEX(fa_num,$M198)&amp;"")</f>
        <v/>
      </c>
      <c r="C198" s="79" t="str">
        <f>IF($M198="","",INDEX(fa_cname,$M198)&amp;"")</f>
        <v/>
      </c>
      <c r="D198" s="56" t="str">
        <f>IF($M198="","",INDEX(fa_date,$M198))</f>
        <v/>
      </c>
      <c r="E198" s="56" t="str">
        <f>IF($M198="","",INDEX(fa_due,$M198))</f>
        <v/>
      </c>
      <c r="F198" s="75" t="str">
        <f>IF($M198="","",INDEX(fa_ttc,$M198))</f>
        <v/>
      </c>
      <c r="G198" s="75" t="str">
        <f>IF($M198="","",INDEX(fa_paid,$M198)+INDEX(fa_avoirs,$M198))</f>
        <v/>
      </c>
      <c r="H198" s="75" t="str">
        <f>IF($M198="","",INDEX(fa_reste,$M198))</f>
        <v/>
      </c>
      <c r="I198" s="58" t="str">
        <f>IF($M198="","",MAX(0,p_asof-E198))</f>
        <v/>
      </c>
      <c r="J198" s="78" t="str">
        <f>IF($M198="","",INDEX(fa_tranche,$M198)&amp;"")</f>
        <v/>
      </c>
      <c r="K198" s="56" t="str">
        <f>IF($M198="","",IF(ISNUMBER(INDEX(fa_relance,$M198)),INDEX(fa_relance,$M198),""))</f>
        <v/>
      </c>
      <c r="L198" s="79" t="str">
        <f>IF($M198="","",IF(AND(ISNUMBER(K198),(p_asof-E198)&gt;0,(p_asof-N(K198))&gt;=0,(p_asof-N(K198))&lt;7),"Déjà relancée il y a "&amp;(p_asof-N(K198))&amp;" j",IF((p_asof-E198)&lt;=0,IF((p_asof-E198)&gt;-8,"Rappel courtois avant l'échéance","Aucune action"),IF((p_asof-E198)&lt;=15,"Relance 1 : e-mail de rappel",IF((p_asof-E198)&lt;=30,"Relance 2 : appel téléphonique",IF((p_asof-E198)&lt;=60,"Relance 3 : lettre de relance",IF((p_asof-E198)&lt;=90,"Mise en demeure (recommandé)","Contentieux : injonction de payer")))))))</f>
        <v/>
      </c>
      <c r="M198" t="str">
        <f>IFERROR(MATCH(167,fa_rank,0),"")</f>
        <v/>
      </c>
    </row>
    <row r="199">
      <c r="B199" s="78" t="str">
        <f>IF($M199="","",INDEX(fa_num,$M199)&amp;"")</f>
        <v/>
      </c>
      <c r="C199" s="79" t="str">
        <f>IF($M199="","",INDEX(fa_cname,$M199)&amp;"")</f>
        <v/>
      </c>
      <c r="D199" s="56" t="str">
        <f>IF($M199="","",INDEX(fa_date,$M199))</f>
        <v/>
      </c>
      <c r="E199" s="56" t="str">
        <f>IF($M199="","",INDEX(fa_due,$M199))</f>
        <v/>
      </c>
      <c r="F199" s="75" t="str">
        <f>IF($M199="","",INDEX(fa_ttc,$M199))</f>
        <v/>
      </c>
      <c r="G199" s="75" t="str">
        <f>IF($M199="","",INDEX(fa_paid,$M199)+INDEX(fa_avoirs,$M199))</f>
        <v/>
      </c>
      <c r="H199" s="75" t="str">
        <f>IF($M199="","",INDEX(fa_reste,$M199))</f>
        <v/>
      </c>
      <c r="I199" s="58" t="str">
        <f>IF($M199="","",MAX(0,p_asof-E199))</f>
        <v/>
      </c>
      <c r="J199" s="78" t="str">
        <f>IF($M199="","",INDEX(fa_tranche,$M199)&amp;"")</f>
        <v/>
      </c>
      <c r="K199" s="56" t="str">
        <f>IF($M199="","",IF(ISNUMBER(INDEX(fa_relance,$M199)),INDEX(fa_relance,$M199),""))</f>
        <v/>
      </c>
      <c r="L199" s="79" t="str">
        <f>IF($M199="","",IF(AND(ISNUMBER(K199),(p_asof-E199)&gt;0,(p_asof-N(K199))&gt;=0,(p_asof-N(K199))&lt;7),"Déjà relancée il y a "&amp;(p_asof-N(K199))&amp;" j",IF((p_asof-E199)&lt;=0,IF((p_asof-E199)&gt;-8,"Rappel courtois avant l'échéance","Aucune action"),IF((p_asof-E199)&lt;=15,"Relance 1 : e-mail de rappel",IF((p_asof-E199)&lt;=30,"Relance 2 : appel téléphonique",IF((p_asof-E199)&lt;=60,"Relance 3 : lettre de relance",IF((p_asof-E199)&lt;=90,"Mise en demeure (recommandé)","Contentieux : injonction de payer")))))))</f>
        <v/>
      </c>
      <c r="M199" t="str">
        <f>IFERROR(MATCH(168,fa_rank,0),"")</f>
        <v/>
      </c>
    </row>
    <row r="200">
      <c r="B200" s="78" t="str">
        <f>IF($M200="","",INDEX(fa_num,$M200)&amp;"")</f>
        <v/>
      </c>
      <c r="C200" s="79" t="str">
        <f>IF($M200="","",INDEX(fa_cname,$M200)&amp;"")</f>
        <v/>
      </c>
      <c r="D200" s="56" t="str">
        <f>IF($M200="","",INDEX(fa_date,$M200))</f>
        <v/>
      </c>
      <c r="E200" s="56" t="str">
        <f>IF($M200="","",INDEX(fa_due,$M200))</f>
        <v/>
      </c>
      <c r="F200" s="75" t="str">
        <f>IF($M200="","",INDEX(fa_ttc,$M200))</f>
        <v/>
      </c>
      <c r="G200" s="75" t="str">
        <f>IF($M200="","",INDEX(fa_paid,$M200)+INDEX(fa_avoirs,$M200))</f>
        <v/>
      </c>
      <c r="H200" s="75" t="str">
        <f>IF($M200="","",INDEX(fa_reste,$M200))</f>
        <v/>
      </c>
      <c r="I200" s="58" t="str">
        <f>IF($M200="","",MAX(0,p_asof-E200))</f>
        <v/>
      </c>
      <c r="J200" s="78" t="str">
        <f>IF($M200="","",INDEX(fa_tranche,$M200)&amp;"")</f>
        <v/>
      </c>
      <c r="K200" s="56" t="str">
        <f>IF($M200="","",IF(ISNUMBER(INDEX(fa_relance,$M200)),INDEX(fa_relance,$M200),""))</f>
        <v/>
      </c>
      <c r="L200" s="79" t="str">
        <f>IF($M200="","",IF(AND(ISNUMBER(K200),(p_asof-E200)&gt;0,(p_asof-N(K200))&gt;=0,(p_asof-N(K200))&lt;7),"Déjà relancée il y a "&amp;(p_asof-N(K200))&amp;" j",IF((p_asof-E200)&lt;=0,IF((p_asof-E200)&gt;-8,"Rappel courtois avant l'échéance","Aucune action"),IF((p_asof-E200)&lt;=15,"Relance 1 : e-mail de rappel",IF((p_asof-E200)&lt;=30,"Relance 2 : appel téléphonique",IF((p_asof-E200)&lt;=60,"Relance 3 : lettre de relance",IF((p_asof-E200)&lt;=90,"Mise en demeure (recommandé)","Contentieux : injonction de payer")))))))</f>
        <v/>
      </c>
      <c r="M200" t="str">
        <f>IFERROR(MATCH(169,fa_rank,0),"")</f>
        <v/>
      </c>
    </row>
    <row r="201">
      <c r="B201" s="78" t="str">
        <f>IF($M201="","",INDEX(fa_num,$M201)&amp;"")</f>
        <v/>
      </c>
      <c r="C201" s="79" t="str">
        <f>IF($M201="","",INDEX(fa_cname,$M201)&amp;"")</f>
        <v/>
      </c>
      <c r="D201" s="56" t="str">
        <f>IF($M201="","",INDEX(fa_date,$M201))</f>
        <v/>
      </c>
      <c r="E201" s="56" t="str">
        <f>IF($M201="","",INDEX(fa_due,$M201))</f>
        <v/>
      </c>
      <c r="F201" s="75" t="str">
        <f>IF($M201="","",INDEX(fa_ttc,$M201))</f>
        <v/>
      </c>
      <c r="G201" s="75" t="str">
        <f>IF($M201="","",INDEX(fa_paid,$M201)+INDEX(fa_avoirs,$M201))</f>
        <v/>
      </c>
      <c r="H201" s="75" t="str">
        <f>IF($M201="","",INDEX(fa_reste,$M201))</f>
        <v/>
      </c>
      <c r="I201" s="58" t="str">
        <f>IF($M201="","",MAX(0,p_asof-E201))</f>
        <v/>
      </c>
      <c r="J201" s="78" t="str">
        <f>IF($M201="","",INDEX(fa_tranche,$M201)&amp;"")</f>
        <v/>
      </c>
      <c r="K201" s="56" t="str">
        <f>IF($M201="","",IF(ISNUMBER(INDEX(fa_relance,$M201)),INDEX(fa_relance,$M201),""))</f>
        <v/>
      </c>
      <c r="L201" s="79" t="str">
        <f>IF($M201="","",IF(AND(ISNUMBER(K201),(p_asof-E201)&gt;0,(p_asof-N(K201))&gt;=0,(p_asof-N(K201))&lt;7),"Déjà relancée il y a "&amp;(p_asof-N(K201))&amp;" j",IF((p_asof-E201)&lt;=0,IF((p_asof-E201)&gt;-8,"Rappel courtois avant l'échéance","Aucune action"),IF((p_asof-E201)&lt;=15,"Relance 1 : e-mail de rappel",IF((p_asof-E201)&lt;=30,"Relance 2 : appel téléphonique",IF((p_asof-E201)&lt;=60,"Relance 3 : lettre de relance",IF((p_asof-E201)&lt;=90,"Mise en demeure (recommandé)","Contentieux : injonction de payer")))))))</f>
        <v/>
      </c>
      <c r="M201" t="str">
        <f>IFERROR(MATCH(170,fa_rank,0),"")</f>
        <v/>
      </c>
    </row>
    <row r="202">
      <c r="B202" s="78" t="str">
        <f>IF($M202="","",INDEX(fa_num,$M202)&amp;"")</f>
        <v/>
      </c>
      <c r="C202" s="79" t="str">
        <f>IF($M202="","",INDEX(fa_cname,$M202)&amp;"")</f>
        <v/>
      </c>
      <c r="D202" s="56" t="str">
        <f>IF($M202="","",INDEX(fa_date,$M202))</f>
        <v/>
      </c>
      <c r="E202" s="56" t="str">
        <f>IF($M202="","",INDEX(fa_due,$M202))</f>
        <v/>
      </c>
      <c r="F202" s="75" t="str">
        <f>IF($M202="","",INDEX(fa_ttc,$M202))</f>
        <v/>
      </c>
      <c r="G202" s="75" t="str">
        <f>IF($M202="","",INDEX(fa_paid,$M202)+INDEX(fa_avoirs,$M202))</f>
        <v/>
      </c>
      <c r="H202" s="75" t="str">
        <f>IF($M202="","",INDEX(fa_reste,$M202))</f>
        <v/>
      </c>
      <c r="I202" s="58" t="str">
        <f>IF($M202="","",MAX(0,p_asof-E202))</f>
        <v/>
      </c>
      <c r="J202" s="78" t="str">
        <f>IF($M202="","",INDEX(fa_tranche,$M202)&amp;"")</f>
        <v/>
      </c>
      <c r="K202" s="56" t="str">
        <f>IF($M202="","",IF(ISNUMBER(INDEX(fa_relance,$M202)),INDEX(fa_relance,$M202),""))</f>
        <v/>
      </c>
      <c r="L202" s="79" t="str">
        <f>IF($M202="","",IF(AND(ISNUMBER(K202),(p_asof-E202)&gt;0,(p_asof-N(K202))&gt;=0,(p_asof-N(K202))&lt;7),"Déjà relancée il y a "&amp;(p_asof-N(K202))&amp;" j",IF((p_asof-E202)&lt;=0,IF((p_asof-E202)&gt;-8,"Rappel courtois avant l'échéance","Aucune action"),IF((p_asof-E202)&lt;=15,"Relance 1 : e-mail de rappel",IF((p_asof-E202)&lt;=30,"Relance 2 : appel téléphonique",IF((p_asof-E202)&lt;=60,"Relance 3 : lettre de relance",IF((p_asof-E202)&lt;=90,"Mise en demeure (recommandé)","Contentieux : injonction de payer")))))))</f>
        <v/>
      </c>
      <c r="M202" t="str">
        <f>IFERROR(MATCH(171,fa_rank,0),"")</f>
        <v/>
      </c>
    </row>
    <row r="203">
      <c r="B203" s="78" t="str">
        <f>IF($M203="","",INDEX(fa_num,$M203)&amp;"")</f>
        <v/>
      </c>
      <c r="C203" s="79" t="str">
        <f>IF($M203="","",INDEX(fa_cname,$M203)&amp;"")</f>
        <v/>
      </c>
      <c r="D203" s="56" t="str">
        <f>IF($M203="","",INDEX(fa_date,$M203))</f>
        <v/>
      </c>
      <c r="E203" s="56" t="str">
        <f>IF($M203="","",INDEX(fa_due,$M203))</f>
        <v/>
      </c>
      <c r="F203" s="75" t="str">
        <f>IF($M203="","",INDEX(fa_ttc,$M203))</f>
        <v/>
      </c>
      <c r="G203" s="75" t="str">
        <f>IF($M203="","",INDEX(fa_paid,$M203)+INDEX(fa_avoirs,$M203))</f>
        <v/>
      </c>
      <c r="H203" s="75" t="str">
        <f>IF($M203="","",INDEX(fa_reste,$M203))</f>
        <v/>
      </c>
      <c r="I203" s="58" t="str">
        <f>IF($M203="","",MAX(0,p_asof-E203))</f>
        <v/>
      </c>
      <c r="J203" s="78" t="str">
        <f>IF($M203="","",INDEX(fa_tranche,$M203)&amp;"")</f>
        <v/>
      </c>
      <c r="K203" s="56" t="str">
        <f>IF($M203="","",IF(ISNUMBER(INDEX(fa_relance,$M203)),INDEX(fa_relance,$M203),""))</f>
        <v/>
      </c>
      <c r="L203" s="79" t="str">
        <f>IF($M203="","",IF(AND(ISNUMBER(K203),(p_asof-E203)&gt;0,(p_asof-N(K203))&gt;=0,(p_asof-N(K203))&lt;7),"Déjà relancée il y a "&amp;(p_asof-N(K203))&amp;" j",IF((p_asof-E203)&lt;=0,IF((p_asof-E203)&gt;-8,"Rappel courtois avant l'échéance","Aucune action"),IF((p_asof-E203)&lt;=15,"Relance 1 : e-mail de rappel",IF((p_asof-E203)&lt;=30,"Relance 2 : appel téléphonique",IF((p_asof-E203)&lt;=60,"Relance 3 : lettre de relance",IF((p_asof-E203)&lt;=90,"Mise en demeure (recommandé)","Contentieux : injonction de payer")))))))</f>
        <v/>
      </c>
      <c r="M203" t="str">
        <f>IFERROR(MATCH(172,fa_rank,0),"")</f>
        <v/>
      </c>
    </row>
    <row r="204">
      <c r="B204" s="78" t="str">
        <f>IF($M204="","",INDEX(fa_num,$M204)&amp;"")</f>
        <v/>
      </c>
      <c r="C204" s="79" t="str">
        <f>IF($M204="","",INDEX(fa_cname,$M204)&amp;"")</f>
        <v/>
      </c>
      <c r="D204" s="56" t="str">
        <f>IF($M204="","",INDEX(fa_date,$M204))</f>
        <v/>
      </c>
      <c r="E204" s="56" t="str">
        <f>IF($M204="","",INDEX(fa_due,$M204))</f>
        <v/>
      </c>
      <c r="F204" s="75" t="str">
        <f>IF($M204="","",INDEX(fa_ttc,$M204))</f>
        <v/>
      </c>
      <c r="G204" s="75" t="str">
        <f>IF($M204="","",INDEX(fa_paid,$M204)+INDEX(fa_avoirs,$M204))</f>
        <v/>
      </c>
      <c r="H204" s="75" t="str">
        <f>IF($M204="","",INDEX(fa_reste,$M204))</f>
        <v/>
      </c>
      <c r="I204" s="58" t="str">
        <f>IF($M204="","",MAX(0,p_asof-E204))</f>
        <v/>
      </c>
      <c r="J204" s="78" t="str">
        <f>IF($M204="","",INDEX(fa_tranche,$M204)&amp;"")</f>
        <v/>
      </c>
      <c r="K204" s="56" t="str">
        <f>IF($M204="","",IF(ISNUMBER(INDEX(fa_relance,$M204)),INDEX(fa_relance,$M204),""))</f>
        <v/>
      </c>
      <c r="L204" s="79" t="str">
        <f>IF($M204="","",IF(AND(ISNUMBER(K204),(p_asof-E204)&gt;0,(p_asof-N(K204))&gt;=0,(p_asof-N(K204))&lt;7),"Déjà relancée il y a "&amp;(p_asof-N(K204))&amp;" j",IF((p_asof-E204)&lt;=0,IF((p_asof-E204)&gt;-8,"Rappel courtois avant l'échéance","Aucune action"),IF((p_asof-E204)&lt;=15,"Relance 1 : e-mail de rappel",IF((p_asof-E204)&lt;=30,"Relance 2 : appel téléphonique",IF((p_asof-E204)&lt;=60,"Relance 3 : lettre de relance",IF((p_asof-E204)&lt;=90,"Mise en demeure (recommandé)","Contentieux : injonction de payer")))))))</f>
        <v/>
      </c>
      <c r="M204" t="str">
        <f>IFERROR(MATCH(173,fa_rank,0),"")</f>
        <v/>
      </c>
    </row>
    <row r="205">
      <c r="B205" s="78" t="str">
        <f>IF($M205="","",INDEX(fa_num,$M205)&amp;"")</f>
        <v/>
      </c>
      <c r="C205" s="79" t="str">
        <f>IF($M205="","",INDEX(fa_cname,$M205)&amp;"")</f>
        <v/>
      </c>
      <c r="D205" s="56" t="str">
        <f>IF($M205="","",INDEX(fa_date,$M205))</f>
        <v/>
      </c>
      <c r="E205" s="56" t="str">
        <f>IF($M205="","",INDEX(fa_due,$M205))</f>
        <v/>
      </c>
      <c r="F205" s="75" t="str">
        <f>IF($M205="","",INDEX(fa_ttc,$M205))</f>
        <v/>
      </c>
      <c r="G205" s="75" t="str">
        <f>IF($M205="","",INDEX(fa_paid,$M205)+INDEX(fa_avoirs,$M205))</f>
        <v/>
      </c>
      <c r="H205" s="75" t="str">
        <f>IF($M205="","",INDEX(fa_reste,$M205))</f>
        <v/>
      </c>
      <c r="I205" s="58" t="str">
        <f>IF($M205="","",MAX(0,p_asof-E205))</f>
        <v/>
      </c>
      <c r="J205" s="78" t="str">
        <f>IF($M205="","",INDEX(fa_tranche,$M205)&amp;"")</f>
        <v/>
      </c>
      <c r="K205" s="56" t="str">
        <f>IF($M205="","",IF(ISNUMBER(INDEX(fa_relance,$M205)),INDEX(fa_relance,$M205),""))</f>
        <v/>
      </c>
      <c r="L205" s="79" t="str">
        <f>IF($M205="","",IF(AND(ISNUMBER(K205),(p_asof-E205)&gt;0,(p_asof-N(K205))&gt;=0,(p_asof-N(K205))&lt;7),"Déjà relancée il y a "&amp;(p_asof-N(K205))&amp;" j",IF((p_asof-E205)&lt;=0,IF((p_asof-E205)&gt;-8,"Rappel courtois avant l'échéance","Aucune action"),IF((p_asof-E205)&lt;=15,"Relance 1 : e-mail de rappel",IF((p_asof-E205)&lt;=30,"Relance 2 : appel téléphonique",IF((p_asof-E205)&lt;=60,"Relance 3 : lettre de relance",IF((p_asof-E205)&lt;=90,"Mise en demeure (recommandé)","Contentieux : injonction de payer")))))))</f>
        <v/>
      </c>
      <c r="M205" t="str">
        <f>IFERROR(MATCH(174,fa_rank,0),"")</f>
        <v/>
      </c>
    </row>
    <row r="206">
      <c r="B206" s="78" t="str">
        <f>IF($M206="","",INDEX(fa_num,$M206)&amp;"")</f>
        <v/>
      </c>
      <c r="C206" s="79" t="str">
        <f>IF($M206="","",INDEX(fa_cname,$M206)&amp;"")</f>
        <v/>
      </c>
      <c r="D206" s="56" t="str">
        <f>IF($M206="","",INDEX(fa_date,$M206))</f>
        <v/>
      </c>
      <c r="E206" s="56" t="str">
        <f>IF($M206="","",INDEX(fa_due,$M206))</f>
        <v/>
      </c>
      <c r="F206" s="75" t="str">
        <f>IF($M206="","",INDEX(fa_ttc,$M206))</f>
        <v/>
      </c>
      <c r="G206" s="75" t="str">
        <f>IF($M206="","",INDEX(fa_paid,$M206)+INDEX(fa_avoirs,$M206))</f>
        <v/>
      </c>
      <c r="H206" s="75" t="str">
        <f>IF($M206="","",INDEX(fa_reste,$M206))</f>
        <v/>
      </c>
      <c r="I206" s="58" t="str">
        <f>IF($M206="","",MAX(0,p_asof-E206))</f>
        <v/>
      </c>
      <c r="J206" s="78" t="str">
        <f>IF($M206="","",INDEX(fa_tranche,$M206)&amp;"")</f>
        <v/>
      </c>
      <c r="K206" s="56" t="str">
        <f>IF($M206="","",IF(ISNUMBER(INDEX(fa_relance,$M206)),INDEX(fa_relance,$M206),""))</f>
        <v/>
      </c>
      <c r="L206" s="79" t="str">
        <f>IF($M206="","",IF(AND(ISNUMBER(K206),(p_asof-E206)&gt;0,(p_asof-N(K206))&gt;=0,(p_asof-N(K206))&lt;7),"Déjà relancée il y a "&amp;(p_asof-N(K206))&amp;" j",IF((p_asof-E206)&lt;=0,IF((p_asof-E206)&gt;-8,"Rappel courtois avant l'échéance","Aucune action"),IF((p_asof-E206)&lt;=15,"Relance 1 : e-mail de rappel",IF((p_asof-E206)&lt;=30,"Relance 2 : appel téléphonique",IF((p_asof-E206)&lt;=60,"Relance 3 : lettre de relance",IF((p_asof-E206)&lt;=90,"Mise en demeure (recommandé)","Contentieux : injonction de payer")))))))</f>
        <v/>
      </c>
      <c r="M206" t="str">
        <f>IFERROR(MATCH(175,fa_rank,0),"")</f>
        <v/>
      </c>
    </row>
    <row r="207">
      <c r="B207" s="78" t="str">
        <f>IF($M207="","",INDEX(fa_num,$M207)&amp;"")</f>
        <v/>
      </c>
      <c r="C207" s="79" t="str">
        <f>IF($M207="","",INDEX(fa_cname,$M207)&amp;"")</f>
        <v/>
      </c>
      <c r="D207" s="56" t="str">
        <f>IF($M207="","",INDEX(fa_date,$M207))</f>
        <v/>
      </c>
      <c r="E207" s="56" t="str">
        <f>IF($M207="","",INDEX(fa_due,$M207))</f>
        <v/>
      </c>
      <c r="F207" s="75" t="str">
        <f>IF($M207="","",INDEX(fa_ttc,$M207))</f>
        <v/>
      </c>
      <c r="G207" s="75" t="str">
        <f>IF($M207="","",INDEX(fa_paid,$M207)+INDEX(fa_avoirs,$M207))</f>
        <v/>
      </c>
      <c r="H207" s="75" t="str">
        <f>IF($M207="","",INDEX(fa_reste,$M207))</f>
        <v/>
      </c>
      <c r="I207" s="58" t="str">
        <f>IF($M207="","",MAX(0,p_asof-E207))</f>
        <v/>
      </c>
      <c r="J207" s="78" t="str">
        <f>IF($M207="","",INDEX(fa_tranche,$M207)&amp;"")</f>
        <v/>
      </c>
      <c r="K207" s="56" t="str">
        <f>IF($M207="","",IF(ISNUMBER(INDEX(fa_relance,$M207)),INDEX(fa_relance,$M207),""))</f>
        <v/>
      </c>
      <c r="L207" s="79" t="str">
        <f>IF($M207="","",IF(AND(ISNUMBER(K207),(p_asof-E207)&gt;0,(p_asof-N(K207))&gt;=0,(p_asof-N(K207))&lt;7),"Déjà relancée il y a "&amp;(p_asof-N(K207))&amp;" j",IF((p_asof-E207)&lt;=0,IF((p_asof-E207)&gt;-8,"Rappel courtois avant l'échéance","Aucune action"),IF((p_asof-E207)&lt;=15,"Relance 1 : e-mail de rappel",IF((p_asof-E207)&lt;=30,"Relance 2 : appel téléphonique",IF((p_asof-E207)&lt;=60,"Relance 3 : lettre de relance",IF((p_asof-E207)&lt;=90,"Mise en demeure (recommandé)","Contentieux : injonction de payer")))))))</f>
        <v/>
      </c>
      <c r="M207" t="str">
        <f>IFERROR(MATCH(176,fa_rank,0),"")</f>
        <v/>
      </c>
    </row>
    <row r="208">
      <c r="B208" s="78" t="str">
        <f>IF($M208="","",INDEX(fa_num,$M208)&amp;"")</f>
        <v/>
      </c>
      <c r="C208" s="79" t="str">
        <f>IF($M208="","",INDEX(fa_cname,$M208)&amp;"")</f>
        <v/>
      </c>
      <c r="D208" s="56" t="str">
        <f>IF($M208="","",INDEX(fa_date,$M208))</f>
        <v/>
      </c>
      <c r="E208" s="56" t="str">
        <f>IF($M208="","",INDEX(fa_due,$M208))</f>
        <v/>
      </c>
      <c r="F208" s="75" t="str">
        <f>IF($M208="","",INDEX(fa_ttc,$M208))</f>
        <v/>
      </c>
      <c r="G208" s="75" t="str">
        <f>IF($M208="","",INDEX(fa_paid,$M208)+INDEX(fa_avoirs,$M208))</f>
        <v/>
      </c>
      <c r="H208" s="75" t="str">
        <f>IF($M208="","",INDEX(fa_reste,$M208))</f>
        <v/>
      </c>
      <c r="I208" s="58" t="str">
        <f>IF($M208="","",MAX(0,p_asof-E208))</f>
        <v/>
      </c>
      <c r="J208" s="78" t="str">
        <f>IF($M208="","",INDEX(fa_tranche,$M208)&amp;"")</f>
        <v/>
      </c>
      <c r="K208" s="56" t="str">
        <f>IF($M208="","",IF(ISNUMBER(INDEX(fa_relance,$M208)),INDEX(fa_relance,$M208),""))</f>
        <v/>
      </c>
      <c r="L208" s="79" t="str">
        <f>IF($M208="","",IF(AND(ISNUMBER(K208),(p_asof-E208)&gt;0,(p_asof-N(K208))&gt;=0,(p_asof-N(K208))&lt;7),"Déjà relancée il y a "&amp;(p_asof-N(K208))&amp;" j",IF((p_asof-E208)&lt;=0,IF((p_asof-E208)&gt;-8,"Rappel courtois avant l'échéance","Aucune action"),IF((p_asof-E208)&lt;=15,"Relance 1 : e-mail de rappel",IF((p_asof-E208)&lt;=30,"Relance 2 : appel téléphonique",IF((p_asof-E208)&lt;=60,"Relance 3 : lettre de relance",IF((p_asof-E208)&lt;=90,"Mise en demeure (recommandé)","Contentieux : injonction de payer")))))))</f>
        <v/>
      </c>
      <c r="M208" t="str">
        <f>IFERROR(MATCH(177,fa_rank,0),"")</f>
        <v/>
      </c>
    </row>
    <row r="209">
      <c r="B209" s="78" t="str">
        <f>IF($M209="","",INDEX(fa_num,$M209)&amp;"")</f>
        <v/>
      </c>
      <c r="C209" s="79" t="str">
        <f>IF($M209="","",INDEX(fa_cname,$M209)&amp;"")</f>
        <v/>
      </c>
      <c r="D209" s="56" t="str">
        <f>IF($M209="","",INDEX(fa_date,$M209))</f>
        <v/>
      </c>
      <c r="E209" s="56" t="str">
        <f>IF($M209="","",INDEX(fa_due,$M209))</f>
        <v/>
      </c>
      <c r="F209" s="75" t="str">
        <f>IF($M209="","",INDEX(fa_ttc,$M209))</f>
        <v/>
      </c>
      <c r="G209" s="75" t="str">
        <f>IF($M209="","",INDEX(fa_paid,$M209)+INDEX(fa_avoirs,$M209))</f>
        <v/>
      </c>
      <c r="H209" s="75" t="str">
        <f>IF($M209="","",INDEX(fa_reste,$M209))</f>
        <v/>
      </c>
      <c r="I209" s="58" t="str">
        <f>IF($M209="","",MAX(0,p_asof-E209))</f>
        <v/>
      </c>
      <c r="J209" s="78" t="str">
        <f>IF($M209="","",INDEX(fa_tranche,$M209)&amp;"")</f>
        <v/>
      </c>
      <c r="K209" s="56" t="str">
        <f>IF($M209="","",IF(ISNUMBER(INDEX(fa_relance,$M209)),INDEX(fa_relance,$M209),""))</f>
        <v/>
      </c>
      <c r="L209" s="79" t="str">
        <f>IF($M209="","",IF(AND(ISNUMBER(K209),(p_asof-E209)&gt;0,(p_asof-N(K209))&gt;=0,(p_asof-N(K209))&lt;7),"Déjà relancée il y a "&amp;(p_asof-N(K209))&amp;" j",IF((p_asof-E209)&lt;=0,IF((p_asof-E209)&gt;-8,"Rappel courtois avant l'échéance","Aucune action"),IF((p_asof-E209)&lt;=15,"Relance 1 : e-mail de rappel",IF((p_asof-E209)&lt;=30,"Relance 2 : appel téléphonique",IF((p_asof-E209)&lt;=60,"Relance 3 : lettre de relance",IF((p_asof-E209)&lt;=90,"Mise en demeure (recommandé)","Contentieux : injonction de payer")))))))</f>
        <v/>
      </c>
      <c r="M209" t="str">
        <f>IFERROR(MATCH(178,fa_rank,0),"")</f>
        <v/>
      </c>
    </row>
    <row r="210">
      <c r="B210" s="78" t="str">
        <f>IF($M210="","",INDEX(fa_num,$M210)&amp;"")</f>
        <v/>
      </c>
      <c r="C210" s="79" t="str">
        <f>IF($M210="","",INDEX(fa_cname,$M210)&amp;"")</f>
        <v/>
      </c>
      <c r="D210" s="56" t="str">
        <f>IF($M210="","",INDEX(fa_date,$M210))</f>
        <v/>
      </c>
      <c r="E210" s="56" t="str">
        <f>IF($M210="","",INDEX(fa_due,$M210))</f>
        <v/>
      </c>
      <c r="F210" s="75" t="str">
        <f>IF($M210="","",INDEX(fa_ttc,$M210))</f>
        <v/>
      </c>
      <c r="G210" s="75" t="str">
        <f>IF($M210="","",INDEX(fa_paid,$M210)+INDEX(fa_avoirs,$M210))</f>
        <v/>
      </c>
      <c r="H210" s="75" t="str">
        <f>IF($M210="","",INDEX(fa_reste,$M210))</f>
        <v/>
      </c>
      <c r="I210" s="58" t="str">
        <f>IF($M210="","",MAX(0,p_asof-E210))</f>
        <v/>
      </c>
      <c r="J210" s="78" t="str">
        <f>IF($M210="","",INDEX(fa_tranche,$M210)&amp;"")</f>
        <v/>
      </c>
      <c r="K210" s="56" t="str">
        <f>IF($M210="","",IF(ISNUMBER(INDEX(fa_relance,$M210)),INDEX(fa_relance,$M210),""))</f>
        <v/>
      </c>
      <c r="L210" s="79" t="str">
        <f>IF($M210="","",IF(AND(ISNUMBER(K210),(p_asof-E210)&gt;0,(p_asof-N(K210))&gt;=0,(p_asof-N(K210))&lt;7),"Déjà relancée il y a "&amp;(p_asof-N(K210))&amp;" j",IF((p_asof-E210)&lt;=0,IF((p_asof-E210)&gt;-8,"Rappel courtois avant l'échéance","Aucune action"),IF((p_asof-E210)&lt;=15,"Relance 1 : e-mail de rappel",IF((p_asof-E210)&lt;=30,"Relance 2 : appel téléphonique",IF((p_asof-E210)&lt;=60,"Relance 3 : lettre de relance",IF((p_asof-E210)&lt;=90,"Mise en demeure (recommandé)","Contentieux : injonction de payer")))))))</f>
        <v/>
      </c>
      <c r="M210" t="str">
        <f>IFERROR(MATCH(179,fa_rank,0),"")</f>
        <v/>
      </c>
    </row>
    <row r="211">
      <c r="B211" s="78" t="str">
        <f>IF($M211="","",INDEX(fa_num,$M211)&amp;"")</f>
        <v/>
      </c>
      <c r="C211" s="79" t="str">
        <f>IF($M211="","",INDEX(fa_cname,$M211)&amp;"")</f>
        <v/>
      </c>
      <c r="D211" s="56" t="str">
        <f>IF($M211="","",INDEX(fa_date,$M211))</f>
        <v/>
      </c>
      <c r="E211" s="56" t="str">
        <f>IF($M211="","",INDEX(fa_due,$M211))</f>
        <v/>
      </c>
      <c r="F211" s="75" t="str">
        <f>IF($M211="","",INDEX(fa_ttc,$M211))</f>
        <v/>
      </c>
      <c r="G211" s="75" t="str">
        <f>IF($M211="","",INDEX(fa_paid,$M211)+INDEX(fa_avoirs,$M211))</f>
        <v/>
      </c>
      <c r="H211" s="75" t="str">
        <f>IF($M211="","",INDEX(fa_reste,$M211))</f>
        <v/>
      </c>
      <c r="I211" s="58" t="str">
        <f>IF($M211="","",MAX(0,p_asof-E211))</f>
        <v/>
      </c>
      <c r="J211" s="78" t="str">
        <f>IF($M211="","",INDEX(fa_tranche,$M211)&amp;"")</f>
        <v/>
      </c>
      <c r="K211" s="56" t="str">
        <f>IF($M211="","",IF(ISNUMBER(INDEX(fa_relance,$M211)),INDEX(fa_relance,$M211),""))</f>
        <v/>
      </c>
      <c r="L211" s="79" t="str">
        <f>IF($M211="","",IF(AND(ISNUMBER(K211),(p_asof-E211)&gt;0,(p_asof-N(K211))&gt;=0,(p_asof-N(K211))&lt;7),"Déjà relancée il y a "&amp;(p_asof-N(K211))&amp;" j",IF((p_asof-E211)&lt;=0,IF((p_asof-E211)&gt;-8,"Rappel courtois avant l'échéance","Aucune action"),IF((p_asof-E211)&lt;=15,"Relance 1 : e-mail de rappel",IF((p_asof-E211)&lt;=30,"Relance 2 : appel téléphonique",IF((p_asof-E211)&lt;=60,"Relance 3 : lettre de relance",IF((p_asof-E211)&lt;=90,"Mise en demeure (recommandé)","Contentieux : injonction de payer")))))))</f>
        <v/>
      </c>
      <c r="M211" t="str">
        <f>IFERROR(MATCH(180,fa_rank,0),"")</f>
        <v/>
      </c>
    </row>
    <row r="212">
      <c r="B212" s="78" t="str">
        <f>IF($M212="","",INDEX(fa_num,$M212)&amp;"")</f>
        <v/>
      </c>
      <c r="C212" s="79" t="str">
        <f>IF($M212="","",INDEX(fa_cname,$M212)&amp;"")</f>
        <v/>
      </c>
      <c r="D212" s="56" t="str">
        <f>IF($M212="","",INDEX(fa_date,$M212))</f>
        <v/>
      </c>
      <c r="E212" s="56" t="str">
        <f>IF($M212="","",INDEX(fa_due,$M212))</f>
        <v/>
      </c>
      <c r="F212" s="75" t="str">
        <f>IF($M212="","",INDEX(fa_ttc,$M212))</f>
        <v/>
      </c>
      <c r="G212" s="75" t="str">
        <f>IF($M212="","",INDEX(fa_paid,$M212)+INDEX(fa_avoirs,$M212))</f>
        <v/>
      </c>
      <c r="H212" s="75" t="str">
        <f>IF($M212="","",INDEX(fa_reste,$M212))</f>
        <v/>
      </c>
      <c r="I212" s="58" t="str">
        <f>IF($M212="","",MAX(0,p_asof-E212))</f>
        <v/>
      </c>
      <c r="J212" s="78" t="str">
        <f>IF($M212="","",INDEX(fa_tranche,$M212)&amp;"")</f>
        <v/>
      </c>
      <c r="K212" s="56" t="str">
        <f>IF($M212="","",IF(ISNUMBER(INDEX(fa_relance,$M212)),INDEX(fa_relance,$M212),""))</f>
        <v/>
      </c>
      <c r="L212" s="79" t="str">
        <f>IF($M212="","",IF(AND(ISNUMBER(K212),(p_asof-E212)&gt;0,(p_asof-N(K212))&gt;=0,(p_asof-N(K212))&lt;7),"Déjà relancée il y a "&amp;(p_asof-N(K212))&amp;" j",IF((p_asof-E212)&lt;=0,IF((p_asof-E212)&gt;-8,"Rappel courtois avant l'échéance","Aucune action"),IF((p_asof-E212)&lt;=15,"Relance 1 : e-mail de rappel",IF((p_asof-E212)&lt;=30,"Relance 2 : appel téléphonique",IF((p_asof-E212)&lt;=60,"Relance 3 : lettre de relance",IF((p_asof-E212)&lt;=90,"Mise en demeure (recommandé)","Contentieux : injonction de payer")))))))</f>
        <v/>
      </c>
      <c r="M212" t="str">
        <f>IFERROR(MATCH(181,fa_rank,0),"")</f>
        <v/>
      </c>
    </row>
    <row r="213">
      <c r="B213" s="78" t="str">
        <f>IF($M213="","",INDEX(fa_num,$M213)&amp;"")</f>
        <v/>
      </c>
      <c r="C213" s="79" t="str">
        <f>IF($M213="","",INDEX(fa_cname,$M213)&amp;"")</f>
        <v/>
      </c>
      <c r="D213" s="56" t="str">
        <f>IF($M213="","",INDEX(fa_date,$M213))</f>
        <v/>
      </c>
      <c r="E213" s="56" t="str">
        <f>IF($M213="","",INDEX(fa_due,$M213))</f>
        <v/>
      </c>
      <c r="F213" s="75" t="str">
        <f>IF($M213="","",INDEX(fa_ttc,$M213))</f>
        <v/>
      </c>
      <c r="G213" s="75" t="str">
        <f>IF($M213="","",INDEX(fa_paid,$M213)+INDEX(fa_avoirs,$M213))</f>
        <v/>
      </c>
      <c r="H213" s="75" t="str">
        <f>IF($M213="","",INDEX(fa_reste,$M213))</f>
        <v/>
      </c>
      <c r="I213" s="58" t="str">
        <f>IF($M213="","",MAX(0,p_asof-E213))</f>
        <v/>
      </c>
      <c r="J213" s="78" t="str">
        <f>IF($M213="","",INDEX(fa_tranche,$M213)&amp;"")</f>
        <v/>
      </c>
      <c r="K213" s="56" t="str">
        <f>IF($M213="","",IF(ISNUMBER(INDEX(fa_relance,$M213)),INDEX(fa_relance,$M213),""))</f>
        <v/>
      </c>
      <c r="L213" s="79" t="str">
        <f>IF($M213="","",IF(AND(ISNUMBER(K213),(p_asof-E213)&gt;0,(p_asof-N(K213))&gt;=0,(p_asof-N(K213))&lt;7),"Déjà relancée il y a "&amp;(p_asof-N(K213))&amp;" j",IF((p_asof-E213)&lt;=0,IF((p_asof-E213)&gt;-8,"Rappel courtois avant l'échéance","Aucune action"),IF((p_asof-E213)&lt;=15,"Relance 1 : e-mail de rappel",IF((p_asof-E213)&lt;=30,"Relance 2 : appel téléphonique",IF((p_asof-E213)&lt;=60,"Relance 3 : lettre de relance",IF((p_asof-E213)&lt;=90,"Mise en demeure (recommandé)","Contentieux : injonction de payer")))))))</f>
        <v/>
      </c>
      <c r="M213" t="str">
        <f>IFERROR(MATCH(182,fa_rank,0),"")</f>
        <v/>
      </c>
    </row>
    <row r="214">
      <c r="B214" s="78" t="str">
        <f>IF($M214="","",INDEX(fa_num,$M214)&amp;"")</f>
        <v/>
      </c>
      <c r="C214" s="79" t="str">
        <f>IF($M214="","",INDEX(fa_cname,$M214)&amp;"")</f>
        <v/>
      </c>
      <c r="D214" s="56" t="str">
        <f>IF($M214="","",INDEX(fa_date,$M214))</f>
        <v/>
      </c>
      <c r="E214" s="56" t="str">
        <f>IF($M214="","",INDEX(fa_due,$M214))</f>
        <v/>
      </c>
      <c r="F214" s="75" t="str">
        <f>IF($M214="","",INDEX(fa_ttc,$M214))</f>
        <v/>
      </c>
      <c r="G214" s="75" t="str">
        <f>IF($M214="","",INDEX(fa_paid,$M214)+INDEX(fa_avoirs,$M214))</f>
        <v/>
      </c>
      <c r="H214" s="75" t="str">
        <f>IF($M214="","",INDEX(fa_reste,$M214))</f>
        <v/>
      </c>
      <c r="I214" s="58" t="str">
        <f>IF($M214="","",MAX(0,p_asof-E214))</f>
        <v/>
      </c>
      <c r="J214" s="78" t="str">
        <f>IF($M214="","",INDEX(fa_tranche,$M214)&amp;"")</f>
        <v/>
      </c>
      <c r="K214" s="56" t="str">
        <f>IF($M214="","",IF(ISNUMBER(INDEX(fa_relance,$M214)),INDEX(fa_relance,$M214),""))</f>
        <v/>
      </c>
      <c r="L214" s="79" t="str">
        <f>IF($M214="","",IF(AND(ISNUMBER(K214),(p_asof-E214)&gt;0,(p_asof-N(K214))&gt;=0,(p_asof-N(K214))&lt;7),"Déjà relancée il y a "&amp;(p_asof-N(K214))&amp;" j",IF((p_asof-E214)&lt;=0,IF((p_asof-E214)&gt;-8,"Rappel courtois avant l'échéance","Aucune action"),IF((p_asof-E214)&lt;=15,"Relance 1 : e-mail de rappel",IF((p_asof-E214)&lt;=30,"Relance 2 : appel téléphonique",IF((p_asof-E214)&lt;=60,"Relance 3 : lettre de relance",IF((p_asof-E214)&lt;=90,"Mise en demeure (recommandé)","Contentieux : injonction de payer")))))))</f>
        <v/>
      </c>
      <c r="M214" t="str">
        <f>IFERROR(MATCH(183,fa_rank,0),"")</f>
        <v/>
      </c>
    </row>
    <row r="215">
      <c r="B215" s="78" t="str">
        <f>IF($M215="","",INDEX(fa_num,$M215)&amp;"")</f>
        <v/>
      </c>
      <c r="C215" s="79" t="str">
        <f>IF($M215="","",INDEX(fa_cname,$M215)&amp;"")</f>
        <v/>
      </c>
      <c r="D215" s="56" t="str">
        <f>IF($M215="","",INDEX(fa_date,$M215))</f>
        <v/>
      </c>
      <c r="E215" s="56" t="str">
        <f>IF($M215="","",INDEX(fa_due,$M215))</f>
        <v/>
      </c>
      <c r="F215" s="75" t="str">
        <f>IF($M215="","",INDEX(fa_ttc,$M215))</f>
        <v/>
      </c>
      <c r="G215" s="75" t="str">
        <f>IF($M215="","",INDEX(fa_paid,$M215)+INDEX(fa_avoirs,$M215))</f>
        <v/>
      </c>
      <c r="H215" s="75" t="str">
        <f>IF($M215="","",INDEX(fa_reste,$M215))</f>
        <v/>
      </c>
      <c r="I215" s="58" t="str">
        <f>IF($M215="","",MAX(0,p_asof-E215))</f>
        <v/>
      </c>
      <c r="J215" s="78" t="str">
        <f>IF($M215="","",INDEX(fa_tranche,$M215)&amp;"")</f>
        <v/>
      </c>
      <c r="K215" s="56" t="str">
        <f>IF($M215="","",IF(ISNUMBER(INDEX(fa_relance,$M215)),INDEX(fa_relance,$M215),""))</f>
        <v/>
      </c>
      <c r="L215" s="79" t="str">
        <f>IF($M215="","",IF(AND(ISNUMBER(K215),(p_asof-E215)&gt;0,(p_asof-N(K215))&gt;=0,(p_asof-N(K215))&lt;7),"Déjà relancée il y a "&amp;(p_asof-N(K215))&amp;" j",IF((p_asof-E215)&lt;=0,IF((p_asof-E215)&gt;-8,"Rappel courtois avant l'échéance","Aucune action"),IF((p_asof-E215)&lt;=15,"Relance 1 : e-mail de rappel",IF((p_asof-E215)&lt;=30,"Relance 2 : appel téléphonique",IF((p_asof-E215)&lt;=60,"Relance 3 : lettre de relance",IF((p_asof-E215)&lt;=90,"Mise en demeure (recommandé)","Contentieux : injonction de payer")))))))</f>
        <v/>
      </c>
      <c r="M215" t="str">
        <f>IFERROR(MATCH(184,fa_rank,0),"")</f>
        <v/>
      </c>
    </row>
    <row r="216">
      <c r="B216" s="78" t="str">
        <f>IF($M216="","",INDEX(fa_num,$M216)&amp;"")</f>
        <v/>
      </c>
      <c r="C216" s="79" t="str">
        <f>IF($M216="","",INDEX(fa_cname,$M216)&amp;"")</f>
        <v/>
      </c>
      <c r="D216" s="56" t="str">
        <f>IF($M216="","",INDEX(fa_date,$M216))</f>
        <v/>
      </c>
      <c r="E216" s="56" t="str">
        <f>IF($M216="","",INDEX(fa_due,$M216))</f>
        <v/>
      </c>
      <c r="F216" s="75" t="str">
        <f>IF($M216="","",INDEX(fa_ttc,$M216))</f>
        <v/>
      </c>
      <c r="G216" s="75" t="str">
        <f>IF($M216="","",INDEX(fa_paid,$M216)+INDEX(fa_avoirs,$M216))</f>
        <v/>
      </c>
      <c r="H216" s="75" t="str">
        <f>IF($M216="","",INDEX(fa_reste,$M216))</f>
        <v/>
      </c>
      <c r="I216" s="58" t="str">
        <f>IF($M216="","",MAX(0,p_asof-E216))</f>
        <v/>
      </c>
      <c r="J216" s="78" t="str">
        <f>IF($M216="","",INDEX(fa_tranche,$M216)&amp;"")</f>
        <v/>
      </c>
      <c r="K216" s="56" t="str">
        <f>IF($M216="","",IF(ISNUMBER(INDEX(fa_relance,$M216)),INDEX(fa_relance,$M216),""))</f>
        <v/>
      </c>
      <c r="L216" s="79" t="str">
        <f>IF($M216="","",IF(AND(ISNUMBER(K216),(p_asof-E216)&gt;0,(p_asof-N(K216))&gt;=0,(p_asof-N(K216))&lt;7),"Déjà relancée il y a "&amp;(p_asof-N(K216))&amp;" j",IF((p_asof-E216)&lt;=0,IF((p_asof-E216)&gt;-8,"Rappel courtois avant l'échéance","Aucune action"),IF((p_asof-E216)&lt;=15,"Relance 1 : e-mail de rappel",IF((p_asof-E216)&lt;=30,"Relance 2 : appel téléphonique",IF((p_asof-E216)&lt;=60,"Relance 3 : lettre de relance",IF((p_asof-E216)&lt;=90,"Mise en demeure (recommandé)","Contentieux : injonction de payer")))))))</f>
        <v/>
      </c>
      <c r="M216" t="str">
        <f>IFERROR(MATCH(185,fa_rank,0),"")</f>
        <v/>
      </c>
    </row>
    <row r="217">
      <c r="B217" s="78" t="str">
        <f>IF($M217="","",INDEX(fa_num,$M217)&amp;"")</f>
        <v/>
      </c>
      <c r="C217" s="79" t="str">
        <f>IF($M217="","",INDEX(fa_cname,$M217)&amp;"")</f>
        <v/>
      </c>
      <c r="D217" s="56" t="str">
        <f>IF($M217="","",INDEX(fa_date,$M217))</f>
        <v/>
      </c>
      <c r="E217" s="56" t="str">
        <f>IF($M217="","",INDEX(fa_due,$M217))</f>
        <v/>
      </c>
      <c r="F217" s="75" t="str">
        <f>IF($M217="","",INDEX(fa_ttc,$M217))</f>
        <v/>
      </c>
      <c r="G217" s="75" t="str">
        <f>IF($M217="","",INDEX(fa_paid,$M217)+INDEX(fa_avoirs,$M217))</f>
        <v/>
      </c>
      <c r="H217" s="75" t="str">
        <f>IF($M217="","",INDEX(fa_reste,$M217))</f>
        <v/>
      </c>
      <c r="I217" s="58" t="str">
        <f>IF($M217="","",MAX(0,p_asof-E217))</f>
        <v/>
      </c>
      <c r="J217" s="78" t="str">
        <f>IF($M217="","",INDEX(fa_tranche,$M217)&amp;"")</f>
        <v/>
      </c>
      <c r="K217" s="56" t="str">
        <f>IF($M217="","",IF(ISNUMBER(INDEX(fa_relance,$M217)),INDEX(fa_relance,$M217),""))</f>
        <v/>
      </c>
      <c r="L217" s="79" t="str">
        <f>IF($M217="","",IF(AND(ISNUMBER(K217),(p_asof-E217)&gt;0,(p_asof-N(K217))&gt;=0,(p_asof-N(K217))&lt;7),"Déjà relancée il y a "&amp;(p_asof-N(K217))&amp;" j",IF((p_asof-E217)&lt;=0,IF((p_asof-E217)&gt;-8,"Rappel courtois avant l'échéance","Aucune action"),IF((p_asof-E217)&lt;=15,"Relance 1 : e-mail de rappel",IF((p_asof-E217)&lt;=30,"Relance 2 : appel téléphonique",IF((p_asof-E217)&lt;=60,"Relance 3 : lettre de relance",IF((p_asof-E217)&lt;=90,"Mise en demeure (recommandé)","Contentieux : injonction de payer")))))))</f>
        <v/>
      </c>
      <c r="M217" t="str">
        <f>IFERROR(MATCH(186,fa_rank,0),"")</f>
        <v/>
      </c>
    </row>
    <row r="218">
      <c r="B218" s="78" t="str">
        <f>IF($M218="","",INDEX(fa_num,$M218)&amp;"")</f>
        <v/>
      </c>
      <c r="C218" s="79" t="str">
        <f>IF($M218="","",INDEX(fa_cname,$M218)&amp;"")</f>
        <v/>
      </c>
      <c r="D218" s="56" t="str">
        <f>IF($M218="","",INDEX(fa_date,$M218))</f>
        <v/>
      </c>
      <c r="E218" s="56" t="str">
        <f>IF($M218="","",INDEX(fa_due,$M218))</f>
        <v/>
      </c>
      <c r="F218" s="75" t="str">
        <f>IF($M218="","",INDEX(fa_ttc,$M218))</f>
        <v/>
      </c>
      <c r="G218" s="75" t="str">
        <f>IF($M218="","",INDEX(fa_paid,$M218)+INDEX(fa_avoirs,$M218))</f>
        <v/>
      </c>
      <c r="H218" s="75" t="str">
        <f>IF($M218="","",INDEX(fa_reste,$M218))</f>
        <v/>
      </c>
      <c r="I218" s="58" t="str">
        <f>IF($M218="","",MAX(0,p_asof-E218))</f>
        <v/>
      </c>
      <c r="J218" s="78" t="str">
        <f>IF($M218="","",INDEX(fa_tranche,$M218)&amp;"")</f>
        <v/>
      </c>
      <c r="K218" s="56" t="str">
        <f>IF($M218="","",IF(ISNUMBER(INDEX(fa_relance,$M218)),INDEX(fa_relance,$M218),""))</f>
        <v/>
      </c>
      <c r="L218" s="79" t="str">
        <f>IF($M218="","",IF(AND(ISNUMBER(K218),(p_asof-E218)&gt;0,(p_asof-N(K218))&gt;=0,(p_asof-N(K218))&lt;7),"Déjà relancée il y a "&amp;(p_asof-N(K218))&amp;" j",IF((p_asof-E218)&lt;=0,IF((p_asof-E218)&gt;-8,"Rappel courtois avant l'échéance","Aucune action"),IF((p_asof-E218)&lt;=15,"Relance 1 : e-mail de rappel",IF((p_asof-E218)&lt;=30,"Relance 2 : appel téléphonique",IF((p_asof-E218)&lt;=60,"Relance 3 : lettre de relance",IF((p_asof-E218)&lt;=90,"Mise en demeure (recommandé)","Contentieux : injonction de payer")))))))</f>
        <v/>
      </c>
      <c r="M218" t="str">
        <f>IFERROR(MATCH(187,fa_rank,0),"")</f>
        <v/>
      </c>
    </row>
    <row r="219">
      <c r="B219" s="78" t="str">
        <f>IF($M219="","",INDEX(fa_num,$M219)&amp;"")</f>
        <v/>
      </c>
      <c r="C219" s="79" t="str">
        <f>IF($M219="","",INDEX(fa_cname,$M219)&amp;"")</f>
        <v/>
      </c>
      <c r="D219" s="56" t="str">
        <f>IF($M219="","",INDEX(fa_date,$M219))</f>
        <v/>
      </c>
      <c r="E219" s="56" t="str">
        <f>IF($M219="","",INDEX(fa_due,$M219))</f>
        <v/>
      </c>
      <c r="F219" s="75" t="str">
        <f>IF($M219="","",INDEX(fa_ttc,$M219))</f>
        <v/>
      </c>
      <c r="G219" s="75" t="str">
        <f>IF($M219="","",INDEX(fa_paid,$M219)+INDEX(fa_avoirs,$M219))</f>
        <v/>
      </c>
      <c r="H219" s="75" t="str">
        <f>IF($M219="","",INDEX(fa_reste,$M219))</f>
        <v/>
      </c>
      <c r="I219" s="58" t="str">
        <f>IF($M219="","",MAX(0,p_asof-E219))</f>
        <v/>
      </c>
      <c r="J219" s="78" t="str">
        <f>IF($M219="","",INDEX(fa_tranche,$M219)&amp;"")</f>
        <v/>
      </c>
      <c r="K219" s="56" t="str">
        <f>IF($M219="","",IF(ISNUMBER(INDEX(fa_relance,$M219)),INDEX(fa_relance,$M219),""))</f>
        <v/>
      </c>
      <c r="L219" s="79" t="str">
        <f>IF($M219="","",IF(AND(ISNUMBER(K219),(p_asof-E219)&gt;0,(p_asof-N(K219))&gt;=0,(p_asof-N(K219))&lt;7),"Déjà relancée il y a "&amp;(p_asof-N(K219))&amp;" j",IF((p_asof-E219)&lt;=0,IF((p_asof-E219)&gt;-8,"Rappel courtois avant l'échéance","Aucune action"),IF((p_asof-E219)&lt;=15,"Relance 1 : e-mail de rappel",IF((p_asof-E219)&lt;=30,"Relance 2 : appel téléphonique",IF((p_asof-E219)&lt;=60,"Relance 3 : lettre de relance",IF((p_asof-E219)&lt;=90,"Mise en demeure (recommandé)","Contentieux : injonction de payer")))))))</f>
        <v/>
      </c>
      <c r="M219" t="str">
        <f>IFERROR(MATCH(188,fa_rank,0),"")</f>
        <v/>
      </c>
    </row>
    <row r="220">
      <c r="B220" s="78" t="str">
        <f>IF($M220="","",INDEX(fa_num,$M220)&amp;"")</f>
        <v/>
      </c>
      <c r="C220" s="79" t="str">
        <f>IF($M220="","",INDEX(fa_cname,$M220)&amp;"")</f>
        <v/>
      </c>
      <c r="D220" s="56" t="str">
        <f>IF($M220="","",INDEX(fa_date,$M220))</f>
        <v/>
      </c>
      <c r="E220" s="56" t="str">
        <f>IF($M220="","",INDEX(fa_due,$M220))</f>
        <v/>
      </c>
      <c r="F220" s="75" t="str">
        <f>IF($M220="","",INDEX(fa_ttc,$M220))</f>
        <v/>
      </c>
      <c r="G220" s="75" t="str">
        <f>IF($M220="","",INDEX(fa_paid,$M220)+INDEX(fa_avoirs,$M220))</f>
        <v/>
      </c>
      <c r="H220" s="75" t="str">
        <f>IF($M220="","",INDEX(fa_reste,$M220))</f>
        <v/>
      </c>
      <c r="I220" s="58" t="str">
        <f>IF($M220="","",MAX(0,p_asof-E220))</f>
        <v/>
      </c>
      <c r="J220" s="78" t="str">
        <f>IF($M220="","",INDEX(fa_tranche,$M220)&amp;"")</f>
        <v/>
      </c>
      <c r="K220" s="56" t="str">
        <f>IF($M220="","",IF(ISNUMBER(INDEX(fa_relance,$M220)),INDEX(fa_relance,$M220),""))</f>
        <v/>
      </c>
      <c r="L220" s="79" t="str">
        <f>IF($M220="","",IF(AND(ISNUMBER(K220),(p_asof-E220)&gt;0,(p_asof-N(K220))&gt;=0,(p_asof-N(K220))&lt;7),"Déjà relancée il y a "&amp;(p_asof-N(K220))&amp;" j",IF((p_asof-E220)&lt;=0,IF((p_asof-E220)&gt;-8,"Rappel courtois avant l'échéance","Aucune action"),IF((p_asof-E220)&lt;=15,"Relance 1 : e-mail de rappel",IF((p_asof-E220)&lt;=30,"Relance 2 : appel téléphonique",IF((p_asof-E220)&lt;=60,"Relance 3 : lettre de relance",IF((p_asof-E220)&lt;=90,"Mise en demeure (recommandé)","Contentieux : injonction de payer")))))))</f>
        <v/>
      </c>
      <c r="M220" t="str">
        <f>IFERROR(MATCH(189,fa_rank,0),"")</f>
        <v/>
      </c>
    </row>
    <row r="221">
      <c r="B221" s="78" t="str">
        <f>IF($M221="","",INDEX(fa_num,$M221)&amp;"")</f>
        <v/>
      </c>
      <c r="C221" s="79" t="str">
        <f>IF($M221="","",INDEX(fa_cname,$M221)&amp;"")</f>
        <v/>
      </c>
      <c r="D221" s="56" t="str">
        <f>IF($M221="","",INDEX(fa_date,$M221))</f>
        <v/>
      </c>
      <c r="E221" s="56" t="str">
        <f>IF($M221="","",INDEX(fa_due,$M221))</f>
        <v/>
      </c>
      <c r="F221" s="75" t="str">
        <f>IF($M221="","",INDEX(fa_ttc,$M221))</f>
        <v/>
      </c>
      <c r="G221" s="75" t="str">
        <f>IF($M221="","",INDEX(fa_paid,$M221)+INDEX(fa_avoirs,$M221))</f>
        <v/>
      </c>
      <c r="H221" s="75" t="str">
        <f>IF($M221="","",INDEX(fa_reste,$M221))</f>
        <v/>
      </c>
      <c r="I221" s="58" t="str">
        <f>IF($M221="","",MAX(0,p_asof-E221))</f>
        <v/>
      </c>
      <c r="J221" s="78" t="str">
        <f>IF($M221="","",INDEX(fa_tranche,$M221)&amp;"")</f>
        <v/>
      </c>
      <c r="K221" s="56" t="str">
        <f>IF($M221="","",IF(ISNUMBER(INDEX(fa_relance,$M221)),INDEX(fa_relance,$M221),""))</f>
        <v/>
      </c>
      <c r="L221" s="79" t="str">
        <f>IF($M221="","",IF(AND(ISNUMBER(K221),(p_asof-E221)&gt;0,(p_asof-N(K221))&gt;=0,(p_asof-N(K221))&lt;7),"Déjà relancée il y a "&amp;(p_asof-N(K221))&amp;" j",IF((p_asof-E221)&lt;=0,IF((p_asof-E221)&gt;-8,"Rappel courtois avant l'échéance","Aucune action"),IF((p_asof-E221)&lt;=15,"Relance 1 : e-mail de rappel",IF((p_asof-E221)&lt;=30,"Relance 2 : appel téléphonique",IF((p_asof-E221)&lt;=60,"Relance 3 : lettre de relance",IF((p_asof-E221)&lt;=90,"Mise en demeure (recommandé)","Contentieux : injonction de payer")))))))</f>
        <v/>
      </c>
      <c r="M221" t="str">
        <f>IFERROR(MATCH(190,fa_rank,0),"")</f>
        <v/>
      </c>
    </row>
    <row r="222">
      <c r="B222" s="78" t="str">
        <f>IF($M222="","",INDEX(fa_num,$M222)&amp;"")</f>
        <v/>
      </c>
      <c r="C222" s="79" t="str">
        <f>IF($M222="","",INDEX(fa_cname,$M222)&amp;"")</f>
        <v/>
      </c>
      <c r="D222" s="56" t="str">
        <f>IF($M222="","",INDEX(fa_date,$M222))</f>
        <v/>
      </c>
      <c r="E222" s="56" t="str">
        <f>IF($M222="","",INDEX(fa_due,$M222))</f>
        <v/>
      </c>
      <c r="F222" s="75" t="str">
        <f>IF($M222="","",INDEX(fa_ttc,$M222))</f>
        <v/>
      </c>
      <c r="G222" s="75" t="str">
        <f>IF($M222="","",INDEX(fa_paid,$M222)+INDEX(fa_avoirs,$M222))</f>
        <v/>
      </c>
      <c r="H222" s="75" t="str">
        <f>IF($M222="","",INDEX(fa_reste,$M222))</f>
        <v/>
      </c>
      <c r="I222" s="58" t="str">
        <f>IF($M222="","",MAX(0,p_asof-E222))</f>
        <v/>
      </c>
      <c r="J222" s="78" t="str">
        <f>IF($M222="","",INDEX(fa_tranche,$M222)&amp;"")</f>
        <v/>
      </c>
      <c r="K222" s="56" t="str">
        <f>IF($M222="","",IF(ISNUMBER(INDEX(fa_relance,$M222)),INDEX(fa_relance,$M222),""))</f>
        <v/>
      </c>
      <c r="L222" s="79" t="str">
        <f>IF($M222="","",IF(AND(ISNUMBER(K222),(p_asof-E222)&gt;0,(p_asof-N(K222))&gt;=0,(p_asof-N(K222))&lt;7),"Déjà relancée il y a "&amp;(p_asof-N(K222))&amp;" j",IF((p_asof-E222)&lt;=0,IF((p_asof-E222)&gt;-8,"Rappel courtois avant l'échéance","Aucune action"),IF((p_asof-E222)&lt;=15,"Relance 1 : e-mail de rappel",IF((p_asof-E222)&lt;=30,"Relance 2 : appel téléphonique",IF((p_asof-E222)&lt;=60,"Relance 3 : lettre de relance",IF((p_asof-E222)&lt;=90,"Mise en demeure (recommandé)","Contentieux : injonction de payer")))))))</f>
        <v/>
      </c>
      <c r="M222" t="str">
        <f>IFERROR(MATCH(191,fa_rank,0),"")</f>
        <v/>
      </c>
    </row>
    <row r="223">
      <c r="B223" s="78" t="str">
        <f>IF($M223="","",INDEX(fa_num,$M223)&amp;"")</f>
        <v/>
      </c>
      <c r="C223" s="79" t="str">
        <f>IF($M223="","",INDEX(fa_cname,$M223)&amp;"")</f>
        <v/>
      </c>
      <c r="D223" s="56" t="str">
        <f>IF($M223="","",INDEX(fa_date,$M223))</f>
        <v/>
      </c>
      <c r="E223" s="56" t="str">
        <f>IF($M223="","",INDEX(fa_due,$M223))</f>
        <v/>
      </c>
      <c r="F223" s="75" t="str">
        <f>IF($M223="","",INDEX(fa_ttc,$M223))</f>
        <v/>
      </c>
      <c r="G223" s="75" t="str">
        <f>IF($M223="","",INDEX(fa_paid,$M223)+INDEX(fa_avoirs,$M223))</f>
        <v/>
      </c>
      <c r="H223" s="75" t="str">
        <f>IF($M223="","",INDEX(fa_reste,$M223))</f>
        <v/>
      </c>
      <c r="I223" s="58" t="str">
        <f>IF($M223="","",MAX(0,p_asof-E223))</f>
        <v/>
      </c>
      <c r="J223" s="78" t="str">
        <f>IF($M223="","",INDEX(fa_tranche,$M223)&amp;"")</f>
        <v/>
      </c>
      <c r="K223" s="56" t="str">
        <f>IF($M223="","",IF(ISNUMBER(INDEX(fa_relance,$M223)),INDEX(fa_relance,$M223),""))</f>
        <v/>
      </c>
      <c r="L223" s="79" t="str">
        <f>IF($M223="","",IF(AND(ISNUMBER(K223),(p_asof-E223)&gt;0,(p_asof-N(K223))&gt;=0,(p_asof-N(K223))&lt;7),"Déjà relancée il y a "&amp;(p_asof-N(K223))&amp;" j",IF((p_asof-E223)&lt;=0,IF((p_asof-E223)&gt;-8,"Rappel courtois avant l'échéance","Aucune action"),IF((p_asof-E223)&lt;=15,"Relance 1 : e-mail de rappel",IF((p_asof-E223)&lt;=30,"Relance 2 : appel téléphonique",IF((p_asof-E223)&lt;=60,"Relance 3 : lettre de relance",IF((p_asof-E223)&lt;=90,"Mise en demeure (recommandé)","Contentieux : injonction de payer")))))))</f>
        <v/>
      </c>
      <c r="M223" t="str">
        <f>IFERROR(MATCH(192,fa_rank,0),"")</f>
        <v/>
      </c>
    </row>
    <row r="224">
      <c r="B224" s="78" t="str">
        <f>IF($M224="","",INDEX(fa_num,$M224)&amp;"")</f>
        <v/>
      </c>
      <c r="C224" s="79" t="str">
        <f>IF($M224="","",INDEX(fa_cname,$M224)&amp;"")</f>
        <v/>
      </c>
      <c r="D224" s="56" t="str">
        <f>IF($M224="","",INDEX(fa_date,$M224))</f>
        <v/>
      </c>
      <c r="E224" s="56" t="str">
        <f>IF($M224="","",INDEX(fa_due,$M224))</f>
        <v/>
      </c>
      <c r="F224" s="75" t="str">
        <f>IF($M224="","",INDEX(fa_ttc,$M224))</f>
        <v/>
      </c>
      <c r="G224" s="75" t="str">
        <f>IF($M224="","",INDEX(fa_paid,$M224)+INDEX(fa_avoirs,$M224))</f>
        <v/>
      </c>
      <c r="H224" s="75" t="str">
        <f>IF($M224="","",INDEX(fa_reste,$M224))</f>
        <v/>
      </c>
      <c r="I224" s="58" t="str">
        <f>IF($M224="","",MAX(0,p_asof-E224))</f>
        <v/>
      </c>
      <c r="J224" s="78" t="str">
        <f>IF($M224="","",INDEX(fa_tranche,$M224)&amp;"")</f>
        <v/>
      </c>
      <c r="K224" s="56" t="str">
        <f>IF($M224="","",IF(ISNUMBER(INDEX(fa_relance,$M224)),INDEX(fa_relance,$M224),""))</f>
        <v/>
      </c>
      <c r="L224" s="79" t="str">
        <f>IF($M224="","",IF(AND(ISNUMBER(K224),(p_asof-E224)&gt;0,(p_asof-N(K224))&gt;=0,(p_asof-N(K224))&lt;7),"Déjà relancée il y a "&amp;(p_asof-N(K224))&amp;" j",IF((p_asof-E224)&lt;=0,IF((p_asof-E224)&gt;-8,"Rappel courtois avant l'échéance","Aucune action"),IF((p_asof-E224)&lt;=15,"Relance 1 : e-mail de rappel",IF((p_asof-E224)&lt;=30,"Relance 2 : appel téléphonique",IF((p_asof-E224)&lt;=60,"Relance 3 : lettre de relance",IF((p_asof-E224)&lt;=90,"Mise en demeure (recommandé)","Contentieux : injonction de payer")))))))</f>
        <v/>
      </c>
      <c r="M224" t="str">
        <f>IFERROR(MATCH(193,fa_rank,0),"")</f>
        <v/>
      </c>
    </row>
    <row r="225">
      <c r="B225" s="78" t="str">
        <f>IF($M225="","",INDEX(fa_num,$M225)&amp;"")</f>
        <v/>
      </c>
      <c r="C225" s="79" t="str">
        <f>IF($M225="","",INDEX(fa_cname,$M225)&amp;"")</f>
        <v/>
      </c>
      <c r="D225" s="56" t="str">
        <f>IF($M225="","",INDEX(fa_date,$M225))</f>
        <v/>
      </c>
      <c r="E225" s="56" t="str">
        <f>IF($M225="","",INDEX(fa_due,$M225))</f>
        <v/>
      </c>
      <c r="F225" s="75" t="str">
        <f>IF($M225="","",INDEX(fa_ttc,$M225))</f>
        <v/>
      </c>
      <c r="G225" s="75" t="str">
        <f>IF($M225="","",INDEX(fa_paid,$M225)+INDEX(fa_avoirs,$M225))</f>
        <v/>
      </c>
      <c r="H225" s="75" t="str">
        <f>IF($M225="","",INDEX(fa_reste,$M225))</f>
        <v/>
      </c>
      <c r="I225" s="58" t="str">
        <f>IF($M225="","",MAX(0,p_asof-E225))</f>
        <v/>
      </c>
      <c r="J225" s="78" t="str">
        <f>IF($M225="","",INDEX(fa_tranche,$M225)&amp;"")</f>
        <v/>
      </c>
      <c r="K225" s="56" t="str">
        <f>IF($M225="","",IF(ISNUMBER(INDEX(fa_relance,$M225)),INDEX(fa_relance,$M225),""))</f>
        <v/>
      </c>
      <c r="L225" s="79" t="str">
        <f>IF($M225="","",IF(AND(ISNUMBER(K225),(p_asof-E225)&gt;0,(p_asof-N(K225))&gt;=0,(p_asof-N(K225))&lt;7),"Déjà relancée il y a "&amp;(p_asof-N(K225))&amp;" j",IF((p_asof-E225)&lt;=0,IF((p_asof-E225)&gt;-8,"Rappel courtois avant l'échéance","Aucune action"),IF((p_asof-E225)&lt;=15,"Relance 1 : e-mail de rappel",IF((p_asof-E225)&lt;=30,"Relance 2 : appel téléphonique",IF((p_asof-E225)&lt;=60,"Relance 3 : lettre de relance",IF((p_asof-E225)&lt;=90,"Mise en demeure (recommandé)","Contentieux : injonction de payer")))))))</f>
        <v/>
      </c>
      <c r="M225" t="str">
        <f>IFERROR(MATCH(194,fa_rank,0),"")</f>
        <v/>
      </c>
    </row>
    <row r="226">
      <c r="B226" s="78" t="str">
        <f>IF($M226="","",INDEX(fa_num,$M226)&amp;"")</f>
        <v/>
      </c>
      <c r="C226" s="79" t="str">
        <f>IF($M226="","",INDEX(fa_cname,$M226)&amp;"")</f>
        <v/>
      </c>
      <c r="D226" s="56" t="str">
        <f>IF($M226="","",INDEX(fa_date,$M226))</f>
        <v/>
      </c>
      <c r="E226" s="56" t="str">
        <f>IF($M226="","",INDEX(fa_due,$M226))</f>
        <v/>
      </c>
      <c r="F226" s="75" t="str">
        <f>IF($M226="","",INDEX(fa_ttc,$M226))</f>
        <v/>
      </c>
      <c r="G226" s="75" t="str">
        <f>IF($M226="","",INDEX(fa_paid,$M226)+INDEX(fa_avoirs,$M226))</f>
        <v/>
      </c>
      <c r="H226" s="75" t="str">
        <f>IF($M226="","",INDEX(fa_reste,$M226))</f>
        <v/>
      </c>
      <c r="I226" s="58" t="str">
        <f>IF($M226="","",MAX(0,p_asof-E226))</f>
        <v/>
      </c>
      <c r="J226" s="78" t="str">
        <f>IF($M226="","",INDEX(fa_tranche,$M226)&amp;"")</f>
        <v/>
      </c>
      <c r="K226" s="56" t="str">
        <f>IF($M226="","",IF(ISNUMBER(INDEX(fa_relance,$M226)),INDEX(fa_relance,$M226),""))</f>
        <v/>
      </c>
      <c r="L226" s="79" t="str">
        <f>IF($M226="","",IF(AND(ISNUMBER(K226),(p_asof-E226)&gt;0,(p_asof-N(K226))&gt;=0,(p_asof-N(K226))&lt;7),"Déjà relancée il y a "&amp;(p_asof-N(K226))&amp;" j",IF((p_asof-E226)&lt;=0,IF((p_asof-E226)&gt;-8,"Rappel courtois avant l'échéance","Aucune action"),IF((p_asof-E226)&lt;=15,"Relance 1 : e-mail de rappel",IF((p_asof-E226)&lt;=30,"Relance 2 : appel téléphonique",IF((p_asof-E226)&lt;=60,"Relance 3 : lettre de relance",IF((p_asof-E226)&lt;=90,"Mise en demeure (recommandé)","Contentieux : injonction de payer")))))))</f>
        <v/>
      </c>
      <c r="M226" t="str">
        <f>IFERROR(MATCH(195,fa_rank,0),"")</f>
        <v/>
      </c>
    </row>
    <row r="227">
      <c r="B227" s="78" t="str">
        <f>IF($M227="","",INDEX(fa_num,$M227)&amp;"")</f>
        <v/>
      </c>
      <c r="C227" s="79" t="str">
        <f>IF($M227="","",INDEX(fa_cname,$M227)&amp;"")</f>
        <v/>
      </c>
      <c r="D227" s="56" t="str">
        <f>IF($M227="","",INDEX(fa_date,$M227))</f>
        <v/>
      </c>
      <c r="E227" s="56" t="str">
        <f>IF($M227="","",INDEX(fa_due,$M227))</f>
        <v/>
      </c>
      <c r="F227" s="75" t="str">
        <f>IF($M227="","",INDEX(fa_ttc,$M227))</f>
        <v/>
      </c>
      <c r="G227" s="75" t="str">
        <f>IF($M227="","",INDEX(fa_paid,$M227)+INDEX(fa_avoirs,$M227))</f>
        <v/>
      </c>
      <c r="H227" s="75" t="str">
        <f>IF($M227="","",INDEX(fa_reste,$M227))</f>
        <v/>
      </c>
      <c r="I227" s="58" t="str">
        <f>IF($M227="","",MAX(0,p_asof-E227))</f>
        <v/>
      </c>
      <c r="J227" s="78" t="str">
        <f>IF($M227="","",INDEX(fa_tranche,$M227)&amp;"")</f>
        <v/>
      </c>
      <c r="K227" s="56" t="str">
        <f>IF($M227="","",IF(ISNUMBER(INDEX(fa_relance,$M227)),INDEX(fa_relance,$M227),""))</f>
        <v/>
      </c>
      <c r="L227" s="79" t="str">
        <f>IF($M227="","",IF(AND(ISNUMBER(K227),(p_asof-E227)&gt;0,(p_asof-N(K227))&gt;=0,(p_asof-N(K227))&lt;7),"Déjà relancée il y a "&amp;(p_asof-N(K227))&amp;" j",IF((p_asof-E227)&lt;=0,IF((p_asof-E227)&gt;-8,"Rappel courtois avant l'échéance","Aucune action"),IF((p_asof-E227)&lt;=15,"Relance 1 : e-mail de rappel",IF((p_asof-E227)&lt;=30,"Relance 2 : appel téléphonique",IF((p_asof-E227)&lt;=60,"Relance 3 : lettre de relance",IF((p_asof-E227)&lt;=90,"Mise en demeure (recommandé)","Contentieux : injonction de payer")))))))</f>
        <v/>
      </c>
      <c r="M227" t="str">
        <f>IFERROR(MATCH(196,fa_rank,0),"")</f>
        <v/>
      </c>
    </row>
    <row r="228">
      <c r="B228" s="78" t="str">
        <f>IF($M228="","",INDEX(fa_num,$M228)&amp;"")</f>
        <v/>
      </c>
      <c r="C228" s="79" t="str">
        <f>IF($M228="","",INDEX(fa_cname,$M228)&amp;"")</f>
        <v/>
      </c>
      <c r="D228" s="56" t="str">
        <f>IF($M228="","",INDEX(fa_date,$M228))</f>
        <v/>
      </c>
      <c r="E228" s="56" t="str">
        <f>IF($M228="","",INDEX(fa_due,$M228))</f>
        <v/>
      </c>
      <c r="F228" s="75" t="str">
        <f>IF($M228="","",INDEX(fa_ttc,$M228))</f>
        <v/>
      </c>
      <c r="G228" s="75" t="str">
        <f>IF($M228="","",INDEX(fa_paid,$M228)+INDEX(fa_avoirs,$M228))</f>
        <v/>
      </c>
      <c r="H228" s="75" t="str">
        <f>IF($M228="","",INDEX(fa_reste,$M228))</f>
        <v/>
      </c>
      <c r="I228" s="58" t="str">
        <f>IF($M228="","",MAX(0,p_asof-E228))</f>
        <v/>
      </c>
      <c r="J228" s="78" t="str">
        <f>IF($M228="","",INDEX(fa_tranche,$M228)&amp;"")</f>
        <v/>
      </c>
      <c r="K228" s="56" t="str">
        <f>IF($M228="","",IF(ISNUMBER(INDEX(fa_relance,$M228)),INDEX(fa_relance,$M228),""))</f>
        <v/>
      </c>
      <c r="L228" s="79" t="str">
        <f>IF($M228="","",IF(AND(ISNUMBER(K228),(p_asof-E228)&gt;0,(p_asof-N(K228))&gt;=0,(p_asof-N(K228))&lt;7),"Déjà relancée il y a "&amp;(p_asof-N(K228))&amp;" j",IF((p_asof-E228)&lt;=0,IF((p_asof-E228)&gt;-8,"Rappel courtois avant l'échéance","Aucune action"),IF((p_asof-E228)&lt;=15,"Relance 1 : e-mail de rappel",IF((p_asof-E228)&lt;=30,"Relance 2 : appel téléphonique",IF((p_asof-E228)&lt;=60,"Relance 3 : lettre de relance",IF((p_asof-E228)&lt;=90,"Mise en demeure (recommandé)","Contentieux : injonction de payer")))))))</f>
        <v/>
      </c>
      <c r="M228" t="str">
        <f>IFERROR(MATCH(197,fa_rank,0),"")</f>
        <v/>
      </c>
    </row>
    <row r="229">
      <c r="B229" s="78" t="str">
        <f>IF($M229="","",INDEX(fa_num,$M229)&amp;"")</f>
        <v/>
      </c>
      <c r="C229" s="79" t="str">
        <f>IF($M229="","",INDEX(fa_cname,$M229)&amp;"")</f>
        <v/>
      </c>
      <c r="D229" s="56" t="str">
        <f>IF($M229="","",INDEX(fa_date,$M229))</f>
        <v/>
      </c>
      <c r="E229" s="56" t="str">
        <f>IF($M229="","",INDEX(fa_due,$M229))</f>
        <v/>
      </c>
      <c r="F229" s="75" t="str">
        <f>IF($M229="","",INDEX(fa_ttc,$M229))</f>
        <v/>
      </c>
      <c r="G229" s="75" t="str">
        <f>IF($M229="","",INDEX(fa_paid,$M229)+INDEX(fa_avoirs,$M229))</f>
        <v/>
      </c>
      <c r="H229" s="75" t="str">
        <f>IF($M229="","",INDEX(fa_reste,$M229))</f>
        <v/>
      </c>
      <c r="I229" s="58" t="str">
        <f>IF($M229="","",MAX(0,p_asof-E229))</f>
        <v/>
      </c>
      <c r="J229" s="78" t="str">
        <f>IF($M229="","",INDEX(fa_tranche,$M229)&amp;"")</f>
        <v/>
      </c>
      <c r="K229" s="56" t="str">
        <f>IF($M229="","",IF(ISNUMBER(INDEX(fa_relance,$M229)),INDEX(fa_relance,$M229),""))</f>
        <v/>
      </c>
      <c r="L229" s="79" t="str">
        <f>IF($M229="","",IF(AND(ISNUMBER(K229),(p_asof-E229)&gt;0,(p_asof-N(K229))&gt;=0,(p_asof-N(K229))&lt;7),"Déjà relancée il y a "&amp;(p_asof-N(K229))&amp;" j",IF((p_asof-E229)&lt;=0,IF((p_asof-E229)&gt;-8,"Rappel courtois avant l'échéance","Aucune action"),IF((p_asof-E229)&lt;=15,"Relance 1 : e-mail de rappel",IF((p_asof-E229)&lt;=30,"Relance 2 : appel téléphonique",IF((p_asof-E229)&lt;=60,"Relance 3 : lettre de relance",IF((p_asof-E229)&lt;=90,"Mise en demeure (recommandé)","Contentieux : injonction de payer")))))))</f>
        <v/>
      </c>
      <c r="M229" t="str">
        <f>IFERROR(MATCH(198,fa_rank,0),"")</f>
        <v/>
      </c>
    </row>
    <row r="230">
      <c r="B230" s="78" t="str">
        <f>IF($M230="","",INDEX(fa_num,$M230)&amp;"")</f>
        <v/>
      </c>
      <c r="C230" s="79" t="str">
        <f>IF($M230="","",INDEX(fa_cname,$M230)&amp;"")</f>
        <v/>
      </c>
      <c r="D230" s="56" t="str">
        <f>IF($M230="","",INDEX(fa_date,$M230))</f>
        <v/>
      </c>
      <c r="E230" s="56" t="str">
        <f>IF($M230="","",INDEX(fa_due,$M230))</f>
        <v/>
      </c>
      <c r="F230" s="75" t="str">
        <f>IF($M230="","",INDEX(fa_ttc,$M230))</f>
        <v/>
      </c>
      <c r="G230" s="75" t="str">
        <f>IF($M230="","",INDEX(fa_paid,$M230)+INDEX(fa_avoirs,$M230))</f>
        <v/>
      </c>
      <c r="H230" s="75" t="str">
        <f>IF($M230="","",INDEX(fa_reste,$M230))</f>
        <v/>
      </c>
      <c r="I230" s="58" t="str">
        <f>IF($M230="","",MAX(0,p_asof-E230))</f>
        <v/>
      </c>
      <c r="J230" s="78" t="str">
        <f>IF($M230="","",INDEX(fa_tranche,$M230)&amp;"")</f>
        <v/>
      </c>
      <c r="K230" s="56" t="str">
        <f>IF($M230="","",IF(ISNUMBER(INDEX(fa_relance,$M230)),INDEX(fa_relance,$M230),""))</f>
        <v/>
      </c>
      <c r="L230" s="79" t="str">
        <f>IF($M230="","",IF(AND(ISNUMBER(K230),(p_asof-E230)&gt;0,(p_asof-N(K230))&gt;=0,(p_asof-N(K230))&lt;7),"Déjà relancée il y a "&amp;(p_asof-N(K230))&amp;" j",IF((p_asof-E230)&lt;=0,IF((p_asof-E230)&gt;-8,"Rappel courtois avant l'échéance","Aucune action"),IF((p_asof-E230)&lt;=15,"Relance 1 : e-mail de rappel",IF((p_asof-E230)&lt;=30,"Relance 2 : appel téléphonique",IF((p_asof-E230)&lt;=60,"Relance 3 : lettre de relance",IF((p_asof-E230)&lt;=90,"Mise en demeure (recommandé)","Contentieux : injonction de payer")))))))</f>
        <v/>
      </c>
      <c r="M230" t="str">
        <f>IFERROR(MATCH(199,fa_rank,0),"")</f>
        <v/>
      </c>
    </row>
    <row r="231">
      <c r="B231" s="78" t="str">
        <f>IF($M231="","",INDEX(fa_num,$M231)&amp;"")</f>
        <v/>
      </c>
      <c r="C231" s="79" t="str">
        <f>IF($M231="","",INDEX(fa_cname,$M231)&amp;"")</f>
        <v/>
      </c>
      <c r="D231" s="56" t="str">
        <f>IF($M231="","",INDEX(fa_date,$M231))</f>
        <v/>
      </c>
      <c r="E231" s="56" t="str">
        <f>IF($M231="","",INDEX(fa_due,$M231))</f>
        <v/>
      </c>
      <c r="F231" s="75" t="str">
        <f>IF($M231="","",INDEX(fa_ttc,$M231))</f>
        <v/>
      </c>
      <c r="G231" s="75" t="str">
        <f>IF($M231="","",INDEX(fa_paid,$M231)+INDEX(fa_avoirs,$M231))</f>
        <v/>
      </c>
      <c r="H231" s="75" t="str">
        <f>IF($M231="","",INDEX(fa_reste,$M231))</f>
        <v/>
      </c>
      <c r="I231" s="58" t="str">
        <f>IF($M231="","",MAX(0,p_asof-E231))</f>
        <v/>
      </c>
      <c r="J231" s="78" t="str">
        <f>IF($M231="","",INDEX(fa_tranche,$M231)&amp;"")</f>
        <v/>
      </c>
      <c r="K231" s="56" t="str">
        <f>IF($M231="","",IF(ISNUMBER(INDEX(fa_relance,$M231)),INDEX(fa_relance,$M231),""))</f>
        <v/>
      </c>
      <c r="L231" s="79" t="str">
        <f>IF($M231="","",IF(AND(ISNUMBER(K231),(p_asof-E231)&gt;0,(p_asof-N(K231))&gt;=0,(p_asof-N(K231))&lt;7),"Déjà relancée il y a "&amp;(p_asof-N(K231))&amp;" j",IF((p_asof-E231)&lt;=0,IF((p_asof-E231)&gt;-8,"Rappel courtois avant l'échéance","Aucune action"),IF((p_asof-E231)&lt;=15,"Relance 1 : e-mail de rappel",IF((p_asof-E231)&lt;=30,"Relance 2 : appel téléphonique",IF((p_asof-E231)&lt;=60,"Relance 3 : lettre de relance",IF((p_asof-E231)&lt;=90,"Mise en demeure (recommandé)","Contentieux : injonction de payer")))))))</f>
        <v/>
      </c>
      <c r="M231" t="str">
        <f>IFERROR(MATCH(200,fa_rank,0),"")</f>
        <v/>
      </c>
    </row>
    <row r="232">
      <c r="B232" s="78" t="str">
        <f>IF($M232="","",INDEX(fa_num,$M232)&amp;"")</f>
        <v/>
      </c>
      <c r="C232" s="79" t="str">
        <f>IF($M232="","",INDEX(fa_cname,$M232)&amp;"")</f>
        <v/>
      </c>
      <c r="D232" s="56" t="str">
        <f>IF($M232="","",INDEX(fa_date,$M232))</f>
        <v/>
      </c>
      <c r="E232" s="56" t="str">
        <f>IF($M232="","",INDEX(fa_due,$M232))</f>
        <v/>
      </c>
      <c r="F232" s="75" t="str">
        <f>IF($M232="","",INDEX(fa_ttc,$M232))</f>
        <v/>
      </c>
      <c r="G232" s="75" t="str">
        <f>IF($M232="","",INDEX(fa_paid,$M232)+INDEX(fa_avoirs,$M232))</f>
        <v/>
      </c>
      <c r="H232" s="75" t="str">
        <f>IF($M232="","",INDEX(fa_reste,$M232))</f>
        <v/>
      </c>
      <c r="I232" s="58" t="str">
        <f>IF($M232="","",MAX(0,p_asof-E232))</f>
        <v/>
      </c>
      <c r="J232" s="78" t="str">
        <f>IF($M232="","",INDEX(fa_tranche,$M232)&amp;"")</f>
        <v/>
      </c>
      <c r="K232" s="56" t="str">
        <f>IF($M232="","",IF(ISNUMBER(INDEX(fa_relance,$M232)),INDEX(fa_relance,$M232),""))</f>
        <v/>
      </c>
      <c r="L232" s="79" t="str">
        <f>IF($M232="","",IF(AND(ISNUMBER(K232),(p_asof-E232)&gt;0,(p_asof-N(K232))&gt;=0,(p_asof-N(K232))&lt;7),"Déjà relancée il y a "&amp;(p_asof-N(K232))&amp;" j",IF((p_asof-E232)&lt;=0,IF((p_asof-E232)&gt;-8,"Rappel courtois avant l'échéance","Aucune action"),IF((p_asof-E232)&lt;=15,"Relance 1 : e-mail de rappel",IF((p_asof-E232)&lt;=30,"Relance 2 : appel téléphonique",IF((p_asof-E232)&lt;=60,"Relance 3 : lettre de relance",IF((p_asof-E232)&lt;=90,"Mise en demeure (recommandé)","Contentieux : injonction de payer")))))))</f>
        <v/>
      </c>
      <c r="M232" t="str">
        <f>IFERROR(MATCH(201,fa_rank,0),"")</f>
        <v/>
      </c>
    </row>
    <row r="233">
      <c r="B233" s="78" t="str">
        <f>IF($M233="","",INDEX(fa_num,$M233)&amp;"")</f>
        <v/>
      </c>
      <c r="C233" s="79" t="str">
        <f>IF($M233="","",INDEX(fa_cname,$M233)&amp;"")</f>
        <v/>
      </c>
      <c r="D233" s="56" t="str">
        <f>IF($M233="","",INDEX(fa_date,$M233))</f>
        <v/>
      </c>
      <c r="E233" s="56" t="str">
        <f>IF($M233="","",INDEX(fa_due,$M233))</f>
        <v/>
      </c>
      <c r="F233" s="75" t="str">
        <f>IF($M233="","",INDEX(fa_ttc,$M233))</f>
        <v/>
      </c>
      <c r="G233" s="75" t="str">
        <f>IF($M233="","",INDEX(fa_paid,$M233)+INDEX(fa_avoirs,$M233))</f>
        <v/>
      </c>
      <c r="H233" s="75" t="str">
        <f>IF($M233="","",INDEX(fa_reste,$M233))</f>
        <v/>
      </c>
      <c r="I233" s="58" t="str">
        <f>IF($M233="","",MAX(0,p_asof-E233))</f>
        <v/>
      </c>
      <c r="J233" s="78" t="str">
        <f>IF($M233="","",INDEX(fa_tranche,$M233)&amp;"")</f>
        <v/>
      </c>
      <c r="K233" s="56" t="str">
        <f>IF($M233="","",IF(ISNUMBER(INDEX(fa_relance,$M233)),INDEX(fa_relance,$M233),""))</f>
        <v/>
      </c>
      <c r="L233" s="79" t="str">
        <f>IF($M233="","",IF(AND(ISNUMBER(K233),(p_asof-E233)&gt;0,(p_asof-N(K233))&gt;=0,(p_asof-N(K233))&lt;7),"Déjà relancée il y a "&amp;(p_asof-N(K233))&amp;" j",IF((p_asof-E233)&lt;=0,IF((p_asof-E233)&gt;-8,"Rappel courtois avant l'échéance","Aucune action"),IF((p_asof-E233)&lt;=15,"Relance 1 : e-mail de rappel",IF((p_asof-E233)&lt;=30,"Relance 2 : appel téléphonique",IF((p_asof-E233)&lt;=60,"Relance 3 : lettre de relance",IF((p_asof-E233)&lt;=90,"Mise en demeure (recommandé)","Contentieux : injonction de payer")))))))</f>
        <v/>
      </c>
      <c r="M233" t="str">
        <f>IFERROR(MATCH(202,fa_rank,0),"")</f>
        <v/>
      </c>
    </row>
    <row r="234">
      <c r="B234" s="78" t="str">
        <f>IF($M234="","",INDEX(fa_num,$M234)&amp;"")</f>
        <v/>
      </c>
      <c r="C234" s="79" t="str">
        <f>IF($M234="","",INDEX(fa_cname,$M234)&amp;"")</f>
        <v/>
      </c>
      <c r="D234" s="56" t="str">
        <f>IF($M234="","",INDEX(fa_date,$M234))</f>
        <v/>
      </c>
      <c r="E234" s="56" t="str">
        <f>IF($M234="","",INDEX(fa_due,$M234))</f>
        <v/>
      </c>
      <c r="F234" s="75" t="str">
        <f>IF($M234="","",INDEX(fa_ttc,$M234))</f>
        <v/>
      </c>
      <c r="G234" s="75" t="str">
        <f>IF($M234="","",INDEX(fa_paid,$M234)+INDEX(fa_avoirs,$M234))</f>
        <v/>
      </c>
      <c r="H234" s="75" t="str">
        <f>IF($M234="","",INDEX(fa_reste,$M234))</f>
        <v/>
      </c>
      <c r="I234" s="58" t="str">
        <f>IF($M234="","",MAX(0,p_asof-E234))</f>
        <v/>
      </c>
      <c r="J234" s="78" t="str">
        <f>IF($M234="","",INDEX(fa_tranche,$M234)&amp;"")</f>
        <v/>
      </c>
      <c r="K234" s="56" t="str">
        <f>IF($M234="","",IF(ISNUMBER(INDEX(fa_relance,$M234)),INDEX(fa_relance,$M234),""))</f>
        <v/>
      </c>
      <c r="L234" s="79" t="str">
        <f>IF($M234="","",IF(AND(ISNUMBER(K234),(p_asof-E234)&gt;0,(p_asof-N(K234))&gt;=0,(p_asof-N(K234))&lt;7),"Déjà relancée il y a "&amp;(p_asof-N(K234))&amp;" j",IF((p_asof-E234)&lt;=0,IF((p_asof-E234)&gt;-8,"Rappel courtois avant l'échéance","Aucune action"),IF((p_asof-E234)&lt;=15,"Relance 1 : e-mail de rappel",IF((p_asof-E234)&lt;=30,"Relance 2 : appel téléphonique",IF((p_asof-E234)&lt;=60,"Relance 3 : lettre de relance",IF((p_asof-E234)&lt;=90,"Mise en demeure (recommandé)","Contentieux : injonction de payer")))))))</f>
        <v/>
      </c>
      <c r="M234" t="str">
        <f>IFERROR(MATCH(203,fa_rank,0),"")</f>
        <v/>
      </c>
    </row>
    <row r="235">
      <c r="B235" s="78" t="str">
        <f>IF($M235="","",INDEX(fa_num,$M235)&amp;"")</f>
        <v/>
      </c>
      <c r="C235" s="79" t="str">
        <f>IF($M235="","",INDEX(fa_cname,$M235)&amp;"")</f>
        <v/>
      </c>
      <c r="D235" s="56" t="str">
        <f>IF($M235="","",INDEX(fa_date,$M235))</f>
        <v/>
      </c>
      <c r="E235" s="56" t="str">
        <f>IF($M235="","",INDEX(fa_due,$M235))</f>
        <v/>
      </c>
      <c r="F235" s="75" t="str">
        <f>IF($M235="","",INDEX(fa_ttc,$M235))</f>
        <v/>
      </c>
      <c r="G235" s="75" t="str">
        <f>IF($M235="","",INDEX(fa_paid,$M235)+INDEX(fa_avoirs,$M235))</f>
        <v/>
      </c>
      <c r="H235" s="75" t="str">
        <f>IF($M235="","",INDEX(fa_reste,$M235))</f>
        <v/>
      </c>
      <c r="I235" s="58" t="str">
        <f>IF($M235="","",MAX(0,p_asof-E235))</f>
        <v/>
      </c>
      <c r="J235" s="78" t="str">
        <f>IF($M235="","",INDEX(fa_tranche,$M235)&amp;"")</f>
        <v/>
      </c>
      <c r="K235" s="56" t="str">
        <f>IF($M235="","",IF(ISNUMBER(INDEX(fa_relance,$M235)),INDEX(fa_relance,$M235),""))</f>
        <v/>
      </c>
      <c r="L235" s="79" t="str">
        <f>IF($M235="","",IF(AND(ISNUMBER(K235),(p_asof-E235)&gt;0,(p_asof-N(K235))&gt;=0,(p_asof-N(K235))&lt;7),"Déjà relancée il y a "&amp;(p_asof-N(K235))&amp;" j",IF((p_asof-E235)&lt;=0,IF((p_asof-E235)&gt;-8,"Rappel courtois avant l'échéance","Aucune action"),IF((p_asof-E235)&lt;=15,"Relance 1 : e-mail de rappel",IF((p_asof-E235)&lt;=30,"Relance 2 : appel téléphonique",IF((p_asof-E235)&lt;=60,"Relance 3 : lettre de relance",IF((p_asof-E235)&lt;=90,"Mise en demeure (recommandé)","Contentieux : injonction de payer")))))))</f>
        <v/>
      </c>
      <c r="M235" t="str">
        <f>IFERROR(MATCH(204,fa_rank,0),"")</f>
        <v/>
      </c>
    </row>
    <row r="236">
      <c r="B236" s="78" t="str">
        <f>IF($M236="","",INDEX(fa_num,$M236)&amp;"")</f>
        <v/>
      </c>
      <c r="C236" s="79" t="str">
        <f>IF($M236="","",INDEX(fa_cname,$M236)&amp;"")</f>
        <v/>
      </c>
      <c r="D236" s="56" t="str">
        <f>IF($M236="","",INDEX(fa_date,$M236))</f>
        <v/>
      </c>
      <c r="E236" s="56" t="str">
        <f>IF($M236="","",INDEX(fa_due,$M236))</f>
        <v/>
      </c>
      <c r="F236" s="75" t="str">
        <f>IF($M236="","",INDEX(fa_ttc,$M236))</f>
        <v/>
      </c>
      <c r="G236" s="75" t="str">
        <f>IF($M236="","",INDEX(fa_paid,$M236)+INDEX(fa_avoirs,$M236))</f>
        <v/>
      </c>
      <c r="H236" s="75" t="str">
        <f>IF($M236="","",INDEX(fa_reste,$M236))</f>
        <v/>
      </c>
      <c r="I236" s="58" t="str">
        <f>IF($M236="","",MAX(0,p_asof-E236))</f>
        <v/>
      </c>
      <c r="J236" s="78" t="str">
        <f>IF($M236="","",INDEX(fa_tranche,$M236)&amp;"")</f>
        <v/>
      </c>
      <c r="K236" s="56" t="str">
        <f>IF($M236="","",IF(ISNUMBER(INDEX(fa_relance,$M236)),INDEX(fa_relance,$M236),""))</f>
        <v/>
      </c>
      <c r="L236" s="79" t="str">
        <f>IF($M236="","",IF(AND(ISNUMBER(K236),(p_asof-E236)&gt;0,(p_asof-N(K236))&gt;=0,(p_asof-N(K236))&lt;7),"Déjà relancée il y a "&amp;(p_asof-N(K236))&amp;" j",IF((p_asof-E236)&lt;=0,IF((p_asof-E236)&gt;-8,"Rappel courtois avant l'échéance","Aucune action"),IF((p_asof-E236)&lt;=15,"Relance 1 : e-mail de rappel",IF((p_asof-E236)&lt;=30,"Relance 2 : appel téléphonique",IF((p_asof-E236)&lt;=60,"Relance 3 : lettre de relance",IF((p_asof-E236)&lt;=90,"Mise en demeure (recommandé)","Contentieux : injonction de payer")))))))</f>
        <v/>
      </c>
      <c r="M236" t="str">
        <f>IFERROR(MATCH(205,fa_rank,0),"")</f>
        <v/>
      </c>
    </row>
    <row r="237">
      <c r="B237" s="78" t="str">
        <f>IF($M237="","",INDEX(fa_num,$M237)&amp;"")</f>
        <v/>
      </c>
      <c r="C237" s="79" t="str">
        <f>IF($M237="","",INDEX(fa_cname,$M237)&amp;"")</f>
        <v/>
      </c>
      <c r="D237" s="56" t="str">
        <f>IF($M237="","",INDEX(fa_date,$M237))</f>
        <v/>
      </c>
      <c r="E237" s="56" t="str">
        <f>IF($M237="","",INDEX(fa_due,$M237))</f>
        <v/>
      </c>
      <c r="F237" s="75" t="str">
        <f>IF($M237="","",INDEX(fa_ttc,$M237))</f>
        <v/>
      </c>
      <c r="G237" s="75" t="str">
        <f>IF($M237="","",INDEX(fa_paid,$M237)+INDEX(fa_avoirs,$M237))</f>
        <v/>
      </c>
      <c r="H237" s="75" t="str">
        <f>IF($M237="","",INDEX(fa_reste,$M237))</f>
        <v/>
      </c>
      <c r="I237" s="58" t="str">
        <f>IF($M237="","",MAX(0,p_asof-E237))</f>
        <v/>
      </c>
      <c r="J237" s="78" t="str">
        <f>IF($M237="","",INDEX(fa_tranche,$M237)&amp;"")</f>
        <v/>
      </c>
      <c r="K237" s="56" t="str">
        <f>IF($M237="","",IF(ISNUMBER(INDEX(fa_relance,$M237)),INDEX(fa_relance,$M237),""))</f>
        <v/>
      </c>
      <c r="L237" s="79" t="str">
        <f>IF($M237="","",IF(AND(ISNUMBER(K237),(p_asof-E237)&gt;0,(p_asof-N(K237))&gt;=0,(p_asof-N(K237))&lt;7),"Déjà relancée il y a "&amp;(p_asof-N(K237))&amp;" j",IF((p_asof-E237)&lt;=0,IF((p_asof-E237)&gt;-8,"Rappel courtois avant l'échéance","Aucune action"),IF((p_asof-E237)&lt;=15,"Relance 1 : e-mail de rappel",IF((p_asof-E237)&lt;=30,"Relance 2 : appel téléphonique",IF((p_asof-E237)&lt;=60,"Relance 3 : lettre de relance",IF((p_asof-E237)&lt;=90,"Mise en demeure (recommandé)","Contentieux : injonction de payer")))))))</f>
        <v/>
      </c>
      <c r="M237" t="str">
        <f>IFERROR(MATCH(206,fa_rank,0),"")</f>
        <v/>
      </c>
    </row>
    <row r="238">
      <c r="B238" s="78" t="str">
        <f>IF($M238="","",INDEX(fa_num,$M238)&amp;"")</f>
        <v/>
      </c>
      <c r="C238" s="79" t="str">
        <f>IF($M238="","",INDEX(fa_cname,$M238)&amp;"")</f>
        <v/>
      </c>
      <c r="D238" s="56" t="str">
        <f>IF($M238="","",INDEX(fa_date,$M238))</f>
        <v/>
      </c>
      <c r="E238" s="56" t="str">
        <f>IF($M238="","",INDEX(fa_due,$M238))</f>
        <v/>
      </c>
      <c r="F238" s="75" t="str">
        <f>IF($M238="","",INDEX(fa_ttc,$M238))</f>
        <v/>
      </c>
      <c r="G238" s="75" t="str">
        <f>IF($M238="","",INDEX(fa_paid,$M238)+INDEX(fa_avoirs,$M238))</f>
        <v/>
      </c>
      <c r="H238" s="75" t="str">
        <f>IF($M238="","",INDEX(fa_reste,$M238))</f>
        <v/>
      </c>
      <c r="I238" s="58" t="str">
        <f>IF($M238="","",MAX(0,p_asof-E238))</f>
        <v/>
      </c>
      <c r="J238" s="78" t="str">
        <f>IF($M238="","",INDEX(fa_tranche,$M238)&amp;"")</f>
        <v/>
      </c>
      <c r="K238" s="56" t="str">
        <f>IF($M238="","",IF(ISNUMBER(INDEX(fa_relance,$M238)),INDEX(fa_relance,$M238),""))</f>
        <v/>
      </c>
      <c r="L238" s="79" t="str">
        <f>IF($M238="","",IF(AND(ISNUMBER(K238),(p_asof-E238)&gt;0,(p_asof-N(K238))&gt;=0,(p_asof-N(K238))&lt;7),"Déjà relancée il y a "&amp;(p_asof-N(K238))&amp;" j",IF((p_asof-E238)&lt;=0,IF((p_asof-E238)&gt;-8,"Rappel courtois avant l'échéance","Aucune action"),IF((p_asof-E238)&lt;=15,"Relance 1 : e-mail de rappel",IF((p_asof-E238)&lt;=30,"Relance 2 : appel téléphonique",IF((p_asof-E238)&lt;=60,"Relance 3 : lettre de relance",IF((p_asof-E238)&lt;=90,"Mise en demeure (recommandé)","Contentieux : injonction de payer")))))))</f>
        <v/>
      </c>
      <c r="M238" t="str">
        <f>IFERROR(MATCH(207,fa_rank,0),"")</f>
        <v/>
      </c>
    </row>
    <row r="239">
      <c r="B239" s="78" t="str">
        <f>IF($M239="","",INDEX(fa_num,$M239)&amp;"")</f>
        <v/>
      </c>
      <c r="C239" s="79" t="str">
        <f>IF($M239="","",INDEX(fa_cname,$M239)&amp;"")</f>
        <v/>
      </c>
      <c r="D239" s="56" t="str">
        <f>IF($M239="","",INDEX(fa_date,$M239))</f>
        <v/>
      </c>
      <c r="E239" s="56" t="str">
        <f>IF($M239="","",INDEX(fa_due,$M239))</f>
        <v/>
      </c>
      <c r="F239" s="75" t="str">
        <f>IF($M239="","",INDEX(fa_ttc,$M239))</f>
        <v/>
      </c>
      <c r="G239" s="75" t="str">
        <f>IF($M239="","",INDEX(fa_paid,$M239)+INDEX(fa_avoirs,$M239))</f>
        <v/>
      </c>
      <c r="H239" s="75" t="str">
        <f>IF($M239="","",INDEX(fa_reste,$M239))</f>
        <v/>
      </c>
      <c r="I239" s="58" t="str">
        <f>IF($M239="","",MAX(0,p_asof-E239))</f>
        <v/>
      </c>
      <c r="J239" s="78" t="str">
        <f>IF($M239="","",INDEX(fa_tranche,$M239)&amp;"")</f>
        <v/>
      </c>
      <c r="K239" s="56" t="str">
        <f>IF($M239="","",IF(ISNUMBER(INDEX(fa_relance,$M239)),INDEX(fa_relance,$M239),""))</f>
        <v/>
      </c>
      <c r="L239" s="79" t="str">
        <f>IF($M239="","",IF(AND(ISNUMBER(K239),(p_asof-E239)&gt;0,(p_asof-N(K239))&gt;=0,(p_asof-N(K239))&lt;7),"Déjà relancée il y a "&amp;(p_asof-N(K239))&amp;" j",IF((p_asof-E239)&lt;=0,IF((p_asof-E239)&gt;-8,"Rappel courtois avant l'échéance","Aucune action"),IF((p_asof-E239)&lt;=15,"Relance 1 : e-mail de rappel",IF((p_asof-E239)&lt;=30,"Relance 2 : appel téléphonique",IF((p_asof-E239)&lt;=60,"Relance 3 : lettre de relance",IF((p_asof-E239)&lt;=90,"Mise en demeure (recommandé)","Contentieux : injonction de payer")))))))</f>
        <v/>
      </c>
      <c r="M239" t="str">
        <f>IFERROR(MATCH(208,fa_rank,0),"")</f>
        <v/>
      </c>
    </row>
    <row r="240">
      <c r="B240" s="78" t="str">
        <f>IF($M240="","",INDEX(fa_num,$M240)&amp;"")</f>
        <v/>
      </c>
      <c r="C240" s="79" t="str">
        <f>IF($M240="","",INDEX(fa_cname,$M240)&amp;"")</f>
        <v/>
      </c>
      <c r="D240" s="56" t="str">
        <f>IF($M240="","",INDEX(fa_date,$M240))</f>
        <v/>
      </c>
      <c r="E240" s="56" t="str">
        <f>IF($M240="","",INDEX(fa_due,$M240))</f>
        <v/>
      </c>
      <c r="F240" s="75" t="str">
        <f>IF($M240="","",INDEX(fa_ttc,$M240))</f>
        <v/>
      </c>
      <c r="G240" s="75" t="str">
        <f>IF($M240="","",INDEX(fa_paid,$M240)+INDEX(fa_avoirs,$M240))</f>
        <v/>
      </c>
      <c r="H240" s="75" t="str">
        <f>IF($M240="","",INDEX(fa_reste,$M240))</f>
        <v/>
      </c>
      <c r="I240" s="58" t="str">
        <f>IF($M240="","",MAX(0,p_asof-E240))</f>
        <v/>
      </c>
      <c r="J240" s="78" t="str">
        <f>IF($M240="","",INDEX(fa_tranche,$M240)&amp;"")</f>
        <v/>
      </c>
      <c r="K240" s="56" t="str">
        <f>IF($M240="","",IF(ISNUMBER(INDEX(fa_relance,$M240)),INDEX(fa_relance,$M240),""))</f>
        <v/>
      </c>
      <c r="L240" s="79" t="str">
        <f>IF($M240="","",IF(AND(ISNUMBER(K240),(p_asof-E240)&gt;0,(p_asof-N(K240))&gt;=0,(p_asof-N(K240))&lt;7),"Déjà relancée il y a "&amp;(p_asof-N(K240))&amp;" j",IF((p_asof-E240)&lt;=0,IF((p_asof-E240)&gt;-8,"Rappel courtois avant l'échéance","Aucune action"),IF((p_asof-E240)&lt;=15,"Relance 1 : e-mail de rappel",IF((p_asof-E240)&lt;=30,"Relance 2 : appel téléphonique",IF((p_asof-E240)&lt;=60,"Relance 3 : lettre de relance",IF((p_asof-E240)&lt;=90,"Mise en demeure (recommandé)","Contentieux : injonction de payer")))))))</f>
        <v/>
      </c>
      <c r="M240" t="str">
        <f>IFERROR(MATCH(209,fa_rank,0),"")</f>
        <v/>
      </c>
    </row>
    <row r="241">
      <c r="B241" s="78" t="str">
        <f>IF($M241="","",INDEX(fa_num,$M241)&amp;"")</f>
        <v/>
      </c>
      <c r="C241" s="79" t="str">
        <f>IF($M241="","",INDEX(fa_cname,$M241)&amp;"")</f>
        <v/>
      </c>
      <c r="D241" s="56" t="str">
        <f>IF($M241="","",INDEX(fa_date,$M241))</f>
        <v/>
      </c>
      <c r="E241" s="56" t="str">
        <f>IF($M241="","",INDEX(fa_due,$M241))</f>
        <v/>
      </c>
      <c r="F241" s="75" t="str">
        <f>IF($M241="","",INDEX(fa_ttc,$M241))</f>
        <v/>
      </c>
      <c r="G241" s="75" t="str">
        <f>IF($M241="","",INDEX(fa_paid,$M241)+INDEX(fa_avoirs,$M241))</f>
        <v/>
      </c>
      <c r="H241" s="75" t="str">
        <f>IF($M241="","",INDEX(fa_reste,$M241))</f>
        <v/>
      </c>
      <c r="I241" s="58" t="str">
        <f>IF($M241="","",MAX(0,p_asof-E241))</f>
        <v/>
      </c>
      <c r="J241" s="78" t="str">
        <f>IF($M241="","",INDEX(fa_tranche,$M241)&amp;"")</f>
        <v/>
      </c>
      <c r="K241" s="56" t="str">
        <f>IF($M241="","",IF(ISNUMBER(INDEX(fa_relance,$M241)),INDEX(fa_relance,$M241),""))</f>
        <v/>
      </c>
      <c r="L241" s="79" t="str">
        <f>IF($M241="","",IF(AND(ISNUMBER(K241),(p_asof-E241)&gt;0,(p_asof-N(K241))&gt;=0,(p_asof-N(K241))&lt;7),"Déjà relancée il y a "&amp;(p_asof-N(K241))&amp;" j",IF((p_asof-E241)&lt;=0,IF((p_asof-E241)&gt;-8,"Rappel courtois avant l'échéance","Aucune action"),IF((p_asof-E241)&lt;=15,"Relance 1 : e-mail de rappel",IF((p_asof-E241)&lt;=30,"Relance 2 : appel téléphonique",IF((p_asof-E241)&lt;=60,"Relance 3 : lettre de relance",IF((p_asof-E241)&lt;=90,"Mise en demeure (recommandé)","Contentieux : injonction de payer")))))))</f>
        <v/>
      </c>
      <c r="M241" t="str">
        <f>IFERROR(MATCH(210,fa_rank,0),"")</f>
        <v/>
      </c>
    </row>
    <row r="242">
      <c r="B242" s="78" t="str">
        <f>IF($M242="","",INDEX(fa_num,$M242)&amp;"")</f>
        <v/>
      </c>
      <c r="C242" s="79" t="str">
        <f>IF($M242="","",INDEX(fa_cname,$M242)&amp;"")</f>
        <v/>
      </c>
      <c r="D242" s="56" t="str">
        <f>IF($M242="","",INDEX(fa_date,$M242))</f>
        <v/>
      </c>
      <c r="E242" s="56" t="str">
        <f>IF($M242="","",INDEX(fa_due,$M242))</f>
        <v/>
      </c>
      <c r="F242" s="75" t="str">
        <f>IF($M242="","",INDEX(fa_ttc,$M242))</f>
        <v/>
      </c>
      <c r="G242" s="75" t="str">
        <f>IF($M242="","",INDEX(fa_paid,$M242)+INDEX(fa_avoirs,$M242))</f>
        <v/>
      </c>
      <c r="H242" s="75" t="str">
        <f>IF($M242="","",INDEX(fa_reste,$M242))</f>
        <v/>
      </c>
      <c r="I242" s="58" t="str">
        <f>IF($M242="","",MAX(0,p_asof-E242))</f>
        <v/>
      </c>
      <c r="J242" s="78" t="str">
        <f>IF($M242="","",INDEX(fa_tranche,$M242)&amp;"")</f>
        <v/>
      </c>
      <c r="K242" s="56" t="str">
        <f>IF($M242="","",IF(ISNUMBER(INDEX(fa_relance,$M242)),INDEX(fa_relance,$M242),""))</f>
        <v/>
      </c>
      <c r="L242" s="79" t="str">
        <f>IF($M242="","",IF(AND(ISNUMBER(K242),(p_asof-E242)&gt;0,(p_asof-N(K242))&gt;=0,(p_asof-N(K242))&lt;7),"Déjà relancée il y a "&amp;(p_asof-N(K242))&amp;" j",IF((p_asof-E242)&lt;=0,IF((p_asof-E242)&gt;-8,"Rappel courtois avant l'échéance","Aucune action"),IF((p_asof-E242)&lt;=15,"Relance 1 : e-mail de rappel",IF((p_asof-E242)&lt;=30,"Relance 2 : appel téléphonique",IF((p_asof-E242)&lt;=60,"Relance 3 : lettre de relance",IF((p_asof-E242)&lt;=90,"Mise en demeure (recommandé)","Contentieux : injonction de payer")))))))</f>
        <v/>
      </c>
      <c r="M242" t="str">
        <f>IFERROR(MATCH(211,fa_rank,0),"")</f>
        <v/>
      </c>
    </row>
    <row r="243">
      <c r="B243" s="78" t="str">
        <f>IF($M243="","",INDEX(fa_num,$M243)&amp;"")</f>
        <v/>
      </c>
      <c r="C243" s="79" t="str">
        <f>IF($M243="","",INDEX(fa_cname,$M243)&amp;"")</f>
        <v/>
      </c>
      <c r="D243" s="56" t="str">
        <f>IF($M243="","",INDEX(fa_date,$M243))</f>
        <v/>
      </c>
      <c r="E243" s="56" t="str">
        <f>IF($M243="","",INDEX(fa_due,$M243))</f>
        <v/>
      </c>
      <c r="F243" s="75" t="str">
        <f>IF($M243="","",INDEX(fa_ttc,$M243))</f>
        <v/>
      </c>
      <c r="G243" s="75" t="str">
        <f>IF($M243="","",INDEX(fa_paid,$M243)+INDEX(fa_avoirs,$M243))</f>
        <v/>
      </c>
      <c r="H243" s="75" t="str">
        <f>IF($M243="","",INDEX(fa_reste,$M243))</f>
        <v/>
      </c>
      <c r="I243" s="58" t="str">
        <f>IF($M243="","",MAX(0,p_asof-E243))</f>
        <v/>
      </c>
      <c r="J243" s="78" t="str">
        <f>IF($M243="","",INDEX(fa_tranche,$M243)&amp;"")</f>
        <v/>
      </c>
      <c r="K243" s="56" t="str">
        <f>IF($M243="","",IF(ISNUMBER(INDEX(fa_relance,$M243)),INDEX(fa_relance,$M243),""))</f>
        <v/>
      </c>
      <c r="L243" s="79" t="str">
        <f>IF($M243="","",IF(AND(ISNUMBER(K243),(p_asof-E243)&gt;0,(p_asof-N(K243))&gt;=0,(p_asof-N(K243))&lt;7),"Déjà relancée il y a "&amp;(p_asof-N(K243))&amp;" j",IF((p_asof-E243)&lt;=0,IF((p_asof-E243)&gt;-8,"Rappel courtois avant l'échéance","Aucune action"),IF((p_asof-E243)&lt;=15,"Relance 1 : e-mail de rappel",IF((p_asof-E243)&lt;=30,"Relance 2 : appel téléphonique",IF((p_asof-E243)&lt;=60,"Relance 3 : lettre de relance",IF((p_asof-E243)&lt;=90,"Mise en demeure (recommandé)","Contentieux : injonction de payer")))))))</f>
        <v/>
      </c>
      <c r="M243" t="str">
        <f>IFERROR(MATCH(212,fa_rank,0),"")</f>
        <v/>
      </c>
    </row>
    <row r="244">
      <c r="B244" s="78" t="str">
        <f>IF($M244="","",INDEX(fa_num,$M244)&amp;"")</f>
        <v/>
      </c>
      <c r="C244" s="79" t="str">
        <f>IF($M244="","",INDEX(fa_cname,$M244)&amp;"")</f>
        <v/>
      </c>
      <c r="D244" s="56" t="str">
        <f>IF($M244="","",INDEX(fa_date,$M244))</f>
        <v/>
      </c>
      <c r="E244" s="56" t="str">
        <f>IF($M244="","",INDEX(fa_due,$M244))</f>
        <v/>
      </c>
      <c r="F244" s="75" t="str">
        <f>IF($M244="","",INDEX(fa_ttc,$M244))</f>
        <v/>
      </c>
      <c r="G244" s="75" t="str">
        <f>IF($M244="","",INDEX(fa_paid,$M244)+INDEX(fa_avoirs,$M244))</f>
        <v/>
      </c>
      <c r="H244" s="75" t="str">
        <f>IF($M244="","",INDEX(fa_reste,$M244))</f>
        <v/>
      </c>
      <c r="I244" s="58" t="str">
        <f>IF($M244="","",MAX(0,p_asof-E244))</f>
        <v/>
      </c>
      <c r="J244" s="78" t="str">
        <f>IF($M244="","",INDEX(fa_tranche,$M244)&amp;"")</f>
        <v/>
      </c>
      <c r="K244" s="56" t="str">
        <f>IF($M244="","",IF(ISNUMBER(INDEX(fa_relance,$M244)),INDEX(fa_relance,$M244),""))</f>
        <v/>
      </c>
      <c r="L244" s="79" t="str">
        <f>IF($M244="","",IF(AND(ISNUMBER(K244),(p_asof-E244)&gt;0,(p_asof-N(K244))&gt;=0,(p_asof-N(K244))&lt;7),"Déjà relancée il y a "&amp;(p_asof-N(K244))&amp;" j",IF((p_asof-E244)&lt;=0,IF((p_asof-E244)&gt;-8,"Rappel courtois avant l'échéance","Aucune action"),IF((p_asof-E244)&lt;=15,"Relance 1 : e-mail de rappel",IF((p_asof-E244)&lt;=30,"Relance 2 : appel téléphonique",IF((p_asof-E244)&lt;=60,"Relance 3 : lettre de relance",IF((p_asof-E244)&lt;=90,"Mise en demeure (recommandé)","Contentieux : injonction de payer")))))))</f>
        <v/>
      </c>
      <c r="M244" t="str">
        <f>IFERROR(MATCH(213,fa_rank,0),"")</f>
        <v/>
      </c>
    </row>
    <row r="245">
      <c r="B245" s="78" t="str">
        <f>IF($M245="","",INDEX(fa_num,$M245)&amp;"")</f>
        <v/>
      </c>
      <c r="C245" s="79" t="str">
        <f>IF($M245="","",INDEX(fa_cname,$M245)&amp;"")</f>
        <v/>
      </c>
      <c r="D245" s="56" t="str">
        <f>IF($M245="","",INDEX(fa_date,$M245))</f>
        <v/>
      </c>
      <c r="E245" s="56" t="str">
        <f>IF($M245="","",INDEX(fa_due,$M245))</f>
        <v/>
      </c>
      <c r="F245" s="75" t="str">
        <f>IF($M245="","",INDEX(fa_ttc,$M245))</f>
        <v/>
      </c>
      <c r="G245" s="75" t="str">
        <f>IF($M245="","",INDEX(fa_paid,$M245)+INDEX(fa_avoirs,$M245))</f>
        <v/>
      </c>
      <c r="H245" s="75" t="str">
        <f>IF($M245="","",INDEX(fa_reste,$M245))</f>
        <v/>
      </c>
      <c r="I245" s="58" t="str">
        <f>IF($M245="","",MAX(0,p_asof-E245))</f>
        <v/>
      </c>
      <c r="J245" s="78" t="str">
        <f>IF($M245="","",INDEX(fa_tranche,$M245)&amp;"")</f>
        <v/>
      </c>
      <c r="K245" s="56" t="str">
        <f>IF($M245="","",IF(ISNUMBER(INDEX(fa_relance,$M245)),INDEX(fa_relance,$M245),""))</f>
        <v/>
      </c>
      <c r="L245" s="79" t="str">
        <f>IF($M245="","",IF(AND(ISNUMBER(K245),(p_asof-E245)&gt;0,(p_asof-N(K245))&gt;=0,(p_asof-N(K245))&lt;7),"Déjà relancée il y a "&amp;(p_asof-N(K245))&amp;" j",IF((p_asof-E245)&lt;=0,IF((p_asof-E245)&gt;-8,"Rappel courtois avant l'échéance","Aucune action"),IF((p_asof-E245)&lt;=15,"Relance 1 : e-mail de rappel",IF((p_asof-E245)&lt;=30,"Relance 2 : appel téléphonique",IF((p_asof-E245)&lt;=60,"Relance 3 : lettre de relance",IF((p_asof-E245)&lt;=90,"Mise en demeure (recommandé)","Contentieux : injonction de payer")))))))</f>
        <v/>
      </c>
      <c r="M245" t="str">
        <f>IFERROR(MATCH(214,fa_rank,0),"")</f>
        <v/>
      </c>
    </row>
    <row r="246">
      <c r="B246" s="78" t="str">
        <f>IF($M246="","",INDEX(fa_num,$M246)&amp;"")</f>
        <v/>
      </c>
      <c r="C246" s="79" t="str">
        <f>IF($M246="","",INDEX(fa_cname,$M246)&amp;"")</f>
        <v/>
      </c>
      <c r="D246" s="56" t="str">
        <f>IF($M246="","",INDEX(fa_date,$M246))</f>
        <v/>
      </c>
      <c r="E246" s="56" t="str">
        <f>IF($M246="","",INDEX(fa_due,$M246))</f>
        <v/>
      </c>
      <c r="F246" s="75" t="str">
        <f>IF($M246="","",INDEX(fa_ttc,$M246))</f>
        <v/>
      </c>
      <c r="G246" s="75" t="str">
        <f>IF($M246="","",INDEX(fa_paid,$M246)+INDEX(fa_avoirs,$M246))</f>
        <v/>
      </c>
      <c r="H246" s="75" t="str">
        <f>IF($M246="","",INDEX(fa_reste,$M246))</f>
        <v/>
      </c>
      <c r="I246" s="58" t="str">
        <f>IF($M246="","",MAX(0,p_asof-E246))</f>
        <v/>
      </c>
      <c r="J246" s="78" t="str">
        <f>IF($M246="","",INDEX(fa_tranche,$M246)&amp;"")</f>
        <v/>
      </c>
      <c r="K246" s="56" t="str">
        <f>IF($M246="","",IF(ISNUMBER(INDEX(fa_relance,$M246)),INDEX(fa_relance,$M246),""))</f>
        <v/>
      </c>
      <c r="L246" s="79" t="str">
        <f>IF($M246="","",IF(AND(ISNUMBER(K246),(p_asof-E246)&gt;0,(p_asof-N(K246))&gt;=0,(p_asof-N(K246))&lt;7),"Déjà relancée il y a "&amp;(p_asof-N(K246))&amp;" j",IF((p_asof-E246)&lt;=0,IF((p_asof-E246)&gt;-8,"Rappel courtois avant l'échéance","Aucune action"),IF((p_asof-E246)&lt;=15,"Relance 1 : e-mail de rappel",IF((p_asof-E246)&lt;=30,"Relance 2 : appel téléphonique",IF((p_asof-E246)&lt;=60,"Relance 3 : lettre de relance",IF((p_asof-E246)&lt;=90,"Mise en demeure (recommandé)","Contentieux : injonction de payer")))))))</f>
        <v/>
      </c>
      <c r="M246" t="str">
        <f>IFERROR(MATCH(215,fa_rank,0),"")</f>
        <v/>
      </c>
    </row>
    <row r="247">
      <c r="B247" s="78" t="str">
        <f>IF($M247="","",INDEX(fa_num,$M247)&amp;"")</f>
        <v/>
      </c>
      <c r="C247" s="79" t="str">
        <f>IF($M247="","",INDEX(fa_cname,$M247)&amp;"")</f>
        <v/>
      </c>
      <c r="D247" s="56" t="str">
        <f>IF($M247="","",INDEX(fa_date,$M247))</f>
        <v/>
      </c>
      <c r="E247" s="56" t="str">
        <f>IF($M247="","",INDEX(fa_due,$M247))</f>
        <v/>
      </c>
      <c r="F247" s="75" t="str">
        <f>IF($M247="","",INDEX(fa_ttc,$M247))</f>
        <v/>
      </c>
      <c r="G247" s="75" t="str">
        <f>IF($M247="","",INDEX(fa_paid,$M247)+INDEX(fa_avoirs,$M247))</f>
        <v/>
      </c>
      <c r="H247" s="75" t="str">
        <f>IF($M247="","",INDEX(fa_reste,$M247))</f>
        <v/>
      </c>
      <c r="I247" s="58" t="str">
        <f>IF($M247="","",MAX(0,p_asof-E247))</f>
        <v/>
      </c>
      <c r="J247" s="78" t="str">
        <f>IF($M247="","",INDEX(fa_tranche,$M247)&amp;"")</f>
        <v/>
      </c>
      <c r="K247" s="56" t="str">
        <f>IF($M247="","",IF(ISNUMBER(INDEX(fa_relance,$M247)),INDEX(fa_relance,$M247),""))</f>
        <v/>
      </c>
      <c r="L247" s="79" t="str">
        <f>IF($M247="","",IF(AND(ISNUMBER(K247),(p_asof-E247)&gt;0,(p_asof-N(K247))&gt;=0,(p_asof-N(K247))&lt;7),"Déjà relancée il y a "&amp;(p_asof-N(K247))&amp;" j",IF((p_asof-E247)&lt;=0,IF((p_asof-E247)&gt;-8,"Rappel courtois avant l'échéance","Aucune action"),IF((p_asof-E247)&lt;=15,"Relance 1 : e-mail de rappel",IF((p_asof-E247)&lt;=30,"Relance 2 : appel téléphonique",IF((p_asof-E247)&lt;=60,"Relance 3 : lettre de relance",IF((p_asof-E247)&lt;=90,"Mise en demeure (recommandé)","Contentieux : injonction de payer")))))))</f>
        <v/>
      </c>
      <c r="M247" t="str">
        <f>IFERROR(MATCH(216,fa_rank,0),"")</f>
        <v/>
      </c>
    </row>
    <row r="248">
      <c r="B248" s="78" t="str">
        <f>IF($M248="","",INDEX(fa_num,$M248)&amp;"")</f>
        <v/>
      </c>
      <c r="C248" s="79" t="str">
        <f>IF($M248="","",INDEX(fa_cname,$M248)&amp;"")</f>
        <v/>
      </c>
      <c r="D248" s="56" t="str">
        <f>IF($M248="","",INDEX(fa_date,$M248))</f>
        <v/>
      </c>
      <c r="E248" s="56" t="str">
        <f>IF($M248="","",INDEX(fa_due,$M248))</f>
        <v/>
      </c>
      <c r="F248" s="75" t="str">
        <f>IF($M248="","",INDEX(fa_ttc,$M248))</f>
        <v/>
      </c>
      <c r="G248" s="75" t="str">
        <f>IF($M248="","",INDEX(fa_paid,$M248)+INDEX(fa_avoirs,$M248))</f>
        <v/>
      </c>
      <c r="H248" s="75" t="str">
        <f>IF($M248="","",INDEX(fa_reste,$M248))</f>
        <v/>
      </c>
      <c r="I248" s="58" t="str">
        <f>IF($M248="","",MAX(0,p_asof-E248))</f>
        <v/>
      </c>
      <c r="J248" s="78" t="str">
        <f>IF($M248="","",INDEX(fa_tranche,$M248)&amp;"")</f>
        <v/>
      </c>
      <c r="K248" s="56" t="str">
        <f>IF($M248="","",IF(ISNUMBER(INDEX(fa_relance,$M248)),INDEX(fa_relance,$M248),""))</f>
        <v/>
      </c>
      <c r="L248" s="79" t="str">
        <f>IF($M248="","",IF(AND(ISNUMBER(K248),(p_asof-E248)&gt;0,(p_asof-N(K248))&gt;=0,(p_asof-N(K248))&lt;7),"Déjà relancée il y a "&amp;(p_asof-N(K248))&amp;" j",IF((p_asof-E248)&lt;=0,IF((p_asof-E248)&gt;-8,"Rappel courtois avant l'échéance","Aucune action"),IF((p_asof-E248)&lt;=15,"Relance 1 : e-mail de rappel",IF((p_asof-E248)&lt;=30,"Relance 2 : appel téléphonique",IF((p_asof-E248)&lt;=60,"Relance 3 : lettre de relance",IF((p_asof-E248)&lt;=90,"Mise en demeure (recommandé)","Contentieux : injonction de payer")))))))</f>
        <v/>
      </c>
      <c r="M248" t="str">
        <f>IFERROR(MATCH(217,fa_rank,0),"")</f>
        <v/>
      </c>
    </row>
    <row r="249">
      <c r="B249" s="78" t="str">
        <f>IF($M249="","",INDEX(fa_num,$M249)&amp;"")</f>
        <v/>
      </c>
      <c r="C249" s="79" t="str">
        <f>IF($M249="","",INDEX(fa_cname,$M249)&amp;"")</f>
        <v/>
      </c>
      <c r="D249" s="56" t="str">
        <f>IF($M249="","",INDEX(fa_date,$M249))</f>
        <v/>
      </c>
      <c r="E249" s="56" t="str">
        <f>IF($M249="","",INDEX(fa_due,$M249))</f>
        <v/>
      </c>
      <c r="F249" s="75" t="str">
        <f>IF($M249="","",INDEX(fa_ttc,$M249))</f>
        <v/>
      </c>
      <c r="G249" s="75" t="str">
        <f>IF($M249="","",INDEX(fa_paid,$M249)+INDEX(fa_avoirs,$M249))</f>
        <v/>
      </c>
      <c r="H249" s="75" t="str">
        <f>IF($M249="","",INDEX(fa_reste,$M249))</f>
        <v/>
      </c>
      <c r="I249" s="58" t="str">
        <f>IF($M249="","",MAX(0,p_asof-E249))</f>
        <v/>
      </c>
      <c r="J249" s="78" t="str">
        <f>IF($M249="","",INDEX(fa_tranche,$M249)&amp;"")</f>
        <v/>
      </c>
      <c r="K249" s="56" t="str">
        <f>IF($M249="","",IF(ISNUMBER(INDEX(fa_relance,$M249)),INDEX(fa_relance,$M249),""))</f>
        <v/>
      </c>
      <c r="L249" s="79" t="str">
        <f>IF($M249="","",IF(AND(ISNUMBER(K249),(p_asof-E249)&gt;0,(p_asof-N(K249))&gt;=0,(p_asof-N(K249))&lt;7),"Déjà relancée il y a "&amp;(p_asof-N(K249))&amp;" j",IF((p_asof-E249)&lt;=0,IF((p_asof-E249)&gt;-8,"Rappel courtois avant l'échéance","Aucune action"),IF((p_asof-E249)&lt;=15,"Relance 1 : e-mail de rappel",IF((p_asof-E249)&lt;=30,"Relance 2 : appel téléphonique",IF((p_asof-E249)&lt;=60,"Relance 3 : lettre de relance",IF((p_asof-E249)&lt;=90,"Mise en demeure (recommandé)","Contentieux : injonction de payer")))))))</f>
        <v/>
      </c>
      <c r="M249" t="str">
        <f>IFERROR(MATCH(218,fa_rank,0),"")</f>
        <v/>
      </c>
    </row>
    <row r="250">
      <c r="B250" s="78" t="str">
        <f>IF($M250="","",INDEX(fa_num,$M250)&amp;"")</f>
        <v/>
      </c>
      <c r="C250" s="79" t="str">
        <f>IF($M250="","",INDEX(fa_cname,$M250)&amp;"")</f>
        <v/>
      </c>
      <c r="D250" s="56" t="str">
        <f>IF($M250="","",INDEX(fa_date,$M250))</f>
        <v/>
      </c>
      <c r="E250" s="56" t="str">
        <f>IF($M250="","",INDEX(fa_due,$M250))</f>
        <v/>
      </c>
      <c r="F250" s="75" t="str">
        <f>IF($M250="","",INDEX(fa_ttc,$M250))</f>
        <v/>
      </c>
      <c r="G250" s="75" t="str">
        <f>IF($M250="","",INDEX(fa_paid,$M250)+INDEX(fa_avoirs,$M250))</f>
        <v/>
      </c>
      <c r="H250" s="75" t="str">
        <f>IF($M250="","",INDEX(fa_reste,$M250))</f>
        <v/>
      </c>
      <c r="I250" s="58" t="str">
        <f>IF($M250="","",MAX(0,p_asof-E250))</f>
        <v/>
      </c>
      <c r="J250" s="78" t="str">
        <f>IF($M250="","",INDEX(fa_tranche,$M250)&amp;"")</f>
        <v/>
      </c>
      <c r="K250" s="56" t="str">
        <f>IF($M250="","",IF(ISNUMBER(INDEX(fa_relance,$M250)),INDEX(fa_relance,$M250),""))</f>
        <v/>
      </c>
      <c r="L250" s="79" t="str">
        <f>IF($M250="","",IF(AND(ISNUMBER(K250),(p_asof-E250)&gt;0,(p_asof-N(K250))&gt;=0,(p_asof-N(K250))&lt;7),"Déjà relancée il y a "&amp;(p_asof-N(K250))&amp;" j",IF((p_asof-E250)&lt;=0,IF((p_asof-E250)&gt;-8,"Rappel courtois avant l'échéance","Aucune action"),IF((p_asof-E250)&lt;=15,"Relance 1 : e-mail de rappel",IF((p_asof-E250)&lt;=30,"Relance 2 : appel téléphonique",IF((p_asof-E250)&lt;=60,"Relance 3 : lettre de relance",IF((p_asof-E250)&lt;=90,"Mise en demeure (recommandé)","Contentieux : injonction de payer")))))))</f>
        <v/>
      </c>
      <c r="M250" t="str">
        <f>IFERROR(MATCH(219,fa_rank,0),"")</f>
        <v/>
      </c>
    </row>
    <row r="251">
      <c r="B251" s="78" t="str">
        <f>IF($M251="","",INDEX(fa_num,$M251)&amp;"")</f>
        <v/>
      </c>
      <c r="C251" s="79" t="str">
        <f>IF($M251="","",INDEX(fa_cname,$M251)&amp;"")</f>
        <v/>
      </c>
      <c r="D251" s="56" t="str">
        <f>IF($M251="","",INDEX(fa_date,$M251))</f>
        <v/>
      </c>
      <c r="E251" s="56" t="str">
        <f>IF($M251="","",INDEX(fa_due,$M251))</f>
        <v/>
      </c>
      <c r="F251" s="75" t="str">
        <f>IF($M251="","",INDEX(fa_ttc,$M251))</f>
        <v/>
      </c>
      <c r="G251" s="75" t="str">
        <f>IF($M251="","",INDEX(fa_paid,$M251)+INDEX(fa_avoirs,$M251))</f>
        <v/>
      </c>
      <c r="H251" s="75" t="str">
        <f>IF($M251="","",INDEX(fa_reste,$M251))</f>
        <v/>
      </c>
      <c r="I251" s="58" t="str">
        <f>IF($M251="","",MAX(0,p_asof-E251))</f>
        <v/>
      </c>
      <c r="J251" s="78" t="str">
        <f>IF($M251="","",INDEX(fa_tranche,$M251)&amp;"")</f>
        <v/>
      </c>
      <c r="K251" s="56" t="str">
        <f>IF($M251="","",IF(ISNUMBER(INDEX(fa_relance,$M251)),INDEX(fa_relance,$M251),""))</f>
        <v/>
      </c>
      <c r="L251" s="79" t="str">
        <f>IF($M251="","",IF(AND(ISNUMBER(K251),(p_asof-E251)&gt;0,(p_asof-N(K251))&gt;=0,(p_asof-N(K251))&lt;7),"Déjà relancée il y a "&amp;(p_asof-N(K251))&amp;" j",IF((p_asof-E251)&lt;=0,IF((p_asof-E251)&gt;-8,"Rappel courtois avant l'échéance","Aucune action"),IF((p_asof-E251)&lt;=15,"Relance 1 : e-mail de rappel",IF((p_asof-E251)&lt;=30,"Relance 2 : appel téléphonique",IF((p_asof-E251)&lt;=60,"Relance 3 : lettre de relance",IF((p_asof-E251)&lt;=90,"Mise en demeure (recommandé)","Contentieux : injonction de payer")))))))</f>
        <v/>
      </c>
      <c r="M251" t="str">
        <f>IFERROR(MATCH(220,fa_rank,0),"")</f>
        <v/>
      </c>
    </row>
    <row r="252">
      <c r="B252" s="78" t="str">
        <f>IF($M252="","",INDEX(fa_num,$M252)&amp;"")</f>
        <v/>
      </c>
      <c r="C252" s="79" t="str">
        <f>IF($M252="","",INDEX(fa_cname,$M252)&amp;"")</f>
        <v/>
      </c>
      <c r="D252" s="56" t="str">
        <f>IF($M252="","",INDEX(fa_date,$M252))</f>
        <v/>
      </c>
      <c r="E252" s="56" t="str">
        <f>IF($M252="","",INDEX(fa_due,$M252))</f>
        <v/>
      </c>
      <c r="F252" s="75" t="str">
        <f>IF($M252="","",INDEX(fa_ttc,$M252))</f>
        <v/>
      </c>
      <c r="G252" s="75" t="str">
        <f>IF($M252="","",INDEX(fa_paid,$M252)+INDEX(fa_avoirs,$M252))</f>
        <v/>
      </c>
      <c r="H252" s="75" t="str">
        <f>IF($M252="","",INDEX(fa_reste,$M252))</f>
        <v/>
      </c>
      <c r="I252" s="58" t="str">
        <f>IF($M252="","",MAX(0,p_asof-E252))</f>
        <v/>
      </c>
      <c r="J252" s="78" t="str">
        <f>IF($M252="","",INDEX(fa_tranche,$M252)&amp;"")</f>
        <v/>
      </c>
      <c r="K252" s="56" t="str">
        <f>IF($M252="","",IF(ISNUMBER(INDEX(fa_relance,$M252)),INDEX(fa_relance,$M252),""))</f>
        <v/>
      </c>
      <c r="L252" s="79" t="str">
        <f>IF($M252="","",IF(AND(ISNUMBER(K252),(p_asof-E252)&gt;0,(p_asof-N(K252))&gt;=0,(p_asof-N(K252))&lt;7),"Déjà relancée il y a "&amp;(p_asof-N(K252))&amp;" j",IF((p_asof-E252)&lt;=0,IF((p_asof-E252)&gt;-8,"Rappel courtois avant l'échéance","Aucune action"),IF((p_asof-E252)&lt;=15,"Relance 1 : e-mail de rappel",IF((p_asof-E252)&lt;=30,"Relance 2 : appel téléphonique",IF((p_asof-E252)&lt;=60,"Relance 3 : lettre de relance",IF((p_asof-E252)&lt;=90,"Mise en demeure (recommandé)","Contentieux : injonction de payer")))))))</f>
        <v/>
      </c>
      <c r="M252" t="str">
        <f>IFERROR(MATCH(221,fa_rank,0),"")</f>
        <v/>
      </c>
    </row>
    <row r="253">
      <c r="B253" s="78" t="str">
        <f>IF($M253="","",INDEX(fa_num,$M253)&amp;"")</f>
        <v/>
      </c>
      <c r="C253" s="79" t="str">
        <f>IF($M253="","",INDEX(fa_cname,$M253)&amp;"")</f>
        <v/>
      </c>
      <c r="D253" s="56" t="str">
        <f>IF($M253="","",INDEX(fa_date,$M253))</f>
        <v/>
      </c>
      <c r="E253" s="56" t="str">
        <f>IF($M253="","",INDEX(fa_due,$M253))</f>
        <v/>
      </c>
      <c r="F253" s="75" t="str">
        <f>IF($M253="","",INDEX(fa_ttc,$M253))</f>
        <v/>
      </c>
      <c r="G253" s="75" t="str">
        <f>IF($M253="","",INDEX(fa_paid,$M253)+INDEX(fa_avoirs,$M253))</f>
        <v/>
      </c>
      <c r="H253" s="75" t="str">
        <f>IF($M253="","",INDEX(fa_reste,$M253))</f>
        <v/>
      </c>
      <c r="I253" s="58" t="str">
        <f>IF($M253="","",MAX(0,p_asof-E253))</f>
        <v/>
      </c>
      <c r="J253" s="78" t="str">
        <f>IF($M253="","",INDEX(fa_tranche,$M253)&amp;"")</f>
        <v/>
      </c>
      <c r="K253" s="56" t="str">
        <f>IF($M253="","",IF(ISNUMBER(INDEX(fa_relance,$M253)),INDEX(fa_relance,$M253),""))</f>
        <v/>
      </c>
      <c r="L253" s="79" t="str">
        <f>IF($M253="","",IF(AND(ISNUMBER(K253),(p_asof-E253)&gt;0,(p_asof-N(K253))&gt;=0,(p_asof-N(K253))&lt;7),"Déjà relancée il y a "&amp;(p_asof-N(K253))&amp;" j",IF((p_asof-E253)&lt;=0,IF((p_asof-E253)&gt;-8,"Rappel courtois avant l'échéance","Aucune action"),IF((p_asof-E253)&lt;=15,"Relance 1 : e-mail de rappel",IF((p_asof-E253)&lt;=30,"Relance 2 : appel téléphonique",IF((p_asof-E253)&lt;=60,"Relance 3 : lettre de relance",IF((p_asof-E253)&lt;=90,"Mise en demeure (recommandé)","Contentieux : injonction de payer")))))))</f>
        <v/>
      </c>
      <c r="M253" t="str">
        <f>IFERROR(MATCH(222,fa_rank,0),"")</f>
        <v/>
      </c>
    </row>
    <row r="254">
      <c r="B254" s="78" t="str">
        <f>IF($M254="","",INDEX(fa_num,$M254)&amp;"")</f>
        <v/>
      </c>
      <c r="C254" s="79" t="str">
        <f>IF($M254="","",INDEX(fa_cname,$M254)&amp;"")</f>
        <v/>
      </c>
      <c r="D254" s="56" t="str">
        <f>IF($M254="","",INDEX(fa_date,$M254))</f>
        <v/>
      </c>
      <c r="E254" s="56" t="str">
        <f>IF($M254="","",INDEX(fa_due,$M254))</f>
        <v/>
      </c>
      <c r="F254" s="75" t="str">
        <f>IF($M254="","",INDEX(fa_ttc,$M254))</f>
        <v/>
      </c>
      <c r="G254" s="75" t="str">
        <f>IF($M254="","",INDEX(fa_paid,$M254)+INDEX(fa_avoirs,$M254))</f>
        <v/>
      </c>
      <c r="H254" s="75" t="str">
        <f>IF($M254="","",INDEX(fa_reste,$M254))</f>
        <v/>
      </c>
      <c r="I254" s="58" t="str">
        <f>IF($M254="","",MAX(0,p_asof-E254))</f>
        <v/>
      </c>
      <c r="J254" s="78" t="str">
        <f>IF($M254="","",INDEX(fa_tranche,$M254)&amp;"")</f>
        <v/>
      </c>
      <c r="K254" s="56" t="str">
        <f>IF($M254="","",IF(ISNUMBER(INDEX(fa_relance,$M254)),INDEX(fa_relance,$M254),""))</f>
        <v/>
      </c>
      <c r="L254" s="79" t="str">
        <f>IF($M254="","",IF(AND(ISNUMBER(K254),(p_asof-E254)&gt;0,(p_asof-N(K254))&gt;=0,(p_asof-N(K254))&lt;7),"Déjà relancée il y a "&amp;(p_asof-N(K254))&amp;" j",IF((p_asof-E254)&lt;=0,IF((p_asof-E254)&gt;-8,"Rappel courtois avant l'échéance","Aucune action"),IF((p_asof-E254)&lt;=15,"Relance 1 : e-mail de rappel",IF((p_asof-E254)&lt;=30,"Relance 2 : appel téléphonique",IF((p_asof-E254)&lt;=60,"Relance 3 : lettre de relance",IF((p_asof-E254)&lt;=90,"Mise en demeure (recommandé)","Contentieux : injonction de payer")))))))</f>
        <v/>
      </c>
      <c r="M254" t="str">
        <f>IFERROR(MATCH(223,fa_rank,0),"")</f>
        <v/>
      </c>
    </row>
    <row r="255">
      <c r="B255" s="78" t="str">
        <f>IF($M255="","",INDEX(fa_num,$M255)&amp;"")</f>
        <v/>
      </c>
      <c r="C255" s="79" t="str">
        <f>IF($M255="","",INDEX(fa_cname,$M255)&amp;"")</f>
        <v/>
      </c>
      <c r="D255" s="56" t="str">
        <f>IF($M255="","",INDEX(fa_date,$M255))</f>
        <v/>
      </c>
      <c r="E255" s="56" t="str">
        <f>IF($M255="","",INDEX(fa_due,$M255))</f>
        <v/>
      </c>
      <c r="F255" s="75" t="str">
        <f>IF($M255="","",INDEX(fa_ttc,$M255))</f>
        <v/>
      </c>
      <c r="G255" s="75" t="str">
        <f>IF($M255="","",INDEX(fa_paid,$M255)+INDEX(fa_avoirs,$M255))</f>
        <v/>
      </c>
      <c r="H255" s="75" t="str">
        <f>IF($M255="","",INDEX(fa_reste,$M255))</f>
        <v/>
      </c>
      <c r="I255" s="58" t="str">
        <f>IF($M255="","",MAX(0,p_asof-E255))</f>
        <v/>
      </c>
      <c r="J255" s="78" t="str">
        <f>IF($M255="","",INDEX(fa_tranche,$M255)&amp;"")</f>
        <v/>
      </c>
      <c r="K255" s="56" t="str">
        <f>IF($M255="","",IF(ISNUMBER(INDEX(fa_relance,$M255)),INDEX(fa_relance,$M255),""))</f>
        <v/>
      </c>
      <c r="L255" s="79" t="str">
        <f>IF($M255="","",IF(AND(ISNUMBER(K255),(p_asof-E255)&gt;0,(p_asof-N(K255))&gt;=0,(p_asof-N(K255))&lt;7),"Déjà relancée il y a "&amp;(p_asof-N(K255))&amp;" j",IF((p_asof-E255)&lt;=0,IF((p_asof-E255)&gt;-8,"Rappel courtois avant l'échéance","Aucune action"),IF((p_asof-E255)&lt;=15,"Relance 1 : e-mail de rappel",IF((p_asof-E255)&lt;=30,"Relance 2 : appel téléphonique",IF((p_asof-E255)&lt;=60,"Relance 3 : lettre de relance",IF((p_asof-E255)&lt;=90,"Mise en demeure (recommandé)","Contentieux : injonction de payer")))))))</f>
        <v/>
      </c>
      <c r="M255" t="str">
        <f>IFERROR(MATCH(224,fa_rank,0),"")</f>
        <v/>
      </c>
    </row>
    <row r="256">
      <c r="B256" s="78" t="str">
        <f>IF($M256="","",INDEX(fa_num,$M256)&amp;"")</f>
        <v/>
      </c>
      <c r="C256" s="79" t="str">
        <f>IF($M256="","",INDEX(fa_cname,$M256)&amp;"")</f>
        <v/>
      </c>
      <c r="D256" s="56" t="str">
        <f>IF($M256="","",INDEX(fa_date,$M256))</f>
        <v/>
      </c>
      <c r="E256" s="56" t="str">
        <f>IF($M256="","",INDEX(fa_due,$M256))</f>
        <v/>
      </c>
      <c r="F256" s="75" t="str">
        <f>IF($M256="","",INDEX(fa_ttc,$M256))</f>
        <v/>
      </c>
      <c r="G256" s="75" t="str">
        <f>IF($M256="","",INDEX(fa_paid,$M256)+INDEX(fa_avoirs,$M256))</f>
        <v/>
      </c>
      <c r="H256" s="75" t="str">
        <f>IF($M256="","",INDEX(fa_reste,$M256))</f>
        <v/>
      </c>
      <c r="I256" s="58" t="str">
        <f>IF($M256="","",MAX(0,p_asof-E256))</f>
        <v/>
      </c>
      <c r="J256" s="78" t="str">
        <f>IF($M256="","",INDEX(fa_tranche,$M256)&amp;"")</f>
        <v/>
      </c>
      <c r="K256" s="56" t="str">
        <f>IF($M256="","",IF(ISNUMBER(INDEX(fa_relance,$M256)),INDEX(fa_relance,$M256),""))</f>
        <v/>
      </c>
      <c r="L256" s="79" t="str">
        <f>IF($M256="","",IF(AND(ISNUMBER(K256),(p_asof-E256)&gt;0,(p_asof-N(K256))&gt;=0,(p_asof-N(K256))&lt;7),"Déjà relancée il y a "&amp;(p_asof-N(K256))&amp;" j",IF((p_asof-E256)&lt;=0,IF((p_asof-E256)&gt;-8,"Rappel courtois avant l'échéance","Aucune action"),IF((p_asof-E256)&lt;=15,"Relance 1 : e-mail de rappel",IF((p_asof-E256)&lt;=30,"Relance 2 : appel téléphonique",IF((p_asof-E256)&lt;=60,"Relance 3 : lettre de relance",IF((p_asof-E256)&lt;=90,"Mise en demeure (recommandé)","Contentieux : injonction de payer")))))))</f>
        <v/>
      </c>
      <c r="M256" t="str">
        <f>IFERROR(MATCH(225,fa_rank,0),"")</f>
        <v/>
      </c>
    </row>
    <row r="257">
      <c r="B257" s="78" t="str">
        <f>IF($M257="","",INDEX(fa_num,$M257)&amp;"")</f>
        <v/>
      </c>
      <c r="C257" s="79" t="str">
        <f>IF($M257="","",INDEX(fa_cname,$M257)&amp;"")</f>
        <v/>
      </c>
      <c r="D257" s="56" t="str">
        <f>IF($M257="","",INDEX(fa_date,$M257))</f>
        <v/>
      </c>
      <c r="E257" s="56" t="str">
        <f>IF($M257="","",INDEX(fa_due,$M257))</f>
        <v/>
      </c>
      <c r="F257" s="75" t="str">
        <f>IF($M257="","",INDEX(fa_ttc,$M257))</f>
        <v/>
      </c>
      <c r="G257" s="75" t="str">
        <f>IF($M257="","",INDEX(fa_paid,$M257)+INDEX(fa_avoirs,$M257))</f>
        <v/>
      </c>
      <c r="H257" s="75" t="str">
        <f>IF($M257="","",INDEX(fa_reste,$M257))</f>
        <v/>
      </c>
      <c r="I257" s="58" t="str">
        <f>IF($M257="","",MAX(0,p_asof-E257))</f>
        <v/>
      </c>
      <c r="J257" s="78" t="str">
        <f>IF($M257="","",INDEX(fa_tranche,$M257)&amp;"")</f>
        <v/>
      </c>
      <c r="K257" s="56" t="str">
        <f>IF($M257="","",IF(ISNUMBER(INDEX(fa_relance,$M257)),INDEX(fa_relance,$M257),""))</f>
        <v/>
      </c>
      <c r="L257" s="79" t="str">
        <f>IF($M257="","",IF(AND(ISNUMBER(K257),(p_asof-E257)&gt;0,(p_asof-N(K257))&gt;=0,(p_asof-N(K257))&lt;7),"Déjà relancée il y a "&amp;(p_asof-N(K257))&amp;" j",IF((p_asof-E257)&lt;=0,IF((p_asof-E257)&gt;-8,"Rappel courtois avant l'échéance","Aucune action"),IF((p_asof-E257)&lt;=15,"Relance 1 : e-mail de rappel",IF((p_asof-E257)&lt;=30,"Relance 2 : appel téléphonique",IF((p_asof-E257)&lt;=60,"Relance 3 : lettre de relance",IF((p_asof-E257)&lt;=90,"Mise en demeure (recommandé)","Contentieux : injonction de payer")))))))</f>
        <v/>
      </c>
      <c r="M257" t="str">
        <f>IFERROR(MATCH(226,fa_rank,0),"")</f>
        <v/>
      </c>
    </row>
    <row r="258">
      <c r="B258" s="78" t="str">
        <f>IF($M258="","",INDEX(fa_num,$M258)&amp;"")</f>
        <v/>
      </c>
      <c r="C258" s="79" t="str">
        <f>IF($M258="","",INDEX(fa_cname,$M258)&amp;"")</f>
        <v/>
      </c>
      <c r="D258" s="56" t="str">
        <f>IF($M258="","",INDEX(fa_date,$M258))</f>
        <v/>
      </c>
      <c r="E258" s="56" t="str">
        <f>IF($M258="","",INDEX(fa_due,$M258))</f>
        <v/>
      </c>
      <c r="F258" s="75" t="str">
        <f>IF($M258="","",INDEX(fa_ttc,$M258))</f>
        <v/>
      </c>
      <c r="G258" s="75" t="str">
        <f>IF($M258="","",INDEX(fa_paid,$M258)+INDEX(fa_avoirs,$M258))</f>
        <v/>
      </c>
      <c r="H258" s="75" t="str">
        <f>IF($M258="","",INDEX(fa_reste,$M258))</f>
        <v/>
      </c>
      <c r="I258" s="58" t="str">
        <f>IF($M258="","",MAX(0,p_asof-E258))</f>
        <v/>
      </c>
      <c r="J258" s="78" t="str">
        <f>IF($M258="","",INDEX(fa_tranche,$M258)&amp;"")</f>
        <v/>
      </c>
      <c r="K258" s="56" t="str">
        <f>IF($M258="","",IF(ISNUMBER(INDEX(fa_relance,$M258)),INDEX(fa_relance,$M258),""))</f>
        <v/>
      </c>
      <c r="L258" s="79" t="str">
        <f>IF($M258="","",IF(AND(ISNUMBER(K258),(p_asof-E258)&gt;0,(p_asof-N(K258))&gt;=0,(p_asof-N(K258))&lt;7),"Déjà relancée il y a "&amp;(p_asof-N(K258))&amp;" j",IF((p_asof-E258)&lt;=0,IF((p_asof-E258)&gt;-8,"Rappel courtois avant l'échéance","Aucune action"),IF((p_asof-E258)&lt;=15,"Relance 1 : e-mail de rappel",IF((p_asof-E258)&lt;=30,"Relance 2 : appel téléphonique",IF((p_asof-E258)&lt;=60,"Relance 3 : lettre de relance",IF((p_asof-E258)&lt;=90,"Mise en demeure (recommandé)","Contentieux : injonction de payer")))))))</f>
        <v/>
      </c>
      <c r="M258" t="str">
        <f>IFERROR(MATCH(227,fa_rank,0),"")</f>
        <v/>
      </c>
    </row>
    <row r="259">
      <c r="B259" s="78" t="str">
        <f>IF($M259="","",INDEX(fa_num,$M259)&amp;"")</f>
        <v/>
      </c>
      <c r="C259" s="79" t="str">
        <f>IF($M259="","",INDEX(fa_cname,$M259)&amp;"")</f>
        <v/>
      </c>
      <c r="D259" s="56" t="str">
        <f>IF($M259="","",INDEX(fa_date,$M259))</f>
        <v/>
      </c>
      <c r="E259" s="56" t="str">
        <f>IF($M259="","",INDEX(fa_due,$M259))</f>
        <v/>
      </c>
      <c r="F259" s="75" t="str">
        <f>IF($M259="","",INDEX(fa_ttc,$M259))</f>
        <v/>
      </c>
      <c r="G259" s="75" t="str">
        <f>IF($M259="","",INDEX(fa_paid,$M259)+INDEX(fa_avoirs,$M259))</f>
        <v/>
      </c>
      <c r="H259" s="75" t="str">
        <f>IF($M259="","",INDEX(fa_reste,$M259))</f>
        <v/>
      </c>
      <c r="I259" s="58" t="str">
        <f>IF($M259="","",MAX(0,p_asof-E259))</f>
        <v/>
      </c>
      <c r="J259" s="78" t="str">
        <f>IF($M259="","",INDEX(fa_tranche,$M259)&amp;"")</f>
        <v/>
      </c>
      <c r="K259" s="56" t="str">
        <f>IF($M259="","",IF(ISNUMBER(INDEX(fa_relance,$M259)),INDEX(fa_relance,$M259),""))</f>
        <v/>
      </c>
      <c r="L259" s="79" t="str">
        <f>IF($M259="","",IF(AND(ISNUMBER(K259),(p_asof-E259)&gt;0,(p_asof-N(K259))&gt;=0,(p_asof-N(K259))&lt;7),"Déjà relancée il y a "&amp;(p_asof-N(K259))&amp;" j",IF((p_asof-E259)&lt;=0,IF((p_asof-E259)&gt;-8,"Rappel courtois avant l'échéance","Aucune action"),IF((p_asof-E259)&lt;=15,"Relance 1 : e-mail de rappel",IF((p_asof-E259)&lt;=30,"Relance 2 : appel téléphonique",IF((p_asof-E259)&lt;=60,"Relance 3 : lettre de relance",IF((p_asof-E259)&lt;=90,"Mise en demeure (recommandé)","Contentieux : injonction de payer")))))))</f>
        <v/>
      </c>
      <c r="M259" t="str">
        <f>IFERROR(MATCH(228,fa_rank,0),"")</f>
        <v/>
      </c>
    </row>
    <row r="260">
      <c r="B260" s="78" t="str">
        <f>IF($M260="","",INDEX(fa_num,$M260)&amp;"")</f>
        <v/>
      </c>
      <c r="C260" s="79" t="str">
        <f>IF($M260="","",INDEX(fa_cname,$M260)&amp;"")</f>
        <v/>
      </c>
      <c r="D260" s="56" t="str">
        <f>IF($M260="","",INDEX(fa_date,$M260))</f>
        <v/>
      </c>
      <c r="E260" s="56" t="str">
        <f>IF($M260="","",INDEX(fa_due,$M260))</f>
        <v/>
      </c>
      <c r="F260" s="75" t="str">
        <f>IF($M260="","",INDEX(fa_ttc,$M260))</f>
        <v/>
      </c>
      <c r="G260" s="75" t="str">
        <f>IF($M260="","",INDEX(fa_paid,$M260)+INDEX(fa_avoirs,$M260))</f>
        <v/>
      </c>
      <c r="H260" s="75" t="str">
        <f>IF($M260="","",INDEX(fa_reste,$M260))</f>
        <v/>
      </c>
      <c r="I260" s="58" t="str">
        <f>IF($M260="","",MAX(0,p_asof-E260))</f>
        <v/>
      </c>
      <c r="J260" s="78" t="str">
        <f>IF($M260="","",INDEX(fa_tranche,$M260)&amp;"")</f>
        <v/>
      </c>
      <c r="K260" s="56" t="str">
        <f>IF($M260="","",IF(ISNUMBER(INDEX(fa_relance,$M260)),INDEX(fa_relance,$M260),""))</f>
        <v/>
      </c>
      <c r="L260" s="79" t="str">
        <f>IF($M260="","",IF(AND(ISNUMBER(K260),(p_asof-E260)&gt;0,(p_asof-N(K260))&gt;=0,(p_asof-N(K260))&lt;7),"Déjà relancée il y a "&amp;(p_asof-N(K260))&amp;" j",IF((p_asof-E260)&lt;=0,IF((p_asof-E260)&gt;-8,"Rappel courtois avant l'échéance","Aucune action"),IF((p_asof-E260)&lt;=15,"Relance 1 : e-mail de rappel",IF((p_asof-E260)&lt;=30,"Relance 2 : appel téléphonique",IF((p_asof-E260)&lt;=60,"Relance 3 : lettre de relance",IF((p_asof-E260)&lt;=90,"Mise en demeure (recommandé)","Contentieux : injonction de payer")))))))</f>
        <v/>
      </c>
      <c r="M260" t="str">
        <f>IFERROR(MATCH(229,fa_rank,0),"")</f>
        <v/>
      </c>
    </row>
    <row r="261">
      <c r="B261" s="78" t="str">
        <f>IF($M261="","",INDEX(fa_num,$M261)&amp;"")</f>
        <v/>
      </c>
      <c r="C261" s="79" t="str">
        <f>IF($M261="","",INDEX(fa_cname,$M261)&amp;"")</f>
        <v/>
      </c>
      <c r="D261" s="56" t="str">
        <f>IF($M261="","",INDEX(fa_date,$M261))</f>
        <v/>
      </c>
      <c r="E261" s="56" t="str">
        <f>IF($M261="","",INDEX(fa_due,$M261))</f>
        <v/>
      </c>
      <c r="F261" s="75" t="str">
        <f>IF($M261="","",INDEX(fa_ttc,$M261))</f>
        <v/>
      </c>
      <c r="G261" s="75" t="str">
        <f>IF($M261="","",INDEX(fa_paid,$M261)+INDEX(fa_avoirs,$M261))</f>
        <v/>
      </c>
      <c r="H261" s="75" t="str">
        <f>IF($M261="","",INDEX(fa_reste,$M261))</f>
        <v/>
      </c>
      <c r="I261" s="58" t="str">
        <f>IF($M261="","",MAX(0,p_asof-E261))</f>
        <v/>
      </c>
      <c r="J261" s="78" t="str">
        <f>IF($M261="","",INDEX(fa_tranche,$M261)&amp;"")</f>
        <v/>
      </c>
      <c r="K261" s="56" t="str">
        <f>IF($M261="","",IF(ISNUMBER(INDEX(fa_relance,$M261)),INDEX(fa_relance,$M261),""))</f>
        <v/>
      </c>
      <c r="L261" s="79" t="str">
        <f>IF($M261="","",IF(AND(ISNUMBER(K261),(p_asof-E261)&gt;0,(p_asof-N(K261))&gt;=0,(p_asof-N(K261))&lt;7),"Déjà relancée il y a "&amp;(p_asof-N(K261))&amp;" j",IF((p_asof-E261)&lt;=0,IF((p_asof-E261)&gt;-8,"Rappel courtois avant l'échéance","Aucune action"),IF((p_asof-E261)&lt;=15,"Relance 1 : e-mail de rappel",IF((p_asof-E261)&lt;=30,"Relance 2 : appel téléphonique",IF((p_asof-E261)&lt;=60,"Relance 3 : lettre de relance",IF((p_asof-E261)&lt;=90,"Mise en demeure (recommandé)","Contentieux : injonction de payer")))))))</f>
        <v/>
      </c>
      <c r="M261" t="str">
        <f>IFERROR(MATCH(230,fa_rank,0),"")</f>
        <v/>
      </c>
    </row>
    <row r="262">
      <c r="B262" s="78" t="str">
        <f>IF($M262="","",INDEX(fa_num,$M262)&amp;"")</f>
        <v/>
      </c>
      <c r="C262" s="79" t="str">
        <f>IF($M262="","",INDEX(fa_cname,$M262)&amp;"")</f>
        <v/>
      </c>
      <c r="D262" s="56" t="str">
        <f>IF($M262="","",INDEX(fa_date,$M262))</f>
        <v/>
      </c>
      <c r="E262" s="56" t="str">
        <f>IF($M262="","",INDEX(fa_due,$M262))</f>
        <v/>
      </c>
      <c r="F262" s="75" t="str">
        <f>IF($M262="","",INDEX(fa_ttc,$M262))</f>
        <v/>
      </c>
      <c r="G262" s="75" t="str">
        <f>IF($M262="","",INDEX(fa_paid,$M262)+INDEX(fa_avoirs,$M262))</f>
        <v/>
      </c>
      <c r="H262" s="75" t="str">
        <f>IF($M262="","",INDEX(fa_reste,$M262))</f>
        <v/>
      </c>
      <c r="I262" s="58" t="str">
        <f>IF($M262="","",MAX(0,p_asof-E262))</f>
        <v/>
      </c>
      <c r="J262" s="78" t="str">
        <f>IF($M262="","",INDEX(fa_tranche,$M262)&amp;"")</f>
        <v/>
      </c>
      <c r="K262" s="56" t="str">
        <f>IF($M262="","",IF(ISNUMBER(INDEX(fa_relance,$M262)),INDEX(fa_relance,$M262),""))</f>
        <v/>
      </c>
      <c r="L262" s="79" t="str">
        <f>IF($M262="","",IF(AND(ISNUMBER(K262),(p_asof-E262)&gt;0,(p_asof-N(K262))&gt;=0,(p_asof-N(K262))&lt;7),"Déjà relancée il y a "&amp;(p_asof-N(K262))&amp;" j",IF((p_asof-E262)&lt;=0,IF((p_asof-E262)&gt;-8,"Rappel courtois avant l'échéance","Aucune action"),IF((p_asof-E262)&lt;=15,"Relance 1 : e-mail de rappel",IF((p_asof-E262)&lt;=30,"Relance 2 : appel téléphonique",IF((p_asof-E262)&lt;=60,"Relance 3 : lettre de relance",IF((p_asof-E262)&lt;=90,"Mise en demeure (recommandé)","Contentieux : injonction de payer")))))))</f>
        <v/>
      </c>
      <c r="M262" t="str">
        <f>IFERROR(MATCH(231,fa_rank,0),"")</f>
        <v/>
      </c>
    </row>
    <row r="263">
      <c r="B263" s="78" t="str">
        <f>IF($M263="","",INDEX(fa_num,$M263)&amp;"")</f>
        <v/>
      </c>
      <c r="C263" s="79" t="str">
        <f>IF($M263="","",INDEX(fa_cname,$M263)&amp;"")</f>
        <v/>
      </c>
      <c r="D263" s="56" t="str">
        <f>IF($M263="","",INDEX(fa_date,$M263))</f>
        <v/>
      </c>
      <c r="E263" s="56" t="str">
        <f>IF($M263="","",INDEX(fa_due,$M263))</f>
        <v/>
      </c>
      <c r="F263" s="75" t="str">
        <f>IF($M263="","",INDEX(fa_ttc,$M263))</f>
        <v/>
      </c>
      <c r="G263" s="75" t="str">
        <f>IF($M263="","",INDEX(fa_paid,$M263)+INDEX(fa_avoirs,$M263))</f>
        <v/>
      </c>
      <c r="H263" s="75" t="str">
        <f>IF($M263="","",INDEX(fa_reste,$M263))</f>
        <v/>
      </c>
      <c r="I263" s="58" t="str">
        <f>IF($M263="","",MAX(0,p_asof-E263))</f>
        <v/>
      </c>
      <c r="J263" s="78" t="str">
        <f>IF($M263="","",INDEX(fa_tranche,$M263)&amp;"")</f>
        <v/>
      </c>
      <c r="K263" s="56" t="str">
        <f>IF($M263="","",IF(ISNUMBER(INDEX(fa_relance,$M263)),INDEX(fa_relance,$M263),""))</f>
        <v/>
      </c>
      <c r="L263" s="79" t="str">
        <f>IF($M263="","",IF(AND(ISNUMBER(K263),(p_asof-E263)&gt;0,(p_asof-N(K263))&gt;=0,(p_asof-N(K263))&lt;7),"Déjà relancée il y a "&amp;(p_asof-N(K263))&amp;" j",IF((p_asof-E263)&lt;=0,IF((p_asof-E263)&gt;-8,"Rappel courtois avant l'échéance","Aucune action"),IF((p_asof-E263)&lt;=15,"Relance 1 : e-mail de rappel",IF((p_asof-E263)&lt;=30,"Relance 2 : appel téléphonique",IF((p_asof-E263)&lt;=60,"Relance 3 : lettre de relance",IF((p_asof-E263)&lt;=90,"Mise en demeure (recommandé)","Contentieux : injonction de payer")))))))</f>
        <v/>
      </c>
      <c r="M263" t="str">
        <f>IFERROR(MATCH(232,fa_rank,0),"")</f>
        <v/>
      </c>
    </row>
    <row r="264">
      <c r="B264" s="78" t="str">
        <f>IF($M264="","",INDEX(fa_num,$M264)&amp;"")</f>
        <v/>
      </c>
      <c r="C264" s="79" t="str">
        <f>IF($M264="","",INDEX(fa_cname,$M264)&amp;"")</f>
        <v/>
      </c>
      <c r="D264" s="56" t="str">
        <f>IF($M264="","",INDEX(fa_date,$M264))</f>
        <v/>
      </c>
      <c r="E264" s="56" t="str">
        <f>IF($M264="","",INDEX(fa_due,$M264))</f>
        <v/>
      </c>
      <c r="F264" s="75" t="str">
        <f>IF($M264="","",INDEX(fa_ttc,$M264))</f>
        <v/>
      </c>
      <c r="G264" s="75" t="str">
        <f>IF($M264="","",INDEX(fa_paid,$M264)+INDEX(fa_avoirs,$M264))</f>
        <v/>
      </c>
      <c r="H264" s="75" t="str">
        <f>IF($M264="","",INDEX(fa_reste,$M264))</f>
        <v/>
      </c>
      <c r="I264" s="58" t="str">
        <f>IF($M264="","",MAX(0,p_asof-E264))</f>
        <v/>
      </c>
      <c r="J264" s="78" t="str">
        <f>IF($M264="","",INDEX(fa_tranche,$M264)&amp;"")</f>
        <v/>
      </c>
      <c r="K264" s="56" t="str">
        <f>IF($M264="","",IF(ISNUMBER(INDEX(fa_relance,$M264)),INDEX(fa_relance,$M264),""))</f>
        <v/>
      </c>
      <c r="L264" s="79" t="str">
        <f>IF($M264="","",IF(AND(ISNUMBER(K264),(p_asof-E264)&gt;0,(p_asof-N(K264))&gt;=0,(p_asof-N(K264))&lt;7),"Déjà relancée il y a "&amp;(p_asof-N(K264))&amp;" j",IF((p_asof-E264)&lt;=0,IF((p_asof-E264)&gt;-8,"Rappel courtois avant l'échéance","Aucune action"),IF((p_asof-E264)&lt;=15,"Relance 1 : e-mail de rappel",IF((p_asof-E264)&lt;=30,"Relance 2 : appel téléphonique",IF((p_asof-E264)&lt;=60,"Relance 3 : lettre de relance",IF((p_asof-E264)&lt;=90,"Mise en demeure (recommandé)","Contentieux : injonction de payer")))))))</f>
        <v/>
      </c>
      <c r="M264" t="str">
        <f>IFERROR(MATCH(233,fa_rank,0),"")</f>
        <v/>
      </c>
    </row>
    <row r="265">
      <c r="B265" s="78" t="str">
        <f>IF($M265="","",INDEX(fa_num,$M265)&amp;"")</f>
        <v/>
      </c>
      <c r="C265" s="79" t="str">
        <f>IF($M265="","",INDEX(fa_cname,$M265)&amp;"")</f>
        <v/>
      </c>
      <c r="D265" s="56" t="str">
        <f>IF($M265="","",INDEX(fa_date,$M265))</f>
        <v/>
      </c>
      <c r="E265" s="56" t="str">
        <f>IF($M265="","",INDEX(fa_due,$M265))</f>
        <v/>
      </c>
      <c r="F265" s="75" t="str">
        <f>IF($M265="","",INDEX(fa_ttc,$M265))</f>
        <v/>
      </c>
      <c r="G265" s="75" t="str">
        <f>IF($M265="","",INDEX(fa_paid,$M265)+INDEX(fa_avoirs,$M265))</f>
        <v/>
      </c>
      <c r="H265" s="75" t="str">
        <f>IF($M265="","",INDEX(fa_reste,$M265))</f>
        <v/>
      </c>
      <c r="I265" s="58" t="str">
        <f>IF($M265="","",MAX(0,p_asof-E265))</f>
        <v/>
      </c>
      <c r="J265" s="78" t="str">
        <f>IF($M265="","",INDEX(fa_tranche,$M265)&amp;"")</f>
        <v/>
      </c>
      <c r="K265" s="56" t="str">
        <f>IF($M265="","",IF(ISNUMBER(INDEX(fa_relance,$M265)),INDEX(fa_relance,$M265),""))</f>
        <v/>
      </c>
      <c r="L265" s="79" t="str">
        <f>IF($M265="","",IF(AND(ISNUMBER(K265),(p_asof-E265)&gt;0,(p_asof-N(K265))&gt;=0,(p_asof-N(K265))&lt;7),"Déjà relancée il y a "&amp;(p_asof-N(K265))&amp;" j",IF((p_asof-E265)&lt;=0,IF((p_asof-E265)&gt;-8,"Rappel courtois avant l'échéance","Aucune action"),IF((p_asof-E265)&lt;=15,"Relance 1 : e-mail de rappel",IF((p_asof-E265)&lt;=30,"Relance 2 : appel téléphonique",IF((p_asof-E265)&lt;=60,"Relance 3 : lettre de relance",IF((p_asof-E265)&lt;=90,"Mise en demeure (recommandé)","Contentieux : injonction de payer")))))))</f>
        <v/>
      </c>
      <c r="M265" t="str">
        <f>IFERROR(MATCH(234,fa_rank,0),"")</f>
        <v/>
      </c>
    </row>
    <row r="266">
      <c r="B266" s="78" t="str">
        <f>IF($M266="","",INDEX(fa_num,$M266)&amp;"")</f>
        <v/>
      </c>
      <c r="C266" s="79" t="str">
        <f>IF($M266="","",INDEX(fa_cname,$M266)&amp;"")</f>
        <v/>
      </c>
      <c r="D266" s="56" t="str">
        <f>IF($M266="","",INDEX(fa_date,$M266))</f>
        <v/>
      </c>
      <c r="E266" s="56" t="str">
        <f>IF($M266="","",INDEX(fa_due,$M266))</f>
        <v/>
      </c>
      <c r="F266" s="75" t="str">
        <f>IF($M266="","",INDEX(fa_ttc,$M266))</f>
        <v/>
      </c>
      <c r="G266" s="75" t="str">
        <f>IF($M266="","",INDEX(fa_paid,$M266)+INDEX(fa_avoirs,$M266))</f>
        <v/>
      </c>
      <c r="H266" s="75" t="str">
        <f>IF($M266="","",INDEX(fa_reste,$M266))</f>
        <v/>
      </c>
      <c r="I266" s="58" t="str">
        <f>IF($M266="","",MAX(0,p_asof-E266))</f>
        <v/>
      </c>
      <c r="J266" s="78" t="str">
        <f>IF($M266="","",INDEX(fa_tranche,$M266)&amp;"")</f>
        <v/>
      </c>
      <c r="K266" s="56" t="str">
        <f>IF($M266="","",IF(ISNUMBER(INDEX(fa_relance,$M266)),INDEX(fa_relance,$M266),""))</f>
        <v/>
      </c>
      <c r="L266" s="79" t="str">
        <f>IF($M266="","",IF(AND(ISNUMBER(K266),(p_asof-E266)&gt;0,(p_asof-N(K266))&gt;=0,(p_asof-N(K266))&lt;7),"Déjà relancée il y a "&amp;(p_asof-N(K266))&amp;" j",IF((p_asof-E266)&lt;=0,IF((p_asof-E266)&gt;-8,"Rappel courtois avant l'échéance","Aucune action"),IF((p_asof-E266)&lt;=15,"Relance 1 : e-mail de rappel",IF((p_asof-E266)&lt;=30,"Relance 2 : appel téléphonique",IF((p_asof-E266)&lt;=60,"Relance 3 : lettre de relance",IF((p_asof-E266)&lt;=90,"Mise en demeure (recommandé)","Contentieux : injonction de payer")))))))</f>
        <v/>
      </c>
      <c r="M266" t="str">
        <f>IFERROR(MATCH(235,fa_rank,0),"")</f>
        <v/>
      </c>
    </row>
    <row r="267">
      <c r="B267" s="78" t="str">
        <f>IF($M267="","",INDEX(fa_num,$M267)&amp;"")</f>
        <v/>
      </c>
      <c r="C267" s="79" t="str">
        <f>IF($M267="","",INDEX(fa_cname,$M267)&amp;"")</f>
        <v/>
      </c>
      <c r="D267" s="56" t="str">
        <f>IF($M267="","",INDEX(fa_date,$M267))</f>
        <v/>
      </c>
      <c r="E267" s="56" t="str">
        <f>IF($M267="","",INDEX(fa_due,$M267))</f>
        <v/>
      </c>
      <c r="F267" s="75" t="str">
        <f>IF($M267="","",INDEX(fa_ttc,$M267))</f>
        <v/>
      </c>
      <c r="G267" s="75" t="str">
        <f>IF($M267="","",INDEX(fa_paid,$M267)+INDEX(fa_avoirs,$M267))</f>
        <v/>
      </c>
      <c r="H267" s="75" t="str">
        <f>IF($M267="","",INDEX(fa_reste,$M267))</f>
        <v/>
      </c>
      <c r="I267" s="58" t="str">
        <f>IF($M267="","",MAX(0,p_asof-E267))</f>
        <v/>
      </c>
      <c r="J267" s="78" t="str">
        <f>IF($M267="","",INDEX(fa_tranche,$M267)&amp;"")</f>
        <v/>
      </c>
      <c r="K267" s="56" t="str">
        <f>IF($M267="","",IF(ISNUMBER(INDEX(fa_relance,$M267)),INDEX(fa_relance,$M267),""))</f>
        <v/>
      </c>
      <c r="L267" s="79" t="str">
        <f>IF($M267="","",IF(AND(ISNUMBER(K267),(p_asof-E267)&gt;0,(p_asof-N(K267))&gt;=0,(p_asof-N(K267))&lt;7),"Déjà relancée il y a "&amp;(p_asof-N(K267))&amp;" j",IF((p_asof-E267)&lt;=0,IF((p_asof-E267)&gt;-8,"Rappel courtois avant l'échéance","Aucune action"),IF((p_asof-E267)&lt;=15,"Relance 1 : e-mail de rappel",IF((p_asof-E267)&lt;=30,"Relance 2 : appel téléphonique",IF((p_asof-E267)&lt;=60,"Relance 3 : lettre de relance",IF((p_asof-E267)&lt;=90,"Mise en demeure (recommandé)","Contentieux : injonction de payer")))))))</f>
        <v/>
      </c>
      <c r="M267" t="str">
        <f>IFERROR(MATCH(236,fa_rank,0),"")</f>
        <v/>
      </c>
    </row>
    <row r="268">
      <c r="B268" s="78" t="str">
        <f>IF($M268="","",INDEX(fa_num,$M268)&amp;"")</f>
        <v/>
      </c>
      <c r="C268" s="79" t="str">
        <f>IF($M268="","",INDEX(fa_cname,$M268)&amp;"")</f>
        <v/>
      </c>
      <c r="D268" s="56" t="str">
        <f>IF($M268="","",INDEX(fa_date,$M268))</f>
        <v/>
      </c>
      <c r="E268" s="56" t="str">
        <f>IF($M268="","",INDEX(fa_due,$M268))</f>
        <v/>
      </c>
      <c r="F268" s="75" t="str">
        <f>IF($M268="","",INDEX(fa_ttc,$M268))</f>
        <v/>
      </c>
      <c r="G268" s="75" t="str">
        <f>IF($M268="","",INDEX(fa_paid,$M268)+INDEX(fa_avoirs,$M268))</f>
        <v/>
      </c>
      <c r="H268" s="75" t="str">
        <f>IF($M268="","",INDEX(fa_reste,$M268))</f>
        <v/>
      </c>
      <c r="I268" s="58" t="str">
        <f>IF($M268="","",MAX(0,p_asof-E268))</f>
        <v/>
      </c>
      <c r="J268" s="78" t="str">
        <f>IF($M268="","",INDEX(fa_tranche,$M268)&amp;"")</f>
        <v/>
      </c>
      <c r="K268" s="56" t="str">
        <f>IF($M268="","",IF(ISNUMBER(INDEX(fa_relance,$M268)),INDEX(fa_relance,$M268),""))</f>
        <v/>
      </c>
      <c r="L268" s="79" t="str">
        <f>IF($M268="","",IF(AND(ISNUMBER(K268),(p_asof-E268)&gt;0,(p_asof-N(K268))&gt;=0,(p_asof-N(K268))&lt;7),"Déjà relancée il y a "&amp;(p_asof-N(K268))&amp;" j",IF((p_asof-E268)&lt;=0,IF((p_asof-E268)&gt;-8,"Rappel courtois avant l'échéance","Aucune action"),IF((p_asof-E268)&lt;=15,"Relance 1 : e-mail de rappel",IF((p_asof-E268)&lt;=30,"Relance 2 : appel téléphonique",IF((p_asof-E268)&lt;=60,"Relance 3 : lettre de relance",IF((p_asof-E268)&lt;=90,"Mise en demeure (recommandé)","Contentieux : injonction de payer")))))))</f>
        <v/>
      </c>
      <c r="M268" t="str">
        <f>IFERROR(MATCH(237,fa_rank,0),"")</f>
        <v/>
      </c>
    </row>
    <row r="269">
      <c r="B269" s="78" t="str">
        <f>IF($M269="","",INDEX(fa_num,$M269)&amp;"")</f>
        <v/>
      </c>
      <c r="C269" s="79" t="str">
        <f>IF($M269="","",INDEX(fa_cname,$M269)&amp;"")</f>
        <v/>
      </c>
      <c r="D269" s="56" t="str">
        <f>IF($M269="","",INDEX(fa_date,$M269))</f>
        <v/>
      </c>
      <c r="E269" s="56" t="str">
        <f>IF($M269="","",INDEX(fa_due,$M269))</f>
        <v/>
      </c>
      <c r="F269" s="75" t="str">
        <f>IF($M269="","",INDEX(fa_ttc,$M269))</f>
        <v/>
      </c>
      <c r="G269" s="75" t="str">
        <f>IF($M269="","",INDEX(fa_paid,$M269)+INDEX(fa_avoirs,$M269))</f>
        <v/>
      </c>
      <c r="H269" s="75" t="str">
        <f>IF($M269="","",INDEX(fa_reste,$M269))</f>
        <v/>
      </c>
      <c r="I269" s="58" t="str">
        <f>IF($M269="","",MAX(0,p_asof-E269))</f>
        <v/>
      </c>
      <c r="J269" s="78" t="str">
        <f>IF($M269="","",INDEX(fa_tranche,$M269)&amp;"")</f>
        <v/>
      </c>
      <c r="K269" s="56" t="str">
        <f>IF($M269="","",IF(ISNUMBER(INDEX(fa_relance,$M269)),INDEX(fa_relance,$M269),""))</f>
        <v/>
      </c>
      <c r="L269" s="79" t="str">
        <f>IF($M269="","",IF(AND(ISNUMBER(K269),(p_asof-E269)&gt;0,(p_asof-N(K269))&gt;=0,(p_asof-N(K269))&lt;7),"Déjà relancée il y a "&amp;(p_asof-N(K269))&amp;" j",IF((p_asof-E269)&lt;=0,IF((p_asof-E269)&gt;-8,"Rappel courtois avant l'échéance","Aucune action"),IF((p_asof-E269)&lt;=15,"Relance 1 : e-mail de rappel",IF((p_asof-E269)&lt;=30,"Relance 2 : appel téléphonique",IF((p_asof-E269)&lt;=60,"Relance 3 : lettre de relance",IF((p_asof-E269)&lt;=90,"Mise en demeure (recommandé)","Contentieux : injonction de payer")))))))</f>
        <v/>
      </c>
      <c r="M269" t="str">
        <f>IFERROR(MATCH(238,fa_rank,0),"")</f>
        <v/>
      </c>
    </row>
    <row r="270">
      <c r="B270" s="78" t="str">
        <f>IF($M270="","",INDEX(fa_num,$M270)&amp;"")</f>
        <v/>
      </c>
      <c r="C270" s="79" t="str">
        <f>IF($M270="","",INDEX(fa_cname,$M270)&amp;"")</f>
        <v/>
      </c>
      <c r="D270" s="56" t="str">
        <f>IF($M270="","",INDEX(fa_date,$M270))</f>
        <v/>
      </c>
      <c r="E270" s="56" t="str">
        <f>IF($M270="","",INDEX(fa_due,$M270))</f>
        <v/>
      </c>
      <c r="F270" s="75" t="str">
        <f>IF($M270="","",INDEX(fa_ttc,$M270))</f>
        <v/>
      </c>
      <c r="G270" s="75" t="str">
        <f>IF($M270="","",INDEX(fa_paid,$M270)+INDEX(fa_avoirs,$M270))</f>
        <v/>
      </c>
      <c r="H270" s="75" t="str">
        <f>IF($M270="","",INDEX(fa_reste,$M270))</f>
        <v/>
      </c>
      <c r="I270" s="58" t="str">
        <f>IF($M270="","",MAX(0,p_asof-E270))</f>
        <v/>
      </c>
      <c r="J270" s="78" t="str">
        <f>IF($M270="","",INDEX(fa_tranche,$M270)&amp;"")</f>
        <v/>
      </c>
      <c r="K270" s="56" t="str">
        <f>IF($M270="","",IF(ISNUMBER(INDEX(fa_relance,$M270)),INDEX(fa_relance,$M270),""))</f>
        <v/>
      </c>
      <c r="L270" s="79" t="str">
        <f>IF($M270="","",IF(AND(ISNUMBER(K270),(p_asof-E270)&gt;0,(p_asof-N(K270))&gt;=0,(p_asof-N(K270))&lt;7),"Déjà relancée il y a "&amp;(p_asof-N(K270))&amp;" j",IF((p_asof-E270)&lt;=0,IF((p_asof-E270)&gt;-8,"Rappel courtois avant l'échéance","Aucune action"),IF((p_asof-E270)&lt;=15,"Relance 1 : e-mail de rappel",IF((p_asof-E270)&lt;=30,"Relance 2 : appel téléphonique",IF((p_asof-E270)&lt;=60,"Relance 3 : lettre de relance",IF((p_asof-E270)&lt;=90,"Mise en demeure (recommandé)","Contentieux : injonction de payer")))))))</f>
        <v/>
      </c>
      <c r="M270" t="str">
        <f>IFERROR(MATCH(239,fa_rank,0),"")</f>
        <v/>
      </c>
    </row>
    <row r="271">
      <c r="B271" s="78" t="str">
        <f>IF($M271="","",INDEX(fa_num,$M271)&amp;"")</f>
        <v/>
      </c>
      <c r="C271" s="79" t="str">
        <f>IF($M271="","",INDEX(fa_cname,$M271)&amp;"")</f>
        <v/>
      </c>
      <c r="D271" s="56" t="str">
        <f>IF($M271="","",INDEX(fa_date,$M271))</f>
        <v/>
      </c>
      <c r="E271" s="56" t="str">
        <f>IF($M271="","",INDEX(fa_due,$M271))</f>
        <v/>
      </c>
      <c r="F271" s="75" t="str">
        <f>IF($M271="","",INDEX(fa_ttc,$M271))</f>
        <v/>
      </c>
      <c r="G271" s="75" t="str">
        <f>IF($M271="","",INDEX(fa_paid,$M271)+INDEX(fa_avoirs,$M271))</f>
        <v/>
      </c>
      <c r="H271" s="75" t="str">
        <f>IF($M271="","",INDEX(fa_reste,$M271))</f>
        <v/>
      </c>
      <c r="I271" s="58" t="str">
        <f>IF($M271="","",MAX(0,p_asof-E271))</f>
        <v/>
      </c>
      <c r="J271" s="78" t="str">
        <f>IF($M271="","",INDEX(fa_tranche,$M271)&amp;"")</f>
        <v/>
      </c>
      <c r="K271" s="56" t="str">
        <f>IF($M271="","",IF(ISNUMBER(INDEX(fa_relance,$M271)),INDEX(fa_relance,$M271),""))</f>
        <v/>
      </c>
      <c r="L271" s="79" t="str">
        <f>IF($M271="","",IF(AND(ISNUMBER(K271),(p_asof-E271)&gt;0,(p_asof-N(K271))&gt;=0,(p_asof-N(K271))&lt;7),"Déjà relancée il y a "&amp;(p_asof-N(K271))&amp;" j",IF((p_asof-E271)&lt;=0,IF((p_asof-E271)&gt;-8,"Rappel courtois avant l'échéance","Aucune action"),IF((p_asof-E271)&lt;=15,"Relance 1 : e-mail de rappel",IF((p_asof-E271)&lt;=30,"Relance 2 : appel téléphonique",IF((p_asof-E271)&lt;=60,"Relance 3 : lettre de relance",IF((p_asof-E271)&lt;=90,"Mise en demeure (recommandé)","Contentieux : injonction de payer")))))))</f>
        <v/>
      </c>
      <c r="M271" t="str">
        <f>IFERROR(MATCH(240,fa_rank,0),"")</f>
        <v/>
      </c>
    </row>
    <row r="272">
      <c r="B272" s="78" t="str">
        <f>IF($M272="","",INDEX(fa_num,$M272)&amp;"")</f>
        <v/>
      </c>
      <c r="C272" s="79" t="str">
        <f>IF($M272="","",INDEX(fa_cname,$M272)&amp;"")</f>
        <v/>
      </c>
      <c r="D272" s="56" t="str">
        <f>IF($M272="","",INDEX(fa_date,$M272))</f>
        <v/>
      </c>
      <c r="E272" s="56" t="str">
        <f>IF($M272="","",INDEX(fa_due,$M272))</f>
        <v/>
      </c>
      <c r="F272" s="75" t="str">
        <f>IF($M272="","",INDEX(fa_ttc,$M272))</f>
        <v/>
      </c>
      <c r="G272" s="75" t="str">
        <f>IF($M272="","",INDEX(fa_paid,$M272)+INDEX(fa_avoirs,$M272))</f>
        <v/>
      </c>
      <c r="H272" s="75" t="str">
        <f>IF($M272="","",INDEX(fa_reste,$M272))</f>
        <v/>
      </c>
      <c r="I272" s="58" t="str">
        <f>IF($M272="","",MAX(0,p_asof-E272))</f>
        <v/>
      </c>
      <c r="J272" s="78" t="str">
        <f>IF($M272="","",INDEX(fa_tranche,$M272)&amp;"")</f>
        <v/>
      </c>
      <c r="K272" s="56" t="str">
        <f>IF($M272="","",IF(ISNUMBER(INDEX(fa_relance,$M272)),INDEX(fa_relance,$M272),""))</f>
        <v/>
      </c>
      <c r="L272" s="79" t="str">
        <f>IF($M272="","",IF(AND(ISNUMBER(K272),(p_asof-E272)&gt;0,(p_asof-N(K272))&gt;=0,(p_asof-N(K272))&lt;7),"Déjà relancée il y a "&amp;(p_asof-N(K272))&amp;" j",IF((p_asof-E272)&lt;=0,IF((p_asof-E272)&gt;-8,"Rappel courtois avant l'échéance","Aucune action"),IF((p_asof-E272)&lt;=15,"Relance 1 : e-mail de rappel",IF((p_asof-E272)&lt;=30,"Relance 2 : appel téléphonique",IF((p_asof-E272)&lt;=60,"Relance 3 : lettre de relance",IF((p_asof-E272)&lt;=90,"Mise en demeure (recommandé)","Contentieux : injonction de payer")))))))</f>
        <v/>
      </c>
      <c r="M272" t="str">
        <f>IFERROR(MATCH(241,fa_rank,0),"")</f>
        <v/>
      </c>
    </row>
    <row r="273">
      <c r="B273" s="78" t="str">
        <f>IF($M273="","",INDEX(fa_num,$M273)&amp;"")</f>
        <v/>
      </c>
      <c r="C273" s="79" t="str">
        <f>IF($M273="","",INDEX(fa_cname,$M273)&amp;"")</f>
        <v/>
      </c>
      <c r="D273" s="56" t="str">
        <f>IF($M273="","",INDEX(fa_date,$M273))</f>
        <v/>
      </c>
      <c r="E273" s="56" t="str">
        <f>IF($M273="","",INDEX(fa_due,$M273))</f>
        <v/>
      </c>
      <c r="F273" s="75" t="str">
        <f>IF($M273="","",INDEX(fa_ttc,$M273))</f>
        <v/>
      </c>
      <c r="G273" s="75" t="str">
        <f>IF($M273="","",INDEX(fa_paid,$M273)+INDEX(fa_avoirs,$M273))</f>
        <v/>
      </c>
      <c r="H273" s="75" t="str">
        <f>IF($M273="","",INDEX(fa_reste,$M273))</f>
        <v/>
      </c>
      <c r="I273" s="58" t="str">
        <f>IF($M273="","",MAX(0,p_asof-E273))</f>
        <v/>
      </c>
      <c r="J273" s="78" t="str">
        <f>IF($M273="","",INDEX(fa_tranche,$M273)&amp;"")</f>
        <v/>
      </c>
      <c r="K273" s="56" t="str">
        <f>IF($M273="","",IF(ISNUMBER(INDEX(fa_relance,$M273)),INDEX(fa_relance,$M273),""))</f>
        <v/>
      </c>
      <c r="L273" s="79" t="str">
        <f>IF($M273="","",IF(AND(ISNUMBER(K273),(p_asof-E273)&gt;0,(p_asof-N(K273))&gt;=0,(p_asof-N(K273))&lt;7),"Déjà relancée il y a "&amp;(p_asof-N(K273))&amp;" j",IF((p_asof-E273)&lt;=0,IF((p_asof-E273)&gt;-8,"Rappel courtois avant l'échéance","Aucune action"),IF((p_asof-E273)&lt;=15,"Relance 1 : e-mail de rappel",IF((p_asof-E273)&lt;=30,"Relance 2 : appel téléphonique",IF((p_asof-E273)&lt;=60,"Relance 3 : lettre de relance",IF((p_asof-E273)&lt;=90,"Mise en demeure (recommandé)","Contentieux : injonction de payer")))))))</f>
        <v/>
      </c>
      <c r="M273" t="str">
        <f>IFERROR(MATCH(242,fa_rank,0),"")</f>
        <v/>
      </c>
    </row>
    <row r="274">
      <c r="B274" s="78" t="str">
        <f>IF($M274="","",INDEX(fa_num,$M274)&amp;"")</f>
        <v/>
      </c>
      <c r="C274" s="79" t="str">
        <f>IF($M274="","",INDEX(fa_cname,$M274)&amp;"")</f>
        <v/>
      </c>
      <c r="D274" s="56" t="str">
        <f>IF($M274="","",INDEX(fa_date,$M274))</f>
        <v/>
      </c>
      <c r="E274" s="56" t="str">
        <f>IF($M274="","",INDEX(fa_due,$M274))</f>
        <v/>
      </c>
      <c r="F274" s="75" t="str">
        <f>IF($M274="","",INDEX(fa_ttc,$M274))</f>
        <v/>
      </c>
      <c r="G274" s="75" t="str">
        <f>IF($M274="","",INDEX(fa_paid,$M274)+INDEX(fa_avoirs,$M274))</f>
        <v/>
      </c>
      <c r="H274" s="75" t="str">
        <f>IF($M274="","",INDEX(fa_reste,$M274))</f>
        <v/>
      </c>
      <c r="I274" s="58" t="str">
        <f>IF($M274="","",MAX(0,p_asof-E274))</f>
        <v/>
      </c>
      <c r="J274" s="78" t="str">
        <f>IF($M274="","",INDEX(fa_tranche,$M274)&amp;"")</f>
        <v/>
      </c>
      <c r="K274" s="56" t="str">
        <f>IF($M274="","",IF(ISNUMBER(INDEX(fa_relance,$M274)),INDEX(fa_relance,$M274),""))</f>
        <v/>
      </c>
      <c r="L274" s="79" t="str">
        <f>IF($M274="","",IF(AND(ISNUMBER(K274),(p_asof-E274)&gt;0,(p_asof-N(K274))&gt;=0,(p_asof-N(K274))&lt;7),"Déjà relancée il y a "&amp;(p_asof-N(K274))&amp;" j",IF((p_asof-E274)&lt;=0,IF((p_asof-E274)&gt;-8,"Rappel courtois avant l'échéance","Aucune action"),IF((p_asof-E274)&lt;=15,"Relance 1 : e-mail de rappel",IF((p_asof-E274)&lt;=30,"Relance 2 : appel téléphonique",IF((p_asof-E274)&lt;=60,"Relance 3 : lettre de relance",IF((p_asof-E274)&lt;=90,"Mise en demeure (recommandé)","Contentieux : injonction de payer")))))))</f>
        <v/>
      </c>
      <c r="M274" t="str">
        <f>IFERROR(MATCH(243,fa_rank,0),"")</f>
        <v/>
      </c>
    </row>
    <row r="275">
      <c r="B275" s="78" t="str">
        <f>IF($M275="","",INDEX(fa_num,$M275)&amp;"")</f>
        <v/>
      </c>
      <c r="C275" s="79" t="str">
        <f>IF($M275="","",INDEX(fa_cname,$M275)&amp;"")</f>
        <v/>
      </c>
      <c r="D275" s="56" t="str">
        <f>IF($M275="","",INDEX(fa_date,$M275))</f>
        <v/>
      </c>
      <c r="E275" s="56" t="str">
        <f>IF($M275="","",INDEX(fa_due,$M275))</f>
        <v/>
      </c>
      <c r="F275" s="75" t="str">
        <f>IF($M275="","",INDEX(fa_ttc,$M275))</f>
        <v/>
      </c>
      <c r="G275" s="75" t="str">
        <f>IF($M275="","",INDEX(fa_paid,$M275)+INDEX(fa_avoirs,$M275))</f>
        <v/>
      </c>
      <c r="H275" s="75" t="str">
        <f>IF($M275="","",INDEX(fa_reste,$M275))</f>
        <v/>
      </c>
      <c r="I275" s="58" t="str">
        <f>IF($M275="","",MAX(0,p_asof-E275))</f>
        <v/>
      </c>
      <c r="J275" s="78" t="str">
        <f>IF($M275="","",INDEX(fa_tranche,$M275)&amp;"")</f>
        <v/>
      </c>
      <c r="K275" s="56" t="str">
        <f>IF($M275="","",IF(ISNUMBER(INDEX(fa_relance,$M275)),INDEX(fa_relance,$M275),""))</f>
        <v/>
      </c>
      <c r="L275" s="79" t="str">
        <f>IF($M275="","",IF(AND(ISNUMBER(K275),(p_asof-E275)&gt;0,(p_asof-N(K275))&gt;=0,(p_asof-N(K275))&lt;7),"Déjà relancée il y a "&amp;(p_asof-N(K275))&amp;" j",IF((p_asof-E275)&lt;=0,IF((p_asof-E275)&gt;-8,"Rappel courtois avant l'échéance","Aucune action"),IF((p_asof-E275)&lt;=15,"Relance 1 : e-mail de rappel",IF((p_asof-E275)&lt;=30,"Relance 2 : appel téléphonique",IF((p_asof-E275)&lt;=60,"Relance 3 : lettre de relance",IF((p_asof-E275)&lt;=90,"Mise en demeure (recommandé)","Contentieux : injonction de payer")))))))</f>
        <v/>
      </c>
      <c r="M275" t="str">
        <f>IFERROR(MATCH(244,fa_rank,0),"")</f>
        <v/>
      </c>
    </row>
    <row r="276">
      <c r="B276" s="78" t="str">
        <f>IF($M276="","",INDEX(fa_num,$M276)&amp;"")</f>
        <v/>
      </c>
      <c r="C276" s="79" t="str">
        <f>IF($M276="","",INDEX(fa_cname,$M276)&amp;"")</f>
        <v/>
      </c>
      <c r="D276" s="56" t="str">
        <f>IF($M276="","",INDEX(fa_date,$M276))</f>
        <v/>
      </c>
      <c r="E276" s="56" t="str">
        <f>IF($M276="","",INDEX(fa_due,$M276))</f>
        <v/>
      </c>
      <c r="F276" s="75" t="str">
        <f>IF($M276="","",INDEX(fa_ttc,$M276))</f>
        <v/>
      </c>
      <c r="G276" s="75" t="str">
        <f>IF($M276="","",INDEX(fa_paid,$M276)+INDEX(fa_avoirs,$M276))</f>
        <v/>
      </c>
      <c r="H276" s="75" t="str">
        <f>IF($M276="","",INDEX(fa_reste,$M276))</f>
        <v/>
      </c>
      <c r="I276" s="58" t="str">
        <f>IF($M276="","",MAX(0,p_asof-E276))</f>
        <v/>
      </c>
      <c r="J276" s="78" t="str">
        <f>IF($M276="","",INDEX(fa_tranche,$M276)&amp;"")</f>
        <v/>
      </c>
      <c r="K276" s="56" t="str">
        <f>IF($M276="","",IF(ISNUMBER(INDEX(fa_relance,$M276)),INDEX(fa_relance,$M276),""))</f>
        <v/>
      </c>
      <c r="L276" s="79" t="str">
        <f>IF($M276="","",IF(AND(ISNUMBER(K276),(p_asof-E276)&gt;0,(p_asof-N(K276))&gt;=0,(p_asof-N(K276))&lt;7),"Déjà relancée il y a "&amp;(p_asof-N(K276))&amp;" j",IF((p_asof-E276)&lt;=0,IF((p_asof-E276)&gt;-8,"Rappel courtois avant l'échéance","Aucune action"),IF((p_asof-E276)&lt;=15,"Relance 1 : e-mail de rappel",IF((p_asof-E276)&lt;=30,"Relance 2 : appel téléphonique",IF((p_asof-E276)&lt;=60,"Relance 3 : lettre de relance",IF((p_asof-E276)&lt;=90,"Mise en demeure (recommandé)","Contentieux : injonction de payer")))))))</f>
        <v/>
      </c>
      <c r="M276" t="str">
        <f>IFERROR(MATCH(245,fa_rank,0),"")</f>
        <v/>
      </c>
    </row>
    <row r="277">
      <c r="B277" s="78" t="str">
        <f>IF($M277="","",INDEX(fa_num,$M277)&amp;"")</f>
        <v/>
      </c>
      <c r="C277" s="79" t="str">
        <f>IF($M277="","",INDEX(fa_cname,$M277)&amp;"")</f>
        <v/>
      </c>
      <c r="D277" s="56" t="str">
        <f>IF($M277="","",INDEX(fa_date,$M277))</f>
        <v/>
      </c>
      <c r="E277" s="56" t="str">
        <f>IF($M277="","",INDEX(fa_due,$M277))</f>
        <v/>
      </c>
      <c r="F277" s="75" t="str">
        <f>IF($M277="","",INDEX(fa_ttc,$M277))</f>
        <v/>
      </c>
      <c r="G277" s="75" t="str">
        <f>IF($M277="","",INDEX(fa_paid,$M277)+INDEX(fa_avoirs,$M277))</f>
        <v/>
      </c>
      <c r="H277" s="75" t="str">
        <f>IF($M277="","",INDEX(fa_reste,$M277))</f>
        <v/>
      </c>
      <c r="I277" s="58" t="str">
        <f>IF($M277="","",MAX(0,p_asof-E277))</f>
        <v/>
      </c>
      <c r="J277" s="78" t="str">
        <f>IF($M277="","",INDEX(fa_tranche,$M277)&amp;"")</f>
        <v/>
      </c>
      <c r="K277" s="56" t="str">
        <f>IF($M277="","",IF(ISNUMBER(INDEX(fa_relance,$M277)),INDEX(fa_relance,$M277),""))</f>
        <v/>
      </c>
      <c r="L277" s="79" t="str">
        <f>IF($M277="","",IF(AND(ISNUMBER(K277),(p_asof-E277)&gt;0,(p_asof-N(K277))&gt;=0,(p_asof-N(K277))&lt;7),"Déjà relancée il y a "&amp;(p_asof-N(K277))&amp;" j",IF((p_asof-E277)&lt;=0,IF((p_asof-E277)&gt;-8,"Rappel courtois avant l'échéance","Aucune action"),IF((p_asof-E277)&lt;=15,"Relance 1 : e-mail de rappel",IF((p_asof-E277)&lt;=30,"Relance 2 : appel téléphonique",IF((p_asof-E277)&lt;=60,"Relance 3 : lettre de relance",IF((p_asof-E277)&lt;=90,"Mise en demeure (recommandé)","Contentieux : injonction de payer")))))))</f>
        <v/>
      </c>
      <c r="M277" t="str">
        <f>IFERROR(MATCH(246,fa_rank,0),"")</f>
        <v/>
      </c>
    </row>
    <row r="278">
      <c r="B278" s="78" t="str">
        <f>IF($M278="","",INDEX(fa_num,$M278)&amp;"")</f>
        <v/>
      </c>
      <c r="C278" s="79" t="str">
        <f>IF($M278="","",INDEX(fa_cname,$M278)&amp;"")</f>
        <v/>
      </c>
      <c r="D278" s="56" t="str">
        <f>IF($M278="","",INDEX(fa_date,$M278))</f>
        <v/>
      </c>
      <c r="E278" s="56" t="str">
        <f>IF($M278="","",INDEX(fa_due,$M278))</f>
        <v/>
      </c>
      <c r="F278" s="75" t="str">
        <f>IF($M278="","",INDEX(fa_ttc,$M278))</f>
        <v/>
      </c>
      <c r="G278" s="75" t="str">
        <f>IF($M278="","",INDEX(fa_paid,$M278)+INDEX(fa_avoirs,$M278))</f>
        <v/>
      </c>
      <c r="H278" s="75" t="str">
        <f>IF($M278="","",INDEX(fa_reste,$M278))</f>
        <v/>
      </c>
      <c r="I278" s="58" t="str">
        <f>IF($M278="","",MAX(0,p_asof-E278))</f>
        <v/>
      </c>
      <c r="J278" s="78" t="str">
        <f>IF($M278="","",INDEX(fa_tranche,$M278)&amp;"")</f>
        <v/>
      </c>
      <c r="K278" s="56" t="str">
        <f>IF($M278="","",IF(ISNUMBER(INDEX(fa_relance,$M278)),INDEX(fa_relance,$M278),""))</f>
        <v/>
      </c>
      <c r="L278" s="79" t="str">
        <f>IF($M278="","",IF(AND(ISNUMBER(K278),(p_asof-E278)&gt;0,(p_asof-N(K278))&gt;=0,(p_asof-N(K278))&lt;7),"Déjà relancée il y a "&amp;(p_asof-N(K278))&amp;" j",IF((p_asof-E278)&lt;=0,IF((p_asof-E278)&gt;-8,"Rappel courtois avant l'échéance","Aucune action"),IF((p_asof-E278)&lt;=15,"Relance 1 : e-mail de rappel",IF((p_asof-E278)&lt;=30,"Relance 2 : appel téléphonique",IF((p_asof-E278)&lt;=60,"Relance 3 : lettre de relance",IF((p_asof-E278)&lt;=90,"Mise en demeure (recommandé)","Contentieux : injonction de payer")))))))</f>
        <v/>
      </c>
      <c r="M278" t="str">
        <f>IFERROR(MATCH(247,fa_rank,0),"")</f>
        <v/>
      </c>
    </row>
    <row r="279">
      <c r="B279" s="78" t="str">
        <f>IF($M279="","",INDEX(fa_num,$M279)&amp;"")</f>
        <v/>
      </c>
      <c r="C279" s="79" t="str">
        <f>IF($M279="","",INDEX(fa_cname,$M279)&amp;"")</f>
        <v/>
      </c>
      <c r="D279" s="56" t="str">
        <f>IF($M279="","",INDEX(fa_date,$M279))</f>
        <v/>
      </c>
      <c r="E279" s="56" t="str">
        <f>IF($M279="","",INDEX(fa_due,$M279))</f>
        <v/>
      </c>
      <c r="F279" s="75" t="str">
        <f>IF($M279="","",INDEX(fa_ttc,$M279))</f>
        <v/>
      </c>
      <c r="G279" s="75" t="str">
        <f>IF($M279="","",INDEX(fa_paid,$M279)+INDEX(fa_avoirs,$M279))</f>
        <v/>
      </c>
      <c r="H279" s="75" t="str">
        <f>IF($M279="","",INDEX(fa_reste,$M279))</f>
        <v/>
      </c>
      <c r="I279" s="58" t="str">
        <f>IF($M279="","",MAX(0,p_asof-E279))</f>
        <v/>
      </c>
      <c r="J279" s="78" t="str">
        <f>IF($M279="","",INDEX(fa_tranche,$M279)&amp;"")</f>
        <v/>
      </c>
      <c r="K279" s="56" t="str">
        <f>IF($M279="","",IF(ISNUMBER(INDEX(fa_relance,$M279)),INDEX(fa_relance,$M279),""))</f>
        <v/>
      </c>
      <c r="L279" s="79" t="str">
        <f>IF($M279="","",IF(AND(ISNUMBER(K279),(p_asof-E279)&gt;0,(p_asof-N(K279))&gt;=0,(p_asof-N(K279))&lt;7),"Déjà relancée il y a "&amp;(p_asof-N(K279))&amp;" j",IF((p_asof-E279)&lt;=0,IF((p_asof-E279)&gt;-8,"Rappel courtois avant l'échéance","Aucune action"),IF((p_asof-E279)&lt;=15,"Relance 1 : e-mail de rappel",IF((p_asof-E279)&lt;=30,"Relance 2 : appel téléphonique",IF((p_asof-E279)&lt;=60,"Relance 3 : lettre de relance",IF((p_asof-E279)&lt;=90,"Mise en demeure (recommandé)","Contentieux : injonction de payer")))))))</f>
        <v/>
      </c>
      <c r="M279" t="str">
        <f>IFERROR(MATCH(248,fa_rank,0),"")</f>
        <v/>
      </c>
    </row>
    <row r="280">
      <c r="B280" s="78" t="str">
        <f>IF($M280="","",INDEX(fa_num,$M280)&amp;"")</f>
        <v/>
      </c>
      <c r="C280" s="79" t="str">
        <f>IF($M280="","",INDEX(fa_cname,$M280)&amp;"")</f>
        <v/>
      </c>
      <c r="D280" s="56" t="str">
        <f>IF($M280="","",INDEX(fa_date,$M280))</f>
        <v/>
      </c>
      <c r="E280" s="56" t="str">
        <f>IF($M280="","",INDEX(fa_due,$M280))</f>
        <v/>
      </c>
      <c r="F280" s="75" t="str">
        <f>IF($M280="","",INDEX(fa_ttc,$M280))</f>
        <v/>
      </c>
      <c r="G280" s="75" t="str">
        <f>IF($M280="","",INDEX(fa_paid,$M280)+INDEX(fa_avoirs,$M280))</f>
        <v/>
      </c>
      <c r="H280" s="75" t="str">
        <f>IF($M280="","",INDEX(fa_reste,$M280))</f>
        <v/>
      </c>
      <c r="I280" s="58" t="str">
        <f>IF($M280="","",MAX(0,p_asof-E280))</f>
        <v/>
      </c>
      <c r="J280" s="78" t="str">
        <f>IF($M280="","",INDEX(fa_tranche,$M280)&amp;"")</f>
        <v/>
      </c>
      <c r="K280" s="56" t="str">
        <f>IF($M280="","",IF(ISNUMBER(INDEX(fa_relance,$M280)),INDEX(fa_relance,$M280),""))</f>
        <v/>
      </c>
      <c r="L280" s="79" t="str">
        <f>IF($M280="","",IF(AND(ISNUMBER(K280),(p_asof-E280)&gt;0,(p_asof-N(K280))&gt;=0,(p_asof-N(K280))&lt;7),"Déjà relancée il y a "&amp;(p_asof-N(K280))&amp;" j",IF((p_asof-E280)&lt;=0,IF((p_asof-E280)&gt;-8,"Rappel courtois avant l'échéance","Aucune action"),IF((p_asof-E280)&lt;=15,"Relance 1 : e-mail de rappel",IF((p_asof-E280)&lt;=30,"Relance 2 : appel téléphonique",IF((p_asof-E280)&lt;=60,"Relance 3 : lettre de relance",IF((p_asof-E280)&lt;=90,"Mise en demeure (recommandé)","Contentieux : injonction de payer")))))))</f>
        <v/>
      </c>
      <c r="M280" t="str">
        <f>IFERROR(MATCH(249,fa_rank,0),"")</f>
        <v/>
      </c>
    </row>
    <row r="281">
      <c r="B281" s="78" t="str">
        <f>IF($M281="","",INDEX(fa_num,$M281)&amp;"")</f>
        <v/>
      </c>
      <c r="C281" s="79" t="str">
        <f>IF($M281="","",INDEX(fa_cname,$M281)&amp;"")</f>
        <v/>
      </c>
      <c r="D281" s="56" t="str">
        <f>IF($M281="","",INDEX(fa_date,$M281))</f>
        <v/>
      </c>
      <c r="E281" s="56" t="str">
        <f>IF($M281="","",INDEX(fa_due,$M281))</f>
        <v/>
      </c>
      <c r="F281" s="75" t="str">
        <f>IF($M281="","",INDEX(fa_ttc,$M281))</f>
        <v/>
      </c>
      <c r="G281" s="75" t="str">
        <f>IF($M281="","",INDEX(fa_paid,$M281)+INDEX(fa_avoirs,$M281))</f>
        <v/>
      </c>
      <c r="H281" s="75" t="str">
        <f>IF($M281="","",INDEX(fa_reste,$M281))</f>
        <v/>
      </c>
      <c r="I281" s="58" t="str">
        <f>IF($M281="","",MAX(0,p_asof-E281))</f>
        <v/>
      </c>
      <c r="J281" s="78" t="str">
        <f>IF($M281="","",INDEX(fa_tranche,$M281)&amp;"")</f>
        <v/>
      </c>
      <c r="K281" s="56" t="str">
        <f>IF($M281="","",IF(ISNUMBER(INDEX(fa_relance,$M281)),INDEX(fa_relance,$M281),""))</f>
        <v/>
      </c>
      <c r="L281" s="79" t="str">
        <f>IF($M281="","",IF(AND(ISNUMBER(K281),(p_asof-E281)&gt;0,(p_asof-N(K281))&gt;=0,(p_asof-N(K281))&lt;7),"Déjà relancée il y a "&amp;(p_asof-N(K281))&amp;" j",IF((p_asof-E281)&lt;=0,IF((p_asof-E281)&gt;-8,"Rappel courtois avant l'échéance","Aucune action"),IF((p_asof-E281)&lt;=15,"Relance 1 : e-mail de rappel",IF((p_asof-E281)&lt;=30,"Relance 2 : appel téléphonique",IF((p_asof-E281)&lt;=60,"Relance 3 : lettre de relance",IF((p_asof-E281)&lt;=90,"Mise en demeure (recommandé)","Contentieux : injonction de payer")))))))</f>
        <v/>
      </c>
      <c r="M281" t="str">
        <f>IFERROR(MATCH(250,fa_rank,0),"")</f>
        <v/>
      </c>
    </row>
    <row r="282">
      <c r="B282" s="78" t="str">
        <f>IF($M282="","",INDEX(fa_num,$M282)&amp;"")</f>
        <v/>
      </c>
      <c r="C282" s="79" t="str">
        <f>IF($M282="","",INDEX(fa_cname,$M282)&amp;"")</f>
        <v/>
      </c>
      <c r="D282" s="56" t="str">
        <f>IF($M282="","",INDEX(fa_date,$M282))</f>
        <v/>
      </c>
      <c r="E282" s="56" t="str">
        <f>IF($M282="","",INDEX(fa_due,$M282))</f>
        <v/>
      </c>
      <c r="F282" s="75" t="str">
        <f>IF($M282="","",INDEX(fa_ttc,$M282))</f>
        <v/>
      </c>
      <c r="G282" s="75" t="str">
        <f>IF($M282="","",INDEX(fa_paid,$M282)+INDEX(fa_avoirs,$M282))</f>
        <v/>
      </c>
      <c r="H282" s="75" t="str">
        <f>IF($M282="","",INDEX(fa_reste,$M282))</f>
        <v/>
      </c>
      <c r="I282" s="58" t="str">
        <f>IF($M282="","",MAX(0,p_asof-E282))</f>
        <v/>
      </c>
      <c r="J282" s="78" t="str">
        <f>IF($M282="","",INDEX(fa_tranche,$M282)&amp;"")</f>
        <v/>
      </c>
      <c r="K282" s="56" t="str">
        <f>IF($M282="","",IF(ISNUMBER(INDEX(fa_relance,$M282)),INDEX(fa_relance,$M282),""))</f>
        <v/>
      </c>
      <c r="L282" s="79" t="str">
        <f>IF($M282="","",IF(AND(ISNUMBER(K282),(p_asof-E282)&gt;0,(p_asof-N(K282))&gt;=0,(p_asof-N(K282))&lt;7),"Déjà relancée il y a "&amp;(p_asof-N(K282))&amp;" j",IF((p_asof-E282)&lt;=0,IF((p_asof-E282)&gt;-8,"Rappel courtois avant l'échéance","Aucune action"),IF((p_asof-E282)&lt;=15,"Relance 1 : e-mail de rappel",IF((p_asof-E282)&lt;=30,"Relance 2 : appel téléphonique",IF((p_asof-E282)&lt;=60,"Relance 3 : lettre de relance",IF((p_asof-E282)&lt;=90,"Mise en demeure (recommandé)","Contentieux : injonction de payer")))))))</f>
        <v/>
      </c>
      <c r="M282" t="str">
        <f>IFERROR(MATCH(251,fa_rank,0),"")</f>
        <v/>
      </c>
    </row>
    <row r="283">
      <c r="B283" s="78" t="str">
        <f>IF($M283="","",INDEX(fa_num,$M283)&amp;"")</f>
        <v/>
      </c>
      <c r="C283" s="79" t="str">
        <f>IF($M283="","",INDEX(fa_cname,$M283)&amp;"")</f>
        <v/>
      </c>
      <c r="D283" s="56" t="str">
        <f>IF($M283="","",INDEX(fa_date,$M283))</f>
        <v/>
      </c>
      <c r="E283" s="56" t="str">
        <f>IF($M283="","",INDEX(fa_due,$M283))</f>
        <v/>
      </c>
      <c r="F283" s="75" t="str">
        <f>IF($M283="","",INDEX(fa_ttc,$M283))</f>
        <v/>
      </c>
      <c r="G283" s="75" t="str">
        <f>IF($M283="","",INDEX(fa_paid,$M283)+INDEX(fa_avoirs,$M283))</f>
        <v/>
      </c>
      <c r="H283" s="75" t="str">
        <f>IF($M283="","",INDEX(fa_reste,$M283))</f>
        <v/>
      </c>
      <c r="I283" s="58" t="str">
        <f>IF($M283="","",MAX(0,p_asof-E283))</f>
        <v/>
      </c>
      <c r="J283" s="78" t="str">
        <f>IF($M283="","",INDEX(fa_tranche,$M283)&amp;"")</f>
        <v/>
      </c>
      <c r="K283" s="56" t="str">
        <f>IF($M283="","",IF(ISNUMBER(INDEX(fa_relance,$M283)),INDEX(fa_relance,$M283),""))</f>
        <v/>
      </c>
      <c r="L283" s="79" t="str">
        <f>IF($M283="","",IF(AND(ISNUMBER(K283),(p_asof-E283)&gt;0,(p_asof-N(K283))&gt;=0,(p_asof-N(K283))&lt;7),"Déjà relancée il y a "&amp;(p_asof-N(K283))&amp;" j",IF((p_asof-E283)&lt;=0,IF((p_asof-E283)&gt;-8,"Rappel courtois avant l'échéance","Aucune action"),IF((p_asof-E283)&lt;=15,"Relance 1 : e-mail de rappel",IF((p_asof-E283)&lt;=30,"Relance 2 : appel téléphonique",IF((p_asof-E283)&lt;=60,"Relance 3 : lettre de relance",IF((p_asof-E283)&lt;=90,"Mise en demeure (recommandé)","Contentieux : injonction de payer")))))))</f>
        <v/>
      </c>
      <c r="M283" t="str">
        <f>IFERROR(MATCH(252,fa_rank,0),"")</f>
        <v/>
      </c>
    </row>
    <row r="284">
      <c r="B284" s="78" t="str">
        <f>IF($M284="","",INDEX(fa_num,$M284)&amp;"")</f>
        <v/>
      </c>
      <c r="C284" s="79" t="str">
        <f>IF($M284="","",INDEX(fa_cname,$M284)&amp;"")</f>
        <v/>
      </c>
      <c r="D284" s="56" t="str">
        <f>IF($M284="","",INDEX(fa_date,$M284))</f>
        <v/>
      </c>
      <c r="E284" s="56" t="str">
        <f>IF($M284="","",INDEX(fa_due,$M284))</f>
        <v/>
      </c>
      <c r="F284" s="75" t="str">
        <f>IF($M284="","",INDEX(fa_ttc,$M284))</f>
        <v/>
      </c>
      <c r="G284" s="75" t="str">
        <f>IF($M284="","",INDEX(fa_paid,$M284)+INDEX(fa_avoirs,$M284))</f>
        <v/>
      </c>
      <c r="H284" s="75" t="str">
        <f>IF($M284="","",INDEX(fa_reste,$M284))</f>
        <v/>
      </c>
      <c r="I284" s="58" t="str">
        <f>IF($M284="","",MAX(0,p_asof-E284))</f>
        <v/>
      </c>
      <c r="J284" s="78" t="str">
        <f>IF($M284="","",INDEX(fa_tranche,$M284)&amp;"")</f>
        <v/>
      </c>
      <c r="K284" s="56" t="str">
        <f>IF($M284="","",IF(ISNUMBER(INDEX(fa_relance,$M284)),INDEX(fa_relance,$M284),""))</f>
        <v/>
      </c>
      <c r="L284" s="79" t="str">
        <f>IF($M284="","",IF(AND(ISNUMBER(K284),(p_asof-E284)&gt;0,(p_asof-N(K284))&gt;=0,(p_asof-N(K284))&lt;7),"Déjà relancée il y a "&amp;(p_asof-N(K284))&amp;" j",IF((p_asof-E284)&lt;=0,IF((p_asof-E284)&gt;-8,"Rappel courtois avant l'échéance","Aucune action"),IF((p_asof-E284)&lt;=15,"Relance 1 : e-mail de rappel",IF((p_asof-E284)&lt;=30,"Relance 2 : appel téléphonique",IF((p_asof-E284)&lt;=60,"Relance 3 : lettre de relance",IF((p_asof-E284)&lt;=90,"Mise en demeure (recommandé)","Contentieux : injonction de payer")))))))</f>
        <v/>
      </c>
      <c r="M284" t="str">
        <f>IFERROR(MATCH(253,fa_rank,0),"")</f>
        <v/>
      </c>
    </row>
    <row r="285">
      <c r="B285" s="78" t="str">
        <f>IF($M285="","",INDEX(fa_num,$M285)&amp;"")</f>
        <v/>
      </c>
      <c r="C285" s="79" t="str">
        <f>IF($M285="","",INDEX(fa_cname,$M285)&amp;"")</f>
        <v/>
      </c>
      <c r="D285" s="56" t="str">
        <f>IF($M285="","",INDEX(fa_date,$M285))</f>
        <v/>
      </c>
      <c r="E285" s="56" t="str">
        <f>IF($M285="","",INDEX(fa_due,$M285))</f>
        <v/>
      </c>
      <c r="F285" s="75" t="str">
        <f>IF($M285="","",INDEX(fa_ttc,$M285))</f>
        <v/>
      </c>
      <c r="G285" s="75" t="str">
        <f>IF($M285="","",INDEX(fa_paid,$M285)+INDEX(fa_avoirs,$M285))</f>
        <v/>
      </c>
      <c r="H285" s="75" t="str">
        <f>IF($M285="","",INDEX(fa_reste,$M285))</f>
        <v/>
      </c>
      <c r="I285" s="58" t="str">
        <f>IF($M285="","",MAX(0,p_asof-E285))</f>
        <v/>
      </c>
      <c r="J285" s="78" t="str">
        <f>IF($M285="","",INDEX(fa_tranche,$M285)&amp;"")</f>
        <v/>
      </c>
      <c r="K285" s="56" t="str">
        <f>IF($M285="","",IF(ISNUMBER(INDEX(fa_relance,$M285)),INDEX(fa_relance,$M285),""))</f>
        <v/>
      </c>
      <c r="L285" s="79" t="str">
        <f>IF($M285="","",IF(AND(ISNUMBER(K285),(p_asof-E285)&gt;0,(p_asof-N(K285))&gt;=0,(p_asof-N(K285))&lt;7),"Déjà relancée il y a "&amp;(p_asof-N(K285))&amp;" j",IF((p_asof-E285)&lt;=0,IF((p_asof-E285)&gt;-8,"Rappel courtois avant l'échéance","Aucune action"),IF((p_asof-E285)&lt;=15,"Relance 1 : e-mail de rappel",IF((p_asof-E285)&lt;=30,"Relance 2 : appel téléphonique",IF((p_asof-E285)&lt;=60,"Relance 3 : lettre de relance",IF((p_asof-E285)&lt;=90,"Mise en demeure (recommandé)","Contentieux : injonction de payer")))))))</f>
        <v/>
      </c>
      <c r="M285" t="str">
        <f>IFERROR(MATCH(254,fa_rank,0),"")</f>
        <v/>
      </c>
    </row>
    <row r="286">
      <c r="B286" s="78" t="str">
        <f>IF($M286="","",INDEX(fa_num,$M286)&amp;"")</f>
        <v/>
      </c>
      <c r="C286" s="79" t="str">
        <f>IF($M286="","",INDEX(fa_cname,$M286)&amp;"")</f>
        <v/>
      </c>
      <c r="D286" s="56" t="str">
        <f>IF($M286="","",INDEX(fa_date,$M286))</f>
        <v/>
      </c>
      <c r="E286" s="56" t="str">
        <f>IF($M286="","",INDEX(fa_due,$M286))</f>
        <v/>
      </c>
      <c r="F286" s="75" t="str">
        <f>IF($M286="","",INDEX(fa_ttc,$M286))</f>
        <v/>
      </c>
      <c r="G286" s="75" t="str">
        <f>IF($M286="","",INDEX(fa_paid,$M286)+INDEX(fa_avoirs,$M286))</f>
        <v/>
      </c>
      <c r="H286" s="75" t="str">
        <f>IF($M286="","",INDEX(fa_reste,$M286))</f>
        <v/>
      </c>
      <c r="I286" s="58" t="str">
        <f>IF($M286="","",MAX(0,p_asof-E286))</f>
        <v/>
      </c>
      <c r="J286" s="78" t="str">
        <f>IF($M286="","",INDEX(fa_tranche,$M286)&amp;"")</f>
        <v/>
      </c>
      <c r="K286" s="56" t="str">
        <f>IF($M286="","",IF(ISNUMBER(INDEX(fa_relance,$M286)),INDEX(fa_relance,$M286),""))</f>
        <v/>
      </c>
      <c r="L286" s="79" t="str">
        <f>IF($M286="","",IF(AND(ISNUMBER(K286),(p_asof-E286)&gt;0,(p_asof-N(K286))&gt;=0,(p_asof-N(K286))&lt;7),"Déjà relancée il y a "&amp;(p_asof-N(K286))&amp;" j",IF((p_asof-E286)&lt;=0,IF((p_asof-E286)&gt;-8,"Rappel courtois avant l'échéance","Aucune action"),IF((p_asof-E286)&lt;=15,"Relance 1 : e-mail de rappel",IF((p_asof-E286)&lt;=30,"Relance 2 : appel téléphonique",IF((p_asof-E286)&lt;=60,"Relance 3 : lettre de relance",IF((p_asof-E286)&lt;=90,"Mise en demeure (recommandé)","Contentieux : injonction de payer")))))))</f>
        <v/>
      </c>
      <c r="M286" t="str">
        <f>IFERROR(MATCH(255,fa_rank,0),"")</f>
        <v/>
      </c>
    </row>
    <row r="287">
      <c r="B287" s="78" t="str">
        <f>IF($M287="","",INDEX(fa_num,$M287)&amp;"")</f>
        <v/>
      </c>
      <c r="C287" s="79" t="str">
        <f>IF($M287="","",INDEX(fa_cname,$M287)&amp;"")</f>
        <v/>
      </c>
      <c r="D287" s="56" t="str">
        <f>IF($M287="","",INDEX(fa_date,$M287))</f>
        <v/>
      </c>
      <c r="E287" s="56" t="str">
        <f>IF($M287="","",INDEX(fa_due,$M287))</f>
        <v/>
      </c>
      <c r="F287" s="75" t="str">
        <f>IF($M287="","",INDEX(fa_ttc,$M287))</f>
        <v/>
      </c>
      <c r="G287" s="75" t="str">
        <f>IF($M287="","",INDEX(fa_paid,$M287)+INDEX(fa_avoirs,$M287))</f>
        <v/>
      </c>
      <c r="H287" s="75" t="str">
        <f>IF($M287="","",INDEX(fa_reste,$M287))</f>
        <v/>
      </c>
      <c r="I287" s="58" t="str">
        <f>IF($M287="","",MAX(0,p_asof-E287))</f>
        <v/>
      </c>
      <c r="J287" s="78" t="str">
        <f>IF($M287="","",INDEX(fa_tranche,$M287)&amp;"")</f>
        <v/>
      </c>
      <c r="K287" s="56" t="str">
        <f>IF($M287="","",IF(ISNUMBER(INDEX(fa_relance,$M287)),INDEX(fa_relance,$M287),""))</f>
        <v/>
      </c>
      <c r="L287" s="79" t="str">
        <f>IF($M287="","",IF(AND(ISNUMBER(K287),(p_asof-E287)&gt;0,(p_asof-N(K287))&gt;=0,(p_asof-N(K287))&lt;7),"Déjà relancée il y a "&amp;(p_asof-N(K287))&amp;" j",IF((p_asof-E287)&lt;=0,IF((p_asof-E287)&gt;-8,"Rappel courtois avant l'échéance","Aucune action"),IF((p_asof-E287)&lt;=15,"Relance 1 : e-mail de rappel",IF((p_asof-E287)&lt;=30,"Relance 2 : appel téléphonique",IF((p_asof-E287)&lt;=60,"Relance 3 : lettre de relance",IF((p_asof-E287)&lt;=90,"Mise en demeure (recommandé)","Contentieux : injonction de payer")))))))</f>
        <v/>
      </c>
      <c r="M287" t="str">
        <f>IFERROR(MATCH(256,fa_rank,0),"")</f>
        <v/>
      </c>
    </row>
    <row r="288">
      <c r="B288" s="78" t="str">
        <f>IF($M288="","",INDEX(fa_num,$M288)&amp;"")</f>
        <v/>
      </c>
      <c r="C288" s="79" t="str">
        <f>IF($M288="","",INDEX(fa_cname,$M288)&amp;"")</f>
        <v/>
      </c>
      <c r="D288" s="56" t="str">
        <f>IF($M288="","",INDEX(fa_date,$M288))</f>
        <v/>
      </c>
      <c r="E288" s="56" t="str">
        <f>IF($M288="","",INDEX(fa_due,$M288))</f>
        <v/>
      </c>
      <c r="F288" s="75" t="str">
        <f>IF($M288="","",INDEX(fa_ttc,$M288))</f>
        <v/>
      </c>
      <c r="G288" s="75" t="str">
        <f>IF($M288="","",INDEX(fa_paid,$M288)+INDEX(fa_avoirs,$M288))</f>
        <v/>
      </c>
      <c r="H288" s="75" t="str">
        <f>IF($M288="","",INDEX(fa_reste,$M288))</f>
        <v/>
      </c>
      <c r="I288" s="58" t="str">
        <f>IF($M288="","",MAX(0,p_asof-E288))</f>
        <v/>
      </c>
      <c r="J288" s="78" t="str">
        <f>IF($M288="","",INDEX(fa_tranche,$M288)&amp;"")</f>
        <v/>
      </c>
      <c r="K288" s="56" t="str">
        <f>IF($M288="","",IF(ISNUMBER(INDEX(fa_relance,$M288)),INDEX(fa_relance,$M288),""))</f>
        <v/>
      </c>
      <c r="L288" s="79" t="str">
        <f>IF($M288="","",IF(AND(ISNUMBER(K288),(p_asof-E288)&gt;0,(p_asof-N(K288))&gt;=0,(p_asof-N(K288))&lt;7),"Déjà relancée il y a "&amp;(p_asof-N(K288))&amp;" j",IF((p_asof-E288)&lt;=0,IF((p_asof-E288)&gt;-8,"Rappel courtois avant l'échéance","Aucune action"),IF((p_asof-E288)&lt;=15,"Relance 1 : e-mail de rappel",IF((p_asof-E288)&lt;=30,"Relance 2 : appel téléphonique",IF((p_asof-E288)&lt;=60,"Relance 3 : lettre de relance",IF((p_asof-E288)&lt;=90,"Mise en demeure (recommandé)","Contentieux : injonction de payer")))))))</f>
        <v/>
      </c>
      <c r="M288" t="str">
        <f>IFERROR(MATCH(257,fa_rank,0),"")</f>
        <v/>
      </c>
    </row>
    <row r="289">
      <c r="B289" s="78" t="str">
        <f>IF($M289="","",INDEX(fa_num,$M289)&amp;"")</f>
        <v/>
      </c>
      <c r="C289" s="79" t="str">
        <f>IF($M289="","",INDEX(fa_cname,$M289)&amp;"")</f>
        <v/>
      </c>
      <c r="D289" s="56" t="str">
        <f>IF($M289="","",INDEX(fa_date,$M289))</f>
        <v/>
      </c>
      <c r="E289" s="56" t="str">
        <f>IF($M289="","",INDEX(fa_due,$M289))</f>
        <v/>
      </c>
      <c r="F289" s="75" t="str">
        <f>IF($M289="","",INDEX(fa_ttc,$M289))</f>
        <v/>
      </c>
      <c r="G289" s="75" t="str">
        <f>IF($M289="","",INDEX(fa_paid,$M289)+INDEX(fa_avoirs,$M289))</f>
        <v/>
      </c>
      <c r="H289" s="75" t="str">
        <f>IF($M289="","",INDEX(fa_reste,$M289))</f>
        <v/>
      </c>
      <c r="I289" s="58" t="str">
        <f>IF($M289="","",MAX(0,p_asof-E289))</f>
        <v/>
      </c>
      <c r="J289" s="78" t="str">
        <f>IF($M289="","",INDEX(fa_tranche,$M289)&amp;"")</f>
        <v/>
      </c>
      <c r="K289" s="56" t="str">
        <f>IF($M289="","",IF(ISNUMBER(INDEX(fa_relance,$M289)),INDEX(fa_relance,$M289),""))</f>
        <v/>
      </c>
      <c r="L289" s="79" t="str">
        <f>IF($M289="","",IF(AND(ISNUMBER(K289),(p_asof-E289)&gt;0,(p_asof-N(K289))&gt;=0,(p_asof-N(K289))&lt;7),"Déjà relancée il y a "&amp;(p_asof-N(K289))&amp;" j",IF((p_asof-E289)&lt;=0,IF((p_asof-E289)&gt;-8,"Rappel courtois avant l'échéance","Aucune action"),IF((p_asof-E289)&lt;=15,"Relance 1 : e-mail de rappel",IF((p_asof-E289)&lt;=30,"Relance 2 : appel téléphonique",IF((p_asof-E289)&lt;=60,"Relance 3 : lettre de relance",IF((p_asof-E289)&lt;=90,"Mise en demeure (recommandé)","Contentieux : injonction de payer")))))))</f>
        <v/>
      </c>
      <c r="M289" t="str">
        <f>IFERROR(MATCH(258,fa_rank,0),"")</f>
        <v/>
      </c>
    </row>
    <row r="290">
      <c r="B290" s="78" t="str">
        <f>IF($M290="","",INDEX(fa_num,$M290)&amp;"")</f>
        <v/>
      </c>
      <c r="C290" s="79" t="str">
        <f>IF($M290="","",INDEX(fa_cname,$M290)&amp;"")</f>
        <v/>
      </c>
      <c r="D290" s="56" t="str">
        <f>IF($M290="","",INDEX(fa_date,$M290))</f>
        <v/>
      </c>
      <c r="E290" s="56" t="str">
        <f>IF($M290="","",INDEX(fa_due,$M290))</f>
        <v/>
      </c>
      <c r="F290" s="75" t="str">
        <f>IF($M290="","",INDEX(fa_ttc,$M290))</f>
        <v/>
      </c>
      <c r="G290" s="75" t="str">
        <f>IF($M290="","",INDEX(fa_paid,$M290)+INDEX(fa_avoirs,$M290))</f>
        <v/>
      </c>
      <c r="H290" s="75" t="str">
        <f>IF($M290="","",INDEX(fa_reste,$M290))</f>
        <v/>
      </c>
      <c r="I290" s="58" t="str">
        <f>IF($M290="","",MAX(0,p_asof-E290))</f>
        <v/>
      </c>
      <c r="J290" s="78" t="str">
        <f>IF($M290="","",INDEX(fa_tranche,$M290)&amp;"")</f>
        <v/>
      </c>
      <c r="K290" s="56" t="str">
        <f>IF($M290="","",IF(ISNUMBER(INDEX(fa_relance,$M290)),INDEX(fa_relance,$M290),""))</f>
        <v/>
      </c>
      <c r="L290" s="79" t="str">
        <f>IF($M290="","",IF(AND(ISNUMBER(K290),(p_asof-E290)&gt;0,(p_asof-N(K290))&gt;=0,(p_asof-N(K290))&lt;7),"Déjà relancée il y a "&amp;(p_asof-N(K290))&amp;" j",IF((p_asof-E290)&lt;=0,IF((p_asof-E290)&gt;-8,"Rappel courtois avant l'échéance","Aucune action"),IF((p_asof-E290)&lt;=15,"Relance 1 : e-mail de rappel",IF((p_asof-E290)&lt;=30,"Relance 2 : appel téléphonique",IF((p_asof-E290)&lt;=60,"Relance 3 : lettre de relance",IF((p_asof-E290)&lt;=90,"Mise en demeure (recommandé)","Contentieux : injonction de payer")))))))</f>
        <v/>
      </c>
      <c r="M290" t="str">
        <f>IFERROR(MATCH(259,fa_rank,0),"")</f>
        <v/>
      </c>
    </row>
    <row r="291">
      <c r="B291" s="78" t="str">
        <f>IF($M291="","",INDEX(fa_num,$M291)&amp;"")</f>
        <v/>
      </c>
      <c r="C291" s="79" t="str">
        <f>IF($M291="","",INDEX(fa_cname,$M291)&amp;"")</f>
        <v/>
      </c>
      <c r="D291" s="56" t="str">
        <f>IF($M291="","",INDEX(fa_date,$M291))</f>
        <v/>
      </c>
      <c r="E291" s="56" t="str">
        <f>IF($M291="","",INDEX(fa_due,$M291))</f>
        <v/>
      </c>
      <c r="F291" s="75" t="str">
        <f>IF($M291="","",INDEX(fa_ttc,$M291))</f>
        <v/>
      </c>
      <c r="G291" s="75" t="str">
        <f>IF($M291="","",INDEX(fa_paid,$M291)+INDEX(fa_avoirs,$M291))</f>
        <v/>
      </c>
      <c r="H291" s="75" t="str">
        <f>IF($M291="","",INDEX(fa_reste,$M291))</f>
        <v/>
      </c>
      <c r="I291" s="58" t="str">
        <f>IF($M291="","",MAX(0,p_asof-E291))</f>
        <v/>
      </c>
      <c r="J291" s="78" t="str">
        <f>IF($M291="","",INDEX(fa_tranche,$M291)&amp;"")</f>
        <v/>
      </c>
      <c r="K291" s="56" t="str">
        <f>IF($M291="","",IF(ISNUMBER(INDEX(fa_relance,$M291)),INDEX(fa_relance,$M291),""))</f>
        <v/>
      </c>
      <c r="L291" s="79" t="str">
        <f>IF($M291="","",IF(AND(ISNUMBER(K291),(p_asof-E291)&gt;0,(p_asof-N(K291))&gt;=0,(p_asof-N(K291))&lt;7),"Déjà relancée il y a "&amp;(p_asof-N(K291))&amp;" j",IF((p_asof-E291)&lt;=0,IF((p_asof-E291)&gt;-8,"Rappel courtois avant l'échéance","Aucune action"),IF((p_asof-E291)&lt;=15,"Relance 1 : e-mail de rappel",IF((p_asof-E291)&lt;=30,"Relance 2 : appel téléphonique",IF((p_asof-E291)&lt;=60,"Relance 3 : lettre de relance",IF((p_asof-E291)&lt;=90,"Mise en demeure (recommandé)","Contentieux : injonction de payer")))))))</f>
        <v/>
      </c>
      <c r="M291" t="str">
        <f>IFERROR(MATCH(260,fa_rank,0),"")</f>
        <v/>
      </c>
    </row>
    <row r="292">
      <c r="B292" s="78" t="str">
        <f>IF($M292="","",INDEX(fa_num,$M292)&amp;"")</f>
        <v/>
      </c>
      <c r="C292" s="79" t="str">
        <f>IF($M292="","",INDEX(fa_cname,$M292)&amp;"")</f>
        <v/>
      </c>
      <c r="D292" s="56" t="str">
        <f>IF($M292="","",INDEX(fa_date,$M292))</f>
        <v/>
      </c>
      <c r="E292" s="56" t="str">
        <f>IF($M292="","",INDEX(fa_due,$M292))</f>
        <v/>
      </c>
      <c r="F292" s="75" t="str">
        <f>IF($M292="","",INDEX(fa_ttc,$M292))</f>
        <v/>
      </c>
      <c r="G292" s="75" t="str">
        <f>IF($M292="","",INDEX(fa_paid,$M292)+INDEX(fa_avoirs,$M292))</f>
        <v/>
      </c>
      <c r="H292" s="75" t="str">
        <f>IF($M292="","",INDEX(fa_reste,$M292))</f>
        <v/>
      </c>
      <c r="I292" s="58" t="str">
        <f>IF($M292="","",MAX(0,p_asof-E292))</f>
        <v/>
      </c>
      <c r="J292" s="78" t="str">
        <f>IF($M292="","",INDEX(fa_tranche,$M292)&amp;"")</f>
        <v/>
      </c>
      <c r="K292" s="56" t="str">
        <f>IF($M292="","",IF(ISNUMBER(INDEX(fa_relance,$M292)),INDEX(fa_relance,$M292),""))</f>
        <v/>
      </c>
      <c r="L292" s="79" t="str">
        <f>IF($M292="","",IF(AND(ISNUMBER(K292),(p_asof-E292)&gt;0,(p_asof-N(K292))&gt;=0,(p_asof-N(K292))&lt;7),"Déjà relancée il y a "&amp;(p_asof-N(K292))&amp;" j",IF((p_asof-E292)&lt;=0,IF((p_asof-E292)&gt;-8,"Rappel courtois avant l'échéance","Aucune action"),IF((p_asof-E292)&lt;=15,"Relance 1 : e-mail de rappel",IF((p_asof-E292)&lt;=30,"Relance 2 : appel téléphonique",IF((p_asof-E292)&lt;=60,"Relance 3 : lettre de relance",IF((p_asof-E292)&lt;=90,"Mise en demeure (recommandé)","Contentieux : injonction de payer")))))))</f>
        <v/>
      </c>
      <c r="M292" t="str">
        <f>IFERROR(MATCH(261,fa_rank,0),"")</f>
        <v/>
      </c>
    </row>
    <row r="293">
      <c r="B293" s="78" t="str">
        <f>IF($M293="","",INDEX(fa_num,$M293)&amp;"")</f>
        <v/>
      </c>
      <c r="C293" s="79" t="str">
        <f>IF($M293="","",INDEX(fa_cname,$M293)&amp;"")</f>
        <v/>
      </c>
      <c r="D293" s="56" t="str">
        <f>IF($M293="","",INDEX(fa_date,$M293))</f>
        <v/>
      </c>
      <c r="E293" s="56" t="str">
        <f>IF($M293="","",INDEX(fa_due,$M293))</f>
        <v/>
      </c>
      <c r="F293" s="75" t="str">
        <f>IF($M293="","",INDEX(fa_ttc,$M293))</f>
        <v/>
      </c>
      <c r="G293" s="75" t="str">
        <f>IF($M293="","",INDEX(fa_paid,$M293)+INDEX(fa_avoirs,$M293))</f>
        <v/>
      </c>
      <c r="H293" s="75" t="str">
        <f>IF($M293="","",INDEX(fa_reste,$M293))</f>
        <v/>
      </c>
      <c r="I293" s="58" t="str">
        <f>IF($M293="","",MAX(0,p_asof-E293))</f>
        <v/>
      </c>
      <c r="J293" s="78" t="str">
        <f>IF($M293="","",INDEX(fa_tranche,$M293)&amp;"")</f>
        <v/>
      </c>
      <c r="K293" s="56" t="str">
        <f>IF($M293="","",IF(ISNUMBER(INDEX(fa_relance,$M293)),INDEX(fa_relance,$M293),""))</f>
        <v/>
      </c>
      <c r="L293" s="79" t="str">
        <f>IF($M293="","",IF(AND(ISNUMBER(K293),(p_asof-E293)&gt;0,(p_asof-N(K293))&gt;=0,(p_asof-N(K293))&lt;7),"Déjà relancée il y a "&amp;(p_asof-N(K293))&amp;" j",IF((p_asof-E293)&lt;=0,IF((p_asof-E293)&gt;-8,"Rappel courtois avant l'échéance","Aucune action"),IF((p_asof-E293)&lt;=15,"Relance 1 : e-mail de rappel",IF((p_asof-E293)&lt;=30,"Relance 2 : appel téléphonique",IF((p_asof-E293)&lt;=60,"Relance 3 : lettre de relance",IF((p_asof-E293)&lt;=90,"Mise en demeure (recommandé)","Contentieux : injonction de payer")))))))</f>
        <v/>
      </c>
      <c r="M293" t="str">
        <f>IFERROR(MATCH(262,fa_rank,0),"")</f>
        <v/>
      </c>
    </row>
    <row r="294">
      <c r="B294" s="78" t="str">
        <f>IF($M294="","",INDEX(fa_num,$M294)&amp;"")</f>
        <v/>
      </c>
      <c r="C294" s="79" t="str">
        <f>IF($M294="","",INDEX(fa_cname,$M294)&amp;"")</f>
        <v/>
      </c>
      <c r="D294" s="56" t="str">
        <f>IF($M294="","",INDEX(fa_date,$M294))</f>
        <v/>
      </c>
      <c r="E294" s="56" t="str">
        <f>IF($M294="","",INDEX(fa_due,$M294))</f>
        <v/>
      </c>
      <c r="F294" s="75" t="str">
        <f>IF($M294="","",INDEX(fa_ttc,$M294))</f>
        <v/>
      </c>
      <c r="G294" s="75" t="str">
        <f>IF($M294="","",INDEX(fa_paid,$M294)+INDEX(fa_avoirs,$M294))</f>
        <v/>
      </c>
      <c r="H294" s="75" t="str">
        <f>IF($M294="","",INDEX(fa_reste,$M294))</f>
        <v/>
      </c>
      <c r="I294" s="58" t="str">
        <f>IF($M294="","",MAX(0,p_asof-E294))</f>
        <v/>
      </c>
      <c r="J294" s="78" t="str">
        <f>IF($M294="","",INDEX(fa_tranche,$M294)&amp;"")</f>
        <v/>
      </c>
      <c r="K294" s="56" t="str">
        <f>IF($M294="","",IF(ISNUMBER(INDEX(fa_relance,$M294)),INDEX(fa_relance,$M294),""))</f>
        <v/>
      </c>
      <c r="L294" s="79" t="str">
        <f>IF($M294="","",IF(AND(ISNUMBER(K294),(p_asof-E294)&gt;0,(p_asof-N(K294))&gt;=0,(p_asof-N(K294))&lt;7),"Déjà relancée il y a "&amp;(p_asof-N(K294))&amp;" j",IF((p_asof-E294)&lt;=0,IF((p_asof-E294)&gt;-8,"Rappel courtois avant l'échéance","Aucune action"),IF((p_asof-E294)&lt;=15,"Relance 1 : e-mail de rappel",IF((p_asof-E294)&lt;=30,"Relance 2 : appel téléphonique",IF((p_asof-E294)&lt;=60,"Relance 3 : lettre de relance",IF((p_asof-E294)&lt;=90,"Mise en demeure (recommandé)","Contentieux : injonction de payer")))))))</f>
        <v/>
      </c>
      <c r="M294" t="str">
        <f>IFERROR(MATCH(263,fa_rank,0),"")</f>
        <v/>
      </c>
    </row>
    <row r="295">
      <c r="B295" s="78" t="str">
        <f>IF($M295="","",INDEX(fa_num,$M295)&amp;"")</f>
        <v/>
      </c>
      <c r="C295" s="79" t="str">
        <f>IF($M295="","",INDEX(fa_cname,$M295)&amp;"")</f>
        <v/>
      </c>
      <c r="D295" s="56" t="str">
        <f>IF($M295="","",INDEX(fa_date,$M295))</f>
        <v/>
      </c>
      <c r="E295" s="56" t="str">
        <f>IF($M295="","",INDEX(fa_due,$M295))</f>
        <v/>
      </c>
      <c r="F295" s="75" t="str">
        <f>IF($M295="","",INDEX(fa_ttc,$M295))</f>
        <v/>
      </c>
      <c r="G295" s="75" t="str">
        <f>IF($M295="","",INDEX(fa_paid,$M295)+INDEX(fa_avoirs,$M295))</f>
        <v/>
      </c>
      <c r="H295" s="75" t="str">
        <f>IF($M295="","",INDEX(fa_reste,$M295))</f>
        <v/>
      </c>
      <c r="I295" s="58" t="str">
        <f>IF($M295="","",MAX(0,p_asof-E295))</f>
        <v/>
      </c>
      <c r="J295" s="78" t="str">
        <f>IF($M295="","",INDEX(fa_tranche,$M295)&amp;"")</f>
        <v/>
      </c>
      <c r="K295" s="56" t="str">
        <f>IF($M295="","",IF(ISNUMBER(INDEX(fa_relance,$M295)),INDEX(fa_relance,$M295),""))</f>
        <v/>
      </c>
      <c r="L295" s="79" t="str">
        <f>IF($M295="","",IF(AND(ISNUMBER(K295),(p_asof-E295)&gt;0,(p_asof-N(K295))&gt;=0,(p_asof-N(K295))&lt;7),"Déjà relancée il y a "&amp;(p_asof-N(K295))&amp;" j",IF((p_asof-E295)&lt;=0,IF((p_asof-E295)&gt;-8,"Rappel courtois avant l'échéance","Aucune action"),IF((p_asof-E295)&lt;=15,"Relance 1 : e-mail de rappel",IF((p_asof-E295)&lt;=30,"Relance 2 : appel téléphonique",IF((p_asof-E295)&lt;=60,"Relance 3 : lettre de relance",IF((p_asof-E295)&lt;=90,"Mise en demeure (recommandé)","Contentieux : injonction de payer")))))))</f>
        <v/>
      </c>
      <c r="M295" t="str">
        <f>IFERROR(MATCH(264,fa_rank,0),"")</f>
        <v/>
      </c>
    </row>
    <row r="296">
      <c r="B296" s="78" t="str">
        <f>IF($M296="","",INDEX(fa_num,$M296)&amp;"")</f>
        <v/>
      </c>
      <c r="C296" s="79" t="str">
        <f>IF($M296="","",INDEX(fa_cname,$M296)&amp;"")</f>
        <v/>
      </c>
      <c r="D296" s="56" t="str">
        <f>IF($M296="","",INDEX(fa_date,$M296))</f>
        <v/>
      </c>
      <c r="E296" s="56" t="str">
        <f>IF($M296="","",INDEX(fa_due,$M296))</f>
        <v/>
      </c>
      <c r="F296" s="75" t="str">
        <f>IF($M296="","",INDEX(fa_ttc,$M296))</f>
        <v/>
      </c>
      <c r="G296" s="75" t="str">
        <f>IF($M296="","",INDEX(fa_paid,$M296)+INDEX(fa_avoirs,$M296))</f>
        <v/>
      </c>
      <c r="H296" s="75" t="str">
        <f>IF($M296="","",INDEX(fa_reste,$M296))</f>
        <v/>
      </c>
      <c r="I296" s="58" t="str">
        <f>IF($M296="","",MAX(0,p_asof-E296))</f>
        <v/>
      </c>
      <c r="J296" s="78" t="str">
        <f>IF($M296="","",INDEX(fa_tranche,$M296)&amp;"")</f>
        <v/>
      </c>
      <c r="K296" s="56" t="str">
        <f>IF($M296="","",IF(ISNUMBER(INDEX(fa_relance,$M296)),INDEX(fa_relance,$M296),""))</f>
        <v/>
      </c>
      <c r="L296" s="79" t="str">
        <f>IF($M296="","",IF(AND(ISNUMBER(K296),(p_asof-E296)&gt;0,(p_asof-N(K296))&gt;=0,(p_asof-N(K296))&lt;7),"Déjà relancée il y a "&amp;(p_asof-N(K296))&amp;" j",IF((p_asof-E296)&lt;=0,IF((p_asof-E296)&gt;-8,"Rappel courtois avant l'échéance","Aucune action"),IF((p_asof-E296)&lt;=15,"Relance 1 : e-mail de rappel",IF((p_asof-E296)&lt;=30,"Relance 2 : appel téléphonique",IF((p_asof-E296)&lt;=60,"Relance 3 : lettre de relance",IF((p_asof-E296)&lt;=90,"Mise en demeure (recommandé)","Contentieux : injonction de payer")))))))</f>
        <v/>
      </c>
      <c r="M296" t="str">
        <f>IFERROR(MATCH(265,fa_rank,0),"")</f>
        <v/>
      </c>
    </row>
    <row r="297">
      <c r="B297" s="78" t="str">
        <f>IF($M297="","",INDEX(fa_num,$M297)&amp;"")</f>
        <v/>
      </c>
      <c r="C297" s="79" t="str">
        <f>IF($M297="","",INDEX(fa_cname,$M297)&amp;"")</f>
        <v/>
      </c>
      <c r="D297" s="56" t="str">
        <f>IF($M297="","",INDEX(fa_date,$M297))</f>
        <v/>
      </c>
      <c r="E297" s="56" t="str">
        <f>IF($M297="","",INDEX(fa_due,$M297))</f>
        <v/>
      </c>
      <c r="F297" s="75" t="str">
        <f>IF($M297="","",INDEX(fa_ttc,$M297))</f>
        <v/>
      </c>
      <c r="G297" s="75" t="str">
        <f>IF($M297="","",INDEX(fa_paid,$M297)+INDEX(fa_avoirs,$M297))</f>
        <v/>
      </c>
      <c r="H297" s="75" t="str">
        <f>IF($M297="","",INDEX(fa_reste,$M297))</f>
        <v/>
      </c>
      <c r="I297" s="58" t="str">
        <f>IF($M297="","",MAX(0,p_asof-E297))</f>
        <v/>
      </c>
      <c r="J297" s="78" t="str">
        <f>IF($M297="","",INDEX(fa_tranche,$M297)&amp;"")</f>
        <v/>
      </c>
      <c r="K297" s="56" t="str">
        <f>IF($M297="","",IF(ISNUMBER(INDEX(fa_relance,$M297)),INDEX(fa_relance,$M297),""))</f>
        <v/>
      </c>
      <c r="L297" s="79" t="str">
        <f>IF($M297="","",IF(AND(ISNUMBER(K297),(p_asof-E297)&gt;0,(p_asof-N(K297))&gt;=0,(p_asof-N(K297))&lt;7),"Déjà relancée il y a "&amp;(p_asof-N(K297))&amp;" j",IF((p_asof-E297)&lt;=0,IF((p_asof-E297)&gt;-8,"Rappel courtois avant l'échéance","Aucune action"),IF((p_asof-E297)&lt;=15,"Relance 1 : e-mail de rappel",IF((p_asof-E297)&lt;=30,"Relance 2 : appel téléphonique",IF((p_asof-E297)&lt;=60,"Relance 3 : lettre de relance",IF((p_asof-E297)&lt;=90,"Mise en demeure (recommandé)","Contentieux : injonction de payer")))))))</f>
        <v/>
      </c>
      <c r="M297" t="str">
        <f>IFERROR(MATCH(266,fa_rank,0),"")</f>
        <v/>
      </c>
    </row>
    <row r="298">
      <c r="B298" s="78" t="str">
        <f>IF($M298="","",INDEX(fa_num,$M298)&amp;"")</f>
        <v/>
      </c>
      <c r="C298" s="79" t="str">
        <f>IF($M298="","",INDEX(fa_cname,$M298)&amp;"")</f>
        <v/>
      </c>
      <c r="D298" s="56" t="str">
        <f>IF($M298="","",INDEX(fa_date,$M298))</f>
        <v/>
      </c>
      <c r="E298" s="56" t="str">
        <f>IF($M298="","",INDEX(fa_due,$M298))</f>
        <v/>
      </c>
      <c r="F298" s="75" t="str">
        <f>IF($M298="","",INDEX(fa_ttc,$M298))</f>
        <v/>
      </c>
      <c r="G298" s="75" t="str">
        <f>IF($M298="","",INDEX(fa_paid,$M298)+INDEX(fa_avoirs,$M298))</f>
        <v/>
      </c>
      <c r="H298" s="75" t="str">
        <f>IF($M298="","",INDEX(fa_reste,$M298))</f>
        <v/>
      </c>
      <c r="I298" s="58" t="str">
        <f>IF($M298="","",MAX(0,p_asof-E298))</f>
        <v/>
      </c>
      <c r="J298" s="78" t="str">
        <f>IF($M298="","",INDEX(fa_tranche,$M298)&amp;"")</f>
        <v/>
      </c>
      <c r="K298" s="56" t="str">
        <f>IF($M298="","",IF(ISNUMBER(INDEX(fa_relance,$M298)),INDEX(fa_relance,$M298),""))</f>
        <v/>
      </c>
      <c r="L298" s="79" t="str">
        <f>IF($M298="","",IF(AND(ISNUMBER(K298),(p_asof-E298)&gt;0,(p_asof-N(K298))&gt;=0,(p_asof-N(K298))&lt;7),"Déjà relancée il y a "&amp;(p_asof-N(K298))&amp;" j",IF((p_asof-E298)&lt;=0,IF((p_asof-E298)&gt;-8,"Rappel courtois avant l'échéance","Aucune action"),IF((p_asof-E298)&lt;=15,"Relance 1 : e-mail de rappel",IF((p_asof-E298)&lt;=30,"Relance 2 : appel téléphonique",IF((p_asof-E298)&lt;=60,"Relance 3 : lettre de relance",IF((p_asof-E298)&lt;=90,"Mise en demeure (recommandé)","Contentieux : injonction de payer")))))))</f>
        <v/>
      </c>
      <c r="M298" t="str">
        <f>IFERROR(MATCH(267,fa_rank,0),"")</f>
        <v/>
      </c>
    </row>
    <row r="299">
      <c r="B299" s="78" t="str">
        <f>IF($M299="","",INDEX(fa_num,$M299)&amp;"")</f>
        <v/>
      </c>
      <c r="C299" s="79" t="str">
        <f>IF($M299="","",INDEX(fa_cname,$M299)&amp;"")</f>
        <v/>
      </c>
      <c r="D299" s="56" t="str">
        <f>IF($M299="","",INDEX(fa_date,$M299))</f>
        <v/>
      </c>
      <c r="E299" s="56" t="str">
        <f>IF($M299="","",INDEX(fa_due,$M299))</f>
        <v/>
      </c>
      <c r="F299" s="75" t="str">
        <f>IF($M299="","",INDEX(fa_ttc,$M299))</f>
        <v/>
      </c>
      <c r="G299" s="75" t="str">
        <f>IF($M299="","",INDEX(fa_paid,$M299)+INDEX(fa_avoirs,$M299))</f>
        <v/>
      </c>
      <c r="H299" s="75" t="str">
        <f>IF($M299="","",INDEX(fa_reste,$M299))</f>
        <v/>
      </c>
      <c r="I299" s="58" t="str">
        <f>IF($M299="","",MAX(0,p_asof-E299))</f>
        <v/>
      </c>
      <c r="J299" s="78" t="str">
        <f>IF($M299="","",INDEX(fa_tranche,$M299)&amp;"")</f>
        <v/>
      </c>
      <c r="K299" s="56" t="str">
        <f>IF($M299="","",IF(ISNUMBER(INDEX(fa_relance,$M299)),INDEX(fa_relance,$M299),""))</f>
        <v/>
      </c>
      <c r="L299" s="79" t="str">
        <f>IF($M299="","",IF(AND(ISNUMBER(K299),(p_asof-E299)&gt;0,(p_asof-N(K299))&gt;=0,(p_asof-N(K299))&lt;7),"Déjà relancée il y a "&amp;(p_asof-N(K299))&amp;" j",IF((p_asof-E299)&lt;=0,IF((p_asof-E299)&gt;-8,"Rappel courtois avant l'échéance","Aucune action"),IF((p_asof-E299)&lt;=15,"Relance 1 : e-mail de rappel",IF((p_asof-E299)&lt;=30,"Relance 2 : appel téléphonique",IF((p_asof-E299)&lt;=60,"Relance 3 : lettre de relance",IF((p_asof-E299)&lt;=90,"Mise en demeure (recommandé)","Contentieux : injonction de payer")))))))</f>
        <v/>
      </c>
      <c r="M299" t="str">
        <f>IFERROR(MATCH(268,fa_rank,0),"")</f>
        <v/>
      </c>
    </row>
    <row r="300">
      <c r="B300" s="78" t="str">
        <f>IF($M300="","",INDEX(fa_num,$M300)&amp;"")</f>
        <v/>
      </c>
      <c r="C300" s="79" t="str">
        <f>IF($M300="","",INDEX(fa_cname,$M300)&amp;"")</f>
        <v/>
      </c>
      <c r="D300" s="56" t="str">
        <f>IF($M300="","",INDEX(fa_date,$M300))</f>
        <v/>
      </c>
      <c r="E300" s="56" t="str">
        <f>IF($M300="","",INDEX(fa_due,$M300))</f>
        <v/>
      </c>
      <c r="F300" s="75" t="str">
        <f>IF($M300="","",INDEX(fa_ttc,$M300))</f>
        <v/>
      </c>
      <c r="G300" s="75" t="str">
        <f>IF($M300="","",INDEX(fa_paid,$M300)+INDEX(fa_avoirs,$M300))</f>
        <v/>
      </c>
      <c r="H300" s="75" t="str">
        <f>IF($M300="","",INDEX(fa_reste,$M300))</f>
        <v/>
      </c>
      <c r="I300" s="58" t="str">
        <f>IF($M300="","",MAX(0,p_asof-E300))</f>
        <v/>
      </c>
      <c r="J300" s="78" t="str">
        <f>IF($M300="","",INDEX(fa_tranche,$M300)&amp;"")</f>
        <v/>
      </c>
      <c r="K300" s="56" t="str">
        <f>IF($M300="","",IF(ISNUMBER(INDEX(fa_relance,$M300)),INDEX(fa_relance,$M300),""))</f>
        <v/>
      </c>
      <c r="L300" s="79" t="str">
        <f>IF($M300="","",IF(AND(ISNUMBER(K300),(p_asof-E300)&gt;0,(p_asof-N(K300))&gt;=0,(p_asof-N(K300))&lt;7),"Déjà relancée il y a "&amp;(p_asof-N(K300))&amp;" j",IF((p_asof-E300)&lt;=0,IF((p_asof-E300)&gt;-8,"Rappel courtois avant l'échéance","Aucune action"),IF((p_asof-E300)&lt;=15,"Relance 1 : e-mail de rappel",IF((p_asof-E300)&lt;=30,"Relance 2 : appel téléphonique",IF((p_asof-E300)&lt;=60,"Relance 3 : lettre de relance",IF((p_asof-E300)&lt;=90,"Mise en demeure (recommandé)","Contentieux : injonction de payer")))))))</f>
        <v/>
      </c>
      <c r="M300" t="str">
        <f>IFERROR(MATCH(269,fa_rank,0),"")</f>
        <v/>
      </c>
    </row>
    <row r="301">
      <c r="B301" s="78" t="str">
        <f>IF($M301="","",INDEX(fa_num,$M301)&amp;"")</f>
        <v/>
      </c>
      <c r="C301" s="79" t="str">
        <f>IF($M301="","",INDEX(fa_cname,$M301)&amp;"")</f>
        <v/>
      </c>
      <c r="D301" s="56" t="str">
        <f>IF($M301="","",INDEX(fa_date,$M301))</f>
        <v/>
      </c>
      <c r="E301" s="56" t="str">
        <f>IF($M301="","",INDEX(fa_due,$M301))</f>
        <v/>
      </c>
      <c r="F301" s="75" t="str">
        <f>IF($M301="","",INDEX(fa_ttc,$M301))</f>
        <v/>
      </c>
      <c r="G301" s="75" t="str">
        <f>IF($M301="","",INDEX(fa_paid,$M301)+INDEX(fa_avoirs,$M301))</f>
        <v/>
      </c>
      <c r="H301" s="75" t="str">
        <f>IF($M301="","",INDEX(fa_reste,$M301))</f>
        <v/>
      </c>
      <c r="I301" s="58" t="str">
        <f>IF($M301="","",MAX(0,p_asof-E301))</f>
        <v/>
      </c>
      <c r="J301" s="78" t="str">
        <f>IF($M301="","",INDEX(fa_tranche,$M301)&amp;"")</f>
        <v/>
      </c>
      <c r="K301" s="56" t="str">
        <f>IF($M301="","",IF(ISNUMBER(INDEX(fa_relance,$M301)),INDEX(fa_relance,$M301),""))</f>
        <v/>
      </c>
      <c r="L301" s="79" t="str">
        <f>IF($M301="","",IF(AND(ISNUMBER(K301),(p_asof-E301)&gt;0,(p_asof-N(K301))&gt;=0,(p_asof-N(K301))&lt;7),"Déjà relancée il y a "&amp;(p_asof-N(K301))&amp;" j",IF((p_asof-E301)&lt;=0,IF((p_asof-E301)&gt;-8,"Rappel courtois avant l'échéance","Aucune action"),IF((p_asof-E301)&lt;=15,"Relance 1 : e-mail de rappel",IF((p_asof-E301)&lt;=30,"Relance 2 : appel téléphonique",IF((p_asof-E301)&lt;=60,"Relance 3 : lettre de relance",IF((p_asof-E301)&lt;=90,"Mise en demeure (recommandé)","Contentieux : injonction de payer")))))))</f>
        <v/>
      </c>
      <c r="M301" t="str">
        <f>IFERROR(MATCH(270,fa_rank,0),"")</f>
        <v/>
      </c>
    </row>
    <row r="302">
      <c r="B302" s="78" t="str">
        <f>IF($M302="","",INDEX(fa_num,$M302)&amp;"")</f>
        <v/>
      </c>
      <c r="C302" s="79" t="str">
        <f>IF($M302="","",INDEX(fa_cname,$M302)&amp;"")</f>
        <v/>
      </c>
      <c r="D302" s="56" t="str">
        <f>IF($M302="","",INDEX(fa_date,$M302))</f>
        <v/>
      </c>
      <c r="E302" s="56" t="str">
        <f>IF($M302="","",INDEX(fa_due,$M302))</f>
        <v/>
      </c>
      <c r="F302" s="75" t="str">
        <f>IF($M302="","",INDEX(fa_ttc,$M302))</f>
        <v/>
      </c>
      <c r="G302" s="75" t="str">
        <f>IF($M302="","",INDEX(fa_paid,$M302)+INDEX(fa_avoirs,$M302))</f>
        <v/>
      </c>
      <c r="H302" s="75" t="str">
        <f>IF($M302="","",INDEX(fa_reste,$M302))</f>
        <v/>
      </c>
      <c r="I302" s="58" t="str">
        <f>IF($M302="","",MAX(0,p_asof-E302))</f>
        <v/>
      </c>
      <c r="J302" s="78" t="str">
        <f>IF($M302="","",INDEX(fa_tranche,$M302)&amp;"")</f>
        <v/>
      </c>
      <c r="K302" s="56" t="str">
        <f>IF($M302="","",IF(ISNUMBER(INDEX(fa_relance,$M302)),INDEX(fa_relance,$M302),""))</f>
        <v/>
      </c>
      <c r="L302" s="79" t="str">
        <f>IF($M302="","",IF(AND(ISNUMBER(K302),(p_asof-E302)&gt;0,(p_asof-N(K302))&gt;=0,(p_asof-N(K302))&lt;7),"Déjà relancée il y a "&amp;(p_asof-N(K302))&amp;" j",IF((p_asof-E302)&lt;=0,IF((p_asof-E302)&gt;-8,"Rappel courtois avant l'échéance","Aucune action"),IF((p_asof-E302)&lt;=15,"Relance 1 : e-mail de rappel",IF((p_asof-E302)&lt;=30,"Relance 2 : appel téléphonique",IF((p_asof-E302)&lt;=60,"Relance 3 : lettre de relance",IF((p_asof-E302)&lt;=90,"Mise en demeure (recommandé)","Contentieux : injonction de payer")))))))</f>
        <v/>
      </c>
      <c r="M302" t="str">
        <f>IFERROR(MATCH(271,fa_rank,0),"")</f>
        <v/>
      </c>
    </row>
    <row r="303">
      <c r="B303" s="78" t="str">
        <f>IF($M303="","",INDEX(fa_num,$M303)&amp;"")</f>
        <v/>
      </c>
      <c r="C303" s="79" t="str">
        <f>IF($M303="","",INDEX(fa_cname,$M303)&amp;"")</f>
        <v/>
      </c>
      <c r="D303" s="56" t="str">
        <f>IF($M303="","",INDEX(fa_date,$M303))</f>
        <v/>
      </c>
      <c r="E303" s="56" t="str">
        <f>IF($M303="","",INDEX(fa_due,$M303))</f>
        <v/>
      </c>
      <c r="F303" s="75" t="str">
        <f>IF($M303="","",INDEX(fa_ttc,$M303))</f>
        <v/>
      </c>
      <c r="G303" s="75" t="str">
        <f>IF($M303="","",INDEX(fa_paid,$M303)+INDEX(fa_avoirs,$M303))</f>
        <v/>
      </c>
      <c r="H303" s="75" t="str">
        <f>IF($M303="","",INDEX(fa_reste,$M303))</f>
        <v/>
      </c>
      <c r="I303" s="58" t="str">
        <f>IF($M303="","",MAX(0,p_asof-E303))</f>
        <v/>
      </c>
      <c r="J303" s="78" t="str">
        <f>IF($M303="","",INDEX(fa_tranche,$M303)&amp;"")</f>
        <v/>
      </c>
      <c r="K303" s="56" t="str">
        <f>IF($M303="","",IF(ISNUMBER(INDEX(fa_relance,$M303)),INDEX(fa_relance,$M303),""))</f>
        <v/>
      </c>
      <c r="L303" s="79" t="str">
        <f>IF($M303="","",IF(AND(ISNUMBER(K303),(p_asof-E303)&gt;0,(p_asof-N(K303))&gt;=0,(p_asof-N(K303))&lt;7),"Déjà relancée il y a "&amp;(p_asof-N(K303))&amp;" j",IF((p_asof-E303)&lt;=0,IF((p_asof-E303)&gt;-8,"Rappel courtois avant l'échéance","Aucune action"),IF((p_asof-E303)&lt;=15,"Relance 1 : e-mail de rappel",IF((p_asof-E303)&lt;=30,"Relance 2 : appel téléphonique",IF((p_asof-E303)&lt;=60,"Relance 3 : lettre de relance",IF((p_asof-E303)&lt;=90,"Mise en demeure (recommandé)","Contentieux : injonction de payer")))))))</f>
        <v/>
      </c>
      <c r="M303" t="str">
        <f>IFERROR(MATCH(272,fa_rank,0),"")</f>
        <v/>
      </c>
    </row>
    <row r="304">
      <c r="B304" s="78" t="str">
        <f>IF($M304="","",INDEX(fa_num,$M304)&amp;"")</f>
        <v/>
      </c>
      <c r="C304" s="79" t="str">
        <f>IF($M304="","",INDEX(fa_cname,$M304)&amp;"")</f>
        <v/>
      </c>
      <c r="D304" s="56" t="str">
        <f>IF($M304="","",INDEX(fa_date,$M304))</f>
        <v/>
      </c>
      <c r="E304" s="56" t="str">
        <f>IF($M304="","",INDEX(fa_due,$M304))</f>
        <v/>
      </c>
      <c r="F304" s="75" t="str">
        <f>IF($M304="","",INDEX(fa_ttc,$M304))</f>
        <v/>
      </c>
      <c r="G304" s="75" t="str">
        <f>IF($M304="","",INDEX(fa_paid,$M304)+INDEX(fa_avoirs,$M304))</f>
        <v/>
      </c>
      <c r="H304" s="75" t="str">
        <f>IF($M304="","",INDEX(fa_reste,$M304))</f>
        <v/>
      </c>
      <c r="I304" s="58" t="str">
        <f>IF($M304="","",MAX(0,p_asof-E304))</f>
        <v/>
      </c>
      <c r="J304" s="78" t="str">
        <f>IF($M304="","",INDEX(fa_tranche,$M304)&amp;"")</f>
        <v/>
      </c>
      <c r="K304" s="56" t="str">
        <f>IF($M304="","",IF(ISNUMBER(INDEX(fa_relance,$M304)),INDEX(fa_relance,$M304),""))</f>
        <v/>
      </c>
      <c r="L304" s="79" t="str">
        <f>IF($M304="","",IF(AND(ISNUMBER(K304),(p_asof-E304)&gt;0,(p_asof-N(K304))&gt;=0,(p_asof-N(K304))&lt;7),"Déjà relancée il y a "&amp;(p_asof-N(K304))&amp;" j",IF((p_asof-E304)&lt;=0,IF((p_asof-E304)&gt;-8,"Rappel courtois avant l'échéance","Aucune action"),IF((p_asof-E304)&lt;=15,"Relance 1 : e-mail de rappel",IF((p_asof-E304)&lt;=30,"Relance 2 : appel téléphonique",IF((p_asof-E304)&lt;=60,"Relance 3 : lettre de relance",IF((p_asof-E304)&lt;=90,"Mise en demeure (recommandé)","Contentieux : injonction de payer")))))))</f>
        <v/>
      </c>
      <c r="M304" t="str">
        <f>IFERROR(MATCH(273,fa_rank,0),"")</f>
        <v/>
      </c>
    </row>
    <row r="305">
      <c r="B305" s="78" t="str">
        <f>IF($M305="","",INDEX(fa_num,$M305)&amp;"")</f>
        <v/>
      </c>
      <c r="C305" s="79" t="str">
        <f>IF($M305="","",INDEX(fa_cname,$M305)&amp;"")</f>
        <v/>
      </c>
      <c r="D305" s="56" t="str">
        <f>IF($M305="","",INDEX(fa_date,$M305))</f>
        <v/>
      </c>
      <c r="E305" s="56" t="str">
        <f>IF($M305="","",INDEX(fa_due,$M305))</f>
        <v/>
      </c>
      <c r="F305" s="75" t="str">
        <f>IF($M305="","",INDEX(fa_ttc,$M305))</f>
        <v/>
      </c>
      <c r="G305" s="75" t="str">
        <f>IF($M305="","",INDEX(fa_paid,$M305)+INDEX(fa_avoirs,$M305))</f>
        <v/>
      </c>
      <c r="H305" s="75" t="str">
        <f>IF($M305="","",INDEX(fa_reste,$M305))</f>
        <v/>
      </c>
      <c r="I305" s="58" t="str">
        <f>IF($M305="","",MAX(0,p_asof-E305))</f>
        <v/>
      </c>
      <c r="J305" s="78" t="str">
        <f>IF($M305="","",INDEX(fa_tranche,$M305)&amp;"")</f>
        <v/>
      </c>
      <c r="K305" s="56" t="str">
        <f>IF($M305="","",IF(ISNUMBER(INDEX(fa_relance,$M305)),INDEX(fa_relance,$M305),""))</f>
        <v/>
      </c>
      <c r="L305" s="79" t="str">
        <f>IF($M305="","",IF(AND(ISNUMBER(K305),(p_asof-E305)&gt;0,(p_asof-N(K305))&gt;=0,(p_asof-N(K305))&lt;7),"Déjà relancée il y a "&amp;(p_asof-N(K305))&amp;" j",IF((p_asof-E305)&lt;=0,IF((p_asof-E305)&gt;-8,"Rappel courtois avant l'échéance","Aucune action"),IF((p_asof-E305)&lt;=15,"Relance 1 : e-mail de rappel",IF((p_asof-E305)&lt;=30,"Relance 2 : appel téléphonique",IF((p_asof-E305)&lt;=60,"Relance 3 : lettre de relance",IF((p_asof-E305)&lt;=90,"Mise en demeure (recommandé)","Contentieux : injonction de payer")))))))</f>
        <v/>
      </c>
      <c r="M305" t="str">
        <f>IFERROR(MATCH(274,fa_rank,0),"")</f>
        <v/>
      </c>
    </row>
    <row r="306">
      <c r="B306" s="78" t="str">
        <f>IF($M306="","",INDEX(fa_num,$M306)&amp;"")</f>
        <v/>
      </c>
      <c r="C306" s="79" t="str">
        <f>IF($M306="","",INDEX(fa_cname,$M306)&amp;"")</f>
        <v/>
      </c>
      <c r="D306" s="56" t="str">
        <f>IF($M306="","",INDEX(fa_date,$M306))</f>
        <v/>
      </c>
      <c r="E306" s="56" t="str">
        <f>IF($M306="","",INDEX(fa_due,$M306))</f>
        <v/>
      </c>
      <c r="F306" s="75" t="str">
        <f>IF($M306="","",INDEX(fa_ttc,$M306))</f>
        <v/>
      </c>
      <c r="G306" s="75" t="str">
        <f>IF($M306="","",INDEX(fa_paid,$M306)+INDEX(fa_avoirs,$M306))</f>
        <v/>
      </c>
      <c r="H306" s="75" t="str">
        <f>IF($M306="","",INDEX(fa_reste,$M306))</f>
        <v/>
      </c>
      <c r="I306" s="58" t="str">
        <f>IF($M306="","",MAX(0,p_asof-E306))</f>
        <v/>
      </c>
      <c r="J306" s="78" t="str">
        <f>IF($M306="","",INDEX(fa_tranche,$M306)&amp;"")</f>
        <v/>
      </c>
      <c r="K306" s="56" t="str">
        <f>IF($M306="","",IF(ISNUMBER(INDEX(fa_relance,$M306)),INDEX(fa_relance,$M306),""))</f>
        <v/>
      </c>
      <c r="L306" s="79" t="str">
        <f>IF($M306="","",IF(AND(ISNUMBER(K306),(p_asof-E306)&gt;0,(p_asof-N(K306))&gt;=0,(p_asof-N(K306))&lt;7),"Déjà relancée il y a "&amp;(p_asof-N(K306))&amp;" j",IF((p_asof-E306)&lt;=0,IF((p_asof-E306)&gt;-8,"Rappel courtois avant l'échéance","Aucune action"),IF((p_asof-E306)&lt;=15,"Relance 1 : e-mail de rappel",IF((p_asof-E306)&lt;=30,"Relance 2 : appel téléphonique",IF((p_asof-E306)&lt;=60,"Relance 3 : lettre de relance",IF((p_asof-E306)&lt;=90,"Mise en demeure (recommandé)","Contentieux : injonction de payer")))))))</f>
        <v/>
      </c>
      <c r="M306" t="str">
        <f>IFERROR(MATCH(275,fa_rank,0),"")</f>
        <v/>
      </c>
    </row>
    <row r="307">
      <c r="B307" s="78" t="str">
        <f>IF($M307="","",INDEX(fa_num,$M307)&amp;"")</f>
        <v/>
      </c>
      <c r="C307" s="79" t="str">
        <f>IF($M307="","",INDEX(fa_cname,$M307)&amp;"")</f>
        <v/>
      </c>
      <c r="D307" s="56" t="str">
        <f>IF($M307="","",INDEX(fa_date,$M307))</f>
        <v/>
      </c>
      <c r="E307" s="56" t="str">
        <f>IF($M307="","",INDEX(fa_due,$M307))</f>
        <v/>
      </c>
      <c r="F307" s="75" t="str">
        <f>IF($M307="","",INDEX(fa_ttc,$M307))</f>
        <v/>
      </c>
      <c r="G307" s="75" t="str">
        <f>IF($M307="","",INDEX(fa_paid,$M307)+INDEX(fa_avoirs,$M307))</f>
        <v/>
      </c>
      <c r="H307" s="75" t="str">
        <f>IF($M307="","",INDEX(fa_reste,$M307))</f>
        <v/>
      </c>
      <c r="I307" s="58" t="str">
        <f>IF($M307="","",MAX(0,p_asof-E307))</f>
        <v/>
      </c>
      <c r="J307" s="78" t="str">
        <f>IF($M307="","",INDEX(fa_tranche,$M307)&amp;"")</f>
        <v/>
      </c>
      <c r="K307" s="56" t="str">
        <f>IF($M307="","",IF(ISNUMBER(INDEX(fa_relance,$M307)),INDEX(fa_relance,$M307),""))</f>
        <v/>
      </c>
      <c r="L307" s="79" t="str">
        <f>IF($M307="","",IF(AND(ISNUMBER(K307),(p_asof-E307)&gt;0,(p_asof-N(K307))&gt;=0,(p_asof-N(K307))&lt;7),"Déjà relancée il y a "&amp;(p_asof-N(K307))&amp;" j",IF((p_asof-E307)&lt;=0,IF((p_asof-E307)&gt;-8,"Rappel courtois avant l'échéance","Aucune action"),IF((p_asof-E307)&lt;=15,"Relance 1 : e-mail de rappel",IF((p_asof-E307)&lt;=30,"Relance 2 : appel téléphonique",IF((p_asof-E307)&lt;=60,"Relance 3 : lettre de relance",IF((p_asof-E307)&lt;=90,"Mise en demeure (recommandé)","Contentieux : injonction de payer")))))))</f>
        <v/>
      </c>
      <c r="M307" t="str">
        <f>IFERROR(MATCH(276,fa_rank,0),"")</f>
        <v/>
      </c>
    </row>
    <row r="308">
      <c r="B308" s="78" t="str">
        <f>IF($M308="","",INDEX(fa_num,$M308)&amp;"")</f>
        <v/>
      </c>
      <c r="C308" s="79" t="str">
        <f>IF($M308="","",INDEX(fa_cname,$M308)&amp;"")</f>
        <v/>
      </c>
      <c r="D308" s="56" t="str">
        <f>IF($M308="","",INDEX(fa_date,$M308))</f>
        <v/>
      </c>
      <c r="E308" s="56" t="str">
        <f>IF($M308="","",INDEX(fa_due,$M308))</f>
        <v/>
      </c>
      <c r="F308" s="75" t="str">
        <f>IF($M308="","",INDEX(fa_ttc,$M308))</f>
        <v/>
      </c>
      <c r="G308" s="75" t="str">
        <f>IF($M308="","",INDEX(fa_paid,$M308)+INDEX(fa_avoirs,$M308))</f>
        <v/>
      </c>
      <c r="H308" s="75" t="str">
        <f>IF($M308="","",INDEX(fa_reste,$M308))</f>
        <v/>
      </c>
      <c r="I308" s="58" t="str">
        <f>IF($M308="","",MAX(0,p_asof-E308))</f>
        <v/>
      </c>
      <c r="J308" s="78" t="str">
        <f>IF($M308="","",INDEX(fa_tranche,$M308)&amp;"")</f>
        <v/>
      </c>
      <c r="K308" s="56" t="str">
        <f>IF($M308="","",IF(ISNUMBER(INDEX(fa_relance,$M308)),INDEX(fa_relance,$M308),""))</f>
        <v/>
      </c>
      <c r="L308" s="79" t="str">
        <f>IF($M308="","",IF(AND(ISNUMBER(K308),(p_asof-E308)&gt;0,(p_asof-N(K308))&gt;=0,(p_asof-N(K308))&lt;7),"Déjà relancée il y a "&amp;(p_asof-N(K308))&amp;" j",IF((p_asof-E308)&lt;=0,IF((p_asof-E308)&gt;-8,"Rappel courtois avant l'échéance","Aucune action"),IF((p_asof-E308)&lt;=15,"Relance 1 : e-mail de rappel",IF((p_asof-E308)&lt;=30,"Relance 2 : appel téléphonique",IF((p_asof-E308)&lt;=60,"Relance 3 : lettre de relance",IF((p_asof-E308)&lt;=90,"Mise en demeure (recommandé)","Contentieux : injonction de payer")))))))</f>
        <v/>
      </c>
      <c r="M308" t="str">
        <f>IFERROR(MATCH(277,fa_rank,0),"")</f>
        <v/>
      </c>
    </row>
    <row r="309">
      <c r="B309" s="78" t="str">
        <f>IF($M309="","",INDEX(fa_num,$M309)&amp;"")</f>
        <v/>
      </c>
      <c r="C309" s="79" t="str">
        <f>IF($M309="","",INDEX(fa_cname,$M309)&amp;"")</f>
        <v/>
      </c>
      <c r="D309" s="56" t="str">
        <f>IF($M309="","",INDEX(fa_date,$M309))</f>
        <v/>
      </c>
      <c r="E309" s="56" t="str">
        <f>IF($M309="","",INDEX(fa_due,$M309))</f>
        <v/>
      </c>
      <c r="F309" s="75" t="str">
        <f>IF($M309="","",INDEX(fa_ttc,$M309))</f>
        <v/>
      </c>
      <c r="G309" s="75" t="str">
        <f>IF($M309="","",INDEX(fa_paid,$M309)+INDEX(fa_avoirs,$M309))</f>
        <v/>
      </c>
      <c r="H309" s="75" t="str">
        <f>IF($M309="","",INDEX(fa_reste,$M309))</f>
        <v/>
      </c>
      <c r="I309" s="58" t="str">
        <f>IF($M309="","",MAX(0,p_asof-E309))</f>
        <v/>
      </c>
      <c r="J309" s="78" t="str">
        <f>IF($M309="","",INDEX(fa_tranche,$M309)&amp;"")</f>
        <v/>
      </c>
      <c r="K309" s="56" t="str">
        <f>IF($M309="","",IF(ISNUMBER(INDEX(fa_relance,$M309)),INDEX(fa_relance,$M309),""))</f>
        <v/>
      </c>
      <c r="L309" s="79" t="str">
        <f>IF($M309="","",IF(AND(ISNUMBER(K309),(p_asof-E309)&gt;0,(p_asof-N(K309))&gt;=0,(p_asof-N(K309))&lt;7),"Déjà relancée il y a "&amp;(p_asof-N(K309))&amp;" j",IF((p_asof-E309)&lt;=0,IF((p_asof-E309)&gt;-8,"Rappel courtois avant l'échéance","Aucune action"),IF((p_asof-E309)&lt;=15,"Relance 1 : e-mail de rappel",IF((p_asof-E309)&lt;=30,"Relance 2 : appel téléphonique",IF((p_asof-E309)&lt;=60,"Relance 3 : lettre de relance",IF((p_asof-E309)&lt;=90,"Mise en demeure (recommandé)","Contentieux : injonction de payer")))))))</f>
        <v/>
      </c>
      <c r="M309" t="str">
        <f>IFERROR(MATCH(278,fa_rank,0),"")</f>
        <v/>
      </c>
    </row>
    <row r="310">
      <c r="B310" s="78" t="str">
        <f>IF($M310="","",INDEX(fa_num,$M310)&amp;"")</f>
        <v/>
      </c>
      <c r="C310" s="79" t="str">
        <f>IF($M310="","",INDEX(fa_cname,$M310)&amp;"")</f>
        <v/>
      </c>
      <c r="D310" s="56" t="str">
        <f>IF($M310="","",INDEX(fa_date,$M310))</f>
        <v/>
      </c>
      <c r="E310" s="56" t="str">
        <f>IF($M310="","",INDEX(fa_due,$M310))</f>
        <v/>
      </c>
      <c r="F310" s="75" t="str">
        <f>IF($M310="","",INDEX(fa_ttc,$M310))</f>
        <v/>
      </c>
      <c r="G310" s="75" t="str">
        <f>IF($M310="","",INDEX(fa_paid,$M310)+INDEX(fa_avoirs,$M310))</f>
        <v/>
      </c>
      <c r="H310" s="75" t="str">
        <f>IF($M310="","",INDEX(fa_reste,$M310))</f>
        <v/>
      </c>
      <c r="I310" s="58" t="str">
        <f>IF($M310="","",MAX(0,p_asof-E310))</f>
        <v/>
      </c>
      <c r="J310" s="78" t="str">
        <f>IF($M310="","",INDEX(fa_tranche,$M310)&amp;"")</f>
        <v/>
      </c>
      <c r="K310" s="56" t="str">
        <f>IF($M310="","",IF(ISNUMBER(INDEX(fa_relance,$M310)),INDEX(fa_relance,$M310),""))</f>
        <v/>
      </c>
      <c r="L310" s="79" t="str">
        <f>IF($M310="","",IF(AND(ISNUMBER(K310),(p_asof-E310)&gt;0,(p_asof-N(K310))&gt;=0,(p_asof-N(K310))&lt;7),"Déjà relancée il y a "&amp;(p_asof-N(K310))&amp;" j",IF((p_asof-E310)&lt;=0,IF((p_asof-E310)&gt;-8,"Rappel courtois avant l'échéance","Aucune action"),IF((p_asof-E310)&lt;=15,"Relance 1 : e-mail de rappel",IF((p_asof-E310)&lt;=30,"Relance 2 : appel téléphonique",IF((p_asof-E310)&lt;=60,"Relance 3 : lettre de relance",IF((p_asof-E310)&lt;=90,"Mise en demeure (recommandé)","Contentieux : injonction de payer")))))))</f>
        <v/>
      </c>
      <c r="M310" t="str">
        <f>IFERROR(MATCH(279,fa_rank,0),"")</f>
        <v/>
      </c>
    </row>
    <row r="311">
      <c r="B311" s="78" t="str">
        <f>IF($M311="","",INDEX(fa_num,$M311)&amp;"")</f>
        <v/>
      </c>
      <c r="C311" s="79" t="str">
        <f>IF($M311="","",INDEX(fa_cname,$M311)&amp;"")</f>
        <v/>
      </c>
      <c r="D311" s="56" t="str">
        <f>IF($M311="","",INDEX(fa_date,$M311))</f>
        <v/>
      </c>
      <c r="E311" s="56" t="str">
        <f>IF($M311="","",INDEX(fa_due,$M311))</f>
        <v/>
      </c>
      <c r="F311" s="75" t="str">
        <f>IF($M311="","",INDEX(fa_ttc,$M311))</f>
        <v/>
      </c>
      <c r="G311" s="75" t="str">
        <f>IF($M311="","",INDEX(fa_paid,$M311)+INDEX(fa_avoirs,$M311))</f>
        <v/>
      </c>
      <c r="H311" s="75" t="str">
        <f>IF($M311="","",INDEX(fa_reste,$M311))</f>
        <v/>
      </c>
      <c r="I311" s="58" t="str">
        <f>IF($M311="","",MAX(0,p_asof-E311))</f>
        <v/>
      </c>
      <c r="J311" s="78" t="str">
        <f>IF($M311="","",INDEX(fa_tranche,$M311)&amp;"")</f>
        <v/>
      </c>
      <c r="K311" s="56" t="str">
        <f>IF($M311="","",IF(ISNUMBER(INDEX(fa_relance,$M311)),INDEX(fa_relance,$M311),""))</f>
        <v/>
      </c>
      <c r="L311" s="79" t="str">
        <f>IF($M311="","",IF(AND(ISNUMBER(K311),(p_asof-E311)&gt;0,(p_asof-N(K311))&gt;=0,(p_asof-N(K311))&lt;7),"Déjà relancée il y a "&amp;(p_asof-N(K311))&amp;" j",IF((p_asof-E311)&lt;=0,IF((p_asof-E311)&gt;-8,"Rappel courtois avant l'échéance","Aucune action"),IF((p_asof-E311)&lt;=15,"Relance 1 : e-mail de rappel",IF((p_asof-E311)&lt;=30,"Relance 2 : appel téléphonique",IF((p_asof-E311)&lt;=60,"Relance 3 : lettre de relance",IF((p_asof-E311)&lt;=90,"Mise en demeure (recommandé)","Contentieux : injonction de payer")))))))</f>
        <v/>
      </c>
      <c r="M311" t="str">
        <f>IFERROR(MATCH(280,fa_rank,0),"")</f>
        <v/>
      </c>
    </row>
    <row r="312">
      <c r="B312" s="78" t="str">
        <f>IF($M312="","",INDEX(fa_num,$M312)&amp;"")</f>
        <v/>
      </c>
      <c r="C312" s="79" t="str">
        <f>IF($M312="","",INDEX(fa_cname,$M312)&amp;"")</f>
        <v/>
      </c>
      <c r="D312" s="56" t="str">
        <f>IF($M312="","",INDEX(fa_date,$M312))</f>
        <v/>
      </c>
      <c r="E312" s="56" t="str">
        <f>IF($M312="","",INDEX(fa_due,$M312))</f>
        <v/>
      </c>
      <c r="F312" s="75" t="str">
        <f>IF($M312="","",INDEX(fa_ttc,$M312))</f>
        <v/>
      </c>
      <c r="G312" s="75" t="str">
        <f>IF($M312="","",INDEX(fa_paid,$M312)+INDEX(fa_avoirs,$M312))</f>
        <v/>
      </c>
      <c r="H312" s="75" t="str">
        <f>IF($M312="","",INDEX(fa_reste,$M312))</f>
        <v/>
      </c>
      <c r="I312" s="58" t="str">
        <f>IF($M312="","",MAX(0,p_asof-E312))</f>
        <v/>
      </c>
      <c r="J312" s="78" t="str">
        <f>IF($M312="","",INDEX(fa_tranche,$M312)&amp;"")</f>
        <v/>
      </c>
      <c r="K312" s="56" t="str">
        <f>IF($M312="","",IF(ISNUMBER(INDEX(fa_relance,$M312)),INDEX(fa_relance,$M312),""))</f>
        <v/>
      </c>
      <c r="L312" s="79" t="str">
        <f>IF($M312="","",IF(AND(ISNUMBER(K312),(p_asof-E312)&gt;0,(p_asof-N(K312))&gt;=0,(p_asof-N(K312))&lt;7),"Déjà relancée il y a "&amp;(p_asof-N(K312))&amp;" j",IF((p_asof-E312)&lt;=0,IF((p_asof-E312)&gt;-8,"Rappel courtois avant l'échéance","Aucune action"),IF((p_asof-E312)&lt;=15,"Relance 1 : e-mail de rappel",IF((p_asof-E312)&lt;=30,"Relance 2 : appel téléphonique",IF((p_asof-E312)&lt;=60,"Relance 3 : lettre de relance",IF((p_asof-E312)&lt;=90,"Mise en demeure (recommandé)","Contentieux : injonction de payer")))))))</f>
        <v/>
      </c>
      <c r="M312" t="str">
        <f>IFERROR(MATCH(281,fa_rank,0),"")</f>
        <v/>
      </c>
    </row>
    <row r="313">
      <c r="B313" s="78" t="str">
        <f>IF($M313="","",INDEX(fa_num,$M313)&amp;"")</f>
        <v/>
      </c>
      <c r="C313" s="79" t="str">
        <f>IF($M313="","",INDEX(fa_cname,$M313)&amp;"")</f>
        <v/>
      </c>
      <c r="D313" s="56" t="str">
        <f>IF($M313="","",INDEX(fa_date,$M313))</f>
        <v/>
      </c>
      <c r="E313" s="56" t="str">
        <f>IF($M313="","",INDEX(fa_due,$M313))</f>
        <v/>
      </c>
      <c r="F313" s="75" t="str">
        <f>IF($M313="","",INDEX(fa_ttc,$M313))</f>
        <v/>
      </c>
      <c r="G313" s="75" t="str">
        <f>IF($M313="","",INDEX(fa_paid,$M313)+INDEX(fa_avoirs,$M313))</f>
        <v/>
      </c>
      <c r="H313" s="75" t="str">
        <f>IF($M313="","",INDEX(fa_reste,$M313))</f>
        <v/>
      </c>
      <c r="I313" s="58" t="str">
        <f>IF($M313="","",MAX(0,p_asof-E313))</f>
        <v/>
      </c>
      <c r="J313" s="78" t="str">
        <f>IF($M313="","",INDEX(fa_tranche,$M313)&amp;"")</f>
        <v/>
      </c>
      <c r="K313" s="56" t="str">
        <f>IF($M313="","",IF(ISNUMBER(INDEX(fa_relance,$M313)),INDEX(fa_relance,$M313),""))</f>
        <v/>
      </c>
      <c r="L313" s="79" t="str">
        <f>IF($M313="","",IF(AND(ISNUMBER(K313),(p_asof-E313)&gt;0,(p_asof-N(K313))&gt;=0,(p_asof-N(K313))&lt;7),"Déjà relancée il y a "&amp;(p_asof-N(K313))&amp;" j",IF((p_asof-E313)&lt;=0,IF((p_asof-E313)&gt;-8,"Rappel courtois avant l'échéance","Aucune action"),IF((p_asof-E313)&lt;=15,"Relance 1 : e-mail de rappel",IF((p_asof-E313)&lt;=30,"Relance 2 : appel téléphonique",IF((p_asof-E313)&lt;=60,"Relance 3 : lettre de relance",IF((p_asof-E313)&lt;=90,"Mise en demeure (recommandé)","Contentieux : injonction de payer")))))))</f>
        <v/>
      </c>
      <c r="M313" t="str">
        <f>IFERROR(MATCH(282,fa_rank,0),"")</f>
        <v/>
      </c>
    </row>
    <row r="314">
      <c r="B314" s="78" t="str">
        <f>IF($M314="","",INDEX(fa_num,$M314)&amp;"")</f>
        <v/>
      </c>
      <c r="C314" s="79" t="str">
        <f>IF($M314="","",INDEX(fa_cname,$M314)&amp;"")</f>
        <v/>
      </c>
      <c r="D314" s="56" t="str">
        <f>IF($M314="","",INDEX(fa_date,$M314))</f>
        <v/>
      </c>
      <c r="E314" s="56" t="str">
        <f>IF($M314="","",INDEX(fa_due,$M314))</f>
        <v/>
      </c>
      <c r="F314" s="75" t="str">
        <f>IF($M314="","",INDEX(fa_ttc,$M314))</f>
        <v/>
      </c>
      <c r="G314" s="75" t="str">
        <f>IF($M314="","",INDEX(fa_paid,$M314)+INDEX(fa_avoirs,$M314))</f>
        <v/>
      </c>
      <c r="H314" s="75" t="str">
        <f>IF($M314="","",INDEX(fa_reste,$M314))</f>
        <v/>
      </c>
      <c r="I314" s="58" t="str">
        <f>IF($M314="","",MAX(0,p_asof-E314))</f>
        <v/>
      </c>
      <c r="J314" s="78" t="str">
        <f>IF($M314="","",INDEX(fa_tranche,$M314)&amp;"")</f>
        <v/>
      </c>
      <c r="K314" s="56" t="str">
        <f>IF($M314="","",IF(ISNUMBER(INDEX(fa_relance,$M314)),INDEX(fa_relance,$M314),""))</f>
        <v/>
      </c>
      <c r="L314" s="79" t="str">
        <f>IF($M314="","",IF(AND(ISNUMBER(K314),(p_asof-E314)&gt;0,(p_asof-N(K314))&gt;=0,(p_asof-N(K314))&lt;7),"Déjà relancée il y a "&amp;(p_asof-N(K314))&amp;" j",IF((p_asof-E314)&lt;=0,IF((p_asof-E314)&gt;-8,"Rappel courtois avant l'échéance","Aucune action"),IF((p_asof-E314)&lt;=15,"Relance 1 : e-mail de rappel",IF((p_asof-E314)&lt;=30,"Relance 2 : appel téléphonique",IF((p_asof-E314)&lt;=60,"Relance 3 : lettre de relance",IF((p_asof-E314)&lt;=90,"Mise en demeure (recommandé)","Contentieux : injonction de payer")))))))</f>
        <v/>
      </c>
      <c r="M314" t="str">
        <f>IFERROR(MATCH(283,fa_rank,0),"")</f>
        <v/>
      </c>
    </row>
    <row r="315">
      <c r="B315" s="78" t="str">
        <f>IF($M315="","",INDEX(fa_num,$M315)&amp;"")</f>
        <v/>
      </c>
      <c r="C315" s="79" t="str">
        <f>IF($M315="","",INDEX(fa_cname,$M315)&amp;"")</f>
        <v/>
      </c>
      <c r="D315" s="56" t="str">
        <f>IF($M315="","",INDEX(fa_date,$M315))</f>
        <v/>
      </c>
      <c r="E315" s="56" t="str">
        <f>IF($M315="","",INDEX(fa_due,$M315))</f>
        <v/>
      </c>
      <c r="F315" s="75" t="str">
        <f>IF($M315="","",INDEX(fa_ttc,$M315))</f>
        <v/>
      </c>
      <c r="G315" s="75" t="str">
        <f>IF($M315="","",INDEX(fa_paid,$M315)+INDEX(fa_avoirs,$M315))</f>
        <v/>
      </c>
      <c r="H315" s="75" t="str">
        <f>IF($M315="","",INDEX(fa_reste,$M315))</f>
        <v/>
      </c>
      <c r="I315" s="58" t="str">
        <f>IF($M315="","",MAX(0,p_asof-E315))</f>
        <v/>
      </c>
      <c r="J315" s="78" t="str">
        <f>IF($M315="","",INDEX(fa_tranche,$M315)&amp;"")</f>
        <v/>
      </c>
      <c r="K315" s="56" t="str">
        <f>IF($M315="","",IF(ISNUMBER(INDEX(fa_relance,$M315)),INDEX(fa_relance,$M315),""))</f>
        <v/>
      </c>
      <c r="L315" s="79" t="str">
        <f>IF($M315="","",IF(AND(ISNUMBER(K315),(p_asof-E315)&gt;0,(p_asof-N(K315))&gt;=0,(p_asof-N(K315))&lt;7),"Déjà relancée il y a "&amp;(p_asof-N(K315))&amp;" j",IF((p_asof-E315)&lt;=0,IF((p_asof-E315)&gt;-8,"Rappel courtois avant l'échéance","Aucune action"),IF((p_asof-E315)&lt;=15,"Relance 1 : e-mail de rappel",IF((p_asof-E315)&lt;=30,"Relance 2 : appel téléphonique",IF((p_asof-E315)&lt;=60,"Relance 3 : lettre de relance",IF((p_asof-E315)&lt;=90,"Mise en demeure (recommandé)","Contentieux : injonction de payer")))))))</f>
        <v/>
      </c>
      <c r="M315" t="str">
        <f>IFERROR(MATCH(284,fa_rank,0),"")</f>
        <v/>
      </c>
    </row>
    <row r="316">
      <c r="B316" s="78" t="str">
        <f>IF($M316="","",INDEX(fa_num,$M316)&amp;"")</f>
        <v/>
      </c>
      <c r="C316" s="79" t="str">
        <f>IF($M316="","",INDEX(fa_cname,$M316)&amp;"")</f>
        <v/>
      </c>
      <c r="D316" s="56" t="str">
        <f>IF($M316="","",INDEX(fa_date,$M316))</f>
        <v/>
      </c>
      <c r="E316" s="56" t="str">
        <f>IF($M316="","",INDEX(fa_due,$M316))</f>
        <v/>
      </c>
      <c r="F316" s="75" t="str">
        <f>IF($M316="","",INDEX(fa_ttc,$M316))</f>
        <v/>
      </c>
      <c r="G316" s="75" t="str">
        <f>IF($M316="","",INDEX(fa_paid,$M316)+INDEX(fa_avoirs,$M316))</f>
        <v/>
      </c>
      <c r="H316" s="75" t="str">
        <f>IF($M316="","",INDEX(fa_reste,$M316))</f>
        <v/>
      </c>
      <c r="I316" s="58" t="str">
        <f>IF($M316="","",MAX(0,p_asof-E316))</f>
        <v/>
      </c>
      <c r="J316" s="78" t="str">
        <f>IF($M316="","",INDEX(fa_tranche,$M316)&amp;"")</f>
        <v/>
      </c>
      <c r="K316" s="56" t="str">
        <f>IF($M316="","",IF(ISNUMBER(INDEX(fa_relance,$M316)),INDEX(fa_relance,$M316),""))</f>
        <v/>
      </c>
      <c r="L316" s="79" t="str">
        <f>IF($M316="","",IF(AND(ISNUMBER(K316),(p_asof-E316)&gt;0,(p_asof-N(K316))&gt;=0,(p_asof-N(K316))&lt;7),"Déjà relancée il y a "&amp;(p_asof-N(K316))&amp;" j",IF((p_asof-E316)&lt;=0,IF((p_asof-E316)&gt;-8,"Rappel courtois avant l'échéance","Aucune action"),IF((p_asof-E316)&lt;=15,"Relance 1 : e-mail de rappel",IF((p_asof-E316)&lt;=30,"Relance 2 : appel téléphonique",IF((p_asof-E316)&lt;=60,"Relance 3 : lettre de relance",IF((p_asof-E316)&lt;=90,"Mise en demeure (recommandé)","Contentieux : injonction de payer")))))))</f>
        <v/>
      </c>
      <c r="M316" t="str">
        <f>IFERROR(MATCH(285,fa_rank,0),"")</f>
        <v/>
      </c>
    </row>
    <row r="317">
      <c r="B317" s="78" t="str">
        <f>IF($M317="","",INDEX(fa_num,$M317)&amp;"")</f>
        <v/>
      </c>
      <c r="C317" s="79" t="str">
        <f>IF($M317="","",INDEX(fa_cname,$M317)&amp;"")</f>
        <v/>
      </c>
      <c r="D317" s="56" t="str">
        <f>IF($M317="","",INDEX(fa_date,$M317))</f>
        <v/>
      </c>
      <c r="E317" s="56" t="str">
        <f>IF($M317="","",INDEX(fa_due,$M317))</f>
        <v/>
      </c>
      <c r="F317" s="75" t="str">
        <f>IF($M317="","",INDEX(fa_ttc,$M317))</f>
        <v/>
      </c>
      <c r="G317" s="75" t="str">
        <f>IF($M317="","",INDEX(fa_paid,$M317)+INDEX(fa_avoirs,$M317))</f>
        <v/>
      </c>
      <c r="H317" s="75" t="str">
        <f>IF($M317="","",INDEX(fa_reste,$M317))</f>
        <v/>
      </c>
      <c r="I317" s="58" t="str">
        <f>IF($M317="","",MAX(0,p_asof-E317))</f>
        <v/>
      </c>
      <c r="J317" s="78" t="str">
        <f>IF($M317="","",INDEX(fa_tranche,$M317)&amp;"")</f>
        <v/>
      </c>
      <c r="K317" s="56" t="str">
        <f>IF($M317="","",IF(ISNUMBER(INDEX(fa_relance,$M317)),INDEX(fa_relance,$M317),""))</f>
        <v/>
      </c>
      <c r="L317" s="79" t="str">
        <f>IF($M317="","",IF(AND(ISNUMBER(K317),(p_asof-E317)&gt;0,(p_asof-N(K317))&gt;=0,(p_asof-N(K317))&lt;7),"Déjà relancée il y a "&amp;(p_asof-N(K317))&amp;" j",IF((p_asof-E317)&lt;=0,IF((p_asof-E317)&gt;-8,"Rappel courtois avant l'échéance","Aucune action"),IF((p_asof-E317)&lt;=15,"Relance 1 : e-mail de rappel",IF((p_asof-E317)&lt;=30,"Relance 2 : appel téléphonique",IF((p_asof-E317)&lt;=60,"Relance 3 : lettre de relance",IF((p_asof-E317)&lt;=90,"Mise en demeure (recommandé)","Contentieux : injonction de payer")))))))</f>
        <v/>
      </c>
      <c r="M317" t="str">
        <f>IFERROR(MATCH(286,fa_rank,0),"")</f>
        <v/>
      </c>
    </row>
    <row r="318">
      <c r="B318" s="78" t="str">
        <f>IF($M318="","",INDEX(fa_num,$M318)&amp;"")</f>
        <v/>
      </c>
      <c r="C318" s="79" t="str">
        <f>IF($M318="","",INDEX(fa_cname,$M318)&amp;"")</f>
        <v/>
      </c>
      <c r="D318" s="56" t="str">
        <f>IF($M318="","",INDEX(fa_date,$M318))</f>
        <v/>
      </c>
      <c r="E318" s="56" t="str">
        <f>IF($M318="","",INDEX(fa_due,$M318))</f>
        <v/>
      </c>
      <c r="F318" s="75" t="str">
        <f>IF($M318="","",INDEX(fa_ttc,$M318))</f>
        <v/>
      </c>
      <c r="G318" s="75" t="str">
        <f>IF($M318="","",INDEX(fa_paid,$M318)+INDEX(fa_avoirs,$M318))</f>
        <v/>
      </c>
      <c r="H318" s="75" t="str">
        <f>IF($M318="","",INDEX(fa_reste,$M318))</f>
        <v/>
      </c>
      <c r="I318" s="58" t="str">
        <f>IF($M318="","",MAX(0,p_asof-E318))</f>
        <v/>
      </c>
      <c r="J318" s="78" t="str">
        <f>IF($M318="","",INDEX(fa_tranche,$M318)&amp;"")</f>
        <v/>
      </c>
      <c r="K318" s="56" t="str">
        <f>IF($M318="","",IF(ISNUMBER(INDEX(fa_relance,$M318)),INDEX(fa_relance,$M318),""))</f>
        <v/>
      </c>
      <c r="L318" s="79" t="str">
        <f>IF($M318="","",IF(AND(ISNUMBER(K318),(p_asof-E318)&gt;0,(p_asof-N(K318))&gt;=0,(p_asof-N(K318))&lt;7),"Déjà relancée il y a "&amp;(p_asof-N(K318))&amp;" j",IF((p_asof-E318)&lt;=0,IF((p_asof-E318)&gt;-8,"Rappel courtois avant l'échéance","Aucune action"),IF((p_asof-E318)&lt;=15,"Relance 1 : e-mail de rappel",IF((p_asof-E318)&lt;=30,"Relance 2 : appel téléphonique",IF((p_asof-E318)&lt;=60,"Relance 3 : lettre de relance",IF((p_asof-E318)&lt;=90,"Mise en demeure (recommandé)","Contentieux : injonction de payer")))))))</f>
        <v/>
      </c>
      <c r="M318" t="str">
        <f>IFERROR(MATCH(287,fa_rank,0),"")</f>
        <v/>
      </c>
    </row>
    <row r="319">
      <c r="B319" s="78" t="str">
        <f>IF($M319="","",INDEX(fa_num,$M319)&amp;"")</f>
        <v/>
      </c>
      <c r="C319" s="79" t="str">
        <f>IF($M319="","",INDEX(fa_cname,$M319)&amp;"")</f>
        <v/>
      </c>
      <c r="D319" s="56" t="str">
        <f>IF($M319="","",INDEX(fa_date,$M319))</f>
        <v/>
      </c>
      <c r="E319" s="56" t="str">
        <f>IF($M319="","",INDEX(fa_due,$M319))</f>
        <v/>
      </c>
      <c r="F319" s="75" t="str">
        <f>IF($M319="","",INDEX(fa_ttc,$M319))</f>
        <v/>
      </c>
      <c r="G319" s="75" t="str">
        <f>IF($M319="","",INDEX(fa_paid,$M319)+INDEX(fa_avoirs,$M319))</f>
        <v/>
      </c>
      <c r="H319" s="75" t="str">
        <f>IF($M319="","",INDEX(fa_reste,$M319))</f>
        <v/>
      </c>
      <c r="I319" s="58" t="str">
        <f>IF($M319="","",MAX(0,p_asof-E319))</f>
        <v/>
      </c>
      <c r="J319" s="78" t="str">
        <f>IF($M319="","",INDEX(fa_tranche,$M319)&amp;"")</f>
        <v/>
      </c>
      <c r="K319" s="56" t="str">
        <f>IF($M319="","",IF(ISNUMBER(INDEX(fa_relance,$M319)),INDEX(fa_relance,$M319),""))</f>
        <v/>
      </c>
      <c r="L319" s="79" t="str">
        <f>IF($M319="","",IF(AND(ISNUMBER(K319),(p_asof-E319)&gt;0,(p_asof-N(K319))&gt;=0,(p_asof-N(K319))&lt;7),"Déjà relancée il y a "&amp;(p_asof-N(K319))&amp;" j",IF((p_asof-E319)&lt;=0,IF((p_asof-E319)&gt;-8,"Rappel courtois avant l'échéance","Aucune action"),IF((p_asof-E319)&lt;=15,"Relance 1 : e-mail de rappel",IF((p_asof-E319)&lt;=30,"Relance 2 : appel téléphonique",IF((p_asof-E319)&lt;=60,"Relance 3 : lettre de relance",IF((p_asof-E319)&lt;=90,"Mise en demeure (recommandé)","Contentieux : injonction de payer")))))))</f>
        <v/>
      </c>
      <c r="M319" t="str">
        <f>IFERROR(MATCH(288,fa_rank,0),"")</f>
        <v/>
      </c>
    </row>
    <row r="320">
      <c r="B320" s="78" t="str">
        <f>IF($M320="","",INDEX(fa_num,$M320)&amp;"")</f>
        <v/>
      </c>
      <c r="C320" s="79" t="str">
        <f>IF($M320="","",INDEX(fa_cname,$M320)&amp;"")</f>
        <v/>
      </c>
      <c r="D320" s="56" t="str">
        <f>IF($M320="","",INDEX(fa_date,$M320))</f>
        <v/>
      </c>
      <c r="E320" s="56" t="str">
        <f>IF($M320="","",INDEX(fa_due,$M320))</f>
        <v/>
      </c>
      <c r="F320" s="75" t="str">
        <f>IF($M320="","",INDEX(fa_ttc,$M320))</f>
        <v/>
      </c>
      <c r="G320" s="75" t="str">
        <f>IF($M320="","",INDEX(fa_paid,$M320)+INDEX(fa_avoirs,$M320))</f>
        <v/>
      </c>
      <c r="H320" s="75" t="str">
        <f>IF($M320="","",INDEX(fa_reste,$M320))</f>
        <v/>
      </c>
      <c r="I320" s="58" t="str">
        <f>IF($M320="","",MAX(0,p_asof-E320))</f>
        <v/>
      </c>
      <c r="J320" s="78" t="str">
        <f>IF($M320="","",INDEX(fa_tranche,$M320)&amp;"")</f>
        <v/>
      </c>
      <c r="K320" s="56" t="str">
        <f>IF($M320="","",IF(ISNUMBER(INDEX(fa_relance,$M320)),INDEX(fa_relance,$M320),""))</f>
        <v/>
      </c>
      <c r="L320" s="79" t="str">
        <f>IF($M320="","",IF(AND(ISNUMBER(K320),(p_asof-E320)&gt;0,(p_asof-N(K320))&gt;=0,(p_asof-N(K320))&lt;7),"Déjà relancée il y a "&amp;(p_asof-N(K320))&amp;" j",IF((p_asof-E320)&lt;=0,IF((p_asof-E320)&gt;-8,"Rappel courtois avant l'échéance","Aucune action"),IF((p_asof-E320)&lt;=15,"Relance 1 : e-mail de rappel",IF((p_asof-E320)&lt;=30,"Relance 2 : appel téléphonique",IF((p_asof-E320)&lt;=60,"Relance 3 : lettre de relance",IF((p_asof-E320)&lt;=90,"Mise en demeure (recommandé)","Contentieux : injonction de payer")))))))</f>
        <v/>
      </c>
      <c r="M320" t="str">
        <f>IFERROR(MATCH(289,fa_rank,0),"")</f>
        <v/>
      </c>
    </row>
    <row r="321">
      <c r="B321" s="78" t="str">
        <f>IF($M321="","",INDEX(fa_num,$M321)&amp;"")</f>
        <v/>
      </c>
      <c r="C321" s="79" t="str">
        <f>IF($M321="","",INDEX(fa_cname,$M321)&amp;"")</f>
        <v/>
      </c>
      <c r="D321" s="56" t="str">
        <f>IF($M321="","",INDEX(fa_date,$M321))</f>
        <v/>
      </c>
      <c r="E321" s="56" t="str">
        <f>IF($M321="","",INDEX(fa_due,$M321))</f>
        <v/>
      </c>
      <c r="F321" s="75" t="str">
        <f>IF($M321="","",INDEX(fa_ttc,$M321))</f>
        <v/>
      </c>
      <c r="G321" s="75" t="str">
        <f>IF($M321="","",INDEX(fa_paid,$M321)+INDEX(fa_avoirs,$M321))</f>
        <v/>
      </c>
      <c r="H321" s="75" t="str">
        <f>IF($M321="","",INDEX(fa_reste,$M321))</f>
        <v/>
      </c>
      <c r="I321" s="58" t="str">
        <f>IF($M321="","",MAX(0,p_asof-E321))</f>
        <v/>
      </c>
      <c r="J321" s="78" t="str">
        <f>IF($M321="","",INDEX(fa_tranche,$M321)&amp;"")</f>
        <v/>
      </c>
      <c r="K321" s="56" t="str">
        <f>IF($M321="","",IF(ISNUMBER(INDEX(fa_relance,$M321)),INDEX(fa_relance,$M321),""))</f>
        <v/>
      </c>
      <c r="L321" s="79" t="str">
        <f>IF($M321="","",IF(AND(ISNUMBER(K321),(p_asof-E321)&gt;0,(p_asof-N(K321))&gt;=0,(p_asof-N(K321))&lt;7),"Déjà relancée il y a "&amp;(p_asof-N(K321))&amp;" j",IF((p_asof-E321)&lt;=0,IF((p_asof-E321)&gt;-8,"Rappel courtois avant l'échéance","Aucune action"),IF((p_asof-E321)&lt;=15,"Relance 1 : e-mail de rappel",IF((p_asof-E321)&lt;=30,"Relance 2 : appel téléphonique",IF((p_asof-E321)&lt;=60,"Relance 3 : lettre de relance",IF((p_asof-E321)&lt;=90,"Mise en demeure (recommandé)","Contentieux : injonction de payer")))))))</f>
        <v/>
      </c>
      <c r="M321" t="str">
        <f>IFERROR(MATCH(290,fa_rank,0),"")</f>
        <v/>
      </c>
    </row>
    <row r="322">
      <c r="B322" s="78" t="str">
        <f>IF($M322="","",INDEX(fa_num,$M322)&amp;"")</f>
        <v/>
      </c>
      <c r="C322" s="79" t="str">
        <f>IF($M322="","",INDEX(fa_cname,$M322)&amp;"")</f>
        <v/>
      </c>
      <c r="D322" s="56" t="str">
        <f>IF($M322="","",INDEX(fa_date,$M322))</f>
        <v/>
      </c>
      <c r="E322" s="56" t="str">
        <f>IF($M322="","",INDEX(fa_due,$M322))</f>
        <v/>
      </c>
      <c r="F322" s="75" t="str">
        <f>IF($M322="","",INDEX(fa_ttc,$M322))</f>
        <v/>
      </c>
      <c r="G322" s="75" t="str">
        <f>IF($M322="","",INDEX(fa_paid,$M322)+INDEX(fa_avoirs,$M322))</f>
        <v/>
      </c>
      <c r="H322" s="75" t="str">
        <f>IF($M322="","",INDEX(fa_reste,$M322))</f>
        <v/>
      </c>
      <c r="I322" s="58" t="str">
        <f>IF($M322="","",MAX(0,p_asof-E322))</f>
        <v/>
      </c>
      <c r="J322" s="78" t="str">
        <f>IF($M322="","",INDEX(fa_tranche,$M322)&amp;"")</f>
        <v/>
      </c>
      <c r="K322" s="56" t="str">
        <f>IF($M322="","",IF(ISNUMBER(INDEX(fa_relance,$M322)),INDEX(fa_relance,$M322),""))</f>
        <v/>
      </c>
      <c r="L322" s="79" t="str">
        <f>IF($M322="","",IF(AND(ISNUMBER(K322),(p_asof-E322)&gt;0,(p_asof-N(K322))&gt;=0,(p_asof-N(K322))&lt;7),"Déjà relancée il y a "&amp;(p_asof-N(K322))&amp;" j",IF((p_asof-E322)&lt;=0,IF((p_asof-E322)&gt;-8,"Rappel courtois avant l'échéance","Aucune action"),IF((p_asof-E322)&lt;=15,"Relance 1 : e-mail de rappel",IF((p_asof-E322)&lt;=30,"Relance 2 : appel téléphonique",IF((p_asof-E322)&lt;=60,"Relance 3 : lettre de relance",IF((p_asof-E322)&lt;=90,"Mise en demeure (recommandé)","Contentieux : injonction de payer")))))))</f>
        <v/>
      </c>
      <c r="M322" t="str">
        <f>IFERROR(MATCH(291,fa_rank,0),"")</f>
        <v/>
      </c>
    </row>
    <row r="323">
      <c r="B323" s="78" t="str">
        <f>IF($M323="","",INDEX(fa_num,$M323)&amp;"")</f>
        <v/>
      </c>
      <c r="C323" s="79" t="str">
        <f>IF($M323="","",INDEX(fa_cname,$M323)&amp;"")</f>
        <v/>
      </c>
      <c r="D323" s="56" t="str">
        <f>IF($M323="","",INDEX(fa_date,$M323))</f>
        <v/>
      </c>
      <c r="E323" s="56" t="str">
        <f>IF($M323="","",INDEX(fa_due,$M323))</f>
        <v/>
      </c>
      <c r="F323" s="75" t="str">
        <f>IF($M323="","",INDEX(fa_ttc,$M323))</f>
        <v/>
      </c>
      <c r="G323" s="75" t="str">
        <f>IF($M323="","",INDEX(fa_paid,$M323)+INDEX(fa_avoirs,$M323))</f>
        <v/>
      </c>
      <c r="H323" s="75" t="str">
        <f>IF($M323="","",INDEX(fa_reste,$M323))</f>
        <v/>
      </c>
      <c r="I323" s="58" t="str">
        <f>IF($M323="","",MAX(0,p_asof-E323))</f>
        <v/>
      </c>
      <c r="J323" s="78" t="str">
        <f>IF($M323="","",INDEX(fa_tranche,$M323)&amp;"")</f>
        <v/>
      </c>
      <c r="K323" s="56" t="str">
        <f>IF($M323="","",IF(ISNUMBER(INDEX(fa_relance,$M323)),INDEX(fa_relance,$M323),""))</f>
        <v/>
      </c>
      <c r="L323" s="79" t="str">
        <f>IF($M323="","",IF(AND(ISNUMBER(K323),(p_asof-E323)&gt;0,(p_asof-N(K323))&gt;=0,(p_asof-N(K323))&lt;7),"Déjà relancée il y a "&amp;(p_asof-N(K323))&amp;" j",IF((p_asof-E323)&lt;=0,IF((p_asof-E323)&gt;-8,"Rappel courtois avant l'échéance","Aucune action"),IF((p_asof-E323)&lt;=15,"Relance 1 : e-mail de rappel",IF((p_asof-E323)&lt;=30,"Relance 2 : appel téléphonique",IF((p_asof-E323)&lt;=60,"Relance 3 : lettre de relance",IF((p_asof-E323)&lt;=90,"Mise en demeure (recommandé)","Contentieux : injonction de payer")))))))</f>
        <v/>
      </c>
      <c r="M323" t="str">
        <f>IFERROR(MATCH(292,fa_rank,0),"")</f>
        <v/>
      </c>
    </row>
    <row r="324">
      <c r="B324" s="78" t="str">
        <f>IF($M324="","",INDEX(fa_num,$M324)&amp;"")</f>
        <v/>
      </c>
      <c r="C324" s="79" t="str">
        <f>IF($M324="","",INDEX(fa_cname,$M324)&amp;"")</f>
        <v/>
      </c>
      <c r="D324" s="56" t="str">
        <f>IF($M324="","",INDEX(fa_date,$M324))</f>
        <v/>
      </c>
      <c r="E324" s="56" t="str">
        <f>IF($M324="","",INDEX(fa_due,$M324))</f>
        <v/>
      </c>
      <c r="F324" s="75" t="str">
        <f>IF($M324="","",INDEX(fa_ttc,$M324))</f>
        <v/>
      </c>
      <c r="G324" s="75" t="str">
        <f>IF($M324="","",INDEX(fa_paid,$M324)+INDEX(fa_avoirs,$M324))</f>
        <v/>
      </c>
      <c r="H324" s="75" t="str">
        <f>IF($M324="","",INDEX(fa_reste,$M324))</f>
        <v/>
      </c>
      <c r="I324" s="58" t="str">
        <f>IF($M324="","",MAX(0,p_asof-E324))</f>
        <v/>
      </c>
      <c r="J324" s="78" t="str">
        <f>IF($M324="","",INDEX(fa_tranche,$M324)&amp;"")</f>
        <v/>
      </c>
      <c r="K324" s="56" t="str">
        <f>IF($M324="","",IF(ISNUMBER(INDEX(fa_relance,$M324)),INDEX(fa_relance,$M324),""))</f>
        <v/>
      </c>
      <c r="L324" s="79" t="str">
        <f>IF($M324="","",IF(AND(ISNUMBER(K324),(p_asof-E324)&gt;0,(p_asof-N(K324))&gt;=0,(p_asof-N(K324))&lt;7),"Déjà relancée il y a "&amp;(p_asof-N(K324))&amp;" j",IF((p_asof-E324)&lt;=0,IF((p_asof-E324)&gt;-8,"Rappel courtois avant l'échéance","Aucune action"),IF((p_asof-E324)&lt;=15,"Relance 1 : e-mail de rappel",IF((p_asof-E324)&lt;=30,"Relance 2 : appel téléphonique",IF((p_asof-E324)&lt;=60,"Relance 3 : lettre de relance",IF((p_asof-E324)&lt;=90,"Mise en demeure (recommandé)","Contentieux : injonction de payer")))))))</f>
        <v/>
      </c>
      <c r="M324" t="str">
        <f>IFERROR(MATCH(293,fa_rank,0),"")</f>
        <v/>
      </c>
    </row>
    <row r="325">
      <c r="B325" s="78" t="str">
        <f>IF($M325="","",INDEX(fa_num,$M325)&amp;"")</f>
        <v/>
      </c>
      <c r="C325" s="79" t="str">
        <f>IF($M325="","",INDEX(fa_cname,$M325)&amp;"")</f>
        <v/>
      </c>
      <c r="D325" s="56" t="str">
        <f>IF($M325="","",INDEX(fa_date,$M325))</f>
        <v/>
      </c>
      <c r="E325" s="56" t="str">
        <f>IF($M325="","",INDEX(fa_due,$M325))</f>
        <v/>
      </c>
      <c r="F325" s="75" t="str">
        <f>IF($M325="","",INDEX(fa_ttc,$M325))</f>
        <v/>
      </c>
      <c r="G325" s="75" t="str">
        <f>IF($M325="","",INDEX(fa_paid,$M325)+INDEX(fa_avoirs,$M325))</f>
        <v/>
      </c>
      <c r="H325" s="75" t="str">
        <f>IF($M325="","",INDEX(fa_reste,$M325))</f>
        <v/>
      </c>
      <c r="I325" s="58" t="str">
        <f>IF($M325="","",MAX(0,p_asof-E325))</f>
        <v/>
      </c>
      <c r="J325" s="78" t="str">
        <f>IF($M325="","",INDEX(fa_tranche,$M325)&amp;"")</f>
        <v/>
      </c>
      <c r="K325" s="56" t="str">
        <f>IF($M325="","",IF(ISNUMBER(INDEX(fa_relance,$M325)),INDEX(fa_relance,$M325),""))</f>
        <v/>
      </c>
      <c r="L325" s="79" t="str">
        <f>IF($M325="","",IF(AND(ISNUMBER(K325),(p_asof-E325)&gt;0,(p_asof-N(K325))&gt;=0,(p_asof-N(K325))&lt;7),"Déjà relancée il y a "&amp;(p_asof-N(K325))&amp;" j",IF((p_asof-E325)&lt;=0,IF((p_asof-E325)&gt;-8,"Rappel courtois avant l'échéance","Aucune action"),IF((p_asof-E325)&lt;=15,"Relance 1 : e-mail de rappel",IF((p_asof-E325)&lt;=30,"Relance 2 : appel téléphonique",IF((p_asof-E325)&lt;=60,"Relance 3 : lettre de relance",IF((p_asof-E325)&lt;=90,"Mise en demeure (recommandé)","Contentieux : injonction de payer")))))))</f>
        <v/>
      </c>
      <c r="M325" t="str">
        <f>IFERROR(MATCH(294,fa_rank,0),"")</f>
        <v/>
      </c>
    </row>
    <row r="326">
      <c r="B326" s="78" t="str">
        <f>IF($M326="","",INDEX(fa_num,$M326)&amp;"")</f>
        <v/>
      </c>
      <c r="C326" s="79" t="str">
        <f>IF($M326="","",INDEX(fa_cname,$M326)&amp;"")</f>
        <v/>
      </c>
      <c r="D326" s="56" t="str">
        <f>IF($M326="","",INDEX(fa_date,$M326))</f>
        <v/>
      </c>
      <c r="E326" s="56" t="str">
        <f>IF($M326="","",INDEX(fa_due,$M326))</f>
        <v/>
      </c>
      <c r="F326" s="75" t="str">
        <f>IF($M326="","",INDEX(fa_ttc,$M326))</f>
        <v/>
      </c>
      <c r="G326" s="75" t="str">
        <f>IF($M326="","",INDEX(fa_paid,$M326)+INDEX(fa_avoirs,$M326))</f>
        <v/>
      </c>
      <c r="H326" s="75" t="str">
        <f>IF($M326="","",INDEX(fa_reste,$M326))</f>
        <v/>
      </c>
      <c r="I326" s="58" t="str">
        <f>IF($M326="","",MAX(0,p_asof-E326))</f>
        <v/>
      </c>
      <c r="J326" s="78" t="str">
        <f>IF($M326="","",INDEX(fa_tranche,$M326)&amp;"")</f>
        <v/>
      </c>
      <c r="K326" s="56" t="str">
        <f>IF($M326="","",IF(ISNUMBER(INDEX(fa_relance,$M326)),INDEX(fa_relance,$M326),""))</f>
        <v/>
      </c>
      <c r="L326" s="79" t="str">
        <f>IF($M326="","",IF(AND(ISNUMBER(K326),(p_asof-E326)&gt;0,(p_asof-N(K326))&gt;=0,(p_asof-N(K326))&lt;7),"Déjà relancée il y a "&amp;(p_asof-N(K326))&amp;" j",IF((p_asof-E326)&lt;=0,IF((p_asof-E326)&gt;-8,"Rappel courtois avant l'échéance","Aucune action"),IF((p_asof-E326)&lt;=15,"Relance 1 : e-mail de rappel",IF((p_asof-E326)&lt;=30,"Relance 2 : appel téléphonique",IF((p_asof-E326)&lt;=60,"Relance 3 : lettre de relance",IF((p_asof-E326)&lt;=90,"Mise en demeure (recommandé)","Contentieux : injonction de payer")))))))</f>
        <v/>
      </c>
      <c r="M326" t="str">
        <f>IFERROR(MATCH(295,fa_rank,0),"")</f>
        <v/>
      </c>
    </row>
    <row r="327">
      <c r="B327" s="78" t="str">
        <f>IF($M327="","",INDEX(fa_num,$M327)&amp;"")</f>
        <v/>
      </c>
      <c r="C327" s="79" t="str">
        <f>IF($M327="","",INDEX(fa_cname,$M327)&amp;"")</f>
        <v/>
      </c>
      <c r="D327" s="56" t="str">
        <f>IF($M327="","",INDEX(fa_date,$M327))</f>
        <v/>
      </c>
      <c r="E327" s="56" t="str">
        <f>IF($M327="","",INDEX(fa_due,$M327))</f>
        <v/>
      </c>
      <c r="F327" s="75" t="str">
        <f>IF($M327="","",INDEX(fa_ttc,$M327))</f>
        <v/>
      </c>
      <c r="G327" s="75" t="str">
        <f>IF($M327="","",INDEX(fa_paid,$M327)+INDEX(fa_avoirs,$M327))</f>
        <v/>
      </c>
      <c r="H327" s="75" t="str">
        <f>IF($M327="","",INDEX(fa_reste,$M327))</f>
        <v/>
      </c>
      <c r="I327" s="58" t="str">
        <f>IF($M327="","",MAX(0,p_asof-E327))</f>
        <v/>
      </c>
      <c r="J327" s="78" t="str">
        <f>IF($M327="","",INDEX(fa_tranche,$M327)&amp;"")</f>
        <v/>
      </c>
      <c r="K327" s="56" t="str">
        <f>IF($M327="","",IF(ISNUMBER(INDEX(fa_relance,$M327)),INDEX(fa_relance,$M327),""))</f>
        <v/>
      </c>
      <c r="L327" s="79" t="str">
        <f>IF($M327="","",IF(AND(ISNUMBER(K327),(p_asof-E327)&gt;0,(p_asof-N(K327))&gt;=0,(p_asof-N(K327))&lt;7),"Déjà relancée il y a "&amp;(p_asof-N(K327))&amp;" j",IF((p_asof-E327)&lt;=0,IF((p_asof-E327)&gt;-8,"Rappel courtois avant l'échéance","Aucune action"),IF((p_asof-E327)&lt;=15,"Relance 1 : e-mail de rappel",IF((p_asof-E327)&lt;=30,"Relance 2 : appel téléphonique",IF((p_asof-E327)&lt;=60,"Relance 3 : lettre de relance",IF((p_asof-E327)&lt;=90,"Mise en demeure (recommandé)","Contentieux : injonction de payer")))))))</f>
        <v/>
      </c>
      <c r="M327" t="str">
        <f>IFERROR(MATCH(296,fa_rank,0),"")</f>
        <v/>
      </c>
    </row>
    <row r="328">
      <c r="B328" s="78" t="str">
        <f>IF($M328="","",INDEX(fa_num,$M328)&amp;"")</f>
        <v/>
      </c>
      <c r="C328" s="79" t="str">
        <f>IF($M328="","",INDEX(fa_cname,$M328)&amp;"")</f>
        <v/>
      </c>
      <c r="D328" s="56" t="str">
        <f>IF($M328="","",INDEX(fa_date,$M328))</f>
        <v/>
      </c>
      <c r="E328" s="56" t="str">
        <f>IF($M328="","",INDEX(fa_due,$M328))</f>
        <v/>
      </c>
      <c r="F328" s="75" t="str">
        <f>IF($M328="","",INDEX(fa_ttc,$M328))</f>
        <v/>
      </c>
      <c r="G328" s="75" t="str">
        <f>IF($M328="","",INDEX(fa_paid,$M328)+INDEX(fa_avoirs,$M328))</f>
        <v/>
      </c>
      <c r="H328" s="75" t="str">
        <f>IF($M328="","",INDEX(fa_reste,$M328))</f>
        <v/>
      </c>
      <c r="I328" s="58" t="str">
        <f>IF($M328="","",MAX(0,p_asof-E328))</f>
        <v/>
      </c>
      <c r="J328" s="78" t="str">
        <f>IF($M328="","",INDEX(fa_tranche,$M328)&amp;"")</f>
        <v/>
      </c>
      <c r="K328" s="56" t="str">
        <f>IF($M328="","",IF(ISNUMBER(INDEX(fa_relance,$M328)),INDEX(fa_relance,$M328),""))</f>
        <v/>
      </c>
      <c r="L328" s="79" t="str">
        <f>IF($M328="","",IF(AND(ISNUMBER(K328),(p_asof-E328)&gt;0,(p_asof-N(K328))&gt;=0,(p_asof-N(K328))&lt;7),"Déjà relancée il y a "&amp;(p_asof-N(K328))&amp;" j",IF((p_asof-E328)&lt;=0,IF((p_asof-E328)&gt;-8,"Rappel courtois avant l'échéance","Aucune action"),IF((p_asof-E328)&lt;=15,"Relance 1 : e-mail de rappel",IF((p_asof-E328)&lt;=30,"Relance 2 : appel téléphonique",IF((p_asof-E328)&lt;=60,"Relance 3 : lettre de relance",IF((p_asof-E328)&lt;=90,"Mise en demeure (recommandé)","Contentieux : injonction de payer")))))))</f>
        <v/>
      </c>
      <c r="M328" t="str">
        <f>IFERROR(MATCH(297,fa_rank,0),"")</f>
        <v/>
      </c>
    </row>
    <row r="329">
      <c r="B329" s="78" t="str">
        <f>IF($M329="","",INDEX(fa_num,$M329)&amp;"")</f>
        <v/>
      </c>
      <c r="C329" s="79" t="str">
        <f>IF($M329="","",INDEX(fa_cname,$M329)&amp;"")</f>
        <v/>
      </c>
      <c r="D329" s="56" t="str">
        <f>IF($M329="","",INDEX(fa_date,$M329))</f>
        <v/>
      </c>
      <c r="E329" s="56" t="str">
        <f>IF($M329="","",INDEX(fa_due,$M329))</f>
        <v/>
      </c>
      <c r="F329" s="75" t="str">
        <f>IF($M329="","",INDEX(fa_ttc,$M329))</f>
        <v/>
      </c>
      <c r="G329" s="75" t="str">
        <f>IF($M329="","",INDEX(fa_paid,$M329)+INDEX(fa_avoirs,$M329))</f>
        <v/>
      </c>
      <c r="H329" s="75" t="str">
        <f>IF($M329="","",INDEX(fa_reste,$M329))</f>
        <v/>
      </c>
      <c r="I329" s="58" t="str">
        <f>IF($M329="","",MAX(0,p_asof-E329))</f>
        <v/>
      </c>
      <c r="J329" s="78" t="str">
        <f>IF($M329="","",INDEX(fa_tranche,$M329)&amp;"")</f>
        <v/>
      </c>
      <c r="K329" s="56" t="str">
        <f>IF($M329="","",IF(ISNUMBER(INDEX(fa_relance,$M329)),INDEX(fa_relance,$M329),""))</f>
        <v/>
      </c>
      <c r="L329" s="79" t="str">
        <f>IF($M329="","",IF(AND(ISNUMBER(K329),(p_asof-E329)&gt;0,(p_asof-N(K329))&gt;=0,(p_asof-N(K329))&lt;7),"Déjà relancée il y a "&amp;(p_asof-N(K329))&amp;" j",IF((p_asof-E329)&lt;=0,IF((p_asof-E329)&gt;-8,"Rappel courtois avant l'échéance","Aucune action"),IF((p_asof-E329)&lt;=15,"Relance 1 : e-mail de rappel",IF((p_asof-E329)&lt;=30,"Relance 2 : appel téléphonique",IF((p_asof-E329)&lt;=60,"Relance 3 : lettre de relance",IF((p_asof-E329)&lt;=90,"Mise en demeure (recommandé)","Contentieux : injonction de payer")))))))</f>
        <v/>
      </c>
      <c r="M329" t="str">
        <f>IFERROR(MATCH(298,fa_rank,0),"")</f>
        <v/>
      </c>
    </row>
    <row r="330">
      <c r="B330" s="78" t="str">
        <f>IF($M330="","",INDEX(fa_num,$M330)&amp;"")</f>
        <v/>
      </c>
      <c r="C330" s="79" t="str">
        <f>IF($M330="","",INDEX(fa_cname,$M330)&amp;"")</f>
        <v/>
      </c>
      <c r="D330" s="56" t="str">
        <f>IF($M330="","",INDEX(fa_date,$M330))</f>
        <v/>
      </c>
      <c r="E330" s="56" t="str">
        <f>IF($M330="","",INDEX(fa_due,$M330))</f>
        <v/>
      </c>
      <c r="F330" s="75" t="str">
        <f>IF($M330="","",INDEX(fa_ttc,$M330))</f>
        <v/>
      </c>
      <c r="G330" s="75" t="str">
        <f>IF($M330="","",INDEX(fa_paid,$M330)+INDEX(fa_avoirs,$M330))</f>
        <v/>
      </c>
      <c r="H330" s="75" t="str">
        <f>IF($M330="","",INDEX(fa_reste,$M330))</f>
        <v/>
      </c>
      <c r="I330" s="58" t="str">
        <f>IF($M330="","",MAX(0,p_asof-E330))</f>
        <v/>
      </c>
      <c r="J330" s="78" t="str">
        <f>IF($M330="","",INDEX(fa_tranche,$M330)&amp;"")</f>
        <v/>
      </c>
      <c r="K330" s="56" t="str">
        <f>IF($M330="","",IF(ISNUMBER(INDEX(fa_relance,$M330)),INDEX(fa_relance,$M330),""))</f>
        <v/>
      </c>
      <c r="L330" s="79" t="str">
        <f>IF($M330="","",IF(AND(ISNUMBER(K330),(p_asof-E330)&gt;0,(p_asof-N(K330))&gt;=0,(p_asof-N(K330))&lt;7),"Déjà relancée il y a "&amp;(p_asof-N(K330))&amp;" j",IF((p_asof-E330)&lt;=0,IF((p_asof-E330)&gt;-8,"Rappel courtois avant l'échéance","Aucune action"),IF((p_asof-E330)&lt;=15,"Relance 1 : e-mail de rappel",IF((p_asof-E330)&lt;=30,"Relance 2 : appel téléphonique",IF((p_asof-E330)&lt;=60,"Relance 3 : lettre de relance",IF((p_asof-E330)&lt;=90,"Mise en demeure (recommandé)","Contentieux : injonction de payer")))))))</f>
        <v/>
      </c>
      <c r="M330" t="str">
        <f>IFERROR(MATCH(299,fa_rank,0),"")</f>
        <v/>
      </c>
    </row>
    <row r="331">
      <c r="B331" s="78" t="str">
        <f>IF($M331="","",INDEX(fa_num,$M331)&amp;"")</f>
        <v/>
      </c>
      <c r="C331" s="79" t="str">
        <f>IF($M331="","",INDEX(fa_cname,$M331)&amp;"")</f>
        <v/>
      </c>
      <c r="D331" s="56" t="str">
        <f>IF($M331="","",INDEX(fa_date,$M331))</f>
        <v/>
      </c>
      <c r="E331" s="56" t="str">
        <f>IF($M331="","",INDEX(fa_due,$M331))</f>
        <v/>
      </c>
      <c r="F331" s="75" t="str">
        <f>IF($M331="","",INDEX(fa_ttc,$M331))</f>
        <v/>
      </c>
      <c r="G331" s="75" t="str">
        <f>IF($M331="","",INDEX(fa_paid,$M331)+INDEX(fa_avoirs,$M331))</f>
        <v/>
      </c>
      <c r="H331" s="75" t="str">
        <f>IF($M331="","",INDEX(fa_reste,$M331))</f>
        <v/>
      </c>
      <c r="I331" s="58" t="str">
        <f>IF($M331="","",MAX(0,p_asof-E331))</f>
        <v/>
      </c>
      <c r="J331" s="78" t="str">
        <f>IF($M331="","",INDEX(fa_tranche,$M331)&amp;"")</f>
        <v/>
      </c>
      <c r="K331" s="56" t="str">
        <f>IF($M331="","",IF(ISNUMBER(INDEX(fa_relance,$M331)),INDEX(fa_relance,$M331),""))</f>
        <v/>
      </c>
      <c r="L331" s="79" t="str">
        <f>IF($M331="","",IF(AND(ISNUMBER(K331),(p_asof-E331)&gt;0,(p_asof-N(K331))&gt;=0,(p_asof-N(K331))&lt;7),"Déjà relancée il y a "&amp;(p_asof-N(K331))&amp;" j",IF((p_asof-E331)&lt;=0,IF((p_asof-E331)&gt;-8,"Rappel courtois avant l'échéance","Aucune action"),IF((p_asof-E331)&lt;=15,"Relance 1 : e-mail de rappel",IF((p_asof-E331)&lt;=30,"Relance 2 : appel téléphonique",IF((p_asof-E331)&lt;=60,"Relance 3 : lettre de relance",IF((p_asof-E331)&lt;=90,"Mise en demeure (recommandé)","Contentieux : injonction de payer")))))))</f>
        <v/>
      </c>
      <c r="M331" t="str">
        <f>IFERROR(MATCH(300,fa_rank,0),"")</f>
        <v/>
      </c>
    </row>
    <row r="332">
      <c r="B332" s="78" t="str">
        <f>IF($M332="","",INDEX(fa_num,$M332)&amp;"")</f>
        <v/>
      </c>
      <c r="C332" s="79" t="str">
        <f>IF($M332="","",INDEX(fa_cname,$M332)&amp;"")</f>
        <v/>
      </c>
      <c r="D332" s="56" t="str">
        <f>IF($M332="","",INDEX(fa_date,$M332))</f>
        <v/>
      </c>
      <c r="E332" s="56" t="str">
        <f>IF($M332="","",INDEX(fa_due,$M332))</f>
        <v/>
      </c>
      <c r="F332" s="75" t="str">
        <f>IF($M332="","",INDEX(fa_ttc,$M332))</f>
        <v/>
      </c>
      <c r="G332" s="75" t="str">
        <f>IF($M332="","",INDEX(fa_paid,$M332)+INDEX(fa_avoirs,$M332))</f>
        <v/>
      </c>
      <c r="H332" s="75" t="str">
        <f>IF($M332="","",INDEX(fa_reste,$M332))</f>
        <v/>
      </c>
      <c r="I332" s="58" t="str">
        <f>IF($M332="","",MAX(0,p_asof-E332))</f>
        <v/>
      </c>
      <c r="J332" s="78" t="str">
        <f>IF($M332="","",INDEX(fa_tranche,$M332)&amp;"")</f>
        <v/>
      </c>
      <c r="K332" s="56" t="str">
        <f>IF($M332="","",IF(ISNUMBER(INDEX(fa_relance,$M332)),INDEX(fa_relance,$M332),""))</f>
        <v/>
      </c>
      <c r="L332" s="79" t="str">
        <f>IF($M332="","",IF(AND(ISNUMBER(K332),(p_asof-E332)&gt;0,(p_asof-N(K332))&gt;=0,(p_asof-N(K332))&lt;7),"Déjà relancée il y a "&amp;(p_asof-N(K332))&amp;" j",IF((p_asof-E332)&lt;=0,IF((p_asof-E332)&gt;-8,"Rappel courtois avant l'échéance","Aucune action"),IF((p_asof-E332)&lt;=15,"Relance 1 : e-mail de rappel",IF((p_asof-E332)&lt;=30,"Relance 2 : appel téléphonique",IF((p_asof-E332)&lt;=60,"Relance 3 : lettre de relance",IF((p_asof-E332)&lt;=90,"Mise en demeure (recommandé)","Contentieux : injonction de payer")))))))</f>
        <v/>
      </c>
      <c r="M332" t="str">
        <f>IFERROR(MATCH(301,fa_rank,0),"")</f>
        <v/>
      </c>
    </row>
    <row r="333">
      <c r="B333" s="78" t="str">
        <f>IF($M333="","",INDEX(fa_num,$M333)&amp;"")</f>
        <v/>
      </c>
      <c r="C333" s="79" t="str">
        <f>IF($M333="","",INDEX(fa_cname,$M333)&amp;"")</f>
        <v/>
      </c>
      <c r="D333" s="56" t="str">
        <f>IF($M333="","",INDEX(fa_date,$M333))</f>
        <v/>
      </c>
      <c r="E333" s="56" t="str">
        <f>IF($M333="","",INDEX(fa_due,$M333))</f>
        <v/>
      </c>
      <c r="F333" s="75" t="str">
        <f>IF($M333="","",INDEX(fa_ttc,$M333))</f>
        <v/>
      </c>
      <c r="G333" s="75" t="str">
        <f>IF($M333="","",INDEX(fa_paid,$M333)+INDEX(fa_avoirs,$M333))</f>
        <v/>
      </c>
      <c r="H333" s="75" t="str">
        <f>IF($M333="","",INDEX(fa_reste,$M333))</f>
        <v/>
      </c>
      <c r="I333" s="58" t="str">
        <f>IF($M333="","",MAX(0,p_asof-E333))</f>
        <v/>
      </c>
      <c r="J333" s="78" t="str">
        <f>IF($M333="","",INDEX(fa_tranche,$M333)&amp;"")</f>
        <v/>
      </c>
      <c r="K333" s="56" t="str">
        <f>IF($M333="","",IF(ISNUMBER(INDEX(fa_relance,$M333)),INDEX(fa_relance,$M333),""))</f>
        <v/>
      </c>
      <c r="L333" s="79" t="str">
        <f>IF($M333="","",IF(AND(ISNUMBER(K333),(p_asof-E333)&gt;0,(p_asof-N(K333))&gt;=0,(p_asof-N(K333))&lt;7),"Déjà relancée il y a "&amp;(p_asof-N(K333))&amp;" j",IF((p_asof-E333)&lt;=0,IF((p_asof-E333)&gt;-8,"Rappel courtois avant l'échéance","Aucune action"),IF((p_asof-E333)&lt;=15,"Relance 1 : e-mail de rappel",IF((p_asof-E333)&lt;=30,"Relance 2 : appel téléphonique",IF((p_asof-E333)&lt;=60,"Relance 3 : lettre de relance",IF((p_asof-E333)&lt;=90,"Mise en demeure (recommandé)","Contentieux : injonction de payer")))))))</f>
        <v/>
      </c>
      <c r="M333" t="str">
        <f>IFERROR(MATCH(302,fa_rank,0),"")</f>
        <v/>
      </c>
    </row>
    <row r="334">
      <c r="B334" s="78" t="str">
        <f>IF($M334="","",INDEX(fa_num,$M334)&amp;"")</f>
        <v/>
      </c>
      <c r="C334" s="79" t="str">
        <f>IF($M334="","",INDEX(fa_cname,$M334)&amp;"")</f>
        <v/>
      </c>
      <c r="D334" s="56" t="str">
        <f>IF($M334="","",INDEX(fa_date,$M334))</f>
        <v/>
      </c>
      <c r="E334" s="56" t="str">
        <f>IF($M334="","",INDEX(fa_due,$M334))</f>
        <v/>
      </c>
      <c r="F334" s="75" t="str">
        <f>IF($M334="","",INDEX(fa_ttc,$M334))</f>
        <v/>
      </c>
      <c r="G334" s="75" t="str">
        <f>IF($M334="","",INDEX(fa_paid,$M334)+INDEX(fa_avoirs,$M334))</f>
        <v/>
      </c>
      <c r="H334" s="75" t="str">
        <f>IF($M334="","",INDEX(fa_reste,$M334))</f>
        <v/>
      </c>
      <c r="I334" s="58" t="str">
        <f>IF($M334="","",MAX(0,p_asof-E334))</f>
        <v/>
      </c>
      <c r="J334" s="78" t="str">
        <f>IF($M334="","",INDEX(fa_tranche,$M334)&amp;"")</f>
        <v/>
      </c>
      <c r="K334" s="56" t="str">
        <f>IF($M334="","",IF(ISNUMBER(INDEX(fa_relance,$M334)),INDEX(fa_relance,$M334),""))</f>
        <v/>
      </c>
      <c r="L334" s="79" t="str">
        <f>IF($M334="","",IF(AND(ISNUMBER(K334),(p_asof-E334)&gt;0,(p_asof-N(K334))&gt;=0,(p_asof-N(K334))&lt;7),"Déjà relancée il y a "&amp;(p_asof-N(K334))&amp;" j",IF((p_asof-E334)&lt;=0,IF((p_asof-E334)&gt;-8,"Rappel courtois avant l'échéance","Aucune action"),IF((p_asof-E334)&lt;=15,"Relance 1 : e-mail de rappel",IF((p_asof-E334)&lt;=30,"Relance 2 : appel téléphonique",IF((p_asof-E334)&lt;=60,"Relance 3 : lettre de relance",IF((p_asof-E334)&lt;=90,"Mise en demeure (recommandé)","Contentieux : injonction de payer")))))))</f>
        <v/>
      </c>
      <c r="M334" t="str">
        <f>IFERROR(MATCH(303,fa_rank,0),"")</f>
        <v/>
      </c>
    </row>
    <row r="335">
      <c r="B335" s="78" t="str">
        <f>IF($M335="","",INDEX(fa_num,$M335)&amp;"")</f>
        <v/>
      </c>
      <c r="C335" s="79" t="str">
        <f>IF($M335="","",INDEX(fa_cname,$M335)&amp;"")</f>
        <v/>
      </c>
      <c r="D335" s="56" t="str">
        <f>IF($M335="","",INDEX(fa_date,$M335))</f>
        <v/>
      </c>
      <c r="E335" s="56" t="str">
        <f>IF($M335="","",INDEX(fa_due,$M335))</f>
        <v/>
      </c>
      <c r="F335" s="75" t="str">
        <f>IF($M335="","",INDEX(fa_ttc,$M335))</f>
        <v/>
      </c>
      <c r="G335" s="75" t="str">
        <f>IF($M335="","",INDEX(fa_paid,$M335)+INDEX(fa_avoirs,$M335))</f>
        <v/>
      </c>
      <c r="H335" s="75" t="str">
        <f>IF($M335="","",INDEX(fa_reste,$M335))</f>
        <v/>
      </c>
      <c r="I335" s="58" t="str">
        <f>IF($M335="","",MAX(0,p_asof-E335))</f>
        <v/>
      </c>
      <c r="J335" s="78" t="str">
        <f>IF($M335="","",INDEX(fa_tranche,$M335)&amp;"")</f>
        <v/>
      </c>
      <c r="K335" s="56" t="str">
        <f>IF($M335="","",IF(ISNUMBER(INDEX(fa_relance,$M335)),INDEX(fa_relance,$M335),""))</f>
        <v/>
      </c>
      <c r="L335" s="79" t="str">
        <f>IF($M335="","",IF(AND(ISNUMBER(K335),(p_asof-E335)&gt;0,(p_asof-N(K335))&gt;=0,(p_asof-N(K335))&lt;7),"Déjà relancée il y a "&amp;(p_asof-N(K335))&amp;" j",IF((p_asof-E335)&lt;=0,IF((p_asof-E335)&gt;-8,"Rappel courtois avant l'échéance","Aucune action"),IF((p_asof-E335)&lt;=15,"Relance 1 : e-mail de rappel",IF((p_asof-E335)&lt;=30,"Relance 2 : appel téléphonique",IF((p_asof-E335)&lt;=60,"Relance 3 : lettre de relance",IF((p_asof-E335)&lt;=90,"Mise en demeure (recommandé)","Contentieux : injonction de payer")))))))</f>
        <v/>
      </c>
      <c r="M335" t="str">
        <f>IFERROR(MATCH(304,fa_rank,0),"")</f>
        <v/>
      </c>
    </row>
    <row r="336">
      <c r="B336" s="78" t="str">
        <f>IF($M336="","",INDEX(fa_num,$M336)&amp;"")</f>
        <v/>
      </c>
      <c r="C336" s="79" t="str">
        <f>IF($M336="","",INDEX(fa_cname,$M336)&amp;"")</f>
        <v/>
      </c>
      <c r="D336" s="56" t="str">
        <f>IF($M336="","",INDEX(fa_date,$M336))</f>
        <v/>
      </c>
      <c r="E336" s="56" t="str">
        <f>IF($M336="","",INDEX(fa_due,$M336))</f>
        <v/>
      </c>
      <c r="F336" s="75" t="str">
        <f>IF($M336="","",INDEX(fa_ttc,$M336))</f>
        <v/>
      </c>
      <c r="G336" s="75" t="str">
        <f>IF($M336="","",INDEX(fa_paid,$M336)+INDEX(fa_avoirs,$M336))</f>
        <v/>
      </c>
      <c r="H336" s="75" t="str">
        <f>IF($M336="","",INDEX(fa_reste,$M336))</f>
        <v/>
      </c>
      <c r="I336" s="58" t="str">
        <f>IF($M336="","",MAX(0,p_asof-E336))</f>
        <v/>
      </c>
      <c r="J336" s="78" t="str">
        <f>IF($M336="","",INDEX(fa_tranche,$M336)&amp;"")</f>
        <v/>
      </c>
      <c r="K336" s="56" t="str">
        <f>IF($M336="","",IF(ISNUMBER(INDEX(fa_relance,$M336)),INDEX(fa_relance,$M336),""))</f>
        <v/>
      </c>
      <c r="L336" s="79" t="str">
        <f>IF($M336="","",IF(AND(ISNUMBER(K336),(p_asof-E336)&gt;0,(p_asof-N(K336))&gt;=0,(p_asof-N(K336))&lt;7),"Déjà relancée il y a "&amp;(p_asof-N(K336))&amp;" j",IF((p_asof-E336)&lt;=0,IF((p_asof-E336)&gt;-8,"Rappel courtois avant l'échéance","Aucune action"),IF((p_asof-E336)&lt;=15,"Relance 1 : e-mail de rappel",IF((p_asof-E336)&lt;=30,"Relance 2 : appel téléphonique",IF((p_asof-E336)&lt;=60,"Relance 3 : lettre de relance",IF((p_asof-E336)&lt;=90,"Mise en demeure (recommandé)","Contentieux : injonction de payer")))))))</f>
        <v/>
      </c>
      <c r="M336" t="str">
        <f>IFERROR(MATCH(305,fa_rank,0),"")</f>
        <v/>
      </c>
    </row>
    <row r="337">
      <c r="B337" s="78" t="str">
        <f>IF($M337="","",INDEX(fa_num,$M337)&amp;"")</f>
        <v/>
      </c>
      <c r="C337" s="79" t="str">
        <f>IF($M337="","",INDEX(fa_cname,$M337)&amp;"")</f>
        <v/>
      </c>
      <c r="D337" s="56" t="str">
        <f>IF($M337="","",INDEX(fa_date,$M337))</f>
        <v/>
      </c>
      <c r="E337" s="56" t="str">
        <f>IF($M337="","",INDEX(fa_due,$M337))</f>
        <v/>
      </c>
      <c r="F337" s="75" t="str">
        <f>IF($M337="","",INDEX(fa_ttc,$M337))</f>
        <v/>
      </c>
      <c r="G337" s="75" t="str">
        <f>IF($M337="","",INDEX(fa_paid,$M337)+INDEX(fa_avoirs,$M337))</f>
        <v/>
      </c>
      <c r="H337" s="75" t="str">
        <f>IF($M337="","",INDEX(fa_reste,$M337))</f>
        <v/>
      </c>
      <c r="I337" s="58" t="str">
        <f>IF($M337="","",MAX(0,p_asof-E337))</f>
        <v/>
      </c>
      <c r="J337" s="78" t="str">
        <f>IF($M337="","",INDEX(fa_tranche,$M337)&amp;"")</f>
        <v/>
      </c>
      <c r="K337" s="56" t="str">
        <f>IF($M337="","",IF(ISNUMBER(INDEX(fa_relance,$M337)),INDEX(fa_relance,$M337),""))</f>
        <v/>
      </c>
      <c r="L337" s="79" t="str">
        <f>IF($M337="","",IF(AND(ISNUMBER(K337),(p_asof-E337)&gt;0,(p_asof-N(K337))&gt;=0,(p_asof-N(K337))&lt;7),"Déjà relancée il y a "&amp;(p_asof-N(K337))&amp;" j",IF((p_asof-E337)&lt;=0,IF((p_asof-E337)&gt;-8,"Rappel courtois avant l'échéance","Aucune action"),IF((p_asof-E337)&lt;=15,"Relance 1 : e-mail de rappel",IF((p_asof-E337)&lt;=30,"Relance 2 : appel téléphonique",IF((p_asof-E337)&lt;=60,"Relance 3 : lettre de relance",IF((p_asof-E337)&lt;=90,"Mise en demeure (recommandé)","Contentieux : injonction de payer")))))))</f>
        <v/>
      </c>
      <c r="M337" t="str">
        <f>IFERROR(MATCH(306,fa_rank,0),"")</f>
        <v/>
      </c>
    </row>
    <row r="338">
      <c r="B338" s="78" t="str">
        <f>IF($M338="","",INDEX(fa_num,$M338)&amp;"")</f>
        <v/>
      </c>
      <c r="C338" s="79" t="str">
        <f>IF($M338="","",INDEX(fa_cname,$M338)&amp;"")</f>
        <v/>
      </c>
      <c r="D338" s="56" t="str">
        <f>IF($M338="","",INDEX(fa_date,$M338))</f>
        <v/>
      </c>
      <c r="E338" s="56" t="str">
        <f>IF($M338="","",INDEX(fa_due,$M338))</f>
        <v/>
      </c>
      <c r="F338" s="75" t="str">
        <f>IF($M338="","",INDEX(fa_ttc,$M338))</f>
        <v/>
      </c>
      <c r="G338" s="75" t="str">
        <f>IF($M338="","",INDEX(fa_paid,$M338)+INDEX(fa_avoirs,$M338))</f>
        <v/>
      </c>
      <c r="H338" s="75" t="str">
        <f>IF($M338="","",INDEX(fa_reste,$M338))</f>
        <v/>
      </c>
      <c r="I338" s="58" t="str">
        <f>IF($M338="","",MAX(0,p_asof-E338))</f>
        <v/>
      </c>
      <c r="J338" s="78" t="str">
        <f>IF($M338="","",INDEX(fa_tranche,$M338)&amp;"")</f>
        <v/>
      </c>
      <c r="K338" s="56" t="str">
        <f>IF($M338="","",IF(ISNUMBER(INDEX(fa_relance,$M338)),INDEX(fa_relance,$M338),""))</f>
        <v/>
      </c>
      <c r="L338" s="79" t="str">
        <f>IF($M338="","",IF(AND(ISNUMBER(K338),(p_asof-E338)&gt;0,(p_asof-N(K338))&gt;=0,(p_asof-N(K338))&lt;7),"Déjà relancée il y a "&amp;(p_asof-N(K338))&amp;" j",IF((p_asof-E338)&lt;=0,IF((p_asof-E338)&gt;-8,"Rappel courtois avant l'échéance","Aucune action"),IF((p_asof-E338)&lt;=15,"Relance 1 : e-mail de rappel",IF((p_asof-E338)&lt;=30,"Relance 2 : appel téléphonique",IF((p_asof-E338)&lt;=60,"Relance 3 : lettre de relance",IF((p_asof-E338)&lt;=90,"Mise en demeure (recommandé)","Contentieux : injonction de payer")))))))</f>
        <v/>
      </c>
      <c r="M338" t="str">
        <f>IFERROR(MATCH(307,fa_rank,0),"")</f>
        <v/>
      </c>
    </row>
    <row r="339">
      <c r="B339" s="78" t="str">
        <f>IF($M339="","",INDEX(fa_num,$M339)&amp;"")</f>
        <v/>
      </c>
      <c r="C339" s="79" t="str">
        <f>IF($M339="","",INDEX(fa_cname,$M339)&amp;"")</f>
        <v/>
      </c>
      <c r="D339" s="56" t="str">
        <f>IF($M339="","",INDEX(fa_date,$M339))</f>
        <v/>
      </c>
      <c r="E339" s="56" t="str">
        <f>IF($M339="","",INDEX(fa_due,$M339))</f>
        <v/>
      </c>
      <c r="F339" s="75" t="str">
        <f>IF($M339="","",INDEX(fa_ttc,$M339))</f>
        <v/>
      </c>
      <c r="G339" s="75" t="str">
        <f>IF($M339="","",INDEX(fa_paid,$M339)+INDEX(fa_avoirs,$M339))</f>
        <v/>
      </c>
      <c r="H339" s="75" t="str">
        <f>IF($M339="","",INDEX(fa_reste,$M339))</f>
        <v/>
      </c>
      <c r="I339" s="58" t="str">
        <f>IF($M339="","",MAX(0,p_asof-E339))</f>
        <v/>
      </c>
      <c r="J339" s="78" t="str">
        <f>IF($M339="","",INDEX(fa_tranche,$M339)&amp;"")</f>
        <v/>
      </c>
      <c r="K339" s="56" t="str">
        <f>IF($M339="","",IF(ISNUMBER(INDEX(fa_relance,$M339)),INDEX(fa_relance,$M339),""))</f>
        <v/>
      </c>
      <c r="L339" s="79" t="str">
        <f>IF($M339="","",IF(AND(ISNUMBER(K339),(p_asof-E339)&gt;0,(p_asof-N(K339))&gt;=0,(p_asof-N(K339))&lt;7),"Déjà relancée il y a "&amp;(p_asof-N(K339))&amp;" j",IF((p_asof-E339)&lt;=0,IF((p_asof-E339)&gt;-8,"Rappel courtois avant l'échéance","Aucune action"),IF((p_asof-E339)&lt;=15,"Relance 1 : e-mail de rappel",IF((p_asof-E339)&lt;=30,"Relance 2 : appel téléphonique",IF((p_asof-E339)&lt;=60,"Relance 3 : lettre de relance",IF((p_asof-E339)&lt;=90,"Mise en demeure (recommandé)","Contentieux : injonction de payer")))))))</f>
        <v/>
      </c>
      <c r="M339" t="str">
        <f>IFERROR(MATCH(308,fa_rank,0),"")</f>
        <v/>
      </c>
    </row>
    <row r="340">
      <c r="B340" s="78" t="str">
        <f>IF($M340="","",INDEX(fa_num,$M340)&amp;"")</f>
        <v/>
      </c>
      <c r="C340" s="79" t="str">
        <f>IF($M340="","",INDEX(fa_cname,$M340)&amp;"")</f>
        <v/>
      </c>
      <c r="D340" s="56" t="str">
        <f>IF($M340="","",INDEX(fa_date,$M340))</f>
        <v/>
      </c>
      <c r="E340" s="56" t="str">
        <f>IF($M340="","",INDEX(fa_due,$M340))</f>
        <v/>
      </c>
      <c r="F340" s="75" t="str">
        <f>IF($M340="","",INDEX(fa_ttc,$M340))</f>
        <v/>
      </c>
      <c r="G340" s="75" t="str">
        <f>IF($M340="","",INDEX(fa_paid,$M340)+INDEX(fa_avoirs,$M340))</f>
        <v/>
      </c>
      <c r="H340" s="75" t="str">
        <f>IF($M340="","",INDEX(fa_reste,$M340))</f>
        <v/>
      </c>
      <c r="I340" s="58" t="str">
        <f>IF($M340="","",MAX(0,p_asof-E340))</f>
        <v/>
      </c>
      <c r="J340" s="78" t="str">
        <f>IF($M340="","",INDEX(fa_tranche,$M340)&amp;"")</f>
        <v/>
      </c>
      <c r="K340" s="56" t="str">
        <f>IF($M340="","",IF(ISNUMBER(INDEX(fa_relance,$M340)),INDEX(fa_relance,$M340),""))</f>
        <v/>
      </c>
      <c r="L340" s="79" t="str">
        <f>IF($M340="","",IF(AND(ISNUMBER(K340),(p_asof-E340)&gt;0,(p_asof-N(K340))&gt;=0,(p_asof-N(K340))&lt;7),"Déjà relancée il y a "&amp;(p_asof-N(K340))&amp;" j",IF((p_asof-E340)&lt;=0,IF((p_asof-E340)&gt;-8,"Rappel courtois avant l'échéance","Aucune action"),IF((p_asof-E340)&lt;=15,"Relance 1 : e-mail de rappel",IF((p_asof-E340)&lt;=30,"Relance 2 : appel téléphonique",IF((p_asof-E340)&lt;=60,"Relance 3 : lettre de relance",IF((p_asof-E340)&lt;=90,"Mise en demeure (recommandé)","Contentieux : injonction de payer")))))))</f>
        <v/>
      </c>
      <c r="M340" t="str">
        <f>IFERROR(MATCH(309,fa_rank,0),"")</f>
        <v/>
      </c>
    </row>
    <row r="341">
      <c r="B341" s="78" t="str">
        <f>IF($M341="","",INDEX(fa_num,$M341)&amp;"")</f>
        <v/>
      </c>
      <c r="C341" s="79" t="str">
        <f>IF($M341="","",INDEX(fa_cname,$M341)&amp;"")</f>
        <v/>
      </c>
      <c r="D341" s="56" t="str">
        <f>IF($M341="","",INDEX(fa_date,$M341))</f>
        <v/>
      </c>
      <c r="E341" s="56" t="str">
        <f>IF($M341="","",INDEX(fa_due,$M341))</f>
        <v/>
      </c>
      <c r="F341" s="75" t="str">
        <f>IF($M341="","",INDEX(fa_ttc,$M341))</f>
        <v/>
      </c>
      <c r="G341" s="75" t="str">
        <f>IF($M341="","",INDEX(fa_paid,$M341)+INDEX(fa_avoirs,$M341))</f>
        <v/>
      </c>
      <c r="H341" s="75" t="str">
        <f>IF($M341="","",INDEX(fa_reste,$M341))</f>
        <v/>
      </c>
      <c r="I341" s="58" t="str">
        <f>IF($M341="","",MAX(0,p_asof-E341))</f>
        <v/>
      </c>
      <c r="J341" s="78" t="str">
        <f>IF($M341="","",INDEX(fa_tranche,$M341)&amp;"")</f>
        <v/>
      </c>
      <c r="K341" s="56" t="str">
        <f>IF($M341="","",IF(ISNUMBER(INDEX(fa_relance,$M341)),INDEX(fa_relance,$M341),""))</f>
        <v/>
      </c>
      <c r="L341" s="79" t="str">
        <f>IF($M341="","",IF(AND(ISNUMBER(K341),(p_asof-E341)&gt;0,(p_asof-N(K341))&gt;=0,(p_asof-N(K341))&lt;7),"Déjà relancée il y a "&amp;(p_asof-N(K341))&amp;" j",IF((p_asof-E341)&lt;=0,IF((p_asof-E341)&gt;-8,"Rappel courtois avant l'échéance","Aucune action"),IF((p_asof-E341)&lt;=15,"Relance 1 : e-mail de rappel",IF((p_asof-E341)&lt;=30,"Relance 2 : appel téléphonique",IF((p_asof-E341)&lt;=60,"Relance 3 : lettre de relance",IF((p_asof-E341)&lt;=90,"Mise en demeure (recommandé)","Contentieux : injonction de payer")))))))</f>
        <v/>
      </c>
      <c r="M341" t="str">
        <f>IFERROR(MATCH(310,fa_rank,0),"")</f>
        <v/>
      </c>
    </row>
    <row r="342">
      <c r="B342" s="78" t="str">
        <f>IF($M342="","",INDEX(fa_num,$M342)&amp;"")</f>
        <v/>
      </c>
      <c r="C342" s="79" t="str">
        <f>IF($M342="","",INDEX(fa_cname,$M342)&amp;"")</f>
        <v/>
      </c>
      <c r="D342" s="56" t="str">
        <f>IF($M342="","",INDEX(fa_date,$M342))</f>
        <v/>
      </c>
      <c r="E342" s="56" t="str">
        <f>IF($M342="","",INDEX(fa_due,$M342))</f>
        <v/>
      </c>
      <c r="F342" s="75" t="str">
        <f>IF($M342="","",INDEX(fa_ttc,$M342))</f>
        <v/>
      </c>
      <c r="G342" s="75" t="str">
        <f>IF($M342="","",INDEX(fa_paid,$M342)+INDEX(fa_avoirs,$M342))</f>
        <v/>
      </c>
      <c r="H342" s="75" t="str">
        <f>IF($M342="","",INDEX(fa_reste,$M342))</f>
        <v/>
      </c>
      <c r="I342" s="58" t="str">
        <f>IF($M342="","",MAX(0,p_asof-E342))</f>
        <v/>
      </c>
      <c r="J342" s="78" t="str">
        <f>IF($M342="","",INDEX(fa_tranche,$M342)&amp;"")</f>
        <v/>
      </c>
      <c r="K342" s="56" t="str">
        <f>IF($M342="","",IF(ISNUMBER(INDEX(fa_relance,$M342)),INDEX(fa_relance,$M342),""))</f>
        <v/>
      </c>
      <c r="L342" s="79" t="str">
        <f>IF($M342="","",IF(AND(ISNUMBER(K342),(p_asof-E342)&gt;0,(p_asof-N(K342))&gt;=0,(p_asof-N(K342))&lt;7),"Déjà relancée il y a "&amp;(p_asof-N(K342))&amp;" j",IF((p_asof-E342)&lt;=0,IF((p_asof-E342)&gt;-8,"Rappel courtois avant l'échéance","Aucune action"),IF((p_asof-E342)&lt;=15,"Relance 1 : e-mail de rappel",IF((p_asof-E342)&lt;=30,"Relance 2 : appel téléphonique",IF((p_asof-E342)&lt;=60,"Relance 3 : lettre de relance",IF((p_asof-E342)&lt;=90,"Mise en demeure (recommandé)","Contentieux : injonction de payer")))))))</f>
        <v/>
      </c>
      <c r="M342" t="str">
        <f>IFERROR(MATCH(311,fa_rank,0),"")</f>
        <v/>
      </c>
    </row>
    <row r="343">
      <c r="B343" s="78" t="str">
        <f>IF($M343="","",INDEX(fa_num,$M343)&amp;"")</f>
        <v/>
      </c>
      <c r="C343" s="79" t="str">
        <f>IF($M343="","",INDEX(fa_cname,$M343)&amp;"")</f>
        <v/>
      </c>
      <c r="D343" s="56" t="str">
        <f>IF($M343="","",INDEX(fa_date,$M343))</f>
        <v/>
      </c>
      <c r="E343" s="56" t="str">
        <f>IF($M343="","",INDEX(fa_due,$M343))</f>
        <v/>
      </c>
      <c r="F343" s="75" t="str">
        <f>IF($M343="","",INDEX(fa_ttc,$M343))</f>
        <v/>
      </c>
      <c r="G343" s="75" t="str">
        <f>IF($M343="","",INDEX(fa_paid,$M343)+INDEX(fa_avoirs,$M343))</f>
        <v/>
      </c>
      <c r="H343" s="75" t="str">
        <f>IF($M343="","",INDEX(fa_reste,$M343))</f>
        <v/>
      </c>
      <c r="I343" s="58" t="str">
        <f>IF($M343="","",MAX(0,p_asof-E343))</f>
        <v/>
      </c>
      <c r="J343" s="78" t="str">
        <f>IF($M343="","",INDEX(fa_tranche,$M343)&amp;"")</f>
        <v/>
      </c>
      <c r="K343" s="56" t="str">
        <f>IF($M343="","",IF(ISNUMBER(INDEX(fa_relance,$M343)),INDEX(fa_relance,$M343),""))</f>
        <v/>
      </c>
      <c r="L343" s="79" t="str">
        <f>IF($M343="","",IF(AND(ISNUMBER(K343),(p_asof-E343)&gt;0,(p_asof-N(K343))&gt;=0,(p_asof-N(K343))&lt;7),"Déjà relancée il y a "&amp;(p_asof-N(K343))&amp;" j",IF((p_asof-E343)&lt;=0,IF((p_asof-E343)&gt;-8,"Rappel courtois avant l'échéance","Aucune action"),IF((p_asof-E343)&lt;=15,"Relance 1 : e-mail de rappel",IF((p_asof-E343)&lt;=30,"Relance 2 : appel téléphonique",IF((p_asof-E343)&lt;=60,"Relance 3 : lettre de relance",IF((p_asof-E343)&lt;=90,"Mise en demeure (recommandé)","Contentieux : injonction de payer")))))))</f>
        <v/>
      </c>
      <c r="M343" t="str">
        <f>IFERROR(MATCH(312,fa_rank,0),"")</f>
        <v/>
      </c>
    </row>
    <row r="344">
      <c r="B344" s="78" t="str">
        <f>IF($M344="","",INDEX(fa_num,$M344)&amp;"")</f>
        <v/>
      </c>
      <c r="C344" s="79" t="str">
        <f>IF($M344="","",INDEX(fa_cname,$M344)&amp;"")</f>
        <v/>
      </c>
      <c r="D344" s="56" t="str">
        <f>IF($M344="","",INDEX(fa_date,$M344))</f>
        <v/>
      </c>
      <c r="E344" s="56" t="str">
        <f>IF($M344="","",INDEX(fa_due,$M344))</f>
        <v/>
      </c>
      <c r="F344" s="75" t="str">
        <f>IF($M344="","",INDEX(fa_ttc,$M344))</f>
        <v/>
      </c>
      <c r="G344" s="75" t="str">
        <f>IF($M344="","",INDEX(fa_paid,$M344)+INDEX(fa_avoirs,$M344))</f>
        <v/>
      </c>
      <c r="H344" s="75" t="str">
        <f>IF($M344="","",INDEX(fa_reste,$M344))</f>
        <v/>
      </c>
      <c r="I344" s="58" t="str">
        <f>IF($M344="","",MAX(0,p_asof-E344))</f>
        <v/>
      </c>
      <c r="J344" s="78" t="str">
        <f>IF($M344="","",INDEX(fa_tranche,$M344)&amp;"")</f>
        <v/>
      </c>
      <c r="K344" s="56" t="str">
        <f>IF($M344="","",IF(ISNUMBER(INDEX(fa_relance,$M344)),INDEX(fa_relance,$M344),""))</f>
        <v/>
      </c>
      <c r="L344" s="79" t="str">
        <f>IF($M344="","",IF(AND(ISNUMBER(K344),(p_asof-E344)&gt;0,(p_asof-N(K344))&gt;=0,(p_asof-N(K344))&lt;7),"Déjà relancée il y a "&amp;(p_asof-N(K344))&amp;" j",IF((p_asof-E344)&lt;=0,IF((p_asof-E344)&gt;-8,"Rappel courtois avant l'échéance","Aucune action"),IF((p_asof-E344)&lt;=15,"Relance 1 : e-mail de rappel",IF((p_asof-E344)&lt;=30,"Relance 2 : appel téléphonique",IF((p_asof-E344)&lt;=60,"Relance 3 : lettre de relance",IF((p_asof-E344)&lt;=90,"Mise en demeure (recommandé)","Contentieux : injonction de payer")))))))</f>
        <v/>
      </c>
      <c r="M344" t="str">
        <f>IFERROR(MATCH(313,fa_rank,0),"")</f>
        <v/>
      </c>
    </row>
    <row r="345">
      <c r="B345" s="78" t="str">
        <f>IF($M345="","",INDEX(fa_num,$M345)&amp;"")</f>
        <v/>
      </c>
      <c r="C345" s="79" t="str">
        <f>IF($M345="","",INDEX(fa_cname,$M345)&amp;"")</f>
        <v/>
      </c>
      <c r="D345" s="56" t="str">
        <f>IF($M345="","",INDEX(fa_date,$M345))</f>
        <v/>
      </c>
      <c r="E345" s="56" t="str">
        <f>IF($M345="","",INDEX(fa_due,$M345))</f>
        <v/>
      </c>
      <c r="F345" s="75" t="str">
        <f>IF($M345="","",INDEX(fa_ttc,$M345))</f>
        <v/>
      </c>
      <c r="G345" s="75" t="str">
        <f>IF($M345="","",INDEX(fa_paid,$M345)+INDEX(fa_avoirs,$M345))</f>
        <v/>
      </c>
      <c r="H345" s="75" t="str">
        <f>IF($M345="","",INDEX(fa_reste,$M345))</f>
        <v/>
      </c>
      <c r="I345" s="58" t="str">
        <f>IF($M345="","",MAX(0,p_asof-E345))</f>
        <v/>
      </c>
      <c r="J345" s="78" t="str">
        <f>IF($M345="","",INDEX(fa_tranche,$M345)&amp;"")</f>
        <v/>
      </c>
      <c r="K345" s="56" t="str">
        <f>IF($M345="","",IF(ISNUMBER(INDEX(fa_relance,$M345)),INDEX(fa_relance,$M345),""))</f>
        <v/>
      </c>
      <c r="L345" s="79" t="str">
        <f>IF($M345="","",IF(AND(ISNUMBER(K345),(p_asof-E345)&gt;0,(p_asof-N(K345))&gt;=0,(p_asof-N(K345))&lt;7),"Déjà relancée il y a "&amp;(p_asof-N(K345))&amp;" j",IF((p_asof-E345)&lt;=0,IF((p_asof-E345)&gt;-8,"Rappel courtois avant l'échéance","Aucune action"),IF((p_asof-E345)&lt;=15,"Relance 1 : e-mail de rappel",IF((p_asof-E345)&lt;=30,"Relance 2 : appel téléphonique",IF((p_asof-E345)&lt;=60,"Relance 3 : lettre de relance",IF((p_asof-E345)&lt;=90,"Mise en demeure (recommandé)","Contentieux : injonction de payer")))))))</f>
        <v/>
      </c>
      <c r="M345" t="str">
        <f>IFERROR(MATCH(314,fa_rank,0),"")</f>
        <v/>
      </c>
    </row>
    <row r="346">
      <c r="B346" s="78" t="str">
        <f>IF($M346="","",INDEX(fa_num,$M346)&amp;"")</f>
        <v/>
      </c>
      <c r="C346" s="79" t="str">
        <f>IF($M346="","",INDEX(fa_cname,$M346)&amp;"")</f>
        <v/>
      </c>
      <c r="D346" s="56" t="str">
        <f>IF($M346="","",INDEX(fa_date,$M346))</f>
        <v/>
      </c>
      <c r="E346" s="56" t="str">
        <f>IF($M346="","",INDEX(fa_due,$M346))</f>
        <v/>
      </c>
      <c r="F346" s="75" t="str">
        <f>IF($M346="","",INDEX(fa_ttc,$M346))</f>
        <v/>
      </c>
      <c r="G346" s="75" t="str">
        <f>IF($M346="","",INDEX(fa_paid,$M346)+INDEX(fa_avoirs,$M346))</f>
        <v/>
      </c>
      <c r="H346" s="75" t="str">
        <f>IF($M346="","",INDEX(fa_reste,$M346))</f>
        <v/>
      </c>
      <c r="I346" s="58" t="str">
        <f>IF($M346="","",MAX(0,p_asof-E346))</f>
        <v/>
      </c>
      <c r="J346" s="78" t="str">
        <f>IF($M346="","",INDEX(fa_tranche,$M346)&amp;"")</f>
        <v/>
      </c>
      <c r="K346" s="56" t="str">
        <f>IF($M346="","",IF(ISNUMBER(INDEX(fa_relance,$M346)),INDEX(fa_relance,$M346),""))</f>
        <v/>
      </c>
      <c r="L346" s="79" t="str">
        <f>IF($M346="","",IF(AND(ISNUMBER(K346),(p_asof-E346)&gt;0,(p_asof-N(K346))&gt;=0,(p_asof-N(K346))&lt;7),"Déjà relancée il y a "&amp;(p_asof-N(K346))&amp;" j",IF((p_asof-E346)&lt;=0,IF((p_asof-E346)&gt;-8,"Rappel courtois avant l'échéance","Aucune action"),IF((p_asof-E346)&lt;=15,"Relance 1 : e-mail de rappel",IF((p_asof-E346)&lt;=30,"Relance 2 : appel téléphonique",IF((p_asof-E346)&lt;=60,"Relance 3 : lettre de relance",IF((p_asof-E346)&lt;=90,"Mise en demeure (recommandé)","Contentieux : injonction de payer")))))))</f>
        <v/>
      </c>
      <c r="M346" t="str">
        <f>IFERROR(MATCH(315,fa_rank,0),"")</f>
        <v/>
      </c>
    </row>
    <row r="347">
      <c r="B347" s="78" t="str">
        <f>IF($M347="","",INDEX(fa_num,$M347)&amp;"")</f>
        <v/>
      </c>
      <c r="C347" s="79" t="str">
        <f>IF($M347="","",INDEX(fa_cname,$M347)&amp;"")</f>
        <v/>
      </c>
      <c r="D347" s="56" t="str">
        <f>IF($M347="","",INDEX(fa_date,$M347))</f>
        <v/>
      </c>
      <c r="E347" s="56" t="str">
        <f>IF($M347="","",INDEX(fa_due,$M347))</f>
        <v/>
      </c>
      <c r="F347" s="75" t="str">
        <f>IF($M347="","",INDEX(fa_ttc,$M347))</f>
        <v/>
      </c>
      <c r="G347" s="75" t="str">
        <f>IF($M347="","",INDEX(fa_paid,$M347)+INDEX(fa_avoirs,$M347))</f>
        <v/>
      </c>
      <c r="H347" s="75" t="str">
        <f>IF($M347="","",INDEX(fa_reste,$M347))</f>
        <v/>
      </c>
      <c r="I347" s="58" t="str">
        <f>IF($M347="","",MAX(0,p_asof-E347))</f>
        <v/>
      </c>
      <c r="J347" s="78" t="str">
        <f>IF($M347="","",INDEX(fa_tranche,$M347)&amp;"")</f>
        <v/>
      </c>
      <c r="K347" s="56" t="str">
        <f>IF($M347="","",IF(ISNUMBER(INDEX(fa_relance,$M347)),INDEX(fa_relance,$M347),""))</f>
        <v/>
      </c>
      <c r="L347" s="79" t="str">
        <f>IF($M347="","",IF(AND(ISNUMBER(K347),(p_asof-E347)&gt;0,(p_asof-N(K347))&gt;=0,(p_asof-N(K347))&lt;7),"Déjà relancée il y a "&amp;(p_asof-N(K347))&amp;" j",IF((p_asof-E347)&lt;=0,IF((p_asof-E347)&gt;-8,"Rappel courtois avant l'échéance","Aucune action"),IF((p_asof-E347)&lt;=15,"Relance 1 : e-mail de rappel",IF((p_asof-E347)&lt;=30,"Relance 2 : appel téléphonique",IF((p_asof-E347)&lt;=60,"Relance 3 : lettre de relance",IF((p_asof-E347)&lt;=90,"Mise en demeure (recommandé)","Contentieux : injonction de payer")))))))</f>
        <v/>
      </c>
      <c r="M347" t="str">
        <f>IFERROR(MATCH(316,fa_rank,0),"")</f>
        <v/>
      </c>
    </row>
    <row r="348">
      <c r="B348" s="78" t="str">
        <f>IF($M348="","",INDEX(fa_num,$M348)&amp;"")</f>
        <v/>
      </c>
      <c r="C348" s="79" t="str">
        <f>IF($M348="","",INDEX(fa_cname,$M348)&amp;"")</f>
        <v/>
      </c>
      <c r="D348" s="56" t="str">
        <f>IF($M348="","",INDEX(fa_date,$M348))</f>
        <v/>
      </c>
      <c r="E348" s="56" t="str">
        <f>IF($M348="","",INDEX(fa_due,$M348))</f>
        <v/>
      </c>
      <c r="F348" s="75" t="str">
        <f>IF($M348="","",INDEX(fa_ttc,$M348))</f>
        <v/>
      </c>
      <c r="G348" s="75" t="str">
        <f>IF($M348="","",INDEX(fa_paid,$M348)+INDEX(fa_avoirs,$M348))</f>
        <v/>
      </c>
      <c r="H348" s="75" t="str">
        <f>IF($M348="","",INDEX(fa_reste,$M348))</f>
        <v/>
      </c>
      <c r="I348" s="58" t="str">
        <f>IF($M348="","",MAX(0,p_asof-E348))</f>
        <v/>
      </c>
      <c r="J348" s="78" t="str">
        <f>IF($M348="","",INDEX(fa_tranche,$M348)&amp;"")</f>
        <v/>
      </c>
      <c r="K348" s="56" t="str">
        <f>IF($M348="","",IF(ISNUMBER(INDEX(fa_relance,$M348)),INDEX(fa_relance,$M348),""))</f>
        <v/>
      </c>
      <c r="L348" s="79" t="str">
        <f>IF($M348="","",IF(AND(ISNUMBER(K348),(p_asof-E348)&gt;0,(p_asof-N(K348))&gt;=0,(p_asof-N(K348))&lt;7),"Déjà relancée il y a "&amp;(p_asof-N(K348))&amp;" j",IF((p_asof-E348)&lt;=0,IF((p_asof-E348)&gt;-8,"Rappel courtois avant l'échéance","Aucune action"),IF((p_asof-E348)&lt;=15,"Relance 1 : e-mail de rappel",IF((p_asof-E348)&lt;=30,"Relance 2 : appel téléphonique",IF((p_asof-E348)&lt;=60,"Relance 3 : lettre de relance",IF((p_asof-E348)&lt;=90,"Mise en demeure (recommandé)","Contentieux : injonction de payer")))))))</f>
        <v/>
      </c>
      <c r="M348" t="str">
        <f>IFERROR(MATCH(317,fa_rank,0),"")</f>
        <v/>
      </c>
    </row>
    <row r="349">
      <c r="B349" s="78" t="str">
        <f>IF($M349="","",INDEX(fa_num,$M349)&amp;"")</f>
        <v/>
      </c>
      <c r="C349" s="79" t="str">
        <f>IF($M349="","",INDEX(fa_cname,$M349)&amp;"")</f>
        <v/>
      </c>
      <c r="D349" s="56" t="str">
        <f>IF($M349="","",INDEX(fa_date,$M349))</f>
        <v/>
      </c>
      <c r="E349" s="56" t="str">
        <f>IF($M349="","",INDEX(fa_due,$M349))</f>
        <v/>
      </c>
      <c r="F349" s="75" t="str">
        <f>IF($M349="","",INDEX(fa_ttc,$M349))</f>
        <v/>
      </c>
      <c r="G349" s="75" t="str">
        <f>IF($M349="","",INDEX(fa_paid,$M349)+INDEX(fa_avoirs,$M349))</f>
        <v/>
      </c>
      <c r="H349" s="75" t="str">
        <f>IF($M349="","",INDEX(fa_reste,$M349))</f>
        <v/>
      </c>
      <c r="I349" s="58" t="str">
        <f>IF($M349="","",MAX(0,p_asof-E349))</f>
        <v/>
      </c>
      <c r="J349" s="78" t="str">
        <f>IF($M349="","",INDEX(fa_tranche,$M349)&amp;"")</f>
        <v/>
      </c>
      <c r="K349" s="56" t="str">
        <f>IF($M349="","",IF(ISNUMBER(INDEX(fa_relance,$M349)),INDEX(fa_relance,$M349),""))</f>
        <v/>
      </c>
      <c r="L349" s="79" t="str">
        <f>IF($M349="","",IF(AND(ISNUMBER(K349),(p_asof-E349)&gt;0,(p_asof-N(K349))&gt;=0,(p_asof-N(K349))&lt;7),"Déjà relancée il y a "&amp;(p_asof-N(K349))&amp;" j",IF((p_asof-E349)&lt;=0,IF((p_asof-E349)&gt;-8,"Rappel courtois avant l'échéance","Aucune action"),IF((p_asof-E349)&lt;=15,"Relance 1 : e-mail de rappel",IF((p_asof-E349)&lt;=30,"Relance 2 : appel téléphonique",IF((p_asof-E349)&lt;=60,"Relance 3 : lettre de relance",IF((p_asof-E349)&lt;=90,"Mise en demeure (recommandé)","Contentieux : injonction de payer")))))))</f>
        <v/>
      </c>
      <c r="M349" t="str">
        <f>IFERROR(MATCH(318,fa_rank,0),"")</f>
        <v/>
      </c>
    </row>
    <row r="350">
      <c r="B350" s="78" t="str">
        <f>IF($M350="","",INDEX(fa_num,$M350)&amp;"")</f>
        <v/>
      </c>
      <c r="C350" s="79" t="str">
        <f>IF($M350="","",INDEX(fa_cname,$M350)&amp;"")</f>
        <v/>
      </c>
      <c r="D350" s="56" t="str">
        <f>IF($M350="","",INDEX(fa_date,$M350))</f>
        <v/>
      </c>
      <c r="E350" s="56" t="str">
        <f>IF($M350="","",INDEX(fa_due,$M350))</f>
        <v/>
      </c>
      <c r="F350" s="75" t="str">
        <f>IF($M350="","",INDEX(fa_ttc,$M350))</f>
        <v/>
      </c>
      <c r="G350" s="75" t="str">
        <f>IF($M350="","",INDEX(fa_paid,$M350)+INDEX(fa_avoirs,$M350))</f>
        <v/>
      </c>
      <c r="H350" s="75" t="str">
        <f>IF($M350="","",INDEX(fa_reste,$M350))</f>
        <v/>
      </c>
      <c r="I350" s="58" t="str">
        <f>IF($M350="","",MAX(0,p_asof-E350))</f>
        <v/>
      </c>
      <c r="J350" s="78" t="str">
        <f>IF($M350="","",INDEX(fa_tranche,$M350)&amp;"")</f>
        <v/>
      </c>
      <c r="K350" s="56" t="str">
        <f>IF($M350="","",IF(ISNUMBER(INDEX(fa_relance,$M350)),INDEX(fa_relance,$M350),""))</f>
        <v/>
      </c>
      <c r="L350" s="79" t="str">
        <f>IF($M350="","",IF(AND(ISNUMBER(K350),(p_asof-E350)&gt;0,(p_asof-N(K350))&gt;=0,(p_asof-N(K350))&lt;7),"Déjà relancée il y a "&amp;(p_asof-N(K350))&amp;" j",IF((p_asof-E350)&lt;=0,IF((p_asof-E350)&gt;-8,"Rappel courtois avant l'échéance","Aucune action"),IF((p_asof-E350)&lt;=15,"Relance 1 : e-mail de rappel",IF((p_asof-E350)&lt;=30,"Relance 2 : appel téléphonique",IF((p_asof-E350)&lt;=60,"Relance 3 : lettre de relance",IF((p_asof-E350)&lt;=90,"Mise en demeure (recommandé)","Contentieux : injonction de payer")))))))</f>
        <v/>
      </c>
      <c r="M350" t="str">
        <f>IFERROR(MATCH(319,fa_rank,0),"")</f>
        <v/>
      </c>
    </row>
    <row r="351">
      <c r="B351" s="78" t="str">
        <f>IF($M351="","",INDEX(fa_num,$M351)&amp;"")</f>
        <v/>
      </c>
      <c r="C351" s="79" t="str">
        <f>IF($M351="","",INDEX(fa_cname,$M351)&amp;"")</f>
        <v/>
      </c>
      <c r="D351" s="56" t="str">
        <f>IF($M351="","",INDEX(fa_date,$M351))</f>
        <v/>
      </c>
      <c r="E351" s="56" t="str">
        <f>IF($M351="","",INDEX(fa_due,$M351))</f>
        <v/>
      </c>
      <c r="F351" s="75" t="str">
        <f>IF($M351="","",INDEX(fa_ttc,$M351))</f>
        <v/>
      </c>
      <c r="G351" s="75" t="str">
        <f>IF($M351="","",INDEX(fa_paid,$M351)+INDEX(fa_avoirs,$M351))</f>
        <v/>
      </c>
      <c r="H351" s="75" t="str">
        <f>IF($M351="","",INDEX(fa_reste,$M351))</f>
        <v/>
      </c>
      <c r="I351" s="58" t="str">
        <f>IF($M351="","",MAX(0,p_asof-E351))</f>
        <v/>
      </c>
      <c r="J351" s="78" t="str">
        <f>IF($M351="","",INDEX(fa_tranche,$M351)&amp;"")</f>
        <v/>
      </c>
      <c r="K351" s="56" t="str">
        <f>IF($M351="","",IF(ISNUMBER(INDEX(fa_relance,$M351)),INDEX(fa_relance,$M351),""))</f>
        <v/>
      </c>
      <c r="L351" s="79" t="str">
        <f>IF($M351="","",IF(AND(ISNUMBER(K351),(p_asof-E351)&gt;0,(p_asof-N(K351))&gt;=0,(p_asof-N(K351))&lt;7),"Déjà relancée il y a "&amp;(p_asof-N(K351))&amp;" j",IF((p_asof-E351)&lt;=0,IF((p_asof-E351)&gt;-8,"Rappel courtois avant l'échéance","Aucune action"),IF((p_asof-E351)&lt;=15,"Relance 1 : e-mail de rappel",IF((p_asof-E351)&lt;=30,"Relance 2 : appel téléphonique",IF((p_asof-E351)&lt;=60,"Relance 3 : lettre de relance",IF((p_asof-E351)&lt;=90,"Mise en demeure (recommandé)","Contentieux : injonction de payer")))))))</f>
        <v/>
      </c>
      <c r="M351" t="str">
        <f>IFERROR(MATCH(320,fa_rank,0),"")</f>
        <v/>
      </c>
    </row>
    <row r="352">
      <c r="B352" s="78" t="str">
        <f>IF($M352="","",INDEX(fa_num,$M352)&amp;"")</f>
        <v/>
      </c>
      <c r="C352" s="79" t="str">
        <f>IF($M352="","",INDEX(fa_cname,$M352)&amp;"")</f>
        <v/>
      </c>
      <c r="D352" s="56" t="str">
        <f>IF($M352="","",INDEX(fa_date,$M352))</f>
        <v/>
      </c>
      <c r="E352" s="56" t="str">
        <f>IF($M352="","",INDEX(fa_due,$M352))</f>
        <v/>
      </c>
      <c r="F352" s="75" t="str">
        <f>IF($M352="","",INDEX(fa_ttc,$M352))</f>
        <v/>
      </c>
      <c r="G352" s="75" t="str">
        <f>IF($M352="","",INDEX(fa_paid,$M352)+INDEX(fa_avoirs,$M352))</f>
        <v/>
      </c>
      <c r="H352" s="75" t="str">
        <f>IF($M352="","",INDEX(fa_reste,$M352))</f>
        <v/>
      </c>
      <c r="I352" s="58" t="str">
        <f>IF($M352="","",MAX(0,p_asof-E352))</f>
        <v/>
      </c>
      <c r="J352" s="78" t="str">
        <f>IF($M352="","",INDEX(fa_tranche,$M352)&amp;"")</f>
        <v/>
      </c>
      <c r="K352" s="56" t="str">
        <f>IF($M352="","",IF(ISNUMBER(INDEX(fa_relance,$M352)),INDEX(fa_relance,$M352),""))</f>
        <v/>
      </c>
      <c r="L352" s="79" t="str">
        <f>IF($M352="","",IF(AND(ISNUMBER(K352),(p_asof-E352)&gt;0,(p_asof-N(K352))&gt;=0,(p_asof-N(K352))&lt;7),"Déjà relancée il y a "&amp;(p_asof-N(K352))&amp;" j",IF((p_asof-E352)&lt;=0,IF((p_asof-E352)&gt;-8,"Rappel courtois avant l'échéance","Aucune action"),IF((p_asof-E352)&lt;=15,"Relance 1 : e-mail de rappel",IF((p_asof-E352)&lt;=30,"Relance 2 : appel téléphonique",IF((p_asof-E352)&lt;=60,"Relance 3 : lettre de relance",IF((p_asof-E352)&lt;=90,"Mise en demeure (recommandé)","Contentieux : injonction de payer")))))))</f>
        <v/>
      </c>
      <c r="M352" t="str">
        <f>IFERROR(MATCH(321,fa_rank,0),"")</f>
        <v/>
      </c>
    </row>
    <row r="353">
      <c r="B353" s="78" t="str">
        <f>IF($M353="","",INDEX(fa_num,$M353)&amp;"")</f>
        <v/>
      </c>
      <c r="C353" s="79" t="str">
        <f>IF($M353="","",INDEX(fa_cname,$M353)&amp;"")</f>
        <v/>
      </c>
      <c r="D353" s="56" t="str">
        <f>IF($M353="","",INDEX(fa_date,$M353))</f>
        <v/>
      </c>
      <c r="E353" s="56" t="str">
        <f>IF($M353="","",INDEX(fa_due,$M353))</f>
        <v/>
      </c>
      <c r="F353" s="75" t="str">
        <f>IF($M353="","",INDEX(fa_ttc,$M353))</f>
        <v/>
      </c>
      <c r="G353" s="75" t="str">
        <f>IF($M353="","",INDEX(fa_paid,$M353)+INDEX(fa_avoirs,$M353))</f>
        <v/>
      </c>
      <c r="H353" s="75" t="str">
        <f>IF($M353="","",INDEX(fa_reste,$M353))</f>
        <v/>
      </c>
      <c r="I353" s="58" t="str">
        <f>IF($M353="","",MAX(0,p_asof-E353))</f>
        <v/>
      </c>
      <c r="J353" s="78" t="str">
        <f>IF($M353="","",INDEX(fa_tranche,$M353)&amp;"")</f>
        <v/>
      </c>
      <c r="K353" s="56" t="str">
        <f>IF($M353="","",IF(ISNUMBER(INDEX(fa_relance,$M353)),INDEX(fa_relance,$M353),""))</f>
        <v/>
      </c>
      <c r="L353" s="79" t="str">
        <f>IF($M353="","",IF(AND(ISNUMBER(K353),(p_asof-E353)&gt;0,(p_asof-N(K353))&gt;=0,(p_asof-N(K353))&lt;7),"Déjà relancée il y a "&amp;(p_asof-N(K353))&amp;" j",IF((p_asof-E353)&lt;=0,IF((p_asof-E353)&gt;-8,"Rappel courtois avant l'échéance","Aucune action"),IF((p_asof-E353)&lt;=15,"Relance 1 : e-mail de rappel",IF((p_asof-E353)&lt;=30,"Relance 2 : appel téléphonique",IF((p_asof-E353)&lt;=60,"Relance 3 : lettre de relance",IF((p_asof-E353)&lt;=90,"Mise en demeure (recommandé)","Contentieux : injonction de payer")))))))</f>
        <v/>
      </c>
      <c r="M353" t="str">
        <f>IFERROR(MATCH(322,fa_rank,0),"")</f>
        <v/>
      </c>
    </row>
    <row r="354">
      <c r="B354" s="78" t="str">
        <f>IF($M354="","",INDEX(fa_num,$M354)&amp;"")</f>
        <v/>
      </c>
      <c r="C354" s="79" t="str">
        <f>IF($M354="","",INDEX(fa_cname,$M354)&amp;"")</f>
        <v/>
      </c>
      <c r="D354" s="56" t="str">
        <f>IF($M354="","",INDEX(fa_date,$M354))</f>
        <v/>
      </c>
      <c r="E354" s="56" t="str">
        <f>IF($M354="","",INDEX(fa_due,$M354))</f>
        <v/>
      </c>
      <c r="F354" s="75" t="str">
        <f>IF($M354="","",INDEX(fa_ttc,$M354))</f>
        <v/>
      </c>
      <c r="G354" s="75" t="str">
        <f>IF($M354="","",INDEX(fa_paid,$M354)+INDEX(fa_avoirs,$M354))</f>
        <v/>
      </c>
      <c r="H354" s="75" t="str">
        <f>IF($M354="","",INDEX(fa_reste,$M354))</f>
        <v/>
      </c>
      <c r="I354" s="58" t="str">
        <f>IF($M354="","",MAX(0,p_asof-E354))</f>
        <v/>
      </c>
      <c r="J354" s="78" t="str">
        <f>IF($M354="","",INDEX(fa_tranche,$M354)&amp;"")</f>
        <v/>
      </c>
      <c r="K354" s="56" t="str">
        <f>IF($M354="","",IF(ISNUMBER(INDEX(fa_relance,$M354)),INDEX(fa_relance,$M354),""))</f>
        <v/>
      </c>
      <c r="L354" s="79" t="str">
        <f>IF($M354="","",IF(AND(ISNUMBER(K354),(p_asof-E354)&gt;0,(p_asof-N(K354))&gt;=0,(p_asof-N(K354))&lt;7),"Déjà relancée il y a "&amp;(p_asof-N(K354))&amp;" j",IF((p_asof-E354)&lt;=0,IF((p_asof-E354)&gt;-8,"Rappel courtois avant l'échéance","Aucune action"),IF((p_asof-E354)&lt;=15,"Relance 1 : e-mail de rappel",IF((p_asof-E354)&lt;=30,"Relance 2 : appel téléphonique",IF((p_asof-E354)&lt;=60,"Relance 3 : lettre de relance",IF((p_asof-E354)&lt;=90,"Mise en demeure (recommandé)","Contentieux : injonction de payer")))))))</f>
        <v/>
      </c>
      <c r="M354" t="str">
        <f>IFERROR(MATCH(323,fa_rank,0),"")</f>
        <v/>
      </c>
    </row>
    <row r="355">
      <c r="B355" s="78" t="str">
        <f>IF($M355="","",INDEX(fa_num,$M355)&amp;"")</f>
        <v/>
      </c>
      <c r="C355" s="79" t="str">
        <f>IF($M355="","",INDEX(fa_cname,$M355)&amp;"")</f>
        <v/>
      </c>
      <c r="D355" s="56" t="str">
        <f>IF($M355="","",INDEX(fa_date,$M355))</f>
        <v/>
      </c>
      <c r="E355" s="56" t="str">
        <f>IF($M355="","",INDEX(fa_due,$M355))</f>
        <v/>
      </c>
      <c r="F355" s="75" t="str">
        <f>IF($M355="","",INDEX(fa_ttc,$M355))</f>
        <v/>
      </c>
      <c r="G355" s="75" t="str">
        <f>IF($M355="","",INDEX(fa_paid,$M355)+INDEX(fa_avoirs,$M355))</f>
        <v/>
      </c>
      <c r="H355" s="75" t="str">
        <f>IF($M355="","",INDEX(fa_reste,$M355))</f>
        <v/>
      </c>
      <c r="I355" s="58" t="str">
        <f>IF($M355="","",MAX(0,p_asof-E355))</f>
        <v/>
      </c>
      <c r="J355" s="78" t="str">
        <f>IF($M355="","",INDEX(fa_tranche,$M355)&amp;"")</f>
        <v/>
      </c>
      <c r="K355" s="56" t="str">
        <f>IF($M355="","",IF(ISNUMBER(INDEX(fa_relance,$M355)),INDEX(fa_relance,$M355),""))</f>
        <v/>
      </c>
      <c r="L355" s="79" t="str">
        <f>IF($M355="","",IF(AND(ISNUMBER(K355),(p_asof-E355)&gt;0,(p_asof-N(K355))&gt;=0,(p_asof-N(K355))&lt;7),"Déjà relancée il y a "&amp;(p_asof-N(K355))&amp;" j",IF((p_asof-E355)&lt;=0,IF((p_asof-E355)&gt;-8,"Rappel courtois avant l'échéance","Aucune action"),IF((p_asof-E355)&lt;=15,"Relance 1 : e-mail de rappel",IF((p_asof-E355)&lt;=30,"Relance 2 : appel téléphonique",IF((p_asof-E355)&lt;=60,"Relance 3 : lettre de relance",IF((p_asof-E355)&lt;=90,"Mise en demeure (recommandé)","Contentieux : injonction de payer")))))))</f>
        <v/>
      </c>
      <c r="M355" t="str">
        <f>IFERROR(MATCH(324,fa_rank,0),"")</f>
        <v/>
      </c>
    </row>
    <row r="356">
      <c r="B356" s="78" t="str">
        <f>IF($M356="","",INDEX(fa_num,$M356)&amp;"")</f>
        <v/>
      </c>
      <c r="C356" s="79" t="str">
        <f>IF($M356="","",INDEX(fa_cname,$M356)&amp;"")</f>
        <v/>
      </c>
      <c r="D356" s="56" t="str">
        <f>IF($M356="","",INDEX(fa_date,$M356))</f>
        <v/>
      </c>
      <c r="E356" s="56" t="str">
        <f>IF($M356="","",INDEX(fa_due,$M356))</f>
        <v/>
      </c>
      <c r="F356" s="75" t="str">
        <f>IF($M356="","",INDEX(fa_ttc,$M356))</f>
        <v/>
      </c>
      <c r="G356" s="75" t="str">
        <f>IF($M356="","",INDEX(fa_paid,$M356)+INDEX(fa_avoirs,$M356))</f>
        <v/>
      </c>
      <c r="H356" s="75" t="str">
        <f>IF($M356="","",INDEX(fa_reste,$M356))</f>
        <v/>
      </c>
      <c r="I356" s="58" t="str">
        <f>IF($M356="","",MAX(0,p_asof-E356))</f>
        <v/>
      </c>
      <c r="J356" s="78" t="str">
        <f>IF($M356="","",INDEX(fa_tranche,$M356)&amp;"")</f>
        <v/>
      </c>
      <c r="K356" s="56" t="str">
        <f>IF($M356="","",IF(ISNUMBER(INDEX(fa_relance,$M356)),INDEX(fa_relance,$M356),""))</f>
        <v/>
      </c>
      <c r="L356" s="79" t="str">
        <f>IF($M356="","",IF(AND(ISNUMBER(K356),(p_asof-E356)&gt;0,(p_asof-N(K356))&gt;=0,(p_asof-N(K356))&lt;7),"Déjà relancée il y a "&amp;(p_asof-N(K356))&amp;" j",IF((p_asof-E356)&lt;=0,IF((p_asof-E356)&gt;-8,"Rappel courtois avant l'échéance","Aucune action"),IF((p_asof-E356)&lt;=15,"Relance 1 : e-mail de rappel",IF((p_asof-E356)&lt;=30,"Relance 2 : appel téléphonique",IF((p_asof-E356)&lt;=60,"Relance 3 : lettre de relance",IF((p_asof-E356)&lt;=90,"Mise en demeure (recommandé)","Contentieux : injonction de payer")))))))</f>
        <v/>
      </c>
      <c r="M356" t="str">
        <f>IFERROR(MATCH(325,fa_rank,0),"")</f>
        <v/>
      </c>
    </row>
    <row r="357">
      <c r="B357" s="78" t="str">
        <f>IF($M357="","",INDEX(fa_num,$M357)&amp;"")</f>
        <v/>
      </c>
      <c r="C357" s="79" t="str">
        <f>IF($M357="","",INDEX(fa_cname,$M357)&amp;"")</f>
        <v/>
      </c>
      <c r="D357" s="56" t="str">
        <f>IF($M357="","",INDEX(fa_date,$M357))</f>
        <v/>
      </c>
      <c r="E357" s="56" t="str">
        <f>IF($M357="","",INDEX(fa_due,$M357))</f>
        <v/>
      </c>
      <c r="F357" s="75" t="str">
        <f>IF($M357="","",INDEX(fa_ttc,$M357))</f>
        <v/>
      </c>
      <c r="G357" s="75" t="str">
        <f>IF($M357="","",INDEX(fa_paid,$M357)+INDEX(fa_avoirs,$M357))</f>
        <v/>
      </c>
      <c r="H357" s="75" t="str">
        <f>IF($M357="","",INDEX(fa_reste,$M357))</f>
        <v/>
      </c>
      <c r="I357" s="58" t="str">
        <f>IF($M357="","",MAX(0,p_asof-E357))</f>
        <v/>
      </c>
      <c r="J357" s="78" t="str">
        <f>IF($M357="","",INDEX(fa_tranche,$M357)&amp;"")</f>
        <v/>
      </c>
      <c r="K357" s="56" t="str">
        <f>IF($M357="","",IF(ISNUMBER(INDEX(fa_relance,$M357)),INDEX(fa_relance,$M357),""))</f>
        <v/>
      </c>
      <c r="L357" s="79" t="str">
        <f>IF($M357="","",IF(AND(ISNUMBER(K357),(p_asof-E357)&gt;0,(p_asof-N(K357))&gt;=0,(p_asof-N(K357))&lt;7),"Déjà relancée il y a "&amp;(p_asof-N(K357))&amp;" j",IF((p_asof-E357)&lt;=0,IF((p_asof-E357)&gt;-8,"Rappel courtois avant l'échéance","Aucune action"),IF((p_asof-E357)&lt;=15,"Relance 1 : e-mail de rappel",IF((p_asof-E357)&lt;=30,"Relance 2 : appel téléphonique",IF((p_asof-E357)&lt;=60,"Relance 3 : lettre de relance",IF((p_asof-E357)&lt;=90,"Mise en demeure (recommandé)","Contentieux : injonction de payer")))))))</f>
        <v/>
      </c>
      <c r="M357" t="str">
        <f>IFERROR(MATCH(326,fa_rank,0),"")</f>
        <v/>
      </c>
    </row>
    <row r="358">
      <c r="B358" s="78" t="str">
        <f>IF($M358="","",INDEX(fa_num,$M358)&amp;"")</f>
        <v/>
      </c>
      <c r="C358" s="79" t="str">
        <f>IF($M358="","",INDEX(fa_cname,$M358)&amp;"")</f>
        <v/>
      </c>
      <c r="D358" s="56" t="str">
        <f>IF($M358="","",INDEX(fa_date,$M358))</f>
        <v/>
      </c>
      <c r="E358" s="56" t="str">
        <f>IF($M358="","",INDEX(fa_due,$M358))</f>
        <v/>
      </c>
      <c r="F358" s="75" t="str">
        <f>IF($M358="","",INDEX(fa_ttc,$M358))</f>
        <v/>
      </c>
      <c r="G358" s="75" t="str">
        <f>IF($M358="","",INDEX(fa_paid,$M358)+INDEX(fa_avoirs,$M358))</f>
        <v/>
      </c>
      <c r="H358" s="75" t="str">
        <f>IF($M358="","",INDEX(fa_reste,$M358))</f>
        <v/>
      </c>
      <c r="I358" s="58" t="str">
        <f>IF($M358="","",MAX(0,p_asof-E358))</f>
        <v/>
      </c>
      <c r="J358" s="78" t="str">
        <f>IF($M358="","",INDEX(fa_tranche,$M358)&amp;"")</f>
        <v/>
      </c>
      <c r="K358" s="56" t="str">
        <f>IF($M358="","",IF(ISNUMBER(INDEX(fa_relance,$M358)),INDEX(fa_relance,$M358),""))</f>
        <v/>
      </c>
      <c r="L358" s="79" t="str">
        <f>IF($M358="","",IF(AND(ISNUMBER(K358),(p_asof-E358)&gt;0,(p_asof-N(K358))&gt;=0,(p_asof-N(K358))&lt;7),"Déjà relancée il y a "&amp;(p_asof-N(K358))&amp;" j",IF((p_asof-E358)&lt;=0,IF((p_asof-E358)&gt;-8,"Rappel courtois avant l'échéance","Aucune action"),IF((p_asof-E358)&lt;=15,"Relance 1 : e-mail de rappel",IF((p_asof-E358)&lt;=30,"Relance 2 : appel téléphonique",IF((p_asof-E358)&lt;=60,"Relance 3 : lettre de relance",IF((p_asof-E358)&lt;=90,"Mise en demeure (recommandé)","Contentieux : injonction de payer")))))))</f>
        <v/>
      </c>
      <c r="M358" t="str">
        <f>IFERROR(MATCH(327,fa_rank,0),"")</f>
        <v/>
      </c>
    </row>
    <row r="359">
      <c r="B359" s="78" t="str">
        <f>IF($M359="","",INDEX(fa_num,$M359)&amp;"")</f>
        <v/>
      </c>
      <c r="C359" s="79" t="str">
        <f>IF($M359="","",INDEX(fa_cname,$M359)&amp;"")</f>
        <v/>
      </c>
      <c r="D359" s="56" t="str">
        <f>IF($M359="","",INDEX(fa_date,$M359))</f>
        <v/>
      </c>
      <c r="E359" s="56" t="str">
        <f>IF($M359="","",INDEX(fa_due,$M359))</f>
        <v/>
      </c>
      <c r="F359" s="75" t="str">
        <f>IF($M359="","",INDEX(fa_ttc,$M359))</f>
        <v/>
      </c>
      <c r="G359" s="75" t="str">
        <f>IF($M359="","",INDEX(fa_paid,$M359)+INDEX(fa_avoirs,$M359))</f>
        <v/>
      </c>
      <c r="H359" s="75" t="str">
        <f>IF($M359="","",INDEX(fa_reste,$M359))</f>
        <v/>
      </c>
      <c r="I359" s="58" t="str">
        <f>IF($M359="","",MAX(0,p_asof-E359))</f>
        <v/>
      </c>
      <c r="J359" s="78" t="str">
        <f>IF($M359="","",INDEX(fa_tranche,$M359)&amp;"")</f>
        <v/>
      </c>
      <c r="K359" s="56" t="str">
        <f>IF($M359="","",IF(ISNUMBER(INDEX(fa_relance,$M359)),INDEX(fa_relance,$M359),""))</f>
        <v/>
      </c>
      <c r="L359" s="79" t="str">
        <f>IF($M359="","",IF(AND(ISNUMBER(K359),(p_asof-E359)&gt;0,(p_asof-N(K359))&gt;=0,(p_asof-N(K359))&lt;7),"Déjà relancée il y a "&amp;(p_asof-N(K359))&amp;" j",IF((p_asof-E359)&lt;=0,IF((p_asof-E359)&gt;-8,"Rappel courtois avant l'échéance","Aucune action"),IF((p_asof-E359)&lt;=15,"Relance 1 : e-mail de rappel",IF((p_asof-E359)&lt;=30,"Relance 2 : appel téléphonique",IF((p_asof-E359)&lt;=60,"Relance 3 : lettre de relance",IF((p_asof-E359)&lt;=90,"Mise en demeure (recommandé)","Contentieux : injonction de payer")))))))</f>
        <v/>
      </c>
      <c r="M359" t="str">
        <f>IFERROR(MATCH(328,fa_rank,0),"")</f>
        <v/>
      </c>
    </row>
    <row r="360">
      <c r="B360" s="78" t="str">
        <f>IF($M360="","",INDEX(fa_num,$M360)&amp;"")</f>
        <v/>
      </c>
      <c r="C360" s="79" t="str">
        <f>IF($M360="","",INDEX(fa_cname,$M360)&amp;"")</f>
        <v/>
      </c>
      <c r="D360" s="56" t="str">
        <f>IF($M360="","",INDEX(fa_date,$M360))</f>
        <v/>
      </c>
      <c r="E360" s="56" t="str">
        <f>IF($M360="","",INDEX(fa_due,$M360))</f>
        <v/>
      </c>
      <c r="F360" s="75" t="str">
        <f>IF($M360="","",INDEX(fa_ttc,$M360))</f>
        <v/>
      </c>
      <c r="G360" s="75" t="str">
        <f>IF($M360="","",INDEX(fa_paid,$M360)+INDEX(fa_avoirs,$M360))</f>
        <v/>
      </c>
      <c r="H360" s="75" t="str">
        <f>IF($M360="","",INDEX(fa_reste,$M360))</f>
        <v/>
      </c>
      <c r="I360" s="58" t="str">
        <f>IF($M360="","",MAX(0,p_asof-E360))</f>
        <v/>
      </c>
      <c r="J360" s="78" t="str">
        <f>IF($M360="","",INDEX(fa_tranche,$M360)&amp;"")</f>
        <v/>
      </c>
      <c r="K360" s="56" t="str">
        <f>IF($M360="","",IF(ISNUMBER(INDEX(fa_relance,$M360)),INDEX(fa_relance,$M360),""))</f>
        <v/>
      </c>
      <c r="L360" s="79" t="str">
        <f>IF($M360="","",IF(AND(ISNUMBER(K360),(p_asof-E360)&gt;0,(p_asof-N(K360))&gt;=0,(p_asof-N(K360))&lt;7),"Déjà relancée il y a "&amp;(p_asof-N(K360))&amp;" j",IF((p_asof-E360)&lt;=0,IF((p_asof-E360)&gt;-8,"Rappel courtois avant l'échéance","Aucune action"),IF((p_asof-E360)&lt;=15,"Relance 1 : e-mail de rappel",IF((p_asof-E360)&lt;=30,"Relance 2 : appel téléphonique",IF((p_asof-E360)&lt;=60,"Relance 3 : lettre de relance",IF((p_asof-E360)&lt;=90,"Mise en demeure (recommandé)","Contentieux : injonction de payer")))))))</f>
        <v/>
      </c>
      <c r="M360" t="str">
        <f>IFERROR(MATCH(329,fa_rank,0),"")</f>
        <v/>
      </c>
    </row>
    <row r="361">
      <c r="B361" s="78" t="str">
        <f>IF($M361="","",INDEX(fa_num,$M361)&amp;"")</f>
        <v/>
      </c>
      <c r="C361" s="79" t="str">
        <f>IF($M361="","",INDEX(fa_cname,$M361)&amp;"")</f>
        <v/>
      </c>
      <c r="D361" s="56" t="str">
        <f>IF($M361="","",INDEX(fa_date,$M361))</f>
        <v/>
      </c>
      <c r="E361" s="56" t="str">
        <f>IF($M361="","",INDEX(fa_due,$M361))</f>
        <v/>
      </c>
      <c r="F361" s="75" t="str">
        <f>IF($M361="","",INDEX(fa_ttc,$M361))</f>
        <v/>
      </c>
      <c r="G361" s="75" t="str">
        <f>IF($M361="","",INDEX(fa_paid,$M361)+INDEX(fa_avoirs,$M361))</f>
        <v/>
      </c>
      <c r="H361" s="75" t="str">
        <f>IF($M361="","",INDEX(fa_reste,$M361))</f>
        <v/>
      </c>
      <c r="I361" s="58" t="str">
        <f>IF($M361="","",MAX(0,p_asof-E361))</f>
        <v/>
      </c>
      <c r="J361" s="78" t="str">
        <f>IF($M361="","",INDEX(fa_tranche,$M361)&amp;"")</f>
        <v/>
      </c>
      <c r="K361" s="56" t="str">
        <f>IF($M361="","",IF(ISNUMBER(INDEX(fa_relance,$M361)),INDEX(fa_relance,$M361),""))</f>
        <v/>
      </c>
      <c r="L361" s="79" t="str">
        <f>IF($M361="","",IF(AND(ISNUMBER(K361),(p_asof-E361)&gt;0,(p_asof-N(K361))&gt;=0,(p_asof-N(K361))&lt;7),"Déjà relancée il y a "&amp;(p_asof-N(K361))&amp;" j",IF((p_asof-E361)&lt;=0,IF((p_asof-E361)&gt;-8,"Rappel courtois avant l'échéance","Aucune action"),IF((p_asof-E361)&lt;=15,"Relance 1 : e-mail de rappel",IF((p_asof-E361)&lt;=30,"Relance 2 : appel téléphonique",IF((p_asof-E361)&lt;=60,"Relance 3 : lettre de relance",IF((p_asof-E361)&lt;=90,"Mise en demeure (recommandé)","Contentieux : injonction de payer")))))))</f>
        <v/>
      </c>
      <c r="M361" t="str">
        <f>IFERROR(MATCH(330,fa_rank,0),"")</f>
        <v/>
      </c>
    </row>
    <row r="362">
      <c r="B362" s="78" t="str">
        <f>IF($M362="","",INDEX(fa_num,$M362)&amp;"")</f>
        <v/>
      </c>
      <c r="C362" s="79" t="str">
        <f>IF($M362="","",INDEX(fa_cname,$M362)&amp;"")</f>
        <v/>
      </c>
      <c r="D362" s="56" t="str">
        <f>IF($M362="","",INDEX(fa_date,$M362))</f>
        <v/>
      </c>
      <c r="E362" s="56" t="str">
        <f>IF($M362="","",INDEX(fa_due,$M362))</f>
        <v/>
      </c>
      <c r="F362" s="75" t="str">
        <f>IF($M362="","",INDEX(fa_ttc,$M362))</f>
        <v/>
      </c>
      <c r="G362" s="75" t="str">
        <f>IF($M362="","",INDEX(fa_paid,$M362)+INDEX(fa_avoirs,$M362))</f>
        <v/>
      </c>
      <c r="H362" s="75" t="str">
        <f>IF($M362="","",INDEX(fa_reste,$M362))</f>
        <v/>
      </c>
      <c r="I362" s="58" t="str">
        <f>IF($M362="","",MAX(0,p_asof-E362))</f>
        <v/>
      </c>
      <c r="J362" s="78" t="str">
        <f>IF($M362="","",INDEX(fa_tranche,$M362)&amp;"")</f>
        <v/>
      </c>
      <c r="K362" s="56" t="str">
        <f>IF($M362="","",IF(ISNUMBER(INDEX(fa_relance,$M362)),INDEX(fa_relance,$M362),""))</f>
        <v/>
      </c>
      <c r="L362" s="79" t="str">
        <f>IF($M362="","",IF(AND(ISNUMBER(K362),(p_asof-E362)&gt;0,(p_asof-N(K362))&gt;=0,(p_asof-N(K362))&lt;7),"Déjà relancée il y a "&amp;(p_asof-N(K362))&amp;" j",IF((p_asof-E362)&lt;=0,IF((p_asof-E362)&gt;-8,"Rappel courtois avant l'échéance","Aucune action"),IF((p_asof-E362)&lt;=15,"Relance 1 : e-mail de rappel",IF((p_asof-E362)&lt;=30,"Relance 2 : appel téléphonique",IF((p_asof-E362)&lt;=60,"Relance 3 : lettre de relance",IF((p_asof-E362)&lt;=90,"Mise en demeure (recommandé)","Contentieux : injonction de payer")))))))</f>
        <v/>
      </c>
      <c r="M362" t="str">
        <f>IFERROR(MATCH(331,fa_rank,0),"")</f>
        <v/>
      </c>
    </row>
    <row r="363">
      <c r="B363" s="78" t="str">
        <f>IF($M363="","",INDEX(fa_num,$M363)&amp;"")</f>
        <v/>
      </c>
      <c r="C363" s="79" t="str">
        <f>IF($M363="","",INDEX(fa_cname,$M363)&amp;"")</f>
        <v/>
      </c>
      <c r="D363" s="56" t="str">
        <f>IF($M363="","",INDEX(fa_date,$M363))</f>
        <v/>
      </c>
      <c r="E363" s="56" t="str">
        <f>IF($M363="","",INDEX(fa_due,$M363))</f>
        <v/>
      </c>
      <c r="F363" s="75" t="str">
        <f>IF($M363="","",INDEX(fa_ttc,$M363))</f>
        <v/>
      </c>
      <c r="G363" s="75" t="str">
        <f>IF($M363="","",INDEX(fa_paid,$M363)+INDEX(fa_avoirs,$M363))</f>
        <v/>
      </c>
      <c r="H363" s="75" t="str">
        <f>IF($M363="","",INDEX(fa_reste,$M363))</f>
        <v/>
      </c>
      <c r="I363" s="58" t="str">
        <f>IF($M363="","",MAX(0,p_asof-E363))</f>
        <v/>
      </c>
      <c r="J363" s="78" t="str">
        <f>IF($M363="","",INDEX(fa_tranche,$M363)&amp;"")</f>
        <v/>
      </c>
      <c r="K363" s="56" t="str">
        <f>IF($M363="","",IF(ISNUMBER(INDEX(fa_relance,$M363)),INDEX(fa_relance,$M363),""))</f>
        <v/>
      </c>
      <c r="L363" s="79" t="str">
        <f>IF($M363="","",IF(AND(ISNUMBER(K363),(p_asof-E363)&gt;0,(p_asof-N(K363))&gt;=0,(p_asof-N(K363))&lt;7),"Déjà relancée il y a "&amp;(p_asof-N(K363))&amp;" j",IF((p_asof-E363)&lt;=0,IF((p_asof-E363)&gt;-8,"Rappel courtois avant l'échéance","Aucune action"),IF((p_asof-E363)&lt;=15,"Relance 1 : e-mail de rappel",IF((p_asof-E363)&lt;=30,"Relance 2 : appel téléphonique",IF((p_asof-E363)&lt;=60,"Relance 3 : lettre de relance",IF((p_asof-E363)&lt;=90,"Mise en demeure (recommandé)","Contentieux : injonction de payer")))))))</f>
        <v/>
      </c>
      <c r="M363" t="str">
        <f>IFERROR(MATCH(332,fa_rank,0),"")</f>
        <v/>
      </c>
    </row>
    <row r="364">
      <c r="B364" s="78" t="str">
        <f>IF($M364="","",INDEX(fa_num,$M364)&amp;"")</f>
        <v/>
      </c>
      <c r="C364" s="79" t="str">
        <f>IF($M364="","",INDEX(fa_cname,$M364)&amp;"")</f>
        <v/>
      </c>
      <c r="D364" s="56" t="str">
        <f>IF($M364="","",INDEX(fa_date,$M364))</f>
        <v/>
      </c>
      <c r="E364" s="56" t="str">
        <f>IF($M364="","",INDEX(fa_due,$M364))</f>
        <v/>
      </c>
      <c r="F364" s="75" t="str">
        <f>IF($M364="","",INDEX(fa_ttc,$M364))</f>
        <v/>
      </c>
      <c r="G364" s="75" t="str">
        <f>IF($M364="","",INDEX(fa_paid,$M364)+INDEX(fa_avoirs,$M364))</f>
        <v/>
      </c>
      <c r="H364" s="75" t="str">
        <f>IF($M364="","",INDEX(fa_reste,$M364))</f>
        <v/>
      </c>
      <c r="I364" s="58" t="str">
        <f>IF($M364="","",MAX(0,p_asof-E364))</f>
        <v/>
      </c>
      <c r="J364" s="78" t="str">
        <f>IF($M364="","",INDEX(fa_tranche,$M364)&amp;"")</f>
        <v/>
      </c>
      <c r="K364" s="56" t="str">
        <f>IF($M364="","",IF(ISNUMBER(INDEX(fa_relance,$M364)),INDEX(fa_relance,$M364),""))</f>
        <v/>
      </c>
      <c r="L364" s="79" t="str">
        <f>IF($M364="","",IF(AND(ISNUMBER(K364),(p_asof-E364)&gt;0,(p_asof-N(K364))&gt;=0,(p_asof-N(K364))&lt;7),"Déjà relancée il y a "&amp;(p_asof-N(K364))&amp;" j",IF((p_asof-E364)&lt;=0,IF((p_asof-E364)&gt;-8,"Rappel courtois avant l'échéance","Aucune action"),IF((p_asof-E364)&lt;=15,"Relance 1 : e-mail de rappel",IF((p_asof-E364)&lt;=30,"Relance 2 : appel téléphonique",IF((p_asof-E364)&lt;=60,"Relance 3 : lettre de relance",IF((p_asof-E364)&lt;=90,"Mise en demeure (recommandé)","Contentieux : injonction de payer")))))))</f>
        <v/>
      </c>
      <c r="M364" t="str">
        <f>IFERROR(MATCH(333,fa_rank,0),"")</f>
        <v/>
      </c>
    </row>
    <row r="365">
      <c r="B365" s="78" t="str">
        <f>IF($M365="","",INDEX(fa_num,$M365)&amp;"")</f>
        <v/>
      </c>
      <c r="C365" s="79" t="str">
        <f>IF($M365="","",INDEX(fa_cname,$M365)&amp;"")</f>
        <v/>
      </c>
      <c r="D365" s="56" t="str">
        <f>IF($M365="","",INDEX(fa_date,$M365))</f>
        <v/>
      </c>
      <c r="E365" s="56" t="str">
        <f>IF($M365="","",INDEX(fa_due,$M365))</f>
        <v/>
      </c>
      <c r="F365" s="75" t="str">
        <f>IF($M365="","",INDEX(fa_ttc,$M365))</f>
        <v/>
      </c>
      <c r="G365" s="75" t="str">
        <f>IF($M365="","",INDEX(fa_paid,$M365)+INDEX(fa_avoirs,$M365))</f>
        <v/>
      </c>
      <c r="H365" s="75" t="str">
        <f>IF($M365="","",INDEX(fa_reste,$M365))</f>
        <v/>
      </c>
      <c r="I365" s="58" t="str">
        <f>IF($M365="","",MAX(0,p_asof-E365))</f>
        <v/>
      </c>
      <c r="J365" s="78" t="str">
        <f>IF($M365="","",INDEX(fa_tranche,$M365)&amp;"")</f>
        <v/>
      </c>
      <c r="K365" s="56" t="str">
        <f>IF($M365="","",IF(ISNUMBER(INDEX(fa_relance,$M365)),INDEX(fa_relance,$M365),""))</f>
        <v/>
      </c>
      <c r="L365" s="79" t="str">
        <f>IF($M365="","",IF(AND(ISNUMBER(K365),(p_asof-E365)&gt;0,(p_asof-N(K365))&gt;=0,(p_asof-N(K365))&lt;7),"Déjà relancée il y a "&amp;(p_asof-N(K365))&amp;" j",IF((p_asof-E365)&lt;=0,IF((p_asof-E365)&gt;-8,"Rappel courtois avant l'échéance","Aucune action"),IF((p_asof-E365)&lt;=15,"Relance 1 : e-mail de rappel",IF((p_asof-E365)&lt;=30,"Relance 2 : appel téléphonique",IF((p_asof-E365)&lt;=60,"Relance 3 : lettre de relance",IF((p_asof-E365)&lt;=90,"Mise en demeure (recommandé)","Contentieux : injonction de payer")))))))</f>
        <v/>
      </c>
      <c r="M365" t="str">
        <f>IFERROR(MATCH(334,fa_rank,0),"")</f>
        <v/>
      </c>
    </row>
    <row r="366">
      <c r="B366" s="78" t="str">
        <f>IF($M366="","",INDEX(fa_num,$M366)&amp;"")</f>
        <v/>
      </c>
      <c r="C366" s="79" t="str">
        <f>IF($M366="","",INDEX(fa_cname,$M366)&amp;"")</f>
        <v/>
      </c>
      <c r="D366" s="56" t="str">
        <f>IF($M366="","",INDEX(fa_date,$M366))</f>
        <v/>
      </c>
      <c r="E366" s="56" t="str">
        <f>IF($M366="","",INDEX(fa_due,$M366))</f>
        <v/>
      </c>
      <c r="F366" s="75" t="str">
        <f>IF($M366="","",INDEX(fa_ttc,$M366))</f>
        <v/>
      </c>
      <c r="G366" s="75" t="str">
        <f>IF($M366="","",INDEX(fa_paid,$M366)+INDEX(fa_avoirs,$M366))</f>
        <v/>
      </c>
      <c r="H366" s="75" t="str">
        <f>IF($M366="","",INDEX(fa_reste,$M366))</f>
        <v/>
      </c>
      <c r="I366" s="58" t="str">
        <f>IF($M366="","",MAX(0,p_asof-E366))</f>
        <v/>
      </c>
      <c r="J366" s="78" t="str">
        <f>IF($M366="","",INDEX(fa_tranche,$M366)&amp;"")</f>
        <v/>
      </c>
      <c r="K366" s="56" t="str">
        <f>IF($M366="","",IF(ISNUMBER(INDEX(fa_relance,$M366)),INDEX(fa_relance,$M366),""))</f>
        <v/>
      </c>
      <c r="L366" s="79" t="str">
        <f>IF($M366="","",IF(AND(ISNUMBER(K366),(p_asof-E366)&gt;0,(p_asof-N(K366))&gt;=0,(p_asof-N(K366))&lt;7),"Déjà relancée il y a "&amp;(p_asof-N(K366))&amp;" j",IF((p_asof-E366)&lt;=0,IF((p_asof-E366)&gt;-8,"Rappel courtois avant l'échéance","Aucune action"),IF((p_asof-E366)&lt;=15,"Relance 1 : e-mail de rappel",IF((p_asof-E366)&lt;=30,"Relance 2 : appel téléphonique",IF((p_asof-E366)&lt;=60,"Relance 3 : lettre de relance",IF((p_asof-E366)&lt;=90,"Mise en demeure (recommandé)","Contentieux : injonction de payer")))))))</f>
        <v/>
      </c>
      <c r="M366" t="str">
        <f>IFERROR(MATCH(335,fa_rank,0),"")</f>
        <v/>
      </c>
    </row>
    <row r="367">
      <c r="B367" s="78" t="str">
        <f>IF($M367="","",INDEX(fa_num,$M367)&amp;"")</f>
        <v/>
      </c>
      <c r="C367" s="79" t="str">
        <f>IF($M367="","",INDEX(fa_cname,$M367)&amp;"")</f>
        <v/>
      </c>
      <c r="D367" s="56" t="str">
        <f>IF($M367="","",INDEX(fa_date,$M367))</f>
        <v/>
      </c>
      <c r="E367" s="56" t="str">
        <f>IF($M367="","",INDEX(fa_due,$M367))</f>
        <v/>
      </c>
      <c r="F367" s="75" t="str">
        <f>IF($M367="","",INDEX(fa_ttc,$M367))</f>
        <v/>
      </c>
      <c r="G367" s="75" t="str">
        <f>IF($M367="","",INDEX(fa_paid,$M367)+INDEX(fa_avoirs,$M367))</f>
        <v/>
      </c>
      <c r="H367" s="75" t="str">
        <f>IF($M367="","",INDEX(fa_reste,$M367))</f>
        <v/>
      </c>
      <c r="I367" s="58" t="str">
        <f>IF($M367="","",MAX(0,p_asof-E367))</f>
        <v/>
      </c>
      <c r="J367" s="78" t="str">
        <f>IF($M367="","",INDEX(fa_tranche,$M367)&amp;"")</f>
        <v/>
      </c>
      <c r="K367" s="56" t="str">
        <f>IF($M367="","",IF(ISNUMBER(INDEX(fa_relance,$M367)),INDEX(fa_relance,$M367),""))</f>
        <v/>
      </c>
      <c r="L367" s="79" t="str">
        <f>IF($M367="","",IF(AND(ISNUMBER(K367),(p_asof-E367)&gt;0,(p_asof-N(K367))&gt;=0,(p_asof-N(K367))&lt;7),"Déjà relancée il y a "&amp;(p_asof-N(K367))&amp;" j",IF((p_asof-E367)&lt;=0,IF((p_asof-E367)&gt;-8,"Rappel courtois avant l'échéance","Aucune action"),IF((p_asof-E367)&lt;=15,"Relance 1 : e-mail de rappel",IF((p_asof-E367)&lt;=30,"Relance 2 : appel téléphonique",IF((p_asof-E367)&lt;=60,"Relance 3 : lettre de relance",IF((p_asof-E367)&lt;=90,"Mise en demeure (recommandé)","Contentieux : injonction de payer")))))))</f>
        <v/>
      </c>
      <c r="M367" t="str">
        <f>IFERROR(MATCH(336,fa_rank,0),"")</f>
        <v/>
      </c>
    </row>
    <row r="368">
      <c r="B368" s="78" t="str">
        <f>IF($M368="","",INDEX(fa_num,$M368)&amp;"")</f>
        <v/>
      </c>
      <c r="C368" s="79" t="str">
        <f>IF($M368="","",INDEX(fa_cname,$M368)&amp;"")</f>
        <v/>
      </c>
      <c r="D368" s="56" t="str">
        <f>IF($M368="","",INDEX(fa_date,$M368))</f>
        <v/>
      </c>
      <c r="E368" s="56" t="str">
        <f>IF($M368="","",INDEX(fa_due,$M368))</f>
        <v/>
      </c>
      <c r="F368" s="75" t="str">
        <f>IF($M368="","",INDEX(fa_ttc,$M368))</f>
        <v/>
      </c>
      <c r="G368" s="75" t="str">
        <f>IF($M368="","",INDEX(fa_paid,$M368)+INDEX(fa_avoirs,$M368))</f>
        <v/>
      </c>
      <c r="H368" s="75" t="str">
        <f>IF($M368="","",INDEX(fa_reste,$M368))</f>
        <v/>
      </c>
      <c r="I368" s="58" t="str">
        <f>IF($M368="","",MAX(0,p_asof-E368))</f>
        <v/>
      </c>
      <c r="J368" s="78" t="str">
        <f>IF($M368="","",INDEX(fa_tranche,$M368)&amp;"")</f>
        <v/>
      </c>
      <c r="K368" s="56" t="str">
        <f>IF($M368="","",IF(ISNUMBER(INDEX(fa_relance,$M368)),INDEX(fa_relance,$M368),""))</f>
        <v/>
      </c>
      <c r="L368" s="79" t="str">
        <f>IF($M368="","",IF(AND(ISNUMBER(K368),(p_asof-E368)&gt;0,(p_asof-N(K368))&gt;=0,(p_asof-N(K368))&lt;7),"Déjà relancée il y a "&amp;(p_asof-N(K368))&amp;" j",IF((p_asof-E368)&lt;=0,IF((p_asof-E368)&gt;-8,"Rappel courtois avant l'échéance","Aucune action"),IF((p_asof-E368)&lt;=15,"Relance 1 : e-mail de rappel",IF((p_asof-E368)&lt;=30,"Relance 2 : appel téléphonique",IF((p_asof-E368)&lt;=60,"Relance 3 : lettre de relance",IF((p_asof-E368)&lt;=90,"Mise en demeure (recommandé)","Contentieux : injonction de payer")))))))</f>
        <v/>
      </c>
      <c r="M368" t="str">
        <f>IFERROR(MATCH(337,fa_rank,0),"")</f>
        <v/>
      </c>
    </row>
    <row r="369">
      <c r="B369" s="78" t="str">
        <f>IF($M369="","",INDEX(fa_num,$M369)&amp;"")</f>
        <v/>
      </c>
      <c r="C369" s="79" t="str">
        <f>IF($M369="","",INDEX(fa_cname,$M369)&amp;"")</f>
        <v/>
      </c>
      <c r="D369" s="56" t="str">
        <f>IF($M369="","",INDEX(fa_date,$M369))</f>
        <v/>
      </c>
      <c r="E369" s="56" t="str">
        <f>IF($M369="","",INDEX(fa_due,$M369))</f>
        <v/>
      </c>
      <c r="F369" s="75" t="str">
        <f>IF($M369="","",INDEX(fa_ttc,$M369))</f>
        <v/>
      </c>
      <c r="G369" s="75" t="str">
        <f>IF($M369="","",INDEX(fa_paid,$M369)+INDEX(fa_avoirs,$M369))</f>
        <v/>
      </c>
      <c r="H369" s="75" t="str">
        <f>IF($M369="","",INDEX(fa_reste,$M369))</f>
        <v/>
      </c>
      <c r="I369" s="58" t="str">
        <f>IF($M369="","",MAX(0,p_asof-E369))</f>
        <v/>
      </c>
      <c r="J369" s="78" t="str">
        <f>IF($M369="","",INDEX(fa_tranche,$M369)&amp;"")</f>
        <v/>
      </c>
      <c r="K369" s="56" t="str">
        <f>IF($M369="","",IF(ISNUMBER(INDEX(fa_relance,$M369)),INDEX(fa_relance,$M369),""))</f>
        <v/>
      </c>
      <c r="L369" s="79" t="str">
        <f>IF($M369="","",IF(AND(ISNUMBER(K369),(p_asof-E369)&gt;0,(p_asof-N(K369))&gt;=0,(p_asof-N(K369))&lt;7),"Déjà relancée il y a "&amp;(p_asof-N(K369))&amp;" j",IF((p_asof-E369)&lt;=0,IF((p_asof-E369)&gt;-8,"Rappel courtois avant l'échéance","Aucune action"),IF((p_asof-E369)&lt;=15,"Relance 1 : e-mail de rappel",IF((p_asof-E369)&lt;=30,"Relance 2 : appel téléphonique",IF((p_asof-E369)&lt;=60,"Relance 3 : lettre de relance",IF((p_asof-E369)&lt;=90,"Mise en demeure (recommandé)","Contentieux : injonction de payer")))))))</f>
        <v/>
      </c>
      <c r="M369" t="str">
        <f>IFERROR(MATCH(338,fa_rank,0),"")</f>
        <v/>
      </c>
    </row>
    <row r="370">
      <c r="B370" s="78" t="str">
        <f>IF($M370="","",INDEX(fa_num,$M370)&amp;"")</f>
        <v/>
      </c>
      <c r="C370" s="79" t="str">
        <f>IF($M370="","",INDEX(fa_cname,$M370)&amp;"")</f>
        <v/>
      </c>
      <c r="D370" s="56" t="str">
        <f>IF($M370="","",INDEX(fa_date,$M370))</f>
        <v/>
      </c>
      <c r="E370" s="56" t="str">
        <f>IF($M370="","",INDEX(fa_due,$M370))</f>
        <v/>
      </c>
      <c r="F370" s="75" t="str">
        <f>IF($M370="","",INDEX(fa_ttc,$M370))</f>
        <v/>
      </c>
      <c r="G370" s="75" t="str">
        <f>IF($M370="","",INDEX(fa_paid,$M370)+INDEX(fa_avoirs,$M370))</f>
        <v/>
      </c>
      <c r="H370" s="75" t="str">
        <f>IF($M370="","",INDEX(fa_reste,$M370))</f>
        <v/>
      </c>
      <c r="I370" s="58" t="str">
        <f>IF($M370="","",MAX(0,p_asof-E370))</f>
        <v/>
      </c>
      <c r="J370" s="78" t="str">
        <f>IF($M370="","",INDEX(fa_tranche,$M370)&amp;"")</f>
        <v/>
      </c>
      <c r="K370" s="56" t="str">
        <f>IF($M370="","",IF(ISNUMBER(INDEX(fa_relance,$M370)),INDEX(fa_relance,$M370),""))</f>
        <v/>
      </c>
      <c r="L370" s="79" t="str">
        <f>IF($M370="","",IF(AND(ISNUMBER(K370),(p_asof-E370)&gt;0,(p_asof-N(K370))&gt;=0,(p_asof-N(K370))&lt;7),"Déjà relancée il y a "&amp;(p_asof-N(K370))&amp;" j",IF((p_asof-E370)&lt;=0,IF((p_asof-E370)&gt;-8,"Rappel courtois avant l'échéance","Aucune action"),IF((p_asof-E370)&lt;=15,"Relance 1 : e-mail de rappel",IF((p_asof-E370)&lt;=30,"Relance 2 : appel téléphonique",IF((p_asof-E370)&lt;=60,"Relance 3 : lettre de relance",IF((p_asof-E370)&lt;=90,"Mise en demeure (recommandé)","Contentieux : injonction de payer")))))))</f>
        <v/>
      </c>
      <c r="M370" t="str">
        <f>IFERROR(MATCH(339,fa_rank,0),"")</f>
        <v/>
      </c>
    </row>
    <row r="371">
      <c r="B371" s="78" t="str">
        <f>IF($M371="","",INDEX(fa_num,$M371)&amp;"")</f>
        <v/>
      </c>
      <c r="C371" s="79" t="str">
        <f>IF($M371="","",INDEX(fa_cname,$M371)&amp;"")</f>
        <v/>
      </c>
      <c r="D371" s="56" t="str">
        <f>IF($M371="","",INDEX(fa_date,$M371))</f>
        <v/>
      </c>
      <c r="E371" s="56" t="str">
        <f>IF($M371="","",INDEX(fa_due,$M371))</f>
        <v/>
      </c>
      <c r="F371" s="75" t="str">
        <f>IF($M371="","",INDEX(fa_ttc,$M371))</f>
        <v/>
      </c>
      <c r="G371" s="75" t="str">
        <f>IF($M371="","",INDEX(fa_paid,$M371)+INDEX(fa_avoirs,$M371))</f>
        <v/>
      </c>
      <c r="H371" s="75" t="str">
        <f>IF($M371="","",INDEX(fa_reste,$M371))</f>
        <v/>
      </c>
      <c r="I371" s="58" t="str">
        <f>IF($M371="","",MAX(0,p_asof-E371))</f>
        <v/>
      </c>
      <c r="J371" s="78" t="str">
        <f>IF($M371="","",INDEX(fa_tranche,$M371)&amp;"")</f>
        <v/>
      </c>
      <c r="K371" s="56" t="str">
        <f>IF($M371="","",IF(ISNUMBER(INDEX(fa_relance,$M371)),INDEX(fa_relance,$M371),""))</f>
        <v/>
      </c>
      <c r="L371" s="79" t="str">
        <f>IF($M371="","",IF(AND(ISNUMBER(K371),(p_asof-E371)&gt;0,(p_asof-N(K371))&gt;=0,(p_asof-N(K371))&lt;7),"Déjà relancée il y a "&amp;(p_asof-N(K371))&amp;" j",IF((p_asof-E371)&lt;=0,IF((p_asof-E371)&gt;-8,"Rappel courtois avant l'échéance","Aucune action"),IF((p_asof-E371)&lt;=15,"Relance 1 : e-mail de rappel",IF((p_asof-E371)&lt;=30,"Relance 2 : appel téléphonique",IF((p_asof-E371)&lt;=60,"Relance 3 : lettre de relance",IF((p_asof-E371)&lt;=90,"Mise en demeure (recommandé)","Contentieux : injonction de payer")))))))</f>
        <v/>
      </c>
      <c r="M371" t="str">
        <f>IFERROR(MATCH(340,fa_rank,0),"")</f>
        <v/>
      </c>
    </row>
    <row r="372">
      <c r="B372" s="78" t="str">
        <f>IF($M372="","",INDEX(fa_num,$M372)&amp;"")</f>
        <v/>
      </c>
      <c r="C372" s="79" t="str">
        <f>IF($M372="","",INDEX(fa_cname,$M372)&amp;"")</f>
        <v/>
      </c>
      <c r="D372" s="56" t="str">
        <f>IF($M372="","",INDEX(fa_date,$M372))</f>
        <v/>
      </c>
      <c r="E372" s="56" t="str">
        <f>IF($M372="","",INDEX(fa_due,$M372))</f>
        <v/>
      </c>
      <c r="F372" s="75" t="str">
        <f>IF($M372="","",INDEX(fa_ttc,$M372))</f>
        <v/>
      </c>
      <c r="G372" s="75" t="str">
        <f>IF($M372="","",INDEX(fa_paid,$M372)+INDEX(fa_avoirs,$M372))</f>
        <v/>
      </c>
      <c r="H372" s="75" t="str">
        <f>IF($M372="","",INDEX(fa_reste,$M372))</f>
        <v/>
      </c>
      <c r="I372" s="58" t="str">
        <f>IF($M372="","",MAX(0,p_asof-E372))</f>
        <v/>
      </c>
      <c r="J372" s="78" t="str">
        <f>IF($M372="","",INDEX(fa_tranche,$M372)&amp;"")</f>
        <v/>
      </c>
      <c r="K372" s="56" t="str">
        <f>IF($M372="","",IF(ISNUMBER(INDEX(fa_relance,$M372)),INDEX(fa_relance,$M372),""))</f>
        <v/>
      </c>
      <c r="L372" s="79" t="str">
        <f>IF($M372="","",IF(AND(ISNUMBER(K372),(p_asof-E372)&gt;0,(p_asof-N(K372))&gt;=0,(p_asof-N(K372))&lt;7),"Déjà relancée il y a "&amp;(p_asof-N(K372))&amp;" j",IF((p_asof-E372)&lt;=0,IF((p_asof-E372)&gt;-8,"Rappel courtois avant l'échéance","Aucune action"),IF((p_asof-E372)&lt;=15,"Relance 1 : e-mail de rappel",IF((p_asof-E372)&lt;=30,"Relance 2 : appel téléphonique",IF((p_asof-E372)&lt;=60,"Relance 3 : lettre de relance",IF((p_asof-E372)&lt;=90,"Mise en demeure (recommandé)","Contentieux : injonction de payer")))))))</f>
        <v/>
      </c>
      <c r="M372" t="str">
        <f>IFERROR(MATCH(341,fa_rank,0),"")</f>
        <v/>
      </c>
    </row>
    <row r="373">
      <c r="B373" s="78" t="str">
        <f>IF($M373="","",INDEX(fa_num,$M373)&amp;"")</f>
        <v/>
      </c>
      <c r="C373" s="79" t="str">
        <f>IF($M373="","",INDEX(fa_cname,$M373)&amp;"")</f>
        <v/>
      </c>
      <c r="D373" s="56" t="str">
        <f>IF($M373="","",INDEX(fa_date,$M373))</f>
        <v/>
      </c>
      <c r="E373" s="56" t="str">
        <f>IF($M373="","",INDEX(fa_due,$M373))</f>
        <v/>
      </c>
      <c r="F373" s="75" t="str">
        <f>IF($M373="","",INDEX(fa_ttc,$M373))</f>
        <v/>
      </c>
      <c r="G373" s="75" t="str">
        <f>IF($M373="","",INDEX(fa_paid,$M373)+INDEX(fa_avoirs,$M373))</f>
        <v/>
      </c>
      <c r="H373" s="75" t="str">
        <f>IF($M373="","",INDEX(fa_reste,$M373))</f>
        <v/>
      </c>
      <c r="I373" s="58" t="str">
        <f>IF($M373="","",MAX(0,p_asof-E373))</f>
        <v/>
      </c>
      <c r="J373" s="78" t="str">
        <f>IF($M373="","",INDEX(fa_tranche,$M373)&amp;"")</f>
        <v/>
      </c>
      <c r="K373" s="56" t="str">
        <f>IF($M373="","",IF(ISNUMBER(INDEX(fa_relance,$M373)),INDEX(fa_relance,$M373),""))</f>
        <v/>
      </c>
      <c r="L373" s="79" t="str">
        <f>IF($M373="","",IF(AND(ISNUMBER(K373),(p_asof-E373)&gt;0,(p_asof-N(K373))&gt;=0,(p_asof-N(K373))&lt;7),"Déjà relancée il y a "&amp;(p_asof-N(K373))&amp;" j",IF((p_asof-E373)&lt;=0,IF((p_asof-E373)&gt;-8,"Rappel courtois avant l'échéance","Aucune action"),IF((p_asof-E373)&lt;=15,"Relance 1 : e-mail de rappel",IF((p_asof-E373)&lt;=30,"Relance 2 : appel téléphonique",IF((p_asof-E373)&lt;=60,"Relance 3 : lettre de relance",IF((p_asof-E373)&lt;=90,"Mise en demeure (recommandé)","Contentieux : injonction de payer")))))))</f>
        <v/>
      </c>
      <c r="M373" t="str">
        <f>IFERROR(MATCH(342,fa_rank,0),"")</f>
        <v/>
      </c>
    </row>
    <row r="374">
      <c r="B374" s="78" t="str">
        <f>IF($M374="","",INDEX(fa_num,$M374)&amp;"")</f>
        <v/>
      </c>
      <c r="C374" s="79" t="str">
        <f>IF($M374="","",INDEX(fa_cname,$M374)&amp;"")</f>
        <v/>
      </c>
      <c r="D374" s="56" t="str">
        <f>IF($M374="","",INDEX(fa_date,$M374))</f>
        <v/>
      </c>
      <c r="E374" s="56" t="str">
        <f>IF($M374="","",INDEX(fa_due,$M374))</f>
        <v/>
      </c>
      <c r="F374" s="75" t="str">
        <f>IF($M374="","",INDEX(fa_ttc,$M374))</f>
        <v/>
      </c>
      <c r="G374" s="75" t="str">
        <f>IF($M374="","",INDEX(fa_paid,$M374)+INDEX(fa_avoirs,$M374))</f>
        <v/>
      </c>
      <c r="H374" s="75" t="str">
        <f>IF($M374="","",INDEX(fa_reste,$M374))</f>
        <v/>
      </c>
      <c r="I374" s="58" t="str">
        <f>IF($M374="","",MAX(0,p_asof-E374))</f>
        <v/>
      </c>
      <c r="J374" s="78" t="str">
        <f>IF($M374="","",INDEX(fa_tranche,$M374)&amp;"")</f>
        <v/>
      </c>
      <c r="K374" s="56" t="str">
        <f>IF($M374="","",IF(ISNUMBER(INDEX(fa_relance,$M374)),INDEX(fa_relance,$M374),""))</f>
        <v/>
      </c>
      <c r="L374" s="79" t="str">
        <f>IF($M374="","",IF(AND(ISNUMBER(K374),(p_asof-E374)&gt;0,(p_asof-N(K374))&gt;=0,(p_asof-N(K374))&lt;7),"Déjà relancée il y a "&amp;(p_asof-N(K374))&amp;" j",IF((p_asof-E374)&lt;=0,IF((p_asof-E374)&gt;-8,"Rappel courtois avant l'échéance","Aucune action"),IF((p_asof-E374)&lt;=15,"Relance 1 : e-mail de rappel",IF((p_asof-E374)&lt;=30,"Relance 2 : appel téléphonique",IF((p_asof-E374)&lt;=60,"Relance 3 : lettre de relance",IF((p_asof-E374)&lt;=90,"Mise en demeure (recommandé)","Contentieux : injonction de payer")))))))</f>
        <v/>
      </c>
      <c r="M374" t="str">
        <f>IFERROR(MATCH(343,fa_rank,0),"")</f>
        <v/>
      </c>
    </row>
    <row r="375">
      <c r="B375" s="78" t="str">
        <f>IF($M375="","",INDEX(fa_num,$M375)&amp;"")</f>
        <v/>
      </c>
      <c r="C375" s="79" t="str">
        <f>IF($M375="","",INDEX(fa_cname,$M375)&amp;"")</f>
        <v/>
      </c>
      <c r="D375" s="56" t="str">
        <f>IF($M375="","",INDEX(fa_date,$M375))</f>
        <v/>
      </c>
      <c r="E375" s="56" t="str">
        <f>IF($M375="","",INDEX(fa_due,$M375))</f>
        <v/>
      </c>
      <c r="F375" s="75" t="str">
        <f>IF($M375="","",INDEX(fa_ttc,$M375))</f>
        <v/>
      </c>
      <c r="G375" s="75" t="str">
        <f>IF($M375="","",INDEX(fa_paid,$M375)+INDEX(fa_avoirs,$M375))</f>
        <v/>
      </c>
      <c r="H375" s="75" t="str">
        <f>IF($M375="","",INDEX(fa_reste,$M375))</f>
        <v/>
      </c>
      <c r="I375" s="58" t="str">
        <f>IF($M375="","",MAX(0,p_asof-E375))</f>
        <v/>
      </c>
      <c r="J375" s="78" t="str">
        <f>IF($M375="","",INDEX(fa_tranche,$M375)&amp;"")</f>
        <v/>
      </c>
      <c r="K375" s="56" t="str">
        <f>IF($M375="","",IF(ISNUMBER(INDEX(fa_relance,$M375)),INDEX(fa_relance,$M375),""))</f>
        <v/>
      </c>
      <c r="L375" s="79" t="str">
        <f>IF($M375="","",IF(AND(ISNUMBER(K375),(p_asof-E375)&gt;0,(p_asof-N(K375))&gt;=0,(p_asof-N(K375))&lt;7),"Déjà relancée il y a "&amp;(p_asof-N(K375))&amp;" j",IF((p_asof-E375)&lt;=0,IF((p_asof-E375)&gt;-8,"Rappel courtois avant l'échéance","Aucune action"),IF((p_asof-E375)&lt;=15,"Relance 1 : e-mail de rappel",IF((p_asof-E375)&lt;=30,"Relance 2 : appel téléphonique",IF((p_asof-E375)&lt;=60,"Relance 3 : lettre de relance",IF((p_asof-E375)&lt;=90,"Mise en demeure (recommandé)","Contentieux : injonction de payer")))))))</f>
        <v/>
      </c>
      <c r="M375" t="str">
        <f>IFERROR(MATCH(344,fa_rank,0),"")</f>
        <v/>
      </c>
    </row>
    <row r="376">
      <c r="B376" s="78" t="str">
        <f>IF($M376="","",INDEX(fa_num,$M376)&amp;"")</f>
        <v/>
      </c>
      <c r="C376" s="79" t="str">
        <f>IF($M376="","",INDEX(fa_cname,$M376)&amp;"")</f>
        <v/>
      </c>
      <c r="D376" s="56" t="str">
        <f>IF($M376="","",INDEX(fa_date,$M376))</f>
        <v/>
      </c>
      <c r="E376" s="56" t="str">
        <f>IF($M376="","",INDEX(fa_due,$M376))</f>
        <v/>
      </c>
      <c r="F376" s="75" t="str">
        <f>IF($M376="","",INDEX(fa_ttc,$M376))</f>
        <v/>
      </c>
      <c r="G376" s="75" t="str">
        <f>IF($M376="","",INDEX(fa_paid,$M376)+INDEX(fa_avoirs,$M376))</f>
        <v/>
      </c>
      <c r="H376" s="75" t="str">
        <f>IF($M376="","",INDEX(fa_reste,$M376))</f>
        <v/>
      </c>
      <c r="I376" s="58" t="str">
        <f>IF($M376="","",MAX(0,p_asof-E376))</f>
        <v/>
      </c>
      <c r="J376" s="78" t="str">
        <f>IF($M376="","",INDEX(fa_tranche,$M376)&amp;"")</f>
        <v/>
      </c>
      <c r="K376" s="56" t="str">
        <f>IF($M376="","",IF(ISNUMBER(INDEX(fa_relance,$M376)),INDEX(fa_relance,$M376),""))</f>
        <v/>
      </c>
      <c r="L376" s="79" t="str">
        <f>IF($M376="","",IF(AND(ISNUMBER(K376),(p_asof-E376)&gt;0,(p_asof-N(K376))&gt;=0,(p_asof-N(K376))&lt;7),"Déjà relancée il y a "&amp;(p_asof-N(K376))&amp;" j",IF((p_asof-E376)&lt;=0,IF((p_asof-E376)&gt;-8,"Rappel courtois avant l'échéance","Aucune action"),IF((p_asof-E376)&lt;=15,"Relance 1 : e-mail de rappel",IF((p_asof-E376)&lt;=30,"Relance 2 : appel téléphonique",IF((p_asof-E376)&lt;=60,"Relance 3 : lettre de relance",IF((p_asof-E376)&lt;=90,"Mise en demeure (recommandé)","Contentieux : injonction de payer")))))))</f>
        <v/>
      </c>
      <c r="M376" t="str">
        <f>IFERROR(MATCH(345,fa_rank,0),"")</f>
        <v/>
      </c>
    </row>
    <row r="377">
      <c r="B377" s="78" t="str">
        <f>IF($M377="","",INDEX(fa_num,$M377)&amp;"")</f>
        <v/>
      </c>
      <c r="C377" s="79" t="str">
        <f>IF($M377="","",INDEX(fa_cname,$M377)&amp;"")</f>
        <v/>
      </c>
      <c r="D377" s="56" t="str">
        <f>IF($M377="","",INDEX(fa_date,$M377))</f>
        <v/>
      </c>
      <c r="E377" s="56" t="str">
        <f>IF($M377="","",INDEX(fa_due,$M377))</f>
        <v/>
      </c>
      <c r="F377" s="75" t="str">
        <f>IF($M377="","",INDEX(fa_ttc,$M377))</f>
        <v/>
      </c>
      <c r="G377" s="75" t="str">
        <f>IF($M377="","",INDEX(fa_paid,$M377)+INDEX(fa_avoirs,$M377))</f>
        <v/>
      </c>
      <c r="H377" s="75" t="str">
        <f>IF($M377="","",INDEX(fa_reste,$M377))</f>
        <v/>
      </c>
      <c r="I377" s="58" t="str">
        <f>IF($M377="","",MAX(0,p_asof-E377))</f>
        <v/>
      </c>
      <c r="J377" s="78" t="str">
        <f>IF($M377="","",INDEX(fa_tranche,$M377)&amp;"")</f>
        <v/>
      </c>
      <c r="K377" s="56" t="str">
        <f>IF($M377="","",IF(ISNUMBER(INDEX(fa_relance,$M377)),INDEX(fa_relance,$M377),""))</f>
        <v/>
      </c>
      <c r="L377" s="79" t="str">
        <f>IF($M377="","",IF(AND(ISNUMBER(K377),(p_asof-E377)&gt;0,(p_asof-N(K377))&gt;=0,(p_asof-N(K377))&lt;7),"Déjà relancée il y a "&amp;(p_asof-N(K377))&amp;" j",IF((p_asof-E377)&lt;=0,IF((p_asof-E377)&gt;-8,"Rappel courtois avant l'échéance","Aucune action"),IF((p_asof-E377)&lt;=15,"Relance 1 : e-mail de rappel",IF((p_asof-E377)&lt;=30,"Relance 2 : appel téléphonique",IF((p_asof-E377)&lt;=60,"Relance 3 : lettre de relance",IF((p_asof-E377)&lt;=90,"Mise en demeure (recommandé)","Contentieux : injonction de payer")))))))</f>
        <v/>
      </c>
      <c r="M377" t="str">
        <f>IFERROR(MATCH(346,fa_rank,0),"")</f>
        <v/>
      </c>
    </row>
    <row r="378">
      <c r="B378" s="78" t="str">
        <f>IF($M378="","",INDEX(fa_num,$M378)&amp;"")</f>
        <v/>
      </c>
      <c r="C378" s="79" t="str">
        <f>IF($M378="","",INDEX(fa_cname,$M378)&amp;"")</f>
        <v/>
      </c>
      <c r="D378" s="56" t="str">
        <f>IF($M378="","",INDEX(fa_date,$M378))</f>
        <v/>
      </c>
      <c r="E378" s="56" t="str">
        <f>IF($M378="","",INDEX(fa_due,$M378))</f>
        <v/>
      </c>
      <c r="F378" s="75" t="str">
        <f>IF($M378="","",INDEX(fa_ttc,$M378))</f>
        <v/>
      </c>
      <c r="G378" s="75" t="str">
        <f>IF($M378="","",INDEX(fa_paid,$M378)+INDEX(fa_avoirs,$M378))</f>
        <v/>
      </c>
      <c r="H378" s="75" t="str">
        <f>IF($M378="","",INDEX(fa_reste,$M378))</f>
        <v/>
      </c>
      <c r="I378" s="58" t="str">
        <f>IF($M378="","",MAX(0,p_asof-E378))</f>
        <v/>
      </c>
      <c r="J378" s="78" t="str">
        <f>IF($M378="","",INDEX(fa_tranche,$M378)&amp;"")</f>
        <v/>
      </c>
      <c r="K378" s="56" t="str">
        <f>IF($M378="","",IF(ISNUMBER(INDEX(fa_relance,$M378)),INDEX(fa_relance,$M378),""))</f>
        <v/>
      </c>
      <c r="L378" s="79" t="str">
        <f>IF($M378="","",IF(AND(ISNUMBER(K378),(p_asof-E378)&gt;0,(p_asof-N(K378))&gt;=0,(p_asof-N(K378))&lt;7),"Déjà relancée il y a "&amp;(p_asof-N(K378))&amp;" j",IF((p_asof-E378)&lt;=0,IF((p_asof-E378)&gt;-8,"Rappel courtois avant l'échéance","Aucune action"),IF((p_asof-E378)&lt;=15,"Relance 1 : e-mail de rappel",IF((p_asof-E378)&lt;=30,"Relance 2 : appel téléphonique",IF((p_asof-E378)&lt;=60,"Relance 3 : lettre de relance",IF((p_asof-E378)&lt;=90,"Mise en demeure (recommandé)","Contentieux : injonction de payer")))))))</f>
        <v/>
      </c>
      <c r="M378" t="str">
        <f>IFERROR(MATCH(347,fa_rank,0),"")</f>
        <v/>
      </c>
    </row>
    <row r="379">
      <c r="B379" s="78" t="str">
        <f>IF($M379="","",INDEX(fa_num,$M379)&amp;"")</f>
        <v/>
      </c>
      <c r="C379" s="79" t="str">
        <f>IF($M379="","",INDEX(fa_cname,$M379)&amp;"")</f>
        <v/>
      </c>
      <c r="D379" s="56" t="str">
        <f>IF($M379="","",INDEX(fa_date,$M379))</f>
        <v/>
      </c>
      <c r="E379" s="56" t="str">
        <f>IF($M379="","",INDEX(fa_due,$M379))</f>
        <v/>
      </c>
      <c r="F379" s="75" t="str">
        <f>IF($M379="","",INDEX(fa_ttc,$M379))</f>
        <v/>
      </c>
      <c r="G379" s="75" t="str">
        <f>IF($M379="","",INDEX(fa_paid,$M379)+INDEX(fa_avoirs,$M379))</f>
        <v/>
      </c>
      <c r="H379" s="75" t="str">
        <f>IF($M379="","",INDEX(fa_reste,$M379))</f>
        <v/>
      </c>
      <c r="I379" s="58" t="str">
        <f>IF($M379="","",MAX(0,p_asof-E379))</f>
        <v/>
      </c>
      <c r="J379" s="78" t="str">
        <f>IF($M379="","",INDEX(fa_tranche,$M379)&amp;"")</f>
        <v/>
      </c>
      <c r="K379" s="56" t="str">
        <f>IF($M379="","",IF(ISNUMBER(INDEX(fa_relance,$M379)),INDEX(fa_relance,$M379),""))</f>
        <v/>
      </c>
      <c r="L379" s="79" t="str">
        <f>IF($M379="","",IF(AND(ISNUMBER(K379),(p_asof-E379)&gt;0,(p_asof-N(K379))&gt;=0,(p_asof-N(K379))&lt;7),"Déjà relancée il y a "&amp;(p_asof-N(K379))&amp;" j",IF((p_asof-E379)&lt;=0,IF((p_asof-E379)&gt;-8,"Rappel courtois avant l'échéance","Aucune action"),IF((p_asof-E379)&lt;=15,"Relance 1 : e-mail de rappel",IF((p_asof-E379)&lt;=30,"Relance 2 : appel téléphonique",IF((p_asof-E379)&lt;=60,"Relance 3 : lettre de relance",IF((p_asof-E379)&lt;=90,"Mise en demeure (recommandé)","Contentieux : injonction de payer")))))))</f>
        <v/>
      </c>
      <c r="M379" t="str">
        <f>IFERROR(MATCH(348,fa_rank,0),"")</f>
        <v/>
      </c>
    </row>
    <row r="380">
      <c r="B380" s="78" t="str">
        <f>IF($M380="","",INDEX(fa_num,$M380)&amp;"")</f>
        <v/>
      </c>
      <c r="C380" s="79" t="str">
        <f>IF($M380="","",INDEX(fa_cname,$M380)&amp;"")</f>
        <v/>
      </c>
      <c r="D380" s="56" t="str">
        <f>IF($M380="","",INDEX(fa_date,$M380))</f>
        <v/>
      </c>
      <c r="E380" s="56" t="str">
        <f>IF($M380="","",INDEX(fa_due,$M380))</f>
        <v/>
      </c>
      <c r="F380" s="75" t="str">
        <f>IF($M380="","",INDEX(fa_ttc,$M380))</f>
        <v/>
      </c>
      <c r="G380" s="75" t="str">
        <f>IF($M380="","",INDEX(fa_paid,$M380)+INDEX(fa_avoirs,$M380))</f>
        <v/>
      </c>
      <c r="H380" s="75" t="str">
        <f>IF($M380="","",INDEX(fa_reste,$M380))</f>
        <v/>
      </c>
      <c r="I380" s="58" t="str">
        <f>IF($M380="","",MAX(0,p_asof-E380))</f>
        <v/>
      </c>
      <c r="J380" s="78" t="str">
        <f>IF($M380="","",INDEX(fa_tranche,$M380)&amp;"")</f>
        <v/>
      </c>
      <c r="K380" s="56" t="str">
        <f>IF($M380="","",IF(ISNUMBER(INDEX(fa_relance,$M380)),INDEX(fa_relance,$M380),""))</f>
        <v/>
      </c>
      <c r="L380" s="79" t="str">
        <f>IF($M380="","",IF(AND(ISNUMBER(K380),(p_asof-E380)&gt;0,(p_asof-N(K380))&gt;=0,(p_asof-N(K380))&lt;7),"Déjà relancée il y a "&amp;(p_asof-N(K380))&amp;" j",IF((p_asof-E380)&lt;=0,IF((p_asof-E380)&gt;-8,"Rappel courtois avant l'échéance","Aucune action"),IF((p_asof-E380)&lt;=15,"Relance 1 : e-mail de rappel",IF((p_asof-E380)&lt;=30,"Relance 2 : appel téléphonique",IF((p_asof-E380)&lt;=60,"Relance 3 : lettre de relance",IF((p_asof-E380)&lt;=90,"Mise en demeure (recommandé)","Contentieux : injonction de payer")))))))</f>
        <v/>
      </c>
      <c r="M380" t="str">
        <f>IFERROR(MATCH(349,fa_rank,0),"")</f>
        <v/>
      </c>
    </row>
    <row r="381">
      <c r="B381" s="78" t="str">
        <f>IF($M381="","",INDEX(fa_num,$M381)&amp;"")</f>
        <v/>
      </c>
      <c r="C381" s="79" t="str">
        <f>IF($M381="","",INDEX(fa_cname,$M381)&amp;"")</f>
        <v/>
      </c>
      <c r="D381" s="56" t="str">
        <f>IF($M381="","",INDEX(fa_date,$M381))</f>
        <v/>
      </c>
      <c r="E381" s="56" t="str">
        <f>IF($M381="","",INDEX(fa_due,$M381))</f>
        <v/>
      </c>
      <c r="F381" s="75" t="str">
        <f>IF($M381="","",INDEX(fa_ttc,$M381))</f>
        <v/>
      </c>
      <c r="G381" s="75" t="str">
        <f>IF($M381="","",INDEX(fa_paid,$M381)+INDEX(fa_avoirs,$M381))</f>
        <v/>
      </c>
      <c r="H381" s="75" t="str">
        <f>IF($M381="","",INDEX(fa_reste,$M381))</f>
        <v/>
      </c>
      <c r="I381" s="58" t="str">
        <f>IF($M381="","",MAX(0,p_asof-E381))</f>
        <v/>
      </c>
      <c r="J381" s="78" t="str">
        <f>IF($M381="","",INDEX(fa_tranche,$M381)&amp;"")</f>
        <v/>
      </c>
      <c r="K381" s="56" t="str">
        <f>IF($M381="","",IF(ISNUMBER(INDEX(fa_relance,$M381)),INDEX(fa_relance,$M381),""))</f>
        <v/>
      </c>
      <c r="L381" s="79" t="str">
        <f>IF($M381="","",IF(AND(ISNUMBER(K381),(p_asof-E381)&gt;0,(p_asof-N(K381))&gt;=0,(p_asof-N(K381))&lt;7),"Déjà relancée il y a "&amp;(p_asof-N(K381))&amp;" j",IF((p_asof-E381)&lt;=0,IF((p_asof-E381)&gt;-8,"Rappel courtois avant l'échéance","Aucune action"),IF((p_asof-E381)&lt;=15,"Relance 1 : e-mail de rappel",IF((p_asof-E381)&lt;=30,"Relance 2 : appel téléphonique",IF((p_asof-E381)&lt;=60,"Relance 3 : lettre de relance",IF((p_asof-E381)&lt;=90,"Mise en demeure (recommandé)","Contentieux : injonction de payer")))))))</f>
        <v/>
      </c>
      <c r="M381" t="str">
        <f>IFERROR(MATCH(350,fa_rank,0),"")</f>
        <v/>
      </c>
    </row>
    <row r="382">
      <c r="B382" s="78" t="str">
        <f>IF($M382="","",INDEX(fa_num,$M382)&amp;"")</f>
        <v/>
      </c>
      <c r="C382" s="79" t="str">
        <f>IF($M382="","",INDEX(fa_cname,$M382)&amp;"")</f>
        <v/>
      </c>
      <c r="D382" s="56" t="str">
        <f>IF($M382="","",INDEX(fa_date,$M382))</f>
        <v/>
      </c>
      <c r="E382" s="56" t="str">
        <f>IF($M382="","",INDEX(fa_due,$M382))</f>
        <v/>
      </c>
      <c r="F382" s="75" t="str">
        <f>IF($M382="","",INDEX(fa_ttc,$M382))</f>
        <v/>
      </c>
      <c r="G382" s="75" t="str">
        <f>IF($M382="","",INDEX(fa_paid,$M382)+INDEX(fa_avoirs,$M382))</f>
        <v/>
      </c>
      <c r="H382" s="75" t="str">
        <f>IF($M382="","",INDEX(fa_reste,$M382))</f>
        <v/>
      </c>
      <c r="I382" s="58" t="str">
        <f>IF($M382="","",MAX(0,p_asof-E382))</f>
        <v/>
      </c>
      <c r="J382" s="78" t="str">
        <f>IF($M382="","",INDEX(fa_tranche,$M382)&amp;"")</f>
        <v/>
      </c>
      <c r="K382" s="56" t="str">
        <f>IF($M382="","",IF(ISNUMBER(INDEX(fa_relance,$M382)),INDEX(fa_relance,$M382),""))</f>
        <v/>
      </c>
      <c r="L382" s="79" t="str">
        <f>IF($M382="","",IF(AND(ISNUMBER(K382),(p_asof-E382)&gt;0,(p_asof-N(K382))&gt;=0,(p_asof-N(K382))&lt;7),"Déjà relancée il y a "&amp;(p_asof-N(K382))&amp;" j",IF((p_asof-E382)&lt;=0,IF((p_asof-E382)&gt;-8,"Rappel courtois avant l'échéance","Aucune action"),IF((p_asof-E382)&lt;=15,"Relance 1 : e-mail de rappel",IF((p_asof-E382)&lt;=30,"Relance 2 : appel téléphonique",IF((p_asof-E382)&lt;=60,"Relance 3 : lettre de relance",IF((p_asof-E382)&lt;=90,"Mise en demeure (recommandé)","Contentieux : injonction de payer")))))))</f>
        <v/>
      </c>
      <c r="M382" t="str">
        <f>IFERROR(MATCH(351,fa_rank,0),"")</f>
        <v/>
      </c>
    </row>
    <row r="383">
      <c r="B383" s="78" t="str">
        <f>IF($M383="","",INDEX(fa_num,$M383)&amp;"")</f>
        <v/>
      </c>
      <c r="C383" s="79" t="str">
        <f>IF($M383="","",INDEX(fa_cname,$M383)&amp;"")</f>
        <v/>
      </c>
      <c r="D383" s="56" t="str">
        <f>IF($M383="","",INDEX(fa_date,$M383))</f>
        <v/>
      </c>
      <c r="E383" s="56" t="str">
        <f>IF($M383="","",INDEX(fa_due,$M383))</f>
        <v/>
      </c>
      <c r="F383" s="75" t="str">
        <f>IF($M383="","",INDEX(fa_ttc,$M383))</f>
        <v/>
      </c>
      <c r="G383" s="75" t="str">
        <f>IF($M383="","",INDEX(fa_paid,$M383)+INDEX(fa_avoirs,$M383))</f>
        <v/>
      </c>
      <c r="H383" s="75" t="str">
        <f>IF($M383="","",INDEX(fa_reste,$M383))</f>
        <v/>
      </c>
      <c r="I383" s="58" t="str">
        <f>IF($M383="","",MAX(0,p_asof-E383))</f>
        <v/>
      </c>
      <c r="J383" s="78" t="str">
        <f>IF($M383="","",INDEX(fa_tranche,$M383)&amp;"")</f>
        <v/>
      </c>
      <c r="K383" s="56" t="str">
        <f>IF($M383="","",IF(ISNUMBER(INDEX(fa_relance,$M383)),INDEX(fa_relance,$M383),""))</f>
        <v/>
      </c>
      <c r="L383" s="79" t="str">
        <f>IF($M383="","",IF(AND(ISNUMBER(K383),(p_asof-E383)&gt;0,(p_asof-N(K383))&gt;=0,(p_asof-N(K383))&lt;7),"Déjà relancée il y a "&amp;(p_asof-N(K383))&amp;" j",IF((p_asof-E383)&lt;=0,IF((p_asof-E383)&gt;-8,"Rappel courtois avant l'échéance","Aucune action"),IF((p_asof-E383)&lt;=15,"Relance 1 : e-mail de rappel",IF((p_asof-E383)&lt;=30,"Relance 2 : appel téléphonique",IF((p_asof-E383)&lt;=60,"Relance 3 : lettre de relance",IF((p_asof-E383)&lt;=90,"Mise en demeure (recommandé)","Contentieux : injonction de payer")))))))</f>
        <v/>
      </c>
      <c r="M383" t="str">
        <f>IFERROR(MATCH(352,fa_rank,0),"")</f>
        <v/>
      </c>
    </row>
    <row r="384">
      <c r="B384" s="78" t="str">
        <f>IF($M384="","",INDEX(fa_num,$M384)&amp;"")</f>
        <v/>
      </c>
      <c r="C384" s="79" t="str">
        <f>IF($M384="","",INDEX(fa_cname,$M384)&amp;"")</f>
        <v/>
      </c>
      <c r="D384" s="56" t="str">
        <f>IF($M384="","",INDEX(fa_date,$M384))</f>
        <v/>
      </c>
      <c r="E384" s="56" t="str">
        <f>IF($M384="","",INDEX(fa_due,$M384))</f>
        <v/>
      </c>
      <c r="F384" s="75" t="str">
        <f>IF($M384="","",INDEX(fa_ttc,$M384))</f>
        <v/>
      </c>
      <c r="G384" s="75" t="str">
        <f>IF($M384="","",INDEX(fa_paid,$M384)+INDEX(fa_avoirs,$M384))</f>
        <v/>
      </c>
      <c r="H384" s="75" t="str">
        <f>IF($M384="","",INDEX(fa_reste,$M384))</f>
        <v/>
      </c>
      <c r="I384" s="58" t="str">
        <f>IF($M384="","",MAX(0,p_asof-E384))</f>
        <v/>
      </c>
      <c r="J384" s="78" t="str">
        <f>IF($M384="","",INDEX(fa_tranche,$M384)&amp;"")</f>
        <v/>
      </c>
      <c r="K384" s="56" t="str">
        <f>IF($M384="","",IF(ISNUMBER(INDEX(fa_relance,$M384)),INDEX(fa_relance,$M384),""))</f>
        <v/>
      </c>
      <c r="L384" s="79" t="str">
        <f>IF($M384="","",IF(AND(ISNUMBER(K384),(p_asof-E384)&gt;0,(p_asof-N(K384))&gt;=0,(p_asof-N(K384))&lt;7),"Déjà relancée il y a "&amp;(p_asof-N(K384))&amp;" j",IF((p_asof-E384)&lt;=0,IF((p_asof-E384)&gt;-8,"Rappel courtois avant l'échéance","Aucune action"),IF((p_asof-E384)&lt;=15,"Relance 1 : e-mail de rappel",IF((p_asof-E384)&lt;=30,"Relance 2 : appel téléphonique",IF((p_asof-E384)&lt;=60,"Relance 3 : lettre de relance",IF((p_asof-E384)&lt;=90,"Mise en demeure (recommandé)","Contentieux : injonction de payer")))))))</f>
        <v/>
      </c>
      <c r="M384" t="str">
        <f>IFERROR(MATCH(353,fa_rank,0),"")</f>
        <v/>
      </c>
    </row>
    <row r="385">
      <c r="B385" s="78" t="str">
        <f>IF($M385="","",INDEX(fa_num,$M385)&amp;"")</f>
        <v/>
      </c>
      <c r="C385" s="79" t="str">
        <f>IF($M385="","",INDEX(fa_cname,$M385)&amp;"")</f>
        <v/>
      </c>
      <c r="D385" s="56" t="str">
        <f>IF($M385="","",INDEX(fa_date,$M385))</f>
        <v/>
      </c>
      <c r="E385" s="56" t="str">
        <f>IF($M385="","",INDEX(fa_due,$M385))</f>
        <v/>
      </c>
      <c r="F385" s="75" t="str">
        <f>IF($M385="","",INDEX(fa_ttc,$M385))</f>
        <v/>
      </c>
      <c r="G385" s="75" t="str">
        <f>IF($M385="","",INDEX(fa_paid,$M385)+INDEX(fa_avoirs,$M385))</f>
        <v/>
      </c>
      <c r="H385" s="75" t="str">
        <f>IF($M385="","",INDEX(fa_reste,$M385))</f>
        <v/>
      </c>
      <c r="I385" s="58" t="str">
        <f>IF($M385="","",MAX(0,p_asof-E385))</f>
        <v/>
      </c>
      <c r="J385" s="78" t="str">
        <f>IF($M385="","",INDEX(fa_tranche,$M385)&amp;"")</f>
        <v/>
      </c>
      <c r="K385" s="56" t="str">
        <f>IF($M385="","",IF(ISNUMBER(INDEX(fa_relance,$M385)),INDEX(fa_relance,$M385),""))</f>
        <v/>
      </c>
      <c r="L385" s="79" t="str">
        <f>IF($M385="","",IF(AND(ISNUMBER(K385),(p_asof-E385)&gt;0,(p_asof-N(K385))&gt;=0,(p_asof-N(K385))&lt;7),"Déjà relancée il y a "&amp;(p_asof-N(K385))&amp;" j",IF((p_asof-E385)&lt;=0,IF((p_asof-E385)&gt;-8,"Rappel courtois avant l'échéance","Aucune action"),IF((p_asof-E385)&lt;=15,"Relance 1 : e-mail de rappel",IF((p_asof-E385)&lt;=30,"Relance 2 : appel téléphonique",IF((p_asof-E385)&lt;=60,"Relance 3 : lettre de relance",IF((p_asof-E385)&lt;=90,"Mise en demeure (recommandé)","Contentieux : injonction de payer")))))))</f>
        <v/>
      </c>
      <c r="M385" t="str">
        <f>IFERROR(MATCH(354,fa_rank,0),"")</f>
        <v/>
      </c>
    </row>
    <row r="386">
      <c r="B386" s="78" t="str">
        <f>IF($M386="","",INDEX(fa_num,$M386)&amp;"")</f>
        <v/>
      </c>
      <c r="C386" s="79" t="str">
        <f>IF($M386="","",INDEX(fa_cname,$M386)&amp;"")</f>
        <v/>
      </c>
      <c r="D386" s="56" t="str">
        <f>IF($M386="","",INDEX(fa_date,$M386))</f>
        <v/>
      </c>
      <c r="E386" s="56" t="str">
        <f>IF($M386="","",INDEX(fa_due,$M386))</f>
        <v/>
      </c>
      <c r="F386" s="75" t="str">
        <f>IF($M386="","",INDEX(fa_ttc,$M386))</f>
        <v/>
      </c>
      <c r="G386" s="75" t="str">
        <f>IF($M386="","",INDEX(fa_paid,$M386)+INDEX(fa_avoirs,$M386))</f>
        <v/>
      </c>
      <c r="H386" s="75" t="str">
        <f>IF($M386="","",INDEX(fa_reste,$M386))</f>
        <v/>
      </c>
      <c r="I386" s="58" t="str">
        <f>IF($M386="","",MAX(0,p_asof-E386))</f>
        <v/>
      </c>
      <c r="J386" s="78" t="str">
        <f>IF($M386="","",INDEX(fa_tranche,$M386)&amp;"")</f>
        <v/>
      </c>
      <c r="K386" s="56" t="str">
        <f>IF($M386="","",IF(ISNUMBER(INDEX(fa_relance,$M386)),INDEX(fa_relance,$M386),""))</f>
        <v/>
      </c>
      <c r="L386" s="79" t="str">
        <f>IF($M386="","",IF(AND(ISNUMBER(K386),(p_asof-E386)&gt;0,(p_asof-N(K386))&gt;=0,(p_asof-N(K386))&lt;7),"Déjà relancée il y a "&amp;(p_asof-N(K386))&amp;" j",IF((p_asof-E386)&lt;=0,IF((p_asof-E386)&gt;-8,"Rappel courtois avant l'échéance","Aucune action"),IF((p_asof-E386)&lt;=15,"Relance 1 : e-mail de rappel",IF((p_asof-E386)&lt;=30,"Relance 2 : appel téléphonique",IF((p_asof-E386)&lt;=60,"Relance 3 : lettre de relance",IF((p_asof-E386)&lt;=90,"Mise en demeure (recommandé)","Contentieux : injonction de payer")))))))</f>
        <v/>
      </c>
      <c r="M386" t="str">
        <f>IFERROR(MATCH(355,fa_rank,0),"")</f>
        <v/>
      </c>
    </row>
    <row r="387">
      <c r="B387" s="78" t="str">
        <f>IF($M387="","",INDEX(fa_num,$M387)&amp;"")</f>
        <v/>
      </c>
      <c r="C387" s="79" t="str">
        <f>IF($M387="","",INDEX(fa_cname,$M387)&amp;"")</f>
        <v/>
      </c>
      <c r="D387" s="56" t="str">
        <f>IF($M387="","",INDEX(fa_date,$M387))</f>
        <v/>
      </c>
      <c r="E387" s="56" t="str">
        <f>IF($M387="","",INDEX(fa_due,$M387))</f>
        <v/>
      </c>
      <c r="F387" s="75" t="str">
        <f>IF($M387="","",INDEX(fa_ttc,$M387))</f>
        <v/>
      </c>
      <c r="G387" s="75" t="str">
        <f>IF($M387="","",INDEX(fa_paid,$M387)+INDEX(fa_avoirs,$M387))</f>
        <v/>
      </c>
      <c r="H387" s="75" t="str">
        <f>IF($M387="","",INDEX(fa_reste,$M387))</f>
        <v/>
      </c>
      <c r="I387" s="58" t="str">
        <f>IF($M387="","",MAX(0,p_asof-E387))</f>
        <v/>
      </c>
      <c r="J387" s="78" t="str">
        <f>IF($M387="","",INDEX(fa_tranche,$M387)&amp;"")</f>
        <v/>
      </c>
      <c r="K387" s="56" t="str">
        <f>IF($M387="","",IF(ISNUMBER(INDEX(fa_relance,$M387)),INDEX(fa_relance,$M387),""))</f>
        <v/>
      </c>
      <c r="L387" s="79" t="str">
        <f>IF($M387="","",IF(AND(ISNUMBER(K387),(p_asof-E387)&gt;0,(p_asof-N(K387))&gt;=0,(p_asof-N(K387))&lt;7),"Déjà relancée il y a "&amp;(p_asof-N(K387))&amp;" j",IF((p_asof-E387)&lt;=0,IF((p_asof-E387)&gt;-8,"Rappel courtois avant l'échéance","Aucune action"),IF((p_asof-E387)&lt;=15,"Relance 1 : e-mail de rappel",IF((p_asof-E387)&lt;=30,"Relance 2 : appel téléphonique",IF((p_asof-E387)&lt;=60,"Relance 3 : lettre de relance",IF((p_asof-E387)&lt;=90,"Mise en demeure (recommandé)","Contentieux : injonction de payer")))))))</f>
        <v/>
      </c>
      <c r="M387" t="str">
        <f>IFERROR(MATCH(356,fa_rank,0),"")</f>
        <v/>
      </c>
    </row>
    <row r="388">
      <c r="B388" s="78" t="str">
        <f>IF($M388="","",INDEX(fa_num,$M388)&amp;"")</f>
        <v/>
      </c>
      <c r="C388" s="79" t="str">
        <f>IF($M388="","",INDEX(fa_cname,$M388)&amp;"")</f>
        <v/>
      </c>
      <c r="D388" s="56" t="str">
        <f>IF($M388="","",INDEX(fa_date,$M388))</f>
        <v/>
      </c>
      <c r="E388" s="56" t="str">
        <f>IF($M388="","",INDEX(fa_due,$M388))</f>
        <v/>
      </c>
      <c r="F388" s="75" t="str">
        <f>IF($M388="","",INDEX(fa_ttc,$M388))</f>
        <v/>
      </c>
      <c r="G388" s="75" t="str">
        <f>IF($M388="","",INDEX(fa_paid,$M388)+INDEX(fa_avoirs,$M388))</f>
        <v/>
      </c>
      <c r="H388" s="75" t="str">
        <f>IF($M388="","",INDEX(fa_reste,$M388))</f>
        <v/>
      </c>
      <c r="I388" s="58" t="str">
        <f>IF($M388="","",MAX(0,p_asof-E388))</f>
        <v/>
      </c>
      <c r="J388" s="78" t="str">
        <f>IF($M388="","",INDEX(fa_tranche,$M388)&amp;"")</f>
        <v/>
      </c>
      <c r="K388" s="56" t="str">
        <f>IF($M388="","",IF(ISNUMBER(INDEX(fa_relance,$M388)),INDEX(fa_relance,$M388),""))</f>
        <v/>
      </c>
      <c r="L388" s="79" t="str">
        <f>IF($M388="","",IF(AND(ISNUMBER(K388),(p_asof-E388)&gt;0,(p_asof-N(K388))&gt;=0,(p_asof-N(K388))&lt;7),"Déjà relancée il y a "&amp;(p_asof-N(K388))&amp;" j",IF((p_asof-E388)&lt;=0,IF((p_asof-E388)&gt;-8,"Rappel courtois avant l'échéance","Aucune action"),IF((p_asof-E388)&lt;=15,"Relance 1 : e-mail de rappel",IF((p_asof-E388)&lt;=30,"Relance 2 : appel téléphonique",IF((p_asof-E388)&lt;=60,"Relance 3 : lettre de relance",IF((p_asof-E388)&lt;=90,"Mise en demeure (recommandé)","Contentieux : injonction de payer")))))))</f>
        <v/>
      </c>
      <c r="M388" t="str">
        <f>IFERROR(MATCH(357,fa_rank,0),"")</f>
        <v/>
      </c>
    </row>
    <row r="389">
      <c r="B389" s="78" t="str">
        <f>IF($M389="","",INDEX(fa_num,$M389)&amp;"")</f>
        <v/>
      </c>
      <c r="C389" s="79" t="str">
        <f>IF($M389="","",INDEX(fa_cname,$M389)&amp;"")</f>
        <v/>
      </c>
      <c r="D389" s="56" t="str">
        <f>IF($M389="","",INDEX(fa_date,$M389))</f>
        <v/>
      </c>
      <c r="E389" s="56" t="str">
        <f>IF($M389="","",INDEX(fa_due,$M389))</f>
        <v/>
      </c>
      <c r="F389" s="75" t="str">
        <f>IF($M389="","",INDEX(fa_ttc,$M389))</f>
        <v/>
      </c>
      <c r="G389" s="75" t="str">
        <f>IF($M389="","",INDEX(fa_paid,$M389)+INDEX(fa_avoirs,$M389))</f>
        <v/>
      </c>
      <c r="H389" s="75" t="str">
        <f>IF($M389="","",INDEX(fa_reste,$M389))</f>
        <v/>
      </c>
      <c r="I389" s="58" t="str">
        <f>IF($M389="","",MAX(0,p_asof-E389))</f>
        <v/>
      </c>
      <c r="J389" s="78" t="str">
        <f>IF($M389="","",INDEX(fa_tranche,$M389)&amp;"")</f>
        <v/>
      </c>
      <c r="K389" s="56" t="str">
        <f>IF($M389="","",IF(ISNUMBER(INDEX(fa_relance,$M389)),INDEX(fa_relance,$M389),""))</f>
        <v/>
      </c>
      <c r="L389" s="79" t="str">
        <f>IF($M389="","",IF(AND(ISNUMBER(K389),(p_asof-E389)&gt;0,(p_asof-N(K389))&gt;=0,(p_asof-N(K389))&lt;7),"Déjà relancée il y a "&amp;(p_asof-N(K389))&amp;" j",IF((p_asof-E389)&lt;=0,IF((p_asof-E389)&gt;-8,"Rappel courtois avant l'échéance","Aucune action"),IF((p_asof-E389)&lt;=15,"Relance 1 : e-mail de rappel",IF((p_asof-E389)&lt;=30,"Relance 2 : appel téléphonique",IF((p_asof-E389)&lt;=60,"Relance 3 : lettre de relance",IF((p_asof-E389)&lt;=90,"Mise en demeure (recommandé)","Contentieux : injonction de payer")))))))</f>
        <v/>
      </c>
      <c r="M389" t="str">
        <f>IFERROR(MATCH(358,fa_rank,0),"")</f>
        <v/>
      </c>
    </row>
    <row r="390">
      <c r="B390" s="78" t="str">
        <f>IF($M390="","",INDEX(fa_num,$M390)&amp;"")</f>
        <v/>
      </c>
      <c r="C390" s="79" t="str">
        <f>IF($M390="","",INDEX(fa_cname,$M390)&amp;"")</f>
        <v/>
      </c>
      <c r="D390" s="56" t="str">
        <f>IF($M390="","",INDEX(fa_date,$M390))</f>
        <v/>
      </c>
      <c r="E390" s="56" t="str">
        <f>IF($M390="","",INDEX(fa_due,$M390))</f>
        <v/>
      </c>
      <c r="F390" s="75" t="str">
        <f>IF($M390="","",INDEX(fa_ttc,$M390))</f>
        <v/>
      </c>
      <c r="G390" s="75" t="str">
        <f>IF($M390="","",INDEX(fa_paid,$M390)+INDEX(fa_avoirs,$M390))</f>
        <v/>
      </c>
      <c r="H390" s="75" t="str">
        <f>IF($M390="","",INDEX(fa_reste,$M390))</f>
        <v/>
      </c>
      <c r="I390" s="58" t="str">
        <f>IF($M390="","",MAX(0,p_asof-E390))</f>
        <v/>
      </c>
      <c r="J390" s="78" t="str">
        <f>IF($M390="","",INDEX(fa_tranche,$M390)&amp;"")</f>
        <v/>
      </c>
      <c r="K390" s="56" t="str">
        <f>IF($M390="","",IF(ISNUMBER(INDEX(fa_relance,$M390)),INDEX(fa_relance,$M390),""))</f>
        <v/>
      </c>
      <c r="L390" s="79" t="str">
        <f>IF($M390="","",IF(AND(ISNUMBER(K390),(p_asof-E390)&gt;0,(p_asof-N(K390))&gt;=0,(p_asof-N(K390))&lt;7),"Déjà relancée il y a "&amp;(p_asof-N(K390))&amp;" j",IF((p_asof-E390)&lt;=0,IF((p_asof-E390)&gt;-8,"Rappel courtois avant l'échéance","Aucune action"),IF((p_asof-E390)&lt;=15,"Relance 1 : e-mail de rappel",IF((p_asof-E390)&lt;=30,"Relance 2 : appel téléphonique",IF((p_asof-E390)&lt;=60,"Relance 3 : lettre de relance",IF((p_asof-E390)&lt;=90,"Mise en demeure (recommandé)","Contentieux : injonction de payer")))))))</f>
        <v/>
      </c>
      <c r="M390" t="str">
        <f>IFERROR(MATCH(359,fa_rank,0),"")</f>
        <v/>
      </c>
    </row>
    <row r="391">
      <c r="B391" s="78" t="str">
        <f>IF($M391="","",INDEX(fa_num,$M391)&amp;"")</f>
        <v/>
      </c>
      <c r="C391" s="79" t="str">
        <f>IF($M391="","",INDEX(fa_cname,$M391)&amp;"")</f>
        <v/>
      </c>
      <c r="D391" s="56" t="str">
        <f>IF($M391="","",INDEX(fa_date,$M391))</f>
        <v/>
      </c>
      <c r="E391" s="56" t="str">
        <f>IF($M391="","",INDEX(fa_due,$M391))</f>
        <v/>
      </c>
      <c r="F391" s="75" t="str">
        <f>IF($M391="","",INDEX(fa_ttc,$M391))</f>
        <v/>
      </c>
      <c r="G391" s="75" t="str">
        <f>IF($M391="","",INDEX(fa_paid,$M391)+INDEX(fa_avoirs,$M391))</f>
        <v/>
      </c>
      <c r="H391" s="75" t="str">
        <f>IF($M391="","",INDEX(fa_reste,$M391))</f>
        <v/>
      </c>
      <c r="I391" s="58" t="str">
        <f>IF($M391="","",MAX(0,p_asof-E391))</f>
        <v/>
      </c>
      <c r="J391" s="78" t="str">
        <f>IF($M391="","",INDEX(fa_tranche,$M391)&amp;"")</f>
        <v/>
      </c>
      <c r="K391" s="56" t="str">
        <f>IF($M391="","",IF(ISNUMBER(INDEX(fa_relance,$M391)),INDEX(fa_relance,$M391),""))</f>
        <v/>
      </c>
      <c r="L391" s="79" t="str">
        <f>IF($M391="","",IF(AND(ISNUMBER(K391),(p_asof-E391)&gt;0,(p_asof-N(K391))&gt;=0,(p_asof-N(K391))&lt;7),"Déjà relancée il y a "&amp;(p_asof-N(K391))&amp;" j",IF((p_asof-E391)&lt;=0,IF((p_asof-E391)&gt;-8,"Rappel courtois avant l'échéance","Aucune action"),IF((p_asof-E391)&lt;=15,"Relance 1 : e-mail de rappel",IF((p_asof-E391)&lt;=30,"Relance 2 : appel téléphonique",IF((p_asof-E391)&lt;=60,"Relance 3 : lettre de relance",IF((p_asof-E391)&lt;=90,"Mise en demeure (recommandé)","Contentieux : injonction de payer")))))))</f>
        <v/>
      </c>
      <c r="M391" t="str">
        <f>IFERROR(MATCH(360,fa_rank,0),"")</f>
        <v/>
      </c>
    </row>
    <row r="392">
      <c r="B392" s="78" t="str">
        <f>IF($M392="","",INDEX(fa_num,$M392)&amp;"")</f>
        <v/>
      </c>
      <c r="C392" s="79" t="str">
        <f>IF($M392="","",INDEX(fa_cname,$M392)&amp;"")</f>
        <v/>
      </c>
      <c r="D392" s="56" t="str">
        <f>IF($M392="","",INDEX(fa_date,$M392))</f>
        <v/>
      </c>
      <c r="E392" s="56" t="str">
        <f>IF($M392="","",INDEX(fa_due,$M392))</f>
        <v/>
      </c>
      <c r="F392" s="75" t="str">
        <f>IF($M392="","",INDEX(fa_ttc,$M392))</f>
        <v/>
      </c>
      <c r="G392" s="75" t="str">
        <f>IF($M392="","",INDEX(fa_paid,$M392)+INDEX(fa_avoirs,$M392))</f>
        <v/>
      </c>
      <c r="H392" s="75" t="str">
        <f>IF($M392="","",INDEX(fa_reste,$M392))</f>
        <v/>
      </c>
      <c r="I392" s="58" t="str">
        <f>IF($M392="","",MAX(0,p_asof-E392))</f>
        <v/>
      </c>
      <c r="J392" s="78" t="str">
        <f>IF($M392="","",INDEX(fa_tranche,$M392)&amp;"")</f>
        <v/>
      </c>
      <c r="K392" s="56" t="str">
        <f>IF($M392="","",IF(ISNUMBER(INDEX(fa_relance,$M392)),INDEX(fa_relance,$M392),""))</f>
        <v/>
      </c>
      <c r="L392" s="79" t="str">
        <f>IF($M392="","",IF(AND(ISNUMBER(K392),(p_asof-E392)&gt;0,(p_asof-N(K392))&gt;=0,(p_asof-N(K392))&lt;7),"Déjà relancée il y a "&amp;(p_asof-N(K392))&amp;" j",IF((p_asof-E392)&lt;=0,IF((p_asof-E392)&gt;-8,"Rappel courtois avant l'échéance","Aucune action"),IF((p_asof-E392)&lt;=15,"Relance 1 : e-mail de rappel",IF((p_asof-E392)&lt;=30,"Relance 2 : appel téléphonique",IF((p_asof-E392)&lt;=60,"Relance 3 : lettre de relance",IF((p_asof-E392)&lt;=90,"Mise en demeure (recommandé)","Contentieux : injonction de payer")))))))</f>
        <v/>
      </c>
      <c r="M392" t="str">
        <f>IFERROR(MATCH(361,fa_rank,0),"")</f>
        <v/>
      </c>
    </row>
    <row r="393">
      <c r="B393" s="78" t="str">
        <f>IF($M393="","",INDEX(fa_num,$M393)&amp;"")</f>
        <v/>
      </c>
      <c r="C393" s="79" t="str">
        <f>IF($M393="","",INDEX(fa_cname,$M393)&amp;"")</f>
        <v/>
      </c>
      <c r="D393" s="56" t="str">
        <f>IF($M393="","",INDEX(fa_date,$M393))</f>
        <v/>
      </c>
      <c r="E393" s="56" t="str">
        <f>IF($M393="","",INDEX(fa_due,$M393))</f>
        <v/>
      </c>
      <c r="F393" s="75" t="str">
        <f>IF($M393="","",INDEX(fa_ttc,$M393))</f>
        <v/>
      </c>
      <c r="G393" s="75" t="str">
        <f>IF($M393="","",INDEX(fa_paid,$M393)+INDEX(fa_avoirs,$M393))</f>
        <v/>
      </c>
      <c r="H393" s="75" t="str">
        <f>IF($M393="","",INDEX(fa_reste,$M393))</f>
        <v/>
      </c>
      <c r="I393" s="58" t="str">
        <f>IF($M393="","",MAX(0,p_asof-E393))</f>
        <v/>
      </c>
      <c r="J393" s="78" t="str">
        <f>IF($M393="","",INDEX(fa_tranche,$M393)&amp;"")</f>
        <v/>
      </c>
      <c r="K393" s="56" t="str">
        <f>IF($M393="","",IF(ISNUMBER(INDEX(fa_relance,$M393)),INDEX(fa_relance,$M393),""))</f>
        <v/>
      </c>
      <c r="L393" s="79" t="str">
        <f>IF($M393="","",IF(AND(ISNUMBER(K393),(p_asof-E393)&gt;0,(p_asof-N(K393))&gt;=0,(p_asof-N(K393))&lt;7),"Déjà relancée il y a "&amp;(p_asof-N(K393))&amp;" j",IF((p_asof-E393)&lt;=0,IF((p_asof-E393)&gt;-8,"Rappel courtois avant l'échéance","Aucune action"),IF((p_asof-E393)&lt;=15,"Relance 1 : e-mail de rappel",IF((p_asof-E393)&lt;=30,"Relance 2 : appel téléphonique",IF((p_asof-E393)&lt;=60,"Relance 3 : lettre de relance",IF((p_asof-E393)&lt;=90,"Mise en demeure (recommandé)","Contentieux : injonction de payer")))))))</f>
        <v/>
      </c>
      <c r="M393" t="str">
        <f>IFERROR(MATCH(362,fa_rank,0),"")</f>
        <v/>
      </c>
    </row>
    <row r="394">
      <c r="B394" s="78" t="str">
        <f>IF($M394="","",INDEX(fa_num,$M394)&amp;"")</f>
        <v/>
      </c>
      <c r="C394" s="79" t="str">
        <f>IF($M394="","",INDEX(fa_cname,$M394)&amp;"")</f>
        <v/>
      </c>
      <c r="D394" s="56" t="str">
        <f>IF($M394="","",INDEX(fa_date,$M394))</f>
        <v/>
      </c>
      <c r="E394" s="56" t="str">
        <f>IF($M394="","",INDEX(fa_due,$M394))</f>
        <v/>
      </c>
      <c r="F394" s="75" t="str">
        <f>IF($M394="","",INDEX(fa_ttc,$M394))</f>
        <v/>
      </c>
      <c r="G394" s="75" t="str">
        <f>IF($M394="","",INDEX(fa_paid,$M394)+INDEX(fa_avoirs,$M394))</f>
        <v/>
      </c>
      <c r="H394" s="75" t="str">
        <f>IF($M394="","",INDEX(fa_reste,$M394))</f>
        <v/>
      </c>
      <c r="I394" s="58" t="str">
        <f>IF($M394="","",MAX(0,p_asof-E394))</f>
        <v/>
      </c>
      <c r="J394" s="78" t="str">
        <f>IF($M394="","",INDEX(fa_tranche,$M394)&amp;"")</f>
        <v/>
      </c>
      <c r="K394" s="56" t="str">
        <f>IF($M394="","",IF(ISNUMBER(INDEX(fa_relance,$M394)),INDEX(fa_relance,$M394),""))</f>
        <v/>
      </c>
      <c r="L394" s="79" t="str">
        <f>IF($M394="","",IF(AND(ISNUMBER(K394),(p_asof-E394)&gt;0,(p_asof-N(K394))&gt;=0,(p_asof-N(K394))&lt;7),"Déjà relancée il y a "&amp;(p_asof-N(K394))&amp;" j",IF((p_asof-E394)&lt;=0,IF((p_asof-E394)&gt;-8,"Rappel courtois avant l'échéance","Aucune action"),IF((p_asof-E394)&lt;=15,"Relance 1 : e-mail de rappel",IF((p_asof-E394)&lt;=30,"Relance 2 : appel téléphonique",IF((p_asof-E394)&lt;=60,"Relance 3 : lettre de relance",IF((p_asof-E394)&lt;=90,"Mise en demeure (recommandé)","Contentieux : injonction de payer")))))))</f>
        <v/>
      </c>
      <c r="M394" t="str">
        <f>IFERROR(MATCH(363,fa_rank,0),"")</f>
        <v/>
      </c>
    </row>
    <row r="395">
      <c r="B395" s="78" t="str">
        <f>IF($M395="","",INDEX(fa_num,$M395)&amp;"")</f>
        <v/>
      </c>
      <c r="C395" s="79" t="str">
        <f>IF($M395="","",INDEX(fa_cname,$M395)&amp;"")</f>
        <v/>
      </c>
      <c r="D395" s="56" t="str">
        <f>IF($M395="","",INDEX(fa_date,$M395))</f>
        <v/>
      </c>
      <c r="E395" s="56" t="str">
        <f>IF($M395="","",INDEX(fa_due,$M395))</f>
        <v/>
      </c>
      <c r="F395" s="75" t="str">
        <f>IF($M395="","",INDEX(fa_ttc,$M395))</f>
        <v/>
      </c>
      <c r="G395" s="75" t="str">
        <f>IF($M395="","",INDEX(fa_paid,$M395)+INDEX(fa_avoirs,$M395))</f>
        <v/>
      </c>
      <c r="H395" s="75" t="str">
        <f>IF($M395="","",INDEX(fa_reste,$M395))</f>
        <v/>
      </c>
      <c r="I395" s="58" t="str">
        <f>IF($M395="","",MAX(0,p_asof-E395))</f>
        <v/>
      </c>
      <c r="J395" s="78" t="str">
        <f>IF($M395="","",INDEX(fa_tranche,$M395)&amp;"")</f>
        <v/>
      </c>
      <c r="K395" s="56" t="str">
        <f>IF($M395="","",IF(ISNUMBER(INDEX(fa_relance,$M395)),INDEX(fa_relance,$M395),""))</f>
        <v/>
      </c>
      <c r="L395" s="79" t="str">
        <f>IF($M395="","",IF(AND(ISNUMBER(K395),(p_asof-E395)&gt;0,(p_asof-N(K395))&gt;=0,(p_asof-N(K395))&lt;7),"Déjà relancée il y a "&amp;(p_asof-N(K395))&amp;" j",IF((p_asof-E395)&lt;=0,IF((p_asof-E395)&gt;-8,"Rappel courtois avant l'échéance","Aucune action"),IF((p_asof-E395)&lt;=15,"Relance 1 : e-mail de rappel",IF((p_asof-E395)&lt;=30,"Relance 2 : appel téléphonique",IF((p_asof-E395)&lt;=60,"Relance 3 : lettre de relance",IF((p_asof-E395)&lt;=90,"Mise en demeure (recommandé)","Contentieux : injonction de payer")))))))</f>
        <v/>
      </c>
      <c r="M395" t="str">
        <f>IFERROR(MATCH(364,fa_rank,0),"")</f>
        <v/>
      </c>
    </row>
    <row r="396">
      <c r="B396" s="78" t="str">
        <f>IF($M396="","",INDEX(fa_num,$M396)&amp;"")</f>
        <v/>
      </c>
      <c r="C396" s="79" t="str">
        <f>IF($M396="","",INDEX(fa_cname,$M396)&amp;"")</f>
        <v/>
      </c>
      <c r="D396" s="56" t="str">
        <f>IF($M396="","",INDEX(fa_date,$M396))</f>
        <v/>
      </c>
      <c r="E396" s="56" t="str">
        <f>IF($M396="","",INDEX(fa_due,$M396))</f>
        <v/>
      </c>
      <c r="F396" s="75" t="str">
        <f>IF($M396="","",INDEX(fa_ttc,$M396))</f>
        <v/>
      </c>
      <c r="G396" s="75" t="str">
        <f>IF($M396="","",INDEX(fa_paid,$M396)+INDEX(fa_avoirs,$M396))</f>
        <v/>
      </c>
      <c r="H396" s="75" t="str">
        <f>IF($M396="","",INDEX(fa_reste,$M396))</f>
        <v/>
      </c>
      <c r="I396" s="58" t="str">
        <f>IF($M396="","",MAX(0,p_asof-E396))</f>
        <v/>
      </c>
      <c r="J396" s="78" t="str">
        <f>IF($M396="","",INDEX(fa_tranche,$M396)&amp;"")</f>
        <v/>
      </c>
      <c r="K396" s="56" t="str">
        <f>IF($M396="","",IF(ISNUMBER(INDEX(fa_relance,$M396)),INDEX(fa_relance,$M396),""))</f>
        <v/>
      </c>
      <c r="L396" s="79" t="str">
        <f>IF($M396="","",IF(AND(ISNUMBER(K396),(p_asof-E396)&gt;0,(p_asof-N(K396))&gt;=0,(p_asof-N(K396))&lt;7),"Déjà relancée il y a "&amp;(p_asof-N(K396))&amp;" j",IF((p_asof-E396)&lt;=0,IF((p_asof-E396)&gt;-8,"Rappel courtois avant l'échéance","Aucune action"),IF((p_asof-E396)&lt;=15,"Relance 1 : e-mail de rappel",IF((p_asof-E396)&lt;=30,"Relance 2 : appel téléphonique",IF((p_asof-E396)&lt;=60,"Relance 3 : lettre de relance",IF((p_asof-E396)&lt;=90,"Mise en demeure (recommandé)","Contentieux : injonction de payer")))))))</f>
        <v/>
      </c>
      <c r="M396" t="str">
        <f>IFERROR(MATCH(365,fa_rank,0),"")</f>
        <v/>
      </c>
    </row>
    <row r="397">
      <c r="B397" s="78" t="str">
        <f>IF($M397="","",INDEX(fa_num,$M397)&amp;"")</f>
        <v/>
      </c>
      <c r="C397" s="79" t="str">
        <f>IF($M397="","",INDEX(fa_cname,$M397)&amp;"")</f>
        <v/>
      </c>
      <c r="D397" s="56" t="str">
        <f>IF($M397="","",INDEX(fa_date,$M397))</f>
        <v/>
      </c>
      <c r="E397" s="56" t="str">
        <f>IF($M397="","",INDEX(fa_due,$M397))</f>
        <v/>
      </c>
      <c r="F397" s="75" t="str">
        <f>IF($M397="","",INDEX(fa_ttc,$M397))</f>
        <v/>
      </c>
      <c r="G397" s="75" t="str">
        <f>IF($M397="","",INDEX(fa_paid,$M397)+INDEX(fa_avoirs,$M397))</f>
        <v/>
      </c>
      <c r="H397" s="75" t="str">
        <f>IF($M397="","",INDEX(fa_reste,$M397))</f>
        <v/>
      </c>
      <c r="I397" s="58" t="str">
        <f>IF($M397="","",MAX(0,p_asof-E397))</f>
        <v/>
      </c>
      <c r="J397" s="78" t="str">
        <f>IF($M397="","",INDEX(fa_tranche,$M397)&amp;"")</f>
        <v/>
      </c>
      <c r="K397" s="56" t="str">
        <f>IF($M397="","",IF(ISNUMBER(INDEX(fa_relance,$M397)),INDEX(fa_relance,$M397),""))</f>
        <v/>
      </c>
      <c r="L397" s="79" t="str">
        <f>IF($M397="","",IF(AND(ISNUMBER(K397),(p_asof-E397)&gt;0,(p_asof-N(K397))&gt;=0,(p_asof-N(K397))&lt;7),"Déjà relancée il y a "&amp;(p_asof-N(K397))&amp;" j",IF((p_asof-E397)&lt;=0,IF((p_asof-E397)&gt;-8,"Rappel courtois avant l'échéance","Aucune action"),IF((p_asof-E397)&lt;=15,"Relance 1 : e-mail de rappel",IF((p_asof-E397)&lt;=30,"Relance 2 : appel téléphonique",IF((p_asof-E397)&lt;=60,"Relance 3 : lettre de relance",IF((p_asof-E397)&lt;=90,"Mise en demeure (recommandé)","Contentieux : injonction de payer")))))))</f>
        <v/>
      </c>
      <c r="M397" t="str">
        <f>IFERROR(MATCH(366,fa_rank,0),"")</f>
        <v/>
      </c>
    </row>
    <row r="398">
      <c r="B398" s="78" t="str">
        <f>IF($M398="","",INDEX(fa_num,$M398)&amp;"")</f>
        <v/>
      </c>
      <c r="C398" s="79" t="str">
        <f>IF($M398="","",INDEX(fa_cname,$M398)&amp;"")</f>
        <v/>
      </c>
      <c r="D398" s="56" t="str">
        <f>IF($M398="","",INDEX(fa_date,$M398))</f>
        <v/>
      </c>
      <c r="E398" s="56" t="str">
        <f>IF($M398="","",INDEX(fa_due,$M398))</f>
        <v/>
      </c>
      <c r="F398" s="75" t="str">
        <f>IF($M398="","",INDEX(fa_ttc,$M398))</f>
        <v/>
      </c>
      <c r="G398" s="75" t="str">
        <f>IF($M398="","",INDEX(fa_paid,$M398)+INDEX(fa_avoirs,$M398))</f>
        <v/>
      </c>
      <c r="H398" s="75" t="str">
        <f>IF($M398="","",INDEX(fa_reste,$M398))</f>
        <v/>
      </c>
      <c r="I398" s="58" t="str">
        <f>IF($M398="","",MAX(0,p_asof-E398))</f>
        <v/>
      </c>
      <c r="J398" s="78" t="str">
        <f>IF($M398="","",INDEX(fa_tranche,$M398)&amp;"")</f>
        <v/>
      </c>
      <c r="K398" s="56" t="str">
        <f>IF($M398="","",IF(ISNUMBER(INDEX(fa_relance,$M398)),INDEX(fa_relance,$M398),""))</f>
        <v/>
      </c>
      <c r="L398" s="79" t="str">
        <f>IF($M398="","",IF(AND(ISNUMBER(K398),(p_asof-E398)&gt;0,(p_asof-N(K398))&gt;=0,(p_asof-N(K398))&lt;7),"Déjà relancée il y a "&amp;(p_asof-N(K398))&amp;" j",IF((p_asof-E398)&lt;=0,IF((p_asof-E398)&gt;-8,"Rappel courtois avant l'échéance","Aucune action"),IF((p_asof-E398)&lt;=15,"Relance 1 : e-mail de rappel",IF((p_asof-E398)&lt;=30,"Relance 2 : appel téléphonique",IF((p_asof-E398)&lt;=60,"Relance 3 : lettre de relance",IF((p_asof-E398)&lt;=90,"Mise en demeure (recommandé)","Contentieux : injonction de payer")))))))</f>
        <v/>
      </c>
      <c r="M398" t="str">
        <f>IFERROR(MATCH(367,fa_rank,0),"")</f>
        <v/>
      </c>
    </row>
    <row r="399">
      <c r="B399" s="78" t="str">
        <f>IF($M399="","",INDEX(fa_num,$M399)&amp;"")</f>
        <v/>
      </c>
      <c r="C399" s="79" t="str">
        <f>IF($M399="","",INDEX(fa_cname,$M399)&amp;"")</f>
        <v/>
      </c>
      <c r="D399" s="56" t="str">
        <f>IF($M399="","",INDEX(fa_date,$M399))</f>
        <v/>
      </c>
      <c r="E399" s="56" t="str">
        <f>IF($M399="","",INDEX(fa_due,$M399))</f>
        <v/>
      </c>
      <c r="F399" s="75" t="str">
        <f>IF($M399="","",INDEX(fa_ttc,$M399))</f>
        <v/>
      </c>
      <c r="G399" s="75" t="str">
        <f>IF($M399="","",INDEX(fa_paid,$M399)+INDEX(fa_avoirs,$M399))</f>
        <v/>
      </c>
      <c r="H399" s="75" t="str">
        <f>IF($M399="","",INDEX(fa_reste,$M399))</f>
        <v/>
      </c>
      <c r="I399" s="58" t="str">
        <f>IF($M399="","",MAX(0,p_asof-E399))</f>
        <v/>
      </c>
      <c r="J399" s="78" t="str">
        <f>IF($M399="","",INDEX(fa_tranche,$M399)&amp;"")</f>
        <v/>
      </c>
      <c r="K399" s="56" t="str">
        <f>IF($M399="","",IF(ISNUMBER(INDEX(fa_relance,$M399)),INDEX(fa_relance,$M399),""))</f>
        <v/>
      </c>
      <c r="L399" s="79" t="str">
        <f>IF($M399="","",IF(AND(ISNUMBER(K399),(p_asof-E399)&gt;0,(p_asof-N(K399))&gt;=0,(p_asof-N(K399))&lt;7),"Déjà relancée il y a "&amp;(p_asof-N(K399))&amp;" j",IF((p_asof-E399)&lt;=0,IF((p_asof-E399)&gt;-8,"Rappel courtois avant l'échéance","Aucune action"),IF((p_asof-E399)&lt;=15,"Relance 1 : e-mail de rappel",IF((p_asof-E399)&lt;=30,"Relance 2 : appel téléphonique",IF((p_asof-E399)&lt;=60,"Relance 3 : lettre de relance",IF((p_asof-E399)&lt;=90,"Mise en demeure (recommandé)","Contentieux : injonction de payer")))))))</f>
        <v/>
      </c>
      <c r="M399" t="str">
        <f>IFERROR(MATCH(368,fa_rank,0),"")</f>
        <v/>
      </c>
    </row>
    <row r="400">
      <c r="B400" s="78" t="str">
        <f>IF($M400="","",INDEX(fa_num,$M400)&amp;"")</f>
        <v/>
      </c>
      <c r="C400" s="79" t="str">
        <f>IF($M400="","",INDEX(fa_cname,$M400)&amp;"")</f>
        <v/>
      </c>
      <c r="D400" s="56" t="str">
        <f>IF($M400="","",INDEX(fa_date,$M400))</f>
        <v/>
      </c>
      <c r="E400" s="56" t="str">
        <f>IF($M400="","",INDEX(fa_due,$M400))</f>
        <v/>
      </c>
      <c r="F400" s="75" t="str">
        <f>IF($M400="","",INDEX(fa_ttc,$M400))</f>
        <v/>
      </c>
      <c r="G400" s="75" t="str">
        <f>IF($M400="","",INDEX(fa_paid,$M400)+INDEX(fa_avoirs,$M400))</f>
        <v/>
      </c>
      <c r="H400" s="75" t="str">
        <f>IF($M400="","",INDEX(fa_reste,$M400))</f>
        <v/>
      </c>
      <c r="I400" s="58" t="str">
        <f>IF($M400="","",MAX(0,p_asof-E400))</f>
        <v/>
      </c>
      <c r="J400" s="78" t="str">
        <f>IF($M400="","",INDEX(fa_tranche,$M400)&amp;"")</f>
        <v/>
      </c>
      <c r="K400" s="56" t="str">
        <f>IF($M400="","",IF(ISNUMBER(INDEX(fa_relance,$M400)),INDEX(fa_relance,$M400),""))</f>
        <v/>
      </c>
      <c r="L400" s="79" t="str">
        <f>IF($M400="","",IF(AND(ISNUMBER(K400),(p_asof-E400)&gt;0,(p_asof-N(K400))&gt;=0,(p_asof-N(K400))&lt;7),"Déjà relancée il y a "&amp;(p_asof-N(K400))&amp;" j",IF((p_asof-E400)&lt;=0,IF((p_asof-E400)&gt;-8,"Rappel courtois avant l'échéance","Aucune action"),IF((p_asof-E400)&lt;=15,"Relance 1 : e-mail de rappel",IF((p_asof-E400)&lt;=30,"Relance 2 : appel téléphonique",IF((p_asof-E400)&lt;=60,"Relance 3 : lettre de relance",IF((p_asof-E400)&lt;=90,"Mise en demeure (recommandé)","Contentieux : injonction de payer")))))))</f>
        <v/>
      </c>
      <c r="M400" t="str">
        <f>IFERROR(MATCH(369,fa_rank,0),"")</f>
        <v/>
      </c>
    </row>
    <row r="401">
      <c r="B401" s="78" t="str">
        <f>IF($M401="","",INDEX(fa_num,$M401)&amp;"")</f>
        <v/>
      </c>
      <c r="C401" s="79" t="str">
        <f>IF($M401="","",INDEX(fa_cname,$M401)&amp;"")</f>
        <v/>
      </c>
      <c r="D401" s="56" t="str">
        <f>IF($M401="","",INDEX(fa_date,$M401))</f>
        <v/>
      </c>
      <c r="E401" s="56" t="str">
        <f>IF($M401="","",INDEX(fa_due,$M401))</f>
        <v/>
      </c>
      <c r="F401" s="75" t="str">
        <f>IF($M401="","",INDEX(fa_ttc,$M401))</f>
        <v/>
      </c>
      <c r="G401" s="75" t="str">
        <f>IF($M401="","",INDEX(fa_paid,$M401)+INDEX(fa_avoirs,$M401))</f>
        <v/>
      </c>
      <c r="H401" s="75" t="str">
        <f>IF($M401="","",INDEX(fa_reste,$M401))</f>
        <v/>
      </c>
      <c r="I401" s="58" t="str">
        <f>IF($M401="","",MAX(0,p_asof-E401))</f>
        <v/>
      </c>
      <c r="J401" s="78" t="str">
        <f>IF($M401="","",INDEX(fa_tranche,$M401)&amp;"")</f>
        <v/>
      </c>
      <c r="K401" s="56" t="str">
        <f>IF($M401="","",IF(ISNUMBER(INDEX(fa_relance,$M401)),INDEX(fa_relance,$M401),""))</f>
        <v/>
      </c>
      <c r="L401" s="79" t="str">
        <f>IF($M401="","",IF(AND(ISNUMBER(K401),(p_asof-E401)&gt;0,(p_asof-N(K401))&gt;=0,(p_asof-N(K401))&lt;7),"Déjà relancée il y a "&amp;(p_asof-N(K401))&amp;" j",IF((p_asof-E401)&lt;=0,IF((p_asof-E401)&gt;-8,"Rappel courtois avant l'échéance","Aucune action"),IF((p_asof-E401)&lt;=15,"Relance 1 : e-mail de rappel",IF((p_asof-E401)&lt;=30,"Relance 2 : appel téléphonique",IF((p_asof-E401)&lt;=60,"Relance 3 : lettre de relance",IF((p_asof-E401)&lt;=90,"Mise en demeure (recommandé)","Contentieux : injonction de payer")))))))</f>
        <v/>
      </c>
      <c r="M401" t="str">
        <f>IFERROR(MATCH(370,fa_rank,0),"")</f>
        <v/>
      </c>
    </row>
    <row r="402">
      <c r="B402" s="78" t="str">
        <f>IF($M402="","",INDEX(fa_num,$M402)&amp;"")</f>
        <v/>
      </c>
      <c r="C402" s="79" t="str">
        <f>IF($M402="","",INDEX(fa_cname,$M402)&amp;"")</f>
        <v/>
      </c>
      <c r="D402" s="56" t="str">
        <f>IF($M402="","",INDEX(fa_date,$M402))</f>
        <v/>
      </c>
      <c r="E402" s="56" t="str">
        <f>IF($M402="","",INDEX(fa_due,$M402))</f>
        <v/>
      </c>
      <c r="F402" s="75" t="str">
        <f>IF($M402="","",INDEX(fa_ttc,$M402))</f>
        <v/>
      </c>
      <c r="G402" s="75" t="str">
        <f>IF($M402="","",INDEX(fa_paid,$M402)+INDEX(fa_avoirs,$M402))</f>
        <v/>
      </c>
      <c r="H402" s="75" t="str">
        <f>IF($M402="","",INDEX(fa_reste,$M402))</f>
        <v/>
      </c>
      <c r="I402" s="58" t="str">
        <f>IF($M402="","",MAX(0,p_asof-E402))</f>
        <v/>
      </c>
      <c r="J402" s="78" t="str">
        <f>IF($M402="","",INDEX(fa_tranche,$M402)&amp;"")</f>
        <v/>
      </c>
      <c r="K402" s="56" t="str">
        <f>IF($M402="","",IF(ISNUMBER(INDEX(fa_relance,$M402)),INDEX(fa_relance,$M402),""))</f>
        <v/>
      </c>
      <c r="L402" s="79" t="str">
        <f>IF($M402="","",IF(AND(ISNUMBER(K402),(p_asof-E402)&gt;0,(p_asof-N(K402))&gt;=0,(p_asof-N(K402))&lt;7),"Déjà relancée il y a "&amp;(p_asof-N(K402))&amp;" j",IF((p_asof-E402)&lt;=0,IF((p_asof-E402)&gt;-8,"Rappel courtois avant l'échéance","Aucune action"),IF((p_asof-E402)&lt;=15,"Relance 1 : e-mail de rappel",IF((p_asof-E402)&lt;=30,"Relance 2 : appel téléphonique",IF((p_asof-E402)&lt;=60,"Relance 3 : lettre de relance",IF((p_asof-E402)&lt;=90,"Mise en demeure (recommandé)","Contentieux : injonction de payer")))))))</f>
        <v/>
      </c>
      <c r="M402" t="str">
        <f>IFERROR(MATCH(371,fa_rank,0),"")</f>
        <v/>
      </c>
    </row>
    <row r="403">
      <c r="B403" s="78" t="str">
        <f>IF($M403="","",INDEX(fa_num,$M403)&amp;"")</f>
        <v/>
      </c>
      <c r="C403" s="79" t="str">
        <f>IF($M403="","",INDEX(fa_cname,$M403)&amp;"")</f>
        <v/>
      </c>
      <c r="D403" s="56" t="str">
        <f>IF($M403="","",INDEX(fa_date,$M403))</f>
        <v/>
      </c>
      <c r="E403" s="56" t="str">
        <f>IF($M403="","",INDEX(fa_due,$M403))</f>
        <v/>
      </c>
      <c r="F403" s="75" t="str">
        <f>IF($M403="","",INDEX(fa_ttc,$M403))</f>
        <v/>
      </c>
      <c r="G403" s="75" t="str">
        <f>IF($M403="","",INDEX(fa_paid,$M403)+INDEX(fa_avoirs,$M403))</f>
        <v/>
      </c>
      <c r="H403" s="75" t="str">
        <f>IF($M403="","",INDEX(fa_reste,$M403))</f>
        <v/>
      </c>
      <c r="I403" s="58" t="str">
        <f>IF($M403="","",MAX(0,p_asof-E403))</f>
        <v/>
      </c>
      <c r="J403" s="78" t="str">
        <f>IF($M403="","",INDEX(fa_tranche,$M403)&amp;"")</f>
        <v/>
      </c>
      <c r="K403" s="56" t="str">
        <f>IF($M403="","",IF(ISNUMBER(INDEX(fa_relance,$M403)),INDEX(fa_relance,$M403),""))</f>
        <v/>
      </c>
      <c r="L403" s="79" t="str">
        <f>IF($M403="","",IF(AND(ISNUMBER(K403),(p_asof-E403)&gt;0,(p_asof-N(K403))&gt;=0,(p_asof-N(K403))&lt;7),"Déjà relancée il y a "&amp;(p_asof-N(K403))&amp;" j",IF((p_asof-E403)&lt;=0,IF((p_asof-E403)&gt;-8,"Rappel courtois avant l'échéance","Aucune action"),IF((p_asof-E403)&lt;=15,"Relance 1 : e-mail de rappel",IF((p_asof-E403)&lt;=30,"Relance 2 : appel téléphonique",IF((p_asof-E403)&lt;=60,"Relance 3 : lettre de relance",IF((p_asof-E403)&lt;=90,"Mise en demeure (recommandé)","Contentieux : injonction de payer")))))))</f>
        <v/>
      </c>
      <c r="M403" t="str">
        <f>IFERROR(MATCH(372,fa_rank,0),"")</f>
        <v/>
      </c>
    </row>
    <row r="404">
      <c r="B404" s="78" t="str">
        <f>IF($M404="","",INDEX(fa_num,$M404)&amp;"")</f>
        <v/>
      </c>
      <c r="C404" s="79" t="str">
        <f>IF($M404="","",INDEX(fa_cname,$M404)&amp;"")</f>
        <v/>
      </c>
      <c r="D404" s="56" t="str">
        <f>IF($M404="","",INDEX(fa_date,$M404))</f>
        <v/>
      </c>
      <c r="E404" s="56" t="str">
        <f>IF($M404="","",INDEX(fa_due,$M404))</f>
        <v/>
      </c>
      <c r="F404" s="75" t="str">
        <f>IF($M404="","",INDEX(fa_ttc,$M404))</f>
        <v/>
      </c>
      <c r="G404" s="75" t="str">
        <f>IF($M404="","",INDEX(fa_paid,$M404)+INDEX(fa_avoirs,$M404))</f>
        <v/>
      </c>
      <c r="H404" s="75" t="str">
        <f>IF($M404="","",INDEX(fa_reste,$M404))</f>
        <v/>
      </c>
      <c r="I404" s="58" t="str">
        <f>IF($M404="","",MAX(0,p_asof-E404))</f>
        <v/>
      </c>
      <c r="J404" s="78" t="str">
        <f>IF($M404="","",INDEX(fa_tranche,$M404)&amp;"")</f>
        <v/>
      </c>
      <c r="K404" s="56" t="str">
        <f>IF($M404="","",IF(ISNUMBER(INDEX(fa_relance,$M404)),INDEX(fa_relance,$M404),""))</f>
        <v/>
      </c>
      <c r="L404" s="79" t="str">
        <f>IF($M404="","",IF(AND(ISNUMBER(K404),(p_asof-E404)&gt;0,(p_asof-N(K404))&gt;=0,(p_asof-N(K404))&lt;7),"Déjà relancée il y a "&amp;(p_asof-N(K404))&amp;" j",IF((p_asof-E404)&lt;=0,IF((p_asof-E404)&gt;-8,"Rappel courtois avant l'échéance","Aucune action"),IF((p_asof-E404)&lt;=15,"Relance 1 : e-mail de rappel",IF((p_asof-E404)&lt;=30,"Relance 2 : appel téléphonique",IF((p_asof-E404)&lt;=60,"Relance 3 : lettre de relance",IF((p_asof-E404)&lt;=90,"Mise en demeure (recommandé)","Contentieux : injonction de payer")))))))</f>
        <v/>
      </c>
      <c r="M404" t="str">
        <f>IFERROR(MATCH(373,fa_rank,0),"")</f>
        <v/>
      </c>
    </row>
    <row r="405">
      <c r="B405" s="78" t="str">
        <f>IF($M405="","",INDEX(fa_num,$M405)&amp;"")</f>
        <v/>
      </c>
      <c r="C405" s="79" t="str">
        <f>IF($M405="","",INDEX(fa_cname,$M405)&amp;"")</f>
        <v/>
      </c>
      <c r="D405" s="56" t="str">
        <f>IF($M405="","",INDEX(fa_date,$M405))</f>
        <v/>
      </c>
      <c r="E405" s="56" t="str">
        <f>IF($M405="","",INDEX(fa_due,$M405))</f>
        <v/>
      </c>
      <c r="F405" s="75" t="str">
        <f>IF($M405="","",INDEX(fa_ttc,$M405))</f>
        <v/>
      </c>
      <c r="G405" s="75" t="str">
        <f>IF($M405="","",INDEX(fa_paid,$M405)+INDEX(fa_avoirs,$M405))</f>
        <v/>
      </c>
      <c r="H405" s="75" t="str">
        <f>IF($M405="","",INDEX(fa_reste,$M405))</f>
        <v/>
      </c>
      <c r="I405" s="58" t="str">
        <f>IF($M405="","",MAX(0,p_asof-E405))</f>
        <v/>
      </c>
      <c r="J405" s="78" t="str">
        <f>IF($M405="","",INDEX(fa_tranche,$M405)&amp;"")</f>
        <v/>
      </c>
      <c r="K405" s="56" t="str">
        <f>IF($M405="","",IF(ISNUMBER(INDEX(fa_relance,$M405)),INDEX(fa_relance,$M405),""))</f>
        <v/>
      </c>
      <c r="L405" s="79" t="str">
        <f>IF($M405="","",IF(AND(ISNUMBER(K405),(p_asof-E405)&gt;0,(p_asof-N(K405))&gt;=0,(p_asof-N(K405))&lt;7),"Déjà relancée il y a "&amp;(p_asof-N(K405))&amp;" j",IF((p_asof-E405)&lt;=0,IF((p_asof-E405)&gt;-8,"Rappel courtois avant l'échéance","Aucune action"),IF((p_asof-E405)&lt;=15,"Relance 1 : e-mail de rappel",IF((p_asof-E405)&lt;=30,"Relance 2 : appel téléphonique",IF((p_asof-E405)&lt;=60,"Relance 3 : lettre de relance",IF((p_asof-E405)&lt;=90,"Mise en demeure (recommandé)","Contentieux : injonction de payer")))))))</f>
        <v/>
      </c>
      <c r="M405" t="str">
        <f>IFERROR(MATCH(374,fa_rank,0),"")</f>
        <v/>
      </c>
    </row>
    <row r="406">
      <c r="B406" s="78" t="str">
        <f>IF($M406="","",INDEX(fa_num,$M406)&amp;"")</f>
        <v/>
      </c>
      <c r="C406" s="79" t="str">
        <f>IF($M406="","",INDEX(fa_cname,$M406)&amp;"")</f>
        <v/>
      </c>
      <c r="D406" s="56" t="str">
        <f>IF($M406="","",INDEX(fa_date,$M406))</f>
        <v/>
      </c>
      <c r="E406" s="56" t="str">
        <f>IF($M406="","",INDEX(fa_due,$M406))</f>
        <v/>
      </c>
      <c r="F406" s="75" t="str">
        <f>IF($M406="","",INDEX(fa_ttc,$M406))</f>
        <v/>
      </c>
      <c r="G406" s="75" t="str">
        <f>IF($M406="","",INDEX(fa_paid,$M406)+INDEX(fa_avoirs,$M406))</f>
        <v/>
      </c>
      <c r="H406" s="75" t="str">
        <f>IF($M406="","",INDEX(fa_reste,$M406))</f>
        <v/>
      </c>
      <c r="I406" s="58" t="str">
        <f>IF($M406="","",MAX(0,p_asof-E406))</f>
        <v/>
      </c>
      <c r="J406" s="78" t="str">
        <f>IF($M406="","",INDEX(fa_tranche,$M406)&amp;"")</f>
        <v/>
      </c>
      <c r="K406" s="56" t="str">
        <f>IF($M406="","",IF(ISNUMBER(INDEX(fa_relance,$M406)),INDEX(fa_relance,$M406),""))</f>
        <v/>
      </c>
      <c r="L406" s="79" t="str">
        <f>IF($M406="","",IF(AND(ISNUMBER(K406),(p_asof-E406)&gt;0,(p_asof-N(K406))&gt;=0,(p_asof-N(K406))&lt;7),"Déjà relancée il y a "&amp;(p_asof-N(K406))&amp;" j",IF((p_asof-E406)&lt;=0,IF((p_asof-E406)&gt;-8,"Rappel courtois avant l'échéance","Aucune action"),IF((p_asof-E406)&lt;=15,"Relance 1 : e-mail de rappel",IF((p_asof-E406)&lt;=30,"Relance 2 : appel téléphonique",IF((p_asof-E406)&lt;=60,"Relance 3 : lettre de relance",IF((p_asof-E406)&lt;=90,"Mise en demeure (recommandé)","Contentieux : injonction de payer")))))))</f>
        <v/>
      </c>
      <c r="M406" t="str">
        <f>IFERROR(MATCH(375,fa_rank,0),"")</f>
        <v/>
      </c>
    </row>
    <row r="407">
      <c r="B407" s="78" t="str">
        <f>IF($M407="","",INDEX(fa_num,$M407)&amp;"")</f>
        <v/>
      </c>
      <c r="C407" s="79" t="str">
        <f>IF($M407="","",INDEX(fa_cname,$M407)&amp;"")</f>
        <v/>
      </c>
      <c r="D407" s="56" t="str">
        <f>IF($M407="","",INDEX(fa_date,$M407))</f>
        <v/>
      </c>
      <c r="E407" s="56" t="str">
        <f>IF($M407="","",INDEX(fa_due,$M407))</f>
        <v/>
      </c>
      <c r="F407" s="75" t="str">
        <f>IF($M407="","",INDEX(fa_ttc,$M407))</f>
        <v/>
      </c>
      <c r="G407" s="75" t="str">
        <f>IF($M407="","",INDEX(fa_paid,$M407)+INDEX(fa_avoirs,$M407))</f>
        <v/>
      </c>
      <c r="H407" s="75" t="str">
        <f>IF($M407="","",INDEX(fa_reste,$M407))</f>
        <v/>
      </c>
      <c r="I407" s="58" t="str">
        <f>IF($M407="","",MAX(0,p_asof-E407))</f>
        <v/>
      </c>
      <c r="J407" s="78" t="str">
        <f>IF($M407="","",INDEX(fa_tranche,$M407)&amp;"")</f>
        <v/>
      </c>
      <c r="K407" s="56" t="str">
        <f>IF($M407="","",IF(ISNUMBER(INDEX(fa_relance,$M407)),INDEX(fa_relance,$M407),""))</f>
        <v/>
      </c>
      <c r="L407" s="79" t="str">
        <f>IF($M407="","",IF(AND(ISNUMBER(K407),(p_asof-E407)&gt;0,(p_asof-N(K407))&gt;=0,(p_asof-N(K407))&lt;7),"Déjà relancée il y a "&amp;(p_asof-N(K407))&amp;" j",IF((p_asof-E407)&lt;=0,IF((p_asof-E407)&gt;-8,"Rappel courtois avant l'échéance","Aucune action"),IF((p_asof-E407)&lt;=15,"Relance 1 : e-mail de rappel",IF((p_asof-E407)&lt;=30,"Relance 2 : appel téléphonique",IF((p_asof-E407)&lt;=60,"Relance 3 : lettre de relance",IF((p_asof-E407)&lt;=90,"Mise en demeure (recommandé)","Contentieux : injonction de payer")))))))</f>
        <v/>
      </c>
      <c r="M407" t="str">
        <f>IFERROR(MATCH(376,fa_rank,0),"")</f>
        <v/>
      </c>
    </row>
    <row r="408">
      <c r="B408" s="78" t="str">
        <f>IF($M408="","",INDEX(fa_num,$M408)&amp;"")</f>
        <v/>
      </c>
      <c r="C408" s="79" t="str">
        <f>IF($M408="","",INDEX(fa_cname,$M408)&amp;"")</f>
        <v/>
      </c>
      <c r="D408" s="56" t="str">
        <f>IF($M408="","",INDEX(fa_date,$M408))</f>
        <v/>
      </c>
      <c r="E408" s="56" t="str">
        <f>IF($M408="","",INDEX(fa_due,$M408))</f>
        <v/>
      </c>
      <c r="F408" s="75" t="str">
        <f>IF($M408="","",INDEX(fa_ttc,$M408))</f>
        <v/>
      </c>
      <c r="G408" s="75" t="str">
        <f>IF($M408="","",INDEX(fa_paid,$M408)+INDEX(fa_avoirs,$M408))</f>
        <v/>
      </c>
      <c r="H408" s="75" t="str">
        <f>IF($M408="","",INDEX(fa_reste,$M408))</f>
        <v/>
      </c>
      <c r="I408" s="58" t="str">
        <f>IF($M408="","",MAX(0,p_asof-E408))</f>
        <v/>
      </c>
      <c r="J408" s="78" t="str">
        <f>IF($M408="","",INDEX(fa_tranche,$M408)&amp;"")</f>
        <v/>
      </c>
      <c r="K408" s="56" t="str">
        <f>IF($M408="","",IF(ISNUMBER(INDEX(fa_relance,$M408)),INDEX(fa_relance,$M408),""))</f>
        <v/>
      </c>
      <c r="L408" s="79" t="str">
        <f>IF($M408="","",IF(AND(ISNUMBER(K408),(p_asof-E408)&gt;0,(p_asof-N(K408))&gt;=0,(p_asof-N(K408))&lt;7),"Déjà relancée il y a "&amp;(p_asof-N(K408))&amp;" j",IF((p_asof-E408)&lt;=0,IF((p_asof-E408)&gt;-8,"Rappel courtois avant l'échéance","Aucune action"),IF((p_asof-E408)&lt;=15,"Relance 1 : e-mail de rappel",IF((p_asof-E408)&lt;=30,"Relance 2 : appel téléphonique",IF((p_asof-E408)&lt;=60,"Relance 3 : lettre de relance",IF((p_asof-E408)&lt;=90,"Mise en demeure (recommandé)","Contentieux : injonction de payer")))))))</f>
        <v/>
      </c>
      <c r="M408" t="str">
        <f>IFERROR(MATCH(377,fa_rank,0),"")</f>
        <v/>
      </c>
    </row>
    <row r="409">
      <c r="B409" s="78" t="str">
        <f>IF($M409="","",INDEX(fa_num,$M409)&amp;"")</f>
        <v/>
      </c>
      <c r="C409" s="79" t="str">
        <f>IF($M409="","",INDEX(fa_cname,$M409)&amp;"")</f>
        <v/>
      </c>
      <c r="D409" s="56" t="str">
        <f>IF($M409="","",INDEX(fa_date,$M409))</f>
        <v/>
      </c>
      <c r="E409" s="56" t="str">
        <f>IF($M409="","",INDEX(fa_due,$M409))</f>
        <v/>
      </c>
      <c r="F409" s="75" t="str">
        <f>IF($M409="","",INDEX(fa_ttc,$M409))</f>
        <v/>
      </c>
      <c r="G409" s="75" t="str">
        <f>IF($M409="","",INDEX(fa_paid,$M409)+INDEX(fa_avoirs,$M409))</f>
        <v/>
      </c>
      <c r="H409" s="75" t="str">
        <f>IF($M409="","",INDEX(fa_reste,$M409))</f>
        <v/>
      </c>
      <c r="I409" s="58" t="str">
        <f>IF($M409="","",MAX(0,p_asof-E409))</f>
        <v/>
      </c>
      <c r="J409" s="78" t="str">
        <f>IF($M409="","",INDEX(fa_tranche,$M409)&amp;"")</f>
        <v/>
      </c>
      <c r="K409" s="56" t="str">
        <f>IF($M409="","",IF(ISNUMBER(INDEX(fa_relance,$M409)),INDEX(fa_relance,$M409),""))</f>
        <v/>
      </c>
      <c r="L409" s="79" t="str">
        <f>IF($M409="","",IF(AND(ISNUMBER(K409),(p_asof-E409)&gt;0,(p_asof-N(K409))&gt;=0,(p_asof-N(K409))&lt;7),"Déjà relancée il y a "&amp;(p_asof-N(K409))&amp;" j",IF((p_asof-E409)&lt;=0,IF((p_asof-E409)&gt;-8,"Rappel courtois avant l'échéance","Aucune action"),IF((p_asof-E409)&lt;=15,"Relance 1 : e-mail de rappel",IF((p_asof-E409)&lt;=30,"Relance 2 : appel téléphonique",IF((p_asof-E409)&lt;=60,"Relance 3 : lettre de relance",IF((p_asof-E409)&lt;=90,"Mise en demeure (recommandé)","Contentieux : injonction de payer")))))))</f>
        <v/>
      </c>
      <c r="M409" t="str">
        <f>IFERROR(MATCH(378,fa_rank,0),"")</f>
        <v/>
      </c>
    </row>
    <row r="410">
      <c r="B410" s="78" t="str">
        <f>IF($M410="","",INDEX(fa_num,$M410)&amp;"")</f>
        <v/>
      </c>
      <c r="C410" s="79" t="str">
        <f>IF($M410="","",INDEX(fa_cname,$M410)&amp;"")</f>
        <v/>
      </c>
      <c r="D410" s="56" t="str">
        <f>IF($M410="","",INDEX(fa_date,$M410))</f>
        <v/>
      </c>
      <c r="E410" s="56" t="str">
        <f>IF($M410="","",INDEX(fa_due,$M410))</f>
        <v/>
      </c>
      <c r="F410" s="75" t="str">
        <f>IF($M410="","",INDEX(fa_ttc,$M410))</f>
        <v/>
      </c>
      <c r="G410" s="75" t="str">
        <f>IF($M410="","",INDEX(fa_paid,$M410)+INDEX(fa_avoirs,$M410))</f>
        <v/>
      </c>
      <c r="H410" s="75" t="str">
        <f>IF($M410="","",INDEX(fa_reste,$M410))</f>
        <v/>
      </c>
      <c r="I410" s="58" t="str">
        <f>IF($M410="","",MAX(0,p_asof-E410))</f>
        <v/>
      </c>
      <c r="J410" s="78" t="str">
        <f>IF($M410="","",INDEX(fa_tranche,$M410)&amp;"")</f>
        <v/>
      </c>
      <c r="K410" s="56" t="str">
        <f>IF($M410="","",IF(ISNUMBER(INDEX(fa_relance,$M410)),INDEX(fa_relance,$M410),""))</f>
        <v/>
      </c>
      <c r="L410" s="79" t="str">
        <f>IF($M410="","",IF(AND(ISNUMBER(K410),(p_asof-E410)&gt;0,(p_asof-N(K410))&gt;=0,(p_asof-N(K410))&lt;7),"Déjà relancée il y a "&amp;(p_asof-N(K410))&amp;" j",IF((p_asof-E410)&lt;=0,IF((p_asof-E410)&gt;-8,"Rappel courtois avant l'échéance","Aucune action"),IF((p_asof-E410)&lt;=15,"Relance 1 : e-mail de rappel",IF((p_asof-E410)&lt;=30,"Relance 2 : appel téléphonique",IF((p_asof-E410)&lt;=60,"Relance 3 : lettre de relance",IF((p_asof-E410)&lt;=90,"Mise en demeure (recommandé)","Contentieux : injonction de payer")))))))</f>
        <v/>
      </c>
      <c r="M410" t="str">
        <f>IFERROR(MATCH(379,fa_rank,0),"")</f>
        <v/>
      </c>
    </row>
    <row r="411">
      <c r="B411" s="78" t="str">
        <f>IF($M411="","",INDEX(fa_num,$M411)&amp;"")</f>
        <v/>
      </c>
      <c r="C411" s="79" t="str">
        <f>IF($M411="","",INDEX(fa_cname,$M411)&amp;"")</f>
        <v/>
      </c>
      <c r="D411" s="56" t="str">
        <f>IF($M411="","",INDEX(fa_date,$M411))</f>
        <v/>
      </c>
      <c r="E411" s="56" t="str">
        <f>IF($M411="","",INDEX(fa_due,$M411))</f>
        <v/>
      </c>
      <c r="F411" s="75" t="str">
        <f>IF($M411="","",INDEX(fa_ttc,$M411))</f>
        <v/>
      </c>
      <c r="G411" s="75" t="str">
        <f>IF($M411="","",INDEX(fa_paid,$M411)+INDEX(fa_avoirs,$M411))</f>
        <v/>
      </c>
      <c r="H411" s="75" t="str">
        <f>IF($M411="","",INDEX(fa_reste,$M411))</f>
        <v/>
      </c>
      <c r="I411" s="58" t="str">
        <f>IF($M411="","",MAX(0,p_asof-E411))</f>
        <v/>
      </c>
      <c r="J411" s="78" t="str">
        <f>IF($M411="","",INDEX(fa_tranche,$M411)&amp;"")</f>
        <v/>
      </c>
      <c r="K411" s="56" t="str">
        <f>IF($M411="","",IF(ISNUMBER(INDEX(fa_relance,$M411)),INDEX(fa_relance,$M411),""))</f>
        <v/>
      </c>
      <c r="L411" s="79" t="str">
        <f>IF($M411="","",IF(AND(ISNUMBER(K411),(p_asof-E411)&gt;0,(p_asof-N(K411))&gt;=0,(p_asof-N(K411))&lt;7),"Déjà relancée il y a "&amp;(p_asof-N(K411))&amp;" j",IF((p_asof-E411)&lt;=0,IF((p_asof-E411)&gt;-8,"Rappel courtois avant l'échéance","Aucune action"),IF((p_asof-E411)&lt;=15,"Relance 1 : e-mail de rappel",IF((p_asof-E411)&lt;=30,"Relance 2 : appel téléphonique",IF((p_asof-E411)&lt;=60,"Relance 3 : lettre de relance",IF((p_asof-E411)&lt;=90,"Mise en demeure (recommandé)","Contentieux : injonction de payer")))))))</f>
        <v/>
      </c>
      <c r="M411" t="str">
        <f>IFERROR(MATCH(380,fa_rank,0),"")</f>
        <v/>
      </c>
    </row>
    <row r="412">
      <c r="B412" s="78" t="str">
        <f>IF($M412="","",INDEX(fa_num,$M412)&amp;"")</f>
        <v/>
      </c>
      <c r="C412" s="79" t="str">
        <f>IF($M412="","",INDEX(fa_cname,$M412)&amp;"")</f>
        <v/>
      </c>
      <c r="D412" s="56" t="str">
        <f>IF($M412="","",INDEX(fa_date,$M412))</f>
        <v/>
      </c>
      <c r="E412" s="56" t="str">
        <f>IF($M412="","",INDEX(fa_due,$M412))</f>
        <v/>
      </c>
      <c r="F412" s="75" t="str">
        <f>IF($M412="","",INDEX(fa_ttc,$M412))</f>
        <v/>
      </c>
      <c r="G412" s="75" t="str">
        <f>IF($M412="","",INDEX(fa_paid,$M412)+INDEX(fa_avoirs,$M412))</f>
        <v/>
      </c>
      <c r="H412" s="75" t="str">
        <f>IF($M412="","",INDEX(fa_reste,$M412))</f>
        <v/>
      </c>
      <c r="I412" s="58" t="str">
        <f>IF($M412="","",MAX(0,p_asof-E412))</f>
        <v/>
      </c>
      <c r="J412" s="78" t="str">
        <f>IF($M412="","",INDEX(fa_tranche,$M412)&amp;"")</f>
        <v/>
      </c>
      <c r="K412" s="56" t="str">
        <f>IF($M412="","",IF(ISNUMBER(INDEX(fa_relance,$M412)),INDEX(fa_relance,$M412),""))</f>
        <v/>
      </c>
      <c r="L412" s="79" t="str">
        <f>IF($M412="","",IF(AND(ISNUMBER(K412),(p_asof-E412)&gt;0,(p_asof-N(K412))&gt;=0,(p_asof-N(K412))&lt;7),"Déjà relancée il y a "&amp;(p_asof-N(K412))&amp;" j",IF((p_asof-E412)&lt;=0,IF((p_asof-E412)&gt;-8,"Rappel courtois avant l'échéance","Aucune action"),IF((p_asof-E412)&lt;=15,"Relance 1 : e-mail de rappel",IF((p_asof-E412)&lt;=30,"Relance 2 : appel téléphonique",IF((p_asof-E412)&lt;=60,"Relance 3 : lettre de relance",IF((p_asof-E412)&lt;=90,"Mise en demeure (recommandé)","Contentieux : injonction de payer")))))))</f>
        <v/>
      </c>
      <c r="M412" t="str">
        <f>IFERROR(MATCH(381,fa_rank,0),"")</f>
        <v/>
      </c>
    </row>
    <row r="413">
      <c r="B413" s="78" t="str">
        <f>IF($M413="","",INDEX(fa_num,$M413)&amp;"")</f>
        <v/>
      </c>
      <c r="C413" s="79" t="str">
        <f>IF($M413="","",INDEX(fa_cname,$M413)&amp;"")</f>
        <v/>
      </c>
      <c r="D413" s="56" t="str">
        <f>IF($M413="","",INDEX(fa_date,$M413))</f>
        <v/>
      </c>
      <c r="E413" s="56" t="str">
        <f>IF($M413="","",INDEX(fa_due,$M413))</f>
        <v/>
      </c>
      <c r="F413" s="75" t="str">
        <f>IF($M413="","",INDEX(fa_ttc,$M413))</f>
        <v/>
      </c>
      <c r="G413" s="75" t="str">
        <f>IF($M413="","",INDEX(fa_paid,$M413)+INDEX(fa_avoirs,$M413))</f>
        <v/>
      </c>
      <c r="H413" s="75" t="str">
        <f>IF($M413="","",INDEX(fa_reste,$M413))</f>
        <v/>
      </c>
      <c r="I413" s="58" t="str">
        <f>IF($M413="","",MAX(0,p_asof-E413))</f>
        <v/>
      </c>
      <c r="J413" s="78" t="str">
        <f>IF($M413="","",INDEX(fa_tranche,$M413)&amp;"")</f>
        <v/>
      </c>
      <c r="K413" s="56" t="str">
        <f>IF($M413="","",IF(ISNUMBER(INDEX(fa_relance,$M413)),INDEX(fa_relance,$M413),""))</f>
        <v/>
      </c>
      <c r="L413" s="79" t="str">
        <f>IF($M413="","",IF(AND(ISNUMBER(K413),(p_asof-E413)&gt;0,(p_asof-N(K413))&gt;=0,(p_asof-N(K413))&lt;7),"Déjà relancée il y a "&amp;(p_asof-N(K413))&amp;" j",IF((p_asof-E413)&lt;=0,IF((p_asof-E413)&gt;-8,"Rappel courtois avant l'échéance","Aucune action"),IF((p_asof-E413)&lt;=15,"Relance 1 : e-mail de rappel",IF((p_asof-E413)&lt;=30,"Relance 2 : appel téléphonique",IF((p_asof-E413)&lt;=60,"Relance 3 : lettre de relance",IF((p_asof-E413)&lt;=90,"Mise en demeure (recommandé)","Contentieux : injonction de payer")))))))</f>
        <v/>
      </c>
      <c r="M413" t="str">
        <f>IFERROR(MATCH(382,fa_rank,0),"")</f>
        <v/>
      </c>
    </row>
    <row r="414">
      <c r="B414" s="78" t="str">
        <f>IF($M414="","",INDEX(fa_num,$M414)&amp;"")</f>
        <v/>
      </c>
      <c r="C414" s="79" t="str">
        <f>IF($M414="","",INDEX(fa_cname,$M414)&amp;"")</f>
        <v/>
      </c>
      <c r="D414" s="56" t="str">
        <f>IF($M414="","",INDEX(fa_date,$M414))</f>
        <v/>
      </c>
      <c r="E414" s="56" t="str">
        <f>IF($M414="","",INDEX(fa_due,$M414))</f>
        <v/>
      </c>
      <c r="F414" s="75" t="str">
        <f>IF($M414="","",INDEX(fa_ttc,$M414))</f>
        <v/>
      </c>
      <c r="G414" s="75" t="str">
        <f>IF($M414="","",INDEX(fa_paid,$M414)+INDEX(fa_avoirs,$M414))</f>
        <v/>
      </c>
      <c r="H414" s="75" t="str">
        <f>IF($M414="","",INDEX(fa_reste,$M414))</f>
        <v/>
      </c>
      <c r="I414" s="58" t="str">
        <f>IF($M414="","",MAX(0,p_asof-E414))</f>
        <v/>
      </c>
      <c r="J414" s="78" t="str">
        <f>IF($M414="","",INDEX(fa_tranche,$M414)&amp;"")</f>
        <v/>
      </c>
      <c r="K414" s="56" t="str">
        <f>IF($M414="","",IF(ISNUMBER(INDEX(fa_relance,$M414)),INDEX(fa_relance,$M414),""))</f>
        <v/>
      </c>
      <c r="L414" s="79" t="str">
        <f>IF($M414="","",IF(AND(ISNUMBER(K414),(p_asof-E414)&gt;0,(p_asof-N(K414))&gt;=0,(p_asof-N(K414))&lt;7),"Déjà relancée il y a "&amp;(p_asof-N(K414))&amp;" j",IF((p_asof-E414)&lt;=0,IF((p_asof-E414)&gt;-8,"Rappel courtois avant l'échéance","Aucune action"),IF((p_asof-E414)&lt;=15,"Relance 1 : e-mail de rappel",IF((p_asof-E414)&lt;=30,"Relance 2 : appel téléphonique",IF((p_asof-E414)&lt;=60,"Relance 3 : lettre de relance",IF((p_asof-E414)&lt;=90,"Mise en demeure (recommandé)","Contentieux : injonction de payer")))))))</f>
        <v/>
      </c>
      <c r="M414" t="str">
        <f>IFERROR(MATCH(383,fa_rank,0),"")</f>
        <v/>
      </c>
    </row>
    <row r="415">
      <c r="B415" s="78" t="str">
        <f>IF($M415="","",INDEX(fa_num,$M415)&amp;"")</f>
        <v/>
      </c>
      <c r="C415" s="79" t="str">
        <f>IF($M415="","",INDEX(fa_cname,$M415)&amp;"")</f>
        <v/>
      </c>
      <c r="D415" s="56" t="str">
        <f>IF($M415="","",INDEX(fa_date,$M415))</f>
        <v/>
      </c>
      <c r="E415" s="56" t="str">
        <f>IF($M415="","",INDEX(fa_due,$M415))</f>
        <v/>
      </c>
      <c r="F415" s="75" t="str">
        <f>IF($M415="","",INDEX(fa_ttc,$M415))</f>
        <v/>
      </c>
      <c r="G415" s="75" t="str">
        <f>IF($M415="","",INDEX(fa_paid,$M415)+INDEX(fa_avoirs,$M415))</f>
        <v/>
      </c>
      <c r="H415" s="75" t="str">
        <f>IF($M415="","",INDEX(fa_reste,$M415))</f>
        <v/>
      </c>
      <c r="I415" s="58" t="str">
        <f>IF($M415="","",MAX(0,p_asof-E415))</f>
        <v/>
      </c>
      <c r="J415" s="78" t="str">
        <f>IF($M415="","",INDEX(fa_tranche,$M415)&amp;"")</f>
        <v/>
      </c>
      <c r="K415" s="56" t="str">
        <f>IF($M415="","",IF(ISNUMBER(INDEX(fa_relance,$M415)),INDEX(fa_relance,$M415),""))</f>
        <v/>
      </c>
      <c r="L415" s="79" t="str">
        <f>IF($M415="","",IF(AND(ISNUMBER(K415),(p_asof-E415)&gt;0,(p_asof-N(K415))&gt;=0,(p_asof-N(K415))&lt;7),"Déjà relancée il y a "&amp;(p_asof-N(K415))&amp;" j",IF((p_asof-E415)&lt;=0,IF((p_asof-E415)&gt;-8,"Rappel courtois avant l'échéance","Aucune action"),IF((p_asof-E415)&lt;=15,"Relance 1 : e-mail de rappel",IF((p_asof-E415)&lt;=30,"Relance 2 : appel téléphonique",IF((p_asof-E415)&lt;=60,"Relance 3 : lettre de relance",IF((p_asof-E415)&lt;=90,"Mise en demeure (recommandé)","Contentieux : injonction de payer")))))))</f>
        <v/>
      </c>
      <c r="M415" t="str">
        <f>IFERROR(MATCH(384,fa_rank,0),"")</f>
        <v/>
      </c>
    </row>
    <row r="416">
      <c r="B416" s="78" t="str">
        <f>IF($M416="","",INDEX(fa_num,$M416)&amp;"")</f>
        <v/>
      </c>
      <c r="C416" s="79" t="str">
        <f>IF($M416="","",INDEX(fa_cname,$M416)&amp;"")</f>
        <v/>
      </c>
      <c r="D416" s="56" t="str">
        <f>IF($M416="","",INDEX(fa_date,$M416))</f>
        <v/>
      </c>
      <c r="E416" s="56" t="str">
        <f>IF($M416="","",INDEX(fa_due,$M416))</f>
        <v/>
      </c>
      <c r="F416" s="75" t="str">
        <f>IF($M416="","",INDEX(fa_ttc,$M416))</f>
        <v/>
      </c>
      <c r="G416" s="75" t="str">
        <f>IF($M416="","",INDEX(fa_paid,$M416)+INDEX(fa_avoirs,$M416))</f>
        <v/>
      </c>
      <c r="H416" s="75" t="str">
        <f>IF($M416="","",INDEX(fa_reste,$M416))</f>
        <v/>
      </c>
      <c r="I416" s="58" t="str">
        <f>IF($M416="","",MAX(0,p_asof-E416))</f>
        <v/>
      </c>
      <c r="J416" s="78" t="str">
        <f>IF($M416="","",INDEX(fa_tranche,$M416)&amp;"")</f>
        <v/>
      </c>
      <c r="K416" s="56" t="str">
        <f>IF($M416="","",IF(ISNUMBER(INDEX(fa_relance,$M416)),INDEX(fa_relance,$M416),""))</f>
        <v/>
      </c>
      <c r="L416" s="79" t="str">
        <f>IF($M416="","",IF(AND(ISNUMBER(K416),(p_asof-E416)&gt;0,(p_asof-N(K416))&gt;=0,(p_asof-N(K416))&lt;7),"Déjà relancée il y a "&amp;(p_asof-N(K416))&amp;" j",IF((p_asof-E416)&lt;=0,IF((p_asof-E416)&gt;-8,"Rappel courtois avant l'échéance","Aucune action"),IF((p_asof-E416)&lt;=15,"Relance 1 : e-mail de rappel",IF((p_asof-E416)&lt;=30,"Relance 2 : appel téléphonique",IF((p_asof-E416)&lt;=60,"Relance 3 : lettre de relance",IF((p_asof-E416)&lt;=90,"Mise en demeure (recommandé)","Contentieux : injonction de payer")))))))</f>
        <v/>
      </c>
      <c r="M416" t="str">
        <f>IFERROR(MATCH(385,fa_rank,0),"")</f>
        <v/>
      </c>
    </row>
    <row r="417">
      <c r="B417" s="78" t="str">
        <f>IF($M417="","",INDEX(fa_num,$M417)&amp;"")</f>
        <v/>
      </c>
      <c r="C417" s="79" t="str">
        <f>IF($M417="","",INDEX(fa_cname,$M417)&amp;"")</f>
        <v/>
      </c>
      <c r="D417" s="56" t="str">
        <f>IF($M417="","",INDEX(fa_date,$M417))</f>
        <v/>
      </c>
      <c r="E417" s="56" t="str">
        <f>IF($M417="","",INDEX(fa_due,$M417))</f>
        <v/>
      </c>
      <c r="F417" s="75" t="str">
        <f>IF($M417="","",INDEX(fa_ttc,$M417))</f>
        <v/>
      </c>
      <c r="G417" s="75" t="str">
        <f>IF($M417="","",INDEX(fa_paid,$M417)+INDEX(fa_avoirs,$M417))</f>
        <v/>
      </c>
      <c r="H417" s="75" t="str">
        <f>IF($M417="","",INDEX(fa_reste,$M417))</f>
        <v/>
      </c>
      <c r="I417" s="58" t="str">
        <f>IF($M417="","",MAX(0,p_asof-E417))</f>
        <v/>
      </c>
      <c r="J417" s="78" t="str">
        <f>IF($M417="","",INDEX(fa_tranche,$M417)&amp;"")</f>
        <v/>
      </c>
      <c r="K417" s="56" t="str">
        <f>IF($M417="","",IF(ISNUMBER(INDEX(fa_relance,$M417)),INDEX(fa_relance,$M417),""))</f>
        <v/>
      </c>
      <c r="L417" s="79" t="str">
        <f>IF($M417="","",IF(AND(ISNUMBER(K417),(p_asof-E417)&gt;0,(p_asof-N(K417))&gt;=0,(p_asof-N(K417))&lt;7),"Déjà relancée il y a "&amp;(p_asof-N(K417))&amp;" j",IF((p_asof-E417)&lt;=0,IF((p_asof-E417)&gt;-8,"Rappel courtois avant l'échéance","Aucune action"),IF((p_asof-E417)&lt;=15,"Relance 1 : e-mail de rappel",IF((p_asof-E417)&lt;=30,"Relance 2 : appel téléphonique",IF((p_asof-E417)&lt;=60,"Relance 3 : lettre de relance",IF((p_asof-E417)&lt;=90,"Mise en demeure (recommandé)","Contentieux : injonction de payer")))))))</f>
        <v/>
      </c>
      <c r="M417" t="str">
        <f>IFERROR(MATCH(386,fa_rank,0),"")</f>
        <v/>
      </c>
    </row>
    <row r="418">
      <c r="B418" s="78" t="str">
        <f>IF($M418="","",INDEX(fa_num,$M418)&amp;"")</f>
        <v/>
      </c>
      <c r="C418" s="79" t="str">
        <f>IF($M418="","",INDEX(fa_cname,$M418)&amp;"")</f>
        <v/>
      </c>
      <c r="D418" s="56" t="str">
        <f>IF($M418="","",INDEX(fa_date,$M418))</f>
        <v/>
      </c>
      <c r="E418" s="56" t="str">
        <f>IF($M418="","",INDEX(fa_due,$M418))</f>
        <v/>
      </c>
      <c r="F418" s="75" t="str">
        <f>IF($M418="","",INDEX(fa_ttc,$M418))</f>
        <v/>
      </c>
      <c r="G418" s="75" t="str">
        <f>IF($M418="","",INDEX(fa_paid,$M418)+INDEX(fa_avoirs,$M418))</f>
        <v/>
      </c>
      <c r="H418" s="75" t="str">
        <f>IF($M418="","",INDEX(fa_reste,$M418))</f>
        <v/>
      </c>
      <c r="I418" s="58" t="str">
        <f>IF($M418="","",MAX(0,p_asof-E418))</f>
        <v/>
      </c>
      <c r="J418" s="78" t="str">
        <f>IF($M418="","",INDEX(fa_tranche,$M418)&amp;"")</f>
        <v/>
      </c>
      <c r="K418" s="56" t="str">
        <f>IF($M418="","",IF(ISNUMBER(INDEX(fa_relance,$M418)),INDEX(fa_relance,$M418),""))</f>
        <v/>
      </c>
      <c r="L418" s="79" t="str">
        <f>IF($M418="","",IF(AND(ISNUMBER(K418),(p_asof-E418)&gt;0,(p_asof-N(K418))&gt;=0,(p_asof-N(K418))&lt;7),"Déjà relancée il y a "&amp;(p_asof-N(K418))&amp;" j",IF((p_asof-E418)&lt;=0,IF((p_asof-E418)&gt;-8,"Rappel courtois avant l'échéance","Aucune action"),IF((p_asof-E418)&lt;=15,"Relance 1 : e-mail de rappel",IF((p_asof-E418)&lt;=30,"Relance 2 : appel téléphonique",IF((p_asof-E418)&lt;=60,"Relance 3 : lettre de relance",IF((p_asof-E418)&lt;=90,"Mise en demeure (recommandé)","Contentieux : injonction de payer")))))))</f>
        <v/>
      </c>
      <c r="M418" t="str">
        <f>IFERROR(MATCH(387,fa_rank,0),"")</f>
        <v/>
      </c>
    </row>
    <row r="419">
      <c r="B419" s="78" t="str">
        <f>IF($M419="","",INDEX(fa_num,$M419)&amp;"")</f>
        <v/>
      </c>
      <c r="C419" s="79" t="str">
        <f>IF($M419="","",INDEX(fa_cname,$M419)&amp;"")</f>
        <v/>
      </c>
      <c r="D419" s="56" t="str">
        <f>IF($M419="","",INDEX(fa_date,$M419))</f>
        <v/>
      </c>
      <c r="E419" s="56" t="str">
        <f>IF($M419="","",INDEX(fa_due,$M419))</f>
        <v/>
      </c>
      <c r="F419" s="75" t="str">
        <f>IF($M419="","",INDEX(fa_ttc,$M419))</f>
        <v/>
      </c>
      <c r="G419" s="75" t="str">
        <f>IF($M419="","",INDEX(fa_paid,$M419)+INDEX(fa_avoirs,$M419))</f>
        <v/>
      </c>
      <c r="H419" s="75" t="str">
        <f>IF($M419="","",INDEX(fa_reste,$M419))</f>
        <v/>
      </c>
      <c r="I419" s="58" t="str">
        <f>IF($M419="","",MAX(0,p_asof-E419))</f>
        <v/>
      </c>
      <c r="J419" s="78" t="str">
        <f>IF($M419="","",INDEX(fa_tranche,$M419)&amp;"")</f>
        <v/>
      </c>
      <c r="K419" s="56" t="str">
        <f>IF($M419="","",IF(ISNUMBER(INDEX(fa_relance,$M419)),INDEX(fa_relance,$M419),""))</f>
        <v/>
      </c>
      <c r="L419" s="79" t="str">
        <f>IF($M419="","",IF(AND(ISNUMBER(K419),(p_asof-E419)&gt;0,(p_asof-N(K419))&gt;=0,(p_asof-N(K419))&lt;7),"Déjà relancée il y a "&amp;(p_asof-N(K419))&amp;" j",IF((p_asof-E419)&lt;=0,IF((p_asof-E419)&gt;-8,"Rappel courtois avant l'échéance","Aucune action"),IF((p_asof-E419)&lt;=15,"Relance 1 : e-mail de rappel",IF((p_asof-E419)&lt;=30,"Relance 2 : appel téléphonique",IF((p_asof-E419)&lt;=60,"Relance 3 : lettre de relance",IF((p_asof-E419)&lt;=90,"Mise en demeure (recommandé)","Contentieux : injonction de payer")))))))</f>
        <v/>
      </c>
      <c r="M419" t="str">
        <f>IFERROR(MATCH(388,fa_rank,0),"")</f>
        <v/>
      </c>
    </row>
    <row r="420">
      <c r="B420" s="78" t="str">
        <f>IF($M420="","",INDEX(fa_num,$M420)&amp;"")</f>
        <v/>
      </c>
      <c r="C420" s="79" t="str">
        <f>IF($M420="","",INDEX(fa_cname,$M420)&amp;"")</f>
        <v/>
      </c>
      <c r="D420" s="56" t="str">
        <f>IF($M420="","",INDEX(fa_date,$M420))</f>
        <v/>
      </c>
      <c r="E420" s="56" t="str">
        <f>IF($M420="","",INDEX(fa_due,$M420))</f>
        <v/>
      </c>
      <c r="F420" s="75" t="str">
        <f>IF($M420="","",INDEX(fa_ttc,$M420))</f>
        <v/>
      </c>
      <c r="G420" s="75" t="str">
        <f>IF($M420="","",INDEX(fa_paid,$M420)+INDEX(fa_avoirs,$M420))</f>
        <v/>
      </c>
      <c r="H420" s="75" t="str">
        <f>IF($M420="","",INDEX(fa_reste,$M420))</f>
        <v/>
      </c>
      <c r="I420" s="58" t="str">
        <f>IF($M420="","",MAX(0,p_asof-E420))</f>
        <v/>
      </c>
      <c r="J420" s="78" t="str">
        <f>IF($M420="","",INDEX(fa_tranche,$M420)&amp;"")</f>
        <v/>
      </c>
      <c r="K420" s="56" t="str">
        <f>IF($M420="","",IF(ISNUMBER(INDEX(fa_relance,$M420)),INDEX(fa_relance,$M420),""))</f>
        <v/>
      </c>
      <c r="L420" s="79" t="str">
        <f>IF($M420="","",IF(AND(ISNUMBER(K420),(p_asof-E420)&gt;0,(p_asof-N(K420))&gt;=0,(p_asof-N(K420))&lt;7),"Déjà relancée il y a "&amp;(p_asof-N(K420))&amp;" j",IF((p_asof-E420)&lt;=0,IF((p_asof-E420)&gt;-8,"Rappel courtois avant l'échéance","Aucune action"),IF((p_asof-E420)&lt;=15,"Relance 1 : e-mail de rappel",IF((p_asof-E420)&lt;=30,"Relance 2 : appel téléphonique",IF((p_asof-E420)&lt;=60,"Relance 3 : lettre de relance",IF((p_asof-E420)&lt;=90,"Mise en demeure (recommandé)","Contentieux : injonction de payer")))))))</f>
        <v/>
      </c>
      <c r="M420" t="str">
        <f>IFERROR(MATCH(389,fa_rank,0),"")</f>
        <v/>
      </c>
    </row>
    <row r="421">
      <c r="B421" s="78" t="str">
        <f>IF($M421="","",INDEX(fa_num,$M421)&amp;"")</f>
        <v/>
      </c>
      <c r="C421" s="79" t="str">
        <f>IF($M421="","",INDEX(fa_cname,$M421)&amp;"")</f>
        <v/>
      </c>
      <c r="D421" s="56" t="str">
        <f>IF($M421="","",INDEX(fa_date,$M421))</f>
        <v/>
      </c>
      <c r="E421" s="56" t="str">
        <f>IF($M421="","",INDEX(fa_due,$M421))</f>
        <v/>
      </c>
      <c r="F421" s="75" t="str">
        <f>IF($M421="","",INDEX(fa_ttc,$M421))</f>
        <v/>
      </c>
      <c r="G421" s="75" t="str">
        <f>IF($M421="","",INDEX(fa_paid,$M421)+INDEX(fa_avoirs,$M421))</f>
        <v/>
      </c>
      <c r="H421" s="75" t="str">
        <f>IF($M421="","",INDEX(fa_reste,$M421))</f>
        <v/>
      </c>
      <c r="I421" s="58" t="str">
        <f>IF($M421="","",MAX(0,p_asof-E421))</f>
        <v/>
      </c>
      <c r="J421" s="78" t="str">
        <f>IF($M421="","",INDEX(fa_tranche,$M421)&amp;"")</f>
        <v/>
      </c>
      <c r="K421" s="56" t="str">
        <f>IF($M421="","",IF(ISNUMBER(INDEX(fa_relance,$M421)),INDEX(fa_relance,$M421),""))</f>
        <v/>
      </c>
      <c r="L421" s="79" t="str">
        <f>IF($M421="","",IF(AND(ISNUMBER(K421),(p_asof-E421)&gt;0,(p_asof-N(K421))&gt;=0,(p_asof-N(K421))&lt;7),"Déjà relancée il y a "&amp;(p_asof-N(K421))&amp;" j",IF((p_asof-E421)&lt;=0,IF((p_asof-E421)&gt;-8,"Rappel courtois avant l'échéance","Aucune action"),IF((p_asof-E421)&lt;=15,"Relance 1 : e-mail de rappel",IF((p_asof-E421)&lt;=30,"Relance 2 : appel téléphonique",IF((p_asof-E421)&lt;=60,"Relance 3 : lettre de relance",IF((p_asof-E421)&lt;=90,"Mise en demeure (recommandé)","Contentieux : injonction de payer")))))))</f>
        <v/>
      </c>
      <c r="M421" t="str">
        <f>IFERROR(MATCH(390,fa_rank,0),"")</f>
        <v/>
      </c>
    </row>
    <row r="422">
      <c r="B422" s="78" t="str">
        <f>IF($M422="","",INDEX(fa_num,$M422)&amp;"")</f>
        <v/>
      </c>
      <c r="C422" s="79" t="str">
        <f>IF($M422="","",INDEX(fa_cname,$M422)&amp;"")</f>
        <v/>
      </c>
      <c r="D422" s="56" t="str">
        <f>IF($M422="","",INDEX(fa_date,$M422))</f>
        <v/>
      </c>
      <c r="E422" s="56" t="str">
        <f>IF($M422="","",INDEX(fa_due,$M422))</f>
        <v/>
      </c>
      <c r="F422" s="75" t="str">
        <f>IF($M422="","",INDEX(fa_ttc,$M422))</f>
        <v/>
      </c>
      <c r="G422" s="75" t="str">
        <f>IF($M422="","",INDEX(fa_paid,$M422)+INDEX(fa_avoirs,$M422))</f>
        <v/>
      </c>
      <c r="H422" s="75" t="str">
        <f>IF($M422="","",INDEX(fa_reste,$M422))</f>
        <v/>
      </c>
      <c r="I422" s="58" t="str">
        <f>IF($M422="","",MAX(0,p_asof-E422))</f>
        <v/>
      </c>
      <c r="J422" s="78" t="str">
        <f>IF($M422="","",INDEX(fa_tranche,$M422)&amp;"")</f>
        <v/>
      </c>
      <c r="K422" s="56" t="str">
        <f>IF($M422="","",IF(ISNUMBER(INDEX(fa_relance,$M422)),INDEX(fa_relance,$M422),""))</f>
        <v/>
      </c>
      <c r="L422" s="79" t="str">
        <f>IF($M422="","",IF(AND(ISNUMBER(K422),(p_asof-E422)&gt;0,(p_asof-N(K422))&gt;=0,(p_asof-N(K422))&lt;7),"Déjà relancée il y a "&amp;(p_asof-N(K422))&amp;" j",IF((p_asof-E422)&lt;=0,IF((p_asof-E422)&gt;-8,"Rappel courtois avant l'échéance","Aucune action"),IF((p_asof-E422)&lt;=15,"Relance 1 : e-mail de rappel",IF((p_asof-E422)&lt;=30,"Relance 2 : appel téléphonique",IF((p_asof-E422)&lt;=60,"Relance 3 : lettre de relance",IF((p_asof-E422)&lt;=90,"Mise en demeure (recommandé)","Contentieux : injonction de payer")))))))</f>
        <v/>
      </c>
      <c r="M422" t="str">
        <f>IFERROR(MATCH(391,fa_rank,0),"")</f>
        <v/>
      </c>
    </row>
    <row r="423">
      <c r="B423" s="78" t="str">
        <f>IF($M423="","",INDEX(fa_num,$M423)&amp;"")</f>
        <v/>
      </c>
      <c r="C423" s="79" t="str">
        <f>IF($M423="","",INDEX(fa_cname,$M423)&amp;"")</f>
        <v/>
      </c>
      <c r="D423" s="56" t="str">
        <f>IF($M423="","",INDEX(fa_date,$M423))</f>
        <v/>
      </c>
      <c r="E423" s="56" t="str">
        <f>IF($M423="","",INDEX(fa_due,$M423))</f>
        <v/>
      </c>
      <c r="F423" s="75" t="str">
        <f>IF($M423="","",INDEX(fa_ttc,$M423))</f>
        <v/>
      </c>
      <c r="G423" s="75" t="str">
        <f>IF($M423="","",INDEX(fa_paid,$M423)+INDEX(fa_avoirs,$M423))</f>
        <v/>
      </c>
      <c r="H423" s="75" t="str">
        <f>IF($M423="","",INDEX(fa_reste,$M423))</f>
        <v/>
      </c>
      <c r="I423" s="58" t="str">
        <f>IF($M423="","",MAX(0,p_asof-E423))</f>
        <v/>
      </c>
      <c r="J423" s="78" t="str">
        <f>IF($M423="","",INDEX(fa_tranche,$M423)&amp;"")</f>
        <v/>
      </c>
      <c r="K423" s="56" t="str">
        <f>IF($M423="","",IF(ISNUMBER(INDEX(fa_relance,$M423)),INDEX(fa_relance,$M423),""))</f>
        <v/>
      </c>
      <c r="L423" s="79" t="str">
        <f>IF($M423="","",IF(AND(ISNUMBER(K423),(p_asof-E423)&gt;0,(p_asof-N(K423))&gt;=0,(p_asof-N(K423))&lt;7),"Déjà relancée il y a "&amp;(p_asof-N(K423))&amp;" j",IF((p_asof-E423)&lt;=0,IF((p_asof-E423)&gt;-8,"Rappel courtois avant l'échéance","Aucune action"),IF((p_asof-E423)&lt;=15,"Relance 1 : e-mail de rappel",IF((p_asof-E423)&lt;=30,"Relance 2 : appel téléphonique",IF((p_asof-E423)&lt;=60,"Relance 3 : lettre de relance",IF((p_asof-E423)&lt;=90,"Mise en demeure (recommandé)","Contentieux : injonction de payer")))))))</f>
        <v/>
      </c>
      <c r="M423" t="str">
        <f>IFERROR(MATCH(392,fa_rank,0),"")</f>
        <v/>
      </c>
    </row>
    <row r="424">
      <c r="B424" s="78" t="str">
        <f>IF($M424="","",INDEX(fa_num,$M424)&amp;"")</f>
        <v/>
      </c>
      <c r="C424" s="79" t="str">
        <f>IF($M424="","",INDEX(fa_cname,$M424)&amp;"")</f>
        <v/>
      </c>
      <c r="D424" s="56" t="str">
        <f>IF($M424="","",INDEX(fa_date,$M424))</f>
        <v/>
      </c>
      <c r="E424" s="56" t="str">
        <f>IF($M424="","",INDEX(fa_due,$M424))</f>
        <v/>
      </c>
      <c r="F424" s="75" t="str">
        <f>IF($M424="","",INDEX(fa_ttc,$M424))</f>
        <v/>
      </c>
      <c r="G424" s="75" t="str">
        <f>IF($M424="","",INDEX(fa_paid,$M424)+INDEX(fa_avoirs,$M424))</f>
        <v/>
      </c>
      <c r="H424" s="75" t="str">
        <f>IF($M424="","",INDEX(fa_reste,$M424))</f>
        <v/>
      </c>
      <c r="I424" s="58" t="str">
        <f>IF($M424="","",MAX(0,p_asof-E424))</f>
        <v/>
      </c>
      <c r="J424" s="78" t="str">
        <f>IF($M424="","",INDEX(fa_tranche,$M424)&amp;"")</f>
        <v/>
      </c>
      <c r="K424" s="56" t="str">
        <f>IF($M424="","",IF(ISNUMBER(INDEX(fa_relance,$M424)),INDEX(fa_relance,$M424),""))</f>
        <v/>
      </c>
      <c r="L424" s="79" t="str">
        <f>IF($M424="","",IF(AND(ISNUMBER(K424),(p_asof-E424)&gt;0,(p_asof-N(K424))&gt;=0,(p_asof-N(K424))&lt;7),"Déjà relancée il y a "&amp;(p_asof-N(K424))&amp;" j",IF((p_asof-E424)&lt;=0,IF((p_asof-E424)&gt;-8,"Rappel courtois avant l'échéance","Aucune action"),IF((p_asof-E424)&lt;=15,"Relance 1 : e-mail de rappel",IF((p_asof-E424)&lt;=30,"Relance 2 : appel téléphonique",IF((p_asof-E424)&lt;=60,"Relance 3 : lettre de relance",IF((p_asof-E424)&lt;=90,"Mise en demeure (recommandé)","Contentieux : injonction de payer")))))))</f>
        <v/>
      </c>
      <c r="M424" t="str">
        <f>IFERROR(MATCH(393,fa_rank,0),"")</f>
        <v/>
      </c>
    </row>
    <row r="425">
      <c r="B425" s="78" t="str">
        <f>IF($M425="","",INDEX(fa_num,$M425)&amp;"")</f>
        <v/>
      </c>
      <c r="C425" s="79" t="str">
        <f>IF($M425="","",INDEX(fa_cname,$M425)&amp;"")</f>
        <v/>
      </c>
      <c r="D425" s="56" t="str">
        <f>IF($M425="","",INDEX(fa_date,$M425))</f>
        <v/>
      </c>
      <c r="E425" s="56" t="str">
        <f>IF($M425="","",INDEX(fa_due,$M425))</f>
        <v/>
      </c>
      <c r="F425" s="75" t="str">
        <f>IF($M425="","",INDEX(fa_ttc,$M425))</f>
        <v/>
      </c>
      <c r="G425" s="75" t="str">
        <f>IF($M425="","",INDEX(fa_paid,$M425)+INDEX(fa_avoirs,$M425))</f>
        <v/>
      </c>
      <c r="H425" s="75" t="str">
        <f>IF($M425="","",INDEX(fa_reste,$M425))</f>
        <v/>
      </c>
      <c r="I425" s="58" t="str">
        <f>IF($M425="","",MAX(0,p_asof-E425))</f>
        <v/>
      </c>
      <c r="J425" s="78" t="str">
        <f>IF($M425="","",INDEX(fa_tranche,$M425)&amp;"")</f>
        <v/>
      </c>
      <c r="K425" s="56" t="str">
        <f>IF($M425="","",IF(ISNUMBER(INDEX(fa_relance,$M425)),INDEX(fa_relance,$M425),""))</f>
        <v/>
      </c>
      <c r="L425" s="79" t="str">
        <f>IF($M425="","",IF(AND(ISNUMBER(K425),(p_asof-E425)&gt;0,(p_asof-N(K425))&gt;=0,(p_asof-N(K425))&lt;7),"Déjà relancée il y a "&amp;(p_asof-N(K425))&amp;" j",IF((p_asof-E425)&lt;=0,IF((p_asof-E425)&gt;-8,"Rappel courtois avant l'échéance","Aucune action"),IF((p_asof-E425)&lt;=15,"Relance 1 : e-mail de rappel",IF((p_asof-E425)&lt;=30,"Relance 2 : appel téléphonique",IF((p_asof-E425)&lt;=60,"Relance 3 : lettre de relance",IF((p_asof-E425)&lt;=90,"Mise en demeure (recommandé)","Contentieux : injonction de payer")))))))</f>
        <v/>
      </c>
      <c r="M425" t="str">
        <f>IFERROR(MATCH(394,fa_rank,0),"")</f>
        <v/>
      </c>
    </row>
    <row r="426">
      <c r="B426" s="78" t="str">
        <f>IF($M426="","",INDEX(fa_num,$M426)&amp;"")</f>
        <v/>
      </c>
      <c r="C426" s="79" t="str">
        <f>IF($M426="","",INDEX(fa_cname,$M426)&amp;"")</f>
        <v/>
      </c>
      <c r="D426" s="56" t="str">
        <f>IF($M426="","",INDEX(fa_date,$M426))</f>
        <v/>
      </c>
      <c r="E426" s="56" t="str">
        <f>IF($M426="","",INDEX(fa_due,$M426))</f>
        <v/>
      </c>
      <c r="F426" s="75" t="str">
        <f>IF($M426="","",INDEX(fa_ttc,$M426))</f>
        <v/>
      </c>
      <c r="G426" s="75" t="str">
        <f>IF($M426="","",INDEX(fa_paid,$M426)+INDEX(fa_avoirs,$M426))</f>
        <v/>
      </c>
      <c r="H426" s="75" t="str">
        <f>IF($M426="","",INDEX(fa_reste,$M426))</f>
        <v/>
      </c>
      <c r="I426" s="58" t="str">
        <f>IF($M426="","",MAX(0,p_asof-E426))</f>
        <v/>
      </c>
      <c r="J426" s="78" t="str">
        <f>IF($M426="","",INDEX(fa_tranche,$M426)&amp;"")</f>
        <v/>
      </c>
      <c r="K426" s="56" t="str">
        <f>IF($M426="","",IF(ISNUMBER(INDEX(fa_relance,$M426)),INDEX(fa_relance,$M426),""))</f>
        <v/>
      </c>
      <c r="L426" s="79" t="str">
        <f>IF($M426="","",IF(AND(ISNUMBER(K426),(p_asof-E426)&gt;0,(p_asof-N(K426))&gt;=0,(p_asof-N(K426))&lt;7),"Déjà relancée il y a "&amp;(p_asof-N(K426))&amp;" j",IF((p_asof-E426)&lt;=0,IF((p_asof-E426)&gt;-8,"Rappel courtois avant l'échéance","Aucune action"),IF((p_asof-E426)&lt;=15,"Relance 1 : e-mail de rappel",IF((p_asof-E426)&lt;=30,"Relance 2 : appel téléphonique",IF((p_asof-E426)&lt;=60,"Relance 3 : lettre de relance",IF((p_asof-E426)&lt;=90,"Mise en demeure (recommandé)","Contentieux : injonction de payer")))))))</f>
        <v/>
      </c>
      <c r="M426" t="str">
        <f>IFERROR(MATCH(395,fa_rank,0),"")</f>
        <v/>
      </c>
    </row>
    <row r="427">
      <c r="B427" s="78" t="str">
        <f>IF($M427="","",INDEX(fa_num,$M427)&amp;"")</f>
        <v/>
      </c>
      <c r="C427" s="79" t="str">
        <f>IF($M427="","",INDEX(fa_cname,$M427)&amp;"")</f>
        <v/>
      </c>
      <c r="D427" s="56" t="str">
        <f>IF($M427="","",INDEX(fa_date,$M427))</f>
        <v/>
      </c>
      <c r="E427" s="56" t="str">
        <f>IF($M427="","",INDEX(fa_due,$M427))</f>
        <v/>
      </c>
      <c r="F427" s="75" t="str">
        <f>IF($M427="","",INDEX(fa_ttc,$M427))</f>
        <v/>
      </c>
      <c r="G427" s="75" t="str">
        <f>IF($M427="","",INDEX(fa_paid,$M427)+INDEX(fa_avoirs,$M427))</f>
        <v/>
      </c>
      <c r="H427" s="75" t="str">
        <f>IF($M427="","",INDEX(fa_reste,$M427))</f>
        <v/>
      </c>
      <c r="I427" s="58" t="str">
        <f>IF($M427="","",MAX(0,p_asof-E427))</f>
        <v/>
      </c>
      <c r="J427" s="78" t="str">
        <f>IF($M427="","",INDEX(fa_tranche,$M427)&amp;"")</f>
        <v/>
      </c>
      <c r="K427" s="56" t="str">
        <f>IF($M427="","",IF(ISNUMBER(INDEX(fa_relance,$M427)),INDEX(fa_relance,$M427),""))</f>
        <v/>
      </c>
      <c r="L427" s="79" t="str">
        <f>IF($M427="","",IF(AND(ISNUMBER(K427),(p_asof-E427)&gt;0,(p_asof-N(K427))&gt;=0,(p_asof-N(K427))&lt;7),"Déjà relancée il y a "&amp;(p_asof-N(K427))&amp;" j",IF((p_asof-E427)&lt;=0,IF((p_asof-E427)&gt;-8,"Rappel courtois avant l'échéance","Aucune action"),IF((p_asof-E427)&lt;=15,"Relance 1 : e-mail de rappel",IF((p_asof-E427)&lt;=30,"Relance 2 : appel téléphonique",IF((p_asof-E427)&lt;=60,"Relance 3 : lettre de relance",IF((p_asof-E427)&lt;=90,"Mise en demeure (recommandé)","Contentieux : injonction de payer")))))))</f>
        <v/>
      </c>
      <c r="M427" t="str">
        <f>IFERROR(MATCH(396,fa_rank,0),"")</f>
        <v/>
      </c>
    </row>
    <row r="428">
      <c r="B428" s="78" t="str">
        <f>IF($M428="","",INDEX(fa_num,$M428)&amp;"")</f>
        <v/>
      </c>
      <c r="C428" s="79" t="str">
        <f>IF($M428="","",INDEX(fa_cname,$M428)&amp;"")</f>
        <v/>
      </c>
      <c r="D428" s="56" t="str">
        <f>IF($M428="","",INDEX(fa_date,$M428))</f>
        <v/>
      </c>
      <c r="E428" s="56" t="str">
        <f>IF($M428="","",INDEX(fa_due,$M428))</f>
        <v/>
      </c>
      <c r="F428" s="75" t="str">
        <f>IF($M428="","",INDEX(fa_ttc,$M428))</f>
        <v/>
      </c>
      <c r="G428" s="75" t="str">
        <f>IF($M428="","",INDEX(fa_paid,$M428)+INDEX(fa_avoirs,$M428))</f>
        <v/>
      </c>
      <c r="H428" s="75" t="str">
        <f>IF($M428="","",INDEX(fa_reste,$M428))</f>
        <v/>
      </c>
      <c r="I428" s="58" t="str">
        <f>IF($M428="","",MAX(0,p_asof-E428))</f>
        <v/>
      </c>
      <c r="J428" s="78" t="str">
        <f>IF($M428="","",INDEX(fa_tranche,$M428)&amp;"")</f>
        <v/>
      </c>
      <c r="K428" s="56" t="str">
        <f>IF($M428="","",IF(ISNUMBER(INDEX(fa_relance,$M428)),INDEX(fa_relance,$M428),""))</f>
        <v/>
      </c>
      <c r="L428" s="79" t="str">
        <f>IF($M428="","",IF(AND(ISNUMBER(K428),(p_asof-E428)&gt;0,(p_asof-N(K428))&gt;=0,(p_asof-N(K428))&lt;7),"Déjà relancée il y a "&amp;(p_asof-N(K428))&amp;" j",IF((p_asof-E428)&lt;=0,IF((p_asof-E428)&gt;-8,"Rappel courtois avant l'échéance","Aucune action"),IF((p_asof-E428)&lt;=15,"Relance 1 : e-mail de rappel",IF((p_asof-E428)&lt;=30,"Relance 2 : appel téléphonique",IF((p_asof-E428)&lt;=60,"Relance 3 : lettre de relance",IF((p_asof-E428)&lt;=90,"Mise en demeure (recommandé)","Contentieux : injonction de payer")))))))</f>
        <v/>
      </c>
      <c r="M428" t="str">
        <f>IFERROR(MATCH(397,fa_rank,0),"")</f>
        <v/>
      </c>
    </row>
    <row r="429">
      <c r="B429" s="78" t="str">
        <f>IF($M429="","",INDEX(fa_num,$M429)&amp;"")</f>
        <v/>
      </c>
      <c r="C429" s="79" t="str">
        <f>IF($M429="","",INDEX(fa_cname,$M429)&amp;"")</f>
        <v/>
      </c>
      <c r="D429" s="56" t="str">
        <f>IF($M429="","",INDEX(fa_date,$M429))</f>
        <v/>
      </c>
      <c r="E429" s="56" t="str">
        <f>IF($M429="","",INDEX(fa_due,$M429))</f>
        <v/>
      </c>
      <c r="F429" s="75" t="str">
        <f>IF($M429="","",INDEX(fa_ttc,$M429))</f>
        <v/>
      </c>
      <c r="G429" s="75" t="str">
        <f>IF($M429="","",INDEX(fa_paid,$M429)+INDEX(fa_avoirs,$M429))</f>
        <v/>
      </c>
      <c r="H429" s="75" t="str">
        <f>IF($M429="","",INDEX(fa_reste,$M429))</f>
        <v/>
      </c>
      <c r="I429" s="58" t="str">
        <f>IF($M429="","",MAX(0,p_asof-E429))</f>
        <v/>
      </c>
      <c r="J429" s="78" t="str">
        <f>IF($M429="","",INDEX(fa_tranche,$M429)&amp;"")</f>
        <v/>
      </c>
      <c r="K429" s="56" t="str">
        <f>IF($M429="","",IF(ISNUMBER(INDEX(fa_relance,$M429)),INDEX(fa_relance,$M429),""))</f>
        <v/>
      </c>
      <c r="L429" s="79" t="str">
        <f>IF($M429="","",IF(AND(ISNUMBER(K429),(p_asof-E429)&gt;0,(p_asof-N(K429))&gt;=0,(p_asof-N(K429))&lt;7),"Déjà relancée il y a "&amp;(p_asof-N(K429))&amp;" j",IF((p_asof-E429)&lt;=0,IF((p_asof-E429)&gt;-8,"Rappel courtois avant l'échéance","Aucune action"),IF((p_asof-E429)&lt;=15,"Relance 1 : e-mail de rappel",IF((p_asof-E429)&lt;=30,"Relance 2 : appel téléphonique",IF((p_asof-E429)&lt;=60,"Relance 3 : lettre de relance",IF((p_asof-E429)&lt;=90,"Mise en demeure (recommandé)","Contentieux : injonction de payer")))))))</f>
        <v/>
      </c>
      <c r="M429" t="str">
        <f>IFERROR(MATCH(398,fa_rank,0),"")</f>
        <v/>
      </c>
    </row>
    <row r="430">
      <c r="B430" s="78" t="str">
        <f>IF($M430="","",INDEX(fa_num,$M430)&amp;"")</f>
        <v/>
      </c>
      <c r="C430" s="79" t="str">
        <f>IF($M430="","",INDEX(fa_cname,$M430)&amp;"")</f>
        <v/>
      </c>
      <c r="D430" s="56" t="str">
        <f>IF($M430="","",INDEX(fa_date,$M430))</f>
        <v/>
      </c>
      <c r="E430" s="56" t="str">
        <f>IF($M430="","",INDEX(fa_due,$M430))</f>
        <v/>
      </c>
      <c r="F430" s="75" t="str">
        <f>IF($M430="","",INDEX(fa_ttc,$M430))</f>
        <v/>
      </c>
      <c r="G430" s="75" t="str">
        <f>IF($M430="","",INDEX(fa_paid,$M430)+INDEX(fa_avoirs,$M430))</f>
        <v/>
      </c>
      <c r="H430" s="75" t="str">
        <f>IF($M430="","",INDEX(fa_reste,$M430))</f>
        <v/>
      </c>
      <c r="I430" s="58" t="str">
        <f>IF($M430="","",MAX(0,p_asof-E430))</f>
        <v/>
      </c>
      <c r="J430" s="78" t="str">
        <f>IF($M430="","",INDEX(fa_tranche,$M430)&amp;"")</f>
        <v/>
      </c>
      <c r="K430" s="56" t="str">
        <f>IF($M430="","",IF(ISNUMBER(INDEX(fa_relance,$M430)),INDEX(fa_relance,$M430),""))</f>
        <v/>
      </c>
      <c r="L430" s="79" t="str">
        <f>IF($M430="","",IF(AND(ISNUMBER(K430),(p_asof-E430)&gt;0,(p_asof-N(K430))&gt;=0,(p_asof-N(K430))&lt;7),"Déjà relancée il y a "&amp;(p_asof-N(K430))&amp;" j",IF((p_asof-E430)&lt;=0,IF((p_asof-E430)&gt;-8,"Rappel courtois avant l'échéance","Aucune action"),IF((p_asof-E430)&lt;=15,"Relance 1 : e-mail de rappel",IF((p_asof-E430)&lt;=30,"Relance 2 : appel téléphonique",IF((p_asof-E430)&lt;=60,"Relance 3 : lettre de relance",IF((p_asof-E430)&lt;=90,"Mise en demeure (recommandé)","Contentieux : injonction de payer")))))))</f>
        <v/>
      </c>
      <c r="M430" t="str">
        <f>IFERROR(MATCH(399,fa_rank,0),"")</f>
        <v/>
      </c>
    </row>
    <row r="431">
      <c r="B431" s="78" t="str">
        <f>IF($M431="","",INDEX(fa_num,$M431)&amp;"")</f>
        <v/>
      </c>
      <c r="C431" s="79" t="str">
        <f>IF($M431="","",INDEX(fa_cname,$M431)&amp;"")</f>
        <v/>
      </c>
      <c r="D431" s="56" t="str">
        <f>IF($M431="","",INDEX(fa_date,$M431))</f>
        <v/>
      </c>
      <c r="E431" s="56" t="str">
        <f>IF($M431="","",INDEX(fa_due,$M431))</f>
        <v/>
      </c>
      <c r="F431" s="75" t="str">
        <f>IF($M431="","",INDEX(fa_ttc,$M431))</f>
        <v/>
      </c>
      <c r="G431" s="75" t="str">
        <f>IF($M431="","",INDEX(fa_paid,$M431)+INDEX(fa_avoirs,$M431))</f>
        <v/>
      </c>
      <c r="H431" s="75" t="str">
        <f>IF($M431="","",INDEX(fa_reste,$M431))</f>
        <v/>
      </c>
      <c r="I431" s="58" t="str">
        <f>IF($M431="","",MAX(0,p_asof-E431))</f>
        <v/>
      </c>
      <c r="J431" s="78" t="str">
        <f>IF($M431="","",INDEX(fa_tranche,$M431)&amp;"")</f>
        <v/>
      </c>
      <c r="K431" s="56" t="str">
        <f>IF($M431="","",IF(ISNUMBER(INDEX(fa_relance,$M431)),INDEX(fa_relance,$M431),""))</f>
        <v/>
      </c>
      <c r="L431" s="79" t="str">
        <f>IF($M431="","",IF(AND(ISNUMBER(K431),(p_asof-E431)&gt;0,(p_asof-N(K431))&gt;=0,(p_asof-N(K431))&lt;7),"Déjà relancée il y a "&amp;(p_asof-N(K431))&amp;" j",IF((p_asof-E431)&lt;=0,IF((p_asof-E431)&gt;-8,"Rappel courtois avant l'échéance","Aucune action"),IF((p_asof-E431)&lt;=15,"Relance 1 : e-mail de rappel",IF((p_asof-E431)&lt;=30,"Relance 2 : appel téléphonique",IF((p_asof-E431)&lt;=60,"Relance 3 : lettre de relance",IF((p_asof-E431)&lt;=90,"Mise en demeure (recommandé)","Contentieux : injonction de payer")))))))</f>
        <v/>
      </c>
      <c r="M431" t="str">
        <f>IFERROR(MATCH(400,fa_rank,0),"")</f>
        <v/>
      </c>
    </row>
    <row r="432">
      <c r="B432" s="78" t="str">
        <f>IF($M432="","",INDEX(fa_num,$M432)&amp;"")</f>
        <v/>
      </c>
      <c r="C432" s="79" t="str">
        <f>IF($M432="","",INDEX(fa_cname,$M432)&amp;"")</f>
        <v/>
      </c>
      <c r="D432" s="56" t="str">
        <f>IF($M432="","",INDEX(fa_date,$M432))</f>
        <v/>
      </c>
      <c r="E432" s="56" t="str">
        <f>IF($M432="","",INDEX(fa_due,$M432))</f>
        <v/>
      </c>
      <c r="F432" s="75" t="str">
        <f>IF($M432="","",INDEX(fa_ttc,$M432))</f>
        <v/>
      </c>
      <c r="G432" s="75" t="str">
        <f>IF($M432="","",INDEX(fa_paid,$M432)+INDEX(fa_avoirs,$M432))</f>
        <v/>
      </c>
      <c r="H432" s="75" t="str">
        <f>IF($M432="","",INDEX(fa_reste,$M432))</f>
        <v/>
      </c>
      <c r="I432" s="58" t="str">
        <f>IF($M432="","",MAX(0,p_asof-E432))</f>
        <v/>
      </c>
      <c r="J432" s="78" t="str">
        <f>IF($M432="","",INDEX(fa_tranche,$M432)&amp;"")</f>
        <v/>
      </c>
      <c r="K432" s="56" t="str">
        <f>IF($M432="","",IF(ISNUMBER(INDEX(fa_relance,$M432)),INDEX(fa_relance,$M432),""))</f>
        <v/>
      </c>
      <c r="L432" s="79" t="str">
        <f>IF($M432="","",IF(AND(ISNUMBER(K432),(p_asof-E432)&gt;0,(p_asof-N(K432))&gt;=0,(p_asof-N(K432))&lt;7),"Déjà relancée il y a "&amp;(p_asof-N(K432))&amp;" j",IF((p_asof-E432)&lt;=0,IF((p_asof-E432)&gt;-8,"Rappel courtois avant l'échéance","Aucune action"),IF((p_asof-E432)&lt;=15,"Relance 1 : e-mail de rappel",IF((p_asof-E432)&lt;=30,"Relance 2 : appel téléphonique",IF((p_asof-E432)&lt;=60,"Relance 3 : lettre de relance",IF((p_asof-E432)&lt;=90,"Mise en demeure (recommandé)","Contentieux : injonction de payer")))))))</f>
        <v/>
      </c>
      <c r="M432" t="str">
        <f>IFERROR(MATCH(401,fa_rank,0),"")</f>
        <v/>
      </c>
    </row>
    <row r="433">
      <c r="B433" s="78" t="str">
        <f>IF($M433="","",INDEX(fa_num,$M433)&amp;"")</f>
        <v/>
      </c>
      <c r="C433" s="79" t="str">
        <f>IF($M433="","",INDEX(fa_cname,$M433)&amp;"")</f>
        <v/>
      </c>
      <c r="D433" s="56" t="str">
        <f>IF($M433="","",INDEX(fa_date,$M433))</f>
        <v/>
      </c>
      <c r="E433" s="56" t="str">
        <f>IF($M433="","",INDEX(fa_due,$M433))</f>
        <v/>
      </c>
      <c r="F433" s="75" t="str">
        <f>IF($M433="","",INDEX(fa_ttc,$M433))</f>
        <v/>
      </c>
      <c r="G433" s="75" t="str">
        <f>IF($M433="","",INDEX(fa_paid,$M433)+INDEX(fa_avoirs,$M433))</f>
        <v/>
      </c>
      <c r="H433" s="75" t="str">
        <f>IF($M433="","",INDEX(fa_reste,$M433))</f>
        <v/>
      </c>
      <c r="I433" s="58" t="str">
        <f>IF($M433="","",MAX(0,p_asof-E433))</f>
        <v/>
      </c>
      <c r="J433" s="78" t="str">
        <f>IF($M433="","",INDEX(fa_tranche,$M433)&amp;"")</f>
        <v/>
      </c>
      <c r="K433" s="56" t="str">
        <f>IF($M433="","",IF(ISNUMBER(INDEX(fa_relance,$M433)),INDEX(fa_relance,$M433),""))</f>
        <v/>
      </c>
      <c r="L433" s="79" t="str">
        <f>IF($M433="","",IF(AND(ISNUMBER(K433),(p_asof-E433)&gt;0,(p_asof-N(K433))&gt;=0,(p_asof-N(K433))&lt;7),"Déjà relancée il y a "&amp;(p_asof-N(K433))&amp;" j",IF((p_asof-E433)&lt;=0,IF((p_asof-E433)&gt;-8,"Rappel courtois avant l'échéance","Aucune action"),IF((p_asof-E433)&lt;=15,"Relance 1 : e-mail de rappel",IF((p_asof-E433)&lt;=30,"Relance 2 : appel téléphonique",IF((p_asof-E433)&lt;=60,"Relance 3 : lettre de relance",IF((p_asof-E433)&lt;=90,"Mise en demeure (recommandé)","Contentieux : injonction de payer")))))))</f>
        <v/>
      </c>
      <c r="M433" t="str">
        <f>IFERROR(MATCH(402,fa_rank,0),"")</f>
        <v/>
      </c>
    </row>
    <row r="434">
      <c r="B434" s="78" t="str">
        <f>IF($M434="","",INDEX(fa_num,$M434)&amp;"")</f>
        <v/>
      </c>
      <c r="C434" s="79" t="str">
        <f>IF($M434="","",INDEX(fa_cname,$M434)&amp;"")</f>
        <v/>
      </c>
      <c r="D434" s="56" t="str">
        <f>IF($M434="","",INDEX(fa_date,$M434))</f>
        <v/>
      </c>
      <c r="E434" s="56" t="str">
        <f>IF($M434="","",INDEX(fa_due,$M434))</f>
        <v/>
      </c>
      <c r="F434" s="75" t="str">
        <f>IF($M434="","",INDEX(fa_ttc,$M434))</f>
        <v/>
      </c>
      <c r="G434" s="75" t="str">
        <f>IF($M434="","",INDEX(fa_paid,$M434)+INDEX(fa_avoirs,$M434))</f>
        <v/>
      </c>
      <c r="H434" s="75" t="str">
        <f>IF($M434="","",INDEX(fa_reste,$M434))</f>
        <v/>
      </c>
      <c r="I434" s="58" t="str">
        <f>IF($M434="","",MAX(0,p_asof-E434))</f>
        <v/>
      </c>
      <c r="J434" s="78" t="str">
        <f>IF($M434="","",INDEX(fa_tranche,$M434)&amp;"")</f>
        <v/>
      </c>
      <c r="K434" s="56" t="str">
        <f>IF($M434="","",IF(ISNUMBER(INDEX(fa_relance,$M434)),INDEX(fa_relance,$M434),""))</f>
        <v/>
      </c>
      <c r="L434" s="79" t="str">
        <f>IF($M434="","",IF(AND(ISNUMBER(K434),(p_asof-E434)&gt;0,(p_asof-N(K434))&gt;=0,(p_asof-N(K434))&lt;7),"Déjà relancée il y a "&amp;(p_asof-N(K434))&amp;" j",IF((p_asof-E434)&lt;=0,IF((p_asof-E434)&gt;-8,"Rappel courtois avant l'échéance","Aucune action"),IF((p_asof-E434)&lt;=15,"Relance 1 : e-mail de rappel",IF((p_asof-E434)&lt;=30,"Relance 2 : appel téléphonique",IF((p_asof-E434)&lt;=60,"Relance 3 : lettre de relance",IF((p_asof-E434)&lt;=90,"Mise en demeure (recommandé)","Contentieux : injonction de payer")))))))</f>
        <v/>
      </c>
      <c r="M434" t="str">
        <f>IFERROR(MATCH(403,fa_rank,0),"")</f>
        <v/>
      </c>
    </row>
    <row r="435">
      <c r="B435" s="78" t="str">
        <f>IF($M435="","",INDEX(fa_num,$M435)&amp;"")</f>
        <v/>
      </c>
      <c r="C435" s="79" t="str">
        <f>IF($M435="","",INDEX(fa_cname,$M435)&amp;"")</f>
        <v/>
      </c>
      <c r="D435" s="56" t="str">
        <f>IF($M435="","",INDEX(fa_date,$M435))</f>
        <v/>
      </c>
      <c r="E435" s="56" t="str">
        <f>IF($M435="","",INDEX(fa_due,$M435))</f>
        <v/>
      </c>
      <c r="F435" s="75" t="str">
        <f>IF($M435="","",INDEX(fa_ttc,$M435))</f>
        <v/>
      </c>
      <c r="G435" s="75" t="str">
        <f>IF($M435="","",INDEX(fa_paid,$M435)+INDEX(fa_avoirs,$M435))</f>
        <v/>
      </c>
      <c r="H435" s="75" t="str">
        <f>IF($M435="","",INDEX(fa_reste,$M435))</f>
        <v/>
      </c>
      <c r="I435" s="58" t="str">
        <f>IF($M435="","",MAX(0,p_asof-E435))</f>
        <v/>
      </c>
      <c r="J435" s="78" t="str">
        <f>IF($M435="","",INDEX(fa_tranche,$M435)&amp;"")</f>
        <v/>
      </c>
      <c r="K435" s="56" t="str">
        <f>IF($M435="","",IF(ISNUMBER(INDEX(fa_relance,$M435)),INDEX(fa_relance,$M435),""))</f>
        <v/>
      </c>
      <c r="L435" s="79" t="str">
        <f>IF($M435="","",IF(AND(ISNUMBER(K435),(p_asof-E435)&gt;0,(p_asof-N(K435))&gt;=0,(p_asof-N(K435))&lt;7),"Déjà relancée il y a "&amp;(p_asof-N(K435))&amp;" j",IF((p_asof-E435)&lt;=0,IF((p_asof-E435)&gt;-8,"Rappel courtois avant l'échéance","Aucune action"),IF((p_asof-E435)&lt;=15,"Relance 1 : e-mail de rappel",IF((p_asof-E435)&lt;=30,"Relance 2 : appel téléphonique",IF((p_asof-E435)&lt;=60,"Relance 3 : lettre de relance",IF((p_asof-E435)&lt;=90,"Mise en demeure (recommandé)","Contentieux : injonction de payer")))))))</f>
        <v/>
      </c>
      <c r="M435" t="str">
        <f>IFERROR(MATCH(404,fa_rank,0),"")</f>
        <v/>
      </c>
    </row>
    <row r="436">
      <c r="B436" s="78" t="str">
        <f>IF($M436="","",INDEX(fa_num,$M436)&amp;"")</f>
        <v/>
      </c>
      <c r="C436" s="79" t="str">
        <f>IF($M436="","",INDEX(fa_cname,$M436)&amp;"")</f>
        <v/>
      </c>
      <c r="D436" s="56" t="str">
        <f>IF($M436="","",INDEX(fa_date,$M436))</f>
        <v/>
      </c>
      <c r="E436" s="56" t="str">
        <f>IF($M436="","",INDEX(fa_due,$M436))</f>
        <v/>
      </c>
      <c r="F436" s="75" t="str">
        <f>IF($M436="","",INDEX(fa_ttc,$M436))</f>
        <v/>
      </c>
      <c r="G436" s="75" t="str">
        <f>IF($M436="","",INDEX(fa_paid,$M436)+INDEX(fa_avoirs,$M436))</f>
        <v/>
      </c>
      <c r="H436" s="75" t="str">
        <f>IF($M436="","",INDEX(fa_reste,$M436))</f>
        <v/>
      </c>
      <c r="I436" s="58" t="str">
        <f>IF($M436="","",MAX(0,p_asof-E436))</f>
        <v/>
      </c>
      <c r="J436" s="78" t="str">
        <f>IF($M436="","",INDEX(fa_tranche,$M436)&amp;"")</f>
        <v/>
      </c>
      <c r="K436" s="56" t="str">
        <f>IF($M436="","",IF(ISNUMBER(INDEX(fa_relance,$M436)),INDEX(fa_relance,$M436),""))</f>
        <v/>
      </c>
      <c r="L436" s="79" t="str">
        <f>IF($M436="","",IF(AND(ISNUMBER(K436),(p_asof-E436)&gt;0,(p_asof-N(K436))&gt;=0,(p_asof-N(K436))&lt;7),"Déjà relancée il y a "&amp;(p_asof-N(K436))&amp;" j",IF((p_asof-E436)&lt;=0,IF((p_asof-E436)&gt;-8,"Rappel courtois avant l'échéance","Aucune action"),IF((p_asof-E436)&lt;=15,"Relance 1 : e-mail de rappel",IF((p_asof-E436)&lt;=30,"Relance 2 : appel téléphonique",IF((p_asof-E436)&lt;=60,"Relance 3 : lettre de relance",IF((p_asof-E436)&lt;=90,"Mise en demeure (recommandé)","Contentieux : injonction de payer")))))))</f>
        <v/>
      </c>
      <c r="M436" t="str">
        <f>IFERROR(MATCH(405,fa_rank,0),"")</f>
        <v/>
      </c>
    </row>
    <row r="437">
      <c r="B437" s="78" t="str">
        <f>IF($M437="","",INDEX(fa_num,$M437)&amp;"")</f>
        <v/>
      </c>
      <c r="C437" s="79" t="str">
        <f>IF($M437="","",INDEX(fa_cname,$M437)&amp;"")</f>
        <v/>
      </c>
      <c r="D437" s="56" t="str">
        <f>IF($M437="","",INDEX(fa_date,$M437))</f>
        <v/>
      </c>
      <c r="E437" s="56" t="str">
        <f>IF($M437="","",INDEX(fa_due,$M437))</f>
        <v/>
      </c>
      <c r="F437" s="75" t="str">
        <f>IF($M437="","",INDEX(fa_ttc,$M437))</f>
        <v/>
      </c>
      <c r="G437" s="75" t="str">
        <f>IF($M437="","",INDEX(fa_paid,$M437)+INDEX(fa_avoirs,$M437))</f>
        <v/>
      </c>
      <c r="H437" s="75" t="str">
        <f>IF($M437="","",INDEX(fa_reste,$M437))</f>
        <v/>
      </c>
      <c r="I437" s="58" t="str">
        <f>IF($M437="","",MAX(0,p_asof-E437))</f>
        <v/>
      </c>
      <c r="J437" s="78" t="str">
        <f>IF($M437="","",INDEX(fa_tranche,$M437)&amp;"")</f>
        <v/>
      </c>
      <c r="K437" s="56" t="str">
        <f>IF($M437="","",IF(ISNUMBER(INDEX(fa_relance,$M437)),INDEX(fa_relance,$M437),""))</f>
        <v/>
      </c>
      <c r="L437" s="79" t="str">
        <f>IF($M437="","",IF(AND(ISNUMBER(K437),(p_asof-E437)&gt;0,(p_asof-N(K437))&gt;=0,(p_asof-N(K437))&lt;7),"Déjà relancée il y a "&amp;(p_asof-N(K437))&amp;" j",IF((p_asof-E437)&lt;=0,IF((p_asof-E437)&gt;-8,"Rappel courtois avant l'échéance","Aucune action"),IF((p_asof-E437)&lt;=15,"Relance 1 : e-mail de rappel",IF((p_asof-E437)&lt;=30,"Relance 2 : appel téléphonique",IF((p_asof-E437)&lt;=60,"Relance 3 : lettre de relance",IF((p_asof-E437)&lt;=90,"Mise en demeure (recommandé)","Contentieux : injonction de payer")))))))</f>
        <v/>
      </c>
      <c r="M437" t="str">
        <f>IFERROR(MATCH(406,fa_rank,0),"")</f>
        <v/>
      </c>
    </row>
    <row r="438">
      <c r="B438" s="78" t="str">
        <f>IF($M438="","",INDEX(fa_num,$M438)&amp;"")</f>
        <v/>
      </c>
      <c r="C438" s="79" t="str">
        <f>IF($M438="","",INDEX(fa_cname,$M438)&amp;"")</f>
        <v/>
      </c>
      <c r="D438" s="56" t="str">
        <f>IF($M438="","",INDEX(fa_date,$M438))</f>
        <v/>
      </c>
      <c r="E438" s="56" t="str">
        <f>IF($M438="","",INDEX(fa_due,$M438))</f>
        <v/>
      </c>
      <c r="F438" s="75" t="str">
        <f>IF($M438="","",INDEX(fa_ttc,$M438))</f>
        <v/>
      </c>
      <c r="G438" s="75" t="str">
        <f>IF($M438="","",INDEX(fa_paid,$M438)+INDEX(fa_avoirs,$M438))</f>
        <v/>
      </c>
      <c r="H438" s="75" t="str">
        <f>IF($M438="","",INDEX(fa_reste,$M438))</f>
        <v/>
      </c>
      <c r="I438" s="58" t="str">
        <f>IF($M438="","",MAX(0,p_asof-E438))</f>
        <v/>
      </c>
      <c r="J438" s="78" t="str">
        <f>IF($M438="","",INDEX(fa_tranche,$M438)&amp;"")</f>
        <v/>
      </c>
      <c r="K438" s="56" t="str">
        <f>IF($M438="","",IF(ISNUMBER(INDEX(fa_relance,$M438)),INDEX(fa_relance,$M438),""))</f>
        <v/>
      </c>
      <c r="L438" s="79" t="str">
        <f>IF($M438="","",IF(AND(ISNUMBER(K438),(p_asof-E438)&gt;0,(p_asof-N(K438))&gt;=0,(p_asof-N(K438))&lt;7),"Déjà relancée il y a "&amp;(p_asof-N(K438))&amp;" j",IF((p_asof-E438)&lt;=0,IF((p_asof-E438)&gt;-8,"Rappel courtois avant l'échéance","Aucune action"),IF((p_asof-E438)&lt;=15,"Relance 1 : e-mail de rappel",IF((p_asof-E438)&lt;=30,"Relance 2 : appel téléphonique",IF((p_asof-E438)&lt;=60,"Relance 3 : lettre de relance",IF((p_asof-E438)&lt;=90,"Mise en demeure (recommandé)","Contentieux : injonction de payer")))))))</f>
        <v/>
      </c>
      <c r="M438" t="str">
        <f>IFERROR(MATCH(407,fa_rank,0),"")</f>
        <v/>
      </c>
    </row>
    <row r="439">
      <c r="B439" s="78" t="str">
        <f>IF($M439="","",INDEX(fa_num,$M439)&amp;"")</f>
        <v/>
      </c>
      <c r="C439" s="79" t="str">
        <f>IF($M439="","",INDEX(fa_cname,$M439)&amp;"")</f>
        <v/>
      </c>
      <c r="D439" s="56" t="str">
        <f>IF($M439="","",INDEX(fa_date,$M439))</f>
        <v/>
      </c>
      <c r="E439" s="56" t="str">
        <f>IF($M439="","",INDEX(fa_due,$M439))</f>
        <v/>
      </c>
      <c r="F439" s="75" t="str">
        <f>IF($M439="","",INDEX(fa_ttc,$M439))</f>
        <v/>
      </c>
      <c r="G439" s="75" t="str">
        <f>IF($M439="","",INDEX(fa_paid,$M439)+INDEX(fa_avoirs,$M439))</f>
        <v/>
      </c>
      <c r="H439" s="75" t="str">
        <f>IF($M439="","",INDEX(fa_reste,$M439))</f>
        <v/>
      </c>
      <c r="I439" s="58" t="str">
        <f>IF($M439="","",MAX(0,p_asof-E439))</f>
        <v/>
      </c>
      <c r="J439" s="78" t="str">
        <f>IF($M439="","",INDEX(fa_tranche,$M439)&amp;"")</f>
        <v/>
      </c>
      <c r="K439" s="56" t="str">
        <f>IF($M439="","",IF(ISNUMBER(INDEX(fa_relance,$M439)),INDEX(fa_relance,$M439),""))</f>
        <v/>
      </c>
      <c r="L439" s="79" t="str">
        <f>IF($M439="","",IF(AND(ISNUMBER(K439),(p_asof-E439)&gt;0,(p_asof-N(K439))&gt;=0,(p_asof-N(K439))&lt;7),"Déjà relancée il y a "&amp;(p_asof-N(K439))&amp;" j",IF((p_asof-E439)&lt;=0,IF((p_asof-E439)&gt;-8,"Rappel courtois avant l'échéance","Aucune action"),IF((p_asof-E439)&lt;=15,"Relance 1 : e-mail de rappel",IF((p_asof-E439)&lt;=30,"Relance 2 : appel téléphonique",IF((p_asof-E439)&lt;=60,"Relance 3 : lettre de relance",IF((p_asof-E439)&lt;=90,"Mise en demeure (recommandé)","Contentieux : injonction de payer")))))))</f>
        <v/>
      </c>
      <c r="M439" t="str">
        <f>IFERROR(MATCH(408,fa_rank,0),"")</f>
        <v/>
      </c>
    </row>
    <row r="440">
      <c r="B440" s="78" t="str">
        <f>IF($M440="","",INDEX(fa_num,$M440)&amp;"")</f>
        <v/>
      </c>
      <c r="C440" s="79" t="str">
        <f>IF($M440="","",INDEX(fa_cname,$M440)&amp;"")</f>
        <v/>
      </c>
      <c r="D440" s="56" t="str">
        <f>IF($M440="","",INDEX(fa_date,$M440))</f>
        <v/>
      </c>
      <c r="E440" s="56" t="str">
        <f>IF($M440="","",INDEX(fa_due,$M440))</f>
        <v/>
      </c>
      <c r="F440" s="75" t="str">
        <f>IF($M440="","",INDEX(fa_ttc,$M440))</f>
        <v/>
      </c>
      <c r="G440" s="75" t="str">
        <f>IF($M440="","",INDEX(fa_paid,$M440)+INDEX(fa_avoirs,$M440))</f>
        <v/>
      </c>
      <c r="H440" s="75" t="str">
        <f>IF($M440="","",INDEX(fa_reste,$M440))</f>
        <v/>
      </c>
      <c r="I440" s="58" t="str">
        <f>IF($M440="","",MAX(0,p_asof-E440))</f>
        <v/>
      </c>
      <c r="J440" s="78" t="str">
        <f>IF($M440="","",INDEX(fa_tranche,$M440)&amp;"")</f>
        <v/>
      </c>
      <c r="K440" s="56" t="str">
        <f>IF($M440="","",IF(ISNUMBER(INDEX(fa_relance,$M440)),INDEX(fa_relance,$M440),""))</f>
        <v/>
      </c>
      <c r="L440" s="79" t="str">
        <f>IF($M440="","",IF(AND(ISNUMBER(K440),(p_asof-E440)&gt;0,(p_asof-N(K440))&gt;=0,(p_asof-N(K440))&lt;7),"Déjà relancée il y a "&amp;(p_asof-N(K440))&amp;" j",IF((p_asof-E440)&lt;=0,IF((p_asof-E440)&gt;-8,"Rappel courtois avant l'échéance","Aucune action"),IF((p_asof-E440)&lt;=15,"Relance 1 : e-mail de rappel",IF((p_asof-E440)&lt;=30,"Relance 2 : appel téléphonique",IF((p_asof-E440)&lt;=60,"Relance 3 : lettre de relance",IF((p_asof-E440)&lt;=90,"Mise en demeure (recommandé)","Contentieux : injonction de payer")))))))</f>
        <v/>
      </c>
      <c r="M440" t="str">
        <f>IFERROR(MATCH(409,fa_rank,0),"")</f>
        <v/>
      </c>
    </row>
    <row r="441">
      <c r="B441" s="78" t="str">
        <f>IF($M441="","",INDEX(fa_num,$M441)&amp;"")</f>
        <v/>
      </c>
      <c r="C441" s="79" t="str">
        <f>IF($M441="","",INDEX(fa_cname,$M441)&amp;"")</f>
        <v/>
      </c>
      <c r="D441" s="56" t="str">
        <f>IF($M441="","",INDEX(fa_date,$M441))</f>
        <v/>
      </c>
      <c r="E441" s="56" t="str">
        <f>IF($M441="","",INDEX(fa_due,$M441))</f>
        <v/>
      </c>
      <c r="F441" s="75" t="str">
        <f>IF($M441="","",INDEX(fa_ttc,$M441))</f>
        <v/>
      </c>
      <c r="G441" s="75" t="str">
        <f>IF($M441="","",INDEX(fa_paid,$M441)+INDEX(fa_avoirs,$M441))</f>
        <v/>
      </c>
      <c r="H441" s="75" t="str">
        <f>IF($M441="","",INDEX(fa_reste,$M441))</f>
        <v/>
      </c>
      <c r="I441" s="58" t="str">
        <f>IF($M441="","",MAX(0,p_asof-E441))</f>
        <v/>
      </c>
      <c r="J441" s="78" t="str">
        <f>IF($M441="","",INDEX(fa_tranche,$M441)&amp;"")</f>
        <v/>
      </c>
      <c r="K441" s="56" t="str">
        <f>IF($M441="","",IF(ISNUMBER(INDEX(fa_relance,$M441)),INDEX(fa_relance,$M441),""))</f>
        <v/>
      </c>
      <c r="L441" s="79" t="str">
        <f>IF($M441="","",IF(AND(ISNUMBER(K441),(p_asof-E441)&gt;0,(p_asof-N(K441))&gt;=0,(p_asof-N(K441))&lt;7),"Déjà relancée il y a "&amp;(p_asof-N(K441))&amp;" j",IF((p_asof-E441)&lt;=0,IF((p_asof-E441)&gt;-8,"Rappel courtois avant l'échéance","Aucune action"),IF((p_asof-E441)&lt;=15,"Relance 1 : e-mail de rappel",IF((p_asof-E441)&lt;=30,"Relance 2 : appel téléphonique",IF((p_asof-E441)&lt;=60,"Relance 3 : lettre de relance",IF((p_asof-E441)&lt;=90,"Mise en demeure (recommandé)","Contentieux : injonction de payer")))))))</f>
        <v/>
      </c>
      <c r="M441" t="str">
        <f>IFERROR(MATCH(410,fa_rank,0),"")</f>
        <v/>
      </c>
    </row>
    <row r="442">
      <c r="B442" s="78" t="str">
        <f>IF($M442="","",INDEX(fa_num,$M442)&amp;"")</f>
        <v/>
      </c>
      <c r="C442" s="79" t="str">
        <f>IF($M442="","",INDEX(fa_cname,$M442)&amp;"")</f>
        <v/>
      </c>
      <c r="D442" s="56" t="str">
        <f>IF($M442="","",INDEX(fa_date,$M442))</f>
        <v/>
      </c>
      <c r="E442" s="56" t="str">
        <f>IF($M442="","",INDEX(fa_due,$M442))</f>
        <v/>
      </c>
      <c r="F442" s="75" t="str">
        <f>IF($M442="","",INDEX(fa_ttc,$M442))</f>
        <v/>
      </c>
      <c r="G442" s="75" t="str">
        <f>IF($M442="","",INDEX(fa_paid,$M442)+INDEX(fa_avoirs,$M442))</f>
        <v/>
      </c>
      <c r="H442" s="75" t="str">
        <f>IF($M442="","",INDEX(fa_reste,$M442))</f>
        <v/>
      </c>
      <c r="I442" s="58" t="str">
        <f>IF($M442="","",MAX(0,p_asof-E442))</f>
        <v/>
      </c>
      <c r="J442" s="78" t="str">
        <f>IF($M442="","",INDEX(fa_tranche,$M442)&amp;"")</f>
        <v/>
      </c>
      <c r="K442" s="56" t="str">
        <f>IF($M442="","",IF(ISNUMBER(INDEX(fa_relance,$M442)),INDEX(fa_relance,$M442),""))</f>
        <v/>
      </c>
      <c r="L442" s="79" t="str">
        <f>IF($M442="","",IF(AND(ISNUMBER(K442),(p_asof-E442)&gt;0,(p_asof-N(K442))&gt;=0,(p_asof-N(K442))&lt;7),"Déjà relancée il y a "&amp;(p_asof-N(K442))&amp;" j",IF((p_asof-E442)&lt;=0,IF((p_asof-E442)&gt;-8,"Rappel courtois avant l'échéance","Aucune action"),IF((p_asof-E442)&lt;=15,"Relance 1 : e-mail de rappel",IF((p_asof-E442)&lt;=30,"Relance 2 : appel téléphonique",IF((p_asof-E442)&lt;=60,"Relance 3 : lettre de relance",IF((p_asof-E442)&lt;=90,"Mise en demeure (recommandé)","Contentieux : injonction de payer")))))))</f>
        <v/>
      </c>
      <c r="M442" t="str">
        <f>IFERROR(MATCH(411,fa_rank,0),"")</f>
        <v/>
      </c>
    </row>
    <row r="443">
      <c r="B443" s="78" t="str">
        <f>IF($M443="","",INDEX(fa_num,$M443)&amp;"")</f>
        <v/>
      </c>
      <c r="C443" s="79" t="str">
        <f>IF($M443="","",INDEX(fa_cname,$M443)&amp;"")</f>
        <v/>
      </c>
      <c r="D443" s="56" t="str">
        <f>IF($M443="","",INDEX(fa_date,$M443))</f>
        <v/>
      </c>
      <c r="E443" s="56" t="str">
        <f>IF($M443="","",INDEX(fa_due,$M443))</f>
        <v/>
      </c>
      <c r="F443" s="75" t="str">
        <f>IF($M443="","",INDEX(fa_ttc,$M443))</f>
        <v/>
      </c>
      <c r="G443" s="75" t="str">
        <f>IF($M443="","",INDEX(fa_paid,$M443)+INDEX(fa_avoirs,$M443))</f>
        <v/>
      </c>
      <c r="H443" s="75" t="str">
        <f>IF($M443="","",INDEX(fa_reste,$M443))</f>
        <v/>
      </c>
      <c r="I443" s="58" t="str">
        <f>IF($M443="","",MAX(0,p_asof-E443))</f>
        <v/>
      </c>
      <c r="J443" s="78" t="str">
        <f>IF($M443="","",INDEX(fa_tranche,$M443)&amp;"")</f>
        <v/>
      </c>
      <c r="K443" s="56" t="str">
        <f>IF($M443="","",IF(ISNUMBER(INDEX(fa_relance,$M443)),INDEX(fa_relance,$M443),""))</f>
        <v/>
      </c>
      <c r="L443" s="79" t="str">
        <f>IF($M443="","",IF(AND(ISNUMBER(K443),(p_asof-E443)&gt;0,(p_asof-N(K443))&gt;=0,(p_asof-N(K443))&lt;7),"Déjà relancée il y a "&amp;(p_asof-N(K443))&amp;" j",IF((p_asof-E443)&lt;=0,IF((p_asof-E443)&gt;-8,"Rappel courtois avant l'échéance","Aucune action"),IF((p_asof-E443)&lt;=15,"Relance 1 : e-mail de rappel",IF((p_asof-E443)&lt;=30,"Relance 2 : appel téléphonique",IF((p_asof-E443)&lt;=60,"Relance 3 : lettre de relance",IF((p_asof-E443)&lt;=90,"Mise en demeure (recommandé)","Contentieux : injonction de payer")))))))</f>
        <v/>
      </c>
      <c r="M443" t="str">
        <f>IFERROR(MATCH(412,fa_rank,0),"")</f>
        <v/>
      </c>
    </row>
    <row r="444">
      <c r="B444" s="78" t="str">
        <f>IF($M444="","",INDEX(fa_num,$M444)&amp;"")</f>
        <v/>
      </c>
      <c r="C444" s="79" t="str">
        <f>IF($M444="","",INDEX(fa_cname,$M444)&amp;"")</f>
        <v/>
      </c>
      <c r="D444" s="56" t="str">
        <f>IF($M444="","",INDEX(fa_date,$M444))</f>
        <v/>
      </c>
      <c r="E444" s="56" t="str">
        <f>IF($M444="","",INDEX(fa_due,$M444))</f>
        <v/>
      </c>
      <c r="F444" s="75" t="str">
        <f>IF($M444="","",INDEX(fa_ttc,$M444))</f>
        <v/>
      </c>
      <c r="G444" s="75" t="str">
        <f>IF($M444="","",INDEX(fa_paid,$M444)+INDEX(fa_avoirs,$M444))</f>
        <v/>
      </c>
      <c r="H444" s="75" t="str">
        <f>IF($M444="","",INDEX(fa_reste,$M444))</f>
        <v/>
      </c>
      <c r="I444" s="58" t="str">
        <f>IF($M444="","",MAX(0,p_asof-E444))</f>
        <v/>
      </c>
      <c r="J444" s="78" t="str">
        <f>IF($M444="","",INDEX(fa_tranche,$M444)&amp;"")</f>
        <v/>
      </c>
      <c r="K444" s="56" t="str">
        <f>IF($M444="","",IF(ISNUMBER(INDEX(fa_relance,$M444)),INDEX(fa_relance,$M444),""))</f>
        <v/>
      </c>
      <c r="L444" s="79" t="str">
        <f>IF($M444="","",IF(AND(ISNUMBER(K444),(p_asof-E444)&gt;0,(p_asof-N(K444))&gt;=0,(p_asof-N(K444))&lt;7),"Déjà relancée il y a "&amp;(p_asof-N(K444))&amp;" j",IF((p_asof-E444)&lt;=0,IF((p_asof-E444)&gt;-8,"Rappel courtois avant l'échéance","Aucune action"),IF((p_asof-E444)&lt;=15,"Relance 1 : e-mail de rappel",IF((p_asof-E444)&lt;=30,"Relance 2 : appel téléphonique",IF((p_asof-E444)&lt;=60,"Relance 3 : lettre de relance",IF((p_asof-E444)&lt;=90,"Mise en demeure (recommandé)","Contentieux : injonction de payer")))))))</f>
        <v/>
      </c>
      <c r="M444" t="str">
        <f>IFERROR(MATCH(413,fa_rank,0),"")</f>
        <v/>
      </c>
    </row>
    <row r="445">
      <c r="B445" s="78" t="str">
        <f>IF($M445="","",INDEX(fa_num,$M445)&amp;"")</f>
        <v/>
      </c>
      <c r="C445" s="79" t="str">
        <f>IF($M445="","",INDEX(fa_cname,$M445)&amp;"")</f>
        <v/>
      </c>
      <c r="D445" s="56" t="str">
        <f>IF($M445="","",INDEX(fa_date,$M445))</f>
        <v/>
      </c>
      <c r="E445" s="56" t="str">
        <f>IF($M445="","",INDEX(fa_due,$M445))</f>
        <v/>
      </c>
      <c r="F445" s="75" t="str">
        <f>IF($M445="","",INDEX(fa_ttc,$M445))</f>
        <v/>
      </c>
      <c r="G445" s="75" t="str">
        <f>IF($M445="","",INDEX(fa_paid,$M445)+INDEX(fa_avoirs,$M445))</f>
        <v/>
      </c>
      <c r="H445" s="75" t="str">
        <f>IF($M445="","",INDEX(fa_reste,$M445))</f>
        <v/>
      </c>
      <c r="I445" s="58" t="str">
        <f>IF($M445="","",MAX(0,p_asof-E445))</f>
        <v/>
      </c>
      <c r="J445" s="78" t="str">
        <f>IF($M445="","",INDEX(fa_tranche,$M445)&amp;"")</f>
        <v/>
      </c>
      <c r="K445" s="56" t="str">
        <f>IF($M445="","",IF(ISNUMBER(INDEX(fa_relance,$M445)),INDEX(fa_relance,$M445),""))</f>
        <v/>
      </c>
      <c r="L445" s="79" t="str">
        <f>IF($M445="","",IF(AND(ISNUMBER(K445),(p_asof-E445)&gt;0,(p_asof-N(K445))&gt;=0,(p_asof-N(K445))&lt;7),"Déjà relancée il y a "&amp;(p_asof-N(K445))&amp;" j",IF((p_asof-E445)&lt;=0,IF((p_asof-E445)&gt;-8,"Rappel courtois avant l'échéance","Aucune action"),IF((p_asof-E445)&lt;=15,"Relance 1 : e-mail de rappel",IF((p_asof-E445)&lt;=30,"Relance 2 : appel téléphonique",IF((p_asof-E445)&lt;=60,"Relance 3 : lettre de relance",IF((p_asof-E445)&lt;=90,"Mise en demeure (recommandé)","Contentieux : injonction de payer")))))))</f>
        <v/>
      </c>
      <c r="M445" t="str">
        <f>IFERROR(MATCH(414,fa_rank,0),"")</f>
        <v/>
      </c>
    </row>
    <row r="446">
      <c r="B446" s="78" t="str">
        <f>IF($M446="","",INDEX(fa_num,$M446)&amp;"")</f>
        <v/>
      </c>
      <c r="C446" s="79" t="str">
        <f>IF($M446="","",INDEX(fa_cname,$M446)&amp;"")</f>
        <v/>
      </c>
      <c r="D446" s="56" t="str">
        <f>IF($M446="","",INDEX(fa_date,$M446))</f>
        <v/>
      </c>
      <c r="E446" s="56" t="str">
        <f>IF($M446="","",INDEX(fa_due,$M446))</f>
        <v/>
      </c>
      <c r="F446" s="75" t="str">
        <f>IF($M446="","",INDEX(fa_ttc,$M446))</f>
        <v/>
      </c>
      <c r="G446" s="75" t="str">
        <f>IF($M446="","",INDEX(fa_paid,$M446)+INDEX(fa_avoirs,$M446))</f>
        <v/>
      </c>
      <c r="H446" s="75" t="str">
        <f>IF($M446="","",INDEX(fa_reste,$M446))</f>
        <v/>
      </c>
      <c r="I446" s="58" t="str">
        <f>IF($M446="","",MAX(0,p_asof-E446))</f>
        <v/>
      </c>
      <c r="J446" s="78" t="str">
        <f>IF($M446="","",INDEX(fa_tranche,$M446)&amp;"")</f>
        <v/>
      </c>
      <c r="K446" s="56" t="str">
        <f>IF($M446="","",IF(ISNUMBER(INDEX(fa_relance,$M446)),INDEX(fa_relance,$M446),""))</f>
        <v/>
      </c>
      <c r="L446" s="79" t="str">
        <f>IF($M446="","",IF(AND(ISNUMBER(K446),(p_asof-E446)&gt;0,(p_asof-N(K446))&gt;=0,(p_asof-N(K446))&lt;7),"Déjà relancée il y a "&amp;(p_asof-N(K446))&amp;" j",IF((p_asof-E446)&lt;=0,IF((p_asof-E446)&gt;-8,"Rappel courtois avant l'échéance","Aucune action"),IF((p_asof-E446)&lt;=15,"Relance 1 : e-mail de rappel",IF((p_asof-E446)&lt;=30,"Relance 2 : appel téléphonique",IF((p_asof-E446)&lt;=60,"Relance 3 : lettre de relance",IF((p_asof-E446)&lt;=90,"Mise en demeure (recommandé)","Contentieux : injonction de payer")))))))</f>
        <v/>
      </c>
      <c r="M446" t="str">
        <f>IFERROR(MATCH(415,fa_rank,0),"")</f>
        <v/>
      </c>
    </row>
    <row r="447">
      <c r="B447" s="78" t="str">
        <f>IF($M447="","",INDEX(fa_num,$M447)&amp;"")</f>
        <v/>
      </c>
      <c r="C447" s="79" t="str">
        <f>IF($M447="","",INDEX(fa_cname,$M447)&amp;"")</f>
        <v/>
      </c>
      <c r="D447" s="56" t="str">
        <f>IF($M447="","",INDEX(fa_date,$M447))</f>
        <v/>
      </c>
      <c r="E447" s="56" t="str">
        <f>IF($M447="","",INDEX(fa_due,$M447))</f>
        <v/>
      </c>
      <c r="F447" s="75" t="str">
        <f>IF($M447="","",INDEX(fa_ttc,$M447))</f>
        <v/>
      </c>
      <c r="G447" s="75" t="str">
        <f>IF($M447="","",INDEX(fa_paid,$M447)+INDEX(fa_avoirs,$M447))</f>
        <v/>
      </c>
      <c r="H447" s="75" t="str">
        <f>IF($M447="","",INDEX(fa_reste,$M447))</f>
        <v/>
      </c>
      <c r="I447" s="58" t="str">
        <f>IF($M447="","",MAX(0,p_asof-E447))</f>
        <v/>
      </c>
      <c r="J447" s="78" t="str">
        <f>IF($M447="","",INDEX(fa_tranche,$M447)&amp;"")</f>
        <v/>
      </c>
      <c r="K447" s="56" t="str">
        <f>IF($M447="","",IF(ISNUMBER(INDEX(fa_relance,$M447)),INDEX(fa_relance,$M447),""))</f>
        <v/>
      </c>
      <c r="L447" s="79" t="str">
        <f>IF($M447="","",IF(AND(ISNUMBER(K447),(p_asof-E447)&gt;0,(p_asof-N(K447))&gt;=0,(p_asof-N(K447))&lt;7),"Déjà relancée il y a "&amp;(p_asof-N(K447))&amp;" j",IF((p_asof-E447)&lt;=0,IF((p_asof-E447)&gt;-8,"Rappel courtois avant l'échéance","Aucune action"),IF((p_asof-E447)&lt;=15,"Relance 1 : e-mail de rappel",IF((p_asof-E447)&lt;=30,"Relance 2 : appel téléphonique",IF((p_asof-E447)&lt;=60,"Relance 3 : lettre de relance",IF((p_asof-E447)&lt;=90,"Mise en demeure (recommandé)","Contentieux : injonction de payer")))))))</f>
        <v/>
      </c>
      <c r="M447" t="str">
        <f>IFERROR(MATCH(416,fa_rank,0),"")</f>
        <v/>
      </c>
    </row>
    <row r="448">
      <c r="B448" s="78" t="str">
        <f>IF($M448="","",INDEX(fa_num,$M448)&amp;"")</f>
        <v/>
      </c>
      <c r="C448" s="79" t="str">
        <f>IF($M448="","",INDEX(fa_cname,$M448)&amp;"")</f>
        <v/>
      </c>
      <c r="D448" s="56" t="str">
        <f>IF($M448="","",INDEX(fa_date,$M448))</f>
        <v/>
      </c>
      <c r="E448" s="56" t="str">
        <f>IF($M448="","",INDEX(fa_due,$M448))</f>
        <v/>
      </c>
      <c r="F448" s="75" t="str">
        <f>IF($M448="","",INDEX(fa_ttc,$M448))</f>
        <v/>
      </c>
      <c r="G448" s="75" t="str">
        <f>IF($M448="","",INDEX(fa_paid,$M448)+INDEX(fa_avoirs,$M448))</f>
        <v/>
      </c>
      <c r="H448" s="75" t="str">
        <f>IF($M448="","",INDEX(fa_reste,$M448))</f>
        <v/>
      </c>
      <c r="I448" s="58" t="str">
        <f>IF($M448="","",MAX(0,p_asof-E448))</f>
        <v/>
      </c>
      <c r="J448" s="78" t="str">
        <f>IF($M448="","",INDEX(fa_tranche,$M448)&amp;"")</f>
        <v/>
      </c>
      <c r="K448" s="56" t="str">
        <f>IF($M448="","",IF(ISNUMBER(INDEX(fa_relance,$M448)),INDEX(fa_relance,$M448),""))</f>
        <v/>
      </c>
      <c r="L448" s="79" t="str">
        <f>IF($M448="","",IF(AND(ISNUMBER(K448),(p_asof-E448)&gt;0,(p_asof-N(K448))&gt;=0,(p_asof-N(K448))&lt;7),"Déjà relancée il y a "&amp;(p_asof-N(K448))&amp;" j",IF((p_asof-E448)&lt;=0,IF((p_asof-E448)&gt;-8,"Rappel courtois avant l'échéance","Aucune action"),IF((p_asof-E448)&lt;=15,"Relance 1 : e-mail de rappel",IF((p_asof-E448)&lt;=30,"Relance 2 : appel téléphonique",IF((p_asof-E448)&lt;=60,"Relance 3 : lettre de relance",IF((p_asof-E448)&lt;=90,"Mise en demeure (recommandé)","Contentieux : injonction de payer")))))))</f>
        <v/>
      </c>
      <c r="M448" t="str">
        <f>IFERROR(MATCH(417,fa_rank,0),"")</f>
        <v/>
      </c>
    </row>
    <row r="449">
      <c r="B449" s="78" t="str">
        <f>IF($M449="","",INDEX(fa_num,$M449)&amp;"")</f>
        <v/>
      </c>
      <c r="C449" s="79" t="str">
        <f>IF($M449="","",INDEX(fa_cname,$M449)&amp;"")</f>
        <v/>
      </c>
      <c r="D449" s="56" t="str">
        <f>IF($M449="","",INDEX(fa_date,$M449))</f>
        <v/>
      </c>
      <c r="E449" s="56" t="str">
        <f>IF($M449="","",INDEX(fa_due,$M449))</f>
        <v/>
      </c>
      <c r="F449" s="75" t="str">
        <f>IF($M449="","",INDEX(fa_ttc,$M449))</f>
        <v/>
      </c>
      <c r="G449" s="75" t="str">
        <f>IF($M449="","",INDEX(fa_paid,$M449)+INDEX(fa_avoirs,$M449))</f>
        <v/>
      </c>
      <c r="H449" s="75" t="str">
        <f>IF($M449="","",INDEX(fa_reste,$M449))</f>
        <v/>
      </c>
      <c r="I449" s="58" t="str">
        <f>IF($M449="","",MAX(0,p_asof-E449))</f>
        <v/>
      </c>
      <c r="J449" s="78" t="str">
        <f>IF($M449="","",INDEX(fa_tranche,$M449)&amp;"")</f>
        <v/>
      </c>
      <c r="K449" s="56" t="str">
        <f>IF($M449="","",IF(ISNUMBER(INDEX(fa_relance,$M449)),INDEX(fa_relance,$M449),""))</f>
        <v/>
      </c>
      <c r="L449" s="79" t="str">
        <f>IF($M449="","",IF(AND(ISNUMBER(K449),(p_asof-E449)&gt;0,(p_asof-N(K449))&gt;=0,(p_asof-N(K449))&lt;7),"Déjà relancée il y a "&amp;(p_asof-N(K449))&amp;" j",IF((p_asof-E449)&lt;=0,IF((p_asof-E449)&gt;-8,"Rappel courtois avant l'échéance","Aucune action"),IF((p_asof-E449)&lt;=15,"Relance 1 : e-mail de rappel",IF((p_asof-E449)&lt;=30,"Relance 2 : appel téléphonique",IF((p_asof-E449)&lt;=60,"Relance 3 : lettre de relance",IF((p_asof-E449)&lt;=90,"Mise en demeure (recommandé)","Contentieux : injonction de payer")))))))</f>
        <v/>
      </c>
      <c r="M449" t="str">
        <f>IFERROR(MATCH(418,fa_rank,0),"")</f>
        <v/>
      </c>
    </row>
    <row r="450">
      <c r="B450" s="78" t="str">
        <f>IF($M450="","",INDEX(fa_num,$M450)&amp;"")</f>
        <v/>
      </c>
      <c r="C450" s="79" t="str">
        <f>IF($M450="","",INDEX(fa_cname,$M450)&amp;"")</f>
        <v/>
      </c>
      <c r="D450" s="56" t="str">
        <f>IF($M450="","",INDEX(fa_date,$M450))</f>
        <v/>
      </c>
      <c r="E450" s="56" t="str">
        <f>IF($M450="","",INDEX(fa_due,$M450))</f>
        <v/>
      </c>
      <c r="F450" s="75" t="str">
        <f>IF($M450="","",INDEX(fa_ttc,$M450))</f>
        <v/>
      </c>
      <c r="G450" s="75" t="str">
        <f>IF($M450="","",INDEX(fa_paid,$M450)+INDEX(fa_avoirs,$M450))</f>
        <v/>
      </c>
      <c r="H450" s="75" t="str">
        <f>IF($M450="","",INDEX(fa_reste,$M450))</f>
        <v/>
      </c>
      <c r="I450" s="58" t="str">
        <f>IF($M450="","",MAX(0,p_asof-E450))</f>
        <v/>
      </c>
      <c r="J450" s="78" t="str">
        <f>IF($M450="","",INDEX(fa_tranche,$M450)&amp;"")</f>
        <v/>
      </c>
      <c r="K450" s="56" t="str">
        <f>IF($M450="","",IF(ISNUMBER(INDEX(fa_relance,$M450)),INDEX(fa_relance,$M450),""))</f>
        <v/>
      </c>
      <c r="L450" s="79" t="str">
        <f>IF($M450="","",IF(AND(ISNUMBER(K450),(p_asof-E450)&gt;0,(p_asof-N(K450))&gt;=0,(p_asof-N(K450))&lt;7),"Déjà relancée il y a "&amp;(p_asof-N(K450))&amp;" j",IF((p_asof-E450)&lt;=0,IF((p_asof-E450)&gt;-8,"Rappel courtois avant l'échéance","Aucune action"),IF((p_asof-E450)&lt;=15,"Relance 1 : e-mail de rappel",IF((p_asof-E450)&lt;=30,"Relance 2 : appel téléphonique",IF((p_asof-E450)&lt;=60,"Relance 3 : lettre de relance",IF((p_asof-E450)&lt;=90,"Mise en demeure (recommandé)","Contentieux : injonction de payer")))))))</f>
        <v/>
      </c>
      <c r="M450" t="str">
        <f>IFERROR(MATCH(419,fa_rank,0),"")</f>
        <v/>
      </c>
    </row>
    <row r="451">
      <c r="B451" s="78" t="str">
        <f>IF($M451="","",INDEX(fa_num,$M451)&amp;"")</f>
        <v/>
      </c>
      <c r="C451" s="79" t="str">
        <f>IF($M451="","",INDEX(fa_cname,$M451)&amp;"")</f>
        <v/>
      </c>
      <c r="D451" s="56" t="str">
        <f>IF($M451="","",INDEX(fa_date,$M451))</f>
        <v/>
      </c>
      <c r="E451" s="56" t="str">
        <f>IF($M451="","",INDEX(fa_due,$M451))</f>
        <v/>
      </c>
      <c r="F451" s="75" t="str">
        <f>IF($M451="","",INDEX(fa_ttc,$M451))</f>
        <v/>
      </c>
      <c r="G451" s="75" t="str">
        <f>IF($M451="","",INDEX(fa_paid,$M451)+INDEX(fa_avoirs,$M451))</f>
        <v/>
      </c>
      <c r="H451" s="75" t="str">
        <f>IF($M451="","",INDEX(fa_reste,$M451))</f>
        <v/>
      </c>
      <c r="I451" s="58" t="str">
        <f>IF($M451="","",MAX(0,p_asof-E451))</f>
        <v/>
      </c>
      <c r="J451" s="78" t="str">
        <f>IF($M451="","",INDEX(fa_tranche,$M451)&amp;"")</f>
        <v/>
      </c>
      <c r="K451" s="56" t="str">
        <f>IF($M451="","",IF(ISNUMBER(INDEX(fa_relance,$M451)),INDEX(fa_relance,$M451),""))</f>
        <v/>
      </c>
      <c r="L451" s="79" t="str">
        <f>IF($M451="","",IF(AND(ISNUMBER(K451),(p_asof-E451)&gt;0,(p_asof-N(K451))&gt;=0,(p_asof-N(K451))&lt;7),"Déjà relancée il y a "&amp;(p_asof-N(K451))&amp;" j",IF((p_asof-E451)&lt;=0,IF((p_asof-E451)&gt;-8,"Rappel courtois avant l'échéance","Aucune action"),IF((p_asof-E451)&lt;=15,"Relance 1 : e-mail de rappel",IF((p_asof-E451)&lt;=30,"Relance 2 : appel téléphonique",IF((p_asof-E451)&lt;=60,"Relance 3 : lettre de relance",IF((p_asof-E451)&lt;=90,"Mise en demeure (recommandé)","Contentieux : injonction de payer")))))))</f>
        <v/>
      </c>
      <c r="M451" t="str">
        <f>IFERROR(MATCH(420,fa_rank,0),"")</f>
        <v/>
      </c>
    </row>
    <row r="452">
      <c r="B452" s="78" t="str">
        <f>IF($M452="","",INDEX(fa_num,$M452)&amp;"")</f>
        <v/>
      </c>
      <c r="C452" s="79" t="str">
        <f>IF($M452="","",INDEX(fa_cname,$M452)&amp;"")</f>
        <v/>
      </c>
      <c r="D452" s="56" t="str">
        <f>IF($M452="","",INDEX(fa_date,$M452))</f>
        <v/>
      </c>
      <c r="E452" s="56" t="str">
        <f>IF($M452="","",INDEX(fa_due,$M452))</f>
        <v/>
      </c>
      <c r="F452" s="75" t="str">
        <f>IF($M452="","",INDEX(fa_ttc,$M452))</f>
        <v/>
      </c>
      <c r="G452" s="75" t="str">
        <f>IF($M452="","",INDEX(fa_paid,$M452)+INDEX(fa_avoirs,$M452))</f>
        <v/>
      </c>
      <c r="H452" s="75" t="str">
        <f>IF($M452="","",INDEX(fa_reste,$M452))</f>
        <v/>
      </c>
      <c r="I452" s="58" t="str">
        <f>IF($M452="","",MAX(0,p_asof-E452))</f>
        <v/>
      </c>
      <c r="J452" s="78" t="str">
        <f>IF($M452="","",INDEX(fa_tranche,$M452)&amp;"")</f>
        <v/>
      </c>
      <c r="K452" s="56" t="str">
        <f>IF($M452="","",IF(ISNUMBER(INDEX(fa_relance,$M452)),INDEX(fa_relance,$M452),""))</f>
        <v/>
      </c>
      <c r="L452" s="79" t="str">
        <f>IF($M452="","",IF(AND(ISNUMBER(K452),(p_asof-E452)&gt;0,(p_asof-N(K452))&gt;=0,(p_asof-N(K452))&lt;7),"Déjà relancée il y a "&amp;(p_asof-N(K452))&amp;" j",IF((p_asof-E452)&lt;=0,IF((p_asof-E452)&gt;-8,"Rappel courtois avant l'échéance","Aucune action"),IF((p_asof-E452)&lt;=15,"Relance 1 : e-mail de rappel",IF((p_asof-E452)&lt;=30,"Relance 2 : appel téléphonique",IF((p_asof-E452)&lt;=60,"Relance 3 : lettre de relance",IF((p_asof-E452)&lt;=90,"Mise en demeure (recommandé)","Contentieux : injonction de payer")))))))</f>
        <v/>
      </c>
      <c r="M452" t="str">
        <f>IFERROR(MATCH(421,fa_rank,0),"")</f>
        <v/>
      </c>
    </row>
    <row r="453">
      <c r="B453" s="78" t="str">
        <f>IF($M453="","",INDEX(fa_num,$M453)&amp;"")</f>
        <v/>
      </c>
      <c r="C453" s="79" t="str">
        <f>IF($M453="","",INDEX(fa_cname,$M453)&amp;"")</f>
        <v/>
      </c>
      <c r="D453" s="56" t="str">
        <f>IF($M453="","",INDEX(fa_date,$M453))</f>
        <v/>
      </c>
      <c r="E453" s="56" t="str">
        <f>IF($M453="","",INDEX(fa_due,$M453))</f>
        <v/>
      </c>
      <c r="F453" s="75" t="str">
        <f>IF($M453="","",INDEX(fa_ttc,$M453))</f>
        <v/>
      </c>
      <c r="G453" s="75" t="str">
        <f>IF($M453="","",INDEX(fa_paid,$M453)+INDEX(fa_avoirs,$M453))</f>
        <v/>
      </c>
      <c r="H453" s="75" t="str">
        <f>IF($M453="","",INDEX(fa_reste,$M453))</f>
        <v/>
      </c>
      <c r="I453" s="58" t="str">
        <f>IF($M453="","",MAX(0,p_asof-E453))</f>
        <v/>
      </c>
      <c r="J453" s="78" t="str">
        <f>IF($M453="","",INDEX(fa_tranche,$M453)&amp;"")</f>
        <v/>
      </c>
      <c r="K453" s="56" t="str">
        <f>IF($M453="","",IF(ISNUMBER(INDEX(fa_relance,$M453)),INDEX(fa_relance,$M453),""))</f>
        <v/>
      </c>
      <c r="L453" s="79" t="str">
        <f>IF($M453="","",IF(AND(ISNUMBER(K453),(p_asof-E453)&gt;0,(p_asof-N(K453))&gt;=0,(p_asof-N(K453))&lt;7),"Déjà relancée il y a "&amp;(p_asof-N(K453))&amp;" j",IF((p_asof-E453)&lt;=0,IF((p_asof-E453)&gt;-8,"Rappel courtois avant l'échéance","Aucune action"),IF((p_asof-E453)&lt;=15,"Relance 1 : e-mail de rappel",IF((p_asof-E453)&lt;=30,"Relance 2 : appel téléphonique",IF((p_asof-E453)&lt;=60,"Relance 3 : lettre de relance",IF((p_asof-E453)&lt;=90,"Mise en demeure (recommandé)","Contentieux : injonction de payer")))))))</f>
        <v/>
      </c>
      <c r="M453" t="str">
        <f>IFERROR(MATCH(422,fa_rank,0),"")</f>
        <v/>
      </c>
    </row>
    <row r="454">
      <c r="B454" s="78" t="str">
        <f>IF($M454="","",INDEX(fa_num,$M454)&amp;"")</f>
        <v/>
      </c>
      <c r="C454" s="79" t="str">
        <f>IF($M454="","",INDEX(fa_cname,$M454)&amp;"")</f>
        <v/>
      </c>
      <c r="D454" s="56" t="str">
        <f>IF($M454="","",INDEX(fa_date,$M454))</f>
        <v/>
      </c>
      <c r="E454" s="56" t="str">
        <f>IF($M454="","",INDEX(fa_due,$M454))</f>
        <v/>
      </c>
      <c r="F454" s="75" t="str">
        <f>IF($M454="","",INDEX(fa_ttc,$M454))</f>
        <v/>
      </c>
      <c r="G454" s="75" t="str">
        <f>IF($M454="","",INDEX(fa_paid,$M454)+INDEX(fa_avoirs,$M454))</f>
        <v/>
      </c>
      <c r="H454" s="75" t="str">
        <f>IF($M454="","",INDEX(fa_reste,$M454))</f>
        <v/>
      </c>
      <c r="I454" s="58" t="str">
        <f>IF($M454="","",MAX(0,p_asof-E454))</f>
        <v/>
      </c>
      <c r="J454" s="78" t="str">
        <f>IF($M454="","",INDEX(fa_tranche,$M454)&amp;"")</f>
        <v/>
      </c>
      <c r="K454" s="56" t="str">
        <f>IF($M454="","",IF(ISNUMBER(INDEX(fa_relance,$M454)),INDEX(fa_relance,$M454),""))</f>
        <v/>
      </c>
      <c r="L454" s="79" t="str">
        <f>IF($M454="","",IF(AND(ISNUMBER(K454),(p_asof-E454)&gt;0,(p_asof-N(K454))&gt;=0,(p_asof-N(K454))&lt;7),"Déjà relancée il y a "&amp;(p_asof-N(K454))&amp;" j",IF((p_asof-E454)&lt;=0,IF((p_asof-E454)&gt;-8,"Rappel courtois avant l'échéance","Aucune action"),IF((p_asof-E454)&lt;=15,"Relance 1 : e-mail de rappel",IF((p_asof-E454)&lt;=30,"Relance 2 : appel téléphonique",IF((p_asof-E454)&lt;=60,"Relance 3 : lettre de relance",IF((p_asof-E454)&lt;=90,"Mise en demeure (recommandé)","Contentieux : injonction de payer")))))))</f>
        <v/>
      </c>
      <c r="M454" t="str">
        <f>IFERROR(MATCH(423,fa_rank,0),"")</f>
        <v/>
      </c>
    </row>
    <row r="455">
      <c r="B455" s="78" t="str">
        <f>IF($M455="","",INDEX(fa_num,$M455)&amp;"")</f>
        <v/>
      </c>
      <c r="C455" s="79" t="str">
        <f>IF($M455="","",INDEX(fa_cname,$M455)&amp;"")</f>
        <v/>
      </c>
      <c r="D455" s="56" t="str">
        <f>IF($M455="","",INDEX(fa_date,$M455))</f>
        <v/>
      </c>
      <c r="E455" s="56" t="str">
        <f>IF($M455="","",INDEX(fa_due,$M455))</f>
        <v/>
      </c>
      <c r="F455" s="75" t="str">
        <f>IF($M455="","",INDEX(fa_ttc,$M455))</f>
        <v/>
      </c>
      <c r="G455" s="75" t="str">
        <f>IF($M455="","",INDEX(fa_paid,$M455)+INDEX(fa_avoirs,$M455))</f>
        <v/>
      </c>
      <c r="H455" s="75" t="str">
        <f>IF($M455="","",INDEX(fa_reste,$M455))</f>
        <v/>
      </c>
      <c r="I455" s="58" t="str">
        <f>IF($M455="","",MAX(0,p_asof-E455))</f>
        <v/>
      </c>
      <c r="J455" s="78" t="str">
        <f>IF($M455="","",INDEX(fa_tranche,$M455)&amp;"")</f>
        <v/>
      </c>
      <c r="K455" s="56" t="str">
        <f>IF($M455="","",IF(ISNUMBER(INDEX(fa_relance,$M455)),INDEX(fa_relance,$M455),""))</f>
        <v/>
      </c>
      <c r="L455" s="79" t="str">
        <f>IF($M455="","",IF(AND(ISNUMBER(K455),(p_asof-E455)&gt;0,(p_asof-N(K455))&gt;=0,(p_asof-N(K455))&lt;7),"Déjà relancée il y a "&amp;(p_asof-N(K455))&amp;" j",IF((p_asof-E455)&lt;=0,IF((p_asof-E455)&gt;-8,"Rappel courtois avant l'échéance","Aucune action"),IF((p_asof-E455)&lt;=15,"Relance 1 : e-mail de rappel",IF((p_asof-E455)&lt;=30,"Relance 2 : appel téléphonique",IF((p_asof-E455)&lt;=60,"Relance 3 : lettre de relance",IF((p_asof-E455)&lt;=90,"Mise en demeure (recommandé)","Contentieux : injonction de payer")))))))</f>
        <v/>
      </c>
      <c r="M455" t="str">
        <f>IFERROR(MATCH(424,fa_rank,0),"")</f>
        <v/>
      </c>
    </row>
    <row r="456">
      <c r="B456" s="78" t="str">
        <f>IF($M456="","",INDEX(fa_num,$M456)&amp;"")</f>
        <v/>
      </c>
      <c r="C456" s="79" t="str">
        <f>IF($M456="","",INDEX(fa_cname,$M456)&amp;"")</f>
        <v/>
      </c>
      <c r="D456" s="56" t="str">
        <f>IF($M456="","",INDEX(fa_date,$M456))</f>
        <v/>
      </c>
      <c r="E456" s="56" t="str">
        <f>IF($M456="","",INDEX(fa_due,$M456))</f>
        <v/>
      </c>
      <c r="F456" s="75" t="str">
        <f>IF($M456="","",INDEX(fa_ttc,$M456))</f>
        <v/>
      </c>
      <c r="G456" s="75" t="str">
        <f>IF($M456="","",INDEX(fa_paid,$M456)+INDEX(fa_avoirs,$M456))</f>
        <v/>
      </c>
      <c r="H456" s="75" t="str">
        <f>IF($M456="","",INDEX(fa_reste,$M456))</f>
        <v/>
      </c>
      <c r="I456" s="58" t="str">
        <f>IF($M456="","",MAX(0,p_asof-E456))</f>
        <v/>
      </c>
      <c r="J456" s="78" t="str">
        <f>IF($M456="","",INDEX(fa_tranche,$M456)&amp;"")</f>
        <v/>
      </c>
      <c r="K456" s="56" t="str">
        <f>IF($M456="","",IF(ISNUMBER(INDEX(fa_relance,$M456)),INDEX(fa_relance,$M456),""))</f>
        <v/>
      </c>
      <c r="L456" s="79" t="str">
        <f>IF($M456="","",IF(AND(ISNUMBER(K456),(p_asof-E456)&gt;0,(p_asof-N(K456))&gt;=0,(p_asof-N(K456))&lt;7),"Déjà relancée il y a "&amp;(p_asof-N(K456))&amp;" j",IF((p_asof-E456)&lt;=0,IF((p_asof-E456)&gt;-8,"Rappel courtois avant l'échéance","Aucune action"),IF((p_asof-E456)&lt;=15,"Relance 1 : e-mail de rappel",IF((p_asof-E456)&lt;=30,"Relance 2 : appel téléphonique",IF((p_asof-E456)&lt;=60,"Relance 3 : lettre de relance",IF((p_asof-E456)&lt;=90,"Mise en demeure (recommandé)","Contentieux : injonction de payer")))))))</f>
        <v/>
      </c>
      <c r="M456" t="str">
        <f>IFERROR(MATCH(425,fa_rank,0),"")</f>
        <v/>
      </c>
    </row>
    <row r="457">
      <c r="B457" s="78" t="str">
        <f>IF($M457="","",INDEX(fa_num,$M457)&amp;"")</f>
        <v/>
      </c>
      <c r="C457" s="79" t="str">
        <f>IF($M457="","",INDEX(fa_cname,$M457)&amp;"")</f>
        <v/>
      </c>
      <c r="D457" s="56" t="str">
        <f>IF($M457="","",INDEX(fa_date,$M457))</f>
        <v/>
      </c>
      <c r="E457" s="56" t="str">
        <f>IF($M457="","",INDEX(fa_due,$M457))</f>
        <v/>
      </c>
      <c r="F457" s="75" t="str">
        <f>IF($M457="","",INDEX(fa_ttc,$M457))</f>
        <v/>
      </c>
      <c r="G457" s="75" t="str">
        <f>IF($M457="","",INDEX(fa_paid,$M457)+INDEX(fa_avoirs,$M457))</f>
        <v/>
      </c>
      <c r="H457" s="75" t="str">
        <f>IF($M457="","",INDEX(fa_reste,$M457))</f>
        <v/>
      </c>
      <c r="I457" s="58" t="str">
        <f>IF($M457="","",MAX(0,p_asof-E457))</f>
        <v/>
      </c>
      <c r="J457" s="78" t="str">
        <f>IF($M457="","",INDEX(fa_tranche,$M457)&amp;"")</f>
        <v/>
      </c>
      <c r="K457" s="56" t="str">
        <f>IF($M457="","",IF(ISNUMBER(INDEX(fa_relance,$M457)),INDEX(fa_relance,$M457),""))</f>
        <v/>
      </c>
      <c r="L457" s="79" t="str">
        <f>IF($M457="","",IF(AND(ISNUMBER(K457),(p_asof-E457)&gt;0,(p_asof-N(K457))&gt;=0,(p_asof-N(K457))&lt;7),"Déjà relancée il y a "&amp;(p_asof-N(K457))&amp;" j",IF((p_asof-E457)&lt;=0,IF((p_asof-E457)&gt;-8,"Rappel courtois avant l'échéance","Aucune action"),IF((p_asof-E457)&lt;=15,"Relance 1 : e-mail de rappel",IF((p_asof-E457)&lt;=30,"Relance 2 : appel téléphonique",IF((p_asof-E457)&lt;=60,"Relance 3 : lettre de relance",IF((p_asof-E457)&lt;=90,"Mise en demeure (recommandé)","Contentieux : injonction de payer")))))))</f>
        <v/>
      </c>
      <c r="M457" t="str">
        <f>IFERROR(MATCH(426,fa_rank,0),"")</f>
        <v/>
      </c>
    </row>
    <row r="458">
      <c r="B458" s="78" t="str">
        <f>IF($M458="","",INDEX(fa_num,$M458)&amp;"")</f>
        <v/>
      </c>
      <c r="C458" s="79" t="str">
        <f>IF($M458="","",INDEX(fa_cname,$M458)&amp;"")</f>
        <v/>
      </c>
      <c r="D458" s="56" t="str">
        <f>IF($M458="","",INDEX(fa_date,$M458))</f>
        <v/>
      </c>
      <c r="E458" s="56" t="str">
        <f>IF($M458="","",INDEX(fa_due,$M458))</f>
        <v/>
      </c>
      <c r="F458" s="75" t="str">
        <f>IF($M458="","",INDEX(fa_ttc,$M458))</f>
        <v/>
      </c>
      <c r="G458" s="75" t="str">
        <f>IF($M458="","",INDEX(fa_paid,$M458)+INDEX(fa_avoirs,$M458))</f>
        <v/>
      </c>
      <c r="H458" s="75" t="str">
        <f>IF($M458="","",INDEX(fa_reste,$M458))</f>
        <v/>
      </c>
      <c r="I458" s="58" t="str">
        <f>IF($M458="","",MAX(0,p_asof-E458))</f>
        <v/>
      </c>
      <c r="J458" s="78" t="str">
        <f>IF($M458="","",INDEX(fa_tranche,$M458)&amp;"")</f>
        <v/>
      </c>
      <c r="K458" s="56" t="str">
        <f>IF($M458="","",IF(ISNUMBER(INDEX(fa_relance,$M458)),INDEX(fa_relance,$M458),""))</f>
        <v/>
      </c>
      <c r="L458" s="79" t="str">
        <f>IF($M458="","",IF(AND(ISNUMBER(K458),(p_asof-E458)&gt;0,(p_asof-N(K458))&gt;=0,(p_asof-N(K458))&lt;7),"Déjà relancée il y a "&amp;(p_asof-N(K458))&amp;" j",IF((p_asof-E458)&lt;=0,IF((p_asof-E458)&gt;-8,"Rappel courtois avant l'échéance","Aucune action"),IF((p_asof-E458)&lt;=15,"Relance 1 : e-mail de rappel",IF((p_asof-E458)&lt;=30,"Relance 2 : appel téléphonique",IF((p_asof-E458)&lt;=60,"Relance 3 : lettre de relance",IF((p_asof-E458)&lt;=90,"Mise en demeure (recommandé)","Contentieux : injonction de payer")))))))</f>
        <v/>
      </c>
      <c r="M458" t="str">
        <f>IFERROR(MATCH(427,fa_rank,0),"")</f>
        <v/>
      </c>
    </row>
    <row r="459">
      <c r="B459" s="78" t="str">
        <f>IF($M459="","",INDEX(fa_num,$M459)&amp;"")</f>
        <v/>
      </c>
      <c r="C459" s="79" t="str">
        <f>IF($M459="","",INDEX(fa_cname,$M459)&amp;"")</f>
        <v/>
      </c>
      <c r="D459" s="56" t="str">
        <f>IF($M459="","",INDEX(fa_date,$M459))</f>
        <v/>
      </c>
      <c r="E459" s="56" t="str">
        <f>IF($M459="","",INDEX(fa_due,$M459))</f>
        <v/>
      </c>
      <c r="F459" s="75" t="str">
        <f>IF($M459="","",INDEX(fa_ttc,$M459))</f>
        <v/>
      </c>
      <c r="G459" s="75" t="str">
        <f>IF($M459="","",INDEX(fa_paid,$M459)+INDEX(fa_avoirs,$M459))</f>
        <v/>
      </c>
      <c r="H459" s="75" t="str">
        <f>IF($M459="","",INDEX(fa_reste,$M459))</f>
        <v/>
      </c>
      <c r="I459" s="58" t="str">
        <f>IF($M459="","",MAX(0,p_asof-E459))</f>
        <v/>
      </c>
      <c r="J459" s="78" t="str">
        <f>IF($M459="","",INDEX(fa_tranche,$M459)&amp;"")</f>
        <v/>
      </c>
      <c r="K459" s="56" t="str">
        <f>IF($M459="","",IF(ISNUMBER(INDEX(fa_relance,$M459)),INDEX(fa_relance,$M459),""))</f>
        <v/>
      </c>
      <c r="L459" s="79" t="str">
        <f>IF($M459="","",IF(AND(ISNUMBER(K459),(p_asof-E459)&gt;0,(p_asof-N(K459))&gt;=0,(p_asof-N(K459))&lt;7),"Déjà relancée il y a "&amp;(p_asof-N(K459))&amp;" j",IF((p_asof-E459)&lt;=0,IF((p_asof-E459)&gt;-8,"Rappel courtois avant l'échéance","Aucune action"),IF((p_asof-E459)&lt;=15,"Relance 1 : e-mail de rappel",IF((p_asof-E459)&lt;=30,"Relance 2 : appel téléphonique",IF((p_asof-E459)&lt;=60,"Relance 3 : lettre de relance",IF((p_asof-E459)&lt;=90,"Mise en demeure (recommandé)","Contentieux : injonction de payer")))))))</f>
        <v/>
      </c>
      <c r="M459" t="str">
        <f>IFERROR(MATCH(428,fa_rank,0),"")</f>
        <v/>
      </c>
    </row>
    <row r="460">
      <c r="B460" s="78" t="str">
        <f>IF($M460="","",INDEX(fa_num,$M460)&amp;"")</f>
        <v/>
      </c>
      <c r="C460" s="79" t="str">
        <f>IF($M460="","",INDEX(fa_cname,$M460)&amp;"")</f>
        <v/>
      </c>
      <c r="D460" s="56" t="str">
        <f>IF($M460="","",INDEX(fa_date,$M460))</f>
        <v/>
      </c>
      <c r="E460" s="56" t="str">
        <f>IF($M460="","",INDEX(fa_due,$M460))</f>
        <v/>
      </c>
      <c r="F460" s="75" t="str">
        <f>IF($M460="","",INDEX(fa_ttc,$M460))</f>
        <v/>
      </c>
      <c r="G460" s="75" t="str">
        <f>IF($M460="","",INDEX(fa_paid,$M460)+INDEX(fa_avoirs,$M460))</f>
        <v/>
      </c>
      <c r="H460" s="75" t="str">
        <f>IF($M460="","",INDEX(fa_reste,$M460))</f>
        <v/>
      </c>
      <c r="I460" s="58" t="str">
        <f>IF($M460="","",MAX(0,p_asof-E460))</f>
        <v/>
      </c>
      <c r="J460" s="78" t="str">
        <f>IF($M460="","",INDEX(fa_tranche,$M460)&amp;"")</f>
        <v/>
      </c>
      <c r="K460" s="56" t="str">
        <f>IF($M460="","",IF(ISNUMBER(INDEX(fa_relance,$M460)),INDEX(fa_relance,$M460),""))</f>
        <v/>
      </c>
      <c r="L460" s="79" t="str">
        <f>IF($M460="","",IF(AND(ISNUMBER(K460),(p_asof-E460)&gt;0,(p_asof-N(K460))&gt;=0,(p_asof-N(K460))&lt;7),"Déjà relancée il y a "&amp;(p_asof-N(K460))&amp;" j",IF((p_asof-E460)&lt;=0,IF((p_asof-E460)&gt;-8,"Rappel courtois avant l'échéance","Aucune action"),IF((p_asof-E460)&lt;=15,"Relance 1 : e-mail de rappel",IF((p_asof-E460)&lt;=30,"Relance 2 : appel téléphonique",IF((p_asof-E460)&lt;=60,"Relance 3 : lettre de relance",IF((p_asof-E460)&lt;=90,"Mise en demeure (recommandé)","Contentieux : injonction de payer")))))))</f>
        <v/>
      </c>
      <c r="M460" t="str">
        <f>IFERROR(MATCH(429,fa_rank,0),"")</f>
        <v/>
      </c>
    </row>
    <row r="461">
      <c r="B461" s="78" t="str">
        <f>IF($M461="","",INDEX(fa_num,$M461)&amp;"")</f>
        <v/>
      </c>
      <c r="C461" s="79" t="str">
        <f>IF($M461="","",INDEX(fa_cname,$M461)&amp;"")</f>
        <v/>
      </c>
      <c r="D461" s="56" t="str">
        <f>IF($M461="","",INDEX(fa_date,$M461))</f>
        <v/>
      </c>
      <c r="E461" s="56" t="str">
        <f>IF($M461="","",INDEX(fa_due,$M461))</f>
        <v/>
      </c>
      <c r="F461" s="75" t="str">
        <f>IF($M461="","",INDEX(fa_ttc,$M461))</f>
        <v/>
      </c>
      <c r="G461" s="75" t="str">
        <f>IF($M461="","",INDEX(fa_paid,$M461)+INDEX(fa_avoirs,$M461))</f>
        <v/>
      </c>
      <c r="H461" s="75" t="str">
        <f>IF($M461="","",INDEX(fa_reste,$M461))</f>
        <v/>
      </c>
      <c r="I461" s="58" t="str">
        <f>IF($M461="","",MAX(0,p_asof-E461))</f>
        <v/>
      </c>
      <c r="J461" s="78" t="str">
        <f>IF($M461="","",INDEX(fa_tranche,$M461)&amp;"")</f>
        <v/>
      </c>
      <c r="K461" s="56" t="str">
        <f>IF($M461="","",IF(ISNUMBER(INDEX(fa_relance,$M461)),INDEX(fa_relance,$M461),""))</f>
        <v/>
      </c>
      <c r="L461" s="79" t="str">
        <f>IF($M461="","",IF(AND(ISNUMBER(K461),(p_asof-E461)&gt;0,(p_asof-N(K461))&gt;=0,(p_asof-N(K461))&lt;7),"Déjà relancée il y a "&amp;(p_asof-N(K461))&amp;" j",IF((p_asof-E461)&lt;=0,IF((p_asof-E461)&gt;-8,"Rappel courtois avant l'échéance","Aucune action"),IF((p_asof-E461)&lt;=15,"Relance 1 : e-mail de rappel",IF((p_asof-E461)&lt;=30,"Relance 2 : appel téléphonique",IF((p_asof-E461)&lt;=60,"Relance 3 : lettre de relance",IF((p_asof-E461)&lt;=90,"Mise en demeure (recommandé)","Contentieux : injonction de payer")))))))</f>
        <v/>
      </c>
      <c r="M461" t="str">
        <f>IFERROR(MATCH(430,fa_rank,0),"")</f>
        <v/>
      </c>
    </row>
    <row r="462">
      <c r="B462" s="78" t="str">
        <f>IF($M462="","",INDEX(fa_num,$M462)&amp;"")</f>
        <v/>
      </c>
      <c r="C462" s="79" t="str">
        <f>IF($M462="","",INDEX(fa_cname,$M462)&amp;"")</f>
        <v/>
      </c>
      <c r="D462" s="56" t="str">
        <f>IF($M462="","",INDEX(fa_date,$M462))</f>
        <v/>
      </c>
      <c r="E462" s="56" t="str">
        <f>IF($M462="","",INDEX(fa_due,$M462))</f>
        <v/>
      </c>
      <c r="F462" s="75" t="str">
        <f>IF($M462="","",INDEX(fa_ttc,$M462))</f>
        <v/>
      </c>
      <c r="G462" s="75" t="str">
        <f>IF($M462="","",INDEX(fa_paid,$M462)+INDEX(fa_avoirs,$M462))</f>
        <v/>
      </c>
      <c r="H462" s="75" t="str">
        <f>IF($M462="","",INDEX(fa_reste,$M462))</f>
        <v/>
      </c>
      <c r="I462" s="58" t="str">
        <f>IF($M462="","",MAX(0,p_asof-E462))</f>
        <v/>
      </c>
      <c r="J462" s="78" t="str">
        <f>IF($M462="","",INDEX(fa_tranche,$M462)&amp;"")</f>
        <v/>
      </c>
      <c r="K462" s="56" t="str">
        <f>IF($M462="","",IF(ISNUMBER(INDEX(fa_relance,$M462)),INDEX(fa_relance,$M462),""))</f>
        <v/>
      </c>
      <c r="L462" s="79" t="str">
        <f>IF($M462="","",IF(AND(ISNUMBER(K462),(p_asof-E462)&gt;0,(p_asof-N(K462))&gt;=0,(p_asof-N(K462))&lt;7),"Déjà relancée il y a "&amp;(p_asof-N(K462))&amp;" j",IF((p_asof-E462)&lt;=0,IF((p_asof-E462)&gt;-8,"Rappel courtois avant l'échéance","Aucune action"),IF((p_asof-E462)&lt;=15,"Relance 1 : e-mail de rappel",IF((p_asof-E462)&lt;=30,"Relance 2 : appel téléphonique",IF((p_asof-E462)&lt;=60,"Relance 3 : lettre de relance",IF((p_asof-E462)&lt;=90,"Mise en demeure (recommandé)","Contentieux : injonction de payer")))))))</f>
        <v/>
      </c>
      <c r="M462" t="str">
        <f>IFERROR(MATCH(431,fa_rank,0),"")</f>
        <v/>
      </c>
    </row>
    <row r="463">
      <c r="B463" s="78" t="str">
        <f>IF($M463="","",INDEX(fa_num,$M463)&amp;"")</f>
        <v/>
      </c>
      <c r="C463" s="79" t="str">
        <f>IF($M463="","",INDEX(fa_cname,$M463)&amp;"")</f>
        <v/>
      </c>
      <c r="D463" s="56" t="str">
        <f>IF($M463="","",INDEX(fa_date,$M463))</f>
        <v/>
      </c>
      <c r="E463" s="56" t="str">
        <f>IF($M463="","",INDEX(fa_due,$M463))</f>
        <v/>
      </c>
      <c r="F463" s="75" t="str">
        <f>IF($M463="","",INDEX(fa_ttc,$M463))</f>
        <v/>
      </c>
      <c r="G463" s="75" t="str">
        <f>IF($M463="","",INDEX(fa_paid,$M463)+INDEX(fa_avoirs,$M463))</f>
        <v/>
      </c>
      <c r="H463" s="75" t="str">
        <f>IF($M463="","",INDEX(fa_reste,$M463))</f>
        <v/>
      </c>
      <c r="I463" s="58" t="str">
        <f>IF($M463="","",MAX(0,p_asof-E463))</f>
        <v/>
      </c>
      <c r="J463" s="78" t="str">
        <f>IF($M463="","",INDEX(fa_tranche,$M463)&amp;"")</f>
        <v/>
      </c>
      <c r="K463" s="56" t="str">
        <f>IF($M463="","",IF(ISNUMBER(INDEX(fa_relance,$M463)),INDEX(fa_relance,$M463),""))</f>
        <v/>
      </c>
      <c r="L463" s="79" t="str">
        <f>IF($M463="","",IF(AND(ISNUMBER(K463),(p_asof-E463)&gt;0,(p_asof-N(K463))&gt;=0,(p_asof-N(K463))&lt;7),"Déjà relancée il y a "&amp;(p_asof-N(K463))&amp;" j",IF((p_asof-E463)&lt;=0,IF((p_asof-E463)&gt;-8,"Rappel courtois avant l'échéance","Aucune action"),IF((p_asof-E463)&lt;=15,"Relance 1 : e-mail de rappel",IF((p_asof-E463)&lt;=30,"Relance 2 : appel téléphonique",IF((p_asof-E463)&lt;=60,"Relance 3 : lettre de relance",IF((p_asof-E463)&lt;=90,"Mise en demeure (recommandé)","Contentieux : injonction de payer")))))))</f>
        <v/>
      </c>
      <c r="M463" t="str">
        <f>IFERROR(MATCH(432,fa_rank,0),"")</f>
        <v/>
      </c>
    </row>
    <row r="464">
      <c r="B464" s="78" t="str">
        <f>IF($M464="","",INDEX(fa_num,$M464)&amp;"")</f>
        <v/>
      </c>
      <c r="C464" s="79" t="str">
        <f>IF($M464="","",INDEX(fa_cname,$M464)&amp;"")</f>
        <v/>
      </c>
      <c r="D464" s="56" t="str">
        <f>IF($M464="","",INDEX(fa_date,$M464))</f>
        <v/>
      </c>
      <c r="E464" s="56" t="str">
        <f>IF($M464="","",INDEX(fa_due,$M464))</f>
        <v/>
      </c>
      <c r="F464" s="75" t="str">
        <f>IF($M464="","",INDEX(fa_ttc,$M464))</f>
        <v/>
      </c>
      <c r="G464" s="75" t="str">
        <f>IF($M464="","",INDEX(fa_paid,$M464)+INDEX(fa_avoirs,$M464))</f>
        <v/>
      </c>
      <c r="H464" s="75" t="str">
        <f>IF($M464="","",INDEX(fa_reste,$M464))</f>
        <v/>
      </c>
      <c r="I464" s="58" t="str">
        <f>IF($M464="","",MAX(0,p_asof-E464))</f>
        <v/>
      </c>
      <c r="J464" s="78" t="str">
        <f>IF($M464="","",INDEX(fa_tranche,$M464)&amp;"")</f>
        <v/>
      </c>
      <c r="K464" s="56" t="str">
        <f>IF($M464="","",IF(ISNUMBER(INDEX(fa_relance,$M464)),INDEX(fa_relance,$M464),""))</f>
        <v/>
      </c>
      <c r="L464" s="79" t="str">
        <f>IF($M464="","",IF(AND(ISNUMBER(K464),(p_asof-E464)&gt;0,(p_asof-N(K464))&gt;=0,(p_asof-N(K464))&lt;7),"Déjà relancée il y a "&amp;(p_asof-N(K464))&amp;" j",IF((p_asof-E464)&lt;=0,IF((p_asof-E464)&gt;-8,"Rappel courtois avant l'échéance","Aucune action"),IF((p_asof-E464)&lt;=15,"Relance 1 : e-mail de rappel",IF((p_asof-E464)&lt;=30,"Relance 2 : appel téléphonique",IF((p_asof-E464)&lt;=60,"Relance 3 : lettre de relance",IF((p_asof-E464)&lt;=90,"Mise en demeure (recommandé)","Contentieux : injonction de payer")))))))</f>
        <v/>
      </c>
      <c r="M464" t="str">
        <f>IFERROR(MATCH(433,fa_rank,0),"")</f>
        <v/>
      </c>
    </row>
    <row r="465">
      <c r="B465" s="78" t="str">
        <f>IF($M465="","",INDEX(fa_num,$M465)&amp;"")</f>
        <v/>
      </c>
      <c r="C465" s="79" t="str">
        <f>IF($M465="","",INDEX(fa_cname,$M465)&amp;"")</f>
        <v/>
      </c>
      <c r="D465" s="56" t="str">
        <f>IF($M465="","",INDEX(fa_date,$M465))</f>
        <v/>
      </c>
      <c r="E465" s="56" t="str">
        <f>IF($M465="","",INDEX(fa_due,$M465))</f>
        <v/>
      </c>
      <c r="F465" s="75" t="str">
        <f>IF($M465="","",INDEX(fa_ttc,$M465))</f>
        <v/>
      </c>
      <c r="G465" s="75" t="str">
        <f>IF($M465="","",INDEX(fa_paid,$M465)+INDEX(fa_avoirs,$M465))</f>
        <v/>
      </c>
      <c r="H465" s="75" t="str">
        <f>IF($M465="","",INDEX(fa_reste,$M465))</f>
        <v/>
      </c>
      <c r="I465" s="58" t="str">
        <f>IF($M465="","",MAX(0,p_asof-E465))</f>
        <v/>
      </c>
      <c r="J465" s="78" t="str">
        <f>IF($M465="","",INDEX(fa_tranche,$M465)&amp;"")</f>
        <v/>
      </c>
      <c r="K465" s="56" t="str">
        <f>IF($M465="","",IF(ISNUMBER(INDEX(fa_relance,$M465)),INDEX(fa_relance,$M465),""))</f>
        <v/>
      </c>
      <c r="L465" s="79" t="str">
        <f>IF($M465="","",IF(AND(ISNUMBER(K465),(p_asof-E465)&gt;0,(p_asof-N(K465))&gt;=0,(p_asof-N(K465))&lt;7),"Déjà relancée il y a "&amp;(p_asof-N(K465))&amp;" j",IF((p_asof-E465)&lt;=0,IF((p_asof-E465)&gt;-8,"Rappel courtois avant l'échéance","Aucune action"),IF((p_asof-E465)&lt;=15,"Relance 1 : e-mail de rappel",IF((p_asof-E465)&lt;=30,"Relance 2 : appel téléphonique",IF((p_asof-E465)&lt;=60,"Relance 3 : lettre de relance",IF((p_asof-E465)&lt;=90,"Mise en demeure (recommandé)","Contentieux : injonction de payer")))))))</f>
        <v/>
      </c>
      <c r="M465" t="str">
        <f>IFERROR(MATCH(434,fa_rank,0),"")</f>
        <v/>
      </c>
    </row>
    <row r="466">
      <c r="B466" s="78" t="str">
        <f>IF($M466="","",INDEX(fa_num,$M466)&amp;"")</f>
        <v/>
      </c>
      <c r="C466" s="79" t="str">
        <f>IF($M466="","",INDEX(fa_cname,$M466)&amp;"")</f>
        <v/>
      </c>
      <c r="D466" s="56" t="str">
        <f>IF($M466="","",INDEX(fa_date,$M466))</f>
        <v/>
      </c>
      <c r="E466" s="56" t="str">
        <f>IF($M466="","",INDEX(fa_due,$M466))</f>
        <v/>
      </c>
      <c r="F466" s="75" t="str">
        <f>IF($M466="","",INDEX(fa_ttc,$M466))</f>
        <v/>
      </c>
      <c r="G466" s="75" t="str">
        <f>IF($M466="","",INDEX(fa_paid,$M466)+INDEX(fa_avoirs,$M466))</f>
        <v/>
      </c>
      <c r="H466" s="75" t="str">
        <f>IF($M466="","",INDEX(fa_reste,$M466))</f>
        <v/>
      </c>
      <c r="I466" s="58" t="str">
        <f>IF($M466="","",MAX(0,p_asof-E466))</f>
        <v/>
      </c>
      <c r="J466" s="78" t="str">
        <f>IF($M466="","",INDEX(fa_tranche,$M466)&amp;"")</f>
        <v/>
      </c>
      <c r="K466" s="56" t="str">
        <f>IF($M466="","",IF(ISNUMBER(INDEX(fa_relance,$M466)),INDEX(fa_relance,$M466),""))</f>
        <v/>
      </c>
      <c r="L466" s="79" t="str">
        <f>IF($M466="","",IF(AND(ISNUMBER(K466),(p_asof-E466)&gt;0,(p_asof-N(K466))&gt;=0,(p_asof-N(K466))&lt;7),"Déjà relancée il y a "&amp;(p_asof-N(K466))&amp;" j",IF((p_asof-E466)&lt;=0,IF((p_asof-E466)&gt;-8,"Rappel courtois avant l'échéance","Aucune action"),IF((p_asof-E466)&lt;=15,"Relance 1 : e-mail de rappel",IF((p_asof-E466)&lt;=30,"Relance 2 : appel téléphonique",IF((p_asof-E466)&lt;=60,"Relance 3 : lettre de relance",IF((p_asof-E466)&lt;=90,"Mise en demeure (recommandé)","Contentieux : injonction de payer")))))))</f>
        <v/>
      </c>
      <c r="M466" t="str">
        <f>IFERROR(MATCH(435,fa_rank,0),"")</f>
        <v/>
      </c>
    </row>
    <row r="467">
      <c r="B467" s="78" t="str">
        <f>IF($M467="","",INDEX(fa_num,$M467)&amp;"")</f>
        <v/>
      </c>
      <c r="C467" s="79" t="str">
        <f>IF($M467="","",INDEX(fa_cname,$M467)&amp;"")</f>
        <v/>
      </c>
      <c r="D467" s="56" t="str">
        <f>IF($M467="","",INDEX(fa_date,$M467))</f>
        <v/>
      </c>
      <c r="E467" s="56" t="str">
        <f>IF($M467="","",INDEX(fa_due,$M467))</f>
        <v/>
      </c>
      <c r="F467" s="75" t="str">
        <f>IF($M467="","",INDEX(fa_ttc,$M467))</f>
        <v/>
      </c>
      <c r="G467" s="75" t="str">
        <f>IF($M467="","",INDEX(fa_paid,$M467)+INDEX(fa_avoirs,$M467))</f>
        <v/>
      </c>
      <c r="H467" s="75" t="str">
        <f>IF($M467="","",INDEX(fa_reste,$M467))</f>
        <v/>
      </c>
      <c r="I467" s="58" t="str">
        <f>IF($M467="","",MAX(0,p_asof-E467))</f>
        <v/>
      </c>
      <c r="J467" s="78" t="str">
        <f>IF($M467="","",INDEX(fa_tranche,$M467)&amp;"")</f>
        <v/>
      </c>
      <c r="K467" s="56" t="str">
        <f>IF($M467="","",IF(ISNUMBER(INDEX(fa_relance,$M467)),INDEX(fa_relance,$M467),""))</f>
        <v/>
      </c>
      <c r="L467" s="79" t="str">
        <f>IF($M467="","",IF(AND(ISNUMBER(K467),(p_asof-E467)&gt;0,(p_asof-N(K467))&gt;=0,(p_asof-N(K467))&lt;7),"Déjà relancée il y a "&amp;(p_asof-N(K467))&amp;" j",IF((p_asof-E467)&lt;=0,IF((p_asof-E467)&gt;-8,"Rappel courtois avant l'échéance","Aucune action"),IF((p_asof-E467)&lt;=15,"Relance 1 : e-mail de rappel",IF((p_asof-E467)&lt;=30,"Relance 2 : appel téléphonique",IF((p_asof-E467)&lt;=60,"Relance 3 : lettre de relance",IF((p_asof-E467)&lt;=90,"Mise en demeure (recommandé)","Contentieux : injonction de payer")))))))</f>
        <v/>
      </c>
      <c r="M467" t="str">
        <f>IFERROR(MATCH(436,fa_rank,0),"")</f>
        <v/>
      </c>
    </row>
    <row r="468">
      <c r="B468" s="78" t="str">
        <f>IF($M468="","",INDEX(fa_num,$M468)&amp;"")</f>
        <v/>
      </c>
      <c r="C468" s="79" t="str">
        <f>IF($M468="","",INDEX(fa_cname,$M468)&amp;"")</f>
        <v/>
      </c>
      <c r="D468" s="56" t="str">
        <f>IF($M468="","",INDEX(fa_date,$M468))</f>
        <v/>
      </c>
      <c r="E468" s="56" t="str">
        <f>IF($M468="","",INDEX(fa_due,$M468))</f>
        <v/>
      </c>
      <c r="F468" s="75" t="str">
        <f>IF($M468="","",INDEX(fa_ttc,$M468))</f>
        <v/>
      </c>
      <c r="G468" s="75" t="str">
        <f>IF($M468="","",INDEX(fa_paid,$M468)+INDEX(fa_avoirs,$M468))</f>
        <v/>
      </c>
      <c r="H468" s="75" t="str">
        <f>IF($M468="","",INDEX(fa_reste,$M468))</f>
        <v/>
      </c>
      <c r="I468" s="58" t="str">
        <f>IF($M468="","",MAX(0,p_asof-E468))</f>
        <v/>
      </c>
      <c r="J468" s="78" t="str">
        <f>IF($M468="","",INDEX(fa_tranche,$M468)&amp;"")</f>
        <v/>
      </c>
      <c r="K468" s="56" t="str">
        <f>IF($M468="","",IF(ISNUMBER(INDEX(fa_relance,$M468)),INDEX(fa_relance,$M468),""))</f>
        <v/>
      </c>
      <c r="L468" s="79" t="str">
        <f>IF($M468="","",IF(AND(ISNUMBER(K468),(p_asof-E468)&gt;0,(p_asof-N(K468))&gt;=0,(p_asof-N(K468))&lt;7),"Déjà relancée il y a "&amp;(p_asof-N(K468))&amp;" j",IF((p_asof-E468)&lt;=0,IF((p_asof-E468)&gt;-8,"Rappel courtois avant l'échéance","Aucune action"),IF((p_asof-E468)&lt;=15,"Relance 1 : e-mail de rappel",IF((p_asof-E468)&lt;=30,"Relance 2 : appel téléphonique",IF((p_asof-E468)&lt;=60,"Relance 3 : lettre de relance",IF((p_asof-E468)&lt;=90,"Mise en demeure (recommandé)","Contentieux : injonction de payer")))))))</f>
        <v/>
      </c>
      <c r="M468" t="str">
        <f>IFERROR(MATCH(437,fa_rank,0),"")</f>
        <v/>
      </c>
    </row>
    <row r="469">
      <c r="B469" s="78" t="str">
        <f>IF($M469="","",INDEX(fa_num,$M469)&amp;"")</f>
        <v/>
      </c>
      <c r="C469" s="79" t="str">
        <f>IF($M469="","",INDEX(fa_cname,$M469)&amp;"")</f>
        <v/>
      </c>
      <c r="D469" s="56" t="str">
        <f>IF($M469="","",INDEX(fa_date,$M469))</f>
        <v/>
      </c>
      <c r="E469" s="56" t="str">
        <f>IF($M469="","",INDEX(fa_due,$M469))</f>
        <v/>
      </c>
      <c r="F469" s="75" t="str">
        <f>IF($M469="","",INDEX(fa_ttc,$M469))</f>
        <v/>
      </c>
      <c r="G469" s="75" t="str">
        <f>IF($M469="","",INDEX(fa_paid,$M469)+INDEX(fa_avoirs,$M469))</f>
        <v/>
      </c>
      <c r="H469" s="75" t="str">
        <f>IF($M469="","",INDEX(fa_reste,$M469))</f>
        <v/>
      </c>
      <c r="I469" s="58" t="str">
        <f>IF($M469="","",MAX(0,p_asof-E469))</f>
        <v/>
      </c>
      <c r="J469" s="78" t="str">
        <f>IF($M469="","",INDEX(fa_tranche,$M469)&amp;"")</f>
        <v/>
      </c>
      <c r="K469" s="56" t="str">
        <f>IF($M469="","",IF(ISNUMBER(INDEX(fa_relance,$M469)),INDEX(fa_relance,$M469),""))</f>
        <v/>
      </c>
      <c r="L469" s="79" t="str">
        <f>IF($M469="","",IF(AND(ISNUMBER(K469),(p_asof-E469)&gt;0,(p_asof-N(K469))&gt;=0,(p_asof-N(K469))&lt;7),"Déjà relancée il y a "&amp;(p_asof-N(K469))&amp;" j",IF((p_asof-E469)&lt;=0,IF((p_asof-E469)&gt;-8,"Rappel courtois avant l'échéance","Aucune action"),IF((p_asof-E469)&lt;=15,"Relance 1 : e-mail de rappel",IF((p_asof-E469)&lt;=30,"Relance 2 : appel téléphonique",IF((p_asof-E469)&lt;=60,"Relance 3 : lettre de relance",IF((p_asof-E469)&lt;=90,"Mise en demeure (recommandé)","Contentieux : injonction de payer")))))))</f>
        <v/>
      </c>
      <c r="M469" t="str">
        <f>IFERROR(MATCH(438,fa_rank,0),"")</f>
        <v/>
      </c>
    </row>
    <row r="470">
      <c r="B470" s="78" t="str">
        <f>IF($M470="","",INDEX(fa_num,$M470)&amp;"")</f>
        <v/>
      </c>
      <c r="C470" s="79" t="str">
        <f>IF($M470="","",INDEX(fa_cname,$M470)&amp;"")</f>
        <v/>
      </c>
      <c r="D470" s="56" t="str">
        <f>IF($M470="","",INDEX(fa_date,$M470))</f>
        <v/>
      </c>
      <c r="E470" s="56" t="str">
        <f>IF($M470="","",INDEX(fa_due,$M470))</f>
        <v/>
      </c>
      <c r="F470" s="75" t="str">
        <f>IF($M470="","",INDEX(fa_ttc,$M470))</f>
        <v/>
      </c>
      <c r="G470" s="75" t="str">
        <f>IF($M470="","",INDEX(fa_paid,$M470)+INDEX(fa_avoirs,$M470))</f>
        <v/>
      </c>
      <c r="H470" s="75" t="str">
        <f>IF($M470="","",INDEX(fa_reste,$M470))</f>
        <v/>
      </c>
      <c r="I470" s="58" t="str">
        <f>IF($M470="","",MAX(0,p_asof-E470))</f>
        <v/>
      </c>
      <c r="J470" s="78" t="str">
        <f>IF($M470="","",INDEX(fa_tranche,$M470)&amp;"")</f>
        <v/>
      </c>
      <c r="K470" s="56" t="str">
        <f>IF($M470="","",IF(ISNUMBER(INDEX(fa_relance,$M470)),INDEX(fa_relance,$M470),""))</f>
        <v/>
      </c>
      <c r="L470" s="79" t="str">
        <f>IF($M470="","",IF(AND(ISNUMBER(K470),(p_asof-E470)&gt;0,(p_asof-N(K470))&gt;=0,(p_asof-N(K470))&lt;7),"Déjà relancée il y a "&amp;(p_asof-N(K470))&amp;" j",IF((p_asof-E470)&lt;=0,IF((p_asof-E470)&gt;-8,"Rappel courtois avant l'échéance","Aucune action"),IF((p_asof-E470)&lt;=15,"Relance 1 : e-mail de rappel",IF((p_asof-E470)&lt;=30,"Relance 2 : appel téléphonique",IF((p_asof-E470)&lt;=60,"Relance 3 : lettre de relance",IF((p_asof-E470)&lt;=90,"Mise en demeure (recommandé)","Contentieux : injonction de payer")))))))</f>
        <v/>
      </c>
      <c r="M470" t="str">
        <f>IFERROR(MATCH(439,fa_rank,0),"")</f>
        <v/>
      </c>
    </row>
    <row r="471">
      <c r="B471" s="78" t="str">
        <f>IF($M471="","",INDEX(fa_num,$M471)&amp;"")</f>
        <v/>
      </c>
      <c r="C471" s="79" t="str">
        <f>IF($M471="","",INDEX(fa_cname,$M471)&amp;"")</f>
        <v/>
      </c>
      <c r="D471" s="56" t="str">
        <f>IF($M471="","",INDEX(fa_date,$M471))</f>
        <v/>
      </c>
      <c r="E471" s="56" t="str">
        <f>IF($M471="","",INDEX(fa_due,$M471))</f>
        <v/>
      </c>
      <c r="F471" s="75" t="str">
        <f>IF($M471="","",INDEX(fa_ttc,$M471))</f>
        <v/>
      </c>
      <c r="G471" s="75" t="str">
        <f>IF($M471="","",INDEX(fa_paid,$M471)+INDEX(fa_avoirs,$M471))</f>
        <v/>
      </c>
      <c r="H471" s="75" t="str">
        <f>IF($M471="","",INDEX(fa_reste,$M471))</f>
        <v/>
      </c>
      <c r="I471" s="58" t="str">
        <f>IF($M471="","",MAX(0,p_asof-E471))</f>
        <v/>
      </c>
      <c r="J471" s="78" t="str">
        <f>IF($M471="","",INDEX(fa_tranche,$M471)&amp;"")</f>
        <v/>
      </c>
      <c r="K471" s="56" t="str">
        <f>IF($M471="","",IF(ISNUMBER(INDEX(fa_relance,$M471)),INDEX(fa_relance,$M471),""))</f>
        <v/>
      </c>
      <c r="L471" s="79" t="str">
        <f>IF($M471="","",IF(AND(ISNUMBER(K471),(p_asof-E471)&gt;0,(p_asof-N(K471))&gt;=0,(p_asof-N(K471))&lt;7),"Déjà relancée il y a "&amp;(p_asof-N(K471))&amp;" j",IF((p_asof-E471)&lt;=0,IF((p_asof-E471)&gt;-8,"Rappel courtois avant l'échéance","Aucune action"),IF((p_asof-E471)&lt;=15,"Relance 1 : e-mail de rappel",IF((p_asof-E471)&lt;=30,"Relance 2 : appel téléphonique",IF((p_asof-E471)&lt;=60,"Relance 3 : lettre de relance",IF((p_asof-E471)&lt;=90,"Mise en demeure (recommandé)","Contentieux : injonction de payer")))))))</f>
        <v/>
      </c>
      <c r="M471" t="str">
        <f>IFERROR(MATCH(440,fa_rank,0),"")</f>
        <v/>
      </c>
    </row>
    <row r="472">
      <c r="B472" s="78" t="str">
        <f>IF($M472="","",INDEX(fa_num,$M472)&amp;"")</f>
        <v/>
      </c>
      <c r="C472" s="79" t="str">
        <f>IF($M472="","",INDEX(fa_cname,$M472)&amp;"")</f>
        <v/>
      </c>
      <c r="D472" s="56" t="str">
        <f>IF($M472="","",INDEX(fa_date,$M472))</f>
        <v/>
      </c>
      <c r="E472" s="56" t="str">
        <f>IF($M472="","",INDEX(fa_due,$M472))</f>
        <v/>
      </c>
      <c r="F472" s="75" t="str">
        <f>IF($M472="","",INDEX(fa_ttc,$M472))</f>
        <v/>
      </c>
      <c r="G472" s="75" t="str">
        <f>IF($M472="","",INDEX(fa_paid,$M472)+INDEX(fa_avoirs,$M472))</f>
        <v/>
      </c>
      <c r="H472" s="75" t="str">
        <f>IF($M472="","",INDEX(fa_reste,$M472))</f>
        <v/>
      </c>
      <c r="I472" s="58" t="str">
        <f>IF($M472="","",MAX(0,p_asof-E472))</f>
        <v/>
      </c>
      <c r="J472" s="78" t="str">
        <f>IF($M472="","",INDEX(fa_tranche,$M472)&amp;"")</f>
        <v/>
      </c>
      <c r="K472" s="56" t="str">
        <f>IF($M472="","",IF(ISNUMBER(INDEX(fa_relance,$M472)),INDEX(fa_relance,$M472),""))</f>
        <v/>
      </c>
      <c r="L472" s="79" t="str">
        <f>IF($M472="","",IF(AND(ISNUMBER(K472),(p_asof-E472)&gt;0,(p_asof-N(K472))&gt;=0,(p_asof-N(K472))&lt;7),"Déjà relancée il y a "&amp;(p_asof-N(K472))&amp;" j",IF((p_asof-E472)&lt;=0,IF((p_asof-E472)&gt;-8,"Rappel courtois avant l'échéance","Aucune action"),IF((p_asof-E472)&lt;=15,"Relance 1 : e-mail de rappel",IF((p_asof-E472)&lt;=30,"Relance 2 : appel téléphonique",IF((p_asof-E472)&lt;=60,"Relance 3 : lettre de relance",IF((p_asof-E472)&lt;=90,"Mise en demeure (recommandé)","Contentieux : injonction de payer")))))))</f>
        <v/>
      </c>
      <c r="M472" t="str">
        <f>IFERROR(MATCH(441,fa_rank,0),"")</f>
        <v/>
      </c>
    </row>
    <row r="473">
      <c r="B473" s="78" t="str">
        <f>IF($M473="","",INDEX(fa_num,$M473)&amp;"")</f>
        <v/>
      </c>
      <c r="C473" s="79" t="str">
        <f>IF($M473="","",INDEX(fa_cname,$M473)&amp;"")</f>
        <v/>
      </c>
      <c r="D473" s="56" t="str">
        <f>IF($M473="","",INDEX(fa_date,$M473))</f>
        <v/>
      </c>
      <c r="E473" s="56" t="str">
        <f>IF($M473="","",INDEX(fa_due,$M473))</f>
        <v/>
      </c>
      <c r="F473" s="75" t="str">
        <f>IF($M473="","",INDEX(fa_ttc,$M473))</f>
        <v/>
      </c>
      <c r="G473" s="75" t="str">
        <f>IF($M473="","",INDEX(fa_paid,$M473)+INDEX(fa_avoirs,$M473))</f>
        <v/>
      </c>
      <c r="H473" s="75" t="str">
        <f>IF($M473="","",INDEX(fa_reste,$M473))</f>
        <v/>
      </c>
      <c r="I473" s="58" t="str">
        <f>IF($M473="","",MAX(0,p_asof-E473))</f>
        <v/>
      </c>
      <c r="J473" s="78" t="str">
        <f>IF($M473="","",INDEX(fa_tranche,$M473)&amp;"")</f>
        <v/>
      </c>
      <c r="K473" s="56" t="str">
        <f>IF($M473="","",IF(ISNUMBER(INDEX(fa_relance,$M473)),INDEX(fa_relance,$M473),""))</f>
        <v/>
      </c>
      <c r="L473" s="79" t="str">
        <f>IF($M473="","",IF(AND(ISNUMBER(K473),(p_asof-E473)&gt;0,(p_asof-N(K473))&gt;=0,(p_asof-N(K473))&lt;7),"Déjà relancée il y a "&amp;(p_asof-N(K473))&amp;" j",IF((p_asof-E473)&lt;=0,IF((p_asof-E473)&gt;-8,"Rappel courtois avant l'échéance","Aucune action"),IF((p_asof-E473)&lt;=15,"Relance 1 : e-mail de rappel",IF((p_asof-E473)&lt;=30,"Relance 2 : appel téléphonique",IF((p_asof-E473)&lt;=60,"Relance 3 : lettre de relance",IF((p_asof-E473)&lt;=90,"Mise en demeure (recommandé)","Contentieux : injonction de payer")))))))</f>
        <v/>
      </c>
      <c r="M473" t="str">
        <f>IFERROR(MATCH(442,fa_rank,0),"")</f>
        <v/>
      </c>
    </row>
    <row r="474">
      <c r="B474" s="78" t="str">
        <f>IF($M474="","",INDEX(fa_num,$M474)&amp;"")</f>
        <v/>
      </c>
      <c r="C474" s="79" t="str">
        <f>IF($M474="","",INDEX(fa_cname,$M474)&amp;"")</f>
        <v/>
      </c>
      <c r="D474" s="56" t="str">
        <f>IF($M474="","",INDEX(fa_date,$M474))</f>
        <v/>
      </c>
      <c r="E474" s="56" t="str">
        <f>IF($M474="","",INDEX(fa_due,$M474))</f>
        <v/>
      </c>
      <c r="F474" s="75" t="str">
        <f>IF($M474="","",INDEX(fa_ttc,$M474))</f>
        <v/>
      </c>
      <c r="G474" s="75" t="str">
        <f>IF($M474="","",INDEX(fa_paid,$M474)+INDEX(fa_avoirs,$M474))</f>
        <v/>
      </c>
      <c r="H474" s="75" t="str">
        <f>IF($M474="","",INDEX(fa_reste,$M474))</f>
        <v/>
      </c>
      <c r="I474" s="58" t="str">
        <f>IF($M474="","",MAX(0,p_asof-E474))</f>
        <v/>
      </c>
      <c r="J474" s="78" t="str">
        <f>IF($M474="","",INDEX(fa_tranche,$M474)&amp;"")</f>
        <v/>
      </c>
      <c r="K474" s="56" t="str">
        <f>IF($M474="","",IF(ISNUMBER(INDEX(fa_relance,$M474)),INDEX(fa_relance,$M474),""))</f>
        <v/>
      </c>
      <c r="L474" s="79" t="str">
        <f>IF($M474="","",IF(AND(ISNUMBER(K474),(p_asof-E474)&gt;0,(p_asof-N(K474))&gt;=0,(p_asof-N(K474))&lt;7),"Déjà relancée il y a "&amp;(p_asof-N(K474))&amp;" j",IF((p_asof-E474)&lt;=0,IF((p_asof-E474)&gt;-8,"Rappel courtois avant l'échéance","Aucune action"),IF((p_asof-E474)&lt;=15,"Relance 1 : e-mail de rappel",IF((p_asof-E474)&lt;=30,"Relance 2 : appel téléphonique",IF((p_asof-E474)&lt;=60,"Relance 3 : lettre de relance",IF((p_asof-E474)&lt;=90,"Mise en demeure (recommandé)","Contentieux : injonction de payer")))))))</f>
        <v/>
      </c>
      <c r="M474" t="str">
        <f>IFERROR(MATCH(443,fa_rank,0),"")</f>
        <v/>
      </c>
    </row>
    <row r="475">
      <c r="B475" s="78" t="str">
        <f>IF($M475="","",INDEX(fa_num,$M475)&amp;"")</f>
        <v/>
      </c>
      <c r="C475" s="79" t="str">
        <f>IF($M475="","",INDEX(fa_cname,$M475)&amp;"")</f>
        <v/>
      </c>
      <c r="D475" s="56" t="str">
        <f>IF($M475="","",INDEX(fa_date,$M475))</f>
        <v/>
      </c>
      <c r="E475" s="56" t="str">
        <f>IF($M475="","",INDEX(fa_due,$M475))</f>
        <v/>
      </c>
      <c r="F475" s="75" t="str">
        <f>IF($M475="","",INDEX(fa_ttc,$M475))</f>
        <v/>
      </c>
      <c r="G475" s="75" t="str">
        <f>IF($M475="","",INDEX(fa_paid,$M475)+INDEX(fa_avoirs,$M475))</f>
        <v/>
      </c>
      <c r="H475" s="75" t="str">
        <f>IF($M475="","",INDEX(fa_reste,$M475))</f>
        <v/>
      </c>
      <c r="I475" s="58" t="str">
        <f>IF($M475="","",MAX(0,p_asof-E475))</f>
        <v/>
      </c>
      <c r="J475" s="78" t="str">
        <f>IF($M475="","",INDEX(fa_tranche,$M475)&amp;"")</f>
        <v/>
      </c>
      <c r="K475" s="56" t="str">
        <f>IF($M475="","",IF(ISNUMBER(INDEX(fa_relance,$M475)),INDEX(fa_relance,$M475),""))</f>
        <v/>
      </c>
      <c r="L475" s="79" t="str">
        <f>IF($M475="","",IF(AND(ISNUMBER(K475),(p_asof-E475)&gt;0,(p_asof-N(K475))&gt;=0,(p_asof-N(K475))&lt;7),"Déjà relancée il y a "&amp;(p_asof-N(K475))&amp;" j",IF((p_asof-E475)&lt;=0,IF((p_asof-E475)&gt;-8,"Rappel courtois avant l'échéance","Aucune action"),IF((p_asof-E475)&lt;=15,"Relance 1 : e-mail de rappel",IF((p_asof-E475)&lt;=30,"Relance 2 : appel téléphonique",IF((p_asof-E475)&lt;=60,"Relance 3 : lettre de relance",IF((p_asof-E475)&lt;=90,"Mise en demeure (recommandé)","Contentieux : injonction de payer")))))))</f>
        <v/>
      </c>
      <c r="M475" t="str">
        <f>IFERROR(MATCH(444,fa_rank,0),"")</f>
        <v/>
      </c>
    </row>
    <row r="476">
      <c r="B476" s="78" t="str">
        <f>IF($M476="","",INDEX(fa_num,$M476)&amp;"")</f>
        <v/>
      </c>
      <c r="C476" s="79" t="str">
        <f>IF($M476="","",INDEX(fa_cname,$M476)&amp;"")</f>
        <v/>
      </c>
      <c r="D476" s="56" t="str">
        <f>IF($M476="","",INDEX(fa_date,$M476))</f>
        <v/>
      </c>
      <c r="E476" s="56" t="str">
        <f>IF($M476="","",INDEX(fa_due,$M476))</f>
        <v/>
      </c>
      <c r="F476" s="75" t="str">
        <f>IF($M476="","",INDEX(fa_ttc,$M476))</f>
        <v/>
      </c>
      <c r="G476" s="75" t="str">
        <f>IF($M476="","",INDEX(fa_paid,$M476)+INDEX(fa_avoirs,$M476))</f>
        <v/>
      </c>
      <c r="H476" s="75" t="str">
        <f>IF($M476="","",INDEX(fa_reste,$M476))</f>
        <v/>
      </c>
      <c r="I476" s="58" t="str">
        <f>IF($M476="","",MAX(0,p_asof-E476))</f>
        <v/>
      </c>
      <c r="J476" s="78" t="str">
        <f>IF($M476="","",INDEX(fa_tranche,$M476)&amp;"")</f>
        <v/>
      </c>
      <c r="K476" s="56" t="str">
        <f>IF($M476="","",IF(ISNUMBER(INDEX(fa_relance,$M476)),INDEX(fa_relance,$M476),""))</f>
        <v/>
      </c>
      <c r="L476" s="79" t="str">
        <f>IF($M476="","",IF(AND(ISNUMBER(K476),(p_asof-E476)&gt;0,(p_asof-N(K476))&gt;=0,(p_asof-N(K476))&lt;7),"Déjà relancée il y a "&amp;(p_asof-N(K476))&amp;" j",IF((p_asof-E476)&lt;=0,IF((p_asof-E476)&gt;-8,"Rappel courtois avant l'échéance","Aucune action"),IF((p_asof-E476)&lt;=15,"Relance 1 : e-mail de rappel",IF((p_asof-E476)&lt;=30,"Relance 2 : appel téléphonique",IF((p_asof-E476)&lt;=60,"Relance 3 : lettre de relance",IF((p_asof-E476)&lt;=90,"Mise en demeure (recommandé)","Contentieux : injonction de payer")))))))</f>
        <v/>
      </c>
      <c r="M476" t="str">
        <f>IFERROR(MATCH(445,fa_rank,0),"")</f>
        <v/>
      </c>
    </row>
    <row r="477">
      <c r="B477" s="78" t="str">
        <f>IF($M477="","",INDEX(fa_num,$M477)&amp;"")</f>
        <v/>
      </c>
      <c r="C477" s="79" t="str">
        <f>IF($M477="","",INDEX(fa_cname,$M477)&amp;"")</f>
        <v/>
      </c>
      <c r="D477" s="56" t="str">
        <f>IF($M477="","",INDEX(fa_date,$M477))</f>
        <v/>
      </c>
      <c r="E477" s="56" t="str">
        <f>IF($M477="","",INDEX(fa_due,$M477))</f>
        <v/>
      </c>
      <c r="F477" s="75" t="str">
        <f>IF($M477="","",INDEX(fa_ttc,$M477))</f>
        <v/>
      </c>
      <c r="G477" s="75" t="str">
        <f>IF($M477="","",INDEX(fa_paid,$M477)+INDEX(fa_avoirs,$M477))</f>
        <v/>
      </c>
      <c r="H477" s="75" t="str">
        <f>IF($M477="","",INDEX(fa_reste,$M477))</f>
        <v/>
      </c>
      <c r="I477" s="58" t="str">
        <f>IF($M477="","",MAX(0,p_asof-E477))</f>
        <v/>
      </c>
      <c r="J477" s="78" t="str">
        <f>IF($M477="","",INDEX(fa_tranche,$M477)&amp;"")</f>
        <v/>
      </c>
      <c r="K477" s="56" t="str">
        <f>IF($M477="","",IF(ISNUMBER(INDEX(fa_relance,$M477)),INDEX(fa_relance,$M477),""))</f>
        <v/>
      </c>
      <c r="L477" s="79" t="str">
        <f>IF($M477="","",IF(AND(ISNUMBER(K477),(p_asof-E477)&gt;0,(p_asof-N(K477))&gt;=0,(p_asof-N(K477))&lt;7),"Déjà relancée il y a "&amp;(p_asof-N(K477))&amp;" j",IF((p_asof-E477)&lt;=0,IF((p_asof-E477)&gt;-8,"Rappel courtois avant l'échéance","Aucune action"),IF((p_asof-E477)&lt;=15,"Relance 1 : e-mail de rappel",IF((p_asof-E477)&lt;=30,"Relance 2 : appel téléphonique",IF((p_asof-E477)&lt;=60,"Relance 3 : lettre de relance",IF((p_asof-E477)&lt;=90,"Mise en demeure (recommandé)","Contentieux : injonction de payer")))))))</f>
        <v/>
      </c>
      <c r="M477" t="str">
        <f>IFERROR(MATCH(446,fa_rank,0),"")</f>
        <v/>
      </c>
    </row>
    <row r="478">
      <c r="B478" s="78" t="str">
        <f>IF($M478="","",INDEX(fa_num,$M478)&amp;"")</f>
        <v/>
      </c>
      <c r="C478" s="79" t="str">
        <f>IF($M478="","",INDEX(fa_cname,$M478)&amp;"")</f>
        <v/>
      </c>
      <c r="D478" s="56" t="str">
        <f>IF($M478="","",INDEX(fa_date,$M478))</f>
        <v/>
      </c>
      <c r="E478" s="56" t="str">
        <f>IF($M478="","",INDEX(fa_due,$M478))</f>
        <v/>
      </c>
      <c r="F478" s="75" t="str">
        <f>IF($M478="","",INDEX(fa_ttc,$M478))</f>
        <v/>
      </c>
      <c r="G478" s="75" t="str">
        <f>IF($M478="","",INDEX(fa_paid,$M478)+INDEX(fa_avoirs,$M478))</f>
        <v/>
      </c>
      <c r="H478" s="75" t="str">
        <f>IF($M478="","",INDEX(fa_reste,$M478))</f>
        <v/>
      </c>
      <c r="I478" s="58" t="str">
        <f>IF($M478="","",MAX(0,p_asof-E478))</f>
        <v/>
      </c>
      <c r="J478" s="78" t="str">
        <f>IF($M478="","",INDEX(fa_tranche,$M478)&amp;"")</f>
        <v/>
      </c>
      <c r="K478" s="56" t="str">
        <f>IF($M478="","",IF(ISNUMBER(INDEX(fa_relance,$M478)),INDEX(fa_relance,$M478),""))</f>
        <v/>
      </c>
      <c r="L478" s="79" t="str">
        <f>IF($M478="","",IF(AND(ISNUMBER(K478),(p_asof-E478)&gt;0,(p_asof-N(K478))&gt;=0,(p_asof-N(K478))&lt;7),"Déjà relancée il y a "&amp;(p_asof-N(K478))&amp;" j",IF((p_asof-E478)&lt;=0,IF((p_asof-E478)&gt;-8,"Rappel courtois avant l'échéance","Aucune action"),IF((p_asof-E478)&lt;=15,"Relance 1 : e-mail de rappel",IF((p_asof-E478)&lt;=30,"Relance 2 : appel téléphonique",IF((p_asof-E478)&lt;=60,"Relance 3 : lettre de relance",IF((p_asof-E478)&lt;=90,"Mise en demeure (recommandé)","Contentieux : injonction de payer")))))))</f>
        <v/>
      </c>
      <c r="M478" t="str">
        <f>IFERROR(MATCH(447,fa_rank,0),"")</f>
        <v/>
      </c>
    </row>
    <row r="479">
      <c r="B479" s="78" t="str">
        <f>IF($M479="","",INDEX(fa_num,$M479)&amp;"")</f>
        <v/>
      </c>
      <c r="C479" s="79" t="str">
        <f>IF($M479="","",INDEX(fa_cname,$M479)&amp;"")</f>
        <v/>
      </c>
      <c r="D479" s="56" t="str">
        <f>IF($M479="","",INDEX(fa_date,$M479))</f>
        <v/>
      </c>
      <c r="E479" s="56" t="str">
        <f>IF($M479="","",INDEX(fa_due,$M479))</f>
        <v/>
      </c>
      <c r="F479" s="75" t="str">
        <f>IF($M479="","",INDEX(fa_ttc,$M479))</f>
        <v/>
      </c>
      <c r="G479" s="75" t="str">
        <f>IF($M479="","",INDEX(fa_paid,$M479)+INDEX(fa_avoirs,$M479))</f>
        <v/>
      </c>
      <c r="H479" s="75" t="str">
        <f>IF($M479="","",INDEX(fa_reste,$M479))</f>
        <v/>
      </c>
      <c r="I479" s="58" t="str">
        <f>IF($M479="","",MAX(0,p_asof-E479))</f>
        <v/>
      </c>
      <c r="J479" s="78" t="str">
        <f>IF($M479="","",INDEX(fa_tranche,$M479)&amp;"")</f>
        <v/>
      </c>
      <c r="K479" s="56" t="str">
        <f>IF($M479="","",IF(ISNUMBER(INDEX(fa_relance,$M479)),INDEX(fa_relance,$M479),""))</f>
        <v/>
      </c>
      <c r="L479" s="79" t="str">
        <f>IF($M479="","",IF(AND(ISNUMBER(K479),(p_asof-E479)&gt;0,(p_asof-N(K479))&gt;=0,(p_asof-N(K479))&lt;7),"Déjà relancée il y a "&amp;(p_asof-N(K479))&amp;" j",IF((p_asof-E479)&lt;=0,IF((p_asof-E479)&gt;-8,"Rappel courtois avant l'échéance","Aucune action"),IF((p_asof-E479)&lt;=15,"Relance 1 : e-mail de rappel",IF((p_asof-E479)&lt;=30,"Relance 2 : appel téléphonique",IF((p_asof-E479)&lt;=60,"Relance 3 : lettre de relance",IF((p_asof-E479)&lt;=90,"Mise en demeure (recommandé)","Contentieux : injonction de payer")))))))</f>
        <v/>
      </c>
      <c r="M479" t="str">
        <f>IFERROR(MATCH(448,fa_rank,0),"")</f>
        <v/>
      </c>
    </row>
    <row r="480">
      <c r="B480" s="78" t="str">
        <f>IF($M480="","",INDEX(fa_num,$M480)&amp;"")</f>
        <v/>
      </c>
      <c r="C480" s="79" t="str">
        <f>IF($M480="","",INDEX(fa_cname,$M480)&amp;"")</f>
        <v/>
      </c>
      <c r="D480" s="56" t="str">
        <f>IF($M480="","",INDEX(fa_date,$M480))</f>
        <v/>
      </c>
      <c r="E480" s="56" t="str">
        <f>IF($M480="","",INDEX(fa_due,$M480))</f>
        <v/>
      </c>
      <c r="F480" s="75" t="str">
        <f>IF($M480="","",INDEX(fa_ttc,$M480))</f>
        <v/>
      </c>
      <c r="G480" s="75" t="str">
        <f>IF($M480="","",INDEX(fa_paid,$M480)+INDEX(fa_avoirs,$M480))</f>
        <v/>
      </c>
      <c r="H480" s="75" t="str">
        <f>IF($M480="","",INDEX(fa_reste,$M480))</f>
        <v/>
      </c>
      <c r="I480" s="58" t="str">
        <f>IF($M480="","",MAX(0,p_asof-E480))</f>
        <v/>
      </c>
      <c r="J480" s="78" t="str">
        <f>IF($M480="","",INDEX(fa_tranche,$M480)&amp;"")</f>
        <v/>
      </c>
      <c r="K480" s="56" t="str">
        <f>IF($M480="","",IF(ISNUMBER(INDEX(fa_relance,$M480)),INDEX(fa_relance,$M480),""))</f>
        <v/>
      </c>
      <c r="L480" s="79" t="str">
        <f>IF($M480="","",IF(AND(ISNUMBER(K480),(p_asof-E480)&gt;0,(p_asof-N(K480))&gt;=0,(p_asof-N(K480))&lt;7),"Déjà relancée il y a "&amp;(p_asof-N(K480))&amp;" j",IF((p_asof-E480)&lt;=0,IF((p_asof-E480)&gt;-8,"Rappel courtois avant l'échéance","Aucune action"),IF((p_asof-E480)&lt;=15,"Relance 1 : e-mail de rappel",IF((p_asof-E480)&lt;=30,"Relance 2 : appel téléphonique",IF((p_asof-E480)&lt;=60,"Relance 3 : lettre de relance",IF((p_asof-E480)&lt;=90,"Mise en demeure (recommandé)","Contentieux : injonction de payer")))))))</f>
        <v/>
      </c>
      <c r="M480" t="str">
        <f>IFERROR(MATCH(449,fa_rank,0),"")</f>
        <v/>
      </c>
    </row>
    <row r="481">
      <c r="B481" s="78" t="str">
        <f>IF($M481="","",INDEX(fa_num,$M481)&amp;"")</f>
        <v/>
      </c>
      <c r="C481" s="79" t="str">
        <f>IF($M481="","",INDEX(fa_cname,$M481)&amp;"")</f>
        <v/>
      </c>
      <c r="D481" s="56" t="str">
        <f>IF($M481="","",INDEX(fa_date,$M481))</f>
        <v/>
      </c>
      <c r="E481" s="56" t="str">
        <f>IF($M481="","",INDEX(fa_due,$M481))</f>
        <v/>
      </c>
      <c r="F481" s="75" t="str">
        <f>IF($M481="","",INDEX(fa_ttc,$M481))</f>
        <v/>
      </c>
      <c r="G481" s="75" t="str">
        <f>IF($M481="","",INDEX(fa_paid,$M481)+INDEX(fa_avoirs,$M481))</f>
        <v/>
      </c>
      <c r="H481" s="75" t="str">
        <f>IF($M481="","",INDEX(fa_reste,$M481))</f>
        <v/>
      </c>
      <c r="I481" s="58" t="str">
        <f>IF($M481="","",MAX(0,p_asof-E481))</f>
        <v/>
      </c>
      <c r="J481" s="78" t="str">
        <f>IF($M481="","",INDEX(fa_tranche,$M481)&amp;"")</f>
        <v/>
      </c>
      <c r="K481" s="56" t="str">
        <f>IF($M481="","",IF(ISNUMBER(INDEX(fa_relance,$M481)),INDEX(fa_relance,$M481),""))</f>
        <v/>
      </c>
      <c r="L481" s="79" t="str">
        <f>IF($M481="","",IF(AND(ISNUMBER(K481),(p_asof-E481)&gt;0,(p_asof-N(K481))&gt;=0,(p_asof-N(K481))&lt;7),"Déjà relancée il y a "&amp;(p_asof-N(K481))&amp;" j",IF((p_asof-E481)&lt;=0,IF((p_asof-E481)&gt;-8,"Rappel courtois avant l'échéance","Aucune action"),IF((p_asof-E481)&lt;=15,"Relance 1 : e-mail de rappel",IF((p_asof-E481)&lt;=30,"Relance 2 : appel téléphonique",IF((p_asof-E481)&lt;=60,"Relance 3 : lettre de relance",IF((p_asof-E481)&lt;=90,"Mise en demeure (recommandé)","Contentieux : injonction de payer")))))))</f>
        <v/>
      </c>
      <c r="M481" t="str">
        <f>IFERROR(MATCH(450,fa_rank,0),"")</f>
        <v/>
      </c>
    </row>
    <row r="482">
      <c r="B482" s="78" t="str">
        <f>IF($M482="","",INDEX(fa_num,$M482)&amp;"")</f>
        <v/>
      </c>
      <c r="C482" s="79" t="str">
        <f>IF($M482="","",INDEX(fa_cname,$M482)&amp;"")</f>
        <v/>
      </c>
      <c r="D482" s="56" t="str">
        <f>IF($M482="","",INDEX(fa_date,$M482))</f>
        <v/>
      </c>
      <c r="E482" s="56" t="str">
        <f>IF($M482="","",INDEX(fa_due,$M482))</f>
        <v/>
      </c>
      <c r="F482" s="75" t="str">
        <f>IF($M482="","",INDEX(fa_ttc,$M482))</f>
        <v/>
      </c>
      <c r="G482" s="75" t="str">
        <f>IF($M482="","",INDEX(fa_paid,$M482)+INDEX(fa_avoirs,$M482))</f>
        <v/>
      </c>
      <c r="H482" s="75" t="str">
        <f>IF($M482="","",INDEX(fa_reste,$M482))</f>
        <v/>
      </c>
      <c r="I482" s="58" t="str">
        <f>IF($M482="","",MAX(0,p_asof-E482))</f>
        <v/>
      </c>
      <c r="J482" s="78" t="str">
        <f>IF($M482="","",INDEX(fa_tranche,$M482)&amp;"")</f>
        <v/>
      </c>
      <c r="K482" s="56" t="str">
        <f>IF($M482="","",IF(ISNUMBER(INDEX(fa_relance,$M482)),INDEX(fa_relance,$M482),""))</f>
        <v/>
      </c>
      <c r="L482" s="79" t="str">
        <f>IF($M482="","",IF(AND(ISNUMBER(K482),(p_asof-E482)&gt;0,(p_asof-N(K482))&gt;=0,(p_asof-N(K482))&lt;7),"Déjà relancée il y a "&amp;(p_asof-N(K482))&amp;" j",IF((p_asof-E482)&lt;=0,IF((p_asof-E482)&gt;-8,"Rappel courtois avant l'échéance","Aucune action"),IF((p_asof-E482)&lt;=15,"Relance 1 : e-mail de rappel",IF((p_asof-E482)&lt;=30,"Relance 2 : appel téléphonique",IF((p_asof-E482)&lt;=60,"Relance 3 : lettre de relance",IF((p_asof-E482)&lt;=90,"Mise en demeure (recommandé)","Contentieux : injonction de payer")))))))</f>
        <v/>
      </c>
      <c r="M482" t="str">
        <f>IFERROR(MATCH(451,fa_rank,0),"")</f>
        <v/>
      </c>
    </row>
    <row r="483">
      <c r="B483" s="78" t="str">
        <f>IF($M483="","",INDEX(fa_num,$M483)&amp;"")</f>
        <v/>
      </c>
      <c r="C483" s="79" t="str">
        <f>IF($M483="","",INDEX(fa_cname,$M483)&amp;"")</f>
        <v/>
      </c>
      <c r="D483" s="56" t="str">
        <f>IF($M483="","",INDEX(fa_date,$M483))</f>
        <v/>
      </c>
      <c r="E483" s="56" t="str">
        <f>IF($M483="","",INDEX(fa_due,$M483))</f>
        <v/>
      </c>
      <c r="F483" s="75" t="str">
        <f>IF($M483="","",INDEX(fa_ttc,$M483))</f>
        <v/>
      </c>
      <c r="G483" s="75" t="str">
        <f>IF($M483="","",INDEX(fa_paid,$M483)+INDEX(fa_avoirs,$M483))</f>
        <v/>
      </c>
      <c r="H483" s="75" t="str">
        <f>IF($M483="","",INDEX(fa_reste,$M483))</f>
        <v/>
      </c>
      <c r="I483" s="58" t="str">
        <f>IF($M483="","",MAX(0,p_asof-E483))</f>
        <v/>
      </c>
      <c r="J483" s="78" t="str">
        <f>IF($M483="","",INDEX(fa_tranche,$M483)&amp;"")</f>
        <v/>
      </c>
      <c r="K483" s="56" t="str">
        <f>IF($M483="","",IF(ISNUMBER(INDEX(fa_relance,$M483)),INDEX(fa_relance,$M483),""))</f>
        <v/>
      </c>
      <c r="L483" s="79" t="str">
        <f>IF($M483="","",IF(AND(ISNUMBER(K483),(p_asof-E483)&gt;0,(p_asof-N(K483))&gt;=0,(p_asof-N(K483))&lt;7),"Déjà relancée il y a "&amp;(p_asof-N(K483))&amp;" j",IF((p_asof-E483)&lt;=0,IF((p_asof-E483)&gt;-8,"Rappel courtois avant l'échéance","Aucune action"),IF((p_asof-E483)&lt;=15,"Relance 1 : e-mail de rappel",IF((p_asof-E483)&lt;=30,"Relance 2 : appel téléphonique",IF((p_asof-E483)&lt;=60,"Relance 3 : lettre de relance",IF((p_asof-E483)&lt;=90,"Mise en demeure (recommandé)","Contentieux : injonction de payer")))))))</f>
        <v/>
      </c>
      <c r="M483" t="str">
        <f>IFERROR(MATCH(452,fa_rank,0),"")</f>
        <v/>
      </c>
    </row>
    <row r="484">
      <c r="B484" s="78" t="str">
        <f>IF($M484="","",INDEX(fa_num,$M484)&amp;"")</f>
        <v/>
      </c>
      <c r="C484" s="79" t="str">
        <f>IF($M484="","",INDEX(fa_cname,$M484)&amp;"")</f>
        <v/>
      </c>
      <c r="D484" s="56" t="str">
        <f>IF($M484="","",INDEX(fa_date,$M484))</f>
        <v/>
      </c>
      <c r="E484" s="56" t="str">
        <f>IF($M484="","",INDEX(fa_due,$M484))</f>
        <v/>
      </c>
      <c r="F484" s="75" t="str">
        <f>IF($M484="","",INDEX(fa_ttc,$M484))</f>
        <v/>
      </c>
      <c r="G484" s="75" t="str">
        <f>IF($M484="","",INDEX(fa_paid,$M484)+INDEX(fa_avoirs,$M484))</f>
        <v/>
      </c>
      <c r="H484" s="75" t="str">
        <f>IF($M484="","",INDEX(fa_reste,$M484))</f>
        <v/>
      </c>
      <c r="I484" s="58" t="str">
        <f>IF($M484="","",MAX(0,p_asof-E484))</f>
        <v/>
      </c>
      <c r="J484" s="78" t="str">
        <f>IF($M484="","",INDEX(fa_tranche,$M484)&amp;"")</f>
        <v/>
      </c>
      <c r="K484" s="56" t="str">
        <f>IF($M484="","",IF(ISNUMBER(INDEX(fa_relance,$M484)),INDEX(fa_relance,$M484),""))</f>
        <v/>
      </c>
      <c r="L484" s="79" t="str">
        <f>IF($M484="","",IF(AND(ISNUMBER(K484),(p_asof-E484)&gt;0,(p_asof-N(K484))&gt;=0,(p_asof-N(K484))&lt;7),"Déjà relancée il y a "&amp;(p_asof-N(K484))&amp;" j",IF((p_asof-E484)&lt;=0,IF((p_asof-E484)&gt;-8,"Rappel courtois avant l'échéance","Aucune action"),IF((p_asof-E484)&lt;=15,"Relance 1 : e-mail de rappel",IF((p_asof-E484)&lt;=30,"Relance 2 : appel téléphonique",IF((p_asof-E484)&lt;=60,"Relance 3 : lettre de relance",IF((p_asof-E484)&lt;=90,"Mise en demeure (recommandé)","Contentieux : injonction de payer")))))))</f>
        <v/>
      </c>
      <c r="M484" t="str">
        <f>IFERROR(MATCH(453,fa_rank,0),"")</f>
        <v/>
      </c>
    </row>
    <row r="485">
      <c r="B485" s="78" t="str">
        <f>IF($M485="","",INDEX(fa_num,$M485)&amp;"")</f>
        <v/>
      </c>
      <c r="C485" s="79" t="str">
        <f>IF($M485="","",INDEX(fa_cname,$M485)&amp;"")</f>
        <v/>
      </c>
      <c r="D485" s="56" t="str">
        <f>IF($M485="","",INDEX(fa_date,$M485))</f>
        <v/>
      </c>
      <c r="E485" s="56" t="str">
        <f>IF($M485="","",INDEX(fa_due,$M485))</f>
        <v/>
      </c>
      <c r="F485" s="75" t="str">
        <f>IF($M485="","",INDEX(fa_ttc,$M485))</f>
        <v/>
      </c>
      <c r="G485" s="75" t="str">
        <f>IF($M485="","",INDEX(fa_paid,$M485)+INDEX(fa_avoirs,$M485))</f>
        <v/>
      </c>
      <c r="H485" s="75" t="str">
        <f>IF($M485="","",INDEX(fa_reste,$M485))</f>
        <v/>
      </c>
      <c r="I485" s="58" t="str">
        <f>IF($M485="","",MAX(0,p_asof-E485))</f>
        <v/>
      </c>
      <c r="J485" s="78" t="str">
        <f>IF($M485="","",INDEX(fa_tranche,$M485)&amp;"")</f>
        <v/>
      </c>
      <c r="K485" s="56" t="str">
        <f>IF($M485="","",IF(ISNUMBER(INDEX(fa_relance,$M485)),INDEX(fa_relance,$M485),""))</f>
        <v/>
      </c>
      <c r="L485" s="79" t="str">
        <f>IF($M485="","",IF(AND(ISNUMBER(K485),(p_asof-E485)&gt;0,(p_asof-N(K485))&gt;=0,(p_asof-N(K485))&lt;7),"Déjà relancée il y a "&amp;(p_asof-N(K485))&amp;" j",IF((p_asof-E485)&lt;=0,IF((p_asof-E485)&gt;-8,"Rappel courtois avant l'échéance","Aucune action"),IF((p_asof-E485)&lt;=15,"Relance 1 : e-mail de rappel",IF((p_asof-E485)&lt;=30,"Relance 2 : appel téléphonique",IF((p_asof-E485)&lt;=60,"Relance 3 : lettre de relance",IF((p_asof-E485)&lt;=90,"Mise en demeure (recommandé)","Contentieux : injonction de payer")))))))</f>
        <v/>
      </c>
      <c r="M485" t="str">
        <f>IFERROR(MATCH(454,fa_rank,0),"")</f>
        <v/>
      </c>
    </row>
    <row r="486">
      <c r="B486" s="78" t="str">
        <f>IF($M486="","",INDEX(fa_num,$M486)&amp;"")</f>
        <v/>
      </c>
      <c r="C486" s="79" t="str">
        <f>IF($M486="","",INDEX(fa_cname,$M486)&amp;"")</f>
        <v/>
      </c>
      <c r="D486" s="56" t="str">
        <f>IF($M486="","",INDEX(fa_date,$M486))</f>
        <v/>
      </c>
      <c r="E486" s="56" t="str">
        <f>IF($M486="","",INDEX(fa_due,$M486))</f>
        <v/>
      </c>
      <c r="F486" s="75" t="str">
        <f>IF($M486="","",INDEX(fa_ttc,$M486))</f>
        <v/>
      </c>
      <c r="G486" s="75" t="str">
        <f>IF($M486="","",INDEX(fa_paid,$M486)+INDEX(fa_avoirs,$M486))</f>
        <v/>
      </c>
      <c r="H486" s="75" t="str">
        <f>IF($M486="","",INDEX(fa_reste,$M486))</f>
        <v/>
      </c>
      <c r="I486" s="58" t="str">
        <f>IF($M486="","",MAX(0,p_asof-E486))</f>
        <v/>
      </c>
      <c r="J486" s="78" t="str">
        <f>IF($M486="","",INDEX(fa_tranche,$M486)&amp;"")</f>
        <v/>
      </c>
      <c r="K486" s="56" t="str">
        <f>IF($M486="","",IF(ISNUMBER(INDEX(fa_relance,$M486)),INDEX(fa_relance,$M486),""))</f>
        <v/>
      </c>
      <c r="L486" s="79" t="str">
        <f>IF($M486="","",IF(AND(ISNUMBER(K486),(p_asof-E486)&gt;0,(p_asof-N(K486))&gt;=0,(p_asof-N(K486))&lt;7),"Déjà relancée il y a "&amp;(p_asof-N(K486))&amp;" j",IF((p_asof-E486)&lt;=0,IF((p_asof-E486)&gt;-8,"Rappel courtois avant l'échéance","Aucune action"),IF((p_asof-E486)&lt;=15,"Relance 1 : e-mail de rappel",IF((p_asof-E486)&lt;=30,"Relance 2 : appel téléphonique",IF((p_asof-E486)&lt;=60,"Relance 3 : lettre de relance",IF((p_asof-E486)&lt;=90,"Mise en demeure (recommandé)","Contentieux : injonction de payer")))))))</f>
        <v/>
      </c>
      <c r="M486" t="str">
        <f>IFERROR(MATCH(455,fa_rank,0),"")</f>
        <v/>
      </c>
    </row>
    <row r="487">
      <c r="B487" s="78" t="str">
        <f>IF($M487="","",INDEX(fa_num,$M487)&amp;"")</f>
        <v/>
      </c>
      <c r="C487" s="79" t="str">
        <f>IF($M487="","",INDEX(fa_cname,$M487)&amp;"")</f>
        <v/>
      </c>
      <c r="D487" s="56" t="str">
        <f>IF($M487="","",INDEX(fa_date,$M487))</f>
        <v/>
      </c>
      <c r="E487" s="56" t="str">
        <f>IF($M487="","",INDEX(fa_due,$M487))</f>
        <v/>
      </c>
      <c r="F487" s="75" t="str">
        <f>IF($M487="","",INDEX(fa_ttc,$M487))</f>
        <v/>
      </c>
      <c r="G487" s="75" t="str">
        <f>IF($M487="","",INDEX(fa_paid,$M487)+INDEX(fa_avoirs,$M487))</f>
        <v/>
      </c>
      <c r="H487" s="75" t="str">
        <f>IF($M487="","",INDEX(fa_reste,$M487))</f>
        <v/>
      </c>
      <c r="I487" s="58" t="str">
        <f>IF($M487="","",MAX(0,p_asof-E487))</f>
        <v/>
      </c>
      <c r="J487" s="78" t="str">
        <f>IF($M487="","",INDEX(fa_tranche,$M487)&amp;"")</f>
        <v/>
      </c>
      <c r="K487" s="56" t="str">
        <f>IF($M487="","",IF(ISNUMBER(INDEX(fa_relance,$M487)),INDEX(fa_relance,$M487),""))</f>
        <v/>
      </c>
      <c r="L487" s="79" t="str">
        <f>IF($M487="","",IF(AND(ISNUMBER(K487),(p_asof-E487)&gt;0,(p_asof-N(K487))&gt;=0,(p_asof-N(K487))&lt;7),"Déjà relancée il y a "&amp;(p_asof-N(K487))&amp;" j",IF((p_asof-E487)&lt;=0,IF((p_asof-E487)&gt;-8,"Rappel courtois avant l'échéance","Aucune action"),IF((p_asof-E487)&lt;=15,"Relance 1 : e-mail de rappel",IF((p_asof-E487)&lt;=30,"Relance 2 : appel téléphonique",IF((p_asof-E487)&lt;=60,"Relance 3 : lettre de relance",IF((p_asof-E487)&lt;=90,"Mise en demeure (recommandé)","Contentieux : injonction de payer")))))))</f>
        <v/>
      </c>
      <c r="M487" t="str">
        <f>IFERROR(MATCH(456,fa_rank,0),"")</f>
        <v/>
      </c>
    </row>
    <row r="488">
      <c r="B488" s="78" t="str">
        <f>IF($M488="","",INDEX(fa_num,$M488)&amp;"")</f>
        <v/>
      </c>
      <c r="C488" s="79" t="str">
        <f>IF($M488="","",INDEX(fa_cname,$M488)&amp;"")</f>
        <v/>
      </c>
      <c r="D488" s="56" t="str">
        <f>IF($M488="","",INDEX(fa_date,$M488))</f>
        <v/>
      </c>
      <c r="E488" s="56" t="str">
        <f>IF($M488="","",INDEX(fa_due,$M488))</f>
        <v/>
      </c>
      <c r="F488" s="75" t="str">
        <f>IF($M488="","",INDEX(fa_ttc,$M488))</f>
        <v/>
      </c>
      <c r="G488" s="75" t="str">
        <f>IF($M488="","",INDEX(fa_paid,$M488)+INDEX(fa_avoirs,$M488))</f>
        <v/>
      </c>
      <c r="H488" s="75" t="str">
        <f>IF($M488="","",INDEX(fa_reste,$M488))</f>
        <v/>
      </c>
      <c r="I488" s="58" t="str">
        <f>IF($M488="","",MAX(0,p_asof-E488))</f>
        <v/>
      </c>
      <c r="J488" s="78" t="str">
        <f>IF($M488="","",INDEX(fa_tranche,$M488)&amp;"")</f>
        <v/>
      </c>
      <c r="K488" s="56" t="str">
        <f>IF($M488="","",IF(ISNUMBER(INDEX(fa_relance,$M488)),INDEX(fa_relance,$M488),""))</f>
        <v/>
      </c>
      <c r="L488" s="79" t="str">
        <f>IF($M488="","",IF(AND(ISNUMBER(K488),(p_asof-E488)&gt;0,(p_asof-N(K488))&gt;=0,(p_asof-N(K488))&lt;7),"Déjà relancée il y a "&amp;(p_asof-N(K488))&amp;" j",IF((p_asof-E488)&lt;=0,IF((p_asof-E488)&gt;-8,"Rappel courtois avant l'échéance","Aucune action"),IF((p_asof-E488)&lt;=15,"Relance 1 : e-mail de rappel",IF((p_asof-E488)&lt;=30,"Relance 2 : appel téléphonique",IF((p_asof-E488)&lt;=60,"Relance 3 : lettre de relance",IF((p_asof-E488)&lt;=90,"Mise en demeure (recommandé)","Contentieux : injonction de payer")))))))</f>
        <v/>
      </c>
      <c r="M488" t="str">
        <f>IFERROR(MATCH(457,fa_rank,0),"")</f>
        <v/>
      </c>
    </row>
    <row r="489">
      <c r="B489" s="78" t="str">
        <f>IF($M489="","",INDEX(fa_num,$M489)&amp;"")</f>
        <v/>
      </c>
      <c r="C489" s="79" t="str">
        <f>IF($M489="","",INDEX(fa_cname,$M489)&amp;"")</f>
        <v/>
      </c>
      <c r="D489" s="56" t="str">
        <f>IF($M489="","",INDEX(fa_date,$M489))</f>
        <v/>
      </c>
      <c r="E489" s="56" t="str">
        <f>IF($M489="","",INDEX(fa_due,$M489))</f>
        <v/>
      </c>
      <c r="F489" s="75" t="str">
        <f>IF($M489="","",INDEX(fa_ttc,$M489))</f>
        <v/>
      </c>
      <c r="G489" s="75" t="str">
        <f>IF($M489="","",INDEX(fa_paid,$M489)+INDEX(fa_avoirs,$M489))</f>
        <v/>
      </c>
      <c r="H489" s="75" t="str">
        <f>IF($M489="","",INDEX(fa_reste,$M489))</f>
        <v/>
      </c>
      <c r="I489" s="58" t="str">
        <f>IF($M489="","",MAX(0,p_asof-E489))</f>
        <v/>
      </c>
      <c r="J489" s="78" t="str">
        <f>IF($M489="","",INDEX(fa_tranche,$M489)&amp;"")</f>
        <v/>
      </c>
      <c r="K489" s="56" t="str">
        <f>IF($M489="","",IF(ISNUMBER(INDEX(fa_relance,$M489)),INDEX(fa_relance,$M489),""))</f>
        <v/>
      </c>
      <c r="L489" s="79" t="str">
        <f>IF($M489="","",IF(AND(ISNUMBER(K489),(p_asof-E489)&gt;0,(p_asof-N(K489))&gt;=0,(p_asof-N(K489))&lt;7),"Déjà relancée il y a "&amp;(p_asof-N(K489))&amp;" j",IF((p_asof-E489)&lt;=0,IF((p_asof-E489)&gt;-8,"Rappel courtois avant l'échéance","Aucune action"),IF((p_asof-E489)&lt;=15,"Relance 1 : e-mail de rappel",IF((p_asof-E489)&lt;=30,"Relance 2 : appel téléphonique",IF((p_asof-E489)&lt;=60,"Relance 3 : lettre de relance",IF((p_asof-E489)&lt;=90,"Mise en demeure (recommandé)","Contentieux : injonction de payer")))))))</f>
        <v/>
      </c>
      <c r="M489" t="str">
        <f>IFERROR(MATCH(458,fa_rank,0),"")</f>
        <v/>
      </c>
    </row>
    <row r="490">
      <c r="B490" s="78" t="str">
        <f>IF($M490="","",INDEX(fa_num,$M490)&amp;"")</f>
        <v/>
      </c>
      <c r="C490" s="79" t="str">
        <f>IF($M490="","",INDEX(fa_cname,$M490)&amp;"")</f>
        <v/>
      </c>
      <c r="D490" s="56" t="str">
        <f>IF($M490="","",INDEX(fa_date,$M490))</f>
        <v/>
      </c>
      <c r="E490" s="56" t="str">
        <f>IF($M490="","",INDEX(fa_due,$M490))</f>
        <v/>
      </c>
      <c r="F490" s="75" t="str">
        <f>IF($M490="","",INDEX(fa_ttc,$M490))</f>
        <v/>
      </c>
      <c r="G490" s="75" t="str">
        <f>IF($M490="","",INDEX(fa_paid,$M490)+INDEX(fa_avoirs,$M490))</f>
        <v/>
      </c>
      <c r="H490" s="75" t="str">
        <f>IF($M490="","",INDEX(fa_reste,$M490))</f>
        <v/>
      </c>
      <c r="I490" s="58" t="str">
        <f>IF($M490="","",MAX(0,p_asof-E490))</f>
        <v/>
      </c>
      <c r="J490" s="78" t="str">
        <f>IF($M490="","",INDEX(fa_tranche,$M490)&amp;"")</f>
        <v/>
      </c>
      <c r="K490" s="56" t="str">
        <f>IF($M490="","",IF(ISNUMBER(INDEX(fa_relance,$M490)),INDEX(fa_relance,$M490),""))</f>
        <v/>
      </c>
      <c r="L490" s="79" t="str">
        <f>IF($M490="","",IF(AND(ISNUMBER(K490),(p_asof-E490)&gt;0,(p_asof-N(K490))&gt;=0,(p_asof-N(K490))&lt;7),"Déjà relancée il y a "&amp;(p_asof-N(K490))&amp;" j",IF((p_asof-E490)&lt;=0,IF((p_asof-E490)&gt;-8,"Rappel courtois avant l'échéance","Aucune action"),IF((p_asof-E490)&lt;=15,"Relance 1 : e-mail de rappel",IF((p_asof-E490)&lt;=30,"Relance 2 : appel téléphonique",IF((p_asof-E490)&lt;=60,"Relance 3 : lettre de relance",IF((p_asof-E490)&lt;=90,"Mise en demeure (recommandé)","Contentieux : injonction de payer")))))))</f>
        <v/>
      </c>
      <c r="M490" t="str">
        <f>IFERROR(MATCH(459,fa_rank,0),"")</f>
        <v/>
      </c>
    </row>
    <row r="491">
      <c r="B491" s="78" t="str">
        <f>IF($M491="","",INDEX(fa_num,$M491)&amp;"")</f>
        <v/>
      </c>
      <c r="C491" s="79" t="str">
        <f>IF($M491="","",INDEX(fa_cname,$M491)&amp;"")</f>
        <v/>
      </c>
      <c r="D491" s="56" t="str">
        <f>IF($M491="","",INDEX(fa_date,$M491))</f>
        <v/>
      </c>
      <c r="E491" s="56" t="str">
        <f>IF($M491="","",INDEX(fa_due,$M491))</f>
        <v/>
      </c>
      <c r="F491" s="75" t="str">
        <f>IF($M491="","",INDEX(fa_ttc,$M491))</f>
        <v/>
      </c>
      <c r="G491" s="75" t="str">
        <f>IF($M491="","",INDEX(fa_paid,$M491)+INDEX(fa_avoirs,$M491))</f>
        <v/>
      </c>
      <c r="H491" s="75" t="str">
        <f>IF($M491="","",INDEX(fa_reste,$M491))</f>
        <v/>
      </c>
      <c r="I491" s="58" t="str">
        <f>IF($M491="","",MAX(0,p_asof-E491))</f>
        <v/>
      </c>
      <c r="J491" s="78" t="str">
        <f>IF($M491="","",INDEX(fa_tranche,$M491)&amp;"")</f>
        <v/>
      </c>
      <c r="K491" s="56" t="str">
        <f>IF($M491="","",IF(ISNUMBER(INDEX(fa_relance,$M491)),INDEX(fa_relance,$M491),""))</f>
        <v/>
      </c>
      <c r="L491" s="79" t="str">
        <f>IF($M491="","",IF(AND(ISNUMBER(K491),(p_asof-E491)&gt;0,(p_asof-N(K491))&gt;=0,(p_asof-N(K491))&lt;7),"Déjà relancée il y a "&amp;(p_asof-N(K491))&amp;" j",IF((p_asof-E491)&lt;=0,IF((p_asof-E491)&gt;-8,"Rappel courtois avant l'échéance","Aucune action"),IF((p_asof-E491)&lt;=15,"Relance 1 : e-mail de rappel",IF((p_asof-E491)&lt;=30,"Relance 2 : appel téléphonique",IF((p_asof-E491)&lt;=60,"Relance 3 : lettre de relance",IF((p_asof-E491)&lt;=90,"Mise en demeure (recommandé)","Contentieux : injonction de payer")))))))</f>
        <v/>
      </c>
      <c r="M491" t="str">
        <f>IFERROR(MATCH(460,fa_rank,0),"")</f>
        <v/>
      </c>
    </row>
    <row r="492">
      <c r="B492" s="78" t="str">
        <f>IF($M492="","",INDEX(fa_num,$M492)&amp;"")</f>
        <v/>
      </c>
      <c r="C492" s="79" t="str">
        <f>IF($M492="","",INDEX(fa_cname,$M492)&amp;"")</f>
        <v/>
      </c>
      <c r="D492" s="56" t="str">
        <f>IF($M492="","",INDEX(fa_date,$M492))</f>
        <v/>
      </c>
      <c r="E492" s="56" t="str">
        <f>IF($M492="","",INDEX(fa_due,$M492))</f>
        <v/>
      </c>
      <c r="F492" s="75" t="str">
        <f>IF($M492="","",INDEX(fa_ttc,$M492))</f>
        <v/>
      </c>
      <c r="G492" s="75" t="str">
        <f>IF($M492="","",INDEX(fa_paid,$M492)+INDEX(fa_avoirs,$M492))</f>
        <v/>
      </c>
      <c r="H492" s="75" t="str">
        <f>IF($M492="","",INDEX(fa_reste,$M492))</f>
        <v/>
      </c>
      <c r="I492" s="58" t="str">
        <f>IF($M492="","",MAX(0,p_asof-E492))</f>
        <v/>
      </c>
      <c r="J492" s="78" t="str">
        <f>IF($M492="","",INDEX(fa_tranche,$M492)&amp;"")</f>
        <v/>
      </c>
      <c r="K492" s="56" t="str">
        <f>IF($M492="","",IF(ISNUMBER(INDEX(fa_relance,$M492)),INDEX(fa_relance,$M492),""))</f>
        <v/>
      </c>
      <c r="L492" s="79" t="str">
        <f>IF($M492="","",IF(AND(ISNUMBER(K492),(p_asof-E492)&gt;0,(p_asof-N(K492))&gt;=0,(p_asof-N(K492))&lt;7),"Déjà relancée il y a "&amp;(p_asof-N(K492))&amp;" j",IF((p_asof-E492)&lt;=0,IF((p_asof-E492)&gt;-8,"Rappel courtois avant l'échéance","Aucune action"),IF((p_asof-E492)&lt;=15,"Relance 1 : e-mail de rappel",IF((p_asof-E492)&lt;=30,"Relance 2 : appel téléphonique",IF((p_asof-E492)&lt;=60,"Relance 3 : lettre de relance",IF((p_asof-E492)&lt;=90,"Mise en demeure (recommandé)","Contentieux : injonction de payer")))))))</f>
        <v/>
      </c>
      <c r="M492" t="str">
        <f>IFERROR(MATCH(461,fa_rank,0),"")</f>
        <v/>
      </c>
    </row>
    <row r="493">
      <c r="B493" s="78" t="str">
        <f>IF($M493="","",INDEX(fa_num,$M493)&amp;"")</f>
        <v/>
      </c>
      <c r="C493" s="79" t="str">
        <f>IF($M493="","",INDEX(fa_cname,$M493)&amp;"")</f>
        <v/>
      </c>
      <c r="D493" s="56" t="str">
        <f>IF($M493="","",INDEX(fa_date,$M493))</f>
        <v/>
      </c>
      <c r="E493" s="56" t="str">
        <f>IF($M493="","",INDEX(fa_due,$M493))</f>
        <v/>
      </c>
      <c r="F493" s="75" t="str">
        <f>IF($M493="","",INDEX(fa_ttc,$M493))</f>
        <v/>
      </c>
      <c r="G493" s="75" t="str">
        <f>IF($M493="","",INDEX(fa_paid,$M493)+INDEX(fa_avoirs,$M493))</f>
        <v/>
      </c>
      <c r="H493" s="75" t="str">
        <f>IF($M493="","",INDEX(fa_reste,$M493))</f>
        <v/>
      </c>
      <c r="I493" s="58" t="str">
        <f>IF($M493="","",MAX(0,p_asof-E493))</f>
        <v/>
      </c>
      <c r="J493" s="78" t="str">
        <f>IF($M493="","",INDEX(fa_tranche,$M493)&amp;"")</f>
        <v/>
      </c>
      <c r="K493" s="56" t="str">
        <f>IF($M493="","",IF(ISNUMBER(INDEX(fa_relance,$M493)),INDEX(fa_relance,$M493),""))</f>
        <v/>
      </c>
      <c r="L493" s="79" t="str">
        <f>IF($M493="","",IF(AND(ISNUMBER(K493),(p_asof-E493)&gt;0,(p_asof-N(K493))&gt;=0,(p_asof-N(K493))&lt;7),"Déjà relancée il y a "&amp;(p_asof-N(K493))&amp;" j",IF((p_asof-E493)&lt;=0,IF((p_asof-E493)&gt;-8,"Rappel courtois avant l'échéance","Aucune action"),IF((p_asof-E493)&lt;=15,"Relance 1 : e-mail de rappel",IF((p_asof-E493)&lt;=30,"Relance 2 : appel téléphonique",IF((p_asof-E493)&lt;=60,"Relance 3 : lettre de relance",IF((p_asof-E493)&lt;=90,"Mise en demeure (recommandé)","Contentieux : injonction de payer")))))))</f>
        <v/>
      </c>
      <c r="M493" t="str">
        <f>IFERROR(MATCH(462,fa_rank,0),"")</f>
        <v/>
      </c>
    </row>
    <row r="494">
      <c r="B494" s="78" t="str">
        <f>IF($M494="","",INDEX(fa_num,$M494)&amp;"")</f>
        <v/>
      </c>
      <c r="C494" s="79" t="str">
        <f>IF($M494="","",INDEX(fa_cname,$M494)&amp;"")</f>
        <v/>
      </c>
      <c r="D494" s="56" t="str">
        <f>IF($M494="","",INDEX(fa_date,$M494))</f>
        <v/>
      </c>
      <c r="E494" s="56" t="str">
        <f>IF($M494="","",INDEX(fa_due,$M494))</f>
        <v/>
      </c>
      <c r="F494" s="75" t="str">
        <f>IF($M494="","",INDEX(fa_ttc,$M494))</f>
        <v/>
      </c>
      <c r="G494" s="75" t="str">
        <f>IF($M494="","",INDEX(fa_paid,$M494)+INDEX(fa_avoirs,$M494))</f>
        <v/>
      </c>
      <c r="H494" s="75" t="str">
        <f>IF($M494="","",INDEX(fa_reste,$M494))</f>
        <v/>
      </c>
      <c r="I494" s="58" t="str">
        <f>IF($M494="","",MAX(0,p_asof-E494))</f>
        <v/>
      </c>
      <c r="J494" s="78" t="str">
        <f>IF($M494="","",INDEX(fa_tranche,$M494)&amp;"")</f>
        <v/>
      </c>
      <c r="K494" s="56" t="str">
        <f>IF($M494="","",IF(ISNUMBER(INDEX(fa_relance,$M494)),INDEX(fa_relance,$M494),""))</f>
        <v/>
      </c>
      <c r="L494" s="79" t="str">
        <f>IF($M494="","",IF(AND(ISNUMBER(K494),(p_asof-E494)&gt;0,(p_asof-N(K494))&gt;=0,(p_asof-N(K494))&lt;7),"Déjà relancée il y a "&amp;(p_asof-N(K494))&amp;" j",IF((p_asof-E494)&lt;=0,IF((p_asof-E494)&gt;-8,"Rappel courtois avant l'échéance","Aucune action"),IF((p_asof-E494)&lt;=15,"Relance 1 : e-mail de rappel",IF((p_asof-E494)&lt;=30,"Relance 2 : appel téléphonique",IF((p_asof-E494)&lt;=60,"Relance 3 : lettre de relance",IF((p_asof-E494)&lt;=90,"Mise en demeure (recommandé)","Contentieux : injonction de payer")))))))</f>
        <v/>
      </c>
      <c r="M494" t="str">
        <f>IFERROR(MATCH(463,fa_rank,0),"")</f>
        <v/>
      </c>
    </row>
    <row r="495">
      <c r="B495" s="78" t="str">
        <f>IF($M495="","",INDEX(fa_num,$M495)&amp;"")</f>
        <v/>
      </c>
      <c r="C495" s="79" t="str">
        <f>IF($M495="","",INDEX(fa_cname,$M495)&amp;"")</f>
        <v/>
      </c>
      <c r="D495" s="56" t="str">
        <f>IF($M495="","",INDEX(fa_date,$M495))</f>
        <v/>
      </c>
      <c r="E495" s="56" t="str">
        <f>IF($M495="","",INDEX(fa_due,$M495))</f>
        <v/>
      </c>
      <c r="F495" s="75" t="str">
        <f>IF($M495="","",INDEX(fa_ttc,$M495))</f>
        <v/>
      </c>
      <c r="G495" s="75" t="str">
        <f>IF($M495="","",INDEX(fa_paid,$M495)+INDEX(fa_avoirs,$M495))</f>
        <v/>
      </c>
      <c r="H495" s="75" t="str">
        <f>IF($M495="","",INDEX(fa_reste,$M495))</f>
        <v/>
      </c>
      <c r="I495" s="58" t="str">
        <f>IF($M495="","",MAX(0,p_asof-E495))</f>
        <v/>
      </c>
      <c r="J495" s="78" t="str">
        <f>IF($M495="","",INDEX(fa_tranche,$M495)&amp;"")</f>
        <v/>
      </c>
      <c r="K495" s="56" t="str">
        <f>IF($M495="","",IF(ISNUMBER(INDEX(fa_relance,$M495)),INDEX(fa_relance,$M495),""))</f>
        <v/>
      </c>
      <c r="L495" s="79" t="str">
        <f>IF($M495="","",IF(AND(ISNUMBER(K495),(p_asof-E495)&gt;0,(p_asof-N(K495))&gt;=0,(p_asof-N(K495))&lt;7),"Déjà relancée il y a "&amp;(p_asof-N(K495))&amp;" j",IF((p_asof-E495)&lt;=0,IF((p_asof-E495)&gt;-8,"Rappel courtois avant l'échéance","Aucune action"),IF((p_asof-E495)&lt;=15,"Relance 1 : e-mail de rappel",IF((p_asof-E495)&lt;=30,"Relance 2 : appel téléphonique",IF((p_asof-E495)&lt;=60,"Relance 3 : lettre de relance",IF((p_asof-E495)&lt;=90,"Mise en demeure (recommandé)","Contentieux : injonction de payer")))))))</f>
        <v/>
      </c>
      <c r="M495" t="str">
        <f>IFERROR(MATCH(464,fa_rank,0),"")</f>
        <v/>
      </c>
    </row>
    <row r="496">
      <c r="B496" s="78" t="str">
        <f>IF($M496="","",INDEX(fa_num,$M496)&amp;"")</f>
        <v/>
      </c>
      <c r="C496" s="79" t="str">
        <f>IF($M496="","",INDEX(fa_cname,$M496)&amp;"")</f>
        <v/>
      </c>
      <c r="D496" s="56" t="str">
        <f>IF($M496="","",INDEX(fa_date,$M496))</f>
        <v/>
      </c>
      <c r="E496" s="56" t="str">
        <f>IF($M496="","",INDEX(fa_due,$M496))</f>
        <v/>
      </c>
      <c r="F496" s="75" t="str">
        <f>IF($M496="","",INDEX(fa_ttc,$M496))</f>
        <v/>
      </c>
      <c r="G496" s="75" t="str">
        <f>IF($M496="","",INDEX(fa_paid,$M496)+INDEX(fa_avoirs,$M496))</f>
        <v/>
      </c>
      <c r="H496" s="75" t="str">
        <f>IF($M496="","",INDEX(fa_reste,$M496))</f>
        <v/>
      </c>
      <c r="I496" s="58" t="str">
        <f>IF($M496="","",MAX(0,p_asof-E496))</f>
        <v/>
      </c>
      <c r="J496" s="78" t="str">
        <f>IF($M496="","",INDEX(fa_tranche,$M496)&amp;"")</f>
        <v/>
      </c>
      <c r="K496" s="56" t="str">
        <f>IF($M496="","",IF(ISNUMBER(INDEX(fa_relance,$M496)),INDEX(fa_relance,$M496),""))</f>
        <v/>
      </c>
      <c r="L496" s="79" t="str">
        <f>IF($M496="","",IF(AND(ISNUMBER(K496),(p_asof-E496)&gt;0,(p_asof-N(K496))&gt;=0,(p_asof-N(K496))&lt;7),"Déjà relancée il y a "&amp;(p_asof-N(K496))&amp;" j",IF((p_asof-E496)&lt;=0,IF((p_asof-E496)&gt;-8,"Rappel courtois avant l'échéance","Aucune action"),IF((p_asof-E496)&lt;=15,"Relance 1 : e-mail de rappel",IF((p_asof-E496)&lt;=30,"Relance 2 : appel téléphonique",IF((p_asof-E496)&lt;=60,"Relance 3 : lettre de relance",IF((p_asof-E496)&lt;=90,"Mise en demeure (recommandé)","Contentieux : injonction de payer")))))))</f>
        <v/>
      </c>
      <c r="M496" t="str">
        <f>IFERROR(MATCH(465,fa_rank,0),"")</f>
        <v/>
      </c>
    </row>
    <row r="497">
      <c r="B497" s="78" t="str">
        <f>IF($M497="","",INDEX(fa_num,$M497)&amp;"")</f>
        <v/>
      </c>
      <c r="C497" s="79" t="str">
        <f>IF($M497="","",INDEX(fa_cname,$M497)&amp;"")</f>
        <v/>
      </c>
      <c r="D497" s="56" t="str">
        <f>IF($M497="","",INDEX(fa_date,$M497))</f>
        <v/>
      </c>
      <c r="E497" s="56" t="str">
        <f>IF($M497="","",INDEX(fa_due,$M497))</f>
        <v/>
      </c>
      <c r="F497" s="75" t="str">
        <f>IF($M497="","",INDEX(fa_ttc,$M497))</f>
        <v/>
      </c>
      <c r="G497" s="75" t="str">
        <f>IF($M497="","",INDEX(fa_paid,$M497)+INDEX(fa_avoirs,$M497))</f>
        <v/>
      </c>
      <c r="H497" s="75" t="str">
        <f>IF($M497="","",INDEX(fa_reste,$M497))</f>
        <v/>
      </c>
      <c r="I497" s="58" t="str">
        <f>IF($M497="","",MAX(0,p_asof-E497))</f>
        <v/>
      </c>
      <c r="J497" s="78" t="str">
        <f>IF($M497="","",INDEX(fa_tranche,$M497)&amp;"")</f>
        <v/>
      </c>
      <c r="K497" s="56" t="str">
        <f>IF($M497="","",IF(ISNUMBER(INDEX(fa_relance,$M497)),INDEX(fa_relance,$M497),""))</f>
        <v/>
      </c>
      <c r="L497" s="79" t="str">
        <f>IF($M497="","",IF(AND(ISNUMBER(K497),(p_asof-E497)&gt;0,(p_asof-N(K497))&gt;=0,(p_asof-N(K497))&lt;7),"Déjà relancée il y a "&amp;(p_asof-N(K497))&amp;" j",IF((p_asof-E497)&lt;=0,IF((p_asof-E497)&gt;-8,"Rappel courtois avant l'échéance","Aucune action"),IF((p_asof-E497)&lt;=15,"Relance 1 : e-mail de rappel",IF((p_asof-E497)&lt;=30,"Relance 2 : appel téléphonique",IF((p_asof-E497)&lt;=60,"Relance 3 : lettre de relance",IF((p_asof-E497)&lt;=90,"Mise en demeure (recommandé)","Contentieux : injonction de payer")))))))</f>
        <v/>
      </c>
      <c r="M497" t="str">
        <f>IFERROR(MATCH(466,fa_rank,0),"")</f>
        <v/>
      </c>
    </row>
    <row r="498">
      <c r="B498" s="78" t="str">
        <f>IF($M498="","",INDEX(fa_num,$M498)&amp;"")</f>
        <v/>
      </c>
      <c r="C498" s="79" t="str">
        <f>IF($M498="","",INDEX(fa_cname,$M498)&amp;"")</f>
        <v/>
      </c>
      <c r="D498" s="56" t="str">
        <f>IF($M498="","",INDEX(fa_date,$M498))</f>
        <v/>
      </c>
      <c r="E498" s="56" t="str">
        <f>IF($M498="","",INDEX(fa_due,$M498))</f>
        <v/>
      </c>
      <c r="F498" s="75" t="str">
        <f>IF($M498="","",INDEX(fa_ttc,$M498))</f>
        <v/>
      </c>
      <c r="G498" s="75" t="str">
        <f>IF($M498="","",INDEX(fa_paid,$M498)+INDEX(fa_avoirs,$M498))</f>
        <v/>
      </c>
      <c r="H498" s="75" t="str">
        <f>IF($M498="","",INDEX(fa_reste,$M498))</f>
        <v/>
      </c>
      <c r="I498" s="58" t="str">
        <f>IF($M498="","",MAX(0,p_asof-E498))</f>
        <v/>
      </c>
      <c r="J498" s="78" t="str">
        <f>IF($M498="","",INDEX(fa_tranche,$M498)&amp;"")</f>
        <v/>
      </c>
      <c r="K498" s="56" t="str">
        <f>IF($M498="","",IF(ISNUMBER(INDEX(fa_relance,$M498)),INDEX(fa_relance,$M498),""))</f>
        <v/>
      </c>
      <c r="L498" s="79" t="str">
        <f>IF($M498="","",IF(AND(ISNUMBER(K498),(p_asof-E498)&gt;0,(p_asof-N(K498))&gt;=0,(p_asof-N(K498))&lt;7),"Déjà relancée il y a "&amp;(p_asof-N(K498))&amp;" j",IF((p_asof-E498)&lt;=0,IF((p_asof-E498)&gt;-8,"Rappel courtois avant l'échéance","Aucune action"),IF((p_asof-E498)&lt;=15,"Relance 1 : e-mail de rappel",IF((p_asof-E498)&lt;=30,"Relance 2 : appel téléphonique",IF((p_asof-E498)&lt;=60,"Relance 3 : lettre de relance",IF((p_asof-E498)&lt;=90,"Mise en demeure (recommandé)","Contentieux : injonction de payer")))))))</f>
        <v/>
      </c>
      <c r="M498" t="str">
        <f>IFERROR(MATCH(467,fa_rank,0),"")</f>
        <v/>
      </c>
    </row>
    <row r="499">
      <c r="B499" s="78" t="str">
        <f>IF($M499="","",INDEX(fa_num,$M499)&amp;"")</f>
        <v/>
      </c>
      <c r="C499" s="79" t="str">
        <f>IF($M499="","",INDEX(fa_cname,$M499)&amp;"")</f>
        <v/>
      </c>
      <c r="D499" s="56" t="str">
        <f>IF($M499="","",INDEX(fa_date,$M499))</f>
        <v/>
      </c>
      <c r="E499" s="56" t="str">
        <f>IF($M499="","",INDEX(fa_due,$M499))</f>
        <v/>
      </c>
      <c r="F499" s="75" t="str">
        <f>IF($M499="","",INDEX(fa_ttc,$M499))</f>
        <v/>
      </c>
      <c r="G499" s="75" t="str">
        <f>IF($M499="","",INDEX(fa_paid,$M499)+INDEX(fa_avoirs,$M499))</f>
        <v/>
      </c>
      <c r="H499" s="75" t="str">
        <f>IF($M499="","",INDEX(fa_reste,$M499))</f>
        <v/>
      </c>
      <c r="I499" s="58" t="str">
        <f>IF($M499="","",MAX(0,p_asof-E499))</f>
        <v/>
      </c>
      <c r="J499" s="78" t="str">
        <f>IF($M499="","",INDEX(fa_tranche,$M499)&amp;"")</f>
        <v/>
      </c>
      <c r="K499" s="56" t="str">
        <f>IF($M499="","",IF(ISNUMBER(INDEX(fa_relance,$M499)),INDEX(fa_relance,$M499),""))</f>
        <v/>
      </c>
      <c r="L499" s="79" t="str">
        <f>IF($M499="","",IF(AND(ISNUMBER(K499),(p_asof-E499)&gt;0,(p_asof-N(K499))&gt;=0,(p_asof-N(K499))&lt;7),"Déjà relancée il y a "&amp;(p_asof-N(K499))&amp;" j",IF((p_asof-E499)&lt;=0,IF((p_asof-E499)&gt;-8,"Rappel courtois avant l'échéance","Aucune action"),IF((p_asof-E499)&lt;=15,"Relance 1 : e-mail de rappel",IF((p_asof-E499)&lt;=30,"Relance 2 : appel téléphonique",IF((p_asof-E499)&lt;=60,"Relance 3 : lettre de relance",IF((p_asof-E499)&lt;=90,"Mise en demeure (recommandé)","Contentieux : injonction de payer")))))))</f>
        <v/>
      </c>
      <c r="M499" t="str">
        <f>IFERROR(MATCH(468,fa_rank,0),"")</f>
        <v/>
      </c>
    </row>
    <row r="500">
      <c r="B500" s="78" t="str">
        <f>IF($M500="","",INDEX(fa_num,$M500)&amp;"")</f>
        <v/>
      </c>
      <c r="C500" s="79" t="str">
        <f>IF($M500="","",INDEX(fa_cname,$M500)&amp;"")</f>
        <v/>
      </c>
      <c r="D500" s="56" t="str">
        <f>IF($M500="","",INDEX(fa_date,$M500))</f>
        <v/>
      </c>
      <c r="E500" s="56" t="str">
        <f>IF($M500="","",INDEX(fa_due,$M500))</f>
        <v/>
      </c>
      <c r="F500" s="75" t="str">
        <f>IF($M500="","",INDEX(fa_ttc,$M500))</f>
        <v/>
      </c>
      <c r="G500" s="75" t="str">
        <f>IF($M500="","",INDEX(fa_paid,$M500)+INDEX(fa_avoirs,$M500))</f>
        <v/>
      </c>
      <c r="H500" s="75" t="str">
        <f>IF($M500="","",INDEX(fa_reste,$M500))</f>
        <v/>
      </c>
      <c r="I500" s="58" t="str">
        <f>IF($M500="","",MAX(0,p_asof-E500))</f>
        <v/>
      </c>
      <c r="J500" s="78" t="str">
        <f>IF($M500="","",INDEX(fa_tranche,$M500)&amp;"")</f>
        <v/>
      </c>
      <c r="K500" s="56" t="str">
        <f>IF($M500="","",IF(ISNUMBER(INDEX(fa_relance,$M500)),INDEX(fa_relance,$M500),""))</f>
        <v/>
      </c>
      <c r="L500" s="79" t="str">
        <f>IF($M500="","",IF(AND(ISNUMBER(K500),(p_asof-E500)&gt;0,(p_asof-N(K500))&gt;=0,(p_asof-N(K500))&lt;7),"Déjà relancée il y a "&amp;(p_asof-N(K500))&amp;" j",IF((p_asof-E500)&lt;=0,IF((p_asof-E500)&gt;-8,"Rappel courtois avant l'échéance","Aucune action"),IF((p_asof-E500)&lt;=15,"Relance 1 : e-mail de rappel",IF((p_asof-E500)&lt;=30,"Relance 2 : appel téléphonique",IF((p_asof-E500)&lt;=60,"Relance 3 : lettre de relance",IF((p_asof-E500)&lt;=90,"Mise en demeure (recommandé)","Contentieux : injonction de payer")))))))</f>
        <v/>
      </c>
      <c r="M500" t="str">
        <f>IFERROR(MATCH(469,fa_rank,0),"")</f>
        <v/>
      </c>
    </row>
    <row r="501">
      <c r="B501" s="78" t="str">
        <f>IF($M501="","",INDEX(fa_num,$M501)&amp;"")</f>
        <v/>
      </c>
      <c r="C501" s="79" t="str">
        <f>IF($M501="","",INDEX(fa_cname,$M501)&amp;"")</f>
        <v/>
      </c>
      <c r="D501" s="56" t="str">
        <f>IF($M501="","",INDEX(fa_date,$M501))</f>
        <v/>
      </c>
      <c r="E501" s="56" t="str">
        <f>IF($M501="","",INDEX(fa_due,$M501))</f>
        <v/>
      </c>
      <c r="F501" s="75" t="str">
        <f>IF($M501="","",INDEX(fa_ttc,$M501))</f>
        <v/>
      </c>
      <c r="G501" s="75" t="str">
        <f>IF($M501="","",INDEX(fa_paid,$M501)+INDEX(fa_avoirs,$M501))</f>
        <v/>
      </c>
      <c r="H501" s="75" t="str">
        <f>IF($M501="","",INDEX(fa_reste,$M501))</f>
        <v/>
      </c>
      <c r="I501" s="58" t="str">
        <f>IF($M501="","",MAX(0,p_asof-E501))</f>
        <v/>
      </c>
      <c r="J501" s="78" t="str">
        <f>IF($M501="","",INDEX(fa_tranche,$M501)&amp;"")</f>
        <v/>
      </c>
      <c r="K501" s="56" t="str">
        <f>IF($M501="","",IF(ISNUMBER(INDEX(fa_relance,$M501)),INDEX(fa_relance,$M501),""))</f>
        <v/>
      </c>
      <c r="L501" s="79" t="str">
        <f>IF($M501="","",IF(AND(ISNUMBER(K501),(p_asof-E501)&gt;0,(p_asof-N(K501))&gt;=0,(p_asof-N(K501))&lt;7),"Déjà relancée il y a "&amp;(p_asof-N(K501))&amp;" j",IF((p_asof-E501)&lt;=0,IF((p_asof-E501)&gt;-8,"Rappel courtois avant l'échéance","Aucune action"),IF((p_asof-E501)&lt;=15,"Relance 1 : e-mail de rappel",IF((p_asof-E501)&lt;=30,"Relance 2 : appel téléphonique",IF((p_asof-E501)&lt;=60,"Relance 3 : lettre de relance",IF((p_asof-E501)&lt;=90,"Mise en demeure (recommandé)","Contentieux : injonction de payer")))))))</f>
        <v/>
      </c>
      <c r="M501" t="str">
        <f>IFERROR(MATCH(470,fa_rank,0),"")</f>
        <v/>
      </c>
    </row>
    <row r="502">
      <c r="B502" s="78" t="str">
        <f>IF($M502="","",INDEX(fa_num,$M502)&amp;"")</f>
        <v/>
      </c>
      <c r="C502" s="79" t="str">
        <f>IF($M502="","",INDEX(fa_cname,$M502)&amp;"")</f>
        <v/>
      </c>
      <c r="D502" s="56" t="str">
        <f>IF($M502="","",INDEX(fa_date,$M502))</f>
        <v/>
      </c>
      <c r="E502" s="56" t="str">
        <f>IF($M502="","",INDEX(fa_due,$M502))</f>
        <v/>
      </c>
      <c r="F502" s="75" t="str">
        <f>IF($M502="","",INDEX(fa_ttc,$M502))</f>
        <v/>
      </c>
      <c r="G502" s="75" t="str">
        <f>IF($M502="","",INDEX(fa_paid,$M502)+INDEX(fa_avoirs,$M502))</f>
        <v/>
      </c>
      <c r="H502" s="75" t="str">
        <f>IF($M502="","",INDEX(fa_reste,$M502))</f>
        <v/>
      </c>
      <c r="I502" s="58" t="str">
        <f>IF($M502="","",MAX(0,p_asof-E502))</f>
        <v/>
      </c>
      <c r="J502" s="78" t="str">
        <f>IF($M502="","",INDEX(fa_tranche,$M502)&amp;"")</f>
        <v/>
      </c>
      <c r="K502" s="56" t="str">
        <f>IF($M502="","",IF(ISNUMBER(INDEX(fa_relance,$M502)),INDEX(fa_relance,$M502),""))</f>
        <v/>
      </c>
      <c r="L502" s="79" t="str">
        <f>IF($M502="","",IF(AND(ISNUMBER(K502),(p_asof-E502)&gt;0,(p_asof-N(K502))&gt;=0,(p_asof-N(K502))&lt;7),"Déjà relancée il y a "&amp;(p_asof-N(K502))&amp;" j",IF((p_asof-E502)&lt;=0,IF((p_asof-E502)&gt;-8,"Rappel courtois avant l'échéance","Aucune action"),IF((p_asof-E502)&lt;=15,"Relance 1 : e-mail de rappel",IF((p_asof-E502)&lt;=30,"Relance 2 : appel téléphonique",IF((p_asof-E502)&lt;=60,"Relance 3 : lettre de relance",IF((p_asof-E502)&lt;=90,"Mise en demeure (recommandé)","Contentieux : injonction de payer")))))))</f>
        <v/>
      </c>
      <c r="M502" t="str">
        <f>IFERROR(MATCH(471,fa_rank,0),"")</f>
        <v/>
      </c>
    </row>
    <row r="503">
      <c r="B503" s="78" t="str">
        <f>IF($M503="","",INDEX(fa_num,$M503)&amp;"")</f>
        <v/>
      </c>
      <c r="C503" s="79" t="str">
        <f>IF($M503="","",INDEX(fa_cname,$M503)&amp;"")</f>
        <v/>
      </c>
      <c r="D503" s="56" t="str">
        <f>IF($M503="","",INDEX(fa_date,$M503))</f>
        <v/>
      </c>
      <c r="E503" s="56" t="str">
        <f>IF($M503="","",INDEX(fa_due,$M503))</f>
        <v/>
      </c>
      <c r="F503" s="75" t="str">
        <f>IF($M503="","",INDEX(fa_ttc,$M503))</f>
        <v/>
      </c>
      <c r="G503" s="75" t="str">
        <f>IF($M503="","",INDEX(fa_paid,$M503)+INDEX(fa_avoirs,$M503))</f>
        <v/>
      </c>
      <c r="H503" s="75" t="str">
        <f>IF($M503="","",INDEX(fa_reste,$M503))</f>
        <v/>
      </c>
      <c r="I503" s="58" t="str">
        <f>IF($M503="","",MAX(0,p_asof-E503))</f>
        <v/>
      </c>
      <c r="J503" s="78" t="str">
        <f>IF($M503="","",INDEX(fa_tranche,$M503)&amp;"")</f>
        <v/>
      </c>
      <c r="K503" s="56" t="str">
        <f>IF($M503="","",IF(ISNUMBER(INDEX(fa_relance,$M503)),INDEX(fa_relance,$M503),""))</f>
        <v/>
      </c>
      <c r="L503" s="79" t="str">
        <f>IF($M503="","",IF(AND(ISNUMBER(K503),(p_asof-E503)&gt;0,(p_asof-N(K503))&gt;=0,(p_asof-N(K503))&lt;7),"Déjà relancée il y a "&amp;(p_asof-N(K503))&amp;" j",IF((p_asof-E503)&lt;=0,IF((p_asof-E503)&gt;-8,"Rappel courtois avant l'échéance","Aucune action"),IF((p_asof-E503)&lt;=15,"Relance 1 : e-mail de rappel",IF((p_asof-E503)&lt;=30,"Relance 2 : appel téléphonique",IF((p_asof-E503)&lt;=60,"Relance 3 : lettre de relance",IF((p_asof-E503)&lt;=90,"Mise en demeure (recommandé)","Contentieux : injonction de payer")))))))</f>
        <v/>
      </c>
      <c r="M503" t="str">
        <f>IFERROR(MATCH(472,fa_rank,0),"")</f>
        <v/>
      </c>
    </row>
    <row r="504">
      <c r="B504" s="78" t="str">
        <f>IF($M504="","",INDEX(fa_num,$M504)&amp;"")</f>
        <v/>
      </c>
      <c r="C504" s="79" t="str">
        <f>IF($M504="","",INDEX(fa_cname,$M504)&amp;"")</f>
        <v/>
      </c>
      <c r="D504" s="56" t="str">
        <f>IF($M504="","",INDEX(fa_date,$M504))</f>
        <v/>
      </c>
      <c r="E504" s="56" t="str">
        <f>IF($M504="","",INDEX(fa_due,$M504))</f>
        <v/>
      </c>
      <c r="F504" s="75" t="str">
        <f>IF($M504="","",INDEX(fa_ttc,$M504))</f>
        <v/>
      </c>
      <c r="G504" s="75" t="str">
        <f>IF($M504="","",INDEX(fa_paid,$M504)+INDEX(fa_avoirs,$M504))</f>
        <v/>
      </c>
      <c r="H504" s="75" t="str">
        <f>IF($M504="","",INDEX(fa_reste,$M504))</f>
        <v/>
      </c>
      <c r="I504" s="58" t="str">
        <f>IF($M504="","",MAX(0,p_asof-E504))</f>
        <v/>
      </c>
      <c r="J504" s="78" t="str">
        <f>IF($M504="","",INDEX(fa_tranche,$M504)&amp;"")</f>
        <v/>
      </c>
      <c r="K504" s="56" t="str">
        <f>IF($M504="","",IF(ISNUMBER(INDEX(fa_relance,$M504)),INDEX(fa_relance,$M504),""))</f>
        <v/>
      </c>
      <c r="L504" s="79" t="str">
        <f>IF($M504="","",IF(AND(ISNUMBER(K504),(p_asof-E504)&gt;0,(p_asof-N(K504))&gt;=0,(p_asof-N(K504))&lt;7),"Déjà relancée il y a "&amp;(p_asof-N(K504))&amp;" j",IF((p_asof-E504)&lt;=0,IF((p_asof-E504)&gt;-8,"Rappel courtois avant l'échéance","Aucune action"),IF((p_asof-E504)&lt;=15,"Relance 1 : e-mail de rappel",IF((p_asof-E504)&lt;=30,"Relance 2 : appel téléphonique",IF((p_asof-E504)&lt;=60,"Relance 3 : lettre de relance",IF((p_asof-E504)&lt;=90,"Mise en demeure (recommandé)","Contentieux : injonction de payer")))))))</f>
        <v/>
      </c>
      <c r="M504" t="str">
        <f>IFERROR(MATCH(473,fa_rank,0),"")</f>
        <v/>
      </c>
    </row>
    <row r="505">
      <c r="B505" s="78" t="str">
        <f>IF($M505="","",INDEX(fa_num,$M505)&amp;"")</f>
        <v/>
      </c>
      <c r="C505" s="79" t="str">
        <f>IF($M505="","",INDEX(fa_cname,$M505)&amp;"")</f>
        <v/>
      </c>
      <c r="D505" s="56" t="str">
        <f>IF($M505="","",INDEX(fa_date,$M505))</f>
        <v/>
      </c>
      <c r="E505" s="56" t="str">
        <f>IF($M505="","",INDEX(fa_due,$M505))</f>
        <v/>
      </c>
      <c r="F505" s="75" t="str">
        <f>IF($M505="","",INDEX(fa_ttc,$M505))</f>
        <v/>
      </c>
      <c r="G505" s="75" t="str">
        <f>IF($M505="","",INDEX(fa_paid,$M505)+INDEX(fa_avoirs,$M505))</f>
        <v/>
      </c>
      <c r="H505" s="75" t="str">
        <f>IF($M505="","",INDEX(fa_reste,$M505))</f>
        <v/>
      </c>
      <c r="I505" s="58" t="str">
        <f>IF($M505="","",MAX(0,p_asof-E505))</f>
        <v/>
      </c>
      <c r="J505" s="78" t="str">
        <f>IF($M505="","",INDEX(fa_tranche,$M505)&amp;"")</f>
        <v/>
      </c>
      <c r="K505" s="56" t="str">
        <f>IF($M505="","",IF(ISNUMBER(INDEX(fa_relance,$M505)),INDEX(fa_relance,$M505),""))</f>
        <v/>
      </c>
      <c r="L505" s="79" t="str">
        <f>IF($M505="","",IF(AND(ISNUMBER(K505),(p_asof-E505)&gt;0,(p_asof-N(K505))&gt;=0,(p_asof-N(K505))&lt;7),"Déjà relancée il y a "&amp;(p_asof-N(K505))&amp;" j",IF((p_asof-E505)&lt;=0,IF((p_asof-E505)&gt;-8,"Rappel courtois avant l'échéance","Aucune action"),IF((p_asof-E505)&lt;=15,"Relance 1 : e-mail de rappel",IF((p_asof-E505)&lt;=30,"Relance 2 : appel téléphonique",IF((p_asof-E505)&lt;=60,"Relance 3 : lettre de relance",IF((p_asof-E505)&lt;=90,"Mise en demeure (recommandé)","Contentieux : injonction de payer")))))))</f>
        <v/>
      </c>
      <c r="M505" t="str">
        <f>IFERROR(MATCH(474,fa_rank,0),"")</f>
        <v/>
      </c>
    </row>
    <row r="506">
      <c r="B506" s="78" t="str">
        <f>IF($M506="","",INDEX(fa_num,$M506)&amp;"")</f>
        <v/>
      </c>
      <c r="C506" s="79" t="str">
        <f>IF($M506="","",INDEX(fa_cname,$M506)&amp;"")</f>
        <v/>
      </c>
      <c r="D506" s="56" t="str">
        <f>IF($M506="","",INDEX(fa_date,$M506))</f>
        <v/>
      </c>
      <c r="E506" s="56" t="str">
        <f>IF($M506="","",INDEX(fa_due,$M506))</f>
        <v/>
      </c>
      <c r="F506" s="75" t="str">
        <f>IF($M506="","",INDEX(fa_ttc,$M506))</f>
        <v/>
      </c>
      <c r="G506" s="75" t="str">
        <f>IF($M506="","",INDEX(fa_paid,$M506)+INDEX(fa_avoirs,$M506))</f>
        <v/>
      </c>
      <c r="H506" s="75" t="str">
        <f>IF($M506="","",INDEX(fa_reste,$M506))</f>
        <v/>
      </c>
      <c r="I506" s="58" t="str">
        <f>IF($M506="","",MAX(0,p_asof-E506))</f>
        <v/>
      </c>
      <c r="J506" s="78" t="str">
        <f>IF($M506="","",INDEX(fa_tranche,$M506)&amp;"")</f>
        <v/>
      </c>
      <c r="K506" s="56" t="str">
        <f>IF($M506="","",IF(ISNUMBER(INDEX(fa_relance,$M506)),INDEX(fa_relance,$M506),""))</f>
        <v/>
      </c>
      <c r="L506" s="79" t="str">
        <f>IF($M506="","",IF(AND(ISNUMBER(K506),(p_asof-E506)&gt;0,(p_asof-N(K506))&gt;=0,(p_asof-N(K506))&lt;7),"Déjà relancée il y a "&amp;(p_asof-N(K506))&amp;" j",IF((p_asof-E506)&lt;=0,IF((p_asof-E506)&gt;-8,"Rappel courtois avant l'échéance","Aucune action"),IF((p_asof-E506)&lt;=15,"Relance 1 : e-mail de rappel",IF((p_asof-E506)&lt;=30,"Relance 2 : appel téléphonique",IF((p_asof-E506)&lt;=60,"Relance 3 : lettre de relance",IF((p_asof-E506)&lt;=90,"Mise en demeure (recommandé)","Contentieux : injonction de payer")))))))</f>
        <v/>
      </c>
      <c r="M506" t="str">
        <f>IFERROR(MATCH(475,fa_rank,0),"")</f>
        <v/>
      </c>
    </row>
    <row r="507">
      <c r="B507" s="78" t="str">
        <f>IF($M507="","",INDEX(fa_num,$M507)&amp;"")</f>
        <v/>
      </c>
      <c r="C507" s="79" t="str">
        <f>IF($M507="","",INDEX(fa_cname,$M507)&amp;"")</f>
        <v/>
      </c>
      <c r="D507" s="56" t="str">
        <f>IF($M507="","",INDEX(fa_date,$M507))</f>
        <v/>
      </c>
      <c r="E507" s="56" t="str">
        <f>IF($M507="","",INDEX(fa_due,$M507))</f>
        <v/>
      </c>
      <c r="F507" s="75" t="str">
        <f>IF($M507="","",INDEX(fa_ttc,$M507))</f>
        <v/>
      </c>
      <c r="G507" s="75" t="str">
        <f>IF($M507="","",INDEX(fa_paid,$M507)+INDEX(fa_avoirs,$M507))</f>
        <v/>
      </c>
      <c r="H507" s="75" t="str">
        <f>IF($M507="","",INDEX(fa_reste,$M507))</f>
        <v/>
      </c>
      <c r="I507" s="58" t="str">
        <f>IF($M507="","",MAX(0,p_asof-E507))</f>
        <v/>
      </c>
      <c r="J507" s="78" t="str">
        <f>IF($M507="","",INDEX(fa_tranche,$M507)&amp;"")</f>
        <v/>
      </c>
      <c r="K507" s="56" t="str">
        <f>IF($M507="","",IF(ISNUMBER(INDEX(fa_relance,$M507)),INDEX(fa_relance,$M507),""))</f>
        <v/>
      </c>
      <c r="L507" s="79" t="str">
        <f>IF($M507="","",IF(AND(ISNUMBER(K507),(p_asof-E507)&gt;0,(p_asof-N(K507))&gt;=0,(p_asof-N(K507))&lt;7),"Déjà relancée il y a "&amp;(p_asof-N(K507))&amp;" j",IF((p_asof-E507)&lt;=0,IF((p_asof-E507)&gt;-8,"Rappel courtois avant l'échéance","Aucune action"),IF((p_asof-E507)&lt;=15,"Relance 1 : e-mail de rappel",IF((p_asof-E507)&lt;=30,"Relance 2 : appel téléphonique",IF((p_asof-E507)&lt;=60,"Relance 3 : lettre de relance",IF((p_asof-E507)&lt;=90,"Mise en demeure (recommandé)","Contentieux : injonction de payer")))))))</f>
        <v/>
      </c>
      <c r="M507" t="str">
        <f>IFERROR(MATCH(476,fa_rank,0),"")</f>
        <v/>
      </c>
    </row>
    <row r="508">
      <c r="B508" s="78" t="str">
        <f>IF($M508="","",INDEX(fa_num,$M508)&amp;"")</f>
        <v/>
      </c>
      <c r="C508" s="79" t="str">
        <f>IF($M508="","",INDEX(fa_cname,$M508)&amp;"")</f>
        <v/>
      </c>
      <c r="D508" s="56" t="str">
        <f>IF($M508="","",INDEX(fa_date,$M508))</f>
        <v/>
      </c>
      <c r="E508" s="56" t="str">
        <f>IF($M508="","",INDEX(fa_due,$M508))</f>
        <v/>
      </c>
      <c r="F508" s="75" t="str">
        <f>IF($M508="","",INDEX(fa_ttc,$M508))</f>
        <v/>
      </c>
      <c r="G508" s="75" t="str">
        <f>IF($M508="","",INDEX(fa_paid,$M508)+INDEX(fa_avoirs,$M508))</f>
        <v/>
      </c>
      <c r="H508" s="75" t="str">
        <f>IF($M508="","",INDEX(fa_reste,$M508))</f>
        <v/>
      </c>
      <c r="I508" s="58" t="str">
        <f>IF($M508="","",MAX(0,p_asof-E508))</f>
        <v/>
      </c>
      <c r="J508" s="78" t="str">
        <f>IF($M508="","",INDEX(fa_tranche,$M508)&amp;"")</f>
        <v/>
      </c>
      <c r="K508" s="56" t="str">
        <f>IF($M508="","",IF(ISNUMBER(INDEX(fa_relance,$M508)),INDEX(fa_relance,$M508),""))</f>
        <v/>
      </c>
      <c r="L508" s="79" t="str">
        <f>IF($M508="","",IF(AND(ISNUMBER(K508),(p_asof-E508)&gt;0,(p_asof-N(K508))&gt;=0,(p_asof-N(K508))&lt;7),"Déjà relancée il y a "&amp;(p_asof-N(K508))&amp;" j",IF((p_asof-E508)&lt;=0,IF((p_asof-E508)&gt;-8,"Rappel courtois avant l'échéance","Aucune action"),IF((p_asof-E508)&lt;=15,"Relance 1 : e-mail de rappel",IF((p_asof-E508)&lt;=30,"Relance 2 : appel téléphonique",IF((p_asof-E508)&lt;=60,"Relance 3 : lettre de relance",IF((p_asof-E508)&lt;=90,"Mise en demeure (recommandé)","Contentieux : injonction de payer")))))))</f>
        <v/>
      </c>
      <c r="M508" t="str">
        <f>IFERROR(MATCH(477,fa_rank,0),"")</f>
        <v/>
      </c>
    </row>
    <row r="509">
      <c r="B509" s="78" t="str">
        <f>IF($M509="","",INDEX(fa_num,$M509)&amp;"")</f>
        <v/>
      </c>
      <c r="C509" s="79" t="str">
        <f>IF($M509="","",INDEX(fa_cname,$M509)&amp;"")</f>
        <v/>
      </c>
      <c r="D509" s="56" t="str">
        <f>IF($M509="","",INDEX(fa_date,$M509))</f>
        <v/>
      </c>
      <c r="E509" s="56" t="str">
        <f>IF($M509="","",INDEX(fa_due,$M509))</f>
        <v/>
      </c>
      <c r="F509" s="75" t="str">
        <f>IF($M509="","",INDEX(fa_ttc,$M509))</f>
        <v/>
      </c>
      <c r="G509" s="75" t="str">
        <f>IF($M509="","",INDEX(fa_paid,$M509)+INDEX(fa_avoirs,$M509))</f>
        <v/>
      </c>
      <c r="H509" s="75" t="str">
        <f>IF($M509="","",INDEX(fa_reste,$M509))</f>
        <v/>
      </c>
      <c r="I509" s="58" t="str">
        <f>IF($M509="","",MAX(0,p_asof-E509))</f>
        <v/>
      </c>
      <c r="J509" s="78" t="str">
        <f>IF($M509="","",INDEX(fa_tranche,$M509)&amp;"")</f>
        <v/>
      </c>
      <c r="K509" s="56" t="str">
        <f>IF($M509="","",IF(ISNUMBER(INDEX(fa_relance,$M509)),INDEX(fa_relance,$M509),""))</f>
        <v/>
      </c>
      <c r="L509" s="79" t="str">
        <f>IF($M509="","",IF(AND(ISNUMBER(K509),(p_asof-E509)&gt;0,(p_asof-N(K509))&gt;=0,(p_asof-N(K509))&lt;7),"Déjà relancée il y a "&amp;(p_asof-N(K509))&amp;" j",IF((p_asof-E509)&lt;=0,IF((p_asof-E509)&gt;-8,"Rappel courtois avant l'échéance","Aucune action"),IF((p_asof-E509)&lt;=15,"Relance 1 : e-mail de rappel",IF((p_asof-E509)&lt;=30,"Relance 2 : appel téléphonique",IF((p_asof-E509)&lt;=60,"Relance 3 : lettre de relance",IF((p_asof-E509)&lt;=90,"Mise en demeure (recommandé)","Contentieux : injonction de payer")))))))</f>
        <v/>
      </c>
      <c r="M509" t="str">
        <f>IFERROR(MATCH(478,fa_rank,0),"")</f>
        <v/>
      </c>
    </row>
    <row r="510">
      <c r="B510" s="78" t="str">
        <f>IF($M510="","",INDEX(fa_num,$M510)&amp;"")</f>
        <v/>
      </c>
      <c r="C510" s="79" t="str">
        <f>IF($M510="","",INDEX(fa_cname,$M510)&amp;"")</f>
        <v/>
      </c>
      <c r="D510" s="56" t="str">
        <f>IF($M510="","",INDEX(fa_date,$M510))</f>
        <v/>
      </c>
      <c r="E510" s="56" t="str">
        <f>IF($M510="","",INDEX(fa_due,$M510))</f>
        <v/>
      </c>
      <c r="F510" s="75" t="str">
        <f>IF($M510="","",INDEX(fa_ttc,$M510))</f>
        <v/>
      </c>
      <c r="G510" s="75" t="str">
        <f>IF($M510="","",INDEX(fa_paid,$M510)+INDEX(fa_avoirs,$M510))</f>
        <v/>
      </c>
      <c r="H510" s="75" t="str">
        <f>IF($M510="","",INDEX(fa_reste,$M510))</f>
        <v/>
      </c>
      <c r="I510" s="58" t="str">
        <f>IF($M510="","",MAX(0,p_asof-E510))</f>
        <v/>
      </c>
      <c r="J510" s="78" t="str">
        <f>IF($M510="","",INDEX(fa_tranche,$M510)&amp;"")</f>
        <v/>
      </c>
      <c r="K510" s="56" t="str">
        <f>IF($M510="","",IF(ISNUMBER(INDEX(fa_relance,$M510)),INDEX(fa_relance,$M510),""))</f>
        <v/>
      </c>
      <c r="L510" s="79" t="str">
        <f>IF($M510="","",IF(AND(ISNUMBER(K510),(p_asof-E510)&gt;0,(p_asof-N(K510))&gt;=0,(p_asof-N(K510))&lt;7),"Déjà relancée il y a "&amp;(p_asof-N(K510))&amp;" j",IF((p_asof-E510)&lt;=0,IF((p_asof-E510)&gt;-8,"Rappel courtois avant l'échéance","Aucune action"),IF((p_asof-E510)&lt;=15,"Relance 1 : e-mail de rappel",IF((p_asof-E510)&lt;=30,"Relance 2 : appel téléphonique",IF((p_asof-E510)&lt;=60,"Relance 3 : lettre de relance",IF((p_asof-E510)&lt;=90,"Mise en demeure (recommandé)","Contentieux : injonction de payer")))))))</f>
        <v/>
      </c>
      <c r="M510" t="str">
        <f>IFERROR(MATCH(479,fa_rank,0),"")</f>
        <v/>
      </c>
    </row>
    <row r="511">
      <c r="B511" s="78" t="str">
        <f>IF($M511="","",INDEX(fa_num,$M511)&amp;"")</f>
        <v/>
      </c>
      <c r="C511" s="79" t="str">
        <f>IF($M511="","",INDEX(fa_cname,$M511)&amp;"")</f>
        <v/>
      </c>
      <c r="D511" s="56" t="str">
        <f>IF($M511="","",INDEX(fa_date,$M511))</f>
        <v/>
      </c>
      <c r="E511" s="56" t="str">
        <f>IF($M511="","",INDEX(fa_due,$M511))</f>
        <v/>
      </c>
      <c r="F511" s="75" t="str">
        <f>IF($M511="","",INDEX(fa_ttc,$M511))</f>
        <v/>
      </c>
      <c r="G511" s="75" t="str">
        <f>IF($M511="","",INDEX(fa_paid,$M511)+INDEX(fa_avoirs,$M511))</f>
        <v/>
      </c>
      <c r="H511" s="75" t="str">
        <f>IF($M511="","",INDEX(fa_reste,$M511))</f>
        <v/>
      </c>
      <c r="I511" s="58" t="str">
        <f>IF($M511="","",MAX(0,p_asof-E511))</f>
        <v/>
      </c>
      <c r="J511" s="78" t="str">
        <f>IF($M511="","",INDEX(fa_tranche,$M511)&amp;"")</f>
        <v/>
      </c>
      <c r="K511" s="56" t="str">
        <f>IF($M511="","",IF(ISNUMBER(INDEX(fa_relance,$M511)),INDEX(fa_relance,$M511),""))</f>
        <v/>
      </c>
      <c r="L511" s="79" t="str">
        <f>IF($M511="","",IF(AND(ISNUMBER(K511),(p_asof-E511)&gt;0,(p_asof-N(K511))&gt;=0,(p_asof-N(K511))&lt;7),"Déjà relancée il y a "&amp;(p_asof-N(K511))&amp;" j",IF((p_asof-E511)&lt;=0,IF((p_asof-E511)&gt;-8,"Rappel courtois avant l'échéance","Aucune action"),IF((p_asof-E511)&lt;=15,"Relance 1 : e-mail de rappel",IF((p_asof-E511)&lt;=30,"Relance 2 : appel téléphonique",IF((p_asof-E511)&lt;=60,"Relance 3 : lettre de relance",IF((p_asof-E511)&lt;=90,"Mise en demeure (recommandé)","Contentieux : injonction de payer")))))))</f>
        <v/>
      </c>
      <c r="M511" t="str">
        <f>IFERROR(MATCH(480,fa_rank,0),"")</f>
        <v/>
      </c>
    </row>
    <row r="512">
      <c r="B512" s="78" t="str">
        <f>IF($M512="","",INDEX(fa_num,$M512)&amp;"")</f>
        <v/>
      </c>
      <c r="C512" s="79" t="str">
        <f>IF($M512="","",INDEX(fa_cname,$M512)&amp;"")</f>
        <v/>
      </c>
      <c r="D512" s="56" t="str">
        <f>IF($M512="","",INDEX(fa_date,$M512))</f>
        <v/>
      </c>
      <c r="E512" s="56" t="str">
        <f>IF($M512="","",INDEX(fa_due,$M512))</f>
        <v/>
      </c>
      <c r="F512" s="75" t="str">
        <f>IF($M512="","",INDEX(fa_ttc,$M512))</f>
        <v/>
      </c>
      <c r="G512" s="75" t="str">
        <f>IF($M512="","",INDEX(fa_paid,$M512)+INDEX(fa_avoirs,$M512))</f>
        <v/>
      </c>
      <c r="H512" s="75" t="str">
        <f>IF($M512="","",INDEX(fa_reste,$M512))</f>
        <v/>
      </c>
      <c r="I512" s="58" t="str">
        <f>IF($M512="","",MAX(0,p_asof-E512))</f>
        <v/>
      </c>
      <c r="J512" s="78" t="str">
        <f>IF($M512="","",INDEX(fa_tranche,$M512)&amp;"")</f>
        <v/>
      </c>
      <c r="K512" s="56" t="str">
        <f>IF($M512="","",IF(ISNUMBER(INDEX(fa_relance,$M512)),INDEX(fa_relance,$M512),""))</f>
        <v/>
      </c>
      <c r="L512" s="79" t="str">
        <f>IF($M512="","",IF(AND(ISNUMBER(K512),(p_asof-E512)&gt;0,(p_asof-N(K512))&gt;=0,(p_asof-N(K512))&lt;7),"Déjà relancée il y a "&amp;(p_asof-N(K512))&amp;" j",IF((p_asof-E512)&lt;=0,IF((p_asof-E512)&gt;-8,"Rappel courtois avant l'échéance","Aucune action"),IF((p_asof-E512)&lt;=15,"Relance 1 : e-mail de rappel",IF((p_asof-E512)&lt;=30,"Relance 2 : appel téléphonique",IF((p_asof-E512)&lt;=60,"Relance 3 : lettre de relance",IF((p_asof-E512)&lt;=90,"Mise en demeure (recommandé)","Contentieux : injonction de payer")))))))</f>
        <v/>
      </c>
      <c r="M512" t="str">
        <f>IFERROR(MATCH(481,fa_rank,0),"")</f>
        <v/>
      </c>
    </row>
    <row r="513">
      <c r="B513" s="78" t="str">
        <f>IF($M513="","",INDEX(fa_num,$M513)&amp;"")</f>
        <v/>
      </c>
      <c r="C513" s="79" t="str">
        <f>IF($M513="","",INDEX(fa_cname,$M513)&amp;"")</f>
        <v/>
      </c>
      <c r="D513" s="56" t="str">
        <f>IF($M513="","",INDEX(fa_date,$M513))</f>
        <v/>
      </c>
      <c r="E513" s="56" t="str">
        <f>IF($M513="","",INDEX(fa_due,$M513))</f>
        <v/>
      </c>
      <c r="F513" s="75" t="str">
        <f>IF($M513="","",INDEX(fa_ttc,$M513))</f>
        <v/>
      </c>
      <c r="G513" s="75" t="str">
        <f>IF($M513="","",INDEX(fa_paid,$M513)+INDEX(fa_avoirs,$M513))</f>
        <v/>
      </c>
      <c r="H513" s="75" t="str">
        <f>IF($M513="","",INDEX(fa_reste,$M513))</f>
        <v/>
      </c>
      <c r="I513" s="58" t="str">
        <f>IF($M513="","",MAX(0,p_asof-E513))</f>
        <v/>
      </c>
      <c r="J513" s="78" t="str">
        <f>IF($M513="","",INDEX(fa_tranche,$M513)&amp;"")</f>
        <v/>
      </c>
      <c r="K513" s="56" t="str">
        <f>IF($M513="","",IF(ISNUMBER(INDEX(fa_relance,$M513)),INDEX(fa_relance,$M513),""))</f>
        <v/>
      </c>
      <c r="L513" s="79" t="str">
        <f>IF($M513="","",IF(AND(ISNUMBER(K513),(p_asof-E513)&gt;0,(p_asof-N(K513))&gt;=0,(p_asof-N(K513))&lt;7),"Déjà relancée il y a "&amp;(p_asof-N(K513))&amp;" j",IF((p_asof-E513)&lt;=0,IF((p_asof-E513)&gt;-8,"Rappel courtois avant l'échéance","Aucune action"),IF((p_asof-E513)&lt;=15,"Relance 1 : e-mail de rappel",IF((p_asof-E513)&lt;=30,"Relance 2 : appel téléphonique",IF((p_asof-E513)&lt;=60,"Relance 3 : lettre de relance",IF((p_asof-E513)&lt;=90,"Mise en demeure (recommandé)","Contentieux : injonction de payer")))))))</f>
        <v/>
      </c>
      <c r="M513" t="str">
        <f>IFERROR(MATCH(482,fa_rank,0),"")</f>
        <v/>
      </c>
    </row>
    <row r="514">
      <c r="B514" s="78" t="str">
        <f>IF($M514="","",INDEX(fa_num,$M514)&amp;"")</f>
        <v/>
      </c>
      <c r="C514" s="79" t="str">
        <f>IF($M514="","",INDEX(fa_cname,$M514)&amp;"")</f>
        <v/>
      </c>
      <c r="D514" s="56" t="str">
        <f>IF($M514="","",INDEX(fa_date,$M514))</f>
        <v/>
      </c>
      <c r="E514" s="56" t="str">
        <f>IF($M514="","",INDEX(fa_due,$M514))</f>
        <v/>
      </c>
      <c r="F514" s="75" t="str">
        <f>IF($M514="","",INDEX(fa_ttc,$M514))</f>
        <v/>
      </c>
      <c r="G514" s="75" t="str">
        <f>IF($M514="","",INDEX(fa_paid,$M514)+INDEX(fa_avoirs,$M514))</f>
        <v/>
      </c>
      <c r="H514" s="75" t="str">
        <f>IF($M514="","",INDEX(fa_reste,$M514))</f>
        <v/>
      </c>
      <c r="I514" s="58" t="str">
        <f>IF($M514="","",MAX(0,p_asof-E514))</f>
        <v/>
      </c>
      <c r="J514" s="78" t="str">
        <f>IF($M514="","",INDEX(fa_tranche,$M514)&amp;"")</f>
        <v/>
      </c>
      <c r="K514" s="56" t="str">
        <f>IF($M514="","",IF(ISNUMBER(INDEX(fa_relance,$M514)),INDEX(fa_relance,$M514),""))</f>
        <v/>
      </c>
      <c r="L514" s="79" t="str">
        <f>IF($M514="","",IF(AND(ISNUMBER(K514),(p_asof-E514)&gt;0,(p_asof-N(K514))&gt;=0,(p_asof-N(K514))&lt;7),"Déjà relancée il y a "&amp;(p_asof-N(K514))&amp;" j",IF((p_asof-E514)&lt;=0,IF((p_asof-E514)&gt;-8,"Rappel courtois avant l'échéance","Aucune action"),IF((p_asof-E514)&lt;=15,"Relance 1 : e-mail de rappel",IF((p_asof-E514)&lt;=30,"Relance 2 : appel téléphonique",IF((p_asof-E514)&lt;=60,"Relance 3 : lettre de relance",IF((p_asof-E514)&lt;=90,"Mise en demeure (recommandé)","Contentieux : injonction de payer")))))))</f>
        <v/>
      </c>
      <c r="M514" t="str">
        <f>IFERROR(MATCH(483,fa_rank,0),"")</f>
        <v/>
      </c>
    </row>
    <row r="515">
      <c r="B515" s="78" t="str">
        <f>IF($M515="","",INDEX(fa_num,$M515)&amp;"")</f>
        <v/>
      </c>
      <c r="C515" s="79" t="str">
        <f>IF($M515="","",INDEX(fa_cname,$M515)&amp;"")</f>
        <v/>
      </c>
      <c r="D515" s="56" t="str">
        <f>IF($M515="","",INDEX(fa_date,$M515))</f>
        <v/>
      </c>
      <c r="E515" s="56" t="str">
        <f>IF($M515="","",INDEX(fa_due,$M515))</f>
        <v/>
      </c>
      <c r="F515" s="75" t="str">
        <f>IF($M515="","",INDEX(fa_ttc,$M515))</f>
        <v/>
      </c>
      <c r="G515" s="75" t="str">
        <f>IF($M515="","",INDEX(fa_paid,$M515)+INDEX(fa_avoirs,$M515))</f>
        <v/>
      </c>
      <c r="H515" s="75" t="str">
        <f>IF($M515="","",INDEX(fa_reste,$M515))</f>
        <v/>
      </c>
      <c r="I515" s="58" t="str">
        <f>IF($M515="","",MAX(0,p_asof-E515))</f>
        <v/>
      </c>
      <c r="J515" s="78" t="str">
        <f>IF($M515="","",INDEX(fa_tranche,$M515)&amp;"")</f>
        <v/>
      </c>
      <c r="K515" s="56" t="str">
        <f>IF($M515="","",IF(ISNUMBER(INDEX(fa_relance,$M515)),INDEX(fa_relance,$M515),""))</f>
        <v/>
      </c>
      <c r="L515" s="79" t="str">
        <f>IF($M515="","",IF(AND(ISNUMBER(K515),(p_asof-E515)&gt;0,(p_asof-N(K515))&gt;=0,(p_asof-N(K515))&lt;7),"Déjà relancée il y a "&amp;(p_asof-N(K515))&amp;" j",IF((p_asof-E515)&lt;=0,IF((p_asof-E515)&gt;-8,"Rappel courtois avant l'échéance","Aucune action"),IF((p_asof-E515)&lt;=15,"Relance 1 : e-mail de rappel",IF((p_asof-E515)&lt;=30,"Relance 2 : appel téléphonique",IF((p_asof-E515)&lt;=60,"Relance 3 : lettre de relance",IF((p_asof-E515)&lt;=90,"Mise en demeure (recommandé)","Contentieux : injonction de payer")))))))</f>
        <v/>
      </c>
      <c r="M515" t="str">
        <f>IFERROR(MATCH(484,fa_rank,0),"")</f>
        <v/>
      </c>
    </row>
    <row r="516">
      <c r="B516" s="78" t="str">
        <f>IF($M516="","",INDEX(fa_num,$M516)&amp;"")</f>
        <v/>
      </c>
      <c r="C516" s="79" t="str">
        <f>IF($M516="","",INDEX(fa_cname,$M516)&amp;"")</f>
        <v/>
      </c>
      <c r="D516" s="56" t="str">
        <f>IF($M516="","",INDEX(fa_date,$M516))</f>
        <v/>
      </c>
      <c r="E516" s="56" t="str">
        <f>IF($M516="","",INDEX(fa_due,$M516))</f>
        <v/>
      </c>
      <c r="F516" s="75" t="str">
        <f>IF($M516="","",INDEX(fa_ttc,$M516))</f>
        <v/>
      </c>
      <c r="G516" s="75" t="str">
        <f>IF($M516="","",INDEX(fa_paid,$M516)+INDEX(fa_avoirs,$M516))</f>
        <v/>
      </c>
      <c r="H516" s="75" t="str">
        <f>IF($M516="","",INDEX(fa_reste,$M516))</f>
        <v/>
      </c>
      <c r="I516" s="58" t="str">
        <f>IF($M516="","",MAX(0,p_asof-E516))</f>
        <v/>
      </c>
      <c r="J516" s="78" t="str">
        <f>IF($M516="","",INDEX(fa_tranche,$M516)&amp;"")</f>
        <v/>
      </c>
      <c r="K516" s="56" t="str">
        <f>IF($M516="","",IF(ISNUMBER(INDEX(fa_relance,$M516)),INDEX(fa_relance,$M516),""))</f>
        <v/>
      </c>
      <c r="L516" s="79" t="str">
        <f>IF($M516="","",IF(AND(ISNUMBER(K516),(p_asof-E516)&gt;0,(p_asof-N(K516))&gt;=0,(p_asof-N(K516))&lt;7),"Déjà relancée il y a "&amp;(p_asof-N(K516))&amp;" j",IF((p_asof-E516)&lt;=0,IF((p_asof-E516)&gt;-8,"Rappel courtois avant l'échéance","Aucune action"),IF((p_asof-E516)&lt;=15,"Relance 1 : e-mail de rappel",IF((p_asof-E516)&lt;=30,"Relance 2 : appel téléphonique",IF((p_asof-E516)&lt;=60,"Relance 3 : lettre de relance",IF((p_asof-E516)&lt;=90,"Mise en demeure (recommandé)","Contentieux : injonction de payer")))))))</f>
        <v/>
      </c>
      <c r="M516" t="str">
        <f>IFERROR(MATCH(485,fa_rank,0),"")</f>
        <v/>
      </c>
    </row>
    <row r="517">
      <c r="B517" s="78" t="str">
        <f>IF($M517="","",INDEX(fa_num,$M517)&amp;"")</f>
        <v/>
      </c>
      <c r="C517" s="79" t="str">
        <f>IF($M517="","",INDEX(fa_cname,$M517)&amp;"")</f>
        <v/>
      </c>
      <c r="D517" s="56" t="str">
        <f>IF($M517="","",INDEX(fa_date,$M517))</f>
        <v/>
      </c>
      <c r="E517" s="56" t="str">
        <f>IF($M517="","",INDEX(fa_due,$M517))</f>
        <v/>
      </c>
      <c r="F517" s="75" t="str">
        <f>IF($M517="","",INDEX(fa_ttc,$M517))</f>
        <v/>
      </c>
      <c r="G517" s="75" t="str">
        <f>IF($M517="","",INDEX(fa_paid,$M517)+INDEX(fa_avoirs,$M517))</f>
        <v/>
      </c>
      <c r="H517" s="75" t="str">
        <f>IF($M517="","",INDEX(fa_reste,$M517))</f>
        <v/>
      </c>
      <c r="I517" s="58" t="str">
        <f>IF($M517="","",MAX(0,p_asof-E517))</f>
        <v/>
      </c>
      <c r="J517" s="78" t="str">
        <f>IF($M517="","",INDEX(fa_tranche,$M517)&amp;"")</f>
        <v/>
      </c>
      <c r="K517" s="56" t="str">
        <f>IF($M517="","",IF(ISNUMBER(INDEX(fa_relance,$M517)),INDEX(fa_relance,$M517),""))</f>
        <v/>
      </c>
      <c r="L517" s="79" t="str">
        <f>IF($M517="","",IF(AND(ISNUMBER(K517),(p_asof-E517)&gt;0,(p_asof-N(K517))&gt;=0,(p_asof-N(K517))&lt;7),"Déjà relancée il y a "&amp;(p_asof-N(K517))&amp;" j",IF((p_asof-E517)&lt;=0,IF((p_asof-E517)&gt;-8,"Rappel courtois avant l'échéance","Aucune action"),IF((p_asof-E517)&lt;=15,"Relance 1 : e-mail de rappel",IF((p_asof-E517)&lt;=30,"Relance 2 : appel téléphonique",IF((p_asof-E517)&lt;=60,"Relance 3 : lettre de relance",IF((p_asof-E517)&lt;=90,"Mise en demeure (recommandé)","Contentieux : injonction de payer")))))))</f>
        <v/>
      </c>
      <c r="M517" t="str">
        <f>IFERROR(MATCH(486,fa_rank,0),"")</f>
        <v/>
      </c>
    </row>
    <row r="518">
      <c r="B518" s="78" t="str">
        <f>IF($M518="","",INDEX(fa_num,$M518)&amp;"")</f>
        <v/>
      </c>
      <c r="C518" s="79" t="str">
        <f>IF($M518="","",INDEX(fa_cname,$M518)&amp;"")</f>
        <v/>
      </c>
      <c r="D518" s="56" t="str">
        <f>IF($M518="","",INDEX(fa_date,$M518))</f>
        <v/>
      </c>
      <c r="E518" s="56" t="str">
        <f>IF($M518="","",INDEX(fa_due,$M518))</f>
        <v/>
      </c>
      <c r="F518" s="75" t="str">
        <f>IF($M518="","",INDEX(fa_ttc,$M518))</f>
        <v/>
      </c>
      <c r="G518" s="75" t="str">
        <f>IF($M518="","",INDEX(fa_paid,$M518)+INDEX(fa_avoirs,$M518))</f>
        <v/>
      </c>
      <c r="H518" s="75" t="str">
        <f>IF($M518="","",INDEX(fa_reste,$M518))</f>
        <v/>
      </c>
      <c r="I518" s="58" t="str">
        <f>IF($M518="","",MAX(0,p_asof-E518))</f>
        <v/>
      </c>
      <c r="J518" s="78" t="str">
        <f>IF($M518="","",INDEX(fa_tranche,$M518)&amp;"")</f>
        <v/>
      </c>
      <c r="K518" s="56" t="str">
        <f>IF($M518="","",IF(ISNUMBER(INDEX(fa_relance,$M518)),INDEX(fa_relance,$M518),""))</f>
        <v/>
      </c>
      <c r="L518" s="79" t="str">
        <f>IF($M518="","",IF(AND(ISNUMBER(K518),(p_asof-E518)&gt;0,(p_asof-N(K518))&gt;=0,(p_asof-N(K518))&lt;7),"Déjà relancée il y a "&amp;(p_asof-N(K518))&amp;" j",IF((p_asof-E518)&lt;=0,IF((p_asof-E518)&gt;-8,"Rappel courtois avant l'échéance","Aucune action"),IF((p_asof-E518)&lt;=15,"Relance 1 : e-mail de rappel",IF((p_asof-E518)&lt;=30,"Relance 2 : appel téléphonique",IF((p_asof-E518)&lt;=60,"Relance 3 : lettre de relance",IF((p_asof-E518)&lt;=90,"Mise en demeure (recommandé)","Contentieux : injonction de payer")))))))</f>
        <v/>
      </c>
      <c r="M518" t="str">
        <f>IFERROR(MATCH(487,fa_rank,0),"")</f>
        <v/>
      </c>
    </row>
    <row r="519">
      <c r="B519" s="78" t="str">
        <f>IF($M519="","",INDEX(fa_num,$M519)&amp;"")</f>
        <v/>
      </c>
      <c r="C519" s="79" t="str">
        <f>IF($M519="","",INDEX(fa_cname,$M519)&amp;"")</f>
        <v/>
      </c>
      <c r="D519" s="56" t="str">
        <f>IF($M519="","",INDEX(fa_date,$M519))</f>
        <v/>
      </c>
      <c r="E519" s="56" t="str">
        <f>IF($M519="","",INDEX(fa_due,$M519))</f>
        <v/>
      </c>
      <c r="F519" s="75" t="str">
        <f>IF($M519="","",INDEX(fa_ttc,$M519))</f>
        <v/>
      </c>
      <c r="G519" s="75" t="str">
        <f>IF($M519="","",INDEX(fa_paid,$M519)+INDEX(fa_avoirs,$M519))</f>
        <v/>
      </c>
      <c r="H519" s="75" t="str">
        <f>IF($M519="","",INDEX(fa_reste,$M519))</f>
        <v/>
      </c>
      <c r="I519" s="58" t="str">
        <f>IF($M519="","",MAX(0,p_asof-E519))</f>
        <v/>
      </c>
      <c r="J519" s="78" t="str">
        <f>IF($M519="","",INDEX(fa_tranche,$M519)&amp;"")</f>
        <v/>
      </c>
      <c r="K519" s="56" t="str">
        <f>IF($M519="","",IF(ISNUMBER(INDEX(fa_relance,$M519)),INDEX(fa_relance,$M519),""))</f>
        <v/>
      </c>
      <c r="L519" s="79" t="str">
        <f>IF($M519="","",IF(AND(ISNUMBER(K519),(p_asof-E519)&gt;0,(p_asof-N(K519))&gt;=0,(p_asof-N(K519))&lt;7),"Déjà relancée il y a "&amp;(p_asof-N(K519))&amp;" j",IF((p_asof-E519)&lt;=0,IF((p_asof-E519)&gt;-8,"Rappel courtois avant l'échéance","Aucune action"),IF((p_asof-E519)&lt;=15,"Relance 1 : e-mail de rappel",IF((p_asof-E519)&lt;=30,"Relance 2 : appel téléphonique",IF((p_asof-E519)&lt;=60,"Relance 3 : lettre de relance",IF((p_asof-E519)&lt;=90,"Mise en demeure (recommandé)","Contentieux : injonction de payer")))))))</f>
        <v/>
      </c>
      <c r="M519" t="str">
        <f>IFERROR(MATCH(488,fa_rank,0),"")</f>
        <v/>
      </c>
    </row>
    <row r="520">
      <c r="B520" s="78" t="str">
        <f>IF($M520="","",INDEX(fa_num,$M520)&amp;"")</f>
        <v/>
      </c>
      <c r="C520" s="79" t="str">
        <f>IF($M520="","",INDEX(fa_cname,$M520)&amp;"")</f>
        <v/>
      </c>
      <c r="D520" s="56" t="str">
        <f>IF($M520="","",INDEX(fa_date,$M520))</f>
        <v/>
      </c>
      <c r="E520" s="56" t="str">
        <f>IF($M520="","",INDEX(fa_due,$M520))</f>
        <v/>
      </c>
      <c r="F520" s="75" t="str">
        <f>IF($M520="","",INDEX(fa_ttc,$M520))</f>
        <v/>
      </c>
      <c r="G520" s="75" t="str">
        <f>IF($M520="","",INDEX(fa_paid,$M520)+INDEX(fa_avoirs,$M520))</f>
        <v/>
      </c>
      <c r="H520" s="75" t="str">
        <f>IF($M520="","",INDEX(fa_reste,$M520))</f>
        <v/>
      </c>
      <c r="I520" s="58" t="str">
        <f>IF($M520="","",MAX(0,p_asof-E520))</f>
        <v/>
      </c>
      <c r="J520" s="78" t="str">
        <f>IF($M520="","",INDEX(fa_tranche,$M520)&amp;"")</f>
        <v/>
      </c>
      <c r="K520" s="56" t="str">
        <f>IF($M520="","",IF(ISNUMBER(INDEX(fa_relance,$M520)),INDEX(fa_relance,$M520),""))</f>
        <v/>
      </c>
      <c r="L520" s="79" t="str">
        <f>IF($M520="","",IF(AND(ISNUMBER(K520),(p_asof-E520)&gt;0,(p_asof-N(K520))&gt;=0,(p_asof-N(K520))&lt;7),"Déjà relancée il y a "&amp;(p_asof-N(K520))&amp;" j",IF((p_asof-E520)&lt;=0,IF((p_asof-E520)&gt;-8,"Rappel courtois avant l'échéance","Aucune action"),IF((p_asof-E520)&lt;=15,"Relance 1 : e-mail de rappel",IF((p_asof-E520)&lt;=30,"Relance 2 : appel téléphonique",IF((p_asof-E520)&lt;=60,"Relance 3 : lettre de relance",IF((p_asof-E520)&lt;=90,"Mise en demeure (recommandé)","Contentieux : injonction de payer")))))))</f>
        <v/>
      </c>
      <c r="M520" t="str">
        <f>IFERROR(MATCH(489,fa_rank,0),"")</f>
        <v/>
      </c>
    </row>
    <row r="521">
      <c r="B521" s="78" t="str">
        <f>IF($M521="","",INDEX(fa_num,$M521)&amp;"")</f>
        <v/>
      </c>
      <c r="C521" s="79" t="str">
        <f>IF($M521="","",INDEX(fa_cname,$M521)&amp;"")</f>
        <v/>
      </c>
      <c r="D521" s="56" t="str">
        <f>IF($M521="","",INDEX(fa_date,$M521))</f>
        <v/>
      </c>
      <c r="E521" s="56" t="str">
        <f>IF($M521="","",INDEX(fa_due,$M521))</f>
        <v/>
      </c>
      <c r="F521" s="75" t="str">
        <f>IF($M521="","",INDEX(fa_ttc,$M521))</f>
        <v/>
      </c>
      <c r="G521" s="75" t="str">
        <f>IF($M521="","",INDEX(fa_paid,$M521)+INDEX(fa_avoirs,$M521))</f>
        <v/>
      </c>
      <c r="H521" s="75" t="str">
        <f>IF($M521="","",INDEX(fa_reste,$M521))</f>
        <v/>
      </c>
      <c r="I521" s="58" t="str">
        <f>IF($M521="","",MAX(0,p_asof-E521))</f>
        <v/>
      </c>
      <c r="J521" s="78" t="str">
        <f>IF($M521="","",INDEX(fa_tranche,$M521)&amp;"")</f>
        <v/>
      </c>
      <c r="K521" s="56" t="str">
        <f>IF($M521="","",IF(ISNUMBER(INDEX(fa_relance,$M521)),INDEX(fa_relance,$M521),""))</f>
        <v/>
      </c>
      <c r="L521" s="79" t="str">
        <f>IF($M521="","",IF(AND(ISNUMBER(K521),(p_asof-E521)&gt;0,(p_asof-N(K521))&gt;=0,(p_asof-N(K521))&lt;7),"Déjà relancée il y a "&amp;(p_asof-N(K521))&amp;" j",IF((p_asof-E521)&lt;=0,IF((p_asof-E521)&gt;-8,"Rappel courtois avant l'échéance","Aucune action"),IF((p_asof-E521)&lt;=15,"Relance 1 : e-mail de rappel",IF((p_asof-E521)&lt;=30,"Relance 2 : appel téléphonique",IF((p_asof-E521)&lt;=60,"Relance 3 : lettre de relance",IF((p_asof-E521)&lt;=90,"Mise en demeure (recommandé)","Contentieux : injonction de payer")))))))</f>
        <v/>
      </c>
      <c r="M521" t="str">
        <f>IFERROR(MATCH(490,fa_rank,0),"")</f>
        <v/>
      </c>
    </row>
    <row r="522">
      <c r="B522" s="78" t="str">
        <f>IF($M522="","",INDEX(fa_num,$M522)&amp;"")</f>
        <v/>
      </c>
      <c r="C522" s="79" t="str">
        <f>IF($M522="","",INDEX(fa_cname,$M522)&amp;"")</f>
        <v/>
      </c>
      <c r="D522" s="56" t="str">
        <f>IF($M522="","",INDEX(fa_date,$M522))</f>
        <v/>
      </c>
      <c r="E522" s="56" t="str">
        <f>IF($M522="","",INDEX(fa_due,$M522))</f>
        <v/>
      </c>
      <c r="F522" s="75" t="str">
        <f>IF($M522="","",INDEX(fa_ttc,$M522))</f>
        <v/>
      </c>
      <c r="G522" s="75" t="str">
        <f>IF($M522="","",INDEX(fa_paid,$M522)+INDEX(fa_avoirs,$M522))</f>
        <v/>
      </c>
      <c r="H522" s="75" t="str">
        <f>IF($M522="","",INDEX(fa_reste,$M522))</f>
        <v/>
      </c>
      <c r="I522" s="58" t="str">
        <f>IF($M522="","",MAX(0,p_asof-E522))</f>
        <v/>
      </c>
      <c r="J522" s="78" t="str">
        <f>IF($M522="","",INDEX(fa_tranche,$M522)&amp;"")</f>
        <v/>
      </c>
      <c r="K522" s="56" t="str">
        <f>IF($M522="","",IF(ISNUMBER(INDEX(fa_relance,$M522)),INDEX(fa_relance,$M522),""))</f>
        <v/>
      </c>
      <c r="L522" s="79" t="str">
        <f>IF($M522="","",IF(AND(ISNUMBER(K522),(p_asof-E522)&gt;0,(p_asof-N(K522))&gt;=0,(p_asof-N(K522))&lt;7),"Déjà relancée il y a "&amp;(p_asof-N(K522))&amp;" j",IF((p_asof-E522)&lt;=0,IF((p_asof-E522)&gt;-8,"Rappel courtois avant l'échéance","Aucune action"),IF((p_asof-E522)&lt;=15,"Relance 1 : e-mail de rappel",IF((p_asof-E522)&lt;=30,"Relance 2 : appel téléphonique",IF((p_asof-E522)&lt;=60,"Relance 3 : lettre de relance",IF((p_asof-E522)&lt;=90,"Mise en demeure (recommandé)","Contentieux : injonction de payer")))))))</f>
        <v/>
      </c>
      <c r="M522" t="str">
        <f>IFERROR(MATCH(491,fa_rank,0),"")</f>
        <v/>
      </c>
    </row>
    <row r="523">
      <c r="B523" s="78" t="str">
        <f>IF($M523="","",INDEX(fa_num,$M523)&amp;"")</f>
        <v/>
      </c>
      <c r="C523" s="79" t="str">
        <f>IF($M523="","",INDEX(fa_cname,$M523)&amp;"")</f>
        <v/>
      </c>
      <c r="D523" s="56" t="str">
        <f>IF($M523="","",INDEX(fa_date,$M523))</f>
        <v/>
      </c>
      <c r="E523" s="56" t="str">
        <f>IF($M523="","",INDEX(fa_due,$M523))</f>
        <v/>
      </c>
      <c r="F523" s="75" t="str">
        <f>IF($M523="","",INDEX(fa_ttc,$M523))</f>
        <v/>
      </c>
      <c r="G523" s="75" t="str">
        <f>IF($M523="","",INDEX(fa_paid,$M523)+INDEX(fa_avoirs,$M523))</f>
        <v/>
      </c>
      <c r="H523" s="75" t="str">
        <f>IF($M523="","",INDEX(fa_reste,$M523))</f>
        <v/>
      </c>
      <c r="I523" s="58" t="str">
        <f>IF($M523="","",MAX(0,p_asof-E523))</f>
        <v/>
      </c>
      <c r="J523" s="78" t="str">
        <f>IF($M523="","",INDEX(fa_tranche,$M523)&amp;"")</f>
        <v/>
      </c>
      <c r="K523" s="56" t="str">
        <f>IF($M523="","",IF(ISNUMBER(INDEX(fa_relance,$M523)),INDEX(fa_relance,$M523),""))</f>
        <v/>
      </c>
      <c r="L523" s="79" t="str">
        <f>IF($M523="","",IF(AND(ISNUMBER(K523),(p_asof-E523)&gt;0,(p_asof-N(K523))&gt;=0,(p_asof-N(K523))&lt;7),"Déjà relancée il y a "&amp;(p_asof-N(K523))&amp;" j",IF((p_asof-E523)&lt;=0,IF((p_asof-E523)&gt;-8,"Rappel courtois avant l'échéance","Aucune action"),IF((p_asof-E523)&lt;=15,"Relance 1 : e-mail de rappel",IF((p_asof-E523)&lt;=30,"Relance 2 : appel téléphonique",IF((p_asof-E523)&lt;=60,"Relance 3 : lettre de relance",IF((p_asof-E523)&lt;=90,"Mise en demeure (recommandé)","Contentieux : injonction de payer")))))))</f>
        <v/>
      </c>
      <c r="M523" t="str">
        <f>IFERROR(MATCH(492,fa_rank,0),"")</f>
        <v/>
      </c>
    </row>
    <row r="524">
      <c r="B524" s="78" t="str">
        <f>IF($M524="","",INDEX(fa_num,$M524)&amp;"")</f>
        <v/>
      </c>
      <c r="C524" s="79" t="str">
        <f>IF($M524="","",INDEX(fa_cname,$M524)&amp;"")</f>
        <v/>
      </c>
      <c r="D524" s="56" t="str">
        <f>IF($M524="","",INDEX(fa_date,$M524))</f>
        <v/>
      </c>
      <c r="E524" s="56" t="str">
        <f>IF($M524="","",INDEX(fa_due,$M524))</f>
        <v/>
      </c>
      <c r="F524" s="75" t="str">
        <f>IF($M524="","",INDEX(fa_ttc,$M524))</f>
        <v/>
      </c>
      <c r="G524" s="75" t="str">
        <f>IF($M524="","",INDEX(fa_paid,$M524)+INDEX(fa_avoirs,$M524))</f>
        <v/>
      </c>
      <c r="H524" s="75" t="str">
        <f>IF($M524="","",INDEX(fa_reste,$M524))</f>
        <v/>
      </c>
      <c r="I524" s="58" t="str">
        <f>IF($M524="","",MAX(0,p_asof-E524))</f>
        <v/>
      </c>
      <c r="J524" s="78" t="str">
        <f>IF($M524="","",INDEX(fa_tranche,$M524)&amp;"")</f>
        <v/>
      </c>
      <c r="K524" s="56" t="str">
        <f>IF($M524="","",IF(ISNUMBER(INDEX(fa_relance,$M524)),INDEX(fa_relance,$M524),""))</f>
        <v/>
      </c>
      <c r="L524" s="79" t="str">
        <f>IF($M524="","",IF(AND(ISNUMBER(K524),(p_asof-E524)&gt;0,(p_asof-N(K524))&gt;=0,(p_asof-N(K524))&lt;7),"Déjà relancée il y a "&amp;(p_asof-N(K524))&amp;" j",IF((p_asof-E524)&lt;=0,IF((p_asof-E524)&gt;-8,"Rappel courtois avant l'échéance","Aucune action"),IF((p_asof-E524)&lt;=15,"Relance 1 : e-mail de rappel",IF((p_asof-E524)&lt;=30,"Relance 2 : appel téléphonique",IF((p_asof-E524)&lt;=60,"Relance 3 : lettre de relance",IF((p_asof-E524)&lt;=90,"Mise en demeure (recommandé)","Contentieux : injonction de payer")))))))</f>
        <v/>
      </c>
      <c r="M524" t="str">
        <f>IFERROR(MATCH(493,fa_rank,0),"")</f>
        <v/>
      </c>
    </row>
    <row r="525">
      <c r="B525" s="78" t="str">
        <f>IF($M525="","",INDEX(fa_num,$M525)&amp;"")</f>
        <v/>
      </c>
      <c r="C525" s="79" t="str">
        <f>IF($M525="","",INDEX(fa_cname,$M525)&amp;"")</f>
        <v/>
      </c>
      <c r="D525" s="56" t="str">
        <f>IF($M525="","",INDEX(fa_date,$M525))</f>
        <v/>
      </c>
      <c r="E525" s="56" t="str">
        <f>IF($M525="","",INDEX(fa_due,$M525))</f>
        <v/>
      </c>
      <c r="F525" s="75" t="str">
        <f>IF($M525="","",INDEX(fa_ttc,$M525))</f>
        <v/>
      </c>
      <c r="G525" s="75" t="str">
        <f>IF($M525="","",INDEX(fa_paid,$M525)+INDEX(fa_avoirs,$M525))</f>
        <v/>
      </c>
      <c r="H525" s="75" t="str">
        <f>IF($M525="","",INDEX(fa_reste,$M525))</f>
        <v/>
      </c>
      <c r="I525" s="58" t="str">
        <f>IF($M525="","",MAX(0,p_asof-E525))</f>
        <v/>
      </c>
      <c r="J525" s="78" t="str">
        <f>IF($M525="","",INDEX(fa_tranche,$M525)&amp;"")</f>
        <v/>
      </c>
      <c r="K525" s="56" t="str">
        <f>IF($M525="","",IF(ISNUMBER(INDEX(fa_relance,$M525)),INDEX(fa_relance,$M525),""))</f>
        <v/>
      </c>
      <c r="L525" s="79" t="str">
        <f>IF($M525="","",IF(AND(ISNUMBER(K525),(p_asof-E525)&gt;0,(p_asof-N(K525))&gt;=0,(p_asof-N(K525))&lt;7),"Déjà relancée il y a "&amp;(p_asof-N(K525))&amp;" j",IF((p_asof-E525)&lt;=0,IF((p_asof-E525)&gt;-8,"Rappel courtois avant l'échéance","Aucune action"),IF((p_asof-E525)&lt;=15,"Relance 1 : e-mail de rappel",IF((p_asof-E525)&lt;=30,"Relance 2 : appel téléphonique",IF((p_asof-E525)&lt;=60,"Relance 3 : lettre de relance",IF((p_asof-E525)&lt;=90,"Mise en demeure (recommandé)","Contentieux : injonction de payer")))))))</f>
        <v/>
      </c>
      <c r="M525" t="str">
        <f>IFERROR(MATCH(494,fa_rank,0),"")</f>
        <v/>
      </c>
    </row>
    <row r="526">
      <c r="B526" s="78" t="str">
        <f>IF($M526="","",INDEX(fa_num,$M526)&amp;"")</f>
        <v/>
      </c>
      <c r="C526" s="79" t="str">
        <f>IF($M526="","",INDEX(fa_cname,$M526)&amp;"")</f>
        <v/>
      </c>
      <c r="D526" s="56" t="str">
        <f>IF($M526="","",INDEX(fa_date,$M526))</f>
        <v/>
      </c>
      <c r="E526" s="56" t="str">
        <f>IF($M526="","",INDEX(fa_due,$M526))</f>
        <v/>
      </c>
      <c r="F526" s="75" t="str">
        <f>IF($M526="","",INDEX(fa_ttc,$M526))</f>
        <v/>
      </c>
      <c r="G526" s="75" t="str">
        <f>IF($M526="","",INDEX(fa_paid,$M526)+INDEX(fa_avoirs,$M526))</f>
        <v/>
      </c>
      <c r="H526" s="75" t="str">
        <f>IF($M526="","",INDEX(fa_reste,$M526))</f>
        <v/>
      </c>
      <c r="I526" s="58" t="str">
        <f>IF($M526="","",MAX(0,p_asof-E526))</f>
        <v/>
      </c>
      <c r="J526" s="78" t="str">
        <f>IF($M526="","",INDEX(fa_tranche,$M526)&amp;"")</f>
        <v/>
      </c>
      <c r="K526" s="56" t="str">
        <f>IF($M526="","",IF(ISNUMBER(INDEX(fa_relance,$M526)),INDEX(fa_relance,$M526),""))</f>
        <v/>
      </c>
      <c r="L526" s="79" t="str">
        <f>IF($M526="","",IF(AND(ISNUMBER(K526),(p_asof-E526)&gt;0,(p_asof-N(K526))&gt;=0,(p_asof-N(K526))&lt;7),"Déjà relancée il y a "&amp;(p_asof-N(K526))&amp;" j",IF((p_asof-E526)&lt;=0,IF((p_asof-E526)&gt;-8,"Rappel courtois avant l'échéance","Aucune action"),IF((p_asof-E526)&lt;=15,"Relance 1 : e-mail de rappel",IF((p_asof-E526)&lt;=30,"Relance 2 : appel téléphonique",IF((p_asof-E526)&lt;=60,"Relance 3 : lettre de relance",IF((p_asof-E526)&lt;=90,"Mise en demeure (recommandé)","Contentieux : injonction de payer")))))))</f>
        <v/>
      </c>
      <c r="M526" t="str">
        <f>IFERROR(MATCH(495,fa_rank,0),"")</f>
        <v/>
      </c>
    </row>
    <row r="527">
      <c r="B527" s="78" t="str">
        <f>IF($M527="","",INDEX(fa_num,$M527)&amp;"")</f>
        <v/>
      </c>
      <c r="C527" s="79" t="str">
        <f>IF($M527="","",INDEX(fa_cname,$M527)&amp;"")</f>
        <v/>
      </c>
      <c r="D527" s="56" t="str">
        <f>IF($M527="","",INDEX(fa_date,$M527))</f>
        <v/>
      </c>
      <c r="E527" s="56" t="str">
        <f>IF($M527="","",INDEX(fa_due,$M527))</f>
        <v/>
      </c>
      <c r="F527" s="75" t="str">
        <f>IF($M527="","",INDEX(fa_ttc,$M527))</f>
        <v/>
      </c>
      <c r="G527" s="75" t="str">
        <f>IF($M527="","",INDEX(fa_paid,$M527)+INDEX(fa_avoirs,$M527))</f>
        <v/>
      </c>
      <c r="H527" s="75" t="str">
        <f>IF($M527="","",INDEX(fa_reste,$M527))</f>
        <v/>
      </c>
      <c r="I527" s="58" t="str">
        <f>IF($M527="","",MAX(0,p_asof-E527))</f>
        <v/>
      </c>
      <c r="J527" s="78" t="str">
        <f>IF($M527="","",INDEX(fa_tranche,$M527)&amp;"")</f>
        <v/>
      </c>
      <c r="K527" s="56" t="str">
        <f>IF($M527="","",IF(ISNUMBER(INDEX(fa_relance,$M527)),INDEX(fa_relance,$M527),""))</f>
        <v/>
      </c>
      <c r="L527" s="79" t="str">
        <f>IF($M527="","",IF(AND(ISNUMBER(K527),(p_asof-E527)&gt;0,(p_asof-N(K527))&gt;=0,(p_asof-N(K527))&lt;7),"Déjà relancée il y a "&amp;(p_asof-N(K527))&amp;" j",IF((p_asof-E527)&lt;=0,IF((p_asof-E527)&gt;-8,"Rappel courtois avant l'échéance","Aucune action"),IF((p_asof-E527)&lt;=15,"Relance 1 : e-mail de rappel",IF((p_asof-E527)&lt;=30,"Relance 2 : appel téléphonique",IF((p_asof-E527)&lt;=60,"Relance 3 : lettre de relance",IF((p_asof-E527)&lt;=90,"Mise en demeure (recommandé)","Contentieux : injonction de payer")))))))</f>
        <v/>
      </c>
      <c r="M527" t="str">
        <f>IFERROR(MATCH(496,fa_rank,0),"")</f>
        <v/>
      </c>
    </row>
    <row r="528">
      <c r="B528" s="78" t="str">
        <f>IF($M528="","",INDEX(fa_num,$M528)&amp;"")</f>
        <v/>
      </c>
      <c r="C528" s="79" t="str">
        <f>IF($M528="","",INDEX(fa_cname,$M528)&amp;"")</f>
        <v/>
      </c>
      <c r="D528" s="56" t="str">
        <f>IF($M528="","",INDEX(fa_date,$M528))</f>
        <v/>
      </c>
      <c r="E528" s="56" t="str">
        <f>IF($M528="","",INDEX(fa_due,$M528))</f>
        <v/>
      </c>
      <c r="F528" s="75" t="str">
        <f>IF($M528="","",INDEX(fa_ttc,$M528))</f>
        <v/>
      </c>
      <c r="G528" s="75" t="str">
        <f>IF($M528="","",INDEX(fa_paid,$M528)+INDEX(fa_avoirs,$M528))</f>
        <v/>
      </c>
      <c r="H528" s="75" t="str">
        <f>IF($M528="","",INDEX(fa_reste,$M528))</f>
        <v/>
      </c>
      <c r="I528" s="58" t="str">
        <f>IF($M528="","",MAX(0,p_asof-E528))</f>
        <v/>
      </c>
      <c r="J528" s="78" t="str">
        <f>IF($M528="","",INDEX(fa_tranche,$M528)&amp;"")</f>
        <v/>
      </c>
      <c r="K528" s="56" t="str">
        <f>IF($M528="","",IF(ISNUMBER(INDEX(fa_relance,$M528)),INDEX(fa_relance,$M528),""))</f>
        <v/>
      </c>
      <c r="L528" s="79" t="str">
        <f>IF($M528="","",IF(AND(ISNUMBER(K528),(p_asof-E528)&gt;0,(p_asof-N(K528))&gt;=0,(p_asof-N(K528))&lt;7),"Déjà relancée il y a "&amp;(p_asof-N(K528))&amp;" j",IF((p_asof-E528)&lt;=0,IF((p_asof-E528)&gt;-8,"Rappel courtois avant l'échéance","Aucune action"),IF((p_asof-E528)&lt;=15,"Relance 1 : e-mail de rappel",IF((p_asof-E528)&lt;=30,"Relance 2 : appel téléphonique",IF((p_asof-E528)&lt;=60,"Relance 3 : lettre de relance",IF((p_asof-E528)&lt;=90,"Mise en demeure (recommandé)","Contentieux : injonction de payer")))))))</f>
        <v/>
      </c>
      <c r="M528" t="str">
        <f>IFERROR(MATCH(497,fa_rank,0),"")</f>
        <v/>
      </c>
    </row>
    <row r="529">
      <c r="B529" s="78" t="str">
        <f>IF($M529="","",INDEX(fa_num,$M529)&amp;"")</f>
        <v/>
      </c>
      <c r="C529" s="79" t="str">
        <f>IF($M529="","",INDEX(fa_cname,$M529)&amp;"")</f>
        <v/>
      </c>
      <c r="D529" s="56" t="str">
        <f>IF($M529="","",INDEX(fa_date,$M529))</f>
        <v/>
      </c>
      <c r="E529" s="56" t="str">
        <f>IF($M529="","",INDEX(fa_due,$M529))</f>
        <v/>
      </c>
      <c r="F529" s="75" t="str">
        <f>IF($M529="","",INDEX(fa_ttc,$M529))</f>
        <v/>
      </c>
      <c r="G529" s="75" t="str">
        <f>IF($M529="","",INDEX(fa_paid,$M529)+INDEX(fa_avoirs,$M529))</f>
        <v/>
      </c>
      <c r="H529" s="75" t="str">
        <f>IF($M529="","",INDEX(fa_reste,$M529))</f>
        <v/>
      </c>
      <c r="I529" s="58" t="str">
        <f>IF($M529="","",MAX(0,p_asof-E529))</f>
        <v/>
      </c>
      <c r="J529" s="78" t="str">
        <f>IF($M529="","",INDEX(fa_tranche,$M529)&amp;"")</f>
        <v/>
      </c>
      <c r="K529" s="56" t="str">
        <f>IF($M529="","",IF(ISNUMBER(INDEX(fa_relance,$M529)),INDEX(fa_relance,$M529),""))</f>
        <v/>
      </c>
      <c r="L529" s="79" t="str">
        <f>IF($M529="","",IF(AND(ISNUMBER(K529),(p_asof-E529)&gt;0,(p_asof-N(K529))&gt;=0,(p_asof-N(K529))&lt;7),"Déjà relancée il y a "&amp;(p_asof-N(K529))&amp;" j",IF((p_asof-E529)&lt;=0,IF((p_asof-E529)&gt;-8,"Rappel courtois avant l'échéance","Aucune action"),IF((p_asof-E529)&lt;=15,"Relance 1 : e-mail de rappel",IF((p_asof-E529)&lt;=30,"Relance 2 : appel téléphonique",IF((p_asof-E529)&lt;=60,"Relance 3 : lettre de relance",IF((p_asof-E529)&lt;=90,"Mise en demeure (recommandé)","Contentieux : injonction de payer")))))))</f>
        <v/>
      </c>
      <c r="M529" t="str">
        <f>IFERROR(MATCH(498,fa_rank,0),"")</f>
        <v/>
      </c>
    </row>
    <row r="530">
      <c r="B530" s="78" t="str">
        <f>IF($M530="","",INDEX(fa_num,$M530)&amp;"")</f>
        <v/>
      </c>
      <c r="C530" s="79" t="str">
        <f>IF($M530="","",INDEX(fa_cname,$M530)&amp;"")</f>
        <v/>
      </c>
      <c r="D530" s="56" t="str">
        <f>IF($M530="","",INDEX(fa_date,$M530))</f>
        <v/>
      </c>
      <c r="E530" s="56" t="str">
        <f>IF($M530="","",INDEX(fa_due,$M530))</f>
        <v/>
      </c>
      <c r="F530" s="75" t="str">
        <f>IF($M530="","",INDEX(fa_ttc,$M530))</f>
        <v/>
      </c>
      <c r="G530" s="75" t="str">
        <f>IF($M530="","",INDEX(fa_paid,$M530)+INDEX(fa_avoirs,$M530))</f>
        <v/>
      </c>
      <c r="H530" s="75" t="str">
        <f>IF($M530="","",INDEX(fa_reste,$M530))</f>
        <v/>
      </c>
      <c r="I530" s="58" t="str">
        <f>IF($M530="","",MAX(0,p_asof-E530))</f>
        <v/>
      </c>
      <c r="J530" s="78" t="str">
        <f>IF($M530="","",INDEX(fa_tranche,$M530)&amp;"")</f>
        <v/>
      </c>
      <c r="K530" s="56" t="str">
        <f>IF($M530="","",IF(ISNUMBER(INDEX(fa_relance,$M530)),INDEX(fa_relance,$M530),""))</f>
        <v/>
      </c>
      <c r="L530" s="79" t="str">
        <f>IF($M530="","",IF(AND(ISNUMBER(K530),(p_asof-E530)&gt;0,(p_asof-N(K530))&gt;=0,(p_asof-N(K530))&lt;7),"Déjà relancée il y a "&amp;(p_asof-N(K530))&amp;" j",IF((p_asof-E530)&lt;=0,IF((p_asof-E530)&gt;-8,"Rappel courtois avant l'échéance","Aucune action"),IF((p_asof-E530)&lt;=15,"Relance 1 : e-mail de rappel",IF((p_asof-E530)&lt;=30,"Relance 2 : appel téléphonique",IF((p_asof-E530)&lt;=60,"Relance 3 : lettre de relance",IF((p_asof-E530)&lt;=90,"Mise en demeure (recommandé)","Contentieux : injonction de payer")))))))</f>
        <v/>
      </c>
      <c r="M530" t="str">
        <f>IFERROR(MATCH(499,fa_rank,0),"")</f>
        <v/>
      </c>
    </row>
    <row r="531">
      <c r="B531" s="78" t="str">
        <f>IF($M531="","",INDEX(fa_num,$M531)&amp;"")</f>
        <v/>
      </c>
      <c r="C531" s="79" t="str">
        <f>IF($M531="","",INDEX(fa_cname,$M531)&amp;"")</f>
        <v/>
      </c>
      <c r="D531" s="56" t="str">
        <f>IF($M531="","",INDEX(fa_date,$M531))</f>
        <v/>
      </c>
      <c r="E531" s="56" t="str">
        <f>IF($M531="","",INDEX(fa_due,$M531))</f>
        <v/>
      </c>
      <c r="F531" s="75" t="str">
        <f>IF($M531="","",INDEX(fa_ttc,$M531))</f>
        <v/>
      </c>
      <c r="G531" s="75" t="str">
        <f>IF($M531="","",INDEX(fa_paid,$M531)+INDEX(fa_avoirs,$M531))</f>
        <v/>
      </c>
      <c r="H531" s="75" t="str">
        <f>IF($M531="","",INDEX(fa_reste,$M531))</f>
        <v/>
      </c>
      <c r="I531" s="58" t="str">
        <f>IF($M531="","",MAX(0,p_asof-E531))</f>
        <v/>
      </c>
      <c r="J531" s="78" t="str">
        <f>IF($M531="","",INDEX(fa_tranche,$M531)&amp;"")</f>
        <v/>
      </c>
      <c r="K531" s="56" t="str">
        <f>IF($M531="","",IF(ISNUMBER(INDEX(fa_relance,$M531)),INDEX(fa_relance,$M531),""))</f>
        <v/>
      </c>
      <c r="L531" s="79" t="str">
        <f>IF($M531="","",IF(AND(ISNUMBER(K531),(p_asof-E531)&gt;0,(p_asof-N(K531))&gt;=0,(p_asof-N(K531))&lt;7),"Déjà relancée il y a "&amp;(p_asof-N(K531))&amp;" j",IF((p_asof-E531)&lt;=0,IF((p_asof-E531)&gt;-8,"Rappel courtois avant l'échéance","Aucune action"),IF((p_asof-E531)&lt;=15,"Relance 1 : e-mail de rappel",IF((p_asof-E531)&lt;=30,"Relance 2 : appel téléphonique",IF((p_asof-E531)&lt;=60,"Relance 3 : lettre de relance",IF((p_asof-E531)&lt;=90,"Mise en demeure (recommandé)","Contentieux : injonction de payer")))))))</f>
        <v/>
      </c>
      <c r="M531" t="str">
        <f>IFERROR(MATCH(500,fa_rank,0),"")</f>
        <v/>
      </c>
    </row>
    <row r="532">
      <c r="B532" s="78" t="str">
        <f>IF($M532="","",INDEX(fa_num,$M532)&amp;"")</f>
        <v/>
      </c>
      <c r="C532" s="79" t="str">
        <f>IF($M532="","",INDEX(fa_cname,$M532)&amp;"")</f>
        <v/>
      </c>
      <c r="D532" s="56" t="str">
        <f>IF($M532="","",INDEX(fa_date,$M532))</f>
        <v/>
      </c>
      <c r="E532" s="56" t="str">
        <f>IF($M532="","",INDEX(fa_due,$M532))</f>
        <v/>
      </c>
      <c r="F532" s="75" t="str">
        <f>IF($M532="","",INDEX(fa_ttc,$M532))</f>
        <v/>
      </c>
      <c r="G532" s="75" t="str">
        <f>IF($M532="","",INDEX(fa_paid,$M532)+INDEX(fa_avoirs,$M532))</f>
        <v/>
      </c>
      <c r="H532" s="75" t="str">
        <f>IF($M532="","",INDEX(fa_reste,$M532))</f>
        <v/>
      </c>
      <c r="I532" s="58" t="str">
        <f>IF($M532="","",MAX(0,p_asof-E532))</f>
        <v/>
      </c>
      <c r="J532" s="78" t="str">
        <f>IF($M532="","",INDEX(fa_tranche,$M532)&amp;"")</f>
        <v/>
      </c>
      <c r="K532" s="56" t="str">
        <f>IF($M532="","",IF(ISNUMBER(INDEX(fa_relance,$M532)),INDEX(fa_relance,$M532),""))</f>
        <v/>
      </c>
      <c r="L532" s="79" t="str">
        <f>IF($M532="","",IF(AND(ISNUMBER(K532),(p_asof-E532)&gt;0,(p_asof-N(K532))&gt;=0,(p_asof-N(K532))&lt;7),"Déjà relancée il y a "&amp;(p_asof-N(K532))&amp;" j",IF((p_asof-E532)&lt;=0,IF((p_asof-E532)&gt;-8,"Rappel courtois avant l'échéance","Aucune action"),IF((p_asof-E532)&lt;=15,"Relance 1 : e-mail de rappel",IF((p_asof-E532)&lt;=30,"Relance 2 : appel téléphonique",IF((p_asof-E532)&lt;=60,"Relance 3 : lettre de relance",IF((p_asof-E532)&lt;=90,"Mise en demeure (recommandé)","Contentieux : injonction de payer")))))))</f>
        <v/>
      </c>
      <c r="M532" t="str">
        <f>IFERROR(MATCH(501,fa_rank,0),"")</f>
        <v/>
      </c>
    </row>
    <row r="533">
      <c r="B533" s="78" t="str">
        <f>IF($M533="","",INDEX(fa_num,$M533)&amp;"")</f>
        <v/>
      </c>
      <c r="C533" s="79" t="str">
        <f>IF($M533="","",INDEX(fa_cname,$M533)&amp;"")</f>
        <v/>
      </c>
      <c r="D533" s="56" t="str">
        <f>IF($M533="","",INDEX(fa_date,$M533))</f>
        <v/>
      </c>
      <c r="E533" s="56" t="str">
        <f>IF($M533="","",INDEX(fa_due,$M533))</f>
        <v/>
      </c>
      <c r="F533" s="75" t="str">
        <f>IF($M533="","",INDEX(fa_ttc,$M533))</f>
        <v/>
      </c>
      <c r="G533" s="75" t="str">
        <f>IF($M533="","",INDEX(fa_paid,$M533)+INDEX(fa_avoirs,$M533))</f>
        <v/>
      </c>
      <c r="H533" s="75" t="str">
        <f>IF($M533="","",INDEX(fa_reste,$M533))</f>
        <v/>
      </c>
      <c r="I533" s="58" t="str">
        <f>IF($M533="","",MAX(0,p_asof-E533))</f>
        <v/>
      </c>
      <c r="J533" s="78" t="str">
        <f>IF($M533="","",INDEX(fa_tranche,$M533)&amp;"")</f>
        <v/>
      </c>
      <c r="K533" s="56" t="str">
        <f>IF($M533="","",IF(ISNUMBER(INDEX(fa_relance,$M533)),INDEX(fa_relance,$M533),""))</f>
        <v/>
      </c>
      <c r="L533" s="79" t="str">
        <f>IF($M533="","",IF(AND(ISNUMBER(K533),(p_asof-E533)&gt;0,(p_asof-N(K533))&gt;=0,(p_asof-N(K533))&lt;7),"Déjà relancée il y a "&amp;(p_asof-N(K533))&amp;" j",IF((p_asof-E533)&lt;=0,IF((p_asof-E533)&gt;-8,"Rappel courtois avant l'échéance","Aucune action"),IF((p_asof-E533)&lt;=15,"Relance 1 : e-mail de rappel",IF((p_asof-E533)&lt;=30,"Relance 2 : appel téléphonique",IF((p_asof-E533)&lt;=60,"Relance 3 : lettre de relance",IF((p_asof-E533)&lt;=90,"Mise en demeure (recommandé)","Contentieux : injonction de payer")))))))</f>
        <v/>
      </c>
      <c r="M533" t="str">
        <f>IFERROR(MATCH(502,fa_rank,0),"")</f>
        <v/>
      </c>
    </row>
    <row r="534">
      <c r="B534" s="78" t="str">
        <f>IF($M534="","",INDEX(fa_num,$M534)&amp;"")</f>
        <v/>
      </c>
      <c r="C534" s="79" t="str">
        <f>IF($M534="","",INDEX(fa_cname,$M534)&amp;"")</f>
        <v/>
      </c>
      <c r="D534" s="56" t="str">
        <f>IF($M534="","",INDEX(fa_date,$M534))</f>
        <v/>
      </c>
      <c r="E534" s="56" t="str">
        <f>IF($M534="","",INDEX(fa_due,$M534))</f>
        <v/>
      </c>
      <c r="F534" s="75" t="str">
        <f>IF($M534="","",INDEX(fa_ttc,$M534))</f>
        <v/>
      </c>
      <c r="G534" s="75" t="str">
        <f>IF($M534="","",INDEX(fa_paid,$M534)+INDEX(fa_avoirs,$M534))</f>
        <v/>
      </c>
      <c r="H534" s="75" t="str">
        <f>IF($M534="","",INDEX(fa_reste,$M534))</f>
        <v/>
      </c>
      <c r="I534" s="58" t="str">
        <f>IF($M534="","",MAX(0,p_asof-E534))</f>
        <v/>
      </c>
      <c r="J534" s="78" t="str">
        <f>IF($M534="","",INDEX(fa_tranche,$M534)&amp;"")</f>
        <v/>
      </c>
      <c r="K534" s="56" t="str">
        <f>IF($M534="","",IF(ISNUMBER(INDEX(fa_relance,$M534)),INDEX(fa_relance,$M534),""))</f>
        <v/>
      </c>
      <c r="L534" s="79" t="str">
        <f>IF($M534="","",IF(AND(ISNUMBER(K534),(p_asof-E534)&gt;0,(p_asof-N(K534))&gt;=0,(p_asof-N(K534))&lt;7),"Déjà relancée il y a "&amp;(p_asof-N(K534))&amp;" j",IF((p_asof-E534)&lt;=0,IF((p_asof-E534)&gt;-8,"Rappel courtois avant l'échéance","Aucune action"),IF((p_asof-E534)&lt;=15,"Relance 1 : e-mail de rappel",IF((p_asof-E534)&lt;=30,"Relance 2 : appel téléphonique",IF((p_asof-E534)&lt;=60,"Relance 3 : lettre de relance",IF((p_asof-E534)&lt;=90,"Mise en demeure (recommandé)","Contentieux : injonction de payer")))))))</f>
        <v/>
      </c>
      <c r="M534" t="str">
        <f>IFERROR(MATCH(503,fa_rank,0),"")</f>
        <v/>
      </c>
    </row>
    <row r="535">
      <c r="B535" s="78" t="str">
        <f>IF($M535="","",INDEX(fa_num,$M535)&amp;"")</f>
        <v/>
      </c>
      <c r="C535" s="79" t="str">
        <f>IF($M535="","",INDEX(fa_cname,$M535)&amp;"")</f>
        <v/>
      </c>
      <c r="D535" s="56" t="str">
        <f>IF($M535="","",INDEX(fa_date,$M535))</f>
        <v/>
      </c>
      <c r="E535" s="56" t="str">
        <f>IF($M535="","",INDEX(fa_due,$M535))</f>
        <v/>
      </c>
      <c r="F535" s="75" t="str">
        <f>IF($M535="","",INDEX(fa_ttc,$M535))</f>
        <v/>
      </c>
      <c r="G535" s="75" t="str">
        <f>IF($M535="","",INDEX(fa_paid,$M535)+INDEX(fa_avoirs,$M535))</f>
        <v/>
      </c>
      <c r="H535" s="75" t="str">
        <f>IF($M535="","",INDEX(fa_reste,$M535))</f>
        <v/>
      </c>
      <c r="I535" s="58" t="str">
        <f>IF($M535="","",MAX(0,p_asof-E535))</f>
        <v/>
      </c>
      <c r="J535" s="78" t="str">
        <f>IF($M535="","",INDEX(fa_tranche,$M535)&amp;"")</f>
        <v/>
      </c>
      <c r="K535" s="56" t="str">
        <f>IF($M535="","",IF(ISNUMBER(INDEX(fa_relance,$M535)),INDEX(fa_relance,$M535),""))</f>
        <v/>
      </c>
      <c r="L535" s="79" t="str">
        <f>IF($M535="","",IF(AND(ISNUMBER(K535),(p_asof-E535)&gt;0,(p_asof-N(K535))&gt;=0,(p_asof-N(K535))&lt;7),"Déjà relancée il y a "&amp;(p_asof-N(K535))&amp;" j",IF((p_asof-E535)&lt;=0,IF((p_asof-E535)&gt;-8,"Rappel courtois avant l'échéance","Aucune action"),IF((p_asof-E535)&lt;=15,"Relance 1 : e-mail de rappel",IF((p_asof-E535)&lt;=30,"Relance 2 : appel téléphonique",IF((p_asof-E535)&lt;=60,"Relance 3 : lettre de relance",IF((p_asof-E535)&lt;=90,"Mise en demeure (recommandé)","Contentieux : injonction de payer")))))))</f>
        <v/>
      </c>
      <c r="M535" t="str">
        <f>IFERROR(MATCH(504,fa_rank,0),"")</f>
        <v/>
      </c>
    </row>
    <row r="536">
      <c r="B536" s="78" t="str">
        <f>IF($M536="","",INDEX(fa_num,$M536)&amp;"")</f>
        <v/>
      </c>
      <c r="C536" s="79" t="str">
        <f>IF($M536="","",INDEX(fa_cname,$M536)&amp;"")</f>
        <v/>
      </c>
      <c r="D536" s="56" t="str">
        <f>IF($M536="","",INDEX(fa_date,$M536))</f>
        <v/>
      </c>
      <c r="E536" s="56" t="str">
        <f>IF($M536="","",INDEX(fa_due,$M536))</f>
        <v/>
      </c>
      <c r="F536" s="75" t="str">
        <f>IF($M536="","",INDEX(fa_ttc,$M536))</f>
        <v/>
      </c>
      <c r="G536" s="75" t="str">
        <f>IF($M536="","",INDEX(fa_paid,$M536)+INDEX(fa_avoirs,$M536))</f>
        <v/>
      </c>
      <c r="H536" s="75" t="str">
        <f>IF($M536="","",INDEX(fa_reste,$M536))</f>
        <v/>
      </c>
      <c r="I536" s="58" t="str">
        <f>IF($M536="","",MAX(0,p_asof-E536))</f>
        <v/>
      </c>
      <c r="J536" s="78" t="str">
        <f>IF($M536="","",INDEX(fa_tranche,$M536)&amp;"")</f>
        <v/>
      </c>
      <c r="K536" s="56" t="str">
        <f>IF($M536="","",IF(ISNUMBER(INDEX(fa_relance,$M536)),INDEX(fa_relance,$M536),""))</f>
        <v/>
      </c>
      <c r="L536" s="79" t="str">
        <f>IF($M536="","",IF(AND(ISNUMBER(K536),(p_asof-E536)&gt;0,(p_asof-N(K536))&gt;=0,(p_asof-N(K536))&lt;7),"Déjà relancée il y a "&amp;(p_asof-N(K536))&amp;" j",IF((p_asof-E536)&lt;=0,IF((p_asof-E536)&gt;-8,"Rappel courtois avant l'échéance","Aucune action"),IF((p_asof-E536)&lt;=15,"Relance 1 : e-mail de rappel",IF((p_asof-E536)&lt;=30,"Relance 2 : appel téléphonique",IF((p_asof-E536)&lt;=60,"Relance 3 : lettre de relance",IF((p_asof-E536)&lt;=90,"Mise en demeure (recommandé)","Contentieux : injonction de payer")))))))</f>
        <v/>
      </c>
      <c r="M536" t="str">
        <f>IFERROR(MATCH(505,fa_rank,0),"")</f>
        <v/>
      </c>
    </row>
    <row r="537">
      <c r="B537" s="78" t="str">
        <f>IF($M537="","",INDEX(fa_num,$M537)&amp;"")</f>
        <v/>
      </c>
      <c r="C537" s="79" t="str">
        <f>IF($M537="","",INDEX(fa_cname,$M537)&amp;"")</f>
        <v/>
      </c>
      <c r="D537" s="56" t="str">
        <f>IF($M537="","",INDEX(fa_date,$M537))</f>
        <v/>
      </c>
      <c r="E537" s="56" t="str">
        <f>IF($M537="","",INDEX(fa_due,$M537))</f>
        <v/>
      </c>
      <c r="F537" s="75" t="str">
        <f>IF($M537="","",INDEX(fa_ttc,$M537))</f>
        <v/>
      </c>
      <c r="G537" s="75" t="str">
        <f>IF($M537="","",INDEX(fa_paid,$M537)+INDEX(fa_avoirs,$M537))</f>
        <v/>
      </c>
      <c r="H537" s="75" t="str">
        <f>IF($M537="","",INDEX(fa_reste,$M537))</f>
        <v/>
      </c>
      <c r="I537" s="58" t="str">
        <f>IF($M537="","",MAX(0,p_asof-E537))</f>
        <v/>
      </c>
      <c r="J537" s="78" t="str">
        <f>IF($M537="","",INDEX(fa_tranche,$M537)&amp;"")</f>
        <v/>
      </c>
      <c r="K537" s="56" t="str">
        <f>IF($M537="","",IF(ISNUMBER(INDEX(fa_relance,$M537)),INDEX(fa_relance,$M537),""))</f>
        <v/>
      </c>
      <c r="L537" s="79" t="str">
        <f>IF($M537="","",IF(AND(ISNUMBER(K537),(p_asof-E537)&gt;0,(p_asof-N(K537))&gt;=0,(p_asof-N(K537))&lt;7),"Déjà relancée il y a "&amp;(p_asof-N(K537))&amp;" j",IF((p_asof-E537)&lt;=0,IF((p_asof-E537)&gt;-8,"Rappel courtois avant l'échéance","Aucune action"),IF((p_asof-E537)&lt;=15,"Relance 1 : e-mail de rappel",IF((p_asof-E537)&lt;=30,"Relance 2 : appel téléphonique",IF((p_asof-E537)&lt;=60,"Relance 3 : lettre de relance",IF((p_asof-E537)&lt;=90,"Mise en demeure (recommandé)","Contentieux : injonction de payer")))))))</f>
        <v/>
      </c>
      <c r="M537" t="str">
        <f>IFERROR(MATCH(506,fa_rank,0),"")</f>
        <v/>
      </c>
    </row>
    <row r="538">
      <c r="B538" s="78" t="str">
        <f>IF($M538="","",INDEX(fa_num,$M538)&amp;"")</f>
        <v/>
      </c>
      <c r="C538" s="79" t="str">
        <f>IF($M538="","",INDEX(fa_cname,$M538)&amp;"")</f>
        <v/>
      </c>
      <c r="D538" s="56" t="str">
        <f>IF($M538="","",INDEX(fa_date,$M538))</f>
        <v/>
      </c>
      <c r="E538" s="56" t="str">
        <f>IF($M538="","",INDEX(fa_due,$M538))</f>
        <v/>
      </c>
      <c r="F538" s="75" t="str">
        <f>IF($M538="","",INDEX(fa_ttc,$M538))</f>
        <v/>
      </c>
      <c r="G538" s="75" t="str">
        <f>IF($M538="","",INDEX(fa_paid,$M538)+INDEX(fa_avoirs,$M538))</f>
        <v/>
      </c>
      <c r="H538" s="75" t="str">
        <f>IF($M538="","",INDEX(fa_reste,$M538))</f>
        <v/>
      </c>
      <c r="I538" s="58" t="str">
        <f>IF($M538="","",MAX(0,p_asof-E538))</f>
        <v/>
      </c>
      <c r="J538" s="78" t="str">
        <f>IF($M538="","",INDEX(fa_tranche,$M538)&amp;"")</f>
        <v/>
      </c>
      <c r="K538" s="56" t="str">
        <f>IF($M538="","",IF(ISNUMBER(INDEX(fa_relance,$M538)),INDEX(fa_relance,$M538),""))</f>
        <v/>
      </c>
      <c r="L538" s="79" t="str">
        <f>IF($M538="","",IF(AND(ISNUMBER(K538),(p_asof-E538)&gt;0,(p_asof-N(K538))&gt;=0,(p_asof-N(K538))&lt;7),"Déjà relancée il y a "&amp;(p_asof-N(K538))&amp;" j",IF((p_asof-E538)&lt;=0,IF((p_asof-E538)&gt;-8,"Rappel courtois avant l'échéance","Aucune action"),IF((p_asof-E538)&lt;=15,"Relance 1 : e-mail de rappel",IF((p_asof-E538)&lt;=30,"Relance 2 : appel téléphonique",IF((p_asof-E538)&lt;=60,"Relance 3 : lettre de relance",IF((p_asof-E538)&lt;=90,"Mise en demeure (recommandé)","Contentieux : injonction de payer")))))))</f>
        <v/>
      </c>
      <c r="M538" t="str">
        <f>IFERROR(MATCH(507,fa_rank,0),"")</f>
        <v/>
      </c>
    </row>
    <row r="539">
      <c r="B539" s="78" t="str">
        <f>IF($M539="","",INDEX(fa_num,$M539)&amp;"")</f>
        <v/>
      </c>
      <c r="C539" s="79" t="str">
        <f>IF($M539="","",INDEX(fa_cname,$M539)&amp;"")</f>
        <v/>
      </c>
      <c r="D539" s="56" t="str">
        <f>IF($M539="","",INDEX(fa_date,$M539))</f>
        <v/>
      </c>
      <c r="E539" s="56" t="str">
        <f>IF($M539="","",INDEX(fa_due,$M539))</f>
        <v/>
      </c>
      <c r="F539" s="75" t="str">
        <f>IF($M539="","",INDEX(fa_ttc,$M539))</f>
        <v/>
      </c>
      <c r="G539" s="75" t="str">
        <f>IF($M539="","",INDEX(fa_paid,$M539)+INDEX(fa_avoirs,$M539))</f>
        <v/>
      </c>
      <c r="H539" s="75" t="str">
        <f>IF($M539="","",INDEX(fa_reste,$M539))</f>
        <v/>
      </c>
      <c r="I539" s="58" t="str">
        <f>IF($M539="","",MAX(0,p_asof-E539))</f>
        <v/>
      </c>
      <c r="J539" s="78" t="str">
        <f>IF($M539="","",INDEX(fa_tranche,$M539)&amp;"")</f>
        <v/>
      </c>
      <c r="K539" s="56" t="str">
        <f>IF($M539="","",IF(ISNUMBER(INDEX(fa_relance,$M539)),INDEX(fa_relance,$M539),""))</f>
        <v/>
      </c>
      <c r="L539" s="79" t="str">
        <f>IF($M539="","",IF(AND(ISNUMBER(K539),(p_asof-E539)&gt;0,(p_asof-N(K539))&gt;=0,(p_asof-N(K539))&lt;7),"Déjà relancée il y a "&amp;(p_asof-N(K539))&amp;" j",IF((p_asof-E539)&lt;=0,IF((p_asof-E539)&gt;-8,"Rappel courtois avant l'échéance","Aucune action"),IF((p_asof-E539)&lt;=15,"Relance 1 : e-mail de rappel",IF((p_asof-E539)&lt;=30,"Relance 2 : appel téléphonique",IF((p_asof-E539)&lt;=60,"Relance 3 : lettre de relance",IF((p_asof-E539)&lt;=90,"Mise en demeure (recommandé)","Contentieux : injonction de payer")))))))</f>
        <v/>
      </c>
      <c r="M539" t="str">
        <f>IFERROR(MATCH(508,fa_rank,0),"")</f>
        <v/>
      </c>
    </row>
    <row r="540">
      <c r="B540" s="78" t="str">
        <f>IF($M540="","",INDEX(fa_num,$M540)&amp;"")</f>
        <v/>
      </c>
      <c r="C540" s="79" t="str">
        <f>IF($M540="","",INDEX(fa_cname,$M540)&amp;"")</f>
        <v/>
      </c>
      <c r="D540" s="56" t="str">
        <f>IF($M540="","",INDEX(fa_date,$M540))</f>
        <v/>
      </c>
      <c r="E540" s="56" t="str">
        <f>IF($M540="","",INDEX(fa_due,$M540))</f>
        <v/>
      </c>
      <c r="F540" s="75" t="str">
        <f>IF($M540="","",INDEX(fa_ttc,$M540))</f>
        <v/>
      </c>
      <c r="G540" s="75" t="str">
        <f>IF($M540="","",INDEX(fa_paid,$M540)+INDEX(fa_avoirs,$M540))</f>
        <v/>
      </c>
      <c r="H540" s="75" t="str">
        <f>IF($M540="","",INDEX(fa_reste,$M540))</f>
        <v/>
      </c>
      <c r="I540" s="58" t="str">
        <f>IF($M540="","",MAX(0,p_asof-E540))</f>
        <v/>
      </c>
      <c r="J540" s="78" t="str">
        <f>IF($M540="","",INDEX(fa_tranche,$M540)&amp;"")</f>
        <v/>
      </c>
      <c r="K540" s="56" t="str">
        <f>IF($M540="","",IF(ISNUMBER(INDEX(fa_relance,$M540)),INDEX(fa_relance,$M540),""))</f>
        <v/>
      </c>
      <c r="L540" s="79" t="str">
        <f>IF($M540="","",IF(AND(ISNUMBER(K540),(p_asof-E540)&gt;0,(p_asof-N(K540))&gt;=0,(p_asof-N(K540))&lt;7),"Déjà relancée il y a "&amp;(p_asof-N(K540))&amp;" j",IF((p_asof-E540)&lt;=0,IF((p_asof-E540)&gt;-8,"Rappel courtois avant l'échéance","Aucune action"),IF((p_asof-E540)&lt;=15,"Relance 1 : e-mail de rappel",IF((p_asof-E540)&lt;=30,"Relance 2 : appel téléphonique",IF((p_asof-E540)&lt;=60,"Relance 3 : lettre de relance",IF((p_asof-E540)&lt;=90,"Mise en demeure (recommandé)","Contentieux : injonction de payer")))))))</f>
        <v/>
      </c>
      <c r="M540" t="str">
        <f>IFERROR(MATCH(509,fa_rank,0),"")</f>
        <v/>
      </c>
    </row>
    <row r="541">
      <c r="B541" s="78" t="str">
        <f>IF($M541="","",INDEX(fa_num,$M541)&amp;"")</f>
        <v/>
      </c>
      <c r="C541" s="79" t="str">
        <f>IF($M541="","",INDEX(fa_cname,$M541)&amp;"")</f>
        <v/>
      </c>
      <c r="D541" s="56" t="str">
        <f>IF($M541="","",INDEX(fa_date,$M541))</f>
        <v/>
      </c>
      <c r="E541" s="56" t="str">
        <f>IF($M541="","",INDEX(fa_due,$M541))</f>
        <v/>
      </c>
      <c r="F541" s="75" t="str">
        <f>IF($M541="","",INDEX(fa_ttc,$M541))</f>
        <v/>
      </c>
      <c r="G541" s="75" t="str">
        <f>IF($M541="","",INDEX(fa_paid,$M541)+INDEX(fa_avoirs,$M541))</f>
        <v/>
      </c>
      <c r="H541" s="75" t="str">
        <f>IF($M541="","",INDEX(fa_reste,$M541))</f>
        <v/>
      </c>
      <c r="I541" s="58" t="str">
        <f>IF($M541="","",MAX(0,p_asof-E541))</f>
        <v/>
      </c>
      <c r="J541" s="78" t="str">
        <f>IF($M541="","",INDEX(fa_tranche,$M541)&amp;"")</f>
        <v/>
      </c>
      <c r="K541" s="56" t="str">
        <f>IF($M541="","",IF(ISNUMBER(INDEX(fa_relance,$M541)),INDEX(fa_relance,$M541),""))</f>
        <v/>
      </c>
      <c r="L541" s="79" t="str">
        <f>IF($M541="","",IF(AND(ISNUMBER(K541),(p_asof-E541)&gt;0,(p_asof-N(K541))&gt;=0,(p_asof-N(K541))&lt;7),"Déjà relancée il y a "&amp;(p_asof-N(K541))&amp;" j",IF((p_asof-E541)&lt;=0,IF((p_asof-E541)&gt;-8,"Rappel courtois avant l'échéance","Aucune action"),IF((p_asof-E541)&lt;=15,"Relance 1 : e-mail de rappel",IF((p_asof-E541)&lt;=30,"Relance 2 : appel téléphonique",IF((p_asof-E541)&lt;=60,"Relance 3 : lettre de relance",IF((p_asof-E541)&lt;=90,"Mise en demeure (recommandé)","Contentieux : injonction de payer")))))))</f>
        <v/>
      </c>
      <c r="M541" t="str">
        <f>IFERROR(MATCH(510,fa_rank,0),"")</f>
        <v/>
      </c>
    </row>
    <row r="542">
      <c r="B542" s="78" t="str">
        <f>IF($M542="","",INDEX(fa_num,$M542)&amp;"")</f>
        <v/>
      </c>
      <c r="C542" s="79" t="str">
        <f>IF($M542="","",INDEX(fa_cname,$M542)&amp;"")</f>
        <v/>
      </c>
      <c r="D542" s="56" t="str">
        <f>IF($M542="","",INDEX(fa_date,$M542))</f>
        <v/>
      </c>
      <c r="E542" s="56" t="str">
        <f>IF($M542="","",INDEX(fa_due,$M542))</f>
        <v/>
      </c>
      <c r="F542" s="75" t="str">
        <f>IF($M542="","",INDEX(fa_ttc,$M542))</f>
        <v/>
      </c>
      <c r="G542" s="75" t="str">
        <f>IF($M542="","",INDEX(fa_paid,$M542)+INDEX(fa_avoirs,$M542))</f>
        <v/>
      </c>
      <c r="H542" s="75" t="str">
        <f>IF($M542="","",INDEX(fa_reste,$M542))</f>
        <v/>
      </c>
      <c r="I542" s="58" t="str">
        <f>IF($M542="","",MAX(0,p_asof-E542))</f>
        <v/>
      </c>
      <c r="J542" s="78" t="str">
        <f>IF($M542="","",INDEX(fa_tranche,$M542)&amp;"")</f>
        <v/>
      </c>
      <c r="K542" s="56" t="str">
        <f>IF($M542="","",IF(ISNUMBER(INDEX(fa_relance,$M542)),INDEX(fa_relance,$M542),""))</f>
        <v/>
      </c>
      <c r="L542" s="79" t="str">
        <f>IF($M542="","",IF(AND(ISNUMBER(K542),(p_asof-E542)&gt;0,(p_asof-N(K542))&gt;=0,(p_asof-N(K542))&lt;7),"Déjà relancée il y a "&amp;(p_asof-N(K542))&amp;" j",IF((p_asof-E542)&lt;=0,IF((p_asof-E542)&gt;-8,"Rappel courtois avant l'échéance","Aucune action"),IF((p_asof-E542)&lt;=15,"Relance 1 : e-mail de rappel",IF((p_asof-E542)&lt;=30,"Relance 2 : appel téléphonique",IF((p_asof-E542)&lt;=60,"Relance 3 : lettre de relance",IF((p_asof-E542)&lt;=90,"Mise en demeure (recommandé)","Contentieux : injonction de payer")))))))</f>
        <v/>
      </c>
      <c r="M542" t="str">
        <f>IFERROR(MATCH(511,fa_rank,0),"")</f>
        <v/>
      </c>
    </row>
    <row r="543">
      <c r="B543" s="78" t="str">
        <f>IF($M543="","",INDEX(fa_num,$M543)&amp;"")</f>
        <v/>
      </c>
      <c r="C543" s="79" t="str">
        <f>IF($M543="","",INDEX(fa_cname,$M543)&amp;"")</f>
        <v/>
      </c>
      <c r="D543" s="56" t="str">
        <f>IF($M543="","",INDEX(fa_date,$M543))</f>
        <v/>
      </c>
      <c r="E543" s="56" t="str">
        <f>IF($M543="","",INDEX(fa_due,$M543))</f>
        <v/>
      </c>
      <c r="F543" s="75" t="str">
        <f>IF($M543="","",INDEX(fa_ttc,$M543))</f>
        <v/>
      </c>
      <c r="G543" s="75" t="str">
        <f>IF($M543="","",INDEX(fa_paid,$M543)+INDEX(fa_avoirs,$M543))</f>
        <v/>
      </c>
      <c r="H543" s="75" t="str">
        <f>IF($M543="","",INDEX(fa_reste,$M543))</f>
        <v/>
      </c>
      <c r="I543" s="58" t="str">
        <f>IF($M543="","",MAX(0,p_asof-E543))</f>
        <v/>
      </c>
      <c r="J543" s="78" t="str">
        <f>IF($M543="","",INDEX(fa_tranche,$M543)&amp;"")</f>
        <v/>
      </c>
      <c r="K543" s="56" t="str">
        <f>IF($M543="","",IF(ISNUMBER(INDEX(fa_relance,$M543)),INDEX(fa_relance,$M543),""))</f>
        <v/>
      </c>
      <c r="L543" s="79" t="str">
        <f>IF($M543="","",IF(AND(ISNUMBER(K543),(p_asof-E543)&gt;0,(p_asof-N(K543))&gt;=0,(p_asof-N(K543))&lt;7),"Déjà relancée il y a "&amp;(p_asof-N(K543))&amp;" j",IF((p_asof-E543)&lt;=0,IF((p_asof-E543)&gt;-8,"Rappel courtois avant l'échéance","Aucune action"),IF((p_asof-E543)&lt;=15,"Relance 1 : e-mail de rappel",IF((p_asof-E543)&lt;=30,"Relance 2 : appel téléphonique",IF((p_asof-E543)&lt;=60,"Relance 3 : lettre de relance",IF((p_asof-E543)&lt;=90,"Mise en demeure (recommandé)","Contentieux : injonction de payer")))))))</f>
        <v/>
      </c>
      <c r="M543" t="str">
        <f>IFERROR(MATCH(512,fa_rank,0),"")</f>
        <v/>
      </c>
    </row>
    <row r="544">
      <c r="B544" s="78" t="str">
        <f>IF($M544="","",INDEX(fa_num,$M544)&amp;"")</f>
        <v/>
      </c>
      <c r="C544" s="79" t="str">
        <f>IF($M544="","",INDEX(fa_cname,$M544)&amp;"")</f>
        <v/>
      </c>
      <c r="D544" s="56" t="str">
        <f>IF($M544="","",INDEX(fa_date,$M544))</f>
        <v/>
      </c>
      <c r="E544" s="56" t="str">
        <f>IF($M544="","",INDEX(fa_due,$M544))</f>
        <v/>
      </c>
      <c r="F544" s="75" t="str">
        <f>IF($M544="","",INDEX(fa_ttc,$M544))</f>
        <v/>
      </c>
      <c r="G544" s="75" t="str">
        <f>IF($M544="","",INDEX(fa_paid,$M544)+INDEX(fa_avoirs,$M544))</f>
        <v/>
      </c>
      <c r="H544" s="75" t="str">
        <f>IF($M544="","",INDEX(fa_reste,$M544))</f>
        <v/>
      </c>
      <c r="I544" s="58" t="str">
        <f>IF($M544="","",MAX(0,p_asof-E544))</f>
        <v/>
      </c>
      <c r="J544" s="78" t="str">
        <f>IF($M544="","",INDEX(fa_tranche,$M544)&amp;"")</f>
        <v/>
      </c>
      <c r="K544" s="56" t="str">
        <f>IF($M544="","",IF(ISNUMBER(INDEX(fa_relance,$M544)),INDEX(fa_relance,$M544),""))</f>
        <v/>
      </c>
      <c r="L544" s="79" t="str">
        <f>IF($M544="","",IF(AND(ISNUMBER(K544),(p_asof-E544)&gt;0,(p_asof-N(K544))&gt;=0,(p_asof-N(K544))&lt;7),"Déjà relancée il y a "&amp;(p_asof-N(K544))&amp;" j",IF((p_asof-E544)&lt;=0,IF((p_asof-E544)&gt;-8,"Rappel courtois avant l'échéance","Aucune action"),IF((p_asof-E544)&lt;=15,"Relance 1 : e-mail de rappel",IF((p_asof-E544)&lt;=30,"Relance 2 : appel téléphonique",IF((p_asof-E544)&lt;=60,"Relance 3 : lettre de relance",IF((p_asof-E544)&lt;=90,"Mise en demeure (recommandé)","Contentieux : injonction de payer")))))))</f>
        <v/>
      </c>
      <c r="M544" t="str">
        <f>IFERROR(MATCH(513,fa_rank,0),"")</f>
        <v/>
      </c>
    </row>
    <row r="545">
      <c r="B545" s="78" t="str">
        <f>IF($M545="","",INDEX(fa_num,$M545)&amp;"")</f>
        <v/>
      </c>
      <c r="C545" s="79" t="str">
        <f>IF($M545="","",INDEX(fa_cname,$M545)&amp;"")</f>
        <v/>
      </c>
      <c r="D545" s="56" t="str">
        <f>IF($M545="","",INDEX(fa_date,$M545))</f>
        <v/>
      </c>
      <c r="E545" s="56" t="str">
        <f>IF($M545="","",INDEX(fa_due,$M545))</f>
        <v/>
      </c>
      <c r="F545" s="75" t="str">
        <f>IF($M545="","",INDEX(fa_ttc,$M545))</f>
        <v/>
      </c>
      <c r="G545" s="75" t="str">
        <f>IF($M545="","",INDEX(fa_paid,$M545)+INDEX(fa_avoirs,$M545))</f>
        <v/>
      </c>
      <c r="H545" s="75" t="str">
        <f>IF($M545="","",INDEX(fa_reste,$M545))</f>
        <v/>
      </c>
      <c r="I545" s="58" t="str">
        <f>IF($M545="","",MAX(0,p_asof-E545))</f>
        <v/>
      </c>
      <c r="J545" s="78" t="str">
        <f>IF($M545="","",INDEX(fa_tranche,$M545)&amp;"")</f>
        <v/>
      </c>
      <c r="K545" s="56" t="str">
        <f>IF($M545="","",IF(ISNUMBER(INDEX(fa_relance,$M545)),INDEX(fa_relance,$M545),""))</f>
        <v/>
      </c>
      <c r="L545" s="79" t="str">
        <f>IF($M545="","",IF(AND(ISNUMBER(K545),(p_asof-E545)&gt;0,(p_asof-N(K545))&gt;=0,(p_asof-N(K545))&lt;7),"Déjà relancée il y a "&amp;(p_asof-N(K545))&amp;" j",IF((p_asof-E545)&lt;=0,IF((p_asof-E545)&gt;-8,"Rappel courtois avant l'échéance","Aucune action"),IF((p_asof-E545)&lt;=15,"Relance 1 : e-mail de rappel",IF((p_asof-E545)&lt;=30,"Relance 2 : appel téléphonique",IF((p_asof-E545)&lt;=60,"Relance 3 : lettre de relance",IF((p_asof-E545)&lt;=90,"Mise en demeure (recommandé)","Contentieux : injonction de payer")))))))</f>
        <v/>
      </c>
      <c r="M545" t="str">
        <f>IFERROR(MATCH(514,fa_rank,0),"")</f>
        <v/>
      </c>
    </row>
    <row r="546">
      <c r="B546" s="78" t="str">
        <f>IF($M546="","",INDEX(fa_num,$M546)&amp;"")</f>
        <v/>
      </c>
      <c r="C546" s="79" t="str">
        <f>IF($M546="","",INDEX(fa_cname,$M546)&amp;"")</f>
        <v/>
      </c>
      <c r="D546" s="56" t="str">
        <f>IF($M546="","",INDEX(fa_date,$M546))</f>
        <v/>
      </c>
      <c r="E546" s="56" t="str">
        <f>IF($M546="","",INDEX(fa_due,$M546))</f>
        <v/>
      </c>
      <c r="F546" s="75" t="str">
        <f>IF($M546="","",INDEX(fa_ttc,$M546))</f>
        <v/>
      </c>
      <c r="G546" s="75" t="str">
        <f>IF($M546="","",INDEX(fa_paid,$M546)+INDEX(fa_avoirs,$M546))</f>
        <v/>
      </c>
      <c r="H546" s="75" t="str">
        <f>IF($M546="","",INDEX(fa_reste,$M546))</f>
        <v/>
      </c>
      <c r="I546" s="58" t="str">
        <f>IF($M546="","",MAX(0,p_asof-E546))</f>
        <v/>
      </c>
      <c r="J546" s="78" t="str">
        <f>IF($M546="","",INDEX(fa_tranche,$M546)&amp;"")</f>
        <v/>
      </c>
      <c r="K546" s="56" t="str">
        <f>IF($M546="","",IF(ISNUMBER(INDEX(fa_relance,$M546)),INDEX(fa_relance,$M546),""))</f>
        <v/>
      </c>
      <c r="L546" s="79" t="str">
        <f>IF($M546="","",IF(AND(ISNUMBER(K546),(p_asof-E546)&gt;0,(p_asof-N(K546))&gt;=0,(p_asof-N(K546))&lt;7),"Déjà relancée il y a "&amp;(p_asof-N(K546))&amp;" j",IF((p_asof-E546)&lt;=0,IF((p_asof-E546)&gt;-8,"Rappel courtois avant l'échéance","Aucune action"),IF((p_asof-E546)&lt;=15,"Relance 1 : e-mail de rappel",IF((p_asof-E546)&lt;=30,"Relance 2 : appel téléphonique",IF((p_asof-E546)&lt;=60,"Relance 3 : lettre de relance",IF((p_asof-E546)&lt;=90,"Mise en demeure (recommandé)","Contentieux : injonction de payer")))))))</f>
        <v/>
      </c>
      <c r="M546" t="str">
        <f>IFERROR(MATCH(515,fa_rank,0),"")</f>
        <v/>
      </c>
    </row>
    <row r="547">
      <c r="B547" s="78" t="str">
        <f>IF($M547="","",INDEX(fa_num,$M547)&amp;"")</f>
        <v/>
      </c>
      <c r="C547" s="79" t="str">
        <f>IF($M547="","",INDEX(fa_cname,$M547)&amp;"")</f>
        <v/>
      </c>
      <c r="D547" s="56" t="str">
        <f>IF($M547="","",INDEX(fa_date,$M547))</f>
        <v/>
      </c>
      <c r="E547" s="56" t="str">
        <f>IF($M547="","",INDEX(fa_due,$M547))</f>
        <v/>
      </c>
      <c r="F547" s="75" t="str">
        <f>IF($M547="","",INDEX(fa_ttc,$M547))</f>
        <v/>
      </c>
      <c r="G547" s="75" t="str">
        <f>IF($M547="","",INDEX(fa_paid,$M547)+INDEX(fa_avoirs,$M547))</f>
        <v/>
      </c>
      <c r="H547" s="75" t="str">
        <f>IF($M547="","",INDEX(fa_reste,$M547))</f>
        <v/>
      </c>
      <c r="I547" s="58" t="str">
        <f>IF($M547="","",MAX(0,p_asof-E547))</f>
        <v/>
      </c>
      <c r="J547" s="78" t="str">
        <f>IF($M547="","",INDEX(fa_tranche,$M547)&amp;"")</f>
        <v/>
      </c>
      <c r="K547" s="56" t="str">
        <f>IF($M547="","",IF(ISNUMBER(INDEX(fa_relance,$M547)),INDEX(fa_relance,$M547),""))</f>
        <v/>
      </c>
      <c r="L547" s="79" t="str">
        <f>IF($M547="","",IF(AND(ISNUMBER(K547),(p_asof-E547)&gt;0,(p_asof-N(K547))&gt;=0,(p_asof-N(K547))&lt;7),"Déjà relancée il y a "&amp;(p_asof-N(K547))&amp;" j",IF((p_asof-E547)&lt;=0,IF((p_asof-E547)&gt;-8,"Rappel courtois avant l'échéance","Aucune action"),IF((p_asof-E547)&lt;=15,"Relance 1 : e-mail de rappel",IF((p_asof-E547)&lt;=30,"Relance 2 : appel téléphonique",IF((p_asof-E547)&lt;=60,"Relance 3 : lettre de relance",IF((p_asof-E547)&lt;=90,"Mise en demeure (recommandé)","Contentieux : injonction de payer")))))))</f>
        <v/>
      </c>
      <c r="M547" t="str">
        <f>IFERROR(MATCH(516,fa_rank,0),"")</f>
        <v/>
      </c>
    </row>
    <row r="548">
      <c r="B548" s="78" t="str">
        <f>IF($M548="","",INDEX(fa_num,$M548)&amp;"")</f>
        <v/>
      </c>
      <c r="C548" s="79" t="str">
        <f>IF($M548="","",INDEX(fa_cname,$M548)&amp;"")</f>
        <v/>
      </c>
      <c r="D548" s="56" t="str">
        <f>IF($M548="","",INDEX(fa_date,$M548))</f>
        <v/>
      </c>
      <c r="E548" s="56" t="str">
        <f>IF($M548="","",INDEX(fa_due,$M548))</f>
        <v/>
      </c>
      <c r="F548" s="75" t="str">
        <f>IF($M548="","",INDEX(fa_ttc,$M548))</f>
        <v/>
      </c>
      <c r="G548" s="75" t="str">
        <f>IF($M548="","",INDEX(fa_paid,$M548)+INDEX(fa_avoirs,$M548))</f>
        <v/>
      </c>
      <c r="H548" s="75" t="str">
        <f>IF($M548="","",INDEX(fa_reste,$M548))</f>
        <v/>
      </c>
      <c r="I548" s="58" t="str">
        <f>IF($M548="","",MAX(0,p_asof-E548))</f>
        <v/>
      </c>
      <c r="J548" s="78" t="str">
        <f>IF($M548="","",INDEX(fa_tranche,$M548)&amp;"")</f>
        <v/>
      </c>
      <c r="K548" s="56" t="str">
        <f>IF($M548="","",IF(ISNUMBER(INDEX(fa_relance,$M548)),INDEX(fa_relance,$M548),""))</f>
        <v/>
      </c>
      <c r="L548" s="79" t="str">
        <f>IF($M548="","",IF(AND(ISNUMBER(K548),(p_asof-E548)&gt;0,(p_asof-N(K548))&gt;=0,(p_asof-N(K548))&lt;7),"Déjà relancée il y a "&amp;(p_asof-N(K548))&amp;" j",IF((p_asof-E548)&lt;=0,IF((p_asof-E548)&gt;-8,"Rappel courtois avant l'échéance","Aucune action"),IF((p_asof-E548)&lt;=15,"Relance 1 : e-mail de rappel",IF((p_asof-E548)&lt;=30,"Relance 2 : appel téléphonique",IF((p_asof-E548)&lt;=60,"Relance 3 : lettre de relance",IF((p_asof-E548)&lt;=90,"Mise en demeure (recommandé)","Contentieux : injonction de payer")))))))</f>
        <v/>
      </c>
      <c r="M548" t="str">
        <f>IFERROR(MATCH(517,fa_rank,0),"")</f>
        <v/>
      </c>
    </row>
    <row r="549">
      <c r="B549" s="78" t="str">
        <f>IF($M549="","",INDEX(fa_num,$M549)&amp;"")</f>
        <v/>
      </c>
      <c r="C549" s="79" t="str">
        <f>IF($M549="","",INDEX(fa_cname,$M549)&amp;"")</f>
        <v/>
      </c>
      <c r="D549" s="56" t="str">
        <f>IF($M549="","",INDEX(fa_date,$M549))</f>
        <v/>
      </c>
      <c r="E549" s="56" t="str">
        <f>IF($M549="","",INDEX(fa_due,$M549))</f>
        <v/>
      </c>
      <c r="F549" s="75" t="str">
        <f>IF($M549="","",INDEX(fa_ttc,$M549))</f>
        <v/>
      </c>
      <c r="G549" s="75" t="str">
        <f>IF($M549="","",INDEX(fa_paid,$M549)+INDEX(fa_avoirs,$M549))</f>
        <v/>
      </c>
      <c r="H549" s="75" t="str">
        <f>IF($M549="","",INDEX(fa_reste,$M549))</f>
        <v/>
      </c>
      <c r="I549" s="58" t="str">
        <f>IF($M549="","",MAX(0,p_asof-E549))</f>
        <v/>
      </c>
      <c r="J549" s="78" t="str">
        <f>IF($M549="","",INDEX(fa_tranche,$M549)&amp;"")</f>
        <v/>
      </c>
      <c r="K549" s="56" t="str">
        <f>IF($M549="","",IF(ISNUMBER(INDEX(fa_relance,$M549)),INDEX(fa_relance,$M549),""))</f>
        <v/>
      </c>
      <c r="L549" s="79" t="str">
        <f>IF($M549="","",IF(AND(ISNUMBER(K549),(p_asof-E549)&gt;0,(p_asof-N(K549))&gt;=0,(p_asof-N(K549))&lt;7),"Déjà relancée il y a "&amp;(p_asof-N(K549))&amp;" j",IF((p_asof-E549)&lt;=0,IF((p_asof-E549)&gt;-8,"Rappel courtois avant l'échéance","Aucune action"),IF((p_asof-E549)&lt;=15,"Relance 1 : e-mail de rappel",IF((p_asof-E549)&lt;=30,"Relance 2 : appel téléphonique",IF((p_asof-E549)&lt;=60,"Relance 3 : lettre de relance",IF((p_asof-E549)&lt;=90,"Mise en demeure (recommandé)","Contentieux : injonction de payer")))))))</f>
        <v/>
      </c>
      <c r="M549" t="str">
        <f>IFERROR(MATCH(518,fa_rank,0),"")</f>
        <v/>
      </c>
    </row>
    <row r="550">
      <c r="B550" s="78" t="str">
        <f>IF($M550="","",INDEX(fa_num,$M550)&amp;"")</f>
        <v/>
      </c>
      <c r="C550" s="79" t="str">
        <f>IF($M550="","",INDEX(fa_cname,$M550)&amp;"")</f>
        <v/>
      </c>
      <c r="D550" s="56" t="str">
        <f>IF($M550="","",INDEX(fa_date,$M550))</f>
        <v/>
      </c>
      <c r="E550" s="56" t="str">
        <f>IF($M550="","",INDEX(fa_due,$M550))</f>
        <v/>
      </c>
      <c r="F550" s="75" t="str">
        <f>IF($M550="","",INDEX(fa_ttc,$M550))</f>
        <v/>
      </c>
      <c r="G550" s="75" t="str">
        <f>IF($M550="","",INDEX(fa_paid,$M550)+INDEX(fa_avoirs,$M550))</f>
        <v/>
      </c>
      <c r="H550" s="75" t="str">
        <f>IF($M550="","",INDEX(fa_reste,$M550))</f>
        <v/>
      </c>
      <c r="I550" s="58" t="str">
        <f>IF($M550="","",MAX(0,p_asof-E550))</f>
        <v/>
      </c>
      <c r="J550" s="78" t="str">
        <f>IF($M550="","",INDEX(fa_tranche,$M550)&amp;"")</f>
        <v/>
      </c>
      <c r="K550" s="56" t="str">
        <f>IF($M550="","",IF(ISNUMBER(INDEX(fa_relance,$M550)),INDEX(fa_relance,$M550),""))</f>
        <v/>
      </c>
      <c r="L550" s="79" t="str">
        <f>IF($M550="","",IF(AND(ISNUMBER(K550),(p_asof-E550)&gt;0,(p_asof-N(K550))&gt;=0,(p_asof-N(K550))&lt;7),"Déjà relancée il y a "&amp;(p_asof-N(K550))&amp;" j",IF((p_asof-E550)&lt;=0,IF((p_asof-E550)&gt;-8,"Rappel courtois avant l'échéance","Aucune action"),IF((p_asof-E550)&lt;=15,"Relance 1 : e-mail de rappel",IF((p_asof-E550)&lt;=30,"Relance 2 : appel téléphonique",IF((p_asof-E550)&lt;=60,"Relance 3 : lettre de relance",IF((p_asof-E550)&lt;=90,"Mise en demeure (recommandé)","Contentieux : injonction de payer")))))))</f>
        <v/>
      </c>
      <c r="M550" t="str">
        <f>IFERROR(MATCH(519,fa_rank,0),"")</f>
        <v/>
      </c>
    </row>
    <row r="551">
      <c r="B551" s="78" t="str">
        <f>IF($M551="","",INDEX(fa_num,$M551)&amp;"")</f>
        <v/>
      </c>
      <c r="C551" s="79" t="str">
        <f>IF($M551="","",INDEX(fa_cname,$M551)&amp;"")</f>
        <v/>
      </c>
      <c r="D551" s="56" t="str">
        <f>IF($M551="","",INDEX(fa_date,$M551))</f>
        <v/>
      </c>
      <c r="E551" s="56" t="str">
        <f>IF($M551="","",INDEX(fa_due,$M551))</f>
        <v/>
      </c>
      <c r="F551" s="75" t="str">
        <f>IF($M551="","",INDEX(fa_ttc,$M551))</f>
        <v/>
      </c>
      <c r="G551" s="75" t="str">
        <f>IF($M551="","",INDEX(fa_paid,$M551)+INDEX(fa_avoirs,$M551))</f>
        <v/>
      </c>
      <c r="H551" s="75" t="str">
        <f>IF($M551="","",INDEX(fa_reste,$M551))</f>
        <v/>
      </c>
      <c r="I551" s="58" t="str">
        <f>IF($M551="","",MAX(0,p_asof-E551))</f>
        <v/>
      </c>
      <c r="J551" s="78" t="str">
        <f>IF($M551="","",INDEX(fa_tranche,$M551)&amp;"")</f>
        <v/>
      </c>
      <c r="K551" s="56" t="str">
        <f>IF($M551="","",IF(ISNUMBER(INDEX(fa_relance,$M551)),INDEX(fa_relance,$M551),""))</f>
        <v/>
      </c>
      <c r="L551" s="79" t="str">
        <f>IF($M551="","",IF(AND(ISNUMBER(K551),(p_asof-E551)&gt;0,(p_asof-N(K551))&gt;=0,(p_asof-N(K551))&lt;7),"Déjà relancée il y a "&amp;(p_asof-N(K551))&amp;" j",IF((p_asof-E551)&lt;=0,IF((p_asof-E551)&gt;-8,"Rappel courtois avant l'échéance","Aucune action"),IF((p_asof-E551)&lt;=15,"Relance 1 : e-mail de rappel",IF((p_asof-E551)&lt;=30,"Relance 2 : appel téléphonique",IF((p_asof-E551)&lt;=60,"Relance 3 : lettre de relance",IF((p_asof-E551)&lt;=90,"Mise en demeure (recommandé)","Contentieux : injonction de payer")))))))</f>
        <v/>
      </c>
      <c r="M551" t="str">
        <f>IFERROR(MATCH(520,fa_rank,0),"")</f>
        <v/>
      </c>
    </row>
    <row r="552">
      <c r="B552" s="78" t="str">
        <f>IF($M552="","",INDEX(fa_num,$M552)&amp;"")</f>
        <v/>
      </c>
      <c r="C552" s="79" t="str">
        <f>IF($M552="","",INDEX(fa_cname,$M552)&amp;"")</f>
        <v/>
      </c>
      <c r="D552" s="56" t="str">
        <f>IF($M552="","",INDEX(fa_date,$M552))</f>
        <v/>
      </c>
      <c r="E552" s="56" t="str">
        <f>IF($M552="","",INDEX(fa_due,$M552))</f>
        <v/>
      </c>
      <c r="F552" s="75" t="str">
        <f>IF($M552="","",INDEX(fa_ttc,$M552))</f>
        <v/>
      </c>
      <c r="G552" s="75" t="str">
        <f>IF($M552="","",INDEX(fa_paid,$M552)+INDEX(fa_avoirs,$M552))</f>
        <v/>
      </c>
      <c r="H552" s="75" t="str">
        <f>IF($M552="","",INDEX(fa_reste,$M552))</f>
        <v/>
      </c>
      <c r="I552" s="58" t="str">
        <f>IF($M552="","",MAX(0,p_asof-E552))</f>
        <v/>
      </c>
      <c r="J552" s="78" t="str">
        <f>IF($M552="","",INDEX(fa_tranche,$M552)&amp;"")</f>
        <v/>
      </c>
      <c r="K552" s="56" t="str">
        <f>IF($M552="","",IF(ISNUMBER(INDEX(fa_relance,$M552)),INDEX(fa_relance,$M552),""))</f>
        <v/>
      </c>
      <c r="L552" s="79" t="str">
        <f>IF($M552="","",IF(AND(ISNUMBER(K552),(p_asof-E552)&gt;0,(p_asof-N(K552))&gt;=0,(p_asof-N(K552))&lt;7),"Déjà relancée il y a "&amp;(p_asof-N(K552))&amp;" j",IF((p_asof-E552)&lt;=0,IF((p_asof-E552)&gt;-8,"Rappel courtois avant l'échéance","Aucune action"),IF((p_asof-E552)&lt;=15,"Relance 1 : e-mail de rappel",IF((p_asof-E552)&lt;=30,"Relance 2 : appel téléphonique",IF((p_asof-E552)&lt;=60,"Relance 3 : lettre de relance",IF((p_asof-E552)&lt;=90,"Mise en demeure (recommandé)","Contentieux : injonction de payer")))))))</f>
        <v/>
      </c>
      <c r="M552" t="str">
        <f>IFERROR(MATCH(521,fa_rank,0),"")</f>
        <v/>
      </c>
    </row>
    <row r="553">
      <c r="B553" s="78" t="str">
        <f>IF($M553="","",INDEX(fa_num,$M553)&amp;"")</f>
        <v/>
      </c>
      <c r="C553" s="79" t="str">
        <f>IF($M553="","",INDEX(fa_cname,$M553)&amp;"")</f>
        <v/>
      </c>
      <c r="D553" s="56" t="str">
        <f>IF($M553="","",INDEX(fa_date,$M553))</f>
        <v/>
      </c>
      <c r="E553" s="56" t="str">
        <f>IF($M553="","",INDEX(fa_due,$M553))</f>
        <v/>
      </c>
      <c r="F553" s="75" t="str">
        <f>IF($M553="","",INDEX(fa_ttc,$M553))</f>
        <v/>
      </c>
      <c r="G553" s="75" t="str">
        <f>IF($M553="","",INDEX(fa_paid,$M553)+INDEX(fa_avoirs,$M553))</f>
        <v/>
      </c>
      <c r="H553" s="75" t="str">
        <f>IF($M553="","",INDEX(fa_reste,$M553))</f>
        <v/>
      </c>
      <c r="I553" s="58" t="str">
        <f>IF($M553="","",MAX(0,p_asof-E553))</f>
        <v/>
      </c>
      <c r="J553" s="78" t="str">
        <f>IF($M553="","",INDEX(fa_tranche,$M553)&amp;"")</f>
        <v/>
      </c>
      <c r="K553" s="56" t="str">
        <f>IF($M553="","",IF(ISNUMBER(INDEX(fa_relance,$M553)),INDEX(fa_relance,$M553),""))</f>
        <v/>
      </c>
      <c r="L553" s="79" t="str">
        <f>IF($M553="","",IF(AND(ISNUMBER(K553),(p_asof-E553)&gt;0,(p_asof-N(K553))&gt;=0,(p_asof-N(K553))&lt;7),"Déjà relancée il y a "&amp;(p_asof-N(K553))&amp;" j",IF((p_asof-E553)&lt;=0,IF((p_asof-E553)&gt;-8,"Rappel courtois avant l'échéance","Aucune action"),IF((p_asof-E553)&lt;=15,"Relance 1 : e-mail de rappel",IF((p_asof-E553)&lt;=30,"Relance 2 : appel téléphonique",IF((p_asof-E553)&lt;=60,"Relance 3 : lettre de relance",IF((p_asof-E553)&lt;=90,"Mise en demeure (recommandé)","Contentieux : injonction de payer")))))))</f>
        <v/>
      </c>
      <c r="M553" t="str">
        <f>IFERROR(MATCH(522,fa_rank,0),"")</f>
        <v/>
      </c>
    </row>
    <row r="554">
      <c r="B554" s="78" t="str">
        <f>IF($M554="","",INDEX(fa_num,$M554)&amp;"")</f>
        <v/>
      </c>
      <c r="C554" s="79" t="str">
        <f>IF($M554="","",INDEX(fa_cname,$M554)&amp;"")</f>
        <v/>
      </c>
      <c r="D554" s="56" t="str">
        <f>IF($M554="","",INDEX(fa_date,$M554))</f>
        <v/>
      </c>
      <c r="E554" s="56" t="str">
        <f>IF($M554="","",INDEX(fa_due,$M554))</f>
        <v/>
      </c>
      <c r="F554" s="75" t="str">
        <f>IF($M554="","",INDEX(fa_ttc,$M554))</f>
        <v/>
      </c>
      <c r="G554" s="75" t="str">
        <f>IF($M554="","",INDEX(fa_paid,$M554)+INDEX(fa_avoirs,$M554))</f>
        <v/>
      </c>
      <c r="H554" s="75" t="str">
        <f>IF($M554="","",INDEX(fa_reste,$M554))</f>
        <v/>
      </c>
      <c r="I554" s="58" t="str">
        <f>IF($M554="","",MAX(0,p_asof-E554))</f>
        <v/>
      </c>
      <c r="J554" s="78" t="str">
        <f>IF($M554="","",INDEX(fa_tranche,$M554)&amp;"")</f>
        <v/>
      </c>
      <c r="K554" s="56" t="str">
        <f>IF($M554="","",IF(ISNUMBER(INDEX(fa_relance,$M554)),INDEX(fa_relance,$M554),""))</f>
        <v/>
      </c>
      <c r="L554" s="79" t="str">
        <f>IF($M554="","",IF(AND(ISNUMBER(K554),(p_asof-E554)&gt;0,(p_asof-N(K554))&gt;=0,(p_asof-N(K554))&lt;7),"Déjà relancée il y a "&amp;(p_asof-N(K554))&amp;" j",IF((p_asof-E554)&lt;=0,IF((p_asof-E554)&gt;-8,"Rappel courtois avant l'échéance","Aucune action"),IF((p_asof-E554)&lt;=15,"Relance 1 : e-mail de rappel",IF((p_asof-E554)&lt;=30,"Relance 2 : appel téléphonique",IF((p_asof-E554)&lt;=60,"Relance 3 : lettre de relance",IF((p_asof-E554)&lt;=90,"Mise en demeure (recommandé)","Contentieux : injonction de payer")))))))</f>
        <v/>
      </c>
      <c r="M554" t="str">
        <f>IFERROR(MATCH(523,fa_rank,0),"")</f>
        <v/>
      </c>
    </row>
    <row r="555">
      <c r="B555" s="78" t="str">
        <f>IF($M555="","",INDEX(fa_num,$M555)&amp;"")</f>
        <v/>
      </c>
      <c r="C555" s="79" t="str">
        <f>IF($M555="","",INDEX(fa_cname,$M555)&amp;"")</f>
        <v/>
      </c>
      <c r="D555" s="56" t="str">
        <f>IF($M555="","",INDEX(fa_date,$M555))</f>
        <v/>
      </c>
      <c r="E555" s="56" t="str">
        <f>IF($M555="","",INDEX(fa_due,$M555))</f>
        <v/>
      </c>
      <c r="F555" s="75" t="str">
        <f>IF($M555="","",INDEX(fa_ttc,$M555))</f>
        <v/>
      </c>
      <c r="G555" s="75" t="str">
        <f>IF($M555="","",INDEX(fa_paid,$M555)+INDEX(fa_avoirs,$M555))</f>
        <v/>
      </c>
      <c r="H555" s="75" t="str">
        <f>IF($M555="","",INDEX(fa_reste,$M555))</f>
        <v/>
      </c>
      <c r="I555" s="58" t="str">
        <f>IF($M555="","",MAX(0,p_asof-E555))</f>
        <v/>
      </c>
      <c r="J555" s="78" t="str">
        <f>IF($M555="","",INDEX(fa_tranche,$M555)&amp;"")</f>
        <v/>
      </c>
      <c r="K555" s="56" t="str">
        <f>IF($M555="","",IF(ISNUMBER(INDEX(fa_relance,$M555)),INDEX(fa_relance,$M555),""))</f>
        <v/>
      </c>
      <c r="L555" s="79" t="str">
        <f>IF($M555="","",IF(AND(ISNUMBER(K555),(p_asof-E555)&gt;0,(p_asof-N(K555))&gt;=0,(p_asof-N(K555))&lt;7),"Déjà relancée il y a "&amp;(p_asof-N(K555))&amp;" j",IF((p_asof-E555)&lt;=0,IF((p_asof-E555)&gt;-8,"Rappel courtois avant l'échéance","Aucune action"),IF((p_asof-E555)&lt;=15,"Relance 1 : e-mail de rappel",IF((p_asof-E555)&lt;=30,"Relance 2 : appel téléphonique",IF((p_asof-E555)&lt;=60,"Relance 3 : lettre de relance",IF((p_asof-E555)&lt;=90,"Mise en demeure (recommandé)","Contentieux : injonction de payer")))))))</f>
        <v/>
      </c>
      <c r="M555" t="str">
        <f>IFERROR(MATCH(524,fa_rank,0),"")</f>
        <v/>
      </c>
    </row>
    <row r="556">
      <c r="B556" s="78" t="str">
        <f>IF($M556="","",INDEX(fa_num,$M556)&amp;"")</f>
        <v/>
      </c>
      <c r="C556" s="79" t="str">
        <f>IF($M556="","",INDEX(fa_cname,$M556)&amp;"")</f>
        <v/>
      </c>
      <c r="D556" s="56" t="str">
        <f>IF($M556="","",INDEX(fa_date,$M556))</f>
        <v/>
      </c>
      <c r="E556" s="56" t="str">
        <f>IF($M556="","",INDEX(fa_due,$M556))</f>
        <v/>
      </c>
      <c r="F556" s="75" t="str">
        <f>IF($M556="","",INDEX(fa_ttc,$M556))</f>
        <v/>
      </c>
      <c r="G556" s="75" t="str">
        <f>IF($M556="","",INDEX(fa_paid,$M556)+INDEX(fa_avoirs,$M556))</f>
        <v/>
      </c>
      <c r="H556" s="75" t="str">
        <f>IF($M556="","",INDEX(fa_reste,$M556))</f>
        <v/>
      </c>
      <c r="I556" s="58" t="str">
        <f>IF($M556="","",MAX(0,p_asof-E556))</f>
        <v/>
      </c>
      <c r="J556" s="78" t="str">
        <f>IF($M556="","",INDEX(fa_tranche,$M556)&amp;"")</f>
        <v/>
      </c>
      <c r="K556" s="56" t="str">
        <f>IF($M556="","",IF(ISNUMBER(INDEX(fa_relance,$M556)),INDEX(fa_relance,$M556),""))</f>
        <v/>
      </c>
      <c r="L556" s="79" t="str">
        <f>IF($M556="","",IF(AND(ISNUMBER(K556),(p_asof-E556)&gt;0,(p_asof-N(K556))&gt;=0,(p_asof-N(K556))&lt;7),"Déjà relancée il y a "&amp;(p_asof-N(K556))&amp;" j",IF((p_asof-E556)&lt;=0,IF((p_asof-E556)&gt;-8,"Rappel courtois avant l'échéance","Aucune action"),IF((p_asof-E556)&lt;=15,"Relance 1 : e-mail de rappel",IF((p_asof-E556)&lt;=30,"Relance 2 : appel téléphonique",IF((p_asof-E556)&lt;=60,"Relance 3 : lettre de relance",IF((p_asof-E556)&lt;=90,"Mise en demeure (recommandé)","Contentieux : injonction de payer")))))))</f>
        <v/>
      </c>
      <c r="M556" t="str">
        <f>IFERROR(MATCH(525,fa_rank,0),"")</f>
        <v/>
      </c>
    </row>
    <row r="557">
      <c r="B557" s="78" t="str">
        <f>IF($M557="","",INDEX(fa_num,$M557)&amp;"")</f>
        <v/>
      </c>
      <c r="C557" s="79" t="str">
        <f>IF($M557="","",INDEX(fa_cname,$M557)&amp;"")</f>
        <v/>
      </c>
      <c r="D557" s="56" t="str">
        <f>IF($M557="","",INDEX(fa_date,$M557))</f>
        <v/>
      </c>
      <c r="E557" s="56" t="str">
        <f>IF($M557="","",INDEX(fa_due,$M557))</f>
        <v/>
      </c>
      <c r="F557" s="75" t="str">
        <f>IF($M557="","",INDEX(fa_ttc,$M557))</f>
        <v/>
      </c>
      <c r="G557" s="75" t="str">
        <f>IF($M557="","",INDEX(fa_paid,$M557)+INDEX(fa_avoirs,$M557))</f>
        <v/>
      </c>
      <c r="H557" s="75" t="str">
        <f>IF($M557="","",INDEX(fa_reste,$M557))</f>
        <v/>
      </c>
      <c r="I557" s="58" t="str">
        <f>IF($M557="","",MAX(0,p_asof-E557))</f>
        <v/>
      </c>
      <c r="J557" s="78" t="str">
        <f>IF($M557="","",INDEX(fa_tranche,$M557)&amp;"")</f>
        <v/>
      </c>
      <c r="K557" s="56" t="str">
        <f>IF($M557="","",IF(ISNUMBER(INDEX(fa_relance,$M557)),INDEX(fa_relance,$M557),""))</f>
        <v/>
      </c>
      <c r="L557" s="79" t="str">
        <f>IF($M557="","",IF(AND(ISNUMBER(K557),(p_asof-E557)&gt;0,(p_asof-N(K557))&gt;=0,(p_asof-N(K557))&lt;7),"Déjà relancée il y a "&amp;(p_asof-N(K557))&amp;" j",IF((p_asof-E557)&lt;=0,IF((p_asof-E557)&gt;-8,"Rappel courtois avant l'échéance","Aucune action"),IF((p_asof-E557)&lt;=15,"Relance 1 : e-mail de rappel",IF((p_asof-E557)&lt;=30,"Relance 2 : appel téléphonique",IF((p_asof-E557)&lt;=60,"Relance 3 : lettre de relance",IF((p_asof-E557)&lt;=90,"Mise en demeure (recommandé)","Contentieux : injonction de payer")))))))</f>
        <v/>
      </c>
      <c r="M557" t="str">
        <f>IFERROR(MATCH(526,fa_rank,0),"")</f>
        <v/>
      </c>
    </row>
    <row r="558">
      <c r="B558" s="78" t="str">
        <f>IF($M558="","",INDEX(fa_num,$M558)&amp;"")</f>
        <v/>
      </c>
      <c r="C558" s="79" t="str">
        <f>IF($M558="","",INDEX(fa_cname,$M558)&amp;"")</f>
        <v/>
      </c>
      <c r="D558" s="56" t="str">
        <f>IF($M558="","",INDEX(fa_date,$M558))</f>
        <v/>
      </c>
      <c r="E558" s="56" t="str">
        <f>IF($M558="","",INDEX(fa_due,$M558))</f>
        <v/>
      </c>
      <c r="F558" s="75" t="str">
        <f>IF($M558="","",INDEX(fa_ttc,$M558))</f>
        <v/>
      </c>
      <c r="G558" s="75" t="str">
        <f>IF($M558="","",INDEX(fa_paid,$M558)+INDEX(fa_avoirs,$M558))</f>
        <v/>
      </c>
      <c r="H558" s="75" t="str">
        <f>IF($M558="","",INDEX(fa_reste,$M558))</f>
        <v/>
      </c>
      <c r="I558" s="58" t="str">
        <f>IF($M558="","",MAX(0,p_asof-E558))</f>
        <v/>
      </c>
      <c r="J558" s="78" t="str">
        <f>IF($M558="","",INDEX(fa_tranche,$M558)&amp;"")</f>
        <v/>
      </c>
      <c r="K558" s="56" t="str">
        <f>IF($M558="","",IF(ISNUMBER(INDEX(fa_relance,$M558)),INDEX(fa_relance,$M558),""))</f>
        <v/>
      </c>
      <c r="L558" s="79" t="str">
        <f>IF($M558="","",IF(AND(ISNUMBER(K558),(p_asof-E558)&gt;0,(p_asof-N(K558))&gt;=0,(p_asof-N(K558))&lt;7),"Déjà relancée il y a "&amp;(p_asof-N(K558))&amp;" j",IF((p_asof-E558)&lt;=0,IF((p_asof-E558)&gt;-8,"Rappel courtois avant l'échéance","Aucune action"),IF((p_asof-E558)&lt;=15,"Relance 1 : e-mail de rappel",IF((p_asof-E558)&lt;=30,"Relance 2 : appel téléphonique",IF((p_asof-E558)&lt;=60,"Relance 3 : lettre de relance",IF((p_asof-E558)&lt;=90,"Mise en demeure (recommandé)","Contentieux : injonction de payer")))))))</f>
        <v/>
      </c>
      <c r="M558" t="str">
        <f>IFERROR(MATCH(527,fa_rank,0),"")</f>
        <v/>
      </c>
    </row>
    <row r="559">
      <c r="B559" s="78" t="str">
        <f>IF($M559="","",INDEX(fa_num,$M559)&amp;"")</f>
        <v/>
      </c>
      <c r="C559" s="79" t="str">
        <f>IF($M559="","",INDEX(fa_cname,$M559)&amp;"")</f>
        <v/>
      </c>
      <c r="D559" s="56" t="str">
        <f>IF($M559="","",INDEX(fa_date,$M559))</f>
        <v/>
      </c>
      <c r="E559" s="56" t="str">
        <f>IF($M559="","",INDEX(fa_due,$M559))</f>
        <v/>
      </c>
      <c r="F559" s="75" t="str">
        <f>IF($M559="","",INDEX(fa_ttc,$M559))</f>
        <v/>
      </c>
      <c r="G559" s="75" t="str">
        <f>IF($M559="","",INDEX(fa_paid,$M559)+INDEX(fa_avoirs,$M559))</f>
        <v/>
      </c>
      <c r="H559" s="75" t="str">
        <f>IF($M559="","",INDEX(fa_reste,$M559))</f>
        <v/>
      </c>
      <c r="I559" s="58" t="str">
        <f>IF($M559="","",MAX(0,p_asof-E559))</f>
        <v/>
      </c>
      <c r="J559" s="78" t="str">
        <f>IF($M559="","",INDEX(fa_tranche,$M559)&amp;"")</f>
        <v/>
      </c>
      <c r="K559" s="56" t="str">
        <f>IF($M559="","",IF(ISNUMBER(INDEX(fa_relance,$M559)),INDEX(fa_relance,$M559),""))</f>
        <v/>
      </c>
      <c r="L559" s="79" t="str">
        <f>IF($M559="","",IF(AND(ISNUMBER(K559),(p_asof-E559)&gt;0,(p_asof-N(K559))&gt;=0,(p_asof-N(K559))&lt;7),"Déjà relancée il y a "&amp;(p_asof-N(K559))&amp;" j",IF((p_asof-E559)&lt;=0,IF((p_asof-E559)&gt;-8,"Rappel courtois avant l'échéance","Aucune action"),IF((p_asof-E559)&lt;=15,"Relance 1 : e-mail de rappel",IF((p_asof-E559)&lt;=30,"Relance 2 : appel téléphonique",IF((p_asof-E559)&lt;=60,"Relance 3 : lettre de relance",IF((p_asof-E559)&lt;=90,"Mise en demeure (recommandé)","Contentieux : injonction de payer")))))))</f>
        <v/>
      </c>
      <c r="M559" t="str">
        <f>IFERROR(MATCH(528,fa_rank,0),"")</f>
        <v/>
      </c>
    </row>
    <row r="560">
      <c r="B560" s="78" t="str">
        <f>IF($M560="","",INDEX(fa_num,$M560)&amp;"")</f>
        <v/>
      </c>
      <c r="C560" s="79" t="str">
        <f>IF($M560="","",INDEX(fa_cname,$M560)&amp;"")</f>
        <v/>
      </c>
      <c r="D560" s="56" t="str">
        <f>IF($M560="","",INDEX(fa_date,$M560))</f>
        <v/>
      </c>
      <c r="E560" s="56" t="str">
        <f>IF($M560="","",INDEX(fa_due,$M560))</f>
        <v/>
      </c>
      <c r="F560" s="75" t="str">
        <f>IF($M560="","",INDEX(fa_ttc,$M560))</f>
        <v/>
      </c>
      <c r="G560" s="75" t="str">
        <f>IF($M560="","",INDEX(fa_paid,$M560)+INDEX(fa_avoirs,$M560))</f>
        <v/>
      </c>
      <c r="H560" s="75" t="str">
        <f>IF($M560="","",INDEX(fa_reste,$M560))</f>
        <v/>
      </c>
      <c r="I560" s="58" t="str">
        <f>IF($M560="","",MAX(0,p_asof-E560))</f>
        <v/>
      </c>
      <c r="J560" s="78" t="str">
        <f>IF($M560="","",INDEX(fa_tranche,$M560)&amp;"")</f>
        <v/>
      </c>
      <c r="K560" s="56" t="str">
        <f>IF($M560="","",IF(ISNUMBER(INDEX(fa_relance,$M560)),INDEX(fa_relance,$M560),""))</f>
        <v/>
      </c>
      <c r="L560" s="79" t="str">
        <f>IF($M560="","",IF(AND(ISNUMBER(K560),(p_asof-E560)&gt;0,(p_asof-N(K560))&gt;=0,(p_asof-N(K560))&lt;7),"Déjà relancée il y a "&amp;(p_asof-N(K560))&amp;" j",IF((p_asof-E560)&lt;=0,IF((p_asof-E560)&gt;-8,"Rappel courtois avant l'échéance","Aucune action"),IF((p_asof-E560)&lt;=15,"Relance 1 : e-mail de rappel",IF((p_asof-E560)&lt;=30,"Relance 2 : appel téléphonique",IF((p_asof-E560)&lt;=60,"Relance 3 : lettre de relance",IF((p_asof-E560)&lt;=90,"Mise en demeure (recommandé)","Contentieux : injonction de payer")))))))</f>
        <v/>
      </c>
      <c r="M560" t="str">
        <f>IFERROR(MATCH(529,fa_rank,0),"")</f>
        <v/>
      </c>
    </row>
    <row r="561">
      <c r="B561" s="78" t="str">
        <f>IF($M561="","",INDEX(fa_num,$M561)&amp;"")</f>
        <v/>
      </c>
      <c r="C561" s="79" t="str">
        <f>IF($M561="","",INDEX(fa_cname,$M561)&amp;"")</f>
        <v/>
      </c>
      <c r="D561" s="56" t="str">
        <f>IF($M561="","",INDEX(fa_date,$M561))</f>
        <v/>
      </c>
      <c r="E561" s="56" t="str">
        <f>IF($M561="","",INDEX(fa_due,$M561))</f>
        <v/>
      </c>
      <c r="F561" s="75" t="str">
        <f>IF($M561="","",INDEX(fa_ttc,$M561))</f>
        <v/>
      </c>
      <c r="G561" s="75" t="str">
        <f>IF($M561="","",INDEX(fa_paid,$M561)+INDEX(fa_avoirs,$M561))</f>
        <v/>
      </c>
      <c r="H561" s="75" t="str">
        <f>IF($M561="","",INDEX(fa_reste,$M561))</f>
        <v/>
      </c>
      <c r="I561" s="58" t="str">
        <f>IF($M561="","",MAX(0,p_asof-E561))</f>
        <v/>
      </c>
      <c r="J561" s="78" t="str">
        <f>IF($M561="","",INDEX(fa_tranche,$M561)&amp;"")</f>
        <v/>
      </c>
      <c r="K561" s="56" t="str">
        <f>IF($M561="","",IF(ISNUMBER(INDEX(fa_relance,$M561)),INDEX(fa_relance,$M561),""))</f>
        <v/>
      </c>
      <c r="L561" s="79" t="str">
        <f>IF($M561="","",IF(AND(ISNUMBER(K561),(p_asof-E561)&gt;0,(p_asof-N(K561))&gt;=0,(p_asof-N(K561))&lt;7),"Déjà relancée il y a "&amp;(p_asof-N(K561))&amp;" j",IF((p_asof-E561)&lt;=0,IF((p_asof-E561)&gt;-8,"Rappel courtois avant l'échéance","Aucune action"),IF((p_asof-E561)&lt;=15,"Relance 1 : e-mail de rappel",IF((p_asof-E561)&lt;=30,"Relance 2 : appel téléphonique",IF((p_asof-E561)&lt;=60,"Relance 3 : lettre de relance",IF((p_asof-E561)&lt;=90,"Mise en demeure (recommandé)","Contentieux : injonction de payer")))))))</f>
        <v/>
      </c>
      <c r="M561" t="str">
        <f>IFERROR(MATCH(530,fa_rank,0),"")</f>
        <v/>
      </c>
    </row>
    <row r="562">
      <c r="B562" s="78" t="str">
        <f>IF($M562="","",INDEX(fa_num,$M562)&amp;"")</f>
        <v/>
      </c>
      <c r="C562" s="79" t="str">
        <f>IF($M562="","",INDEX(fa_cname,$M562)&amp;"")</f>
        <v/>
      </c>
      <c r="D562" s="56" t="str">
        <f>IF($M562="","",INDEX(fa_date,$M562))</f>
        <v/>
      </c>
      <c r="E562" s="56" t="str">
        <f>IF($M562="","",INDEX(fa_due,$M562))</f>
        <v/>
      </c>
      <c r="F562" s="75" t="str">
        <f>IF($M562="","",INDEX(fa_ttc,$M562))</f>
        <v/>
      </c>
      <c r="G562" s="75" t="str">
        <f>IF($M562="","",INDEX(fa_paid,$M562)+INDEX(fa_avoirs,$M562))</f>
        <v/>
      </c>
      <c r="H562" s="75" t="str">
        <f>IF($M562="","",INDEX(fa_reste,$M562))</f>
        <v/>
      </c>
      <c r="I562" s="58" t="str">
        <f>IF($M562="","",MAX(0,p_asof-E562))</f>
        <v/>
      </c>
      <c r="J562" s="78" t="str">
        <f>IF($M562="","",INDEX(fa_tranche,$M562)&amp;"")</f>
        <v/>
      </c>
      <c r="K562" s="56" t="str">
        <f>IF($M562="","",IF(ISNUMBER(INDEX(fa_relance,$M562)),INDEX(fa_relance,$M562),""))</f>
        <v/>
      </c>
      <c r="L562" s="79" t="str">
        <f>IF($M562="","",IF(AND(ISNUMBER(K562),(p_asof-E562)&gt;0,(p_asof-N(K562))&gt;=0,(p_asof-N(K562))&lt;7),"Déjà relancée il y a "&amp;(p_asof-N(K562))&amp;" j",IF((p_asof-E562)&lt;=0,IF((p_asof-E562)&gt;-8,"Rappel courtois avant l'échéance","Aucune action"),IF((p_asof-E562)&lt;=15,"Relance 1 : e-mail de rappel",IF((p_asof-E562)&lt;=30,"Relance 2 : appel téléphonique",IF((p_asof-E562)&lt;=60,"Relance 3 : lettre de relance",IF((p_asof-E562)&lt;=90,"Mise en demeure (recommandé)","Contentieux : injonction de payer")))))))</f>
        <v/>
      </c>
      <c r="M562" t="str">
        <f>IFERROR(MATCH(531,fa_rank,0),"")</f>
        <v/>
      </c>
    </row>
    <row r="563">
      <c r="B563" s="78" t="str">
        <f>IF($M563="","",INDEX(fa_num,$M563)&amp;"")</f>
        <v/>
      </c>
      <c r="C563" s="79" t="str">
        <f>IF($M563="","",INDEX(fa_cname,$M563)&amp;"")</f>
        <v/>
      </c>
      <c r="D563" s="56" t="str">
        <f>IF($M563="","",INDEX(fa_date,$M563))</f>
        <v/>
      </c>
      <c r="E563" s="56" t="str">
        <f>IF($M563="","",INDEX(fa_due,$M563))</f>
        <v/>
      </c>
      <c r="F563" s="75" t="str">
        <f>IF($M563="","",INDEX(fa_ttc,$M563))</f>
        <v/>
      </c>
      <c r="G563" s="75" t="str">
        <f>IF($M563="","",INDEX(fa_paid,$M563)+INDEX(fa_avoirs,$M563))</f>
        <v/>
      </c>
      <c r="H563" s="75" t="str">
        <f>IF($M563="","",INDEX(fa_reste,$M563))</f>
        <v/>
      </c>
      <c r="I563" s="58" t="str">
        <f>IF($M563="","",MAX(0,p_asof-E563))</f>
        <v/>
      </c>
      <c r="J563" s="78" t="str">
        <f>IF($M563="","",INDEX(fa_tranche,$M563)&amp;"")</f>
        <v/>
      </c>
      <c r="K563" s="56" t="str">
        <f>IF($M563="","",IF(ISNUMBER(INDEX(fa_relance,$M563)),INDEX(fa_relance,$M563),""))</f>
        <v/>
      </c>
      <c r="L563" s="79" t="str">
        <f>IF($M563="","",IF(AND(ISNUMBER(K563),(p_asof-E563)&gt;0,(p_asof-N(K563))&gt;=0,(p_asof-N(K563))&lt;7),"Déjà relancée il y a "&amp;(p_asof-N(K563))&amp;" j",IF((p_asof-E563)&lt;=0,IF((p_asof-E563)&gt;-8,"Rappel courtois avant l'échéance","Aucune action"),IF((p_asof-E563)&lt;=15,"Relance 1 : e-mail de rappel",IF((p_asof-E563)&lt;=30,"Relance 2 : appel téléphonique",IF((p_asof-E563)&lt;=60,"Relance 3 : lettre de relance",IF((p_asof-E563)&lt;=90,"Mise en demeure (recommandé)","Contentieux : injonction de payer")))))))</f>
        <v/>
      </c>
      <c r="M563" t="str">
        <f>IFERROR(MATCH(532,fa_rank,0),"")</f>
        <v/>
      </c>
    </row>
    <row r="564">
      <c r="B564" s="78" t="str">
        <f>IF($M564="","",INDEX(fa_num,$M564)&amp;"")</f>
        <v/>
      </c>
      <c r="C564" s="79" t="str">
        <f>IF($M564="","",INDEX(fa_cname,$M564)&amp;"")</f>
        <v/>
      </c>
      <c r="D564" s="56" t="str">
        <f>IF($M564="","",INDEX(fa_date,$M564))</f>
        <v/>
      </c>
      <c r="E564" s="56" t="str">
        <f>IF($M564="","",INDEX(fa_due,$M564))</f>
        <v/>
      </c>
      <c r="F564" s="75" t="str">
        <f>IF($M564="","",INDEX(fa_ttc,$M564))</f>
        <v/>
      </c>
      <c r="G564" s="75" t="str">
        <f>IF($M564="","",INDEX(fa_paid,$M564)+INDEX(fa_avoirs,$M564))</f>
        <v/>
      </c>
      <c r="H564" s="75" t="str">
        <f>IF($M564="","",INDEX(fa_reste,$M564))</f>
        <v/>
      </c>
      <c r="I564" s="58" t="str">
        <f>IF($M564="","",MAX(0,p_asof-E564))</f>
        <v/>
      </c>
      <c r="J564" s="78" t="str">
        <f>IF($M564="","",INDEX(fa_tranche,$M564)&amp;"")</f>
        <v/>
      </c>
      <c r="K564" s="56" t="str">
        <f>IF($M564="","",IF(ISNUMBER(INDEX(fa_relance,$M564)),INDEX(fa_relance,$M564),""))</f>
        <v/>
      </c>
      <c r="L564" s="79" t="str">
        <f>IF($M564="","",IF(AND(ISNUMBER(K564),(p_asof-E564)&gt;0,(p_asof-N(K564))&gt;=0,(p_asof-N(K564))&lt;7),"Déjà relancée il y a "&amp;(p_asof-N(K564))&amp;" j",IF((p_asof-E564)&lt;=0,IF((p_asof-E564)&gt;-8,"Rappel courtois avant l'échéance","Aucune action"),IF((p_asof-E564)&lt;=15,"Relance 1 : e-mail de rappel",IF((p_asof-E564)&lt;=30,"Relance 2 : appel téléphonique",IF((p_asof-E564)&lt;=60,"Relance 3 : lettre de relance",IF((p_asof-E564)&lt;=90,"Mise en demeure (recommandé)","Contentieux : injonction de payer")))))))</f>
        <v/>
      </c>
      <c r="M564" t="str">
        <f>IFERROR(MATCH(533,fa_rank,0),"")</f>
        <v/>
      </c>
    </row>
    <row r="565">
      <c r="B565" s="78" t="str">
        <f>IF($M565="","",INDEX(fa_num,$M565)&amp;"")</f>
        <v/>
      </c>
      <c r="C565" s="79" t="str">
        <f>IF($M565="","",INDEX(fa_cname,$M565)&amp;"")</f>
        <v/>
      </c>
      <c r="D565" s="56" t="str">
        <f>IF($M565="","",INDEX(fa_date,$M565))</f>
        <v/>
      </c>
      <c r="E565" s="56" t="str">
        <f>IF($M565="","",INDEX(fa_due,$M565))</f>
        <v/>
      </c>
      <c r="F565" s="75" t="str">
        <f>IF($M565="","",INDEX(fa_ttc,$M565))</f>
        <v/>
      </c>
      <c r="G565" s="75" t="str">
        <f>IF($M565="","",INDEX(fa_paid,$M565)+INDEX(fa_avoirs,$M565))</f>
        <v/>
      </c>
      <c r="H565" s="75" t="str">
        <f>IF($M565="","",INDEX(fa_reste,$M565))</f>
        <v/>
      </c>
      <c r="I565" s="58" t="str">
        <f>IF($M565="","",MAX(0,p_asof-E565))</f>
        <v/>
      </c>
      <c r="J565" s="78" t="str">
        <f>IF($M565="","",INDEX(fa_tranche,$M565)&amp;"")</f>
        <v/>
      </c>
      <c r="K565" s="56" t="str">
        <f>IF($M565="","",IF(ISNUMBER(INDEX(fa_relance,$M565)),INDEX(fa_relance,$M565),""))</f>
        <v/>
      </c>
      <c r="L565" s="79" t="str">
        <f>IF($M565="","",IF(AND(ISNUMBER(K565),(p_asof-E565)&gt;0,(p_asof-N(K565))&gt;=0,(p_asof-N(K565))&lt;7),"Déjà relancée il y a "&amp;(p_asof-N(K565))&amp;" j",IF((p_asof-E565)&lt;=0,IF((p_asof-E565)&gt;-8,"Rappel courtois avant l'échéance","Aucune action"),IF((p_asof-E565)&lt;=15,"Relance 1 : e-mail de rappel",IF((p_asof-E565)&lt;=30,"Relance 2 : appel téléphonique",IF((p_asof-E565)&lt;=60,"Relance 3 : lettre de relance",IF((p_asof-E565)&lt;=90,"Mise en demeure (recommandé)","Contentieux : injonction de payer")))))))</f>
        <v/>
      </c>
      <c r="M565" t="str">
        <f>IFERROR(MATCH(534,fa_rank,0),"")</f>
        <v/>
      </c>
    </row>
    <row r="566">
      <c r="B566" s="78" t="str">
        <f>IF($M566="","",INDEX(fa_num,$M566)&amp;"")</f>
        <v/>
      </c>
      <c r="C566" s="79" t="str">
        <f>IF($M566="","",INDEX(fa_cname,$M566)&amp;"")</f>
        <v/>
      </c>
      <c r="D566" s="56" t="str">
        <f>IF($M566="","",INDEX(fa_date,$M566))</f>
        <v/>
      </c>
      <c r="E566" s="56" t="str">
        <f>IF($M566="","",INDEX(fa_due,$M566))</f>
        <v/>
      </c>
      <c r="F566" s="75" t="str">
        <f>IF($M566="","",INDEX(fa_ttc,$M566))</f>
        <v/>
      </c>
      <c r="G566" s="75" t="str">
        <f>IF($M566="","",INDEX(fa_paid,$M566)+INDEX(fa_avoirs,$M566))</f>
        <v/>
      </c>
      <c r="H566" s="75" t="str">
        <f>IF($M566="","",INDEX(fa_reste,$M566))</f>
        <v/>
      </c>
      <c r="I566" s="58" t="str">
        <f>IF($M566="","",MAX(0,p_asof-E566))</f>
        <v/>
      </c>
      <c r="J566" s="78" t="str">
        <f>IF($M566="","",INDEX(fa_tranche,$M566)&amp;"")</f>
        <v/>
      </c>
      <c r="K566" s="56" t="str">
        <f>IF($M566="","",IF(ISNUMBER(INDEX(fa_relance,$M566)),INDEX(fa_relance,$M566),""))</f>
        <v/>
      </c>
      <c r="L566" s="79" t="str">
        <f>IF($M566="","",IF(AND(ISNUMBER(K566),(p_asof-E566)&gt;0,(p_asof-N(K566))&gt;=0,(p_asof-N(K566))&lt;7),"Déjà relancée il y a "&amp;(p_asof-N(K566))&amp;" j",IF((p_asof-E566)&lt;=0,IF((p_asof-E566)&gt;-8,"Rappel courtois avant l'échéance","Aucune action"),IF((p_asof-E566)&lt;=15,"Relance 1 : e-mail de rappel",IF((p_asof-E566)&lt;=30,"Relance 2 : appel téléphonique",IF((p_asof-E566)&lt;=60,"Relance 3 : lettre de relance",IF((p_asof-E566)&lt;=90,"Mise en demeure (recommandé)","Contentieux : injonction de payer")))))))</f>
        <v/>
      </c>
      <c r="M566" t="str">
        <f>IFERROR(MATCH(535,fa_rank,0),"")</f>
        <v/>
      </c>
    </row>
    <row r="567">
      <c r="B567" s="78" t="str">
        <f>IF($M567="","",INDEX(fa_num,$M567)&amp;"")</f>
        <v/>
      </c>
      <c r="C567" s="79" t="str">
        <f>IF($M567="","",INDEX(fa_cname,$M567)&amp;"")</f>
        <v/>
      </c>
      <c r="D567" s="56" t="str">
        <f>IF($M567="","",INDEX(fa_date,$M567))</f>
        <v/>
      </c>
      <c r="E567" s="56" t="str">
        <f>IF($M567="","",INDEX(fa_due,$M567))</f>
        <v/>
      </c>
      <c r="F567" s="75" t="str">
        <f>IF($M567="","",INDEX(fa_ttc,$M567))</f>
        <v/>
      </c>
      <c r="G567" s="75" t="str">
        <f>IF($M567="","",INDEX(fa_paid,$M567)+INDEX(fa_avoirs,$M567))</f>
        <v/>
      </c>
      <c r="H567" s="75" t="str">
        <f>IF($M567="","",INDEX(fa_reste,$M567))</f>
        <v/>
      </c>
      <c r="I567" s="58" t="str">
        <f>IF($M567="","",MAX(0,p_asof-E567))</f>
        <v/>
      </c>
      <c r="J567" s="78" t="str">
        <f>IF($M567="","",INDEX(fa_tranche,$M567)&amp;"")</f>
        <v/>
      </c>
      <c r="K567" s="56" t="str">
        <f>IF($M567="","",IF(ISNUMBER(INDEX(fa_relance,$M567)),INDEX(fa_relance,$M567),""))</f>
        <v/>
      </c>
      <c r="L567" s="79" t="str">
        <f>IF($M567="","",IF(AND(ISNUMBER(K567),(p_asof-E567)&gt;0,(p_asof-N(K567))&gt;=0,(p_asof-N(K567))&lt;7),"Déjà relancée il y a "&amp;(p_asof-N(K567))&amp;" j",IF((p_asof-E567)&lt;=0,IF((p_asof-E567)&gt;-8,"Rappel courtois avant l'échéance","Aucune action"),IF((p_asof-E567)&lt;=15,"Relance 1 : e-mail de rappel",IF((p_asof-E567)&lt;=30,"Relance 2 : appel téléphonique",IF((p_asof-E567)&lt;=60,"Relance 3 : lettre de relance",IF((p_asof-E567)&lt;=90,"Mise en demeure (recommandé)","Contentieux : injonction de payer")))))))</f>
        <v/>
      </c>
      <c r="M567" t="str">
        <f>IFERROR(MATCH(536,fa_rank,0),"")</f>
        <v/>
      </c>
    </row>
    <row r="568">
      <c r="B568" s="78" t="str">
        <f>IF($M568="","",INDEX(fa_num,$M568)&amp;"")</f>
        <v/>
      </c>
      <c r="C568" s="79" t="str">
        <f>IF($M568="","",INDEX(fa_cname,$M568)&amp;"")</f>
        <v/>
      </c>
      <c r="D568" s="56" t="str">
        <f>IF($M568="","",INDEX(fa_date,$M568))</f>
        <v/>
      </c>
      <c r="E568" s="56" t="str">
        <f>IF($M568="","",INDEX(fa_due,$M568))</f>
        <v/>
      </c>
      <c r="F568" s="75" t="str">
        <f>IF($M568="","",INDEX(fa_ttc,$M568))</f>
        <v/>
      </c>
      <c r="G568" s="75" t="str">
        <f>IF($M568="","",INDEX(fa_paid,$M568)+INDEX(fa_avoirs,$M568))</f>
        <v/>
      </c>
      <c r="H568" s="75" t="str">
        <f>IF($M568="","",INDEX(fa_reste,$M568))</f>
        <v/>
      </c>
      <c r="I568" s="58" t="str">
        <f>IF($M568="","",MAX(0,p_asof-E568))</f>
        <v/>
      </c>
      <c r="J568" s="78" t="str">
        <f>IF($M568="","",INDEX(fa_tranche,$M568)&amp;"")</f>
        <v/>
      </c>
      <c r="K568" s="56" t="str">
        <f>IF($M568="","",IF(ISNUMBER(INDEX(fa_relance,$M568)),INDEX(fa_relance,$M568),""))</f>
        <v/>
      </c>
      <c r="L568" s="79" t="str">
        <f>IF($M568="","",IF(AND(ISNUMBER(K568),(p_asof-E568)&gt;0,(p_asof-N(K568))&gt;=0,(p_asof-N(K568))&lt;7),"Déjà relancée il y a "&amp;(p_asof-N(K568))&amp;" j",IF((p_asof-E568)&lt;=0,IF((p_asof-E568)&gt;-8,"Rappel courtois avant l'échéance","Aucune action"),IF((p_asof-E568)&lt;=15,"Relance 1 : e-mail de rappel",IF((p_asof-E568)&lt;=30,"Relance 2 : appel téléphonique",IF((p_asof-E568)&lt;=60,"Relance 3 : lettre de relance",IF((p_asof-E568)&lt;=90,"Mise en demeure (recommandé)","Contentieux : injonction de payer")))))))</f>
        <v/>
      </c>
      <c r="M568" t="str">
        <f>IFERROR(MATCH(537,fa_rank,0),"")</f>
        <v/>
      </c>
    </row>
    <row r="569">
      <c r="B569" s="78" t="str">
        <f>IF($M569="","",INDEX(fa_num,$M569)&amp;"")</f>
        <v/>
      </c>
      <c r="C569" s="79" t="str">
        <f>IF($M569="","",INDEX(fa_cname,$M569)&amp;"")</f>
        <v/>
      </c>
      <c r="D569" s="56" t="str">
        <f>IF($M569="","",INDEX(fa_date,$M569))</f>
        <v/>
      </c>
      <c r="E569" s="56" t="str">
        <f>IF($M569="","",INDEX(fa_due,$M569))</f>
        <v/>
      </c>
      <c r="F569" s="75" t="str">
        <f>IF($M569="","",INDEX(fa_ttc,$M569))</f>
        <v/>
      </c>
      <c r="G569" s="75" t="str">
        <f>IF($M569="","",INDEX(fa_paid,$M569)+INDEX(fa_avoirs,$M569))</f>
        <v/>
      </c>
      <c r="H569" s="75" t="str">
        <f>IF($M569="","",INDEX(fa_reste,$M569))</f>
        <v/>
      </c>
      <c r="I569" s="58" t="str">
        <f>IF($M569="","",MAX(0,p_asof-E569))</f>
        <v/>
      </c>
      <c r="J569" s="78" t="str">
        <f>IF($M569="","",INDEX(fa_tranche,$M569)&amp;"")</f>
        <v/>
      </c>
      <c r="K569" s="56" t="str">
        <f>IF($M569="","",IF(ISNUMBER(INDEX(fa_relance,$M569)),INDEX(fa_relance,$M569),""))</f>
        <v/>
      </c>
      <c r="L569" s="79" t="str">
        <f>IF($M569="","",IF(AND(ISNUMBER(K569),(p_asof-E569)&gt;0,(p_asof-N(K569))&gt;=0,(p_asof-N(K569))&lt;7),"Déjà relancée il y a "&amp;(p_asof-N(K569))&amp;" j",IF((p_asof-E569)&lt;=0,IF((p_asof-E569)&gt;-8,"Rappel courtois avant l'échéance","Aucune action"),IF((p_asof-E569)&lt;=15,"Relance 1 : e-mail de rappel",IF((p_asof-E569)&lt;=30,"Relance 2 : appel téléphonique",IF((p_asof-E569)&lt;=60,"Relance 3 : lettre de relance",IF((p_asof-E569)&lt;=90,"Mise en demeure (recommandé)","Contentieux : injonction de payer")))))))</f>
        <v/>
      </c>
      <c r="M569" t="str">
        <f>IFERROR(MATCH(538,fa_rank,0),"")</f>
        <v/>
      </c>
    </row>
    <row r="570">
      <c r="B570" s="78" t="str">
        <f>IF($M570="","",INDEX(fa_num,$M570)&amp;"")</f>
        <v/>
      </c>
      <c r="C570" s="79" t="str">
        <f>IF($M570="","",INDEX(fa_cname,$M570)&amp;"")</f>
        <v/>
      </c>
      <c r="D570" s="56" t="str">
        <f>IF($M570="","",INDEX(fa_date,$M570))</f>
        <v/>
      </c>
      <c r="E570" s="56" t="str">
        <f>IF($M570="","",INDEX(fa_due,$M570))</f>
        <v/>
      </c>
      <c r="F570" s="75" t="str">
        <f>IF($M570="","",INDEX(fa_ttc,$M570))</f>
        <v/>
      </c>
      <c r="G570" s="75" t="str">
        <f>IF($M570="","",INDEX(fa_paid,$M570)+INDEX(fa_avoirs,$M570))</f>
        <v/>
      </c>
      <c r="H570" s="75" t="str">
        <f>IF($M570="","",INDEX(fa_reste,$M570))</f>
        <v/>
      </c>
      <c r="I570" s="58" t="str">
        <f>IF($M570="","",MAX(0,p_asof-E570))</f>
        <v/>
      </c>
      <c r="J570" s="78" t="str">
        <f>IF($M570="","",INDEX(fa_tranche,$M570)&amp;"")</f>
        <v/>
      </c>
      <c r="K570" s="56" t="str">
        <f>IF($M570="","",IF(ISNUMBER(INDEX(fa_relance,$M570)),INDEX(fa_relance,$M570),""))</f>
        <v/>
      </c>
      <c r="L570" s="79" t="str">
        <f>IF($M570="","",IF(AND(ISNUMBER(K570),(p_asof-E570)&gt;0,(p_asof-N(K570))&gt;=0,(p_asof-N(K570))&lt;7),"Déjà relancée il y a "&amp;(p_asof-N(K570))&amp;" j",IF((p_asof-E570)&lt;=0,IF((p_asof-E570)&gt;-8,"Rappel courtois avant l'échéance","Aucune action"),IF((p_asof-E570)&lt;=15,"Relance 1 : e-mail de rappel",IF((p_asof-E570)&lt;=30,"Relance 2 : appel téléphonique",IF((p_asof-E570)&lt;=60,"Relance 3 : lettre de relance",IF((p_asof-E570)&lt;=90,"Mise en demeure (recommandé)","Contentieux : injonction de payer")))))))</f>
        <v/>
      </c>
      <c r="M570" t="str">
        <f>IFERROR(MATCH(539,fa_rank,0),"")</f>
        <v/>
      </c>
    </row>
    <row r="571">
      <c r="B571" s="78" t="str">
        <f>IF($M571="","",INDEX(fa_num,$M571)&amp;"")</f>
        <v/>
      </c>
      <c r="C571" s="79" t="str">
        <f>IF($M571="","",INDEX(fa_cname,$M571)&amp;"")</f>
        <v/>
      </c>
      <c r="D571" s="56" t="str">
        <f>IF($M571="","",INDEX(fa_date,$M571))</f>
        <v/>
      </c>
      <c r="E571" s="56" t="str">
        <f>IF($M571="","",INDEX(fa_due,$M571))</f>
        <v/>
      </c>
      <c r="F571" s="75" t="str">
        <f>IF($M571="","",INDEX(fa_ttc,$M571))</f>
        <v/>
      </c>
      <c r="G571" s="75" t="str">
        <f>IF($M571="","",INDEX(fa_paid,$M571)+INDEX(fa_avoirs,$M571))</f>
        <v/>
      </c>
      <c r="H571" s="75" t="str">
        <f>IF($M571="","",INDEX(fa_reste,$M571))</f>
        <v/>
      </c>
      <c r="I571" s="58" t="str">
        <f>IF($M571="","",MAX(0,p_asof-E571))</f>
        <v/>
      </c>
      <c r="J571" s="78" t="str">
        <f>IF($M571="","",INDEX(fa_tranche,$M571)&amp;"")</f>
        <v/>
      </c>
      <c r="K571" s="56" t="str">
        <f>IF($M571="","",IF(ISNUMBER(INDEX(fa_relance,$M571)),INDEX(fa_relance,$M571),""))</f>
        <v/>
      </c>
      <c r="L571" s="79" t="str">
        <f>IF($M571="","",IF(AND(ISNUMBER(K571),(p_asof-E571)&gt;0,(p_asof-N(K571))&gt;=0,(p_asof-N(K571))&lt;7),"Déjà relancée il y a "&amp;(p_asof-N(K571))&amp;" j",IF((p_asof-E571)&lt;=0,IF((p_asof-E571)&gt;-8,"Rappel courtois avant l'échéance","Aucune action"),IF((p_asof-E571)&lt;=15,"Relance 1 : e-mail de rappel",IF((p_asof-E571)&lt;=30,"Relance 2 : appel téléphonique",IF((p_asof-E571)&lt;=60,"Relance 3 : lettre de relance",IF((p_asof-E571)&lt;=90,"Mise en demeure (recommandé)","Contentieux : injonction de payer")))))))</f>
        <v/>
      </c>
      <c r="M571" t="str">
        <f>IFERROR(MATCH(540,fa_rank,0),"")</f>
        <v/>
      </c>
    </row>
    <row r="572">
      <c r="B572" s="78" t="str">
        <f>IF($M572="","",INDEX(fa_num,$M572)&amp;"")</f>
        <v/>
      </c>
      <c r="C572" s="79" t="str">
        <f>IF($M572="","",INDEX(fa_cname,$M572)&amp;"")</f>
        <v/>
      </c>
      <c r="D572" s="56" t="str">
        <f>IF($M572="","",INDEX(fa_date,$M572))</f>
        <v/>
      </c>
      <c r="E572" s="56" t="str">
        <f>IF($M572="","",INDEX(fa_due,$M572))</f>
        <v/>
      </c>
      <c r="F572" s="75" t="str">
        <f>IF($M572="","",INDEX(fa_ttc,$M572))</f>
        <v/>
      </c>
      <c r="G572" s="75" t="str">
        <f>IF($M572="","",INDEX(fa_paid,$M572)+INDEX(fa_avoirs,$M572))</f>
        <v/>
      </c>
      <c r="H572" s="75" t="str">
        <f>IF($M572="","",INDEX(fa_reste,$M572))</f>
        <v/>
      </c>
      <c r="I572" s="58" t="str">
        <f>IF($M572="","",MAX(0,p_asof-E572))</f>
        <v/>
      </c>
      <c r="J572" s="78" t="str">
        <f>IF($M572="","",INDEX(fa_tranche,$M572)&amp;"")</f>
        <v/>
      </c>
      <c r="K572" s="56" t="str">
        <f>IF($M572="","",IF(ISNUMBER(INDEX(fa_relance,$M572)),INDEX(fa_relance,$M572),""))</f>
        <v/>
      </c>
      <c r="L572" s="79" t="str">
        <f>IF($M572="","",IF(AND(ISNUMBER(K572),(p_asof-E572)&gt;0,(p_asof-N(K572))&gt;=0,(p_asof-N(K572))&lt;7),"Déjà relancée il y a "&amp;(p_asof-N(K572))&amp;" j",IF((p_asof-E572)&lt;=0,IF((p_asof-E572)&gt;-8,"Rappel courtois avant l'échéance","Aucune action"),IF((p_asof-E572)&lt;=15,"Relance 1 : e-mail de rappel",IF((p_asof-E572)&lt;=30,"Relance 2 : appel téléphonique",IF((p_asof-E572)&lt;=60,"Relance 3 : lettre de relance",IF((p_asof-E572)&lt;=90,"Mise en demeure (recommandé)","Contentieux : injonction de payer")))))))</f>
        <v/>
      </c>
      <c r="M572" t="str">
        <f>IFERROR(MATCH(541,fa_rank,0),"")</f>
        <v/>
      </c>
    </row>
    <row r="573">
      <c r="B573" s="78" t="str">
        <f>IF($M573="","",INDEX(fa_num,$M573)&amp;"")</f>
        <v/>
      </c>
      <c r="C573" s="79" t="str">
        <f>IF($M573="","",INDEX(fa_cname,$M573)&amp;"")</f>
        <v/>
      </c>
      <c r="D573" s="56" t="str">
        <f>IF($M573="","",INDEX(fa_date,$M573))</f>
        <v/>
      </c>
      <c r="E573" s="56" t="str">
        <f>IF($M573="","",INDEX(fa_due,$M573))</f>
        <v/>
      </c>
      <c r="F573" s="75" t="str">
        <f>IF($M573="","",INDEX(fa_ttc,$M573))</f>
        <v/>
      </c>
      <c r="G573" s="75" t="str">
        <f>IF($M573="","",INDEX(fa_paid,$M573)+INDEX(fa_avoirs,$M573))</f>
        <v/>
      </c>
      <c r="H573" s="75" t="str">
        <f>IF($M573="","",INDEX(fa_reste,$M573))</f>
        <v/>
      </c>
      <c r="I573" s="58" t="str">
        <f>IF($M573="","",MAX(0,p_asof-E573))</f>
        <v/>
      </c>
      <c r="J573" s="78" t="str">
        <f>IF($M573="","",INDEX(fa_tranche,$M573)&amp;"")</f>
        <v/>
      </c>
      <c r="K573" s="56" t="str">
        <f>IF($M573="","",IF(ISNUMBER(INDEX(fa_relance,$M573)),INDEX(fa_relance,$M573),""))</f>
        <v/>
      </c>
      <c r="L573" s="79" t="str">
        <f>IF($M573="","",IF(AND(ISNUMBER(K573),(p_asof-E573)&gt;0,(p_asof-N(K573))&gt;=0,(p_asof-N(K573))&lt;7),"Déjà relancée il y a "&amp;(p_asof-N(K573))&amp;" j",IF((p_asof-E573)&lt;=0,IF((p_asof-E573)&gt;-8,"Rappel courtois avant l'échéance","Aucune action"),IF((p_asof-E573)&lt;=15,"Relance 1 : e-mail de rappel",IF((p_asof-E573)&lt;=30,"Relance 2 : appel téléphonique",IF((p_asof-E573)&lt;=60,"Relance 3 : lettre de relance",IF((p_asof-E573)&lt;=90,"Mise en demeure (recommandé)","Contentieux : injonction de payer")))))))</f>
        <v/>
      </c>
      <c r="M573" t="str">
        <f>IFERROR(MATCH(542,fa_rank,0),"")</f>
        <v/>
      </c>
    </row>
    <row r="574">
      <c r="B574" s="78" t="str">
        <f>IF($M574="","",INDEX(fa_num,$M574)&amp;"")</f>
        <v/>
      </c>
      <c r="C574" s="79" t="str">
        <f>IF($M574="","",INDEX(fa_cname,$M574)&amp;"")</f>
        <v/>
      </c>
      <c r="D574" s="56" t="str">
        <f>IF($M574="","",INDEX(fa_date,$M574))</f>
        <v/>
      </c>
      <c r="E574" s="56" t="str">
        <f>IF($M574="","",INDEX(fa_due,$M574))</f>
        <v/>
      </c>
      <c r="F574" s="75" t="str">
        <f>IF($M574="","",INDEX(fa_ttc,$M574))</f>
        <v/>
      </c>
      <c r="G574" s="75" t="str">
        <f>IF($M574="","",INDEX(fa_paid,$M574)+INDEX(fa_avoirs,$M574))</f>
        <v/>
      </c>
      <c r="H574" s="75" t="str">
        <f>IF($M574="","",INDEX(fa_reste,$M574))</f>
        <v/>
      </c>
      <c r="I574" s="58" t="str">
        <f>IF($M574="","",MAX(0,p_asof-E574))</f>
        <v/>
      </c>
      <c r="J574" s="78" t="str">
        <f>IF($M574="","",INDEX(fa_tranche,$M574)&amp;"")</f>
        <v/>
      </c>
      <c r="K574" s="56" t="str">
        <f>IF($M574="","",IF(ISNUMBER(INDEX(fa_relance,$M574)),INDEX(fa_relance,$M574),""))</f>
        <v/>
      </c>
      <c r="L574" s="79" t="str">
        <f>IF($M574="","",IF(AND(ISNUMBER(K574),(p_asof-E574)&gt;0,(p_asof-N(K574))&gt;=0,(p_asof-N(K574))&lt;7),"Déjà relancée il y a "&amp;(p_asof-N(K574))&amp;" j",IF((p_asof-E574)&lt;=0,IF((p_asof-E574)&gt;-8,"Rappel courtois avant l'échéance","Aucune action"),IF((p_asof-E574)&lt;=15,"Relance 1 : e-mail de rappel",IF((p_asof-E574)&lt;=30,"Relance 2 : appel téléphonique",IF((p_asof-E574)&lt;=60,"Relance 3 : lettre de relance",IF((p_asof-E574)&lt;=90,"Mise en demeure (recommandé)","Contentieux : injonction de payer")))))))</f>
        <v/>
      </c>
      <c r="M574" t="str">
        <f>IFERROR(MATCH(543,fa_rank,0),"")</f>
        <v/>
      </c>
    </row>
    <row r="575">
      <c r="B575" s="78" t="str">
        <f>IF($M575="","",INDEX(fa_num,$M575)&amp;"")</f>
        <v/>
      </c>
      <c r="C575" s="79" t="str">
        <f>IF($M575="","",INDEX(fa_cname,$M575)&amp;"")</f>
        <v/>
      </c>
      <c r="D575" s="56" t="str">
        <f>IF($M575="","",INDEX(fa_date,$M575))</f>
        <v/>
      </c>
      <c r="E575" s="56" t="str">
        <f>IF($M575="","",INDEX(fa_due,$M575))</f>
        <v/>
      </c>
      <c r="F575" s="75" t="str">
        <f>IF($M575="","",INDEX(fa_ttc,$M575))</f>
        <v/>
      </c>
      <c r="G575" s="75" t="str">
        <f>IF($M575="","",INDEX(fa_paid,$M575)+INDEX(fa_avoirs,$M575))</f>
        <v/>
      </c>
      <c r="H575" s="75" t="str">
        <f>IF($M575="","",INDEX(fa_reste,$M575))</f>
        <v/>
      </c>
      <c r="I575" s="58" t="str">
        <f>IF($M575="","",MAX(0,p_asof-E575))</f>
        <v/>
      </c>
      <c r="J575" s="78" t="str">
        <f>IF($M575="","",INDEX(fa_tranche,$M575)&amp;"")</f>
        <v/>
      </c>
      <c r="K575" s="56" t="str">
        <f>IF($M575="","",IF(ISNUMBER(INDEX(fa_relance,$M575)),INDEX(fa_relance,$M575),""))</f>
        <v/>
      </c>
      <c r="L575" s="79" t="str">
        <f>IF($M575="","",IF(AND(ISNUMBER(K575),(p_asof-E575)&gt;0,(p_asof-N(K575))&gt;=0,(p_asof-N(K575))&lt;7),"Déjà relancée il y a "&amp;(p_asof-N(K575))&amp;" j",IF((p_asof-E575)&lt;=0,IF((p_asof-E575)&gt;-8,"Rappel courtois avant l'échéance","Aucune action"),IF((p_asof-E575)&lt;=15,"Relance 1 : e-mail de rappel",IF((p_asof-E575)&lt;=30,"Relance 2 : appel téléphonique",IF((p_asof-E575)&lt;=60,"Relance 3 : lettre de relance",IF((p_asof-E575)&lt;=90,"Mise en demeure (recommandé)","Contentieux : injonction de payer")))))))</f>
        <v/>
      </c>
      <c r="M575" t="str">
        <f>IFERROR(MATCH(544,fa_rank,0),"")</f>
        <v/>
      </c>
    </row>
    <row r="576">
      <c r="B576" s="78" t="str">
        <f>IF($M576="","",INDEX(fa_num,$M576)&amp;"")</f>
        <v/>
      </c>
      <c r="C576" s="79" t="str">
        <f>IF($M576="","",INDEX(fa_cname,$M576)&amp;"")</f>
        <v/>
      </c>
      <c r="D576" s="56" t="str">
        <f>IF($M576="","",INDEX(fa_date,$M576))</f>
        <v/>
      </c>
      <c r="E576" s="56" t="str">
        <f>IF($M576="","",INDEX(fa_due,$M576))</f>
        <v/>
      </c>
      <c r="F576" s="75" t="str">
        <f>IF($M576="","",INDEX(fa_ttc,$M576))</f>
        <v/>
      </c>
      <c r="G576" s="75" t="str">
        <f>IF($M576="","",INDEX(fa_paid,$M576)+INDEX(fa_avoirs,$M576))</f>
        <v/>
      </c>
      <c r="H576" s="75" t="str">
        <f>IF($M576="","",INDEX(fa_reste,$M576))</f>
        <v/>
      </c>
      <c r="I576" s="58" t="str">
        <f>IF($M576="","",MAX(0,p_asof-E576))</f>
        <v/>
      </c>
      <c r="J576" s="78" t="str">
        <f>IF($M576="","",INDEX(fa_tranche,$M576)&amp;"")</f>
        <v/>
      </c>
      <c r="K576" s="56" t="str">
        <f>IF($M576="","",IF(ISNUMBER(INDEX(fa_relance,$M576)),INDEX(fa_relance,$M576),""))</f>
        <v/>
      </c>
      <c r="L576" s="79" t="str">
        <f>IF($M576="","",IF(AND(ISNUMBER(K576),(p_asof-E576)&gt;0,(p_asof-N(K576))&gt;=0,(p_asof-N(K576))&lt;7),"Déjà relancée il y a "&amp;(p_asof-N(K576))&amp;" j",IF((p_asof-E576)&lt;=0,IF((p_asof-E576)&gt;-8,"Rappel courtois avant l'échéance","Aucune action"),IF((p_asof-E576)&lt;=15,"Relance 1 : e-mail de rappel",IF((p_asof-E576)&lt;=30,"Relance 2 : appel téléphonique",IF((p_asof-E576)&lt;=60,"Relance 3 : lettre de relance",IF((p_asof-E576)&lt;=90,"Mise en demeure (recommandé)","Contentieux : injonction de payer")))))))</f>
        <v/>
      </c>
      <c r="M576" t="str">
        <f>IFERROR(MATCH(545,fa_rank,0),"")</f>
        <v/>
      </c>
    </row>
    <row r="577">
      <c r="B577" s="78" t="str">
        <f>IF($M577="","",INDEX(fa_num,$M577)&amp;"")</f>
        <v/>
      </c>
      <c r="C577" s="79" t="str">
        <f>IF($M577="","",INDEX(fa_cname,$M577)&amp;"")</f>
        <v/>
      </c>
      <c r="D577" s="56" t="str">
        <f>IF($M577="","",INDEX(fa_date,$M577))</f>
        <v/>
      </c>
      <c r="E577" s="56" t="str">
        <f>IF($M577="","",INDEX(fa_due,$M577))</f>
        <v/>
      </c>
      <c r="F577" s="75" t="str">
        <f>IF($M577="","",INDEX(fa_ttc,$M577))</f>
        <v/>
      </c>
      <c r="G577" s="75" t="str">
        <f>IF($M577="","",INDEX(fa_paid,$M577)+INDEX(fa_avoirs,$M577))</f>
        <v/>
      </c>
      <c r="H577" s="75" t="str">
        <f>IF($M577="","",INDEX(fa_reste,$M577))</f>
        <v/>
      </c>
      <c r="I577" s="58" t="str">
        <f>IF($M577="","",MAX(0,p_asof-E577))</f>
        <v/>
      </c>
      <c r="J577" s="78" t="str">
        <f>IF($M577="","",INDEX(fa_tranche,$M577)&amp;"")</f>
        <v/>
      </c>
      <c r="K577" s="56" t="str">
        <f>IF($M577="","",IF(ISNUMBER(INDEX(fa_relance,$M577)),INDEX(fa_relance,$M577),""))</f>
        <v/>
      </c>
      <c r="L577" s="79" t="str">
        <f>IF($M577="","",IF(AND(ISNUMBER(K577),(p_asof-E577)&gt;0,(p_asof-N(K577))&gt;=0,(p_asof-N(K577))&lt;7),"Déjà relancée il y a "&amp;(p_asof-N(K577))&amp;" j",IF((p_asof-E577)&lt;=0,IF((p_asof-E577)&gt;-8,"Rappel courtois avant l'échéance","Aucune action"),IF((p_asof-E577)&lt;=15,"Relance 1 : e-mail de rappel",IF((p_asof-E577)&lt;=30,"Relance 2 : appel téléphonique",IF((p_asof-E577)&lt;=60,"Relance 3 : lettre de relance",IF((p_asof-E577)&lt;=90,"Mise en demeure (recommandé)","Contentieux : injonction de payer")))))))</f>
        <v/>
      </c>
      <c r="M577" t="str">
        <f>IFERROR(MATCH(546,fa_rank,0),"")</f>
        <v/>
      </c>
    </row>
    <row r="578">
      <c r="B578" s="78" t="str">
        <f>IF($M578="","",INDEX(fa_num,$M578)&amp;"")</f>
        <v/>
      </c>
      <c r="C578" s="79" t="str">
        <f>IF($M578="","",INDEX(fa_cname,$M578)&amp;"")</f>
        <v/>
      </c>
      <c r="D578" s="56" t="str">
        <f>IF($M578="","",INDEX(fa_date,$M578))</f>
        <v/>
      </c>
      <c r="E578" s="56" t="str">
        <f>IF($M578="","",INDEX(fa_due,$M578))</f>
        <v/>
      </c>
      <c r="F578" s="75" t="str">
        <f>IF($M578="","",INDEX(fa_ttc,$M578))</f>
        <v/>
      </c>
      <c r="G578" s="75" t="str">
        <f>IF($M578="","",INDEX(fa_paid,$M578)+INDEX(fa_avoirs,$M578))</f>
        <v/>
      </c>
      <c r="H578" s="75" t="str">
        <f>IF($M578="","",INDEX(fa_reste,$M578))</f>
        <v/>
      </c>
      <c r="I578" s="58" t="str">
        <f>IF($M578="","",MAX(0,p_asof-E578))</f>
        <v/>
      </c>
      <c r="J578" s="78" t="str">
        <f>IF($M578="","",INDEX(fa_tranche,$M578)&amp;"")</f>
        <v/>
      </c>
      <c r="K578" s="56" t="str">
        <f>IF($M578="","",IF(ISNUMBER(INDEX(fa_relance,$M578)),INDEX(fa_relance,$M578),""))</f>
        <v/>
      </c>
      <c r="L578" s="79" t="str">
        <f>IF($M578="","",IF(AND(ISNUMBER(K578),(p_asof-E578)&gt;0,(p_asof-N(K578))&gt;=0,(p_asof-N(K578))&lt;7),"Déjà relancée il y a "&amp;(p_asof-N(K578))&amp;" j",IF((p_asof-E578)&lt;=0,IF((p_asof-E578)&gt;-8,"Rappel courtois avant l'échéance","Aucune action"),IF((p_asof-E578)&lt;=15,"Relance 1 : e-mail de rappel",IF((p_asof-E578)&lt;=30,"Relance 2 : appel téléphonique",IF((p_asof-E578)&lt;=60,"Relance 3 : lettre de relance",IF((p_asof-E578)&lt;=90,"Mise en demeure (recommandé)","Contentieux : injonction de payer")))))))</f>
        <v/>
      </c>
      <c r="M578" t="str">
        <f>IFERROR(MATCH(547,fa_rank,0),"")</f>
        <v/>
      </c>
    </row>
    <row r="579">
      <c r="B579" s="78" t="str">
        <f>IF($M579="","",INDEX(fa_num,$M579)&amp;"")</f>
        <v/>
      </c>
      <c r="C579" s="79" t="str">
        <f>IF($M579="","",INDEX(fa_cname,$M579)&amp;"")</f>
        <v/>
      </c>
      <c r="D579" s="56" t="str">
        <f>IF($M579="","",INDEX(fa_date,$M579))</f>
        <v/>
      </c>
      <c r="E579" s="56" t="str">
        <f>IF($M579="","",INDEX(fa_due,$M579))</f>
        <v/>
      </c>
      <c r="F579" s="75" t="str">
        <f>IF($M579="","",INDEX(fa_ttc,$M579))</f>
        <v/>
      </c>
      <c r="G579" s="75" t="str">
        <f>IF($M579="","",INDEX(fa_paid,$M579)+INDEX(fa_avoirs,$M579))</f>
        <v/>
      </c>
      <c r="H579" s="75" t="str">
        <f>IF($M579="","",INDEX(fa_reste,$M579))</f>
        <v/>
      </c>
      <c r="I579" s="58" t="str">
        <f>IF($M579="","",MAX(0,p_asof-E579))</f>
        <v/>
      </c>
      <c r="J579" s="78" t="str">
        <f>IF($M579="","",INDEX(fa_tranche,$M579)&amp;"")</f>
        <v/>
      </c>
      <c r="K579" s="56" t="str">
        <f>IF($M579="","",IF(ISNUMBER(INDEX(fa_relance,$M579)),INDEX(fa_relance,$M579),""))</f>
        <v/>
      </c>
      <c r="L579" s="79" t="str">
        <f>IF($M579="","",IF(AND(ISNUMBER(K579),(p_asof-E579)&gt;0,(p_asof-N(K579))&gt;=0,(p_asof-N(K579))&lt;7),"Déjà relancée il y a "&amp;(p_asof-N(K579))&amp;" j",IF((p_asof-E579)&lt;=0,IF((p_asof-E579)&gt;-8,"Rappel courtois avant l'échéance","Aucune action"),IF((p_asof-E579)&lt;=15,"Relance 1 : e-mail de rappel",IF((p_asof-E579)&lt;=30,"Relance 2 : appel téléphonique",IF((p_asof-E579)&lt;=60,"Relance 3 : lettre de relance",IF((p_asof-E579)&lt;=90,"Mise en demeure (recommandé)","Contentieux : injonction de payer")))))))</f>
        <v/>
      </c>
      <c r="M579" t="str">
        <f>IFERROR(MATCH(548,fa_rank,0),"")</f>
        <v/>
      </c>
    </row>
    <row r="580">
      <c r="B580" s="78" t="str">
        <f>IF($M580="","",INDEX(fa_num,$M580)&amp;"")</f>
        <v/>
      </c>
      <c r="C580" s="79" t="str">
        <f>IF($M580="","",INDEX(fa_cname,$M580)&amp;"")</f>
        <v/>
      </c>
      <c r="D580" s="56" t="str">
        <f>IF($M580="","",INDEX(fa_date,$M580))</f>
        <v/>
      </c>
      <c r="E580" s="56" t="str">
        <f>IF($M580="","",INDEX(fa_due,$M580))</f>
        <v/>
      </c>
      <c r="F580" s="75" t="str">
        <f>IF($M580="","",INDEX(fa_ttc,$M580))</f>
        <v/>
      </c>
      <c r="G580" s="75" t="str">
        <f>IF($M580="","",INDEX(fa_paid,$M580)+INDEX(fa_avoirs,$M580))</f>
        <v/>
      </c>
      <c r="H580" s="75" t="str">
        <f>IF($M580="","",INDEX(fa_reste,$M580))</f>
        <v/>
      </c>
      <c r="I580" s="58" t="str">
        <f>IF($M580="","",MAX(0,p_asof-E580))</f>
        <v/>
      </c>
      <c r="J580" s="78" t="str">
        <f>IF($M580="","",INDEX(fa_tranche,$M580)&amp;"")</f>
        <v/>
      </c>
      <c r="K580" s="56" t="str">
        <f>IF($M580="","",IF(ISNUMBER(INDEX(fa_relance,$M580)),INDEX(fa_relance,$M580),""))</f>
        <v/>
      </c>
      <c r="L580" s="79" t="str">
        <f>IF($M580="","",IF(AND(ISNUMBER(K580),(p_asof-E580)&gt;0,(p_asof-N(K580))&gt;=0,(p_asof-N(K580))&lt;7),"Déjà relancée il y a "&amp;(p_asof-N(K580))&amp;" j",IF((p_asof-E580)&lt;=0,IF((p_asof-E580)&gt;-8,"Rappel courtois avant l'échéance","Aucune action"),IF((p_asof-E580)&lt;=15,"Relance 1 : e-mail de rappel",IF((p_asof-E580)&lt;=30,"Relance 2 : appel téléphonique",IF((p_asof-E580)&lt;=60,"Relance 3 : lettre de relance",IF((p_asof-E580)&lt;=90,"Mise en demeure (recommandé)","Contentieux : injonction de payer")))))))</f>
        <v/>
      </c>
      <c r="M580" t="str">
        <f>IFERROR(MATCH(549,fa_rank,0),"")</f>
        <v/>
      </c>
    </row>
    <row r="581">
      <c r="B581" s="78" t="str">
        <f>IF($M581="","",INDEX(fa_num,$M581)&amp;"")</f>
        <v/>
      </c>
      <c r="C581" s="79" t="str">
        <f>IF($M581="","",INDEX(fa_cname,$M581)&amp;"")</f>
        <v/>
      </c>
      <c r="D581" s="56" t="str">
        <f>IF($M581="","",INDEX(fa_date,$M581))</f>
        <v/>
      </c>
      <c r="E581" s="56" t="str">
        <f>IF($M581="","",INDEX(fa_due,$M581))</f>
        <v/>
      </c>
      <c r="F581" s="75" t="str">
        <f>IF($M581="","",INDEX(fa_ttc,$M581))</f>
        <v/>
      </c>
      <c r="G581" s="75" t="str">
        <f>IF($M581="","",INDEX(fa_paid,$M581)+INDEX(fa_avoirs,$M581))</f>
        <v/>
      </c>
      <c r="H581" s="75" t="str">
        <f>IF($M581="","",INDEX(fa_reste,$M581))</f>
        <v/>
      </c>
      <c r="I581" s="58" t="str">
        <f>IF($M581="","",MAX(0,p_asof-E581))</f>
        <v/>
      </c>
      <c r="J581" s="78" t="str">
        <f>IF($M581="","",INDEX(fa_tranche,$M581)&amp;"")</f>
        <v/>
      </c>
      <c r="K581" s="56" t="str">
        <f>IF($M581="","",IF(ISNUMBER(INDEX(fa_relance,$M581)),INDEX(fa_relance,$M581),""))</f>
        <v/>
      </c>
      <c r="L581" s="79" t="str">
        <f>IF($M581="","",IF(AND(ISNUMBER(K581),(p_asof-E581)&gt;0,(p_asof-N(K581))&gt;=0,(p_asof-N(K581))&lt;7),"Déjà relancée il y a "&amp;(p_asof-N(K581))&amp;" j",IF((p_asof-E581)&lt;=0,IF((p_asof-E581)&gt;-8,"Rappel courtois avant l'échéance","Aucune action"),IF((p_asof-E581)&lt;=15,"Relance 1 : e-mail de rappel",IF((p_asof-E581)&lt;=30,"Relance 2 : appel téléphonique",IF((p_asof-E581)&lt;=60,"Relance 3 : lettre de relance",IF((p_asof-E581)&lt;=90,"Mise en demeure (recommandé)","Contentieux : injonction de payer")))))))</f>
        <v/>
      </c>
      <c r="M581" t="str">
        <f>IFERROR(MATCH(550,fa_rank,0),"")</f>
        <v/>
      </c>
    </row>
    <row r="582">
      <c r="B582" s="78" t="str">
        <f>IF($M582="","",INDEX(fa_num,$M582)&amp;"")</f>
        <v/>
      </c>
      <c r="C582" s="79" t="str">
        <f>IF($M582="","",INDEX(fa_cname,$M582)&amp;"")</f>
        <v/>
      </c>
      <c r="D582" s="56" t="str">
        <f>IF($M582="","",INDEX(fa_date,$M582))</f>
        <v/>
      </c>
      <c r="E582" s="56" t="str">
        <f>IF($M582="","",INDEX(fa_due,$M582))</f>
        <v/>
      </c>
      <c r="F582" s="75" t="str">
        <f>IF($M582="","",INDEX(fa_ttc,$M582))</f>
        <v/>
      </c>
      <c r="G582" s="75" t="str">
        <f>IF($M582="","",INDEX(fa_paid,$M582)+INDEX(fa_avoirs,$M582))</f>
        <v/>
      </c>
      <c r="H582" s="75" t="str">
        <f>IF($M582="","",INDEX(fa_reste,$M582))</f>
        <v/>
      </c>
      <c r="I582" s="58" t="str">
        <f>IF($M582="","",MAX(0,p_asof-E582))</f>
        <v/>
      </c>
      <c r="J582" s="78" t="str">
        <f>IF($M582="","",INDEX(fa_tranche,$M582)&amp;"")</f>
        <v/>
      </c>
      <c r="K582" s="56" t="str">
        <f>IF($M582="","",IF(ISNUMBER(INDEX(fa_relance,$M582)),INDEX(fa_relance,$M582),""))</f>
        <v/>
      </c>
      <c r="L582" s="79" t="str">
        <f>IF($M582="","",IF(AND(ISNUMBER(K582),(p_asof-E582)&gt;0,(p_asof-N(K582))&gt;=0,(p_asof-N(K582))&lt;7),"Déjà relancée il y a "&amp;(p_asof-N(K582))&amp;" j",IF((p_asof-E582)&lt;=0,IF((p_asof-E582)&gt;-8,"Rappel courtois avant l'échéance","Aucune action"),IF((p_asof-E582)&lt;=15,"Relance 1 : e-mail de rappel",IF((p_asof-E582)&lt;=30,"Relance 2 : appel téléphonique",IF((p_asof-E582)&lt;=60,"Relance 3 : lettre de relance",IF((p_asof-E582)&lt;=90,"Mise en demeure (recommandé)","Contentieux : injonction de payer")))))))</f>
        <v/>
      </c>
      <c r="M582" t="str">
        <f>IFERROR(MATCH(551,fa_rank,0),"")</f>
        <v/>
      </c>
    </row>
    <row r="583">
      <c r="B583" s="78" t="str">
        <f>IF($M583="","",INDEX(fa_num,$M583)&amp;"")</f>
        <v/>
      </c>
      <c r="C583" s="79" t="str">
        <f>IF($M583="","",INDEX(fa_cname,$M583)&amp;"")</f>
        <v/>
      </c>
      <c r="D583" s="56" t="str">
        <f>IF($M583="","",INDEX(fa_date,$M583))</f>
        <v/>
      </c>
      <c r="E583" s="56" t="str">
        <f>IF($M583="","",INDEX(fa_due,$M583))</f>
        <v/>
      </c>
      <c r="F583" s="75" t="str">
        <f>IF($M583="","",INDEX(fa_ttc,$M583))</f>
        <v/>
      </c>
      <c r="G583" s="75" t="str">
        <f>IF($M583="","",INDEX(fa_paid,$M583)+INDEX(fa_avoirs,$M583))</f>
        <v/>
      </c>
      <c r="H583" s="75" t="str">
        <f>IF($M583="","",INDEX(fa_reste,$M583))</f>
        <v/>
      </c>
      <c r="I583" s="58" t="str">
        <f>IF($M583="","",MAX(0,p_asof-E583))</f>
        <v/>
      </c>
      <c r="J583" s="78" t="str">
        <f>IF($M583="","",INDEX(fa_tranche,$M583)&amp;"")</f>
        <v/>
      </c>
      <c r="K583" s="56" t="str">
        <f>IF($M583="","",IF(ISNUMBER(INDEX(fa_relance,$M583)),INDEX(fa_relance,$M583),""))</f>
        <v/>
      </c>
      <c r="L583" s="79" t="str">
        <f>IF($M583="","",IF(AND(ISNUMBER(K583),(p_asof-E583)&gt;0,(p_asof-N(K583))&gt;=0,(p_asof-N(K583))&lt;7),"Déjà relancée il y a "&amp;(p_asof-N(K583))&amp;" j",IF((p_asof-E583)&lt;=0,IF((p_asof-E583)&gt;-8,"Rappel courtois avant l'échéance","Aucune action"),IF((p_asof-E583)&lt;=15,"Relance 1 : e-mail de rappel",IF((p_asof-E583)&lt;=30,"Relance 2 : appel téléphonique",IF((p_asof-E583)&lt;=60,"Relance 3 : lettre de relance",IF((p_asof-E583)&lt;=90,"Mise en demeure (recommandé)","Contentieux : injonction de payer")))))))</f>
        <v/>
      </c>
      <c r="M583" t="str">
        <f>IFERROR(MATCH(552,fa_rank,0),"")</f>
        <v/>
      </c>
    </row>
    <row r="584">
      <c r="B584" s="78" t="str">
        <f>IF($M584="","",INDEX(fa_num,$M584)&amp;"")</f>
        <v/>
      </c>
      <c r="C584" s="79" t="str">
        <f>IF($M584="","",INDEX(fa_cname,$M584)&amp;"")</f>
        <v/>
      </c>
      <c r="D584" s="56" t="str">
        <f>IF($M584="","",INDEX(fa_date,$M584))</f>
        <v/>
      </c>
      <c r="E584" s="56" t="str">
        <f>IF($M584="","",INDEX(fa_due,$M584))</f>
        <v/>
      </c>
      <c r="F584" s="75" t="str">
        <f>IF($M584="","",INDEX(fa_ttc,$M584))</f>
        <v/>
      </c>
      <c r="G584" s="75" t="str">
        <f>IF($M584="","",INDEX(fa_paid,$M584)+INDEX(fa_avoirs,$M584))</f>
        <v/>
      </c>
      <c r="H584" s="75" t="str">
        <f>IF($M584="","",INDEX(fa_reste,$M584))</f>
        <v/>
      </c>
      <c r="I584" s="58" t="str">
        <f>IF($M584="","",MAX(0,p_asof-E584))</f>
        <v/>
      </c>
      <c r="J584" s="78" t="str">
        <f>IF($M584="","",INDEX(fa_tranche,$M584)&amp;"")</f>
        <v/>
      </c>
      <c r="K584" s="56" t="str">
        <f>IF($M584="","",IF(ISNUMBER(INDEX(fa_relance,$M584)),INDEX(fa_relance,$M584),""))</f>
        <v/>
      </c>
      <c r="L584" s="79" t="str">
        <f>IF($M584="","",IF(AND(ISNUMBER(K584),(p_asof-E584)&gt;0,(p_asof-N(K584))&gt;=0,(p_asof-N(K584))&lt;7),"Déjà relancée il y a "&amp;(p_asof-N(K584))&amp;" j",IF((p_asof-E584)&lt;=0,IF((p_asof-E584)&gt;-8,"Rappel courtois avant l'échéance","Aucune action"),IF((p_asof-E584)&lt;=15,"Relance 1 : e-mail de rappel",IF((p_asof-E584)&lt;=30,"Relance 2 : appel téléphonique",IF((p_asof-E584)&lt;=60,"Relance 3 : lettre de relance",IF((p_asof-E584)&lt;=90,"Mise en demeure (recommandé)","Contentieux : injonction de payer")))))))</f>
        <v/>
      </c>
      <c r="M584" t="str">
        <f>IFERROR(MATCH(553,fa_rank,0),"")</f>
        <v/>
      </c>
    </row>
    <row r="585">
      <c r="B585" s="78" t="str">
        <f>IF($M585="","",INDEX(fa_num,$M585)&amp;"")</f>
        <v/>
      </c>
      <c r="C585" s="79" t="str">
        <f>IF($M585="","",INDEX(fa_cname,$M585)&amp;"")</f>
        <v/>
      </c>
      <c r="D585" s="56" t="str">
        <f>IF($M585="","",INDEX(fa_date,$M585))</f>
        <v/>
      </c>
      <c r="E585" s="56" t="str">
        <f>IF($M585="","",INDEX(fa_due,$M585))</f>
        <v/>
      </c>
      <c r="F585" s="75" t="str">
        <f>IF($M585="","",INDEX(fa_ttc,$M585))</f>
        <v/>
      </c>
      <c r="G585" s="75" t="str">
        <f>IF($M585="","",INDEX(fa_paid,$M585)+INDEX(fa_avoirs,$M585))</f>
        <v/>
      </c>
      <c r="H585" s="75" t="str">
        <f>IF($M585="","",INDEX(fa_reste,$M585))</f>
        <v/>
      </c>
      <c r="I585" s="58" t="str">
        <f>IF($M585="","",MAX(0,p_asof-E585))</f>
        <v/>
      </c>
      <c r="J585" s="78" t="str">
        <f>IF($M585="","",INDEX(fa_tranche,$M585)&amp;"")</f>
        <v/>
      </c>
      <c r="K585" s="56" t="str">
        <f>IF($M585="","",IF(ISNUMBER(INDEX(fa_relance,$M585)),INDEX(fa_relance,$M585),""))</f>
        <v/>
      </c>
      <c r="L585" s="79" t="str">
        <f>IF($M585="","",IF(AND(ISNUMBER(K585),(p_asof-E585)&gt;0,(p_asof-N(K585))&gt;=0,(p_asof-N(K585))&lt;7),"Déjà relancée il y a "&amp;(p_asof-N(K585))&amp;" j",IF((p_asof-E585)&lt;=0,IF((p_asof-E585)&gt;-8,"Rappel courtois avant l'échéance","Aucune action"),IF((p_asof-E585)&lt;=15,"Relance 1 : e-mail de rappel",IF((p_asof-E585)&lt;=30,"Relance 2 : appel téléphonique",IF((p_asof-E585)&lt;=60,"Relance 3 : lettre de relance",IF((p_asof-E585)&lt;=90,"Mise en demeure (recommandé)","Contentieux : injonction de payer")))))))</f>
        <v/>
      </c>
      <c r="M585" t="str">
        <f>IFERROR(MATCH(554,fa_rank,0),"")</f>
        <v/>
      </c>
    </row>
    <row r="586">
      <c r="B586" s="78" t="str">
        <f>IF($M586="","",INDEX(fa_num,$M586)&amp;"")</f>
        <v/>
      </c>
      <c r="C586" s="79" t="str">
        <f>IF($M586="","",INDEX(fa_cname,$M586)&amp;"")</f>
        <v/>
      </c>
      <c r="D586" s="56" t="str">
        <f>IF($M586="","",INDEX(fa_date,$M586))</f>
        <v/>
      </c>
      <c r="E586" s="56" t="str">
        <f>IF($M586="","",INDEX(fa_due,$M586))</f>
        <v/>
      </c>
      <c r="F586" s="75" t="str">
        <f>IF($M586="","",INDEX(fa_ttc,$M586))</f>
        <v/>
      </c>
      <c r="G586" s="75" t="str">
        <f>IF($M586="","",INDEX(fa_paid,$M586)+INDEX(fa_avoirs,$M586))</f>
        <v/>
      </c>
      <c r="H586" s="75" t="str">
        <f>IF($M586="","",INDEX(fa_reste,$M586))</f>
        <v/>
      </c>
      <c r="I586" s="58" t="str">
        <f>IF($M586="","",MAX(0,p_asof-E586))</f>
        <v/>
      </c>
      <c r="J586" s="78" t="str">
        <f>IF($M586="","",INDEX(fa_tranche,$M586)&amp;"")</f>
        <v/>
      </c>
      <c r="K586" s="56" t="str">
        <f>IF($M586="","",IF(ISNUMBER(INDEX(fa_relance,$M586)),INDEX(fa_relance,$M586),""))</f>
        <v/>
      </c>
      <c r="L586" s="79" t="str">
        <f>IF($M586="","",IF(AND(ISNUMBER(K586),(p_asof-E586)&gt;0,(p_asof-N(K586))&gt;=0,(p_asof-N(K586))&lt;7),"Déjà relancée il y a "&amp;(p_asof-N(K586))&amp;" j",IF((p_asof-E586)&lt;=0,IF((p_asof-E586)&gt;-8,"Rappel courtois avant l'échéance","Aucune action"),IF((p_asof-E586)&lt;=15,"Relance 1 : e-mail de rappel",IF((p_asof-E586)&lt;=30,"Relance 2 : appel téléphonique",IF((p_asof-E586)&lt;=60,"Relance 3 : lettre de relance",IF((p_asof-E586)&lt;=90,"Mise en demeure (recommandé)","Contentieux : injonction de payer")))))))</f>
        <v/>
      </c>
      <c r="M586" t="str">
        <f>IFERROR(MATCH(555,fa_rank,0),"")</f>
        <v/>
      </c>
    </row>
    <row r="587">
      <c r="B587" s="78" t="str">
        <f>IF($M587="","",INDEX(fa_num,$M587)&amp;"")</f>
        <v/>
      </c>
      <c r="C587" s="79" t="str">
        <f>IF($M587="","",INDEX(fa_cname,$M587)&amp;"")</f>
        <v/>
      </c>
      <c r="D587" s="56" t="str">
        <f>IF($M587="","",INDEX(fa_date,$M587))</f>
        <v/>
      </c>
      <c r="E587" s="56" t="str">
        <f>IF($M587="","",INDEX(fa_due,$M587))</f>
        <v/>
      </c>
      <c r="F587" s="75" t="str">
        <f>IF($M587="","",INDEX(fa_ttc,$M587))</f>
        <v/>
      </c>
      <c r="G587" s="75" t="str">
        <f>IF($M587="","",INDEX(fa_paid,$M587)+INDEX(fa_avoirs,$M587))</f>
        <v/>
      </c>
      <c r="H587" s="75" t="str">
        <f>IF($M587="","",INDEX(fa_reste,$M587))</f>
        <v/>
      </c>
      <c r="I587" s="58" t="str">
        <f>IF($M587="","",MAX(0,p_asof-E587))</f>
        <v/>
      </c>
      <c r="J587" s="78" t="str">
        <f>IF($M587="","",INDEX(fa_tranche,$M587)&amp;"")</f>
        <v/>
      </c>
      <c r="K587" s="56" t="str">
        <f>IF($M587="","",IF(ISNUMBER(INDEX(fa_relance,$M587)),INDEX(fa_relance,$M587),""))</f>
        <v/>
      </c>
      <c r="L587" s="79" t="str">
        <f>IF($M587="","",IF(AND(ISNUMBER(K587),(p_asof-E587)&gt;0,(p_asof-N(K587))&gt;=0,(p_asof-N(K587))&lt;7),"Déjà relancée il y a "&amp;(p_asof-N(K587))&amp;" j",IF((p_asof-E587)&lt;=0,IF((p_asof-E587)&gt;-8,"Rappel courtois avant l'échéance","Aucune action"),IF((p_asof-E587)&lt;=15,"Relance 1 : e-mail de rappel",IF((p_asof-E587)&lt;=30,"Relance 2 : appel téléphonique",IF((p_asof-E587)&lt;=60,"Relance 3 : lettre de relance",IF((p_asof-E587)&lt;=90,"Mise en demeure (recommandé)","Contentieux : injonction de payer")))))))</f>
        <v/>
      </c>
      <c r="M587" t="str">
        <f>IFERROR(MATCH(556,fa_rank,0),"")</f>
        <v/>
      </c>
    </row>
    <row r="588">
      <c r="B588" s="78" t="str">
        <f>IF($M588="","",INDEX(fa_num,$M588)&amp;"")</f>
        <v/>
      </c>
      <c r="C588" s="79" t="str">
        <f>IF($M588="","",INDEX(fa_cname,$M588)&amp;"")</f>
        <v/>
      </c>
      <c r="D588" s="56" t="str">
        <f>IF($M588="","",INDEX(fa_date,$M588))</f>
        <v/>
      </c>
      <c r="E588" s="56" t="str">
        <f>IF($M588="","",INDEX(fa_due,$M588))</f>
        <v/>
      </c>
      <c r="F588" s="75" t="str">
        <f>IF($M588="","",INDEX(fa_ttc,$M588))</f>
        <v/>
      </c>
      <c r="G588" s="75" t="str">
        <f>IF($M588="","",INDEX(fa_paid,$M588)+INDEX(fa_avoirs,$M588))</f>
        <v/>
      </c>
      <c r="H588" s="75" t="str">
        <f>IF($M588="","",INDEX(fa_reste,$M588))</f>
        <v/>
      </c>
      <c r="I588" s="58" t="str">
        <f>IF($M588="","",MAX(0,p_asof-E588))</f>
        <v/>
      </c>
      <c r="J588" s="78" t="str">
        <f>IF($M588="","",INDEX(fa_tranche,$M588)&amp;"")</f>
        <v/>
      </c>
      <c r="K588" s="56" t="str">
        <f>IF($M588="","",IF(ISNUMBER(INDEX(fa_relance,$M588)),INDEX(fa_relance,$M588),""))</f>
        <v/>
      </c>
      <c r="L588" s="79" t="str">
        <f>IF($M588="","",IF(AND(ISNUMBER(K588),(p_asof-E588)&gt;0,(p_asof-N(K588))&gt;=0,(p_asof-N(K588))&lt;7),"Déjà relancée il y a "&amp;(p_asof-N(K588))&amp;" j",IF((p_asof-E588)&lt;=0,IF((p_asof-E588)&gt;-8,"Rappel courtois avant l'échéance","Aucune action"),IF((p_asof-E588)&lt;=15,"Relance 1 : e-mail de rappel",IF((p_asof-E588)&lt;=30,"Relance 2 : appel téléphonique",IF((p_asof-E588)&lt;=60,"Relance 3 : lettre de relance",IF((p_asof-E588)&lt;=90,"Mise en demeure (recommandé)","Contentieux : injonction de payer")))))))</f>
        <v/>
      </c>
      <c r="M588" t="str">
        <f>IFERROR(MATCH(557,fa_rank,0),"")</f>
        <v/>
      </c>
    </row>
    <row r="589">
      <c r="B589" s="78" t="str">
        <f>IF($M589="","",INDEX(fa_num,$M589)&amp;"")</f>
        <v/>
      </c>
      <c r="C589" s="79" t="str">
        <f>IF($M589="","",INDEX(fa_cname,$M589)&amp;"")</f>
        <v/>
      </c>
      <c r="D589" s="56" t="str">
        <f>IF($M589="","",INDEX(fa_date,$M589))</f>
        <v/>
      </c>
      <c r="E589" s="56" t="str">
        <f>IF($M589="","",INDEX(fa_due,$M589))</f>
        <v/>
      </c>
      <c r="F589" s="75" t="str">
        <f>IF($M589="","",INDEX(fa_ttc,$M589))</f>
        <v/>
      </c>
      <c r="G589" s="75" t="str">
        <f>IF($M589="","",INDEX(fa_paid,$M589)+INDEX(fa_avoirs,$M589))</f>
        <v/>
      </c>
      <c r="H589" s="75" t="str">
        <f>IF($M589="","",INDEX(fa_reste,$M589))</f>
        <v/>
      </c>
      <c r="I589" s="58" t="str">
        <f>IF($M589="","",MAX(0,p_asof-E589))</f>
        <v/>
      </c>
      <c r="J589" s="78" t="str">
        <f>IF($M589="","",INDEX(fa_tranche,$M589)&amp;"")</f>
        <v/>
      </c>
      <c r="K589" s="56" t="str">
        <f>IF($M589="","",IF(ISNUMBER(INDEX(fa_relance,$M589)),INDEX(fa_relance,$M589),""))</f>
        <v/>
      </c>
      <c r="L589" s="79" t="str">
        <f>IF($M589="","",IF(AND(ISNUMBER(K589),(p_asof-E589)&gt;0,(p_asof-N(K589))&gt;=0,(p_asof-N(K589))&lt;7),"Déjà relancée il y a "&amp;(p_asof-N(K589))&amp;" j",IF((p_asof-E589)&lt;=0,IF((p_asof-E589)&gt;-8,"Rappel courtois avant l'échéance","Aucune action"),IF((p_asof-E589)&lt;=15,"Relance 1 : e-mail de rappel",IF((p_asof-E589)&lt;=30,"Relance 2 : appel téléphonique",IF((p_asof-E589)&lt;=60,"Relance 3 : lettre de relance",IF((p_asof-E589)&lt;=90,"Mise en demeure (recommandé)","Contentieux : injonction de payer")))))))</f>
        <v/>
      </c>
      <c r="M589" t="str">
        <f>IFERROR(MATCH(558,fa_rank,0),"")</f>
        <v/>
      </c>
    </row>
    <row r="590">
      <c r="B590" s="78" t="str">
        <f>IF($M590="","",INDEX(fa_num,$M590)&amp;"")</f>
        <v/>
      </c>
      <c r="C590" s="79" t="str">
        <f>IF($M590="","",INDEX(fa_cname,$M590)&amp;"")</f>
        <v/>
      </c>
      <c r="D590" s="56" t="str">
        <f>IF($M590="","",INDEX(fa_date,$M590))</f>
        <v/>
      </c>
      <c r="E590" s="56" t="str">
        <f>IF($M590="","",INDEX(fa_due,$M590))</f>
        <v/>
      </c>
      <c r="F590" s="75" t="str">
        <f>IF($M590="","",INDEX(fa_ttc,$M590))</f>
        <v/>
      </c>
      <c r="G590" s="75" t="str">
        <f>IF($M590="","",INDEX(fa_paid,$M590)+INDEX(fa_avoirs,$M590))</f>
        <v/>
      </c>
      <c r="H590" s="75" t="str">
        <f>IF($M590="","",INDEX(fa_reste,$M590))</f>
        <v/>
      </c>
      <c r="I590" s="58" t="str">
        <f>IF($M590="","",MAX(0,p_asof-E590))</f>
        <v/>
      </c>
      <c r="J590" s="78" t="str">
        <f>IF($M590="","",INDEX(fa_tranche,$M590)&amp;"")</f>
        <v/>
      </c>
      <c r="K590" s="56" t="str">
        <f>IF($M590="","",IF(ISNUMBER(INDEX(fa_relance,$M590)),INDEX(fa_relance,$M590),""))</f>
        <v/>
      </c>
      <c r="L590" s="79" t="str">
        <f>IF($M590="","",IF(AND(ISNUMBER(K590),(p_asof-E590)&gt;0,(p_asof-N(K590))&gt;=0,(p_asof-N(K590))&lt;7),"Déjà relancée il y a "&amp;(p_asof-N(K590))&amp;" j",IF((p_asof-E590)&lt;=0,IF((p_asof-E590)&gt;-8,"Rappel courtois avant l'échéance","Aucune action"),IF((p_asof-E590)&lt;=15,"Relance 1 : e-mail de rappel",IF((p_asof-E590)&lt;=30,"Relance 2 : appel téléphonique",IF((p_asof-E590)&lt;=60,"Relance 3 : lettre de relance",IF((p_asof-E590)&lt;=90,"Mise en demeure (recommandé)","Contentieux : injonction de payer")))))))</f>
        <v/>
      </c>
      <c r="M590" t="str">
        <f>IFERROR(MATCH(559,fa_rank,0),"")</f>
        <v/>
      </c>
    </row>
    <row r="591">
      <c r="B591" s="78" t="str">
        <f>IF($M591="","",INDEX(fa_num,$M591)&amp;"")</f>
        <v/>
      </c>
      <c r="C591" s="79" t="str">
        <f>IF($M591="","",INDEX(fa_cname,$M591)&amp;"")</f>
        <v/>
      </c>
      <c r="D591" s="56" t="str">
        <f>IF($M591="","",INDEX(fa_date,$M591))</f>
        <v/>
      </c>
      <c r="E591" s="56" t="str">
        <f>IF($M591="","",INDEX(fa_due,$M591))</f>
        <v/>
      </c>
      <c r="F591" s="75" t="str">
        <f>IF($M591="","",INDEX(fa_ttc,$M591))</f>
        <v/>
      </c>
      <c r="G591" s="75" t="str">
        <f>IF($M591="","",INDEX(fa_paid,$M591)+INDEX(fa_avoirs,$M591))</f>
        <v/>
      </c>
      <c r="H591" s="75" t="str">
        <f>IF($M591="","",INDEX(fa_reste,$M591))</f>
        <v/>
      </c>
      <c r="I591" s="58" t="str">
        <f>IF($M591="","",MAX(0,p_asof-E591))</f>
        <v/>
      </c>
      <c r="J591" s="78" t="str">
        <f>IF($M591="","",INDEX(fa_tranche,$M591)&amp;"")</f>
        <v/>
      </c>
      <c r="K591" s="56" t="str">
        <f>IF($M591="","",IF(ISNUMBER(INDEX(fa_relance,$M591)),INDEX(fa_relance,$M591),""))</f>
        <v/>
      </c>
      <c r="L591" s="79" t="str">
        <f>IF($M591="","",IF(AND(ISNUMBER(K591),(p_asof-E591)&gt;0,(p_asof-N(K591))&gt;=0,(p_asof-N(K591))&lt;7),"Déjà relancée il y a "&amp;(p_asof-N(K591))&amp;" j",IF((p_asof-E591)&lt;=0,IF((p_asof-E591)&gt;-8,"Rappel courtois avant l'échéance","Aucune action"),IF((p_asof-E591)&lt;=15,"Relance 1 : e-mail de rappel",IF((p_asof-E591)&lt;=30,"Relance 2 : appel téléphonique",IF((p_asof-E591)&lt;=60,"Relance 3 : lettre de relance",IF((p_asof-E591)&lt;=90,"Mise en demeure (recommandé)","Contentieux : injonction de payer")))))))</f>
        <v/>
      </c>
      <c r="M591" t="str">
        <f>IFERROR(MATCH(560,fa_rank,0),"")</f>
        <v/>
      </c>
    </row>
    <row r="592">
      <c r="B592" s="78" t="str">
        <f>IF($M592="","",INDEX(fa_num,$M592)&amp;"")</f>
        <v/>
      </c>
      <c r="C592" s="79" t="str">
        <f>IF($M592="","",INDEX(fa_cname,$M592)&amp;"")</f>
        <v/>
      </c>
      <c r="D592" s="56" t="str">
        <f>IF($M592="","",INDEX(fa_date,$M592))</f>
        <v/>
      </c>
      <c r="E592" s="56" t="str">
        <f>IF($M592="","",INDEX(fa_due,$M592))</f>
        <v/>
      </c>
      <c r="F592" s="75" t="str">
        <f>IF($M592="","",INDEX(fa_ttc,$M592))</f>
        <v/>
      </c>
      <c r="G592" s="75" t="str">
        <f>IF($M592="","",INDEX(fa_paid,$M592)+INDEX(fa_avoirs,$M592))</f>
        <v/>
      </c>
      <c r="H592" s="75" t="str">
        <f>IF($M592="","",INDEX(fa_reste,$M592))</f>
        <v/>
      </c>
      <c r="I592" s="58" t="str">
        <f>IF($M592="","",MAX(0,p_asof-E592))</f>
        <v/>
      </c>
      <c r="J592" s="78" t="str">
        <f>IF($M592="","",INDEX(fa_tranche,$M592)&amp;"")</f>
        <v/>
      </c>
      <c r="K592" s="56" t="str">
        <f>IF($M592="","",IF(ISNUMBER(INDEX(fa_relance,$M592)),INDEX(fa_relance,$M592),""))</f>
        <v/>
      </c>
      <c r="L592" s="79" t="str">
        <f>IF($M592="","",IF(AND(ISNUMBER(K592),(p_asof-E592)&gt;0,(p_asof-N(K592))&gt;=0,(p_asof-N(K592))&lt;7),"Déjà relancée il y a "&amp;(p_asof-N(K592))&amp;" j",IF((p_asof-E592)&lt;=0,IF((p_asof-E592)&gt;-8,"Rappel courtois avant l'échéance","Aucune action"),IF((p_asof-E592)&lt;=15,"Relance 1 : e-mail de rappel",IF((p_asof-E592)&lt;=30,"Relance 2 : appel téléphonique",IF((p_asof-E592)&lt;=60,"Relance 3 : lettre de relance",IF((p_asof-E592)&lt;=90,"Mise en demeure (recommandé)","Contentieux : injonction de payer")))))))</f>
        <v/>
      </c>
      <c r="M592" t="str">
        <f>IFERROR(MATCH(561,fa_rank,0),"")</f>
        <v/>
      </c>
    </row>
    <row r="593">
      <c r="B593" s="78" t="str">
        <f>IF($M593="","",INDEX(fa_num,$M593)&amp;"")</f>
        <v/>
      </c>
      <c r="C593" s="79" t="str">
        <f>IF($M593="","",INDEX(fa_cname,$M593)&amp;"")</f>
        <v/>
      </c>
      <c r="D593" s="56" t="str">
        <f>IF($M593="","",INDEX(fa_date,$M593))</f>
        <v/>
      </c>
      <c r="E593" s="56" t="str">
        <f>IF($M593="","",INDEX(fa_due,$M593))</f>
        <v/>
      </c>
      <c r="F593" s="75" t="str">
        <f>IF($M593="","",INDEX(fa_ttc,$M593))</f>
        <v/>
      </c>
      <c r="G593" s="75" t="str">
        <f>IF($M593="","",INDEX(fa_paid,$M593)+INDEX(fa_avoirs,$M593))</f>
        <v/>
      </c>
      <c r="H593" s="75" t="str">
        <f>IF($M593="","",INDEX(fa_reste,$M593))</f>
        <v/>
      </c>
      <c r="I593" s="58" t="str">
        <f>IF($M593="","",MAX(0,p_asof-E593))</f>
        <v/>
      </c>
      <c r="J593" s="78" t="str">
        <f>IF($M593="","",INDEX(fa_tranche,$M593)&amp;"")</f>
        <v/>
      </c>
      <c r="K593" s="56" t="str">
        <f>IF($M593="","",IF(ISNUMBER(INDEX(fa_relance,$M593)),INDEX(fa_relance,$M593),""))</f>
        <v/>
      </c>
      <c r="L593" s="79" t="str">
        <f>IF($M593="","",IF(AND(ISNUMBER(K593),(p_asof-E593)&gt;0,(p_asof-N(K593))&gt;=0,(p_asof-N(K593))&lt;7),"Déjà relancée il y a "&amp;(p_asof-N(K593))&amp;" j",IF((p_asof-E593)&lt;=0,IF((p_asof-E593)&gt;-8,"Rappel courtois avant l'échéance","Aucune action"),IF((p_asof-E593)&lt;=15,"Relance 1 : e-mail de rappel",IF((p_asof-E593)&lt;=30,"Relance 2 : appel téléphonique",IF((p_asof-E593)&lt;=60,"Relance 3 : lettre de relance",IF((p_asof-E593)&lt;=90,"Mise en demeure (recommandé)","Contentieux : injonction de payer")))))))</f>
        <v/>
      </c>
      <c r="M593" t="str">
        <f>IFERROR(MATCH(562,fa_rank,0),"")</f>
        <v/>
      </c>
    </row>
    <row r="594">
      <c r="B594" s="78" t="str">
        <f>IF($M594="","",INDEX(fa_num,$M594)&amp;"")</f>
        <v/>
      </c>
      <c r="C594" s="79" t="str">
        <f>IF($M594="","",INDEX(fa_cname,$M594)&amp;"")</f>
        <v/>
      </c>
      <c r="D594" s="56" t="str">
        <f>IF($M594="","",INDEX(fa_date,$M594))</f>
        <v/>
      </c>
      <c r="E594" s="56" t="str">
        <f>IF($M594="","",INDEX(fa_due,$M594))</f>
        <v/>
      </c>
      <c r="F594" s="75" t="str">
        <f>IF($M594="","",INDEX(fa_ttc,$M594))</f>
        <v/>
      </c>
      <c r="G594" s="75" t="str">
        <f>IF($M594="","",INDEX(fa_paid,$M594)+INDEX(fa_avoirs,$M594))</f>
        <v/>
      </c>
      <c r="H594" s="75" t="str">
        <f>IF($M594="","",INDEX(fa_reste,$M594))</f>
        <v/>
      </c>
      <c r="I594" s="58" t="str">
        <f>IF($M594="","",MAX(0,p_asof-E594))</f>
        <v/>
      </c>
      <c r="J594" s="78" t="str">
        <f>IF($M594="","",INDEX(fa_tranche,$M594)&amp;"")</f>
        <v/>
      </c>
      <c r="K594" s="56" t="str">
        <f>IF($M594="","",IF(ISNUMBER(INDEX(fa_relance,$M594)),INDEX(fa_relance,$M594),""))</f>
        <v/>
      </c>
      <c r="L594" s="79" t="str">
        <f>IF($M594="","",IF(AND(ISNUMBER(K594),(p_asof-E594)&gt;0,(p_asof-N(K594))&gt;=0,(p_asof-N(K594))&lt;7),"Déjà relancée il y a "&amp;(p_asof-N(K594))&amp;" j",IF((p_asof-E594)&lt;=0,IF((p_asof-E594)&gt;-8,"Rappel courtois avant l'échéance","Aucune action"),IF((p_asof-E594)&lt;=15,"Relance 1 : e-mail de rappel",IF((p_asof-E594)&lt;=30,"Relance 2 : appel téléphonique",IF((p_asof-E594)&lt;=60,"Relance 3 : lettre de relance",IF((p_asof-E594)&lt;=90,"Mise en demeure (recommandé)","Contentieux : injonction de payer")))))))</f>
        <v/>
      </c>
      <c r="M594" t="str">
        <f>IFERROR(MATCH(563,fa_rank,0),"")</f>
        <v/>
      </c>
    </row>
    <row r="595">
      <c r="B595" s="78" t="str">
        <f>IF($M595="","",INDEX(fa_num,$M595)&amp;"")</f>
        <v/>
      </c>
      <c r="C595" s="79" t="str">
        <f>IF($M595="","",INDEX(fa_cname,$M595)&amp;"")</f>
        <v/>
      </c>
      <c r="D595" s="56" t="str">
        <f>IF($M595="","",INDEX(fa_date,$M595))</f>
        <v/>
      </c>
      <c r="E595" s="56" t="str">
        <f>IF($M595="","",INDEX(fa_due,$M595))</f>
        <v/>
      </c>
      <c r="F595" s="75" t="str">
        <f>IF($M595="","",INDEX(fa_ttc,$M595))</f>
        <v/>
      </c>
      <c r="G595" s="75" t="str">
        <f>IF($M595="","",INDEX(fa_paid,$M595)+INDEX(fa_avoirs,$M595))</f>
        <v/>
      </c>
      <c r="H595" s="75" t="str">
        <f>IF($M595="","",INDEX(fa_reste,$M595))</f>
        <v/>
      </c>
      <c r="I595" s="58" t="str">
        <f>IF($M595="","",MAX(0,p_asof-E595))</f>
        <v/>
      </c>
      <c r="J595" s="78" t="str">
        <f>IF($M595="","",INDEX(fa_tranche,$M595)&amp;"")</f>
        <v/>
      </c>
      <c r="K595" s="56" t="str">
        <f>IF($M595="","",IF(ISNUMBER(INDEX(fa_relance,$M595)),INDEX(fa_relance,$M595),""))</f>
        <v/>
      </c>
      <c r="L595" s="79" t="str">
        <f>IF($M595="","",IF(AND(ISNUMBER(K595),(p_asof-E595)&gt;0,(p_asof-N(K595))&gt;=0,(p_asof-N(K595))&lt;7),"Déjà relancée il y a "&amp;(p_asof-N(K595))&amp;" j",IF((p_asof-E595)&lt;=0,IF((p_asof-E595)&gt;-8,"Rappel courtois avant l'échéance","Aucune action"),IF((p_asof-E595)&lt;=15,"Relance 1 : e-mail de rappel",IF((p_asof-E595)&lt;=30,"Relance 2 : appel téléphonique",IF((p_asof-E595)&lt;=60,"Relance 3 : lettre de relance",IF((p_asof-E595)&lt;=90,"Mise en demeure (recommandé)","Contentieux : injonction de payer")))))))</f>
        <v/>
      </c>
      <c r="M595" t="str">
        <f>IFERROR(MATCH(564,fa_rank,0),"")</f>
        <v/>
      </c>
    </row>
    <row r="596">
      <c r="B596" s="78" t="str">
        <f>IF($M596="","",INDEX(fa_num,$M596)&amp;"")</f>
        <v/>
      </c>
      <c r="C596" s="79" t="str">
        <f>IF($M596="","",INDEX(fa_cname,$M596)&amp;"")</f>
        <v/>
      </c>
      <c r="D596" s="56" t="str">
        <f>IF($M596="","",INDEX(fa_date,$M596))</f>
        <v/>
      </c>
      <c r="E596" s="56" t="str">
        <f>IF($M596="","",INDEX(fa_due,$M596))</f>
        <v/>
      </c>
      <c r="F596" s="75" t="str">
        <f>IF($M596="","",INDEX(fa_ttc,$M596))</f>
        <v/>
      </c>
      <c r="G596" s="75" t="str">
        <f>IF($M596="","",INDEX(fa_paid,$M596)+INDEX(fa_avoirs,$M596))</f>
        <v/>
      </c>
      <c r="H596" s="75" t="str">
        <f>IF($M596="","",INDEX(fa_reste,$M596))</f>
        <v/>
      </c>
      <c r="I596" s="58" t="str">
        <f>IF($M596="","",MAX(0,p_asof-E596))</f>
        <v/>
      </c>
      <c r="J596" s="78" t="str">
        <f>IF($M596="","",INDEX(fa_tranche,$M596)&amp;"")</f>
        <v/>
      </c>
      <c r="K596" s="56" t="str">
        <f>IF($M596="","",IF(ISNUMBER(INDEX(fa_relance,$M596)),INDEX(fa_relance,$M596),""))</f>
        <v/>
      </c>
      <c r="L596" s="79" t="str">
        <f>IF($M596="","",IF(AND(ISNUMBER(K596),(p_asof-E596)&gt;0,(p_asof-N(K596))&gt;=0,(p_asof-N(K596))&lt;7),"Déjà relancée il y a "&amp;(p_asof-N(K596))&amp;" j",IF((p_asof-E596)&lt;=0,IF((p_asof-E596)&gt;-8,"Rappel courtois avant l'échéance","Aucune action"),IF((p_asof-E596)&lt;=15,"Relance 1 : e-mail de rappel",IF((p_asof-E596)&lt;=30,"Relance 2 : appel téléphonique",IF((p_asof-E596)&lt;=60,"Relance 3 : lettre de relance",IF((p_asof-E596)&lt;=90,"Mise en demeure (recommandé)","Contentieux : injonction de payer")))))))</f>
        <v/>
      </c>
      <c r="M596" t="str">
        <f>IFERROR(MATCH(565,fa_rank,0),"")</f>
        <v/>
      </c>
    </row>
    <row r="597">
      <c r="B597" s="78" t="str">
        <f>IF($M597="","",INDEX(fa_num,$M597)&amp;"")</f>
        <v/>
      </c>
      <c r="C597" s="79" t="str">
        <f>IF($M597="","",INDEX(fa_cname,$M597)&amp;"")</f>
        <v/>
      </c>
      <c r="D597" s="56" t="str">
        <f>IF($M597="","",INDEX(fa_date,$M597))</f>
        <v/>
      </c>
      <c r="E597" s="56" t="str">
        <f>IF($M597="","",INDEX(fa_due,$M597))</f>
        <v/>
      </c>
      <c r="F597" s="75" t="str">
        <f>IF($M597="","",INDEX(fa_ttc,$M597))</f>
        <v/>
      </c>
      <c r="G597" s="75" t="str">
        <f>IF($M597="","",INDEX(fa_paid,$M597)+INDEX(fa_avoirs,$M597))</f>
        <v/>
      </c>
      <c r="H597" s="75" t="str">
        <f>IF($M597="","",INDEX(fa_reste,$M597))</f>
        <v/>
      </c>
      <c r="I597" s="58" t="str">
        <f>IF($M597="","",MAX(0,p_asof-E597))</f>
        <v/>
      </c>
      <c r="J597" s="78" t="str">
        <f>IF($M597="","",INDEX(fa_tranche,$M597)&amp;"")</f>
        <v/>
      </c>
      <c r="K597" s="56" t="str">
        <f>IF($M597="","",IF(ISNUMBER(INDEX(fa_relance,$M597)),INDEX(fa_relance,$M597),""))</f>
        <v/>
      </c>
      <c r="L597" s="79" t="str">
        <f>IF($M597="","",IF(AND(ISNUMBER(K597),(p_asof-E597)&gt;0,(p_asof-N(K597))&gt;=0,(p_asof-N(K597))&lt;7),"Déjà relancée il y a "&amp;(p_asof-N(K597))&amp;" j",IF((p_asof-E597)&lt;=0,IF((p_asof-E597)&gt;-8,"Rappel courtois avant l'échéance","Aucune action"),IF((p_asof-E597)&lt;=15,"Relance 1 : e-mail de rappel",IF((p_asof-E597)&lt;=30,"Relance 2 : appel téléphonique",IF((p_asof-E597)&lt;=60,"Relance 3 : lettre de relance",IF((p_asof-E597)&lt;=90,"Mise en demeure (recommandé)","Contentieux : injonction de payer")))))))</f>
        <v/>
      </c>
      <c r="M597" t="str">
        <f>IFERROR(MATCH(566,fa_rank,0),"")</f>
        <v/>
      </c>
    </row>
    <row r="598">
      <c r="B598" s="78" t="str">
        <f>IF($M598="","",INDEX(fa_num,$M598)&amp;"")</f>
        <v/>
      </c>
      <c r="C598" s="79" t="str">
        <f>IF($M598="","",INDEX(fa_cname,$M598)&amp;"")</f>
        <v/>
      </c>
      <c r="D598" s="56" t="str">
        <f>IF($M598="","",INDEX(fa_date,$M598))</f>
        <v/>
      </c>
      <c r="E598" s="56" t="str">
        <f>IF($M598="","",INDEX(fa_due,$M598))</f>
        <v/>
      </c>
      <c r="F598" s="75" t="str">
        <f>IF($M598="","",INDEX(fa_ttc,$M598))</f>
        <v/>
      </c>
      <c r="G598" s="75" t="str">
        <f>IF($M598="","",INDEX(fa_paid,$M598)+INDEX(fa_avoirs,$M598))</f>
        <v/>
      </c>
      <c r="H598" s="75" t="str">
        <f>IF($M598="","",INDEX(fa_reste,$M598))</f>
        <v/>
      </c>
      <c r="I598" s="58" t="str">
        <f>IF($M598="","",MAX(0,p_asof-E598))</f>
        <v/>
      </c>
      <c r="J598" s="78" t="str">
        <f>IF($M598="","",INDEX(fa_tranche,$M598)&amp;"")</f>
        <v/>
      </c>
      <c r="K598" s="56" t="str">
        <f>IF($M598="","",IF(ISNUMBER(INDEX(fa_relance,$M598)),INDEX(fa_relance,$M598),""))</f>
        <v/>
      </c>
      <c r="L598" s="79" t="str">
        <f>IF($M598="","",IF(AND(ISNUMBER(K598),(p_asof-E598)&gt;0,(p_asof-N(K598))&gt;=0,(p_asof-N(K598))&lt;7),"Déjà relancée il y a "&amp;(p_asof-N(K598))&amp;" j",IF((p_asof-E598)&lt;=0,IF((p_asof-E598)&gt;-8,"Rappel courtois avant l'échéance","Aucune action"),IF((p_asof-E598)&lt;=15,"Relance 1 : e-mail de rappel",IF((p_asof-E598)&lt;=30,"Relance 2 : appel téléphonique",IF((p_asof-E598)&lt;=60,"Relance 3 : lettre de relance",IF((p_asof-E598)&lt;=90,"Mise en demeure (recommandé)","Contentieux : injonction de payer")))))))</f>
        <v/>
      </c>
      <c r="M598" t="str">
        <f>IFERROR(MATCH(567,fa_rank,0),"")</f>
        <v/>
      </c>
    </row>
    <row r="599">
      <c r="B599" s="78" t="str">
        <f>IF($M599="","",INDEX(fa_num,$M599)&amp;"")</f>
        <v/>
      </c>
      <c r="C599" s="79" t="str">
        <f>IF($M599="","",INDEX(fa_cname,$M599)&amp;"")</f>
        <v/>
      </c>
      <c r="D599" s="56" t="str">
        <f>IF($M599="","",INDEX(fa_date,$M599))</f>
        <v/>
      </c>
      <c r="E599" s="56" t="str">
        <f>IF($M599="","",INDEX(fa_due,$M599))</f>
        <v/>
      </c>
      <c r="F599" s="75" t="str">
        <f>IF($M599="","",INDEX(fa_ttc,$M599))</f>
        <v/>
      </c>
      <c r="G599" s="75" t="str">
        <f>IF($M599="","",INDEX(fa_paid,$M599)+INDEX(fa_avoirs,$M599))</f>
        <v/>
      </c>
      <c r="H599" s="75" t="str">
        <f>IF($M599="","",INDEX(fa_reste,$M599))</f>
        <v/>
      </c>
      <c r="I599" s="58" t="str">
        <f>IF($M599="","",MAX(0,p_asof-E599))</f>
        <v/>
      </c>
      <c r="J599" s="78" t="str">
        <f>IF($M599="","",INDEX(fa_tranche,$M599)&amp;"")</f>
        <v/>
      </c>
      <c r="K599" s="56" t="str">
        <f>IF($M599="","",IF(ISNUMBER(INDEX(fa_relance,$M599)),INDEX(fa_relance,$M599),""))</f>
        <v/>
      </c>
      <c r="L599" s="79" t="str">
        <f>IF($M599="","",IF(AND(ISNUMBER(K599),(p_asof-E599)&gt;0,(p_asof-N(K599))&gt;=0,(p_asof-N(K599))&lt;7),"Déjà relancée il y a "&amp;(p_asof-N(K599))&amp;" j",IF((p_asof-E599)&lt;=0,IF((p_asof-E599)&gt;-8,"Rappel courtois avant l'échéance","Aucune action"),IF((p_asof-E599)&lt;=15,"Relance 1 : e-mail de rappel",IF((p_asof-E599)&lt;=30,"Relance 2 : appel téléphonique",IF((p_asof-E599)&lt;=60,"Relance 3 : lettre de relance",IF((p_asof-E599)&lt;=90,"Mise en demeure (recommandé)","Contentieux : injonction de payer")))))))</f>
        <v/>
      </c>
      <c r="M599" t="str">
        <f>IFERROR(MATCH(568,fa_rank,0),"")</f>
        <v/>
      </c>
    </row>
    <row r="600">
      <c r="B600" s="78" t="str">
        <f>IF($M600="","",INDEX(fa_num,$M600)&amp;"")</f>
        <v/>
      </c>
      <c r="C600" s="79" t="str">
        <f>IF($M600="","",INDEX(fa_cname,$M600)&amp;"")</f>
        <v/>
      </c>
      <c r="D600" s="56" t="str">
        <f>IF($M600="","",INDEX(fa_date,$M600))</f>
        <v/>
      </c>
      <c r="E600" s="56" t="str">
        <f>IF($M600="","",INDEX(fa_due,$M600))</f>
        <v/>
      </c>
      <c r="F600" s="75" t="str">
        <f>IF($M600="","",INDEX(fa_ttc,$M600))</f>
        <v/>
      </c>
      <c r="G600" s="75" t="str">
        <f>IF($M600="","",INDEX(fa_paid,$M600)+INDEX(fa_avoirs,$M600))</f>
        <v/>
      </c>
      <c r="H600" s="75" t="str">
        <f>IF($M600="","",INDEX(fa_reste,$M600))</f>
        <v/>
      </c>
      <c r="I600" s="58" t="str">
        <f>IF($M600="","",MAX(0,p_asof-E600))</f>
        <v/>
      </c>
      <c r="J600" s="78" t="str">
        <f>IF($M600="","",INDEX(fa_tranche,$M600)&amp;"")</f>
        <v/>
      </c>
      <c r="K600" s="56" t="str">
        <f>IF($M600="","",IF(ISNUMBER(INDEX(fa_relance,$M600)),INDEX(fa_relance,$M600),""))</f>
        <v/>
      </c>
      <c r="L600" s="79" t="str">
        <f>IF($M600="","",IF(AND(ISNUMBER(K600),(p_asof-E600)&gt;0,(p_asof-N(K600))&gt;=0,(p_asof-N(K600))&lt;7),"Déjà relancée il y a "&amp;(p_asof-N(K600))&amp;" j",IF((p_asof-E600)&lt;=0,IF((p_asof-E600)&gt;-8,"Rappel courtois avant l'échéance","Aucune action"),IF((p_asof-E600)&lt;=15,"Relance 1 : e-mail de rappel",IF((p_asof-E600)&lt;=30,"Relance 2 : appel téléphonique",IF((p_asof-E600)&lt;=60,"Relance 3 : lettre de relance",IF((p_asof-E600)&lt;=90,"Mise en demeure (recommandé)","Contentieux : injonction de payer")))))))</f>
        <v/>
      </c>
      <c r="M600" t="str">
        <f>IFERROR(MATCH(569,fa_rank,0),"")</f>
        <v/>
      </c>
    </row>
    <row r="601">
      <c r="B601" s="78" t="str">
        <f>IF($M601="","",INDEX(fa_num,$M601)&amp;"")</f>
        <v/>
      </c>
      <c r="C601" s="79" t="str">
        <f>IF($M601="","",INDEX(fa_cname,$M601)&amp;"")</f>
        <v/>
      </c>
      <c r="D601" s="56" t="str">
        <f>IF($M601="","",INDEX(fa_date,$M601))</f>
        <v/>
      </c>
      <c r="E601" s="56" t="str">
        <f>IF($M601="","",INDEX(fa_due,$M601))</f>
        <v/>
      </c>
      <c r="F601" s="75" t="str">
        <f>IF($M601="","",INDEX(fa_ttc,$M601))</f>
        <v/>
      </c>
      <c r="G601" s="75" t="str">
        <f>IF($M601="","",INDEX(fa_paid,$M601)+INDEX(fa_avoirs,$M601))</f>
        <v/>
      </c>
      <c r="H601" s="75" t="str">
        <f>IF($M601="","",INDEX(fa_reste,$M601))</f>
        <v/>
      </c>
      <c r="I601" s="58" t="str">
        <f>IF($M601="","",MAX(0,p_asof-E601))</f>
        <v/>
      </c>
      <c r="J601" s="78" t="str">
        <f>IF($M601="","",INDEX(fa_tranche,$M601)&amp;"")</f>
        <v/>
      </c>
      <c r="K601" s="56" t="str">
        <f>IF($M601="","",IF(ISNUMBER(INDEX(fa_relance,$M601)),INDEX(fa_relance,$M601),""))</f>
        <v/>
      </c>
      <c r="L601" s="79" t="str">
        <f>IF($M601="","",IF(AND(ISNUMBER(K601),(p_asof-E601)&gt;0,(p_asof-N(K601))&gt;=0,(p_asof-N(K601))&lt;7),"Déjà relancée il y a "&amp;(p_asof-N(K601))&amp;" j",IF((p_asof-E601)&lt;=0,IF((p_asof-E601)&gt;-8,"Rappel courtois avant l'échéance","Aucune action"),IF((p_asof-E601)&lt;=15,"Relance 1 : e-mail de rappel",IF((p_asof-E601)&lt;=30,"Relance 2 : appel téléphonique",IF((p_asof-E601)&lt;=60,"Relance 3 : lettre de relance",IF((p_asof-E601)&lt;=90,"Mise en demeure (recommandé)","Contentieux : injonction de payer")))))))</f>
        <v/>
      </c>
      <c r="M601" t="str">
        <f>IFERROR(MATCH(570,fa_rank,0),"")</f>
        <v/>
      </c>
    </row>
    <row r="602">
      <c r="B602" s="78" t="str">
        <f>IF($M602="","",INDEX(fa_num,$M602)&amp;"")</f>
        <v/>
      </c>
      <c r="C602" s="79" t="str">
        <f>IF($M602="","",INDEX(fa_cname,$M602)&amp;"")</f>
        <v/>
      </c>
      <c r="D602" s="56" t="str">
        <f>IF($M602="","",INDEX(fa_date,$M602))</f>
        <v/>
      </c>
      <c r="E602" s="56" t="str">
        <f>IF($M602="","",INDEX(fa_due,$M602))</f>
        <v/>
      </c>
      <c r="F602" s="75" t="str">
        <f>IF($M602="","",INDEX(fa_ttc,$M602))</f>
        <v/>
      </c>
      <c r="G602" s="75" t="str">
        <f>IF($M602="","",INDEX(fa_paid,$M602)+INDEX(fa_avoirs,$M602))</f>
        <v/>
      </c>
      <c r="H602" s="75" t="str">
        <f>IF($M602="","",INDEX(fa_reste,$M602))</f>
        <v/>
      </c>
      <c r="I602" s="58" t="str">
        <f>IF($M602="","",MAX(0,p_asof-E602))</f>
        <v/>
      </c>
      <c r="J602" s="78" t="str">
        <f>IF($M602="","",INDEX(fa_tranche,$M602)&amp;"")</f>
        <v/>
      </c>
      <c r="K602" s="56" t="str">
        <f>IF($M602="","",IF(ISNUMBER(INDEX(fa_relance,$M602)),INDEX(fa_relance,$M602),""))</f>
        <v/>
      </c>
      <c r="L602" s="79" t="str">
        <f>IF($M602="","",IF(AND(ISNUMBER(K602),(p_asof-E602)&gt;0,(p_asof-N(K602))&gt;=0,(p_asof-N(K602))&lt;7),"Déjà relancée il y a "&amp;(p_asof-N(K602))&amp;" j",IF((p_asof-E602)&lt;=0,IF((p_asof-E602)&gt;-8,"Rappel courtois avant l'échéance","Aucune action"),IF((p_asof-E602)&lt;=15,"Relance 1 : e-mail de rappel",IF((p_asof-E602)&lt;=30,"Relance 2 : appel téléphonique",IF((p_asof-E602)&lt;=60,"Relance 3 : lettre de relance",IF((p_asof-E602)&lt;=90,"Mise en demeure (recommandé)","Contentieux : injonction de payer")))))))</f>
        <v/>
      </c>
      <c r="M602" t="str">
        <f>IFERROR(MATCH(571,fa_rank,0),"")</f>
        <v/>
      </c>
    </row>
    <row r="603">
      <c r="B603" s="78" t="str">
        <f>IF($M603="","",INDEX(fa_num,$M603)&amp;"")</f>
        <v/>
      </c>
      <c r="C603" s="79" t="str">
        <f>IF($M603="","",INDEX(fa_cname,$M603)&amp;"")</f>
        <v/>
      </c>
      <c r="D603" s="56" t="str">
        <f>IF($M603="","",INDEX(fa_date,$M603))</f>
        <v/>
      </c>
      <c r="E603" s="56" t="str">
        <f>IF($M603="","",INDEX(fa_due,$M603))</f>
        <v/>
      </c>
      <c r="F603" s="75" t="str">
        <f>IF($M603="","",INDEX(fa_ttc,$M603))</f>
        <v/>
      </c>
      <c r="G603" s="75" t="str">
        <f>IF($M603="","",INDEX(fa_paid,$M603)+INDEX(fa_avoirs,$M603))</f>
        <v/>
      </c>
      <c r="H603" s="75" t="str">
        <f>IF($M603="","",INDEX(fa_reste,$M603))</f>
        <v/>
      </c>
      <c r="I603" s="58" t="str">
        <f>IF($M603="","",MAX(0,p_asof-E603))</f>
        <v/>
      </c>
      <c r="J603" s="78" t="str">
        <f>IF($M603="","",INDEX(fa_tranche,$M603)&amp;"")</f>
        <v/>
      </c>
      <c r="K603" s="56" t="str">
        <f>IF($M603="","",IF(ISNUMBER(INDEX(fa_relance,$M603)),INDEX(fa_relance,$M603),""))</f>
        <v/>
      </c>
      <c r="L603" s="79" t="str">
        <f>IF($M603="","",IF(AND(ISNUMBER(K603),(p_asof-E603)&gt;0,(p_asof-N(K603))&gt;=0,(p_asof-N(K603))&lt;7),"Déjà relancée il y a "&amp;(p_asof-N(K603))&amp;" j",IF((p_asof-E603)&lt;=0,IF((p_asof-E603)&gt;-8,"Rappel courtois avant l'échéance","Aucune action"),IF((p_asof-E603)&lt;=15,"Relance 1 : e-mail de rappel",IF((p_asof-E603)&lt;=30,"Relance 2 : appel téléphonique",IF((p_asof-E603)&lt;=60,"Relance 3 : lettre de relance",IF((p_asof-E603)&lt;=90,"Mise en demeure (recommandé)","Contentieux : injonction de payer")))))))</f>
        <v/>
      </c>
      <c r="M603" t="str">
        <f>IFERROR(MATCH(572,fa_rank,0),"")</f>
        <v/>
      </c>
    </row>
    <row r="604">
      <c r="B604" s="78" t="str">
        <f>IF($M604="","",INDEX(fa_num,$M604)&amp;"")</f>
        <v/>
      </c>
      <c r="C604" s="79" t="str">
        <f>IF($M604="","",INDEX(fa_cname,$M604)&amp;"")</f>
        <v/>
      </c>
      <c r="D604" s="56" t="str">
        <f>IF($M604="","",INDEX(fa_date,$M604))</f>
        <v/>
      </c>
      <c r="E604" s="56" t="str">
        <f>IF($M604="","",INDEX(fa_due,$M604))</f>
        <v/>
      </c>
      <c r="F604" s="75" t="str">
        <f>IF($M604="","",INDEX(fa_ttc,$M604))</f>
        <v/>
      </c>
      <c r="G604" s="75" t="str">
        <f>IF($M604="","",INDEX(fa_paid,$M604)+INDEX(fa_avoirs,$M604))</f>
        <v/>
      </c>
      <c r="H604" s="75" t="str">
        <f>IF($M604="","",INDEX(fa_reste,$M604))</f>
        <v/>
      </c>
      <c r="I604" s="58" t="str">
        <f>IF($M604="","",MAX(0,p_asof-E604))</f>
        <v/>
      </c>
      <c r="J604" s="78" t="str">
        <f>IF($M604="","",INDEX(fa_tranche,$M604)&amp;"")</f>
        <v/>
      </c>
      <c r="K604" s="56" t="str">
        <f>IF($M604="","",IF(ISNUMBER(INDEX(fa_relance,$M604)),INDEX(fa_relance,$M604),""))</f>
        <v/>
      </c>
      <c r="L604" s="79" t="str">
        <f>IF($M604="","",IF(AND(ISNUMBER(K604),(p_asof-E604)&gt;0,(p_asof-N(K604))&gt;=0,(p_asof-N(K604))&lt;7),"Déjà relancée il y a "&amp;(p_asof-N(K604))&amp;" j",IF((p_asof-E604)&lt;=0,IF((p_asof-E604)&gt;-8,"Rappel courtois avant l'échéance","Aucune action"),IF((p_asof-E604)&lt;=15,"Relance 1 : e-mail de rappel",IF((p_asof-E604)&lt;=30,"Relance 2 : appel téléphonique",IF((p_asof-E604)&lt;=60,"Relance 3 : lettre de relance",IF((p_asof-E604)&lt;=90,"Mise en demeure (recommandé)","Contentieux : injonction de payer")))))))</f>
        <v/>
      </c>
      <c r="M604" t="str">
        <f>IFERROR(MATCH(573,fa_rank,0),"")</f>
        <v/>
      </c>
    </row>
    <row r="605">
      <c r="B605" s="78" t="str">
        <f>IF($M605="","",INDEX(fa_num,$M605)&amp;"")</f>
        <v/>
      </c>
      <c r="C605" s="79" t="str">
        <f>IF($M605="","",INDEX(fa_cname,$M605)&amp;"")</f>
        <v/>
      </c>
      <c r="D605" s="56" t="str">
        <f>IF($M605="","",INDEX(fa_date,$M605))</f>
        <v/>
      </c>
      <c r="E605" s="56" t="str">
        <f>IF($M605="","",INDEX(fa_due,$M605))</f>
        <v/>
      </c>
      <c r="F605" s="75" t="str">
        <f>IF($M605="","",INDEX(fa_ttc,$M605))</f>
        <v/>
      </c>
      <c r="G605" s="75" t="str">
        <f>IF($M605="","",INDEX(fa_paid,$M605)+INDEX(fa_avoirs,$M605))</f>
        <v/>
      </c>
      <c r="H605" s="75" t="str">
        <f>IF($M605="","",INDEX(fa_reste,$M605))</f>
        <v/>
      </c>
      <c r="I605" s="58" t="str">
        <f>IF($M605="","",MAX(0,p_asof-E605))</f>
        <v/>
      </c>
      <c r="J605" s="78" t="str">
        <f>IF($M605="","",INDEX(fa_tranche,$M605)&amp;"")</f>
        <v/>
      </c>
      <c r="K605" s="56" t="str">
        <f>IF($M605="","",IF(ISNUMBER(INDEX(fa_relance,$M605)),INDEX(fa_relance,$M605),""))</f>
        <v/>
      </c>
      <c r="L605" s="79" t="str">
        <f>IF($M605="","",IF(AND(ISNUMBER(K605),(p_asof-E605)&gt;0,(p_asof-N(K605))&gt;=0,(p_asof-N(K605))&lt;7),"Déjà relancée il y a "&amp;(p_asof-N(K605))&amp;" j",IF((p_asof-E605)&lt;=0,IF((p_asof-E605)&gt;-8,"Rappel courtois avant l'échéance","Aucune action"),IF((p_asof-E605)&lt;=15,"Relance 1 : e-mail de rappel",IF((p_asof-E605)&lt;=30,"Relance 2 : appel téléphonique",IF((p_asof-E605)&lt;=60,"Relance 3 : lettre de relance",IF((p_asof-E605)&lt;=90,"Mise en demeure (recommandé)","Contentieux : injonction de payer")))))))</f>
        <v/>
      </c>
      <c r="M605" t="str">
        <f>IFERROR(MATCH(574,fa_rank,0),"")</f>
        <v/>
      </c>
    </row>
    <row r="606">
      <c r="B606" s="78" t="str">
        <f>IF($M606="","",INDEX(fa_num,$M606)&amp;"")</f>
        <v/>
      </c>
      <c r="C606" s="79" t="str">
        <f>IF($M606="","",INDEX(fa_cname,$M606)&amp;"")</f>
        <v/>
      </c>
      <c r="D606" s="56" t="str">
        <f>IF($M606="","",INDEX(fa_date,$M606))</f>
        <v/>
      </c>
      <c r="E606" s="56" t="str">
        <f>IF($M606="","",INDEX(fa_due,$M606))</f>
        <v/>
      </c>
      <c r="F606" s="75" t="str">
        <f>IF($M606="","",INDEX(fa_ttc,$M606))</f>
        <v/>
      </c>
      <c r="G606" s="75" t="str">
        <f>IF($M606="","",INDEX(fa_paid,$M606)+INDEX(fa_avoirs,$M606))</f>
        <v/>
      </c>
      <c r="H606" s="75" t="str">
        <f>IF($M606="","",INDEX(fa_reste,$M606))</f>
        <v/>
      </c>
      <c r="I606" s="58" t="str">
        <f>IF($M606="","",MAX(0,p_asof-E606))</f>
        <v/>
      </c>
      <c r="J606" s="78" t="str">
        <f>IF($M606="","",INDEX(fa_tranche,$M606)&amp;"")</f>
        <v/>
      </c>
      <c r="K606" s="56" t="str">
        <f>IF($M606="","",IF(ISNUMBER(INDEX(fa_relance,$M606)),INDEX(fa_relance,$M606),""))</f>
        <v/>
      </c>
      <c r="L606" s="79" t="str">
        <f>IF($M606="","",IF(AND(ISNUMBER(K606),(p_asof-E606)&gt;0,(p_asof-N(K606))&gt;=0,(p_asof-N(K606))&lt;7),"Déjà relancée il y a "&amp;(p_asof-N(K606))&amp;" j",IF((p_asof-E606)&lt;=0,IF((p_asof-E606)&gt;-8,"Rappel courtois avant l'échéance","Aucune action"),IF((p_asof-E606)&lt;=15,"Relance 1 : e-mail de rappel",IF((p_asof-E606)&lt;=30,"Relance 2 : appel téléphonique",IF((p_asof-E606)&lt;=60,"Relance 3 : lettre de relance",IF((p_asof-E606)&lt;=90,"Mise en demeure (recommandé)","Contentieux : injonction de payer")))))))</f>
        <v/>
      </c>
      <c r="M606" t="str">
        <f>IFERROR(MATCH(575,fa_rank,0),"")</f>
        <v/>
      </c>
    </row>
    <row r="607">
      <c r="B607" s="78" t="str">
        <f>IF($M607="","",INDEX(fa_num,$M607)&amp;"")</f>
        <v/>
      </c>
      <c r="C607" s="79" t="str">
        <f>IF($M607="","",INDEX(fa_cname,$M607)&amp;"")</f>
        <v/>
      </c>
      <c r="D607" s="56" t="str">
        <f>IF($M607="","",INDEX(fa_date,$M607))</f>
        <v/>
      </c>
      <c r="E607" s="56" t="str">
        <f>IF($M607="","",INDEX(fa_due,$M607))</f>
        <v/>
      </c>
      <c r="F607" s="75" t="str">
        <f>IF($M607="","",INDEX(fa_ttc,$M607))</f>
        <v/>
      </c>
      <c r="G607" s="75" t="str">
        <f>IF($M607="","",INDEX(fa_paid,$M607)+INDEX(fa_avoirs,$M607))</f>
        <v/>
      </c>
      <c r="H607" s="75" t="str">
        <f>IF($M607="","",INDEX(fa_reste,$M607))</f>
        <v/>
      </c>
      <c r="I607" s="58" t="str">
        <f>IF($M607="","",MAX(0,p_asof-E607))</f>
        <v/>
      </c>
      <c r="J607" s="78" t="str">
        <f>IF($M607="","",INDEX(fa_tranche,$M607)&amp;"")</f>
        <v/>
      </c>
      <c r="K607" s="56" t="str">
        <f>IF($M607="","",IF(ISNUMBER(INDEX(fa_relance,$M607)),INDEX(fa_relance,$M607),""))</f>
        <v/>
      </c>
      <c r="L607" s="79" t="str">
        <f>IF($M607="","",IF(AND(ISNUMBER(K607),(p_asof-E607)&gt;0,(p_asof-N(K607))&gt;=0,(p_asof-N(K607))&lt;7),"Déjà relancée il y a "&amp;(p_asof-N(K607))&amp;" j",IF((p_asof-E607)&lt;=0,IF((p_asof-E607)&gt;-8,"Rappel courtois avant l'échéance","Aucune action"),IF((p_asof-E607)&lt;=15,"Relance 1 : e-mail de rappel",IF((p_asof-E607)&lt;=30,"Relance 2 : appel téléphonique",IF((p_asof-E607)&lt;=60,"Relance 3 : lettre de relance",IF((p_asof-E607)&lt;=90,"Mise en demeure (recommandé)","Contentieux : injonction de payer")))))))</f>
        <v/>
      </c>
      <c r="M607" t="str">
        <f>IFERROR(MATCH(576,fa_rank,0),"")</f>
        <v/>
      </c>
    </row>
    <row r="608">
      <c r="B608" s="78" t="str">
        <f>IF($M608="","",INDEX(fa_num,$M608)&amp;"")</f>
        <v/>
      </c>
      <c r="C608" s="79" t="str">
        <f>IF($M608="","",INDEX(fa_cname,$M608)&amp;"")</f>
        <v/>
      </c>
      <c r="D608" s="56" t="str">
        <f>IF($M608="","",INDEX(fa_date,$M608))</f>
        <v/>
      </c>
      <c r="E608" s="56" t="str">
        <f>IF($M608="","",INDEX(fa_due,$M608))</f>
        <v/>
      </c>
      <c r="F608" s="75" t="str">
        <f>IF($M608="","",INDEX(fa_ttc,$M608))</f>
        <v/>
      </c>
      <c r="G608" s="75" t="str">
        <f>IF($M608="","",INDEX(fa_paid,$M608)+INDEX(fa_avoirs,$M608))</f>
        <v/>
      </c>
      <c r="H608" s="75" t="str">
        <f>IF($M608="","",INDEX(fa_reste,$M608))</f>
        <v/>
      </c>
      <c r="I608" s="58" t="str">
        <f>IF($M608="","",MAX(0,p_asof-E608))</f>
        <v/>
      </c>
      <c r="J608" s="78" t="str">
        <f>IF($M608="","",INDEX(fa_tranche,$M608)&amp;"")</f>
        <v/>
      </c>
      <c r="K608" s="56" t="str">
        <f>IF($M608="","",IF(ISNUMBER(INDEX(fa_relance,$M608)),INDEX(fa_relance,$M608),""))</f>
        <v/>
      </c>
      <c r="L608" s="79" t="str">
        <f>IF($M608="","",IF(AND(ISNUMBER(K608),(p_asof-E608)&gt;0,(p_asof-N(K608))&gt;=0,(p_asof-N(K608))&lt;7),"Déjà relancée il y a "&amp;(p_asof-N(K608))&amp;" j",IF((p_asof-E608)&lt;=0,IF((p_asof-E608)&gt;-8,"Rappel courtois avant l'échéance","Aucune action"),IF((p_asof-E608)&lt;=15,"Relance 1 : e-mail de rappel",IF((p_asof-E608)&lt;=30,"Relance 2 : appel téléphonique",IF((p_asof-E608)&lt;=60,"Relance 3 : lettre de relance",IF((p_asof-E608)&lt;=90,"Mise en demeure (recommandé)","Contentieux : injonction de payer")))))))</f>
        <v/>
      </c>
      <c r="M608" t="str">
        <f>IFERROR(MATCH(577,fa_rank,0),"")</f>
        <v/>
      </c>
    </row>
    <row r="609">
      <c r="B609" s="78" t="str">
        <f>IF($M609="","",INDEX(fa_num,$M609)&amp;"")</f>
        <v/>
      </c>
      <c r="C609" s="79" t="str">
        <f>IF($M609="","",INDEX(fa_cname,$M609)&amp;"")</f>
        <v/>
      </c>
      <c r="D609" s="56" t="str">
        <f>IF($M609="","",INDEX(fa_date,$M609))</f>
        <v/>
      </c>
      <c r="E609" s="56" t="str">
        <f>IF($M609="","",INDEX(fa_due,$M609))</f>
        <v/>
      </c>
      <c r="F609" s="75" t="str">
        <f>IF($M609="","",INDEX(fa_ttc,$M609))</f>
        <v/>
      </c>
      <c r="G609" s="75" t="str">
        <f>IF($M609="","",INDEX(fa_paid,$M609)+INDEX(fa_avoirs,$M609))</f>
        <v/>
      </c>
      <c r="H609" s="75" t="str">
        <f>IF($M609="","",INDEX(fa_reste,$M609))</f>
        <v/>
      </c>
      <c r="I609" s="58" t="str">
        <f>IF($M609="","",MAX(0,p_asof-E609))</f>
        <v/>
      </c>
      <c r="J609" s="78" t="str">
        <f>IF($M609="","",INDEX(fa_tranche,$M609)&amp;"")</f>
        <v/>
      </c>
      <c r="K609" s="56" t="str">
        <f>IF($M609="","",IF(ISNUMBER(INDEX(fa_relance,$M609)),INDEX(fa_relance,$M609),""))</f>
        <v/>
      </c>
      <c r="L609" s="79" t="str">
        <f>IF($M609="","",IF(AND(ISNUMBER(K609),(p_asof-E609)&gt;0,(p_asof-N(K609))&gt;=0,(p_asof-N(K609))&lt;7),"Déjà relancée il y a "&amp;(p_asof-N(K609))&amp;" j",IF((p_asof-E609)&lt;=0,IF((p_asof-E609)&gt;-8,"Rappel courtois avant l'échéance","Aucune action"),IF((p_asof-E609)&lt;=15,"Relance 1 : e-mail de rappel",IF((p_asof-E609)&lt;=30,"Relance 2 : appel téléphonique",IF((p_asof-E609)&lt;=60,"Relance 3 : lettre de relance",IF((p_asof-E609)&lt;=90,"Mise en demeure (recommandé)","Contentieux : injonction de payer")))))))</f>
        <v/>
      </c>
      <c r="M609" t="str">
        <f>IFERROR(MATCH(578,fa_rank,0),"")</f>
        <v/>
      </c>
    </row>
    <row r="610">
      <c r="B610" s="78" t="str">
        <f>IF($M610="","",INDEX(fa_num,$M610)&amp;"")</f>
        <v/>
      </c>
      <c r="C610" s="79" t="str">
        <f>IF($M610="","",INDEX(fa_cname,$M610)&amp;"")</f>
        <v/>
      </c>
      <c r="D610" s="56" t="str">
        <f>IF($M610="","",INDEX(fa_date,$M610))</f>
        <v/>
      </c>
      <c r="E610" s="56" t="str">
        <f>IF($M610="","",INDEX(fa_due,$M610))</f>
        <v/>
      </c>
      <c r="F610" s="75" t="str">
        <f>IF($M610="","",INDEX(fa_ttc,$M610))</f>
        <v/>
      </c>
      <c r="G610" s="75" t="str">
        <f>IF($M610="","",INDEX(fa_paid,$M610)+INDEX(fa_avoirs,$M610))</f>
        <v/>
      </c>
      <c r="H610" s="75" t="str">
        <f>IF($M610="","",INDEX(fa_reste,$M610))</f>
        <v/>
      </c>
      <c r="I610" s="58" t="str">
        <f>IF($M610="","",MAX(0,p_asof-E610))</f>
        <v/>
      </c>
      <c r="J610" s="78" t="str">
        <f>IF($M610="","",INDEX(fa_tranche,$M610)&amp;"")</f>
        <v/>
      </c>
      <c r="K610" s="56" t="str">
        <f>IF($M610="","",IF(ISNUMBER(INDEX(fa_relance,$M610)),INDEX(fa_relance,$M610),""))</f>
        <v/>
      </c>
      <c r="L610" s="79" t="str">
        <f>IF($M610="","",IF(AND(ISNUMBER(K610),(p_asof-E610)&gt;0,(p_asof-N(K610))&gt;=0,(p_asof-N(K610))&lt;7),"Déjà relancée il y a "&amp;(p_asof-N(K610))&amp;" j",IF((p_asof-E610)&lt;=0,IF((p_asof-E610)&gt;-8,"Rappel courtois avant l'échéance","Aucune action"),IF((p_asof-E610)&lt;=15,"Relance 1 : e-mail de rappel",IF((p_asof-E610)&lt;=30,"Relance 2 : appel téléphonique",IF((p_asof-E610)&lt;=60,"Relance 3 : lettre de relance",IF((p_asof-E610)&lt;=90,"Mise en demeure (recommandé)","Contentieux : injonction de payer")))))))</f>
        <v/>
      </c>
      <c r="M610" t="str">
        <f>IFERROR(MATCH(579,fa_rank,0),"")</f>
        <v/>
      </c>
    </row>
    <row r="611">
      <c r="B611" s="78" t="str">
        <f>IF($M611="","",INDEX(fa_num,$M611)&amp;"")</f>
        <v/>
      </c>
      <c r="C611" s="79" t="str">
        <f>IF($M611="","",INDEX(fa_cname,$M611)&amp;"")</f>
        <v/>
      </c>
      <c r="D611" s="56" t="str">
        <f>IF($M611="","",INDEX(fa_date,$M611))</f>
        <v/>
      </c>
      <c r="E611" s="56" t="str">
        <f>IF($M611="","",INDEX(fa_due,$M611))</f>
        <v/>
      </c>
      <c r="F611" s="75" t="str">
        <f>IF($M611="","",INDEX(fa_ttc,$M611))</f>
        <v/>
      </c>
      <c r="G611" s="75" t="str">
        <f>IF($M611="","",INDEX(fa_paid,$M611)+INDEX(fa_avoirs,$M611))</f>
        <v/>
      </c>
      <c r="H611" s="75" t="str">
        <f>IF($M611="","",INDEX(fa_reste,$M611))</f>
        <v/>
      </c>
      <c r="I611" s="58" t="str">
        <f>IF($M611="","",MAX(0,p_asof-E611))</f>
        <v/>
      </c>
      <c r="J611" s="78" t="str">
        <f>IF($M611="","",INDEX(fa_tranche,$M611)&amp;"")</f>
        <v/>
      </c>
      <c r="K611" s="56" t="str">
        <f>IF($M611="","",IF(ISNUMBER(INDEX(fa_relance,$M611)),INDEX(fa_relance,$M611),""))</f>
        <v/>
      </c>
      <c r="L611" s="79" t="str">
        <f>IF($M611="","",IF(AND(ISNUMBER(K611),(p_asof-E611)&gt;0,(p_asof-N(K611))&gt;=0,(p_asof-N(K611))&lt;7),"Déjà relancée il y a "&amp;(p_asof-N(K611))&amp;" j",IF((p_asof-E611)&lt;=0,IF((p_asof-E611)&gt;-8,"Rappel courtois avant l'échéance","Aucune action"),IF((p_asof-E611)&lt;=15,"Relance 1 : e-mail de rappel",IF((p_asof-E611)&lt;=30,"Relance 2 : appel téléphonique",IF((p_asof-E611)&lt;=60,"Relance 3 : lettre de relance",IF((p_asof-E611)&lt;=90,"Mise en demeure (recommandé)","Contentieux : injonction de payer")))))))</f>
        <v/>
      </c>
      <c r="M611" t="str">
        <f>IFERROR(MATCH(580,fa_rank,0),"")</f>
        <v/>
      </c>
    </row>
    <row r="612">
      <c r="B612" s="78" t="str">
        <f>IF($M612="","",INDEX(fa_num,$M612)&amp;"")</f>
        <v/>
      </c>
      <c r="C612" s="79" t="str">
        <f>IF($M612="","",INDEX(fa_cname,$M612)&amp;"")</f>
        <v/>
      </c>
      <c r="D612" s="56" t="str">
        <f>IF($M612="","",INDEX(fa_date,$M612))</f>
        <v/>
      </c>
      <c r="E612" s="56" t="str">
        <f>IF($M612="","",INDEX(fa_due,$M612))</f>
        <v/>
      </c>
      <c r="F612" s="75" t="str">
        <f>IF($M612="","",INDEX(fa_ttc,$M612))</f>
        <v/>
      </c>
      <c r="G612" s="75" t="str">
        <f>IF($M612="","",INDEX(fa_paid,$M612)+INDEX(fa_avoirs,$M612))</f>
        <v/>
      </c>
      <c r="H612" s="75" t="str">
        <f>IF($M612="","",INDEX(fa_reste,$M612))</f>
        <v/>
      </c>
      <c r="I612" s="58" t="str">
        <f>IF($M612="","",MAX(0,p_asof-E612))</f>
        <v/>
      </c>
      <c r="J612" s="78" t="str">
        <f>IF($M612="","",INDEX(fa_tranche,$M612)&amp;"")</f>
        <v/>
      </c>
      <c r="K612" s="56" t="str">
        <f>IF($M612="","",IF(ISNUMBER(INDEX(fa_relance,$M612)),INDEX(fa_relance,$M612),""))</f>
        <v/>
      </c>
      <c r="L612" s="79" t="str">
        <f>IF($M612="","",IF(AND(ISNUMBER(K612),(p_asof-E612)&gt;0,(p_asof-N(K612))&gt;=0,(p_asof-N(K612))&lt;7),"Déjà relancée il y a "&amp;(p_asof-N(K612))&amp;" j",IF((p_asof-E612)&lt;=0,IF((p_asof-E612)&gt;-8,"Rappel courtois avant l'échéance","Aucune action"),IF((p_asof-E612)&lt;=15,"Relance 1 : e-mail de rappel",IF((p_asof-E612)&lt;=30,"Relance 2 : appel téléphonique",IF((p_asof-E612)&lt;=60,"Relance 3 : lettre de relance",IF((p_asof-E612)&lt;=90,"Mise en demeure (recommandé)","Contentieux : injonction de payer")))))))</f>
        <v/>
      </c>
      <c r="M612" t="str">
        <f>IFERROR(MATCH(581,fa_rank,0),"")</f>
        <v/>
      </c>
    </row>
    <row r="613">
      <c r="B613" s="78" t="str">
        <f>IF($M613="","",INDEX(fa_num,$M613)&amp;"")</f>
        <v/>
      </c>
      <c r="C613" s="79" t="str">
        <f>IF($M613="","",INDEX(fa_cname,$M613)&amp;"")</f>
        <v/>
      </c>
      <c r="D613" s="56" t="str">
        <f>IF($M613="","",INDEX(fa_date,$M613))</f>
        <v/>
      </c>
      <c r="E613" s="56" t="str">
        <f>IF($M613="","",INDEX(fa_due,$M613))</f>
        <v/>
      </c>
      <c r="F613" s="75" t="str">
        <f>IF($M613="","",INDEX(fa_ttc,$M613))</f>
        <v/>
      </c>
      <c r="G613" s="75" t="str">
        <f>IF($M613="","",INDEX(fa_paid,$M613)+INDEX(fa_avoirs,$M613))</f>
        <v/>
      </c>
      <c r="H613" s="75" t="str">
        <f>IF($M613="","",INDEX(fa_reste,$M613))</f>
        <v/>
      </c>
      <c r="I613" s="58" t="str">
        <f>IF($M613="","",MAX(0,p_asof-E613))</f>
        <v/>
      </c>
      <c r="J613" s="78" t="str">
        <f>IF($M613="","",INDEX(fa_tranche,$M613)&amp;"")</f>
        <v/>
      </c>
      <c r="K613" s="56" t="str">
        <f>IF($M613="","",IF(ISNUMBER(INDEX(fa_relance,$M613)),INDEX(fa_relance,$M613),""))</f>
        <v/>
      </c>
      <c r="L613" s="79" t="str">
        <f>IF($M613="","",IF(AND(ISNUMBER(K613),(p_asof-E613)&gt;0,(p_asof-N(K613))&gt;=0,(p_asof-N(K613))&lt;7),"Déjà relancée il y a "&amp;(p_asof-N(K613))&amp;" j",IF((p_asof-E613)&lt;=0,IF((p_asof-E613)&gt;-8,"Rappel courtois avant l'échéance","Aucune action"),IF((p_asof-E613)&lt;=15,"Relance 1 : e-mail de rappel",IF((p_asof-E613)&lt;=30,"Relance 2 : appel téléphonique",IF((p_asof-E613)&lt;=60,"Relance 3 : lettre de relance",IF((p_asof-E613)&lt;=90,"Mise en demeure (recommandé)","Contentieux : injonction de payer")))))))</f>
        <v/>
      </c>
      <c r="M613" t="str">
        <f>IFERROR(MATCH(582,fa_rank,0),"")</f>
        <v/>
      </c>
    </row>
    <row r="614">
      <c r="B614" s="78" t="str">
        <f>IF($M614="","",INDEX(fa_num,$M614)&amp;"")</f>
        <v/>
      </c>
      <c r="C614" s="79" t="str">
        <f>IF($M614="","",INDEX(fa_cname,$M614)&amp;"")</f>
        <v/>
      </c>
      <c r="D614" s="56" t="str">
        <f>IF($M614="","",INDEX(fa_date,$M614))</f>
        <v/>
      </c>
      <c r="E614" s="56" t="str">
        <f>IF($M614="","",INDEX(fa_due,$M614))</f>
        <v/>
      </c>
      <c r="F614" s="75" t="str">
        <f>IF($M614="","",INDEX(fa_ttc,$M614))</f>
        <v/>
      </c>
      <c r="G614" s="75" t="str">
        <f>IF($M614="","",INDEX(fa_paid,$M614)+INDEX(fa_avoirs,$M614))</f>
        <v/>
      </c>
      <c r="H614" s="75" t="str">
        <f>IF($M614="","",INDEX(fa_reste,$M614))</f>
        <v/>
      </c>
      <c r="I614" s="58" t="str">
        <f>IF($M614="","",MAX(0,p_asof-E614))</f>
        <v/>
      </c>
      <c r="J614" s="78" t="str">
        <f>IF($M614="","",INDEX(fa_tranche,$M614)&amp;"")</f>
        <v/>
      </c>
      <c r="K614" s="56" t="str">
        <f>IF($M614="","",IF(ISNUMBER(INDEX(fa_relance,$M614)),INDEX(fa_relance,$M614),""))</f>
        <v/>
      </c>
      <c r="L614" s="79" t="str">
        <f>IF($M614="","",IF(AND(ISNUMBER(K614),(p_asof-E614)&gt;0,(p_asof-N(K614))&gt;=0,(p_asof-N(K614))&lt;7),"Déjà relancée il y a "&amp;(p_asof-N(K614))&amp;" j",IF((p_asof-E614)&lt;=0,IF((p_asof-E614)&gt;-8,"Rappel courtois avant l'échéance","Aucune action"),IF((p_asof-E614)&lt;=15,"Relance 1 : e-mail de rappel",IF((p_asof-E614)&lt;=30,"Relance 2 : appel téléphonique",IF((p_asof-E614)&lt;=60,"Relance 3 : lettre de relance",IF((p_asof-E614)&lt;=90,"Mise en demeure (recommandé)","Contentieux : injonction de payer")))))))</f>
        <v/>
      </c>
      <c r="M614" t="str">
        <f>IFERROR(MATCH(583,fa_rank,0),"")</f>
        <v/>
      </c>
    </row>
    <row r="615">
      <c r="B615" s="78" t="str">
        <f>IF($M615="","",INDEX(fa_num,$M615)&amp;"")</f>
        <v/>
      </c>
      <c r="C615" s="79" t="str">
        <f>IF($M615="","",INDEX(fa_cname,$M615)&amp;"")</f>
        <v/>
      </c>
      <c r="D615" s="56" t="str">
        <f>IF($M615="","",INDEX(fa_date,$M615))</f>
        <v/>
      </c>
      <c r="E615" s="56" t="str">
        <f>IF($M615="","",INDEX(fa_due,$M615))</f>
        <v/>
      </c>
      <c r="F615" s="75" t="str">
        <f>IF($M615="","",INDEX(fa_ttc,$M615))</f>
        <v/>
      </c>
      <c r="G615" s="75" t="str">
        <f>IF($M615="","",INDEX(fa_paid,$M615)+INDEX(fa_avoirs,$M615))</f>
        <v/>
      </c>
      <c r="H615" s="75" t="str">
        <f>IF($M615="","",INDEX(fa_reste,$M615))</f>
        <v/>
      </c>
      <c r="I615" s="58" t="str">
        <f>IF($M615="","",MAX(0,p_asof-E615))</f>
        <v/>
      </c>
      <c r="J615" s="78" t="str">
        <f>IF($M615="","",INDEX(fa_tranche,$M615)&amp;"")</f>
        <v/>
      </c>
      <c r="K615" s="56" t="str">
        <f>IF($M615="","",IF(ISNUMBER(INDEX(fa_relance,$M615)),INDEX(fa_relance,$M615),""))</f>
        <v/>
      </c>
      <c r="L615" s="79" t="str">
        <f>IF($M615="","",IF(AND(ISNUMBER(K615),(p_asof-E615)&gt;0,(p_asof-N(K615))&gt;=0,(p_asof-N(K615))&lt;7),"Déjà relancée il y a "&amp;(p_asof-N(K615))&amp;" j",IF((p_asof-E615)&lt;=0,IF((p_asof-E615)&gt;-8,"Rappel courtois avant l'échéance","Aucune action"),IF((p_asof-E615)&lt;=15,"Relance 1 : e-mail de rappel",IF((p_asof-E615)&lt;=30,"Relance 2 : appel téléphonique",IF((p_asof-E615)&lt;=60,"Relance 3 : lettre de relance",IF((p_asof-E615)&lt;=90,"Mise en demeure (recommandé)","Contentieux : injonction de payer")))))))</f>
        <v/>
      </c>
      <c r="M615" t="str">
        <f>IFERROR(MATCH(584,fa_rank,0),"")</f>
        <v/>
      </c>
    </row>
    <row r="616">
      <c r="B616" s="78" t="str">
        <f>IF($M616="","",INDEX(fa_num,$M616)&amp;"")</f>
        <v/>
      </c>
      <c r="C616" s="79" t="str">
        <f>IF($M616="","",INDEX(fa_cname,$M616)&amp;"")</f>
        <v/>
      </c>
      <c r="D616" s="56" t="str">
        <f>IF($M616="","",INDEX(fa_date,$M616))</f>
        <v/>
      </c>
      <c r="E616" s="56" t="str">
        <f>IF($M616="","",INDEX(fa_due,$M616))</f>
        <v/>
      </c>
      <c r="F616" s="75" t="str">
        <f>IF($M616="","",INDEX(fa_ttc,$M616))</f>
        <v/>
      </c>
      <c r="G616" s="75" t="str">
        <f>IF($M616="","",INDEX(fa_paid,$M616)+INDEX(fa_avoirs,$M616))</f>
        <v/>
      </c>
      <c r="H616" s="75" t="str">
        <f>IF($M616="","",INDEX(fa_reste,$M616))</f>
        <v/>
      </c>
      <c r="I616" s="58" t="str">
        <f>IF($M616="","",MAX(0,p_asof-E616))</f>
        <v/>
      </c>
      <c r="J616" s="78" t="str">
        <f>IF($M616="","",INDEX(fa_tranche,$M616)&amp;"")</f>
        <v/>
      </c>
      <c r="K616" s="56" t="str">
        <f>IF($M616="","",IF(ISNUMBER(INDEX(fa_relance,$M616)),INDEX(fa_relance,$M616),""))</f>
        <v/>
      </c>
      <c r="L616" s="79" t="str">
        <f>IF($M616="","",IF(AND(ISNUMBER(K616),(p_asof-E616)&gt;0,(p_asof-N(K616))&gt;=0,(p_asof-N(K616))&lt;7),"Déjà relancée il y a "&amp;(p_asof-N(K616))&amp;" j",IF((p_asof-E616)&lt;=0,IF((p_asof-E616)&gt;-8,"Rappel courtois avant l'échéance","Aucune action"),IF((p_asof-E616)&lt;=15,"Relance 1 : e-mail de rappel",IF((p_asof-E616)&lt;=30,"Relance 2 : appel téléphonique",IF((p_asof-E616)&lt;=60,"Relance 3 : lettre de relance",IF((p_asof-E616)&lt;=90,"Mise en demeure (recommandé)","Contentieux : injonction de payer")))))))</f>
        <v/>
      </c>
      <c r="M616" t="str">
        <f>IFERROR(MATCH(585,fa_rank,0),"")</f>
        <v/>
      </c>
    </row>
    <row r="617">
      <c r="B617" s="78" t="str">
        <f>IF($M617="","",INDEX(fa_num,$M617)&amp;"")</f>
        <v/>
      </c>
      <c r="C617" s="79" t="str">
        <f>IF($M617="","",INDEX(fa_cname,$M617)&amp;"")</f>
        <v/>
      </c>
      <c r="D617" s="56" t="str">
        <f>IF($M617="","",INDEX(fa_date,$M617))</f>
        <v/>
      </c>
      <c r="E617" s="56" t="str">
        <f>IF($M617="","",INDEX(fa_due,$M617))</f>
        <v/>
      </c>
      <c r="F617" s="75" t="str">
        <f>IF($M617="","",INDEX(fa_ttc,$M617))</f>
        <v/>
      </c>
      <c r="G617" s="75" t="str">
        <f>IF($M617="","",INDEX(fa_paid,$M617)+INDEX(fa_avoirs,$M617))</f>
        <v/>
      </c>
      <c r="H617" s="75" t="str">
        <f>IF($M617="","",INDEX(fa_reste,$M617))</f>
        <v/>
      </c>
      <c r="I617" s="58" t="str">
        <f>IF($M617="","",MAX(0,p_asof-E617))</f>
        <v/>
      </c>
      <c r="J617" s="78" t="str">
        <f>IF($M617="","",INDEX(fa_tranche,$M617)&amp;"")</f>
        <v/>
      </c>
      <c r="K617" s="56" t="str">
        <f>IF($M617="","",IF(ISNUMBER(INDEX(fa_relance,$M617)),INDEX(fa_relance,$M617),""))</f>
        <v/>
      </c>
      <c r="L617" s="79" t="str">
        <f>IF($M617="","",IF(AND(ISNUMBER(K617),(p_asof-E617)&gt;0,(p_asof-N(K617))&gt;=0,(p_asof-N(K617))&lt;7),"Déjà relancée il y a "&amp;(p_asof-N(K617))&amp;" j",IF((p_asof-E617)&lt;=0,IF((p_asof-E617)&gt;-8,"Rappel courtois avant l'échéance","Aucune action"),IF((p_asof-E617)&lt;=15,"Relance 1 : e-mail de rappel",IF((p_asof-E617)&lt;=30,"Relance 2 : appel téléphonique",IF((p_asof-E617)&lt;=60,"Relance 3 : lettre de relance",IF((p_asof-E617)&lt;=90,"Mise en demeure (recommandé)","Contentieux : injonction de payer")))))))</f>
        <v/>
      </c>
      <c r="M617" t="str">
        <f>IFERROR(MATCH(586,fa_rank,0),"")</f>
        <v/>
      </c>
    </row>
    <row r="618">
      <c r="B618" s="78" t="str">
        <f>IF($M618="","",INDEX(fa_num,$M618)&amp;"")</f>
        <v/>
      </c>
      <c r="C618" s="79" t="str">
        <f>IF($M618="","",INDEX(fa_cname,$M618)&amp;"")</f>
        <v/>
      </c>
      <c r="D618" s="56" t="str">
        <f>IF($M618="","",INDEX(fa_date,$M618))</f>
        <v/>
      </c>
      <c r="E618" s="56" t="str">
        <f>IF($M618="","",INDEX(fa_due,$M618))</f>
        <v/>
      </c>
      <c r="F618" s="75" t="str">
        <f>IF($M618="","",INDEX(fa_ttc,$M618))</f>
        <v/>
      </c>
      <c r="G618" s="75" t="str">
        <f>IF($M618="","",INDEX(fa_paid,$M618)+INDEX(fa_avoirs,$M618))</f>
        <v/>
      </c>
      <c r="H618" s="75" t="str">
        <f>IF($M618="","",INDEX(fa_reste,$M618))</f>
        <v/>
      </c>
      <c r="I618" s="58" t="str">
        <f>IF($M618="","",MAX(0,p_asof-E618))</f>
        <v/>
      </c>
      <c r="J618" s="78" t="str">
        <f>IF($M618="","",INDEX(fa_tranche,$M618)&amp;"")</f>
        <v/>
      </c>
      <c r="K618" s="56" t="str">
        <f>IF($M618="","",IF(ISNUMBER(INDEX(fa_relance,$M618)),INDEX(fa_relance,$M618),""))</f>
        <v/>
      </c>
      <c r="L618" s="79" t="str">
        <f>IF($M618="","",IF(AND(ISNUMBER(K618),(p_asof-E618)&gt;0,(p_asof-N(K618))&gt;=0,(p_asof-N(K618))&lt;7),"Déjà relancée il y a "&amp;(p_asof-N(K618))&amp;" j",IF((p_asof-E618)&lt;=0,IF((p_asof-E618)&gt;-8,"Rappel courtois avant l'échéance","Aucune action"),IF((p_asof-E618)&lt;=15,"Relance 1 : e-mail de rappel",IF((p_asof-E618)&lt;=30,"Relance 2 : appel téléphonique",IF((p_asof-E618)&lt;=60,"Relance 3 : lettre de relance",IF((p_asof-E618)&lt;=90,"Mise en demeure (recommandé)","Contentieux : injonction de payer")))))))</f>
        <v/>
      </c>
      <c r="M618" t="str">
        <f>IFERROR(MATCH(587,fa_rank,0),"")</f>
        <v/>
      </c>
    </row>
    <row r="619">
      <c r="B619" s="78" t="str">
        <f>IF($M619="","",INDEX(fa_num,$M619)&amp;"")</f>
        <v/>
      </c>
      <c r="C619" s="79" t="str">
        <f>IF($M619="","",INDEX(fa_cname,$M619)&amp;"")</f>
        <v/>
      </c>
      <c r="D619" s="56" t="str">
        <f>IF($M619="","",INDEX(fa_date,$M619))</f>
        <v/>
      </c>
      <c r="E619" s="56" t="str">
        <f>IF($M619="","",INDEX(fa_due,$M619))</f>
        <v/>
      </c>
      <c r="F619" s="75" t="str">
        <f>IF($M619="","",INDEX(fa_ttc,$M619))</f>
        <v/>
      </c>
      <c r="G619" s="75" t="str">
        <f>IF($M619="","",INDEX(fa_paid,$M619)+INDEX(fa_avoirs,$M619))</f>
        <v/>
      </c>
      <c r="H619" s="75" t="str">
        <f>IF($M619="","",INDEX(fa_reste,$M619))</f>
        <v/>
      </c>
      <c r="I619" s="58" t="str">
        <f>IF($M619="","",MAX(0,p_asof-E619))</f>
        <v/>
      </c>
      <c r="J619" s="78" t="str">
        <f>IF($M619="","",INDEX(fa_tranche,$M619)&amp;"")</f>
        <v/>
      </c>
      <c r="K619" s="56" t="str">
        <f>IF($M619="","",IF(ISNUMBER(INDEX(fa_relance,$M619)),INDEX(fa_relance,$M619),""))</f>
        <v/>
      </c>
      <c r="L619" s="79" t="str">
        <f>IF($M619="","",IF(AND(ISNUMBER(K619),(p_asof-E619)&gt;0,(p_asof-N(K619))&gt;=0,(p_asof-N(K619))&lt;7),"Déjà relancée il y a "&amp;(p_asof-N(K619))&amp;" j",IF((p_asof-E619)&lt;=0,IF((p_asof-E619)&gt;-8,"Rappel courtois avant l'échéance","Aucune action"),IF((p_asof-E619)&lt;=15,"Relance 1 : e-mail de rappel",IF((p_asof-E619)&lt;=30,"Relance 2 : appel téléphonique",IF((p_asof-E619)&lt;=60,"Relance 3 : lettre de relance",IF((p_asof-E619)&lt;=90,"Mise en demeure (recommandé)","Contentieux : injonction de payer")))))))</f>
        <v/>
      </c>
      <c r="M619" t="str">
        <f>IFERROR(MATCH(588,fa_rank,0),"")</f>
        <v/>
      </c>
    </row>
    <row r="620">
      <c r="B620" s="78" t="str">
        <f>IF($M620="","",INDEX(fa_num,$M620)&amp;"")</f>
        <v/>
      </c>
      <c r="C620" s="79" t="str">
        <f>IF($M620="","",INDEX(fa_cname,$M620)&amp;"")</f>
        <v/>
      </c>
      <c r="D620" s="56" t="str">
        <f>IF($M620="","",INDEX(fa_date,$M620))</f>
        <v/>
      </c>
      <c r="E620" s="56" t="str">
        <f>IF($M620="","",INDEX(fa_due,$M620))</f>
        <v/>
      </c>
      <c r="F620" s="75" t="str">
        <f>IF($M620="","",INDEX(fa_ttc,$M620))</f>
        <v/>
      </c>
      <c r="G620" s="75" t="str">
        <f>IF($M620="","",INDEX(fa_paid,$M620)+INDEX(fa_avoirs,$M620))</f>
        <v/>
      </c>
      <c r="H620" s="75" t="str">
        <f>IF($M620="","",INDEX(fa_reste,$M620))</f>
        <v/>
      </c>
      <c r="I620" s="58" t="str">
        <f>IF($M620="","",MAX(0,p_asof-E620))</f>
        <v/>
      </c>
      <c r="J620" s="78" t="str">
        <f>IF($M620="","",INDEX(fa_tranche,$M620)&amp;"")</f>
        <v/>
      </c>
      <c r="K620" s="56" t="str">
        <f>IF($M620="","",IF(ISNUMBER(INDEX(fa_relance,$M620)),INDEX(fa_relance,$M620),""))</f>
        <v/>
      </c>
      <c r="L620" s="79" t="str">
        <f>IF($M620="","",IF(AND(ISNUMBER(K620),(p_asof-E620)&gt;0,(p_asof-N(K620))&gt;=0,(p_asof-N(K620))&lt;7),"Déjà relancée il y a "&amp;(p_asof-N(K620))&amp;" j",IF((p_asof-E620)&lt;=0,IF((p_asof-E620)&gt;-8,"Rappel courtois avant l'échéance","Aucune action"),IF((p_asof-E620)&lt;=15,"Relance 1 : e-mail de rappel",IF((p_asof-E620)&lt;=30,"Relance 2 : appel téléphonique",IF((p_asof-E620)&lt;=60,"Relance 3 : lettre de relance",IF((p_asof-E620)&lt;=90,"Mise en demeure (recommandé)","Contentieux : injonction de payer")))))))</f>
        <v/>
      </c>
      <c r="M620" t="str">
        <f>IFERROR(MATCH(589,fa_rank,0),"")</f>
        <v/>
      </c>
    </row>
    <row r="621">
      <c r="B621" s="78" t="str">
        <f>IF($M621="","",INDEX(fa_num,$M621)&amp;"")</f>
        <v/>
      </c>
      <c r="C621" s="79" t="str">
        <f>IF($M621="","",INDEX(fa_cname,$M621)&amp;"")</f>
        <v/>
      </c>
      <c r="D621" s="56" t="str">
        <f>IF($M621="","",INDEX(fa_date,$M621))</f>
        <v/>
      </c>
      <c r="E621" s="56" t="str">
        <f>IF($M621="","",INDEX(fa_due,$M621))</f>
        <v/>
      </c>
      <c r="F621" s="75" t="str">
        <f>IF($M621="","",INDEX(fa_ttc,$M621))</f>
        <v/>
      </c>
      <c r="G621" s="75" t="str">
        <f>IF($M621="","",INDEX(fa_paid,$M621)+INDEX(fa_avoirs,$M621))</f>
        <v/>
      </c>
      <c r="H621" s="75" t="str">
        <f>IF($M621="","",INDEX(fa_reste,$M621))</f>
        <v/>
      </c>
      <c r="I621" s="58" t="str">
        <f>IF($M621="","",MAX(0,p_asof-E621))</f>
        <v/>
      </c>
      <c r="J621" s="78" t="str">
        <f>IF($M621="","",INDEX(fa_tranche,$M621)&amp;"")</f>
        <v/>
      </c>
      <c r="K621" s="56" t="str">
        <f>IF($M621="","",IF(ISNUMBER(INDEX(fa_relance,$M621)),INDEX(fa_relance,$M621),""))</f>
        <v/>
      </c>
      <c r="L621" s="79" t="str">
        <f>IF($M621="","",IF(AND(ISNUMBER(K621),(p_asof-E621)&gt;0,(p_asof-N(K621))&gt;=0,(p_asof-N(K621))&lt;7),"Déjà relancée il y a "&amp;(p_asof-N(K621))&amp;" j",IF((p_asof-E621)&lt;=0,IF((p_asof-E621)&gt;-8,"Rappel courtois avant l'échéance","Aucune action"),IF((p_asof-E621)&lt;=15,"Relance 1 : e-mail de rappel",IF((p_asof-E621)&lt;=30,"Relance 2 : appel téléphonique",IF((p_asof-E621)&lt;=60,"Relance 3 : lettre de relance",IF((p_asof-E621)&lt;=90,"Mise en demeure (recommandé)","Contentieux : injonction de payer")))))))</f>
        <v/>
      </c>
      <c r="M621" t="str">
        <f>IFERROR(MATCH(590,fa_rank,0),"")</f>
        <v/>
      </c>
    </row>
    <row r="622">
      <c r="B622" s="78" t="str">
        <f>IF($M622="","",INDEX(fa_num,$M622)&amp;"")</f>
        <v/>
      </c>
      <c r="C622" s="79" t="str">
        <f>IF($M622="","",INDEX(fa_cname,$M622)&amp;"")</f>
        <v/>
      </c>
      <c r="D622" s="56" t="str">
        <f>IF($M622="","",INDEX(fa_date,$M622))</f>
        <v/>
      </c>
      <c r="E622" s="56" t="str">
        <f>IF($M622="","",INDEX(fa_due,$M622))</f>
        <v/>
      </c>
      <c r="F622" s="75" t="str">
        <f>IF($M622="","",INDEX(fa_ttc,$M622))</f>
        <v/>
      </c>
      <c r="G622" s="75" t="str">
        <f>IF($M622="","",INDEX(fa_paid,$M622)+INDEX(fa_avoirs,$M622))</f>
        <v/>
      </c>
      <c r="H622" s="75" t="str">
        <f>IF($M622="","",INDEX(fa_reste,$M622))</f>
        <v/>
      </c>
      <c r="I622" s="58" t="str">
        <f>IF($M622="","",MAX(0,p_asof-E622))</f>
        <v/>
      </c>
      <c r="J622" s="78" t="str">
        <f>IF($M622="","",INDEX(fa_tranche,$M622)&amp;"")</f>
        <v/>
      </c>
      <c r="K622" s="56" t="str">
        <f>IF($M622="","",IF(ISNUMBER(INDEX(fa_relance,$M622)),INDEX(fa_relance,$M622),""))</f>
        <v/>
      </c>
      <c r="L622" s="79" t="str">
        <f>IF($M622="","",IF(AND(ISNUMBER(K622),(p_asof-E622)&gt;0,(p_asof-N(K622))&gt;=0,(p_asof-N(K622))&lt;7),"Déjà relancée il y a "&amp;(p_asof-N(K622))&amp;" j",IF((p_asof-E622)&lt;=0,IF((p_asof-E622)&gt;-8,"Rappel courtois avant l'échéance","Aucune action"),IF((p_asof-E622)&lt;=15,"Relance 1 : e-mail de rappel",IF((p_asof-E622)&lt;=30,"Relance 2 : appel téléphonique",IF((p_asof-E622)&lt;=60,"Relance 3 : lettre de relance",IF((p_asof-E622)&lt;=90,"Mise en demeure (recommandé)","Contentieux : injonction de payer")))))))</f>
        <v/>
      </c>
      <c r="M622" t="str">
        <f>IFERROR(MATCH(591,fa_rank,0),"")</f>
        <v/>
      </c>
    </row>
    <row r="623">
      <c r="B623" s="78" t="str">
        <f>IF($M623="","",INDEX(fa_num,$M623)&amp;"")</f>
        <v/>
      </c>
      <c r="C623" s="79" t="str">
        <f>IF($M623="","",INDEX(fa_cname,$M623)&amp;"")</f>
        <v/>
      </c>
      <c r="D623" s="56" t="str">
        <f>IF($M623="","",INDEX(fa_date,$M623))</f>
        <v/>
      </c>
      <c r="E623" s="56" t="str">
        <f>IF($M623="","",INDEX(fa_due,$M623))</f>
        <v/>
      </c>
      <c r="F623" s="75" t="str">
        <f>IF($M623="","",INDEX(fa_ttc,$M623))</f>
        <v/>
      </c>
      <c r="G623" s="75" t="str">
        <f>IF($M623="","",INDEX(fa_paid,$M623)+INDEX(fa_avoirs,$M623))</f>
        <v/>
      </c>
      <c r="H623" s="75" t="str">
        <f>IF($M623="","",INDEX(fa_reste,$M623))</f>
        <v/>
      </c>
      <c r="I623" s="58" t="str">
        <f>IF($M623="","",MAX(0,p_asof-E623))</f>
        <v/>
      </c>
      <c r="J623" s="78" t="str">
        <f>IF($M623="","",INDEX(fa_tranche,$M623)&amp;"")</f>
        <v/>
      </c>
      <c r="K623" s="56" t="str">
        <f>IF($M623="","",IF(ISNUMBER(INDEX(fa_relance,$M623)),INDEX(fa_relance,$M623),""))</f>
        <v/>
      </c>
      <c r="L623" s="79" t="str">
        <f>IF($M623="","",IF(AND(ISNUMBER(K623),(p_asof-E623)&gt;0,(p_asof-N(K623))&gt;=0,(p_asof-N(K623))&lt;7),"Déjà relancée il y a "&amp;(p_asof-N(K623))&amp;" j",IF((p_asof-E623)&lt;=0,IF((p_asof-E623)&gt;-8,"Rappel courtois avant l'échéance","Aucune action"),IF((p_asof-E623)&lt;=15,"Relance 1 : e-mail de rappel",IF((p_asof-E623)&lt;=30,"Relance 2 : appel téléphonique",IF((p_asof-E623)&lt;=60,"Relance 3 : lettre de relance",IF((p_asof-E623)&lt;=90,"Mise en demeure (recommandé)","Contentieux : injonction de payer")))))))</f>
        <v/>
      </c>
      <c r="M623" t="str">
        <f>IFERROR(MATCH(592,fa_rank,0),"")</f>
        <v/>
      </c>
    </row>
    <row r="624">
      <c r="B624" s="78" t="str">
        <f>IF($M624="","",INDEX(fa_num,$M624)&amp;"")</f>
        <v/>
      </c>
      <c r="C624" s="79" t="str">
        <f>IF($M624="","",INDEX(fa_cname,$M624)&amp;"")</f>
        <v/>
      </c>
      <c r="D624" s="56" t="str">
        <f>IF($M624="","",INDEX(fa_date,$M624))</f>
        <v/>
      </c>
      <c r="E624" s="56" t="str">
        <f>IF($M624="","",INDEX(fa_due,$M624))</f>
        <v/>
      </c>
      <c r="F624" s="75" t="str">
        <f>IF($M624="","",INDEX(fa_ttc,$M624))</f>
        <v/>
      </c>
      <c r="G624" s="75" t="str">
        <f>IF($M624="","",INDEX(fa_paid,$M624)+INDEX(fa_avoirs,$M624))</f>
        <v/>
      </c>
      <c r="H624" s="75" t="str">
        <f>IF($M624="","",INDEX(fa_reste,$M624))</f>
        <v/>
      </c>
      <c r="I624" s="58" t="str">
        <f>IF($M624="","",MAX(0,p_asof-E624))</f>
        <v/>
      </c>
      <c r="J624" s="78" t="str">
        <f>IF($M624="","",INDEX(fa_tranche,$M624)&amp;"")</f>
        <v/>
      </c>
      <c r="K624" s="56" t="str">
        <f>IF($M624="","",IF(ISNUMBER(INDEX(fa_relance,$M624)),INDEX(fa_relance,$M624),""))</f>
        <v/>
      </c>
      <c r="L624" s="79" t="str">
        <f>IF($M624="","",IF(AND(ISNUMBER(K624),(p_asof-E624)&gt;0,(p_asof-N(K624))&gt;=0,(p_asof-N(K624))&lt;7),"Déjà relancée il y a "&amp;(p_asof-N(K624))&amp;" j",IF((p_asof-E624)&lt;=0,IF((p_asof-E624)&gt;-8,"Rappel courtois avant l'échéance","Aucune action"),IF((p_asof-E624)&lt;=15,"Relance 1 : e-mail de rappel",IF((p_asof-E624)&lt;=30,"Relance 2 : appel téléphonique",IF((p_asof-E624)&lt;=60,"Relance 3 : lettre de relance",IF((p_asof-E624)&lt;=90,"Mise en demeure (recommandé)","Contentieux : injonction de payer")))))))</f>
        <v/>
      </c>
      <c r="M624" t="str">
        <f>IFERROR(MATCH(593,fa_rank,0),"")</f>
        <v/>
      </c>
    </row>
    <row r="625">
      <c r="B625" s="78" t="str">
        <f>IF($M625="","",INDEX(fa_num,$M625)&amp;"")</f>
        <v/>
      </c>
      <c r="C625" s="79" t="str">
        <f>IF($M625="","",INDEX(fa_cname,$M625)&amp;"")</f>
        <v/>
      </c>
      <c r="D625" s="56" t="str">
        <f>IF($M625="","",INDEX(fa_date,$M625))</f>
        <v/>
      </c>
      <c r="E625" s="56" t="str">
        <f>IF($M625="","",INDEX(fa_due,$M625))</f>
        <v/>
      </c>
      <c r="F625" s="75" t="str">
        <f>IF($M625="","",INDEX(fa_ttc,$M625))</f>
        <v/>
      </c>
      <c r="G625" s="75" t="str">
        <f>IF($M625="","",INDEX(fa_paid,$M625)+INDEX(fa_avoirs,$M625))</f>
        <v/>
      </c>
      <c r="H625" s="75" t="str">
        <f>IF($M625="","",INDEX(fa_reste,$M625))</f>
        <v/>
      </c>
      <c r="I625" s="58" t="str">
        <f>IF($M625="","",MAX(0,p_asof-E625))</f>
        <v/>
      </c>
      <c r="J625" s="78" t="str">
        <f>IF($M625="","",INDEX(fa_tranche,$M625)&amp;"")</f>
        <v/>
      </c>
      <c r="K625" s="56" t="str">
        <f>IF($M625="","",IF(ISNUMBER(INDEX(fa_relance,$M625)),INDEX(fa_relance,$M625),""))</f>
        <v/>
      </c>
      <c r="L625" s="79" t="str">
        <f>IF($M625="","",IF(AND(ISNUMBER(K625),(p_asof-E625)&gt;0,(p_asof-N(K625))&gt;=0,(p_asof-N(K625))&lt;7),"Déjà relancée il y a "&amp;(p_asof-N(K625))&amp;" j",IF((p_asof-E625)&lt;=0,IF((p_asof-E625)&gt;-8,"Rappel courtois avant l'échéance","Aucune action"),IF((p_asof-E625)&lt;=15,"Relance 1 : e-mail de rappel",IF((p_asof-E625)&lt;=30,"Relance 2 : appel téléphonique",IF((p_asof-E625)&lt;=60,"Relance 3 : lettre de relance",IF((p_asof-E625)&lt;=90,"Mise en demeure (recommandé)","Contentieux : injonction de payer")))))))</f>
        <v/>
      </c>
      <c r="M625" t="str">
        <f>IFERROR(MATCH(594,fa_rank,0),"")</f>
        <v/>
      </c>
    </row>
    <row r="626">
      <c r="B626" s="78" t="str">
        <f>IF($M626="","",INDEX(fa_num,$M626)&amp;"")</f>
        <v/>
      </c>
      <c r="C626" s="79" t="str">
        <f>IF($M626="","",INDEX(fa_cname,$M626)&amp;"")</f>
        <v/>
      </c>
      <c r="D626" s="56" t="str">
        <f>IF($M626="","",INDEX(fa_date,$M626))</f>
        <v/>
      </c>
      <c r="E626" s="56" t="str">
        <f>IF($M626="","",INDEX(fa_due,$M626))</f>
        <v/>
      </c>
      <c r="F626" s="75" t="str">
        <f>IF($M626="","",INDEX(fa_ttc,$M626))</f>
        <v/>
      </c>
      <c r="G626" s="75" t="str">
        <f>IF($M626="","",INDEX(fa_paid,$M626)+INDEX(fa_avoirs,$M626))</f>
        <v/>
      </c>
      <c r="H626" s="75" t="str">
        <f>IF($M626="","",INDEX(fa_reste,$M626))</f>
        <v/>
      </c>
      <c r="I626" s="58" t="str">
        <f>IF($M626="","",MAX(0,p_asof-E626))</f>
        <v/>
      </c>
      <c r="J626" s="78" t="str">
        <f>IF($M626="","",INDEX(fa_tranche,$M626)&amp;"")</f>
        <v/>
      </c>
      <c r="K626" s="56" t="str">
        <f>IF($M626="","",IF(ISNUMBER(INDEX(fa_relance,$M626)),INDEX(fa_relance,$M626),""))</f>
        <v/>
      </c>
      <c r="L626" s="79" t="str">
        <f>IF($M626="","",IF(AND(ISNUMBER(K626),(p_asof-E626)&gt;0,(p_asof-N(K626))&gt;=0,(p_asof-N(K626))&lt;7),"Déjà relancée il y a "&amp;(p_asof-N(K626))&amp;" j",IF((p_asof-E626)&lt;=0,IF((p_asof-E626)&gt;-8,"Rappel courtois avant l'échéance","Aucune action"),IF((p_asof-E626)&lt;=15,"Relance 1 : e-mail de rappel",IF((p_asof-E626)&lt;=30,"Relance 2 : appel téléphonique",IF((p_asof-E626)&lt;=60,"Relance 3 : lettre de relance",IF((p_asof-E626)&lt;=90,"Mise en demeure (recommandé)","Contentieux : injonction de payer")))))))</f>
        <v/>
      </c>
      <c r="M626" t="str">
        <f>IFERROR(MATCH(595,fa_rank,0),"")</f>
        <v/>
      </c>
    </row>
    <row r="627">
      <c r="B627" s="78" t="str">
        <f>IF($M627="","",INDEX(fa_num,$M627)&amp;"")</f>
        <v/>
      </c>
      <c r="C627" s="79" t="str">
        <f>IF($M627="","",INDEX(fa_cname,$M627)&amp;"")</f>
        <v/>
      </c>
      <c r="D627" s="56" t="str">
        <f>IF($M627="","",INDEX(fa_date,$M627))</f>
        <v/>
      </c>
      <c r="E627" s="56" t="str">
        <f>IF($M627="","",INDEX(fa_due,$M627))</f>
        <v/>
      </c>
      <c r="F627" s="75" t="str">
        <f>IF($M627="","",INDEX(fa_ttc,$M627))</f>
        <v/>
      </c>
      <c r="G627" s="75" t="str">
        <f>IF($M627="","",INDEX(fa_paid,$M627)+INDEX(fa_avoirs,$M627))</f>
        <v/>
      </c>
      <c r="H627" s="75" t="str">
        <f>IF($M627="","",INDEX(fa_reste,$M627))</f>
        <v/>
      </c>
      <c r="I627" s="58" t="str">
        <f>IF($M627="","",MAX(0,p_asof-E627))</f>
        <v/>
      </c>
      <c r="J627" s="78" t="str">
        <f>IF($M627="","",INDEX(fa_tranche,$M627)&amp;"")</f>
        <v/>
      </c>
      <c r="K627" s="56" t="str">
        <f>IF($M627="","",IF(ISNUMBER(INDEX(fa_relance,$M627)),INDEX(fa_relance,$M627),""))</f>
        <v/>
      </c>
      <c r="L627" s="79" t="str">
        <f>IF($M627="","",IF(AND(ISNUMBER(K627),(p_asof-E627)&gt;0,(p_asof-N(K627))&gt;=0,(p_asof-N(K627))&lt;7),"Déjà relancée il y a "&amp;(p_asof-N(K627))&amp;" j",IF((p_asof-E627)&lt;=0,IF((p_asof-E627)&gt;-8,"Rappel courtois avant l'échéance","Aucune action"),IF((p_asof-E627)&lt;=15,"Relance 1 : e-mail de rappel",IF((p_asof-E627)&lt;=30,"Relance 2 : appel téléphonique",IF((p_asof-E627)&lt;=60,"Relance 3 : lettre de relance",IF((p_asof-E627)&lt;=90,"Mise en demeure (recommandé)","Contentieux : injonction de payer")))))))</f>
        <v/>
      </c>
      <c r="M627" t="str">
        <f>IFERROR(MATCH(596,fa_rank,0),"")</f>
        <v/>
      </c>
    </row>
    <row r="628">
      <c r="B628" s="78" t="str">
        <f>IF($M628="","",INDEX(fa_num,$M628)&amp;"")</f>
        <v/>
      </c>
      <c r="C628" s="79" t="str">
        <f>IF($M628="","",INDEX(fa_cname,$M628)&amp;"")</f>
        <v/>
      </c>
      <c r="D628" s="56" t="str">
        <f>IF($M628="","",INDEX(fa_date,$M628))</f>
        <v/>
      </c>
      <c r="E628" s="56" t="str">
        <f>IF($M628="","",INDEX(fa_due,$M628))</f>
        <v/>
      </c>
      <c r="F628" s="75" t="str">
        <f>IF($M628="","",INDEX(fa_ttc,$M628))</f>
        <v/>
      </c>
      <c r="G628" s="75" t="str">
        <f>IF($M628="","",INDEX(fa_paid,$M628)+INDEX(fa_avoirs,$M628))</f>
        <v/>
      </c>
      <c r="H628" s="75" t="str">
        <f>IF($M628="","",INDEX(fa_reste,$M628))</f>
        <v/>
      </c>
      <c r="I628" s="58" t="str">
        <f>IF($M628="","",MAX(0,p_asof-E628))</f>
        <v/>
      </c>
      <c r="J628" s="78" t="str">
        <f>IF($M628="","",INDEX(fa_tranche,$M628)&amp;"")</f>
        <v/>
      </c>
      <c r="K628" s="56" t="str">
        <f>IF($M628="","",IF(ISNUMBER(INDEX(fa_relance,$M628)),INDEX(fa_relance,$M628),""))</f>
        <v/>
      </c>
      <c r="L628" s="79" t="str">
        <f>IF($M628="","",IF(AND(ISNUMBER(K628),(p_asof-E628)&gt;0,(p_asof-N(K628))&gt;=0,(p_asof-N(K628))&lt;7),"Déjà relancée il y a "&amp;(p_asof-N(K628))&amp;" j",IF((p_asof-E628)&lt;=0,IF((p_asof-E628)&gt;-8,"Rappel courtois avant l'échéance","Aucune action"),IF((p_asof-E628)&lt;=15,"Relance 1 : e-mail de rappel",IF((p_asof-E628)&lt;=30,"Relance 2 : appel téléphonique",IF((p_asof-E628)&lt;=60,"Relance 3 : lettre de relance",IF((p_asof-E628)&lt;=90,"Mise en demeure (recommandé)","Contentieux : injonction de payer")))))))</f>
        <v/>
      </c>
      <c r="M628" t="str">
        <f>IFERROR(MATCH(597,fa_rank,0),"")</f>
        <v/>
      </c>
    </row>
    <row r="629">
      <c r="B629" s="78" t="str">
        <f>IF($M629="","",INDEX(fa_num,$M629)&amp;"")</f>
        <v/>
      </c>
      <c r="C629" s="79" t="str">
        <f>IF($M629="","",INDEX(fa_cname,$M629)&amp;"")</f>
        <v/>
      </c>
      <c r="D629" s="56" t="str">
        <f>IF($M629="","",INDEX(fa_date,$M629))</f>
        <v/>
      </c>
      <c r="E629" s="56" t="str">
        <f>IF($M629="","",INDEX(fa_due,$M629))</f>
        <v/>
      </c>
      <c r="F629" s="75" t="str">
        <f>IF($M629="","",INDEX(fa_ttc,$M629))</f>
        <v/>
      </c>
      <c r="G629" s="75" t="str">
        <f>IF($M629="","",INDEX(fa_paid,$M629)+INDEX(fa_avoirs,$M629))</f>
        <v/>
      </c>
      <c r="H629" s="75" t="str">
        <f>IF($M629="","",INDEX(fa_reste,$M629))</f>
        <v/>
      </c>
      <c r="I629" s="58" t="str">
        <f>IF($M629="","",MAX(0,p_asof-E629))</f>
        <v/>
      </c>
      <c r="J629" s="78" t="str">
        <f>IF($M629="","",INDEX(fa_tranche,$M629)&amp;"")</f>
        <v/>
      </c>
      <c r="K629" s="56" t="str">
        <f>IF($M629="","",IF(ISNUMBER(INDEX(fa_relance,$M629)),INDEX(fa_relance,$M629),""))</f>
        <v/>
      </c>
      <c r="L629" s="79" t="str">
        <f>IF($M629="","",IF(AND(ISNUMBER(K629),(p_asof-E629)&gt;0,(p_asof-N(K629))&gt;=0,(p_asof-N(K629))&lt;7),"Déjà relancée il y a "&amp;(p_asof-N(K629))&amp;" j",IF((p_asof-E629)&lt;=0,IF((p_asof-E629)&gt;-8,"Rappel courtois avant l'échéance","Aucune action"),IF((p_asof-E629)&lt;=15,"Relance 1 : e-mail de rappel",IF((p_asof-E629)&lt;=30,"Relance 2 : appel téléphonique",IF((p_asof-E629)&lt;=60,"Relance 3 : lettre de relance",IF((p_asof-E629)&lt;=90,"Mise en demeure (recommandé)","Contentieux : injonction de payer")))))))</f>
        <v/>
      </c>
      <c r="M629" t="str">
        <f>IFERROR(MATCH(598,fa_rank,0),"")</f>
        <v/>
      </c>
    </row>
    <row r="630">
      <c r="B630" s="78" t="str">
        <f>IF($M630="","",INDEX(fa_num,$M630)&amp;"")</f>
        <v/>
      </c>
      <c r="C630" s="79" t="str">
        <f>IF($M630="","",INDEX(fa_cname,$M630)&amp;"")</f>
        <v/>
      </c>
      <c r="D630" s="56" t="str">
        <f>IF($M630="","",INDEX(fa_date,$M630))</f>
        <v/>
      </c>
      <c r="E630" s="56" t="str">
        <f>IF($M630="","",INDEX(fa_due,$M630))</f>
        <v/>
      </c>
      <c r="F630" s="75" t="str">
        <f>IF($M630="","",INDEX(fa_ttc,$M630))</f>
        <v/>
      </c>
      <c r="G630" s="75" t="str">
        <f>IF($M630="","",INDEX(fa_paid,$M630)+INDEX(fa_avoirs,$M630))</f>
        <v/>
      </c>
      <c r="H630" s="75" t="str">
        <f>IF($M630="","",INDEX(fa_reste,$M630))</f>
        <v/>
      </c>
      <c r="I630" s="58" t="str">
        <f>IF($M630="","",MAX(0,p_asof-E630))</f>
        <v/>
      </c>
      <c r="J630" s="78" t="str">
        <f>IF($M630="","",INDEX(fa_tranche,$M630)&amp;"")</f>
        <v/>
      </c>
      <c r="K630" s="56" t="str">
        <f>IF($M630="","",IF(ISNUMBER(INDEX(fa_relance,$M630)),INDEX(fa_relance,$M630),""))</f>
        <v/>
      </c>
      <c r="L630" s="79" t="str">
        <f>IF($M630="","",IF(AND(ISNUMBER(K630),(p_asof-E630)&gt;0,(p_asof-N(K630))&gt;=0,(p_asof-N(K630))&lt;7),"Déjà relancée il y a "&amp;(p_asof-N(K630))&amp;" j",IF((p_asof-E630)&lt;=0,IF((p_asof-E630)&gt;-8,"Rappel courtois avant l'échéance","Aucune action"),IF((p_asof-E630)&lt;=15,"Relance 1 : e-mail de rappel",IF((p_asof-E630)&lt;=30,"Relance 2 : appel téléphonique",IF((p_asof-E630)&lt;=60,"Relance 3 : lettre de relance",IF((p_asof-E630)&lt;=90,"Mise en demeure (recommandé)","Contentieux : injonction de payer")))))))</f>
        <v/>
      </c>
      <c r="M630" t="str">
        <f>IFERROR(MATCH(599,fa_rank,0),"")</f>
        <v/>
      </c>
    </row>
    <row r="631">
      <c r="B631" s="78" t="str">
        <f>IF($M631="","",INDEX(fa_num,$M631)&amp;"")</f>
        <v/>
      </c>
      <c r="C631" s="79" t="str">
        <f>IF($M631="","",INDEX(fa_cname,$M631)&amp;"")</f>
        <v/>
      </c>
      <c r="D631" s="56" t="str">
        <f>IF($M631="","",INDEX(fa_date,$M631))</f>
        <v/>
      </c>
      <c r="E631" s="56" t="str">
        <f>IF($M631="","",INDEX(fa_due,$M631))</f>
        <v/>
      </c>
      <c r="F631" s="75" t="str">
        <f>IF($M631="","",INDEX(fa_ttc,$M631))</f>
        <v/>
      </c>
      <c r="G631" s="75" t="str">
        <f>IF($M631="","",INDEX(fa_paid,$M631)+INDEX(fa_avoirs,$M631))</f>
        <v/>
      </c>
      <c r="H631" s="75" t="str">
        <f>IF($M631="","",INDEX(fa_reste,$M631))</f>
        <v/>
      </c>
      <c r="I631" s="58" t="str">
        <f>IF($M631="","",MAX(0,p_asof-E631))</f>
        <v/>
      </c>
      <c r="J631" s="78" t="str">
        <f>IF($M631="","",INDEX(fa_tranche,$M631)&amp;"")</f>
        <v/>
      </c>
      <c r="K631" s="56" t="str">
        <f>IF($M631="","",IF(ISNUMBER(INDEX(fa_relance,$M631)),INDEX(fa_relance,$M631),""))</f>
        <v/>
      </c>
      <c r="L631" s="79" t="str">
        <f>IF($M631="","",IF(AND(ISNUMBER(K631),(p_asof-E631)&gt;0,(p_asof-N(K631))&gt;=0,(p_asof-N(K631))&lt;7),"Déjà relancée il y a "&amp;(p_asof-N(K631))&amp;" j",IF((p_asof-E631)&lt;=0,IF((p_asof-E631)&gt;-8,"Rappel courtois avant l'échéance","Aucune action"),IF((p_asof-E631)&lt;=15,"Relance 1 : e-mail de rappel",IF((p_asof-E631)&lt;=30,"Relance 2 : appel téléphonique",IF((p_asof-E631)&lt;=60,"Relance 3 : lettre de relance",IF((p_asof-E631)&lt;=90,"Mise en demeure (recommandé)","Contentieux : injonction de payer")))))))</f>
        <v/>
      </c>
      <c r="M631" t="str">
        <f>IFERROR(MATCH(600,fa_rank,0),"")</f>
        <v/>
      </c>
    </row>
    <row r="632">
      <c r="B632" s="78" t="str">
        <f>IF($M632="","",INDEX(fa_num,$M632)&amp;"")</f>
        <v/>
      </c>
      <c r="C632" s="79" t="str">
        <f>IF($M632="","",INDEX(fa_cname,$M632)&amp;"")</f>
        <v/>
      </c>
      <c r="D632" s="56" t="str">
        <f>IF($M632="","",INDEX(fa_date,$M632))</f>
        <v/>
      </c>
      <c r="E632" s="56" t="str">
        <f>IF($M632="","",INDEX(fa_due,$M632))</f>
        <v/>
      </c>
      <c r="F632" s="75" t="str">
        <f>IF($M632="","",INDEX(fa_ttc,$M632))</f>
        <v/>
      </c>
      <c r="G632" s="75" t="str">
        <f>IF($M632="","",INDEX(fa_paid,$M632)+INDEX(fa_avoirs,$M632))</f>
        <v/>
      </c>
      <c r="H632" s="75" t="str">
        <f>IF($M632="","",INDEX(fa_reste,$M632))</f>
        <v/>
      </c>
      <c r="I632" s="58" t="str">
        <f>IF($M632="","",MAX(0,p_asof-E632))</f>
        <v/>
      </c>
      <c r="J632" s="78" t="str">
        <f>IF($M632="","",INDEX(fa_tranche,$M632)&amp;"")</f>
        <v/>
      </c>
      <c r="K632" s="56" t="str">
        <f>IF($M632="","",IF(ISNUMBER(INDEX(fa_relance,$M632)),INDEX(fa_relance,$M632),""))</f>
        <v/>
      </c>
      <c r="L632" s="79" t="str">
        <f>IF($M632="","",IF(AND(ISNUMBER(K632),(p_asof-E632)&gt;0,(p_asof-N(K632))&gt;=0,(p_asof-N(K632))&lt;7),"Déjà relancée il y a "&amp;(p_asof-N(K632))&amp;" j",IF((p_asof-E632)&lt;=0,IF((p_asof-E632)&gt;-8,"Rappel courtois avant l'échéance","Aucune action"),IF((p_asof-E632)&lt;=15,"Relance 1 : e-mail de rappel",IF((p_asof-E632)&lt;=30,"Relance 2 : appel téléphonique",IF((p_asof-E632)&lt;=60,"Relance 3 : lettre de relance",IF((p_asof-E632)&lt;=90,"Mise en demeure (recommandé)","Contentieux : injonction de payer")))))))</f>
        <v/>
      </c>
      <c r="M632" t="str">
        <f>IFERROR(MATCH(601,fa_rank,0),"")</f>
        <v/>
      </c>
    </row>
    <row r="633">
      <c r="B633" s="78" t="str">
        <f>IF($M633="","",INDEX(fa_num,$M633)&amp;"")</f>
        <v/>
      </c>
      <c r="C633" s="79" t="str">
        <f>IF($M633="","",INDEX(fa_cname,$M633)&amp;"")</f>
        <v/>
      </c>
      <c r="D633" s="56" t="str">
        <f>IF($M633="","",INDEX(fa_date,$M633))</f>
        <v/>
      </c>
      <c r="E633" s="56" t="str">
        <f>IF($M633="","",INDEX(fa_due,$M633))</f>
        <v/>
      </c>
      <c r="F633" s="75" t="str">
        <f>IF($M633="","",INDEX(fa_ttc,$M633))</f>
        <v/>
      </c>
      <c r="G633" s="75" t="str">
        <f>IF($M633="","",INDEX(fa_paid,$M633)+INDEX(fa_avoirs,$M633))</f>
        <v/>
      </c>
      <c r="H633" s="75" t="str">
        <f>IF($M633="","",INDEX(fa_reste,$M633))</f>
        <v/>
      </c>
      <c r="I633" s="58" t="str">
        <f>IF($M633="","",MAX(0,p_asof-E633))</f>
        <v/>
      </c>
      <c r="J633" s="78" t="str">
        <f>IF($M633="","",INDEX(fa_tranche,$M633)&amp;"")</f>
        <v/>
      </c>
      <c r="K633" s="56" t="str">
        <f>IF($M633="","",IF(ISNUMBER(INDEX(fa_relance,$M633)),INDEX(fa_relance,$M633),""))</f>
        <v/>
      </c>
      <c r="L633" s="79" t="str">
        <f>IF($M633="","",IF(AND(ISNUMBER(K633),(p_asof-E633)&gt;0,(p_asof-N(K633))&gt;=0,(p_asof-N(K633))&lt;7),"Déjà relancée il y a "&amp;(p_asof-N(K633))&amp;" j",IF((p_asof-E633)&lt;=0,IF((p_asof-E633)&gt;-8,"Rappel courtois avant l'échéance","Aucune action"),IF((p_asof-E633)&lt;=15,"Relance 1 : e-mail de rappel",IF((p_asof-E633)&lt;=30,"Relance 2 : appel téléphonique",IF((p_asof-E633)&lt;=60,"Relance 3 : lettre de relance",IF((p_asof-E633)&lt;=90,"Mise en demeure (recommandé)","Contentieux : injonction de payer")))))))</f>
        <v/>
      </c>
      <c r="M633" t="str">
        <f>IFERROR(MATCH(602,fa_rank,0),"")</f>
        <v/>
      </c>
    </row>
    <row r="634">
      <c r="B634" s="78" t="str">
        <f>IF($M634="","",INDEX(fa_num,$M634)&amp;"")</f>
        <v/>
      </c>
      <c r="C634" s="79" t="str">
        <f>IF($M634="","",INDEX(fa_cname,$M634)&amp;"")</f>
        <v/>
      </c>
      <c r="D634" s="56" t="str">
        <f>IF($M634="","",INDEX(fa_date,$M634))</f>
        <v/>
      </c>
      <c r="E634" s="56" t="str">
        <f>IF($M634="","",INDEX(fa_due,$M634))</f>
        <v/>
      </c>
      <c r="F634" s="75" t="str">
        <f>IF($M634="","",INDEX(fa_ttc,$M634))</f>
        <v/>
      </c>
      <c r="G634" s="75" t="str">
        <f>IF($M634="","",INDEX(fa_paid,$M634)+INDEX(fa_avoirs,$M634))</f>
        <v/>
      </c>
      <c r="H634" s="75" t="str">
        <f>IF($M634="","",INDEX(fa_reste,$M634))</f>
        <v/>
      </c>
      <c r="I634" s="58" t="str">
        <f>IF($M634="","",MAX(0,p_asof-E634))</f>
        <v/>
      </c>
      <c r="J634" s="78" t="str">
        <f>IF($M634="","",INDEX(fa_tranche,$M634)&amp;"")</f>
        <v/>
      </c>
      <c r="K634" s="56" t="str">
        <f>IF($M634="","",IF(ISNUMBER(INDEX(fa_relance,$M634)),INDEX(fa_relance,$M634),""))</f>
        <v/>
      </c>
      <c r="L634" s="79" t="str">
        <f>IF($M634="","",IF(AND(ISNUMBER(K634),(p_asof-E634)&gt;0,(p_asof-N(K634))&gt;=0,(p_asof-N(K634))&lt;7),"Déjà relancée il y a "&amp;(p_asof-N(K634))&amp;" j",IF((p_asof-E634)&lt;=0,IF((p_asof-E634)&gt;-8,"Rappel courtois avant l'échéance","Aucune action"),IF((p_asof-E634)&lt;=15,"Relance 1 : e-mail de rappel",IF((p_asof-E634)&lt;=30,"Relance 2 : appel téléphonique",IF((p_asof-E634)&lt;=60,"Relance 3 : lettre de relance",IF((p_asof-E634)&lt;=90,"Mise en demeure (recommandé)","Contentieux : injonction de payer")))))))</f>
        <v/>
      </c>
      <c r="M634" t="str">
        <f>IFERROR(MATCH(603,fa_rank,0),"")</f>
        <v/>
      </c>
    </row>
    <row r="635">
      <c r="B635" s="78" t="str">
        <f>IF($M635="","",INDEX(fa_num,$M635)&amp;"")</f>
        <v/>
      </c>
      <c r="C635" s="79" t="str">
        <f>IF($M635="","",INDEX(fa_cname,$M635)&amp;"")</f>
        <v/>
      </c>
      <c r="D635" s="56" t="str">
        <f>IF($M635="","",INDEX(fa_date,$M635))</f>
        <v/>
      </c>
      <c r="E635" s="56" t="str">
        <f>IF($M635="","",INDEX(fa_due,$M635))</f>
        <v/>
      </c>
      <c r="F635" s="75" t="str">
        <f>IF($M635="","",INDEX(fa_ttc,$M635))</f>
        <v/>
      </c>
      <c r="G635" s="75" t="str">
        <f>IF($M635="","",INDEX(fa_paid,$M635)+INDEX(fa_avoirs,$M635))</f>
        <v/>
      </c>
      <c r="H635" s="75" t="str">
        <f>IF($M635="","",INDEX(fa_reste,$M635))</f>
        <v/>
      </c>
      <c r="I635" s="58" t="str">
        <f>IF($M635="","",MAX(0,p_asof-E635))</f>
        <v/>
      </c>
      <c r="J635" s="78" t="str">
        <f>IF($M635="","",INDEX(fa_tranche,$M635)&amp;"")</f>
        <v/>
      </c>
      <c r="K635" s="56" t="str">
        <f>IF($M635="","",IF(ISNUMBER(INDEX(fa_relance,$M635)),INDEX(fa_relance,$M635),""))</f>
        <v/>
      </c>
      <c r="L635" s="79" t="str">
        <f>IF($M635="","",IF(AND(ISNUMBER(K635),(p_asof-E635)&gt;0,(p_asof-N(K635))&gt;=0,(p_asof-N(K635))&lt;7),"Déjà relancée il y a "&amp;(p_asof-N(K635))&amp;" j",IF((p_asof-E635)&lt;=0,IF((p_asof-E635)&gt;-8,"Rappel courtois avant l'échéance","Aucune action"),IF((p_asof-E635)&lt;=15,"Relance 1 : e-mail de rappel",IF((p_asof-E635)&lt;=30,"Relance 2 : appel téléphonique",IF((p_asof-E635)&lt;=60,"Relance 3 : lettre de relance",IF((p_asof-E635)&lt;=90,"Mise en demeure (recommandé)","Contentieux : injonction de payer")))))))</f>
        <v/>
      </c>
      <c r="M635" t="str">
        <f>IFERROR(MATCH(604,fa_rank,0),"")</f>
        <v/>
      </c>
    </row>
    <row r="636">
      <c r="B636" s="78" t="str">
        <f>IF($M636="","",INDEX(fa_num,$M636)&amp;"")</f>
        <v/>
      </c>
      <c r="C636" s="79" t="str">
        <f>IF($M636="","",INDEX(fa_cname,$M636)&amp;"")</f>
        <v/>
      </c>
      <c r="D636" s="56" t="str">
        <f>IF($M636="","",INDEX(fa_date,$M636))</f>
        <v/>
      </c>
      <c r="E636" s="56" t="str">
        <f>IF($M636="","",INDEX(fa_due,$M636))</f>
        <v/>
      </c>
      <c r="F636" s="75" t="str">
        <f>IF($M636="","",INDEX(fa_ttc,$M636))</f>
        <v/>
      </c>
      <c r="G636" s="75" t="str">
        <f>IF($M636="","",INDEX(fa_paid,$M636)+INDEX(fa_avoirs,$M636))</f>
        <v/>
      </c>
      <c r="H636" s="75" t="str">
        <f>IF($M636="","",INDEX(fa_reste,$M636))</f>
        <v/>
      </c>
      <c r="I636" s="58" t="str">
        <f>IF($M636="","",MAX(0,p_asof-E636))</f>
        <v/>
      </c>
      <c r="J636" s="78" t="str">
        <f>IF($M636="","",INDEX(fa_tranche,$M636)&amp;"")</f>
        <v/>
      </c>
      <c r="K636" s="56" t="str">
        <f>IF($M636="","",IF(ISNUMBER(INDEX(fa_relance,$M636)),INDEX(fa_relance,$M636),""))</f>
        <v/>
      </c>
      <c r="L636" s="79" t="str">
        <f>IF($M636="","",IF(AND(ISNUMBER(K636),(p_asof-E636)&gt;0,(p_asof-N(K636))&gt;=0,(p_asof-N(K636))&lt;7),"Déjà relancée il y a "&amp;(p_asof-N(K636))&amp;" j",IF((p_asof-E636)&lt;=0,IF((p_asof-E636)&gt;-8,"Rappel courtois avant l'échéance","Aucune action"),IF((p_asof-E636)&lt;=15,"Relance 1 : e-mail de rappel",IF((p_asof-E636)&lt;=30,"Relance 2 : appel téléphonique",IF((p_asof-E636)&lt;=60,"Relance 3 : lettre de relance",IF((p_asof-E636)&lt;=90,"Mise en demeure (recommandé)","Contentieux : injonction de payer")))))))</f>
        <v/>
      </c>
      <c r="M636" t="str">
        <f>IFERROR(MATCH(605,fa_rank,0),"")</f>
        <v/>
      </c>
    </row>
    <row r="637">
      <c r="B637" s="78" t="str">
        <f>IF($M637="","",INDEX(fa_num,$M637)&amp;"")</f>
        <v/>
      </c>
      <c r="C637" s="79" t="str">
        <f>IF($M637="","",INDEX(fa_cname,$M637)&amp;"")</f>
        <v/>
      </c>
      <c r="D637" s="56" t="str">
        <f>IF($M637="","",INDEX(fa_date,$M637))</f>
        <v/>
      </c>
      <c r="E637" s="56" t="str">
        <f>IF($M637="","",INDEX(fa_due,$M637))</f>
        <v/>
      </c>
      <c r="F637" s="75" t="str">
        <f>IF($M637="","",INDEX(fa_ttc,$M637))</f>
        <v/>
      </c>
      <c r="G637" s="75" t="str">
        <f>IF($M637="","",INDEX(fa_paid,$M637)+INDEX(fa_avoirs,$M637))</f>
        <v/>
      </c>
      <c r="H637" s="75" t="str">
        <f>IF($M637="","",INDEX(fa_reste,$M637))</f>
        <v/>
      </c>
      <c r="I637" s="58" t="str">
        <f>IF($M637="","",MAX(0,p_asof-E637))</f>
        <v/>
      </c>
      <c r="J637" s="78" t="str">
        <f>IF($M637="","",INDEX(fa_tranche,$M637)&amp;"")</f>
        <v/>
      </c>
      <c r="K637" s="56" t="str">
        <f>IF($M637="","",IF(ISNUMBER(INDEX(fa_relance,$M637)),INDEX(fa_relance,$M637),""))</f>
        <v/>
      </c>
      <c r="L637" s="79" t="str">
        <f>IF($M637="","",IF(AND(ISNUMBER(K637),(p_asof-E637)&gt;0,(p_asof-N(K637))&gt;=0,(p_asof-N(K637))&lt;7),"Déjà relancée il y a "&amp;(p_asof-N(K637))&amp;" j",IF((p_asof-E637)&lt;=0,IF((p_asof-E637)&gt;-8,"Rappel courtois avant l'échéance","Aucune action"),IF((p_asof-E637)&lt;=15,"Relance 1 : e-mail de rappel",IF((p_asof-E637)&lt;=30,"Relance 2 : appel téléphonique",IF((p_asof-E637)&lt;=60,"Relance 3 : lettre de relance",IF((p_asof-E637)&lt;=90,"Mise en demeure (recommandé)","Contentieux : injonction de payer")))))))</f>
        <v/>
      </c>
      <c r="M637" t="str">
        <f>IFERROR(MATCH(606,fa_rank,0),"")</f>
        <v/>
      </c>
    </row>
    <row r="638">
      <c r="B638" s="78" t="str">
        <f>IF($M638="","",INDEX(fa_num,$M638)&amp;"")</f>
        <v/>
      </c>
      <c r="C638" s="79" t="str">
        <f>IF($M638="","",INDEX(fa_cname,$M638)&amp;"")</f>
        <v/>
      </c>
      <c r="D638" s="56" t="str">
        <f>IF($M638="","",INDEX(fa_date,$M638))</f>
        <v/>
      </c>
      <c r="E638" s="56" t="str">
        <f>IF($M638="","",INDEX(fa_due,$M638))</f>
        <v/>
      </c>
      <c r="F638" s="75" t="str">
        <f>IF($M638="","",INDEX(fa_ttc,$M638))</f>
        <v/>
      </c>
      <c r="G638" s="75" t="str">
        <f>IF($M638="","",INDEX(fa_paid,$M638)+INDEX(fa_avoirs,$M638))</f>
        <v/>
      </c>
      <c r="H638" s="75" t="str">
        <f>IF($M638="","",INDEX(fa_reste,$M638))</f>
        <v/>
      </c>
      <c r="I638" s="58" t="str">
        <f>IF($M638="","",MAX(0,p_asof-E638))</f>
        <v/>
      </c>
      <c r="J638" s="78" t="str">
        <f>IF($M638="","",INDEX(fa_tranche,$M638)&amp;"")</f>
        <v/>
      </c>
      <c r="K638" s="56" t="str">
        <f>IF($M638="","",IF(ISNUMBER(INDEX(fa_relance,$M638)),INDEX(fa_relance,$M638),""))</f>
        <v/>
      </c>
      <c r="L638" s="79" t="str">
        <f>IF($M638="","",IF(AND(ISNUMBER(K638),(p_asof-E638)&gt;0,(p_asof-N(K638))&gt;=0,(p_asof-N(K638))&lt;7),"Déjà relancée il y a "&amp;(p_asof-N(K638))&amp;" j",IF((p_asof-E638)&lt;=0,IF((p_asof-E638)&gt;-8,"Rappel courtois avant l'échéance","Aucune action"),IF((p_asof-E638)&lt;=15,"Relance 1 : e-mail de rappel",IF((p_asof-E638)&lt;=30,"Relance 2 : appel téléphonique",IF((p_asof-E638)&lt;=60,"Relance 3 : lettre de relance",IF((p_asof-E638)&lt;=90,"Mise en demeure (recommandé)","Contentieux : injonction de payer")))))))</f>
        <v/>
      </c>
      <c r="M638" t="str">
        <f>IFERROR(MATCH(607,fa_rank,0),"")</f>
        <v/>
      </c>
    </row>
    <row r="639">
      <c r="B639" s="78" t="str">
        <f>IF($M639="","",INDEX(fa_num,$M639)&amp;"")</f>
        <v/>
      </c>
      <c r="C639" s="79" t="str">
        <f>IF($M639="","",INDEX(fa_cname,$M639)&amp;"")</f>
        <v/>
      </c>
      <c r="D639" s="56" t="str">
        <f>IF($M639="","",INDEX(fa_date,$M639))</f>
        <v/>
      </c>
      <c r="E639" s="56" t="str">
        <f>IF($M639="","",INDEX(fa_due,$M639))</f>
        <v/>
      </c>
      <c r="F639" s="75" t="str">
        <f>IF($M639="","",INDEX(fa_ttc,$M639))</f>
        <v/>
      </c>
      <c r="G639" s="75" t="str">
        <f>IF($M639="","",INDEX(fa_paid,$M639)+INDEX(fa_avoirs,$M639))</f>
        <v/>
      </c>
      <c r="H639" s="75" t="str">
        <f>IF($M639="","",INDEX(fa_reste,$M639))</f>
        <v/>
      </c>
      <c r="I639" s="58" t="str">
        <f>IF($M639="","",MAX(0,p_asof-E639))</f>
        <v/>
      </c>
      <c r="J639" s="78" t="str">
        <f>IF($M639="","",INDEX(fa_tranche,$M639)&amp;"")</f>
        <v/>
      </c>
      <c r="K639" s="56" t="str">
        <f>IF($M639="","",IF(ISNUMBER(INDEX(fa_relance,$M639)),INDEX(fa_relance,$M639),""))</f>
        <v/>
      </c>
      <c r="L639" s="79" t="str">
        <f>IF($M639="","",IF(AND(ISNUMBER(K639),(p_asof-E639)&gt;0,(p_asof-N(K639))&gt;=0,(p_asof-N(K639))&lt;7),"Déjà relancée il y a "&amp;(p_asof-N(K639))&amp;" j",IF((p_asof-E639)&lt;=0,IF((p_asof-E639)&gt;-8,"Rappel courtois avant l'échéance","Aucune action"),IF((p_asof-E639)&lt;=15,"Relance 1 : e-mail de rappel",IF((p_asof-E639)&lt;=30,"Relance 2 : appel téléphonique",IF((p_asof-E639)&lt;=60,"Relance 3 : lettre de relance",IF((p_asof-E639)&lt;=90,"Mise en demeure (recommandé)","Contentieux : injonction de payer")))))))</f>
        <v/>
      </c>
      <c r="M639" t="str">
        <f>IFERROR(MATCH(608,fa_rank,0),"")</f>
        <v/>
      </c>
    </row>
    <row r="640">
      <c r="B640" s="78" t="str">
        <f>IF($M640="","",INDEX(fa_num,$M640)&amp;"")</f>
        <v/>
      </c>
      <c r="C640" s="79" t="str">
        <f>IF($M640="","",INDEX(fa_cname,$M640)&amp;"")</f>
        <v/>
      </c>
      <c r="D640" s="56" t="str">
        <f>IF($M640="","",INDEX(fa_date,$M640))</f>
        <v/>
      </c>
      <c r="E640" s="56" t="str">
        <f>IF($M640="","",INDEX(fa_due,$M640))</f>
        <v/>
      </c>
      <c r="F640" s="75" t="str">
        <f>IF($M640="","",INDEX(fa_ttc,$M640))</f>
        <v/>
      </c>
      <c r="G640" s="75" t="str">
        <f>IF($M640="","",INDEX(fa_paid,$M640)+INDEX(fa_avoirs,$M640))</f>
        <v/>
      </c>
      <c r="H640" s="75" t="str">
        <f>IF($M640="","",INDEX(fa_reste,$M640))</f>
        <v/>
      </c>
      <c r="I640" s="58" t="str">
        <f>IF($M640="","",MAX(0,p_asof-E640))</f>
        <v/>
      </c>
      <c r="J640" s="78" t="str">
        <f>IF($M640="","",INDEX(fa_tranche,$M640)&amp;"")</f>
        <v/>
      </c>
      <c r="K640" s="56" t="str">
        <f>IF($M640="","",IF(ISNUMBER(INDEX(fa_relance,$M640)),INDEX(fa_relance,$M640),""))</f>
        <v/>
      </c>
      <c r="L640" s="79" t="str">
        <f>IF($M640="","",IF(AND(ISNUMBER(K640),(p_asof-E640)&gt;0,(p_asof-N(K640))&gt;=0,(p_asof-N(K640))&lt;7),"Déjà relancée il y a "&amp;(p_asof-N(K640))&amp;" j",IF((p_asof-E640)&lt;=0,IF((p_asof-E640)&gt;-8,"Rappel courtois avant l'échéance","Aucune action"),IF((p_asof-E640)&lt;=15,"Relance 1 : e-mail de rappel",IF((p_asof-E640)&lt;=30,"Relance 2 : appel téléphonique",IF((p_asof-E640)&lt;=60,"Relance 3 : lettre de relance",IF((p_asof-E640)&lt;=90,"Mise en demeure (recommandé)","Contentieux : injonction de payer")))))))</f>
        <v/>
      </c>
      <c r="M640" t="str">
        <f>IFERROR(MATCH(609,fa_rank,0),"")</f>
        <v/>
      </c>
    </row>
    <row r="641">
      <c r="B641" s="78" t="str">
        <f>IF($M641="","",INDEX(fa_num,$M641)&amp;"")</f>
        <v/>
      </c>
      <c r="C641" s="79" t="str">
        <f>IF($M641="","",INDEX(fa_cname,$M641)&amp;"")</f>
        <v/>
      </c>
      <c r="D641" s="56" t="str">
        <f>IF($M641="","",INDEX(fa_date,$M641))</f>
        <v/>
      </c>
      <c r="E641" s="56" t="str">
        <f>IF($M641="","",INDEX(fa_due,$M641))</f>
        <v/>
      </c>
      <c r="F641" s="75" t="str">
        <f>IF($M641="","",INDEX(fa_ttc,$M641))</f>
        <v/>
      </c>
      <c r="G641" s="75" t="str">
        <f>IF($M641="","",INDEX(fa_paid,$M641)+INDEX(fa_avoirs,$M641))</f>
        <v/>
      </c>
      <c r="H641" s="75" t="str">
        <f>IF($M641="","",INDEX(fa_reste,$M641))</f>
        <v/>
      </c>
      <c r="I641" s="58" t="str">
        <f>IF($M641="","",MAX(0,p_asof-E641))</f>
        <v/>
      </c>
      <c r="J641" s="78" t="str">
        <f>IF($M641="","",INDEX(fa_tranche,$M641)&amp;"")</f>
        <v/>
      </c>
      <c r="K641" s="56" t="str">
        <f>IF($M641="","",IF(ISNUMBER(INDEX(fa_relance,$M641)),INDEX(fa_relance,$M641),""))</f>
        <v/>
      </c>
      <c r="L641" s="79" t="str">
        <f>IF($M641="","",IF(AND(ISNUMBER(K641),(p_asof-E641)&gt;0,(p_asof-N(K641))&gt;=0,(p_asof-N(K641))&lt;7),"Déjà relancée il y a "&amp;(p_asof-N(K641))&amp;" j",IF((p_asof-E641)&lt;=0,IF((p_asof-E641)&gt;-8,"Rappel courtois avant l'échéance","Aucune action"),IF((p_asof-E641)&lt;=15,"Relance 1 : e-mail de rappel",IF((p_asof-E641)&lt;=30,"Relance 2 : appel téléphonique",IF((p_asof-E641)&lt;=60,"Relance 3 : lettre de relance",IF((p_asof-E641)&lt;=90,"Mise en demeure (recommandé)","Contentieux : injonction de payer")))))))</f>
        <v/>
      </c>
      <c r="M641" t="str">
        <f>IFERROR(MATCH(610,fa_rank,0),"")</f>
        <v/>
      </c>
    </row>
    <row r="642">
      <c r="B642" s="78" t="str">
        <f>IF($M642="","",INDEX(fa_num,$M642)&amp;"")</f>
        <v/>
      </c>
      <c r="C642" s="79" t="str">
        <f>IF($M642="","",INDEX(fa_cname,$M642)&amp;"")</f>
        <v/>
      </c>
      <c r="D642" s="56" t="str">
        <f>IF($M642="","",INDEX(fa_date,$M642))</f>
        <v/>
      </c>
      <c r="E642" s="56" t="str">
        <f>IF($M642="","",INDEX(fa_due,$M642))</f>
        <v/>
      </c>
      <c r="F642" s="75" t="str">
        <f>IF($M642="","",INDEX(fa_ttc,$M642))</f>
        <v/>
      </c>
      <c r="G642" s="75" t="str">
        <f>IF($M642="","",INDEX(fa_paid,$M642)+INDEX(fa_avoirs,$M642))</f>
        <v/>
      </c>
      <c r="H642" s="75" t="str">
        <f>IF($M642="","",INDEX(fa_reste,$M642))</f>
        <v/>
      </c>
      <c r="I642" s="58" t="str">
        <f>IF($M642="","",MAX(0,p_asof-E642))</f>
        <v/>
      </c>
      <c r="J642" s="78" t="str">
        <f>IF($M642="","",INDEX(fa_tranche,$M642)&amp;"")</f>
        <v/>
      </c>
      <c r="K642" s="56" t="str">
        <f>IF($M642="","",IF(ISNUMBER(INDEX(fa_relance,$M642)),INDEX(fa_relance,$M642),""))</f>
        <v/>
      </c>
      <c r="L642" s="79" t="str">
        <f>IF($M642="","",IF(AND(ISNUMBER(K642),(p_asof-E642)&gt;0,(p_asof-N(K642))&gt;=0,(p_asof-N(K642))&lt;7),"Déjà relancée il y a "&amp;(p_asof-N(K642))&amp;" j",IF((p_asof-E642)&lt;=0,IF((p_asof-E642)&gt;-8,"Rappel courtois avant l'échéance","Aucune action"),IF((p_asof-E642)&lt;=15,"Relance 1 : e-mail de rappel",IF((p_asof-E642)&lt;=30,"Relance 2 : appel téléphonique",IF((p_asof-E642)&lt;=60,"Relance 3 : lettre de relance",IF((p_asof-E642)&lt;=90,"Mise en demeure (recommandé)","Contentieux : injonction de payer")))))))</f>
        <v/>
      </c>
      <c r="M642" t="str">
        <f>IFERROR(MATCH(611,fa_rank,0),"")</f>
        <v/>
      </c>
    </row>
    <row r="643">
      <c r="B643" s="78" t="str">
        <f>IF($M643="","",INDEX(fa_num,$M643)&amp;"")</f>
        <v/>
      </c>
      <c r="C643" s="79" t="str">
        <f>IF($M643="","",INDEX(fa_cname,$M643)&amp;"")</f>
        <v/>
      </c>
      <c r="D643" s="56" t="str">
        <f>IF($M643="","",INDEX(fa_date,$M643))</f>
        <v/>
      </c>
      <c r="E643" s="56" t="str">
        <f>IF($M643="","",INDEX(fa_due,$M643))</f>
        <v/>
      </c>
      <c r="F643" s="75" t="str">
        <f>IF($M643="","",INDEX(fa_ttc,$M643))</f>
        <v/>
      </c>
      <c r="G643" s="75" t="str">
        <f>IF($M643="","",INDEX(fa_paid,$M643)+INDEX(fa_avoirs,$M643))</f>
        <v/>
      </c>
      <c r="H643" s="75" t="str">
        <f>IF($M643="","",INDEX(fa_reste,$M643))</f>
        <v/>
      </c>
      <c r="I643" s="58" t="str">
        <f>IF($M643="","",MAX(0,p_asof-E643))</f>
        <v/>
      </c>
      <c r="J643" s="78" t="str">
        <f>IF($M643="","",INDEX(fa_tranche,$M643)&amp;"")</f>
        <v/>
      </c>
      <c r="K643" s="56" t="str">
        <f>IF($M643="","",IF(ISNUMBER(INDEX(fa_relance,$M643)),INDEX(fa_relance,$M643),""))</f>
        <v/>
      </c>
      <c r="L643" s="79" t="str">
        <f>IF($M643="","",IF(AND(ISNUMBER(K643),(p_asof-E643)&gt;0,(p_asof-N(K643))&gt;=0,(p_asof-N(K643))&lt;7),"Déjà relancée il y a "&amp;(p_asof-N(K643))&amp;" j",IF((p_asof-E643)&lt;=0,IF((p_asof-E643)&gt;-8,"Rappel courtois avant l'échéance","Aucune action"),IF((p_asof-E643)&lt;=15,"Relance 1 : e-mail de rappel",IF((p_asof-E643)&lt;=30,"Relance 2 : appel téléphonique",IF((p_asof-E643)&lt;=60,"Relance 3 : lettre de relance",IF((p_asof-E643)&lt;=90,"Mise en demeure (recommandé)","Contentieux : injonction de payer")))))))</f>
        <v/>
      </c>
      <c r="M643" t="str">
        <f>IFERROR(MATCH(612,fa_rank,0),"")</f>
        <v/>
      </c>
    </row>
    <row r="644">
      <c r="B644" s="78" t="str">
        <f>IF($M644="","",INDEX(fa_num,$M644)&amp;"")</f>
        <v/>
      </c>
      <c r="C644" s="79" t="str">
        <f>IF($M644="","",INDEX(fa_cname,$M644)&amp;"")</f>
        <v/>
      </c>
      <c r="D644" s="56" t="str">
        <f>IF($M644="","",INDEX(fa_date,$M644))</f>
        <v/>
      </c>
      <c r="E644" s="56" t="str">
        <f>IF($M644="","",INDEX(fa_due,$M644))</f>
        <v/>
      </c>
      <c r="F644" s="75" t="str">
        <f>IF($M644="","",INDEX(fa_ttc,$M644))</f>
        <v/>
      </c>
      <c r="G644" s="75" t="str">
        <f>IF($M644="","",INDEX(fa_paid,$M644)+INDEX(fa_avoirs,$M644))</f>
        <v/>
      </c>
      <c r="H644" s="75" t="str">
        <f>IF($M644="","",INDEX(fa_reste,$M644))</f>
        <v/>
      </c>
      <c r="I644" s="58" t="str">
        <f>IF($M644="","",MAX(0,p_asof-E644))</f>
        <v/>
      </c>
      <c r="J644" s="78" t="str">
        <f>IF($M644="","",INDEX(fa_tranche,$M644)&amp;"")</f>
        <v/>
      </c>
      <c r="K644" s="56" t="str">
        <f>IF($M644="","",IF(ISNUMBER(INDEX(fa_relance,$M644)),INDEX(fa_relance,$M644),""))</f>
        <v/>
      </c>
      <c r="L644" s="79" t="str">
        <f>IF($M644="","",IF(AND(ISNUMBER(K644),(p_asof-E644)&gt;0,(p_asof-N(K644))&gt;=0,(p_asof-N(K644))&lt;7),"Déjà relancée il y a "&amp;(p_asof-N(K644))&amp;" j",IF((p_asof-E644)&lt;=0,IF((p_asof-E644)&gt;-8,"Rappel courtois avant l'échéance","Aucune action"),IF((p_asof-E644)&lt;=15,"Relance 1 : e-mail de rappel",IF((p_asof-E644)&lt;=30,"Relance 2 : appel téléphonique",IF((p_asof-E644)&lt;=60,"Relance 3 : lettre de relance",IF((p_asof-E644)&lt;=90,"Mise en demeure (recommandé)","Contentieux : injonction de payer")))))))</f>
        <v/>
      </c>
      <c r="M644" t="str">
        <f>IFERROR(MATCH(613,fa_rank,0),"")</f>
        <v/>
      </c>
    </row>
    <row r="645">
      <c r="B645" s="78" t="str">
        <f>IF($M645="","",INDEX(fa_num,$M645)&amp;"")</f>
        <v/>
      </c>
      <c r="C645" s="79" t="str">
        <f>IF($M645="","",INDEX(fa_cname,$M645)&amp;"")</f>
        <v/>
      </c>
      <c r="D645" s="56" t="str">
        <f>IF($M645="","",INDEX(fa_date,$M645))</f>
        <v/>
      </c>
      <c r="E645" s="56" t="str">
        <f>IF($M645="","",INDEX(fa_due,$M645))</f>
        <v/>
      </c>
      <c r="F645" s="75" t="str">
        <f>IF($M645="","",INDEX(fa_ttc,$M645))</f>
        <v/>
      </c>
      <c r="G645" s="75" t="str">
        <f>IF($M645="","",INDEX(fa_paid,$M645)+INDEX(fa_avoirs,$M645))</f>
        <v/>
      </c>
      <c r="H645" s="75" t="str">
        <f>IF($M645="","",INDEX(fa_reste,$M645))</f>
        <v/>
      </c>
      <c r="I645" s="58" t="str">
        <f>IF($M645="","",MAX(0,p_asof-E645))</f>
        <v/>
      </c>
      <c r="J645" s="78" t="str">
        <f>IF($M645="","",INDEX(fa_tranche,$M645)&amp;"")</f>
        <v/>
      </c>
      <c r="K645" s="56" t="str">
        <f>IF($M645="","",IF(ISNUMBER(INDEX(fa_relance,$M645)),INDEX(fa_relance,$M645),""))</f>
        <v/>
      </c>
      <c r="L645" s="79" t="str">
        <f>IF($M645="","",IF(AND(ISNUMBER(K645),(p_asof-E645)&gt;0,(p_asof-N(K645))&gt;=0,(p_asof-N(K645))&lt;7),"Déjà relancée il y a "&amp;(p_asof-N(K645))&amp;" j",IF((p_asof-E645)&lt;=0,IF((p_asof-E645)&gt;-8,"Rappel courtois avant l'échéance","Aucune action"),IF((p_asof-E645)&lt;=15,"Relance 1 : e-mail de rappel",IF((p_asof-E645)&lt;=30,"Relance 2 : appel téléphonique",IF((p_asof-E645)&lt;=60,"Relance 3 : lettre de relance",IF((p_asof-E645)&lt;=90,"Mise en demeure (recommandé)","Contentieux : injonction de payer")))))))</f>
        <v/>
      </c>
      <c r="M645" t="str">
        <f>IFERROR(MATCH(614,fa_rank,0),"")</f>
        <v/>
      </c>
    </row>
    <row r="646">
      <c r="B646" s="78" t="str">
        <f>IF($M646="","",INDEX(fa_num,$M646)&amp;"")</f>
        <v/>
      </c>
      <c r="C646" s="79" t="str">
        <f>IF($M646="","",INDEX(fa_cname,$M646)&amp;"")</f>
        <v/>
      </c>
      <c r="D646" s="56" t="str">
        <f>IF($M646="","",INDEX(fa_date,$M646))</f>
        <v/>
      </c>
      <c r="E646" s="56" t="str">
        <f>IF($M646="","",INDEX(fa_due,$M646))</f>
        <v/>
      </c>
      <c r="F646" s="75" t="str">
        <f>IF($M646="","",INDEX(fa_ttc,$M646))</f>
        <v/>
      </c>
      <c r="G646" s="75" t="str">
        <f>IF($M646="","",INDEX(fa_paid,$M646)+INDEX(fa_avoirs,$M646))</f>
        <v/>
      </c>
      <c r="H646" s="75" t="str">
        <f>IF($M646="","",INDEX(fa_reste,$M646))</f>
        <v/>
      </c>
      <c r="I646" s="58" t="str">
        <f>IF($M646="","",MAX(0,p_asof-E646))</f>
        <v/>
      </c>
      <c r="J646" s="78" t="str">
        <f>IF($M646="","",INDEX(fa_tranche,$M646)&amp;"")</f>
        <v/>
      </c>
      <c r="K646" s="56" t="str">
        <f>IF($M646="","",IF(ISNUMBER(INDEX(fa_relance,$M646)),INDEX(fa_relance,$M646),""))</f>
        <v/>
      </c>
      <c r="L646" s="79" t="str">
        <f>IF($M646="","",IF(AND(ISNUMBER(K646),(p_asof-E646)&gt;0,(p_asof-N(K646))&gt;=0,(p_asof-N(K646))&lt;7),"Déjà relancée il y a "&amp;(p_asof-N(K646))&amp;" j",IF((p_asof-E646)&lt;=0,IF((p_asof-E646)&gt;-8,"Rappel courtois avant l'échéance","Aucune action"),IF((p_asof-E646)&lt;=15,"Relance 1 : e-mail de rappel",IF((p_asof-E646)&lt;=30,"Relance 2 : appel téléphonique",IF((p_asof-E646)&lt;=60,"Relance 3 : lettre de relance",IF((p_asof-E646)&lt;=90,"Mise en demeure (recommandé)","Contentieux : injonction de payer")))))))</f>
        <v/>
      </c>
      <c r="M646" t="str">
        <f>IFERROR(MATCH(615,fa_rank,0),"")</f>
        <v/>
      </c>
    </row>
    <row r="647">
      <c r="B647" s="78" t="str">
        <f>IF($M647="","",INDEX(fa_num,$M647)&amp;"")</f>
        <v/>
      </c>
      <c r="C647" s="79" t="str">
        <f>IF($M647="","",INDEX(fa_cname,$M647)&amp;"")</f>
        <v/>
      </c>
      <c r="D647" s="56" t="str">
        <f>IF($M647="","",INDEX(fa_date,$M647))</f>
        <v/>
      </c>
      <c r="E647" s="56" t="str">
        <f>IF($M647="","",INDEX(fa_due,$M647))</f>
        <v/>
      </c>
      <c r="F647" s="75" t="str">
        <f>IF($M647="","",INDEX(fa_ttc,$M647))</f>
        <v/>
      </c>
      <c r="G647" s="75" t="str">
        <f>IF($M647="","",INDEX(fa_paid,$M647)+INDEX(fa_avoirs,$M647))</f>
        <v/>
      </c>
      <c r="H647" s="75" t="str">
        <f>IF($M647="","",INDEX(fa_reste,$M647))</f>
        <v/>
      </c>
      <c r="I647" s="58" t="str">
        <f>IF($M647="","",MAX(0,p_asof-E647))</f>
        <v/>
      </c>
      <c r="J647" s="78" t="str">
        <f>IF($M647="","",INDEX(fa_tranche,$M647)&amp;"")</f>
        <v/>
      </c>
      <c r="K647" s="56" t="str">
        <f>IF($M647="","",IF(ISNUMBER(INDEX(fa_relance,$M647)),INDEX(fa_relance,$M647),""))</f>
        <v/>
      </c>
      <c r="L647" s="79" t="str">
        <f>IF($M647="","",IF(AND(ISNUMBER(K647),(p_asof-E647)&gt;0,(p_asof-N(K647))&gt;=0,(p_asof-N(K647))&lt;7),"Déjà relancée il y a "&amp;(p_asof-N(K647))&amp;" j",IF((p_asof-E647)&lt;=0,IF((p_asof-E647)&gt;-8,"Rappel courtois avant l'échéance","Aucune action"),IF((p_asof-E647)&lt;=15,"Relance 1 : e-mail de rappel",IF((p_asof-E647)&lt;=30,"Relance 2 : appel téléphonique",IF((p_asof-E647)&lt;=60,"Relance 3 : lettre de relance",IF((p_asof-E647)&lt;=90,"Mise en demeure (recommandé)","Contentieux : injonction de payer")))))))</f>
        <v/>
      </c>
      <c r="M647" t="str">
        <f>IFERROR(MATCH(616,fa_rank,0),"")</f>
        <v/>
      </c>
    </row>
    <row r="648">
      <c r="B648" s="78" t="str">
        <f>IF($M648="","",INDEX(fa_num,$M648)&amp;"")</f>
        <v/>
      </c>
      <c r="C648" s="79" t="str">
        <f>IF($M648="","",INDEX(fa_cname,$M648)&amp;"")</f>
        <v/>
      </c>
      <c r="D648" s="56" t="str">
        <f>IF($M648="","",INDEX(fa_date,$M648))</f>
        <v/>
      </c>
      <c r="E648" s="56" t="str">
        <f>IF($M648="","",INDEX(fa_due,$M648))</f>
        <v/>
      </c>
      <c r="F648" s="75" t="str">
        <f>IF($M648="","",INDEX(fa_ttc,$M648))</f>
        <v/>
      </c>
      <c r="G648" s="75" t="str">
        <f>IF($M648="","",INDEX(fa_paid,$M648)+INDEX(fa_avoirs,$M648))</f>
        <v/>
      </c>
      <c r="H648" s="75" t="str">
        <f>IF($M648="","",INDEX(fa_reste,$M648))</f>
        <v/>
      </c>
      <c r="I648" s="58" t="str">
        <f>IF($M648="","",MAX(0,p_asof-E648))</f>
        <v/>
      </c>
      <c r="J648" s="78" t="str">
        <f>IF($M648="","",INDEX(fa_tranche,$M648)&amp;"")</f>
        <v/>
      </c>
      <c r="K648" s="56" t="str">
        <f>IF($M648="","",IF(ISNUMBER(INDEX(fa_relance,$M648)),INDEX(fa_relance,$M648),""))</f>
        <v/>
      </c>
      <c r="L648" s="79" t="str">
        <f>IF($M648="","",IF(AND(ISNUMBER(K648),(p_asof-E648)&gt;0,(p_asof-N(K648))&gt;=0,(p_asof-N(K648))&lt;7),"Déjà relancée il y a "&amp;(p_asof-N(K648))&amp;" j",IF((p_asof-E648)&lt;=0,IF((p_asof-E648)&gt;-8,"Rappel courtois avant l'échéance","Aucune action"),IF((p_asof-E648)&lt;=15,"Relance 1 : e-mail de rappel",IF((p_asof-E648)&lt;=30,"Relance 2 : appel téléphonique",IF((p_asof-E648)&lt;=60,"Relance 3 : lettre de relance",IF((p_asof-E648)&lt;=90,"Mise en demeure (recommandé)","Contentieux : injonction de payer")))))))</f>
        <v/>
      </c>
      <c r="M648" t="str">
        <f>IFERROR(MATCH(617,fa_rank,0),"")</f>
        <v/>
      </c>
    </row>
    <row r="649">
      <c r="B649" s="78" t="str">
        <f>IF($M649="","",INDEX(fa_num,$M649)&amp;"")</f>
        <v/>
      </c>
      <c r="C649" s="79" t="str">
        <f>IF($M649="","",INDEX(fa_cname,$M649)&amp;"")</f>
        <v/>
      </c>
      <c r="D649" s="56" t="str">
        <f>IF($M649="","",INDEX(fa_date,$M649))</f>
        <v/>
      </c>
      <c r="E649" s="56" t="str">
        <f>IF($M649="","",INDEX(fa_due,$M649))</f>
        <v/>
      </c>
      <c r="F649" s="75" t="str">
        <f>IF($M649="","",INDEX(fa_ttc,$M649))</f>
        <v/>
      </c>
      <c r="G649" s="75" t="str">
        <f>IF($M649="","",INDEX(fa_paid,$M649)+INDEX(fa_avoirs,$M649))</f>
        <v/>
      </c>
      <c r="H649" s="75" t="str">
        <f>IF($M649="","",INDEX(fa_reste,$M649))</f>
        <v/>
      </c>
      <c r="I649" s="58" t="str">
        <f>IF($M649="","",MAX(0,p_asof-E649))</f>
        <v/>
      </c>
      <c r="J649" s="78" t="str">
        <f>IF($M649="","",INDEX(fa_tranche,$M649)&amp;"")</f>
        <v/>
      </c>
      <c r="K649" s="56" t="str">
        <f>IF($M649="","",IF(ISNUMBER(INDEX(fa_relance,$M649)),INDEX(fa_relance,$M649),""))</f>
        <v/>
      </c>
      <c r="L649" s="79" t="str">
        <f>IF($M649="","",IF(AND(ISNUMBER(K649),(p_asof-E649)&gt;0,(p_asof-N(K649))&gt;=0,(p_asof-N(K649))&lt;7),"Déjà relancée il y a "&amp;(p_asof-N(K649))&amp;" j",IF((p_asof-E649)&lt;=0,IF((p_asof-E649)&gt;-8,"Rappel courtois avant l'échéance","Aucune action"),IF((p_asof-E649)&lt;=15,"Relance 1 : e-mail de rappel",IF((p_asof-E649)&lt;=30,"Relance 2 : appel téléphonique",IF((p_asof-E649)&lt;=60,"Relance 3 : lettre de relance",IF((p_asof-E649)&lt;=90,"Mise en demeure (recommandé)","Contentieux : injonction de payer")))))))</f>
        <v/>
      </c>
      <c r="M649" t="str">
        <f>IFERROR(MATCH(618,fa_rank,0),"")</f>
        <v/>
      </c>
    </row>
    <row r="650">
      <c r="B650" s="78" t="str">
        <f>IF($M650="","",INDEX(fa_num,$M650)&amp;"")</f>
        <v/>
      </c>
      <c r="C650" s="79" t="str">
        <f>IF($M650="","",INDEX(fa_cname,$M650)&amp;"")</f>
        <v/>
      </c>
      <c r="D650" s="56" t="str">
        <f>IF($M650="","",INDEX(fa_date,$M650))</f>
        <v/>
      </c>
      <c r="E650" s="56" t="str">
        <f>IF($M650="","",INDEX(fa_due,$M650))</f>
        <v/>
      </c>
      <c r="F650" s="75" t="str">
        <f>IF($M650="","",INDEX(fa_ttc,$M650))</f>
        <v/>
      </c>
      <c r="G650" s="75" t="str">
        <f>IF($M650="","",INDEX(fa_paid,$M650)+INDEX(fa_avoirs,$M650))</f>
        <v/>
      </c>
      <c r="H650" s="75" t="str">
        <f>IF($M650="","",INDEX(fa_reste,$M650))</f>
        <v/>
      </c>
      <c r="I650" s="58" t="str">
        <f>IF($M650="","",MAX(0,p_asof-E650))</f>
        <v/>
      </c>
      <c r="J650" s="78" t="str">
        <f>IF($M650="","",INDEX(fa_tranche,$M650)&amp;"")</f>
        <v/>
      </c>
      <c r="K650" s="56" t="str">
        <f>IF($M650="","",IF(ISNUMBER(INDEX(fa_relance,$M650)),INDEX(fa_relance,$M650),""))</f>
        <v/>
      </c>
      <c r="L650" s="79" t="str">
        <f>IF($M650="","",IF(AND(ISNUMBER(K650),(p_asof-E650)&gt;0,(p_asof-N(K650))&gt;=0,(p_asof-N(K650))&lt;7),"Déjà relancée il y a "&amp;(p_asof-N(K650))&amp;" j",IF((p_asof-E650)&lt;=0,IF((p_asof-E650)&gt;-8,"Rappel courtois avant l'échéance","Aucune action"),IF((p_asof-E650)&lt;=15,"Relance 1 : e-mail de rappel",IF((p_asof-E650)&lt;=30,"Relance 2 : appel téléphonique",IF((p_asof-E650)&lt;=60,"Relance 3 : lettre de relance",IF((p_asof-E650)&lt;=90,"Mise en demeure (recommandé)","Contentieux : injonction de payer")))))))</f>
        <v/>
      </c>
      <c r="M650" t="str">
        <f>IFERROR(MATCH(619,fa_rank,0),"")</f>
        <v/>
      </c>
    </row>
    <row r="651">
      <c r="B651" s="78" t="str">
        <f>IF($M651="","",INDEX(fa_num,$M651)&amp;"")</f>
        <v/>
      </c>
      <c r="C651" s="79" t="str">
        <f>IF($M651="","",INDEX(fa_cname,$M651)&amp;"")</f>
        <v/>
      </c>
      <c r="D651" s="56" t="str">
        <f>IF($M651="","",INDEX(fa_date,$M651))</f>
        <v/>
      </c>
      <c r="E651" s="56" t="str">
        <f>IF($M651="","",INDEX(fa_due,$M651))</f>
        <v/>
      </c>
      <c r="F651" s="75" t="str">
        <f>IF($M651="","",INDEX(fa_ttc,$M651))</f>
        <v/>
      </c>
      <c r="G651" s="75" t="str">
        <f>IF($M651="","",INDEX(fa_paid,$M651)+INDEX(fa_avoirs,$M651))</f>
        <v/>
      </c>
      <c r="H651" s="75" t="str">
        <f>IF($M651="","",INDEX(fa_reste,$M651))</f>
        <v/>
      </c>
      <c r="I651" s="58" t="str">
        <f>IF($M651="","",MAX(0,p_asof-E651))</f>
        <v/>
      </c>
      <c r="J651" s="78" t="str">
        <f>IF($M651="","",INDEX(fa_tranche,$M651)&amp;"")</f>
        <v/>
      </c>
      <c r="K651" s="56" t="str">
        <f>IF($M651="","",IF(ISNUMBER(INDEX(fa_relance,$M651)),INDEX(fa_relance,$M651),""))</f>
        <v/>
      </c>
      <c r="L651" s="79" t="str">
        <f>IF($M651="","",IF(AND(ISNUMBER(K651),(p_asof-E651)&gt;0,(p_asof-N(K651))&gt;=0,(p_asof-N(K651))&lt;7),"Déjà relancée il y a "&amp;(p_asof-N(K651))&amp;" j",IF((p_asof-E651)&lt;=0,IF((p_asof-E651)&gt;-8,"Rappel courtois avant l'échéance","Aucune action"),IF((p_asof-E651)&lt;=15,"Relance 1 : e-mail de rappel",IF((p_asof-E651)&lt;=30,"Relance 2 : appel téléphonique",IF((p_asof-E651)&lt;=60,"Relance 3 : lettre de relance",IF((p_asof-E651)&lt;=90,"Mise en demeure (recommandé)","Contentieux : injonction de payer")))))))</f>
        <v/>
      </c>
      <c r="M651" t="str">
        <f>IFERROR(MATCH(620,fa_rank,0),"")</f>
        <v/>
      </c>
    </row>
    <row r="652">
      <c r="B652" s="78" t="str">
        <f>IF($M652="","",INDEX(fa_num,$M652)&amp;"")</f>
        <v/>
      </c>
      <c r="C652" s="79" t="str">
        <f>IF($M652="","",INDEX(fa_cname,$M652)&amp;"")</f>
        <v/>
      </c>
      <c r="D652" s="56" t="str">
        <f>IF($M652="","",INDEX(fa_date,$M652))</f>
        <v/>
      </c>
      <c r="E652" s="56" t="str">
        <f>IF($M652="","",INDEX(fa_due,$M652))</f>
        <v/>
      </c>
      <c r="F652" s="75" t="str">
        <f>IF($M652="","",INDEX(fa_ttc,$M652))</f>
        <v/>
      </c>
      <c r="G652" s="75" t="str">
        <f>IF($M652="","",INDEX(fa_paid,$M652)+INDEX(fa_avoirs,$M652))</f>
        <v/>
      </c>
      <c r="H652" s="75" t="str">
        <f>IF($M652="","",INDEX(fa_reste,$M652))</f>
        <v/>
      </c>
      <c r="I652" s="58" t="str">
        <f>IF($M652="","",MAX(0,p_asof-E652))</f>
        <v/>
      </c>
      <c r="J652" s="78" t="str">
        <f>IF($M652="","",INDEX(fa_tranche,$M652)&amp;"")</f>
        <v/>
      </c>
      <c r="K652" s="56" t="str">
        <f>IF($M652="","",IF(ISNUMBER(INDEX(fa_relance,$M652)),INDEX(fa_relance,$M652),""))</f>
        <v/>
      </c>
      <c r="L652" s="79" t="str">
        <f>IF($M652="","",IF(AND(ISNUMBER(K652),(p_asof-E652)&gt;0,(p_asof-N(K652))&gt;=0,(p_asof-N(K652))&lt;7),"Déjà relancée il y a "&amp;(p_asof-N(K652))&amp;" j",IF((p_asof-E652)&lt;=0,IF((p_asof-E652)&gt;-8,"Rappel courtois avant l'échéance","Aucune action"),IF((p_asof-E652)&lt;=15,"Relance 1 : e-mail de rappel",IF((p_asof-E652)&lt;=30,"Relance 2 : appel téléphonique",IF((p_asof-E652)&lt;=60,"Relance 3 : lettre de relance",IF((p_asof-E652)&lt;=90,"Mise en demeure (recommandé)","Contentieux : injonction de payer")))))))</f>
        <v/>
      </c>
      <c r="M652" t="str">
        <f>IFERROR(MATCH(621,fa_rank,0),"")</f>
        <v/>
      </c>
    </row>
    <row r="653">
      <c r="B653" s="78" t="str">
        <f>IF($M653="","",INDEX(fa_num,$M653)&amp;"")</f>
        <v/>
      </c>
      <c r="C653" s="79" t="str">
        <f>IF($M653="","",INDEX(fa_cname,$M653)&amp;"")</f>
        <v/>
      </c>
      <c r="D653" s="56" t="str">
        <f>IF($M653="","",INDEX(fa_date,$M653))</f>
        <v/>
      </c>
      <c r="E653" s="56" t="str">
        <f>IF($M653="","",INDEX(fa_due,$M653))</f>
        <v/>
      </c>
      <c r="F653" s="75" t="str">
        <f>IF($M653="","",INDEX(fa_ttc,$M653))</f>
        <v/>
      </c>
      <c r="G653" s="75" t="str">
        <f>IF($M653="","",INDEX(fa_paid,$M653)+INDEX(fa_avoirs,$M653))</f>
        <v/>
      </c>
      <c r="H653" s="75" t="str">
        <f>IF($M653="","",INDEX(fa_reste,$M653))</f>
        <v/>
      </c>
      <c r="I653" s="58" t="str">
        <f>IF($M653="","",MAX(0,p_asof-E653))</f>
        <v/>
      </c>
      <c r="J653" s="78" t="str">
        <f>IF($M653="","",INDEX(fa_tranche,$M653)&amp;"")</f>
        <v/>
      </c>
      <c r="K653" s="56" t="str">
        <f>IF($M653="","",IF(ISNUMBER(INDEX(fa_relance,$M653)),INDEX(fa_relance,$M653),""))</f>
        <v/>
      </c>
      <c r="L653" s="79" t="str">
        <f>IF($M653="","",IF(AND(ISNUMBER(K653),(p_asof-E653)&gt;0,(p_asof-N(K653))&gt;=0,(p_asof-N(K653))&lt;7),"Déjà relancée il y a "&amp;(p_asof-N(K653))&amp;" j",IF((p_asof-E653)&lt;=0,IF((p_asof-E653)&gt;-8,"Rappel courtois avant l'échéance","Aucune action"),IF((p_asof-E653)&lt;=15,"Relance 1 : e-mail de rappel",IF((p_asof-E653)&lt;=30,"Relance 2 : appel téléphonique",IF((p_asof-E653)&lt;=60,"Relance 3 : lettre de relance",IF((p_asof-E653)&lt;=90,"Mise en demeure (recommandé)","Contentieux : injonction de payer")))))))</f>
        <v/>
      </c>
      <c r="M653" t="str">
        <f>IFERROR(MATCH(622,fa_rank,0),"")</f>
        <v/>
      </c>
    </row>
    <row r="654">
      <c r="B654" s="78" t="str">
        <f>IF($M654="","",INDEX(fa_num,$M654)&amp;"")</f>
        <v/>
      </c>
      <c r="C654" s="79" t="str">
        <f>IF($M654="","",INDEX(fa_cname,$M654)&amp;"")</f>
        <v/>
      </c>
      <c r="D654" s="56" t="str">
        <f>IF($M654="","",INDEX(fa_date,$M654))</f>
        <v/>
      </c>
      <c r="E654" s="56" t="str">
        <f>IF($M654="","",INDEX(fa_due,$M654))</f>
        <v/>
      </c>
      <c r="F654" s="75" t="str">
        <f>IF($M654="","",INDEX(fa_ttc,$M654))</f>
        <v/>
      </c>
      <c r="G654" s="75" t="str">
        <f>IF($M654="","",INDEX(fa_paid,$M654)+INDEX(fa_avoirs,$M654))</f>
        <v/>
      </c>
      <c r="H654" s="75" t="str">
        <f>IF($M654="","",INDEX(fa_reste,$M654))</f>
        <v/>
      </c>
      <c r="I654" s="58" t="str">
        <f>IF($M654="","",MAX(0,p_asof-E654))</f>
        <v/>
      </c>
      <c r="J654" s="78" t="str">
        <f>IF($M654="","",INDEX(fa_tranche,$M654)&amp;"")</f>
        <v/>
      </c>
      <c r="K654" s="56" t="str">
        <f>IF($M654="","",IF(ISNUMBER(INDEX(fa_relance,$M654)),INDEX(fa_relance,$M654),""))</f>
        <v/>
      </c>
      <c r="L654" s="79" t="str">
        <f>IF($M654="","",IF(AND(ISNUMBER(K654),(p_asof-E654)&gt;0,(p_asof-N(K654))&gt;=0,(p_asof-N(K654))&lt;7),"Déjà relancée il y a "&amp;(p_asof-N(K654))&amp;" j",IF((p_asof-E654)&lt;=0,IF((p_asof-E654)&gt;-8,"Rappel courtois avant l'échéance","Aucune action"),IF((p_asof-E654)&lt;=15,"Relance 1 : e-mail de rappel",IF((p_asof-E654)&lt;=30,"Relance 2 : appel téléphonique",IF((p_asof-E654)&lt;=60,"Relance 3 : lettre de relance",IF((p_asof-E654)&lt;=90,"Mise en demeure (recommandé)","Contentieux : injonction de payer")))))))</f>
        <v/>
      </c>
      <c r="M654" t="str">
        <f>IFERROR(MATCH(623,fa_rank,0),"")</f>
        <v/>
      </c>
    </row>
    <row r="655">
      <c r="B655" s="78" t="str">
        <f>IF($M655="","",INDEX(fa_num,$M655)&amp;"")</f>
        <v/>
      </c>
      <c r="C655" s="79" t="str">
        <f>IF($M655="","",INDEX(fa_cname,$M655)&amp;"")</f>
        <v/>
      </c>
      <c r="D655" s="56" t="str">
        <f>IF($M655="","",INDEX(fa_date,$M655))</f>
        <v/>
      </c>
      <c r="E655" s="56" t="str">
        <f>IF($M655="","",INDEX(fa_due,$M655))</f>
        <v/>
      </c>
      <c r="F655" s="75" t="str">
        <f>IF($M655="","",INDEX(fa_ttc,$M655))</f>
        <v/>
      </c>
      <c r="G655" s="75" t="str">
        <f>IF($M655="","",INDEX(fa_paid,$M655)+INDEX(fa_avoirs,$M655))</f>
        <v/>
      </c>
      <c r="H655" s="75" t="str">
        <f>IF($M655="","",INDEX(fa_reste,$M655))</f>
        <v/>
      </c>
      <c r="I655" s="58" t="str">
        <f>IF($M655="","",MAX(0,p_asof-E655))</f>
        <v/>
      </c>
      <c r="J655" s="78" t="str">
        <f>IF($M655="","",INDEX(fa_tranche,$M655)&amp;"")</f>
        <v/>
      </c>
      <c r="K655" s="56" t="str">
        <f>IF($M655="","",IF(ISNUMBER(INDEX(fa_relance,$M655)),INDEX(fa_relance,$M655),""))</f>
        <v/>
      </c>
      <c r="L655" s="79" t="str">
        <f>IF($M655="","",IF(AND(ISNUMBER(K655),(p_asof-E655)&gt;0,(p_asof-N(K655))&gt;=0,(p_asof-N(K655))&lt;7),"Déjà relancée il y a "&amp;(p_asof-N(K655))&amp;" j",IF((p_asof-E655)&lt;=0,IF((p_asof-E655)&gt;-8,"Rappel courtois avant l'échéance","Aucune action"),IF((p_asof-E655)&lt;=15,"Relance 1 : e-mail de rappel",IF((p_asof-E655)&lt;=30,"Relance 2 : appel téléphonique",IF((p_asof-E655)&lt;=60,"Relance 3 : lettre de relance",IF((p_asof-E655)&lt;=90,"Mise en demeure (recommandé)","Contentieux : injonction de payer")))))))</f>
        <v/>
      </c>
      <c r="M655" t="str">
        <f>IFERROR(MATCH(624,fa_rank,0),"")</f>
        <v/>
      </c>
    </row>
    <row r="656">
      <c r="B656" s="78" t="str">
        <f>IF($M656="","",INDEX(fa_num,$M656)&amp;"")</f>
        <v/>
      </c>
      <c r="C656" s="79" t="str">
        <f>IF($M656="","",INDEX(fa_cname,$M656)&amp;"")</f>
        <v/>
      </c>
      <c r="D656" s="56" t="str">
        <f>IF($M656="","",INDEX(fa_date,$M656))</f>
        <v/>
      </c>
      <c r="E656" s="56" t="str">
        <f>IF($M656="","",INDEX(fa_due,$M656))</f>
        <v/>
      </c>
      <c r="F656" s="75" t="str">
        <f>IF($M656="","",INDEX(fa_ttc,$M656))</f>
        <v/>
      </c>
      <c r="G656" s="75" t="str">
        <f>IF($M656="","",INDEX(fa_paid,$M656)+INDEX(fa_avoirs,$M656))</f>
        <v/>
      </c>
      <c r="H656" s="75" t="str">
        <f>IF($M656="","",INDEX(fa_reste,$M656))</f>
        <v/>
      </c>
      <c r="I656" s="58" t="str">
        <f>IF($M656="","",MAX(0,p_asof-E656))</f>
        <v/>
      </c>
      <c r="J656" s="78" t="str">
        <f>IF($M656="","",INDEX(fa_tranche,$M656)&amp;"")</f>
        <v/>
      </c>
      <c r="K656" s="56" t="str">
        <f>IF($M656="","",IF(ISNUMBER(INDEX(fa_relance,$M656)),INDEX(fa_relance,$M656),""))</f>
        <v/>
      </c>
      <c r="L656" s="79" t="str">
        <f>IF($M656="","",IF(AND(ISNUMBER(K656),(p_asof-E656)&gt;0,(p_asof-N(K656))&gt;=0,(p_asof-N(K656))&lt;7),"Déjà relancée il y a "&amp;(p_asof-N(K656))&amp;" j",IF((p_asof-E656)&lt;=0,IF((p_asof-E656)&gt;-8,"Rappel courtois avant l'échéance","Aucune action"),IF((p_asof-E656)&lt;=15,"Relance 1 : e-mail de rappel",IF((p_asof-E656)&lt;=30,"Relance 2 : appel téléphonique",IF((p_asof-E656)&lt;=60,"Relance 3 : lettre de relance",IF((p_asof-E656)&lt;=90,"Mise en demeure (recommandé)","Contentieux : injonction de payer")))))))</f>
        <v/>
      </c>
      <c r="M656" t="str">
        <f>IFERROR(MATCH(625,fa_rank,0),"")</f>
        <v/>
      </c>
    </row>
    <row r="657">
      <c r="B657" s="78" t="str">
        <f>IF($M657="","",INDEX(fa_num,$M657)&amp;"")</f>
        <v/>
      </c>
      <c r="C657" s="79" t="str">
        <f>IF($M657="","",INDEX(fa_cname,$M657)&amp;"")</f>
        <v/>
      </c>
      <c r="D657" s="56" t="str">
        <f>IF($M657="","",INDEX(fa_date,$M657))</f>
        <v/>
      </c>
      <c r="E657" s="56" t="str">
        <f>IF($M657="","",INDEX(fa_due,$M657))</f>
        <v/>
      </c>
      <c r="F657" s="75" t="str">
        <f>IF($M657="","",INDEX(fa_ttc,$M657))</f>
        <v/>
      </c>
      <c r="G657" s="75" t="str">
        <f>IF($M657="","",INDEX(fa_paid,$M657)+INDEX(fa_avoirs,$M657))</f>
        <v/>
      </c>
      <c r="H657" s="75" t="str">
        <f>IF($M657="","",INDEX(fa_reste,$M657))</f>
        <v/>
      </c>
      <c r="I657" s="58" t="str">
        <f>IF($M657="","",MAX(0,p_asof-E657))</f>
        <v/>
      </c>
      <c r="J657" s="78" t="str">
        <f>IF($M657="","",INDEX(fa_tranche,$M657)&amp;"")</f>
        <v/>
      </c>
      <c r="K657" s="56" t="str">
        <f>IF($M657="","",IF(ISNUMBER(INDEX(fa_relance,$M657)),INDEX(fa_relance,$M657),""))</f>
        <v/>
      </c>
      <c r="L657" s="79" t="str">
        <f>IF($M657="","",IF(AND(ISNUMBER(K657),(p_asof-E657)&gt;0,(p_asof-N(K657))&gt;=0,(p_asof-N(K657))&lt;7),"Déjà relancée il y a "&amp;(p_asof-N(K657))&amp;" j",IF((p_asof-E657)&lt;=0,IF((p_asof-E657)&gt;-8,"Rappel courtois avant l'échéance","Aucune action"),IF((p_asof-E657)&lt;=15,"Relance 1 : e-mail de rappel",IF((p_asof-E657)&lt;=30,"Relance 2 : appel téléphonique",IF((p_asof-E657)&lt;=60,"Relance 3 : lettre de relance",IF((p_asof-E657)&lt;=90,"Mise en demeure (recommandé)","Contentieux : injonction de payer")))))))</f>
        <v/>
      </c>
      <c r="M657" t="str">
        <f>IFERROR(MATCH(626,fa_rank,0),"")</f>
        <v/>
      </c>
    </row>
    <row r="658">
      <c r="B658" s="78" t="str">
        <f>IF($M658="","",INDEX(fa_num,$M658)&amp;"")</f>
        <v/>
      </c>
      <c r="C658" s="79" t="str">
        <f>IF($M658="","",INDEX(fa_cname,$M658)&amp;"")</f>
        <v/>
      </c>
      <c r="D658" s="56" t="str">
        <f>IF($M658="","",INDEX(fa_date,$M658))</f>
        <v/>
      </c>
      <c r="E658" s="56" t="str">
        <f>IF($M658="","",INDEX(fa_due,$M658))</f>
        <v/>
      </c>
      <c r="F658" s="75" t="str">
        <f>IF($M658="","",INDEX(fa_ttc,$M658))</f>
        <v/>
      </c>
      <c r="G658" s="75" t="str">
        <f>IF($M658="","",INDEX(fa_paid,$M658)+INDEX(fa_avoirs,$M658))</f>
        <v/>
      </c>
      <c r="H658" s="75" t="str">
        <f>IF($M658="","",INDEX(fa_reste,$M658))</f>
        <v/>
      </c>
      <c r="I658" s="58" t="str">
        <f>IF($M658="","",MAX(0,p_asof-E658))</f>
        <v/>
      </c>
      <c r="J658" s="78" t="str">
        <f>IF($M658="","",INDEX(fa_tranche,$M658)&amp;"")</f>
        <v/>
      </c>
      <c r="K658" s="56" t="str">
        <f>IF($M658="","",IF(ISNUMBER(INDEX(fa_relance,$M658)),INDEX(fa_relance,$M658),""))</f>
        <v/>
      </c>
      <c r="L658" s="79" t="str">
        <f>IF($M658="","",IF(AND(ISNUMBER(K658),(p_asof-E658)&gt;0,(p_asof-N(K658))&gt;=0,(p_asof-N(K658))&lt;7),"Déjà relancée il y a "&amp;(p_asof-N(K658))&amp;" j",IF((p_asof-E658)&lt;=0,IF((p_asof-E658)&gt;-8,"Rappel courtois avant l'échéance","Aucune action"),IF((p_asof-E658)&lt;=15,"Relance 1 : e-mail de rappel",IF((p_asof-E658)&lt;=30,"Relance 2 : appel téléphonique",IF((p_asof-E658)&lt;=60,"Relance 3 : lettre de relance",IF((p_asof-E658)&lt;=90,"Mise en demeure (recommandé)","Contentieux : injonction de payer")))))))</f>
        <v/>
      </c>
      <c r="M658" t="str">
        <f>IFERROR(MATCH(627,fa_rank,0),"")</f>
        <v/>
      </c>
    </row>
    <row r="659">
      <c r="B659" s="78" t="str">
        <f>IF($M659="","",INDEX(fa_num,$M659)&amp;"")</f>
        <v/>
      </c>
      <c r="C659" s="79" t="str">
        <f>IF($M659="","",INDEX(fa_cname,$M659)&amp;"")</f>
        <v/>
      </c>
      <c r="D659" s="56" t="str">
        <f>IF($M659="","",INDEX(fa_date,$M659))</f>
        <v/>
      </c>
      <c r="E659" s="56" t="str">
        <f>IF($M659="","",INDEX(fa_due,$M659))</f>
        <v/>
      </c>
      <c r="F659" s="75" t="str">
        <f>IF($M659="","",INDEX(fa_ttc,$M659))</f>
        <v/>
      </c>
      <c r="G659" s="75" t="str">
        <f>IF($M659="","",INDEX(fa_paid,$M659)+INDEX(fa_avoirs,$M659))</f>
        <v/>
      </c>
      <c r="H659" s="75" t="str">
        <f>IF($M659="","",INDEX(fa_reste,$M659))</f>
        <v/>
      </c>
      <c r="I659" s="58" t="str">
        <f>IF($M659="","",MAX(0,p_asof-E659))</f>
        <v/>
      </c>
      <c r="J659" s="78" t="str">
        <f>IF($M659="","",INDEX(fa_tranche,$M659)&amp;"")</f>
        <v/>
      </c>
      <c r="K659" s="56" t="str">
        <f>IF($M659="","",IF(ISNUMBER(INDEX(fa_relance,$M659)),INDEX(fa_relance,$M659),""))</f>
        <v/>
      </c>
      <c r="L659" s="79" t="str">
        <f>IF($M659="","",IF(AND(ISNUMBER(K659),(p_asof-E659)&gt;0,(p_asof-N(K659))&gt;=0,(p_asof-N(K659))&lt;7),"Déjà relancée il y a "&amp;(p_asof-N(K659))&amp;" j",IF((p_asof-E659)&lt;=0,IF((p_asof-E659)&gt;-8,"Rappel courtois avant l'échéance","Aucune action"),IF((p_asof-E659)&lt;=15,"Relance 1 : e-mail de rappel",IF((p_asof-E659)&lt;=30,"Relance 2 : appel téléphonique",IF((p_asof-E659)&lt;=60,"Relance 3 : lettre de relance",IF((p_asof-E659)&lt;=90,"Mise en demeure (recommandé)","Contentieux : injonction de payer")))))))</f>
        <v/>
      </c>
      <c r="M659" t="str">
        <f>IFERROR(MATCH(628,fa_rank,0),"")</f>
        <v/>
      </c>
    </row>
    <row r="660">
      <c r="B660" s="78" t="str">
        <f>IF($M660="","",INDEX(fa_num,$M660)&amp;"")</f>
        <v/>
      </c>
      <c r="C660" s="79" t="str">
        <f>IF($M660="","",INDEX(fa_cname,$M660)&amp;"")</f>
        <v/>
      </c>
      <c r="D660" s="56" t="str">
        <f>IF($M660="","",INDEX(fa_date,$M660))</f>
        <v/>
      </c>
      <c r="E660" s="56" t="str">
        <f>IF($M660="","",INDEX(fa_due,$M660))</f>
        <v/>
      </c>
      <c r="F660" s="75" t="str">
        <f>IF($M660="","",INDEX(fa_ttc,$M660))</f>
        <v/>
      </c>
      <c r="G660" s="75" t="str">
        <f>IF($M660="","",INDEX(fa_paid,$M660)+INDEX(fa_avoirs,$M660))</f>
        <v/>
      </c>
      <c r="H660" s="75" t="str">
        <f>IF($M660="","",INDEX(fa_reste,$M660))</f>
        <v/>
      </c>
      <c r="I660" s="58" t="str">
        <f>IF($M660="","",MAX(0,p_asof-E660))</f>
        <v/>
      </c>
      <c r="J660" s="78" t="str">
        <f>IF($M660="","",INDEX(fa_tranche,$M660)&amp;"")</f>
        <v/>
      </c>
      <c r="K660" s="56" t="str">
        <f>IF($M660="","",IF(ISNUMBER(INDEX(fa_relance,$M660)),INDEX(fa_relance,$M660),""))</f>
        <v/>
      </c>
      <c r="L660" s="79" t="str">
        <f>IF($M660="","",IF(AND(ISNUMBER(K660),(p_asof-E660)&gt;0,(p_asof-N(K660))&gt;=0,(p_asof-N(K660))&lt;7),"Déjà relancée il y a "&amp;(p_asof-N(K660))&amp;" j",IF((p_asof-E660)&lt;=0,IF((p_asof-E660)&gt;-8,"Rappel courtois avant l'échéance","Aucune action"),IF((p_asof-E660)&lt;=15,"Relance 1 : e-mail de rappel",IF((p_asof-E660)&lt;=30,"Relance 2 : appel téléphonique",IF((p_asof-E660)&lt;=60,"Relance 3 : lettre de relance",IF((p_asof-E660)&lt;=90,"Mise en demeure (recommandé)","Contentieux : injonction de payer")))))))</f>
        <v/>
      </c>
      <c r="M660" t="str">
        <f>IFERROR(MATCH(629,fa_rank,0),"")</f>
        <v/>
      </c>
    </row>
    <row r="661">
      <c r="B661" s="78" t="str">
        <f>IF($M661="","",INDEX(fa_num,$M661)&amp;"")</f>
        <v/>
      </c>
      <c r="C661" s="79" t="str">
        <f>IF($M661="","",INDEX(fa_cname,$M661)&amp;"")</f>
        <v/>
      </c>
      <c r="D661" s="56" t="str">
        <f>IF($M661="","",INDEX(fa_date,$M661))</f>
        <v/>
      </c>
      <c r="E661" s="56" t="str">
        <f>IF($M661="","",INDEX(fa_due,$M661))</f>
        <v/>
      </c>
      <c r="F661" s="75" t="str">
        <f>IF($M661="","",INDEX(fa_ttc,$M661))</f>
        <v/>
      </c>
      <c r="G661" s="75" t="str">
        <f>IF($M661="","",INDEX(fa_paid,$M661)+INDEX(fa_avoirs,$M661))</f>
        <v/>
      </c>
      <c r="H661" s="75" t="str">
        <f>IF($M661="","",INDEX(fa_reste,$M661))</f>
        <v/>
      </c>
      <c r="I661" s="58" t="str">
        <f>IF($M661="","",MAX(0,p_asof-E661))</f>
        <v/>
      </c>
      <c r="J661" s="78" t="str">
        <f>IF($M661="","",INDEX(fa_tranche,$M661)&amp;"")</f>
        <v/>
      </c>
      <c r="K661" s="56" t="str">
        <f>IF($M661="","",IF(ISNUMBER(INDEX(fa_relance,$M661)),INDEX(fa_relance,$M661),""))</f>
        <v/>
      </c>
      <c r="L661" s="79" t="str">
        <f>IF($M661="","",IF(AND(ISNUMBER(K661),(p_asof-E661)&gt;0,(p_asof-N(K661))&gt;=0,(p_asof-N(K661))&lt;7),"Déjà relancée il y a "&amp;(p_asof-N(K661))&amp;" j",IF((p_asof-E661)&lt;=0,IF((p_asof-E661)&gt;-8,"Rappel courtois avant l'échéance","Aucune action"),IF((p_asof-E661)&lt;=15,"Relance 1 : e-mail de rappel",IF((p_asof-E661)&lt;=30,"Relance 2 : appel téléphonique",IF((p_asof-E661)&lt;=60,"Relance 3 : lettre de relance",IF((p_asof-E661)&lt;=90,"Mise en demeure (recommandé)","Contentieux : injonction de payer")))))))</f>
        <v/>
      </c>
      <c r="M661" t="str">
        <f>IFERROR(MATCH(630,fa_rank,0),"")</f>
        <v/>
      </c>
    </row>
    <row r="662">
      <c r="B662" s="78" t="str">
        <f>IF($M662="","",INDEX(fa_num,$M662)&amp;"")</f>
        <v/>
      </c>
      <c r="C662" s="79" t="str">
        <f>IF($M662="","",INDEX(fa_cname,$M662)&amp;"")</f>
        <v/>
      </c>
      <c r="D662" s="56" t="str">
        <f>IF($M662="","",INDEX(fa_date,$M662))</f>
        <v/>
      </c>
      <c r="E662" s="56" t="str">
        <f>IF($M662="","",INDEX(fa_due,$M662))</f>
        <v/>
      </c>
      <c r="F662" s="75" t="str">
        <f>IF($M662="","",INDEX(fa_ttc,$M662))</f>
        <v/>
      </c>
      <c r="G662" s="75" t="str">
        <f>IF($M662="","",INDEX(fa_paid,$M662)+INDEX(fa_avoirs,$M662))</f>
        <v/>
      </c>
      <c r="H662" s="75" t="str">
        <f>IF($M662="","",INDEX(fa_reste,$M662))</f>
        <v/>
      </c>
      <c r="I662" s="58" t="str">
        <f>IF($M662="","",MAX(0,p_asof-E662))</f>
        <v/>
      </c>
      <c r="J662" s="78" t="str">
        <f>IF($M662="","",INDEX(fa_tranche,$M662)&amp;"")</f>
        <v/>
      </c>
      <c r="K662" s="56" t="str">
        <f>IF($M662="","",IF(ISNUMBER(INDEX(fa_relance,$M662)),INDEX(fa_relance,$M662),""))</f>
        <v/>
      </c>
      <c r="L662" s="79" t="str">
        <f>IF($M662="","",IF(AND(ISNUMBER(K662),(p_asof-E662)&gt;0,(p_asof-N(K662))&gt;=0,(p_asof-N(K662))&lt;7),"Déjà relancée il y a "&amp;(p_asof-N(K662))&amp;" j",IF((p_asof-E662)&lt;=0,IF((p_asof-E662)&gt;-8,"Rappel courtois avant l'échéance","Aucune action"),IF((p_asof-E662)&lt;=15,"Relance 1 : e-mail de rappel",IF((p_asof-E662)&lt;=30,"Relance 2 : appel téléphonique",IF((p_asof-E662)&lt;=60,"Relance 3 : lettre de relance",IF((p_asof-E662)&lt;=90,"Mise en demeure (recommandé)","Contentieux : injonction de payer")))))))</f>
        <v/>
      </c>
      <c r="M662" t="str">
        <f>IFERROR(MATCH(631,fa_rank,0),"")</f>
        <v/>
      </c>
    </row>
    <row r="663">
      <c r="B663" s="78" t="str">
        <f>IF($M663="","",INDEX(fa_num,$M663)&amp;"")</f>
        <v/>
      </c>
      <c r="C663" s="79" t="str">
        <f>IF($M663="","",INDEX(fa_cname,$M663)&amp;"")</f>
        <v/>
      </c>
      <c r="D663" s="56" t="str">
        <f>IF($M663="","",INDEX(fa_date,$M663))</f>
        <v/>
      </c>
      <c r="E663" s="56" t="str">
        <f>IF($M663="","",INDEX(fa_due,$M663))</f>
        <v/>
      </c>
      <c r="F663" s="75" t="str">
        <f>IF($M663="","",INDEX(fa_ttc,$M663))</f>
        <v/>
      </c>
      <c r="G663" s="75" t="str">
        <f>IF($M663="","",INDEX(fa_paid,$M663)+INDEX(fa_avoirs,$M663))</f>
        <v/>
      </c>
      <c r="H663" s="75" t="str">
        <f>IF($M663="","",INDEX(fa_reste,$M663))</f>
        <v/>
      </c>
      <c r="I663" s="58" t="str">
        <f>IF($M663="","",MAX(0,p_asof-E663))</f>
        <v/>
      </c>
      <c r="J663" s="78" t="str">
        <f>IF($M663="","",INDEX(fa_tranche,$M663)&amp;"")</f>
        <v/>
      </c>
      <c r="K663" s="56" t="str">
        <f>IF($M663="","",IF(ISNUMBER(INDEX(fa_relance,$M663)),INDEX(fa_relance,$M663),""))</f>
        <v/>
      </c>
      <c r="L663" s="79" t="str">
        <f>IF($M663="","",IF(AND(ISNUMBER(K663),(p_asof-E663)&gt;0,(p_asof-N(K663))&gt;=0,(p_asof-N(K663))&lt;7),"Déjà relancée il y a "&amp;(p_asof-N(K663))&amp;" j",IF((p_asof-E663)&lt;=0,IF((p_asof-E663)&gt;-8,"Rappel courtois avant l'échéance","Aucune action"),IF((p_asof-E663)&lt;=15,"Relance 1 : e-mail de rappel",IF((p_asof-E663)&lt;=30,"Relance 2 : appel téléphonique",IF((p_asof-E663)&lt;=60,"Relance 3 : lettre de relance",IF((p_asof-E663)&lt;=90,"Mise en demeure (recommandé)","Contentieux : injonction de payer")))))))</f>
        <v/>
      </c>
      <c r="M663" t="str">
        <f>IFERROR(MATCH(632,fa_rank,0),"")</f>
        <v/>
      </c>
    </row>
    <row r="664">
      <c r="B664" s="78" t="str">
        <f>IF($M664="","",INDEX(fa_num,$M664)&amp;"")</f>
        <v/>
      </c>
      <c r="C664" s="79" t="str">
        <f>IF($M664="","",INDEX(fa_cname,$M664)&amp;"")</f>
        <v/>
      </c>
      <c r="D664" s="56" t="str">
        <f>IF($M664="","",INDEX(fa_date,$M664))</f>
        <v/>
      </c>
      <c r="E664" s="56" t="str">
        <f>IF($M664="","",INDEX(fa_due,$M664))</f>
        <v/>
      </c>
      <c r="F664" s="75" t="str">
        <f>IF($M664="","",INDEX(fa_ttc,$M664))</f>
        <v/>
      </c>
      <c r="G664" s="75" t="str">
        <f>IF($M664="","",INDEX(fa_paid,$M664)+INDEX(fa_avoirs,$M664))</f>
        <v/>
      </c>
      <c r="H664" s="75" t="str">
        <f>IF($M664="","",INDEX(fa_reste,$M664))</f>
        <v/>
      </c>
      <c r="I664" s="58" t="str">
        <f>IF($M664="","",MAX(0,p_asof-E664))</f>
        <v/>
      </c>
      <c r="J664" s="78" t="str">
        <f>IF($M664="","",INDEX(fa_tranche,$M664)&amp;"")</f>
        <v/>
      </c>
      <c r="K664" s="56" t="str">
        <f>IF($M664="","",IF(ISNUMBER(INDEX(fa_relance,$M664)),INDEX(fa_relance,$M664),""))</f>
        <v/>
      </c>
      <c r="L664" s="79" t="str">
        <f>IF($M664="","",IF(AND(ISNUMBER(K664),(p_asof-E664)&gt;0,(p_asof-N(K664))&gt;=0,(p_asof-N(K664))&lt;7),"Déjà relancée il y a "&amp;(p_asof-N(K664))&amp;" j",IF((p_asof-E664)&lt;=0,IF((p_asof-E664)&gt;-8,"Rappel courtois avant l'échéance","Aucune action"),IF((p_asof-E664)&lt;=15,"Relance 1 : e-mail de rappel",IF((p_asof-E664)&lt;=30,"Relance 2 : appel téléphonique",IF((p_asof-E664)&lt;=60,"Relance 3 : lettre de relance",IF((p_asof-E664)&lt;=90,"Mise en demeure (recommandé)","Contentieux : injonction de payer")))))))</f>
        <v/>
      </c>
      <c r="M664" t="str">
        <f>IFERROR(MATCH(633,fa_rank,0),"")</f>
        <v/>
      </c>
    </row>
    <row r="665">
      <c r="B665" s="78" t="str">
        <f>IF($M665="","",INDEX(fa_num,$M665)&amp;"")</f>
        <v/>
      </c>
      <c r="C665" s="79" t="str">
        <f>IF($M665="","",INDEX(fa_cname,$M665)&amp;"")</f>
        <v/>
      </c>
      <c r="D665" s="56" t="str">
        <f>IF($M665="","",INDEX(fa_date,$M665))</f>
        <v/>
      </c>
      <c r="E665" s="56" t="str">
        <f>IF($M665="","",INDEX(fa_due,$M665))</f>
        <v/>
      </c>
      <c r="F665" s="75" t="str">
        <f>IF($M665="","",INDEX(fa_ttc,$M665))</f>
        <v/>
      </c>
      <c r="G665" s="75" t="str">
        <f>IF($M665="","",INDEX(fa_paid,$M665)+INDEX(fa_avoirs,$M665))</f>
        <v/>
      </c>
      <c r="H665" s="75" t="str">
        <f>IF($M665="","",INDEX(fa_reste,$M665))</f>
        <v/>
      </c>
      <c r="I665" s="58" t="str">
        <f>IF($M665="","",MAX(0,p_asof-E665))</f>
        <v/>
      </c>
      <c r="J665" s="78" t="str">
        <f>IF($M665="","",INDEX(fa_tranche,$M665)&amp;"")</f>
        <v/>
      </c>
      <c r="K665" s="56" t="str">
        <f>IF($M665="","",IF(ISNUMBER(INDEX(fa_relance,$M665)),INDEX(fa_relance,$M665),""))</f>
        <v/>
      </c>
      <c r="L665" s="79" t="str">
        <f>IF($M665="","",IF(AND(ISNUMBER(K665),(p_asof-E665)&gt;0,(p_asof-N(K665))&gt;=0,(p_asof-N(K665))&lt;7),"Déjà relancée il y a "&amp;(p_asof-N(K665))&amp;" j",IF((p_asof-E665)&lt;=0,IF((p_asof-E665)&gt;-8,"Rappel courtois avant l'échéance","Aucune action"),IF((p_asof-E665)&lt;=15,"Relance 1 : e-mail de rappel",IF((p_asof-E665)&lt;=30,"Relance 2 : appel téléphonique",IF((p_asof-E665)&lt;=60,"Relance 3 : lettre de relance",IF((p_asof-E665)&lt;=90,"Mise en demeure (recommandé)","Contentieux : injonction de payer")))))))</f>
        <v/>
      </c>
      <c r="M665" t="str">
        <f>IFERROR(MATCH(634,fa_rank,0),"")</f>
        <v/>
      </c>
    </row>
    <row r="666">
      <c r="B666" s="78" t="str">
        <f>IF($M666="","",INDEX(fa_num,$M666)&amp;"")</f>
        <v/>
      </c>
      <c r="C666" s="79" t="str">
        <f>IF($M666="","",INDEX(fa_cname,$M666)&amp;"")</f>
        <v/>
      </c>
      <c r="D666" s="56" t="str">
        <f>IF($M666="","",INDEX(fa_date,$M666))</f>
        <v/>
      </c>
      <c r="E666" s="56" t="str">
        <f>IF($M666="","",INDEX(fa_due,$M666))</f>
        <v/>
      </c>
      <c r="F666" s="75" t="str">
        <f>IF($M666="","",INDEX(fa_ttc,$M666))</f>
        <v/>
      </c>
      <c r="G666" s="75" t="str">
        <f>IF($M666="","",INDEX(fa_paid,$M666)+INDEX(fa_avoirs,$M666))</f>
        <v/>
      </c>
      <c r="H666" s="75" t="str">
        <f>IF($M666="","",INDEX(fa_reste,$M666))</f>
        <v/>
      </c>
      <c r="I666" s="58" t="str">
        <f>IF($M666="","",MAX(0,p_asof-E666))</f>
        <v/>
      </c>
      <c r="J666" s="78" t="str">
        <f>IF($M666="","",INDEX(fa_tranche,$M666)&amp;"")</f>
        <v/>
      </c>
      <c r="K666" s="56" t="str">
        <f>IF($M666="","",IF(ISNUMBER(INDEX(fa_relance,$M666)),INDEX(fa_relance,$M666),""))</f>
        <v/>
      </c>
      <c r="L666" s="79" t="str">
        <f>IF($M666="","",IF(AND(ISNUMBER(K666),(p_asof-E666)&gt;0,(p_asof-N(K666))&gt;=0,(p_asof-N(K666))&lt;7),"Déjà relancée il y a "&amp;(p_asof-N(K666))&amp;" j",IF((p_asof-E666)&lt;=0,IF((p_asof-E666)&gt;-8,"Rappel courtois avant l'échéance","Aucune action"),IF((p_asof-E666)&lt;=15,"Relance 1 : e-mail de rappel",IF((p_asof-E666)&lt;=30,"Relance 2 : appel téléphonique",IF((p_asof-E666)&lt;=60,"Relance 3 : lettre de relance",IF((p_asof-E666)&lt;=90,"Mise en demeure (recommandé)","Contentieux : injonction de payer")))))))</f>
        <v/>
      </c>
      <c r="M666" t="str">
        <f>IFERROR(MATCH(635,fa_rank,0),"")</f>
        <v/>
      </c>
    </row>
    <row r="667">
      <c r="B667" s="78" t="str">
        <f>IF($M667="","",INDEX(fa_num,$M667)&amp;"")</f>
        <v/>
      </c>
      <c r="C667" s="79" t="str">
        <f>IF($M667="","",INDEX(fa_cname,$M667)&amp;"")</f>
        <v/>
      </c>
      <c r="D667" s="56" t="str">
        <f>IF($M667="","",INDEX(fa_date,$M667))</f>
        <v/>
      </c>
      <c r="E667" s="56" t="str">
        <f>IF($M667="","",INDEX(fa_due,$M667))</f>
        <v/>
      </c>
      <c r="F667" s="75" t="str">
        <f>IF($M667="","",INDEX(fa_ttc,$M667))</f>
        <v/>
      </c>
      <c r="G667" s="75" t="str">
        <f>IF($M667="","",INDEX(fa_paid,$M667)+INDEX(fa_avoirs,$M667))</f>
        <v/>
      </c>
      <c r="H667" s="75" t="str">
        <f>IF($M667="","",INDEX(fa_reste,$M667))</f>
        <v/>
      </c>
      <c r="I667" s="58" t="str">
        <f>IF($M667="","",MAX(0,p_asof-E667))</f>
        <v/>
      </c>
      <c r="J667" s="78" t="str">
        <f>IF($M667="","",INDEX(fa_tranche,$M667)&amp;"")</f>
        <v/>
      </c>
      <c r="K667" s="56" t="str">
        <f>IF($M667="","",IF(ISNUMBER(INDEX(fa_relance,$M667)),INDEX(fa_relance,$M667),""))</f>
        <v/>
      </c>
      <c r="L667" s="79" t="str">
        <f>IF($M667="","",IF(AND(ISNUMBER(K667),(p_asof-E667)&gt;0,(p_asof-N(K667))&gt;=0,(p_asof-N(K667))&lt;7),"Déjà relancée il y a "&amp;(p_asof-N(K667))&amp;" j",IF((p_asof-E667)&lt;=0,IF((p_asof-E667)&gt;-8,"Rappel courtois avant l'échéance","Aucune action"),IF((p_asof-E667)&lt;=15,"Relance 1 : e-mail de rappel",IF((p_asof-E667)&lt;=30,"Relance 2 : appel téléphonique",IF((p_asof-E667)&lt;=60,"Relance 3 : lettre de relance",IF((p_asof-E667)&lt;=90,"Mise en demeure (recommandé)","Contentieux : injonction de payer")))))))</f>
        <v/>
      </c>
      <c r="M667" t="str">
        <f>IFERROR(MATCH(636,fa_rank,0),"")</f>
        <v/>
      </c>
    </row>
    <row r="668">
      <c r="B668" s="78" t="str">
        <f>IF($M668="","",INDEX(fa_num,$M668)&amp;"")</f>
        <v/>
      </c>
      <c r="C668" s="79" t="str">
        <f>IF($M668="","",INDEX(fa_cname,$M668)&amp;"")</f>
        <v/>
      </c>
      <c r="D668" s="56" t="str">
        <f>IF($M668="","",INDEX(fa_date,$M668))</f>
        <v/>
      </c>
      <c r="E668" s="56" t="str">
        <f>IF($M668="","",INDEX(fa_due,$M668))</f>
        <v/>
      </c>
      <c r="F668" s="75" t="str">
        <f>IF($M668="","",INDEX(fa_ttc,$M668))</f>
        <v/>
      </c>
      <c r="G668" s="75" t="str">
        <f>IF($M668="","",INDEX(fa_paid,$M668)+INDEX(fa_avoirs,$M668))</f>
        <v/>
      </c>
      <c r="H668" s="75" t="str">
        <f>IF($M668="","",INDEX(fa_reste,$M668))</f>
        <v/>
      </c>
      <c r="I668" s="58" t="str">
        <f>IF($M668="","",MAX(0,p_asof-E668))</f>
        <v/>
      </c>
      <c r="J668" s="78" t="str">
        <f>IF($M668="","",INDEX(fa_tranche,$M668)&amp;"")</f>
        <v/>
      </c>
      <c r="K668" s="56" t="str">
        <f>IF($M668="","",IF(ISNUMBER(INDEX(fa_relance,$M668)),INDEX(fa_relance,$M668),""))</f>
        <v/>
      </c>
      <c r="L668" s="79" t="str">
        <f>IF($M668="","",IF(AND(ISNUMBER(K668),(p_asof-E668)&gt;0,(p_asof-N(K668))&gt;=0,(p_asof-N(K668))&lt;7),"Déjà relancée il y a "&amp;(p_asof-N(K668))&amp;" j",IF((p_asof-E668)&lt;=0,IF((p_asof-E668)&gt;-8,"Rappel courtois avant l'échéance","Aucune action"),IF((p_asof-E668)&lt;=15,"Relance 1 : e-mail de rappel",IF((p_asof-E668)&lt;=30,"Relance 2 : appel téléphonique",IF((p_asof-E668)&lt;=60,"Relance 3 : lettre de relance",IF((p_asof-E668)&lt;=90,"Mise en demeure (recommandé)","Contentieux : injonction de payer")))))))</f>
        <v/>
      </c>
      <c r="M668" t="str">
        <f>IFERROR(MATCH(637,fa_rank,0),"")</f>
        <v/>
      </c>
    </row>
    <row r="669">
      <c r="B669" s="78" t="str">
        <f>IF($M669="","",INDEX(fa_num,$M669)&amp;"")</f>
        <v/>
      </c>
      <c r="C669" s="79" t="str">
        <f>IF($M669="","",INDEX(fa_cname,$M669)&amp;"")</f>
        <v/>
      </c>
      <c r="D669" s="56" t="str">
        <f>IF($M669="","",INDEX(fa_date,$M669))</f>
        <v/>
      </c>
      <c r="E669" s="56" t="str">
        <f>IF($M669="","",INDEX(fa_due,$M669))</f>
        <v/>
      </c>
      <c r="F669" s="75" t="str">
        <f>IF($M669="","",INDEX(fa_ttc,$M669))</f>
        <v/>
      </c>
      <c r="G669" s="75" t="str">
        <f>IF($M669="","",INDEX(fa_paid,$M669)+INDEX(fa_avoirs,$M669))</f>
        <v/>
      </c>
      <c r="H669" s="75" t="str">
        <f>IF($M669="","",INDEX(fa_reste,$M669))</f>
        <v/>
      </c>
      <c r="I669" s="58" t="str">
        <f>IF($M669="","",MAX(0,p_asof-E669))</f>
        <v/>
      </c>
      <c r="J669" s="78" t="str">
        <f>IF($M669="","",INDEX(fa_tranche,$M669)&amp;"")</f>
        <v/>
      </c>
      <c r="K669" s="56" t="str">
        <f>IF($M669="","",IF(ISNUMBER(INDEX(fa_relance,$M669)),INDEX(fa_relance,$M669),""))</f>
        <v/>
      </c>
      <c r="L669" s="79" t="str">
        <f>IF($M669="","",IF(AND(ISNUMBER(K669),(p_asof-E669)&gt;0,(p_asof-N(K669))&gt;=0,(p_asof-N(K669))&lt;7),"Déjà relancée il y a "&amp;(p_asof-N(K669))&amp;" j",IF((p_asof-E669)&lt;=0,IF((p_asof-E669)&gt;-8,"Rappel courtois avant l'échéance","Aucune action"),IF((p_asof-E669)&lt;=15,"Relance 1 : e-mail de rappel",IF((p_asof-E669)&lt;=30,"Relance 2 : appel téléphonique",IF((p_asof-E669)&lt;=60,"Relance 3 : lettre de relance",IF((p_asof-E669)&lt;=90,"Mise en demeure (recommandé)","Contentieux : injonction de payer")))))))</f>
        <v/>
      </c>
      <c r="M669" t="str">
        <f>IFERROR(MATCH(638,fa_rank,0),"")</f>
        <v/>
      </c>
    </row>
    <row r="670">
      <c r="B670" s="78" t="str">
        <f>IF($M670="","",INDEX(fa_num,$M670)&amp;"")</f>
        <v/>
      </c>
      <c r="C670" s="79" t="str">
        <f>IF($M670="","",INDEX(fa_cname,$M670)&amp;"")</f>
        <v/>
      </c>
      <c r="D670" s="56" t="str">
        <f>IF($M670="","",INDEX(fa_date,$M670))</f>
        <v/>
      </c>
      <c r="E670" s="56" t="str">
        <f>IF($M670="","",INDEX(fa_due,$M670))</f>
        <v/>
      </c>
      <c r="F670" s="75" t="str">
        <f>IF($M670="","",INDEX(fa_ttc,$M670))</f>
        <v/>
      </c>
      <c r="G670" s="75" t="str">
        <f>IF($M670="","",INDEX(fa_paid,$M670)+INDEX(fa_avoirs,$M670))</f>
        <v/>
      </c>
      <c r="H670" s="75" t="str">
        <f>IF($M670="","",INDEX(fa_reste,$M670))</f>
        <v/>
      </c>
      <c r="I670" s="58" t="str">
        <f>IF($M670="","",MAX(0,p_asof-E670))</f>
        <v/>
      </c>
      <c r="J670" s="78" t="str">
        <f>IF($M670="","",INDEX(fa_tranche,$M670)&amp;"")</f>
        <v/>
      </c>
      <c r="K670" s="56" t="str">
        <f>IF($M670="","",IF(ISNUMBER(INDEX(fa_relance,$M670)),INDEX(fa_relance,$M670),""))</f>
        <v/>
      </c>
      <c r="L670" s="79" t="str">
        <f>IF($M670="","",IF(AND(ISNUMBER(K670),(p_asof-E670)&gt;0,(p_asof-N(K670))&gt;=0,(p_asof-N(K670))&lt;7),"Déjà relancée il y a "&amp;(p_asof-N(K670))&amp;" j",IF((p_asof-E670)&lt;=0,IF((p_asof-E670)&gt;-8,"Rappel courtois avant l'échéance","Aucune action"),IF((p_asof-E670)&lt;=15,"Relance 1 : e-mail de rappel",IF((p_asof-E670)&lt;=30,"Relance 2 : appel téléphonique",IF((p_asof-E670)&lt;=60,"Relance 3 : lettre de relance",IF((p_asof-E670)&lt;=90,"Mise en demeure (recommandé)","Contentieux : injonction de payer")))))))</f>
        <v/>
      </c>
      <c r="M670" t="str">
        <f>IFERROR(MATCH(639,fa_rank,0),"")</f>
        <v/>
      </c>
    </row>
    <row r="671">
      <c r="B671" s="78" t="str">
        <f>IF($M671="","",INDEX(fa_num,$M671)&amp;"")</f>
        <v/>
      </c>
      <c r="C671" s="79" t="str">
        <f>IF($M671="","",INDEX(fa_cname,$M671)&amp;"")</f>
        <v/>
      </c>
      <c r="D671" s="56" t="str">
        <f>IF($M671="","",INDEX(fa_date,$M671))</f>
        <v/>
      </c>
      <c r="E671" s="56" t="str">
        <f>IF($M671="","",INDEX(fa_due,$M671))</f>
        <v/>
      </c>
      <c r="F671" s="75" t="str">
        <f>IF($M671="","",INDEX(fa_ttc,$M671))</f>
        <v/>
      </c>
      <c r="G671" s="75" t="str">
        <f>IF($M671="","",INDEX(fa_paid,$M671)+INDEX(fa_avoirs,$M671))</f>
        <v/>
      </c>
      <c r="H671" s="75" t="str">
        <f>IF($M671="","",INDEX(fa_reste,$M671))</f>
        <v/>
      </c>
      <c r="I671" s="58" t="str">
        <f>IF($M671="","",MAX(0,p_asof-E671))</f>
        <v/>
      </c>
      <c r="J671" s="78" t="str">
        <f>IF($M671="","",INDEX(fa_tranche,$M671)&amp;"")</f>
        <v/>
      </c>
      <c r="K671" s="56" t="str">
        <f>IF($M671="","",IF(ISNUMBER(INDEX(fa_relance,$M671)),INDEX(fa_relance,$M671),""))</f>
        <v/>
      </c>
      <c r="L671" s="79" t="str">
        <f>IF($M671="","",IF(AND(ISNUMBER(K671),(p_asof-E671)&gt;0,(p_asof-N(K671))&gt;=0,(p_asof-N(K671))&lt;7),"Déjà relancée il y a "&amp;(p_asof-N(K671))&amp;" j",IF((p_asof-E671)&lt;=0,IF((p_asof-E671)&gt;-8,"Rappel courtois avant l'échéance","Aucune action"),IF((p_asof-E671)&lt;=15,"Relance 1 : e-mail de rappel",IF((p_asof-E671)&lt;=30,"Relance 2 : appel téléphonique",IF((p_asof-E671)&lt;=60,"Relance 3 : lettre de relance",IF((p_asof-E671)&lt;=90,"Mise en demeure (recommandé)","Contentieux : injonction de payer")))))))</f>
        <v/>
      </c>
      <c r="M671" t="str">
        <f>IFERROR(MATCH(640,fa_rank,0),"")</f>
        <v/>
      </c>
    </row>
    <row r="672">
      <c r="B672" s="78" t="str">
        <f>IF($M672="","",INDEX(fa_num,$M672)&amp;"")</f>
        <v/>
      </c>
      <c r="C672" s="79" t="str">
        <f>IF($M672="","",INDEX(fa_cname,$M672)&amp;"")</f>
        <v/>
      </c>
      <c r="D672" s="56" t="str">
        <f>IF($M672="","",INDEX(fa_date,$M672))</f>
        <v/>
      </c>
      <c r="E672" s="56" t="str">
        <f>IF($M672="","",INDEX(fa_due,$M672))</f>
        <v/>
      </c>
      <c r="F672" s="75" t="str">
        <f>IF($M672="","",INDEX(fa_ttc,$M672))</f>
        <v/>
      </c>
      <c r="G672" s="75" t="str">
        <f>IF($M672="","",INDEX(fa_paid,$M672)+INDEX(fa_avoirs,$M672))</f>
        <v/>
      </c>
      <c r="H672" s="75" t="str">
        <f>IF($M672="","",INDEX(fa_reste,$M672))</f>
        <v/>
      </c>
      <c r="I672" s="58" t="str">
        <f>IF($M672="","",MAX(0,p_asof-E672))</f>
        <v/>
      </c>
      <c r="J672" s="78" t="str">
        <f>IF($M672="","",INDEX(fa_tranche,$M672)&amp;"")</f>
        <v/>
      </c>
      <c r="K672" s="56" t="str">
        <f>IF($M672="","",IF(ISNUMBER(INDEX(fa_relance,$M672)),INDEX(fa_relance,$M672),""))</f>
        <v/>
      </c>
      <c r="L672" s="79" t="str">
        <f>IF($M672="","",IF(AND(ISNUMBER(K672),(p_asof-E672)&gt;0,(p_asof-N(K672))&gt;=0,(p_asof-N(K672))&lt;7),"Déjà relancée il y a "&amp;(p_asof-N(K672))&amp;" j",IF((p_asof-E672)&lt;=0,IF((p_asof-E672)&gt;-8,"Rappel courtois avant l'échéance","Aucune action"),IF((p_asof-E672)&lt;=15,"Relance 1 : e-mail de rappel",IF((p_asof-E672)&lt;=30,"Relance 2 : appel téléphonique",IF((p_asof-E672)&lt;=60,"Relance 3 : lettre de relance",IF((p_asof-E672)&lt;=90,"Mise en demeure (recommandé)","Contentieux : injonction de payer")))))))</f>
        <v/>
      </c>
      <c r="M672" t="str">
        <f>IFERROR(MATCH(641,fa_rank,0),"")</f>
        <v/>
      </c>
    </row>
    <row r="673">
      <c r="B673" s="78" t="str">
        <f>IF($M673="","",INDEX(fa_num,$M673)&amp;"")</f>
        <v/>
      </c>
      <c r="C673" s="79" t="str">
        <f>IF($M673="","",INDEX(fa_cname,$M673)&amp;"")</f>
        <v/>
      </c>
      <c r="D673" s="56" t="str">
        <f>IF($M673="","",INDEX(fa_date,$M673))</f>
        <v/>
      </c>
      <c r="E673" s="56" t="str">
        <f>IF($M673="","",INDEX(fa_due,$M673))</f>
        <v/>
      </c>
      <c r="F673" s="75" t="str">
        <f>IF($M673="","",INDEX(fa_ttc,$M673))</f>
        <v/>
      </c>
      <c r="G673" s="75" t="str">
        <f>IF($M673="","",INDEX(fa_paid,$M673)+INDEX(fa_avoirs,$M673))</f>
        <v/>
      </c>
      <c r="H673" s="75" t="str">
        <f>IF($M673="","",INDEX(fa_reste,$M673))</f>
        <v/>
      </c>
      <c r="I673" s="58" t="str">
        <f>IF($M673="","",MAX(0,p_asof-E673))</f>
        <v/>
      </c>
      <c r="J673" s="78" t="str">
        <f>IF($M673="","",INDEX(fa_tranche,$M673)&amp;"")</f>
        <v/>
      </c>
      <c r="K673" s="56" t="str">
        <f>IF($M673="","",IF(ISNUMBER(INDEX(fa_relance,$M673)),INDEX(fa_relance,$M673),""))</f>
        <v/>
      </c>
      <c r="L673" s="79" t="str">
        <f>IF($M673="","",IF(AND(ISNUMBER(K673),(p_asof-E673)&gt;0,(p_asof-N(K673))&gt;=0,(p_asof-N(K673))&lt;7),"Déjà relancée il y a "&amp;(p_asof-N(K673))&amp;" j",IF((p_asof-E673)&lt;=0,IF((p_asof-E673)&gt;-8,"Rappel courtois avant l'échéance","Aucune action"),IF((p_asof-E673)&lt;=15,"Relance 1 : e-mail de rappel",IF((p_asof-E673)&lt;=30,"Relance 2 : appel téléphonique",IF((p_asof-E673)&lt;=60,"Relance 3 : lettre de relance",IF((p_asof-E673)&lt;=90,"Mise en demeure (recommandé)","Contentieux : injonction de payer")))))))</f>
        <v/>
      </c>
      <c r="M673" t="str">
        <f>IFERROR(MATCH(642,fa_rank,0),"")</f>
        <v/>
      </c>
    </row>
    <row r="674">
      <c r="B674" s="78" t="str">
        <f>IF($M674="","",INDEX(fa_num,$M674)&amp;"")</f>
        <v/>
      </c>
      <c r="C674" s="79" t="str">
        <f>IF($M674="","",INDEX(fa_cname,$M674)&amp;"")</f>
        <v/>
      </c>
      <c r="D674" s="56" t="str">
        <f>IF($M674="","",INDEX(fa_date,$M674))</f>
        <v/>
      </c>
      <c r="E674" s="56" t="str">
        <f>IF($M674="","",INDEX(fa_due,$M674))</f>
        <v/>
      </c>
      <c r="F674" s="75" t="str">
        <f>IF($M674="","",INDEX(fa_ttc,$M674))</f>
        <v/>
      </c>
      <c r="G674" s="75" t="str">
        <f>IF($M674="","",INDEX(fa_paid,$M674)+INDEX(fa_avoirs,$M674))</f>
        <v/>
      </c>
      <c r="H674" s="75" t="str">
        <f>IF($M674="","",INDEX(fa_reste,$M674))</f>
        <v/>
      </c>
      <c r="I674" s="58" t="str">
        <f>IF($M674="","",MAX(0,p_asof-E674))</f>
        <v/>
      </c>
      <c r="J674" s="78" t="str">
        <f>IF($M674="","",INDEX(fa_tranche,$M674)&amp;"")</f>
        <v/>
      </c>
      <c r="K674" s="56" t="str">
        <f>IF($M674="","",IF(ISNUMBER(INDEX(fa_relance,$M674)),INDEX(fa_relance,$M674),""))</f>
        <v/>
      </c>
      <c r="L674" s="79" t="str">
        <f>IF($M674="","",IF(AND(ISNUMBER(K674),(p_asof-E674)&gt;0,(p_asof-N(K674))&gt;=0,(p_asof-N(K674))&lt;7),"Déjà relancée il y a "&amp;(p_asof-N(K674))&amp;" j",IF((p_asof-E674)&lt;=0,IF((p_asof-E674)&gt;-8,"Rappel courtois avant l'échéance","Aucune action"),IF((p_asof-E674)&lt;=15,"Relance 1 : e-mail de rappel",IF((p_asof-E674)&lt;=30,"Relance 2 : appel téléphonique",IF((p_asof-E674)&lt;=60,"Relance 3 : lettre de relance",IF((p_asof-E674)&lt;=90,"Mise en demeure (recommandé)","Contentieux : injonction de payer")))))))</f>
        <v/>
      </c>
      <c r="M674" t="str">
        <f>IFERROR(MATCH(643,fa_rank,0),"")</f>
        <v/>
      </c>
    </row>
    <row r="675">
      <c r="B675" s="78" t="str">
        <f>IF($M675="","",INDEX(fa_num,$M675)&amp;"")</f>
        <v/>
      </c>
      <c r="C675" s="79" t="str">
        <f>IF($M675="","",INDEX(fa_cname,$M675)&amp;"")</f>
        <v/>
      </c>
      <c r="D675" s="56" t="str">
        <f>IF($M675="","",INDEX(fa_date,$M675))</f>
        <v/>
      </c>
      <c r="E675" s="56" t="str">
        <f>IF($M675="","",INDEX(fa_due,$M675))</f>
        <v/>
      </c>
      <c r="F675" s="75" t="str">
        <f>IF($M675="","",INDEX(fa_ttc,$M675))</f>
        <v/>
      </c>
      <c r="G675" s="75" t="str">
        <f>IF($M675="","",INDEX(fa_paid,$M675)+INDEX(fa_avoirs,$M675))</f>
        <v/>
      </c>
      <c r="H675" s="75" t="str">
        <f>IF($M675="","",INDEX(fa_reste,$M675))</f>
        <v/>
      </c>
      <c r="I675" s="58" t="str">
        <f>IF($M675="","",MAX(0,p_asof-E675))</f>
        <v/>
      </c>
      <c r="J675" s="78" t="str">
        <f>IF($M675="","",INDEX(fa_tranche,$M675)&amp;"")</f>
        <v/>
      </c>
      <c r="K675" s="56" t="str">
        <f>IF($M675="","",IF(ISNUMBER(INDEX(fa_relance,$M675)),INDEX(fa_relance,$M675),""))</f>
        <v/>
      </c>
      <c r="L675" s="79" t="str">
        <f>IF($M675="","",IF(AND(ISNUMBER(K675),(p_asof-E675)&gt;0,(p_asof-N(K675))&gt;=0,(p_asof-N(K675))&lt;7),"Déjà relancée il y a "&amp;(p_asof-N(K675))&amp;" j",IF((p_asof-E675)&lt;=0,IF((p_asof-E675)&gt;-8,"Rappel courtois avant l'échéance","Aucune action"),IF((p_asof-E675)&lt;=15,"Relance 1 : e-mail de rappel",IF((p_asof-E675)&lt;=30,"Relance 2 : appel téléphonique",IF((p_asof-E675)&lt;=60,"Relance 3 : lettre de relance",IF((p_asof-E675)&lt;=90,"Mise en demeure (recommandé)","Contentieux : injonction de payer")))))))</f>
        <v/>
      </c>
      <c r="M675" t="str">
        <f>IFERROR(MATCH(644,fa_rank,0),"")</f>
        <v/>
      </c>
    </row>
    <row r="676">
      <c r="B676" s="78" t="str">
        <f>IF($M676="","",INDEX(fa_num,$M676)&amp;"")</f>
        <v/>
      </c>
      <c r="C676" s="79" t="str">
        <f>IF($M676="","",INDEX(fa_cname,$M676)&amp;"")</f>
        <v/>
      </c>
      <c r="D676" s="56" t="str">
        <f>IF($M676="","",INDEX(fa_date,$M676))</f>
        <v/>
      </c>
      <c r="E676" s="56" t="str">
        <f>IF($M676="","",INDEX(fa_due,$M676))</f>
        <v/>
      </c>
      <c r="F676" s="75" t="str">
        <f>IF($M676="","",INDEX(fa_ttc,$M676))</f>
        <v/>
      </c>
      <c r="G676" s="75" t="str">
        <f>IF($M676="","",INDEX(fa_paid,$M676)+INDEX(fa_avoirs,$M676))</f>
        <v/>
      </c>
      <c r="H676" s="75" t="str">
        <f>IF($M676="","",INDEX(fa_reste,$M676))</f>
        <v/>
      </c>
      <c r="I676" s="58" t="str">
        <f>IF($M676="","",MAX(0,p_asof-E676))</f>
        <v/>
      </c>
      <c r="J676" s="78" t="str">
        <f>IF($M676="","",INDEX(fa_tranche,$M676)&amp;"")</f>
        <v/>
      </c>
      <c r="K676" s="56" t="str">
        <f>IF($M676="","",IF(ISNUMBER(INDEX(fa_relance,$M676)),INDEX(fa_relance,$M676),""))</f>
        <v/>
      </c>
      <c r="L676" s="79" t="str">
        <f>IF($M676="","",IF(AND(ISNUMBER(K676),(p_asof-E676)&gt;0,(p_asof-N(K676))&gt;=0,(p_asof-N(K676))&lt;7),"Déjà relancée il y a "&amp;(p_asof-N(K676))&amp;" j",IF((p_asof-E676)&lt;=0,IF((p_asof-E676)&gt;-8,"Rappel courtois avant l'échéance","Aucune action"),IF((p_asof-E676)&lt;=15,"Relance 1 : e-mail de rappel",IF((p_asof-E676)&lt;=30,"Relance 2 : appel téléphonique",IF((p_asof-E676)&lt;=60,"Relance 3 : lettre de relance",IF((p_asof-E676)&lt;=90,"Mise en demeure (recommandé)","Contentieux : injonction de payer")))))))</f>
        <v/>
      </c>
      <c r="M676" t="str">
        <f>IFERROR(MATCH(645,fa_rank,0),"")</f>
        <v/>
      </c>
    </row>
    <row r="677">
      <c r="B677" s="78" t="str">
        <f>IF($M677="","",INDEX(fa_num,$M677)&amp;"")</f>
        <v/>
      </c>
      <c r="C677" s="79" t="str">
        <f>IF($M677="","",INDEX(fa_cname,$M677)&amp;"")</f>
        <v/>
      </c>
      <c r="D677" s="56" t="str">
        <f>IF($M677="","",INDEX(fa_date,$M677))</f>
        <v/>
      </c>
      <c r="E677" s="56" t="str">
        <f>IF($M677="","",INDEX(fa_due,$M677))</f>
        <v/>
      </c>
      <c r="F677" s="75" t="str">
        <f>IF($M677="","",INDEX(fa_ttc,$M677))</f>
        <v/>
      </c>
      <c r="G677" s="75" t="str">
        <f>IF($M677="","",INDEX(fa_paid,$M677)+INDEX(fa_avoirs,$M677))</f>
        <v/>
      </c>
      <c r="H677" s="75" t="str">
        <f>IF($M677="","",INDEX(fa_reste,$M677))</f>
        <v/>
      </c>
      <c r="I677" s="58" t="str">
        <f>IF($M677="","",MAX(0,p_asof-E677))</f>
        <v/>
      </c>
      <c r="J677" s="78" t="str">
        <f>IF($M677="","",INDEX(fa_tranche,$M677)&amp;"")</f>
        <v/>
      </c>
      <c r="K677" s="56" t="str">
        <f>IF($M677="","",IF(ISNUMBER(INDEX(fa_relance,$M677)),INDEX(fa_relance,$M677),""))</f>
        <v/>
      </c>
      <c r="L677" s="79" t="str">
        <f>IF($M677="","",IF(AND(ISNUMBER(K677),(p_asof-E677)&gt;0,(p_asof-N(K677))&gt;=0,(p_asof-N(K677))&lt;7),"Déjà relancée il y a "&amp;(p_asof-N(K677))&amp;" j",IF((p_asof-E677)&lt;=0,IF((p_asof-E677)&gt;-8,"Rappel courtois avant l'échéance","Aucune action"),IF((p_asof-E677)&lt;=15,"Relance 1 : e-mail de rappel",IF((p_asof-E677)&lt;=30,"Relance 2 : appel téléphonique",IF((p_asof-E677)&lt;=60,"Relance 3 : lettre de relance",IF((p_asof-E677)&lt;=90,"Mise en demeure (recommandé)","Contentieux : injonction de payer")))))))</f>
        <v/>
      </c>
      <c r="M677" t="str">
        <f>IFERROR(MATCH(646,fa_rank,0),"")</f>
        <v/>
      </c>
    </row>
    <row r="678">
      <c r="B678" s="78" t="str">
        <f>IF($M678="","",INDEX(fa_num,$M678)&amp;"")</f>
        <v/>
      </c>
      <c r="C678" s="79" t="str">
        <f>IF($M678="","",INDEX(fa_cname,$M678)&amp;"")</f>
        <v/>
      </c>
      <c r="D678" s="56" t="str">
        <f>IF($M678="","",INDEX(fa_date,$M678))</f>
        <v/>
      </c>
      <c r="E678" s="56" t="str">
        <f>IF($M678="","",INDEX(fa_due,$M678))</f>
        <v/>
      </c>
      <c r="F678" s="75" t="str">
        <f>IF($M678="","",INDEX(fa_ttc,$M678))</f>
        <v/>
      </c>
      <c r="G678" s="75" t="str">
        <f>IF($M678="","",INDEX(fa_paid,$M678)+INDEX(fa_avoirs,$M678))</f>
        <v/>
      </c>
      <c r="H678" s="75" t="str">
        <f>IF($M678="","",INDEX(fa_reste,$M678))</f>
        <v/>
      </c>
      <c r="I678" s="58" t="str">
        <f>IF($M678="","",MAX(0,p_asof-E678))</f>
        <v/>
      </c>
      <c r="J678" s="78" t="str">
        <f>IF($M678="","",INDEX(fa_tranche,$M678)&amp;"")</f>
        <v/>
      </c>
      <c r="K678" s="56" t="str">
        <f>IF($M678="","",IF(ISNUMBER(INDEX(fa_relance,$M678)),INDEX(fa_relance,$M678),""))</f>
        <v/>
      </c>
      <c r="L678" s="79" t="str">
        <f>IF($M678="","",IF(AND(ISNUMBER(K678),(p_asof-E678)&gt;0,(p_asof-N(K678))&gt;=0,(p_asof-N(K678))&lt;7),"Déjà relancée il y a "&amp;(p_asof-N(K678))&amp;" j",IF((p_asof-E678)&lt;=0,IF((p_asof-E678)&gt;-8,"Rappel courtois avant l'échéance","Aucune action"),IF((p_asof-E678)&lt;=15,"Relance 1 : e-mail de rappel",IF((p_asof-E678)&lt;=30,"Relance 2 : appel téléphonique",IF((p_asof-E678)&lt;=60,"Relance 3 : lettre de relance",IF((p_asof-E678)&lt;=90,"Mise en demeure (recommandé)","Contentieux : injonction de payer")))))))</f>
        <v/>
      </c>
      <c r="M678" t="str">
        <f>IFERROR(MATCH(647,fa_rank,0),"")</f>
        <v/>
      </c>
    </row>
    <row r="679">
      <c r="B679" s="78" t="str">
        <f>IF($M679="","",INDEX(fa_num,$M679)&amp;"")</f>
        <v/>
      </c>
      <c r="C679" s="79" t="str">
        <f>IF($M679="","",INDEX(fa_cname,$M679)&amp;"")</f>
        <v/>
      </c>
      <c r="D679" s="56" t="str">
        <f>IF($M679="","",INDEX(fa_date,$M679))</f>
        <v/>
      </c>
      <c r="E679" s="56" t="str">
        <f>IF($M679="","",INDEX(fa_due,$M679))</f>
        <v/>
      </c>
      <c r="F679" s="75" t="str">
        <f>IF($M679="","",INDEX(fa_ttc,$M679))</f>
        <v/>
      </c>
      <c r="G679" s="75" t="str">
        <f>IF($M679="","",INDEX(fa_paid,$M679)+INDEX(fa_avoirs,$M679))</f>
        <v/>
      </c>
      <c r="H679" s="75" t="str">
        <f>IF($M679="","",INDEX(fa_reste,$M679))</f>
        <v/>
      </c>
      <c r="I679" s="58" t="str">
        <f>IF($M679="","",MAX(0,p_asof-E679))</f>
        <v/>
      </c>
      <c r="J679" s="78" t="str">
        <f>IF($M679="","",INDEX(fa_tranche,$M679)&amp;"")</f>
        <v/>
      </c>
      <c r="K679" s="56" t="str">
        <f>IF($M679="","",IF(ISNUMBER(INDEX(fa_relance,$M679)),INDEX(fa_relance,$M679),""))</f>
        <v/>
      </c>
      <c r="L679" s="79" t="str">
        <f>IF($M679="","",IF(AND(ISNUMBER(K679),(p_asof-E679)&gt;0,(p_asof-N(K679))&gt;=0,(p_asof-N(K679))&lt;7),"Déjà relancée il y a "&amp;(p_asof-N(K679))&amp;" j",IF((p_asof-E679)&lt;=0,IF((p_asof-E679)&gt;-8,"Rappel courtois avant l'échéance","Aucune action"),IF((p_asof-E679)&lt;=15,"Relance 1 : e-mail de rappel",IF((p_asof-E679)&lt;=30,"Relance 2 : appel téléphonique",IF((p_asof-E679)&lt;=60,"Relance 3 : lettre de relance",IF((p_asof-E679)&lt;=90,"Mise en demeure (recommandé)","Contentieux : injonction de payer")))))))</f>
        <v/>
      </c>
      <c r="M679" t="str">
        <f>IFERROR(MATCH(648,fa_rank,0),"")</f>
        <v/>
      </c>
    </row>
    <row r="680">
      <c r="B680" s="78" t="str">
        <f>IF($M680="","",INDEX(fa_num,$M680)&amp;"")</f>
        <v/>
      </c>
      <c r="C680" s="79" t="str">
        <f>IF($M680="","",INDEX(fa_cname,$M680)&amp;"")</f>
        <v/>
      </c>
      <c r="D680" s="56" t="str">
        <f>IF($M680="","",INDEX(fa_date,$M680))</f>
        <v/>
      </c>
      <c r="E680" s="56" t="str">
        <f>IF($M680="","",INDEX(fa_due,$M680))</f>
        <v/>
      </c>
      <c r="F680" s="75" t="str">
        <f>IF($M680="","",INDEX(fa_ttc,$M680))</f>
        <v/>
      </c>
      <c r="G680" s="75" t="str">
        <f>IF($M680="","",INDEX(fa_paid,$M680)+INDEX(fa_avoirs,$M680))</f>
        <v/>
      </c>
      <c r="H680" s="75" t="str">
        <f>IF($M680="","",INDEX(fa_reste,$M680))</f>
        <v/>
      </c>
      <c r="I680" s="58" t="str">
        <f>IF($M680="","",MAX(0,p_asof-E680))</f>
        <v/>
      </c>
      <c r="J680" s="78" t="str">
        <f>IF($M680="","",INDEX(fa_tranche,$M680)&amp;"")</f>
        <v/>
      </c>
      <c r="K680" s="56" t="str">
        <f>IF($M680="","",IF(ISNUMBER(INDEX(fa_relance,$M680)),INDEX(fa_relance,$M680),""))</f>
        <v/>
      </c>
      <c r="L680" s="79" t="str">
        <f>IF($M680="","",IF(AND(ISNUMBER(K680),(p_asof-E680)&gt;0,(p_asof-N(K680))&gt;=0,(p_asof-N(K680))&lt;7),"Déjà relancée il y a "&amp;(p_asof-N(K680))&amp;" j",IF((p_asof-E680)&lt;=0,IF((p_asof-E680)&gt;-8,"Rappel courtois avant l'échéance","Aucune action"),IF((p_asof-E680)&lt;=15,"Relance 1 : e-mail de rappel",IF((p_asof-E680)&lt;=30,"Relance 2 : appel téléphonique",IF((p_asof-E680)&lt;=60,"Relance 3 : lettre de relance",IF((p_asof-E680)&lt;=90,"Mise en demeure (recommandé)","Contentieux : injonction de payer")))))))</f>
        <v/>
      </c>
      <c r="M680" t="str">
        <f>IFERROR(MATCH(649,fa_rank,0),"")</f>
        <v/>
      </c>
    </row>
    <row r="681">
      <c r="B681" s="78" t="str">
        <f>IF($M681="","",INDEX(fa_num,$M681)&amp;"")</f>
        <v/>
      </c>
      <c r="C681" s="79" t="str">
        <f>IF($M681="","",INDEX(fa_cname,$M681)&amp;"")</f>
        <v/>
      </c>
      <c r="D681" s="56" t="str">
        <f>IF($M681="","",INDEX(fa_date,$M681))</f>
        <v/>
      </c>
      <c r="E681" s="56" t="str">
        <f>IF($M681="","",INDEX(fa_due,$M681))</f>
        <v/>
      </c>
      <c r="F681" s="75" t="str">
        <f>IF($M681="","",INDEX(fa_ttc,$M681))</f>
        <v/>
      </c>
      <c r="G681" s="75" t="str">
        <f>IF($M681="","",INDEX(fa_paid,$M681)+INDEX(fa_avoirs,$M681))</f>
        <v/>
      </c>
      <c r="H681" s="75" t="str">
        <f>IF($M681="","",INDEX(fa_reste,$M681))</f>
        <v/>
      </c>
      <c r="I681" s="58" t="str">
        <f>IF($M681="","",MAX(0,p_asof-E681))</f>
        <v/>
      </c>
      <c r="J681" s="78" t="str">
        <f>IF($M681="","",INDEX(fa_tranche,$M681)&amp;"")</f>
        <v/>
      </c>
      <c r="K681" s="56" t="str">
        <f>IF($M681="","",IF(ISNUMBER(INDEX(fa_relance,$M681)),INDEX(fa_relance,$M681),""))</f>
        <v/>
      </c>
      <c r="L681" s="79" t="str">
        <f>IF($M681="","",IF(AND(ISNUMBER(K681),(p_asof-E681)&gt;0,(p_asof-N(K681))&gt;=0,(p_asof-N(K681))&lt;7),"Déjà relancée il y a "&amp;(p_asof-N(K681))&amp;" j",IF((p_asof-E681)&lt;=0,IF((p_asof-E681)&gt;-8,"Rappel courtois avant l'échéance","Aucune action"),IF((p_asof-E681)&lt;=15,"Relance 1 : e-mail de rappel",IF((p_asof-E681)&lt;=30,"Relance 2 : appel téléphonique",IF((p_asof-E681)&lt;=60,"Relance 3 : lettre de relance",IF((p_asof-E681)&lt;=90,"Mise en demeure (recommandé)","Contentieux : injonction de payer")))))))</f>
        <v/>
      </c>
      <c r="M681" t="str">
        <f>IFERROR(MATCH(650,fa_rank,0),"")</f>
        <v/>
      </c>
    </row>
    <row r="682">
      <c r="B682" s="78" t="str">
        <f>IF($M682="","",INDEX(fa_num,$M682)&amp;"")</f>
        <v/>
      </c>
      <c r="C682" s="79" t="str">
        <f>IF($M682="","",INDEX(fa_cname,$M682)&amp;"")</f>
        <v/>
      </c>
      <c r="D682" s="56" t="str">
        <f>IF($M682="","",INDEX(fa_date,$M682))</f>
        <v/>
      </c>
      <c r="E682" s="56" t="str">
        <f>IF($M682="","",INDEX(fa_due,$M682))</f>
        <v/>
      </c>
      <c r="F682" s="75" t="str">
        <f>IF($M682="","",INDEX(fa_ttc,$M682))</f>
        <v/>
      </c>
      <c r="G682" s="75" t="str">
        <f>IF($M682="","",INDEX(fa_paid,$M682)+INDEX(fa_avoirs,$M682))</f>
        <v/>
      </c>
      <c r="H682" s="75" t="str">
        <f>IF($M682="","",INDEX(fa_reste,$M682))</f>
        <v/>
      </c>
      <c r="I682" s="58" t="str">
        <f>IF($M682="","",MAX(0,p_asof-E682))</f>
        <v/>
      </c>
      <c r="J682" s="78" t="str">
        <f>IF($M682="","",INDEX(fa_tranche,$M682)&amp;"")</f>
        <v/>
      </c>
      <c r="K682" s="56" t="str">
        <f>IF($M682="","",IF(ISNUMBER(INDEX(fa_relance,$M682)),INDEX(fa_relance,$M682),""))</f>
        <v/>
      </c>
      <c r="L682" s="79" t="str">
        <f>IF($M682="","",IF(AND(ISNUMBER(K682),(p_asof-E682)&gt;0,(p_asof-N(K682))&gt;=0,(p_asof-N(K682))&lt;7),"Déjà relancée il y a "&amp;(p_asof-N(K682))&amp;" j",IF((p_asof-E682)&lt;=0,IF((p_asof-E682)&gt;-8,"Rappel courtois avant l'échéance","Aucune action"),IF((p_asof-E682)&lt;=15,"Relance 1 : e-mail de rappel",IF((p_asof-E682)&lt;=30,"Relance 2 : appel téléphonique",IF((p_asof-E682)&lt;=60,"Relance 3 : lettre de relance",IF((p_asof-E682)&lt;=90,"Mise en demeure (recommandé)","Contentieux : injonction de payer")))))))</f>
        <v/>
      </c>
      <c r="M682" t="str">
        <f>IFERROR(MATCH(651,fa_rank,0),"")</f>
        <v/>
      </c>
    </row>
    <row r="683">
      <c r="B683" s="78" t="str">
        <f>IF($M683="","",INDEX(fa_num,$M683)&amp;"")</f>
        <v/>
      </c>
      <c r="C683" s="79" t="str">
        <f>IF($M683="","",INDEX(fa_cname,$M683)&amp;"")</f>
        <v/>
      </c>
      <c r="D683" s="56" t="str">
        <f>IF($M683="","",INDEX(fa_date,$M683))</f>
        <v/>
      </c>
      <c r="E683" s="56" t="str">
        <f>IF($M683="","",INDEX(fa_due,$M683))</f>
        <v/>
      </c>
      <c r="F683" s="75" t="str">
        <f>IF($M683="","",INDEX(fa_ttc,$M683))</f>
        <v/>
      </c>
      <c r="G683" s="75" t="str">
        <f>IF($M683="","",INDEX(fa_paid,$M683)+INDEX(fa_avoirs,$M683))</f>
        <v/>
      </c>
      <c r="H683" s="75" t="str">
        <f>IF($M683="","",INDEX(fa_reste,$M683))</f>
        <v/>
      </c>
      <c r="I683" s="58" t="str">
        <f>IF($M683="","",MAX(0,p_asof-E683))</f>
        <v/>
      </c>
      <c r="J683" s="78" t="str">
        <f>IF($M683="","",INDEX(fa_tranche,$M683)&amp;"")</f>
        <v/>
      </c>
      <c r="K683" s="56" t="str">
        <f>IF($M683="","",IF(ISNUMBER(INDEX(fa_relance,$M683)),INDEX(fa_relance,$M683),""))</f>
        <v/>
      </c>
      <c r="L683" s="79" t="str">
        <f>IF($M683="","",IF(AND(ISNUMBER(K683),(p_asof-E683)&gt;0,(p_asof-N(K683))&gt;=0,(p_asof-N(K683))&lt;7),"Déjà relancée il y a "&amp;(p_asof-N(K683))&amp;" j",IF((p_asof-E683)&lt;=0,IF((p_asof-E683)&gt;-8,"Rappel courtois avant l'échéance","Aucune action"),IF((p_asof-E683)&lt;=15,"Relance 1 : e-mail de rappel",IF((p_asof-E683)&lt;=30,"Relance 2 : appel téléphonique",IF((p_asof-E683)&lt;=60,"Relance 3 : lettre de relance",IF((p_asof-E683)&lt;=90,"Mise en demeure (recommandé)","Contentieux : injonction de payer")))))))</f>
        <v/>
      </c>
      <c r="M683" t="str">
        <f>IFERROR(MATCH(652,fa_rank,0),"")</f>
        <v/>
      </c>
    </row>
    <row r="684">
      <c r="B684" s="78" t="str">
        <f>IF($M684="","",INDEX(fa_num,$M684)&amp;"")</f>
        <v/>
      </c>
      <c r="C684" s="79" t="str">
        <f>IF($M684="","",INDEX(fa_cname,$M684)&amp;"")</f>
        <v/>
      </c>
      <c r="D684" s="56" t="str">
        <f>IF($M684="","",INDEX(fa_date,$M684))</f>
        <v/>
      </c>
      <c r="E684" s="56" t="str">
        <f>IF($M684="","",INDEX(fa_due,$M684))</f>
        <v/>
      </c>
      <c r="F684" s="75" t="str">
        <f>IF($M684="","",INDEX(fa_ttc,$M684))</f>
        <v/>
      </c>
      <c r="G684" s="75" t="str">
        <f>IF($M684="","",INDEX(fa_paid,$M684)+INDEX(fa_avoirs,$M684))</f>
        <v/>
      </c>
      <c r="H684" s="75" t="str">
        <f>IF($M684="","",INDEX(fa_reste,$M684))</f>
        <v/>
      </c>
      <c r="I684" s="58" t="str">
        <f>IF($M684="","",MAX(0,p_asof-E684))</f>
        <v/>
      </c>
      <c r="J684" s="78" t="str">
        <f>IF($M684="","",INDEX(fa_tranche,$M684)&amp;"")</f>
        <v/>
      </c>
      <c r="K684" s="56" t="str">
        <f>IF($M684="","",IF(ISNUMBER(INDEX(fa_relance,$M684)),INDEX(fa_relance,$M684),""))</f>
        <v/>
      </c>
      <c r="L684" s="79" t="str">
        <f>IF($M684="","",IF(AND(ISNUMBER(K684),(p_asof-E684)&gt;0,(p_asof-N(K684))&gt;=0,(p_asof-N(K684))&lt;7),"Déjà relancée il y a "&amp;(p_asof-N(K684))&amp;" j",IF((p_asof-E684)&lt;=0,IF((p_asof-E684)&gt;-8,"Rappel courtois avant l'échéance","Aucune action"),IF((p_asof-E684)&lt;=15,"Relance 1 : e-mail de rappel",IF((p_asof-E684)&lt;=30,"Relance 2 : appel téléphonique",IF((p_asof-E684)&lt;=60,"Relance 3 : lettre de relance",IF((p_asof-E684)&lt;=90,"Mise en demeure (recommandé)","Contentieux : injonction de payer")))))))</f>
        <v/>
      </c>
      <c r="M684" t="str">
        <f>IFERROR(MATCH(653,fa_rank,0),"")</f>
        <v/>
      </c>
    </row>
    <row r="685">
      <c r="B685" s="78" t="str">
        <f>IF($M685="","",INDEX(fa_num,$M685)&amp;"")</f>
        <v/>
      </c>
      <c r="C685" s="79" t="str">
        <f>IF($M685="","",INDEX(fa_cname,$M685)&amp;"")</f>
        <v/>
      </c>
      <c r="D685" s="56" t="str">
        <f>IF($M685="","",INDEX(fa_date,$M685))</f>
        <v/>
      </c>
      <c r="E685" s="56" t="str">
        <f>IF($M685="","",INDEX(fa_due,$M685))</f>
        <v/>
      </c>
      <c r="F685" s="75" t="str">
        <f>IF($M685="","",INDEX(fa_ttc,$M685))</f>
        <v/>
      </c>
      <c r="G685" s="75" t="str">
        <f>IF($M685="","",INDEX(fa_paid,$M685)+INDEX(fa_avoirs,$M685))</f>
        <v/>
      </c>
      <c r="H685" s="75" t="str">
        <f>IF($M685="","",INDEX(fa_reste,$M685))</f>
        <v/>
      </c>
      <c r="I685" s="58" t="str">
        <f>IF($M685="","",MAX(0,p_asof-E685))</f>
        <v/>
      </c>
      <c r="J685" s="78" t="str">
        <f>IF($M685="","",INDEX(fa_tranche,$M685)&amp;"")</f>
        <v/>
      </c>
      <c r="K685" s="56" t="str">
        <f>IF($M685="","",IF(ISNUMBER(INDEX(fa_relance,$M685)),INDEX(fa_relance,$M685),""))</f>
        <v/>
      </c>
      <c r="L685" s="79" t="str">
        <f>IF($M685="","",IF(AND(ISNUMBER(K685),(p_asof-E685)&gt;0,(p_asof-N(K685))&gt;=0,(p_asof-N(K685))&lt;7),"Déjà relancée il y a "&amp;(p_asof-N(K685))&amp;" j",IF((p_asof-E685)&lt;=0,IF((p_asof-E685)&gt;-8,"Rappel courtois avant l'échéance","Aucune action"),IF((p_asof-E685)&lt;=15,"Relance 1 : e-mail de rappel",IF((p_asof-E685)&lt;=30,"Relance 2 : appel téléphonique",IF((p_asof-E685)&lt;=60,"Relance 3 : lettre de relance",IF((p_asof-E685)&lt;=90,"Mise en demeure (recommandé)","Contentieux : injonction de payer")))))))</f>
        <v/>
      </c>
      <c r="M685" t="str">
        <f>IFERROR(MATCH(654,fa_rank,0),"")</f>
        <v/>
      </c>
    </row>
    <row r="686">
      <c r="B686" s="78" t="str">
        <f>IF($M686="","",INDEX(fa_num,$M686)&amp;"")</f>
        <v/>
      </c>
      <c r="C686" s="79" t="str">
        <f>IF($M686="","",INDEX(fa_cname,$M686)&amp;"")</f>
        <v/>
      </c>
      <c r="D686" s="56" t="str">
        <f>IF($M686="","",INDEX(fa_date,$M686))</f>
        <v/>
      </c>
      <c r="E686" s="56" t="str">
        <f>IF($M686="","",INDEX(fa_due,$M686))</f>
        <v/>
      </c>
      <c r="F686" s="75" t="str">
        <f>IF($M686="","",INDEX(fa_ttc,$M686))</f>
        <v/>
      </c>
      <c r="G686" s="75" t="str">
        <f>IF($M686="","",INDEX(fa_paid,$M686)+INDEX(fa_avoirs,$M686))</f>
        <v/>
      </c>
      <c r="H686" s="75" t="str">
        <f>IF($M686="","",INDEX(fa_reste,$M686))</f>
        <v/>
      </c>
      <c r="I686" s="58" t="str">
        <f>IF($M686="","",MAX(0,p_asof-E686))</f>
        <v/>
      </c>
      <c r="J686" s="78" t="str">
        <f>IF($M686="","",INDEX(fa_tranche,$M686)&amp;"")</f>
        <v/>
      </c>
      <c r="K686" s="56" t="str">
        <f>IF($M686="","",IF(ISNUMBER(INDEX(fa_relance,$M686)),INDEX(fa_relance,$M686),""))</f>
        <v/>
      </c>
      <c r="L686" s="79" t="str">
        <f>IF($M686="","",IF(AND(ISNUMBER(K686),(p_asof-E686)&gt;0,(p_asof-N(K686))&gt;=0,(p_asof-N(K686))&lt;7),"Déjà relancée il y a "&amp;(p_asof-N(K686))&amp;" j",IF((p_asof-E686)&lt;=0,IF((p_asof-E686)&gt;-8,"Rappel courtois avant l'échéance","Aucune action"),IF((p_asof-E686)&lt;=15,"Relance 1 : e-mail de rappel",IF((p_asof-E686)&lt;=30,"Relance 2 : appel téléphonique",IF((p_asof-E686)&lt;=60,"Relance 3 : lettre de relance",IF((p_asof-E686)&lt;=90,"Mise en demeure (recommandé)","Contentieux : injonction de payer")))))))</f>
        <v/>
      </c>
      <c r="M686" t="str">
        <f>IFERROR(MATCH(655,fa_rank,0),"")</f>
        <v/>
      </c>
    </row>
    <row r="687">
      <c r="B687" s="78" t="str">
        <f>IF($M687="","",INDEX(fa_num,$M687)&amp;"")</f>
        <v/>
      </c>
      <c r="C687" s="79" t="str">
        <f>IF($M687="","",INDEX(fa_cname,$M687)&amp;"")</f>
        <v/>
      </c>
      <c r="D687" s="56" t="str">
        <f>IF($M687="","",INDEX(fa_date,$M687))</f>
        <v/>
      </c>
      <c r="E687" s="56" t="str">
        <f>IF($M687="","",INDEX(fa_due,$M687))</f>
        <v/>
      </c>
      <c r="F687" s="75" t="str">
        <f>IF($M687="","",INDEX(fa_ttc,$M687))</f>
        <v/>
      </c>
      <c r="G687" s="75" t="str">
        <f>IF($M687="","",INDEX(fa_paid,$M687)+INDEX(fa_avoirs,$M687))</f>
        <v/>
      </c>
      <c r="H687" s="75" t="str">
        <f>IF($M687="","",INDEX(fa_reste,$M687))</f>
        <v/>
      </c>
      <c r="I687" s="58" t="str">
        <f>IF($M687="","",MAX(0,p_asof-E687))</f>
        <v/>
      </c>
      <c r="J687" s="78" t="str">
        <f>IF($M687="","",INDEX(fa_tranche,$M687)&amp;"")</f>
        <v/>
      </c>
      <c r="K687" s="56" t="str">
        <f>IF($M687="","",IF(ISNUMBER(INDEX(fa_relance,$M687)),INDEX(fa_relance,$M687),""))</f>
        <v/>
      </c>
      <c r="L687" s="79" t="str">
        <f>IF($M687="","",IF(AND(ISNUMBER(K687),(p_asof-E687)&gt;0,(p_asof-N(K687))&gt;=0,(p_asof-N(K687))&lt;7),"Déjà relancée il y a "&amp;(p_asof-N(K687))&amp;" j",IF((p_asof-E687)&lt;=0,IF((p_asof-E687)&gt;-8,"Rappel courtois avant l'échéance","Aucune action"),IF((p_asof-E687)&lt;=15,"Relance 1 : e-mail de rappel",IF((p_asof-E687)&lt;=30,"Relance 2 : appel téléphonique",IF((p_asof-E687)&lt;=60,"Relance 3 : lettre de relance",IF((p_asof-E687)&lt;=90,"Mise en demeure (recommandé)","Contentieux : injonction de payer")))))))</f>
        <v/>
      </c>
      <c r="M687" t="str">
        <f>IFERROR(MATCH(656,fa_rank,0),"")</f>
        <v/>
      </c>
    </row>
    <row r="688">
      <c r="B688" s="78" t="str">
        <f>IF($M688="","",INDEX(fa_num,$M688)&amp;"")</f>
        <v/>
      </c>
      <c r="C688" s="79" t="str">
        <f>IF($M688="","",INDEX(fa_cname,$M688)&amp;"")</f>
        <v/>
      </c>
      <c r="D688" s="56" t="str">
        <f>IF($M688="","",INDEX(fa_date,$M688))</f>
        <v/>
      </c>
      <c r="E688" s="56" t="str">
        <f>IF($M688="","",INDEX(fa_due,$M688))</f>
        <v/>
      </c>
      <c r="F688" s="75" t="str">
        <f>IF($M688="","",INDEX(fa_ttc,$M688))</f>
        <v/>
      </c>
      <c r="G688" s="75" t="str">
        <f>IF($M688="","",INDEX(fa_paid,$M688)+INDEX(fa_avoirs,$M688))</f>
        <v/>
      </c>
      <c r="H688" s="75" t="str">
        <f>IF($M688="","",INDEX(fa_reste,$M688))</f>
        <v/>
      </c>
      <c r="I688" s="58" t="str">
        <f>IF($M688="","",MAX(0,p_asof-E688))</f>
        <v/>
      </c>
      <c r="J688" s="78" t="str">
        <f>IF($M688="","",INDEX(fa_tranche,$M688)&amp;"")</f>
        <v/>
      </c>
      <c r="K688" s="56" t="str">
        <f>IF($M688="","",IF(ISNUMBER(INDEX(fa_relance,$M688)),INDEX(fa_relance,$M688),""))</f>
        <v/>
      </c>
      <c r="L688" s="79" t="str">
        <f>IF($M688="","",IF(AND(ISNUMBER(K688),(p_asof-E688)&gt;0,(p_asof-N(K688))&gt;=0,(p_asof-N(K688))&lt;7),"Déjà relancée il y a "&amp;(p_asof-N(K688))&amp;" j",IF((p_asof-E688)&lt;=0,IF((p_asof-E688)&gt;-8,"Rappel courtois avant l'échéance","Aucune action"),IF((p_asof-E688)&lt;=15,"Relance 1 : e-mail de rappel",IF((p_asof-E688)&lt;=30,"Relance 2 : appel téléphonique",IF((p_asof-E688)&lt;=60,"Relance 3 : lettre de relance",IF((p_asof-E688)&lt;=90,"Mise en demeure (recommandé)","Contentieux : injonction de payer")))))))</f>
        <v/>
      </c>
      <c r="M688" t="str">
        <f>IFERROR(MATCH(657,fa_rank,0),"")</f>
        <v/>
      </c>
    </row>
    <row r="689">
      <c r="B689" s="78" t="str">
        <f>IF($M689="","",INDEX(fa_num,$M689)&amp;"")</f>
        <v/>
      </c>
      <c r="C689" s="79" t="str">
        <f>IF($M689="","",INDEX(fa_cname,$M689)&amp;"")</f>
        <v/>
      </c>
      <c r="D689" s="56" t="str">
        <f>IF($M689="","",INDEX(fa_date,$M689))</f>
        <v/>
      </c>
      <c r="E689" s="56" t="str">
        <f>IF($M689="","",INDEX(fa_due,$M689))</f>
        <v/>
      </c>
      <c r="F689" s="75" t="str">
        <f>IF($M689="","",INDEX(fa_ttc,$M689))</f>
        <v/>
      </c>
      <c r="G689" s="75" t="str">
        <f>IF($M689="","",INDEX(fa_paid,$M689)+INDEX(fa_avoirs,$M689))</f>
        <v/>
      </c>
      <c r="H689" s="75" t="str">
        <f>IF($M689="","",INDEX(fa_reste,$M689))</f>
        <v/>
      </c>
      <c r="I689" s="58" t="str">
        <f>IF($M689="","",MAX(0,p_asof-E689))</f>
        <v/>
      </c>
      <c r="J689" s="78" t="str">
        <f>IF($M689="","",INDEX(fa_tranche,$M689)&amp;"")</f>
        <v/>
      </c>
      <c r="K689" s="56" t="str">
        <f>IF($M689="","",IF(ISNUMBER(INDEX(fa_relance,$M689)),INDEX(fa_relance,$M689),""))</f>
        <v/>
      </c>
      <c r="L689" s="79" t="str">
        <f>IF($M689="","",IF(AND(ISNUMBER(K689),(p_asof-E689)&gt;0,(p_asof-N(K689))&gt;=0,(p_asof-N(K689))&lt;7),"Déjà relancée il y a "&amp;(p_asof-N(K689))&amp;" j",IF((p_asof-E689)&lt;=0,IF((p_asof-E689)&gt;-8,"Rappel courtois avant l'échéance","Aucune action"),IF((p_asof-E689)&lt;=15,"Relance 1 : e-mail de rappel",IF((p_asof-E689)&lt;=30,"Relance 2 : appel téléphonique",IF((p_asof-E689)&lt;=60,"Relance 3 : lettre de relance",IF((p_asof-E689)&lt;=90,"Mise en demeure (recommandé)","Contentieux : injonction de payer")))))))</f>
        <v/>
      </c>
      <c r="M689" t="str">
        <f>IFERROR(MATCH(658,fa_rank,0),"")</f>
        <v/>
      </c>
    </row>
    <row r="690">
      <c r="B690" s="78" t="str">
        <f>IF($M690="","",INDEX(fa_num,$M690)&amp;"")</f>
        <v/>
      </c>
      <c r="C690" s="79" t="str">
        <f>IF($M690="","",INDEX(fa_cname,$M690)&amp;"")</f>
        <v/>
      </c>
      <c r="D690" s="56" t="str">
        <f>IF($M690="","",INDEX(fa_date,$M690))</f>
        <v/>
      </c>
      <c r="E690" s="56" t="str">
        <f>IF($M690="","",INDEX(fa_due,$M690))</f>
        <v/>
      </c>
      <c r="F690" s="75" t="str">
        <f>IF($M690="","",INDEX(fa_ttc,$M690))</f>
        <v/>
      </c>
      <c r="G690" s="75" t="str">
        <f>IF($M690="","",INDEX(fa_paid,$M690)+INDEX(fa_avoirs,$M690))</f>
        <v/>
      </c>
      <c r="H690" s="75" t="str">
        <f>IF($M690="","",INDEX(fa_reste,$M690))</f>
        <v/>
      </c>
      <c r="I690" s="58" t="str">
        <f>IF($M690="","",MAX(0,p_asof-E690))</f>
        <v/>
      </c>
      <c r="J690" s="78" t="str">
        <f>IF($M690="","",INDEX(fa_tranche,$M690)&amp;"")</f>
        <v/>
      </c>
      <c r="K690" s="56" t="str">
        <f>IF($M690="","",IF(ISNUMBER(INDEX(fa_relance,$M690)),INDEX(fa_relance,$M690),""))</f>
        <v/>
      </c>
      <c r="L690" s="79" t="str">
        <f>IF($M690="","",IF(AND(ISNUMBER(K690),(p_asof-E690)&gt;0,(p_asof-N(K690))&gt;=0,(p_asof-N(K690))&lt;7),"Déjà relancée il y a "&amp;(p_asof-N(K690))&amp;" j",IF((p_asof-E690)&lt;=0,IF((p_asof-E690)&gt;-8,"Rappel courtois avant l'échéance","Aucune action"),IF((p_asof-E690)&lt;=15,"Relance 1 : e-mail de rappel",IF((p_asof-E690)&lt;=30,"Relance 2 : appel téléphonique",IF((p_asof-E690)&lt;=60,"Relance 3 : lettre de relance",IF((p_asof-E690)&lt;=90,"Mise en demeure (recommandé)","Contentieux : injonction de payer")))))))</f>
        <v/>
      </c>
      <c r="M690" t="str">
        <f>IFERROR(MATCH(659,fa_rank,0),"")</f>
        <v/>
      </c>
    </row>
    <row r="691">
      <c r="B691" s="78" t="str">
        <f>IF($M691="","",INDEX(fa_num,$M691)&amp;"")</f>
        <v/>
      </c>
      <c r="C691" s="79" t="str">
        <f>IF($M691="","",INDEX(fa_cname,$M691)&amp;"")</f>
        <v/>
      </c>
      <c r="D691" s="56" t="str">
        <f>IF($M691="","",INDEX(fa_date,$M691))</f>
        <v/>
      </c>
      <c r="E691" s="56" t="str">
        <f>IF($M691="","",INDEX(fa_due,$M691))</f>
        <v/>
      </c>
      <c r="F691" s="75" t="str">
        <f>IF($M691="","",INDEX(fa_ttc,$M691))</f>
        <v/>
      </c>
      <c r="G691" s="75" t="str">
        <f>IF($M691="","",INDEX(fa_paid,$M691)+INDEX(fa_avoirs,$M691))</f>
        <v/>
      </c>
      <c r="H691" s="75" t="str">
        <f>IF($M691="","",INDEX(fa_reste,$M691))</f>
        <v/>
      </c>
      <c r="I691" s="58" t="str">
        <f>IF($M691="","",MAX(0,p_asof-E691))</f>
        <v/>
      </c>
      <c r="J691" s="78" t="str">
        <f>IF($M691="","",INDEX(fa_tranche,$M691)&amp;"")</f>
        <v/>
      </c>
      <c r="K691" s="56" t="str">
        <f>IF($M691="","",IF(ISNUMBER(INDEX(fa_relance,$M691)),INDEX(fa_relance,$M691),""))</f>
        <v/>
      </c>
      <c r="L691" s="79" t="str">
        <f>IF($M691="","",IF(AND(ISNUMBER(K691),(p_asof-E691)&gt;0,(p_asof-N(K691))&gt;=0,(p_asof-N(K691))&lt;7),"Déjà relancée il y a "&amp;(p_asof-N(K691))&amp;" j",IF((p_asof-E691)&lt;=0,IF((p_asof-E691)&gt;-8,"Rappel courtois avant l'échéance","Aucune action"),IF((p_asof-E691)&lt;=15,"Relance 1 : e-mail de rappel",IF((p_asof-E691)&lt;=30,"Relance 2 : appel téléphonique",IF((p_asof-E691)&lt;=60,"Relance 3 : lettre de relance",IF((p_asof-E691)&lt;=90,"Mise en demeure (recommandé)","Contentieux : injonction de payer")))))))</f>
        <v/>
      </c>
      <c r="M691" t="str">
        <f>IFERROR(MATCH(660,fa_rank,0),"")</f>
        <v/>
      </c>
    </row>
    <row r="692">
      <c r="B692" s="78" t="str">
        <f>IF($M692="","",INDEX(fa_num,$M692)&amp;"")</f>
        <v/>
      </c>
      <c r="C692" s="79" t="str">
        <f>IF($M692="","",INDEX(fa_cname,$M692)&amp;"")</f>
        <v/>
      </c>
      <c r="D692" s="56" t="str">
        <f>IF($M692="","",INDEX(fa_date,$M692))</f>
        <v/>
      </c>
      <c r="E692" s="56" t="str">
        <f>IF($M692="","",INDEX(fa_due,$M692))</f>
        <v/>
      </c>
      <c r="F692" s="75" t="str">
        <f>IF($M692="","",INDEX(fa_ttc,$M692))</f>
        <v/>
      </c>
      <c r="G692" s="75" t="str">
        <f>IF($M692="","",INDEX(fa_paid,$M692)+INDEX(fa_avoirs,$M692))</f>
        <v/>
      </c>
      <c r="H692" s="75" t="str">
        <f>IF($M692="","",INDEX(fa_reste,$M692))</f>
        <v/>
      </c>
      <c r="I692" s="58" t="str">
        <f>IF($M692="","",MAX(0,p_asof-E692))</f>
        <v/>
      </c>
      <c r="J692" s="78" t="str">
        <f>IF($M692="","",INDEX(fa_tranche,$M692)&amp;"")</f>
        <v/>
      </c>
      <c r="K692" s="56" t="str">
        <f>IF($M692="","",IF(ISNUMBER(INDEX(fa_relance,$M692)),INDEX(fa_relance,$M692),""))</f>
        <v/>
      </c>
      <c r="L692" s="79" t="str">
        <f>IF($M692="","",IF(AND(ISNUMBER(K692),(p_asof-E692)&gt;0,(p_asof-N(K692))&gt;=0,(p_asof-N(K692))&lt;7),"Déjà relancée il y a "&amp;(p_asof-N(K692))&amp;" j",IF((p_asof-E692)&lt;=0,IF((p_asof-E692)&gt;-8,"Rappel courtois avant l'échéance","Aucune action"),IF((p_asof-E692)&lt;=15,"Relance 1 : e-mail de rappel",IF((p_asof-E692)&lt;=30,"Relance 2 : appel téléphonique",IF((p_asof-E692)&lt;=60,"Relance 3 : lettre de relance",IF((p_asof-E692)&lt;=90,"Mise en demeure (recommandé)","Contentieux : injonction de payer")))))))</f>
        <v/>
      </c>
      <c r="M692" t="str">
        <f>IFERROR(MATCH(661,fa_rank,0),"")</f>
        <v/>
      </c>
    </row>
    <row r="693">
      <c r="B693" s="78" t="str">
        <f>IF($M693="","",INDEX(fa_num,$M693)&amp;"")</f>
        <v/>
      </c>
      <c r="C693" s="79" t="str">
        <f>IF($M693="","",INDEX(fa_cname,$M693)&amp;"")</f>
        <v/>
      </c>
      <c r="D693" s="56" t="str">
        <f>IF($M693="","",INDEX(fa_date,$M693))</f>
        <v/>
      </c>
      <c r="E693" s="56" t="str">
        <f>IF($M693="","",INDEX(fa_due,$M693))</f>
        <v/>
      </c>
      <c r="F693" s="75" t="str">
        <f>IF($M693="","",INDEX(fa_ttc,$M693))</f>
        <v/>
      </c>
      <c r="G693" s="75" t="str">
        <f>IF($M693="","",INDEX(fa_paid,$M693)+INDEX(fa_avoirs,$M693))</f>
        <v/>
      </c>
      <c r="H693" s="75" t="str">
        <f>IF($M693="","",INDEX(fa_reste,$M693))</f>
        <v/>
      </c>
      <c r="I693" s="58" t="str">
        <f>IF($M693="","",MAX(0,p_asof-E693))</f>
        <v/>
      </c>
      <c r="J693" s="78" t="str">
        <f>IF($M693="","",INDEX(fa_tranche,$M693)&amp;"")</f>
        <v/>
      </c>
      <c r="K693" s="56" t="str">
        <f>IF($M693="","",IF(ISNUMBER(INDEX(fa_relance,$M693)),INDEX(fa_relance,$M693),""))</f>
        <v/>
      </c>
      <c r="L693" s="79" t="str">
        <f>IF($M693="","",IF(AND(ISNUMBER(K693),(p_asof-E693)&gt;0,(p_asof-N(K693))&gt;=0,(p_asof-N(K693))&lt;7),"Déjà relancée il y a "&amp;(p_asof-N(K693))&amp;" j",IF((p_asof-E693)&lt;=0,IF((p_asof-E693)&gt;-8,"Rappel courtois avant l'échéance","Aucune action"),IF((p_asof-E693)&lt;=15,"Relance 1 : e-mail de rappel",IF((p_asof-E693)&lt;=30,"Relance 2 : appel téléphonique",IF((p_asof-E693)&lt;=60,"Relance 3 : lettre de relance",IF((p_asof-E693)&lt;=90,"Mise en demeure (recommandé)","Contentieux : injonction de payer")))))))</f>
        <v/>
      </c>
      <c r="M693" t="str">
        <f>IFERROR(MATCH(662,fa_rank,0),"")</f>
        <v/>
      </c>
    </row>
    <row r="694">
      <c r="B694" s="78" t="str">
        <f>IF($M694="","",INDEX(fa_num,$M694)&amp;"")</f>
        <v/>
      </c>
      <c r="C694" s="79" t="str">
        <f>IF($M694="","",INDEX(fa_cname,$M694)&amp;"")</f>
        <v/>
      </c>
      <c r="D694" s="56" t="str">
        <f>IF($M694="","",INDEX(fa_date,$M694))</f>
        <v/>
      </c>
      <c r="E694" s="56" t="str">
        <f>IF($M694="","",INDEX(fa_due,$M694))</f>
        <v/>
      </c>
      <c r="F694" s="75" t="str">
        <f>IF($M694="","",INDEX(fa_ttc,$M694))</f>
        <v/>
      </c>
      <c r="G694" s="75" t="str">
        <f>IF($M694="","",INDEX(fa_paid,$M694)+INDEX(fa_avoirs,$M694))</f>
        <v/>
      </c>
      <c r="H694" s="75" t="str">
        <f>IF($M694="","",INDEX(fa_reste,$M694))</f>
        <v/>
      </c>
      <c r="I694" s="58" t="str">
        <f>IF($M694="","",MAX(0,p_asof-E694))</f>
        <v/>
      </c>
      <c r="J694" s="78" t="str">
        <f>IF($M694="","",INDEX(fa_tranche,$M694)&amp;"")</f>
        <v/>
      </c>
      <c r="K694" s="56" t="str">
        <f>IF($M694="","",IF(ISNUMBER(INDEX(fa_relance,$M694)),INDEX(fa_relance,$M694),""))</f>
        <v/>
      </c>
      <c r="L694" s="79" t="str">
        <f>IF($M694="","",IF(AND(ISNUMBER(K694),(p_asof-E694)&gt;0,(p_asof-N(K694))&gt;=0,(p_asof-N(K694))&lt;7),"Déjà relancée il y a "&amp;(p_asof-N(K694))&amp;" j",IF((p_asof-E694)&lt;=0,IF((p_asof-E694)&gt;-8,"Rappel courtois avant l'échéance","Aucune action"),IF((p_asof-E694)&lt;=15,"Relance 1 : e-mail de rappel",IF((p_asof-E694)&lt;=30,"Relance 2 : appel téléphonique",IF((p_asof-E694)&lt;=60,"Relance 3 : lettre de relance",IF((p_asof-E694)&lt;=90,"Mise en demeure (recommandé)","Contentieux : injonction de payer")))))))</f>
        <v/>
      </c>
      <c r="M694" t="str">
        <f>IFERROR(MATCH(663,fa_rank,0),"")</f>
        <v/>
      </c>
    </row>
    <row r="695">
      <c r="B695" s="78" t="str">
        <f>IF($M695="","",INDEX(fa_num,$M695)&amp;"")</f>
        <v/>
      </c>
      <c r="C695" s="79" t="str">
        <f>IF($M695="","",INDEX(fa_cname,$M695)&amp;"")</f>
        <v/>
      </c>
      <c r="D695" s="56" t="str">
        <f>IF($M695="","",INDEX(fa_date,$M695))</f>
        <v/>
      </c>
      <c r="E695" s="56" t="str">
        <f>IF($M695="","",INDEX(fa_due,$M695))</f>
        <v/>
      </c>
      <c r="F695" s="75" t="str">
        <f>IF($M695="","",INDEX(fa_ttc,$M695))</f>
        <v/>
      </c>
      <c r="G695" s="75" t="str">
        <f>IF($M695="","",INDEX(fa_paid,$M695)+INDEX(fa_avoirs,$M695))</f>
        <v/>
      </c>
      <c r="H695" s="75" t="str">
        <f>IF($M695="","",INDEX(fa_reste,$M695))</f>
        <v/>
      </c>
      <c r="I695" s="58" t="str">
        <f>IF($M695="","",MAX(0,p_asof-E695))</f>
        <v/>
      </c>
      <c r="J695" s="78" t="str">
        <f>IF($M695="","",INDEX(fa_tranche,$M695)&amp;"")</f>
        <v/>
      </c>
      <c r="K695" s="56" t="str">
        <f>IF($M695="","",IF(ISNUMBER(INDEX(fa_relance,$M695)),INDEX(fa_relance,$M695),""))</f>
        <v/>
      </c>
      <c r="L695" s="79" t="str">
        <f>IF($M695="","",IF(AND(ISNUMBER(K695),(p_asof-E695)&gt;0,(p_asof-N(K695))&gt;=0,(p_asof-N(K695))&lt;7),"Déjà relancée il y a "&amp;(p_asof-N(K695))&amp;" j",IF((p_asof-E695)&lt;=0,IF((p_asof-E695)&gt;-8,"Rappel courtois avant l'échéance","Aucune action"),IF((p_asof-E695)&lt;=15,"Relance 1 : e-mail de rappel",IF((p_asof-E695)&lt;=30,"Relance 2 : appel téléphonique",IF((p_asof-E695)&lt;=60,"Relance 3 : lettre de relance",IF((p_asof-E695)&lt;=90,"Mise en demeure (recommandé)","Contentieux : injonction de payer")))))))</f>
        <v/>
      </c>
      <c r="M695" t="str">
        <f>IFERROR(MATCH(664,fa_rank,0),"")</f>
        <v/>
      </c>
    </row>
    <row r="696">
      <c r="B696" s="78" t="str">
        <f>IF($M696="","",INDEX(fa_num,$M696)&amp;"")</f>
        <v/>
      </c>
      <c r="C696" s="79" t="str">
        <f>IF($M696="","",INDEX(fa_cname,$M696)&amp;"")</f>
        <v/>
      </c>
      <c r="D696" s="56" t="str">
        <f>IF($M696="","",INDEX(fa_date,$M696))</f>
        <v/>
      </c>
      <c r="E696" s="56" t="str">
        <f>IF($M696="","",INDEX(fa_due,$M696))</f>
        <v/>
      </c>
      <c r="F696" s="75" t="str">
        <f>IF($M696="","",INDEX(fa_ttc,$M696))</f>
        <v/>
      </c>
      <c r="G696" s="75" t="str">
        <f>IF($M696="","",INDEX(fa_paid,$M696)+INDEX(fa_avoirs,$M696))</f>
        <v/>
      </c>
      <c r="H696" s="75" t="str">
        <f>IF($M696="","",INDEX(fa_reste,$M696))</f>
        <v/>
      </c>
      <c r="I696" s="58" t="str">
        <f>IF($M696="","",MAX(0,p_asof-E696))</f>
        <v/>
      </c>
      <c r="J696" s="78" t="str">
        <f>IF($M696="","",INDEX(fa_tranche,$M696)&amp;"")</f>
        <v/>
      </c>
      <c r="K696" s="56" t="str">
        <f>IF($M696="","",IF(ISNUMBER(INDEX(fa_relance,$M696)),INDEX(fa_relance,$M696),""))</f>
        <v/>
      </c>
      <c r="L696" s="79" t="str">
        <f>IF($M696="","",IF(AND(ISNUMBER(K696),(p_asof-E696)&gt;0,(p_asof-N(K696))&gt;=0,(p_asof-N(K696))&lt;7),"Déjà relancée il y a "&amp;(p_asof-N(K696))&amp;" j",IF((p_asof-E696)&lt;=0,IF((p_asof-E696)&gt;-8,"Rappel courtois avant l'échéance","Aucune action"),IF((p_asof-E696)&lt;=15,"Relance 1 : e-mail de rappel",IF((p_asof-E696)&lt;=30,"Relance 2 : appel téléphonique",IF((p_asof-E696)&lt;=60,"Relance 3 : lettre de relance",IF((p_asof-E696)&lt;=90,"Mise en demeure (recommandé)","Contentieux : injonction de payer")))))))</f>
        <v/>
      </c>
      <c r="M696" t="str">
        <f>IFERROR(MATCH(665,fa_rank,0),"")</f>
        <v/>
      </c>
    </row>
    <row r="697">
      <c r="B697" s="78" t="str">
        <f>IF($M697="","",INDEX(fa_num,$M697)&amp;"")</f>
        <v/>
      </c>
      <c r="C697" s="79" t="str">
        <f>IF($M697="","",INDEX(fa_cname,$M697)&amp;"")</f>
        <v/>
      </c>
      <c r="D697" s="56" t="str">
        <f>IF($M697="","",INDEX(fa_date,$M697))</f>
        <v/>
      </c>
      <c r="E697" s="56" t="str">
        <f>IF($M697="","",INDEX(fa_due,$M697))</f>
        <v/>
      </c>
      <c r="F697" s="75" t="str">
        <f>IF($M697="","",INDEX(fa_ttc,$M697))</f>
        <v/>
      </c>
      <c r="G697" s="75" t="str">
        <f>IF($M697="","",INDEX(fa_paid,$M697)+INDEX(fa_avoirs,$M697))</f>
        <v/>
      </c>
      <c r="H697" s="75" t="str">
        <f>IF($M697="","",INDEX(fa_reste,$M697))</f>
        <v/>
      </c>
      <c r="I697" s="58" t="str">
        <f>IF($M697="","",MAX(0,p_asof-E697))</f>
        <v/>
      </c>
      <c r="J697" s="78" t="str">
        <f>IF($M697="","",INDEX(fa_tranche,$M697)&amp;"")</f>
        <v/>
      </c>
      <c r="K697" s="56" t="str">
        <f>IF($M697="","",IF(ISNUMBER(INDEX(fa_relance,$M697)),INDEX(fa_relance,$M697),""))</f>
        <v/>
      </c>
      <c r="L697" s="79" t="str">
        <f>IF($M697="","",IF(AND(ISNUMBER(K697),(p_asof-E697)&gt;0,(p_asof-N(K697))&gt;=0,(p_asof-N(K697))&lt;7),"Déjà relancée il y a "&amp;(p_asof-N(K697))&amp;" j",IF((p_asof-E697)&lt;=0,IF((p_asof-E697)&gt;-8,"Rappel courtois avant l'échéance","Aucune action"),IF((p_asof-E697)&lt;=15,"Relance 1 : e-mail de rappel",IF((p_asof-E697)&lt;=30,"Relance 2 : appel téléphonique",IF((p_asof-E697)&lt;=60,"Relance 3 : lettre de relance",IF((p_asof-E697)&lt;=90,"Mise en demeure (recommandé)","Contentieux : injonction de payer")))))))</f>
        <v/>
      </c>
      <c r="M697" t="str">
        <f>IFERROR(MATCH(666,fa_rank,0),"")</f>
        <v/>
      </c>
    </row>
    <row r="698">
      <c r="B698" s="78" t="str">
        <f>IF($M698="","",INDEX(fa_num,$M698)&amp;"")</f>
        <v/>
      </c>
      <c r="C698" s="79" t="str">
        <f>IF($M698="","",INDEX(fa_cname,$M698)&amp;"")</f>
        <v/>
      </c>
      <c r="D698" s="56" t="str">
        <f>IF($M698="","",INDEX(fa_date,$M698))</f>
        <v/>
      </c>
      <c r="E698" s="56" t="str">
        <f>IF($M698="","",INDEX(fa_due,$M698))</f>
        <v/>
      </c>
      <c r="F698" s="75" t="str">
        <f>IF($M698="","",INDEX(fa_ttc,$M698))</f>
        <v/>
      </c>
      <c r="G698" s="75" t="str">
        <f>IF($M698="","",INDEX(fa_paid,$M698)+INDEX(fa_avoirs,$M698))</f>
        <v/>
      </c>
      <c r="H698" s="75" t="str">
        <f>IF($M698="","",INDEX(fa_reste,$M698))</f>
        <v/>
      </c>
      <c r="I698" s="58" t="str">
        <f>IF($M698="","",MAX(0,p_asof-E698))</f>
        <v/>
      </c>
      <c r="J698" s="78" t="str">
        <f>IF($M698="","",INDEX(fa_tranche,$M698)&amp;"")</f>
        <v/>
      </c>
      <c r="K698" s="56" t="str">
        <f>IF($M698="","",IF(ISNUMBER(INDEX(fa_relance,$M698)),INDEX(fa_relance,$M698),""))</f>
        <v/>
      </c>
      <c r="L698" s="79" t="str">
        <f>IF($M698="","",IF(AND(ISNUMBER(K698),(p_asof-E698)&gt;0,(p_asof-N(K698))&gt;=0,(p_asof-N(K698))&lt;7),"Déjà relancée il y a "&amp;(p_asof-N(K698))&amp;" j",IF((p_asof-E698)&lt;=0,IF((p_asof-E698)&gt;-8,"Rappel courtois avant l'échéance","Aucune action"),IF((p_asof-E698)&lt;=15,"Relance 1 : e-mail de rappel",IF((p_asof-E698)&lt;=30,"Relance 2 : appel téléphonique",IF((p_asof-E698)&lt;=60,"Relance 3 : lettre de relance",IF((p_asof-E698)&lt;=90,"Mise en demeure (recommandé)","Contentieux : injonction de payer")))))))</f>
        <v/>
      </c>
      <c r="M698" t="str">
        <f>IFERROR(MATCH(667,fa_rank,0),"")</f>
        <v/>
      </c>
    </row>
    <row r="699">
      <c r="B699" s="78" t="str">
        <f>IF($M699="","",INDEX(fa_num,$M699)&amp;"")</f>
        <v/>
      </c>
      <c r="C699" s="79" t="str">
        <f>IF($M699="","",INDEX(fa_cname,$M699)&amp;"")</f>
        <v/>
      </c>
      <c r="D699" s="56" t="str">
        <f>IF($M699="","",INDEX(fa_date,$M699))</f>
        <v/>
      </c>
      <c r="E699" s="56" t="str">
        <f>IF($M699="","",INDEX(fa_due,$M699))</f>
        <v/>
      </c>
      <c r="F699" s="75" t="str">
        <f>IF($M699="","",INDEX(fa_ttc,$M699))</f>
        <v/>
      </c>
      <c r="G699" s="75" t="str">
        <f>IF($M699="","",INDEX(fa_paid,$M699)+INDEX(fa_avoirs,$M699))</f>
        <v/>
      </c>
      <c r="H699" s="75" t="str">
        <f>IF($M699="","",INDEX(fa_reste,$M699))</f>
        <v/>
      </c>
      <c r="I699" s="58" t="str">
        <f>IF($M699="","",MAX(0,p_asof-E699))</f>
        <v/>
      </c>
      <c r="J699" s="78" t="str">
        <f>IF($M699="","",INDEX(fa_tranche,$M699)&amp;"")</f>
        <v/>
      </c>
      <c r="K699" s="56" t="str">
        <f>IF($M699="","",IF(ISNUMBER(INDEX(fa_relance,$M699)),INDEX(fa_relance,$M699),""))</f>
        <v/>
      </c>
      <c r="L699" s="79" t="str">
        <f>IF($M699="","",IF(AND(ISNUMBER(K699),(p_asof-E699)&gt;0,(p_asof-N(K699))&gt;=0,(p_asof-N(K699))&lt;7),"Déjà relancée il y a "&amp;(p_asof-N(K699))&amp;" j",IF((p_asof-E699)&lt;=0,IF((p_asof-E699)&gt;-8,"Rappel courtois avant l'échéance","Aucune action"),IF((p_asof-E699)&lt;=15,"Relance 1 : e-mail de rappel",IF((p_asof-E699)&lt;=30,"Relance 2 : appel téléphonique",IF((p_asof-E699)&lt;=60,"Relance 3 : lettre de relance",IF((p_asof-E699)&lt;=90,"Mise en demeure (recommandé)","Contentieux : injonction de payer")))))))</f>
        <v/>
      </c>
      <c r="M699" t="str">
        <f>IFERROR(MATCH(668,fa_rank,0),"")</f>
        <v/>
      </c>
    </row>
    <row r="700">
      <c r="B700" s="78" t="str">
        <f>IF($M700="","",INDEX(fa_num,$M700)&amp;"")</f>
        <v/>
      </c>
      <c r="C700" s="79" t="str">
        <f>IF($M700="","",INDEX(fa_cname,$M700)&amp;"")</f>
        <v/>
      </c>
      <c r="D700" s="56" t="str">
        <f>IF($M700="","",INDEX(fa_date,$M700))</f>
        <v/>
      </c>
      <c r="E700" s="56" t="str">
        <f>IF($M700="","",INDEX(fa_due,$M700))</f>
        <v/>
      </c>
      <c r="F700" s="75" t="str">
        <f>IF($M700="","",INDEX(fa_ttc,$M700))</f>
        <v/>
      </c>
      <c r="G700" s="75" t="str">
        <f>IF($M700="","",INDEX(fa_paid,$M700)+INDEX(fa_avoirs,$M700))</f>
        <v/>
      </c>
      <c r="H700" s="75" t="str">
        <f>IF($M700="","",INDEX(fa_reste,$M700))</f>
        <v/>
      </c>
      <c r="I700" s="58" t="str">
        <f>IF($M700="","",MAX(0,p_asof-E700))</f>
        <v/>
      </c>
      <c r="J700" s="78" t="str">
        <f>IF($M700="","",INDEX(fa_tranche,$M700)&amp;"")</f>
        <v/>
      </c>
      <c r="K700" s="56" t="str">
        <f>IF($M700="","",IF(ISNUMBER(INDEX(fa_relance,$M700)),INDEX(fa_relance,$M700),""))</f>
        <v/>
      </c>
      <c r="L700" s="79" t="str">
        <f>IF($M700="","",IF(AND(ISNUMBER(K700),(p_asof-E700)&gt;0,(p_asof-N(K700))&gt;=0,(p_asof-N(K700))&lt;7),"Déjà relancée il y a "&amp;(p_asof-N(K700))&amp;" j",IF((p_asof-E700)&lt;=0,IF((p_asof-E700)&gt;-8,"Rappel courtois avant l'échéance","Aucune action"),IF((p_asof-E700)&lt;=15,"Relance 1 : e-mail de rappel",IF((p_asof-E700)&lt;=30,"Relance 2 : appel téléphonique",IF((p_asof-E700)&lt;=60,"Relance 3 : lettre de relance",IF((p_asof-E700)&lt;=90,"Mise en demeure (recommandé)","Contentieux : injonction de payer")))))))</f>
        <v/>
      </c>
      <c r="M700" t="str">
        <f>IFERROR(MATCH(669,fa_rank,0),"")</f>
        <v/>
      </c>
    </row>
    <row r="701">
      <c r="B701" s="78" t="str">
        <f>IF($M701="","",INDEX(fa_num,$M701)&amp;"")</f>
        <v/>
      </c>
      <c r="C701" s="79" t="str">
        <f>IF($M701="","",INDEX(fa_cname,$M701)&amp;"")</f>
        <v/>
      </c>
      <c r="D701" s="56" t="str">
        <f>IF($M701="","",INDEX(fa_date,$M701))</f>
        <v/>
      </c>
      <c r="E701" s="56" t="str">
        <f>IF($M701="","",INDEX(fa_due,$M701))</f>
        <v/>
      </c>
      <c r="F701" s="75" t="str">
        <f>IF($M701="","",INDEX(fa_ttc,$M701))</f>
        <v/>
      </c>
      <c r="G701" s="75" t="str">
        <f>IF($M701="","",INDEX(fa_paid,$M701)+INDEX(fa_avoirs,$M701))</f>
        <v/>
      </c>
      <c r="H701" s="75" t="str">
        <f>IF($M701="","",INDEX(fa_reste,$M701))</f>
        <v/>
      </c>
      <c r="I701" s="58" t="str">
        <f>IF($M701="","",MAX(0,p_asof-E701))</f>
        <v/>
      </c>
      <c r="J701" s="78" t="str">
        <f>IF($M701="","",INDEX(fa_tranche,$M701)&amp;"")</f>
        <v/>
      </c>
      <c r="K701" s="56" t="str">
        <f>IF($M701="","",IF(ISNUMBER(INDEX(fa_relance,$M701)),INDEX(fa_relance,$M701),""))</f>
        <v/>
      </c>
      <c r="L701" s="79" t="str">
        <f>IF($M701="","",IF(AND(ISNUMBER(K701),(p_asof-E701)&gt;0,(p_asof-N(K701))&gt;=0,(p_asof-N(K701))&lt;7),"Déjà relancée il y a "&amp;(p_asof-N(K701))&amp;" j",IF((p_asof-E701)&lt;=0,IF((p_asof-E701)&gt;-8,"Rappel courtois avant l'échéance","Aucune action"),IF((p_asof-E701)&lt;=15,"Relance 1 : e-mail de rappel",IF((p_asof-E701)&lt;=30,"Relance 2 : appel téléphonique",IF((p_asof-E701)&lt;=60,"Relance 3 : lettre de relance",IF((p_asof-E701)&lt;=90,"Mise en demeure (recommandé)","Contentieux : injonction de payer")))))))</f>
        <v/>
      </c>
      <c r="M701" t="str">
        <f>IFERROR(MATCH(670,fa_rank,0),"")</f>
        <v/>
      </c>
    </row>
    <row r="702">
      <c r="B702" s="78" t="str">
        <f>IF($M702="","",INDEX(fa_num,$M702)&amp;"")</f>
        <v/>
      </c>
      <c r="C702" s="79" t="str">
        <f>IF($M702="","",INDEX(fa_cname,$M702)&amp;"")</f>
        <v/>
      </c>
      <c r="D702" s="56" t="str">
        <f>IF($M702="","",INDEX(fa_date,$M702))</f>
        <v/>
      </c>
      <c r="E702" s="56" t="str">
        <f>IF($M702="","",INDEX(fa_due,$M702))</f>
        <v/>
      </c>
      <c r="F702" s="75" t="str">
        <f>IF($M702="","",INDEX(fa_ttc,$M702))</f>
        <v/>
      </c>
      <c r="G702" s="75" t="str">
        <f>IF($M702="","",INDEX(fa_paid,$M702)+INDEX(fa_avoirs,$M702))</f>
        <v/>
      </c>
      <c r="H702" s="75" t="str">
        <f>IF($M702="","",INDEX(fa_reste,$M702))</f>
        <v/>
      </c>
      <c r="I702" s="58" t="str">
        <f>IF($M702="","",MAX(0,p_asof-E702))</f>
        <v/>
      </c>
      <c r="J702" s="78" t="str">
        <f>IF($M702="","",INDEX(fa_tranche,$M702)&amp;"")</f>
        <v/>
      </c>
      <c r="K702" s="56" t="str">
        <f>IF($M702="","",IF(ISNUMBER(INDEX(fa_relance,$M702)),INDEX(fa_relance,$M702),""))</f>
        <v/>
      </c>
      <c r="L702" s="79" t="str">
        <f>IF($M702="","",IF(AND(ISNUMBER(K702),(p_asof-E702)&gt;0,(p_asof-N(K702))&gt;=0,(p_asof-N(K702))&lt;7),"Déjà relancée il y a "&amp;(p_asof-N(K702))&amp;" j",IF((p_asof-E702)&lt;=0,IF((p_asof-E702)&gt;-8,"Rappel courtois avant l'échéance","Aucune action"),IF((p_asof-E702)&lt;=15,"Relance 1 : e-mail de rappel",IF((p_asof-E702)&lt;=30,"Relance 2 : appel téléphonique",IF((p_asof-E702)&lt;=60,"Relance 3 : lettre de relance",IF((p_asof-E702)&lt;=90,"Mise en demeure (recommandé)","Contentieux : injonction de payer")))))))</f>
        <v/>
      </c>
      <c r="M702" t="str">
        <f>IFERROR(MATCH(671,fa_rank,0),"")</f>
        <v/>
      </c>
    </row>
    <row r="703">
      <c r="B703" s="78" t="str">
        <f>IF($M703="","",INDEX(fa_num,$M703)&amp;"")</f>
        <v/>
      </c>
      <c r="C703" s="79" t="str">
        <f>IF($M703="","",INDEX(fa_cname,$M703)&amp;"")</f>
        <v/>
      </c>
      <c r="D703" s="56" t="str">
        <f>IF($M703="","",INDEX(fa_date,$M703))</f>
        <v/>
      </c>
      <c r="E703" s="56" t="str">
        <f>IF($M703="","",INDEX(fa_due,$M703))</f>
        <v/>
      </c>
      <c r="F703" s="75" t="str">
        <f>IF($M703="","",INDEX(fa_ttc,$M703))</f>
        <v/>
      </c>
      <c r="G703" s="75" t="str">
        <f>IF($M703="","",INDEX(fa_paid,$M703)+INDEX(fa_avoirs,$M703))</f>
        <v/>
      </c>
      <c r="H703" s="75" t="str">
        <f>IF($M703="","",INDEX(fa_reste,$M703))</f>
        <v/>
      </c>
      <c r="I703" s="58" t="str">
        <f>IF($M703="","",MAX(0,p_asof-E703))</f>
        <v/>
      </c>
      <c r="J703" s="78" t="str">
        <f>IF($M703="","",INDEX(fa_tranche,$M703)&amp;"")</f>
        <v/>
      </c>
      <c r="K703" s="56" t="str">
        <f>IF($M703="","",IF(ISNUMBER(INDEX(fa_relance,$M703)),INDEX(fa_relance,$M703),""))</f>
        <v/>
      </c>
      <c r="L703" s="79" t="str">
        <f>IF($M703="","",IF(AND(ISNUMBER(K703),(p_asof-E703)&gt;0,(p_asof-N(K703))&gt;=0,(p_asof-N(K703))&lt;7),"Déjà relancée il y a "&amp;(p_asof-N(K703))&amp;" j",IF((p_asof-E703)&lt;=0,IF((p_asof-E703)&gt;-8,"Rappel courtois avant l'échéance","Aucune action"),IF((p_asof-E703)&lt;=15,"Relance 1 : e-mail de rappel",IF((p_asof-E703)&lt;=30,"Relance 2 : appel téléphonique",IF((p_asof-E703)&lt;=60,"Relance 3 : lettre de relance",IF((p_asof-E703)&lt;=90,"Mise en demeure (recommandé)","Contentieux : injonction de payer")))))))</f>
        <v/>
      </c>
      <c r="M703" t="str">
        <f>IFERROR(MATCH(672,fa_rank,0),"")</f>
        <v/>
      </c>
    </row>
    <row r="704">
      <c r="B704" s="78" t="str">
        <f>IF($M704="","",INDEX(fa_num,$M704)&amp;"")</f>
        <v/>
      </c>
      <c r="C704" s="79" t="str">
        <f>IF($M704="","",INDEX(fa_cname,$M704)&amp;"")</f>
        <v/>
      </c>
      <c r="D704" s="56" t="str">
        <f>IF($M704="","",INDEX(fa_date,$M704))</f>
        <v/>
      </c>
      <c r="E704" s="56" t="str">
        <f>IF($M704="","",INDEX(fa_due,$M704))</f>
        <v/>
      </c>
      <c r="F704" s="75" t="str">
        <f>IF($M704="","",INDEX(fa_ttc,$M704))</f>
        <v/>
      </c>
      <c r="G704" s="75" t="str">
        <f>IF($M704="","",INDEX(fa_paid,$M704)+INDEX(fa_avoirs,$M704))</f>
        <v/>
      </c>
      <c r="H704" s="75" t="str">
        <f>IF($M704="","",INDEX(fa_reste,$M704))</f>
        <v/>
      </c>
      <c r="I704" s="58" t="str">
        <f>IF($M704="","",MAX(0,p_asof-E704))</f>
        <v/>
      </c>
      <c r="J704" s="78" t="str">
        <f>IF($M704="","",INDEX(fa_tranche,$M704)&amp;"")</f>
        <v/>
      </c>
      <c r="K704" s="56" t="str">
        <f>IF($M704="","",IF(ISNUMBER(INDEX(fa_relance,$M704)),INDEX(fa_relance,$M704),""))</f>
        <v/>
      </c>
      <c r="L704" s="79" t="str">
        <f>IF($M704="","",IF(AND(ISNUMBER(K704),(p_asof-E704)&gt;0,(p_asof-N(K704))&gt;=0,(p_asof-N(K704))&lt;7),"Déjà relancée il y a "&amp;(p_asof-N(K704))&amp;" j",IF((p_asof-E704)&lt;=0,IF((p_asof-E704)&gt;-8,"Rappel courtois avant l'échéance","Aucune action"),IF((p_asof-E704)&lt;=15,"Relance 1 : e-mail de rappel",IF((p_asof-E704)&lt;=30,"Relance 2 : appel téléphonique",IF((p_asof-E704)&lt;=60,"Relance 3 : lettre de relance",IF((p_asof-E704)&lt;=90,"Mise en demeure (recommandé)","Contentieux : injonction de payer")))))))</f>
        <v/>
      </c>
      <c r="M704" t="str">
        <f>IFERROR(MATCH(673,fa_rank,0),"")</f>
        <v/>
      </c>
    </row>
    <row r="705">
      <c r="B705" s="78" t="str">
        <f>IF($M705="","",INDEX(fa_num,$M705)&amp;"")</f>
        <v/>
      </c>
      <c r="C705" s="79" t="str">
        <f>IF($M705="","",INDEX(fa_cname,$M705)&amp;"")</f>
        <v/>
      </c>
      <c r="D705" s="56" t="str">
        <f>IF($M705="","",INDEX(fa_date,$M705))</f>
        <v/>
      </c>
      <c r="E705" s="56" t="str">
        <f>IF($M705="","",INDEX(fa_due,$M705))</f>
        <v/>
      </c>
      <c r="F705" s="75" t="str">
        <f>IF($M705="","",INDEX(fa_ttc,$M705))</f>
        <v/>
      </c>
      <c r="G705" s="75" t="str">
        <f>IF($M705="","",INDEX(fa_paid,$M705)+INDEX(fa_avoirs,$M705))</f>
        <v/>
      </c>
      <c r="H705" s="75" t="str">
        <f>IF($M705="","",INDEX(fa_reste,$M705))</f>
        <v/>
      </c>
      <c r="I705" s="58" t="str">
        <f>IF($M705="","",MAX(0,p_asof-E705))</f>
        <v/>
      </c>
      <c r="J705" s="78" t="str">
        <f>IF($M705="","",INDEX(fa_tranche,$M705)&amp;"")</f>
        <v/>
      </c>
      <c r="K705" s="56" t="str">
        <f>IF($M705="","",IF(ISNUMBER(INDEX(fa_relance,$M705)),INDEX(fa_relance,$M705),""))</f>
        <v/>
      </c>
      <c r="L705" s="79" t="str">
        <f>IF($M705="","",IF(AND(ISNUMBER(K705),(p_asof-E705)&gt;0,(p_asof-N(K705))&gt;=0,(p_asof-N(K705))&lt;7),"Déjà relancée il y a "&amp;(p_asof-N(K705))&amp;" j",IF((p_asof-E705)&lt;=0,IF((p_asof-E705)&gt;-8,"Rappel courtois avant l'échéance","Aucune action"),IF((p_asof-E705)&lt;=15,"Relance 1 : e-mail de rappel",IF((p_asof-E705)&lt;=30,"Relance 2 : appel téléphonique",IF((p_asof-E705)&lt;=60,"Relance 3 : lettre de relance",IF((p_asof-E705)&lt;=90,"Mise en demeure (recommandé)","Contentieux : injonction de payer")))))))</f>
        <v/>
      </c>
      <c r="M705" t="str">
        <f>IFERROR(MATCH(674,fa_rank,0),"")</f>
        <v/>
      </c>
    </row>
    <row r="706">
      <c r="B706" s="78" t="str">
        <f>IF($M706="","",INDEX(fa_num,$M706)&amp;"")</f>
        <v/>
      </c>
      <c r="C706" s="79" t="str">
        <f>IF($M706="","",INDEX(fa_cname,$M706)&amp;"")</f>
        <v/>
      </c>
      <c r="D706" s="56" t="str">
        <f>IF($M706="","",INDEX(fa_date,$M706))</f>
        <v/>
      </c>
      <c r="E706" s="56" t="str">
        <f>IF($M706="","",INDEX(fa_due,$M706))</f>
        <v/>
      </c>
      <c r="F706" s="75" t="str">
        <f>IF($M706="","",INDEX(fa_ttc,$M706))</f>
        <v/>
      </c>
      <c r="G706" s="75" t="str">
        <f>IF($M706="","",INDEX(fa_paid,$M706)+INDEX(fa_avoirs,$M706))</f>
        <v/>
      </c>
      <c r="H706" s="75" t="str">
        <f>IF($M706="","",INDEX(fa_reste,$M706))</f>
        <v/>
      </c>
      <c r="I706" s="58" t="str">
        <f>IF($M706="","",MAX(0,p_asof-E706))</f>
        <v/>
      </c>
      <c r="J706" s="78" t="str">
        <f>IF($M706="","",INDEX(fa_tranche,$M706)&amp;"")</f>
        <v/>
      </c>
      <c r="K706" s="56" t="str">
        <f>IF($M706="","",IF(ISNUMBER(INDEX(fa_relance,$M706)),INDEX(fa_relance,$M706),""))</f>
        <v/>
      </c>
      <c r="L706" s="79" t="str">
        <f>IF($M706="","",IF(AND(ISNUMBER(K706),(p_asof-E706)&gt;0,(p_asof-N(K706))&gt;=0,(p_asof-N(K706))&lt;7),"Déjà relancée il y a "&amp;(p_asof-N(K706))&amp;" j",IF((p_asof-E706)&lt;=0,IF((p_asof-E706)&gt;-8,"Rappel courtois avant l'échéance","Aucune action"),IF((p_asof-E706)&lt;=15,"Relance 1 : e-mail de rappel",IF((p_asof-E706)&lt;=30,"Relance 2 : appel téléphonique",IF((p_asof-E706)&lt;=60,"Relance 3 : lettre de relance",IF((p_asof-E706)&lt;=90,"Mise en demeure (recommandé)","Contentieux : injonction de payer")))))))</f>
        <v/>
      </c>
      <c r="M706" t="str">
        <f>IFERROR(MATCH(675,fa_rank,0),"")</f>
        <v/>
      </c>
    </row>
    <row r="707">
      <c r="B707" s="78" t="str">
        <f>IF($M707="","",INDEX(fa_num,$M707)&amp;"")</f>
        <v/>
      </c>
      <c r="C707" s="79" t="str">
        <f>IF($M707="","",INDEX(fa_cname,$M707)&amp;"")</f>
        <v/>
      </c>
      <c r="D707" s="56" t="str">
        <f>IF($M707="","",INDEX(fa_date,$M707))</f>
        <v/>
      </c>
      <c r="E707" s="56" t="str">
        <f>IF($M707="","",INDEX(fa_due,$M707))</f>
        <v/>
      </c>
      <c r="F707" s="75" t="str">
        <f>IF($M707="","",INDEX(fa_ttc,$M707))</f>
        <v/>
      </c>
      <c r="G707" s="75" t="str">
        <f>IF($M707="","",INDEX(fa_paid,$M707)+INDEX(fa_avoirs,$M707))</f>
        <v/>
      </c>
      <c r="H707" s="75" t="str">
        <f>IF($M707="","",INDEX(fa_reste,$M707))</f>
        <v/>
      </c>
      <c r="I707" s="58" t="str">
        <f>IF($M707="","",MAX(0,p_asof-E707))</f>
        <v/>
      </c>
      <c r="J707" s="78" t="str">
        <f>IF($M707="","",INDEX(fa_tranche,$M707)&amp;"")</f>
        <v/>
      </c>
      <c r="K707" s="56" t="str">
        <f>IF($M707="","",IF(ISNUMBER(INDEX(fa_relance,$M707)),INDEX(fa_relance,$M707),""))</f>
        <v/>
      </c>
      <c r="L707" s="79" t="str">
        <f>IF($M707="","",IF(AND(ISNUMBER(K707),(p_asof-E707)&gt;0,(p_asof-N(K707))&gt;=0,(p_asof-N(K707))&lt;7),"Déjà relancée il y a "&amp;(p_asof-N(K707))&amp;" j",IF((p_asof-E707)&lt;=0,IF((p_asof-E707)&gt;-8,"Rappel courtois avant l'échéance","Aucune action"),IF((p_asof-E707)&lt;=15,"Relance 1 : e-mail de rappel",IF((p_asof-E707)&lt;=30,"Relance 2 : appel téléphonique",IF((p_asof-E707)&lt;=60,"Relance 3 : lettre de relance",IF((p_asof-E707)&lt;=90,"Mise en demeure (recommandé)","Contentieux : injonction de payer")))))))</f>
        <v/>
      </c>
      <c r="M707" t="str">
        <f>IFERROR(MATCH(676,fa_rank,0),"")</f>
        <v/>
      </c>
    </row>
    <row r="708">
      <c r="B708" s="78" t="str">
        <f>IF($M708="","",INDEX(fa_num,$M708)&amp;"")</f>
        <v/>
      </c>
      <c r="C708" s="79" t="str">
        <f>IF($M708="","",INDEX(fa_cname,$M708)&amp;"")</f>
        <v/>
      </c>
      <c r="D708" s="56" t="str">
        <f>IF($M708="","",INDEX(fa_date,$M708))</f>
        <v/>
      </c>
      <c r="E708" s="56" t="str">
        <f>IF($M708="","",INDEX(fa_due,$M708))</f>
        <v/>
      </c>
      <c r="F708" s="75" t="str">
        <f>IF($M708="","",INDEX(fa_ttc,$M708))</f>
        <v/>
      </c>
      <c r="G708" s="75" t="str">
        <f>IF($M708="","",INDEX(fa_paid,$M708)+INDEX(fa_avoirs,$M708))</f>
        <v/>
      </c>
      <c r="H708" s="75" t="str">
        <f>IF($M708="","",INDEX(fa_reste,$M708))</f>
        <v/>
      </c>
      <c r="I708" s="58" t="str">
        <f>IF($M708="","",MAX(0,p_asof-E708))</f>
        <v/>
      </c>
      <c r="J708" s="78" t="str">
        <f>IF($M708="","",INDEX(fa_tranche,$M708)&amp;"")</f>
        <v/>
      </c>
      <c r="K708" s="56" t="str">
        <f>IF($M708="","",IF(ISNUMBER(INDEX(fa_relance,$M708)),INDEX(fa_relance,$M708),""))</f>
        <v/>
      </c>
      <c r="L708" s="79" t="str">
        <f>IF($M708="","",IF(AND(ISNUMBER(K708),(p_asof-E708)&gt;0,(p_asof-N(K708))&gt;=0,(p_asof-N(K708))&lt;7),"Déjà relancée il y a "&amp;(p_asof-N(K708))&amp;" j",IF((p_asof-E708)&lt;=0,IF((p_asof-E708)&gt;-8,"Rappel courtois avant l'échéance","Aucune action"),IF((p_asof-E708)&lt;=15,"Relance 1 : e-mail de rappel",IF((p_asof-E708)&lt;=30,"Relance 2 : appel téléphonique",IF((p_asof-E708)&lt;=60,"Relance 3 : lettre de relance",IF((p_asof-E708)&lt;=90,"Mise en demeure (recommandé)","Contentieux : injonction de payer")))))))</f>
        <v/>
      </c>
      <c r="M708" t="str">
        <f>IFERROR(MATCH(677,fa_rank,0),"")</f>
        <v/>
      </c>
    </row>
    <row r="709">
      <c r="B709" s="78" t="str">
        <f>IF($M709="","",INDEX(fa_num,$M709)&amp;"")</f>
        <v/>
      </c>
      <c r="C709" s="79" t="str">
        <f>IF($M709="","",INDEX(fa_cname,$M709)&amp;"")</f>
        <v/>
      </c>
      <c r="D709" s="56" t="str">
        <f>IF($M709="","",INDEX(fa_date,$M709))</f>
        <v/>
      </c>
      <c r="E709" s="56" t="str">
        <f>IF($M709="","",INDEX(fa_due,$M709))</f>
        <v/>
      </c>
      <c r="F709" s="75" t="str">
        <f>IF($M709="","",INDEX(fa_ttc,$M709))</f>
        <v/>
      </c>
      <c r="G709" s="75" t="str">
        <f>IF($M709="","",INDEX(fa_paid,$M709)+INDEX(fa_avoirs,$M709))</f>
        <v/>
      </c>
      <c r="H709" s="75" t="str">
        <f>IF($M709="","",INDEX(fa_reste,$M709))</f>
        <v/>
      </c>
      <c r="I709" s="58" t="str">
        <f>IF($M709="","",MAX(0,p_asof-E709))</f>
        <v/>
      </c>
      <c r="J709" s="78" t="str">
        <f>IF($M709="","",INDEX(fa_tranche,$M709)&amp;"")</f>
        <v/>
      </c>
      <c r="K709" s="56" t="str">
        <f>IF($M709="","",IF(ISNUMBER(INDEX(fa_relance,$M709)),INDEX(fa_relance,$M709),""))</f>
        <v/>
      </c>
      <c r="L709" s="79" t="str">
        <f>IF($M709="","",IF(AND(ISNUMBER(K709),(p_asof-E709)&gt;0,(p_asof-N(K709))&gt;=0,(p_asof-N(K709))&lt;7),"Déjà relancée il y a "&amp;(p_asof-N(K709))&amp;" j",IF((p_asof-E709)&lt;=0,IF((p_asof-E709)&gt;-8,"Rappel courtois avant l'échéance","Aucune action"),IF((p_asof-E709)&lt;=15,"Relance 1 : e-mail de rappel",IF((p_asof-E709)&lt;=30,"Relance 2 : appel téléphonique",IF((p_asof-E709)&lt;=60,"Relance 3 : lettre de relance",IF((p_asof-E709)&lt;=90,"Mise en demeure (recommandé)","Contentieux : injonction de payer")))))))</f>
        <v/>
      </c>
      <c r="M709" t="str">
        <f>IFERROR(MATCH(678,fa_rank,0),"")</f>
        <v/>
      </c>
    </row>
    <row r="710">
      <c r="B710" s="78" t="str">
        <f>IF($M710="","",INDEX(fa_num,$M710)&amp;"")</f>
        <v/>
      </c>
      <c r="C710" s="79" t="str">
        <f>IF($M710="","",INDEX(fa_cname,$M710)&amp;"")</f>
        <v/>
      </c>
      <c r="D710" s="56" t="str">
        <f>IF($M710="","",INDEX(fa_date,$M710))</f>
        <v/>
      </c>
      <c r="E710" s="56" t="str">
        <f>IF($M710="","",INDEX(fa_due,$M710))</f>
        <v/>
      </c>
      <c r="F710" s="75" t="str">
        <f>IF($M710="","",INDEX(fa_ttc,$M710))</f>
        <v/>
      </c>
      <c r="G710" s="75" t="str">
        <f>IF($M710="","",INDEX(fa_paid,$M710)+INDEX(fa_avoirs,$M710))</f>
        <v/>
      </c>
      <c r="H710" s="75" t="str">
        <f>IF($M710="","",INDEX(fa_reste,$M710))</f>
        <v/>
      </c>
      <c r="I710" s="58" t="str">
        <f>IF($M710="","",MAX(0,p_asof-E710))</f>
        <v/>
      </c>
      <c r="J710" s="78" t="str">
        <f>IF($M710="","",INDEX(fa_tranche,$M710)&amp;"")</f>
        <v/>
      </c>
      <c r="K710" s="56" t="str">
        <f>IF($M710="","",IF(ISNUMBER(INDEX(fa_relance,$M710)),INDEX(fa_relance,$M710),""))</f>
        <v/>
      </c>
      <c r="L710" s="79" t="str">
        <f>IF($M710="","",IF(AND(ISNUMBER(K710),(p_asof-E710)&gt;0,(p_asof-N(K710))&gt;=0,(p_asof-N(K710))&lt;7),"Déjà relancée il y a "&amp;(p_asof-N(K710))&amp;" j",IF((p_asof-E710)&lt;=0,IF((p_asof-E710)&gt;-8,"Rappel courtois avant l'échéance","Aucune action"),IF((p_asof-E710)&lt;=15,"Relance 1 : e-mail de rappel",IF((p_asof-E710)&lt;=30,"Relance 2 : appel téléphonique",IF((p_asof-E710)&lt;=60,"Relance 3 : lettre de relance",IF((p_asof-E710)&lt;=90,"Mise en demeure (recommandé)","Contentieux : injonction de payer")))))))</f>
        <v/>
      </c>
      <c r="M710" t="str">
        <f>IFERROR(MATCH(679,fa_rank,0),"")</f>
        <v/>
      </c>
    </row>
    <row r="711">
      <c r="B711" s="78" t="str">
        <f>IF($M711="","",INDEX(fa_num,$M711)&amp;"")</f>
        <v/>
      </c>
      <c r="C711" s="79" t="str">
        <f>IF($M711="","",INDEX(fa_cname,$M711)&amp;"")</f>
        <v/>
      </c>
      <c r="D711" s="56" t="str">
        <f>IF($M711="","",INDEX(fa_date,$M711))</f>
        <v/>
      </c>
      <c r="E711" s="56" t="str">
        <f>IF($M711="","",INDEX(fa_due,$M711))</f>
        <v/>
      </c>
      <c r="F711" s="75" t="str">
        <f>IF($M711="","",INDEX(fa_ttc,$M711))</f>
        <v/>
      </c>
      <c r="G711" s="75" t="str">
        <f>IF($M711="","",INDEX(fa_paid,$M711)+INDEX(fa_avoirs,$M711))</f>
        <v/>
      </c>
      <c r="H711" s="75" t="str">
        <f>IF($M711="","",INDEX(fa_reste,$M711))</f>
        <v/>
      </c>
      <c r="I711" s="58" t="str">
        <f>IF($M711="","",MAX(0,p_asof-E711))</f>
        <v/>
      </c>
      <c r="J711" s="78" t="str">
        <f>IF($M711="","",INDEX(fa_tranche,$M711)&amp;"")</f>
        <v/>
      </c>
      <c r="K711" s="56" t="str">
        <f>IF($M711="","",IF(ISNUMBER(INDEX(fa_relance,$M711)),INDEX(fa_relance,$M711),""))</f>
        <v/>
      </c>
      <c r="L711" s="79" t="str">
        <f>IF($M711="","",IF(AND(ISNUMBER(K711),(p_asof-E711)&gt;0,(p_asof-N(K711))&gt;=0,(p_asof-N(K711))&lt;7),"Déjà relancée il y a "&amp;(p_asof-N(K711))&amp;" j",IF((p_asof-E711)&lt;=0,IF((p_asof-E711)&gt;-8,"Rappel courtois avant l'échéance","Aucune action"),IF((p_asof-E711)&lt;=15,"Relance 1 : e-mail de rappel",IF((p_asof-E711)&lt;=30,"Relance 2 : appel téléphonique",IF((p_asof-E711)&lt;=60,"Relance 3 : lettre de relance",IF((p_asof-E711)&lt;=90,"Mise en demeure (recommandé)","Contentieux : injonction de payer")))))))</f>
        <v/>
      </c>
      <c r="M711" t="str">
        <f>IFERROR(MATCH(680,fa_rank,0),"")</f>
        <v/>
      </c>
    </row>
    <row r="712">
      <c r="B712" s="78" t="str">
        <f>IF($M712="","",INDEX(fa_num,$M712)&amp;"")</f>
        <v/>
      </c>
      <c r="C712" s="79" t="str">
        <f>IF($M712="","",INDEX(fa_cname,$M712)&amp;"")</f>
        <v/>
      </c>
      <c r="D712" s="56" t="str">
        <f>IF($M712="","",INDEX(fa_date,$M712))</f>
        <v/>
      </c>
      <c r="E712" s="56" t="str">
        <f>IF($M712="","",INDEX(fa_due,$M712))</f>
        <v/>
      </c>
      <c r="F712" s="75" t="str">
        <f>IF($M712="","",INDEX(fa_ttc,$M712))</f>
        <v/>
      </c>
      <c r="G712" s="75" t="str">
        <f>IF($M712="","",INDEX(fa_paid,$M712)+INDEX(fa_avoirs,$M712))</f>
        <v/>
      </c>
      <c r="H712" s="75" t="str">
        <f>IF($M712="","",INDEX(fa_reste,$M712))</f>
        <v/>
      </c>
      <c r="I712" s="58" t="str">
        <f>IF($M712="","",MAX(0,p_asof-E712))</f>
        <v/>
      </c>
      <c r="J712" s="78" t="str">
        <f>IF($M712="","",INDEX(fa_tranche,$M712)&amp;"")</f>
        <v/>
      </c>
      <c r="K712" s="56" t="str">
        <f>IF($M712="","",IF(ISNUMBER(INDEX(fa_relance,$M712)),INDEX(fa_relance,$M712),""))</f>
        <v/>
      </c>
      <c r="L712" s="79" t="str">
        <f>IF($M712="","",IF(AND(ISNUMBER(K712),(p_asof-E712)&gt;0,(p_asof-N(K712))&gt;=0,(p_asof-N(K712))&lt;7),"Déjà relancée il y a "&amp;(p_asof-N(K712))&amp;" j",IF((p_asof-E712)&lt;=0,IF((p_asof-E712)&gt;-8,"Rappel courtois avant l'échéance","Aucune action"),IF((p_asof-E712)&lt;=15,"Relance 1 : e-mail de rappel",IF((p_asof-E712)&lt;=30,"Relance 2 : appel téléphonique",IF((p_asof-E712)&lt;=60,"Relance 3 : lettre de relance",IF((p_asof-E712)&lt;=90,"Mise en demeure (recommandé)","Contentieux : injonction de payer")))))))</f>
        <v/>
      </c>
      <c r="M712" t="str">
        <f>IFERROR(MATCH(681,fa_rank,0),"")</f>
        <v/>
      </c>
    </row>
    <row r="713">
      <c r="B713" s="78" t="str">
        <f>IF($M713="","",INDEX(fa_num,$M713)&amp;"")</f>
        <v/>
      </c>
      <c r="C713" s="79" t="str">
        <f>IF($M713="","",INDEX(fa_cname,$M713)&amp;"")</f>
        <v/>
      </c>
      <c r="D713" s="56" t="str">
        <f>IF($M713="","",INDEX(fa_date,$M713))</f>
        <v/>
      </c>
      <c r="E713" s="56" t="str">
        <f>IF($M713="","",INDEX(fa_due,$M713))</f>
        <v/>
      </c>
      <c r="F713" s="75" t="str">
        <f>IF($M713="","",INDEX(fa_ttc,$M713))</f>
        <v/>
      </c>
      <c r="G713" s="75" t="str">
        <f>IF($M713="","",INDEX(fa_paid,$M713)+INDEX(fa_avoirs,$M713))</f>
        <v/>
      </c>
      <c r="H713" s="75" t="str">
        <f>IF($M713="","",INDEX(fa_reste,$M713))</f>
        <v/>
      </c>
      <c r="I713" s="58" t="str">
        <f>IF($M713="","",MAX(0,p_asof-E713))</f>
        <v/>
      </c>
      <c r="J713" s="78" t="str">
        <f>IF($M713="","",INDEX(fa_tranche,$M713)&amp;"")</f>
        <v/>
      </c>
      <c r="K713" s="56" t="str">
        <f>IF($M713="","",IF(ISNUMBER(INDEX(fa_relance,$M713)),INDEX(fa_relance,$M713),""))</f>
        <v/>
      </c>
      <c r="L713" s="79" t="str">
        <f>IF($M713="","",IF(AND(ISNUMBER(K713),(p_asof-E713)&gt;0,(p_asof-N(K713))&gt;=0,(p_asof-N(K713))&lt;7),"Déjà relancée il y a "&amp;(p_asof-N(K713))&amp;" j",IF((p_asof-E713)&lt;=0,IF((p_asof-E713)&gt;-8,"Rappel courtois avant l'échéance","Aucune action"),IF((p_asof-E713)&lt;=15,"Relance 1 : e-mail de rappel",IF((p_asof-E713)&lt;=30,"Relance 2 : appel téléphonique",IF((p_asof-E713)&lt;=60,"Relance 3 : lettre de relance",IF((p_asof-E713)&lt;=90,"Mise en demeure (recommandé)","Contentieux : injonction de payer")))))))</f>
        <v/>
      </c>
      <c r="M713" t="str">
        <f>IFERROR(MATCH(682,fa_rank,0),"")</f>
        <v/>
      </c>
    </row>
    <row r="714">
      <c r="B714" s="78" t="str">
        <f>IF($M714="","",INDEX(fa_num,$M714)&amp;"")</f>
        <v/>
      </c>
      <c r="C714" s="79" t="str">
        <f>IF($M714="","",INDEX(fa_cname,$M714)&amp;"")</f>
        <v/>
      </c>
      <c r="D714" s="56" t="str">
        <f>IF($M714="","",INDEX(fa_date,$M714))</f>
        <v/>
      </c>
      <c r="E714" s="56" t="str">
        <f>IF($M714="","",INDEX(fa_due,$M714))</f>
        <v/>
      </c>
      <c r="F714" s="75" t="str">
        <f>IF($M714="","",INDEX(fa_ttc,$M714))</f>
        <v/>
      </c>
      <c r="G714" s="75" t="str">
        <f>IF($M714="","",INDEX(fa_paid,$M714)+INDEX(fa_avoirs,$M714))</f>
        <v/>
      </c>
      <c r="H714" s="75" t="str">
        <f>IF($M714="","",INDEX(fa_reste,$M714))</f>
        <v/>
      </c>
      <c r="I714" s="58" t="str">
        <f>IF($M714="","",MAX(0,p_asof-E714))</f>
        <v/>
      </c>
      <c r="J714" s="78" t="str">
        <f>IF($M714="","",INDEX(fa_tranche,$M714)&amp;"")</f>
        <v/>
      </c>
      <c r="K714" s="56" t="str">
        <f>IF($M714="","",IF(ISNUMBER(INDEX(fa_relance,$M714)),INDEX(fa_relance,$M714),""))</f>
        <v/>
      </c>
      <c r="L714" s="79" t="str">
        <f>IF($M714="","",IF(AND(ISNUMBER(K714),(p_asof-E714)&gt;0,(p_asof-N(K714))&gt;=0,(p_asof-N(K714))&lt;7),"Déjà relancée il y a "&amp;(p_asof-N(K714))&amp;" j",IF((p_asof-E714)&lt;=0,IF((p_asof-E714)&gt;-8,"Rappel courtois avant l'échéance","Aucune action"),IF((p_asof-E714)&lt;=15,"Relance 1 : e-mail de rappel",IF((p_asof-E714)&lt;=30,"Relance 2 : appel téléphonique",IF((p_asof-E714)&lt;=60,"Relance 3 : lettre de relance",IF((p_asof-E714)&lt;=90,"Mise en demeure (recommandé)","Contentieux : injonction de payer")))))))</f>
        <v/>
      </c>
      <c r="M714" t="str">
        <f>IFERROR(MATCH(683,fa_rank,0),"")</f>
        <v/>
      </c>
    </row>
    <row r="715">
      <c r="B715" s="78" t="str">
        <f>IF($M715="","",INDEX(fa_num,$M715)&amp;"")</f>
        <v/>
      </c>
      <c r="C715" s="79" t="str">
        <f>IF($M715="","",INDEX(fa_cname,$M715)&amp;"")</f>
        <v/>
      </c>
      <c r="D715" s="56" t="str">
        <f>IF($M715="","",INDEX(fa_date,$M715))</f>
        <v/>
      </c>
      <c r="E715" s="56" t="str">
        <f>IF($M715="","",INDEX(fa_due,$M715))</f>
        <v/>
      </c>
      <c r="F715" s="75" t="str">
        <f>IF($M715="","",INDEX(fa_ttc,$M715))</f>
        <v/>
      </c>
      <c r="G715" s="75" t="str">
        <f>IF($M715="","",INDEX(fa_paid,$M715)+INDEX(fa_avoirs,$M715))</f>
        <v/>
      </c>
      <c r="H715" s="75" t="str">
        <f>IF($M715="","",INDEX(fa_reste,$M715))</f>
        <v/>
      </c>
      <c r="I715" s="58" t="str">
        <f>IF($M715="","",MAX(0,p_asof-E715))</f>
        <v/>
      </c>
      <c r="J715" s="78" t="str">
        <f>IF($M715="","",INDEX(fa_tranche,$M715)&amp;"")</f>
        <v/>
      </c>
      <c r="K715" s="56" t="str">
        <f>IF($M715="","",IF(ISNUMBER(INDEX(fa_relance,$M715)),INDEX(fa_relance,$M715),""))</f>
        <v/>
      </c>
      <c r="L715" s="79" t="str">
        <f>IF($M715="","",IF(AND(ISNUMBER(K715),(p_asof-E715)&gt;0,(p_asof-N(K715))&gt;=0,(p_asof-N(K715))&lt;7),"Déjà relancée il y a "&amp;(p_asof-N(K715))&amp;" j",IF((p_asof-E715)&lt;=0,IF((p_asof-E715)&gt;-8,"Rappel courtois avant l'échéance","Aucune action"),IF((p_asof-E715)&lt;=15,"Relance 1 : e-mail de rappel",IF((p_asof-E715)&lt;=30,"Relance 2 : appel téléphonique",IF((p_asof-E715)&lt;=60,"Relance 3 : lettre de relance",IF((p_asof-E715)&lt;=90,"Mise en demeure (recommandé)","Contentieux : injonction de payer")))))))</f>
        <v/>
      </c>
      <c r="M715" t="str">
        <f>IFERROR(MATCH(684,fa_rank,0),"")</f>
        <v/>
      </c>
    </row>
    <row r="716">
      <c r="B716" s="78" t="str">
        <f>IF($M716="","",INDEX(fa_num,$M716)&amp;"")</f>
        <v/>
      </c>
      <c r="C716" s="79" t="str">
        <f>IF($M716="","",INDEX(fa_cname,$M716)&amp;"")</f>
        <v/>
      </c>
      <c r="D716" s="56" t="str">
        <f>IF($M716="","",INDEX(fa_date,$M716))</f>
        <v/>
      </c>
      <c r="E716" s="56" t="str">
        <f>IF($M716="","",INDEX(fa_due,$M716))</f>
        <v/>
      </c>
      <c r="F716" s="75" t="str">
        <f>IF($M716="","",INDEX(fa_ttc,$M716))</f>
        <v/>
      </c>
      <c r="G716" s="75" t="str">
        <f>IF($M716="","",INDEX(fa_paid,$M716)+INDEX(fa_avoirs,$M716))</f>
        <v/>
      </c>
      <c r="H716" s="75" t="str">
        <f>IF($M716="","",INDEX(fa_reste,$M716))</f>
        <v/>
      </c>
      <c r="I716" s="58" t="str">
        <f>IF($M716="","",MAX(0,p_asof-E716))</f>
        <v/>
      </c>
      <c r="J716" s="78" t="str">
        <f>IF($M716="","",INDEX(fa_tranche,$M716)&amp;"")</f>
        <v/>
      </c>
      <c r="K716" s="56" t="str">
        <f>IF($M716="","",IF(ISNUMBER(INDEX(fa_relance,$M716)),INDEX(fa_relance,$M716),""))</f>
        <v/>
      </c>
      <c r="L716" s="79" t="str">
        <f>IF($M716="","",IF(AND(ISNUMBER(K716),(p_asof-E716)&gt;0,(p_asof-N(K716))&gt;=0,(p_asof-N(K716))&lt;7),"Déjà relancée il y a "&amp;(p_asof-N(K716))&amp;" j",IF((p_asof-E716)&lt;=0,IF((p_asof-E716)&gt;-8,"Rappel courtois avant l'échéance","Aucune action"),IF((p_asof-E716)&lt;=15,"Relance 1 : e-mail de rappel",IF((p_asof-E716)&lt;=30,"Relance 2 : appel téléphonique",IF((p_asof-E716)&lt;=60,"Relance 3 : lettre de relance",IF((p_asof-E716)&lt;=90,"Mise en demeure (recommandé)","Contentieux : injonction de payer")))))))</f>
        <v/>
      </c>
      <c r="M716" t="str">
        <f>IFERROR(MATCH(685,fa_rank,0),"")</f>
        <v/>
      </c>
    </row>
    <row r="717">
      <c r="B717" s="78" t="str">
        <f>IF($M717="","",INDEX(fa_num,$M717)&amp;"")</f>
        <v/>
      </c>
      <c r="C717" s="79" t="str">
        <f>IF($M717="","",INDEX(fa_cname,$M717)&amp;"")</f>
        <v/>
      </c>
      <c r="D717" s="56" t="str">
        <f>IF($M717="","",INDEX(fa_date,$M717))</f>
        <v/>
      </c>
      <c r="E717" s="56" t="str">
        <f>IF($M717="","",INDEX(fa_due,$M717))</f>
        <v/>
      </c>
      <c r="F717" s="75" t="str">
        <f>IF($M717="","",INDEX(fa_ttc,$M717))</f>
        <v/>
      </c>
      <c r="G717" s="75" t="str">
        <f>IF($M717="","",INDEX(fa_paid,$M717)+INDEX(fa_avoirs,$M717))</f>
        <v/>
      </c>
      <c r="H717" s="75" t="str">
        <f>IF($M717="","",INDEX(fa_reste,$M717))</f>
        <v/>
      </c>
      <c r="I717" s="58" t="str">
        <f>IF($M717="","",MAX(0,p_asof-E717))</f>
        <v/>
      </c>
      <c r="J717" s="78" t="str">
        <f>IF($M717="","",INDEX(fa_tranche,$M717)&amp;"")</f>
        <v/>
      </c>
      <c r="K717" s="56" t="str">
        <f>IF($M717="","",IF(ISNUMBER(INDEX(fa_relance,$M717)),INDEX(fa_relance,$M717),""))</f>
        <v/>
      </c>
      <c r="L717" s="79" t="str">
        <f>IF($M717="","",IF(AND(ISNUMBER(K717),(p_asof-E717)&gt;0,(p_asof-N(K717))&gt;=0,(p_asof-N(K717))&lt;7),"Déjà relancée il y a "&amp;(p_asof-N(K717))&amp;" j",IF((p_asof-E717)&lt;=0,IF((p_asof-E717)&gt;-8,"Rappel courtois avant l'échéance","Aucune action"),IF((p_asof-E717)&lt;=15,"Relance 1 : e-mail de rappel",IF((p_asof-E717)&lt;=30,"Relance 2 : appel téléphonique",IF((p_asof-E717)&lt;=60,"Relance 3 : lettre de relance",IF((p_asof-E717)&lt;=90,"Mise en demeure (recommandé)","Contentieux : injonction de payer")))))))</f>
        <v/>
      </c>
      <c r="M717" t="str">
        <f>IFERROR(MATCH(686,fa_rank,0),"")</f>
        <v/>
      </c>
    </row>
    <row r="718">
      <c r="B718" s="78" t="str">
        <f>IF($M718="","",INDEX(fa_num,$M718)&amp;"")</f>
        <v/>
      </c>
      <c r="C718" s="79" t="str">
        <f>IF($M718="","",INDEX(fa_cname,$M718)&amp;"")</f>
        <v/>
      </c>
      <c r="D718" s="56" t="str">
        <f>IF($M718="","",INDEX(fa_date,$M718))</f>
        <v/>
      </c>
      <c r="E718" s="56" t="str">
        <f>IF($M718="","",INDEX(fa_due,$M718))</f>
        <v/>
      </c>
      <c r="F718" s="75" t="str">
        <f>IF($M718="","",INDEX(fa_ttc,$M718))</f>
        <v/>
      </c>
      <c r="G718" s="75" t="str">
        <f>IF($M718="","",INDEX(fa_paid,$M718)+INDEX(fa_avoirs,$M718))</f>
        <v/>
      </c>
      <c r="H718" s="75" t="str">
        <f>IF($M718="","",INDEX(fa_reste,$M718))</f>
        <v/>
      </c>
      <c r="I718" s="58" t="str">
        <f>IF($M718="","",MAX(0,p_asof-E718))</f>
        <v/>
      </c>
      <c r="J718" s="78" t="str">
        <f>IF($M718="","",INDEX(fa_tranche,$M718)&amp;"")</f>
        <v/>
      </c>
      <c r="K718" s="56" t="str">
        <f>IF($M718="","",IF(ISNUMBER(INDEX(fa_relance,$M718)),INDEX(fa_relance,$M718),""))</f>
        <v/>
      </c>
      <c r="L718" s="79" t="str">
        <f>IF($M718="","",IF(AND(ISNUMBER(K718),(p_asof-E718)&gt;0,(p_asof-N(K718))&gt;=0,(p_asof-N(K718))&lt;7),"Déjà relancée il y a "&amp;(p_asof-N(K718))&amp;" j",IF((p_asof-E718)&lt;=0,IF((p_asof-E718)&gt;-8,"Rappel courtois avant l'échéance","Aucune action"),IF((p_asof-E718)&lt;=15,"Relance 1 : e-mail de rappel",IF((p_asof-E718)&lt;=30,"Relance 2 : appel téléphonique",IF((p_asof-E718)&lt;=60,"Relance 3 : lettre de relance",IF((p_asof-E718)&lt;=90,"Mise en demeure (recommandé)","Contentieux : injonction de payer")))))))</f>
        <v/>
      </c>
      <c r="M718" t="str">
        <f>IFERROR(MATCH(687,fa_rank,0),"")</f>
        <v/>
      </c>
    </row>
    <row r="719">
      <c r="B719" s="78" t="str">
        <f>IF($M719="","",INDEX(fa_num,$M719)&amp;"")</f>
        <v/>
      </c>
      <c r="C719" s="79" t="str">
        <f>IF($M719="","",INDEX(fa_cname,$M719)&amp;"")</f>
        <v/>
      </c>
      <c r="D719" s="56" t="str">
        <f>IF($M719="","",INDEX(fa_date,$M719))</f>
        <v/>
      </c>
      <c r="E719" s="56" t="str">
        <f>IF($M719="","",INDEX(fa_due,$M719))</f>
        <v/>
      </c>
      <c r="F719" s="75" t="str">
        <f>IF($M719="","",INDEX(fa_ttc,$M719))</f>
        <v/>
      </c>
      <c r="G719" s="75" t="str">
        <f>IF($M719="","",INDEX(fa_paid,$M719)+INDEX(fa_avoirs,$M719))</f>
        <v/>
      </c>
      <c r="H719" s="75" t="str">
        <f>IF($M719="","",INDEX(fa_reste,$M719))</f>
        <v/>
      </c>
      <c r="I719" s="58" t="str">
        <f>IF($M719="","",MAX(0,p_asof-E719))</f>
        <v/>
      </c>
      <c r="J719" s="78" t="str">
        <f>IF($M719="","",INDEX(fa_tranche,$M719)&amp;"")</f>
        <v/>
      </c>
      <c r="K719" s="56" t="str">
        <f>IF($M719="","",IF(ISNUMBER(INDEX(fa_relance,$M719)),INDEX(fa_relance,$M719),""))</f>
        <v/>
      </c>
      <c r="L719" s="79" t="str">
        <f>IF($M719="","",IF(AND(ISNUMBER(K719),(p_asof-E719)&gt;0,(p_asof-N(K719))&gt;=0,(p_asof-N(K719))&lt;7),"Déjà relancée il y a "&amp;(p_asof-N(K719))&amp;" j",IF((p_asof-E719)&lt;=0,IF((p_asof-E719)&gt;-8,"Rappel courtois avant l'échéance","Aucune action"),IF((p_asof-E719)&lt;=15,"Relance 1 : e-mail de rappel",IF((p_asof-E719)&lt;=30,"Relance 2 : appel téléphonique",IF((p_asof-E719)&lt;=60,"Relance 3 : lettre de relance",IF((p_asof-E719)&lt;=90,"Mise en demeure (recommandé)","Contentieux : injonction de payer")))))))</f>
        <v/>
      </c>
      <c r="M719" t="str">
        <f>IFERROR(MATCH(688,fa_rank,0),"")</f>
        <v/>
      </c>
    </row>
    <row r="720">
      <c r="B720" s="78" t="str">
        <f>IF($M720="","",INDEX(fa_num,$M720)&amp;"")</f>
        <v/>
      </c>
      <c r="C720" s="79" t="str">
        <f>IF($M720="","",INDEX(fa_cname,$M720)&amp;"")</f>
        <v/>
      </c>
      <c r="D720" s="56" t="str">
        <f>IF($M720="","",INDEX(fa_date,$M720))</f>
        <v/>
      </c>
      <c r="E720" s="56" t="str">
        <f>IF($M720="","",INDEX(fa_due,$M720))</f>
        <v/>
      </c>
      <c r="F720" s="75" t="str">
        <f>IF($M720="","",INDEX(fa_ttc,$M720))</f>
        <v/>
      </c>
      <c r="G720" s="75" t="str">
        <f>IF($M720="","",INDEX(fa_paid,$M720)+INDEX(fa_avoirs,$M720))</f>
        <v/>
      </c>
      <c r="H720" s="75" t="str">
        <f>IF($M720="","",INDEX(fa_reste,$M720))</f>
        <v/>
      </c>
      <c r="I720" s="58" t="str">
        <f>IF($M720="","",MAX(0,p_asof-E720))</f>
        <v/>
      </c>
      <c r="J720" s="78" t="str">
        <f>IF($M720="","",INDEX(fa_tranche,$M720)&amp;"")</f>
        <v/>
      </c>
      <c r="K720" s="56" t="str">
        <f>IF($M720="","",IF(ISNUMBER(INDEX(fa_relance,$M720)),INDEX(fa_relance,$M720),""))</f>
        <v/>
      </c>
      <c r="L720" s="79" t="str">
        <f>IF($M720="","",IF(AND(ISNUMBER(K720),(p_asof-E720)&gt;0,(p_asof-N(K720))&gt;=0,(p_asof-N(K720))&lt;7),"Déjà relancée il y a "&amp;(p_asof-N(K720))&amp;" j",IF((p_asof-E720)&lt;=0,IF((p_asof-E720)&gt;-8,"Rappel courtois avant l'échéance","Aucune action"),IF((p_asof-E720)&lt;=15,"Relance 1 : e-mail de rappel",IF((p_asof-E720)&lt;=30,"Relance 2 : appel téléphonique",IF((p_asof-E720)&lt;=60,"Relance 3 : lettre de relance",IF((p_asof-E720)&lt;=90,"Mise en demeure (recommandé)","Contentieux : injonction de payer")))))))</f>
        <v/>
      </c>
      <c r="M720" t="str">
        <f>IFERROR(MATCH(689,fa_rank,0),"")</f>
        <v/>
      </c>
    </row>
    <row r="721">
      <c r="B721" s="78" t="str">
        <f>IF($M721="","",INDEX(fa_num,$M721)&amp;"")</f>
        <v/>
      </c>
      <c r="C721" s="79" t="str">
        <f>IF($M721="","",INDEX(fa_cname,$M721)&amp;"")</f>
        <v/>
      </c>
      <c r="D721" s="56" t="str">
        <f>IF($M721="","",INDEX(fa_date,$M721))</f>
        <v/>
      </c>
      <c r="E721" s="56" t="str">
        <f>IF($M721="","",INDEX(fa_due,$M721))</f>
        <v/>
      </c>
      <c r="F721" s="75" t="str">
        <f>IF($M721="","",INDEX(fa_ttc,$M721))</f>
        <v/>
      </c>
      <c r="G721" s="75" t="str">
        <f>IF($M721="","",INDEX(fa_paid,$M721)+INDEX(fa_avoirs,$M721))</f>
        <v/>
      </c>
      <c r="H721" s="75" t="str">
        <f>IF($M721="","",INDEX(fa_reste,$M721))</f>
        <v/>
      </c>
      <c r="I721" s="58" t="str">
        <f>IF($M721="","",MAX(0,p_asof-E721))</f>
        <v/>
      </c>
      <c r="J721" s="78" t="str">
        <f>IF($M721="","",INDEX(fa_tranche,$M721)&amp;"")</f>
        <v/>
      </c>
      <c r="K721" s="56" t="str">
        <f>IF($M721="","",IF(ISNUMBER(INDEX(fa_relance,$M721)),INDEX(fa_relance,$M721),""))</f>
        <v/>
      </c>
      <c r="L721" s="79" t="str">
        <f>IF($M721="","",IF(AND(ISNUMBER(K721),(p_asof-E721)&gt;0,(p_asof-N(K721))&gt;=0,(p_asof-N(K721))&lt;7),"Déjà relancée il y a "&amp;(p_asof-N(K721))&amp;" j",IF((p_asof-E721)&lt;=0,IF((p_asof-E721)&gt;-8,"Rappel courtois avant l'échéance","Aucune action"),IF((p_asof-E721)&lt;=15,"Relance 1 : e-mail de rappel",IF((p_asof-E721)&lt;=30,"Relance 2 : appel téléphonique",IF((p_asof-E721)&lt;=60,"Relance 3 : lettre de relance",IF((p_asof-E721)&lt;=90,"Mise en demeure (recommandé)","Contentieux : injonction de payer")))))))</f>
        <v/>
      </c>
      <c r="M721" t="str">
        <f>IFERROR(MATCH(690,fa_rank,0),"")</f>
        <v/>
      </c>
    </row>
    <row r="722">
      <c r="B722" s="78" t="str">
        <f>IF($M722="","",INDEX(fa_num,$M722)&amp;"")</f>
        <v/>
      </c>
      <c r="C722" s="79" t="str">
        <f>IF($M722="","",INDEX(fa_cname,$M722)&amp;"")</f>
        <v/>
      </c>
      <c r="D722" s="56" t="str">
        <f>IF($M722="","",INDEX(fa_date,$M722))</f>
        <v/>
      </c>
      <c r="E722" s="56" t="str">
        <f>IF($M722="","",INDEX(fa_due,$M722))</f>
        <v/>
      </c>
      <c r="F722" s="75" t="str">
        <f>IF($M722="","",INDEX(fa_ttc,$M722))</f>
        <v/>
      </c>
      <c r="G722" s="75" t="str">
        <f>IF($M722="","",INDEX(fa_paid,$M722)+INDEX(fa_avoirs,$M722))</f>
        <v/>
      </c>
      <c r="H722" s="75" t="str">
        <f>IF($M722="","",INDEX(fa_reste,$M722))</f>
        <v/>
      </c>
      <c r="I722" s="58" t="str">
        <f>IF($M722="","",MAX(0,p_asof-E722))</f>
        <v/>
      </c>
      <c r="J722" s="78" t="str">
        <f>IF($M722="","",INDEX(fa_tranche,$M722)&amp;"")</f>
        <v/>
      </c>
      <c r="K722" s="56" t="str">
        <f>IF($M722="","",IF(ISNUMBER(INDEX(fa_relance,$M722)),INDEX(fa_relance,$M722),""))</f>
        <v/>
      </c>
      <c r="L722" s="79" t="str">
        <f>IF($M722="","",IF(AND(ISNUMBER(K722),(p_asof-E722)&gt;0,(p_asof-N(K722))&gt;=0,(p_asof-N(K722))&lt;7),"Déjà relancée il y a "&amp;(p_asof-N(K722))&amp;" j",IF((p_asof-E722)&lt;=0,IF((p_asof-E722)&gt;-8,"Rappel courtois avant l'échéance","Aucune action"),IF((p_asof-E722)&lt;=15,"Relance 1 : e-mail de rappel",IF((p_asof-E722)&lt;=30,"Relance 2 : appel téléphonique",IF((p_asof-E722)&lt;=60,"Relance 3 : lettre de relance",IF((p_asof-E722)&lt;=90,"Mise en demeure (recommandé)","Contentieux : injonction de payer")))))))</f>
        <v/>
      </c>
      <c r="M722" t="str">
        <f>IFERROR(MATCH(691,fa_rank,0),"")</f>
        <v/>
      </c>
    </row>
    <row r="723">
      <c r="B723" s="78" t="str">
        <f>IF($M723="","",INDEX(fa_num,$M723)&amp;"")</f>
        <v/>
      </c>
      <c r="C723" s="79" t="str">
        <f>IF($M723="","",INDEX(fa_cname,$M723)&amp;"")</f>
        <v/>
      </c>
      <c r="D723" s="56" t="str">
        <f>IF($M723="","",INDEX(fa_date,$M723))</f>
        <v/>
      </c>
      <c r="E723" s="56" t="str">
        <f>IF($M723="","",INDEX(fa_due,$M723))</f>
        <v/>
      </c>
      <c r="F723" s="75" t="str">
        <f>IF($M723="","",INDEX(fa_ttc,$M723))</f>
        <v/>
      </c>
      <c r="G723" s="75" t="str">
        <f>IF($M723="","",INDEX(fa_paid,$M723)+INDEX(fa_avoirs,$M723))</f>
        <v/>
      </c>
      <c r="H723" s="75" t="str">
        <f>IF($M723="","",INDEX(fa_reste,$M723))</f>
        <v/>
      </c>
      <c r="I723" s="58" t="str">
        <f>IF($M723="","",MAX(0,p_asof-E723))</f>
        <v/>
      </c>
      <c r="J723" s="78" t="str">
        <f>IF($M723="","",INDEX(fa_tranche,$M723)&amp;"")</f>
        <v/>
      </c>
      <c r="K723" s="56" t="str">
        <f>IF($M723="","",IF(ISNUMBER(INDEX(fa_relance,$M723)),INDEX(fa_relance,$M723),""))</f>
        <v/>
      </c>
      <c r="L723" s="79" t="str">
        <f>IF($M723="","",IF(AND(ISNUMBER(K723),(p_asof-E723)&gt;0,(p_asof-N(K723))&gt;=0,(p_asof-N(K723))&lt;7),"Déjà relancée il y a "&amp;(p_asof-N(K723))&amp;" j",IF((p_asof-E723)&lt;=0,IF((p_asof-E723)&gt;-8,"Rappel courtois avant l'échéance","Aucune action"),IF((p_asof-E723)&lt;=15,"Relance 1 : e-mail de rappel",IF((p_asof-E723)&lt;=30,"Relance 2 : appel téléphonique",IF((p_asof-E723)&lt;=60,"Relance 3 : lettre de relance",IF((p_asof-E723)&lt;=90,"Mise en demeure (recommandé)","Contentieux : injonction de payer")))))))</f>
        <v/>
      </c>
      <c r="M723" t="str">
        <f>IFERROR(MATCH(692,fa_rank,0),"")</f>
        <v/>
      </c>
    </row>
    <row r="724">
      <c r="B724" s="78" t="str">
        <f>IF($M724="","",INDEX(fa_num,$M724)&amp;"")</f>
        <v/>
      </c>
      <c r="C724" s="79" t="str">
        <f>IF($M724="","",INDEX(fa_cname,$M724)&amp;"")</f>
        <v/>
      </c>
      <c r="D724" s="56" t="str">
        <f>IF($M724="","",INDEX(fa_date,$M724))</f>
        <v/>
      </c>
      <c r="E724" s="56" t="str">
        <f>IF($M724="","",INDEX(fa_due,$M724))</f>
        <v/>
      </c>
      <c r="F724" s="75" t="str">
        <f>IF($M724="","",INDEX(fa_ttc,$M724))</f>
        <v/>
      </c>
      <c r="G724" s="75" t="str">
        <f>IF($M724="","",INDEX(fa_paid,$M724)+INDEX(fa_avoirs,$M724))</f>
        <v/>
      </c>
      <c r="H724" s="75" t="str">
        <f>IF($M724="","",INDEX(fa_reste,$M724))</f>
        <v/>
      </c>
      <c r="I724" s="58" t="str">
        <f>IF($M724="","",MAX(0,p_asof-E724))</f>
        <v/>
      </c>
      <c r="J724" s="78" t="str">
        <f>IF($M724="","",INDEX(fa_tranche,$M724)&amp;"")</f>
        <v/>
      </c>
      <c r="K724" s="56" t="str">
        <f>IF($M724="","",IF(ISNUMBER(INDEX(fa_relance,$M724)),INDEX(fa_relance,$M724),""))</f>
        <v/>
      </c>
      <c r="L724" s="79" t="str">
        <f>IF($M724="","",IF(AND(ISNUMBER(K724),(p_asof-E724)&gt;0,(p_asof-N(K724))&gt;=0,(p_asof-N(K724))&lt;7),"Déjà relancée il y a "&amp;(p_asof-N(K724))&amp;" j",IF((p_asof-E724)&lt;=0,IF((p_asof-E724)&gt;-8,"Rappel courtois avant l'échéance","Aucune action"),IF((p_asof-E724)&lt;=15,"Relance 1 : e-mail de rappel",IF((p_asof-E724)&lt;=30,"Relance 2 : appel téléphonique",IF((p_asof-E724)&lt;=60,"Relance 3 : lettre de relance",IF((p_asof-E724)&lt;=90,"Mise en demeure (recommandé)","Contentieux : injonction de payer")))))))</f>
        <v/>
      </c>
      <c r="M724" t="str">
        <f>IFERROR(MATCH(693,fa_rank,0),"")</f>
        <v/>
      </c>
    </row>
    <row r="725">
      <c r="B725" s="78" t="str">
        <f>IF($M725="","",INDEX(fa_num,$M725)&amp;"")</f>
        <v/>
      </c>
      <c r="C725" s="79" t="str">
        <f>IF($M725="","",INDEX(fa_cname,$M725)&amp;"")</f>
        <v/>
      </c>
      <c r="D725" s="56" t="str">
        <f>IF($M725="","",INDEX(fa_date,$M725))</f>
        <v/>
      </c>
      <c r="E725" s="56" t="str">
        <f>IF($M725="","",INDEX(fa_due,$M725))</f>
        <v/>
      </c>
      <c r="F725" s="75" t="str">
        <f>IF($M725="","",INDEX(fa_ttc,$M725))</f>
        <v/>
      </c>
      <c r="G725" s="75" t="str">
        <f>IF($M725="","",INDEX(fa_paid,$M725)+INDEX(fa_avoirs,$M725))</f>
        <v/>
      </c>
      <c r="H725" s="75" t="str">
        <f>IF($M725="","",INDEX(fa_reste,$M725))</f>
        <v/>
      </c>
      <c r="I725" s="58" t="str">
        <f>IF($M725="","",MAX(0,p_asof-E725))</f>
        <v/>
      </c>
      <c r="J725" s="78" t="str">
        <f>IF($M725="","",INDEX(fa_tranche,$M725)&amp;"")</f>
        <v/>
      </c>
      <c r="K725" s="56" t="str">
        <f>IF($M725="","",IF(ISNUMBER(INDEX(fa_relance,$M725)),INDEX(fa_relance,$M725),""))</f>
        <v/>
      </c>
      <c r="L725" s="79" t="str">
        <f>IF($M725="","",IF(AND(ISNUMBER(K725),(p_asof-E725)&gt;0,(p_asof-N(K725))&gt;=0,(p_asof-N(K725))&lt;7),"Déjà relancée il y a "&amp;(p_asof-N(K725))&amp;" j",IF((p_asof-E725)&lt;=0,IF((p_asof-E725)&gt;-8,"Rappel courtois avant l'échéance","Aucune action"),IF((p_asof-E725)&lt;=15,"Relance 1 : e-mail de rappel",IF((p_asof-E725)&lt;=30,"Relance 2 : appel téléphonique",IF((p_asof-E725)&lt;=60,"Relance 3 : lettre de relance",IF((p_asof-E725)&lt;=90,"Mise en demeure (recommandé)","Contentieux : injonction de payer")))))))</f>
        <v/>
      </c>
      <c r="M725" t="str">
        <f>IFERROR(MATCH(694,fa_rank,0),"")</f>
        <v/>
      </c>
    </row>
    <row r="726">
      <c r="B726" s="78" t="str">
        <f>IF($M726="","",INDEX(fa_num,$M726)&amp;"")</f>
        <v/>
      </c>
      <c r="C726" s="79" t="str">
        <f>IF($M726="","",INDEX(fa_cname,$M726)&amp;"")</f>
        <v/>
      </c>
      <c r="D726" s="56" t="str">
        <f>IF($M726="","",INDEX(fa_date,$M726))</f>
        <v/>
      </c>
      <c r="E726" s="56" t="str">
        <f>IF($M726="","",INDEX(fa_due,$M726))</f>
        <v/>
      </c>
      <c r="F726" s="75" t="str">
        <f>IF($M726="","",INDEX(fa_ttc,$M726))</f>
        <v/>
      </c>
      <c r="G726" s="75" t="str">
        <f>IF($M726="","",INDEX(fa_paid,$M726)+INDEX(fa_avoirs,$M726))</f>
        <v/>
      </c>
      <c r="H726" s="75" t="str">
        <f>IF($M726="","",INDEX(fa_reste,$M726))</f>
        <v/>
      </c>
      <c r="I726" s="58" t="str">
        <f>IF($M726="","",MAX(0,p_asof-E726))</f>
        <v/>
      </c>
      <c r="J726" s="78" t="str">
        <f>IF($M726="","",INDEX(fa_tranche,$M726)&amp;"")</f>
        <v/>
      </c>
      <c r="K726" s="56" t="str">
        <f>IF($M726="","",IF(ISNUMBER(INDEX(fa_relance,$M726)),INDEX(fa_relance,$M726),""))</f>
        <v/>
      </c>
      <c r="L726" s="79" t="str">
        <f>IF($M726="","",IF(AND(ISNUMBER(K726),(p_asof-E726)&gt;0,(p_asof-N(K726))&gt;=0,(p_asof-N(K726))&lt;7),"Déjà relancée il y a "&amp;(p_asof-N(K726))&amp;" j",IF((p_asof-E726)&lt;=0,IF((p_asof-E726)&gt;-8,"Rappel courtois avant l'échéance","Aucune action"),IF((p_asof-E726)&lt;=15,"Relance 1 : e-mail de rappel",IF((p_asof-E726)&lt;=30,"Relance 2 : appel téléphonique",IF((p_asof-E726)&lt;=60,"Relance 3 : lettre de relance",IF((p_asof-E726)&lt;=90,"Mise en demeure (recommandé)","Contentieux : injonction de payer")))))))</f>
        <v/>
      </c>
      <c r="M726" t="str">
        <f>IFERROR(MATCH(695,fa_rank,0),"")</f>
        <v/>
      </c>
    </row>
    <row r="727">
      <c r="B727" s="78" t="str">
        <f>IF($M727="","",INDEX(fa_num,$M727)&amp;"")</f>
        <v/>
      </c>
      <c r="C727" s="79" t="str">
        <f>IF($M727="","",INDEX(fa_cname,$M727)&amp;"")</f>
        <v/>
      </c>
      <c r="D727" s="56" t="str">
        <f>IF($M727="","",INDEX(fa_date,$M727))</f>
        <v/>
      </c>
      <c r="E727" s="56" t="str">
        <f>IF($M727="","",INDEX(fa_due,$M727))</f>
        <v/>
      </c>
      <c r="F727" s="75" t="str">
        <f>IF($M727="","",INDEX(fa_ttc,$M727))</f>
        <v/>
      </c>
      <c r="G727" s="75" t="str">
        <f>IF($M727="","",INDEX(fa_paid,$M727)+INDEX(fa_avoirs,$M727))</f>
        <v/>
      </c>
      <c r="H727" s="75" t="str">
        <f>IF($M727="","",INDEX(fa_reste,$M727))</f>
        <v/>
      </c>
      <c r="I727" s="58" t="str">
        <f>IF($M727="","",MAX(0,p_asof-E727))</f>
        <v/>
      </c>
      <c r="J727" s="78" t="str">
        <f>IF($M727="","",INDEX(fa_tranche,$M727)&amp;"")</f>
        <v/>
      </c>
      <c r="K727" s="56" t="str">
        <f>IF($M727="","",IF(ISNUMBER(INDEX(fa_relance,$M727)),INDEX(fa_relance,$M727),""))</f>
        <v/>
      </c>
      <c r="L727" s="79" t="str">
        <f>IF($M727="","",IF(AND(ISNUMBER(K727),(p_asof-E727)&gt;0,(p_asof-N(K727))&gt;=0,(p_asof-N(K727))&lt;7),"Déjà relancée il y a "&amp;(p_asof-N(K727))&amp;" j",IF((p_asof-E727)&lt;=0,IF((p_asof-E727)&gt;-8,"Rappel courtois avant l'échéance","Aucune action"),IF((p_asof-E727)&lt;=15,"Relance 1 : e-mail de rappel",IF((p_asof-E727)&lt;=30,"Relance 2 : appel téléphonique",IF((p_asof-E727)&lt;=60,"Relance 3 : lettre de relance",IF((p_asof-E727)&lt;=90,"Mise en demeure (recommandé)","Contentieux : injonction de payer")))))))</f>
        <v/>
      </c>
      <c r="M727" t="str">
        <f>IFERROR(MATCH(696,fa_rank,0),"")</f>
        <v/>
      </c>
    </row>
    <row r="728">
      <c r="B728" s="78" t="str">
        <f>IF($M728="","",INDEX(fa_num,$M728)&amp;"")</f>
        <v/>
      </c>
      <c r="C728" s="79" t="str">
        <f>IF($M728="","",INDEX(fa_cname,$M728)&amp;"")</f>
        <v/>
      </c>
      <c r="D728" s="56" t="str">
        <f>IF($M728="","",INDEX(fa_date,$M728))</f>
        <v/>
      </c>
      <c r="E728" s="56" t="str">
        <f>IF($M728="","",INDEX(fa_due,$M728))</f>
        <v/>
      </c>
      <c r="F728" s="75" t="str">
        <f>IF($M728="","",INDEX(fa_ttc,$M728))</f>
        <v/>
      </c>
      <c r="G728" s="75" t="str">
        <f>IF($M728="","",INDEX(fa_paid,$M728)+INDEX(fa_avoirs,$M728))</f>
        <v/>
      </c>
      <c r="H728" s="75" t="str">
        <f>IF($M728="","",INDEX(fa_reste,$M728))</f>
        <v/>
      </c>
      <c r="I728" s="58" t="str">
        <f>IF($M728="","",MAX(0,p_asof-E728))</f>
        <v/>
      </c>
      <c r="J728" s="78" t="str">
        <f>IF($M728="","",INDEX(fa_tranche,$M728)&amp;"")</f>
        <v/>
      </c>
      <c r="K728" s="56" t="str">
        <f>IF($M728="","",IF(ISNUMBER(INDEX(fa_relance,$M728)),INDEX(fa_relance,$M728),""))</f>
        <v/>
      </c>
      <c r="L728" s="79" t="str">
        <f>IF($M728="","",IF(AND(ISNUMBER(K728),(p_asof-E728)&gt;0,(p_asof-N(K728))&gt;=0,(p_asof-N(K728))&lt;7),"Déjà relancée il y a "&amp;(p_asof-N(K728))&amp;" j",IF((p_asof-E728)&lt;=0,IF((p_asof-E728)&gt;-8,"Rappel courtois avant l'échéance","Aucune action"),IF((p_asof-E728)&lt;=15,"Relance 1 : e-mail de rappel",IF((p_asof-E728)&lt;=30,"Relance 2 : appel téléphonique",IF((p_asof-E728)&lt;=60,"Relance 3 : lettre de relance",IF((p_asof-E728)&lt;=90,"Mise en demeure (recommandé)","Contentieux : injonction de payer")))))))</f>
        <v/>
      </c>
      <c r="M728" t="str">
        <f>IFERROR(MATCH(697,fa_rank,0),"")</f>
        <v/>
      </c>
    </row>
    <row r="729">
      <c r="B729" s="78" t="str">
        <f>IF($M729="","",INDEX(fa_num,$M729)&amp;"")</f>
        <v/>
      </c>
      <c r="C729" s="79" t="str">
        <f>IF($M729="","",INDEX(fa_cname,$M729)&amp;"")</f>
        <v/>
      </c>
      <c r="D729" s="56" t="str">
        <f>IF($M729="","",INDEX(fa_date,$M729))</f>
        <v/>
      </c>
      <c r="E729" s="56" t="str">
        <f>IF($M729="","",INDEX(fa_due,$M729))</f>
        <v/>
      </c>
      <c r="F729" s="75" t="str">
        <f>IF($M729="","",INDEX(fa_ttc,$M729))</f>
        <v/>
      </c>
      <c r="G729" s="75" t="str">
        <f>IF($M729="","",INDEX(fa_paid,$M729)+INDEX(fa_avoirs,$M729))</f>
        <v/>
      </c>
      <c r="H729" s="75" t="str">
        <f>IF($M729="","",INDEX(fa_reste,$M729))</f>
        <v/>
      </c>
      <c r="I729" s="58" t="str">
        <f>IF($M729="","",MAX(0,p_asof-E729))</f>
        <v/>
      </c>
      <c r="J729" s="78" t="str">
        <f>IF($M729="","",INDEX(fa_tranche,$M729)&amp;"")</f>
        <v/>
      </c>
      <c r="K729" s="56" t="str">
        <f>IF($M729="","",IF(ISNUMBER(INDEX(fa_relance,$M729)),INDEX(fa_relance,$M729),""))</f>
        <v/>
      </c>
      <c r="L729" s="79" t="str">
        <f>IF($M729="","",IF(AND(ISNUMBER(K729),(p_asof-E729)&gt;0,(p_asof-N(K729))&gt;=0,(p_asof-N(K729))&lt;7),"Déjà relancée il y a "&amp;(p_asof-N(K729))&amp;" j",IF((p_asof-E729)&lt;=0,IF((p_asof-E729)&gt;-8,"Rappel courtois avant l'échéance","Aucune action"),IF((p_asof-E729)&lt;=15,"Relance 1 : e-mail de rappel",IF((p_asof-E729)&lt;=30,"Relance 2 : appel téléphonique",IF((p_asof-E729)&lt;=60,"Relance 3 : lettre de relance",IF((p_asof-E729)&lt;=90,"Mise en demeure (recommandé)","Contentieux : injonction de payer")))))))</f>
        <v/>
      </c>
      <c r="M729" t="str">
        <f>IFERROR(MATCH(698,fa_rank,0),"")</f>
        <v/>
      </c>
    </row>
    <row r="730">
      <c r="B730" s="78" t="str">
        <f>IF($M730="","",INDEX(fa_num,$M730)&amp;"")</f>
        <v/>
      </c>
      <c r="C730" s="79" t="str">
        <f>IF($M730="","",INDEX(fa_cname,$M730)&amp;"")</f>
        <v/>
      </c>
      <c r="D730" s="56" t="str">
        <f>IF($M730="","",INDEX(fa_date,$M730))</f>
        <v/>
      </c>
      <c r="E730" s="56" t="str">
        <f>IF($M730="","",INDEX(fa_due,$M730))</f>
        <v/>
      </c>
      <c r="F730" s="75" t="str">
        <f>IF($M730="","",INDEX(fa_ttc,$M730))</f>
        <v/>
      </c>
      <c r="G730" s="75" t="str">
        <f>IF($M730="","",INDEX(fa_paid,$M730)+INDEX(fa_avoirs,$M730))</f>
        <v/>
      </c>
      <c r="H730" s="75" t="str">
        <f>IF($M730="","",INDEX(fa_reste,$M730))</f>
        <v/>
      </c>
      <c r="I730" s="58" t="str">
        <f>IF($M730="","",MAX(0,p_asof-E730))</f>
        <v/>
      </c>
      <c r="J730" s="78" t="str">
        <f>IF($M730="","",INDEX(fa_tranche,$M730)&amp;"")</f>
        <v/>
      </c>
      <c r="K730" s="56" t="str">
        <f>IF($M730="","",IF(ISNUMBER(INDEX(fa_relance,$M730)),INDEX(fa_relance,$M730),""))</f>
        <v/>
      </c>
      <c r="L730" s="79" t="str">
        <f>IF($M730="","",IF(AND(ISNUMBER(K730),(p_asof-E730)&gt;0,(p_asof-N(K730))&gt;=0,(p_asof-N(K730))&lt;7),"Déjà relancée il y a "&amp;(p_asof-N(K730))&amp;" j",IF((p_asof-E730)&lt;=0,IF((p_asof-E730)&gt;-8,"Rappel courtois avant l'échéance","Aucune action"),IF((p_asof-E730)&lt;=15,"Relance 1 : e-mail de rappel",IF((p_asof-E730)&lt;=30,"Relance 2 : appel téléphonique",IF((p_asof-E730)&lt;=60,"Relance 3 : lettre de relance",IF((p_asof-E730)&lt;=90,"Mise en demeure (recommandé)","Contentieux : injonction de payer")))))))</f>
        <v/>
      </c>
      <c r="M730" t="str">
        <f>IFERROR(MATCH(699,fa_rank,0),"")</f>
        <v/>
      </c>
    </row>
    <row r="731">
      <c r="B731" s="78" t="str">
        <f>IF($M731="","",INDEX(fa_num,$M731)&amp;"")</f>
        <v/>
      </c>
      <c r="C731" s="79" t="str">
        <f>IF($M731="","",INDEX(fa_cname,$M731)&amp;"")</f>
        <v/>
      </c>
      <c r="D731" s="56" t="str">
        <f>IF($M731="","",INDEX(fa_date,$M731))</f>
        <v/>
      </c>
      <c r="E731" s="56" t="str">
        <f>IF($M731="","",INDEX(fa_due,$M731))</f>
        <v/>
      </c>
      <c r="F731" s="75" t="str">
        <f>IF($M731="","",INDEX(fa_ttc,$M731))</f>
        <v/>
      </c>
      <c r="G731" s="75" t="str">
        <f>IF($M731="","",INDEX(fa_paid,$M731)+INDEX(fa_avoirs,$M731))</f>
        <v/>
      </c>
      <c r="H731" s="75" t="str">
        <f>IF($M731="","",INDEX(fa_reste,$M731))</f>
        <v/>
      </c>
      <c r="I731" s="58" t="str">
        <f>IF($M731="","",MAX(0,p_asof-E731))</f>
        <v/>
      </c>
      <c r="J731" s="78" t="str">
        <f>IF($M731="","",INDEX(fa_tranche,$M731)&amp;"")</f>
        <v/>
      </c>
      <c r="K731" s="56" t="str">
        <f>IF($M731="","",IF(ISNUMBER(INDEX(fa_relance,$M731)),INDEX(fa_relance,$M731),""))</f>
        <v/>
      </c>
      <c r="L731" s="79" t="str">
        <f>IF($M731="","",IF(AND(ISNUMBER(K731),(p_asof-E731)&gt;0,(p_asof-N(K731))&gt;=0,(p_asof-N(K731))&lt;7),"Déjà relancée il y a "&amp;(p_asof-N(K731))&amp;" j",IF((p_asof-E731)&lt;=0,IF((p_asof-E731)&gt;-8,"Rappel courtois avant l'échéance","Aucune action"),IF((p_asof-E731)&lt;=15,"Relance 1 : e-mail de rappel",IF((p_asof-E731)&lt;=30,"Relance 2 : appel téléphonique",IF((p_asof-E731)&lt;=60,"Relance 3 : lettre de relance",IF((p_asof-E731)&lt;=90,"Mise en demeure (recommandé)","Contentieux : injonction de payer")))))))</f>
        <v/>
      </c>
      <c r="M731" t="str">
        <f>IFERROR(MATCH(700,fa_rank,0),"")</f>
        <v/>
      </c>
    </row>
    <row r="732">
      <c r="B732" s="78" t="str">
        <f>IF($M732="","",INDEX(fa_num,$M732)&amp;"")</f>
        <v/>
      </c>
      <c r="C732" s="79" t="str">
        <f>IF($M732="","",INDEX(fa_cname,$M732)&amp;"")</f>
        <v/>
      </c>
      <c r="D732" s="56" t="str">
        <f>IF($M732="","",INDEX(fa_date,$M732))</f>
        <v/>
      </c>
      <c r="E732" s="56" t="str">
        <f>IF($M732="","",INDEX(fa_due,$M732))</f>
        <v/>
      </c>
      <c r="F732" s="75" t="str">
        <f>IF($M732="","",INDEX(fa_ttc,$M732))</f>
        <v/>
      </c>
      <c r="G732" s="75" t="str">
        <f>IF($M732="","",INDEX(fa_paid,$M732)+INDEX(fa_avoirs,$M732))</f>
        <v/>
      </c>
      <c r="H732" s="75" t="str">
        <f>IF($M732="","",INDEX(fa_reste,$M732))</f>
        <v/>
      </c>
      <c r="I732" s="58" t="str">
        <f>IF($M732="","",MAX(0,p_asof-E732))</f>
        <v/>
      </c>
      <c r="J732" s="78" t="str">
        <f>IF($M732="","",INDEX(fa_tranche,$M732)&amp;"")</f>
        <v/>
      </c>
      <c r="K732" s="56" t="str">
        <f>IF($M732="","",IF(ISNUMBER(INDEX(fa_relance,$M732)),INDEX(fa_relance,$M732),""))</f>
        <v/>
      </c>
      <c r="L732" s="79" t="str">
        <f>IF($M732="","",IF(AND(ISNUMBER(K732),(p_asof-E732)&gt;0,(p_asof-N(K732))&gt;=0,(p_asof-N(K732))&lt;7),"Déjà relancée il y a "&amp;(p_asof-N(K732))&amp;" j",IF((p_asof-E732)&lt;=0,IF((p_asof-E732)&gt;-8,"Rappel courtois avant l'échéance","Aucune action"),IF((p_asof-E732)&lt;=15,"Relance 1 : e-mail de rappel",IF((p_asof-E732)&lt;=30,"Relance 2 : appel téléphonique",IF((p_asof-E732)&lt;=60,"Relance 3 : lettre de relance",IF((p_asof-E732)&lt;=90,"Mise en demeure (recommandé)","Contentieux : injonction de payer")))))))</f>
        <v/>
      </c>
      <c r="M732" t="str">
        <f>IFERROR(MATCH(701,fa_rank,0),"")</f>
        <v/>
      </c>
    </row>
    <row r="733">
      <c r="B733" s="78" t="str">
        <f>IF($M733="","",INDEX(fa_num,$M733)&amp;"")</f>
        <v/>
      </c>
      <c r="C733" s="79" t="str">
        <f>IF($M733="","",INDEX(fa_cname,$M733)&amp;"")</f>
        <v/>
      </c>
      <c r="D733" s="56" t="str">
        <f>IF($M733="","",INDEX(fa_date,$M733))</f>
        <v/>
      </c>
      <c r="E733" s="56" t="str">
        <f>IF($M733="","",INDEX(fa_due,$M733))</f>
        <v/>
      </c>
      <c r="F733" s="75" t="str">
        <f>IF($M733="","",INDEX(fa_ttc,$M733))</f>
        <v/>
      </c>
      <c r="G733" s="75" t="str">
        <f>IF($M733="","",INDEX(fa_paid,$M733)+INDEX(fa_avoirs,$M733))</f>
        <v/>
      </c>
      <c r="H733" s="75" t="str">
        <f>IF($M733="","",INDEX(fa_reste,$M733))</f>
        <v/>
      </c>
      <c r="I733" s="58" t="str">
        <f>IF($M733="","",MAX(0,p_asof-E733))</f>
        <v/>
      </c>
      <c r="J733" s="78" t="str">
        <f>IF($M733="","",INDEX(fa_tranche,$M733)&amp;"")</f>
        <v/>
      </c>
      <c r="K733" s="56" t="str">
        <f>IF($M733="","",IF(ISNUMBER(INDEX(fa_relance,$M733)),INDEX(fa_relance,$M733),""))</f>
        <v/>
      </c>
      <c r="L733" s="79" t="str">
        <f>IF($M733="","",IF(AND(ISNUMBER(K733),(p_asof-E733)&gt;0,(p_asof-N(K733))&gt;=0,(p_asof-N(K733))&lt;7),"Déjà relancée il y a "&amp;(p_asof-N(K733))&amp;" j",IF((p_asof-E733)&lt;=0,IF((p_asof-E733)&gt;-8,"Rappel courtois avant l'échéance","Aucune action"),IF((p_asof-E733)&lt;=15,"Relance 1 : e-mail de rappel",IF((p_asof-E733)&lt;=30,"Relance 2 : appel téléphonique",IF((p_asof-E733)&lt;=60,"Relance 3 : lettre de relance",IF((p_asof-E733)&lt;=90,"Mise en demeure (recommandé)","Contentieux : injonction de payer")))))))</f>
        <v/>
      </c>
      <c r="M733" t="str">
        <f>IFERROR(MATCH(702,fa_rank,0),"")</f>
        <v/>
      </c>
    </row>
    <row r="734">
      <c r="B734" s="78" t="str">
        <f>IF($M734="","",INDEX(fa_num,$M734)&amp;"")</f>
        <v/>
      </c>
      <c r="C734" s="79" t="str">
        <f>IF($M734="","",INDEX(fa_cname,$M734)&amp;"")</f>
        <v/>
      </c>
      <c r="D734" s="56" t="str">
        <f>IF($M734="","",INDEX(fa_date,$M734))</f>
        <v/>
      </c>
      <c r="E734" s="56" t="str">
        <f>IF($M734="","",INDEX(fa_due,$M734))</f>
        <v/>
      </c>
      <c r="F734" s="75" t="str">
        <f>IF($M734="","",INDEX(fa_ttc,$M734))</f>
        <v/>
      </c>
      <c r="G734" s="75" t="str">
        <f>IF($M734="","",INDEX(fa_paid,$M734)+INDEX(fa_avoirs,$M734))</f>
        <v/>
      </c>
      <c r="H734" s="75" t="str">
        <f>IF($M734="","",INDEX(fa_reste,$M734))</f>
        <v/>
      </c>
      <c r="I734" s="58" t="str">
        <f>IF($M734="","",MAX(0,p_asof-E734))</f>
        <v/>
      </c>
      <c r="J734" s="78" t="str">
        <f>IF($M734="","",INDEX(fa_tranche,$M734)&amp;"")</f>
        <v/>
      </c>
      <c r="K734" s="56" t="str">
        <f>IF($M734="","",IF(ISNUMBER(INDEX(fa_relance,$M734)),INDEX(fa_relance,$M734),""))</f>
        <v/>
      </c>
      <c r="L734" s="79" t="str">
        <f>IF($M734="","",IF(AND(ISNUMBER(K734),(p_asof-E734)&gt;0,(p_asof-N(K734))&gt;=0,(p_asof-N(K734))&lt;7),"Déjà relancée il y a "&amp;(p_asof-N(K734))&amp;" j",IF((p_asof-E734)&lt;=0,IF((p_asof-E734)&gt;-8,"Rappel courtois avant l'échéance","Aucune action"),IF((p_asof-E734)&lt;=15,"Relance 1 : e-mail de rappel",IF((p_asof-E734)&lt;=30,"Relance 2 : appel téléphonique",IF((p_asof-E734)&lt;=60,"Relance 3 : lettre de relance",IF((p_asof-E734)&lt;=90,"Mise en demeure (recommandé)","Contentieux : injonction de payer")))))))</f>
        <v/>
      </c>
      <c r="M734" t="str">
        <f>IFERROR(MATCH(703,fa_rank,0),"")</f>
        <v/>
      </c>
    </row>
    <row r="735">
      <c r="B735" s="78" t="str">
        <f>IF($M735="","",INDEX(fa_num,$M735)&amp;"")</f>
        <v/>
      </c>
      <c r="C735" s="79" t="str">
        <f>IF($M735="","",INDEX(fa_cname,$M735)&amp;"")</f>
        <v/>
      </c>
      <c r="D735" s="56" t="str">
        <f>IF($M735="","",INDEX(fa_date,$M735))</f>
        <v/>
      </c>
      <c r="E735" s="56" t="str">
        <f>IF($M735="","",INDEX(fa_due,$M735))</f>
        <v/>
      </c>
      <c r="F735" s="75" t="str">
        <f>IF($M735="","",INDEX(fa_ttc,$M735))</f>
        <v/>
      </c>
      <c r="G735" s="75" t="str">
        <f>IF($M735="","",INDEX(fa_paid,$M735)+INDEX(fa_avoirs,$M735))</f>
        <v/>
      </c>
      <c r="H735" s="75" t="str">
        <f>IF($M735="","",INDEX(fa_reste,$M735))</f>
        <v/>
      </c>
      <c r="I735" s="58" t="str">
        <f>IF($M735="","",MAX(0,p_asof-E735))</f>
        <v/>
      </c>
      <c r="J735" s="78" t="str">
        <f>IF($M735="","",INDEX(fa_tranche,$M735)&amp;"")</f>
        <v/>
      </c>
      <c r="K735" s="56" t="str">
        <f>IF($M735="","",IF(ISNUMBER(INDEX(fa_relance,$M735)),INDEX(fa_relance,$M735),""))</f>
        <v/>
      </c>
      <c r="L735" s="79" t="str">
        <f>IF($M735="","",IF(AND(ISNUMBER(K735),(p_asof-E735)&gt;0,(p_asof-N(K735))&gt;=0,(p_asof-N(K735))&lt;7),"Déjà relancée il y a "&amp;(p_asof-N(K735))&amp;" j",IF((p_asof-E735)&lt;=0,IF((p_asof-E735)&gt;-8,"Rappel courtois avant l'échéance","Aucune action"),IF((p_asof-E735)&lt;=15,"Relance 1 : e-mail de rappel",IF((p_asof-E735)&lt;=30,"Relance 2 : appel téléphonique",IF((p_asof-E735)&lt;=60,"Relance 3 : lettre de relance",IF((p_asof-E735)&lt;=90,"Mise en demeure (recommandé)","Contentieux : injonction de payer")))))))</f>
        <v/>
      </c>
      <c r="M735" t="str">
        <f>IFERROR(MATCH(704,fa_rank,0),"")</f>
        <v/>
      </c>
    </row>
    <row r="736">
      <c r="B736" s="78" t="str">
        <f>IF($M736="","",INDEX(fa_num,$M736)&amp;"")</f>
        <v/>
      </c>
      <c r="C736" s="79" t="str">
        <f>IF($M736="","",INDEX(fa_cname,$M736)&amp;"")</f>
        <v/>
      </c>
      <c r="D736" s="56" t="str">
        <f>IF($M736="","",INDEX(fa_date,$M736))</f>
        <v/>
      </c>
      <c r="E736" s="56" t="str">
        <f>IF($M736="","",INDEX(fa_due,$M736))</f>
        <v/>
      </c>
      <c r="F736" s="75" t="str">
        <f>IF($M736="","",INDEX(fa_ttc,$M736))</f>
        <v/>
      </c>
      <c r="G736" s="75" t="str">
        <f>IF($M736="","",INDEX(fa_paid,$M736)+INDEX(fa_avoirs,$M736))</f>
        <v/>
      </c>
      <c r="H736" s="75" t="str">
        <f>IF($M736="","",INDEX(fa_reste,$M736))</f>
        <v/>
      </c>
      <c r="I736" s="58" t="str">
        <f>IF($M736="","",MAX(0,p_asof-E736))</f>
        <v/>
      </c>
      <c r="J736" s="78" t="str">
        <f>IF($M736="","",INDEX(fa_tranche,$M736)&amp;"")</f>
        <v/>
      </c>
      <c r="K736" s="56" t="str">
        <f>IF($M736="","",IF(ISNUMBER(INDEX(fa_relance,$M736)),INDEX(fa_relance,$M736),""))</f>
        <v/>
      </c>
      <c r="L736" s="79" t="str">
        <f>IF($M736="","",IF(AND(ISNUMBER(K736),(p_asof-E736)&gt;0,(p_asof-N(K736))&gt;=0,(p_asof-N(K736))&lt;7),"Déjà relancée il y a "&amp;(p_asof-N(K736))&amp;" j",IF((p_asof-E736)&lt;=0,IF((p_asof-E736)&gt;-8,"Rappel courtois avant l'échéance","Aucune action"),IF((p_asof-E736)&lt;=15,"Relance 1 : e-mail de rappel",IF((p_asof-E736)&lt;=30,"Relance 2 : appel téléphonique",IF((p_asof-E736)&lt;=60,"Relance 3 : lettre de relance",IF((p_asof-E736)&lt;=90,"Mise en demeure (recommandé)","Contentieux : injonction de payer")))))))</f>
        <v/>
      </c>
      <c r="M736" t="str">
        <f>IFERROR(MATCH(705,fa_rank,0),"")</f>
        <v/>
      </c>
    </row>
    <row r="737">
      <c r="B737" s="78" t="str">
        <f>IF($M737="","",INDEX(fa_num,$M737)&amp;"")</f>
        <v/>
      </c>
      <c r="C737" s="79" t="str">
        <f>IF($M737="","",INDEX(fa_cname,$M737)&amp;"")</f>
        <v/>
      </c>
      <c r="D737" s="56" t="str">
        <f>IF($M737="","",INDEX(fa_date,$M737))</f>
        <v/>
      </c>
      <c r="E737" s="56" t="str">
        <f>IF($M737="","",INDEX(fa_due,$M737))</f>
        <v/>
      </c>
      <c r="F737" s="75" t="str">
        <f>IF($M737="","",INDEX(fa_ttc,$M737))</f>
        <v/>
      </c>
      <c r="G737" s="75" t="str">
        <f>IF($M737="","",INDEX(fa_paid,$M737)+INDEX(fa_avoirs,$M737))</f>
        <v/>
      </c>
      <c r="H737" s="75" t="str">
        <f>IF($M737="","",INDEX(fa_reste,$M737))</f>
        <v/>
      </c>
      <c r="I737" s="58" t="str">
        <f>IF($M737="","",MAX(0,p_asof-E737))</f>
        <v/>
      </c>
      <c r="J737" s="78" t="str">
        <f>IF($M737="","",INDEX(fa_tranche,$M737)&amp;"")</f>
        <v/>
      </c>
      <c r="K737" s="56" t="str">
        <f>IF($M737="","",IF(ISNUMBER(INDEX(fa_relance,$M737)),INDEX(fa_relance,$M737),""))</f>
        <v/>
      </c>
      <c r="L737" s="79" t="str">
        <f>IF($M737="","",IF(AND(ISNUMBER(K737),(p_asof-E737)&gt;0,(p_asof-N(K737))&gt;=0,(p_asof-N(K737))&lt;7),"Déjà relancée il y a "&amp;(p_asof-N(K737))&amp;" j",IF((p_asof-E737)&lt;=0,IF((p_asof-E737)&gt;-8,"Rappel courtois avant l'échéance","Aucune action"),IF((p_asof-E737)&lt;=15,"Relance 1 : e-mail de rappel",IF((p_asof-E737)&lt;=30,"Relance 2 : appel téléphonique",IF((p_asof-E737)&lt;=60,"Relance 3 : lettre de relance",IF((p_asof-E737)&lt;=90,"Mise en demeure (recommandé)","Contentieux : injonction de payer")))))))</f>
        <v/>
      </c>
      <c r="M737" t="str">
        <f>IFERROR(MATCH(706,fa_rank,0),"")</f>
        <v/>
      </c>
    </row>
    <row r="738">
      <c r="B738" s="78" t="str">
        <f>IF($M738="","",INDEX(fa_num,$M738)&amp;"")</f>
        <v/>
      </c>
      <c r="C738" s="79" t="str">
        <f>IF($M738="","",INDEX(fa_cname,$M738)&amp;"")</f>
        <v/>
      </c>
      <c r="D738" s="56" t="str">
        <f>IF($M738="","",INDEX(fa_date,$M738))</f>
        <v/>
      </c>
      <c r="E738" s="56" t="str">
        <f>IF($M738="","",INDEX(fa_due,$M738))</f>
        <v/>
      </c>
      <c r="F738" s="75" t="str">
        <f>IF($M738="","",INDEX(fa_ttc,$M738))</f>
        <v/>
      </c>
      <c r="G738" s="75" t="str">
        <f>IF($M738="","",INDEX(fa_paid,$M738)+INDEX(fa_avoirs,$M738))</f>
        <v/>
      </c>
      <c r="H738" s="75" t="str">
        <f>IF($M738="","",INDEX(fa_reste,$M738))</f>
        <v/>
      </c>
      <c r="I738" s="58" t="str">
        <f>IF($M738="","",MAX(0,p_asof-E738))</f>
        <v/>
      </c>
      <c r="J738" s="78" t="str">
        <f>IF($M738="","",INDEX(fa_tranche,$M738)&amp;"")</f>
        <v/>
      </c>
      <c r="K738" s="56" t="str">
        <f>IF($M738="","",IF(ISNUMBER(INDEX(fa_relance,$M738)),INDEX(fa_relance,$M738),""))</f>
        <v/>
      </c>
      <c r="L738" s="79" t="str">
        <f>IF($M738="","",IF(AND(ISNUMBER(K738),(p_asof-E738)&gt;0,(p_asof-N(K738))&gt;=0,(p_asof-N(K738))&lt;7),"Déjà relancée il y a "&amp;(p_asof-N(K738))&amp;" j",IF((p_asof-E738)&lt;=0,IF((p_asof-E738)&gt;-8,"Rappel courtois avant l'échéance","Aucune action"),IF((p_asof-E738)&lt;=15,"Relance 1 : e-mail de rappel",IF((p_asof-E738)&lt;=30,"Relance 2 : appel téléphonique",IF((p_asof-E738)&lt;=60,"Relance 3 : lettre de relance",IF((p_asof-E738)&lt;=90,"Mise en demeure (recommandé)","Contentieux : injonction de payer")))))))</f>
        <v/>
      </c>
      <c r="M738" t="str">
        <f>IFERROR(MATCH(707,fa_rank,0),"")</f>
        <v/>
      </c>
    </row>
    <row r="739">
      <c r="B739" s="78" t="str">
        <f>IF($M739="","",INDEX(fa_num,$M739)&amp;"")</f>
        <v/>
      </c>
      <c r="C739" s="79" t="str">
        <f>IF($M739="","",INDEX(fa_cname,$M739)&amp;"")</f>
        <v/>
      </c>
      <c r="D739" s="56" t="str">
        <f>IF($M739="","",INDEX(fa_date,$M739))</f>
        <v/>
      </c>
      <c r="E739" s="56" t="str">
        <f>IF($M739="","",INDEX(fa_due,$M739))</f>
        <v/>
      </c>
      <c r="F739" s="75" t="str">
        <f>IF($M739="","",INDEX(fa_ttc,$M739))</f>
        <v/>
      </c>
      <c r="G739" s="75" t="str">
        <f>IF($M739="","",INDEX(fa_paid,$M739)+INDEX(fa_avoirs,$M739))</f>
        <v/>
      </c>
      <c r="H739" s="75" t="str">
        <f>IF($M739="","",INDEX(fa_reste,$M739))</f>
        <v/>
      </c>
      <c r="I739" s="58" t="str">
        <f>IF($M739="","",MAX(0,p_asof-E739))</f>
        <v/>
      </c>
      <c r="J739" s="78" t="str">
        <f>IF($M739="","",INDEX(fa_tranche,$M739)&amp;"")</f>
        <v/>
      </c>
      <c r="K739" s="56" t="str">
        <f>IF($M739="","",IF(ISNUMBER(INDEX(fa_relance,$M739)),INDEX(fa_relance,$M739),""))</f>
        <v/>
      </c>
      <c r="L739" s="79" t="str">
        <f>IF($M739="","",IF(AND(ISNUMBER(K739),(p_asof-E739)&gt;0,(p_asof-N(K739))&gt;=0,(p_asof-N(K739))&lt;7),"Déjà relancée il y a "&amp;(p_asof-N(K739))&amp;" j",IF((p_asof-E739)&lt;=0,IF((p_asof-E739)&gt;-8,"Rappel courtois avant l'échéance","Aucune action"),IF((p_asof-E739)&lt;=15,"Relance 1 : e-mail de rappel",IF((p_asof-E739)&lt;=30,"Relance 2 : appel téléphonique",IF((p_asof-E739)&lt;=60,"Relance 3 : lettre de relance",IF((p_asof-E739)&lt;=90,"Mise en demeure (recommandé)","Contentieux : injonction de payer")))))))</f>
        <v/>
      </c>
      <c r="M739" t="str">
        <f>IFERROR(MATCH(708,fa_rank,0),"")</f>
        <v/>
      </c>
    </row>
    <row r="740">
      <c r="B740" s="78" t="str">
        <f>IF($M740="","",INDEX(fa_num,$M740)&amp;"")</f>
        <v/>
      </c>
      <c r="C740" s="79" t="str">
        <f>IF($M740="","",INDEX(fa_cname,$M740)&amp;"")</f>
        <v/>
      </c>
      <c r="D740" s="56" t="str">
        <f>IF($M740="","",INDEX(fa_date,$M740))</f>
        <v/>
      </c>
      <c r="E740" s="56" t="str">
        <f>IF($M740="","",INDEX(fa_due,$M740))</f>
        <v/>
      </c>
      <c r="F740" s="75" t="str">
        <f>IF($M740="","",INDEX(fa_ttc,$M740))</f>
        <v/>
      </c>
      <c r="G740" s="75" t="str">
        <f>IF($M740="","",INDEX(fa_paid,$M740)+INDEX(fa_avoirs,$M740))</f>
        <v/>
      </c>
      <c r="H740" s="75" t="str">
        <f>IF($M740="","",INDEX(fa_reste,$M740))</f>
        <v/>
      </c>
      <c r="I740" s="58" t="str">
        <f>IF($M740="","",MAX(0,p_asof-E740))</f>
        <v/>
      </c>
      <c r="J740" s="78" t="str">
        <f>IF($M740="","",INDEX(fa_tranche,$M740)&amp;"")</f>
        <v/>
      </c>
      <c r="K740" s="56" t="str">
        <f>IF($M740="","",IF(ISNUMBER(INDEX(fa_relance,$M740)),INDEX(fa_relance,$M740),""))</f>
        <v/>
      </c>
      <c r="L740" s="79" t="str">
        <f>IF($M740="","",IF(AND(ISNUMBER(K740),(p_asof-E740)&gt;0,(p_asof-N(K740))&gt;=0,(p_asof-N(K740))&lt;7),"Déjà relancée il y a "&amp;(p_asof-N(K740))&amp;" j",IF((p_asof-E740)&lt;=0,IF((p_asof-E740)&gt;-8,"Rappel courtois avant l'échéance","Aucune action"),IF((p_asof-E740)&lt;=15,"Relance 1 : e-mail de rappel",IF((p_asof-E740)&lt;=30,"Relance 2 : appel téléphonique",IF((p_asof-E740)&lt;=60,"Relance 3 : lettre de relance",IF((p_asof-E740)&lt;=90,"Mise en demeure (recommandé)","Contentieux : injonction de payer")))))))</f>
        <v/>
      </c>
      <c r="M740" t="str">
        <f>IFERROR(MATCH(709,fa_rank,0),"")</f>
        <v/>
      </c>
    </row>
    <row r="741">
      <c r="B741" s="78" t="str">
        <f>IF($M741="","",INDEX(fa_num,$M741)&amp;"")</f>
        <v/>
      </c>
      <c r="C741" s="79" t="str">
        <f>IF($M741="","",INDEX(fa_cname,$M741)&amp;"")</f>
        <v/>
      </c>
      <c r="D741" s="56" t="str">
        <f>IF($M741="","",INDEX(fa_date,$M741))</f>
        <v/>
      </c>
      <c r="E741" s="56" t="str">
        <f>IF($M741="","",INDEX(fa_due,$M741))</f>
        <v/>
      </c>
      <c r="F741" s="75" t="str">
        <f>IF($M741="","",INDEX(fa_ttc,$M741))</f>
        <v/>
      </c>
      <c r="G741" s="75" t="str">
        <f>IF($M741="","",INDEX(fa_paid,$M741)+INDEX(fa_avoirs,$M741))</f>
        <v/>
      </c>
      <c r="H741" s="75" t="str">
        <f>IF($M741="","",INDEX(fa_reste,$M741))</f>
        <v/>
      </c>
      <c r="I741" s="58" t="str">
        <f>IF($M741="","",MAX(0,p_asof-E741))</f>
        <v/>
      </c>
      <c r="J741" s="78" t="str">
        <f>IF($M741="","",INDEX(fa_tranche,$M741)&amp;"")</f>
        <v/>
      </c>
      <c r="K741" s="56" t="str">
        <f>IF($M741="","",IF(ISNUMBER(INDEX(fa_relance,$M741)),INDEX(fa_relance,$M741),""))</f>
        <v/>
      </c>
      <c r="L741" s="79" t="str">
        <f>IF($M741="","",IF(AND(ISNUMBER(K741),(p_asof-E741)&gt;0,(p_asof-N(K741))&gt;=0,(p_asof-N(K741))&lt;7),"Déjà relancée il y a "&amp;(p_asof-N(K741))&amp;" j",IF((p_asof-E741)&lt;=0,IF((p_asof-E741)&gt;-8,"Rappel courtois avant l'échéance","Aucune action"),IF((p_asof-E741)&lt;=15,"Relance 1 : e-mail de rappel",IF((p_asof-E741)&lt;=30,"Relance 2 : appel téléphonique",IF((p_asof-E741)&lt;=60,"Relance 3 : lettre de relance",IF((p_asof-E741)&lt;=90,"Mise en demeure (recommandé)","Contentieux : injonction de payer")))))))</f>
        <v/>
      </c>
      <c r="M741" t="str">
        <f>IFERROR(MATCH(710,fa_rank,0),"")</f>
        <v/>
      </c>
    </row>
    <row r="742">
      <c r="B742" s="78" t="str">
        <f>IF($M742="","",INDEX(fa_num,$M742)&amp;"")</f>
        <v/>
      </c>
      <c r="C742" s="79" t="str">
        <f>IF($M742="","",INDEX(fa_cname,$M742)&amp;"")</f>
        <v/>
      </c>
      <c r="D742" s="56" t="str">
        <f>IF($M742="","",INDEX(fa_date,$M742))</f>
        <v/>
      </c>
      <c r="E742" s="56" t="str">
        <f>IF($M742="","",INDEX(fa_due,$M742))</f>
        <v/>
      </c>
      <c r="F742" s="75" t="str">
        <f>IF($M742="","",INDEX(fa_ttc,$M742))</f>
        <v/>
      </c>
      <c r="G742" s="75" t="str">
        <f>IF($M742="","",INDEX(fa_paid,$M742)+INDEX(fa_avoirs,$M742))</f>
        <v/>
      </c>
      <c r="H742" s="75" t="str">
        <f>IF($M742="","",INDEX(fa_reste,$M742))</f>
        <v/>
      </c>
      <c r="I742" s="58" t="str">
        <f>IF($M742="","",MAX(0,p_asof-E742))</f>
        <v/>
      </c>
      <c r="J742" s="78" t="str">
        <f>IF($M742="","",INDEX(fa_tranche,$M742)&amp;"")</f>
        <v/>
      </c>
      <c r="K742" s="56" t="str">
        <f>IF($M742="","",IF(ISNUMBER(INDEX(fa_relance,$M742)),INDEX(fa_relance,$M742),""))</f>
        <v/>
      </c>
      <c r="L742" s="79" t="str">
        <f>IF($M742="","",IF(AND(ISNUMBER(K742),(p_asof-E742)&gt;0,(p_asof-N(K742))&gt;=0,(p_asof-N(K742))&lt;7),"Déjà relancée il y a "&amp;(p_asof-N(K742))&amp;" j",IF((p_asof-E742)&lt;=0,IF((p_asof-E742)&gt;-8,"Rappel courtois avant l'échéance","Aucune action"),IF((p_asof-E742)&lt;=15,"Relance 1 : e-mail de rappel",IF((p_asof-E742)&lt;=30,"Relance 2 : appel téléphonique",IF((p_asof-E742)&lt;=60,"Relance 3 : lettre de relance",IF((p_asof-E742)&lt;=90,"Mise en demeure (recommandé)","Contentieux : injonction de payer")))))))</f>
        <v/>
      </c>
      <c r="M742" t="str">
        <f>IFERROR(MATCH(711,fa_rank,0),"")</f>
        <v/>
      </c>
    </row>
    <row r="743">
      <c r="B743" s="78" t="str">
        <f>IF($M743="","",INDEX(fa_num,$M743)&amp;"")</f>
        <v/>
      </c>
      <c r="C743" s="79" t="str">
        <f>IF($M743="","",INDEX(fa_cname,$M743)&amp;"")</f>
        <v/>
      </c>
      <c r="D743" s="56" t="str">
        <f>IF($M743="","",INDEX(fa_date,$M743))</f>
        <v/>
      </c>
      <c r="E743" s="56" t="str">
        <f>IF($M743="","",INDEX(fa_due,$M743))</f>
        <v/>
      </c>
      <c r="F743" s="75" t="str">
        <f>IF($M743="","",INDEX(fa_ttc,$M743))</f>
        <v/>
      </c>
      <c r="G743" s="75" t="str">
        <f>IF($M743="","",INDEX(fa_paid,$M743)+INDEX(fa_avoirs,$M743))</f>
        <v/>
      </c>
      <c r="H743" s="75" t="str">
        <f>IF($M743="","",INDEX(fa_reste,$M743))</f>
        <v/>
      </c>
      <c r="I743" s="58" t="str">
        <f>IF($M743="","",MAX(0,p_asof-E743))</f>
        <v/>
      </c>
      <c r="J743" s="78" t="str">
        <f>IF($M743="","",INDEX(fa_tranche,$M743)&amp;"")</f>
        <v/>
      </c>
      <c r="K743" s="56" t="str">
        <f>IF($M743="","",IF(ISNUMBER(INDEX(fa_relance,$M743)),INDEX(fa_relance,$M743),""))</f>
        <v/>
      </c>
      <c r="L743" s="79" t="str">
        <f>IF($M743="","",IF(AND(ISNUMBER(K743),(p_asof-E743)&gt;0,(p_asof-N(K743))&gt;=0,(p_asof-N(K743))&lt;7),"Déjà relancée il y a "&amp;(p_asof-N(K743))&amp;" j",IF((p_asof-E743)&lt;=0,IF((p_asof-E743)&gt;-8,"Rappel courtois avant l'échéance","Aucune action"),IF((p_asof-E743)&lt;=15,"Relance 1 : e-mail de rappel",IF((p_asof-E743)&lt;=30,"Relance 2 : appel téléphonique",IF((p_asof-E743)&lt;=60,"Relance 3 : lettre de relance",IF((p_asof-E743)&lt;=90,"Mise en demeure (recommandé)","Contentieux : injonction de payer")))))))</f>
        <v/>
      </c>
      <c r="M743" t="str">
        <f>IFERROR(MATCH(712,fa_rank,0),"")</f>
        <v/>
      </c>
    </row>
    <row r="744">
      <c r="B744" s="78" t="str">
        <f>IF($M744="","",INDEX(fa_num,$M744)&amp;"")</f>
        <v/>
      </c>
      <c r="C744" s="79" t="str">
        <f>IF($M744="","",INDEX(fa_cname,$M744)&amp;"")</f>
        <v/>
      </c>
      <c r="D744" s="56" t="str">
        <f>IF($M744="","",INDEX(fa_date,$M744))</f>
        <v/>
      </c>
      <c r="E744" s="56" t="str">
        <f>IF($M744="","",INDEX(fa_due,$M744))</f>
        <v/>
      </c>
      <c r="F744" s="75" t="str">
        <f>IF($M744="","",INDEX(fa_ttc,$M744))</f>
        <v/>
      </c>
      <c r="G744" s="75" t="str">
        <f>IF($M744="","",INDEX(fa_paid,$M744)+INDEX(fa_avoirs,$M744))</f>
        <v/>
      </c>
      <c r="H744" s="75" t="str">
        <f>IF($M744="","",INDEX(fa_reste,$M744))</f>
        <v/>
      </c>
      <c r="I744" s="58" t="str">
        <f>IF($M744="","",MAX(0,p_asof-E744))</f>
        <v/>
      </c>
      <c r="J744" s="78" t="str">
        <f>IF($M744="","",INDEX(fa_tranche,$M744)&amp;"")</f>
        <v/>
      </c>
      <c r="K744" s="56" t="str">
        <f>IF($M744="","",IF(ISNUMBER(INDEX(fa_relance,$M744)),INDEX(fa_relance,$M744),""))</f>
        <v/>
      </c>
      <c r="L744" s="79" t="str">
        <f>IF($M744="","",IF(AND(ISNUMBER(K744),(p_asof-E744)&gt;0,(p_asof-N(K744))&gt;=0,(p_asof-N(K744))&lt;7),"Déjà relancée il y a "&amp;(p_asof-N(K744))&amp;" j",IF((p_asof-E744)&lt;=0,IF((p_asof-E744)&gt;-8,"Rappel courtois avant l'échéance","Aucune action"),IF((p_asof-E744)&lt;=15,"Relance 1 : e-mail de rappel",IF((p_asof-E744)&lt;=30,"Relance 2 : appel téléphonique",IF((p_asof-E744)&lt;=60,"Relance 3 : lettre de relance",IF((p_asof-E744)&lt;=90,"Mise en demeure (recommandé)","Contentieux : injonction de payer")))))))</f>
        <v/>
      </c>
      <c r="M744" t="str">
        <f>IFERROR(MATCH(713,fa_rank,0),"")</f>
        <v/>
      </c>
    </row>
    <row r="745">
      <c r="B745" s="78" t="str">
        <f>IF($M745="","",INDEX(fa_num,$M745)&amp;"")</f>
        <v/>
      </c>
      <c r="C745" s="79" t="str">
        <f>IF($M745="","",INDEX(fa_cname,$M745)&amp;"")</f>
        <v/>
      </c>
      <c r="D745" s="56" t="str">
        <f>IF($M745="","",INDEX(fa_date,$M745))</f>
        <v/>
      </c>
      <c r="E745" s="56" t="str">
        <f>IF($M745="","",INDEX(fa_due,$M745))</f>
        <v/>
      </c>
      <c r="F745" s="75" t="str">
        <f>IF($M745="","",INDEX(fa_ttc,$M745))</f>
        <v/>
      </c>
      <c r="G745" s="75" t="str">
        <f>IF($M745="","",INDEX(fa_paid,$M745)+INDEX(fa_avoirs,$M745))</f>
        <v/>
      </c>
      <c r="H745" s="75" t="str">
        <f>IF($M745="","",INDEX(fa_reste,$M745))</f>
        <v/>
      </c>
      <c r="I745" s="58" t="str">
        <f>IF($M745="","",MAX(0,p_asof-E745))</f>
        <v/>
      </c>
      <c r="J745" s="78" t="str">
        <f>IF($M745="","",INDEX(fa_tranche,$M745)&amp;"")</f>
        <v/>
      </c>
      <c r="K745" s="56" t="str">
        <f>IF($M745="","",IF(ISNUMBER(INDEX(fa_relance,$M745)),INDEX(fa_relance,$M745),""))</f>
        <v/>
      </c>
      <c r="L745" s="79" t="str">
        <f>IF($M745="","",IF(AND(ISNUMBER(K745),(p_asof-E745)&gt;0,(p_asof-N(K745))&gt;=0,(p_asof-N(K745))&lt;7),"Déjà relancée il y a "&amp;(p_asof-N(K745))&amp;" j",IF((p_asof-E745)&lt;=0,IF((p_asof-E745)&gt;-8,"Rappel courtois avant l'échéance","Aucune action"),IF((p_asof-E745)&lt;=15,"Relance 1 : e-mail de rappel",IF((p_asof-E745)&lt;=30,"Relance 2 : appel téléphonique",IF((p_asof-E745)&lt;=60,"Relance 3 : lettre de relance",IF((p_asof-E745)&lt;=90,"Mise en demeure (recommandé)","Contentieux : injonction de payer")))))))</f>
        <v/>
      </c>
      <c r="M745" t="str">
        <f>IFERROR(MATCH(714,fa_rank,0),"")</f>
        <v/>
      </c>
    </row>
    <row r="746">
      <c r="B746" s="78" t="str">
        <f>IF($M746="","",INDEX(fa_num,$M746)&amp;"")</f>
        <v/>
      </c>
      <c r="C746" s="79" t="str">
        <f>IF($M746="","",INDEX(fa_cname,$M746)&amp;"")</f>
        <v/>
      </c>
      <c r="D746" s="56" t="str">
        <f>IF($M746="","",INDEX(fa_date,$M746))</f>
        <v/>
      </c>
      <c r="E746" s="56" t="str">
        <f>IF($M746="","",INDEX(fa_due,$M746))</f>
        <v/>
      </c>
      <c r="F746" s="75" t="str">
        <f>IF($M746="","",INDEX(fa_ttc,$M746))</f>
        <v/>
      </c>
      <c r="G746" s="75" t="str">
        <f>IF($M746="","",INDEX(fa_paid,$M746)+INDEX(fa_avoirs,$M746))</f>
        <v/>
      </c>
      <c r="H746" s="75" t="str">
        <f>IF($M746="","",INDEX(fa_reste,$M746))</f>
        <v/>
      </c>
      <c r="I746" s="58" t="str">
        <f>IF($M746="","",MAX(0,p_asof-E746))</f>
        <v/>
      </c>
      <c r="J746" s="78" t="str">
        <f>IF($M746="","",INDEX(fa_tranche,$M746)&amp;"")</f>
        <v/>
      </c>
      <c r="K746" s="56" t="str">
        <f>IF($M746="","",IF(ISNUMBER(INDEX(fa_relance,$M746)),INDEX(fa_relance,$M746),""))</f>
        <v/>
      </c>
      <c r="L746" s="79" t="str">
        <f>IF($M746="","",IF(AND(ISNUMBER(K746),(p_asof-E746)&gt;0,(p_asof-N(K746))&gt;=0,(p_asof-N(K746))&lt;7),"Déjà relancée il y a "&amp;(p_asof-N(K746))&amp;" j",IF((p_asof-E746)&lt;=0,IF((p_asof-E746)&gt;-8,"Rappel courtois avant l'échéance","Aucune action"),IF((p_asof-E746)&lt;=15,"Relance 1 : e-mail de rappel",IF((p_asof-E746)&lt;=30,"Relance 2 : appel téléphonique",IF((p_asof-E746)&lt;=60,"Relance 3 : lettre de relance",IF((p_asof-E746)&lt;=90,"Mise en demeure (recommandé)","Contentieux : injonction de payer")))))))</f>
        <v/>
      </c>
      <c r="M746" t="str">
        <f>IFERROR(MATCH(715,fa_rank,0),"")</f>
        <v/>
      </c>
    </row>
    <row r="747">
      <c r="B747" s="78" t="str">
        <f>IF($M747="","",INDEX(fa_num,$M747)&amp;"")</f>
        <v/>
      </c>
      <c r="C747" s="79" t="str">
        <f>IF($M747="","",INDEX(fa_cname,$M747)&amp;"")</f>
        <v/>
      </c>
      <c r="D747" s="56" t="str">
        <f>IF($M747="","",INDEX(fa_date,$M747))</f>
        <v/>
      </c>
      <c r="E747" s="56" t="str">
        <f>IF($M747="","",INDEX(fa_due,$M747))</f>
        <v/>
      </c>
      <c r="F747" s="75" t="str">
        <f>IF($M747="","",INDEX(fa_ttc,$M747))</f>
        <v/>
      </c>
      <c r="G747" s="75" t="str">
        <f>IF($M747="","",INDEX(fa_paid,$M747)+INDEX(fa_avoirs,$M747))</f>
        <v/>
      </c>
      <c r="H747" s="75" t="str">
        <f>IF($M747="","",INDEX(fa_reste,$M747))</f>
        <v/>
      </c>
      <c r="I747" s="58" t="str">
        <f>IF($M747="","",MAX(0,p_asof-E747))</f>
        <v/>
      </c>
      <c r="J747" s="78" t="str">
        <f>IF($M747="","",INDEX(fa_tranche,$M747)&amp;"")</f>
        <v/>
      </c>
      <c r="K747" s="56" t="str">
        <f>IF($M747="","",IF(ISNUMBER(INDEX(fa_relance,$M747)),INDEX(fa_relance,$M747),""))</f>
        <v/>
      </c>
      <c r="L747" s="79" t="str">
        <f>IF($M747="","",IF(AND(ISNUMBER(K747),(p_asof-E747)&gt;0,(p_asof-N(K747))&gt;=0,(p_asof-N(K747))&lt;7),"Déjà relancée il y a "&amp;(p_asof-N(K747))&amp;" j",IF((p_asof-E747)&lt;=0,IF((p_asof-E747)&gt;-8,"Rappel courtois avant l'échéance","Aucune action"),IF((p_asof-E747)&lt;=15,"Relance 1 : e-mail de rappel",IF((p_asof-E747)&lt;=30,"Relance 2 : appel téléphonique",IF((p_asof-E747)&lt;=60,"Relance 3 : lettre de relance",IF((p_asof-E747)&lt;=90,"Mise en demeure (recommandé)","Contentieux : injonction de payer")))))))</f>
        <v/>
      </c>
      <c r="M747" t="str">
        <f>IFERROR(MATCH(716,fa_rank,0),"")</f>
        <v/>
      </c>
    </row>
    <row r="748">
      <c r="B748" s="78" t="str">
        <f>IF($M748="","",INDEX(fa_num,$M748)&amp;"")</f>
        <v/>
      </c>
      <c r="C748" s="79" t="str">
        <f>IF($M748="","",INDEX(fa_cname,$M748)&amp;"")</f>
        <v/>
      </c>
      <c r="D748" s="56" t="str">
        <f>IF($M748="","",INDEX(fa_date,$M748))</f>
        <v/>
      </c>
      <c r="E748" s="56" t="str">
        <f>IF($M748="","",INDEX(fa_due,$M748))</f>
        <v/>
      </c>
      <c r="F748" s="75" t="str">
        <f>IF($M748="","",INDEX(fa_ttc,$M748))</f>
        <v/>
      </c>
      <c r="G748" s="75" t="str">
        <f>IF($M748="","",INDEX(fa_paid,$M748)+INDEX(fa_avoirs,$M748))</f>
        <v/>
      </c>
      <c r="H748" s="75" t="str">
        <f>IF($M748="","",INDEX(fa_reste,$M748))</f>
        <v/>
      </c>
      <c r="I748" s="58" t="str">
        <f>IF($M748="","",MAX(0,p_asof-E748))</f>
        <v/>
      </c>
      <c r="J748" s="78" t="str">
        <f>IF($M748="","",INDEX(fa_tranche,$M748)&amp;"")</f>
        <v/>
      </c>
      <c r="K748" s="56" t="str">
        <f>IF($M748="","",IF(ISNUMBER(INDEX(fa_relance,$M748)),INDEX(fa_relance,$M748),""))</f>
        <v/>
      </c>
      <c r="L748" s="79" t="str">
        <f>IF($M748="","",IF(AND(ISNUMBER(K748),(p_asof-E748)&gt;0,(p_asof-N(K748))&gt;=0,(p_asof-N(K748))&lt;7),"Déjà relancée il y a "&amp;(p_asof-N(K748))&amp;" j",IF((p_asof-E748)&lt;=0,IF((p_asof-E748)&gt;-8,"Rappel courtois avant l'échéance","Aucune action"),IF((p_asof-E748)&lt;=15,"Relance 1 : e-mail de rappel",IF((p_asof-E748)&lt;=30,"Relance 2 : appel téléphonique",IF((p_asof-E748)&lt;=60,"Relance 3 : lettre de relance",IF((p_asof-E748)&lt;=90,"Mise en demeure (recommandé)","Contentieux : injonction de payer")))))))</f>
        <v/>
      </c>
      <c r="M748" t="str">
        <f>IFERROR(MATCH(717,fa_rank,0),"")</f>
        <v/>
      </c>
    </row>
    <row r="749">
      <c r="B749" s="78" t="str">
        <f>IF($M749="","",INDEX(fa_num,$M749)&amp;"")</f>
        <v/>
      </c>
      <c r="C749" s="79" t="str">
        <f>IF($M749="","",INDEX(fa_cname,$M749)&amp;"")</f>
        <v/>
      </c>
      <c r="D749" s="56" t="str">
        <f>IF($M749="","",INDEX(fa_date,$M749))</f>
        <v/>
      </c>
      <c r="E749" s="56" t="str">
        <f>IF($M749="","",INDEX(fa_due,$M749))</f>
        <v/>
      </c>
      <c r="F749" s="75" t="str">
        <f>IF($M749="","",INDEX(fa_ttc,$M749))</f>
        <v/>
      </c>
      <c r="G749" s="75" t="str">
        <f>IF($M749="","",INDEX(fa_paid,$M749)+INDEX(fa_avoirs,$M749))</f>
        <v/>
      </c>
      <c r="H749" s="75" t="str">
        <f>IF($M749="","",INDEX(fa_reste,$M749))</f>
        <v/>
      </c>
      <c r="I749" s="58" t="str">
        <f>IF($M749="","",MAX(0,p_asof-E749))</f>
        <v/>
      </c>
      <c r="J749" s="78" t="str">
        <f>IF($M749="","",INDEX(fa_tranche,$M749)&amp;"")</f>
        <v/>
      </c>
      <c r="K749" s="56" t="str">
        <f>IF($M749="","",IF(ISNUMBER(INDEX(fa_relance,$M749)),INDEX(fa_relance,$M749),""))</f>
        <v/>
      </c>
      <c r="L749" s="79" t="str">
        <f>IF($M749="","",IF(AND(ISNUMBER(K749),(p_asof-E749)&gt;0,(p_asof-N(K749))&gt;=0,(p_asof-N(K749))&lt;7),"Déjà relancée il y a "&amp;(p_asof-N(K749))&amp;" j",IF((p_asof-E749)&lt;=0,IF((p_asof-E749)&gt;-8,"Rappel courtois avant l'échéance","Aucune action"),IF((p_asof-E749)&lt;=15,"Relance 1 : e-mail de rappel",IF((p_asof-E749)&lt;=30,"Relance 2 : appel téléphonique",IF((p_asof-E749)&lt;=60,"Relance 3 : lettre de relance",IF((p_asof-E749)&lt;=90,"Mise en demeure (recommandé)","Contentieux : injonction de payer")))))))</f>
        <v/>
      </c>
      <c r="M749" t="str">
        <f>IFERROR(MATCH(718,fa_rank,0),"")</f>
        <v/>
      </c>
    </row>
    <row r="750">
      <c r="B750" s="78" t="str">
        <f>IF($M750="","",INDEX(fa_num,$M750)&amp;"")</f>
        <v/>
      </c>
      <c r="C750" s="79" t="str">
        <f>IF($M750="","",INDEX(fa_cname,$M750)&amp;"")</f>
        <v/>
      </c>
      <c r="D750" s="56" t="str">
        <f>IF($M750="","",INDEX(fa_date,$M750))</f>
        <v/>
      </c>
      <c r="E750" s="56" t="str">
        <f>IF($M750="","",INDEX(fa_due,$M750))</f>
        <v/>
      </c>
      <c r="F750" s="75" t="str">
        <f>IF($M750="","",INDEX(fa_ttc,$M750))</f>
        <v/>
      </c>
      <c r="G750" s="75" t="str">
        <f>IF($M750="","",INDEX(fa_paid,$M750)+INDEX(fa_avoirs,$M750))</f>
        <v/>
      </c>
      <c r="H750" s="75" t="str">
        <f>IF($M750="","",INDEX(fa_reste,$M750))</f>
        <v/>
      </c>
      <c r="I750" s="58" t="str">
        <f>IF($M750="","",MAX(0,p_asof-E750))</f>
        <v/>
      </c>
      <c r="J750" s="78" t="str">
        <f>IF($M750="","",INDEX(fa_tranche,$M750)&amp;"")</f>
        <v/>
      </c>
      <c r="K750" s="56" t="str">
        <f>IF($M750="","",IF(ISNUMBER(INDEX(fa_relance,$M750)),INDEX(fa_relance,$M750),""))</f>
        <v/>
      </c>
      <c r="L750" s="79" t="str">
        <f>IF($M750="","",IF(AND(ISNUMBER(K750),(p_asof-E750)&gt;0,(p_asof-N(K750))&gt;=0,(p_asof-N(K750))&lt;7),"Déjà relancée il y a "&amp;(p_asof-N(K750))&amp;" j",IF((p_asof-E750)&lt;=0,IF((p_asof-E750)&gt;-8,"Rappel courtois avant l'échéance","Aucune action"),IF((p_asof-E750)&lt;=15,"Relance 1 : e-mail de rappel",IF((p_asof-E750)&lt;=30,"Relance 2 : appel téléphonique",IF((p_asof-E750)&lt;=60,"Relance 3 : lettre de relance",IF((p_asof-E750)&lt;=90,"Mise en demeure (recommandé)","Contentieux : injonction de payer")))))))</f>
        <v/>
      </c>
      <c r="M750" t="str">
        <f>IFERROR(MATCH(719,fa_rank,0),"")</f>
        <v/>
      </c>
    </row>
    <row r="751">
      <c r="B751" s="78" t="str">
        <f>IF($M751="","",INDEX(fa_num,$M751)&amp;"")</f>
        <v/>
      </c>
      <c r="C751" s="79" t="str">
        <f>IF($M751="","",INDEX(fa_cname,$M751)&amp;"")</f>
        <v/>
      </c>
      <c r="D751" s="56" t="str">
        <f>IF($M751="","",INDEX(fa_date,$M751))</f>
        <v/>
      </c>
      <c r="E751" s="56" t="str">
        <f>IF($M751="","",INDEX(fa_due,$M751))</f>
        <v/>
      </c>
      <c r="F751" s="75" t="str">
        <f>IF($M751="","",INDEX(fa_ttc,$M751))</f>
        <v/>
      </c>
      <c r="G751" s="75" t="str">
        <f>IF($M751="","",INDEX(fa_paid,$M751)+INDEX(fa_avoirs,$M751))</f>
        <v/>
      </c>
      <c r="H751" s="75" t="str">
        <f>IF($M751="","",INDEX(fa_reste,$M751))</f>
        <v/>
      </c>
      <c r="I751" s="58" t="str">
        <f>IF($M751="","",MAX(0,p_asof-E751))</f>
        <v/>
      </c>
      <c r="J751" s="78" t="str">
        <f>IF($M751="","",INDEX(fa_tranche,$M751)&amp;"")</f>
        <v/>
      </c>
      <c r="K751" s="56" t="str">
        <f>IF($M751="","",IF(ISNUMBER(INDEX(fa_relance,$M751)),INDEX(fa_relance,$M751),""))</f>
        <v/>
      </c>
      <c r="L751" s="79" t="str">
        <f>IF($M751="","",IF(AND(ISNUMBER(K751),(p_asof-E751)&gt;0,(p_asof-N(K751))&gt;=0,(p_asof-N(K751))&lt;7),"Déjà relancée il y a "&amp;(p_asof-N(K751))&amp;" j",IF((p_asof-E751)&lt;=0,IF((p_asof-E751)&gt;-8,"Rappel courtois avant l'échéance","Aucune action"),IF((p_asof-E751)&lt;=15,"Relance 1 : e-mail de rappel",IF((p_asof-E751)&lt;=30,"Relance 2 : appel téléphonique",IF((p_asof-E751)&lt;=60,"Relance 3 : lettre de relance",IF((p_asof-E751)&lt;=90,"Mise en demeure (recommandé)","Contentieux : injonction de payer")))))))</f>
        <v/>
      </c>
      <c r="M751" t="str">
        <f>IFERROR(MATCH(720,fa_rank,0),"")</f>
        <v/>
      </c>
    </row>
    <row r="752">
      <c r="B752" s="78" t="str">
        <f>IF($M752="","",INDEX(fa_num,$M752)&amp;"")</f>
        <v/>
      </c>
      <c r="C752" s="79" t="str">
        <f>IF($M752="","",INDEX(fa_cname,$M752)&amp;"")</f>
        <v/>
      </c>
      <c r="D752" s="56" t="str">
        <f>IF($M752="","",INDEX(fa_date,$M752))</f>
        <v/>
      </c>
      <c r="E752" s="56" t="str">
        <f>IF($M752="","",INDEX(fa_due,$M752))</f>
        <v/>
      </c>
      <c r="F752" s="75" t="str">
        <f>IF($M752="","",INDEX(fa_ttc,$M752))</f>
        <v/>
      </c>
      <c r="G752" s="75" t="str">
        <f>IF($M752="","",INDEX(fa_paid,$M752)+INDEX(fa_avoirs,$M752))</f>
        <v/>
      </c>
      <c r="H752" s="75" t="str">
        <f>IF($M752="","",INDEX(fa_reste,$M752))</f>
        <v/>
      </c>
      <c r="I752" s="58" t="str">
        <f>IF($M752="","",MAX(0,p_asof-E752))</f>
        <v/>
      </c>
      <c r="J752" s="78" t="str">
        <f>IF($M752="","",INDEX(fa_tranche,$M752)&amp;"")</f>
        <v/>
      </c>
      <c r="K752" s="56" t="str">
        <f>IF($M752="","",IF(ISNUMBER(INDEX(fa_relance,$M752)),INDEX(fa_relance,$M752),""))</f>
        <v/>
      </c>
      <c r="L752" s="79" t="str">
        <f>IF($M752="","",IF(AND(ISNUMBER(K752),(p_asof-E752)&gt;0,(p_asof-N(K752))&gt;=0,(p_asof-N(K752))&lt;7),"Déjà relancée il y a "&amp;(p_asof-N(K752))&amp;" j",IF((p_asof-E752)&lt;=0,IF((p_asof-E752)&gt;-8,"Rappel courtois avant l'échéance","Aucune action"),IF((p_asof-E752)&lt;=15,"Relance 1 : e-mail de rappel",IF((p_asof-E752)&lt;=30,"Relance 2 : appel téléphonique",IF((p_asof-E752)&lt;=60,"Relance 3 : lettre de relance",IF((p_asof-E752)&lt;=90,"Mise en demeure (recommandé)","Contentieux : injonction de payer")))))))</f>
        <v/>
      </c>
      <c r="M752" t="str">
        <f>IFERROR(MATCH(721,fa_rank,0),"")</f>
        <v/>
      </c>
    </row>
    <row r="753">
      <c r="B753" s="78" t="str">
        <f>IF($M753="","",INDEX(fa_num,$M753)&amp;"")</f>
        <v/>
      </c>
      <c r="C753" s="79" t="str">
        <f>IF($M753="","",INDEX(fa_cname,$M753)&amp;"")</f>
        <v/>
      </c>
      <c r="D753" s="56" t="str">
        <f>IF($M753="","",INDEX(fa_date,$M753))</f>
        <v/>
      </c>
      <c r="E753" s="56" t="str">
        <f>IF($M753="","",INDEX(fa_due,$M753))</f>
        <v/>
      </c>
      <c r="F753" s="75" t="str">
        <f>IF($M753="","",INDEX(fa_ttc,$M753))</f>
        <v/>
      </c>
      <c r="G753" s="75" t="str">
        <f>IF($M753="","",INDEX(fa_paid,$M753)+INDEX(fa_avoirs,$M753))</f>
        <v/>
      </c>
      <c r="H753" s="75" t="str">
        <f>IF($M753="","",INDEX(fa_reste,$M753))</f>
        <v/>
      </c>
      <c r="I753" s="58" t="str">
        <f>IF($M753="","",MAX(0,p_asof-E753))</f>
        <v/>
      </c>
      <c r="J753" s="78" t="str">
        <f>IF($M753="","",INDEX(fa_tranche,$M753)&amp;"")</f>
        <v/>
      </c>
      <c r="K753" s="56" t="str">
        <f>IF($M753="","",IF(ISNUMBER(INDEX(fa_relance,$M753)),INDEX(fa_relance,$M753),""))</f>
        <v/>
      </c>
      <c r="L753" s="79" t="str">
        <f>IF($M753="","",IF(AND(ISNUMBER(K753),(p_asof-E753)&gt;0,(p_asof-N(K753))&gt;=0,(p_asof-N(K753))&lt;7),"Déjà relancée il y a "&amp;(p_asof-N(K753))&amp;" j",IF((p_asof-E753)&lt;=0,IF((p_asof-E753)&gt;-8,"Rappel courtois avant l'échéance","Aucune action"),IF((p_asof-E753)&lt;=15,"Relance 1 : e-mail de rappel",IF((p_asof-E753)&lt;=30,"Relance 2 : appel téléphonique",IF((p_asof-E753)&lt;=60,"Relance 3 : lettre de relance",IF((p_asof-E753)&lt;=90,"Mise en demeure (recommandé)","Contentieux : injonction de payer")))))))</f>
        <v/>
      </c>
      <c r="M753" t="str">
        <f>IFERROR(MATCH(722,fa_rank,0),"")</f>
        <v/>
      </c>
    </row>
    <row r="754">
      <c r="B754" s="78" t="str">
        <f>IF($M754="","",INDEX(fa_num,$M754)&amp;"")</f>
        <v/>
      </c>
      <c r="C754" s="79" t="str">
        <f>IF($M754="","",INDEX(fa_cname,$M754)&amp;"")</f>
        <v/>
      </c>
      <c r="D754" s="56" t="str">
        <f>IF($M754="","",INDEX(fa_date,$M754))</f>
        <v/>
      </c>
      <c r="E754" s="56" t="str">
        <f>IF($M754="","",INDEX(fa_due,$M754))</f>
        <v/>
      </c>
      <c r="F754" s="75" t="str">
        <f>IF($M754="","",INDEX(fa_ttc,$M754))</f>
        <v/>
      </c>
      <c r="G754" s="75" t="str">
        <f>IF($M754="","",INDEX(fa_paid,$M754)+INDEX(fa_avoirs,$M754))</f>
        <v/>
      </c>
      <c r="H754" s="75" t="str">
        <f>IF($M754="","",INDEX(fa_reste,$M754))</f>
        <v/>
      </c>
      <c r="I754" s="58" t="str">
        <f>IF($M754="","",MAX(0,p_asof-E754))</f>
        <v/>
      </c>
      <c r="J754" s="78" t="str">
        <f>IF($M754="","",INDEX(fa_tranche,$M754)&amp;"")</f>
        <v/>
      </c>
      <c r="K754" s="56" t="str">
        <f>IF($M754="","",IF(ISNUMBER(INDEX(fa_relance,$M754)),INDEX(fa_relance,$M754),""))</f>
        <v/>
      </c>
      <c r="L754" s="79" t="str">
        <f>IF($M754="","",IF(AND(ISNUMBER(K754),(p_asof-E754)&gt;0,(p_asof-N(K754))&gt;=0,(p_asof-N(K754))&lt;7),"Déjà relancée il y a "&amp;(p_asof-N(K754))&amp;" j",IF((p_asof-E754)&lt;=0,IF((p_asof-E754)&gt;-8,"Rappel courtois avant l'échéance","Aucune action"),IF((p_asof-E754)&lt;=15,"Relance 1 : e-mail de rappel",IF((p_asof-E754)&lt;=30,"Relance 2 : appel téléphonique",IF((p_asof-E754)&lt;=60,"Relance 3 : lettre de relance",IF((p_asof-E754)&lt;=90,"Mise en demeure (recommandé)","Contentieux : injonction de payer")))))))</f>
        <v/>
      </c>
      <c r="M754" t="str">
        <f>IFERROR(MATCH(723,fa_rank,0),"")</f>
        <v/>
      </c>
    </row>
    <row r="755">
      <c r="B755" s="78" t="str">
        <f>IF($M755="","",INDEX(fa_num,$M755)&amp;"")</f>
        <v/>
      </c>
      <c r="C755" s="79" t="str">
        <f>IF($M755="","",INDEX(fa_cname,$M755)&amp;"")</f>
        <v/>
      </c>
      <c r="D755" s="56" t="str">
        <f>IF($M755="","",INDEX(fa_date,$M755))</f>
        <v/>
      </c>
      <c r="E755" s="56" t="str">
        <f>IF($M755="","",INDEX(fa_due,$M755))</f>
        <v/>
      </c>
      <c r="F755" s="75" t="str">
        <f>IF($M755="","",INDEX(fa_ttc,$M755))</f>
        <v/>
      </c>
      <c r="G755" s="75" t="str">
        <f>IF($M755="","",INDEX(fa_paid,$M755)+INDEX(fa_avoirs,$M755))</f>
        <v/>
      </c>
      <c r="H755" s="75" t="str">
        <f>IF($M755="","",INDEX(fa_reste,$M755))</f>
        <v/>
      </c>
      <c r="I755" s="58" t="str">
        <f>IF($M755="","",MAX(0,p_asof-E755))</f>
        <v/>
      </c>
      <c r="J755" s="78" t="str">
        <f>IF($M755="","",INDEX(fa_tranche,$M755)&amp;"")</f>
        <v/>
      </c>
      <c r="K755" s="56" t="str">
        <f>IF($M755="","",IF(ISNUMBER(INDEX(fa_relance,$M755)),INDEX(fa_relance,$M755),""))</f>
        <v/>
      </c>
      <c r="L755" s="79" t="str">
        <f>IF($M755="","",IF(AND(ISNUMBER(K755),(p_asof-E755)&gt;0,(p_asof-N(K755))&gt;=0,(p_asof-N(K755))&lt;7),"Déjà relancée il y a "&amp;(p_asof-N(K755))&amp;" j",IF((p_asof-E755)&lt;=0,IF((p_asof-E755)&gt;-8,"Rappel courtois avant l'échéance","Aucune action"),IF((p_asof-E755)&lt;=15,"Relance 1 : e-mail de rappel",IF((p_asof-E755)&lt;=30,"Relance 2 : appel téléphonique",IF((p_asof-E755)&lt;=60,"Relance 3 : lettre de relance",IF((p_asof-E755)&lt;=90,"Mise en demeure (recommandé)","Contentieux : injonction de payer")))))))</f>
        <v/>
      </c>
      <c r="M755" t="str">
        <f>IFERROR(MATCH(724,fa_rank,0),"")</f>
        <v/>
      </c>
    </row>
    <row r="756">
      <c r="B756" s="78" t="str">
        <f>IF($M756="","",INDEX(fa_num,$M756)&amp;"")</f>
        <v/>
      </c>
      <c r="C756" s="79" t="str">
        <f>IF($M756="","",INDEX(fa_cname,$M756)&amp;"")</f>
        <v/>
      </c>
      <c r="D756" s="56" t="str">
        <f>IF($M756="","",INDEX(fa_date,$M756))</f>
        <v/>
      </c>
      <c r="E756" s="56" t="str">
        <f>IF($M756="","",INDEX(fa_due,$M756))</f>
        <v/>
      </c>
      <c r="F756" s="75" t="str">
        <f>IF($M756="","",INDEX(fa_ttc,$M756))</f>
        <v/>
      </c>
      <c r="G756" s="75" t="str">
        <f>IF($M756="","",INDEX(fa_paid,$M756)+INDEX(fa_avoirs,$M756))</f>
        <v/>
      </c>
      <c r="H756" s="75" t="str">
        <f>IF($M756="","",INDEX(fa_reste,$M756))</f>
        <v/>
      </c>
      <c r="I756" s="58" t="str">
        <f>IF($M756="","",MAX(0,p_asof-E756))</f>
        <v/>
      </c>
      <c r="J756" s="78" t="str">
        <f>IF($M756="","",INDEX(fa_tranche,$M756)&amp;"")</f>
        <v/>
      </c>
      <c r="K756" s="56" t="str">
        <f>IF($M756="","",IF(ISNUMBER(INDEX(fa_relance,$M756)),INDEX(fa_relance,$M756),""))</f>
        <v/>
      </c>
      <c r="L756" s="79" t="str">
        <f>IF($M756="","",IF(AND(ISNUMBER(K756),(p_asof-E756)&gt;0,(p_asof-N(K756))&gt;=0,(p_asof-N(K756))&lt;7),"Déjà relancée il y a "&amp;(p_asof-N(K756))&amp;" j",IF((p_asof-E756)&lt;=0,IF((p_asof-E756)&gt;-8,"Rappel courtois avant l'échéance","Aucune action"),IF((p_asof-E756)&lt;=15,"Relance 1 : e-mail de rappel",IF((p_asof-E756)&lt;=30,"Relance 2 : appel téléphonique",IF((p_asof-E756)&lt;=60,"Relance 3 : lettre de relance",IF((p_asof-E756)&lt;=90,"Mise en demeure (recommandé)","Contentieux : injonction de payer")))))))</f>
        <v/>
      </c>
      <c r="M756" t="str">
        <f>IFERROR(MATCH(725,fa_rank,0),"")</f>
        <v/>
      </c>
    </row>
    <row r="757">
      <c r="B757" s="78" t="str">
        <f>IF($M757="","",INDEX(fa_num,$M757)&amp;"")</f>
        <v/>
      </c>
      <c r="C757" s="79" t="str">
        <f>IF($M757="","",INDEX(fa_cname,$M757)&amp;"")</f>
        <v/>
      </c>
      <c r="D757" s="56" t="str">
        <f>IF($M757="","",INDEX(fa_date,$M757))</f>
        <v/>
      </c>
      <c r="E757" s="56" t="str">
        <f>IF($M757="","",INDEX(fa_due,$M757))</f>
        <v/>
      </c>
      <c r="F757" s="75" t="str">
        <f>IF($M757="","",INDEX(fa_ttc,$M757))</f>
        <v/>
      </c>
      <c r="G757" s="75" t="str">
        <f>IF($M757="","",INDEX(fa_paid,$M757)+INDEX(fa_avoirs,$M757))</f>
        <v/>
      </c>
      <c r="H757" s="75" t="str">
        <f>IF($M757="","",INDEX(fa_reste,$M757))</f>
        <v/>
      </c>
      <c r="I757" s="58" t="str">
        <f>IF($M757="","",MAX(0,p_asof-E757))</f>
        <v/>
      </c>
      <c r="J757" s="78" t="str">
        <f>IF($M757="","",INDEX(fa_tranche,$M757)&amp;"")</f>
        <v/>
      </c>
      <c r="K757" s="56" t="str">
        <f>IF($M757="","",IF(ISNUMBER(INDEX(fa_relance,$M757)),INDEX(fa_relance,$M757),""))</f>
        <v/>
      </c>
      <c r="L757" s="79" t="str">
        <f>IF($M757="","",IF(AND(ISNUMBER(K757),(p_asof-E757)&gt;0,(p_asof-N(K757))&gt;=0,(p_asof-N(K757))&lt;7),"Déjà relancée il y a "&amp;(p_asof-N(K757))&amp;" j",IF((p_asof-E757)&lt;=0,IF((p_asof-E757)&gt;-8,"Rappel courtois avant l'échéance","Aucune action"),IF((p_asof-E757)&lt;=15,"Relance 1 : e-mail de rappel",IF((p_asof-E757)&lt;=30,"Relance 2 : appel téléphonique",IF((p_asof-E757)&lt;=60,"Relance 3 : lettre de relance",IF((p_asof-E757)&lt;=90,"Mise en demeure (recommandé)","Contentieux : injonction de payer")))))))</f>
        <v/>
      </c>
      <c r="M757" t="str">
        <f>IFERROR(MATCH(726,fa_rank,0),"")</f>
        <v/>
      </c>
    </row>
    <row r="758">
      <c r="B758" s="78" t="str">
        <f>IF($M758="","",INDEX(fa_num,$M758)&amp;"")</f>
        <v/>
      </c>
      <c r="C758" s="79" t="str">
        <f>IF($M758="","",INDEX(fa_cname,$M758)&amp;"")</f>
        <v/>
      </c>
      <c r="D758" s="56" t="str">
        <f>IF($M758="","",INDEX(fa_date,$M758))</f>
        <v/>
      </c>
      <c r="E758" s="56" t="str">
        <f>IF($M758="","",INDEX(fa_due,$M758))</f>
        <v/>
      </c>
      <c r="F758" s="75" t="str">
        <f>IF($M758="","",INDEX(fa_ttc,$M758))</f>
        <v/>
      </c>
      <c r="G758" s="75" t="str">
        <f>IF($M758="","",INDEX(fa_paid,$M758)+INDEX(fa_avoirs,$M758))</f>
        <v/>
      </c>
      <c r="H758" s="75" t="str">
        <f>IF($M758="","",INDEX(fa_reste,$M758))</f>
        <v/>
      </c>
      <c r="I758" s="58" t="str">
        <f>IF($M758="","",MAX(0,p_asof-E758))</f>
        <v/>
      </c>
      <c r="J758" s="78" t="str">
        <f>IF($M758="","",INDEX(fa_tranche,$M758)&amp;"")</f>
        <v/>
      </c>
      <c r="K758" s="56" t="str">
        <f>IF($M758="","",IF(ISNUMBER(INDEX(fa_relance,$M758)),INDEX(fa_relance,$M758),""))</f>
        <v/>
      </c>
      <c r="L758" s="79" t="str">
        <f>IF($M758="","",IF(AND(ISNUMBER(K758),(p_asof-E758)&gt;0,(p_asof-N(K758))&gt;=0,(p_asof-N(K758))&lt;7),"Déjà relancée il y a "&amp;(p_asof-N(K758))&amp;" j",IF((p_asof-E758)&lt;=0,IF((p_asof-E758)&gt;-8,"Rappel courtois avant l'échéance","Aucune action"),IF((p_asof-E758)&lt;=15,"Relance 1 : e-mail de rappel",IF((p_asof-E758)&lt;=30,"Relance 2 : appel téléphonique",IF((p_asof-E758)&lt;=60,"Relance 3 : lettre de relance",IF((p_asof-E758)&lt;=90,"Mise en demeure (recommandé)","Contentieux : injonction de payer")))))))</f>
        <v/>
      </c>
      <c r="M758" t="str">
        <f>IFERROR(MATCH(727,fa_rank,0),"")</f>
        <v/>
      </c>
    </row>
    <row r="759">
      <c r="B759" s="78" t="str">
        <f>IF($M759="","",INDEX(fa_num,$M759)&amp;"")</f>
        <v/>
      </c>
      <c r="C759" s="79" t="str">
        <f>IF($M759="","",INDEX(fa_cname,$M759)&amp;"")</f>
        <v/>
      </c>
      <c r="D759" s="56" t="str">
        <f>IF($M759="","",INDEX(fa_date,$M759))</f>
        <v/>
      </c>
      <c r="E759" s="56" t="str">
        <f>IF($M759="","",INDEX(fa_due,$M759))</f>
        <v/>
      </c>
      <c r="F759" s="75" t="str">
        <f>IF($M759="","",INDEX(fa_ttc,$M759))</f>
        <v/>
      </c>
      <c r="G759" s="75" t="str">
        <f>IF($M759="","",INDEX(fa_paid,$M759)+INDEX(fa_avoirs,$M759))</f>
        <v/>
      </c>
      <c r="H759" s="75" t="str">
        <f>IF($M759="","",INDEX(fa_reste,$M759))</f>
        <v/>
      </c>
      <c r="I759" s="58" t="str">
        <f>IF($M759="","",MAX(0,p_asof-E759))</f>
        <v/>
      </c>
      <c r="J759" s="78" t="str">
        <f>IF($M759="","",INDEX(fa_tranche,$M759)&amp;"")</f>
        <v/>
      </c>
      <c r="K759" s="56" t="str">
        <f>IF($M759="","",IF(ISNUMBER(INDEX(fa_relance,$M759)),INDEX(fa_relance,$M759),""))</f>
        <v/>
      </c>
      <c r="L759" s="79" t="str">
        <f>IF($M759="","",IF(AND(ISNUMBER(K759),(p_asof-E759)&gt;0,(p_asof-N(K759))&gt;=0,(p_asof-N(K759))&lt;7),"Déjà relancée il y a "&amp;(p_asof-N(K759))&amp;" j",IF((p_asof-E759)&lt;=0,IF((p_asof-E759)&gt;-8,"Rappel courtois avant l'échéance","Aucune action"),IF((p_asof-E759)&lt;=15,"Relance 1 : e-mail de rappel",IF((p_asof-E759)&lt;=30,"Relance 2 : appel téléphonique",IF((p_asof-E759)&lt;=60,"Relance 3 : lettre de relance",IF((p_asof-E759)&lt;=90,"Mise en demeure (recommandé)","Contentieux : injonction de payer")))))))</f>
        <v/>
      </c>
      <c r="M759" t="str">
        <f>IFERROR(MATCH(728,fa_rank,0),"")</f>
        <v/>
      </c>
    </row>
    <row r="760">
      <c r="B760" s="78" t="str">
        <f>IF($M760="","",INDEX(fa_num,$M760)&amp;"")</f>
        <v/>
      </c>
      <c r="C760" s="79" t="str">
        <f>IF($M760="","",INDEX(fa_cname,$M760)&amp;"")</f>
        <v/>
      </c>
      <c r="D760" s="56" t="str">
        <f>IF($M760="","",INDEX(fa_date,$M760))</f>
        <v/>
      </c>
      <c r="E760" s="56" t="str">
        <f>IF($M760="","",INDEX(fa_due,$M760))</f>
        <v/>
      </c>
      <c r="F760" s="75" t="str">
        <f>IF($M760="","",INDEX(fa_ttc,$M760))</f>
        <v/>
      </c>
      <c r="G760" s="75" t="str">
        <f>IF($M760="","",INDEX(fa_paid,$M760)+INDEX(fa_avoirs,$M760))</f>
        <v/>
      </c>
      <c r="H760" s="75" t="str">
        <f>IF($M760="","",INDEX(fa_reste,$M760))</f>
        <v/>
      </c>
      <c r="I760" s="58" t="str">
        <f>IF($M760="","",MAX(0,p_asof-E760))</f>
        <v/>
      </c>
      <c r="J760" s="78" t="str">
        <f>IF($M760="","",INDEX(fa_tranche,$M760)&amp;"")</f>
        <v/>
      </c>
      <c r="K760" s="56" t="str">
        <f>IF($M760="","",IF(ISNUMBER(INDEX(fa_relance,$M760)),INDEX(fa_relance,$M760),""))</f>
        <v/>
      </c>
      <c r="L760" s="79" t="str">
        <f>IF($M760="","",IF(AND(ISNUMBER(K760),(p_asof-E760)&gt;0,(p_asof-N(K760))&gt;=0,(p_asof-N(K760))&lt;7),"Déjà relancée il y a "&amp;(p_asof-N(K760))&amp;" j",IF((p_asof-E760)&lt;=0,IF((p_asof-E760)&gt;-8,"Rappel courtois avant l'échéance","Aucune action"),IF((p_asof-E760)&lt;=15,"Relance 1 : e-mail de rappel",IF((p_asof-E760)&lt;=30,"Relance 2 : appel téléphonique",IF((p_asof-E760)&lt;=60,"Relance 3 : lettre de relance",IF((p_asof-E760)&lt;=90,"Mise en demeure (recommandé)","Contentieux : injonction de payer")))))))</f>
        <v/>
      </c>
      <c r="M760" t="str">
        <f>IFERROR(MATCH(729,fa_rank,0),"")</f>
        <v/>
      </c>
    </row>
    <row r="761">
      <c r="B761" s="78" t="str">
        <f>IF($M761="","",INDEX(fa_num,$M761)&amp;"")</f>
        <v/>
      </c>
      <c r="C761" s="79" t="str">
        <f>IF($M761="","",INDEX(fa_cname,$M761)&amp;"")</f>
        <v/>
      </c>
      <c r="D761" s="56" t="str">
        <f>IF($M761="","",INDEX(fa_date,$M761))</f>
        <v/>
      </c>
      <c r="E761" s="56" t="str">
        <f>IF($M761="","",INDEX(fa_due,$M761))</f>
        <v/>
      </c>
      <c r="F761" s="75" t="str">
        <f>IF($M761="","",INDEX(fa_ttc,$M761))</f>
        <v/>
      </c>
      <c r="G761" s="75" t="str">
        <f>IF($M761="","",INDEX(fa_paid,$M761)+INDEX(fa_avoirs,$M761))</f>
        <v/>
      </c>
      <c r="H761" s="75" t="str">
        <f>IF($M761="","",INDEX(fa_reste,$M761))</f>
        <v/>
      </c>
      <c r="I761" s="58" t="str">
        <f>IF($M761="","",MAX(0,p_asof-E761))</f>
        <v/>
      </c>
      <c r="J761" s="78" t="str">
        <f>IF($M761="","",INDEX(fa_tranche,$M761)&amp;"")</f>
        <v/>
      </c>
      <c r="K761" s="56" t="str">
        <f>IF($M761="","",IF(ISNUMBER(INDEX(fa_relance,$M761)),INDEX(fa_relance,$M761),""))</f>
        <v/>
      </c>
      <c r="L761" s="79" t="str">
        <f>IF($M761="","",IF(AND(ISNUMBER(K761),(p_asof-E761)&gt;0,(p_asof-N(K761))&gt;=0,(p_asof-N(K761))&lt;7),"Déjà relancée il y a "&amp;(p_asof-N(K761))&amp;" j",IF((p_asof-E761)&lt;=0,IF((p_asof-E761)&gt;-8,"Rappel courtois avant l'échéance","Aucune action"),IF((p_asof-E761)&lt;=15,"Relance 1 : e-mail de rappel",IF((p_asof-E761)&lt;=30,"Relance 2 : appel téléphonique",IF((p_asof-E761)&lt;=60,"Relance 3 : lettre de relance",IF((p_asof-E761)&lt;=90,"Mise en demeure (recommandé)","Contentieux : injonction de payer")))))))</f>
        <v/>
      </c>
      <c r="M761" t="str">
        <f>IFERROR(MATCH(730,fa_rank,0),"")</f>
        <v/>
      </c>
    </row>
    <row r="762">
      <c r="B762" s="78" t="str">
        <f>IF($M762="","",INDEX(fa_num,$M762)&amp;"")</f>
        <v/>
      </c>
      <c r="C762" s="79" t="str">
        <f>IF($M762="","",INDEX(fa_cname,$M762)&amp;"")</f>
        <v/>
      </c>
      <c r="D762" s="56" t="str">
        <f>IF($M762="","",INDEX(fa_date,$M762))</f>
        <v/>
      </c>
      <c r="E762" s="56" t="str">
        <f>IF($M762="","",INDEX(fa_due,$M762))</f>
        <v/>
      </c>
      <c r="F762" s="75" t="str">
        <f>IF($M762="","",INDEX(fa_ttc,$M762))</f>
        <v/>
      </c>
      <c r="G762" s="75" t="str">
        <f>IF($M762="","",INDEX(fa_paid,$M762)+INDEX(fa_avoirs,$M762))</f>
        <v/>
      </c>
      <c r="H762" s="75" t="str">
        <f>IF($M762="","",INDEX(fa_reste,$M762))</f>
        <v/>
      </c>
      <c r="I762" s="58" t="str">
        <f>IF($M762="","",MAX(0,p_asof-E762))</f>
        <v/>
      </c>
      <c r="J762" s="78" t="str">
        <f>IF($M762="","",INDEX(fa_tranche,$M762)&amp;"")</f>
        <v/>
      </c>
      <c r="K762" s="56" t="str">
        <f>IF($M762="","",IF(ISNUMBER(INDEX(fa_relance,$M762)),INDEX(fa_relance,$M762),""))</f>
        <v/>
      </c>
      <c r="L762" s="79" t="str">
        <f>IF($M762="","",IF(AND(ISNUMBER(K762),(p_asof-E762)&gt;0,(p_asof-N(K762))&gt;=0,(p_asof-N(K762))&lt;7),"Déjà relancée il y a "&amp;(p_asof-N(K762))&amp;" j",IF((p_asof-E762)&lt;=0,IF((p_asof-E762)&gt;-8,"Rappel courtois avant l'échéance","Aucune action"),IF((p_asof-E762)&lt;=15,"Relance 1 : e-mail de rappel",IF((p_asof-E762)&lt;=30,"Relance 2 : appel téléphonique",IF((p_asof-E762)&lt;=60,"Relance 3 : lettre de relance",IF((p_asof-E762)&lt;=90,"Mise en demeure (recommandé)","Contentieux : injonction de payer")))))))</f>
        <v/>
      </c>
      <c r="M762" t="str">
        <f>IFERROR(MATCH(731,fa_rank,0),"")</f>
        <v/>
      </c>
    </row>
    <row r="763">
      <c r="B763" s="78" t="str">
        <f>IF($M763="","",INDEX(fa_num,$M763)&amp;"")</f>
        <v/>
      </c>
      <c r="C763" s="79" t="str">
        <f>IF($M763="","",INDEX(fa_cname,$M763)&amp;"")</f>
        <v/>
      </c>
      <c r="D763" s="56" t="str">
        <f>IF($M763="","",INDEX(fa_date,$M763))</f>
        <v/>
      </c>
      <c r="E763" s="56" t="str">
        <f>IF($M763="","",INDEX(fa_due,$M763))</f>
        <v/>
      </c>
      <c r="F763" s="75" t="str">
        <f>IF($M763="","",INDEX(fa_ttc,$M763))</f>
        <v/>
      </c>
      <c r="G763" s="75" t="str">
        <f>IF($M763="","",INDEX(fa_paid,$M763)+INDEX(fa_avoirs,$M763))</f>
        <v/>
      </c>
      <c r="H763" s="75" t="str">
        <f>IF($M763="","",INDEX(fa_reste,$M763))</f>
        <v/>
      </c>
      <c r="I763" s="58" t="str">
        <f>IF($M763="","",MAX(0,p_asof-E763))</f>
        <v/>
      </c>
      <c r="J763" s="78" t="str">
        <f>IF($M763="","",INDEX(fa_tranche,$M763)&amp;"")</f>
        <v/>
      </c>
      <c r="K763" s="56" t="str">
        <f>IF($M763="","",IF(ISNUMBER(INDEX(fa_relance,$M763)),INDEX(fa_relance,$M763),""))</f>
        <v/>
      </c>
      <c r="L763" s="79" t="str">
        <f>IF($M763="","",IF(AND(ISNUMBER(K763),(p_asof-E763)&gt;0,(p_asof-N(K763))&gt;=0,(p_asof-N(K763))&lt;7),"Déjà relancée il y a "&amp;(p_asof-N(K763))&amp;" j",IF((p_asof-E763)&lt;=0,IF((p_asof-E763)&gt;-8,"Rappel courtois avant l'échéance","Aucune action"),IF((p_asof-E763)&lt;=15,"Relance 1 : e-mail de rappel",IF((p_asof-E763)&lt;=30,"Relance 2 : appel téléphonique",IF((p_asof-E763)&lt;=60,"Relance 3 : lettre de relance",IF((p_asof-E763)&lt;=90,"Mise en demeure (recommandé)","Contentieux : injonction de payer")))))))</f>
        <v/>
      </c>
      <c r="M763" t="str">
        <f>IFERROR(MATCH(732,fa_rank,0),"")</f>
        <v/>
      </c>
    </row>
    <row r="764">
      <c r="B764" s="78" t="str">
        <f>IF($M764="","",INDEX(fa_num,$M764)&amp;"")</f>
        <v/>
      </c>
      <c r="C764" s="79" t="str">
        <f>IF($M764="","",INDEX(fa_cname,$M764)&amp;"")</f>
        <v/>
      </c>
      <c r="D764" s="56" t="str">
        <f>IF($M764="","",INDEX(fa_date,$M764))</f>
        <v/>
      </c>
      <c r="E764" s="56" t="str">
        <f>IF($M764="","",INDEX(fa_due,$M764))</f>
        <v/>
      </c>
      <c r="F764" s="75" t="str">
        <f>IF($M764="","",INDEX(fa_ttc,$M764))</f>
        <v/>
      </c>
      <c r="G764" s="75" t="str">
        <f>IF($M764="","",INDEX(fa_paid,$M764)+INDEX(fa_avoirs,$M764))</f>
        <v/>
      </c>
      <c r="H764" s="75" t="str">
        <f>IF($M764="","",INDEX(fa_reste,$M764))</f>
        <v/>
      </c>
      <c r="I764" s="58" t="str">
        <f>IF($M764="","",MAX(0,p_asof-E764))</f>
        <v/>
      </c>
      <c r="J764" s="78" t="str">
        <f>IF($M764="","",INDEX(fa_tranche,$M764)&amp;"")</f>
        <v/>
      </c>
      <c r="K764" s="56" t="str">
        <f>IF($M764="","",IF(ISNUMBER(INDEX(fa_relance,$M764)),INDEX(fa_relance,$M764),""))</f>
        <v/>
      </c>
      <c r="L764" s="79" t="str">
        <f>IF($M764="","",IF(AND(ISNUMBER(K764),(p_asof-E764)&gt;0,(p_asof-N(K764))&gt;=0,(p_asof-N(K764))&lt;7),"Déjà relancée il y a "&amp;(p_asof-N(K764))&amp;" j",IF((p_asof-E764)&lt;=0,IF((p_asof-E764)&gt;-8,"Rappel courtois avant l'échéance","Aucune action"),IF((p_asof-E764)&lt;=15,"Relance 1 : e-mail de rappel",IF((p_asof-E764)&lt;=30,"Relance 2 : appel téléphonique",IF((p_asof-E764)&lt;=60,"Relance 3 : lettre de relance",IF((p_asof-E764)&lt;=90,"Mise en demeure (recommandé)","Contentieux : injonction de payer")))))))</f>
        <v/>
      </c>
      <c r="M764" t="str">
        <f>IFERROR(MATCH(733,fa_rank,0),"")</f>
        <v/>
      </c>
    </row>
    <row r="765">
      <c r="B765" s="78" t="str">
        <f>IF($M765="","",INDEX(fa_num,$M765)&amp;"")</f>
        <v/>
      </c>
      <c r="C765" s="79" t="str">
        <f>IF($M765="","",INDEX(fa_cname,$M765)&amp;"")</f>
        <v/>
      </c>
      <c r="D765" s="56" t="str">
        <f>IF($M765="","",INDEX(fa_date,$M765))</f>
        <v/>
      </c>
      <c r="E765" s="56" t="str">
        <f>IF($M765="","",INDEX(fa_due,$M765))</f>
        <v/>
      </c>
      <c r="F765" s="75" t="str">
        <f>IF($M765="","",INDEX(fa_ttc,$M765))</f>
        <v/>
      </c>
      <c r="G765" s="75" t="str">
        <f>IF($M765="","",INDEX(fa_paid,$M765)+INDEX(fa_avoirs,$M765))</f>
        <v/>
      </c>
      <c r="H765" s="75" t="str">
        <f>IF($M765="","",INDEX(fa_reste,$M765))</f>
        <v/>
      </c>
      <c r="I765" s="58" t="str">
        <f>IF($M765="","",MAX(0,p_asof-E765))</f>
        <v/>
      </c>
      <c r="J765" s="78" t="str">
        <f>IF($M765="","",INDEX(fa_tranche,$M765)&amp;"")</f>
        <v/>
      </c>
      <c r="K765" s="56" t="str">
        <f>IF($M765="","",IF(ISNUMBER(INDEX(fa_relance,$M765)),INDEX(fa_relance,$M765),""))</f>
        <v/>
      </c>
      <c r="L765" s="79" t="str">
        <f>IF($M765="","",IF(AND(ISNUMBER(K765),(p_asof-E765)&gt;0,(p_asof-N(K765))&gt;=0,(p_asof-N(K765))&lt;7),"Déjà relancée il y a "&amp;(p_asof-N(K765))&amp;" j",IF((p_asof-E765)&lt;=0,IF((p_asof-E765)&gt;-8,"Rappel courtois avant l'échéance","Aucune action"),IF((p_asof-E765)&lt;=15,"Relance 1 : e-mail de rappel",IF((p_asof-E765)&lt;=30,"Relance 2 : appel téléphonique",IF((p_asof-E765)&lt;=60,"Relance 3 : lettre de relance",IF((p_asof-E765)&lt;=90,"Mise en demeure (recommandé)","Contentieux : injonction de payer")))))))</f>
        <v/>
      </c>
      <c r="M765" t="str">
        <f>IFERROR(MATCH(734,fa_rank,0),"")</f>
        <v/>
      </c>
    </row>
    <row r="766">
      <c r="B766" s="78" t="str">
        <f>IF($M766="","",INDEX(fa_num,$M766)&amp;"")</f>
        <v/>
      </c>
      <c r="C766" s="79" t="str">
        <f>IF($M766="","",INDEX(fa_cname,$M766)&amp;"")</f>
        <v/>
      </c>
      <c r="D766" s="56" t="str">
        <f>IF($M766="","",INDEX(fa_date,$M766))</f>
        <v/>
      </c>
      <c r="E766" s="56" t="str">
        <f>IF($M766="","",INDEX(fa_due,$M766))</f>
        <v/>
      </c>
      <c r="F766" s="75" t="str">
        <f>IF($M766="","",INDEX(fa_ttc,$M766))</f>
        <v/>
      </c>
      <c r="G766" s="75" t="str">
        <f>IF($M766="","",INDEX(fa_paid,$M766)+INDEX(fa_avoirs,$M766))</f>
        <v/>
      </c>
      <c r="H766" s="75" t="str">
        <f>IF($M766="","",INDEX(fa_reste,$M766))</f>
        <v/>
      </c>
      <c r="I766" s="58" t="str">
        <f>IF($M766="","",MAX(0,p_asof-E766))</f>
        <v/>
      </c>
      <c r="J766" s="78" t="str">
        <f>IF($M766="","",INDEX(fa_tranche,$M766)&amp;"")</f>
        <v/>
      </c>
      <c r="K766" s="56" t="str">
        <f>IF($M766="","",IF(ISNUMBER(INDEX(fa_relance,$M766)),INDEX(fa_relance,$M766),""))</f>
        <v/>
      </c>
      <c r="L766" s="79" t="str">
        <f>IF($M766="","",IF(AND(ISNUMBER(K766),(p_asof-E766)&gt;0,(p_asof-N(K766))&gt;=0,(p_asof-N(K766))&lt;7),"Déjà relancée il y a "&amp;(p_asof-N(K766))&amp;" j",IF((p_asof-E766)&lt;=0,IF((p_asof-E766)&gt;-8,"Rappel courtois avant l'échéance","Aucune action"),IF((p_asof-E766)&lt;=15,"Relance 1 : e-mail de rappel",IF((p_asof-E766)&lt;=30,"Relance 2 : appel téléphonique",IF((p_asof-E766)&lt;=60,"Relance 3 : lettre de relance",IF((p_asof-E766)&lt;=90,"Mise en demeure (recommandé)","Contentieux : injonction de payer")))))))</f>
        <v/>
      </c>
      <c r="M766" t="str">
        <f>IFERROR(MATCH(735,fa_rank,0),"")</f>
        <v/>
      </c>
    </row>
    <row r="767">
      <c r="B767" s="78" t="str">
        <f>IF($M767="","",INDEX(fa_num,$M767)&amp;"")</f>
        <v/>
      </c>
      <c r="C767" s="79" t="str">
        <f>IF($M767="","",INDEX(fa_cname,$M767)&amp;"")</f>
        <v/>
      </c>
      <c r="D767" s="56" t="str">
        <f>IF($M767="","",INDEX(fa_date,$M767))</f>
        <v/>
      </c>
      <c r="E767" s="56" t="str">
        <f>IF($M767="","",INDEX(fa_due,$M767))</f>
        <v/>
      </c>
      <c r="F767" s="75" t="str">
        <f>IF($M767="","",INDEX(fa_ttc,$M767))</f>
        <v/>
      </c>
      <c r="G767" s="75" t="str">
        <f>IF($M767="","",INDEX(fa_paid,$M767)+INDEX(fa_avoirs,$M767))</f>
        <v/>
      </c>
      <c r="H767" s="75" t="str">
        <f>IF($M767="","",INDEX(fa_reste,$M767))</f>
        <v/>
      </c>
      <c r="I767" s="58" t="str">
        <f>IF($M767="","",MAX(0,p_asof-E767))</f>
        <v/>
      </c>
      <c r="J767" s="78" t="str">
        <f>IF($M767="","",INDEX(fa_tranche,$M767)&amp;"")</f>
        <v/>
      </c>
      <c r="K767" s="56" t="str">
        <f>IF($M767="","",IF(ISNUMBER(INDEX(fa_relance,$M767)),INDEX(fa_relance,$M767),""))</f>
        <v/>
      </c>
      <c r="L767" s="79" t="str">
        <f>IF($M767="","",IF(AND(ISNUMBER(K767),(p_asof-E767)&gt;0,(p_asof-N(K767))&gt;=0,(p_asof-N(K767))&lt;7),"Déjà relancée il y a "&amp;(p_asof-N(K767))&amp;" j",IF((p_asof-E767)&lt;=0,IF((p_asof-E767)&gt;-8,"Rappel courtois avant l'échéance","Aucune action"),IF((p_asof-E767)&lt;=15,"Relance 1 : e-mail de rappel",IF((p_asof-E767)&lt;=30,"Relance 2 : appel téléphonique",IF((p_asof-E767)&lt;=60,"Relance 3 : lettre de relance",IF((p_asof-E767)&lt;=90,"Mise en demeure (recommandé)","Contentieux : injonction de payer")))))))</f>
        <v/>
      </c>
      <c r="M767" t="str">
        <f>IFERROR(MATCH(736,fa_rank,0),"")</f>
        <v/>
      </c>
    </row>
    <row r="768">
      <c r="B768" s="78" t="str">
        <f>IF($M768="","",INDEX(fa_num,$M768)&amp;"")</f>
        <v/>
      </c>
      <c r="C768" s="79" t="str">
        <f>IF($M768="","",INDEX(fa_cname,$M768)&amp;"")</f>
        <v/>
      </c>
      <c r="D768" s="56" t="str">
        <f>IF($M768="","",INDEX(fa_date,$M768))</f>
        <v/>
      </c>
      <c r="E768" s="56" t="str">
        <f>IF($M768="","",INDEX(fa_due,$M768))</f>
        <v/>
      </c>
      <c r="F768" s="75" t="str">
        <f>IF($M768="","",INDEX(fa_ttc,$M768))</f>
        <v/>
      </c>
      <c r="G768" s="75" t="str">
        <f>IF($M768="","",INDEX(fa_paid,$M768)+INDEX(fa_avoirs,$M768))</f>
        <v/>
      </c>
      <c r="H768" s="75" t="str">
        <f>IF($M768="","",INDEX(fa_reste,$M768))</f>
        <v/>
      </c>
      <c r="I768" s="58" t="str">
        <f>IF($M768="","",MAX(0,p_asof-E768))</f>
        <v/>
      </c>
      <c r="J768" s="78" t="str">
        <f>IF($M768="","",INDEX(fa_tranche,$M768)&amp;"")</f>
        <v/>
      </c>
      <c r="K768" s="56" t="str">
        <f>IF($M768="","",IF(ISNUMBER(INDEX(fa_relance,$M768)),INDEX(fa_relance,$M768),""))</f>
        <v/>
      </c>
      <c r="L768" s="79" t="str">
        <f>IF($M768="","",IF(AND(ISNUMBER(K768),(p_asof-E768)&gt;0,(p_asof-N(K768))&gt;=0,(p_asof-N(K768))&lt;7),"Déjà relancée il y a "&amp;(p_asof-N(K768))&amp;" j",IF((p_asof-E768)&lt;=0,IF((p_asof-E768)&gt;-8,"Rappel courtois avant l'échéance","Aucune action"),IF((p_asof-E768)&lt;=15,"Relance 1 : e-mail de rappel",IF((p_asof-E768)&lt;=30,"Relance 2 : appel téléphonique",IF((p_asof-E768)&lt;=60,"Relance 3 : lettre de relance",IF((p_asof-E768)&lt;=90,"Mise en demeure (recommandé)","Contentieux : injonction de payer")))))))</f>
        <v/>
      </c>
      <c r="M768" t="str">
        <f>IFERROR(MATCH(737,fa_rank,0),"")</f>
        <v/>
      </c>
    </row>
    <row r="769">
      <c r="B769" s="78" t="str">
        <f>IF($M769="","",INDEX(fa_num,$M769)&amp;"")</f>
        <v/>
      </c>
      <c r="C769" s="79" t="str">
        <f>IF($M769="","",INDEX(fa_cname,$M769)&amp;"")</f>
        <v/>
      </c>
      <c r="D769" s="56" t="str">
        <f>IF($M769="","",INDEX(fa_date,$M769))</f>
        <v/>
      </c>
      <c r="E769" s="56" t="str">
        <f>IF($M769="","",INDEX(fa_due,$M769))</f>
        <v/>
      </c>
      <c r="F769" s="75" t="str">
        <f>IF($M769="","",INDEX(fa_ttc,$M769))</f>
        <v/>
      </c>
      <c r="G769" s="75" t="str">
        <f>IF($M769="","",INDEX(fa_paid,$M769)+INDEX(fa_avoirs,$M769))</f>
        <v/>
      </c>
      <c r="H769" s="75" t="str">
        <f>IF($M769="","",INDEX(fa_reste,$M769))</f>
        <v/>
      </c>
      <c r="I769" s="58" t="str">
        <f>IF($M769="","",MAX(0,p_asof-E769))</f>
        <v/>
      </c>
      <c r="J769" s="78" t="str">
        <f>IF($M769="","",INDEX(fa_tranche,$M769)&amp;"")</f>
        <v/>
      </c>
      <c r="K769" s="56" t="str">
        <f>IF($M769="","",IF(ISNUMBER(INDEX(fa_relance,$M769)),INDEX(fa_relance,$M769),""))</f>
        <v/>
      </c>
      <c r="L769" s="79" t="str">
        <f>IF($M769="","",IF(AND(ISNUMBER(K769),(p_asof-E769)&gt;0,(p_asof-N(K769))&gt;=0,(p_asof-N(K769))&lt;7),"Déjà relancée il y a "&amp;(p_asof-N(K769))&amp;" j",IF((p_asof-E769)&lt;=0,IF((p_asof-E769)&gt;-8,"Rappel courtois avant l'échéance","Aucune action"),IF((p_asof-E769)&lt;=15,"Relance 1 : e-mail de rappel",IF((p_asof-E769)&lt;=30,"Relance 2 : appel téléphonique",IF((p_asof-E769)&lt;=60,"Relance 3 : lettre de relance",IF((p_asof-E769)&lt;=90,"Mise en demeure (recommandé)","Contentieux : injonction de payer")))))))</f>
        <v/>
      </c>
      <c r="M769" t="str">
        <f>IFERROR(MATCH(738,fa_rank,0),"")</f>
        <v/>
      </c>
    </row>
    <row r="770">
      <c r="B770" s="78" t="str">
        <f>IF($M770="","",INDEX(fa_num,$M770)&amp;"")</f>
        <v/>
      </c>
      <c r="C770" s="79" t="str">
        <f>IF($M770="","",INDEX(fa_cname,$M770)&amp;"")</f>
        <v/>
      </c>
      <c r="D770" s="56" t="str">
        <f>IF($M770="","",INDEX(fa_date,$M770))</f>
        <v/>
      </c>
      <c r="E770" s="56" t="str">
        <f>IF($M770="","",INDEX(fa_due,$M770))</f>
        <v/>
      </c>
      <c r="F770" s="75" t="str">
        <f>IF($M770="","",INDEX(fa_ttc,$M770))</f>
        <v/>
      </c>
      <c r="G770" s="75" t="str">
        <f>IF($M770="","",INDEX(fa_paid,$M770)+INDEX(fa_avoirs,$M770))</f>
        <v/>
      </c>
      <c r="H770" s="75" t="str">
        <f>IF($M770="","",INDEX(fa_reste,$M770))</f>
        <v/>
      </c>
      <c r="I770" s="58" t="str">
        <f>IF($M770="","",MAX(0,p_asof-E770))</f>
        <v/>
      </c>
      <c r="J770" s="78" t="str">
        <f>IF($M770="","",INDEX(fa_tranche,$M770)&amp;"")</f>
        <v/>
      </c>
      <c r="K770" s="56" t="str">
        <f>IF($M770="","",IF(ISNUMBER(INDEX(fa_relance,$M770)),INDEX(fa_relance,$M770),""))</f>
        <v/>
      </c>
      <c r="L770" s="79" t="str">
        <f>IF($M770="","",IF(AND(ISNUMBER(K770),(p_asof-E770)&gt;0,(p_asof-N(K770))&gt;=0,(p_asof-N(K770))&lt;7),"Déjà relancée il y a "&amp;(p_asof-N(K770))&amp;" j",IF((p_asof-E770)&lt;=0,IF((p_asof-E770)&gt;-8,"Rappel courtois avant l'échéance","Aucune action"),IF((p_asof-E770)&lt;=15,"Relance 1 : e-mail de rappel",IF((p_asof-E770)&lt;=30,"Relance 2 : appel téléphonique",IF((p_asof-E770)&lt;=60,"Relance 3 : lettre de relance",IF((p_asof-E770)&lt;=90,"Mise en demeure (recommandé)","Contentieux : injonction de payer")))))))</f>
        <v/>
      </c>
      <c r="M770" t="str">
        <f>IFERROR(MATCH(739,fa_rank,0),"")</f>
        <v/>
      </c>
    </row>
    <row r="771">
      <c r="B771" s="78" t="str">
        <f>IF($M771="","",INDEX(fa_num,$M771)&amp;"")</f>
        <v/>
      </c>
      <c r="C771" s="79" t="str">
        <f>IF($M771="","",INDEX(fa_cname,$M771)&amp;"")</f>
        <v/>
      </c>
      <c r="D771" s="56" t="str">
        <f>IF($M771="","",INDEX(fa_date,$M771))</f>
        <v/>
      </c>
      <c r="E771" s="56" t="str">
        <f>IF($M771="","",INDEX(fa_due,$M771))</f>
        <v/>
      </c>
      <c r="F771" s="75" t="str">
        <f>IF($M771="","",INDEX(fa_ttc,$M771))</f>
        <v/>
      </c>
      <c r="G771" s="75" t="str">
        <f>IF($M771="","",INDEX(fa_paid,$M771)+INDEX(fa_avoirs,$M771))</f>
        <v/>
      </c>
      <c r="H771" s="75" t="str">
        <f>IF($M771="","",INDEX(fa_reste,$M771))</f>
        <v/>
      </c>
      <c r="I771" s="58" t="str">
        <f>IF($M771="","",MAX(0,p_asof-E771))</f>
        <v/>
      </c>
      <c r="J771" s="78" t="str">
        <f>IF($M771="","",INDEX(fa_tranche,$M771)&amp;"")</f>
        <v/>
      </c>
      <c r="K771" s="56" t="str">
        <f>IF($M771="","",IF(ISNUMBER(INDEX(fa_relance,$M771)),INDEX(fa_relance,$M771),""))</f>
        <v/>
      </c>
      <c r="L771" s="79" t="str">
        <f>IF($M771="","",IF(AND(ISNUMBER(K771),(p_asof-E771)&gt;0,(p_asof-N(K771))&gt;=0,(p_asof-N(K771))&lt;7),"Déjà relancée il y a "&amp;(p_asof-N(K771))&amp;" j",IF((p_asof-E771)&lt;=0,IF((p_asof-E771)&gt;-8,"Rappel courtois avant l'échéance","Aucune action"),IF((p_asof-E771)&lt;=15,"Relance 1 : e-mail de rappel",IF((p_asof-E771)&lt;=30,"Relance 2 : appel téléphonique",IF((p_asof-E771)&lt;=60,"Relance 3 : lettre de relance",IF((p_asof-E771)&lt;=90,"Mise en demeure (recommandé)","Contentieux : injonction de payer")))))))</f>
        <v/>
      </c>
      <c r="M771" t="str">
        <f>IFERROR(MATCH(740,fa_rank,0),"")</f>
        <v/>
      </c>
    </row>
    <row r="772">
      <c r="B772" s="78" t="str">
        <f>IF($M772="","",INDEX(fa_num,$M772)&amp;"")</f>
        <v/>
      </c>
      <c r="C772" s="79" t="str">
        <f>IF($M772="","",INDEX(fa_cname,$M772)&amp;"")</f>
        <v/>
      </c>
      <c r="D772" s="56" t="str">
        <f>IF($M772="","",INDEX(fa_date,$M772))</f>
        <v/>
      </c>
      <c r="E772" s="56" t="str">
        <f>IF($M772="","",INDEX(fa_due,$M772))</f>
        <v/>
      </c>
      <c r="F772" s="75" t="str">
        <f>IF($M772="","",INDEX(fa_ttc,$M772))</f>
        <v/>
      </c>
      <c r="G772" s="75" t="str">
        <f>IF($M772="","",INDEX(fa_paid,$M772)+INDEX(fa_avoirs,$M772))</f>
        <v/>
      </c>
      <c r="H772" s="75" t="str">
        <f>IF($M772="","",INDEX(fa_reste,$M772))</f>
        <v/>
      </c>
      <c r="I772" s="58" t="str">
        <f>IF($M772="","",MAX(0,p_asof-E772))</f>
        <v/>
      </c>
      <c r="J772" s="78" t="str">
        <f>IF($M772="","",INDEX(fa_tranche,$M772)&amp;"")</f>
        <v/>
      </c>
      <c r="K772" s="56" t="str">
        <f>IF($M772="","",IF(ISNUMBER(INDEX(fa_relance,$M772)),INDEX(fa_relance,$M772),""))</f>
        <v/>
      </c>
      <c r="L772" s="79" t="str">
        <f>IF($M772="","",IF(AND(ISNUMBER(K772),(p_asof-E772)&gt;0,(p_asof-N(K772))&gt;=0,(p_asof-N(K772))&lt;7),"Déjà relancée il y a "&amp;(p_asof-N(K772))&amp;" j",IF((p_asof-E772)&lt;=0,IF((p_asof-E772)&gt;-8,"Rappel courtois avant l'échéance","Aucune action"),IF((p_asof-E772)&lt;=15,"Relance 1 : e-mail de rappel",IF((p_asof-E772)&lt;=30,"Relance 2 : appel téléphonique",IF((p_asof-E772)&lt;=60,"Relance 3 : lettre de relance",IF((p_asof-E772)&lt;=90,"Mise en demeure (recommandé)","Contentieux : injonction de payer")))))))</f>
        <v/>
      </c>
      <c r="M772" t="str">
        <f>IFERROR(MATCH(741,fa_rank,0),"")</f>
        <v/>
      </c>
    </row>
    <row r="773">
      <c r="B773" s="78" t="str">
        <f>IF($M773="","",INDEX(fa_num,$M773)&amp;"")</f>
        <v/>
      </c>
      <c r="C773" s="79" t="str">
        <f>IF($M773="","",INDEX(fa_cname,$M773)&amp;"")</f>
        <v/>
      </c>
      <c r="D773" s="56" t="str">
        <f>IF($M773="","",INDEX(fa_date,$M773))</f>
        <v/>
      </c>
      <c r="E773" s="56" t="str">
        <f>IF($M773="","",INDEX(fa_due,$M773))</f>
        <v/>
      </c>
      <c r="F773" s="75" t="str">
        <f>IF($M773="","",INDEX(fa_ttc,$M773))</f>
        <v/>
      </c>
      <c r="G773" s="75" t="str">
        <f>IF($M773="","",INDEX(fa_paid,$M773)+INDEX(fa_avoirs,$M773))</f>
        <v/>
      </c>
      <c r="H773" s="75" t="str">
        <f>IF($M773="","",INDEX(fa_reste,$M773))</f>
        <v/>
      </c>
      <c r="I773" s="58" t="str">
        <f>IF($M773="","",MAX(0,p_asof-E773))</f>
        <v/>
      </c>
      <c r="J773" s="78" t="str">
        <f>IF($M773="","",INDEX(fa_tranche,$M773)&amp;"")</f>
        <v/>
      </c>
      <c r="K773" s="56" t="str">
        <f>IF($M773="","",IF(ISNUMBER(INDEX(fa_relance,$M773)),INDEX(fa_relance,$M773),""))</f>
        <v/>
      </c>
      <c r="L773" s="79" t="str">
        <f>IF($M773="","",IF(AND(ISNUMBER(K773),(p_asof-E773)&gt;0,(p_asof-N(K773))&gt;=0,(p_asof-N(K773))&lt;7),"Déjà relancée il y a "&amp;(p_asof-N(K773))&amp;" j",IF((p_asof-E773)&lt;=0,IF((p_asof-E773)&gt;-8,"Rappel courtois avant l'échéance","Aucune action"),IF((p_asof-E773)&lt;=15,"Relance 1 : e-mail de rappel",IF((p_asof-E773)&lt;=30,"Relance 2 : appel téléphonique",IF((p_asof-E773)&lt;=60,"Relance 3 : lettre de relance",IF((p_asof-E773)&lt;=90,"Mise en demeure (recommandé)","Contentieux : injonction de payer")))))))</f>
        <v/>
      </c>
      <c r="M773" t="str">
        <f>IFERROR(MATCH(742,fa_rank,0),"")</f>
        <v/>
      </c>
    </row>
    <row r="774">
      <c r="B774" s="78" t="str">
        <f>IF($M774="","",INDEX(fa_num,$M774)&amp;"")</f>
        <v/>
      </c>
      <c r="C774" s="79" t="str">
        <f>IF($M774="","",INDEX(fa_cname,$M774)&amp;"")</f>
        <v/>
      </c>
      <c r="D774" s="56" t="str">
        <f>IF($M774="","",INDEX(fa_date,$M774))</f>
        <v/>
      </c>
      <c r="E774" s="56" t="str">
        <f>IF($M774="","",INDEX(fa_due,$M774))</f>
        <v/>
      </c>
      <c r="F774" s="75" t="str">
        <f>IF($M774="","",INDEX(fa_ttc,$M774))</f>
        <v/>
      </c>
      <c r="G774" s="75" t="str">
        <f>IF($M774="","",INDEX(fa_paid,$M774)+INDEX(fa_avoirs,$M774))</f>
        <v/>
      </c>
      <c r="H774" s="75" t="str">
        <f>IF($M774="","",INDEX(fa_reste,$M774))</f>
        <v/>
      </c>
      <c r="I774" s="58" t="str">
        <f>IF($M774="","",MAX(0,p_asof-E774))</f>
        <v/>
      </c>
      <c r="J774" s="78" t="str">
        <f>IF($M774="","",INDEX(fa_tranche,$M774)&amp;"")</f>
        <v/>
      </c>
      <c r="K774" s="56" t="str">
        <f>IF($M774="","",IF(ISNUMBER(INDEX(fa_relance,$M774)),INDEX(fa_relance,$M774),""))</f>
        <v/>
      </c>
      <c r="L774" s="79" t="str">
        <f>IF($M774="","",IF(AND(ISNUMBER(K774),(p_asof-E774)&gt;0,(p_asof-N(K774))&gt;=0,(p_asof-N(K774))&lt;7),"Déjà relancée il y a "&amp;(p_asof-N(K774))&amp;" j",IF((p_asof-E774)&lt;=0,IF((p_asof-E774)&gt;-8,"Rappel courtois avant l'échéance","Aucune action"),IF((p_asof-E774)&lt;=15,"Relance 1 : e-mail de rappel",IF((p_asof-E774)&lt;=30,"Relance 2 : appel téléphonique",IF((p_asof-E774)&lt;=60,"Relance 3 : lettre de relance",IF((p_asof-E774)&lt;=90,"Mise en demeure (recommandé)","Contentieux : injonction de payer")))))))</f>
        <v/>
      </c>
      <c r="M774" t="str">
        <f>IFERROR(MATCH(743,fa_rank,0),"")</f>
        <v/>
      </c>
    </row>
    <row r="775">
      <c r="B775" s="78" t="str">
        <f>IF($M775="","",INDEX(fa_num,$M775)&amp;"")</f>
        <v/>
      </c>
      <c r="C775" s="79" t="str">
        <f>IF($M775="","",INDEX(fa_cname,$M775)&amp;"")</f>
        <v/>
      </c>
      <c r="D775" s="56" t="str">
        <f>IF($M775="","",INDEX(fa_date,$M775))</f>
        <v/>
      </c>
      <c r="E775" s="56" t="str">
        <f>IF($M775="","",INDEX(fa_due,$M775))</f>
        <v/>
      </c>
      <c r="F775" s="75" t="str">
        <f>IF($M775="","",INDEX(fa_ttc,$M775))</f>
        <v/>
      </c>
      <c r="G775" s="75" t="str">
        <f>IF($M775="","",INDEX(fa_paid,$M775)+INDEX(fa_avoirs,$M775))</f>
        <v/>
      </c>
      <c r="H775" s="75" t="str">
        <f>IF($M775="","",INDEX(fa_reste,$M775))</f>
        <v/>
      </c>
      <c r="I775" s="58" t="str">
        <f>IF($M775="","",MAX(0,p_asof-E775))</f>
        <v/>
      </c>
      <c r="J775" s="78" t="str">
        <f>IF($M775="","",INDEX(fa_tranche,$M775)&amp;"")</f>
        <v/>
      </c>
      <c r="K775" s="56" t="str">
        <f>IF($M775="","",IF(ISNUMBER(INDEX(fa_relance,$M775)),INDEX(fa_relance,$M775),""))</f>
        <v/>
      </c>
      <c r="L775" s="79" t="str">
        <f>IF($M775="","",IF(AND(ISNUMBER(K775),(p_asof-E775)&gt;0,(p_asof-N(K775))&gt;=0,(p_asof-N(K775))&lt;7),"Déjà relancée il y a "&amp;(p_asof-N(K775))&amp;" j",IF((p_asof-E775)&lt;=0,IF((p_asof-E775)&gt;-8,"Rappel courtois avant l'échéance","Aucune action"),IF((p_asof-E775)&lt;=15,"Relance 1 : e-mail de rappel",IF((p_asof-E775)&lt;=30,"Relance 2 : appel téléphonique",IF((p_asof-E775)&lt;=60,"Relance 3 : lettre de relance",IF((p_asof-E775)&lt;=90,"Mise en demeure (recommandé)","Contentieux : injonction de payer")))))))</f>
        <v/>
      </c>
      <c r="M775" t="str">
        <f>IFERROR(MATCH(744,fa_rank,0),"")</f>
        <v/>
      </c>
    </row>
    <row r="776">
      <c r="B776" s="78" t="str">
        <f>IF($M776="","",INDEX(fa_num,$M776)&amp;"")</f>
        <v/>
      </c>
      <c r="C776" s="79" t="str">
        <f>IF($M776="","",INDEX(fa_cname,$M776)&amp;"")</f>
        <v/>
      </c>
      <c r="D776" s="56" t="str">
        <f>IF($M776="","",INDEX(fa_date,$M776))</f>
        <v/>
      </c>
      <c r="E776" s="56" t="str">
        <f>IF($M776="","",INDEX(fa_due,$M776))</f>
        <v/>
      </c>
      <c r="F776" s="75" t="str">
        <f>IF($M776="","",INDEX(fa_ttc,$M776))</f>
        <v/>
      </c>
      <c r="G776" s="75" t="str">
        <f>IF($M776="","",INDEX(fa_paid,$M776)+INDEX(fa_avoirs,$M776))</f>
        <v/>
      </c>
      <c r="H776" s="75" t="str">
        <f>IF($M776="","",INDEX(fa_reste,$M776))</f>
        <v/>
      </c>
      <c r="I776" s="58" t="str">
        <f>IF($M776="","",MAX(0,p_asof-E776))</f>
        <v/>
      </c>
      <c r="J776" s="78" t="str">
        <f>IF($M776="","",INDEX(fa_tranche,$M776)&amp;"")</f>
        <v/>
      </c>
      <c r="K776" s="56" t="str">
        <f>IF($M776="","",IF(ISNUMBER(INDEX(fa_relance,$M776)),INDEX(fa_relance,$M776),""))</f>
        <v/>
      </c>
      <c r="L776" s="79" t="str">
        <f>IF($M776="","",IF(AND(ISNUMBER(K776),(p_asof-E776)&gt;0,(p_asof-N(K776))&gt;=0,(p_asof-N(K776))&lt;7),"Déjà relancée il y a "&amp;(p_asof-N(K776))&amp;" j",IF((p_asof-E776)&lt;=0,IF((p_asof-E776)&gt;-8,"Rappel courtois avant l'échéance","Aucune action"),IF((p_asof-E776)&lt;=15,"Relance 1 : e-mail de rappel",IF((p_asof-E776)&lt;=30,"Relance 2 : appel téléphonique",IF((p_asof-E776)&lt;=60,"Relance 3 : lettre de relance",IF((p_asof-E776)&lt;=90,"Mise en demeure (recommandé)","Contentieux : injonction de payer")))))))</f>
        <v/>
      </c>
      <c r="M776" t="str">
        <f>IFERROR(MATCH(745,fa_rank,0),"")</f>
        <v/>
      </c>
    </row>
    <row r="777">
      <c r="B777" s="78" t="str">
        <f>IF($M777="","",INDEX(fa_num,$M777)&amp;"")</f>
        <v/>
      </c>
      <c r="C777" s="79" t="str">
        <f>IF($M777="","",INDEX(fa_cname,$M777)&amp;"")</f>
        <v/>
      </c>
      <c r="D777" s="56" t="str">
        <f>IF($M777="","",INDEX(fa_date,$M777))</f>
        <v/>
      </c>
      <c r="E777" s="56" t="str">
        <f>IF($M777="","",INDEX(fa_due,$M777))</f>
        <v/>
      </c>
      <c r="F777" s="75" t="str">
        <f>IF($M777="","",INDEX(fa_ttc,$M777))</f>
        <v/>
      </c>
      <c r="G777" s="75" t="str">
        <f>IF($M777="","",INDEX(fa_paid,$M777)+INDEX(fa_avoirs,$M777))</f>
        <v/>
      </c>
      <c r="H777" s="75" t="str">
        <f>IF($M777="","",INDEX(fa_reste,$M777))</f>
        <v/>
      </c>
      <c r="I777" s="58" t="str">
        <f>IF($M777="","",MAX(0,p_asof-E777))</f>
        <v/>
      </c>
      <c r="J777" s="78" t="str">
        <f>IF($M777="","",INDEX(fa_tranche,$M777)&amp;"")</f>
        <v/>
      </c>
      <c r="K777" s="56" t="str">
        <f>IF($M777="","",IF(ISNUMBER(INDEX(fa_relance,$M777)),INDEX(fa_relance,$M777),""))</f>
        <v/>
      </c>
      <c r="L777" s="79" t="str">
        <f>IF($M777="","",IF(AND(ISNUMBER(K777),(p_asof-E777)&gt;0,(p_asof-N(K777))&gt;=0,(p_asof-N(K777))&lt;7),"Déjà relancée il y a "&amp;(p_asof-N(K777))&amp;" j",IF((p_asof-E777)&lt;=0,IF((p_asof-E777)&gt;-8,"Rappel courtois avant l'échéance","Aucune action"),IF((p_asof-E777)&lt;=15,"Relance 1 : e-mail de rappel",IF((p_asof-E777)&lt;=30,"Relance 2 : appel téléphonique",IF((p_asof-E777)&lt;=60,"Relance 3 : lettre de relance",IF((p_asof-E777)&lt;=90,"Mise en demeure (recommandé)","Contentieux : injonction de payer")))))))</f>
        <v/>
      </c>
      <c r="M777" t="str">
        <f>IFERROR(MATCH(746,fa_rank,0),"")</f>
        <v/>
      </c>
    </row>
    <row r="778">
      <c r="B778" s="78" t="str">
        <f>IF($M778="","",INDEX(fa_num,$M778)&amp;"")</f>
        <v/>
      </c>
      <c r="C778" s="79" t="str">
        <f>IF($M778="","",INDEX(fa_cname,$M778)&amp;"")</f>
        <v/>
      </c>
      <c r="D778" s="56" t="str">
        <f>IF($M778="","",INDEX(fa_date,$M778))</f>
        <v/>
      </c>
      <c r="E778" s="56" t="str">
        <f>IF($M778="","",INDEX(fa_due,$M778))</f>
        <v/>
      </c>
      <c r="F778" s="75" t="str">
        <f>IF($M778="","",INDEX(fa_ttc,$M778))</f>
        <v/>
      </c>
      <c r="G778" s="75" t="str">
        <f>IF($M778="","",INDEX(fa_paid,$M778)+INDEX(fa_avoirs,$M778))</f>
        <v/>
      </c>
      <c r="H778" s="75" t="str">
        <f>IF($M778="","",INDEX(fa_reste,$M778))</f>
        <v/>
      </c>
      <c r="I778" s="58" t="str">
        <f>IF($M778="","",MAX(0,p_asof-E778))</f>
        <v/>
      </c>
      <c r="J778" s="78" t="str">
        <f>IF($M778="","",INDEX(fa_tranche,$M778)&amp;"")</f>
        <v/>
      </c>
      <c r="K778" s="56" t="str">
        <f>IF($M778="","",IF(ISNUMBER(INDEX(fa_relance,$M778)),INDEX(fa_relance,$M778),""))</f>
        <v/>
      </c>
      <c r="L778" s="79" t="str">
        <f>IF($M778="","",IF(AND(ISNUMBER(K778),(p_asof-E778)&gt;0,(p_asof-N(K778))&gt;=0,(p_asof-N(K778))&lt;7),"Déjà relancée il y a "&amp;(p_asof-N(K778))&amp;" j",IF((p_asof-E778)&lt;=0,IF((p_asof-E778)&gt;-8,"Rappel courtois avant l'échéance","Aucune action"),IF((p_asof-E778)&lt;=15,"Relance 1 : e-mail de rappel",IF((p_asof-E778)&lt;=30,"Relance 2 : appel téléphonique",IF((p_asof-E778)&lt;=60,"Relance 3 : lettre de relance",IF((p_asof-E778)&lt;=90,"Mise en demeure (recommandé)","Contentieux : injonction de payer")))))))</f>
        <v/>
      </c>
      <c r="M778" t="str">
        <f>IFERROR(MATCH(747,fa_rank,0),"")</f>
        <v/>
      </c>
    </row>
    <row r="779">
      <c r="B779" s="78" t="str">
        <f>IF($M779="","",INDEX(fa_num,$M779)&amp;"")</f>
        <v/>
      </c>
      <c r="C779" s="79" t="str">
        <f>IF($M779="","",INDEX(fa_cname,$M779)&amp;"")</f>
        <v/>
      </c>
      <c r="D779" s="56" t="str">
        <f>IF($M779="","",INDEX(fa_date,$M779))</f>
        <v/>
      </c>
      <c r="E779" s="56" t="str">
        <f>IF($M779="","",INDEX(fa_due,$M779))</f>
        <v/>
      </c>
      <c r="F779" s="75" t="str">
        <f>IF($M779="","",INDEX(fa_ttc,$M779))</f>
        <v/>
      </c>
      <c r="G779" s="75" t="str">
        <f>IF($M779="","",INDEX(fa_paid,$M779)+INDEX(fa_avoirs,$M779))</f>
        <v/>
      </c>
      <c r="H779" s="75" t="str">
        <f>IF($M779="","",INDEX(fa_reste,$M779))</f>
        <v/>
      </c>
      <c r="I779" s="58" t="str">
        <f>IF($M779="","",MAX(0,p_asof-E779))</f>
        <v/>
      </c>
      <c r="J779" s="78" t="str">
        <f>IF($M779="","",INDEX(fa_tranche,$M779)&amp;"")</f>
        <v/>
      </c>
      <c r="K779" s="56" t="str">
        <f>IF($M779="","",IF(ISNUMBER(INDEX(fa_relance,$M779)),INDEX(fa_relance,$M779),""))</f>
        <v/>
      </c>
      <c r="L779" s="79" t="str">
        <f>IF($M779="","",IF(AND(ISNUMBER(K779),(p_asof-E779)&gt;0,(p_asof-N(K779))&gt;=0,(p_asof-N(K779))&lt;7),"Déjà relancée il y a "&amp;(p_asof-N(K779))&amp;" j",IF((p_asof-E779)&lt;=0,IF((p_asof-E779)&gt;-8,"Rappel courtois avant l'échéance","Aucune action"),IF((p_asof-E779)&lt;=15,"Relance 1 : e-mail de rappel",IF((p_asof-E779)&lt;=30,"Relance 2 : appel téléphonique",IF((p_asof-E779)&lt;=60,"Relance 3 : lettre de relance",IF((p_asof-E779)&lt;=90,"Mise en demeure (recommandé)","Contentieux : injonction de payer")))))))</f>
        <v/>
      </c>
      <c r="M779" t="str">
        <f>IFERROR(MATCH(748,fa_rank,0),"")</f>
        <v/>
      </c>
    </row>
    <row r="780">
      <c r="B780" s="78" t="str">
        <f>IF($M780="","",INDEX(fa_num,$M780)&amp;"")</f>
        <v/>
      </c>
      <c r="C780" s="79" t="str">
        <f>IF($M780="","",INDEX(fa_cname,$M780)&amp;"")</f>
        <v/>
      </c>
      <c r="D780" s="56" t="str">
        <f>IF($M780="","",INDEX(fa_date,$M780))</f>
        <v/>
      </c>
      <c r="E780" s="56" t="str">
        <f>IF($M780="","",INDEX(fa_due,$M780))</f>
        <v/>
      </c>
      <c r="F780" s="75" t="str">
        <f>IF($M780="","",INDEX(fa_ttc,$M780))</f>
        <v/>
      </c>
      <c r="G780" s="75" t="str">
        <f>IF($M780="","",INDEX(fa_paid,$M780)+INDEX(fa_avoirs,$M780))</f>
        <v/>
      </c>
      <c r="H780" s="75" t="str">
        <f>IF($M780="","",INDEX(fa_reste,$M780))</f>
        <v/>
      </c>
      <c r="I780" s="58" t="str">
        <f>IF($M780="","",MAX(0,p_asof-E780))</f>
        <v/>
      </c>
      <c r="J780" s="78" t="str">
        <f>IF($M780="","",INDEX(fa_tranche,$M780)&amp;"")</f>
        <v/>
      </c>
      <c r="K780" s="56" t="str">
        <f>IF($M780="","",IF(ISNUMBER(INDEX(fa_relance,$M780)),INDEX(fa_relance,$M780),""))</f>
        <v/>
      </c>
      <c r="L780" s="79" t="str">
        <f>IF($M780="","",IF(AND(ISNUMBER(K780),(p_asof-E780)&gt;0,(p_asof-N(K780))&gt;=0,(p_asof-N(K780))&lt;7),"Déjà relancée il y a "&amp;(p_asof-N(K780))&amp;" j",IF((p_asof-E780)&lt;=0,IF((p_asof-E780)&gt;-8,"Rappel courtois avant l'échéance","Aucune action"),IF((p_asof-E780)&lt;=15,"Relance 1 : e-mail de rappel",IF((p_asof-E780)&lt;=30,"Relance 2 : appel téléphonique",IF((p_asof-E780)&lt;=60,"Relance 3 : lettre de relance",IF((p_asof-E780)&lt;=90,"Mise en demeure (recommandé)","Contentieux : injonction de payer")))))))</f>
        <v/>
      </c>
      <c r="M780" t="str">
        <f>IFERROR(MATCH(749,fa_rank,0),"")</f>
        <v/>
      </c>
    </row>
    <row r="781">
      <c r="B781" s="78" t="str">
        <f>IF($M781="","",INDEX(fa_num,$M781)&amp;"")</f>
        <v/>
      </c>
      <c r="C781" s="79" t="str">
        <f>IF($M781="","",INDEX(fa_cname,$M781)&amp;"")</f>
        <v/>
      </c>
      <c r="D781" s="56" t="str">
        <f>IF($M781="","",INDEX(fa_date,$M781))</f>
        <v/>
      </c>
      <c r="E781" s="56" t="str">
        <f>IF($M781="","",INDEX(fa_due,$M781))</f>
        <v/>
      </c>
      <c r="F781" s="75" t="str">
        <f>IF($M781="","",INDEX(fa_ttc,$M781))</f>
        <v/>
      </c>
      <c r="G781" s="75" t="str">
        <f>IF($M781="","",INDEX(fa_paid,$M781)+INDEX(fa_avoirs,$M781))</f>
        <v/>
      </c>
      <c r="H781" s="75" t="str">
        <f>IF($M781="","",INDEX(fa_reste,$M781))</f>
        <v/>
      </c>
      <c r="I781" s="58" t="str">
        <f>IF($M781="","",MAX(0,p_asof-E781))</f>
        <v/>
      </c>
      <c r="J781" s="78" t="str">
        <f>IF($M781="","",INDEX(fa_tranche,$M781)&amp;"")</f>
        <v/>
      </c>
      <c r="K781" s="56" t="str">
        <f>IF($M781="","",IF(ISNUMBER(INDEX(fa_relance,$M781)),INDEX(fa_relance,$M781),""))</f>
        <v/>
      </c>
      <c r="L781" s="79" t="str">
        <f>IF($M781="","",IF(AND(ISNUMBER(K781),(p_asof-E781)&gt;0,(p_asof-N(K781))&gt;=0,(p_asof-N(K781))&lt;7),"Déjà relancée il y a "&amp;(p_asof-N(K781))&amp;" j",IF((p_asof-E781)&lt;=0,IF((p_asof-E781)&gt;-8,"Rappel courtois avant l'échéance","Aucune action"),IF((p_asof-E781)&lt;=15,"Relance 1 : e-mail de rappel",IF((p_asof-E781)&lt;=30,"Relance 2 : appel téléphonique",IF((p_asof-E781)&lt;=60,"Relance 3 : lettre de relance",IF((p_asof-E781)&lt;=90,"Mise en demeure (recommandé)","Contentieux : injonction de payer")))))))</f>
        <v/>
      </c>
      <c r="M781" t="str">
        <f>IFERROR(MATCH(750,fa_rank,0),"")</f>
        <v/>
      </c>
    </row>
    <row r="782">
      <c r="B782" s="78" t="str">
        <f>IF($M782="","",INDEX(fa_num,$M782)&amp;"")</f>
        <v/>
      </c>
      <c r="C782" s="79" t="str">
        <f>IF($M782="","",INDEX(fa_cname,$M782)&amp;"")</f>
        <v/>
      </c>
      <c r="D782" s="56" t="str">
        <f>IF($M782="","",INDEX(fa_date,$M782))</f>
        <v/>
      </c>
      <c r="E782" s="56" t="str">
        <f>IF($M782="","",INDEX(fa_due,$M782))</f>
        <v/>
      </c>
      <c r="F782" s="75" t="str">
        <f>IF($M782="","",INDEX(fa_ttc,$M782))</f>
        <v/>
      </c>
      <c r="G782" s="75" t="str">
        <f>IF($M782="","",INDEX(fa_paid,$M782)+INDEX(fa_avoirs,$M782))</f>
        <v/>
      </c>
      <c r="H782" s="75" t="str">
        <f>IF($M782="","",INDEX(fa_reste,$M782))</f>
        <v/>
      </c>
      <c r="I782" s="58" t="str">
        <f>IF($M782="","",MAX(0,p_asof-E782))</f>
        <v/>
      </c>
      <c r="J782" s="78" t="str">
        <f>IF($M782="","",INDEX(fa_tranche,$M782)&amp;"")</f>
        <v/>
      </c>
      <c r="K782" s="56" t="str">
        <f>IF($M782="","",IF(ISNUMBER(INDEX(fa_relance,$M782)),INDEX(fa_relance,$M782),""))</f>
        <v/>
      </c>
      <c r="L782" s="79" t="str">
        <f>IF($M782="","",IF(AND(ISNUMBER(K782),(p_asof-E782)&gt;0,(p_asof-N(K782))&gt;=0,(p_asof-N(K782))&lt;7),"Déjà relancée il y a "&amp;(p_asof-N(K782))&amp;" j",IF((p_asof-E782)&lt;=0,IF((p_asof-E782)&gt;-8,"Rappel courtois avant l'échéance","Aucune action"),IF((p_asof-E782)&lt;=15,"Relance 1 : e-mail de rappel",IF((p_asof-E782)&lt;=30,"Relance 2 : appel téléphonique",IF((p_asof-E782)&lt;=60,"Relance 3 : lettre de relance",IF((p_asof-E782)&lt;=90,"Mise en demeure (recommandé)","Contentieux : injonction de payer")))))))</f>
        <v/>
      </c>
      <c r="M782" t="str">
        <f>IFERROR(MATCH(751,fa_rank,0),"")</f>
        <v/>
      </c>
    </row>
    <row r="783">
      <c r="B783" s="78" t="str">
        <f>IF($M783="","",INDEX(fa_num,$M783)&amp;"")</f>
        <v/>
      </c>
      <c r="C783" s="79" t="str">
        <f>IF($M783="","",INDEX(fa_cname,$M783)&amp;"")</f>
        <v/>
      </c>
      <c r="D783" s="56" t="str">
        <f>IF($M783="","",INDEX(fa_date,$M783))</f>
        <v/>
      </c>
      <c r="E783" s="56" t="str">
        <f>IF($M783="","",INDEX(fa_due,$M783))</f>
        <v/>
      </c>
      <c r="F783" s="75" t="str">
        <f>IF($M783="","",INDEX(fa_ttc,$M783))</f>
        <v/>
      </c>
      <c r="G783" s="75" t="str">
        <f>IF($M783="","",INDEX(fa_paid,$M783)+INDEX(fa_avoirs,$M783))</f>
        <v/>
      </c>
      <c r="H783" s="75" t="str">
        <f>IF($M783="","",INDEX(fa_reste,$M783))</f>
        <v/>
      </c>
      <c r="I783" s="58" t="str">
        <f>IF($M783="","",MAX(0,p_asof-E783))</f>
        <v/>
      </c>
      <c r="J783" s="78" t="str">
        <f>IF($M783="","",INDEX(fa_tranche,$M783)&amp;"")</f>
        <v/>
      </c>
      <c r="K783" s="56" t="str">
        <f>IF($M783="","",IF(ISNUMBER(INDEX(fa_relance,$M783)),INDEX(fa_relance,$M783),""))</f>
        <v/>
      </c>
      <c r="L783" s="79" t="str">
        <f>IF($M783="","",IF(AND(ISNUMBER(K783),(p_asof-E783)&gt;0,(p_asof-N(K783))&gt;=0,(p_asof-N(K783))&lt;7),"Déjà relancée il y a "&amp;(p_asof-N(K783))&amp;" j",IF((p_asof-E783)&lt;=0,IF((p_asof-E783)&gt;-8,"Rappel courtois avant l'échéance","Aucune action"),IF((p_asof-E783)&lt;=15,"Relance 1 : e-mail de rappel",IF((p_asof-E783)&lt;=30,"Relance 2 : appel téléphonique",IF((p_asof-E783)&lt;=60,"Relance 3 : lettre de relance",IF((p_asof-E783)&lt;=90,"Mise en demeure (recommandé)","Contentieux : injonction de payer")))))))</f>
        <v/>
      </c>
      <c r="M783" t="str">
        <f>IFERROR(MATCH(752,fa_rank,0),"")</f>
        <v/>
      </c>
    </row>
    <row r="784">
      <c r="B784" s="78" t="str">
        <f>IF($M784="","",INDEX(fa_num,$M784)&amp;"")</f>
        <v/>
      </c>
      <c r="C784" s="79" t="str">
        <f>IF($M784="","",INDEX(fa_cname,$M784)&amp;"")</f>
        <v/>
      </c>
      <c r="D784" s="56" t="str">
        <f>IF($M784="","",INDEX(fa_date,$M784))</f>
        <v/>
      </c>
      <c r="E784" s="56" t="str">
        <f>IF($M784="","",INDEX(fa_due,$M784))</f>
        <v/>
      </c>
      <c r="F784" s="75" t="str">
        <f>IF($M784="","",INDEX(fa_ttc,$M784))</f>
        <v/>
      </c>
      <c r="G784" s="75" t="str">
        <f>IF($M784="","",INDEX(fa_paid,$M784)+INDEX(fa_avoirs,$M784))</f>
        <v/>
      </c>
      <c r="H784" s="75" t="str">
        <f>IF($M784="","",INDEX(fa_reste,$M784))</f>
        <v/>
      </c>
      <c r="I784" s="58" t="str">
        <f>IF($M784="","",MAX(0,p_asof-E784))</f>
        <v/>
      </c>
      <c r="J784" s="78" t="str">
        <f>IF($M784="","",INDEX(fa_tranche,$M784)&amp;"")</f>
        <v/>
      </c>
      <c r="K784" s="56" t="str">
        <f>IF($M784="","",IF(ISNUMBER(INDEX(fa_relance,$M784)),INDEX(fa_relance,$M784),""))</f>
        <v/>
      </c>
      <c r="L784" s="79" t="str">
        <f>IF($M784="","",IF(AND(ISNUMBER(K784),(p_asof-E784)&gt;0,(p_asof-N(K784))&gt;=0,(p_asof-N(K784))&lt;7),"Déjà relancée il y a "&amp;(p_asof-N(K784))&amp;" j",IF((p_asof-E784)&lt;=0,IF((p_asof-E784)&gt;-8,"Rappel courtois avant l'échéance","Aucune action"),IF((p_asof-E784)&lt;=15,"Relance 1 : e-mail de rappel",IF((p_asof-E784)&lt;=30,"Relance 2 : appel téléphonique",IF((p_asof-E784)&lt;=60,"Relance 3 : lettre de relance",IF((p_asof-E784)&lt;=90,"Mise en demeure (recommandé)","Contentieux : injonction de payer")))))))</f>
        <v/>
      </c>
      <c r="M784" t="str">
        <f>IFERROR(MATCH(753,fa_rank,0),"")</f>
        <v/>
      </c>
    </row>
    <row r="785">
      <c r="B785" s="78" t="str">
        <f>IF($M785="","",INDEX(fa_num,$M785)&amp;"")</f>
        <v/>
      </c>
      <c r="C785" s="79" t="str">
        <f>IF($M785="","",INDEX(fa_cname,$M785)&amp;"")</f>
        <v/>
      </c>
      <c r="D785" s="56" t="str">
        <f>IF($M785="","",INDEX(fa_date,$M785))</f>
        <v/>
      </c>
      <c r="E785" s="56" t="str">
        <f>IF($M785="","",INDEX(fa_due,$M785))</f>
        <v/>
      </c>
      <c r="F785" s="75" t="str">
        <f>IF($M785="","",INDEX(fa_ttc,$M785))</f>
        <v/>
      </c>
      <c r="G785" s="75" t="str">
        <f>IF($M785="","",INDEX(fa_paid,$M785)+INDEX(fa_avoirs,$M785))</f>
        <v/>
      </c>
      <c r="H785" s="75" t="str">
        <f>IF($M785="","",INDEX(fa_reste,$M785))</f>
        <v/>
      </c>
      <c r="I785" s="58" t="str">
        <f>IF($M785="","",MAX(0,p_asof-E785))</f>
        <v/>
      </c>
      <c r="J785" s="78" t="str">
        <f>IF($M785="","",INDEX(fa_tranche,$M785)&amp;"")</f>
        <v/>
      </c>
      <c r="K785" s="56" t="str">
        <f>IF($M785="","",IF(ISNUMBER(INDEX(fa_relance,$M785)),INDEX(fa_relance,$M785),""))</f>
        <v/>
      </c>
      <c r="L785" s="79" t="str">
        <f>IF($M785="","",IF(AND(ISNUMBER(K785),(p_asof-E785)&gt;0,(p_asof-N(K785))&gt;=0,(p_asof-N(K785))&lt;7),"Déjà relancée il y a "&amp;(p_asof-N(K785))&amp;" j",IF((p_asof-E785)&lt;=0,IF((p_asof-E785)&gt;-8,"Rappel courtois avant l'échéance","Aucune action"),IF((p_asof-E785)&lt;=15,"Relance 1 : e-mail de rappel",IF((p_asof-E785)&lt;=30,"Relance 2 : appel téléphonique",IF((p_asof-E785)&lt;=60,"Relance 3 : lettre de relance",IF((p_asof-E785)&lt;=90,"Mise en demeure (recommandé)","Contentieux : injonction de payer")))))))</f>
        <v/>
      </c>
      <c r="M785" t="str">
        <f>IFERROR(MATCH(754,fa_rank,0),"")</f>
        <v/>
      </c>
    </row>
    <row r="786">
      <c r="B786" s="78" t="str">
        <f>IF($M786="","",INDEX(fa_num,$M786)&amp;"")</f>
        <v/>
      </c>
      <c r="C786" s="79" t="str">
        <f>IF($M786="","",INDEX(fa_cname,$M786)&amp;"")</f>
        <v/>
      </c>
      <c r="D786" s="56" t="str">
        <f>IF($M786="","",INDEX(fa_date,$M786))</f>
        <v/>
      </c>
      <c r="E786" s="56" t="str">
        <f>IF($M786="","",INDEX(fa_due,$M786))</f>
        <v/>
      </c>
      <c r="F786" s="75" t="str">
        <f>IF($M786="","",INDEX(fa_ttc,$M786))</f>
        <v/>
      </c>
      <c r="G786" s="75" t="str">
        <f>IF($M786="","",INDEX(fa_paid,$M786)+INDEX(fa_avoirs,$M786))</f>
        <v/>
      </c>
      <c r="H786" s="75" t="str">
        <f>IF($M786="","",INDEX(fa_reste,$M786))</f>
        <v/>
      </c>
      <c r="I786" s="58" t="str">
        <f>IF($M786="","",MAX(0,p_asof-E786))</f>
        <v/>
      </c>
      <c r="J786" s="78" t="str">
        <f>IF($M786="","",INDEX(fa_tranche,$M786)&amp;"")</f>
        <v/>
      </c>
      <c r="K786" s="56" t="str">
        <f>IF($M786="","",IF(ISNUMBER(INDEX(fa_relance,$M786)),INDEX(fa_relance,$M786),""))</f>
        <v/>
      </c>
      <c r="L786" s="79" t="str">
        <f>IF($M786="","",IF(AND(ISNUMBER(K786),(p_asof-E786)&gt;0,(p_asof-N(K786))&gt;=0,(p_asof-N(K786))&lt;7),"Déjà relancée il y a "&amp;(p_asof-N(K786))&amp;" j",IF((p_asof-E786)&lt;=0,IF((p_asof-E786)&gt;-8,"Rappel courtois avant l'échéance","Aucune action"),IF((p_asof-E786)&lt;=15,"Relance 1 : e-mail de rappel",IF((p_asof-E786)&lt;=30,"Relance 2 : appel téléphonique",IF((p_asof-E786)&lt;=60,"Relance 3 : lettre de relance",IF((p_asof-E786)&lt;=90,"Mise en demeure (recommandé)","Contentieux : injonction de payer")))))))</f>
        <v/>
      </c>
      <c r="M786" t="str">
        <f>IFERROR(MATCH(755,fa_rank,0),"")</f>
        <v/>
      </c>
    </row>
    <row r="787">
      <c r="B787" s="78" t="str">
        <f>IF($M787="","",INDEX(fa_num,$M787)&amp;"")</f>
        <v/>
      </c>
      <c r="C787" s="79" t="str">
        <f>IF($M787="","",INDEX(fa_cname,$M787)&amp;"")</f>
        <v/>
      </c>
      <c r="D787" s="56" t="str">
        <f>IF($M787="","",INDEX(fa_date,$M787))</f>
        <v/>
      </c>
      <c r="E787" s="56" t="str">
        <f>IF($M787="","",INDEX(fa_due,$M787))</f>
        <v/>
      </c>
      <c r="F787" s="75" t="str">
        <f>IF($M787="","",INDEX(fa_ttc,$M787))</f>
        <v/>
      </c>
      <c r="G787" s="75" t="str">
        <f>IF($M787="","",INDEX(fa_paid,$M787)+INDEX(fa_avoirs,$M787))</f>
        <v/>
      </c>
      <c r="H787" s="75" t="str">
        <f>IF($M787="","",INDEX(fa_reste,$M787))</f>
        <v/>
      </c>
      <c r="I787" s="58" t="str">
        <f>IF($M787="","",MAX(0,p_asof-E787))</f>
        <v/>
      </c>
      <c r="J787" s="78" t="str">
        <f>IF($M787="","",INDEX(fa_tranche,$M787)&amp;"")</f>
        <v/>
      </c>
      <c r="K787" s="56" t="str">
        <f>IF($M787="","",IF(ISNUMBER(INDEX(fa_relance,$M787)),INDEX(fa_relance,$M787),""))</f>
        <v/>
      </c>
      <c r="L787" s="79" t="str">
        <f>IF($M787="","",IF(AND(ISNUMBER(K787),(p_asof-E787)&gt;0,(p_asof-N(K787))&gt;=0,(p_asof-N(K787))&lt;7),"Déjà relancée il y a "&amp;(p_asof-N(K787))&amp;" j",IF((p_asof-E787)&lt;=0,IF((p_asof-E787)&gt;-8,"Rappel courtois avant l'échéance","Aucune action"),IF((p_asof-E787)&lt;=15,"Relance 1 : e-mail de rappel",IF((p_asof-E787)&lt;=30,"Relance 2 : appel téléphonique",IF((p_asof-E787)&lt;=60,"Relance 3 : lettre de relance",IF((p_asof-E787)&lt;=90,"Mise en demeure (recommandé)","Contentieux : injonction de payer")))))))</f>
        <v/>
      </c>
      <c r="M787" t="str">
        <f>IFERROR(MATCH(756,fa_rank,0),"")</f>
        <v/>
      </c>
    </row>
    <row r="788">
      <c r="B788" s="78" t="str">
        <f>IF($M788="","",INDEX(fa_num,$M788)&amp;"")</f>
        <v/>
      </c>
      <c r="C788" s="79" t="str">
        <f>IF($M788="","",INDEX(fa_cname,$M788)&amp;"")</f>
        <v/>
      </c>
      <c r="D788" s="56" t="str">
        <f>IF($M788="","",INDEX(fa_date,$M788))</f>
        <v/>
      </c>
      <c r="E788" s="56" t="str">
        <f>IF($M788="","",INDEX(fa_due,$M788))</f>
        <v/>
      </c>
      <c r="F788" s="75" t="str">
        <f>IF($M788="","",INDEX(fa_ttc,$M788))</f>
        <v/>
      </c>
      <c r="G788" s="75" t="str">
        <f>IF($M788="","",INDEX(fa_paid,$M788)+INDEX(fa_avoirs,$M788))</f>
        <v/>
      </c>
      <c r="H788" s="75" t="str">
        <f>IF($M788="","",INDEX(fa_reste,$M788))</f>
        <v/>
      </c>
      <c r="I788" s="58" t="str">
        <f>IF($M788="","",MAX(0,p_asof-E788))</f>
        <v/>
      </c>
      <c r="J788" s="78" t="str">
        <f>IF($M788="","",INDEX(fa_tranche,$M788)&amp;"")</f>
        <v/>
      </c>
      <c r="K788" s="56" t="str">
        <f>IF($M788="","",IF(ISNUMBER(INDEX(fa_relance,$M788)),INDEX(fa_relance,$M788),""))</f>
        <v/>
      </c>
      <c r="L788" s="79" t="str">
        <f>IF($M788="","",IF(AND(ISNUMBER(K788),(p_asof-E788)&gt;0,(p_asof-N(K788))&gt;=0,(p_asof-N(K788))&lt;7),"Déjà relancée il y a "&amp;(p_asof-N(K788))&amp;" j",IF((p_asof-E788)&lt;=0,IF((p_asof-E788)&gt;-8,"Rappel courtois avant l'échéance","Aucune action"),IF((p_asof-E788)&lt;=15,"Relance 1 : e-mail de rappel",IF((p_asof-E788)&lt;=30,"Relance 2 : appel téléphonique",IF((p_asof-E788)&lt;=60,"Relance 3 : lettre de relance",IF((p_asof-E788)&lt;=90,"Mise en demeure (recommandé)","Contentieux : injonction de payer")))))))</f>
        <v/>
      </c>
      <c r="M788" t="str">
        <f>IFERROR(MATCH(757,fa_rank,0),"")</f>
        <v/>
      </c>
    </row>
    <row r="789">
      <c r="B789" s="78" t="str">
        <f>IF($M789="","",INDEX(fa_num,$M789)&amp;"")</f>
        <v/>
      </c>
      <c r="C789" s="79" t="str">
        <f>IF($M789="","",INDEX(fa_cname,$M789)&amp;"")</f>
        <v/>
      </c>
      <c r="D789" s="56" t="str">
        <f>IF($M789="","",INDEX(fa_date,$M789))</f>
        <v/>
      </c>
      <c r="E789" s="56" t="str">
        <f>IF($M789="","",INDEX(fa_due,$M789))</f>
        <v/>
      </c>
      <c r="F789" s="75" t="str">
        <f>IF($M789="","",INDEX(fa_ttc,$M789))</f>
        <v/>
      </c>
      <c r="G789" s="75" t="str">
        <f>IF($M789="","",INDEX(fa_paid,$M789)+INDEX(fa_avoirs,$M789))</f>
        <v/>
      </c>
      <c r="H789" s="75" t="str">
        <f>IF($M789="","",INDEX(fa_reste,$M789))</f>
        <v/>
      </c>
      <c r="I789" s="58" t="str">
        <f>IF($M789="","",MAX(0,p_asof-E789))</f>
        <v/>
      </c>
      <c r="J789" s="78" t="str">
        <f>IF($M789="","",INDEX(fa_tranche,$M789)&amp;"")</f>
        <v/>
      </c>
      <c r="K789" s="56" t="str">
        <f>IF($M789="","",IF(ISNUMBER(INDEX(fa_relance,$M789)),INDEX(fa_relance,$M789),""))</f>
        <v/>
      </c>
      <c r="L789" s="79" t="str">
        <f>IF($M789="","",IF(AND(ISNUMBER(K789),(p_asof-E789)&gt;0,(p_asof-N(K789))&gt;=0,(p_asof-N(K789))&lt;7),"Déjà relancée il y a "&amp;(p_asof-N(K789))&amp;" j",IF((p_asof-E789)&lt;=0,IF((p_asof-E789)&gt;-8,"Rappel courtois avant l'échéance","Aucune action"),IF((p_asof-E789)&lt;=15,"Relance 1 : e-mail de rappel",IF((p_asof-E789)&lt;=30,"Relance 2 : appel téléphonique",IF((p_asof-E789)&lt;=60,"Relance 3 : lettre de relance",IF((p_asof-E789)&lt;=90,"Mise en demeure (recommandé)","Contentieux : injonction de payer")))))))</f>
        <v/>
      </c>
      <c r="M789" t="str">
        <f>IFERROR(MATCH(758,fa_rank,0),"")</f>
        <v/>
      </c>
    </row>
    <row r="790">
      <c r="B790" s="78" t="str">
        <f>IF($M790="","",INDEX(fa_num,$M790)&amp;"")</f>
        <v/>
      </c>
      <c r="C790" s="79" t="str">
        <f>IF($M790="","",INDEX(fa_cname,$M790)&amp;"")</f>
        <v/>
      </c>
      <c r="D790" s="56" t="str">
        <f>IF($M790="","",INDEX(fa_date,$M790))</f>
        <v/>
      </c>
      <c r="E790" s="56" t="str">
        <f>IF($M790="","",INDEX(fa_due,$M790))</f>
        <v/>
      </c>
      <c r="F790" s="75" t="str">
        <f>IF($M790="","",INDEX(fa_ttc,$M790))</f>
        <v/>
      </c>
      <c r="G790" s="75" t="str">
        <f>IF($M790="","",INDEX(fa_paid,$M790)+INDEX(fa_avoirs,$M790))</f>
        <v/>
      </c>
      <c r="H790" s="75" t="str">
        <f>IF($M790="","",INDEX(fa_reste,$M790))</f>
        <v/>
      </c>
      <c r="I790" s="58" t="str">
        <f>IF($M790="","",MAX(0,p_asof-E790))</f>
        <v/>
      </c>
      <c r="J790" s="78" t="str">
        <f>IF($M790="","",INDEX(fa_tranche,$M790)&amp;"")</f>
        <v/>
      </c>
      <c r="K790" s="56" t="str">
        <f>IF($M790="","",IF(ISNUMBER(INDEX(fa_relance,$M790)),INDEX(fa_relance,$M790),""))</f>
        <v/>
      </c>
      <c r="L790" s="79" t="str">
        <f>IF($M790="","",IF(AND(ISNUMBER(K790),(p_asof-E790)&gt;0,(p_asof-N(K790))&gt;=0,(p_asof-N(K790))&lt;7),"Déjà relancée il y a "&amp;(p_asof-N(K790))&amp;" j",IF((p_asof-E790)&lt;=0,IF((p_asof-E790)&gt;-8,"Rappel courtois avant l'échéance","Aucune action"),IF((p_asof-E790)&lt;=15,"Relance 1 : e-mail de rappel",IF((p_asof-E790)&lt;=30,"Relance 2 : appel téléphonique",IF((p_asof-E790)&lt;=60,"Relance 3 : lettre de relance",IF((p_asof-E790)&lt;=90,"Mise en demeure (recommandé)","Contentieux : injonction de payer")))))))</f>
        <v/>
      </c>
      <c r="M790" t="str">
        <f>IFERROR(MATCH(759,fa_rank,0),"")</f>
        <v/>
      </c>
    </row>
    <row r="791">
      <c r="B791" s="78" t="str">
        <f>IF($M791="","",INDEX(fa_num,$M791)&amp;"")</f>
        <v/>
      </c>
      <c r="C791" s="79" t="str">
        <f>IF($M791="","",INDEX(fa_cname,$M791)&amp;"")</f>
        <v/>
      </c>
      <c r="D791" s="56" t="str">
        <f>IF($M791="","",INDEX(fa_date,$M791))</f>
        <v/>
      </c>
      <c r="E791" s="56" t="str">
        <f>IF($M791="","",INDEX(fa_due,$M791))</f>
        <v/>
      </c>
      <c r="F791" s="75" t="str">
        <f>IF($M791="","",INDEX(fa_ttc,$M791))</f>
        <v/>
      </c>
      <c r="G791" s="75" t="str">
        <f>IF($M791="","",INDEX(fa_paid,$M791)+INDEX(fa_avoirs,$M791))</f>
        <v/>
      </c>
      <c r="H791" s="75" t="str">
        <f>IF($M791="","",INDEX(fa_reste,$M791))</f>
        <v/>
      </c>
      <c r="I791" s="58" t="str">
        <f>IF($M791="","",MAX(0,p_asof-E791))</f>
        <v/>
      </c>
      <c r="J791" s="78" t="str">
        <f>IF($M791="","",INDEX(fa_tranche,$M791)&amp;"")</f>
        <v/>
      </c>
      <c r="K791" s="56" t="str">
        <f>IF($M791="","",IF(ISNUMBER(INDEX(fa_relance,$M791)),INDEX(fa_relance,$M791),""))</f>
        <v/>
      </c>
      <c r="L791" s="79" t="str">
        <f>IF($M791="","",IF(AND(ISNUMBER(K791),(p_asof-E791)&gt;0,(p_asof-N(K791))&gt;=0,(p_asof-N(K791))&lt;7),"Déjà relancée il y a "&amp;(p_asof-N(K791))&amp;" j",IF((p_asof-E791)&lt;=0,IF((p_asof-E791)&gt;-8,"Rappel courtois avant l'échéance","Aucune action"),IF((p_asof-E791)&lt;=15,"Relance 1 : e-mail de rappel",IF((p_asof-E791)&lt;=30,"Relance 2 : appel téléphonique",IF((p_asof-E791)&lt;=60,"Relance 3 : lettre de relance",IF((p_asof-E791)&lt;=90,"Mise en demeure (recommandé)","Contentieux : injonction de payer")))))))</f>
        <v/>
      </c>
      <c r="M791" t="str">
        <f>IFERROR(MATCH(760,fa_rank,0),"")</f>
        <v/>
      </c>
    </row>
    <row r="792">
      <c r="B792" s="78" t="str">
        <f>IF($M792="","",INDEX(fa_num,$M792)&amp;"")</f>
        <v/>
      </c>
      <c r="C792" s="79" t="str">
        <f>IF($M792="","",INDEX(fa_cname,$M792)&amp;"")</f>
        <v/>
      </c>
      <c r="D792" s="56" t="str">
        <f>IF($M792="","",INDEX(fa_date,$M792))</f>
        <v/>
      </c>
      <c r="E792" s="56" t="str">
        <f>IF($M792="","",INDEX(fa_due,$M792))</f>
        <v/>
      </c>
      <c r="F792" s="75" t="str">
        <f>IF($M792="","",INDEX(fa_ttc,$M792))</f>
        <v/>
      </c>
      <c r="G792" s="75" t="str">
        <f>IF($M792="","",INDEX(fa_paid,$M792)+INDEX(fa_avoirs,$M792))</f>
        <v/>
      </c>
      <c r="H792" s="75" t="str">
        <f>IF($M792="","",INDEX(fa_reste,$M792))</f>
        <v/>
      </c>
      <c r="I792" s="58" t="str">
        <f>IF($M792="","",MAX(0,p_asof-E792))</f>
        <v/>
      </c>
      <c r="J792" s="78" t="str">
        <f>IF($M792="","",INDEX(fa_tranche,$M792)&amp;"")</f>
        <v/>
      </c>
      <c r="K792" s="56" t="str">
        <f>IF($M792="","",IF(ISNUMBER(INDEX(fa_relance,$M792)),INDEX(fa_relance,$M792),""))</f>
        <v/>
      </c>
      <c r="L792" s="79" t="str">
        <f>IF($M792="","",IF(AND(ISNUMBER(K792),(p_asof-E792)&gt;0,(p_asof-N(K792))&gt;=0,(p_asof-N(K792))&lt;7),"Déjà relancée il y a "&amp;(p_asof-N(K792))&amp;" j",IF((p_asof-E792)&lt;=0,IF((p_asof-E792)&gt;-8,"Rappel courtois avant l'échéance","Aucune action"),IF((p_asof-E792)&lt;=15,"Relance 1 : e-mail de rappel",IF((p_asof-E792)&lt;=30,"Relance 2 : appel téléphonique",IF((p_asof-E792)&lt;=60,"Relance 3 : lettre de relance",IF((p_asof-E792)&lt;=90,"Mise en demeure (recommandé)","Contentieux : injonction de payer")))))))</f>
        <v/>
      </c>
      <c r="M792" t="str">
        <f>IFERROR(MATCH(761,fa_rank,0),"")</f>
        <v/>
      </c>
    </row>
    <row r="793">
      <c r="B793" s="78" t="str">
        <f>IF($M793="","",INDEX(fa_num,$M793)&amp;"")</f>
        <v/>
      </c>
      <c r="C793" s="79" t="str">
        <f>IF($M793="","",INDEX(fa_cname,$M793)&amp;"")</f>
        <v/>
      </c>
      <c r="D793" s="56" t="str">
        <f>IF($M793="","",INDEX(fa_date,$M793))</f>
        <v/>
      </c>
      <c r="E793" s="56" t="str">
        <f>IF($M793="","",INDEX(fa_due,$M793))</f>
        <v/>
      </c>
      <c r="F793" s="75" t="str">
        <f>IF($M793="","",INDEX(fa_ttc,$M793))</f>
        <v/>
      </c>
      <c r="G793" s="75" t="str">
        <f>IF($M793="","",INDEX(fa_paid,$M793)+INDEX(fa_avoirs,$M793))</f>
        <v/>
      </c>
      <c r="H793" s="75" t="str">
        <f>IF($M793="","",INDEX(fa_reste,$M793))</f>
        <v/>
      </c>
      <c r="I793" s="58" t="str">
        <f>IF($M793="","",MAX(0,p_asof-E793))</f>
        <v/>
      </c>
      <c r="J793" s="78" t="str">
        <f>IF($M793="","",INDEX(fa_tranche,$M793)&amp;"")</f>
        <v/>
      </c>
      <c r="K793" s="56" t="str">
        <f>IF($M793="","",IF(ISNUMBER(INDEX(fa_relance,$M793)),INDEX(fa_relance,$M793),""))</f>
        <v/>
      </c>
      <c r="L793" s="79" t="str">
        <f>IF($M793="","",IF(AND(ISNUMBER(K793),(p_asof-E793)&gt;0,(p_asof-N(K793))&gt;=0,(p_asof-N(K793))&lt;7),"Déjà relancée il y a "&amp;(p_asof-N(K793))&amp;" j",IF((p_asof-E793)&lt;=0,IF((p_asof-E793)&gt;-8,"Rappel courtois avant l'échéance","Aucune action"),IF((p_asof-E793)&lt;=15,"Relance 1 : e-mail de rappel",IF((p_asof-E793)&lt;=30,"Relance 2 : appel téléphonique",IF((p_asof-E793)&lt;=60,"Relance 3 : lettre de relance",IF((p_asof-E793)&lt;=90,"Mise en demeure (recommandé)","Contentieux : injonction de payer")))))))</f>
        <v/>
      </c>
      <c r="M793" t="str">
        <f>IFERROR(MATCH(762,fa_rank,0),"")</f>
        <v/>
      </c>
    </row>
    <row r="794">
      <c r="B794" s="78" t="str">
        <f>IF($M794="","",INDEX(fa_num,$M794)&amp;"")</f>
        <v/>
      </c>
      <c r="C794" s="79" t="str">
        <f>IF($M794="","",INDEX(fa_cname,$M794)&amp;"")</f>
        <v/>
      </c>
      <c r="D794" s="56" t="str">
        <f>IF($M794="","",INDEX(fa_date,$M794))</f>
        <v/>
      </c>
      <c r="E794" s="56" t="str">
        <f>IF($M794="","",INDEX(fa_due,$M794))</f>
        <v/>
      </c>
      <c r="F794" s="75" t="str">
        <f>IF($M794="","",INDEX(fa_ttc,$M794))</f>
        <v/>
      </c>
      <c r="G794" s="75" t="str">
        <f>IF($M794="","",INDEX(fa_paid,$M794)+INDEX(fa_avoirs,$M794))</f>
        <v/>
      </c>
      <c r="H794" s="75" t="str">
        <f>IF($M794="","",INDEX(fa_reste,$M794))</f>
        <v/>
      </c>
      <c r="I794" s="58" t="str">
        <f>IF($M794="","",MAX(0,p_asof-E794))</f>
        <v/>
      </c>
      <c r="J794" s="78" t="str">
        <f>IF($M794="","",INDEX(fa_tranche,$M794)&amp;"")</f>
        <v/>
      </c>
      <c r="K794" s="56" t="str">
        <f>IF($M794="","",IF(ISNUMBER(INDEX(fa_relance,$M794)),INDEX(fa_relance,$M794),""))</f>
        <v/>
      </c>
      <c r="L794" s="79" t="str">
        <f>IF($M794="","",IF(AND(ISNUMBER(K794),(p_asof-E794)&gt;0,(p_asof-N(K794))&gt;=0,(p_asof-N(K794))&lt;7),"Déjà relancée il y a "&amp;(p_asof-N(K794))&amp;" j",IF((p_asof-E794)&lt;=0,IF((p_asof-E794)&gt;-8,"Rappel courtois avant l'échéance","Aucune action"),IF((p_asof-E794)&lt;=15,"Relance 1 : e-mail de rappel",IF((p_asof-E794)&lt;=30,"Relance 2 : appel téléphonique",IF((p_asof-E794)&lt;=60,"Relance 3 : lettre de relance",IF((p_asof-E794)&lt;=90,"Mise en demeure (recommandé)","Contentieux : injonction de payer")))))))</f>
        <v/>
      </c>
      <c r="M794" t="str">
        <f>IFERROR(MATCH(763,fa_rank,0),"")</f>
        <v/>
      </c>
    </row>
    <row r="795">
      <c r="B795" s="78" t="str">
        <f>IF($M795="","",INDEX(fa_num,$M795)&amp;"")</f>
        <v/>
      </c>
      <c r="C795" s="79" t="str">
        <f>IF($M795="","",INDEX(fa_cname,$M795)&amp;"")</f>
        <v/>
      </c>
      <c r="D795" s="56" t="str">
        <f>IF($M795="","",INDEX(fa_date,$M795))</f>
        <v/>
      </c>
      <c r="E795" s="56" t="str">
        <f>IF($M795="","",INDEX(fa_due,$M795))</f>
        <v/>
      </c>
      <c r="F795" s="75" t="str">
        <f>IF($M795="","",INDEX(fa_ttc,$M795))</f>
        <v/>
      </c>
      <c r="G795" s="75" t="str">
        <f>IF($M795="","",INDEX(fa_paid,$M795)+INDEX(fa_avoirs,$M795))</f>
        <v/>
      </c>
      <c r="H795" s="75" t="str">
        <f>IF($M795="","",INDEX(fa_reste,$M795))</f>
        <v/>
      </c>
      <c r="I795" s="58" t="str">
        <f>IF($M795="","",MAX(0,p_asof-E795))</f>
        <v/>
      </c>
      <c r="J795" s="78" t="str">
        <f>IF($M795="","",INDEX(fa_tranche,$M795)&amp;"")</f>
        <v/>
      </c>
      <c r="K795" s="56" t="str">
        <f>IF($M795="","",IF(ISNUMBER(INDEX(fa_relance,$M795)),INDEX(fa_relance,$M795),""))</f>
        <v/>
      </c>
      <c r="L795" s="79" t="str">
        <f>IF($M795="","",IF(AND(ISNUMBER(K795),(p_asof-E795)&gt;0,(p_asof-N(K795))&gt;=0,(p_asof-N(K795))&lt;7),"Déjà relancée il y a "&amp;(p_asof-N(K795))&amp;" j",IF((p_asof-E795)&lt;=0,IF((p_asof-E795)&gt;-8,"Rappel courtois avant l'échéance","Aucune action"),IF((p_asof-E795)&lt;=15,"Relance 1 : e-mail de rappel",IF((p_asof-E795)&lt;=30,"Relance 2 : appel téléphonique",IF((p_asof-E795)&lt;=60,"Relance 3 : lettre de relance",IF((p_asof-E795)&lt;=90,"Mise en demeure (recommandé)","Contentieux : injonction de payer")))))))</f>
        <v/>
      </c>
      <c r="M795" t="str">
        <f>IFERROR(MATCH(764,fa_rank,0),"")</f>
        <v/>
      </c>
    </row>
    <row r="796">
      <c r="B796" s="78" t="str">
        <f>IF($M796="","",INDEX(fa_num,$M796)&amp;"")</f>
        <v/>
      </c>
      <c r="C796" s="79" t="str">
        <f>IF($M796="","",INDEX(fa_cname,$M796)&amp;"")</f>
        <v/>
      </c>
      <c r="D796" s="56" t="str">
        <f>IF($M796="","",INDEX(fa_date,$M796))</f>
        <v/>
      </c>
      <c r="E796" s="56" t="str">
        <f>IF($M796="","",INDEX(fa_due,$M796))</f>
        <v/>
      </c>
      <c r="F796" s="75" t="str">
        <f>IF($M796="","",INDEX(fa_ttc,$M796))</f>
        <v/>
      </c>
      <c r="G796" s="75" t="str">
        <f>IF($M796="","",INDEX(fa_paid,$M796)+INDEX(fa_avoirs,$M796))</f>
        <v/>
      </c>
      <c r="H796" s="75" t="str">
        <f>IF($M796="","",INDEX(fa_reste,$M796))</f>
        <v/>
      </c>
      <c r="I796" s="58" t="str">
        <f>IF($M796="","",MAX(0,p_asof-E796))</f>
        <v/>
      </c>
      <c r="J796" s="78" t="str">
        <f>IF($M796="","",INDEX(fa_tranche,$M796)&amp;"")</f>
        <v/>
      </c>
      <c r="K796" s="56" t="str">
        <f>IF($M796="","",IF(ISNUMBER(INDEX(fa_relance,$M796)),INDEX(fa_relance,$M796),""))</f>
        <v/>
      </c>
      <c r="L796" s="79" t="str">
        <f>IF($M796="","",IF(AND(ISNUMBER(K796),(p_asof-E796)&gt;0,(p_asof-N(K796))&gt;=0,(p_asof-N(K796))&lt;7),"Déjà relancée il y a "&amp;(p_asof-N(K796))&amp;" j",IF((p_asof-E796)&lt;=0,IF((p_asof-E796)&gt;-8,"Rappel courtois avant l'échéance","Aucune action"),IF((p_asof-E796)&lt;=15,"Relance 1 : e-mail de rappel",IF((p_asof-E796)&lt;=30,"Relance 2 : appel téléphonique",IF((p_asof-E796)&lt;=60,"Relance 3 : lettre de relance",IF((p_asof-E796)&lt;=90,"Mise en demeure (recommandé)","Contentieux : injonction de payer")))))))</f>
        <v/>
      </c>
      <c r="M796" t="str">
        <f>IFERROR(MATCH(765,fa_rank,0),"")</f>
        <v/>
      </c>
    </row>
    <row r="797">
      <c r="B797" s="78" t="str">
        <f>IF($M797="","",INDEX(fa_num,$M797)&amp;"")</f>
        <v/>
      </c>
      <c r="C797" s="79" t="str">
        <f>IF($M797="","",INDEX(fa_cname,$M797)&amp;"")</f>
        <v/>
      </c>
      <c r="D797" s="56" t="str">
        <f>IF($M797="","",INDEX(fa_date,$M797))</f>
        <v/>
      </c>
      <c r="E797" s="56" t="str">
        <f>IF($M797="","",INDEX(fa_due,$M797))</f>
        <v/>
      </c>
      <c r="F797" s="75" t="str">
        <f>IF($M797="","",INDEX(fa_ttc,$M797))</f>
        <v/>
      </c>
      <c r="G797" s="75" t="str">
        <f>IF($M797="","",INDEX(fa_paid,$M797)+INDEX(fa_avoirs,$M797))</f>
        <v/>
      </c>
      <c r="H797" s="75" t="str">
        <f>IF($M797="","",INDEX(fa_reste,$M797))</f>
        <v/>
      </c>
      <c r="I797" s="58" t="str">
        <f>IF($M797="","",MAX(0,p_asof-E797))</f>
        <v/>
      </c>
      <c r="J797" s="78" t="str">
        <f>IF($M797="","",INDEX(fa_tranche,$M797)&amp;"")</f>
        <v/>
      </c>
      <c r="K797" s="56" t="str">
        <f>IF($M797="","",IF(ISNUMBER(INDEX(fa_relance,$M797)),INDEX(fa_relance,$M797),""))</f>
        <v/>
      </c>
      <c r="L797" s="79" t="str">
        <f>IF($M797="","",IF(AND(ISNUMBER(K797),(p_asof-E797)&gt;0,(p_asof-N(K797))&gt;=0,(p_asof-N(K797))&lt;7),"Déjà relancée il y a "&amp;(p_asof-N(K797))&amp;" j",IF((p_asof-E797)&lt;=0,IF((p_asof-E797)&gt;-8,"Rappel courtois avant l'échéance","Aucune action"),IF((p_asof-E797)&lt;=15,"Relance 1 : e-mail de rappel",IF((p_asof-E797)&lt;=30,"Relance 2 : appel téléphonique",IF((p_asof-E797)&lt;=60,"Relance 3 : lettre de relance",IF((p_asof-E797)&lt;=90,"Mise en demeure (recommandé)","Contentieux : injonction de payer")))))))</f>
        <v/>
      </c>
      <c r="M797" t="str">
        <f>IFERROR(MATCH(766,fa_rank,0),"")</f>
        <v/>
      </c>
    </row>
    <row r="798">
      <c r="B798" s="78" t="str">
        <f>IF($M798="","",INDEX(fa_num,$M798)&amp;"")</f>
        <v/>
      </c>
      <c r="C798" s="79" t="str">
        <f>IF($M798="","",INDEX(fa_cname,$M798)&amp;"")</f>
        <v/>
      </c>
      <c r="D798" s="56" t="str">
        <f>IF($M798="","",INDEX(fa_date,$M798))</f>
        <v/>
      </c>
      <c r="E798" s="56" t="str">
        <f>IF($M798="","",INDEX(fa_due,$M798))</f>
        <v/>
      </c>
      <c r="F798" s="75" t="str">
        <f>IF($M798="","",INDEX(fa_ttc,$M798))</f>
        <v/>
      </c>
      <c r="G798" s="75" t="str">
        <f>IF($M798="","",INDEX(fa_paid,$M798)+INDEX(fa_avoirs,$M798))</f>
        <v/>
      </c>
      <c r="H798" s="75" t="str">
        <f>IF($M798="","",INDEX(fa_reste,$M798))</f>
        <v/>
      </c>
      <c r="I798" s="58" t="str">
        <f>IF($M798="","",MAX(0,p_asof-E798))</f>
        <v/>
      </c>
      <c r="J798" s="78" t="str">
        <f>IF($M798="","",INDEX(fa_tranche,$M798)&amp;"")</f>
        <v/>
      </c>
      <c r="K798" s="56" t="str">
        <f>IF($M798="","",IF(ISNUMBER(INDEX(fa_relance,$M798)),INDEX(fa_relance,$M798),""))</f>
        <v/>
      </c>
      <c r="L798" s="79" t="str">
        <f>IF($M798="","",IF(AND(ISNUMBER(K798),(p_asof-E798)&gt;0,(p_asof-N(K798))&gt;=0,(p_asof-N(K798))&lt;7),"Déjà relancée il y a "&amp;(p_asof-N(K798))&amp;" j",IF((p_asof-E798)&lt;=0,IF((p_asof-E798)&gt;-8,"Rappel courtois avant l'échéance","Aucune action"),IF((p_asof-E798)&lt;=15,"Relance 1 : e-mail de rappel",IF((p_asof-E798)&lt;=30,"Relance 2 : appel téléphonique",IF((p_asof-E798)&lt;=60,"Relance 3 : lettre de relance",IF((p_asof-E798)&lt;=90,"Mise en demeure (recommandé)","Contentieux : injonction de payer")))))))</f>
        <v/>
      </c>
      <c r="M798" t="str">
        <f>IFERROR(MATCH(767,fa_rank,0),"")</f>
        <v/>
      </c>
    </row>
    <row r="799">
      <c r="B799" s="78" t="str">
        <f>IF($M799="","",INDEX(fa_num,$M799)&amp;"")</f>
        <v/>
      </c>
      <c r="C799" s="79" t="str">
        <f>IF($M799="","",INDEX(fa_cname,$M799)&amp;"")</f>
        <v/>
      </c>
      <c r="D799" s="56" t="str">
        <f>IF($M799="","",INDEX(fa_date,$M799))</f>
        <v/>
      </c>
      <c r="E799" s="56" t="str">
        <f>IF($M799="","",INDEX(fa_due,$M799))</f>
        <v/>
      </c>
      <c r="F799" s="75" t="str">
        <f>IF($M799="","",INDEX(fa_ttc,$M799))</f>
        <v/>
      </c>
      <c r="G799" s="75" t="str">
        <f>IF($M799="","",INDEX(fa_paid,$M799)+INDEX(fa_avoirs,$M799))</f>
        <v/>
      </c>
      <c r="H799" s="75" t="str">
        <f>IF($M799="","",INDEX(fa_reste,$M799))</f>
        <v/>
      </c>
      <c r="I799" s="58" t="str">
        <f>IF($M799="","",MAX(0,p_asof-E799))</f>
        <v/>
      </c>
      <c r="J799" s="78" t="str">
        <f>IF($M799="","",INDEX(fa_tranche,$M799)&amp;"")</f>
        <v/>
      </c>
      <c r="K799" s="56" t="str">
        <f>IF($M799="","",IF(ISNUMBER(INDEX(fa_relance,$M799)),INDEX(fa_relance,$M799),""))</f>
        <v/>
      </c>
      <c r="L799" s="79" t="str">
        <f>IF($M799="","",IF(AND(ISNUMBER(K799),(p_asof-E799)&gt;0,(p_asof-N(K799))&gt;=0,(p_asof-N(K799))&lt;7),"Déjà relancée il y a "&amp;(p_asof-N(K799))&amp;" j",IF((p_asof-E799)&lt;=0,IF((p_asof-E799)&gt;-8,"Rappel courtois avant l'échéance","Aucune action"),IF((p_asof-E799)&lt;=15,"Relance 1 : e-mail de rappel",IF((p_asof-E799)&lt;=30,"Relance 2 : appel téléphonique",IF((p_asof-E799)&lt;=60,"Relance 3 : lettre de relance",IF((p_asof-E799)&lt;=90,"Mise en demeure (recommandé)","Contentieux : injonction de payer")))))))</f>
        <v/>
      </c>
      <c r="M799" t="str">
        <f>IFERROR(MATCH(768,fa_rank,0),"")</f>
        <v/>
      </c>
    </row>
    <row r="800">
      <c r="B800" s="78" t="str">
        <f>IF($M800="","",INDEX(fa_num,$M800)&amp;"")</f>
        <v/>
      </c>
      <c r="C800" s="79" t="str">
        <f>IF($M800="","",INDEX(fa_cname,$M800)&amp;"")</f>
        <v/>
      </c>
      <c r="D800" s="56" t="str">
        <f>IF($M800="","",INDEX(fa_date,$M800))</f>
        <v/>
      </c>
      <c r="E800" s="56" t="str">
        <f>IF($M800="","",INDEX(fa_due,$M800))</f>
        <v/>
      </c>
      <c r="F800" s="75" t="str">
        <f>IF($M800="","",INDEX(fa_ttc,$M800))</f>
        <v/>
      </c>
      <c r="G800" s="75" t="str">
        <f>IF($M800="","",INDEX(fa_paid,$M800)+INDEX(fa_avoirs,$M800))</f>
        <v/>
      </c>
      <c r="H800" s="75" t="str">
        <f>IF($M800="","",INDEX(fa_reste,$M800))</f>
        <v/>
      </c>
      <c r="I800" s="58" t="str">
        <f>IF($M800="","",MAX(0,p_asof-E800))</f>
        <v/>
      </c>
      <c r="J800" s="78" t="str">
        <f>IF($M800="","",INDEX(fa_tranche,$M800)&amp;"")</f>
        <v/>
      </c>
      <c r="K800" s="56" t="str">
        <f>IF($M800="","",IF(ISNUMBER(INDEX(fa_relance,$M800)),INDEX(fa_relance,$M800),""))</f>
        <v/>
      </c>
      <c r="L800" s="79" t="str">
        <f>IF($M800="","",IF(AND(ISNUMBER(K800),(p_asof-E800)&gt;0,(p_asof-N(K800))&gt;=0,(p_asof-N(K800))&lt;7),"Déjà relancée il y a "&amp;(p_asof-N(K800))&amp;" j",IF((p_asof-E800)&lt;=0,IF((p_asof-E800)&gt;-8,"Rappel courtois avant l'échéance","Aucune action"),IF((p_asof-E800)&lt;=15,"Relance 1 : e-mail de rappel",IF((p_asof-E800)&lt;=30,"Relance 2 : appel téléphonique",IF((p_asof-E800)&lt;=60,"Relance 3 : lettre de relance",IF((p_asof-E800)&lt;=90,"Mise en demeure (recommandé)","Contentieux : injonction de payer")))))))</f>
        <v/>
      </c>
      <c r="M800" t="str">
        <f>IFERROR(MATCH(769,fa_rank,0),"")</f>
        <v/>
      </c>
    </row>
    <row r="801">
      <c r="B801" s="78" t="str">
        <f>IF($M801="","",INDEX(fa_num,$M801)&amp;"")</f>
        <v/>
      </c>
      <c r="C801" s="79" t="str">
        <f>IF($M801="","",INDEX(fa_cname,$M801)&amp;"")</f>
        <v/>
      </c>
      <c r="D801" s="56" t="str">
        <f>IF($M801="","",INDEX(fa_date,$M801))</f>
        <v/>
      </c>
      <c r="E801" s="56" t="str">
        <f>IF($M801="","",INDEX(fa_due,$M801))</f>
        <v/>
      </c>
      <c r="F801" s="75" t="str">
        <f>IF($M801="","",INDEX(fa_ttc,$M801))</f>
        <v/>
      </c>
      <c r="G801" s="75" t="str">
        <f>IF($M801="","",INDEX(fa_paid,$M801)+INDEX(fa_avoirs,$M801))</f>
        <v/>
      </c>
      <c r="H801" s="75" t="str">
        <f>IF($M801="","",INDEX(fa_reste,$M801))</f>
        <v/>
      </c>
      <c r="I801" s="58" t="str">
        <f>IF($M801="","",MAX(0,p_asof-E801))</f>
        <v/>
      </c>
      <c r="J801" s="78" t="str">
        <f>IF($M801="","",INDEX(fa_tranche,$M801)&amp;"")</f>
        <v/>
      </c>
      <c r="K801" s="56" t="str">
        <f>IF($M801="","",IF(ISNUMBER(INDEX(fa_relance,$M801)),INDEX(fa_relance,$M801),""))</f>
        <v/>
      </c>
      <c r="L801" s="79" t="str">
        <f>IF($M801="","",IF(AND(ISNUMBER(K801),(p_asof-E801)&gt;0,(p_asof-N(K801))&gt;=0,(p_asof-N(K801))&lt;7),"Déjà relancée il y a "&amp;(p_asof-N(K801))&amp;" j",IF((p_asof-E801)&lt;=0,IF((p_asof-E801)&gt;-8,"Rappel courtois avant l'échéance","Aucune action"),IF((p_asof-E801)&lt;=15,"Relance 1 : e-mail de rappel",IF((p_asof-E801)&lt;=30,"Relance 2 : appel téléphonique",IF((p_asof-E801)&lt;=60,"Relance 3 : lettre de relance",IF((p_asof-E801)&lt;=90,"Mise en demeure (recommandé)","Contentieux : injonction de payer")))))))</f>
        <v/>
      </c>
      <c r="M801" t="str">
        <f>IFERROR(MATCH(770,fa_rank,0),"")</f>
        <v/>
      </c>
    </row>
    <row r="802">
      <c r="B802" s="78" t="str">
        <f>IF($M802="","",INDEX(fa_num,$M802)&amp;"")</f>
        <v/>
      </c>
      <c r="C802" s="79" t="str">
        <f>IF($M802="","",INDEX(fa_cname,$M802)&amp;"")</f>
        <v/>
      </c>
      <c r="D802" s="56" t="str">
        <f>IF($M802="","",INDEX(fa_date,$M802))</f>
        <v/>
      </c>
      <c r="E802" s="56" t="str">
        <f>IF($M802="","",INDEX(fa_due,$M802))</f>
        <v/>
      </c>
      <c r="F802" s="75" t="str">
        <f>IF($M802="","",INDEX(fa_ttc,$M802))</f>
        <v/>
      </c>
      <c r="G802" s="75" t="str">
        <f>IF($M802="","",INDEX(fa_paid,$M802)+INDEX(fa_avoirs,$M802))</f>
        <v/>
      </c>
      <c r="H802" s="75" t="str">
        <f>IF($M802="","",INDEX(fa_reste,$M802))</f>
        <v/>
      </c>
      <c r="I802" s="58" t="str">
        <f>IF($M802="","",MAX(0,p_asof-E802))</f>
        <v/>
      </c>
      <c r="J802" s="78" t="str">
        <f>IF($M802="","",INDEX(fa_tranche,$M802)&amp;"")</f>
        <v/>
      </c>
      <c r="K802" s="56" t="str">
        <f>IF($M802="","",IF(ISNUMBER(INDEX(fa_relance,$M802)),INDEX(fa_relance,$M802),""))</f>
        <v/>
      </c>
      <c r="L802" s="79" t="str">
        <f>IF($M802="","",IF(AND(ISNUMBER(K802),(p_asof-E802)&gt;0,(p_asof-N(K802))&gt;=0,(p_asof-N(K802))&lt;7),"Déjà relancée il y a "&amp;(p_asof-N(K802))&amp;" j",IF((p_asof-E802)&lt;=0,IF((p_asof-E802)&gt;-8,"Rappel courtois avant l'échéance","Aucune action"),IF((p_asof-E802)&lt;=15,"Relance 1 : e-mail de rappel",IF((p_asof-E802)&lt;=30,"Relance 2 : appel téléphonique",IF((p_asof-E802)&lt;=60,"Relance 3 : lettre de relance",IF((p_asof-E802)&lt;=90,"Mise en demeure (recommandé)","Contentieux : injonction de payer")))))))</f>
        <v/>
      </c>
      <c r="M802" t="str">
        <f>IFERROR(MATCH(771,fa_rank,0),"")</f>
        <v/>
      </c>
    </row>
    <row r="803">
      <c r="B803" s="78" t="str">
        <f>IF($M803="","",INDEX(fa_num,$M803)&amp;"")</f>
        <v/>
      </c>
      <c r="C803" s="79" t="str">
        <f>IF($M803="","",INDEX(fa_cname,$M803)&amp;"")</f>
        <v/>
      </c>
      <c r="D803" s="56" t="str">
        <f>IF($M803="","",INDEX(fa_date,$M803))</f>
        <v/>
      </c>
      <c r="E803" s="56" t="str">
        <f>IF($M803="","",INDEX(fa_due,$M803))</f>
        <v/>
      </c>
      <c r="F803" s="75" t="str">
        <f>IF($M803="","",INDEX(fa_ttc,$M803))</f>
        <v/>
      </c>
      <c r="G803" s="75" t="str">
        <f>IF($M803="","",INDEX(fa_paid,$M803)+INDEX(fa_avoirs,$M803))</f>
        <v/>
      </c>
      <c r="H803" s="75" t="str">
        <f>IF($M803="","",INDEX(fa_reste,$M803))</f>
        <v/>
      </c>
      <c r="I803" s="58" t="str">
        <f>IF($M803="","",MAX(0,p_asof-E803))</f>
        <v/>
      </c>
      <c r="J803" s="78" t="str">
        <f>IF($M803="","",INDEX(fa_tranche,$M803)&amp;"")</f>
        <v/>
      </c>
      <c r="K803" s="56" t="str">
        <f>IF($M803="","",IF(ISNUMBER(INDEX(fa_relance,$M803)),INDEX(fa_relance,$M803),""))</f>
        <v/>
      </c>
      <c r="L803" s="79" t="str">
        <f>IF($M803="","",IF(AND(ISNUMBER(K803),(p_asof-E803)&gt;0,(p_asof-N(K803))&gt;=0,(p_asof-N(K803))&lt;7),"Déjà relancée il y a "&amp;(p_asof-N(K803))&amp;" j",IF((p_asof-E803)&lt;=0,IF((p_asof-E803)&gt;-8,"Rappel courtois avant l'échéance","Aucune action"),IF((p_asof-E803)&lt;=15,"Relance 1 : e-mail de rappel",IF((p_asof-E803)&lt;=30,"Relance 2 : appel téléphonique",IF((p_asof-E803)&lt;=60,"Relance 3 : lettre de relance",IF((p_asof-E803)&lt;=90,"Mise en demeure (recommandé)","Contentieux : injonction de payer")))))))</f>
        <v/>
      </c>
      <c r="M803" t="str">
        <f>IFERROR(MATCH(772,fa_rank,0),"")</f>
        <v/>
      </c>
    </row>
    <row r="804">
      <c r="B804" s="78" t="str">
        <f>IF($M804="","",INDEX(fa_num,$M804)&amp;"")</f>
        <v/>
      </c>
      <c r="C804" s="79" t="str">
        <f>IF($M804="","",INDEX(fa_cname,$M804)&amp;"")</f>
        <v/>
      </c>
      <c r="D804" s="56" t="str">
        <f>IF($M804="","",INDEX(fa_date,$M804))</f>
        <v/>
      </c>
      <c r="E804" s="56" t="str">
        <f>IF($M804="","",INDEX(fa_due,$M804))</f>
        <v/>
      </c>
      <c r="F804" s="75" t="str">
        <f>IF($M804="","",INDEX(fa_ttc,$M804))</f>
        <v/>
      </c>
      <c r="G804" s="75" t="str">
        <f>IF($M804="","",INDEX(fa_paid,$M804)+INDEX(fa_avoirs,$M804))</f>
        <v/>
      </c>
      <c r="H804" s="75" t="str">
        <f>IF($M804="","",INDEX(fa_reste,$M804))</f>
        <v/>
      </c>
      <c r="I804" s="58" t="str">
        <f>IF($M804="","",MAX(0,p_asof-E804))</f>
        <v/>
      </c>
      <c r="J804" s="78" t="str">
        <f>IF($M804="","",INDEX(fa_tranche,$M804)&amp;"")</f>
        <v/>
      </c>
      <c r="K804" s="56" t="str">
        <f>IF($M804="","",IF(ISNUMBER(INDEX(fa_relance,$M804)),INDEX(fa_relance,$M804),""))</f>
        <v/>
      </c>
      <c r="L804" s="79" t="str">
        <f>IF($M804="","",IF(AND(ISNUMBER(K804),(p_asof-E804)&gt;0,(p_asof-N(K804))&gt;=0,(p_asof-N(K804))&lt;7),"Déjà relancée il y a "&amp;(p_asof-N(K804))&amp;" j",IF((p_asof-E804)&lt;=0,IF((p_asof-E804)&gt;-8,"Rappel courtois avant l'échéance","Aucune action"),IF((p_asof-E804)&lt;=15,"Relance 1 : e-mail de rappel",IF((p_asof-E804)&lt;=30,"Relance 2 : appel téléphonique",IF((p_asof-E804)&lt;=60,"Relance 3 : lettre de relance",IF((p_asof-E804)&lt;=90,"Mise en demeure (recommandé)","Contentieux : injonction de payer")))))))</f>
        <v/>
      </c>
      <c r="M804" t="str">
        <f>IFERROR(MATCH(773,fa_rank,0),"")</f>
        <v/>
      </c>
    </row>
    <row r="805">
      <c r="B805" s="78" t="str">
        <f>IF($M805="","",INDEX(fa_num,$M805)&amp;"")</f>
        <v/>
      </c>
      <c r="C805" s="79" t="str">
        <f>IF($M805="","",INDEX(fa_cname,$M805)&amp;"")</f>
        <v/>
      </c>
      <c r="D805" s="56" t="str">
        <f>IF($M805="","",INDEX(fa_date,$M805))</f>
        <v/>
      </c>
      <c r="E805" s="56" t="str">
        <f>IF($M805="","",INDEX(fa_due,$M805))</f>
        <v/>
      </c>
      <c r="F805" s="75" t="str">
        <f>IF($M805="","",INDEX(fa_ttc,$M805))</f>
        <v/>
      </c>
      <c r="G805" s="75" t="str">
        <f>IF($M805="","",INDEX(fa_paid,$M805)+INDEX(fa_avoirs,$M805))</f>
        <v/>
      </c>
      <c r="H805" s="75" t="str">
        <f>IF($M805="","",INDEX(fa_reste,$M805))</f>
        <v/>
      </c>
      <c r="I805" s="58" t="str">
        <f>IF($M805="","",MAX(0,p_asof-E805))</f>
        <v/>
      </c>
      <c r="J805" s="78" t="str">
        <f>IF($M805="","",INDEX(fa_tranche,$M805)&amp;"")</f>
        <v/>
      </c>
      <c r="K805" s="56" t="str">
        <f>IF($M805="","",IF(ISNUMBER(INDEX(fa_relance,$M805)),INDEX(fa_relance,$M805),""))</f>
        <v/>
      </c>
      <c r="L805" s="79" t="str">
        <f>IF($M805="","",IF(AND(ISNUMBER(K805),(p_asof-E805)&gt;0,(p_asof-N(K805))&gt;=0,(p_asof-N(K805))&lt;7),"Déjà relancée il y a "&amp;(p_asof-N(K805))&amp;" j",IF((p_asof-E805)&lt;=0,IF((p_asof-E805)&gt;-8,"Rappel courtois avant l'échéance","Aucune action"),IF((p_asof-E805)&lt;=15,"Relance 1 : e-mail de rappel",IF((p_asof-E805)&lt;=30,"Relance 2 : appel téléphonique",IF((p_asof-E805)&lt;=60,"Relance 3 : lettre de relance",IF((p_asof-E805)&lt;=90,"Mise en demeure (recommandé)","Contentieux : injonction de payer")))))))</f>
        <v/>
      </c>
      <c r="M805" t="str">
        <f>IFERROR(MATCH(774,fa_rank,0),"")</f>
        <v/>
      </c>
    </row>
    <row r="806">
      <c r="B806" s="78" t="str">
        <f>IF($M806="","",INDEX(fa_num,$M806)&amp;"")</f>
        <v/>
      </c>
      <c r="C806" s="79" t="str">
        <f>IF($M806="","",INDEX(fa_cname,$M806)&amp;"")</f>
        <v/>
      </c>
      <c r="D806" s="56" t="str">
        <f>IF($M806="","",INDEX(fa_date,$M806))</f>
        <v/>
      </c>
      <c r="E806" s="56" t="str">
        <f>IF($M806="","",INDEX(fa_due,$M806))</f>
        <v/>
      </c>
      <c r="F806" s="75" t="str">
        <f>IF($M806="","",INDEX(fa_ttc,$M806))</f>
        <v/>
      </c>
      <c r="G806" s="75" t="str">
        <f>IF($M806="","",INDEX(fa_paid,$M806)+INDEX(fa_avoirs,$M806))</f>
        <v/>
      </c>
      <c r="H806" s="75" t="str">
        <f>IF($M806="","",INDEX(fa_reste,$M806))</f>
        <v/>
      </c>
      <c r="I806" s="58" t="str">
        <f>IF($M806="","",MAX(0,p_asof-E806))</f>
        <v/>
      </c>
      <c r="J806" s="78" t="str">
        <f>IF($M806="","",INDEX(fa_tranche,$M806)&amp;"")</f>
        <v/>
      </c>
      <c r="K806" s="56" t="str">
        <f>IF($M806="","",IF(ISNUMBER(INDEX(fa_relance,$M806)),INDEX(fa_relance,$M806),""))</f>
        <v/>
      </c>
      <c r="L806" s="79" t="str">
        <f>IF($M806="","",IF(AND(ISNUMBER(K806),(p_asof-E806)&gt;0,(p_asof-N(K806))&gt;=0,(p_asof-N(K806))&lt;7),"Déjà relancée il y a "&amp;(p_asof-N(K806))&amp;" j",IF((p_asof-E806)&lt;=0,IF((p_asof-E806)&gt;-8,"Rappel courtois avant l'échéance","Aucune action"),IF((p_asof-E806)&lt;=15,"Relance 1 : e-mail de rappel",IF((p_asof-E806)&lt;=30,"Relance 2 : appel téléphonique",IF((p_asof-E806)&lt;=60,"Relance 3 : lettre de relance",IF((p_asof-E806)&lt;=90,"Mise en demeure (recommandé)","Contentieux : injonction de payer")))))))</f>
        <v/>
      </c>
      <c r="M806" t="str">
        <f>IFERROR(MATCH(775,fa_rank,0),"")</f>
        <v/>
      </c>
    </row>
    <row r="807">
      <c r="B807" s="78" t="str">
        <f>IF($M807="","",INDEX(fa_num,$M807)&amp;"")</f>
        <v/>
      </c>
      <c r="C807" s="79" t="str">
        <f>IF($M807="","",INDEX(fa_cname,$M807)&amp;"")</f>
        <v/>
      </c>
      <c r="D807" s="56" t="str">
        <f>IF($M807="","",INDEX(fa_date,$M807))</f>
        <v/>
      </c>
      <c r="E807" s="56" t="str">
        <f>IF($M807="","",INDEX(fa_due,$M807))</f>
        <v/>
      </c>
      <c r="F807" s="75" t="str">
        <f>IF($M807="","",INDEX(fa_ttc,$M807))</f>
        <v/>
      </c>
      <c r="G807" s="75" t="str">
        <f>IF($M807="","",INDEX(fa_paid,$M807)+INDEX(fa_avoirs,$M807))</f>
        <v/>
      </c>
      <c r="H807" s="75" t="str">
        <f>IF($M807="","",INDEX(fa_reste,$M807))</f>
        <v/>
      </c>
      <c r="I807" s="58" t="str">
        <f>IF($M807="","",MAX(0,p_asof-E807))</f>
        <v/>
      </c>
      <c r="J807" s="78" t="str">
        <f>IF($M807="","",INDEX(fa_tranche,$M807)&amp;"")</f>
        <v/>
      </c>
      <c r="K807" s="56" t="str">
        <f>IF($M807="","",IF(ISNUMBER(INDEX(fa_relance,$M807)),INDEX(fa_relance,$M807),""))</f>
        <v/>
      </c>
      <c r="L807" s="79" t="str">
        <f>IF($M807="","",IF(AND(ISNUMBER(K807),(p_asof-E807)&gt;0,(p_asof-N(K807))&gt;=0,(p_asof-N(K807))&lt;7),"Déjà relancée il y a "&amp;(p_asof-N(K807))&amp;" j",IF((p_asof-E807)&lt;=0,IF((p_asof-E807)&gt;-8,"Rappel courtois avant l'échéance","Aucune action"),IF((p_asof-E807)&lt;=15,"Relance 1 : e-mail de rappel",IF((p_asof-E807)&lt;=30,"Relance 2 : appel téléphonique",IF((p_asof-E807)&lt;=60,"Relance 3 : lettre de relance",IF((p_asof-E807)&lt;=90,"Mise en demeure (recommandé)","Contentieux : injonction de payer")))))))</f>
        <v/>
      </c>
      <c r="M807" t="str">
        <f>IFERROR(MATCH(776,fa_rank,0),"")</f>
        <v/>
      </c>
    </row>
    <row r="808">
      <c r="B808" s="78" t="str">
        <f>IF($M808="","",INDEX(fa_num,$M808)&amp;"")</f>
        <v/>
      </c>
      <c r="C808" s="79" t="str">
        <f>IF($M808="","",INDEX(fa_cname,$M808)&amp;"")</f>
        <v/>
      </c>
      <c r="D808" s="56" t="str">
        <f>IF($M808="","",INDEX(fa_date,$M808))</f>
        <v/>
      </c>
      <c r="E808" s="56" t="str">
        <f>IF($M808="","",INDEX(fa_due,$M808))</f>
        <v/>
      </c>
      <c r="F808" s="75" t="str">
        <f>IF($M808="","",INDEX(fa_ttc,$M808))</f>
        <v/>
      </c>
      <c r="G808" s="75" t="str">
        <f>IF($M808="","",INDEX(fa_paid,$M808)+INDEX(fa_avoirs,$M808))</f>
        <v/>
      </c>
      <c r="H808" s="75" t="str">
        <f>IF($M808="","",INDEX(fa_reste,$M808))</f>
        <v/>
      </c>
      <c r="I808" s="58" t="str">
        <f>IF($M808="","",MAX(0,p_asof-E808))</f>
        <v/>
      </c>
      <c r="J808" s="78" t="str">
        <f>IF($M808="","",INDEX(fa_tranche,$M808)&amp;"")</f>
        <v/>
      </c>
      <c r="K808" s="56" t="str">
        <f>IF($M808="","",IF(ISNUMBER(INDEX(fa_relance,$M808)),INDEX(fa_relance,$M808),""))</f>
        <v/>
      </c>
      <c r="L808" s="79" t="str">
        <f>IF($M808="","",IF(AND(ISNUMBER(K808),(p_asof-E808)&gt;0,(p_asof-N(K808))&gt;=0,(p_asof-N(K808))&lt;7),"Déjà relancée il y a "&amp;(p_asof-N(K808))&amp;" j",IF((p_asof-E808)&lt;=0,IF((p_asof-E808)&gt;-8,"Rappel courtois avant l'échéance","Aucune action"),IF((p_asof-E808)&lt;=15,"Relance 1 : e-mail de rappel",IF((p_asof-E808)&lt;=30,"Relance 2 : appel téléphonique",IF((p_asof-E808)&lt;=60,"Relance 3 : lettre de relance",IF((p_asof-E808)&lt;=90,"Mise en demeure (recommandé)","Contentieux : injonction de payer")))))))</f>
        <v/>
      </c>
      <c r="M808" t="str">
        <f>IFERROR(MATCH(777,fa_rank,0),"")</f>
        <v/>
      </c>
    </row>
    <row r="809">
      <c r="B809" s="78" t="str">
        <f>IF($M809="","",INDEX(fa_num,$M809)&amp;"")</f>
        <v/>
      </c>
      <c r="C809" s="79" t="str">
        <f>IF($M809="","",INDEX(fa_cname,$M809)&amp;"")</f>
        <v/>
      </c>
      <c r="D809" s="56" t="str">
        <f>IF($M809="","",INDEX(fa_date,$M809))</f>
        <v/>
      </c>
      <c r="E809" s="56" t="str">
        <f>IF($M809="","",INDEX(fa_due,$M809))</f>
        <v/>
      </c>
      <c r="F809" s="75" t="str">
        <f>IF($M809="","",INDEX(fa_ttc,$M809))</f>
        <v/>
      </c>
      <c r="G809" s="75" t="str">
        <f>IF($M809="","",INDEX(fa_paid,$M809)+INDEX(fa_avoirs,$M809))</f>
        <v/>
      </c>
      <c r="H809" s="75" t="str">
        <f>IF($M809="","",INDEX(fa_reste,$M809))</f>
        <v/>
      </c>
      <c r="I809" s="58" t="str">
        <f>IF($M809="","",MAX(0,p_asof-E809))</f>
        <v/>
      </c>
      <c r="J809" s="78" t="str">
        <f>IF($M809="","",INDEX(fa_tranche,$M809)&amp;"")</f>
        <v/>
      </c>
      <c r="K809" s="56" t="str">
        <f>IF($M809="","",IF(ISNUMBER(INDEX(fa_relance,$M809)),INDEX(fa_relance,$M809),""))</f>
        <v/>
      </c>
      <c r="L809" s="79" t="str">
        <f>IF($M809="","",IF(AND(ISNUMBER(K809),(p_asof-E809)&gt;0,(p_asof-N(K809))&gt;=0,(p_asof-N(K809))&lt;7),"Déjà relancée il y a "&amp;(p_asof-N(K809))&amp;" j",IF((p_asof-E809)&lt;=0,IF((p_asof-E809)&gt;-8,"Rappel courtois avant l'échéance","Aucune action"),IF((p_asof-E809)&lt;=15,"Relance 1 : e-mail de rappel",IF((p_asof-E809)&lt;=30,"Relance 2 : appel téléphonique",IF((p_asof-E809)&lt;=60,"Relance 3 : lettre de relance",IF((p_asof-E809)&lt;=90,"Mise en demeure (recommandé)","Contentieux : injonction de payer")))))))</f>
        <v/>
      </c>
      <c r="M809" t="str">
        <f>IFERROR(MATCH(778,fa_rank,0),"")</f>
        <v/>
      </c>
    </row>
    <row r="810">
      <c r="B810" s="78" t="str">
        <f>IF($M810="","",INDEX(fa_num,$M810)&amp;"")</f>
        <v/>
      </c>
      <c r="C810" s="79" t="str">
        <f>IF($M810="","",INDEX(fa_cname,$M810)&amp;"")</f>
        <v/>
      </c>
      <c r="D810" s="56" t="str">
        <f>IF($M810="","",INDEX(fa_date,$M810))</f>
        <v/>
      </c>
      <c r="E810" s="56" t="str">
        <f>IF($M810="","",INDEX(fa_due,$M810))</f>
        <v/>
      </c>
      <c r="F810" s="75" t="str">
        <f>IF($M810="","",INDEX(fa_ttc,$M810))</f>
        <v/>
      </c>
      <c r="G810" s="75" t="str">
        <f>IF($M810="","",INDEX(fa_paid,$M810)+INDEX(fa_avoirs,$M810))</f>
        <v/>
      </c>
      <c r="H810" s="75" t="str">
        <f>IF($M810="","",INDEX(fa_reste,$M810))</f>
        <v/>
      </c>
      <c r="I810" s="58" t="str">
        <f>IF($M810="","",MAX(0,p_asof-E810))</f>
        <v/>
      </c>
      <c r="J810" s="78" t="str">
        <f>IF($M810="","",INDEX(fa_tranche,$M810)&amp;"")</f>
        <v/>
      </c>
      <c r="K810" s="56" t="str">
        <f>IF($M810="","",IF(ISNUMBER(INDEX(fa_relance,$M810)),INDEX(fa_relance,$M810),""))</f>
        <v/>
      </c>
      <c r="L810" s="79" t="str">
        <f>IF($M810="","",IF(AND(ISNUMBER(K810),(p_asof-E810)&gt;0,(p_asof-N(K810))&gt;=0,(p_asof-N(K810))&lt;7),"Déjà relancée il y a "&amp;(p_asof-N(K810))&amp;" j",IF((p_asof-E810)&lt;=0,IF((p_asof-E810)&gt;-8,"Rappel courtois avant l'échéance","Aucune action"),IF((p_asof-E810)&lt;=15,"Relance 1 : e-mail de rappel",IF((p_asof-E810)&lt;=30,"Relance 2 : appel téléphonique",IF((p_asof-E810)&lt;=60,"Relance 3 : lettre de relance",IF((p_asof-E810)&lt;=90,"Mise en demeure (recommandé)","Contentieux : injonction de payer")))))))</f>
        <v/>
      </c>
      <c r="M810" t="str">
        <f>IFERROR(MATCH(779,fa_rank,0),"")</f>
        <v/>
      </c>
    </row>
    <row r="811">
      <c r="B811" s="78" t="str">
        <f>IF($M811="","",INDEX(fa_num,$M811)&amp;"")</f>
        <v/>
      </c>
      <c r="C811" s="79" t="str">
        <f>IF($M811="","",INDEX(fa_cname,$M811)&amp;"")</f>
        <v/>
      </c>
      <c r="D811" s="56" t="str">
        <f>IF($M811="","",INDEX(fa_date,$M811))</f>
        <v/>
      </c>
      <c r="E811" s="56" t="str">
        <f>IF($M811="","",INDEX(fa_due,$M811))</f>
        <v/>
      </c>
      <c r="F811" s="75" t="str">
        <f>IF($M811="","",INDEX(fa_ttc,$M811))</f>
        <v/>
      </c>
      <c r="G811" s="75" t="str">
        <f>IF($M811="","",INDEX(fa_paid,$M811)+INDEX(fa_avoirs,$M811))</f>
        <v/>
      </c>
      <c r="H811" s="75" t="str">
        <f>IF($M811="","",INDEX(fa_reste,$M811))</f>
        <v/>
      </c>
      <c r="I811" s="58" t="str">
        <f>IF($M811="","",MAX(0,p_asof-E811))</f>
        <v/>
      </c>
      <c r="J811" s="78" t="str">
        <f>IF($M811="","",INDEX(fa_tranche,$M811)&amp;"")</f>
        <v/>
      </c>
      <c r="K811" s="56" t="str">
        <f>IF($M811="","",IF(ISNUMBER(INDEX(fa_relance,$M811)),INDEX(fa_relance,$M811),""))</f>
        <v/>
      </c>
      <c r="L811" s="79" t="str">
        <f>IF($M811="","",IF(AND(ISNUMBER(K811),(p_asof-E811)&gt;0,(p_asof-N(K811))&gt;=0,(p_asof-N(K811))&lt;7),"Déjà relancée il y a "&amp;(p_asof-N(K811))&amp;" j",IF((p_asof-E811)&lt;=0,IF((p_asof-E811)&gt;-8,"Rappel courtois avant l'échéance","Aucune action"),IF((p_asof-E811)&lt;=15,"Relance 1 : e-mail de rappel",IF((p_asof-E811)&lt;=30,"Relance 2 : appel téléphonique",IF((p_asof-E811)&lt;=60,"Relance 3 : lettre de relance",IF((p_asof-E811)&lt;=90,"Mise en demeure (recommandé)","Contentieux : injonction de payer")))))))</f>
        <v/>
      </c>
      <c r="M811" t="str">
        <f>IFERROR(MATCH(780,fa_rank,0),"")</f>
        <v/>
      </c>
    </row>
    <row r="812">
      <c r="B812" s="78" t="str">
        <f>IF($M812="","",INDEX(fa_num,$M812)&amp;"")</f>
        <v/>
      </c>
      <c r="C812" s="79" t="str">
        <f>IF($M812="","",INDEX(fa_cname,$M812)&amp;"")</f>
        <v/>
      </c>
      <c r="D812" s="56" t="str">
        <f>IF($M812="","",INDEX(fa_date,$M812))</f>
        <v/>
      </c>
      <c r="E812" s="56" t="str">
        <f>IF($M812="","",INDEX(fa_due,$M812))</f>
        <v/>
      </c>
      <c r="F812" s="75" t="str">
        <f>IF($M812="","",INDEX(fa_ttc,$M812))</f>
        <v/>
      </c>
      <c r="G812" s="75" t="str">
        <f>IF($M812="","",INDEX(fa_paid,$M812)+INDEX(fa_avoirs,$M812))</f>
        <v/>
      </c>
      <c r="H812" s="75" t="str">
        <f>IF($M812="","",INDEX(fa_reste,$M812))</f>
        <v/>
      </c>
      <c r="I812" s="58" t="str">
        <f>IF($M812="","",MAX(0,p_asof-E812))</f>
        <v/>
      </c>
      <c r="J812" s="78" t="str">
        <f>IF($M812="","",INDEX(fa_tranche,$M812)&amp;"")</f>
        <v/>
      </c>
      <c r="K812" s="56" t="str">
        <f>IF($M812="","",IF(ISNUMBER(INDEX(fa_relance,$M812)),INDEX(fa_relance,$M812),""))</f>
        <v/>
      </c>
      <c r="L812" s="79" t="str">
        <f>IF($M812="","",IF(AND(ISNUMBER(K812),(p_asof-E812)&gt;0,(p_asof-N(K812))&gt;=0,(p_asof-N(K812))&lt;7),"Déjà relancée il y a "&amp;(p_asof-N(K812))&amp;" j",IF((p_asof-E812)&lt;=0,IF((p_asof-E812)&gt;-8,"Rappel courtois avant l'échéance","Aucune action"),IF((p_asof-E812)&lt;=15,"Relance 1 : e-mail de rappel",IF((p_asof-E812)&lt;=30,"Relance 2 : appel téléphonique",IF((p_asof-E812)&lt;=60,"Relance 3 : lettre de relance",IF((p_asof-E812)&lt;=90,"Mise en demeure (recommandé)","Contentieux : injonction de payer")))))))</f>
        <v/>
      </c>
      <c r="M812" t="str">
        <f>IFERROR(MATCH(781,fa_rank,0),"")</f>
        <v/>
      </c>
    </row>
    <row r="813">
      <c r="B813" s="78" t="str">
        <f>IF($M813="","",INDEX(fa_num,$M813)&amp;"")</f>
        <v/>
      </c>
      <c r="C813" s="79" t="str">
        <f>IF($M813="","",INDEX(fa_cname,$M813)&amp;"")</f>
        <v/>
      </c>
      <c r="D813" s="56" t="str">
        <f>IF($M813="","",INDEX(fa_date,$M813))</f>
        <v/>
      </c>
      <c r="E813" s="56" t="str">
        <f>IF($M813="","",INDEX(fa_due,$M813))</f>
        <v/>
      </c>
      <c r="F813" s="75" t="str">
        <f>IF($M813="","",INDEX(fa_ttc,$M813))</f>
        <v/>
      </c>
      <c r="G813" s="75" t="str">
        <f>IF($M813="","",INDEX(fa_paid,$M813)+INDEX(fa_avoirs,$M813))</f>
        <v/>
      </c>
      <c r="H813" s="75" t="str">
        <f>IF($M813="","",INDEX(fa_reste,$M813))</f>
        <v/>
      </c>
      <c r="I813" s="58" t="str">
        <f>IF($M813="","",MAX(0,p_asof-E813))</f>
        <v/>
      </c>
      <c r="J813" s="78" t="str">
        <f>IF($M813="","",INDEX(fa_tranche,$M813)&amp;"")</f>
        <v/>
      </c>
      <c r="K813" s="56" t="str">
        <f>IF($M813="","",IF(ISNUMBER(INDEX(fa_relance,$M813)),INDEX(fa_relance,$M813),""))</f>
        <v/>
      </c>
      <c r="L813" s="79" t="str">
        <f>IF($M813="","",IF(AND(ISNUMBER(K813),(p_asof-E813)&gt;0,(p_asof-N(K813))&gt;=0,(p_asof-N(K813))&lt;7),"Déjà relancée il y a "&amp;(p_asof-N(K813))&amp;" j",IF((p_asof-E813)&lt;=0,IF((p_asof-E813)&gt;-8,"Rappel courtois avant l'échéance","Aucune action"),IF((p_asof-E813)&lt;=15,"Relance 1 : e-mail de rappel",IF((p_asof-E813)&lt;=30,"Relance 2 : appel téléphonique",IF((p_asof-E813)&lt;=60,"Relance 3 : lettre de relance",IF((p_asof-E813)&lt;=90,"Mise en demeure (recommandé)","Contentieux : injonction de payer")))))))</f>
        <v/>
      </c>
      <c r="M813" t="str">
        <f>IFERROR(MATCH(782,fa_rank,0),"")</f>
        <v/>
      </c>
    </row>
    <row r="814">
      <c r="B814" s="78" t="str">
        <f>IF($M814="","",INDEX(fa_num,$M814)&amp;"")</f>
        <v/>
      </c>
      <c r="C814" s="79" t="str">
        <f>IF($M814="","",INDEX(fa_cname,$M814)&amp;"")</f>
        <v/>
      </c>
      <c r="D814" s="56" t="str">
        <f>IF($M814="","",INDEX(fa_date,$M814))</f>
        <v/>
      </c>
      <c r="E814" s="56" t="str">
        <f>IF($M814="","",INDEX(fa_due,$M814))</f>
        <v/>
      </c>
      <c r="F814" s="75" t="str">
        <f>IF($M814="","",INDEX(fa_ttc,$M814))</f>
        <v/>
      </c>
      <c r="G814" s="75" t="str">
        <f>IF($M814="","",INDEX(fa_paid,$M814)+INDEX(fa_avoirs,$M814))</f>
        <v/>
      </c>
      <c r="H814" s="75" t="str">
        <f>IF($M814="","",INDEX(fa_reste,$M814))</f>
        <v/>
      </c>
      <c r="I814" s="58" t="str">
        <f>IF($M814="","",MAX(0,p_asof-E814))</f>
        <v/>
      </c>
      <c r="J814" s="78" t="str">
        <f>IF($M814="","",INDEX(fa_tranche,$M814)&amp;"")</f>
        <v/>
      </c>
      <c r="K814" s="56" t="str">
        <f>IF($M814="","",IF(ISNUMBER(INDEX(fa_relance,$M814)),INDEX(fa_relance,$M814),""))</f>
        <v/>
      </c>
      <c r="L814" s="79" t="str">
        <f>IF($M814="","",IF(AND(ISNUMBER(K814),(p_asof-E814)&gt;0,(p_asof-N(K814))&gt;=0,(p_asof-N(K814))&lt;7),"Déjà relancée il y a "&amp;(p_asof-N(K814))&amp;" j",IF((p_asof-E814)&lt;=0,IF((p_asof-E814)&gt;-8,"Rappel courtois avant l'échéance","Aucune action"),IF((p_asof-E814)&lt;=15,"Relance 1 : e-mail de rappel",IF((p_asof-E814)&lt;=30,"Relance 2 : appel téléphonique",IF((p_asof-E814)&lt;=60,"Relance 3 : lettre de relance",IF((p_asof-E814)&lt;=90,"Mise en demeure (recommandé)","Contentieux : injonction de payer")))))))</f>
        <v/>
      </c>
      <c r="M814" t="str">
        <f>IFERROR(MATCH(783,fa_rank,0),"")</f>
        <v/>
      </c>
    </row>
    <row r="815">
      <c r="B815" s="78" t="str">
        <f>IF($M815="","",INDEX(fa_num,$M815)&amp;"")</f>
        <v/>
      </c>
      <c r="C815" s="79" t="str">
        <f>IF($M815="","",INDEX(fa_cname,$M815)&amp;"")</f>
        <v/>
      </c>
      <c r="D815" s="56" t="str">
        <f>IF($M815="","",INDEX(fa_date,$M815))</f>
        <v/>
      </c>
      <c r="E815" s="56" t="str">
        <f>IF($M815="","",INDEX(fa_due,$M815))</f>
        <v/>
      </c>
      <c r="F815" s="75" t="str">
        <f>IF($M815="","",INDEX(fa_ttc,$M815))</f>
        <v/>
      </c>
      <c r="G815" s="75" t="str">
        <f>IF($M815="","",INDEX(fa_paid,$M815)+INDEX(fa_avoirs,$M815))</f>
        <v/>
      </c>
      <c r="H815" s="75" t="str">
        <f>IF($M815="","",INDEX(fa_reste,$M815))</f>
        <v/>
      </c>
      <c r="I815" s="58" t="str">
        <f>IF($M815="","",MAX(0,p_asof-E815))</f>
        <v/>
      </c>
      <c r="J815" s="78" t="str">
        <f>IF($M815="","",INDEX(fa_tranche,$M815)&amp;"")</f>
        <v/>
      </c>
      <c r="K815" s="56" t="str">
        <f>IF($M815="","",IF(ISNUMBER(INDEX(fa_relance,$M815)),INDEX(fa_relance,$M815),""))</f>
        <v/>
      </c>
      <c r="L815" s="79" t="str">
        <f>IF($M815="","",IF(AND(ISNUMBER(K815),(p_asof-E815)&gt;0,(p_asof-N(K815))&gt;=0,(p_asof-N(K815))&lt;7),"Déjà relancée il y a "&amp;(p_asof-N(K815))&amp;" j",IF((p_asof-E815)&lt;=0,IF((p_asof-E815)&gt;-8,"Rappel courtois avant l'échéance","Aucune action"),IF((p_asof-E815)&lt;=15,"Relance 1 : e-mail de rappel",IF((p_asof-E815)&lt;=30,"Relance 2 : appel téléphonique",IF((p_asof-E815)&lt;=60,"Relance 3 : lettre de relance",IF((p_asof-E815)&lt;=90,"Mise en demeure (recommandé)","Contentieux : injonction de payer")))))))</f>
        <v/>
      </c>
      <c r="M815" t="str">
        <f>IFERROR(MATCH(784,fa_rank,0),"")</f>
        <v/>
      </c>
    </row>
    <row r="816">
      <c r="B816" s="78" t="str">
        <f>IF($M816="","",INDEX(fa_num,$M816)&amp;"")</f>
        <v/>
      </c>
      <c r="C816" s="79" t="str">
        <f>IF($M816="","",INDEX(fa_cname,$M816)&amp;"")</f>
        <v/>
      </c>
      <c r="D816" s="56" t="str">
        <f>IF($M816="","",INDEX(fa_date,$M816))</f>
        <v/>
      </c>
      <c r="E816" s="56" t="str">
        <f>IF($M816="","",INDEX(fa_due,$M816))</f>
        <v/>
      </c>
      <c r="F816" s="75" t="str">
        <f>IF($M816="","",INDEX(fa_ttc,$M816))</f>
        <v/>
      </c>
      <c r="G816" s="75" t="str">
        <f>IF($M816="","",INDEX(fa_paid,$M816)+INDEX(fa_avoirs,$M816))</f>
        <v/>
      </c>
      <c r="H816" s="75" t="str">
        <f>IF($M816="","",INDEX(fa_reste,$M816))</f>
        <v/>
      </c>
      <c r="I816" s="58" t="str">
        <f>IF($M816="","",MAX(0,p_asof-E816))</f>
        <v/>
      </c>
      <c r="J816" s="78" t="str">
        <f>IF($M816="","",INDEX(fa_tranche,$M816)&amp;"")</f>
        <v/>
      </c>
      <c r="K816" s="56" t="str">
        <f>IF($M816="","",IF(ISNUMBER(INDEX(fa_relance,$M816)),INDEX(fa_relance,$M816),""))</f>
        <v/>
      </c>
      <c r="L816" s="79" t="str">
        <f>IF($M816="","",IF(AND(ISNUMBER(K816),(p_asof-E816)&gt;0,(p_asof-N(K816))&gt;=0,(p_asof-N(K816))&lt;7),"Déjà relancée il y a "&amp;(p_asof-N(K816))&amp;" j",IF((p_asof-E816)&lt;=0,IF((p_asof-E816)&gt;-8,"Rappel courtois avant l'échéance","Aucune action"),IF((p_asof-E816)&lt;=15,"Relance 1 : e-mail de rappel",IF((p_asof-E816)&lt;=30,"Relance 2 : appel téléphonique",IF((p_asof-E816)&lt;=60,"Relance 3 : lettre de relance",IF((p_asof-E816)&lt;=90,"Mise en demeure (recommandé)","Contentieux : injonction de payer")))))))</f>
        <v/>
      </c>
      <c r="M816" t="str">
        <f>IFERROR(MATCH(785,fa_rank,0),"")</f>
        <v/>
      </c>
    </row>
    <row r="817">
      <c r="B817" s="78" t="str">
        <f>IF($M817="","",INDEX(fa_num,$M817)&amp;"")</f>
        <v/>
      </c>
      <c r="C817" s="79" t="str">
        <f>IF($M817="","",INDEX(fa_cname,$M817)&amp;"")</f>
        <v/>
      </c>
      <c r="D817" s="56" t="str">
        <f>IF($M817="","",INDEX(fa_date,$M817))</f>
        <v/>
      </c>
      <c r="E817" s="56" t="str">
        <f>IF($M817="","",INDEX(fa_due,$M817))</f>
        <v/>
      </c>
      <c r="F817" s="75" t="str">
        <f>IF($M817="","",INDEX(fa_ttc,$M817))</f>
        <v/>
      </c>
      <c r="G817" s="75" t="str">
        <f>IF($M817="","",INDEX(fa_paid,$M817)+INDEX(fa_avoirs,$M817))</f>
        <v/>
      </c>
      <c r="H817" s="75" t="str">
        <f>IF($M817="","",INDEX(fa_reste,$M817))</f>
        <v/>
      </c>
      <c r="I817" s="58" t="str">
        <f>IF($M817="","",MAX(0,p_asof-E817))</f>
        <v/>
      </c>
      <c r="J817" s="78" t="str">
        <f>IF($M817="","",INDEX(fa_tranche,$M817)&amp;"")</f>
        <v/>
      </c>
      <c r="K817" s="56" t="str">
        <f>IF($M817="","",IF(ISNUMBER(INDEX(fa_relance,$M817)),INDEX(fa_relance,$M817),""))</f>
        <v/>
      </c>
      <c r="L817" s="79" t="str">
        <f>IF($M817="","",IF(AND(ISNUMBER(K817),(p_asof-E817)&gt;0,(p_asof-N(K817))&gt;=0,(p_asof-N(K817))&lt;7),"Déjà relancée il y a "&amp;(p_asof-N(K817))&amp;" j",IF((p_asof-E817)&lt;=0,IF((p_asof-E817)&gt;-8,"Rappel courtois avant l'échéance","Aucune action"),IF((p_asof-E817)&lt;=15,"Relance 1 : e-mail de rappel",IF((p_asof-E817)&lt;=30,"Relance 2 : appel téléphonique",IF((p_asof-E817)&lt;=60,"Relance 3 : lettre de relance",IF((p_asof-E817)&lt;=90,"Mise en demeure (recommandé)","Contentieux : injonction de payer")))))))</f>
        <v/>
      </c>
      <c r="M817" t="str">
        <f>IFERROR(MATCH(786,fa_rank,0),"")</f>
        <v/>
      </c>
    </row>
    <row r="818">
      <c r="B818" s="78" t="str">
        <f>IF($M818="","",INDEX(fa_num,$M818)&amp;"")</f>
        <v/>
      </c>
      <c r="C818" s="79" t="str">
        <f>IF($M818="","",INDEX(fa_cname,$M818)&amp;"")</f>
        <v/>
      </c>
      <c r="D818" s="56" t="str">
        <f>IF($M818="","",INDEX(fa_date,$M818))</f>
        <v/>
      </c>
      <c r="E818" s="56" t="str">
        <f>IF($M818="","",INDEX(fa_due,$M818))</f>
        <v/>
      </c>
      <c r="F818" s="75" t="str">
        <f>IF($M818="","",INDEX(fa_ttc,$M818))</f>
        <v/>
      </c>
      <c r="G818" s="75" t="str">
        <f>IF($M818="","",INDEX(fa_paid,$M818)+INDEX(fa_avoirs,$M818))</f>
        <v/>
      </c>
      <c r="H818" s="75" t="str">
        <f>IF($M818="","",INDEX(fa_reste,$M818))</f>
        <v/>
      </c>
      <c r="I818" s="58" t="str">
        <f>IF($M818="","",MAX(0,p_asof-E818))</f>
        <v/>
      </c>
      <c r="J818" s="78" t="str">
        <f>IF($M818="","",INDEX(fa_tranche,$M818)&amp;"")</f>
        <v/>
      </c>
      <c r="K818" s="56" t="str">
        <f>IF($M818="","",IF(ISNUMBER(INDEX(fa_relance,$M818)),INDEX(fa_relance,$M818),""))</f>
        <v/>
      </c>
      <c r="L818" s="79" t="str">
        <f>IF($M818="","",IF(AND(ISNUMBER(K818),(p_asof-E818)&gt;0,(p_asof-N(K818))&gt;=0,(p_asof-N(K818))&lt;7),"Déjà relancée il y a "&amp;(p_asof-N(K818))&amp;" j",IF((p_asof-E818)&lt;=0,IF((p_asof-E818)&gt;-8,"Rappel courtois avant l'échéance","Aucune action"),IF((p_asof-E818)&lt;=15,"Relance 1 : e-mail de rappel",IF((p_asof-E818)&lt;=30,"Relance 2 : appel téléphonique",IF((p_asof-E818)&lt;=60,"Relance 3 : lettre de relance",IF((p_asof-E818)&lt;=90,"Mise en demeure (recommandé)","Contentieux : injonction de payer")))))))</f>
        <v/>
      </c>
      <c r="M818" t="str">
        <f>IFERROR(MATCH(787,fa_rank,0),"")</f>
        <v/>
      </c>
    </row>
    <row r="819">
      <c r="B819" s="78" t="str">
        <f>IF($M819="","",INDEX(fa_num,$M819)&amp;"")</f>
        <v/>
      </c>
      <c r="C819" s="79" t="str">
        <f>IF($M819="","",INDEX(fa_cname,$M819)&amp;"")</f>
        <v/>
      </c>
      <c r="D819" s="56" t="str">
        <f>IF($M819="","",INDEX(fa_date,$M819))</f>
        <v/>
      </c>
      <c r="E819" s="56" t="str">
        <f>IF($M819="","",INDEX(fa_due,$M819))</f>
        <v/>
      </c>
      <c r="F819" s="75" t="str">
        <f>IF($M819="","",INDEX(fa_ttc,$M819))</f>
        <v/>
      </c>
      <c r="G819" s="75" t="str">
        <f>IF($M819="","",INDEX(fa_paid,$M819)+INDEX(fa_avoirs,$M819))</f>
        <v/>
      </c>
      <c r="H819" s="75" t="str">
        <f>IF($M819="","",INDEX(fa_reste,$M819))</f>
        <v/>
      </c>
      <c r="I819" s="58" t="str">
        <f>IF($M819="","",MAX(0,p_asof-E819))</f>
        <v/>
      </c>
      <c r="J819" s="78" t="str">
        <f>IF($M819="","",INDEX(fa_tranche,$M819)&amp;"")</f>
        <v/>
      </c>
      <c r="K819" s="56" t="str">
        <f>IF($M819="","",IF(ISNUMBER(INDEX(fa_relance,$M819)),INDEX(fa_relance,$M819),""))</f>
        <v/>
      </c>
      <c r="L819" s="79" t="str">
        <f>IF($M819="","",IF(AND(ISNUMBER(K819),(p_asof-E819)&gt;0,(p_asof-N(K819))&gt;=0,(p_asof-N(K819))&lt;7),"Déjà relancée il y a "&amp;(p_asof-N(K819))&amp;" j",IF((p_asof-E819)&lt;=0,IF((p_asof-E819)&gt;-8,"Rappel courtois avant l'échéance","Aucune action"),IF((p_asof-E819)&lt;=15,"Relance 1 : e-mail de rappel",IF((p_asof-E819)&lt;=30,"Relance 2 : appel téléphonique",IF((p_asof-E819)&lt;=60,"Relance 3 : lettre de relance",IF((p_asof-E819)&lt;=90,"Mise en demeure (recommandé)","Contentieux : injonction de payer")))))))</f>
        <v/>
      </c>
      <c r="M819" t="str">
        <f>IFERROR(MATCH(788,fa_rank,0),"")</f>
        <v/>
      </c>
    </row>
    <row r="820">
      <c r="B820" s="78" t="str">
        <f>IF($M820="","",INDEX(fa_num,$M820)&amp;"")</f>
        <v/>
      </c>
      <c r="C820" s="79" t="str">
        <f>IF($M820="","",INDEX(fa_cname,$M820)&amp;"")</f>
        <v/>
      </c>
      <c r="D820" s="56" t="str">
        <f>IF($M820="","",INDEX(fa_date,$M820))</f>
        <v/>
      </c>
      <c r="E820" s="56" t="str">
        <f>IF($M820="","",INDEX(fa_due,$M820))</f>
        <v/>
      </c>
      <c r="F820" s="75" t="str">
        <f>IF($M820="","",INDEX(fa_ttc,$M820))</f>
        <v/>
      </c>
      <c r="G820" s="75" t="str">
        <f>IF($M820="","",INDEX(fa_paid,$M820)+INDEX(fa_avoirs,$M820))</f>
        <v/>
      </c>
      <c r="H820" s="75" t="str">
        <f>IF($M820="","",INDEX(fa_reste,$M820))</f>
        <v/>
      </c>
      <c r="I820" s="58" t="str">
        <f>IF($M820="","",MAX(0,p_asof-E820))</f>
        <v/>
      </c>
      <c r="J820" s="78" t="str">
        <f>IF($M820="","",INDEX(fa_tranche,$M820)&amp;"")</f>
        <v/>
      </c>
      <c r="K820" s="56" t="str">
        <f>IF($M820="","",IF(ISNUMBER(INDEX(fa_relance,$M820)),INDEX(fa_relance,$M820),""))</f>
        <v/>
      </c>
      <c r="L820" s="79" t="str">
        <f>IF($M820="","",IF(AND(ISNUMBER(K820),(p_asof-E820)&gt;0,(p_asof-N(K820))&gt;=0,(p_asof-N(K820))&lt;7),"Déjà relancée il y a "&amp;(p_asof-N(K820))&amp;" j",IF((p_asof-E820)&lt;=0,IF((p_asof-E820)&gt;-8,"Rappel courtois avant l'échéance","Aucune action"),IF((p_asof-E820)&lt;=15,"Relance 1 : e-mail de rappel",IF((p_asof-E820)&lt;=30,"Relance 2 : appel téléphonique",IF((p_asof-E820)&lt;=60,"Relance 3 : lettre de relance",IF((p_asof-E820)&lt;=90,"Mise en demeure (recommandé)","Contentieux : injonction de payer")))))))</f>
        <v/>
      </c>
      <c r="M820" t="str">
        <f>IFERROR(MATCH(789,fa_rank,0),"")</f>
        <v/>
      </c>
    </row>
    <row r="821">
      <c r="B821" s="78" t="str">
        <f>IF($M821="","",INDEX(fa_num,$M821)&amp;"")</f>
        <v/>
      </c>
      <c r="C821" s="79" t="str">
        <f>IF($M821="","",INDEX(fa_cname,$M821)&amp;"")</f>
        <v/>
      </c>
      <c r="D821" s="56" t="str">
        <f>IF($M821="","",INDEX(fa_date,$M821))</f>
        <v/>
      </c>
      <c r="E821" s="56" t="str">
        <f>IF($M821="","",INDEX(fa_due,$M821))</f>
        <v/>
      </c>
      <c r="F821" s="75" t="str">
        <f>IF($M821="","",INDEX(fa_ttc,$M821))</f>
        <v/>
      </c>
      <c r="G821" s="75" t="str">
        <f>IF($M821="","",INDEX(fa_paid,$M821)+INDEX(fa_avoirs,$M821))</f>
        <v/>
      </c>
      <c r="H821" s="75" t="str">
        <f>IF($M821="","",INDEX(fa_reste,$M821))</f>
        <v/>
      </c>
      <c r="I821" s="58" t="str">
        <f>IF($M821="","",MAX(0,p_asof-E821))</f>
        <v/>
      </c>
      <c r="J821" s="78" t="str">
        <f>IF($M821="","",INDEX(fa_tranche,$M821)&amp;"")</f>
        <v/>
      </c>
      <c r="K821" s="56" t="str">
        <f>IF($M821="","",IF(ISNUMBER(INDEX(fa_relance,$M821)),INDEX(fa_relance,$M821),""))</f>
        <v/>
      </c>
      <c r="L821" s="79" t="str">
        <f>IF($M821="","",IF(AND(ISNUMBER(K821),(p_asof-E821)&gt;0,(p_asof-N(K821))&gt;=0,(p_asof-N(K821))&lt;7),"Déjà relancée il y a "&amp;(p_asof-N(K821))&amp;" j",IF((p_asof-E821)&lt;=0,IF((p_asof-E821)&gt;-8,"Rappel courtois avant l'échéance","Aucune action"),IF((p_asof-E821)&lt;=15,"Relance 1 : e-mail de rappel",IF((p_asof-E821)&lt;=30,"Relance 2 : appel téléphonique",IF((p_asof-E821)&lt;=60,"Relance 3 : lettre de relance",IF((p_asof-E821)&lt;=90,"Mise en demeure (recommandé)","Contentieux : injonction de payer")))))))</f>
        <v/>
      </c>
      <c r="M821" t="str">
        <f>IFERROR(MATCH(790,fa_rank,0),"")</f>
        <v/>
      </c>
    </row>
    <row r="822">
      <c r="B822" s="78" t="str">
        <f>IF($M822="","",INDEX(fa_num,$M822)&amp;"")</f>
        <v/>
      </c>
      <c r="C822" s="79" t="str">
        <f>IF($M822="","",INDEX(fa_cname,$M822)&amp;"")</f>
        <v/>
      </c>
      <c r="D822" s="56" t="str">
        <f>IF($M822="","",INDEX(fa_date,$M822))</f>
        <v/>
      </c>
      <c r="E822" s="56" t="str">
        <f>IF($M822="","",INDEX(fa_due,$M822))</f>
        <v/>
      </c>
      <c r="F822" s="75" t="str">
        <f>IF($M822="","",INDEX(fa_ttc,$M822))</f>
        <v/>
      </c>
      <c r="G822" s="75" t="str">
        <f>IF($M822="","",INDEX(fa_paid,$M822)+INDEX(fa_avoirs,$M822))</f>
        <v/>
      </c>
      <c r="H822" s="75" t="str">
        <f>IF($M822="","",INDEX(fa_reste,$M822))</f>
        <v/>
      </c>
      <c r="I822" s="58" t="str">
        <f>IF($M822="","",MAX(0,p_asof-E822))</f>
        <v/>
      </c>
      <c r="J822" s="78" t="str">
        <f>IF($M822="","",INDEX(fa_tranche,$M822)&amp;"")</f>
        <v/>
      </c>
      <c r="K822" s="56" t="str">
        <f>IF($M822="","",IF(ISNUMBER(INDEX(fa_relance,$M822)),INDEX(fa_relance,$M822),""))</f>
        <v/>
      </c>
      <c r="L822" s="79" t="str">
        <f>IF($M822="","",IF(AND(ISNUMBER(K822),(p_asof-E822)&gt;0,(p_asof-N(K822))&gt;=0,(p_asof-N(K822))&lt;7),"Déjà relancée il y a "&amp;(p_asof-N(K822))&amp;" j",IF((p_asof-E822)&lt;=0,IF((p_asof-E822)&gt;-8,"Rappel courtois avant l'échéance","Aucune action"),IF((p_asof-E822)&lt;=15,"Relance 1 : e-mail de rappel",IF((p_asof-E822)&lt;=30,"Relance 2 : appel téléphonique",IF((p_asof-E822)&lt;=60,"Relance 3 : lettre de relance",IF((p_asof-E822)&lt;=90,"Mise en demeure (recommandé)","Contentieux : injonction de payer")))))))</f>
        <v/>
      </c>
      <c r="M822" t="str">
        <f>IFERROR(MATCH(791,fa_rank,0),"")</f>
        <v/>
      </c>
    </row>
    <row r="823">
      <c r="B823" s="78" t="str">
        <f>IF($M823="","",INDEX(fa_num,$M823)&amp;"")</f>
        <v/>
      </c>
      <c r="C823" s="79" t="str">
        <f>IF($M823="","",INDEX(fa_cname,$M823)&amp;"")</f>
        <v/>
      </c>
      <c r="D823" s="56" t="str">
        <f>IF($M823="","",INDEX(fa_date,$M823))</f>
        <v/>
      </c>
      <c r="E823" s="56" t="str">
        <f>IF($M823="","",INDEX(fa_due,$M823))</f>
        <v/>
      </c>
      <c r="F823" s="75" t="str">
        <f>IF($M823="","",INDEX(fa_ttc,$M823))</f>
        <v/>
      </c>
      <c r="G823" s="75" t="str">
        <f>IF($M823="","",INDEX(fa_paid,$M823)+INDEX(fa_avoirs,$M823))</f>
        <v/>
      </c>
      <c r="H823" s="75" t="str">
        <f>IF($M823="","",INDEX(fa_reste,$M823))</f>
        <v/>
      </c>
      <c r="I823" s="58" t="str">
        <f>IF($M823="","",MAX(0,p_asof-E823))</f>
        <v/>
      </c>
      <c r="J823" s="78" t="str">
        <f>IF($M823="","",INDEX(fa_tranche,$M823)&amp;"")</f>
        <v/>
      </c>
      <c r="K823" s="56" t="str">
        <f>IF($M823="","",IF(ISNUMBER(INDEX(fa_relance,$M823)),INDEX(fa_relance,$M823),""))</f>
        <v/>
      </c>
      <c r="L823" s="79" t="str">
        <f>IF($M823="","",IF(AND(ISNUMBER(K823),(p_asof-E823)&gt;0,(p_asof-N(K823))&gt;=0,(p_asof-N(K823))&lt;7),"Déjà relancée il y a "&amp;(p_asof-N(K823))&amp;" j",IF((p_asof-E823)&lt;=0,IF((p_asof-E823)&gt;-8,"Rappel courtois avant l'échéance","Aucune action"),IF((p_asof-E823)&lt;=15,"Relance 1 : e-mail de rappel",IF((p_asof-E823)&lt;=30,"Relance 2 : appel téléphonique",IF((p_asof-E823)&lt;=60,"Relance 3 : lettre de relance",IF((p_asof-E823)&lt;=90,"Mise en demeure (recommandé)","Contentieux : injonction de payer")))))))</f>
        <v/>
      </c>
      <c r="M823" t="str">
        <f>IFERROR(MATCH(792,fa_rank,0),"")</f>
        <v/>
      </c>
    </row>
    <row r="824">
      <c r="B824" s="78" t="str">
        <f>IF($M824="","",INDEX(fa_num,$M824)&amp;"")</f>
        <v/>
      </c>
      <c r="C824" s="79" t="str">
        <f>IF($M824="","",INDEX(fa_cname,$M824)&amp;"")</f>
        <v/>
      </c>
      <c r="D824" s="56" t="str">
        <f>IF($M824="","",INDEX(fa_date,$M824))</f>
        <v/>
      </c>
      <c r="E824" s="56" t="str">
        <f>IF($M824="","",INDEX(fa_due,$M824))</f>
        <v/>
      </c>
      <c r="F824" s="75" t="str">
        <f>IF($M824="","",INDEX(fa_ttc,$M824))</f>
        <v/>
      </c>
      <c r="G824" s="75" t="str">
        <f>IF($M824="","",INDEX(fa_paid,$M824)+INDEX(fa_avoirs,$M824))</f>
        <v/>
      </c>
      <c r="H824" s="75" t="str">
        <f>IF($M824="","",INDEX(fa_reste,$M824))</f>
        <v/>
      </c>
      <c r="I824" s="58" t="str">
        <f>IF($M824="","",MAX(0,p_asof-E824))</f>
        <v/>
      </c>
      <c r="J824" s="78" t="str">
        <f>IF($M824="","",INDEX(fa_tranche,$M824)&amp;"")</f>
        <v/>
      </c>
      <c r="K824" s="56" t="str">
        <f>IF($M824="","",IF(ISNUMBER(INDEX(fa_relance,$M824)),INDEX(fa_relance,$M824),""))</f>
        <v/>
      </c>
      <c r="L824" s="79" t="str">
        <f>IF($M824="","",IF(AND(ISNUMBER(K824),(p_asof-E824)&gt;0,(p_asof-N(K824))&gt;=0,(p_asof-N(K824))&lt;7),"Déjà relancée il y a "&amp;(p_asof-N(K824))&amp;" j",IF((p_asof-E824)&lt;=0,IF((p_asof-E824)&gt;-8,"Rappel courtois avant l'échéance","Aucune action"),IF((p_asof-E824)&lt;=15,"Relance 1 : e-mail de rappel",IF((p_asof-E824)&lt;=30,"Relance 2 : appel téléphonique",IF((p_asof-E824)&lt;=60,"Relance 3 : lettre de relance",IF((p_asof-E824)&lt;=90,"Mise en demeure (recommandé)","Contentieux : injonction de payer")))))))</f>
        <v/>
      </c>
      <c r="M824" t="str">
        <f>IFERROR(MATCH(793,fa_rank,0),"")</f>
        <v/>
      </c>
    </row>
    <row r="825">
      <c r="B825" s="78" t="str">
        <f>IF($M825="","",INDEX(fa_num,$M825)&amp;"")</f>
        <v/>
      </c>
      <c r="C825" s="79" t="str">
        <f>IF($M825="","",INDEX(fa_cname,$M825)&amp;"")</f>
        <v/>
      </c>
      <c r="D825" s="56" t="str">
        <f>IF($M825="","",INDEX(fa_date,$M825))</f>
        <v/>
      </c>
      <c r="E825" s="56" t="str">
        <f>IF($M825="","",INDEX(fa_due,$M825))</f>
        <v/>
      </c>
      <c r="F825" s="75" t="str">
        <f>IF($M825="","",INDEX(fa_ttc,$M825))</f>
        <v/>
      </c>
      <c r="G825" s="75" t="str">
        <f>IF($M825="","",INDEX(fa_paid,$M825)+INDEX(fa_avoirs,$M825))</f>
        <v/>
      </c>
      <c r="H825" s="75" t="str">
        <f>IF($M825="","",INDEX(fa_reste,$M825))</f>
        <v/>
      </c>
      <c r="I825" s="58" t="str">
        <f>IF($M825="","",MAX(0,p_asof-E825))</f>
        <v/>
      </c>
      <c r="J825" s="78" t="str">
        <f>IF($M825="","",INDEX(fa_tranche,$M825)&amp;"")</f>
        <v/>
      </c>
      <c r="K825" s="56" t="str">
        <f>IF($M825="","",IF(ISNUMBER(INDEX(fa_relance,$M825)),INDEX(fa_relance,$M825),""))</f>
        <v/>
      </c>
      <c r="L825" s="79" t="str">
        <f>IF($M825="","",IF(AND(ISNUMBER(K825),(p_asof-E825)&gt;0,(p_asof-N(K825))&gt;=0,(p_asof-N(K825))&lt;7),"Déjà relancée il y a "&amp;(p_asof-N(K825))&amp;" j",IF((p_asof-E825)&lt;=0,IF((p_asof-E825)&gt;-8,"Rappel courtois avant l'échéance","Aucune action"),IF((p_asof-E825)&lt;=15,"Relance 1 : e-mail de rappel",IF((p_asof-E825)&lt;=30,"Relance 2 : appel téléphonique",IF((p_asof-E825)&lt;=60,"Relance 3 : lettre de relance",IF((p_asof-E825)&lt;=90,"Mise en demeure (recommandé)","Contentieux : injonction de payer")))))))</f>
        <v/>
      </c>
      <c r="M825" t="str">
        <f>IFERROR(MATCH(794,fa_rank,0),"")</f>
        <v/>
      </c>
    </row>
    <row r="826">
      <c r="B826" s="78" t="str">
        <f>IF($M826="","",INDEX(fa_num,$M826)&amp;"")</f>
        <v/>
      </c>
      <c r="C826" s="79" t="str">
        <f>IF($M826="","",INDEX(fa_cname,$M826)&amp;"")</f>
        <v/>
      </c>
      <c r="D826" s="56" t="str">
        <f>IF($M826="","",INDEX(fa_date,$M826))</f>
        <v/>
      </c>
      <c r="E826" s="56" t="str">
        <f>IF($M826="","",INDEX(fa_due,$M826))</f>
        <v/>
      </c>
      <c r="F826" s="75" t="str">
        <f>IF($M826="","",INDEX(fa_ttc,$M826))</f>
        <v/>
      </c>
      <c r="G826" s="75" t="str">
        <f>IF($M826="","",INDEX(fa_paid,$M826)+INDEX(fa_avoirs,$M826))</f>
        <v/>
      </c>
      <c r="H826" s="75" t="str">
        <f>IF($M826="","",INDEX(fa_reste,$M826))</f>
        <v/>
      </c>
      <c r="I826" s="58" t="str">
        <f>IF($M826="","",MAX(0,p_asof-E826))</f>
        <v/>
      </c>
      <c r="J826" s="78" t="str">
        <f>IF($M826="","",INDEX(fa_tranche,$M826)&amp;"")</f>
        <v/>
      </c>
      <c r="K826" s="56" t="str">
        <f>IF($M826="","",IF(ISNUMBER(INDEX(fa_relance,$M826)),INDEX(fa_relance,$M826),""))</f>
        <v/>
      </c>
      <c r="L826" s="79" t="str">
        <f>IF($M826="","",IF(AND(ISNUMBER(K826),(p_asof-E826)&gt;0,(p_asof-N(K826))&gt;=0,(p_asof-N(K826))&lt;7),"Déjà relancée il y a "&amp;(p_asof-N(K826))&amp;" j",IF((p_asof-E826)&lt;=0,IF((p_asof-E826)&gt;-8,"Rappel courtois avant l'échéance","Aucune action"),IF((p_asof-E826)&lt;=15,"Relance 1 : e-mail de rappel",IF((p_asof-E826)&lt;=30,"Relance 2 : appel téléphonique",IF((p_asof-E826)&lt;=60,"Relance 3 : lettre de relance",IF((p_asof-E826)&lt;=90,"Mise en demeure (recommandé)","Contentieux : injonction de payer")))))))</f>
        <v/>
      </c>
      <c r="M826" t="str">
        <f>IFERROR(MATCH(795,fa_rank,0),"")</f>
        <v/>
      </c>
    </row>
    <row r="827">
      <c r="B827" s="78" t="str">
        <f>IF($M827="","",INDEX(fa_num,$M827)&amp;"")</f>
        <v/>
      </c>
      <c r="C827" s="79" t="str">
        <f>IF($M827="","",INDEX(fa_cname,$M827)&amp;"")</f>
        <v/>
      </c>
      <c r="D827" s="56" t="str">
        <f>IF($M827="","",INDEX(fa_date,$M827))</f>
        <v/>
      </c>
      <c r="E827" s="56" t="str">
        <f>IF($M827="","",INDEX(fa_due,$M827))</f>
        <v/>
      </c>
      <c r="F827" s="75" t="str">
        <f>IF($M827="","",INDEX(fa_ttc,$M827))</f>
        <v/>
      </c>
      <c r="G827" s="75" t="str">
        <f>IF($M827="","",INDEX(fa_paid,$M827)+INDEX(fa_avoirs,$M827))</f>
        <v/>
      </c>
      <c r="H827" s="75" t="str">
        <f>IF($M827="","",INDEX(fa_reste,$M827))</f>
        <v/>
      </c>
      <c r="I827" s="58" t="str">
        <f>IF($M827="","",MAX(0,p_asof-E827))</f>
        <v/>
      </c>
      <c r="J827" s="78" t="str">
        <f>IF($M827="","",INDEX(fa_tranche,$M827)&amp;"")</f>
        <v/>
      </c>
      <c r="K827" s="56" t="str">
        <f>IF($M827="","",IF(ISNUMBER(INDEX(fa_relance,$M827)),INDEX(fa_relance,$M827),""))</f>
        <v/>
      </c>
      <c r="L827" s="79" t="str">
        <f>IF($M827="","",IF(AND(ISNUMBER(K827),(p_asof-E827)&gt;0,(p_asof-N(K827))&gt;=0,(p_asof-N(K827))&lt;7),"Déjà relancée il y a "&amp;(p_asof-N(K827))&amp;" j",IF((p_asof-E827)&lt;=0,IF((p_asof-E827)&gt;-8,"Rappel courtois avant l'échéance","Aucune action"),IF((p_asof-E827)&lt;=15,"Relance 1 : e-mail de rappel",IF((p_asof-E827)&lt;=30,"Relance 2 : appel téléphonique",IF((p_asof-E827)&lt;=60,"Relance 3 : lettre de relance",IF((p_asof-E827)&lt;=90,"Mise en demeure (recommandé)","Contentieux : injonction de payer")))))))</f>
        <v/>
      </c>
      <c r="M827" t="str">
        <f>IFERROR(MATCH(796,fa_rank,0),"")</f>
        <v/>
      </c>
    </row>
    <row r="828">
      <c r="B828" s="78" t="str">
        <f>IF($M828="","",INDEX(fa_num,$M828)&amp;"")</f>
        <v/>
      </c>
      <c r="C828" s="79" t="str">
        <f>IF($M828="","",INDEX(fa_cname,$M828)&amp;"")</f>
        <v/>
      </c>
      <c r="D828" s="56" t="str">
        <f>IF($M828="","",INDEX(fa_date,$M828))</f>
        <v/>
      </c>
      <c r="E828" s="56" t="str">
        <f>IF($M828="","",INDEX(fa_due,$M828))</f>
        <v/>
      </c>
      <c r="F828" s="75" t="str">
        <f>IF($M828="","",INDEX(fa_ttc,$M828))</f>
        <v/>
      </c>
      <c r="G828" s="75" t="str">
        <f>IF($M828="","",INDEX(fa_paid,$M828)+INDEX(fa_avoirs,$M828))</f>
        <v/>
      </c>
      <c r="H828" s="75" t="str">
        <f>IF($M828="","",INDEX(fa_reste,$M828))</f>
        <v/>
      </c>
      <c r="I828" s="58" t="str">
        <f>IF($M828="","",MAX(0,p_asof-E828))</f>
        <v/>
      </c>
      <c r="J828" s="78" t="str">
        <f>IF($M828="","",INDEX(fa_tranche,$M828)&amp;"")</f>
        <v/>
      </c>
      <c r="K828" s="56" t="str">
        <f>IF($M828="","",IF(ISNUMBER(INDEX(fa_relance,$M828)),INDEX(fa_relance,$M828),""))</f>
        <v/>
      </c>
      <c r="L828" s="79" t="str">
        <f>IF($M828="","",IF(AND(ISNUMBER(K828),(p_asof-E828)&gt;0,(p_asof-N(K828))&gt;=0,(p_asof-N(K828))&lt;7),"Déjà relancée il y a "&amp;(p_asof-N(K828))&amp;" j",IF((p_asof-E828)&lt;=0,IF((p_asof-E828)&gt;-8,"Rappel courtois avant l'échéance","Aucune action"),IF((p_asof-E828)&lt;=15,"Relance 1 : e-mail de rappel",IF((p_asof-E828)&lt;=30,"Relance 2 : appel téléphonique",IF((p_asof-E828)&lt;=60,"Relance 3 : lettre de relance",IF((p_asof-E828)&lt;=90,"Mise en demeure (recommandé)","Contentieux : injonction de payer")))))))</f>
        <v/>
      </c>
      <c r="M828" t="str">
        <f>IFERROR(MATCH(797,fa_rank,0),"")</f>
        <v/>
      </c>
    </row>
    <row r="829">
      <c r="B829" s="78" t="str">
        <f>IF($M829="","",INDEX(fa_num,$M829)&amp;"")</f>
        <v/>
      </c>
      <c r="C829" s="79" t="str">
        <f>IF($M829="","",INDEX(fa_cname,$M829)&amp;"")</f>
        <v/>
      </c>
      <c r="D829" s="56" t="str">
        <f>IF($M829="","",INDEX(fa_date,$M829))</f>
        <v/>
      </c>
      <c r="E829" s="56" t="str">
        <f>IF($M829="","",INDEX(fa_due,$M829))</f>
        <v/>
      </c>
      <c r="F829" s="75" t="str">
        <f>IF($M829="","",INDEX(fa_ttc,$M829))</f>
        <v/>
      </c>
      <c r="G829" s="75" t="str">
        <f>IF($M829="","",INDEX(fa_paid,$M829)+INDEX(fa_avoirs,$M829))</f>
        <v/>
      </c>
      <c r="H829" s="75" t="str">
        <f>IF($M829="","",INDEX(fa_reste,$M829))</f>
        <v/>
      </c>
      <c r="I829" s="58" t="str">
        <f>IF($M829="","",MAX(0,p_asof-E829))</f>
        <v/>
      </c>
      <c r="J829" s="78" t="str">
        <f>IF($M829="","",INDEX(fa_tranche,$M829)&amp;"")</f>
        <v/>
      </c>
      <c r="K829" s="56" t="str">
        <f>IF($M829="","",IF(ISNUMBER(INDEX(fa_relance,$M829)),INDEX(fa_relance,$M829),""))</f>
        <v/>
      </c>
      <c r="L829" s="79" t="str">
        <f>IF($M829="","",IF(AND(ISNUMBER(K829),(p_asof-E829)&gt;0,(p_asof-N(K829))&gt;=0,(p_asof-N(K829))&lt;7),"Déjà relancée il y a "&amp;(p_asof-N(K829))&amp;" j",IF((p_asof-E829)&lt;=0,IF((p_asof-E829)&gt;-8,"Rappel courtois avant l'échéance","Aucune action"),IF((p_asof-E829)&lt;=15,"Relance 1 : e-mail de rappel",IF((p_asof-E829)&lt;=30,"Relance 2 : appel téléphonique",IF((p_asof-E829)&lt;=60,"Relance 3 : lettre de relance",IF((p_asof-E829)&lt;=90,"Mise en demeure (recommandé)","Contentieux : injonction de payer")))))))</f>
        <v/>
      </c>
      <c r="M829" t="str">
        <f>IFERROR(MATCH(798,fa_rank,0),"")</f>
        <v/>
      </c>
    </row>
    <row r="830">
      <c r="B830" s="78" t="str">
        <f>IF($M830="","",INDEX(fa_num,$M830)&amp;"")</f>
        <v/>
      </c>
      <c r="C830" s="79" t="str">
        <f>IF($M830="","",INDEX(fa_cname,$M830)&amp;"")</f>
        <v/>
      </c>
      <c r="D830" s="56" t="str">
        <f>IF($M830="","",INDEX(fa_date,$M830))</f>
        <v/>
      </c>
      <c r="E830" s="56" t="str">
        <f>IF($M830="","",INDEX(fa_due,$M830))</f>
        <v/>
      </c>
      <c r="F830" s="75" t="str">
        <f>IF($M830="","",INDEX(fa_ttc,$M830))</f>
        <v/>
      </c>
      <c r="G830" s="75" t="str">
        <f>IF($M830="","",INDEX(fa_paid,$M830)+INDEX(fa_avoirs,$M830))</f>
        <v/>
      </c>
      <c r="H830" s="75" t="str">
        <f>IF($M830="","",INDEX(fa_reste,$M830))</f>
        <v/>
      </c>
      <c r="I830" s="58" t="str">
        <f>IF($M830="","",MAX(0,p_asof-E830))</f>
        <v/>
      </c>
      <c r="J830" s="78" t="str">
        <f>IF($M830="","",INDEX(fa_tranche,$M830)&amp;"")</f>
        <v/>
      </c>
      <c r="K830" s="56" t="str">
        <f>IF($M830="","",IF(ISNUMBER(INDEX(fa_relance,$M830)),INDEX(fa_relance,$M830),""))</f>
        <v/>
      </c>
      <c r="L830" s="79" t="str">
        <f>IF($M830="","",IF(AND(ISNUMBER(K830),(p_asof-E830)&gt;0,(p_asof-N(K830))&gt;=0,(p_asof-N(K830))&lt;7),"Déjà relancée il y a "&amp;(p_asof-N(K830))&amp;" j",IF((p_asof-E830)&lt;=0,IF((p_asof-E830)&gt;-8,"Rappel courtois avant l'échéance","Aucune action"),IF((p_asof-E830)&lt;=15,"Relance 1 : e-mail de rappel",IF((p_asof-E830)&lt;=30,"Relance 2 : appel téléphonique",IF((p_asof-E830)&lt;=60,"Relance 3 : lettre de relance",IF((p_asof-E830)&lt;=90,"Mise en demeure (recommandé)","Contentieux : injonction de payer")))))))</f>
        <v/>
      </c>
      <c r="M830" t="str">
        <f>IFERROR(MATCH(799,fa_rank,0),"")</f>
        <v/>
      </c>
    </row>
    <row r="831">
      <c r="B831" s="78" t="str">
        <f>IF($M831="","",INDEX(fa_num,$M831)&amp;"")</f>
        <v/>
      </c>
      <c r="C831" s="79" t="str">
        <f>IF($M831="","",INDEX(fa_cname,$M831)&amp;"")</f>
        <v/>
      </c>
      <c r="D831" s="56" t="str">
        <f>IF($M831="","",INDEX(fa_date,$M831))</f>
        <v/>
      </c>
      <c r="E831" s="56" t="str">
        <f>IF($M831="","",INDEX(fa_due,$M831))</f>
        <v/>
      </c>
      <c r="F831" s="75" t="str">
        <f>IF($M831="","",INDEX(fa_ttc,$M831))</f>
        <v/>
      </c>
      <c r="G831" s="75" t="str">
        <f>IF($M831="","",INDEX(fa_paid,$M831)+INDEX(fa_avoirs,$M831))</f>
        <v/>
      </c>
      <c r="H831" s="75" t="str">
        <f>IF($M831="","",INDEX(fa_reste,$M831))</f>
        <v/>
      </c>
      <c r="I831" s="58" t="str">
        <f>IF($M831="","",MAX(0,p_asof-E831))</f>
        <v/>
      </c>
      <c r="J831" s="78" t="str">
        <f>IF($M831="","",INDEX(fa_tranche,$M831)&amp;"")</f>
        <v/>
      </c>
      <c r="K831" s="56" t="str">
        <f>IF($M831="","",IF(ISNUMBER(INDEX(fa_relance,$M831)),INDEX(fa_relance,$M831),""))</f>
        <v/>
      </c>
      <c r="L831" s="79" t="str">
        <f>IF($M831="","",IF(AND(ISNUMBER(K831),(p_asof-E831)&gt;0,(p_asof-N(K831))&gt;=0,(p_asof-N(K831))&lt;7),"Déjà relancée il y a "&amp;(p_asof-N(K831))&amp;" j",IF((p_asof-E831)&lt;=0,IF((p_asof-E831)&gt;-8,"Rappel courtois avant l'échéance","Aucune action"),IF((p_asof-E831)&lt;=15,"Relance 1 : e-mail de rappel",IF((p_asof-E831)&lt;=30,"Relance 2 : appel téléphonique",IF((p_asof-E831)&lt;=60,"Relance 3 : lettre de relance",IF((p_asof-E831)&lt;=90,"Mise en demeure (recommandé)","Contentieux : injonction de payer")))))))</f>
        <v/>
      </c>
      <c r="M831" t="str">
        <f>IFERROR(MATCH(800,fa_rank,0),"")</f>
        <v/>
      </c>
    </row>
  </sheetData>
  <mergeCells count="2">
    <mergeCell ref="B27:C27"/>
    <mergeCell ref="B6:C6"/>
  </mergeCells>
  <conditionalFormatting sqref="D7:H26">
    <cfRule type="expression" priority="1" dxfId="13">
      <formula>AND(ISNUMBER(D7),D7=0)</formula>
    </cfRule>
  </conditionalFormatting>
  <conditionalFormatting sqref="J32:J831">
    <cfRule type="expression" priority="2" dxfId="0">
      <formula>$J32="Non échu"</formula>
    </cfRule>
    <cfRule type="expression" priority="3" dxfId="1">
      <formula>$J32="1-30 j"</formula>
    </cfRule>
    <cfRule type="expression" priority="4" dxfId="2">
      <formula>$J32="31-60 j"</formula>
    </cfRule>
    <cfRule type="expression" priority="5" dxfId="3">
      <formula>$J32="61-90 j"</formula>
    </cfRule>
    <cfRule type="expression" priority="6" dxfId="4">
      <formula>$J32="Plus de 90 j"</formula>
    </cfRule>
  </conditionalFormatting>
  <conditionalFormatting sqref="D7:I7">
    <cfRule type="expression" priority="7" dxfId="5">
      <formula>p_currency="MAD"</formula>
    </cfRule>
    <cfRule type="expression" priority="29" dxfId="6">
      <formula>p_currency="EUR"</formula>
    </cfRule>
    <cfRule type="expression" priority="51" dxfId="7">
      <formula>p_currency="USD"</formula>
    </cfRule>
  </conditionalFormatting>
  <conditionalFormatting sqref="D8:I8">
    <cfRule type="expression" priority="8" dxfId="5">
      <formula>p_currency="MAD"</formula>
    </cfRule>
    <cfRule type="expression" priority="30" dxfId="6">
      <formula>p_currency="EUR"</formula>
    </cfRule>
    <cfRule type="expression" priority="52" dxfId="7">
      <formula>p_currency="USD"</formula>
    </cfRule>
  </conditionalFormatting>
  <conditionalFormatting sqref="D9:I9">
    <cfRule type="expression" priority="9" dxfId="5">
      <formula>p_currency="MAD"</formula>
    </cfRule>
    <cfRule type="expression" priority="31" dxfId="6">
      <formula>p_currency="EUR"</formula>
    </cfRule>
    <cfRule type="expression" priority="53" dxfId="7">
      <formula>p_currency="USD"</formula>
    </cfRule>
  </conditionalFormatting>
  <conditionalFormatting sqref="D10:I10">
    <cfRule type="expression" priority="10" dxfId="5">
      <formula>p_currency="MAD"</formula>
    </cfRule>
    <cfRule type="expression" priority="32" dxfId="6">
      <formula>p_currency="EUR"</formula>
    </cfRule>
    <cfRule type="expression" priority="54" dxfId="7">
      <formula>p_currency="USD"</formula>
    </cfRule>
  </conditionalFormatting>
  <conditionalFormatting sqref="D11:I11">
    <cfRule type="expression" priority="11" dxfId="5">
      <formula>p_currency="MAD"</formula>
    </cfRule>
    <cfRule type="expression" priority="33" dxfId="6">
      <formula>p_currency="EUR"</formula>
    </cfRule>
    <cfRule type="expression" priority="55" dxfId="7">
      <formula>p_currency="USD"</formula>
    </cfRule>
  </conditionalFormatting>
  <conditionalFormatting sqref="D12:I12">
    <cfRule type="expression" priority="12" dxfId="5">
      <formula>p_currency="MAD"</formula>
    </cfRule>
    <cfRule type="expression" priority="34" dxfId="6">
      <formula>p_currency="EUR"</formula>
    </cfRule>
    <cfRule type="expression" priority="56" dxfId="7">
      <formula>p_currency="USD"</formula>
    </cfRule>
  </conditionalFormatting>
  <conditionalFormatting sqref="D13:I13">
    <cfRule type="expression" priority="13" dxfId="5">
      <formula>p_currency="MAD"</formula>
    </cfRule>
    <cfRule type="expression" priority="35" dxfId="6">
      <formula>p_currency="EUR"</formula>
    </cfRule>
    <cfRule type="expression" priority="57" dxfId="7">
      <formula>p_currency="USD"</formula>
    </cfRule>
  </conditionalFormatting>
  <conditionalFormatting sqref="D14:I14">
    <cfRule type="expression" priority="14" dxfId="5">
      <formula>p_currency="MAD"</formula>
    </cfRule>
    <cfRule type="expression" priority="36" dxfId="6">
      <formula>p_currency="EUR"</formula>
    </cfRule>
    <cfRule type="expression" priority="58" dxfId="7">
      <formula>p_currency="USD"</formula>
    </cfRule>
  </conditionalFormatting>
  <conditionalFormatting sqref="D15:I15">
    <cfRule type="expression" priority="15" dxfId="5">
      <formula>p_currency="MAD"</formula>
    </cfRule>
    <cfRule type="expression" priority="37" dxfId="6">
      <formula>p_currency="EUR"</formula>
    </cfRule>
    <cfRule type="expression" priority="59" dxfId="7">
      <formula>p_currency="USD"</formula>
    </cfRule>
  </conditionalFormatting>
  <conditionalFormatting sqref="D16:I16">
    <cfRule type="expression" priority="16" dxfId="5">
      <formula>p_currency="MAD"</formula>
    </cfRule>
    <cfRule type="expression" priority="38" dxfId="6">
      <formula>p_currency="EUR"</formula>
    </cfRule>
    <cfRule type="expression" priority="60" dxfId="7">
      <formula>p_currency="USD"</formula>
    </cfRule>
  </conditionalFormatting>
  <conditionalFormatting sqref="D17:I17">
    <cfRule type="expression" priority="17" dxfId="5">
      <formula>p_currency="MAD"</formula>
    </cfRule>
    <cfRule type="expression" priority="39" dxfId="6">
      <formula>p_currency="EUR"</formula>
    </cfRule>
    <cfRule type="expression" priority="61" dxfId="7">
      <formula>p_currency="USD"</formula>
    </cfRule>
  </conditionalFormatting>
  <conditionalFormatting sqref="D18:I18">
    <cfRule type="expression" priority="18" dxfId="5">
      <formula>p_currency="MAD"</formula>
    </cfRule>
    <cfRule type="expression" priority="40" dxfId="6">
      <formula>p_currency="EUR"</formula>
    </cfRule>
    <cfRule type="expression" priority="62" dxfId="7">
      <formula>p_currency="USD"</formula>
    </cfRule>
  </conditionalFormatting>
  <conditionalFormatting sqref="D19:I19">
    <cfRule type="expression" priority="19" dxfId="5">
      <formula>p_currency="MAD"</formula>
    </cfRule>
    <cfRule type="expression" priority="41" dxfId="6">
      <formula>p_currency="EUR"</formula>
    </cfRule>
    <cfRule type="expression" priority="63" dxfId="7">
      <formula>p_currency="USD"</formula>
    </cfRule>
  </conditionalFormatting>
  <conditionalFormatting sqref="D20:I20">
    <cfRule type="expression" priority="20" dxfId="5">
      <formula>p_currency="MAD"</formula>
    </cfRule>
    <cfRule type="expression" priority="42" dxfId="6">
      <formula>p_currency="EUR"</formula>
    </cfRule>
    <cfRule type="expression" priority="64" dxfId="7">
      <formula>p_currency="USD"</formula>
    </cfRule>
  </conditionalFormatting>
  <conditionalFormatting sqref="D21:I21">
    <cfRule type="expression" priority="21" dxfId="5">
      <formula>p_currency="MAD"</formula>
    </cfRule>
    <cfRule type="expression" priority="43" dxfId="6">
      <formula>p_currency="EUR"</formula>
    </cfRule>
    <cfRule type="expression" priority="65" dxfId="7">
      <formula>p_currency="USD"</formula>
    </cfRule>
  </conditionalFormatting>
  <conditionalFormatting sqref="D22:I22">
    <cfRule type="expression" priority="22" dxfId="5">
      <formula>p_currency="MAD"</formula>
    </cfRule>
    <cfRule type="expression" priority="44" dxfId="6">
      <formula>p_currency="EUR"</formula>
    </cfRule>
    <cfRule type="expression" priority="66" dxfId="7">
      <formula>p_currency="USD"</formula>
    </cfRule>
  </conditionalFormatting>
  <conditionalFormatting sqref="D23:I23">
    <cfRule type="expression" priority="23" dxfId="5">
      <formula>p_currency="MAD"</formula>
    </cfRule>
    <cfRule type="expression" priority="45" dxfId="6">
      <formula>p_currency="EUR"</formula>
    </cfRule>
    <cfRule type="expression" priority="67" dxfId="7">
      <formula>p_currency="USD"</formula>
    </cfRule>
  </conditionalFormatting>
  <conditionalFormatting sqref="D24:I24">
    <cfRule type="expression" priority="24" dxfId="5">
      <formula>p_currency="MAD"</formula>
    </cfRule>
    <cfRule type="expression" priority="46" dxfId="6">
      <formula>p_currency="EUR"</formula>
    </cfRule>
    <cfRule type="expression" priority="68" dxfId="7">
      <formula>p_currency="USD"</formula>
    </cfRule>
  </conditionalFormatting>
  <conditionalFormatting sqref="D25:I25">
    <cfRule type="expression" priority="25" dxfId="5">
      <formula>p_currency="MAD"</formula>
    </cfRule>
    <cfRule type="expression" priority="47" dxfId="6">
      <formula>p_currency="EUR"</formula>
    </cfRule>
    <cfRule type="expression" priority="69" dxfId="7">
      <formula>p_currency="USD"</formula>
    </cfRule>
  </conditionalFormatting>
  <conditionalFormatting sqref="D26:I26">
    <cfRule type="expression" priority="26" dxfId="5">
      <formula>p_currency="MAD"</formula>
    </cfRule>
    <cfRule type="expression" priority="48" dxfId="6">
      <formula>p_currency="EUR"</formula>
    </cfRule>
    <cfRule type="expression" priority="70" dxfId="7">
      <formula>p_currency="USD"</formula>
    </cfRule>
  </conditionalFormatting>
  <conditionalFormatting sqref="D27:I27">
    <cfRule type="expression" priority="27" dxfId="5">
      <formula>p_currency="MAD"</formula>
    </cfRule>
    <cfRule type="expression" priority="49" dxfId="6">
      <formula>p_currency="EUR"</formula>
    </cfRule>
    <cfRule type="expression" priority="71" dxfId="7">
      <formula>p_currency="USD"</formula>
    </cfRule>
  </conditionalFormatting>
  <conditionalFormatting sqref="F32:H831">
    <cfRule type="expression" priority="28" dxfId="5">
      <formula>p_currency="MAD"</formula>
    </cfRule>
    <cfRule type="expression" priority="50" dxfId="6">
      <formula>p_currency="EUR"</formula>
    </cfRule>
    <cfRule type="expression" priority="72" dxfId="7">
      <formula>p_currency="USD"</formula>
    </cfRule>
  </conditionalFormatting>
  <hyperlinks>
    <hyperlink ref="L1" location="'Mode d''emploi'!A1"/>
  </hyperlinks>
  <printOptions horizontalCentered="1"/>
  <pageMargins left="0.4" right="0.4" top="0.5" bottom="0.5" header="0.5" footer="0.5"/>
  <pageSetup orientation="landscape" paperSize="9" fitToHeight="0" fitToWidth="1"/>
</worksheet>
</file>

<file path=xl/worksheets/sheet7.xml><?xml version="1.0" encoding="utf-8"?>
<worksheet xmlns="http://schemas.openxmlformats.org/spreadsheetml/2006/main">
  <sheetPr>
    <tabColor rgb="FFBE185D"/>
    <outlinePr summaryBelow="1" summaryRight="1"/>
    <pageSetUpPr fitToPage="1"/>
  </sheetPr>
  <dimension ref="A1:R4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9" customWidth="1" min="3" max="3"/>
    <col width="26" customWidth="1" min="4" max="4"/>
    <col width="30" customWidth="1" min="5" max="5"/>
    <col width="12" customWidth="1" min="6" max="6"/>
    <col width="12" customWidth="1" min="7" max="7"/>
    <col width="12" customWidth="1" min="8" max="8"/>
    <col width="14" customWidth="1" min="9" max="9"/>
    <col width="13" customWidth="1" min="10" max="10"/>
    <col width="14" customWidth="1" min="11" max="11"/>
    <col width="15" customWidth="1" min="12" max="12"/>
    <col width="12" customWidth="1" min="13" max="13"/>
    <col width="30" customWidth="1" min="14" max="14"/>
    <col hidden="1" width="6" customWidth="1" min="15" max="15"/>
    <col hidden="1" width="6" customWidth="1" min="16" max="16"/>
    <col hidden="1" width="6" customWidth="1" min="17" max="17"/>
    <col hidden="1" width="6" customWidth="1" min="18" max="18"/>
  </cols>
  <sheetData>
    <row r="1" ht="38" customHeight="1">
      <c r="A1" s="2" t="inlineStr">
        <is>
          <t>Devis</t>
        </is>
      </c>
      <c r="B1" s="1" t="n"/>
      <c r="C1" s="1" t="n"/>
      <c r="D1" s="1" t="n"/>
      <c r="E1" s="1" t="n"/>
      <c r="F1" s="1" t="n"/>
      <c r="G1" s="1" t="n"/>
      <c r="H1" s="1" t="n"/>
      <c r="I1" s="1" t="n"/>
      <c r="J1" s="1" t="n"/>
      <c r="K1" s="1" t="n"/>
      <c r="L1" s="1" t="n"/>
      <c r="M1" s="1" t="n"/>
      <c r="N1" s="18" t="inlineStr">
        <is>
          <t>⌂ Mode d'emploi</t>
        </is>
      </c>
    </row>
    <row r="2" ht="22" customHeight="1">
      <c r="A2" s="4" t="inlineStr">
        <is>
          <t>Une ligne par devis, dans l'ordre chronologique. Le numéro apparaît dès que la date est saisie.</t>
        </is>
      </c>
      <c r="B2" s="3" t="n"/>
      <c r="C2" s="3" t="n"/>
      <c r="D2" s="3" t="n"/>
      <c r="E2" s="3" t="n"/>
      <c r="F2" s="3" t="n"/>
      <c r="G2" s="3" t="n"/>
      <c r="H2" s="3" t="n"/>
      <c r="I2" s="3" t="n"/>
      <c r="J2" s="3" t="n"/>
      <c r="K2" s="3" t="n"/>
      <c r="L2" s="3" t="n"/>
      <c r="M2" s="3" t="n"/>
      <c r="N2" s="3" t="n"/>
    </row>
    <row r="3" ht="18" customHeight="1">
      <c r="L3" s="16" t="inlineStr">
        <is>
          <t>Saisie</t>
        </is>
      </c>
      <c r="M3" s="17" t="inlineStr">
        <is>
          <t>Calcul auto</t>
        </is>
      </c>
    </row>
    <row r="5" ht="34" customHeight="1">
      <c r="A5" s="43" t="inlineStr">
        <is>
          <t>N° devis</t>
        </is>
      </c>
      <c r="B5" s="43" t="inlineStr">
        <is>
          <t>Date</t>
        </is>
      </c>
      <c r="C5" s="43" t="inlineStr">
        <is>
          <t>Code client</t>
        </is>
      </c>
      <c r="D5" s="43" t="inlineStr">
        <is>
          <t>Client</t>
        </is>
      </c>
      <c r="E5" s="43" t="inlineStr">
        <is>
          <t>Objet</t>
        </is>
      </c>
      <c r="F5" s="43" t="inlineStr">
        <is>
          <t>Valable jusqu'au (si autre)</t>
        </is>
      </c>
      <c r="G5" s="43" t="inlineStr">
        <is>
          <t>Statut</t>
        </is>
      </c>
      <c r="H5" s="43" t="inlineStr">
        <is>
          <t>Fin de validité</t>
        </is>
      </c>
      <c r="I5" s="43" t="inlineStr">
        <is>
          <t>Total HT</t>
        </is>
      </c>
      <c r="J5" s="43" t="inlineStr">
        <is>
          <t>TVA</t>
        </is>
      </c>
      <c r="K5" s="43" t="inlineStr">
        <is>
          <t>Total TTC</t>
        </is>
      </c>
      <c r="L5" s="43" t="inlineStr">
        <is>
          <t>N° facture</t>
        </is>
      </c>
      <c r="M5" s="43" t="inlineStr">
        <is>
          <t>État</t>
        </is>
      </c>
      <c r="N5" s="43" t="inlineStr">
        <is>
          <t>Contrôle</t>
        </is>
      </c>
      <c r="O5" s="43" t="inlineStr">
        <is>
          <t>Date (n)</t>
        </is>
      </c>
      <c r="P5" s="43" t="inlineStr">
        <is>
          <t>Année</t>
        </is>
      </c>
      <c r="Q5" s="43" t="inlineStr">
        <is>
          <t>Rang</t>
        </is>
      </c>
      <c r="R5" s="43" t="inlineStr">
        <is>
          <t>Lignes</t>
        </is>
      </c>
    </row>
    <row r="6">
      <c r="A6" s="59" t="str">
        <f>IF(Q6="","",p_pdv&amp;"-"&amp;P6&amp;"-"&amp;RIGHT("000"&amp;Q6,4))</f>
        <v/>
      </c>
      <c r="B6" s="61" t="n"/>
      <c r="C6" s="60" t="n"/>
      <c r="D6" s="62" t="str">
        <f>IF(C6="","",IFERROR(INDEX(cli_name,MATCH(C6,cli_code,0))&amp;"","Client inconnu"))</f>
        <v/>
      </c>
      <c r="E6" s="63" t="n"/>
      <c r="F6" s="61" t="n"/>
      <c r="G6" s="60" t="n"/>
      <c r="H6" s="64" t="str">
        <f>IF(A6="","",IF(ISNUMBER(F6),F6,O6+N(p_validity)))</f>
        <v/>
      </c>
      <c r="I6" s="65" t="str">
        <f>IF(A6="","",SUMIF(dl_doc,A6,dl_ht))</f>
        <v/>
      </c>
      <c r="J6" s="65" t="str">
        <f>IF(A6="","",IF(INDEX(p_rates,1)="",0,ROUND(SUMIFS(dl_ht,dl_doc,A6,dl_rate,INDEX(p_rates,1))*INDEX(p_rates,1),2))+IF(INDEX(p_rates,2)="",0,ROUND(SUMIFS(dl_ht,dl_doc,A6,dl_rate,INDEX(p_rates,2))*INDEX(p_rates,2),2))+IF(INDEX(p_rates,3)="",0,ROUND(SUMIFS(dl_ht,dl_doc,A6,dl_rate,INDEX(p_rates,3))*INDEX(p_rates,3),2))+IF(INDEX(p_rates,4)="",0,ROUND(SUMIFS(dl_ht,dl_doc,A6,dl_rate,INDEX(p_rates,4))*INDEX(p_rates,4),2))+IF(INDEX(p_rates,5)="",0,ROUND(SUMIFS(dl_ht,dl_doc,A6,dl_rate,INDEX(p_rates,5))*INDEX(p_rates,5),2))+IF(INDEX(p_rates,6)="",0,ROUND(SUMIFS(dl_ht,dl_doc,A6,dl_rate,INDEX(p_rates,6))*INDEX(p_rates,6),2)))</f>
        <v/>
      </c>
      <c r="K6" s="65" t="str">
        <f>IF(A6="","",I6+J6)</f>
        <v/>
      </c>
      <c r="L6" s="59" t="str">
        <f>IF(A6="","",IFERROR(INDEX(fa_num,MATCH(A6,fa_dvkey,0))&amp;"",""))</f>
        <v/>
      </c>
      <c r="M6" s="59" t="str">
        <f>IF(A6="","",IF(G6="Annulé","Annulé",IF(L6&lt;&gt;"","Facturé",IF(G6="Accepté","Accepté",IF(G6="Refusé","Refusé",IF(p_asof&gt;H6,"Expiré","En attente"))))))</f>
        <v/>
      </c>
      <c r="N6" s="59" t="str">
        <f>IF(COUNTA(B6:C6,E6:G6)=0,"",IF(B6="","Date manquante",IF(NOT(ISNUMBER(B6)),"Date invalide",IF(C6="","Client manquant",IF(ISNA(MATCH(C6,cli_code,0)),"Client inconnu",IF(AND(ISNUMBER(F6),F6&lt;O6),"Validité antérieure à la date du devis",IF(AND(R6=0,G6&lt;&gt;"Annulé"),"Aucune ligne (feuille Lignes de devis)",IF(COUNTIFS(dl_doc,A6,dl_check,"&lt;&gt;OK")&gt;0,"Ligne(s) à corriger",IF(AND(L6&lt;&gt;"",OR(G6="Refusé",G6="Annulé")),"Devis refusé ou annulé mais facturé","OK")))))))))</f>
        <v/>
      </c>
      <c r="O6" s="62">
        <f>IF(ISNUMBER(B6),B6,0)</f>
        <v>0.0</v>
      </c>
      <c r="P6" s="62" t="str">
        <f>IF(O6=0,"",YEAR(O6))</f>
        <v/>
      </c>
      <c r="Q6" s="62" t="str">
        <f>IF(P6="","",COUNTIF($P$6:P6,P6))</f>
        <v/>
      </c>
      <c r="R6" s="62">
        <f>IF(A6="",0,COUNTIF(dl_doc,A6))</f>
        <v>0.0</v>
      </c>
    </row>
    <row r="7">
      <c r="A7" s="59" t="str">
        <f>IF(Q7="","",p_pdv&amp;"-"&amp;P7&amp;"-"&amp;RIGHT("000"&amp;Q7,4))</f>
        <v/>
      </c>
      <c r="B7" s="61" t="n"/>
      <c r="C7" s="60" t="n"/>
      <c r="D7" s="62" t="str">
        <f>IF(C7="","",IFERROR(INDEX(cli_name,MATCH(C7,cli_code,0))&amp;"","Client inconnu"))</f>
        <v/>
      </c>
      <c r="E7" s="63" t="n"/>
      <c r="F7" s="61" t="n"/>
      <c r="G7" s="60" t="n"/>
      <c r="H7" s="64" t="str">
        <f>IF(A7="","",IF(ISNUMBER(F7),F7,O7+N(p_validity)))</f>
        <v/>
      </c>
      <c r="I7" s="65" t="str">
        <f>IF(A7="","",SUMIF(dl_doc,A7,dl_ht))</f>
        <v/>
      </c>
      <c r="J7" s="65" t="str">
        <f>IF(A7="","",IF(INDEX(p_rates,1)="",0,ROUND(SUMIFS(dl_ht,dl_doc,A7,dl_rate,INDEX(p_rates,1))*INDEX(p_rates,1),2))+IF(INDEX(p_rates,2)="",0,ROUND(SUMIFS(dl_ht,dl_doc,A7,dl_rate,INDEX(p_rates,2))*INDEX(p_rates,2),2))+IF(INDEX(p_rates,3)="",0,ROUND(SUMIFS(dl_ht,dl_doc,A7,dl_rate,INDEX(p_rates,3))*INDEX(p_rates,3),2))+IF(INDEX(p_rates,4)="",0,ROUND(SUMIFS(dl_ht,dl_doc,A7,dl_rate,INDEX(p_rates,4))*INDEX(p_rates,4),2))+IF(INDEX(p_rates,5)="",0,ROUND(SUMIFS(dl_ht,dl_doc,A7,dl_rate,INDEX(p_rates,5))*INDEX(p_rates,5),2))+IF(INDEX(p_rates,6)="",0,ROUND(SUMIFS(dl_ht,dl_doc,A7,dl_rate,INDEX(p_rates,6))*INDEX(p_rates,6),2)))</f>
        <v/>
      </c>
      <c r="K7" s="65" t="str">
        <f>IF(A7="","",I7+J7)</f>
        <v/>
      </c>
      <c r="L7" s="59" t="str">
        <f>IF(A7="","",IFERROR(INDEX(fa_num,MATCH(A7,fa_dvkey,0))&amp;"",""))</f>
        <v/>
      </c>
      <c r="M7" s="59" t="str">
        <f>IF(A7="","",IF(G7="Annulé","Annulé",IF(L7&lt;&gt;"","Facturé",IF(G7="Accepté","Accepté",IF(G7="Refusé","Refusé",IF(p_asof&gt;H7,"Expiré","En attente"))))))</f>
        <v/>
      </c>
      <c r="N7" s="59" t="str">
        <f>IF(COUNTA(B7:C7,E7:G7)=0,"",IF(B7="","Date manquante",IF(NOT(ISNUMBER(B7)),"Date invalide",IF(C7="","Client manquant",IF(ISNA(MATCH(C7,cli_code,0)),"Client inconnu",IF(O7&lt;MAX($O$6:O6),"Date antérieure au devis précédent",IF(AND(ISNUMBER(F7),F7&lt;O7),"Validité antérieure à la date du devis",IF(AND(R7=0,G7&lt;&gt;"Annulé"),"Aucune ligne (feuille Lignes de devis)",IF(COUNTIFS(dl_doc,A7,dl_check,"&lt;&gt;OK")&gt;0,"Ligne(s) à corriger",IF(AND(L7&lt;&gt;"",OR(G7="Refusé",G7="Annulé")),"Devis refusé ou annulé mais facturé","OK"))))))))))</f>
        <v/>
      </c>
      <c r="O7" s="62">
        <f>IF(ISNUMBER(B7),B7,0)</f>
        <v>0.0</v>
      </c>
      <c r="P7" s="62" t="str">
        <f>IF(O7=0,"",YEAR(O7))</f>
        <v/>
      </c>
      <c r="Q7" s="62" t="str">
        <f>IF(P7="","",COUNTIF($P$6:P7,P7))</f>
        <v/>
      </c>
      <c r="R7" s="62">
        <f>IF(A7="",0,COUNTIF(dl_doc,A7))</f>
        <v>0.0</v>
      </c>
    </row>
    <row r="8">
      <c r="A8" s="59" t="str">
        <f>IF(Q8="","",p_pdv&amp;"-"&amp;P8&amp;"-"&amp;RIGHT("000"&amp;Q8,4))</f>
        <v/>
      </c>
      <c r="B8" s="61" t="n"/>
      <c r="C8" s="60" t="n"/>
      <c r="D8" s="62" t="str">
        <f>IF(C8="","",IFERROR(INDEX(cli_name,MATCH(C8,cli_code,0))&amp;"","Client inconnu"))</f>
        <v/>
      </c>
      <c r="E8" s="63" t="n"/>
      <c r="F8" s="61" t="n"/>
      <c r="G8" s="60" t="n"/>
      <c r="H8" s="64" t="str">
        <f>IF(A8="","",IF(ISNUMBER(F8),F8,O8+N(p_validity)))</f>
        <v/>
      </c>
      <c r="I8" s="65" t="str">
        <f>IF(A8="","",SUMIF(dl_doc,A8,dl_ht))</f>
        <v/>
      </c>
      <c r="J8" s="65" t="str">
        <f>IF(A8="","",IF(INDEX(p_rates,1)="",0,ROUND(SUMIFS(dl_ht,dl_doc,A8,dl_rate,INDEX(p_rates,1))*INDEX(p_rates,1),2))+IF(INDEX(p_rates,2)="",0,ROUND(SUMIFS(dl_ht,dl_doc,A8,dl_rate,INDEX(p_rates,2))*INDEX(p_rates,2),2))+IF(INDEX(p_rates,3)="",0,ROUND(SUMIFS(dl_ht,dl_doc,A8,dl_rate,INDEX(p_rates,3))*INDEX(p_rates,3),2))+IF(INDEX(p_rates,4)="",0,ROUND(SUMIFS(dl_ht,dl_doc,A8,dl_rate,INDEX(p_rates,4))*INDEX(p_rates,4),2))+IF(INDEX(p_rates,5)="",0,ROUND(SUMIFS(dl_ht,dl_doc,A8,dl_rate,INDEX(p_rates,5))*INDEX(p_rates,5),2))+IF(INDEX(p_rates,6)="",0,ROUND(SUMIFS(dl_ht,dl_doc,A8,dl_rate,INDEX(p_rates,6))*INDEX(p_rates,6),2)))</f>
        <v/>
      </c>
      <c r="K8" s="65" t="str">
        <f>IF(A8="","",I8+J8)</f>
        <v/>
      </c>
      <c r="L8" s="59" t="str">
        <f>IF(A8="","",IFERROR(INDEX(fa_num,MATCH(A8,fa_dvkey,0))&amp;"",""))</f>
        <v/>
      </c>
      <c r="M8" s="59" t="str">
        <f>IF(A8="","",IF(G8="Annulé","Annulé",IF(L8&lt;&gt;"","Facturé",IF(G8="Accepté","Accepté",IF(G8="Refusé","Refusé",IF(p_asof&gt;H8,"Expiré","En attente"))))))</f>
        <v/>
      </c>
      <c r="N8" s="59" t="str">
        <f>IF(COUNTA(B8:C8,E8:G8)=0,"",IF(B8="","Date manquante",IF(NOT(ISNUMBER(B8)),"Date invalide",IF(C8="","Client manquant",IF(ISNA(MATCH(C8,cli_code,0)),"Client inconnu",IF(O8&lt;MAX($O$6:O7),"Date antérieure au devis précédent",IF(AND(ISNUMBER(F8),F8&lt;O8),"Validité antérieure à la date du devis",IF(AND(R8=0,G8&lt;&gt;"Annulé"),"Aucune ligne (feuille Lignes de devis)",IF(COUNTIFS(dl_doc,A8,dl_check,"&lt;&gt;OK")&gt;0,"Ligne(s) à corriger",IF(AND(L8&lt;&gt;"",OR(G8="Refusé",G8="Annulé")),"Devis refusé ou annulé mais facturé","OK"))))))))))</f>
        <v/>
      </c>
      <c r="O8" s="62">
        <f>IF(ISNUMBER(B8),B8,0)</f>
        <v>0.0</v>
      </c>
      <c r="P8" s="62" t="str">
        <f>IF(O8=0,"",YEAR(O8))</f>
        <v/>
      </c>
      <c r="Q8" s="62" t="str">
        <f>IF(P8="","",COUNTIF($P$6:P8,P8))</f>
        <v/>
      </c>
      <c r="R8" s="62">
        <f>IF(A8="",0,COUNTIF(dl_doc,A8))</f>
        <v>0.0</v>
      </c>
    </row>
    <row r="9">
      <c r="A9" s="59" t="str">
        <f>IF(Q9="","",p_pdv&amp;"-"&amp;P9&amp;"-"&amp;RIGHT("000"&amp;Q9,4))</f>
        <v/>
      </c>
      <c r="B9" s="61" t="n"/>
      <c r="C9" s="60" t="n"/>
      <c r="D9" s="62" t="str">
        <f>IF(C9="","",IFERROR(INDEX(cli_name,MATCH(C9,cli_code,0))&amp;"","Client inconnu"))</f>
        <v/>
      </c>
      <c r="E9" s="63" t="n"/>
      <c r="F9" s="61" t="n"/>
      <c r="G9" s="60" t="n"/>
      <c r="H9" s="64" t="str">
        <f>IF(A9="","",IF(ISNUMBER(F9),F9,O9+N(p_validity)))</f>
        <v/>
      </c>
      <c r="I9" s="65" t="str">
        <f>IF(A9="","",SUMIF(dl_doc,A9,dl_ht))</f>
        <v/>
      </c>
      <c r="J9" s="65" t="str">
        <f>IF(A9="","",IF(INDEX(p_rates,1)="",0,ROUND(SUMIFS(dl_ht,dl_doc,A9,dl_rate,INDEX(p_rates,1))*INDEX(p_rates,1),2))+IF(INDEX(p_rates,2)="",0,ROUND(SUMIFS(dl_ht,dl_doc,A9,dl_rate,INDEX(p_rates,2))*INDEX(p_rates,2),2))+IF(INDEX(p_rates,3)="",0,ROUND(SUMIFS(dl_ht,dl_doc,A9,dl_rate,INDEX(p_rates,3))*INDEX(p_rates,3),2))+IF(INDEX(p_rates,4)="",0,ROUND(SUMIFS(dl_ht,dl_doc,A9,dl_rate,INDEX(p_rates,4))*INDEX(p_rates,4),2))+IF(INDEX(p_rates,5)="",0,ROUND(SUMIFS(dl_ht,dl_doc,A9,dl_rate,INDEX(p_rates,5))*INDEX(p_rates,5),2))+IF(INDEX(p_rates,6)="",0,ROUND(SUMIFS(dl_ht,dl_doc,A9,dl_rate,INDEX(p_rates,6))*INDEX(p_rates,6),2)))</f>
        <v/>
      </c>
      <c r="K9" s="65" t="str">
        <f>IF(A9="","",I9+J9)</f>
        <v/>
      </c>
      <c r="L9" s="59" t="str">
        <f>IF(A9="","",IFERROR(INDEX(fa_num,MATCH(A9,fa_dvkey,0))&amp;"",""))</f>
        <v/>
      </c>
      <c r="M9" s="59" t="str">
        <f>IF(A9="","",IF(G9="Annulé","Annulé",IF(L9&lt;&gt;"","Facturé",IF(G9="Accepté","Accepté",IF(G9="Refusé","Refusé",IF(p_asof&gt;H9,"Expiré","En attente"))))))</f>
        <v/>
      </c>
      <c r="N9" s="59" t="str">
        <f>IF(COUNTA(B9:C9,E9:G9)=0,"",IF(B9="","Date manquante",IF(NOT(ISNUMBER(B9)),"Date invalide",IF(C9="","Client manquant",IF(ISNA(MATCH(C9,cli_code,0)),"Client inconnu",IF(O9&lt;MAX($O$6:O8),"Date antérieure au devis précédent",IF(AND(ISNUMBER(F9),F9&lt;O9),"Validité antérieure à la date du devis",IF(AND(R9=0,G9&lt;&gt;"Annulé"),"Aucune ligne (feuille Lignes de devis)",IF(COUNTIFS(dl_doc,A9,dl_check,"&lt;&gt;OK")&gt;0,"Ligne(s) à corriger",IF(AND(L9&lt;&gt;"",OR(G9="Refusé",G9="Annulé")),"Devis refusé ou annulé mais facturé","OK"))))))))))</f>
        <v/>
      </c>
      <c r="O9" s="62">
        <f>IF(ISNUMBER(B9),B9,0)</f>
        <v>0.0</v>
      </c>
      <c r="P9" s="62" t="str">
        <f>IF(O9=0,"",YEAR(O9))</f>
        <v/>
      </c>
      <c r="Q9" s="62" t="str">
        <f>IF(P9="","",COUNTIF($P$6:P9,P9))</f>
        <v/>
      </c>
      <c r="R9" s="62">
        <f>IF(A9="",0,COUNTIF(dl_doc,A9))</f>
        <v>0.0</v>
      </c>
    </row>
    <row r="10">
      <c r="A10" s="59" t="str">
        <f>IF(Q10="","",p_pdv&amp;"-"&amp;P10&amp;"-"&amp;RIGHT("000"&amp;Q10,4))</f>
        <v/>
      </c>
      <c r="B10" s="61" t="n"/>
      <c r="C10" s="60" t="n"/>
      <c r="D10" s="62" t="str">
        <f>IF(C10="","",IFERROR(INDEX(cli_name,MATCH(C10,cli_code,0))&amp;"","Client inconnu"))</f>
        <v/>
      </c>
      <c r="E10" s="63" t="n"/>
      <c r="F10" s="61" t="n"/>
      <c r="G10" s="60" t="n"/>
      <c r="H10" s="64" t="str">
        <f>IF(A10="","",IF(ISNUMBER(F10),F10,O10+N(p_validity)))</f>
        <v/>
      </c>
      <c r="I10" s="65" t="str">
        <f>IF(A10="","",SUMIF(dl_doc,A10,dl_ht))</f>
        <v/>
      </c>
      <c r="J10" s="65" t="str">
        <f>IF(A10="","",IF(INDEX(p_rates,1)="",0,ROUND(SUMIFS(dl_ht,dl_doc,A10,dl_rate,INDEX(p_rates,1))*INDEX(p_rates,1),2))+IF(INDEX(p_rates,2)="",0,ROUND(SUMIFS(dl_ht,dl_doc,A10,dl_rate,INDEX(p_rates,2))*INDEX(p_rates,2),2))+IF(INDEX(p_rates,3)="",0,ROUND(SUMIFS(dl_ht,dl_doc,A10,dl_rate,INDEX(p_rates,3))*INDEX(p_rates,3),2))+IF(INDEX(p_rates,4)="",0,ROUND(SUMIFS(dl_ht,dl_doc,A10,dl_rate,INDEX(p_rates,4))*INDEX(p_rates,4),2))+IF(INDEX(p_rates,5)="",0,ROUND(SUMIFS(dl_ht,dl_doc,A10,dl_rate,INDEX(p_rates,5))*INDEX(p_rates,5),2))+IF(INDEX(p_rates,6)="",0,ROUND(SUMIFS(dl_ht,dl_doc,A10,dl_rate,INDEX(p_rates,6))*INDEX(p_rates,6),2)))</f>
        <v/>
      </c>
      <c r="K10" s="65" t="str">
        <f>IF(A10="","",I10+J10)</f>
        <v/>
      </c>
      <c r="L10" s="59" t="str">
        <f>IF(A10="","",IFERROR(INDEX(fa_num,MATCH(A10,fa_dvkey,0))&amp;"",""))</f>
        <v/>
      </c>
      <c r="M10" s="59" t="str">
        <f>IF(A10="","",IF(G10="Annulé","Annulé",IF(L10&lt;&gt;"","Facturé",IF(G10="Accepté","Accepté",IF(G10="Refusé","Refusé",IF(p_asof&gt;H10,"Expiré","En attente"))))))</f>
        <v/>
      </c>
      <c r="N10" s="59" t="str">
        <f>IF(COUNTA(B10:C10,E10:G10)=0,"",IF(B10="","Date manquante",IF(NOT(ISNUMBER(B10)),"Date invalide",IF(C10="","Client manquant",IF(ISNA(MATCH(C10,cli_code,0)),"Client inconnu",IF(O10&lt;MAX($O$6:O9),"Date antérieure au devis précédent",IF(AND(ISNUMBER(F10),F10&lt;O10),"Validité antérieure à la date du devis",IF(AND(R10=0,G10&lt;&gt;"Annulé"),"Aucune ligne (feuille Lignes de devis)",IF(COUNTIFS(dl_doc,A10,dl_check,"&lt;&gt;OK")&gt;0,"Ligne(s) à corriger",IF(AND(L10&lt;&gt;"",OR(G10="Refusé",G10="Annulé")),"Devis refusé ou annulé mais facturé","OK"))))))))))</f>
        <v/>
      </c>
      <c r="O10" s="62">
        <f>IF(ISNUMBER(B10),B10,0)</f>
        <v>0.0</v>
      </c>
      <c r="P10" s="62" t="str">
        <f>IF(O10=0,"",YEAR(O10))</f>
        <v/>
      </c>
      <c r="Q10" s="62" t="str">
        <f>IF(P10="","",COUNTIF($P$6:P10,P10))</f>
        <v/>
      </c>
      <c r="R10" s="62">
        <f>IF(A10="",0,COUNTIF(dl_doc,A10))</f>
        <v>0.0</v>
      </c>
    </row>
    <row r="11">
      <c r="A11" s="59" t="str">
        <f>IF(Q11="","",p_pdv&amp;"-"&amp;P11&amp;"-"&amp;RIGHT("000"&amp;Q11,4))</f>
        <v/>
      </c>
      <c r="B11" s="61" t="n"/>
      <c r="C11" s="60" t="n"/>
      <c r="D11" s="62" t="str">
        <f>IF(C11="","",IFERROR(INDEX(cli_name,MATCH(C11,cli_code,0))&amp;"","Client inconnu"))</f>
        <v/>
      </c>
      <c r="E11" s="63" t="n"/>
      <c r="F11" s="61" t="n"/>
      <c r="G11" s="60" t="n"/>
      <c r="H11" s="64" t="str">
        <f>IF(A11="","",IF(ISNUMBER(F11),F11,O11+N(p_validity)))</f>
        <v/>
      </c>
      <c r="I11" s="65" t="str">
        <f>IF(A11="","",SUMIF(dl_doc,A11,dl_ht))</f>
        <v/>
      </c>
      <c r="J11" s="65" t="str">
        <f>IF(A11="","",IF(INDEX(p_rates,1)="",0,ROUND(SUMIFS(dl_ht,dl_doc,A11,dl_rate,INDEX(p_rates,1))*INDEX(p_rates,1),2))+IF(INDEX(p_rates,2)="",0,ROUND(SUMIFS(dl_ht,dl_doc,A11,dl_rate,INDEX(p_rates,2))*INDEX(p_rates,2),2))+IF(INDEX(p_rates,3)="",0,ROUND(SUMIFS(dl_ht,dl_doc,A11,dl_rate,INDEX(p_rates,3))*INDEX(p_rates,3),2))+IF(INDEX(p_rates,4)="",0,ROUND(SUMIFS(dl_ht,dl_doc,A11,dl_rate,INDEX(p_rates,4))*INDEX(p_rates,4),2))+IF(INDEX(p_rates,5)="",0,ROUND(SUMIFS(dl_ht,dl_doc,A11,dl_rate,INDEX(p_rates,5))*INDEX(p_rates,5),2))+IF(INDEX(p_rates,6)="",0,ROUND(SUMIFS(dl_ht,dl_doc,A11,dl_rate,INDEX(p_rates,6))*INDEX(p_rates,6),2)))</f>
        <v/>
      </c>
      <c r="K11" s="65" t="str">
        <f>IF(A11="","",I11+J11)</f>
        <v/>
      </c>
      <c r="L11" s="59" t="str">
        <f>IF(A11="","",IFERROR(INDEX(fa_num,MATCH(A11,fa_dvkey,0))&amp;"",""))</f>
        <v/>
      </c>
      <c r="M11" s="59" t="str">
        <f>IF(A11="","",IF(G11="Annulé","Annulé",IF(L11&lt;&gt;"","Facturé",IF(G11="Accepté","Accepté",IF(G11="Refusé","Refusé",IF(p_asof&gt;H11,"Expiré","En attente"))))))</f>
        <v/>
      </c>
      <c r="N11" s="59" t="str">
        <f>IF(COUNTA(B11:C11,E11:G11)=0,"",IF(B11="","Date manquante",IF(NOT(ISNUMBER(B11)),"Date invalide",IF(C11="","Client manquant",IF(ISNA(MATCH(C11,cli_code,0)),"Client inconnu",IF(O11&lt;MAX($O$6:O10),"Date antérieure au devis précédent",IF(AND(ISNUMBER(F11),F11&lt;O11),"Validité antérieure à la date du devis",IF(AND(R11=0,G11&lt;&gt;"Annulé"),"Aucune ligne (feuille Lignes de devis)",IF(COUNTIFS(dl_doc,A11,dl_check,"&lt;&gt;OK")&gt;0,"Ligne(s) à corriger",IF(AND(L11&lt;&gt;"",OR(G11="Refusé",G11="Annulé")),"Devis refusé ou annulé mais facturé","OK"))))))))))</f>
        <v/>
      </c>
      <c r="O11" s="62">
        <f>IF(ISNUMBER(B11),B11,0)</f>
        <v>0.0</v>
      </c>
      <c r="P11" s="62" t="str">
        <f>IF(O11=0,"",YEAR(O11))</f>
        <v/>
      </c>
      <c r="Q11" s="62" t="str">
        <f>IF(P11="","",COUNTIF($P$6:P11,P11))</f>
        <v/>
      </c>
      <c r="R11" s="62">
        <f>IF(A11="",0,COUNTIF(dl_doc,A11))</f>
        <v>0.0</v>
      </c>
    </row>
    <row r="12">
      <c r="A12" s="59" t="str">
        <f>IF(Q12="","",p_pdv&amp;"-"&amp;P12&amp;"-"&amp;RIGHT("000"&amp;Q12,4))</f>
        <v/>
      </c>
      <c r="B12" s="61" t="n"/>
      <c r="C12" s="60" t="n"/>
      <c r="D12" s="62" t="str">
        <f>IF(C12="","",IFERROR(INDEX(cli_name,MATCH(C12,cli_code,0))&amp;"","Client inconnu"))</f>
        <v/>
      </c>
      <c r="E12" s="63" t="n"/>
      <c r="F12" s="61" t="n"/>
      <c r="G12" s="60" t="n"/>
      <c r="H12" s="64" t="str">
        <f>IF(A12="","",IF(ISNUMBER(F12),F12,O12+N(p_validity)))</f>
        <v/>
      </c>
      <c r="I12" s="65" t="str">
        <f>IF(A12="","",SUMIF(dl_doc,A12,dl_ht))</f>
        <v/>
      </c>
      <c r="J12" s="65" t="str">
        <f>IF(A12="","",IF(INDEX(p_rates,1)="",0,ROUND(SUMIFS(dl_ht,dl_doc,A12,dl_rate,INDEX(p_rates,1))*INDEX(p_rates,1),2))+IF(INDEX(p_rates,2)="",0,ROUND(SUMIFS(dl_ht,dl_doc,A12,dl_rate,INDEX(p_rates,2))*INDEX(p_rates,2),2))+IF(INDEX(p_rates,3)="",0,ROUND(SUMIFS(dl_ht,dl_doc,A12,dl_rate,INDEX(p_rates,3))*INDEX(p_rates,3),2))+IF(INDEX(p_rates,4)="",0,ROUND(SUMIFS(dl_ht,dl_doc,A12,dl_rate,INDEX(p_rates,4))*INDEX(p_rates,4),2))+IF(INDEX(p_rates,5)="",0,ROUND(SUMIFS(dl_ht,dl_doc,A12,dl_rate,INDEX(p_rates,5))*INDEX(p_rates,5),2))+IF(INDEX(p_rates,6)="",0,ROUND(SUMIFS(dl_ht,dl_doc,A12,dl_rate,INDEX(p_rates,6))*INDEX(p_rates,6),2)))</f>
        <v/>
      </c>
      <c r="K12" s="65" t="str">
        <f>IF(A12="","",I12+J12)</f>
        <v/>
      </c>
      <c r="L12" s="59" t="str">
        <f>IF(A12="","",IFERROR(INDEX(fa_num,MATCH(A12,fa_dvkey,0))&amp;"",""))</f>
        <v/>
      </c>
      <c r="M12" s="59" t="str">
        <f>IF(A12="","",IF(G12="Annulé","Annulé",IF(L12&lt;&gt;"","Facturé",IF(G12="Accepté","Accepté",IF(G12="Refusé","Refusé",IF(p_asof&gt;H12,"Expiré","En attente"))))))</f>
        <v/>
      </c>
      <c r="N12" s="59" t="str">
        <f>IF(COUNTA(B12:C12,E12:G12)=0,"",IF(B12="","Date manquante",IF(NOT(ISNUMBER(B12)),"Date invalide",IF(C12="","Client manquant",IF(ISNA(MATCH(C12,cli_code,0)),"Client inconnu",IF(O12&lt;MAX($O$6:O11),"Date antérieure au devis précédent",IF(AND(ISNUMBER(F12),F12&lt;O12),"Validité antérieure à la date du devis",IF(AND(R12=0,G12&lt;&gt;"Annulé"),"Aucune ligne (feuille Lignes de devis)",IF(COUNTIFS(dl_doc,A12,dl_check,"&lt;&gt;OK")&gt;0,"Ligne(s) à corriger",IF(AND(L12&lt;&gt;"",OR(G12="Refusé",G12="Annulé")),"Devis refusé ou annulé mais facturé","OK"))))))))))</f>
        <v/>
      </c>
      <c r="O12" s="62">
        <f>IF(ISNUMBER(B12),B12,0)</f>
        <v>0.0</v>
      </c>
      <c r="P12" s="62" t="str">
        <f>IF(O12=0,"",YEAR(O12))</f>
        <v/>
      </c>
      <c r="Q12" s="62" t="str">
        <f>IF(P12="","",COUNTIF($P$6:P12,P12))</f>
        <v/>
      </c>
      <c r="R12" s="62">
        <f>IF(A12="",0,COUNTIF(dl_doc,A12))</f>
        <v>0.0</v>
      </c>
    </row>
    <row r="13">
      <c r="A13" s="59" t="str">
        <f>IF(Q13="","",p_pdv&amp;"-"&amp;P13&amp;"-"&amp;RIGHT("000"&amp;Q13,4))</f>
        <v/>
      </c>
      <c r="B13" s="61" t="n"/>
      <c r="C13" s="60" t="n"/>
      <c r="D13" s="62" t="str">
        <f>IF(C13="","",IFERROR(INDEX(cli_name,MATCH(C13,cli_code,0))&amp;"","Client inconnu"))</f>
        <v/>
      </c>
      <c r="E13" s="63" t="n"/>
      <c r="F13" s="61" t="n"/>
      <c r="G13" s="60" t="n"/>
      <c r="H13" s="64" t="str">
        <f>IF(A13="","",IF(ISNUMBER(F13),F13,O13+N(p_validity)))</f>
        <v/>
      </c>
      <c r="I13" s="65" t="str">
        <f>IF(A13="","",SUMIF(dl_doc,A13,dl_ht))</f>
        <v/>
      </c>
      <c r="J13" s="65" t="str">
        <f>IF(A13="","",IF(INDEX(p_rates,1)="",0,ROUND(SUMIFS(dl_ht,dl_doc,A13,dl_rate,INDEX(p_rates,1))*INDEX(p_rates,1),2))+IF(INDEX(p_rates,2)="",0,ROUND(SUMIFS(dl_ht,dl_doc,A13,dl_rate,INDEX(p_rates,2))*INDEX(p_rates,2),2))+IF(INDEX(p_rates,3)="",0,ROUND(SUMIFS(dl_ht,dl_doc,A13,dl_rate,INDEX(p_rates,3))*INDEX(p_rates,3),2))+IF(INDEX(p_rates,4)="",0,ROUND(SUMIFS(dl_ht,dl_doc,A13,dl_rate,INDEX(p_rates,4))*INDEX(p_rates,4),2))+IF(INDEX(p_rates,5)="",0,ROUND(SUMIFS(dl_ht,dl_doc,A13,dl_rate,INDEX(p_rates,5))*INDEX(p_rates,5),2))+IF(INDEX(p_rates,6)="",0,ROUND(SUMIFS(dl_ht,dl_doc,A13,dl_rate,INDEX(p_rates,6))*INDEX(p_rates,6),2)))</f>
        <v/>
      </c>
      <c r="K13" s="65" t="str">
        <f>IF(A13="","",I13+J13)</f>
        <v/>
      </c>
      <c r="L13" s="59" t="str">
        <f>IF(A13="","",IFERROR(INDEX(fa_num,MATCH(A13,fa_dvkey,0))&amp;"",""))</f>
        <v/>
      </c>
      <c r="M13" s="59" t="str">
        <f>IF(A13="","",IF(G13="Annulé","Annulé",IF(L13&lt;&gt;"","Facturé",IF(G13="Accepté","Accepté",IF(G13="Refusé","Refusé",IF(p_asof&gt;H13,"Expiré","En attente"))))))</f>
        <v/>
      </c>
      <c r="N13" s="59" t="str">
        <f>IF(COUNTA(B13:C13,E13:G13)=0,"",IF(B13="","Date manquante",IF(NOT(ISNUMBER(B13)),"Date invalide",IF(C13="","Client manquant",IF(ISNA(MATCH(C13,cli_code,0)),"Client inconnu",IF(O13&lt;MAX($O$6:O12),"Date antérieure au devis précédent",IF(AND(ISNUMBER(F13),F13&lt;O13),"Validité antérieure à la date du devis",IF(AND(R13=0,G13&lt;&gt;"Annulé"),"Aucune ligne (feuille Lignes de devis)",IF(COUNTIFS(dl_doc,A13,dl_check,"&lt;&gt;OK")&gt;0,"Ligne(s) à corriger",IF(AND(L13&lt;&gt;"",OR(G13="Refusé",G13="Annulé")),"Devis refusé ou annulé mais facturé","OK"))))))))))</f>
        <v/>
      </c>
      <c r="O13" s="62">
        <f>IF(ISNUMBER(B13),B13,0)</f>
        <v>0.0</v>
      </c>
      <c r="P13" s="62" t="str">
        <f>IF(O13=0,"",YEAR(O13))</f>
        <v/>
      </c>
      <c r="Q13" s="62" t="str">
        <f>IF(P13="","",COUNTIF($P$6:P13,P13))</f>
        <v/>
      </c>
      <c r="R13" s="62">
        <f>IF(A13="",0,COUNTIF(dl_doc,A13))</f>
        <v>0.0</v>
      </c>
    </row>
    <row r="14">
      <c r="A14" s="59" t="str">
        <f>IF(Q14="","",p_pdv&amp;"-"&amp;P14&amp;"-"&amp;RIGHT("000"&amp;Q14,4))</f>
        <v/>
      </c>
      <c r="B14" s="61" t="n"/>
      <c r="C14" s="60" t="n"/>
      <c r="D14" s="62" t="str">
        <f>IF(C14="","",IFERROR(INDEX(cli_name,MATCH(C14,cli_code,0))&amp;"","Client inconnu"))</f>
        <v/>
      </c>
      <c r="E14" s="63" t="n"/>
      <c r="F14" s="61" t="n"/>
      <c r="G14" s="60" t="n"/>
      <c r="H14" s="64" t="str">
        <f>IF(A14="","",IF(ISNUMBER(F14),F14,O14+N(p_validity)))</f>
        <v/>
      </c>
      <c r="I14" s="65" t="str">
        <f>IF(A14="","",SUMIF(dl_doc,A14,dl_ht))</f>
        <v/>
      </c>
      <c r="J14" s="65" t="str">
        <f>IF(A14="","",IF(INDEX(p_rates,1)="",0,ROUND(SUMIFS(dl_ht,dl_doc,A14,dl_rate,INDEX(p_rates,1))*INDEX(p_rates,1),2))+IF(INDEX(p_rates,2)="",0,ROUND(SUMIFS(dl_ht,dl_doc,A14,dl_rate,INDEX(p_rates,2))*INDEX(p_rates,2),2))+IF(INDEX(p_rates,3)="",0,ROUND(SUMIFS(dl_ht,dl_doc,A14,dl_rate,INDEX(p_rates,3))*INDEX(p_rates,3),2))+IF(INDEX(p_rates,4)="",0,ROUND(SUMIFS(dl_ht,dl_doc,A14,dl_rate,INDEX(p_rates,4))*INDEX(p_rates,4),2))+IF(INDEX(p_rates,5)="",0,ROUND(SUMIFS(dl_ht,dl_doc,A14,dl_rate,INDEX(p_rates,5))*INDEX(p_rates,5),2))+IF(INDEX(p_rates,6)="",0,ROUND(SUMIFS(dl_ht,dl_doc,A14,dl_rate,INDEX(p_rates,6))*INDEX(p_rates,6),2)))</f>
        <v/>
      </c>
      <c r="K14" s="65" t="str">
        <f>IF(A14="","",I14+J14)</f>
        <v/>
      </c>
      <c r="L14" s="59" t="str">
        <f>IF(A14="","",IFERROR(INDEX(fa_num,MATCH(A14,fa_dvkey,0))&amp;"",""))</f>
        <v/>
      </c>
      <c r="M14" s="59" t="str">
        <f>IF(A14="","",IF(G14="Annulé","Annulé",IF(L14&lt;&gt;"","Facturé",IF(G14="Accepté","Accepté",IF(G14="Refusé","Refusé",IF(p_asof&gt;H14,"Expiré","En attente"))))))</f>
        <v/>
      </c>
      <c r="N14" s="59" t="str">
        <f>IF(COUNTA(B14:C14,E14:G14)=0,"",IF(B14="","Date manquante",IF(NOT(ISNUMBER(B14)),"Date invalide",IF(C14="","Client manquant",IF(ISNA(MATCH(C14,cli_code,0)),"Client inconnu",IF(O14&lt;MAX($O$6:O13),"Date antérieure au devis précédent",IF(AND(ISNUMBER(F14),F14&lt;O14),"Validité antérieure à la date du devis",IF(AND(R14=0,G14&lt;&gt;"Annulé"),"Aucune ligne (feuille Lignes de devis)",IF(COUNTIFS(dl_doc,A14,dl_check,"&lt;&gt;OK")&gt;0,"Ligne(s) à corriger",IF(AND(L14&lt;&gt;"",OR(G14="Refusé",G14="Annulé")),"Devis refusé ou annulé mais facturé","OK"))))))))))</f>
        <v/>
      </c>
      <c r="O14" s="62">
        <f>IF(ISNUMBER(B14),B14,0)</f>
        <v>0.0</v>
      </c>
      <c r="P14" s="62" t="str">
        <f>IF(O14=0,"",YEAR(O14))</f>
        <v/>
      </c>
      <c r="Q14" s="62" t="str">
        <f>IF(P14="","",COUNTIF($P$6:P14,P14))</f>
        <v/>
      </c>
      <c r="R14" s="62">
        <f>IF(A14="",0,COUNTIF(dl_doc,A14))</f>
        <v>0.0</v>
      </c>
    </row>
    <row r="15">
      <c r="A15" s="59" t="str">
        <f>IF(Q15="","",p_pdv&amp;"-"&amp;P15&amp;"-"&amp;RIGHT("000"&amp;Q15,4))</f>
        <v/>
      </c>
      <c r="B15" s="61" t="n"/>
      <c r="C15" s="60" t="n"/>
      <c r="D15" s="62" t="str">
        <f>IF(C15="","",IFERROR(INDEX(cli_name,MATCH(C15,cli_code,0))&amp;"","Client inconnu"))</f>
        <v/>
      </c>
      <c r="E15" s="63" t="n"/>
      <c r="F15" s="61" t="n"/>
      <c r="G15" s="60" t="n"/>
      <c r="H15" s="64" t="str">
        <f>IF(A15="","",IF(ISNUMBER(F15),F15,O15+N(p_validity)))</f>
        <v/>
      </c>
      <c r="I15" s="65" t="str">
        <f>IF(A15="","",SUMIF(dl_doc,A15,dl_ht))</f>
        <v/>
      </c>
      <c r="J15" s="65" t="str">
        <f>IF(A15="","",IF(INDEX(p_rates,1)="",0,ROUND(SUMIFS(dl_ht,dl_doc,A15,dl_rate,INDEX(p_rates,1))*INDEX(p_rates,1),2))+IF(INDEX(p_rates,2)="",0,ROUND(SUMIFS(dl_ht,dl_doc,A15,dl_rate,INDEX(p_rates,2))*INDEX(p_rates,2),2))+IF(INDEX(p_rates,3)="",0,ROUND(SUMIFS(dl_ht,dl_doc,A15,dl_rate,INDEX(p_rates,3))*INDEX(p_rates,3),2))+IF(INDEX(p_rates,4)="",0,ROUND(SUMIFS(dl_ht,dl_doc,A15,dl_rate,INDEX(p_rates,4))*INDEX(p_rates,4),2))+IF(INDEX(p_rates,5)="",0,ROUND(SUMIFS(dl_ht,dl_doc,A15,dl_rate,INDEX(p_rates,5))*INDEX(p_rates,5),2))+IF(INDEX(p_rates,6)="",0,ROUND(SUMIFS(dl_ht,dl_doc,A15,dl_rate,INDEX(p_rates,6))*INDEX(p_rates,6),2)))</f>
        <v/>
      </c>
      <c r="K15" s="65" t="str">
        <f>IF(A15="","",I15+J15)</f>
        <v/>
      </c>
      <c r="L15" s="59" t="str">
        <f>IF(A15="","",IFERROR(INDEX(fa_num,MATCH(A15,fa_dvkey,0))&amp;"",""))</f>
        <v/>
      </c>
      <c r="M15" s="59" t="str">
        <f>IF(A15="","",IF(G15="Annulé","Annulé",IF(L15&lt;&gt;"","Facturé",IF(G15="Accepté","Accepté",IF(G15="Refusé","Refusé",IF(p_asof&gt;H15,"Expiré","En attente"))))))</f>
        <v/>
      </c>
      <c r="N15" s="59" t="str">
        <f>IF(COUNTA(B15:C15,E15:G15)=0,"",IF(B15="","Date manquante",IF(NOT(ISNUMBER(B15)),"Date invalide",IF(C15="","Client manquant",IF(ISNA(MATCH(C15,cli_code,0)),"Client inconnu",IF(O15&lt;MAX($O$6:O14),"Date antérieure au devis précédent",IF(AND(ISNUMBER(F15),F15&lt;O15),"Validité antérieure à la date du devis",IF(AND(R15=0,G15&lt;&gt;"Annulé"),"Aucune ligne (feuille Lignes de devis)",IF(COUNTIFS(dl_doc,A15,dl_check,"&lt;&gt;OK")&gt;0,"Ligne(s) à corriger",IF(AND(L15&lt;&gt;"",OR(G15="Refusé",G15="Annulé")),"Devis refusé ou annulé mais facturé","OK"))))))))))</f>
        <v/>
      </c>
      <c r="O15" s="62">
        <f>IF(ISNUMBER(B15),B15,0)</f>
        <v>0.0</v>
      </c>
      <c r="P15" s="62" t="str">
        <f>IF(O15=0,"",YEAR(O15))</f>
        <v/>
      </c>
      <c r="Q15" s="62" t="str">
        <f>IF(P15="","",COUNTIF($P$6:P15,P15))</f>
        <v/>
      </c>
      <c r="R15" s="62">
        <f>IF(A15="",0,COUNTIF(dl_doc,A15))</f>
        <v>0.0</v>
      </c>
    </row>
    <row r="16">
      <c r="A16" s="59" t="str">
        <f>IF(Q16="","",p_pdv&amp;"-"&amp;P16&amp;"-"&amp;RIGHT("000"&amp;Q16,4))</f>
        <v/>
      </c>
      <c r="B16" s="61" t="n"/>
      <c r="C16" s="60" t="n"/>
      <c r="D16" s="62" t="str">
        <f>IF(C16="","",IFERROR(INDEX(cli_name,MATCH(C16,cli_code,0))&amp;"","Client inconnu"))</f>
        <v/>
      </c>
      <c r="E16" s="63" t="n"/>
      <c r="F16" s="61" t="n"/>
      <c r="G16" s="60" t="n"/>
      <c r="H16" s="64" t="str">
        <f>IF(A16="","",IF(ISNUMBER(F16),F16,O16+N(p_validity)))</f>
        <v/>
      </c>
      <c r="I16" s="65" t="str">
        <f>IF(A16="","",SUMIF(dl_doc,A16,dl_ht))</f>
        <v/>
      </c>
      <c r="J16" s="65" t="str">
        <f>IF(A16="","",IF(INDEX(p_rates,1)="",0,ROUND(SUMIFS(dl_ht,dl_doc,A16,dl_rate,INDEX(p_rates,1))*INDEX(p_rates,1),2))+IF(INDEX(p_rates,2)="",0,ROUND(SUMIFS(dl_ht,dl_doc,A16,dl_rate,INDEX(p_rates,2))*INDEX(p_rates,2),2))+IF(INDEX(p_rates,3)="",0,ROUND(SUMIFS(dl_ht,dl_doc,A16,dl_rate,INDEX(p_rates,3))*INDEX(p_rates,3),2))+IF(INDEX(p_rates,4)="",0,ROUND(SUMIFS(dl_ht,dl_doc,A16,dl_rate,INDEX(p_rates,4))*INDEX(p_rates,4),2))+IF(INDEX(p_rates,5)="",0,ROUND(SUMIFS(dl_ht,dl_doc,A16,dl_rate,INDEX(p_rates,5))*INDEX(p_rates,5),2))+IF(INDEX(p_rates,6)="",0,ROUND(SUMIFS(dl_ht,dl_doc,A16,dl_rate,INDEX(p_rates,6))*INDEX(p_rates,6),2)))</f>
        <v/>
      </c>
      <c r="K16" s="65" t="str">
        <f>IF(A16="","",I16+J16)</f>
        <v/>
      </c>
      <c r="L16" s="59" t="str">
        <f>IF(A16="","",IFERROR(INDEX(fa_num,MATCH(A16,fa_dvkey,0))&amp;"",""))</f>
        <v/>
      </c>
      <c r="M16" s="59" t="str">
        <f>IF(A16="","",IF(G16="Annulé","Annulé",IF(L16&lt;&gt;"","Facturé",IF(G16="Accepté","Accepté",IF(G16="Refusé","Refusé",IF(p_asof&gt;H16,"Expiré","En attente"))))))</f>
        <v/>
      </c>
      <c r="N16" s="59" t="str">
        <f>IF(COUNTA(B16:C16,E16:G16)=0,"",IF(B16="","Date manquante",IF(NOT(ISNUMBER(B16)),"Date invalide",IF(C16="","Client manquant",IF(ISNA(MATCH(C16,cli_code,0)),"Client inconnu",IF(O16&lt;MAX($O$6:O15),"Date antérieure au devis précédent",IF(AND(ISNUMBER(F16),F16&lt;O16),"Validité antérieure à la date du devis",IF(AND(R16=0,G16&lt;&gt;"Annulé"),"Aucune ligne (feuille Lignes de devis)",IF(COUNTIFS(dl_doc,A16,dl_check,"&lt;&gt;OK")&gt;0,"Ligne(s) à corriger",IF(AND(L16&lt;&gt;"",OR(G16="Refusé",G16="Annulé")),"Devis refusé ou annulé mais facturé","OK"))))))))))</f>
        <v/>
      </c>
      <c r="O16" s="62">
        <f>IF(ISNUMBER(B16),B16,0)</f>
        <v>0.0</v>
      </c>
      <c r="P16" s="62" t="str">
        <f>IF(O16=0,"",YEAR(O16))</f>
        <v/>
      </c>
      <c r="Q16" s="62" t="str">
        <f>IF(P16="","",COUNTIF($P$6:P16,P16))</f>
        <v/>
      </c>
      <c r="R16" s="62">
        <f>IF(A16="",0,COUNTIF(dl_doc,A16))</f>
        <v>0.0</v>
      </c>
    </row>
    <row r="17">
      <c r="A17" s="59" t="str">
        <f>IF(Q17="","",p_pdv&amp;"-"&amp;P17&amp;"-"&amp;RIGHT("000"&amp;Q17,4))</f>
        <v/>
      </c>
      <c r="B17" s="61" t="n"/>
      <c r="C17" s="60" t="n"/>
      <c r="D17" s="62" t="str">
        <f>IF(C17="","",IFERROR(INDEX(cli_name,MATCH(C17,cli_code,0))&amp;"","Client inconnu"))</f>
        <v/>
      </c>
      <c r="E17" s="63" t="n"/>
      <c r="F17" s="61" t="n"/>
      <c r="G17" s="60" t="n"/>
      <c r="H17" s="64" t="str">
        <f>IF(A17="","",IF(ISNUMBER(F17),F17,O17+N(p_validity)))</f>
        <v/>
      </c>
      <c r="I17" s="65" t="str">
        <f>IF(A17="","",SUMIF(dl_doc,A17,dl_ht))</f>
        <v/>
      </c>
      <c r="J17" s="65" t="str">
        <f>IF(A17="","",IF(INDEX(p_rates,1)="",0,ROUND(SUMIFS(dl_ht,dl_doc,A17,dl_rate,INDEX(p_rates,1))*INDEX(p_rates,1),2))+IF(INDEX(p_rates,2)="",0,ROUND(SUMIFS(dl_ht,dl_doc,A17,dl_rate,INDEX(p_rates,2))*INDEX(p_rates,2),2))+IF(INDEX(p_rates,3)="",0,ROUND(SUMIFS(dl_ht,dl_doc,A17,dl_rate,INDEX(p_rates,3))*INDEX(p_rates,3),2))+IF(INDEX(p_rates,4)="",0,ROUND(SUMIFS(dl_ht,dl_doc,A17,dl_rate,INDEX(p_rates,4))*INDEX(p_rates,4),2))+IF(INDEX(p_rates,5)="",0,ROUND(SUMIFS(dl_ht,dl_doc,A17,dl_rate,INDEX(p_rates,5))*INDEX(p_rates,5),2))+IF(INDEX(p_rates,6)="",0,ROUND(SUMIFS(dl_ht,dl_doc,A17,dl_rate,INDEX(p_rates,6))*INDEX(p_rates,6),2)))</f>
        <v/>
      </c>
      <c r="K17" s="65" t="str">
        <f>IF(A17="","",I17+J17)</f>
        <v/>
      </c>
      <c r="L17" s="59" t="str">
        <f>IF(A17="","",IFERROR(INDEX(fa_num,MATCH(A17,fa_dvkey,0))&amp;"",""))</f>
        <v/>
      </c>
      <c r="M17" s="59" t="str">
        <f>IF(A17="","",IF(G17="Annulé","Annulé",IF(L17&lt;&gt;"","Facturé",IF(G17="Accepté","Accepté",IF(G17="Refusé","Refusé",IF(p_asof&gt;H17,"Expiré","En attente"))))))</f>
        <v/>
      </c>
      <c r="N17" s="59" t="str">
        <f>IF(COUNTA(B17:C17,E17:G17)=0,"",IF(B17="","Date manquante",IF(NOT(ISNUMBER(B17)),"Date invalide",IF(C17="","Client manquant",IF(ISNA(MATCH(C17,cli_code,0)),"Client inconnu",IF(O17&lt;MAX($O$6:O16),"Date antérieure au devis précédent",IF(AND(ISNUMBER(F17),F17&lt;O17),"Validité antérieure à la date du devis",IF(AND(R17=0,G17&lt;&gt;"Annulé"),"Aucune ligne (feuille Lignes de devis)",IF(COUNTIFS(dl_doc,A17,dl_check,"&lt;&gt;OK")&gt;0,"Ligne(s) à corriger",IF(AND(L17&lt;&gt;"",OR(G17="Refusé",G17="Annulé")),"Devis refusé ou annulé mais facturé","OK"))))))))))</f>
        <v/>
      </c>
      <c r="O17" s="62">
        <f>IF(ISNUMBER(B17),B17,0)</f>
        <v>0.0</v>
      </c>
      <c r="P17" s="62" t="str">
        <f>IF(O17=0,"",YEAR(O17))</f>
        <v/>
      </c>
      <c r="Q17" s="62" t="str">
        <f>IF(P17="","",COUNTIF($P$6:P17,P17))</f>
        <v/>
      </c>
      <c r="R17" s="62">
        <f>IF(A17="",0,COUNTIF(dl_doc,A17))</f>
        <v>0.0</v>
      </c>
    </row>
    <row r="18">
      <c r="A18" s="59" t="str">
        <f>IF(Q18="","",p_pdv&amp;"-"&amp;P18&amp;"-"&amp;RIGHT("000"&amp;Q18,4))</f>
        <v/>
      </c>
      <c r="B18" s="61" t="n"/>
      <c r="C18" s="60" t="n"/>
      <c r="D18" s="62" t="str">
        <f>IF(C18="","",IFERROR(INDEX(cli_name,MATCH(C18,cli_code,0))&amp;"","Client inconnu"))</f>
        <v/>
      </c>
      <c r="E18" s="63" t="n"/>
      <c r="F18" s="61" t="n"/>
      <c r="G18" s="60" t="n"/>
      <c r="H18" s="64" t="str">
        <f>IF(A18="","",IF(ISNUMBER(F18),F18,O18+N(p_validity)))</f>
        <v/>
      </c>
      <c r="I18" s="65" t="str">
        <f>IF(A18="","",SUMIF(dl_doc,A18,dl_ht))</f>
        <v/>
      </c>
      <c r="J18" s="65" t="str">
        <f>IF(A18="","",IF(INDEX(p_rates,1)="",0,ROUND(SUMIFS(dl_ht,dl_doc,A18,dl_rate,INDEX(p_rates,1))*INDEX(p_rates,1),2))+IF(INDEX(p_rates,2)="",0,ROUND(SUMIFS(dl_ht,dl_doc,A18,dl_rate,INDEX(p_rates,2))*INDEX(p_rates,2),2))+IF(INDEX(p_rates,3)="",0,ROUND(SUMIFS(dl_ht,dl_doc,A18,dl_rate,INDEX(p_rates,3))*INDEX(p_rates,3),2))+IF(INDEX(p_rates,4)="",0,ROUND(SUMIFS(dl_ht,dl_doc,A18,dl_rate,INDEX(p_rates,4))*INDEX(p_rates,4),2))+IF(INDEX(p_rates,5)="",0,ROUND(SUMIFS(dl_ht,dl_doc,A18,dl_rate,INDEX(p_rates,5))*INDEX(p_rates,5),2))+IF(INDEX(p_rates,6)="",0,ROUND(SUMIFS(dl_ht,dl_doc,A18,dl_rate,INDEX(p_rates,6))*INDEX(p_rates,6),2)))</f>
        <v/>
      </c>
      <c r="K18" s="65" t="str">
        <f>IF(A18="","",I18+J18)</f>
        <v/>
      </c>
      <c r="L18" s="59" t="str">
        <f>IF(A18="","",IFERROR(INDEX(fa_num,MATCH(A18,fa_dvkey,0))&amp;"",""))</f>
        <v/>
      </c>
      <c r="M18" s="59" t="str">
        <f>IF(A18="","",IF(G18="Annulé","Annulé",IF(L18&lt;&gt;"","Facturé",IF(G18="Accepté","Accepté",IF(G18="Refusé","Refusé",IF(p_asof&gt;H18,"Expiré","En attente"))))))</f>
        <v/>
      </c>
      <c r="N18" s="59" t="str">
        <f>IF(COUNTA(B18:C18,E18:G18)=0,"",IF(B18="","Date manquante",IF(NOT(ISNUMBER(B18)),"Date invalide",IF(C18="","Client manquant",IF(ISNA(MATCH(C18,cli_code,0)),"Client inconnu",IF(O18&lt;MAX($O$6:O17),"Date antérieure au devis précédent",IF(AND(ISNUMBER(F18),F18&lt;O18),"Validité antérieure à la date du devis",IF(AND(R18=0,G18&lt;&gt;"Annulé"),"Aucune ligne (feuille Lignes de devis)",IF(COUNTIFS(dl_doc,A18,dl_check,"&lt;&gt;OK")&gt;0,"Ligne(s) à corriger",IF(AND(L18&lt;&gt;"",OR(G18="Refusé",G18="Annulé")),"Devis refusé ou annulé mais facturé","OK"))))))))))</f>
        <v/>
      </c>
      <c r="O18" s="62">
        <f>IF(ISNUMBER(B18),B18,0)</f>
        <v>0.0</v>
      </c>
      <c r="P18" s="62" t="str">
        <f>IF(O18=0,"",YEAR(O18))</f>
        <v/>
      </c>
      <c r="Q18" s="62" t="str">
        <f>IF(P18="","",COUNTIF($P$6:P18,P18))</f>
        <v/>
      </c>
      <c r="R18" s="62">
        <f>IF(A18="",0,COUNTIF(dl_doc,A18))</f>
        <v>0.0</v>
      </c>
    </row>
    <row r="19">
      <c r="A19" s="59" t="str">
        <f>IF(Q19="","",p_pdv&amp;"-"&amp;P19&amp;"-"&amp;RIGHT("000"&amp;Q19,4))</f>
        <v/>
      </c>
      <c r="B19" s="61" t="n"/>
      <c r="C19" s="60" t="n"/>
      <c r="D19" s="62" t="str">
        <f>IF(C19="","",IFERROR(INDEX(cli_name,MATCH(C19,cli_code,0))&amp;"","Client inconnu"))</f>
        <v/>
      </c>
      <c r="E19" s="63" t="n"/>
      <c r="F19" s="61" t="n"/>
      <c r="G19" s="60" t="n"/>
      <c r="H19" s="64" t="str">
        <f>IF(A19="","",IF(ISNUMBER(F19),F19,O19+N(p_validity)))</f>
        <v/>
      </c>
      <c r="I19" s="65" t="str">
        <f>IF(A19="","",SUMIF(dl_doc,A19,dl_ht))</f>
        <v/>
      </c>
      <c r="J19" s="65" t="str">
        <f>IF(A19="","",IF(INDEX(p_rates,1)="",0,ROUND(SUMIFS(dl_ht,dl_doc,A19,dl_rate,INDEX(p_rates,1))*INDEX(p_rates,1),2))+IF(INDEX(p_rates,2)="",0,ROUND(SUMIFS(dl_ht,dl_doc,A19,dl_rate,INDEX(p_rates,2))*INDEX(p_rates,2),2))+IF(INDEX(p_rates,3)="",0,ROUND(SUMIFS(dl_ht,dl_doc,A19,dl_rate,INDEX(p_rates,3))*INDEX(p_rates,3),2))+IF(INDEX(p_rates,4)="",0,ROUND(SUMIFS(dl_ht,dl_doc,A19,dl_rate,INDEX(p_rates,4))*INDEX(p_rates,4),2))+IF(INDEX(p_rates,5)="",0,ROUND(SUMIFS(dl_ht,dl_doc,A19,dl_rate,INDEX(p_rates,5))*INDEX(p_rates,5),2))+IF(INDEX(p_rates,6)="",0,ROUND(SUMIFS(dl_ht,dl_doc,A19,dl_rate,INDEX(p_rates,6))*INDEX(p_rates,6),2)))</f>
        <v/>
      </c>
      <c r="K19" s="65" t="str">
        <f>IF(A19="","",I19+J19)</f>
        <v/>
      </c>
      <c r="L19" s="59" t="str">
        <f>IF(A19="","",IFERROR(INDEX(fa_num,MATCH(A19,fa_dvkey,0))&amp;"",""))</f>
        <v/>
      </c>
      <c r="M19" s="59" t="str">
        <f>IF(A19="","",IF(G19="Annulé","Annulé",IF(L19&lt;&gt;"","Facturé",IF(G19="Accepté","Accepté",IF(G19="Refusé","Refusé",IF(p_asof&gt;H19,"Expiré","En attente"))))))</f>
        <v/>
      </c>
      <c r="N19" s="59" t="str">
        <f>IF(COUNTA(B19:C19,E19:G19)=0,"",IF(B19="","Date manquante",IF(NOT(ISNUMBER(B19)),"Date invalide",IF(C19="","Client manquant",IF(ISNA(MATCH(C19,cli_code,0)),"Client inconnu",IF(O19&lt;MAX($O$6:O18),"Date antérieure au devis précédent",IF(AND(ISNUMBER(F19),F19&lt;O19),"Validité antérieure à la date du devis",IF(AND(R19=0,G19&lt;&gt;"Annulé"),"Aucune ligne (feuille Lignes de devis)",IF(COUNTIFS(dl_doc,A19,dl_check,"&lt;&gt;OK")&gt;0,"Ligne(s) à corriger",IF(AND(L19&lt;&gt;"",OR(G19="Refusé",G19="Annulé")),"Devis refusé ou annulé mais facturé","OK"))))))))))</f>
        <v/>
      </c>
      <c r="O19" s="62">
        <f>IF(ISNUMBER(B19),B19,0)</f>
        <v>0.0</v>
      </c>
      <c r="P19" s="62" t="str">
        <f>IF(O19=0,"",YEAR(O19))</f>
        <v/>
      </c>
      <c r="Q19" s="62" t="str">
        <f>IF(P19="","",COUNTIF($P$6:P19,P19))</f>
        <v/>
      </c>
      <c r="R19" s="62">
        <f>IF(A19="",0,COUNTIF(dl_doc,A19))</f>
        <v>0.0</v>
      </c>
    </row>
    <row r="20">
      <c r="A20" s="59" t="str">
        <f>IF(Q20="","",p_pdv&amp;"-"&amp;P20&amp;"-"&amp;RIGHT("000"&amp;Q20,4))</f>
        <v/>
      </c>
      <c r="B20" s="61" t="n"/>
      <c r="C20" s="60" t="n"/>
      <c r="D20" s="62" t="str">
        <f>IF(C20="","",IFERROR(INDEX(cli_name,MATCH(C20,cli_code,0))&amp;"","Client inconnu"))</f>
        <v/>
      </c>
      <c r="E20" s="63" t="n"/>
      <c r="F20" s="61" t="n"/>
      <c r="G20" s="60" t="n"/>
      <c r="H20" s="64" t="str">
        <f>IF(A20="","",IF(ISNUMBER(F20),F20,O20+N(p_validity)))</f>
        <v/>
      </c>
      <c r="I20" s="65" t="str">
        <f>IF(A20="","",SUMIF(dl_doc,A20,dl_ht))</f>
        <v/>
      </c>
      <c r="J20" s="65" t="str">
        <f>IF(A20="","",IF(INDEX(p_rates,1)="",0,ROUND(SUMIFS(dl_ht,dl_doc,A20,dl_rate,INDEX(p_rates,1))*INDEX(p_rates,1),2))+IF(INDEX(p_rates,2)="",0,ROUND(SUMIFS(dl_ht,dl_doc,A20,dl_rate,INDEX(p_rates,2))*INDEX(p_rates,2),2))+IF(INDEX(p_rates,3)="",0,ROUND(SUMIFS(dl_ht,dl_doc,A20,dl_rate,INDEX(p_rates,3))*INDEX(p_rates,3),2))+IF(INDEX(p_rates,4)="",0,ROUND(SUMIFS(dl_ht,dl_doc,A20,dl_rate,INDEX(p_rates,4))*INDEX(p_rates,4),2))+IF(INDEX(p_rates,5)="",0,ROUND(SUMIFS(dl_ht,dl_doc,A20,dl_rate,INDEX(p_rates,5))*INDEX(p_rates,5),2))+IF(INDEX(p_rates,6)="",0,ROUND(SUMIFS(dl_ht,dl_doc,A20,dl_rate,INDEX(p_rates,6))*INDEX(p_rates,6),2)))</f>
        <v/>
      </c>
      <c r="K20" s="65" t="str">
        <f>IF(A20="","",I20+J20)</f>
        <v/>
      </c>
      <c r="L20" s="59" t="str">
        <f>IF(A20="","",IFERROR(INDEX(fa_num,MATCH(A20,fa_dvkey,0))&amp;"",""))</f>
        <v/>
      </c>
      <c r="M20" s="59" t="str">
        <f>IF(A20="","",IF(G20="Annulé","Annulé",IF(L20&lt;&gt;"","Facturé",IF(G20="Accepté","Accepté",IF(G20="Refusé","Refusé",IF(p_asof&gt;H20,"Expiré","En attente"))))))</f>
        <v/>
      </c>
      <c r="N20" s="59" t="str">
        <f>IF(COUNTA(B20:C20,E20:G20)=0,"",IF(B20="","Date manquante",IF(NOT(ISNUMBER(B20)),"Date invalide",IF(C20="","Client manquant",IF(ISNA(MATCH(C20,cli_code,0)),"Client inconnu",IF(O20&lt;MAX($O$6:O19),"Date antérieure au devis précédent",IF(AND(ISNUMBER(F20),F20&lt;O20),"Validité antérieure à la date du devis",IF(AND(R20=0,G20&lt;&gt;"Annulé"),"Aucune ligne (feuille Lignes de devis)",IF(COUNTIFS(dl_doc,A20,dl_check,"&lt;&gt;OK")&gt;0,"Ligne(s) à corriger",IF(AND(L20&lt;&gt;"",OR(G20="Refusé",G20="Annulé")),"Devis refusé ou annulé mais facturé","OK"))))))))))</f>
        <v/>
      </c>
      <c r="O20" s="62">
        <f>IF(ISNUMBER(B20),B20,0)</f>
        <v>0.0</v>
      </c>
      <c r="P20" s="62" t="str">
        <f>IF(O20=0,"",YEAR(O20))</f>
        <v/>
      </c>
      <c r="Q20" s="62" t="str">
        <f>IF(P20="","",COUNTIF($P$6:P20,P20))</f>
        <v/>
      </c>
      <c r="R20" s="62">
        <f>IF(A20="",0,COUNTIF(dl_doc,A20))</f>
        <v>0.0</v>
      </c>
    </row>
    <row r="21">
      <c r="A21" s="59" t="str">
        <f>IF(Q21="","",p_pdv&amp;"-"&amp;P21&amp;"-"&amp;RIGHT("000"&amp;Q21,4))</f>
        <v/>
      </c>
      <c r="B21" s="61" t="n"/>
      <c r="C21" s="60" t="n"/>
      <c r="D21" s="62" t="str">
        <f>IF(C21="","",IFERROR(INDEX(cli_name,MATCH(C21,cli_code,0))&amp;"","Client inconnu"))</f>
        <v/>
      </c>
      <c r="E21" s="63" t="n"/>
      <c r="F21" s="61" t="n"/>
      <c r="G21" s="60" t="n"/>
      <c r="H21" s="64" t="str">
        <f>IF(A21="","",IF(ISNUMBER(F21),F21,O21+N(p_validity)))</f>
        <v/>
      </c>
      <c r="I21" s="65" t="str">
        <f>IF(A21="","",SUMIF(dl_doc,A21,dl_ht))</f>
        <v/>
      </c>
      <c r="J21" s="65" t="str">
        <f>IF(A21="","",IF(INDEX(p_rates,1)="",0,ROUND(SUMIFS(dl_ht,dl_doc,A21,dl_rate,INDEX(p_rates,1))*INDEX(p_rates,1),2))+IF(INDEX(p_rates,2)="",0,ROUND(SUMIFS(dl_ht,dl_doc,A21,dl_rate,INDEX(p_rates,2))*INDEX(p_rates,2),2))+IF(INDEX(p_rates,3)="",0,ROUND(SUMIFS(dl_ht,dl_doc,A21,dl_rate,INDEX(p_rates,3))*INDEX(p_rates,3),2))+IF(INDEX(p_rates,4)="",0,ROUND(SUMIFS(dl_ht,dl_doc,A21,dl_rate,INDEX(p_rates,4))*INDEX(p_rates,4),2))+IF(INDEX(p_rates,5)="",0,ROUND(SUMIFS(dl_ht,dl_doc,A21,dl_rate,INDEX(p_rates,5))*INDEX(p_rates,5),2))+IF(INDEX(p_rates,6)="",0,ROUND(SUMIFS(dl_ht,dl_doc,A21,dl_rate,INDEX(p_rates,6))*INDEX(p_rates,6),2)))</f>
        <v/>
      </c>
      <c r="K21" s="65" t="str">
        <f>IF(A21="","",I21+J21)</f>
        <v/>
      </c>
      <c r="L21" s="59" t="str">
        <f>IF(A21="","",IFERROR(INDEX(fa_num,MATCH(A21,fa_dvkey,0))&amp;"",""))</f>
        <v/>
      </c>
      <c r="M21" s="59" t="str">
        <f>IF(A21="","",IF(G21="Annulé","Annulé",IF(L21&lt;&gt;"","Facturé",IF(G21="Accepté","Accepté",IF(G21="Refusé","Refusé",IF(p_asof&gt;H21,"Expiré","En attente"))))))</f>
        <v/>
      </c>
      <c r="N21" s="59" t="str">
        <f>IF(COUNTA(B21:C21,E21:G21)=0,"",IF(B21="","Date manquante",IF(NOT(ISNUMBER(B21)),"Date invalide",IF(C21="","Client manquant",IF(ISNA(MATCH(C21,cli_code,0)),"Client inconnu",IF(O21&lt;MAX($O$6:O20),"Date antérieure au devis précédent",IF(AND(ISNUMBER(F21),F21&lt;O21),"Validité antérieure à la date du devis",IF(AND(R21=0,G21&lt;&gt;"Annulé"),"Aucune ligne (feuille Lignes de devis)",IF(COUNTIFS(dl_doc,A21,dl_check,"&lt;&gt;OK")&gt;0,"Ligne(s) à corriger",IF(AND(L21&lt;&gt;"",OR(G21="Refusé",G21="Annulé")),"Devis refusé ou annulé mais facturé","OK"))))))))))</f>
        <v/>
      </c>
      <c r="O21" s="62">
        <f>IF(ISNUMBER(B21),B21,0)</f>
        <v>0.0</v>
      </c>
      <c r="P21" s="62" t="str">
        <f>IF(O21=0,"",YEAR(O21))</f>
        <v/>
      </c>
      <c r="Q21" s="62" t="str">
        <f>IF(P21="","",COUNTIF($P$6:P21,P21))</f>
        <v/>
      </c>
      <c r="R21" s="62">
        <f>IF(A21="",0,COUNTIF(dl_doc,A21))</f>
        <v>0.0</v>
      </c>
    </row>
    <row r="22">
      <c r="A22" s="59" t="str">
        <f>IF(Q22="","",p_pdv&amp;"-"&amp;P22&amp;"-"&amp;RIGHT("000"&amp;Q22,4))</f>
        <v/>
      </c>
      <c r="B22" s="61" t="n"/>
      <c r="C22" s="60" t="n"/>
      <c r="D22" s="62" t="str">
        <f>IF(C22="","",IFERROR(INDEX(cli_name,MATCH(C22,cli_code,0))&amp;"","Client inconnu"))</f>
        <v/>
      </c>
      <c r="E22" s="63" t="n"/>
      <c r="F22" s="61" t="n"/>
      <c r="G22" s="60" t="n"/>
      <c r="H22" s="64" t="str">
        <f>IF(A22="","",IF(ISNUMBER(F22),F22,O22+N(p_validity)))</f>
        <v/>
      </c>
      <c r="I22" s="65" t="str">
        <f>IF(A22="","",SUMIF(dl_doc,A22,dl_ht))</f>
        <v/>
      </c>
      <c r="J22" s="65" t="str">
        <f>IF(A22="","",IF(INDEX(p_rates,1)="",0,ROUND(SUMIFS(dl_ht,dl_doc,A22,dl_rate,INDEX(p_rates,1))*INDEX(p_rates,1),2))+IF(INDEX(p_rates,2)="",0,ROUND(SUMIFS(dl_ht,dl_doc,A22,dl_rate,INDEX(p_rates,2))*INDEX(p_rates,2),2))+IF(INDEX(p_rates,3)="",0,ROUND(SUMIFS(dl_ht,dl_doc,A22,dl_rate,INDEX(p_rates,3))*INDEX(p_rates,3),2))+IF(INDEX(p_rates,4)="",0,ROUND(SUMIFS(dl_ht,dl_doc,A22,dl_rate,INDEX(p_rates,4))*INDEX(p_rates,4),2))+IF(INDEX(p_rates,5)="",0,ROUND(SUMIFS(dl_ht,dl_doc,A22,dl_rate,INDEX(p_rates,5))*INDEX(p_rates,5),2))+IF(INDEX(p_rates,6)="",0,ROUND(SUMIFS(dl_ht,dl_doc,A22,dl_rate,INDEX(p_rates,6))*INDEX(p_rates,6),2)))</f>
        <v/>
      </c>
      <c r="K22" s="65" t="str">
        <f>IF(A22="","",I22+J22)</f>
        <v/>
      </c>
      <c r="L22" s="59" t="str">
        <f>IF(A22="","",IFERROR(INDEX(fa_num,MATCH(A22,fa_dvkey,0))&amp;"",""))</f>
        <v/>
      </c>
      <c r="M22" s="59" t="str">
        <f>IF(A22="","",IF(G22="Annulé","Annulé",IF(L22&lt;&gt;"","Facturé",IF(G22="Accepté","Accepté",IF(G22="Refusé","Refusé",IF(p_asof&gt;H22,"Expiré","En attente"))))))</f>
        <v/>
      </c>
      <c r="N22" s="59" t="str">
        <f>IF(COUNTA(B22:C22,E22:G22)=0,"",IF(B22="","Date manquante",IF(NOT(ISNUMBER(B22)),"Date invalide",IF(C22="","Client manquant",IF(ISNA(MATCH(C22,cli_code,0)),"Client inconnu",IF(O22&lt;MAX($O$6:O21),"Date antérieure au devis précédent",IF(AND(ISNUMBER(F22),F22&lt;O22),"Validité antérieure à la date du devis",IF(AND(R22=0,G22&lt;&gt;"Annulé"),"Aucune ligne (feuille Lignes de devis)",IF(COUNTIFS(dl_doc,A22,dl_check,"&lt;&gt;OK")&gt;0,"Ligne(s) à corriger",IF(AND(L22&lt;&gt;"",OR(G22="Refusé",G22="Annulé")),"Devis refusé ou annulé mais facturé","OK"))))))))))</f>
        <v/>
      </c>
      <c r="O22" s="62">
        <f>IF(ISNUMBER(B22),B22,0)</f>
        <v>0.0</v>
      </c>
      <c r="P22" s="62" t="str">
        <f>IF(O22=0,"",YEAR(O22))</f>
        <v/>
      </c>
      <c r="Q22" s="62" t="str">
        <f>IF(P22="","",COUNTIF($P$6:P22,P22))</f>
        <v/>
      </c>
      <c r="R22" s="62">
        <f>IF(A22="",0,COUNTIF(dl_doc,A22))</f>
        <v>0.0</v>
      </c>
    </row>
    <row r="23">
      <c r="A23" s="59" t="str">
        <f>IF(Q23="","",p_pdv&amp;"-"&amp;P23&amp;"-"&amp;RIGHT("000"&amp;Q23,4))</f>
        <v/>
      </c>
      <c r="B23" s="61" t="n"/>
      <c r="C23" s="60" t="n"/>
      <c r="D23" s="62" t="str">
        <f>IF(C23="","",IFERROR(INDEX(cli_name,MATCH(C23,cli_code,0))&amp;"","Client inconnu"))</f>
        <v/>
      </c>
      <c r="E23" s="63" t="n"/>
      <c r="F23" s="61" t="n"/>
      <c r="G23" s="60" t="n"/>
      <c r="H23" s="64" t="str">
        <f>IF(A23="","",IF(ISNUMBER(F23),F23,O23+N(p_validity)))</f>
        <v/>
      </c>
      <c r="I23" s="65" t="str">
        <f>IF(A23="","",SUMIF(dl_doc,A23,dl_ht))</f>
        <v/>
      </c>
      <c r="J23" s="65" t="str">
        <f>IF(A23="","",IF(INDEX(p_rates,1)="",0,ROUND(SUMIFS(dl_ht,dl_doc,A23,dl_rate,INDEX(p_rates,1))*INDEX(p_rates,1),2))+IF(INDEX(p_rates,2)="",0,ROUND(SUMIFS(dl_ht,dl_doc,A23,dl_rate,INDEX(p_rates,2))*INDEX(p_rates,2),2))+IF(INDEX(p_rates,3)="",0,ROUND(SUMIFS(dl_ht,dl_doc,A23,dl_rate,INDEX(p_rates,3))*INDEX(p_rates,3),2))+IF(INDEX(p_rates,4)="",0,ROUND(SUMIFS(dl_ht,dl_doc,A23,dl_rate,INDEX(p_rates,4))*INDEX(p_rates,4),2))+IF(INDEX(p_rates,5)="",0,ROUND(SUMIFS(dl_ht,dl_doc,A23,dl_rate,INDEX(p_rates,5))*INDEX(p_rates,5),2))+IF(INDEX(p_rates,6)="",0,ROUND(SUMIFS(dl_ht,dl_doc,A23,dl_rate,INDEX(p_rates,6))*INDEX(p_rates,6),2)))</f>
        <v/>
      </c>
      <c r="K23" s="65" t="str">
        <f>IF(A23="","",I23+J23)</f>
        <v/>
      </c>
      <c r="L23" s="59" t="str">
        <f>IF(A23="","",IFERROR(INDEX(fa_num,MATCH(A23,fa_dvkey,0))&amp;"",""))</f>
        <v/>
      </c>
      <c r="M23" s="59" t="str">
        <f>IF(A23="","",IF(G23="Annulé","Annulé",IF(L23&lt;&gt;"","Facturé",IF(G23="Accepté","Accepté",IF(G23="Refusé","Refusé",IF(p_asof&gt;H23,"Expiré","En attente"))))))</f>
        <v/>
      </c>
      <c r="N23" s="59" t="str">
        <f>IF(COUNTA(B23:C23,E23:G23)=0,"",IF(B23="","Date manquante",IF(NOT(ISNUMBER(B23)),"Date invalide",IF(C23="","Client manquant",IF(ISNA(MATCH(C23,cli_code,0)),"Client inconnu",IF(O23&lt;MAX($O$6:O22),"Date antérieure au devis précédent",IF(AND(ISNUMBER(F23),F23&lt;O23),"Validité antérieure à la date du devis",IF(AND(R23=0,G23&lt;&gt;"Annulé"),"Aucune ligne (feuille Lignes de devis)",IF(COUNTIFS(dl_doc,A23,dl_check,"&lt;&gt;OK")&gt;0,"Ligne(s) à corriger",IF(AND(L23&lt;&gt;"",OR(G23="Refusé",G23="Annulé")),"Devis refusé ou annulé mais facturé","OK"))))))))))</f>
        <v/>
      </c>
      <c r="O23" s="62">
        <f>IF(ISNUMBER(B23),B23,0)</f>
        <v>0.0</v>
      </c>
      <c r="P23" s="62" t="str">
        <f>IF(O23=0,"",YEAR(O23))</f>
        <v/>
      </c>
      <c r="Q23" s="62" t="str">
        <f>IF(P23="","",COUNTIF($P$6:P23,P23))</f>
        <v/>
      </c>
      <c r="R23" s="62">
        <f>IF(A23="",0,COUNTIF(dl_doc,A23))</f>
        <v>0.0</v>
      </c>
    </row>
    <row r="24">
      <c r="A24" s="59" t="str">
        <f>IF(Q24="","",p_pdv&amp;"-"&amp;P24&amp;"-"&amp;RIGHT("000"&amp;Q24,4))</f>
        <v/>
      </c>
      <c r="B24" s="61" t="n"/>
      <c r="C24" s="60" t="n"/>
      <c r="D24" s="62" t="str">
        <f>IF(C24="","",IFERROR(INDEX(cli_name,MATCH(C24,cli_code,0))&amp;"","Client inconnu"))</f>
        <v/>
      </c>
      <c r="E24" s="63" t="n"/>
      <c r="F24" s="61" t="n"/>
      <c r="G24" s="60" t="n"/>
      <c r="H24" s="64" t="str">
        <f>IF(A24="","",IF(ISNUMBER(F24),F24,O24+N(p_validity)))</f>
        <v/>
      </c>
      <c r="I24" s="65" t="str">
        <f>IF(A24="","",SUMIF(dl_doc,A24,dl_ht))</f>
        <v/>
      </c>
      <c r="J24" s="65" t="str">
        <f>IF(A24="","",IF(INDEX(p_rates,1)="",0,ROUND(SUMIFS(dl_ht,dl_doc,A24,dl_rate,INDEX(p_rates,1))*INDEX(p_rates,1),2))+IF(INDEX(p_rates,2)="",0,ROUND(SUMIFS(dl_ht,dl_doc,A24,dl_rate,INDEX(p_rates,2))*INDEX(p_rates,2),2))+IF(INDEX(p_rates,3)="",0,ROUND(SUMIFS(dl_ht,dl_doc,A24,dl_rate,INDEX(p_rates,3))*INDEX(p_rates,3),2))+IF(INDEX(p_rates,4)="",0,ROUND(SUMIFS(dl_ht,dl_doc,A24,dl_rate,INDEX(p_rates,4))*INDEX(p_rates,4),2))+IF(INDEX(p_rates,5)="",0,ROUND(SUMIFS(dl_ht,dl_doc,A24,dl_rate,INDEX(p_rates,5))*INDEX(p_rates,5),2))+IF(INDEX(p_rates,6)="",0,ROUND(SUMIFS(dl_ht,dl_doc,A24,dl_rate,INDEX(p_rates,6))*INDEX(p_rates,6),2)))</f>
        <v/>
      </c>
      <c r="K24" s="65" t="str">
        <f>IF(A24="","",I24+J24)</f>
        <v/>
      </c>
      <c r="L24" s="59" t="str">
        <f>IF(A24="","",IFERROR(INDEX(fa_num,MATCH(A24,fa_dvkey,0))&amp;"",""))</f>
        <v/>
      </c>
      <c r="M24" s="59" t="str">
        <f>IF(A24="","",IF(G24="Annulé","Annulé",IF(L24&lt;&gt;"","Facturé",IF(G24="Accepté","Accepté",IF(G24="Refusé","Refusé",IF(p_asof&gt;H24,"Expiré","En attente"))))))</f>
        <v/>
      </c>
      <c r="N24" s="59" t="str">
        <f>IF(COUNTA(B24:C24,E24:G24)=0,"",IF(B24="","Date manquante",IF(NOT(ISNUMBER(B24)),"Date invalide",IF(C24="","Client manquant",IF(ISNA(MATCH(C24,cli_code,0)),"Client inconnu",IF(O24&lt;MAX($O$6:O23),"Date antérieure au devis précédent",IF(AND(ISNUMBER(F24),F24&lt;O24),"Validité antérieure à la date du devis",IF(AND(R24=0,G24&lt;&gt;"Annulé"),"Aucune ligne (feuille Lignes de devis)",IF(COUNTIFS(dl_doc,A24,dl_check,"&lt;&gt;OK")&gt;0,"Ligne(s) à corriger",IF(AND(L24&lt;&gt;"",OR(G24="Refusé",G24="Annulé")),"Devis refusé ou annulé mais facturé","OK"))))))))))</f>
        <v/>
      </c>
      <c r="O24" s="62">
        <f>IF(ISNUMBER(B24),B24,0)</f>
        <v>0.0</v>
      </c>
      <c r="P24" s="62" t="str">
        <f>IF(O24=0,"",YEAR(O24))</f>
        <v/>
      </c>
      <c r="Q24" s="62" t="str">
        <f>IF(P24="","",COUNTIF($P$6:P24,P24))</f>
        <v/>
      </c>
      <c r="R24" s="62">
        <f>IF(A24="",0,COUNTIF(dl_doc,A24))</f>
        <v>0.0</v>
      </c>
    </row>
    <row r="25">
      <c r="A25" s="59" t="str">
        <f>IF(Q25="","",p_pdv&amp;"-"&amp;P25&amp;"-"&amp;RIGHT("000"&amp;Q25,4))</f>
        <v/>
      </c>
      <c r="B25" s="61" t="n"/>
      <c r="C25" s="60" t="n"/>
      <c r="D25" s="62" t="str">
        <f>IF(C25="","",IFERROR(INDEX(cli_name,MATCH(C25,cli_code,0))&amp;"","Client inconnu"))</f>
        <v/>
      </c>
      <c r="E25" s="63" t="n"/>
      <c r="F25" s="61" t="n"/>
      <c r="G25" s="60" t="n"/>
      <c r="H25" s="64" t="str">
        <f>IF(A25="","",IF(ISNUMBER(F25),F25,O25+N(p_validity)))</f>
        <v/>
      </c>
      <c r="I25" s="65" t="str">
        <f>IF(A25="","",SUMIF(dl_doc,A25,dl_ht))</f>
        <v/>
      </c>
      <c r="J25" s="65" t="str">
        <f>IF(A25="","",IF(INDEX(p_rates,1)="",0,ROUND(SUMIFS(dl_ht,dl_doc,A25,dl_rate,INDEX(p_rates,1))*INDEX(p_rates,1),2))+IF(INDEX(p_rates,2)="",0,ROUND(SUMIFS(dl_ht,dl_doc,A25,dl_rate,INDEX(p_rates,2))*INDEX(p_rates,2),2))+IF(INDEX(p_rates,3)="",0,ROUND(SUMIFS(dl_ht,dl_doc,A25,dl_rate,INDEX(p_rates,3))*INDEX(p_rates,3),2))+IF(INDEX(p_rates,4)="",0,ROUND(SUMIFS(dl_ht,dl_doc,A25,dl_rate,INDEX(p_rates,4))*INDEX(p_rates,4),2))+IF(INDEX(p_rates,5)="",0,ROUND(SUMIFS(dl_ht,dl_doc,A25,dl_rate,INDEX(p_rates,5))*INDEX(p_rates,5),2))+IF(INDEX(p_rates,6)="",0,ROUND(SUMIFS(dl_ht,dl_doc,A25,dl_rate,INDEX(p_rates,6))*INDEX(p_rates,6),2)))</f>
        <v/>
      </c>
      <c r="K25" s="65" t="str">
        <f>IF(A25="","",I25+J25)</f>
        <v/>
      </c>
      <c r="L25" s="59" t="str">
        <f>IF(A25="","",IFERROR(INDEX(fa_num,MATCH(A25,fa_dvkey,0))&amp;"",""))</f>
        <v/>
      </c>
      <c r="M25" s="59" t="str">
        <f>IF(A25="","",IF(G25="Annulé","Annulé",IF(L25&lt;&gt;"","Facturé",IF(G25="Accepté","Accepté",IF(G25="Refusé","Refusé",IF(p_asof&gt;H25,"Expiré","En attente"))))))</f>
        <v/>
      </c>
      <c r="N25" s="59" t="str">
        <f>IF(COUNTA(B25:C25,E25:G25)=0,"",IF(B25="","Date manquante",IF(NOT(ISNUMBER(B25)),"Date invalide",IF(C25="","Client manquant",IF(ISNA(MATCH(C25,cli_code,0)),"Client inconnu",IF(O25&lt;MAX($O$6:O24),"Date antérieure au devis précédent",IF(AND(ISNUMBER(F25),F25&lt;O25),"Validité antérieure à la date du devis",IF(AND(R25=0,G25&lt;&gt;"Annulé"),"Aucune ligne (feuille Lignes de devis)",IF(COUNTIFS(dl_doc,A25,dl_check,"&lt;&gt;OK")&gt;0,"Ligne(s) à corriger",IF(AND(L25&lt;&gt;"",OR(G25="Refusé",G25="Annulé")),"Devis refusé ou annulé mais facturé","OK"))))))))))</f>
        <v/>
      </c>
      <c r="O25" s="62">
        <f>IF(ISNUMBER(B25),B25,0)</f>
        <v>0.0</v>
      </c>
      <c r="P25" s="62" t="str">
        <f>IF(O25=0,"",YEAR(O25))</f>
        <v/>
      </c>
      <c r="Q25" s="62" t="str">
        <f>IF(P25="","",COUNTIF($P$6:P25,P25))</f>
        <v/>
      </c>
      <c r="R25" s="62">
        <f>IF(A25="",0,COUNTIF(dl_doc,A25))</f>
        <v>0.0</v>
      </c>
    </row>
    <row r="26">
      <c r="A26" s="59" t="str">
        <f>IF(Q26="","",p_pdv&amp;"-"&amp;P26&amp;"-"&amp;RIGHT("000"&amp;Q26,4))</f>
        <v/>
      </c>
      <c r="B26" s="61" t="n"/>
      <c r="C26" s="60" t="n"/>
      <c r="D26" s="62" t="str">
        <f>IF(C26="","",IFERROR(INDEX(cli_name,MATCH(C26,cli_code,0))&amp;"","Client inconnu"))</f>
        <v/>
      </c>
      <c r="E26" s="63" t="n"/>
      <c r="F26" s="61" t="n"/>
      <c r="G26" s="60" t="n"/>
      <c r="H26" s="64" t="str">
        <f>IF(A26="","",IF(ISNUMBER(F26),F26,O26+N(p_validity)))</f>
        <v/>
      </c>
      <c r="I26" s="65" t="str">
        <f>IF(A26="","",SUMIF(dl_doc,A26,dl_ht))</f>
        <v/>
      </c>
      <c r="J26" s="65" t="str">
        <f>IF(A26="","",IF(INDEX(p_rates,1)="",0,ROUND(SUMIFS(dl_ht,dl_doc,A26,dl_rate,INDEX(p_rates,1))*INDEX(p_rates,1),2))+IF(INDEX(p_rates,2)="",0,ROUND(SUMIFS(dl_ht,dl_doc,A26,dl_rate,INDEX(p_rates,2))*INDEX(p_rates,2),2))+IF(INDEX(p_rates,3)="",0,ROUND(SUMIFS(dl_ht,dl_doc,A26,dl_rate,INDEX(p_rates,3))*INDEX(p_rates,3),2))+IF(INDEX(p_rates,4)="",0,ROUND(SUMIFS(dl_ht,dl_doc,A26,dl_rate,INDEX(p_rates,4))*INDEX(p_rates,4),2))+IF(INDEX(p_rates,5)="",0,ROUND(SUMIFS(dl_ht,dl_doc,A26,dl_rate,INDEX(p_rates,5))*INDEX(p_rates,5),2))+IF(INDEX(p_rates,6)="",0,ROUND(SUMIFS(dl_ht,dl_doc,A26,dl_rate,INDEX(p_rates,6))*INDEX(p_rates,6),2)))</f>
        <v/>
      </c>
      <c r="K26" s="65" t="str">
        <f>IF(A26="","",I26+J26)</f>
        <v/>
      </c>
      <c r="L26" s="59" t="str">
        <f>IF(A26="","",IFERROR(INDEX(fa_num,MATCH(A26,fa_dvkey,0))&amp;"",""))</f>
        <v/>
      </c>
      <c r="M26" s="59" t="str">
        <f>IF(A26="","",IF(G26="Annulé","Annulé",IF(L26&lt;&gt;"","Facturé",IF(G26="Accepté","Accepté",IF(G26="Refusé","Refusé",IF(p_asof&gt;H26,"Expiré","En attente"))))))</f>
        <v/>
      </c>
      <c r="N26" s="59" t="str">
        <f>IF(COUNTA(B26:C26,E26:G26)=0,"",IF(B26="","Date manquante",IF(NOT(ISNUMBER(B26)),"Date invalide",IF(C26="","Client manquant",IF(ISNA(MATCH(C26,cli_code,0)),"Client inconnu",IF(O26&lt;MAX($O$6:O25),"Date antérieure au devis précédent",IF(AND(ISNUMBER(F26),F26&lt;O26),"Validité antérieure à la date du devis",IF(AND(R26=0,G26&lt;&gt;"Annulé"),"Aucune ligne (feuille Lignes de devis)",IF(COUNTIFS(dl_doc,A26,dl_check,"&lt;&gt;OK")&gt;0,"Ligne(s) à corriger",IF(AND(L26&lt;&gt;"",OR(G26="Refusé",G26="Annulé")),"Devis refusé ou annulé mais facturé","OK"))))))))))</f>
        <v/>
      </c>
      <c r="O26" s="62">
        <f>IF(ISNUMBER(B26),B26,0)</f>
        <v>0.0</v>
      </c>
      <c r="P26" s="62" t="str">
        <f>IF(O26=0,"",YEAR(O26))</f>
        <v/>
      </c>
      <c r="Q26" s="62" t="str">
        <f>IF(P26="","",COUNTIF($P$6:P26,P26))</f>
        <v/>
      </c>
      <c r="R26" s="62">
        <f>IF(A26="",0,COUNTIF(dl_doc,A26))</f>
        <v>0.0</v>
      </c>
    </row>
    <row r="27">
      <c r="A27" s="59" t="str">
        <f>IF(Q27="","",p_pdv&amp;"-"&amp;P27&amp;"-"&amp;RIGHT("000"&amp;Q27,4))</f>
        <v/>
      </c>
      <c r="B27" s="61" t="n"/>
      <c r="C27" s="60" t="n"/>
      <c r="D27" s="62" t="str">
        <f>IF(C27="","",IFERROR(INDEX(cli_name,MATCH(C27,cli_code,0))&amp;"","Client inconnu"))</f>
        <v/>
      </c>
      <c r="E27" s="63" t="n"/>
      <c r="F27" s="61" t="n"/>
      <c r="G27" s="60" t="n"/>
      <c r="H27" s="64" t="str">
        <f>IF(A27="","",IF(ISNUMBER(F27),F27,O27+N(p_validity)))</f>
        <v/>
      </c>
      <c r="I27" s="65" t="str">
        <f>IF(A27="","",SUMIF(dl_doc,A27,dl_ht))</f>
        <v/>
      </c>
      <c r="J27" s="65" t="str">
        <f>IF(A27="","",IF(INDEX(p_rates,1)="",0,ROUND(SUMIFS(dl_ht,dl_doc,A27,dl_rate,INDEX(p_rates,1))*INDEX(p_rates,1),2))+IF(INDEX(p_rates,2)="",0,ROUND(SUMIFS(dl_ht,dl_doc,A27,dl_rate,INDEX(p_rates,2))*INDEX(p_rates,2),2))+IF(INDEX(p_rates,3)="",0,ROUND(SUMIFS(dl_ht,dl_doc,A27,dl_rate,INDEX(p_rates,3))*INDEX(p_rates,3),2))+IF(INDEX(p_rates,4)="",0,ROUND(SUMIFS(dl_ht,dl_doc,A27,dl_rate,INDEX(p_rates,4))*INDEX(p_rates,4),2))+IF(INDEX(p_rates,5)="",0,ROUND(SUMIFS(dl_ht,dl_doc,A27,dl_rate,INDEX(p_rates,5))*INDEX(p_rates,5),2))+IF(INDEX(p_rates,6)="",0,ROUND(SUMIFS(dl_ht,dl_doc,A27,dl_rate,INDEX(p_rates,6))*INDEX(p_rates,6),2)))</f>
        <v/>
      </c>
      <c r="K27" s="65" t="str">
        <f>IF(A27="","",I27+J27)</f>
        <v/>
      </c>
      <c r="L27" s="59" t="str">
        <f>IF(A27="","",IFERROR(INDEX(fa_num,MATCH(A27,fa_dvkey,0))&amp;"",""))</f>
        <v/>
      </c>
      <c r="M27" s="59" t="str">
        <f>IF(A27="","",IF(G27="Annulé","Annulé",IF(L27&lt;&gt;"","Facturé",IF(G27="Accepté","Accepté",IF(G27="Refusé","Refusé",IF(p_asof&gt;H27,"Expiré","En attente"))))))</f>
        <v/>
      </c>
      <c r="N27" s="59" t="str">
        <f>IF(COUNTA(B27:C27,E27:G27)=0,"",IF(B27="","Date manquante",IF(NOT(ISNUMBER(B27)),"Date invalide",IF(C27="","Client manquant",IF(ISNA(MATCH(C27,cli_code,0)),"Client inconnu",IF(O27&lt;MAX($O$6:O26),"Date antérieure au devis précédent",IF(AND(ISNUMBER(F27),F27&lt;O27),"Validité antérieure à la date du devis",IF(AND(R27=0,G27&lt;&gt;"Annulé"),"Aucune ligne (feuille Lignes de devis)",IF(COUNTIFS(dl_doc,A27,dl_check,"&lt;&gt;OK")&gt;0,"Ligne(s) à corriger",IF(AND(L27&lt;&gt;"",OR(G27="Refusé",G27="Annulé")),"Devis refusé ou annulé mais facturé","OK"))))))))))</f>
        <v/>
      </c>
      <c r="O27" s="62">
        <f>IF(ISNUMBER(B27),B27,0)</f>
        <v>0.0</v>
      </c>
      <c r="P27" s="62" t="str">
        <f>IF(O27=0,"",YEAR(O27))</f>
        <v/>
      </c>
      <c r="Q27" s="62" t="str">
        <f>IF(P27="","",COUNTIF($P$6:P27,P27))</f>
        <v/>
      </c>
      <c r="R27" s="62">
        <f>IF(A27="",0,COUNTIF(dl_doc,A27))</f>
        <v>0.0</v>
      </c>
    </row>
    <row r="28">
      <c r="A28" s="59" t="str">
        <f>IF(Q28="","",p_pdv&amp;"-"&amp;P28&amp;"-"&amp;RIGHT("000"&amp;Q28,4))</f>
        <v/>
      </c>
      <c r="B28" s="61" t="n"/>
      <c r="C28" s="60" t="n"/>
      <c r="D28" s="62" t="str">
        <f>IF(C28="","",IFERROR(INDEX(cli_name,MATCH(C28,cli_code,0))&amp;"","Client inconnu"))</f>
        <v/>
      </c>
      <c r="E28" s="63" t="n"/>
      <c r="F28" s="61" t="n"/>
      <c r="G28" s="60" t="n"/>
      <c r="H28" s="64" t="str">
        <f>IF(A28="","",IF(ISNUMBER(F28),F28,O28+N(p_validity)))</f>
        <v/>
      </c>
      <c r="I28" s="65" t="str">
        <f>IF(A28="","",SUMIF(dl_doc,A28,dl_ht))</f>
        <v/>
      </c>
      <c r="J28" s="65" t="str">
        <f>IF(A28="","",IF(INDEX(p_rates,1)="",0,ROUND(SUMIFS(dl_ht,dl_doc,A28,dl_rate,INDEX(p_rates,1))*INDEX(p_rates,1),2))+IF(INDEX(p_rates,2)="",0,ROUND(SUMIFS(dl_ht,dl_doc,A28,dl_rate,INDEX(p_rates,2))*INDEX(p_rates,2),2))+IF(INDEX(p_rates,3)="",0,ROUND(SUMIFS(dl_ht,dl_doc,A28,dl_rate,INDEX(p_rates,3))*INDEX(p_rates,3),2))+IF(INDEX(p_rates,4)="",0,ROUND(SUMIFS(dl_ht,dl_doc,A28,dl_rate,INDEX(p_rates,4))*INDEX(p_rates,4),2))+IF(INDEX(p_rates,5)="",0,ROUND(SUMIFS(dl_ht,dl_doc,A28,dl_rate,INDEX(p_rates,5))*INDEX(p_rates,5),2))+IF(INDEX(p_rates,6)="",0,ROUND(SUMIFS(dl_ht,dl_doc,A28,dl_rate,INDEX(p_rates,6))*INDEX(p_rates,6),2)))</f>
        <v/>
      </c>
      <c r="K28" s="65" t="str">
        <f>IF(A28="","",I28+J28)</f>
        <v/>
      </c>
      <c r="L28" s="59" t="str">
        <f>IF(A28="","",IFERROR(INDEX(fa_num,MATCH(A28,fa_dvkey,0))&amp;"",""))</f>
        <v/>
      </c>
      <c r="M28" s="59" t="str">
        <f>IF(A28="","",IF(G28="Annulé","Annulé",IF(L28&lt;&gt;"","Facturé",IF(G28="Accepté","Accepté",IF(G28="Refusé","Refusé",IF(p_asof&gt;H28,"Expiré","En attente"))))))</f>
        <v/>
      </c>
      <c r="N28" s="59" t="str">
        <f>IF(COUNTA(B28:C28,E28:G28)=0,"",IF(B28="","Date manquante",IF(NOT(ISNUMBER(B28)),"Date invalide",IF(C28="","Client manquant",IF(ISNA(MATCH(C28,cli_code,0)),"Client inconnu",IF(O28&lt;MAX($O$6:O27),"Date antérieure au devis précédent",IF(AND(ISNUMBER(F28),F28&lt;O28),"Validité antérieure à la date du devis",IF(AND(R28=0,G28&lt;&gt;"Annulé"),"Aucune ligne (feuille Lignes de devis)",IF(COUNTIFS(dl_doc,A28,dl_check,"&lt;&gt;OK")&gt;0,"Ligne(s) à corriger",IF(AND(L28&lt;&gt;"",OR(G28="Refusé",G28="Annulé")),"Devis refusé ou annulé mais facturé","OK"))))))))))</f>
        <v/>
      </c>
      <c r="O28" s="62">
        <f>IF(ISNUMBER(B28),B28,0)</f>
        <v>0.0</v>
      </c>
      <c r="P28" s="62" t="str">
        <f>IF(O28=0,"",YEAR(O28))</f>
        <v/>
      </c>
      <c r="Q28" s="62" t="str">
        <f>IF(P28="","",COUNTIF($P$6:P28,P28))</f>
        <v/>
      </c>
      <c r="R28" s="62">
        <f>IF(A28="",0,COUNTIF(dl_doc,A28))</f>
        <v>0.0</v>
      </c>
    </row>
    <row r="29">
      <c r="A29" s="59" t="str">
        <f>IF(Q29="","",p_pdv&amp;"-"&amp;P29&amp;"-"&amp;RIGHT("000"&amp;Q29,4))</f>
        <v/>
      </c>
      <c r="B29" s="61" t="n"/>
      <c r="C29" s="60" t="n"/>
      <c r="D29" s="62" t="str">
        <f>IF(C29="","",IFERROR(INDEX(cli_name,MATCH(C29,cli_code,0))&amp;"","Client inconnu"))</f>
        <v/>
      </c>
      <c r="E29" s="63" t="n"/>
      <c r="F29" s="61" t="n"/>
      <c r="G29" s="60" t="n"/>
      <c r="H29" s="64" t="str">
        <f>IF(A29="","",IF(ISNUMBER(F29),F29,O29+N(p_validity)))</f>
        <v/>
      </c>
      <c r="I29" s="65" t="str">
        <f>IF(A29="","",SUMIF(dl_doc,A29,dl_ht))</f>
        <v/>
      </c>
      <c r="J29" s="65" t="str">
        <f>IF(A29="","",IF(INDEX(p_rates,1)="",0,ROUND(SUMIFS(dl_ht,dl_doc,A29,dl_rate,INDEX(p_rates,1))*INDEX(p_rates,1),2))+IF(INDEX(p_rates,2)="",0,ROUND(SUMIFS(dl_ht,dl_doc,A29,dl_rate,INDEX(p_rates,2))*INDEX(p_rates,2),2))+IF(INDEX(p_rates,3)="",0,ROUND(SUMIFS(dl_ht,dl_doc,A29,dl_rate,INDEX(p_rates,3))*INDEX(p_rates,3),2))+IF(INDEX(p_rates,4)="",0,ROUND(SUMIFS(dl_ht,dl_doc,A29,dl_rate,INDEX(p_rates,4))*INDEX(p_rates,4),2))+IF(INDEX(p_rates,5)="",0,ROUND(SUMIFS(dl_ht,dl_doc,A29,dl_rate,INDEX(p_rates,5))*INDEX(p_rates,5),2))+IF(INDEX(p_rates,6)="",0,ROUND(SUMIFS(dl_ht,dl_doc,A29,dl_rate,INDEX(p_rates,6))*INDEX(p_rates,6),2)))</f>
        <v/>
      </c>
      <c r="K29" s="65" t="str">
        <f>IF(A29="","",I29+J29)</f>
        <v/>
      </c>
      <c r="L29" s="59" t="str">
        <f>IF(A29="","",IFERROR(INDEX(fa_num,MATCH(A29,fa_dvkey,0))&amp;"",""))</f>
        <v/>
      </c>
      <c r="M29" s="59" t="str">
        <f>IF(A29="","",IF(G29="Annulé","Annulé",IF(L29&lt;&gt;"","Facturé",IF(G29="Accepté","Accepté",IF(G29="Refusé","Refusé",IF(p_asof&gt;H29,"Expiré","En attente"))))))</f>
        <v/>
      </c>
      <c r="N29" s="59" t="str">
        <f>IF(COUNTA(B29:C29,E29:G29)=0,"",IF(B29="","Date manquante",IF(NOT(ISNUMBER(B29)),"Date invalide",IF(C29="","Client manquant",IF(ISNA(MATCH(C29,cli_code,0)),"Client inconnu",IF(O29&lt;MAX($O$6:O28),"Date antérieure au devis précédent",IF(AND(ISNUMBER(F29),F29&lt;O29),"Validité antérieure à la date du devis",IF(AND(R29=0,G29&lt;&gt;"Annulé"),"Aucune ligne (feuille Lignes de devis)",IF(COUNTIFS(dl_doc,A29,dl_check,"&lt;&gt;OK")&gt;0,"Ligne(s) à corriger",IF(AND(L29&lt;&gt;"",OR(G29="Refusé",G29="Annulé")),"Devis refusé ou annulé mais facturé","OK"))))))))))</f>
        <v/>
      </c>
      <c r="O29" s="62">
        <f>IF(ISNUMBER(B29),B29,0)</f>
        <v>0.0</v>
      </c>
      <c r="P29" s="62" t="str">
        <f>IF(O29=0,"",YEAR(O29))</f>
        <v/>
      </c>
      <c r="Q29" s="62" t="str">
        <f>IF(P29="","",COUNTIF($P$6:P29,P29))</f>
        <v/>
      </c>
      <c r="R29" s="62">
        <f>IF(A29="",0,COUNTIF(dl_doc,A29))</f>
        <v>0.0</v>
      </c>
    </row>
    <row r="30">
      <c r="A30" s="59" t="str">
        <f>IF(Q30="","",p_pdv&amp;"-"&amp;P30&amp;"-"&amp;RIGHT("000"&amp;Q30,4))</f>
        <v/>
      </c>
      <c r="B30" s="61" t="n"/>
      <c r="C30" s="60" t="n"/>
      <c r="D30" s="62" t="str">
        <f>IF(C30="","",IFERROR(INDEX(cli_name,MATCH(C30,cli_code,0))&amp;"","Client inconnu"))</f>
        <v/>
      </c>
      <c r="E30" s="63" t="n"/>
      <c r="F30" s="61" t="n"/>
      <c r="G30" s="60" t="n"/>
      <c r="H30" s="64" t="str">
        <f>IF(A30="","",IF(ISNUMBER(F30),F30,O30+N(p_validity)))</f>
        <v/>
      </c>
      <c r="I30" s="65" t="str">
        <f>IF(A30="","",SUMIF(dl_doc,A30,dl_ht))</f>
        <v/>
      </c>
      <c r="J30" s="65" t="str">
        <f>IF(A30="","",IF(INDEX(p_rates,1)="",0,ROUND(SUMIFS(dl_ht,dl_doc,A30,dl_rate,INDEX(p_rates,1))*INDEX(p_rates,1),2))+IF(INDEX(p_rates,2)="",0,ROUND(SUMIFS(dl_ht,dl_doc,A30,dl_rate,INDEX(p_rates,2))*INDEX(p_rates,2),2))+IF(INDEX(p_rates,3)="",0,ROUND(SUMIFS(dl_ht,dl_doc,A30,dl_rate,INDEX(p_rates,3))*INDEX(p_rates,3),2))+IF(INDEX(p_rates,4)="",0,ROUND(SUMIFS(dl_ht,dl_doc,A30,dl_rate,INDEX(p_rates,4))*INDEX(p_rates,4),2))+IF(INDEX(p_rates,5)="",0,ROUND(SUMIFS(dl_ht,dl_doc,A30,dl_rate,INDEX(p_rates,5))*INDEX(p_rates,5),2))+IF(INDEX(p_rates,6)="",0,ROUND(SUMIFS(dl_ht,dl_doc,A30,dl_rate,INDEX(p_rates,6))*INDEX(p_rates,6),2)))</f>
        <v/>
      </c>
      <c r="K30" s="65" t="str">
        <f>IF(A30="","",I30+J30)</f>
        <v/>
      </c>
      <c r="L30" s="59" t="str">
        <f>IF(A30="","",IFERROR(INDEX(fa_num,MATCH(A30,fa_dvkey,0))&amp;"",""))</f>
        <v/>
      </c>
      <c r="M30" s="59" t="str">
        <f>IF(A30="","",IF(G30="Annulé","Annulé",IF(L30&lt;&gt;"","Facturé",IF(G30="Accepté","Accepté",IF(G30="Refusé","Refusé",IF(p_asof&gt;H30,"Expiré","En attente"))))))</f>
        <v/>
      </c>
      <c r="N30" s="59" t="str">
        <f>IF(COUNTA(B30:C30,E30:G30)=0,"",IF(B30="","Date manquante",IF(NOT(ISNUMBER(B30)),"Date invalide",IF(C30="","Client manquant",IF(ISNA(MATCH(C30,cli_code,0)),"Client inconnu",IF(O30&lt;MAX($O$6:O29),"Date antérieure au devis précédent",IF(AND(ISNUMBER(F30),F30&lt;O30),"Validité antérieure à la date du devis",IF(AND(R30=0,G30&lt;&gt;"Annulé"),"Aucune ligne (feuille Lignes de devis)",IF(COUNTIFS(dl_doc,A30,dl_check,"&lt;&gt;OK")&gt;0,"Ligne(s) à corriger",IF(AND(L30&lt;&gt;"",OR(G30="Refusé",G30="Annulé")),"Devis refusé ou annulé mais facturé","OK"))))))))))</f>
        <v/>
      </c>
      <c r="O30" s="62">
        <f>IF(ISNUMBER(B30),B30,0)</f>
        <v>0.0</v>
      </c>
      <c r="P30" s="62" t="str">
        <f>IF(O30=0,"",YEAR(O30))</f>
        <v/>
      </c>
      <c r="Q30" s="62" t="str">
        <f>IF(P30="","",COUNTIF($P$6:P30,P30))</f>
        <v/>
      </c>
      <c r="R30" s="62">
        <f>IF(A30="",0,COUNTIF(dl_doc,A30))</f>
        <v>0.0</v>
      </c>
    </row>
    <row r="31">
      <c r="A31" s="59" t="str">
        <f>IF(Q31="","",p_pdv&amp;"-"&amp;P31&amp;"-"&amp;RIGHT("000"&amp;Q31,4))</f>
        <v/>
      </c>
      <c r="B31" s="61" t="n"/>
      <c r="C31" s="60" t="n"/>
      <c r="D31" s="62" t="str">
        <f>IF(C31="","",IFERROR(INDEX(cli_name,MATCH(C31,cli_code,0))&amp;"","Client inconnu"))</f>
        <v/>
      </c>
      <c r="E31" s="63" t="n"/>
      <c r="F31" s="61" t="n"/>
      <c r="G31" s="60" t="n"/>
      <c r="H31" s="64" t="str">
        <f>IF(A31="","",IF(ISNUMBER(F31),F31,O31+N(p_validity)))</f>
        <v/>
      </c>
      <c r="I31" s="65" t="str">
        <f>IF(A31="","",SUMIF(dl_doc,A31,dl_ht))</f>
        <v/>
      </c>
      <c r="J31" s="65" t="str">
        <f>IF(A31="","",IF(INDEX(p_rates,1)="",0,ROUND(SUMIFS(dl_ht,dl_doc,A31,dl_rate,INDEX(p_rates,1))*INDEX(p_rates,1),2))+IF(INDEX(p_rates,2)="",0,ROUND(SUMIFS(dl_ht,dl_doc,A31,dl_rate,INDEX(p_rates,2))*INDEX(p_rates,2),2))+IF(INDEX(p_rates,3)="",0,ROUND(SUMIFS(dl_ht,dl_doc,A31,dl_rate,INDEX(p_rates,3))*INDEX(p_rates,3),2))+IF(INDEX(p_rates,4)="",0,ROUND(SUMIFS(dl_ht,dl_doc,A31,dl_rate,INDEX(p_rates,4))*INDEX(p_rates,4),2))+IF(INDEX(p_rates,5)="",0,ROUND(SUMIFS(dl_ht,dl_doc,A31,dl_rate,INDEX(p_rates,5))*INDEX(p_rates,5),2))+IF(INDEX(p_rates,6)="",0,ROUND(SUMIFS(dl_ht,dl_doc,A31,dl_rate,INDEX(p_rates,6))*INDEX(p_rates,6),2)))</f>
        <v/>
      </c>
      <c r="K31" s="65" t="str">
        <f>IF(A31="","",I31+J31)</f>
        <v/>
      </c>
      <c r="L31" s="59" t="str">
        <f>IF(A31="","",IFERROR(INDEX(fa_num,MATCH(A31,fa_dvkey,0))&amp;"",""))</f>
        <v/>
      </c>
      <c r="M31" s="59" t="str">
        <f>IF(A31="","",IF(G31="Annulé","Annulé",IF(L31&lt;&gt;"","Facturé",IF(G31="Accepté","Accepté",IF(G31="Refusé","Refusé",IF(p_asof&gt;H31,"Expiré","En attente"))))))</f>
        <v/>
      </c>
      <c r="N31" s="59" t="str">
        <f>IF(COUNTA(B31:C31,E31:G31)=0,"",IF(B31="","Date manquante",IF(NOT(ISNUMBER(B31)),"Date invalide",IF(C31="","Client manquant",IF(ISNA(MATCH(C31,cli_code,0)),"Client inconnu",IF(O31&lt;MAX($O$6:O30),"Date antérieure au devis précédent",IF(AND(ISNUMBER(F31),F31&lt;O31),"Validité antérieure à la date du devis",IF(AND(R31=0,G31&lt;&gt;"Annulé"),"Aucune ligne (feuille Lignes de devis)",IF(COUNTIFS(dl_doc,A31,dl_check,"&lt;&gt;OK")&gt;0,"Ligne(s) à corriger",IF(AND(L31&lt;&gt;"",OR(G31="Refusé",G31="Annulé")),"Devis refusé ou annulé mais facturé","OK"))))))))))</f>
        <v/>
      </c>
      <c r="O31" s="62">
        <f>IF(ISNUMBER(B31),B31,0)</f>
        <v>0.0</v>
      </c>
      <c r="P31" s="62" t="str">
        <f>IF(O31=0,"",YEAR(O31))</f>
        <v/>
      </c>
      <c r="Q31" s="62" t="str">
        <f>IF(P31="","",COUNTIF($P$6:P31,P31))</f>
        <v/>
      </c>
      <c r="R31" s="62">
        <f>IF(A31="",0,COUNTIF(dl_doc,A31))</f>
        <v>0.0</v>
      </c>
    </row>
    <row r="32">
      <c r="A32" s="59" t="str">
        <f>IF(Q32="","",p_pdv&amp;"-"&amp;P32&amp;"-"&amp;RIGHT("000"&amp;Q32,4))</f>
        <v/>
      </c>
      <c r="B32" s="61" t="n"/>
      <c r="C32" s="60" t="n"/>
      <c r="D32" s="62" t="str">
        <f>IF(C32="","",IFERROR(INDEX(cli_name,MATCH(C32,cli_code,0))&amp;"","Client inconnu"))</f>
        <v/>
      </c>
      <c r="E32" s="63" t="n"/>
      <c r="F32" s="61" t="n"/>
      <c r="G32" s="60" t="n"/>
      <c r="H32" s="64" t="str">
        <f>IF(A32="","",IF(ISNUMBER(F32),F32,O32+N(p_validity)))</f>
        <v/>
      </c>
      <c r="I32" s="65" t="str">
        <f>IF(A32="","",SUMIF(dl_doc,A32,dl_ht))</f>
        <v/>
      </c>
      <c r="J32" s="65" t="str">
        <f>IF(A32="","",IF(INDEX(p_rates,1)="",0,ROUND(SUMIFS(dl_ht,dl_doc,A32,dl_rate,INDEX(p_rates,1))*INDEX(p_rates,1),2))+IF(INDEX(p_rates,2)="",0,ROUND(SUMIFS(dl_ht,dl_doc,A32,dl_rate,INDEX(p_rates,2))*INDEX(p_rates,2),2))+IF(INDEX(p_rates,3)="",0,ROUND(SUMIFS(dl_ht,dl_doc,A32,dl_rate,INDEX(p_rates,3))*INDEX(p_rates,3),2))+IF(INDEX(p_rates,4)="",0,ROUND(SUMIFS(dl_ht,dl_doc,A32,dl_rate,INDEX(p_rates,4))*INDEX(p_rates,4),2))+IF(INDEX(p_rates,5)="",0,ROUND(SUMIFS(dl_ht,dl_doc,A32,dl_rate,INDEX(p_rates,5))*INDEX(p_rates,5),2))+IF(INDEX(p_rates,6)="",0,ROUND(SUMIFS(dl_ht,dl_doc,A32,dl_rate,INDEX(p_rates,6))*INDEX(p_rates,6),2)))</f>
        <v/>
      </c>
      <c r="K32" s="65" t="str">
        <f>IF(A32="","",I32+J32)</f>
        <v/>
      </c>
      <c r="L32" s="59" t="str">
        <f>IF(A32="","",IFERROR(INDEX(fa_num,MATCH(A32,fa_dvkey,0))&amp;"",""))</f>
        <v/>
      </c>
      <c r="M32" s="59" t="str">
        <f>IF(A32="","",IF(G32="Annulé","Annulé",IF(L32&lt;&gt;"","Facturé",IF(G32="Accepté","Accepté",IF(G32="Refusé","Refusé",IF(p_asof&gt;H32,"Expiré","En attente"))))))</f>
        <v/>
      </c>
      <c r="N32" s="59" t="str">
        <f>IF(COUNTA(B32:C32,E32:G32)=0,"",IF(B32="","Date manquante",IF(NOT(ISNUMBER(B32)),"Date invalide",IF(C32="","Client manquant",IF(ISNA(MATCH(C32,cli_code,0)),"Client inconnu",IF(O32&lt;MAX($O$6:O31),"Date antérieure au devis précédent",IF(AND(ISNUMBER(F32),F32&lt;O32),"Validité antérieure à la date du devis",IF(AND(R32=0,G32&lt;&gt;"Annulé"),"Aucune ligne (feuille Lignes de devis)",IF(COUNTIFS(dl_doc,A32,dl_check,"&lt;&gt;OK")&gt;0,"Ligne(s) à corriger",IF(AND(L32&lt;&gt;"",OR(G32="Refusé",G32="Annulé")),"Devis refusé ou annulé mais facturé","OK"))))))))))</f>
        <v/>
      </c>
      <c r="O32" s="62">
        <f>IF(ISNUMBER(B32),B32,0)</f>
        <v>0.0</v>
      </c>
      <c r="P32" s="62" t="str">
        <f>IF(O32=0,"",YEAR(O32))</f>
        <v/>
      </c>
      <c r="Q32" s="62" t="str">
        <f>IF(P32="","",COUNTIF($P$6:P32,P32))</f>
        <v/>
      </c>
      <c r="R32" s="62">
        <f>IF(A32="",0,COUNTIF(dl_doc,A32))</f>
        <v>0.0</v>
      </c>
    </row>
    <row r="33">
      <c r="A33" s="59" t="str">
        <f>IF(Q33="","",p_pdv&amp;"-"&amp;P33&amp;"-"&amp;RIGHT("000"&amp;Q33,4))</f>
        <v/>
      </c>
      <c r="B33" s="61" t="n"/>
      <c r="C33" s="60" t="n"/>
      <c r="D33" s="62" t="str">
        <f>IF(C33="","",IFERROR(INDEX(cli_name,MATCH(C33,cli_code,0))&amp;"","Client inconnu"))</f>
        <v/>
      </c>
      <c r="E33" s="63" t="n"/>
      <c r="F33" s="61" t="n"/>
      <c r="G33" s="60" t="n"/>
      <c r="H33" s="64" t="str">
        <f>IF(A33="","",IF(ISNUMBER(F33),F33,O33+N(p_validity)))</f>
        <v/>
      </c>
      <c r="I33" s="65" t="str">
        <f>IF(A33="","",SUMIF(dl_doc,A33,dl_ht))</f>
        <v/>
      </c>
      <c r="J33" s="65" t="str">
        <f>IF(A33="","",IF(INDEX(p_rates,1)="",0,ROUND(SUMIFS(dl_ht,dl_doc,A33,dl_rate,INDEX(p_rates,1))*INDEX(p_rates,1),2))+IF(INDEX(p_rates,2)="",0,ROUND(SUMIFS(dl_ht,dl_doc,A33,dl_rate,INDEX(p_rates,2))*INDEX(p_rates,2),2))+IF(INDEX(p_rates,3)="",0,ROUND(SUMIFS(dl_ht,dl_doc,A33,dl_rate,INDEX(p_rates,3))*INDEX(p_rates,3),2))+IF(INDEX(p_rates,4)="",0,ROUND(SUMIFS(dl_ht,dl_doc,A33,dl_rate,INDEX(p_rates,4))*INDEX(p_rates,4),2))+IF(INDEX(p_rates,5)="",0,ROUND(SUMIFS(dl_ht,dl_doc,A33,dl_rate,INDEX(p_rates,5))*INDEX(p_rates,5),2))+IF(INDEX(p_rates,6)="",0,ROUND(SUMIFS(dl_ht,dl_doc,A33,dl_rate,INDEX(p_rates,6))*INDEX(p_rates,6),2)))</f>
        <v/>
      </c>
      <c r="K33" s="65" t="str">
        <f>IF(A33="","",I33+J33)</f>
        <v/>
      </c>
      <c r="L33" s="59" t="str">
        <f>IF(A33="","",IFERROR(INDEX(fa_num,MATCH(A33,fa_dvkey,0))&amp;"",""))</f>
        <v/>
      </c>
      <c r="M33" s="59" t="str">
        <f>IF(A33="","",IF(G33="Annulé","Annulé",IF(L33&lt;&gt;"","Facturé",IF(G33="Accepté","Accepté",IF(G33="Refusé","Refusé",IF(p_asof&gt;H33,"Expiré","En attente"))))))</f>
        <v/>
      </c>
      <c r="N33" s="59" t="str">
        <f>IF(COUNTA(B33:C33,E33:G33)=0,"",IF(B33="","Date manquante",IF(NOT(ISNUMBER(B33)),"Date invalide",IF(C33="","Client manquant",IF(ISNA(MATCH(C33,cli_code,0)),"Client inconnu",IF(O33&lt;MAX($O$6:O32),"Date antérieure au devis précédent",IF(AND(ISNUMBER(F33),F33&lt;O33),"Validité antérieure à la date du devis",IF(AND(R33=0,G33&lt;&gt;"Annulé"),"Aucune ligne (feuille Lignes de devis)",IF(COUNTIFS(dl_doc,A33,dl_check,"&lt;&gt;OK")&gt;0,"Ligne(s) à corriger",IF(AND(L33&lt;&gt;"",OR(G33="Refusé",G33="Annulé")),"Devis refusé ou annulé mais facturé","OK"))))))))))</f>
        <v/>
      </c>
      <c r="O33" s="62">
        <f>IF(ISNUMBER(B33),B33,0)</f>
        <v>0.0</v>
      </c>
      <c r="P33" s="62" t="str">
        <f>IF(O33=0,"",YEAR(O33))</f>
        <v/>
      </c>
      <c r="Q33" s="62" t="str">
        <f>IF(P33="","",COUNTIF($P$6:P33,P33))</f>
        <v/>
      </c>
      <c r="R33" s="62">
        <f>IF(A33="",0,COUNTIF(dl_doc,A33))</f>
        <v>0.0</v>
      </c>
    </row>
    <row r="34">
      <c r="A34" s="59" t="str">
        <f>IF(Q34="","",p_pdv&amp;"-"&amp;P34&amp;"-"&amp;RIGHT("000"&amp;Q34,4))</f>
        <v/>
      </c>
      <c r="B34" s="61" t="n"/>
      <c r="C34" s="60" t="n"/>
      <c r="D34" s="62" t="str">
        <f>IF(C34="","",IFERROR(INDEX(cli_name,MATCH(C34,cli_code,0))&amp;"","Client inconnu"))</f>
        <v/>
      </c>
      <c r="E34" s="63" t="n"/>
      <c r="F34" s="61" t="n"/>
      <c r="G34" s="60" t="n"/>
      <c r="H34" s="64" t="str">
        <f>IF(A34="","",IF(ISNUMBER(F34),F34,O34+N(p_validity)))</f>
        <v/>
      </c>
      <c r="I34" s="65" t="str">
        <f>IF(A34="","",SUMIF(dl_doc,A34,dl_ht))</f>
        <v/>
      </c>
      <c r="J34" s="65" t="str">
        <f>IF(A34="","",IF(INDEX(p_rates,1)="",0,ROUND(SUMIFS(dl_ht,dl_doc,A34,dl_rate,INDEX(p_rates,1))*INDEX(p_rates,1),2))+IF(INDEX(p_rates,2)="",0,ROUND(SUMIFS(dl_ht,dl_doc,A34,dl_rate,INDEX(p_rates,2))*INDEX(p_rates,2),2))+IF(INDEX(p_rates,3)="",0,ROUND(SUMIFS(dl_ht,dl_doc,A34,dl_rate,INDEX(p_rates,3))*INDEX(p_rates,3),2))+IF(INDEX(p_rates,4)="",0,ROUND(SUMIFS(dl_ht,dl_doc,A34,dl_rate,INDEX(p_rates,4))*INDEX(p_rates,4),2))+IF(INDEX(p_rates,5)="",0,ROUND(SUMIFS(dl_ht,dl_doc,A34,dl_rate,INDEX(p_rates,5))*INDEX(p_rates,5),2))+IF(INDEX(p_rates,6)="",0,ROUND(SUMIFS(dl_ht,dl_doc,A34,dl_rate,INDEX(p_rates,6))*INDEX(p_rates,6),2)))</f>
        <v/>
      </c>
      <c r="K34" s="65" t="str">
        <f>IF(A34="","",I34+J34)</f>
        <v/>
      </c>
      <c r="L34" s="59" t="str">
        <f>IF(A34="","",IFERROR(INDEX(fa_num,MATCH(A34,fa_dvkey,0))&amp;"",""))</f>
        <v/>
      </c>
      <c r="M34" s="59" t="str">
        <f>IF(A34="","",IF(G34="Annulé","Annulé",IF(L34&lt;&gt;"","Facturé",IF(G34="Accepté","Accepté",IF(G34="Refusé","Refusé",IF(p_asof&gt;H34,"Expiré","En attente"))))))</f>
        <v/>
      </c>
      <c r="N34" s="59" t="str">
        <f>IF(COUNTA(B34:C34,E34:G34)=0,"",IF(B34="","Date manquante",IF(NOT(ISNUMBER(B34)),"Date invalide",IF(C34="","Client manquant",IF(ISNA(MATCH(C34,cli_code,0)),"Client inconnu",IF(O34&lt;MAX($O$6:O33),"Date antérieure au devis précédent",IF(AND(ISNUMBER(F34),F34&lt;O34),"Validité antérieure à la date du devis",IF(AND(R34=0,G34&lt;&gt;"Annulé"),"Aucune ligne (feuille Lignes de devis)",IF(COUNTIFS(dl_doc,A34,dl_check,"&lt;&gt;OK")&gt;0,"Ligne(s) à corriger",IF(AND(L34&lt;&gt;"",OR(G34="Refusé",G34="Annulé")),"Devis refusé ou annulé mais facturé","OK"))))))))))</f>
        <v/>
      </c>
      <c r="O34" s="62">
        <f>IF(ISNUMBER(B34),B34,0)</f>
        <v>0.0</v>
      </c>
      <c r="P34" s="62" t="str">
        <f>IF(O34=0,"",YEAR(O34))</f>
        <v/>
      </c>
      <c r="Q34" s="62" t="str">
        <f>IF(P34="","",COUNTIF($P$6:P34,P34))</f>
        <v/>
      </c>
      <c r="R34" s="62">
        <f>IF(A34="",0,COUNTIF(dl_doc,A34))</f>
        <v>0.0</v>
      </c>
    </row>
    <row r="35">
      <c r="A35" s="59" t="str">
        <f>IF(Q35="","",p_pdv&amp;"-"&amp;P35&amp;"-"&amp;RIGHT("000"&amp;Q35,4))</f>
        <v/>
      </c>
      <c r="B35" s="61" t="n"/>
      <c r="C35" s="60" t="n"/>
      <c r="D35" s="62" t="str">
        <f>IF(C35="","",IFERROR(INDEX(cli_name,MATCH(C35,cli_code,0))&amp;"","Client inconnu"))</f>
        <v/>
      </c>
      <c r="E35" s="63" t="n"/>
      <c r="F35" s="61" t="n"/>
      <c r="G35" s="60" t="n"/>
      <c r="H35" s="64" t="str">
        <f>IF(A35="","",IF(ISNUMBER(F35),F35,O35+N(p_validity)))</f>
        <v/>
      </c>
      <c r="I35" s="65" t="str">
        <f>IF(A35="","",SUMIF(dl_doc,A35,dl_ht))</f>
        <v/>
      </c>
      <c r="J35" s="65" t="str">
        <f>IF(A35="","",IF(INDEX(p_rates,1)="",0,ROUND(SUMIFS(dl_ht,dl_doc,A35,dl_rate,INDEX(p_rates,1))*INDEX(p_rates,1),2))+IF(INDEX(p_rates,2)="",0,ROUND(SUMIFS(dl_ht,dl_doc,A35,dl_rate,INDEX(p_rates,2))*INDEX(p_rates,2),2))+IF(INDEX(p_rates,3)="",0,ROUND(SUMIFS(dl_ht,dl_doc,A35,dl_rate,INDEX(p_rates,3))*INDEX(p_rates,3),2))+IF(INDEX(p_rates,4)="",0,ROUND(SUMIFS(dl_ht,dl_doc,A35,dl_rate,INDEX(p_rates,4))*INDEX(p_rates,4),2))+IF(INDEX(p_rates,5)="",0,ROUND(SUMIFS(dl_ht,dl_doc,A35,dl_rate,INDEX(p_rates,5))*INDEX(p_rates,5),2))+IF(INDEX(p_rates,6)="",0,ROUND(SUMIFS(dl_ht,dl_doc,A35,dl_rate,INDEX(p_rates,6))*INDEX(p_rates,6),2)))</f>
        <v/>
      </c>
      <c r="K35" s="65" t="str">
        <f>IF(A35="","",I35+J35)</f>
        <v/>
      </c>
      <c r="L35" s="59" t="str">
        <f>IF(A35="","",IFERROR(INDEX(fa_num,MATCH(A35,fa_dvkey,0))&amp;"",""))</f>
        <v/>
      </c>
      <c r="M35" s="59" t="str">
        <f>IF(A35="","",IF(G35="Annulé","Annulé",IF(L35&lt;&gt;"","Facturé",IF(G35="Accepté","Accepté",IF(G35="Refusé","Refusé",IF(p_asof&gt;H35,"Expiré","En attente"))))))</f>
        <v/>
      </c>
      <c r="N35" s="59" t="str">
        <f>IF(COUNTA(B35:C35,E35:G35)=0,"",IF(B35="","Date manquante",IF(NOT(ISNUMBER(B35)),"Date invalide",IF(C35="","Client manquant",IF(ISNA(MATCH(C35,cli_code,0)),"Client inconnu",IF(O35&lt;MAX($O$6:O34),"Date antérieure au devis précédent",IF(AND(ISNUMBER(F35),F35&lt;O35),"Validité antérieure à la date du devis",IF(AND(R35=0,G35&lt;&gt;"Annulé"),"Aucune ligne (feuille Lignes de devis)",IF(COUNTIFS(dl_doc,A35,dl_check,"&lt;&gt;OK")&gt;0,"Ligne(s) à corriger",IF(AND(L35&lt;&gt;"",OR(G35="Refusé",G35="Annulé")),"Devis refusé ou annulé mais facturé","OK"))))))))))</f>
        <v/>
      </c>
      <c r="O35" s="62">
        <f>IF(ISNUMBER(B35),B35,0)</f>
        <v>0.0</v>
      </c>
      <c r="P35" s="62" t="str">
        <f>IF(O35=0,"",YEAR(O35))</f>
        <v/>
      </c>
      <c r="Q35" s="62" t="str">
        <f>IF(P35="","",COUNTIF($P$6:P35,P35))</f>
        <v/>
      </c>
      <c r="R35" s="62">
        <f>IF(A35="",0,COUNTIF(dl_doc,A35))</f>
        <v>0.0</v>
      </c>
    </row>
    <row r="36">
      <c r="A36" s="59" t="str">
        <f>IF(Q36="","",p_pdv&amp;"-"&amp;P36&amp;"-"&amp;RIGHT("000"&amp;Q36,4))</f>
        <v/>
      </c>
      <c r="B36" s="61" t="n"/>
      <c r="C36" s="60" t="n"/>
      <c r="D36" s="62" t="str">
        <f>IF(C36="","",IFERROR(INDEX(cli_name,MATCH(C36,cli_code,0))&amp;"","Client inconnu"))</f>
        <v/>
      </c>
      <c r="E36" s="63" t="n"/>
      <c r="F36" s="61" t="n"/>
      <c r="G36" s="60" t="n"/>
      <c r="H36" s="64" t="str">
        <f>IF(A36="","",IF(ISNUMBER(F36),F36,O36+N(p_validity)))</f>
        <v/>
      </c>
      <c r="I36" s="65" t="str">
        <f>IF(A36="","",SUMIF(dl_doc,A36,dl_ht))</f>
        <v/>
      </c>
      <c r="J36" s="65" t="str">
        <f>IF(A36="","",IF(INDEX(p_rates,1)="",0,ROUND(SUMIFS(dl_ht,dl_doc,A36,dl_rate,INDEX(p_rates,1))*INDEX(p_rates,1),2))+IF(INDEX(p_rates,2)="",0,ROUND(SUMIFS(dl_ht,dl_doc,A36,dl_rate,INDEX(p_rates,2))*INDEX(p_rates,2),2))+IF(INDEX(p_rates,3)="",0,ROUND(SUMIFS(dl_ht,dl_doc,A36,dl_rate,INDEX(p_rates,3))*INDEX(p_rates,3),2))+IF(INDEX(p_rates,4)="",0,ROUND(SUMIFS(dl_ht,dl_doc,A36,dl_rate,INDEX(p_rates,4))*INDEX(p_rates,4),2))+IF(INDEX(p_rates,5)="",0,ROUND(SUMIFS(dl_ht,dl_doc,A36,dl_rate,INDEX(p_rates,5))*INDEX(p_rates,5),2))+IF(INDEX(p_rates,6)="",0,ROUND(SUMIFS(dl_ht,dl_doc,A36,dl_rate,INDEX(p_rates,6))*INDEX(p_rates,6),2)))</f>
        <v/>
      </c>
      <c r="K36" s="65" t="str">
        <f>IF(A36="","",I36+J36)</f>
        <v/>
      </c>
      <c r="L36" s="59" t="str">
        <f>IF(A36="","",IFERROR(INDEX(fa_num,MATCH(A36,fa_dvkey,0))&amp;"",""))</f>
        <v/>
      </c>
      <c r="M36" s="59" t="str">
        <f>IF(A36="","",IF(G36="Annulé","Annulé",IF(L36&lt;&gt;"","Facturé",IF(G36="Accepté","Accepté",IF(G36="Refusé","Refusé",IF(p_asof&gt;H36,"Expiré","En attente"))))))</f>
        <v/>
      </c>
      <c r="N36" s="59" t="str">
        <f>IF(COUNTA(B36:C36,E36:G36)=0,"",IF(B36="","Date manquante",IF(NOT(ISNUMBER(B36)),"Date invalide",IF(C36="","Client manquant",IF(ISNA(MATCH(C36,cli_code,0)),"Client inconnu",IF(O36&lt;MAX($O$6:O35),"Date antérieure au devis précédent",IF(AND(ISNUMBER(F36),F36&lt;O36),"Validité antérieure à la date du devis",IF(AND(R36=0,G36&lt;&gt;"Annulé"),"Aucune ligne (feuille Lignes de devis)",IF(COUNTIFS(dl_doc,A36,dl_check,"&lt;&gt;OK")&gt;0,"Ligne(s) à corriger",IF(AND(L36&lt;&gt;"",OR(G36="Refusé",G36="Annulé")),"Devis refusé ou annulé mais facturé","OK"))))))))))</f>
        <v/>
      </c>
      <c r="O36" s="62">
        <f>IF(ISNUMBER(B36),B36,0)</f>
        <v>0.0</v>
      </c>
      <c r="P36" s="62" t="str">
        <f>IF(O36=0,"",YEAR(O36))</f>
        <v/>
      </c>
      <c r="Q36" s="62" t="str">
        <f>IF(P36="","",COUNTIF($P$6:P36,P36))</f>
        <v/>
      </c>
      <c r="R36" s="62">
        <f>IF(A36="",0,COUNTIF(dl_doc,A36))</f>
        <v>0.0</v>
      </c>
    </row>
    <row r="37">
      <c r="A37" s="59" t="str">
        <f>IF(Q37="","",p_pdv&amp;"-"&amp;P37&amp;"-"&amp;RIGHT("000"&amp;Q37,4))</f>
        <v/>
      </c>
      <c r="B37" s="61" t="n"/>
      <c r="C37" s="60" t="n"/>
      <c r="D37" s="62" t="str">
        <f>IF(C37="","",IFERROR(INDEX(cli_name,MATCH(C37,cli_code,0))&amp;"","Client inconnu"))</f>
        <v/>
      </c>
      <c r="E37" s="63" t="n"/>
      <c r="F37" s="61" t="n"/>
      <c r="G37" s="60" t="n"/>
      <c r="H37" s="64" t="str">
        <f>IF(A37="","",IF(ISNUMBER(F37),F37,O37+N(p_validity)))</f>
        <v/>
      </c>
      <c r="I37" s="65" t="str">
        <f>IF(A37="","",SUMIF(dl_doc,A37,dl_ht))</f>
        <v/>
      </c>
      <c r="J37" s="65" t="str">
        <f>IF(A37="","",IF(INDEX(p_rates,1)="",0,ROUND(SUMIFS(dl_ht,dl_doc,A37,dl_rate,INDEX(p_rates,1))*INDEX(p_rates,1),2))+IF(INDEX(p_rates,2)="",0,ROUND(SUMIFS(dl_ht,dl_doc,A37,dl_rate,INDEX(p_rates,2))*INDEX(p_rates,2),2))+IF(INDEX(p_rates,3)="",0,ROUND(SUMIFS(dl_ht,dl_doc,A37,dl_rate,INDEX(p_rates,3))*INDEX(p_rates,3),2))+IF(INDEX(p_rates,4)="",0,ROUND(SUMIFS(dl_ht,dl_doc,A37,dl_rate,INDEX(p_rates,4))*INDEX(p_rates,4),2))+IF(INDEX(p_rates,5)="",0,ROUND(SUMIFS(dl_ht,dl_doc,A37,dl_rate,INDEX(p_rates,5))*INDEX(p_rates,5),2))+IF(INDEX(p_rates,6)="",0,ROUND(SUMIFS(dl_ht,dl_doc,A37,dl_rate,INDEX(p_rates,6))*INDEX(p_rates,6),2)))</f>
        <v/>
      </c>
      <c r="K37" s="65" t="str">
        <f>IF(A37="","",I37+J37)</f>
        <v/>
      </c>
      <c r="L37" s="59" t="str">
        <f>IF(A37="","",IFERROR(INDEX(fa_num,MATCH(A37,fa_dvkey,0))&amp;"",""))</f>
        <v/>
      </c>
      <c r="M37" s="59" t="str">
        <f>IF(A37="","",IF(G37="Annulé","Annulé",IF(L37&lt;&gt;"","Facturé",IF(G37="Accepté","Accepté",IF(G37="Refusé","Refusé",IF(p_asof&gt;H37,"Expiré","En attente"))))))</f>
        <v/>
      </c>
      <c r="N37" s="59" t="str">
        <f>IF(COUNTA(B37:C37,E37:G37)=0,"",IF(B37="","Date manquante",IF(NOT(ISNUMBER(B37)),"Date invalide",IF(C37="","Client manquant",IF(ISNA(MATCH(C37,cli_code,0)),"Client inconnu",IF(O37&lt;MAX($O$6:O36),"Date antérieure au devis précédent",IF(AND(ISNUMBER(F37),F37&lt;O37),"Validité antérieure à la date du devis",IF(AND(R37=0,G37&lt;&gt;"Annulé"),"Aucune ligne (feuille Lignes de devis)",IF(COUNTIFS(dl_doc,A37,dl_check,"&lt;&gt;OK")&gt;0,"Ligne(s) à corriger",IF(AND(L37&lt;&gt;"",OR(G37="Refusé",G37="Annulé")),"Devis refusé ou annulé mais facturé","OK"))))))))))</f>
        <v/>
      </c>
      <c r="O37" s="62">
        <f>IF(ISNUMBER(B37),B37,0)</f>
        <v>0.0</v>
      </c>
      <c r="P37" s="62" t="str">
        <f>IF(O37=0,"",YEAR(O37))</f>
        <v/>
      </c>
      <c r="Q37" s="62" t="str">
        <f>IF(P37="","",COUNTIF($P$6:P37,P37))</f>
        <v/>
      </c>
      <c r="R37" s="62">
        <f>IF(A37="",0,COUNTIF(dl_doc,A37))</f>
        <v>0.0</v>
      </c>
    </row>
    <row r="38">
      <c r="A38" s="59" t="str">
        <f>IF(Q38="","",p_pdv&amp;"-"&amp;P38&amp;"-"&amp;RIGHT("000"&amp;Q38,4))</f>
        <v/>
      </c>
      <c r="B38" s="61" t="n"/>
      <c r="C38" s="60" t="n"/>
      <c r="D38" s="62" t="str">
        <f>IF(C38="","",IFERROR(INDEX(cli_name,MATCH(C38,cli_code,0))&amp;"","Client inconnu"))</f>
        <v/>
      </c>
      <c r="E38" s="63" t="n"/>
      <c r="F38" s="61" t="n"/>
      <c r="G38" s="60" t="n"/>
      <c r="H38" s="64" t="str">
        <f>IF(A38="","",IF(ISNUMBER(F38),F38,O38+N(p_validity)))</f>
        <v/>
      </c>
      <c r="I38" s="65" t="str">
        <f>IF(A38="","",SUMIF(dl_doc,A38,dl_ht))</f>
        <v/>
      </c>
      <c r="J38" s="65" t="str">
        <f>IF(A38="","",IF(INDEX(p_rates,1)="",0,ROUND(SUMIFS(dl_ht,dl_doc,A38,dl_rate,INDEX(p_rates,1))*INDEX(p_rates,1),2))+IF(INDEX(p_rates,2)="",0,ROUND(SUMIFS(dl_ht,dl_doc,A38,dl_rate,INDEX(p_rates,2))*INDEX(p_rates,2),2))+IF(INDEX(p_rates,3)="",0,ROUND(SUMIFS(dl_ht,dl_doc,A38,dl_rate,INDEX(p_rates,3))*INDEX(p_rates,3),2))+IF(INDEX(p_rates,4)="",0,ROUND(SUMIFS(dl_ht,dl_doc,A38,dl_rate,INDEX(p_rates,4))*INDEX(p_rates,4),2))+IF(INDEX(p_rates,5)="",0,ROUND(SUMIFS(dl_ht,dl_doc,A38,dl_rate,INDEX(p_rates,5))*INDEX(p_rates,5),2))+IF(INDEX(p_rates,6)="",0,ROUND(SUMIFS(dl_ht,dl_doc,A38,dl_rate,INDEX(p_rates,6))*INDEX(p_rates,6),2)))</f>
        <v/>
      </c>
      <c r="K38" s="65" t="str">
        <f>IF(A38="","",I38+J38)</f>
        <v/>
      </c>
      <c r="L38" s="59" t="str">
        <f>IF(A38="","",IFERROR(INDEX(fa_num,MATCH(A38,fa_dvkey,0))&amp;"",""))</f>
        <v/>
      </c>
      <c r="M38" s="59" t="str">
        <f>IF(A38="","",IF(G38="Annulé","Annulé",IF(L38&lt;&gt;"","Facturé",IF(G38="Accepté","Accepté",IF(G38="Refusé","Refusé",IF(p_asof&gt;H38,"Expiré","En attente"))))))</f>
        <v/>
      </c>
      <c r="N38" s="59" t="str">
        <f>IF(COUNTA(B38:C38,E38:G38)=0,"",IF(B38="","Date manquante",IF(NOT(ISNUMBER(B38)),"Date invalide",IF(C38="","Client manquant",IF(ISNA(MATCH(C38,cli_code,0)),"Client inconnu",IF(O38&lt;MAX($O$6:O37),"Date antérieure au devis précédent",IF(AND(ISNUMBER(F38),F38&lt;O38),"Validité antérieure à la date du devis",IF(AND(R38=0,G38&lt;&gt;"Annulé"),"Aucune ligne (feuille Lignes de devis)",IF(COUNTIFS(dl_doc,A38,dl_check,"&lt;&gt;OK")&gt;0,"Ligne(s) à corriger",IF(AND(L38&lt;&gt;"",OR(G38="Refusé",G38="Annulé")),"Devis refusé ou annulé mais facturé","OK"))))))))))</f>
        <v/>
      </c>
      <c r="O38" s="62">
        <f>IF(ISNUMBER(B38),B38,0)</f>
        <v>0.0</v>
      </c>
      <c r="P38" s="62" t="str">
        <f>IF(O38=0,"",YEAR(O38))</f>
        <v/>
      </c>
      <c r="Q38" s="62" t="str">
        <f>IF(P38="","",COUNTIF($P$6:P38,P38))</f>
        <v/>
      </c>
      <c r="R38" s="62">
        <f>IF(A38="",0,COUNTIF(dl_doc,A38))</f>
        <v>0.0</v>
      </c>
    </row>
    <row r="39">
      <c r="A39" s="59" t="str">
        <f>IF(Q39="","",p_pdv&amp;"-"&amp;P39&amp;"-"&amp;RIGHT("000"&amp;Q39,4))</f>
        <v/>
      </c>
      <c r="B39" s="61" t="n"/>
      <c r="C39" s="60" t="n"/>
      <c r="D39" s="62" t="str">
        <f>IF(C39="","",IFERROR(INDEX(cli_name,MATCH(C39,cli_code,0))&amp;"","Client inconnu"))</f>
        <v/>
      </c>
      <c r="E39" s="63" t="n"/>
      <c r="F39" s="61" t="n"/>
      <c r="G39" s="60" t="n"/>
      <c r="H39" s="64" t="str">
        <f>IF(A39="","",IF(ISNUMBER(F39),F39,O39+N(p_validity)))</f>
        <v/>
      </c>
      <c r="I39" s="65" t="str">
        <f>IF(A39="","",SUMIF(dl_doc,A39,dl_ht))</f>
        <v/>
      </c>
      <c r="J39" s="65" t="str">
        <f>IF(A39="","",IF(INDEX(p_rates,1)="",0,ROUND(SUMIFS(dl_ht,dl_doc,A39,dl_rate,INDEX(p_rates,1))*INDEX(p_rates,1),2))+IF(INDEX(p_rates,2)="",0,ROUND(SUMIFS(dl_ht,dl_doc,A39,dl_rate,INDEX(p_rates,2))*INDEX(p_rates,2),2))+IF(INDEX(p_rates,3)="",0,ROUND(SUMIFS(dl_ht,dl_doc,A39,dl_rate,INDEX(p_rates,3))*INDEX(p_rates,3),2))+IF(INDEX(p_rates,4)="",0,ROUND(SUMIFS(dl_ht,dl_doc,A39,dl_rate,INDEX(p_rates,4))*INDEX(p_rates,4),2))+IF(INDEX(p_rates,5)="",0,ROUND(SUMIFS(dl_ht,dl_doc,A39,dl_rate,INDEX(p_rates,5))*INDEX(p_rates,5),2))+IF(INDEX(p_rates,6)="",0,ROUND(SUMIFS(dl_ht,dl_doc,A39,dl_rate,INDEX(p_rates,6))*INDEX(p_rates,6),2)))</f>
        <v/>
      </c>
      <c r="K39" s="65" t="str">
        <f>IF(A39="","",I39+J39)</f>
        <v/>
      </c>
      <c r="L39" s="59" t="str">
        <f>IF(A39="","",IFERROR(INDEX(fa_num,MATCH(A39,fa_dvkey,0))&amp;"",""))</f>
        <v/>
      </c>
      <c r="M39" s="59" t="str">
        <f>IF(A39="","",IF(G39="Annulé","Annulé",IF(L39&lt;&gt;"","Facturé",IF(G39="Accepté","Accepté",IF(G39="Refusé","Refusé",IF(p_asof&gt;H39,"Expiré","En attente"))))))</f>
        <v/>
      </c>
      <c r="N39" s="59" t="str">
        <f>IF(COUNTA(B39:C39,E39:G39)=0,"",IF(B39="","Date manquante",IF(NOT(ISNUMBER(B39)),"Date invalide",IF(C39="","Client manquant",IF(ISNA(MATCH(C39,cli_code,0)),"Client inconnu",IF(O39&lt;MAX($O$6:O38),"Date antérieure au devis précédent",IF(AND(ISNUMBER(F39),F39&lt;O39),"Validité antérieure à la date du devis",IF(AND(R39=0,G39&lt;&gt;"Annulé"),"Aucune ligne (feuille Lignes de devis)",IF(COUNTIFS(dl_doc,A39,dl_check,"&lt;&gt;OK")&gt;0,"Ligne(s) à corriger",IF(AND(L39&lt;&gt;"",OR(G39="Refusé",G39="Annulé")),"Devis refusé ou annulé mais facturé","OK"))))))))))</f>
        <v/>
      </c>
      <c r="O39" s="62">
        <f>IF(ISNUMBER(B39),B39,0)</f>
        <v>0.0</v>
      </c>
      <c r="P39" s="62" t="str">
        <f>IF(O39=0,"",YEAR(O39))</f>
        <v/>
      </c>
      <c r="Q39" s="62" t="str">
        <f>IF(P39="","",COUNTIF($P$6:P39,P39))</f>
        <v/>
      </c>
      <c r="R39" s="62">
        <f>IF(A39="",0,COUNTIF(dl_doc,A39))</f>
        <v>0.0</v>
      </c>
    </row>
    <row r="40">
      <c r="A40" s="59" t="str">
        <f>IF(Q40="","",p_pdv&amp;"-"&amp;P40&amp;"-"&amp;RIGHT("000"&amp;Q40,4))</f>
        <v/>
      </c>
      <c r="B40" s="61" t="n"/>
      <c r="C40" s="60" t="n"/>
      <c r="D40" s="62" t="str">
        <f>IF(C40="","",IFERROR(INDEX(cli_name,MATCH(C40,cli_code,0))&amp;"","Client inconnu"))</f>
        <v/>
      </c>
      <c r="E40" s="63" t="n"/>
      <c r="F40" s="61" t="n"/>
      <c r="G40" s="60" t="n"/>
      <c r="H40" s="64" t="str">
        <f>IF(A40="","",IF(ISNUMBER(F40),F40,O40+N(p_validity)))</f>
        <v/>
      </c>
      <c r="I40" s="65" t="str">
        <f>IF(A40="","",SUMIF(dl_doc,A40,dl_ht))</f>
        <v/>
      </c>
      <c r="J40" s="65" t="str">
        <f>IF(A40="","",IF(INDEX(p_rates,1)="",0,ROUND(SUMIFS(dl_ht,dl_doc,A40,dl_rate,INDEX(p_rates,1))*INDEX(p_rates,1),2))+IF(INDEX(p_rates,2)="",0,ROUND(SUMIFS(dl_ht,dl_doc,A40,dl_rate,INDEX(p_rates,2))*INDEX(p_rates,2),2))+IF(INDEX(p_rates,3)="",0,ROUND(SUMIFS(dl_ht,dl_doc,A40,dl_rate,INDEX(p_rates,3))*INDEX(p_rates,3),2))+IF(INDEX(p_rates,4)="",0,ROUND(SUMIFS(dl_ht,dl_doc,A40,dl_rate,INDEX(p_rates,4))*INDEX(p_rates,4),2))+IF(INDEX(p_rates,5)="",0,ROUND(SUMIFS(dl_ht,dl_doc,A40,dl_rate,INDEX(p_rates,5))*INDEX(p_rates,5),2))+IF(INDEX(p_rates,6)="",0,ROUND(SUMIFS(dl_ht,dl_doc,A40,dl_rate,INDEX(p_rates,6))*INDEX(p_rates,6),2)))</f>
        <v/>
      </c>
      <c r="K40" s="65" t="str">
        <f>IF(A40="","",I40+J40)</f>
        <v/>
      </c>
      <c r="L40" s="59" t="str">
        <f>IF(A40="","",IFERROR(INDEX(fa_num,MATCH(A40,fa_dvkey,0))&amp;"",""))</f>
        <v/>
      </c>
      <c r="M40" s="59" t="str">
        <f>IF(A40="","",IF(G40="Annulé","Annulé",IF(L40&lt;&gt;"","Facturé",IF(G40="Accepté","Accepté",IF(G40="Refusé","Refusé",IF(p_asof&gt;H40,"Expiré","En attente"))))))</f>
        <v/>
      </c>
      <c r="N40" s="59" t="str">
        <f>IF(COUNTA(B40:C40,E40:G40)=0,"",IF(B40="","Date manquante",IF(NOT(ISNUMBER(B40)),"Date invalide",IF(C40="","Client manquant",IF(ISNA(MATCH(C40,cli_code,0)),"Client inconnu",IF(O40&lt;MAX($O$6:O39),"Date antérieure au devis précédent",IF(AND(ISNUMBER(F40),F40&lt;O40),"Validité antérieure à la date du devis",IF(AND(R40=0,G40&lt;&gt;"Annulé"),"Aucune ligne (feuille Lignes de devis)",IF(COUNTIFS(dl_doc,A40,dl_check,"&lt;&gt;OK")&gt;0,"Ligne(s) à corriger",IF(AND(L40&lt;&gt;"",OR(G40="Refusé",G40="Annulé")),"Devis refusé ou annulé mais facturé","OK"))))))))))</f>
        <v/>
      </c>
      <c r="O40" s="62">
        <f>IF(ISNUMBER(B40),B40,0)</f>
        <v>0.0</v>
      </c>
      <c r="P40" s="62" t="str">
        <f>IF(O40=0,"",YEAR(O40))</f>
        <v/>
      </c>
      <c r="Q40" s="62" t="str">
        <f>IF(P40="","",COUNTIF($P$6:P40,P40))</f>
        <v/>
      </c>
      <c r="R40" s="62">
        <f>IF(A40="",0,COUNTIF(dl_doc,A40))</f>
        <v>0.0</v>
      </c>
    </row>
    <row r="41">
      <c r="A41" s="59" t="str">
        <f>IF(Q41="","",p_pdv&amp;"-"&amp;P41&amp;"-"&amp;RIGHT("000"&amp;Q41,4))</f>
        <v/>
      </c>
      <c r="B41" s="61" t="n"/>
      <c r="C41" s="60" t="n"/>
      <c r="D41" s="62" t="str">
        <f>IF(C41="","",IFERROR(INDEX(cli_name,MATCH(C41,cli_code,0))&amp;"","Client inconnu"))</f>
        <v/>
      </c>
      <c r="E41" s="63" t="n"/>
      <c r="F41" s="61" t="n"/>
      <c r="G41" s="60" t="n"/>
      <c r="H41" s="64" t="str">
        <f>IF(A41="","",IF(ISNUMBER(F41),F41,O41+N(p_validity)))</f>
        <v/>
      </c>
      <c r="I41" s="65" t="str">
        <f>IF(A41="","",SUMIF(dl_doc,A41,dl_ht))</f>
        <v/>
      </c>
      <c r="J41" s="65" t="str">
        <f>IF(A41="","",IF(INDEX(p_rates,1)="",0,ROUND(SUMIFS(dl_ht,dl_doc,A41,dl_rate,INDEX(p_rates,1))*INDEX(p_rates,1),2))+IF(INDEX(p_rates,2)="",0,ROUND(SUMIFS(dl_ht,dl_doc,A41,dl_rate,INDEX(p_rates,2))*INDEX(p_rates,2),2))+IF(INDEX(p_rates,3)="",0,ROUND(SUMIFS(dl_ht,dl_doc,A41,dl_rate,INDEX(p_rates,3))*INDEX(p_rates,3),2))+IF(INDEX(p_rates,4)="",0,ROUND(SUMIFS(dl_ht,dl_doc,A41,dl_rate,INDEX(p_rates,4))*INDEX(p_rates,4),2))+IF(INDEX(p_rates,5)="",0,ROUND(SUMIFS(dl_ht,dl_doc,A41,dl_rate,INDEX(p_rates,5))*INDEX(p_rates,5),2))+IF(INDEX(p_rates,6)="",0,ROUND(SUMIFS(dl_ht,dl_doc,A41,dl_rate,INDEX(p_rates,6))*INDEX(p_rates,6),2)))</f>
        <v/>
      </c>
      <c r="K41" s="65" t="str">
        <f>IF(A41="","",I41+J41)</f>
        <v/>
      </c>
      <c r="L41" s="59" t="str">
        <f>IF(A41="","",IFERROR(INDEX(fa_num,MATCH(A41,fa_dvkey,0))&amp;"",""))</f>
        <v/>
      </c>
      <c r="M41" s="59" t="str">
        <f>IF(A41="","",IF(G41="Annulé","Annulé",IF(L41&lt;&gt;"","Facturé",IF(G41="Accepté","Accepté",IF(G41="Refusé","Refusé",IF(p_asof&gt;H41,"Expiré","En attente"))))))</f>
        <v/>
      </c>
      <c r="N41" s="59" t="str">
        <f>IF(COUNTA(B41:C41,E41:G41)=0,"",IF(B41="","Date manquante",IF(NOT(ISNUMBER(B41)),"Date invalide",IF(C41="","Client manquant",IF(ISNA(MATCH(C41,cli_code,0)),"Client inconnu",IF(O41&lt;MAX($O$6:O40),"Date antérieure au devis précédent",IF(AND(ISNUMBER(F41),F41&lt;O41),"Validité antérieure à la date du devis",IF(AND(R41=0,G41&lt;&gt;"Annulé"),"Aucune ligne (feuille Lignes de devis)",IF(COUNTIFS(dl_doc,A41,dl_check,"&lt;&gt;OK")&gt;0,"Ligne(s) à corriger",IF(AND(L41&lt;&gt;"",OR(G41="Refusé",G41="Annulé")),"Devis refusé ou annulé mais facturé","OK"))))))))))</f>
        <v/>
      </c>
      <c r="O41" s="62">
        <f>IF(ISNUMBER(B41),B41,0)</f>
        <v>0.0</v>
      </c>
      <c r="P41" s="62" t="str">
        <f>IF(O41=0,"",YEAR(O41))</f>
        <v/>
      </c>
      <c r="Q41" s="62" t="str">
        <f>IF(P41="","",COUNTIF($P$6:P41,P41))</f>
        <v/>
      </c>
      <c r="R41" s="62">
        <f>IF(A41="",0,COUNTIF(dl_doc,A41))</f>
        <v>0.0</v>
      </c>
    </row>
    <row r="42">
      <c r="A42" s="59" t="str">
        <f>IF(Q42="","",p_pdv&amp;"-"&amp;P42&amp;"-"&amp;RIGHT("000"&amp;Q42,4))</f>
        <v/>
      </c>
      <c r="B42" s="61" t="n"/>
      <c r="C42" s="60" t="n"/>
      <c r="D42" s="62" t="str">
        <f>IF(C42="","",IFERROR(INDEX(cli_name,MATCH(C42,cli_code,0))&amp;"","Client inconnu"))</f>
        <v/>
      </c>
      <c r="E42" s="63" t="n"/>
      <c r="F42" s="61" t="n"/>
      <c r="G42" s="60" t="n"/>
      <c r="H42" s="64" t="str">
        <f>IF(A42="","",IF(ISNUMBER(F42),F42,O42+N(p_validity)))</f>
        <v/>
      </c>
      <c r="I42" s="65" t="str">
        <f>IF(A42="","",SUMIF(dl_doc,A42,dl_ht))</f>
        <v/>
      </c>
      <c r="J42" s="65" t="str">
        <f>IF(A42="","",IF(INDEX(p_rates,1)="",0,ROUND(SUMIFS(dl_ht,dl_doc,A42,dl_rate,INDEX(p_rates,1))*INDEX(p_rates,1),2))+IF(INDEX(p_rates,2)="",0,ROUND(SUMIFS(dl_ht,dl_doc,A42,dl_rate,INDEX(p_rates,2))*INDEX(p_rates,2),2))+IF(INDEX(p_rates,3)="",0,ROUND(SUMIFS(dl_ht,dl_doc,A42,dl_rate,INDEX(p_rates,3))*INDEX(p_rates,3),2))+IF(INDEX(p_rates,4)="",0,ROUND(SUMIFS(dl_ht,dl_doc,A42,dl_rate,INDEX(p_rates,4))*INDEX(p_rates,4),2))+IF(INDEX(p_rates,5)="",0,ROUND(SUMIFS(dl_ht,dl_doc,A42,dl_rate,INDEX(p_rates,5))*INDEX(p_rates,5),2))+IF(INDEX(p_rates,6)="",0,ROUND(SUMIFS(dl_ht,dl_doc,A42,dl_rate,INDEX(p_rates,6))*INDEX(p_rates,6),2)))</f>
        <v/>
      </c>
      <c r="K42" s="65" t="str">
        <f>IF(A42="","",I42+J42)</f>
        <v/>
      </c>
      <c r="L42" s="59" t="str">
        <f>IF(A42="","",IFERROR(INDEX(fa_num,MATCH(A42,fa_dvkey,0))&amp;"",""))</f>
        <v/>
      </c>
      <c r="M42" s="59" t="str">
        <f>IF(A42="","",IF(G42="Annulé","Annulé",IF(L42&lt;&gt;"","Facturé",IF(G42="Accepté","Accepté",IF(G42="Refusé","Refusé",IF(p_asof&gt;H42,"Expiré","En attente"))))))</f>
        <v/>
      </c>
      <c r="N42" s="59" t="str">
        <f>IF(COUNTA(B42:C42,E42:G42)=0,"",IF(B42="","Date manquante",IF(NOT(ISNUMBER(B42)),"Date invalide",IF(C42="","Client manquant",IF(ISNA(MATCH(C42,cli_code,0)),"Client inconnu",IF(O42&lt;MAX($O$6:O41),"Date antérieure au devis précédent",IF(AND(ISNUMBER(F42),F42&lt;O42),"Validité antérieure à la date du devis",IF(AND(R42=0,G42&lt;&gt;"Annulé"),"Aucune ligne (feuille Lignes de devis)",IF(COUNTIFS(dl_doc,A42,dl_check,"&lt;&gt;OK")&gt;0,"Ligne(s) à corriger",IF(AND(L42&lt;&gt;"",OR(G42="Refusé",G42="Annulé")),"Devis refusé ou annulé mais facturé","OK"))))))))))</f>
        <v/>
      </c>
      <c r="O42" s="62">
        <f>IF(ISNUMBER(B42),B42,0)</f>
        <v>0.0</v>
      </c>
      <c r="P42" s="62" t="str">
        <f>IF(O42=0,"",YEAR(O42))</f>
        <v/>
      </c>
      <c r="Q42" s="62" t="str">
        <f>IF(P42="","",COUNTIF($P$6:P42,P42))</f>
        <v/>
      </c>
      <c r="R42" s="62">
        <f>IF(A42="",0,COUNTIF(dl_doc,A42))</f>
        <v>0.0</v>
      </c>
    </row>
    <row r="43">
      <c r="A43" s="59" t="str">
        <f>IF(Q43="","",p_pdv&amp;"-"&amp;P43&amp;"-"&amp;RIGHT("000"&amp;Q43,4))</f>
        <v/>
      </c>
      <c r="B43" s="61" t="n"/>
      <c r="C43" s="60" t="n"/>
      <c r="D43" s="62" t="str">
        <f>IF(C43="","",IFERROR(INDEX(cli_name,MATCH(C43,cli_code,0))&amp;"","Client inconnu"))</f>
        <v/>
      </c>
      <c r="E43" s="63" t="n"/>
      <c r="F43" s="61" t="n"/>
      <c r="G43" s="60" t="n"/>
      <c r="H43" s="64" t="str">
        <f>IF(A43="","",IF(ISNUMBER(F43),F43,O43+N(p_validity)))</f>
        <v/>
      </c>
      <c r="I43" s="65" t="str">
        <f>IF(A43="","",SUMIF(dl_doc,A43,dl_ht))</f>
        <v/>
      </c>
      <c r="J43" s="65" t="str">
        <f>IF(A43="","",IF(INDEX(p_rates,1)="",0,ROUND(SUMIFS(dl_ht,dl_doc,A43,dl_rate,INDEX(p_rates,1))*INDEX(p_rates,1),2))+IF(INDEX(p_rates,2)="",0,ROUND(SUMIFS(dl_ht,dl_doc,A43,dl_rate,INDEX(p_rates,2))*INDEX(p_rates,2),2))+IF(INDEX(p_rates,3)="",0,ROUND(SUMIFS(dl_ht,dl_doc,A43,dl_rate,INDEX(p_rates,3))*INDEX(p_rates,3),2))+IF(INDEX(p_rates,4)="",0,ROUND(SUMIFS(dl_ht,dl_doc,A43,dl_rate,INDEX(p_rates,4))*INDEX(p_rates,4),2))+IF(INDEX(p_rates,5)="",0,ROUND(SUMIFS(dl_ht,dl_doc,A43,dl_rate,INDEX(p_rates,5))*INDEX(p_rates,5),2))+IF(INDEX(p_rates,6)="",0,ROUND(SUMIFS(dl_ht,dl_doc,A43,dl_rate,INDEX(p_rates,6))*INDEX(p_rates,6),2)))</f>
        <v/>
      </c>
      <c r="K43" s="65" t="str">
        <f>IF(A43="","",I43+J43)</f>
        <v/>
      </c>
      <c r="L43" s="59" t="str">
        <f>IF(A43="","",IFERROR(INDEX(fa_num,MATCH(A43,fa_dvkey,0))&amp;"",""))</f>
        <v/>
      </c>
      <c r="M43" s="59" t="str">
        <f>IF(A43="","",IF(G43="Annulé","Annulé",IF(L43&lt;&gt;"","Facturé",IF(G43="Accepté","Accepté",IF(G43="Refusé","Refusé",IF(p_asof&gt;H43,"Expiré","En attente"))))))</f>
        <v/>
      </c>
      <c r="N43" s="59" t="str">
        <f>IF(COUNTA(B43:C43,E43:G43)=0,"",IF(B43="","Date manquante",IF(NOT(ISNUMBER(B43)),"Date invalide",IF(C43="","Client manquant",IF(ISNA(MATCH(C43,cli_code,0)),"Client inconnu",IF(O43&lt;MAX($O$6:O42),"Date antérieure au devis précédent",IF(AND(ISNUMBER(F43),F43&lt;O43),"Validité antérieure à la date du devis",IF(AND(R43=0,G43&lt;&gt;"Annulé"),"Aucune ligne (feuille Lignes de devis)",IF(COUNTIFS(dl_doc,A43,dl_check,"&lt;&gt;OK")&gt;0,"Ligne(s) à corriger",IF(AND(L43&lt;&gt;"",OR(G43="Refusé",G43="Annulé")),"Devis refusé ou annulé mais facturé","OK"))))))))))</f>
        <v/>
      </c>
      <c r="O43" s="62">
        <f>IF(ISNUMBER(B43),B43,0)</f>
        <v>0.0</v>
      </c>
      <c r="P43" s="62" t="str">
        <f>IF(O43=0,"",YEAR(O43))</f>
        <v/>
      </c>
      <c r="Q43" s="62" t="str">
        <f>IF(P43="","",COUNTIF($P$6:P43,P43))</f>
        <v/>
      </c>
      <c r="R43" s="62">
        <f>IF(A43="",0,COUNTIF(dl_doc,A43))</f>
        <v>0.0</v>
      </c>
    </row>
    <row r="44">
      <c r="A44" s="59" t="str">
        <f>IF(Q44="","",p_pdv&amp;"-"&amp;P44&amp;"-"&amp;RIGHT("000"&amp;Q44,4))</f>
        <v/>
      </c>
      <c r="B44" s="61" t="n"/>
      <c r="C44" s="60" t="n"/>
      <c r="D44" s="62" t="str">
        <f>IF(C44="","",IFERROR(INDEX(cli_name,MATCH(C44,cli_code,0))&amp;"","Client inconnu"))</f>
        <v/>
      </c>
      <c r="E44" s="63" t="n"/>
      <c r="F44" s="61" t="n"/>
      <c r="G44" s="60" t="n"/>
      <c r="H44" s="64" t="str">
        <f>IF(A44="","",IF(ISNUMBER(F44),F44,O44+N(p_validity)))</f>
        <v/>
      </c>
      <c r="I44" s="65" t="str">
        <f>IF(A44="","",SUMIF(dl_doc,A44,dl_ht))</f>
        <v/>
      </c>
      <c r="J44" s="65" t="str">
        <f>IF(A44="","",IF(INDEX(p_rates,1)="",0,ROUND(SUMIFS(dl_ht,dl_doc,A44,dl_rate,INDEX(p_rates,1))*INDEX(p_rates,1),2))+IF(INDEX(p_rates,2)="",0,ROUND(SUMIFS(dl_ht,dl_doc,A44,dl_rate,INDEX(p_rates,2))*INDEX(p_rates,2),2))+IF(INDEX(p_rates,3)="",0,ROUND(SUMIFS(dl_ht,dl_doc,A44,dl_rate,INDEX(p_rates,3))*INDEX(p_rates,3),2))+IF(INDEX(p_rates,4)="",0,ROUND(SUMIFS(dl_ht,dl_doc,A44,dl_rate,INDEX(p_rates,4))*INDEX(p_rates,4),2))+IF(INDEX(p_rates,5)="",0,ROUND(SUMIFS(dl_ht,dl_doc,A44,dl_rate,INDEX(p_rates,5))*INDEX(p_rates,5),2))+IF(INDEX(p_rates,6)="",0,ROUND(SUMIFS(dl_ht,dl_doc,A44,dl_rate,INDEX(p_rates,6))*INDEX(p_rates,6),2)))</f>
        <v/>
      </c>
      <c r="K44" s="65" t="str">
        <f>IF(A44="","",I44+J44)</f>
        <v/>
      </c>
      <c r="L44" s="59" t="str">
        <f>IF(A44="","",IFERROR(INDEX(fa_num,MATCH(A44,fa_dvkey,0))&amp;"",""))</f>
        <v/>
      </c>
      <c r="M44" s="59" t="str">
        <f>IF(A44="","",IF(G44="Annulé","Annulé",IF(L44&lt;&gt;"","Facturé",IF(G44="Accepté","Accepté",IF(G44="Refusé","Refusé",IF(p_asof&gt;H44,"Expiré","En attente"))))))</f>
        <v/>
      </c>
      <c r="N44" s="59" t="str">
        <f>IF(COUNTA(B44:C44,E44:G44)=0,"",IF(B44="","Date manquante",IF(NOT(ISNUMBER(B44)),"Date invalide",IF(C44="","Client manquant",IF(ISNA(MATCH(C44,cli_code,0)),"Client inconnu",IF(O44&lt;MAX($O$6:O43),"Date antérieure au devis précédent",IF(AND(ISNUMBER(F44),F44&lt;O44),"Validité antérieure à la date du devis",IF(AND(R44=0,G44&lt;&gt;"Annulé"),"Aucune ligne (feuille Lignes de devis)",IF(COUNTIFS(dl_doc,A44,dl_check,"&lt;&gt;OK")&gt;0,"Ligne(s) à corriger",IF(AND(L44&lt;&gt;"",OR(G44="Refusé",G44="Annulé")),"Devis refusé ou annulé mais facturé","OK"))))))))))</f>
        <v/>
      </c>
      <c r="O44" s="62">
        <f>IF(ISNUMBER(B44),B44,0)</f>
        <v>0.0</v>
      </c>
      <c r="P44" s="62" t="str">
        <f>IF(O44=0,"",YEAR(O44))</f>
        <v/>
      </c>
      <c r="Q44" s="62" t="str">
        <f>IF(P44="","",COUNTIF($P$6:P44,P44))</f>
        <v/>
      </c>
      <c r="R44" s="62">
        <f>IF(A44="",0,COUNTIF(dl_doc,A44))</f>
        <v>0.0</v>
      </c>
    </row>
    <row r="45">
      <c r="A45" s="59" t="str">
        <f>IF(Q45="","",p_pdv&amp;"-"&amp;P45&amp;"-"&amp;RIGHT("000"&amp;Q45,4))</f>
        <v/>
      </c>
      <c r="B45" s="61" t="n"/>
      <c r="C45" s="60" t="n"/>
      <c r="D45" s="62" t="str">
        <f>IF(C45="","",IFERROR(INDEX(cli_name,MATCH(C45,cli_code,0))&amp;"","Client inconnu"))</f>
        <v/>
      </c>
      <c r="E45" s="63" t="n"/>
      <c r="F45" s="61" t="n"/>
      <c r="G45" s="60" t="n"/>
      <c r="H45" s="64" t="str">
        <f>IF(A45="","",IF(ISNUMBER(F45),F45,O45+N(p_validity)))</f>
        <v/>
      </c>
      <c r="I45" s="65" t="str">
        <f>IF(A45="","",SUMIF(dl_doc,A45,dl_ht))</f>
        <v/>
      </c>
      <c r="J45" s="65" t="str">
        <f>IF(A45="","",IF(INDEX(p_rates,1)="",0,ROUND(SUMIFS(dl_ht,dl_doc,A45,dl_rate,INDEX(p_rates,1))*INDEX(p_rates,1),2))+IF(INDEX(p_rates,2)="",0,ROUND(SUMIFS(dl_ht,dl_doc,A45,dl_rate,INDEX(p_rates,2))*INDEX(p_rates,2),2))+IF(INDEX(p_rates,3)="",0,ROUND(SUMIFS(dl_ht,dl_doc,A45,dl_rate,INDEX(p_rates,3))*INDEX(p_rates,3),2))+IF(INDEX(p_rates,4)="",0,ROUND(SUMIFS(dl_ht,dl_doc,A45,dl_rate,INDEX(p_rates,4))*INDEX(p_rates,4),2))+IF(INDEX(p_rates,5)="",0,ROUND(SUMIFS(dl_ht,dl_doc,A45,dl_rate,INDEX(p_rates,5))*INDEX(p_rates,5),2))+IF(INDEX(p_rates,6)="",0,ROUND(SUMIFS(dl_ht,dl_doc,A45,dl_rate,INDEX(p_rates,6))*INDEX(p_rates,6),2)))</f>
        <v/>
      </c>
      <c r="K45" s="65" t="str">
        <f>IF(A45="","",I45+J45)</f>
        <v/>
      </c>
      <c r="L45" s="59" t="str">
        <f>IF(A45="","",IFERROR(INDEX(fa_num,MATCH(A45,fa_dvkey,0))&amp;"",""))</f>
        <v/>
      </c>
      <c r="M45" s="59" t="str">
        <f>IF(A45="","",IF(G45="Annulé","Annulé",IF(L45&lt;&gt;"","Facturé",IF(G45="Accepté","Accepté",IF(G45="Refusé","Refusé",IF(p_asof&gt;H45,"Expiré","En attente"))))))</f>
        <v/>
      </c>
      <c r="N45" s="59" t="str">
        <f>IF(COUNTA(B45:C45,E45:G45)=0,"",IF(B45="","Date manquante",IF(NOT(ISNUMBER(B45)),"Date invalide",IF(C45="","Client manquant",IF(ISNA(MATCH(C45,cli_code,0)),"Client inconnu",IF(O45&lt;MAX($O$6:O44),"Date antérieure au devis précédent",IF(AND(ISNUMBER(F45),F45&lt;O45),"Validité antérieure à la date du devis",IF(AND(R45=0,G45&lt;&gt;"Annulé"),"Aucune ligne (feuille Lignes de devis)",IF(COUNTIFS(dl_doc,A45,dl_check,"&lt;&gt;OK")&gt;0,"Ligne(s) à corriger",IF(AND(L45&lt;&gt;"",OR(G45="Refusé",G45="Annulé")),"Devis refusé ou annulé mais facturé","OK"))))))))))</f>
        <v/>
      </c>
      <c r="O45" s="62">
        <f>IF(ISNUMBER(B45),B45,0)</f>
        <v>0.0</v>
      </c>
      <c r="P45" s="62" t="str">
        <f>IF(O45=0,"",YEAR(O45))</f>
        <v/>
      </c>
      <c r="Q45" s="62" t="str">
        <f>IF(P45="","",COUNTIF($P$6:P45,P45))</f>
        <v/>
      </c>
      <c r="R45" s="62">
        <f>IF(A45="",0,COUNTIF(dl_doc,A45))</f>
        <v>0.0</v>
      </c>
    </row>
    <row r="46">
      <c r="A46" s="59" t="str">
        <f>IF(Q46="","",p_pdv&amp;"-"&amp;P46&amp;"-"&amp;RIGHT("000"&amp;Q46,4))</f>
        <v/>
      </c>
      <c r="B46" s="61" t="n"/>
      <c r="C46" s="60" t="n"/>
      <c r="D46" s="62" t="str">
        <f>IF(C46="","",IFERROR(INDEX(cli_name,MATCH(C46,cli_code,0))&amp;"","Client inconnu"))</f>
        <v/>
      </c>
      <c r="E46" s="63" t="n"/>
      <c r="F46" s="61" t="n"/>
      <c r="G46" s="60" t="n"/>
      <c r="H46" s="64" t="str">
        <f>IF(A46="","",IF(ISNUMBER(F46),F46,O46+N(p_validity)))</f>
        <v/>
      </c>
      <c r="I46" s="65" t="str">
        <f>IF(A46="","",SUMIF(dl_doc,A46,dl_ht))</f>
        <v/>
      </c>
      <c r="J46" s="65" t="str">
        <f>IF(A46="","",IF(INDEX(p_rates,1)="",0,ROUND(SUMIFS(dl_ht,dl_doc,A46,dl_rate,INDEX(p_rates,1))*INDEX(p_rates,1),2))+IF(INDEX(p_rates,2)="",0,ROUND(SUMIFS(dl_ht,dl_doc,A46,dl_rate,INDEX(p_rates,2))*INDEX(p_rates,2),2))+IF(INDEX(p_rates,3)="",0,ROUND(SUMIFS(dl_ht,dl_doc,A46,dl_rate,INDEX(p_rates,3))*INDEX(p_rates,3),2))+IF(INDEX(p_rates,4)="",0,ROUND(SUMIFS(dl_ht,dl_doc,A46,dl_rate,INDEX(p_rates,4))*INDEX(p_rates,4),2))+IF(INDEX(p_rates,5)="",0,ROUND(SUMIFS(dl_ht,dl_doc,A46,dl_rate,INDEX(p_rates,5))*INDEX(p_rates,5),2))+IF(INDEX(p_rates,6)="",0,ROUND(SUMIFS(dl_ht,dl_doc,A46,dl_rate,INDEX(p_rates,6))*INDEX(p_rates,6),2)))</f>
        <v/>
      </c>
      <c r="K46" s="65" t="str">
        <f>IF(A46="","",I46+J46)</f>
        <v/>
      </c>
      <c r="L46" s="59" t="str">
        <f>IF(A46="","",IFERROR(INDEX(fa_num,MATCH(A46,fa_dvkey,0))&amp;"",""))</f>
        <v/>
      </c>
      <c r="M46" s="59" t="str">
        <f>IF(A46="","",IF(G46="Annulé","Annulé",IF(L46&lt;&gt;"","Facturé",IF(G46="Accepté","Accepté",IF(G46="Refusé","Refusé",IF(p_asof&gt;H46,"Expiré","En attente"))))))</f>
        <v/>
      </c>
      <c r="N46" s="59" t="str">
        <f>IF(COUNTA(B46:C46,E46:G46)=0,"",IF(B46="","Date manquante",IF(NOT(ISNUMBER(B46)),"Date invalide",IF(C46="","Client manquant",IF(ISNA(MATCH(C46,cli_code,0)),"Client inconnu",IF(O46&lt;MAX($O$6:O45),"Date antérieure au devis précédent",IF(AND(ISNUMBER(F46),F46&lt;O46),"Validité antérieure à la date du devis",IF(AND(R46=0,G46&lt;&gt;"Annulé"),"Aucune ligne (feuille Lignes de devis)",IF(COUNTIFS(dl_doc,A46,dl_check,"&lt;&gt;OK")&gt;0,"Ligne(s) à corriger",IF(AND(L46&lt;&gt;"",OR(G46="Refusé",G46="Annulé")),"Devis refusé ou annulé mais facturé","OK"))))))))))</f>
        <v/>
      </c>
      <c r="O46" s="62">
        <f>IF(ISNUMBER(B46),B46,0)</f>
        <v>0.0</v>
      </c>
      <c r="P46" s="62" t="str">
        <f>IF(O46=0,"",YEAR(O46))</f>
        <v/>
      </c>
      <c r="Q46" s="62" t="str">
        <f>IF(P46="","",COUNTIF($P$6:P46,P46))</f>
        <v/>
      </c>
      <c r="R46" s="62">
        <f>IF(A46="",0,COUNTIF(dl_doc,A46))</f>
        <v>0.0</v>
      </c>
    </row>
    <row r="47">
      <c r="A47" s="59" t="str">
        <f>IF(Q47="","",p_pdv&amp;"-"&amp;P47&amp;"-"&amp;RIGHT("000"&amp;Q47,4))</f>
        <v/>
      </c>
      <c r="B47" s="61" t="n"/>
      <c r="C47" s="60" t="n"/>
      <c r="D47" s="62" t="str">
        <f>IF(C47="","",IFERROR(INDEX(cli_name,MATCH(C47,cli_code,0))&amp;"","Client inconnu"))</f>
        <v/>
      </c>
      <c r="E47" s="63" t="n"/>
      <c r="F47" s="61" t="n"/>
      <c r="G47" s="60" t="n"/>
      <c r="H47" s="64" t="str">
        <f>IF(A47="","",IF(ISNUMBER(F47),F47,O47+N(p_validity)))</f>
        <v/>
      </c>
      <c r="I47" s="65" t="str">
        <f>IF(A47="","",SUMIF(dl_doc,A47,dl_ht))</f>
        <v/>
      </c>
      <c r="J47" s="65" t="str">
        <f>IF(A47="","",IF(INDEX(p_rates,1)="",0,ROUND(SUMIFS(dl_ht,dl_doc,A47,dl_rate,INDEX(p_rates,1))*INDEX(p_rates,1),2))+IF(INDEX(p_rates,2)="",0,ROUND(SUMIFS(dl_ht,dl_doc,A47,dl_rate,INDEX(p_rates,2))*INDEX(p_rates,2),2))+IF(INDEX(p_rates,3)="",0,ROUND(SUMIFS(dl_ht,dl_doc,A47,dl_rate,INDEX(p_rates,3))*INDEX(p_rates,3),2))+IF(INDEX(p_rates,4)="",0,ROUND(SUMIFS(dl_ht,dl_doc,A47,dl_rate,INDEX(p_rates,4))*INDEX(p_rates,4),2))+IF(INDEX(p_rates,5)="",0,ROUND(SUMIFS(dl_ht,dl_doc,A47,dl_rate,INDEX(p_rates,5))*INDEX(p_rates,5),2))+IF(INDEX(p_rates,6)="",0,ROUND(SUMIFS(dl_ht,dl_doc,A47,dl_rate,INDEX(p_rates,6))*INDEX(p_rates,6),2)))</f>
        <v/>
      </c>
      <c r="K47" s="65" t="str">
        <f>IF(A47="","",I47+J47)</f>
        <v/>
      </c>
      <c r="L47" s="59" t="str">
        <f>IF(A47="","",IFERROR(INDEX(fa_num,MATCH(A47,fa_dvkey,0))&amp;"",""))</f>
        <v/>
      </c>
      <c r="M47" s="59" t="str">
        <f>IF(A47="","",IF(G47="Annulé","Annulé",IF(L47&lt;&gt;"","Facturé",IF(G47="Accepté","Accepté",IF(G47="Refusé","Refusé",IF(p_asof&gt;H47,"Expiré","En attente"))))))</f>
        <v/>
      </c>
      <c r="N47" s="59" t="str">
        <f>IF(COUNTA(B47:C47,E47:G47)=0,"",IF(B47="","Date manquante",IF(NOT(ISNUMBER(B47)),"Date invalide",IF(C47="","Client manquant",IF(ISNA(MATCH(C47,cli_code,0)),"Client inconnu",IF(O47&lt;MAX($O$6:O46),"Date antérieure au devis précédent",IF(AND(ISNUMBER(F47),F47&lt;O47),"Validité antérieure à la date du devis",IF(AND(R47=0,G47&lt;&gt;"Annulé"),"Aucune ligne (feuille Lignes de devis)",IF(COUNTIFS(dl_doc,A47,dl_check,"&lt;&gt;OK")&gt;0,"Ligne(s) à corriger",IF(AND(L47&lt;&gt;"",OR(G47="Refusé",G47="Annulé")),"Devis refusé ou annulé mais facturé","OK"))))))))))</f>
        <v/>
      </c>
      <c r="O47" s="62">
        <f>IF(ISNUMBER(B47),B47,0)</f>
        <v>0.0</v>
      </c>
      <c r="P47" s="62" t="str">
        <f>IF(O47=0,"",YEAR(O47))</f>
        <v/>
      </c>
      <c r="Q47" s="62" t="str">
        <f>IF(P47="","",COUNTIF($P$6:P47,P47))</f>
        <v/>
      </c>
      <c r="R47" s="62">
        <f>IF(A47="",0,COUNTIF(dl_doc,A47))</f>
        <v>0.0</v>
      </c>
    </row>
    <row r="48">
      <c r="A48" s="59" t="str">
        <f>IF(Q48="","",p_pdv&amp;"-"&amp;P48&amp;"-"&amp;RIGHT("000"&amp;Q48,4))</f>
        <v/>
      </c>
      <c r="B48" s="61" t="n"/>
      <c r="C48" s="60" t="n"/>
      <c r="D48" s="62" t="str">
        <f>IF(C48="","",IFERROR(INDEX(cli_name,MATCH(C48,cli_code,0))&amp;"","Client inconnu"))</f>
        <v/>
      </c>
      <c r="E48" s="63" t="n"/>
      <c r="F48" s="61" t="n"/>
      <c r="G48" s="60" t="n"/>
      <c r="H48" s="64" t="str">
        <f>IF(A48="","",IF(ISNUMBER(F48),F48,O48+N(p_validity)))</f>
        <v/>
      </c>
      <c r="I48" s="65" t="str">
        <f>IF(A48="","",SUMIF(dl_doc,A48,dl_ht))</f>
        <v/>
      </c>
      <c r="J48" s="65" t="str">
        <f>IF(A48="","",IF(INDEX(p_rates,1)="",0,ROUND(SUMIFS(dl_ht,dl_doc,A48,dl_rate,INDEX(p_rates,1))*INDEX(p_rates,1),2))+IF(INDEX(p_rates,2)="",0,ROUND(SUMIFS(dl_ht,dl_doc,A48,dl_rate,INDEX(p_rates,2))*INDEX(p_rates,2),2))+IF(INDEX(p_rates,3)="",0,ROUND(SUMIFS(dl_ht,dl_doc,A48,dl_rate,INDEX(p_rates,3))*INDEX(p_rates,3),2))+IF(INDEX(p_rates,4)="",0,ROUND(SUMIFS(dl_ht,dl_doc,A48,dl_rate,INDEX(p_rates,4))*INDEX(p_rates,4),2))+IF(INDEX(p_rates,5)="",0,ROUND(SUMIFS(dl_ht,dl_doc,A48,dl_rate,INDEX(p_rates,5))*INDEX(p_rates,5),2))+IF(INDEX(p_rates,6)="",0,ROUND(SUMIFS(dl_ht,dl_doc,A48,dl_rate,INDEX(p_rates,6))*INDEX(p_rates,6),2)))</f>
        <v/>
      </c>
      <c r="K48" s="65" t="str">
        <f>IF(A48="","",I48+J48)</f>
        <v/>
      </c>
      <c r="L48" s="59" t="str">
        <f>IF(A48="","",IFERROR(INDEX(fa_num,MATCH(A48,fa_dvkey,0))&amp;"",""))</f>
        <v/>
      </c>
      <c r="M48" s="59" t="str">
        <f>IF(A48="","",IF(G48="Annulé","Annulé",IF(L48&lt;&gt;"","Facturé",IF(G48="Accepté","Accepté",IF(G48="Refusé","Refusé",IF(p_asof&gt;H48,"Expiré","En attente"))))))</f>
        <v/>
      </c>
      <c r="N48" s="59" t="str">
        <f>IF(COUNTA(B48:C48,E48:G48)=0,"",IF(B48="","Date manquante",IF(NOT(ISNUMBER(B48)),"Date invalide",IF(C48="","Client manquant",IF(ISNA(MATCH(C48,cli_code,0)),"Client inconnu",IF(O48&lt;MAX($O$6:O47),"Date antérieure au devis précédent",IF(AND(ISNUMBER(F48),F48&lt;O48),"Validité antérieure à la date du devis",IF(AND(R48=0,G48&lt;&gt;"Annulé"),"Aucune ligne (feuille Lignes de devis)",IF(COUNTIFS(dl_doc,A48,dl_check,"&lt;&gt;OK")&gt;0,"Ligne(s) à corriger",IF(AND(L48&lt;&gt;"",OR(G48="Refusé",G48="Annulé")),"Devis refusé ou annulé mais facturé","OK"))))))))))</f>
        <v/>
      </c>
      <c r="O48" s="62">
        <f>IF(ISNUMBER(B48),B48,0)</f>
        <v>0.0</v>
      </c>
      <c r="P48" s="62" t="str">
        <f>IF(O48=0,"",YEAR(O48))</f>
        <v/>
      </c>
      <c r="Q48" s="62" t="str">
        <f>IF(P48="","",COUNTIF($P$6:P48,P48))</f>
        <v/>
      </c>
      <c r="R48" s="62">
        <f>IF(A48="",0,COUNTIF(dl_doc,A48))</f>
        <v>0.0</v>
      </c>
    </row>
    <row r="49">
      <c r="A49" s="59" t="str">
        <f>IF(Q49="","",p_pdv&amp;"-"&amp;P49&amp;"-"&amp;RIGHT("000"&amp;Q49,4))</f>
        <v/>
      </c>
      <c r="B49" s="61" t="n"/>
      <c r="C49" s="60" t="n"/>
      <c r="D49" s="62" t="str">
        <f>IF(C49="","",IFERROR(INDEX(cli_name,MATCH(C49,cli_code,0))&amp;"","Client inconnu"))</f>
        <v/>
      </c>
      <c r="E49" s="63" t="n"/>
      <c r="F49" s="61" t="n"/>
      <c r="G49" s="60" t="n"/>
      <c r="H49" s="64" t="str">
        <f>IF(A49="","",IF(ISNUMBER(F49),F49,O49+N(p_validity)))</f>
        <v/>
      </c>
      <c r="I49" s="65" t="str">
        <f>IF(A49="","",SUMIF(dl_doc,A49,dl_ht))</f>
        <v/>
      </c>
      <c r="J49" s="65" t="str">
        <f>IF(A49="","",IF(INDEX(p_rates,1)="",0,ROUND(SUMIFS(dl_ht,dl_doc,A49,dl_rate,INDEX(p_rates,1))*INDEX(p_rates,1),2))+IF(INDEX(p_rates,2)="",0,ROUND(SUMIFS(dl_ht,dl_doc,A49,dl_rate,INDEX(p_rates,2))*INDEX(p_rates,2),2))+IF(INDEX(p_rates,3)="",0,ROUND(SUMIFS(dl_ht,dl_doc,A49,dl_rate,INDEX(p_rates,3))*INDEX(p_rates,3),2))+IF(INDEX(p_rates,4)="",0,ROUND(SUMIFS(dl_ht,dl_doc,A49,dl_rate,INDEX(p_rates,4))*INDEX(p_rates,4),2))+IF(INDEX(p_rates,5)="",0,ROUND(SUMIFS(dl_ht,dl_doc,A49,dl_rate,INDEX(p_rates,5))*INDEX(p_rates,5),2))+IF(INDEX(p_rates,6)="",0,ROUND(SUMIFS(dl_ht,dl_doc,A49,dl_rate,INDEX(p_rates,6))*INDEX(p_rates,6),2)))</f>
        <v/>
      </c>
      <c r="K49" s="65" t="str">
        <f>IF(A49="","",I49+J49)</f>
        <v/>
      </c>
      <c r="L49" s="59" t="str">
        <f>IF(A49="","",IFERROR(INDEX(fa_num,MATCH(A49,fa_dvkey,0))&amp;"",""))</f>
        <v/>
      </c>
      <c r="M49" s="59" t="str">
        <f>IF(A49="","",IF(G49="Annulé","Annulé",IF(L49&lt;&gt;"","Facturé",IF(G49="Accepté","Accepté",IF(G49="Refusé","Refusé",IF(p_asof&gt;H49,"Expiré","En attente"))))))</f>
        <v/>
      </c>
      <c r="N49" s="59" t="str">
        <f>IF(COUNTA(B49:C49,E49:G49)=0,"",IF(B49="","Date manquante",IF(NOT(ISNUMBER(B49)),"Date invalide",IF(C49="","Client manquant",IF(ISNA(MATCH(C49,cli_code,0)),"Client inconnu",IF(O49&lt;MAX($O$6:O48),"Date antérieure au devis précédent",IF(AND(ISNUMBER(F49),F49&lt;O49),"Validité antérieure à la date du devis",IF(AND(R49=0,G49&lt;&gt;"Annulé"),"Aucune ligne (feuille Lignes de devis)",IF(COUNTIFS(dl_doc,A49,dl_check,"&lt;&gt;OK")&gt;0,"Ligne(s) à corriger",IF(AND(L49&lt;&gt;"",OR(G49="Refusé",G49="Annulé")),"Devis refusé ou annulé mais facturé","OK"))))))))))</f>
        <v/>
      </c>
      <c r="O49" s="62">
        <f>IF(ISNUMBER(B49),B49,0)</f>
        <v>0.0</v>
      </c>
      <c r="P49" s="62" t="str">
        <f>IF(O49=0,"",YEAR(O49))</f>
        <v/>
      </c>
      <c r="Q49" s="62" t="str">
        <f>IF(P49="","",COUNTIF($P$6:P49,P49))</f>
        <v/>
      </c>
      <c r="R49" s="62">
        <f>IF(A49="",0,COUNTIF(dl_doc,A49))</f>
        <v>0.0</v>
      </c>
    </row>
    <row r="50">
      <c r="A50" s="59" t="str">
        <f>IF(Q50="","",p_pdv&amp;"-"&amp;P50&amp;"-"&amp;RIGHT("000"&amp;Q50,4))</f>
        <v/>
      </c>
      <c r="B50" s="61" t="n"/>
      <c r="C50" s="60" t="n"/>
      <c r="D50" s="62" t="str">
        <f>IF(C50="","",IFERROR(INDEX(cli_name,MATCH(C50,cli_code,0))&amp;"","Client inconnu"))</f>
        <v/>
      </c>
      <c r="E50" s="63" t="n"/>
      <c r="F50" s="61" t="n"/>
      <c r="G50" s="60" t="n"/>
      <c r="H50" s="64" t="str">
        <f>IF(A50="","",IF(ISNUMBER(F50),F50,O50+N(p_validity)))</f>
        <v/>
      </c>
      <c r="I50" s="65" t="str">
        <f>IF(A50="","",SUMIF(dl_doc,A50,dl_ht))</f>
        <v/>
      </c>
      <c r="J50" s="65" t="str">
        <f>IF(A50="","",IF(INDEX(p_rates,1)="",0,ROUND(SUMIFS(dl_ht,dl_doc,A50,dl_rate,INDEX(p_rates,1))*INDEX(p_rates,1),2))+IF(INDEX(p_rates,2)="",0,ROUND(SUMIFS(dl_ht,dl_doc,A50,dl_rate,INDEX(p_rates,2))*INDEX(p_rates,2),2))+IF(INDEX(p_rates,3)="",0,ROUND(SUMIFS(dl_ht,dl_doc,A50,dl_rate,INDEX(p_rates,3))*INDEX(p_rates,3),2))+IF(INDEX(p_rates,4)="",0,ROUND(SUMIFS(dl_ht,dl_doc,A50,dl_rate,INDEX(p_rates,4))*INDEX(p_rates,4),2))+IF(INDEX(p_rates,5)="",0,ROUND(SUMIFS(dl_ht,dl_doc,A50,dl_rate,INDEX(p_rates,5))*INDEX(p_rates,5),2))+IF(INDEX(p_rates,6)="",0,ROUND(SUMIFS(dl_ht,dl_doc,A50,dl_rate,INDEX(p_rates,6))*INDEX(p_rates,6),2)))</f>
        <v/>
      </c>
      <c r="K50" s="65" t="str">
        <f>IF(A50="","",I50+J50)</f>
        <v/>
      </c>
      <c r="L50" s="59" t="str">
        <f>IF(A50="","",IFERROR(INDEX(fa_num,MATCH(A50,fa_dvkey,0))&amp;"",""))</f>
        <v/>
      </c>
      <c r="M50" s="59" t="str">
        <f>IF(A50="","",IF(G50="Annulé","Annulé",IF(L50&lt;&gt;"","Facturé",IF(G50="Accepté","Accepté",IF(G50="Refusé","Refusé",IF(p_asof&gt;H50,"Expiré","En attente"))))))</f>
        <v/>
      </c>
      <c r="N50" s="59" t="str">
        <f>IF(COUNTA(B50:C50,E50:G50)=0,"",IF(B50="","Date manquante",IF(NOT(ISNUMBER(B50)),"Date invalide",IF(C50="","Client manquant",IF(ISNA(MATCH(C50,cli_code,0)),"Client inconnu",IF(O50&lt;MAX($O$6:O49),"Date antérieure au devis précédent",IF(AND(ISNUMBER(F50),F50&lt;O50),"Validité antérieure à la date du devis",IF(AND(R50=0,G50&lt;&gt;"Annulé"),"Aucune ligne (feuille Lignes de devis)",IF(COUNTIFS(dl_doc,A50,dl_check,"&lt;&gt;OK")&gt;0,"Ligne(s) à corriger",IF(AND(L50&lt;&gt;"",OR(G50="Refusé",G50="Annulé")),"Devis refusé ou annulé mais facturé","OK"))))))))))</f>
        <v/>
      </c>
      <c r="O50" s="62">
        <f>IF(ISNUMBER(B50),B50,0)</f>
        <v>0.0</v>
      </c>
      <c r="P50" s="62" t="str">
        <f>IF(O50=0,"",YEAR(O50))</f>
        <v/>
      </c>
      <c r="Q50" s="62" t="str">
        <f>IF(P50="","",COUNTIF($P$6:P50,P50))</f>
        <v/>
      </c>
      <c r="R50" s="62">
        <f>IF(A50="",0,COUNTIF(dl_doc,A50))</f>
        <v>0.0</v>
      </c>
    </row>
    <row r="51">
      <c r="A51" s="59" t="str">
        <f>IF(Q51="","",p_pdv&amp;"-"&amp;P51&amp;"-"&amp;RIGHT("000"&amp;Q51,4))</f>
        <v/>
      </c>
      <c r="B51" s="61" t="n"/>
      <c r="C51" s="60" t="n"/>
      <c r="D51" s="62" t="str">
        <f>IF(C51="","",IFERROR(INDEX(cli_name,MATCH(C51,cli_code,0))&amp;"","Client inconnu"))</f>
        <v/>
      </c>
      <c r="E51" s="63" t="n"/>
      <c r="F51" s="61" t="n"/>
      <c r="G51" s="60" t="n"/>
      <c r="H51" s="64" t="str">
        <f>IF(A51="","",IF(ISNUMBER(F51),F51,O51+N(p_validity)))</f>
        <v/>
      </c>
      <c r="I51" s="65" t="str">
        <f>IF(A51="","",SUMIF(dl_doc,A51,dl_ht))</f>
        <v/>
      </c>
      <c r="J51" s="65" t="str">
        <f>IF(A51="","",IF(INDEX(p_rates,1)="",0,ROUND(SUMIFS(dl_ht,dl_doc,A51,dl_rate,INDEX(p_rates,1))*INDEX(p_rates,1),2))+IF(INDEX(p_rates,2)="",0,ROUND(SUMIFS(dl_ht,dl_doc,A51,dl_rate,INDEX(p_rates,2))*INDEX(p_rates,2),2))+IF(INDEX(p_rates,3)="",0,ROUND(SUMIFS(dl_ht,dl_doc,A51,dl_rate,INDEX(p_rates,3))*INDEX(p_rates,3),2))+IF(INDEX(p_rates,4)="",0,ROUND(SUMIFS(dl_ht,dl_doc,A51,dl_rate,INDEX(p_rates,4))*INDEX(p_rates,4),2))+IF(INDEX(p_rates,5)="",0,ROUND(SUMIFS(dl_ht,dl_doc,A51,dl_rate,INDEX(p_rates,5))*INDEX(p_rates,5),2))+IF(INDEX(p_rates,6)="",0,ROUND(SUMIFS(dl_ht,dl_doc,A51,dl_rate,INDEX(p_rates,6))*INDEX(p_rates,6),2)))</f>
        <v/>
      </c>
      <c r="K51" s="65" t="str">
        <f>IF(A51="","",I51+J51)</f>
        <v/>
      </c>
      <c r="L51" s="59" t="str">
        <f>IF(A51="","",IFERROR(INDEX(fa_num,MATCH(A51,fa_dvkey,0))&amp;"",""))</f>
        <v/>
      </c>
      <c r="M51" s="59" t="str">
        <f>IF(A51="","",IF(G51="Annulé","Annulé",IF(L51&lt;&gt;"","Facturé",IF(G51="Accepté","Accepté",IF(G51="Refusé","Refusé",IF(p_asof&gt;H51,"Expiré","En attente"))))))</f>
        <v/>
      </c>
      <c r="N51" s="59" t="str">
        <f>IF(COUNTA(B51:C51,E51:G51)=0,"",IF(B51="","Date manquante",IF(NOT(ISNUMBER(B51)),"Date invalide",IF(C51="","Client manquant",IF(ISNA(MATCH(C51,cli_code,0)),"Client inconnu",IF(O51&lt;MAX($O$6:O50),"Date antérieure au devis précédent",IF(AND(ISNUMBER(F51),F51&lt;O51),"Validité antérieure à la date du devis",IF(AND(R51=0,G51&lt;&gt;"Annulé"),"Aucune ligne (feuille Lignes de devis)",IF(COUNTIFS(dl_doc,A51,dl_check,"&lt;&gt;OK")&gt;0,"Ligne(s) à corriger",IF(AND(L51&lt;&gt;"",OR(G51="Refusé",G51="Annulé")),"Devis refusé ou annulé mais facturé","OK"))))))))))</f>
        <v/>
      </c>
      <c r="O51" s="62">
        <f>IF(ISNUMBER(B51),B51,0)</f>
        <v>0.0</v>
      </c>
      <c r="P51" s="62" t="str">
        <f>IF(O51=0,"",YEAR(O51))</f>
        <v/>
      </c>
      <c r="Q51" s="62" t="str">
        <f>IF(P51="","",COUNTIF($P$6:P51,P51))</f>
        <v/>
      </c>
      <c r="R51" s="62">
        <f>IF(A51="",0,COUNTIF(dl_doc,A51))</f>
        <v>0.0</v>
      </c>
    </row>
    <row r="52">
      <c r="A52" s="59" t="str">
        <f>IF(Q52="","",p_pdv&amp;"-"&amp;P52&amp;"-"&amp;RIGHT("000"&amp;Q52,4))</f>
        <v/>
      </c>
      <c r="B52" s="61" t="n"/>
      <c r="C52" s="60" t="n"/>
      <c r="D52" s="62" t="str">
        <f>IF(C52="","",IFERROR(INDEX(cli_name,MATCH(C52,cli_code,0))&amp;"","Client inconnu"))</f>
        <v/>
      </c>
      <c r="E52" s="63" t="n"/>
      <c r="F52" s="61" t="n"/>
      <c r="G52" s="60" t="n"/>
      <c r="H52" s="64" t="str">
        <f>IF(A52="","",IF(ISNUMBER(F52),F52,O52+N(p_validity)))</f>
        <v/>
      </c>
      <c r="I52" s="65" t="str">
        <f>IF(A52="","",SUMIF(dl_doc,A52,dl_ht))</f>
        <v/>
      </c>
      <c r="J52" s="65" t="str">
        <f>IF(A52="","",IF(INDEX(p_rates,1)="",0,ROUND(SUMIFS(dl_ht,dl_doc,A52,dl_rate,INDEX(p_rates,1))*INDEX(p_rates,1),2))+IF(INDEX(p_rates,2)="",0,ROUND(SUMIFS(dl_ht,dl_doc,A52,dl_rate,INDEX(p_rates,2))*INDEX(p_rates,2),2))+IF(INDEX(p_rates,3)="",0,ROUND(SUMIFS(dl_ht,dl_doc,A52,dl_rate,INDEX(p_rates,3))*INDEX(p_rates,3),2))+IF(INDEX(p_rates,4)="",0,ROUND(SUMIFS(dl_ht,dl_doc,A52,dl_rate,INDEX(p_rates,4))*INDEX(p_rates,4),2))+IF(INDEX(p_rates,5)="",0,ROUND(SUMIFS(dl_ht,dl_doc,A52,dl_rate,INDEX(p_rates,5))*INDEX(p_rates,5),2))+IF(INDEX(p_rates,6)="",0,ROUND(SUMIFS(dl_ht,dl_doc,A52,dl_rate,INDEX(p_rates,6))*INDEX(p_rates,6),2)))</f>
        <v/>
      </c>
      <c r="K52" s="65" t="str">
        <f>IF(A52="","",I52+J52)</f>
        <v/>
      </c>
      <c r="L52" s="59" t="str">
        <f>IF(A52="","",IFERROR(INDEX(fa_num,MATCH(A52,fa_dvkey,0))&amp;"",""))</f>
        <v/>
      </c>
      <c r="M52" s="59" t="str">
        <f>IF(A52="","",IF(G52="Annulé","Annulé",IF(L52&lt;&gt;"","Facturé",IF(G52="Accepté","Accepté",IF(G52="Refusé","Refusé",IF(p_asof&gt;H52,"Expiré","En attente"))))))</f>
        <v/>
      </c>
      <c r="N52" s="59" t="str">
        <f>IF(COUNTA(B52:C52,E52:G52)=0,"",IF(B52="","Date manquante",IF(NOT(ISNUMBER(B52)),"Date invalide",IF(C52="","Client manquant",IF(ISNA(MATCH(C52,cli_code,0)),"Client inconnu",IF(O52&lt;MAX($O$6:O51),"Date antérieure au devis précédent",IF(AND(ISNUMBER(F52),F52&lt;O52),"Validité antérieure à la date du devis",IF(AND(R52=0,G52&lt;&gt;"Annulé"),"Aucune ligne (feuille Lignes de devis)",IF(COUNTIFS(dl_doc,A52,dl_check,"&lt;&gt;OK")&gt;0,"Ligne(s) à corriger",IF(AND(L52&lt;&gt;"",OR(G52="Refusé",G52="Annulé")),"Devis refusé ou annulé mais facturé","OK"))))))))))</f>
        <v/>
      </c>
      <c r="O52" s="62">
        <f>IF(ISNUMBER(B52),B52,0)</f>
        <v>0.0</v>
      </c>
      <c r="P52" s="62" t="str">
        <f>IF(O52=0,"",YEAR(O52))</f>
        <v/>
      </c>
      <c r="Q52" s="62" t="str">
        <f>IF(P52="","",COUNTIF($P$6:P52,P52))</f>
        <v/>
      </c>
      <c r="R52" s="62">
        <f>IF(A52="",0,COUNTIF(dl_doc,A52))</f>
        <v>0.0</v>
      </c>
    </row>
    <row r="53">
      <c r="A53" s="59" t="str">
        <f>IF(Q53="","",p_pdv&amp;"-"&amp;P53&amp;"-"&amp;RIGHT("000"&amp;Q53,4))</f>
        <v/>
      </c>
      <c r="B53" s="61" t="n"/>
      <c r="C53" s="60" t="n"/>
      <c r="D53" s="62" t="str">
        <f>IF(C53="","",IFERROR(INDEX(cli_name,MATCH(C53,cli_code,0))&amp;"","Client inconnu"))</f>
        <v/>
      </c>
      <c r="E53" s="63" t="n"/>
      <c r="F53" s="61" t="n"/>
      <c r="G53" s="60" t="n"/>
      <c r="H53" s="64" t="str">
        <f>IF(A53="","",IF(ISNUMBER(F53),F53,O53+N(p_validity)))</f>
        <v/>
      </c>
      <c r="I53" s="65" t="str">
        <f>IF(A53="","",SUMIF(dl_doc,A53,dl_ht))</f>
        <v/>
      </c>
      <c r="J53" s="65" t="str">
        <f>IF(A53="","",IF(INDEX(p_rates,1)="",0,ROUND(SUMIFS(dl_ht,dl_doc,A53,dl_rate,INDEX(p_rates,1))*INDEX(p_rates,1),2))+IF(INDEX(p_rates,2)="",0,ROUND(SUMIFS(dl_ht,dl_doc,A53,dl_rate,INDEX(p_rates,2))*INDEX(p_rates,2),2))+IF(INDEX(p_rates,3)="",0,ROUND(SUMIFS(dl_ht,dl_doc,A53,dl_rate,INDEX(p_rates,3))*INDEX(p_rates,3),2))+IF(INDEX(p_rates,4)="",0,ROUND(SUMIFS(dl_ht,dl_doc,A53,dl_rate,INDEX(p_rates,4))*INDEX(p_rates,4),2))+IF(INDEX(p_rates,5)="",0,ROUND(SUMIFS(dl_ht,dl_doc,A53,dl_rate,INDEX(p_rates,5))*INDEX(p_rates,5),2))+IF(INDEX(p_rates,6)="",0,ROUND(SUMIFS(dl_ht,dl_doc,A53,dl_rate,INDEX(p_rates,6))*INDEX(p_rates,6),2)))</f>
        <v/>
      </c>
      <c r="K53" s="65" t="str">
        <f>IF(A53="","",I53+J53)</f>
        <v/>
      </c>
      <c r="L53" s="59" t="str">
        <f>IF(A53="","",IFERROR(INDEX(fa_num,MATCH(A53,fa_dvkey,0))&amp;"",""))</f>
        <v/>
      </c>
      <c r="M53" s="59" t="str">
        <f>IF(A53="","",IF(G53="Annulé","Annulé",IF(L53&lt;&gt;"","Facturé",IF(G53="Accepté","Accepté",IF(G53="Refusé","Refusé",IF(p_asof&gt;H53,"Expiré","En attente"))))))</f>
        <v/>
      </c>
      <c r="N53" s="59" t="str">
        <f>IF(COUNTA(B53:C53,E53:G53)=0,"",IF(B53="","Date manquante",IF(NOT(ISNUMBER(B53)),"Date invalide",IF(C53="","Client manquant",IF(ISNA(MATCH(C53,cli_code,0)),"Client inconnu",IF(O53&lt;MAX($O$6:O52),"Date antérieure au devis précédent",IF(AND(ISNUMBER(F53),F53&lt;O53),"Validité antérieure à la date du devis",IF(AND(R53=0,G53&lt;&gt;"Annulé"),"Aucune ligne (feuille Lignes de devis)",IF(COUNTIFS(dl_doc,A53,dl_check,"&lt;&gt;OK")&gt;0,"Ligne(s) à corriger",IF(AND(L53&lt;&gt;"",OR(G53="Refusé",G53="Annulé")),"Devis refusé ou annulé mais facturé","OK"))))))))))</f>
        <v/>
      </c>
      <c r="O53" s="62">
        <f>IF(ISNUMBER(B53),B53,0)</f>
        <v>0.0</v>
      </c>
      <c r="P53" s="62" t="str">
        <f>IF(O53=0,"",YEAR(O53))</f>
        <v/>
      </c>
      <c r="Q53" s="62" t="str">
        <f>IF(P53="","",COUNTIF($P$6:P53,P53))</f>
        <v/>
      </c>
      <c r="R53" s="62">
        <f>IF(A53="",0,COUNTIF(dl_doc,A53))</f>
        <v>0.0</v>
      </c>
    </row>
    <row r="54">
      <c r="A54" s="59" t="str">
        <f>IF(Q54="","",p_pdv&amp;"-"&amp;P54&amp;"-"&amp;RIGHT("000"&amp;Q54,4))</f>
        <v/>
      </c>
      <c r="B54" s="61" t="n"/>
      <c r="C54" s="60" t="n"/>
      <c r="D54" s="62" t="str">
        <f>IF(C54="","",IFERROR(INDEX(cli_name,MATCH(C54,cli_code,0))&amp;"","Client inconnu"))</f>
        <v/>
      </c>
      <c r="E54" s="63" t="n"/>
      <c r="F54" s="61" t="n"/>
      <c r="G54" s="60" t="n"/>
      <c r="H54" s="64" t="str">
        <f>IF(A54="","",IF(ISNUMBER(F54),F54,O54+N(p_validity)))</f>
        <v/>
      </c>
      <c r="I54" s="65" t="str">
        <f>IF(A54="","",SUMIF(dl_doc,A54,dl_ht))</f>
        <v/>
      </c>
      <c r="J54" s="65" t="str">
        <f>IF(A54="","",IF(INDEX(p_rates,1)="",0,ROUND(SUMIFS(dl_ht,dl_doc,A54,dl_rate,INDEX(p_rates,1))*INDEX(p_rates,1),2))+IF(INDEX(p_rates,2)="",0,ROUND(SUMIFS(dl_ht,dl_doc,A54,dl_rate,INDEX(p_rates,2))*INDEX(p_rates,2),2))+IF(INDEX(p_rates,3)="",0,ROUND(SUMIFS(dl_ht,dl_doc,A54,dl_rate,INDEX(p_rates,3))*INDEX(p_rates,3),2))+IF(INDEX(p_rates,4)="",0,ROUND(SUMIFS(dl_ht,dl_doc,A54,dl_rate,INDEX(p_rates,4))*INDEX(p_rates,4),2))+IF(INDEX(p_rates,5)="",0,ROUND(SUMIFS(dl_ht,dl_doc,A54,dl_rate,INDEX(p_rates,5))*INDEX(p_rates,5),2))+IF(INDEX(p_rates,6)="",0,ROUND(SUMIFS(dl_ht,dl_doc,A54,dl_rate,INDEX(p_rates,6))*INDEX(p_rates,6),2)))</f>
        <v/>
      </c>
      <c r="K54" s="65" t="str">
        <f>IF(A54="","",I54+J54)</f>
        <v/>
      </c>
      <c r="L54" s="59" t="str">
        <f>IF(A54="","",IFERROR(INDEX(fa_num,MATCH(A54,fa_dvkey,0))&amp;"",""))</f>
        <v/>
      </c>
      <c r="M54" s="59" t="str">
        <f>IF(A54="","",IF(G54="Annulé","Annulé",IF(L54&lt;&gt;"","Facturé",IF(G54="Accepté","Accepté",IF(G54="Refusé","Refusé",IF(p_asof&gt;H54,"Expiré","En attente"))))))</f>
        <v/>
      </c>
      <c r="N54" s="59" t="str">
        <f>IF(COUNTA(B54:C54,E54:G54)=0,"",IF(B54="","Date manquante",IF(NOT(ISNUMBER(B54)),"Date invalide",IF(C54="","Client manquant",IF(ISNA(MATCH(C54,cli_code,0)),"Client inconnu",IF(O54&lt;MAX($O$6:O53),"Date antérieure au devis précédent",IF(AND(ISNUMBER(F54),F54&lt;O54),"Validité antérieure à la date du devis",IF(AND(R54=0,G54&lt;&gt;"Annulé"),"Aucune ligne (feuille Lignes de devis)",IF(COUNTIFS(dl_doc,A54,dl_check,"&lt;&gt;OK")&gt;0,"Ligne(s) à corriger",IF(AND(L54&lt;&gt;"",OR(G54="Refusé",G54="Annulé")),"Devis refusé ou annulé mais facturé","OK"))))))))))</f>
        <v/>
      </c>
      <c r="O54" s="62">
        <f>IF(ISNUMBER(B54),B54,0)</f>
        <v>0.0</v>
      </c>
      <c r="P54" s="62" t="str">
        <f>IF(O54=0,"",YEAR(O54))</f>
        <v/>
      </c>
      <c r="Q54" s="62" t="str">
        <f>IF(P54="","",COUNTIF($P$6:P54,P54))</f>
        <v/>
      </c>
      <c r="R54" s="62">
        <f>IF(A54="",0,COUNTIF(dl_doc,A54))</f>
        <v>0.0</v>
      </c>
    </row>
    <row r="55">
      <c r="A55" s="59" t="str">
        <f>IF(Q55="","",p_pdv&amp;"-"&amp;P55&amp;"-"&amp;RIGHT("000"&amp;Q55,4))</f>
        <v/>
      </c>
      <c r="B55" s="61" t="n"/>
      <c r="C55" s="60" t="n"/>
      <c r="D55" s="62" t="str">
        <f>IF(C55="","",IFERROR(INDEX(cli_name,MATCH(C55,cli_code,0))&amp;"","Client inconnu"))</f>
        <v/>
      </c>
      <c r="E55" s="63" t="n"/>
      <c r="F55" s="61" t="n"/>
      <c r="G55" s="60" t="n"/>
      <c r="H55" s="64" t="str">
        <f>IF(A55="","",IF(ISNUMBER(F55),F55,O55+N(p_validity)))</f>
        <v/>
      </c>
      <c r="I55" s="65" t="str">
        <f>IF(A55="","",SUMIF(dl_doc,A55,dl_ht))</f>
        <v/>
      </c>
      <c r="J55" s="65" t="str">
        <f>IF(A55="","",IF(INDEX(p_rates,1)="",0,ROUND(SUMIFS(dl_ht,dl_doc,A55,dl_rate,INDEX(p_rates,1))*INDEX(p_rates,1),2))+IF(INDEX(p_rates,2)="",0,ROUND(SUMIFS(dl_ht,dl_doc,A55,dl_rate,INDEX(p_rates,2))*INDEX(p_rates,2),2))+IF(INDEX(p_rates,3)="",0,ROUND(SUMIFS(dl_ht,dl_doc,A55,dl_rate,INDEX(p_rates,3))*INDEX(p_rates,3),2))+IF(INDEX(p_rates,4)="",0,ROUND(SUMIFS(dl_ht,dl_doc,A55,dl_rate,INDEX(p_rates,4))*INDEX(p_rates,4),2))+IF(INDEX(p_rates,5)="",0,ROUND(SUMIFS(dl_ht,dl_doc,A55,dl_rate,INDEX(p_rates,5))*INDEX(p_rates,5),2))+IF(INDEX(p_rates,6)="",0,ROUND(SUMIFS(dl_ht,dl_doc,A55,dl_rate,INDEX(p_rates,6))*INDEX(p_rates,6),2)))</f>
        <v/>
      </c>
      <c r="K55" s="65" t="str">
        <f>IF(A55="","",I55+J55)</f>
        <v/>
      </c>
      <c r="L55" s="59" t="str">
        <f>IF(A55="","",IFERROR(INDEX(fa_num,MATCH(A55,fa_dvkey,0))&amp;"",""))</f>
        <v/>
      </c>
      <c r="M55" s="59" t="str">
        <f>IF(A55="","",IF(G55="Annulé","Annulé",IF(L55&lt;&gt;"","Facturé",IF(G55="Accepté","Accepté",IF(G55="Refusé","Refusé",IF(p_asof&gt;H55,"Expiré","En attente"))))))</f>
        <v/>
      </c>
      <c r="N55" s="59" t="str">
        <f>IF(COUNTA(B55:C55,E55:G55)=0,"",IF(B55="","Date manquante",IF(NOT(ISNUMBER(B55)),"Date invalide",IF(C55="","Client manquant",IF(ISNA(MATCH(C55,cli_code,0)),"Client inconnu",IF(O55&lt;MAX($O$6:O54),"Date antérieure au devis précédent",IF(AND(ISNUMBER(F55),F55&lt;O55),"Validité antérieure à la date du devis",IF(AND(R55=0,G55&lt;&gt;"Annulé"),"Aucune ligne (feuille Lignes de devis)",IF(COUNTIFS(dl_doc,A55,dl_check,"&lt;&gt;OK")&gt;0,"Ligne(s) à corriger",IF(AND(L55&lt;&gt;"",OR(G55="Refusé",G55="Annulé")),"Devis refusé ou annulé mais facturé","OK"))))))))))</f>
        <v/>
      </c>
      <c r="O55" s="62">
        <f>IF(ISNUMBER(B55),B55,0)</f>
        <v>0.0</v>
      </c>
      <c r="P55" s="62" t="str">
        <f>IF(O55=0,"",YEAR(O55))</f>
        <v/>
      </c>
      <c r="Q55" s="62" t="str">
        <f>IF(P55="","",COUNTIF($P$6:P55,P55))</f>
        <v/>
      </c>
      <c r="R55" s="62">
        <f>IF(A55="",0,COUNTIF(dl_doc,A55))</f>
        <v>0.0</v>
      </c>
    </row>
    <row r="56">
      <c r="A56" s="59" t="str">
        <f>IF(Q56="","",p_pdv&amp;"-"&amp;P56&amp;"-"&amp;RIGHT("000"&amp;Q56,4))</f>
        <v/>
      </c>
      <c r="B56" s="61" t="n"/>
      <c r="C56" s="60" t="n"/>
      <c r="D56" s="62" t="str">
        <f>IF(C56="","",IFERROR(INDEX(cli_name,MATCH(C56,cli_code,0))&amp;"","Client inconnu"))</f>
        <v/>
      </c>
      <c r="E56" s="63" t="n"/>
      <c r="F56" s="61" t="n"/>
      <c r="G56" s="60" t="n"/>
      <c r="H56" s="64" t="str">
        <f>IF(A56="","",IF(ISNUMBER(F56),F56,O56+N(p_validity)))</f>
        <v/>
      </c>
      <c r="I56" s="65" t="str">
        <f>IF(A56="","",SUMIF(dl_doc,A56,dl_ht))</f>
        <v/>
      </c>
      <c r="J56" s="65" t="str">
        <f>IF(A56="","",IF(INDEX(p_rates,1)="",0,ROUND(SUMIFS(dl_ht,dl_doc,A56,dl_rate,INDEX(p_rates,1))*INDEX(p_rates,1),2))+IF(INDEX(p_rates,2)="",0,ROUND(SUMIFS(dl_ht,dl_doc,A56,dl_rate,INDEX(p_rates,2))*INDEX(p_rates,2),2))+IF(INDEX(p_rates,3)="",0,ROUND(SUMIFS(dl_ht,dl_doc,A56,dl_rate,INDEX(p_rates,3))*INDEX(p_rates,3),2))+IF(INDEX(p_rates,4)="",0,ROUND(SUMIFS(dl_ht,dl_doc,A56,dl_rate,INDEX(p_rates,4))*INDEX(p_rates,4),2))+IF(INDEX(p_rates,5)="",0,ROUND(SUMIFS(dl_ht,dl_doc,A56,dl_rate,INDEX(p_rates,5))*INDEX(p_rates,5),2))+IF(INDEX(p_rates,6)="",0,ROUND(SUMIFS(dl_ht,dl_doc,A56,dl_rate,INDEX(p_rates,6))*INDEX(p_rates,6),2)))</f>
        <v/>
      </c>
      <c r="K56" s="65" t="str">
        <f>IF(A56="","",I56+J56)</f>
        <v/>
      </c>
      <c r="L56" s="59" t="str">
        <f>IF(A56="","",IFERROR(INDEX(fa_num,MATCH(A56,fa_dvkey,0))&amp;"",""))</f>
        <v/>
      </c>
      <c r="M56" s="59" t="str">
        <f>IF(A56="","",IF(G56="Annulé","Annulé",IF(L56&lt;&gt;"","Facturé",IF(G56="Accepté","Accepté",IF(G56="Refusé","Refusé",IF(p_asof&gt;H56,"Expiré","En attente"))))))</f>
        <v/>
      </c>
      <c r="N56" s="59" t="str">
        <f>IF(COUNTA(B56:C56,E56:G56)=0,"",IF(B56="","Date manquante",IF(NOT(ISNUMBER(B56)),"Date invalide",IF(C56="","Client manquant",IF(ISNA(MATCH(C56,cli_code,0)),"Client inconnu",IF(O56&lt;MAX($O$6:O55),"Date antérieure au devis précédent",IF(AND(ISNUMBER(F56),F56&lt;O56),"Validité antérieure à la date du devis",IF(AND(R56=0,G56&lt;&gt;"Annulé"),"Aucune ligne (feuille Lignes de devis)",IF(COUNTIFS(dl_doc,A56,dl_check,"&lt;&gt;OK")&gt;0,"Ligne(s) à corriger",IF(AND(L56&lt;&gt;"",OR(G56="Refusé",G56="Annulé")),"Devis refusé ou annulé mais facturé","OK"))))))))))</f>
        <v/>
      </c>
      <c r="O56" s="62">
        <f>IF(ISNUMBER(B56),B56,0)</f>
        <v>0.0</v>
      </c>
      <c r="P56" s="62" t="str">
        <f>IF(O56=0,"",YEAR(O56))</f>
        <v/>
      </c>
      <c r="Q56" s="62" t="str">
        <f>IF(P56="","",COUNTIF($P$6:P56,P56))</f>
        <v/>
      </c>
      <c r="R56" s="62">
        <f>IF(A56="",0,COUNTIF(dl_doc,A56))</f>
        <v>0.0</v>
      </c>
    </row>
    <row r="57">
      <c r="A57" s="59" t="str">
        <f>IF(Q57="","",p_pdv&amp;"-"&amp;P57&amp;"-"&amp;RIGHT("000"&amp;Q57,4))</f>
        <v/>
      </c>
      <c r="B57" s="61" t="n"/>
      <c r="C57" s="60" t="n"/>
      <c r="D57" s="62" t="str">
        <f>IF(C57="","",IFERROR(INDEX(cli_name,MATCH(C57,cli_code,0))&amp;"","Client inconnu"))</f>
        <v/>
      </c>
      <c r="E57" s="63" t="n"/>
      <c r="F57" s="61" t="n"/>
      <c r="G57" s="60" t="n"/>
      <c r="H57" s="64" t="str">
        <f>IF(A57="","",IF(ISNUMBER(F57),F57,O57+N(p_validity)))</f>
        <v/>
      </c>
      <c r="I57" s="65" t="str">
        <f>IF(A57="","",SUMIF(dl_doc,A57,dl_ht))</f>
        <v/>
      </c>
      <c r="J57" s="65" t="str">
        <f>IF(A57="","",IF(INDEX(p_rates,1)="",0,ROUND(SUMIFS(dl_ht,dl_doc,A57,dl_rate,INDEX(p_rates,1))*INDEX(p_rates,1),2))+IF(INDEX(p_rates,2)="",0,ROUND(SUMIFS(dl_ht,dl_doc,A57,dl_rate,INDEX(p_rates,2))*INDEX(p_rates,2),2))+IF(INDEX(p_rates,3)="",0,ROUND(SUMIFS(dl_ht,dl_doc,A57,dl_rate,INDEX(p_rates,3))*INDEX(p_rates,3),2))+IF(INDEX(p_rates,4)="",0,ROUND(SUMIFS(dl_ht,dl_doc,A57,dl_rate,INDEX(p_rates,4))*INDEX(p_rates,4),2))+IF(INDEX(p_rates,5)="",0,ROUND(SUMIFS(dl_ht,dl_doc,A57,dl_rate,INDEX(p_rates,5))*INDEX(p_rates,5),2))+IF(INDEX(p_rates,6)="",0,ROUND(SUMIFS(dl_ht,dl_doc,A57,dl_rate,INDEX(p_rates,6))*INDEX(p_rates,6),2)))</f>
        <v/>
      </c>
      <c r="K57" s="65" t="str">
        <f>IF(A57="","",I57+J57)</f>
        <v/>
      </c>
      <c r="L57" s="59" t="str">
        <f>IF(A57="","",IFERROR(INDEX(fa_num,MATCH(A57,fa_dvkey,0))&amp;"",""))</f>
        <v/>
      </c>
      <c r="M57" s="59" t="str">
        <f>IF(A57="","",IF(G57="Annulé","Annulé",IF(L57&lt;&gt;"","Facturé",IF(G57="Accepté","Accepté",IF(G57="Refusé","Refusé",IF(p_asof&gt;H57,"Expiré","En attente"))))))</f>
        <v/>
      </c>
      <c r="N57" s="59" t="str">
        <f>IF(COUNTA(B57:C57,E57:G57)=0,"",IF(B57="","Date manquante",IF(NOT(ISNUMBER(B57)),"Date invalide",IF(C57="","Client manquant",IF(ISNA(MATCH(C57,cli_code,0)),"Client inconnu",IF(O57&lt;MAX($O$6:O56),"Date antérieure au devis précédent",IF(AND(ISNUMBER(F57),F57&lt;O57),"Validité antérieure à la date du devis",IF(AND(R57=0,G57&lt;&gt;"Annulé"),"Aucune ligne (feuille Lignes de devis)",IF(COUNTIFS(dl_doc,A57,dl_check,"&lt;&gt;OK")&gt;0,"Ligne(s) à corriger",IF(AND(L57&lt;&gt;"",OR(G57="Refusé",G57="Annulé")),"Devis refusé ou annulé mais facturé","OK"))))))))))</f>
        <v/>
      </c>
      <c r="O57" s="62">
        <f>IF(ISNUMBER(B57),B57,0)</f>
        <v>0.0</v>
      </c>
      <c r="P57" s="62" t="str">
        <f>IF(O57=0,"",YEAR(O57))</f>
        <v/>
      </c>
      <c r="Q57" s="62" t="str">
        <f>IF(P57="","",COUNTIF($P$6:P57,P57))</f>
        <v/>
      </c>
      <c r="R57" s="62">
        <f>IF(A57="",0,COUNTIF(dl_doc,A57))</f>
        <v>0.0</v>
      </c>
    </row>
    <row r="58">
      <c r="A58" s="59" t="str">
        <f>IF(Q58="","",p_pdv&amp;"-"&amp;P58&amp;"-"&amp;RIGHT("000"&amp;Q58,4))</f>
        <v/>
      </c>
      <c r="B58" s="61" t="n"/>
      <c r="C58" s="60" t="n"/>
      <c r="D58" s="62" t="str">
        <f>IF(C58="","",IFERROR(INDEX(cli_name,MATCH(C58,cli_code,0))&amp;"","Client inconnu"))</f>
        <v/>
      </c>
      <c r="E58" s="63" t="n"/>
      <c r="F58" s="61" t="n"/>
      <c r="G58" s="60" t="n"/>
      <c r="H58" s="64" t="str">
        <f>IF(A58="","",IF(ISNUMBER(F58),F58,O58+N(p_validity)))</f>
        <v/>
      </c>
      <c r="I58" s="65" t="str">
        <f>IF(A58="","",SUMIF(dl_doc,A58,dl_ht))</f>
        <v/>
      </c>
      <c r="J58" s="65" t="str">
        <f>IF(A58="","",IF(INDEX(p_rates,1)="",0,ROUND(SUMIFS(dl_ht,dl_doc,A58,dl_rate,INDEX(p_rates,1))*INDEX(p_rates,1),2))+IF(INDEX(p_rates,2)="",0,ROUND(SUMIFS(dl_ht,dl_doc,A58,dl_rate,INDEX(p_rates,2))*INDEX(p_rates,2),2))+IF(INDEX(p_rates,3)="",0,ROUND(SUMIFS(dl_ht,dl_doc,A58,dl_rate,INDEX(p_rates,3))*INDEX(p_rates,3),2))+IF(INDEX(p_rates,4)="",0,ROUND(SUMIFS(dl_ht,dl_doc,A58,dl_rate,INDEX(p_rates,4))*INDEX(p_rates,4),2))+IF(INDEX(p_rates,5)="",0,ROUND(SUMIFS(dl_ht,dl_doc,A58,dl_rate,INDEX(p_rates,5))*INDEX(p_rates,5),2))+IF(INDEX(p_rates,6)="",0,ROUND(SUMIFS(dl_ht,dl_doc,A58,dl_rate,INDEX(p_rates,6))*INDEX(p_rates,6),2)))</f>
        <v/>
      </c>
      <c r="K58" s="65" t="str">
        <f>IF(A58="","",I58+J58)</f>
        <v/>
      </c>
      <c r="L58" s="59" t="str">
        <f>IF(A58="","",IFERROR(INDEX(fa_num,MATCH(A58,fa_dvkey,0))&amp;"",""))</f>
        <v/>
      </c>
      <c r="M58" s="59" t="str">
        <f>IF(A58="","",IF(G58="Annulé","Annulé",IF(L58&lt;&gt;"","Facturé",IF(G58="Accepté","Accepté",IF(G58="Refusé","Refusé",IF(p_asof&gt;H58,"Expiré","En attente"))))))</f>
        <v/>
      </c>
      <c r="N58" s="59" t="str">
        <f>IF(COUNTA(B58:C58,E58:G58)=0,"",IF(B58="","Date manquante",IF(NOT(ISNUMBER(B58)),"Date invalide",IF(C58="","Client manquant",IF(ISNA(MATCH(C58,cli_code,0)),"Client inconnu",IF(O58&lt;MAX($O$6:O57),"Date antérieure au devis précédent",IF(AND(ISNUMBER(F58),F58&lt;O58),"Validité antérieure à la date du devis",IF(AND(R58=0,G58&lt;&gt;"Annulé"),"Aucune ligne (feuille Lignes de devis)",IF(COUNTIFS(dl_doc,A58,dl_check,"&lt;&gt;OK")&gt;0,"Ligne(s) à corriger",IF(AND(L58&lt;&gt;"",OR(G58="Refusé",G58="Annulé")),"Devis refusé ou annulé mais facturé","OK"))))))))))</f>
        <v/>
      </c>
      <c r="O58" s="62">
        <f>IF(ISNUMBER(B58),B58,0)</f>
        <v>0.0</v>
      </c>
      <c r="P58" s="62" t="str">
        <f>IF(O58=0,"",YEAR(O58))</f>
        <v/>
      </c>
      <c r="Q58" s="62" t="str">
        <f>IF(P58="","",COUNTIF($P$6:P58,P58))</f>
        <v/>
      </c>
      <c r="R58" s="62">
        <f>IF(A58="",0,COUNTIF(dl_doc,A58))</f>
        <v>0.0</v>
      </c>
    </row>
    <row r="59">
      <c r="A59" s="59" t="str">
        <f>IF(Q59="","",p_pdv&amp;"-"&amp;P59&amp;"-"&amp;RIGHT("000"&amp;Q59,4))</f>
        <v/>
      </c>
      <c r="B59" s="61" t="n"/>
      <c r="C59" s="60" t="n"/>
      <c r="D59" s="62" t="str">
        <f>IF(C59="","",IFERROR(INDEX(cli_name,MATCH(C59,cli_code,0))&amp;"","Client inconnu"))</f>
        <v/>
      </c>
      <c r="E59" s="63" t="n"/>
      <c r="F59" s="61" t="n"/>
      <c r="G59" s="60" t="n"/>
      <c r="H59" s="64" t="str">
        <f>IF(A59="","",IF(ISNUMBER(F59),F59,O59+N(p_validity)))</f>
        <v/>
      </c>
      <c r="I59" s="65" t="str">
        <f>IF(A59="","",SUMIF(dl_doc,A59,dl_ht))</f>
        <v/>
      </c>
      <c r="J59" s="65" t="str">
        <f>IF(A59="","",IF(INDEX(p_rates,1)="",0,ROUND(SUMIFS(dl_ht,dl_doc,A59,dl_rate,INDEX(p_rates,1))*INDEX(p_rates,1),2))+IF(INDEX(p_rates,2)="",0,ROUND(SUMIFS(dl_ht,dl_doc,A59,dl_rate,INDEX(p_rates,2))*INDEX(p_rates,2),2))+IF(INDEX(p_rates,3)="",0,ROUND(SUMIFS(dl_ht,dl_doc,A59,dl_rate,INDEX(p_rates,3))*INDEX(p_rates,3),2))+IF(INDEX(p_rates,4)="",0,ROUND(SUMIFS(dl_ht,dl_doc,A59,dl_rate,INDEX(p_rates,4))*INDEX(p_rates,4),2))+IF(INDEX(p_rates,5)="",0,ROUND(SUMIFS(dl_ht,dl_doc,A59,dl_rate,INDEX(p_rates,5))*INDEX(p_rates,5),2))+IF(INDEX(p_rates,6)="",0,ROUND(SUMIFS(dl_ht,dl_doc,A59,dl_rate,INDEX(p_rates,6))*INDEX(p_rates,6),2)))</f>
        <v/>
      </c>
      <c r="K59" s="65" t="str">
        <f>IF(A59="","",I59+J59)</f>
        <v/>
      </c>
      <c r="L59" s="59" t="str">
        <f>IF(A59="","",IFERROR(INDEX(fa_num,MATCH(A59,fa_dvkey,0))&amp;"",""))</f>
        <v/>
      </c>
      <c r="M59" s="59" t="str">
        <f>IF(A59="","",IF(G59="Annulé","Annulé",IF(L59&lt;&gt;"","Facturé",IF(G59="Accepté","Accepté",IF(G59="Refusé","Refusé",IF(p_asof&gt;H59,"Expiré","En attente"))))))</f>
        <v/>
      </c>
      <c r="N59" s="59" t="str">
        <f>IF(COUNTA(B59:C59,E59:G59)=0,"",IF(B59="","Date manquante",IF(NOT(ISNUMBER(B59)),"Date invalide",IF(C59="","Client manquant",IF(ISNA(MATCH(C59,cli_code,0)),"Client inconnu",IF(O59&lt;MAX($O$6:O58),"Date antérieure au devis précédent",IF(AND(ISNUMBER(F59),F59&lt;O59),"Validité antérieure à la date du devis",IF(AND(R59=0,G59&lt;&gt;"Annulé"),"Aucune ligne (feuille Lignes de devis)",IF(COUNTIFS(dl_doc,A59,dl_check,"&lt;&gt;OK")&gt;0,"Ligne(s) à corriger",IF(AND(L59&lt;&gt;"",OR(G59="Refusé",G59="Annulé")),"Devis refusé ou annulé mais facturé","OK"))))))))))</f>
        <v/>
      </c>
      <c r="O59" s="62">
        <f>IF(ISNUMBER(B59),B59,0)</f>
        <v>0.0</v>
      </c>
      <c r="P59" s="62" t="str">
        <f>IF(O59=0,"",YEAR(O59))</f>
        <v/>
      </c>
      <c r="Q59" s="62" t="str">
        <f>IF(P59="","",COUNTIF($P$6:P59,P59))</f>
        <v/>
      </c>
      <c r="R59" s="62">
        <f>IF(A59="",0,COUNTIF(dl_doc,A59))</f>
        <v>0.0</v>
      </c>
    </row>
    <row r="60">
      <c r="A60" s="59" t="str">
        <f>IF(Q60="","",p_pdv&amp;"-"&amp;P60&amp;"-"&amp;RIGHT("000"&amp;Q60,4))</f>
        <v/>
      </c>
      <c r="B60" s="61" t="n"/>
      <c r="C60" s="60" t="n"/>
      <c r="D60" s="62" t="str">
        <f>IF(C60="","",IFERROR(INDEX(cli_name,MATCH(C60,cli_code,0))&amp;"","Client inconnu"))</f>
        <v/>
      </c>
      <c r="E60" s="63" t="n"/>
      <c r="F60" s="61" t="n"/>
      <c r="G60" s="60" t="n"/>
      <c r="H60" s="64" t="str">
        <f>IF(A60="","",IF(ISNUMBER(F60),F60,O60+N(p_validity)))</f>
        <v/>
      </c>
      <c r="I60" s="65" t="str">
        <f>IF(A60="","",SUMIF(dl_doc,A60,dl_ht))</f>
        <v/>
      </c>
      <c r="J60" s="65" t="str">
        <f>IF(A60="","",IF(INDEX(p_rates,1)="",0,ROUND(SUMIFS(dl_ht,dl_doc,A60,dl_rate,INDEX(p_rates,1))*INDEX(p_rates,1),2))+IF(INDEX(p_rates,2)="",0,ROUND(SUMIFS(dl_ht,dl_doc,A60,dl_rate,INDEX(p_rates,2))*INDEX(p_rates,2),2))+IF(INDEX(p_rates,3)="",0,ROUND(SUMIFS(dl_ht,dl_doc,A60,dl_rate,INDEX(p_rates,3))*INDEX(p_rates,3),2))+IF(INDEX(p_rates,4)="",0,ROUND(SUMIFS(dl_ht,dl_doc,A60,dl_rate,INDEX(p_rates,4))*INDEX(p_rates,4),2))+IF(INDEX(p_rates,5)="",0,ROUND(SUMIFS(dl_ht,dl_doc,A60,dl_rate,INDEX(p_rates,5))*INDEX(p_rates,5),2))+IF(INDEX(p_rates,6)="",0,ROUND(SUMIFS(dl_ht,dl_doc,A60,dl_rate,INDEX(p_rates,6))*INDEX(p_rates,6),2)))</f>
        <v/>
      </c>
      <c r="K60" s="65" t="str">
        <f>IF(A60="","",I60+J60)</f>
        <v/>
      </c>
      <c r="L60" s="59" t="str">
        <f>IF(A60="","",IFERROR(INDEX(fa_num,MATCH(A60,fa_dvkey,0))&amp;"",""))</f>
        <v/>
      </c>
      <c r="M60" s="59" t="str">
        <f>IF(A60="","",IF(G60="Annulé","Annulé",IF(L60&lt;&gt;"","Facturé",IF(G60="Accepté","Accepté",IF(G60="Refusé","Refusé",IF(p_asof&gt;H60,"Expiré","En attente"))))))</f>
        <v/>
      </c>
      <c r="N60" s="59" t="str">
        <f>IF(COUNTA(B60:C60,E60:G60)=0,"",IF(B60="","Date manquante",IF(NOT(ISNUMBER(B60)),"Date invalide",IF(C60="","Client manquant",IF(ISNA(MATCH(C60,cli_code,0)),"Client inconnu",IF(O60&lt;MAX($O$6:O59),"Date antérieure au devis précédent",IF(AND(ISNUMBER(F60),F60&lt;O60),"Validité antérieure à la date du devis",IF(AND(R60=0,G60&lt;&gt;"Annulé"),"Aucune ligne (feuille Lignes de devis)",IF(COUNTIFS(dl_doc,A60,dl_check,"&lt;&gt;OK")&gt;0,"Ligne(s) à corriger",IF(AND(L60&lt;&gt;"",OR(G60="Refusé",G60="Annulé")),"Devis refusé ou annulé mais facturé","OK"))))))))))</f>
        <v/>
      </c>
      <c r="O60" s="62">
        <f>IF(ISNUMBER(B60),B60,0)</f>
        <v>0.0</v>
      </c>
      <c r="P60" s="62" t="str">
        <f>IF(O60=0,"",YEAR(O60))</f>
        <v/>
      </c>
      <c r="Q60" s="62" t="str">
        <f>IF(P60="","",COUNTIF($P$6:P60,P60))</f>
        <v/>
      </c>
      <c r="R60" s="62">
        <f>IF(A60="",0,COUNTIF(dl_doc,A60))</f>
        <v>0.0</v>
      </c>
    </row>
    <row r="61">
      <c r="A61" s="59" t="str">
        <f>IF(Q61="","",p_pdv&amp;"-"&amp;P61&amp;"-"&amp;RIGHT("000"&amp;Q61,4))</f>
        <v/>
      </c>
      <c r="B61" s="61" t="n"/>
      <c r="C61" s="60" t="n"/>
      <c r="D61" s="62" t="str">
        <f>IF(C61="","",IFERROR(INDEX(cli_name,MATCH(C61,cli_code,0))&amp;"","Client inconnu"))</f>
        <v/>
      </c>
      <c r="E61" s="63" t="n"/>
      <c r="F61" s="61" t="n"/>
      <c r="G61" s="60" t="n"/>
      <c r="H61" s="64" t="str">
        <f>IF(A61="","",IF(ISNUMBER(F61),F61,O61+N(p_validity)))</f>
        <v/>
      </c>
      <c r="I61" s="65" t="str">
        <f>IF(A61="","",SUMIF(dl_doc,A61,dl_ht))</f>
        <v/>
      </c>
      <c r="J61" s="65" t="str">
        <f>IF(A61="","",IF(INDEX(p_rates,1)="",0,ROUND(SUMIFS(dl_ht,dl_doc,A61,dl_rate,INDEX(p_rates,1))*INDEX(p_rates,1),2))+IF(INDEX(p_rates,2)="",0,ROUND(SUMIFS(dl_ht,dl_doc,A61,dl_rate,INDEX(p_rates,2))*INDEX(p_rates,2),2))+IF(INDEX(p_rates,3)="",0,ROUND(SUMIFS(dl_ht,dl_doc,A61,dl_rate,INDEX(p_rates,3))*INDEX(p_rates,3),2))+IF(INDEX(p_rates,4)="",0,ROUND(SUMIFS(dl_ht,dl_doc,A61,dl_rate,INDEX(p_rates,4))*INDEX(p_rates,4),2))+IF(INDEX(p_rates,5)="",0,ROUND(SUMIFS(dl_ht,dl_doc,A61,dl_rate,INDEX(p_rates,5))*INDEX(p_rates,5),2))+IF(INDEX(p_rates,6)="",0,ROUND(SUMIFS(dl_ht,dl_doc,A61,dl_rate,INDEX(p_rates,6))*INDEX(p_rates,6),2)))</f>
        <v/>
      </c>
      <c r="K61" s="65" t="str">
        <f>IF(A61="","",I61+J61)</f>
        <v/>
      </c>
      <c r="L61" s="59" t="str">
        <f>IF(A61="","",IFERROR(INDEX(fa_num,MATCH(A61,fa_dvkey,0))&amp;"",""))</f>
        <v/>
      </c>
      <c r="M61" s="59" t="str">
        <f>IF(A61="","",IF(G61="Annulé","Annulé",IF(L61&lt;&gt;"","Facturé",IF(G61="Accepté","Accepté",IF(G61="Refusé","Refusé",IF(p_asof&gt;H61,"Expiré","En attente"))))))</f>
        <v/>
      </c>
      <c r="N61" s="59" t="str">
        <f>IF(COUNTA(B61:C61,E61:G61)=0,"",IF(B61="","Date manquante",IF(NOT(ISNUMBER(B61)),"Date invalide",IF(C61="","Client manquant",IF(ISNA(MATCH(C61,cli_code,0)),"Client inconnu",IF(O61&lt;MAX($O$6:O60),"Date antérieure au devis précédent",IF(AND(ISNUMBER(F61),F61&lt;O61),"Validité antérieure à la date du devis",IF(AND(R61=0,G61&lt;&gt;"Annulé"),"Aucune ligne (feuille Lignes de devis)",IF(COUNTIFS(dl_doc,A61,dl_check,"&lt;&gt;OK")&gt;0,"Ligne(s) à corriger",IF(AND(L61&lt;&gt;"",OR(G61="Refusé",G61="Annulé")),"Devis refusé ou annulé mais facturé","OK"))))))))))</f>
        <v/>
      </c>
      <c r="O61" s="62">
        <f>IF(ISNUMBER(B61),B61,0)</f>
        <v>0.0</v>
      </c>
      <c r="P61" s="62" t="str">
        <f>IF(O61=0,"",YEAR(O61))</f>
        <v/>
      </c>
      <c r="Q61" s="62" t="str">
        <f>IF(P61="","",COUNTIF($P$6:P61,P61))</f>
        <v/>
      </c>
      <c r="R61" s="62">
        <f>IF(A61="",0,COUNTIF(dl_doc,A61))</f>
        <v>0.0</v>
      </c>
    </row>
    <row r="62">
      <c r="A62" s="59" t="str">
        <f>IF(Q62="","",p_pdv&amp;"-"&amp;P62&amp;"-"&amp;RIGHT("000"&amp;Q62,4))</f>
        <v/>
      </c>
      <c r="B62" s="61" t="n"/>
      <c r="C62" s="60" t="n"/>
      <c r="D62" s="62" t="str">
        <f>IF(C62="","",IFERROR(INDEX(cli_name,MATCH(C62,cli_code,0))&amp;"","Client inconnu"))</f>
        <v/>
      </c>
      <c r="E62" s="63" t="n"/>
      <c r="F62" s="61" t="n"/>
      <c r="G62" s="60" t="n"/>
      <c r="H62" s="64" t="str">
        <f>IF(A62="","",IF(ISNUMBER(F62),F62,O62+N(p_validity)))</f>
        <v/>
      </c>
      <c r="I62" s="65" t="str">
        <f>IF(A62="","",SUMIF(dl_doc,A62,dl_ht))</f>
        <v/>
      </c>
      <c r="J62" s="65" t="str">
        <f>IF(A62="","",IF(INDEX(p_rates,1)="",0,ROUND(SUMIFS(dl_ht,dl_doc,A62,dl_rate,INDEX(p_rates,1))*INDEX(p_rates,1),2))+IF(INDEX(p_rates,2)="",0,ROUND(SUMIFS(dl_ht,dl_doc,A62,dl_rate,INDEX(p_rates,2))*INDEX(p_rates,2),2))+IF(INDEX(p_rates,3)="",0,ROUND(SUMIFS(dl_ht,dl_doc,A62,dl_rate,INDEX(p_rates,3))*INDEX(p_rates,3),2))+IF(INDEX(p_rates,4)="",0,ROUND(SUMIFS(dl_ht,dl_doc,A62,dl_rate,INDEX(p_rates,4))*INDEX(p_rates,4),2))+IF(INDEX(p_rates,5)="",0,ROUND(SUMIFS(dl_ht,dl_doc,A62,dl_rate,INDEX(p_rates,5))*INDEX(p_rates,5),2))+IF(INDEX(p_rates,6)="",0,ROUND(SUMIFS(dl_ht,dl_doc,A62,dl_rate,INDEX(p_rates,6))*INDEX(p_rates,6),2)))</f>
        <v/>
      </c>
      <c r="K62" s="65" t="str">
        <f>IF(A62="","",I62+J62)</f>
        <v/>
      </c>
      <c r="L62" s="59" t="str">
        <f>IF(A62="","",IFERROR(INDEX(fa_num,MATCH(A62,fa_dvkey,0))&amp;"",""))</f>
        <v/>
      </c>
      <c r="M62" s="59" t="str">
        <f>IF(A62="","",IF(G62="Annulé","Annulé",IF(L62&lt;&gt;"","Facturé",IF(G62="Accepté","Accepté",IF(G62="Refusé","Refusé",IF(p_asof&gt;H62,"Expiré","En attente"))))))</f>
        <v/>
      </c>
      <c r="N62" s="59" t="str">
        <f>IF(COUNTA(B62:C62,E62:G62)=0,"",IF(B62="","Date manquante",IF(NOT(ISNUMBER(B62)),"Date invalide",IF(C62="","Client manquant",IF(ISNA(MATCH(C62,cli_code,0)),"Client inconnu",IF(O62&lt;MAX($O$6:O61),"Date antérieure au devis précédent",IF(AND(ISNUMBER(F62),F62&lt;O62),"Validité antérieure à la date du devis",IF(AND(R62=0,G62&lt;&gt;"Annulé"),"Aucune ligne (feuille Lignes de devis)",IF(COUNTIFS(dl_doc,A62,dl_check,"&lt;&gt;OK")&gt;0,"Ligne(s) à corriger",IF(AND(L62&lt;&gt;"",OR(G62="Refusé",G62="Annulé")),"Devis refusé ou annulé mais facturé","OK"))))))))))</f>
        <v/>
      </c>
      <c r="O62" s="62">
        <f>IF(ISNUMBER(B62),B62,0)</f>
        <v>0.0</v>
      </c>
      <c r="P62" s="62" t="str">
        <f>IF(O62=0,"",YEAR(O62))</f>
        <v/>
      </c>
      <c r="Q62" s="62" t="str">
        <f>IF(P62="","",COUNTIF($P$6:P62,P62))</f>
        <v/>
      </c>
      <c r="R62" s="62">
        <f>IF(A62="",0,COUNTIF(dl_doc,A62))</f>
        <v>0.0</v>
      </c>
    </row>
    <row r="63">
      <c r="A63" s="59" t="str">
        <f>IF(Q63="","",p_pdv&amp;"-"&amp;P63&amp;"-"&amp;RIGHT("000"&amp;Q63,4))</f>
        <v/>
      </c>
      <c r="B63" s="61" t="n"/>
      <c r="C63" s="60" t="n"/>
      <c r="D63" s="62" t="str">
        <f>IF(C63="","",IFERROR(INDEX(cli_name,MATCH(C63,cli_code,0))&amp;"","Client inconnu"))</f>
        <v/>
      </c>
      <c r="E63" s="63" t="n"/>
      <c r="F63" s="61" t="n"/>
      <c r="G63" s="60" t="n"/>
      <c r="H63" s="64" t="str">
        <f>IF(A63="","",IF(ISNUMBER(F63),F63,O63+N(p_validity)))</f>
        <v/>
      </c>
      <c r="I63" s="65" t="str">
        <f>IF(A63="","",SUMIF(dl_doc,A63,dl_ht))</f>
        <v/>
      </c>
      <c r="J63" s="65" t="str">
        <f>IF(A63="","",IF(INDEX(p_rates,1)="",0,ROUND(SUMIFS(dl_ht,dl_doc,A63,dl_rate,INDEX(p_rates,1))*INDEX(p_rates,1),2))+IF(INDEX(p_rates,2)="",0,ROUND(SUMIFS(dl_ht,dl_doc,A63,dl_rate,INDEX(p_rates,2))*INDEX(p_rates,2),2))+IF(INDEX(p_rates,3)="",0,ROUND(SUMIFS(dl_ht,dl_doc,A63,dl_rate,INDEX(p_rates,3))*INDEX(p_rates,3),2))+IF(INDEX(p_rates,4)="",0,ROUND(SUMIFS(dl_ht,dl_doc,A63,dl_rate,INDEX(p_rates,4))*INDEX(p_rates,4),2))+IF(INDEX(p_rates,5)="",0,ROUND(SUMIFS(dl_ht,dl_doc,A63,dl_rate,INDEX(p_rates,5))*INDEX(p_rates,5),2))+IF(INDEX(p_rates,6)="",0,ROUND(SUMIFS(dl_ht,dl_doc,A63,dl_rate,INDEX(p_rates,6))*INDEX(p_rates,6),2)))</f>
        <v/>
      </c>
      <c r="K63" s="65" t="str">
        <f>IF(A63="","",I63+J63)</f>
        <v/>
      </c>
      <c r="L63" s="59" t="str">
        <f>IF(A63="","",IFERROR(INDEX(fa_num,MATCH(A63,fa_dvkey,0))&amp;"",""))</f>
        <v/>
      </c>
      <c r="M63" s="59" t="str">
        <f>IF(A63="","",IF(G63="Annulé","Annulé",IF(L63&lt;&gt;"","Facturé",IF(G63="Accepté","Accepté",IF(G63="Refusé","Refusé",IF(p_asof&gt;H63,"Expiré","En attente"))))))</f>
        <v/>
      </c>
      <c r="N63" s="59" t="str">
        <f>IF(COUNTA(B63:C63,E63:G63)=0,"",IF(B63="","Date manquante",IF(NOT(ISNUMBER(B63)),"Date invalide",IF(C63="","Client manquant",IF(ISNA(MATCH(C63,cli_code,0)),"Client inconnu",IF(O63&lt;MAX($O$6:O62),"Date antérieure au devis précédent",IF(AND(ISNUMBER(F63),F63&lt;O63),"Validité antérieure à la date du devis",IF(AND(R63=0,G63&lt;&gt;"Annulé"),"Aucune ligne (feuille Lignes de devis)",IF(COUNTIFS(dl_doc,A63,dl_check,"&lt;&gt;OK")&gt;0,"Ligne(s) à corriger",IF(AND(L63&lt;&gt;"",OR(G63="Refusé",G63="Annulé")),"Devis refusé ou annulé mais facturé","OK"))))))))))</f>
        <v/>
      </c>
      <c r="O63" s="62">
        <f>IF(ISNUMBER(B63),B63,0)</f>
        <v>0.0</v>
      </c>
      <c r="P63" s="62" t="str">
        <f>IF(O63=0,"",YEAR(O63))</f>
        <v/>
      </c>
      <c r="Q63" s="62" t="str">
        <f>IF(P63="","",COUNTIF($P$6:P63,P63))</f>
        <v/>
      </c>
      <c r="R63" s="62">
        <f>IF(A63="",0,COUNTIF(dl_doc,A63))</f>
        <v>0.0</v>
      </c>
    </row>
    <row r="64">
      <c r="A64" s="59" t="str">
        <f>IF(Q64="","",p_pdv&amp;"-"&amp;P64&amp;"-"&amp;RIGHT("000"&amp;Q64,4))</f>
        <v/>
      </c>
      <c r="B64" s="61" t="n"/>
      <c r="C64" s="60" t="n"/>
      <c r="D64" s="62" t="str">
        <f>IF(C64="","",IFERROR(INDEX(cli_name,MATCH(C64,cli_code,0))&amp;"","Client inconnu"))</f>
        <v/>
      </c>
      <c r="E64" s="63" t="n"/>
      <c r="F64" s="61" t="n"/>
      <c r="G64" s="60" t="n"/>
      <c r="H64" s="64" t="str">
        <f>IF(A64="","",IF(ISNUMBER(F64),F64,O64+N(p_validity)))</f>
        <v/>
      </c>
      <c r="I64" s="65" t="str">
        <f>IF(A64="","",SUMIF(dl_doc,A64,dl_ht))</f>
        <v/>
      </c>
      <c r="J64" s="65" t="str">
        <f>IF(A64="","",IF(INDEX(p_rates,1)="",0,ROUND(SUMIFS(dl_ht,dl_doc,A64,dl_rate,INDEX(p_rates,1))*INDEX(p_rates,1),2))+IF(INDEX(p_rates,2)="",0,ROUND(SUMIFS(dl_ht,dl_doc,A64,dl_rate,INDEX(p_rates,2))*INDEX(p_rates,2),2))+IF(INDEX(p_rates,3)="",0,ROUND(SUMIFS(dl_ht,dl_doc,A64,dl_rate,INDEX(p_rates,3))*INDEX(p_rates,3),2))+IF(INDEX(p_rates,4)="",0,ROUND(SUMIFS(dl_ht,dl_doc,A64,dl_rate,INDEX(p_rates,4))*INDEX(p_rates,4),2))+IF(INDEX(p_rates,5)="",0,ROUND(SUMIFS(dl_ht,dl_doc,A64,dl_rate,INDEX(p_rates,5))*INDEX(p_rates,5),2))+IF(INDEX(p_rates,6)="",0,ROUND(SUMIFS(dl_ht,dl_doc,A64,dl_rate,INDEX(p_rates,6))*INDEX(p_rates,6),2)))</f>
        <v/>
      </c>
      <c r="K64" s="65" t="str">
        <f>IF(A64="","",I64+J64)</f>
        <v/>
      </c>
      <c r="L64" s="59" t="str">
        <f>IF(A64="","",IFERROR(INDEX(fa_num,MATCH(A64,fa_dvkey,0))&amp;"",""))</f>
        <v/>
      </c>
      <c r="M64" s="59" t="str">
        <f>IF(A64="","",IF(G64="Annulé","Annulé",IF(L64&lt;&gt;"","Facturé",IF(G64="Accepté","Accepté",IF(G64="Refusé","Refusé",IF(p_asof&gt;H64,"Expiré","En attente"))))))</f>
        <v/>
      </c>
      <c r="N64" s="59" t="str">
        <f>IF(COUNTA(B64:C64,E64:G64)=0,"",IF(B64="","Date manquante",IF(NOT(ISNUMBER(B64)),"Date invalide",IF(C64="","Client manquant",IF(ISNA(MATCH(C64,cli_code,0)),"Client inconnu",IF(O64&lt;MAX($O$6:O63),"Date antérieure au devis précédent",IF(AND(ISNUMBER(F64),F64&lt;O64),"Validité antérieure à la date du devis",IF(AND(R64=0,G64&lt;&gt;"Annulé"),"Aucune ligne (feuille Lignes de devis)",IF(COUNTIFS(dl_doc,A64,dl_check,"&lt;&gt;OK")&gt;0,"Ligne(s) à corriger",IF(AND(L64&lt;&gt;"",OR(G64="Refusé",G64="Annulé")),"Devis refusé ou annulé mais facturé","OK"))))))))))</f>
        <v/>
      </c>
      <c r="O64" s="62">
        <f>IF(ISNUMBER(B64),B64,0)</f>
        <v>0.0</v>
      </c>
      <c r="P64" s="62" t="str">
        <f>IF(O64=0,"",YEAR(O64))</f>
        <v/>
      </c>
      <c r="Q64" s="62" t="str">
        <f>IF(P64="","",COUNTIF($P$6:P64,P64))</f>
        <v/>
      </c>
      <c r="R64" s="62">
        <f>IF(A64="",0,COUNTIF(dl_doc,A64))</f>
        <v>0.0</v>
      </c>
    </row>
    <row r="65">
      <c r="A65" s="59" t="str">
        <f>IF(Q65="","",p_pdv&amp;"-"&amp;P65&amp;"-"&amp;RIGHT("000"&amp;Q65,4))</f>
        <v/>
      </c>
      <c r="B65" s="61" t="n"/>
      <c r="C65" s="60" t="n"/>
      <c r="D65" s="62" t="str">
        <f>IF(C65="","",IFERROR(INDEX(cli_name,MATCH(C65,cli_code,0))&amp;"","Client inconnu"))</f>
        <v/>
      </c>
      <c r="E65" s="63" t="n"/>
      <c r="F65" s="61" t="n"/>
      <c r="G65" s="60" t="n"/>
      <c r="H65" s="64" t="str">
        <f>IF(A65="","",IF(ISNUMBER(F65),F65,O65+N(p_validity)))</f>
        <v/>
      </c>
      <c r="I65" s="65" t="str">
        <f>IF(A65="","",SUMIF(dl_doc,A65,dl_ht))</f>
        <v/>
      </c>
      <c r="J65" s="65" t="str">
        <f>IF(A65="","",IF(INDEX(p_rates,1)="",0,ROUND(SUMIFS(dl_ht,dl_doc,A65,dl_rate,INDEX(p_rates,1))*INDEX(p_rates,1),2))+IF(INDEX(p_rates,2)="",0,ROUND(SUMIFS(dl_ht,dl_doc,A65,dl_rate,INDEX(p_rates,2))*INDEX(p_rates,2),2))+IF(INDEX(p_rates,3)="",0,ROUND(SUMIFS(dl_ht,dl_doc,A65,dl_rate,INDEX(p_rates,3))*INDEX(p_rates,3),2))+IF(INDEX(p_rates,4)="",0,ROUND(SUMIFS(dl_ht,dl_doc,A65,dl_rate,INDEX(p_rates,4))*INDEX(p_rates,4),2))+IF(INDEX(p_rates,5)="",0,ROUND(SUMIFS(dl_ht,dl_doc,A65,dl_rate,INDEX(p_rates,5))*INDEX(p_rates,5),2))+IF(INDEX(p_rates,6)="",0,ROUND(SUMIFS(dl_ht,dl_doc,A65,dl_rate,INDEX(p_rates,6))*INDEX(p_rates,6),2)))</f>
        <v/>
      </c>
      <c r="K65" s="65" t="str">
        <f>IF(A65="","",I65+J65)</f>
        <v/>
      </c>
      <c r="L65" s="59" t="str">
        <f>IF(A65="","",IFERROR(INDEX(fa_num,MATCH(A65,fa_dvkey,0))&amp;"",""))</f>
        <v/>
      </c>
      <c r="M65" s="59" t="str">
        <f>IF(A65="","",IF(G65="Annulé","Annulé",IF(L65&lt;&gt;"","Facturé",IF(G65="Accepté","Accepté",IF(G65="Refusé","Refusé",IF(p_asof&gt;H65,"Expiré","En attente"))))))</f>
        <v/>
      </c>
      <c r="N65" s="59" t="str">
        <f>IF(COUNTA(B65:C65,E65:G65)=0,"",IF(B65="","Date manquante",IF(NOT(ISNUMBER(B65)),"Date invalide",IF(C65="","Client manquant",IF(ISNA(MATCH(C65,cli_code,0)),"Client inconnu",IF(O65&lt;MAX($O$6:O64),"Date antérieure au devis précédent",IF(AND(ISNUMBER(F65),F65&lt;O65),"Validité antérieure à la date du devis",IF(AND(R65=0,G65&lt;&gt;"Annulé"),"Aucune ligne (feuille Lignes de devis)",IF(COUNTIFS(dl_doc,A65,dl_check,"&lt;&gt;OK")&gt;0,"Ligne(s) à corriger",IF(AND(L65&lt;&gt;"",OR(G65="Refusé",G65="Annulé")),"Devis refusé ou annulé mais facturé","OK"))))))))))</f>
        <v/>
      </c>
      <c r="O65" s="62">
        <f>IF(ISNUMBER(B65),B65,0)</f>
        <v>0.0</v>
      </c>
      <c r="P65" s="62" t="str">
        <f>IF(O65=0,"",YEAR(O65))</f>
        <v/>
      </c>
      <c r="Q65" s="62" t="str">
        <f>IF(P65="","",COUNTIF($P$6:P65,P65))</f>
        <v/>
      </c>
      <c r="R65" s="62">
        <f>IF(A65="",0,COUNTIF(dl_doc,A65))</f>
        <v>0.0</v>
      </c>
    </row>
    <row r="66">
      <c r="A66" s="59" t="str">
        <f>IF(Q66="","",p_pdv&amp;"-"&amp;P66&amp;"-"&amp;RIGHT("000"&amp;Q66,4))</f>
        <v/>
      </c>
      <c r="B66" s="61" t="n"/>
      <c r="C66" s="60" t="n"/>
      <c r="D66" s="62" t="str">
        <f>IF(C66="","",IFERROR(INDEX(cli_name,MATCH(C66,cli_code,0))&amp;"","Client inconnu"))</f>
        <v/>
      </c>
      <c r="E66" s="63" t="n"/>
      <c r="F66" s="61" t="n"/>
      <c r="G66" s="60" t="n"/>
      <c r="H66" s="64" t="str">
        <f>IF(A66="","",IF(ISNUMBER(F66),F66,O66+N(p_validity)))</f>
        <v/>
      </c>
      <c r="I66" s="65" t="str">
        <f>IF(A66="","",SUMIF(dl_doc,A66,dl_ht))</f>
        <v/>
      </c>
      <c r="J66" s="65" t="str">
        <f>IF(A66="","",IF(INDEX(p_rates,1)="",0,ROUND(SUMIFS(dl_ht,dl_doc,A66,dl_rate,INDEX(p_rates,1))*INDEX(p_rates,1),2))+IF(INDEX(p_rates,2)="",0,ROUND(SUMIFS(dl_ht,dl_doc,A66,dl_rate,INDEX(p_rates,2))*INDEX(p_rates,2),2))+IF(INDEX(p_rates,3)="",0,ROUND(SUMIFS(dl_ht,dl_doc,A66,dl_rate,INDEX(p_rates,3))*INDEX(p_rates,3),2))+IF(INDEX(p_rates,4)="",0,ROUND(SUMIFS(dl_ht,dl_doc,A66,dl_rate,INDEX(p_rates,4))*INDEX(p_rates,4),2))+IF(INDEX(p_rates,5)="",0,ROUND(SUMIFS(dl_ht,dl_doc,A66,dl_rate,INDEX(p_rates,5))*INDEX(p_rates,5),2))+IF(INDEX(p_rates,6)="",0,ROUND(SUMIFS(dl_ht,dl_doc,A66,dl_rate,INDEX(p_rates,6))*INDEX(p_rates,6),2)))</f>
        <v/>
      </c>
      <c r="K66" s="65" t="str">
        <f>IF(A66="","",I66+J66)</f>
        <v/>
      </c>
      <c r="L66" s="59" t="str">
        <f>IF(A66="","",IFERROR(INDEX(fa_num,MATCH(A66,fa_dvkey,0))&amp;"",""))</f>
        <v/>
      </c>
      <c r="M66" s="59" t="str">
        <f>IF(A66="","",IF(G66="Annulé","Annulé",IF(L66&lt;&gt;"","Facturé",IF(G66="Accepté","Accepté",IF(G66="Refusé","Refusé",IF(p_asof&gt;H66,"Expiré","En attente"))))))</f>
        <v/>
      </c>
      <c r="N66" s="59" t="str">
        <f>IF(COUNTA(B66:C66,E66:G66)=0,"",IF(B66="","Date manquante",IF(NOT(ISNUMBER(B66)),"Date invalide",IF(C66="","Client manquant",IF(ISNA(MATCH(C66,cli_code,0)),"Client inconnu",IF(O66&lt;MAX($O$6:O65),"Date antérieure au devis précédent",IF(AND(ISNUMBER(F66),F66&lt;O66),"Validité antérieure à la date du devis",IF(AND(R66=0,G66&lt;&gt;"Annulé"),"Aucune ligne (feuille Lignes de devis)",IF(COUNTIFS(dl_doc,A66,dl_check,"&lt;&gt;OK")&gt;0,"Ligne(s) à corriger",IF(AND(L66&lt;&gt;"",OR(G66="Refusé",G66="Annulé")),"Devis refusé ou annulé mais facturé","OK"))))))))))</f>
        <v/>
      </c>
      <c r="O66" s="62">
        <f>IF(ISNUMBER(B66),B66,0)</f>
        <v>0.0</v>
      </c>
      <c r="P66" s="62" t="str">
        <f>IF(O66=0,"",YEAR(O66))</f>
        <v/>
      </c>
      <c r="Q66" s="62" t="str">
        <f>IF(P66="","",COUNTIF($P$6:P66,P66))</f>
        <v/>
      </c>
      <c r="R66" s="62">
        <f>IF(A66="",0,COUNTIF(dl_doc,A66))</f>
        <v>0.0</v>
      </c>
    </row>
    <row r="67">
      <c r="A67" s="59" t="str">
        <f>IF(Q67="","",p_pdv&amp;"-"&amp;P67&amp;"-"&amp;RIGHT("000"&amp;Q67,4))</f>
        <v/>
      </c>
      <c r="B67" s="61" t="n"/>
      <c r="C67" s="60" t="n"/>
      <c r="D67" s="62" t="str">
        <f>IF(C67="","",IFERROR(INDEX(cli_name,MATCH(C67,cli_code,0))&amp;"","Client inconnu"))</f>
        <v/>
      </c>
      <c r="E67" s="63" t="n"/>
      <c r="F67" s="61" t="n"/>
      <c r="G67" s="60" t="n"/>
      <c r="H67" s="64" t="str">
        <f>IF(A67="","",IF(ISNUMBER(F67),F67,O67+N(p_validity)))</f>
        <v/>
      </c>
      <c r="I67" s="65" t="str">
        <f>IF(A67="","",SUMIF(dl_doc,A67,dl_ht))</f>
        <v/>
      </c>
      <c r="J67" s="65" t="str">
        <f>IF(A67="","",IF(INDEX(p_rates,1)="",0,ROUND(SUMIFS(dl_ht,dl_doc,A67,dl_rate,INDEX(p_rates,1))*INDEX(p_rates,1),2))+IF(INDEX(p_rates,2)="",0,ROUND(SUMIFS(dl_ht,dl_doc,A67,dl_rate,INDEX(p_rates,2))*INDEX(p_rates,2),2))+IF(INDEX(p_rates,3)="",0,ROUND(SUMIFS(dl_ht,dl_doc,A67,dl_rate,INDEX(p_rates,3))*INDEX(p_rates,3),2))+IF(INDEX(p_rates,4)="",0,ROUND(SUMIFS(dl_ht,dl_doc,A67,dl_rate,INDEX(p_rates,4))*INDEX(p_rates,4),2))+IF(INDEX(p_rates,5)="",0,ROUND(SUMIFS(dl_ht,dl_doc,A67,dl_rate,INDEX(p_rates,5))*INDEX(p_rates,5),2))+IF(INDEX(p_rates,6)="",0,ROUND(SUMIFS(dl_ht,dl_doc,A67,dl_rate,INDEX(p_rates,6))*INDEX(p_rates,6),2)))</f>
        <v/>
      </c>
      <c r="K67" s="65" t="str">
        <f>IF(A67="","",I67+J67)</f>
        <v/>
      </c>
      <c r="L67" s="59" t="str">
        <f>IF(A67="","",IFERROR(INDEX(fa_num,MATCH(A67,fa_dvkey,0))&amp;"",""))</f>
        <v/>
      </c>
      <c r="M67" s="59" t="str">
        <f>IF(A67="","",IF(G67="Annulé","Annulé",IF(L67&lt;&gt;"","Facturé",IF(G67="Accepté","Accepté",IF(G67="Refusé","Refusé",IF(p_asof&gt;H67,"Expiré","En attente"))))))</f>
        <v/>
      </c>
      <c r="N67" s="59" t="str">
        <f>IF(COUNTA(B67:C67,E67:G67)=0,"",IF(B67="","Date manquante",IF(NOT(ISNUMBER(B67)),"Date invalide",IF(C67="","Client manquant",IF(ISNA(MATCH(C67,cli_code,0)),"Client inconnu",IF(O67&lt;MAX($O$6:O66),"Date antérieure au devis précédent",IF(AND(ISNUMBER(F67),F67&lt;O67),"Validité antérieure à la date du devis",IF(AND(R67=0,G67&lt;&gt;"Annulé"),"Aucune ligne (feuille Lignes de devis)",IF(COUNTIFS(dl_doc,A67,dl_check,"&lt;&gt;OK")&gt;0,"Ligne(s) à corriger",IF(AND(L67&lt;&gt;"",OR(G67="Refusé",G67="Annulé")),"Devis refusé ou annulé mais facturé","OK"))))))))))</f>
        <v/>
      </c>
      <c r="O67" s="62">
        <f>IF(ISNUMBER(B67),B67,0)</f>
        <v>0.0</v>
      </c>
      <c r="P67" s="62" t="str">
        <f>IF(O67=0,"",YEAR(O67))</f>
        <v/>
      </c>
      <c r="Q67" s="62" t="str">
        <f>IF(P67="","",COUNTIF($P$6:P67,P67))</f>
        <v/>
      </c>
      <c r="R67" s="62">
        <f>IF(A67="",0,COUNTIF(dl_doc,A67))</f>
        <v>0.0</v>
      </c>
    </row>
    <row r="68">
      <c r="A68" s="59" t="str">
        <f>IF(Q68="","",p_pdv&amp;"-"&amp;P68&amp;"-"&amp;RIGHT("000"&amp;Q68,4))</f>
        <v/>
      </c>
      <c r="B68" s="61" t="n"/>
      <c r="C68" s="60" t="n"/>
      <c r="D68" s="62" t="str">
        <f>IF(C68="","",IFERROR(INDEX(cli_name,MATCH(C68,cli_code,0))&amp;"","Client inconnu"))</f>
        <v/>
      </c>
      <c r="E68" s="63" t="n"/>
      <c r="F68" s="61" t="n"/>
      <c r="G68" s="60" t="n"/>
      <c r="H68" s="64" t="str">
        <f>IF(A68="","",IF(ISNUMBER(F68),F68,O68+N(p_validity)))</f>
        <v/>
      </c>
      <c r="I68" s="65" t="str">
        <f>IF(A68="","",SUMIF(dl_doc,A68,dl_ht))</f>
        <v/>
      </c>
      <c r="J68" s="65" t="str">
        <f>IF(A68="","",IF(INDEX(p_rates,1)="",0,ROUND(SUMIFS(dl_ht,dl_doc,A68,dl_rate,INDEX(p_rates,1))*INDEX(p_rates,1),2))+IF(INDEX(p_rates,2)="",0,ROUND(SUMIFS(dl_ht,dl_doc,A68,dl_rate,INDEX(p_rates,2))*INDEX(p_rates,2),2))+IF(INDEX(p_rates,3)="",0,ROUND(SUMIFS(dl_ht,dl_doc,A68,dl_rate,INDEX(p_rates,3))*INDEX(p_rates,3),2))+IF(INDEX(p_rates,4)="",0,ROUND(SUMIFS(dl_ht,dl_doc,A68,dl_rate,INDEX(p_rates,4))*INDEX(p_rates,4),2))+IF(INDEX(p_rates,5)="",0,ROUND(SUMIFS(dl_ht,dl_doc,A68,dl_rate,INDEX(p_rates,5))*INDEX(p_rates,5),2))+IF(INDEX(p_rates,6)="",0,ROUND(SUMIFS(dl_ht,dl_doc,A68,dl_rate,INDEX(p_rates,6))*INDEX(p_rates,6),2)))</f>
        <v/>
      </c>
      <c r="K68" s="65" t="str">
        <f>IF(A68="","",I68+J68)</f>
        <v/>
      </c>
      <c r="L68" s="59" t="str">
        <f>IF(A68="","",IFERROR(INDEX(fa_num,MATCH(A68,fa_dvkey,0))&amp;"",""))</f>
        <v/>
      </c>
      <c r="M68" s="59" t="str">
        <f>IF(A68="","",IF(G68="Annulé","Annulé",IF(L68&lt;&gt;"","Facturé",IF(G68="Accepté","Accepté",IF(G68="Refusé","Refusé",IF(p_asof&gt;H68,"Expiré","En attente"))))))</f>
        <v/>
      </c>
      <c r="N68" s="59" t="str">
        <f>IF(COUNTA(B68:C68,E68:G68)=0,"",IF(B68="","Date manquante",IF(NOT(ISNUMBER(B68)),"Date invalide",IF(C68="","Client manquant",IF(ISNA(MATCH(C68,cli_code,0)),"Client inconnu",IF(O68&lt;MAX($O$6:O67),"Date antérieure au devis précédent",IF(AND(ISNUMBER(F68),F68&lt;O68),"Validité antérieure à la date du devis",IF(AND(R68=0,G68&lt;&gt;"Annulé"),"Aucune ligne (feuille Lignes de devis)",IF(COUNTIFS(dl_doc,A68,dl_check,"&lt;&gt;OK")&gt;0,"Ligne(s) à corriger",IF(AND(L68&lt;&gt;"",OR(G68="Refusé",G68="Annulé")),"Devis refusé ou annulé mais facturé","OK"))))))))))</f>
        <v/>
      </c>
      <c r="O68" s="62">
        <f>IF(ISNUMBER(B68),B68,0)</f>
        <v>0.0</v>
      </c>
      <c r="P68" s="62" t="str">
        <f>IF(O68=0,"",YEAR(O68))</f>
        <v/>
      </c>
      <c r="Q68" s="62" t="str">
        <f>IF(P68="","",COUNTIF($P$6:P68,P68))</f>
        <v/>
      </c>
      <c r="R68" s="62">
        <f>IF(A68="",0,COUNTIF(dl_doc,A68))</f>
        <v>0.0</v>
      </c>
    </row>
    <row r="69">
      <c r="A69" s="59" t="str">
        <f>IF(Q69="","",p_pdv&amp;"-"&amp;P69&amp;"-"&amp;RIGHT("000"&amp;Q69,4))</f>
        <v/>
      </c>
      <c r="B69" s="61" t="n"/>
      <c r="C69" s="60" t="n"/>
      <c r="D69" s="62" t="str">
        <f>IF(C69="","",IFERROR(INDEX(cli_name,MATCH(C69,cli_code,0))&amp;"","Client inconnu"))</f>
        <v/>
      </c>
      <c r="E69" s="63" t="n"/>
      <c r="F69" s="61" t="n"/>
      <c r="G69" s="60" t="n"/>
      <c r="H69" s="64" t="str">
        <f>IF(A69="","",IF(ISNUMBER(F69),F69,O69+N(p_validity)))</f>
        <v/>
      </c>
      <c r="I69" s="65" t="str">
        <f>IF(A69="","",SUMIF(dl_doc,A69,dl_ht))</f>
        <v/>
      </c>
      <c r="J69" s="65" t="str">
        <f>IF(A69="","",IF(INDEX(p_rates,1)="",0,ROUND(SUMIFS(dl_ht,dl_doc,A69,dl_rate,INDEX(p_rates,1))*INDEX(p_rates,1),2))+IF(INDEX(p_rates,2)="",0,ROUND(SUMIFS(dl_ht,dl_doc,A69,dl_rate,INDEX(p_rates,2))*INDEX(p_rates,2),2))+IF(INDEX(p_rates,3)="",0,ROUND(SUMIFS(dl_ht,dl_doc,A69,dl_rate,INDEX(p_rates,3))*INDEX(p_rates,3),2))+IF(INDEX(p_rates,4)="",0,ROUND(SUMIFS(dl_ht,dl_doc,A69,dl_rate,INDEX(p_rates,4))*INDEX(p_rates,4),2))+IF(INDEX(p_rates,5)="",0,ROUND(SUMIFS(dl_ht,dl_doc,A69,dl_rate,INDEX(p_rates,5))*INDEX(p_rates,5),2))+IF(INDEX(p_rates,6)="",0,ROUND(SUMIFS(dl_ht,dl_doc,A69,dl_rate,INDEX(p_rates,6))*INDEX(p_rates,6),2)))</f>
        <v/>
      </c>
      <c r="K69" s="65" t="str">
        <f>IF(A69="","",I69+J69)</f>
        <v/>
      </c>
      <c r="L69" s="59" t="str">
        <f>IF(A69="","",IFERROR(INDEX(fa_num,MATCH(A69,fa_dvkey,0))&amp;"",""))</f>
        <v/>
      </c>
      <c r="M69" s="59" t="str">
        <f>IF(A69="","",IF(G69="Annulé","Annulé",IF(L69&lt;&gt;"","Facturé",IF(G69="Accepté","Accepté",IF(G69="Refusé","Refusé",IF(p_asof&gt;H69,"Expiré","En attente"))))))</f>
        <v/>
      </c>
      <c r="N69" s="59" t="str">
        <f>IF(COUNTA(B69:C69,E69:G69)=0,"",IF(B69="","Date manquante",IF(NOT(ISNUMBER(B69)),"Date invalide",IF(C69="","Client manquant",IF(ISNA(MATCH(C69,cli_code,0)),"Client inconnu",IF(O69&lt;MAX($O$6:O68),"Date antérieure au devis précédent",IF(AND(ISNUMBER(F69),F69&lt;O69),"Validité antérieure à la date du devis",IF(AND(R69=0,G69&lt;&gt;"Annulé"),"Aucune ligne (feuille Lignes de devis)",IF(COUNTIFS(dl_doc,A69,dl_check,"&lt;&gt;OK")&gt;0,"Ligne(s) à corriger",IF(AND(L69&lt;&gt;"",OR(G69="Refusé",G69="Annulé")),"Devis refusé ou annulé mais facturé","OK"))))))))))</f>
        <v/>
      </c>
      <c r="O69" s="62">
        <f>IF(ISNUMBER(B69),B69,0)</f>
        <v>0.0</v>
      </c>
      <c r="P69" s="62" t="str">
        <f>IF(O69=0,"",YEAR(O69))</f>
        <v/>
      </c>
      <c r="Q69" s="62" t="str">
        <f>IF(P69="","",COUNTIF($P$6:P69,P69))</f>
        <v/>
      </c>
      <c r="R69" s="62">
        <f>IF(A69="",0,COUNTIF(dl_doc,A69))</f>
        <v>0.0</v>
      </c>
    </row>
    <row r="70">
      <c r="A70" s="59" t="str">
        <f>IF(Q70="","",p_pdv&amp;"-"&amp;P70&amp;"-"&amp;RIGHT("000"&amp;Q70,4))</f>
        <v/>
      </c>
      <c r="B70" s="61" t="n"/>
      <c r="C70" s="60" t="n"/>
      <c r="D70" s="62" t="str">
        <f>IF(C70="","",IFERROR(INDEX(cli_name,MATCH(C70,cli_code,0))&amp;"","Client inconnu"))</f>
        <v/>
      </c>
      <c r="E70" s="63" t="n"/>
      <c r="F70" s="61" t="n"/>
      <c r="G70" s="60" t="n"/>
      <c r="H70" s="64" t="str">
        <f>IF(A70="","",IF(ISNUMBER(F70),F70,O70+N(p_validity)))</f>
        <v/>
      </c>
      <c r="I70" s="65" t="str">
        <f>IF(A70="","",SUMIF(dl_doc,A70,dl_ht))</f>
        <v/>
      </c>
      <c r="J70" s="65" t="str">
        <f>IF(A70="","",IF(INDEX(p_rates,1)="",0,ROUND(SUMIFS(dl_ht,dl_doc,A70,dl_rate,INDEX(p_rates,1))*INDEX(p_rates,1),2))+IF(INDEX(p_rates,2)="",0,ROUND(SUMIFS(dl_ht,dl_doc,A70,dl_rate,INDEX(p_rates,2))*INDEX(p_rates,2),2))+IF(INDEX(p_rates,3)="",0,ROUND(SUMIFS(dl_ht,dl_doc,A70,dl_rate,INDEX(p_rates,3))*INDEX(p_rates,3),2))+IF(INDEX(p_rates,4)="",0,ROUND(SUMIFS(dl_ht,dl_doc,A70,dl_rate,INDEX(p_rates,4))*INDEX(p_rates,4),2))+IF(INDEX(p_rates,5)="",0,ROUND(SUMIFS(dl_ht,dl_doc,A70,dl_rate,INDEX(p_rates,5))*INDEX(p_rates,5),2))+IF(INDEX(p_rates,6)="",0,ROUND(SUMIFS(dl_ht,dl_doc,A70,dl_rate,INDEX(p_rates,6))*INDEX(p_rates,6),2)))</f>
        <v/>
      </c>
      <c r="K70" s="65" t="str">
        <f>IF(A70="","",I70+J70)</f>
        <v/>
      </c>
      <c r="L70" s="59" t="str">
        <f>IF(A70="","",IFERROR(INDEX(fa_num,MATCH(A70,fa_dvkey,0))&amp;"",""))</f>
        <v/>
      </c>
      <c r="M70" s="59" t="str">
        <f>IF(A70="","",IF(G70="Annulé","Annulé",IF(L70&lt;&gt;"","Facturé",IF(G70="Accepté","Accepté",IF(G70="Refusé","Refusé",IF(p_asof&gt;H70,"Expiré","En attente"))))))</f>
        <v/>
      </c>
      <c r="N70" s="59" t="str">
        <f>IF(COUNTA(B70:C70,E70:G70)=0,"",IF(B70="","Date manquante",IF(NOT(ISNUMBER(B70)),"Date invalide",IF(C70="","Client manquant",IF(ISNA(MATCH(C70,cli_code,0)),"Client inconnu",IF(O70&lt;MAX($O$6:O69),"Date antérieure au devis précédent",IF(AND(ISNUMBER(F70),F70&lt;O70),"Validité antérieure à la date du devis",IF(AND(R70=0,G70&lt;&gt;"Annulé"),"Aucune ligne (feuille Lignes de devis)",IF(COUNTIFS(dl_doc,A70,dl_check,"&lt;&gt;OK")&gt;0,"Ligne(s) à corriger",IF(AND(L70&lt;&gt;"",OR(G70="Refusé",G70="Annulé")),"Devis refusé ou annulé mais facturé","OK"))))))))))</f>
        <v/>
      </c>
      <c r="O70" s="62">
        <f>IF(ISNUMBER(B70),B70,0)</f>
        <v>0.0</v>
      </c>
      <c r="P70" s="62" t="str">
        <f>IF(O70=0,"",YEAR(O70))</f>
        <v/>
      </c>
      <c r="Q70" s="62" t="str">
        <f>IF(P70="","",COUNTIF($P$6:P70,P70))</f>
        <v/>
      </c>
      <c r="R70" s="62">
        <f>IF(A70="",0,COUNTIF(dl_doc,A70))</f>
        <v>0.0</v>
      </c>
    </row>
    <row r="71">
      <c r="A71" s="59" t="str">
        <f>IF(Q71="","",p_pdv&amp;"-"&amp;P71&amp;"-"&amp;RIGHT("000"&amp;Q71,4))</f>
        <v/>
      </c>
      <c r="B71" s="61" t="n"/>
      <c r="C71" s="60" t="n"/>
      <c r="D71" s="62" t="str">
        <f>IF(C71="","",IFERROR(INDEX(cli_name,MATCH(C71,cli_code,0))&amp;"","Client inconnu"))</f>
        <v/>
      </c>
      <c r="E71" s="63" t="n"/>
      <c r="F71" s="61" t="n"/>
      <c r="G71" s="60" t="n"/>
      <c r="H71" s="64" t="str">
        <f>IF(A71="","",IF(ISNUMBER(F71),F71,O71+N(p_validity)))</f>
        <v/>
      </c>
      <c r="I71" s="65" t="str">
        <f>IF(A71="","",SUMIF(dl_doc,A71,dl_ht))</f>
        <v/>
      </c>
      <c r="J71" s="65" t="str">
        <f>IF(A71="","",IF(INDEX(p_rates,1)="",0,ROUND(SUMIFS(dl_ht,dl_doc,A71,dl_rate,INDEX(p_rates,1))*INDEX(p_rates,1),2))+IF(INDEX(p_rates,2)="",0,ROUND(SUMIFS(dl_ht,dl_doc,A71,dl_rate,INDEX(p_rates,2))*INDEX(p_rates,2),2))+IF(INDEX(p_rates,3)="",0,ROUND(SUMIFS(dl_ht,dl_doc,A71,dl_rate,INDEX(p_rates,3))*INDEX(p_rates,3),2))+IF(INDEX(p_rates,4)="",0,ROUND(SUMIFS(dl_ht,dl_doc,A71,dl_rate,INDEX(p_rates,4))*INDEX(p_rates,4),2))+IF(INDEX(p_rates,5)="",0,ROUND(SUMIFS(dl_ht,dl_doc,A71,dl_rate,INDEX(p_rates,5))*INDEX(p_rates,5),2))+IF(INDEX(p_rates,6)="",0,ROUND(SUMIFS(dl_ht,dl_doc,A71,dl_rate,INDEX(p_rates,6))*INDEX(p_rates,6),2)))</f>
        <v/>
      </c>
      <c r="K71" s="65" t="str">
        <f>IF(A71="","",I71+J71)</f>
        <v/>
      </c>
      <c r="L71" s="59" t="str">
        <f>IF(A71="","",IFERROR(INDEX(fa_num,MATCH(A71,fa_dvkey,0))&amp;"",""))</f>
        <v/>
      </c>
      <c r="M71" s="59" t="str">
        <f>IF(A71="","",IF(G71="Annulé","Annulé",IF(L71&lt;&gt;"","Facturé",IF(G71="Accepté","Accepté",IF(G71="Refusé","Refusé",IF(p_asof&gt;H71,"Expiré","En attente"))))))</f>
        <v/>
      </c>
      <c r="N71" s="59" t="str">
        <f>IF(COUNTA(B71:C71,E71:G71)=0,"",IF(B71="","Date manquante",IF(NOT(ISNUMBER(B71)),"Date invalide",IF(C71="","Client manquant",IF(ISNA(MATCH(C71,cli_code,0)),"Client inconnu",IF(O71&lt;MAX($O$6:O70),"Date antérieure au devis précédent",IF(AND(ISNUMBER(F71),F71&lt;O71),"Validité antérieure à la date du devis",IF(AND(R71=0,G71&lt;&gt;"Annulé"),"Aucune ligne (feuille Lignes de devis)",IF(COUNTIFS(dl_doc,A71,dl_check,"&lt;&gt;OK")&gt;0,"Ligne(s) à corriger",IF(AND(L71&lt;&gt;"",OR(G71="Refusé",G71="Annulé")),"Devis refusé ou annulé mais facturé","OK"))))))))))</f>
        <v/>
      </c>
      <c r="O71" s="62">
        <f>IF(ISNUMBER(B71),B71,0)</f>
        <v>0.0</v>
      </c>
      <c r="P71" s="62" t="str">
        <f>IF(O71=0,"",YEAR(O71))</f>
        <v/>
      </c>
      <c r="Q71" s="62" t="str">
        <f>IF(P71="","",COUNTIF($P$6:P71,P71))</f>
        <v/>
      </c>
      <c r="R71" s="62">
        <f>IF(A71="",0,COUNTIF(dl_doc,A71))</f>
        <v>0.0</v>
      </c>
    </row>
    <row r="72">
      <c r="A72" s="59" t="str">
        <f>IF(Q72="","",p_pdv&amp;"-"&amp;P72&amp;"-"&amp;RIGHT("000"&amp;Q72,4))</f>
        <v/>
      </c>
      <c r="B72" s="61" t="n"/>
      <c r="C72" s="60" t="n"/>
      <c r="D72" s="62" t="str">
        <f>IF(C72="","",IFERROR(INDEX(cli_name,MATCH(C72,cli_code,0))&amp;"","Client inconnu"))</f>
        <v/>
      </c>
      <c r="E72" s="63" t="n"/>
      <c r="F72" s="61" t="n"/>
      <c r="G72" s="60" t="n"/>
      <c r="H72" s="64" t="str">
        <f>IF(A72="","",IF(ISNUMBER(F72),F72,O72+N(p_validity)))</f>
        <v/>
      </c>
      <c r="I72" s="65" t="str">
        <f>IF(A72="","",SUMIF(dl_doc,A72,dl_ht))</f>
        <v/>
      </c>
      <c r="J72" s="65" t="str">
        <f>IF(A72="","",IF(INDEX(p_rates,1)="",0,ROUND(SUMIFS(dl_ht,dl_doc,A72,dl_rate,INDEX(p_rates,1))*INDEX(p_rates,1),2))+IF(INDEX(p_rates,2)="",0,ROUND(SUMIFS(dl_ht,dl_doc,A72,dl_rate,INDEX(p_rates,2))*INDEX(p_rates,2),2))+IF(INDEX(p_rates,3)="",0,ROUND(SUMIFS(dl_ht,dl_doc,A72,dl_rate,INDEX(p_rates,3))*INDEX(p_rates,3),2))+IF(INDEX(p_rates,4)="",0,ROUND(SUMIFS(dl_ht,dl_doc,A72,dl_rate,INDEX(p_rates,4))*INDEX(p_rates,4),2))+IF(INDEX(p_rates,5)="",0,ROUND(SUMIFS(dl_ht,dl_doc,A72,dl_rate,INDEX(p_rates,5))*INDEX(p_rates,5),2))+IF(INDEX(p_rates,6)="",0,ROUND(SUMIFS(dl_ht,dl_doc,A72,dl_rate,INDEX(p_rates,6))*INDEX(p_rates,6),2)))</f>
        <v/>
      </c>
      <c r="K72" s="65" t="str">
        <f>IF(A72="","",I72+J72)</f>
        <v/>
      </c>
      <c r="L72" s="59" t="str">
        <f>IF(A72="","",IFERROR(INDEX(fa_num,MATCH(A72,fa_dvkey,0))&amp;"",""))</f>
        <v/>
      </c>
      <c r="M72" s="59" t="str">
        <f>IF(A72="","",IF(G72="Annulé","Annulé",IF(L72&lt;&gt;"","Facturé",IF(G72="Accepté","Accepté",IF(G72="Refusé","Refusé",IF(p_asof&gt;H72,"Expiré","En attente"))))))</f>
        <v/>
      </c>
      <c r="N72" s="59" t="str">
        <f>IF(COUNTA(B72:C72,E72:G72)=0,"",IF(B72="","Date manquante",IF(NOT(ISNUMBER(B72)),"Date invalide",IF(C72="","Client manquant",IF(ISNA(MATCH(C72,cli_code,0)),"Client inconnu",IF(O72&lt;MAX($O$6:O71),"Date antérieure au devis précédent",IF(AND(ISNUMBER(F72),F72&lt;O72),"Validité antérieure à la date du devis",IF(AND(R72=0,G72&lt;&gt;"Annulé"),"Aucune ligne (feuille Lignes de devis)",IF(COUNTIFS(dl_doc,A72,dl_check,"&lt;&gt;OK")&gt;0,"Ligne(s) à corriger",IF(AND(L72&lt;&gt;"",OR(G72="Refusé",G72="Annulé")),"Devis refusé ou annulé mais facturé","OK"))))))))))</f>
        <v/>
      </c>
      <c r="O72" s="62">
        <f>IF(ISNUMBER(B72),B72,0)</f>
        <v>0.0</v>
      </c>
      <c r="P72" s="62" t="str">
        <f>IF(O72=0,"",YEAR(O72))</f>
        <v/>
      </c>
      <c r="Q72" s="62" t="str">
        <f>IF(P72="","",COUNTIF($P$6:P72,P72))</f>
        <v/>
      </c>
      <c r="R72" s="62">
        <f>IF(A72="",0,COUNTIF(dl_doc,A72))</f>
        <v>0.0</v>
      </c>
    </row>
    <row r="73">
      <c r="A73" s="59" t="str">
        <f>IF(Q73="","",p_pdv&amp;"-"&amp;P73&amp;"-"&amp;RIGHT("000"&amp;Q73,4))</f>
        <v/>
      </c>
      <c r="B73" s="61" t="n"/>
      <c r="C73" s="60" t="n"/>
      <c r="D73" s="62" t="str">
        <f>IF(C73="","",IFERROR(INDEX(cli_name,MATCH(C73,cli_code,0))&amp;"","Client inconnu"))</f>
        <v/>
      </c>
      <c r="E73" s="63" t="n"/>
      <c r="F73" s="61" t="n"/>
      <c r="G73" s="60" t="n"/>
      <c r="H73" s="64" t="str">
        <f>IF(A73="","",IF(ISNUMBER(F73),F73,O73+N(p_validity)))</f>
        <v/>
      </c>
      <c r="I73" s="65" t="str">
        <f>IF(A73="","",SUMIF(dl_doc,A73,dl_ht))</f>
        <v/>
      </c>
      <c r="J73" s="65" t="str">
        <f>IF(A73="","",IF(INDEX(p_rates,1)="",0,ROUND(SUMIFS(dl_ht,dl_doc,A73,dl_rate,INDEX(p_rates,1))*INDEX(p_rates,1),2))+IF(INDEX(p_rates,2)="",0,ROUND(SUMIFS(dl_ht,dl_doc,A73,dl_rate,INDEX(p_rates,2))*INDEX(p_rates,2),2))+IF(INDEX(p_rates,3)="",0,ROUND(SUMIFS(dl_ht,dl_doc,A73,dl_rate,INDEX(p_rates,3))*INDEX(p_rates,3),2))+IF(INDEX(p_rates,4)="",0,ROUND(SUMIFS(dl_ht,dl_doc,A73,dl_rate,INDEX(p_rates,4))*INDEX(p_rates,4),2))+IF(INDEX(p_rates,5)="",0,ROUND(SUMIFS(dl_ht,dl_doc,A73,dl_rate,INDEX(p_rates,5))*INDEX(p_rates,5),2))+IF(INDEX(p_rates,6)="",0,ROUND(SUMIFS(dl_ht,dl_doc,A73,dl_rate,INDEX(p_rates,6))*INDEX(p_rates,6),2)))</f>
        <v/>
      </c>
      <c r="K73" s="65" t="str">
        <f>IF(A73="","",I73+J73)</f>
        <v/>
      </c>
      <c r="L73" s="59" t="str">
        <f>IF(A73="","",IFERROR(INDEX(fa_num,MATCH(A73,fa_dvkey,0))&amp;"",""))</f>
        <v/>
      </c>
      <c r="M73" s="59" t="str">
        <f>IF(A73="","",IF(G73="Annulé","Annulé",IF(L73&lt;&gt;"","Facturé",IF(G73="Accepté","Accepté",IF(G73="Refusé","Refusé",IF(p_asof&gt;H73,"Expiré","En attente"))))))</f>
        <v/>
      </c>
      <c r="N73" s="59" t="str">
        <f>IF(COUNTA(B73:C73,E73:G73)=0,"",IF(B73="","Date manquante",IF(NOT(ISNUMBER(B73)),"Date invalide",IF(C73="","Client manquant",IF(ISNA(MATCH(C73,cli_code,0)),"Client inconnu",IF(O73&lt;MAX($O$6:O72),"Date antérieure au devis précédent",IF(AND(ISNUMBER(F73),F73&lt;O73),"Validité antérieure à la date du devis",IF(AND(R73=0,G73&lt;&gt;"Annulé"),"Aucune ligne (feuille Lignes de devis)",IF(COUNTIFS(dl_doc,A73,dl_check,"&lt;&gt;OK")&gt;0,"Ligne(s) à corriger",IF(AND(L73&lt;&gt;"",OR(G73="Refusé",G73="Annulé")),"Devis refusé ou annulé mais facturé","OK"))))))))))</f>
        <v/>
      </c>
      <c r="O73" s="62">
        <f>IF(ISNUMBER(B73),B73,0)</f>
        <v>0.0</v>
      </c>
      <c r="P73" s="62" t="str">
        <f>IF(O73=0,"",YEAR(O73))</f>
        <v/>
      </c>
      <c r="Q73" s="62" t="str">
        <f>IF(P73="","",COUNTIF($P$6:P73,P73))</f>
        <v/>
      </c>
      <c r="R73" s="62">
        <f>IF(A73="",0,COUNTIF(dl_doc,A73))</f>
        <v>0.0</v>
      </c>
    </row>
    <row r="74">
      <c r="A74" s="59" t="str">
        <f>IF(Q74="","",p_pdv&amp;"-"&amp;P74&amp;"-"&amp;RIGHT("000"&amp;Q74,4))</f>
        <v/>
      </c>
      <c r="B74" s="61" t="n"/>
      <c r="C74" s="60" t="n"/>
      <c r="D74" s="62" t="str">
        <f>IF(C74="","",IFERROR(INDEX(cli_name,MATCH(C74,cli_code,0))&amp;"","Client inconnu"))</f>
        <v/>
      </c>
      <c r="E74" s="63" t="n"/>
      <c r="F74" s="61" t="n"/>
      <c r="G74" s="60" t="n"/>
      <c r="H74" s="64" t="str">
        <f>IF(A74="","",IF(ISNUMBER(F74),F74,O74+N(p_validity)))</f>
        <v/>
      </c>
      <c r="I74" s="65" t="str">
        <f>IF(A74="","",SUMIF(dl_doc,A74,dl_ht))</f>
        <v/>
      </c>
      <c r="J74" s="65" t="str">
        <f>IF(A74="","",IF(INDEX(p_rates,1)="",0,ROUND(SUMIFS(dl_ht,dl_doc,A74,dl_rate,INDEX(p_rates,1))*INDEX(p_rates,1),2))+IF(INDEX(p_rates,2)="",0,ROUND(SUMIFS(dl_ht,dl_doc,A74,dl_rate,INDEX(p_rates,2))*INDEX(p_rates,2),2))+IF(INDEX(p_rates,3)="",0,ROUND(SUMIFS(dl_ht,dl_doc,A74,dl_rate,INDEX(p_rates,3))*INDEX(p_rates,3),2))+IF(INDEX(p_rates,4)="",0,ROUND(SUMIFS(dl_ht,dl_doc,A74,dl_rate,INDEX(p_rates,4))*INDEX(p_rates,4),2))+IF(INDEX(p_rates,5)="",0,ROUND(SUMIFS(dl_ht,dl_doc,A74,dl_rate,INDEX(p_rates,5))*INDEX(p_rates,5),2))+IF(INDEX(p_rates,6)="",0,ROUND(SUMIFS(dl_ht,dl_doc,A74,dl_rate,INDEX(p_rates,6))*INDEX(p_rates,6),2)))</f>
        <v/>
      </c>
      <c r="K74" s="65" t="str">
        <f>IF(A74="","",I74+J74)</f>
        <v/>
      </c>
      <c r="L74" s="59" t="str">
        <f>IF(A74="","",IFERROR(INDEX(fa_num,MATCH(A74,fa_dvkey,0))&amp;"",""))</f>
        <v/>
      </c>
      <c r="M74" s="59" t="str">
        <f>IF(A74="","",IF(G74="Annulé","Annulé",IF(L74&lt;&gt;"","Facturé",IF(G74="Accepté","Accepté",IF(G74="Refusé","Refusé",IF(p_asof&gt;H74,"Expiré","En attente"))))))</f>
        <v/>
      </c>
      <c r="N74" s="59" t="str">
        <f>IF(COUNTA(B74:C74,E74:G74)=0,"",IF(B74="","Date manquante",IF(NOT(ISNUMBER(B74)),"Date invalide",IF(C74="","Client manquant",IF(ISNA(MATCH(C74,cli_code,0)),"Client inconnu",IF(O74&lt;MAX($O$6:O73),"Date antérieure au devis précédent",IF(AND(ISNUMBER(F74),F74&lt;O74),"Validité antérieure à la date du devis",IF(AND(R74=0,G74&lt;&gt;"Annulé"),"Aucune ligne (feuille Lignes de devis)",IF(COUNTIFS(dl_doc,A74,dl_check,"&lt;&gt;OK")&gt;0,"Ligne(s) à corriger",IF(AND(L74&lt;&gt;"",OR(G74="Refusé",G74="Annulé")),"Devis refusé ou annulé mais facturé","OK"))))))))))</f>
        <v/>
      </c>
      <c r="O74" s="62">
        <f>IF(ISNUMBER(B74),B74,0)</f>
        <v>0.0</v>
      </c>
      <c r="P74" s="62" t="str">
        <f>IF(O74=0,"",YEAR(O74))</f>
        <v/>
      </c>
      <c r="Q74" s="62" t="str">
        <f>IF(P74="","",COUNTIF($P$6:P74,P74))</f>
        <v/>
      </c>
      <c r="R74" s="62">
        <f>IF(A74="",0,COUNTIF(dl_doc,A74))</f>
        <v>0.0</v>
      </c>
    </row>
    <row r="75">
      <c r="A75" s="59" t="str">
        <f>IF(Q75="","",p_pdv&amp;"-"&amp;P75&amp;"-"&amp;RIGHT("000"&amp;Q75,4))</f>
        <v/>
      </c>
      <c r="B75" s="61" t="n"/>
      <c r="C75" s="60" t="n"/>
      <c r="D75" s="62" t="str">
        <f>IF(C75="","",IFERROR(INDEX(cli_name,MATCH(C75,cli_code,0))&amp;"","Client inconnu"))</f>
        <v/>
      </c>
      <c r="E75" s="63" t="n"/>
      <c r="F75" s="61" t="n"/>
      <c r="G75" s="60" t="n"/>
      <c r="H75" s="64" t="str">
        <f>IF(A75="","",IF(ISNUMBER(F75),F75,O75+N(p_validity)))</f>
        <v/>
      </c>
      <c r="I75" s="65" t="str">
        <f>IF(A75="","",SUMIF(dl_doc,A75,dl_ht))</f>
        <v/>
      </c>
      <c r="J75" s="65" t="str">
        <f>IF(A75="","",IF(INDEX(p_rates,1)="",0,ROUND(SUMIFS(dl_ht,dl_doc,A75,dl_rate,INDEX(p_rates,1))*INDEX(p_rates,1),2))+IF(INDEX(p_rates,2)="",0,ROUND(SUMIFS(dl_ht,dl_doc,A75,dl_rate,INDEX(p_rates,2))*INDEX(p_rates,2),2))+IF(INDEX(p_rates,3)="",0,ROUND(SUMIFS(dl_ht,dl_doc,A75,dl_rate,INDEX(p_rates,3))*INDEX(p_rates,3),2))+IF(INDEX(p_rates,4)="",0,ROUND(SUMIFS(dl_ht,dl_doc,A75,dl_rate,INDEX(p_rates,4))*INDEX(p_rates,4),2))+IF(INDEX(p_rates,5)="",0,ROUND(SUMIFS(dl_ht,dl_doc,A75,dl_rate,INDEX(p_rates,5))*INDEX(p_rates,5),2))+IF(INDEX(p_rates,6)="",0,ROUND(SUMIFS(dl_ht,dl_doc,A75,dl_rate,INDEX(p_rates,6))*INDEX(p_rates,6),2)))</f>
        <v/>
      </c>
      <c r="K75" s="65" t="str">
        <f>IF(A75="","",I75+J75)</f>
        <v/>
      </c>
      <c r="L75" s="59" t="str">
        <f>IF(A75="","",IFERROR(INDEX(fa_num,MATCH(A75,fa_dvkey,0))&amp;"",""))</f>
        <v/>
      </c>
      <c r="M75" s="59" t="str">
        <f>IF(A75="","",IF(G75="Annulé","Annulé",IF(L75&lt;&gt;"","Facturé",IF(G75="Accepté","Accepté",IF(G75="Refusé","Refusé",IF(p_asof&gt;H75,"Expiré","En attente"))))))</f>
        <v/>
      </c>
      <c r="N75" s="59" t="str">
        <f>IF(COUNTA(B75:C75,E75:G75)=0,"",IF(B75="","Date manquante",IF(NOT(ISNUMBER(B75)),"Date invalide",IF(C75="","Client manquant",IF(ISNA(MATCH(C75,cli_code,0)),"Client inconnu",IF(O75&lt;MAX($O$6:O74),"Date antérieure au devis précédent",IF(AND(ISNUMBER(F75),F75&lt;O75),"Validité antérieure à la date du devis",IF(AND(R75=0,G75&lt;&gt;"Annulé"),"Aucune ligne (feuille Lignes de devis)",IF(COUNTIFS(dl_doc,A75,dl_check,"&lt;&gt;OK")&gt;0,"Ligne(s) à corriger",IF(AND(L75&lt;&gt;"",OR(G75="Refusé",G75="Annulé")),"Devis refusé ou annulé mais facturé","OK"))))))))))</f>
        <v/>
      </c>
      <c r="O75" s="62">
        <f>IF(ISNUMBER(B75),B75,0)</f>
        <v>0.0</v>
      </c>
      <c r="P75" s="62" t="str">
        <f>IF(O75=0,"",YEAR(O75))</f>
        <v/>
      </c>
      <c r="Q75" s="62" t="str">
        <f>IF(P75="","",COUNTIF($P$6:P75,P75))</f>
        <v/>
      </c>
      <c r="R75" s="62">
        <f>IF(A75="",0,COUNTIF(dl_doc,A75))</f>
        <v>0.0</v>
      </c>
    </row>
    <row r="76">
      <c r="A76" s="59" t="str">
        <f>IF(Q76="","",p_pdv&amp;"-"&amp;P76&amp;"-"&amp;RIGHT("000"&amp;Q76,4))</f>
        <v/>
      </c>
      <c r="B76" s="61" t="n"/>
      <c r="C76" s="60" t="n"/>
      <c r="D76" s="62" t="str">
        <f>IF(C76="","",IFERROR(INDEX(cli_name,MATCH(C76,cli_code,0))&amp;"","Client inconnu"))</f>
        <v/>
      </c>
      <c r="E76" s="63" t="n"/>
      <c r="F76" s="61" t="n"/>
      <c r="G76" s="60" t="n"/>
      <c r="H76" s="64" t="str">
        <f>IF(A76="","",IF(ISNUMBER(F76),F76,O76+N(p_validity)))</f>
        <v/>
      </c>
      <c r="I76" s="65" t="str">
        <f>IF(A76="","",SUMIF(dl_doc,A76,dl_ht))</f>
        <v/>
      </c>
      <c r="J76" s="65" t="str">
        <f>IF(A76="","",IF(INDEX(p_rates,1)="",0,ROUND(SUMIFS(dl_ht,dl_doc,A76,dl_rate,INDEX(p_rates,1))*INDEX(p_rates,1),2))+IF(INDEX(p_rates,2)="",0,ROUND(SUMIFS(dl_ht,dl_doc,A76,dl_rate,INDEX(p_rates,2))*INDEX(p_rates,2),2))+IF(INDEX(p_rates,3)="",0,ROUND(SUMIFS(dl_ht,dl_doc,A76,dl_rate,INDEX(p_rates,3))*INDEX(p_rates,3),2))+IF(INDEX(p_rates,4)="",0,ROUND(SUMIFS(dl_ht,dl_doc,A76,dl_rate,INDEX(p_rates,4))*INDEX(p_rates,4),2))+IF(INDEX(p_rates,5)="",0,ROUND(SUMIFS(dl_ht,dl_doc,A76,dl_rate,INDEX(p_rates,5))*INDEX(p_rates,5),2))+IF(INDEX(p_rates,6)="",0,ROUND(SUMIFS(dl_ht,dl_doc,A76,dl_rate,INDEX(p_rates,6))*INDEX(p_rates,6),2)))</f>
        <v/>
      </c>
      <c r="K76" s="65" t="str">
        <f>IF(A76="","",I76+J76)</f>
        <v/>
      </c>
      <c r="L76" s="59" t="str">
        <f>IF(A76="","",IFERROR(INDEX(fa_num,MATCH(A76,fa_dvkey,0))&amp;"",""))</f>
        <v/>
      </c>
      <c r="M76" s="59" t="str">
        <f>IF(A76="","",IF(G76="Annulé","Annulé",IF(L76&lt;&gt;"","Facturé",IF(G76="Accepté","Accepté",IF(G76="Refusé","Refusé",IF(p_asof&gt;H76,"Expiré","En attente"))))))</f>
        <v/>
      </c>
      <c r="N76" s="59" t="str">
        <f>IF(COUNTA(B76:C76,E76:G76)=0,"",IF(B76="","Date manquante",IF(NOT(ISNUMBER(B76)),"Date invalide",IF(C76="","Client manquant",IF(ISNA(MATCH(C76,cli_code,0)),"Client inconnu",IF(O76&lt;MAX($O$6:O75),"Date antérieure au devis précédent",IF(AND(ISNUMBER(F76),F76&lt;O76),"Validité antérieure à la date du devis",IF(AND(R76=0,G76&lt;&gt;"Annulé"),"Aucune ligne (feuille Lignes de devis)",IF(COUNTIFS(dl_doc,A76,dl_check,"&lt;&gt;OK")&gt;0,"Ligne(s) à corriger",IF(AND(L76&lt;&gt;"",OR(G76="Refusé",G76="Annulé")),"Devis refusé ou annulé mais facturé","OK"))))))))))</f>
        <v/>
      </c>
      <c r="O76" s="62">
        <f>IF(ISNUMBER(B76),B76,0)</f>
        <v>0.0</v>
      </c>
      <c r="P76" s="62" t="str">
        <f>IF(O76=0,"",YEAR(O76))</f>
        <v/>
      </c>
      <c r="Q76" s="62" t="str">
        <f>IF(P76="","",COUNTIF($P$6:P76,P76))</f>
        <v/>
      </c>
      <c r="R76" s="62">
        <f>IF(A76="",0,COUNTIF(dl_doc,A76))</f>
        <v>0.0</v>
      </c>
    </row>
    <row r="77">
      <c r="A77" s="59" t="str">
        <f>IF(Q77="","",p_pdv&amp;"-"&amp;P77&amp;"-"&amp;RIGHT("000"&amp;Q77,4))</f>
        <v/>
      </c>
      <c r="B77" s="61" t="n"/>
      <c r="C77" s="60" t="n"/>
      <c r="D77" s="62" t="str">
        <f>IF(C77="","",IFERROR(INDEX(cli_name,MATCH(C77,cli_code,0))&amp;"","Client inconnu"))</f>
        <v/>
      </c>
      <c r="E77" s="63" t="n"/>
      <c r="F77" s="61" t="n"/>
      <c r="G77" s="60" t="n"/>
      <c r="H77" s="64" t="str">
        <f>IF(A77="","",IF(ISNUMBER(F77),F77,O77+N(p_validity)))</f>
        <v/>
      </c>
      <c r="I77" s="65" t="str">
        <f>IF(A77="","",SUMIF(dl_doc,A77,dl_ht))</f>
        <v/>
      </c>
      <c r="J77" s="65" t="str">
        <f>IF(A77="","",IF(INDEX(p_rates,1)="",0,ROUND(SUMIFS(dl_ht,dl_doc,A77,dl_rate,INDEX(p_rates,1))*INDEX(p_rates,1),2))+IF(INDEX(p_rates,2)="",0,ROUND(SUMIFS(dl_ht,dl_doc,A77,dl_rate,INDEX(p_rates,2))*INDEX(p_rates,2),2))+IF(INDEX(p_rates,3)="",0,ROUND(SUMIFS(dl_ht,dl_doc,A77,dl_rate,INDEX(p_rates,3))*INDEX(p_rates,3),2))+IF(INDEX(p_rates,4)="",0,ROUND(SUMIFS(dl_ht,dl_doc,A77,dl_rate,INDEX(p_rates,4))*INDEX(p_rates,4),2))+IF(INDEX(p_rates,5)="",0,ROUND(SUMIFS(dl_ht,dl_doc,A77,dl_rate,INDEX(p_rates,5))*INDEX(p_rates,5),2))+IF(INDEX(p_rates,6)="",0,ROUND(SUMIFS(dl_ht,dl_doc,A77,dl_rate,INDEX(p_rates,6))*INDEX(p_rates,6),2)))</f>
        <v/>
      </c>
      <c r="K77" s="65" t="str">
        <f>IF(A77="","",I77+J77)</f>
        <v/>
      </c>
      <c r="L77" s="59" t="str">
        <f>IF(A77="","",IFERROR(INDEX(fa_num,MATCH(A77,fa_dvkey,0))&amp;"",""))</f>
        <v/>
      </c>
      <c r="M77" s="59" t="str">
        <f>IF(A77="","",IF(G77="Annulé","Annulé",IF(L77&lt;&gt;"","Facturé",IF(G77="Accepté","Accepté",IF(G77="Refusé","Refusé",IF(p_asof&gt;H77,"Expiré","En attente"))))))</f>
        <v/>
      </c>
      <c r="N77" s="59" t="str">
        <f>IF(COUNTA(B77:C77,E77:G77)=0,"",IF(B77="","Date manquante",IF(NOT(ISNUMBER(B77)),"Date invalide",IF(C77="","Client manquant",IF(ISNA(MATCH(C77,cli_code,0)),"Client inconnu",IF(O77&lt;MAX($O$6:O76),"Date antérieure au devis précédent",IF(AND(ISNUMBER(F77),F77&lt;O77),"Validité antérieure à la date du devis",IF(AND(R77=0,G77&lt;&gt;"Annulé"),"Aucune ligne (feuille Lignes de devis)",IF(COUNTIFS(dl_doc,A77,dl_check,"&lt;&gt;OK")&gt;0,"Ligne(s) à corriger",IF(AND(L77&lt;&gt;"",OR(G77="Refusé",G77="Annulé")),"Devis refusé ou annulé mais facturé","OK"))))))))))</f>
        <v/>
      </c>
      <c r="O77" s="62">
        <f>IF(ISNUMBER(B77),B77,0)</f>
        <v>0.0</v>
      </c>
      <c r="P77" s="62" t="str">
        <f>IF(O77=0,"",YEAR(O77))</f>
        <v/>
      </c>
      <c r="Q77" s="62" t="str">
        <f>IF(P77="","",COUNTIF($P$6:P77,P77))</f>
        <v/>
      </c>
      <c r="R77" s="62">
        <f>IF(A77="",0,COUNTIF(dl_doc,A77))</f>
        <v>0.0</v>
      </c>
    </row>
    <row r="78">
      <c r="A78" s="59" t="str">
        <f>IF(Q78="","",p_pdv&amp;"-"&amp;P78&amp;"-"&amp;RIGHT("000"&amp;Q78,4))</f>
        <v/>
      </c>
      <c r="B78" s="61" t="n"/>
      <c r="C78" s="60" t="n"/>
      <c r="D78" s="62" t="str">
        <f>IF(C78="","",IFERROR(INDEX(cli_name,MATCH(C78,cli_code,0))&amp;"","Client inconnu"))</f>
        <v/>
      </c>
      <c r="E78" s="63" t="n"/>
      <c r="F78" s="61" t="n"/>
      <c r="G78" s="60" t="n"/>
      <c r="H78" s="64" t="str">
        <f>IF(A78="","",IF(ISNUMBER(F78),F78,O78+N(p_validity)))</f>
        <v/>
      </c>
      <c r="I78" s="65" t="str">
        <f>IF(A78="","",SUMIF(dl_doc,A78,dl_ht))</f>
        <v/>
      </c>
      <c r="J78" s="65" t="str">
        <f>IF(A78="","",IF(INDEX(p_rates,1)="",0,ROUND(SUMIFS(dl_ht,dl_doc,A78,dl_rate,INDEX(p_rates,1))*INDEX(p_rates,1),2))+IF(INDEX(p_rates,2)="",0,ROUND(SUMIFS(dl_ht,dl_doc,A78,dl_rate,INDEX(p_rates,2))*INDEX(p_rates,2),2))+IF(INDEX(p_rates,3)="",0,ROUND(SUMIFS(dl_ht,dl_doc,A78,dl_rate,INDEX(p_rates,3))*INDEX(p_rates,3),2))+IF(INDEX(p_rates,4)="",0,ROUND(SUMIFS(dl_ht,dl_doc,A78,dl_rate,INDEX(p_rates,4))*INDEX(p_rates,4),2))+IF(INDEX(p_rates,5)="",0,ROUND(SUMIFS(dl_ht,dl_doc,A78,dl_rate,INDEX(p_rates,5))*INDEX(p_rates,5),2))+IF(INDEX(p_rates,6)="",0,ROUND(SUMIFS(dl_ht,dl_doc,A78,dl_rate,INDEX(p_rates,6))*INDEX(p_rates,6),2)))</f>
        <v/>
      </c>
      <c r="K78" s="65" t="str">
        <f>IF(A78="","",I78+J78)</f>
        <v/>
      </c>
      <c r="L78" s="59" t="str">
        <f>IF(A78="","",IFERROR(INDEX(fa_num,MATCH(A78,fa_dvkey,0))&amp;"",""))</f>
        <v/>
      </c>
      <c r="M78" s="59" t="str">
        <f>IF(A78="","",IF(G78="Annulé","Annulé",IF(L78&lt;&gt;"","Facturé",IF(G78="Accepté","Accepté",IF(G78="Refusé","Refusé",IF(p_asof&gt;H78,"Expiré","En attente"))))))</f>
        <v/>
      </c>
      <c r="N78" s="59" t="str">
        <f>IF(COUNTA(B78:C78,E78:G78)=0,"",IF(B78="","Date manquante",IF(NOT(ISNUMBER(B78)),"Date invalide",IF(C78="","Client manquant",IF(ISNA(MATCH(C78,cli_code,0)),"Client inconnu",IF(O78&lt;MAX($O$6:O77),"Date antérieure au devis précédent",IF(AND(ISNUMBER(F78),F78&lt;O78),"Validité antérieure à la date du devis",IF(AND(R78=0,G78&lt;&gt;"Annulé"),"Aucune ligne (feuille Lignes de devis)",IF(COUNTIFS(dl_doc,A78,dl_check,"&lt;&gt;OK")&gt;0,"Ligne(s) à corriger",IF(AND(L78&lt;&gt;"",OR(G78="Refusé",G78="Annulé")),"Devis refusé ou annulé mais facturé","OK"))))))))))</f>
        <v/>
      </c>
      <c r="O78" s="62">
        <f>IF(ISNUMBER(B78),B78,0)</f>
        <v>0.0</v>
      </c>
      <c r="P78" s="62" t="str">
        <f>IF(O78=0,"",YEAR(O78))</f>
        <v/>
      </c>
      <c r="Q78" s="62" t="str">
        <f>IF(P78="","",COUNTIF($P$6:P78,P78))</f>
        <v/>
      </c>
      <c r="R78" s="62">
        <f>IF(A78="",0,COUNTIF(dl_doc,A78))</f>
        <v>0.0</v>
      </c>
    </row>
    <row r="79">
      <c r="A79" s="59" t="str">
        <f>IF(Q79="","",p_pdv&amp;"-"&amp;P79&amp;"-"&amp;RIGHT("000"&amp;Q79,4))</f>
        <v/>
      </c>
      <c r="B79" s="61" t="n"/>
      <c r="C79" s="60" t="n"/>
      <c r="D79" s="62" t="str">
        <f>IF(C79="","",IFERROR(INDEX(cli_name,MATCH(C79,cli_code,0))&amp;"","Client inconnu"))</f>
        <v/>
      </c>
      <c r="E79" s="63" t="n"/>
      <c r="F79" s="61" t="n"/>
      <c r="G79" s="60" t="n"/>
      <c r="H79" s="64" t="str">
        <f>IF(A79="","",IF(ISNUMBER(F79),F79,O79+N(p_validity)))</f>
        <v/>
      </c>
      <c r="I79" s="65" t="str">
        <f>IF(A79="","",SUMIF(dl_doc,A79,dl_ht))</f>
        <v/>
      </c>
      <c r="J79" s="65" t="str">
        <f>IF(A79="","",IF(INDEX(p_rates,1)="",0,ROUND(SUMIFS(dl_ht,dl_doc,A79,dl_rate,INDEX(p_rates,1))*INDEX(p_rates,1),2))+IF(INDEX(p_rates,2)="",0,ROUND(SUMIFS(dl_ht,dl_doc,A79,dl_rate,INDEX(p_rates,2))*INDEX(p_rates,2),2))+IF(INDEX(p_rates,3)="",0,ROUND(SUMIFS(dl_ht,dl_doc,A79,dl_rate,INDEX(p_rates,3))*INDEX(p_rates,3),2))+IF(INDEX(p_rates,4)="",0,ROUND(SUMIFS(dl_ht,dl_doc,A79,dl_rate,INDEX(p_rates,4))*INDEX(p_rates,4),2))+IF(INDEX(p_rates,5)="",0,ROUND(SUMIFS(dl_ht,dl_doc,A79,dl_rate,INDEX(p_rates,5))*INDEX(p_rates,5),2))+IF(INDEX(p_rates,6)="",0,ROUND(SUMIFS(dl_ht,dl_doc,A79,dl_rate,INDEX(p_rates,6))*INDEX(p_rates,6),2)))</f>
        <v/>
      </c>
      <c r="K79" s="65" t="str">
        <f>IF(A79="","",I79+J79)</f>
        <v/>
      </c>
      <c r="L79" s="59" t="str">
        <f>IF(A79="","",IFERROR(INDEX(fa_num,MATCH(A79,fa_dvkey,0))&amp;"",""))</f>
        <v/>
      </c>
      <c r="M79" s="59" t="str">
        <f>IF(A79="","",IF(G79="Annulé","Annulé",IF(L79&lt;&gt;"","Facturé",IF(G79="Accepté","Accepté",IF(G79="Refusé","Refusé",IF(p_asof&gt;H79,"Expiré","En attente"))))))</f>
        <v/>
      </c>
      <c r="N79" s="59" t="str">
        <f>IF(COUNTA(B79:C79,E79:G79)=0,"",IF(B79="","Date manquante",IF(NOT(ISNUMBER(B79)),"Date invalide",IF(C79="","Client manquant",IF(ISNA(MATCH(C79,cli_code,0)),"Client inconnu",IF(O79&lt;MAX($O$6:O78),"Date antérieure au devis précédent",IF(AND(ISNUMBER(F79),F79&lt;O79),"Validité antérieure à la date du devis",IF(AND(R79=0,G79&lt;&gt;"Annulé"),"Aucune ligne (feuille Lignes de devis)",IF(COUNTIFS(dl_doc,A79,dl_check,"&lt;&gt;OK")&gt;0,"Ligne(s) à corriger",IF(AND(L79&lt;&gt;"",OR(G79="Refusé",G79="Annulé")),"Devis refusé ou annulé mais facturé","OK"))))))))))</f>
        <v/>
      </c>
      <c r="O79" s="62">
        <f>IF(ISNUMBER(B79),B79,0)</f>
        <v>0.0</v>
      </c>
      <c r="P79" s="62" t="str">
        <f>IF(O79=0,"",YEAR(O79))</f>
        <v/>
      </c>
      <c r="Q79" s="62" t="str">
        <f>IF(P79="","",COUNTIF($P$6:P79,P79))</f>
        <v/>
      </c>
      <c r="R79" s="62">
        <f>IF(A79="",0,COUNTIF(dl_doc,A79))</f>
        <v>0.0</v>
      </c>
    </row>
    <row r="80">
      <c r="A80" s="59" t="str">
        <f>IF(Q80="","",p_pdv&amp;"-"&amp;P80&amp;"-"&amp;RIGHT("000"&amp;Q80,4))</f>
        <v/>
      </c>
      <c r="B80" s="61" t="n"/>
      <c r="C80" s="60" t="n"/>
      <c r="D80" s="62" t="str">
        <f>IF(C80="","",IFERROR(INDEX(cli_name,MATCH(C80,cli_code,0))&amp;"","Client inconnu"))</f>
        <v/>
      </c>
      <c r="E80" s="63" t="n"/>
      <c r="F80" s="61" t="n"/>
      <c r="G80" s="60" t="n"/>
      <c r="H80" s="64" t="str">
        <f>IF(A80="","",IF(ISNUMBER(F80),F80,O80+N(p_validity)))</f>
        <v/>
      </c>
      <c r="I80" s="65" t="str">
        <f>IF(A80="","",SUMIF(dl_doc,A80,dl_ht))</f>
        <v/>
      </c>
      <c r="J80" s="65" t="str">
        <f>IF(A80="","",IF(INDEX(p_rates,1)="",0,ROUND(SUMIFS(dl_ht,dl_doc,A80,dl_rate,INDEX(p_rates,1))*INDEX(p_rates,1),2))+IF(INDEX(p_rates,2)="",0,ROUND(SUMIFS(dl_ht,dl_doc,A80,dl_rate,INDEX(p_rates,2))*INDEX(p_rates,2),2))+IF(INDEX(p_rates,3)="",0,ROUND(SUMIFS(dl_ht,dl_doc,A80,dl_rate,INDEX(p_rates,3))*INDEX(p_rates,3),2))+IF(INDEX(p_rates,4)="",0,ROUND(SUMIFS(dl_ht,dl_doc,A80,dl_rate,INDEX(p_rates,4))*INDEX(p_rates,4),2))+IF(INDEX(p_rates,5)="",0,ROUND(SUMIFS(dl_ht,dl_doc,A80,dl_rate,INDEX(p_rates,5))*INDEX(p_rates,5),2))+IF(INDEX(p_rates,6)="",0,ROUND(SUMIFS(dl_ht,dl_doc,A80,dl_rate,INDEX(p_rates,6))*INDEX(p_rates,6),2)))</f>
        <v/>
      </c>
      <c r="K80" s="65" t="str">
        <f>IF(A80="","",I80+J80)</f>
        <v/>
      </c>
      <c r="L80" s="59" t="str">
        <f>IF(A80="","",IFERROR(INDEX(fa_num,MATCH(A80,fa_dvkey,0))&amp;"",""))</f>
        <v/>
      </c>
      <c r="M80" s="59" t="str">
        <f>IF(A80="","",IF(G80="Annulé","Annulé",IF(L80&lt;&gt;"","Facturé",IF(G80="Accepté","Accepté",IF(G80="Refusé","Refusé",IF(p_asof&gt;H80,"Expiré","En attente"))))))</f>
        <v/>
      </c>
      <c r="N80" s="59" t="str">
        <f>IF(COUNTA(B80:C80,E80:G80)=0,"",IF(B80="","Date manquante",IF(NOT(ISNUMBER(B80)),"Date invalide",IF(C80="","Client manquant",IF(ISNA(MATCH(C80,cli_code,0)),"Client inconnu",IF(O80&lt;MAX($O$6:O79),"Date antérieure au devis précédent",IF(AND(ISNUMBER(F80),F80&lt;O80),"Validité antérieure à la date du devis",IF(AND(R80=0,G80&lt;&gt;"Annulé"),"Aucune ligne (feuille Lignes de devis)",IF(COUNTIFS(dl_doc,A80,dl_check,"&lt;&gt;OK")&gt;0,"Ligne(s) à corriger",IF(AND(L80&lt;&gt;"",OR(G80="Refusé",G80="Annulé")),"Devis refusé ou annulé mais facturé","OK"))))))))))</f>
        <v/>
      </c>
      <c r="O80" s="62">
        <f>IF(ISNUMBER(B80),B80,0)</f>
        <v>0.0</v>
      </c>
      <c r="P80" s="62" t="str">
        <f>IF(O80=0,"",YEAR(O80))</f>
        <v/>
      </c>
      <c r="Q80" s="62" t="str">
        <f>IF(P80="","",COUNTIF($P$6:P80,P80))</f>
        <v/>
      </c>
      <c r="R80" s="62">
        <f>IF(A80="",0,COUNTIF(dl_doc,A80))</f>
        <v>0.0</v>
      </c>
    </row>
    <row r="81">
      <c r="A81" s="59" t="str">
        <f>IF(Q81="","",p_pdv&amp;"-"&amp;P81&amp;"-"&amp;RIGHT("000"&amp;Q81,4))</f>
        <v/>
      </c>
      <c r="B81" s="61" t="n"/>
      <c r="C81" s="60" t="n"/>
      <c r="D81" s="62" t="str">
        <f>IF(C81="","",IFERROR(INDEX(cli_name,MATCH(C81,cli_code,0))&amp;"","Client inconnu"))</f>
        <v/>
      </c>
      <c r="E81" s="63" t="n"/>
      <c r="F81" s="61" t="n"/>
      <c r="G81" s="60" t="n"/>
      <c r="H81" s="64" t="str">
        <f>IF(A81="","",IF(ISNUMBER(F81),F81,O81+N(p_validity)))</f>
        <v/>
      </c>
      <c r="I81" s="65" t="str">
        <f>IF(A81="","",SUMIF(dl_doc,A81,dl_ht))</f>
        <v/>
      </c>
      <c r="J81" s="65" t="str">
        <f>IF(A81="","",IF(INDEX(p_rates,1)="",0,ROUND(SUMIFS(dl_ht,dl_doc,A81,dl_rate,INDEX(p_rates,1))*INDEX(p_rates,1),2))+IF(INDEX(p_rates,2)="",0,ROUND(SUMIFS(dl_ht,dl_doc,A81,dl_rate,INDEX(p_rates,2))*INDEX(p_rates,2),2))+IF(INDEX(p_rates,3)="",0,ROUND(SUMIFS(dl_ht,dl_doc,A81,dl_rate,INDEX(p_rates,3))*INDEX(p_rates,3),2))+IF(INDEX(p_rates,4)="",0,ROUND(SUMIFS(dl_ht,dl_doc,A81,dl_rate,INDEX(p_rates,4))*INDEX(p_rates,4),2))+IF(INDEX(p_rates,5)="",0,ROUND(SUMIFS(dl_ht,dl_doc,A81,dl_rate,INDEX(p_rates,5))*INDEX(p_rates,5),2))+IF(INDEX(p_rates,6)="",0,ROUND(SUMIFS(dl_ht,dl_doc,A81,dl_rate,INDEX(p_rates,6))*INDEX(p_rates,6),2)))</f>
        <v/>
      </c>
      <c r="K81" s="65" t="str">
        <f>IF(A81="","",I81+J81)</f>
        <v/>
      </c>
      <c r="L81" s="59" t="str">
        <f>IF(A81="","",IFERROR(INDEX(fa_num,MATCH(A81,fa_dvkey,0))&amp;"",""))</f>
        <v/>
      </c>
      <c r="M81" s="59" t="str">
        <f>IF(A81="","",IF(G81="Annulé","Annulé",IF(L81&lt;&gt;"","Facturé",IF(G81="Accepté","Accepté",IF(G81="Refusé","Refusé",IF(p_asof&gt;H81,"Expiré","En attente"))))))</f>
        <v/>
      </c>
      <c r="N81" s="59" t="str">
        <f>IF(COUNTA(B81:C81,E81:G81)=0,"",IF(B81="","Date manquante",IF(NOT(ISNUMBER(B81)),"Date invalide",IF(C81="","Client manquant",IF(ISNA(MATCH(C81,cli_code,0)),"Client inconnu",IF(O81&lt;MAX($O$6:O80),"Date antérieure au devis précédent",IF(AND(ISNUMBER(F81),F81&lt;O81),"Validité antérieure à la date du devis",IF(AND(R81=0,G81&lt;&gt;"Annulé"),"Aucune ligne (feuille Lignes de devis)",IF(COUNTIFS(dl_doc,A81,dl_check,"&lt;&gt;OK")&gt;0,"Ligne(s) à corriger",IF(AND(L81&lt;&gt;"",OR(G81="Refusé",G81="Annulé")),"Devis refusé ou annulé mais facturé","OK"))))))))))</f>
        <v/>
      </c>
      <c r="O81" s="62">
        <f>IF(ISNUMBER(B81),B81,0)</f>
        <v>0.0</v>
      </c>
      <c r="P81" s="62" t="str">
        <f>IF(O81=0,"",YEAR(O81))</f>
        <v/>
      </c>
      <c r="Q81" s="62" t="str">
        <f>IF(P81="","",COUNTIF($P$6:P81,P81))</f>
        <v/>
      </c>
      <c r="R81" s="62">
        <f>IF(A81="",0,COUNTIF(dl_doc,A81))</f>
        <v>0.0</v>
      </c>
    </row>
    <row r="82">
      <c r="A82" s="59" t="str">
        <f>IF(Q82="","",p_pdv&amp;"-"&amp;P82&amp;"-"&amp;RIGHT("000"&amp;Q82,4))</f>
        <v/>
      </c>
      <c r="B82" s="61" t="n"/>
      <c r="C82" s="60" t="n"/>
      <c r="D82" s="62" t="str">
        <f>IF(C82="","",IFERROR(INDEX(cli_name,MATCH(C82,cli_code,0))&amp;"","Client inconnu"))</f>
        <v/>
      </c>
      <c r="E82" s="63" t="n"/>
      <c r="F82" s="61" t="n"/>
      <c r="G82" s="60" t="n"/>
      <c r="H82" s="64" t="str">
        <f>IF(A82="","",IF(ISNUMBER(F82),F82,O82+N(p_validity)))</f>
        <v/>
      </c>
      <c r="I82" s="65" t="str">
        <f>IF(A82="","",SUMIF(dl_doc,A82,dl_ht))</f>
        <v/>
      </c>
      <c r="J82" s="65" t="str">
        <f>IF(A82="","",IF(INDEX(p_rates,1)="",0,ROUND(SUMIFS(dl_ht,dl_doc,A82,dl_rate,INDEX(p_rates,1))*INDEX(p_rates,1),2))+IF(INDEX(p_rates,2)="",0,ROUND(SUMIFS(dl_ht,dl_doc,A82,dl_rate,INDEX(p_rates,2))*INDEX(p_rates,2),2))+IF(INDEX(p_rates,3)="",0,ROUND(SUMIFS(dl_ht,dl_doc,A82,dl_rate,INDEX(p_rates,3))*INDEX(p_rates,3),2))+IF(INDEX(p_rates,4)="",0,ROUND(SUMIFS(dl_ht,dl_doc,A82,dl_rate,INDEX(p_rates,4))*INDEX(p_rates,4),2))+IF(INDEX(p_rates,5)="",0,ROUND(SUMIFS(dl_ht,dl_doc,A82,dl_rate,INDEX(p_rates,5))*INDEX(p_rates,5),2))+IF(INDEX(p_rates,6)="",0,ROUND(SUMIFS(dl_ht,dl_doc,A82,dl_rate,INDEX(p_rates,6))*INDEX(p_rates,6),2)))</f>
        <v/>
      </c>
      <c r="K82" s="65" t="str">
        <f>IF(A82="","",I82+J82)</f>
        <v/>
      </c>
      <c r="L82" s="59" t="str">
        <f>IF(A82="","",IFERROR(INDEX(fa_num,MATCH(A82,fa_dvkey,0))&amp;"",""))</f>
        <v/>
      </c>
      <c r="M82" s="59" t="str">
        <f>IF(A82="","",IF(G82="Annulé","Annulé",IF(L82&lt;&gt;"","Facturé",IF(G82="Accepté","Accepté",IF(G82="Refusé","Refusé",IF(p_asof&gt;H82,"Expiré","En attente"))))))</f>
        <v/>
      </c>
      <c r="N82" s="59" t="str">
        <f>IF(COUNTA(B82:C82,E82:G82)=0,"",IF(B82="","Date manquante",IF(NOT(ISNUMBER(B82)),"Date invalide",IF(C82="","Client manquant",IF(ISNA(MATCH(C82,cli_code,0)),"Client inconnu",IF(O82&lt;MAX($O$6:O81),"Date antérieure au devis précédent",IF(AND(ISNUMBER(F82),F82&lt;O82),"Validité antérieure à la date du devis",IF(AND(R82=0,G82&lt;&gt;"Annulé"),"Aucune ligne (feuille Lignes de devis)",IF(COUNTIFS(dl_doc,A82,dl_check,"&lt;&gt;OK")&gt;0,"Ligne(s) à corriger",IF(AND(L82&lt;&gt;"",OR(G82="Refusé",G82="Annulé")),"Devis refusé ou annulé mais facturé","OK"))))))))))</f>
        <v/>
      </c>
      <c r="O82" s="62">
        <f>IF(ISNUMBER(B82),B82,0)</f>
        <v>0.0</v>
      </c>
      <c r="P82" s="62" t="str">
        <f>IF(O82=0,"",YEAR(O82))</f>
        <v/>
      </c>
      <c r="Q82" s="62" t="str">
        <f>IF(P82="","",COUNTIF($P$6:P82,P82))</f>
        <v/>
      </c>
      <c r="R82" s="62">
        <f>IF(A82="",0,COUNTIF(dl_doc,A82))</f>
        <v>0.0</v>
      </c>
    </row>
    <row r="83">
      <c r="A83" s="59" t="str">
        <f>IF(Q83="","",p_pdv&amp;"-"&amp;P83&amp;"-"&amp;RIGHT("000"&amp;Q83,4))</f>
        <v/>
      </c>
      <c r="B83" s="61" t="n"/>
      <c r="C83" s="60" t="n"/>
      <c r="D83" s="62" t="str">
        <f>IF(C83="","",IFERROR(INDEX(cli_name,MATCH(C83,cli_code,0))&amp;"","Client inconnu"))</f>
        <v/>
      </c>
      <c r="E83" s="63" t="n"/>
      <c r="F83" s="61" t="n"/>
      <c r="G83" s="60" t="n"/>
      <c r="H83" s="64" t="str">
        <f>IF(A83="","",IF(ISNUMBER(F83),F83,O83+N(p_validity)))</f>
        <v/>
      </c>
      <c r="I83" s="65" t="str">
        <f>IF(A83="","",SUMIF(dl_doc,A83,dl_ht))</f>
        <v/>
      </c>
      <c r="J83" s="65" t="str">
        <f>IF(A83="","",IF(INDEX(p_rates,1)="",0,ROUND(SUMIFS(dl_ht,dl_doc,A83,dl_rate,INDEX(p_rates,1))*INDEX(p_rates,1),2))+IF(INDEX(p_rates,2)="",0,ROUND(SUMIFS(dl_ht,dl_doc,A83,dl_rate,INDEX(p_rates,2))*INDEX(p_rates,2),2))+IF(INDEX(p_rates,3)="",0,ROUND(SUMIFS(dl_ht,dl_doc,A83,dl_rate,INDEX(p_rates,3))*INDEX(p_rates,3),2))+IF(INDEX(p_rates,4)="",0,ROUND(SUMIFS(dl_ht,dl_doc,A83,dl_rate,INDEX(p_rates,4))*INDEX(p_rates,4),2))+IF(INDEX(p_rates,5)="",0,ROUND(SUMIFS(dl_ht,dl_doc,A83,dl_rate,INDEX(p_rates,5))*INDEX(p_rates,5),2))+IF(INDEX(p_rates,6)="",0,ROUND(SUMIFS(dl_ht,dl_doc,A83,dl_rate,INDEX(p_rates,6))*INDEX(p_rates,6),2)))</f>
        <v/>
      </c>
      <c r="K83" s="65" t="str">
        <f>IF(A83="","",I83+J83)</f>
        <v/>
      </c>
      <c r="L83" s="59" t="str">
        <f>IF(A83="","",IFERROR(INDEX(fa_num,MATCH(A83,fa_dvkey,0))&amp;"",""))</f>
        <v/>
      </c>
      <c r="M83" s="59" t="str">
        <f>IF(A83="","",IF(G83="Annulé","Annulé",IF(L83&lt;&gt;"","Facturé",IF(G83="Accepté","Accepté",IF(G83="Refusé","Refusé",IF(p_asof&gt;H83,"Expiré","En attente"))))))</f>
        <v/>
      </c>
      <c r="N83" s="59" t="str">
        <f>IF(COUNTA(B83:C83,E83:G83)=0,"",IF(B83="","Date manquante",IF(NOT(ISNUMBER(B83)),"Date invalide",IF(C83="","Client manquant",IF(ISNA(MATCH(C83,cli_code,0)),"Client inconnu",IF(O83&lt;MAX($O$6:O82),"Date antérieure au devis précédent",IF(AND(ISNUMBER(F83),F83&lt;O83),"Validité antérieure à la date du devis",IF(AND(R83=0,G83&lt;&gt;"Annulé"),"Aucune ligne (feuille Lignes de devis)",IF(COUNTIFS(dl_doc,A83,dl_check,"&lt;&gt;OK")&gt;0,"Ligne(s) à corriger",IF(AND(L83&lt;&gt;"",OR(G83="Refusé",G83="Annulé")),"Devis refusé ou annulé mais facturé","OK"))))))))))</f>
        <v/>
      </c>
      <c r="O83" s="62">
        <f>IF(ISNUMBER(B83),B83,0)</f>
        <v>0.0</v>
      </c>
      <c r="P83" s="62" t="str">
        <f>IF(O83=0,"",YEAR(O83))</f>
        <v/>
      </c>
      <c r="Q83" s="62" t="str">
        <f>IF(P83="","",COUNTIF($P$6:P83,P83))</f>
        <v/>
      </c>
      <c r="R83" s="62">
        <f>IF(A83="",0,COUNTIF(dl_doc,A83))</f>
        <v>0.0</v>
      </c>
    </row>
    <row r="84">
      <c r="A84" s="59" t="str">
        <f>IF(Q84="","",p_pdv&amp;"-"&amp;P84&amp;"-"&amp;RIGHT("000"&amp;Q84,4))</f>
        <v/>
      </c>
      <c r="B84" s="61" t="n"/>
      <c r="C84" s="60" t="n"/>
      <c r="D84" s="62" t="str">
        <f>IF(C84="","",IFERROR(INDEX(cli_name,MATCH(C84,cli_code,0))&amp;"","Client inconnu"))</f>
        <v/>
      </c>
      <c r="E84" s="63" t="n"/>
      <c r="F84" s="61" t="n"/>
      <c r="G84" s="60" t="n"/>
      <c r="H84" s="64" t="str">
        <f>IF(A84="","",IF(ISNUMBER(F84),F84,O84+N(p_validity)))</f>
        <v/>
      </c>
      <c r="I84" s="65" t="str">
        <f>IF(A84="","",SUMIF(dl_doc,A84,dl_ht))</f>
        <v/>
      </c>
      <c r="J84" s="65" t="str">
        <f>IF(A84="","",IF(INDEX(p_rates,1)="",0,ROUND(SUMIFS(dl_ht,dl_doc,A84,dl_rate,INDEX(p_rates,1))*INDEX(p_rates,1),2))+IF(INDEX(p_rates,2)="",0,ROUND(SUMIFS(dl_ht,dl_doc,A84,dl_rate,INDEX(p_rates,2))*INDEX(p_rates,2),2))+IF(INDEX(p_rates,3)="",0,ROUND(SUMIFS(dl_ht,dl_doc,A84,dl_rate,INDEX(p_rates,3))*INDEX(p_rates,3),2))+IF(INDEX(p_rates,4)="",0,ROUND(SUMIFS(dl_ht,dl_doc,A84,dl_rate,INDEX(p_rates,4))*INDEX(p_rates,4),2))+IF(INDEX(p_rates,5)="",0,ROUND(SUMIFS(dl_ht,dl_doc,A84,dl_rate,INDEX(p_rates,5))*INDEX(p_rates,5),2))+IF(INDEX(p_rates,6)="",0,ROUND(SUMIFS(dl_ht,dl_doc,A84,dl_rate,INDEX(p_rates,6))*INDEX(p_rates,6),2)))</f>
        <v/>
      </c>
      <c r="K84" s="65" t="str">
        <f>IF(A84="","",I84+J84)</f>
        <v/>
      </c>
      <c r="L84" s="59" t="str">
        <f>IF(A84="","",IFERROR(INDEX(fa_num,MATCH(A84,fa_dvkey,0))&amp;"",""))</f>
        <v/>
      </c>
      <c r="M84" s="59" t="str">
        <f>IF(A84="","",IF(G84="Annulé","Annulé",IF(L84&lt;&gt;"","Facturé",IF(G84="Accepté","Accepté",IF(G84="Refusé","Refusé",IF(p_asof&gt;H84,"Expiré","En attente"))))))</f>
        <v/>
      </c>
      <c r="N84" s="59" t="str">
        <f>IF(COUNTA(B84:C84,E84:G84)=0,"",IF(B84="","Date manquante",IF(NOT(ISNUMBER(B84)),"Date invalide",IF(C84="","Client manquant",IF(ISNA(MATCH(C84,cli_code,0)),"Client inconnu",IF(O84&lt;MAX($O$6:O83),"Date antérieure au devis précédent",IF(AND(ISNUMBER(F84),F84&lt;O84),"Validité antérieure à la date du devis",IF(AND(R84=0,G84&lt;&gt;"Annulé"),"Aucune ligne (feuille Lignes de devis)",IF(COUNTIFS(dl_doc,A84,dl_check,"&lt;&gt;OK")&gt;0,"Ligne(s) à corriger",IF(AND(L84&lt;&gt;"",OR(G84="Refusé",G84="Annulé")),"Devis refusé ou annulé mais facturé","OK"))))))))))</f>
        <v/>
      </c>
      <c r="O84" s="62">
        <f>IF(ISNUMBER(B84),B84,0)</f>
        <v>0.0</v>
      </c>
      <c r="P84" s="62" t="str">
        <f>IF(O84=0,"",YEAR(O84))</f>
        <v/>
      </c>
      <c r="Q84" s="62" t="str">
        <f>IF(P84="","",COUNTIF($P$6:P84,P84))</f>
        <v/>
      </c>
      <c r="R84" s="62">
        <f>IF(A84="",0,COUNTIF(dl_doc,A84))</f>
        <v>0.0</v>
      </c>
    </row>
    <row r="85">
      <c r="A85" s="59" t="str">
        <f>IF(Q85="","",p_pdv&amp;"-"&amp;P85&amp;"-"&amp;RIGHT("000"&amp;Q85,4))</f>
        <v/>
      </c>
      <c r="B85" s="61" t="n"/>
      <c r="C85" s="60" t="n"/>
      <c r="D85" s="62" t="str">
        <f>IF(C85="","",IFERROR(INDEX(cli_name,MATCH(C85,cli_code,0))&amp;"","Client inconnu"))</f>
        <v/>
      </c>
      <c r="E85" s="63" t="n"/>
      <c r="F85" s="61" t="n"/>
      <c r="G85" s="60" t="n"/>
      <c r="H85" s="64" t="str">
        <f>IF(A85="","",IF(ISNUMBER(F85),F85,O85+N(p_validity)))</f>
        <v/>
      </c>
      <c r="I85" s="65" t="str">
        <f>IF(A85="","",SUMIF(dl_doc,A85,dl_ht))</f>
        <v/>
      </c>
      <c r="J85" s="65" t="str">
        <f>IF(A85="","",IF(INDEX(p_rates,1)="",0,ROUND(SUMIFS(dl_ht,dl_doc,A85,dl_rate,INDEX(p_rates,1))*INDEX(p_rates,1),2))+IF(INDEX(p_rates,2)="",0,ROUND(SUMIFS(dl_ht,dl_doc,A85,dl_rate,INDEX(p_rates,2))*INDEX(p_rates,2),2))+IF(INDEX(p_rates,3)="",0,ROUND(SUMIFS(dl_ht,dl_doc,A85,dl_rate,INDEX(p_rates,3))*INDEX(p_rates,3),2))+IF(INDEX(p_rates,4)="",0,ROUND(SUMIFS(dl_ht,dl_doc,A85,dl_rate,INDEX(p_rates,4))*INDEX(p_rates,4),2))+IF(INDEX(p_rates,5)="",0,ROUND(SUMIFS(dl_ht,dl_doc,A85,dl_rate,INDEX(p_rates,5))*INDEX(p_rates,5),2))+IF(INDEX(p_rates,6)="",0,ROUND(SUMIFS(dl_ht,dl_doc,A85,dl_rate,INDEX(p_rates,6))*INDEX(p_rates,6),2)))</f>
        <v/>
      </c>
      <c r="K85" s="65" t="str">
        <f>IF(A85="","",I85+J85)</f>
        <v/>
      </c>
      <c r="L85" s="59" t="str">
        <f>IF(A85="","",IFERROR(INDEX(fa_num,MATCH(A85,fa_dvkey,0))&amp;"",""))</f>
        <v/>
      </c>
      <c r="M85" s="59" t="str">
        <f>IF(A85="","",IF(G85="Annulé","Annulé",IF(L85&lt;&gt;"","Facturé",IF(G85="Accepté","Accepté",IF(G85="Refusé","Refusé",IF(p_asof&gt;H85,"Expiré","En attente"))))))</f>
        <v/>
      </c>
      <c r="N85" s="59" t="str">
        <f>IF(COUNTA(B85:C85,E85:G85)=0,"",IF(B85="","Date manquante",IF(NOT(ISNUMBER(B85)),"Date invalide",IF(C85="","Client manquant",IF(ISNA(MATCH(C85,cli_code,0)),"Client inconnu",IF(O85&lt;MAX($O$6:O84),"Date antérieure au devis précédent",IF(AND(ISNUMBER(F85),F85&lt;O85),"Validité antérieure à la date du devis",IF(AND(R85=0,G85&lt;&gt;"Annulé"),"Aucune ligne (feuille Lignes de devis)",IF(COUNTIFS(dl_doc,A85,dl_check,"&lt;&gt;OK")&gt;0,"Ligne(s) à corriger",IF(AND(L85&lt;&gt;"",OR(G85="Refusé",G85="Annulé")),"Devis refusé ou annulé mais facturé","OK"))))))))))</f>
        <v/>
      </c>
      <c r="O85" s="62">
        <f>IF(ISNUMBER(B85),B85,0)</f>
        <v>0.0</v>
      </c>
      <c r="P85" s="62" t="str">
        <f>IF(O85=0,"",YEAR(O85))</f>
        <v/>
      </c>
      <c r="Q85" s="62" t="str">
        <f>IF(P85="","",COUNTIF($P$6:P85,P85))</f>
        <v/>
      </c>
      <c r="R85" s="62">
        <f>IF(A85="",0,COUNTIF(dl_doc,A85))</f>
        <v>0.0</v>
      </c>
    </row>
    <row r="86">
      <c r="A86" s="59" t="str">
        <f>IF(Q86="","",p_pdv&amp;"-"&amp;P86&amp;"-"&amp;RIGHT("000"&amp;Q86,4))</f>
        <v/>
      </c>
      <c r="B86" s="61" t="n"/>
      <c r="C86" s="60" t="n"/>
      <c r="D86" s="62" t="str">
        <f>IF(C86="","",IFERROR(INDEX(cli_name,MATCH(C86,cli_code,0))&amp;"","Client inconnu"))</f>
        <v/>
      </c>
      <c r="E86" s="63" t="n"/>
      <c r="F86" s="61" t="n"/>
      <c r="G86" s="60" t="n"/>
      <c r="H86" s="64" t="str">
        <f>IF(A86="","",IF(ISNUMBER(F86),F86,O86+N(p_validity)))</f>
        <v/>
      </c>
      <c r="I86" s="65" t="str">
        <f>IF(A86="","",SUMIF(dl_doc,A86,dl_ht))</f>
        <v/>
      </c>
      <c r="J86" s="65" t="str">
        <f>IF(A86="","",IF(INDEX(p_rates,1)="",0,ROUND(SUMIFS(dl_ht,dl_doc,A86,dl_rate,INDEX(p_rates,1))*INDEX(p_rates,1),2))+IF(INDEX(p_rates,2)="",0,ROUND(SUMIFS(dl_ht,dl_doc,A86,dl_rate,INDEX(p_rates,2))*INDEX(p_rates,2),2))+IF(INDEX(p_rates,3)="",0,ROUND(SUMIFS(dl_ht,dl_doc,A86,dl_rate,INDEX(p_rates,3))*INDEX(p_rates,3),2))+IF(INDEX(p_rates,4)="",0,ROUND(SUMIFS(dl_ht,dl_doc,A86,dl_rate,INDEX(p_rates,4))*INDEX(p_rates,4),2))+IF(INDEX(p_rates,5)="",0,ROUND(SUMIFS(dl_ht,dl_doc,A86,dl_rate,INDEX(p_rates,5))*INDEX(p_rates,5),2))+IF(INDEX(p_rates,6)="",0,ROUND(SUMIFS(dl_ht,dl_doc,A86,dl_rate,INDEX(p_rates,6))*INDEX(p_rates,6),2)))</f>
        <v/>
      </c>
      <c r="K86" s="65" t="str">
        <f>IF(A86="","",I86+J86)</f>
        <v/>
      </c>
      <c r="L86" s="59" t="str">
        <f>IF(A86="","",IFERROR(INDEX(fa_num,MATCH(A86,fa_dvkey,0))&amp;"",""))</f>
        <v/>
      </c>
      <c r="M86" s="59" t="str">
        <f>IF(A86="","",IF(G86="Annulé","Annulé",IF(L86&lt;&gt;"","Facturé",IF(G86="Accepté","Accepté",IF(G86="Refusé","Refusé",IF(p_asof&gt;H86,"Expiré","En attente"))))))</f>
        <v/>
      </c>
      <c r="N86" s="59" t="str">
        <f>IF(COUNTA(B86:C86,E86:G86)=0,"",IF(B86="","Date manquante",IF(NOT(ISNUMBER(B86)),"Date invalide",IF(C86="","Client manquant",IF(ISNA(MATCH(C86,cli_code,0)),"Client inconnu",IF(O86&lt;MAX($O$6:O85),"Date antérieure au devis précédent",IF(AND(ISNUMBER(F86),F86&lt;O86),"Validité antérieure à la date du devis",IF(AND(R86=0,G86&lt;&gt;"Annulé"),"Aucune ligne (feuille Lignes de devis)",IF(COUNTIFS(dl_doc,A86,dl_check,"&lt;&gt;OK")&gt;0,"Ligne(s) à corriger",IF(AND(L86&lt;&gt;"",OR(G86="Refusé",G86="Annulé")),"Devis refusé ou annulé mais facturé","OK"))))))))))</f>
        <v/>
      </c>
      <c r="O86" s="62">
        <f>IF(ISNUMBER(B86),B86,0)</f>
        <v>0.0</v>
      </c>
      <c r="P86" s="62" t="str">
        <f>IF(O86=0,"",YEAR(O86))</f>
        <v/>
      </c>
      <c r="Q86" s="62" t="str">
        <f>IF(P86="","",COUNTIF($P$6:P86,P86))</f>
        <v/>
      </c>
      <c r="R86" s="62">
        <f>IF(A86="",0,COUNTIF(dl_doc,A86))</f>
        <v>0.0</v>
      </c>
    </row>
    <row r="87">
      <c r="A87" s="59" t="str">
        <f>IF(Q87="","",p_pdv&amp;"-"&amp;P87&amp;"-"&amp;RIGHT("000"&amp;Q87,4))</f>
        <v/>
      </c>
      <c r="B87" s="61" t="n"/>
      <c r="C87" s="60" t="n"/>
      <c r="D87" s="62" t="str">
        <f>IF(C87="","",IFERROR(INDEX(cli_name,MATCH(C87,cli_code,0))&amp;"","Client inconnu"))</f>
        <v/>
      </c>
      <c r="E87" s="63" t="n"/>
      <c r="F87" s="61" t="n"/>
      <c r="G87" s="60" t="n"/>
      <c r="H87" s="64" t="str">
        <f>IF(A87="","",IF(ISNUMBER(F87),F87,O87+N(p_validity)))</f>
        <v/>
      </c>
      <c r="I87" s="65" t="str">
        <f>IF(A87="","",SUMIF(dl_doc,A87,dl_ht))</f>
        <v/>
      </c>
      <c r="J87" s="65" t="str">
        <f>IF(A87="","",IF(INDEX(p_rates,1)="",0,ROUND(SUMIFS(dl_ht,dl_doc,A87,dl_rate,INDEX(p_rates,1))*INDEX(p_rates,1),2))+IF(INDEX(p_rates,2)="",0,ROUND(SUMIFS(dl_ht,dl_doc,A87,dl_rate,INDEX(p_rates,2))*INDEX(p_rates,2),2))+IF(INDEX(p_rates,3)="",0,ROUND(SUMIFS(dl_ht,dl_doc,A87,dl_rate,INDEX(p_rates,3))*INDEX(p_rates,3),2))+IF(INDEX(p_rates,4)="",0,ROUND(SUMIFS(dl_ht,dl_doc,A87,dl_rate,INDEX(p_rates,4))*INDEX(p_rates,4),2))+IF(INDEX(p_rates,5)="",0,ROUND(SUMIFS(dl_ht,dl_doc,A87,dl_rate,INDEX(p_rates,5))*INDEX(p_rates,5),2))+IF(INDEX(p_rates,6)="",0,ROUND(SUMIFS(dl_ht,dl_doc,A87,dl_rate,INDEX(p_rates,6))*INDEX(p_rates,6),2)))</f>
        <v/>
      </c>
      <c r="K87" s="65" t="str">
        <f>IF(A87="","",I87+J87)</f>
        <v/>
      </c>
      <c r="L87" s="59" t="str">
        <f>IF(A87="","",IFERROR(INDEX(fa_num,MATCH(A87,fa_dvkey,0))&amp;"",""))</f>
        <v/>
      </c>
      <c r="M87" s="59" t="str">
        <f>IF(A87="","",IF(G87="Annulé","Annulé",IF(L87&lt;&gt;"","Facturé",IF(G87="Accepté","Accepté",IF(G87="Refusé","Refusé",IF(p_asof&gt;H87,"Expiré","En attente"))))))</f>
        <v/>
      </c>
      <c r="N87" s="59" t="str">
        <f>IF(COUNTA(B87:C87,E87:G87)=0,"",IF(B87="","Date manquante",IF(NOT(ISNUMBER(B87)),"Date invalide",IF(C87="","Client manquant",IF(ISNA(MATCH(C87,cli_code,0)),"Client inconnu",IF(O87&lt;MAX($O$6:O86),"Date antérieure au devis précédent",IF(AND(ISNUMBER(F87),F87&lt;O87),"Validité antérieure à la date du devis",IF(AND(R87=0,G87&lt;&gt;"Annulé"),"Aucune ligne (feuille Lignes de devis)",IF(COUNTIFS(dl_doc,A87,dl_check,"&lt;&gt;OK")&gt;0,"Ligne(s) à corriger",IF(AND(L87&lt;&gt;"",OR(G87="Refusé",G87="Annulé")),"Devis refusé ou annulé mais facturé","OK"))))))))))</f>
        <v/>
      </c>
      <c r="O87" s="62">
        <f>IF(ISNUMBER(B87),B87,0)</f>
        <v>0.0</v>
      </c>
      <c r="P87" s="62" t="str">
        <f>IF(O87=0,"",YEAR(O87))</f>
        <v/>
      </c>
      <c r="Q87" s="62" t="str">
        <f>IF(P87="","",COUNTIF($P$6:P87,P87))</f>
        <v/>
      </c>
      <c r="R87" s="62">
        <f>IF(A87="",0,COUNTIF(dl_doc,A87))</f>
        <v>0.0</v>
      </c>
    </row>
    <row r="88">
      <c r="A88" s="59" t="str">
        <f>IF(Q88="","",p_pdv&amp;"-"&amp;P88&amp;"-"&amp;RIGHT("000"&amp;Q88,4))</f>
        <v/>
      </c>
      <c r="B88" s="61" t="n"/>
      <c r="C88" s="60" t="n"/>
      <c r="D88" s="62" t="str">
        <f>IF(C88="","",IFERROR(INDEX(cli_name,MATCH(C88,cli_code,0))&amp;"","Client inconnu"))</f>
        <v/>
      </c>
      <c r="E88" s="63" t="n"/>
      <c r="F88" s="61" t="n"/>
      <c r="G88" s="60" t="n"/>
      <c r="H88" s="64" t="str">
        <f>IF(A88="","",IF(ISNUMBER(F88),F88,O88+N(p_validity)))</f>
        <v/>
      </c>
      <c r="I88" s="65" t="str">
        <f>IF(A88="","",SUMIF(dl_doc,A88,dl_ht))</f>
        <v/>
      </c>
      <c r="J88" s="65" t="str">
        <f>IF(A88="","",IF(INDEX(p_rates,1)="",0,ROUND(SUMIFS(dl_ht,dl_doc,A88,dl_rate,INDEX(p_rates,1))*INDEX(p_rates,1),2))+IF(INDEX(p_rates,2)="",0,ROUND(SUMIFS(dl_ht,dl_doc,A88,dl_rate,INDEX(p_rates,2))*INDEX(p_rates,2),2))+IF(INDEX(p_rates,3)="",0,ROUND(SUMIFS(dl_ht,dl_doc,A88,dl_rate,INDEX(p_rates,3))*INDEX(p_rates,3),2))+IF(INDEX(p_rates,4)="",0,ROUND(SUMIFS(dl_ht,dl_doc,A88,dl_rate,INDEX(p_rates,4))*INDEX(p_rates,4),2))+IF(INDEX(p_rates,5)="",0,ROUND(SUMIFS(dl_ht,dl_doc,A88,dl_rate,INDEX(p_rates,5))*INDEX(p_rates,5),2))+IF(INDEX(p_rates,6)="",0,ROUND(SUMIFS(dl_ht,dl_doc,A88,dl_rate,INDEX(p_rates,6))*INDEX(p_rates,6),2)))</f>
        <v/>
      </c>
      <c r="K88" s="65" t="str">
        <f>IF(A88="","",I88+J88)</f>
        <v/>
      </c>
      <c r="L88" s="59" t="str">
        <f>IF(A88="","",IFERROR(INDEX(fa_num,MATCH(A88,fa_dvkey,0))&amp;"",""))</f>
        <v/>
      </c>
      <c r="M88" s="59" t="str">
        <f>IF(A88="","",IF(G88="Annulé","Annulé",IF(L88&lt;&gt;"","Facturé",IF(G88="Accepté","Accepté",IF(G88="Refusé","Refusé",IF(p_asof&gt;H88,"Expiré","En attente"))))))</f>
        <v/>
      </c>
      <c r="N88" s="59" t="str">
        <f>IF(COUNTA(B88:C88,E88:G88)=0,"",IF(B88="","Date manquante",IF(NOT(ISNUMBER(B88)),"Date invalide",IF(C88="","Client manquant",IF(ISNA(MATCH(C88,cli_code,0)),"Client inconnu",IF(O88&lt;MAX($O$6:O87),"Date antérieure au devis précédent",IF(AND(ISNUMBER(F88),F88&lt;O88),"Validité antérieure à la date du devis",IF(AND(R88=0,G88&lt;&gt;"Annulé"),"Aucune ligne (feuille Lignes de devis)",IF(COUNTIFS(dl_doc,A88,dl_check,"&lt;&gt;OK")&gt;0,"Ligne(s) à corriger",IF(AND(L88&lt;&gt;"",OR(G88="Refusé",G88="Annulé")),"Devis refusé ou annulé mais facturé","OK"))))))))))</f>
        <v/>
      </c>
      <c r="O88" s="62">
        <f>IF(ISNUMBER(B88),B88,0)</f>
        <v>0.0</v>
      </c>
      <c r="P88" s="62" t="str">
        <f>IF(O88=0,"",YEAR(O88))</f>
        <v/>
      </c>
      <c r="Q88" s="62" t="str">
        <f>IF(P88="","",COUNTIF($P$6:P88,P88))</f>
        <v/>
      </c>
      <c r="R88" s="62">
        <f>IF(A88="",0,COUNTIF(dl_doc,A88))</f>
        <v>0.0</v>
      </c>
    </row>
    <row r="89">
      <c r="A89" s="59" t="str">
        <f>IF(Q89="","",p_pdv&amp;"-"&amp;P89&amp;"-"&amp;RIGHT("000"&amp;Q89,4))</f>
        <v/>
      </c>
      <c r="B89" s="61" t="n"/>
      <c r="C89" s="60" t="n"/>
      <c r="D89" s="62" t="str">
        <f>IF(C89="","",IFERROR(INDEX(cli_name,MATCH(C89,cli_code,0))&amp;"","Client inconnu"))</f>
        <v/>
      </c>
      <c r="E89" s="63" t="n"/>
      <c r="F89" s="61" t="n"/>
      <c r="G89" s="60" t="n"/>
      <c r="H89" s="64" t="str">
        <f>IF(A89="","",IF(ISNUMBER(F89),F89,O89+N(p_validity)))</f>
        <v/>
      </c>
      <c r="I89" s="65" t="str">
        <f>IF(A89="","",SUMIF(dl_doc,A89,dl_ht))</f>
        <v/>
      </c>
      <c r="J89" s="65" t="str">
        <f>IF(A89="","",IF(INDEX(p_rates,1)="",0,ROUND(SUMIFS(dl_ht,dl_doc,A89,dl_rate,INDEX(p_rates,1))*INDEX(p_rates,1),2))+IF(INDEX(p_rates,2)="",0,ROUND(SUMIFS(dl_ht,dl_doc,A89,dl_rate,INDEX(p_rates,2))*INDEX(p_rates,2),2))+IF(INDEX(p_rates,3)="",0,ROUND(SUMIFS(dl_ht,dl_doc,A89,dl_rate,INDEX(p_rates,3))*INDEX(p_rates,3),2))+IF(INDEX(p_rates,4)="",0,ROUND(SUMIFS(dl_ht,dl_doc,A89,dl_rate,INDEX(p_rates,4))*INDEX(p_rates,4),2))+IF(INDEX(p_rates,5)="",0,ROUND(SUMIFS(dl_ht,dl_doc,A89,dl_rate,INDEX(p_rates,5))*INDEX(p_rates,5),2))+IF(INDEX(p_rates,6)="",0,ROUND(SUMIFS(dl_ht,dl_doc,A89,dl_rate,INDEX(p_rates,6))*INDEX(p_rates,6),2)))</f>
        <v/>
      </c>
      <c r="K89" s="65" t="str">
        <f>IF(A89="","",I89+J89)</f>
        <v/>
      </c>
      <c r="L89" s="59" t="str">
        <f>IF(A89="","",IFERROR(INDEX(fa_num,MATCH(A89,fa_dvkey,0))&amp;"",""))</f>
        <v/>
      </c>
      <c r="M89" s="59" t="str">
        <f>IF(A89="","",IF(G89="Annulé","Annulé",IF(L89&lt;&gt;"","Facturé",IF(G89="Accepté","Accepté",IF(G89="Refusé","Refusé",IF(p_asof&gt;H89,"Expiré","En attente"))))))</f>
        <v/>
      </c>
      <c r="N89" s="59" t="str">
        <f>IF(COUNTA(B89:C89,E89:G89)=0,"",IF(B89="","Date manquante",IF(NOT(ISNUMBER(B89)),"Date invalide",IF(C89="","Client manquant",IF(ISNA(MATCH(C89,cli_code,0)),"Client inconnu",IF(O89&lt;MAX($O$6:O88),"Date antérieure au devis précédent",IF(AND(ISNUMBER(F89),F89&lt;O89),"Validité antérieure à la date du devis",IF(AND(R89=0,G89&lt;&gt;"Annulé"),"Aucune ligne (feuille Lignes de devis)",IF(COUNTIFS(dl_doc,A89,dl_check,"&lt;&gt;OK")&gt;0,"Ligne(s) à corriger",IF(AND(L89&lt;&gt;"",OR(G89="Refusé",G89="Annulé")),"Devis refusé ou annulé mais facturé","OK"))))))))))</f>
        <v/>
      </c>
      <c r="O89" s="62">
        <f>IF(ISNUMBER(B89),B89,0)</f>
        <v>0.0</v>
      </c>
      <c r="P89" s="62" t="str">
        <f>IF(O89=0,"",YEAR(O89))</f>
        <v/>
      </c>
      <c r="Q89" s="62" t="str">
        <f>IF(P89="","",COUNTIF($P$6:P89,P89))</f>
        <v/>
      </c>
      <c r="R89" s="62">
        <f>IF(A89="",0,COUNTIF(dl_doc,A89))</f>
        <v>0.0</v>
      </c>
    </row>
    <row r="90">
      <c r="A90" s="59" t="str">
        <f>IF(Q90="","",p_pdv&amp;"-"&amp;P90&amp;"-"&amp;RIGHT("000"&amp;Q90,4))</f>
        <v/>
      </c>
      <c r="B90" s="61" t="n"/>
      <c r="C90" s="60" t="n"/>
      <c r="D90" s="62" t="str">
        <f>IF(C90="","",IFERROR(INDEX(cli_name,MATCH(C90,cli_code,0))&amp;"","Client inconnu"))</f>
        <v/>
      </c>
      <c r="E90" s="63" t="n"/>
      <c r="F90" s="61" t="n"/>
      <c r="G90" s="60" t="n"/>
      <c r="H90" s="64" t="str">
        <f>IF(A90="","",IF(ISNUMBER(F90),F90,O90+N(p_validity)))</f>
        <v/>
      </c>
      <c r="I90" s="65" t="str">
        <f>IF(A90="","",SUMIF(dl_doc,A90,dl_ht))</f>
        <v/>
      </c>
      <c r="J90" s="65" t="str">
        <f>IF(A90="","",IF(INDEX(p_rates,1)="",0,ROUND(SUMIFS(dl_ht,dl_doc,A90,dl_rate,INDEX(p_rates,1))*INDEX(p_rates,1),2))+IF(INDEX(p_rates,2)="",0,ROUND(SUMIFS(dl_ht,dl_doc,A90,dl_rate,INDEX(p_rates,2))*INDEX(p_rates,2),2))+IF(INDEX(p_rates,3)="",0,ROUND(SUMIFS(dl_ht,dl_doc,A90,dl_rate,INDEX(p_rates,3))*INDEX(p_rates,3),2))+IF(INDEX(p_rates,4)="",0,ROUND(SUMIFS(dl_ht,dl_doc,A90,dl_rate,INDEX(p_rates,4))*INDEX(p_rates,4),2))+IF(INDEX(p_rates,5)="",0,ROUND(SUMIFS(dl_ht,dl_doc,A90,dl_rate,INDEX(p_rates,5))*INDEX(p_rates,5),2))+IF(INDEX(p_rates,6)="",0,ROUND(SUMIFS(dl_ht,dl_doc,A90,dl_rate,INDEX(p_rates,6))*INDEX(p_rates,6),2)))</f>
        <v/>
      </c>
      <c r="K90" s="65" t="str">
        <f>IF(A90="","",I90+J90)</f>
        <v/>
      </c>
      <c r="L90" s="59" t="str">
        <f>IF(A90="","",IFERROR(INDEX(fa_num,MATCH(A90,fa_dvkey,0))&amp;"",""))</f>
        <v/>
      </c>
      <c r="M90" s="59" t="str">
        <f>IF(A90="","",IF(G90="Annulé","Annulé",IF(L90&lt;&gt;"","Facturé",IF(G90="Accepté","Accepté",IF(G90="Refusé","Refusé",IF(p_asof&gt;H90,"Expiré","En attente"))))))</f>
        <v/>
      </c>
      <c r="N90" s="59" t="str">
        <f>IF(COUNTA(B90:C90,E90:G90)=0,"",IF(B90="","Date manquante",IF(NOT(ISNUMBER(B90)),"Date invalide",IF(C90="","Client manquant",IF(ISNA(MATCH(C90,cli_code,0)),"Client inconnu",IF(O90&lt;MAX($O$6:O89),"Date antérieure au devis précédent",IF(AND(ISNUMBER(F90),F90&lt;O90),"Validité antérieure à la date du devis",IF(AND(R90=0,G90&lt;&gt;"Annulé"),"Aucune ligne (feuille Lignes de devis)",IF(COUNTIFS(dl_doc,A90,dl_check,"&lt;&gt;OK")&gt;0,"Ligne(s) à corriger",IF(AND(L90&lt;&gt;"",OR(G90="Refusé",G90="Annulé")),"Devis refusé ou annulé mais facturé","OK"))))))))))</f>
        <v/>
      </c>
      <c r="O90" s="62">
        <f>IF(ISNUMBER(B90),B90,0)</f>
        <v>0.0</v>
      </c>
      <c r="P90" s="62" t="str">
        <f>IF(O90=0,"",YEAR(O90))</f>
        <v/>
      </c>
      <c r="Q90" s="62" t="str">
        <f>IF(P90="","",COUNTIF($P$6:P90,P90))</f>
        <v/>
      </c>
      <c r="R90" s="62">
        <f>IF(A90="",0,COUNTIF(dl_doc,A90))</f>
        <v>0.0</v>
      </c>
    </row>
    <row r="91">
      <c r="A91" s="59" t="str">
        <f>IF(Q91="","",p_pdv&amp;"-"&amp;P91&amp;"-"&amp;RIGHT("000"&amp;Q91,4))</f>
        <v/>
      </c>
      <c r="B91" s="61" t="n"/>
      <c r="C91" s="60" t="n"/>
      <c r="D91" s="62" t="str">
        <f>IF(C91="","",IFERROR(INDEX(cli_name,MATCH(C91,cli_code,0))&amp;"","Client inconnu"))</f>
        <v/>
      </c>
      <c r="E91" s="63" t="n"/>
      <c r="F91" s="61" t="n"/>
      <c r="G91" s="60" t="n"/>
      <c r="H91" s="64" t="str">
        <f>IF(A91="","",IF(ISNUMBER(F91),F91,O91+N(p_validity)))</f>
        <v/>
      </c>
      <c r="I91" s="65" t="str">
        <f>IF(A91="","",SUMIF(dl_doc,A91,dl_ht))</f>
        <v/>
      </c>
      <c r="J91" s="65" t="str">
        <f>IF(A91="","",IF(INDEX(p_rates,1)="",0,ROUND(SUMIFS(dl_ht,dl_doc,A91,dl_rate,INDEX(p_rates,1))*INDEX(p_rates,1),2))+IF(INDEX(p_rates,2)="",0,ROUND(SUMIFS(dl_ht,dl_doc,A91,dl_rate,INDEX(p_rates,2))*INDEX(p_rates,2),2))+IF(INDEX(p_rates,3)="",0,ROUND(SUMIFS(dl_ht,dl_doc,A91,dl_rate,INDEX(p_rates,3))*INDEX(p_rates,3),2))+IF(INDEX(p_rates,4)="",0,ROUND(SUMIFS(dl_ht,dl_doc,A91,dl_rate,INDEX(p_rates,4))*INDEX(p_rates,4),2))+IF(INDEX(p_rates,5)="",0,ROUND(SUMIFS(dl_ht,dl_doc,A91,dl_rate,INDEX(p_rates,5))*INDEX(p_rates,5),2))+IF(INDEX(p_rates,6)="",0,ROUND(SUMIFS(dl_ht,dl_doc,A91,dl_rate,INDEX(p_rates,6))*INDEX(p_rates,6),2)))</f>
        <v/>
      </c>
      <c r="K91" s="65" t="str">
        <f>IF(A91="","",I91+J91)</f>
        <v/>
      </c>
      <c r="L91" s="59" t="str">
        <f>IF(A91="","",IFERROR(INDEX(fa_num,MATCH(A91,fa_dvkey,0))&amp;"",""))</f>
        <v/>
      </c>
      <c r="M91" s="59" t="str">
        <f>IF(A91="","",IF(G91="Annulé","Annulé",IF(L91&lt;&gt;"","Facturé",IF(G91="Accepté","Accepté",IF(G91="Refusé","Refusé",IF(p_asof&gt;H91,"Expiré","En attente"))))))</f>
        <v/>
      </c>
      <c r="N91" s="59" t="str">
        <f>IF(COUNTA(B91:C91,E91:G91)=0,"",IF(B91="","Date manquante",IF(NOT(ISNUMBER(B91)),"Date invalide",IF(C91="","Client manquant",IF(ISNA(MATCH(C91,cli_code,0)),"Client inconnu",IF(O91&lt;MAX($O$6:O90),"Date antérieure au devis précédent",IF(AND(ISNUMBER(F91),F91&lt;O91),"Validité antérieure à la date du devis",IF(AND(R91=0,G91&lt;&gt;"Annulé"),"Aucune ligne (feuille Lignes de devis)",IF(COUNTIFS(dl_doc,A91,dl_check,"&lt;&gt;OK")&gt;0,"Ligne(s) à corriger",IF(AND(L91&lt;&gt;"",OR(G91="Refusé",G91="Annulé")),"Devis refusé ou annulé mais facturé","OK"))))))))))</f>
        <v/>
      </c>
      <c r="O91" s="62">
        <f>IF(ISNUMBER(B91),B91,0)</f>
        <v>0.0</v>
      </c>
      <c r="P91" s="62" t="str">
        <f>IF(O91=0,"",YEAR(O91))</f>
        <v/>
      </c>
      <c r="Q91" s="62" t="str">
        <f>IF(P91="","",COUNTIF($P$6:P91,P91))</f>
        <v/>
      </c>
      <c r="R91" s="62">
        <f>IF(A91="",0,COUNTIF(dl_doc,A91))</f>
        <v>0.0</v>
      </c>
    </row>
    <row r="92">
      <c r="A92" s="59" t="str">
        <f>IF(Q92="","",p_pdv&amp;"-"&amp;P92&amp;"-"&amp;RIGHT("000"&amp;Q92,4))</f>
        <v/>
      </c>
      <c r="B92" s="61" t="n"/>
      <c r="C92" s="60" t="n"/>
      <c r="D92" s="62" t="str">
        <f>IF(C92="","",IFERROR(INDEX(cli_name,MATCH(C92,cli_code,0))&amp;"","Client inconnu"))</f>
        <v/>
      </c>
      <c r="E92" s="63" t="n"/>
      <c r="F92" s="61" t="n"/>
      <c r="G92" s="60" t="n"/>
      <c r="H92" s="64" t="str">
        <f>IF(A92="","",IF(ISNUMBER(F92),F92,O92+N(p_validity)))</f>
        <v/>
      </c>
      <c r="I92" s="65" t="str">
        <f>IF(A92="","",SUMIF(dl_doc,A92,dl_ht))</f>
        <v/>
      </c>
      <c r="J92" s="65" t="str">
        <f>IF(A92="","",IF(INDEX(p_rates,1)="",0,ROUND(SUMIFS(dl_ht,dl_doc,A92,dl_rate,INDEX(p_rates,1))*INDEX(p_rates,1),2))+IF(INDEX(p_rates,2)="",0,ROUND(SUMIFS(dl_ht,dl_doc,A92,dl_rate,INDEX(p_rates,2))*INDEX(p_rates,2),2))+IF(INDEX(p_rates,3)="",0,ROUND(SUMIFS(dl_ht,dl_doc,A92,dl_rate,INDEX(p_rates,3))*INDEX(p_rates,3),2))+IF(INDEX(p_rates,4)="",0,ROUND(SUMIFS(dl_ht,dl_doc,A92,dl_rate,INDEX(p_rates,4))*INDEX(p_rates,4),2))+IF(INDEX(p_rates,5)="",0,ROUND(SUMIFS(dl_ht,dl_doc,A92,dl_rate,INDEX(p_rates,5))*INDEX(p_rates,5),2))+IF(INDEX(p_rates,6)="",0,ROUND(SUMIFS(dl_ht,dl_doc,A92,dl_rate,INDEX(p_rates,6))*INDEX(p_rates,6),2)))</f>
        <v/>
      </c>
      <c r="K92" s="65" t="str">
        <f>IF(A92="","",I92+J92)</f>
        <v/>
      </c>
      <c r="L92" s="59" t="str">
        <f>IF(A92="","",IFERROR(INDEX(fa_num,MATCH(A92,fa_dvkey,0))&amp;"",""))</f>
        <v/>
      </c>
      <c r="M92" s="59" t="str">
        <f>IF(A92="","",IF(G92="Annulé","Annulé",IF(L92&lt;&gt;"","Facturé",IF(G92="Accepté","Accepté",IF(G92="Refusé","Refusé",IF(p_asof&gt;H92,"Expiré","En attente"))))))</f>
        <v/>
      </c>
      <c r="N92" s="59" t="str">
        <f>IF(COUNTA(B92:C92,E92:G92)=0,"",IF(B92="","Date manquante",IF(NOT(ISNUMBER(B92)),"Date invalide",IF(C92="","Client manquant",IF(ISNA(MATCH(C92,cli_code,0)),"Client inconnu",IF(O92&lt;MAX($O$6:O91),"Date antérieure au devis précédent",IF(AND(ISNUMBER(F92),F92&lt;O92),"Validité antérieure à la date du devis",IF(AND(R92=0,G92&lt;&gt;"Annulé"),"Aucune ligne (feuille Lignes de devis)",IF(COUNTIFS(dl_doc,A92,dl_check,"&lt;&gt;OK")&gt;0,"Ligne(s) à corriger",IF(AND(L92&lt;&gt;"",OR(G92="Refusé",G92="Annulé")),"Devis refusé ou annulé mais facturé","OK"))))))))))</f>
        <v/>
      </c>
      <c r="O92" s="62">
        <f>IF(ISNUMBER(B92),B92,0)</f>
        <v>0.0</v>
      </c>
      <c r="P92" s="62" t="str">
        <f>IF(O92=0,"",YEAR(O92))</f>
        <v/>
      </c>
      <c r="Q92" s="62" t="str">
        <f>IF(P92="","",COUNTIF($P$6:P92,P92))</f>
        <v/>
      </c>
      <c r="R92" s="62">
        <f>IF(A92="",0,COUNTIF(dl_doc,A92))</f>
        <v>0.0</v>
      </c>
    </row>
    <row r="93">
      <c r="A93" s="59" t="str">
        <f>IF(Q93="","",p_pdv&amp;"-"&amp;P93&amp;"-"&amp;RIGHT("000"&amp;Q93,4))</f>
        <v/>
      </c>
      <c r="B93" s="61" t="n"/>
      <c r="C93" s="60" t="n"/>
      <c r="D93" s="62" t="str">
        <f>IF(C93="","",IFERROR(INDEX(cli_name,MATCH(C93,cli_code,0))&amp;"","Client inconnu"))</f>
        <v/>
      </c>
      <c r="E93" s="63" t="n"/>
      <c r="F93" s="61" t="n"/>
      <c r="G93" s="60" t="n"/>
      <c r="H93" s="64" t="str">
        <f>IF(A93="","",IF(ISNUMBER(F93),F93,O93+N(p_validity)))</f>
        <v/>
      </c>
      <c r="I93" s="65" t="str">
        <f>IF(A93="","",SUMIF(dl_doc,A93,dl_ht))</f>
        <v/>
      </c>
      <c r="J93" s="65" t="str">
        <f>IF(A93="","",IF(INDEX(p_rates,1)="",0,ROUND(SUMIFS(dl_ht,dl_doc,A93,dl_rate,INDEX(p_rates,1))*INDEX(p_rates,1),2))+IF(INDEX(p_rates,2)="",0,ROUND(SUMIFS(dl_ht,dl_doc,A93,dl_rate,INDEX(p_rates,2))*INDEX(p_rates,2),2))+IF(INDEX(p_rates,3)="",0,ROUND(SUMIFS(dl_ht,dl_doc,A93,dl_rate,INDEX(p_rates,3))*INDEX(p_rates,3),2))+IF(INDEX(p_rates,4)="",0,ROUND(SUMIFS(dl_ht,dl_doc,A93,dl_rate,INDEX(p_rates,4))*INDEX(p_rates,4),2))+IF(INDEX(p_rates,5)="",0,ROUND(SUMIFS(dl_ht,dl_doc,A93,dl_rate,INDEX(p_rates,5))*INDEX(p_rates,5),2))+IF(INDEX(p_rates,6)="",0,ROUND(SUMIFS(dl_ht,dl_doc,A93,dl_rate,INDEX(p_rates,6))*INDEX(p_rates,6),2)))</f>
        <v/>
      </c>
      <c r="K93" s="65" t="str">
        <f>IF(A93="","",I93+J93)</f>
        <v/>
      </c>
      <c r="L93" s="59" t="str">
        <f>IF(A93="","",IFERROR(INDEX(fa_num,MATCH(A93,fa_dvkey,0))&amp;"",""))</f>
        <v/>
      </c>
      <c r="M93" s="59" t="str">
        <f>IF(A93="","",IF(G93="Annulé","Annulé",IF(L93&lt;&gt;"","Facturé",IF(G93="Accepté","Accepté",IF(G93="Refusé","Refusé",IF(p_asof&gt;H93,"Expiré","En attente"))))))</f>
        <v/>
      </c>
      <c r="N93" s="59" t="str">
        <f>IF(COUNTA(B93:C93,E93:G93)=0,"",IF(B93="","Date manquante",IF(NOT(ISNUMBER(B93)),"Date invalide",IF(C93="","Client manquant",IF(ISNA(MATCH(C93,cli_code,0)),"Client inconnu",IF(O93&lt;MAX($O$6:O92),"Date antérieure au devis précédent",IF(AND(ISNUMBER(F93),F93&lt;O93),"Validité antérieure à la date du devis",IF(AND(R93=0,G93&lt;&gt;"Annulé"),"Aucune ligne (feuille Lignes de devis)",IF(COUNTIFS(dl_doc,A93,dl_check,"&lt;&gt;OK")&gt;0,"Ligne(s) à corriger",IF(AND(L93&lt;&gt;"",OR(G93="Refusé",G93="Annulé")),"Devis refusé ou annulé mais facturé","OK"))))))))))</f>
        <v/>
      </c>
      <c r="O93" s="62">
        <f>IF(ISNUMBER(B93),B93,0)</f>
        <v>0.0</v>
      </c>
      <c r="P93" s="62" t="str">
        <f>IF(O93=0,"",YEAR(O93))</f>
        <v/>
      </c>
      <c r="Q93" s="62" t="str">
        <f>IF(P93="","",COUNTIF($P$6:P93,P93))</f>
        <v/>
      </c>
      <c r="R93" s="62">
        <f>IF(A93="",0,COUNTIF(dl_doc,A93))</f>
        <v>0.0</v>
      </c>
    </row>
    <row r="94">
      <c r="A94" s="59" t="str">
        <f>IF(Q94="","",p_pdv&amp;"-"&amp;P94&amp;"-"&amp;RIGHT("000"&amp;Q94,4))</f>
        <v/>
      </c>
      <c r="B94" s="61" t="n"/>
      <c r="C94" s="60" t="n"/>
      <c r="D94" s="62" t="str">
        <f>IF(C94="","",IFERROR(INDEX(cli_name,MATCH(C94,cli_code,0))&amp;"","Client inconnu"))</f>
        <v/>
      </c>
      <c r="E94" s="63" t="n"/>
      <c r="F94" s="61" t="n"/>
      <c r="G94" s="60" t="n"/>
      <c r="H94" s="64" t="str">
        <f>IF(A94="","",IF(ISNUMBER(F94),F94,O94+N(p_validity)))</f>
        <v/>
      </c>
      <c r="I94" s="65" t="str">
        <f>IF(A94="","",SUMIF(dl_doc,A94,dl_ht))</f>
        <v/>
      </c>
      <c r="J94" s="65" t="str">
        <f>IF(A94="","",IF(INDEX(p_rates,1)="",0,ROUND(SUMIFS(dl_ht,dl_doc,A94,dl_rate,INDEX(p_rates,1))*INDEX(p_rates,1),2))+IF(INDEX(p_rates,2)="",0,ROUND(SUMIFS(dl_ht,dl_doc,A94,dl_rate,INDEX(p_rates,2))*INDEX(p_rates,2),2))+IF(INDEX(p_rates,3)="",0,ROUND(SUMIFS(dl_ht,dl_doc,A94,dl_rate,INDEX(p_rates,3))*INDEX(p_rates,3),2))+IF(INDEX(p_rates,4)="",0,ROUND(SUMIFS(dl_ht,dl_doc,A94,dl_rate,INDEX(p_rates,4))*INDEX(p_rates,4),2))+IF(INDEX(p_rates,5)="",0,ROUND(SUMIFS(dl_ht,dl_doc,A94,dl_rate,INDEX(p_rates,5))*INDEX(p_rates,5),2))+IF(INDEX(p_rates,6)="",0,ROUND(SUMIFS(dl_ht,dl_doc,A94,dl_rate,INDEX(p_rates,6))*INDEX(p_rates,6),2)))</f>
        <v/>
      </c>
      <c r="K94" s="65" t="str">
        <f>IF(A94="","",I94+J94)</f>
        <v/>
      </c>
      <c r="L94" s="59" t="str">
        <f>IF(A94="","",IFERROR(INDEX(fa_num,MATCH(A94,fa_dvkey,0))&amp;"",""))</f>
        <v/>
      </c>
      <c r="M94" s="59" t="str">
        <f>IF(A94="","",IF(G94="Annulé","Annulé",IF(L94&lt;&gt;"","Facturé",IF(G94="Accepté","Accepté",IF(G94="Refusé","Refusé",IF(p_asof&gt;H94,"Expiré","En attente"))))))</f>
        <v/>
      </c>
      <c r="N94" s="59" t="str">
        <f>IF(COUNTA(B94:C94,E94:G94)=0,"",IF(B94="","Date manquante",IF(NOT(ISNUMBER(B94)),"Date invalide",IF(C94="","Client manquant",IF(ISNA(MATCH(C94,cli_code,0)),"Client inconnu",IF(O94&lt;MAX($O$6:O93),"Date antérieure au devis précédent",IF(AND(ISNUMBER(F94),F94&lt;O94),"Validité antérieure à la date du devis",IF(AND(R94=0,G94&lt;&gt;"Annulé"),"Aucune ligne (feuille Lignes de devis)",IF(COUNTIFS(dl_doc,A94,dl_check,"&lt;&gt;OK")&gt;0,"Ligne(s) à corriger",IF(AND(L94&lt;&gt;"",OR(G94="Refusé",G94="Annulé")),"Devis refusé ou annulé mais facturé","OK"))))))))))</f>
        <v/>
      </c>
      <c r="O94" s="62">
        <f>IF(ISNUMBER(B94),B94,0)</f>
        <v>0.0</v>
      </c>
      <c r="P94" s="62" t="str">
        <f>IF(O94=0,"",YEAR(O94))</f>
        <v/>
      </c>
      <c r="Q94" s="62" t="str">
        <f>IF(P94="","",COUNTIF($P$6:P94,P94))</f>
        <v/>
      </c>
      <c r="R94" s="62">
        <f>IF(A94="",0,COUNTIF(dl_doc,A94))</f>
        <v>0.0</v>
      </c>
    </row>
    <row r="95">
      <c r="A95" s="59" t="str">
        <f>IF(Q95="","",p_pdv&amp;"-"&amp;P95&amp;"-"&amp;RIGHT("000"&amp;Q95,4))</f>
        <v/>
      </c>
      <c r="B95" s="61" t="n"/>
      <c r="C95" s="60" t="n"/>
      <c r="D95" s="62" t="str">
        <f>IF(C95="","",IFERROR(INDEX(cli_name,MATCH(C95,cli_code,0))&amp;"","Client inconnu"))</f>
        <v/>
      </c>
      <c r="E95" s="63" t="n"/>
      <c r="F95" s="61" t="n"/>
      <c r="G95" s="60" t="n"/>
      <c r="H95" s="64" t="str">
        <f>IF(A95="","",IF(ISNUMBER(F95),F95,O95+N(p_validity)))</f>
        <v/>
      </c>
      <c r="I95" s="65" t="str">
        <f>IF(A95="","",SUMIF(dl_doc,A95,dl_ht))</f>
        <v/>
      </c>
      <c r="J95" s="65" t="str">
        <f>IF(A95="","",IF(INDEX(p_rates,1)="",0,ROUND(SUMIFS(dl_ht,dl_doc,A95,dl_rate,INDEX(p_rates,1))*INDEX(p_rates,1),2))+IF(INDEX(p_rates,2)="",0,ROUND(SUMIFS(dl_ht,dl_doc,A95,dl_rate,INDEX(p_rates,2))*INDEX(p_rates,2),2))+IF(INDEX(p_rates,3)="",0,ROUND(SUMIFS(dl_ht,dl_doc,A95,dl_rate,INDEX(p_rates,3))*INDEX(p_rates,3),2))+IF(INDEX(p_rates,4)="",0,ROUND(SUMIFS(dl_ht,dl_doc,A95,dl_rate,INDEX(p_rates,4))*INDEX(p_rates,4),2))+IF(INDEX(p_rates,5)="",0,ROUND(SUMIFS(dl_ht,dl_doc,A95,dl_rate,INDEX(p_rates,5))*INDEX(p_rates,5),2))+IF(INDEX(p_rates,6)="",0,ROUND(SUMIFS(dl_ht,dl_doc,A95,dl_rate,INDEX(p_rates,6))*INDEX(p_rates,6),2)))</f>
        <v/>
      </c>
      <c r="K95" s="65" t="str">
        <f>IF(A95="","",I95+J95)</f>
        <v/>
      </c>
      <c r="L95" s="59" t="str">
        <f>IF(A95="","",IFERROR(INDEX(fa_num,MATCH(A95,fa_dvkey,0))&amp;"",""))</f>
        <v/>
      </c>
      <c r="M95" s="59" t="str">
        <f>IF(A95="","",IF(G95="Annulé","Annulé",IF(L95&lt;&gt;"","Facturé",IF(G95="Accepté","Accepté",IF(G95="Refusé","Refusé",IF(p_asof&gt;H95,"Expiré","En attente"))))))</f>
        <v/>
      </c>
      <c r="N95" s="59" t="str">
        <f>IF(COUNTA(B95:C95,E95:G95)=0,"",IF(B95="","Date manquante",IF(NOT(ISNUMBER(B95)),"Date invalide",IF(C95="","Client manquant",IF(ISNA(MATCH(C95,cli_code,0)),"Client inconnu",IF(O95&lt;MAX($O$6:O94),"Date antérieure au devis précédent",IF(AND(ISNUMBER(F95),F95&lt;O95),"Validité antérieure à la date du devis",IF(AND(R95=0,G95&lt;&gt;"Annulé"),"Aucune ligne (feuille Lignes de devis)",IF(COUNTIFS(dl_doc,A95,dl_check,"&lt;&gt;OK")&gt;0,"Ligne(s) à corriger",IF(AND(L95&lt;&gt;"",OR(G95="Refusé",G95="Annulé")),"Devis refusé ou annulé mais facturé","OK"))))))))))</f>
        <v/>
      </c>
      <c r="O95" s="62">
        <f>IF(ISNUMBER(B95),B95,0)</f>
        <v>0.0</v>
      </c>
      <c r="P95" s="62" t="str">
        <f>IF(O95=0,"",YEAR(O95))</f>
        <v/>
      </c>
      <c r="Q95" s="62" t="str">
        <f>IF(P95="","",COUNTIF($P$6:P95,P95))</f>
        <v/>
      </c>
      <c r="R95" s="62">
        <f>IF(A95="",0,COUNTIF(dl_doc,A95))</f>
        <v>0.0</v>
      </c>
    </row>
    <row r="96">
      <c r="A96" s="59" t="str">
        <f>IF(Q96="","",p_pdv&amp;"-"&amp;P96&amp;"-"&amp;RIGHT("000"&amp;Q96,4))</f>
        <v/>
      </c>
      <c r="B96" s="61" t="n"/>
      <c r="C96" s="60" t="n"/>
      <c r="D96" s="62" t="str">
        <f>IF(C96="","",IFERROR(INDEX(cli_name,MATCH(C96,cli_code,0))&amp;"","Client inconnu"))</f>
        <v/>
      </c>
      <c r="E96" s="63" t="n"/>
      <c r="F96" s="61" t="n"/>
      <c r="G96" s="60" t="n"/>
      <c r="H96" s="64" t="str">
        <f>IF(A96="","",IF(ISNUMBER(F96),F96,O96+N(p_validity)))</f>
        <v/>
      </c>
      <c r="I96" s="65" t="str">
        <f>IF(A96="","",SUMIF(dl_doc,A96,dl_ht))</f>
        <v/>
      </c>
      <c r="J96" s="65" t="str">
        <f>IF(A96="","",IF(INDEX(p_rates,1)="",0,ROUND(SUMIFS(dl_ht,dl_doc,A96,dl_rate,INDEX(p_rates,1))*INDEX(p_rates,1),2))+IF(INDEX(p_rates,2)="",0,ROUND(SUMIFS(dl_ht,dl_doc,A96,dl_rate,INDEX(p_rates,2))*INDEX(p_rates,2),2))+IF(INDEX(p_rates,3)="",0,ROUND(SUMIFS(dl_ht,dl_doc,A96,dl_rate,INDEX(p_rates,3))*INDEX(p_rates,3),2))+IF(INDEX(p_rates,4)="",0,ROUND(SUMIFS(dl_ht,dl_doc,A96,dl_rate,INDEX(p_rates,4))*INDEX(p_rates,4),2))+IF(INDEX(p_rates,5)="",0,ROUND(SUMIFS(dl_ht,dl_doc,A96,dl_rate,INDEX(p_rates,5))*INDEX(p_rates,5),2))+IF(INDEX(p_rates,6)="",0,ROUND(SUMIFS(dl_ht,dl_doc,A96,dl_rate,INDEX(p_rates,6))*INDEX(p_rates,6),2)))</f>
        <v/>
      </c>
      <c r="K96" s="65" t="str">
        <f>IF(A96="","",I96+J96)</f>
        <v/>
      </c>
      <c r="L96" s="59" t="str">
        <f>IF(A96="","",IFERROR(INDEX(fa_num,MATCH(A96,fa_dvkey,0))&amp;"",""))</f>
        <v/>
      </c>
      <c r="M96" s="59" t="str">
        <f>IF(A96="","",IF(G96="Annulé","Annulé",IF(L96&lt;&gt;"","Facturé",IF(G96="Accepté","Accepté",IF(G96="Refusé","Refusé",IF(p_asof&gt;H96,"Expiré","En attente"))))))</f>
        <v/>
      </c>
      <c r="N96" s="59" t="str">
        <f>IF(COUNTA(B96:C96,E96:G96)=0,"",IF(B96="","Date manquante",IF(NOT(ISNUMBER(B96)),"Date invalide",IF(C96="","Client manquant",IF(ISNA(MATCH(C96,cli_code,0)),"Client inconnu",IF(O96&lt;MAX($O$6:O95),"Date antérieure au devis précédent",IF(AND(ISNUMBER(F96),F96&lt;O96),"Validité antérieure à la date du devis",IF(AND(R96=0,G96&lt;&gt;"Annulé"),"Aucune ligne (feuille Lignes de devis)",IF(COUNTIFS(dl_doc,A96,dl_check,"&lt;&gt;OK")&gt;0,"Ligne(s) à corriger",IF(AND(L96&lt;&gt;"",OR(G96="Refusé",G96="Annulé")),"Devis refusé ou annulé mais facturé","OK"))))))))))</f>
        <v/>
      </c>
      <c r="O96" s="62">
        <f>IF(ISNUMBER(B96),B96,0)</f>
        <v>0.0</v>
      </c>
      <c r="P96" s="62" t="str">
        <f>IF(O96=0,"",YEAR(O96))</f>
        <v/>
      </c>
      <c r="Q96" s="62" t="str">
        <f>IF(P96="","",COUNTIF($P$6:P96,P96))</f>
        <v/>
      </c>
      <c r="R96" s="62">
        <f>IF(A96="",0,COUNTIF(dl_doc,A96))</f>
        <v>0.0</v>
      </c>
    </row>
    <row r="97">
      <c r="A97" s="59" t="str">
        <f>IF(Q97="","",p_pdv&amp;"-"&amp;P97&amp;"-"&amp;RIGHT("000"&amp;Q97,4))</f>
        <v/>
      </c>
      <c r="B97" s="61" t="n"/>
      <c r="C97" s="60" t="n"/>
      <c r="D97" s="62" t="str">
        <f>IF(C97="","",IFERROR(INDEX(cli_name,MATCH(C97,cli_code,0))&amp;"","Client inconnu"))</f>
        <v/>
      </c>
      <c r="E97" s="63" t="n"/>
      <c r="F97" s="61" t="n"/>
      <c r="G97" s="60" t="n"/>
      <c r="H97" s="64" t="str">
        <f>IF(A97="","",IF(ISNUMBER(F97),F97,O97+N(p_validity)))</f>
        <v/>
      </c>
      <c r="I97" s="65" t="str">
        <f>IF(A97="","",SUMIF(dl_doc,A97,dl_ht))</f>
        <v/>
      </c>
      <c r="J97" s="65" t="str">
        <f>IF(A97="","",IF(INDEX(p_rates,1)="",0,ROUND(SUMIFS(dl_ht,dl_doc,A97,dl_rate,INDEX(p_rates,1))*INDEX(p_rates,1),2))+IF(INDEX(p_rates,2)="",0,ROUND(SUMIFS(dl_ht,dl_doc,A97,dl_rate,INDEX(p_rates,2))*INDEX(p_rates,2),2))+IF(INDEX(p_rates,3)="",0,ROUND(SUMIFS(dl_ht,dl_doc,A97,dl_rate,INDEX(p_rates,3))*INDEX(p_rates,3),2))+IF(INDEX(p_rates,4)="",0,ROUND(SUMIFS(dl_ht,dl_doc,A97,dl_rate,INDEX(p_rates,4))*INDEX(p_rates,4),2))+IF(INDEX(p_rates,5)="",0,ROUND(SUMIFS(dl_ht,dl_doc,A97,dl_rate,INDEX(p_rates,5))*INDEX(p_rates,5),2))+IF(INDEX(p_rates,6)="",0,ROUND(SUMIFS(dl_ht,dl_doc,A97,dl_rate,INDEX(p_rates,6))*INDEX(p_rates,6),2)))</f>
        <v/>
      </c>
      <c r="K97" s="65" t="str">
        <f>IF(A97="","",I97+J97)</f>
        <v/>
      </c>
      <c r="L97" s="59" t="str">
        <f>IF(A97="","",IFERROR(INDEX(fa_num,MATCH(A97,fa_dvkey,0))&amp;"",""))</f>
        <v/>
      </c>
      <c r="M97" s="59" t="str">
        <f>IF(A97="","",IF(G97="Annulé","Annulé",IF(L97&lt;&gt;"","Facturé",IF(G97="Accepté","Accepté",IF(G97="Refusé","Refusé",IF(p_asof&gt;H97,"Expiré","En attente"))))))</f>
        <v/>
      </c>
      <c r="N97" s="59" t="str">
        <f>IF(COUNTA(B97:C97,E97:G97)=0,"",IF(B97="","Date manquante",IF(NOT(ISNUMBER(B97)),"Date invalide",IF(C97="","Client manquant",IF(ISNA(MATCH(C97,cli_code,0)),"Client inconnu",IF(O97&lt;MAX($O$6:O96),"Date antérieure au devis précédent",IF(AND(ISNUMBER(F97),F97&lt;O97),"Validité antérieure à la date du devis",IF(AND(R97=0,G97&lt;&gt;"Annulé"),"Aucune ligne (feuille Lignes de devis)",IF(COUNTIFS(dl_doc,A97,dl_check,"&lt;&gt;OK")&gt;0,"Ligne(s) à corriger",IF(AND(L97&lt;&gt;"",OR(G97="Refusé",G97="Annulé")),"Devis refusé ou annulé mais facturé","OK"))))))))))</f>
        <v/>
      </c>
      <c r="O97" s="62">
        <f>IF(ISNUMBER(B97),B97,0)</f>
        <v>0.0</v>
      </c>
      <c r="P97" s="62" t="str">
        <f>IF(O97=0,"",YEAR(O97))</f>
        <v/>
      </c>
      <c r="Q97" s="62" t="str">
        <f>IF(P97="","",COUNTIF($P$6:P97,P97))</f>
        <v/>
      </c>
      <c r="R97" s="62">
        <f>IF(A97="",0,COUNTIF(dl_doc,A97))</f>
        <v>0.0</v>
      </c>
    </row>
    <row r="98">
      <c r="A98" s="59" t="str">
        <f>IF(Q98="","",p_pdv&amp;"-"&amp;P98&amp;"-"&amp;RIGHT("000"&amp;Q98,4))</f>
        <v/>
      </c>
      <c r="B98" s="61" t="n"/>
      <c r="C98" s="60" t="n"/>
      <c r="D98" s="62" t="str">
        <f>IF(C98="","",IFERROR(INDEX(cli_name,MATCH(C98,cli_code,0))&amp;"","Client inconnu"))</f>
        <v/>
      </c>
      <c r="E98" s="63" t="n"/>
      <c r="F98" s="61" t="n"/>
      <c r="G98" s="60" t="n"/>
      <c r="H98" s="64" t="str">
        <f>IF(A98="","",IF(ISNUMBER(F98),F98,O98+N(p_validity)))</f>
        <v/>
      </c>
      <c r="I98" s="65" t="str">
        <f>IF(A98="","",SUMIF(dl_doc,A98,dl_ht))</f>
        <v/>
      </c>
      <c r="J98" s="65" t="str">
        <f>IF(A98="","",IF(INDEX(p_rates,1)="",0,ROUND(SUMIFS(dl_ht,dl_doc,A98,dl_rate,INDEX(p_rates,1))*INDEX(p_rates,1),2))+IF(INDEX(p_rates,2)="",0,ROUND(SUMIFS(dl_ht,dl_doc,A98,dl_rate,INDEX(p_rates,2))*INDEX(p_rates,2),2))+IF(INDEX(p_rates,3)="",0,ROUND(SUMIFS(dl_ht,dl_doc,A98,dl_rate,INDEX(p_rates,3))*INDEX(p_rates,3),2))+IF(INDEX(p_rates,4)="",0,ROUND(SUMIFS(dl_ht,dl_doc,A98,dl_rate,INDEX(p_rates,4))*INDEX(p_rates,4),2))+IF(INDEX(p_rates,5)="",0,ROUND(SUMIFS(dl_ht,dl_doc,A98,dl_rate,INDEX(p_rates,5))*INDEX(p_rates,5),2))+IF(INDEX(p_rates,6)="",0,ROUND(SUMIFS(dl_ht,dl_doc,A98,dl_rate,INDEX(p_rates,6))*INDEX(p_rates,6),2)))</f>
        <v/>
      </c>
      <c r="K98" s="65" t="str">
        <f>IF(A98="","",I98+J98)</f>
        <v/>
      </c>
      <c r="L98" s="59" t="str">
        <f>IF(A98="","",IFERROR(INDEX(fa_num,MATCH(A98,fa_dvkey,0))&amp;"",""))</f>
        <v/>
      </c>
      <c r="M98" s="59" t="str">
        <f>IF(A98="","",IF(G98="Annulé","Annulé",IF(L98&lt;&gt;"","Facturé",IF(G98="Accepté","Accepté",IF(G98="Refusé","Refusé",IF(p_asof&gt;H98,"Expiré","En attente"))))))</f>
        <v/>
      </c>
      <c r="N98" s="59" t="str">
        <f>IF(COUNTA(B98:C98,E98:G98)=0,"",IF(B98="","Date manquante",IF(NOT(ISNUMBER(B98)),"Date invalide",IF(C98="","Client manquant",IF(ISNA(MATCH(C98,cli_code,0)),"Client inconnu",IF(O98&lt;MAX($O$6:O97),"Date antérieure au devis précédent",IF(AND(ISNUMBER(F98),F98&lt;O98),"Validité antérieure à la date du devis",IF(AND(R98=0,G98&lt;&gt;"Annulé"),"Aucune ligne (feuille Lignes de devis)",IF(COUNTIFS(dl_doc,A98,dl_check,"&lt;&gt;OK")&gt;0,"Ligne(s) à corriger",IF(AND(L98&lt;&gt;"",OR(G98="Refusé",G98="Annulé")),"Devis refusé ou annulé mais facturé","OK"))))))))))</f>
        <v/>
      </c>
      <c r="O98" s="62">
        <f>IF(ISNUMBER(B98),B98,0)</f>
        <v>0.0</v>
      </c>
      <c r="P98" s="62" t="str">
        <f>IF(O98=0,"",YEAR(O98))</f>
        <v/>
      </c>
      <c r="Q98" s="62" t="str">
        <f>IF(P98="","",COUNTIF($P$6:P98,P98))</f>
        <v/>
      </c>
      <c r="R98" s="62">
        <f>IF(A98="",0,COUNTIF(dl_doc,A98))</f>
        <v>0.0</v>
      </c>
    </row>
    <row r="99">
      <c r="A99" s="59" t="str">
        <f>IF(Q99="","",p_pdv&amp;"-"&amp;P99&amp;"-"&amp;RIGHT("000"&amp;Q99,4))</f>
        <v/>
      </c>
      <c r="B99" s="61" t="n"/>
      <c r="C99" s="60" t="n"/>
      <c r="D99" s="62" t="str">
        <f>IF(C99="","",IFERROR(INDEX(cli_name,MATCH(C99,cli_code,0))&amp;"","Client inconnu"))</f>
        <v/>
      </c>
      <c r="E99" s="63" t="n"/>
      <c r="F99" s="61" t="n"/>
      <c r="G99" s="60" t="n"/>
      <c r="H99" s="64" t="str">
        <f>IF(A99="","",IF(ISNUMBER(F99),F99,O99+N(p_validity)))</f>
        <v/>
      </c>
      <c r="I99" s="65" t="str">
        <f>IF(A99="","",SUMIF(dl_doc,A99,dl_ht))</f>
        <v/>
      </c>
      <c r="J99" s="65" t="str">
        <f>IF(A99="","",IF(INDEX(p_rates,1)="",0,ROUND(SUMIFS(dl_ht,dl_doc,A99,dl_rate,INDEX(p_rates,1))*INDEX(p_rates,1),2))+IF(INDEX(p_rates,2)="",0,ROUND(SUMIFS(dl_ht,dl_doc,A99,dl_rate,INDEX(p_rates,2))*INDEX(p_rates,2),2))+IF(INDEX(p_rates,3)="",0,ROUND(SUMIFS(dl_ht,dl_doc,A99,dl_rate,INDEX(p_rates,3))*INDEX(p_rates,3),2))+IF(INDEX(p_rates,4)="",0,ROUND(SUMIFS(dl_ht,dl_doc,A99,dl_rate,INDEX(p_rates,4))*INDEX(p_rates,4),2))+IF(INDEX(p_rates,5)="",0,ROUND(SUMIFS(dl_ht,dl_doc,A99,dl_rate,INDEX(p_rates,5))*INDEX(p_rates,5),2))+IF(INDEX(p_rates,6)="",0,ROUND(SUMIFS(dl_ht,dl_doc,A99,dl_rate,INDEX(p_rates,6))*INDEX(p_rates,6),2)))</f>
        <v/>
      </c>
      <c r="K99" s="65" t="str">
        <f>IF(A99="","",I99+J99)</f>
        <v/>
      </c>
      <c r="L99" s="59" t="str">
        <f>IF(A99="","",IFERROR(INDEX(fa_num,MATCH(A99,fa_dvkey,0))&amp;"",""))</f>
        <v/>
      </c>
      <c r="M99" s="59" t="str">
        <f>IF(A99="","",IF(G99="Annulé","Annulé",IF(L99&lt;&gt;"","Facturé",IF(G99="Accepté","Accepté",IF(G99="Refusé","Refusé",IF(p_asof&gt;H99,"Expiré","En attente"))))))</f>
        <v/>
      </c>
      <c r="N99" s="59" t="str">
        <f>IF(COUNTA(B99:C99,E99:G99)=0,"",IF(B99="","Date manquante",IF(NOT(ISNUMBER(B99)),"Date invalide",IF(C99="","Client manquant",IF(ISNA(MATCH(C99,cli_code,0)),"Client inconnu",IF(O99&lt;MAX($O$6:O98),"Date antérieure au devis précédent",IF(AND(ISNUMBER(F99),F99&lt;O99),"Validité antérieure à la date du devis",IF(AND(R99=0,G99&lt;&gt;"Annulé"),"Aucune ligne (feuille Lignes de devis)",IF(COUNTIFS(dl_doc,A99,dl_check,"&lt;&gt;OK")&gt;0,"Ligne(s) à corriger",IF(AND(L99&lt;&gt;"",OR(G99="Refusé",G99="Annulé")),"Devis refusé ou annulé mais facturé","OK"))))))))))</f>
        <v/>
      </c>
      <c r="O99" s="62">
        <f>IF(ISNUMBER(B99),B99,0)</f>
        <v>0.0</v>
      </c>
      <c r="P99" s="62" t="str">
        <f>IF(O99=0,"",YEAR(O99))</f>
        <v/>
      </c>
      <c r="Q99" s="62" t="str">
        <f>IF(P99="","",COUNTIF($P$6:P99,P99))</f>
        <v/>
      </c>
      <c r="R99" s="62">
        <f>IF(A99="",0,COUNTIF(dl_doc,A99))</f>
        <v>0.0</v>
      </c>
    </row>
    <row r="100">
      <c r="A100" s="59" t="str">
        <f>IF(Q100="","",p_pdv&amp;"-"&amp;P100&amp;"-"&amp;RIGHT("000"&amp;Q100,4))</f>
        <v/>
      </c>
      <c r="B100" s="61" t="n"/>
      <c r="C100" s="60" t="n"/>
      <c r="D100" s="62" t="str">
        <f>IF(C100="","",IFERROR(INDEX(cli_name,MATCH(C100,cli_code,0))&amp;"","Client inconnu"))</f>
        <v/>
      </c>
      <c r="E100" s="63" t="n"/>
      <c r="F100" s="61" t="n"/>
      <c r="G100" s="60" t="n"/>
      <c r="H100" s="64" t="str">
        <f>IF(A100="","",IF(ISNUMBER(F100),F100,O100+N(p_validity)))</f>
        <v/>
      </c>
      <c r="I100" s="65" t="str">
        <f>IF(A100="","",SUMIF(dl_doc,A100,dl_ht))</f>
        <v/>
      </c>
      <c r="J100" s="65" t="str">
        <f>IF(A100="","",IF(INDEX(p_rates,1)="",0,ROUND(SUMIFS(dl_ht,dl_doc,A100,dl_rate,INDEX(p_rates,1))*INDEX(p_rates,1),2))+IF(INDEX(p_rates,2)="",0,ROUND(SUMIFS(dl_ht,dl_doc,A100,dl_rate,INDEX(p_rates,2))*INDEX(p_rates,2),2))+IF(INDEX(p_rates,3)="",0,ROUND(SUMIFS(dl_ht,dl_doc,A100,dl_rate,INDEX(p_rates,3))*INDEX(p_rates,3),2))+IF(INDEX(p_rates,4)="",0,ROUND(SUMIFS(dl_ht,dl_doc,A100,dl_rate,INDEX(p_rates,4))*INDEX(p_rates,4),2))+IF(INDEX(p_rates,5)="",0,ROUND(SUMIFS(dl_ht,dl_doc,A100,dl_rate,INDEX(p_rates,5))*INDEX(p_rates,5),2))+IF(INDEX(p_rates,6)="",0,ROUND(SUMIFS(dl_ht,dl_doc,A100,dl_rate,INDEX(p_rates,6))*INDEX(p_rates,6),2)))</f>
        <v/>
      </c>
      <c r="K100" s="65" t="str">
        <f>IF(A100="","",I100+J100)</f>
        <v/>
      </c>
      <c r="L100" s="59" t="str">
        <f>IF(A100="","",IFERROR(INDEX(fa_num,MATCH(A100,fa_dvkey,0))&amp;"",""))</f>
        <v/>
      </c>
      <c r="M100" s="59" t="str">
        <f>IF(A100="","",IF(G100="Annulé","Annulé",IF(L100&lt;&gt;"","Facturé",IF(G100="Accepté","Accepté",IF(G100="Refusé","Refusé",IF(p_asof&gt;H100,"Expiré","En attente"))))))</f>
        <v/>
      </c>
      <c r="N100" s="59" t="str">
        <f>IF(COUNTA(B100:C100,E100:G100)=0,"",IF(B100="","Date manquante",IF(NOT(ISNUMBER(B100)),"Date invalide",IF(C100="","Client manquant",IF(ISNA(MATCH(C100,cli_code,0)),"Client inconnu",IF(O100&lt;MAX($O$6:O99),"Date antérieure au devis précédent",IF(AND(ISNUMBER(F100),F100&lt;O100),"Validité antérieure à la date du devis",IF(AND(R100=0,G100&lt;&gt;"Annulé"),"Aucune ligne (feuille Lignes de devis)",IF(COUNTIFS(dl_doc,A100,dl_check,"&lt;&gt;OK")&gt;0,"Ligne(s) à corriger",IF(AND(L100&lt;&gt;"",OR(G100="Refusé",G100="Annulé")),"Devis refusé ou annulé mais facturé","OK"))))))))))</f>
        <v/>
      </c>
      <c r="O100" s="62">
        <f>IF(ISNUMBER(B100),B100,0)</f>
        <v>0.0</v>
      </c>
      <c r="P100" s="62" t="str">
        <f>IF(O100=0,"",YEAR(O100))</f>
        <v/>
      </c>
      <c r="Q100" s="62" t="str">
        <f>IF(P100="","",COUNTIF($P$6:P100,P100))</f>
        <v/>
      </c>
      <c r="R100" s="62">
        <f>IF(A100="",0,COUNTIF(dl_doc,A100))</f>
        <v>0.0</v>
      </c>
    </row>
    <row r="101">
      <c r="A101" s="59" t="str">
        <f>IF(Q101="","",p_pdv&amp;"-"&amp;P101&amp;"-"&amp;RIGHT("000"&amp;Q101,4))</f>
        <v/>
      </c>
      <c r="B101" s="61" t="n"/>
      <c r="C101" s="60" t="n"/>
      <c r="D101" s="62" t="str">
        <f>IF(C101="","",IFERROR(INDEX(cli_name,MATCH(C101,cli_code,0))&amp;"","Client inconnu"))</f>
        <v/>
      </c>
      <c r="E101" s="63" t="n"/>
      <c r="F101" s="61" t="n"/>
      <c r="G101" s="60" t="n"/>
      <c r="H101" s="64" t="str">
        <f>IF(A101="","",IF(ISNUMBER(F101),F101,O101+N(p_validity)))</f>
        <v/>
      </c>
      <c r="I101" s="65" t="str">
        <f>IF(A101="","",SUMIF(dl_doc,A101,dl_ht))</f>
        <v/>
      </c>
      <c r="J101" s="65" t="str">
        <f>IF(A101="","",IF(INDEX(p_rates,1)="",0,ROUND(SUMIFS(dl_ht,dl_doc,A101,dl_rate,INDEX(p_rates,1))*INDEX(p_rates,1),2))+IF(INDEX(p_rates,2)="",0,ROUND(SUMIFS(dl_ht,dl_doc,A101,dl_rate,INDEX(p_rates,2))*INDEX(p_rates,2),2))+IF(INDEX(p_rates,3)="",0,ROUND(SUMIFS(dl_ht,dl_doc,A101,dl_rate,INDEX(p_rates,3))*INDEX(p_rates,3),2))+IF(INDEX(p_rates,4)="",0,ROUND(SUMIFS(dl_ht,dl_doc,A101,dl_rate,INDEX(p_rates,4))*INDEX(p_rates,4),2))+IF(INDEX(p_rates,5)="",0,ROUND(SUMIFS(dl_ht,dl_doc,A101,dl_rate,INDEX(p_rates,5))*INDEX(p_rates,5),2))+IF(INDEX(p_rates,6)="",0,ROUND(SUMIFS(dl_ht,dl_doc,A101,dl_rate,INDEX(p_rates,6))*INDEX(p_rates,6),2)))</f>
        <v/>
      </c>
      <c r="K101" s="65" t="str">
        <f>IF(A101="","",I101+J101)</f>
        <v/>
      </c>
      <c r="L101" s="59" t="str">
        <f>IF(A101="","",IFERROR(INDEX(fa_num,MATCH(A101,fa_dvkey,0))&amp;"",""))</f>
        <v/>
      </c>
      <c r="M101" s="59" t="str">
        <f>IF(A101="","",IF(G101="Annulé","Annulé",IF(L101&lt;&gt;"","Facturé",IF(G101="Accepté","Accepté",IF(G101="Refusé","Refusé",IF(p_asof&gt;H101,"Expiré","En attente"))))))</f>
        <v/>
      </c>
      <c r="N101" s="59" t="str">
        <f>IF(COUNTA(B101:C101,E101:G101)=0,"",IF(B101="","Date manquante",IF(NOT(ISNUMBER(B101)),"Date invalide",IF(C101="","Client manquant",IF(ISNA(MATCH(C101,cli_code,0)),"Client inconnu",IF(O101&lt;MAX($O$6:O100),"Date antérieure au devis précédent",IF(AND(ISNUMBER(F101),F101&lt;O101),"Validité antérieure à la date du devis",IF(AND(R101=0,G101&lt;&gt;"Annulé"),"Aucune ligne (feuille Lignes de devis)",IF(COUNTIFS(dl_doc,A101,dl_check,"&lt;&gt;OK")&gt;0,"Ligne(s) à corriger",IF(AND(L101&lt;&gt;"",OR(G101="Refusé",G101="Annulé")),"Devis refusé ou annulé mais facturé","OK"))))))))))</f>
        <v/>
      </c>
      <c r="O101" s="62">
        <f>IF(ISNUMBER(B101),B101,0)</f>
        <v>0.0</v>
      </c>
      <c r="P101" s="62" t="str">
        <f>IF(O101=0,"",YEAR(O101))</f>
        <v/>
      </c>
      <c r="Q101" s="62" t="str">
        <f>IF(P101="","",COUNTIF($P$6:P101,P101))</f>
        <v/>
      </c>
      <c r="R101" s="62">
        <f>IF(A101="",0,COUNTIF(dl_doc,A101))</f>
        <v>0.0</v>
      </c>
    </row>
    <row r="102">
      <c r="A102" s="59" t="str">
        <f>IF(Q102="","",p_pdv&amp;"-"&amp;P102&amp;"-"&amp;RIGHT("000"&amp;Q102,4))</f>
        <v/>
      </c>
      <c r="B102" s="61" t="n"/>
      <c r="C102" s="60" t="n"/>
      <c r="D102" s="62" t="str">
        <f>IF(C102="","",IFERROR(INDEX(cli_name,MATCH(C102,cli_code,0))&amp;"","Client inconnu"))</f>
        <v/>
      </c>
      <c r="E102" s="63" t="n"/>
      <c r="F102" s="61" t="n"/>
      <c r="G102" s="60" t="n"/>
      <c r="H102" s="64" t="str">
        <f>IF(A102="","",IF(ISNUMBER(F102),F102,O102+N(p_validity)))</f>
        <v/>
      </c>
      <c r="I102" s="65" t="str">
        <f>IF(A102="","",SUMIF(dl_doc,A102,dl_ht))</f>
        <v/>
      </c>
      <c r="J102" s="65" t="str">
        <f>IF(A102="","",IF(INDEX(p_rates,1)="",0,ROUND(SUMIFS(dl_ht,dl_doc,A102,dl_rate,INDEX(p_rates,1))*INDEX(p_rates,1),2))+IF(INDEX(p_rates,2)="",0,ROUND(SUMIFS(dl_ht,dl_doc,A102,dl_rate,INDEX(p_rates,2))*INDEX(p_rates,2),2))+IF(INDEX(p_rates,3)="",0,ROUND(SUMIFS(dl_ht,dl_doc,A102,dl_rate,INDEX(p_rates,3))*INDEX(p_rates,3),2))+IF(INDEX(p_rates,4)="",0,ROUND(SUMIFS(dl_ht,dl_doc,A102,dl_rate,INDEX(p_rates,4))*INDEX(p_rates,4),2))+IF(INDEX(p_rates,5)="",0,ROUND(SUMIFS(dl_ht,dl_doc,A102,dl_rate,INDEX(p_rates,5))*INDEX(p_rates,5),2))+IF(INDEX(p_rates,6)="",0,ROUND(SUMIFS(dl_ht,dl_doc,A102,dl_rate,INDEX(p_rates,6))*INDEX(p_rates,6),2)))</f>
        <v/>
      </c>
      <c r="K102" s="65" t="str">
        <f>IF(A102="","",I102+J102)</f>
        <v/>
      </c>
      <c r="L102" s="59" t="str">
        <f>IF(A102="","",IFERROR(INDEX(fa_num,MATCH(A102,fa_dvkey,0))&amp;"",""))</f>
        <v/>
      </c>
      <c r="M102" s="59" t="str">
        <f>IF(A102="","",IF(G102="Annulé","Annulé",IF(L102&lt;&gt;"","Facturé",IF(G102="Accepté","Accepté",IF(G102="Refusé","Refusé",IF(p_asof&gt;H102,"Expiré","En attente"))))))</f>
        <v/>
      </c>
      <c r="N102" s="59" t="str">
        <f>IF(COUNTA(B102:C102,E102:G102)=0,"",IF(B102="","Date manquante",IF(NOT(ISNUMBER(B102)),"Date invalide",IF(C102="","Client manquant",IF(ISNA(MATCH(C102,cli_code,0)),"Client inconnu",IF(O102&lt;MAX($O$6:O101),"Date antérieure au devis précédent",IF(AND(ISNUMBER(F102),F102&lt;O102),"Validité antérieure à la date du devis",IF(AND(R102=0,G102&lt;&gt;"Annulé"),"Aucune ligne (feuille Lignes de devis)",IF(COUNTIFS(dl_doc,A102,dl_check,"&lt;&gt;OK")&gt;0,"Ligne(s) à corriger",IF(AND(L102&lt;&gt;"",OR(G102="Refusé",G102="Annulé")),"Devis refusé ou annulé mais facturé","OK"))))))))))</f>
        <v/>
      </c>
      <c r="O102" s="62">
        <f>IF(ISNUMBER(B102),B102,0)</f>
        <v>0.0</v>
      </c>
      <c r="P102" s="62" t="str">
        <f>IF(O102=0,"",YEAR(O102))</f>
        <v/>
      </c>
      <c r="Q102" s="62" t="str">
        <f>IF(P102="","",COUNTIF($P$6:P102,P102))</f>
        <v/>
      </c>
      <c r="R102" s="62">
        <f>IF(A102="",0,COUNTIF(dl_doc,A102))</f>
        <v>0.0</v>
      </c>
    </row>
    <row r="103">
      <c r="A103" s="59" t="str">
        <f>IF(Q103="","",p_pdv&amp;"-"&amp;P103&amp;"-"&amp;RIGHT("000"&amp;Q103,4))</f>
        <v/>
      </c>
      <c r="B103" s="61" t="n"/>
      <c r="C103" s="60" t="n"/>
      <c r="D103" s="62" t="str">
        <f>IF(C103="","",IFERROR(INDEX(cli_name,MATCH(C103,cli_code,0))&amp;"","Client inconnu"))</f>
        <v/>
      </c>
      <c r="E103" s="63" t="n"/>
      <c r="F103" s="61" t="n"/>
      <c r="G103" s="60" t="n"/>
      <c r="H103" s="64" t="str">
        <f>IF(A103="","",IF(ISNUMBER(F103),F103,O103+N(p_validity)))</f>
        <v/>
      </c>
      <c r="I103" s="65" t="str">
        <f>IF(A103="","",SUMIF(dl_doc,A103,dl_ht))</f>
        <v/>
      </c>
      <c r="J103" s="65" t="str">
        <f>IF(A103="","",IF(INDEX(p_rates,1)="",0,ROUND(SUMIFS(dl_ht,dl_doc,A103,dl_rate,INDEX(p_rates,1))*INDEX(p_rates,1),2))+IF(INDEX(p_rates,2)="",0,ROUND(SUMIFS(dl_ht,dl_doc,A103,dl_rate,INDEX(p_rates,2))*INDEX(p_rates,2),2))+IF(INDEX(p_rates,3)="",0,ROUND(SUMIFS(dl_ht,dl_doc,A103,dl_rate,INDEX(p_rates,3))*INDEX(p_rates,3),2))+IF(INDEX(p_rates,4)="",0,ROUND(SUMIFS(dl_ht,dl_doc,A103,dl_rate,INDEX(p_rates,4))*INDEX(p_rates,4),2))+IF(INDEX(p_rates,5)="",0,ROUND(SUMIFS(dl_ht,dl_doc,A103,dl_rate,INDEX(p_rates,5))*INDEX(p_rates,5),2))+IF(INDEX(p_rates,6)="",0,ROUND(SUMIFS(dl_ht,dl_doc,A103,dl_rate,INDEX(p_rates,6))*INDEX(p_rates,6),2)))</f>
        <v/>
      </c>
      <c r="K103" s="65" t="str">
        <f>IF(A103="","",I103+J103)</f>
        <v/>
      </c>
      <c r="L103" s="59" t="str">
        <f>IF(A103="","",IFERROR(INDEX(fa_num,MATCH(A103,fa_dvkey,0))&amp;"",""))</f>
        <v/>
      </c>
      <c r="M103" s="59" t="str">
        <f>IF(A103="","",IF(G103="Annulé","Annulé",IF(L103&lt;&gt;"","Facturé",IF(G103="Accepté","Accepté",IF(G103="Refusé","Refusé",IF(p_asof&gt;H103,"Expiré","En attente"))))))</f>
        <v/>
      </c>
      <c r="N103" s="59" t="str">
        <f>IF(COUNTA(B103:C103,E103:G103)=0,"",IF(B103="","Date manquante",IF(NOT(ISNUMBER(B103)),"Date invalide",IF(C103="","Client manquant",IF(ISNA(MATCH(C103,cli_code,0)),"Client inconnu",IF(O103&lt;MAX($O$6:O102),"Date antérieure au devis précédent",IF(AND(ISNUMBER(F103),F103&lt;O103),"Validité antérieure à la date du devis",IF(AND(R103=0,G103&lt;&gt;"Annulé"),"Aucune ligne (feuille Lignes de devis)",IF(COUNTIFS(dl_doc,A103,dl_check,"&lt;&gt;OK")&gt;0,"Ligne(s) à corriger",IF(AND(L103&lt;&gt;"",OR(G103="Refusé",G103="Annulé")),"Devis refusé ou annulé mais facturé","OK"))))))))))</f>
        <v/>
      </c>
      <c r="O103" s="62">
        <f>IF(ISNUMBER(B103),B103,0)</f>
        <v>0.0</v>
      </c>
      <c r="P103" s="62" t="str">
        <f>IF(O103=0,"",YEAR(O103))</f>
        <v/>
      </c>
      <c r="Q103" s="62" t="str">
        <f>IF(P103="","",COUNTIF($P$6:P103,P103))</f>
        <v/>
      </c>
      <c r="R103" s="62">
        <f>IF(A103="",0,COUNTIF(dl_doc,A103))</f>
        <v>0.0</v>
      </c>
    </row>
    <row r="104">
      <c r="A104" s="59" t="str">
        <f>IF(Q104="","",p_pdv&amp;"-"&amp;P104&amp;"-"&amp;RIGHT("000"&amp;Q104,4))</f>
        <v/>
      </c>
      <c r="B104" s="61" t="n"/>
      <c r="C104" s="60" t="n"/>
      <c r="D104" s="62" t="str">
        <f>IF(C104="","",IFERROR(INDEX(cli_name,MATCH(C104,cli_code,0))&amp;"","Client inconnu"))</f>
        <v/>
      </c>
      <c r="E104" s="63" t="n"/>
      <c r="F104" s="61" t="n"/>
      <c r="G104" s="60" t="n"/>
      <c r="H104" s="64" t="str">
        <f>IF(A104="","",IF(ISNUMBER(F104),F104,O104+N(p_validity)))</f>
        <v/>
      </c>
      <c r="I104" s="65" t="str">
        <f>IF(A104="","",SUMIF(dl_doc,A104,dl_ht))</f>
        <v/>
      </c>
      <c r="J104" s="65" t="str">
        <f>IF(A104="","",IF(INDEX(p_rates,1)="",0,ROUND(SUMIFS(dl_ht,dl_doc,A104,dl_rate,INDEX(p_rates,1))*INDEX(p_rates,1),2))+IF(INDEX(p_rates,2)="",0,ROUND(SUMIFS(dl_ht,dl_doc,A104,dl_rate,INDEX(p_rates,2))*INDEX(p_rates,2),2))+IF(INDEX(p_rates,3)="",0,ROUND(SUMIFS(dl_ht,dl_doc,A104,dl_rate,INDEX(p_rates,3))*INDEX(p_rates,3),2))+IF(INDEX(p_rates,4)="",0,ROUND(SUMIFS(dl_ht,dl_doc,A104,dl_rate,INDEX(p_rates,4))*INDEX(p_rates,4),2))+IF(INDEX(p_rates,5)="",0,ROUND(SUMIFS(dl_ht,dl_doc,A104,dl_rate,INDEX(p_rates,5))*INDEX(p_rates,5),2))+IF(INDEX(p_rates,6)="",0,ROUND(SUMIFS(dl_ht,dl_doc,A104,dl_rate,INDEX(p_rates,6))*INDEX(p_rates,6),2)))</f>
        <v/>
      </c>
      <c r="K104" s="65" t="str">
        <f>IF(A104="","",I104+J104)</f>
        <v/>
      </c>
      <c r="L104" s="59" t="str">
        <f>IF(A104="","",IFERROR(INDEX(fa_num,MATCH(A104,fa_dvkey,0))&amp;"",""))</f>
        <v/>
      </c>
      <c r="M104" s="59" t="str">
        <f>IF(A104="","",IF(G104="Annulé","Annulé",IF(L104&lt;&gt;"","Facturé",IF(G104="Accepté","Accepté",IF(G104="Refusé","Refusé",IF(p_asof&gt;H104,"Expiré","En attente"))))))</f>
        <v/>
      </c>
      <c r="N104" s="59" t="str">
        <f>IF(COUNTA(B104:C104,E104:G104)=0,"",IF(B104="","Date manquante",IF(NOT(ISNUMBER(B104)),"Date invalide",IF(C104="","Client manquant",IF(ISNA(MATCH(C104,cli_code,0)),"Client inconnu",IF(O104&lt;MAX($O$6:O103),"Date antérieure au devis précédent",IF(AND(ISNUMBER(F104),F104&lt;O104),"Validité antérieure à la date du devis",IF(AND(R104=0,G104&lt;&gt;"Annulé"),"Aucune ligne (feuille Lignes de devis)",IF(COUNTIFS(dl_doc,A104,dl_check,"&lt;&gt;OK")&gt;0,"Ligne(s) à corriger",IF(AND(L104&lt;&gt;"",OR(G104="Refusé",G104="Annulé")),"Devis refusé ou annulé mais facturé","OK"))))))))))</f>
        <v/>
      </c>
      <c r="O104" s="62">
        <f>IF(ISNUMBER(B104),B104,0)</f>
        <v>0.0</v>
      </c>
      <c r="P104" s="62" t="str">
        <f>IF(O104=0,"",YEAR(O104))</f>
        <v/>
      </c>
      <c r="Q104" s="62" t="str">
        <f>IF(P104="","",COUNTIF($P$6:P104,P104))</f>
        <v/>
      </c>
      <c r="R104" s="62">
        <f>IF(A104="",0,COUNTIF(dl_doc,A104))</f>
        <v>0.0</v>
      </c>
    </row>
    <row r="105">
      <c r="A105" s="59" t="str">
        <f>IF(Q105="","",p_pdv&amp;"-"&amp;P105&amp;"-"&amp;RIGHT("000"&amp;Q105,4))</f>
        <v/>
      </c>
      <c r="B105" s="61" t="n"/>
      <c r="C105" s="60" t="n"/>
      <c r="D105" s="62" t="str">
        <f>IF(C105="","",IFERROR(INDEX(cli_name,MATCH(C105,cli_code,0))&amp;"","Client inconnu"))</f>
        <v/>
      </c>
      <c r="E105" s="63" t="n"/>
      <c r="F105" s="61" t="n"/>
      <c r="G105" s="60" t="n"/>
      <c r="H105" s="64" t="str">
        <f>IF(A105="","",IF(ISNUMBER(F105),F105,O105+N(p_validity)))</f>
        <v/>
      </c>
      <c r="I105" s="65" t="str">
        <f>IF(A105="","",SUMIF(dl_doc,A105,dl_ht))</f>
        <v/>
      </c>
      <c r="J105" s="65" t="str">
        <f>IF(A105="","",IF(INDEX(p_rates,1)="",0,ROUND(SUMIFS(dl_ht,dl_doc,A105,dl_rate,INDEX(p_rates,1))*INDEX(p_rates,1),2))+IF(INDEX(p_rates,2)="",0,ROUND(SUMIFS(dl_ht,dl_doc,A105,dl_rate,INDEX(p_rates,2))*INDEX(p_rates,2),2))+IF(INDEX(p_rates,3)="",0,ROUND(SUMIFS(dl_ht,dl_doc,A105,dl_rate,INDEX(p_rates,3))*INDEX(p_rates,3),2))+IF(INDEX(p_rates,4)="",0,ROUND(SUMIFS(dl_ht,dl_doc,A105,dl_rate,INDEX(p_rates,4))*INDEX(p_rates,4),2))+IF(INDEX(p_rates,5)="",0,ROUND(SUMIFS(dl_ht,dl_doc,A105,dl_rate,INDEX(p_rates,5))*INDEX(p_rates,5),2))+IF(INDEX(p_rates,6)="",0,ROUND(SUMIFS(dl_ht,dl_doc,A105,dl_rate,INDEX(p_rates,6))*INDEX(p_rates,6),2)))</f>
        <v/>
      </c>
      <c r="K105" s="65" t="str">
        <f>IF(A105="","",I105+J105)</f>
        <v/>
      </c>
      <c r="L105" s="59" t="str">
        <f>IF(A105="","",IFERROR(INDEX(fa_num,MATCH(A105,fa_dvkey,0))&amp;"",""))</f>
        <v/>
      </c>
      <c r="M105" s="59" t="str">
        <f>IF(A105="","",IF(G105="Annulé","Annulé",IF(L105&lt;&gt;"","Facturé",IF(G105="Accepté","Accepté",IF(G105="Refusé","Refusé",IF(p_asof&gt;H105,"Expiré","En attente"))))))</f>
        <v/>
      </c>
      <c r="N105" s="59" t="str">
        <f>IF(COUNTA(B105:C105,E105:G105)=0,"",IF(B105="","Date manquante",IF(NOT(ISNUMBER(B105)),"Date invalide",IF(C105="","Client manquant",IF(ISNA(MATCH(C105,cli_code,0)),"Client inconnu",IF(O105&lt;MAX($O$6:O104),"Date antérieure au devis précédent",IF(AND(ISNUMBER(F105),F105&lt;O105),"Validité antérieure à la date du devis",IF(AND(R105=0,G105&lt;&gt;"Annulé"),"Aucune ligne (feuille Lignes de devis)",IF(COUNTIFS(dl_doc,A105,dl_check,"&lt;&gt;OK")&gt;0,"Ligne(s) à corriger",IF(AND(L105&lt;&gt;"",OR(G105="Refusé",G105="Annulé")),"Devis refusé ou annulé mais facturé","OK"))))))))))</f>
        <v/>
      </c>
      <c r="O105" s="62">
        <f>IF(ISNUMBER(B105),B105,0)</f>
        <v>0.0</v>
      </c>
      <c r="P105" s="62" t="str">
        <f>IF(O105=0,"",YEAR(O105))</f>
        <v/>
      </c>
      <c r="Q105" s="62" t="str">
        <f>IF(P105="","",COUNTIF($P$6:P105,P105))</f>
        <v/>
      </c>
      <c r="R105" s="62">
        <f>IF(A105="",0,COUNTIF(dl_doc,A105))</f>
        <v>0.0</v>
      </c>
    </row>
    <row r="106">
      <c r="A106" s="59" t="str">
        <f>IF(Q106="","",p_pdv&amp;"-"&amp;P106&amp;"-"&amp;RIGHT("000"&amp;Q106,4))</f>
        <v/>
      </c>
      <c r="B106" s="61" t="n"/>
      <c r="C106" s="60" t="n"/>
      <c r="D106" s="62" t="str">
        <f>IF(C106="","",IFERROR(INDEX(cli_name,MATCH(C106,cli_code,0))&amp;"","Client inconnu"))</f>
        <v/>
      </c>
      <c r="E106" s="63" t="n"/>
      <c r="F106" s="61" t="n"/>
      <c r="G106" s="60" t="n"/>
      <c r="H106" s="64" t="str">
        <f>IF(A106="","",IF(ISNUMBER(F106),F106,O106+N(p_validity)))</f>
        <v/>
      </c>
      <c r="I106" s="65" t="str">
        <f>IF(A106="","",SUMIF(dl_doc,A106,dl_ht))</f>
        <v/>
      </c>
      <c r="J106" s="65" t="str">
        <f>IF(A106="","",IF(INDEX(p_rates,1)="",0,ROUND(SUMIFS(dl_ht,dl_doc,A106,dl_rate,INDEX(p_rates,1))*INDEX(p_rates,1),2))+IF(INDEX(p_rates,2)="",0,ROUND(SUMIFS(dl_ht,dl_doc,A106,dl_rate,INDEX(p_rates,2))*INDEX(p_rates,2),2))+IF(INDEX(p_rates,3)="",0,ROUND(SUMIFS(dl_ht,dl_doc,A106,dl_rate,INDEX(p_rates,3))*INDEX(p_rates,3),2))+IF(INDEX(p_rates,4)="",0,ROUND(SUMIFS(dl_ht,dl_doc,A106,dl_rate,INDEX(p_rates,4))*INDEX(p_rates,4),2))+IF(INDEX(p_rates,5)="",0,ROUND(SUMIFS(dl_ht,dl_doc,A106,dl_rate,INDEX(p_rates,5))*INDEX(p_rates,5),2))+IF(INDEX(p_rates,6)="",0,ROUND(SUMIFS(dl_ht,dl_doc,A106,dl_rate,INDEX(p_rates,6))*INDEX(p_rates,6),2)))</f>
        <v/>
      </c>
      <c r="K106" s="65" t="str">
        <f>IF(A106="","",I106+J106)</f>
        <v/>
      </c>
      <c r="L106" s="59" t="str">
        <f>IF(A106="","",IFERROR(INDEX(fa_num,MATCH(A106,fa_dvkey,0))&amp;"",""))</f>
        <v/>
      </c>
      <c r="M106" s="59" t="str">
        <f>IF(A106="","",IF(G106="Annulé","Annulé",IF(L106&lt;&gt;"","Facturé",IF(G106="Accepté","Accepté",IF(G106="Refusé","Refusé",IF(p_asof&gt;H106,"Expiré","En attente"))))))</f>
        <v/>
      </c>
      <c r="N106" s="59" t="str">
        <f>IF(COUNTA(B106:C106,E106:G106)=0,"",IF(B106="","Date manquante",IF(NOT(ISNUMBER(B106)),"Date invalide",IF(C106="","Client manquant",IF(ISNA(MATCH(C106,cli_code,0)),"Client inconnu",IF(O106&lt;MAX($O$6:O105),"Date antérieure au devis précédent",IF(AND(ISNUMBER(F106),F106&lt;O106),"Validité antérieure à la date du devis",IF(AND(R106=0,G106&lt;&gt;"Annulé"),"Aucune ligne (feuille Lignes de devis)",IF(COUNTIFS(dl_doc,A106,dl_check,"&lt;&gt;OK")&gt;0,"Ligne(s) à corriger",IF(AND(L106&lt;&gt;"",OR(G106="Refusé",G106="Annulé")),"Devis refusé ou annulé mais facturé","OK"))))))))))</f>
        <v/>
      </c>
      <c r="O106" s="62">
        <f>IF(ISNUMBER(B106),B106,0)</f>
        <v>0.0</v>
      </c>
      <c r="P106" s="62" t="str">
        <f>IF(O106=0,"",YEAR(O106))</f>
        <v/>
      </c>
      <c r="Q106" s="62" t="str">
        <f>IF(P106="","",COUNTIF($P$6:P106,P106))</f>
        <v/>
      </c>
      <c r="R106" s="62">
        <f>IF(A106="",0,COUNTIF(dl_doc,A106))</f>
        <v>0.0</v>
      </c>
    </row>
    <row r="107">
      <c r="A107" s="59" t="str">
        <f>IF(Q107="","",p_pdv&amp;"-"&amp;P107&amp;"-"&amp;RIGHT("000"&amp;Q107,4))</f>
        <v/>
      </c>
      <c r="B107" s="61" t="n"/>
      <c r="C107" s="60" t="n"/>
      <c r="D107" s="62" t="str">
        <f>IF(C107="","",IFERROR(INDEX(cli_name,MATCH(C107,cli_code,0))&amp;"","Client inconnu"))</f>
        <v/>
      </c>
      <c r="E107" s="63" t="n"/>
      <c r="F107" s="61" t="n"/>
      <c r="G107" s="60" t="n"/>
      <c r="H107" s="64" t="str">
        <f>IF(A107="","",IF(ISNUMBER(F107),F107,O107+N(p_validity)))</f>
        <v/>
      </c>
      <c r="I107" s="65" t="str">
        <f>IF(A107="","",SUMIF(dl_doc,A107,dl_ht))</f>
        <v/>
      </c>
      <c r="J107" s="65" t="str">
        <f>IF(A107="","",IF(INDEX(p_rates,1)="",0,ROUND(SUMIFS(dl_ht,dl_doc,A107,dl_rate,INDEX(p_rates,1))*INDEX(p_rates,1),2))+IF(INDEX(p_rates,2)="",0,ROUND(SUMIFS(dl_ht,dl_doc,A107,dl_rate,INDEX(p_rates,2))*INDEX(p_rates,2),2))+IF(INDEX(p_rates,3)="",0,ROUND(SUMIFS(dl_ht,dl_doc,A107,dl_rate,INDEX(p_rates,3))*INDEX(p_rates,3),2))+IF(INDEX(p_rates,4)="",0,ROUND(SUMIFS(dl_ht,dl_doc,A107,dl_rate,INDEX(p_rates,4))*INDEX(p_rates,4),2))+IF(INDEX(p_rates,5)="",0,ROUND(SUMIFS(dl_ht,dl_doc,A107,dl_rate,INDEX(p_rates,5))*INDEX(p_rates,5),2))+IF(INDEX(p_rates,6)="",0,ROUND(SUMIFS(dl_ht,dl_doc,A107,dl_rate,INDEX(p_rates,6))*INDEX(p_rates,6),2)))</f>
        <v/>
      </c>
      <c r="K107" s="65" t="str">
        <f>IF(A107="","",I107+J107)</f>
        <v/>
      </c>
      <c r="L107" s="59" t="str">
        <f>IF(A107="","",IFERROR(INDEX(fa_num,MATCH(A107,fa_dvkey,0))&amp;"",""))</f>
        <v/>
      </c>
      <c r="M107" s="59" t="str">
        <f>IF(A107="","",IF(G107="Annulé","Annulé",IF(L107&lt;&gt;"","Facturé",IF(G107="Accepté","Accepté",IF(G107="Refusé","Refusé",IF(p_asof&gt;H107,"Expiré","En attente"))))))</f>
        <v/>
      </c>
      <c r="N107" s="59" t="str">
        <f>IF(COUNTA(B107:C107,E107:G107)=0,"",IF(B107="","Date manquante",IF(NOT(ISNUMBER(B107)),"Date invalide",IF(C107="","Client manquant",IF(ISNA(MATCH(C107,cli_code,0)),"Client inconnu",IF(O107&lt;MAX($O$6:O106),"Date antérieure au devis précédent",IF(AND(ISNUMBER(F107),F107&lt;O107),"Validité antérieure à la date du devis",IF(AND(R107=0,G107&lt;&gt;"Annulé"),"Aucune ligne (feuille Lignes de devis)",IF(COUNTIFS(dl_doc,A107,dl_check,"&lt;&gt;OK")&gt;0,"Ligne(s) à corriger",IF(AND(L107&lt;&gt;"",OR(G107="Refusé",G107="Annulé")),"Devis refusé ou annulé mais facturé","OK"))))))))))</f>
        <v/>
      </c>
      <c r="O107" s="62">
        <f>IF(ISNUMBER(B107),B107,0)</f>
        <v>0.0</v>
      </c>
      <c r="P107" s="62" t="str">
        <f>IF(O107=0,"",YEAR(O107))</f>
        <v/>
      </c>
      <c r="Q107" s="62" t="str">
        <f>IF(P107="","",COUNTIF($P$6:P107,P107))</f>
        <v/>
      </c>
      <c r="R107" s="62">
        <f>IF(A107="",0,COUNTIF(dl_doc,A107))</f>
        <v>0.0</v>
      </c>
    </row>
    <row r="108">
      <c r="A108" s="59" t="str">
        <f>IF(Q108="","",p_pdv&amp;"-"&amp;P108&amp;"-"&amp;RIGHT("000"&amp;Q108,4))</f>
        <v/>
      </c>
      <c r="B108" s="61" t="n"/>
      <c r="C108" s="60" t="n"/>
      <c r="D108" s="62" t="str">
        <f>IF(C108="","",IFERROR(INDEX(cli_name,MATCH(C108,cli_code,0))&amp;"","Client inconnu"))</f>
        <v/>
      </c>
      <c r="E108" s="63" t="n"/>
      <c r="F108" s="61" t="n"/>
      <c r="G108" s="60" t="n"/>
      <c r="H108" s="64" t="str">
        <f>IF(A108="","",IF(ISNUMBER(F108),F108,O108+N(p_validity)))</f>
        <v/>
      </c>
      <c r="I108" s="65" t="str">
        <f>IF(A108="","",SUMIF(dl_doc,A108,dl_ht))</f>
        <v/>
      </c>
      <c r="J108" s="65" t="str">
        <f>IF(A108="","",IF(INDEX(p_rates,1)="",0,ROUND(SUMIFS(dl_ht,dl_doc,A108,dl_rate,INDEX(p_rates,1))*INDEX(p_rates,1),2))+IF(INDEX(p_rates,2)="",0,ROUND(SUMIFS(dl_ht,dl_doc,A108,dl_rate,INDEX(p_rates,2))*INDEX(p_rates,2),2))+IF(INDEX(p_rates,3)="",0,ROUND(SUMIFS(dl_ht,dl_doc,A108,dl_rate,INDEX(p_rates,3))*INDEX(p_rates,3),2))+IF(INDEX(p_rates,4)="",0,ROUND(SUMIFS(dl_ht,dl_doc,A108,dl_rate,INDEX(p_rates,4))*INDEX(p_rates,4),2))+IF(INDEX(p_rates,5)="",0,ROUND(SUMIFS(dl_ht,dl_doc,A108,dl_rate,INDEX(p_rates,5))*INDEX(p_rates,5),2))+IF(INDEX(p_rates,6)="",0,ROUND(SUMIFS(dl_ht,dl_doc,A108,dl_rate,INDEX(p_rates,6))*INDEX(p_rates,6),2)))</f>
        <v/>
      </c>
      <c r="K108" s="65" t="str">
        <f>IF(A108="","",I108+J108)</f>
        <v/>
      </c>
      <c r="L108" s="59" t="str">
        <f>IF(A108="","",IFERROR(INDEX(fa_num,MATCH(A108,fa_dvkey,0))&amp;"",""))</f>
        <v/>
      </c>
      <c r="M108" s="59" t="str">
        <f>IF(A108="","",IF(G108="Annulé","Annulé",IF(L108&lt;&gt;"","Facturé",IF(G108="Accepté","Accepté",IF(G108="Refusé","Refusé",IF(p_asof&gt;H108,"Expiré","En attente"))))))</f>
        <v/>
      </c>
      <c r="N108" s="59" t="str">
        <f>IF(COUNTA(B108:C108,E108:G108)=0,"",IF(B108="","Date manquante",IF(NOT(ISNUMBER(B108)),"Date invalide",IF(C108="","Client manquant",IF(ISNA(MATCH(C108,cli_code,0)),"Client inconnu",IF(O108&lt;MAX($O$6:O107),"Date antérieure au devis précédent",IF(AND(ISNUMBER(F108),F108&lt;O108),"Validité antérieure à la date du devis",IF(AND(R108=0,G108&lt;&gt;"Annulé"),"Aucune ligne (feuille Lignes de devis)",IF(COUNTIFS(dl_doc,A108,dl_check,"&lt;&gt;OK")&gt;0,"Ligne(s) à corriger",IF(AND(L108&lt;&gt;"",OR(G108="Refusé",G108="Annulé")),"Devis refusé ou annulé mais facturé","OK"))))))))))</f>
        <v/>
      </c>
      <c r="O108" s="62">
        <f>IF(ISNUMBER(B108),B108,0)</f>
        <v>0.0</v>
      </c>
      <c r="P108" s="62" t="str">
        <f>IF(O108=0,"",YEAR(O108))</f>
        <v/>
      </c>
      <c r="Q108" s="62" t="str">
        <f>IF(P108="","",COUNTIF($P$6:P108,P108))</f>
        <v/>
      </c>
      <c r="R108" s="62">
        <f>IF(A108="",0,COUNTIF(dl_doc,A108))</f>
        <v>0.0</v>
      </c>
    </row>
    <row r="109">
      <c r="A109" s="59" t="str">
        <f>IF(Q109="","",p_pdv&amp;"-"&amp;P109&amp;"-"&amp;RIGHT("000"&amp;Q109,4))</f>
        <v/>
      </c>
      <c r="B109" s="61" t="n"/>
      <c r="C109" s="60" t="n"/>
      <c r="D109" s="62" t="str">
        <f>IF(C109="","",IFERROR(INDEX(cli_name,MATCH(C109,cli_code,0))&amp;"","Client inconnu"))</f>
        <v/>
      </c>
      <c r="E109" s="63" t="n"/>
      <c r="F109" s="61" t="n"/>
      <c r="G109" s="60" t="n"/>
      <c r="H109" s="64" t="str">
        <f>IF(A109="","",IF(ISNUMBER(F109),F109,O109+N(p_validity)))</f>
        <v/>
      </c>
      <c r="I109" s="65" t="str">
        <f>IF(A109="","",SUMIF(dl_doc,A109,dl_ht))</f>
        <v/>
      </c>
      <c r="J109" s="65" t="str">
        <f>IF(A109="","",IF(INDEX(p_rates,1)="",0,ROUND(SUMIFS(dl_ht,dl_doc,A109,dl_rate,INDEX(p_rates,1))*INDEX(p_rates,1),2))+IF(INDEX(p_rates,2)="",0,ROUND(SUMIFS(dl_ht,dl_doc,A109,dl_rate,INDEX(p_rates,2))*INDEX(p_rates,2),2))+IF(INDEX(p_rates,3)="",0,ROUND(SUMIFS(dl_ht,dl_doc,A109,dl_rate,INDEX(p_rates,3))*INDEX(p_rates,3),2))+IF(INDEX(p_rates,4)="",0,ROUND(SUMIFS(dl_ht,dl_doc,A109,dl_rate,INDEX(p_rates,4))*INDEX(p_rates,4),2))+IF(INDEX(p_rates,5)="",0,ROUND(SUMIFS(dl_ht,dl_doc,A109,dl_rate,INDEX(p_rates,5))*INDEX(p_rates,5),2))+IF(INDEX(p_rates,6)="",0,ROUND(SUMIFS(dl_ht,dl_doc,A109,dl_rate,INDEX(p_rates,6))*INDEX(p_rates,6),2)))</f>
        <v/>
      </c>
      <c r="K109" s="65" t="str">
        <f>IF(A109="","",I109+J109)</f>
        <v/>
      </c>
      <c r="L109" s="59" t="str">
        <f>IF(A109="","",IFERROR(INDEX(fa_num,MATCH(A109,fa_dvkey,0))&amp;"",""))</f>
        <v/>
      </c>
      <c r="M109" s="59" t="str">
        <f>IF(A109="","",IF(G109="Annulé","Annulé",IF(L109&lt;&gt;"","Facturé",IF(G109="Accepté","Accepté",IF(G109="Refusé","Refusé",IF(p_asof&gt;H109,"Expiré","En attente"))))))</f>
        <v/>
      </c>
      <c r="N109" s="59" t="str">
        <f>IF(COUNTA(B109:C109,E109:G109)=0,"",IF(B109="","Date manquante",IF(NOT(ISNUMBER(B109)),"Date invalide",IF(C109="","Client manquant",IF(ISNA(MATCH(C109,cli_code,0)),"Client inconnu",IF(O109&lt;MAX($O$6:O108),"Date antérieure au devis précédent",IF(AND(ISNUMBER(F109),F109&lt;O109),"Validité antérieure à la date du devis",IF(AND(R109=0,G109&lt;&gt;"Annulé"),"Aucune ligne (feuille Lignes de devis)",IF(COUNTIFS(dl_doc,A109,dl_check,"&lt;&gt;OK")&gt;0,"Ligne(s) à corriger",IF(AND(L109&lt;&gt;"",OR(G109="Refusé",G109="Annulé")),"Devis refusé ou annulé mais facturé","OK"))))))))))</f>
        <v/>
      </c>
      <c r="O109" s="62">
        <f>IF(ISNUMBER(B109),B109,0)</f>
        <v>0.0</v>
      </c>
      <c r="P109" s="62" t="str">
        <f>IF(O109=0,"",YEAR(O109))</f>
        <v/>
      </c>
      <c r="Q109" s="62" t="str">
        <f>IF(P109="","",COUNTIF($P$6:P109,P109))</f>
        <v/>
      </c>
      <c r="R109" s="62">
        <f>IF(A109="",0,COUNTIF(dl_doc,A109))</f>
        <v>0.0</v>
      </c>
    </row>
    <row r="110">
      <c r="A110" s="59" t="str">
        <f>IF(Q110="","",p_pdv&amp;"-"&amp;P110&amp;"-"&amp;RIGHT("000"&amp;Q110,4))</f>
        <v/>
      </c>
      <c r="B110" s="61" t="n"/>
      <c r="C110" s="60" t="n"/>
      <c r="D110" s="62" t="str">
        <f>IF(C110="","",IFERROR(INDEX(cli_name,MATCH(C110,cli_code,0))&amp;"","Client inconnu"))</f>
        <v/>
      </c>
      <c r="E110" s="63" t="n"/>
      <c r="F110" s="61" t="n"/>
      <c r="G110" s="60" t="n"/>
      <c r="H110" s="64" t="str">
        <f>IF(A110="","",IF(ISNUMBER(F110),F110,O110+N(p_validity)))</f>
        <v/>
      </c>
      <c r="I110" s="65" t="str">
        <f>IF(A110="","",SUMIF(dl_doc,A110,dl_ht))</f>
        <v/>
      </c>
      <c r="J110" s="65" t="str">
        <f>IF(A110="","",IF(INDEX(p_rates,1)="",0,ROUND(SUMIFS(dl_ht,dl_doc,A110,dl_rate,INDEX(p_rates,1))*INDEX(p_rates,1),2))+IF(INDEX(p_rates,2)="",0,ROUND(SUMIFS(dl_ht,dl_doc,A110,dl_rate,INDEX(p_rates,2))*INDEX(p_rates,2),2))+IF(INDEX(p_rates,3)="",0,ROUND(SUMIFS(dl_ht,dl_doc,A110,dl_rate,INDEX(p_rates,3))*INDEX(p_rates,3),2))+IF(INDEX(p_rates,4)="",0,ROUND(SUMIFS(dl_ht,dl_doc,A110,dl_rate,INDEX(p_rates,4))*INDEX(p_rates,4),2))+IF(INDEX(p_rates,5)="",0,ROUND(SUMIFS(dl_ht,dl_doc,A110,dl_rate,INDEX(p_rates,5))*INDEX(p_rates,5),2))+IF(INDEX(p_rates,6)="",0,ROUND(SUMIFS(dl_ht,dl_doc,A110,dl_rate,INDEX(p_rates,6))*INDEX(p_rates,6),2)))</f>
        <v/>
      </c>
      <c r="K110" s="65" t="str">
        <f>IF(A110="","",I110+J110)</f>
        <v/>
      </c>
      <c r="L110" s="59" t="str">
        <f>IF(A110="","",IFERROR(INDEX(fa_num,MATCH(A110,fa_dvkey,0))&amp;"",""))</f>
        <v/>
      </c>
      <c r="M110" s="59" t="str">
        <f>IF(A110="","",IF(G110="Annulé","Annulé",IF(L110&lt;&gt;"","Facturé",IF(G110="Accepté","Accepté",IF(G110="Refusé","Refusé",IF(p_asof&gt;H110,"Expiré","En attente"))))))</f>
        <v/>
      </c>
      <c r="N110" s="59" t="str">
        <f>IF(COUNTA(B110:C110,E110:G110)=0,"",IF(B110="","Date manquante",IF(NOT(ISNUMBER(B110)),"Date invalide",IF(C110="","Client manquant",IF(ISNA(MATCH(C110,cli_code,0)),"Client inconnu",IF(O110&lt;MAX($O$6:O109),"Date antérieure au devis précédent",IF(AND(ISNUMBER(F110),F110&lt;O110),"Validité antérieure à la date du devis",IF(AND(R110=0,G110&lt;&gt;"Annulé"),"Aucune ligne (feuille Lignes de devis)",IF(COUNTIFS(dl_doc,A110,dl_check,"&lt;&gt;OK")&gt;0,"Ligne(s) à corriger",IF(AND(L110&lt;&gt;"",OR(G110="Refusé",G110="Annulé")),"Devis refusé ou annulé mais facturé","OK"))))))))))</f>
        <v/>
      </c>
      <c r="O110" s="62">
        <f>IF(ISNUMBER(B110),B110,0)</f>
        <v>0.0</v>
      </c>
      <c r="P110" s="62" t="str">
        <f>IF(O110=0,"",YEAR(O110))</f>
        <v/>
      </c>
      <c r="Q110" s="62" t="str">
        <f>IF(P110="","",COUNTIF($P$6:P110,P110))</f>
        <v/>
      </c>
      <c r="R110" s="62">
        <f>IF(A110="",0,COUNTIF(dl_doc,A110))</f>
        <v>0.0</v>
      </c>
    </row>
    <row r="111">
      <c r="A111" s="59" t="str">
        <f>IF(Q111="","",p_pdv&amp;"-"&amp;P111&amp;"-"&amp;RIGHT("000"&amp;Q111,4))</f>
        <v/>
      </c>
      <c r="B111" s="61" t="n"/>
      <c r="C111" s="60" t="n"/>
      <c r="D111" s="62" t="str">
        <f>IF(C111="","",IFERROR(INDEX(cli_name,MATCH(C111,cli_code,0))&amp;"","Client inconnu"))</f>
        <v/>
      </c>
      <c r="E111" s="63" t="n"/>
      <c r="F111" s="61" t="n"/>
      <c r="G111" s="60" t="n"/>
      <c r="H111" s="64" t="str">
        <f>IF(A111="","",IF(ISNUMBER(F111),F111,O111+N(p_validity)))</f>
        <v/>
      </c>
      <c r="I111" s="65" t="str">
        <f>IF(A111="","",SUMIF(dl_doc,A111,dl_ht))</f>
        <v/>
      </c>
      <c r="J111" s="65" t="str">
        <f>IF(A111="","",IF(INDEX(p_rates,1)="",0,ROUND(SUMIFS(dl_ht,dl_doc,A111,dl_rate,INDEX(p_rates,1))*INDEX(p_rates,1),2))+IF(INDEX(p_rates,2)="",0,ROUND(SUMIFS(dl_ht,dl_doc,A111,dl_rate,INDEX(p_rates,2))*INDEX(p_rates,2),2))+IF(INDEX(p_rates,3)="",0,ROUND(SUMIFS(dl_ht,dl_doc,A111,dl_rate,INDEX(p_rates,3))*INDEX(p_rates,3),2))+IF(INDEX(p_rates,4)="",0,ROUND(SUMIFS(dl_ht,dl_doc,A111,dl_rate,INDEX(p_rates,4))*INDEX(p_rates,4),2))+IF(INDEX(p_rates,5)="",0,ROUND(SUMIFS(dl_ht,dl_doc,A111,dl_rate,INDEX(p_rates,5))*INDEX(p_rates,5),2))+IF(INDEX(p_rates,6)="",0,ROUND(SUMIFS(dl_ht,dl_doc,A111,dl_rate,INDEX(p_rates,6))*INDEX(p_rates,6),2)))</f>
        <v/>
      </c>
      <c r="K111" s="65" t="str">
        <f>IF(A111="","",I111+J111)</f>
        <v/>
      </c>
      <c r="L111" s="59" t="str">
        <f>IF(A111="","",IFERROR(INDEX(fa_num,MATCH(A111,fa_dvkey,0))&amp;"",""))</f>
        <v/>
      </c>
      <c r="M111" s="59" t="str">
        <f>IF(A111="","",IF(G111="Annulé","Annulé",IF(L111&lt;&gt;"","Facturé",IF(G111="Accepté","Accepté",IF(G111="Refusé","Refusé",IF(p_asof&gt;H111,"Expiré","En attente"))))))</f>
        <v/>
      </c>
      <c r="N111" s="59" t="str">
        <f>IF(COUNTA(B111:C111,E111:G111)=0,"",IF(B111="","Date manquante",IF(NOT(ISNUMBER(B111)),"Date invalide",IF(C111="","Client manquant",IF(ISNA(MATCH(C111,cli_code,0)),"Client inconnu",IF(O111&lt;MAX($O$6:O110),"Date antérieure au devis précédent",IF(AND(ISNUMBER(F111),F111&lt;O111),"Validité antérieure à la date du devis",IF(AND(R111=0,G111&lt;&gt;"Annulé"),"Aucune ligne (feuille Lignes de devis)",IF(COUNTIFS(dl_doc,A111,dl_check,"&lt;&gt;OK")&gt;0,"Ligne(s) à corriger",IF(AND(L111&lt;&gt;"",OR(G111="Refusé",G111="Annulé")),"Devis refusé ou annulé mais facturé","OK"))))))))))</f>
        <v/>
      </c>
      <c r="O111" s="62">
        <f>IF(ISNUMBER(B111),B111,0)</f>
        <v>0.0</v>
      </c>
      <c r="P111" s="62" t="str">
        <f>IF(O111=0,"",YEAR(O111))</f>
        <v/>
      </c>
      <c r="Q111" s="62" t="str">
        <f>IF(P111="","",COUNTIF($P$6:P111,P111))</f>
        <v/>
      </c>
      <c r="R111" s="62">
        <f>IF(A111="",0,COUNTIF(dl_doc,A111))</f>
        <v>0.0</v>
      </c>
    </row>
    <row r="112">
      <c r="A112" s="59" t="str">
        <f>IF(Q112="","",p_pdv&amp;"-"&amp;P112&amp;"-"&amp;RIGHT("000"&amp;Q112,4))</f>
        <v/>
      </c>
      <c r="B112" s="61" t="n"/>
      <c r="C112" s="60" t="n"/>
      <c r="D112" s="62" t="str">
        <f>IF(C112="","",IFERROR(INDEX(cli_name,MATCH(C112,cli_code,0))&amp;"","Client inconnu"))</f>
        <v/>
      </c>
      <c r="E112" s="63" t="n"/>
      <c r="F112" s="61" t="n"/>
      <c r="G112" s="60" t="n"/>
      <c r="H112" s="64" t="str">
        <f>IF(A112="","",IF(ISNUMBER(F112),F112,O112+N(p_validity)))</f>
        <v/>
      </c>
      <c r="I112" s="65" t="str">
        <f>IF(A112="","",SUMIF(dl_doc,A112,dl_ht))</f>
        <v/>
      </c>
      <c r="J112" s="65" t="str">
        <f>IF(A112="","",IF(INDEX(p_rates,1)="",0,ROUND(SUMIFS(dl_ht,dl_doc,A112,dl_rate,INDEX(p_rates,1))*INDEX(p_rates,1),2))+IF(INDEX(p_rates,2)="",0,ROUND(SUMIFS(dl_ht,dl_doc,A112,dl_rate,INDEX(p_rates,2))*INDEX(p_rates,2),2))+IF(INDEX(p_rates,3)="",0,ROUND(SUMIFS(dl_ht,dl_doc,A112,dl_rate,INDEX(p_rates,3))*INDEX(p_rates,3),2))+IF(INDEX(p_rates,4)="",0,ROUND(SUMIFS(dl_ht,dl_doc,A112,dl_rate,INDEX(p_rates,4))*INDEX(p_rates,4),2))+IF(INDEX(p_rates,5)="",0,ROUND(SUMIFS(dl_ht,dl_doc,A112,dl_rate,INDEX(p_rates,5))*INDEX(p_rates,5),2))+IF(INDEX(p_rates,6)="",0,ROUND(SUMIFS(dl_ht,dl_doc,A112,dl_rate,INDEX(p_rates,6))*INDEX(p_rates,6),2)))</f>
        <v/>
      </c>
      <c r="K112" s="65" t="str">
        <f>IF(A112="","",I112+J112)</f>
        <v/>
      </c>
      <c r="L112" s="59" t="str">
        <f>IF(A112="","",IFERROR(INDEX(fa_num,MATCH(A112,fa_dvkey,0))&amp;"",""))</f>
        <v/>
      </c>
      <c r="M112" s="59" t="str">
        <f>IF(A112="","",IF(G112="Annulé","Annulé",IF(L112&lt;&gt;"","Facturé",IF(G112="Accepté","Accepté",IF(G112="Refusé","Refusé",IF(p_asof&gt;H112,"Expiré","En attente"))))))</f>
        <v/>
      </c>
      <c r="N112" s="59" t="str">
        <f>IF(COUNTA(B112:C112,E112:G112)=0,"",IF(B112="","Date manquante",IF(NOT(ISNUMBER(B112)),"Date invalide",IF(C112="","Client manquant",IF(ISNA(MATCH(C112,cli_code,0)),"Client inconnu",IF(O112&lt;MAX($O$6:O111),"Date antérieure au devis précédent",IF(AND(ISNUMBER(F112),F112&lt;O112),"Validité antérieure à la date du devis",IF(AND(R112=0,G112&lt;&gt;"Annulé"),"Aucune ligne (feuille Lignes de devis)",IF(COUNTIFS(dl_doc,A112,dl_check,"&lt;&gt;OK")&gt;0,"Ligne(s) à corriger",IF(AND(L112&lt;&gt;"",OR(G112="Refusé",G112="Annulé")),"Devis refusé ou annulé mais facturé","OK"))))))))))</f>
        <v/>
      </c>
      <c r="O112" s="62">
        <f>IF(ISNUMBER(B112),B112,0)</f>
        <v>0.0</v>
      </c>
      <c r="P112" s="62" t="str">
        <f>IF(O112=0,"",YEAR(O112))</f>
        <v/>
      </c>
      <c r="Q112" s="62" t="str">
        <f>IF(P112="","",COUNTIF($P$6:P112,P112))</f>
        <v/>
      </c>
      <c r="R112" s="62">
        <f>IF(A112="",0,COUNTIF(dl_doc,A112))</f>
        <v>0.0</v>
      </c>
    </row>
    <row r="113">
      <c r="A113" s="59" t="str">
        <f>IF(Q113="","",p_pdv&amp;"-"&amp;P113&amp;"-"&amp;RIGHT("000"&amp;Q113,4))</f>
        <v/>
      </c>
      <c r="B113" s="61" t="n"/>
      <c r="C113" s="60" t="n"/>
      <c r="D113" s="62" t="str">
        <f>IF(C113="","",IFERROR(INDEX(cli_name,MATCH(C113,cli_code,0))&amp;"","Client inconnu"))</f>
        <v/>
      </c>
      <c r="E113" s="63" t="n"/>
      <c r="F113" s="61" t="n"/>
      <c r="G113" s="60" t="n"/>
      <c r="H113" s="64" t="str">
        <f>IF(A113="","",IF(ISNUMBER(F113),F113,O113+N(p_validity)))</f>
        <v/>
      </c>
      <c r="I113" s="65" t="str">
        <f>IF(A113="","",SUMIF(dl_doc,A113,dl_ht))</f>
        <v/>
      </c>
      <c r="J113" s="65" t="str">
        <f>IF(A113="","",IF(INDEX(p_rates,1)="",0,ROUND(SUMIFS(dl_ht,dl_doc,A113,dl_rate,INDEX(p_rates,1))*INDEX(p_rates,1),2))+IF(INDEX(p_rates,2)="",0,ROUND(SUMIFS(dl_ht,dl_doc,A113,dl_rate,INDEX(p_rates,2))*INDEX(p_rates,2),2))+IF(INDEX(p_rates,3)="",0,ROUND(SUMIFS(dl_ht,dl_doc,A113,dl_rate,INDEX(p_rates,3))*INDEX(p_rates,3),2))+IF(INDEX(p_rates,4)="",0,ROUND(SUMIFS(dl_ht,dl_doc,A113,dl_rate,INDEX(p_rates,4))*INDEX(p_rates,4),2))+IF(INDEX(p_rates,5)="",0,ROUND(SUMIFS(dl_ht,dl_doc,A113,dl_rate,INDEX(p_rates,5))*INDEX(p_rates,5),2))+IF(INDEX(p_rates,6)="",0,ROUND(SUMIFS(dl_ht,dl_doc,A113,dl_rate,INDEX(p_rates,6))*INDEX(p_rates,6),2)))</f>
        <v/>
      </c>
      <c r="K113" s="65" t="str">
        <f>IF(A113="","",I113+J113)</f>
        <v/>
      </c>
      <c r="L113" s="59" t="str">
        <f>IF(A113="","",IFERROR(INDEX(fa_num,MATCH(A113,fa_dvkey,0))&amp;"",""))</f>
        <v/>
      </c>
      <c r="M113" s="59" t="str">
        <f>IF(A113="","",IF(G113="Annulé","Annulé",IF(L113&lt;&gt;"","Facturé",IF(G113="Accepté","Accepté",IF(G113="Refusé","Refusé",IF(p_asof&gt;H113,"Expiré","En attente"))))))</f>
        <v/>
      </c>
      <c r="N113" s="59" t="str">
        <f>IF(COUNTA(B113:C113,E113:G113)=0,"",IF(B113="","Date manquante",IF(NOT(ISNUMBER(B113)),"Date invalide",IF(C113="","Client manquant",IF(ISNA(MATCH(C113,cli_code,0)),"Client inconnu",IF(O113&lt;MAX($O$6:O112),"Date antérieure au devis précédent",IF(AND(ISNUMBER(F113),F113&lt;O113),"Validité antérieure à la date du devis",IF(AND(R113=0,G113&lt;&gt;"Annulé"),"Aucune ligne (feuille Lignes de devis)",IF(COUNTIFS(dl_doc,A113,dl_check,"&lt;&gt;OK")&gt;0,"Ligne(s) à corriger",IF(AND(L113&lt;&gt;"",OR(G113="Refusé",G113="Annulé")),"Devis refusé ou annulé mais facturé","OK"))))))))))</f>
        <v/>
      </c>
      <c r="O113" s="62">
        <f>IF(ISNUMBER(B113),B113,0)</f>
        <v>0.0</v>
      </c>
      <c r="P113" s="62" t="str">
        <f>IF(O113=0,"",YEAR(O113))</f>
        <v/>
      </c>
      <c r="Q113" s="62" t="str">
        <f>IF(P113="","",COUNTIF($P$6:P113,P113))</f>
        <v/>
      </c>
      <c r="R113" s="62">
        <f>IF(A113="",0,COUNTIF(dl_doc,A113))</f>
        <v>0.0</v>
      </c>
    </row>
    <row r="114">
      <c r="A114" s="59" t="str">
        <f>IF(Q114="","",p_pdv&amp;"-"&amp;P114&amp;"-"&amp;RIGHT("000"&amp;Q114,4))</f>
        <v/>
      </c>
      <c r="B114" s="61" t="n"/>
      <c r="C114" s="60" t="n"/>
      <c r="D114" s="62" t="str">
        <f>IF(C114="","",IFERROR(INDEX(cli_name,MATCH(C114,cli_code,0))&amp;"","Client inconnu"))</f>
        <v/>
      </c>
      <c r="E114" s="63" t="n"/>
      <c r="F114" s="61" t="n"/>
      <c r="G114" s="60" t="n"/>
      <c r="H114" s="64" t="str">
        <f>IF(A114="","",IF(ISNUMBER(F114),F114,O114+N(p_validity)))</f>
        <v/>
      </c>
      <c r="I114" s="65" t="str">
        <f>IF(A114="","",SUMIF(dl_doc,A114,dl_ht))</f>
        <v/>
      </c>
      <c r="J114" s="65" t="str">
        <f>IF(A114="","",IF(INDEX(p_rates,1)="",0,ROUND(SUMIFS(dl_ht,dl_doc,A114,dl_rate,INDEX(p_rates,1))*INDEX(p_rates,1),2))+IF(INDEX(p_rates,2)="",0,ROUND(SUMIFS(dl_ht,dl_doc,A114,dl_rate,INDEX(p_rates,2))*INDEX(p_rates,2),2))+IF(INDEX(p_rates,3)="",0,ROUND(SUMIFS(dl_ht,dl_doc,A114,dl_rate,INDEX(p_rates,3))*INDEX(p_rates,3),2))+IF(INDEX(p_rates,4)="",0,ROUND(SUMIFS(dl_ht,dl_doc,A114,dl_rate,INDEX(p_rates,4))*INDEX(p_rates,4),2))+IF(INDEX(p_rates,5)="",0,ROUND(SUMIFS(dl_ht,dl_doc,A114,dl_rate,INDEX(p_rates,5))*INDEX(p_rates,5),2))+IF(INDEX(p_rates,6)="",0,ROUND(SUMIFS(dl_ht,dl_doc,A114,dl_rate,INDEX(p_rates,6))*INDEX(p_rates,6),2)))</f>
        <v/>
      </c>
      <c r="K114" s="65" t="str">
        <f>IF(A114="","",I114+J114)</f>
        <v/>
      </c>
      <c r="L114" s="59" t="str">
        <f>IF(A114="","",IFERROR(INDEX(fa_num,MATCH(A114,fa_dvkey,0))&amp;"",""))</f>
        <v/>
      </c>
      <c r="M114" s="59" t="str">
        <f>IF(A114="","",IF(G114="Annulé","Annulé",IF(L114&lt;&gt;"","Facturé",IF(G114="Accepté","Accepté",IF(G114="Refusé","Refusé",IF(p_asof&gt;H114,"Expiré","En attente"))))))</f>
        <v/>
      </c>
      <c r="N114" s="59" t="str">
        <f>IF(COUNTA(B114:C114,E114:G114)=0,"",IF(B114="","Date manquante",IF(NOT(ISNUMBER(B114)),"Date invalide",IF(C114="","Client manquant",IF(ISNA(MATCH(C114,cli_code,0)),"Client inconnu",IF(O114&lt;MAX($O$6:O113),"Date antérieure au devis précédent",IF(AND(ISNUMBER(F114),F114&lt;O114),"Validité antérieure à la date du devis",IF(AND(R114=0,G114&lt;&gt;"Annulé"),"Aucune ligne (feuille Lignes de devis)",IF(COUNTIFS(dl_doc,A114,dl_check,"&lt;&gt;OK")&gt;0,"Ligne(s) à corriger",IF(AND(L114&lt;&gt;"",OR(G114="Refusé",G114="Annulé")),"Devis refusé ou annulé mais facturé","OK"))))))))))</f>
        <v/>
      </c>
      <c r="O114" s="62">
        <f>IF(ISNUMBER(B114),B114,0)</f>
        <v>0.0</v>
      </c>
      <c r="P114" s="62" t="str">
        <f>IF(O114=0,"",YEAR(O114))</f>
        <v/>
      </c>
      <c r="Q114" s="62" t="str">
        <f>IF(P114="","",COUNTIF($P$6:P114,P114))</f>
        <v/>
      </c>
      <c r="R114" s="62">
        <f>IF(A114="",0,COUNTIF(dl_doc,A114))</f>
        <v>0.0</v>
      </c>
    </row>
    <row r="115">
      <c r="A115" s="59" t="str">
        <f>IF(Q115="","",p_pdv&amp;"-"&amp;P115&amp;"-"&amp;RIGHT("000"&amp;Q115,4))</f>
        <v/>
      </c>
      <c r="B115" s="61" t="n"/>
      <c r="C115" s="60" t="n"/>
      <c r="D115" s="62" t="str">
        <f>IF(C115="","",IFERROR(INDEX(cli_name,MATCH(C115,cli_code,0))&amp;"","Client inconnu"))</f>
        <v/>
      </c>
      <c r="E115" s="63" t="n"/>
      <c r="F115" s="61" t="n"/>
      <c r="G115" s="60" t="n"/>
      <c r="H115" s="64" t="str">
        <f>IF(A115="","",IF(ISNUMBER(F115),F115,O115+N(p_validity)))</f>
        <v/>
      </c>
      <c r="I115" s="65" t="str">
        <f>IF(A115="","",SUMIF(dl_doc,A115,dl_ht))</f>
        <v/>
      </c>
      <c r="J115" s="65" t="str">
        <f>IF(A115="","",IF(INDEX(p_rates,1)="",0,ROUND(SUMIFS(dl_ht,dl_doc,A115,dl_rate,INDEX(p_rates,1))*INDEX(p_rates,1),2))+IF(INDEX(p_rates,2)="",0,ROUND(SUMIFS(dl_ht,dl_doc,A115,dl_rate,INDEX(p_rates,2))*INDEX(p_rates,2),2))+IF(INDEX(p_rates,3)="",0,ROUND(SUMIFS(dl_ht,dl_doc,A115,dl_rate,INDEX(p_rates,3))*INDEX(p_rates,3),2))+IF(INDEX(p_rates,4)="",0,ROUND(SUMIFS(dl_ht,dl_doc,A115,dl_rate,INDEX(p_rates,4))*INDEX(p_rates,4),2))+IF(INDEX(p_rates,5)="",0,ROUND(SUMIFS(dl_ht,dl_doc,A115,dl_rate,INDEX(p_rates,5))*INDEX(p_rates,5),2))+IF(INDEX(p_rates,6)="",0,ROUND(SUMIFS(dl_ht,dl_doc,A115,dl_rate,INDEX(p_rates,6))*INDEX(p_rates,6),2)))</f>
        <v/>
      </c>
      <c r="K115" s="65" t="str">
        <f>IF(A115="","",I115+J115)</f>
        <v/>
      </c>
      <c r="L115" s="59" t="str">
        <f>IF(A115="","",IFERROR(INDEX(fa_num,MATCH(A115,fa_dvkey,0))&amp;"",""))</f>
        <v/>
      </c>
      <c r="M115" s="59" t="str">
        <f>IF(A115="","",IF(G115="Annulé","Annulé",IF(L115&lt;&gt;"","Facturé",IF(G115="Accepté","Accepté",IF(G115="Refusé","Refusé",IF(p_asof&gt;H115,"Expiré","En attente"))))))</f>
        <v/>
      </c>
      <c r="N115" s="59" t="str">
        <f>IF(COUNTA(B115:C115,E115:G115)=0,"",IF(B115="","Date manquante",IF(NOT(ISNUMBER(B115)),"Date invalide",IF(C115="","Client manquant",IF(ISNA(MATCH(C115,cli_code,0)),"Client inconnu",IF(O115&lt;MAX($O$6:O114),"Date antérieure au devis précédent",IF(AND(ISNUMBER(F115),F115&lt;O115),"Validité antérieure à la date du devis",IF(AND(R115=0,G115&lt;&gt;"Annulé"),"Aucune ligne (feuille Lignes de devis)",IF(COUNTIFS(dl_doc,A115,dl_check,"&lt;&gt;OK")&gt;0,"Ligne(s) à corriger",IF(AND(L115&lt;&gt;"",OR(G115="Refusé",G115="Annulé")),"Devis refusé ou annulé mais facturé","OK"))))))))))</f>
        <v/>
      </c>
      <c r="O115" s="62">
        <f>IF(ISNUMBER(B115),B115,0)</f>
        <v>0.0</v>
      </c>
      <c r="P115" s="62" t="str">
        <f>IF(O115=0,"",YEAR(O115))</f>
        <v/>
      </c>
      <c r="Q115" s="62" t="str">
        <f>IF(P115="","",COUNTIF($P$6:P115,P115))</f>
        <v/>
      </c>
      <c r="R115" s="62">
        <f>IF(A115="",0,COUNTIF(dl_doc,A115))</f>
        <v>0.0</v>
      </c>
    </row>
    <row r="116">
      <c r="A116" s="59" t="str">
        <f>IF(Q116="","",p_pdv&amp;"-"&amp;P116&amp;"-"&amp;RIGHT("000"&amp;Q116,4))</f>
        <v/>
      </c>
      <c r="B116" s="61" t="n"/>
      <c r="C116" s="60" t="n"/>
      <c r="D116" s="62" t="str">
        <f>IF(C116="","",IFERROR(INDEX(cli_name,MATCH(C116,cli_code,0))&amp;"","Client inconnu"))</f>
        <v/>
      </c>
      <c r="E116" s="63" t="n"/>
      <c r="F116" s="61" t="n"/>
      <c r="G116" s="60" t="n"/>
      <c r="H116" s="64" t="str">
        <f>IF(A116="","",IF(ISNUMBER(F116),F116,O116+N(p_validity)))</f>
        <v/>
      </c>
      <c r="I116" s="65" t="str">
        <f>IF(A116="","",SUMIF(dl_doc,A116,dl_ht))</f>
        <v/>
      </c>
      <c r="J116" s="65" t="str">
        <f>IF(A116="","",IF(INDEX(p_rates,1)="",0,ROUND(SUMIFS(dl_ht,dl_doc,A116,dl_rate,INDEX(p_rates,1))*INDEX(p_rates,1),2))+IF(INDEX(p_rates,2)="",0,ROUND(SUMIFS(dl_ht,dl_doc,A116,dl_rate,INDEX(p_rates,2))*INDEX(p_rates,2),2))+IF(INDEX(p_rates,3)="",0,ROUND(SUMIFS(dl_ht,dl_doc,A116,dl_rate,INDEX(p_rates,3))*INDEX(p_rates,3),2))+IF(INDEX(p_rates,4)="",0,ROUND(SUMIFS(dl_ht,dl_doc,A116,dl_rate,INDEX(p_rates,4))*INDEX(p_rates,4),2))+IF(INDEX(p_rates,5)="",0,ROUND(SUMIFS(dl_ht,dl_doc,A116,dl_rate,INDEX(p_rates,5))*INDEX(p_rates,5),2))+IF(INDEX(p_rates,6)="",0,ROUND(SUMIFS(dl_ht,dl_doc,A116,dl_rate,INDEX(p_rates,6))*INDEX(p_rates,6),2)))</f>
        <v/>
      </c>
      <c r="K116" s="65" t="str">
        <f>IF(A116="","",I116+J116)</f>
        <v/>
      </c>
      <c r="L116" s="59" t="str">
        <f>IF(A116="","",IFERROR(INDEX(fa_num,MATCH(A116,fa_dvkey,0))&amp;"",""))</f>
        <v/>
      </c>
      <c r="M116" s="59" t="str">
        <f>IF(A116="","",IF(G116="Annulé","Annulé",IF(L116&lt;&gt;"","Facturé",IF(G116="Accepté","Accepté",IF(G116="Refusé","Refusé",IF(p_asof&gt;H116,"Expiré","En attente"))))))</f>
        <v/>
      </c>
      <c r="N116" s="59" t="str">
        <f>IF(COUNTA(B116:C116,E116:G116)=0,"",IF(B116="","Date manquante",IF(NOT(ISNUMBER(B116)),"Date invalide",IF(C116="","Client manquant",IF(ISNA(MATCH(C116,cli_code,0)),"Client inconnu",IF(O116&lt;MAX($O$6:O115),"Date antérieure au devis précédent",IF(AND(ISNUMBER(F116),F116&lt;O116),"Validité antérieure à la date du devis",IF(AND(R116=0,G116&lt;&gt;"Annulé"),"Aucune ligne (feuille Lignes de devis)",IF(COUNTIFS(dl_doc,A116,dl_check,"&lt;&gt;OK")&gt;0,"Ligne(s) à corriger",IF(AND(L116&lt;&gt;"",OR(G116="Refusé",G116="Annulé")),"Devis refusé ou annulé mais facturé","OK"))))))))))</f>
        <v/>
      </c>
      <c r="O116" s="62">
        <f>IF(ISNUMBER(B116),B116,0)</f>
        <v>0.0</v>
      </c>
      <c r="P116" s="62" t="str">
        <f>IF(O116=0,"",YEAR(O116))</f>
        <v/>
      </c>
      <c r="Q116" s="62" t="str">
        <f>IF(P116="","",COUNTIF($P$6:P116,P116))</f>
        <v/>
      </c>
      <c r="R116" s="62">
        <f>IF(A116="",0,COUNTIF(dl_doc,A116))</f>
        <v>0.0</v>
      </c>
    </row>
    <row r="117">
      <c r="A117" s="59" t="str">
        <f>IF(Q117="","",p_pdv&amp;"-"&amp;P117&amp;"-"&amp;RIGHT("000"&amp;Q117,4))</f>
        <v/>
      </c>
      <c r="B117" s="61" t="n"/>
      <c r="C117" s="60" t="n"/>
      <c r="D117" s="62" t="str">
        <f>IF(C117="","",IFERROR(INDEX(cli_name,MATCH(C117,cli_code,0))&amp;"","Client inconnu"))</f>
        <v/>
      </c>
      <c r="E117" s="63" t="n"/>
      <c r="F117" s="61" t="n"/>
      <c r="G117" s="60" t="n"/>
      <c r="H117" s="64" t="str">
        <f>IF(A117="","",IF(ISNUMBER(F117),F117,O117+N(p_validity)))</f>
        <v/>
      </c>
      <c r="I117" s="65" t="str">
        <f>IF(A117="","",SUMIF(dl_doc,A117,dl_ht))</f>
        <v/>
      </c>
      <c r="J117" s="65" t="str">
        <f>IF(A117="","",IF(INDEX(p_rates,1)="",0,ROUND(SUMIFS(dl_ht,dl_doc,A117,dl_rate,INDEX(p_rates,1))*INDEX(p_rates,1),2))+IF(INDEX(p_rates,2)="",0,ROUND(SUMIFS(dl_ht,dl_doc,A117,dl_rate,INDEX(p_rates,2))*INDEX(p_rates,2),2))+IF(INDEX(p_rates,3)="",0,ROUND(SUMIFS(dl_ht,dl_doc,A117,dl_rate,INDEX(p_rates,3))*INDEX(p_rates,3),2))+IF(INDEX(p_rates,4)="",0,ROUND(SUMIFS(dl_ht,dl_doc,A117,dl_rate,INDEX(p_rates,4))*INDEX(p_rates,4),2))+IF(INDEX(p_rates,5)="",0,ROUND(SUMIFS(dl_ht,dl_doc,A117,dl_rate,INDEX(p_rates,5))*INDEX(p_rates,5),2))+IF(INDEX(p_rates,6)="",0,ROUND(SUMIFS(dl_ht,dl_doc,A117,dl_rate,INDEX(p_rates,6))*INDEX(p_rates,6),2)))</f>
        <v/>
      </c>
      <c r="K117" s="65" t="str">
        <f>IF(A117="","",I117+J117)</f>
        <v/>
      </c>
      <c r="L117" s="59" t="str">
        <f>IF(A117="","",IFERROR(INDEX(fa_num,MATCH(A117,fa_dvkey,0))&amp;"",""))</f>
        <v/>
      </c>
      <c r="M117" s="59" t="str">
        <f>IF(A117="","",IF(G117="Annulé","Annulé",IF(L117&lt;&gt;"","Facturé",IF(G117="Accepté","Accepté",IF(G117="Refusé","Refusé",IF(p_asof&gt;H117,"Expiré","En attente"))))))</f>
        <v/>
      </c>
      <c r="N117" s="59" t="str">
        <f>IF(COUNTA(B117:C117,E117:G117)=0,"",IF(B117="","Date manquante",IF(NOT(ISNUMBER(B117)),"Date invalide",IF(C117="","Client manquant",IF(ISNA(MATCH(C117,cli_code,0)),"Client inconnu",IF(O117&lt;MAX($O$6:O116),"Date antérieure au devis précédent",IF(AND(ISNUMBER(F117),F117&lt;O117),"Validité antérieure à la date du devis",IF(AND(R117=0,G117&lt;&gt;"Annulé"),"Aucune ligne (feuille Lignes de devis)",IF(COUNTIFS(dl_doc,A117,dl_check,"&lt;&gt;OK")&gt;0,"Ligne(s) à corriger",IF(AND(L117&lt;&gt;"",OR(G117="Refusé",G117="Annulé")),"Devis refusé ou annulé mais facturé","OK"))))))))))</f>
        <v/>
      </c>
      <c r="O117" s="62">
        <f>IF(ISNUMBER(B117),B117,0)</f>
        <v>0.0</v>
      </c>
      <c r="P117" s="62" t="str">
        <f>IF(O117=0,"",YEAR(O117))</f>
        <v/>
      </c>
      <c r="Q117" s="62" t="str">
        <f>IF(P117="","",COUNTIF($P$6:P117,P117))</f>
        <v/>
      </c>
      <c r="R117" s="62">
        <f>IF(A117="",0,COUNTIF(dl_doc,A117))</f>
        <v>0.0</v>
      </c>
    </row>
    <row r="118">
      <c r="A118" s="59" t="str">
        <f>IF(Q118="","",p_pdv&amp;"-"&amp;P118&amp;"-"&amp;RIGHT("000"&amp;Q118,4))</f>
        <v/>
      </c>
      <c r="B118" s="61" t="n"/>
      <c r="C118" s="60" t="n"/>
      <c r="D118" s="62" t="str">
        <f>IF(C118="","",IFERROR(INDEX(cli_name,MATCH(C118,cli_code,0))&amp;"","Client inconnu"))</f>
        <v/>
      </c>
      <c r="E118" s="63" t="n"/>
      <c r="F118" s="61" t="n"/>
      <c r="G118" s="60" t="n"/>
      <c r="H118" s="64" t="str">
        <f>IF(A118="","",IF(ISNUMBER(F118),F118,O118+N(p_validity)))</f>
        <v/>
      </c>
      <c r="I118" s="65" t="str">
        <f>IF(A118="","",SUMIF(dl_doc,A118,dl_ht))</f>
        <v/>
      </c>
      <c r="J118" s="65" t="str">
        <f>IF(A118="","",IF(INDEX(p_rates,1)="",0,ROUND(SUMIFS(dl_ht,dl_doc,A118,dl_rate,INDEX(p_rates,1))*INDEX(p_rates,1),2))+IF(INDEX(p_rates,2)="",0,ROUND(SUMIFS(dl_ht,dl_doc,A118,dl_rate,INDEX(p_rates,2))*INDEX(p_rates,2),2))+IF(INDEX(p_rates,3)="",0,ROUND(SUMIFS(dl_ht,dl_doc,A118,dl_rate,INDEX(p_rates,3))*INDEX(p_rates,3),2))+IF(INDEX(p_rates,4)="",0,ROUND(SUMIFS(dl_ht,dl_doc,A118,dl_rate,INDEX(p_rates,4))*INDEX(p_rates,4),2))+IF(INDEX(p_rates,5)="",0,ROUND(SUMIFS(dl_ht,dl_doc,A118,dl_rate,INDEX(p_rates,5))*INDEX(p_rates,5),2))+IF(INDEX(p_rates,6)="",0,ROUND(SUMIFS(dl_ht,dl_doc,A118,dl_rate,INDEX(p_rates,6))*INDEX(p_rates,6),2)))</f>
        <v/>
      </c>
      <c r="K118" s="65" t="str">
        <f>IF(A118="","",I118+J118)</f>
        <v/>
      </c>
      <c r="L118" s="59" t="str">
        <f>IF(A118="","",IFERROR(INDEX(fa_num,MATCH(A118,fa_dvkey,0))&amp;"",""))</f>
        <v/>
      </c>
      <c r="M118" s="59" t="str">
        <f>IF(A118="","",IF(G118="Annulé","Annulé",IF(L118&lt;&gt;"","Facturé",IF(G118="Accepté","Accepté",IF(G118="Refusé","Refusé",IF(p_asof&gt;H118,"Expiré","En attente"))))))</f>
        <v/>
      </c>
      <c r="N118" s="59" t="str">
        <f>IF(COUNTA(B118:C118,E118:G118)=0,"",IF(B118="","Date manquante",IF(NOT(ISNUMBER(B118)),"Date invalide",IF(C118="","Client manquant",IF(ISNA(MATCH(C118,cli_code,0)),"Client inconnu",IF(O118&lt;MAX($O$6:O117),"Date antérieure au devis précédent",IF(AND(ISNUMBER(F118),F118&lt;O118),"Validité antérieure à la date du devis",IF(AND(R118=0,G118&lt;&gt;"Annulé"),"Aucune ligne (feuille Lignes de devis)",IF(COUNTIFS(dl_doc,A118,dl_check,"&lt;&gt;OK")&gt;0,"Ligne(s) à corriger",IF(AND(L118&lt;&gt;"",OR(G118="Refusé",G118="Annulé")),"Devis refusé ou annulé mais facturé","OK"))))))))))</f>
        <v/>
      </c>
      <c r="O118" s="62">
        <f>IF(ISNUMBER(B118),B118,0)</f>
        <v>0.0</v>
      </c>
      <c r="P118" s="62" t="str">
        <f>IF(O118=0,"",YEAR(O118))</f>
        <v/>
      </c>
      <c r="Q118" s="62" t="str">
        <f>IF(P118="","",COUNTIF($P$6:P118,P118))</f>
        <v/>
      </c>
      <c r="R118" s="62">
        <f>IF(A118="",0,COUNTIF(dl_doc,A118))</f>
        <v>0.0</v>
      </c>
    </row>
    <row r="119">
      <c r="A119" s="59" t="str">
        <f>IF(Q119="","",p_pdv&amp;"-"&amp;P119&amp;"-"&amp;RIGHT("000"&amp;Q119,4))</f>
        <v/>
      </c>
      <c r="B119" s="61" t="n"/>
      <c r="C119" s="60" t="n"/>
      <c r="D119" s="62" t="str">
        <f>IF(C119="","",IFERROR(INDEX(cli_name,MATCH(C119,cli_code,0))&amp;"","Client inconnu"))</f>
        <v/>
      </c>
      <c r="E119" s="63" t="n"/>
      <c r="F119" s="61" t="n"/>
      <c r="G119" s="60" t="n"/>
      <c r="H119" s="64" t="str">
        <f>IF(A119="","",IF(ISNUMBER(F119),F119,O119+N(p_validity)))</f>
        <v/>
      </c>
      <c r="I119" s="65" t="str">
        <f>IF(A119="","",SUMIF(dl_doc,A119,dl_ht))</f>
        <v/>
      </c>
      <c r="J119" s="65" t="str">
        <f>IF(A119="","",IF(INDEX(p_rates,1)="",0,ROUND(SUMIFS(dl_ht,dl_doc,A119,dl_rate,INDEX(p_rates,1))*INDEX(p_rates,1),2))+IF(INDEX(p_rates,2)="",0,ROUND(SUMIFS(dl_ht,dl_doc,A119,dl_rate,INDEX(p_rates,2))*INDEX(p_rates,2),2))+IF(INDEX(p_rates,3)="",0,ROUND(SUMIFS(dl_ht,dl_doc,A119,dl_rate,INDEX(p_rates,3))*INDEX(p_rates,3),2))+IF(INDEX(p_rates,4)="",0,ROUND(SUMIFS(dl_ht,dl_doc,A119,dl_rate,INDEX(p_rates,4))*INDEX(p_rates,4),2))+IF(INDEX(p_rates,5)="",0,ROUND(SUMIFS(dl_ht,dl_doc,A119,dl_rate,INDEX(p_rates,5))*INDEX(p_rates,5),2))+IF(INDEX(p_rates,6)="",0,ROUND(SUMIFS(dl_ht,dl_doc,A119,dl_rate,INDEX(p_rates,6))*INDEX(p_rates,6),2)))</f>
        <v/>
      </c>
      <c r="K119" s="65" t="str">
        <f>IF(A119="","",I119+J119)</f>
        <v/>
      </c>
      <c r="L119" s="59" t="str">
        <f>IF(A119="","",IFERROR(INDEX(fa_num,MATCH(A119,fa_dvkey,0))&amp;"",""))</f>
        <v/>
      </c>
      <c r="M119" s="59" t="str">
        <f>IF(A119="","",IF(G119="Annulé","Annulé",IF(L119&lt;&gt;"","Facturé",IF(G119="Accepté","Accepté",IF(G119="Refusé","Refusé",IF(p_asof&gt;H119,"Expiré","En attente"))))))</f>
        <v/>
      </c>
      <c r="N119" s="59" t="str">
        <f>IF(COUNTA(B119:C119,E119:G119)=0,"",IF(B119="","Date manquante",IF(NOT(ISNUMBER(B119)),"Date invalide",IF(C119="","Client manquant",IF(ISNA(MATCH(C119,cli_code,0)),"Client inconnu",IF(O119&lt;MAX($O$6:O118),"Date antérieure au devis précédent",IF(AND(ISNUMBER(F119),F119&lt;O119),"Validité antérieure à la date du devis",IF(AND(R119=0,G119&lt;&gt;"Annulé"),"Aucune ligne (feuille Lignes de devis)",IF(COUNTIFS(dl_doc,A119,dl_check,"&lt;&gt;OK")&gt;0,"Ligne(s) à corriger",IF(AND(L119&lt;&gt;"",OR(G119="Refusé",G119="Annulé")),"Devis refusé ou annulé mais facturé","OK"))))))))))</f>
        <v/>
      </c>
      <c r="O119" s="62">
        <f>IF(ISNUMBER(B119),B119,0)</f>
        <v>0.0</v>
      </c>
      <c r="P119" s="62" t="str">
        <f>IF(O119=0,"",YEAR(O119))</f>
        <v/>
      </c>
      <c r="Q119" s="62" t="str">
        <f>IF(P119="","",COUNTIF($P$6:P119,P119))</f>
        <v/>
      </c>
      <c r="R119" s="62">
        <f>IF(A119="",0,COUNTIF(dl_doc,A119))</f>
        <v>0.0</v>
      </c>
    </row>
    <row r="120">
      <c r="A120" s="59" t="str">
        <f>IF(Q120="","",p_pdv&amp;"-"&amp;P120&amp;"-"&amp;RIGHT("000"&amp;Q120,4))</f>
        <v/>
      </c>
      <c r="B120" s="61" t="n"/>
      <c r="C120" s="60" t="n"/>
      <c r="D120" s="62" t="str">
        <f>IF(C120="","",IFERROR(INDEX(cli_name,MATCH(C120,cli_code,0))&amp;"","Client inconnu"))</f>
        <v/>
      </c>
      <c r="E120" s="63" t="n"/>
      <c r="F120" s="61" t="n"/>
      <c r="G120" s="60" t="n"/>
      <c r="H120" s="64" t="str">
        <f>IF(A120="","",IF(ISNUMBER(F120),F120,O120+N(p_validity)))</f>
        <v/>
      </c>
      <c r="I120" s="65" t="str">
        <f>IF(A120="","",SUMIF(dl_doc,A120,dl_ht))</f>
        <v/>
      </c>
      <c r="J120" s="65" t="str">
        <f>IF(A120="","",IF(INDEX(p_rates,1)="",0,ROUND(SUMIFS(dl_ht,dl_doc,A120,dl_rate,INDEX(p_rates,1))*INDEX(p_rates,1),2))+IF(INDEX(p_rates,2)="",0,ROUND(SUMIFS(dl_ht,dl_doc,A120,dl_rate,INDEX(p_rates,2))*INDEX(p_rates,2),2))+IF(INDEX(p_rates,3)="",0,ROUND(SUMIFS(dl_ht,dl_doc,A120,dl_rate,INDEX(p_rates,3))*INDEX(p_rates,3),2))+IF(INDEX(p_rates,4)="",0,ROUND(SUMIFS(dl_ht,dl_doc,A120,dl_rate,INDEX(p_rates,4))*INDEX(p_rates,4),2))+IF(INDEX(p_rates,5)="",0,ROUND(SUMIFS(dl_ht,dl_doc,A120,dl_rate,INDEX(p_rates,5))*INDEX(p_rates,5),2))+IF(INDEX(p_rates,6)="",0,ROUND(SUMIFS(dl_ht,dl_doc,A120,dl_rate,INDEX(p_rates,6))*INDEX(p_rates,6),2)))</f>
        <v/>
      </c>
      <c r="K120" s="65" t="str">
        <f>IF(A120="","",I120+J120)</f>
        <v/>
      </c>
      <c r="L120" s="59" t="str">
        <f>IF(A120="","",IFERROR(INDEX(fa_num,MATCH(A120,fa_dvkey,0))&amp;"",""))</f>
        <v/>
      </c>
      <c r="M120" s="59" t="str">
        <f>IF(A120="","",IF(G120="Annulé","Annulé",IF(L120&lt;&gt;"","Facturé",IF(G120="Accepté","Accepté",IF(G120="Refusé","Refusé",IF(p_asof&gt;H120,"Expiré","En attente"))))))</f>
        <v/>
      </c>
      <c r="N120" s="59" t="str">
        <f>IF(COUNTA(B120:C120,E120:G120)=0,"",IF(B120="","Date manquante",IF(NOT(ISNUMBER(B120)),"Date invalide",IF(C120="","Client manquant",IF(ISNA(MATCH(C120,cli_code,0)),"Client inconnu",IF(O120&lt;MAX($O$6:O119),"Date antérieure au devis précédent",IF(AND(ISNUMBER(F120),F120&lt;O120),"Validité antérieure à la date du devis",IF(AND(R120=0,G120&lt;&gt;"Annulé"),"Aucune ligne (feuille Lignes de devis)",IF(COUNTIFS(dl_doc,A120,dl_check,"&lt;&gt;OK")&gt;0,"Ligne(s) à corriger",IF(AND(L120&lt;&gt;"",OR(G120="Refusé",G120="Annulé")),"Devis refusé ou annulé mais facturé","OK"))))))))))</f>
        <v/>
      </c>
      <c r="O120" s="62">
        <f>IF(ISNUMBER(B120),B120,0)</f>
        <v>0.0</v>
      </c>
      <c r="P120" s="62" t="str">
        <f>IF(O120=0,"",YEAR(O120))</f>
        <v/>
      </c>
      <c r="Q120" s="62" t="str">
        <f>IF(P120="","",COUNTIF($P$6:P120,P120))</f>
        <v/>
      </c>
      <c r="R120" s="62">
        <f>IF(A120="",0,COUNTIF(dl_doc,A120))</f>
        <v>0.0</v>
      </c>
    </row>
    <row r="121">
      <c r="A121" s="59" t="str">
        <f>IF(Q121="","",p_pdv&amp;"-"&amp;P121&amp;"-"&amp;RIGHT("000"&amp;Q121,4))</f>
        <v/>
      </c>
      <c r="B121" s="61" t="n"/>
      <c r="C121" s="60" t="n"/>
      <c r="D121" s="62" t="str">
        <f>IF(C121="","",IFERROR(INDEX(cli_name,MATCH(C121,cli_code,0))&amp;"","Client inconnu"))</f>
        <v/>
      </c>
      <c r="E121" s="63" t="n"/>
      <c r="F121" s="61" t="n"/>
      <c r="G121" s="60" t="n"/>
      <c r="H121" s="64" t="str">
        <f>IF(A121="","",IF(ISNUMBER(F121),F121,O121+N(p_validity)))</f>
        <v/>
      </c>
      <c r="I121" s="65" t="str">
        <f>IF(A121="","",SUMIF(dl_doc,A121,dl_ht))</f>
        <v/>
      </c>
      <c r="J121" s="65" t="str">
        <f>IF(A121="","",IF(INDEX(p_rates,1)="",0,ROUND(SUMIFS(dl_ht,dl_doc,A121,dl_rate,INDEX(p_rates,1))*INDEX(p_rates,1),2))+IF(INDEX(p_rates,2)="",0,ROUND(SUMIFS(dl_ht,dl_doc,A121,dl_rate,INDEX(p_rates,2))*INDEX(p_rates,2),2))+IF(INDEX(p_rates,3)="",0,ROUND(SUMIFS(dl_ht,dl_doc,A121,dl_rate,INDEX(p_rates,3))*INDEX(p_rates,3),2))+IF(INDEX(p_rates,4)="",0,ROUND(SUMIFS(dl_ht,dl_doc,A121,dl_rate,INDEX(p_rates,4))*INDEX(p_rates,4),2))+IF(INDEX(p_rates,5)="",0,ROUND(SUMIFS(dl_ht,dl_doc,A121,dl_rate,INDEX(p_rates,5))*INDEX(p_rates,5),2))+IF(INDEX(p_rates,6)="",0,ROUND(SUMIFS(dl_ht,dl_doc,A121,dl_rate,INDEX(p_rates,6))*INDEX(p_rates,6),2)))</f>
        <v/>
      </c>
      <c r="K121" s="65" t="str">
        <f>IF(A121="","",I121+J121)</f>
        <v/>
      </c>
      <c r="L121" s="59" t="str">
        <f>IF(A121="","",IFERROR(INDEX(fa_num,MATCH(A121,fa_dvkey,0))&amp;"",""))</f>
        <v/>
      </c>
      <c r="M121" s="59" t="str">
        <f>IF(A121="","",IF(G121="Annulé","Annulé",IF(L121&lt;&gt;"","Facturé",IF(G121="Accepté","Accepté",IF(G121="Refusé","Refusé",IF(p_asof&gt;H121,"Expiré","En attente"))))))</f>
        <v/>
      </c>
      <c r="N121" s="59" t="str">
        <f>IF(COUNTA(B121:C121,E121:G121)=0,"",IF(B121="","Date manquante",IF(NOT(ISNUMBER(B121)),"Date invalide",IF(C121="","Client manquant",IF(ISNA(MATCH(C121,cli_code,0)),"Client inconnu",IF(O121&lt;MAX($O$6:O120),"Date antérieure au devis précédent",IF(AND(ISNUMBER(F121),F121&lt;O121),"Validité antérieure à la date du devis",IF(AND(R121=0,G121&lt;&gt;"Annulé"),"Aucune ligne (feuille Lignes de devis)",IF(COUNTIFS(dl_doc,A121,dl_check,"&lt;&gt;OK")&gt;0,"Ligne(s) à corriger",IF(AND(L121&lt;&gt;"",OR(G121="Refusé",G121="Annulé")),"Devis refusé ou annulé mais facturé","OK"))))))))))</f>
        <v/>
      </c>
      <c r="O121" s="62">
        <f>IF(ISNUMBER(B121),B121,0)</f>
        <v>0.0</v>
      </c>
      <c r="P121" s="62" t="str">
        <f>IF(O121=0,"",YEAR(O121))</f>
        <v/>
      </c>
      <c r="Q121" s="62" t="str">
        <f>IF(P121="","",COUNTIF($P$6:P121,P121))</f>
        <v/>
      </c>
      <c r="R121" s="62">
        <f>IF(A121="",0,COUNTIF(dl_doc,A121))</f>
        <v>0.0</v>
      </c>
    </row>
    <row r="122">
      <c r="A122" s="59" t="str">
        <f>IF(Q122="","",p_pdv&amp;"-"&amp;P122&amp;"-"&amp;RIGHT("000"&amp;Q122,4))</f>
        <v/>
      </c>
      <c r="B122" s="61" t="n"/>
      <c r="C122" s="60" t="n"/>
      <c r="D122" s="62" t="str">
        <f>IF(C122="","",IFERROR(INDEX(cli_name,MATCH(C122,cli_code,0))&amp;"","Client inconnu"))</f>
        <v/>
      </c>
      <c r="E122" s="63" t="n"/>
      <c r="F122" s="61" t="n"/>
      <c r="G122" s="60" t="n"/>
      <c r="H122" s="64" t="str">
        <f>IF(A122="","",IF(ISNUMBER(F122),F122,O122+N(p_validity)))</f>
        <v/>
      </c>
      <c r="I122" s="65" t="str">
        <f>IF(A122="","",SUMIF(dl_doc,A122,dl_ht))</f>
        <v/>
      </c>
      <c r="J122" s="65" t="str">
        <f>IF(A122="","",IF(INDEX(p_rates,1)="",0,ROUND(SUMIFS(dl_ht,dl_doc,A122,dl_rate,INDEX(p_rates,1))*INDEX(p_rates,1),2))+IF(INDEX(p_rates,2)="",0,ROUND(SUMIFS(dl_ht,dl_doc,A122,dl_rate,INDEX(p_rates,2))*INDEX(p_rates,2),2))+IF(INDEX(p_rates,3)="",0,ROUND(SUMIFS(dl_ht,dl_doc,A122,dl_rate,INDEX(p_rates,3))*INDEX(p_rates,3),2))+IF(INDEX(p_rates,4)="",0,ROUND(SUMIFS(dl_ht,dl_doc,A122,dl_rate,INDEX(p_rates,4))*INDEX(p_rates,4),2))+IF(INDEX(p_rates,5)="",0,ROUND(SUMIFS(dl_ht,dl_doc,A122,dl_rate,INDEX(p_rates,5))*INDEX(p_rates,5),2))+IF(INDEX(p_rates,6)="",0,ROUND(SUMIFS(dl_ht,dl_doc,A122,dl_rate,INDEX(p_rates,6))*INDEX(p_rates,6),2)))</f>
        <v/>
      </c>
      <c r="K122" s="65" t="str">
        <f>IF(A122="","",I122+J122)</f>
        <v/>
      </c>
      <c r="L122" s="59" t="str">
        <f>IF(A122="","",IFERROR(INDEX(fa_num,MATCH(A122,fa_dvkey,0))&amp;"",""))</f>
        <v/>
      </c>
      <c r="M122" s="59" t="str">
        <f>IF(A122="","",IF(G122="Annulé","Annulé",IF(L122&lt;&gt;"","Facturé",IF(G122="Accepté","Accepté",IF(G122="Refusé","Refusé",IF(p_asof&gt;H122,"Expiré","En attente"))))))</f>
        <v/>
      </c>
      <c r="N122" s="59" t="str">
        <f>IF(COUNTA(B122:C122,E122:G122)=0,"",IF(B122="","Date manquante",IF(NOT(ISNUMBER(B122)),"Date invalide",IF(C122="","Client manquant",IF(ISNA(MATCH(C122,cli_code,0)),"Client inconnu",IF(O122&lt;MAX($O$6:O121),"Date antérieure au devis précédent",IF(AND(ISNUMBER(F122),F122&lt;O122),"Validité antérieure à la date du devis",IF(AND(R122=0,G122&lt;&gt;"Annulé"),"Aucune ligne (feuille Lignes de devis)",IF(COUNTIFS(dl_doc,A122,dl_check,"&lt;&gt;OK")&gt;0,"Ligne(s) à corriger",IF(AND(L122&lt;&gt;"",OR(G122="Refusé",G122="Annulé")),"Devis refusé ou annulé mais facturé","OK"))))))))))</f>
        <v/>
      </c>
      <c r="O122" s="62">
        <f>IF(ISNUMBER(B122),B122,0)</f>
        <v>0.0</v>
      </c>
      <c r="P122" s="62" t="str">
        <f>IF(O122=0,"",YEAR(O122))</f>
        <v/>
      </c>
      <c r="Q122" s="62" t="str">
        <f>IF(P122="","",COUNTIF($P$6:P122,P122))</f>
        <v/>
      </c>
      <c r="R122" s="62">
        <f>IF(A122="",0,COUNTIF(dl_doc,A122))</f>
        <v>0.0</v>
      </c>
    </row>
    <row r="123">
      <c r="A123" s="59" t="str">
        <f>IF(Q123="","",p_pdv&amp;"-"&amp;P123&amp;"-"&amp;RIGHT("000"&amp;Q123,4))</f>
        <v/>
      </c>
      <c r="B123" s="61" t="n"/>
      <c r="C123" s="60" t="n"/>
      <c r="D123" s="62" t="str">
        <f>IF(C123="","",IFERROR(INDEX(cli_name,MATCH(C123,cli_code,0))&amp;"","Client inconnu"))</f>
        <v/>
      </c>
      <c r="E123" s="63" t="n"/>
      <c r="F123" s="61" t="n"/>
      <c r="G123" s="60" t="n"/>
      <c r="H123" s="64" t="str">
        <f>IF(A123="","",IF(ISNUMBER(F123),F123,O123+N(p_validity)))</f>
        <v/>
      </c>
      <c r="I123" s="65" t="str">
        <f>IF(A123="","",SUMIF(dl_doc,A123,dl_ht))</f>
        <v/>
      </c>
      <c r="J123" s="65" t="str">
        <f>IF(A123="","",IF(INDEX(p_rates,1)="",0,ROUND(SUMIFS(dl_ht,dl_doc,A123,dl_rate,INDEX(p_rates,1))*INDEX(p_rates,1),2))+IF(INDEX(p_rates,2)="",0,ROUND(SUMIFS(dl_ht,dl_doc,A123,dl_rate,INDEX(p_rates,2))*INDEX(p_rates,2),2))+IF(INDEX(p_rates,3)="",0,ROUND(SUMIFS(dl_ht,dl_doc,A123,dl_rate,INDEX(p_rates,3))*INDEX(p_rates,3),2))+IF(INDEX(p_rates,4)="",0,ROUND(SUMIFS(dl_ht,dl_doc,A123,dl_rate,INDEX(p_rates,4))*INDEX(p_rates,4),2))+IF(INDEX(p_rates,5)="",0,ROUND(SUMIFS(dl_ht,dl_doc,A123,dl_rate,INDEX(p_rates,5))*INDEX(p_rates,5),2))+IF(INDEX(p_rates,6)="",0,ROUND(SUMIFS(dl_ht,dl_doc,A123,dl_rate,INDEX(p_rates,6))*INDEX(p_rates,6),2)))</f>
        <v/>
      </c>
      <c r="K123" s="65" t="str">
        <f>IF(A123="","",I123+J123)</f>
        <v/>
      </c>
      <c r="L123" s="59" t="str">
        <f>IF(A123="","",IFERROR(INDEX(fa_num,MATCH(A123,fa_dvkey,0))&amp;"",""))</f>
        <v/>
      </c>
      <c r="M123" s="59" t="str">
        <f>IF(A123="","",IF(G123="Annulé","Annulé",IF(L123&lt;&gt;"","Facturé",IF(G123="Accepté","Accepté",IF(G123="Refusé","Refusé",IF(p_asof&gt;H123,"Expiré","En attente"))))))</f>
        <v/>
      </c>
      <c r="N123" s="59" t="str">
        <f>IF(COUNTA(B123:C123,E123:G123)=0,"",IF(B123="","Date manquante",IF(NOT(ISNUMBER(B123)),"Date invalide",IF(C123="","Client manquant",IF(ISNA(MATCH(C123,cli_code,0)),"Client inconnu",IF(O123&lt;MAX($O$6:O122),"Date antérieure au devis précédent",IF(AND(ISNUMBER(F123),F123&lt;O123),"Validité antérieure à la date du devis",IF(AND(R123=0,G123&lt;&gt;"Annulé"),"Aucune ligne (feuille Lignes de devis)",IF(COUNTIFS(dl_doc,A123,dl_check,"&lt;&gt;OK")&gt;0,"Ligne(s) à corriger",IF(AND(L123&lt;&gt;"",OR(G123="Refusé",G123="Annulé")),"Devis refusé ou annulé mais facturé","OK"))))))))))</f>
        <v/>
      </c>
      <c r="O123" s="62">
        <f>IF(ISNUMBER(B123),B123,0)</f>
        <v>0.0</v>
      </c>
      <c r="P123" s="62" t="str">
        <f>IF(O123=0,"",YEAR(O123))</f>
        <v/>
      </c>
      <c r="Q123" s="62" t="str">
        <f>IF(P123="","",COUNTIF($P$6:P123,P123))</f>
        <v/>
      </c>
      <c r="R123" s="62">
        <f>IF(A123="",0,COUNTIF(dl_doc,A123))</f>
        <v>0.0</v>
      </c>
    </row>
    <row r="124">
      <c r="A124" s="59" t="str">
        <f>IF(Q124="","",p_pdv&amp;"-"&amp;P124&amp;"-"&amp;RIGHT("000"&amp;Q124,4))</f>
        <v/>
      </c>
      <c r="B124" s="61" t="n"/>
      <c r="C124" s="60" t="n"/>
      <c r="D124" s="62" t="str">
        <f>IF(C124="","",IFERROR(INDEX(cli_name,MATCH(C124,cli_code,0))&amp;"","Client inconnu"))</f>
        <v/>
      </c>
      <c r="E124" s="63" t="n"/>
      <c r="F124" s="61" t="n"/>
      <c r="G124" s="60" t="n"/>
      <c r="H124" s="64" t="str">
        <f>IF(A124="","",IF(ISNUMBER(F124),F124,O124+N(p_validity)))</f>
        <v/>
      </c>
      <c r="I124" s="65" t="str">
        <f>IF(A124="","",SUMIF(dl_doc,A124,dl_ht))</f>
        <v/>
      </c>
      <c r="J124" s="65" t="str">
        <f>IF(A124="","",IF(INDEX(p_rates,1)="",0,ROUND(SUMIFS(dl_ht,dl_doc,A124,dl_rate,INDEX(p_rates,1))*INDEX(p_rates,1),2))+IF(INDEX(p_rates,2)="",0,ROUND(SUMIFS(dl_ht,dl_doc,A124,dl_rate,INDEX(p_rates,2))*INDEX(p_rates,2),2))+IF(INDEX(p_rates,3)="",0,ROUND(SUMIFS(dl_ht,dl_doc,A124,dl_rate,INDEX(p_rates,3))*INDEX(p_rates,3),2))+IF(INDEX(p_rates,4)="",0,ROUND(SUMIFS(dl_ht,dl_doc,A124,dl_rate,INDEX(p_rates,4))*INDEX(p_rates,4),2))+IF(INDEX(p_rates,5)="",0,ROUND(SUMIFS(dl_ht,dl_doc,A124,dl_rate,INDEX(p_rates,5))*INDEX(p_rates,5),2))+IF(INDEX(p_rates,6)="",0,ROUND(SUMIFS(dl_ht,dl_doc,A124,dl_rate,INDEX(p_rates,6))*INDEX(p_rates,6),2)))</f>
        <v/>
      </c>
      <c r="K124" s="65" t="str">
        <f>IF(A124="","",I124+J124)</f>
        <v/>
      </c>
      <c r="L124" s="59" t="str">
        <f>IF(A124="","",IFERROR(INDEX(fa_num,MATCH(A124,fa_dvkey,0))&amp;"",""))</f>
        <v/>
      </c>
      <c r="M124" s="59" t="str">
        <f>IF(A124="","",IF(G124="Annulé","Annulé",IF(L124&lt;&gt;"","Facturé",IF(G124="Accepté","Accepté",IF(G124="Refusé","Refusé",IF(p_asof&gt;H124,"Expiré","En attente"))))))</f>
        <v/>
      </c>
      <c r="N124" s="59" t="str">
        <f>IF(COUNTA(B124:C124,E124:G124)=0,"",IF(B124="","Date manquante",IF(NOT(ISNUMBER(B124)),"Date invalide",IF(C124="","Client manquant",IF(ISNA(MATCH(C124,cli_code,0)),"Client inconnu",IF(O124&lt;MAX($O$6:O123),"Date antérieure au devis précédent",IF(AND(ISNUMBER(F124),F124&lt;O124),"Validité antérieure à la date du devis",IF(AND(R124=0,G124&lt;&gt;"Annulé"),"Aucune ligne (feuille Lignes de devis)",IF(COUNTIFS(dl_doc,A124,dl_check,"&lt;&gt;OK")&gt;0,"Ligne(s) à corriger",IF(AND(L124&lt;&gt;"",OR(G124="Refusé",G124="Annulé")),"Devis refusé ou annulé mais facturé","OK"))))))))))</f>
        <v/>
      </c>
      <c r="O124" s="62">
        <f>IF(ISNUMBER(B124),B124,0)</f>
        <v>0.0</v>
      </c>
      <c r="P124" s="62" t="str">
        <f>IF(O124=0,"",YEAR(O124))</f>
        <v/>
      </c>
      <c r="Q124" s="62" t="str">
        <f>IF(P124="","",COUNTIF($P$6:P124,P124))</f>
        <v/>
      </c>
      <c r="R124" s="62">
        <f>IF(A124="",0,COUNTIF(dl_doc,A124))</f>
        <v>0.0</v>
      </c>
    </row>
    <row r="125">
      <c r="A125" s="59" t="str">
        <f>IF(Q125="","",p_pdv&amp;"-"&amp;P125&amp;"-"&amp;RIGHT("000"&amp;Q125,4))</f>
        <v/>
      </c>
      <c r="B125" s="61" t="n"/>
      <c r="C125" s="60" t="n"/>
      <c r="D125" s="62" t="str">
        <f>IF(C125="","",IFERROR(INDEX(cli_name,MATCH(C125,cli_code,0))&amp;"","Client inconnu"))</f>
        <v/>
      </c>
      <c r="E125" s="63" t="n"/>
      <c r="F125" s="61" t="n"/>
      <c r="G125" s="60" t="n"/>
      <c r="H125" s="64" t="str">
        <f>IF(A125="","",IF(ISNUMBER(F125),F125,O125+N(p_validity)))</f>
        <v/>
      </c>
      <c r="I125" s="65" t="str">
        <f>IF(A125="","",SUMIF(dl_doc,A125,dl_ht))</f>
        <v/>
      </c>
      <c r="J125" s="65" t="str">
        <f>IF(A125="","",IF(INDEX(p_rates,1)="",0,ROUND(SUMIFS(dl_ht,dl_doc,A125,dl_rate,INDEX(p_rates,1))*INDEX(p_rates,1),2))+IF(INDEX(p_rates,2)="",0,ROUND(SUMIFS(dl_ht,dl_doc,A125,dl_rate,INDEX(p_rates,2))*INDEX(p_rates,2),2))+IF(INDEX(p_rates,3)="",0,ROUND(SUMIFS(dl_ht,dl_doc,A125,dl_rate,INDEX(p_rates,3))*INDEX(p_rates,3),2))+IF(INDEX(p_rates,4)="",0,ROUND(SUMIFS(dl_ht,dl_doc,A125,dl_rate,INDEX(p_rates,4))*INDEX(p_rates,4),2))+IF(INDEX(p_rates,5)="",0,ROUND(SUMIFS(dl_ht,dl_doc,A125,dl_rate,INDEX(p_rates,5))*INDEX(p_rates,5),2))+IF(INDEX(p_rates,6)="",0,ROUND(SUMIFS(dl_ht,dl_doc,A125,dl_rate,INDEX(p_rates,6))*INDEX(p_rates,6),2)))</f>
        <v/>
      </c>
      <c r="K125" s="65" t="str">
        <f>IF(A125="","",I125+J125)</f>
        <v/>
      </c>
      <c r="L125" s="59" t="str">
        <f>IF(A125="","",IFERROR(INDEX(fa_num,MATCH(A125,fa_dvkey,0))&amp;"",""))</f>
        <v/>
      </c>
      <c r="M125" s="59" t="str">
        <f>IF(A125="","",IF(G125="Annulé","Annulé",IF(L125&lt;&gt;"","Facturé",IF(G125="Accepté","Accepté",IF(G125="Refusé","Refusé",IF(p_asof&gt;H125,"Expiré","En attente"))))))</f>
        <v/>
      </c>
      <c r="N125" s="59" t="str">
        <f>IF(COUNTA(B125:C125,E125:G125)=0,"",IF(B125="","Date manquante",IF(NOT(ISNUMBER(B125)),"Date invalide",IF(C125="","Client manquant",IF(ISNA(MATCH(C125,cli_code,0)),"Client inconnu",IF(O125&lt;MAX($O$6:O124),"Date antérieure au devis précédent",IF(AND(ISNUMBER(F125),F125&lt;O125),"Validité antérieure à la date du devis",IF(AND(R125=0,G125&lt;&gt;"Annulé"),"Aucune ligne (feuille Lignes de devis)",IF(COUNTIFS(dl_doc,A125,dl_check,"&lt;&gt;OK")&gt;0,"Ligne(s) à corriger",IF(AND(L125&lt;&gt;"",OR(G125="Refusé",G125="Annulé")),"Devis refusé ou annulé mais facturé","OK"))))))))))</f>
        <v/>
      </c>
      <c r="O125" s="62">
        <f>IF(ISNUMBER(B125),B125,0)</f>
        <v>0.0</v>
      </c>
      <c r="P125" s="62" t="str">
        <f>IF(O125=0,"",YEAR(O125))</f>
        <v/>
      </c>
      <c r="Q125" s="62" t="str">
        <f>IF(P125="","",COUNTIF($P$6:P125,P125))</f>
        <v/>
      </c>
      <c r="R125" s="62">
        <f>IF(A125="",0,COUNTIF(dl_doc,A125))</f>
        <v>0.0</v>
      </c>
    </row>
    <row r="126">
      <c r="A126" s="59" t="str">
        <f>IF(Q126="","",p_pdv&amp;"-"&amp;P126&amp;"-"&amp;RIGHT("000"&amp;Q126,4))</f>
        <v/>
      </c>
      <c r="B126" s="61" t="n"/>
      <c r="C126" s="60" t="n"/>
      <c r="D126" s="62" t="str">
        <f>IF(C126="","",IFERROR(INDEX(cli_name,MATCH(C126,cli_code,0))&amp;"","Client inconnu"))</f>
        <v/>
      </c>
      <c r="E126" s="63" t="n"/>
      <c r="F126" s="61" t="n"/>
      <c r="G126" s="60" t="n"/>
      <c r="H126" s="64" t="str">
        <f>IF(A126="","",IF(ISNUMBER(F126),F126,O126+N(p_validity)))</f>
        <v/>
      </c>
      <c r="I126" s="65" t="str">
        <f>IF(A126="","",SUMIF(dl_doc,A126,dl_ht))</f>
        <v/>
      </c>
      <c r="J126" s="65" t="str">
        <f>IF(A126="","",IF(INDEX(p_rates,1)="",0,ROUND(SUMIFS(dl_ht,dl_doc,A126,dl_rate,INDEX(p_rates,1))*INDEX(p_rates,1),2))+IF(INDEX(p_rates,2)="",0,ROUND(SUMIFS(dl_ht,dl_doc,A126,dl_rate,INDEX(p_rates,2))*INDEX(p_rates,2),2))+IF(INDEX(p_rates,3)="",0,ROUND(SUMIFS(dl_ht,dl_doc,A126,dl_rate,INDEX(p_rates,3))*INDEX(p_rates,3),2))+IF(INDEX(p_rates,4)="",0,ROUND(SUMIFS(dl_ht,dl_doc,A126,dl_rate,INDEX(p_rates,4))*INDEX(p_rates,4),2))+IF(INDEX(p_rates,5)="",0,ROUND(SUMIFS(dl_ht,dl_doc,A126,dl_rate,INDEX(p_rates,5))*INDEX(p_rates,5),2))+IF(INDEX(p_rates,6)="",0,ROUND(SUMIFS(dl_ht,dl_doc,A126,dl_rate,INDEX(p_rates,6))*INDEX(p_rates,6),2)))</f>
        <v/>
      </c>
      <c r="K126" s="65" t="str">
        <f>IF(A126="","",I126+J126)</f>
        <v/>
      </c>
      <c r="L126" s="59" t="str">
        <f>IF(A126="","",IFERROR(INDEX(fa_num,MATCH(A126,fa_dvkey,0))&amp;"",""))</f>
        <v/>
      </c>
      <c r="M126" s="59" t="str">
        <f>IF(A126="","",IF(G126="Annulé","Annulé",IF(L126&lt;&gt;"","Facturé",IF(G126="Accepté","Accepté",IF(G126="Refusé","Refusé",IF(p_asof&gt;H126,"Expiré","En attente"))))))</f>
        <v/>
      </c>
      <c r="N126" s="59" t="str">
        <f>IF(COUNTA(B126:C126,E126:G126)=0,"",IF(B126="","Date manquante",IF(NOT(ISNUMBER(B126)),"Date invalide",IF(C126="","Client manquant",IF(ISNA(MATCH(C126,cli_code,0)),"Client inconnu",IF(O126&lt;MAX($O$6:O125),"Date antérieure au devis précédent",IF(AND(ISNUMBER(F126),F126&lt;O126),"Validité antérieure à la date du devis",IF(AND(R126=0,G126&lt;&gt;"Annulé"),"Aucune ligne (feuille Lignes de devis)",IF(COUNTIFS(dl_doc,A126,dl_check,"&lt;&gt;OK")&gt;0,"Ligne(s) à corriger",IF(AND(L126&lt;&gt;"",OR(G126="Refusé",G126="Annulé")),"Devis refusé ou annulé mais facturé","OK"))))))))))</f>
        <v/>
      </c>
      <c r="O126" s="62">
        <f>IF(ISNUMBER(B126),B126,0)</f>
        <v>0.0</v>
      </c>
      <c r="P126" s="62" t="str">
        <f>IF(O126=0,"",YEAR(O126))</f>
        <v/>
      </c>
      <c r="Q126" s="62" t="str">
        <f>IF(P126="","",COUNTIF($P$6:P126,P126))</f>
        <v/>
      </c>
      <c r="R126" s="62">
        <f>IF(A126="",0,COUNTIF(dl_doc,A126))</f>
        <v>0.0</v>
      </c>
    </row>
    <row r="127">
      <c r="A127" s="59" t="str">
        <f>IF(Q127="","",p_pdv&amp;"-"&amp;P127&amp;"-"&amp;RIGHT("000"&amp;Q127,4))</f>
        <v/>
      </c>
      <c r="B127" s="61" t="n"/>
      <c r="C127" s="60" t="n"/>
      <c r="D127" s="62" t="str">
        <f>IF(C127="","",IFERROR(INDEX(cli_name,MATCH(C127,cli_code,0))&amp;"","Client inconnu"))</f>
        <v/>
      </c>
      <c r="E127" s="63" t="n"/>
      <c r="F127" s="61" t="n"/>
      <c r="G127" s="60" t="n"/>
      <c r="H127" s="64" t="str">
        <f>IF(A127="","",IF(ISNUMBER(F127),F127,O127+N(p_validity)))</f>
        <v/>
      </c>
      <c r="I127" s="65" t="str">
        <f>IF(A127="","",SUMIF(dl_doc,A127,dl_ht))</f>
        <v/>
      </c>
      <c r="J127" s="65" t="str">
        <f>IF(A127="","",IF(INDEX(p_rates,1)="",0,ROUND(SUMIFS(dl_ht,dl_doc,A127,dl_rate,INDEX(p_rates,1))*INDEX(p_rates,1),2))+IF(INDEX(p_rates,2)="",0,ROUND(SUMIFS(dl_ht,dl_doc,A127,dl_rate,INDEX(p_rates,2))*INDEX(p_rates,2),2))+IF(INDEX(p_rates,3)="",0,ROUND(SUMIFS(dl_ht,dl_doc,A127,dl_rate,INDEX(p_rates,3))*INDEX(p_rates,3),2))+IF(INDEX(p_rates,4)="",0,ROUND(SUMIFS(dl_ht,dl_doc,A127,dl_rate,INDEX(p_rates,4))*INDEX(p_rates,4),2))+IF(INDEX(p_rates,5)="",0,ROUND(SUMIFS(dl_ht,dl_doc,A127,dl_rate,INDEX(p_rates,5))*INDEX(p_rates,5),2))+IF(INDEX(p_rates,6)="",0,ROUND(SUMIFS(dl_ht,dl_doc,A127,dl_rate,INDEX(p_rates,6))*INDEX(p_rates,6),2)))</f>
        <v/>
      </c>
      <c r="K127" s="65" t="str">
        <f>IF(A127="","",I127+J127)</f>
        <v/>
      </c>
      <c r="L127" s="59" t="str">
        <f>IF(A127="","",IFERROR(INDEX(fa_num,MATCH(A127,fa_dvkey,0))&amp;"",""))</f>
        <v/>
      </c>
      <c r="M127" s="59" t="str">
        <f>IF(A127="","",IF(G127="Annulé","Annulé",IF(L127&lt;&gt;"","Facturé",IF(G127="Accepté","Accepté",IF(G127="Refusé","Refusé",IF(p_asof&gt;H127,"Expiré","En attente"))))))</f>
        <v/>
      </c>
      <c r="N127" s="59" t="str">
        <f>IF(COUNTA(B127:C127,E127:G127)=0,"",IF(B127="","Date manquante",IF(NOT(ISNUMBER(B127)),"Date invalide",IF(C127="","Client manquant",IF(ISNA(MATCH(C127,cli_code,0)),"Client inconnu",IF(O127&lt;MAX($O$6:O126),"Date antérieure au devis précédent",IF(AND(ISNUMBER(F127),F127&lt;O127),"Validité antérieure à la date du devis",IF(AND(R127=0,G127&lt;&gt;"Annulé"),"Aucune ligne (feuille Lignes de devis)",IF(COUNTIFS(dl_doc,A127,dl_check,"&lt;&gt;OK")&gt;0,"Ligne(s) à corriger",IF(AND(L127&lt;&gt;"",OR(G127="Refusé",G127="Annulé")),"Devis refusé ou annulé mais facturé","OK"))))))))))</f>
        <v/>
      </c>
      <c r="O127" s="62">
        <f>IF(ISNUMBER(B127),B127,0)</f>
        <v>0.0</v>
      </c>
      <c r="P127" s="62" t="str">
        <f>IF(O127=0,"",YEAR(O127))</f>
        <v/>
      </c>
      <c r="Q127" s="62" t="str">
        <f>IF(P127="","",COUNTIF($P$6:P127,P127))</f>
        <v/>
      </c>
      <c r="R127" s="62">
        <f>IF(A127="",0,COUNTIF(dl_doc,A127))</f>
        <v>0.0</v>
      </c>
    </row>
    <row r="128">
      <c r="A128" s="59" t="str">
        <f>IF(Q128="","",p_pdv&amp;"-"&amp;P128&amp;"-"&amp;RIGHT("000"&amp;Q128,4))</f>
        <v/>
      </c>
      <c r="B128" s="61" t="n"/>
      <c r="C128" s="60" t="n"/>
      <c r="D128" s="62" t="str">
        <f>IF(C128="","",IFERROR(INDEX(cli_name,MATCH(C128,cli_code,0))&amp;"","Client inconnu"))</f>
        <v/>
      </c>
      <c r="E128" s="63" t="n"/>
      <c r="F128" s="61" t="n"/>
      <c r="G128" s="60" t="n"/>
      <c r="H128" s="64" t="str">
        <f>IF(A128="","",IF(ISNUMBER(F128),F128,O128+N(p_validity)))</f>
        <v/>
      </c>
      <c r="I128" s="65" t="str">
        <f>IF(A128="","",SUMIF(dl_doc,A128,dl_ht))</f>
        <v/>
      </c>
      <c r="J128" s="65" t="str">
        <f>IF(A128="","",IF(INDEX(p_rates,1)="",0,ROUND(SUMIFS(dl_ht,dl_doc,A128,dl_rate,INDEX(p_rates,1))*INDEX(p_rates,1),2))+IF(INDEX(p_rates,2)="",0,ROUND(SUMIFS(dl_ht,dl_doc,A128,dl_rate,INDEX(p_rates,2))*INDEX(p_rates,2),2))+IF(INDEX(p_rates,3)="",0,ROUND(SUMIFS(dl_ht,dl_doc,A128,dl_rate,INDEX(p_rates,3))*INDEX(p_rates,3),2))+IF(INDEX(p_rates,4)="",0,ROUND(SUMIFS(dl_ht,dl_doc,A128,dl_rate,INDEX(p_rates,4))*INDEX(p_rates,4),2))+IF(INDEX(p_rates,5)="",0,ROUND(SUMIFS(dl_ht,dl_doc,A128,dl_rate,INDEX(p_rates,5))*INDEX(p_rates,5),2))+IF(INDEX(p_rates,6)="",0,ROUND(SUMIFS(dl_ht,dl_doc,A128,dl_rate,INDEX(p_rates,6))*INDEX(p_rates,6),2)))</f>
        <v/>
      </c>
      <c r="K128" s="65" t="str">
        <f>IF(A128="","",I128+J128)</f>
        <v/>
      </c>
      <c r="L128" s="59" t="str">
        <f>IF(A128="","",IFERROR(INDEX(fa_num,MATCH(A128,fa_dvkey,0))&amp;"",""))</f>
        <v/>
      </c>
      <c r="M128" s="59" t="str">
        <f>IF(A128="","",IF(G128="Annulé","Annulé",IF(L128&lt;&gt;"","Facturé",IF(G128="Accepté","Accepté",IF(G128="Refusé","Refusé",IF(p_asof&gt;H128,"Expiré","En attente"))))))</f>
        <v/>
      </c>
      <c r="N128" s="59" t="str">
        <f>IF(COUNTA(B128:C128,E128:G128)=0,"",IF(B128="","Date manquante",IF(NOT(ISNUMBER(B128)),"Date invalide",IF(C128="","Client manquant",IF(ISNA(MATCH(C128,cli_code,0)),"Client inconnu",IF(O128&lt;MAX($O$6:O127),"Date antérieure au devis précédent",IF(AND(ISNUMBER(F128),F128&lt;O128),"Validité antérieure à la date du devis",IF(AND(R128=0,G128&lt;&gt;"Annulé"),"Aucune ligne (feuille Lignes de devis)",IF(COUNTIFS(dl_doc,A128,dl_check,"&lt;&gt;OK")&gt;0,"Ligne(s) à corriger",IF(AND(L128&lt;&gt;"",OR(G128="Refusé",G128="Annulé")),"Devis refusé ou annulé mais facturé","OK"))))))))))</f>
        <v/>
      </c>
      <c r="O128" s="62">
        <f>IF(ISNUMBER(B128),B128,0)</f>
        <v>0.0</v>
      </c>
      <c r="P128" s="62" t="str">
        <f>IF(O128=0,"",YEAR(O128))</f>
        <v/>
      </c>
      <c r="Q128" s="62" t="str">
        <f>IF(P128="","",COUNTIF($P$6:P128,P128))</f>
        <v/>
      </c>
      <c r="R128" s="62">
        <f>IF(A128="",0,COUNTIF(dl_doc,A128))</f>
        <v>0.0</v>
      </c>
    </row>
    <row r="129">
      <c r="A129" s="59" t="str">
        <f>IF(Q129="","",p_pdv&amp;"-"&amp;P129&amp;"-"&amp;RIGHT("000"&amp;Q129,4))</f>
        <v/>
      </c>
      <c r="B129" s="61" t="n"/>
      <c r="C129" s="60" t="n"/>
      <c r="D129" s="62" t="str">
        <f>IF(C129="","",IFERROR(INDEX(cli_name,MATCH(C129,cli_code,0))&amp;"","Client inconnu"))</f>
        <v/>
      </c>
      <c r="E129" s="63" t="n"/>
      <c r="F129" s="61" t="n"/>
      <c r="G129" s="60" t="n"/>
      <c r="H129" s="64" t="str">
        <f>IF(A129="","",IF(ISNUMBER(F129),F129,O129+N(p_validity)))</f>
        <v/>
      </c>
      <c r="I129" s="65" t="str">
        <f>IF(A129="","",SUMIF(dl_doc,A129,dl_ht))</f>
        <v/>
      </c>
      <c r="J129" s="65" t="str">
        <f>IF(A129="","",IF(INDEX(p_rates,1)="",0,ROUND(SUMIFS(dl_ht,dl_doc,A129,dl_rate,INDEX(p_rates,1))*INDEX(p_rates,1),2))+IF(INDEX(p_rates,2)="",0,ROUND(SUMIFS(dl_ht,dl_doc,A129,dl_rate,INDEX(p_rates,2))*INDEX(p_rates,2),2))+IF(INDEX(p_rates,3)="",0,ROUND(SUMIFS(dl_ht,dl_doc,A129,dl_rate,INDEX(p_rates,3))*INDEX(p_rates,3),2))+IF(INDEX(p_rates,4)="",0,ROUND(SUMIFS(dl_ht,dl_doc,A129,dl_rate,INDEX(p_rates,4))*INDEX(p_rates,4),2))+IF(INDEX(p_rates,5)="",0,ROUND(SUMIFS(dl_ht,dl_doc,A129,dl_rate,INDEX(p_rates,5))*INDEX(p_rates,5),2))+IF(INDEX(p_rates,6)="",0,ROUND(SUMIFS(dl_ht,dl_doc,A129,dl_rate,INDEX(p_rates,6))*INDEX(p_rates,6),2)))</f>
        <v/>
      </c>
      <c r="K129" s="65" t="str">
        <f>IF(A129="","",I129+J129)</f>
        <v/>
      </c>
      <c r="L129" s="59" t="str">
        <f>IF(A129="","",IFERROR(INDEX(fa_num,MATCH(A129,fa_dvkey,0))&amp;"",""))</f>
        <v/>
      </c>
      <c r="M129" s="59" t="str">
        <f>IF(A129="","",IF(G129="Annulé","Annulé",IF(L129&lt;&gt;"","Facturé",IF(G129="Accepté","Accepté",IF(G129="Refusé","Refusé",IF(p_asof&gt;H129,"Expiré","En attente"))))))</f>
        <v/>
      </c>
      <c r="N129" s="59" t="str">
        <f>IF(COUNTA(B129:C129,E129:G129)=0,"",IF(B129="","Date manquante",IF(NOT(ISNUMBER(B129)),"Date invalide",IF(C129="","Client manquant",IF(ISNA(MATCH(C129,cli_code,0)),"Client inconnu",IF(O129&lt;MAX($O$6:O128),"Date antérieure au devis précédent",IF(AND(ISNUMBER(F129),F129&lt;O129),"Validité antérieure à la date du devis",IF(AND(R129=0,G129&lt;&gt;"Annulé"),"Aucune ligne (feuille Lignes de devis)",IF(COUNTIFS(dl_doc,A129,dl_check,"&lt;&gt;OK")&gt;0,"Ligne(s) à corriger",IF(AND(L129&lt;&gt;"",OR(G129="Refusé",G129="Annulé")),"Devis refusé ou annulé mais facturé","OK"))))))))))</f>
        <v/>
      </c>
      <c r="O129" s="62">
        <f>IF(ISNUMBER(B129),B129,0)</f>
        <v>0.0</v>
      </c>
      <c r="P129" s="62" t="str">
        <f>IF(O129=0,"",YEAR(O129))</f>
        <v/>
      </c>
      <c r="Q129" s="62" t="str">
        <f>IF(P129="","",COUNTIF($P$6:P129,P129))</f>
        <v/>
      </c>
      <c r="R129" s="62">
        <f>IF(A129="",0,COUNTIF(dl_doc,A129))</f>
        <v>0.0</v>
      </c>
    </row>
    <row r="130">
      <c r="A130" s="59" t="str">
        <f>IF(Q130="","",p_pdv&amp;"-"&amp;P130&amp;"-"&amp;RIGHT("000"&amp;Q130,4))</f>
        <v/>
      </c>
      <c r="B130" s="61" t="n"/>
      <c r="C130" s="60" t="n"/>
      <c r="D130" s="62" t="str">
        <f>IF(C130="","",IFERROR(INDEX(cli_name,MATCH(C130,cli_code,0))&amp;"","Client inconnu"))</f>
        <v/>
      </c>
      <c r="E130" s="63" t="n"/>
      <c r="F130" s="61" t="n"/>
      <c r="G130" s="60" t="n"/>
      <c r="H130" s="64" t="str">
        <f>IF(A130="","",IF(ISNUMBER(F130),F130,O130+N(p_validity)))</f>
        <v/>
      </c>
      <c r="I130" s="65" t="str">
        <f>IF(A130="","",SUMIF(dl_doc,A130,dl_ht))</f>
        <v/>
      </c>
      <c r="J130" s="65" t="str">
        <f>IF(A130="","",IF(INDEX(p_rates,1)="",0,ROUND(SUMIFS(dl_ht,dl_doc,A130,dl_rate,INDEX(p_rates,1))*INDEX(p_rates,1),2))+IF(INDEX(p_rates,2)="",0,ROUND(SUMIFS(dl_ht,dl_doc,A130,dl_rate,INDEX(p_rates,2))*INDEX(p_rates,2),2))+IF(INDEX(p_rates,3)="",0,ROUND(SUMIFS(dl_ht,dl_doc,A130,dl_rate,INDEX(p_rates,3))*INDEX(p_rates,3),2))+IF(INDEX(p_rates,4)="",0,ROUND(SUMIFS(dl_ht,dl_doc,A130,dl_rate,INDEX(p_rates,4))*INDEX(p_rates,4),2))+IF(INDEX(p_rates,5)="",0,ROUND(SUMIFS(dl_ht,dl_doc,A130,dl_rate,INDEX(p_rates,5))*INDEX(p_rates,5),2))+IF(INDEX(p_rates,6)="",0,ROUND(SUMIFS(dl_ht,dl_doc,A130,dl_rate,INDEX(p_rates,6))*INDEX(p_rates,6),2)))</f>
        <v/>
      </c>
      <c r="K130" s="65" t="str">
        <f>IF(A130="","",I130+J130)</f>
        <v/>
      </c>
      <c r="L130" s="59" t="str">
        <f>IF(A130="","",IFERROR(INDEX(fa_num,MATCH(A130,fa_dvkey,0))&amp;"",""))</f>
        <v/>
      </c>
      <c r="M130" s="59" t="str">
        <f>IF(A130="","",IF(G130="Annulé","Annulé",IF(L130&lt;&gt;"","Facturé",IF(G130="Accepté","Accepté",IF(G130="Refusé","Refusé",IF(p_asof&gt;H130,"Expiré","En attente"))))))</f>
        <v/>
      </c>
      <c r="N130" s="59" t="str">
        <f>IF(COUNTA(B130:C130,E130:G130)=0,"",IF(B130="","Date manquante",IF(NOT(ISNUMBER(B130)),"Date invalide",IF(C130="","Client manquant",IF(ISNA(MATCH(C130,cli_code,0)),"Client inconnu",IF(O130&lt;MAX($O$6:O129),"Date antérieure au devis précédent",IF(AND(ISNUMBER(F130),F130&lt;O130),"Validité antérieure à la date du devis",IF(AND(R130=0,G130&lt;&gt;"Annulé"),"Aucune ligne (feuille Lignes de devis)",IF(COUNTIFS(dl_doc,A130,dl_check,"&lt;&gt;OK")&gt;0,"Ligne(s) à corriger",IF(AND(L130&lt;&gt;"",OR(G130="Refusé",G130="Annulé")),"Devis refusé ou annulé mais facturé","OK"))))))))))</f>
        <v/>
      </c>
      <c r="O130" s="62">
        <f>IF(ISNUMBER(B130),B130,0)</f>
        <v>0.0</v>
      </c>
      <c r="P130" s="62" t="str">
        <f>IF(O130=0,"",YEAR(O130))</f>
        <v/>
      </c>
      <c r="Q130" s="62" t="str">
        <f>IF(P130="","",COUNTIF($P$6:P130,P130))</f>
        <v/>
      </c>
      <c r="R130" s="62">
        <f>IF(A130="",0,COUNTIF(dl_doc,A130))</f>
        <v>0.0</v>
      </c>
    </row>
    <row r="131">
      <c r="A131" s="59" t="str">
        <f>IF(Q131="","",p_pdv&amp;"-"&amp;P131&amp;"-"&amp;RIGHT("000"&amp;Q131,4))</f>
        <v/>
      </c>
      <c r="B131" s="61" t="n"/>
      <c r="C131" s="60" t="n"/>
      <c r="D131" s="62" t="str">
        <f>IF(C131="","",IFERROR(INDEX(cli_name,MATCH(C131,cli_code,0))&amp;"","Client inconnu"))</f>
        <v/>
      </c>
      <c r="E131" s="63" t="n"/>
      <c r="F131" s="61" t="n"/>
      <c r="G131" s="60" t="n"/>
      <c r="H131" s="64" t="str">
        <f>IF(A131="","",IF(ISNUMBER(F131),F131,O131+N(p_validity)))</f>
        <v/>
      </c>
      <c r="I131" s="65" t="str">
        <f>IF(A131="","",SUMIF(dl_doc,A131,dl_ht))</f>
        <v/>
      </c>
      <c r="J131" s="65" t="str">
        <f>IF(A131="","",IF(INDEX(p_rates,1)="",0,ROUND(SUMIFS(dl_ht,dl_doc,A131,dl_rate,INDEX(p_rates,1))*INDEX(p_rates,1),2))+IF(INDEX(p_rates,2)="",0,ROUND(SUMIFS(dl_ht,dl_doc,A131,dl_rate,INDEX(p_rates,2))*INDEX(p_rates,2),2))+IF(INDEX(p_rates,3)="",0,ROUND(SUMIFS(dl_ht,dl_doc,A131,dl_rate,INDEX(p_rates,3))*INDEX(p_rates,3),2))+IF(INDEX(p_rates,4)="",0,ROUND(SUMIFS(dl_ht,dl_doc,A131,dl_rate,INDEX(p_rates,4))*INDEX(p_rates,4),2))+IF(INDEX(p_rates,5)="",0,ROUND(SUMIFS(dl_ht,dl_doc,A131,dl_rate,INDEX(p_rates,5))*INDEX(p_rates,5),2))+IF(INDEX(p_rates,6)="",0,ROUND(SUMIFS(dl_ht,dl_doc,A131,dl_rate,INDEX(p_rates,6))*INDEX(p_rates,6),2)))</f>
        <v/>
      </c>
      <c r="K131" s="65" t="str">
        <f>IF(A131="","",I131+J131)</f>
        <v/>
      </c>
      <c r="L131" s="59" t="str">
        <f>IF(A131="","",IFERROR(INDEX(fa_num,MATCH(A131,fa_dvkey,0))&amp;"",""))</f>
        <v/>
      </c>
      <c r="M131" s="59" t="str">
        <f>IF(A131="","",IF(G131="Annulé","Annulé",IF(L131&lt;&gt;"","Facturé",IF(G131="Accepté","Accepté",IF(G131="Refusé","Refusé",IF(p_asof&gt;H131,"Expiré","En attente"))))))</f>
        <v/>
      </c>
      <c r="N131" s="59" t="str">
        <f>IF(COUNTA(B131:C131,E131:G131)=0,"",IF(B131="","Date manquante",IF(NOT(ISNUMBER(B131)),"Date invalide",IF(C131="","Client manquant",IF(ISNA(MATCH(C131,cli_code,0)),"Client inconnu",IF(O131&lt;MAX($O$6:O130),"Date antérieure au devis précédent",IF(AND(ISNUMBER(F131),F131&lt;O131),"Validité antérieure à la date du devis",IF(AND(R131=0,G131&lt;&gt;"Annulé"),"Aucune ligne (feuille Lignes de devis)",IF(COUNTIFS(dl_doc,A131,dl_check,"&lt;&gt;OK")&gt;0,"Ligne(s) à corriger",IF(AND(L131&lt;&gt;"",OR(G131="Refusé",G131="Annulé")),"Devis refusé ou annulé mais facturé","OK"))))))))))</f>
        <v/>
      </c>
      <c r="O131" s="62">
        <f>IF(ISNUMBER(B131),B131,0)</f>
        <v>0.0</v>
      </c>
      <c r="P131" s="62" t="str">
        <f>IF(O131=0,"",YEAR(O131))</f>
        <v/>
      </c>
      <c r="Q131" s="62" t="str">
        <f>IF(P131="","",COUNTIF($P$6:P131,P131))</f>
        <v/>
      </c>
      <c r="R131" s="62">
        <f>IF(A131="",0,COUNTIF(dl_doc,A131))</f>
        <v>0.0</v>
      </c>
    </row>
    <row r="132">
      <c r="A132" s="59" t="str">
        <f>IF(Q132="","",p_pdv&amp;"-"&amp;P132&amp;"-"&amp;RIGHT("000"&amp;Q132,4))</f>
        <v/>
      </c>
      <c r="B132" s="61" t="n"/>
      <c r="C132" s="60" t="n"/>
      <c r="D132" s="62" t="str">
        <f>IF(C132="","",IFERROR(INDEX(cli_name,MATCH(C132,cli_code,0))&amp;"","Client inconnu"))</f>
        <v/>
      </c>
      <c r="E132" s="63" t="n"/>
      <c r="F132" s="61" t="n"/>
      <c r="G132" s="60" t="n"/>
      <c r="H132" s="64" t="str">
        <f>IF(A132="","",IF(ISNUMBER(F132),F132,O132+N(p_validity)))</f>
        <v/>
      </c>
      <c r="I132" s="65" t="str">
        <f>IF(A132="","",SUMIF(dl_doc,A132,dl_ht))</f>
        <v/>
      </c>
      <c r="J132" s="65" t="str">
        <f>IF(A132="","",IF(INDEX(p_rates,1)="",0,ROUND(SUMIFS(dl_ht,dl_doc,A132,dl_rate,INDEX(p_rates,1))*INDEX(p_rates,1),2))+IF(INDEX(p_rates,2)="",0,ROUND(SUMIFS(dl_ht,dl_doc,A132,dl_rate,INDEX(p_rates,2))*INDEX(p_rates,2),2))+IF(INDEX(p_rates,3)="",0,ROUND(SUMIFS(dl_ht,dl_doc,A132,dl_rate,INDEX(p_rates,3))*INDEX(p_rates,3),2))+IF(INDEX(p_rates,4)="",0,ROUND(SUMIFS(dl_ht,dl_doc,A132,dl_rate,INDEX(p_rates,4))*INDEX(p_rates,4),2))+IF(INDEX(p_rates,5)="",0,ROUND(SUMIFS(dl_ht,dl_doc,A132,dl_rate,INDEX(p_rates,5))*INDEX(p_rates,5),2))+IF(INDEX(p_rates,6)="",0,ROUND(SUMIFS(dl_ht,dl_doc,A132,dl_rate,INDEX(p_rates,6))*INDEX(p_rates,6),2)))</f>
        <v/>
      </c>
      <c r="K132" s="65" t="str">
        <f>IF(A132="","",I132+J132)</f>
        <v/>
      </c>
      <c r="L132" s="59" t="str">
        <f>IF(A132="","",IFERROR(INDEX(fa_num,MATCH(A132,fa_dvkey,0))&amp;"",""))</f>
        <v/>
      </c>
      <c r="M132" s="59" t="str">
        <f>IF(A132="","",IF(G132="Annulé","Annulé",IF(L132&lt;&gt;"","Facturé",IF(G132="Accepté","Accepté",IF(G132="Refusé","Refusé",IF(p_asof&gt;H132,"Expiré","En attente"))))))</f>
        <v/>
      </c>
      <c r="N132" s="59" t="str">
        <f>IF(COUNTA(B132:C132,E132:G132)=0,"",IF(B132="","Date manquante",IF(NOT(ISNUMBER(B132)),"Date invalide",IF(C132="","Client manquant",IF(ISNA(MATCH(C132,cli_code,0)),"Client inconnu",IF(O132&lt;MAX($O$6:O131),"Date antérieure au devis précédent",IF(AND(ISNUMBER(F132),F132&lt;O132),"Validité antérieure à la date du devis",IF(AND(R132=0,G132&lt;&gt;"Annulé"),"Aucune ligne (feuille Lignes de devis)",IF(COUNTIFS(dl_doc,A132,dl_check,"&lt;&gt;OK")&gt;0,"Ligne(s) à corriger",IF(AND(L132&lt;&gt;"",OR(G132="Refusé",G132="Annulé")),"Devis refusé ou annulé mais facturé","OK"))))))))))</f>
        <v/>
      </c>
      <c r="O132" s="62">
        <f>IF(ISNUMBER(B132),B132,0)</f>
        <v>0.0</v>
      </c>
      <c r="P132" s="62" t="str">
        <f>IF(O132=0,"",YEAR(O132))</f>
        <v/>
      </c>
      <c r="Q132" s="62" t="str">
        <f>IF(P132="","",COUNTIF($P$6:P132,P132))</f>
        <v/>
      </c>
      <c r="R132" s="62">
        <f>IF(A132="",0,COUNTIF(dl_doc,A132))</f>
        <v>0.0</v>
      </c>
    </row>
    <row r="133">
      <c r="A133" s="59" t="str">
        <f>IF(Q133="","",p_pdv&amp;"-"&amp;P133&amp;"-"&amp;RIGHT("000"&amp;Q133,4))</f>
        <v/>
      </c>
      <c r="B133" s="61" t="n"/>
      <c r="C133" s="60" t="n"/>
      <c r="D133" s="62" t="str">
        <f>IF(C133="","",IFERROR(INDEX(cli_name,MATCH(C133,cli_code,0))&amp;"","Client inconnu"))</f>
        <v/>
      </c>
      <c r="E133" s="63" t="n"/>
      <c r="F133" s="61" t="n"/>
      <c r="G133" s="60" t="n"/>
      <c r="H133" s="64" t="str">
        <f>IF(A133="","",IF(ISNUMBER(F133),F133,O133+N(p_validity)))</f>
        <v/>
      </c>
      <c r="I133" s="65" t="str">
        <f>IF(A133="","",SUMIF(dl_doc,A133,dl_ht))</f>
        <v/>
      </c>
      <c r="J133" s="65" t="str">
        <f>IF(A133="","",IF(INDEX(p_rates,1)="",0,ROUND(SUMIFS(dl_ht,dl_doc,A133,dl_rate,INDEX(p_rates,1))*INDEX(p_rates,1),2))+IF(INDEX(p_rates,2)="",0,ROUND(SUMIFS(dl_ht,dl_doc,A133,dl_rate,INDEX(p_rates,2))*INDEX(p_rates,2),2))+IF(INDEX(p_rates,3)="",0,ROUND(SUMIFS(dl_ht,dl_doc,A133,dl_rate,INDEX(p_rates,3))*INDEX(p_rates,3),2))+IF(INDEX(p_rates,4)="",0,ROUND(SUMIFS(dl_ht,dl_doc,A133,dl_rate,INDEX(p_rates,4))*INDEX(p_rates,4),2))+IF(INDEX(p_rates,5)="",0,ROUND(SUMIFS(dl_ht,dl_doc,A133,dl_rate,INDEX(p_rates,5))*INDEX(p_rates,5),2))+IF(INDEX(p_rates,6)="",0,ROUND(SUMIFS(dl_ht,dl_doc,A133,dl_rate,INDEX(p_rates,6))*INDEX(p_rates,6),2)))</f>
        <v/>
      </c>
      <c r="K133" s="65" t="str">
        <f>IF(A133="","",I133+J133)</f>
        <v/>
      </c>
      <c r="L133" s="59" t="str">
        <f>IF(A133="","",IFERROR(INDEX(fa_num,MATCH(A133,fa_dvkey,0))&amp;"",""))</f>
        <v/>
      </c>
      <c r="M133" s="59" t="str">
        <f>IF(A133="","",IF(G133="Annulé","Annulé",IF(L133&lt;&gt;"","Facturé",IF(G133="Accepté","Accepté",IF(G133="Refusé","Refusé",IF(p_asof&gt;H133,"Expiré","En attente"))))))</f>
        <v/>
      </c>
      <c r="N133" s="59" t="str">
        <f>IF(COUNTA(B133:C133,E133:G133)=0,"",IF(B133="","Date manquante",IF(NOT(ISNUMBER(B133)),"Date invalide",IF(C133="","Client manquant",IF(ISNA(MATCH(C133,cli_code,0)),"Client inconnu",IF(O133&lt;MAX($O$6:O132),"Date antérieure au devis précédent",IF(AND(ISNUMBER(F133),F133&lt;O133),"Validité antérieure à la date du devis",IF(AND(R133=0,G133&lt;&gt;"Annulé"),"Aucune ligne (feuille Lignes de devis)",IF(COUNTIFS(dl_doc,A133,dl_check,"&lt;&gt;OK")&gt;0,"Ligne(s) à corriger",IF(AND(L133&lt;&gt;"",OR(G133="Refusé",G133="Annulé")),"Devis refusé ou annulé mais facturé","OK"))))))))))</f>
        <v/>
      </c>
      <c r="O133" s="62">
        <f>IF(ISNUMBER(B133),B133,0)</f>
        <v>0.0</v>
      </c>
      <c r="P133" s="62" t="str">
        <f>IF(O133=0,"",YEAR(O133))</f>
        <v/>
      </c>
      <c r="Q133" s="62" t="str">
        <f>IF(P133="","",COUNTIF($P$6:P133,P133))</f>
        <v/>
      </c>
      <c r="R133" s="62">
        <f>IF(A133="",0,COUNTIF(dl_doc,A133))</f>
        <v>0.0</v>
      </c>
    </row>
    <row r="134">
      <c r="A134" s="59" t="str">
        <f>IF(Q134="","",p_pdv&amp;"-"&amp;P134&amp;"-"&amp;RIGHT("000"&amp;Q134,4))</f>
        <v/>
      </c>
      <c r="B134" s="61" t="n"/>
      <c r="C134" s="60" t="n"/>
      <c r="D134" s="62" t="str">
        <f>IF(C134="","",IFERROR(INDEX(cli_name,MATCH(C134,cli_code,0))&amp;"","Client inconnu"))</f>
        <v/>
      </c>
      <c r="E134" s="63" t="n"/>
      <c r="F134" s="61" t="n"/>
      <c r="G134" s="60" t="n"/>
      <c r="H134" s="64" t="str">
        <f>IF(A134="","",IF(ISNUMBER(F134),F134,O134+N(p_validity)))</f>
        <v/>
      </c>
      <c r="I134" s="65" t="str">
        <f>IF(A134="","",SUMIF(dl_doc,A134,dl_ht))</f>
        <v/>
      </c>
      <c r="J134" s="65" t="str">
        <f>IF(A134="","",IF(INDEX(p_rates,1)="",0,ROUND(SUMIFS(dl_ht,dl_doc,A134,dl_rate,INDEX(p_rates,1))*INDEX(p_rates,1),2))+IF(INDEX(p_rates,2)="",0,ROUND(SUMIFS(dl_ht,dl_doc,A134,dl_rate,INDEX(p_rates,2))*INDEX(p_rates,2),2))+IF(INDEX(p_rates,3)="",0,ROUND(SUMIFS(dl_ht,dl_doc,A134,dl_rate,INDEX(p_rates,3))*INDEX(p_rates,3),2))+IF(INDEX(p_rates,4)="",0,ROUND(SUMIFS(dl_ht,dl_doc,A134,dl_rate,INDEX(p_rates,4))*INDEX(p_rates,4),2))+IF(INDEX(p_rates,5)="",0,ROUND(SUMIFS(dl_ht,dl_doc,A134,dl_rate,INDEX(p_rates,5))*INDEX(p_rates,5),2))+IF(INDEX(p_rates,6)="",0,ROUND(SUMIFS(dl_ht,dl_doc,A134,dl_rate,INDEX(p_rates,6))*INDEX(p_rates,6),2)))</f>
        <v/>
      </c>
      <c r="K134" s="65" t="str">
        <f>IF(A134="","",I134+J134)</f>
        <v/>
      </c>
      <c r="L134" s="59" t="str">
        <f>IF(A134="","",IFERROR(INDEX(fa_num,MATCH(A134,fa_dvkey,0))&amp;"",""))</f>
        <v/>
      </c>
      <c r="M134" s="59" t="str">
        <f>IF(A134="","",IF(G134="Annulé","Annulé",IF(L134&lt;&gt;"","Facturé",IF(G134="Accepté","Accepté",IF(G134="Refusé","Refusé",IF(p_asof&gt;H134,"Expiré","En attente"))))))</f>
        <v/>
      </c>
      <c r="N134" s="59" t="str">
        <f>IF(COUNTA(B134:C134,E134:G134)=0,"",IF(B134="","Date manquante",IF(NOT(ISNUMBER(B134)),"Date invalide",IF(C134="","Client manquant",IF(ISNA(MATCH(C134,cli_code,0)),"Client inconnu",IF(O134&lt;MAX($O$6:O133),"Date antérieure au devis précédent",IF(AND(ISNUMBER(F134),F134&lt;O134),"Validité antérieure à la date du devis",IF(AND(R134=0,G134&lt;&gt;"Annulé"),"Aucune ligne (feuille Lignes de devis)",IF(COUNTIFS(dl_doc,A134,dl_check,"&lt;&gt;OK")&gt;0,"Ligne(s) à corriger",IF(AND(L134&lt;&gt;"",OR(G134="Refusé",G134="Annulé")),"Devis refusé ou annulé mais facturé","OK"))))))))))</f>
        <v/>
      </c>
      <c r="O134" s="62">
        <f>IF(ISNUMBER(B134),B134,0)</f>
        <v>0.0</v>
      </c>
      <c r="P134" s="62" t="str">
        <f>IF(O134=0,"",YEAR(O134))</f>
        <v/>
      </c>
      <c r="Q134" s="62" t="str">
        <f>IF(P134="","",COUNTIF($P$6:P134,P134))</f>
        <v/>
      </c>
      <c r="R134" s="62">
        <f>IF(A134="",0,COUNTIF(dl_doc,A134))</f>
        <v>0.0</v>
      </c>
    </row>
    <row r="135">
      <c r="A135" s="59" t="str">
        <f>IF(Q135="","",p_pdv&amp;"-"&amp;P135&amp;"-"&amp;RIGHT("000"&amp;Q135,4))</f>
        <v/>
      </c>
      <c r="B135" s="61" t="n"/>
      <c r="C135" s="60" t="n"/>
      <c r="D135" s="62" t="str">
        <f>IF(C135="","",IFERROR(INDEX(cli_name,MATCH(C135,cli_code,0))&amp;"","Client inconnu"))</f>
        <v/>
      </c>
      <c r="E135" s="63" t="n"/>
      <c r="F135" s="61" t="n"/>
      <c r="G135" s="60" t="n"/>
      <c r="H135" s="64" t="str">
        <f>IF(A135="","",IF(ISNUMBER(F135),F135,O135+N(p_validity)))</f>
        <v/>
      </c>
      <c r="I135" s="65" t="str">
        <f>IF(A135="","",SUMIF(dl_doc,A135,dl_ht))</f>
        <v/>
      </c>
      <c r="J135" s="65" t="str">
        <f>IF(A135="","",IF(INDEX(p_rates,1)="",0,ROUND(SUMIFS(dl_ht,dl_doc,A135,dl_rate,INDEX(p_rates,1))*INDEX(p_rates,1),2))+IF(INDEX(p_rates,2)="",0,ROUND(SUMIFS(dl_ht,dl_doc,A135,dl_rate,INDEX(p_rates,2))*INDEX(p_rates,2),2))+IF(INDEX(p_rates,3)="",0,ROUND(SUMIFS(dl_ht,dl_doc,A135,dl_rate,INDEX(p_rates,3))*INDEX(p_rates,3),2))+IF(INDEX(p_rates,4)="",0,ROUND(SUMIFS(dl_ht,dl_doc,A135,dl_rate,INDEX(p_rates,4))*INDEX(p_rates,4),2))+IF(INDEX(p_rates,5)="",0,ROUND(SUMIFS(dl_ht,dl_doc,A135,dl_rate,INDEX(p_rates,5))*INDEX(p_rates,5),2))+IF(INDEX(p_rates,6)="",0,ROUND(SUMIFS(dl_ht,dl_doc,A135,dl_rate,INDEX(p_rates,6))*INDEX(p_rates,6),2)))</f>
        <v/>
      </c>
      <c r="K135" s="65" t="str">
        <f>IF(A135="","",I135+J135)</f>
        <v/>
      </c>
      <c r="L135" s="59" t="str">
        <f>IF(A135="","",IFERROR(INDEX(fa_num,MATCH(A135,fa_dvkey,0))&amp;"",""))</f>
        <v/>
      </c>
      <c r="M135" s="59" t="str">
        <f>IF(A135="","",IF(G135="Annulé","Annulé",IF(L135&lt;&gt;"","Facturé",IF(G135="Accepté","Accepté",IF(G135="Refusé","Refusé",IF(p_asof&gt;H135,"Expiré","En attente"))))))</f>
        <v/>
      </c>
      <c r="N135" s="59" t="str">
        <f>IF(COUNTA(B135:C135,E135:G135)=0,"",IF(B135="","Date manquante",IF(NOT(ISNUMBER(B135)),"Date invalide",IF(C135="","Client manquant",IF(ISNA(MATCH(C135,cli_code,0)),"Client inconnu",IF(O135&lt;MAX($O$6:O134),"Date antérieure au devis précédent",IF(AND(ISNUMBER(F135),F135&lt;O135),"Validité antérieure à la date du devis",IF(AND(R135=0,G135&lt;&gt;"Annulé"),"Aucune ligne (feuille Lignes de devis)",IF(COUNTIFS(dl_doc,A135,dl_check,"&lt;&gt;OK")&gt;0,"Ligne(s) à corriger",IF(AND(L135&lt;&gt;"",OR(G135="Refusé",G135="Annulé")),"Devis refusé ou annulé mais facturé","OK"))))))))))</f>
        <v/>
      </c>
      <c r="O135" s="62">
        <f>IF(ISNUMBER(B135),B135,0)</f>
        <v>0.0</v>
      </c>
      <c r="P135" s="62" t="str">
        <f>IF(O135=0,"",YEAR(O135))</f>
        <v/>
      </c>
      <c r="Q135" s="62" t="str">
        <f>IF(P135="","",COUNTIF($P$6:P135,P135))</f>
        <v/>
      </c>
      <c r="R135" s="62">
        <f>IF(A135="",0,COUNTIF(dl_doc,A135))</f>
        <v>0.0</v>
      </c>
    </row>
    <row r="136">
      <c r="A136" s="59" t="str">
        <f>IF(Q136="","",p_pdv&amp;"-"&amp;P136&amp;"-"&amp;RIGHT("000"&amp;Q136,4))</f>
        <v/>
      </c>
      <c r="B136" s="61" t="n"/>
      <c r="C136" s="60" t="n"/>
      <c r="D136" s="62" t="str">
        <f>IF(C136="","",IFERROR(INDEX(cli_name,MATCH(C136,cli_code,0))&amp;"","Client inconnu"))</f>
        <v/>
      </c>
      <c r="E136" s="63" t="n"/>
      <c r="F136" s="61" t="n"/>
      <c r="G136" s="60" t="n"/>
      <c r="H136" s="64" t="str">
        <f>IF(A136="","",IF(ISNUMBER(F136),F136,O136+N(p_validity)))</f>
        <v/>
      </c>
      <c r="I136" s="65" t="str">
        <f>IF(A136="","",SUMIF(dl_doc,A136,dl_ht))</f>
        <v/>
      </c>
      <c r="J136" s="65" t="str">
        <f>IF(A136="","",IF(INDEX(p_rates,1)="",0,ROUND(SUMIFS(dl_ht,dl_doc,A136,dl_rate,INDEX(p_rates,1))*INDEX(p_rates,1),2))+IF(INDEX(p_rates,2)="",0,ROUND(SUMIFS(dl_ht,dl_doc,A136,dl_rate,INDEX(p_rates,2))*INDEX(p_rates,2),2))+IF(INDEX(p_rates,3)="",0,ROUND(SUMIFS(dl_ht,dl_doc,A136,dl_rate,INDEX(p_rates,3))*INDEX(p_rates,3),2))+IF(INDEX(p_rates,4)="",0,ROUND(SUMIFS(dl_ht,dl_doc,A136,dl_rate,INDEX(p_rates,4))*INDEX(p_rates,4),2))+IF(INDEX(p_rates,5)="",0,ROUND(SUMIFS(dl_ht,dl_doc,A136,dl_rate,INDEX(p_rates,5))*INDEX(p_rates,5),2))+IF(INDEX(p_rates,6)="",0,ROUND(SUMIFS(dl_ht,dl_doc,A136,dl_rate,INDEX(p_rates,6))*INDEX(p_rates,6),2)))</f>
        <v/>
      </c>
      <c r="K136" s="65" t="str">
        <f>IF(A136="","",I136+J136)</f>
        <v/>
      </c>
      <c r="L136" s="59" t="str">
        <f>IF(A136="","",IFERROR(INDEX(fa_num,MATCH(A136,fa_dvkey,0))&amp;"",""))</f>
        <v/>
      </c>
      <c r="M136" s="59" t="str">
        <f>IF(A136="","",IF(G136="Annulé","Annulé",IF(L136&lt;&gt;"","Facturé",IF(G136="Accepté","Accepté",IF(G136="Refusé","Refusé",IF(p_asof&gt;H136,"Expiré","En attente"))))))</f>
        <v/>
      </c>
      <c r="N136" s="59" t="str">
        <f>IF(COUNTA(B136:C136,E136:G136)=0,"",IF(B136="","Date manquante",IF(NOT(ISNUMBER(B136)),"Date invalide",IF(C136="","Client manquant",IF(ISNA(MATCH(C136,cli_code,0)),"Client inconnu",IF(O136&lt;MAX($O$6:O135),"Date antérieure au devis précédent",IF(AND(ISNUMBER(F136),F136&lt;O136),"Validité antérieure à la date du devis",IF(AND(R136=0,G136&lt;&gt;"Annulé"),"Aucune ligne (feuille Lignes de devis)",IF(COUNTIFS(dl_doc,A136,dl_check,"&lt;&gt;OK")&gt;0,"Ligne(s) à corriger",IF(AND(L136&lt;&gt;"",OR(G136="Refusé",G136="Annulé")),"Devis refusé ou annulé mais facturé","OK"))))))))))</f>
        <v/>
      </c>
      <c r="O136" s="62">
        <f>IF(ISNUMBER(B136),B136,0)</f>
        <v>0.0</v>
      </c>
      <c r="P136" s="62" t="str">
        <f>IF(O136=0,"",YEAR(O136))</f>
        <v/>
      </c>
      <c r="Q136" s="62" t="str">
        <f>IF(P136="","",COUNTIF($P$6:P136,P136))</f>
        <v/>
      </c>
      <c r="R136" s="62">
        <f>IF(A136="",0,COUNTIF(dl_doc,A136))</f>
        <v>0.0</v>
      </c>
    </row>
    <row r="137">
      <c r="A137" s="59" t="str">
        <f>IF(Q137="","",p_pdv&amp;"-"&amp;P137&amp;"-"&amp;RIGHT("000"&amp;Q137,4))</f>
        <v/>
      </c>
      <c r="B137" s="61" t="n"/>
      <c r="C137" s="60" t="n"/>
      <c r="D137" s="62" t="str">
        <f>IF(C137="","",IFERROR(INDEX(cli_name,MATCH(C137,cli_code,0))&amp;"","Client inconnu"))</f>
        <v/>
      </c>
      <c r="E137" s="63" t="n"/>
      <c r="F137" s="61" t="n"/>
      <c r="G137" s="60" t="n"/>
      <c r="H137" s="64" t="str">
        <f>IF(A137="","",IF(ISNUMBER(F137),F137,O137+N(p_validity)))</f>
        <v/>
      </c>
      <c r="I137" s="65" t="str">
        <f>IF(A137="","",SUMIF(dl_doc,A137,dl_ht))</f>
        <v/>
      </c>
      <c r="J137" s="65" t="str">
        <f>IF(A137="","",IF(INDEX(p_rates,1)="",0,ROUND(SUMIFS(dl_ht,dl_doc,A137,dl_rate,INDEX(p_rates,1))*INDEX(p_rates,1),2))+IF(INDEX(p_rates,2)="",0,ROUND(SUMIFS(dl_ht,dl_doc,A137,dl_rate,INDEX(p_rates,2))*INDEX(p_rates,2),2))+IF(INDEX(p_rates,3)="",0,ROUND(SUMIFS(dl_ht,dl_doc,A137,dl_rate,INDEX(p_rates,3))*INDEX(p_rates,3),2))+IF(INDEX(p_rates,4)="",0,ROUND(SUMIFS(dl_ht,dl_doc,A137,dl_rate,INDEX(p_rates,4))*INDEX(p_rates,4),2))+IF(INDEX(p_rates,5)="",0,ROUND(SUMIFS(dl_ht,dl_doc,A137,dl_rate,INDEX(p_rates,5))*INDEX(p_rates,5),2))+IF(INDEX(p_rates,6)="",0,ROUND(SUMIFS(dl_ht,dl_doc,A137,dl_rate,INDEX(p_rates,6))*INDEX(p_rates,6),2)))</f>
        <v/>
      </c>
      <c r="K137" s="65" t="str">
        <f>IF(A137="","",I137+J137)</f>
        <v/>
      </c>
      <c r="L137" s="59" t="str">
        <f>IF(A137="","",IFERROR(INDEX(fa_num,MATCH(A137,fa_dvkey,0))&amp;"",""))</f>
        <v/>
      </c>
      <c r="M137" s="59" t="str">
        <f>IF(A137="","",IF(G137="Annulé","Annulé",IF(L137&lt;&gt;"","Facturé",IF(G137="Accepté","Accepté",IF(G137="Refusé","Refusé",IF(p_asof&gt;H137,"Expiré","En attente"))))))</f>
        <v/>
      </c>
      <c r="N137" s="59" t="str">
        <f>IF(COUNTA(B137:C137,E137:G137)=0,"",IF(B137="","Date manquante",IF(NOT(ISNUMBER(B137)),"Date invalide",IF(C137="","Client manquant",IF(ISNA(MATCH(C137,cli_code,0)),"Client inconnu",IF(O137&lt;MAX($O$6:O136),"Date antérieure au devis précédent",IF(AND(ISNUMBER(F137),F137&lt;O137),"Validité antérieure à la date du devis",IF(AND(R137=0,G137&lt;&gt;"Annulé"),"Aucune ligne (feuille Lignes de devis)",IF(COUNTIFS(dl_doc,A137,dl_check,"&lt;&gt;OK")&gt;0,"Ligne(s) à corriger",IF(AND(L137&lt;&gt;"",OR(G137="Refusé",G137="Annulé")),"Devis refusé ou annulé mais facturé","OK"))))))))))</f>
        <v/>
      </c>
      <c r="O137" s="62">
        <f>IF(ISNUMBER(B137),B137,0)</f>
        <v>0.0</v>
      </c>
      <c r="P137" s="62" t="str">
        <f>IF(O137=0,"",YEAR(O137))</f>
        <v/>
      </c>
      <c r="Q137" s="62" t="str">
        <f>IF(P137="","",COUNTIF($P$6:P137,P137))</f>
        <v/>
      </c>
      <c r="R137" s="62">
        <f>IF(A137="",0,COUNTIF(dl_doc,A137))</f>
        <v>0.0</v>
      </c>
    </row>
    <row r="138">
      <c r="A138" s="59" t="str">
        <f>IF(Q138="","",p_pdv&amp;"-"&amp;P138&amp;"-"&amp;RIGHT("000"&amp;Q138,4))</f>
        <v/>
      </c>
      <c r="B138" s="61" t="n"/>
      <c r="C138" s="60" t="n"/>
      <c r="D138" s="62" t="str">
        <f>IF(C138="","",IFERROR(INDEX(cli_name,MATCH(C138,cli_code,0))&amp;"","Client inconnu"))</f>
        <v/>
      </c>
      <c r="E138" s="63" t="n"/>
      <c r="F138" s="61" t="n"/>
      <c r="G138" s="60" t="n"/>
      <c r="H138" s="64" t="str">
        <f>IF(A138="","",IF(ISNUMBER(F138),F138,O138+N(p_validity)))</f>
        <v/>
      </c>
      <c r="I138" s="65" t="str">
        <f>IF(A138="","",SUMIF(dl_doc,A138,dl_ht))</f>
        <v/>
      </c>
      <c r="J138" s="65" t="str">
        <f>IF(A138="","",IF(INDEX(p_rates,1)="",0,ROUND(SUMIFS(dl_ht,dl_doc,A138,dl_rate,INDEX(p_rates,1))*INDEX(p_rates,1),2))+IF(INDEX(p_rates,2)="",0,ROUND(SUMIFS(dl_ht,dl_doc,A138,dl_rate,INDEX(p_rates,2))*INDEX(p_rates,2),2))+IF(INDEX(p_rates,3)="",0,ROUND(SUMIFS(dl_ht,dl_doc,A138,dl_rate,INDEX(p_rates,3))*INDEX(p_rates,3),2))+IF(INDEX(p_rates,4)="",0,ROUND(SUMIFS(dl_ht,dl_doc,A138,dl_rate,INDEX(p_rates,4))*INDEX(p_rates,4),2))+IF(INDEX(p_rates,5)="",0,ROUND(SUMIFS(dl_ht,dl_doc,A138,dl_rate,INDEX(p_rates,5))*INDEX(p_rates,5),2))+IF(INDEX(p_rates,6)="",0,ROUND(SUMIFS(dl_ht,dl_doc,A138,dl_rate,INDEX(p_rates,6))*INDEX(p_rates,6),2)))</f>
        <v/>
      </c>
      <c r="K138" s="65" t="str">
        <f>IF(A138="","",I138+J138)</f>
        <v/>
      </c>
      <c r="L138" s="59" t="str">
        <f>IF(A138="","",IFERROR(INDEX(fa_num,MATCH(A138,fa_dvkey,0))&amp;"",""))</f>
        <v/>
      </c>
      <c r="M138" s="59" t="str">
        <f>IF(A138="","",IF(G138="Annulé","Annulé",IF(L138&lt;&gt;"","Facturé",IF(G138="Accepté","Accepté",IF(G138="Refusé","Refusé",IF(p_asof&gt;H138,"Expiré","En attente"))))))</f>
        <v/>
      </c>
      <c r="N138" s="59" t="str">
        <f>IF(COUNTA(B138:C138,E138:G138)=0,"",IF(B138="","Date manquante",IF(NOT(ISNUMBER(B138)),"Date invalide",IF(C138="","Client manquant",IF(ISNA(MATCH(C138,cli_code,0)),"Client inconnu",IF(O138&lt;MAX($O$6:O137),"Date antérieure au devis précédent",IF(AND(ISNUMBER(F138),F138&lt;O138),"Validité antérieure à la date du devis",IF(AND(R138=0,G138&lt;&gt;"Annulé"),"Aucune ligne (feuille Lignes de devis)",IF(COUNTIFS(dl_doc,A138,dl_check,"&lt;&gt;OK")&gt;0,"Ligne(s) à corriger",IF(AND(L138&lt;&gt;"",OR(G138="Refusé",G138="Annulé")),"Devis refusé ou annulé mais facturé","OK"))))))))))</f>
        <v/>
      </c>
      <c r="O138" s="62">
        <f>IF(ISNUMBER(B138),B138,0)</f>
        <v>0.0</v>
      </c>
      <c r="P138" s="62" t="str">
        <f>IF(O138=0,"",YEAR(O138))</f>
        <v/>
      </c>
      <c r="Q138" s="62" t="str">
        <f>IF(P138="","",COUNTIF($P$6:P138,P138))</f>
        <v/>
      </c>
      <c r="R138" s="62">
        <f>IF(A138="",0,COUNTIF(dl_doc,A138))</f>
        <v>0.0</v>
      </c>
    </row>
    <row r="139">
      <c r="A139" s="59" t="str">
        <f>IF(Q139="","",p_pdv&amp;"-"&amp;P139&amp;"-"&amp;RIGHT("000"&amp;Q139,4))</f>
        <v/>
      </c>
      <c r="B139" s="61" t="n"/>
      <c r="C139" s="60" t="n"/>
      <c r="D139" s="62" t="str">
        <f>IF(C139="","",IFERROR(INDEX(cli_name,MATCH(C139,cli_code,0))&amp;"","Client inconnu"))</f>
        <v/>
      </c>
      <c r="E139" s="63" t="n"/>
      <c r="F139" s="61" t="n"/>
      <c r="G139" s="60" t="n"/>
      <c r="H139" s="64" t="str">
        <f>IF(A139="","",IF(ISNUMBER(F139),F139,O139+N(p_validity)))</f>
        <v/>
      </c>
      <c r="I139" s="65" t="str">
        <f>IF(A139="","",SUMIF(dl_doc,A139,dl_ht))</f>
        <v/>
      </c>
      <c r="J139" s="65" t="str">
        <f>IF(A139="","",IF(INDEX(p_rates,1)="",0,ROUND(SUMIFS(dl_ht,dl_doc,A139,dl_rate,INDEX(p_rates,1))*INDEX(p_rates,1),2))+IF(INDEX(p_rates,2)="",0,ROUND(SUMIFS(dl_ht,dl_doc,A139,dl_rate,INDEX(p_rates,2))*INDEX(p_rates,2),2))+IF(INDEX(p_rates,3)="",0,ROUND(SUMIFS(dl_ht,dl_doc,A139,dl_rate,INDEX(p_rates,3))*INDEX(p_rates,3),2))+IF(INDEX(p_rates,4)="",0,ROUND(SUMIFS(dl_ht,dl_doc,A139,dl_rate,INDEX(p_rates,4))*INDEX(p_rates,4),2))+IF(INDEX(p_rates,5)="",0,ROUND(SUMIFS(dl_ht,dl_doc,A139,dl_rate,INDEX(p_rates,5))*INDEX(p_rates,5),2))+IF(INDEX(p_rates,6)="",0,ROUND(SUMIFS(dl_ht,dl_doc,A139,dl_rate,INDEX(p_rates,6))*INDEX(p_rates,6),2)))</f>
        <v/>
      </c>
      <c r="K139" s="65" t="str">
        <f>IF(A139="","",I139+J139)</f>
        <v/>
      </c>
      <c r="L139" s="59" t="str">
        <f>IF(A139="","",IFERROR(INDEX(fa_num,MATCH(A139,fa_dvkey,0))&amp;"",""))</f>
        <v/>
      </c>
      <c r="M139" s="59" t="str">
        <f>IF(A139="","",IF(G139="Annulé","Annulé",IF(L139&lt;&gt;"","Facturé",IF(G139="Accepté","Accepté",IF(G139="Refusé","Refusé",IF(p_asof&gt;H139,"Expiré","En attente"))))))</f>
        <v/>
      </c>
      <c r="N139" s="59" t="str">
        <f>IF(COUNTA(B139:C139,E139:G139)=0,"",IF(B139="","Date manquante",IF(NOT(ISNUMBER(B139)),"Date invalide",IF(C139="","Client manquant",IF(ISNA(MATCH(C139,cli_code,0)),"Client inconnu",IF(O139&lt;MAX($O$6:O138),"Date antérieure au devis précédent",IF(AND(ISNUMBER(F139),F139&lt;O139),"Validité antérieure à la date du devis",IF(AND(R139=0,G139&lt;&gt;"Annulé"),"Aucune ligne (feuille Lignes de devis)",IF(COUNTIFS(dl_doc,A139,dl_check,"&lt;&gt;OK")&gt;0,"Ligne(s) à corriger",IF(AND(L139&lt;&gt;"",OR(G139="Refusé",G139="Annulé")),"Devis refusé ou annulé mais facturé","OK"))))))))))</f>
        <v/>
      </c>
      <c r="O139" s="62">
        <f>IF(ISNUMBER(B139),B139,0)</f>
        <v>0.0</v>
      </c>
      <c r="P139" s="62" t="str">
        <f>IF(O139=0,"",YEAR(O139))</f>
        <v/>
      </c>
      <c r="Q139" s="62" t="str">
        <f>IF(P139="","",COUNTIF($P$6:P139,P139))</f>
        <v/>
      </c>
      <c r="R139" s="62">
        <f>IF(A139="",0,COUNTIF(dl_doc,A139))</f>
        <v>0.0</v>
      </c>
    </row>
    <row r="140">
      <c r="A140" s="59" t="str">
        <f>IF(Q140="","",p_pdv&amp;"-"&amp;P140&amp;"-"&amp;RIGHT("000"&amp;Q140,4))</f>
        <v/>
      </c>
      <c r="B140" s="61" t="n"/>
      <c r="C140" s="60" t="n"/>
      <c r="D140" s="62" t="str">
        <f>IF(C140="","",IFERROR(INDEX(cli_name,MATCH(C140,cli_code,0))&amp;"","Client inconnu"))</f>
        <v/>
      </c>
      <c r="E140" s="63" t="n"/>
      <c r="F140" s="61" t="n"/>
      <c r="G140" s="60" t="n"/>
      <c r="H140" s="64" t="str">
        <f>IF(A140="","",IF(ISNUMBER(F140),F140,O140+N(p_validity)))</f>
        <v/>
      </c>
      <c r="I140" s="65" t="str">
        <f>IF(A140="","",SUMIF(dl_doc,A140,dl_ht))</f>
        <v/>
      </c>
      <c r="J140" s="65" t="str">
        <f>IF(A140="","",IF(INDEX(p_rates,1)="",0,ROUND(SUMIFS(dl_ht,dl_doc,A140,dl_rate,INDEX(p_rates,1))*INDEX(p_rates,1),2))+IF(INDEX(p_rates,2)="",0,ROUND(SUMIFS(dl_ht,dl_doc,A140,dl_rate,INDEX(p_rates,2))*INDEX(p_rates,2),2))+IF(INDEX(p_rates,3)="",0,ROUND(SUMIFS(dl_ht,dl_doc,A140,dl_rate,INDEX(p_rates,3))*INDEX(p_rates,3),2))+IF(INDEX(p_rates,4)="",0,ROUND(SUMIFS(dl_ht,dl_doc,A140,dl_rate,INDEX(p_rates,4))*INDEX(p_rates,4),2))+IF(INDEX(p_rates,5)="",0,ROUND(SUMIFS(dl_ht,dl_doc,A140,dl_rate,INDEX(p_rates,5))*INDEX(p_rates,5),2))+IF(INDEX(p_rates,6)="",0,ROUND(SUMIFS(dl_ht,dl_doc,A140,dl_rate,INDEX(p_rates,6))*INDEX(p_rates,6),2)))</f>
        <v/>
      </c>
      <c r="K140" s="65" t="str">
        <f>IF(A140="","",I140+J140)</f>
        <v/>
      </c>
      <c r="L140" s="59" t="str">
        <f>IF(A140="","",IFERROR(INDEX(fa_num,MATCH(A140,fa_dvkey,0))&amp;"",""))</f>
        <v/>
      </c>
      <c r="M140" s="59" t="str">
        <f>IF(A140="","",IF(G140="Annulé","Annulé",IF(L140&lt;&gt;"","Facturé",IF(G140="Accepté","Accepté",IF(G140="Refusé","Refusé",IF(p_asof&gt;H140,"Expiré","En attente"))))))</f>
        <v/>
      </c>
      <c r="N140" s="59" t="str">
        <f>IF(COUNTA(B140:C140,E140:G140)=0,"",IF(B140="","Date manquante",IF(NOT(ISNUMBER(B140)),"Date invalide",IF(C140="","Client manquant",IF(ISNA(MATCH(C140,cli_code,0)),"Client inconnu",IF(O140&lt;MAX($O$6:O139),"Date antérieure au devis précédent",IF(AND(ISNUMBER(F140),F140&lt;O140),"Validité antérieure à la date du devis",IF(AND(R140=0,G140&lt;&gt;"Annulé"),"Aucune ligne (feuille Lignes de devis)",IF(COUNTIFS(dl_doc,A140,dl_check,"&lt;&gt;OK")&gt;0,"Ligne(s) à corriger",IF(AND(L140&lt;&gt;"",OR(G140="Refusé",G140="Annulé")),"Devis refusé ou annulé mais facturé","OK"))))))))))</f>
        <v/>
      </c>
      <c r="O140" s="62">
        <f>IF(ISNUMBER(B140),B140,0)</f>
        <v>0.0</v>
      </c>
      <c r="P140" s="62" t="str">
        <f>IF(O140=0,"",YEAR(O140))</f>
        <v/>
      </c>
      <c r="Q140" s="62" t="str">
        <f>IF(P140="","",COUNTIF($P$6:P140,P140))</f>
        <v/>
      </c>
      <c r="R140" s="62">
        <f>IF(A140="",0,COUNTIF(dl_doc,A140))</f>
        <v>0.0</v>
      </c>
    </row>
    <row r="141">
      <c r="A141" s="59" t="str">
        <f>IF(Q141="","",p_pdv&amp;"-"&amp;P141&amp;"-"&amp;RIGHT("000"&amp;Q141,4))</f>
        <v/>
      </c>
      <c r="B141" s="61" t="n"/>
      <c r="C141" s="60" t="n"/>
      <c r="D141" s="62" t="str">
        <f>IF(C141="","",IFERROR(INDEX(cli_name,MATCH(C141,cli_code,0))&amp;"","Client inconnu"))</f>
        <v/>
      </c>
      <c r="E141" s="63" t="n"/>
      <c r="F141" s="61" t="n"/>
      <c r="G141" s="60" t="n"/>
      <c r="H141" s="64" t="str">
        <f>IF(A141="","",IF(ISNUMBER(F141),F141,O141+N(p_validity)))</f>
        <v/>
      </c>
      <c r="I141" s="65" t="str">
        <f>IF(A141="","",SUMIF(dl_doc,A141,dl_ht))</f>
        <v/>
      </c>
      <c r="J141" s="65" t="str">
        <f>IF(A141="","",IF(INDEX(p_rates,1)="",0,ROUND(SUMIFS(dl_ht,dl_doc,A141,dl_rate,INDEX(p_rates,1))*INDEX(p_rates,1),2))+IF(INDEX(p_rates,2)="",0,ROUND(SUMIFS(dl_ht,dl_doc,A141,dl_rate,INDEX(p_rates,2))*INDEX(p_rates,2),2))+IF(INDEX(p_rates,3)="",0,ROUND(SUMIFS(dl_ht,dl_doc,A141,dl_rate,INDEX(p_rates,3))*INDEX(p_rates,3),2))+IF(INDEX(p_rates,4)="",0,ROUND(SUMIFS(dl_ht,dl_doc,A141,dl_rate,INDEX(p_rates,4))*INDEX(p_rates,4),2))+IF(INDEX(p_rates,5)="",0,ROUND(SUMIFS(dl_ht,dl_doc,A141,dl_rate,INDEX(p_rates,5))*INDEX(p_rates,5),2))+IF(INDEX(p_rates,6)="",0,ROUND(SUMIFS(dl_ht,dl_doc,A141,dl_rate,INDEX(p_rates,6))*INDEX(p_rates,6),2)))</f>
        <v/>
      </c>
      <c r="K141" s="65" t="str">
        <f>IF(A141="","",I141+J141)</f>
        <v/>
      </c>
      <c r="L141" s="59" t="str">
        <f>IF(A141="","",IFERROR(INDEX(fa_num,MATCH(A141,fa_dvkey,0))&amp;"",""))</f>
        <v/>
      </c>
      <c r="M141" s="59" t="str">
        <f>IF(A141="","",IF(G141="Annulé","Annulé",IF(L141&lt;&gt;"","Facturé",IF(G141="Accepté","Accepté",IF(G141="Refusé","Refusé",IF(p_asof&gt;H141,"Expiré","En attente"))))))</f>
        <v/>
      </c>
      <c r="N141" s="59" t="str">
        <f>IF(COUNTA(B141:C141,E141:G141)=0,"",IF(B141="","Date manquante",IF(NOT(ISNUMBER(B141)),"Date invalide",IF(C141="","Client manquant",IF(ISNA(MATCH(C141,cli_code,0)),"Client inconnu",IF(O141&lt;MAX($O$6:O140),"Date antérieure au devis précédent",IF(AND(ISNUMBER(F141),F141&lt;O141),"Validité antérieure à la date du devis",IF(AND(R141=0,G141&lt;&gt;"Annulé"),"Aucune ligne (feuille Lignes de devis)",IF(COUNTIFS(dl_doc,A141,dl_check,"&lt;&gt;OK")&gt;0,"Ligne(s) à corriger",IF(AND(L141&lt;&gt;"",OR(G141="Refusé",G141="Annulé")),"Devis refusé ou annulé mais facturé","OK"))))))))))</f>
        <v/>
      </c>
      <c r="O141" s="62">
        <f>IF(ISNUMBER(B141),B141,0)</f>
        <v>0.0</v>
      </c>
      <c r="P141" s="62" t="str">
        <f>IF(O141=0,"",YEAR(O141))</f>
        <v/>
      </c>
      <c r="Q141" s="62" t="str">
        <f>IF(P141="","",COUNTIF($P$6:P141,P141))</f>
        <v/>
      </c>
      <c r="R141" s="62">
        <f>IF(A141="",0,COUNTIF(dl_doc,A141))</f>
        <v>0.0</v>
      </c>
    </row>
    <row r="142">
      <c r="A142" s="59" t="str">
        <f>IF(Q142="","",p_pdv&amp;"-"&amp;P142&amp;"-"&amp;RIGHT("000"&amp;Q142,4))</f>
        <v/>
      </c>
      <c r="B142" s="61" t="n"/>
      <c r="C142" s="60" t="n"/>
      <c r="D142" s="62" t="str">
        <f>IF(C142="","",IFERROR(INDEX(cli_name,MATCH(C142,cli_code,0))&amp;"","Client inconnu"))</f>
        <v/>
      </c>
      <c r="E142" s="63" t="n"/>
      <c r="F142" s="61" t="n"/>
      <c r="G142" s="60" t="n"/>
      <c r="H142" s="64" t="str">
        <f>IF(A142="","",IF(ISNUMBER(F142),F142,O142+N(p_validity)))</f>
        <v/>
      </c>
      <c r="I142" s="65" t="str">
        <f>IF(A142="","",SUMIF(dl_doc,A142,dl_ht))</f>
        <v/>
      </c>
      <c r="J142" s="65" t="str">
        <f>IF(A142="","",IF(INDEX(p_rates,1)="",0,ROUND(SUMIFS(dl_ht,dl_doc,A142,dl_rate,INDEX(p_rates,1))*INDEX(p_rates,1),2))+IF(INDEX(p_rates,2)="",0,ROUND(SUMIFS(dl_ht,dl_doc,A142,dl_rate,INDEX(p_rates,2))*INDEX(p_rates,2),2))+IF(INDEX(p_rates,3)="",0,ROUND(SUMIFS(dl_ht,dl_doc,A142,dl_rate,INDEX(p_rates,3))*INDEX(p_rates,3),2))+IF(INDEX(p_rates,4)="",0,ROUND(SUMIFS(dl_ht,dl_doc,A142,dl_rate,INDEX(p_rates,4))*INDEX(p_rates,4),2))+IF(INDEX(p_rates,5)="",0,ROUND(SUMIFS(dl_ht,dl_doc,A142,dl_rate,INDEX(p_rates,5))*INDEX(p_rates,5),2))+IF(INDEX(p_rates,6)="",0,ROUND(SUMIFS(dl_ht,dl_doc,A142,dl_rate,INDEX(p_rates,6))*INDEX(p_rates,6),2)))</f>
        <v/>
      </c>
      <c r="K142" s="65" t="str">
        <f>IF(A142="","",I142+J142)</f>
        <v/>
      </c>
      <c r="L142" s="59" t="str">
        <f>IF(A142="","",IFERROR(INDEX(fa_num,MATCH(A142,fa_dvkey,0))&amp;"",""))</f>
        <v/>
      </c>
      <c r="M142" s="59" t="str">
        <f>IF(A142="","",IF(G142="Annulé","Annulé",IF(L142&lt;&gt;"","Facturé",IF(G142="Accepté","Accepté",IF(G142="Refusé","Refusé",IF(p_asof&gt;H142,"Expiré","En attente"))))))</f>
        <v/>
      </c>
      <c r="N142" s="59" t="str">
        <f>IF(COUNTA(B142:C142,E142:G142)=0,"",IF(B142="","Date manquante",IF(NOT(ISNUMBER(B142)),"Date invalide",IF(C142="","Client manquant",IF(ISNA(MATCH(C142,cli_code,0)),"Client inconnu",IF(O142&lt;MAX($O$6:O141),"Date antérieure au devis précédent",IF(AND(ISNUMBER(F142),F142&lt;O142),"Validité antérieure à la date du devis",IF(AND(R142=0,G142&lt;&gt;"Annulé"),"Aucune ligne (feuille Lignes de devis)",IF(COUNTIFS(dl_doc,A142,dl_check,"&lt;&gt;OK")&gt;0,"Ligne(s) à corriger",IF(AND(L142&lt;&gt;"",OR(G142="Refusé",G142="Annulé")),"Devis refusé ou annulé mais facturé","OK"))))))))))</f>
        <v/>
      </c>
      <c r="O142" s="62">
        <f>IF(ISNUMBER(B142),B142,0)</f>
        <v>0.0</v>
      </c>
      <c r="P142" s="62" t="str">
        <f>IF(O142=0,"",YEAR(O142))</f>
        <v/>
      </c>
      <c r="Q142" s="62" t="str">
        <f>IF(P142="","",COUNTIF($P$6:P142,P142))</f>
        <v/>
      </c>
      <c r="R142" s="62">
        <f>IF(A142="",0,COUNTIF(dl_doc,A142))</f>
        <v>0.0</v>
      </c>
    </row>
    <row r="143">
      <c r="A143" s="59" t="str">
        <f>IF(Q143="","",p_pdv&amp;"-"&amp;P143&amp;"-"&amp;RIGHT("000"&amp;Q143,4))</f>
        <v/>
      </c>
      <c r="B143" s="61" t="n"/>
      <c r="C143" s="60" t="n"/>
      <c r="D143" s="62" t="str">
        <f>IF(C143="","",IFERROR(INDEX(cli_name,MATCH(C143,cli_code,0))&amp;"","Client inconnu"))</f>
        <v/>
      </c>
      <c r="E143" s="63" t="n"/>
      <c r="F143" s="61" t="n"/>
      <c r="G143" s="60" t="n"/>
      <c r="H143" s="64" t="str">
        <f>IF(A143="","",IF(ISNUMBER(F143),F143,O143+N(p_validity)))</f>
        <v/>
      </c>
      <c r="I143" s="65" t="str">
        <f>IF(A143="","",SUMIF(dl_doc,A143,dl_ht))</f>
        <v/>
      </c>
      <c r="J143" s="65" t="str">
        <f>IF(A143="","",IF(INDEX(p_rates,1)="",0,ROUND(SUMIFS(dl_ht,dl_doc,A143,dl_rate,INDEX(p_rates,1))*INDEX(p_rates,1),2))+IF(INDEX(p_rates,2)="",0,ROUND(SUMIFS(dl_ht,dl_doc,A143,dl_rate,INDEX(p_rates,2))*INDEX(p_rates,2),2))+IF(INDEX(p_rates,3)="",0,ROUND(SUMIFS(dl_ht,dl_doc,A143,dl_rate,INDEX(p_rates,3))*INDEX(p_rates,3),2))+IF(INDEX(p_rates,4)="",0,ROUND(SUMIFS(dl_ht,dl_doc,A143,dl_rate,INDEX(p_rates,4))*INDEX(p_rates,4),2))+IF(INDEX(p_rates,5)="",0,ROUND(SUMIFS(dl_ht,dl_doc,A143,dl_rate,INDEX(p_rates,5))*INDEX(p_rates,5),2))+IF(INDEX(p_rates,6)="",0,ROUND(SUMIFS(dl_ht,dl_doc,A143,dl_rate,INDEX(p_rates,6))*INDEX(p_rates,6),2)))</f>
        <v/>
      </c>
      <c r="K143" s="65" t="str">
        <f>IF(A143="","",I143+J143)</f>
        <v/>
      </c>
      <c r="L143" s="59" t="str">
        <f>IF(A143="","",IFERROR(INDEX(fa_num,MATCH(A143,fa_dvkey,0))&amp;"",""))</f>
        <v/>
      </c>
      <c r="M143" s="59" t="str">
        <f>IF(A143="","",IF(G143="Annulé","Annulé",IF(L143&lt;&gt;"","Facturé",IF(G143="Accepté","Accepté",IF(G143="Refusé","Refusé",IF(p_asof&gt;H143,"Expiré","En attente"))))))</f>
        <v/>
      </c>
      <c r="N143" s="59" t="str">
        <f>IF(COUNTA(B143:C143,E143:G143)=0,"",IF(B143="","Date manquante",IF(NOT(ISNUMBER(B143)),"Date invalide",IF(C143="","Client manquant",IF(ISNA(MATCH(C143,cli_code,0)),"Client inconnu",IF(O143&lt;MAX($O$6:O142),"Date antérieure au devis précédent",IF(AND(ISNUMBER(F143),F143&lt;O143),"Validité antérieure à la date du devis",IF(AND(R143=0,G143&lt;&gt;"Annulé"),"Aucune ligne (feuille Lignes de devis)",IF(COUNTIFS(dl_doc,A143,dl_check,"&lt;&gt;OK")&gt;0,"Ligne(s) à corriger",IF(AND(L143&lt;&gt;"",OR(G143="Refusé",G143="Annulé")),"Devis refusé ou annulé mais facturé","OK"))))))))))</f>
        <v/>
      </c>
      <c r="O143" s="62">
        <f>IF(ISNUMBER(B143),B143,0)</f>
        <v>0.0</v>
      </c>
      <c r="P143" s="62" t="str">
        <f>IF(O143=0,"",YEAR(O143))</f>
        <v/>
      </c>
      <c r="Q143" s="62" t="str">
        <f>IF(P143="","",COUNTIF($P$6:P143,P143))</f>
        <v/>
      </c>
      <c r="R143" s="62">
        <f>IF(A143="",0,COUNTIF(dl_doc,A143))</f>
        <v>0.0</v>
      </c>
    </row>
    <row r="144">
      <c r="A144" s="59" t="str">
        <f>IF(Q144="","",p_pdv&amp;"-"&amp;P144&amp;"-"&amp;RIGHT("000"&amp;Q144,4))</f>
        <v/>
      </c>
      <c r="B144" s="61" t="n"/>
      <c r="C144" s="60" t="n"/>
      <c r="D144" s="62" t="str">
        <f>IF(C144="","",IFERROR(INDEX(cli_name,MATCH(C144,cli_code,0))&amp;"","Client inconnu"))</f>
        <v/>
      </c>
      <c r="E144" s="63" t="n"/>
      <c r="F144" s="61" t="n"/>
      <c r="G144" s="60" t="n"/>
      <c r="H144" s="64" t="str">
        <f>IF(A144="","",IF(ISNUMBER(F144),F144,O144+N(p_validity)))</f>
        <v/>
      </c>
      <c r="I144" s="65" t="str">
        <f>IF(A144="","",SUMIF(dl_doc,A144,dl_ht))</f>
        <v/>
      </c>
      <c r="J144" s="65" t="str">
        <f>IF(A144="","",IF(INDEX(p_rates,1)="",0,ROUND(SUMIFS(dl_ht,dl_doc,A144,dl_rate,INDEX(p_rates,1))*INDEX(p_rates,1),2))+IF(INDEX(p_rates,2)="",0,ROUND(SUMIFS(dl_ht,dl_doc,A144,dl_rate,INDEX(p_rates,2))*INDEX(p_rates,2),2))+IF(INDEX(p_rates,3)="",0,ROUND(SUMIFS(dl_ht,dl_doc,A144,dl_rate,INDEX(p_rates,3))*INDEX(p_rates,3),2))+IF(INDEX(p_rates,4)="",0,ROUND(SUMIFS(dl_ht,dl_doc,A144,dl_rate,INDEX(p_rates,4))*INDEX(p_rates,4),2))+IF(INDEX(p_rates,5)="",0,ROUND(SUMIFS(dl_ht,dl_doc,A144,dl_rate,INDEX(p_rates,5))*INDEX(p_rates,5),2))+IF(INDEX(p_rates,6)="",0,ROUND(SUMIFS(dl_ht,dl_doc,A144,dl_rate,INDEX(p_rates,6))*INDEX(p_rates,6),2)))</f>
        <v/>
      </c>
      <c r="K144" s="65" t="str">
        <f>IF(A144="","",I144+J144)</f>
        <v/>
      </c>
      <c r="L144" s="59" t="str">
        <f>IF(A144="","",IFERROR(INDEX(fa_num,MATCH(A144,fa_dvkey,0))&amp;"",""))</f>
        <v/>
      </c>
      <c r="M144" s="59" t="str">
        <f>IF(A144="","",IF(G144="Annulé","Annulé",IF(L144&lt;&gt;"","Facturé",IF(G144="Accepté","Accepté",IF(G144="Refusé","Refusé",IF(p_asof&gt;H144,"Expiré","En attente"))))))</f>
        <v/>
      </c>
      <c r="N144" s="59" t="str">
        <f>IF(COUNTA(B144:C144,E144:G144)=0,"",IF(B144="","Date manquante",IF(NOT(ISNUMBER(B144)),"Date invalide",IF(C144="","Client manquant",IF(ISNA(MATCH(C144,cli_code,0)),"Client inconnu",IF(O144&lt;MAX($O$6:O143),"Date antérieure au devis précédent",IF(AND(ISNUMBER(F144),F144&lt;O144),"Validité antérieure à la date du devis",IF(AND(R144=0,G144&lt;&gt;"Annulé"),"Aucune ligne (feuille Lignes de devis)",IF(COUNTIFS(dl_doc,A144,dl_check,"&lt;&gt;OK")&gt;0,"Ligne(s) à corriger",IF(AND(L144&lt;&gt;"",OR(G144="Refusé",G144="Annulé")),"Devis refusé ou annulé mais facturé","OK"))))))))))</f>
        <v/>
      </c>
      <c r="O144" s="62">
        <f>IF(ISNUMBER(B144),B144,0)</f>
        <v>0.0</v>
      </c>
      <c r="P144" s="62" t="str">
        <f>IF(O144=0,"",YEAR(O144))</f>
        <v/>
      </c>
      <c r="Q144" s="62" t="str">
        <f>IF(P144="","",COUNTIF($P$6:P144,P144))</f>
        <v/>
      </c>
      <c r="R144" s="62">
        <f>IF(A144="",0,COUNTIF(dl_doc,A144))</f>
        <v>0.0</v>
      </c>
    </row>
    <row r="145">
      <c r="A145" s="59" t="str">
        <f>IF(Q145="","",p_pdv&amp;"-"&amp;P145&amp;"-"&amp;RIGHT("000"&amp;Q145,4))</f>
        <v/>
      </c>
      <c r="B145" s="61" t="n"/>
      <c r="C145" s="60" t="n"/>
      <c r="D145" s="62" t="str">
        <f>IF(C145="","",IFERROR(INDEX(cli_name,MATCH(C145,cli_code,0))&amp;"","Client inconnu"))</f>
        <v/>
      </c>
      <c r="E145" s="63" t="n"/>
      <c r="F145" s="61" t="n"/>
      <c r="G145" s="60" t="n"/>
      <c r="H145" s="64" t="str">
        <f>IF(A145="","",IF(ISNUMBER(F145),F145,O145+N(p_validity)))</f>
        <v/>
      </c>
      <c r="I145" s="65" t="str">
        <f>IF(A145="","",SUMIF(dl_doc,A145,dl_ht))</f>
        <v/>
      </c>
      <c r="J145" s="65" t="str">
        <f>IF(A145="","",IF(INDEX(p_rates,1)="",0,ROUND(SUMIFS(dl_ht,dl_doc,A145,dl_rate,INDEX(p_rates,1))*INDEX(p_rates,1),2))+IF(INDEX(p_rates,2)="",0,ROUND(SUMIFS(dl_ht,dl_doc,A145,dl_rate,INDEX(p_rates,2))*INDEX(p_rates,2),2))+IF(INDEX(p_rates,3)="",0,ROUND(SUMIFS(dl_ht,dl_doc,A145,dl_rate,INDEX(p_rates,3))*INDEX(p_rates,3),2))+IF(INDEX(p_rates,4)="",0,ROUND(SUMIFS(dl_ht,dl_doc,A145,dl_rate,INDEX(p_rates,4))*INDEX(p_rates,4),2))+IF(INDEX(p_rates,5)="",0,ROUND(SUMIFS(dl_ht,dl_doc,A145,dl_rate,INDEX(p_rates,5))*INDEX(p_rates,5),2))+IF(INDEX(p_rates,6)="",0,ROUND(SUMIFS(dl_ht,dl_doc,A145,dl_rate,INDEX(p_rates,6))*INDEX(p_rates,6),2)))</f>
        <v/>
      </c>
      <c r="K145" s="65" t="str">
        <f>IF(A145="","",I145+J145)</f>
        <v/>
      </c>
      <c r="L145" s="59" t="str">
        <f>IF(A145="","",IFERROR(INDEX(fa_num,MATCH(A145,fa_dvkey,0))&amp;"",""))</f>
        <v/>
      </c>
      <c r="M145" s="59" t="str">
        <f>IF(A145="","",IF(G145="Annulé","Annulé",IF(L145&lt;&gt;"","Facturé",IF(G145="Accepté","Accepté",IF(G145="Refusé","Refusé",IF(p_asof&gt;H145,"Expiré","En attente"))))))</f>
        <v/>
      </c>
      <c r="N145" s="59" t="str">
        <f>IF(COUNTA(B145:C145,E145:G145)=0,"",IF(B145="","Date manquante",IF(NOT(ISNUMBER(B145)),"Date invalide",IF(C145="","Client manquant",IF(ISNA(MATCH(C145,cli_code,0)),"Client inconnu",IF(O145&lt;MAX($O$6:O144),"Date antérieure au devis précédent",IF(AND(ISNUMBER(F145),F145&lt;O145),"Validité antérieure à la date du devis",IF(AND(R145=0,G145&lt;&gt;"Annulé"),"Aucune ligne (feuille Lignes de devis)",IF(COUNTIFS(dl_doc,A145,dl_check,"&lt;&gt;OK")&gt;0,"Ligne(s) à corriger",IF(AND(L145&lt;&gt;"",OR(G145="Refusé",G145="Annulé")),"Devis refusé ou annulé mais facturé","OK"))))))))))</f>
        <v/>
      </c>
      <c r="O145" s="62">
        <f>IF(ISNUMBER(B145),B145,0)</f>
        <v>0.0</v>
      </c>
      <c r="P145" s="62" t="str">
        <f>IF(O145=0,"",YEAR(O145))</f>
        <v/>
      </c>
      <c r="Q145" s="62" t="str">
        <f>IF(P145="","",COUNTIF($P$6:P145,P145))</f>
        <v/>
      </c>
      <c r="R145" s="62">
        <f>IF(A145="",0,COUNTIF(dl_doc,A145))</f>
        <v>0.0</v>
      </c>
    </row>
    <row r="146">
      <c r="A146" s="59" t="str">
        <f>IF(Q146="","",p_pdv&amp;"-"&amp;P146&amp;"-"&amp;RIGHT("000"&amp;Q146,4))</f>
        <v/>
      </c>
      <c r="B146" s="61" t="n"/>
      <c r="C146" s="60" t="n"/>
      <c r="D146" s="62" t="str">
        <f>IF(C146="","",IFERROR(INDEX(cli_name,MATCH(C146,cli_code,0))&amp;"","Client inconnu"))</f>
        <v/>
      </c>
      <c r="E146" s="63" t="n"/>
      <c r="F146" s="61" t="n"/>
      <c r="G146" s="60" t="n"/>
      <c r="H146" s="64" t="str">
        <f>IF(A146="","",IF(ISNUMBER(F146),F146,O146+N(p_validity)))</f>
        <v/>
      </c>
      <c r="I146" s="65" t="str">
        <f>IF(A146="","",SUMIF(dl_doc,A146,dl_ht))</f>
        <v/>
      </c>
      <c r="J146" s="65" t="str">
        <f>IF(A146="","",IF(INDEX(p_rates,1)="",0,ROUND(SUMIFS(dl_ht,dl_doc,A146,dl_rate,INDEX(p_rates,1))*INDEX(p_rates,1),2))+IF(INDEX(p_rates,2)="",0,ROUND(SUMIFS(dl_ht,dl_doc,A146,dl_rate,INDEX(p_rates,2))*INDEX(p_rates,2),2))+IF(INDEX(p_rates,3)="",0,ROUND(SUMIFS(dl_ht,dl_doc,A146,dl_rate,INDEX(p_rates,3))*INDEX(p_rates,3),2))+IF(INDEX(p_rates,4)="",0,ROUND(SUMIFS(dl_ht,dl_doc,A146,dl_rate,INDEX(p_rates,4))*INDEX(p_rates,4),2))+IF(INDEX(p_rates,5)="",0,ROUND(SUMIFS(dl_ht,dl_doc,A146,dl_rate,INDEX(p_rates,5))*INDEX(p_rates,5),2))+IF(INDEX(p_rates,6)="",0,ROUND(SUMIFS(dl_ht,dl_doc,A146,dl_rate,INDEX(p_rates,6))*INDEX(p_rates,6),2)))</f>
        <v/>
      </c>
      <c r="K146" s="65" t="str">
        <f>IF(A146="","",I146+J146)</f>
        <v/>
      </c>
      <c r="L146" s="59" t="str">
        <f>IF(A146="","",IFERROR(INDEX(fa_num,MATCH(A146,fa_dvkey,0))&amp;"",""))</f>
        <v/>
      </c>
      <c r="M146" s="59" t="str">
        <f>IF(A146="","",IF(G146="Annulé","Annulé",IF(L146&lt;&gt;"","Facturé",IF(G146="Accepté","Accepté",IF(G146="Refusé","Refusé",IF(p_asof&gt;H146,"Expiré","En attente"))))))</f>
        <v/>
      </c>
      <c r="N146" s="59" t="str">
        <f>IF(COUNTA(B146:C146,E146:G146)=0,"",IF(B146="","Date manquante",IF(NOT(ISNUMBER(B146)),"Date invalide",IF(C146="","Client manquant",IF(ISNA(MATCH(C146,cli_code,0)),"Client inconnu",IF(O146&lt;MAX($O$6:O145),"Date antérieure au devis précédent",IF(AND(ISNUMBER(F146),F146&lt;O146),"Validité antérieure à la date du devis",IF(AND(R146=0,G146&lt;&gt;"Annulé"),"Aucune ligne (feuille Lignes de devis)",IF(COUNTIFS(dl_doc,A146,dl_check,"&lt;&gt;OK")&gt;0,"Ligne(s) à corriger",IF(AND(L146&lt;&gt;"",OR(G146="Refusé",G146="Annulé")),"Devis refusé ou annulé mais facturé","OK"))))))))))</f>
        <v/>
      </c>
      <c r="O146" s="62">
        <f>IF(ISNUMBER(B146),B146,0)</f>
        <v>0.0</v>
      </c>
      <c r="P146" s="62" t="str">
        <f>IF(O146=0,"",YEAR(O146))</f>
        <v/>
      </c>
      <c r="Q146" s="62" t="str">
        <f>IF(P146="","",COUNTIF($P$6:P146,P146))</f>
        <v/>
      </c>
      <c r="R146" s="62">
        <f>IF(A146="",0,COUNTIF(dl_doc,A146))</f>
        <v>0.0</v>
      </c>
    </row>
    <row r="147">
      <c r="A147" s="59" t="str">
        <f>IF(Q147="","",p_pdv&amp;"-"&amp;P147&amp;"-"&amp;RIGHT("000"&amp;Q147,4))</f>
        <v/>
      </c>
      <c r="B147" s="61" t="n"/>
      <c r="C147" s="60" t="n"/>
      <c r="D147" s="62" t="str">
        <f>IF(C147="","",IFERROR(INDEX(cli_name,MATCH(C147,cli_code,0))&amp;"","Client inconnu"))</f>
        <v/>
      </c>
      <c r="E147" s="63" t="n"/>
      <c r="F147" s="61" t="n"/>
      <c r="G147" s="60" t="n"/>
      <c r="H147" s="64" t="str">
        <f>IF(A147="","",IF(ISNUMBER(F147),F147,O147+N(p_validity)))</f>
        <v/>
      </c>
      <c r="I147" s="65" t="str">
        <f>IF(A147="","",SUMIF(dl_doc,A147,dl_ht))</f>
        <v/>
      </c>
      <c r="J147" s="65" t="str">
        <f>IF(A147="","",IF(INDEX(p_rates,1)="",0,ROUND(SUMIFS(dl_ht,dl_doc,A147,dl_rate,INDEX(p_rates,1))*INDEX(p_rates,1),2))+IF(INDEX(p_rates,2)="",0,ROUND(SUMIFS(dl_ht,dl_doc,A147,dl_rate,INDEX(p_rates,2))*INDEX(p_rates,2),2))+IF(INDEX(p_rates,3)="",0,ROUND(SUMIFS(dl_ht,dl_doc,A147,dl_rate,INDEX(p_rates,3))*INDEX(p_rates,3),2))+IF(INDEX(p_rates,4)="",0,ROUND(SUMIFS(dl_ht,dl_doc,A147,dl_rate,INDEX(p_rates,4))*INDEX(p_rates,4),2))+IF(INDEX(p_rates,5)="",0,ROUND(SUMIFS(dl_ht,dl_doc,A147,dl_rate,INDEX(p_rates,5))*INDEX(p_rates,5),2))+IF(INDEX(p_rates,6)="",0,ROUND(SUMIFS(dl_ht,dl_doc,A147,dl_rate,INDEX(p_rates,6))*INDEX(p_rates,6),2)))</f>
        <v/>
      </c>
      <c r="K147" s="65" t="str">
        <f>IF(A147="","",I147+J147)</f>
        <v/>
      </c>
      <c r="L147" s="59" t="str">
        <f>IF(A147="","",IFERROR(INDEX(fa_num,MATCH(A147,fa_dvkey,0))&amp;"",""))</f>
        <v/>
      </c>
      <c r="M147" s="59" t="str">
        <f>IF(A147="","",IF(G147="Annulé","Annulé",IF(L147&lt;&gt;"","Facturé",IF(G147="Accepté","Accepté",IF(G147="Refusé","Refusé",IF(p_asof&gt;H147,"Expiré","En attente"))))))</f>
        <v/>
      </c>
      <c r="N147" s="59" t="str">
        <f>IF(COUNTA(B147:C147,E147:G147)=0,"",IF(B147="","Date manquante",IF(NOT(ISNUMBER(B147)),"Date invalide",IF(C147="","Client manquant",IF(ISNA(MATCH(C147,cli_code,0)),"Client inconnu",IF(O147&lt;MAX($O$6:O146),"Date antérieure au devis précédent",IF(AND(ISNUMBER(F147),F147&lt;O147),"Validité antérieure à la date du devis",IF(AND(R147=0,G147&lt;&gt;"Annulé"),"Aucune ligne (feuille Lignes de devis)",IF(COUNTIFS(dl_doc,A147,dl_check,"&lt;&gt;OK")&gt;0,"Ligne(s) à corriger",IF(AND(L147&lt;&gt;"",OR(G147="Refusé",G147="Annulé")),"Devis refusé ou annulé mais facturé","OK"))))))))))</f>
        <v/>
      </c>
      <c r="O147" s="62">
        <f>IF(ISNUMBER(B147),B147,0)</f>
        <v>0.0</v>
      </c>
      <c r="P147" s="62" t="str">
        <f>IF(O147=0,"",YEAR(O147))</f>
        <v/>
      </c>
      <c r="Q147" s="62" t="str">
        <f>IF(P147="","",COUNTIF($P$6:P147,P147))</f>
        <v/>
      </c>
      <c r="R147" s="62">
        <f>IF(A147="",0,COUNTIF(dl_doc,A147))</f>
        <v>0.0</v>
      </c>
    </row>
    <row r="148">
      <c r="A148" s="59" t="str">
        <f>IF(Q148="","",p_pdv&amp;"-"&amp;P148&amp;"-"&amp;RIGHT("000"&amp;Q148,4))</f>
        <v/>
      </c>
      <c r="B148" s="61" t="n"/>
      <c r="C148" s="60" t="n"/>
      <c r="D148" s="62" t="str">
        <f>IF(C148="","",IFERROR(INDEX(cli_name,MATCH(C148,cli_code,0))&amp;"","Client inconnu"))</f>
        <v/>
      </c>
      <c r="E148" s="63" t="n"/>
      <c r="F148" s="61" t="n"/>
      <c r="G148" s="60" t="n"/>
      <c r="H148" s="64" t="str">
        <f>IF(A148="","",IF(ISNUMBER(F148),F148,O148+N(p_validity)))</f>
        <v/>
      </c>
      <c r="I148" s="65" t="str">
        <f>IF(A148="","",SUMIF(dl_doc,A148,dl_ht))</f>
        <v/>
      </c>
      <c r="J148" s="65" t="str">
        <f>IF(A148="","",IF(INDEX(p_rates,1)="",0,ROUND(SUMIFS(dl_ht,dl_doc,A148,dl_rate,INDEX(p_rates,1))*INDEX(p_rates,1),2))+IF(INDEX(p_rates,2)="",0,ROUND(SUMIFS(dl_ht,dl_doc,A148,dl_rate,INDEX(p_rates,2))*INDEX(p_rates,2),2))+IF(INDEX(p_rates,3)="",0,ROUND(SUMIFS(dl_ht,dl_doc,A148,dl_rate,INDEX(p_rates,3))*INDEX(p_rates,3),2))+IF(INDEX(p_rates,4)="",0,ROUND(SUMIFS(dl_ht,dl_doc,A148,dl_rate,INDEX(p_rates,4))*INDEX(p_rates,4),2))+IF(INDEX(p_rates,5)="",0,ROUND(SUMIFS(dl_ht,dl_doc,A148,dl_rate,INDEX(p_rates,5))*INDEX(p_rates,5),2))+IF(INDEX(p_rates,6)="",0,ROUND(SUMIFS(dl_ht,dl_doc,A148,dl_rate,INDEX(p_rates,6))*INDEX(p_rates,6),2)))</f>
        <v/>
      </c>
      <c r="K148" s="65" t="str">
        <f>IF(A148="","",I148+J148)</f>
        <v/>
      </c>
      <c r="L148" s="59" t="str">
        <f>IF(A148="","",IFERROR(INDEX(fa_num,MATCH(A148,fa_dvkey,0))&amp;"",""))</f>
        <v/>
      </c>
      <c r="M148" s="59" t="str">
        <f>IF(A148="","",IF(G148="Annulé","Annulé",IF(L148&lt;&gt;"","Facturé",IF(G148="Accepté","Accepté",IF(G148="Refusé","Refusé",IF(p_asof&gt;H148,"Expiré","En attente"))))))</f>
        <v/>
      </c>
      <c r="N148" s="59" t="str">
        <f>IF(COUNTA(B148:C148,E148:G148)=0,"",IF(B148="","Date manquante",IF(NOT(ISNUMBER(B148)),"Date invalide",IF(C148="","Client manquant",IF(ISNA(MATCH(C148,cli_code,0)),"Client inconnu",IF(O148&lt;MAX($O$6:O147),"Date antérieure au devis précédent",IF(AND(ISNUMBER(F148),F148&lt;O148),"Validité antérieure à la date du devis",IF(AND(R148=0,G148&lt;&gt;"Annulé"),"Aucune ligne (feuille Lignes de devis)",IF(COUNTIFS(dl_doc,A148,dl_check,"&lt;&gt;OK")&gt;0,"Ligne(s) à corriger",IF(AND(L148&lt;&gt;"",OR(G148="Refusé",G148="Annulé")),"Devis refusé ou annulé mais facturé","OK"))))))))))</f>
        <v/>
      </c>
      <c r="O148" s="62">
        <f>IF(ISNUMBER(B148),B148,0)</f>
        <v>0.0</v>
      </c>
      <c r="P148" s="62" t="str">
        <f>IF(O148=0,"",YEAR(O148))</f>
        <v/>
      </c>
      <c r="Q148" s="62" t="str">
        <f>IF(P148="","",COUNTIF($P$6:P148,P148))</f>
        <v/>
      </c>
      <c r="R148" s="62">
        <f>IF(A148="",0,COUNTIF(dl_doc,A148))</f>
        <v>0.0</v>
      </c>
    </row>
    <row r="149">
      <c r="A149" s="59" t="str">
        <f>IF(Q149="","",p_pdv&amp;"-"&amp;P149&amp;"-"&amp;RIGHT("000"&amp;Q149,4))</f>
        <v/>
      </c>
      <c r="B149" s="61" t="n"/>
      <c r="C149" s="60" t="n"/>
      <c r="D149" s="62" t="str">
        <f>IF(C149="","",IFERROR(INDEX(cli_name,MATCH(C149,cli_code,0))&amp;"","Client inconnu"))</f>
        <v/>
      </c>
      <c r="E149" s="63" t="n"/>
      <c r="F149" s="61" t="n"/>
      <c r="G149" s="60" t="n"/>
      <c r="H149" s="64" t="str">
        <f>IF(A149="","",IF(ISNUMBER(F149),F149,O149+N(p_validity)))</f>
        <v/>
      </c>
      <c r="I149" s="65" t="str">
        <f>IF(A149="","",SUMIF(dl_doc,A149,dl_ht))</f>
        <v/>
      </c>
      <c r="J149" s="65" t="str">
        <f>IF(A149="","",IF(INDEX(p_rates,1)="",0,ROUND(SUMIFS(dl_ht,dl_doc,A149,dl_rate,INDEX(p_rates,1))*INDEX(p_rates,1),2))+IF(INDEX(p_rates,2)="",0,ROUND(SUMIFS(dl_ht,dl_doc,A149,dl_rate,INDEX(p_rates,2))*INDEX(p_rates,2),2))+IF(INDEX(p_rates,3)="",0,ROUND(SUMIFS(dl_ht,dl_doc,A149,dl_rate,INDEX(p_rates,3))*INDEX(p_rates,3),2))+IF(INDEX(p_rates,4)="",0,ROUND(SUMIFS(dl_ht,dl_doc,A149,dl_rate,INDEX(p_rates,4))*INDEX(p_rates,4),2))+IF(INDEX(p_rates,5)="",0,ROUND(SUMIFS(dl_ht,dl_doc,A149,dl_rate,INDEX(p_rates,5))*INDEX(p_rates,5),2))+IF(INDEX(p_rates,6)="",0,ROUND(SUMIFS(dl_ht,dl_doc,A149,dl_rate,INDEX(p_rates,6))*INDEX(p_rates,6),2)))</f>
        <v/>
      </c>
      <c r="K149" s="65" t="str">
        <f>IF(A149="","",I149+J149)</f>
        <v/>
      </c>
      <c r="L149" s="59" t="str">
        <f>IF(A149="","",IFERROR(INDEX(fa_num,MATCH(A149,fa_dvkey,0))&amp;"",""))</f>
        <v/>
      </c>
      <c r="M149" s="59" t="str">
        <f>IF(A149="","",IF(G149="Annulé","Annulé",IF(L149&lt;&gt;"","Facturé",IF(G149="Accepté","Accepté",IF(G149="Refusé","Refusé",IF(p_asof&gt;H149,"Expiré","En attente"))))))</f>
        <v/>
      </c>
      <c r="N149" s="59" t="str">
        <f>IF(COUNTA(B149:C149,E149:G149)=0,"",IF(B149="","Date manquante",IF(NOT(ISNUMBER(B149)),"Date invalide",IF(C149="","Client manquant",IF(ISNA(MATCH(C149,cli_code,0)),"Client inconnu",IF(O149&lt;MAX($O$6:O148),"Date antérieure au devis précédent",IF(AND(ISNUMBER(F149),F149&lt;O149),"Validité antérieure à la date du devis",IF(AND(R149=0,G149&lt;&gt;"Annulé"),"Aucune ligne (feuille Lignes de devis)",IF(COUNTIFS(dl_doc,A149,dl_check,"&lt;&gt;OK")&gt;0,"Ligne(s) à corriger",IF(AND(L149&lt;&gt;"",OR(G149="Refusé",G149="Annulé")),"Devis refusé ou annulé mais facturé","OK"))))))))))</f>
        <v/>
      </c>
      <c r="O149" s="62">
        <f>IF(ISNUMBER(B149),B149,0)</f>
        <v>0.0</v>
      </c>
      <c r="P149" s="62" t="str">
        <f>IF(O149=0,"",YEAR(O149))</f>
        <v/>
      </c>
      <c r="Q149" s="62" t="str">
        <f>IF(P149="","",COUNTIF($P$6:P149,P149))</f>
        <v/>
      </c>
      <c r="R149" s="62">
        <f>IF(A149="",0,COUNTIF(dl_doc,A149))</f>
        <v>0.0</v>
      </c>
    </row>
    <row r="150">
      <c r="A150" s="59" t="str">
        <f>IF(Q150="","",p_pdv&amp;"-"&amp;P150&amp;"-"&amp;RIGHT("000"&amp;Q150,4))</f>
        <v/>
      </c>
      <c r="B150" s="61" t="n"/>
      <c r="C150" s="60" t="n"/>
      <c r="D150" s="62" t="str">
        <f>IF(C150="","",IFERROR(INDEX(cli_name,MATCH(C150,cli_code,0))&amp;"","Client inconnu"))</f>
        <v/>
      </c>
      <c r="E150" s="63" t="n"/>
      <c r="F150" s="61" t="n"/>
      <c r="G150" s="60" t="n"/>
      <c r="H150" s="64" t="str">
        <f>IF(A150="","",IF(ISNUMBER(F150),F150,O150+N(p_validity)))</f>
        <v/>
      </c>
      <c r="I150" s="65" t="str">
        <f>IF(A150="","",SUMIF(dl_doc,A150,dl_ht))</f>
        <v/>
      </c>
      <c r="J150" s="65" t="str">
        <f>IF(A150="","",IF(INDEX(p_rates,1)="",0,ROUND(SUMIFS(dl_ht,dl_doc,A150,dl_rate,INDEX(p_rates,1))*INDEX(p_rates,1),2))+IF(INDEX(p_rates,2)="",0,ROUND(SUMIFS(dl_ht,dl_doc,A150,dl_rate,INDEX(p_rates,2))*INDEX(p_rates,2),2))+IF(INDEX(p_rates,3)="",0,ROUND(SUMIFS(dl_ht,dl_doc,A150,dl_rate,INDEX(p_rates,3))*INDEX(p_rates,3),2))+IF(INDEX(p_rates,4)="",0,ROUND(SUMIFS(dl_ht,dl_doc,A150,dl_rate,INDEX(p_rates,4))*INDEX(p_rates,4),2))+IF(INDEX(p_rates,5)="",0,ROUND(SUMIFS(dl_ht,dl_doc,A150,dl_rate,INDEX(p_rates,5))*INDEX(p_rates,5),2))+IF(INDEX(p_rates,6)="",0,ROUND(SUMIFS(dl_ht,dl_doc,A150,dl_rate,INDEX(p_rates,6))*INDEX(p_rates,6),2)))</f>
        <v/>
      </c>
      <c r="K150" s="65" t="str">
        <f>IF(A150="","",I150+J150)</f>
        <v/>
      </c>
      <c r="L150" s="59" t="str">
        <f>IF(A150="","",IFERROR(INDEX(fa_num,MATCH(A150,fa_dvkey,0))&amp;"",""))</f>
        <v/>
      </c>
      <c r="M150" s="59" t="str">
        <f>IF(A150="","",IF(G150="Annulé","Annulé",IF(L150&lt;&gt;"","Facturé",IF(G150="Accepté","Accepté",IF(G150="Refusé","Refusé",IF(p_asof&gt;H150,"Expiré","En attente"))))))</f>
        <v/>
      </c>
      <c r="N150" s="59" t="str">
        <f>IF(COUNTA(B150:C150,E150:G150)=0,"",IF(B150="","Date manquante",IF(NOT(ISNUMBER(B150)),"Date invalide",IF(C150="","Client manquant",IF(ISNA(MATCH(C150,cli_code,0)),"Client inconnu",IF(O150&lt;MAX($O$6:O149),"Date antérieure au devis précédent",IF(AND(ISNUMBER(F150),F150&lt;O150),"Validité antérieure à la date du devis",IF(AND(R150=0,G150&lt;&gt;"Annulé"),"Aucune ligne (feuille Lignes de devis)",IF(COUNTIFS(dl_doc,A150,dl_check,"&lt;&gt;OK")&gt;0,"Ligne(s) à corriger",IF(AND(L150&lt;&gt;"",OR(G150="Refusé",G150="Annulé")),"Devis refusé ou annulé mais facturé","OK"))))))))))</f>
        <v/>
      </c>
      <c r="O150" s="62">
        <f>IF(ISNUMBER(B150),B150,0)</f>
        <v>0.0</v>
      </c>
      <c r="P150" s="62" t="str">
        <f>IF(O150=0,"",YEAR(O150))</f>
        <v/>
      </c>
      <c r="Q150" s="62" t="str">
        <f>IF(P150="","",COUNTIF($P$6:P150,P150))</f>
        <v/>
      </c>
      <c r="R150" s="62">
        <f>IF(A150="",0,COUNTIF(dl_doc,A150))</f>
        <v>0.0</v>
      </c>
    </row>
    <row r="151">
      <c r="A151" s="59" t="str">
        <f>IF(Q151="","",p_pdv&amp;"-"&amp;P151&amp;"-"&amp;RIGHT("000"&amp;Q151,4))</f>
        <v/>
      </c>
      <c r="B151" s="61" t="n"/>
      <c r="C151" s="60" t="n"/>
      <c r="D151" s="62" t="str">
        <f>IF(C151="","",IFERROR(INDEX(cli_name,MATCH(C151,cli_code,0))&amp;"","Client inconnu"))</f>
        <v/>
      </c>
      <c r="E151" s="63" t="n"/>
      <c r="F151" s="61" t="n"/>
      <c r="G151" s="60" t="n"/>
      <c r="H151" s="64" t="str">
        <f>IF(A151="","",IF(ISNUMBER(F151),F151,O151+N(p_validity)))</f>
        <v/>
      </c>
      <c r="I151" s="65" t="str">
        <f>IF(A151="","",SUMIF(dl_doc,A151,dl_ht))</f>
        <v/>
      </c>
      <c r="J151" s="65" t="str">
        <f>IF(A151="","",IF(INDEX(p_rates,1)="",0,ROUND(SUMIFS(dl_ht,dl_doc,A151,dl_rate,INDEX(p_rates,1))*INDEX(p_rates,1),2))+IF(INDEX(p_rates,2)="",0,ROUND(SUMIFS(dl_ht,dl_doc,A151,dl_rate,INDEX(p_rates,2))*INDEX(p_rates,2),2))+IF(INDEX(p_rates,3)="",0,ROUND(SUMIFS(dl_ht,dl_doc,A151,dl_rate,INDEX(p_rates,3))*INDEX(p_rates,3),2))+IF(INDEX(p_rates,4)="",0,ROUND(SUMIFS(dl_ht,dl_doc,A151,dl_rate,INDEX(p_rates,4))*INDEX(p_rates,4),2))+IF(INDEX(p_rates,5)="",0,ROUND(SUMIFS(dl_ht,dl_doc,A151,dl_rate,INDEX(p_rates,5))*INDEX(p_rates,5),2))+IF(INDEX(p_rates,6)="",0,ROUND(SUMIFS(dl_ht,dl_doc,A151,dl_rate,INDEX(p_rates,6))*INDEX(p_rates,6),2)))</f>
        <v/>
      </c>
      <c r="K151" s="65" t="str">
        <f>IF(A151="","",I151+J151)</f>
        <v/>
      </c>
      <c r="L151" s="59" t="str">
        <f>IF(A151="","",IFERROR(INDEX(fa_num,MATCH(A151,fa_dvkey,0))&amp;"",""))</f>
        <v/>
      </c>
      <c r="M151" s="59" t="str">
        <f>IF(A151="","",IF(G151="Annulé","Annulé",IF(L151&lt;&gt;"","Facturé",IF(G151="Accepté","Accepté",IF(G151="Refusé","Refusé",IF(p_asof&gt;H151,"Expiré","En attente"))))))</f>
        <v/>
      </c>
      <c r="N151" s="59" t="str">
        <f>IF(COUNTA(B151:C151,E151:G151)=0,"",IF(B151="","Date manquante",IF(NOT(ISNUMBER(B151)),"Date invalide",IF(C151="","Client manquant",IF(ISNA(MATCH(C151,cli_code,0)),"Client inconnu",IF(O151&lt;MAX($O$6:O150),"Date antérieure au devis précédent",IF(AND(ISNUMBER(F151),F151&lt;O151),"Validité antérieure à la date du devis",IF(AND(R151=0,G151&lt;&gt;"Annulé"),"Aucune ligne (feuille Lignes de devis)",IF(COUNTIFS(dl_doc,A151,dl_check,"&lt;&gt;OK")&gt;0,"Ligne(s) à corriger",IF(AND(L151&lt;&gt;"",OR(G151="Refusé",G151="Annulé")),"Devis refusé ou annulé mais facturé","OK"))))))))))</f>
        <v/>
      </c>
      <c r="O151" s="62">
        <f>IF(ISNUMBER(B151),B151,0)</f>
        <v>0.0</v>
      </c>
      <c r="P151" s="62" t="str">
        <f>IF(O151=0,"",YEAR(O151))</f>
        <v/>
      </c>
      <c r="Q151" s="62" t="str">
        <f>IF(P151="","",COUNTIF($P$6:P151,P151))</f>
        <v/>
      </c>
      <c r="R151" s="62">
        <f>IF(A151="",0,COUNTIF(dl_doc,A151))</f>
        <v>0.0</v>
      </c>
    </row>
    <row r="152">
      <c r="A152" s="59" t="str">
        <f>IF(Q152="","",p_pdv&amp;"-"&amp;P152&amp;"-"&amp;RIGHT("000"&amp;Q152,4))</f>
        <v/>
      </c>
      <c r="B152" s="61" t="n"/>
      <c r="C152" s="60" t="n"/>
      <c r="D152" s="62" t="str">
        <f>IF(C152="","",IFERROR(INDEX(cli_name,MATCH(C152,cli_code,0))&amp;"","Client inconnu"))</f>
        <v/>
      </c>
      <c r="E152" s="63" t="n"/>
      <c r="F152" s="61" t="n"/>
      <c r="G152" s="60" t="n"/>
      <c r="H152" s="64" t="str">
        <f>IF(A152="","",IF(ISNUMBER(F152),F152,O152+N(p_validity)))</f>
        <v/>
      </c>
      <c r="I152" s="65" t="str">
        <f>IF(A152="","",SUMIF(dl_doc,A152,dl_ht))</f>
        <v/>
      </c>
      <c r="J152" s="65" t="str">
        <f>IF(A152="","",IF(INDEX(p_rates,1)="",0,ROUND(SUMIFS(dl_ht,dl_doc,A152,dl_rate,INDEX(p_rates,1))*INDEX(p_rates,1),2))+IF(INDEX(p_rates,2)="",0,ROUND(SUMIFS(dl_ht,dl_doc,A152,dl_rate,INDEX(p_rates,2))*INDEX(p_rates,2),2))+IF(INDEX(p_rates,3)="",0,ROUND(SUMIFS(dl_ht,dl_doc,A152,dl_rate,INDEX(p_rates,3))*INDEX(p_rates,3),2))+IF(INDEX(p_rates,4)="",0,ROUND(SUMIFS(dl_ht,dl_doc,A152,dl_rate,INDEX(p_rates,4))*INDEX(p_rates,4),2))+IF(INDEX(p_rates,5)="",0,ROUND(SUMIFS(dl_ht,dl_doc,A152,dl_rate,INDEX(p_rates,5))*INDEX(p_rates,5),2))+IF(INDEX(p_rates,6)="",0,ROUND(SUMIFS(dl_ht,dl_doc,A152,dl_rate,INDEX(p_rates,6))*INDEX(p_rates,6),2)))</f>
        <v/>
      </c>
      <c r="K152" s="65" t="str">
        <f>IF(A152="","",I152+J152)</f>
        <v/>
      </c>
      <c r="L152" s="59" t="str">
        <f>IF(A152="","",IFERROR(INDEX(fa_num,MATCH(A152,fa_dvkey,0))&amp;"",""))</f>
        <v/>
      </c>
      <c r="M152" s="59" t="str">
        <f>IF(A152="","",IF(G152="Annulé","Annulé",IF(L152&lt;&gt;"","Facturé",IF(G152="Accepté","Accepté",IF(G152="Refusé","Refusé",IF(p_asof&gt;H152,"Expiré","En attente"))))))</f>
        <v/>
      </c>
      <c r="N152" s="59" t="str">
        <f>IF(COUNTA(B152:C152,E152:G152)=0,"",IF(B152="","Date manquante",IF(NOT(ISNUMBER(B152)),"Date invalide",IF(C152="","Client manquant",IF(ISNA(MATCH(C152,cli_code,0)),"Client inconnu",IF(O152&lt;MAX($O$6:O151),"Date antérieure au devis précédent",IF(AND(ISNUMBER(F152),F152&lt;O152),"Validité antérieure à la date du devis",IF(AND(R152=0,G152&lt;&gt;"Annulé"),"Aucune ligne (feuille Lignes de devis)",IF(COUNTIFS(dl_doc,A152,dl_check,"&lt;&gt;OK")&gt;0,"Ligne(s) à corriger",IF(AND(L152&lt;&gt;"",OR(G152="Refusé",G152="Annulé")),"Devis refusé ou annulé mais facturé","OK"))))))))))</f>
        <v/>
      </c>
      <c r="O152" s="62">
        <f>IF(ISNUMBER(B152),B152,0)</f>
        <v>0.0</v>
      </c>
      <c r="P152" s="62" t="str">
        <f>IF(O152=0,"",YEAR(O152))</f>
        <v/>
      </c>
      <c r="Q152" s="62" t="str">
        <f>IF(P152="","",COUNTIF($P$6:P152,P152))</f>
        <v/>
      </c>
      <c r="R152" s="62">
        <f>IF(A152="",0,COUNTIF(dl_doc,A152))</f>
        <v>0.0</v>
      </c>
    </row>
    <row r="153">
      <c r="A153" s="59" t="str">
        <f>IF(Q153="","",p_pdv&amp;"-"&amp;P153&amp;"-"&amp;RIGHT("000"&amp;Q153,4))</f>
        <v/>
      </c>
      <c r="B153" s="61" t="n"/>
      <c r="C153" s="60" t="n"/>
      <c r="D153" s="62" t="str">
        <f>IF(C153="","",IFERROR(INDEX(cli_name,MATCH(C153,cli_code,0))&amp;"","Client inconnu"))</f>
        <v/>
      </c>
      <c r="E153" s="63" t="n"/>
      <c r="F153" s="61" t="n"/>
      <c r="G153" s="60" t="n"/>
      <c r="H153" s="64" t="str">
        <f>IF(A153="","",IF(ISNUMBER(F153),F153,O153+N(p_validity)))</f>
        <v/>
      </c>
      <c r="I153" s="65" t="str">
        <f>IF(A153="","",SUMIF(dl_doc,A153,dl_ht))</f>
        <v/>
      </c>
      <c r="J153" s="65" t="str">
        <f>IF(A153="","",IF(INDEX(p_rates,1)="",0,ROUND(SUMIFS(dl_ht,dl_doc,A153,dl_rate,INDEX(p_rates,1))*INDEX(p_rates,1),2))+IF(INDEX(p_rates,2)="",0,ROUND(SUMIFS(dl_ht,dl_doc,A153,dl_rate,INDEX(p_rates,2))*INDEX(p_rates,2),2))+IF(INDEX(p_rates,3)="",0,ROUND(SUMIFS(dl_ht,dl_doc,A153,dl_rate,INDEX(p_rates,3))*INDEX(p_rates,3),2))+IF(INDEX(p_rates,4)="",0,ROUND(SUMIFS(dl_ht,dl_doc,A153,dl_rate,INDEX(p_rates,4))*INDEX(p_rates,4),2))+IF(INDEX(p_rates,5)="",0,ROUND(SUMIFS(dl_ht,dl_doc,A153,dl_rate,INDEX(p_rates,5))*INDEX(p_rates,5),2))+IF(INDEX(p_rates,6)="",0,ROUND(SUMIFS(dl_ht,dl_doc,A153,dl_rate,INDEX(p_rates,6))*INDEX(p_rates,6),2)))</f>
        <v/>
      </c>
      <c r="K153" s="65" t="str">
        <f>IF(A153="","",I153+J153)</f>
        <v/>
      </c>
      <c r="L153" s="59" t="str">
        <f>IF(A153="","",IFERROR(INDEX(fa_num,MATCH(A153,fa_dvkey,0))&amp;"",""))</f>
        <v/>
      </c>
      <c r="M153" s="59" t="str">
        <f>IF(A153="","",IF(G153="Annulé","Annulé",IF(L153&lt;&gt;"","Facturé",IF(G153="Accepté","Accepté",IF(G153="Refusé","Refusé",IF(p_asof&gt;H153,"Expiré","En attente"))))))</f>
        <v/>
      </c>
      <c r="N153" s="59" t="str">
        <f>IF(COUNTA(B153:C153,E153:G153)=0,"",IF(B153="","Date manquante",IF(NOT(ISNUMBER(B153)),"Date invalide",IF(C153="","Client manquant",IF(ISNA(MATCH(C153,cli_code,0)),"Client inconnu",IF(O153&lt;MAX($O$6:O152),"Date antérieure au devis précédent",IF(AND(ISNUMBER(F153),F153&lt;O153),"Validité antérieure à la date du devis",IF(AND(R153=0,G153&lt;&gt;"Annulé"),"Aucune ligne (feuille Lignes de devis)",IF(COUNTIFS(dl_doc,A153,dl_check,"&lt;&gt;OK")&gt;0,"Ligne(s) à corriger",IF(AND(L153&lt;&gt;"",OR(G153="Refusé",G153="Annulé")),"Devis refusé ou annulé mais facturé","OK"))))))))))</f>
        <v/>
      </c>
      <c r="O153" s="62">
        <f>IF(ISNUMBER(B153),B153,0)</f>
        <v>0.0</v>
      </c>
      <c r="P153" s="62" t="str">
        <f>IF(O153=0,"",YEAR(O153))</f>
        <v/>
      </c>
      <c r="Q153" s="62" t="str">
        <f>IF(P153="","",COUNTIF($P$6:P153,P153))</f>
        <v/>
      </c>
      <c r="R153" s="62">
        <f>IF(A153="",0,COUNTIF(dl_doc,A153))</f>
        <v>0.0</v>
      </c>
    </row>
    <row r="154">
      <c r="A154" s="59" t="str">
        <f>IF(Q154="","",p_pdv&amp;"-"&amp;P154&amp;"-"&amp;RIGHT("000"&amp;Q154,4))</f>
        <v/>
      </c>
      <c r="B154" s="61" t="n"/>
      <c r="C154" s="60" t="n"/>
      <c r="D154" s="62" t="str">
        <f>IF(C154="","",IFERROR(INDEX(cli_name,MATCH(C154,cli_code,0))&amp;"","Client inconnu"))</f>
        <v/>
      </c>
      <c r="E154" s="63" t="n"/>
      <c r="F154" s="61" t="n"/>
      <c r="G154" s="60" t="n"/>
      <c r="H154" s="64" t="str">
        <f>IF(A154="","",IF(ISNUMBER(F154),F154,O154+N(p_validity)))</f>
        <v/>
      </c>
      <c r="I154" s="65" t="str">
        <f>IF(A154="","",SUMIF(dl_doc,A154,dl_ht))</f>
        <v/>
      </c>
      <c r="J154" s="65" t="str">
        <f>IF(A154="","",IF(INDEX(p_rates,1)="",0,ROUND(SUMIFS(dl_ht,dl_doc,A154,dl_rate,INDEX(p_rates,1))*INDEX(p_rates,1),2))+IF(INDEX(p_rates,2)="",0,ROUND(SUMIFS(dl_ht,dl_doc,A154,dl_rate,INDEX(p_rates,2))*INDEX(p_rates,2),2))+IF(INDEX(p_rates,3)="",0,ROUND(SUMIFS(dl_ht,dl_doc,A154,dl_rate,INDEX(p_rates,3))*INDEX(p_rates,3),2))+IF(INDEX(p_rates,4)="",0,ROUND(SUMIFS(dl_ht,dl_doc,A154,dl_rate,INDEX(p_rates,4))*INDEX(p_rates,4),2))+IF(INDEX(p_rates,5)="",0,ROUND(SUMIFS(dl_ht,dl_doc,A154,dl_rate,INDEX(p_rates,5))*INDEX(p_rates,5),2))+IF(INDEX(p_rates,6)="",0,ROUND(SUMIFS(dl_ht,dl_doc,A154,dl_rate,INDEX(p_rates,6))*INDEX(p_rates,6),2)))</f>
        <v/>
      </c>
      <c r="K154" s="65" t="str">
        <f>IF(A154="","",I154+J154)</f>
        <v/>
      </c>
      <c r="L154" s="59" t="str">
        <f>IF(A154="","",IFERROR(INDEX(fa_num,MATCH(A154,fa_dvkey,0))&amp;"",""))</f>
        <v/>
      </c>
      <c r="M154" s="59" t="str">
        <f>IF(A154="","",IF(G154="Annulé","Annulé",IF(L154&lt;&gt;"","Facturé",IF(G154="Accepté","Accepté",IF(G154="Refusé","Refusé",IF(p_asof&gt;H154,"Expiré","En attente"))))))</f>
        <v/>
      </c>
      <c r="N154" s="59" t="str">
        <f>IF(COUNTA(B154:C154,E154:G154)=0,"",IF(B154="","Date manquante",IF(NOT(ISNUMBER(B154)),"Date invalide",IF(C154="","Client manquant",IF(ISNA(MATCH(C154,cli_code,0)),"Client inconnu",IF(O154&lt;MAX($O$6:O153),"Date antérieure au devis précédent",IF(AND(ISNUMBER(F154),F154&lt;O154),"Validité antérieure à la date du devis",IF(AND(R154=0,G154&lt;&gt;"Annulé"),"Aucune ligne (feuille Lignes de devis)",IF(COUNTIFS(dl_doc,A154,dl_check,"&lt;&gt;OK")&gt;0,"Ligne(s) à corriger",IF(AND(L154&lt;&gt;"",OR(G154="Refusé",G154="Annulé")),"Devis refusé ou annulé mais facturé","OK"))))))))))</f>
        <v/>
      </c>
      <c r="O154" s="62">
        <f>IF(ISNUMBER(B154),B154,0)</f>
        <v>0.0</v>
      </c>
      <c r="P154" s="62" t="str">
        <f>IF(O154=0,"",YEAR(O154))</f>
        <v/>
      </c>
      <c r="Q154" s="62" t="str">
        <f>IF(P154="","",COUNTIF($P$6:P154,P154))</f>
        <v/>
      </c>
      <c r="R154" s="62">
        <f>IF(A154="",0,COUNTIF(dl_doc,A154))</f>
        <v>0.0</v>
      </c>
    </row>
    <row r="155">
      <c r="A155" s="59" t="str">
        <f>IF(Q155="","",p_pdv&amp;"-"&amp;P155&amp;"-"&amp;RIGHT("000"&amp;Q155,4))</f>
        <v/>
      </c>
      <c r="B155" s="61" t="n"/>
      <c r="C155" s="60" t="n"/>
      <c r="D155" s="62" t="str">
        <f>IF(C155="","",IFERROR(INDEX(cli_name,MATCH(C155,cli_code,0))&amp;"","Client inconnu"))</f>
        <v/>
      </c>
      <c r="E155" s="63" t="n"/>
      <c r="F155" s="61" t="n"/>
      <c r="G155" s="60" t="n"/>
      <c r="H155" s="64" t="str">
        <f>IF(A155="","",IF(ISNUMBER(F155),F155,O155+N(p_validity)))</f>
        <v/>
      </c>
      <c r="I155" s="65" t="str">
        <f>IF(A155="","",SUMIF(dl_doc,A155,dl_ht))</f>
        <v/>
      </c>
      <c r="J155" s="65" t="str">
        <f>IF(A155="","",IF(INDEX(p_rates,1)="",0,ROUND(SUMIFS(dl_ht,dl_doc,A155,dl_rate,INDEX(p_rates,1))*INDEX(p_rates,1),2))+IF(INDEX(p_rates,2)="",0,ROUND(SUMIFS(dl_ht,dl_doc,A155,dl_rate,INDEX(p_rates,2))*INDEX(p_rates,2),2))+IF(INDEX(p_rates,3)="",0,ROUND(SUMIFS(dl_ht,dl_doc,A155,dl_rate,INDEX(p_rates,3))*INDEX(p_rates,3),2))+IF(INDEX(p_rates,4)="",0,ROUND(SUMIFS(dl_ht,dl_doc,A155,dl_rate,INDEX(p_rates,4))*INDEX(p_rates,4),2))+IF(INDEX(p_rates,5)="",0,ROUND(SUMIFS(dl_ht,dl_doc,A155,dl_rate,INDEX(p_rates,5))*INDEX(p_rates,5),2))+IF(INDEX(p_rates,6)="",0,ROUND(SUMIFS(dl_ht,dl_doc,A155,dl_rate,INDEX(p_rates,6))*INDEX(p_rates,6),2)))</f>
        <v/>
      </c>
      <c r="K155" s="65" t="str">
        <f>IF(A155="","",I155+J155)</f>
        <v/>
      </c>
      <c r="L155" s="59" t="str">
        <f>IF(A155="","",IFERROR(INDEX(fa_num,MATCH(A155,fa_dvkey,0))&amp;"",""))</f>
        <v/>
      </c>
      <c r="M155" s="59" t="str">
        <f>IF(A155="","",IF(G155="Annulé","Annulé",IF(L155&lt;&gt;"","Facturé",IF(G155="Accepté","Accepté",IF(G155="Refusé","Refusé",IF(p_asof&gt;H155,"Expiré","En attente"))))))</f>
        <v/>
      </c>
      <c r="N155" s="59" t="str">
        <f>IF(COUNTA(B155:C155,E155:G155)=0,"",IF(B155="","Date manquante",IF(NOT(ISNUMBER(B155)),"Date invalide",IF(C155="","Client manquant",IF(ISNA(MATCH(C155,cli_code,0)),"Client inconnu",IF(O155&lt;MAX($O$6:O154),"Date antérieure au devis précédent",IF(AND(ISNUMBER(F155),F155&lt;O155),"Validité antérieure à la date du devis",IF(AND(R155=0,G155&lt;&gt;"Annulé"),"Aucune ligne (feuille Lignes de devis)",IF(COUNTIFS(dl_doc,A155,dl_check,"&lt;&gt;OK")&gt;0,"Ligne(s) à corriger",IF(AND(L155&lt;&gt;"",OR(G155="Refusé",G155="Annulé")),"Devis refusé ou annulé mais facturé","OK"))))))))))</f>
        <v/>
      </c>
      <c r="O155" s="62">
        <f>IF(ISNUMBER(B155),B155,0)</f>
        <v>0.0</v>
      </c>
      <c r="P155" s="62" t="str">
        <f>IF(O155=0,"",YEAR(O155))</f>
        <v/>
      </c>
      <c r="Q155" s="62" t="str">
        <f>IF(P155="","",COUNTIF($P$6:P155,P155))</f>
        <v/>
      </c>
      <c r="R155" s="62">
        <f>IF(A155="",0,COUNTIF(dl_doc,A155))</f>
        <v>0.0</v>
      </c>
    </row>
    <row r="156">
      <c r="A156" s="59" t="str">
        <f>IF(Q156="","",p_pdv&amp;"-"&amp;P156&amp;"-"&amp;RIGHT("000"&amp;Q156,4))</f>
        <v/>
      </c>
      <c r="B156" s="61" t="n"/>
      <c r="C156" s="60" t="n"/>
      <c r="D156" s="62" t="str">
        <f>IF(C156="","",IFERROR(INDEX(cli_name,MATCH(C156,cli_code,0))&amp;"","Client inconnu"))</f>
        <v/>
      </c>
      <c r="E156" s="63" t="n"/>
      <c r="F156" s="61" t="n"/>
      <c r="G156" s="60" t="n"/>
      <c r="H156" s="64" t="str">
        <f>IF(A156="","",IF(ISNUMBER(F156),F156,O156+N(p_validity)))</f>
        <v/>
      </c>
      <c r="I156" s="65" t="str">
        <f>IF(A156="","",SUMIF(dl_doc,A156,dl_ht))</f>
        <v/>
      </c>
      <c r="J156" s="65" t="str">
        <f>IF(A156="","",IF(INDEX(p_rates,1)="",0,ROUND(SUMIFS(dl_ht,dl_doc,A156,dl_rate,INDEX(p_rates,1))*INDEX(p_rates,1),2))+IF(INDEX(p_rates,2)="",0,ROUND(SUMIFS(dl_ht,dl_doc,A156,dl_rate,INDEX(p_rates,2))*INDEX(p_rates,2),2))+IF(INDEX(p_rates,3)="",0,ROUND(SUMIFS(dl_ht,dl_doc,A156,dl_rate,INDEX(p_rates,3))*INDEX(p_rates,3),2))+IF(INDEX(p_rates,4)="",0,ROUND(SUMIFS(dl_ht,dl_doc,A156,dl_rate,INDEX(p_rates,4))*INDEX(p_rates,4),2))+IF(INDEX(p_rates,5)="",0,ROUND(SUMIFS(dl_ht,dl_doc,A156,dl_rate,INDEX(p_rates,5))*INDEX(p_rates,5),2))+IF(INDEX(p_rates,6)="",0,ROUND(SUMIFS(dl_ht,dl_doc,A156,dl_rate,INDEX(p_rates,6))*INDEX(p_rates,6),2)))</f>
        <v/>
      </c>
      <c r="K156" s="65" t="str">
        <f>IF(A156="","",I156+J156)</f>
        <v/>
      </c>
      <c r="L156" s="59" t="str">
        <f>IF(A156="","",IFERROR(INDEX(fa_num,MATCH(A156,fa_dvkey,0))&amp;"",""))</f>
        <v/>
      </c>
      <c r="M156" s="59" t="str">
        <f>IF(A156="","",IF(G156="Annulé","Annulé",IF(L156&lt;&gt;"","Facturé",IF(G156="Accepté","Accepté",IF(G156="Refusé","Refusé",IF(p_asof&gt;H156,"Expiré","En attente"))))))</f>
        <v/>
      </c>
      <c r="N156" s="59" t="str">
        <f>IF(COUNTA(B156:C156,E156:G156)=0,"",IF(B156="","Date manquante",IF(NOT(ISNUMBER(B156)),"Date invalide",IF(C156="","Client manquant",IF(ISNA(MATCH(C156,cli_code,0)),"Client inconnu",IF(O156&lt;MAX($O$6:O155),"Date antérieure au devis précédent",IF(AND(ISNUMBER(F156),F156&lt;O156),"Validité antérieure à la date du devis",IF(AND(R156=0,G156&lt;&gt;"Annulé"),"Aucune ligne (feuille Lignes de devis)",IF(COUNTIFS(dl_doc,A156,dl_check,"&lt;&gt;OK")&gt;0,"Ligne(s) à corriger",IF(AND(L156&lt;&gt;"",OR(G156="Refusé",G156="Annulé")),"Devis refusé ou annulé mais facturé","OK"))))))))))</f>
        <v/>
      </c>
      <c r="O156" s="62">
        <f>IF(ISNUMBER(B156),B156,0)</f>
        <v>0.0</v>
      </c>
      <c r="P156" s="62" t="str">
        <f>IF(O156=0,"",YEAR(O156))</f>
        <v/>
      </c>
      <c r="Q156" s="62" t="str">
        <f>IF(P156="","",COUNTIF($P$6:P156,P156))</f>
        <v/>
      </c>
      <c r="R156" s="62">
        <f>IF(A156="",0,COUNTIF(dl_doc,A156))</f>
        <v>0.0</v>
      </c>
    </row>
    <row r="157">
      <c r="A157" s="59" t="str">
        <f>IF(Q157="","",p_pdv&amp;"-"&amp;P157&amp;"-"&amp;RIGHT("000"&amp;Q157,4))</f>
        <v/>
      </c>
      <c r="B157" s="61" t="n"/>
      <c r="C157" s="60" t="n"/>
      <c r="D157" s="62" t="str">
        <f>IF(C157="","",IFERROR(INDEX(cli_name,MATCH(C157,cli_code,0))&amp;"","Client inconnu"))</f>
        <v/>
      </c>
      <c r="E157" s="63" t="n"/>
      <c r="F157" s="61" t="n"/>
      <c r="G157" s="60" t="n"/>
      <c r="H157" s="64" t="str">
        <f>IF(A157="","",IF(ISNUMBER(F157),F157,O157+N(p_validity)))</f>
        <v/>
      </c>
      <c r="I157" s="65" t="str">
        <f>IF(A157="","",SUMIF(dl_doc,A157,dl_ht))</f>
        <v/>
      </c>
      <c r="J157" s="65" t="str">
        <f>IF(A157="","",IF(INDEX(p_rates,1)="",0,ROUND(SUMIFS(dl_ht,dl_doc,A157,dl_rate,INDEX(p_rates,1))*INDEX(p_rates,1),2))+IF(INDEX(p_rates,2)="",0,ROUND(SUMIFS(dl_ht,dl_doc,A157,dl_rate,INDEX(p_rates,2))*INDEX(p_rates,2),2))+IF(INDEX(p_rates,3)="",0,ROUND(SUMIFS(dl_ht,dl_doc,A157,dl_rate,INDEX(p_rates,3))*INDEX(p_rates,3),2))+IF(INDEX(p_rates,4)="",0,ROUND(SUMIFS(dl_ht,dl_doc,A157,dl_rate,INDEX(p_rates,4))*INDEX(p_rates,4),2))+IF(INDEX(p_rates,5)="",0,ROUND(SUMIFS(dl_ht,dl_doc,A157,dl_rate,INDEX(p_rates,5))*INDEX(p_rates,5),2))+IF(INDEX(p_rates,6)="",0,ROUND(SUMIFS(dl_ht,dl_doc,A157,dl_rate,INDEX(p_rates,6))*INDEX(p_rates,6),2)))</f>
        <v/>
      </c>
      <c r="K157" s="65" t="str">
        <f>IF(A157="","",I157+J157)</f>
        <v/>
      </c>
      <c r="L157" s="59" t="str">
        <f>IF(A157="","",IFERROR(INDEX(fa_num,MATCH(A157,fa_dvkey,0))&amp;"",""))</f>
        <v/>
      </c>
      <c r="M157" s="59" t="str">
        <f>IF(A157="","",IF(G157="Annulé","Annulé",IF(L157&lt;&gt;"","Facturé",IF(G157="Accepté","Accepté",IF(G157="Refusé","Refusé",IF(p_asof&gt;H157,"Expiré","En attente"))))))</f>
        <v/>
      </c>
      <c r="N157" s="59" t="str">
        <f>IF(COUNTA(B157:C157,E157:G157)=0,"",IF(B157="","Date manquante",IF(NOT(ISNUMBER(B157)),"Date invalide",IF(C157="","Client manquant",IF(ISNA(MATCH(C157,cli_code,0)),"Client inconnu",IF(O157&lt;MAX($O$6:O156),"Date antérieure au devis précédent",IF(AND(ISNUMBER(F157),F157&lt;O157),"Validité antérieure à la date du devis",IF(AND(R157=0,G157&lt;&gt;"Annulé"),"Aucune ligne (feuille Lignes de devis)",IF(COUNTIFS(dl_doc,A157,dl_check,"&lt;&gt;OK")&gt;0,"Ligne(s) à corriger",IF(AND(L157&lt;&gt;"",OR(G157="Refusé",G157="Annulé")),"Devis refusé ou annulé mais facturé","OK"))))))))))</f>
        <v/>
      </c>
      <c r="O157" s="62">
        <f>IF(ISNUMBER(B157),B157,0)</f>
        <v>0.0</v>
      </c>
      <c r="P157" s="62" t="str">
        <f>IF(O157=0,"",YEAR(O157))</f>
        <v/>
      </c>
      <c r="Q157" s="62" t="str">
        <f>IF(P157="","",COUNTIF($P$6:P157,P157))</f>
        <v/>
      </c>
      <c r="R157" s="62">
        <f>IF(A157="",0,COUNTIF(dl_doc,A157))</f>
        <v>0.0</v>
      </c>
    </row>
    <row r="158">
      <c r="A158" s="59" t="str">
        <f>IF(Q158="","",p_pdv&amp;"-"&amp;P158&amp;"-"&amp;RIGHT("000"&amp;Q158,4))</f>
        <v/>
      </c>
      <c r="B158" s="61" t="n"/>
      <c r="C158" s="60" t="n"/>
      <c r="D158" s="62" t="str">
        <f>IF(C158="","",IFERROR(INDEX(cli_name,MATCH(C158,cli_code,0))&amp;"","Client inconnu"))</f>
        <v/>
      </c>
      <c r="E158" s="63" t="n"/>
      <c r="F158" s="61" t="n"/>
      <c r="G158" s="60" t="n"/>
      <c r="H158" s="64" t="str">
        <f>IF(A158="","",IF(ISNUMBER(F158),F158,O158+N(p_validity)))</f>
        <v/>
      </c>
      <c r="I158" s="65" t="str">
        <f>IF(A158="","",SUMIF(dl_doc,A158,dl_ht))</f>
        <v/>
      </c>
      <c r="J158" s="65" t="str">
        <f>IF(A158="","",IF(INDEX(p_rates,1)="",0,ROUND(SUMIFS(dl_ht,dl_doc,A158,dl_rate,INDEX(p_rates,1))*INDEX(p_rates,1),2))+IF(INDEX(p_rates,2)="",0,ROUND(SUMIFS(dl_ht,dl_doc,A158,dl_rate,INDEX(p_rates,2))*INDEX(p_rates,2),2))+IF(INDEX(p_rates,3)="",0,ROUND(SUMIFS(dl_ht,dl_doc,A158,dl_rate,INDEX(p_rates,3))*INDEX(p_rates,3),2))+IF(INDEX(p_rates,4)="",0,ROUND(SUMIFS(dl_ht,dl_doc,A158,dl_rate,INDEX(p_rates,4))*INDEX(p_rates,4),2))+IF(INDEX(p_rates,5)="",0,ROUND(SUMIFS(dl_ht,dl_doc,A158,dl_rate,INDEX(p_rates,5))*INDEX(p_rates,5),2))+IF(INDEX(p_rates,6)="",0,ROUND(SUMIFS(dl_ht,dl_doc,A158,dl_rate,INDEX(p_rates,6))*INDEX(p_rates,6),2)))</f>
        <v/>
      </c>
      <c r="K158" s="65" t="str">
        <f>IF(A158="","",I158+J158)</f>
        <v/>
      </c>
      <c r="L158" s="59" t="str">
        <f>IF(A158="","",IFERROR(INDEX(fa_num,MATCH(A158,fa_dvkey,0))&amp;"",""))</f>
        <v/>
      </c>
      <c r="M158" s="59" t="str">
        <f>IF(A158="","",IF(G158="Annulé","Annulé",IF(L158&lt;&gt;"","Facturé",IF(G158="Accepté","Accepté",IF(G158="Refusé","Refusé",IF(p_asof&gt;H158,"Expiré","En attente"))))))</f>
        <v/>
      </c>
      <c r="N158" s="59" t="str">
        <f>IF(COUNTA(B158:C158,E158:G158)=0,"",IF(B158="","Date manquante",IF(NOT(ISNUMBER(B158)),"Date invalide",IF(C158="","Client manquant",IF(ISNA(MATCH(C158,cli_code,0)),"Client inconnu",IF(O158&lt;MAX($O$6:O157),"Date antérieure au devis précédent",IF(AND(ISNUMBER(F158),F158&lt;O158),"Validité antérieure à la date du devis",IF(AND(R158=0,G158&lt;&gt;"Annulé"),"Aucune ligne (feuille Lignes de devis)",IF(COUNTIFS(dl_doc,A158,dl_check,"&lt;&gt;OK")&gt;0,"Ligne(s) à corriger",IF(AND(L158&lt;&gt;"",OR(G158="Refusé",G158="Annulé")),"Devis refusé ou annulé mais facturé","OK"))))))))))</f>
        <v/>
      </c>
      <c r="O158" s="62">
        <f>IF(ISNUMBER(B158),B158,0)</f>
        <v>0.0</v>
      </c>
      <c r="P158" s="62" t="str">
        <f>IF(O158=0,"",YEAR(O158))</f>
        <v/>
      </c>
      <c r="Q158" s="62" t="str">
        <f>IF(P158="","",COUNTIF($P$6:P158,P158))</f>
        <v/>
      </c>
      <c r="R158" s="62">
        <f>IF(A158="",0,COUNTIF(dl_doc,A158))</f>
        <v>0.0</v>
      </c>
    </row>
    <row r="159">
      <c r="A159" s="59" t="str">
        <f>IF(Q159="","",p_pdv&amp;"-"&amp;P159&amp;"-"&amp;RIGHT("000"&amp;Q159,4))</f>
        <v/>
      </c>
      <c r="B159" s="61" t="n"/>
      <c r="C159" s="60" t="n"/>
      <c r="D159" s="62" t="str">
        <f>IF(C159="","",IFERROR(INDEX(cli_name,MATCH(C159,cli_code,0))&amp;"","Client inconnu"))</f>
        <v/>
      </c>
      <c r="E159" s="63" t="n"/>
      <c r="F159" s="61" t="n"/>
      <c r="G159" s="60" t="n"/>
      <c r="H159" s="64" t="str">
        <f>IF(A159="","",IF(ISNUMBER(F159),F159,O159+N(p_validity)))</f>
        <v/>
      </c>
      <c r="I159" s="65" t="str">
        <f>IF(A159="","",SUMIF(dl_doc,A159,dl_ht))</f>
        <v/>
      </c>
      <c r="J159" s="65" t="str">
        <f>IF(A159="","",IF(INDEX(p_rates,1)="",0,ROUND(SUMIFS(dl_ht,dl_doc,A159,dl_rate,INDEX(p_rates,1))*INDEX(p_rates,1),2))+IF(INDEX(p_rates,2)="",0,ROUND(SUMIFS(dl_ht,dl_doc,A159,dl_rate,INDEX(p_rates,2))*INDEX(p_rates,2),2))+IF(INDEX(p_rates,3)="",0,ROUND(SUMIFS(dl_ht,dl_doc,A159,dl_rate,INDEX(p_rates,3))*INDEX(p_rates,3),2))+IF(INDEX(p_rates,4)="",0,ROUND(SUMIFS(dl_ht,dl_doc,A159,dl_rate,INDEX(p_rates,4))*INDEX(p_rates,4),2))+IF(INDEX(p_rates,5)="",0,ROUND(SUMIFS(dl_ht,dl_doc,A159,dl_rate,INDEX(p_rates,5))*INDEX(p_rates,5),2))+IF(INDEX(p_rates,6)="",0,ROUND(SUMIFS(dl_ht,dl_doc,A159,dl_rate,INDEX(p_rates,6))*INDEX(p_rates,6),2)))</f>
        <v/>
      </c>
      <c r="K159" s="65" t="str">
        <f>IF(A159="","",I159+J159)</f>
        <v/>
      </c>
      <c r="L159" s="59" t="str">
        <f>IF(A159="","",IFERROR(INDEX(fa_num,MATCH(A159,fa_dvkey,0))&amp;"",""))</f>
        <v/>
      </c>
      <c r="M159" s="59" t="str">
        <f>IF(A159="","",IF(G159="Annulé","Annulé",IF(L159&lt;&gt;"","Facturé",IF(G159="Accepté","Accepté",IF(G159="Refusé","Refusé",IF(p_asof&gt;H159,"Expiré","En attente"))))))</f>
        <v/>
      </c>
      <c r="N159" s="59" t="str">
        <f>IF(COUNTA(B159:C159,E159:G159)=0,"",IF(B159="","Date manquante",IF(NOT(ISNUMBER(B159)),"Date invalide",IF(C159="","Client manquant",IF(ISNA(MATCH(C159,cli_code,0)),"Client inconnu",IF(O159&lt;MAX($O$6:O158),"Date antérieure au devis précédent",IF(AND(ISNUMBER(F159),F159&lt;O159),"Validité antérieure à la date du devis",IF(AND(R159=0,G159&lt;&gt;"Annulé"),"Aucune ligne (feuille Lignes de devis)",IF(COUNTIFS(dl_doc,A159,dl_check,"&lt;&gt;OK")&gt;0,"Ligne(s) à corriger",IF(AND(L159&lt;&gt;"",OR(G159="Refusé",G159="Annulé")),"Devis refusé ou annulé mais facturé","OK"))))))))))</f>
        <v/>
      </c>
      <c r="O159" s="62">
        <f>IF(ISNUMBER(B159),B159,0)</f>
        <v>0.0</v>
      </c>
      <c r="P159" s="62" t="str">
        <f>IF(O159=0,"",YEAR(O159))</f>
        <v/>
      </c>
      <c r="Q159" s="62" t="str">
        <f>IF(P159="","",COUNTIF($P$6:P159,P159))</f>
        <v/>
      </c>
      <c r="R159" s="62">
        <f>IF(A159="",0,COUNTIF(dl_doc,A159))</f>
        <v>0.0</v>
      </c>
    </row>
    <row r="160">
      <c r="A160" s="59" t="str">
        <f>IF(Q160="","",p_pdv&amp;"-"&amp;P160&amp;"-"&amp;RIGHT("000"&amp;Q160,4))</f>
        <v/>
      </c>
      <c r="B160" s="61" t="n"/>
      <c r="C160" s="60" t="n"/>
      <c r="D160" s="62" t="str">
        <f>IF(C160="","",IFERROR(INDEX(cli_name,MATCH(C160,cli_code,0))&amp;"","Client inconnu"))</f>
        <v/>
      </c>
      <c r="E160" s="63" t="n"/>
      <c r="F160" s="61" t="n"/>
      <c r="G160" s="60" t="n"/>
      <c r="H160" s="64" t="str">
        <f>IF(A160="","",IF(ISNUMBER(F160),F160,O160+N(p_validity)))</f>
        <v/>
      </c>
      <c r="I160" s="65" t="str">
        <f>IF(A160="","",SUMIF(dl_doc,A160,dl_ht))</f>
        <v/>
      </c>
      <c r="J160" s="65" t="str">
        <f>IF(A160="","",IF(INDEX(p_rates,1)="",0,ROUND(SUMIFS(dl_ht,dl_doc,A160,dl_rate,INDEX(p_rates,1))*INDEX(p_rates,1),2))+IF(INDEX(p_rates,2)="",0,ROUND(SUMIFS(dl_ht,dl_doc,A160,dl_rate,INDEX(p_rates,2))*INDEX(p_rates,2),2))+IF(INDEX(p_rates,3)="",0,ROUND(SUMIFS(dl_ht,dl_doc,A160,dl_rate,INDEX(p_rates,3))*INDEX(p_rates,3),2))+IF(INDEX(p_rates,4)="",0,ROUND(SUMIFS(dl_ht,dl_doc,A160,dl_rate,INDEX(p_rates,4))*INDEX(p_rates,4),2))+IF(INDEX(p_rates,5)="",0,ROUND(SUMIFS(dl_ht,dl_doc,A160,dl_rate,INDEX(p_rates,5))*INDEX(p_rates,5),2))+IF(INDEX(p_rates,6)="",0,ROUND(SUMIFS(dl_ht,dl_doc,A160,dl_rate,INDEX(p_rates,6))*INDEX(p_rates,6),2)))</f>
        <v/>
      </c>
      <c r="K160" s="65" t="str">
        <f>IF(A160="","",I160+J160)</f>
        <v/>
      </c>
      <c r="L160" s="59" t="str">
        <f>IF(A160="","",IFERROR(INDEX(fa_num,MATCH(A160,fa_dvkey,0))&amp;"",""))</f>
        <v/>
      </c>
      <c r="M160" s="59" t="str">
        <f>IF(A160="","",IF(G160="Annulé","Annulé",IF(L160&lt;&gt;"","Facturé",IF(G160="Accepté","Accepté",IF(G160="Refusé","Refusé",IF(p_asof&gt;H160,"Expiré","En attente"))))))</f>
        <v/>
      </c>
      <c r="N160" s="59" t="str">
        <f>IF(COUNTA(B160:C160,E160:G160)=0,"",IF(B160="","Date manquante",IF(NOT(ISNUMBER(B160)),"Date invalide",IF(C160="","Client manquant",IF(ISNA(MATCH(C160,cli_code,0)),"Client inconnu",IF(O160&lt;MAX($O$6:O159),"Date antérieure au devis précédent",IF(AND(ISNUMBER(F160),F160&lt;O160),"Validité antérieure à la date du devis",IF(AND(R160=0,G160&lt;&gt;"Annulé"),"Aucune ligne (feuille Lignes de devis)",IF(COUNTIFS(dl_doc,A160,dl_check,"&lt;&gt;OK")&gt;0,"Ligne(s) à corriger",IF(AND(L160&lt;&gt;"",OR(G160="Refusé",G160="Annulé")),"Devis refusé ou annulé mais facturé","OK"))))))))))</f>
        <v/>
      </c>
      <c r="O160" s="62">
        <f>IF(ISNUMBER(B160),B160,0)</f>
        <v>0.0</v>
      </c>
      <c r="P160" s="62" t="str">
        <f>IF(O160=0,"",YEAR(O160))</f>
        <v/>
      </c>
      <c r="Q160" s="62" t="str">
        <f>IF(P160="","",COUNTIF($P$6:P160,P160))</f>
        <v/>
      </c>
      <c r="R160" s="62">
        <f>IF(A160="",0,COUNTIF(dl_doc,A160))</f>
        <v>0.0</v>
      </c>
    </row>
    <row r="161">
      <c r="A161" s="59" t="str">
        <f>IF(Q161="","",p_pdv&amp;"-"&amp;P161&amp;"-"&amp;RIGHT("000"&amp;Q161,4))</f>
        <v/>
      </c>
      <c r="B161" s="61" t="n"/>
      <c r="C161" s="60" t="n"/>
      <c r="D161" s="62" t="str">
        <f>IF(C161="","",IFERROR(INDEX(cli_name,MATCH(C161,cli_code,0))&amp;"","Client inconnu"))</f>
        <v/>
      </c>
      <c r="E161" s="63" t="n"/>
      <c r="F161" s="61" t="n"/>
      <c r="G161" s="60" t="n"/>
      <c r="H161" s="64" t="str">
        <f>IF(A161="","",IF(ISNUMBER(F161),F161,O161+N(p_validity)))</f>
        <v/>
      </c>
      <c r="I161" s="65" t="str">
        <f>IF(A161="","",SUMIF(dl_doc,A161,dl_ht))</f>
        <v/>
      </c>
      <c r="J161" s="65" t="str">
        <f>IF(A161="","",IF(INDEX(p_rates,1)="",0,ROUND(SUMIFS(dl_ht,dl_doc,A161,dl_rate,INDEX(p_rates,1))*INDEX(p_rates,1),2))+IF(INDEX(p_rates,2)="",0,ROUND(SUMIFS(dl_ht,dl_doc,A161,dl_rate,INDEX(p_rates,2))*INDEX(p_rates,2),2))+IF(INDEX(p_rates,3)="",0,ROUND(SUMIFS(dl_ht,dl_doc,A161,dl_rate,INDEX(p_rates,3))*INDEX(p_rates,3),2))+IF(INDEX(p_rates,4)="",0,ROUND(SUMIFS(dl_ht,dl_doc,A161,dl_rate,INDEX(p_rates,4))*INDEX(p_rates,4),2))+IF(INDEX(p_rates,5)="",0,ROUND(SUMIFS(dl_ht,dl_doc,A161,dl_rate,INDEX(p_rates,5))*INDEX(p_rates,5),2))+IF(INDEX(p_rates,6)="",0,ROUND(SUMIFS(dl_ht,dl_doc,A161,dl_rate,INDEX(p_rates,6))*INDEX(p_rates,6),2)))</f>
        <v/>
      </c>
      <c r="K161" s="65" t="str">
        <f>IF(A161="","",I161+J161)</f>
        <v/>
      </c>
      <c r="L161" s="59" t="str">
        <f>IF(A161="","",IFERROR(INDEX(fa_num,MATCH(A161,fa_dvkey,0))&amp;"",""))</f>
        <v/>
      </c>
      <c r="M161" s="59" t="str">
        <f>IF(A161="","",IF(G161="Annulé","Annulé",IF(L161&lt;&gt;"","Facturé",IF(G161="Accepté","Accepté",IF(G161="Refusé","Refusé",IF(p_asof&gt;H161,"Expiré","En attente"))))))</f>
        <v/>
      </c>
      <c r="N161" s="59" t="str">
        <f>IF(COUNTA(B161:C161,E161:G161)=0,"",IF(B161="","Date manquante",IF(NOT(ISNUMBER(B161)),"Date invalide",IF(C161="","Client manquant",IF(ISNA(MATCH(C161,cli_code,0)),"Client inconnu",IF(O161&lt;MAX($O$6:O160),"Date antérieure au devis précédent",IF(AND(ISNUMBER(F161),F161&lt;O161),"Validité antérieure à la date du devis",IF(AND(R161=0,G161&lt;&gt;"Annulé"),"Aucune ligne (feuille Lignes de devis)",IF(COUNTIFS(dl_doc,A161,dl_check,"&lt;&gt;OK")&gt;0,"Ligne(s) à corriger",IF(AND(L161&lt;&gt;"",OR(G161="Refusé",G161="Annulé")),"Devis refusé ou annulé mais facturé","OK"))))))))))</f>
        <v/>
      </c>
      <c r="O161" s="62">
        <f>IF(ISNUMBER(B161),B161,0)</f>
        <v>0.0</v>
      </c>
      <c r="P161" s="62" t="str">
        <f>IF(O161=0,"",YEAR(O161))</f>
        <v/>
      </c>
      <c r="Q161" s="62" t="str">
        <f>IF(P161="","",COUNTIF($P$6:P161,P161))</f>
        <v/>
      </c>
      <c r="R161" s="62">
        <f>IF(A161="",0,COUNTIF(dl_doc,A161))</f>
        <v>0.0</v>
      </c>
    </row>
    <row r="162">
      <c r="A162" s="59" t="str">
        <f>IF(Q162="","",p_pdv&amp;"-"&amp;P162&amp;"-"&amp;RIGHT("000"&amp;Q162,4))</f>
        <v/>
      </c>
      <c r="B162" s="61" t="n"/>
      <c r="C162" s="60" t="n"/>
      <c r="D162" s="62" t="str">
        <f>IF(C162="","",IFERROR(INDEX(cli_name,MATCH(C162,cli_code,0))&amp;"","Client inconnu"))</f>
        <v/>
      </c>
      <c r="E162" s="63" t="n"/>
      <c r="F162" s="61" t="n"/>
      <c r="G162" s="60" t="n"/>
      <c r="H162" s="64" t="str">
        <f>IF(A162="","",IF(ISNUMBER(F162),F162,O162+N(p_validity)))</f>
        <v/>
      </c>
      <c r="I162" s="65" t="str">
        <f>IF(A162="","",SUMIF(dl_doc,A162,dl_ht))</f>
        <v/>
      </c>
      <c r="J162" s="65" t="str">
        <f>IF(A162="","",IF(INDEX(p_rates,1)="",0,ROUND(SUMIFS(dl_ht,dl_doc,A162,dl_rate,INDEX(p_rates,1))*INDEX(p_rates,1),2))+IF(INDEX(p_rates,2)="",0,ROUND(SUMIFS(dl_ht,dl_doc,A162,dl_rate,INDEX(p_rates,2))*INDEX(p_rates,2),2))+IF(INDEX(p_rates,3)="",0,ROUND(SUMIFS(dl_ht,dl_doc,A162,dl_rate,INDEX(p_rates,3))*INDEX(p_rates,3),2))+IF(INDEX(p_rates,4)="",0,ROUND(SUMIFS(dl_ht,dl_doc,A162,dl_rate,INDEX(p_rates,4))*INDEX(p_rates,4),2))+IF(INDEX(p_rates,5)="",0,ROUND(SUMIFS(dl_ht,dl_doc,A162,dl_rate,INDEX(p_rates,5))*INDEX(p_rates,5),2))+IF(INDEX(p_rates,6)="",0,ROUND(SUMIFS(dl_ht,dl_doc,A162,dl_rate,INDEX(p_rates,6))*INDEX(p_rates,6),2)))</f>
        <v/>
      </c>
      <c r="K162" s="65" t="str">
        <f>IF(A162="","",I162+J162)</f>
        <v/>
      </c>
      <c r="L162" s="59" t="str">
        <f>IF(A162="","",IFERROR(INDEX(fa_num,MATCH(A162,fa_dvkey,0))&amp;"",""))</f>
        <v/>
      </c>
      <c r="M162" s="59" t="str">
        <f>IF(A162="","",IF(G162="Annulé","Annulé",IF(L162&lt;&gt;"","Facturé",IF(G162="Accepté","Accepté",IF(G162="Refusé","Refusé",IF(p_asof&gt;H162,"Expiré","En attente"))))))</f>
        <v/>
      </c>
      <c r="N162" s="59" t="str">
        <f>IF(COUNTA(B162:C162,E162:G162)=0,"",IF(B162="","Date manquante",IF(NOT(ISNUMBER(B162)),"Date invalide",IF(C162="","Client manquant",IF(ISNA(MATCH(C162,cli_code,0)),"Client inconnu",IF(O162&lt;MAX($O$6:O161),"Date antérieure au devis précédent",IF(AND(ISNUMBER(F162),F162&lt;O162),"Validité antérieure à la date du devis",IF(AND(R162=0,G162&lt;&gt;"Annulé"),"Aucune ligne (feuille Lignes de devis)",IF(COUNTIFS(dl_doc,A162,dl_check,"&lt;&gt;OK")&gt;0,"Ligne(s) à corriger",IF(AND(L162&lt;&gt;"",OR(G162="Refusé",G162="Annulé")),"Devis refusé ou annulé mais facturé","OK"))))))))))</f>
        <v/>
      </c>
      <c r="O162" s="62">
        <f>IF(ISNUMBER(B162),B162,0)</f>
        <v>0.0</v>
      </c>
      <c r="P162" s="62" t="str">
        <f>IF(O162=0,"",YEAR(O162))</f>
        <v/>
      </c>
      <c r="Q162" s="62" t="str">
        <f>IF(P162="","",COUNTIF($P$6:P162,P162))</f>
        <v/>
      </c>
      <c r="R162" s="62">
        <f>IF(A162="",0,COUNTIF(dl_doc,A162))</f>
        <v>0.0</v>
      </c>
    </row>
    <row r="163">
      <c r="A163" s="59" t="str">
        <f>IF(Q163="","",p_pdv&amp;"-"&amp;P163&amp;"-"&amp;RIGHT("000"&amp;Q163,4))</f>
        <v/>
      </c>
      <c r="B163" s="61" t="n"/>
      <c r="C163" s="60" t="n"/>
      <c r="D163" s="62" t="str">
        <f>IF(C163="","",IFERROR(INDEX(cli_name,MATCH(C163,cli_code,0))&amp;"","Client inconnu"))</f>
        <v/>
      </c>
      <c r="E163" s="63" t="n"/>
      <c r="F163" s="61" t="n"/>
      <c r="G163" s="60" t="n"/>
      <c r="H163" s="64" t="str">
        <f>IF(A163="","",IF(ISNUMBER(F163),F163,O163+N(p_validity)))</f>
        <v/>
      </c>
      <c r="I163" s="65" t="str">
        <f>IF(A163="","",SUMIF(dl_doc,A163,dl_ht))</f>
        <v/>
      </c>
      <c r="J163" s="65" t="str">
        <f>IF(A163="","",IF(INDEX(p_rates,1)="",0,ROUND(SUMIFS(dl_ht,dl_doc,A163,dl_rate,INDEX(p_rates,1))*INDEX(p_rates,1),2))+IF(INDEX(p_rates,2)="",0,ROUND(SUMIFS(dl_ht,dl_doc,A163,dl_rate,INDEX(p_rates,2))*INDEX(p_rates,2),2))+IF(INDEX(p_rates,3)="",0,ROUND(SUMIFS(dl_ht,dl_doc,A163,dl_rate,INDEX(p_rates,3))*INDEX(p_rates,3),2))+IF(INDEX(p_rates,4)="",0,ROUND(SUMIFS(dl_ht,dl_doc,A163,dl_rate,INDEX(p_rates,4))*INDEX(p_rates,4),2))+IF(INDEX(p_rates,5)="",0,ROUND(SUMIFS(dl_ht,dl_doc,A163,dl_rate,INDEX(p_rates,5))*INDEX(p_rates,5),2))+IF(INDEX(p_rates,6)="",0,ROUND(SUMIFS(dl_ht,dl_doc,A163,dl_rate,INDEX(p_rates,6))*INDEX(p_rates,6),2)))</f>
        <v/>
      </c>
      <c r="K163" s="65" t="str">
        <f>IF(A163="","",I163+J163)</f>
        <v/>
      </c>
      <c r="L163" s="59" t="str">
        <f>IF(A163="","",IFERROR(INDEX(fa_num,MATCH(A163,fa_dvkey,0))&amp;"",""))</f>
        <v/>
      </c>
      <c r="M163" s="59" t="str">
        <f>IF(A163="","",IF(G163="Annulé","Annulé",IF(L163&lt;&gt;"","Facturé",IF(G163="Accepté","Accepté",IF(G163="Refusé","Refusé",IF(p_asof&gt;H163,"Expiré","En attente"))))))</f>
        <v/>
      </c>
      <c r="N163" s="59" t="str">
        <f>IF(COUNTA(B163:C163,E163:G163)=0,"",IF(B163="","Date manquante",IF(NOT(ISNUMBER(B163)),"Date invalide",IF(C163="","Client manquant",IF(ISNA(MATCH(C163,cli_code,0)),"Client inconnu",IF(O163&lt;MAX($O$6:O162),"Date antérieure au devis précédent",IF(AND(ISNUMBER(F163),F163&lt;O163),"Validité antérieure à la date du devis",IF(AND(R163=0,G163&lt;&gt;"Annulé"),"Aucune ligne (feuille Lignes de devis)",IF(COUNTIFS(dl_doc,A163,dl_check,"&lt;&gt;OK")&gt;0,"Ligne(s) à corriger",IF(AND(L163&lt;&gt;"",OR(G163="Refusé",G163="Annulé")),"Devis refusé ou annulé mais facturé","OK"))))))))))</f>
        <v/>
      </c>
      <c r="O163" s="62">
        <f>IF(ISNUMBER(B163),B163,0)</f>
        <v>0.0</v>
      </c>
      <c r="P163" s="62" t="str">
        <f>IF(O163=0,"",YEAR(O163))</f>
        <v/>
      </c>
      <c r="Q163" s="62" t="str">
        <f>IF(P163="","",COUNTIF($P$6:P163,P163))</f>
        <v/>
      </c>
      <c r="R163" s="62">
        <f>IF(A163="",0,COUNTIF(dl_doc,A163))</f>
        <v>0.0</v>
      </c>
    </row>
    <row r="164">
      <c r="A164" s="59" t="str">
        <f>IF(Q164="","",p_pdv&amp;"-"&amp;P164&amp;"-"&amp;RIGHT("000"&amp;Q164,4))</f>
        <v/>
      </c>
      <c r="B164" s="61" t="n"/>
      <c r="C164" s="60" t="n"/>
      <c r="D164" s="62" t="str">
        <f>IF(C164="","",IFERROR(INDEX(cli_name,MATCH(C164,cli_code,0))&amp;"","Client inconnu"))</f>
        <v/>
      </c>
      <c r="E164" s="63" t="n"/>
      <c r="F164" s="61" t="n"/>
      <c r="G164" s="60" t="n"/>
      <c r="H164" s="64" t="str">
        <f>IF(A164="","",IF(ISNUMBER(F164),F164,O164+N(p_validity)))</f>
        <v/>
      </c>
      <c r="I164" s="65" t="str">
        <f>IF(A164="","",SUMIF(dl_doc,A164,dl_ht))</f>
        <v/>
      </c>
      <c r="J164" s="65" t="str">
        <f>IF(A164="","",IF(INDEX(p_rates,1)="",0,ROUND(SUMIFS(dl_ht,dl_doc,A164,dl_rate,INDEX(p_rates,1))*INDEX(p_rates,1),2))+IF(INDEX(p_rates,2)="",0,ROUND(SUMIFS(dl_ht,dl_doc,A164,dl_rate,INDEX(p_rates,2))*INDEX(p_rates,2),2))+IF(INDEX(p_rates,3)="",0,ROUND(SUMIFS(dl_ht,dl_doc,A164,dl_rate,INDEX(p_rates,3))*INDEX(p_rates,3),2))+IF(INDEX(p_rates,4)="",0,ROUND(SUMIFS(dl_ht,dl_doc,A164,dl_rate,INDEX(p_rates,4))*INDEX(p_rates,4),2))+IF(INDEX(p_rates,5)="",0,ROUND(SUMIFS(dl_ht,dl_doc,A164,dl_rate,INDEX(p_rates,5))*INDEX(p_rates,5),2))+IF(INDEX(p_rates,6)="",0,ROUND(SUMIFS(dl_ht,dl_doc,A164,dl_rate,INDEX(p_rates,6))*INDEX(p_rates,6),2)))</f>
        <v/>
      </c>
      <c r="K164" s="65" t="str">
        <f>IF(A164="","",I164+J164)</f>
        <v/>
      </c>
      <c r="L164" s="59" t="str">
        <f>IF(A164="","",IFERROR(INDEX(fa_num,MATCH(A164,fa_dvkey,0))&amp;"",""))</f>
        <v/>
      </c>
      <c r="M164" s="59" t="str">
        <f>IF(A164="","",IF(G164="Annulé","Annulé",IF(L164&lt;&gt;"","Facturé",IF(G164="Accepté","Accepté",IF(G164="Refusé","Refusé",IF(p_asof&gt;H164,"Expiré","En attente"))))))</f>
        <v/>
      </c>
      <c r="N164" s="59" t="str">
        <f>IF(COUNTA(B164:C164,E164:G164)=0,"",IF(B164="","Date manquante",IF(NOT(ISNUMBER(B164)),"Date invalide",IF(C164="","Client manquant",IF(ISNA(MATCH(C164,cli_code,0)),"Client inconnu",IF(O164&lt;MAX($O$6:O163),"Date antérieure au devis précédent",IF(AND(ISNUMBER(F164),F164&lt;O164),"Validité antérieure à la date du devis",IF(AND(R164=0,G164&lt;&gt;"Annulé"),"Aucune ligne (feuille Lignes de devis)",IF(COUNTIFS(dl_doc,A164,dl_check,"&lt;&gt;OK")&gt;0,"Ligne(s) à corriger",IF(AND(L164&lt;&gt;"",OR(G164="Refusé",G164="Annulé")),"Devis refusé ou annulé mais facturé","OK"))))))))))</f>
        <v/>
      </c>
      <c r="O164" s="62">
        <f>IF(ISNUMBER(B164),B164,0)</f>
        <v>0.0</v>
      </c>
      <c r="P164" s="62" t="str">
        <f>IF(O164=0,"",YEAR(O164))</f>
        <v/>
      </c>
      <c r="Q164" s="62" t="str">
        <f>IF(P164="","",COUNTIF($P$6:P164,P164))</f>
        <v/>
      </c>
      <c r="R164" s="62">
        <f>IF(A164="",0,COUNTIF(dl_doc,A164))</f>
        <v>0.0</v>
      </c>
    </row>
    <row r="165">
      <c r="A165" s="59" t="str">
        <f>IF(Q165="","",p_pdv&amp;"-"&amp;P165&amp;"-"&amp;RIGHT("000"&amp;Q165,4))</f>
        <v/>
      </c>
      <c r="B165" s="61" t="n"/>
      <c r="C165" s="60" t="n"/>
      <c r="D165" s="62" t="str">
        <f>IF(C165="","",IFERROR(INDEX(cli_name,MATCH(C165,cli_code,0))&amp;"","Client inconnu"))</f>
        <v/>
      </c>
      <c r="E165" s="63" t="n"/>
      <c r="F165" s="61" t="n"/>
      <c r="G165" s="60" t="n"/>
      <c r="H165" s="64" t="str">
        <f>IF(A165="","",IF(ISNUMBER(F165),F165,O165+N(p_validity)))</f>
        <v/>
      </c>
      <c r="I165" s="65" t="str">
        <f>IF(A165="","",SUMIF(dl_doc,A165,dl_ht))</f>
        <v/>
      </c>
      <c r="J165" s="65" t="str">
        <f>IF(A165="","",IF(INDEX(p_rates,1)="",0,ROUND(SUMIFS(dl_ht,dl_doc,A165,dl_rate,INDEX(p_rates,1))*INDEX(p_rates,1),2))+IF(INDEX(p_rates,2)="",0,ROUND(SUMIFS(dl_ht,dl_doc,A165,dl_rate,INDEX(p_rates,2))*INDEX(p_rates,2),2))+IF(INDEX(p_rates,3)="",0,ROUND(SUMIFS(dl_ht,dl_doc,A165,dl_rate,INDEX(p_rates,3))*INDEX(p_rates,3),2))+IF(INDEX(p_rates,4)="",0,ROUND(SUMIFS(dl_ht,dl_doc,A165,dl_rate,INDEX(p_rates,4))*INDEX(p_rates,4),2))+IF(INDEX(p_rates,5)="",0,ROUND(SUMIFS(dl_ht,dl_doc,A165,dl_rate,INDEX(p_rates,5))*INDEX(p_rates,5),2))+IF(INDEX(p_rates,6)="",0,ROUND(SUMIFS(dl_ht,dl_doc,A165,dl_rate,INDEX(p_rates,6))*INDEX(p_rates,6),2)))</f>
        <v/>
      </c>
      <c r="K165" s="65" t="str">
        <f>IF(A165="","",I165+J165)</f>
        <v/>
      </c>
      <c r="L165" s="59" t="str">
        <f>IF(A165="","",IFERROR(INDEX(fa_num,MATCH(A165,fa_dvkey,0))&amp;"",""))</f>
        <v/>
      </c>
      <c r="M165" s="59" t="str">
        <f>IF(A165="","",IF(G165="Annulé","Annulé",IF(L165&lt;&gt;"","Facturé",IF(G165="Accepté","Accepté",IF(G165="Refusé","Refusé",IF(p_asof&gt;H165,"Expiré","En attente"))))))</f>
        <v/>
      </c>
      <c r="N165" s="59" t="str">
        <f>IF(COUNTA(B165:C165,E165:G165)=0,"",IF(B165="","Date manquante",IF(NOT(ISNUMBER(B165)),"Date invalide",IF(C165="","Client manquant",IF(ISNA(MATCH(C165,cli_code,0)),"Client inconnu",IF(O165&lt;MAX($O$6:O164),"Date antérieure au devis précédent",IF(AND(ISNUMBER(F165),F165&lt;O165),"Validité antérieure à la date du devis",IF(AND(R165=0,G165&lt;&gt;"Annulé"),"Aucune ligne (feuille Lignes de devis)",IF(COUNTIFS(dl_doc,A165,dl_check,"&lt;&gt;OK")&gt;0,"Ligne(s) à corriger",IF(AND(L165&lt;&gt;"",OR(G165="Refusé",G165="Annulé")),"Devis refusé ou annulé mais facturé","OK"))))))))))</f>
        <v/>
      </c>
      <c r="O165" s="62">
        <f>IF(ISNUMBER(B165),B165,0)</f>
        <v>0.0</v>
      </c>
      <c r="P165" s="62" t="str">
        <f>IF(O165=0,"",YEAR(O165))</f>
        <v/>
      </c>
      <c r="Q165" s="62" t="str">
        <f>IF(P165="","",COUNTIF($P$6:P165,P165))</f>
        <v/>
      </c>
      <c r="R165" s="62">
        <f>IF(A165="",0,COUNTIF(dl_doc,A165))</f>
        <v>0.0</v>
      </c>
    </row>
    <row r="166">
      <c r="A166" s="59" t="str">
        <f>IF(Q166="","",p_pdv&amp;"-"&amp;P166&amp;"-"&amp;RIGHT("000"&amp;Q166,4))</f>
        <v/>
      </c>
      <c r="B166" s="61" t="n"/>
      <c r="C166" s="60" t="n"/>
      <c r="D166" s="62" t="str">
        <f>IF(C166="","",IFERROR(INDEX(cli_name,MATCH(C166,cli_code,0))&amp;"","Client inconnu"))</f>
        <v/>
      </c>
      <c r="E166" s="63" t="n"/>
      <c r="F166" s="61" t="n"/>
      <c r="G166" s="60" t="n"/>
      <c r="H166" s="64" t="str">
        <f>IF(A166="","",IF(ISNUMBER(F166),F166,O166+N(p_validity)))</f>
        <v/>
      </c>
      <c r="I166" s="65" t="str">
        <f>IF(A166="","",SUMIF(dl_doc,A166,dl_ht))</f>
        <v/>
      </c>
      <c r="J166" s="65" t="str">
        <f>IF(A166="","",IF(INDEX(p_rates,1)="",0,ROUND(SUMIFS(dl_ht,dl_doc,A166,dl_rate,INDEX(p_rates,1))*INDEX(p_rates,1),2))+IF(INDEX(p_rates,2)="",0,ROUND(SUMIFS(dl_ht,dl_doc,A166,dl_rate,INDEX(p_rates,2))*INDEX(p_rates,2),2))+IF(INDEX(p_rates,3)="",0,ROUND(SUMIFS(dl_ht,dl_doc,A166,dl_rate,INDEX(p_rates,3))*INDEX(p_rates,3),2))+IF(INDEX(p_rates,4)="",0,ROUND(SUMIFS(dl_ht,dl_doc,A166,dl_rate,INDEX(p_rates,4))*INDEX(p_rates,4),2))+IF(INDEX(p_rates,5)="",0,ROUND(SUMIFS(dl_ht,dl_doc,A166,dl_rate,INDEX(p_rates,5))*INDEX(p_rates,5),2))+IF(INDEX(p_rates,6)="",0,ROUND(SUMIFS(dl_ht,dl_doc,A166,dl_rate,INDEX(p_rates,6))*INDEX(p_rates,6),2)))</f>
        <v/>
      </c>
      <c r="K166" s="65" t="str">
        <f>IF(A166="","",I166+J166)</f>
        <v/>
      </c>
      <c r="L166" s="59" t="str">
        <f>IF(A166="","",IFERROR(INDEX(fa_num,MATCH(A166,fa_dvkey,0))&amp;"",""))</f>
        <v/>
      </c>
      <c r="M166" s="59" t="str">
        <f>IF(A166="","",IF(G166="Annulé","Annulé",IF(L166&lt;&gt;"","Facturé",IF(G166="Accepté","Accepté",IF(G166="Refusé","Refusé",IF(p_asof&gt;H166,"Expiré","En attente"))))))</f>
        <v/>
      </c>
      <c r="N166" s="59" t="str">
        <f>IF(COUNTA(B166:C166,E166:G166)=0,"",IF(B166="","Date manquante",IF(NOT(ISNUMBER(B166)),"Date invalide",IF(C166="","Client manquant",IF(ISNA(MATCH(C166,cli_code,0)),"Client inconnu",IF(O166&lt;MAX($O$6:O165),"Date antérieure au devis précédent",IF(AND(ISNUMBER(F166),F166&lt;O166),"Validité antérieure à la date du devis",IF(AND(R166=0,G166&lt;&gt;"Annulé"),"Aucune ligne (feuille Lignes de devis)",IF(COUNTIFS(dl_doc,A166,dl_check,"&lt;&gt;OK")&gt;0,"Ligne(s) à corriger",IF(AND(L166&lt;&gt;"",OR(G166="Refusé",G166="Annulé")),"Devis refusé ou annulé mais facturé","OK"))))))))))</f>
        <v/>
      </c>
      <c r="O166" s="62">
        <f>IF(ISNUMBER(B166),B166,0)</f>
        <v>0.0</v>
      </c>
      <c r="P166" s="62" t="str">
        <f>IF(O166=0,"",YEAR(O166))</f>
        <v/>
      </c>
      <c r="Q166" s="62" t="str">
        <f>IF(P166="","",COUNTIF($P$6:P166,P166))</f>
        <v/>
      </c>
      <c r="R166" s="62">
        <f>IF(A166="",0,COUNTIF(dl_doc,A166))</f>
        <v>0.0</v>
      </c>
    </row>
    <row r="167">
      <c r="A167" s="59" t="str">
        <f>IF(Q167="","",p_pdv&amp;"-"&amp;P167&amp;"-"&amp;RIGHT("000"&amp;Q167,4))</f>
        <v/>
      </c>
      <c r="B167" s="61" t="n"/>
      <c r="C167" s="60" t="n"/>
      <c r="D167" s="62" t="str">
        <f>IF(C167="","",IFERROR(INDEX(cli_name,MATCH(C167,cli_code,0))&amp;"","Client inconnu"))</f>
        <v/>
      </c>
      <c r="E167" s="63" t="n"/>
      <c r="F167" s="61" t="n"/>
      <c r="G167" s="60" t="n"/>
      <c r="H167" s="64" t="str">
        <f>IF(A167="","",IF(ISNUMBER(F167),F167,O167+N(p_validity)))</f>
        <v/>
      </c>
      <c r="I167" s="65" t="str">
        <f>IF(A167="","",SUMIF(dl_doc,A167,dl_ht))</f>
        <v/>
      </c>
      <c r="J167" s="65" t="str">
        <f>IF(A167="","",IF(INDEX(p_rates,1)="",0,ROUND(SUMIFS(dl_ht,dl_doc,A167,dl_rate,INDEX(p_rates,1))*INDEX(p_rates,1),2))+IF(INDEX(p_rates,2)="",0,ROUND(SUMIFS(dl_ht,dl_doc,A167,dl_rate,INDEX(p_rates,2))*INDEX(p_rates,2),2))+IF(INDEX(p_rates,3)="",0,ROUND(SUMIFS(dl_ht,dl_doc,A167,dl_rate,INDEX(p_rates,3))*INDEX(p_rates,3),2))+IF(INDEX(p_rates,4)="",0,ROUND(SUMIFS(dl_ht,dl_doc,A167,dl_rate,INDEX(p_rates,4))*INDEX(p_rates,4),2))+IF(INDEX(p_rates,5)="",0,ROUND(SUMIFS(dl_ht,dl_doc,A167,dl_rate,INDEX(p_rates,5))*INDEX(p_rates,5),2))+IF(INDEX(p_rates,6)="",0,ROUND(SUMIFS(dl_ht,dl_doc,A167,dl_rate,INDEX(p_rates,6))*INDEX(p_rates,6),2)))</f>
        <v/>
      </c>
      <c r="K167" s="65" t="str">
        <f>IF(A167="","",I167+J167)</f>
        <v/>
      </c>
      <c r="L167" s="59" t="str">
        <f>IF(A167="","",IFERROR(INDEX(fa_num,MATCH(A167,fa_dvkey,0))&amp;"",""))</f>
        <v/>
      </c>
      <c r="M167" s="59" t="str">
        <f>IF(A167="","",IF(G167="Annulé","Annulé",IF(L167&lt;&gt;"","Facturé",IF(G167="Accepté","Accepté",IF(G167="Refusé","Refusé",IF(p_asof&gt;H167,"Expiré","En attente"))))))</f>
        <v/>
      </c>
      <c r="N167" s="59" t="str">
        <f>IF(COUNTA(B167:C167,E167:G167)=0,"",IF(B167="","Date manquante",IF(NOT(ISNUMBER(B167)),"Date invalide",IF(C167="","Client manquant",IF(ISNA(MATCH(C167,cli_code,0)),"Client inconnu",IF(O167&lt;MAX($O$6:O166),"Date antérieure au devis précédent",IF(AND(ISNUMBER(F167),F167&lt;O167),"Validité antérieure à la date du devis",IF(AND(R167=0,G167&lt;&gt;"Annulé"),"Aucune ligne (feuille Lignes de devis)",IF(COUNTIFS(dl_doc,A167,dl_check,"&lt;&gt;OK")&gt;0,"Ligne(s) à corriger",IF(AND(L167&lt;&gt;"",OR(G167="Refusé",G167="Annulé")),"Devis refusé ou annulé mais facturé","OK"))))))))))</f>
        <v/>
      </c>
      <c r="O167" s="62">
        <f>IF(ISNUMBER(B167),B167,0)</f>
        <v>0.0</v>
      </c>
      <c r="P167" s="62" t="str">
        <f>IF(O167=0,"",YEAR(O167))</f>
        <v/>
      </c>
      <c r="Q167" s="62" t="str">
        <f>IF(P167="","",COUNTIF($P$6:P167,P167))</f>
        <v/>
      </c>
      <c r="R167" s="62">
        <f>IF(A167="",0,COUNTIF(dl_doc,A167))</f>
        <v>0.0</v>
      </c>
    </row>
    <row r="168">
      <c r="A168" s="59" t="str">
        <f>IF(Q168="","",p_pdv&amp;"-"&amp;P168&amp;"-"&amp;RIGHT("000"&amp;Q168,4))</f>
        <v/>
      </c>
      <c r="B168" s="61" t="n"/>
      <c r="C168" s="60" t="n"/>
      <c r="D168" s="62" t="str">
        <f>IF(C168="","",IFERROR(INDEX(cli_name,MATCH(C168,cli_code,0))&amp;"","Client inconnu"))</f>
        <v/>
      </c>
      <c r="E168" s="63" t="n"/>
      <c r="F168" s="61" t="n"/>
      <c r="G168" s="60" t="n"/>
      <c r="H168" s="64" t="str">
        <f>IF(A168="","",IF(ISNUMBER(F168),F168,O168+N(p_validity)))</f>
        <v/>
      </c>
      <c r="I168" s="65" t="str">
        <f>IF(A168="","",SUMIF(dl_doc,A168,dl_ht))</f>
        <v/>
      </c>
      <c r="J168" s="65" t="str">
        <f>IF(A168="","",IF(INDEX(p_rates,1)="",0,ROUND(SUMIFS(dl_ht,dl_doc,A168,dl_rate,INDEX(p_rates,1))*INDEX(p_rates,1),2))+IF(INDEX(p_rates,2)="",0,ROUND(SUMIFS(dl_ht,dl_doc,A168,dl_rate,INDEX(p_rates,2))*INDEX(p_rates,2),2))+IF(INDEX(p_rates,3)="",0,ROUND(SUMIFS(dl_ht,dl_doc,A168,dl_rate,INDEX(p_rates,3))*INDEX(p_rates,3),2))+IF(INDEX(p_rates,4)="",0,ROUND(SUMIFS(dl_ht,dl_doc,A168,dl_rate,INDEX(p_rates,4))*INDEX(p_rates,4),2))+IF(INDEX(p_rates,5)="",0,ROUND(SUMIFS(dl_ht,dl_doc,A168,dl_rate,INDEX(p_rates,5))*INDEX(p_rates,5),2))+IF(INDEX(p_rates,6)="",0,ROUND(SUMIFS(dl_ht,dl_doc,A168,dl_rate,INDEX(p_rates,6))*INDEX(p_rates,6),2)))</f>
        <v/>
      </c>
      <c r="K168" s="65" t="str">
        <f>IF(A168="","",I168+J168)</f>
        <v/>
      </c>
      <c r="L168" s="59" t="str">
        <f>IF(A168="","",IFERROR(INDEX(fa_num,MATCH(A168,fa_dvkey,0))&amp;"",""))</f>
        <v/>
      </c>
      <c r="M168" s="59" t="str">
        <f>IF(A168="","",IF(G168="Annulé","Annulé",IF(L168&lt;&gt;"","Facturé",IF(G168="Accepté","Accepté",IF(G168="Refusé","Refusé",IF(p_asof&gt;H168,"Expiré","En attente"))))))</f>
        <v/>
      </c>
      <c r="N168" s="59" t="str">
        <f>IF(COUNTA(B168:C168,E168:G168)=0,"",IF(B168="","Date manquante",IF(NOT(ISNUMBER(B168)),"Date invalide",IF(C168="","Client manquant",IF(ISNA(MATCH(C168,cli_code,0)),"Client inconnu",IF(O168&lt;MAX($O$6:O167),"Date antérieure au devis précédent",IF(AND(ISNUMBER(F168),F168&lt;O168),"Validité antérieure à la date du devis",IF(AND(R168=0,G168&lt;&gt;"Annulé"),"Aucune ligne (feuille Lignes de devis)",IF(COUNTIFS(dl_doc,A168,dl_check,"&lt;&gt;OK")&gt;0,"Ligne(s) à corriger",IF(AND(L168&lt;&gt;"",OR(G168="Refusé",G168="Annulé")),"Devis refusé ou annulé mais facturé","OK"))))))))))</f>
        <v/>
      </c>
      <c r="O168" s="62">
        <f>IF(ISNUMBER(B168),B168,0)</f>
        <v>0.0</v>
      </c>
      <c r="P168" s="62" t="str">
        <f>IF(O168=0,"",YEAR(O168))</f>
        <v/>
      </c>
      <c r="Q168" s="62" t="str">
        <f>IF(P168="","",COUNTIF($P$6:P168,P168))</f>
        <v/>
      </c>
      <c r="R168" s="62">
        <f>IF(A168="",0,COUNTIF(dl_doc,A168))</f>
        <v>0.0</v>
      </c>
    </row>
    <row r="169">
      <c r="A169" s="59" t="str">
        <f>IF(Q169="","",p_pdv&amp;"-"&amp;P169&amp;"-"&amp;RIGHT("000"&amp;Q169,4))</f>
        <v/>
      </c>
      <c r="B169" s="61" t="n"/>
      <c r="C169" s="60" t="n"/>
      <c r="D169" s="62" t="str">
        <f>IF(C169="","",IFERROR(INDEX(cli_name,MATCH(C169,cli_code,0))&amp;"","Client inconnu"))</f>
        <v/>
      </c>
      <c r="E169" s="63" t="n"/>
      <c r="F169" s="61" t="n"/>
      <c r="G169" s="60" t="n"/>
      <c r="H169" s="64" t="str">
        <f>IF(A169="","",IF(ISNUMBER(F169),F169,O169+N(p_validity)))</f>
        <v/>
      </c>
      <c r="I169" s="65" t="str">
        <f>IF(A169="","",SUMIF(dl_doc,A169,dl_ht))</f>
        <v/>
      </c>
      <c r="J169" s="65" t="str">
        <f>IF(A169="","",IF(INDEX(p_rates,1)="",0,ROUND(SUMIFS(dl_ht,dl_doc,A169,dl_rate,INDEX(p_rates,1))*INDEX(p_rates,1),2))+IF(INDEX(p_rates,2)="",0,ROUND(SUMIFS(dl_ht,dl_doc,A169,dl_rate,INDEX(p_rates,2))*INDEX(p_rates,2),2))+IF(INDEX(p_rates,3)="",0,ROUND(SUMIFS(dl_ht,dl_doc,A169,dl_rate,INDEX(p_rates,3))*INDEX(p_rates,3),2))+IF(INDEX(p_rates,4)="",0,ROUND(SUMIFS(dl_ht,dl_doc,A169,dl_rate,INDEX(p_rates,4))*INDEX(p_rates,4),2))+IF(INDEX(p_rates,5)="",0,ROUND(SUMIFS(dl_ht,dl_doc,A169,dl_rate,INDEX(p_rates,5))*INDEX(p_rates,5),2))+IF(INDEX(p_rates,6)="",0,ROUND(SUMIFS(dl_ht,dl_doc,A169,dl_rate,INDEX(p_rates,6))*INDEX(p_rates,6),2)))</f>
        <v/>
      </c>
      <c r="K169" s="65" t="str">
        <f>IF(A169="","",I169+J169)</f>
        <v/>
      </c>
      <c r="L169" s="59" t="str">
        <f>IF(A169="","",IFERROR(INDEX(fa_num,MATCH(A169,fa_dvkey,0))&amp;"",""))</f>
        <v/>
      </c>
      <c r="M169" s="59" t="str">
        <f>IF(A169="","",IF(G169="Annulé","Annulé",IF(L169&lt;&gt;"","Facturé",IF(G169="Accepté","Accepté",IF(G169="Refusé","Refusé",IF(p_asof&gt;H169,"Expiré","En attente"))))))</f>
        <v/>
      </c>
      <c r="N169" s="59" t="str">
        <f>IF(COUNTA(B169:C169,E169:G169)=0,"",IF(B169="","Date manquante",IF(NOT(ISNUMBER(B169)),"Date invalide",IF(C169="","Client manquant",IF(ISNA(MATCH(C169,cli_code,0)),"Client inconnu",IF(O169&lt;MAX($O$6:O168),"Date antérieure au devis précédent",IF(AND(ISNUMBER(F169),F169&lt;O169),"Validité antérieure à la date du devis",IF(AND(R169=0,G169&lt;&gt;"Annulé"),"Aucune ligne (feuille Lignes de devis)",IF(COUNTIFS(dl_doc,A169,dl_check,"&lt;&gt;OK")&gt;0,"Ligne(s) à corriger",IF(AND(L169&lt;&gt;"",OR(G169="Refusé",G169="Annulé")),"Devis refusé ou annulé mais facturé","OK"))))))))))</f>
        <v/>
      </c>
      <c r="O169" s="62">
        <f>IF(ISNUMBER(B169),B169,0)</f>
        <v>0.0</v>
      </c>
      <c r="P169" s="62" t="str">
        <f>IF(O169=0,"",YEAR(O169))</f>
        <v/>
      </c>
      <c r="Q169" s="62" t="str">
        <f>IF(P169="","",COUNTIF($P$6:P169,P169))</f>
        <v/>
      </c>
      <c r="R169" s="62">
        <f>IF(A169="",0,COUNTIF(dl_doc,A169))</f>
        <v>0.0</v>
      </c>
    </row>
    <row r="170">
      <c r="A170" s="59" t="str">
        <f>IF(Q170="","",p_pdv&amp;"-"&amp;P170&amp;"-"&amp;RIGHT("000"&amp;Q170,4))</f>
        <v/>
      </c>
      <c r="B170" s="61" t="n"/>
      <c r="C170" s="60" t="n"/>
      <c r="D170" s="62" t="str">
        <f>IF(C170="","",IFERROR(INDEX(cli_name,MATCH(C170,cli_code,0))&amp;"","Client inconnu"))</f>
        <v/>
      </c>
      <c r="E170" s="63" t="n"/>
      <c r="F170" s="61" t="n"/>
      <c r="G170" s="60" t="n"/>
      <c r="H170" s="64" t="str">
        <f>IF(A170="","",IF(ISNUMBER(F170),F170,O170+N(p_validity)))</f>
        <v/>
      </c>
      <c r="I170" s="65" t="str">
        <f>IF(A170="","",SUMIF(dl_doc,A170,dl_ht))</f>
        <v/>
      </c>
      <c r="J170" s="65" t="str">
        <f>IF(A170="","",IF(INDEX(p_rates,1)="",0,ROUND(SUMIFS(dl_ht,dl_doc,A170,dl_rate,INDEX(p_rates,1))*INDEX(p_rates,1),2))+IF(INDEX(p_rates,2)="",0,ROUND(SUMIFS(dl_ht,dl_doc,A170,dl_rate,INDEX(p_rates,2))*INDEX(p_rates,2),2))+IF(INDEX(p_rates,3)="",0,ROUND(SUMIFS(dl_ht,dl_doc,A170,dl_rate,INDEX(p_rates,3))*INDEX(p_rates,3),2))+IF(INDEX(p_rates,4)="",0,ROUND(SUMIFS(dl_ht,dl_doc,A170,dl_rate,INDEX(p_rates,4))*INDEX(p_rates,4),2))+IF(INDEX(p_rates,5)="",0,ROUND(SUMIFS(dl_ht,dl_doc,A170,dl_rate,INDEX(p_rates,5))*INDEX(p_rates,5),2))+IF(INDEX(p_rates,6)="",0,ROUND(SUMIFS(dl_ht,dl_doc,A170,dl_rate,INDEX(p_rates,6))*INDEX(p_rates,6),2)))</f>
        <v/>
      </c>
      <c r="K170" s="65" t="str">
        <f>IF(A170="","",I170+J170)</f>
        <v/>
      </c>
      <c r="L170" s="59" t="str">
        <f>IF(A170="","",IFERROR(INDEX(fa_num,MATCH(A170,fa_dvkey,0))&amp;"",""))</f>
        <v/>
      </c>
      <c r="M170" s="59" t="str">
        <f>IF(A170="","",IF(G170="Annulé","Annulé",IF(L170&lt;&gt;"","Facturé",IF(G170="Accepté","Accepté",IF(G170="Refusé","Refusé",IF(p_asof&gt;H170,"Expiré","En attente"))))))</f>
        <v/>
      </c>
      <c r="N170" s="59" t="str">
        <f>IF(COUNTA(B170:C170,E170:G170)=0,"",IF(B170="","Date manquante",IF(NOT(ISNUMBER(B170)),"Date invalide",IF(C170="","Client manquant",IF(ISNA(MATCH(C170,cli_code,0)),"Client inconnu",IF(O170&lt;MAX($O$6:O169),"Date antérieure au devis précédent",IF(AND(ISNUMBER(F170),F170&lt;O170),"Validité antérieure à la date du devis",IF(AND(R170=0,G170&lt;&gt;"Annulé"),"Aucune ligne (feuille Lignes de devis)",IF(COUNTIFS(dl_doc,A170,dl_check,"&lt;&gt;OK")&gt;0,"Ligne(s) à corriger",IF(AND(L170&lt;&gt;"",OR(G170="Refusé",G170="Annulé")),"Devis refusé ou annulé mais facturé","OK"))))))))))</f>
        <v/>
      </c>
      <c r="O170" s="62">
        <f>IF(ISNUMBER(B170),B170,0)</f>
        <v>0.0</v>
      </c>
      <c r="P170" s="62" t="str">
        <f>IF(O170=0,"",YEAR(O170))</f>
        <v/>
      </c>
      <c r="Q170" s="62" t="str">
        <f>IF(P170="","",COUNTIF($P$6:P170,P170))</f>
        <v/>
      </c>
      <c r="R170" s="62">
        <f>IF(A170="",0,COUNTIF(dl_doc,A170))</f>
        <v>0.0</v>
      </c>
    </row>
    <row r="171">
      <c r="A171" s="59" t="str">
        <f>IF(Q171="","",p_pdv&amp;"-"&amp;P171&amp;"-"&amp;RIGHT("000"&amp;Q171,4))</f>
        <v/>
      </c>
      <c r="B171" s="61" t="n"/>
      <c r="C171" s="60" t="n"/>
      <c r="D171" s="62" t="str">
        <f>IF(C171="","",IFERROR(INDEX(cli_name,MATCH(C171,cli_code,0))&amp;"","Client inconnu"))</f>
        <v/>
      </c>
      <c r="E171" s="63" t="n"/>
      <c r="F171" s="61" t="n"/>
      <c r="G171" s="60" t="n"/>
      <c r="H171" s="64" t="str">
        <f>IF(A171="","",IF(ISNUMBER(F171),F171,O171+N(p_validity)))</f>
        <v/>
      </c>
      <c r="I171" s="65" t="str">
        <f>IF(A171="","",SUMIF(dl_doc,A171,dl_ht))</f>
        <v/>
      </c>
      <c r="J171" s="65" t="str">
        <f>IF(A171="","",IF(INDEX(p_rates,1)="",0,ROUND(SUMIFS(dl_ht,dl_doc,A171,dl_rate,INDEX(p_rates,1))*INDEX(p_rates,1),2))+IF(INDEX(p_rates,2)="",0,ROUND(SUMIFS(dl_ht,dl_doc,A171,dl_rate,INDEX(p_rates,2))*INDEX(p_rates,2),2))+IF(INDEX(p_rates,3)="",0,ROUND(SUMIFS(dl_ht,dl_doc,A171,dl_rate,INDEX(p_rates,3))*INDEX(p_rates,3),2))+IF(INDEX(p_rates,4)="",0,ROUND(SUMIFS(dl_ht,dl_doc,A171,dl_rate,INDEX(p_rates,4))*INDEX(p_rates,4),2))+IF(INDEX(p_rates,5)="",0,ROUND(SUMIFS(dl_ht,dl_doc,A171,dl_rate,INDEX(p_rates,5))*INDEX(p_rates,5),2))+IF(INDEX(p_rates,6)="",0,ROUND(SUMIFS(dl_ht,dl_doc,A171,dl_rate,INDEX(p_rates,6))*INDEX(p_rates,6),2)))</f>
        <v/>
      </c>
      <c r="K171" s="65" t="str">
        <f>IF(A171="","",I171+J171)</f>
        <v/>
      </c>
      <c r="L171" s="59" t="str">
        <f>IF(A171="","",IFERROR(INDEX(fa_num,MATCH(A171,fa_dvkey,0))&amp;"",""))</f>
        <v/>
      </c>
      <c r="M171" s="59" t="str">
        <f>IF(A171="","",IF(G171="Annulé","Annulé",IF(L171&lt;&gt;"","Facturé",IF(G171="Accepté","Accepté",IF(G171="Refusé","Refusé",IF(p_asof&gt;H171,"Expiré","En attente"))))))</f>
        <v/>
      </c>
      <c r="N171" s="59" t="str">
        <f>IF(COUNTA(B171:C171,E171:G171)=0,"",IF(B171="","Date manquante",IF(NOT(ISNUMBER(B171)),"Date invalide",IF(C171="","Client manquant",IF(ISNA(MATCH(C171,cli_code,0)),"Client inconnu",IF(O171&lt;MAX($O$6:O170),"Date antérieure au devis précédent",IF(AND(ISNUMBER(F171),F171&lt;O171),"Validité antérieure à la date du devis",IF(AND(R171=0,G171&lt;&gt;"Annulé"),"Aucune ligne (feuille Lignes de devis)",IF(COUNTIFS(dl_doc,A171,dl_check,"&lt;&gt;OK")&gt;0,"Ligne(s) à corriger",IF(AND(L171&lt;&gt;"",OR(G171="Refusé",G171="Annulé")),"Devis refusé ou annulé mais facturé","OK"))))))))))</f>
        <v/>
      </c>
      <c r="O171" s="62">
        <f>IF(ISNUMBER(B171),B171,0)</f>
        <v>0.0</v>
      </c>
      <c r="P171" s="62" t="str">
        <f>IF(O171=0,"",YEAR(O171))</f>
        <v/>
      </c>
      <c r="Q171" s="62" t="str">
        <f>IF(P171="","",COUNTIF($P$6:P171,P171))</f>
        <v/>
      </c>
      <c r="R171" s="62">
        <f>IF(A171="",0,COUNTIF(dl_doc,A171))</f>
        <v>0.0</v>
      </c>
    </row>
    <row r="172">
      <c r="A172" s="59" t="str">
        <f>IF(Q172="","",p_pdv&amp;"-"&amp;P172&amp;"-"&amp;RIGHT("000"&amp;Q172,4))</f>
        <v/>
      </c>
      <c r="B172" s="61" t="n"/>
      <c r="C172" s="60" t="n"/>
      <c r="D172" s="62" t="str">
        <f>IF(C172="","",IFERROR(INDEX(cli_name,MATCH(C172,cli_code,0))&amp;"","Client inconnu"))</f>
        <v/>
      </c>
      <c r="E172" s="63" t="n"/>
      <c r="F172" s="61" t="n"/>
      <c r="G172" s="60" t="n"/>
      <c r="H172" s="64" t="str">
        <f>IF(A172="","",IF(ISNUMBER(F172),F172,O172+N(p_validity)))</f>
        <v/>
      </c>
      <c r="I172" s="65" t="str">
        <f>IF(A172="","",SUMIF(dl_doc,A172,dl_ht))</f>
        <v/>
      </c>
      <c r="J172" s="65" t="str">
        <f>IF(A172="","",IF(INDEX(p_rates,1)="",0,ROUND(SUMIFS(dl_ht,dl_doc,A172,dl_rate,INDEX(p_rates,1))*INDEX(p_rates,1),2))+IF(INDEX(p_rates,2)="",0,ROUND(SUMIFS(dl_ht,dl_doc,A172,dl_rate,INDEX(p_rates,2))*INDEX(p_rates,2),2))+IF(INDEX(p_rates,3)="",0,ROUND(SUMIFS(dl_ht,dl_doc,A172,dl_rate,INDEX(p_rates,3))*INDEX(p_rates,3),2))+IF(INDEX(p_rates,4)="",0,ROUND(SUMIFS(dl_ht,dl_doc,A172,dl_rate,INDEX(p_rates,4))*INDEX(p_rates,4),2))+IF(INDEX(p_rates,5)="",0,ROUND(SUMIFS(dl_ht,dl_doc,A172,dl_rate,INDEX(p_rates,5))*INDEX(p_rates,5),2))+IF(INDEX(p_rates,6)="",0,ROUND(SUMIFS(dl_ht,dl_doc,A172,dl_rate,INDEX(p_rates,6))*INDEX(p_rates,6),2)))</f>
        <v/>
      </c>
      <c r="K172" s="65" t="str">
        <f>IF(A172="","",I172+J172)</f>
        <v/>
      </c>
      <c r="L172" s="59" t="str">
        <f>IF(A172="","",IFERROR(INDEX(fa_num,MATCH(A172,fa_dvkey,0))&amp;"",""))</f>
        <v/>
      </c>
      <c r="M172" s="59" t="str">
        <f>IF(A172="","",IF(G172="Annulé","Annulé",IF(L172&lt;&gt;"","Facturé",IF(G172="Accepté","Accepté",IF(G172="Refusé","Refusé",IF(p_asof&gt;H172,"Expiré","En attente"))))))</f>
        <v/>
      </c>
      <c r="N172" s="59" t="str">
        <f>IF(COUNTA(B172:C172,E172:G172)=0,"",IF(B172="","Date manquante",IF(NOT(ISNUMBER(B172)),"Date invalide",IF(C172="","Client manquant",IF(ISNA(MATCH(C172,cli_code,0)),"Client inconnu",IF(O172&lt;MAX($O$6:O171),"Date antérieure au devis précédent",IF(AND(ISNUMBER(F172),F172&lt;O172),"Validité antérieure à la date du devis",IF(AND(R172=0,G172&lt;&gt;"Annulé"),"Aucune ligne (feuille Lignes de devis)",IF(COUNTIFS(dl_doc,A172,dl_check,"&lt;&gt;OK")&gt;0,"Ligne(s) à corriger",IF(AND(L172&lt;&gt;"",OR(G172="Refusé",G172="Annulé")),"Devis refusé ou annulé mais facturé","OK"))))))))))</f>
        <v/>
      </c>
      <c r="O172" s="62">
        <f>IF(ISNUMBER(B172),B172,0)</f>
        <v>0.0</v>
      </c>
      <c r="P172" s="62" t="str">
        <f>IF(O172=0,"",YEAR(O172))</f>
        <v/>
      </c>
      <c r="Q172" s="62" t="str">
        <f>IF(P172="","",COUNTIF($P$6:P172,P172))</f>
        <v/>
      </c>
      <c r="R172" s="62">
        <f>IF(A172="",0,COUNTIF(dl_doc,A172))</f>
        <v>0.0</v>
      </c>
    </row>
    <row r="173">
      <c r="A173" s="59" t="str">
        <f>IF(Q173="","",p_pdv&amp;"-"&amp;P173&amp;"-"&amp;RIGHT("000"&amp;Q173,4))</f>
        <v/>
      </c>
      <c r="B173" s="61" t="n"/>
      <c r="C173" s="60" t="n"/>
      <c r="D173" s="62" t="str">
        <f>IF(C173="","",IFERROR(INDEX(cli_name,MATCH(C173,cli_code,0))&amp;"","Client inconnu"))</f>
        <v/>
      </c>
      <c r="E173" s="63" t="n"/>
      <c r="F173" s="61" t="n"/>
      <c r="G173" s="60" t="n"/>
      <c r="H173" s="64" t="str">
        <f>IF(A173="","",IF(ISNUMBER(F173),F173,O173+N(p_validity)))</f>
        <v/>
      </c>
      <c r="I173" s="65" t="str">
        <f>IF(A173="","",SUMIF(dl_doc,A173,dl_ht))</f>
        <v/>
      </c>
      <c r="J173" s="65" t="str">
        <f>IF(A173="","",IF(INDEX(p_rates,1)="",0,ROUND(SUMIFS(dl_ht,dl_doc,A173,dl_rate,INDEX(p_rates,1))*INDEX(p_rates,1),2))+IF(INDEX(p_rates,2)="",0,ROUND(SUMIFS(dl_ht,dl_doc,A173,dl_rate,INDEX(p_rates,2))*INDEX(p_rates,2),2))+IF(INDEX(p_rates,3)="",0,ROUND(SUMIFS(dl_ht,dl_doc,A173,dl_rate,INDEX(p_rates,3))*INDEX(p_rates,3),2))+IF(INDEX(p_rates,4)="",0,ROUND(SUMIFS(dl_ht,dl_doc,A173,dl_rate,INDEX(p_rates,4))*INDEX(p_rates,4),2))+IF(INDEX(p_rates,5)="",0,ROUND(SUMIFS(dl_ht,dl_doc,A173,dl_rate,INDEX(p_rates,5))*INDEX(p_rates,5),2))+IF(INDEX(p_rates,6)="",0,ROUND(SUMIFS(dl_ht,dl_doc,A173,dl_rate,INDEX(p_rates,6))*INDEX(p_rates,6),2)))</f>
        <v/>
      </c>
      <c r="K173" s="65" t="str">
        <f>IF(A173="","",I173+J173)</f>
        <v/>
      </c>
      <c r="L173" s="59" t="str">
        <f>IF(A173="","",IFERROR(INDEX(fa_num,MATCH(A173,fa_dvkey,0))&amp;"",""))</f>
        <v/>
      </c>
      <c r="M173" s="59" t="str">
        <f>IF(A173="","",IF(G173="Annulé","Annulé",IF(L173&lt;&gt;"","Facturé",IF(G173="Accepté","Accepté",IF(G173="Refusé","Refusé",IF(p_asof&gt;H173,"Expiré","En attente"))))))</f>
        <v/>
      </c>
      <c r="N173" s="59" t="str">
        <f>IF(COUNTA(B173:C173,E173:G173)=0,"",IF(B173="","Date manquante",IF(NOT(ISNUMBER(B173)),"Date invalide",IF(C173="","Client manquant",IF(ISNA(MATCH(C173,cli_code,0)),"Client inconnu",IF(O173&lt;MAX($O$6:O172),"Date antérieure au devis précédent",IF(AND(ISNUMBER(F173),F173&lt;O173),"Validité antérieure à la date du devis",IF(AND(R173=0,G173&lt;&gt;"Annulé"),"Aucune ligne (feuille Lignes de devis)",IF(COUNTIFS(dl_doc,A173,dl_check,"&lt;&gt;OK")&gt;0,"Ligne(s) à corriger",IF(AND(L173&lt;&gt;"",OR(G173="Refusé",G173="Annulé")),"Devis refusé ou annulé mais facturé","OK"))))))))))</f>
        <v/>
      </c>
      <c r="O173" s="62">
        <f>IF(ISNUMBER(B173),B173,0)</f>
        <v>0.0</v>
      </c>
      <c r="P173" s="62" t="str">
        <f>IF(O173=0,"",YEAR(O173))</f>
        <v/>
      </c>
      <c r="Q173" s="62" t="str">
        <f>IF(P173="","",COUNTIF($P$6:P173,P173))</f>
        <v/>
      </c>
      <c r="R173" s="62">
        <f>IF(A173="",0,COUNTIF(dl_doc,A173))</f>
        <v>0.0</v>
      </c>
    </row>
    <row r="174">
      <c r="A174" s="59" t="str">
        <f>IF(Q174="","",p_pdv&amp;"-"&amp;P174&amp;"-"&amp;RIGHT("000"&amp;Q174,4))</f>
        <v/>
      </c>
      <c r="B174" s="61" t="n"/>
      <c r="C174" s="60" t="n"/>
      <c r="D174" s="62" t="str">
        <f>IF(C174="","",IFERROR(INDEX(cli_name,MATCH(C174,cli_code,0))&amp;"","Client inconnu"))</f>
        <v/>
      </c>
      <c r="E174" s="63" t="n"/>
      <c r="F174" s="61" t="n"/>
      <c r="G174" s="60" t="n"/>
      <c r="H174" s="64" t="str">
        <f>IF(A174="","",IF(ISNUMBER(F174),F174,O174+N(p_validity)))</f>
        <v/>
      </c>
      <c r="I174" s="65" t="str">
        <f>IF(A174="","",SUMIF(dl_doc,A174,dl_ht))</f>
        <v/>
      </c>
      <c r="J174" s="65" t="str">
        <f>IF(A174="","",IF(INDEX(p_rates,1)="",0,ROUND(SUMIFS(dl_ht,dl_doc,A174,dl_rate,INDEX(p_rates,1))*INDEX(p_rates,1),2))+IF(INDEX(p_rates,2)="",0,ROUND(SUMIFS(dl_ht,dl_doc,A174,dl_rate,INDEX(p_rates,2))*INDEX(p_rates,2),2))+IF(INDEX(p_rates,3)="",0,ROUND(SUMIFS(dl_ht,dl_doc,A174,dl_rate,INDEX(p_rates,3))*INDEX(p_rates,3),2))+IF(INDEX(p_rates,4)="",0,ROUND(SUMIFS(dl_ht,dl_doc,A174,dl_rate,INDEX(p_rates,4))*INDEX(p_rates,4),2))+IF(INDEX(p_rates,5)="",0,ROUND(SUMIFS(dl_ht,dl_doc,A174,dl_rate,INDEX(p_rates,5))*INDEX(p_rates,5),2))+IF(INDEX(p_rates,6)="",0,ROUND(SUMIFS(dl_ht,dl_doc,A174,dl_rate,INDEX(p_rates,6))*INDEX(p_rates,6),2)))</f>
        <v/>
      </c>
      <c r="K174" s="65" t="str">
        <f>IF(A174="","",I174+J174)</f>
        <v/>
      </c>
      <c r="L174" s="59" t="str">
        <f>IF(A174="","",IFERROR(INDEX(fa_num,MATCH(A174,fa_dvkey,0))&amp;"",""))</f>
        <v/>
      </c>
      <c r="M174" s="59" t="str">
        <f>IF(A174="","",IF(G174="Annulé","Annulé",IF(L174&lt;&gt;"","Facturé",IF(G174="Accepté","Accepté",IF(G174="Refusé","Refusé",IF(p_asof&gt;H174,"Expiré","En attente"))))))</f>
        <v/>
      </c>
      <c r="N174" s="59" t="str">
        <f>IF(COUNTA(B174:C174,E174:G174)=0,"",IF(B174="","Date manquante",IF(NOT(ISNUMBER(B174)),"Date invalide",IF(C174="","Client manquant",IF(ISNA(MATCH(C174,cli_code,0)),"Client inconnu",IF(O174&lt;MAX($O$6:O173),"Date antérieure au devis précédent",IF(AND(ISNUMBER(F174),F174&lt;O174),"Validité antérieure à la date du devis",IF(AND(R174=0,G174&lt;&gt;"Annulé"),"Aucune ligne (feuille Lignes de devis)",IF(COUNTIFS(dl_doc,A174,dl_check,"&lt;&gt;OK")&gt;0,"Ligne(s) à corriger",IF(AND(L174&lt;&gt;"",OR(G174="Refusé",G174="Annulé")),"Devis refusé ou annulé mais facturé","OK"))))))))))</f>
        <v/>
      </c>
      <c r="O174" s="62">
        <f>IF(ISNUMBER(B174),B174,0)</f>
        <v>0.0</v>
      </c>
      <c r="P174" s="62" t="str">
        <f>IF(O174=0,"",YEAR(O174))</f>
        <v/>
      </c>
      <c r="Q174" s="62" t="str">
        <f>IF(P174="","",COUNTIF($P$6:P174,P174))</f>
        <v/>
      </c>
      <c r="R174" s="62">
        <f>IF(A174="",0,COUNTIF(dl_doc,A174))</f>
        <v>0.0</v>
      </c>
    </row>
    <row r="175">
      <c r="A175" s="59" t="str">
        <f>IF(Q175="","",p_pdv&amp;"-"&amp;P175&amp;"-"&amp;RIGHT("000"&amp;Q175,4))</f>
        <v/>
      </c>
      <c r="B175" s="61" t="n"/>
      <c r="C175" s="60" t="n"/>
      <c r="D175" s="62" t="str">
        <f>IF(C175="","",IFERROR(INDEX(cli_name,MATCH(C175,cli_code,0))&amp;"","Client inconnu"))</f>
        <v/>
      </c>
      <c r="E175" s="63" t="n"/>
      <c r="F175" s="61" t="n"/>
      <c r="G175" s="60" t="n"/>
      <c r="H175" s="64" t="str">
        <f>IF(A175="","",IF(ISNUMBER(F175),F175,O175+N(p_validity)))</f>
        <v/>
      </c>
      <c r="I175" s="65" t="str">
        <f>IF(A175="","",SUMIF(dl_doc,A175,dl_ht))</f>
        <v/>
      </c>
      <c r="J175" s="65" t="str">
        <f>IF(A175="","",IF(INDEX(p_rates,1)="",0,ROUND(SUMIFS(dl_ht,dl_doc,A175,dl_rate,INDEX(p_rates,1))*INDEX(p_rates,1),2))+IF(INDEX(p_rates,2)="",0,ROUND(SUMIFS(dl_ht,dl_doc,A175,dl_rate,INDEX(p_rates,2))*INDEX(p_rates,2),2))+IF(INDEX(p_rates,3)="",0,ROUND(SUMIFS(dl_ht,dl_doc,A175,dl_rate,INDEX(p_rates,3))*INDEX(p_rates,3),2))+IF(INDEX(p_rates,4)="",0,ROUND(SUMIFS(dl_ht,dl_doc,A175,dl_rate,INDEX(p_rates,4))*INDEX(p_rates,4),2))+IF(INDEX(p_rates,5)="",0,ROUND(SUMIFS(dl_ht,dl_doc,A175,dl_rate,INDEX(p_rates,5))*INDEX(p_rates,5),2))+IF(INDEX(p_rates,6)="",0,ROUND(SUMIFS(dl_ht,dl_doc,A175,dl_rate,INDEX(p_rates,6))*INDEX(p_rates,6),2)))</f>
        <v/>
      </c>
      <c r="K175" s="65" t="str">
        <f>IF(A175="","",I175+J175)</f>
        <v/>
      </c>
      <c r="L175" s="59" t="str">
        <f>IF(A175="","",IFERROR(INDEX(fa_num,MATCH(A175,fa_dvkey,0))&amp;"",""))</f>
        <v/>
      </c>
      <c r="M175" s="59" t="str">
        <f>IF(A175="","",IF(G175="Annulé","Annulé",IF(L175&lt;&gt;"","Facturé",IF(G175="Accepté","Accepté",IF(G175="Refusé","Refusé",IF(p_asof&gt;H175,"Expiré","En attente"))))))</f>
        <v/>
      </c>
      <c r="N175" s="59" t="str">
        <f>IF(COUNTA(B175:C175,E175:G175)=0,"",IF(B175="","Date manquante",IF(NOT(ISNUMBER(B175)),"Date invalide",IF(C175="","Client manquant",IF(ISNA(MATCH(C175,cli_code,0)),"Client inconnu",IF(O175&lt;MAX($O$6:O174),"Date antérieure au devis précédent",IF(AND(ISNUMBER(F175),F175&lt;O175),"Validité antérieure à la date du devis",IF(AND(R175=0,G175&lt;&gt;"Annulé"),"Aucune ligne (feuille Lignes de devis)",IF(COUNTIFS(dl_doc,A175,dl_check,"&lt;&gt;OK")&gt;0,"Ligne(s) à corriger",IF(AND(L175&lt;&gt;"",OR(G175="Refusé",G175="Annulé")),"Devis refusé ou annulé mais facturé","OK"))))))))))</f>
        <v/>
      </c>
      <c r="O175" s="62">
        <f>IF(ISNUMBER(B175),B175,0)</f>
        <v>0.0</v>
      </c>
      <c r="P175" s="62" t="str">
        <f>IF(O175=0,"",YEAR(O175))</f>
        <v/>
      </c>
      <c r="Q175" s="62" t="str">
        <f>IF(P175="","",COUNTIF($P$6:P175,P175))</f>
        <v/>
      </c>
      <c r="R175" s="62">
        <f>IF(A175="",0,COUNTIF(dl_doc,A175))</f>
        <v>0.0</v>
      </c>
    </row>
    <row r="176">
      <c r="A176" s="59" t="str">
        <f>IF(Q176="","",p_pdv&amp;"-"&amp;P176&amp;"-"&amp;RIGHT("000"&amp;Q176,4))</f>
        <v/>
      </c>
      <c r="B176" s="61" t="n"/>
      <c r="C176" s="60" t="n"/>
      <c r="D176" s="62" t="str">
        <f>IF(C176="","",IFERROR(INDEX(cli_name,MATCH(C176,cli_code,0))&amp;"","Client inconnu"))</f>
        <v/>
      </c>
      <c r="E176" s="63" t="n"/>
      <c r="F176" s="61" t="n"/>
      <c r="G176" s="60" t="n"/>
      <c r="H176" s="64" t="str">
        <f>IF(A176="","",IF(ISNUMBER(F176),F176,O176+N(p_validity)))</f>
        <v/>
      </c>
      <c r="I176" s="65" t="str">
        <f>IF(A176="","",SUMIF(dl_doc,A176,dl_ht))</f>
        <v/>
      </c>
      <c r="J176" s="65" t="str">
        <f>IF(A176="","",IF(INDEX(p_rates,1)="",0,ROUND(SUMIFS(dl_ht,dl_doc,A176,dl_rate,INDEX(p_rates,1))*INDEX(p_rates,1),2))+IF(INDEX(p_rates,2)="",0,ROUND(SUMIFS(dl_ht,dl_doc,A176,dl_rate,INDEX(p_rates,2))*INDEX(p_rates,2),2))+IF(INDEX(p_rates,3)="",0,ROUND(SUMIFS(dl_ht,dl_doc,A176,dl_rate,INDEX(p_rates,3))*INDEX(p_rates,3),2))+IF(INDEX(p_rates,4)="",0,ROUND(SUMIFS(dl_ht,dl_doc,A176,dl_rate,INDEX(p_rates,4))*INDEX(p_rates,4),2))+IF(INDEX(p_rates,5)="",0,ROUND(SUMIFS(dl_ht,dl_doc,A176,dl_rate,INDEX(p_rates,5))*INDEX(p_rates,5),2))+IF(INDEX(p_rates,6)="",0,ROUND(SUMIFS(dl_ht,dl_doc,A176,dl_rate,INDEX(p_rates,6))*INDEX(p_rates,6),2)))</f>
        <v/>
      </c>
      <c r="K176" s="65" t="str">
        <f>IF(A176="","",I176+J176)</f>
        <v/>
      </c>
      <c r="L176" s="59" t="str">
        <f>IF(A176="","",IFERROR(INDEX(fa_num,MATCH(A176,fa_dvkey,0))&amp;"",""))</f>
        <v/>
      </c>
      <c r="M176" s="59" t="str">
        <f>IF(A176="","",IF(G176="Annulé","Annulé",IF(L176&lt;&gt;"","Facturé",IF(G176="Accepté","Accepté",IF(G176="Refusé","Refusé",IF(p_asof&gt;H176,"Expiré","En attente"))))))</f>
        <v/>
      </c>
      <c r="N176" s="59" t="str">
        <f>IF(COUNTA(B176:C176,E176:G176)=0,"",IF(B176="","Date manquante",IF(NOT(ISNUMBER(B176)),"Date invalide",IF(C176="","Client manquant",IF(ISNA(MATCH(C176,cli_code,0)),"Client inconnu",IF(O176&lt;MAX($O$6:O175),"Date antérieure au devis précédent",IF(AND(ISNUMBER(F176),F176&lt;O176),"Validité antérieure à la date du devis",IF(AND(R176=0,G176&lt;&gt;"Annulé"),"Aucune ligne (feuille Lignes de devis)",IF(COUNTIFS(dl_doc,A176,dl_check,"&lt;&gt;OK")&gt;0,"Ligne(s) à corriger",IF(AND(L176&lt;&gt;"",OR(G176="Refusé",G176="Annulé")),"Devis refusé ou annulé mais facturé","OK"))))))))))</f>
        <v/>
      </c>
      <c r="O176" s="62">
        <f>IF(ISNUMBER(B176),B176,0)</f>
        <v>0.0</v>
      </c>
      <c r="P176" s="62" t="str">
        <f>IF(O176=0,"",YEAR(O176))</f>
        <v/>
      </c>
      <c r="Q176" s="62" t="str">
        <f>IF(P176="","",COUNTIF($P$6:P176,P176))</f>
        <v/>
      </c>
      <c r="R176" s="62">
        <f>IF(A176="",0,COUNTIF(dl_doc,A176))</f>
        <v>0.0</v>
      </c>
    </row>
    <row r="177">
      <c r="A177" s="59" t="str">
        <f>IF(Q177="","",p_pdv&amp;"-"&amp;P177&amp;"-"&amp;RIGHT("000"&amp;Q177,4))</f>
        <v/>
      </c>
      <c r="B177" s="61" t="n"/>
      <c r="C177" s="60" t="n"/>
      <c r="D177" s="62" t="str">
        <f>IF(C177="","",IFERROR(INDEX(cli_name,MATCH(C177,cli_code,0))&amp;"","Client inconnu"))</f>
        <v/>
      </c>
      <c r="E177" s="63" t="n"/>
      <c r="F177" s="61" t="n"/>
      <c r="G177" s="60" t="n"/>
      <c r="H177" s="64" t="str">
        <f>IF(A177="","",IF(ISNUMBER(F177),F177,O177+N(p_validity)))</f>
        <v/>
      </c>
      <c r="I177" s="65" t="str">
        <f>IF(A177="","",SUMIF(dl_doc,A177,dl_ht))</f>
        <v/>
      </c>
      <c r="J177" s="65" t="str">
        <f>IF(A177="","",IF(INDEX(p_rates,1)="",0,ROUND(SUMIFS(dl_ht,dl_doc,A177,dl_rate,INDEX(p_rates,1))*INDEX(p_rates,1),2))+IF(INDEX(p_rates,2)="",0,ROUND(SUMIFS(dl_ht,dl_doc,A177,dl_rate,INDEX(p_rates,2))*INDEX(p_rates,2),2))+IF(INDEX(p_rates,3)="",0,ROUND(SUMIFS(dl_ht,dl_doc,A177,dl_rate,INDEX(p_rates,3))*INDEX(p_rates,3),2))+IF(INDEX(p_rates,4)="",0,ROUND(SUMIFS(dl_ht,dl_doc,A177,dl_rate,INDEX(p_rates,4))*INDEX(p_rates,4),2))+IF(INDEX(p_rates,5)="",0,ROUND(SUMIFS(dl_ht,dl_doc,A177,dl_rate,INDEX(p_rates,5))*INDEX(p_rates,5),2))+IF(INDEX(p_rates,6)="",0,ROUND(SUMIFS(dl_ht,dl_doc,A177,dl_rate,INDEX(p_rates,6))*INDEX(p_rates,6),2)))</f>
        <v/>
      </c>
      <c r="K177" s="65" t="str">
        <f>IF(A177="","",I177+J177)</f>
        <v/>
      </c>
      <c r="L177" s="59" t="str">
        <f>IF(A177="","",IFERROR(INDEX(fa_num,MATCH(A177,fa_dvkey,0))&amp;"",""))</f>
        <v/>
      </c>
      <c r="M177" s="59" t="str">
        <f>IF(A177="","",IF(G177="Annulé","Annulé",IF(L177&lt;&gt;"","Facturé",IF(G177="Accepté","Accepté",IF(G177="Refusé","Refusé",IF(p_asof&gt;H177,"Expiré","En attente"))))))</f>
        <v/>
      </c>
      <c r="N177" s="59" t="str">
        <f>IF(COUNTA(B177:C177,E177:G177)=0,"",IF(B177="","Date manquante",IF(NOT(ISNUMBER(B177)),"Date invalide",IF(C177="","Client manquant",IF(ISNA(MATCH(C177,cli_code,0)),"Client inconnu",IF(O177&lt;MAX($O$6:O176),"Date antérieure au devis précédent",IF(AND(ISNUMBER(F177),F177&lt;O177),"Validité antérieure à la date du devis",IF(AND(R177=0,G177&lt;&gt;"Annulé"),"Aucune ligne (feuille Lignes de devis)",IF(COUNTIFS(dl_doc,A177,dl_check,"&lt;&gt;OK")&gt;0,"Ligne(s) à corriger",IF(AND(L177&lt;&gt;"",OR(G177="Refusé",G177="Annulé")),"Devis refusé ou annulé mais facturé","OK"))))))))))</f>
        <v/>
      </c>
      <c r="O177" s="62">
        <f>IF(ISNUMBER(B177),B177,0)</f>
        <v>0.0</v>
      </c>
      <c r="P177" s="62" t="str">
        <f>IF(O177=0,"",YEAR(O177))</f>
        <v/>
      </c>
      <c r="Q177" s="62" t="str">
        <f>IF(P177="","",COUNTIF($P$6:P177,P177))</f>
        <v/>
      </c>
      <c r="R177" s="62">
        <f>IF(A177="",0,COUNTIF(dl_doc,A177))</f>
        <v>0.0</v>
      </c>
    </row>
    <row r="178">
      <c r="A178" s="59" t="str">
        <f>IF(Q178="","",p_pdv&amp;"-"&amp;P178&amp;"-"&amp;RIGHT("000"&amp;Q178,4))</f>
        <v/>
      </c>
      <c r="B178" s="61" t="n"/>
      <c r="C178" s="60" t="n"/>
      <c r="D178" s="62" t="str">
        <f>IF(C178="","",IFERROR(INDEX(cli_name,MATCH(C178,cli_code,0))&amp;"","Client inconnu"))</f>
        <v/>
      </c>
      <c r="E178" s="63" t="n"/>
      <c r="F178" s="61" t="n"/>
      <c r="G178" s="60" t="n"/>
      <c r="H178" s="64" t="str">
        <f>IF(A178="","",IF(ISNUMBER(F178),F178,O178+N(p_validity)))</f>
        <v/>
      </c>
      <c r="I178" s="65" t="str">
        <f>IF(A178="","",SUMIF(dl_doc,A178,dl_ht))</f>
        <v/>
      </c>
      <c r="J178" s="65" t="str">
        <f>IF(A178="","",IF(INDEX(p_rates,1)="",0,ROUND(SUMIFS(dl_ht,dl_doc,A178,dl_rate,INDEX(p_rates,1))*INDEX(p_rates,1),2))+IF(INDEX(p_rates,2)="",0,ROUND(SUMIFS(dl_ht,dl_doc,A178,dl_rate,INDEX(p_rates,2))*INDEX(p_rates,2),2))+IF(INDEX(p_rates,3)="",0,ROUND(SUMIFS(dl_ht,dl_doc,A178,dl_rate,INDEX(p_rates,3))*INDEX(p_rates,3),2))+IF(INDEX(p_rates,4)="",0,ROUND(SUMIFS(dl_ht,dl_doc,A178,dl_rate,INDEX(p_rates,4))*INDEX(p_rates,4),2))+IF(INDEX(p_rates,5)="",0,ROUND(SUMIFS(dl_ht,dl_doc,A178,dl_rate,INDEX(p_rates,5))*INDEX(p_rates,5),2))+IF(INDEX(p_rates,6)="",0,ROUND(SUMIFS(dl_ht,dl_doc,A178,dl_rate,INDEX(p_rates,6))*INDEX(p_rates,6),2)))</f>
        <v/>
      </c>
      <c r="K178" s="65" t="str">
        <f>IF(A178="","",I178+J178)</f>
        <v/>
      </c>
      <c r="L178" s="59" t="str">
        <f>IF(A178="","",IFERROR(INDEX(fa_num,MATCH(A178,fa_dvkey,0))&amp;"",""))</f>
        <v/>
      </c>
      <c r="M178" s="59" t="str">
        <f>IF(A178="","",IF(G178="Annulé","Annulé",IF(L178&lt;&gt;"","Facturé",IF(G178="Accepté","Accepté",IF(G178="Refusé","Refusé",IF(p_asof&gt;H178,"Expiré","En attente"))))))</f>
        <v/>
      </c>
      <c r="N178" s="59" t="str">
        <f>IF(COUNTA(B178:C178,E178:G178)=0,"",IF(B178="","Date manquante",IF(NOT(ISNUMBER(B178)),"Date invalide",IF(C178="","Client manquant",IF(ISNA(MATCH(C178,cli_code,0)),"Client inconnu",IF(O178&lt;MAX($O$6:O177),"Date antérieure au devis précédent",IF(AND(ISNUMBER(F178),F178&lt;O178),"Validité antérieure à la date du devis",IF(AND(R178=0,G178&lt;&gt;"Annulé"),"Aucune ligne (feuille Lignes de devis)",IF(COUNTIFS(dl_doc,A178,dl_check,"&lt;&gt;OK")&gt;0,"Ligne(s) à corriger",IF(AND(L178&lt;&gt;"",OR(G178="Refusé",G178="Annulé")),"Devis refusé ou annulé mais facturé","OK"))))))))))</f>
        <v/>
      </c>
      <c r="O178" s="62">
        <f>IF(ISNUMBER(B178),B178,0)</f>
        <v>0.0</v>
      </c>
      <c r="P178" s="62" t="str">
        <f>IF(O178=0,"",YEAR(O178))</f>
        <v/>
      </c>
      <c r="Q178" s="62" t="str">
        <f>IF(P178="","",COUNTIF($P$6:P178,P178))</f>
        <v/>
      </c>
      <c r="R178" s="62">
        <f>IF(A178="",0,COUNTIF(dl_doc,A178))</f>
        <v>0.0</v>
      </c>
    </row>
    <row r="179">
      <c r="A179" s="59" t="str">
        <f>IF(Q179="","",p_pdv&amp;"-"&amp;P179&amp;"-"&amp;RIGHT("000"&amp;Q179,4))</f>
        <v/>
      </c>
      <c r="B179" s="61" t="n"/>
      <c r="C179" s="60" t="n"/>
      <c r="D179" s="62" t="str">
        <f>IF(C179="","",IFERROR(INDEX(cli_name,MATCH(C179,cli_code,0))&amp;"","Client inconnu"))</f>
        <v/>
      </c>
      <c r="E179" s="63" t="n"/>
      <c r="F179" s="61" t="n"/>
      <c r="G179" s="60" t="n"/>
      <c r="H179" s="64" t="str">
        <f>IF(A179="","",IF(ISNUMBER(F179),F179,O179+N(p_validity)))</f>
        <v/>
      </c>
      <c r="I179" s="65" t="str">
        <f>IF(A179="","",SUMIF(dl_doc,A179,dl_ht))</f>
        <v/>
      </c>
      <c r="J179" s="65" t="str">
        <f>IF(A179="","",IF(INDEX(p_rates,1)="",0,ROUND(SUMIFS(dl_ht,dl_doc,A179,dl_rate,INDEX(p_rates,1))*INDEX(p_rates,1),2))+IF(INDEX(p_rates,2)="",0,ROUND(SUMIFS(dl_ht,dl_doc,A179,dl_rate,INDEX(p_rates,2))*INDEX(p_rates,2),2))+IF(INDEX(p_rates,3)="",0,ROUND(SUMIFS(dl_ht,dl_doc,A179,dl_rate,INDEX(p_rates,3))*INDEX(p_rates,3),2))+IF(INDEX(p_rates,4)="",0,ROUND(SUMIFS(dl_ht,dl_doc,A179,dl_rate,INDEX(p_rates,4))*INDEX(p_rates,4),2))+IF(INDEX(p_rates,5)="",0,ROUND(SUMIFS(dl_ht,dl_doc,A179,dl_rate,INDEX(p_rates,5))*INDEX(p_rates,5),2))+IF(INDEX(p_rates,6)="",0,ROUND(SUMIFS(dl_ht,dl_doc,A179,dl_rate,INDEX(p_rates,6))*INDEX(p_rates,6),2)))</f>
        <v/>
      </c>
      <c r="K179" s="65" t="str">
        <f>IF(A179="","",I179+J179)</f>
        <v/>
      </c>
      <c r="L179" s="59" t="str">
        <f>IF(A179="","",IFERROR(INDEX(fa_num,MATCH(A179,fa_dvkey,0))&amp;"",""))</f>
        <v/>
      </c>
      <c r="M179" s="59" t="str">
        <f>IF(A179="","",IF(G179="Annulé","Annulé",IF(L179&lt;&gt;"","Facturé",IF(G179="Accepté","Accepté",IF(G179="Refusé","Refusé",IF(p_asof&gt;H179,"Expiré","En attente"))))))</f>
        <v/>
      </c>
      <c r="N179" s="59" t="str">
        <f>IF(COUNTA(B179:C179,E179:G179)=0,"",IF(B179="","Date manquante",IF(NOT(ISNUMBER(B179)),"Date invalide",IF(C179="","Client manquant",IF(ISNA(MATCH(C179,cli_code,0)),"Client inconnu",IF(O179&lt;MAX($O$6:O178),"Date antérieure au devis précédent",IF(AND(ISNUMBER(F179),F179&lt;O179),"Validité antérieure à la date du devis",IF(AND(R179=0,G179&lt;&gt;"Annulé"),"Aucune ligne (feuille Lignes de devis)",IF(COUNTIFS(dl_doc,A179,dl_check,"&lt;&gt;OK")&gt;0,"Ligne(s) à corriger",IF(AND(L179&lt;&gt;"",OR(G179="Refusé",G179="Annulé")),"Devis refusé ou annulé mais facturé","OK"))))))))))</f>
        <v/>
      </c>
      <c r="O179" s="62">
        <f>IF(ISNUMBER(B179),B179,0)</f>
        <v>0.0</v>
      </c>
      <c r="P179" s="62" t="str">
        <f>IF(O179=0,"",YEAR(O179))</f>
        <v/>
      </c>
      <c r="Q179" s="62" t="str">
        <f>IF(P179="","",COUNTIF($P$6:P179,P179))</f>
        <v/>
      </c>
      <c r="R179" s="62">
        <f>IF(A179="",0,COUNTIF(dl_doc,A179))</f>
        <v>0.0</v>
      </c>
    </row>
    <row r="180">
      <c r="A180" s="59" t="str">
        <f>IF(Q180="","",p_pdv&amp;"-"&amp;P180&amp;"-"&amp;RIGHT("000"&amp;Q180,4))</f>
        <v/>
      </c>
      <c r="B180" s="61" t="n"/>
      <c r="C180" s="60" t="n"/>
      <c r="D180" s="62" t="str">
        <f>IF(C180="","",IFERROR(INDEX(cli_name,MATCH(C180,cli_code,0))&amp;"","Client inconnu"))</f>
        <v/>
      </c>
      <c r="E180" s="63" t="n"/>
      <c r="F180" s="61" t="n"/>
      <c r="G180" s="60" t="n"/>
      <c r="H180" s="64" t="str">
        <f>IF(A180="","",IF(ISNUMBER(F180),F180,O180+N(p_validity)))</f>
        <v/>
      </c>
      <c r="I180" s="65" t="str">
        <f>IF(A180="","",SUMIF(dl_doc,A180,dl_ht))</f>
        <v/>
      </c>
      <c r="J180" s="65" t="str">
        <f>IF(A180="","",IF(INDEX(p_rates,1)="",0,ROUND(SUMIFS(dl_ht,dl_doc,A180,dl_rate,INDEX(p_rates,1))*INDEX(p_rates,1),2))+IF(INDEX(p_rates,2)="",0,ROUND(SUMIFS(dl_ht,dl_doc,A180,dl_rate,INDEX(p_rates,2))*INDEX(p_rates,2),2))+IF(INDEX(p_rates,3)="",0,ROUND(SUMIFS(dl_ht,dl_doc,A180,dl_rate,INDEX(p_rates,3))*INDEX(p_rates,3),2))+IF(INDEX(p_rates,4)="",0,ROUND(SUMIFS(dl_ht,dl_doc,A180,dl_rate,INDEX(p_rates,4))*INDEX(p_rates,4),2))+IF(INDEX(p_rates,5)="",0,ROUND(SUMIFS(dl_ht,dl_doc,A180,dl_rate,INDEX(p_rates,5))*INDEX(p_rates,5),2))+IF(INDEX(p_rates,6)="",0,ROUND(SUMIFS(dl_ht,dl_doc,A180,dl_rate,INDEX(p_rates,6))*INDEX(p_rates,6),2)))</f>
        <v/>
      </c>
      <c r="K180" s="65" t="str">
        <f>IF(A180="","",I180+J180)</f>
        <v/>
      </c>
      <c r="L180" s="59" t="str">
        <f>IF(A180="","",IFERROR(INDEX(fa_num,MATCH(A180,fa_dvkey,0))&amp;"",""))</f>
        <v/>
      </c>
      <c r="M180" s="59" t="str">
        <f>IF(A180="","",IF(G180="Annulé","Annulé",IF(L180&lt;&gt;"","Facturé",IF(G180="Accepté","Accepté",IF(G180="Refusé","Refusé",IF(p_asof&gt;H180,"Expiré","En attente"))))))</f>
        <v/>
      </c>
      <c r="N180" s="59" t="str">
        <f>IF(COUNTA(B180:C180,E180:G180)=0,"",IF(B180="","Date manquante",IF(NOT(ISNUMBER(B180)),"Date invalide",IF(C180="","Client manquant",IF(ISNA(MATCH(C180,cli_code,0)),"Client inconnu",IF(O180&lt;MAX($O$6:O179),"Date antérieure au devis précédent",IF(AND(ISNUMBER(F180),F180&lt;O180),"Validité antérieure à la date du devis",IF(AND(R180=0,G180&lt;&gt;"Annulé"),"Aucune ligne (feuille Lignes de devis)",IF(COUNTIFS(dl_doc,A180,dl_check,"&lt;&gt;OK")&gt;0,"Ligne(s) à corriger",IF(AND(L180&lt;&gt;"",OR(G180="Refusé",G180="Annulé")),"Devis refusé ou annulé mais facturé","OK"))))))))))</f>
        <v/>
      </c>
      <c r="O180" s="62">
        <f>IF(ISNUMBER(B180),B180,0)</f>
        <v>0.0</v>
      </c>
      <c r="P180" s="62" t="str">
        <f>IF(O180=0,"",YEAR(O180))</f>
        <v/>
      </c>
      <c r="Q180" s="62" t="str">
        <f>IF(P180="","",COUNTIF($P$6:P180,P180))</f>
        <v/>
      </c>
      <c r="R180" s="62">
        <f>IF(A180="",0,COUNTIF(dl_doc,A180))</f>
        <v>0.0</v>
      </c>
    </row>
    <row r="181">
      <c r="A181" s="59" t="str">
        <f>IF(Q181="","",p_pdv&amp;"-"&amp;P181&amp;"-"&amp;RIGHT("000"&amp;Q181,4))</f>
        <v/>
      </c>
      <c r="B181" s="61" t="n"/>
      <c r="C181" s="60" t="n"/>
      <c r="D181" s="62" t="str">
        <f>IF(C181="","",IFERROR(INDEX(cli_name,MATCH(C181,cli_code,0))&amp;"","Client inconnu"))</f>
        <v/>
      </c>
      <c r="E181" s="63" t="n"/>
      <c r="F181" s="61" t="n"/>
      <c r="G181" s="60" t="n"/>
      <c r="H181" s="64" t="str">
        <f>IF(A181="","",IF(ISNUMBER(F181),F181,O181+N(p_validity)))</f>
        <v/>
      </c>
      <c r="I181" s="65" t="str">
        <f>IF(A181="","",SUMIF(dl_doc,A181,dl_ht))</f>
        <v/>
      </c>
      <c r="J181" s="65" t="str">
        <f>IF(A181="","",IF(INDEX(p_rates,1)="",0,ROUND(SUMIFS(dl_ht,dl_doc,A181,dl_rate,INDEX(p_rates,1))*INDEX(p_rates,1),2))+IF(INDEX(p_rates,2)="",0,ROUND(SUMIFS(dl_ht,dl_doc,A181,dl_rate,INDEX(p_rates,2))*INDEX(p_rates,2),2))+IF(INDEX(p_rates,3)="",0,ROUND(SUMIFS(dl_ht,dl_doc,A181,dl_rate,INDEX(p_rates,3))*INDEX(p_rates,3),2))+IF(INDEX(p_rates,4)="",0,ROUND(SUMIFS(dl_ht,dl_doc,A181,dl_rate,INDEX(p_rates,4))*INDEX(p_rates,4),2))+IF(INDEX(p_rates,5)="",0,ROUND(SUMIFS(dl_ht,dl_doc,A181,dl_rate,INDEX(p_rates,5))*INDEX(p_rates,5),2))+IF(INDEX(p_rates,6)="",0,ROUND(SUMIFS(dl_ht,dl_doc,A181,dl_rate,INDEX(p_rates,6))*INDEX(p_rates,6),2)))</f>
        <v/>
      </c>
      <c r="K181" s="65" t="str">
        <f>IF(A181="","",I181+J181)</f>
        <v/>
      </c>
      <c r="L181" s="59" t="str">
        <f>IF(A181="","",IFERROR(INDEX(fa_num,MATCH(A181,fa_dvkey,0))&amp;"",""))</f>
        <v/>
      </c>
      <c r="M181" s="59" t="str">
        <f>IF(A181="","",IF(G181="Annulé","Annulé",IF(L181&lt;&gt;"","Facturé",IF(G181="Accepté","Accepté",IF(G181="Refusé","Refusé",IF(p_asof&gt;H181,"Expiré","En attente"))))))</f>
        <v/>
      </c>
      <c r="N181" s="59" t="str">
        <f>IF(COUNTA(B181:C181,E181:G181)=0,"",IF(B181="","Date manquante",IF(NOT(ISNUMBER(B181)),"Date invalide",IF(C181="","Client manquant",IF(ISNA(MATCH(C181,cli_code,0)),"Client inconnu",IF(O181&lt;MAX($O$6:O180),"Date antérieure au devis précédent",IF(AND(ISNUMBER(F181),F181&lt;O181),"Validité antérieure à la date du devis",IF(AND(R181=0,G181&lt;&gt;"Annulé"),"Aucune ligne (feuille Lignes de devis)",IF(COUNTIFS(dl_doc,A181,dl_check,"&lt;&gt;OK")&gt;0,"Ligne(s) à corriger",IF(AND(L181&lt;&gt;"",OR(G181="Refusé",G181="Annulé")),"Devis refusé ou annulé mais facturé","OK"))))))))))</f>
        <v/>
      </c>
      <c r="O181" s="62">
        <f>IF(ISNUMBER(B181),B181,0)</f>
        <v>0.0</v>
      </c>
      <c r="P181" s="62" t="str">
        <f>IF(O181=0,"",YEAR(O181))</f>
        <v/>
      </c>
      <c r="Q181" s="62" t="str">
        <f>IF(P181="","",COUNTIF($P$6:P181,P181))</f>
        <v/>
      </c>
      <c r="R181" s="62">
        <f>IF(A181="",0,COUNTIF(dl_doc,A181))</f>
        <v>0.0</v>
      </c>
    </row>
    <row r="182">
      <c r="A182" s="59" t="str">
        <f>IF(Q182="","",p_pdv&amp;"-"&amp;P182&amp;"-"&amp;RIGHT("000"&amp;Q182,4))</f>
        <v/>
      </c>
      <c r="B182" s="61" t="n"/>
      <c r="C182" s="60" t="n"/>
      <c r="D182" s="62" t="str">
        <f>IF(C182="","",IFERROR(INDEX(cli_name,MATCH(C182,cli_code,0))&amp;"","Client inconnu"))</f>
        <v/>
      </c>
      <c r="E182" s="63" t="n"/>
      <c r="F182" s="61" t="n"/>
      <c r="G182" s="60" t="n"/>
      <c r="H182" s="64" t="str">
        <f>IF(A182="","",IF(ISNUMBER(F182),F182,O182+N(p_validity)))</f>
        <v/>
      </c>
      <c r="I182" s="65" t="str">
        <f>IF(A182="","",SUMIF(dl_doc,A182,dl_ht))</f>
        <v/>
      </c>
      <c r="J182" s="65" t="str">
        <f>IF(A182="","",IF(INDEX(p_rates,1)="",0,ROUND(SUMIFS(dl_ht,dl_doc,A182,dl_rate,INDEX(p_rates,1))*INDEX(p_rates,1),2))+IF(INDEX(p_rates,2)="",0,ROUND(SUMIFS(dl_ht,dl_doc,A182,dl_rate,INDEX(p_rates,2))*INDEX(p_rates,2),2))+IF(INDEX(p_rates,3)="",0,ROUND(SUMIFS(dl_ht,dl_doc,A182,dl_rate,INDEX(p_rates,3))*INDEX(p_rates,3),2))+IF(INDEX(p_rates,4)="",0,ROUND(SUMIFS(dl_ht,dl_doc,A182,dl_rate,INDEX(p_rates,4))*INDEX(p_rates,4),2))+IF(INDEX(p_rates,5)="",0,ROUND(SUMIFS(dl_ht,dl_doc,A182,dl_rate,INDEX(p_rates,5))*INDEX(p_rates,5),2))+IF(INDEX(p_rates,6)="",0,ROUND(SUMIFS(dl_ht,dl_doc,A182,dl_rate,INDEX(p_rates,6))*INDEX(p_rates,6),2)))</f>
        <v/>
      </c>
      <c r="K182" s="65" t="str">
        <f>IF(A182="","",I182+J182)</f>
        <v/>
      </c>
      <c r="L182" s="59" t="str">
        <f>IF(A182="","",IFERROR(INDEX(fa_num,MATCH(A182,fa_dvkey,0))&amp;"",""))</f>
        <v/>
      </c>
      <c r="M182" s="59" t="str">
        <f>IF(A182="","",IF(G182="Annulé","Annulé",IF(L182&lt;&gt;"","Facturé",IF(G182="Accepté","Accepté",IF(G182="Refusé","Refusé",IF(p_asof&gt;H182,"Expiré","En attente"))))))</f>
        <v/>
      </c>
      <c r="N182" s="59" t="str">
        <f>IF(COUNTA(B182:C182,E182:G182)=0,"",IF(B182="","Date manquante",IF(NOT(ISNUMBER(B182)),"Date invalide",IF(C182="","Client manquant",IF(ISNA(MATCH(C182,cli_code,0)),"Client inconnu",IF(O182&lt;MAX($O$6:O181),"Date antérieure au devis précédent",IF(AND(ISNUMBER(F182),F182&lt;O182),"Validité antérieure à la date du devis",IF(AND(R182=0,G182&lt;&gt;"Annulé"),"Aucune ligne (feuille Lignes de devis)",IF(COUNTIFS(dl_doc,A182,dl_check,"&lt;&gt;OK")&gt;0,"Ligne(s) à corriger",IF(AND(L182&lt;&gt;"",OR(G182="Refusé",G182="Annulé")),"Devis refusé ou annulé mais facturé","OK"))))))))))</f>
        <v/>
      </c>
      <c r="O182" s="62">
        <f>IF(ISNUMBER(B182),B182,0)</f>
        <v>0.0</v>
      </c>
      <c r="P182" s="62" t="str">
        <f>IF(O182=0,"",YEAR(O182))</f>
        <v/>
      </c>
      <c r="Q182" s="62" t="str">
        <f>IF(P182="","",COUNTIF($P$6:P182,P182))</f>
        <v/>
      </c>
      <c r="R182" s="62">
        <f>IF(A182="",0,COUNTIF(dl_doc,A182))</f>
        <v>0.0</v>
      </c>
    </row>
    <row r="183">
      <c r="A183" s="59" t="str">
        <f>IF(Q183="","",p_pdv&amp;"-"&amp;P183&amp;"-"&amp;RIGHT("000"&amp;Q183,4))</f>
        <v/>
      </c>
      <c r="B183" s="61" t="n"/>
      <c r="C183" s="60" t="n"/>
      <c r="D183" s="62" t="str">
        <f>IF(C183="","",IFERROR(INDEX(cli_name,MATCH(C183,cli_code,0))&amp;"","Client inconnu"))</f>
        <v/>
      </c>
      <c r="E183" s="63" t="n"/>
      <c r="F183" s="61" t="n"/>
      <c r="G183" s="60" t="n"/>
      <c r="H183" s="64" t="str">
        <f>IF(A183="","",IF(ISNUMBER(F183),F183,O183+N(p_validity)))</f>
        <v/>
      </c>
      <c r="I183" s="65" t="str">
        <f>IF(A183="","",SUMIF(dl_doc,A183,dl_ht))</f>
        <v/>
      </c>
      <c r="J183" s="65" t="str">
        <f>IF(A183="","",IF(INDEX(p_rates,1)="",0,ROUND(SUMIFS(dl_ht,dl_doc,A183,dl_rate,INDEX(p_rates,1))*INDEX(p_rates,1),2))+IF(INDEX(p_rates,2)="",0,ROUND(SUMIFS(dl_ht,dl_doc,A183,dl_rate,INDEX(p_rates,2))*INDEX(p_rates,2),2))+IF(INDEX(p_rates,3)="",0,ROUND(SUMIFS(dl_ht,dl_doc,A183,dl_rate,INDEX(p_rates,3))*INDEX(p_rates,3),2))+IF(INDEX(p_rates,4)="",0,ROUND(SUMIFS(dl_ht,dl_doc,A183,dl_rate,INDEX(p_rates,4))*INDEX(p_rates,4),2))+IF(INDEX(p_rates,5)="",0,ROUND(SUMIFS(dl_ht,dl_doc,A183,dl_rate,INDEX(p_rates,5))*INDEX(p_rates,5),2))+IF(INDEX(p_rates,6)="",0,ROUND(SUMIFS(dl_ht,dl_doc,A183,dl_rate,INDEX(p_rates,6))*INDEX(p_rates,6),2)))</f>
        <v/>
      </c>
      <c r="K183" s="65" t="str">
        <f>IF(A183="","",I183+J183)</f>
        <v/>
      </c>
      <c r="L183" s="59" t="str">
        <f>IF(A183="","",IFERROR(INDEX(fa_num,MATCH(A183,fa_dvkey,0))&amp;"",""))</f>
        <v/>
      </c>
      <c r="M183" s="59" t="str">
        <f>IF(A183="","",IF(G183="Annulé","Annulé",IF(L183&lt;&gt;"","Facturé",IF(G183="Accepté","Accepté",IF(G183="Refusé","Refusé",IF(p_asof&gt;H183,"Expiré","En attente"))))))</f>
        <v/>
      </c>
      <c r="N183" s="59" t="str">
        <f>IF(COUNTA(B183:C183,E183:G183)=0,"",IF(B183="","Date manquante",IF(NOT(ISNUMBER(B183)),"Date invalide",IF(C183="","Client manquant",IF(ISNA(MATCH(C183,cli_code,0)),"Client inconnu",IF(O183&lt;MAX($O$6:O182),"Date antérieure au devis précédent",IF(AND(ISNUMBER(F183),F183&lt;O183),"Validité antérieure à la date du devis",IF(AND(R183=0,G183&lt;&gt;"Annulé"),"Aucune ligne (feuille Lignes de devis)",IF(COUNTIFS(dl_doc,A183,dl_check,"&lt;&gt;OK")&gt;0,"Ligne(s) à corriger",IF(AND(L183&lt;&gt;"",OR(G183="Refusé",G183="Annulé")),"Devis refusé ou annulé mais facturé","OK"))))))))))</f>
        <v/>
      </c>
      <c r="O183" s="62">
        <f>IF(ISNUMBER(B183),B183,0)</f>
        <v>0.0</v>
      </c>
      <c r="P183" s="62" t="str">
        <f>IF(O183=0,"",YEAR(O183))</f>
        <v/>
      </c>
      <c r="Q183" s="62" t="str">
        <f>IF(P183="","",COUNTIF($P$6:P183,P183))</f>
        <v/>
      </c>
      <c r="R183" s="62">
        <f>IF(A183="",0,COUNTIF(dl_doc,A183))</f>
        <v>0.0</v>
      </c>
    </row>
    <row r="184">
      <c r="A184" s="59" t="str">
        <f>IF(Q184="","",p_pdv&amp;"-"&amp;P184&amp;"-"&amp;RIGHT("000"&amp;Q184,4))</f>
        <v/>
      </c>
      <c r="B184" s="61" t="n"/>
      <c r="C184" s="60" t="n"/>
      <c r="D184" s="62" t="str">
        <f>IF(C184="","",IFERROR(INDEX(cli_name,MATCH(C184,cli_code,0))&amp;"","Client inconnu"))</f>
        <v/>
      </c>
      <c r="E184" s="63" t="n"/>
      <c r="F184" s="61" t="n"/>
      <c r="G184" s="60" t="n"/>
      <c r="H184" s="64" t="str">
        <f>IF(A184="","",IF(ISNUMBER(F184),F184,O184+N(p_validity)))</f>
        <v/>
      </c>
      <c r="I184" s="65" t="str">
        <f>IF(A184="","",SUMIF(dl_doc,A184,dl_ht))</f>
        <v/>
      </c>
      <c r="J184" s="65" t="str">
        <f>IF(A184="","",IF(INDEX(p_rates,1)="",0,ROUND(SUMIFS(dl_ht,dl_doc,A184,dl_rate,INDEX(p_rates,1))*INDEX(p_rates,1),2))+IF(INDEX(p_rates,2)="",0,ROUND(SUMIFS(dl_ht,dl_doc,A184,dl_rate,INDEX(p_rates,2))*INDEX(p_rates,2),2))+IF(INDEX(p_rates,3)="",0,ROUND(SUMIFS(dl_ht,dl_doc,A184,dl_rate,INDEX(p_rates,3))*INDEX(p_rates,3),2))+IF(INDEX(p_rates,4)="",0,ROUND(SUMIFS(dl_ht,dl_doc,A184,dl_rate,INDEX(p_rates,4))*INDEX(p_rates,4),2))+IF(INDEX(p_rates,5)="",0,ROUND(SUMIFS(dl_ht,dl_doc,A184,dl_rate,INDEX(p_rates,5))*INDEX(p_rates,5),2))+IF(INDEX(p_rates,6)="",0,ROUND(SUMIFS(dl_ht,dl_doc,A184,dl_rate,INDEX(p_rates,6))*INDEX(p_rates,6),2)))</f>
        <v/>
      </c>
      <c r="K184" s="65" t="str">
        <f>IF(A184="","",I184+J184)</f>
        <v/>
      </c>
      <c r="L184" s="59" t="str">
        <f>IF(A184="","",IFERROR(INDEX(fa_num,MATCH(A184,fa_dvkey,0))&amp;"",""))</f>
        <v/>
      </c>
      <c r="M184" s="59" t="str">
        <f>IF(A184="","",IF(G184="Annulé","Annulé",IF(L184&lt;&gt;"","Facturé",IF(G184="Accepté","Accepté",IF(G184="Refusé","Refusé",IF(p_asof&gt;H184,"Expiré","En attente"))))))</f>
        <v/>
      </c>
      <c r="N184" s="59" t="str">
        <f>IF(COUNTA(B184:C184,E184:G184)=0,"",IF(B184="","Date manquante",IF(NOT(ISNUMBER(B184)),"Date invalide",IF(C184="","Client manquant",IF(ISNA(MATCH(C184,cli_code,0)),"Client inconnu",IF(O184&lt;MAX($O$6:O183),"Date antérieure au devis précédent",IF(AND(ISNUMBER(F184),F184&lt;O184),"Validité antérieure à la date du devis",IF(AND(R184=0,G184&lt;&gt;"Annulé"),"Aucune ligne (feuille Lignes de devis)",IF(COUNTIFS(dl_doc,A184,dl_check,"&lt;&gt;OK")&gt;0,"Ligne(s) à corriger",IF(AND(L184&lt;&gt;"",OR(G184="Refusé",G184="Annulé")),"Devis refusé ou annulé mais facturé","OK"))))))))))</f>
        <v/>
      </c>
      <c r="O184" s="62">
        <f>IF(ISNUMBER(B184),B184,0)</f>
        <v>0.0</v>
      </c>
      <c r="P184" s="62" t="str">
        <f>IF(O184=0,"",YEAR(O184))</f>
        <v/>
      </c>
      <c r="Q184" s="62" t="str">
        <f>IF(P184="","",COUNTIF($P$6:P184,P184))</f>
        <v/>
      </c>
      <c r="R184" s="62">
        <f>IF(A184="",0,COUNTIF(dl_doc,A184))</f>
        <v>0.0</v>
      </c>
    </row>
    <row r="185">
      <c r="A185" s="59" t="str">
        <f>IF(Q185="","",p_pdv&amp;"-"&amp;P185&amp;"-"&amp;RIGHT("000"&amp;Q185,4))</f>
        <v/>
      </c>
      <c r="B185" s="61" t="n"/>
      <c r="C185" s="60" t="n"/>
      <c r="D185" s="62" t="str">
        <f>IF(C185="","",IFERROR(INDEX(cli_name,MATCH(C185,cli_code,0))&amp;"","Client inconnu"))</f>
        <v/>
      </c>
      <c r="E185" s="63" t="n"/>
      <c r="F185" s="61" t="n"/>
      <c r="G185" s="60" t="n"/>
      <c r="H185" s="64" t="str">
        <f>IF(A185="","",IF(ISNUMBER(F185),F185,O185+N(p_validity)))</f>
        <v/>
      </c>
      <c r="I185" s="65" t="str">
        <f>IF(A185="","",SUMIF(dl_doc,A185,dl_ht))</f>
        <v/>
      </c>
      <c r="J185" s="65" t="str">
        <f>IF(A185="","",IF(INDEX(p_rates,1)="",0,ROUND(SUMIFS(dl_ht,dl_doc,A185,dl_rate,INDEX(p_rates,1))*INDEX(p_rates,1),2))+IF(INDEX(p_rates,2)="",0,ROUND(SUMIFS(dl_ht,dl_doc,A185,dl_rate,INDEX(p_rates,2))*INDEX(p_rates,2),2))+IF(INDEX(p_rates,3)="",0,ROUND(SUMIFS(dl_ht,dl_doc,A185,dl_rate,INDEX(p_rates,3))*INDEX(p_rates,3),2))+IF(INDEX(p_rates,4)="",0,ROUND(SUMIFS(dl_ht,dl_doc,A185,dl_rate,INDEX(p_rates,4))*INDEX(p_rates,4),2))+IF(INDEX(p_rates,5)="",0,ROUND(SUMIFS(dl_ht,dl_doc,A185,dl_rate,INDEX(p_rates,5))*INDEX(p_rates,5),2))+IF(INDEX(p_rates,6)="",0,ROUND(SUMIFS(dl_ht,dl_doc,A185,dl_rate,INDEX(p_rates,6))*INDEX(p_rates,6),2)))</f>
        <v/>
      </c>
      <c r="K185" s="65" t="str">
        <f>IF(A185="","",I185+J185)</f>
        <v/>
      </c>
      <c r="L185" s="59" t="str">
        <f>IF(A185="","",IFERROR(INDEX(fa_num,MATCH(A185,fa_dvkey,0))&amp;"",""))</f>
        <v/>
      </c>
      <c r="M185" s="59" t="str">
        <f>IF(A185="","",IF(G185="Annulé","Annulé",IF(L185&lt;&gt;"","Facturé",IF(G185="Accepté","Accepté",IF(G185="Refusé","Refusé",IF(p_asof&gt;H185,"Expiré","En attente"))))))</f>
        <v/>
      </c>
      <c r="N185" s="59" t="str">
        <f>IF(COUNTA(B185:C185,E185:G185)=0,"",IF(B185="","Date manquante",IF(NOT(ISNUMBER(B185)),"Date invalide",IF(C185="","Client manquant",IF(ISNA(MATCH(C185,cli_code,0)),"Client inconnu",IF(O185&lt;MAX($O$6:O184),"Date antérieure au devis précédent",IF(AND(ISNUMBER(F185),F185&lt;O185),"Validité antérieure à la date du devis",IF(AND(R185=0,G185&lt;&gt;"Annulé"),"Aucune ligne (feuille Lignes de devis)",IF(COUNTIFS(dl_doc,A185,dl_check,"&lt;&gt;OK")&gt;0,"Ligne(s) à corriger",IF(AND(L185&lt;&gt;"",OR(G185="Refusé",G185="Annulé")),"Devis refusé ou annulé mais facturé","OK"))))))))))</f>
        <v/>
      </c>
      <c r="O185" s="62">
        <f>IF(ISNUMBER(B185),B185,0)</f>
        <v>0.0</v>
      </c>
      <c r="P185" s="62" t="str">
        <f>IF(O185=0,"",YEAR(O185))</f>
        <v/>
      </c>
      <c r="Q185" s="62" t="str">
        <f>IF(P185="","",COUNTIF($P$6:P185,P185))</f>
        <v/>
      </c>
      <c r="R185" s="62">
        <f>IF(A185="",0,COUNTIF(dl_doc,A185))</f>
        <v>0.0</v>
      </c>
    </row>
    <row r="186">
      <c r="A186" s="59" t="str">
        <f>IF(Q186="","",p_pdv&amp;"-"&amp;P186&amp;"-"&amp;RIGHT("000"&amp;Q186,4))</f>
        <v/>
      </c>
      <c r="B186" s="61" t="n"/>
      <c r="C186" s="60" t="n"/>
      <c r="D186" s="62" t="str">
        <f>IF(C186="","",IFERROR(INDEX(cli_name,MATCH(C186,cli_code,0))&amp;"","Client inconnu"))</f>
        <v/>
      </c>
      <c r="E186" s="63" t="n"/>
      <c r="F186" s="61" t="n"/>
      <c r="G186" s="60" t="n"/>
      <c r="H186" s="64" t="str">
        <f>IF(A186="","",IF(ISNUMBER(F186),F186,O186+N(p_validity)))</f>
        <v/>
      </c>
      <c r="I186" s="65" t="str">
        <f>IF(A186="","",SUMIF(dl_doc,A186,dl_ht))</f>
        <v/>
      </c>
      <c r="J186" s="65" t="str">
        <f>IF(A186="","",IF(INDEX(p_rates,1)="",0,ROUND(SUMIFS(dl_ht,dl_doc,A186,dl_rate,INDEX(p_rates,1))*INDEX(p_rates,1),2))+IF(INDEX(p_rates,2)="",0,ROUND(SUMIFS(dl_ht,dl_doc,A186,dl_rate,INDEX(p_rates,2))*INDEX(p_rates,2),2))+IF(INDEX(p_rates,3)="",0,ROUND(SUMIFS(dl_ht,dl_doc,A186,dl_rate,INDEX(p_rates,3))*INDEX(p_rates,3),2))+IF(INDEX(p_rates,4)="",0,ROUND(SUMIFS(dl_ht,dl_doc,A186,dl_rate,INDEX(p_rates,4))*INDEX(p_rates,4),2))+IF(INDEX(p_rates,5)="",0,ROUND(SUMIFS(dl_ht,dl_doc,A186,dl_rate,INDEX(p_rates,5))*INDEX(p_rates,5),2))+IF(INDEX(p_rates,6)="",0,ROUND(SUMIFS(dl_ht,dl_doc,A186,dl_rate,INDEX(p_rates,6))*INDEX(p_rates,6),2)))</f>
        <v/>
      </c>
      <c r="K186" s="65" t="str">
        <f>IF(A186="","",I186+J186)</f>
        <v/>
      </c>
      <c r="L186" s="59" t="str">
        <f>IF(A186="","",IFERROR(INDEX(fa_num,MATCH(A186,fa_dvkey,0))&amp;"",""))</f>
        <v/>
      </c>
      <c r="M186" s="59" t="str">
        <f>IF(A186="","",IF(G186="Annulé","Annulé",IF(L186&lt;&gt;"","Facturé",IF(G186="Accepté","Accepté",IF(G186="Refusé","Refusé",IF(p_asof&gt;H186,"Expiré","En attente"))))))</f>
        <v/>
      </c>
      <c r="N186" s="59" t="str">
        <f>IF(COUNTA(B186:C186,E186:G186)=0,"",IF(B186="","Date manquante",IF(NOT(ISNUMBER(B186)),"Date invalide",IF(C186="","Client manquant",IF(ISNA(MATCH(C186,cli_code,0)),"Client inconnu",IF(O186&lt;MAX($O$6:O185),"Date antérieure au devis précédent",IF(AND(ISNUMBER(F186),F186&lt;O186),"Validité antérieure à la date du devis",IF(AND(R186=0,G186&lt;&gt;"Annulé"),"Aucune ligne (feuille Lignes de devis)",IF(COUNTIFS(dl_doc,A186,dl_check,"&lt;&gt;OK")&gt;0,"Ligne(s) à corriger",IF(AND(L186&lt;&gt;"",OR(G186="Refusé",G186="Annulé")),"Devis refusé ou annulé mais facturé","OK"))))))))))</f>
        <v/>
      </c>
      <c r="O186" s="62">
        <f>IF(ISNUMBER(B186),B186,0)</f>
        <v>0.0</v>
      </c>
      <c r="P186" s="62" t="str">
        <f>IF(O186=0,"",YEAR(O186))</f>
        <v/>
      </c>
      <c r="Q186" s="62" t="str">
        <f>IF(P186="","",COUNTIF($P$6:P186,P186))</f>
        <v/>
      </c>
      <c r="R186" s="62">
        <f>IF(A186="",0,COUNTIF(dl_doc,A186))</f>
        <v>0.0</v>
      </c>
    </row>
    <row r="187">
      <c r="A187" s="59" t="str">
        <f>IF(Q187="","",p_pdv&amp;"-"&amp;P187&amp;"-"&amp;RIGHT("000"&amp;Q187,4))</f>
        <v/>
      </c>
      <c r="B187" s="61" t="n"/>
      <c r="C187" s="60" t="n"/>
      <c r="D187" s="62" t="str">
        <f>IF(C187="","",IFERROR(INDEX(cli_name,MATCH(C187,cli_code,0))&amp;"","Client inconnu"))</f>
        <v/>
      </c>
      <c r="E187" s="63" t="n"/>
      <c r="F187" s="61" t="n"/>
      <c r="G187" s="60" t="n"/>
      <c r="H187" s="64" t="str">
        <f>IF(A187="","",IF(ISNUMBER(F187),F187,O187+N(p_validity)))</f>
        <v/>
      </c>
      <c r="I187" s="65" t="str">
        <f>IF(A187="","",SUMIF(dl_doc,A187,dl_ht))</f>
        <v/>
      </c>
      <c r="J187" s="65" t="str">
        <f>IF(A187="","",IF(INDEX(p_rates,1)="",0,ROUND(SUMIFS(dl_ht,dl_doc,A187,dl_rate,INDEX(p_rates,1))*INDEX(p_rates,1),2))+IF(INDEX(p_rates,2)="",0,ROUND(SUMIFS(dl_ht,dl_doc,A187,dl_rate,INDEX(p_rates,2))*INDEX(p_rates,2),2))+IF(INDEX(p_rates,3)="",0,ROUND(SUMIFS(dl_ht,dl_doc,A187,dl_rate,INDEX(p_rates,3))*INDEX(p_rates,3),2))+IF(INDEX(p_rates,4)="",0,ROUND(SUMIFS(dl_ht,dl_doc,A187,dl_rate,INDEX(p_rates,4))*INDEX(p_rates,4),2))+IF(INDEX(p_rates,5)="",0,ROUND(SUMIFS(dl_ht,dl_doc,A187,dl_rate,INDEX(p_rates,5))*INDEX(p_rates,5),2))+IF(INDEX(p_rates,6)="",0,ROUND(SUMIFS(dl_ht,dl_doc,A187,dl_rate,INDEX(p_rates,6))*INDEX(p_rates,6),2)))</f>
        <v/>
      </c>
      <c r="K187" s="65" t="str">
        <f>IF(A187="","",I187+J187)</f>
        <v/>
      </c>
      <c r="L187" s="59" t="str">
        <f>IF(A187="","",IFERROR(INDEX(fa_num,MATCH(A187,fa_dvkey,0))&amp;"",""))</f>
        <v/>
      </c>
      <c r="M187" s="59" t="str">
        <f>IF(A187="","",IF(G187="Annulé","Annulé",IF(L187&lt;&gt;"","Facturé",IF(G187="Accepté","Accepté",IF(G187="Refusé","Refusé",IF(p_asof&gt;H187,"Expiré","En attente"))))))</f>
        <v/>
      </c>
      <c r="N187" s="59" t="str">
        <f>IF(COUNTA(B187:C187,E187:G187)=0,"",IF(B187="","Date manquante",IF(NOT(ISNUMBER(B187)),"Date invalide",IF(C187="","Client manquant",IF(ISNA(MATCH(C187,cli_code,0)),"Client inconnu",IF(O187&lt;MAX($O$6:O186),"Date antérieure au devis précédent",IF(AND(ISNUMBER(F187),F187&lt;O187),"Validité antérieure à la date du devis",IF(AND(R187=0,G187&lt;&gt;"Annulé"),"Aucune ligne (feuille Lignes de devis)",IF(COUNTIFS(dl_doc,A187,dl_check,"&lt;&gt;OK")&gt;0,"Ligne(s) à corriger",IF(AND(L187&lt;&gt;"",OR(G187="Refusé",G187="Annulé")),"Devis refusé ou annulé mais facturé","OK"))))))))))</f>
        <v/>
      </c>
      <c r="O187" s="62">
        <f>IF(ISNUMBER(B187),B187,0)</f>
        <v>0.0</v>
      </c>
      <c r="P187" s="62" t="str">
        <f>IF(O187=0,"",YEAR(O187))</f>
        <v/>
      </c>
      <c r="Q187" s="62" t="str">
        <f>IF(P187="","",COUNTIF($P$6:P187,P187))</f>
        <v/>
      </c>
      <c r="R187" s="62">
        <f>IF(A187="",0,COUNTIF(dl_doc,A187))</f>
        <v>0.0</v>
      </c>
    </row>
    <row r="188">
      <c r="A188" s="59" t="str">
        <f>IF(Q188="","",p_pdv&amp;"-"&amp;P188&amp;"-"&amp;RIGHT("000"&amp;Q188,4))</f>
        <v/>
      </c>
      <c r="B188" s="61" t="n"/>
      <c r="C188" s="60" t="n"/>
      <c r="D188" s="62" t="str">
        <f>IF(C188="","",IFERROR(INDEX(cli_name,MATCH(C188,cli_code,0))&amp;"","Client inconnu"))</f>
        <v/>
      </c>
      <c r="E188" s="63" t="n"/>
      <c r="F188" s="61" t="n"/>
      <c r="G188" s="60" t="n"/>
      <c r="H188" s="64" t="str">
        <f>IF(A188="","",IF(ISNUMBER(F188),F188,O188+N(p_validity)))</f>
        <v/>
      </c>
      <c r="I188" s="65" t="str">
        <f>IF(A188="","",SUMIF(dl_doc,A188,dl_ht))</f>
        <v/>
      </c>
      <c r="J188" s="65" t="str">
        <f>IF(A188="","",IF(INDEX(p_rates,1)="",0,ROUND(SUMIFS(dl_ht,dl_doc,A188,dl_rate,INDEX(p_rates,1))*INDEX(p_rates,1),2))+IF(INDEX(p_rates,2)="",0,ROUND(SUMIFS(dl_ht,dl_doc,A188,dl_rate,INDEX(p_rates,2))*INDEX(p_rates,2),2))+IF(INDEX(p_rates,3)="",0,ROUND(SUMIFS(dl_ht,dl_doc,A188,dl_rate,INDEX(p_rates,3))*INDEX(p_rates,3),2))+IF(INDEX(p_rates,4)="",0,ROUND(SUMIFS(dl_ht,dl_doc,A188,dl_rate,INDEX(p_rates,4))*INDEX(p_rates,4),2))+IF(INDEX(p_rates,5)="",0,ROUND(SUMIFS(dl_ht,dl_doc,A188,dl_rate,INDEX(p_rates,5))*INDEX(p_rates,5),2))+IF(INDEX(p_rates,6)="",0,ROUND(SUMIFS(dl_ht,dl_doc,A188,dl_rate,INDEX(p_rates,6))*INDEX(p_rates,6),2)))</f>
        <v/>
      </c>
      <c r="K188" s="65" t="str">
        <f>IF(A188="","",I188+J188)</f>
        <v/>
      </c>
      <c r="L188" s="59" t="str">
        <f>IF(A188="","",IFERROR(INDEX(fa_num,MATCH(A188,fa_dvkey,0))&amp;"",""))</f>
        <v/>
      </c>
      <c r="M188" s="59" t="str">
        <f>IF(A188="","",IF(G188="Annulé","Annulé",IF(L188&lt;&gt;"","Facturé",IF(G188="Accepté","Accepté",IF(G188="Refusé","Refusé",IF(p_asof&gt;H188,"Expiré","En attente"))))))</f>
        <v/>
      </c>
      <c r="N188" s="59" t="str">
        <f>IF(COUNTA(B188:C188,E188:G188)=0,"",IF(B188="","Date manquante",IF(NOT(ISNUMBER(B188)),"Date invalide",IF(C188="","Client manquant",IF(ISNA(MATCH(C188,cli_code,0)),"Client inconnu",IF(O188&lt;MAX($O$6:O187),"Date antérieure au devis précédent",IF(AND(ISNUMBER(F188),F188&lt;O188),"Validité antérieure à la date du devis",IF(AND(R188=0,G188&lt;&gt;"Annulé"),"Aucune ligne (feuille Lignes de devis)",IF(COUNTIFS(dl_doc,A188,dl_check,"&lt;&gt;OK")&gt;0,"Ligne(s) à corriger",IF(AND(L188&lt;&gt;"",OR(G188="Refusé",G188="Annulé")),"Devis refusé ou annulé mais facturé","OK"))))))))))</f>
        <v/>
      </c>
      <c r="O188" s="62">
        <f>IF(ISNUMBER(B188),B188,0)</f>
        <v>0.0</v>
      </c>
      <c r="P188" s="62" t="str">
        <f>IF(O188=0,"",YEAR(O188))</f>
        <v/>
      </c>
      <c r="Q188" s="62" t="str">
        <f>IF(P188="","",COUNTIF($P$6:P188,P188))</f>
        <v/>
      </c>
      <c r="R188" s="62">
        <f>IF(A188="",0,COUNTIF(dl_doc,A188))</f>
        <v>0.0</v>
      </c>
    </row>
    <row r="189">
      <c r="A189" s="59" t="str">
        <f>IF(Q189="","",p_pdv&amp;"-"&amp;P189&amp;"-"&amp;RIGHT("000"&amp;Q189,4))</f>
        <v/>
      </c>
      <c r="B189" s="61" t="n"/>
      <c r="C189" s="60" t="n"/>
      <c r="D189" s="62" t="str">
        <f>IF(C189="","",IFERROR(INDEX(cli_name,MATCH(C189,cli_code,0))&amp;"","Client inconnu"))</f>
        <v/>
      </c>
      <c r="E189" s="63" t="n"/>
      <c r="F189" s="61" t="n"/>
      <c r="G189" s="60" t="n"/>
      <c r="H189" s="64" t="str">
        <f>IF(A189="","",IF(ISNUMBER(F189),F189,O189+N(p_validity)))</f>
        <v/>
      </c>
      <c r="I189" s="65" t="str">
        <f>IF(A189="","",SUMIF(dl_doc,A189,dl_ht))</f>
        <v/>
      </c>
      <c r="J189" s="65" t="str">
        <f>IF(A189="","",IF(INDEX(p_rates,1)="",0,ROUND(SUMIFS(dl_ht,dl_doc,A189,dl_rate,INDEX(p_rates,1))*INDEX(p_rates,1),2))+IF(INDEX(p_rates,2)="",0,ROUND(SUMIFS(dl_ht,dl_doc,A189,dl_rate,INDEX(p_rates,2))*INDEX(p_rates,2),2))+IF(INDEX(p_rates,3)="",0,ROUND(SUMIFS(dl_ht,dl_doc,A189,dl_rate,INDEX(p_rates,3))*INDEX(p_rates,3),2))+IF(INDEX(p_rates,4)="",0,ROUND(SUMIFS(dl_ht,dl_doc,A189,dl_rate,INDEX(p_rates,4))*INDEX(p_rates,4),2))+IF(INDEX(p_rates,5)="",0,ROUND(SUMIFS(dl_ht,dl_doc,A189,dl_rate,INDEX(p_rates,5))*INDEX(p_rates,5),2))+IF(INDEX(p_rates,6)="",0,ROUND(SUMIFS(dl_ht,dl_doc,A189,dl_rate,INDEX(p_rates,6))*INDEX(p_rates,6),2)))</f>
        <v/>
      </c>
      <c r="K189" s="65" t="str">
        <f>IF(A189="","",I189+J189)</f>
        <v/>
      </c>
      <c r="L189" s="59" t="str">
        <f>IF(A189="","",IFERROR(INDEX(fa_num,MATCH(A189,fa_dvkey,0))&amp;"",""))</f>
        <v/>
      </c>
      <c r="M189" s="59" t="str">
        <f>IF(A189="","",IF(G189="Annulé","Annulé",IF(L189&lt;&gt;"","Facturé",IF(G189="Accepté","Accepté",IF(G189="Refusé","Refusé",IF(p_asof&gt;H189,"Expiré","En attente"))))))</f>
        <v/>
      </c>
      <c r="N189" s="59" t="str">
        <f>IF(COUNTA(B189:C189,E189:G189)=0,"",IF(B189="","Date manquante",IF(NOT(ISNUMBER(B189)),"Date invalide",IF(C189="","Client manquant",IF(ISNA(MATCH(C189,cli_code,0)),"Client inconnu",IF(O189&lt;MAX($O$6:O188),"Date antérieure au devis précédent",IF(AND(ISNUMBER(F189),F189&lt;O189),"Validité antérieure à la date du devis",IF(AND(R189=0,G189&lt;&gt;"Annulé"),"Aucune ligne (feuille Lignes de devis)",IF(COUNTIFS(dl_doc,A189,dl_check,"&lt;&gt;OK")&gt;0,"Ligne(s) à corriger",IF(AND(L189&lt;&gt;"",OR(G189="Refusé",G189="Annulé")),"Devis refusé ou annulé mais facturé","OK"))))))))))</f>
        <v/>
      </c>
      <c r="O189" s="62">
        <f>IF(ISNUMBER(B189),B189,0)</f>
        <v>0.0</v>
      </c>
      <c r="P189" s="62" t="str">
        <f>IF(O189=0,"",YEAR(O189))</f>
        <v/>
      </c>
      <c r="Q189" s="62" t="str">
        <f>IF(P189="","",COUNTIF($P$6:P189,P189))</f>
        <v/>
      </c>
      <c r="R189" s="62">
        <f>IF(A189="",0,COUNTIF(dl_doc,A189))</f>
        <v>0.0</v>
      </c>
    </row>
    <row r="190">
      <c r="A190" s="59" t="str">
        <f>IF(Q190="","",p_pdv&amp;"-"&amp;P190&amp;"-"&amp;RIGHT("000"&amp;Q190,4))</f>
        <v/>
      </c>
      <c r="B190" s="61" t="n"/>
      <c r="C190" s="60" t="n"/>
      <c r="D190" s="62" t="str">
        <f>IF(C190="","",IFERROR(INDEX(cli_name,MATCH(C190,cli_code,0))&amp;"","Client inconnu"))</f>
        <v/>
      </c>
      <c r="E190" s="63" t="n"/>
      <c r="F190" s="61" t="n"/>
      <c r="G190" s="60" t="n"/>
      <c r="H190" s="64" t="str">
        <f>IF(A190="","",IF(ISNUMBER(F190),F190,O190+N(p_validity)))</f>
        <v/>
      </c>
      <c r="I190" s="65" t="str">
        <f>IF(A190="","",SUMIF(dl_doc,A190,dl_ht))</f>
        <v/>
      </c>
      <c r="J190" s="65" t="str">
        <f>IF(A190="","",IF(INDEX(p_rates,1)="",0,ROUND(SUMIFS(dl_ht,dl_doc,A190,dl_rate,INDEX(p_rates,1))*INDEX(p_rates,1),2))+IF(INDEX(p_rates,2)="",0,ROUND(SUMIFS(dl_ht,dl_doc,A190,dl_rate,INDEX(p_rates,2))*INDEX(p_rates,2),2))+IF(INDEX(p_rates,3)="",0,ROUND(SUMIFS(dl_ht,dl_doc,A190,dl_rate,INDEX(p_rates,3))*INDEX(p_rates,3),2))+IF(INDEX(p_rates,4)="",0,ROUND(SUMIFS(dl_ht,dl_doc,A190,dl_rate,INDEX(p_rates,4))*INDEX(p_rates,4),2))+IF(INDEX(p_rates,5)="",0,ROUND(SUMIFS(dl_ht,dl_doc,A190,dl_rate,INDEX(p_rates,5))*INDEX(p_rates,5),2))+IF(INDEX(p_rates,6)="",0,ROUND(SUMIFS(dl_ht,dl_doc,A190,dl_rate,INDEX(p_rates,6))*INDEX(p_rates,6),2)))</f>
        <v/>
      </c>
      <c r="K190" s="65" t="str">
        <f>IF(A190="","",I190+J190)</f>
        <v/>
      </c>
      <c r="L190" s="59" t="str">
        <f>IF(A190="","",IFERROR(INDEX(fa_num,MATCH(A190,fa_dvkey,0))&amp;"",""))</f>
        <v/>
      </c>
      <c r="M190" s="59" t="str">
        <f>IF(A190="","",IF(G190="Annulé","Annulé",IF(L190&lt;&gt;"","Facturé",IF(G190="Accepté","Accepté",IF(G190="Refusé","Refusé",IF(p_asof&gt;H190,"Expiré","En attente"))))))</f>
        <v/>
      </c>
      <c r="N190" s="59" t="str">
        <f>IF(COUNTA(B190:C190,E190:G190)=0,"",IF(B190="","Date manquante",IF(NOT(ISNUMBER(B190)),"Date invalide",IF(C190="","Client manquant",IF(ISNA(MATCH(C190,cli_code,0)),"Client inconnu",IF(O190&lt;MAX($O$6:O189),"Date antérieure au devis précédent",IF(AND(ISNUMBER(F190),F190&lt;O190),"Validité antérieure à la date du devis",IF(AND(R190=0,G190&lt;&gt;"Annulé"),"Aucune ligne (feuille Lignes de devis)",IF(COUNTIFS(dl_doc,A190,dl_check,"&lt;&gt;OK")&gt;0,"Ligne(s) à corriger",IF(AND(L190&lt;&gt;"",OR(G190="Refusé",G190="Annulé")),"Devis refusé ou annulé mais facturé","OK"))))))))))</f>
        <v/>
      </c>
      <c r="O190" s="62">
        <f>IF(ISNUMBER(B190),B190,0)</f>
        <v>0.0</v>
      </c>
      <c r="P190" s="62" t="str">
        <f>IF(O190=0,"",YEAR(O190))</f>
        <v/>
      </c>
      <c r="Q190" s="62" t="str">
        <f>IF(P190="","",COUNTIF($P$6:P190,P190))</f>
        <v/>
      </c>
      <c r="R190" s="62">
        <f>IF(A190="",0,COUNTIF(dl_doc,A190))</f>
        <v>0.0</v>
      </c>
    </row>
    <row r="191">
      <c r="A191" s="59" t="str">
        <f>IF(Q191="","",p_pdv&amp;"-"&amp;P191&amp;"-"&amp;RIGHT("000"&amp;Q191,4))</f>
        <v/>
      </c>
      <c r="B191" s="61" t="n"/>
      <c r="C191" s="60" t="n"/>
      <c r="D191" s="62" t="str">
        <f>IF(C191="","",IFERROR(INDEX(cli_name,MATCH(C191,cli_code,0))&amp;"","Client inconnu"))</f>
        <v/>
      </c>
      <c r="E191" s="63" t="n"/>
      <c r="F191" s="61" t="n"/>
      <c r="G191" s="60" t="n"/>
      <c r="H191" s="64" t="str">
        <f>IF(A191="","",IF(ISNUMBER(F191),F191,O191+N(p_validity)))</f>
        <v/>
      </c>
      <c r="I191" s="65" t="str">
        <f>IF(A191="","",SUMIF(dl_doc,A191,dl_ht))</f>
        <v/>
      </c>
      <c r="J191" s="65" t="str">
        <f>IF(A191="","",IF(INDEX(p_rates,1)="",0,ROUND(SUMIFS(dl_ht,dl_doc,A191,dl_rate,INDEX(p_rates,1))*INDEX(p_rates,1),2))+IF(INDEX(p_rates,2)="",0,ROUND(SUMIFS(dl_ht,dl_doc,A191,dl_rate,INDEX(p_rates,2))*INDEX(p_rates,2),2))+IF(INDEX(p_rates,3)="",0,ROUND(SUMIFS(dl_ht,dl_doc,A191,dl_rate,INDEX(p_rates,3))*INDEX(p_rates,3),2))+IF(INDEX(p_rates,4)="",0,ROUND(SUMIFS(dl_ht,dl_doc,A191,dl_rate,INDEX(p_rates,4))*INDEX(p_rates,4),2))+IF(INDEX(p_rates,5)="",0,ROUND(SUMIFS(dl_ht,dl_doc,A191,dl_rate,INDEX(p_rates,5))*INDEX(p_rates,5),2))+IF(INDEX(p_rates,6)="",0,ROUND(SUMIFS(dl_ht,dl_doc,A191,dl_rate,INDEX(p_rates,6))*INDEX(p_rates,6),2)))</f>
        <v/>
      </c>
      <c r="K191" s="65" t="str">
        <f>IF(A191="","",I191+J191)</f>
        <v/>
      </c>
      <c r="L191" s="59" t="str">
        <f>IF(A191="","",IFERROR(INDEX(fa_num,MATCH(A191,fa_dvkey,0))&amp;"",""))</f>
        <v/>
      </c>
      <c r="M191" s="59" t="str">
        <f>IF(A191="","",IF(G191="Annulé","Annulé",IF(L191&lt;&gt;"","Facturé",IF(G191="Accepté","Accepté",IF(G191="Refusé","Refusé",IF(p_asof&gt;H191,"Expiré","En attente"))))))</f>
        <v/>
      </c>
      <c r="N191" s="59" t="str">
        <f>IF(COUNTA(B191:C191,E191:G191)=0,"",IF(B191="","Date manquante",IF(NOT(ISNUMBER(B191)),"Date invalide",IF(C191="","Client manquant",IF(ISNA(MATCH(C191,cli_code,0)),"Client inconnu",IF(O191&lt;MAX($O$6:O190),"Date antérieure au devis précédent",IF(AND(ISNUMBER(F191),F191&lt;O191),"Validité antérieure à la date du devis",IF(AND(R191=0,G191&lt;&gt;"Annulé"),"Aucune ligne (feuille Lignes de devis)",IF(COUNTIFS(dl_doc,A191,dl_check,"&lt;&gt;OK")&gt;0,"Ligne(s) à corriger",IF(AND(L191&lt;&gt;"",OR(G191="Refusé",G191="Annulé")),"Devis refusé ou annulé mais facturé","OK"))))))))))</f>
        <v/>
      </c>
      <c r="O191" s="62">
        <f>IF(ISNUMBER(B191),B191,0)</f>
        <v>0.0</v>
      </c>
      <c r="P191" s="62" t="str">
        <f>IF(O191=0,"",YEAR(O191))</f>
        <v/>
      </c>
      <c r="Q191" s="62" t="str">
        <f>IF(P191="","",COUNTIF($P$6:P191,P191))</f>
        <v/>
      </c>
      <c r="R191" s="62">
        <f>IF(A191="",0,COUNTIF(dl_doc,A191))</f>
        <v>0.0</v>
      </c>
    </row>
    <row r="192">
      <c r="A192" s="59" t="str">
        <f>IF(Q192="","",p_pdv&amp;"-"&amp;P192&amp;"-"&amp;RIGHT("000"&amp;Q192,4))</f>
        <v/>
      </c>
      <c r="B192" s="61" t="n"/>
      <c r="C192" s="60" t="n"/>
      <c r="D192" s="62" t="str">
        <f>IF(C192="","",IFERROR(INDEX(cli_name,MATCH(C192,cli_code,0))&amp;"","Client inconnu"))</f>
        <v/>
      </c>
      <c r="E192" s="63" t="n"/>
      <c r="F192" s="61" t="n"/>
      <c r="G192" s="60" t="n"/>
      <c r="H192" s="64" t="str">
        <f>IF(A192="","",IF(ISNUMBER(F192),F192,O192+N(p_validity)))</f>
        <v/>
      </c>
      <c r="I192" s="65" t="str">
        <f>IF(A192="","",SUMIF(dl_doc,A192,dl_ht))</f>
        <v/>
      </c>
      <c r="J192" s="65" t="str">
        <f>IF(A192="","",IF(INDEX(p_rates,1)="",0,ROUND(SUMIFS(dl_ht,dl_doc,A192,dl_rate,INDEX(p_rates,1))*INDEX(p_rates,1),2))+IF(INDEX(p_rates,2)="",0,ROUND(SUMIFS(dl_ht,dl_doc,A192,dl_rate,INDEX(p_rates,2))*INDEX(p_rates,2),2))+IF(INDEX(p_rates,3)="",0,ROUND(SUMIFS(dl_ht,dl_doc,A192,dl_rate,INDEX(p_rates,3))*INDEX(p_rates,3),2))+IF(INDEX(p_rates,4)="",0,ROUND(SUMIFS(dl_ht,dl_doc,A192,dl_rate,INDEX(p_rates,4))*INDEX(p_rates,4),2))+IF(INDEX(p_rates,5)="",0,ROUND(SUMIFS(dl_ht,dl_doc,A192,dl_rate,INDEX(p_rates,5))*INDEX(p_rates,5),2))+IF(INDEX(p_rates,6)="",0,ROUND(SUMIFS(dl_ht,dl_doc,A192,dl_rate,INDEX(p_rates,6))*INDEX(p_rates,6),2)))</f>
        <v/>
      </c>
      <c r="K192" s="65" t="str">
        <f>IF(A192="","",I192+J192)</f>
        <v/>
      </c>
      <c r="L192" s="59" t="str">
        <f>IF(A192="","",IFERROR(INDEX(fa_num,MATCH(A192,fa_dvkey,0))&amp;"",""))</f>
        <v/>
      </c>
      <c r="M192" s="59" t="str">
        <f>IF(A192="","",IF(G192="Annulé","Annulé",IF(L192&lt;&gt;"","Facturé",IF(G192="Accepté","Accepté",IF(G192="Refusé","Refusé",IF(p_asof&gt;H192,"Expiré","En attente"))))))</f>
        <v/>
      </c>
      <c r="N192" s="59" t="str">
        <f>IF(COUNTA(B192:C192,E192:G192)=0,"",IF(B192="","Date manquante",IF(NOT(ISNUMBER(B192)),"Date invalide",IF(C192="","Client manquant",IF(ISNA(MATCH(C192,cli_code,0)),"Client inconnu",IF(O192&lt;MAX($O$6:O191),"Date antérieure au devis précédent",IF(AND(ISNUMBER(F192),F192&lt;O192),"Validité antérieure à la date du devis",IF(AND(R192=0,G192&lt;&gt;"Annulé"),"Aucune ligne (feuille Lignes de devis)",IF(COUNTIFS(dl_doc,A192,dl_check,"&lt;&gt;OK")&gt;0,"Ligne(s) à corriger",IF(AND(L192&lt;&gt;"",OR(G192="Refusé",G192="Annulé")),"Devis refusé ou annulé mais facturé","OK"))))))))))</f>
        <v/>
      </c>
      <c r="O192" s="62">
        <f>IF(ISNUMBER(B192),B192,0)</f>
        <v>0.0</v>
      </c>
      <c r="P192" s="62" t="str">
        <f>IF(O192=0,"",YEAR(O192))</f>
        <v/>
      </c>
      <c r="Q192" s="62" t="str">
        <f>IF(P192="","",COUNTIF($P$6:P192,P192))</f>
        <v/>
      </c>
      <c r="R192" s="62">
        <f>IF(A192="",0,COUNTIF(dl_doc,A192))</f>
        <v>0.0</v>
      </c>
    </row>
    <row r="193">
      <c r="A193" s="59" t="str">
        <f>IF(Q193="","",p_pdv&amp;"-"&amp;P193&amp;"-"&amp;RIGHT("000"&amp;Q193,4))</f>
        <v/>
      </c>
      <c r="B193" s="61" t="n"/>
      <c r="C193" s="60" t="n"/>
      <c r="D193" s="62" t="str">
        <f>IF(C193="","",IFERROR(INDEX(cli_name,MATCH(C193,cli_code,0))&amp;"","Client inconnu"))</f>
        <v/>
      </c>
      <c r="E193" s="63" t="n"/>
      <c r="F193" s="61" t="n"/>
      <c r="G193" s="60" t="n"/>
      <c r="H193" s="64" t="str">
        <f>IF(A193="","",IF(ISNUMBER(F193),F193,O193+N(p_validity)))</f>
        <v/>
      </c>
      <c r="I193" s="65" t="str">
        <f>IF(A193="","",SUMIF(dl_doc,A193,dl_ht))</f>
        <v/>
      </c>
      <c r="J193" s="65" t="str">
        <f>IF(A193="","",IF(INDEX(p_rates,1)="",0,ROUND(SUMIFS(dl_ht,dl_doc,A193,dl_rate,INDEX(p_rates,1))*INDEX(p_rates,1),2))+IF(INDEX(p_rates,2)="",0,ROUND(SUMIFS(dl_ht,dl_doc,A193,dl_rate,INDEX(p_rates,2))*INDEX(p_rates,2),2))+IF(INDEX(p_rates,3)="",0,ROUND(SUMIFS(dl_ht,dl_doc,A193,dl_rate,INDEX(p_rates,3))*INDEX(p_rates,3),2))+IF(INDEX(p_rates,4)="",0,ROUND(SUMIFS(dl_ht,dl_doc,A193,dl_rate,INDEX(p_rates,4))*INDEX(p_rates,4),2))+IF(INDEX(p_rates,5)="",0,ROUND(SUMIFS(dl_ht,dl_doc,A193,dl_rate,INDEX(p_rates,5))*INDEX(p_rates,5),2))+IF(INDEX(p_rates,6)="",0,ROUND(SUMIFS(dl_ht,dl_doc,A193,dl_rate,INDEX(p_rates,6))*INDEX(p_rates,6),2)))</f>
        <v/>
      </c>
      <c r="K193" s="65" t="str">
        <f>IF(A193="","",I193+J193)</f>
        <v/>
      </c>
      <c r="L193" s="59" t="str">
        <f>IF(A193="","",IFERROR(INDEX(fa_num,MATCH(A193,fa_dvkey,0))&amp;"",""))</f>
        <v/>
      </c>
      <c r="M193" s="59" t="str">
        <f>IF(A193="","",IF(G193="Annulé","Annulé",IF(L193&lt;&gt;"","Facturé",IF(G193="Accepté","Accepté",IF(G193="Refusé","Refusé",IF(p_asof&gt;H193,"Expiré","En attente"))))))</f>
        <v/>
      </c>
      <c r="N193" s="59" t="str">
        <f>IF(COUNTA(B193:C193,E193:G193)=0,"",IF(B193="","Date manquante",IF(NOT(ISNUMBER(B193)),"Date invalide",IF(C193="","Client manquant",IF(ISNA(MATCH(C193,cli_code,0)),"Client inconnu",IF(O193&lt;MAX($O$6:O192),"Date antérieure au devis précédent",IF(AND(ISNUMBER(F193),F193&lt;O193),"Validité antérieure à la date du devis",IF(AND(R193=0,G193&lt;&gt;"Annulé"),"Aucune ligne (feuille Lignes de devis)",IF(COUNTIFS(dl_doc,A193,dl_check,"&lt;&gt;OK")&gt;0,"Ligne(s) à corriger",IF(AND(L193&lt;&gt;"",OR(G193="Refusé",G193="Annulé")),"Devis refusé ou annulé mais facturé","OK"))))))))))</f>
        <v/>
      </c>
      <c r="O193" s="62">
        <f>IF(ISNUMBER(B193),B193,0)</f>
        <v>0.0</v>
      </c>
      <c r="P193" s="62" t="str">
        <f>IF(O193=0,"",YEAR(O193))</f>
        <v/>
      </c>
      <c r="Q193" s="62" t="str">
        <f>IF(P193="","",COUNTIF($P$6:P193,P193))</f>
        <v/>
      </c>
      <c r="R193" s="62">
        <f>IF(A193="",0,COUNTIF(dl_doc,A193))</f>
        <v>0.0</v>
      </c>
    </row>
    <row r="194">
      <c r="A194" s="59" t="str">
        <f>IF(Q194="","",p_pdv&amp;"-"&amp;P194&amp;"-"&amp;RIGHT("000"&amp;Q194,4))</f>
        <v/>
      </c>
      <c r="B194" s="61" t="n"/>
      <c r="C194" s="60" t="n"/>
      <c r="D194" s="62" t="str">
        <f>IF(C194="","",IFERROR(INDEX(cli_name,MATCH(C194,cli_code,0))&amp;"","Client inconnu"))</f>
        <v/>
      </c>
      <c r="E194" s="63" t="n"/>
      <c r="F194" s="61" t="n"/>
      <c r="G194" s="60" t="n"/>
      <c r="H194" s="64" t="str">
        <f>IF(A194="","",IF(ISNUMBER(F194),F194,O194+N(p_validity)))</f>
        <v/>
      </c>
      <c r="I194" s="65" t="str">
        <f>IF(A194="","",SUMIF(dl_doc,A194,dl_ht))</f>
        <v/>
      </c>
      <c r="J194" s="65" t="str">
        <f>IF(A194="","",IF(INDEX(p_rates,1)="",0,ROUND(SUMIFS(dl_ht,dl_doc,A194,dl_rate,INDEX(p_rates,1))*INDEX(p_rates,1),2))+IF(INDEX(p_rates,2)="",0,ROUND(SUMIFS(dl_ht,dl_doc,A194,dl_rate,INDEX(p_rates,2))*INDEX(p_rates,2),2))+IF(INDEX(p_rates,3)="",0,ROUND(SUMIFS(dl_ht,dl_doc,A194,dl_rate,INDEX(p_rates,3))*INDEX(p_rates,3),2))+IF(INDEX(p_rates,4)="",0,ROUND(SUMIFS(dl_ht,dl_doc,A194,dl_rate,INDEX(p_rates,4))*INDEX(p_rates,4),2))+IF(INDEX(p_rates,5)="",0,ROUND(SUMIFS(dl_ht,dl_doc,A194,dl_rate,INDEX(p_rates,5))*INDEX(p_rates,5),2))+IF(INDEX(p_rates,6)="",0,ROUND(SUMIFS(dl_ht,dl_doc,A194,dl_rate,INDEX(p_rates,6))*INDEX(p_rates,6),2)))</f>
        <v/>
      </c>
      <c r="K194" s="65" t="str">
        <f>IF(A194="","",I194+J194)</f>
        <v/>
      </c>
      <c r="L194" s="59" t="str">
        <f>IF(A194="","",IFERROR(INDEX(fa_num,MATCH(A194,fa_dvkey,0))&amp;"",""))</f>
        <v/>
      </c>
      <c r="M194" s="59" t="str">
        <f>IF(A194="","",IF(G194="Annulé","Annulé",IF(L194&lt;&gt;"","Facturé",IF(G194="Accepté","Accepté",IF(G194="Refusé","Refusé",IF(p_asof&gt;H194,"Expiré","En attente"))))))</f>
        <v/>
      </c>
      <c r="N194" s="59" t="str">
        <f>IF(COUNTA(B194:C194,E194:G194)=0,"",IF(B194="","Date manquante",IF(NOT(ISNUMBER(B194)),"Date invalide",IF(C194="","Client manquant",IF(ISNA(MATCH(C194,cli_code,0)),"Client inconnu",IF(O194&lt;MAX($O$6:O193),"Date antérieure au devis précédent",IF(AND(ISNUMBER(F194),F194&lt;O194),"Validité antérieure à la date du devis",IF(AND(R194=0,G194&lt;&gt;"Annulé"),"Aucune ligne (feuille Lignes de devis)",IF(COUNTIFS(dl_doc,A194,dl_check,"&lt;&gt;OK")&gt;0,"Ligne(s) à corriger",IF(AND(L194&lt;&gt;"",OR(G194="Refusé",G194="Annulé")),"Devis refusé ou annulé mais facturé","OK"))))))))))</f>
        <v/>
      </c>
      <c r="O194" s="62">
        <f>IF(ISNUMBER(B194),B194,0)</f>
        <v>0.0</v>
      </c>
      <c r="P194" s="62" t="str">
        <f>IF(O194=0,"",YEAR(O194))</f>
        <v/>
      </c>
      <c r="Q194" s="62" t="str">
        <f>IF(P194="","",COUNTIF($P$6:P194,P194))</f>
        <v/>
      </c>
      <c r="R194" s="62">
        <f>IF(A194="",0,COUNTIF(dl_doc,A194))</f>
        <v>0.0</v>
      </c>
    </row>
    <row r="195">
      <c r="A195" s="59" t="str">
        <f>IF(Q195="","",p_pdv&amp;"-"&amp;P195&amp;"-"&amp;RIGHT("000"&amp;Q195,4))</f>
        <v/>
      </c>
      <c r="B195" s="61" t="n"/>
      <c r="C195" s="60" t="n"/>
      <c r="D195" s="62" t="str">
        <f>IF(C195="","",IFERROR(INDEX(cli_name,MATCH(C195,cli_code,0))&amp;"","Client inconnu"))</f>
        <v/>
      </c>
      <c r="E195" s="63" t="n"/>
      <c r="F195" s="61" t="n"/>
      <c r="G195" s="60" t="n"/>
      <c r="H195" s="64" t="str">
        <f>IF(A195="","",IF(ISNUMBER(F195),F195,O195+N(p_validity)))</f>
        <v/>
      </c>
      <c r="I195" s="65" t="str">
        <f>IF(A195="","",SUMIF(dl_doc,A195,dl_ht))</f>
        <v/>
      </c>
      <c r="J195" s="65" t="str">
        <f>IF(A195="","",IF(INDEX(p_rates,1)="",0,ROUND(SUMIFS(dl_ht,dl_doc,A195,dl_rate,INDEX(p_rates,1))*INDEX(p_rates,1),2))+IF(INDEX(p_rates,2)="",0,ROUND(SUMIFS(dl_ht,dl_doc,A195,dl_rate,INDEX(p_rates,2))*INDEX(p_rates,2),2))+IF(INDEX(p_rates,3)="",0,ROUND(SUMIFS(dl_ht,dl_doc,A195,dl_rate,INDEX(p_rates,3))*INDEX(p_rates,3),2))+IF(INDEX(p_rates,4)="",0,ROUND(SUMIFS(dl_ht,dl_doc,A195,dl_rate,INDEX(p_rates,4))*INDEX(p_rates,4),2))+IF(INDEX(p_rates,5)="",0,ROUND(SUMIFS(dl_ht,dl_doc,A195,dl_rate,INDEX(p_rates,5))*INDEX(p_rates,5),2))+IF(INDEX(p_rates,6)="",0,ROUND(SUMIFS(dl_ht,dl_doc,A195,dl_rate,INDEX(p_rates,6))*INDEX(p_rates,6),2)))</f>
        <v/>
      </c>
      <c r="K195" s="65" t="str">
        <f>IF(A195="","",I195+J195)</f>
        <v/>
      </c>
      <c r="L195" s="59" t="str">
        <f>IF(A195="","",IFERROR(INDEX(fa_num,MATCH(A195,fa_dvkey,0))&amp;"",""))</f>
        <v/>
      </c>
      <c r="M195" s="59" t="str">
        <f>IF(A195="","",IF(G195="Annulé","Annulé",IF(L195&lt;&gt;"","Facturé",IF(G195="Accepté","Accepté",IF(G195="Refusé","Refusé",IF(p_asof&gt;H195,"Expiré","En attente"))))))</f>
        <v/>
      </c>
      <c r="N195" s="59" t="str">
        <f>IF(COUNTA(B195:C195,E195:G195)=0,"",IF(B195="","Date manquante",IF(NOT(ISNUMBER(B195)),"Date invalide",IF(C195="","Client manquant",IF(ISNA(MATCH(C195,cli_code,0)),"Client inconnu",IF(O195&lt;MAX($O$6:O194),"Date antérieure au devis précédent",IF(AND(ISNUMBER(F195),F195&lt;O195),"Validité antérieure à la date du devis",IF(AND(R195=0,G195&lt;&gt;"Annulé"),"Aucune ligne (feuille Lignes de devis)",IF(COUNTIFS(dl_doc,A195,dl_check,"&lt;&gt;OK")&gt;0,"Ligne(s) à corriger",IF(AND(L195&lt;&gt;"",OR(G195="Refusé",G195="Annulé")),"Devis refusé ou annulé mais facturé","OK"))))))))))</f>
        <v/>
      </c>
      <c r="O195" s="62">
        <f>IF(ISNUMBER(B195),B195,0)</f>
        <v>0.0</v>
      </c>
      <c r="P195" s="62" t="str">
        <f>IF(O195=0,"",YEAR(O195))</f>
        <v/>
      </c>
      <c r="Q195" s="62" t="str">
        <f>IF(P195="","",COUNTIF($P$6:P195,P195))</f>
        <v/>
      </c>
      <c r="R195" s="62">
        <f>IF(A195="",0,COUNTIF(dl_doc,A195))</f>
        <v>0.0</v>
      </c>
    </row>
    <row r="196">
      <c r="A196" s="59" t="str">
        <f>IF(Q196="","",p_pdv&amp;"-"&amp;P196&amp;"-"&amp;RIGHT("000"&amp;Q196,4))</f>
        <v/>
      </c>
      <c r="B196" s="61" t="n"/>
      <c r="C196" s="60" t="n"/>
      <c r="D196" s="62" t="str">
        <f>IF(C196="","",IFERROR(INDEX(cli_name,MATCH(C196,cli_code,0))&amp;"","Client inconnu"))</f>
        <v/>
      </c>
      <c r="E196" s="63" t="n"/>
      <c r="F196" s="61" t="n"/>
      <c r="G196" s="60" t="n"/>
      <c r="H196" s="64" t="str">
        <f>IF(A196="","",IF(ISNUMBER(F196),F196,O196+N(p_validity)))</f>
        <v/>
      </c>
      <c r="I196" s="65" t="str">
        <f>IF(A196="","",SUMIF(dl_doc,A196,dl_ht))</f>
        <v/>
      </c>
      <c r="J196" s="65" t="str">
        <f>IF(A196="","",IF(INDEX(p_rates,1)="",0,ROUND(SUMIFS(dl_ht,dl_doc,A196,dl_rate,INDEX(p_rates,1))*INDEX(p_rates,1),2))+IF(INDEX(p_rates,2)="",0,ROUND(SUMIFS(dl_ht,dl_doc,A196,dl_rate,INDEX(p_rates,2))*INDEX(p_rates,2),2))+IF(INDEX(p_rates,3)="",0,ROUND(SUMIFS(dl_ht,dl_doc,A196,dl_rate,INDEX(p_rates,3))*INDEX(p_rates,3),2))+IF(INDEX(p_rates,4)="",0,ROUND(SUMIFS(dl_ht,dl_doc,A196,dl_rate,INDEX(p_rates,4))*INDEX(p_rates,4),2))+IF(INDEX(p_rates,5)="",0,ROUND(SUMIFS(dl_ht,dl_doc,A196,dl_rate,INDEX(p_rates,5))*INDEX(p_rates,5),2))+IF(INDEX(p_rates,6)="",0,ROUND(SUMIFS(dl_ht,dl_doc,A196,dl_rate,INDEX(p_rates,6))*INDEX(p_rates,6),2)))</f>
        <v/>
      </c>
      <c r="K196" s="65" t="str">
        <f>IF(A196="","",I196+J196)</f>
        <v/>
      </c>
      <c r="L196" s="59" t="str">
        <f>IF(A196="","",IFERROR(INDEX(fa_num,MATCH(A196,fa_dvkey,0))&amp;"",""))</f>
        <v/>
      </c>
      <c r="M196" s="59" t="str">
        <f>IF(A196="","",IF(G196="Annulé","Annulé",IF(L196&lt;&gt;"","Facturé",IF(G196="Accepté","Accepté",IF(G196="Refusé","Refusé",IF(p_asof&gt;H196,"Expiré","En attente"))))))</f>
        <v/>
      </c>
      <c r="N196" s="59" t="str">
        <f>IF(COUNTA(B196:C196,E196:G196)=0,"",IF(B196="","Date manquante",IF(NOT(ISNUMBER(B196)),"Date invalide",IF(C196="","Client manquant",IF(ISNA(MATCH(C196,cli_code,0)),"Client inconnu",IF(O196&lt;MAX($O$6:O195),"Date antérieure au devis précédent",IF(AND(ISNUMBER(F196),F196&lt;O196),"Validité antérieure à la date du devis",IF(AND(R196=0,G196&lt;&gt;"Annulé"),"Aucune ligne (feuille Lignes de devis)",IF(COUNTIFS(dl_doc,A196,dl_check,"&lt;&gt;OK")&gt;0,"Ligne(s) à corriger",IF(AND(L196&lt;&gt;"",OR(G196="Refusé",G196="Annulé")),"Devis refusé ou annulé mais facturé","OK"))))))))))</f>
        <v/>
      </c>
      <c r="O196" s="62">
        <f>IF(ISNUMBER(B196),B196,0)</f>
        <v>0.0</v>
      </c>
      <c r="P196" s="62" t="str">
        <f>IF(O196=0,"",YEAR(O196))</f>
        <v/>
      </c>
      <c r="Q196" s="62" t="str">
        <f>IF(P196="","",COUNTIF($P$6:P196,P196))</f>
        <v/>
      </c>
      <c r="R196" s="62">
        <f>IF(A196="",0,COUNTIF(dl_doc,A196))</f>
        <v>0.0</v>
      </c>
    </row>
    <row r="197">
      <c r="A197" s="59" t="str">
        <f>IF(Q197="","",p_pdv&amp;"-"&amp;P197&amp;"-"&amp;RIGHT("000"&amp;Q197,4))</f>
        <v/>
      </c>
      <c r="B197" s="61" t="n"/>
      <c r="C197" s="60" t="n"/>
      <c r="D197" s="62" t="str">
        <f>IF(C197="","",IFERROR(INDEX(cli_name,MATCH(C197,cli_code,0))&amp;"","Client inconnu"))</f>
        <v/>
      </c>
      <c r="E197" s="63" t="n"/>
      <c r="F197" s="61" t="n"/>
      <c r="G197" s="60" t="n"/>
      <c r="H197" s="64" t="str">
        <f>IF(A197="","",IF(ISNUMBER(F197),F197,O197+N(p_validity)))</f>
        <v/>
      </c>
      <c r="I197" s="65" t="str">
        <f>IF(A197="","",SUMIF(dl_doc,A197,dl_ht))</f>
        <v/>
      </c>
      <c r="J197" s="65" t="str">
        <f>IF(A197="","",IF(INDEX(p_rates,1)="",0,ROUND(SUMIFS(dl_ht,dl_doc,A197,dl_rate,INDEX(p_rates,1))*INDEX(p_rates,1),2))+IF(INDEX(p_rates,2)="",0,ROUND(SUMIFS(dl_ht,dl_doc,A197,dl_rate,INDEX(p_rates,2))*INDEX(p_rates,2),2))+IF(INDEX(p_rates,3)="",0,ROUND(SUMIFS(dl_ht,dl_doc,A197,dl_rate,INDEX(p_rates,3))*INDEX(p_rates,3),2))+IF(INDEX(p_rates,4)="",0,ROUND(SUMIFS(dl_ht,dl_doc,A197,dl_rate,INDEX(p_rates,4))*INDEX(p_rates,4),2))+IF(INDEX(p_rates,5)="",0,ROUND(SUMIFS(dl_ht,dl_doc,A197,dl_rate,INDEX(p_rates,5))*INDEX(p_rates,5),2))+IF(INDEX(p_rates,6)="",0,ROUND(SUMIFS(dl_ht,dl_doc,A197,dl_rate,INDEX(p_rates,6))*INDEX(p_rates,6),2)))</f>
        <v/>
      </c>
      <c r="K197" s="65" t="str">
        <f>IF(A197="","",I197+J197)</f>
        <v/>
      </c>
      <c r="L197" s="59" t="str">
        <f>IF(A197="","",IFERROR(INDEX(fa_num,MATCH(A197,fa_dvkey,0))&amp;"",""))</f>
        <v/>
      </c>
      <c r="M197" s="59" t="str">
        <f>IF(A197="","",IF(G197="Annulé","Annulé",IF(L197&lt;&gt;"","Facturé",IF(G197="Accepté","Accepté",IF(G197="Refusé","Refusé",IF(p_asof&gt;H197,"Expiré","En attente"))))))</f>
        <v/>
      </c>
      <c r="N197" s="59" t="str">
        <f>IF(COUNTA(B197:C197,E197:G197)=0,"",IF(B197="","Date manquante",IF(NOT(ISNUMBER(B197)),"Date invalide",IF(C197="","Client manquant",IF(ISNA(MATCH(C197,cli_code,0)),"Client inconnu",IF(O197&lt;MAX($O$6:O196),"Date antérieure au devis précédent",IF(AND(ISNUMBER(F197),F197&lt;O197),"Validité antérieure à la date du devis",IF(AND(R197=0,G197&lt;&gt;"Annulé"),"Aucune ligne (feuille Lignes de devis)",IF(COUNTIFS(dl_doc,A197,dl_check,"&lt;&gt;OK")&gt;0,"Ligne(s) à corriger",IF(AND(L197&lt;&gt;"",OR(G197="Refusé",G197="Annulé")),"Devis refusé ou annulé mais facturé","OK"))))))))))</f>
        <v/>
      </c>
      <c r="O197" s="62">
        <f>IF(ISNUMBER(B197),B197,0)</f>
        <v>0.0</v>
      </c>
      <c r="P197" s="62" t="str">
        <f>IF(O197=0,"",YEAR(O197))</f>
        <v/>
      </c>
      <c r="Q197" s="62" t="str">
        <f>IF(P197="","",COUNTIF($P$6:P197,P197))</f>
        <v/>
      </c>
      <c r="R197" s="62">
        <f>IF(A197="",0,COUNTIF(dl_doc,A197))</f>
        <v>0.0</v>
      </c>
    </row>
    <row r="198">
      <c r="A198" s="59" t="str">
        <f>IF(Q198="","",p_pdv&amp;"-"&amp;P198&amp;"-"&amp;RIGHT("000"&amp;Q198,4))</f>
        <v/>
      </c>
      <c r="B198" s="61" t="n"/>
      <c r="C198" s="60" t="n"/>
      <c r="D198" s="62" t="str">
        <f>IF(C198="","",IFERROR(INDEX(cli_name,MATCH(C198,cli_code,0))&amp;"","Client inconnu"))</f>
        <v/>
      </c>
      <c r="E198" s="63" t="n"/>
      <c r="F198" s="61" t="n"/>
      <c r="G198" s="60" t="n"/>
      <c r="H198" s="64" t="str">
        <f>IF(A198="","",IF(ISNUMBER(F198),F198,O198+N(p_validity)))</f>
        <v/>
      </c>
      <c r="I198" s="65" t="str">
        <f>IF(A198="","",SUMIF(dl_doc,A198,dl_ht))</f>
        <v/>
      </c>
      <c r="J198" s="65" t="str">
        <f>IF(A198="","",IF(INDEX(p_rates,1)="",0,ROUND(SUMIFS(dl_ht,dl_doc,A198,dl_rate,INDEX(p_rates,1))*INDEX(p_rates,1),2))+IF(INDEX(p_rates,2)="",0,ROUND(SUMIFS(dl_ht,dl_doc,A198,dl_rate,INDEX(p_rates,2))*INDEX(p_rates,2),2))+IF(INDEX(p_rates,3)="",0,ROUND(SUMIFS(dl_ht,dl_doc,A198,dl_rate,INDEX(p_rates,3))*INDEX(p_rates,3),2))+IF(INDEX(p_rates,4)="",0,ROUND(SUMIFS(dl_ht,dl_doc,A198,dl_rate,INDEX(p_rates,4))*INDEX(p_rates,4),2))+IF(INDEX(p_rates,5)="",0,ROUND(SUMIFS(dl_ht,dl_doc,A198,dl_rate,INDEX(p_rates,5))*INDEX(p_rates,5),2))+IF(INDEX(p_rates,6)="",0,ROUND(SUMIFS(dl_ht,dl_doc,A198,dl_rate,INDEX(p_rates,6))*INDEX(p_rates,6),2)))</f>
        <v/>
      </c>
      <c r="K198" s="65" t="str">
        <f>IF(A198="","",I198+J198)</f>
        <v/>
      </c>
      <c r="L198" s="59" t="str">
        <f>IF(A198="","",IFERROR(INDEX(fa_num,MATCH(A198,fa_dvkey,0))&amp;"",""))</f>
        <v/>
      </c>
      <c r="M198" s="59" t="str">
        <f>IF(A198="","",IF(G198="Annulé","Annulé",IF(L198&lt;&gt;"","Facturé",IF(G198="Accepté","Accepté",IF(G198="Refusé","Refusé",IF(p_asof&gt;H198,"Expiré","En attente"))))))</f>
        <v/>
      </c>
      <c r="N198" s="59" t="str">
        <f>IF(COUNTA(B198:C198,E198:G198)=0,"",IF(B198="","Date manquante",IF(NOT(ISNUMBER(B198)),"Date invalide",IF(C198="","Client manquant",IF(ISNA(MATCH(C198,cli_code,0)),"Client inconnu",IF(O198&lt;MAX($O$6:O197),"Date antérieure au devis précédent",IF(AND(ISNUMBER(F198),F198&lt;O198),"Validité antérieure à la date du devis",IF(AND(R198=0,G198&lt;&gt;"Annulé"),"Aucune ligne (feuille Lignes de devis)",IF(COUNTIFS(dl_doc,A198,dl_check,"&lt;&gt;OK")&gt;0,"Ligne(s) à corriger",IF(AND(L198&lt;&gt;"",OR(G198="Refusé",G198="Annulé")),"Devis refusé ou annulé mais facturé","OK"))))))))))</f>
        <v/>
      </c>
      <c r="O198" s="62">
        <f>IF(ISNUMBER(B198),B198,0)</f>
        <v>0.0</v>
      </c>
      <c r="P198" s="62" t="str">
        <f>IF(O198=0,"",YEAR(O198))</f>
        <v/>
      </c>
      <c r="Q198" s="62" t="str">
        <f>IF(P198="","",COUNTIF($P$6:P198,P198))</f>
        <v/>
      </c>
      <c r="R198" s="62">
        <f>IF(A198="",0,COUNTIF(dl_doc,A198))</f>
        <v>0.0</v>
      </c>
    </row>
    <row r="199">
      <c r="A199" s="59" t="str">
        <f>IF(Q199="","",p_pdv&amp;"-"&amp;P199&amp;"-"&amp;RIGHT("000"&amp;Q199,4))</f>
        <v/>
      </c>
      <c r="B199" s="61" t="n"/>
      <c r="C199" s="60" t="n"/>
      <c r="D199" s="62" t="str">
        <f>IF(C199="","",IFERROR(INDEX(cli_name,MATCH(C199,cli_code,0))&amp;"","Client inconnu"))</f>
        <v/>
      </c>
      <c r="E199" s="63" t="n"/>
      <c r="F199" s="61" t="n"/>
      <c r="G199" s="60" t="n"/>
      <c r="H199" s="64" t="str">
        <f>IF(A199="","",IF(ISNUMBER(F199),F199,O199+N(p_validity)))</f>
        <v/>
      </c>
      <c r="I199" s="65" t="str">
        <f>IF(A199="","",SUMIF(dl_doc,A199,dl_ht))</f>
        <v/>
      </c>
      <c r="J199" s="65" t="str">
        <f>IF(A199="","",IF(INDEX(p_rates,1)="",0,ROUND(SUMIFS(dl_ht,dl_doc,A199,dl_rate,INDEX(p_rates,1))*INDEX(p_rates,1),2))+IF(INDEX(p_rates,2)="",0,ROUND(SUMIFS(dl_ht,dl_doc,A199,dl_rate,INDEX(p_rates,2))*INDEX(p_rates,2),2))+IF(INDEX(p_rates,3)="",0,ROUND(SUMIFS(dl_ht,dl_doc,A199,dl_rate,INDEX(p_rates,3))*INDEX(p_rates,3),2))+IF(INDEX(p_rates,4)="",0,ROUND(SUMIFS(dl_ht,dl_doc,A199,dl_rate,INDEX(p_rates,4))*INDEX(p_rates,4),2))+IF(INDEX(p_rates,5)="",0,ROUND(SUMIFS(dl_ht,dl_doc,A199,dl_rate,INDEX(p_rates,5))*INDEX(p_rates,5),2))+IF(INDEX(p_rates,6)="",0,ROUND(SUMIFS(dl_ht,dl_doc,A199,dl_rate,INDEX(p_rates,6))*INDEX(p_rates,6),2)))</f>
        <v/>
      </c>
      <c r="K199" s="65" t="str">
        <f>IF(A199="","",I199+J199)</f>
        <v/>
      </c>
      <c r="L199" s="59" t="str">
        <f>IF(A199="","",IFERROR(INDEX(fa_num,MATCH(A199,fa_dvkey,0))&amp;"",""))</f>
        <v/>
      </c>
      <c r="M199" s="59" t="str">
        <f>IF(A199="","",IF(G199="Annulé","Annulé",IF(L199&lt;&gt;"","Facturé",IF(G199="Accepté","Accepté",IF(G199="Refusé","Refusé",IF(p_asof&gt;H199,"Expiré","En attente"))))))</f>
        <v/>
      </c>
      <c r="N199" s="59" t="str">
        <f>IF(COUNTA(B199:C199,E199:G199)=0,"",IF(B199="","Date manquante",IF(NOT(ISNUMBER(B199)),"Date invalide",IF(C199="","Client manquant",IF(ISNA(MATCH(C199,cli_code,0)),"Client inconnu",IF(O199&lt;MAX($O$6:O198),"Date antérieure au devis précédent",IF(AND(ISNUMBER(F199),F199&lt;O199),"Validité antérieure à la date du devis",IF(AND(R199=0,G199&lt;&gt;"Annulé"),"Aucune ligne (feuille Lignes de devis)",IF(COUNTIFS(dl_doc,A199,dl_check,"&lt;&gt;OK")&gt;0,"Ligne(s) à corriger",IF(AND(L199&lt;&gt;"",OR(G199="Refusé",G199="Annulé")),"Devis refusé ou annulé mais facturé","OK"))))))))))</f>
        <v/>
      </c>
      <c r="O199" s="62">
        <f>IF(ISNUMBER(B199),B199,0)</f>
        <v>0.0</v>
      </c>
      <c r="P199" s="62" t="str">
        <f>IF(O199=0,"",YEAR(O199))</f>
        <v/>
      </c>
      <c r="Q199" s="62" t="str">
        <f>IF(P199="","",COUNTIF($P$6:P199,P199))</f>
        <v/>
      </c>
      <c r="R199" s="62">
        <f>IF(A199="",0,COUNTIF(dl_doc,A199))</f>
        <v>0.0</v>
      </c>
    </row>
    <row r="200">
      <c r="A200" s="59" t="str">
        <f>IF(Q200="","",p_pdv&amp;"-"&amp;P200&amp;"-"&amp;RIGHT("000"&amp;Q200,4))</f>
        <v/>
      </c>
      <c r="B200" s="61" t="n"/>
      <c r="C200" s="60" t="n"/>
      <c r="D200" s="62" t="str">
        <f>IF(C200="","",IFERROR(INDEX(cli_name,MATCH(C200,cli_code,0))&amp;"","Client inconnu"))</f>
        <v/>
      </c>
      <c r="E200" s="63" t="n"/>
      <c r="F200" s="61" t="n"/>
      <c r="G200" s="60" t="n"/>
      <c r="H200" s="64" t="str">
        <f>IF(A200="","",IF(ISNUMBER(F200),F200,O200+N(p_validity)))</f>
        <v/>
      </c>
      <c r="I200" s="65" t="str">
        <f>IF(A200="","",SUMIF(dl_doc,A200,dl_ht))</f>
        <v/>
      </c>
      <c r="J200" s="65" t="str">
        <f>IF(A200="","",IF(INDEX(p_rates,1)="",0,ROUND(SUMIFS(dl_ht,dl_doc,A200,dl_rate,INDEX(p_rates,1))*INDEX(p_rates,1),2))+IF(INDEX(p_rates,2)="",0,ROUND(SUMIFS(dl_ht,dl_doc,A200,dl_rate,INDEX(p_rates,2))*INDEX(p_rates,2),2))+IF(INDEX(p_rates,3)="",0,ROUND(SUMIFS(dl_ht,dl_doc,A200,dl_rate,INDEX(p_rates,3))*INDEX(p_rates,3),2))+IF(INDEX(p_rates,4)="",0,ROUND(SUMIFS(dl_ht,dl_doc,A200,dl_rate,INDEX(p_rates,4))*INDEX(p_rates,4),2))+IF(INDEX(p_rates,5)="",0,ROUND(SUMIFS(dl_ht,dl_doc,A200,dl_rate,INDEX(p_rates,5))*INDEX(p_rates,5),2))+IF(INDEX(p_rates,6)="",0,ROUND(SUMIFS(dl_ht,dl_doc,A200,dl_rate,INDEX(p_rates,6))*INDEX(p_rates,6),2)))</f>
        <v/>
      </c>
      <c r="K200" s="65" t="str">
        <f>IF(A200="","",I200+J200)</f>
        <v/>
      </c>
      <c r="L200" s="59" t="str">
        <f>IF(A200="","",IFERROR(INDEX(fa_num,MATCH(A200,fa_dvkey,0))&amp;"",""))</f>
        <v/>
      </c>
      <c r="M200" s="59" t="str">
        <f>IF(A200="","",IF(G200="Annulé","Annulé",IF(L200&lt;&gt;"","Facturé",IF(G200="Accepté","Accepté",IF(G200="Refusé","Refusé",IF(p_asof&gt;H200,"Expiré","En attente"))))))</f>
        <v/>
      </c>
      <c r="N200" s="59" t="str">
        <f>IF(COUNTA(B200:C200,E200:G200)=0,"",IF(B200="","Date manquante",IF(NOT(ISNUMBER(B200)),"Date invalide",IF(C200="","Client manquant",IF(ISNA(MATCH(C200,cli_code,0)),"Client inconnu",IF(O200&lt;MAX($O$6:O199),"Date antérieure au devis précédent",IF(AND(ISNUMBER(F200),F200&lt;O200),"Validité antérieure à la date du devis",IF(AND(R200=0,G200&lt;&gt;"Annulé"),"Aucune ligne (feuille Lignes de devis)",IF(COUNTIFS(dl_doc,A200,dl_check,"&lt;&gt;OK")&gt;0,"Ligne(s) à corriger",IF(AND(L200&lt;&gt;"",OR(G200="Refusé",G200="Annulé")),"Devis refusé ou annulé mais facturé","OK"))))))))))</f>
        <v/>
      </c>
      <c r="O200" s="62">
        <f>IF(ISNUMBER(B200),B200,0)</f>
        <v>0.0</v>
      </c>
      <c r="P200" s="62" t="str">
        <f>IF(O200=0,"",YEAR(O200))</f>
        <v/>
      </c>
      <c r="Q200" s="62" t="str">
        <f>IF(P200="","",COUNTIF($P$6:P200,P200))</f>
        <v/>
      </c>
      <c r="R200" s="62">
        <f>IF(A200="",0,COUNTIF(dl_doc,A200))</f>
        <v>0.0</v>
      </c>
    </row>
    <row r="201">
      <c r="A201" s="59" t="str">
        <f>IF(Q201="","",p_pdv&amp;"-"&amp;P201&amp;"-"&amp;RIGHT("000"&amp;Q201,4))</f>
        <v/>
      </c>
      <c r="B201" s="61" t="n"/>
      <c r="C201" s="60" t="n"/>
      <c r="D201" s="62" t="str">
        <f>IF(C201="","",IFERROR(INDEX(cli_name,MATCH(C201,cli_code,0))&amp;"","Client inconnu"))</f>
        <v/>
      </c>
      <c r="E201" s="63" t="n"/>
      <c r="F201" s="61" t="n"/>
      <c r="G201" s="60" t="n"/>
      <c r="H201" s="64" t="str">
        <f>IF(A201="","",IF(ISNUMBER(F201),F201,O201+N(p_validity)))</f>
        <v/>
      </c>
      <c r="I201" s="65" t="str">
        <f>IF(A201="","",SUMIF(dl_doc,A201,dl_ht))</f>
        <v/>
      </c>
      <c r="J201" s="65" t="str">
        <f>IF(A201="","",IF(INDEX(p_rates,1)="",0,ROUND(SUMIFS(dl_ht,dl_doc,A201,dl_rate,INDEX(p_rates,1))*INDEX(p_rates,1),2))+IF(INDEX(p_rates,2)="",0,ROUND(SUMIFS(dl_ht,dl_doc,A201,dl_rate,INDEX(p_rates,2))*INDEX(p_rates,2),2))+IF(INDEX(p_rates,3)="",0,ROUND(SUMIFS(dl_ht,dl_doc,A201,dl_rate,INDEX(p_rates,3))*INDEX(p_rates,3),2))+IF(INDEX(p_rates,4)="",0,ROUND(SUMIFS(dl_ht,dl_doc,A201,dl_rate,INDEX(p_rates,4))*INDEX(p_rates,4),2))+IF(INDEX(p_rates,5)="",0,ROUND(SUMIFS(dl_ht,dl_doc,A201,dl_rate,INDEX(p_rates,5))*INDEX(p_rates,5),2))+IF(INDEX(p_rates,6)="",0,ROUND(SUMIFS(dl_ht,dl_doc,A201,dl_rate,INDEX(p_rates,6))*INDEX(p_rates,6),2)))</f>
        <v/>
      </c>
      <c r="K201" s="65" t="str">
        <f>IF(A201="","",I201+J201)</f>
        <v/>
      </c>
      <c r="L201" s="59" t="str">
        <f>IF(A201="","",IFERROR(INDEX(fa_num,MATCH(A201,fa_dvkey,0))&amp;"",""))</f>
        <v/>
      </c>
      <c r="M201" s="59" t="str">
        <f>IF(A201="","",IF(G201="Annulé","Annulé",IF(L201&lt;&gt;"","Facturé",IF(G201="Accepté","Accepté",IF(G201="Refusé","Refusé",IF(p_asof&gt;H201,"Expiré","En attente"))))))</f>
        <v/>
      </c>
      <c r="N201" s="59" t="str">
        <f>IF(COUNTA(B201:C201,E201:G201)=0,"",IF(B201="","Date manquante",IF(NOT(ISNUMBER(B201)),"Date invalide",IF(C201="","Client manquant",IF(ISNA(MATCH(C201,cli_code,0)),"Client inconnu",IF(O201&lt;MAX($O$6:O200),"Date antérieure au devis précédent",IF(AND(ISNUMBER(F201),F201&lt;O201),"Validité antérieure à la date du devis",IF(AND(R201=0,G201&lt;&gt;"Annulé"),"Aucune ligne (feuille Lignes de devis)",IF(COUNTIFS(dl_doc,A201,dl_check,"&lt;&gt;OK")&gt;0,"Ligne(s) à corriger",IF(AND(L201&lt;&gt;"",OR(G201="Refusé",G201="Annulé")),"Devis refusé ou annulé mais facturé","OK"))))))))))</f>
        <v/>
      </c>
      <c r="O201" s="62">
        <f>IF(ISNUMBER(B201),B201,0)</f>
        <v>0.0</v>
      </c>
      <c r="P201" s="62" t="str">
        <f>IF(O201=0,"",YEAR(O201))</f>
        <v/>
      </c>
      <c r="Q201" s="62" t="str">
        <f>IF(P201="","",COUNTIF($P$6:P201,P201))</f>
        <v/>
      </c>
      <c r="R201" s="62">
        <f>IF(A201="",0,COUNTIF(dl_doc,A201))</f>
        <v>0.0</v>
      </c>
    </row>
    <row r="202">
      <c r="A202" s="59" t="str">
        <f>IF(Q202="","",p_pdv&amp;"-"&amp;P202&amp;"-"&amp;RIGHT("000"&amp;Q202,4))</f>
        <v/>
      </c>
      <c r="B202" s="61" t="n"/>
      <c r="C202" s="60" t="n"/>
      <c r="D202" s="62" t="str">
        <f>IF(C202="","",IFERROR(INDEX(cli_name,MATCH(C202,cli_code,0))&amp;"","Client inconnu"))</f>
        <v/>
      </c>
      <c r="E202" s="63" t="n"/>
      <c r="F202" s="61" t="n"/>
      <c r="G202" s="60" t="n"/>
      <c r="H202" s="64" t="str">
        <f>IF(A202="","",IF(ISNUMBER(F202),F202,O202+N(p_validity)))</f>
        <v/>
      </c>
      <c r="I202" s="65" t="str">
        <f>IF(A202="","",SUMIF(dl_doc,A202,dl_ht))</f>
        <v/>
      </c>
      <c r="J202" s="65" t="str">
        <f>IF(A202="","",IF(INDEX(p_rates,1)="",0,ROUND(SUMIFS(dl_ht,dl_doc,A202,dl_rate,INDEX(p_rates,1))*INDEX(p_rates,1),2))+IF(INDEX(p_rates,2)="",0,ROUND(SUMIFS(dl_ht,dl_doc,A202,dl_rate,INDEX(p_rates,2))*INDEX(p_rates,2),2))+IF(INDEX(p_rates,3)="",0,ROUND(SUMIFS(dl_ht,dl_doc,A202,dl_rate,INDEX(p_rates,3))*INDEX(p_rates,3),2))+IF(INDEX(p_rates,4)="",0,ROUND(SUMIFS(dl_ht,dl_doc,A202,dl_rate,INDEX(p_rates,4))*INDEX(p_rates,4),2))+IF(INDEX(p_rates,5)="",0,ROUND(SUMIFS(dl_ht,dl_doc,A202,dl_rate,INDEX(p_rates,5))*INDEX(p_rates,5),2))+IF(INDEX(p_rates,6)="",0,ROUND(SUMIFS(dl_ht,dl_doc,A202,dl_rate,INDEX(p_rates,6))*INDEX(p_rates,6),2)))</f>
        <v/>
      </c>
      <c r="K202" s="65" t="str">
        <f>IF(A202="","",I202+J202)</f>
        <v/>
      </c>
      <c r="L202" s="59" t="str">
        <f>IF(A202="","",IFERROR(INDEX(fa_num,MATCH(A202,fa_dvkey,0))&amp;"",""))</f>
        <v/>
      </c>
      <c r="M202" s="59" t="str">
        <f>IF(A202="","",IF(G202="Annulé","Annulé",IF(L202&lt;&gt;"","Facturé",IF(G202="Accepté","Accepté",IF(G202="Refusé","Refusé",IF(p_asof&gt;H202,"Expiré","En attente"))))))</f>
        <v/>
      </c>
      <c r="N202" s="59" t="str">
        <f>IF(COUNTA(B202:C202,E202:G202)=0,"",IF(B202="","Date manquante",IF(NOT(ISNUMBER(B202)),"Date invalide",IF(C202="","Client manquant",IF(ISNA(MATCH(C202,cli_code,0)),"Client inconnu",IF(O202&lt;MAX($O$6:O201),"Date antérieure au devis précédent",IF(AND(ISNUMBER(F202),F202&lt;O202),"Validité antérieure à la date du devis",IF(AND(R202=0,G202&lt;&gt;"Annulé"),"Aucune ligne (feuille Lignes de devis)",IF(COUNTIFS(dl_doc,A202,dl_check,"&lt;&gt;OK")&gt;0,"Ligne(s) à corriger",IF(AND(L202&lt;&gt;"",OR(G202="Refusé",G202="Annulé")),"Devis refusé ou annulé mais facturé","OK"))))))))))</f>
        <v/>
      </c>
      <c r="O202" s="62">
        <f>IF(ISNUMBER(B202),B202,0)</f>
        <v>0.0</v>
      </c>
      <c r="P202" s="62" t="str">
        <f>IF(O202=0,"",YEAR(O202))</f>
        <v/>
      </c>
      <c r="Q202" s="62" t="str">
        <f>IF(P202="","",COUNTIF($P$6:P202,P202))</f>
        <v/>
      </c>
      <c r="R202" s="62">
        <f>IF(A202="",0,COUNTIF(dl_doc,A202))</f>
        <v>0.0</v>
      </c>
    </row>
    <row r="203">
      <c r="A203" s="59" t="str">
        <f>IF(Q203="","",p_pdv&amp;"-"&amp;P203&amp;"-"&amp;RIGHT("000"&amp;Q203,4))</f>
        <v/>
      </c>
      <c r="B203" s="61" t="n"/>
      <c r="C203" s="60" t="n"/>
      <c r="D203" s="62" t="str">
        <f>IF(C203="","",IFERROR(INDEX(cli_name,MATCH(C203,cli_code,0))&amp;"","Client inconnu"))</f>
        <v/>
      </c>
      <c r="E203" s="63" t="n"/>
      <c r="F203" s="61" t="n"/>
      <c r="G203" s="60" t="n"/>
      <c r="H203" s="64" t="str">
        <f>IF(A203="","",IF(ISNUMBER(F203),F203,O203+N(p_validity)))</f>
        <v/>
      </c>
      <c r="I203" s="65" t="str">
        <f>IF(A203="","",SUMIF(dl_doc,A203,dl_ht))</f>
        <v/>
      </c>
      <c r="J203" s="65" t="str">
        <f>IF(A203="","",IF(INDEX(p_rates,1)="",0,ROUND(SUMIFS(dl_ht,dl_doc,A203,dl_rate,INDEX(p_rates,1))*INDEX(p_rates,1),2))+IF(INDEX(p_rates,2)="",0,ROUND(SUMIFS(dl_ht,dl_doc,A203,dl_rate,INDEX(p_rates,2))*INDEX(p_rates,2),2))+IF(INDEX(p_rates,3)="",0,ROUND(SUMIFS(dl_ht,dl_doc,A203,dl_rate,INDEX(p_rates,3))*INDEX(p_rates,3),2))+IF(INDEX(p_rates,4)="",0,ROUND(SUMIFS(dl_ht,dl_doc,A203,dl_rate,INDEX(p_rates,4))*INDEX(p_rates,4),2))+IF(INDEX(p_rates,5)="",0,ROUND(SUMIFS(dl_ht,dl_doc,A203,dl_rate,INDEX(p_rates,5))*INDEX(p_rates,5),2))+IF(INDEX(p_rates,6)="",0,ROUND(SUMIFS(dl_ht,dl_doc,A203,dl_rate,INDEX(p_rates,6))*INDEX(p_rates,6),2)))</f>
        <v/>
      </c>
      <c r="K203" s="65" t="str">
        <f>IF(A203="","",I203+J203)</f>
        <v/>
      </c>
      <c r="L203" s="59" t="str">
        <f>IF(A203="","",IFERROR(INDEX(fa_num,MATCH(A203,fa_dvkey,0))&amp;"",""))</f>
        <v/>
      </c>
      <c r="M203" s="59" t="str">
        <f>IF(A203="","",IF(G203="Annulé","Annulé",IF(L203&lt;&gt;"","Facturé",IF(G203="Accepté","Accepté",IF(G203="Refusé","Refusé",IF(p_asof&gt;H203,"Expiré","En attente"))))))</f>
        <v/>
      </c>
      <c r="N203" s="59" t="str">
        <f>IF(COUNTA(B203:C203,E203:G203)=0,"",IF(B203="","Date manquante",IF(NOT(ISNUMBER(B203)),"Date invalide",IF(C203="","Client manquant",IF(ISNA(MATCH(C203,cli_code,0)),"Client inconnu",IF(O203&lt;MAX($O$6:O202),"Date antérieure au devis précédent",IF(AND(ISNUMBER(F203),F203&lt;O203),"Validité antérieure à la date du devis",IF(AND(R203=0,G203&lt;&gt;"Annulé"),"Aucune ligne (feuille Lignes de devis)",IF(COUNTIFS(dl_doc,A203,dl_check,"&lt;&gt;OK")&gt;0,"Ligne(s) à corriger",IF(AND(L203&lt;&gt;"",OR(G203="Refusé",G203="Annulé")),"Devis refusé ou annulé mais facturé","OK"))))))))))</f>
        <v/>
      </c>
      <c r="O203" s="62">
        <f>IF(ISNUMBER(B203),B203,0)</f>
        <v>0.0</v>
      </c>
      <c r="P203" s="62" t="str">
        <f>IF(O203=0,"",YEAR(O203))</f>
        <v/>
      </c>
      <c r="Q203" s="62" t="str">
        <f>IF(P203="","",COUNTIF($P$6:P203,P203))</f>
        <v/>
      </c>
      <c r="R203" s="62">
        <f>IF(A203="",0,COUNTIF(dl_doc,A203))</f>
        <v>0.0</v>
      </c>
    </row>
    <row r="204">
      <c r="A204" s="59" t="str">
        <f>IF(Q204="","",p_pdv&amp;"-"&amp;P204&amp;"-"&amp;RIGHT("000"&amp;Q204,4))</f>
        <v/>
      </c>
      <c r="B204" s="61" t="n"/>
      <c r="C204" s="60" t="n"/>
      <c r="D204" s="62" t="str">
        <f>IF(C204="","",IFERROR(INDEX(cli_name,MATCH(C204,cli_code,0))&amp;"","Client inconnu"))</f>
        <v/>
      </c>
      <c r="E204" s="63" t="n"/>
      <c r="F204" s="61" t="n"/>
      <c r="G204" s="60" t="n"/>
      <c r="H204" s="64" t="str">
        <f>IF(A204="","",IF(ISNUMBER(F204),F204,O204+N(p_validity)))</f>
        <v/>
      </c>
      <c r="I204" s="65" t="str">
        <f>IF(A204="","",SUMIF(dl_doc,A204,dl_ht))</f>
        <v/>
      </c>
      <c r="J204" s="65" t="str">
        <f>IF(A204="","",IF(INDEX(p_rates,1)="",0,ROUND(SUMIFS(dl_ht,dl_doc,A204,dl_rate,INDEX(p_rates,1))*INDEX(p_rates,1),2))+IF(INDEX(p_rates,2)="",0,ROUND(SUMIFS(dl_ht,dl_doc,A204,dl_rate,INDEX(p_rates,2))*INDEX(p_rates,2),2))+IF(INDEX(p_rates,3)="",0,ROUND(SUMIFS(dl_ht,dl_doc,A204,dl_rate,INDEX(p_rates,3))*INDEX(p_rates,3),2))+IF(INDEX(p_rates,4)="",0,ROUND(SUMIFS(dl_ht,dl_doc,A204,dl_rate,INDEX(p_rates,4))*INDEX(p_rates,4),2))+IF(INDEX(p_rates,5)="",0,ROUND(SUMIFS(dl_ht,dl_doc,A204,dl_rate,INDEX(p_rates,5))*INDEX(p_rates,5),2))+IF(INDEX(p_rates,6)="",0,ROUND(SUMIFS(dl_ht,dl_doc,A204,dl_rate,INDEX(p_rates,6))*INDEX(p_rates,6),2)))</f>
        <v/>
      </c>
      <c r="K204" s="65" t="str">
        <f>IF(A204="","",I204+J204)</f>
        <v/>
      </c>
      <c r="L204" s="59" t="str">
        <f>IF(A204="","",IFERROR(INDEX(fa_num,MATCH(A204,fa_dvkey,0))&amp;"",""))</f>
        <v/>
      </c>
      <c r="M204" s="59" t="str">
        <f>IF(A204="","",IF(G204="Annulé","Annulé",IF(L204&lt;&gt;"","Facturé",IF(G204="Accepté","Accepté",IF(G204="Refusé","Refusé",IF(p_asof&gt;H204,"Expiré","En attente"))))))</f>
        <v/>
      </c>
      <c r="N204" s="59" t="str">
        <f>IF(COUNTA(B204:C204,E204:G204)=0,"",IF(B204="","Date manquante",IF(NOT(ISNUMBER(B204)),"Date invalide",IF(C204="","Client manquant",IF(ISNA(MATCH(C204,cli_code,0)),"Client inconnu",IF(O204&lt;MAX($O$6:O203),"Date antérieure au devis précédent",IF(AND(ISNUMBER(F204),F204&lt;O204),"Validité antérieure à la date du devis",IF(AND(R204=0,G204&lt;&gt;"Annulé"),"Aucune ligne (feuille Lignes de devis)",IF(COUNTIFS(dl_doc,A204,dl_check,"&lt;&gt;OK")&gt;0,"Ligne(s) à corriger",IF(AND(L204&lt;&gt;"",OR(G204="Refusé",G204="Annulé")),"Devis refusé ou annulé mais facturé","OK"))))))))))</f>
        <v/>
      </c>
      <c r="O204" s="62">
        <f>IF(ISNUMBER(B204),B204,0)</f>
        <v>0.0</v>
      </c>
      <c r="P204" s="62" t="str">
        <f>IF(O204=0,"",YEAR(O204))</f>
        <v/>
      </c>
      <c r="Q204" s="62" t="str">
        <f>IF(P204="","",COUNTIF($P$6:P204,P204))</f>
        <v/>
      </c>
      <c r="R204" s="62">
        <f>IF(A204="",0,COUNTIF(dl_doc,A204))</f>
        <v>0.0</v>
      </c>
    </row>
    <row r="205">
      <c r="A205" s="59" t="str">
        <f>IF(Q205="","",p_pdv&amp;"-"&amp;P205&amp;"-"&amp;RIGHT("000"&amp;Q205,4))</f>
        <v/>
      </c>
      <c r="B205" s="61" t="n"/>
      <c r="C205" s="60" t="n"/>
      <c r="D205" s="62" t="str">
        <f>IF(C205="","",IFERROR(INDEX(cli_name,MATCH(C205,cli_code,0))&amp;"","Client inconnu"))</f>
        <v/>
      </c>
      <c r="E205" s="63" t="n"/>
      <c r="F205" s="61" t="n"/>
      <c r="G205" s="60" t="n"/>
      <c r="H205" s="64" t="str">
        <f>IF(A205="","",IF(ISNUMBER(F205),F205,O205+N(p_validity)))</f>
        <v/>
      </c>
      <c r="I205" s="65" t="str">
        <f>IF(A205="","",SUMIF(dl_doc,A205,dl_ht))</f>
        <v/>
      </c>
      <c r="J205" s="65" t="str">
        <f>IF(A205="","",IF(INDEX(p_rates,1)="",0,ROUND(SUMIFS(dl_ht,dl_doc,A205,dl_rate,INDEX(p_rates,1))*INDEX(p_rates,1),2))+IF(INDEX(p_rates,2)="",0,ROUND(SUMIFS(dl_ht,dl_doc,A205,dl_rate,INDEX(p_rates,2))*INDEX(p_rates,2),2))+IF(INDEX(p_rates,3)="",0,ROUND(SUMIFS(dl_ht,dl_doc,A205,dl_rate,INDEX(p_rates,3))*INDEX(p_rates,3),2))+IF(INDEX(p_rates,4)="",0,ROUND(SUMIFS(dl_ht,dl_doc,A205,dl_rate,INDEX(p_rates,4))*INDEX(p_rates,4),2))+IF(INDEX(p_rates,5)="",0,ROUND(SUMIFS(dl_ht,dl_doc,A205,dl_rate,INDEX(p_rates,5))*INDEX(p_rates,5),2))+IF(INDEX(p_rates,6)="",0,ROUND(SUMIFS(dl_ht,dl_doc,A205,dl_rate,INDEX(p_rates,6))*INDEX(p_rates,6),2)))</f>
        <v/>
      </c>
      <c r="K205" s="65" t="str">
        <f>IF(A205="","",I205+J205)</f>
        <v/>
      </c>
      <c r="L205" s="59" t="str">
        <f>IF(A205="","",IFERROR(INDEX(fa_num,MATCH(A205,fa_dvkey,0))&amp;"",""))</f>
        <v/>
      </c>
      <c r="M205" s="59" t="str">
        <f>IF(A205="","",IF(G205="Annulé","Annulé",IF(L205&lt;&gt;"","Facturé",IF(G205="Accepté","Accepté",IF(G205="Refusé","Refusé",IF(p_asof&gt;H205,"Expiré","En attente"))))))</f>
        <v/>
      </c>
      <c r="N205" s="59" t="str">
        <f>IF(COUNTA(B205:C205,E205:G205)=0,"",IF(B205="","Date manquante",IF(NOT(ISNUMBER(B205)),"Date invalide",IF(C205="","Client manquant",IF(ISNA(MATCH(C205,cli_code,0)),"Client inconnu",IF(O205&lt;MAX($O$6:O204),"Date antérieure au devis précédent",IF(AND(ISNUMBER(F205),F205&lt;O205),"Validité antérieure à la date du devis",IF(AND(R205=0,G205&lt;&gt;"Annulé"),"Aucune ligne (feuille Lignes de devis)",IF(COUNTIFS(dl_doc,A205,dl_check,"&lt;&gt;OK")&gt;0,"Ligne(s) à corriger",IF(AND(L205&lt;&gt;"",OR(G205="Refusé",G205="Annulé")),"Devis refusé ou annulé mais facturé","OK"))))))))))</f>
        <v/>
      </c>
      <c r="O205" s="62">
        <f>IF(ISNUMBER(B205),B205,0)</f>
        <v>0.0</v>
      </c>
      <c r="P205" s="62" t="str">
        <f>IF(O205=0,"",YEAR(O205))</f>
        <v/>
      </c>
      <c r="Q205" s="62" t="str">
        <f>IF(P205="","",COUNTIF($P$6:P205,P205))</f>
        <v/>
      </c>
      <c r="R205" s="62">
        <f>IF(A205="",0,COUNTIF(dl_doc,A205))</f>
        <v>0.0</v>
      </c>
    </row>
    <row r="206">
      <c r="A206" s="59" t="str">
        <f>IF(Q206="","",p_pdv&amp;"-"&amp;P206&amp;"-"&amp;RIGHT("000"&amp;Q206,4))</f>
        <v/>
      </c>
      <c r="B206" s="61" t="n"/>
      <c r="C206" s="60" t="n"/>
      <c r="D206" s="62" t="str">
        <f>IF(C206="","",IFERROR(INDEX(cli_name,MATCH(C206,cli_code,0))&amp;"","Client inconnu"))</f>
        <v/>
      </c>
      <c r="E206" s="63" t="n"/>
      <c r="F206" s="61" t="n"/>
      <c r="G206" s="60" t="n"/>
      <c r="H206" s="64" t="str">
        <f>IF(A206="","",IF(ISNUMBER(F206),F206,O206+N(p_validity)))</f>
        <v/>
      </c>
      <c r="I206" s="65" t="str">
        <f>IF(A206="","",SUMIF(dl_doc,A206,dl_ht))</f>
        <v/>
      </c>
      <c r="J206" s="65" t="str">
        <f>IF(A206="","",IF(INDEX(p_rates,1)="",0,ROUND(SUMIFS(dl_ht,dl_doc,A206,dl_rate,INDEX(p_rates,1))*INDEX(p_rates,1),2))+IF(INDEX(p_rates,2)="",0,ROUND(SUMIFS(dl_ht,dl_doc,A206,dl_rate,INDEX(p_rates,2))*INDEX(p_rates,2),2))+IF(INDEX(p_rates,3)="",0,ROUND(SUMIFS(dl_ht,dl_doc,A206,dl_rate,INDEX(p_rates,3))*INDEX(p_rates,3),2))+IF(INDEX(p_rates,4)="",0,ROUND(SUMIFS(dl_ht,dl_doc,A206,dl_rate,INDEX(p_rates,4))*INDEX(p_rates,4),2))+IF(INDEX(p_rates,5)="",0,ROUND(SUMIFS(dl_ht,dl_doc,A206,dl_rate,INDEX(p_rates,5))*INDEX(p_rates,5),2))+IF(INDEX(p_rates,6)="",0,ROUND(SUMIFS(dl_ht,dl_doc,A206,dl_rate,INDEX(p_rates,6))*INDEX(p_rates,6),2)))</f>
        <v/>
      </c>
      <c r="K206" s="65" t="str">
        <f>IF(A206="","",I206+J206)</f>
        <v/>
      </c>
      <c r="L206" s="59" t="str">
        <f>IF(A206="","",IFERROR(INDEX(fa_num,MATCH(A206,fa_dvkey,0))&amp;"",""))</f>
        <v/>
      </c>
      <c r="M206" s="59" t="str">
        <f>IF(A206="","",IF(G206="Annulé","Annulé",IF(L206&lt;&gt;"","Facturé",IF(G206="Accepté","Accepté",IF(G206="Refusé","Refusé",IF(p_asof&gt;H206,"Expiré","En attente"))))))</f>
        <v/>
      </c>
      <c r="N206" s="59" t="str">
        <f>IF(COUNTA(B206:C206,E206:G206)=0,"",IF(B206="","Date manquante",IF(NOT(ISNUMBER(B206)),"Date invalide",IF(C206="","Client manquant",IF(ISNA(MATCH(C206,cli_code,0)),"Client inconnu",IF(O206&lt;MAX($O$6:O205),"Date antérieure au devis précédent",IF(AND(ISNUMBER(F206),F206&lt;O206),"Validité antérieure à la date du devis",IF(AND(R206=0,G206&lt;&gt;"Annulé"),"Aucune ligne (feuille Lignes de devis)",IF(COUNTIFS(dl_doc,A206,dl_check,"&lt;&gt;OK")&gt;0,"Ligne(s) à corriger",IF(AND(L206&lt;&gt;"",OR(G206="Refusé",G206="Annulé")),"Devis refusé ou annulé mais facturé","OK"))))))))))</f>
        <v/>
      </c>
      <c r="O206" s="62">
        <f>IF(ISNUMBER(B206),B206,0)</f>
        <v>0.0</v>
      </c>
      <c r="P206" s="62" t="str">
        <f>IF(O206=0,"",YEAR(O206))</f>
        <v/>
      </c>
      <c r="Q206" s="62" t="str">
        <f>IF(P206="","",COUNTIF($P$6:P206,P206))</f>
        <v/>
      </c>
      <c r="R206" s="62">
        <f>IF(A206="",0,COUNTIF(dl_doc,A206))</f>
        <v>0.0</v>
      </c>
    </row>
    <row r="207">
      <c r="A207" s="59" t="str">
        <f>IF(Q207="","",p_pdv&amp;"-"&amp;P207&amp;"-"&amp;RIGHT("000"&amp;Q207,4))</f>
        <v/>
      </c>
      <c r="B207" s="61" t="n"/>
      <c r="C207" s="60" t="n"/>
      <c r="D207" s="62" t="str">
        <f>IF(C207="","",IFERROR(INDEX(cli_name,MATCH(C207,cli_code,0))&amp;"","Client inconnu"))</f>
        <v/>
      </c>
      <c r="E207" s="63" t="n"/>
      <c r="F207" s="61" t="n"/>
      <c r="G207" s="60" t="n"/>
      <c r="H207" s="64" t="str">
        <f>IF(A207="","",IF(ISNUMBER(F207),F207,O207+N(p_validity)))</f>
        <v/>
      </c>
      <c r="I207" s="65" t="str">
        <f>IF(A207="","",SUMIF(dl_doc,A207,dl_ht))</f>
        <v/>
      </c>
      <c r="J207" s="65" t="str">
        <f>IF(A207="","",IF(INDEX(p_rates,1)="",0,ROUND(SUMIFS(dl_ht,dl_doc,A207,dl_rate,INDEX(p_rates,1))*INDEX(p_rates,1),2))+IF(INDEX(p_rates,2)="",0,ROUND(SUMIFS(dl_ht,dl_doc,A207,dl_rate,INDEX(p_rates,2))*INDEX(p_rates,2),2))+IF(INDEX(p_rates,3)="",0,ROUND(SUMIFS(dl_ht,dl_doc,A207,dl_rate,INDEX(p_rates,3))*INDEX(p_rates,3),2))+IF(INDEX(p_rates,4)="",0,ROUND(SUMIFS(dl_ht,dl_doc,A207,dl_rate,INDEX(p_rates,4))*INDEX(p_rates,4),2))+IF(INDEX(p_rates,5)="",0,ROUND(SUMIFS(dl_ht,dl_doc,A207,dl_rate,INDEX(p_rates,5))*INDEX(p_rates,5),2))+IF(INDEX(p_rates,6)="",0,ROUND(SUMIFS(dl_ht,dl_doc,A207,dl_rate,INDEX(p_rates,6))*INDEX(p_rates,6),2)))</f>
        <v/>
      </c>
      <c r="K207" s="65" t="str">
        <f>IF(A207="","",I207+J207)</f>
        <v/>
      </c>
      <c r="L207" s="59" t="str">
        <f>IF(A207="","",IFERROR(INDEX(fa_num,MATCH(A207,fa_dvkey,0))&amp;"",""))</f>
        <v/>
      </c>
      <c r="M207" s="59" t="str">
        <f>IF(A207="","",IF(G207="Annulé","Annulé",IF(L207&lt;&gt;"","Facturé",IF(G207="Accepté","Accepté",IF(G207="Refusé","Refusé",IF(p_asof&gt;H207,"Expiré","En attente"))))))</f>
        <v/>
      </c>
      <c r="N207" s="59" t="str">
        <f>IF(COUNTA(B207:C207,E207:G207)=0,"",IF(B207="","Date manquante",IF(NOT(ISNUMBER(B207)),"Date invalide",IF(C207="","Client manquant",IF(ISNA(MATCH(C207,cli_code,0)),"Client inconnu",IF(O207&lt;MAX($O$6:O206),"Date antérieure au devis précédent",IF(AND(ISNUMBER(F207),F207&lt;O207),"Validité antérieure à la date du devis",IF(AND(R207=0,G207&lt;&gt;"Annulé"),"Aucune ligne (feuille Lignes de devis)",IF(COUNTIFS(dl_doc,A207,dl_check,"&lt;&gt;OK")&gt;0,"Ligne(s) à corriger",IF(AND(L207&lt;&gt;"",OR(G207="Refusé",G207="Annulé")),"Devis refusé ou annulé mais facturé","OK"))))))))))</f>
        <v/>
      </c>
      <c r="O207" s="62">
        <f>IF(ISNUMBER(B207),B207,0)</f>
        <v>0.0</v>
      </c>
      <c r="P207" s="62" t="str">
        <f>IF(O207=0,"",YEAR(O207))</f>
        <v/>
      </c>
      <c r="Q207" s="62" t="str">
        <f>IF(P207="","",COUNTIF($P$6:P207,P207))</f>
        <v/>
      </c>
      <c r="R207" s="62">
        <f>IF(A207="",0,COUNTIF(dl_doc,A207))</f>
        <v>0.0</v>
      </c>
    </row>
    <row r="208">
      <c r="A208" s="59" t="str">
        <f>IF(Q208="","",p_pdv&amp;"-"&amp;P208&amp;"-"&amp;RIGHT("000"&amp;Q208,4))</f>
        <v/>
      </c>
      <c r="B208" s="61" t="n"/>
      <c r="C208" s="60" t="n"/>
      <c r="D208" s="62" t="str">
        <f>IF(C208="","",IFERROR(INDEX(cli_name,MATCH(C208,cli_code,0))&amp;"","Client inconnu"))</f>
        <v/>
      </c>
      <c r="E208" s="63" t="n"/>
      <c r="F208" s="61" t="n"/>
      <c r="G208" s="60" t="n"/>
      <c r="H208" s="64" t="str">
        <f>IF(A208="","",IF(ISNUMBER(F208),F208,O208+N(p_validity)))</f>
        <v/>
      </c>
      <c r="I208" s="65" t="str">
        <f>IF(A208="","",SUMIF(dl_doc,A208,dl_ht))</f>
        <v/>
      </c>
      <c r="J208" s="65" t="str">
        <f>IF(A208="","",IF(INDEX(p_rates,1)="",0,ROUND(SUMIFS(dl_ht,dl_doc,A208,dl_rate,INDEX(p_rates,1))*INDEX(p_rates,1),2))+IF(INDEX(p_rates,2)="",0,ROUND(SUMIFS(dl_ht,dl_doc,A208,dl_rate,INDEX(p_rates,2))*INDEX(p_rates,2),2))+IF(INDEX(p_rates,3)="",0,ROUND(SUMIFS(dl_ht,dl_doc,A208,dl_rate,INDEX(p_rates,3))*INDEX(p_rates,3),2))+IF(INDEX(p_rates,4)="",0,ROUND(SUMIFS(dl_ht,dl_doc,A208,dl_rate,INDEX(p_rates,4))*INDEX(p_rates,4),2))+IF(INDEX(p_rates,5)="",0,ROUND(SUMIFS(dl_ht,dl_doc,A208,dl_rate,INDEX(p_rates,5))*INDEX(p_rates,5),2))+IF(INDEX(p_rates,6)="",0,ROUND(SUMIFS(dl_ht,dl_doc,A208,dl_rate,INDEX(p_rates,6))*INDEX(p_rates,6),2)))</f>
        <v/>
      </c>
      <c r="K208" s="65" t="str">
        <f>IF(A208="","",I208+J208)</f>
        <v/>
      </c>
      <c r="L208" s="59" t="str">
        <f>IF(A208="","",IFERROR(INDEX(fa_num,MATCH(A208,fa_dvkey,0))&amp;"",""))</f>
        <v/>
      </c>
      <c r="M208" s="59" t="str">
        <f>IF(A208="","",IF(G208="Annulé","Annulé",IF(L208&lt;&gt;"","Facturé",IF(G208="Accepté","Accepté",IF(G208="Refusé","Refusé",IF(p_asof&gt;H208,"Expiré","En attente"))))))</f>
        <v/>
      </c>
      <c r="N208" s="59" t="str">
        <f>IF(COUNTA(B208:C208,E208:G208)=0,"",IF(B208="","Date manquante",IF(NOT(ISNUMBER(B208)),"Date invalide",IF(C208="","Client manquant",IF(ISNA(MATCH(C208,cli_code,0)),"Client inconnu",IF(O208&lt;MAX($O$6:O207),"Date antérieure au devis précédent",IF(AND(ISNUMBER(F208),F208&lt;O208),"Validité antérieure à la date du devis",IF(AND(R208=0,G208&lt;&gt;"Annulé"),"Aucune ligne (feuille Lignes de devis)",IF(COUNTIFS(dl_doc,A208,dl_check,"&lt;&gt;OK")&gt;0,"Ligne(s) à corriger",IF(AND(L208&lt;&gt;"",OR(G208="Refusé",G208="Annulé")),"Devis refusé ou annulé mais facturé","OK"))))))))))</f>
        <v/>
      </c>
      <c r="O208" s="62">
        <f>IF(ISNUMBER(B208),B208,0)</f>
        <v>0.0</v>
      </c>
      <c r="P208" s="62" t="str">
        <f>IF(O208=0,"",YEAR(O208))</f>
        <v/>
      </c>
      <c r="Q208" s="62" t="str">
        <f>IF(P208="","",COUNTIF($P$6:P208,P208))</f>
        <v/>
      </c>
      <c r="R208" s="62">
        <f>IF(A208="",0,COUNTIF(dl_doc,A208))</f>
        <v>0.0</v>
      </c>
    </row>
    <row r="209">
      <c r="A209" s="59" t="str">
        <f>IF(Q209="","",p_pdv&amp;"-"&amp;P209&amp;"-"&amp;RIGHT("000"&amp;Q209,4))</f>
        <v/>
      </c>
      <c r="B209" s="61" t="n"/>
      <c r="C209" s="60" t="n"/>
      <c r="D209" s="62" t="str">
        <f>IF(C209="","",IFERROR(INDEX(cli_name,MATCH(C209,cli_code,0))&amp;"","Client inconnu"))</f>
        <v/>
      </c>
      <c r="E209" s="63" t="n"/>
      <c r="F209" s="61" t="n"/>
      <c r="G209" s="60" t="n"/>
      <c r="H209" s="64" t="str">
        <f>IF(A209="","",IF(ISNUMBER(F209),F209,O209+N(p_validity)))</f>
        <v/>
      </c>
      <c r="I209" s="65" t="str">
        <f>IF(A209="","",SUMIF(dl_doc,A209,dl_ht))</f>
        <v/>
      </c>
      <c r="J209" s="65" t="str">
        <f>IF(A209="","",IF(INDEX(p_rates,1)="",0,ROUND(SUMIFS(dl_ht,dl_doc,A209,dl_rate,INDEX(p_rates,1))*INDEX(p_rates,1),2))+IF(INDEX(p_rates,2)="",0,ROUND(SUMIFS(dl_ht,dl_doc,A209,dl_rate,INDEX(p_rates,2))*INDEX(p_rates,2),2))+IF(INDEX(p_rates,3)="",0,ROUND(SUMIFS(dl_ht,dl_doc,A209,dl_rate,INDEX(p_rates,3))*INDEX(p_rates,3),2))+IF(INDEX(p_rates,4)="",0,ROUND(SUMIFS(dl_ht,dl_doc,A209,dl_rate,INDEX(p_rates,4))*INDEX(p_rates,4),2))+IF(INDEX(p_rates,5)="",0,ROUND(SUMIFS(dl_ht,dl_doc,A209,dl_rate,INDEX(p_rates,5))*INDEX(p_rates,5),2))+IF(INDEX(p_rates,6)="",0,ROUND(SUMIFS(dl_ht,dl_doc,A209,dl_rate,INDEX(p_rates,6))*INDEX(p_rates,6),2)))</f>
        <v/>
      </c>
      <c r="K209" s="65" t="str">
        <f>IF(A209="","",I209+J209)</f>
        <v/>
      </c>
      <c r="L209" s="59" t="str">
        <f>IF(A209="","",IFERROR(INDEX(fa_num,MATCH(A209,fa_dvkey,0))&amp;"",""))</f>
        <v/>
      </c>
      <c r="M209" s="59" t="str">
        <f>IF(A209="","",IF(G209="Annulé","Annulé",IF(L209&lt;&gt;"","Facturé",IF(G209="Accepté","Accepté",IF(G209="Refusé","Refusé",IF(p_asof&gt;H209,"Expiré","En attente"))))))</f>
        <v/>
      </c>
      <c r="N209" s="59" t="str">
        <f>IF(COUNTA(B209:C209,E209:G209)=0,"",IF(B209="","Date manquante",IF(NOT(ISNUMBER(B209)),"Date invalide",IF(C209="","Client manquant",IF(ISNA(MATCH(C209,cli_code,0)),"Client inconnu",IF(O209&lt;MAX($O$6:O208),"Date antérieure au devis précédent",IF(AND(ISNUMBER(F209),F209&lt;O209),"Validité antérieure à la date du devis",IF(AND(R209=0,G209&lt;&gt;"Annulé"),"Aucune ligne (feuille Lignes de devis)",IF(COUNTIFS(dl_doc,A209,dl_check,"&lt;&gt;OK")&gt;0,"Ligne(s) à corriger",IF(AND(L209&lt;&gt;"",OR(G209="Refusé",G209="Annulé")),"Devis refusé ou annulé mais facturé","OK"))))))))))</f>
        <v/>
      </c>
      <c r="O209" s="62">
        <f>IF(ISNUMBER(B209),B209,0)</f>
        <v>0.0</v>
      </c>
      <c r="P209" s="62" t="str">
        <f>IF(O209=0,"",YEAR(O209))</f>
        <v/>
      </c>
      <c r="Q209" s="62" t="str">
        <f>IF(P209="","",COUNTIF($P$6:P209,P209))</f>
        <v/>
      </c>
      <c r="R209" s="62">
        <f>IF(A209="",0,COUNTIF(dl_doc,A209))</f>
        <v>0.0</v>
      </c>
    </row>
    <row r="210">
      <c r="A210" s="59" t="str">
        <f>IF(Q210="","",p_pdv&amp;"-"&amp;P210&amp;"-"&amp;RIGHT("000"&amp;Q210,4))</f>
        <v/>
      </c>
      <c r="B210" s="61" t="n"/>
      <c r="C210" s="60" t="n"/>
      <c r="D210" s="62" t="str">
        <f>IF(C210="","",IFERROR(INDEX(cli_name,MATCH(C210,cli_code,0))&amp;"","Client inconnu"))</f>
        <v/>
      </c>
      <c r="E210" s="63" t="n"/>
      <c r="F210" s="61" t="n"/>
      <c r="G210" s="60" t="n"/>
      <c r="H210" s="64" t="str">
        <f>IF(A210="","",IF(ISNUMBER(F210),F210,O210+N(p_validity)))</f>
        <v/>
      </c>
      <c r="I210" s="65" t="str">
        <f>IF(A210="","",SUMIF(dl_doc,A210,dl_ht))</f>
        <v/>
      </c>
      <c r="J210" s="65" t="str">
        <f>IF(A210="","",IF(INDEX(p_rates,1)="",0,ROUND(SUMIFS(dl_ht,dl_doc,A210,dl_rate,INDEX(p_rates,1))*INDEX(p_rates,1),2))+IF(INDEX(p_rates,2)="",0,ROUND(SUMIFS(dl_ht,dl_doc,A210,dl_rate,INDEX(p_rates,2))*INDEX(p_rates,2),2))+IF(INDEX(p_rates,3)="",0,ROUND(SUMIFS(dl_ht,dl_doc,A210,dl_rate,INDEX(p_rates,3))*INDEX(p_rates,3),2))+IF(INDEX(p_rates,4)="",0,ROUND(SUMIFS(dl_ht,dl_doc,A210,dl_rate,INDEX(p_rates,4))*INDEX(p_rates,4),2))+IF(INDEX(p_rates,5)="",0,ROUND(SUMIFS(dl_ht,dl_doc,A210,dl_rate,INDEX(p_rates,5))*INDEX(p_rates,5),2))+IF(INDEX(p_rates,6)="",0,ROUND(SUMIFS(dl_ht,dl_doc,A210,dl_rate,INDEX(p_rates,6))*INDEX(p_rates,6),2)))</f>
        <v/>
      </c>
      <c r="K210" s="65" t="str">
        <f>IF(A210="","",I210+J210)</f>
        <v/>
      </c>
      <c r="L210" s="59" t="str">
        <f>IF(A210="","",IFERROR(INDEX(fa_num,MATCH(A210,fa_dvkey,0))&amp;"",""))</f>
        <v/>
      </c>
      <c r="M210" s="59" t="str">
        <f>IF(A210="","",IF(G210="Annulé","Annulé",IF(L210&lt;&gt;"","Facturé",IF(G210="Accepté","Accepté",IF(G210="Refusé","Refusé",IF(p_asof&gt;H210,"Expiré","En attente"))))))</f>
        <v/>
      </c>
      <c r="N210" s="59" t="str">
        <f>IF(COUNTA(B210:C210,E210:G210)=0,"",IF(B210="","Date manquante",IF(NOT(ISNUMBER(B210)),"Date invalide",IF(C210="","Client manquant",IF(ISNA(MATCH(C210,cli_code,0)),"Client inconnu",IF(O210&lt;MAX($O$6:O209),"Date antérieure au devis précédent",IF(AND(ISNUMBER(F210),F210&lt;O210),"Validité antérieure à la date du devis",IF(AND(R210=0,G210&lt;&gt;"Annulé"),"Aucune ligne (feuille Lignes de devis)",IF(COUNTIFS(dl_doc,A210,dl_check,"&lt;&gt;OK")&gt;0,"Ligne(s) à corriger",IF(AND(L210&lt;&gt;"",OR(G210="Refusé",G210="Annulé")),"Devis refusé ou annulé mais facturé","OK"))))))))))</f>
        <v/>
      </c>
      <c r="O210" s="62">
        <f>IF(ISNUMBER(B210),B210,0)</f>
        <v>0.0</v>
      </c>
      <c r="P210" s="62" t="str">
        <f>IF(O210=0,"",YEAR(O210))</f>
        <v/>
      </c>
      <c r="Q210" s="62" t="str">
        <f>IF(P210="","",COUNTIF($P$6:P210,P210))</f>
        <v/>
      </c>
      <c r="R210" s="62">
        <f>IF(A210="",0,COUNTIF(dl_doc,A210))</f>
        <v>0.0</v>
      </c>
    </row>
    <row r="211">
      <c r="A211" s="59" t="str">
        <f>IF(Q211="","",p_pdv&amp;"-"&amp;P211&amp;"-"&amp;RIGHT("000"&amp;Q211,4))</f>
        <v/>
      </c>
      <c r="B211" s="61" t="n"/>
      <c r="C211" s="60" t="n"/>
      <c r="D211" s="62" t="str">
        <f>IF(C211="","",IFERROR(INDEX(cli_name,MATCH(C211,cli_code,0))&amp;"","Client inconnu"))</f>
        <v/>
      </c>
      <c r="E211" s="63" t="n"/>
      <c r="F211" s="61" t="n"/>
      <c r="G211" s="60" t="n"/>
      <c r="H211" s="64" t="str">
        <f>IF(A211="","",IF(ISNUMBER(F211),F211,O211+N(p_validity)))</f>
        <v/>
      </c>
      <c r="I211" s="65" t="str">
        <f>IF(A211="","",SUMIF(dl_doc,A211,dl_ht))</f>
        <v/>
      </c>
      <c r="J211" s="65" t="str">
        <f>IF(A211="","",IF(INDEX(p_rates,1)="",0,ROUND(SUMIFS(dl_ht,dl_doc,A211,dl_rate,INDEX(p_rates,1))*INDEX(p_rates,1),2))+IF(INDEX(p_rates,2)="",0,ROUND(SUMIFS(dl_ht,dl_doc,A211,dl_rate,INDEX(p_rates,2))*INDEX(p_rates,2),2))+IF(INDEX(p_rates,3)="",0,ROUND(SUMIFS(dl_ht,dl_doc,A211,dl_rate,INDEX(p_rates,3))*INDEX(p_rates,3),2))+IF(INDEX(p_rates,4)="",0,ROUND(SUMIFS(dl_ht,dl_doc,A211,dl_rate,INDEX(p_rates,4))*INDEX(p_rates,4),2))+IF(INDEX(p_rates,5)="",0,ROUND(SUMIFS(dl_ht,dl_doc,A211,dl_rate,INDEX(p_rates,5))*INDEX(p_rates,5),2))+IF(INDEX(p_rates,6)="",0,ROUND(SUMIFS(dl_ht,dl_doc,A211,dl_rate,INDEX(p_rates,6))*INDEX(p_rates,6),2)))</f>
        <v/>
      </c>
      <c r="K211" s="65" t="str">
        <f>IF(A211="","",I211+J211)</f>
        <v/>
      </c>
      <c r="L211" s="59" t="str">
        <f>IF(A211="","",IFERROR(INDEX(fa_num,MATCH(A211,fa_dvkey,0))&amp;"",""))</f>
        <v/>
      </c>
      <c r="M211" s="59" t="str">
        <f>IF(A211="","",IF(G211="Annulé","Annulé",IF(L211&lt;&gt;"","Facturé",IF(G211="Accepté","Accepté",IF(G211="Refusé","Refusé",IF(p_asof&gt;H211,"Expiré","En attente"))))))</f>
        <v/>
      </c>
      <c r="N211" s="59" t="str">
        <f>IF(COUNTA(B211:C211,E211:G211)=0,"",IF(B211="","Date manquante",IF(NOT(ISNUMBER(B211)),"Date invalide",IF(C211="","Client manquant",IF(ISNA(MATCH(C211,cli_code,0)),"Client inconnu",IF(O211&lt;MAX($O$6:O210),"Date antérieure au devis précédent",IF(AND(ISNUMBER(F211),F211&lt;O211),"Validité antérieure à la date du devis",IF(AND(R211=0,G211&lt;&gt;"Annulé"),"Aucune ligne (feuille Lignes de devis)",IF(COUNTIFS(dl_doc,A211,dl_check,"&lt;&gt;OK")&gt;0,"Ligne(s) à corriger",IF(AND(L211&lt;&gt;"",OR(G211="Refusé",G211="Annulé")),"Devis refusé ou annulé mais facturé","OK"))))))))))</f>
        <v/>
      </c>
      <c r="O211" s="62">
        <f>IF(ISNUMBER(B211),B211,0)</f>
        <v>0.0</v>
      </c>
      <c r="P211" s="62" t="str">
        <f>IF(O211=0,"",YEAR(O211))</f>
        <v/>
      </c>
      <c r="Q211" s="62" t="str">
        <f>IF(P211="","",COUNTIF($P$6:P211,P211))</f>
        <v/>
      </c>
      <c r="R211" s="62">
        <f>IF(A211="",0,COUNTIF(dl_doc,A211))</f>
        <v>0.0</v>
      </c>
    </row>
    <row r="212">
      <c r="A212" s="59" t="str">
        <f>IF(Q212="","",p_pdv&amp;"-"&amp;P212&amp;"-"&amp;RIGHT("000"&amp;Q212,4))</f>
        <v/>
      </c>
      <c r="B212" s="61" t="n"/>
      <c r="C212" s="60" t="n"/>
      <c r="D212" s="62" t="str">
        <f>IF(C212="","",IFERROR(INDEX(cli_name,MATCH(C212,cli_code,0))&amp;"","Client inconnu"))</f>
        <v/>
      </c>
      <c r="E212" s="63" t="n"/>
      <c r="F212" s="61" t="n"/>
      <c r="G212" s="60" t="n"/>
      <c r="H212" s="64" t="str">
        <f>IF(A212="","",IF(ISNUMBER(F212),F212,O212+N(p_validity)))</f>
        <v/>
      </c>
      <c r="I212" s="65" t="str">
        <f>IF(A212="","",SUMIF(dl_doc,A212,dl_ht))</f>
        <v/>
      </c>
      <c r="J212" s="65" t="str">
        <f>IF(A212="","",IF(INDEX(p_rates,1)="",0,ROUND(SUMIFS(dl_ht,dl_doc,A212,dl_rate,INDEX(p_rates,1))*INDEX(p_rates,1),2))+IF(INDEX(p_rates,2)="",0,ROUND(SUMIFS(dl_ht,dl_doc,A212,dl_rate,INDEX(p_rates,2))*INDEX(p_rates,2),2))+IF(INDEX(p_rates,3)="",0,ROUND(SUMIFS(dl_ht,dl_doc,A212,dl_rate,INDEX(p_rates,3))*INDEX(p_rates,3),2))+IF(INDEX(p_rates,4)="",0,ROUND(SUMIFS(dl_ht,dl_doc,A212,dl_rate,INDEX(p_rates,4))*INDEX(p_rates,4),2))+IF(INDEX(p_rates,5)="",0,ROUND(SUMIFS(dl_ht,dl_doc,A212,dl_rate,INDEX(p_rates,5))*INDEX(p_rates,5),2))+IF(INDEX(p_rates,6)="",0,ROUND(SUMIFS(dl_ht,dl_doc,A212,dl_rate,INDEX(p_rates,6))*INDEX(p_rates,6),2)))</f>
        <v/>
      </c>
      <c r="K212" s="65" t="str">
        <f>IF(A212="","",I212+J212)</f>
        <v/>
      </c>
      <c r="L212" s="59" t="str">
        <f>IF(A212="","",IFERROR(INDEX(fa_num,MATCH(A212,fa_dvkey,0))&amp;"",""))</f>
        <v/>
      </c>
      <c r="M212" s="59" t="str">
        <f>IF(A212="","",IF(G212="Annulé","Annulé",IF(L212&lt;&gt;"","Facturé",IF(G212="Accepté","Accepté",IF(G212="Refusé","Refusé",IF(p_asof&gt;H212,"Expiré","En attente"))))))</f>
        <v/>
      </c>
      <c r="N212" s="59" t="str">
        <f>IF(COUNTA(B212:C212,E212:G212)=0,"",IF(B212="","Date manquante",IF(NOT(ISNUMBER(B212)),"Date invalide",IF(C212="","Client manquant",IF(ISNA(MATCH(C212,cli_code,0)),"Client inconnu",IF(O212&lt;MAX($O$6:O211),"Date antérieure au devis précédent",IF(AND(ISNUMBER(F212),F212&lt;O212),"Validité antérieure à la date du devis",IF(AND(R212=0,G212&lt;&gt;"Annulé"),"Aucune ligne (feuille Lignes de devis)",IF(COUNTIFS(dl_doc,A212,dl_check,"&lt;&gt;OK")&gt;0,"Ligne(s) à corriger",IF(AND(L212&lt;&gt;"",OR(G212="Refusé",G212="Annulé")),"Devis refusé ou annulé mais facturé","OK"))))))))))</f>
        <v/>
      </c>
      <c r="O212" s="62">
        <f>IF(ISNUMBER(B212),B212,0)</f>
        <v>0.0</v>
      </c>
      <c r="P212" s="62" t="str">
        <f>IF(O212=0,"",YEAR(O212))</f>
        <v/>
      </c>
      <c r="Q212" s="62" t="str">
        <f>IF(P212="","",COUNTIF($P$6:P212,P212))</f>
        <v/>
      </c>
      <c r="R212" s="62">
        <f>IF(A212="",0,COUNTIF(dl_doc,A212))</f>
        <v>0.0</v>
      </c>
    </row>
    <row r="213">
      <c r="A213" s="59" t="str">
        <f>IF(Q213="","",p_pdv&amp;"-"&amp;P213&amp;"-"&amp;RIGHT("000"&amp;Q213,4))</f>
        <v/>
      </c>
      <c r="B213" s="61" t="n"/>
      <c r="C213" s="60" t="n"/>
      <c r="D213" s="62" t="str">
        <f>IF(C213="","",IFERROR(INDEX(cli_name,MATCH(C213,cli_code,0))&amp;"","Client inconnu"))</f>
        <v/>
      </c>
      <c r="E213" s="63" t="n"/>
      <c r="F213" s="61" t="n"/>
      <c r="G213" s="60" t="n"/>
      <c r="H213" s="64" t="str">
        <f>IF(A213="","",IF(ISNUMBER(F213),F213,O213+N(p_validity)))</f>
        <v/>
      </c>
      <c r="I213" s="65" t="str">
        <f>IF(A213="","",SUMIF(dl_doc,A213,dl_ht))</f>
        <v/>
      </c>
      <c r="J213" s="65" t="str">
        <f>IF(A213="","",IF(INDEX(p_rates,1)="",0,ROUND(SUMIFS(dl_ht,dl_doc,A213,dl_rate,INDEX(p_rates,1))*INDEX(p_rates,1),2))+IF(INDEX(p_rates,2)="",0,ROUND(SUMIFS(dl_ht,dl_doc,A213,dl_rate,INDEX(p_rates,2))*INDEX(p_rates,2),2))+IF(INDEX(p_rates,3)="",0,ROUND(SUMIFS(dl_ht,dl_doc,A213,dl_rate,INDEX(p_rates,3))*INDEX(p_rates,3),2))+IF(INDEX(p_rates,4)="",0,ROUND(SUMIFS(dl_ht,dl_doc,A213,dl_rate,INDEX(p_rates,4))*INDEX(p_rates,4),2))+IF(INDEX(p_rates,5)="",0,ROUND(SUMIFS(dl_ht,dl_doc,A213,dl_rate,INDEX(p_rates,5))*INDEX(p_rates,5),2))+IF(INDEX(p_rates,6)="",0,ROUND(SUMIFS(dl_ht,dl_doc,A213,dl_rate,INDEX(p_rates,6))*INDEX(p_rates,6),2)))</f>
        <v/>
      </c>
      <c r="K213" s="65" t="str">
        <f>IF(A213="","",I213+J213)</f>
        <v/>
      </c>
      <c r="L213" s="59" t="str">
        <f>IF(A213="","",IFERROR(INDEX(fa_num,MATCH(A213,fa_dvkey,0))&amp;"",""))</f>
        <v/>
      </c>
      <c r="M213" s="59" t="str">
        <f>IF(A213="","",IF(G213="Annulé","Annulé",IF(L213&lt;&gt;"","Facturé",IF(G213="Accepté","Accepté",IF(G213="Refusé","Refusé",IF(p_asof&gt;H213,"Expiré","En attente"))))))</f>
        <v/>
      </c>
      <c r="N213" s="59" t="str">
        <f>IF(COUNTA(B213:C213,E213:G213)=0,"",IF(B213="","Date manquante",IF(NOT(ISNUMBER(B213)),"Date invalide",IF(C213="","Client manquant",IF(ISNA(MATCH(C213,cli_code,0)),"Client inconnu",IF(O213&lt;MAX($O$6:O212),"Date antérieure au devis précédent",IF(AND(ISNUMBER(F213),F213&lt;O213),"Validité antérieure à la date du devis",IF(AND(R213=0,G213&lt;&gt;"Annulé"),"Aucune ligne (feuille Lignes de devis)",IF(COUNTIFS(dl_doc,A213,dl_check,"&lt;&gt;OK")&gt;0,"Ligne(s) à corriger",IF(AND(L213&lt;&gt;"",OR(G213="Refusé",G213="Annulé")),"Devis refusé ou annulé mais facturé","OK"))))))))))</f>
        <v/>
      </c>
      <c r="O213" s="62">
        <f>IF(ISNUMBER(B213),B213,0)</f>
        <v>0.0</v>
      </c>
      <c r="P213" s="62" t="str">
        <f>IF(O213=0,"",YEAR(O213))</f>
        <v/>
      </c>
      <c r="Q213" s="62" t="str">
        <f>IF(P213="","",COUNTIF($P$6:P213,P213))</f>
        <v/>
      </c>
      <c r="R213" s="62">
        <f>IF(A213="",0,COUNTIF(dl_doc,A213))</f>
        <v>0.0</v>
      </c>
    </row>
    <row r="214">
      <c r="A214" s="59" t="str">
        <f>IF(Q214="","",p_pdv&amp;"-"&amp;P214&amp;"-"&amp;RIGHT("000"&amp;Q214,4))</f>
        <v/>
      </c>
      <c r="B214" s="61" t="n"/>
      <c r="C214" s="60" t="n"/>
      <c r="D214" s="62" t="str">
        <f>IF(C214="","",IFERROR(INDEX(cli_name,MATCH(C214,cli_code,0))&amp;"","Client inconnu"))</f>
        <v/>
      </c>
      <c r="E214" s="63" t="n"/>
      <c r="F214" s="61" t="n"/>
      <c r="G214" s="60" t="n"/>
      <c r="H214" s="64" t="str">
        <f>IF(A214="","",IF(ISNUMBER(F214),F214,O214+N(p_validity)))</f>
        <v/>
      </c>
      <c r="I214" s="65" t="str">
        <f>IF(A214="","",SUMIF(dl_doc,A214,dl_ht))</f>
        <v/>
      </c>
      <c r="J214" s="65" t="str">
        <f>IF(A214="","",IF(INDEX(p_rates,1)="",0,ROUND(SUMIFS(dl_ht,dl_doc,A214,dl_rate,INDEX(p_rates,1))*INDEX(p_rates,1),2))+IF(INDEX(p_rates,2)="",0,ROUND(SUMIFS(dl_ht,dl_doc,A214,dl_rate,INDEX(p_rates,2))*INDEX(p_rates,2),2))+IF(INDEX(p_rates,3)="",0,ROUND(SUMIFS(dl_ht,dl_doc,A214,dl_rate,INDEX(p_rates,3))*INDEX(p_rates,3),2))+IF(INDEX(p_rates,4)="",0,ROUND(SUMIFS(dl_ht,dl_doc,A214,dl_rate,INDEX(p_rates,4))*INDEX(p_rates,4),2))+IF(INDEX(p_rates,5)="",0,ROUND(SUMIFS(dl_ht,dl_doc,A214,dl_rate,INDEX(p_rates,5))*INDEX(p_rates,5),2))+IF(INDEX(p_rates,6)="",0,ROUND(SUMIFS(dl_ht,dl_doc,A214,dl_rate,INDEX(p_rates,6))*INDEX(p_rates,6),2)))</f>
        <v/>
      </c>
      <c r="K214" s="65" t="str">
        <f>IF(A214="","",I214+J214)</f>
        <v/>
      </c>
      <c r="L214" s="59" t="str">
        <f>IF(A214="","",IFERROR(INDEX(fa_num,MATCH(A214,fa_dvkey,0))&amp;"",""))</f>
        <v/>
      </c>
      <c r="M214" s="59" t="str">
        <f>IF(A214="","",IF(G214="Annulé","Annulé",IF(L214&lt;&gt;"","Facturé",IF(G214="Accepté","Accepté",IF(G214="Refusé","Refusé",IF(p_asof&gt;H214,"Expiré","En attente"))))))</f>
        <v/>
      </c>
      <c r="N214" s="59" t="str">
        <f>IF(COUNTA(B214:C214,E214:G214)=0,"",IF(B214="","Date manquante",IF(NOT(ISNUMBER(B214)),"Date invalide",IF(C214="","Client manquant",IF(ISNA(MATCH(C214,cli_code,0)),"Client inconnu",IF(O214&lt;MAX($O$6:O213),"Date antérieure au devis précédent",IF(AND(ISNUMBER(F214),F214&lt;O214),"Validité antérieure à la date du devis",IF(AND(R214=0,G214&lt;&gt;"Annulé"),"Aucune ligne (feuille Lignes de devis)",IF(COUNTIFS(dl_doc,A214,dl_check,"&lt;&gt;OK")&gt;0,"Ligne(s) à corriger",IF(AND(L214&lt;&gt;"",OR(G214="Refusé",G214="Annulé")),"Devis refusé ou annulé mais facturé","OK"))))))))))</f>
        <v/>
      </c>
      <c r="O214" s="62">
        <f>IF(ISNUMBER(B214),B214,0)</f>
        <v>0.0</v>
      </c>
      <c r="P214" s="62" t="str">
        <f>IF(O214=0,"",YEAR(O214))</f>
        <v/>
      </c>
      <c r="Q214" s="62" t="str">
        <f>IF(P214="","",COUNTIF($P$6:P214,P214))</f>
        <v/>
      </c>
      <c r="R214" s="62">
        <f>IF(A214="",0,COUNTIF(dl_doc,A214))</f>
        <v>0.0</v>
      </c>
    </row>
    <row r="215">
      <c r="A215" s="59" t="str">
        <f>IF(Q215="","",p_pdv&amp;"-"&amp;P215&amp;"-"&amp;RIGHT("000"&amp;Q215,4))</f>
        <v/>
      </c>
      <c r="B215" s="61" t="n"/>
      <c r="C215" s="60" t="n"/>
      <c r="D215" s="62" t="str">
        <f>IF(C215="","",IFERROR(INDEX(cli_name,MATCH(C215,cli_code,0))&amp;"","Client inconnu"))</f>
        <v/>
      </c>
      <c r="E215" s="63" t="n"/>
      <c r="F215" s="61" t="n"/>
      <c r="G215" s="60" t="n"/>
      <c r="H215" s="64" t="str">
        <f>IF(A215="","",IF(ISNUMBER(F215),F215,O215+N(p_validity)))</f>
        <v/>
      </c>
      <c r="I215" s="65" t="str">
        <f>IF(A215="","",SUMIF(dl_doc,A215,dl_ht))</f>
        <v/>
      </c>
      <c r="J215" s="65" t="str">
        <f>IF(A215="","",IF(INDEX(p_rates,1)="",0,ROUND(SUMIFS(dl_ht,dl_doc,A215,dl_rate,INDEX(p_rates,1))*INDEX(p_rates,1),2))+IF(INDEX(p_rates,2)="",0,ROUND(SUMIFS(dl_ht,dl_doc,A215,dl_rate,INDEX(p_rates,2))*INDEX(p_rates,2),2))+IF(INDEX(p_rates,3)="",0,ROUND(SUMIFS(dl_ht,dl_doc,A215,dl_rate,INDEX(p_rates,3))*INDEX(p_rates,3),2))+IF(INDEX(p_rates,4)="",0,ROUND(SUMIFS(dl_ht,dl_doc,A215,dl_rate,INDEX(p_rates,4))*INDEX(p_rates,4),2))+IF(INDEX(p_rates,5)="",0,ROUND(SUMIFS(dl_ht,dl_doc,A215,dl_rate,INDEX(p_rates,5))*INDEX(p_rates,5),2))+IF(INDEX(p_rates,6)="",0,ROUND(SUMIFS(dl_ht,dl_doc,A215,dl_rate,INDEX(p_rates,6))*INDEX(p_rates,6),2)))</f>
        <v/>
      </c>
      <c r="K215" s="65" t="str">
        <f>IF(A215="","",I215+J215)</f>
        <v/>
      </c>
      <c r="L215" s="59" t="str">
        <f>IF(A215="","",IFERROR(INDEX(fa_num,MATCH(A215,fa_dvkey,0))&amp;"",""))</f>
        <v/>
      </c>
      <c r="M215" s="59" t="str">
        <f>IF(A215="","",IF(G215="Annulé","Annulé",IF(L215&lt;&gt;"","Facturé",IF(G215="Accepté","Accepté",IF(G215="Refusé","Refusé",IF(p_asof&gt;H215,"Expiré","En attente"))))))</f>
        <v/>
      </c>
      <c r="N215" s="59" t="str">
        <f>IF(COUNTA(B215:C215,E215:G215)=0,"",IF(B215="","Date manquante",IF(NOT(ISNUMBER(B215)),"Date invalide",IF(C215="","Client manquant",IF(ISNA(MATCH(C215,cli_code,0)),"Client inconnu",IF(O215&lt;MAX($O$6:O214),"Date antérieure au devis précédent",IF(AND(ISNUMBER(F215),F215&lt;O215),"Validité antérieure à la date du devis",IF(AND(R215=0,G215&lt;&gt;"Annulé"),"Aucune ligne (feuille Lignes de devis)",IF(COUNTIFS(dl_doc,A215,dl_check,"&lt;&gt;OK")&gt;0,"Ligne(s) à corriger",IF(AND(L215&lt;&gt;"",OR(G215="Refusé",G215="Annulé")),"Devis refusé ou annulé mais facturé","OK"))))))))))</f>
        <v/>
      </c>
      <c r="O215" s="62">
        <f>IF(ISNUMBER(B215),B215,0)</f>
        <v>0.0</v>
      </c>
      <c r="P215" s="62" t="str">
        <f>IF(O215=0,"",YEAR(O215))</f>
        <v/>
      </c>
      <c r="Q215" s="62" t="str">
        <f>IF(P215="","",COUNTIF($P$6:P215,P215))</f>
        <v/>
      </c>
      <c r="R215" s="62">
        <f>IF(A215="",0,COUNTIF(dl_doc,A215))</f>
        <v>0.0</v>
      </c>
    </row>
    <row r="216">
      <c r="A216" s="59" t="str">
        <f>IF(Q216="","",p_pdv&amp;"-"&amp;P216&amp;"-"&amp;RIGHT("000"&amp;Q216,4))</f>
        <v/>
      </c>
      <c r="B216" s="61" t="n"/>
      <c r="C216" s="60" t="n"/>
      <c r="D216" s="62" t="str">
        <f>IF(C216="","",IFERROR(INDEX(cli_name,MATCH(C216,cli_code,0))&amp;"","Client inconnu"))</f>
        <v/>
      </c>
      <c r="E216" s="63" t="n"/>
      <c r="F216" s="61" t="n"/>
      <c r="G216" s="60" t="n"/>
      <c r="H216" s="64" t="str">
        <f>IF(A216="","",IF(ISNUMBER(F216),F216,O216+N(p_validity)))</f>
        <v/>
      </c>
      <c r="I216" s="65" t="str">
        <f>IF(A216="","",SUMIF(dl_doc,A216,dl_ht))</f>
        <v/>
      </c>
      <c r="J216" s="65" t="str">
        <f>IF(A216="","",IF(INDEX(p_rates,1)="",0,ROUND(SUMIFS(dl_ht,dl_doc,A216,dl_rate,INDEX(p_rates,1))*INDEX(p_rates,1),2))+IF(INDEX(p_rates,2)="",0,ROUND(SUMIFS(dl_ht,dl_doc,A216,dl_rate,INDEX(p_rates,2))*INDEX(p_rates,2),2))+IF(INDEX(p_rates,3)="",0,ROUND(SUMIFS(dl_ht,dl_doc,A216,dl_rate,INDEX(p_rates,3))*INDEX(p_rates,3),2))+IF(INDEX(p_rates,4)="",0,ROUND(SUMIFS(dl_ht,dl_doc,A216,dl_rate,INDEX(p_rates,4))*INDEX(p_rates,4),2))+IF(INDEX(p_rates,5)="",0,ROUND(SUMIFS(dl_ht,dl_doc,A216,dl_rate,INDEX(p_rates,5))*INDEX(p_rates,5),2))+IF(INDEX(p_rates,6)="",0,ROUND(SUMIFS(dl_ht,dl_doc,A216,dl_rate,INDEX(p_rates,6))*INDEX(p_rates,6),2)))</f>
        <v/>
      </c>
      <c r="K216" s="65" t="str">
        <f>IF(A216="","",I216+J216)</f>
        <v/>
      </c>
      <c r="L216" s="59" t="str">
        <f>IF(A216="","",IFERROR(INDEX(fa_num,MATCH(A216,fa_dvkey,0))&amp;"",""))</f>
        <v/>
      </c>
      <c r="M216" s="59" t="str">
        <f>IF(A216="","",IF(G216="Annulé","Annulé",IF(L216&lt;&gt;"","Facturé",IF(G216="Accepté","Accepté",IF(G216="Refusé","Refusé",IF(p_asof&gt;H216,"Expiré","En attente"))))))</f>
        <v/>
      </c>
      <c r="N216" s="59" t="str">
        <f>IF(COUNTA(B216:C216,E216:G216)=0,"",IF(B216="","Date manquante",IF(NOT(ISNUMBER(B216)),"Date invalide",IF(C216="","Client manquant",IF(ISNA(MATCH(C216,cli_code,0)),"Client inconnu",IF(O216&lt;MAX($O$6:O215),"Date antérieure au devis précédent",IF(AND(ISNUMBER(F216),F216&lt;O216),"Validité antérieure à la date du devis",IF(AND(R216=0,G216&lt;&gt;"Annulé"),"Aucune ligne (feuille Lignes de devis)",IF(COUNTIFS(dl_doc,A216,dl_check,"&lt;&gt;OK")&gt;0,"Ligne(s) à corriger",IF(AND(L216&lt;&gt;"",OR(G216="Refusé",G216="Annulé")),"Devis refusé ou annulé mais facturé","OK"))))))))))</f>
        <v/>
      </c>
      <c r="O216" s="62">
        <f>IF(ISNUMBER(B216),B216,0)</f>
        <v>0.0</v>
      </c>
      <c r="P216" s="62" t="str">
        <f>IF(O216=0,"",YEAR(O216))</f>
        <v/>
      </c>
      <c r="Q216" s="62" t="str">
        <f>IF(P216="","",COUNTIF($P$6:P216,P216))</f>
        <v/>
      </c>
      <c r="R216" s="62">
        <f>IF(A216="",0,COUNTIF(dl_doc,A216))</f>
        <v>0.0</v>
      </c>
    </row>
    <row r="217">
      <c r="A217" s="59" t="str">
        <f>IF(Q217="","",p_pdv&amp;"-"&amp;P217&amp;"-"&amp;RIGHT("000"&amp;Q217,4))</f>
        <v/>
      </c>
      <c r="B217" s="61" t="n"/>
      <c r="C217" s="60" t="n"/>
      <c r="D217" s="62" t="str">
        <f>IF(C217="","",IFERROR(INDEX(cli_name,MATCH(C217,cli_code,0))&amp;"","Client inconnu"))</f>
        <v/>
      </c>
      <c r="E217" s="63" t="n"/>
      <c r="F217" s="61" t="n"/>
      <c r="G217" s="60" t="n"/>
      <c r="H217" s="64" t="str">
        <f>IF(A217="","",IF(ISNUMBER(F217),F217,O217+N(p_validity)))</f>
        <v/>
      </c>
      <c r="I217" s="65" t="str">
        <f>IF(A217="","",SUMIF(dl_doc,A217,dl_ht))</f>
        <v/>
      </c>
      <c r="J217" s="65" t="str">
        <f>IF(A217="","",IF(INDEX(p_rates,1)="",0,ROUND(SUMIFS(dl_ht,dl_doc,A217,dl_rate,INDEX(p_rates,1))*INDEX(p_rates,1),2))+IF(INDEX(p_rates,2)="",0,ROUND(SUMIFS(dl_ht,dl_doc,A217,dl_rate,INDEX(p_rates,2))*INDEX(p_rates,2),2))+IF(INDEX(p_rates,3)="",0,ROUND(SUMIFS(dl_ht,dl_doc,A217,dl_rate,INDEX(p_rates,3))*INDEX(p_rates,3),2))+IF(INDEX(p_rates,4)="",0,ROUND(SUMIFS(dl_ht,dl_doc,A217,dl_rate,INDEX(p_rates,4))*INDEX(p_rates,4),2))+IF(INDEX(p_rates,5)="",0,ROUND(SUMIFS(dl_ht,dl_doc,A217,dl_rate,INDEX(p_rates,5))*INDEX(p_rates,5),2))+IF(INDEX(p_rates,6)="",0,ROUND(SUMIFS(dl_ht,dl_doc,A217,dl_rate,INDEX(p_rates,6))*INDEX(p_rates,6),2)))</f>
        <v/>
      </c>
      <c r="K217" s="65" t="str">
        <f>IF(A217="","",I217+J217)</f>
        <v/>
      </c>
      <c r="L217" s="59" t="str">
        <f>IF(A217="","",IFERROR(INDEX(fa_num,MATCH(A217,fa_dvkey,0))&amp;"",""))</f>
        <v/>
      </c>
      <c r="M217" s="59" t="str">
        <f>IF(A217="","",IF(G217="Annulé","Annulé",IF(L217&lt;&gt;"","Facturé",IF(G217="Accepté","Accepté",IF(G217="Refusé","Refusé",IF(p_asof&gt;H217,"Expiré","En attente"))))))</f>
        <v/>
      </c>
      <c r="N217" s="59" t="str">
        <f>IF(COUNTA(B217:C217,E217:G217)=0,"",IF(B217="","Date manquante",IF(NOT(ISNUMBER(B217)),"Date invalide",IF(C217="","Client manquant",IF(ISNA(MATCH(C217,cli_code,0)),"Client inconnu",IF(O217&lt;MAX($O$6:O216),"Date antérieure au devis précédent",IF(AND(ISNUMBER(F217),F217&lt;O217),"Validité antérieure à la date du devis",IF(AND(R217=0,G217&lt;&gt;"Annulé"),"Aucune ligne (feuille Lignes de devis)",IF(COUNTIFS(dl_doc,A217,dl_check,"&lt;&gt;OK")&gt;0,"Ligne(s) à corriger",IF(AND(L217&lt;&gt;"",OR(G217="Refusé",G217="Annulé")),"Devis refusé ou annulé mais facturé","OK"))))))))))</f>
        <v/>
      </c>
      <c r="O217" s="62">
        <f>IF(ISNUMBER(B217),B217,0)</f>
        <v>0.0</v>
      </c>
      <c r="P217" s="62" t="str">
        <f>IF(O217=0,"",YEAR(O217))</f>
        <v/>
      </c>
      <c r="Q217" s="62" t="str">
        <f>IF(P217="","",COUNTIF($P$6:P217,P217))</f>
        <v/>
      </c>
      <c r="R217" s="62">
        <f>IF(A217="",0,COUNTIF(dl_doc,A217))</f>
        <v>0.0</v>
      </c>
    </row>
    <row r="218">
      <c r="A218" s="59" t="str">
        <f>IF(Q218="","",p_pdv&amp;"-"&amp;P218&amp;"-"&amp;RIGHT("000"&amp;Q218,4))</f>
        <v/>
      </c>
      <c r="B218" s="61" t="n"/>
      <c r="C218" s="60" t="n"/>
      <c r="D218" s="62" t="str">
        <f>IF(C218="","",IFERROR(INDEX(cli_name,MATCH(C218,cli_code,0))&amp;"","Client inconnu"))</f>
        <v/>
      </c>
      <c r="E218" s="63" t="n"/>
      <c r="F218" s="61" t="n"/>
      <c r="G218" s="60" t="n"/>
      <c r="H218" s="64" t="str">
        <f>IF(A218="","",IF(ISNUMBER(F218),F218,O218+N(p_validity)))</f>
        <v/>
      </c>
      <c r="I218" s="65" t="str">
        <f>IF(A218="","",SUMIF(dl_doc,A218,dl_ht))</f>
        <v/>
      </c>
      <c r="J218" s="65" t="str">
        <f>IF(A218="","",IF(INDEX(p_rates,1)="",0,ROUND(SUMIFS(dl_ht,dl_doc,A218,dl_rate,INDEX(p_rates,1))*INDEX(p_rates,1),2))+IF(INDEX(p_rates,2)="",0,ROUND(SUMIFS(dl_ht,dl_doc,A218,dl_rate,INDEX(p_rates,2))*INDEX(p_rates,2),2))+IF(INDEX(p_rates,3)="",0,ROUND(SUMIFS(dl_ht,dl_doc,A218,dl_rate,INDEX(p_rates,3))*INDEX(p_rates,3),2))+IF(INDEX(p_rates,4)="",0,ROUND(SUMIFS(dl_ht,dl_doc,A218,dl_rate,INDEX(p_rates,4))*INDEX(p_rates,4),2))+IF(INDEX(p_rates,5)="",0,ROUND(SUMIFS(dl_ht,dl_doc,A218,dl_rate,INDEX(p_rates,5))*INDEX(p_rates,5),2))+IF(INDEX(p_rates,6)="",0,ROUND(SUMIFS(dl_ht,dl_doc,A218,dl_rate,INDEX(p_rates,6))*INDEX(p_rates,6),2)))</f>
        <v/>
      </c>
      <c r="K218" s="65" t="str">
        <f>IF(A218="","",I218+J218)</f>
        <v/>
      </c>
      <c r="L218" s="59" t="str">
        <f>IF(A218="","",IFERROR(INDEX(fa_num,MATCH(A218,fa_dvkey,0))&amp;"",""))</f>
        <v/>
      </c>
      <c r="M218" s="59" t="str">
        <f>IF(A218="","",IF(G218="Annulé","Annulé",IF(L218&lt;&gt;"","Facturé",IF(G218="Accepté","Accepté",IF(G218="Refusé","Refusé",IF(p_asof&gt;H218,"Expiré","En attente"))))))</f>
        <v/>
      </c>
      <c r="N218" s="59" t="str">
        <f>IF(COUNTA(B218:C218,E218:G218)=0,"",IF(B218="","Date manquante",IF(NOT(ISNUMBER(B218)),"Date invalide",IF(C218="","Client manquant",IF(ISNA(MATCH(C218,cli_code,0)),"Client inconnu",IF(O218&lt;MAX($O$6:O217),"Date antérieure au devis précédent",IF(AND(ISNUMBER(F218),F218&lt;O218),"Validité antérieure à la date du devis",IF(AND(R218=0,G218&lt;&gt;"Annulé"),"Aucune ligne (feuille Lignes de devis)",IF(COUNTIFS(dl_doc,A218,dl_check,"&lt;&gt;OK")&gt;0,"Ligne(s) à corriger",IF(AND(L218&lt;&gt;"",OR(G218="Refusé",G218="Annulé")),"Devis refusé ou annulé mais facturé","OK"))))))))))</f>
        <v/>
      </c>
      <c r="O218" s="62">
        <f>IF(ISNUMBER(B218),B218,0)</f>
        <v>0.0</v>
      </c>
      <c r="P218" s="62" t="str">
        <f>IF(O218=0,"",YEAR(O218))</f>
        <v/>
      </c>
      <c r="Q218" s="62" t="str">
        <f>IF(P218="","",COUNTIF($P$6:P218,P218))</f>
        <v/>
      </c>
      <c r="R218" s="62">
        <f>IF(A218="",0,COUNTIF(dl_doc,A218))</f>
        <v>0.0</v>
      </c>
    </row>
    <row r="219">
      <c r="A219" s="59" t="str">
        <f>IF(Q219="","",p_pdv&amp;"-"&amp;P219&amp;"-"&amp;RIGHT("000"&amp;Q219,4))</f>
        <v/>
      </c>
      <c r="B219" s="61" t="n"/>
      <c r="C219" s="60" t="n"/>
      <c r="D219" s="62" t="str">
        <f>IF(C219="","",IFERROR(INDEX(cli_name,MATCH(C219,cli_code,0))&amp;"","Client inconnu"))</f>
        <v/>
      </c>
      <c r="E219" s="63" t="n"/>
      <c r="F219" s="61" t="n"/>
      <c r="G219" s="60" t="n"/>
      <c r="H219" s="64" t="str">
        <f>IF(A219="","",IF(ISNUMBER(F219),F219,O219+N(p_validity)))</f>
        <v/>
      </c>
      <c r="I219" s="65" t="str">
        <f>IF(A219="","",SUMIF(dl_doc,A219,dl_ht))</f>
        <v/>
      </c>
      <c r="J219" s="65" t="str">
        <f>IF(A219="","",IF(INDEX(p_rates,1)="",0,ROUND(SUMIFS(dl_ht,dl_doc,A219,dl_rate,INDEX(p_rates,1))*INDEX(p_rates,1),2))+IF(INDEX(p_rates,2)="",0,ROUND(SUMIFS(dl_ht,dl_doc,A219,dl_rate,INDEX(p_rates,2))*INDEX(p_rates,2),2))+IF(INDEX(p_rates,3)="",0,ROUND(SUMIFS(dl_ht,dl_doc,A219,dl_rate,INDEX(p_rates,3))*INDEX(p_rates,3),2))+IF(INDEX(p_rates,4)="",0,ROUND(SUMIFS(dl_ht,dl_doc,A219,dl_rate,INDEX(p_rates,4))*INDEX(p_rates,4),2))+IF(INDEX(p_rates,5)="",0,ROUND(SUMIFS(dl_ht,dl_doc,A219,dl_rate,INDEX(p_rates,5))*INDEX(p_rates,5),2))+IF(INDEX(p_rates,6)="",0,ROUND(SUMIFS(dl_ht,dl_doc,A219,dl_rate,INDEX(p_rates,6))*INDEX(p_rates,6),2)))</f>
        <v/>
      </c>
      <c r="K219" s="65" t="str">
        <f>IF(A219="","",I219+J219)</f>
        <v/>
      </c>
      <c r="L219" s="59" t="str">
        <f>IF(A219="","",IFERROR(INDEX(fa_num,MATCH(A219,fa_dvkey,0))&amp;"",""))</f>
        <v/>
      </c>
      <c r="M219" s="59" t="str">
        <f>IF(A219="","",IF(G219="Annulé","Annulé",IF(L219&lt;&gt;"","Facturé",IF(G219="Accepté","Accepté",IF(G219="Refusé","Refusé",IF(p_asof&gt;H219,"Expiré","En attente"))))))</f>
        <v/>
      </c>
      <c r="N219" s="59" t="str">
        <f>IF(COUNTA(B219:C219,E219:G219)=0,"",IF(B219="","Date manquante",IF(NOT(ISNUMBER(B219)),"Date invalide",IF(C219="","Client manquant",IF(ISNA(MATCH(C219,cli_code,0)),"Client inconnu",IF(O219&lt;MAX($O$6:O218),"Date antérieure au devis précédent",IF(AND(ISNUMBER(F219),F219&lt;O219),"Validité antérieure à la date du devis",IF(AND(R219=0,G219&lt;&gt;"Annulé"),"Aucune ligne (feuille Lignes de devis)",IF(COUNTIFS(dl_doc,A219,dl_check,"&lt;&gt;OK")&gt;0,"Ligne(s) à corriger",IF(AND(L219&lt;&gt;"",OR(G219="Refusé",G219="Annulé")),"Devis refusé ou annulé mais facturé","OK"))))))))))</f>
        <v/>
      </c>
      <c r="O219" s="62">
        <f>IF(ISNUMBER(B219),B219,0)</f>
        <v>0.0</v>
      </c>
      <c r="P219" s="62" t="str">
        <f>IF(O219=0,"",YEAR(O219))</f>
        <v/>
      </c>
      <c r="Q219" s="62" t="str">
        <f>IF(P219="","",COUNTIF($P$6:P219,P219))</f>
        <v/>
      </c>
      <c r="R219" s="62">
        <f>IF(A219="",0,COUNTIF(dl_doc,A219))</f>
        <v>0.0</v>
      </c>
    </row>
    <row r="220">
      <c r="A220" s="59" t="str">
        <f>IF(Q220="","",p_pdv&amp;"-"&amp;P220&amp;"-"&amp;RIGHT("000"&amp;Q220,4))</f>
        <v/>
      </c>
      <c r="B220" s="61" t="n"/>
      <c r="C220" s="60" t="n"/>
      <c r="D220" s="62" t="str">
        <f>IF(C220="","",IFERROR(INDEX(cli_name,MATCH(C220,cli_code,0))&amp;"","Client inconnu"))</f>
        <v/>
      </c>
      <c r="E220" s="63" t="n"/>
      <c r="F220" s="61" t="n"/>
      <c r="G220" s="60" t="n"/>
      <c r="H220" s="64" t="str">
        <f>IF(A220="","",IF(ISNUMBER(F220),F220,O220+N(p_validity)))</f>
        <v/>
      </c>
      <c r="I220" s="65" t="str">
        <f>IF(A220="","",SUMIF(dl_doc,A220,dl_ht))</f>
        <v/>
      </c>
      <c r="J220" s="65" t="str">
        <f>IF(A220="","",IF(INDEX(p_rates,1)="",0,ROUND(SUMIFS(dl_ht,dl_doc,A220,dl_rate,INDEX(p_rates,1))*INDEX(p_rates,1),2))+IF(INDEX(p_rates,2)="",0,ROUND(SUMIFS(dl_ht,dl_doc,A220,dl_rate,INDEX(p_rates,2))*INDEX(p_rates,2),2))+IF(INDEX(p_rates,3)="",0,ROUND(SUMIFS(dl_ht,dl_doc,A220,dl_rate,INDEX(p_rates,3))*INDEX(p_rates,3),2))+IF(INDEX(p_rates,4)="",0,ROUND(SUMIFS(dl_ht,dl_doc,A220,dl_rate,INDEX(p_rates,4))*INDEX(p_rates,4),2))+IF(INDEX(p_rates,5)="",0,ROUND(SUMIFS(dl_ht,dl_doc,A220,dl_rate,INDEX(p_rates,5))*INDEX(p_rates,5),2))+IF(INDEX(p_rates,6)="",0,ROUND(SUMIFS(dl_ht,dl_doc,A220,dl_rate,INDEX(p_rates,6))*INDEX(p_rates,6),2)))</f>
        <v/>
      </c>
      <c r="K220" s="65" t="str">
        <f>IF(A220="","",I220+J220)</f>
        <v/>
      </c>
      <c r="L220" s="59" t="str">
        <f>IF(A220="","",IFERROR(INDEX(fa_num,MATCH(A220,fa_dvkey,0))&amp;"",""))</f>
        <v/>
      </c>
      <c r="M220" s="59" t="str">
        <f>IF(A220="","",IF(G220="Annulé","Annulé",IF(L220&lt;&gt;"","Facturé",IF(G220="Accepté","Accepté",IF(G220="Refusé","Refusé",IF(p_asof&gt;H220,"Expiré","En attente"))))))</f>
        <v/>
      </c>
      <c r="N220" s="59" t="str">
        <f>IF(COUNTA(B220:C220,E220:G220)=0,"",IF(B220="","Date manquante",IF(NOT(ISNUMBER(B220)),"Date invalide",IF(C220="","Client manquant",IF(ISNA(MATCH(C220,cli_code,0)),"Client inconnu",IF(O220&lt;MAX($O$6:O219),"Date antérieure au devis précédent",IF(AND(ISNUMBER(F220),F220&lt;O220),"Validité antérieure à la date du devis",IF(AND(R220=0,G220&lt;&gt;"Annulé"),"Aucune ligne (feuille Lignes de devis)",IF(COUNTIFS(dl_doc,A220,dl_check,"&lt;&gt;OK")&gt;0,"Ligne(s) à corriger",IF(AND(L220&lt;&gt;"",OR(G220="Refusé",G220="Annulé")),"Devis refusé ou annulé mais facturé","OK"))))))))))</f>
        <v/>
      </c>
      <c r="O220" s="62">
        <f>IF(ISNUMBER(B220),B220,0)</f>
        <v>0.0</v>
      </c>
      <c r="P220" s="62" t="str">
        <f>IF(O220=0,"",YEAR(O220))</f>
        <v/>
      </c>
      <c r="Q220" s="62" t="str">
        <f>IF(P220="","",COUNTIF($P$6:P220,P220))</f>
        <v/>
      </c>
      <c r="R220" s="62">
        <f>IF(A220="",0,COUNTIF(dl_doc,A220))</f>
        <v>0.0</v>
      </c>
    </row>
    <row r="221">
      <c r="A221" s="59" t="str">
        <f>IF(Q221="","",p_pdv&amp;"-"&amp;P221&amp;"-"&amp;RIGHT("000"&amp;Q221,4))</f>
        <v/>
      </c>
      <c r="B221" s="61" t="n"/>
      <c r="C221" s="60" t="n"/>
      <c r="D221" s="62" t="str">
        <f>IF(C221="","",IFERROR(INDEX(cli_name,MATCH(C221,cli_code,0))&amp;"","Client inconnu"))</f>
        <v/>
      </c>
      <c r="E221" s="63" t="n"/>
      <c r="F221" s="61" t="n"/>
      <c r="G221" s="60" t="n"/>
      <c r="H221" s="64" t="str">
        <f>IF(A221="","",IF(ISNUMBER(F221),F221,O221+N(p_validity)))</f>
        <v/>
      </c>
      <c r="I221" s="65" t="str">
        <f>IF(A221="","",SUMIF(dl_doc,A221,dl_ht))</f>
        <v/>
      </c>
      <c r="J221" s="65" t="str">
        <f>IF(A221="","",IF(INDEX(p_rates,1)="",0,ROUND(SUMIFS(dl_ht,dl_doc,A221,dl_rate,INDEX(p_rates,1))*INDEX(p_rates,1),2))+IF(INDEX(p_rates,2)="",0,ROUND(SUMIFS(dl_ht,dl_doc,A221,dl_rate,INDEX(p_rates,2))*INDEX(p_rates,2),2))+IF(INDEX(p_rates,3)="",0,ROUND(SUMIFS(dl_ht,dl_doc,A221,dl_rate,INDEX(p_rates,3))*INDEX(p_rates,3),2))+IF(INDEX(p_rates,4)="",0,ROUND(SUMIFS(dl_ht,dl_doc,A221,dl_rate,INDEX(p_rates,4))*INDEX(p_rates,4),2))+IF(INDEX(p_rates,5)="",0,ROUND(SUMIFS(dl_ht,dl_doc,A221,dl_rate,INDEX(p_rates,5))*INDEX(p_rates,5),2))+IF(INDEX(p_rates,6)="",0,ROUND(SUMIFS(dl_ht,dl_doc,A221,dl_rate,INDEX(p_rates,6))*INDEX(p_rates,6),2)))</f>
        <v/>
      </c>
      <c r="K221" s="65" t="str">
        <f>IF(A221="","",I221+J221)</f>
        <v/>
      </c>
      <c r="L221" s="59" t="str">
        <f>IF(A221="","",IFERROR(INDEX(fa_num,MATCH(A221,fa_dvkey,0))&amp;"",""))</f>
        <v/>
      </c>
      <c r="M221" s="59" t="str">
        <f>IF(A221="","",IF(G221="Annulé","Annulé",IF(L221&lt;&gt;"","Facturé",IF(G221="Accepté","Accepté",IF(G221="Refusé","Refusé",IF(p_asof&gt;H221,"Expiré","En attente"))))))</f>
        <v/>
      </c>
      <c r="N221" s="59" t="str">
        <f>IF(COUNTA(B221:C221,E221:G221)=0,"",IF(B221="","Date manquante",IF(NOT(ISNUMBER(B221)),"Date invalide",IF(C221="","Client manquant",IF(ISNA(MATCH(C221,cli_code,0)),"Client inconnu",IF(O221&lt;MAX($O$6:O220),"Date antérieure au devis précédent",IF(AND(ISNUMBER(F221),F221&lt;O221),"Validité antérieure à la date du devis",IF(AND(R221=0,G221&lt;&gt;"Annulé"),"Aucune ligne (feuille Lignes de devis)",IF(COUNTIFS(dl_doc,A221,dl_check,"&lt;&gt;OK")&gt;0,"Ligne(s) à corriger",IF(AND(L221&lt;&gt;"",OR(G221="Refusé",G221="Annulé")),"Devis refusé ou annulé mais facturé","OK"))))))))))</f>
        <v/>
      </c>
      <c r="O221" s="62">
        <f>IF(ISNUMBER(B221),B221,0)</f>
        <v>0.0</v>
      </c>
      <c r="P221" s="62" t="str">
        <f>IF(O221=0,"",YEAR(O221))</f>
        <v/>
      </c>
      <c r="Q221" s="62" t="str">
        <f>IF(P221="","",COUNTIF($P$6:P221,P221))</f>
        <v/>
      </c>
      <c r="R221" s="62">
        <f>IF(A221="",0,COUNTIF(dl_doc,A221))</f>
        <v>0.0</v>
      </c>
    </row>
    <row r="222">
      <c r="A222" s="59" t="str">
        <f>IF(Q222="","",p_pdv&amp;"-"&amp;P222&amp;"-"&amp;RIGHT("000"&amp;Q222,4))</f>
        <v/>
      </c>
      <c r="B222" s="61" t="n"/>
      <c r="C222" s="60" t="n"/>
      <c r="D222" s="62" t="str">
        <f>IF(C222="","",IFERROR(INDEX(cli_name,MATCH(C222,cli_code,0))&amp;"","Client inconnu"))</f>
        <v/>
      </c>
      <c r="E222" s="63" t="n"/>
      <c r="F222" s="61" t="n"/>
      <c r="G222" s="60" t="n"/>
      <c r="H222" s="64" t="str">
        <f>IF(A222="","",IF(ISNUMBER(F222),F222,O222+N(p_validity)))</f>
        <v/>
      </c>
      <c r="I222" s="65" t="str">
        <f>IF(A222="","",SUMIF(dl_doc,A222,dl_ht))</f>
        <v/>
      </c>
      <c r="J222" s="65" t="str">
        <f>IF(A222="","",IF(INDEX(p_rates,1)="",0,ROUND(SUMIFS(dl_ht,dl_doc,A222,dl_rate,INDEX(p_rates,1))*INDEX(p_rates,1),2))+IF(INDEX(p_rates,2)="",0,ROUND(SUMIFS(dl_ht,dl_doc,A222,dl_rate,INDEX(p_rates,2))*INDEX(p_rates,2),2))+IF(INDEX(p_rates,3)="",0,ROUND(SUMIFS(dl_ht,dl_doc,A222,dl_rate,INDEX(p_rates,3))*INDEX(p_rates,3),2))+IF(INDEX(p_rates,4)="",0,ROUND(SUMIFS(dl_ht,dl_doc,A222,dl_rate,INDEX(p_rates,4))*INDEX(p_rates,4),2))+IF(INDEX(p_rates,5)="",0,ROUND(SUMIFS(dl_ht,dl_doc,A222,dl_rate,INDEX(p_rates,5))*INDEX(p_rates,5),2))+IF(INDEX(p_rates,6)="",0,ROUND(SUMIFS(dl_ht,dl_doc,A222,dl_rate,INDEX(p_rates,6))*INDEX(p_rates,6),2)))</f>
        <v/>
      </c>
      <c r="K222" s="65" t="str">
        <f>IF(A222="","",I222+J222)</f>
        <v/>
      </c>
      <c r="L222" s="59" t="str">
        <f>IF(A222="","",IFERROR(INDEX(fa_num,MATCH(A222,fa_dvkey,0))&amp;"",""))</f>
        <v/>
      </c>
      <c r="M222" s="59" t="str">
        <f>IF(A222="","",IF(G222="Annulé","Annulé",IF(L222&lt;&gt;"","Facturé",IF(G222="Accepté","Accepté",IF(G222="Refusé","Refusé",IF(p_asof&gt;H222,"Expiré","En attente"))))))</f>
        <v/>
      </c>
      <c r="N222" s="59" t="str">
        <f>IF(COUNTA(B222:C222,E222:G222)=0,"",IF(B222="","Date manquante",IF(NOT(ISNUMBER(B222)),"Date invalide",IF(C222="","Client manquant",IF(ISNA(MATCH(C222,cli_code,0)),"Client inconnu",IF(O222&lt;MAX($O$6:O221),"Date antérieure au devis précédent",IF(AND(ISNUMBER(F222),F222&lt;O222),"Validité antérieure à la date du devis",IF(AND(R222=0,G222&lt;&gt;"Annulé"),"Aucune ligne (feuille Lignes de devis)",IF(COUNTIFS(dl_doc,A222,dl_check,"&lt;&gt;OK")&gt;0,"Ligne(s) à corriger",IF(AND(L222&lt;&gt;"",OR(G222="Refusé",G222="Annulé")),"Devis refusé ou annulé mais facturé","OK"))))))))))</f>
        <v/>
      </c>
      <c r="O222" s="62">
        <f>IF(ISNUMBER(B222),B222,0)</f>
        <v>0.0</v>
      </c>
      <c r="P222" s="62" t="str">
        <f>IF(O222=0,"",YEAR(O222))</f>
        <v/>
      </c>
      <c r="Q222" s="62" t="str">
        <f>IF(P222="","",COUNTIF($P$6:P222,P222))</f>
        <v/>
      </c>
      <c r="R222" s="62">
        <f>IF(A222="",0,COUNTIF(dl_doc,A222))</f>
        <v>0.0</v>
      </c>
    </row>
    <row r="223">
      <c r="A223" s="59" t="str">
        <f>IF(Q223="","",p_pdv&amp;"-"&amp;P223&amp;"-"&amp;RIGHT("000"&amp;Q223,4))</f>
        <v/>
      </c>
      <c r="B223" s="61" t="n"/>
      <c r="C223" s="60" t="n"/>
      <c r="D223" s="62" t="str">
        <f>IF(C223="","",IFERROR(INDEX(cli_name,MATCH(C223,cli_code,0))&amp;"","Client inconnu"))</f>
        <v/>
      </c>
      <c r="E223" s="63" t="n"/>
      <c r="F223" s="61" t="n"/>
      <c r="G223" s="60" t="n"/>
      <c r="H223" s="64" t="str">
        <f>IF(A223="","",IF(ISNUMBER(F223),F223,O223+N(p_validity)))</f>
        <v/>
      </c>
      <c r="I223" s="65" t="str">
        <f>IF(A223="","",SUMIF(dl_doc,A223,dl_ht))</f>
        <v/>
      </c>
      <c r="J223" s="65" t="str">
        <f>IF(A223="","",IF(INDEX(p_rates,1)="",0,ROUND(SUMIFS(dl_ht,dl_doc,A223,dl_rate,INDEX(p_rates,1))*INDEX(p_rates,1),2))+IF(INDEX(p_rates,2)="",0,ROUND(SUMIFS(dl_ht,dl_doc,A223,dl_rate,INDEX(p_rates,2))*INDEX(p_rates,2),2))+IF(INDEX(p_rates,3)="",0,ROUND(SUMIFS(dl_ht,dl_doc,A223,dl_rate,INDEX(p_rates,3))*INDEX(p_rates,3),2))+IF(INDEX(p_rates,4)="",0,ROUND(SUMIFS(dl_ht,dl_doc,A223,dl_rate,INDEX(p_rates,4))*INDEX(p_rates,4),2))+IF(INDEX(p_rates,5)="",0,ROUND(SUMIFS(dl_ht,dl_doc,A223,dl_rate,INDEX(p_rates,5))*INDEX(p_rates,5),2))+IF(INDEX(p_rates,6)="",0,ROUND(SUMIFS(dl_ht,dl_doc,A223,dl_rate,INDEX(p_rates,6))*INDEX(p_rates,6),2)))</f>
        <v/>
      </c>
      <c r="K223" s="65" t="str">
        <f>IF(A223="","",I223+J223)</f>
        <v/>
      </c>
      <c r="L223" s="59" t="str">
        <f>IF(A223="","",IFERROR(INDEX(fa_num,MATCH(A223,fa_dvkey,0))&amp;"",""))</f>
        <v/>
      </c>
      <c r="M223" s="59" t="str">
        <f>IF(A223="","",IF(G223="Annulé","Annulé",IF(L223&lt;&gt;"","Facturé",IF(G223="Accepté","Accepté",IF(G223="Refusé","Refusé",IF(p_asof&gt;H223,"Expiré","En attente"))))))</f>
        <v/>
      </c>
      <c r="N223" s="59" t="str">
        <f>IF(COUNTA(B223:C223,E223:G223)=0,"",IF(B223="","Date manquante",IF(NOT(ISNUMBER(B223)),"Date invalide",IF(C223="","Client manquant",IF(ISNA(MATCH(C223,cli_code,0)),"Client inconnu",IF(O223&lt;MAX($O$6:O222),"Date antérieure au devis précédent",IF(AND(ISNUMBER(F223),F223&lt;O223),"Validité antérieure à la date du devis",IF(AND(R223=0,G223&lt;&gt;"Annulé"),"Aucune ligne (feuille Lignes de devis)",IF(COUNTIFS(dl_doc,A223,dl_check,"&lt;&gt;OK")&gt;0,"Ligne(s) à corriger",IF(AND(L223&lt;&gt;"",OR(G223="Refusé",G223="Annulé")),"Devis refusé ou annulé mais facturé","OK"))))))))))</f>
        <v/>
      </c>
      <c r="O223" s="62">
        <f>IF(ISNUMBER(B223),B223,0)</f>
        <v>0.0</v>
      </c>
      <c r="P223" s="62" t="str">
        <f>IF(O223=0,"",YEAR(O223))</f>
        <v/>
      </c>
      <c r="Q223" s="62" t="str">
        <f>IF(P223="","",COUNTIF($P$6:P223,P223))</f>
        <v/>
      </c>
      <c r="R223" s="62">
        <f>IF(A223="",0,COUNTIF(dl_doc,A223))</f>
        <v>0.0</v>
      </c>
    </row>
    <row r="224">
      <c r="A224" s="59" t="str">
        <f>IF(Q224="","",p_pdv&amp;"-"&amp;P224&amp;"-"&amp;RIGHT("000"&amp;Q224,4))</f>
        <v/>
      </c>
      <c r="B224" s="61" t="n"/>
      <c r="C224" s="60" t="n"/>
      <c r="D224" s="62" t="str">
        <f>IF(C224="","",IFERROR(INDEX(cli_name,MATCH(C224,cli_code,0))&amp;"","Client inconnu"))</f>
        <v/>
      </c>
      <c r="E224" s="63" t="n"/>
      <c r="F224" s="61" t="n"/>
      <c r="G224" s="60" t="n"/>
      <c r="H224" s="64" t="str">
        <f>IF(A224="","",IF(ISNUMBER(F224),F224,O224+N(p_validity)))</f>
        <v/>
      </c>
      <c r="I224" s="65" t="str">
        <f>IF(A224="","",SUMIF(dl_doc,A224,dl_ht))</f>
        <v/>
      </c>
      <c r="J224" s="65" t="str">
        <f>IF(A224="","",IF(INDEX(p_rates,1)="",0,ROUND(SUMIFS(dl_ht,dl_doc,A224,dl_rate,INDEX(p_rates,1))*INDEX(p_rates,1),2))+IF(INDEX(p_rates,2)="",0,ROUND(SUMIFS(dl_ht,dl_doc,A224,dl_rate,INDEX(p_rates,2))*INDEX(p_rates,2),2))+IF(INDEX(p_rates,3)="",0,ROUND(SUMIFS(dl_ht,dl_doc,A224,dl_rate,INDEX(p_rates,3))*INDEX(p_rates,3),2))+IF(INDEX(p_rates,4)="",0,ROUND(SUMIFS(dl_ht,dl_doc,A224,dl_rate,INDEX(p_rates,4))*INDEX(p_rates,4),2))+IF(INDEX(p_rates,5)="",0,ROUND(SUMIFS(dl_ht,dl_doc,A224,dl_rate,INDEX(p_rates,5))*INDEX(p_rates,5),2))+IF(INDEX(p_rates,6)="",0,ROUND(SUMIFS(dl_ht,dl_doc,A224,dl_rate,INDEX(p_rates,6))*INDEX(p_rates,6),2)))</f>
        <v/>
      </c>
      <c r="K224" s="65" t="str">
        <f>IF(A224="","",I224+J224)</f>
        <v/>
      </c>
      <c r="L224" s="59" t="str">
        <f>IF(A224="","",IFERROR(INDEX(fa_num,MATCH(A224,fa_dvkey,0))&amp;"",""))</f>
        <v/>
      </c>
      <c r="M224" s="59" t="str">
        <f>IF(A224="","",IF(G224="Annulé","Annulé",IF(L224&lt;&gt;"","Facturé",IF(G224="Accepté","Accepté",IF(G224="Refusé","Refusé",IF(p_asof&gt;H224,"Expiré","En attente"))))))</f>
        <v/>
      </c>
      <c r="N224" s="59" t="str">
        <f>IF(COUNTA(B224:C224,E224:G224)=0,"",IF(B224="","Date manquante",IF(NOT(ISNUMBER(B224)),"Date invalide",IF(C224="","Client manquant",IF(ISNA(MATCH(C224,cli_code,0)),"Client inconnu",IF(O224&lt;MAX($O$6:O223),"Date antérieure au devis précédent",IF(AND(ISNUMBER(F224),F224&lt;O224),"Validité antérieure à la date du devis",IF(AND(R224=0,G224&lt;&gt;"Annulé"),"Aucune ligne (feuille Lignes de devis)",IF(COUNTIFS(dl_doc,A224,dl_check,"&lt;&gt;OK")&gt;0,"Ligne(s) à corriger",IF(AND(L224&lt;&gt;"",OR(G224="Refusé",G224="Annulé")),"Devis refusé ou annulé mais facturé","OK"))))))))))</f>
        <v/>
      </c>
      <c r="O224" s="62">
        <f>IF(ISNUMBER(B224),B224,0)</f>
        <v>0.0</v>
      </c>
      <c r="P224" s="62" t="str">
        <f>IF(O224=0,"",YEAR(O224))</f>
        <v/>
      </c>
      <c r="Q224" s="62" t="str">
        <f>IF(P224="","",COUNTIF($P$6:P224,P224))</f>
        <v/>
      </c>
      <c r="R224" s="62">
        <f>IF(A224="",0,COUNTIF(dl_doc,A224))</f>
        <v>0.0</v>
      </c>
    </row>
    <row r="225">
      <c r="A225" s="59" t="str">
        <f>IF(Q225="","",p_pdv&amp;"-"&amp;P225&amp;"-"&amp;RIGHT("000"&amp;Q225,4))</f>
        <v/>
      </c>
      <c r="B225" s="61" t="n"/>
      <c r="C225" s="60" t="n"/>
      <c r="D225" s="62" t="str">
        <f>IF(C225="","",IFERROR(INDEX(cli_name,MATCH(C225,cli_code,0))&amp;"","Client inconnu"))</f>
        <v/>
      </c>
      <c r="E225" s="63" t="n"/>
      <c r="F225" s="61" t="n"/>
      <c r="G225" s="60" t="n"/>
      <c r="H225" s="64" t="str">
        <f>IF(A225="","",IF(ISNUMBER(F225),F225,O225+N(p_validity)))</f>
        <v/>
      </c>
      <c r="I225" s="65" t="str">
        <f>IF(A225="","",SUMIF(dl_doc,A225,dl_ht))</f>
        <v/>
      </c>
      <c r="J225" s="65" t="str">
        <f>IF(A225="","",IF(INDEX(p_rates,1)="",0,ROUND(SUMIFS(dl_ht,dl_doc,A225,dl_rate,INDEX(p_rates,1))*INDEX(p_rates,1),2))+IF(INDEX(p_rates,2)="",0,ROUND(SUMIFS(dl_ht,dl_doc,A225,dl_rate,INDEX(p_rates,2))*INDEX(p_rates,2),2))+IF(INDEX(p_rates,3)="",0,ROUND(SUMIFS(dl_ht,dl_doc,A225,dl_rate,INDEX(p_rates,3))*INDEX(p_rates,3),2))+IF(INDEX(p_rates,4)="",0,ROUND(SUMIFS(dl_ht,dl_doc,A225,dl_rate,INDEX(p_rates,4))*INDEX(p_rates,4),2))+IF(INDEX(p_rates,5)="",0,ROUND(SUMIFS(dl_ht,dl_doc,A225,dl_rate,INDEX(p_rates,5))*INDEX(p_rates,5),2))+IF(INDEX(p_rates,6)="",0,ROUND(SUMIFS(dl_ht,dl_doc,A225,dl_rate,INDEX(p_rates,6))*INDEX(p_rates,6),2)))</f>
        <v/>
      </c>
      <c r="K225" s="65" t="str">
        <f>IF(A225="","",I225+J225)</f>
        <v/>
      </c>
      <c r="L225" s="59" t="str">
        <f>IF(A225="","",IFERROR(INDEX(fa_num,MATCH(A225,fa_dvkey,0))&amp;"",""))</f>
        <v/>
      </c>
      <c r="M225" s="59" t="str">
        <f>IF(A225="","",IF(G225="Annulé","Annulé",IF(L225&lt;&gt;"","Facturé",IF(G225="Accepté","Accepté",IF(G225="Refusé","Refusé",IF(p_asof&gt;H225,"Expiré","En attente"))))))</f>
        <v/>
      </c>
      <c r="N225" s="59" t="str">
        <f>IF(COUNTA(B225:C225,E225:G225)=0,"",IF(B225="","Date manquante",IF(NOT(ISNUMBER(B225)),"Date invalide",IF(C225="","Client manquant",IF(ISNA(MATCH(C225,cli_code,0)),"Client inconnu",IF(O225&lt;MAX($O$6:O224),"Date antérieure au devis précédent",IF(AND(ISNUMBER(F225),F225&lt;O225),"Validité antérieure à la date du devis",IF(AND(R225=0,G225&lt;&gt;"Annulé"),"Aucune ligne (feuille Lignes de devis)",IF(COUNTIFS(dl_doc,A225,dl_check,"&lt;&gt;OK")&gt;0,"Ligne(s) à corriger",IF(AND(L225&lt;&gt;"",OR(G225="Refusé",G225="Annulé")),"Devis refusé ou annulé mais facturé","OK"))))))))))</f>
        <v/>
      </c>
      <c r="O225" s="62">
        <f>IF(ISNUMBER(B225),B225,0)</f>
        <v>0.0</v>
      </c>
      <c r="P225" s="62" t="str">
        <f>IF(O225=0,"",YEAR(O225))</f>
        <v/>
      </c>
      <c r="Q225" s="62" t="str">
        <f>IF(P225="","",COUNTIF($P$6:P225,P225))</f>
        <v/>
      </c>
      <c r="R225" s="62">
        <f>IF(A225="",0,COUNTIF(dl_doc,A225))</f>
        <v>0.0</v>
      </c>
    </row>
    <row r="226">
      <c r="A226" s="59" t="str">
        <f>IF(Q226="","",p_pdv&amp;"-"&amp;P226&amp;"-"&amp;RIGHT("000"&amp;Q226,4))</f>
        <v/>
      </c>
      <c r="B226" s="61" t="n"/>
      <c r="C226" s="60" t="n"/>
      <c r="D226" s="62" t="str">
        <f>IF(C226="","",IFERROR(INDEX(cli_name,MATCH(C226,cli_code,0))&amp;"","Client inconnu"))</f>
        <v/>
      </c>
      <c r="E226" s="63" t="n"/>
      <c r="F226" s="61" t="n"/>
      <c r="G226" s="60" t="n"/>
      <c r="H226" s="64" t="str">
        <f>IF(A226="","",IF(ISNUMBER(F226),F226,O226+N(p_validity)))</f>
        <v/>
      </c>
      <c r="I226" s="65" t="str">
        <f>IF(A226="","",SUMIF(dl_doc,A226,dl_ht))</f>
        <v/>
      </c>
      <c r="J226" s="65" t="str">
        <f>IF(A226="","",IF(INDEX(p_rates,1)="",0,ROUND(SUMIFS(dl_ht,dl_doc,A226,dl_rate,INDEX(p_rates,1))*INDEX(p_rates,1),2))+IF(INDEX(p_rates,2)="",0,ROUND(SUMIFS(dl_ht,dl_doc,A226,dl_rate,INDEX(p_rates,2))*INDEX(p_rates,2),2))+IF(INDEX(p_rates,3)="",0,ROUND(SUMIFS(dl_ht,dl_doc,A226,dl_rate,INDEX(p_rates,3))*INDEX(p_rates,3),2))+IF(INDEX(p_rates,4)="",0,ROUND(SUMIFS(dl_ht,dl_doc,A226,dl_rate,INDEX(p_rates,4))*INDEX(p_rates,4),2))+IF(INDEX(p_rates,5)="",0,ROUND(SUMIFS(dl_ht,dl_doc,A226,dl_rate,INDEX(p_rates,5))*INDEX(p_rates,5),2))+IF(INDEX(p_rates,6)="",0,ROUND(SUMIFS(dl_ht,dl_doc,A226,dl_rate,INDEX(p_rates,6))*INDEX(p_rates,6),2)))</f>
        <v/>
      </c>
      <c r="K226" s="65" t="str">
        <f>IF(A226="","",I226+J226)</f>
        <v/>
      </c>
      <c r="L226" s="59" t="str">
        <f>IF(A226="","",IFERROR(INDEX(fa_num,MATCH(A226,fa_dvkey,0))&amp;"",""))</f>
        <v/>
      </c>
      <c r="M226" s="59" t="str">
        <f>IF(A226="","",IF(G226="Annulé","Annulé",IF(L226&lt;&gt;"","Facturé",IF(G226="Accepté","Accepté",IF(G226="Refusé","Refusé",IF(p_asof&gt;H226,"Expiré","En attente"))))))</f>
        <v/>
      </c>
      <c r="N226" s="59" t="str">
        <f>IF(COUNTA(B226:C226,E226:G226)=0,"",IF(B226="","Date manquante",IF(NOT(ISNUMBER(B226)),"Date invalide",IF(C226="","Client manquant",IF(ISNA(MATCH(C226,cli_code,0)),"Client inconnu",IF(O226&lt;MAX($O$6:O225),"Date antérieure au devis précédent",IF(AND(ISNUMBER(F226),F226&lt;O226),"Validité antérieure à la date du devis",IF(AND(R226=0,G226&lt;&gt;"Annulé"),"Aucune ligne (feuille Lignes de devis)",IF(COUNTIFS(dl_doc,A226,dl_check,"&lt;&gt;OK")&gt;0,"Ligne(s) à corriger",IF(AND(L226&lt;&gt;"",OR(G226="Refusé",G226="Annulé")),"Devis refusé ou annulé mais facturé","OK"))))))))))</f>
        <v/>
      </c>
      <c r="O226" s="62">
        <f>IF(ISNUMBER(B226),B226,0)</f>
        <v>0.0</v>
      </c>
      <c r="P226" s="62" t="str">
        <f>IF(O226=0,"",YEAR(O226))</f>
        <v/>
      </c>
      <c r="Q226" s="62" t="str">
        <f>IF(P226="","",COUNTIF($P$6:P226,P226))</f>
        <v/>
      </c>
      <c r="R226" s="62">
        <f>IF(A226="",0,COUNTIF(dl_doc,A226))</f>
        <v>0.0</v>
      </c>
    </row>
    <row r="227">
      <c r="A227" s="59" t="str">
        <f>IF(Q227="","",p_pdv&amp;"-"&amp;P227&amp;"-"&amp;RIGHT("000"&amp;Q227,4))</f>
        <v/>
      </c>
      <c r="B227" s="61" t="n"/>
      <c r="C227" s="60" t="n"/>
      <c r="D227" s="62" t="str">
        <f>IF(C227="","",IFERROR(INDEX(cli_name,MATCH(C227,cli_code,0))&amp;"","Client inconnu"))</f>
        <v/>
      </c>
      <c r="E227" s="63" t="n"/>
      <c r="F227" s="61" t="n"/>
      <c r="G227" s="60" t="n"/>
      <c r="H227" s="64" t="str">
        <f>IF(A227="","",IF(ISNUMBER(F227),F227,O227+N(p_validity)))</f>
        <v/>
      </c>
      <c r="I227" s="65" t="str">
        <f>IF(A227="","",SUMIF(dl_doc,A227,dl_ht))</f>
        <v/>
      </c>
      <c r="J227" s="65" t="str">
        <f>IF(A227="","",IF(INDEX(p_rates,1)="",0,ROUND(SUMIFS(dl_ht,dl_doc,A227,dl_rate,INDEX(p_rates,1))*INDEX(p_rates,1),2))+IF(INDEX(p_rates,2)="",0,ROUND(SUMIFS(dl_ht,dl_doc,A227,dl_rate,INDEX(p_rates,2))*INDEX(p_rates,2),2))+IF(INDEX(p_rates,3)="",0,ROUND(SUMIFS(dl_ht,dl_doc,A227,dl_rate,INDEX(p_rates,3))*INDEX(p_rates,3),2))+IF(INDEX(p_rates,4)="",0,ROUND(SUMIFS(dl_ht,dl_doc,A227,dl_rate,INDEX(p_rates,4))*INDEX(p_rates,4),2))+IF(INDEX(p_rates,5)="",0,ROUND(SUMIFS(dl_ht,dl_doc,A227,dl_rate,INDEX(p_rates,5))*INDEX(p_rates,5),2))+IF(INDEX(p_rates,6)="",0,ROUND(SUMIFS(dl_ht,dl_doc,A227,dl_rate,INDEX(p_rates,6))*INDEX(p_rates,6),2)))</f>
        <v/>
      </c>
      <c r="K227" s="65" t="str">
        <f>IF(A227="","",I227+J227)</f>
        <v/>
      </c>
      <c r="L227" s="59" t="str">
        <f>IF(A227="","",IFERROR(INDEX(fa_num,MATCH(A227,fa_dvkey,0))&amp;"",""))</f>
        <v/>
      </c>
      <c r="M227" s="59" t="str">
        <f>IF(A227="","",IF(G227="Annulé","Annulé",IF(L227&lt;&gt;"","Facturé",IF(G227="Accepté","Accepté",IF(G227="Refusé","Refusé",IF(p_asof&gt;H227,"Expiré","En attente"))))))</f>
        <v/>
      </c>
      <c r="N227" s="59" t="str">
        <f>IF(COUNTA(B227:C227,E227:G227)=0,"",IF(B227="","Date manquante",IF(NOT(ISNUMBER(B227)),"Date invalide",IF(C227="","Client manquant",IF(ISNA(MATCH(C227,cli_code,0)),"Client inconnu",IF(O227&lt;MAX($O$6:O226),"Date antérieure au devis précédent",IF(AND(ISNUMBER(F227),F227&lt;O227),"Validité antérieure à la date du devis",IF(AND(R227=0,G227&lt;&gt;"Annulé"),"Aucune ligne (feuille Lignes de devis)",IF(COUNTIFS(dl_doc,A227,dl_check,"&lt;&gt;OK")&gt;0,"Ligne(s) à corriger",IF(AND(L227&lt;&gt;"",OR(G227="Refusé",G227="Annulé")),"Devis refusé ou annulé mais facturé","OK"))))))))))</f>
        <v/>
      </c>
      <c r="O227" s="62">
        <f>IF(ISNUMBER(B227),B227,0)</f>
        <v>0.0</v>
      </c>
      <c r="P227" s="62" t="str">
        <f>IF(O227=0,"",YEAR(O227))</f>
        <v/>
      </c>
      <c r="Q227" s="62" t="str">
        <f>IF(P227="","",COUNTIF($P$6:P227,P227))</f>
        <v/>
      </c>
      <c r="R227" s="62">
        <f>IF(A227="",0,COUNTIF(dl_doc,A227))</f>
        <v>0.0</v>
      </c>
    </row>
    <row r="228">
      <c r="A228" s="59" t="str">
        <f>IF(Q228="","",p_pdv&amp;"-"&amp;P228&amp;"-"&amp;RIGHT("000"&amp;Q228,4))</f>
        <v/>
      </c>
      <c r="B228" s="61" t="n"/>
      <c r="C228" s="60" t="n"/>
      <c r="D228" s="62" t="str">
        <f>IF(C228="","",IFERROR(INDEX(cli_name,MATCH(C228,cli_code,0))&amp;"","Client inconnu"))</f>
        <v/>
      </c>
      <c r="E228" s="63" t="n"/>
      <c r="F228" s="61" t="n"/>
      <c r="G228" s="60" t="n"/>
      <c r="H228" s="64" t="str">
        <f>IF(A228="","",IF(ISNUMBER(F228),F228,O228+N(p_validity)))</f>
        <v/>
      </c>
      <c r="I228" s="65" t="str">
        <f>IF(A228="","",SUMIF(dl_doc,A228,dl_ht))</f>
        <v/>
      </c>
      <c r="J228" s="65" t="str">
        <f>IF(A228="","",IF(INDEX(p_rates,1)="",0,ROUND(SUMIFS(dl_ht,dl_doc,A228,dl_rate,INDEX(p_rates,1))*INDEX(p_rates,1),2))+IF(INDEX(p_rates,2)="",0,ROUND(SUMIFS(dl_ht,dl_doc,A228,dl_rate,INDEX(p_rates,2))*INDEX(p_rates,2),2))+IF(INDEX(p_rates,3)="",0,ROUND(SUMIFS(dl_ht,dl_doc,A228,dl_rate,INDEX(p_rates,3))*INDEX(p_rates,3),2))+IF(INDEX(p_rates,4)="",0,ROUND(SUMIFS(dl_ht,dl_doc,A228,dl_rate,INDEX(p_rates,4))*INDEX(p_rates,4),2))+IF(INDEX(p_rates,5)="",0,ROUND(SUMIFS(dl_ht,dl_doc,A228,dl_rate,INDEX(p_rates,5))*INDEX(p_rates,5),2))+IF(INDEX(p_rates,6)="",0,ROUND(SUMIFS(dl_ht,dl_doc,A228,dl_rate,INDEX(p_rates,6))*INDEX(p_rates,6),2)))</f>
        <v/>
      </c>
      <c r="K228" s="65" t="str">
        <f>IF(A228="","",I228+J228)</f>
        <v/>
      </c>
      <c r="L228" s="59" t="str">
        <f>IF(A228="","",IFERROR(INDEX(fa_num,MATCH(A228,fa_dvkey,0))&amp;"",""))</f>
        <v/>
      </c>
      <c r="M228" s="59" t="str">
        <f>IF(A228="","",IF(G228="Annulé","Annulé",IF(L228&lt;&gt;"","Facturé",IF(G228="Accepté","Accepté",IF(G228="Refusé","Refusé",IF(p_asof&gt;H228,"Expiré","En attente"))))))</f>
        <v/>
      </c>
      <c r="N228" s="59" t="str">
        <f>IF(COUNTA(B228:C228,E228:G228)=0,"",IF(B228="","Date manquante",IF(NOT(ISNUMBER(B228)),"Date invalide",IF(C228="","Client manquant",IF(ISNA(MATCH(C228,cli_code,0)),"Client inconnu",IF(O228&lt;MAX($O$6:O227),"Date antérieure au devis précédent",IF(AND(ISNUMBER(F228),F228&lt;O228),"Validité antérieure à la date du devis",IF(AND(R228=0,G228&lt;&gt;"Annulé"),"Aucune ligne (feuille Lignes de devis)",IF(COUNTIFS(dl_doc,A228,dl_check,"&lt;&gt;OK")&gt;0,"Ligne(s) à corriger",IF(AND(L228&lt;&gt;"",OR(G228="Refusé",G228="Annulé")),"Devis refusé ou annulé mais facturé","OK"))))))))))</f>
        <v/>
      </c>
      <c r="O228" s="62">
        <f>IF(ISNUMBER(B228),B228,0)</f>
        <v>0.0</v>
      </c>
      <c r="P228" s="62" t="str">
        <f>IF(O228=0,"",YEAR(O228))</f>
        <v/>
      </c>
      <c r="Q228" s="62" t="str">
        <f>IF(P228="","",COUNTIF($P$6:P228,P228))</f>
        <v/>
      </c>
      <c r="R228" s="62">
        <f>IF(A228="",0,COUNTIF(dl_doc,A228))</f>
        <v>0.0</v>
      </c>
    </row>
    <row r="229">
      <c r="A229" s="59" t="str">
        <f>IF(Q229="","",p_pdv&amp;"-"&amp;P229&amp;"-"&amp;RIGHT("000"&amp;Q229,4))</f>
        <v/>
      </c>
      <c r="B229" s="61" t="n"/>
      <c r="C229" s="60" t="n"/>
      <c r="D229" s="62" t="str">
        <f>IF(C229="","",IFERROR(INDEX(cli_name,MATCH(C229,cli_code,0))&amp;"","Client inconnu"))</f>
        <v/>
      </c>
      <c r="E229" s="63" t="n"/>
      <c r="F229" s="61" t="n"/>
      <c r="G229" s="60" t="n"/>
      <c r="H229" s="64" t="str">
        <f>IF(A229="","",IF(ISNUMBER(F229),F229,O229+N(p_validity)))</f>
        <v/>
      </c>
      <c r="I229" s="65" t="str">
        <f>IF(A229="","",SUMIF(dl_doc,A229,dl_ht))</f>
        <v/>
      </c>
      <c r="J229" s="65" t="str">
        <f>IF(A229="","",IF(INDEX(p_rates,1)="",0,ROUND(SUMIFS(dl_ht,dl_doc,A229,dl_rate,INDEX(p_rates,1))*INDEX(p_rates,1),2))+IF(INDEX(p_rates,2)="",0,ROUND(SUMIFS(dl_ht,dl_doc,A229,dl_rate,INDEX(p_rates,2))*INDEX(p_rates,2),2))+IF(INDEX(p_rates,3)="",0,ROUND(SUMIFS(dl_ht,dl_doc,A229,dl_rate,INDEX(p_rates,3))*INDEX(p_rates,3),2))+IF(INDEX(p_rates,4)="",0,ROUND(SUMIFS(dl_ht,dl_doc,A229,dl_rate,INDEX(p_rates,4))*INDEX(p_rates,4),2))+IF(INDEX(p_rates,5)="",0,ROUND(SUMIFS(dl_ht,dl_doc,A229,dl_rate,INDEX(p_rates,5))*INDEX(p_rates,5),2))+IF(INDEX(p_rates,6)="",0,ROUND(SUMIFS(dl_ht,dl_doc,A229,dl_rate,INDEX(p_rates,6))*INDEX(p_rates,6),2)))</f>
        <v/>
      </c>
      <c r="K229" s="65" t="str">
        <f>IF(A229="","",I229+J229)</f>
        <v/>
      </c>
      <c r="L229" s="59" t="str">
        <f>IF(A229="","",IFERROR(INDEX(fa_num,MATCH(A229,fa_dvkey,0))&amp;"",""))</f>
        <v/>
      </c>
      <c r="M229" s="59" t="str">
        <f>IF(A229="","",IF(G229="Annulé","Annulé",IF(L229&lt;&gt;"","Facturé",IF(G229="Accepté","Accepté",IF(G229="Refusé","Refusé",IF(p_asof&gt;H229,"Expiré","En attente"))))))</f>
        <v/>
      </c>
      <c r="N229" s="59" t="str">
        <f>IF(COUNTA(B229:C229,E229:G229)=0,"",IF(B229="","Date manquante",IF(NOT(ISNUMBER(B229)),"Date invalide",IF(C229="","Client manquant",IF(ISNA(MATCH(C229,cli_code,0)),"Client inconnu",IF(O229&lt;MAX($O$6:O228),"Date antérieure au devis précédent",IF(AND(ISNUMBER(F229),F229&lt;O229),"Validité antérieure à la date du devis",IF(AND(R229=0,G229&lt;&gt;"Annulé"),"Aucune ligne (feuille Lignes de devis)",IF(COUNTIFS(dl_doc,A229,dl_check,"&lt;&gt;OK")&gt;0,"Ligne(s) à corriger",IF(AND(L229&lt;&gt;"",OR(G229="Refusé",G229="Annulé")),"Devis refusé ou annulé mais facturé","OK"))))))))))</f>
        <v/>
      </c>
      <c r="O229" s="62">
        <f>IF(ISNUMBER(B229),B229,0)</f>
        <v>0.0</v>
      </c>
      <c r="P229" s="62" t="str">
        <f>IF(O229=0,"",YEAR(O229))</f>
        <v/>
      </c>
      <c r="Q229" s="62" t="str">
        <f>IF(P229="","",COUNTIF($P$6:P229,P229))</f>
        <v/>
      </c>
      <c r="R229" s="62">
        <f>IF(A229="",0,COUNTIF(dl_doc,A229))</f>
        <v>0.0</v>
      </c>
    </row>
    <row r="230">
      <c r="A230" s="59" t="str">
        <f>IF(Q230="","",p_pdv&amp;"-"&amp;P230&amp;"-"&amp;RIGHT("000"&amp;Q230,4))</f>
        <v/>
      </c>
      <c r="B230" s="61" t="n"/>
      <c r="C230" s="60" t="n"/>
      <c r="D230" s="62" t="str">
        <f>IF(C230="","",IFERROR(INDEX(cli_name,MATCH(C230,cli_code,0))&amp;"","Client inconnu"))</f>
        <v/>
      </c>
      <c r="E230" s="63" t="n"/>
      <c r="F230" s="61" t="n"/>
      <c r="G230" s="60" t="n"/>
      <c r="H230" s="64" t="str">
        <f>IF(A230="","",IF(ISNUMBER(F230),F230,O230+N(p_validity)))</f>
        <v/>
      </c>
      <c r="I230" s="65" t="str">
        <f>IF(A230="","",SUMIF(dl_doc,A230,dl_ht))</f>
        <v/>
      </c>
      <c r="J230" s="65" t="str">
        <f>IF(A230="","",IF(INDEX(p_rates,1)="",0,ROUND(SUMIFS(dl_ht,dl_doc,A230,dl_rate,INDEX(p_rates,1))*INDEX(p_rates,1),2))+IF(INDEX(p_rates,2)="",0,ROUND(SUMIFS(dl_ht,dl_doc,A230,dl_rate,INDEX(p_rates,2))*INDEX(p_rates,2),2))+IF(INDEX(p_rates,3)="",0,ROUND(SUMIFS(dl_ht,dl_doc,A230,dl_rate,INDEX(p_rates,3))*INDEX(p_rates,3),2))+IF(INDEX(p_rates,4)="",0,ROUND(SUMIFS(dl_ht,dl_doc,A230,dl_rate,INDEX(p_rates,4))*INDEX(p_rates,4),2))+IF(INDEX(p_rates,5)="",0,ROUND(SUMIFS(dl_ht,dl_doc,A230,dl_rate,INDEX(p_rates,5))*INDEX(p_rates,5),2))+IF(INDEX(p_rates,6)="",0,ROUND(SUMIFS(dl_ht,dl_doc,A230,dl_rate,INDEX(p_rates,6))*INDEX(p_rates,6),2)))</f>
        <v/>
      </c>
      <c r="K230" s="65" t="str">
        <f>IF(A230="","",I230+J230)</f>
        <v/>
      </c>
      <c r="L230" s="59" t="str">
        <f>IF(A230="","",IFERROR(INDEX(fa_num,MATCH(A230,fa_dvkey,0))&amp;"",""))</f>
        <v/>
      </c>
      <c r="M230" s="59" t="str">
        <f>IF(A230="","",IF(G230="Annulé","Annulé",IF(L230&lt;&gt;"","Facturé",IF(G230="Accepté","Accepté",IF(G230="Refusé","Refusé",IF(p_asof&gt;H230,"Expiré","En attente"))))))</f>
        <v/>
      </c>
      <c r="N230" s="59" t="str">
        <f>IF(COUNTA(B230:C230,E230:G230)=0,"",IF(B230="","Date manquante",IF(NOT(ISNUMBER(B230)),"Date invalide",IF(C230="","Client manquant",IF(ISNA(MATCH(C230,cli_code,0)),"Client inconnu",IF(O230&lt;MAX($O$6:O229),"Date antérieure au devis précédent",IF(AND(ISNUMBER(F230),F230&lt;O230),"Validité antérieure à la date du devis",IF(AND(R230=0,G230&lt;&gt;"Annulé"),"Aucune ligne (feuille Lignes de devis)",IF(COUNTIFS(dl_doc,A230,dl_check,"&lt;&gt;OK")&gt;0,"Ligne(s) à corriger",IF(AND(L230&lt;&gt;"",OR(G230="Refusé",G230="Annulé")),"Devis refusé ou annulé mais facturé","OK"))))))))))</f>
        <v/>
      </c>
      <c r="O230" s="62">
        <f>IF(ISNUMBER(B230),B230,0)</f>
        <v>0.0</v>
      </c>
      <c r="P230" s="62" t="str">
        <f>IF(O230=0,"",YEAR(O230))</f>
        <v/>
      </c>
      <c r="Q230" s="62" t="str">
        <f>IF(P230="","",COUNTIF($P$6:P230,P230))</f>
        <v/>
      </c>
      <c r="R230" s="62">
        <f>IF(A230="",0,COUNTIF(dl_doc,A230))</f>
        <v>0.0</v>
      </c>
    </row>
    <row r="231">
      <c r="A231" s="59" t="str">
        <f>IF(Q231="","",p_pdv&amp;"-"&amp;P231&amp;"-"&amp;RIGHT("000"&amp;Q231,4))</f>
        <v/>
      </c>
      <c r="B231" s="61" t="n"/>
      <c r="C231" s="60" t="n"/>
      <c r="D231" s="62" t="str">
        <f>IF(C231="","",IFERROR(INDEX(cli_name,MATCH(C231,cli_code,0))&amp;"","Client inconnu"))</f>
        <v/>
      </c>
      <c r="E231" s="63" t="n"/>
      <c r="F231" s="61" t="n"/>
      <c r="G231" s="60" t="n"/>
      <c r="H231" s="64" t="str">
        <f>IF(A231="","",IF(ISNUMBER(F231),F231,O231+N(p_validity)))</f>
        <v/>
      </c>
      <c r="I231" s="65" t="str">
        <f>IF(A231="","",SUMIF(dl_doc,A231,dl_ht))</f>
        <v/>
      </c>
      <c r="J231" s="65" t="str">
        <f>IF(A231="","",IF(INDEX(p_rates,1)="",0,ROUND(SUMIFS(dl_ht,dl_doc,A231,dl_rate,INDEX(p_rates,1))*INDEX(p_rates,1),2))+IF(INDEX(p_rates,2)="",0,ROUND(SUMIFS(dl_ht,dl_doc,A231,dl_rate,INDEX(p_rates,2))*INDEX(p_rates,2),2))+IF(INDEX(p_rates,3)="",0,ROUND(SUMIFS(dl_ht,dl_doc,A231,dl_rate,INDEX(p_rates,3))*INDEX(p_rates,3),2))+IF(INDEX(p_rates,4)="",0,ROUND(SUMIFS(dl_ht,dl_doc,A231,dl_rate,INDEX(p_rates,4))*INDEX(p_rates,4),2))+IF(INDEX(p_rates,5)="",0,ROUND(SUMIFS(dl_ht,dl_doc,A231,dl_rate,INDEX(p_rates,5))*INDEX(p_rates,5),2))+IF(INDEX(p_rates,6)="",0,ROUND(SUMIFS(dl_ht,dl_doc,A231,dl_rate,INDEX(p_rates,6))*INDEX(p_rates,6),2)))</f>
        <v/>
      </c>
      <c r="K231" s="65" t="str">
        <f>IF(A231="","",I231+J231)</f>
        <v/>
      </c>
      <c r="L231" s="59" t="str">
        <f>IF(A231="","",IFERROR(INDEX(fa_num,MATCH(A231,fa_dvkey,0))&amp;"",""))</f>
        <v/>
      </c>
      <c r="M231" s="59" t="str">
        <f>IF(A231="","",IF(G231="Annulé","Annulé",IF(L231&lt;&gt;"","Facturé",IF(G231="Accepté","Accepté",IF(G231="Refusé","Refusé",IF(p_asof&gt;H231,"Expiré","En attente"))))))</f>
        <v/>
      </c>
      <c r="N231" s="59" t="str">
        <f>IF(COUNTA(B231:C231,E231:G231)=0,"",IF(B231="","Date manquante",IF(NOT(ISNUMBER(B231)),"Date invalide",IF(C231="","Client manquant",IF(ISNA(MATCH(C231,cli_code,0)),"Client inconnu",IF(O231&lt;MAX($O$6:O230),"Date antérieure au devis précédent",IF(AND(ISNUMBER(F231),F231&lt;O231),"Validité antérieure à la date du devis",IF(AND(R231=0,G231&lt;&gt;"Annulé"),"Aucune ligne (feuille Lignes de devis)",IF(COUNTIFS(dl_doc,A231,dl_check,"&lt;&gt;OK")&gt;0,"Ligne(s) à corriger",IF(AND(L231&lt;&gt;"",OR(G231="Refusé",G231="Annulé")),"Devis refusé ou annulé mais facturé","OK"))))))))))</f>
        <v/>
      </c>
      <c r="O231" s="62">
        <f>IF(ISNUMBER(B231),B231,0)</f>
        <v>0.0</v>
      </c>
      <c r="P231" s="62" t="str">
        <f>IF(O231=0,"",YEAR(O231))</f>
        <v/>
      </c>
      <c r="Q231" s="62" t="str">
        <f>IF(P231="","",COUNTIF($P$6:P231,P231))</f>
        <v/>
      </c>
      <c r="R231" s="62">
        <f>IF(A231="",0,COUNTIF(dl_doc,A231))</f>
        <v>0.0</v>
      </c>
    </row>
    <row r="232">
      <c r="A232" s="59" t="str">
        <f>IF(Q232="","",p_pdv&amp;"-"&amp;P232&amp;"-"&amp;RIGHT("000"&amp;Q232,4))</f>
        <v/>
      </c>
      <c r="B232" s="61" t="n"/>
      <c r="C232" s="60" t="n"/>
      <c r="D232" s="62" t="str">
        <f>IF(C232="","",IFERROR(INDEX(cli_name,MATCH(C232,cli_code,0))&amp;"","Client inconnu"))</f>
        <v/>
      </c>
      <c r="E232" s="63" t="n"/>
      <c r="F232" s="61" t="n"/>
      <c r="G232" s="60" t="n"/>
      <c r="H232" s="64" t="str">
        <f>IF(A232="","",IF(ISNUMBER(F232),F232,O232+N(p_validity)))</f>
        <v/>
      </c>
      <c r="I232" s="65" t="str">
        <f>IF(A232="","",SUMIF(dl_doc,A232,dl_ht))</f>
        <v/>
      </c>
      <c r="J232" s="65" t="str">
        <f>IF(A232="","",IF(INDEX(p_rates,1)="",0,ROUND(SUMIFS(dl_ht,dl_doc,A232,dl_rate,INDEX(p_rates,1))*INDEX(p_rates,1),2))+IF(INDEX(p_rates,2)="",0,ROUND(SUMIFS(dl_ht,dl_doc,A232,dl_rate,INDEX(p_rates,2))*INDEX(p_rates,2),2))+IF(INDEX(p_rates,3)="",0,ROUND(SUMIFS(dl_ht,dl_doc,A232,dl_rate,INDEX(p_rates,3))*INDEX(p_rates,3),2))+IF(INDEX(p_rates,4)="",0,ROUND(SUMIFS(dl_ht,dl_doc,A232,dl_rate,INDEX(p_rates,4))*INDEX(p_rates,4),2))+IF(INDEX(p_rates,5)="",0,ROUND(SUMIFS(dl_ht,dl_doc,A232,dl_rate,INDEX(p_rates,5))*INDEX(p_rates,5),2))+IF(INDEX(p_rates,6)="",0,ROUND(SUMIFS(dl_ht,dl_doc,A232,dl_rate,INDEX(p_rates,6))*INDEX(p_rates,6),2)))</f>
        <v/>
      </c>
      <c r="K232" s="65" t="str">
        <f>IF(A232="","",I232+J232)</f>
        <v/>
      </c>
      <c r="L232" s="59" t="str">
        <f>IF(A232="","",IFERROR(INDEX(fa_num,MATCH(A232,fa_dvkey,0))&amp;"",""))</f>
        <v/>
      </c>
      <c r="M232" s="59" t="str">
        <f>IF(A232="","",IF(G232="Annulé","Annulé",IF(L232&lt;&gt;"","Facturé",IF(G232="Accepté","Accepté",IF(G232="Refusé","Refusé",IF(p_asof&gt;H232,"Expiré","En attente"))))))</f>
        <v/>
      </c>
      <c r="N232" s="59" t="str">
        <f>IF(COUNTA(B232:C232,E232:G232)=0,"",IF(B232="","Date manquante",IF(NOT(ISNUMBER(B232)),"Date invalide",IF(C232="","Client manquant",IF(ISNA(MATCH(C232,cli_code,0)),"Client inconnu",IF(O232&lt;MAX($O$6:O231),"Date antérieure au devis précédent",IF(AND(ISNUMBER(F232),F232&lt;O232),"Validité antérieure à la date du devis",IF(AND(R232=0,G232&lt;&gt;"Annulé"),"Aucune ligne (feuille Lignes de devis)",IF(COUNTIFS(dl_doc,A232,dl_check,"&lt;&gt;OK")&gt;0,"Ligne(s) à corriger",IF(AND(L232&lt;&gt;"",OR(G232="Refusé",G232="Annulé")),"Devis refusé ou annulé mais facturé","OK"))))))))))</f>
        <v/>
      </c>
      <c r="O232" s="62">
        <f>IF(ISNUMBER(B232),B232,0)</f>
        <v>0.0</v>
      </c>
      <c r="P232" s="62" t="str">
        <f>IF(O232=0,"",YEAR(O232))</f>
        <v/>
      </c>
      <c r="Q232" s="62" t="str">
        <f>IF(P232="","",COUNTIF($P$6:P232,P232))</f>
        <v/>
      </c>
      <c r="R232" s="62">
        <f>IF(A232="",0,COUNTIF(dl_doc,A232))</f>
        <v>0.0</v>
      </c>
    </row>
    <row r="233">
      <c r="A233" s="59" t="str">
        <f>IF(Q233="","",p_pdv&amp;"-"&amp;P233&amp;"-"&amp;RIGHT("000"&amp;Q233,4))</f>
        <v/>
      </c>
      <c r="B233" s="61" t="n"/>
      <c r="C233" s="60" t="n"/>
      <c r="D233" s="62" t="str">
        <f>IF(C233="","",IFERROR(INDEX(cli_name,MATCH(C233,cli_code,0))&amp;"","Client inconnu"))</f>
        <v/>
      </c>
      <c r="E233" s="63" t="n"/>
      <c r="F233" s="61" t="n"/>
      <c r="G233" s="60" t="n"/>
      <c r="H233" s="64" t="str">
        <f>IF(A233="","",IF(ISNUMBER(F233),F233,O233+N(p_validity)))</f>
        <v/>
      </c>
      <c r="I233" s="65" t="str">
        <f>IF(A233="","",SUMIF(dl_doc,A233,dl_ht))</f>
        <v/>
      </c>
      <c r="J233" s="65" t="str">
        <f>IF(A233="","",IF(INDEX(p_rates,1)="",0,ROUND(SUMIFS(dl_ht,dl_doc,A233,dl_rate,INDEX(p_rates,1))*INDEX(p_rates,1),2))+IF(INDEX(p_rates,2)="",0,ROUND(SUMIFS(dl_ht,dl_doc,A233,dl_rate,INDEX(p_rates,2))*INDEX(p_rates,2),2))+IF(INDEX(p_rates,3)="",0,ROUND(SUMIFS(dl_ht,dl_doc,A233,dl_rate,INDEX(p_rates,3))*INDEX(p_rates,3),2))+IF(INDEX(p_rates,4)="",0,ROUND(SUMIFS(dl_ht,dl_doc,A233,dl_rate,INDEX(p_rates,4))*INDEX(p_rates,4),2))+IF(INDEX(p_rates,5)="",0,ROUND(SUMIFS(dl_ht,dl_doc,A233,dl_rate,INDEX(p_rates,5))*INDEX(p_rates,5),2))+IF(INDEX(p_rates,6)="",0,ROUND(SUMIFS(dl_ht,dl_doc,A233,dl_rate,INDEX(p_rates,6))*INDEX(p_rates,6),2)))</f>
        <v/>
      </c>
      <c r="K233" s="65" t="str">
        <f>IF(A233="","",I233+J233)</f>
        <v/>
      </c>
      <c r="L233" s="59" t="str">
        <f>IF(A233="","",IFERROR(INDEX(fa_num,MATCH(A233,fa_dvkey,0))&amp;"",""))</f>
        <v/>
      </c>
      <c r="M233" s="59" t="str">
        <f>IF(A233="","",IF(G233="Annulé","Annulé",IF(L233&lt;&gt;"","Facturé",IF(G233="Accepté","Accepté",IF(G233="Refusé","Refusé",IF(p_asof&gt;H233,"Expiré","En attente"))))))</f>
        <v/>
      </c>
      <c r="N233" s="59" t="str">
        <f>IF(COUNTA(B233:C233,E233:G233)=0,"",IF(B233="","Date manquante",IF(NOT(ISNUMBER(B233)),"Date invalide",IF(C233="","Client manquant",IF(ISNA(MATCH(C233,cli_code,0)),"Client inconnu",IF(O233&lt;MAX($O$6:O232),"Date antérieure au devis précédent",IF(AND(ISNUMBER(F233),F233&lt;O233),"Validité antérieure à la date du devis",IF(AND(R233=0,G233&lt;&gt;"Annulé"),"Aucune ligne (feuille Lignes de devis)",IF(COUNTIFS(dl_doc,A233,dl_check,"&lt;&gt;OK")&gt;0,"Ligne(s) à corriger",IF(AND(L233&lt;&gt;"",OR(G233="Refusé",G233="Annulé")),"Devis refusé ou annulé mais facturé","OK"))))))))))</f>
        <v/>
      </c>
      <c r="O233" s="62">
        <f>IF(ISNUMBER(B233),B233,0)</f>
        <v>0.0</v>
      </c>
      <c r="P233" s="62" t="str">
        <f>IF(O233=0,"",YEAR(O233))</f>
        <v/>
      </c>
      <c r="Q233" s="62" t="str">
        <f>IF(P233="","",COUNTIF($P$6:P233,P233))</f>
        <v/>
      </c>
      <c r="R233" s="62">
        <f>IF(A233="",0,COUNTIF(dl_doc,A233))</f>
        <v>0.0</v>
      </c>
    </row>
    <row r="234">
      <c r="A234" s="59" t="str">
        <f>IF(Q234="","",p_pdv&amp;"-"&amp;P234&amp;"-"&amp;RIGHT("000"&amp;Q234,4))</f>
        <v/>
      </c>
      <c r="B234" s="61" t="n"/>
      <c r="C234" s="60" t="n"/>
      <c r="D234" s="62" t="str">
        <f>IF(C234="","",IFERROR(INDEX(cli_name,MATCH(C234,cli_code,0))&amp;"","Client inconnu"))</f>
        <v/>
      </c>
      <c r="E234" s="63" t="n"/>
      <c r="F234" s="61" t="n"/>
      <c r="G234" s="60" t="n"/>
      <c r="H234" s="64" t="str">
        <f>IF(A234="","",IF(ISNUMBER(F234),F234,O234+N(p_validity)))</f>
        <v/>
      </c>
      <c r="I234" s="65" t="str">
        <f>IF(A234="","",SUMIF(dl_doc,A234,dl_ht))</f>
        <v/>
      </c>
      <c r="J234" s="65" t="str">
        <f>IF(A234="","",IF(INDEX(p_rates,1)="",0,ROUND(SUMIFS(dl_ht,dl_doc,A234,dl_rate,INDEX(p_rates,1))*INDEX(p_rates,1),2))+IF(INDEX(p_rates,2)="",0,ROUND(SUMIFS(dl_ht,dl_doc,A234,dl_rate,INDEX(p_rates,2))*INDEX(p_rates,2),2))+IF(INDEX(p_rates,3)="",0,ROUND(SUMIFS(dl_ht,dl_doc,A234,dl_rate,INDEX(p_rates,3))*INDEX(p_rates,3),2))+IF(INDEX(p_rates,4)="",0,ROUND(SUMIFS(dl_ht,dl_doc,A234,dl_rate,INDEX(p_rates,4))*INDEX(p_rates,4),2))+IF(INDEX(p_rates,5)="",0,ROUND(SUMIFS(dl_ht,dl_doc,A234,dl_rate,INDEX(p_rates,5))*INDEX(p_rates,5),2))+IF(INDEX(p_rates,6)="",0,ROUND(SUMIFS(dl_ht,dl_doc,A234,dl_rate,INDEX(p_rates,6))*INDEX(p_rates,6),2)))</f>
        <v/>
      </c>
      <c r="K234" s="65" t="str">
        <f>IF(A234="","",I234+J234)</f>
        <v/>
      </c>
      <c r="L234" s="59" t="str">
        <f>IF(A234="","",IFERROR(INDEX(fa_num,MATCH(A234,fa_dvkey,0))&amp;"",""))</f>
        <v/>
      </c>
      <c r="M234" s="59" t="str">
        <f>IF(A234="","",IF(G234="Annulé","Annulé",IF(L234&lt;&gt;"","Facturé",IF(G234="Accepté","Accepté",IF(G234="Refusé","Refusé",IF(p_asof&gt;H234,"Expiré","En attente"))))))</f>
        <v/>
      </c>
      <c r="N234" s="59" t="str">
        <f>IF(COUNTA(B234:C234,E234:G234)=0,"",IF(B234="","Date manquante",IF(NOT(ISNUMBER(B234)),"Date invalide",IF(C234="","Client manquant",IF(ISNA(MATCH(C234,cli_code,0)),"Client inconnu",IF(O234&lt;MAX($O$6:O233),"Date antérieure au devis précédent",IF(AND(ISNUMBER(F234),F234&lt;O234),"Validité antérieure à la date du devis",IF(AND(R234=0,G234&lt;&gt;"Annulé"),"Aucune ligne (feuille Lignes de devis)",IF(COUNTIFS(dl_doc,A234,dl_check,"&lt;&gt;OK")&gt;0,"Ligne(s) à corriger",IF(AND(L234&lt;&gt;"",OR(G234="Refusé",G234="Annulé")),"Devis refusé ou annulé mais facturé","OK"))))))))))</f>
        <v/>
      </c>
      <c r="O234" s="62">
        <f>IF(ISNUMBER(B234),B234,0)</f>
        <v>0.0</v>
      </c>
      <c r="P234" s="62" t="str">
        <f>IF(O234=0,"",YEAR(O234))</f>
        <v/>
      </c>
      <c r="Q234" s="62" t="str">
        <f>IF(P234="","",COUNTIF($P$6:P234,P234))</f>
        <v/>
      </c>
      <c r="R234" s="62">
        <f>IF(A234="",0,COUNTIF(dl_doc,A234))</f>
        <v>0.0</v>
      </c>
    </row>
    <row r="235">
      <c r="A235" s="59" t="str">
        <f>IF(Q235="","",p_pdv&amp;"-"&amp;P235&amp;"-"&amp;RIGHT("000"&amp;Q235,4))</f>
        <v/>
      </c>
      <c r="B235" s="61" t="n"/>
      <c r="C235" s="60" t="n"/>
      <c r="D235" s="62" t="str">
        <f>IF(C235="","",IFERROR(INDEX(cli_name,MATCH(C235,cli_code,0))&amp;"","Client inconnu"))</f>
        <v/>
      </c>
      <c r="E235" s="63" t="n"/>
      <c r="F235" s="61" t="n"/>
      <c r="G235" s="60" t="n"/>
      <c r="H235" s="64" t="str">
        <f>IF(A235="","",IF(ISNUMBER(F235),F235,O235+N(p_validity)))</f>
        <v/>
      </c>
      <c r="I235" s="65" t="str">
        <f>IF(A235="","",SUMIF(dl_doc,A235,dl_ht))</f>
        <v/>
      </c>
      <c r="J235" s="65" t="str">
        <f>IF(A235="","",IF(INDEX(p_rates,1)="",0,ROUND(SUMIFS(dl_ht,dl_doc,A235,dl_rate,INDEX(p_rates,1))*INDEX(p_rates,1),2))+IF(INDEX(p_rates,2)="",0,ROUND(SUMIFS(dl_ht,dl_doc,A235,dl_rate,INDEX(p_rates,2))*INDEX(p_rates,2),2))+IF(INDEX(p_rates,3)="",0,ROUND(SUMIFS(dl_ht,dl_doc,A235,dl_rate,INDEX(p_rates,3))*INDEX(p_rates,3),2))+IF(INDEX(p_rates,4)="",0,ROUND(SUMIFS(dl_ht,dl_doc,A235,dl_rate,INDEX(p_rates,4))*INDEX(p_rates,4),2))+IF(INDEX(p_rates,5)="",0,ROUND(SUMIFS(dl_ht,dl_doc,A235,dl_rate,INDEX(p_rates,5))*INDEX(p_rates,5),2))+IF(INDEX(p_rates,6)="",0,ROUND(SUMIFS(dl_ht,dl_doc,A235,dl_rate,INDEX(p_rates,6))*INDEX(p_rates,6),2)))</f>
        <v/>
      </c>
      <c r="K235" s="65" t="str">
        <f>IF(A235="","",I235+J235)</f>
        <v/>
      </c>
      <c r="L235" s="59" t="str">
        <f>IF(A235="","",IFERROR(INDEX(fa_num,MATCH(A235,fa_dvkey,0))&amp;"",""))</f>
        <v/>
      </c>
      <c r="M235" s="59" t="str">
        <f>IF(A235="","",IF(G235="Annulé","Annulé",IF(L235&lt;&gt;"","Facturé",IF(G235="Accepté","Accepté",IF(G235="Refusé","Refusé",IF(p_asof&gt;H235,"Expiré","En attente"))))))</f>
        <v/>
      </c>
      <c r="N235" s="59" t="str">
        <f>IF(COUNTA(B235:C235,E235:G235)=0,"",IF(B235="","Date manquante",IF(NOT(ISNUMBER(B235)),"Date invalide",IF(C235="","Client manquant",IF(ISNA(MATCH(C235,cli_code,0)),"Client inconnu",IF(O235&lt;MAX($O$6:O234),"Date antérieure au devis précédent",IF(AND(ISNUMBER(F235),F235&lt;O235),"Validité antérieure à la date du devis",IF(AND(R235=0,G235&lt;&gt;"Annulé"),"Aucune ligne (feuille Lignes de devis)",IF(COUNTIFS(dl_doc,A235,dl_check,"&lt;&gt;OK")&gt;0,"Ligne(s) à corriger",IF(AND(L235&lt;&gt;"",OR(G235="Refusé",G235="Annulé")),"Devis refusé ou annulé mais facturé","OK"))))))))))</f>
        <v/>
      </c>
      <c r="O235" s="62">
        <f>IF(ISNUMBER(B235),B235,0)</f>
        <v>0.0</v>
      </c>
      <c r="P235" s="62" t="str">
        <f>IF(O235=0,"",YEAR(O235))</f>
        <v/>
      </c>
      <c r="Q235" s="62" t="str">
        <f>IF(P235="","",COUNTIF($P$6:P235,P235))</f>
        <v/>
      </c>
      <c r="R235" s="62">
        <f>IF(A235="",0,COUNTIF(dl_doc,A235))</f>
        <v>0.0</v>
      </c>
    </row>
    <row r="236">
      <c r="A236" s="59" t="str">
        <f>IF(Q236="","",p_pdv&amp;"-"&amp;P236&amp;"-"&amp;RIGHT("000"&amp;Q236,4))</f>
        <v/>
      </c>
      <c r="B236" s="61" t="n"/>
      <c r="C236" s="60" t="n"/>
      <c r="D236" s="62" t="str">
        <f>IF(C236="","",IFERROR(INDEX(cli_name,MATCH(C236,cli_code,0))&amp;"","Client inconnu"))</f>
        <v/>
      </c>
      <c r="E236" s="63" t="n"/>
      <c r="F236" s="61" t="n"/>
      <c r="G236" s="60" t="n"/>
      <c r="H236" s="64" t="str">
        <f>IF(A236="","",IF(ISNUMBER(F236),F236,O236+N(p_validity)))</f>
        <v/>
      </c>
      <c r="I236" s="65" t="str">
        <f>IF(A236="","",SUMIF(dl_doc,A236,dl_ht))</f>
        <v/>
      </c>
      <c r="J236" s="65" t="str">
        <f>IF(A236="","",IF(INDEX(p_rates,1)="",0,ROUND(SUMIFS(dl_ht,dl_doc,A236,dl_rate,INDEX(p_rates,1))*INDEX(p_rates,1),2))+IF(INDEX(p_rates,2)="",0,ROUND(SUMIFS(dl_ht,dl_doc,A236,dl_rate,INDEX(p_rates,2))*INDEX(p_rates,2),2))+IF(INDEX(p_rates,3)="",0,ROUND(SUMIFS(dl_ht,dl_doc,A236,dl_rate,INDEX(p_rates,3))*INDEX(p_rates,3),2))+IF(INDEX(p_rates,4)="",0,ROUND(SUMIFS(dl_ht,dl_doc,A236,dl_rate,INDEX(p_rates,4))*INDEX(p_rates,4),2))+IF(INDEX(p_rates,5)="",0,ROUND(SUMIFS(dl_ht,dl_doc,A236,dl_rate,INDEX(p_rates,5))*INDEX(p_rates,5),2))+IF(INDEX(p_rates,6)="",0,ROUND(SUMIFS(dl_ht,dl_doc,A236,dl_rate,INDEX(p_rates,6))*INDEX(p_rates,6),2)))</f>
        <v/>
      </c>
      <c r="K236" s="65" t="str">
        <f>IF(A236="","",I236+J236)</f>
        <v/>
      </c>
      <c r="L236" s="59" t="str">
        <f>IF(A236="","",IFERROR(INDEX(fa_num,MATCH(A236,fa_dvkey,0))&amp;"",""))</f>
        <v/>
      </c>
      <c r="M236" s="59" t="str">
        <f>IF(A236="","",IF(G236="Annulé","Annulé",IF(L236&lt;&gt;"","Facturé",IF(G236="Accepté","Accepté",IF(G236="Refusé","Refusé",IF(p_asof&gt;H236,"Expiré","En attente"))))))</f>
        <v/>
      </c>
      <c r="N236" s="59" t="str">
        <f>IF(COUNTA(B236:C236,E236:G236)=0,"",IF(B236="","Date manquante",IF(NOT(ISNUMBER(B236)),"Date invalide",IF(C236="","Client manquant",IF(ISNA(MATCH(C236,cli_code,0)),"Client inconnu",IF(O236&lt;MAX($O$6:O235),"Date antérieure au devis précédent",IF(AND(ISNUMBER(F236),F236&lt;O236),"Validité antérieure à la date du devis",IF(AND(R236=0,G236&lt;&gt;"Annulé"),"Aucune ligne (feuille Lignes de devis)",IF(COUNTIFS(dl_doc,A236,dl_check,"&lt;&gt;OK")&gt;0,"Ligne(s) à corriger",IF(AND(L236&lt;&gt;"",OR(G236="Refusé",G236="Annulé")),"Devis refusé ou annulé mais facturé","OK"))))))))))</f>
        <v/>
      </c>
      <c r="O236" s="62">
        <f>IF(ISNUMBER(B236),B236,0)</f>
        <v>0.0</v>
      </c>
      <c r="P236" s="62" t="str">
        <f>IF(O236=0,"",YEAR(O236))</f>
        <v/>
      </c>
      <c r="Q236" s="62" t="str">
        <f>IF(P236="","",COUNTIF($P$6:P236,P236))</f>
        <v/>
      </c>
      <c r="R236" s="62">
        <f>IF(A236="",0,COUNTIF(dl_doc,A236))</f>
        <v>0.0</v>
      </c>
    </row>
    <row r="237">
      <c r="A237" s="59" t="str">
        <f>IF(Q237="","",p_pdv&amp;"-"&amp;P237&amp;"-"&amp;RIGHT("000"&amp;Q237,4))</f>
        <v/>
      </c>
      <c r="B237" s="61" t="n"/>
      <c r="C237" s="60" t="n"/>
      <c r="D237" s="62" t="str">
        <f>IF(C237="","",IFERROR(INDEX(cli_name,MATCH(C237,cli_code,0))&amp;"","Client inconnu"))</f>
        <v/>
      </c>
      <c r="E237" s="63" t="n"/>
      <c r="F237" s="61" t="n"/>
      <c r="G237" s="60" t="n"/>
      <c r="H237" s="64" t="str">
        <f>IF(A237="","",IF(ISNUMBER(F237),F237,O237+N(p_validity)))</f>
        <v/>
      </c>
      <c r="I237" s="65" t="str">
        <f>IF(A237="","",SUMIF(dl_doc,A237,dl_ht))</f>
        <v/>
      </c>
      <c r="J237" s="65" t="str">
        <f>IF(A237="","",IF(INDEX(p_rates,1)="",0,ROUND(SUMIFS(dl_ht,dl_doc,A237,dl_rate,INDEX(p_rates,1))*INDEX(p_rates,1),2))+IF(INDEX(p_rates,2)="",0,ROUND(SUMIFS(dl_ht,dl_doc,A237,dl_rate,INDEX(p_rates,2))*INDEX(p_rates,2),2))+IF(INDEX(p_rates,3)="",0,ROUND(SUMIFS(dl_ht,dl_doc,A237,dl_rate,INDEX(p_rates,3))*INDEX(p_rates,3),2))+IF(INDEX(p_rates,4)="",0,ROUND(SUMIFS(dl_ht,dl_doc,A237,dl_rate,INDEX(p_rates,4))*INDEX(p_rates,4),2))+IF(INDEX(p_rates,5)="",0,ROUND(SUMIFS(dl_ht,dl_doc,A237,dl_rate,INDEX(p_rates,5))*INDEX(p_rates,5),2))+IF(INDEX(p_rates,6)="",0,ROUND(SUMIFS(dl_ht,dl_doc,A237,dl_rate,INDEX(p_rates,6))*INDEX(p_rates,6),2)))</f>
        <v/>
      </c>
      <c r="K237" s="65" t="str">
        <f>IF(A237="","",I237+J237)</f>
        <v/>
      </c>
      <c r="L237" s="59" t="str">
        <f>IF(A237="","",IFERROR(INDEX(fa_num,MATCH(A237,fa_dvkey,0))&amp;"",""))</f>
        <v/>
      </c>
      <c r="M237" s="59" t="str">
        <f>IF(A237="","",IF(G237="Annulé","Annulé",IF(L237&lt;&gt;"","Facturé",IF(G237="Accepté","Accepté",IF(G237="Refusé","Refusé",IF(p_asof&gt;H237,"Expiré","En attente"))))))</f>
        <v/>
      </c>
      <c r="N237" s="59" t="str">
        <f>IF(COUNTA(B237:C237,E237:G237)=0,"",IF(B237="","Date manquante",IF(NOT(ISNUMBER(B237)),"Date invalide",IF(C237="","Client manquant",IF(ISNA(MATCH(C237,cli_code,0)),"Client inconnu",IF(O237&lt;MAX($O$6:O236),"Date antérieure au devis précédent",IF(AND(ISNUMBER(F237),F237&lt;O237),"Validité antérieure à la date du devis",IF(AND(R237=0,G237&lt;&gt;"Annulé"),"Aucune ligne (feuille Lignes de devis)",IF(COUNTIFS(dl_doc,A237,dl_check,"&lt;&gt;OK")&gt;0,"Ligne(s) à corriger",IF(AND(L237&lt;&gt;"",OR(G237="Refusé",G237="Annulé")),"Devis refusé ou annulé mais facturé","OK"))))))))))</f>
        <v/>
      </c>
      <c r="O237" s="62">
        <f>IF(ISNUMBER(B237),B237,0)</f>
        <v>0.0</v>
      </c>
      <c r="P237" s="62" t="str">
        <f>IF(O237=0,"",YEAR(O237))</f>
        <v/>
      </c>
      <c r="Q237" s="62" t="str">
        <f>IF(P237="","",COUNTIF($P$6:P237,P237))</f>
        <v/>
      </c>
      <c r="R237" s="62">
        <f>IF(A237="",0,COUNTIF(dl_doc,A237))</f>
        <v>0.0</v>
      </c>
    </row>
    <row r="238">
      <c r="A238" s="59" t="str">
        <f>IF(Q238="","",p_pdv&amp;"-"&amp;P238&amp;"-"&amp;RIGHT("000"&amp;Q238,4))</f>
        <v/>
      </c>
      <c r="B238" s="61" t="n"/>
      <c r="C238" s="60" t="n"/>
      <c r="D238" s="62" t="str">
        <f>IF(C238="","",IFERROR(INDEX(cli_name,MATCH(C238,cli_code,0))&amp;"","Client inconnu"))</f>
        <v/>
      </c>
      <c r="E238" s="63" t="n"/>
      <c r="F238" s="61" t="n"/>
      <c r="G238" s="60" t="n"/>
      <c r="H238" s="64" t="str">
        <f>IF(A238="","",IF(ISNUMBER(F238),F238,O238+N(p_validity)))</f>
        <v/>
      </c>
      <c r="I238" s="65" t="str">
        <f>IF(A238="","",SUMIF(dl_doc,A238,dl_ht))</f>
        <v/>
      </c>
      <c r="J238" s="65" t="str">
        <f>IF(A238="","",IF(INDEX(p_rates,1)="",0,ROUND(SUMIFS(dl_ht,dl_doc,A238,dl_rate,INDEX(p_rates,1))*INDEX(p_rates,1),2))+IF(INDEX(p_rates,2)="",0,ROUND(SUMIFS(dl_ht,dl_doc,A238,dl_rate,INDEX(p_rates,2))*INDEX(p_rates,2),2))+IF(INDEX(p_rates,3)="",0,ROUND(SUMIFS(dl_ht,dl_doc,A238,dl_rate,INDEX(p_rates,3))*INDEX(p_rates,3),2))+IF(INDEX(p_rates,4)="",0,ROUND(SUMIFS(dl_ht,dl_doc,A238,dl_rate,INDEX(p_rates,4))*INDEX(p_rates,4),2))+IF(INDEX(p_rates,5)="",0,ROUND(SUMIFS(dl_ht,dl_doc,A238,dl_rate,INDEX(p_rates,5))*INDEX(p_rates,5),2))+IF(INDEX(p_rates,6)="",0,ROUND(SUMIFS(dl_ht,dl_doc,A238,dl_rate,INDEX(p_rates,6))*INDEX(p_rates,6),2)))</f>
        <v/>
      </c>
      <c r="K238" s="65" t="str">
        <f>IF(A238="","",I238+J238)</f>
        <v/>
      </c>
      <c r="L238" s="59" t="str">
        <f>IF(A238="","",IFERROR(INDEX(fa_num,MATCH(A238,fa_dvkey,0))&amp;"",""))</f>
        <v/>
      </c>
      <c r="M238" s="59" t="str">
        <f>IF(A238="","",IF(G238="Annulé","Annulé",IF(L238&lt;&gt;"","Facturé",IF(G238="Accepté","Accepté",IF(G238="Refusé","Refusé",IF(p_asof&gt;H238,"Expiré","En attente"))))))</f>
        <v/>
      </c>
      <c r="N238" s="59" t="str">
        <f>IF(COUNTA(B238:C238,E238:G238)=0,"",IF(B238="","Date manquante",IF(NOT(ISNUMBER(B238)),"Date invalide",IF(C238="","Client manquant",IF(ISNA(MATCH(C238,cli_code,0)),"Client inconnu",IF(O238&lt;MAX($O$6:O237),"Date antérieure au devis précédent",IF(AND(ISNUMBER(F238),F238&lt;O238),"Validité antérieure à la date du devis",IF(AND(R238=0,G238&lt;&gt;"Annulé"),"Aucune ligne (feuille Lignes de devis)",IF(COUNTIFS(dl_doc,A238,dl_check,"&lt;&gt;OK")&gt;0,"Ligne(s) à corriger",IF(AND(L238&lt;&gt;"",OR(G238="Refusé",G238="Annulé")),"Devis refusé ou annulé mais facturé","OK"))))))))))</f>
        <v/>
      </c>
      <c r="O238" s="62">
        <f>IF(ISNUMBER(B238),B238,0)</f>
        <v>0.0</v>
      </c>
      <c r="P238" s="62" t="str">
        <f>IF(O238=0,"",YEAR(O238))</f>
        <v/>
      </c>
      <c r="Q238" s="62" t="str">
        <f>IF(P238="","",COUNTIF($P$6:P238,P238))</f>
        <v/>
      </c>
      <c r="R238" s="62">
        <f>IF(A238="",0,COUNTIF(dl_doc,A238))</f>
        <v>0.0</v>
      </c>
    </row>
    <row r="239">
      <c r="A239" s="59" t="str">
        <f>IF(Q239="","",p_pdv&amp;"-"&amp;P239&amp;"-"&amp;RIGHT("000"&amp;Q239,4))</f>
        <v/>
      </c>
      <c r="B239" s="61" t="n"/>
      <c r="C239" s="60" t="n"/>
      <c r="D239" s="62" t="str">
        <f>IF(C239="","",IFERROR(INDEX(cli_name,MATCH(C239,cli_code,0))&amp;"","Client inconnu"))</f>
        <v/>
      </c>
      <c r="E239" s="63" t="n"/>
      <c r="F239" s="61" t="n"/>
      <c r="G239" s="60" t="n"/>
      <c r="H239" s="64" t="str">
        <f>IF(A239="","",IF(ISNUMBER(F239),F239,O239+N(p_validity)))</f>
        <v/>
      </c>
      <c r="I239" s="65" t="str">
        <f>IF(A239="","",SUMIF(dl_doc,A239,dl_ht))</f>
        <v/>
      </c>
      <c r="J239" s="65" t="str">
        <f>IF(A239="","",IF(INDEX(p_rates,1)="",0,ROUND(SUMIFS(dl_ht,dl_doc,A239,dl_rate,INDEX(p_rates,1))*INDEX(p_rates,1),2))+IF(INDEX(p_rates,2)="",0,ROUND(SUMIFS(dl_ht,dl_doc,A239,dl_rate,INDEX(p_rates,2))*INDEX(p_rates,2),2))+IF(INDEX(p_rates,3)="",0,ROUND(SUMIFS(dl_ht,dl_doc,A239,dl_rate,INDEX(p_rates,3))*INDEX(p_rates,3),2))+IF(INDEX(p_rates,4)="",0,ROUND(SUMIFS(dl_ht,dl_doc,A239,dl_rate,INDEX(p_rates,4))*INDEX(p_rates,4),2))+IF(INDEX(p_rates,5)="",0,ROUND(SUMIFS(dl_ht,dl_doc,A239,dl_rate,INDEX(p_rates,5))*INDEX(p_rates,5),2))+IF(INDEX(p_rates,6)="",0,ROUND(SUMIFS(dl_ht,dl_doc,A239,dl_rate,INDEX(p_rates,6))*INDEX(p_rates,6),2)))</f>
        <v/>
      </c>
      <c r="K239" s="65" t="str">
        <f>IF(A239="","",I239+J239)</f>
        <v/>
      </c>
      <c r="L239" s="59" t="str">
        <f>IF(A239="","",IFERROR(INDEX(fa_num,MATCH(A239,fa_dvkey,0))&amp;"",""))</f>
        <v/>
      </c>
      <c r="M239" s="59" t="str">
        <f>IF(A239="","",IF(G239="Annulé","Annulé",IF(L239&lt;&gt;"","Facturé",IF(G239="Accepté","Accepté",IF(G239="Refusé","Refusé",IF(p_asof&gt;H239,"Expiré","En attente"))))))</f>
        <v/>
      </c>
      <c r="N239" s="59" t="str">
        <f>IF(COUNTA(B239:C239,E239:G239)=0,"",IF(B239="","Date manquante",IF(NOT(ISNUMBER(B239)),"Date invalide",IF(C239="","Client manquant",IF(ISNA(MATCH(C239,cli_code,0)),"Client inconnu",IF(O239&lt;MAX($O$6:O238),"Date antérieure au devis précédent",IF(AND(ISNUMBER(F239),F239&lt;O239),"Validité antérieure à la date du devis",IF(AND(R239=0,G239&lt;&gt;"Annulé"),"Aucune ligne (feuille Lignes de devis)",IF(COUNTIFS(dl_doc,A239,dl_check,"&lt;&gt;OK")&gt;0,"Ligne(s) à corriger",IF(AND(L239&lt;&gt;"",OR(G239="Refusé",G239="Annulé")),"Devis refusé ou annulé mais facturé","OK"))))))))))</f>
        <v/>
      </c>
      <c r="O239" s="62">
        <f>IF(ISNUMBER(B239),B239,0)</f>
        <v>0.0</v>
      </c>
      <c r="P239" s="62" t="str">
        <f>IF(O239=0,"",YEAR(O239))</f>
        <v/>
      </c>
      <c r="Q239" s="62" t="str">
        <f>IF(P239="","",COUNTIF($P$6:P239,P239))</f>
        <v/>
      </c>
      <c r="R239" s="62">
        <f>IF(A239="",0,COUNTIF(dl_doc,A239))</f>
        <v>0.0</v>
      </c>
    </row>
    <row r="240">
      <c r="A240" s="59" t="str">
        <f>IF(Q240="","",p_pdv&amp;"-"&amp;P240&amp;"-"&amp;RIGHT("000"&amp;Q240,4))</f>
        <v/>
      </c>
      <c r="B240" s="61" t="n"/>
      <c r="C240" s="60" t="n"/>
      <c r="D240" s="62" t="str">
        <f>IF(C240="","",IFERROR(INDEX(cli_name,MATCH(C240,cli_code,0))&amp;"","Client inconnu"))</f>
        <v/>
      </c>
      <c r="E240" s="63" t="n"/>
      <c r="F240" s="61" t="n"/>
      <c r="G240" s="60" t="n"/>
      <c r="H240" s="64" t="str">
        <f>IF(A240="","",IF(ISNUMBER(F240),F240,O240+N(p_validity)))</f>
        <v/>
      </c>
      <c r="I240" s="65" t="str">
        <f>IF(A240="","",SUMIF(dl_doc,A240,dl_ht))</f>
        <v/>
      </c>
      <c r="J240" s="65" t="str">
        <f>IF(A240="","",IF(INDEX(p_rates,1)="",0,ROUND(SUMIFS(dl_ht,dl_doc,A240,dl_rate,INDEX(p_rates,1))*INDEX(p_rates,1),2))+IF(INDEX(p_rates,2)="",0,ROUND(SUMIFS(dl_ht,dl_doc,A240,dl_rate,INDEX(p_rates,2))*INDEX(p_rates,2),2))+IF(INDEX(p_rates,3)="",0,ROUND(SUMIFS(dl_ht,dl_doc,A240,dl_rate,INDEX(p_rates,3))*INDEX(p_rates,3),2))+IF(INDEX(p_rates,4)="",0,ROUND(SUMIFS(dl_ht,dl_doc,A240,dl_rate,INDEX(p_rates,4))*INDEX(p_rates,4),2))+IF(INDEX(p_rates,5)="",0,ROUND(SUMIFS(dl_ht,dl_doc,A240,dl_rate,INDEX(p_rates,5))*INDEX(p_rates,5),2))+IF(INDEX(p_rates,6)="",0,ROUND(SUMIFS(dl_ht,dl_doc,A240,dl_rate,INDEX(p_rates,6))*INDEX(p_rates,6),2)))</f>
        <v/>
      </c>
      <c r="K240" s="65" t="str">
        <f>IF(A240="","",I240+J240)</f>
        <v/>
      </c>
      <c r="L240" s="59" t="str">
        <f>IF(A240="","",IFERROR(INDEX(fa_num,MATCH(A240,fa_dvkey,0))&amp;"",""))</f>
        <v/>
      </c>
      <c r="M240" s="59" t="str">
        <f>IF(A240="","",IF(G240="Annulé","Annulé",IF(L240&lt;&gt;"","Facturé",IF(G240="Accepté","Accepté",IF(G240="Refusé","Refusé",IF(p_asof&gt;H240,"Expiré","En attente"))))))</f>
        <v/>
      </c>
      <c r="N240" s="59" t="str">
        <f>IF(COUNTA(B240:C240,E240:G240)=0,"",IF(B240="","Date manquante",IF(NOT(ISNUMBER(B240)),"Date invalide",IF(C240="","Client manquant",IF(ISNA(MATCH(C240,cli_code,0)),"Client inconnu",IF(O240&lt;MAX($O$6:O239),"Date antérieure au devis précédent",IF(AND(ISNUMBER(F240),F240&lt;O240),"Validité antérieure à la date du devis",IF(AND(R240=0,G240&lt;&gt;"Annulé"),"Aucune ligne (feuille Lignes de devis)",IF(COUNTIFS(dl_doc,A240,dl_check,"&lt;&gt;OK")&gt;0,"Ligne(s) à corriger",IF(AND(L240&lt;&gt;"",OR(G240="Refusé",G240="Annulé")),"Devis refusé ou annulé mais facturé","OK"))))))))))</f>
        <v/>
      </c>
      <c r="O240" s="62">
        <f>IF(ISNUMBER(B240),B240,0)</f>
        <v>0.0</v>
      </c>
      <c r="P240" s="62" t="str">
        <f>IF(O240=0,"",YEAR(O240))</f>
        <v/>
      </c>
      <c r="Q240" s="62" t="str">
        <f>IF(P240="","",COUNTIF($P$6:P240,P240))</f>
        <v/>
      </c>
      <c r="R240" s="62">
        <f>IF(A240="",0,COUNTIF(dl_doc,A240))</f>
        <v>0.0</v>
      </c>
    </row>
    <row r="241">
      <c r="A241" s="59" t="str">
        <f>IF(Q241="","",p_pdv&amp;"-"&amp;P241&amp;"-"&amp;RIGHT("000"&amp;Q241,4))</f>
        <v/>
      </c>
      <c r="B241" s="61" t="n"/>
      <c r="C241" s="60" t="n"/>
      <c r="D241" s="62" t="str">
        <f>IF(C241="","",IFERROR(INDEX(cli_name,MATCH(C241,cli_code,0))&amp;"","Client inconnu"))</f>
        <v/>
      </c>
      <c r="E241" s="63" t="n"/>
      <c r="F241" s="61" t="n"/>
      <c r="G241" s="60" t="n"/>
      <c r="H241" s="64" t="str">
        <f>IF(A241="","",IF(ISNUMBER(F241),F241,O241+N(p_validity)))</f>
        <v/>
      </c>
      <c r="I241" s="65" t="str">
        <f>IF(A241="","",SUMIF(dl_doc,A241,dl_ht))</f>
        <v/>
      </c>
      <c r="J241" s="65" t="str">
        <f>IF(A241="","",IF(INDEX(p_rates,1)="",0,ROUND(SUMIFS(dl_ht,dl_doc,A241,dl_rate,INDEX(p_rates,1))*INDEX(p_rates,1),2))+IF(INDEX(p_rates,2)="",0,ROUND(SUMIFS(dl_ht,dl_doc,A241,dl_rate,INDEX(p_rates,2))*INDEX(p_rates,2),2))+IF(INDEX(p_rates,3)="",0,ROUND(SUMIFS(dl_ht,dl_doc,A241,dl_rate,INDEX(p_rates,3))*INDEX(p_rates,3),2))+IF(INDEX(p_rates,4)="",0,ROUND(SUMIFS(dl_ht,dl_doc,A241,dl_rate,INDEX(p_rates,4))*INDEX(p_rates,4),2))+IF(INDEX(p_rates,5)="",0,ROUND(SUMIFS(dl_ht,dl_doc,A241,dl_rate,INDEX(p_rates,5))*INDEX(p_rates,5),2))+IF(INDEX(p_rates,6)="",0,ROUND(SUMIFS(dl_ht,dl_doc,A241,dl_rate,INDEX(p_rates,6))*INDEX(p_rates,6),2)))</f>
        <v/>
      </c>
      <c r="K241" s="65" t="str">
        <f>IF(A241="","",I241+J241)</f>
        <v/>
      </c>
      <c r="L241" s="59" t="str">
        <f>IF(A241="","",IFERROR(INDEX(fa_num,MATCH(A241,fa_dvkey,0))&amp;"",""))</f>
        <v/>
      </c>
      <c r="M241" s="59" t="str">
        <f>IF(A241="","",IF(G241="Annulé","Annulé",IF(L241&lt;&gt;"","Facturé",IF(G241="Accepté","Accepté",IF(G241="Refusé","Refusé",IF(p_asof&gt;H241,"Expiré","En attente"))))))</f>
        <v/>
      </c>
      <c r="N241" s="59" t="str">
        <f>IF(COUNTA(B241:C241,E241:G241)=0,"",IF(B241="","Date manquante",IF(NOT(ISNUMBER(B241)),"Date invalide",IF(C241="","Client manquant",IF(ISNA(MATCH(C241,cli_code,0)),"Client inconnu",IF(O241&lt;MAX($O$6:O240),"Date antérieure au devis précédent",IF(AND(ISNUMBER(F241),F241&lt;O241),"Validité antérieure à la date du devis",IF(AND(R241=0,G241&lt;&gt;"Annulé"),"Aucune ligne (feuille Lignes de devis)",IF(COUNTIFS(dl_doc,A241,dl_check,"&lt;&gt;OK")&gt;0,"Ligne(s) à corriger",IF(AND(L241&lt;&gt;"",OR(G241="Refusé",G241="Annulé")),"Devis refusé ou annulé mais facturé","OK"))))))))))</f>
        <v/>
      </c>
      <c r="O241" s="62">
        <f>IF(ISNUMBER(B241),B241,0)</f>
        <v>0.0</v>
      </c>
      <c r="P241" s="62" t="str">
        <f>IF(O241=0,"",YEAR(O241))</f>
        <v/>
      </c>
      <c r="Q241" s="62" t="str">
        <f>IF(P241="","",COUNTIF($P$6:P241,P241))</f>
        <v/>
      </c>
      <c r="R241" s="62">
        <f>IF(A241="",0,COUNTIF(dl_doc,A241))</f>
        <v>0.0</v>
      </c>
    </row>
    <row r="242">
      <c r="A242" s="59" t="str">
        <f>IF(Q242="","",p_pdv&amp;"-"&amp;P242&amp;"-"&amp;RIGHT("000"&amp;Q242,4))</f>
        <v/>
      </c>
      <c r="B242" s="61" t="n"/>
      <c r="C242" s="60" t="n"/>
      <c r="D242" s="62" t="str">
        <f>IF(C242="","",IFERROR(INDEX(cli_name,MATCH(C242,cli_code,0))&amp;"","Client inconnu"))</f>
        <v/>
      </c>
      <c r="E242" s="63" t="n"/>
      <c r="F242" s="61" t="n"/>
      <c r="G242" s="60" t="n"/>
      <c r="H242" s="64" t="str">
        <f>IF(A242="","",IF(ISNUMBER(F242),F242,O242+N(p_validity)))</f>
        <v/>
      </c>
      <c r="I242" s="65" t="str">
        <f>IF(A242="","",SUMIF(dl_doc,A242,dl_ht))</f>
        <v/>
      </c>
      <c r="J242" s="65" t="str">
        <f>IF(A242="","",IF(INDEX(p_rates,1)="",0,ROUND(SUMIFS(dl_ht,dl_doc,A242,dl_rate,INDEX(p_rates,1))*INDEX(p_rates,1),2))+IF(INDEX(p_rates,2)="",0,ROUND(SUMIFS(dl_ht,dl_doc,A242,dl_rate,INDEX(p_rates,2))*INDEX(p_rates,2),2))+IF(INDEX(p_rates,3)="",0,ROUND(SUMIFS(dl_ht,dl_doc,A242,dl_rate,INDEX(p_rates,3))*INDEX(p_rates,3),2))+IF(INDEX(p_rates,4)="",0,ROUND(SUMIFS(dl_ht,dl_doc,A242,dl_rate,INDEX(p_rates,4))*INDEX(p_rates,4),2))+IF(INDEX(p_rates,5)="",0,ROUND(SUMIFS(dl_ht,dl_doc,A242,dl_rate,INDEX(p_rates,5))*INDEX(p_rates,5),2))+IF(INDEX(p_rates,6)="",0,ROUND(SUMIFS(dl_ht,dl_doc,A242,dl_rate,INDEX(p_rates,6))*INDEX(p_rates,6),2)))</f>
        <v/>
      </c>
      <c r="K242" s="65" t="str">
        <f>IF(A242="","",I242+J242)</f>
        <v/>
      </c>
      <c r="L242" s="59" t="str">
        <f>IF(A242="","",IFERROR(INDEX(fa_num,MATCH(A242,fa_dvkey,0))&amp;"",""))</f>
        <v/>
      </c>
      <c r="M242" s="59" t="str">
        <f>IF(A242="","",IF(G242="Annulé","Annulé",IF(L242&lt;&gt;"","Facturé",IF(G242="Accepté","Accepté",IF(G242="Refusé","Refusé",IF(p_asof&gt;H242,"Expiré","En attente"))))))</f>
        <v/>
      </c>
      <c r="N242" s="59" t="str">
        <f>IF(COUNTA(B242:C242,E242:G242)=0,"",IF(B242="","Date manquante",IF(NOT(ISNUMBER(B242)),"Date invalide",IF(C242="","Client manquant",IF(ISNA(MATCH(C242,cli_code,0)),"Client inconnu",IF(O242&lt;MAX($O$6:O241),"Date antérieure au devis précédent",IF(AND(ISNUMBER(F242),F242&lt;O242),"Validité antérieure à la date du devis",IF(AND(R242=0,G242&lt;&gt;"Annulé"),"Aucune ligne (feuille Lignes de devis)",IF(COUNTIFS(dl_doc,A242,dl_check,"&lt;&gt;OK")&gt;0,"Ligne(s) à corriger",IF(AND(L242&lt;&gt;"",OR(G242="Refusé",G242="Annulé")),"Devis refusé ou annulé mais facturé","OK"))))))))))</f>
        <v/>
      </c>
      <c r="O242" s="62">
        <f>IF(ISNUMBER(B242),B242,0)</f>
        <v>0.0</v>
      </c>
      <c r="P242" s="62" t="str">
        <f>IF(O242=0,"",YEAR(O242))</f>
        <v/>
      </c>
      <c r="Q242" s="62" t="str">
        <f>IF(P242="","",COUNTIF($P$6:P242,P242))</f>
        <v/>
      </c>
      <c r="R242" s="62">
        <f>IF(A242="",0,COUNTIF(dl_doc,A242))</f>
        <v>0.0</v>
      </c>
    </row>
    <row r="243">
      <c r="A243" s="59" t="str">
        <f>IF(Q243="","",p_pdv&amp;"-"&amp;P243&amp;"-"&amp;RIGHT("000"&amp;Q243,4))</f>
        <v/>
      </c>
      <c r="B243" s="61" t="n"/>
      <c r="C243" s="60" t="n"/>
      <c r="D243" s="62" t="str">
        <f>IF(C243="","",IFERROR(INDEX(cli_name,MATCH(C243,cli_code,0))&amp;"","Client inconnu"))</f>
        <v/>
      </c>
      <c r="E243" s="63" t="n"/>
      <c r="F243" s="61" t="n"/>
      <c r="G243" s="60" t="n"/>
      <c r="H243" s="64" t="str">
        <f>IF(A243="","",IF(ISNUMBER(F243),F243,O243+N(p_validity)))</f>
        <v/>
      </c>
      <c r="I243" s="65" t="str">
        <f>IF(A243="","",SUMIF(dl_doc,A243,dl_ht))</f>
        <v/>
      </c>
      <c r="J243" s="65" t="str">
        <f>IF(A243="","",IF(INDEX(p_rates,1)="",0,ROUND(SUMIFS(dl_ht,dl_doc,A243,dl_rate,INDEX(p_rates,1))*INDEX(p_rates,1),2))+IF(INDEX(p_rates,2)="",0,ROUND(SUMIFS(dl_ht,dl_doc,A243,dl_rate,INDEX(p_rates,2))*INDEX(p_rates,2),2))+IF(INDEX(p_rates,3)="",0,ROUND(SUMIFS(dl_ht,dl_doc,A243,dl_rate,INDEX(p_rates,3))*INDEX(p_rates,3),2))+IF(INDEX(p_rates,4)="",0,ROUND(SUMIFS(dl_ht,dl_doc,A243,dl_rate,INDEX(p_rates,4))*INDEX(p_rates,4),2))+IF(INDEX(p_rates,5)="",0,ROUND(SUMIFS(dl_ht,dl_doc,A243,dl_rate,INDEX(p_rates,5))*INDEX(p_rates,5),2))+IF(INDEX(p_rates,6)="",0,ROUND(SUMIFS(dl_ht,dl_doc,A243,dl_rate,INDEX(p_rates,6))*INDEX(p_rates,6),2)))</f>
        <v/>
      </c>
      <c r="K243" s="65" t="str">
        <f>IF(A243="","",I243+J243)</f>
        <v/>
      </c>
      <c r="L243" s="59" t="str">
        <f>IF(A243="","",IFERROR(INDEX(fa_num,MATCH(A243,fa_dvkey,0))&amp;"",""))</f>
        <v/>
      </c>
      <c r="M243" s="59" t="str">
        <f>IF(A243="","",IF(G243="Annulé","Annulé",IF(L243&lt;&gt;"","Facturé",IF(G243="Accepté","Accepté",IF(G243="Refusé","Refusé",IF(p_asof&gt;H243,"Expiré","En attente"))))))</f>
        <v/>
      </c>
      <c r="N243" s="59" t="str">
        <f>IF(COUNTA(B243:C243,E243:G243)=0,"",IF(B243="","Date manquante",IF(NOT(ISNUMBER(B243)),"Date invalide",IF(C243="","Client manquant",IF(ISNA(MATCH(C243,cli_code,0)),"Client inconnu",IF(O243&lt;MAX($O$6:O242),"Date antérieure au devis précédent",IF(AND(ISNUMBER(F243),F243&lt;O243),"Validité antérieure à la date du devis",IF(AND(R243=0,G243&lt;&gt;"Annulé"),"Aucune ligne (feuille Lignes de devis)",IF(COUNTIFS(dl_doc,A243,dl_check,"&lt;&gt;OK")&gt;0,"Ligne(s) à corriger",IF(AND(L243&lt;&gt;"",OR(G243="Refusé",G243="Annulé")),"Devis refusé ou annulé mais facturé","OK"))))))))))</f>
        <v/>
      </c>
      <c r="O243" s="62">
        <f>IF(ISNUMBER(B243),B243,0)</f>
        <v>0.0</v>
      </c>
      <c r="P243" s="62" t="str">
        <f>IF(O243=0,"",YEAR(O243))</f>
        <v/>
      </c>
      <c r="Q243" s="62" t="str">
        <f>IF(P243="","",COUNTIF($P$6:P243,P243))</f>
        <v/>
      </c>
      <c r="R243" s="62">
        <f>IF(A243="",0,COUNTIF(dl_doc,A243))</f>
        <v>0.0</v>
      </c>
    </row>
    <row r="244">
      <c r="A244" s="59" t="str">
        <f>IF(Q244="","",p_pdv&amp;"-"&amp;P244&amp;"-"&amp;RIGHT("000"&amp;Q244,4))</f>
        <v/>
      </c>
      <c r="B244" s="61" t="n"/>
      <c r="C244" s="60" t="n"/>
      <c r="D244" s="62" t="str">
        <f>IF(C244="","",IFERROR(INDEX(cli_name,MATCH(C244,cli_code,0))&amp;"","Client inconnu"))</f>
        <v/>
      </c>
      <c r="E244" s="63" t="n"/>
      <c r="F244" s="61" t="n"/>
      <c r="G244" s="60" t="n"/>
      <c r="H244" s="64" t="str">
        <f>IF(A244="","",IF(ISNUMBER(F244),F244,O244+N(p_validity)))</f>
        <v/>
      </c>
      <c r="I244" s="65" t="str">
        <f>IF(A244="","",SUMIF(dl_doc,A244,dl_ht))</f>
        <v/>
      </c>
      <c r="J244" s="65" t="str">
        <f>IF(A244="","",IF(INDEX(p_rates,1)="",0,ROUND(SUMIFS(dl_ht,dl_doc,A244,dl_rate,INDEX(p_rates,1))*INDEX(p_rates,1),2))+IF(INDEX(p_rates,2)="",0,ROUND(SUMIFS(dl_ht,dl_doc,A244,dl_rate,INDEX(p_rates,2))*INDEX(p_rates,2),2))+IF(INDEX(p_rates,3)="",0,ROUND(SUMIFS(dl_ht,dl_doc,A244,dl_rate,INDEX(p_rates,3))*INDEX(p_rates,3),2))+IF(INDEX(p_rates,4)="",0,ROUND(SUMIFS(dl_ht,dl_doc,A244,dl_rate,INDEX(p_rates,4))*INDEX(p_rates,4),2))+IF(INDEX(p_rates,5)="",0,ROUND(SUMIFS(dl_ht,dl_doc,A244,dl_rate,INDEX(p_rates,5))*INDEX(p_rates,5),2))+IF(INDEX(p_rates,6)="",0,ROUND(SUMIFS(dl_ht,dl_doc,A244,dl_rate,INDEX(p_rates,6))*INDEX(p_rates,6),2)))</f>
        <v/>
      </c>
      <c r="K244" s="65" t="str">
        <f>IF(A244="","",I244+J244)</f>
        <v/>
      </c>
      <c r="L244" s="59" t="str">
        <f>IF(A244="","",IFERROR(INDEX(fa_num,MATCH(A244,fa_dvkey,0))&amp;"",""))</f>
        <v/>
      </c>
      <c r="M244" s="59" t="str">
        <f>IF(A244="","",IF(G244="Annulé","Annulé",IF(L244&lt;&gt;"","Facturé",IF(G244="Accepté","Accepté",IF(G244="Refusé","Refusé",IF(p_asof&gt;H244,"Expiré","En attente"))))))</f>
        <v/>
      </c>
      <c r="N244" s="59" t="str">
        <f>IF(COUNTA(B244:C244,E244:G244)=0,"",IF(B244="","Date manquante",IF(NOT(ISNUMBER(B244)),"Date invalide",IF(C244="","Client manquant",IF(ISNA(MATCH(C244,cli_code,0)),"Client inconnu",IF(O244&lt;MAX($O$6:O243),"Date antérieure au devis précédent",IF(AND(ISNUMBER(F244),F244&lt;O244),"Validité antérieure à la date du devis",IF(AND(R244=0,G244&lt;&gt;"Annulé"),"Aucune ligne (feuille Lignes de devis)",IF(COUNTIFS(dl_doc,A244,dl_check,"&lt;&gt;OK")&gt;0,"Ligne(s) à corriger",IF(AND(L244&lt;&gt;"",OR(G244="Refusé",G244="Annulé")),"Devis refusé ou annulé mais facturé","OK"))))))))))</f>
        <v/>
      </c>
      <c r="O244" s="62">
        <f>IF(ISNUMBER(B244),B244,0)</f>
        <v>0.0</v>
      </c>
      <c r="P244" s="62" t="str">
        <f>IF(O244=0,"",YEAR(O244))</f>
        <v/>
      </c>
      <c r="Q244" s="62" t="str">
        <f>IF(P244="","",COUNTIF($P$6:P244,P244))</f>
        <v/>
      </c>
      <c r="R244" s="62">
        <f>IF(A244="",0,COUNTIF(dl_doc,A244))</f>
        <v>0.0</v>
      </c>
    </row>
    <row r="245">
      <c r="A245" s="59" t="str">
        <f>IF(Q245="","",p_pdv&amp;"-"&amp;P245&amp;"-"&amp;RIGHT("000"&amp;Q245,4))</f>
        <v/>
      </c>
      <c r="B245" s="61" t="n"/>
      <c r="C245" s="60" t="n"/>
      <c r="D245" s="62" t="str">
        <f>IF(C245="","",IFERROR(INDEX(cli_name,MATCH(C245,cli_code,0))&amp;"","Client inconnu"))</f>
        <v/>
      </c>
      <c r="E245" s="63" t="n"/>
      <c r="F245" s="61" t="n"/>
      <c r="G245" s="60" t="n"/>
      <c r="H245" s="64" t="str">
        <f>IF(A245="","",IF(ISNUMBER(F245),F245,O245+N(p_validity)))</f>
        <v/>
      </c>
      <c r="I245" s="65" t="str">
        <f>IF(A245="","",SUMIF(dl_doc,A245,dl_ht))</f>
        <v/>
      </c>
      <c r="J245" s="65" t="str">
        <f>IF(A245="","",IF(INDEX(p_rates,1)="",0,ROUND(SUMIFS(dl_ht,dl_doc,A245,dl_rate,INDEX(p_rates,1))*INDEX(p_rates,1),2))+IF(INDEX(p_rates,2)="",0,ROUND(SUMIFS(dl_ht,dl_doc,A245,dl_rate,INDEX(p_rates,2))*INDEX(p_rates,2),2))+IF(INDEX(p_rates,3)="",0,ROUND(SUMIFS(dl_ht,dl_doc,A245,dl_rate,INDEX(p_rates,3))*INDEX(p_rates,3),2))+IF(INDEX(p_rates,4)="",0,ROUND(SUMIFS(dl_ht,dl_doc,A245,dl_rate,INDEX(p_rates,4))*INDEX(p_rates,4),2))+IF(INDEX(p_rates,5)="",0,ROUND(SUMIFS(dl_ht,dl_doc,A245,dl_rate,INDEX(p_rates,5))*INDEX(p_rates,5),2))+IF(INDEX(p_rates,6)="",0,ROUND(SUMIFS(dl_ht,dl_doc,A245,dl_rate,INDEX(p_rates,6))*INDEX(p_rates,6),2)))</f>
        <v/>
      </c>
      <c r="K245" s="65" t="str">
        <f>IF(A245="","",I245+J245)</f>
        <v/>
      </c>
      <c r="L245" s="59" t="str">
        <f>IF(A245="","",IFERROR(INDEX(fa_num,MATCH(A245,fa_dvkey,0))&amp;"",""))</f>
        <v/>
      </c>
      <c r="M245" s="59" t="str">
        <f>IF(A245="","",IF(G245="Annulé","Annulé",IF(L245&lt;&gt;"","Facturé",IF(G245="Accepté","Accepté",IF(G245="Refusé","Refusé",IF(p_asof&gt;H245,"Expiré","En attente"))))))</f>
        <v/>
      </c>
      <c r="N245" s="59" t="str">
        <f>IF(COUNTA(B245:C245,E245:G245)=0,"",IF(B245="","Date manquante",IF(NOT(ISNUMBER(B245)),"Date invalide",IF(C245="","Client manquant",IF(ISNA(MATCH(C245,cli_code,0)),"Client inconnu",IF(O245&lt;MAX($O$6:O244),"Date antérieure au devis précédent",IF(AND(ISNUMBER(F245),F245&lt;O245),"Validité antérieure à la date du devis",IF(AND(R245=0,G245&lt;&gt;"Annulé"),"Aucune ligne (feuille Lignes de devis)",IF(COUNTIFS(dl_doc,A245,dl_check,"&lt;&gt;OK")&gt;0,"Ligne(s) à corriger",IF(AND(L245&lt;&gt;"",OR(G245="Refusé",G245="Annulé")),"Devis refusé ou annulé mais facturé","OK"))))))))))</f>
        <v/>
      </c>
      <c r="O245" s="62">
        <f>IF(ISNUMBER(B245),B245,0)</f>
        <v>0.0</v>
      </c>
      <c r="P245" s="62" t="str">
        <f>IF(O245=0,"",YEAR(O245))</f>
        <v/>
      </c>
      <c r="Q245" s="62" t="str">
        <f>IF(P245="","",COUNTIF($P$6:P245,P245))</f>
        <v/>
      </c>
      <c r="R245" s="62">
        <f>IF(A245="",0,COUNTIF(dl_doc,A245))</f>
        <v>0.0</v>
      </c>
    </row>
    <row r="246">
      <c r="A246" s="59" t="str">
        <f>IF(Q246="","",p_pdv&amp;"-"&amp;P246&amp;"-"&amp;RIGHT("000"&amp;Q246,4))</f>
        <v/>
      </c>
      <c r="B246" s="61" t="n"/>
      <c r="C246" s="60" t="n"/>
      <c r="D246" s="62" t="str">
        <f>IF(C246="","",IFERROR(INDEX(cli_name,MATCH(C246,cli_code,0))&amp;"","Client inconnu"))</f>
        <v/>
      </c>
      <c r="E246" s="63" t="n"/>
      <c r="F246" s="61" t="n"/>
      <c r="G246" s="60" t="n"/>
      <c r="H246" s="64" t="str">
        <f>IF(A246="","",IF(ISNUMBER(F246),F246,O246+N(p_validity)))</f>
        <v/>
      </c>
      <c r="I246" s="65" t="str">
        <f>IF(A246="","",SUMIF(dl_doc,A246,dl_ht))</f>
        <v/>
      </c>
      <c r="J246" s="65" t="str">
        <f>IF(A246="","",IF(INDEX(p_rates,1)="",0,ROUND(SUMIFS(dl_ht,dl_doc,A246,dl_rate,INDEX(p_rates,1))*INDEX(p_rates,1),2))+IF(INDEX(p_rates,2)="",0,ROUND(SUMIFS(dl_ht,dl_doc,A246,dl_rate,INDEX(p_rates,2))*INDEX(p_rates,2),2))+IF(INDEX(p_rates,3)="",0,ROUND(SUMIFS(dl_ht,dl_doc,A246,dl_rate,INDEX(p_rates,3))*INDEX(p_rates,3),2))+IF(INDEX(p_rates,4)="",0,ROUND(SUMIFS(dl_ht,dl_doc,A246,dl_rate,INDEX(p_rates,4))*INDEX(p_rates,4),2))+IF(INDEX(p_rates,5)="",0,ROUND(SUMIFS(dl_ht,dl_doc,A246,dl_rate,INDEX(p_rates,5))*INDEX(p_rates,5),2))+IF(INDEX(p_rates,6)="",0,ROUND(SUMIFS(dl_ht,dl_doc,A246,dl_rate,INDEX(p_rates,6))*INDEX(p_rates,6),2)))</f>
        <v/>
      </c>
      <c r="K246" s="65" t="str">
        <f>IF(A246="","",I246+J246)</f>
        <v/>
      </c>
      <c r="L246" s="59" t="str">
        <f>IF(A246="","",IFERROR(INDEX(fa_num,MATCH(A246,fa_dvkey,0))&amp;"",""))</f>
        <v/>
      </c>
      <c r="M246" s="59" t="str">
        <f>IF(A246="","",IF(G246="Annulé","Annulé",IF(L246&lt;&gt;"","Facturé",IF(G246="Accepté","Accepté",IF(G246="Refusé","Refusé",IF(p_asof&gt;H246,"Expiré","En attente"))))))</f>
        <v/>
      </c>
      <c r="N246" s="59" t="str">
        <f>IF(COUNTA(B246:C246,E246:G246)=0,"",IF(B246="","Date manquante",IF(NOT(ISNUMBER(B246)),"Date invalide",IF(C246="","Client manquant",IF(ISNA(MATCH(C246,cli_code,0)),"Client inconnu",IF(O246&lt;MAX($O$6:O245),"Date antérieure au devis précédent",IF(AND(ISNUMBER(F246),F246&lt;O246),"Validité antérieure à la date du devis",IF(AND(R246=0,G246&lt;&gt;"Annulé"),"Aucune ligne (feuille Lignes de devis)",IF(COUNTIFS(dl_doc,A246,dl_check,"&lt;&gt;OK")&gt;0,"Ligne(s) à corriger",IF(AND(L246&lt;&gt;"",OR(G246="Refusé",G246="Annulé")),"Devis refusé ou annulé mais facturé","OK"))))))))))</f>
        <v/>
      </c>
      <c r="O246" s="62">
        <f>IF(ISNUMBER(B246),B246,0)</f>
        <v>0.0</v>
      </c>
      <c r="P246" s="62" t="str">
        <f>IF(O246=0,"",YEAR(O246))</f>
        <v/>
      </c>
      <c r="Q246" s="62" t="str">
        <f>IF(P246="","",COUNTIF($P$6:P246,P246))</f>
        <v/>
      </c>
      <c r="R246" s="62">
        <f>IF(A246="",0,COUNTIF(dl_doc,A246))</f>
        <v>0.0</v>
      </c>
    </row>
    <row r="247">
      <c r="A247" s="59" t="str">
        <f>IF(Q247="","",p_pdv&amp;"-"&amp;P247&amp;"-"&amp;RIGHT("000"&amp;Q247,4))</f>
        <v/>
      </c>
      <c r="B247" s="61" t="n"/>
      <c r="C247" s="60" t="n"/>
      <c r="D247" s="62" t="str">
        <f>IF(C247="","",IFERROR(INDEX(cli_name,MATCH(C247,cli_code,0))&amp;"","Client inconnu"))</f>
        <v/>
      </c>
      <c r="E247" s="63" t="n"/>
      <c r="F247" s="61" t="n"/>
      <c r="G247" s="60" t="n"/>
      <c r="H247" s="64" t="str">
        <f>IF(A247="","",IF(ISNUMBER(F247),F247,O247+N(p_validity)))</f>
        <v/>
      </c>
      <c r="I247" s="65" t="str">
        <f>IF(A247="","",SUMIF(dl_doc,A247,dl_ht))</f>
        <v/>
      </c>
      <c r="J247" s="65" t="str">
        <f>IF(A247="","",IF(INDEX(p_rates,1)="",0,ROUND(SUMIFS(dl_ht,dl_doc,A247,dl_rate,INDEX(p_rates,1))*INDEX(p_rates,1),2))+IF(INDEX(p_rates,2)="",0,ROUND(SUMIFS(dl_ht,dl_doc,A247,dl_rate,INDEX(p_rates,2))*INDEX(p_rates,2),2))+IF(INDEX(p_rates,3)="",0,ROUND(SUMIFS(dl_ht,dl_doc,A247,dl_rate,INDEX(p_rates,3))*INDEX(p_rates,3),2))+IF(INDEX(p_rates,4)="",0,ROUND(SUMIFS(dl_ht,dl_doc,A247,dl_rate,INDEX(p_rates,4))*INDEX(p_rates,4),2))+IF(INDEX(p_rates,5)="",0,ROUND(SUMIFS(dl_ht,dl_doc,A247,dl_rate,INDEX(p_rates,5))*INDEX(p_rates,5),2))+IF(INDEX(p_rates,6)="",0,ROUND(SUMIFS(dl_ht,dl_doc,A247,dl_rate,INDEX(p_rates,6))*INDEX(p_rates,6),2)))</f>
        <v/>
      </c>
      <c r="K247" s="65" t="str">
        <f>IF(A247="","",I247+J247)</f>
        <v/>
      </c>
      <c r="L247" s="59" t="str">
        <f>IF(A247="","",IFERROR(INDEX(fa_num,MATCH(A247,fa_dvkey,0))&amp;"",""))</f>
        <v/>
      </c>
      <c r="M247" s="59" t="str">
        <f>IF(A247="","",IF(G247="Annulé","Annulé",IF(L247&lt;&gt;"","Facturé",IF(G247="Accepté","Accepté",IF(G247="Refusé","Refusé",IF(p_asof&gt;H247,"Expiré","En attente"))))))</f>
        <v/>
      </c>
      <c r="N247" s="59" t="str">
        <f>IF(COUNTA(B247:C247,E247:G247)=0,"",IF(B247="","Date manquante",IF(NOT(ISNUMBER(B247)),"Date invalide",IF(C247="","Client manquant",IF(ISNA(MATCH(C247,cli_code,0)),"Client inconnu",IF(O247&lt;MAX($O$6:O246),"Date antérieure au devis précédent",IF(AND(ISNUMBER(F247),F247&lt;O247),"Validité antérieure à la date du devis",IF(AND(R247=0,G247&lt;&gt;"Annulé"),"Aucune ligne (feuille Lignes de devis)",IF(COUNTIFS(dl_doc,A247,dl_check,"&lt;&gt;OK")&gt;0,"Ligne(s) à corriger",IF(AND(L247&lt;&gt;"",OR(G247="Refusé",G247="Annulé")),"Devis refusé ou annulé mais facturé","OK"))))))))))</f>
        <v/>
      </c>
      <c r="O247" s="62">
        <f>IF(ISNUMBER(B247),B247,0)</f>
        <v>0.0</v>
      </c>
      <c r="P247" s="62" t="str">
        <f>IF(O247=0,"",YEAR(O247))</f>
        <v/>
      </c>
      <c r="Q247" s="62" t="str">
        <f>IF(P247="","",COUNTIF($P$6:P247,P247))</f>
        <v/>
      </c>
      <c r="R247" s="62">
        <f>IF(A247="",0,COUNTIF(dl_doc,A247))</f>
        <v>0.0</v>
      </c>
    </row>
    <row r="248">
      <c r="A248" s="59" t="str">
        <f>IF(Q248="","",p_pdv&amp;"-"&amp;P248&amp;"-"&amp;RIGHT("000"&amp;Q248,4))</f>
        <v/>
      </c>
      <c r="B248" s="61" t="n"/>
      <c r="C248" s="60" t="n"/>
      <c r="D248" s="62" t="str">
        <f>IF(C248="","",IFERROR(INDEX(cli_name,MATCH(C248,cli_code,0))&amp;"","Client inconnu"))</f>
        <v/>
      </c>
      <c r="E248" s="63" t="n"/>
      <c r="F248" s="61" t="n"/>
      <c r="G248" s="60" t="n"/>
      <c r="H248" s="64" t="str">
        <f>IF(A248="","",IF(ISNUMBER(F248),F248,O248+N(p_validity)))</f>
        <v/>
      </c>
      <c r="I248" s="65" t="str">
        <f>IF(A248="","",SUMIF(dl_doc,A248,dl_ht))</f>
        <v/>
      </c>
      <c r="J248" s="65" t="str">
        <f>IF(A248="","",IF(INDEX(p_rates,1)="",0,ROUND(SUMIFS(dl_ht,dl_doc,A248,dl_rate,INDEX(p_rates,1))*INDEX(p_rates,1),2))+IF(INDEX(p_rates,2)="",0,ROUND(SUMIFS(dl_ht,dl_doc,A248,dl_rate,INDEX(p_rates,2))*INDEX(p_rates,2),2))+IF(INDEX(p_rates,3)="",0,ROUND(SUMIFS(dl_ht,dl_doc,A248,dl_rate,INDEX(p_rates,3))*INDEX(p_rates,3),2))+IF(INDEX(p_rates,4)="",0,ROUND(SUMIFS(dl_ht,dl_doc,A248,dl_rate,INDEX(p_rates,4))*INDEX(p_rates,4),2))+IF(INDEX(p_rates,5)="",0,ROUND(SUMIFS(dl_ht,dl_doc,A248,dl_rate,INDEX(p_rates,5))*INDEX(p_rates,5),2))+IF(INDEX(p_rates,6)="",0,ROUND(SUMIFS(dl_ht,dl_doc,A248,dl_rate,INDEX(p_rates,6))*INDEX(p_rates,6),2)))</f>
        <v/>
      </c>
      <c r="K248" s="65" t="str">
        <f>IF(A248="","",I248+J248)</f>
        <v/>
      </c>
      <c r="L248" s="59" t="str">
        <f>IF(A248="","",IFERROR(INDEX(fa_num,MATCH(A248,fa_dvkey,0))&amp;"",""))</f>
        <v/>
      </c>
      <c r="M248" s="59" t="str">
        <f>IF(A248="","",IF(G248="Annulé","Annulé",IF(L248&lt;&gt;"","Facturé",IF(G248="Accepté","Accepté",IF(G248="Refusé","Refusé",IF(p_asof&gt;H248,"Expiré","En attente"))))))</f>
        <v/>
      </c>
      <c r="N248" s="59" t="str">
        <f>IF(COUNTA(B248:C248,E248:G248)=0,"",IF(B248="","Date manquante",IF(NOT(ISNUMBER(B248)),"Date invalide",IF(C248="","Client manquant",IF(ISNA(MATCH(C248,cli_code,0)),"Client inconnu",IF(O248&lt;MAX($O$6:O247),"Date antérieure au devis précédent",IF(AND(ISNUMBER(F248),F248&lt;O248),"Validité antérieure à la date du devis",IF(AND(R248=0,G248&lt;&gt;"Annulé"),"Aucune ligne (feuille Lignes de devis)",IF(COUNTIFS(dl_doc,A248,dl_check,"&lt;&gt;OK")&gt;0,"Ligne(s) à corriger",IF(AND(L248&lt;&gt;"",OR(G248="Refusé",G248="Annulé")),"Devis refusé ou annulé mais facturé","OK"))))))))))</f>
        <v/>
      </c>
      <c r="O248" s="62">
        <f>IF(ISNUMBER(B248),B248,0)</f>
        <v>0.0</v>
      </c>
      <c r="P248" s="62" t="str">
        <f>IF(O248=0,"",YEAR(O248))</f>
        <v/>
      </c>
      <c r="Q248" s="62" t="str">
        <f>IF(P248="","",COUNTIF($P$6:P248,P248))</f>
        <v/>
      </c>
      <c r="R248" s="62">
        <f>IF(A248="",0,COUNTIF(dl_doc,A248))</f>
        <v>0.0</v>
      </c>
    </row>
    <row r="249">
      <c r="A249" s="59" t="str">
        <f>IF(Q249="","",p_pdv&amp;"-"&amp;P249&amp;"-"&amp;RIGHT("000"&amp;Q249,4))</f>
        <v/>
      </c>
      <c r="B249" s="61" t="n"/>
      <c r="C249" s="60" t="n"/>
      <c r="D249" s="62" t="str">
        <f>IF(C249="","",IFERROR(INDEX(cli_name,MATCH(C249,cli_code,0))&amp;"","Client inconnu"))</f>
        <v/>
      </c>
      <c r="E249" s="63" t="n"/>
      <c r="F249" s="61" t="n"/>
      <c r="G249" s="60" t="n"/>
      <c r="H249" s="64" t="str">
        <f>IF(A249="","",IF(ISNUMBER(F249),F249,O249+N(p_validity)))</f>
        <v/>
      </c>
      <c r="I249" s="65" t="str">
        <f>IF(A249="","",SUMIF(dl_doc,A249,dl_ht))</f>
        <v/>
      </c>
      <c r="J249" s="65" t="str">
        <f>IF(A249="","",IF(INDEX(p_rates,1)="",0,ROUND(SUMIFS(dl_ht,dl_doc,A249,dl_rate,INDEX(p_rates,1))*INDEX(p_rates,1),2))+IF(INDEX(p_rates,2)="",0,ROUND(SUMIFS(dl_ht,dl_doc,A249,dl_rate,INDEX(p_rates,2))*INDEX(p_rates,2),2))+IF(INDEX(p_rates,3)="",0,ROUND(SUMIFS(dl_ht,dl_doc,A249,dl_rate,INDEX(p_rates,3))*INDEX(p_rates,3),2))+IF(INDEX(p_rates,4)="",0,ROUND(SUMIFS(dl_ht,dl_doc,A249,dl_rate,INDEX(p_rates,4))*INDEX(p_rates,4),2))+IF(INDEX(p_rates,5)="",0,ROUND(SUMIFS(dl_ht,dl_doc,A249,dl_rate,INDEX(p_rates,5))*INDEX(p_rates,5),2))+IF(INDEX(p_rates,6)="",0,ROUND(SUMIFS(dl_ht,dl_doc,A249,dl_rate,INDEX(p_rates,6))*INDEX(p_rates,6),2)))</f>
        <v/>
      </c>
      <c r="K249" s="65" t="str">
        <f>IF(A249="","",I249+J249)</f>
        <v/>
      </c>
      <c r="L249" s="59" t="str">
        <f>IF(A249="","",IFERROR(INDEX(fa_num,MATCH(A249,fa_dvkey,0))&amp;"",""))</f>
        <v/>
      </c>
      <c r="M249" s="59" t="str">
        <f>IF(A249="","",IF(G249="Annulé","Annulé",IF(L249&lt;&gt;"","Facturé",IF(G249="Accepté","Accepté",IF(G249="Refusé","Refusé",IF(p_asof&gt;H249,"Expiré","En attente"))))))</f>
        <v/>
      </c>
      <c r="N249" s="59" t="str">
        <f>IF(COUNTA(B249:C249,E249:G249)=0,"",IF(B249="","Date manquante",IF(NOT(ISNUMBER(B249)),"Date invalide",IF(C249="","Client manquant",IF(ISNA(MATCH(C249,cli_code,0)),"Client inconnu",IF(O249&lt;MAX($O$6:O248),"Date antérieure au devis précédent",IF(AND(ISNUMBER(F249),F249&lt;O249),"Validité antérieure à la date du devis",IF(AND(R249=0,G249&lt;&gt;"Annulé"),"Aucune ligne (feuille Lignes de devis)",IF(COUNTIFS(dl_doc,A249,dl_check,"&lt;&gt;OK")&gt;0,"Ligne(s) à corriger",IF(AND(L249&lt;&gt;"",OR(G249="Refusé",G249="Annulé")),"Devis refusé ou annulé mais facturé","OK"))))))))))</f>
        <v/>
      </c>
      <c r="O249" s="62">
        <f>IF(ISNUMBER(B249),B249,0)</f>
        <v>0.0</v>
      </c>
      <c r="P249" s="62" t="str">
        <f>IF(O249=0,"",YEAR(O249))</f>
        <v/>
      </c>
      <c r="Q249" s="62" t="str">
        <f>IF(P249="","",COUNTIF($P$6:P249,P249))</f>
        <v/>
      </c>
      <c r="R249" s="62">
        <f>IF(A249="",0,COUNTIF(dl_doc,A249))</f>
        <v>0.0</v>
      </c>
    </row>
    <row r="250">
      <c r="A250" s="59" t="str">
        <f>IF(Q250="","",p_pdv&amp;"-"&amp;P250&amp;"-"&amp;RIGHT("000"&amp;Q250,4))</f>
        <v/>
      </c>
      <c r="B250" s="61" t="n"/>
      <c r="C250" s="60" t="n"/>
      <c r="D250" s="62" t="str">
        <f>IF(C250="","",IFERROR(INDEX(cli_name,MATCH(C250,cli_code,0))&amp;"","Client inconnu"))</f>
        <v/>
      </c>
      <c r="E250" s="63" t="n"/>
      <c r="F250" s="61" t="n"/>
      <c r="G250" s="60" t="n"/>
      <c r="H250" s="64" t="str">
        <f>IF(A250="","",IF(ISNUMBER(F250),F250,O250+N(p_validity)))</f>
        <v/>
      </c>
      <c r="I250" s="65" t="str">
        <f>IF(A250="","",SUMIF(dl_doc,A250,dl_ht))</f>
        <v/>
      </c>
      <c r="J250" s="65" t="str">
        <f>IF(A250="","",IF(INDEX(p_rates,1)="",0,ROUND(SUMIFS(dl_ht,dl_doc,A250,dl_rate,INDEX(p_rates,1))*INDEX(p_rates,1),2))+IF(INDEX(p_rates,2)="",0,ROUND(SUMIFS(dl_ht,dl_doc,A250,dl_rate,INDEX(p_rates,2))*INDEX(p_rates,2),2))+IF(INDEX(p_rates,3)="",0,ROUND(SUMIFS(dl_ht,dl_doc,A250,dl_rate,INDEX(p_rates,3))*INDEX(p_rates,3),2))+IF(INDEX(p_rates,4)="",0,ROUND(SUMIFS(dl_ht,dl_doc,A250,dl_rate,INDEX(p_rates,4))*INDEX(p_rates,4),2))+IF(INDEX(p_rates,5)="",0,ROUND(SUMIFS(dl_ht,dl_doc,A250,dl_rate,INDEX(p_rates,5))*INDEX(p_rates,5),2))+IF(INDEX(p_rates,6)="",0,ROUND(SUMIFS(dl_ht,dl_doc,A250,dl_rate,INDEX(p_rates,6))*INDEX(p_rates,6),2)))</f>
        <v/>
      </c>
      <c r="K250" s="65" t="str">
        <f>IF(A250="","",I250+J250)</f>
        <v/>
      </c>
      <c r="L250" s="59" t="str">
        <f>IF(A250="","",IFERROR(INDEX(fa_num,MATCH(A250,fa_dvkey,0))&amp;"",""))</f>
        <v/>
      </c>
      <c r="M250" s="59" t="str">
        <f>IF(A250="","",IF(G250="Annulé","Annulé",IF(L250&lt;&gt;"","Facturé",IF(G250="Accepté","Accepté",IF(G250="Refusé","Refusé",IF(p_asof&gt;H250,"Expiré","En attente"))))))</f>
        <v/>
      </c>
      <c r="N250" s="59" t="str">
        <f>IF(COUNTA(B250:C250,E250:G250)=0,"",IF(B250="","Date manquante",IF(NOT(ISNUMBER(B250)),"Date invalide",IF(C250="","Client manquant",IF(ISNA(MATCH(C250,cli_code,0)),"Client inconnu",IF(O250&lt;MAX($O$6:O249),"Date antérieure au devis précédent",IF(AND(ISNUMBER(F250),F250&lt;O250),"Validité antérieure à la date du devis",IF(AND(R250=0,G250&lt;&gt;"Annulé"),"Aucune ligne (feuille Lignes de devis)",IF(COUNTIFS(dl_doc,A250,dl_check,"&lt;&gt;OK")&gt;0,"Ligne(s) à corriger",IF(AND(L250&lt;&gt;"",OR(G250="Refusé",G250="Annulé")),"Devis refusé ou annulé mais facturé","OK"))))))))))</f>
        <v/>
      </c>
      <c r="O250" s="62">
        <f>IF(ISNUMBER(B250),B250,0)</f>
        <v>0.0</v>
      </c>
      <c r="P250" s="62" t="str">
        <f>IF(O250=0,"",YEAR(O250))</f>
        <v/>
      </c>
      <c r="Q250" s="62" t="str">
        <f>IF(P250="","",COUNTIF($P$6:P250,P250))</f>
        <v/>
      </c>
      <c r="R250" s="62">
        <f>IF(A250="",0,COUNTIF(dl_doc,A250))</f>
        <v>0.0</v>
      </c>
    </row>
    <row r="251">
      <c r="A251" s="59" t="str">
        <f>IF(Q251="","",p_pdv&amp;"-"&amp;P251&amp;"-"&amp;RIGHT("000"&amp;Q251,4))</f>
        <v/>
      </c>
      <c r="B251" s="61" t="n"/>
      <c r="C251" s="60" t="n"/>
      <c r="D251" s="62" t="str">
        <f>IF(C251="","",IFERROR(INDEX(cli_name,MATCH(C251,cli_code,0))&amp;"","Client inconnu"))</f>
        <v/>
      </c>
      <c r="E251" s="63" t="n"/>
      <c r="F251" s="61" t="n"/>
      <c r="G251" s="60" t="n"/>
      <c r="H251" s="64" t="str">
        <f>IF(A251="","",IF(ISNUMBER(F251),F251,O251+N(p_validity)))</f>
        <v/>
      </c>
      <c r="I251" s="65" t="str">
        <f>IF(A251="","",SUMIF(dl_doc,A251,dl_ht))</f>
        <v/>
      </c>
      <c r="J251" s="65" t="str">
        <f>IF(A251="","",IF(INDEX(p_rates,1)="",0,ROUND(SUMIFS(dl_ht,dl_doc,A251,dl_rate,INDEX(p_rates,1))*INDEX(p_rates,1),2))+IF(INDEX(p_rates,2)="",0,ROUND(SUMIFS(dl_ht,dl_doc,A251,dl_rate,INDEX(p_rates,2))*INDEX(p_rates,2),2))+IF(INDEX(p_rates,3)="",0,ROUND(SUMIFS(dl_ht,dl_doc,A251,dl_rate,INDEX(p_rates,3))*INDEX(p_rates,3),2))+IF(INDEX(p_rates,4)="",0,ROUND(SUMIFS(dl_ht,dl_doc,A251,dl_rate,INDEX(p_rates,4))*INDEX(p_rates,4),2))+IF(INDEX(p_rates,5)="",0,ROUND(SUMIFS(dl_ht,dl_doc,A251,dl_rate,INDEX(p_rates,5))*INDEX(p_rates,5),2))+IF(INDEX(p_rates,6)="",0,ROUND(SUMIFS(dl_ht,dl_doc,A251,dl_rate,INDEX(p_rates,6))*INDEX(p_rates,6),2)))</f>
        <v/>
      </c>
      <c r="K251" s="65" t="str">
        <f>IF(A251="","",I251+J251)</f>
        <v/>
      </c>
      <c r="L251" s="59" t="str">
        <f>IF(A251="","",IFERROR(INDEX(fa_num,MATCH(A251,fa_dvkey,0))&amp;"",""))</f>
        <v/>
      </c>
      <c r="M251" s="59" t="str">
        <f>IF(A251="","",IF(G251="Annulé","Annulé",IF(L251&lt;&gt;"","Facturé",IF(G251="Accepté","Accepté",IF(G251="Refusé","Refusé",IF(p_asof&gt;H251,"Expiré","En attente"))))))</f>
        <v/>
      </c>
      <c r="N251" s="59" t="str">
        <f>IF(COUNTA(B251:C251,E251:G251)=0,"",IF(B251="","Date manquante",IF(NOT(ISNUMBER(B251)),"Date invalide",IF(C251="","Client manquant",IF(ISNA(MATCH(C251,cli_code,0)),"Client inconnu",IF(O251&lt;MAX($O$6:O250),"Date antérieure au devis précédent",IF(AND(ISNUMBER(F251),F251&lt;O251),"Validité antérieure à la date du devis",IF(AND(R251=0,G251&lt;&gt;"Annulé"),"Aucune ligne (feuille Lignes de devis)",IF(COUNTIFS(dl_doc,A251,dl_check,"&lt;&gt;OK")&gt;0,"Ligne(s) à corriger",IF(AND(L251&lt;&gt;"",OR(G251="Refusé",G251="Annulé")),"Devis refusé ou annulé mais facturé","OK"))))))))))</f>
        <v/>
      </c>
      <c r="O251" s="62">
        <f>IF(ISNUMBER(B251),B251,0)</f>
        <v>0.0</v>
      </c>
      <c r="P251" s="62" t="str">
        <f>IF(O251=0,"",YEAR(O251))</f>
        <v/>
      </c>
      <c r="Q251" s="62" t="str">
        <f>IF(P251="","",COUNTIF($P$6:P251,P251))</f>
        <v/>
      </c>
      <c r="R251" s="62">
        <f>IF(A251="",0,COUNTIF(dl_doc,A251))</f>
        <v>0.0</v>
      </c>
    </row>
    <row r="252">
      <c r="A252" s="59" t="str">
        <f>IF(Q252="","",p_pdv&amp;"-"&amp;P252&amp;"-"&amp;RIGHT("000"&amp;Q252,4))</f>
        <v/>
      </c>
      <c r="B252" s="61" t="n"/>
      <c r="C252" s="60" t="n"/>
      <c r="D252" s="62" t="str">
        <f>IF(C252="","",IFERROR(INDEX(cli_name,MATCH(C252,cli_code,0))&amp;"","Client inconnu"))</f>
        <v/>
      </c>
      <c r="E252" s="63" t="n"/>
      <c r="F252" s="61" t="n"/>
      <c r="G252" s="60" t="n"/>
      <c r="H252" s="64" t="str">
        <f>IF(A252="","",IF(ISNUMBER(F252),F252,O252+N(p_validity)))</f>
        <v/>
      </c>
      <c r="I252" s="65" t="str">
        <f>IF(A252="","",SUMIF(dl_doc,A252,dl_ht))</f>
        <v/>
      </c>
      <c r="J252" s="65" t="str">
        <f>IF(A252="","",IF(INDEX(p_rates,1)="",0,ROUND(SUMIFS(dl_ht,dl_doc,A252,dl_rate,INDEX(p_rates,1))*INDEX(p_rates,1),2))+IF(INDEX(p_rates,2)="",0,ROUND(SUMIFS(dl_ht,dl_doc,A252,dl_rate,INDEX(p_rates,2))*INDEX(p_rates,2),2))+IF(INDEX(p_rates,3)="",0,ROUND(SUMIFS(dl_ht,dl_doc,A252,dl_rate,INDEX(p_rates,3))*INDEX(p_rates,3),2))+IF(INDEX(p_rates,4)="",0,ROUND(SUMIFS(dl_ht,dl_doc,A252,dl_rate,INDEX(p_rates,4))*INDEX(p_rates,4),2))+IF(INDEX(p_rates,5)="",0,ROUND(SUMIFS(dl_ht,dl_doc,A252,dl_rate,INDEX(p_rates,5))*INDEX(p_rates,5),2))+IF(INDEX(p_rates,6)="",0,ROUND(SUMIFS(dl_ht,dl_doc,A252,dl_rate,INDEX(p_rates,6))*INDEX(p_rates,6),2)))</f>
        <v/>
      </c>
      <c r="K252" s="65" t="str">
        <f>IF(A252="","",I252+J252)</f>
        <v/>
      </c>
      <c r="L252" s="59" t="str">
        <f>IF(A252="","",IFERROR(INDEX(fa_num,MATCH(A252,fa_dvkey,0))&amp;"",""))</f>
        <v/>
      </c>
      <c r="M252" s="59" t="str">
        <f>IF(A252="","",IF(G252="Annulé","Annulé",IF(L252&lt;&gt;"","Facturé",IF(G252="Accepté","Accepté",IF(G252="Refusé","Refusé",IF(p_asof&gt;H252,"Expiré","En attente"))))))</f>
        <v/>
      </c>
      <c r="N252" s="59" t="str">
        <f>IF(COUNTA(B252:C252,E252:G252)=0,"",IF(B252="","Date manquante",IF(NOT(ISNUMBER(B252)),"Date invalide",IF(C252="","Client manquant",IF(ISNA(MATCH(C252,cli_code,0)),"Client inconnu",IF(O252&lt;MAX($O$6:O251),"Date antérieure au devis précédent",IF(AND(ISNUMBER(F252),F252&lt;O252),"Validité antérieure à la date du devis",IF(AND(R252=0,G252&lt;&gt;"Annulé"),"Aucune ligne (feuille Lignes de devis)",IF(COUNTIFS(dl_doc,A252,dl_check,"&lt;&gt;OK")&gt;0,"Ligne(s) à corriger",IF(AND(L252&lt;&gt;"",OR(G252="Refusé",G252="Annulé")),"Devis refusé ou annulé mais facturé","OK"))))))))))</f>
        <v/>
      </c>
      <c r="O252" s="62">
        <f>IF(ISNUMBER(B252),B252,0)</f>
        <v>0.0</v>
      </c>
      <c r="P252" s="62" t="str">
        <f>IF(O252=0,"",YEAR(O252))</f>
        <v/>
      </c>
      <c r="Q252" s="62" t="str">
        <f>IF(P252="","",COUNTIF($P$6:P252,P252))</f>
        <v/>
      </c>
      <c r="R252" s="62">
        <f>IF(A252="",0,COUNTIF(dl_doc,A252))</f>
        <v>0.0</v>
      </c>
    </row>
    <row r="253">
      <c r="A253" s="59" t="str">
        <f>IF(Q253="","",p_pdv&amp;"-"&amp;P253&amp;"-"&amp;RIGHT("000"&amp;Q253,4))</f>
        <v/>
      </c>
      <c r="B253" s="61" t="n"/>
      <c r="C253" s="60" t="n"/>
      <c r="D253" s="62" t="str">
        <f>IF(C253="","",IFERROR(INDEX(cli_name,MATCH(C253,cli_code,0))&amp;"","Client inconnu"))</f>
        <v/>
      </c>
      <c r="E253" s="63" t="n"/>
      <c r="F253" s="61" t="n"/>
      <c r="G253" s="60" t="n"/>
      <c r="H253" s="64" t="str">
        <f>IF(A253="","",IF(ISNUMBER(F253),F253,O253+N(p_validity)))</f>
        <v/>
      </c>
      <c r="I253" s="65" t="str">
        <f>IF(A253="","",SUMIF(dl_doc,A253,dl_ht))</f>
        <v/>
      </c>
      <c r="J253" s="65" t="str">
        <f>IF(A253="","",IF(INDEX(p_rates,1)="",0,ROUND(SUMIFS(dl_ht,dl_doc,A253,dl_rate,INDEX(p_rates,1))*INDEX(p_rates,1),2))+IF(INDEX(p_rates,2)="",0,ROUND(SUMIFS(dl_ht,dl_doc,A253,dl_rate,INDEX(p_rates,2))*INDEX(p_rates,2),2))+IF(INDEX(p_rates,3)="",0,ROUND(SUMIFS(dl_ht,dl_doc,A253,dl_rate,INDEX(p_rates,3))*INDEX(p_rates,3),2))+IF(INDEX(p_rates,4)="",0,ROUND(SUMIFS(dl_ht,dl_doc,A253,dl_rate,INDEX(p_rates,4))*INDEX(p_rates,4),2))+IF(INDEX(p_rates,5)="",0,ROUND(SUMIFS(dl_ht,dl_doc,A253,dl_rate,INDEX(p_rates,5))*INDEX(p_rates,5),2))+IF(INDEX(p_rates,6)="",0,ROUND(SUMIFS(dl_ht,dl_doc,A253,dl_rate,INDEX(p_rates,6))*INDEX(p_rates,6),2)))</f>
        <v/>
      </c>
      <c r="K253" s="65" t="str">
        <f>IF(A253="","",I253+J253)</f>
        <v/>
      </c>
      <c r="L253" s="59" t="str">
        <f>IF(A253="","",IFERROR(INDEX(fa_num,MATCH(A253,fa_dvkey,0))&amp;"",""))</f>
        <v/>
      </c>
      <c r="M253" s="59" t="str">
        <f>IF(A253="","",IF(G253="Annulé","Annulé",IF(L253&lt;&gt;"","Facturé",IF(G253="Accepté","Accepté",IF(G253="Refusé","Refusé",IF(p_asof&gt;H253,"Expiré","En attente"))))))</f>
        <v/>
      </c>
      <c r="N253" s="59" t="str">
        <f>IF(COUNTA(B253:C253,E253:G253)=0,"",IF(B253="","Date manquante",IF(NOT(ISNUMBER(B253)),"Date invalide",IF(C253="","Client manquant",IF(ISNA(MATCH(C253,cli_code,0)),"Client inconnu",IF(O253&lt;MAX($O$6:O252),"Date antérieure au devis précédent",IF(AND(ISNUMBER(F253),F253&lt;O253),"Validité antérieure à la date du devis",IF(AND(R253=0,G253&lt;&gt;"Annulé"),"Aucune ligne (feuille Lignes de devis)",IF(COUNTIFS(dl_doc,A253,dl_check,"&lt;&gt;OK")&gt;0,"Ligne(s) à corriger",IF(AND(L253&lt;&gt;"",OR(G253="Refusé",G253="Annulé")),"Devis refusé ou annulé mais facturé","OK"))))))))))</f>
        <v/>
      </c>
      <c r="O253" s="62">
        <f>IF(ISNUMBER(B253),B253,0)</f>
        <v>0.0</v>
      </c>
      <c r="P253" s="62" t="str">
        <f>IF(O253=0,"",YEAR(O253))</f>
        <v/>
      </c>
      <c r="Q253" s="62" t="str">
        <f>IF(P253="","",COUNTIF($P$6:P253,P253))</f>
        <v/>
      </c>
      <c r="R253" s="62">
        <f>IF(A253="",0,COUNTIF(dl_doc,A253))</f>
        <v>0.0</v>
      </c>
    </row>
    <row r="254">
      <c r="A254" s="59" t="str">
        <f>IF(Q254="","",p_pdv&amp;"-"&amp;P254&amp;"-"&amp;RIGHT("000"&amp;Q254,4))</f>
        <v/>
      </c>
      <c r="B254" s="61" t="n"/>
      <c r="C254" s="60" t="n"/>
      <c r="D254" s="62" t="str">
        <f>IF(C254="","",IFERROR(INDEX(cli_name,MATCH(C254,cli_code,0))&amp;"","Client inconnu"))</f>
        <v/>
      </c>
      <c r="E254" s="63" t="n"/>
      <c r="F254" s="61" t="n"/>
      <c r="G254" s="60" t="n"/>
      <c r="H254" s="64" t="str">
        <f>IF(A254="","",IF(ISNUMBER(F254),F254,O254+N(p_validity)))</f>
        <v/>
      </c>
      <c r="I254" s="65" t="str">
        <f>IF(A254="","",SUMIF(dl_doc,A254,dl_ht))</f>
        <v/>
      </c>
      <c r="J254" s="65" t="str">
        <f>IF(A254="","",IF(INDEX(p_rates,1)="",0,ROUND(SUMIFS(dl_ht,dl_doc,A254,dl_rate,INDEX(p_rates,1))*INDEX(p_rates,1),2))+IF(INDEX(p_rates,2)="",0,ROUND(SUMIFS(dl_ht,dl_doc,A254,dl_rate,INDEX(p_rates,2))*INDEX(p_rates,2),2))+IF(INDEX(p_rates,3)="",0,ROUND(SUMIFS(dl_ht,dl_doc,A254,dl_rate,INDEX(p_rates,3))*INDEX(p_rates,3),2))+IF(INDEX(p_rates,4)="",0,ROUND(SUMIFS(dl_ht,dl_doc,A254,dl_rate,INDEX(p_rates,4))*INDEX(p_rates,4),2))+IF(INDEX(p_rates,5)="",0,ROUND(SUMIFS(dl_ht,dl_doc,A254,dl_rate,INDEX(p_rates,5))*INDEX(p_rates,5),2))+IF(INDEX(p_rates,6)="",0,ROUND(SUMIFS(dl_ht,dl_doc,A254,dl_rate,INDEX(p_rates,6))*INDEX(p_rates,6),2)))</f>
        <v/>
      </c>
      <c r="K254" s="65" t="str">
        <f>IF(A254="","",I254+J254)</f>
        <v/>
      </c>
      <c r="L254" s="59" t="str">
        <f>IF(A254="","",IFERROR(INDEX(fa_num,MATCH(A254,fa_dvkey,0))&amp;"",""))</f>
        <v/>
      </c>
      <c r="M254" s="59" t="str">
        <f>IF(A254="","",IF(G254="Annulé","Annulé",IF(L254&lt;&gt;"","Facturé",IF(G254="Accepté","Accepté",IF(G254="Refusé","Refusé",IF(p_asof&gt;H254,"Expiré","En attente"))))))</f>
        <v/>
      </c>
      <c r="N254" s="59" t="str">
        <f>IF(COUNTA(B254:C254,E254:G254)=0,"",IF(B254="","Date manquante",IF(NOT(ISNUMBER(B254)),"Date invalide",IF(C254="","Client manquant",IF(ISNA(MATCH(C254,cli_code,0)),"Client inconnu",IF(O254&lt;MAX($O$6:O253),"Date antérieure au devis précédent",IF(AND(ISNUMBER(F254),F254&lt;O254),"Validité antérieure à la date du devis",IF(AND(R254=0,G254&lt;&gt;"Annulé"),"Aucune ligne (feuille Lignes de devis)",IF(COUNTIFS(dl_doc,A254,dl_check,"&lt;&gt;OK")&gt;0,"Ligne(s) à corriger",IF(AND(L254&lt;&gt;"",OR(G254="Refusé",G254="Annulé")),"Devis refusé ou annulé mais facturé","OK"))))))))))</f>
        <v/>
      </c>
      <c r="O254" s="62">
        <f>IF(ISNUMBER(B254),B254,0)</f>
        <v>0.0</v>
      </c>
      <c r="P254" s="62" t="str">
        <f>IF(O254=0,"",YEAR(O254))</f>
        <v/>
      </c>
      <c r="Q254" s="62" t="str">
        <f>IF(P254="","",COUNTIF($P$6:P254,P254))</f>
        <v/>
      </c>
      <c r="R254" s="62">
        <f>IF(A254="",0,COUNTIF(dl_doc,A254))</f>
        <v>0.0</v>
      </c>
    </row>
    <row r="255">
      <c r="A255" s="59" t="str">
        <f>IF(Q255="","",p_pdv&amp;"-"&amp;P255&amp;"-"&amp;RIGHT("000"&amp;Q255,4))</f>
        <v/>
      </c>
      <c r="B255" s="61" t="n"/>
      <c r="C255" s="60" t="n"/>
      <c r="D255" s="62" t="str">
        <f>IF(C255="","",IFERROR(INDEX(cli_name,MATCH(C255,cli_code,0))&amp;"","Client inconnu"))</f>
        <v/>
      </c>
      <c r="E255" s="63" t="n"/>
      <c r="F255" s="61" t="n"/>
      <c r="G255" s="60" t="n"/>
      <c r="H255" s="64" t="str">
        <f>IF(A255="","",IF(ISNUMBER(F255),F255,O255+N(p_validity)))</f>
        <v/>
      </c>
      <c r="I255" s="65" t="str">
        <f>IF(A255="","",SUMIF(dl_doc,A255,dl_ht))</f>
        <v/>
      </c>
      <c r="J255" s="65" t="str">
        <f>IF(A255="","",IF(INDEX(p_rates,1)="",0,ROUND(SUMIFS(dl_ht,dl_doc,A255,dl_rate,INDEX(p_rates,1))*INDEX(p_rates,1),2))+IF(INDEX(p_rates,2)="",0,ROUND(SUMIFS(dl_ht,dl_doc,A255,dl_rate,INDEX(p_rates,2))*INDEX(p_rates,2),2))+IF(INDEX(p_rates,3)="",0,ROUND(SUMIFS(dl_ht,dl_doc,A255,dl_rate,INDEX(p_rates,3))*INDEX(p_rates,3),2))+IF(INDEX(p_rates,4)="",0,ROUND(SUMIFS(dl_ht,dl_doc,A255,dl_rate,INDEX(p_rates,4))*INDEX(p_rates,4),2))+IF(INDEX(p_rates,5)="",0,ROUND(SUMIFS(dl_ht,dl_doc,A255,dl_rate,INDEX(p_rates,5))*INDEX(p_rates,5),2))+IF(INDEX(p_rates,6)="",0,ROUND(SUMIFS(dl_ht,dl_doc,A255,dl_rate,INDEX(p_rates,6))*INDEX(p_rates,6),2)))</f>
        <v/>
      </c>
      <c r="K255" s="65" t="str">
        <f>IF(A255="","",I255+J255)</f>
        <v/>
      </c>
      <c r="L255" s="59" t="str">
        <f>IF(A255="","",IFERROR(INDEX(fa_num,MATCH(A255,fa_dvkey,0))&amp;"",""))</f>
        <v/>
      </c>
      <c r="M255" s="59" t="str">
        <f>IF(A255="","",IF(G255="Annulé","Annulé",IF(L255&lt;&gt;"","Facturé",IF(G255="Accepté","Accepté",IF(G255="Refusé","Refusé",IF(p_asof&gt;H255,"Expiré","En attente"))))))</f>
        <v/>
      </c>
      <c r="N255" s="59" t="str">
        <f>IF(COUNTA(B255:C255,E255:G255)=0,"",IF(B255="","Date manquante",IF(NOT(ISNUMBER(B255)),"Date invalide",IF(C255="","Client manquant",IF(ISNA(MATCH(C255,cli_code,0)),"Client inconnu",IF(O255&lt;MAX($O$6:O254),"Date antérieure au devis précédent",IF(AND(ISNUMBER(F255),F255&lt;O255),"Validité antérieure à la date du devis",IF(AND(R255=0,G255&lt;&gt;"Annulé"),"Aucune ligne (feuille Lignes de devis)",IF(COUNTIFS(dl_doc,A255,dl_check,"&lt;&gt;OK")&gt;0,"Ligne(s) à corriger",IF(AND(L255&lt;&gt;"",OR(G255="Refusé",G255="Annulé")),"Devis refusé ou annulé mais facturé","OK"))))))))))</f>
        <v/>
      </c>
      <c r="O255" s="62">
        <f>IF(ISNUMBER(B255),B255,0)</f>
        <v>0.0</v>
      </c>
      <c r="P255" s="62" t="str">
        <f>IF(O255=0,"",YEAR(O255))</f>
        <v/>
      </c>
      <c r="Q255" s="62" t="str">
        <f>IF(P255="","",COUNTIF($P$6:P255,P255))</f>
        <v/>
      </c>
      <c r="R255" s="62">
        <f>IF(A255="",0,COUNTIF(dl_doc,A255))</f>
        <v>0.0</v>
      </c>
    </row>
    <row r="256">
      <c r="A256" s="59" t="str">
        <f>IF(Q256="","",p_pdv&amp;"-"&amp;P256&amp;"-"&amp;RIGHT("000"&amp;Q256,4))</f>
        <v/>
      </c>
      <c r="B256" s="61" t="n"/>
      <c r="C256" s="60" t="n"/>
      <c r="D256" s="62" t="str">
        <f>IF(C256="","",IFERROR(INDEX(cli_name,MATCH(C256,cli_code,0))&amp;"","Client inconnu"))</f>
        <v/>
      </c>
      <c r="E256" s="63" t="n"/>
      <c r="F256" s="61" t="n"/>
      <c r="G256" s="60" t="n"/>
      <c r="H256" s="64" t="str">
        <f>IF(A256="","",IF(ISNUMBER(F256),F256,O256+N(p_validity)))</f>
        <v/>
      </c>
      <c r="I256" s="65" t="str">
        <f>IF(A256="","",SUMIF(dl_doc,A256,dl_ht))</f>
        <v/>
      </c>
      <c r="J256" s="65" t="str">
        <f>IF(A256="","",IF(INDEX(p_rates,1)="",0,ROUND(SUMIFS(dl_ht,dl_doc,A256,dl_rate,INDEX(p_rates,1))*INDEX(p_rates,1),2))+IF(INDEX(p_rates,2)="",0,ROUND(SUMIFS(dl_ht,dl_doc,A256,dl_rate,INDEX(p_rates,2))*INDEX(p_rates,2),2))+IF(INDEX(p_rates,3)="",0,ROUND(SUMIFS(dl_ht,dl_doc,A256,dl_rate,INDEX(p_rates,3))*INDEX(p_rates,3),2))+IF(INDEX(p_rates,4)="",0,ROUND(SUMIFS(dl_ht,dl_doc,A256,dl_rate,INDEX(p_rates,4))*INDEX(p_rates,4),2))+IF(INDEX(p_rates,5)="",0,ROUND(SUMIFS(dl_ht,dl_doc,A256,dl_rate,INDEX(p_rates,5))*INDEX(p_rates,5),2))+IF(INDEX(p_rates,6)="",0,ROUND(SUMIFS(dl_ht,dl_doc,A256,dl_rate,INDEX(p_rates,6))*INDEX(p_rates,6),2)))</f>
        <v/>
      </c>
      <c r="K256" s="65" t="str">
        <f>IF(A256="","",I256+J256)</f>
        <v/>
      </c>
      <c r="L256" s="59" t="str">
        <f>IF(A256="","",IFERROR(INDEX(fa_num,MATCH(A256,fa_dvkey,0))&amp;"",""))</f>
        <v/>
      </c>
      <c r="M256" s="59" t="str">
        <f>IF(A256="","",IF(G256="Annulé","Annulé",IF(L256&lt;&gt;"","Facturé",IF(G256="Accepté","Accepté",IF(G256="Refusé","Refusé",IF(p_asof&gt;H256,"Expiré","En attente"))))))</f>
        <v/>
      </c>
      <c r="N256" s="59" t="str">
        <f>IF(COUNTA(B256:C256,E256:G256)=0,"",IF(B256="","Date manquante",IF(NOT(ISNUMBER(B256)),"Date invalide",IF(C256="","Client manquant",IF(ISNA(MATCH(C256,cli_code,0)),"Client inconnu",IF(O256&lt;MAX($O$6:O255),"Date antérieure au devis précédent",IF(AND(ISNUMBER(F256),F256&lt;O256),"Validité antérieure à la date du devis",IF(AND(R256=0,G256&lt;&gt;"Annulé"),"Aucune ligne (feuille Lignes de devis)",IF(COUNTIFS(dl_doc,A256,dl_check,"&lt;&gt;OK")&gt;0,"Ligne(s) à corriger",IF(AND(L256&lt;&gt;"",OR(G256="Refusé",G256="Annulé")),"Devis refusé ou annulé mais facturé","OK"))))))))))</f>
        <v/>
      </c>
      <c r="O256" s="62">
        <f>IF(ISNUMBER(B256),B256,0)</f>
        <v>0.0</v>
      </c>
      <c r="P256" s="62" t="str">
        <f>IF(O256=0,"",YEAR(O256))</f>
        <v/>
      </c>
      <c r="Q256" s="62" t="str">
        <f>IF(P256="","",COUNTIF($P$6:P256,P256))</f>
        <v/>
      </c>
      <c r="R256" s="62">
        <f>IF(A256="",0,COUNTIF(dl_doc,A256))</f>
        <v>0.0</v>
      </c>
    </row>
    <row r="257">
      <c r="A257" s="59" t="str">
        <f>IF(Q257="","",p_pdv&amp;"-"&amp;P257&amp;"-"&amp;RIGHT("000"&amp;Q257,4))</f>
        <v/>
      </c>
      <c r="B257" s="61" t="n"/>
      <c r="C257" s="60" t="n"/>
      <c r="D257" s="62" t="str">
        <f>IF(C257="","",IFERROR(INDEX(cli_name,MATCH(C257,cli_code,0))&amp;"","Client inconnu"))</f>
        <v/>
      </c>
      <c r="E257" s="63" t="n"/>
      <c r="F257" s="61" t="n"/>
      <c r="G257" s="60" t="n"/>
      <c r="H257" s="64" t="str">
        <f>IF(A257="","",IF(ISNUMBER(F257),F257,O257+N(p_validity)))</f>
        <v/>
      </c>
      <c r="I257" s="65" t="str">
        <f>IF(A257="","",SUMIF(dl_doc,A257,dl_ht))</f>
        <v/>
      </c>
      <c r="J257" s="65" t="str">
        <f>IF(A257="","",IF(INDEX(p_rates,1)="",0,ROUND(SUMIFS(dl_ht,dl_doc,A257,dl_rate,INDEX(p_rates,1))*INDEX(p_rates,1),2))+IF(INDEX(p_rates,2)="",0,ROUND(SUMIFS(dl_ht,dl_doc,A257,dl_rate,INDEX(p_rates,2))*INDEX(p_rates,2),2))+IF(INDEX(p_rates,3)="",0,ROUND(SUMIFS(dl_ht,dl_doc,A257,dl_rate,INDEX(p_rates,3))*INDEX(p_rates,3),2))+IF(INDEX(p_rates,4)="",0,ROUND(SUMIFS(dl_ht,dl_doc,A257,dl_rate,INDEX(p_rates,4))*INDEX(p_rates,4),2))+IF(INDEX(p_rates,5)="",0,ROUND(SUMIFS(dl_ht,dl_doc,A257,dl_rate,INDEX(p_rates,5))*INDEX(p_rates,5),2))+IF(INDEX(p_rates,6)="",0,ROUND(SUMIFS(dl_ht,dl_doc,A257,dl_rate,INDEX(p_rates,6))*INDEX(p_rates,6),2)))</f>
        <v/>
      </c>
      <c r="K257" s="65" t="str">
        <f>IF(A257="","",I257+J257)</f>
        <v/>
      </c>
      <c r="L257" s="59" t="str">
        <f>IF(A257="","",IFERROR(INDEX(fa_num,MATCH(A257,fa_dvkey,0))&amp;"",""))</f>
        <v/>
      </c>
      <c r="M257" s="59" t="str">
        <f>IF(A257="","",IF(G257="Annulé","Annulé",IF(L257&lt;&gt;"","Facturé",IF(G257="Accepté","Accepté",IF(G257="Refusé","Refusé",IF(p_asof&gt;H257,"Expiré","En attente"))))))</f>
        <v/>
      </c>
      <c r="N257" s="59" t="str">
        <f>IF(COUNTA(B257:C257,E257:G257)=0,"",IF(B257="","Date manquante",IF(NOT(ISNUMBER(B257)),"Date invalide",IF(C257="","Client manquant",IF(ISNA(MATCH(C257,cli_code,0)),"Client inconnu",IF(O257&lt;MAX($O$6:O256),"Date antérieure au devis précédent",IF(AND(ISNUMBER(F257),F257&lt;O257),"Validité antérieure à la date du devis",IF(AND(R257=0,G257&lt;&gt;"Annulé"),"Aucune ligne (feuille Lignes de devis)",IF(COUNTIFS(dl_doc,A257,dl_check,"&lt;&gt;OK")&gt;0,"Ligne(s) à corriger",IF(AND(L257&lt;&gt;"",OR(G257="Refusé",G257="Annulé")),"Devis refusé ou annulé mais facturé","OK"))))))))))</f>
        <v/>
      </c>
      <c r="O257" s="62">
        <f>IF(ISNUMBER(B257),B257,0)</f>
        <v>0.0</v>
      </c>
      <c r="P257" s="62" t="str">
        <f>IF(O257=0,"",YEAR(O257))</f>
        <v/>
      </c>
      <c r="Q257" s="62" t="str">
        <f>IF(P257="","",COUNTIF($P$6:P257,P257))</f>
        <v/>
      </c>
      <c r="R257" s="62">
        <f>IF(A257="",0,COUNTIF(dl_doc,A257))</f>
        <v>0.0</v>
      </c>
    </row>
    <row r="258">
      <c r="A258" s="59" t="str">
        <f>IF(Q258="","",p_pdv&amp;"-"&amp;P258&amp;"-"&amp;RIGHT("000"&amp;Q258,4))</f>
        <v/>
      </c>
      <c r="B258" s="61" t="n"/>
      <c r="C258" s="60" t="n"/>
      <c r="D258" s="62" t="str">
        <f>IF(C258="","",IFERROR(INDEX(cli_name,MATCH(C258,cli_code,0))&amp;"","Client inconnu"))</f>
        <v/>
      </c>
      <c r="E258" s="63" t="n"/>
      <c r="F258" s="61" t="n"/>
      <c r="G258" s="60" t="n"/>
      <c r="H258" s="64" t="str">
        <f>IF(A258="","",IF(ISNUMBER(F258),F258,O258+N(p_validity)))</f>
        <v/>
      </c>
      <c r="I258" s="65" t="str">
        <f>IF(A258="","",SUMIF(dl_doc,A258,dl_ht))</f>
        <v/>
      </c>
      <c r="J258" s="65" t="str">
        <f>IF(A258="","",IF(INDEX(p_rates,1)="",0,ROUND(SUMIFS(dl_ht,dl_doc,A258,dl_rate,INDEX(p_rates,1))*INDEX(p_rates,1),2))+IF(INDEX(p_rates,2)="",0,ROUND(SUMIFS(dl_ht,dl_doc,A258,dl_rate,INDEX(p_rates,2))*INDEX(p_rates,2),2))+IF(INDEX(p_rates,3)="",0,ROUND(SUMIFS(dl_ht,dl_doc,A258,dl_rate,INDEX(p_rates,3))*INDEX(p_rates,3),2))+IF(INDEX(p_rates,4)="",0,ROUND(SUMIFS(dl_ht,dl_doc,A258,dl_rate,INDEX(p_rates,4))*INDEX(p_rates,4),2))+IF(INDEX(p_rates,5)="",0,ROUND(SUMIFS(dl_ht,dl_doc,A258,dl_rate,INDEX(p_rates,5))*INDEX(p_rates,5),2))+IF(INDEX(p_rates,6)="",0,ROUND(SUMIFS(dl_ht,dl_doc,A258,dl_rate,INDEX(p_rates,6))*INDEX(p_rates,6),2)))</f>
        <v/>
      </c>
      <c r="K258" s="65" t="str">
        <f>IF(A258="","",I258+J258)</f>
        <v/>
      </c>
      <c r="L258" s="59" t="str">
        <f>IF(A258="","",IFERROR(INDEX(fa_num,MATCH(A258,fa_dvkey,0))&amp;"",""))</f>
        <v/>
      </c>
      <c r="M258" s="59" t="str">
        <f>IF(A258="","",IF(G258="Annulé","Annulé",IF(L258&lt;&gt;"","Facturé",IF(G258="Accepté","Accepté",IF(G258="Refusé","Refusé",IF(p_asof&gt;H258,"Expiré","En attente"))))))</f>
        <v/>
      </c>
      <c r="N258" s="59" t="str">
        <f>IF(COUNTA(B258:C258,E258:G258)=0,"",IF(B258="","Date manquante",IF(NOT(ISNUMBER(B258)),"Date invalide",IF(C258="","Client manquant",IF(ISNA(MATCH(C258,cli_code,0)),"Client inconnu",IF(O258&lt;MAX($O$6:O257),"Date antérieure au devis précédent",IF(AND(ISNUMBER(F258),F258&lt;O258),"Validité antérieure à la date du devis",IF(AND(R258=0,G258&lt;&gt;"Annulé"),"Aucune ligne (feuille Lignes de devis)",IF(COUNTIFS(dl_doc,A258,dl_check,"&lt;&gt;OK")&gt;0,"Ligne(s) à corriger",IF(AND(L258&lt;&gt;"",OR(G258="Refusé",G258="Annulé")),"Devis refusé ou annulé mais facturé","OK"))))))))))</f>
        <v/>
      </c>
      <c r="O258" s="62">
        <f>IF(ISNUMBER(B258),B258,0)</f>
        <v>0.0</v>
      </c>
      <c r="P258" s="62" t="str">
        <f>IF(O258=0,"",YEAR(O258))</f>
        <v/>
      </c>
      <c r="Q258" s="62" t="str">
        <f>IF(P258="","",COUNTIF($P$6:P258,P258))</f>
        <v/>
      </c>
      <c r="R258" s="62">
        <f>IF(A258="",0,COUNTIF(dl_doc,A258))</f>
        <v>0.0</v>
      </c>
    </row>
    <row r="259">
      <c r="A259" s="59" t="str">
        <f>IF(Q259="","",p_pdv&amp;"-"&amp;P259&amp;"-"&amp;RIGHT("000"&amp;Q259,4))</f>
        <v/>
      </c>
      <c r="B259" s="61" t="n"/>
      <c r="C259" s="60" t="n"/>
      <c r="D259" s="62" t="str">
        <f>IF(C259="","",IFERROR(INDEX(cli_name,MATCH(C259,cli_code,0))&amp;"","Client inconnu"))</f>
        <v/>
      </c>
      <c r="E259" s="63" t="n"/>
      <c r="F259" s="61" t="n"/>
      <c r="G259" s="60" t="n"/>
      <c r="H259" s="64" t="str">
        <f>IF(A259="","",IF(ISNUMBER(F259),F259,O259+N(p_validity)))</f>
        <v/>
      </c>
      <c r="I259" s="65" t="str">
        <f>IF(A259="","",SUMIF(dl_doc,A259,dl_ht))</f>
        <v/>
      </c>
      <c r="J259" s="65" t="str">
        <f>IF(A259="","",IF(INDEX(p_rates,1)="",0,ROUND(SUMIFS(dl_ht,dl_doc,A259,dl_rate,INDEX(p_rates,1))*INDEX(p_rates,1),2))+IF(INDEX(p_rates,2)="",0,ROUND(SUMIFS(dl_ht,dl_doc,A259,dl_rate,INDEX(p_rates,2))*INDEX(p_rates,2),2))+IF(INDEX(p_rates,3)="",0,ROUND(SUMIFS(dl_ht,dl_doc,A259,dl_rate,INDEX(p_rates,3))*INDEX(p_rates,3),2))+IF(INDEX(p_rates,4)="",0,ROUND(SUMIFS(dl_ht,dl_doc,A259,dl_rate,INDEX(p_rates,4))*INDEX(p_rates,4),2))+IF(INDEX(p_rates,5)="",0,ROUND(SUMIFS(dl_ht,dl_doc,A259,dl_rate,INDEX(p_rates,5))*INDEX(p_rates,5),2))+IF(INDEX(p_rates,6)="",0,ROUND(SUMIFS(dl_ht,dl_doc,A259,dl_rate,INDEX(p_rates,6))*INDEX(p_rates,6),2)))</f>
        <v/>
      </c>
      <c r="K259" s="65" t="str">
        <f>IF(A259="","",I259+J259)</f>
        <v/>
      </c>
      <c r="L259" s="59" t="str">
        <f>IF(A259="","",IFERROR(INDEX(fa_num,MATCH(A259,fa_dvkey,0))&amp;"",""))</f>
        <v/>
      </c>
      <c r="M259" s="59" t="str">
        <f>IF(A259="","",IF(G259="Annulé","Annulé",IF(L259&lt;&gt;"","Facturé",IF(G259="Accepté","Accepté",IF(G259="Refusé","Refusé",IF(p_asof&gt;H259,"Expiré","En attente"))))))</f>
        <v/>
      </c>
      <c r="N259" s="59" t="str">
        <f>IF(COUNTA(B259:C259,E259:G259)=0,"",IF(B259="","Date manquante",IF(NOT(ISNUMBER(B259)),"Date invalide",IF(C259="","Client manquant",IF(ISNA(MATCH(C259,cli_code,0)),"Client inconnu",IF(O259&lt;MAX($O$6:O258),"Date antérieure au devis précédent",IF(AND(ISNUMBER(F259),F259&lt;O259),"Validité antérieure à la date du devis",IF(AND(R259=0,G259&lt;&gt;"Annulé"),"Aucune ligne (feuille Lignes de devis)",IF(COUNTIFS(dl_doc,A259,dl_check,"&lt;&gt;OK")&gt;0,"Ligne(s) à corriger",IF(AND(L259&lt;&gt;"",OR(G259="Refusé",G259="Annulé")),"Devis refusé ou annulé mais facturé","OK"))))))))))</f>
        <v/>
      </c>
      <c r="O259" s="62">
        <f>IF(ISNUMBER(B259),B259,0)</f>
        <v>0.0</v>
      </c>
      <c r="P259" s="62" t="str">
        <f>IF(O259=0,"",YEAR(O259))</f>
        <v/>
      </c>
      <c r="Q259" s="62" t="str">
        <f>IF(P259="","",COUNTIF($P$6:P259,P259))</f>
        <v/>
      </c>
      <c r="R259" s="62">
        <f>IF(A259="",0,COUNTIF(dl_doc,A259))</f>
        <v>0.0</v>
      </c>
    </row>
    <row r="260">
      <c r="A260" s="59" t="str">
        <f>IF(Q260="","",p_pdv&amp;"-"&amp;P260&amp;"-"&amp;RIGHT("000"&amp;Q260,4))</f>
        <v/>
      </c>
      <c r="B260" s="61" t="n"/>
      <c r="C260" s="60" t="n"/>
      <c r="D260" s="62" t="str">
        <f>IF(C260="","",IFERROR(INDEX(cli_name,MATCH(C260,cli_code,0))&amp;"","Client inconnu"))</f>
        <v/>
      </c>
      <c r="E260" s="63" t="n"/>
      <c r="F260" s="61" t="n"/>
      <c r="G260" s="60" t="n"/>
      <c r="H260" s="64" t="str">
        <f>IF(A260="","",IF(ISNUMBER(F260),F260,O260+N(p_validity)))</f>
        <v/>
      </c>
      <c r="I260" s="65" t="str">
        <f>IF(A260="","",SUMIF(dl_doc,A260,dl_ht))</f>
        <v/>
      </c>
      <c r="J260" s="65" t="str">
        <f>IF(A260="","",IF(INDEX(p_rates,1)="",0,ROUND(SUMIFS(dl_ht,dl_doc,A260,dl_rate,INDEX(p_rates,1))*INDEX(p_rates,1),2))+IF(INDEX(p_rates,2)="",0,ROUND(SUMIFS(dl_ht,dl_doc,A260,dl_rate,INDEX(p_rates,2))*INDEX(p_rates,2),2))+IF(INDEX(p_rates,3)="",0,ROUND(SUMIFS(dl_ht,dl_doc,A260,dl_rate,INDEX(p_rates,3))*INDEX(p_rates,3),2))+IF(INDEX(p_rates,4)="",0,ROUND(SUMIFS(dl_ht,dl_doc,A260,dl_rate,INDEX(p_rates,4))*INDEX(p_rates,4),2))+IF(INDEX(p_rates,5)="",0,ROUND(SUMIFS(dl_ht,dl_doc,A260,dl_rate,INDEX(p_rates,5))*INDEX(p_rates,5),2))+IF(INDEX(p_rates,6)="",0,ROUND(SUMIFS(dl_ht,dl_doc,A260,dl_rate,INDEX(p_rates,6))*INDEX(p_rates,6),2)))</f>
        <v/>
      </c>
      <c r="K260" s="65" t="str">
        <f>IF(A260="","",I260+J260)</f>
        <v/>
      </c>
      <c r="L260" s="59" t="str">
        <f>IF(A260="","",IFERROR(INDEX(fa_num,MATCH(A260,fa_dvkey,0))&amp;"",""))</f>
        <v/>
      </c>
      <c r="M260" s="59" t="str">
        <f>IF(A260="","",IF(G260="Annulé","Annulé",IF(L260&lt;&gt;"","Facturé",IF(G260="Accepté","Accepté",IF(G260="Refusé","Refusé",IF(p_asof&gt;H260,"Expiré","En attente"))))))</f>
        <v/>
      </c>
      <c r="N260" s="59" t="str">
        <f>IF(COUNTA(B260:C260,E260:G260)=0,"",IF(B260="","Date manquante",IF(NOT(ISNUMBER(B260)),"Date invalide",IF(C260="","Client manquant",IF(ISNA(MATCH(C260,cli_code,0)),"Client inconnu",IF(O260&lt;MAX($O$6:O259),"Date antérieure au devis précédent",IF(AND(ISNUMBER(F260),F260&lt;O260),"Validité antérieure à la date du devis",IF(AND(R260=0,G260&lt;&gt;"Annulé"),"Aucune ligne (feuille Lignes de devis)",IF(COUNTIFS(dl_doc,A260,dl_check,"&lt;&gt;OK")&gt;0,"Ligne(s) à corriger",IF(AND(L260&lt;&gt;"",OR(G260="Refusé",G260="Annulé")),"Devis refusé ou annulé mais facturé","OK"))))))))))</f>
        <v/>
      </c>
      <c r="O260" s="62">
        <f>IF(ISNUMBER(B260),B260,0)</f>
        <v>0.0</v>
      </c>
      <c r="P260" s="62" t="str">
        <f>IF(O260=0,"",YEAR(O260))</f>
        <v/>
      </c>
      <c r="Q260" s="62" t="str">
        <f>IF(P260="","",COUNTIF($P$6:P260,P260))</f>
        <v/>
      </c>
      <c r="R260" s="62">
        <f>IF(A260="",0,COUNTIF(dl_doc,A260))</f>
        <v>0.0</v>
      </c>
    </row>
    <row r="261">
      <c r="A261" s="59" t="str">
        <f>IF(Q261="","",p_pdv&amp;"-"&amp;P261&amp;"-"&amp;RIGHT("000"&amp;Q261,4))</f>
        <v/>
      </c>
      <c r="B261" s="61" t="n"/>
      <c r="C261" s="60" t="n"/>
      <c r="D261" s="62" t="str">
        <f>IF(C261="","",IFERROR(INDEX(cli_name,MATCH(C261,cli_code,0))&amp;"","Client inconnu"))</f>
        <v/>
      </c>
      <c r="E261" s="63" t="n"/>
      <c r="F261" s="61" t="n"/>
      <c r="G261" s="60" t="n"/>
      <c r="H261" s="64" t="str">
        <f>IF(A261="","",IF(ISNUMBER(F261),F261,O261+N(p_validity)))</f>
        <v/>
      </c>
      <c r="I261" s="65" t="str">
        <f>IF(A261="","",SUMIF(dl_doc,A261,dl_ht))</f>
        <v/>
      </c>
      <c r="J261" s="65" t="str">
        <f>IF(A261="","",IF(INDEX(p_rates,1)="",0,ROUND(SUMIFS(dl_ht,dl_doc,A261,dl_rate,INDEX(p_rates,1))*INDEX(p_rates,1),2))+IF(INDEX(p_rates,2)="",0,ROUND(SUMIFS(dl_ht,dl_doc,A261,dl_rate,INDEX(p_rates,2))*INDEX(p_rates,2),2))+IF(INDEX(p_rates,3)="",0,ROUND(SUMIFS(dl_ht,dl_doc,A261,dl_rate,INDEX(p_rates,3))*INDEX(p_rates,3),2))+IF(INDEX(p_rates,4)="",0,ROUND(SUMIFS(dl_ht,dl_doc,A261,dl_rate,INDEX(p_rates,4))*INDEX(p_rates,4),2))+IF(INDEX(p_rates,5)="",0,ROUND(SUMIFS(dl_ht,dl_doc,A261,dl_rate,INDEX(p_rates,5))*INDEX(p_rates,5),2))+IF(INDEX(p_rates,6)="",0,ROUND(SUMIFS(dl_ht,dl_doc,A261,dl_rate,INDEX(p_rates,6))*INDEX(p_rates,6),2)))</f>
        <v/>
      </c>
      <c r="K261" s="65" t="str">
        <f>IF(A261="","",I261+J261)</f>
        <v/>
      </c>
      <c r="L261" s="59" t="str">
        <f>IF(A261="","",IFERROR(INDEX(fa_num,MATCH(A261,fa_dvkey,0))&amp;"",""))</f>
        <v/>
      </c>
      <c r="M261" s="59" t="str">
        <f>IF(A261="","",IF(G261="Annulé","Annulé",IF(L261&lt;&gt;"","Facturé",IF(G261="Accepté","Accepté",IF(G261="Refusé","Refusé",IF(p_asof&gt;H261,"Expiré","En attente"))))))</f>
        <v/>
      </c>
      <c r="N261" s="59" t="str">
        <f>IF(COUNTA(B261:C261,E261:G261)=0,"",IF(B261="","Date manquante",IF(NOT(ISNUMBER(B261)),"Date invalide",IF(C261="","Client manquant",IF(ISNA(MATCH(C261,cli_code,0)),"Client inconnu",IF(O261&lt;MAX($O$6:O260),"Date antérieure au devis précédent",IF(AND(ISNUMBER(F261),F261&lt;O261),"Validité antérieure à la date du devis",IF(AND(R261=0,G261&lt;&gt;"Annulé"),"Aucune ligne (feuille Lignes de devis)",IF(COUNTIFS(dl_doc,A261,dl_check,"&lt;&gt;OK")&gt;0,"Ligne(s) à corriger",IF(AND(L261&lt;&gt;"",OR(G261="Refusé",G261="Annulé")),"Devis refusé ou annulé mais facturé","OK"))))))))))</f>
        <v/>
      </c>
      <c r="O261" s="62">
        <f>IF(ISNUMBER(B261),B261,0)</f>
        <v>0.0</v>
      </c>
      <c r="P261" s="62" t="str">
        <f>IF(O261=0,"",YEAR(O261))</f>
        <v/>
      </c>
      <c r="Q261" s="62" t="str">
        <f>IF(P261="","",COUNTIF($P$6:P261,P261))</f>
        <v/>
      </c>
      <c r="R261" s="62">
        <f>IF(A261="",0,COUNTIF(dl_doc,A261))</f>
        <v>0.0</v>
      </c>
    </row>
    <row r="262">
      <c r="A262" s="59" t="str">
        <f>IF(Q262="","",p_pdv&amp;"-"&amp;P262&amp;"-"&amp;RIGHT("000"&amp;Q262,4))</f>
        <v/>
      </c>
      <c r="B262" s="61" t="n"/>
      <c r="C262" s="60" t="n"/>
      <c r="D262" s="62" t="str">
        <f>IF(C262="","",IFERROR(INDEX(cli_name,MATCH(C262,cli_code,0))&amp;"","Client inconnu"))</f>
        <v/>
      </c>
      <c r="E262" s="63" t="n"/>
      <c r="F262" s="61" t="n"/>
      <c r="G262" s="60" t="n"/>
      <c r="H262" s="64" t="str">
        <f>IF(A262="","",IF(ISNUMBER(F262),F262,O262+N(p_validity)))</f>
        <v/>
      </c>
      <c r="I262" s="65" t="str">
        <f>IF(A262="","",SUMIF(dl_doc,A262,dl_ht))</f>
        <v/>
      </c>
      <c r="J262" s="65" t="str">
        <f>IF(A262="","",IF(INDEX(p_rates,1)="",0,ROUND(SUMIFS(dl_ht,dl_doc,A262,dl_rate,INDEX(p_rates,1))*INDEX(p_rates,1),2))+IF(INDEX(p_rates,2)="",0,ROUND(SUMIFS(dl_ht,dl_doc,A262,dl_rate,INDEX(p_rates,2))*INDEX(p_rates,2),2))+IF(INDEX(p_rates,3)="",0,ROUND(SUMIFS(dl_ht,dl_doc,A262,dl_rate,INDEX(p_rates,3))*INDEX(p_rates,3),2))+IF(INDEX(p_rates,4)="",0,ROUND(SUMIFS(dl_ht,dl_doc,A262,dl_rate,INDEX(p_rates,4))*INDEX(p_rates,4),2))+IF(INDEX(p_rates,5)="",0,ROUND(SUMIFS(dl_ht,dl_doc,A262,dl_rate,INDEX(p_rates,5))*INDEX(p_rates,5),2))+IF(INDEX(p_rates,6)="",0,ROUND(SUMIFS(dl_ht,dl_doc,A262,dl_rate,INDEX(p_rates,6))*INDEX(p_rates,6),2)))</f>
        <v/>
      </c>
      <c r="K262" s="65" t="str">
        <f>IF(A262="","",I262+J262)</f>
        <v/>
      </c>
      <c r="L262" s="59" t="str">
        <f>IF(A262="","",IFERROR(INDEX(fa_num,MATCH(A262,fa_dvkey,0))&amp;"",""))</f>
        <v/>
      </c>
      <c r="M262" s="59" t="str">
        <f>IF(A262="","",IF(G262="Annulé","Annulé",IF(L262&lt;&gt;"","Facturé",IF(G262="Accepté","Accepté",IF(G262="Refusé","Refusé",IF(p_asof&gt;H262,"Expiré","En attente"))))))</f>
        <v/>
      </c>
      <c r="N262" s="59" t="str">
        <f>IF(COUNTA(B262:C262,E262:G262)=0,"",IF(B262="","Date manquante",IF(NOT(ISNUMBER(B262)),"Date invalide",IF(C262="","Client manquant",IF(ISNA(MATCH(C262,cli_code,0)),"Client inconnu",IF(O262&lt;MAX($O$6:O261),"Date antérieure au devis précédent",IF(AND(ISNUMBER(F262),F262&lt;O262),"Validité antérieure à la date du devis",IF(AND(R262=0,G262&lt;&gt;"Annulé"),"Aucune ligne (feuille Lignes de devis)",IF(COUNTIFS(dl_doc,A262,dl_check,"&lt;&gt;OK")&gt;0,"Ligne(s) à corriger",IF(AND(L262&lt;&gt;"",OR(G262="Refusé",G262="Annulé")),"Devis refusé ou annulé mais facturé","OK"))))))))))</f>
        <v/>
      </c>
      <c r="O262" s="62">
        <f>IF(ISNUMBER(B262),B262,0)</f>
        <v>0.0</v>
      </c>
      <c r="P262" s="62" t="str">
        <f>IF(O262=0,"",YEAR(O262))</f>
        <v/>
      </c>
      <c r="Q262" s="62" t="str">
        <f>IF(P262="","",COUNTIF($P$6:P262,P262))</f>
        <v/>
      </c>
      <c r="R262" s="62">
        <f>IF(A262="",0,COUNTIF(dl_doc,A262))</f>
        <v>0.0</v>
      </c>
    </row>
    <row r="263">
      <c r="A263" s="59" t="str">
        <f>IF(Q263="","",p_pdv&amp;"-"&amp;P263&amp;"-"&amp;RIGHT("000"&amp;Q263,4))</f>
        <v/>
      </c>
      <c r="B263" s="61" t="n"/>
      <c r="C263" s="60" t="n"/>
      <c r="D263" s="62" t="str">
        <f>IF(C263="","",IFERROR(INDEX(cli_name,MATCH(C263,cli_code,0))&amp;"","Client inconnu"))</f>
        <v/>
      </c>
      <c r="E263" s="63" t="n"/>
      <c r="F263" s="61" t="n"/>
      <c r="G263" s="60" t="n"/>
      <c r="H263" s="64" t="str">
        <f>IF(A263="","",IF(ISNUMBER(F263),F263,O263+N(p_validity)))</f>
        <v/>
      </c>
      <c r="I263" s="65" t="str">
        <f>IF(A263="","",SUMIF(dl_doc,A263,dl_ht))</f>
        <v/>
      </c>
      <c r="J263" s="65" t="str">
        <f>IF(A263="","",IF(INDEX(p_rates,1)="",0,ROUND(SUMIFS(dl_ht,dl_doc,A263,dl_rate,INDEX(p_rates,1))*INDEX(p_rates,1),2))+IF(INDEX(p_rates,2)="",0,ROUND(SUMIFS(dl_ht,dl_doc,A263,dl_rate,INDEX(p_rates,2))*INDEX(p_rates,2),2))+IF(INDEX(p_rates,3)="",0,ROUND(SUMIFS(dl_ht,dl_doc,A263,dl_rate,INDEX(p_rates,3))*INDEX(p_rates,3),2))+IF(INDEX(p_rates,4)="",0,ROUND(SUMIFS(dl_ht,dl_doc,A263,dl_rate,INDEX(p_rates,4))*INDEX(p_rates,4),2))+IF(INDEX(p_rates,5)="",0,ROUND(SUMIFS(dl_ht,dl_doc,A263,dl_rate,INDEX(p_rates,5))*INDEX(p_rates,5),2))+IF(INDEX(p_rates,6)="",0,ROUND(SUMIFS(dl_ht,dl_doc,A263,dl_rate,INDEX(p_rates,6))*INDEX(p_rates,6),2)))</f>
        <v/>
      </c>
      <c r="K263" s="65" t="str">
        <f>IF(A263="","",I263+J263)</f>
        <v/>
      </c>
      <c r="L263" s="59" t="str">
        <f>IF(A263="","",IFERROR(INDEX(fa_num,MATCH(A263,fa_dvkey,0))&amp;"",""))</f>
        <v/>
      </c>
      <c r="M263" s="59" t="str">
        <f>IF(A263="","",IF(G263="Annulé","Annulé",IF(L263&lt;&gt;"","Facturé",IF(G263="Accepté","Accepté",IF(G263="Refusé","Refusé",IF(p_asof&gt;H263,"Expiré","En attente"))))))</f>
        <v/>
      </c>
      <c r="N263" s="59" t="str">
        <f>IF(COUNTA(B263:C263,E263:G263)=0,"",IF(B263="","Date manquante",IF(NOT(ISNUMBER(B263)),"Date invalide",IF(C263="","Client manquant",IF(ISNA(MATCH(C263,cli_code,0)),"Client inconnu",IF(O263&lt;MAX($O$6:O262),"Date antérieure au devis précédent",IF(AND(ISNUMBER(F263),F263&lt;O263),"Validité antérieure à la date du devis",IF(AND(R263=0,G263&lt;&gt;"Annulé"),"Aucune ligne (feuille Lignes de devis)",IF(COUNTIFS(dl_doc,A263,dl_check,"&lt;&gt;OK")&gt;0,"Ligne(s) à corriger",IF(AND(L263&lt;&gt;"",OR(G263="Refusé",G263="Annulé")),"Devis refusé ou annulé mais facturé","OK"))))))))))</f>
        <v/>
      </c>
      <c r="O263" s="62">
        <f>IF(ISNUMBER(B263),B263,0)</f>
        <v>0.0</v>
      </c>
      <c r="P263" s="62" t="str">
        <f>IF(O263=0,"",YEAR(O263))</f>
        <v/>
      </c>
      <c r="Q263" s="62" t="str">
        <f>IF(P263="","",COUNTIF($P$6:P263,P263))</f>
        <v/>
      </c>
      <c r="R263" s="62">
        <f>IF(A263="",0,COUNTIF(dl_doc,A263))</f>
        <v>0.0</v>
      </c>
    </row>
    <row r="264">
      <c r="A264" s="59" t="str">
        <f>IF(Q264="","",p_pdv&amp;"-"&amp;P264&amp;"-"&amp;RIGHT("000"&amp;Q264,4))</f>
        <v/>
      </c>
      <c r="B264" s="61" t="n"/>
      <c r="C264" s="60" t="n"/>
      <c r="D264" s="62" t="str">
        <f>IF(C264="","",IFERROR(INDEX(cli_name,MATCH(C264,cli_code,0))&amp;"","Client inconnu"))</f>
        <v/>
      </c>
      <c r="E264" s="63" t="n"/>
      <c r="F264" s="61" t="n"/>
      <c r="G264" s="60" t="n"/>
      <c r="H264" s="64" t="str">
        <f>IF(A264="","",IF(ISNUMBER(F264),F264,O264+N(p_validity)))</f>
        <v/>
      </c>
      <c r="I264" s="65" t="str">
        <f>IF(A264="","",SUMIF(dl_doc,A264,dl_ht))</f>
        <v/>
      </c>
      <c r="J264" s="65" t="str">
        <f>IF(A264="","",IF(INDEX(p_rates,1)="",0,ROUND(SUMIFS(dl_ht,dl_doc,A264,dl_rate,INDEX(p_rates,1))*INDEX(p_rates,1),2))+IF(INDEX(p_rates,2)="",0,ROUND(SUMIFS(dl_ht,dl_doc,A264,dl_rate,INDEX(p_rates,2))*INDEX(p_rates,2),2))+IF(INDEX(p_rates,3)="",0,ROUND(SUMIFS(dl_ht,dl_doc,A264,dl_rate,INDEX(p_rates,3))*INDEX(p_rates,3),2))+IF(INDEX(p_rates,4)="",0,ROUND(SUMIFS(dl_ht,dl_doc,A264,dl_rate,INDEX(p_rates,4))*INDEX(p_rates,4),2))+IF(INDEX(p_rates,5)="",0,ROUND(SUMIFS(dl_ht,dl_doc,A264,dl_rate,INDEX(p_rates,5))*INDEX(p_rates,5),2))+IF(INDEX(p_rates,6)="",0,ROUND(SUMIFS(dl_ht,dl_doc,A264,dl_rate,INDEX(p_rates,6))*INDEX(p_rates,6),2)))</f>
        <v/>
      </c>
      <c r="K264" s="65" t="str">
        <f>IF(A264="","",I264+J264)</f>
        <v/>
      </c>
      <c r="L264" s="59" t="str">
        <f>IF(A264="","",IFERROR(INDEX(fa_num,MATCH(A264,fa_dvkey,0))&amp;"",""))</f>
        <v/>
      </c>
      <c r="M264" s="59" t="str">
        <f>IF(A264="","",IF(G264="Annulé","Annulé",IF(L264&lt;&gt;"","Facturé",IF(G264="Accepté","Accepté",IF(G264="Refusé","Refusé",IF(p_asof&gt;H264,"Expiré","En attente"))))))</f>
        <v/>
      </c>
      <c r="N264" s="59" t="str">
        <f>IF(COUNTA(B264:C264,E264:G264)=0,"",IF(B264="","Date manquante",IF(NOT(ISNUMBER(B264)),"Date invalide",IF(C264="","Client manquant",IF(ISNA(MATCH(C264,cli_code,0)),"Client inconnu",IF(O264&lt;MAX($O$6:O263),"Date antérieure au devis précédent",IF(AND(ISNUMBER(F264),F264&lt;O264),"Validité antérieure à la date du devis",IF(AND(R264=0,G264&lt;&gt;"Annulé"),"Aucune ligne (feuille Lignes de devis)",IF(COUNTIFS(dl_doc,A264,dl_check,"&lt;&gt;OK")&gt;0,"Ligne(s) à corriger",IF(AND(L264&lt;&gt;"",OR(G264="Refusé",G264="Annulé")),"Devis refusé ou annulé mais facturé","OK"))))))))))</f>
        <v/>
      </c>
      <c r="O264" s="62">
        <f>IF(ISNUMBER(B264),B264,0)</f>
        <v>0.0</v>
      </c>
      <c r="P264" s="62" t="str">
        <f>IF(O264=0,"",YEAR(O264))</f>
        <v/>
      </c>
      <c r="Q264" s="62" t="str">
        <f>IF(P264="","",COUNTIF($P$6:P264,P264))</f>
        <v/>
      </c>
      <c r="R264" s="62">
        <f>IF(A264="",0,COUNTIF(dl_doc,A264))</f>
        <v>0.0</v>
      </c>
    </row>
    <row r="265">
      <c r="A265" s="59" t="str">
        <f>IF(Q265="","",p_pdv&amp;"-"&amp;P265&amp;"-"&amp;RIGHT("000"&amp;Q265,4))</f>
        <v/>
      </c>
      <c r="B265" s="61" t="n"/>
      <c r="C265" s="60" t="n"/>
      <c r="D265" s="62" t="str">
        <f>IF(C265="","",IFERROR(INDEX(cli_name,MATCH(C265,cli_code,0))&amp;"","Client inconnu"))</f>
        <v/>
      </c>
      <c r="E265" s="63" t="n"/>
      <c r="F265" s="61" t="n"/>
      <c r="G265" s="60" t="n"/>
      <c r="H265" s="64" t="str">
        <f>IF(A265="","",IF(ISNUMBER(F265),F265,O265+N(p_validity)))</f>
        <v/>
      </c>
      <c r="I265" s="65" t="str">
        <f>IF(A265="","",SUMIF(dl_doc,A265,dl_ht))</f>
        <v/>
      </c>
      <c r="J265" s="65" t="str">
        <f>IF(A265="","",IF(INDEX(p_rates,1)="",0,ROUND(SUMIFS(dl_ht,dl_doc,A265,dl_rate,INDEX(p_rates,1))*INDEX(p_rates,1),2))+IF(INDEX(p_rates,2)="",0,ROUND(SUMIFS(dl_ht,dl_doc,A265,dl_rate,INDEX(p_rates,2))*INDEX(p_rates,2),2))+IF(INDEX(p_rates,3)="",0,ROUND(SUMIFS(dl_ht,dl_doc,A265,dl_rate,INDEX(p_rates,3))*INDEX(p_rates,3),2))+IF(INDEX(p_rates,4)="",0,ROUND(SUMIFS(dl_ht,dl_doc,A265,dl_rate,INDEX(p_rates,4))*INDEX(p_rates,4),2))+IF(INDEX(p_rates,5)="",0,ROUND(SUMIFS(dl_ht,dl_doc,A265,dl_rate,INDEX(p_rates,5))*INDEX(p_rates,5),2))+IF(INDEX(p_rates,6)="",0,ROUND(SUMIFS(dl_ht,dl_doc,A265,dl_rate,INDEX(p_rates,6))*INDEX(p_rates,6),2)))</f>
        <v/>
      </c>
      <c r="K265" s="65" t="str">
        <f>IF(A265="","",I265+J265)</f>
        <v/>
      </c>
      <c r="L265" s="59" t="str">
        <f>IF(A265="","",IFERROR(INDEX(fa_num,MATCH(A265,fa_dvkey,0))&amp;"",""))</f>
        <v/>
      </c>
      <c r="M265" s="59" t="str">
        <f>IF(A265="","",IF(G265="Annulé","Annulé",IF(L265&lt;&gt;"","Facturé",IF(G265="Accepté","Accepté",IF(G265="Refusé","Refusé",IF(p_asof&gt;H265,"Expiré","En attente"))))))</f>
        <v/>
      </c>
      <c r="N265" s="59" t="str">
        <f>IF(COUNTA(B265:C265,E265:G265)=0,"",IF(B265="","Date manquante",IF(NOT(ISNUMBER(B265)),"Date invalide",IF(C265="","Client manquant",IF(ISNA(MATCH(C265,cli_code,0)),"Client inconnu",IF(O265&lt;MAX($O$6:O264),"Date antérieure au devis précédent",IF(AND(ISNUMBER(F265),F265&lt;O265),"Validité antérieure à la date du devis",IF(AND(R265=0,G265&lt;&gt;"Annulé"),"Aucune ligne (feuille Lignes de devis)",IF(COUNTIFS(dl_doc,A265,dl_check,"&lt;&gt;OK")&gt;0,"Ligne(s) à corriger",IF(AND(L265&lt;&gt;"",OR(G265="Refusé",G265="Annulé")),"Devis refusé ou annulé mais facturé","OK"))))))))))</f>
        <v/>
      </c>
      <c r="O265" s="62">
        <f>IF(ISNUMBER(B265),B265,0)</f>
        <v>0.0</v>
      </c>
      <c r="P265" s="62" t="str">
        <f>IF(O265=0,"",YEAR(O265))</f>
        <v/>
      </c>
      <c r="Q265" s="62" t="str">
        <f>IF(P265="","",COUNTIF($P$6:P265,P265))</f>
        <v/>
      </c>
      <c r="R265" s="62">
        <f>IF(A265="",0,COUNTIF(dl_doc,A265))</f>
        <v>0.0</v>
      </c>
    </row>
    <row r="266">
      <c r="A266" s="59" t="str">
        <f>IF(Q266="","",p_pdv&amp;"-"&amp;P266&amp;"-"&amp;RIGHT("000"&amp;Q266,4))</f>
        <v/>
      </c>
      <c r="B266" s="61" t="n"/>
      <c r="C266" s="60" t="n"/>
      <c r="D266" s="62" t="str">
        <f>IF(C266="","",IFERROR(INDEX(cli_name,MATCH(C266,cli_code,0))&amp;"","Client inconnu"))</f>
        <v/>
      </c>
      <c r="E266" s="63" t="n"/>
      <c r="F266" s="61" t="n"/>
      <c r="G266" s="60" t="n"/>
      <c r="H266" s="64" t="str">
        <f>IF(A266="","",IF(ISNUMBER(F266),F266,O266+N(p_validity)))</f>
        <v/>
      </c>
      <c r="I266" s="65" t="str">
        <f>IF(A266="","",SUMIF(dl_doc,A266,dl_ht))</f>
        <v/>
      </c>
      <c r="J266" s="65" t="str">
        <f>IF(A266="","",IF(INDEX(p_rates,1)="",0,ROUND(SUMIFS(dl_ht,dl_doc,A266,dl_rate,INDEX(p_rates,1))*INDEX(p_rates,1),2))+IF(INDEX(p_rates,2)="",0,ROUND(SUMIFS(dl_ht,dl_doc,A266,dl_rate,INDEX(p_rates,2))*INDEX(p_rates,2),2))+IF(INDEX(p_rates,3)="",0,ROUND(SUMIFS(dl_ht,dl_doc,A266,dl_rate,INDEX(p_rates,3))*INDEX(p_rates,3),2))+IF(INDEX(p_rates,4)="",0,ROUND(SUMIFS(dl_ht,dl_doc,A266,dl_rate,INDEX(p_rates,4))*INDEX(p_rates,4),2))+IF(INDEX(p_rates,5)="",0,ROUND(SUMIFS(dl_ht,dl_doc,A266,dl_rate,INDEX(p_rates,5))*INDEX(p_rates,5),2))+IF(INDEX(p_rates,6)="",0,ROUND(SUMIFS(dl_ht,dl_doc,A266,dl_rate,INDEX(p_rates,6))*INDEX(p_rates,6),2)))</f>
        <v/>
      </c>
      <c r="K266" s="65" t="str">
        <f>IF(A266="","",I266+J266)</f>
        <v/>
      </c>
      <c r="L266" s="59" t="str">
        <f>IF(A266="","",IFERROR(INDEX(fa_num,MATCH(A266,fa_dvkey,0))&amp;"",""))</f>
        <v/>
      </c>
      <c r="M266" s="59" t="str">
        <f>IF(A266="","",IF(G266="Annulé","Annulé",IF(L266&lt;&gt;"","Facturé",IF(G266="Accepté","Accepté",IF(G266="Refusé","Refusé",IF(p_asof&gt;H266,"Expiré","En attente"))))))</f>
        <v/>
      </c>
      <c r="N266" s="59" t="str">
        <f>IF(COUNTA(B266:C266,E266:G266)=0,"",IF(B266="","Date manquante",IF(NOT(ISNUMBER(B266)),"Date invalide",IF(C266="","Client manquant",IF(ISNA(MATCH(C266,cli_code,0)),"Client inconnu",IF(O266&lt;MAX($O$6:O265),"Date antérieure au devis précédent",IF(AND(ISNUMBER(F266),F266&lt;O266),"Validité antérieure à la date du devis",IF(AND(R266=0,G266&lt;&gt;"Annulé"),"Aucune ligne (feuille Lignes de devis)",IF(COUNTIFS(dl_doc,A266,dl_check,"&lt;&gt;OK")&gt;0,"Ligne(s) à corriger",IF(AND(L266&lt;&gt;"",OR(G266="Refusé",G266="Annulé")),"Devis refusé ou annulé mais facturé","OK"))))))))))</f>
        <v/>
      </c>
      <c r="O266" s="62">
        <f>IF(ISNUMBER(B266),B266,0)</f>
        <v>0.0</v>
      </c>
      <c r="P266" s="62" t="str">
        <f>IF(O266=0,"",YEAR(O266))</f>
        <v/>
      </c>
      <c r="Q266" s="62" t="str">
        <f>IF(P266="","",COUNTIF($P$6:P266,P266))</f>
        <v/>
      </c>
      <c r="R266" s="62">
        <f>IF(A266="",0,COUNTIF(dl_doc,A266))</f>
        <v>0.0</v>
      </c>
    </row>
    <row r="267">
      <c r="A267" s="59" t="str">
        <f>IF(Q267="","",p_pdv&amp;"-"&amp;P267&amp;"-"&amp;RIGHT("000"&amp;Q267,4))</f>
        <v/>
      </c>
      <c r="B267" s="61" t="n"/>
      <c r="C267" s="60" t="n"/>
      <c r="D267" s="62" t="str">
        <f>IF(C267="","",IFERROR(INDEX(cli_name,MATCH(C267,cli_code,0))&amp;"","Client inconnu"))</f>
        <v/>
      </c>
      <c r="E267" s="63" t="n"/>
      <c r="F267" s="61" t="n"/>
      <c r="G267" s="60" t="n"/>
      <c r="H267" s="64" t="str">
        <f>IF(A267="","",IF(ISNUMBER(F267),F267,O267+N(p_validity)))</f>
        <v/>
      </c>
      <c r="I267" s="65" t="str">
        <f>IF(A267="","",SUMIF(dl_doc,A267,dl_ht))</f>
        <v/>
      </c>
      <c r="J267" s="65" t="str">
        <f>IF(A267="","",IF(INDEX(p_rates,1)="",0,ROUND(SUMIFS(dl_ht,dl_doc,A267,dl_rate,INDEX(p_rates,1))*INDEX(p_rates,1),2))+IF(INDEX(p_rates,2)="",0,ROUND(SUMIFS(dl_ht,dl_doc,A267,dl_rate,INDEX(p_rates,2))*INDEX(p_rates,2),2))+IF(INDEX(p_rates,3)="",0,ROUND(SUMIFS(dl_ht,dl_doc,A267,dl_rate,INDEX(p_rates,3))*INDEX(p_rates,3),2))+IF(INDEX(p_rates,4)="",0,ROUND(SUMIFS(dl_ht,dl_doc,A267,dl_rate,INDEX(p_rates,4))*INDEX(p_rates,4),2))+IF(INDEX(p_rates,5)="",0,ROUND(SUMIFS(dl_ht,dl_doc,A267,dl_rate,INDEX(p_rates,5))*INDEX(p_rates,5),2))+IF(INDEX(p_rates,6)="",0,ROUND(SUMIFS(dl_ht,dl_doc,A267,dl_rate,INDEX(p_rates,6))*INDEX(p_rates,6),2)))</f>
        <v/>
      </c>
      <c r="K267" s="65" t="str">
        <f>IF(A267="","",I267+J267)</f>
        <v/>
      </c>
      <c r="L267" s="59" t="str">
        <f>IF(A267="","",IFERROR(INDEX(fa_num,MATCH(A267,fa_dvkey,0))&amp;"",""))</f>
        <v/>
      </c>
      <c r="M267" s="59" t="str">
        <f>IF(A267="","",IF(G267="Annulé","Annulé",IF(L267&lt;&gt;"","Facturé",IF(G267="Accepté","Accepté",IF(G267="Refusé","Refusé",IF(p_asof&gt;H267,"Expiré","En attente"))))))</f>
        <v/>
      </c>
      <c r="N267" s="59" t="str">
        <f>IF(COUNTA(B267:C267,E267:G267)=0,"",IF(B267="","Date manquante",IF(NOT(ISNUMBER(B267)),"Date invalide",IF(C267="","Client manquant",IF(ISNA(MATCH(C267,cli_code,0)),"Client inconnu",IF(O267&lt;MAX($O$6:O266),"Date antérieure au devis précédent",IF(AND(ISNUMBER(F267),F267&lt;O267),"Validité antérieure à la date du devis",IF(AND(R267=0,G267&lt;&gt;"Annulé"),"Aucune ligne (feuille Lignes de devis)",IF(COUNTIFS(dl_doc,A267,dl_check,"&lt;&gt;OK")&gt;0,"Ligne(s) à corriger",IF(AND(L267&lt;&gt;"",OR(G267="Refusé",G267="Annulé")),"Devis refusé ou annulé mais facturé","OK"))))))))))</f>
        <v/>
      </c>
      <c r="O267" s="62">
        <f>IF(ISNUMBER(B267),B267,0)</f>
        <v>0.0</v>
      </c>
      <c r="P267" s="62" t="str">
        <f>IF(O267=0,"",YEAR(O267))</f>
        <v/>
      </c>
      <c r="Q267" s="62" t="str">
        <f>IF(P267="","",COUNTIF($P$6:P267,P267))</f>
        <v/>
      </c>
      <c r="R267" s="62">
        <f>IF(A267="",0,COUNTIF(dl_doc,A267))</f>
        <v>0.0</v>
      </c>
    </row>
    <row r="268">
      <c r="A268" s="59" t="str">
        <f>IF(Q268="","",p_pdv&amp;"-"&amp;P268&amp;"-"&amp;RIGHT("000"&amp;Q268,4))</f>
        <v/>
      </c>
      <c r="B268" s="61" t="n"/>
      <c r="C268" s="60" t="n"/>
      <c r="D268" s="62" t="str">
        <f>IF(C268="","",IFERROR(INDEX(cli_name,MATCH(C268,cli_code,0))&amp;"","Client inconnu"))</f>
        <v/>
      </c>
      <c r="E268" s="63" t="n"/>
      <c r="F268" s="61" t="n"/>
      <c r="G268" s="60" t="n"/>
      <c r="H268" s="64" t="str">
        <f>IF(A268="","",IF(ISNUMBER(F268),F268,O268+N(p_validity)))</f>
        <v/>
      </c>
      <c r="I268" s="65" t="str">
        <f>IF(A268="","",SUMIF(dl_doc,A268,dl_ht))</f>
        <v/>
      </c>
      <c r="J268" s="65" t="str">
        <f>IF(A268="","",IF(INDEX(p_rates,1)="",0,ROUND(SUMIFS(dl_ht,dl_doc,A268,dl_rate,INDEX(p_rates,1))*INDEX(p_rates,1),2))+IF(INDEX(p_rates,2)="",0,ROUND(SUMIFS(dl_ht,dl_doc,A268,dl_rate,INDEX(p_rates,2))*INDEX(p_rates,2),2))+IF(INDEX(p_rates,3)="",0,ROUND(SUMIFS(dl_ht,dl_doc,A268,dl_rate,INDEX(p_rates,3))*INDEX(p_rates,3),2))+IF(INDEX(p_rates,4)="",0,ROUND(SUMIFS(dl_ht,dl_doc,A268,dl_rate,INDEX(p_rates,4))*INDEX(p_rates,4),2))+IF(INDEX(p_rates,5)="",0,ROUND(SUMIFS(dl_ht,dl_doc,A268,dl_rate,INDEX(p_rates,5))*INDEX(p_rates,5),2))+IF(INDEX(p_rates,6)="",0,ROUND(SUMIFS(dl_ht,dl_doc,A268,dl_rate,INDEX(p_rates,6))*INDEX(p_rates,6),2)))</f>
        <v/>
      </c>
      <c r="K268" s="65" t="str">
        <f>IF(A268="","",I268+J268)</f>
        <v/>
      </c>
      <c r="L268" s="59" t="str">
        <f>IF(A268="","",IFERROR(INDEX(fa_num,MATCH(A268,fa_dvkey,0))&amp;"",""))</f>
        <v/>
      </c>
      <c r="M268" s="59" t="str">
        <f>IF(A268="","",IF(G268="Annulé","Annulé",IF(L268&lt;&gt;"","Facturé",IF(G268="Accepté","Accepté",IF(G268="Refusé","Refusé",IF(p_asof&gt;H268,"Expiré","En attente"))))))</f>
        <v/>
      </c>
      <c r="N268" s="59" t="str">
        <f>IF(COUNTA(B268:C268,E268:G268)=0,"",IF(B268="","Date manquante",IF(NOT(ISNUMBER(B268)),"Date invalide",IF(C268="","Client manquant",IF(ISNA(MATCH(C268,cli_code,0)),"Client inconnu",IF(O268&lt;MAX($O$6:O267),"Date antérieure au devis précédent",IF(AND(ISNUMBER(F268),F268&lt;O268),"Validité antérieure à la date du devis",IF(AND(R268=0,G268&lt;&gt;"Annulé"),"Aucune ligne (feuille Lignes de devis)",IF(COUNTIFS(dl_doc,A268,dl_check,"&lt;&gt;OK")&gt;0,"Ligne(s) à corriger",IF(AND(L268&lt;&gt;"",OR(G268="Refusé",G268="Annulé")),"Devis refusé ou annulé mais facturé","OK"))))))))))</f>
        <v/>
      </c>
      <c r="O268" s="62">
        <f>IF(ISNUMBER(B268),B268,0)</f>
        <v>0.0</v>
      </c>
      <c r="P268" s="62" t="str">
        <f>IF(O268=0,"",YEAR(O268))</f>
        <v/>
      </c>
      <c r="Q268" s="62" t="str">
        <f>IF(P268="","",COUNTIF($P$6:P268,P268))</f>
        <v/>
      </c>
      <c r="R268" s="62">
        <f>IF(A268="",0,COUNTIF(dl_doc,A268))</f>
        <v>0.0</v>
      </c>
    </row>
    <row r="269">
      <c r="A269" s="59" t="str">
        <f>IF(Q269="","",p_pdv&amp;"-"&amp;P269&amp;"-"&amp;RIGHT("000"&amp;Q269,4))</f>
        <v/>
      </c>
      <c r="B269" s="61" t="n"/>
      <c r="C269" s="60" t="n"/>
      <c r="D269" s="62" t="str">
        <f>IF(C269="","",IFERROR(INDEX(cli_name,MATCH(C269,cli_code,0))&amp;"","Client inconnu"))</f>
        <v/>
      </c>
      <c r="E269" s="63" t="n"/>
      <c r="F269" s="61" t="n"/>
      <c r="G269" s="60" t="n"/>
      <c r="H269" s="64" t="str">
        <f>IF(A269="","",IF(ISNUMBER(F269),F269,O269+N(p_validity)))</f>
        <v/>
      </c>
      <c r="I269" s="65" t="str">
        <f>IF(A269="","",SUMIF(dl_doc,A269,dl_ht))</f>
        <v/>
      </c>
      <c r="J269" s="65" t="str">
        <f>IF(A269="","",IF(INDEX(p_rates,1)="",0,ROUND(SUMIFS(dl_ht,dl_doc,A269,dl_rate,INDEX(p_rates,1))*INDEX(p_rates,1),2))+IF(INDEX(p_rates,2)="",0,ROUND(SUMIFS(dl_ht,dl_doc,A269,dl_rate,INDEX(p_rates,2))*INDEX(p_rates,2),2))+IF(INDEX(p_rates,3)="",0,ROUND(SUMIFS(dl_ht,dl_doc,A269,dl_rate,INDEX(p_rates,3))*INDEX(p_rates,3),2))+IF(INDEX(p_rates,4)="",0,ROUND(SUMIFS(dl_ht,dl_doc,A269,dl_rate,INDEX(p_rates,4))*INDEX(p_rates,4),2))+IF(INDEX(p_rates,5)="",0,ROUND(SUMIFS(dl_ht,dl_doc,A269,dl_rate,INDEX(p_rates,5))*INDEX(p_rates,5),2))+IF(INDEX(p_rates,6)="",0,ROUND(SUMIFS(dl_ht,dl_doc,A269,dl_rate,INDEX(p_rates,6))*INDEX(p_rates,6),2)))</f>
        <v/>
      </c>
      <c r="K269" s="65" t="str">
        <f>IF(A269="","",I269+J269)</f>
        <v/>
      </c>
      <c r="L269" s="59" t="str">
        <f>IF(A269="","",IFERROR(INDEX(fa_num,MATCH(A269,fa_dvkey,0))&amp;"",""))</f>
        <v/>
      </c>
      <c r="M269" s="59" t="str">
        <f>IF(A269="","",IF(G269="Annulé","Annulé",IF(L269&lt;&gt;"","Facturé",IF(G269="Accepté","Accepté",IF(G269="Refusé","Refusé",IF(p_asof&gt;H269,"Expiré","En attente"))))))</f>
        <v/>
      </c>
      <c r="N269" s="59" t="str">
        <f>IF(COUNTA(B269:C269,E269:G269)=0,"",IF(B269="","Date manquante",IF(NOT(ISNUMBER(B269)),"Date invalide",IF(C269="","Client manquant",IF(ISNA(MATCH(C269,cli_code,0)),"Client inconnu",IF(O269&lt;MAX($O$6:O268),"Date antérieure au devis précédent",IF(AND(ISNUMBER(F269),F269&lt;O269),"Validité antérieure à la date du devis",IF(AND(R269=0,G269&lt;&gt;"Annulé"),"Aucune ligne (feuille Lignes de devis)",IF(COUNTIFS(dl_doc,A269,dl_check,"&lt;&gt;OK")&gt;0,"Ligne(s) à corriger",IF(AND(L269&lt;&gt;"",OR(G269="Refusé",G269="Annulé")),"Devis refusé ou annulé mais facturé","OK"))))))))))</f>
        <v/>
      </c>
      <c r="O269" s="62">
        <f>IF(ISNUMBER(B269),B269,0)</f>
        <v>0.0</v>
      </c>
      <c r="P269" s="62" t="str">
        <f>IF(O269=0,"",YEAR(O269))</f>
        <v/>
      </c>
      <c r="Q269" s="62" t="str">
        <f>IF(P269="","",COUNTIF($P$6:P269,P269))</f>
        <v/>
      </c>
      <c r="R269" s="62">
        <f>IF(A269="",0,COUNTIF(dl_doc,A269))</f>
        <v>0.0</v>
      </c>
    </row>
    <row r="270">
      <c r="A270" s="59" t="str">
        <f>IF(Q270="","",p_pdv&amp;"-"&amp;P270&amp;"-"&amp;RIGHT("000"&amp;Q270,4))</f>
        <v/>
      </c>
      <c r="B270" s="61" t="n"/>
      <c r="C270" s="60" t="n"/>
      <c r="D270" s="62" t="str">
        <f>IF(C270="","",IFERROR(INDEX(cli_name,MATCH(C270,cli_code,0))&amp;"","Client inconnu"))</f>
        <v/>
      </c>
      <c r="E270" s="63" t="n"/>
      <c r="F270" s="61" t="n"/>
      <c r="G270" s="60" t="n"/>
      <c r="H270" s="64" t="str">
        <f>IF(A270="","",IF(ISNUMBER(F270),F270,O270+N(p_validity)))</f>
        <v/>
      </c>
      <c r="I270" s="65" t="str">
        <f>IF(A270="","",SUMIF(dl_doc,A270,dl_ht))</f>
        <v/>
      </c>
      <c r="J270" s="65" t="str">
        <f>IF(A270="","",IF(INDEX(p_rates,1)="",0,ROUND(SUMIFS(dl_ht,dl_doc,A270,dl_rate,INDEX(p_rates,1))*INDEX(p_rates,1),2))+IF(INDEX(p_rates,2)="",0,ROUND(SUMIFS(dl_ht,dl_doc,A270,dl_rate,INDEX(p_rates,2))*INDEX(p_rates,2),2))+IF(INDEX(p_rates,3)="",0,ROUND(SUMIFS(dl_ht,dl_doc,A270,dl_rate,INDEX(p_rates,3))*INDEX(p_rates,3),2))+IF(INDEX(p_rates,4)="",0,ROUND(SUMIFS(dl_ht,dl_doc,A270,dl_rate,INDEX(p_rates,4))*INDEX(p_rates,4),2))+IF(INDEX(p_rates,5)="",0,ROUND(SUMIFS(dl_ht,dl_doc,A270,dl_rate,INDEX(p_rates,5))*INDEX(p_rates,5),2))+IF(INDEX(p_rates,6)="",0,ROUND(SUMIFS(dl_ht,dl_doc,A270,dl_rate,INDEX(p_rates,6))*INDEX(p_rates,6),2)))</f>
        <v/>
      </c>
      <c r="K270" s="65" t="str">
        <f>IF(A270="","",I270+J270)</f>
        <v/>
      </c>
      <c r="L270" s="59" t="str">
        <f>IF(A270="","",IFERROR(INDEX(fa_num,MATCH(A270,fa_dvkey,0))&amp;"",""))</f>
        <v/>
      </c>
      <c r="M270" s="59" t="str">
        <f>IF(A270="","",IF(G270="Annulé","Annulé",IF(L270&lt;&gt;"","Facturé",IF(G270="Accepté","Accepté",IF(G270="Refusé","Refusé",IF(p_asof&gt;H270,"Expiré","En attente"))))))</f>
        <v/>
      </c>
      <c r="N270" s="59" t="str">
        <f>IF(COUNTA(B270:C270,E270:G270)=0,"",IF(B270="","Date manquante",IF(NOT(ISNUMBER(B270)),"Date invalide",IF(C270="","Client manquant",IF(ISNA(MATCH(C270,cli_code,0)),"Client inconnu",IF(O270&lt;MAX($O$6:O269),"Date antérieure au devis précédent",IF(AND(ISNUMBER(F270),F270&lt;O270),"Validité antérieure à la date du devis",IF(AND(R270=0,G270&lt;&gt;"Annulé"),"Aucune ligne (feuille Lignes de devis)",IF(COUNTIFS(dl_doc,A270,dl_check,"&lt;&gt;OK")&gt;0,"Ligne(s) à corriger",IF(AND(L270&lt;&gt;"",OR(G270="Refusé",G270="Annulé")),"Devis refusé ou annulé mais facturé","OK"))))))))))</f>
        <v/>
      </c>
      <c r="O270" s="62">
        <f>IF(ISNUMBER(B270),B270,0)</f>
        <v>0.0</v>
      </c>
      <c r="P270" s="62" t="str">
        <f>IF(O270=0,"",YEAR(O270))</f>
        <v/>
      </c>
      <c r="Q270" s="62" t="str">
        <f>IF(P270="","",COUNTIF($P$6:P270,P270))</f>
        <v/>
      </c>
      <c r="R270" s="62">
        <f>IF(A270="",0,COUNTIF(dl_doc,A270))</f>
        <v>0.0</v>
      </c>
    </row>
    <row r="271">
      <c r="A271" s="59" t="str">
        <f>IF(Q271="","",p_pdv&amp;"-"&amp;P271&amp;"-"&amp;RIGHT("000"&amp;Q271,4))</f>
        <v/>
      </c>
      <c r="B271" s="61" t="n"/>
      <c r="C271" s="60" t="n"/>
      <c r="D271" s="62" t="str">
        <f>IF(C271="","",IFERROR(INDEX(cli_name,MATCH(C271,cli_code,0))&amp;"","Client inconnu"))</f>
        <v/>
      </c>
      <c r="E271" s="63" t="n"/>
      <c r="F271" s="61" t="n"/>
      <c r="G271" s="60" t="n"/>
      <c r="H271" s="64" t="str">
        <f>IF(A271="","",IF(ISNUMBER(F271),F271,O271+N(p_validity)))</f>
        <v/>
      </c>
      <c r="I271" s="65" t="str">
        <f>IF(A271="","",SUMIF(dl_doc,A271,dl_ht))</f>
        <v/>
      </c>
      <c r="J271" s="65" t="str">
        <f>IF(A271="","",IF(INDEX(p_rates,1)="",0,ROUND(SUMIFS(dl_ht,dl_doc,A271,dl_rate,INDEX(p_rates,1))*INDEX(p_rates,1),2))+IF(INDEX(p_rates,2)="",0,ROUND(SUMIFS(dl_ht,dl_doc,A271,dl_rate,INDEX(p_rates,2))*INDEX(p_rates,2),2))+IF(INDEX(p_rates,3)="",0,ROUND(SUMIFS(dl_ht,dl_doc,A271,dl_rate,INDEX(p_rates,3))*INDEX(p_rates,3),2))+IF(INDEX(p_rates,4)="",0,ROUND(SUMIFS(dl_ht,dl_doc,A271,dl_rate,INDEX(p_rates,4))*INDEX(p_rates,4),2))+IF(INDEX(p_rates,5)="",0,ROUND(SUMIFS(dl_ht,dl_doc,A271,dl_rate,INDEX(p_rates,5))*INDEX(p_rates,5),2))+IF(INDEX(p_rates,6)="",0,ROUND(SUMIFS(dl_ht,dl_doc,A271,dl_rate,INDEX(p_rates,6))*INDEX(p_rates,6),2)))</f>
        <v/>
      </c>
      <c r="K271" s="65" t="str">
        <f>IF(A271="","",I271+J271)</f>
        <v/>
      </c>
      <c r="L271" s="59" t="str">
        <f>IF(A271="","",IFERROR(INDEX(fa_num,MATCH(A271,fa_dvkey,0))&amp;"",""))</f>
        <v/>
      </c>
      <c r="M271" s="59" t="str">
        <f>IF(A271="","",IF(G271="Annulé","Annulé",IF(L271&lt;&gt;"","Facturé",IF(G271="Accepté","Accepté",IF(G271="Refusé","Refusé",IF(p_asof&gt;H271,"Expiré","En attente"))))))</f>
        <v/>
      </c>
      <c r="N271" s="59" t="str">
        <f>IF(COUNTA(B271:C271,E271:G271)=0,"",IF(B271="","Date manquante",IF(NOT(ISNUMBER(B271)),"Date invalide",IF(C271="","Client manquant",IF(ISNA(MATCH(C271,cli_code,0)),"Client inconnu",IF(O271&lt;MAX($O$6:O270),"Date antérieure au devis précédent",IF(AND(ISNUMBER(F271),F271&lt;O271),"Validité antérieure à la date du devis",IF(AND(R271=0,G271&lt;&gt;"Annulé"),"Aucune ligne (feuille Lignes de devis)",IF(COUNTIFS(dl_doc,A271,dl_check,"&lt;&gt;OK")&gt;0,"Ligne(s) à corriger",IF(AND(L271&lt;&gt;"",OR(G271="Refusé",G271="Annulé")),"Devis refusé ou annulé mais facturé","OK"))))))))))</f>
        <v/>
      </c>
      <c r="O271" s="62">
        <f>IF(ISNUMBER(B271),B271,0)</f>
        <v>0.0</v>
      </c>
      <c r="P271" s="62" t="str">
        <f>IF(O271=0,"",YEAR(O271))</f>
        <v/>
      </c>
      <c r="Q271" s="62" t="str">
        <f>IF(P271="","",COUNTIF($P$6:P271,P271))</f>
        <v/>
      </c>
      <c r="R271" s="62">
        <f>IF(A271="",0,COUNTIF(dl_doc,A271))</f>
        <v>0.0</v>
      </c>
    </row>
    <row r="272">
      <c r="A272" s="59" t="str">
        <f>IF(Q272="","",p_pdv&amp;"-"&amp;P272&amp;"-"&amp;RIGHT("000"&amp;Q272,4))</f>
        <v/>
      </c>
      <c r="B272" s="61" t="n"/>
      <c r="C272" s="60" t="n"/>
      <c r="D272" s="62" t="str">
        <f>IF(C272="","",IFERROR(INDEX(cli_name,MATCH(C272,cli_code,0))&amp;"","Client inconnu"))</f>
        <v/>
      </c>
      <c r="E272" s="63" t="n"/>
      <c r="F272" s="61" t="n"/>
      <c r="G272" s="60" t="n"/>
      <c r="H272" s="64" t="str">
        <f>IF(A272="","",IF(ISNUMBER(F272),F272,O272+N(p_validity)))</f>
        <v/>
      </c>
      <c r="I272" s="65" t="str">
        <f>IF(A272="","",SUMIF(dl_doc,A272,dl_ht))</f>
        <v/>
      </c>
      <c r="J272" s="65" t="str">
        <f>IF(A272="","",IF(INDEX(p_rates,1)="",0,ROUND(SUMIFS(dl_ht,dl_doc,A272,dl_rate,INDEX(p_rates,1))*INDEX(p_rates,1),2))+IF(INDEX(p_rates,2)="",0,ROUND(SUMIFS(dl_ht,dl_doc,A272,dl_rate,INDEX(p_rates,2))*INDEX(p_rates,2),2))+IF(INDEX(p_rates,3)="",0,ROUND(SUMIFS(dl_ht,dl_doc,A272,dl_rate,INDEX(p_rates,3))*INDEX(p_rates,3),2))+IF(INDEX(p_rates,4)="",0,ROUND(SUMIFS(dl_ht,dl_doc,A272,dl_rate,INDEX(p_rates,4))*INDEX(p_rates,4),2))+IF(INDEX(p_rates,5)="",0,ROUND(SUMIFS(dl_ht,dl_doc,A272,dl_rate,INDEX(p_rates,5))*INDEX(p_rates,5),2))+IF(INDEX(p_rates,6)="",0,ROUND(SUMIFS(dl_ht,dl_doc,A272,dl_rate,INDEX(p_rates,6))*INDEX(p_rates,6),2)))</f>
        <v/>
      </c>
      <c r="K272" s="65" t="str">
        <f>IF(A272="","",I272+J272)</f>
        <v/>
      </c>
      <c r="L272" s="59" t="str">
        <f>IF(A272="","",IFERROR(INDEX(fa_num,MATCH(A272,fa_dvkey,0))&amp;"",""))</f>
        <v/>
      </c>
      <c r="M272" s="59" t="str">
        <f>IF(A272="","",IF(G272="Annulé","Annulé",IF(L272&lt;&gt;"","Facturé",IF(G272="Accepté","Accepté",IF(G272="Refusé","Refusé",IF(p_asof&gt;H272,"Expiré","En attente"))))))</f>
        <v/>
      </c>
      <c r="N272" s="59" t="str">
        <f>IF(COUNTA(B272:C272,E272:G272)=0,"",IF(B272="","Date manquante",IF(NOT(ISNUMBER(B272)),"Date invalide",IF(C272="","Client manquant",IF(ISNA(MATCH(C272,cli_code,0)),"Client inconnu",IF(O272&lt;MAX($O$6:O271),"Date antérieure au devis précédent",IF(AND(ISNUMBER(F272),F272&lt;O272),"Validité antérieure à la date du devis",IF(AND(R272=0,G272&lt;&gt;"Annulé"),"Aucune ligne (feuille Lignes de devis)",IF(COUNTIFS(dl_doc,A272,dl_check,"&lt;&gt;OK")&gt;0,"Ligne(s) à corriger",IF(AND(L272&lt;&gt;"",OR(G272="Refusé",G272="Annulé")),"Devis refusé ou annulé mais facturé","OK"))))))))))</f>
        <v/>
      </c>
      <c r="O272" s="62">
        <f>IF(ISNUMBER(B272),B272,0)</f>
        <v>0.0</v>
      </c>
      <c r="P272" s="62" t="str">
        <f>IF(O272=0,"",YEAR(O272))</f>
        <v/>
      </c>
      <c r="Q272" s="62" t="str">
        <f>IF(P272="","",COUNTIF($P$6:P272,P272))</f>
        <v/>
      </c>
      <c r="R272" s="62">
        <f>IF(A272="",0,COUNTIF(dl_doc,A272))</f>
        <v>0.0</v>
      </c>
    </row>
    <row r="273">
      <c r="A273" s="59" t="str">
        <f>IF(Q273="","",p_pdv&amp;"-"&amp;P273&amp;"-"&amp;RIGHT("000"&amp;Q273,4))</f>
        <v/>
      </c>
      <c r="B273" s="61" t="n"/>
      <c r="C273" s="60" t="n"/>
      <c r="D273" s="62" t="str">
        <f>IF(C273="","",IFERROR(INDEX(cli_name,MATCH(C273,cli_code,0))&amp;"","Client inconnu"))</f>
        <v/>
      </c>
      <c r="E273" s="63" t="n"/>
      <c r="F273" s="61" t="n"/>
      <c r="G273" s="60" t="n"/>
      <c r="H273" s="64" t="str">
        <f>IF(A273="","",IF(ISNUMBER(F273),F273,O273+N(p_validity)))</f>
        <v/>
      </c>
      <c r="I273" s="65" t="str">
        <f>IF(A273="","",SUMIF(dl_doc,A273,dl_ht))</f>
        <v/>
      </c>
      <c r="J273" s="65" t="str">
        <f>IF(A273="","",IF(INDEX(p_rates,1)="",0,ROUND(SUMIFS(dl_ht,dl_doc,A273,dl_rate,INDEX(p_rates,1))*INDEX(p_rates,1),2))+IF(INDEX(p_rates,2)="",0,ROUND(SUMIFS(dl_ht,dl_doc,A273,dl_rate,INDEX(p_rates,2))*INDEX(p_rates,2),2))+IF(INDEX(p_rates,3)="",0,ROUND(SUMIFS(dl_ht,dl_doc,A273,dl_rate,INDEX(p_rates,3))*INDEX(p_rates,3),2))+IF(INDEX(p_rates,4)="",0,ROUND(SUMIFS(dl_ht,dl_doc,A273,dl_rate,INDEX(p_rates,4))*INDEX(p_rates,4),2))+IF(INDEX(p_rates,5)="",0,ROUND(SUMIFS(dl_ht,dl_doc,A273,dl_rate,INDEX(p_rates,5))*INDEX(p_rates,5),2))+IF(INDEX(p_rates,6)="",0,ROUND(SUMIFS(dl_ht,dl_doc,A273,dl_rate,INDEX(p_rates,6))*INDEX(p_rates,6),2)))</f>
        <v/>
      </c>
      <c r="K273" s="65" t="str">
        <f>IF(A273="","",I273+J273)</f>
        <v/>
      </c>
      <c r="L273" s="59" t="str">
        <f>IF(A273="","",IFERROR(INDEX(fa_num,MATCH(A273,fa_dvkey,0))&amp;"",""))</f>
        <v/>
      </c>
      <c r="M273" s="59" t="str">
        <f>IF(A273="","",IF(G273="Annulé","Annulé",IF(L273&lt;&gt;"","Facturé",IF(G273="Accepté","Accepté",IF(G273="Refusé","Refusé",IF(p_asof&gt;H273,"Expiré","En attente"))))))</f>
        <v/>
      </c>
      <c r="N273" s="59" t="str">
        <f>IF(COUNTA(B273:C273,E273:G273)=0,"",IF(B273="","Date manquante",IF(NOT(ISNUMBER(B273)),"Date invalide",IF(C273="","Client manquant",IF(ISNA(MATCH(C273,cli_code,0)),"Client inconnu",IF(O273&lt;MAX($O$6:O272),"Date antérieure au devis précédent",IF(AND(ISNUMBER(F273),F273&lt;O273),"Validité antérieure à la date du devis",IF(AND(R273=0,G273&lt;&gt;"Annulé"),"Aucune ligne (feuille Lignes de devis)",IF(COUNTIFS(dl_doc,A273,dl_check,"&lt;&gt;OK")&gt;0,"Ligne(s) à corriger",IF(AND(L273&lt;&gt;"",OR(G273="Refusé",G273="Annulé")),"Devis refusé ou annulé mais facturé","OK"))))))))))</f>
        <v/>
      </c>
      <c r="O273" s="62">
        <f>IF(ISNUMBER(B273),B273,0)</f>
        <v>0.0</v>
      </c>
      <c r="P273" s="62" t="str">
        <f>IF(O273=0,"",YEAR(O273))</f>
        <v/>
      </c>
      <c r="Q273" s="62" t="str">
        <f>IF(P273="","",COUNTIF($P$6:P273,P273))</f>
        <v/>
      </c>
      <c r="R273" s="62">
        <f>IF(A273="",0,COUNTIF(dl_doc,A273))</f>
        <v>0.0</v>
      </c>
    </row>
    <row r="274">
      <c r="A274" s="59" t="str">
        <f>IF(Q274="","",p_pdv&amp;"-"&amp;P274&amp;"-"&amp;RIGHT("000"&amp;Q274,4))</f>
        <v/>
      </c>
      <c r="B274" s="61" t="n"/>
      <c r="C274" s="60" t="n"/>
      <c r="D274" s="62" t="str">
        <f>IF(C274="","",IFERROR(INDEX(cli_name,MATCH(C274,cli_code,0))&amp;"","Client inconnu"))</f>
        <v/>
      </c>
      <c r="E274" s="63" t="n"/>
      <c r="F274" s="61" t="n"/>
      <c r="G274" s="60" t="n"/>
      <c r="H274" s="64" t="str">
        <f>IF(A274="","",IF(ISNUMBER(F274),F274,O274+N(p_validity)))</f>
        <v/>
      </c>
      <c r="I274" s="65" t="str">
        <f>IF(A274="","",SUMIF(dl_doc,A274,dl_ht))</f>
        <v/>
      </c>
      <c r="J274" s="65" t="str">
        <f>IF(A274="","",IF(INDEX(p_rates,1)="",0,ROUND(SUMIFS(dl_ht,dl_doc,A274,dl_rate,INDEX(p_rates,1))*INDEX(p_rates,1),2))+IF(INDEX(p_rates,2)="",0,ROUND(SUMIFS(dl_ht,dl_doc,A274,dl_rate,INDEX(p_rates,2))*INDEX(p_rates,2),2))+IF(INDEX(p_rates,3)="",0,ROUND(SUMIFS(dl_ht,dl_doc,A274,dl_rate,INDEX(p_rates,3))*INDEX(p_rates,3),2))+IF(INDEX(p_rates,4)="",0,ROUND(SUMIFS(dl_ht,dl_doc,A274,dl_rate,INDEX(p_rates,4))*INDEX(p_rates,4),2))+IF(INDEX(p_rates,5)="",0,ROUND(SUMIFS(dl_ht,dl_doc,A274,dl_rate,INDEX(p_rates,5))*INDEX(p_rates,5),2))+IF(INDEX(p_rates,6)="",0,ROUND(SUMIFS(dl_ht,dl_doc,A274,dl_rate,INDEX(p_rates,6))*INDEX(p_rates,6),2)))</f>
        <v/>
      </c>
      <c r="K274" s="65" t="str">
        <f>IF(A274="","",I274+J274)</f>
        <v/>
      </c>
      <c r="L274" s="59" t="str">
        <f>IF(A274="","",IFERROR(INDEX(fa_num,MATCH(A274,fa_dvkey,0))&amp;"",""))</f>
        <v/>
      </c>
      <c r="M274" s="59" t="str">
        <f>IF(A274="","",IF(G274="Annulé","Annulé",IF(L274&lt;&gt;"","Facturé",IF(G274="Accepté","Accepté",IF(G274="Refusé","Refusé",IF(p_asof&gt;H274,"Expiré","En attente"))))))</f>
        <v/>
      </c>
      <c r="N274" s="59" t="str">
        <f>IF(COUNTA(B274:C274,E274:G274)=0,"",IF(B274="","Date manquante",IF(NOT(ISNUMBER(B274)),"Date invalide",IF(C274="","Client manquant",IF(ISNA(MATCH(C274,cli_code,0)),"Client inconnu",IF(O274&lt;MAX($O$6:O273),"Date antérieure au devis précédent",IF(AND(ISNUMBER(F274),F274&lt;O274),"Validité antérieure à la date du devis",IF(AND(R274=0,G274&lt;&gt;"Annulé"),"Aucune ligne (feuille Lignes de devis)",IF(COUNTIFS(dl_doc,A274,dl_check,"&lt;&gt;OK")&gt;0,"Ligne(s) à corriger",IF(AND(L274&lt;&gt;"",OR(G274="Refusé",G274="Annulé")),"Devis refusé ou annulé mais facturé","OK"))))))))))</f>
        <v/>
      </c>
      <c r="O274" s="62">
        <f>IF(ISNUMBER(B274),B274,0)</f>
        <v>0.0</v>
      </c>
      <c r="P274" s="62" t="str">
        <f>IF(O274=0,"",YEAR(O274))</f>
        <v/>
      </c>
      <c r="Q274" s="62" t="str">
        <f>IF(P274="","",COUNTIF($P$6:P274,P274))</f>
        <v/>
      </c>
      <c r="R274" s="62">
        <f>IF(A274="",0,COUNTIF(dl_doc,A274))</f>
        <v>0.0</v>
      </c>
    </row>
    <row r="275">
      <c r="A275" s="59" t="str">
        <f>IF(Q275="","",p_pdv&amp;"-"&amp;P275&amp;"-"&amp;RIGHT("000"&amp;Q275,4))</f>
        <v/>
      </c>
      <c r="B275" s="61" t="n"/>
      <c r="C275" s="60" t="n"/>
      <c r="D275" s="62" t="str">
        <f>IF(C275="","",IFERROR(INDEX(cli_name,MATCH(C275,cli_code,0))&amp;"","Client inconnu"))</f>
        <v/>
      </c>
      <c r="E275" s="63" t="n"/>
      <c r="F275" s="61" t="n"/>
      <c r="G275" s="60" t="n"/>
      <c r="H275" s="64" t="str">
        <f>IF(A275="","",IF(ISNUMBER(F275),F275,O275+N(p_validity)))</f>
        <v/>
      </c>
      <c r="I275" s="65" t="str">
        <f>IF(A275="","",SUMIF(dl_doc,A275,dl_ht))</f>
        <v/>
      </c>
      <c r="J275" s="65" t="str">
        <f>IF(A275="","",IF(INDEX(p_rates,1)="",0,ROUND(SUMIFS(dl_ht,dl_doc,A275,dl_rate,INDEX(p_rates,1))*INDEX(p_rates,1),2))+IF(INDEX(p_rates,2)="",0,ROUND(SUMIFS(dl_ht,dl_doc,A275,dl_rate,INDEX(p_rates,2))*INDEX(p_rates,2),2))+IF(INDEX(p_rates,3)="",0,ROUND(SUMIFS(dl_ht,dl_doc,A275,dl_rate,INDEX(p_rates,3))*INDEX(p_rates,3),2))+IF(INDEX(p_rates,4)="",0,ROUND(SUMIFS(dl_ht,dl_doc,A275,dl_rate,INDEX(p_rates,4))*INDEX(p_rates,4),2))+IF(INDEX(p_rates,5)="",0,ROUND(SUMIFS(dl_ht,dl_doc,A275,dl_rate,INDEX(p_rates,5))*INDEX(p_rates,5),2))+IF(INDEX(p_rates,6)="",0,ROUND(SUMIFS(dl_ht,dl_doc,A275,dl_rate,INDEX(p_rates,6))*INDEX(p_rates,6),2)))</f>
        <v/>
      </c>
      <c r="K275" s="65" t="str">
        <f>IF(A275="","",I275+J275)</f>
        <v/>
      </c>
      <c r="L275" s="59" t="str">
        <f>IF(A275="","",IFERROR(INDEX(fa_num,MATCH(A275,fa_dvkey,0))&amp;"",""))</f>
        <v/>
      </c>
      <c r="M275" s="59" t="str">
        <f>IF(A275="","",IF(G275="Annulé","Annulé",IF(L275&lt;&gt;"","Facturé",IF(G275="Accepté","Accepté",IF(G275="Refusé","Refusé",IF(p_asof&gt;H275,"Expiré","En attente"))))))</f>
        <v/>
      </c>
      <c r="N275" s="59" t="str">
        <f>IF(COUNTA(B275:C275,E275:G275)=0,"",IF(B275="","Date manquante",IF(NOT(ISNUMBER(B275)),"Date invalide",IF(C275="","Client manquant",IF(ISNA(MATCH(C275,cli_code,0)),"Client inconnu",IF(O275&lt;MAX($O$6:O274),"Date antérieure au devis précédent",IF(AND(ISNUMBER(F275),F275&lt;O275),"Validité antérieure à la date du devis",IF(AND(R275=0,G275&lt;&gt;"Annulé"),"Aucune ligne (feuille Lignes de devis)",IF(COUNTIFS(dl_doc,A275,dl_check,"&lt;&gt;OK")&gt;0,"Ligne(s) à corriger",IF(AND(L275&lt;&gt;"",OR(G275="Refusé",G275="Annulé")),"Devis refusé ou annulé mais facturé","OK"))))))))))</f>
        <v/>
      </c>
      <c r="O275" s="62">
        <f>IF(ISNUMBER(B275),B275,0)</f>
        <v>0.0</v>
      </c>
      <c r="P275" s="62" t="str">
        <f>IF(O275=0,"",YEAR(O275))</f>
        <v/>
      </c>
      <c r="Q275" s="62" t="str">
        <f>IF(P275="","",COUNTIF($P$6:P275,P275))</f>
        <v/>
      </c>
      <c r="R275" s="62">
        <f>IF(A275="",0,COUNTIF(dl_doc,A275))</f>
        <v>0.0</v>
      </c>
    </row>
    <row r="276">
      <c r="A276" s="59" t="str">
        <f>IF(Q276="","",p_pdv&amp;"-"&amp;P276&amp;"-"&amp;RIGHT("000"&amp;Q276,4))</f>
        <v/>
      </c>
      <c r="B276" s="61" t="n"/>
      <c r="C276" s="60" t="n"/>
      <c r="D276" s="62" t="str">
        <f>IF(C276="","",IFERROR(INDEX(cli_name,MATCH(C276,cli_code,0))&amp;"","Client inconnu"))</f>
        <v/>
      </c>
      <c r="E276" s="63" t="n"/>
      <c r="F276" s="61" t="n"/>
      <c r="G276" s="60" t="n"/>
      <c r="H276" s="64" t="str">
        <f>IF(A276="","",IF(ISNUMBER(F276),F276,O276+N(p_validity)))</f>
        <v/>
      </c>
      <c r="I276" s="65" t="str">
        <f>IF(A276="","",SUMIF(dl_doc,A276,dl_ht))</f>
        <v/>
      </c>
      <c r="J276" s="65" t="str">
        <f>IF(A276="","",IF(INDEX(p_rates,1)="",0,ROUND(SUMIFS(dl_ht,dl_doc,A276,dl_rate,INDEX(p_rates,1))*INDEX(p_rates,1),2))+IF(INDEX(p_rates,2)="",0,ROUND(SUMIFS(dl_ht,dl_doc,A276,dl_rate,INDEX(p_rates,2))*INDEX(p_rates,2),2))+IF(INDEX(p_rates,3)="",0,ROUND(SUMIFS(dl_ht,dl_doc,A276,dl_rate,INDEX(p_rates,3))*INDEX(p_rates,3),2))+IF(INDEX(p_rates,4)="",0,ROUND(SUMIFS(dl_ht,dl_doc,A276,dl_rate,INDEX(p_rates,4))*INDEX(p_rates,4),2))+IF(INDEX(p_rates,5)="",0,ROUND(SUMIFS(dl_ht,dl_doc,A276,dl_rate,INDEX(p_rates,5))*INDEX(p_rates,5),2))+IF(INDEX(p_rates,6)="",0,ROUND(SUMIFS(dl_ht,dl_doc,A276,dl_rate,INDEX(p_rates,6))*INDEX(p_rates,6),2)))</f>
        <v/>
      </c>
      <c r="K276" s="65" t="str">
        <f>IF(A276="","",I276+J276)</f>
        <v/>
      </c>
      <c r="L276" s="59" t="str">
        <f>IF(A276="","",IFERROR(INDEX(fa_num,MATCH(A276,fa_dvkey,0))&amp;"",""))</f>
        <v/>
      </c>
      <c r="M276" s="59" t="str">
        <f>IF(A276="","",IF(G276="Annulé","Annulé",IF(L276&lt;&gt;"","Facturé",IF(G276="Accepté","Accepté",IF(G276="Refusé","Refusé",IF(p_asof&gt;H276,"Expiré","En attente"))))))</f>
        <v/>
      </c>
      <c r="N276" s="59" t="str">
        <f>IF(COUNTA(B276:C276,E276:G276)=0,"",IF(B276="","Date manquante",IF(NOT(ISNUMBER(B276)),"Date invalide",IF(C276="","Client manquant",IF(ISNA(MATCH(C276,cli_code,0)),"Client inconnu",IF(O276&lt;MAX($O$6:O275),"Date antérieure au devis précédent",IF(AND(ISNUMBER(F276),F276&lt;O276),"Validité antérieure à la date du devis",IF(AND(R276=0,G276&lt;&gt;"Annulé"),"Aucune ligne (feuille Lignes de devis)",IF(COUNTIFS(dl_doc,A276,dl_check,"&lt;&gt;OK")&gt;0,"Ligne(s) à corriger",IF(AND(L276&lt;&gt;"",OR(G276="Refusé",G276="Annulé")),"Devis refusé ou annulé mais facturé","OK"))))))))))</f>
        <v/>
      </c>
      <c r="O276" s="62">
        <f>IF(ISNUMBER(B276),B276,0)</f>
        <v>0.0</v>
      </c>
      <c r="P276" s="62" t="str">
        <f>IF(O276=0,"",YEAR(O276))</f>
        <v/>
      </c>
      <c r="Q276" s="62" t="str">
        <f>IF(P276="","",COUNTIF($P$6:P276,P276))</f>
        <v/>
      </c>
      <c r="R276" s="62">
        <f>IF(A276="",0,COUNTIF(dl_doc,A276))</f>
        <v>0.0</v>
      </c>
    </row>
    <row r="277">
      <c r="A277" s="59" t="str">
        <f>IF(Q277="","",p_pdv&amp;"-"&amp;P277&amp;"-"&amp;RIGHT("000"&amp;Q277,4))</f>
        <v/>
      </c>
      <c r="B277" s="61" t="n"/>
      <c r="C277" s="60" t="n"/>
      <c r="D277" s="62" t="str">
        <f>IF(C277="","",IFERROR(INDEX(cli_name,MATCH(C277,cli_code,0))&amp;"","Client inconnu"))</f>
        <v/>
      </c>
      <c r="E277" s="63" t="n"/>
      <c r="F277" s="61" t="n"/>
      <c r="G277" s="60" t="n"/>
      <c r="H277" s="64" t="str">
        <f>IF(A277="","",IF(ISNUMBER(F277),F277,O277+N(p_validity)))</f>
        <v/>
      </c>
      <c r="I277" s="65" t="str">
        <f>IF(A277="","",SUMIF(dl_doc,A277,dl_ht))</f>
        <v/>
      </c>
      <c r="J277" s="65" t="str">
        <f>IF(A277="","",IF(INDEX(p_rates,1)="",0,ROUND(SUMIFS(dl_ht,dl_doc,A277,dl_rate,INDEX(p_rates,1))*INDEX(p_rates,1),2))+IF(INDEX(p_rates,2)="",0,ROUND(SUMIFS(dl_ht,dl_doc,A277,dl_rate,INDEX(p_rates,2))*INDEX(p_rates,2),2))+IF(INDEX(p_rates,3)="",0,ROUND(SUMIFS(dl_ht,dl_doc,A277,dl_rate,INDEX(p_rates,3))*INDEX(p_rates,3),2))+IF(INDEX(p_rates,4)="",0,ROUND(SUMIFS(dl_ht,dl_doc,A277,dl_rate,INDEX(p_rates,4))*INDEX(p_rates,4),2))+IF(INDEX(p_rates,5)="",0,ROUND(SUMIFS(dl_ht,dl_doc,A277,dl_rate,INDEX(p_rates,5))*INDEX(p_rates,5),2))+IF(INDEX(p_rates,6)="",0,ROUND(SUMIFS(dl_ht,dl_doc,A277,dl_rate,INDEX(p_rates,6))*INDEX(p_rates,6),2)))</f>
        <v/>
      </c>
      <c r="K277" s="65" t="str">
        <f>IF(A277="","",I277+J277)</f>
        <v/>
      </c>
      <c r="L277" s="59" t="str">
        <f>IF(A277="","",IFERROR(INDEX(fa_num,MATCH(A277,fa_dvkey,0))&amp;"",""))</f>
        <v/>
      </c>
      <c r="M277" s="59" t="str">
        <f>IF(A277="","",IF(G277="Annulé","Annulé",IF(L277&lt;&gt;"","Facturé",IF(G277="Accepté","Accepté",IF(G277="Refusé","Refusé",IF(p_asof&gt;H277,"Expiré","En attente"))))))</f>
        <v/>
      </c>
      <c r="N277" s="59" t="str">
        <f>IF(COUNTA(B277:C277,E277:G277)=0,"",IF(B277="","Date manquante",IF(NOT(ISNUMBER(B277)),"Date invalide",IF(C277="","Client manquant",IF(ISNA(MATCH(C277,cli_code,0)),"Client inconnu",IF(O277&lt;MAX($O$6:O276),"Date antérieure au devis précédent",IF(AND(ISNUMBER(F277),F277&lt;O277),"Validité antérieure à la date du devis",IF(AND(R277=0,G277&lt;&gt;"Annulé"),"Aucune ligne (feuille Lignes de devis)",IF(COUNTIFS(dl_doc,A277,dl_check,"&lt;&gt;OK")&gt;0,"Ligne(s) à corriger",IF(AND(L277&lt;&gt;"",OR(G277="Refusé",G277="Annulé")),"Devis refusé ou annulé mais facturé","OK"))))))))))</f>
        <v/>
      </c>
      <c r="O277" s="62">
        <f>IF(ISNUMBER(B277),B277,0)</f>
        <v>0.0</v>
      </c>
      <c r="P277" s="62" t="str">
        <f>IF(O277=0,"",YEAR(O277))</f>
        <v/>
      </c>
      <c r="Q277" s="62" t="str">
        <f>IF(P277="","",COUNTIF($P$6:P277,P277))</f>
        <v/>
      </c>
      <c r="R277" s="62">
        <f>IF(A277="",0,COUNTIF(dl_doc,A277))</f>
        <v>0.0</v>
      </c>
    </row>
    <row r="278">
      <c r="A278" s="59" t="str">
        <f>IF(Q278="","",p_pdv&amp;"-"&amp;P278&amp;"-"&amp;RIGHT("000"&amp;Q278,4))</f>
        <v/>
      </c>
      <c r="B278" s="61" t="n"/>
      <c r="C278" s="60" t="n"/>
      <c r="D278" s="62" t="str">
        <f>IF(C278="","",IFERROR(INDEX(cli_name,MATCH(C278,cli_code,0))&amp;"","Client inconnu"))</f>
        <v/>
      </c>
      <c r="E278" s="63" t="n"/>
      <c r="F278" s="61" t="n"/>
      <c r="G278" s="60" t="n"/>
      <c r="H278" s="64" t="str">
        <f>IF(A278="","",IF(ISNUMBER(F278),F278,O278+N(p_validity)))</f>
        <v/>
      </c>
      <c r="I278" s="65" t="str">
        <f>IF(A278="","",SUMIF(dl_doc,A278,dl_ht))</f>
        <v/>
      </c>
      <c r="J278" s="65" t="str">
        <f>IF(A278="","",IF(INDEX(p_rates,1)="",0,ROUND(SUMIFS(dl_ht,dl_doc,A278,dl_rate,INDEX(p_rates,1))*INDEX(p_rates,1),2))+IF(INDEX(p_rates,2)="",0,ROUND(SUMIFS(dl_ht,dl_doc,A278,dl_rate,INDEX(p_rates,2))*INDEX(p_rates,2),2))+IF(INDEX(p_rates,3)="",0,ROUND(SUMIFS(dl_ht,dl_doc,A278,dl_rate,INDEX(p_rates,3))*INDEX(p_rates,3),2))+IF(INDEX(p_rates,4)="",0,ROUND(SUMIFS(dl_ht,dl_doc,A278,dl_rate,INDEX(p_rates,4))*INDEX(p_rates,4),2))+IF(INDEX(p_rates,5)="",0,ROUND(SUMIFS(dl_ht,dl_doc,A278,dl_rate,INDEX(p_rates,5))*INDEX(p_rates,5),2))+IF(INDEX(p_rates,6)="",0,ROUND(SUMIFS(dl_ht,dl_doc,A278,dl_rate,INDEX(p_rates,6))*INDEX(p_rates,6),2)))</f>
        <v/>
      </c>
      <c r="K278" s="65" t="str">
        <f>IF(A278="","",I278+J278)</f>
        <v/>
      </c>
      <c r="L278" s="59" t="str">
        <f>IF(A278="","",IFERROR(INDEX(fa_num,MATCH(A278,fa_dvkey,0))&amp;"",""))</f>
        <v/>
      </c>
      <c r="M278" s="59" t="str">
        <f>IF(A278="","",IF(G278="Annulé","Annulé",IF(L278&lt;&gt;"","Facturé",IF(G278="Accepté","Accepté",IF(G278="Refusé","Refusé",IF(p_asof&gt;H278,"Expiré","En attente"))))))</f>
        <v/>
      </c>
      <c r="N278" s="59" t="str">
        <f>IF(COUNTA(B278:C278,E278:G278)=0,"",IF(B278="","Date manquante",IF(NOT(ISNUMBER(B278)),"Date invalide",IF(C278="","Client manquant",IF(ISNA(MATCH(C278,cli_code,0)),"Client inconnu",IF(O278&lt;MAX($O$6:O277),"Date antérieure au devis précédent",IF(AND(ISNUMBER(F278),F278&lt;O278),"Validité antérieure à la date du devis",IF(AND(R278=0,G278&lt;&gt;"Annulé"),"Aucune ligne (feuille Lignes de devis)",IF(COUNTIFS(dl_doc,A278,dl_check,"&lt;&gt;OK")&gt;0,"Ligne(s) à corriger",IF(AND(L278&lt;&gt;"",OR(G278="Refusé",G278="Annulé")),"Devis refusé ou annulé mais facturé","OK"))))))))))</f>
        <v/>
      </c>
      <c r="O278" s="62">
        <f>IF(ISNUMBER(B278),B278,0)</f>
        <v>0.0</v>
      </c>
      <c r="P278" s="62" t="str">
        <f>IF(O278=0,"",YEAR(O278))</f>
        <v/>
      </c>
      <c r="Q278" s="62" t="str">
        <f>IF(P278="","",COUNTIF($P$6:P278,P278))</f>
        <v/>
      </c>
      <c r="R278" s="62">
        <f>IF(A278="",0,COUNTIF(dl_doc,A278))</f>
        <v>0.0</v>
      </c>
    </row>
    <row r="279">
      <c r="A279" s="59" t="str">
        <f>IF(Q279="","",p_pdv&amp;"-"&amp;P279&amp;"-"&amp;RIGHT("000"&amp;Q279,4))</f>
        <v/>
      </c>
      <c r="B279" s="61" t="n"/>
      <c r="C279" s="60" t="n"/>
      <c r="D279" s="62" t="str">
        <f>IF(C279="","",IFERROR(INDEX(cli_name,MATCH(C279,cli_code,0))&amp;"","Client inconnu"))</f>
        <v/>
      </c>
      <c r="E279" s="63" t="n"/>
      <c r="F279" s="61" t="n"/>
      <c r="G279" s="60" t="n"/>
      <c r="H279" s="64" t="str">
        <f>IF(A279="","",IF(ISNUMBER(F279),F279,O279+N(p_validity)))</f>
        <v/>
      </c>
      <c r="I279" s="65" t="str">
        <f>IF(A279="","",SUMIF(dl_doc,A279,dl_ht))</f>
        <v/>
      </c>
      <c r="J279" s="65" t="str">
        <f>IF(A279="","",IF(INDEX(p_rates,1)="",0,ROUND(SUMIFS(dl_ht,dl_doc,A279,dl_rate,INDEX(p_rates,1))*INDEX(p_rates,1),2))+IF(INDEX(p_rates,2)="",0,ROUND(SUMIFS(dl_ht,dl_doc,A279,dl_rate,INDEX(p_rates,2))*INDEX(p_rates,2),2))+IF(INDEX(p_rates,3)="",0,ROUND(SUMIFS(dl_ht,dl_doc,A279,dl_rate,INDEX(p_rates,3))*INDEX(p_rates,3),2))+IF(INDEX(p_rates,4)="",0,ROUND(SUMIFS(dl_ht,dl_doc,A279,dl_rate,INDEX(p_rates,4))*INDEX(p_rates,4),2))+IF(INDEX(p_rates,5)="",0,ROUND(SUMIFS(dl_ht,dl_doc,A279,dl_rate,INDEX(p_rates,5))*INDEX(p_rates,5),2))+IF(INDEX(p_rates,6)="",0,ROUND(SUMIFS(dl_ht,dl_doc,A279,dl_rate,INDEX(p_rates,6))*INDEX(p_rates,6),2)))</f>
        <v/>
      </c>
      <c r="K279" s="65" t="str">
        <f>IF(A279="","",I279+J279)</f>
        <v/>
      </c>
      <c r="L279" s="59" t="str">
        <f>IF(A279="","",IFERROR(INDEX(fa_num,MATCH(A279,fa_dvkey,0))&amp;"",""))</f>
        <v/>
      </c>
      <c r="M279" s="59" t="str">
        <f>IF(A279="","",IF(G279="Annulé","Annulé",IF(L279&lt;&gt;"","Facturé",IF(G279="Accepté","Accepté",IF(G279="Refusé","Refusé",IF(p_asof&gt;H279,"Expiré","En attente"))))))</f>
        <v/>
      </c>
      <c r="N279" s="59" t="str">
        <f>IF(COUNTA(B279:C279,E279:G279)=0,"",IF(B279="","Date manquante",IF(NOT(ISNUMBER(B279)),"Date invalide",IF(C279="","Client manquant",IF(ISNA(MATCH(C279,cli_code,0)),"Client inconnu",IF(O279&lt;MAX($O$6:O278),"Date antérieure au devis précédent",IF(AND(ISNUMBER(F279),F279&lt;O279),"Validité antérieure à la date du devis",IF(AND(R279=0,G279&lt;&gt;"Annulé"),"Aucune ligne (feuille Lignes de devis)",IF(COUNTIFS(dl_doc,A279,dl_check,"&lt;&gt;OK")&gt;0,"Ligne(s) à corriger",IF(AND(L279&lt;&gt;"",OR(G279="Refusé",G279="Annulé")),"Devis refusé ou annulé mais facturé","OK"))))))))))</f>
        <v/>
      </c>
      <c r="O279" s="62">
        <f>IF(ISNUMBER(B279),B279,0)</f>
        <v>0.0</v>
      </c>
      <c r="P279" s="62" t="str">
        <f>IF(O279=0,"",YEAR(O279))</f>
        <v/>
      </c>
      <c r="Q279" s="62" t="str">
        <f>IF(P279="","",COUNTIF($P$6:P279,P279))</f>
        <v/>
      </c>
      <c r="R279" s="62">
        <f>IF(A279="",0,COUNTIF(dl_doc,A279))</f>
        <v>0.0</v>
      </c>
    </row>
    <row r="280">
      <c r="A280" s="59" t="str">
        <f>IF(Q280="","",p_pdv&amp;"-"&amp;P280&amp;"-"&amp;RIGHT("000"&amp;Q280,4))</f>
        <v/>
      </c>
      <c r="B280" s="61" t="n"/>
      <c r="C280" s="60" t="n"/>
      <c r="D280" s="62" t="str">
        <f>IF(C280="","",IFERROR(INDEX(cli_name,MATCH(C280,cli_code,0))&amp;"","Client inconnu"))</f>
        <v/>
      </c>
      <c r="E280" s="63" t="n"/>
      <c r="F280" s="61" t="n"/>
      <c r="G280" s="60" t="n"/>
      <c r="H280" s="64" t="str">
        <f>IF(A280="","",IF(ISNUMBER(F280),F280,O280+N(p_validity)))</f>
        <v/>
      </c>
      <c r="I280" s="65" t="str">
        <f>IF(A280="","",SUMIF(dl_doc,A280,dl_ht))</f>
        <v/>
      </c>
      <c r="J280" s="65" t="str">
        <f>IF(A280="","",IF(INDEX(p_rates,1)="",0,ROUND(SUMIFS(dl_ht,dl_doc,A280,dl_rate,INDEX(p_rates,1))*INDEX(p_rates,1),2))+IF(INDEX(p_rates,2)="",0,ROUND(SUMIFS(dl_ht,dl_doc,A280,dl_rate,INDEX(p_rates,2))*INDEX(p_rates,2),2))+IF(INDEX(p_rates,3)="",0,ROUND(SUMIFS(dl_ht,dl_doc,A280,dl_rate,INDEX(p_rates,3))*INDEX(p_rates,3),2))+IF(INDEX(p_rates,4)="",0,ROUND(SUMIFS(dl_ht,dl_doc,A280,dl_rate,INDEX(p_rates,4))*INDEX(p_rates,4),2))+IF(INDEX(p_rates,5)="",0,ROUND(SUMIFS(dl_ht,dl_doc,A280,dl_rate,INDEX(p_rates,5))*INDEX(p_rates,5),2))+IF(INDEX(p_rates,6)="",0,ROUND(SUMIFS(dl_ht,dl_doc,A280,dl_rate,INDEX(p_rates,6))*INDEX(p_rates,6),2)))</f>
        <v/>
      </c>
      <c r="K280" s="65" t="str">
        <f>IF(A280="","",I280+J280)</f>
        <v/>
      </c>
      <c r="L280" s="59" t="str">
        <f>IF(A280="","",IFERROR(INDEX(fa_num,MATCH(A280,fa_dvkey,0))&amp;"",""))</f>
        <v/>
      </c>
      <c r="M280" s="59" t="str">
        <f>IF(A280="","",IF(G280="Annulé","Annulé",IF(L280&lt;&gt;"","Facturé",IF(G280="Accepté","Accepté",IF(G280="Refusé","Refusé",IF(p_asof&gt;H280,"Expiré","En attente"))))))</f>
        <v/>
      </c>
      <c r="N280" s="59" t="str">
        <f>IF(COUNTA(B280:C280,E280:G280)=0,"",IF(B280="","Date manquante",IF(NOT(ISNUMBER(B280)),"Date invalide",IF(C280="","Client manquant",IF(ISNA(MATCH(C280,cli_code,0)),"Client inconnu",IF(O280&lt;MAX($O$6:O279),"Date antérieure au devis précédent",IF(AND(ISNUMBER(F280),F280&lt;O280),"Validité antérieure à la date du devis",IF(AND(R280=0,G280&lt;&gt;"Annulé"),"Aucune ligne (feuille Lignes de devis)",IF(COUNTIFS(dl_doc,A280,dl_check,"&lt;&gt;OK")&gt;0,"Ligne(s) à corriger",IF(AND(L280&lt;&gt;"",OR(G280="Refusé",G280="Annulé")),"Devis refusé ou annulé mais facturé","OK"))))))))))</f>
        <v/>
      </c>
      <c r="O280" s="62">
        <f>IF(ISNUMBER(B280),B280,0)</f>
        <v>0.0</v>
      </c>
      <c r="P280" s="62" t="str">
        <f>IF(O280=0,"",YEAR(O280))</f>
        <v/>
      </c>
      <c r="Q280" s="62" t="str">
        <f>IF(P280="","",COUNTIF($P$6:P280,P280))</f>
        <v/>
      </c>
      <c r="R280" s="62">
        <f>IF(A280="",0,COUNTIF(dl_doc,A280))</f>
        <v>0.0</v>
      </c>
    </row>
    <row r="281">
      <c r="A281" s="59" t="str">
        <f>IF(Q281="","",p_pdv&amp;"-"&amp;P281&amp;"-"&amp;RIGHT("000"&amp;Q281,4))</f>
        <v/>
      </c>
      <c r="B281" s="61" t="n"/>
      <c r="C281" s="60" t="n"/>
      <c r="D281" s="62" t="str">
        <f>IF(C281="","",IFERROR(INDEX(cli_name,MATCH(C281,cli_code,0))&amp;"","Client inconnu"))</f>
        <v/>
      </c>
      <c r="E281" s="63" t="n"/>
      <c r="F281" s="61" t="n"/>
      <c r="G281" s="60" t="n"/>
      <c r="H281" s="64" t="str">
        <f>IF(A281="","",IF(ISNUMBER(F281),F281,O281+N(p_validity)))</f>
        <v/>
      </c>
      <c r="I281" s="65" t="str">
        <f>IF(A281="","",SUMIF(dl_doc,A281,dl_ht))</f>
        <v/>
      </c>
      <c r="J281" s="65" t="str">
        <f>IF(A281="","",IF(INDEX(p_rates,1)="",0,ROUND(SUMIFS(dl_ht,dl_doc,A281,dl_rate,INDEX(p_rates,1))*INDEX(p_rates,1),2))+IF(INDEX(p_rates,2)="",0,ROUND(SUMIFS(dl_ht,dl_doc,A281,dl_rate,INDEX(p_rates,2))*INDEX(p_rates,2),2))+IF(INDEX(p_rates,3)="",0,ROUND(SUMIFS(dl_ht,dl_doc,A281,dl_rate,INDEX(p_rates,3))*INDEX(p_rates,3),2))+IF(INDEX(p_rates,4)="",0,ROUND(SUMIFS(dl_ht,dl_doc,A281,dl_rate,INDEX(p_rates,4))*INDEX(p_rates,4),2))+IF(INDEX(p_rates,5)="",0,ROUND(SUMIFS(dl_ht,dl_doc,A281,dl_rate,INDEX(p_rates,5))*INDEX(p_rates,5),2))+IF(INDEX(p_rates,6)="",0,ROUND(SUMIFS(dl_ht,dl_doc,A281,dl_rate,INDEX(p_rates,6))*INDEX(p_rates,6),2)))</f>
        <v/>
      </c>
      <c r="K281" s="65" t="str">
        <f>IF(A281="","",I281+J281)</f>
        <v/>
      </c>
      <c r="L281" s="59" t="str">
        <f>IF(A281="","",IFERROR(INDEX(fa_num,MATCH(A281,fa_dvkey,0))&amp;"",""))</f>
        <v/>
      </c>
      <c r="M281" s="59" t="str">
        <f>IF(A281="","",IF(G281="Annulé","Annulé",IF(L281&lt;&gt;"","Facturé",IF(G281="Accepté","Accepté",IF(G281="Refusé","Refusé",IF(p_asof&gt;H281,"Expiré","En attente"))))))</f>
        <v/>
      </c>
      <c r="N281" s="59" t="str">
        <f>IF(COUNTA(B281:C281,E281:G281)=0,"",IF(B281="","Date manquante",IF(NOT(ISNUMBER(B281)),"Date invalide",IF(C281="","Client manquant",IF(ISNA(MATCH(C281,cli_code,0)),"Client inconnu",IF(O281&lt;MAX($O$6:O280),"Date antérieure au devis précédent",IF(AND(ISNUMBER(F281),F281&lt;O281),"Validité antérieure à la date du devis",IF(AND(R281=0,G281&lt;&gt;"Annulé"),"Aucune ligne (feuille Lignes de devis)",IF(COUNTIFS(dl_doc,A281,dl_check,"&lt;&gt;OK")&gt;0,"Ligne(s) à corriger",IF(AND(L281&lt;&gt;"",OR(G281="Refusé",G281="Annulé")),"Devis refusé ou annulé mais facturé","OK"))))))))))</f>
        <v/>
      </c>
      <c r="O281" s="62">
        <f>IF(ISNUMBER(B281),B281,0)</f>
        <v>0.0</v>
      </c>
      <c r="P281" s="62" t="str">
        <f>IF(O281=0,"",YEAR(O281))</f>
        <v/>
      </c>
      <c r="Q281" s="62" t="str">
        <f>IF(P281="","",COUNTIF($P$6:P281,P281))</f>
        <v/>
      </c>
      <c r="R281" s="62">
        <f>IF(A281="",0,COUNTIF(dl_doc,A281))</f>
        <v>0.0</v>
      </c>
    </row>
    <row r="282">
      <c r="A282" s="59" t="str">
        <f>IF(Q282="","",p_pdv&amp;"-"&amp;P282&amp;"-"&amp;RIGHT("000"&amp;Q282,4))</f>
        <v/>
      </c>
      <c r="B282" s="61" t="n"/>
      <c r="C282" s="60" t="n"/>
      <c r="D282" s="62" t="str">
        <f>IF(C282="","",IFERROR(INDEX(cli_name,MATCH(C282,cli_code,0))&amp;"","Client inconnu"))</f>
        <v/>
      </c>
      <c r="E282" s="63" t="n"/>
      <c r="F282" s="61" t="n"/>
      <c r="G282" s="60" t="n"/>
      <c r="H282" s="64" t="str">
        <f>IF(A282="","",IF(ISNUMBER(F282),F282,O282+N(p_validity)))</f>
        <v/>
      </c>
      <c r="I282" s="65" t="str">
        <f>IF(A282="","",SUMIF(dl_doc,A282,dl_ht))</f>
        <v/>
      </c>
      <c r="J282" s="65" t="str">
        <f>IF(A282="","",IF(INDEX(p_rates,1)="",0,ROUND(SUMIFS(dl_ht,dl_doc,A282,dl_rate,INDEX(p_rates,1))*INDEX(p_rates,1),2))+IF(INDEX(p_rates,2)="",0,ROUND(SUMIFS(dl_ht,dl_doc,A282,dl_rate,INDEX(p_rates,2))*INDEX(p_rates,2),2))+IF(INDEX(p_rates,3)="",0,ROUND(SUMIFS(dl_ht,dl_doc,A282,dl_rate,INDEX(p_rates,3))*INDEX(p_rates,3),2))+IF(INDEX(p_rates,4)="",0,ROUND(SUMIFS(dl_ht,dl_doc,A282,dl_rate,INDEX(p_rates,4))*INDEX(p_rates,4),2))+IF(INDEX(p_rates,5)="",0,ROUND(SUMIFS(dl_ht,dl_doc,A282,dl_rate,INDEX(p_rates,5))*INDEX(p_rates,5),2))+IF(INDEX(p_rates,6)="",0,ROUND(SUMIFS(dl_ht,dl_doc,A282,dl_rate,INDEX(p_rates,6))*INDEX(p_rates,6),2)))</f>
        <v/>
      </c>
      <c r="K282" s="65" t="str">
        <f>IF(A282="","",I282+J282)</f>
        <v/>
      </c>
      <c r="L282" s="59" t="str">
        <f>IF(A282="","",IFERROR(INDEX(fa_num,MATCH(A282,fa_dvkey,0))&amp;"",""))</f>
        <v/>
      </c>
      <c r="M282" s="59" t="str">
        <f>IF(A282="","",IF(G282="Annulé","Annulé",IF(L282&lt;&gt;"","Facturé",IF(G282="Accepté","Accepté",IF(G282="Refusé","Refusé",IF(p_asof&gt;H282,"Expiré","En attente"))))))</f>
        <v/>
      </c>
      <c r="N282" s="59" t="str">
        <f>IF(COUNTA(B282:C282,E282:G282)=0,"",IF(B282="","Date manquante",IF(NOT(ISNUMBER(B282)),"Date invalide",IF(C282="","Client manquant",IF(ISNA(MATCH(C282,cli_code,0)),"Client inconnu",IF(O282&lt;MAX($O$6:O281),"Date antérieure au devis précédent",IF(AND(ISNUMBER(F282),F282&lt;O282),"Validité antérieure à la date du devis",IF(AND(R282=0,G282&lt;&gt;"Annulé"),"Aucune ligne (feuille Lignes de devis)",IF(COUNTIFS(dl_doc,A282,dl_check,"&lt;&gt;OK")&gt;0,"Ligne(s) à corriger",IF(AND(L282&lt;&gt;"",OR(G282="Refusé",G282="Annulé")),"Devis refusé ou annulé mais facturé","OK"))))))))))</f>
        <v/>
      </c>
      <c r="O282" s="62">
        <f>IF(ISNUMBER(B282),B282,0)</f>
        <v>0.0</v>
      </c>
      <c r="P282" s="62" t="str">
        <f>IF(O282=0,"",YEAR(O282))</f>
        <v/>
      </c>
      <c r="Q282" s="62" t="str">
        <f>IF(P282="","",COUNTIF($P$6:P282,P282))</f>
        <v/>
      </c>
      <c r="R282" s="62">
        <f>IF(A282="",0,COUNTIF(dl_doc,A282))</f>
        <v>0.0</v>
      </c>
    </row>
    <row r="283">
      <c r="A283" s="59" t="str">
        <f>IF(Q283="","",p_pdv&amp;"-"&amp;P283&amp;"-"&amp;RIGHT("000"&amp;Q283,4))</f>
        <v/>
      </c>
      <c r="B283" s="61" t="n"/>
      <c r="C283" s="60" t="n"/>
      <c r="D283" s="62" t="str">
        <f>IF(C283="","",IFERROR(INDEX(cli_name,MATCH(C283,cli_code,0))&amp;"","Client inconnu"))</f>
        <v/>
      </c>
      <c r="E283" s="63" t="n"/>
      <c r="F283" s="61" t="n"/>
      <c r="G283" s="60" t="n"/>
      <c r="H283" s="64" t="str">
        <f>IF(A283="","",IF(ISNUMBER(F283),F283,O283+N(p_validity)))</f>
        <v/>
      </c>
      <c r="I283" s="65" t="str">
        <f>IF(A283="","",SUMIF(dl_doc,A283,dl_ht))</f>
        <v/>
      </c>
      <c r="J283" s="65" t="str">
        <f>IF(A283="","",IF(INDEX(p_rates,1)="",0,ROUND(SUMIFS(dl_ht,dl_doc,A283,dl_rate,INDEX(p_rates,1))*INDEX(p_rates,1),2))+IF(INDEX(p_rates,2)="",0,ROUND(SUMIFS(dl_ht,dl_doc,A283,dl_rate,INDEX(p_rates,2))*INDEX(p_rates,2),2))+IF(INDEX(p_rates,3)="",0,ROUND(SUMIFS(dl_ht,dl_doc,A283,dl_rate,INDEX(p_rates,3))*INDEX(p_rates,3),2))+IF(INDEX(p_rates,4)="",0,ROUND(SUMIFS(dl_ht,dl_doc,A283,dl_rate,INDEX(p_rates,4))*INDEX(p_rates,4),2))+IF(INDEX(p_rates,5)="",0,ROUND(SUMIFS(dl_ht,dl_doc,A283,dl_rate,INDEX(p_rates,5))*INDEX(p_rates,5),2))+IF(INDEX(p_rates,6)="",0,ROUND(SUMIFS(dl_ht,dl_doc,A283,dl_rate,INDEX(p_rates,6))*INDEX(p_rates,6),2)))</f>
        <v/>
      </c>
      <c r="K283" s="65" t="str">
        <f>IF(A283="","",I283+J283)</f>
        <v/>
      </c>
      <c r="L283" s="59" t="str">
        <f>IF(A283="","",IFERROR(INDEX(fa_num,MATCH(A283,fa_dvkey,0))&amp;"",""))</f>
        <v/>
      </c>
      <c r="M283" s="59" t="str">
        <f>IF(A283="","",IF(G283="Annulé","Annulé",IF(L283&lt;&gt;"","Facturé",IF(G283="Accepté","Accepté",IF(G283="Refusé","Refusé",IF(p_asof&gt;H283,"Expiré","En attente"))))))</f>
        <v/>
      </c>
      <c r="N283" s="59" t="str">
        <f>IF(COUNTA(B283:C283,E283:G283)=0,"",IF(B283="","Date manquante",IF(NOT(ISNUMBER(B283)),"Date invalide",IF(C283="","Client manquant",IF(ISNA(MATCH(C283,cli_code,0)),"Client inconnu",IF(O283&lt;MAX($O$6:O282),"Date antérieure au devis précédent",IF(AND(ISNUMBER(F283),F283&lt;O283),"Validité antérieure à la date du devis",IF(AND(R283=0,G283&lt;&gt;"Annulé"),"Aucune ligne (feuille Lignes de devis)",IF(COUNTIFS(dl_doc,A283,dl_check,"&lt;&gt;OK")&gt;0,"Ligne(s) à corriger",IF(AND(L283&lt;&gt;"",OR(G283="Refusé",G283="Annulé")),"Devis refusé ou annulé mais facturé","OK"))))))))))</f>
        <v/>
      </c>
      <c r="O283" s="62">
        <f>IF(ISNUMBER(B283),B283,0)</f>
        <v>0.0</v>
      </c>
      <c r="P283" s="62" t="str">
        <f>IF(O283=0,"",YEAR(O283))</f>
        <v/>
      </c>
      <c r="Q283" s="62" t="str">
        <f>IF(P283="","",COUNTIF($P$6:P283,P283))</f>
        <v/>
      </c>
      <c r="R283" s="62">
        <f>IF(A283="",0,COUNTIF(dl_doc,A283))</f>
        <v>0.0</v>
      </c>
    </row>
    <row r="284">
      <c r="A284" s="59" t="str">
        <f>IF(Q284="","",p_pdv&amp;"-"&amp;P284&amp;"-"&amp;RIGHT("000"&amp;Q284,4))</f>
        <v/>
      </c>
      <c r="B284" s="61" t="n"/>
      <c r="C284" s="60" t="n"/>
      <c r="D284" s="62" t="str">
        <f>IF(C284="","",IFERROR(INDEX(cli_name,MATCH(C284,cli_code,0))&amp;"","Client inconnu"))</f>
        <v/>
      </c>
      <c r="E284" s="63" t="n"/>
      <c r="F284" s="61" t="n"/>
      <c r="G284" s="60" t="n"/>
      <c r="H284" s="64" t="str">
        <f>IF(A284="","",IF(ISNUMBER(F284),F284,O284+N(p_validity)))</f>
        <v/>
      </c>
      <c r="I284" s="65" t="str">
        <f>IF(A284="","",SUMIF(dl_doc,A284,dl_ht))</f>
        <v/>
      </c>
      <c r="J284" s="65" t="str">
        <f>IF(A284="","",IF(INDEX(p_rates,1)="",0,ROUND(SUMIFS(dl_ht,dl_doc,A284,dl_rate,INDEX(p_rates,1))*INDEX(p_rates,1),2))+IF(INDEX(p_rates,2)="",0,ROUND(SUMIFS(dl_ht,dl_doc,A284,dl_rate,INDEX(p_rates,2))*INDEX(p_rates,2),2))+IF(INDEX(p_rates,3)="",0,ROUND(SUMIFS(dl_ht,dl_doc,A284,dl_rate,INDEX(p_rates,3))*INDEX(p_rates,3),2))+IF(INDEX(p_rates,4)="",0,ROUND(SUMIFS(dl_ht,dl_doc,A284,dl_rate,INDEX(p_rates,4))*INDEX(p_rates,4),2))+IF(INDEX(p_rates,5)="",0,ROUND(SUMIFS(dl_ht,dl_doc,A284,dl_rate,INDEX(p_rates,5))*INDEX(p_rates,5),2))+IF(INDEX(p_rates,6)="",0,ROUND(SUMIFS(dl_ht,dl_doc,A284,dl_rate,INDEX(p_rates,6))*INDEX(p_rates,6),2)))</f>
        <v/>
      </c>
      <c r="K284" s="65" t="str">
        <f>IF(A284="","",I284+J284)</f>
        <v/>
      </c>
      <c r="L284" s="59" t="str">
        <f>IF(A284="","",IFERROR(INDEX(fa_num,MATCH(A284,fa_dvkey,0))&amp;"",""))</f>
        <v/>
      </c>
      <c r="M284" s="59" t="str">
        <f>IF(A284="","",IF(G284="Annulé","Annulé",IF(L284&lt;&gt;"","Facturé",IF(G284="Accepté","Accepté",IF(G284="Refusé","Refusé",IF(p_asof&gt;H284,"Expiré","En attente"))))))</f>
        <v/>
      </c>
      <c r="N284" s="59" t="str">
        <f>IF(COUNTA(B284:C284,E284:G284)=0,"",IF(B284="","Date manquante",IF(NOT(ISNUMBER(B284)),"Date invalide",IF(C284="","Client manquant",IF(ISNA(MATCH(C284,cli_code,0)),"Client inconnu",IF(O284&lt;MAX($O$6:O283),"Date antérieure au devis précédent",IF(AND(ISNUMBER(F284),F284&lt;O284),"Validité antérieure à la date du devis",IF(AND(R284=0,G284&lt;&gt;"Annulé"),"Aucune ligne (feuille Lignes de devis)",IF(COUNTIFS(dl_doc,A284,dl_check,"&lt;&gt;OK")&gt;0,"Ligne(s) à corriger",IF(AND(L284&lt;&gt;"",OR(G284="Refusé",G284="Annulé")),"Devis refusé ou annulé mais facturé","OK"))))))))))</f>
        <v/>
      </c>
      <c r="O284" s="62">
        <f>IF(ISNUMBER(B284),B284,0)</f>
        <v>0.0</v>
      </c>
      <c r="P284" s="62" t="str">
        <f>IF(O284=0,"",YEAR(O284))</f>
        <v/>
      </c>
      <c r="Q284" s="62" t="str">
        <f>IF(P284="","",COUNTIF($P$6:P284,P284))</f>
        <v/>
      </c>
      <c r="R284" s="62">
        <f>IF(A284="",0,COUNTIF(dl_doc,A284))</f>
        <v>0.0</v>
      </c>
    </row>
    <row r="285">
      <c r="A285" s="59" t="str">
        <f>IF(Q285="","",p_pdv&amp;"-"&amp;P285&amp;"-"&amp;RIGHT("000"&amp;Q285,4))</f>
        <v/>
      </c>
      <c r="B285" s="61" t="n"/>
      <c r="C285" s="60" t="n"/>
      <c r="D285" s="62" t="str">
        <f>IF(C285="","",IFERROR(INDEX(cli_name,MATCH(C285,cli_code,0))&amp;"","Client inconnu"))</f>
        <v/>
      </c>
      <c r="E285" s="63" t="n"/>
      <c r="F285" s="61" t="n"/>
      <c r="G285" s="60" t="n"/>
      <c r="H285" s="64" t="str">
        <f>IF(A285="","",IF(ISNUMBER(F285),F285,O285+N(p_validity)))</f>
        <v/>
      </c>
      <c r="I285" s="65" t="str">
        <f>IF(A285="","",SUMIF(dl_doc,A285,dl_ht))</f>
        <v/>
      </c>
      <c r="J285" s="65" t="str">
        <f>IF(A285="","",IF(INDEX(p_rates,1)="",0,ROUND(SUMIFS(dl_ht,dl_doc,A285,dl_rate,INDEX(p_rates,1))*INDEX(p_rates,1),2))+IF(INDEX(p_rates,2)="",0,ROUND(SUMIFS(dl_ht,dl_doc,A285,dl_rate,INDEX(p_rates,2))*INDEX(p_rates,2),2))+IF(INDEX(p_rates,3)="",0,ROUND(SUMIFS(dl_ht,dl_doc,A285,dl_rate,INDEX(p_rates,3))*INDEX(p_rates,3),2))+IF(INDEX(p_rates,4)="",0,ROUND(SUMIFS(dl_ht,dl_doc,A285,dl_rate,INDEX(p_rates,4))*INDEX(p_rates,4),2))+IF(INDEX(p_rates,5)="",0,ROUND(SUMIFS(dl_ht,dl_doc,A285,dl_rate,INDEX(p_rates,5))*INDEX(p_rates,5),2))+IF(INDEX(p_rates,6)="",0,ROUND(SUMIFS(dl_ht,dl_doc,A285,dl_rate,INDEX(p_rates,6))*INDEX(p_rates,6),2)))</f>
        <v/>
      </c>
      <c r="K285" s="65" t="str">
        <f>IF(A285="","",I285+J285)</f>
        <v/>
      </c>
      <c r="L285" s="59" t="str">
        <f>IF(A285="","",IFERROR(INDEX(fa_num,MATCH(A285,fa_dvkey,0))&amp;"",""))</f>
        <v/>
      </c>
      <c r="M285" s="59" t="str">
        <f>IF(A285="","",IF(G285="Annulé","Annulé",IF(L285&lt;&gt;"","Facturé",IF(G285="Accepté","Accepté",IF(G285="Refusé","Refusé",IF(p_asof&gt;H285,"Expiré","En attente"))))))</f>
        <v/>
      </c>
      <c r="N285" s="59" t="str">
        <f>IF(COUNTA(B285:C285,E285:G285)=0,"",IF(B285="","Date manquante",IF(NOT(ISNUMBER(B285)),"Date invalide",IF(C285="","Client manquant",IF(ISNA(MATCH(C285,cli_code,0)),"Client inconnu",IF(O285&lt;MAX($O$6:O284),"Date antérieure au devis précédent",IF(AND(ISNUMBER(F285),F285&lt;O285),"Validité antérieure à la date du devis",IF(AND(R285=0,G285&lt;&gt;"Annulé"),"Aucune ligne (feuille Lignes de devis)",IF(COUNTIFS(dl_doc,A285,dl_check,"&lt;&gt;OK")&gt;0,"Ligne(s) à corriger",IF(AND(L285&lt;&gt;"",OR(G285="Refusé",G285="Annulé")),"Devis refusé ou annulé mais facturé","OK"))))))))))</f>
        <v/>
      </c>
      <c r="O285" s="62">
        <f>IF(ISNUMBER(B285),B285,0)</f>
        <v>0.0</v>
      </c>
      <c r="P285" s="62" t="str">
        <f>IF(O285=0,"",YEAR(O285))</f>
        <v/>
      </c>
      <c r="Q285" s="62" t="str">
        <f>IF(P285="","",COUNTIF($P$6:P285,P285))</f>
        <v/>
      </c>
      <c r="R285" s="62">
        <f>IF(A285="",0,COUNTIF(dl_doc,A285))</f>
        <v>0.0</v>
      </c>
    </row>
    <row r="286">
      <c r="A286" s="59" t="str">
        <f>IF(Q286="","",p_pdv&amp;"-"&amp;P286&amp;"-"&amp;RIGHT("000"&amp;Q286,4))</f>
        <v/>
      </c>
      <c r="B286" s="61" t="n"/>
      <c r="C286" s="60" t="n"/>
      <c r="D286" s="62" t="str">
        <f>IF(C286="","",IFERROR(INDEX(cli_name,MATCH(C286,cli_code,0))&amp;"","Client inconnu"))</f>
        <v/>
      </c>
      <c r="E286" s="63" t="n"/>
      <c r="F286" s="61" t="n"/>
      <c r="G286" s="60" t="n"/>
      <c r="H286" s="64" t="str">
        <f>IF(A286="","",IF(ISNUMBER(F286),F286,O286+N(p_validity)))</f>
        <v/>
      </c>
      <c r="I286" s="65" t="str">
        <f>IF(A286="","",SUMIF(dl_doc,A286,dl_ht))</f>
        <v/>
      </c>
      <c r="J286" s="65" t="str">
        <f>IF(A286="","",IF(INDEX(p_rates,1)="",0,ROUND(SUMIFS(dl_ht,dl_doc,A286,dl_rate,INDEX(p_rates,1))*INDEX(p_rates,1),2))+IF(INDEX(p_rates,2)="",0,ROUND(SUMIFS(dl_ht,dl_doc,A286,dl_rate,INDEX(p_rates,2))*INDEX(p_rates,2),2))+IF(INDEX(p_rates,3)="",0,ROUND(SUMIFS(dl_ht,dl_doc,A286,dl_rate,INDEX(p_rates,3))*INDEX(p_rates,3),2))+IF(INDEX(p_rates,4)="",0,ROUND(SUMIFS(dl_ht,dl_doc,A286,dl_rate,INDEX(p_rates,4))*INDEX(p_rates,4),2))+IF(INDEX(p_rates,5)="",0,ROUND(SUMIFS(dl_ht,dl_doc,A286,dl_rate,INDEX(p_rates,5))*INDEX(p_rates,5),2))+IF(INDEX(p_rates,6)="",0,ROUND(SUMIFS(dl_ht,dl_doc,A286,dl_rate,INDEX(p_rates,6))*INDEX(p_rates,6),2)))</f>
        <v/>
      </c>
      <c r="K286" s="65" t="str">
        <f>IF(A286="","",I286+J286)</f>
        <v/>
      </c>
      <c r="L286" s="59" t="str">
        <f>IF(A286="","",IFERROR(INDEX(fa_num,MATCH(A286,fa_dvkey,0))&amp;"",""))</f>
        <v/>
      </c>
      <c r="M286" s="59" t="str">
        <f>IF(A286="","",IF(G286="Annulé","Annulé",IF(L286&lt;&gt;"","Facturé",IF(G286="Accepté","Accepté",IF(G286="Refusé","Refusé",IF(p_asof&gt;H286,"Expiré","En attente"))))))</f>
        <v/>
      </c>
      <c r="N286" s="59" t="str">
        <f>IF(COUNTA(B286:C286,E286:G286)=0,"",IF(B286="","Date manquante",IF(NOT(ISNUMBER(B286)),"Date invalide",IF(C286="","Client manquant",IF(ISNA(MATCH(C286,cli_code,0)),"Client inconnu",IF(O286&lt;MAX($O$6:O285),"Date antérieure au devis précédent",IF(AND(ISNUMBER(F286),F286&lt;O286),"Validité antérieure à la date du devis",IF(AND(R286=0,G286&lt;&gt;"Annulé"),"Aucune ligne (feuille Lignes de devis)",IF(COUNTIFS(dl_doc,A286,dl_check,"&lt;&gt;OK")&gt;0,"Ligne(s) à corriger",IF(AND(L286&lt;&gt;"",OR(G286="Refusé",G286="Annulé")),"Devis refusé ou annulé mais facturé","OK"))))))))))</f>
        <v/>
      </c>
      <c r="O286" s="62">
        <f>IF(ISNUMBER(B286),B286,0)</f>
        <v>0.0</v>
      </c>
      <c r="P286" s="62" t="str">
        <f>IF(O286=0,"",YEAR(O286))</f>
        <v/>
      </c>
      <c r="Q286" s="62" t="str">
        <f>IF(P286="","",COUNTIF($P$6:P286,P286))</f>
        <v/>
      </c>
      <c r="R286" s="62">
        <f>IF(A286="",0,COUNTIF(dl_doc,A286))</f>
        <v>0.0</v>
      </c>
    </row>
    <row r="287">
      <c r="A287" s="59" t="str">
        <f>IF(Q287="","",p_pdv&amp;"-"&amp;P287&amp;"-"&amp;RIGHT("000"&amp;Q287,4))</f>
        <v/>
      </c>
      <c r="B287" s="61" t="n"/>
      <c r="C287" s="60" t="n"/>
      <c r="D287" s="62" t="str">
        <f>IF(C287="","",IFERROR(INDEX(cli_name,MATCH(C287,cli_code,0))&amp;"","Client inconnu"))</f>
        <v/>
      </c>
      <c r="E287" s="63" t="n"/>
      <c r="F287" s="61" t="n"/>
      <c r="G287" s="60" t="n"/>
      <c r="H287" s="64" t="str">
        <f>IF(A287="","",IF(ISNUMBER(F287),F287,O287+N(p_validity)))</f>
        <v/>
      </c>
      <c r="I287" s="65" t="str">
        <f>IF(A287="","",SUMIF(dl_doc,A287,dl_ht))</f>
        <v/>
      </c>
      <c r="J287" s="65" t="str">
        <f>IF(A287="","",IF(INDEX(p_rates,1)="",0,ROUND(SUMIFS(dl_ht,dl_doc,A287,dl_rate,INDEX(p_rates,1))*INDEX(p_rates,1),2))+IF(INDEX(p_rates,2)="",0,ROUND(SUMIFS(dl_ht,dl_doc,A287,dl_rate,INDEX(p_rates,2))*INDEX(p_rates,2),2))+IF(INDEX(p_rates,3)="",0,ROUND(SUMIFS(dl_ht,dl_doc,A287,dl_rate,INDEX(p_rates,3))*INDEX(p_rates,3),2))+IF(INDEX(p_rates,4)="",0,ROUND(SUMIFS(dl_ht,dl_doc,A287,dl_rate,INDEX(p_rates,4))*INDEX(p_rates,4),2))+IF(INDEX(p_rates,5)="",0,ROUND(SUMIFS(dl_ht,dl_doc,A287,dl_rate,INDEX(p_rates,5))*INDEX(p_rates,5),2))+IF(INDEX(p_rates,6)="",0,ROUND(SUMIFS(dl_ht,dl_doc,A287,dl_rate,INDEX(p_rates,6))*INDEX(p_rates,6),2)))</f>
        <v/>
      </c>
      <c r="K287" s="65" t="str">
        <f>IF(A287="","",I287+J287)</f>
        <v/>
      </c>
      <c r="L287" s="59" t="str">
        <f>IF(A287="","",IFERROR(INDEX(fa_num,MATCH(A287,fa_dvkey,0))&amp;"",""))</f>
        <v/>
      </c>
      <c r="M287" s="59" t="str">
        <f>IF(A287="","",IF(G287="Annulé","Annulé",IF(L287&lt;&gt;"","Facturé",IF(G287="Accepté","Accepté",IF(G287="Refusé","Refusé",IF(p_asof&gt;H287,"Expiré","En attente"))))))</f>
        <v/>
      </c>
      <c r="N287" s="59" t="str">
        <f>IF(COUNTA(B287:C287,E287:G287)=0,"",IF(B287="","Date manquante",IF(NOT(ISNUMBER(B287)),"Date invalide",IF(C287="","Client manquant",IF(ISNA(MATCH(C287,cli_code,0)),"Client inconnu",IF(O287&lt;MAX($O$6:O286),"Date antérieure au devis précédent",IF(AND(ISNUMBER(F287),F287&lt;O287),"Validité antérieure à la date du devis",IF(AND(R287=0,G287&lt;&gt;"Annulé"),"Aucune ligne (feuille Lignes de devis)",IF(COUNTIFS(dl_doc,A287,dl_check,"&lt;&gt;OK")&gt;0,"Ligne(s) à corriger",IF(AND(L287&lt;&gt;"",OR(G287="Refusé",G287="Annulé")),"Devis refusé ou annulé mais facturé","OK"))))))))))</f>
        <v/>
      </c>
      <c r="O287" s="62">
        <f>IF(ISNUMBER(B287),B287,0)</f>
        <v>0.0</v>
      </c>
      <c r="P287" s="62" t="str">
        <f>IF(O287=0,"",YEAR(O287))</f>
        <v/>
      </c>
      <c r="Q287" s="62" t="str">
        <f>IF(P287="","",COUNTIF($P$6:P287,P287))</f>
        <v/>
      </c>
      <c r="R287" s="62">
        <f>IF(A287="",0,COUNTIF(dl_doc,A287))</f>
        <v>0.0</v>
      </c>
    </row>
    <row r="288">
      <c r="A288" s="59" t="str">
        <f>IF(Q288="","",p_pdv&amp;"-"&amp;P288&amp;"-"&amp;RIGHT("000"&amp;Q288,4))</f>
        <v/>
      </c>
      <c r="B288" s="61" t="n"/>
      <c r="C288" s="60" t="n"/>
      <c r="D288" s="62" t="str">
        <f>IF(C288="","",IFERROR(INDEX(cli_name,MATCH(C288,cli_code,0))&amp;"","Client inconnu"))</f>
        <v/>
      </c>
      <c r="E288" s="63" t="n"/>
      <c r="F288" s="61" t="n"/>
      <c r="G288" s="60" t="n"/>
      <c r="H288" s="64" t="str">
        <f>IF(A288="","",IF(ISNUMBER(F288),F288,O288+N(p_validity)))</f>
        <v/>
      </c>
      <c r="I288" s="65" t="str">
        <f>IF(A288="","",SUMIF(dl_doc,A288,dl_ht))</f>
        <v/>
      </c>
      <c r="J288" s="65" t="str">
        <f>IF(A288="","",IF(INDEX(p_rates,1)="",0,ROUND(SUMIFS(dl_ht,dl_doc,A288,dl_rate,INDEX(p_rates,1))*INDEX(p_rates,1),2))+IF(INDEX(p_rates,2)="",0,ROUND(SUMIFS(dl_ht,dl_doc,A288,dl_rate,INDEX(p_rates,2))*INDEX(p_rates,2),2))+IF(INDEX(p_rates,3)="",0,ROUND(SUMIFS(dl_ht,dl_doc,A288,dl_rate,INDEX(p_rates,3))*INDEX(p_rates,3),2))+IF(INDEX(p_rates,4)="",0,ROUND(SUMIFS(dl_ht,dl_doc,A288,dl_rate,INDEX(p_rates,4))*INDEX(p_rates,4),2))+IF(INDEX(p_rates,5)="",0,ROUND(SUMIFS(dl_ht,dl_doc,A288,dl_rate,INDEX(p_rates,5))*INDEX(p_rates,5),2))+IF(INDEX(p_rates,6)="",0,ROUND(SUMIFS(dl_ht,dl_doc,A288,dl_rate,INDEX(p_rates,6))*INDEX(p_rates,6),2)))</f>
        <v/>
      </c>
      <c r="K288" s="65" t="str">
        <f>IF(A288="","",I288+J288)</f>
        <v/>
      </c>
      <c r="L288" s="59" t="str">
        <f>IF(A288="","",IFERROR(INDEX(fa_num,MATCH(A288,fa_dvkey,0))&amp;"",""))</f>
        <v/>
      </c>
      <c r="M288" s="59" t="str">
        <f>IF(A288="","",IF(G288="Annulé","Annulé",IF(L288&lt;&gt;"","Facturé",IF(G288="Accepté","Accepté",IF(G288="Refusé","Refusé",IF(p_asof&gt;H288,"Expiré","En attente"))))))</f>
        <v/>
      </c>
      <c r="N288" s="59" t="str">
        <f>IF(COUNTA(B288:C288,E288:G288)=0,"",IF(B288="","Date manquante",IF(NOT(ISNUMBER(B288)),"Date invalide",IF(C288="","Client manquant",IF(ISNA(MATCH(C288,cli_code,0)),"Client inconnu",IF(O288&lt;MAX($O$6:O287),"Date antérieure au devis précédent",IF(AND(ISNUMBER(F288),F288&lt;O288),"Validité antérieure à la date du devis",IF(AND(R288=0,G288&lt;&gt;"Annulé"),"Aucune ligne (feuille Lignes de devis)",IF(COUNTIFS(dl_doc,A288,dl_check,"&lt;&gt;OK")&gt;0,"Ligne(s) à corriger",IF(AND(L288&lt;&gt;"",OR(G288="Refusé",G288="Annulé")),"Devis refusé ou annulé mais facturé","OK"))))))))))</f>
        <v/>
      </c>
      <c r="O288" s="62">
        <f>IF(ISNUMBER(B288),B288,0)</f>
        <v>0.0</v>
      </c>
      <c r="P288" s="62" t="str">
        <f>IF(O288=0,"",YEAR(O288))</f>
        <v/>
      </c>
      <c r="Q288" s="62" t="str">
        <f>IF(P288="","",COUNTIF($P$6:P288,P288))</f>
        <v/>
      </c>
      <c r="R288" s="62">
        <f>IF(A288="",0,COUNTIF(dl_doc,A288))</f>
        <v>0.0</v>
      </c>
    </row>
    <row r="289">
      <c r="A289" s="59" t="str">
        <f>IF(Q289="","",p_pdv&amp;"-"&amp;P289&amp;"-"&amp;RIGHT("000"&amp;Q289,4))</f>
        <v/>
      </c>
      <c r="B289" s="61" t="n"/>
      <c r="C289" s="60" t="n"/>
      <c r="D289" s="62" t="str">
        <f>IF(C289="","",IFERROR(INDEX(cli_name,MATCH(C289,cli_code,0))&amp;"","Client inconnu"))</f>
        <v/>
      </c>
      <c r="E289" s="63" t="n"/>
      <c r="F289" s="61" t="n"/>
      <c r="G289" s="60" t="n"/>
      <c r="H289" s="64" t="str">
        <f>IF(A289="","",IF(ISNUMBER(F289),F289,O289+N(p_validity)))</f>
        <v/>
      </c>
      <c r="I289" s="65" t="str">
        <f>IF(A289="","",SUMIF(dl_doc,A289,dl_ht))</f>
        <v/>
      </c>
      <c r="J289" s="65" t="str">
        <f>IF(A289="","",IF(INDEX(p_rates,1)="",0,ROUND(SUMIFS(dl_ht,dl_doc,A289,dl_rate,INDEX(p_rates,1))*INDEX(p_rates,1),2))+IF(INDEX(p_rates,2)="",0,ROUND(SUMIFS(dl_ht,dl_doc,A289,dl_rate,INDEX(p_rates,2))*INDEX(p_rates,2),2))+IF(INDEX(p_rates,3)="",0,ROUND(SUMIFS(dl_ht,dl_doc,A289,dl_rate,INDEX(p_rates,3))*INDEX(p_rates,3),2))+IF(INDEX(p_rates,4)="",0,ROUND(SUMIFS(dl_ht,dl_doc,A289,dl_rate,INDEX(p_rates,4))*INDEX(p_rates,4),2))+IF(INDEX(p_rates,5)="",0,ROUND(SUMIFS(dl_ht,dl_doc,A289,dl_rate,INDEX(p_rates,5))*INDEX(p_rates,5),2))+IF(INDEX(p_rates,6)="",0,ROUND(SUMIFS(dl_ht,dl_doc,A289,dl_rate,INDEX(p_rates,6))*INDEX(p_rates,6),2)))</f>
        <v/>
      </c>
      <c r="K289" s="65" t="str">
        <f>IF(A289="","",I289+J289)</f>
        <v/>
      </c>
      <c r="L289" s="59" t="str">
        <f>IF(A289="","",IFERROR(INDEX(fa_num,MATCH(A289,fa_dvkey,0))&amp;"",""))</f>
        <v/>
      </c>
      <c r="M289" s="59" t="str">
        <f>IF(A289="","",IF(G289="Annulé","Annulé",IF(L289&lt;&gt;"","Facturé",IF(G289="Accepté","Accepté",IF(G289="Refusé","Refusé",IF(p_asof&gt;H289,"Expiré","En attente"))))))</f>
        <v/>
      </c>
      <c r="N289" s="59" t="str">
        <f>IF(COUNTA(B289:C289,E289:G289)=0,"",IF(B289="","Date manquante",IF(NOT(ISNUMBER(B289)),"Date invalide",IF(C289="","Client manquant",IF(ISNA(MATCH(C289,cli_code,0)),"Client inconnu",IF(O289&lt;MAX($O$6:O288),"Date antérieure au devis précédent",IF(AND(ISNUMBER(F289),F289&lt;O289),"Validité antérieure à la date du devis",IF(AND(R289=0,G289&lt;&gt;"Annulé"),"Aucune ligne (feuille Lignes de devis)",IF(COUNTIFS(dl_doc,A289,dl_check,"&lt;&gt;OK")&gt;0,"Ligne(s) à corriger",IF(AND(L289&lt;&gt;"",OR(G289="Refusé",G289="Annulé")),"Devis refusé ou annulé mais facturé","OK"))))))))))</f>
        <v/>
      </c>
      <c r="O289" s="62">
        <f>IF(ISNUMBER(B289),B289,0)</f>
        <v>0.0</v>
      </c>
      <c r="P289" s="62" t="str">
        <f>IF(O289=0,"",YEAR(O289))</f>
        <v/>
      </c>
      <c r="Q289" s="62" t="str">
        <f>IF(P289="","",COUNTIF($P$6:P289,P289))</f>
        <v/>
      </c>
      <c r="R289" s="62">
        <f>IF(A289="",0,COUNTIF(dl_doc,A289))</f>
        <v>0.0</v>
      </c>
    </row>
    <row r="290">
      <c r="A290" s="59" t="str">
        <f>IF(Q290="","",p_pdv&amp;"-"&amp;P290&amp;"-"&amp;RIGHT("000"&amp;Q290,4))</f>
        <v/>
      </c>
      <c r="B290" s="61" t="n"/>
      <c r="C290" s="60" t="n"/>
      <c r="D290" s="62" t="str">
        <f>IF(C290="","",IFERROR(INDEX(cli_name,MATCH(C290,cli_code,0))&amp;"","Client inconnu"))</f>
        <v/>
      </c>
      <c r="E290" s="63" t="n"/>
      <c r="F290" s="61" t="n"/>
      <c r="G290" s="60" t="n"/>
      <c r="H290" s="64" t="str">
        <f>IF(A290="","",IF(ISNUMBER(F290),F290,O290+N(p_validity)))</f>
        <v/>
      </c>
      <c r="I290" s="65" t="str">
        <f>IF(A290="","",SUMIF(dl_doc,A290,dl_ht))</f>
        <v/>
      </c>
      <c r="J290" s="65" t="str">
        <f>IF(A290="","",IF(INDEX(p_rates,1)="",0,ROUND(SUMIFS(dl_ht,dl_doc,A290,dl_rate,INDEX(p_rates,1))*INDEX(p_rates,1),2))+IF(INDEX(p_rates,2)="",0,ROUND(SUMIFS(dl_ht,dl_doc,A290,dl_rate,INDEX(p_rates,2))*INDEX(p_rates,2),2))+IF(INDEX(p_rates,3)="",0,ROUND(SUMIFS(dl_ht,dl_doc,A290,dl_rate,INDEX(p_rates,3))*INDEX(p_rates,3),2))+IF(INDEX(p_rates,4)="",0,ROUND(SUMIFS(dl_ht,dl_doc,A290,dl_rate,INDEX(p_rates,4))*INDEX(p_rates,4),2))+IF(INDEX(p_rates,5)="",0,ROUND(SUMIFS(dl_ht,dl_doc,A290,dl_rate,INDEX(p_rates,5))*INDEX(p_rates,5),2))+IF(INDEX(p_rates,6)="",0,ROUND(SUMIFS(dl_ht,dl_doc,A290,dl_rate,INDEX(p_rates,6))*INDEX(p_rates,6),2)))</f>
        <v/>
      </c>
      <c r="K290" s="65" t="str">
        <f>IF(A290="","",I290+J290)</f>
        <v/>
      </c>
      <c r="L290" s="59" t="str">
        <f>IF(A290="","",IFERROR(INDEX(fa_num,MATCH(A290,fa_dvkey,0))&amp;"",""))</f>
        <v/>
      </c>
      <c r="M290" s="59" t="str">
        <f>IF(A290="","",IF(G290="Annulé","Annulé",IF(L290&lt;&gt;"","Facturé",IF(G290="Accepté","Accepté",IF(G290="Refusé","Refusé",IF(p_asof&gt;H290,"Expiré","En attente"))))))</f>
        <v/>
      </c>
      <c r="N290" s="59" t="str">
        <f>IF(COUNTA(B290:C290,E290:G290)=0,"",IF(B290="","Date manquante",IF(NOT(ISNUMBER(B290)),"Date invalide",IF(C290="","Client manquant",IF(ISNA(MATCH(C290,cli_code,0)),"Client inconnu",IF(O290&lt;MAX($O$6:O289),"Date antérieure au devis précédent",IF(AND(ISNUMBER(F290),F290&lt;O290),"Validité antérieure à la date du devis",IF(AND(R290=0,G290&lt;&gt;"Annulé"),"Aucune ligne (feuille Lignes de devis)",IF(COUNTIFS(dl_doc,A290,dl_check,"&lt;&gt;OK")&gt;0,"Ligne(s) à corriger",IF(AND(L290&lt;&gt;"",OR(G290="Refusé",G290="Annulé")),"Devis refusé ou annulé mais facturé","OK"))))))))))</f>
        <v/>
      </c>
      <c r="O290" s="62">
        <f>IF(ISNUMBER(B290),B290,0)</f>
        <v>0.0</v>
      </c>
      <c r="P290" s="62" t="str">
        <f>IF(O290=0,"",YEAR(O290))</f>
        <v/>
      </c>
      <c r="Q290" s="62" t="str">
        <f>IF(P290="","",COUNTIF($P$6:P290,P290))</f>
        <v/>
      </c>
      <c r="R290" s="62">
        <f>IF(A290="",0,COUNTIF(dl_doc,A290))</f>
        <v>0.0</v>
      </c>
    </row>
    <row r="291">
      <c r="A291" s="59" t="str">
        <f>IF(Q291="","",p_pdv&amp;"-"&amp;P291&amp;"-"&amp;RIGHT("000"&amp;Q291,4))</f>
        <v/>
      </c>
      <c r="B291" s="61" t="n"/>
      <c r="C291" s="60" t="n"/>
      <c r="D291" s="62" t="str">
        <f>IF(C291="","",IFERROR(INDEX(cli_name,MATCH(C291,cli_code,0))&amp;"","Client inconnu"))</f>
        <v/>
      </c>
      <c r="E291" s="63" t="n"/>
      <c r="F291" s="61" t="n"/>
      <c r="G291" s="60" t="n"/>
      <c r="H291" s="64" t="str">
        <f>IF(A291="","",IF(ISNUMBER(F291),F291,O291+N(p_validity)))</f>
        <v/>
      </c>
      <c r="I291" s="65" t="str">
        <f>IF(A291="","",SUMIF(dl_doc,A291,dl_ht))</f>
        <v/>
      </c>
      <c r="J291" s="65" t="str">
        <f>IF(A291="","",IF(INDEX(p_rates,1)="",0,ROUND(SUMIFS(dl_ht,dl_doc,A291,dl_rate,INDEX(p_rates,1))*INDEX(p_rates,1),2))+IF(INDEX(p_rates,2)="",0,ROUND(SUMIFS(dl_ht,dl_doc,A291,dl_rate,INDEX(p_rates,2))*INDEX(p_rates,2),2))+IF(INDEX(p_rates,3)="",0,ROUND(SUMIFS(dl_ht,dl_doc,A291,dl_rate,INDEX(p_rates,3))*INDEX(p_rates,3),2))+IF(INDEX(p_rates,4)="",0,ROUND(SUMIFS(dl_ht,dl_doc,A291,dl_rate,INDEX(p_rates,4))*INDEX(p_rates,4),2))+IF(INDEX(p_rates,5)="",0,ROUND(SUMIFS(dl_ht,dl_doc,A291,dl_rate,INDEX(p_rates,5))*INDEX(p_rates,5),2))+IF(INDEX(p_rates,6)="",0,ROUND(SUMIFS(dl_ht,dl_doc,A291,dl_rate,INDEX(p_rates,6))*INDEX(p_rates,6),2)))</f>
        <v/>
      </c>
      <c r="K291" s="65" t="str">
        <f>IF(A291="","",I291+J291)</f>
        <v/>
      </c>
      <c r="L291" s="59" t="str">
        <f>IF(A291="","",IFERROR(INDEX(fa_num,MATCH(A291,fa_dvkey,0))&amp;"",""))</f>
        <v/>
      </c>
      <c r="M291" s="59" t="str">
        <f>IF(A291="","",IF(G291="Annulé","Annulé",IF(L291&lt;&gt;"","Facturé",IF(G291="Accepté","Accepté",IF(G291="Refusé","Refusé",IF(p_asof&gt;H291,"Expiré","En attente"))))))</f>
        <v/>
      </c>
      <c r="N291" s="59" t="str">
        <f>IF(COUNTA(B291:C291,E291:G291)=0,"",IF(B291="","Date manquante",IF(NOT(ISNUMBER(B291)),"Date invalide",IF(C291="","Client manquant",IF(ISNA(MATCH(C291,cli_code,0)),"Client inconnu",IF(O291&lt;MAX($O$6:O290),"Date antérieure au devis précédent",IF(AND(ISNUMBER(F291),F291&lt;O291),"Validité antérieure à la date du devis",IF(AND(R291=0,G291&lt;&gt;"Annulé"),"Aucune ligne (feuille Lignes de devis)",IF(COUNTIFS(dl_doc,A291,dl_check,"&lt;&gt;OK")&gt;0,"Ligne(s) à corriger",IF(AND(L291&lt;&gt;"",OR(G291="Refusé",G291="Annulé")),"Devis refusé ou annulé mais facturé","OK"))))))))))</f>
        <v/>
      </c>
      <c r="O291" s="62">
        <f>IF(ISNUMBER(B291),B291,0)</f>
        <v>0.0</v>
      </c>
      <c r="P291" s="62" t="str">
        <f>IF(O291=0,"",YEAR(O291))</f>
        <v/>
      </c>
      <c r="Q291" s="62" t="str">
        <f>IF(P291="","",COUNTIF($P$6:P291,P291))</f>
        <v/>
      </c>
      <c r="R291" s="62">
        <f>IF(A291="",0,COUNTIF(dl_doc,A291))</f>
        <v>0.0</v>
      </c>
    </row>
    <row r="292">
      <c r="A292" s="59" t="str">
        <f>IF(Q292="","",p_pdv&amp;"-"&amp;P292&amp;"-"&amp;RIGHT("000"&amp;Q292,4))</f>
        <v/>
      </c>
      <c r="B292" s="61" t="n"/>
      <c r="C292" s="60" t="n"/>
      <c r="D292" s="62" t="str">
        <f>IF(C292="","",IFERROR(INDEX(cli_name,MATCH(C292,cli_code,0))&amp;"","Client inconnu"))</f>
        <v/>
      </c>
      <c r="E292" s="63" t="n"/>
      <c r="F292" s="61" t="n"/>
      <c r="G292" s="60" t="n"/>
      <c r="H292" s="64" t="str">
        <f>IF(A292="","",IF(ISNUMBER(F292),F292,O292+N(p_validity)))</f>
        <v/>
      </c>
      <c r="I292" s="65" t="str">
        <f>IF(A292="","",SUMIF(dl_doc,A292,dl_ht))</f>
        <v/>
      </c>
      <c r="J292" s="65" t="str">
        <f>IF(A292="","",IF(INDEX(p_rates,1)="",0,ROUND(SUMIFS(dl_ht,dl_doc,A292,dl_rate,INDEX(p_rates,1))*INDEX(p_rates,1),2))+IF(INDEX(p_rates,2)="",0,ROUND(SUMIFS(dl_ht,dl_doc,A292,dl_rate,INDEX(p_rates,2))*INDEX(p_rates,2),2))+IF(INDEX(p_rates,3)="",0,ROUND(SUMIFS(dl_ht,dl_doc,A292,dl_rate,INDEX(p_rates,3))*INDEX(p_rates,3),2))+IF(INDEX(p_rates,4)="",0,ROUND(SUMIFS(dl_ht,dl_doc,A292,dl_rate,INDEX(p_rates,4))*INDEX(p_rates,4),2))+IF(INDEX(p_rates,5)="",0,ROUND(SUMIFS(dl_ht,dl_doc,A292,dl_rate,INDEX(p_rates,5))*INDEX(p_rates,5),2))+IF(INDEX(p_rates,6)="",0,ROUND(SUMIFS(dl_ht,dl_doc,A292,dl_rate,INDEX(p_rates,6))*INDEX(p_rates,6),2)))</f>
        <v/>
      </c>
      <c r="K292" s="65" t="str">
        <f>IF(A292="","",I292+J292)</f>
        <v/>
      </c>
      <c r="L292" s="59" t="str">
        <f>IF(A292="","",IFERROR(INDEX(fa_num,MATCH(A292,fa_dvkey,0))&amp;"",""))</f>
        <v/>
      </c>
      <c r="M292" s="59" t="str">
        <f>IF(A292="","",IF(G292="Annulé","Annulé",IF(L292&lt;&gt;"","Facturé",IF(G292="Accepté","Accepté",IF(G292="Refusé","Refusé",IF(p_asof&gt;H292,"Expiré","En attente"))))))</f>
        <v/>
      </c>
      <c r="N292" s="59" t="str">
        <f>IF(COUNTA(B292:C292,E292:G292)=0,"",IF(B292="","Date manquante",IF(NOT(ISNUMBER(B292)),"Date invalide",IF(C292="","Client manquant",IF(ISNA(MATCH(C292,cli_code,0)),"Client inconnu",IF(O292&lt;MAX($O$6:O291),"Date antérieure au devis précédent",IF(AND(ISNUMBER(F292),F292&lt;O292),"Validité antérieure à la date du devis",IF(AND(R292=0,G292&lt;&gt;"Annulé"),"Aucune ligne (feuille Lignes de devis)",IF(COUNTIFS(dl_doc,A292,dl_check,"&lt;&gt;OK")&gt;0,"Ligne(s) à corriger",IF(AND(L292&lt;&gt;"",OR(G292="Refusé",G292="Annulé")),"Devis refusé ou annulé mais facturé","OK"))))))))))</f>
        <v/>
      </c>
      <c r="O292" s="62">
        <f>IF(ISNUMBER(B292),B292,0)</f>
        <v>0.0</v>
      </c>
      <c r="P292" s="62" t="str">
        <f>IF(O292=0,"",YEAR(O292))</f>
        <v/>
      </c>
      <c r="Q292" s="62" t="str">
        <f>IF(P292="","",COUNTIF($P$6:P292,P292))</f>
        <v/>
      </c>
      <c r="R292" s="62">
        <f>IF(A292="",0,COUNTIF(dl_doc,A292))</f>
        <v>0.0</v>
      </c>
    </row>
    <row r="293">
      <c r="A293" s="59" t="str">
        <f>IF(Q293="","",p_pdv&amp;"-"&amp;P293&amp;"-"&amp;RIGHT("000"&amp;Q293,4))</f>
        <v/>
      </c>
      <c r="B293" s="61" t="n"/>
      <c r="C293" s="60" t="n"/>
      <c r="D293" s="62" t="str">
        <f>IF(C293="","",IFERROR(INDEX(cli_name,MATCH(C293,cli_code,0))&amp;"","Client inconnu"))</f>
        <v/>
      </c>
      <c r="E293" s="63" t="n"/>
      <c r="F293" s="61" t="n"/>
      <c r="G293" s="60" t="n"/>
      <c r="H293" s="64" t="str">
        <f>IF(A293="","",IF(ISNUMBER(F293),F293,O293+N(p_validity)))</f>
        <v/>
      </c>
      <c r="I293" s="65" t="str">
        <f>IF(A293="","",SUMIF(dl_doc,A293,dl_ht))</f>
        <v/>
      </c>
      <c r="J293" s="65" t="str">
        <f>IF(A293="","",IF(INDEX(p_rates,1)="",0,ROUND(SUMIFS(dl_ht,dl_doc,A293,dl_rate,INDEX(p_rates,1))*INDEX(p_rates,1),2))+IF(INDEX(p_rates,2)="",0,ROUND(SUMIFS(dl_ht,dl_doc,A293,dl_rate,INDEX(p_rates,2))*INDEX(p_rates,2),2))+IF(INDEX(p_rates,3)="",0,ROUND(SUMIFS(dl_ht,dl_doc,A293,dl_rate,INDEX(p_rates,3))*INDEX(p_rates,3),2))+IF(INDEX(p_rates,4)="",0,ROUND(SUMIFS(dl_ht,dl_doc,A293,dl_rate,INDEX(p_rates,4))*INDEX(p_rates,4),2))+IF(INDEX(p_rates,5)="",0,ROUND(SUMIFS(dl_ht,dl_doc,A293,dl_rate,INDEX(p_rates,5))*INDEX(p_rates,5),2))+IF(INDEX(p_rates,6)="",0,ROUND(SUMIFS(dl_ht,dl_doc,A293,dl_rate,INDEX(p_rates,6))*INDEX(p_rates,6),2)))</f>
        <v/>
      </c>
      <c r="K293" s="65" t="str">
        <f>IF(A293="","",I293+J293)</f>
        <v/>
      </c>
      <c r="L293" s="59" t="str">
        <f>IF(A293="","",IFERROR(INDEX(fa_num,MATCH(A293,fa_dvkey,0))&amp;"",""))</f>
        <v/>
      </c>
      <c r="M293" s="59" t="str">
        <f>IF(A293="","",IF(G293="Annulé","Annulé",IF(L293&lt;&gt;"","Facturé",IF(G293="Accepté","Accepté",IF(G293="Refusé","Refusé",IF(p_asof&gt;H293,"Expiré","En attente"))))))</f>
        <v/>
      </c>
      <c r="N293" s="59" t="str">
        <f>IF(COUNTA(B293:C293,E293:G293)=0,"",IF(B293="","Date manquante",IF(NOT(ISNUMBER(B293)),"Date invalide",IF(C293="","Client manquant",IF(ISNA(MATCH(C293,cli_code,0)),"Client inconnu",IF(O293&lt;MAX($O$6:O292),"Date antérieure au devis précédent",IF(AND(ISNUMBER(F293),F293&lt;O293),"Validité antérieure à la date du devis",IF(AND(R293=0,G293&lt;&gt;"Annulé"),"Aucune ligne (feuille Lignes de devis)",IF(COUNTIFS(dl_doc,A293,dl_check,"&lt;&gt;OK")&gt;0,"Ligne(s) à corriger",IF(AND(L293&lt;&gt;"",OR(G293="Refusé",G293="Annulé")),"Devis refusé ou annulé mais facturé","OK"))))))))))</f>
        <v/>
      </c>
      <c r="O293" s="62">
        <f>IF(ISNUMBER(B293),B293,0)</f>
        <v>0.0</v>
      </c>
      <c r="P293" s="62" t="str">
        <f>IF(O293=0,"",YEAR(O293))</f>
        <v/>
      </c>
      <c r="Q293" s="62" t="str">
        <f>IF(P293="","",COUNTIF($P$6:P293,P293))</f>
        <v/>
      </c>
      <c r="R293" s="62">
        <f>IF(A293="",0,COUNTIF(dl_doc,A293))</f>
        <v>0.0</v>
      </c>
    </row>
    <row r="294">
      <c r="A294" s="59" t="str">
        <f>IF(Q294="","",p_pdv&amp;"-"&amp;P294&amp;"-"&amp;RIGHT("000"&amp;Q294,4))</f>
        <v/>
      </c>
      <c r="B294" s="61" t="n"/>
      <c r="C294" s="60" t="n"/>
      <c r="D294" s="62" t="str">
        <f>IF(C294="","",IFERROR(INDEX(cli_name,MATCH(C294,cli_code,0))&amp;"","Client inconnu"))</f>
        <v/>
      </c>
      <c r="E294" s="63" t="n"/>
      <c r="F294" s="61" t="n"/>
      <c r="G294" s="60" t="n"/>
      <c r="H294" s="64" t="str">
        <f>IF(A294="","",IF(ISNUMBER(F294),F294,O294+N(p_validity)))</f>
        <v/>
      </c>
      <c r="I294" s="65" t="str">
        <f>IF(A294="","",SUMIF(dl_doc,A294,dl_ht))</f>
        <v/>
      </c>
      <c r="J294" s="65" t="str">
        <f>IF(A294="","",IF(INDEX(p_rates,1)="",0,ROUND(SUMIFS(dl_ht,dl_doc,A294,dl_rate,INDEX(p_rates,1))*INDEX(p_rates,1),2))+IF(INDEX(p_rates,2)="",0,ROUND(SUMIFS(dl_ht,dl_doc,A294,dl_rate,INDEX(p_rates,2))*INDEX(p_rates,2),2))+IF(INDEX(p_rates,3)="",0,ROUND(SUMIFS(dl_ht,dl_doc,A294,dl_rate,INDEX(p_rates,3))*INDEX(p_rates,3),2))+IF(INDEX(p_rates,4)="",0,ROUND(SUMIFS(dl_ht,dl_doc,A294,dl_rate,INDEX(p_rates,4))*INDEX(p_rates,4),2))+IF(INDEX(p_rates,5)="",0,ROUND(SUMIFS(dl_ht,dl_doc,A294,dl_rate,INDEX(p_rates,5))*INDEX(p_rates,5),2))+IF(INDEX(p_rates,6)="",0,ROUND(SUMIFS(dl_ht,dl_doc,A294,dl_rate,INDEX(p_rates,6))*INDEX(p_rates,6),2)))</f>
        <v/>
      </c>
      <c r="K294" s="65" t="str">
        <f>IF(A294="","",I294+J294)</f>
        <v/>
      </c>
      <c r="L294" s="59" t="str">
        <f>IF(A294="","",IFERROR(INDEX(fa_num,MATCH(A294,fa_dvkey,0))&amp;"",""))</f>
        <v/>
      </c>
      <c r="M294" s="59" t="str">
        <f>IF(A294="","",IF(G294="Annulé","Annulé",IF(L294&lt;&gt;"","Facturé",IF(G294="Accepté","Accepté",IF(G294="Refusé","Refusé",IF(p_asof&gt;H294,"Expiré","En attente"))))))</f>
        <v/>
      </c>
      <c r="N294" s="59" t="str">
        <f>IF(COUNTA(B294:C294,E294:G294)=0,"",IF(B294="","Date manquante",IF(NOT(ISNUMBER(B294)),"Date invalide",IF(C294="","Client manquant",IF(ISNA(MATCH(C294,cli_code,0)),"Client inconnu",IF(O294&lt;MAX($O$6:O293),"Date antérieure au devis précédent",IF(AND(ISNUMBER(F294),F294&lt;O294),"Validité antérieure à la date du devis",IF(AND(R294=0,G294&lt;&gt;"Annulé"),"Aucune ligne (feuille Lignes de devis)",IF(COUNTIFS(dl_doc,A294,dl_check,"&lt;&gt;OK")&gt;0,"Ligne(s) à corriger",IF(AND(L294&lt;&gt;"",OR(G294="Refusé",G294="Annulé")),"Devis refusé ou annulé mais facturé","OK"))))))))))</f>
        <v/>
      </c>
      <c r="O294" s="62">
        <f>IF(ISNUMBER(B294),B294,0)</f>
        <v>0.0</v>
      </c>
      <c r="P294" s="62" t="str">
        <f>IF(O294=0,"",YEAR(O294))</f>
        <v/>
      </c>
      <c r="Q294" s="62" t="str">
        <f>IF(P294="","",COUNTIF($P$6:P294,P294))</f>
        <v/>
      </c>
      <c r="R294" s="62">
        <f>IF(A294="",0,COUNTIF(dl_doc,A294))</f>
        <v>0.0</v>
      </c>
    </row>
    <row r="295">
      <c r="A295" s="59" t="str">
        <f>IF(Q295="","",p_pdv&amp;"-"&amp;P295&amp;"-"&amp;RIGHT("000"&amp;Q295,4))</f>
        <v/>
      </c>
      <c r="B295" s="61" t="n"/>
      <c r="C295" s="60" t="n"/>
      <c r="D295" s="62" t="str">
        <f>IF(C295="","",IFERROR(INDEX(cli_name,MATCH(C295,cli_code,0))&amp;"","Client inconnu"))</f>
        <v/>
      </c>
      <c r="E295" s="63" t="n"/>
      <c r="F295" s="61" t="n"/>
      <c r="G295" s="60" t="n"/>
      <c r="H295" s="64" t="str">
        <f>IF(A295="","",IF(ISNUMBER(F295),F295,O295+N(p_validity)))</f>
        <v/>
      </c>
      <c r="I295" s="65" t="str">
        <f>IF(A295="","",SUMIF(dl_doc,A295,dl_ht))</f>
        <v/>
      </c>
      <c r="J295" s="65" t="str">
        <f>IF(A295="","",IF(INDEX(p_rates,1)="",0,ROUND(SUMIFS(dl_ht,dl_doc,A295,dl_rate,INDEX(p_rates,1))*INDEX(p_rates,1),2))+IF(INDEX(p_rates,2)="",0,ROUND(SUMIFS(dl_ht,dl_doc,A295,dl_rate,INDEX(p_rates,2))*INDEX(p_rates,2),2))+IF(INDEX(p_rates,3)="",0,ROUND(SUMIFS(dl_ht,dl_doc,A295,dl_rate,INDEX(p_rates,3))*INDEX(p_rates,3),2))+IF(INDEX(p_rates,4)="",0,ROUND(SUMIFS(dl_ht,dl_doc,A295,dl_rate,INDEX(p_rates,4))*INDEX(p_rates,4),2))+IF(INDEX(p_rates,5)="",0,ROUND(SUMIFS(dl_ht,dl_doc,A295,dl_rate,INDEX(p_rates,5))*INDEX(p_rates,5),2))+IF(INDEX(p_rates,6)="",0,ROUND(SUMIFS(dl_ht,dl_doc,A295,dl_rate,INDEX(p_rates,6))*INDEX(p_rates,6),2)))</f>
        <v/>
      </c>
      <c r="K295" s="65" t="str">
        <f>IF(A295="","",I295+J295)</f>
        <v/>
      </c>
      <c r="L295" s="59" t="str">
        <f>IF(A295="","",IFERROR(INDEX(fa_num,MATCH(A295,fa_dvkey,0))&amp;"",""))</f>
        <v/>
      </c>
      <c r="M295" s="59" t="str">
        <f>IF(A295="","",IF(G295="Annulé","Annulé",IF(L295&lt;&gt;"","Facturé",IF(G295="Accepté","Accepté",IF(G295="Refusé","Refusé",IF(p_asof&gt;H295,"Expiré","En attente"))))))</f>
        <v/>
      </c>
      <c r="N295" s="59" t="str">
        <f>IF(COUNTA(B295:C295,E295:G295)=0,"",IF(B295="","Date manquante",IF(NOT(ISNUMBER(B295)),"Date invalide",IF(C295="","Client manquant",IF(ISNA(MATCH(C295,cli_code,0)),"Client inconnu",IF(O295&lt;MAX($O$6:O294),"Date antérieure au devis précédent",IF(AND(ISNUMBER(F295),F295&lt;O295),"Validité antérieure à la date du devis",IF(AND(R295=0,G295&lt;&gt;"Annulé"),"Aucune ligne (feuille Lignes de devis)",IF(COUNTIFS(dl_doc,A295,dl_check,"&lt;&gt;OK")&gt;0,"Ligne(s) à corriger",IF(AND(L295&lt;&gt;"",OR(G295="Refusé",G295="Annulé")),"Devis refusé ou annulé mais facturé","OK"))))))))))</f>
        <v/>
      </c>
      <c r="O295" s="62">
        <f>IF(ISNUMBER(B295),B295,0)</f>
        <v>0.0</v>
      </c>
      <c r="P295" s="62" t="str">
        <f>IF(O295=0,"",YEAR(O295))</f>
        <v/>
      </c>
      <c r="Q295" s="62" t="str">
        <f>IF(P295="","",COUNTIF($P$6:P295,P295))</f>
        <v/>
      </c>
      <c r="R295" s="62">
        <f>IF(A295="",0,COUNTIF(dl_doc,A295))</f>
        <v>0.0</v>
      </c>
    </row>
    <row r="296">
      <c r="A296" s="59" t="str">
        <f>IF(Q296="","",p_pdv&amp;"-"&amp;P296&amp;"-"&amp;RIGHT("000"&amp;Q296,4))</f>
        <v/>
      </c>
      <c r="B296" s="61" t="n"/>
      <c r="C296" s="60" t="n"/>
      <c r="D296" s="62" t="str">
        <f>IF(C296="","",IFERROR(INDEX(cli_name,MATCH(C296,cli_code,0))&amp;"","Client inconnu"))</f>
        <v/>
      </c>
      <c r="E296" s="63" t="n"/>
      <c r="F296" s="61" t="n"/>
      <c r="G296" s="60" t="n"/>
      <c r="H296" s="64" t="str">
        <f>IF(A296="","",IF(ISNUMBER(F296),F296,O296+N(p_validity)))</f>
        <v/>
      </c>
      <c r="I296" s="65" t="str">
        <f>IF(A296="","",SUMIF(dl_doc,A296,dl_ht))</f>
        <v/>
      </c>
      <c r="J296" s="65" t="str">
        <f>IF(A296="","",IF(INDEX(p_rates,1)="",0,ROUND(SUMIFS(dl_ht,dl_doc,A296,dl_rate,INDEX(p_rates,1))*INDEX(p_rates,1),2))+IF(INDEX(p_rates,2)="",0,ROUND(SUMIFS(dl_ht,dl_doc,A296,dl_rate,INDEX(p_rates,2))*INDEX(p_rates,2),2))+IF(INDEX(p_rates,3)="",0,ROUND(SUMIFS(dl_ht,dl_doc,A296,dl_rate,INDEX(p_rates,3))*INDEX(p_rates,3),2))+IF(INDEX(p_rates,4)="",0,ROUND(SUMIFS(dl_ht,dl_doc,A296,dl_rate,INDEX(p_rates,4))*INDEX(p_rates,4),2))+IF(INDEX(p_rates,5)="",0,ROUND(SUMIFS(dl_ht,dl_doc,A296,dl_rate,INDEX(p_rates,5))*INDEX(p_rates,5),2))+IF(INDEX(p_rates,6)="",0,ROUND(SUMIFS(dl_ht,dl_doc,A296,dl_rate,INDEX(p_rates,6))*INDEX(p_rates,6),2)))</f>
        <v/>
      </c>
      <c r="K296" s="65" t="str">
        <f>IF(A296="","",I296+J296)</f>
        <v/>
      </c>
      <c r="L296" s="59" t="str">
        <f>IF(A296="","",IFERROR(INDEX(fa_num,MATCH(A296,fa_dvkey,0))&amp;"",""))</f>
        <v/>
      </c>
      <c r="M296" s="59" t="str">
        <f>IF(A296="","",IF(G296="Annulé","Annulé",IF(L296&lt;&gt;"","Facturé",IF(G296="Accepté","Accepté",IF(G296="Refusé","Refusé",IF(p_asof&gt;H296,"Expiré","En attente"))))))</f>
        <v/>
      </c>
      <c r="N296" s="59" t="str">
        <f>IF(COUNTA(B296:C296,E296:G296)=0,"",IF(B296="","Date manquante",IF(NOT(ISNUMBER(B296)),"Date invalide",IF(C296="","Client manquant",IF(ISNA(MATCH(C296,cli_code,0)),"Client inconnu",IF(O296&lt;MAX($O$6:O295),"Date antérieure au devis précédent",IF(AND(ISNUMBER(F296),F296&lt;O296),"Validité antérieure à la date du devis",IF(AND(R296=0,G296&lt;&gt;"Annulé"),"Aucune ligne (feuille Lignes de devis)",IF(COUNTIFS(dl_doc,A296,dl_check,"&lt;&gt;OK")&gt;0,"Ligne(s) à corriger",IF(AND(L296&lt;&gt;"",OR(G296="Refusé",G296="Annulé")),"Devis refusé ou annulé mais facturé","OK"))))))))))</f>
        <v/>
      </c>
      <c r="O296" s="62">
        <f>IF(ISNUMBER(B296),B296,0)</f>
        <v>0.0</v>
      </c>
      <c r="P296" s="62" t="str">
        <f>IF(O296=0,"",YEAR(O296))</f>
        <v/>
      </c>
      <c r="Q296" s="62" t="str">
        <f>IF(P296="","",COUNTIF($P$6:P296,P296))</f>
        <v/>
      </c>
      <c r="R296" s="62">
        <f>IF(A296="",0,COUNTIF(dl_doc,A296))</f>
        <v>0.0</v>
      </c>
    </row>
    <row r="297">
      <c r="A297" s="59" t="str">
        <f>IF(Q297="","",p_pdv&amp;"-"&amp;P297&amp;"-"&amp;RIGHT("000"&amp;Q297,4))</f>
        <v/>
      </c>
      <c r="B297" s="61" t="n"/>
      <c r="C297" s="60" t="n"/>
      <c r="D297" s="62" t="str">
        <f>IF(C297="","",IFERROR(INDEX(cli_name,MATCH(C297,cli_code,0))&amp;"","Client inconnu"))</f>
        <v/>
      </c>
      <c r="E297" s="63" t="n"/>
      <c r="F297" s="61" t="n"/>
      <c r="G297" s="60" t="n"/>
      <c r="H297" s="64" t="str">
        <f>IF(A297="","",IF(ISNUMBER(F297),F297,O297+N(p_validity)))</f>
        <v/>
      </c>
      <c r="I297" s="65" t="str">
        <f>IF(A297="","",SUMIF(dl_doc,A297,dl_ht))</f>
        <v/>
      </c>
      <c r="J297" s="65" t="str">
        <f>IF(A297="","",IF(INDEX(p_rates,1)="",0,ROUND(SUMIFS(dl_ht,dl_doc,A297,dl_rate,INDEX(p_rates,1))*INDEX(p_rates,1),2))+IF(INDEX(p_rates,2)="",0,ROUND(SUMIFS(dl_ht,dl_doc,A297,dl_rate,INDEX(p_rates,2))*INDEX(p_rates,2),2))+IF(INDEX(p_rates,3)="",0,ROUND(SUMIFS(dl_ht,dl_doc,A297,dl_rate,INDEX(p_rates,3))*INDEX(p_rates,3),2))+IF(INDEX(p_rates,4)="",0,ROUND(SUMIFS(dl_ht,dl_doc,A297,dl_rate,INDEX(p_rates,4))*INDEX(p_rates,4),2))+IF(INDEX(p_rates,5)="",0,ROUND(SUMIFS(dl_ht,dl_doc,A297,dl_rate,INDEX(p_rates,5))*INDEX(p_rates,5),2))+IF(INDEX(p_rates,6)="",0,ROUND(SUMIFS(dl_ht,dl_doc,A297,dl_rate,INDEX(p_rates,6))*INDEX(p_rates,6),2)))</f>
        <v/>
      </c>
      <c r="K297" s="65" t="str">
        <f>IF(A297="","",I297+J297)</f>
        <v/>
      </c>
      <c r="L297" s="59" t="str">
        <f>IF(A297="","",IFERROR(INDEX(fa_num,MATCH(A297,fa_dvkey,0))&amp;"",""))</f>
        <v/>
      </c>
      <c r="M297" s="59" t="str">
        <f>IF(A297="","",IF(G297="Annulé","Annulé",IF(L297&lt;&gt;"","Facturé",IF(G297="Accepté","Accepté",IF(G297="Refusé","Refusé",IF(p_asof&gt;H297,"Expiré","En attente"))))))</f>
        <v/>
      </c>
      <c r="N297" s="59" t="str">
        <f>IF(COUNTA(B297:C297,E297:G297)=0,"",IF(B297="","Date manquante",IF(NOT(ISNUMBER(B297)),"Date invalide",IF(C297="","Client manquant",IF(ISNA(MATCH(C297,cli_code,0)),"Client inconnu",IF(O297&lt;MAX($O$6:O296),"Date antérieure au devis précédent",IF(AND(ISNUMBER(F297),F297&lt;O297),"Validité antérieure à la date du devis",IF(AND(R297=0,G297&lt;&gt;"Annulé"),"Aucune ligne (feuille Lignes de devis)",IF(COUNTIFS(dl_doc,A297,dl_check,"&lt;&gt;OK")&gt;0,"Ligne(s) à corriger",IF(AND(L297&lt;&gt;"",OR(G297="Refusé",G297="Annulé")),"Devis refusé ou annulé mais facturé","OK"))))))))))</f>
        <v/>
      </c>
      <c r="O297" s="62">
        <f>IF(ISNUMBER(B297),B297,0)</f>
        <v>0.0</v>
      </c>
      <c r="P297" s="62" t="str">
        <f>IF(O297=0,"",YEAR(O297))</f>
        <v/>
      </c>
      <c r="Q297" s="62" t="str">
        <f>IF(P297="","",COUNTIF($P$6:P297,P297))</f>
        <v/>
      </c>
      <c r="R297" s="62">
        <f>IF(A297="",0,COUNTIF(dl_doc,A297))</f>
        <v>0.0</v>
      </c>
    </row>
    <row r="298">
      <c r="A298" s="59" t="str">
        <f>IF(Q298="","",p_pdv&amp;"-"&amp;P298&amp;"-"&amp;RIGHT("000"&amp;Q298,4))</f>
        <v/>
      </c>
      <c r="B298" s="61" t="n"/>
      <c r="C298" s="60" t="n"/>
      <c r="D298" s="62" t="str">
        <f>IF(C298="","",IFERROR(INDEX(cli_name,MATCH(C298,cli_code,0))&amp;"","Client inconnu"))</f>
        <v/>
      </c>
      <c r="E298" s="63" t="n"/>
      <c r="F298" s="61" t="n"/>
      <c r="G298" s="60" t="n"/>
      <c r="H298" s="64" t="str">
        <f>IF(A298="","",IF(ISNUMBER(F298),F298,O298+N(p_validity)))</f>
        <v/>
      </c>
      <c r="I298" s="65" t="str">
        <f>IF(A298="","",SUMIF(dl_doc,A298,dl_ht))</f>
        <v/>
      </c>
      <c r="J298" s="65" t="str">
        <f>IF(A298="","",IF(INDEX(p_rates,1)="",0,ROUND(SUMIFS(dl_ht,dl_doc,A298,dl_rate,INDEX(p_rates,1))*INDEX(p_rates,1),2))+IF(INDEX(p_rates,2)="",0,ROUND(SUMIFS(dl_ht,dl_doc,A298,dl_rate,INDEX(p_rates,2))*INDEX(p_rates,2),2))+IF(INDEX(p_rates,3)="",0,ROUND(SUMIFS(dl_ht,dl_doc,A298,dl_rate,INDEX(p_rates,3))*INDEX(p_rates,3),2))+IF(INDEX(p_rates,4)="",0,ROUND(SUMIFS(dl_ht,dl_doc,A298,dl_rate,INDEX(p_rates,4))*INDEX(p_rates,4),2))+IF(INDEX(p_rates,5)="",0,ROUND(SUMIFS(dl_ht,dl_doc,A298,dl_rate,INDEX(p_rates,5))*INDEX(p_rates,5),2))+IF(INDEX(p_rates,6)="",0,ROUND(SUMIFS(dl_ht,dl_doc,A298,dl_rate,INDEX(p_rates,6))*INDEX(p_rates,6),2)))</f>
        <v/>
      </c>
      <c r="K298" s="65" t="str">
        <f>IF(A298="","",I298+J298)</f>
        <v/>
      </c>
      <c r="L298" s="59" t="str">
        <f>IF(A298="","",IFERROR(INDEX(fa_num,MATCH(A298,fa_dvkey,0))&amp;"",""))</f>
        <v/>
      </c>
      <c r="M298" s="59" t="str">
        <f>IF(A298="","",IF(G298="Annulé","Annulé",IF(L298&lt;&gt;"","Facturé",IF(G298="Accepté","Accepté",IF(G298="Refusé","Refusé",IF(p_asof&gt;H298,"Expiré","En attente"))))))</f>
        <v/>
      </c>
      <c r="N298" s="59" t="str">
        <f>IF(COUNTA(B298:C298,E298:G298)=0,"",IF(B298="","Date manquante",IF(NOT(ISNUMBER(B298)),"Date invalide",IF(C298="","Client manquant",IF(ISNA(MATCH(C298,cli_code,0)),"Client inconnu",IF(O298&lt;MAX($O$6:O297),"Date antérieure au devis précédent",IF(AND(ISNUMBER(F298),F298&lt;O298),"Validité antérieure à la date du devis",IF(AND(R298=0,G298&lt;&gt;"Annulé"),"Aucune ligne (feuille Lignes de devis)",IF(COUNTIFS(dl_doc,A298,dl_check,"&lt;&gt;OK")&gt;0,"Ligne(s) à corriger",IF(AND(L298&lt;&gt;"",OR(G298="Refusé",G298="Annulé")),"Devis refusé ou annulé mais facturé","OK"))))))))))</f>
        <v/>
      </c>
      <c r="O298" s="62">
        <f>IF(ISNUMBER(B298),B298,0)</f>
        <v>0.0</v>
      </c>
      <c r="P298" s="62" t="str">
        <f>IF(O298=0,"",YEAR(O298))</f>
        <v/>
      </c>
      <c r="Q298" s="62" t="str">
        <f>IF(P298="","",COUNTIF($P$6:P298,P298))</f>
        <v/>
      </c>
      <c r="R298" s="62">
        <f>IF(A298="",0,COUNTIF(dl_doc,A298))</f>
        <v>0.0</v>
      </c>
    </row>
    <row r="299">
      <c r="A299" s="59" t="str">
        <f>IF(Q299="","",p_pdv&amp;"-"&amp;P299&amp;"-"&amp;RIGHT("000"&amp;Q299,4))</f>
        <v/>
      </c>
      <c r="B299" s="61" t="n"/>
      <c r="C299" s="60" t="n"/>
      <c r="D299" s="62" t="str">
        <f>IF(C299="","",IFERROR(INDEX(cli_name,MATCH(C299,cli_code,0))&amp;"","Client inconnu"))</f>
        <v/>
      </c>
      <c r="E299" s="63" t="n"/>
      <c r="F299" s="61" t="n"/>
      <c r="G299" s="60" t="n"/>
      <c r="H299" s="64" t="str">
        <f>IF(A299="","",IF(ISNUMBER(F299),F299,O299+N(p_validity)))</f>
        <v/>
      </c>
      <c r="I299" s="65" t="str">
        <f>IF(A299="","",SUMIF(dl_doc,A299,dl_ht))</f>
        <v/>
      </c>
      <c r="J299" s="65" t="str">
        <f>IF(A299="","",IF(INDEX(p_rates,1)="",0,ROUND(SUMIFS(dl_ht,dl_doc,A299,dl_rate,INDEX(p_rates,1))*INDEX(p_rates,1),2))+IF(INDEX(p_rates,2)="",0,ROUND(SUMIFS(dl_ht,dl_doc,A299,dl_rate,INDEX(p_rates,2))*INDEX(p_rates,2),2))+IF(INDEX(p_rates,3)="",0,ROUND(SUMIFS(dl_ht,dl_doc,A299,dl_rate,INDEX(p_rates,3))*INDEX(p_rates,3),2))+IF(INDEX(p_rates,4)="",0,ROUND(SUMIFS(dl_ht,dl_doc,A299,dl_rate,INDEX(p_rates,4))*INDEX(p_rates,4),2))+IF(INDEX(p_rates,5)="",0,ROUND(SUMIFS(dl_ht,dl_doc,A299,dl_rate,INDEX(p_rates,5))*INDEX(p_rates,5),2))+IF(INDEX(p_rates,6)="",0,ROUND(SUMIFS(dl_ht,dl_doc,A299,dl_rate,INDEX(p_rates,6))*INDEX(p_rates,6),2)))</f>
        <v/>
      </c>
      <c r="K299" s="65" t="str">
        <f>IF(A299="","",I299+J299)</f>
        <v/>
      </c>
      <c r="L299" s="59" t="str">
        <f>IF(A299="","",IFERROR(INDEX(fa_num,MATCH(A299,fa_dvkey,0))&amp;"",""))</f>
        <v/>
      </c>
      <c r="M299" s="59" t="str">
        <f>IF(A299="","",IF(G299="Annulé","Annulé",IF(L299&lt;&gt;"","Facturé",IF(G299="Accepté","Accepté",IF(G299="Refusé","Refusé",IF(p_asof&gt;H299,"Expiré","En attente"))))))</f>
        <v/>
      </c>
      <c r="N299" s="59" t="str">
        <f>IF(COUNTA(B299:C299,E299:G299)=0,"",IF(B299="","Date manquante",IF(NOT(ISNUMBER(B299)),"Date invalide",IF(C299="","Client manquant",IF(ISNA(MATCH(C299,cli_code,0)),"Client inconnu",IF(O299&lt;MAX($O$6:O298),"Date antérieure au devis précédent",IF(AND(ISNUMBER(F299),F299&lt;O299),"Validité antérieure à la date du devis",IF(AND(R299=0,G299&lt;&gt;"Annulé"),"Aucune ligne (feuille Lignes de devis)",IF(COUNTIFS(dl_doc,A299,dl_check,"&lt;&gt;OK")&gt;0,"Ligne(s) à corriger",IF(AND(L299&lt;&gt;"",OR(G299="Refusé",G299="Annulé")),"Devis refusé ou annulé mais facturé","OK"))))))))))</f>
        <v/>
      </c>
      <c r="O299" s="62">
        <f>IF(ISNUMBER(B299),B299,0)</f>
        <v>0.0</v>
      </c>
      <c r="P299" s="62" t="str">
        <f>IF(O299=0,"",YEAR(O299))</f>
        <v/>
      </c>
      <c r="Q299" s="62" t="str">
        <f>IF(P299="","",COUNTIF($P$6:P299,P299))</f>
        <v/>
      </c>
      <c r="R299" s="62">
        <f>IF(A299="",0,COUNTIF(dl_doc,A299))</f>
        <v>0.0</v>
      </c>
    </row>
    <row r="300">
      <c r="A300" s="59" t="str">
        <f>IF(Q300="","",p_pdv&amp;"-"&amp;P300&amp;"-"&amp;RIGHT("000"&amp;Q300,4))</f>
        <v/>
      </c>
      <c r="B300" s="61" t="n"/>
      <c r="C300" s="60" t="n"/>
      <c r="D300" s="62" t="str">
        <f>IF(C300="","",IFERROR(INDEX(cli_name,MATCH(C300,cli_code,0))&amp;"","Client inconnu"))</f>
        <v/>
      </c>
      <c r="E300" s="63" t="n"/>
      <c r="F300" s="61" t="n"/>
      <c r="G300" s="60" t="n"/>
      <c r="H300" s="64" t="str">
        <f>IF(A300="","",IF(ISNUMBER(F300),F300,O300+N(p_validity)))</f>
        <v/>
      </c>
      <c r="I300" s="65" t="str">
        <f>IF(A300="","",SUMIF(dl_doc,A300,dl_ht))</f>
        <v/>
      </c>
      <c r="J300" s="65" t="str">
        <f>IF(A300="","",IF(INDEX(p_rates,1)="",0,ROUND(SUMIFS(dl_ht,dl_doc,A300,dl_rate,INDEX(p_rates,1))*INDEX(p_rates,1),2))+IF(INDEX(p_rates,2)="",0,ROUND(SUMIFS(dl_ht,dl_doc,A300,dl_rate,INDEX(p_rates,2))*INDEX(p_rates,2),2))+IF(INDEX(p_rates,3)="",0,ROUND(SUMIFS(dl_ht,dl_doc,A300,dl_rate,INDEX(p_rates,3))*INDEX(p_rates,3),2))+IF(INDEX(p_rates,4)="",0,ROUND(SUMIFS(dl_ht,dl_doc,A300,dl_rate,INDEX(p_rates,4))*INDEX(p_rates,4),2))+IF(INDEX(p_rates,5)="",0,ROUND(SUMIFS(dl_ht,dl_doc,A300,dl_rate,INDEX(p_rates,5))*INDEX(p_rates,5),2))+IF(INDEX(p_rates,6)="",0,ROUND(SUMIFS(dl_ht,dl_doc,A300,dl_rate,INDEX(p_rates,6))*INDEX(p_rates,6),2)))</f>
        <v/>
      </c>
      <c r="K300" s="65" t="str">
        <f>IF(A300="","",I300+J300)</f>
        <v/>
      </c>
      <c r="L300" s="59" t="str">
        <f>IF(A300="","",IFERROR(INDEX(fa_num,MATCH(A300,fa_dvkey,0))&amp;"",""))</f>
        <v/>
      </c>
      <c r="M300" s="59" t="str">
        <f>IF(A300="","",IF(G300="Annulé","Annulé",IF(L300&lt;&gt;"","Facturé",IF(G300="Accepté","Accepté",IF(G300="Refusé","Refusé",IF(p_asof&gt;H300,"Expiré","En attente"))))))</f>
        <v/>
      </c>
      <c r="N300" s="59" t="str">
        <f>IF(COUNTA(B300:C300,E300:G300)=0,"",IF(B300="","Date manquante",IF(NOT(ISNUMBER(B300)),"Date invalide",IF(C300="","Client manquant",IF(ISNA(MATCH(C300,cli_code,0)),"Client inconnu",IF(O300&lt;MAX($O$6:O299),"Date antérieure au devis précédent",IF(AND(ISNUMBER(F300),F300&lt;O300),"Validité antérieure à la date du devis",IF(AND(R300=0,G300&lt;&gt;"Annulé"),"Aucune ligne (feuille Lignes de devis)",IF(COUNTIFS(dl_doc,A300,dl_check,"&lt;&gt;OK")&gt;0,"Ligne(s) à corriger",IF(AND(L300&lt;&gt;"",OR(G300="Refusé",G300="Annulé")),"Devis refusé ou annulé mais facturé","OK"))))))))))</f>
        <v/>
      </c>
      <c r="O300" s="62">
        <f>IF(ISNUMBER(B300),B300,0)</f>
        <v>0.0</v>
      </c>
      <c r="P300" s="62" t="str">
        <f>IF(O300=0,"",YEAR(O300))</f>
        <v/>
      </c>
      <c r="Q300" s="62" t="str">
        <f>IF(P300="","",COUNTIF($P$6:P300,P300))</f>
        <v/>
      </c>
      <c r="R300" s="62">
        <f>IF(A300="",0,COUNTIF(dl_doc,A300))</f>
        <v>0.0</v>
      </c>
    </row>
    <row r="301">
      <c r="A301" s="59" t="str">
        <f>IF(Q301="","",p_pdv&amp;"-"&amp;P301&amp;"-"&amp;RIGHT("000"&amp;Q301,4))</f>
        <v/>
      </c>
      <c r="B301" s="61" t="n"/>
      <c r="C301" s="60" t="n"/>
      <c r="D301" s="62" t="str">
        <f>IF(C301="","",IFERROR(INDEX(cli_name,MATCH(C301,cli_code,0))&amp;"","Client inconnu"))</f>
        <v/>
      </c>
      <c r="E301" s="63" t="n"/>
      <c r="F301" s="61" t="n"/>
      <c r="G301" s="60" t="n"/>
      <c r="H301" s="64" t="str">
        <f>IF(A301="","",IF(ISNUMBER(F301),F301,O301+N(p_validity)))</f>
        <v/>
      </c>
      <c r="I301" s="65" t="str">
        <f>IF(A301="","",SUMIF(dl_doc,A301,dl_ht))</f>
        <v/>
      </c>
      <c r="J301" s="65" t="str">
        <f>IF(A301="","",IF(INDEX(p_rates,1)="",0,ROUND(SUMIFS(dl_ht,dl_doc,A301,dl_rate,INDEX(p_rates,1))*INDEX(p_rates,1),2))+IF(INDEX(p_rates,2)="",0,ROUND(SUMIFS(dl_ht,dl_doc,A301,dl_rate,INDEX(p_rates,2))*INDEX(p_rates,2),2))+IF(INDEX(p_rates,3)="",0,ROUND(SUMIFS(dl_ht,dl_doc,A301,dl_rate,INDEX(p_rates,3))*INDEX(p_rates,3),2))+IF(INDEX(p_rates,4)="",0,ROUND(SUMIFS(dl_ht,dl_doc,A301,dl_rate,INDEX(p_rates,4))*INDEX(p_rates,4),2))+IF(INDEX(p_rates,5)="",0,ROUND(SUMIFS(dl_ht,dl_doc,A301,dl_rate,INDEX(p_rates,5))*INDEX(p_rates,5),2))+IF(INDEX(p_rates,6)="",0,ROUND(SUMIFS(dl_ht,dl_doc,A301,dl_rate,INDEX(p_rates,6))*INDEX(p_rates,6),2)))</f>
        <v/>
      </c>
      <c r="K301" s="65" t="str">
        <f>IF(A301="","",I301+J301)</f>
        <v/>
      </c>
      <c r="L301" s="59" t="str">
        <f>IF(A301="","",IFERROR(INDEX(fa_num,MATCH(A301,fa_dvkey,0))&amp;"",""))</f>
        <v/>
      </c>
      <c r="M301" s="59" t="str">
        <f>IF(A301="","",IF(G301="Annulé","Annulé",IF(L301&lt;&gt;"","Facturé",IF(G301="Accepté","Accepté",IF(G301="Refusé","Refusé",IF(p_asof&gt;H301,"Expiré","En attente"))))))</f>
        <v/>
      </c>
      <c r="N301" s="59" t="str">
        <f>IF(COUNTA(B301:C301,E301:G301)=0,"",IF(B301="","Date manquante",IF(NOT(ISNUMBER(B301)),"Date invalide",IF(C301="","Client manquant",IF(ISNA(MATCH(C301,cli_code,0)),"Client inconnu",IF(O301&lt;MAX($O$6:O300),"Date antérieure au devis précédent",IF(AND(ISNUMBER(F301),F301&lt;O301),"Validité antérieure à la date du devis",IF(AND(R301=0,G301&lt;&gt;"Annulé"),"Aucune ligne (feuille Lignes de devis)",IF(COUNTIFS(dl_doc,A301,dl_check,"&lt;&gt;OK")&gt;0,"Ligne(s) à corriger",IF(AND(L301&lt;&gt;"",OR(G301="Refusé",G301="Annulé")),"Devis refusé ou annulé mais facturé","OK"))))))))))</f>
        <v/>
      </c>
      <c r="O301" s="62">
        <f>IF(ISNUMBER(B301),B301,0)</f>
        <v>0.0</v>
      </c>
      <c r="P301" s="62" t="str">
        <f>IF(O301=0,"",YEAR(O301))</f>
        <v/>
      </c>
      <c r="Q301" s="62" t="str">
        <f>IF(P301="","",COUNTIF($P$6:P301,P301))</f>
        <v/>
      </c>
      <c r="R301" s="62">
        <f>IF(A301="",0,COUNTIF(dl_doc,A301))</f>
        <v>0.0</v>
      </c>
    </row>
    <row r="302">
      <c r="A302" s="59" t="str">
        <f>IF(Q302="","",p_pdv&amp;"-"&amp;P302&amp;"-"&amp;RIGHT("000"&amp;Q302,4))</f>
        <v/>
      </c>
      <c r="B302" s="61" t="n"/>
      <c r="C302" s="60" t="n"/>
      <c r="D302" s="62" t="str">
        <f>IF(C302="","",IFERROR(INDEX(cli_name,MATCH(C302,cli_code,0))&amp;"","Client inconnu"))</f>
        <v/>
      </c>
      <c r="E302" s="63" t="n"/>
      <c r="F302" s="61" t="n"/>
      <c r="G302" s="60" t="n"/>
      <c r="H302" s="64" t="str">
        <f>IF(A302="","",IF(ISNUMBER(F302),F302,O302+N(p_validity)))</f>
        <v/>
      </c>
      <c r="I302" s="65" t="str">
        <f>IF(A302="","",SUMIF(dl_doc,A302,dl_ht))</f>
        <v/>
      </c>
      <c r="J302" s="65" t="str">
        <f>IF(A302="","",IF(INDEX(p_rates,1)="",0,ROUND(SUMIFS(dl_ht,dl_doc,A302,dl_rate,INDEX(p_rates,1))*INDEX(p_rates,1),2))+IF(INDEX(p_rates,2)="",0,ROUND(SUMIFS(dl_ht,dl_doc,A302,dl_rate,INDEX(p_rates,2))*INDEX(p_rates,2),2))+IF(INDEX(p_rates,3)="",0,ROUND(SUMIFS(dl_ht,dl_doc,A302,dl_rate,INDEX(p_rates,3))*INDEX(p_rates,3),2))+IF(INDEX(p_rates,4)="",0,ROUND(SUMIFS(dl_ht,dl_doc,A302,dl_rate,INDEX(p_rates,4))*INDEX(p_rates,4),2))+IF(INDEX(p_rates,5)="",0,ROUND(SUMIFS(dl_ht,dl_doc,A302,dl_rate,INDEX(p_rates,5))*INDEX(p_rates,5),2))+IF(INDEX(p_rates,6)="",0,ROUND(SUMIFS(dl_ht,dl_doc,A302,dl_rate,INDEX(p_rates,6))*INDEX(p_rates,6),2)))</f>
        <v/>
      </c>
      <c r="K302" s="65" t="str">
        <f>IF(A302="","",I302+J302)</f>
        <v/>
      </c>
      <c r="L302" s="59" t="str">
        <f>IF(A302="","",IFERROR(INDEX(fa_num,MATCH(A302,fa_dvkey,0))&amp;"",""))</f>
        <v/>
      </c>
      <c r="M302" s="59" t="str">
        <f>IF(A302="","",IF(G302="Annulé","Annulé",IF(L302&lt;&gt;"","Facturé",IF(G302="Accepté","Accepté",IF(G302="Refusé","Refusé",IF(p_asof&gt;H302,"Expiré","En attente"))))))</f>
        <v/>
      </c>
      <c r="N302" s="59" t="str">
        <f>IF(COUNTA(B302:C302,E302:G302)=0,"",IF(B302="","Date manquante",IF(NOT(ISNUMBER(B302)),"Date invalide",IF(C302="","Client manquant",IF(ISNA(MATCH(C302,cli_code,0)),"Client inconnu",IF(O302&lt;MAX($O$6:O301),"Date antérieure au devis précédent",IF(AND(ISNUMBER(F302),F302&lt;O302),"Validité antérieure à la date du devis",IF(AND(R302=0,G302&lt;&gt;"Annulé"),"Aucune ligne (feuille Lignes de devis)",IF(COUNTIFS(dl_doc,A302,dl_check,"&lt;&gt;OK")&gt;0,"Ligne(s) à corriger",IF(AND(L302&lt;&gt;"",OR(G302="Refusé",G302="Annulé")),"Devis refusé ou annulé mais facturé","OK"))))))))))</f>
        <v/>
      </c>
      <c r="O302" s="62">
        <f>IF(ISNUMBER(B302),B302,0)</f>
        <v>0.0</v>
      </c>
      <c r="P302" s="62" t="str">
        <f>IF(O302=0,"",YEAR(O302))</f>
        <v/>
      </c>
      <c r="Q302" s="62" t="str">
        <f>IF(P302="","",COUNTIF($P$6:P302,P302))</f>
        <v/>
      </c>
      <c r="R302" s="62">
        <f>IF(A302="",0,COUNTIF(dl_doc,A302))</f>
        <v>0.0</v>
      </c>
    </row>
    <row r="303">
      <c r="A303" s="59" t="str">
        <f>IF(Q303="","",p_pdv&amp;"-"&amp;P303&amp;"-"&amp;RIGHT("000"&amp;Q303,4))</f>
        <v/>
      </c>
      <c r="B303" s="61" t="n"/>
      <c r="C303" s="60" t="n"/>
      <c r="D303" s="62" t="str">
        <f>IF(C303="","",IFERROR(INDEX(cli_name,MATCH(C303,cli_code,0))&amp;"","Client inconnu"))</f>
        <v/>
      </c>
      <c r="E303" s="63" t="n"/>
      <c r="F303" s="61" t="n"/>
      <c r="G303" s="60" t="n"/>
      <c r="H303" s="64" t="str">
        <f>IF(A303="","",IF(ISNUMBER(F303),F303,O303+N(p_validity)))</f>
        <v/>
      </c>
      <c r="I303" s="65" t="str">
        <f>IF(A303="","",SUMIF(dl_doc,A303,dl_ht))</f>
        <v/>
      </c>
      <c r="J303" s="65" t="str">
        <f>IF(A303="","",IF(INDEX(p_rates,1)="",0,ROUND(SUMIFS(dl_ht,dl_doc,A303,dl_rate,INDEX(p_rates,1))*INDEX(p_rates,1),2))+IF(INDEX(p_rates,2)="",0,ROUND(SUMIFS(dl_ht,dl_doc,A303,dl_rate,INDEX(p_rates,2))*INDEX(p_rates,2),2))+IF(INDEX(p_rates,3)="",0,ROUND(SUMIFS(dl_ht,dl_doc,A303,dl_rate,INDEX(p_rates,3))*INDEX(p_rates,3),2))+IF(INDEX(p_rates,4)="",0,ROUND(SUMIFS(dl_ht,dl_doc,A303,dl_rate,INDEX(p_rates,4))*INDEX(p_rates,4),2))+IF(INDEX(p_rates,5)="",0,ROUND(SUMIFS(dl_ht,dl_doc,A303,dl_rate,INDEX(p_rates,5))*INDEX(p_rates,5),2))+IF(INDEX(p_rates,6)="",0,ROUND(SUMIFS(dl_ht,dl_doc,A303,dl_rate,INDEX(p_rates,6))*INDEX(p_rates,6),2)))</f>
        <v/>
      </c>
      <c r="K303" s="65" t="str">
        <f>IF(A303="","",I303+J303)</f>
        <v/>
      </c>
      <c r="L303" s="59" t="str">
        <f>IF(A303="","",IFERROR(INDEX(fa_num,MATCH(A303,fa_dvkey,0))&amp;"",""))</f>
        <v/>
      </c>
      <c r="M303" s="59" t="str">
        <f>IF(A303="","",IF(G303="Annulé","Annulé",IF(L303&lt;&gt;"","Facturé",IF(G303="Accepté","Accepté",IF(G303="Refusé","Refusé",IF(p_asof&gt;H303,"Expiré","En attente"))))))</f>
        <v/>
      </c>
      <c r="N303" s="59" t="str">
        <f>IF(COUNTA(B303:C303,E303:G303)=0,"",IF(B303="","Date manquante",IF(NOT(ISNUMBER(B303)),"Date invalide",IF(C303="","Client manquant",IF(ISNA(MATCH(C303,cli_code,0)),"Client inconnu",IF(O303&lt;MAX($O$6:O302),"Date antérieure au devis précédent",IF(AND(ISNUMBER(F303),F303&lt;O303),"Validité antérieure à la date du devis",IF(AND(R303=0,G303&lt;&gt;"Annulé"),"Aucune ligne (feuille Lignes de devis)",IF(COUNTIFS(dl_doc,A303,dl_check,"&lt;&gt;OK")&gt;0,"Ligne(s) à corriger",IF(AND(L303&lt;&gt;"",OR(G303="Refusé",G303="Annulé")),"Devis refusé ou annulé mais facturé","OK"))))))))))</f>
        <v/>
      </c>
      <c r="O303" s="62">
        <f>IF(ISNUMBER(B303),B303,0)</f>
        <v>0.0</v>
      </c>
      <c r="P303" s="62" t="str">
        <f>IF(O303=0,"",YEAR(O303))</f>
        <v/>
      </c>
      <c r="Q303" s="62" t="str">
        <f>IF(P303="","",COUNTIF($P$6:P303,P303))</f>
        <v/>
      </c>
      <c r="R303" s="62">
        <f>IF(A303="",0,COUNTIF(dl_doc,A303))</f>
        <v>0.0</v>
      </c>
    </row>
    <row r="304">
      <c r="A304" s="59" t="str">
        <f>IF(Q304="","",p_pdv&amp;"-"&amp;P304&amp;"-"&amp;RIGHT("000"&amp;Q304,4))</f>
        <v/>
      </c>
      <c r="B304" s="61" t="n"/>
      <c r="C304" s="60" t="n"/>
      <c r="D304" s="62" t="str">
        <f>IF(C304="","",IFERROR(INDEX(cli_name,MATCH(C304,cli_code,0))&amp;"","Client inconnu"))</f>
        <v/>
      </c>
      <c r="E304" s="63" t="n"/>
      <c r="F304" s="61" t="n"/>
      <c r="G304" s="60" t="n"/>
      <c r="H304" s="64" t="str">
        <f>IF(A304="","",IF(ISNUMBER(F304),F304,O304+N(p_validity)))</f>
        <v/>
      </c>
      <c r="I304" s="65" t="str">
        <f>IF(A304="","",SUMIF(dl_doc,A304,dl_ht))</f>
        <v/>
      </c>
      <c r="J304" s="65" t="str">
        <f>IF(A304="","",IF(INDEX(p_rates,1)="",0,ROUND(SUMIFS(dl_ht,dl_doc,A304,dl_rate,INDEX(p_rates,1))*INDEX(p_rates,1),2))+IF(INDEX(p_rates,2)="",0,ROUND(SUMIFS(dl_ht,dl_doc,A304,dl_rate,INDEX(p_rates,2))*INDEX(p_rates,2),2))+IF(INDEX(p_rates,3)="",0,ROUND(SUMIFS(dl_ht,dl_doc,A304,dl_rate,INDEX(p_rates,3))*INDEX(p_rates,3),2))+IF(INDEX(p_rates,4)="",0,ROUND(SUMIFS(dl_ht,dl_doc,A304,dl_rate,INDEX(p_rates,4))*INDEX(p_rates,4),2))+IF(INDEX(p_rates,5)="",0,ROUND(SUMIFS(dl_ht,dl_doc,A304,dl_rate,INDEX(p_rates,5))*INDEX(p_rates,5),2))+IF(INDEX(p_rates,6)="",0,ROUND(SUMIFS(dl_ht,dl_doc,A304,dl_rate,INDEX(p_rates,6))*INDEX(p_rates,6),2)))</f>
        <v/>
      </c>
      <c r="K304" s="65" t="str">
        <f>IF(A304="","",I304+J304)</f>
        <v/>
      </c>
      <c r="L304" s="59" t="str">
        <f>IF(A304="","",IFERROR(INDEX(fa_num,MATCH(A304,fa_dvkey,0))&amp;"",""))</f>
        <v/>
      </c>
      <c r="M304" s="59" t="str">
        <f>IF(A304="","",IF(G304="Annulé","Annulé",IF(L304&lt;&gt;"","Facturé",IF(G304="Accepté","Accepté",IF(G304="Refusé","Refusé",IF(p_asof&gt;H304,"Expiré","En attente"))))))</f>
        <v/>
      </c>
      <c r="N304" s="59" t="str">
        <f>IF(COUNTA(B304:C304,E304:G304)=0,"",IF(B304="","Date manquante",IF(NOT(ISNUMBER(B304)),"Date invalide",IF(C304="","Client manquant",IF(ISNA(MATCH(C304,cli_code,0)),"Client inconnu",IF(O304&lt;MAX($O$6:O303),"Date antérieure au devis précédent",IF(AND(ISNUMBER(F304),F304&lt;O304),"Validité antérieure à la date du devis",IF(AND(R304=0,G304&lt;&gt;"Annulé"),"Aucune ligne (feuille Lignes de devis)",IF(COUNTIFS(dl_doc,A304,dl_check,"&lt;&gt;OK")&gt;0,"Ligne(s) à corriger",IF(AND(L304&lt;&gt;"",OR(G304="Refusé",G304="Annulé")),"Devis refusé ou annulé mais facturé","OK"))))))))))</f>
        <v/>
      </c>
      <c r="O304" s="62">
        <f>IF(ISNUMBER(B304),B304,0)</f>
        <v>0.0</v>
      </c>
      <c r="P304" s="62" t="str">
        <f>IF(O304=0,"",YEAR(O304))</f>
        <v/>
      </c>
      <c r="Q304" s="62" t="str">
        <f>IF(P304="","",COUNTIF($P$6:P304,P304))</f>
        <v/>
      </c>
      <c r="R304" s="62">
        <f>IF(A304="",0,COUNTIF(dl_doc,A304))</f>
        <v>0.0</v>
      </c>
    </row>
    <row r="305">
      <c r="A305" s="59" t="str">
        <f>IF(Q305="","",p_pdv&amp;"-"&amp;P305&amp;"-"&amp;RIGHT("000"&amp;Q305,4))</f>
        <v/>
      </c>
      <c r="B305" s="61" t="n"/>
      <c r="C305" s="60" t="n"/>
      <c r="D305" s="62" t="str">
        <f>IF(C305="","",IFERROR(INDEX(cli_name,MATCH(C305,cli_code,0))&amp;"","Client inconnu"))</f>
        <v/>
      </c>
      <c r="E305" s="63" t="n"/>
      <c r="F305" s="61" t="n"/>
      <c r="G305" s="60" t="n"/>
      <c r="H305" s="64" t="str">
        <f>IF(A305="","",IF(ISNUMBER(F305),F305,O305+N(p_validity)))</f>
        <v/>
      </c>
      <c r="I305" s="65" t="str">
        <f>IF(A305="","",SUMIF(dl_doc,A305,dl_ht))</f>
        <v/>
      </c>
      <c r="J305" s="65" t="str">
        <f>IF(A305="","",IF(INDEX(p_rates,1)="",0,ROUND(SUMIFS(dl_ht,dl_doc,A305,dl_rate,INDEX(p_rates,1))*INDEX(p_rates,1),2))+IF(INDEX(p_rates,2)="",0,ROUND(SUMIFS(dl_ht,dl_doc,A305,dl_rate,INDEX(p_rates,2))*INDEX(p_rates,2),2))+IF(INDEX(p_rates,3)="",0,ROUND(SUMIFS(dl_ht,dl_doc,A305,dl_rate,INDEX(p_rates,3))*INDEX(p_rates,3),2))+IF(INDEX(p_rates,4)="",0,ROUND(SUMIFS(dl_ht,dl_doc,A305,dl_rate,INDEX(p_rates,4))*INDEX(p_rates,4),2))+IF(INDEX(p_rates,5)="",0,ROUND(SUMIFS(dl_ht,dl_doc,A305,dl_rate,INDEX(p_rates,5))*INDEX(p_rates,5),2))+IF(INDEX(p_rates,6)="",0,ROUND(SUMIFS(dl_ht,dl_doc,A305,dl_rate,INDEX(p_rates,6))*INDEX(p_rates,6),2)))</f>
        <v/>
      </c>
      <c r="K305" s="65" t="str">
        <f>IF(A305="","",I305+J305)</f>
        <v/>
      </c>
      <c r="L305" s="59" t="str">
        <f>IF(A305="","",IFERROR(INDEX(fa_num,MATCH(A305,fa_dvkey,0))&amp;"",""))</f>
        <v/>
      </c>
      <c r="M305" s="59" t="str">
        <f>IF(A305="","",IF(G305="Annulé","Annulé",IF(L305&lt;&gt;"","Facturé",IF(G305="Accepté","Accepté",IF(G305="Refusé","Refusé",IF(p_asof&gt;H305,"Expiré","En attente"))))))</f>
        <v/>
      </c>
      <c r="N305" s="59" t="str">
        <f>IF(COUNTA(B305:C305,E305:G305)=0,"",IF(B305="","Date manquante",IF(NOT(ISNUMBER(B305)),"Date invalide",IF(C305="","Client manquant",IF(ISNA(MATCH(C305,cli_code,0)),"Client inconnu",IF(O305&lt;MAX($O$6:O304),"Date antérieure au devis précédent",IF(AND(ISNUMBER(F305),F305&lt;O305),"Validité antérieure à la date du devis",IF(AND(R305=0,G305&lt;&gt;"Annulé"),"Aucune ligne (feuille Lignes de devis)",IF(COUNTIFS(dl_doc,A305,dl_check,"&lt;&gt;OK")&gt;0,"Ligne(s) à corriger",IF(AND(L305&lt;&gt;"",OR(G305="Refusé",G305="Annulé")),"Devis refusé ou annulé mais facturé","OK"))))))))))</f>
        <v/>
      </c>
      <c r="O305" s="62">
        <f>IF(ISNUMBER(B305),B305,0)</f>
        <v>0.0</v>
      </c>
      <c r="P305" s="62" t="str">
        <f>IF(O305=0,"",YEAR(O305))</f>
        <v/>
      </c>
      <c r="Q305" s="62" t="str">
        <f>IF(P305="","",COUNTIF($P$6:P305,P305))</f>
        <v/>
      </c>
      <c r="R305" s="62">
        <f>IF(A305="",0,COUNTIF(dl_doc,A305))</f>
        <v>0.0</v>
      </c>
    </row>
    <row r="306">
      <c r="A306" s="59" t="str">
        <f>IF(Q306="","",p_pdv&amp;"-"&amp;P306&amp;"-"&amp;RIGHT("000"&amp;Q306,4))</f>
        <v/>
      </c>
      <c r="B306" s="61" t="n"/>
      <c r="C306" s="60" t="n"/>
      <c r="D306" s="62" t="str">
        <f>IF(C306="","",IFERROR(INDEX(cli_name,MATCH(C306,cli_code,0))&amp;"","Client inconnu"))</f>
        <v/>
      </c>
      <c r="E306" s="63" t="n"/>
      <c r="F306" s="61" t="n"/>
      <c r="G306" s="60" t="n"/>
      <c r="H306" s="64" t="str">
        <f>IF(A306="","",IF(ISNUMBER(F306),F306,O306+N(p_validity)))</f>
        <v/>
      </c>
      <c r="I306" s="65" t="str">
        <f>IF(A306="","",SUMIF(dl_doc,A306,dl_ht))</f>
        <v/>
      </c>
      <c r="J306" s="65" t="str">
        <f>IF(A306="","",IF(INDEX(p_rates,1)="",0,ROUND(SUMIFS(dl_ht,dl_doc,A306,dl_rate,INDEX(p_rates,1))*INDEX(p_rates,1),2))+IF(INDEX(p_rates,2)="",0,ROUND(SUMIFS(dl_ht,dl_doc,A306,dl_rate,INDEX(p_rates,2))*INDEX(p_rates,2),2))+IF(INDEX(p_rates,3)="",0,ROUND(SUMIFS(dl_ht,dl_doc,A306,dl_rate,INDEX(p_rates,3))*INDEX(p_rates,3),2))+IF(INDEX(p_rates,4)="",0,ROUND(SUMIFS(dl_ht,dl_doc,A306,dl_rate,INDEX(p_rates,4))*INDEX(p_rates,4),2))+IF(INDEX(p_rates,5)="",0,ROUND(SUMIFS(dl_ht,dl_doc,A306,dl_rate,INDEX(p_rates,5))*INDEX(p_rates,5),2))+IF(INDEX(p_rates,6)="",0,ROUND(SUMIFS(dl_ht,dl_doc,A306,dl_rate,INDEX(p_rates,6))*INDEX(p_rates,6),2)))</f>
        <v/>
      </c>
      <c r="K306" s="65" t="str">
        <f>IF(A306="","",I306+J306)</f>
        <v/>
      </c>
      <c r="L306" s="59" t="str">
        <f>IF(A306="","",IFERROR(INDEX(fa_num,MATCH(A306,fa_dvkey,0))&amp;"",""))</f>
        <v/>
      </c>
      <c r="M306" s="59" t="str">
        <f>IF(A306="","",IF(G306="Annulé","Annulé",IF(L306&lt;&gt;"","Facturé",IF(G306="Accepté","Accepté",IF(G306="Refusé","Refusé",IF(p_asof&gt;H306,"Expiré","En attente"))))))</f>
        <v/>
      </c>
      <c r="N306" s="59" t="str">
        <f>IF(COUNTA(B306:C306,E306:G306)=0,"",IF(B306="","Date manquante",IF(NOT(ISNUMBER(B306)),"Date invalide",IF(C306="","Client manquant",IF(ISNA(MATCH(C306,cli_code,0)),"Client inconnu",IF(O306&lt;MAX($O$6:O305),"Date antérieure au devis précédent",IF(AND(ISNUMBER(F306),F306&lt;O306),"Validité antérieure à la date du devis",IF(AND(R306=0,G306&lt;&gt;"Annulé"),"Aucune ligne (feuille Lignes de devis)",IF(COUNTIFS(dl_doc,A306,dl_check,"&lt;&gt;OK")&gt;0,"Ligne(s) à corriger",IF(AND(L306&lt;&gt;"",OR(G306="Refusé",G306="Annulé")),"Devis refusé ou annulé mais facturé","OK"))))))))))</f>
        <v/>
      </c>
      <c r="O306" s="62">
        <f>IF(ISNUMBER(B306),B306,0)</f>
        <v>0.0</v>
      </c>
      <c r="P306" s="62" t="str">
        <f>IF(O306=0,"",YEAR(O306))</f>
        <v/>
      </c>
      <c r="Q306" s="62" t="str">
        <f>IF(P306="","",COUNTIF($P$6:P306,P306))</f>
        <v/>
      </c>
      <c r="R306" s="62">
        <f>IF(A306="",0,COUNTIF(dl_doc,A306))</f>
        <v>0.0</v>
      </c>
    </row>
    <row r="307">
      <c r="A307" s="59" t="str">
        <f>IF(Q307="","",p_pdv&amp;"-"&amp;P307&amp;"-"&amp;RIGHT("000"&amp;Q307,4))</f>
        <v/>
      </c>
      <c r="B307" s="61" t="n"/>
      <c r="C307" s="60" t="n"/>
      <c r="D307" s="62" t="str">
        <f>IF(C307="","",IFERROR(INDEX(cli_name,MATCH(C307,cli_code,0))&amp;"","Client inconnu"))</f>
        <v/>
      </c>
      <c r="E307" s="63" t="n"/>
      <c r="F307" s="61" t="n"/>
      <c r="G307" s="60" t="n"/>
      <c r="H307" s="64" t="str">
        <f>IF(A307="","",IF(ISNUMBER(F307),F307,O307+N(p_validity)))</f>
        <v/>
      </c>
      <c r="I307" s="65" t="str">
        <f>IF(A307="","",SUMIF(dl_doc,A307,dl_ht))</f>
        <v/>
      </c>
      <c r="J307" s="65" t="str">
        <f>IF(A307="","",IF(INDEX(p_rates,1)="",0,ROUND(SUMIFS(dl_ht,dl_doc,A307,dl_rate,INDEX(p_rates,1))*INDEX(p_rates,1),2))+IF(INDEX(p_rates,2)="",0,ROUND(SUMIFS(dl_ht,dl_doc,A307,dl_rate,INDEX(p_rates,2))*INDEX(p_rates,2),2))+IF(INDEX(p_rates,3)="",0,ROUND(SUMIFS(dl_ht,dl_doc,A307,dl_rate,INDEX(p_rates,3))*INDEX(p_rates,3),2))+IF(INDEX(p_rates,4)="",0,ROUND(SUMIFS(dl_ht,dl_doc,A307,dl_rate,INDEX(p_rates,4))*INDEX(p_rates,4),2))+IF(INDEX(p_rates,5)="",0,ROUND(SUMIFS(dl_ht,dl_doc,A307,dl_rate,INDEX(p_rates,5))*INDEX(p_rates,5),2))+IF(INDEX(p_rates,6)="",0,ROUND(SUMIFS(dl_ht,dl_doc,A307,dl_rate,INDEX(p_rates,6))*INDEX(p_rates,6),2)))</f>
        <v/>
      </c>
      <c r="K307" s="65" t="str">
        <f>IF(A307="","",I307+J307)</f>
        <v/>
      </c>
      <c r="L307" s="59" t="str">
        <f>IF(A307="","",IFERROR(INDEX(fa_num,MATCH(A307,fa_dvkey,0))&amp;"",""))</f>
        <v/>
      </c>
      <c r="M307" s="59" t="str">
        <f>IF(A307="","",IF(G307="Annulé","Annulé",IF(L307&lt;&gt;"","Facturé",IF(G307="Accepté","Accepté",IF(G307="Refusé","Refusé",IF(p_asof&gt;H307,"Expiré","En attente"))))))</f>
        <v/>
      </c>
      <c r="N307" s="59" t="str">
        <f>IF(COUNTA(B307:C307,E307:G307)=0,"",IF(B307="","Date manquante",IF(NOT(ISNUMBER(B307)),"Date invalide",IF(C307="","Client manquant",IF(ISNA(MATCH(C307,cli_code,0)),"Client inconnu",IF(O307&lt;MAX($O$6:O306),"Date antérieure au devis précédent",IF(AND(ISNUMBER(F307),F307&lt;O307),"Validité antérieure à la date du devis",IF(AND(R307=0,G307&lt;&gt;"Annulé"),"Aucune ligne (feuille Lignes de devis)",IF(COUNTIFS(dl_doc,A307,dl_check,"&lt;&gt;OK")&gt;0,"Ligne(s) à corriger",IF(AND(L307&lt;&gt;"",OR(G307="Refusé",G307="Annulé")),"Devis refusé ou annulé mais facturé","OK"))))))))))</f>
        <v/>
      </c>
      <c r="O307" s="62">
        <f>IF(ISNUMBER(B307),B307,0)</f>
        <v>0.0</v>
      </c>
      <c r="P307" s="62" t="str">
        <f>IF(O307=0,"",YEAR(O307))</f>
        <v/>
      </c>
      <c r="Q307" s="62" t="str">
        <f>IF(P307="","",COUNTIF($P$6:P307,P307))</f>
        <v/>
      </c>
      <c r="R307" s="62">
        <f>IF(A307="",0,COUNTIF(dl_doc,A307))</f>
        <v>0.0</v>
      </c>
    </row>
    <row r="308">
      <c r="A308" s="59" t="str">
        <f>IF(Q308="","",p_pdv&amp;"-"&amp;P308&amp;"-"&amp;RIGHT("000"&amp;Q308,4))</f>
        <v/>
      </c>
      <c r="B308" s="61" t="n"/>
      <c r="C308" s="60" t="n"/>
      <c r="D308" s="62" t="str">
        <f>IF(C308="","",IFERROR(INDEX(cli_name,MATCH(C308,cli_code,0))&amp;"","Client inconnu"))</f>
        <v/>
      </c>
      <c r="E308" s="63" t="n"/>
      <c r="F308" s="61" t="n"/>
      <c r="G308" s="60" t="n"/>
      <c r="H308" s="64" t="str">
        <f>IF(A308="","",IF(ISNUMBER(F308),F308,O308+N(p_validity)))</f>
        <v/>
      </c>
      <c r="I308" s="65" t="str">
        <f>IF(A308="","",SUMIF(dl_doc,A308,dl_ht))</f>
        <v/>
      </c>
      <c r="J308" s="65" t="str">
        <f>IF(A308="","",IF(INDEX(p_rates,1)="",0,ROUND(SUMIFS(dl_ht,dl_doc,A308,dl_rate,INDEX(p_rates,1))*INDEX(p_rates,1),2))+IF(INDEX(p_rates,2)="",0,ROUND(SUMIFS(dl_ht,dl_doc,A308,dl_rate,INDEX(p_rates,2))*INDEX(p_rates,2),2))+IF(INDEX(p_rates,3)="",0,ROUND(SUMIFS(dl_ht,dl_doc,A308,dl_rate,INDEX(p_rates,3))*INDEX(p_rates,3),2))+IF(INDEX(p_rates,4)="",0,ROUND(SUMIFS(dl_ht,dl_doc,A308,dl_rate,INDEX(p_rates,4))*INDEX(p_rates,4),2))+IF(INDEX(p_rates,5)="",0,ROUND(SUMIFS(dl_ht,dl_doc,A308,dl_rate,INDEX(p_rates,5))*INDEX(p_rates,5),2))+IF(INDEX(p_rates,6)="",0,ROUND(SUMIFS(dl_ht,dl_doc,A308,dl_rate,INDEX(p_rates,6))*INDEX(p_rates,6),2)))</f>
        <v/>
      </c>
      <c r="K308" s="65" t="str">
        <f>IF(A308="","",I308+J308)</f>
        <v/>
      </c>
      <c r="L308" s="59" t="str">
        <f>IF(A308="","",IFERROR(INDEX(fa_num,MATCH(A308,fa_dvkey,0))&amp;"",""))</f>
        <v/>
      </c>
      <c r="M308" s="59" t="str">
        <f>IF(A308="","",IF(G308="Annulé","Annulé",IF(L308&lt;&gt;"","Facturé",IF(G308="Accepté","Accepté",IF(G308="Refusé","Refusé",IF(p_asof&gt;H308,"Expiré","En attente"))))))</f>
        <v/>
      </c>
      <c r="N308" s="59" t="str">
        <f>IF(COUNTA(B308:C308,E308:G308)=0,"",IF(B308="","Date manquante",IF(NOT(ISNUMBER(B308)),"Date invalide",IF(C308="","Client manquant",IF(ISNA(MATCH(C308,cli_code,0)),"Client inconnu",IF(O308&lt;MAX($O$6:O307),"Date antérieure au devis précédent",IF(AND(ISNUMBER(F308),F308&lt;O308),"Validité antérieure à la date du devis",IF(AND(R308=0,G308&lt;&gt;"Annulé"),"Aucune ligne (feuille Lignes de devis)",IF(COUNTIFS(dl_doc,A308,dl_check,"&lt;&gt;OK")&gt;0,"Ligne(s) à corriger",IF(AND(L308&lt;&gt;"",OR(G308="Refusé",G308="Annulé")),"Devis refusé ou annulé mais facturé","OK"))))))))))</f>
        <v/>
      </c>
      <c r="O308" s="62">
        <f>IF(ISNUMBER(B308),B308,0)</f>
        <v>0.0</v>
      </c>
      <c r="P308" s="62" t="str">
        <f>IF(O308=0,"",YEAR(O308))</f>
        <v/>
      </c>
      <c r="Q308" s="62" t="str">
        <f>IF(P308="","",COUNTIF($P$6:P308,P308))</f>
        <v/>
      </c>
      <c r="R308" s="62">
        <f>IF(A308="",0,COUNTIF(dl_doc,A308))</f>
        <v>0.0</v>
      </c>
    </row>
    <row r="309">
      <c r="A309" s="59" t="str">
        <f>IF(Q309="","",p_pdv&amp;"-"&amp;P309&amp;"-"&amp;RIGHT("000"&amp;Q309,4))</f>
        <v/>
      </c>
      <c r="B309" s="61" t="n"/>
      <c r="C309" s="60" t="n"/>
      <c r="D309" s="62" t="str">
        <f>IF(C309="","",IFERROR(INDEX(cli_name,MATCH(C309,cli_code,0))&amp;"","Client inconnu"))</f>
        <v/>
      </c>
      <c r="E309" s="63" t="n"/>
      <c r="F309" s="61" t="n"/>
      <c r="G309" s="60" t="n"/>
      <c r="H309" s="64" t="str">
        <f>IF(A309="","",IF(ISNUMBER(F309),F309,O309+N(p_validity)))</f>
        <v/>
      </c>
      <c r="I309" s="65" t="str">
        <f>IF(A309="","",SUMIF(dl_doc,A309,dl_ht))</f>
        <v/>
      </c>
      <c r="J309" s="65" t="str">
        <f>IF(A309="","",IF(INDEX(p_rates,1)="",0,ROUND(SUMIFS(dl_ht,dl_doc,A309,dl_rate,INDEX(p_rates,1))*INDEX(p_rates,1),2))+IF(INDEX(p_rates,2)="",0,ROUND(SUMIFS(dl_ht,dl_doc,A309,dl_rate,INDEX(p_rates,2))*INDEX(p_rates,2),2))+IF(INDEX(p_rates,3)="",0,ROUND(SUMIFS(dl_ht,dl_doc,A309,dl_rate,INDEX(p_rates,3))*INDEX(p_rates,3),2))+IF(INDEX(p_rates,4)="",0,ROUND(SUMIFS(dl_ht,dl_doc,A309,dl_rate,INDEX(p_rates,4))*INDEX(p_rates,4),2))+IF(INDEX(p_rates,5)="",0,ROUND(SUMIFS(dl_ht,dl_doc,A309,dl_rate,INDEX(p_rates,5))*INDEX(p_rates,5),2))+IF(INDEX(p_rates,6)="",0,ROUND(SUMIFS(dl_ht,dl_doc,A309,dl_rate,INDEX(p_rates,6))*INDEX(p_rates,6),2)))</f>
        <v/>
      </c>
      <c r="K309" s="65" t="str">
        <f>IF(A309="","",I309+J309)</f>
        <v/>
      </c>
      <c r="L309" s="59" t="str">
        <f>IF(A309="","",IFERROR(INDEX(fa_num,MATCH(A309,fa_dvkey,0))&amp;"",""))</f>
        <v/>
      </c>
      <c r="M309" s="59" t="str">
        <f>IF(A309="","",IF(G309="Annulé","Annulé",IF(L309&lt;&gt;"","Facturé",IF(G309="Accepté","Accepté",IF(G309="Refusé","Refusé",IF(p_asof&gt;H309,"Expiré","En attente"))))))</f>
        <v/>
      </c>
      <c r="N309" s="59" t="str">
        <f>IF(COUNTA(B309:C309,E309:G309)=0,"",IF(B309="","Date manquante",IF(NOT(ISNUMBER(B309)),"Date invalide",IF(C309="","Client manquant",IF(ISNA(MATCH(C309,cli_code,0)),"Client inconnu",IF(O309&lt;MAX($O$6:O308),"Date antérieure au devis précédent",IF(AND(ISNUMBER(F309),F309&lt;O309),"Validité antérieure à la date du devis",IF(AND(R309=0,G309&lt;&gt;"Annulé"),"Aucune ligne (feuille Lignes de devis)",IF(COUNTIFS(dl_doc,A309,dl_check,"&lt;&gt;OK")&gt;0,"Ligne(s) à corriger",IF(AND(L309&lt;&gt;"",OR(G309="Refusé",G309="Annulé")),"Devis refusé ou annulé mais facturé","OK"))))))))))</f>
        <v/>
      </c>
      <c r="O309" s="62">
        <f>IF(ISNUMBER(B309),B309,0)</f>
        <v>0.0</v>
      </c>
      <c r="P309" s="62" t="str">
        <f>IF(O309=0,"",YEAR(O309))</f>
        <v/>
      </c>
      <c r="Q309" s="62" t="str">
        <f>IF(P309="","",COUNTIF($P$6:P309,P309))</f>
        <v/>
      </c>
      <c r="R309" s="62">
        <f>IF(A309="",0,COUNTIF(dl_doc,A309))</f>
        <v>0.0</v>
      </c>
    </row>
    <row r="310">
      <c r="A310" s="59" t="str">
        <f>IF(Q310="","",p_pdv&amp;"-"&amp;P310&amp;"-"&amp;RIGHT("000"&amp;Q310,4))</f>
        <v/>
      </c>
      <c r="B310" s="61" t="n"/>
      <c r="C310" s="60" t="n"/>
      <c r="D310" s="62" t="str">
        <f>IF(C310="","",IFERROR(INDEX(cli_name,MATCH(C310,cli_code,0))&amp;"","Client inconnu"))</f>
        <v/>
      </c>
      <c r="E310" s="63" t="n"/>
      <c r="F310" s="61" t="n"/>
      <c r="G310" s="60" t="n"/>
      <c r="H310" s="64" t="str">
        <f>IF(A310="","",IF(ISNUMBER(F310),F310,O310+N(p_validity)))</f>
        <v/>
      </c>
      <c r="I310" s="65" t="str">
        <f>IF(A310="","",SUMIF(dl_doc,A310,dl_ht))</f>
        <v/>
      </c>
      <c r="J310" s="65" t="str">
        <f>IF(A310="","",IF(INDEX(p_rates,1)="",0,ROUND(SUMIFS(dl_ht,dl_doc,A310,dl_rate,INDEX(p_rates,1))*INDEX(p_rates,1),2))+IF(INDEX(p_rates,2)="",0,ROUND(SUMIFS(dl_ht,dl_doc,A310,dl_rate,INDEX(p_rates,2))*INDEX(p_rates,2),2))+IF(INDEX(p_rates,3)="",0,ROUND(SUMIFS(dl_ht,dl_doc,A310,dl_rate,INDEX(p_rates,3))*INDEX(p_rates,3),2))+IF(INDEX(p_rates,4)="",0,ROUND(SUMIFS(dl_ht,dl_doc,A310,dl_rate,INDEX(p_rates,4))*INDEX(p_rates,4),2))+IF(INDEX(p_rates,5)="",0,ROUND(SUMIFS(dl_ht,dl_doc,A310,dl_rate,INDEX(p_rates,5))*INDEX(p_rates,5),2))+IF(INDEX(p_rates,6)="",0,ROUND(SUMIFS(dl_ht,dl_doc,A310,dl_rate,INDEX(p_rates,6))*INDEX(p_rates,6),2)))</f>
        <v/>
      </c>
      <c r="K310" s="65" t="str">
        <f>IF(A310="","",I310+J310)</f>
        <v/>
      </c>
      <c r="L310" s="59" t="str">
        <f>IF(A310="","",IFERROR(INDEX(fa_num,MATCH(A310,fa_dvkey,0))&amp;"",""))</f>
        <v/>
      </c>
      <c r="M310" s="59" t="str">
        <f>IF(A310="","",IF(G310="Annulé","Annulé",IF(L310&lt;&gt;"","Facturé",IF(G310="Accepté","Accepté",IF(G310="Refusé","Refusé",IF(p_asof&gt;H310,"Expiré","En attente"))))))</f>
        <v/>
      </c>
      <c r="N310" s="59" t="str">
        <f>IF(COUNTA(B310:C310,E310:G310)=0,"",IF(B310="","Date manquante",IF(NOT(ISNUMBER(B310)),"Date invalide",IF(C310="","Client manquant",IF(ISNA(MATCH(C310,cli_code,0)),"Client inconnu",IF(O310&lt;MAX($O$6:O309),"Date antérieure au devis précédent",IF(AND(ISNUMBER(F310),F310&lt;O310),"Validité antérieure à la date du devis",IF(AND(R310=0,G310&lt;&gt;"Annulé"),"Aucune ligne (feuille Lignes de devis)",IF(COUNTIFS(dl_doc,A310,dl_check,"&lt;&gt;OK")&gt;0,"Ligne(s) à corriger",IF(AND(L310&lt;&gt;"",OR(G310="Refusé",G310="Annulé")),"Devis refusé ou annulé mais facturé","OK"))))))))))</f>
        <v/>
      </c>
      <c r="O310" s="62">
        <f>IF(ISNUMBER(B310),B310,0)</f>
        <v>0.0</v>
      </c>
      <c r="P310" s="62" t="str">
        <f>IF(O310=0,"",YEAR(O310))</f>
        <v/>
      </c>
      <c r="Q310" s="62" t="str">
        <f>IF(P310="","",COUNTIF($P$6:P310,P310))</f>
        <v/>
      </c>
      <c r="R310" s="62">
        <f>IF(A310="",0,COUNTIF(dl_doc,A310))</f>
        <v>0.0</v>
      </c>
    </row>
    <row r="311">
      <c r="A311" s="59" t="str">
        <f>IF(Q311="","",p_pdv&amp;"-"&amp;P311&amp;"-"&amp;RIGHT("000"&amp;Q311,4))</f>
        <v/>
      </c>
      <c r="B311" s="61" t="n"/>
      <c r="C311" s="60" t="n"/>
      <c r="D311" s="62" t="str">
        <f>IF(C311="","",IFERROR(INDEX(cli_name,MATCH(C311,cli_code,0))&amp;"","Client inconnu"))</f>
        <v/>
      </c>
      <c r="E311" s="63" t="n"/>
      <c r="F311" s="61" t="n"/>
      <c r="G311" s="60" t="n"/>
      <c r="H311" s="64" t="str">
        <f>IF(A311="","",IF(ISNUMBER(F311),F311,O311+N(p_validity)))</f>
        <v/>
      </c>
      <c r="I311" s="65" t="str">
        <f>IF(A311="","",SUMIF(dl_doc,A311,dl_ht))</f>
        <v/>
      </c>
      <c r="J311" s="65" t="str">
        <f>IF(A311="","",IF(INDEX(p_rates,1)="",0,ROUND(SUMIFS(dl_ht,dl_doc,A311,dl_rate,INDEX(p_rates,1))*INDEX(p_rates,1),2))+IF(INDEX(p_rates,2)="",0,ROUND(SUMIFS(dl_ht,dl_doc,A311,dl_rate,INDEX(p_rates,2))*INDEX(p_rates,2),2))+IF(INDEX(p_rates,3)="",0,ROUND(SUMIFS(dl_ht,dl_doc,A311,dl_rate,INDEX(p_rates,3))*INDEX(p_rates,3),2))+IF(INDEX(p_rates,4)="",0,ROUND(SUMIFS(dl_ht,dl_doc,A311,dl_rate,INDEX(p_rates,4))*INDEX(p_rates,4),2))+IF(INDEX(p_rates,5)="",0,ROUND(SUMIFS(dl_ht,dl_doc,A311,dl_rate,INDEX(p_rates,5))*INDEX(p_rates,5),2))+IF(INDEX(p_rates,6)="",0,ROUND(SUMIFS(dl_ht,dl_doc,A311,dl_rate,INDEX(p_rates,6))*INDEX(p_rates,6),2)))</f>
        <v/>
      </c>
      <c r="K311" s="65" t="str">
        <f>IF(A311="","",I311+J311)</f>
        <v/>
      </c>
      <c r="L311" s="59" t="str">
        <f>IF(A311="","",IFERROR(INDEX(fa_num,MATCH(A311,fa_dvkey,0))&amp;"",""))</f>
        <v/>
      </c>
      <c r="M311" s="59" t="str">
        <f>IF(A311="","",IF(G311="Annulé","Annulé",IF(L311&lt;&gt;"","Facturé",IF(G311="Accepté","Accepté",IF(G311="Refusé","Refusé",IF(p_asof&gt;H311,"Expiré","En attente"))))))</f>
        <v/>
      </c>
      <c r="N311" s="59" t="str">
        <f>IF(COUNTA(B311:C311,E311:G311)=0,"",IF(B311="","Date manquante",IF(NOT(ISNUMBER(B311)),"Date invalide",IF(C311="","Client manquant",IF(ISNA(MATCH(C311,cli_code,0)),"Client inconnu",IF(O311&lt;MAX($O$6:O310),"Date antérieure au devis précédent",IF(AND(ISNUMBER(F311),F311&lt;O311),"Validité antérieure à la date du devis",IF(AND(R311=0,G311&lt;&gt;"Annulé"),"Aucune ligne (feuille Lignes de devis)",IF(COUNTIFS(dl_doc,A311,dl_check,"&lt;&gt;OK")&gt;0,"Ligne(s) à corriger",IF(AND(L311&lt;&gt;"",OR(G311="Refusé",G311="Annulé")),"Devis refusé ou annulé mais facturé","OK"))))))))))</f>
        <v/>
      </c>
      <c r="O311" s="62">
        <f>IF(ISNUMBER(B311),B311,0)</f>
        <v>0.0</v>
      </c>
      <c r="P311" s="62" t="str">
        <f>IF(O311=0,"",YEAR(O311))</f>
        <v/>
      </c>
      <c r="Q311" s="62" t="str">
        <f>IF(P311="","",COUNTIF($P$6:P311,P311))</f>
        <v/>
      </c>
      <c r="R311" s="62">
        <f>IF(A311="",0,COUNTIF(dl_doc,A311))</f>
        <v>0.0</v>
      </c>
    </row>
    <row r="312">
      <c r="A312" s="59" t="str">
        <f>IF(Q312="","",p_pdv&amp;"-"&amp;P312&amp;"-"&amp;RIGHT("000"&amp;Q312,4))</f>
        <v/>
      </c>
      <c r="B312" s="61" t="n"/>
      <c r="C312" s="60" t="n"/>
      <c r="D312" s="62" t="str">
        <f>IF(C312="","",IFERROR(INDEX(cli_name,MATCH(C312,cli_code,0))&amp;"","Client inconnu"))</f>
        <v/>
      </c>
      <c r="E312" s="63" t="n"/>
      <c r="F312" s="61" t="n"/>
      <c r="G312" s="60" t="n"/>
      <c r="H312" s="64" t="str">
        <f>IF(A312="","",IF(ISNUMBER(F312),F312,O312+N(p_validity)))</f>
        <v/>
      </c>
      <c r="I312" s="65" t="str">
        <f>IF(A312="","",SUMIF(dl_doc,A312,dl_ht))</f>
        <v/>
      </c>
      <c r="J312" s="65" t="str">
        <f>IF(A312="","",IF(INDEX(p_rates,1)="",0,ROUND(SUMIFS(dl_ht,dl_doc,A312,dl_rate,INDEX(p_rates,1))*INDEX(p_rates,1),2))+IF(INDEX(p_rates,2)="",0,ROUND(SUMIFS(dl_ht,dl_doc,A312,dl_rate,INDEX(p_rates,2))*INDEX(p_rates,2),2))+IF(INDEX(p_rates,3)="",0,ROUND(SUMIFS(dl_ht,dl_doc,A312,dl_rate,INDEX(p_rates,3))*INDEX(p_rates,3),2))+IF(INDEX(p_rates,4)="",0,ROUND(SUMIFS(dl_ht,dl_doc,A312,dl_rate,INDEX(p_rates,4))*INDEX(p_rates,4),2))+IF(INDEX(p_rates,5)="",0,ROUND(SUMIFS(dl_ht,dl_doc,A312,dl_rate,INDEX(p_rates,5))*INDEX(p_rates,5),2))+IF(INDEX(p_rates,6)="",0,ROUND(SUMIFS(dl_ht,dl_doc,A312,dl_rate,INDEX(p_rates,6))*INDEX(p_rates,6),2)))</f>
        <v/>
      </c>
      <c r="K312" s="65" t="str">
        <f>IF(A312="","",I312+J312)</f>
        <v/>
      </c>
      <c r="L312" s="59" t="str">
        <f>IF(A312="","",IFERROR(INDEX(fa_num,MATCH(A312,fa_dvkey,0))&amp;"",""))</f>
        <v/>
      </c>
      <c r="M312" s="59" t="str">
        <f>IF(A312="","",IF(G312="Annulé","Annulé",IF(L312&lt;&gt;"","Facturé",IF(G312="Accepté","Accepté",IF(G312="Refusé","Refusé",IF(p_asof&gt;H312,"Expiré","En attente"))))))</f>
        <v/>
      </c>
      <c r="N312" s="59" t="str">
        <f>IF(COUNTA(B312:C312,E312:G312)=0,"",IF(B312="","Date manquante",IF(NOT(ISNUMBER(B312)),"Date invalide",IF(C312="","Client manquant",IF(ISNA(MATCH(C312,cli_code,0)),"Client inconnu",IF(O312&lt;MAX($O$6:O311),"Date antérieure au devis précédent",IF(AND(ISNUMBER(F312),F312&lt;O312),"Validité antérieure à la date du devis",IF(AND(R312=0,G312&lt;&gt;"Annulé"),"Aucune ligne (feuille Lignes de devis)",IF(COUNTIFS(dl_doc,A312,dl_check,"&lt;&gt;OK")&gt;0,"Ligne(s) à corriger",IF(AND(L312&lt;&gt;"",OR(G312="Refusé",G312="Annulé")),"Devis refusé ou annulé mais facturé","OK"))))))))))</f>
        <v/>
      </c>
      <c r="O312" s="62">
        <f>IF(ISNUMBER(B312),B312,0)</f>
        <v>0.0</v>
      </c>
      <c r="P312" s="62" t="str">
        <f>IF(O312=0,"",YEAR(O312))</f>
        <v/>
      </c>
      <c r="Q312" s="62" t="str">
        <f>IF(P312="","",COUNTIF($P$6:P312,P312))</f>
        <v/>
      </c>
      <c r="R312" s="62">
        <f>IF(A312="",0,COUNTIF(dl_doc,A312))</f>
        <v>0.0</v>
      </c>
    </row>
    <row r="313">
      <c r="A313" s="59" t="str">
        <f>IF(Q313="","",p_pdv&amp;"-"&amp;P313&amp;"-"&amp;RIGHT("000"&amp;Q313,4))</f>
        <v/>
      </c>
      <c r="B313" s="61" t="n"/>
      <c r="C313" s="60" t="n"/>
      <c r="D313" s="62" t="str">
        <f>IF(C313="","",IFERROR(INDEX(cli_name,MATCH(C313,cli_code,0))&amp;"","Client inconnu"))</f>
        <v/>
      </c>
      <c r="E313" s="63" t="n"/>
      <c r="F313" s="61" t="n"/>
      <c r="G313" s="60" t="n"/>
      <c r="H313" s="64" t="str">
        <f>IF(A313="","",IF(ISNUMBER(F313),F313,O313+N(p_validity)))</f>
        <v/>
      </c>
      <c r="I313" s="65" t="str">
        <f>IF(A313="","",SUMIF(dl_doc,A313,dl_ht))</f>
        <v/>
      </c>
      <c r="J313" s="65" t="str">
        <f>IF(A313="","",IF(INDEX(p_rates,1)="",0,ROUND(SUMIFS(dl_ht,dl_doc,A313,dl_rate,INDEX(p_rates,1))*INDEX(p_rates,1),2))+IF(INDEX(p_rates,2)="",0,ROUND(SUMIFS(dl_ht,dl_doc,A313,dl_rate,INDEX(p_rates,2))*INDEX(p_rates,2),2))+IF(INDEX(p_rates,3)="",0,ROUND(SUMIFS(dl_ht,dl_doc,A313,dl_rate,INDEX(p_rates,3))*INDEX(p_rates,3),2))+IF(INDEX(p_rates,4)="",0,ROUND(SUMIFS(dl_ht,dl_doc,A313,dl_rate,INDEX(p_rates,4))*INDEX(p_rates,4),2))+IF(INDEX(p_rates,5)="",0,ROUND(SUMIFS(dl_ht,dl_doc,A313,dl_rate,INDEX(p_rates,5))*INDEX(p_rates,5),2))+IF(INDEX(p_rates,6)="",0,ROUND(SUMIFS(dl_ht,dl_doc,A313,dl_rate,INDEX(p_rates,6))*INDEX(p_rates,6),2)))</f>
        <v/>
      </c>
      <c r="K313" s="65" t="str">
        <f>IF(A313="","",I313+J313)</f>
        <v/>
      </c>
      <c r="L313" s="59" t="str">
        <f>IF(A313="","",IFERROR(INDEX(fa_num,MATCH(A313,fa_dvkey,0))&amp;"",""))</f>
        <v/>
      </c>
      <c r="M313" s="59" t="str">
        <f>IF(A313="","",IF(G313="Annulé","Annulé",IF(L313&lt;&gt;"","Facturé",IF(G313="Accepté","Accepté",IF(G313="Refusé","Refusé",IF(p_asof&gt;H313,"Expiré","En attente"))))))</f>
        <v/>
      </c>
      <c r="N313" s="59" t="str">
        <f>IF(COUNTA(B313:C313,E313:G313)=0,"",IF(B313="","Date manquante",IF(NOT(ISNUMBER(B313)),"Date invalide",IF(C313="","Client manquant",IF(ISNA(MATCH(C313,cli_code,0)),"Client inconnu",IF(O313&lt;MAX($O$6:O312),"Date antérieure au devis précédent",IF(AND(ISNUMBER(F313),F313&lt;O313),"Validité antérieure à la date du devis",IF(AND(R313=0,G313&lt;&gt;"Annulé"),"Aucune ligne (feuille Lignes de devis)",IF(COUNTIFS(dl_doc,A313,dl_check,"&lt;&gt;OK")&gt;0,"Ligne(s) à corriger",IF(AND(L313&lt;&gt;"",OR(G313="Refusé",G313="Annulé")),"Devis refusé ou annulé mais facturé","OK"))))))))))</f>
        <v/>
      </c>
      <c r="O313" s="62">
        <f>IF(ISNUMBER(B313),B313,0)</f>
        <v>0.0</v>
      </c>
      <c r="P313" s="62" t="str">
        <f>IF(O313=0,"",YEAR(O313))</f>
        <v/>
      </c>
      <c r="Q313" s="62" t="str">
        <f>IF(P313="","",COUNTIF($P$6:P313,P313))</f>
        <v/>
      </c>
      <c r="R313" s="62">
        <f>IF(A313="",0,COUNTIF(dl_doc,A313))</f>
        <v>0.0</v>
      </c>
    </row>
    <row r="314">
      <c r="A314" s="59" t="str">
        <f>IF(Q314="","",p_pdv&amp;"-"&amp;P314&amp;"-"&amp;RIGHT("000"&amp;Q314,4))</f>
        <v/>
      </c>
      <c r="B314" s="61" t="n"/>
      <c r="C314" s="60" t="n"/>
      <c r="D314" s="62" t="str">
        <f>IF(C314="","",IFERROR(INDEX(cli_name,MATCH(C314,cli_code,0))&amp;"","Client inconnu"))</f>
        <v/>
      </c>
      <c r="E314" s="63" t="n"/>
      <c r="F314" s="61" t="n"/>
      <c r="G314" s="60" t="n"/>
      <c r="H314" s="64" t="str">
        <f>IF(A314="","",IF(ISNUMBER(F314),F314,O314+N(p_validity)))</f>
        <v/>
      </c>
      <c r="I314" s="65" t="str">
        <f>IF(A314="","",SUMIF(dl_doc,A314,dl_ht))</f>
        <v/>
      </c>
      <c r="J314" s="65" t="str">
        <f>IF(A314="","",IF(INDEX(p_rates,1)="",0,ROUND(SUMIFS(dl_ht,dl_doc,A314,dl_rate,INDEX(p_rates,1))*INDEX(p_rates,1),2))+IF(INDEX(p_rates,2)="",0,ROUND(SUMIFS(dl_ht,dl_doc,A314,dl_rate,INDEX(p_rates,2))*INDEX(p_rates,2),2))+IF(INDEX(p_rates,3)="",0,ROUND(SUMIFS(dl_ht,dl_doc,A314,dl_rate,INDEX(p_rates,3))*INDEX(p_rates,3),2))+IF(INDEX(p_rates,4)="",0,ROUND(SUMIFS(dl_ht,dl_doc,A314,dl_rate,INDEX(p_rates,4))*INDEX(p_rates,4),2))+IF(INDEX(p_rates,5)="",0,ROUND(SUMIFS(dl_ht,dl_doc,A314,dl_rate,INDEX(p_rates,5))*INDEX(p_rates,5),2))+IF(INDEX(p_rates,6)="",0,ROUND(SUMIFS(dl_ht,dl_doc,A314,dl_rate,INDEX(p_rates,6))*INDEX(p_rates,6),2)))</f>
        <v/>
      </c>
      <c r="K314" s="65" t="str">
        <f>IF(A314="","",I314+J314)</f>
        <v/>
      </c>
      <c r="L314" s="59" t="str">
        <f>IF(A314="","",IFERROR(INDEX(fa_num,MATCH(A314,fa_dvkey,0))&amp;"",""))</f>
        <v/>
      </c>
      <c r="M314" s="59" t="str">
        <f>IF(A314="","",IF(G314="Annulé","Annulé",IF(L314&lt;&gt;"","Facturé",IF(G314="Accepté","Accepté",IF(G314="Refusé","Refusé",IF(p_asof&gt;H314,"Expiré","En attente"))))))</f>
        <v/>
      </c>
      <c r="N314" s="59" t="str">
        <f>IF(COUNTA(B314:C314,E314:G314)=0,"",IF(B314="","Date manquante",IF(NOT(ISNUMBER(B314)),"Date invalide",IF(C314="","Client manquant",IF(ISNA(MATCH(C314,cli_code,0)),"Client inconnu",IF(O314&lt;MAX($O$6:O313),"Date antérieure au devis précédent",IF(AND(ISNUMBER(F314),F314&lt;O314),"Validité antérieure à la date du devis",IF(AND(R314=0,G314&lt;&gt;"Annulé"),"Aucune ligne (feuille Lignes de devis)",IF(COUNTIFS(dl_doc,A314,dl_check,"&lt;&gt;OK")&gt;0,"Ligne(s) à corriger",IF(AND(L314&lt;&gt;"",OR(G314="Refusé",G314="Annulé")),"Devis refusé ou annulé mais facturé","OK"))))))))))</f>
        <v/>
      </c>
      <c r="O314" s="62">
        <f>IF(ISNUMBER(B314),B314,0)</f>
        <v>0.0</v>
      </c>
      <c r="P314" s="62" t="str">
        <f>IF(O314=0,"",YEAR(O314))</f>
        <v/>
      </c>
      <c r="Q314" s="62" t="str">
        <f>IF(P314="","",COUNTIF($P$6:P314,P314))</f>
        <v/>
      </c>
      <c r="R314" s="62">
        <f>IF(A314="",0,COUNTIF(dl_doc,A314))</f>
        <v>0.0</v>
      </c>
    </row>
    <row r="315">
      <c r="A315" s="59" t="str">
        <f>IF(Q315="","",p_pdv&amp;"-"&amp;P315&amp;"-"&amp;RIGHT("000"&amp;Q315,4))</f>
        <v/>
      </c>
      <c r="B315" s="61" t="n"/>
      <c r="C315" s="60" t="n"/>
      <c r="D315" s="62" t="str">
        <f>IF(C315="","",IFERROR(INDEX(cli_name,MATCH(C315,cli_code,0))&amp;"","Client inconnu"))</f>
        <v/>
      </c>
      <c r="E315" s="63" t="n"/>
      <c r="F315" s="61" t="n"/>
      <c r="G315" s="60" t="n"/>
      <c r="H315" s="64" t="str">
        <f>IF(A315="","",IF(ISNUMBER(F315),F315,O315+N(p_validity)))</f>
        <v/>
      </c>
      <c r="I315" s="65" t="str">
        <f>IF(A315="","",SUMIF(dl_doc,A315,dl_ht))</f>
        <v/>
      </c>
      <c r="J315" s="65" t="str">
        <f>IF(A315="","",IF(INDEX(p_rates,1)="",0,ROUND(SUMIFS(dl_ht,dl_doc,A315,dl_rate,INDEX(p_rates,1))*INDEX(p_rates,1),2))+IF(INDEX(p_rates,2)="",0,ROUND(SUMIFS(dl_ht,dl_doc,A315,dl_rate,INDEX(p_rates,2))*INDEX(p_rates,2),2))+IF(INDEX(p_rates,3)="",0,ROUND(SUMIFS(dl_ht,dl_doc,A315,dl_rate,INDEX(p_rates,3))*INDEX(p_rates,3),2))+IF(INDEX(p_rates,4)="",0,ROUND(SUMIFS(dl_ht,dl_doc,A315,dl_rate,INDEX(p_rates,4))*INDEX(p_rates,4),2))+IF(INDEX(p_rates,5)="",0,ROUND(SUMIFS(dl_ht,dl_doc,A315,dl_rate,INDEX(p_rates,5))*INDEX(p_rates,5),2))+IF(INDEX(p_rates,6)="",0,ROUND(SUMIFS(dl_ht,dl_doc,A315,dl_rate,INDEX(p_rates,6))*INDEX(p_rates,6),2)))</f>
        <v/>
      </c>
      <c r="K315" s="65" t="str">
        <f>IF(A315="","",I315+J315)</f>
        <v/>
      </c>
      <c r="L315" s="59" t="str">
        <f>IF(A315="","",IFERROR(INDEX(fa_num,MATCH(A315,fa_dvkey,0))&amp;"",""))</f>
        <v/>
      </c>
      <c r="M315" s="59" t="str">
        <f>IF(A315="","",IF(G315="Annulé","Annulé",IF(L315&lt;&gt;"","Facturé",IF(G315="Accepté","Accepté",IF(G315="Refusé","Refusé",IF(p_asof&gt;H315,"Expiré","En attente"))))))</f>
        <v/>
      </c>
      <c r="N315" s="59" t="str">
        <f>IF(COUNTA(B315:C315,E315:G315)=0,"",IF(B315="","Date manquante",IF(NOT(ISNUMBER(B315)),"Date invalide",IF(C315="","Client manquant",IF(ISNA(MATCH(C315,cli_code,0)),"Client inconnu",IF(O315&lt;MAX($O$6:O314),"Date antérieure au devis précédent",IF(AND(ISNUMBER(F315),F315&lt;O315),"Validité antérieure à la date du devis",IF(AND(R315=0,G315&lt;&gt;"Annulé"),"Aucune ligne (feuille Lignes de devis)",IF(COUNTIFS(dl_doc,A315,dl_check,"&lt;&gt;OK")&gt;0,"Ligne(s) à corriger",IF(AND(L315&lt;&gt;"",OR(G315="Refusé",G315="Annulé")),"Devis refusé ou annulé mais facturé","OK"))))))))))</f>
        <v/>
      </c>
      <c r="O315" s="62">
        <f>IF(ISNUMBER(B315),B315,0)</f>
        <v>0.0</v>
      </c>
      <c r="P315" s="62" t="str">
        <f>IF(O315=0,"",YEAR(O315))</f>
        <v/>
      </c>
      <c r="Q315" s="62" t="str">
        <f>IF(P315="","",COUNTIF($P$6:P315,P315))</f>
        <v/>
      </c>
      <c r="R315" s="62">
        <f>IF(A315="",0,COUNTIF(dl_doc,A315))</f>
        <v>0.0</v>
      </c>
    </row>
    <row r="316">
      <c r="A316" s="59" t="str">
        <f>IF(Q316="","",p_pdv&amp;"-"&amp;P316&amp;"-"&amp;RIGHT("000"&amp;Q316,4))</f>
        <v/>
      </c>
      <c r="B316" s="61" t="n"/>
      <c r="C316" s="60" t="n"/>
      <c r="D316" s="62" t="str">
        <f>IF(C316="","",IFERROR(INDEX(cli_name,MATCH(C316,cli_code,0))&amp;"","Client inconnu"))</f>
        <v/>
      </c>
      <c r="E316" s="63" t="n"/>
      <c r="F316" s="61" t="n"/>
      <c r="G316" s="60" t="n"/>
      <c r="H316" s="64" t="str">
        <f>IF(A316="","",IF(ISNUMBER(F316),F316,O316+N(p_validity)))</f>
        <v/>
      </c>
      <c r="I316" s="65" t="str">
        <f>IF(A316="","",SUMIF(dl_doc,A316,dl_ht))</f>
        <v/>
      </c>
      <c r="J316" s="65" t="str">
        <f>IF(A316="","",IF(INDEX(p_rates,1)="",0,ROUND(SUMIFS(dl_ht,dl_doc,A316,dl_rate,INDEX(p_rates,1))*INDEX(p_rates,1),2))+IF(INDEX(p_rates,2)="",0,ROUND(SUMIFS(dl_ht,dl_doc,A316,dl_rate,INDEX(p_rates,2))*INDEX(p_rates,2),2))+IF(INDEX(p_rates,3)="",0,ROUND(SUMIFS(dl_ht,dl_doc,A316,dl_rate,INDEX(p_rates,3))*INDEX(p_rates,3),2))+IF(INDEX(p_rates,4)="",0,ROUND(SUMIFS(dl_ht,dl_doc,A316,dl_rate,INDEX(p_rates,4))*INDEX(p_rates,4),2))+IF(INDEX(p_rates,5)="",0,ROUND(SUMIFS(dl_ht,dl_doc,A316,dl_rate,INDEX(p_rates,5))*INDEX(p_rates,5),2))+IF(INDEX(p_rates,6)="",0,ROUND(SUMIFS(dl_ht,dl_doc,A316,dl_rate,INDEX(p_rates,6))*INDEX(p_rates,6),2)))</f>
        <v/>
      </c>
      <c r="K316" s="65" t="str">
        <f>IF(A316="","",I316+J316)</f>
        <v/>
      </c>
      <c r="L316" s="59" t="str">
        <f>IF(A316="","",IFERROR(INDEX(fa_num,MATCH(A316,fa_dvkey,0))&amp;"",""))</f>
        <v/>
      </c>
      <c r="M316" s="59" t="str">
        <f>IF(A316="","",IF(G316="Annulé","Annulé",IF(L316&lt;&gt;"","Facturé",IF(G316="Accepté","Accepté",IF(G316="Refusé","Refusé",IF(p_asof&gt;H316,"Expiré","En attente"))))))</f>
        <v/>
      </c>
      <c r="N316" s="59" t="str">
        <f>IF(COUNTA(B316:C316,E316:G316)=0,"",IF(B316="","Date manquante",IF(NOT(ISNUMBER(B316)),"Date invalide",IF(C316="","Client manquant",IF(ISNA(MATCH(C316,cli_code,0)),"Client inconnu",IF(O316&lt;MAX($O$6:O315),"Date antérieure au devis précédent",IF(AND(ISNUMBER(F316),F316&lt;O316),"Validité antérieure à la date du devis",IF(AND(R316=0,G316&lt;&gt;"Annulé"),"Aucune ligne (feuille Lignes de devis)",IF(COUNTIFS(dl_doc,A316,dl_check,"&lt;&gt;OK")&gt;0,"Ligne(s) à corriger",IF(AND(L316&lt;&gt;"",OR(G316="Refusé",G316="Annulé")),"Devis refusé ou annulé mais facturé","OK"))))))))))</f>
        <v/>
      </c>
      <c r="O316" s="62">
        <f>IF(ISNUMBER(B316),B316,0)</f>
        <v>0.0</v>
      </c>
      <c r="P316" s="62" t="str">
        <f>IF(O316=0,"",YEAR(O316))</f>
        <v/>
      </c>
      <c r="Q316" s="62" t="str">
        <f>IF(P316="","",COUNTIF($P$6:P316,P316))</f>
        <v/>
      </c>
      <c r="R316" s="62">
        <f>IF(A316="",0,COUNTIF(dl_doc,A316))</f>
        <v>0.0</v>
      </c>
    </row>
    <row r="317">
      <c r="A317" s="59" t="str">
        <f>IF(Q317="","",p_pdv&amp;"-"&amp;P317&amp;"-"&amp;RIGHT("000"&amp;Q317,4))</f>
        <v/>
      </c>
      <c r="B317" s="61" t="n"/>
      <c r="C317" s="60" t="n"/>
      <c r="D317" s="62" t="str">
        <f>IF(C317="","",IFERROR(INDEX(cli_name,MATCH(C317,cli_code,0))&amp;"","Client inconnu"))</f>
        <v/>
      </c>
      <c r="E317" s="63" t="n"/>
      <c r="F317" s="61" t="n"/>
      <c r="G317" s="60" t="n"/>
      <c r="H317" s="64" t="str">
        <f>IF(A317="","",IF(ISNUMBER(F317),F317,O317+N(p_validity)))</f>
        <v/>
      </c>
      <c r="I317" s="65" t="str">
        <f>IF(A317="","",SUMIF(dl_doc,A317,dl_ht))</f>
        <v/>
      </c>
      <c r="J317" s="65" t="str">
        <f>IF(A317="","",IF(INDEX(p_rates,1)="",0,ROUND(SUMIFS(dl_ht,dl_doc,A317,dl_rate,INDEX(p_rates,1))*INDEX(p_rates,1),2))+IF(INDEX(p_rates,2)="",0,ROUND(SUMIFS(dl_ht,dl_doc,A317,dl_rate,INDEX(p_rates,2))*INDEX(p_rates,2),2))+IF(INDEX(p_rates,3)="",0,ROUND(SUMIFS(dl_ht,dl_doc,A317,dl_rate,INDEX(p_rates,3))*INDEX(p_rates,3),2))+IF(INDEX(p_rates,4)="",0,ROUND(SUMIFS(dl_ht,dl_doc,A317,dl_rate,INDEX(p_rates,4))*INDEX(p_rates,4),2))+IF(INDEX(p_rates,5)="",0,ROUND(SUMIFS(dl_ht,dl_doc,A317,dl_rate,INDEX(p_rates,5))*INDEX(p_rates,5),2))+IF(INDEX(p_rates,6)="",0,ROUND(SUMIFS(dl_ht,dl_doc,A317,dl_rate,INDEX(p_rates,6))*INDEX(p_rates,6),2)))</f>
        <v/>
      </c>
      <c r="K317" s="65" t="str">
        <f>IF(A317="","",I317+J317)</f>
        <v/>
      </c>
      <c r="L317" s="59" t="str">
        <f>IF(A317="","",IFERROR(INDEX(fa_num,MATCH(A317,fa_dvkey,0))&amp;"",""))</f>
        <v/>
      </c>
      <c r="M317" s="59" t="str">
        <f>IF(A317="","",IF(G317="Annulé","Annulé",IF(L317&lt;&gt;"","Facturé",IF(G317="Accepté","Accepté",IF(G317="Refusé","Refusé",IF(p_asof&gt;H317,"Expiré","En attente"))))))</f>
        <v/>
      </c>
      <c r="N317" s="59" t="str">
        <f>IF(COUNTA(B317:C317,E317:G317)=0,"",IF(B317="","Date manquante",IF(NOT(ISNUMBER(B317)),"Date invalide",IF(C317="","Client manquant",IF(ISNA(MATCH(C317,cli_code,0)),"Client inconnu",IF(O317&lt;MAX($O$6:O316),"Date antérieure au devis précédent",IF(AND(ISNUMBER(F317),F317&lt;O317),"Validité antérieure à la date du devis",IF(AND(R317=0,G317&lt;&gt;"Annulé"),"Aucune ligne (feuille Lignes de devis)",IF(COUNTIFS(dl_doc,A317,dl_check,"&lt;&gt;OK")&gt;0,"Ligne(s) à corriger",IF(AND(L317&lt;&gt;"",OR(G317="Refusé",G317="Annulé")),"Devis refusé ou annulé mais facturé","OK"))))))))))</f>
        <v/>
      </c>
      <c r="O317" s="62">
        <f>IF(ISNUMBER(B317),B317,0)</f>
        <v>0.0</v>
      </c>
      <c r="P317" s="62" t="str">
        <f>IF(O317=0,"",YEAR(O317))</f>
        <v/>
      </c>
      <c r="Q317" s="62" t="str">
        <f>IF(P317="","",COUNTIF($P$6:P317,P317))</f>
        <v/>
      </c>
      <c r="R317" s="62">
        <f>IF(A317="",0,COUNTIF(dl_doc,A317))</f>
        <v>0.0</v>
      </c>
    </row>
    <row r="318">
      <c r="A318" s="59" t="str">
        <f>IF(Q318="","",p_pdv&amp;"-"&amp;P318&amp;"-"&amp;RIGHT("000"&amp;Q318,4))</f>
        <v/>
      </c>
      <c r="B318" s="61" t="n"/>
      <c r="C318" s="60" t="n"/>
      <c r="D318" s="62" t="str">
        <f>IF(C318="","",IFERROR(INDEX(cli_name,MATCH(C318,cli_code,0))&amp;"","Client inconnu"))</f>
        <v/>
      </c>
      <c r="E318" s="63" t="n"/>
      <c r="F318" s="61" t="n"/>
      <c r="G318" s="60" t="n"/>
      <c r="H318" s="64" t="str">
        <f>IF(A318="","",IF(ISNUMBER(F318),F318,O318+N(p_validity)))</f>
        <v/>
      </c>
      <c r="I318" s="65" t="str">
        <f>IF(A318="","",SUMIF(dl_doc,A318,dl_ht))</f>
        <v/>
      </c>
      <c r="J318" s="65" t="str">
        <f>IF(A318="","",IF(INDEX(p_rates,1)="",0,ROUND(SUMIFS(dl_ht,dl_doc,A318,dl_rate,INDEX(p_rates,1))*INDEX(p_rates,1),2))+IF(INDEX(p_rates,2)="",0,ROUND(SUMIFS(dl_ht,dl_doc,A318,dl_rate,INDEX(p_rates,2))*INDEX(p_rates,2),2))+IF(INDEX(p_rates,3)="",0,ROUND(SUMIFS(dl_ht,dl_doc,A318,dl_rate,INDEX(p_rates,3))*INDEX(p_rates,3),2))+IF(INDEX(p_rates,4)="",0,ROUND(SUMIFS(dl_ht,dl_doc,A318,dl_rate,INDEX(p_rates,4))*INDEX(p_rates,4),2))+IF(INDEX(p_rates,5)="",0,ROUND(SUMIFS(dl_ht,dl_doc,A318,dl_rate,INDEX(p_rates,5))*INDEX(p_rates,5),2))+IF(INDEX(p_rates,6)="",0,ROUND(SUMIFS(dl_ht,dl_doc,A318,dl_rate,INDEX(p_rates,6))*INDEX(p_rates,6),2)))</f>
        <v/>
      </c>
      <c r="K318" s="65" t="str">
        <f>IF(A318="","",I318+J318)</f>
        <v/>
      </c>
      <c r="L318" s="59" t="str">
        <f>IF(A318="","",IFERROR(INDEX(fa_num,MATCH(A318,fa_dvkey,0))&amp;"",""))</f>
        <v/>
      </c>
      <c r="M318" s="59" t="str">
        <f>IF(A318="","",IF(G318="Annulé","Annulé",IF(L318&lt;&gt;"","Facturé",IF(G318="Accepté","Accepté",IF(G318="Refusé","Refusé",IF(p_asof&gt;H318,"Expiré","En attente"))))))</f>
        <v/>
      </c>
      <c r="N318" s="59" t="str">
        <f>IF(COUNTA(B318:C318,E318:G318)=0,"",IF(B318="","Date manquante",IF(NOT(ISNUMBER(B318)),"Date invalide",IF(C318="","Client manquant",IF(ISNA(MATCH(C318,cli_code,0)),"Client inconnu",IF(O318&lt;MAX($O$6:O317),"Date antérieure au devis précédent",IF(AND(ISNUMBER(F318),F318&lt;O318),"Validité antérieure à la date du devis",IF(AND(R318=0,G318&lt;&gt;"Annulé"),"Aucune ligne (feuille Lignes de devis)",IF(COUNTIFS(dl_doc,A318,dl_check,"&lt;&gt;OK")&gt;0,"Ligne(s) à corriger",IF(AND(L318&lt;&gt;"",OR(G318="Refusé",G318="Annulé")),"Devis refusé ou annulé mais facturé","OK"))))))))))</f>
        <v/>
      </c>
      <c r="O318" s="62">
        <f>IF(ISNUMBER(B318),B318,0)</f>
        <v>0.0</v>
      </c>
      <c r="P318" s="62" t="str">
        <f>IF(O318=0,"",YEAR(O318))</f>
        <v/>
      </c>
      <c r="Q318" s="62" t="str">
        <f>IF(P318="","",COUNTIF($P$6:P318,P318))</f>
        <v/>
      </c>
      <c r="R318" s="62">
        <f>IF(A318="",0,COUNTIF(dl_doc,A318))</f>
        <v>0.0</v>
      </c>
    </row>
    <row r="319">
      <c r="A319" s="59" t="str">
        <f>IF(Q319="","",p_pdv&amp;"-"&amp;P319&amp;"-"&amp;RIGHT("000"&amp;Q319,4))</f>
        <v/>
      </c>
      <c r="B319" s="61" t="n"/>
      <c r="C319" s="60" t="n"/>
      <c r="D319" s="62" t="str">
        <f>IF(C319="","",IFERROR(INDEX(cli_name,MATCH(C319,cli_code,0))&amp;"","Client inconnu"))</f>
        <v/>
      </c>
      <c r="E319" s="63" t="n"/>
      <c r="F319" s="61" t="n"/>
      <c r="G319" s="60" t="n"/>
      <c r="H319" s="64" t="str">
        <f>IF(A319="","",IF(ISNUMBER(F319),F319,O319+N(p_validity)))</f>
        <v/>
      </c>
      <c r="I319" s="65" t="str">
        <f>IF(A319="","",SUMIF(dl_doc,A319,dl_ht))</f>
        <v/>
      </c>
      <c r="J319" s="65" t="str">
        <f>IF(A319="","",IF(INDEX(p_rates,1)="",0,ROUND(SUMIFS(dl_ht,dl_doc,A319,dl_rate,INDEX(p_rates,1))*INDEX(p_rates,1),2))+IF(INDEX(p_rates,2)="",0,ROUND(SUMIFS(dl_ht,dl_doc,A319,dl_rate,INDEX(p_rates,2))*INDEX(p_rates,2),2))+IF(INDEX(p_rates,3)="",0,ROUND(SUMIFS(dl_ht,dl_doc,A319,dl_rate,INDEX(p_rates,3))*INDEX(p_rates,3),2))+IF(INDEX(p_rates,4)="",0,ROUND(SUMIFS(dl_ht,dl_doc,A319,dl_rate,INDEX(p_rates,4))*INDEX(p_rates,4),2))+IF(INDEX(p_rates,5)="",0,ROUND(SUMIFS(dl_ht,dl_doc,A319,dl_rate,INDEX(p_rates,5))*INDEX(p_rates,5),2))+IF(INDEX(p_rates,6)="",0,ROUND(SUMIFS(dl_ht,dl_doc,A319,dl_rate,INDEX(p_rates,6))*INDEX(p_rates,6),2)))</f>
        <v/>
      </c>
      <c r="K319" s="65" t="str">
        <f>IF(A319="","",I319+J319)</f>
        <v/>
      </c>
      <c r="L319" s="59" t="str">
        <f>IF(A319="","",IFERROR(INDEX(fa_num,MATCH(A319,fa_dvkey,0))&amp;"",""))</f>
        <v/>
      </c>
      <c r="M319" s="59" t="str">
        <f>IF(A319="","",IF(G319="Annulé","Annulé",IF(L319&lt;&gt;"","Facturé",IF(G319="Accepté","Accepté",IF(G319="Refusé","Refusé",IF(p_asof&gt;H319,"Expiré","En attente"))))))</f>
        <v/>
      </c>
      <c r="N319" s="59" t="str">
        <f>IF(COUNTA(B319:C319,E319:G319)=0,"",IF(B319="","Date manquante",IF(NOT(ISNUMBER(B319)),"Date invalide",IF(C319="","Client manquant",IF(ISNA(MATCH(C319,cli_code,0)),"Client inconnu",IF(O319&lt;MAX($O$6:O318),"Date antérieure au devis précédent",IF(AND(ISNUMBER(F319),F319&lt;O319),"Validité antérieure à la date du devis",IF(AND(R319=0,G319&lt;&gt;"Annulé"),"Aucune ligne (feuille Lignes de devis)",IF(COUNTIFS(dl_doc,A319,dl_check,"&lt;&gt;OK")&gt;0,"Ligne(s) à corriger",IF(AND(L319&lt;&gt;"",OR(G319="Refusé",G319="Annulé")),"Devis refusé ou annulé mais facturé","OK"))))))))))</f>
        <v/>
      </c>
      <c r="O319" s="62">
        <f>IF(ISNUMBER(B319),B319,0)</f>
        <v>0.0</v>
      </c>
      <c r="P319" s="62" t="str">
        <f>IF(O319=0,"",YEAR(O319))</f>
        <v/>
      </c>
      <c r="Q319" s="62" t="str">
        <f>IF(P319="","",COUNTIF($P$6:P319,P319))</f>
        <v/>
      </c>
      <c r="R319" s="62">
        <f>IF(A319="",0,COUNTIF(dl_doc,A319))</f>
        <v>0.0</v>
      </c>
    </row>
    <row r="320">
      <c r="A320" s="59" t="str">
        <f>IF(Q320="","",p_pdv&amp;"-"&amp;P320&amp;"-"&amp;RIGHT("000"&amp;Q320,4))</f>
        <v/>
      </c>
      <c r="B320" s="61" t="n"/>
      <c r="C320" s="60" t="n"/>
      <c r="D320" s="62" t="str">
        <f>IF(C320="","",IFERROR(INDEX(cli_name,MATCH(C320,cli_code,0))&amp;"","Client inconnu"))</f>
        <v/>
      </c>
      <c r="E320" s="63" t="n"/>
      <c r="F320" s="61" t="n"/>
      <c r="G320" s="60" t="n"/>
      <c r="H320" s="64" t="str">
        <f>IF(A320="","",IF(ISNUMBER(F320),F320,O320+N(p_validity)))</f>
        <v/>
      </c>
      <c r="I320" s="65" t="str">
        <f>IF(A320="","",SUMIF(dl_doc,A320,dl_ht))</f>
        <v/>
      </c>
      <c r="J320" s="65" t="str">
        <f>IF(A320="","",IF(INDEX(p_rates,1)="",0,ROUND(SUMIFS(dl_ht,dl_doc,A320,dl_rate,INDEX(p_rates,1))*INDEX(p_rates,1),2))+IF(INDEX(p_rates,2)="",0,ROUND(SUMIFS(dl_ht,dl_doc,A320,dl_rate,INDEX(p_rates,2))*INDEX(p_rates,2),2))+IF(INDEX(p_rates,3)="",0,ROUND(SUMIFS(dl_ht,dl_doc,A320,dl_rate,INDEX(p_rates,3))*INDEX(p_rates,3),2))+IF(INDEX(p_rates,4)="",0,ROUND(SUMIFS(dl_ht,dl_doc,A320,dl_rate,INDEX(p_rates,4))*INDEX(p_rates,4),2))+IF(INDEX(p_rates,5)="",0,ROUND(SUMIFS(dl_ht,dl_doc,A320,dl_rate,INDEX(p_rates,5))*INDEX(p_rates,5),2))+IF(INDEX(p_rates,6)="",0,ROUND(SUMIFS(dl_ht,dl_doc,A320,dl_rate,INDEX(p_rates,6))*INDEX(p_rates,6),2)))</f>
        <v/>
      </c>
      <c r="K320" s="65" t="str">
        <f>IF(A320="","",I320+J320)</f>
        <v/>
      </c>
      <c r="L320" s="59" t="str">
        <f>IF(A320="","",IFERROR(INDEX(fa_num,MATCH(A320,fa_dvkey,0))&amp;"",""))</f>
        <v/>
      </c>
      <c r="M320" s="59" t="str">
        <f>IF(A320="","",IF(G320="Annulé","Annulé",IF(L320&lt;&gt;"","Facturé",IF(G320="Accepté","Accepté",IF(G320="Refusé","Refusé",IF(p_asof&gt;H320,"Expiré","En attente"))))))</f>
        <v/>
      </c>
      <c r="N320" s="59" t="str">
        <f>IF(COUNTA(B320:C320,E320:G320)=0,"",IF(B320="","Date manquante",IF(NOT(ISNUMBER(B320)),"Date invalide",IF(C320="","Client manquant",IF(ISNA(MATCH(C320,cli_code,0)),"Client inconnu",IF(O320&lt;MAX($O$6:O319),"Date antérieure au devis précédent",IF(AND(ISNUMBER(F320),F320&lt;O320),"Validité antérieure à la date du devis",IF(AND(R320=0,G320&lt;&gt;"Annulé"),"Aucune ligne (feuille Lignes de devis)",IF(COUNTIFS(dl_doc,A320,dl_check,"&lt;&gt;OK")&gt;0,"Ligne(s) à corriger",IF(AND(L320&lt;&gt;"",OR(G320="Refusé",G320="Annulé")),"Devis refusé ou annulé mais facturé","OK"))))))))))</f>
        <v/>
      </c>
      <c r="O320" s="62">
        <f>IF(ISNUMBER(B320),B320,0)</f>
        <v>0.0</v>
      </c>
      <c r="P320" s="62" t="str">
        <f>IF(O320=0,"",YEAR(O320))</f>
        <v/>
      </c>
      <c r="Q320" s="62" t="str">
        <f>IF(P320="","",COUNTIF($P$6:P320,P320))</f>
        <v/>
      </c>
      <c r="R320" s="62">
        <f>IF(A320="",0,COUNTIF(dl_doc,A320))</f>
        <v>0.0</v>
      </c>
    </row>
    <row r="321">
      <c r="A321" s="59" t="str">
        <f>IF(Q321="","",p_pdv&amp;"-"&amp;P321&amp;"-"&amp;RIGHT("000"&amp;Q321,4))</f>
        <v/>
      </c>
      <c r="B321" s="61" t="n"/>
      <c r="C321" s="60" t="n"/>
      <c r="D321" s="62" t="str">
        <f>IF(C321="","",IFERROR(INDEX(cli_name,MATCH(C321,cli_code,0))&amp;"","Client inconnu"))</f>
        <v/>
      </c>
      <c r="E321" s="63" t="n"/>
      <c r="F321" s="61" t="n"/>
      <c r="G321" s="60" t="n"/>
      <c r="H321" s="64" t="str">
        <f>IF(A321="","",IF(ISNUMBER(F321),F321,O321+N(p_validity)))</f>
        <v/>
      </c>
      <c r="I321" s="65" t="str">
        <f>IF(A321="","",SUMIF(dl_doc,A321,dl_ht))</f>
        <v/>
      </c>
      <c r="J321" s="65" t="str">
        <f>IF(A321="","",IF(INDEX(p_rates,1)="",0,ROUND(SUMIFS(dl_ht,dl_doc,A321,dl_rate,INDEX(p_rates,1))*INDEX(p_rates,1),2))+IF(INDEX(p_rates,2)="",0,ROUND(SUMIFS(dl_ht,dl_doc,A321,dl_rate,INDEX(p_rates,2))*INDEX(p_rates,2),2))+IF(INDEX(p_rates,3)="",0,ROUND(SUMIFS(dl_ht,dl_doc,A321,dl_rate,INDEX(p_rates,3))*INDEX(p_rates,3),2))+IF(INDEX(p_rates,4)="",0,ROUND(SUMIFS(dl_ht,dl_doc,A321,dl_rate,INDEX(p_rates,4))*INDEX(p_rates,4),2))+IF(INDEX(p_rates,5)="",0,ROUND(SUMIFS(dl_ht,dl_doc,A321,dl_rate,INDEX(p_rates,5))*INDEX(p_rates,5),2))+IF(INDEX(p_rates,6)="",0,ROUND(SUMIFS(dl_ht,dl_doc,A321,dl_rate,INDEX(p_rates,6))*INDEX(p_rates,6),2)))</f>
        <v/>
      </c>
      <c r="K321" s="65" t="str">
        <f>IF(A321="","",I321+J321)</f>
        <v/>
      </c>
      <c r="L321" s="59" t="str">
        <f>IF(A321="","",IFERROR(INDEX(fa_num,MATCH(A321,fa_dvkey,0))&amp;"",""))</f>
        <v/>
      </c>
      <c r="M321" s="59" t="str">
        <f>IF(A321="","",IF(G321="Annulé","Annulé",IF(L321&lt;&gt;"","Facturé",IF(G321="Accepté","Accepté",IF(G321="Refusé","Refusé",IF(p_asof&gt;H321,"Expiré","En attente"))))))</f>
        <v/>
      </c>
      <c r="N321" s="59" t="str">
        <f>IF(COUNTA(B321:C321,E321:G321)=0,"",IF(B321="","Date manquante",IF(NOT(ISNUMBER(B321)),"Date invalide",IF(C321="","Client manquant",IF(ISNA(MATCH(C321,cli_code,0)),"Client inconnu",IF(O321&lt;MAX($O$6:O320),"Date antérieure au devis précédent",IF(AND(ISNUMBER(F321),F321&lt;O321),"Validité antérieure à la date du devis",IF(AND(R321=0,G321&lt;&gt;"Annulé"),"Aucune ligne (feuille Lignes de devis)",IF(COUNTIFS(dl_doc,A321,dl_check,"&lt;&gt;OK")&gt;0,"Ligne(s) à corriger",IF(AND(L321&lt;&gt;"",OR(G321="Refusé",G321="Annulé")),"Devis refusé ou annulé mais facturé","OK"))))))))))</f>
        <v/>
      </c>
      <c r="O321" s="62">
        <f>IF(ISNUMBER(B321),B321,0)</f>
        <v>0.0</v>
      </c>
      <c r="P321" s="62" t="str">
        <f>IF(O321=0,"",YEAR(O321))</f>
        <v/>
      </c>
      <c r="Q321" s="62" t="str">
        <f>IF(P321="","",COUNTIF($P$6:P321,P321))</f>
        <v/>
      </c>
      <c r="R321" s="62">
        <f>IF(A321="",0,COUNTIF(dl_doc,A321))</f>
        <v>0.0</v>
      </c>
    </row>
    <row r="322">
      <c r="A322" s="59" t="str">
        <f>IF(Q322="","",p_pdv&amp;"-"&amp;P322&amp;"-"&amp;RIGHT("000"&amp;Q322,4))</f>
        <v/>
      </c>
      <c r="B322" s="61" t="n"/>
      <c r="C322" s="60" t="n"/>
      <c r="D322" s="62" t="str">
        <f>IF(C322="","",IFERROR(INDEX(cli_name,MATCH(C322,cli_code,0))&amp;"","Client inconnu"))</f>
        <v/>
      </c>
      <c r="E322" s="63" t="n"/>
      <c r="F322" s="61" t="n"/>
      <c r="G322" s="60" t="n"/>
      <c r="H322" s="64" t="str">
        <f>IF(A322="","",IF(ISNUMBER(F322),F322,O322+N(p_validity)))</f>
        <v/>
      </c>
      <c r="I322" s="65" t="str">
        <f>IF(A322="","",SUMIF(dl_doc,A322,dl_ht))</f>
        <v/>
      </c>
      <c r="J322" s="65" t="str">
        <f>IF(A322="","",IF(INDEX(p_rates,1)="",0,ROUND(SUMIFS(dl_ht,dl_doc,A322,dl_rate,INDEX(p_rates,1))*INDEX(p_rates,1),2))+IF(INDEX(p_rates,2)="",0,ROUND(SUMIFS(dl_ht,dl_doc,A322,dl_rate,INDEX(p_rates,2))*INDEX(p_rates,2),2))+IF(INDEX(p_rates,3)="",0,ROUND(SUMIFS(dl_ht,dl_doc,A322,dl_rate,INDEX(p_rates,3))*INDEX(p_rates,3),2))+IF(INDEX(p_rates,4)="",0,ROUND(SUMIFS(dl_ht,dl_doc,A322,dl_rate,INDEX(p_rates,4))*INDEX(p_rates,4),2))+IF(INDEX(p_rates,5)="",0,ROUND(SUMIFS(dl_ht,dl_doc,A322,dl_rate,INDEX(p_rates,5))*INDEX(p_rates,5),2))+IF(INDEX(p_rates,6)="",0,ROUND(SUMIFS(dl_ht,dl_doc,A322,dl_rate,INDEX(p_rates,6))*INDEX(p_rates,6),2)))</f>
        <v/>
      </c>
      <c r="K322" s="65" t="str">
        <f>IF(A322="","",I322+J322)</f>
        <v/>
      </c>
      <c r="L322" s="59" t="str">
        <f>IF(A322="","",IFERROR(INDEX(fa_num,MATCH(A322,fa_dvkey,0))&amp;"",""))</f>
        <v/>
      </c>
      <c r="M322" s="59" t="str">
        <f>IF(A322="","",IF(G322="Annulé","Annulé",IF(L322&lt;&gt;"","Facturé",IF(G322="Accepté","Accepté",IF(G322="Refusé","Refusé",IF(p_asof&gt;H322,"Expiré","En attente"))))))</f>
        <v/>
      </c>
      <c r="N322" s="59" t="str">
        <f>IF(COUNTA(B322:C322,E322:G322)=0,"",IF(B322="","Date manquante",IF(NOT(ISNUMBER(B322)),"Date invalide",IF(C322="","Client manquant",IF(ISNA(MATCH(C322,cli_code,0)),"Client inconnu",IF(O322&lt;MAX($O$6:O321),"Date antérieure au devis précédent",IF(AND(ISNUMBER(F322),F322&lt;O322),"Validité antérieure à la date du devis",IF(AND(R322=0,G322&lt;&gt;"Annulé"),"Aucune ligne (feuille Lignes de devis)",IF(COUNTIFS(dl_doc,A322,dl_check,"&lt;&gt;OK")&gt;0,"Ligne(s) à corriger",IF(AND(L322&lt;&gt;"",OR(G322="Refusé",G322="Annulé")),"Devis refusé ou annulé mais facturé","OK"))))))))))</f>
        <v/>
      </c>
      <c r="O322" s="62">
        <f>IF(ISNUMBER(B322),B322,0)</f>
        <v>0.0</v>
      </c>
      <c r="P322" s="62" t="str">
        <f>IF(O322=0,"",YEAR(O322))</f>
        <v/>
      </c>
      <c r="Q322" s="62" t="str">
        <f>IF(P322="","",COUNTIF($P$6:P322,P322))</f>
        <v/>
      </c>
      <c r="R322" s="62">
        <f>IF(A322="",0,COUNTIF(dl_doc,A322))</f>
        <v>0.0</v>
      </c>
    </row>
    <row r="323">
      <c r="A323" s="59" t="str">
        <f>IF(Q323="","",p_pdv&amp;"-"&amp;P323&amp;"-"&amp;RIGHT("000"&amp;Q323,4))</f>
        <v/>
      </c>
      <c r="B323" s="61" t="n"/>
      <c r="C323" s="60" t="n"/>
      <c r="D323" s="62" t="str">
        <f>IF(C323="","",IFERROR(INDEX(cli_name,MATCH(C323,cli_code,0))&amp;"","Client inconnu"))</f>
        <v/>
      </c>
      <c r="E323" s="63" t="n"/>
      <c r="F323" s="61" t="n"/>
      <c r="G323" s="60" t="n"/>
      <c r="H323" s="64" t="str">
        <f>IF(A323="","",IF(ISNUMBER(F323),F323,O323+N(p_validity)))</f>
        <v/>
      </c>
      <c r="I323" s="65" t="str">
        <f>IF(A323="","",SUMIF(dl_doc,A323,dl_ht))</f>
        <v/>
      </c>
      <c r="J323" s="65" t="str">
        <f>IF(A323="","",IF(INDEX(p_rates,1)="",0,ROUND(SUMIFS(dl_ht,dl_doc,A323,dl_rate,INDEX(p_rates,1))*INDEX(p_rates,1),2))+IF(INDEX(p_rates,2)="",0,ROUND(SUMIFS(dl_ht,dl_doc,A323,dl_rate,INDEX(p_rates,2))*INDEX(p_rates,2),2))+IF(INDEX(p_rates,3)="",0,ROUND(SUMIFS(dl_ht,dl_doc,A323,dl_rate,INDEX(p_rates,3))*INDEX(p_rates,3),2))+IF(INDEX(p_rates,4)="",0,ROUND(SUMIFS(dl_ht,dl_doc,A323,dl_rate,INDEX(p_rates,4))*INDEX(p_rates,4),2))+IF(INDEX(p_rates,5)="",0,ROUND(SUMIFS(dl_ht,dl_doc,A323,dl_rate,INDEX(p_rates,5))*INDEX(p_rates,5),2))+IF(INDEX(p_rates,6)="",0,ROUND(SUMIFS(dl_ht,dl_doc,A323,dl_rate,INDEX(p_rates,6))*INDEX(p_rates,6),2)))</f>
        <v/>
      </c>
      <c r="K323" s="65" t="str">
        <f>IF(A323="","",I323+J323)</f>
        <v/>
      </c>
      <c r="L323" s="59" t="str">
        <f>IF(A323="","",IFERROR(INDEX(fa_num,MATCH(A323,fa_dvkey,0))&amp;"",""))</f>
        <v/>
      </c>
      <c r="M323" s="59" t="str">
        <f>IF(A323="","",IF(G323="Annulé","Annulé",IF(L323&lt;&gt;"","Facturé",IF(G323="Accepté","Accepté",IF(G323="Refusé","Refusé",IF(p_asof&gt;H323,"Expiré","En attente"))))))</f>
        <v/>
      </c>
      <c r="N323" s="59" t="str">
        <f>IF(COUNTA(B323:C323,E323:G323)=0,"",IF(B323="","Date manquante",IF(NOT(ISNUMBER(B323)),"Date invalide",IF(C323="","Client manquant",IF(ISNA(MATCH(C323,cli_code,0)),"Client inconnu",IF(O323&lt;MAX($O$6:O322),"Date antérieure au devis précédent",IF(AND(ISNUMBER(F323),F323&lt;O323),"Validité antérieure à la date du devis",IF(AND(R323=0,G323&lt;&gt;"Annulé"),"Aucune ligne (feuille Lignes de devis)",IF(COUNTIFS(dl_doc,A323,dl_check,"&lt;&gt;OK")&gt;0,"Ligne(s) à corriger",IF(AND(L323&lt;&gt;"",OR(G323="Refusé",G323="Annulé")),"Devis refusé ou annulé mais facturé","OK"))))))))))</f>
        <v/>
      </c>
      <c r="O323" s="62">
        <f>IF(ISNUMBER(B323),B323,0)</f>
        <v>0.0</v>
      </c>
      <c r="P323" s="62" t="str">
        <f>IF(O323=0,"",YEAR(O323))</f>
        <v/>
      </c>
      <c r="Q323" s="62" t="str">
        <f>IF(P323="","",COUNTIF($P$6:P323,P323))</f>
        <v/>
      </c>
      <c r="R323" s="62">
        <f>IF(A323="",0,COUNTIF(dl_doc,A323))</f>
        <v>0.0</v>
      </c>
    </row>
    <row r="324">
      <c r="A324" s="59" t="str">
        <f>IF(Q324="","",p_pdv&amp;"-"&amp;P324&amp;"-"&amp;RIGHT("000"&amp;Q324,4))</f>
        <v/>
      </c>
      <c r="B324" s="61" t="n"/>
      <c r="C324" s="60" t="n"/>
      <c r="D324" s="62" t="str">
        <f>IF(C324="","",IFERROR(INDEX(cli_name,MATCH(C324,cli_code,0))&amp;"","Client inconnu"))</f>
        <v/>
      </c>
      <c r="E324" s="63" t="n"/>
      <c r="F324" s="61" t="n"/>
      <c r="G324" s="60" t="n"/>
      <c r="H324" s="64" t="str">
        <f>IF(A324="","",IF(ISNUMBER(F324),F324,O324+N(p_validity)))</f>
        <v/>
      </c>
      <c r="I324" s="65" t="str">
        <f>IF(A324="","",SUMIF(dl_doc,A324,dl_ht))</f>
        <v/>
      </c>
      <c r="J324" s="65" t="str">
        <f>IF(A324="","",IF(INDEX(p_rates,1)="",0,ROUND(SUMIFS(dl_ht,dl_doc,A324,dl_rate,INDEX(p_rates,1))*INDEX(p_rates,1),2))+IF(INDEX(p_rates,2)="",0,ROUND(SUMIFS(dl_ht,dl_doc,A324,dl_rate,INDEX(p_rates,2))*INDEX(p_rates,2),2))+IF(INDEX(p_rates,3)="",0,ROUND(SUMIFS(dl_ht,dl_doc,A324,dl_rate,INDEX(p_rates,3))*INDEX(p_rates,3),2))+IF(INDEX(p_rates,4)="",0,ROUND(SUMIFS(dl_ht,dl_doc,A324,dl_rate,INDEX(p_rates,4))*INDEX(p_rates,4),2))+IF(INDEX(p_rates,5)="",0,ROUND(SUMIFS(dl_ht,dl_doc,A324,dl_rate,INDEX(p_rates,5))*INDEX(p_rates,5),2))+IF(INDEX(p_rates,6)="",0,ROUND(SUMIFS(dl_ht,dl_doc,A324,dl_rate,INDEX(p_rates,6))*INDEX(p_rates,6),2)))</f>
        <v/>
      </c>
      <c r="K324" s="65" t="str">
        <f>IF(A324="","",I324+J324)</f>
        <v/>
      </c>
      <c r="L324" s="59" t="str">
        <f>IF(A324="","",IFERROR(INDEX(fa_num,MATCH(A324,fa_dvkey,0))&amp;"",""))</f>
        <v/>
      </c>
      <c r="M324" s="59" t="str">
        <f>IF(A324="","",IF(G324="Annulé","Annulé",IF(L324&lt;&gt;"","Facturé",IF(G324="Accepté","Accepté",IF(G324="Refusé","Refusé",IF(p_asof&gt;H324,"Expiré","En attente"))))))</f>
        <v/>
      </c>
      <c r="N324" s="59" t="str">
        <f>IF(COUNTA(B324:C324,E324:G324)=0,"",IF(B324="","Date manquante",IF(NOT(ISNUMBER(B324)),"Date invalide",IF(C324="","Client manquant",IF(ISNA(MATCH(C324,cli_code,0)),"Client inconnu",IF(O324&lt;MAX($O$6:O323),"Date antérieure au devis précédent",IF(AND(ISNUMBER(F324),F324&lt;O324),"Validité antérieure à la date du devis",IF(AND(R324=0,G324&lt;&gt;"Annulé"),"Aucune ligne (feuille Lignes de devis)",IF(COUNTIFS(dl_doc,A324,dl_check,"&lt;&gt;OK")&gt;0,"Ligne(s) à corriger",IF(AND(L324&lt;&gt;"",OR(G324="Refusé",G324="Annulé")),"Devis refusé ou annulé mais facturé","OK"))))))))))</f>
        <v/>
      </c>
      <c r="O324" s="62">
        <f>IF(ISNUMBER(B324),B324,0)</f>
        <v>0.0</v>
      </c>
      <c r="P324" s="62" t="str">
        <f>IF(O324=0,"",YEAR(O324))</f>
        <v/>
      </c>
      <c r="Q324" s="62" t="str">
        <f>IF(P324="","",COUNTIF($P$6:P324,P324))</f>
        <v/>
      </c>
      <c r="R324" s="62">
        <f>IF(A324="",0,COUNTIF(dl_doc,A324))</f>
        <v>0.0</v>
      </c>
    </row>
    <row r="325">
      <c r="A325" s="59" t="str">
        <f>IF(Q325="","",p_pdv&amp;"-"&amp;P325&amp;"-"&amp;RIGHT("000"&amp;Q325,4))</f>
        <v/>
      </c>
      <c r="B325" s="61" t="n"/>
      <c r="C325" s="60" t="n"/>
      <c r="D325" s="62" t="str">
        <f>IF(C325="","",IFERROR(INDEX(cli_name,MATCH(C325,cli_code,0))&amp;"","Client inconnu"))</f>
        <v/>
      </c>
      <c r="E325" s="63" t="n"/>
      <c r="F325" s="61" t="n"/>
      <c r="G325" s="60" t="n"/>
      <c r="H325" s="64" t="str">
        <f>IF(A325="","",IF(ISNUMBER(F325),F325,O325+N(p_validity)))</f>
        <v/>
      </c>
      <c r="I325" s="65" t="str">
        <f>IF(A325="","",SUMIF(dl_doc,A325,dl_ht))</f>
        <v/>
      </c>
      <c r="J325" s="65" t="str">
        <f>IF(A325="","",IF(INDEX(p_rates,1)="",0,ROUND(SUMIFS(dl_ht,dl_doc,A325,dl_rate,INDEX(p_rates,1))*INDEX(p_rates,1),2))+IF(INDEX(p_rates,2)="",0,ROUND(SUMIFS(dl_ht,dl_doc,A325,dl_rate,INDEX(p_rates,2))*INDEX(p_rates,2),2))+IF(INDEX(p_rates,3)="",0,ROUND(SUMIFS(dl_ht,dl_doc,A325,dl_rate,INDEX(p_rates,3))*INDEX(p_rates,3),2))+IF(INDEX(p_rates,4)="",0,ROUND(SUMIFS(dl_ht,dl_doc,A325,dl_rate,INDEX(p_rates,4))*INDEX(p_rates,4),2))+IF(INDEX(p_rates,5)="",0,ROUND(SUMIFS(dl_ht,dl_doc,A325,dl_rate,INDEX(p_rates,5))*INDEX(p_rates,5),2))+IF(INDEX(p_rates,6)="",0,ROUND(SUMIFS(dl_ht,dl_doc,A325,dl_rate,INDEX(p_rates,6))*INDEX(p_rates,6),2)))</f>
        <v/>
      </c>
      <c r="K325" s="65" t="str">
        <f>IF(A325="","",I325+J325)</f>
        <v/>
      </c>
      <c r="L325" s="59" t="str">
        <f>IF(A325="","",IFERROR(INDEX(fa_num,MATCH(A325,fa_dvkey,0))&amp;"",""))</f>
        <v/>
      </c>
      <c r="M325" s="59" t="str">
        <f>IF(A325="","",IF(G325="Annulé","Annulé",IF(L325&lt;&gt;"","Facturé",IF(G325="Accepté","Accepté",IF(G325="Refusé","Refusé",IF(p_asof&gt;H325,"Expiré","En attente"))))))</f>
        <v/>
      </c>
      <c r="N325" s="59" t="str">
        <f>IF(COUNTA(B325:C325,E325:G325)=0,"",IF(B325="","Date manquante",IF(NOT(ISNUMBER(B325)),"Date invalide",IF(C325="","Client manquant",IF(ISNA(MATCH(C325,cli_code,0)),"Client inconnu",IF(O325&lt;MAX($O$6:O324),"Date antérieure au devis précédent",IF(AND(ISNUMBER(F325),F325&lt;O325),"Validité antérieure à la date du devis",IF(AND(R325=0,G325&lt;&gt;"Annulé"),"Aucune ligne (feuille Lignes de devis)",IF(COUNTIFS(dl_doc,A325,dl_check,"&lt;&gt;OK")&gt;0,"Ligne(s) à corriger",IF(AND(L325&lt;&gt;"",OR(G325="Refusé",G325="Annulé")),"Devis refusé ou annulé mais facturé","OK"))))))))))</f>
        <v/>
      </c>
      <c r="O325" s="62">
        <f>IF(ISNUMBER(B325),B325,0)</f>
        <v>0.0</v>
      </c>
      <c r="P325" s="62" t="str">
        <f>IF(O325=0,"",YEAR(O325))</f>
        <v/>
      </c>
      <c r="Q325" s="62" t="str">
        <f>IF(P325="","",COUNTIF($P$6:P325,P325))</f>
        <v/>
      </c>
      <c r="R325" s="62">
        <f>IF(A325="",0,COUNTIF(dl_doc,A325))</f>
        <v>0.0</v>
      </c>
    </row>
    <row r="326">
      <c r="A326" s="59" t="str">
        <f>IF(Q326="","",p_pdv&amp;"-"&amp;P326&amp;"-"&amp;RIGHT("000"&amp;Q326,4))</f>
        <v/>
      </c>
      <c r="B326" s="61" t="n"/>
      <c r="C326" s="60" t="n"/>
      <c r="D326" s="62" t="str">
        <f>IF(C326="","",IFERROR(INDEX(cli_name,MATCH(C326,cli_code,0))&amp;"","Client inconnu"))</f>
        <v/>
      </c>
      <c r="E326" s="63" t="n"/>
      <c r="F326" s="61" t="n"/>
      <c r="G326" s="60" t="n"/>
      <c r="H326" s="64" t="str">
        <f>IF(A326="","",IF(ISNUMBER(F326),F326,O326+N(p_validity)))</f>
        <v/>
      </c>
      <c r="I326" s="65" t="str">
        <f>IF(A326="","",SUMIF(dl_doc,A326,dl_ht))</f>
        <v/>
      </c>
      <c r="J326" s="65" t="str">
        <f>IF(A326="","",IF(INDEX(p_rates,1)="",0,ROUND(SUMIFS(dl_ht,dl_doc,A326,dl_rate,INDEX(p_rates,1))*INDEX(p_rates,1),2))+IF(INDEX(p_rates,2)="",0,ROUND(SUMIFS(dl_ht,dl_doc,A326,dl_rate,INDEX(p_rates,2))*INDEX(p_rates,2),2))+IF(INDEX(p_rates,3)="",0,ROUND(SUMIFS(dl_ht,dl_doc,A326,dl_rate,INDEX(p_rates,3))*INDEX(p_rates,3),2))+IF(INDEX(p_rates,4)="",0,ROUND(SUMIFS(dl_ht,dl_doc,A326,dl_rate,INDEX(p_rates,4))*INDEX(p_rates,4),2))+IF(INDEX(p_rates,5)="",0,ROUND(SUMIFS(dl_ht,dl_doc,A326,dl_rate,INDEX(p_rates,5))*INDEX(p_rates,5),2))+IF(INDEX(p_rates,6)="",0,ROUND(SUMIFS(dl_ht,dl_doc,A326,dl_rate,INDEX(p_rates,6))*INDEX(p_rates,6),2)))</f>
        <v/>
      </c>
      <c r="K326" s="65" t="str">
        <f>IF(A326="","",I326+J326)</f>
        <v/>
      </c>
      <c r="L326" s="59" t="str">
        <f>IF(A326="","",IFERROR(INDEX(fa_num,MATCH(A326,fa_dvkey,0))&amp;"",""))</f>
        <v/>
      </c>
      <c r="M326" s="59" t="str">
        <f>IF(A326="","",IF(G326="Annulé","Annulé",IF(L326&lt;&gt;"","Facturé",IF(G326="Accepté","Accepté",IF(G326="Refusé","Refusé",IF(p_asof&gt;H326,"Expiré","En attente"))))))</f>
        <v/>
      </c>
      <c r="N326" s="59" t="str">
        <f>IF(COUNTA(B326:C326,E326:G326)=0,"",IF(B326="","Date manquante",IF(NOT(ISNUMBER(B326)),"Date invalide",IF(C326="","Client manquant",IF(ISNA(MATCH(C326,cli_code,0)),"Client inconnu",IF(O326&lt;MAX($O$6:O325),"Date antérieure au devis précédent",IF(AND(ISNUMBER(F326),F326&lt;O326),"Validité antérieure à la date du devis",IF(AND(R326=0,G326&lt;&gt;"Annulé"),"Aucune ligne (feuille Lignes de devis)",IF(COUNTIFS(dl_doc,A326,dl_check,"&lt;&gt;OK")&gt;0,"Ligne(s) à corriger",IF(AND(L326&lt;&gt;"",OR(G326="Refusé",G326="Annulé")),"Devis refusé ou annulé mais facturé","OK"))))))))))</f>
        <v/>
      </c>
      <c r="O326" s="62">
        <f>IF(ISNUMBER(B326),B326,0)</f>
        <v>0.0</v>
      </c>
      <c r="P326" s="62" t="str">
        <f>IF(O326=0,"",YEAR(O326))</f>
        <v/>
      </c>
      <c r="Q326" s="62" t="str">
        <f>IF(P326="","",COUNTIF($P$6:P326,P326))</f>
        <v/>
      </c>
      <c r="R326" s="62">
        <f>IF(A326="",0,COUNTIF(dl_doc,A326))</f>
        <v>0.0</v>
      </c>
    </row>
    <row r="327">
      <c r="A327" s="59" t="str">
        <f>IF(Q327="","",p_pdv&amp;"-"&amp;P327&amp;"-"&amp;RIGHT("000"&amp;Q327,4))</f>
        <v/>
      </c>
      <c r="B327" s="61" t="n"/>
      <c r="C327" s="60" t="n"/>
      <c r="D327" s="62" t="str">
        <f>IF(C327="","",IFERROR(INDEX(cli_name,MATCH(C327,cli_code,0))&amp;"","Client inconnu"))</f>
        <v/>
      </c>
      <c r="E327" s="63" t="n"/>
      <c r="F327" s="61" t="n"/>
      <c r="G327" s="60" t="n"/>
      <c r="H327" s="64" t="str">
        <f>IF(A327="","",IF(ISNUMBER(F327),F327,O327+N(p_validity)))</f>
        <v/>
      </c>
      <c r="I327" s="65" t="str">
        <f>IF(A327="","",SUMIF(dl_doc,A327,dl_ht))</f>
        <v/>
      </c>
      <c r="J327" s="65" t="str">
        <f>IF(A327="","",IF(INDEX(p_rates,1)="",0,ROUND(SUMIFS(dl_ht,dl_doc,A327,dl_rate,INDEX(p_rates,1))*INDEX(p_rates,1),2))+IF(INDEX(p_rates,2)="",0,ROUND(SUMIFS(dl_ht,dl_doc,A327,dl_rate,INDEX(p_rates,2))*INDEX(p_rates,2),2))+IF(INDEX(p_rates,3)="",0,ROUND(SUMIFS(dl_ht,dl_doc,A327,dl_rate,INDEX(p_rates,3))*INDEX(p_rates,3),2))+IF(INDEX(p_rates,4)="",0,ROUND(SUMIFS(dl_ht,dl_doc,A327,dl_rate,INDEX(p_rates,4))*INDEX(p_rates,4),2))+IF(INDEX(p_rates,5)="",0,ROUND(SUMIFS(dl_ht,dl_doc,A327,dl_rate,INDEX(p_rates,5))*INDEX(p_rates,5),2))+IF(INDEX(p_rates,6)="",0,ROUND(SUMIFS(dl_ht,dl_doc,A327,dl_rate,INDEX(p_rates,6))*INDEX(p_rates,6),2)))</f>
        <v/>
      </c>
      <c r="K327" s="65" t="str">
        <f>IF(A327="","",I327+J327)</f>
        <v/>
      </c>
      <c r="L327" s="59" t="str">
        <f>IF(A327="","",IFERROR(INDEX(fa_num,MATCH(A327,fa_dvkey,0))&amp;"",""))</f>
        <v/>
      </c>
      <c r="M327" s="59" t="str">
        <f>IF(A327="","",IF(G327="Annulé","Annulé",IF(L327&lt;&gt;"","Facturé",IF(G327="Accepté","Accepté",IF(G327="Refusé","Refusé",IF(p_asof&gt;H327,"Expiré","En attente"))))))</f>
        <v/>
      </c>
      <c r="N327" s="59" t="str">
        <f>IF(COUNTA(B327:C327,E327:G327)=0,"",IF(B327="","Date manquante",IF(NOT(ISNUMBER(B327)),"Date invalide",IF(C327="","Client manquant",IF(ISNA(MATCH(C327,cli_code,0)),"Client inconnu",IF(O327&lt;MAX($O$6:O326),"Date antérieure au devis précédent",IF(AND(ISNUMBER(F327),F327&lt;O327),"Validité antérieure à la date du devis",IF(AND(R327=0,G327&lt;&gt;"Annulé"),"Aucune ligne (feuille Lignes de devis)",IF(COUNTIFS(dl_doc,A327,dl_check,"&lt;&gt;OK")&gt;0,"Ligne(s) à corriger",IF(AND(L327&lt;&gt;"",OR(G327="Refusé",G327="Annulé")),"Devis refusé ou annulé mais facturé","OK"))))))))))</f>
        <v/>
      </c>
      <c r="O327" s="62">
        <f>IF(ISNUMBER(B327),B327,0)</f>
        <v>0.0</v>
      </c>
      <c r="P327" s="62" t="str">
        <f>IF(O327=0,"",YEAR(O327))</f>
        <v/>
      </c>
      <c r="Q327" s="62" t="str">
        <f>IF(P327="","",COUNTIF($P$6:P327,P327))</f>
        <v/>
      </c>
      <c r="R327" s="62">
        <f>IF(A327="",0,COUNTIF(dl_doc,A327))</f>
        <v>0.0</v>
      </c>
    </row>
    <row r="328">
      <c r="A328" s="59" t="str">
        <f>IF(Q328="","",p_pdv&amp;"-"&amp;P328&amp;"-"&amp;RIGHT("000"&amp;Q328,4))</f>
        <v/>
      </c>
      <c r="B328" s="61" t="n"/>
      <c r="C328" s="60" t="n"/>
      <c r="D328" s="62" t="str">
        <f>IF(C328="","",IFERROR(INDEX(cli_name,MATCH(C328,cli_code,0))&amp;"","Client inconnu"))</f>
        <v/>
      </c>
      <c r="E328" s="63" t="n"/>
      <c r="F328" s="61" t="n"/>
      <c r="G328" s="60" t="n"/>
      <c r="H328" s="64" t="str">
        <f>IF(A328="","",IF(ISNUMBER(F328),F328,O328+N(p_validity)))</f>
        <v/>
      </c>
      <c r="I328" s="65" t="str">
        <f>IF(A328="","",SUMIF(dl_doc,A328,dl_ht))</f>
        <v/>
      </c>
      <c r="J328" s="65" t="str">
        <f>IF(A328="","",IF(INDEX(p_rates,1)="",0,ROUND(SUMIFS(dl_ht,dl_doc,A328,dl_rate,INDEX(p_rates,1))*INDEX(p_rates,1),2))+IF(INDEX(p_rates,2)="",0,ROUND(SUMIFS(dl_ht,dl_doc,A328,dl_rate,INDEX(p_rates,2))*INDEX(p_rates,2),2))+IF(INDEX(p_rates,3)="",0,ROUND(SUMIFS(dl_ht,dl_doc,A328,dl_rate,INDEX(p_rates,3))*INDEX(p_rates,3),2))+IF(INDEX(p_rates,4)="",0,ROUND(SUMIFS(dl_ht,dl_doc,A328,dl_rate,INDEX(p_rates,4))*INDEX(p_rates,4),2))+IF(INDEX(p_rates,5)="",0,ROUND(SUMIFS(dl_ht,dl_doc,A328,dl_rate,INDEX(p_rates,5))*INDEX(p_rates,5),2))+IF(INDEX(p_rates,6)="",0,ROUND(SUMIFS(dl_ht,dl_doc,A328,dl_rate,INDEX(p_rates,6))*INDEX(p_rates,6),2)))</f>
        <v/>
      </c>
      <c r="K328" s="65" t="str">
        <f>IF(A328="","",I328+J328)</f>
        <v/>
      </c>
      <c r="L328" s="59" t="str">
        <f>IF(A328="","",IFERROR(INDEX(fa_num,MATCH(A328,fa_dvkey,0))&amp;"",""))</f>
        <v/>
      </c>
      <c r="M328" s="59" t="str">
        <f>IF(A328="","",IF(G328="Annulé","Annulé",IF(L328&lt;&gt;"","Facturé",IF(G328="Accepté","Accepté",IF(G328="Refusé","Refusé",IF(p_asof&gt;H328,"Expiré","En attente"))))))</f>
        <v/>
      </c>
      <c r="N328" s="59" t="str">
        <f>IF(COUNTA(B328:C328,E328:G328)=0,"",IF(B328="","Date manquante",IF(NOT(ISNUMBER(B328)),"Date invalide",IF(C328="","Client manquant",IF(ISNA(MATCH(C328,cli_code,0)),"Client inconnu",IF(O328&lt;MAX($O$6:O327),"Date antérieure au devis précédent",IF(AND(ISNUMBER(F328),F328&lt;O328),"Validité antérieure à la date du devis",IF(AND(R328=0,G328&lt;&gt;"Annulé"),"Aucune ligne (feuille Lignes de devis)",IF(COUNTIFS(dl_doc,A328,dl_check,"&lt;&gt;OK")&gt;0,"Ligne(s) à corriger",IF(AND(L328&lt;&gt;"",OR(G328="Refusé",G328="Annulé")),"Devis refusé ou annulé mais facturé","OK"))))))))))</f>
        <v/>
      </c>
      <c r="O328" s="62">
        <f>IF(ISNUMBER(B328),B328,0)</f>
        <v>0.0</v>
      </c>
      <c r="P328" s="62" t="str">
        <f>IF(O328=0,"",YEAR(O328))</f>
        <v/>
      </c>
      <c r="Q328" s="62" t="str">
        <f>IF(P328="","",COUNTIF($P$6:P328,P328))</f>
        <v/>
      </c>
      <c r="R328" s="62">
        <f>IF(A328="",0,COUNTIF(dl_doc,A328))</f>
        <v>0.0</v>
      </c>
    </row>
    <row r="329">
      <c r="A329" s="59" t="str">
        <f>IF(Q329="","",p_pdv&amp;"-"&amp;P329&amp;"-"&amp;RIGHT("000"&amp;Q329,4))</f>
        <v/>
      </c>
      <c r="B329" s="61" t="n"/>
      <c r="C329" s="60" t="n"/>
      <c r="D329" s="62" t="str">
        <f>IF(C329="","",IFERROR(INDEX(cli_name,MATCH(C329,cli_code,0))&amp;"","Client inconnu"))</f>
        <v/>
      </c>
      <c r="E329" s="63" t="n"/>
      <c r="F329" s="61" t="n"/>
      <c r="G329" s="60" t="n"/>
      <c r="H329" s="64" t="str">
        <f>IF(A329="","",IF(ISNUMBER(F329),F329,O329+N(p_validity)))</f>
        <v/>
      </c>
      <c r="I329" s="65" t="str">
        <f>IF(A329="","",SUMIF(dl_doc,A329,dl_ht))</f>
        <v/>
      </c>
      <c r="J329" s="65" t="str">
        <f>IF(A329="","",IF(INDEX(p_rates,1)="",0,ROUND(SUMIFS(dl_ht,dl_doc,A329,dl_rate,INDEX(p_rates,1))*INDEX(p_rates,1),2))+IF(INDEX(p_rates,2)="",0,ROUND(SUMIFS(dl_ht,dl_doc,A329,dl_rate,INDEX(p_rates,2))*INDEX(p_rates,2),2))+IF(INDEX(p_rates,3)="",0,ROUND(SUMIFS(dl_ht,dl_doc,A329,dl_rate,INDEX(p_rates,3))*INDEX(p_rates,3),2))+IF(INDEX(p_rates,4)="",0,ROUND(SUMIFS(dl_ht,dl_doc,A329,dl_rate,INDEX(p_rates,4))*INDEX(p_rates,4),2))+IF(INDEX(p_rates,5)="",0,ROUND(SUMIFS(dl_ht,dl_doc,A329,dl_rate,INDEX(p_rates,5))*INDEX(p_rates,5),2))+IF(INDEX(p_rates,6)="",0,ROUND(SUMIFS(dl_ht,dl_doc,A329,dl_rate,INDEX(p_rates,6))*INDEX(p_rates,6),2)))</f>
        <v/>
      </c>
      <c r="K329" s="65" t="str">
        <f>IF(A329="","",I329+J329)</f>
        <v/>
      </c>
      <c r="L329" s="59" t="str">
        <f>IF(A329="","",IFERROR(INDEX(fa_num,MATCH(A329,fa_dvkey,0))&amp;"",""))</f>
        <v/>
      </c>
      <c r="M329" s="59" t="str">
        <f>IF(A329="","",IF(G329="Annulé","Annulé",IF(L329&lt;&gt;"","Facturé",IF(G329="Accepté","Accepté",IF(G329="Refusé","Refusé",IF(p_asof&gt;H329,"Expiré","En attente"))))))</f>
        <v/>
      </c>
      <c r="N329" s="59" t="str">
        <f>IF(COUNTA(B329:C329,E329:G329)=0,"",IF(B329="","Date manquante",IF(NOT(ISNUMBER(B329)),"Date invalide",IF(C329="","Client manquant",IF(ISNA(MATCH(C329,cli_code,0)),"Client inconnu",IF(O329&lt;MAX($O$6:O328),"Date antérieure au devis précédent",IF(AND(ISNUMBER(F329),F329&lt;O329),"Validité antérieure à la date du devis",IF(AND(R329=0,G329&lt;&gt;"Annulé"),"Aucune ligne (feuille Lignes de devis)",IF(COUNTIFS(dl_doc,A329,dl_check,"&lt;&gt;OK")&gt;0,"Ligne(s) à corriger",IF(AND(L329&lt;&gt;"",OR(G329="Refusé",G329="Annulé")),"Devis refusé ou annulé mais facturé","OK"))))))))))</f>
        <v/>
      </c>
      <c r="O329" s="62">
        <f>IF(ISNUMBER(B329),B329,0)</f>
        <v>0.0</v>
      </c>
      <c r="P329" s="62" t="str">
        <f>IF(O329=0,"",YEAR(O329))</f>
        <v/>
      </c>
      <c r="Q329" s="62" t="str">
        <f>IF(P329="","",COUNTIF($P$6:P329,P329))</f>
        <v/>
      </c>
      <c r="R329" s="62">
        <f>IF(A329="",0,COUNTIF(dl_doc,A329))</f>
        <v>0.0</v>
      </c>
    </row>
    <row r="330">
      <c r="A330" s="59" t="str">
        <f>IF(Q330="","",p_pdv&amp;"-"&amp;P330&amp;"-"&amp;RIGHT("000"&amp;Q330,4))</f>
        <v/>
      </c>
      <c r="B330" s="61" t="n"/>
      <c r="C330" s="60" t="n"/>
      <c r="D330" s="62" t="str">
        <f>IF(C330="","",IFERROR(INDEX(cli_name,MATCH(C330,cli_code,0))&amp;"","Client inconnu"))</f>
        <v/>
      </c>
      <c r="E330" s="63" t="n"/>
      <c r="F330" s="61" t="n"/>
      <c r="G330" s="60" t="n"/>
      <c r="H330" s="64" t="str">
        <f>IF(A330="","",IF(ISNUMBER(F330),F330,O330+N(p_validity)))</f>
        <v/>
      </c>
      <c r="I330" s="65" t="str">
        <f>IF(A330="","",SUMIF(dl_doc,A330,dl_ht))</f>
        <v/>
      </c>
      <c r="J330" s="65" t="str">
        <f>IF(A330="","",IF(INDEX(p_rates,1)="",0,ROUND(SUMIFS(dl_ht,dl_doc,A330,dl_rate,INDEX(p_rates,1))*INDEX(p_rates,1),2))+IF(INDEX(p_rates,2)="",0,ROUND(SUMIFS(dl_ht,dl_doc,A330,dl_rate,INDEX(p_rates,2))*INDEX(p_rates,2),2))+IF(INDEX(p_rates,3)="",0,ROUND(SUMIFS(dl_ht,dl_doc,A330,dl_rate,INDEX(p_rates,3))*INDEX(p_rates,3),2))+IF(INDEX(p_rates,4)="",0,ROUND(SUMIFS(dl_ht,dl_doc,A330,dl_rate,INDEX(p_rates,4))*INDEX(p_rates,4),2))+IF(INDEX(p_rates,5)="",0,ROUND(SUMIFS(dl_ht,dl_doc,A330,dl_rate,INDEX(p_rates,5))*INDEX(p_rates,5),2))+IF(INDEX(p_rates,6)="",0,ROUND(SUMIFS(dl_ht,dl_doc,A330,dl_rate,INDEX(p_rates,6))*INDEX(p_rates,6),2)))</f>
        <v/>
      </c>
      <c r="K330" s="65" t="str">
        <f>IF(A330="","",I330+J330)</f>
        <v/>
      </c>
      <c r="L330" s="59" t="str">
        <f>IF(A330="","",IFERROR(INDEX(fa_num,MATCH(A330,fa_dvkey,0))&amp;"",""))</f>
        <v/>
      </c>
      <c r="M330" s="59" t="str">
        <f>IF(A330="","",IF(G330="Annulé","Annulé",IF(L330&lt;&gt;"","Facturé",IF(G330="Accepté","Accepté",IF(G330="Refusé","Refusé",IF(p_asof&gt;H330,"Expiré","En attente"))))))</f>
        <v/>
      </c>
      <c r="N330" s="59" t="str">
        <f>IF(COUNTA(B330:C330,E330:G330)=0,"",IF(B330="","Date manquante",IF(NOT(ISNUMBER(B330)),"Date invalide",IF(C330="","Client manquant",IF(ISNA(MATCH(C330,cli_code,0)),"Client inconnu",IF(O330&lt;MAX($O$6:O329),"Date antérieure au devis précédent",IF(AND(ISNUMBER(F330),F330&lt;O330),"Validité antérieure à la date du devis",IF(AND(R330=0,G330&lt;&gt;"Annulé"),"Aucune ligne (feuille Lignes de devis)",IF(COUNTIFS(dl_doc,A330,dl_check,"&lt;&gt;OK")&gt;0,"Ligne(s) à corriger",IF(AND(L330&lt;&gt;"",OR(G330="Refusé",G330="Annulé")),"Devis refusé ou annulé mais facturé","OK"))))))))))</f>
        <v/>
      </c>
      <c r="O330" s="62">
        <f>IF(ISNUMBER(B330),B330,0)</f>
        <v>0.0</v>
      </c>
      <c r="P330" s="62" t="str">
        <f>IF(O330=0,"",YEAR(O330))</f>
        <v/>
      </c>
      <c r="Q330" s="62" t="str">
        <f>IF(P330="","",COUNTIF($P$6:P330,P330))</f>
        <v/>
      </c>
      <c r="R330" s="62">
        <f>IF(A330="",0,COUNTIF(dl_doc,A330))</f>
        <v>0.0</v>
      </c>
    </row>
    <row r="331">
      <c r="A331" s="59" t="str">
        <f>IF(Q331="","",p_pdv&amp;"-"&amp;P331&amp;"-"&amp;RIGHT("000"&amp;Q331,4))</f>
        <v/>
      </c>
      <c r="B331" s="61" t="n"/>
      <c r="C331" s="60" t="n"/>
      <c r="D331" s="62" t="str">
        <f>IF(C331="","",IFERROR(INDEX(cli_name,MATCH(C331,cli_code,0))&amp;"","Client inconnu"))</f>
        <v/>
      </c>
      <c r="E331" s="63" t="n"/>
      <c r="F331" s="61" t="n"/>
      <c r="G331" s="60" t="n"/>
      <c r="H331" s="64" t="str">
        <f>IF(A331="","",IF(ISNUMBER(F331),F331,O331+N(p_validity)))</f>
        <v/>
      </c>
      <c r="I331" s="65" t="str">
        <f>IF(A331="","",SUMIF(dl_doc,A331,dl_ht))</f>
        <v/>
      </c>
      <c r="J331" s="65" t="str">
        <f>IF(A331="","",IF(INDEX(p_rates,1)="",0,ROUND(SUMIFS(dl_ht,dl_doc,A331,dl_rate,INDEX(p_rates,1))*INDEX(p_rates,1),2))+IF(INDEX(p_rates,2)="",0,ROUND(SUMIFS(dl_ht,dl_doc,A331,dl_rate,INDEX(p_rates,2))*INDEX(p_rates,2),2))+IF(INDEX(p_rates,3)="",0,ROUND(SUMIFS(dl_ht,dl_doc,A331,dl_rate,INDEX(p_rates,3))*INDEX(p_rates,3),2))+IF(INDEX(p_rates,4)="",0,ROUND(SUMIFS(dl_ht,dl_doc,A331,dl_rate,INDEX(p_rates,4))*INDEX(p_rates,4),2))+IF(INDEX(p_rates,5)="",0,ROUND(SUMIFS(dl_ht,dl_doc,A331,dl_rate,INDEX(p_rates,5))*INDEX(p_rates,5),2))+IF(INDEX(p_rates,6)="",0,ROUND(SUMIFS(dl_ht,dl_doc,A331,dl_rate,INDEX(p_rates,6))*INDEX(p_rates,6),2)))</f>
        <v/>
      </c>
      <c r="K331" s="65" t="str">
        <f>IF(A331="","",I331+J331)</f>
        <v/>
      </c>
      <c r="L331" s="59" t="str">
        <f>IF(A331="","",IFERROR(INDEX(fa_num,MATCH(A331,fa_dvkey,0))&amp;"",""))</f>
        <v/>
      </c>
      <c r="M331" s="59" t="str">
        <f>IF(A331="","",IF(G331="Annulé","Annulé",IF(L331&lt;&gt;"","Facturé",IF(G331="Accepté","Accepté",IF(G331="Refusé","Refusé",IF(p_asof&gt;H331,"Expiré","En attente"))))))</f>
        <v/>
      </c>
      <c r="N331" s="59" t="str">
        <f>IF(COUNTA(B331:C331,E331:G331)=0,"",IF(B331="","Date manquante",IF(NOT(ISNUMBER(B331)),"Date invalide",IF(C331="","Client manquant",IF(ISNA(MATCH(C331,cli_code,0)),"Client inconnu",IF(O331&lt;MAX($O$6:O330),"Date antérieure au devis précédent",IF(AND(ISNUMBER(F331),F331&lt;O331),"Validité antérieure à la date du devis",IF(AND(R331=0,G331&lt;&gt;"Annulé"),"Aucune ligne (feuille Lignes de devis)",IF(COUNTIFS(dl_doc,A331,dl_check,"&lt;&gt;OK")&gt;0,"Ligne(s) à corriger",IF(AND(L331&lt;&gt;"",OR(G331="Refusé",G331="Annulé")),"Devis refusé ou annulé mais facturé","OK"))))))))))</f>
        <v/>
      </c>
      <c r="O331" s="62">
        <f>IF(ISNUMBER(B331),B331,0)</f>
        <v>0.0</v>
      </c>
      <c r="P331" s="62" t="str">
        <f>IF(O331=0,"",YEAR(O331))</f>
        <v/>
      </c>
      <c r="Q331" s="62" t="str">
        <f>IF(P331="","",COUNTIF($P$6:P331,P331))</f>
        <v/>
      </c>
      <c r="R331" s="62">
        <f>IF(A331="",0,COUNTIF(dl_doc,A331))</f>
        <v>0.0</v>
      </c>
    </row>
    <row r="332">
      <c r="A332" s="59" t="str">
        <f>IF(Q332="","",p_pdv&amp;"-"&amp;P332&amp;"-"&amp;RIGHT("000"&amp;Q332,4))</f>
        <v/>
      </c>
      <c r="B332" s="61" t="n"/>
      <c r="C332" s="60" t="n"/>
      <c r="D332" s="62" t="str">
        <f>IF(C332="","",IFERROR(INDEX(cli_name,MATCH(C332,cli_code,0))&amp;"","Client inconnu"))</f>
        <v/>
      </c>
      <c r="E332" s="63" t="n"/>
      <c r="F332" s="61" t="n"/>
      <c r="G332" s="60" t="n"/>
      <c r="H332" s="64" t="str">
        <f>IF(A332="","",IF(ISNUMBER(F332),F332,O332+N(p_validity)))</f>
        <v/>
      </c>
      <c r="I332" s="65" t="str">
        <f>IF(A332="","",SUMIF(dl_doc,A332,dl_ht))</f>
        <v/>
      </c>
      <c r="J332" s="65" t="str">
        <f>IF(A332="","",IF(INDEX(p_rates,1)="",0,ROUND(SUMIFS(dl_ht,dl_doc,A332,dl_rate,INDEX(p_rates,1))*INDEX(p_rates,1),2))+IF(INDEX(p_rates,2)="",0,ROUND(SUMIFS(dl_ht,dl_doc,A332,dl_rate,INDEX(p_rates,2))*INDEX(p_rates,2),2))+IF(INDEX(p_rates,3)="",0,ROUND(SUMIFS(dl_ht,dl_doc,A332,dl_rate,INDEX(p_rates,3))*INDEX(p_rates,3),2))+IF(INDEX(p_rates,4)="",0,ROUND(SUMIFS(dl_ht,dl_doc,A332,dl_rate,INDEX(p_rates,4))*INDEX(p_rates,4),2))+IF(INDEX(p_rates,5)="",0,ROUND(SUMIFS(dl_ht,dl_doc,A332,dl_rate,INDEX(p_rates,5))*INDEX(p_rates,5),2))+IF(INDEX(p_rates,6)="",0,ROUND(SUMIFS(dl_ht,dl_doc,A332,dl_rate,INDEX(p_rates,6))*INDEX(p_rates,6),2)))</f>
        <v/>
      </c>
      <c r="K332" s="65" t="str">
        <f>IF(A332="","",I332+J332)</f>
        <v/>
      </c>
      <c r="L332" s="59" t="str">
        <f>IF(A332="","",IFERROR(INDEX(fa_num,MATCH(A332,fa_dvkey,0))&amp;"",""))</f>
        <v/>
      </c>
      <c r="M332" s="59" t="str">
        <f>IF(A332="","",IF(G332="Annulé","Annulé",IF(L332&lt;&gt;"","Facturé",IF(G332="Accepté","Accepté",IF(G332="Refusé","Refusé",IF(p_asof&gt;H332,"Expiré","En attente"))))))</f>
        <v/>
      </c>
      <c r="N332" s="59" t="str">
        <f>IF(COUNTA(B332:C332,E332:G332)=0,"",IF(B332="","Date manquante",IF(NOT(ISNUMBER(B332)),"Date invalide",IF(C332="","Client manquant",IF(ISNA(MATCH(C332,cli_code,0)),"Client inconnu",IF(O332&lt;MAX($O$6:O331),"Date antérieure au devis précédent",IF(AND(ISNUMBER(F332),F332&lt;O332),"Validité antérieure à la date du devis",IF(AND(R332=0,G332&lt;&gt;"Annulé"),"Aucune ligne (feuille Lignes de devis)",IF(COUNTIFS(dl_doc,A332,dl_check,"&lt;&gt;OK")&gt;0,"Ligne(s) à corriger",IF(AND(L332&lt;&gt;"",OR(G332="Refusé",G332="Annulé")),"Devis refusé ou annulé mais facturé","OK"))))))))))</f>
        <v/>
      </c>
      <c r="O332" s="62">
        <f>IF(ISNUMBER(B332),B332,0)</f>
        <v>0.0</v>
      </c>
      <c r="P332" s="62" t="str">
        <f>IF(O332=0,"",YEAR(O332))</f>
        <v/>
      </c>
      <c r="Q332" s="62" t="str">
        <f>IF(P332="","",COUNTIF($P$6:P332,P332))</f>
        <v/>
      </c>
      <c r="R332" s="62">
        <f>IF(A332="",0,COUNTIF(dl_doc,A332))</f>
        <v>0.0</v>
      </c>
    </row>
    <row r="333">
      <c r="A333" s="59" t="str">
        <f>IF(Q333="","",p_pdv&amp;"-"&amp;P333&amp;"-"&amp;RIGHT("000"&amp;Q333,4))</f>
        <v/>
      </c>
      <c r="B333" s="61" t="n"/>
      <c r="C333" s="60" t="n"/>
      <c r="D333" s="62" t="str">
        <f>IF(C333="","",IFERROR(INDEX(cli_name,MATCH(C333,cli_code,0))&amp;"","Client inconnu"))</f>
        <v/>
      </c>
      <c r="E333" s="63" t="n"/>
      <c r="F333" s="61" t="n"/>
      <c r="G333" s="60" t="n"/>
      <c r="H333" s="64" t="str">
        <f>IF(A333="","",IF(ISNUMBER(F333),F333,O333+N(p_validity)))</f>
        <v/>
      </c>
      <c r="I333" s="65" t="str">
        <f>IF(A333="","",SUMIF(dl_doc,A333,dl_ht))</f>
        <v/>
      </c>
      <c r="J333" s="65" t="str">
        <f>IF(A333="","",IF(INDEX(p_rates,1)="",0,ROUND(SUMIFS(dl_ht,dl_doc,A333,dl_rate,INDEX(p_rates,1))*INDEX(p_rates,1),2))+IF(INDEX(p_rates,2)="",0,ROUND(SUMIFS(dl_ht,dl_doc,A333,dl_rate,INDEX(p_rates,2))*INDEX(p_rates,2),2))+IF(INDEX(p_rates,3)="",0,ROUND(SUMIFS(dl_ht,dl_doc,A333,dl_rate,INDEX(p_rates,3))*INDEX(p_rates,3),2))+IF(INDEX(p_rates,4)="",0,ROUND(SUMIFS(dl_ht,dl_doc,A333,dl_rate,INDEX(p_rates,4))*INDEX(p_rates,4),2))+IF(INDEX(p_rates,5)="",0,ROUND(SUMIFS(dl_ht,dl_doc,A333,dl_rate,INDEX(p_rates,5))*INDEX(p_rates,5),2))+IF(INDEX(p_rates,6)="",0,ROUND(SUMIFS(dl_ht,dl_doc,A333,dl_rate,INDEX(p_rates,6))*INDEX(p_rates,6),2)))</f>
        <v/>
      </c>
      <c r="K333" s="65" t="str">
        <f>IF(A333="","",I333+J333)</f>
        <v/>
      </c>
      <c r="L333" s="59" t="str">
        <f>IF(A333="","",IFERROR(INDEX(fa_num,MATCH(A333,fa_dvkey,0))&amp;"",""))</f>
        <v/>
      </c>
      <c r="M333" s="59" t="str">
        <f>IF(A333="","",IF(G333="Annulé","Annulé",IF(L333&lt;&gt;"","Facturé",IF(G333="Accepté","Accepté",IF(G333="Refusé","Refusé",IF(p_asof&gt;H333,"Expiré","En attente"))))))</f>
        <v/>
      </c>
      <c r="N333" s="59" t="str">
        <f>IF(COUNTA(B333:C333,E333:G333)=0,"",IF(B333="","Date manquante",IF(NOT(ISNUMBER(B333)),"Date invalide",IF(C333="","Client manquant",IF(ISNA(MATCH(C333,cli_code,0)),"Client inconnu",IF(O333&lt;MAX($O$6:O332),"Date antérieure au devis précédent",IF(AND(ISNUMBER(F333),F333&lt;O333),"Validité antérieure à la date du devis",IF(AND(R333=0,G333&lt;&gt;"Annulé"),"Aucune ligne (feuille Lignes de devis)",IF(COUNTIFS(dl_doc,A333,dl_check,"&lt;&gt;OK")&gt;0,"Ligne(s) à corriger",IF(AND(L333&lt;&gt;"",OR(G333="Refusé",G333="Annulé")),"Devis refusé ou annulé mais facturé","OK"))))))))))</f>
        <v/>
      </c>
      <c r="O333" s="62">
        <f>IF(ISNUMBER(B333),B333,0)</f>
        <v>0.0</v>
      </c>
      <c r="P333" s="62" t="str">
        <f>IF(O333=0,"",YEAR(O333))</f>
        <v/>
      </c>
      <c r="Q333" s="62" t="str">
        <f>IF(P333="","",COUNTIF($P$6:P333,P333))</f>
        <v/>
      </c>
      <c r="R333" s="62">
        <f>IF(A333="",0,COUNTIF(dl_doc,A333))</f>
        <v>0.0</v>
      </c>
    </row>
    <row r="334">
      <c r="A334" s="59" t="str">
        <f>IF(Q334="","",p_pdv&amp;"-"&amp;P334&amp;"-"&amp;RIGHT("000"&amp;Q334,4))</f>
        <v/>
      </c>
      <c r="B334" s="61" t="n"/>
      <c r="C334" s="60" t="n"/>
      <c r="D334" s="62" t="str">
        <f>IF(C334="","",IFERROR(INDEX(cli_name,MATCH(C334,cli_code,0))&amp;"","Client inconnu"))</f>
        <v/>
      </c>
      <c r="E334" s="63" t="n"/>
      <c r="F334" s="61" t="n"/>
      <c r="G334" s="60" t="n"/>
      <c r="H334" s="64" t="str">
        <f>IF(A334="","",IF(ISNUMBER(F334),F334,O334+N(p_validity)))</f>
        <v/>
      </c>
      <c r="I334" s="65" t="str">
        <f>IF(A334="","",SUMIF(dl_doc,A334,dl_ht))</f>
        <v/>
      </c>
      <c r="J334" s="65" t="str">
        <f>IF(A334="","",IF(INDEX(p_rates,1)="",0,ROUND(SUMIFS(dl_ht,dl_doc,A334,dl_rate,INDEX(p_rates,1))*INDEX(p_rates,1),2))+IF(INDEX(p_rates,2)="",0,ROUND(SUMIFS(dl_ht,dl_doc,A334,dl_rate,INDEX(p_rates,2))*INDEX(p_rates,2),2))+IF(INDEX(p_rates,3)="",0,ROUND(SUMIFS(dl_ht,dl_doc,A334,dl_rate,INDEX(p_rates,3))*INDEX(p_rates,3),2))+IF(INDEX(p_rates,4)="",0,ROUND(SUMIFS(dl_ht,dl_doc,A334,dl_rate,INDEX(p_rates,4))*INDEX(p_rates,4),2))+IF(INDEX(p_rates,5)="",0,ROUND(SUMIFS(dl_ht,dl_doc,A334,dl_rate,INDEX(p_rates,5))*INDEX(p_rates,5),2))+IF(INDEX(p_rates,6)="",0,ROUND(SUMIFS(dl_ht,dl_doc,A334,dl_rate,INDEX(p_rates,6))*INDEX(p_rates,6),2)))</f>
        <v/>
      </c>
      <c r="K334" s="65" t="str">
        <f>IF(A334="","",I334+J334)</f>
        <v/>
      </c>
      <c r="L334" s="59" t="str">
        <f>IF(A334="","",IFERROR(INDEX(fa_num,MATCH(A334,fa_dvkey,0))&amp;"",""))</f>
        <v/>
      </c>
      <c r="M334" s="59" t="str">
        <f>IF(A334="","",IF(G334="Annulé","Annulé",IF(L334&lt;&gt;"","Facturé",IF(G334="Accepté","Accepté",IF(G334="Refusé","Refusé",IF(p_asof&gt;H334,"Expiré","En attente"))))))</f>
        <v/>
      </c>
      <c r="N334" s="59" t="str">
        <f>IF(COUNTA(B334:C334,E334:G334)=0,"",IF(B334="","Date manquante",IF(NOT(ISNUMBER(B334)),"Date invalide",IF(C334="","Client manquant",IF(ISNA(MATCH(C334,cli_code,0)),"Client inconnu",IF(O334&lt;MAX($O$6:O333),"Date antérieure au devis précédent",IF(AND(ISNUMBER(F334),F334&lt;O334),"Validité antérieure à la date du devis",IF(AND(R334=0,G334&lt;&gt;"Annulé"),"Aucune ligne (feuille Lignes de devis)",IF(COUNTIFS(dl_doc,A334,dl_check,"&lt;&gt;OK")&gt;0,"Ligne(s) à corriger",IF(AND(L334&lt;&gt;"",OR(G334="Refusé",G334="Annulé")),"Devis refusé ou annulé mais facturé","OK"))))))))))</f>
        <v/>
      </c>
      <c r="O334" s="62">
        <f>IF(ISNUMBER(B334),B334,0)</f>
        <v>0.0</v>
      </c>
      <c r="P334" s="62" t="str">
        <f>IF(O334=0,"",YEAR(O334))</f>
        <v/>
      </c>
      <c r="Q334" s="62" t="str">
        <f>IF(P334="","",COUNTIF($P$6:P334,P334))</f>
        <v/>
      </c>
      <c r="R334" s="62">
        <f>IF(A334="",0,COUNTIF(dl_doc,A334))</f>
        <v>0.0</v>
      </c>
    </row>
    <row r="335">
      <c r="A335" s="59" t="str">
        <f>IF(Q335="","",p_pdv&amp;"-"&amp;P335&amp;"-"&amp;RIGHT("000"&amp;Q335,4))</f>
        <v/>
      </c>
      <c r="B335" s="61" t="n"/>
      <c r="C335" s="60" t="n"/>
      <c r="D335" s="62" t="str">
        <f>IF(C335="","",IFERROR(INDEX(cli_name,MATCH(C335,cli_code,0))&amp;"","Client inconnu"))</f>
        <v/>
      </c>
      <c r="E335" s="63" t="n"/>
      <c r="F335" s="61" t="n"/>
      <c r="G335" s="60" t="n"/>
      <c r="H335" s="64" t="str">
        <f>IF(A335="","",IF(ISNUMBER(F335),F335,O335+N(p_validity)))</f>
        <v/>
      </c>
      <c r="I335" s="65" t="str">
        <f>IF(A335="","",SUMIF(dl_doc,A335,dl_ht))</f>
        <v/>
      </c>
      <c r="J335" s="65" t="str">
        <f>IF(A335="","",IF(INDEX(p_rates,1)="",0,ROUND(SUMIFS(dl_ht,dl_doc,A335,dl_rate,INDEX(p_rates,1))*INDEX(p_rates,1),2))+IF(INDEX(p_rates,2)="",0,ROUND(SUMIFS(dl_ht,dl_doc,A335,dl_rate,INDEX(p_rates,2))*INDEX(p_rates,2),2))+IF(INDEX(p_rates,3)="",0,ROUND(SUMIFS(dl_ht,dl_doc,A335,dl_rate,INDEX(p_rates,3))*INDEX(p_rates,3),2))+IF(INDEX(p_rates,4)="",0,ROUND(SUMIFS(dl_ht,dl_doc,A335,dl_rate,INDEX(p_rates,4))*INDEX(p_rates,4),2))+IF(INDEX(p_rates,5)="",0,ROUND(SUMIFS(dl_ht,dl_doc,A335,dl_rate,INDEX(p_rates,5))*INDEX(p_rates,5),2))+IF(INDEX(p_rates,6)="",0,ROUND(SUMIFS(dl_ht,dl_doc,A335,dl_rate,INDEX(p_rates,6))*INDEX(p_rates,6),2)))</f>
        <v/>
      </c>
      <c r="K335" s="65" t="str">
        <f>IF(A335="","",I335+J335)</f>
        <v/>
      </c>
      <c r="L335" s="59" t="str">
        <f>IF(A335="","",IFERROR(INDEX(fa_num,MATCH(A335,fa_dvkey,0))&amp;"",""))</f>
        <v/>
      </c>
      <c r="M335" s="59" t="str">
        <f>IF(A335="","",IF(G335="Annulé","Annulé",IF(L335&lt;&gt;"","Facturé",IF(G335="Accepté","Accepté",IF(G335="Refusé","Refusé",IF(p_asof&gt;H335,"Expiré","En attente"))))))</f>
        <v/>
      </c>
      <c r="N335" s="59" t="str">
        <f>IF(COUNTA(B335:C335,E335:G335)=0,"",IF(B335="","Date manquante",IF(NOT(ISNUMBER(B335)),"Date invalide",IF(C335="","Client manquant",IF(ISNA(MATCH(C335,cli_code,0)),"Client inconnu",IF(O335&lt;MAX($O$6:O334),"Date antérieure au devis précédent",IF(AND(ISNUMBER(F335),F335&lt;O335),"Validité antérieure à la date du devis",IF(AND(R335=0,G335&lt;&gt;"Annulé"),"Aucune ligne (feuille Lignes de devis)",IF(COUNTIFS(dl_doc,A335,dl_check,"&lt;&gt;OK")&gt;0,"Ligne(s) à corriger",IF(AND(L335&lt;&gt;"",OR(G335="Refusé",G335="Annulé")),"Devis refusé ou annulé mais facturé","OK"))))))))))</f>
        <v/>
      </c>
      <c r="O335" s="62">
        <f>IF(ISNUMBER(B335),B335,0)</f>
        <v>0.0</v>
      </c>
      <c r="P335" s="62" t="str">
        <f>IF(O335=0,"",YEAR(O335))</f>
        <v/>
      </c>
      <c r="Q335" s="62" t="str">
        <f>IF(P335="","",COUNTIF($P$6:P335,P335))</f>
        <v/>
      </c>
      <c r="R335" s="62">
        <f>IF(A335="",0,COUNTIF(dl_doc,A335))</f>
        <v>0.0</v>
      </c>
    </row>
    <row r="336">
      <c r="A336" s="59" t="str">
        <f>IF(Q336="","",p_pdv&amp;"-"&amp;P336&amp;"-"&amp;RIGHT("000"&amp;Q336,4))</f>
        <v/>
      </c>
      <c r="B336" s="61" t="n"/>
      <c r="C336" s="60" t="n"/>
      <c r="D336" s="62" t="str">
        <f>IF(C336="","",IFERROR(INDEX(cli_name,MATCH(C336,cli_code,0))&amp;"","Client inconnu"))</f>
        <v/>
      </c>
      <c r="E336" s="63" t="n"/>
      <c r="F336" s="61" t="n"/>
      <c r="G336" s="60" t="n"/>
      <c r="H336" s="64" t="str">
        <f>IF(A336="","",IF(ISNUMBER(F336),F336,O336+N(p_validity)))</f>
        <v/>
      </c>
      <c r="I336" s="65" t="str">
        <f>IF(A336="","",SUMIF(dl_doc,A336,dl_ht))</f>
        <v/>
      </c>
      <c r="J336" s="65" t="str">
        <f>IF(A336="","",IF(INDEX(p_rates,1)="",0,ROUND(SUMIFS(dl_ht,dl_doc,A336,dl_rate,INDEX(p_rates,1))*INDEX(p_rates,1),2))+IF(INDEX(p_rates,2)="",0,ROUND(SUMIFS(dl_ht,dl_doc,A336,dl_rate,INDEX(p_rates,2))*INDEX(p_rates,2),2))+IF(INDEX(p_rates,3)="",0,ROUND(SUMIFS(dl_ht,dl_doc,A336,dl_rate,INDEX(p_rates,3))*INDEX(p_rates,3),2))+IF(INDEX(p_rates,4)="",0,ROUND(SUMIFS(dl_ht,dl_doc,A336,dl_rate,INDEX(p_rates,4))*INDEX(p_rates,4),2))+IF(INDEX(p_rates,5)="",0,ROUND(SUMIFS(dl_ht,dl_doc,A336,dl_rate,INDEX(p_rates,5))*INDEX(p_rates,5),2))+IF(INDEX(p_rates,6)="",0,ROUND(SUMIFS(dl_ht,dl_doc,A336,dl_rate,INDEX(p_rates,6))*INDEX(p_rates,6),2)))</f>
        <v/>
      </c>
      <c r="K336" s="65" t="str">
        <f>IF(A336="","",I336+J336)</f>
        <v/>
      </c>
      <c r="L336" s="59" t="str">
        <f>IF(A336="","",IFERROR(INDEX(fa_num,MATCH(A336,fa_dvkey,0))&amp;"",""))</f>
        <v/>
      </c>
      <c r="M336" s="59" t="str">
        <f>IF(A336="","",IF(G336="Annulé","Annulé",IF(L336&lt;&gt;"","Facturé",IF(G336="Accepté","Accepté",IF(G336="Refusé","Refusé",IF(p_asof&gt;H336,"Expiré","En attente"))))))</f>
        <v/>
      </c>
      <c r="N336" s="59" t="str">
        <f>IF(COUNTA(B336:C336,E336:G336)=0,"",IF(B336="","Date manquante",IF(NOT(ISNUMBER(B336)),"Date invalide",IF(C336="","Client manquant",IF(ISNA(MATCH(C336,cli_code,0)),"Client inconnu",IF(O336&lt;MAX($O$6:O335),"Date antérieure au devis précédent",IF(AND(ISNUMBER(F336),F336&lt;O336),"Validité antérieure à la date du devis",IF(AND(R336=0,G336&lt;&gt;"Annulé"),"Aucune ligne (feuille Lignes de devis)",IF(COUNTIFS(dl_doc,A336,dl_check,"&lt;&gt;OK")&gt;0,"Ligne(s) à corriger",IF(AND(L336&lt;&gt;"",OR(G336="Refusé",G336="Annulé")),"Devis refusé ou annulé mais facturé","OK"))))))))))</f>
        <v/>
      </c>
      <c r="O336" s="62">
        <f>IF(ISNUMBER(B336),B336,0)</f>
        <v>0.0</v>
      </c>
      <c r="P336" s="62" t="str">
        <f>IF(O336=0,"",YEAR(O336))</f>
        <v/>
      </c>
      <c r="Q336" s="62" t="str">
        <f>IF(P336="","",COUNTIF($P$6:P336,P336))</f>
        <v/>
      </c>
      <c r="R336" s="62">
        <f>IF(A336="",0,COUNTIF(dl_doc,A336))</f>
        <v>0.0</v>
      </c>
    </row>
    <row r="337">
      <c r="A337" s="59" t="str">
        <f>IF(Q337="","",p_pdv&amp;"-"&amp;P337&amp;"-"&amp;RIGHT("000"&amp;Q337,4))</f>
        <v/>
      </c>
      <c r="B337" s="61" t="n"/>
      <c r="C337" s="60" t="n"/>
      <c r="D337" s="62" t="str">
        <f>IF(C337="","",IFERROR(INDEX(cli_name,MATCH(C337,cli_code,0))&amp;"","Client inconnu"))</f>
        <v/>
      </c>
      <c r="E337" s="63" t="n"/>
      <c r="F337" s="61" t="n"/>
      <c r="G337" s="60" t="n"/>
      <c r="H337" s="64" t="str">
        <f>IF(A337="","",IF(ISNUMBER(F337),F337,O337+N(p_validity)))</f>
        <v/>
      </c>
      <c r="I337" s="65" t="str">
        <f>IF(A337="","",SUMIF(dl_doc,A337,dl_ht))</f>
        <v/>
      </c>
      <c r="J337" s="65" t="str">
        <f>IF(A337="","",IF(INDEX(p_rates,1)="",0,ROUND(SUMIFS(dl_ht,dl_doc,A337,dl_rate,INDEX(p_rates,1))*INDEX(p_rates,1),2))+IF(INDEX(p_rates,2)="",0,ROUND(SUMIFS(dl_ht,dl_doc,A337,dl_rate,INDEX(p_rates,2))*INDEX(p_rates,2),2))+IF(INDEX(p_rates,3)="",0,ROUND(SUMIFS(dl_ht,dl_doc,A337,dl_rate,INDEX(p_rates,3))*INDEX(p_rates,3),2))+IF(INDEX(p_rates,4)="",0,ROUND(SUMIFS(dl_ht,dl_doc,A337,dl_rate,INDEX(p_rates,4))*INDEX(p_rates,4),2))+IF(INDEX(p_rates,5)="",0,ROUND(SUMIFS(dl_ht,dl_doc,A337,dl_rate,INDEX(p_rates,5))*INDEX(p_rates,5),2))+IF(INDEX(p_rates,6)="",0,ROUND(SUMIFS(dl_ht,dl_doc,A337,dl_rate,INDEX(p_rates,6))*INDEX(p_rates,6),2)))</f>
        <v/>
      </c>
      <c r="K337" s="65" t="str">
        <f>IF(A337="","",I337+J337)</f>
        <v/>
      </c>
      <c r="L337" s="59" t="str">
        <f>IF(A337="","",IFERROR(INDEX(fa_num,MATCH(A337,fa_dvkey,0))&amp;"",""))</f>
        <v/>
      </c>
      <c r="M337" s="59" t="str">
        <f>IF(A337="","",IF(G337="Annulé","Annulé",IF(L337&lt;&gt;"","Facturé",IF(G337="Accepté","Accepté",IF(G337="Refusé","Refusé",IF(p_asof&gt;H337,"Expiré","En attente"))))))</f>
        <v/>
      </c>
      <c r="N337" s="59" t="str">
        <f>IF(COUNTA(B337:C337,E337:G337)=0,"",IF(B337="","Date manquante",IF(NOT(ISNUMBER(B337)),"Date invalide",IF(C337="","Client manquant",IF(ISNA(MATCH(C337,cli_code,0)),"Client inconnu",IF(O337&lt;MAX($O$6:O336),"Date antérieure au devis précédent",IF(AND(ISNUMBER(F337),F337&lt;O337),"Validité antérieure à la date du devis",IF(AND(R337=0,G337&lt;&gt;"Annulé"),"Aucune ligne (feuille Lignes de devis)",IF(COUNTIFS(dl_doc,A337,dl_check,"&lt;&gt;OK")&gt;0,"Ligne(s) à corriger",IF(AND(L337&lt;&gt;"",OR(G337="Refusé",G337="Annulé")),"Devis refusé ou annulé mais facturé","OK"))))))))))</f>
        <v/>
      </c>
      <c r="O337" s="62">
        <f>IF(ISNUMBER(B337),B337,0)</f>
        <v>0.0</v>
      </c>
      <c r="P337" s="62" t="str">
        <f>IF(O337=0,"",YEAR(O337))</f>
        <v/>
      </c>
      <c r="Q337" s="62" t="str">
        <f>IF(P337="","",COUNTIF($P$6:P337,P337))</f>
        <v/>
      </c>
      <c r="R337" s="62">
        <f>IF(A337="",0,COUNTIF(dl_doc,A337))</f>
        <v>0.0</v>
      </c>
    </row>
    <row r="338">
      <c r="A338" s="59" t="str">
        <f>IF(Q338="","",p_pdv&amp;"-"&amp;P338&amp;"-"&amp;RIGHT("000"&amp;Q338,4))</f>
        <v/>
      </c>
      <c r="B338" s="61" t="n"/>
      <c r="C338" s="60" t="n"/>
      <c r="D338" s="62" t="str">
        <f>IF(C338="","",IFERROR(INDEX(cli_name,MATCH(C338,cli_code,0))&amp;"","Client inconnu"))</f>
        <v/>
      </c>
      <c r="E338" s="63" t="n"/>
      <c r="F338" s="61" t="n"/>
      <c r="G338" s="60" t="n"/>
      <c r="H338" s="64" t="str">
        <f>IF(A338="","",IF(ISNUMBER(F338),F338,O338+N(p_validity)))</f>
        <v/>
      </c>
      <c r="I338" s="65" t="str">
        <f>IF(A338="","",SUMIF(dl_doc,A338,dl_ht))</f>
        <v/>
      </c>
      <c r="J338" s="65" t="str">
        <f>IF(A338="","",IF(INDEX(p_rates,1)="",0,ROUND(SUMIFS(dl_ht,dl_doc,A338,dl_rate,INDEX(p_rates,1))*INDEX(p_rates,1),2))+IF(INDEX(p_rates,2)="",0,ROUND(SUMIFS(dl_ht,dl_doc,A338,dl_rate,INDEX(p_rates,2))*INDEX(p_rates,2),2))+IF(INDEX(p_rates,3)="",0,ROUND(SUMIFS(dl_ht,dl_doc,A338,dl_rate,INDEX(p_rates,3))*INDEX(p_rates,3),2))+IF(INDEX(p_rates,4)="",0,ROUND(SUMIFS(dl_ht,dl_doc,A338,dl_rate,INDEX(p_rates,4))*INDEX(p_rates,4),2))+IF(INDEX(p_rates,5)="",0,ROUND(SUMIFS(dl_ht,dl_doc,A338,dl_rate,INDEX(p_rates,5))*INDEX(p_rates,5),2))+IF(INDEX(p_rates,6)="",0,ROUND(SUMIFS(dl_ht,dl_doc,A338,dl_rate,INDEX(p_rates,6))*INDEX(p_rates,6),2)))</f>
        <v/>
      </c>
      <c r="K338" s="65" t="str">
        <f>IF(A338="","",I338+J338)</f>
        <v/>
      </c>
      <c r="L338" s="59" t="str">
        <f>IF(A338="","",IFERROR(INDEX(fa_num,MATCH(A338,fa_dvkey,0))&amp;"",""))</f>
        <v/>
      </c>
      <c r="M338" s="59" t="str">
        <f>IF(A338="","",IF(G338="Annulé","Annulé",IF(L338&lt;&gt;"","Facturé",IF(G338="Accepté","Accepté",IF(G338="Refusé","Refusé",IF(p_asof&gt;H338,"Expiré","En attente"))))))</f>
        <v/>
      </c>
      <c r="N338" s="59" t="str">
        <f>IF(COUNTA(B338:C338,E338:G338)=0,"",IF(B338="","Date manquante",IF(NOT(ISNUMBER(B338)),"Date invalide",IF(C338="","Client manquant",IF(ISNA(MATCH(C338,cli_code,0)),"Client inconnu",IF(O338&lt;MAX($O$6:O337),"Date antérieure au devis précédent",IF(AND(ISNUMBER(F338),F338&lt;O338),"Validité antérieure à la date du devis",IF(AND(R338=0,G338&lt;&gt;"Annulé"),"Aucune ligne (feuille Lignes de devis)",IF(COUNTIFS(dl_doc,A338,dl_check,"&lt;&gt;OK")&gt;0,"Ligne(s) à corriger",IF(AND(L338&lt;&gt;"",OR(G338="Refusé",G338="Annulé")),"Devis refusé ou annulé mais facturé","OK"))))))))))</f>
        <v/>
      </c>
      <c r="O338" s="62">
        <f>IF(ISNUMBER(B338),B338,0)</f>
        <v>0.0</v>
      </c>
      <c r="P338" s="62" t="str">
        <f>IF(O338=0,"",YEAR(O338))</f>
        <v/>
      </c>
      <c r="Q338" s="62" t="str">
        <f>IF(P338="","",COUNTIF($P$6:P338,P338))</f>
        <v/>
      </c>
      <c r="R338" s="62">
        <f>IF(A338="",0,COUNTIF(dl_doc,A338))</f>
        <v>0.0</v>
      </c>
    </row>
    <row r="339">
      <c r="A339" s="59" t="str">
        <f>IF(Q339="","",p_pdv&amp;"-"&amp;P339&amp;"-"&amp;RIGHT("000"&amp;Q339,4))</f>
        <v/>
      </c>
      <c r="B339" s="61" t="n"/>
      <c r="C339" s="60" t="n"/>
      <c r="D339" s="62" t="str">
        <f>IF(C339="","",IFERROR(INDEX(cli_name,MATCH(C339,cli_code,0))&amp;"","Client inconnu"))</f>
        <v/>
      </c>
      <c r="E339" s="63" t="n"/>
      <c r="F339" s="61" t="n"/>
      <c r="G339" s="60" t="n"/>
      <c r="H339" s="64" t="str">
        <f>IF(A339="","",IF(ISNUMBER(F339),F339,O339+N(p_validity)))</f>
        <v/>
      </c>
      <c r="I339" s="65" t="str">
        <f>IF(A339="","",SUMIF(dl_doc,A339,dl_ht))</f>
        <v/>
      </c>
      <c r="J339" s="65" t="str">
        <f>IF(A339="","",IF(INDEX(p_rates,1)="",0,ROUND(SUMIFS(dl_ht,dl_doc,A339,dl_rate,INDEX(p_rates,1))*INDEX(p_rates,1),2))+IF(INDEX(p_rates,2)="",0,ROUND(SUMIFS(dl_ht,dl_doc,A339,dl_rate,INDEX(p_rates,2))*INDEX(p_rates,2),2))+IF(INDEX(p_rates,3)="",0,ROUND(SUMIFS(dl_ht,dl_doc,A339,dl_rate,INDEX(p_rates,3))*INDEX(p_rates,3),2))+IF(INDEX(p_rates,4)="",0,ROUND(SUMIFS(dl_ht,dl_doc,A339,dl_rate,INDEX(p_rates,4))*INDEX(p_rates,4),2))+IF(INDEX(p_rates,5)="",0,ROUND(SUMIFS(dl_ht,dl_doc,A339,dl_rate,INDEX(p_rates,5))*INDEX(p_rates,5),2))+IF(INDEX(p_rates,6)="",0,ROUND(SUMIFS(dl_ht,dl_doc,A339,dl_rate,INDEX(p_rates,6))*INDEX(p_rates,6),2)))</f>
        <v/>
      </c>
      <c r="K339" s="65" t="str">
        <f>IF(A339="","",I339+J339)</f>
        <v/>
      </c>
      <c r="L339" s="59" t="str">
        <f>IF(A339="","",IFERROR(INDEX(fa_num,MATCH(A339,fa_dvkey,0))&amp;"",""))</f>
        <v/>
      </c>
      <c r="M339" s="59" t="str">
        <f>IF(A339="","",IF(G339="Annulé","Annulé",IF(L339&lt;&gt;"","Facturé",IF(G339="Accepté","Accepté",IF(G339="Refusé","Refusé",IF(p_asof&gt;H339,"Expiré","En attente"))))))</f>
        <v/>
      </c>
      <c r="N339" s="59" t="str">
        <f>IF(COUNTA(B339:C339,E339:G339)=0,"",IF(B339="","Date manquante",IF(NOT(ISNUMBER(B339)),"Date invalide",IF(C339="","Client manquant",IF(ISNA(MATCH(C339,cli_code,0)),"Client inconnu",IF(O339&lt;MAX($O$6:O338),"Date antérieure au devis précédent",IF(AND(ISNUMBER(F339),F339&lt;O339),"Validité antérieure à la date du devis",IF(AND(R339=0,G339&lt;&gt;"Annulé"),"Aucune ligne (feuille Lignes de devis)",IF(COUNTIFS(dl_doc,A339,dl_check,"&lt;&gt;OK")&gt;0,"Ligne(s) à corriger",IF(AND(L339&lt;&gt;"",OR(G339="Refusé",G339="Annulé")),"Devis refusé ou annulé mais facturé","OK"))))))))))</f>
        <v/>
      </c>
      <c r="O339" s="62">
        <f>IF(ISNUMBER(B339),B339,0)</f>
        <v>0.0</v>
      </c>
      <c r="P339" s="62" t="str">
        <f>IF(O339=0,"",YEAR(O339))</f>
        <v/>
      </c>
      <c r="Q339" s="62" t="str">
        <f>IF(P339="","",COUNTIF($P$6:P339,P339))</f>
        <v/>
      </c>
      <c r="R339" s="62">
        <f>IF(A339="",0,COUNTIF(dl_doc,A339))</f>
        <v>0.0</v>
      </c>
    </row>
    <row r="340">
      <c r="A340" s="59" t="str">
        <f>IF(Q340="","",p_pdv&amp;"-"&amp;P340&amp;"-"&amp;RIGHT("000"&amp;Q340,4))</f>
        <v/>
      </c>
      <c r="B340" s="61" t="n"/>
      <c r="C340" s="60" t="n"/>
      <c r="D340" s="62" t="str">
        <f>IF(C340="","",IFERROR(INDEX(cli_name,MATCH(C340,cli_code,0))&amp;"","Client inconnu"))</f>
        <v/>
      </c>
      <c r="E340" s="63" t="n"/>
      <c r="F340" s="61" t="n"/>
      <c r="G340" s="60" t="n"/>
      <c r="H340" s="64" t="str">
        <f>IF(A340="","",IF(ISNUMBER(F340),F340,O340+N(p_validity)))</f>
        <v/>
      </c>
      <c r="I340" s="65" t="str">
        <f>IF(A340="","",SUMIF(dl_doc,A340,dl_ht))</f>
        <v/>
      </c>
      <c r="J340" s="65" t="str">
        <f>IF(A340="","",IF(INDEX(p_rates,1)="",0,ROUND(SUMIFS(dl_ht,dl_doc,A340,dl_rate,INDEX(p_rates,1))*INDEX(p_rates,1),2))+IF(INDEX(p_rates,2)="",0,ROUND(SUMIFS(dl_ht,dl_doc,A340,dl_rate,INDEX(p_rates,2))*INDEX(p_rates,2),2))+IF(INDEX(p_rates,3)="",0,ROUND(SUMIFS(dl_ht,dl_doc,A340,dl_rate,INDEX(p_rates,3))*INDEX(p_rates,3),2))+IF(INDEX(p_rates,4)="",0,ROUND(SUMIFS(dl_ht,dl_doc,A340,dl_rate,INDEX(p_rates,4))*INDEX(p_rates,4),2))+IF(INDEX(p_rates,5)="",0,ROUND(SUMIFS(dl_ht,dl_doc,A340,dl_rate,INDEX(p_rates,5))*INDEX(p_rates,5),2))+IF(INDEX(p_rates,6)="",0,ROUND(SUMIFS(dl_ht,dl_doc,A340,dl_rate,INDEX(p_rates,6))*INDEX(p_rates,6),2)))</f>
        <v/>
      </c>
      <c r="K340" s="65" t="str">
        <f>IF(A340="","",I340+J340)</f>
        <v/>
      </c>
      <c r="L340" s="59" t="str">
        <f>IF(A340="","",IFERROR(INDEX(fa_num,MATCH(A340,fa_dvkey,0))&amp;"",""))</f>
        <v/>
      </c>
      <c r="M340" s="59" t="str">
        <f>IF(A340="","",IF(G340="Annulé","Annulé",IF(L340&lt;&gt;"","Facturé",IF(G340="Accepté","Accepté",IF(G340="Refusé","Refusé",IF(p_asof&gt;H340,"Expiré","En attente"))))))</f>
        <v/>
      </c>
      <c r="N340" s="59" t="str">
        <f>IF(COUNTA(B340:C340,E340:G340)=0,"",IF(B340="","Date manquante",IF(NOT(ISNUMBER(B340)),"Date invalide",IF(C340="","Client manquant",IF(ISNA(MATCH(C340,cli_code,0)),"Client inconnu",IF(O340&lt;MAX($O$6:O339),"Date antérieure au devis précédent",IF(AND(ISNUMBER(F340),F340&lt;O340),"Validité antérieure à la date du devis",IF(AND(R340=0,G340&lt;&gt;"Annulé"),"Aucune ligne (feuille Lignes de devis)",IF(COUNTIFS(dl_doc,A340,dl_check,"&lt;&gt;OK")&gt;0,"Ligne(s) à corriger",IF(AND(L340&lt;&gt;"",OR(G340="Refusé",G340="Annulé")),"Devis refusé ou annulé mais facturé","OK"))))))))))</f>
        <v/>
      </c>
      <c r="O340" s="62">
        <f>IF(ISNUMBER(B340),B340,0)</f>
        <v>0.0</v>
      </c>
      <c r="P340" s="62" t="str">
        <f>IF(O340=0,"",YEAR(O340))</f>
        <v/>
      </c>
      <c r="Q340" s="62" t="str">
        <f>IF(P340="","",COUNTIF($P$6:P340,P340))</f>
        <v/>
      </c>
      <c r="R340" s="62">
        <f>IF(A340="",0,COUNTIF(dl_doc,A340))</f>
        <v>0.0</v>
      </c>
    </row>
    <row r="341">
      <c r="A341" s="59" t="str">
        <f>IF(Q341="","",p_pdv&amp;"-"&amp;P341&amp;"-"&amp;RIGHT("000"&amp;Q341,4))</f>
        <v/>
      </c>
      <c r="B341" s="61" t="n"/>
      <c r="C341" s="60" t="n"/>
      <c r="D341" s="62" t="str">
        <f>IF(C341="","",IFERROR(INDEX(cli_name,MATCH(C341,cli_code,0))&amp;"","Client inconnu"))</f>
        <v/>
      </c>
      <c r="E341" s="63" t="n"/>
      <c r="F341" s="61" t="n"/>
      <c r="G341" s="60" t="n"/>
      <c r="H341" s="64" t="str">
        <f>IF(A341="","",IF(ISNUMBER(F341),F341,O341+N(p_validity)))</f>
        <v/>
      </c>
      <c r="I341" s="65" t="str">
        <f>IF(A341="","",SUMIF(dl_doc,A341,dl_ht))</f>
        <v/>
      </c>
      <c r="J341" s="65" t="str">
        <f>IF(A341="","",IF(INDEX(p_rates,1)="",0,ROUND(SUMIFS(dl_ht,dl_doc,A341,dl_rate,INDEX(p_rates,1))*INDEX(p_rates,1),2))+IF(INDEX(p_rates,2)="",0,ROUND(SUMIFS(dl_ht,dl_doc,A341,dl_rate,INDEX(p_rates,2))*INDEX(p_rates,2),2))+IF(INDEX(p_rates,3)="",0,ROUND(SUMIFS(dl_ht,dl_doc,A341,dl_rate,INDEX(p_rates,3))*INDEX(p_rates,3),2))+IF(INDEX(p_rates,4)="",0,ROUND(SUMIFS(dl_ht,dl_doc,A341,dl_rate,INDEX(p_rates,4))*INDEX(p_rates,4),2))+IF(INDEX(p_rates,5)="",0,ROUND(SUMIFS(dl_ht,dl_doc,A341,dl_rate,INDEX(p_rates,5))*INDEX(p_rates,5),2))+IF(INDEX(p_rates,6)="",0,ROUND(SUMIFS(dl_ht,dl_doc,A341,dl_rate,INDEX(p_rates,6))*INDEX(p_rates,6),2)))</f>
        <v/>
      </c>
      <c r="K341" s="65" t="str">
        <f>IF(A341="","",I341+J341)</f>
        <v/>
      </c>
      <c r="L341" s="59" t="str">
        <f>IF(A341="","",IFERROR(INDEX(fa_num,MATCH(A341,fa_dvkey,0))&amp;"",""))</f>
        <v/>
      </c>
      <c r="M341" s="59" t="str">
        <f>IF(A341="","",IF(G341="Annulé","Annulé",IF(L341&lt;&gt;"","Facturé",IF(G341="Accepté","Accepté",IF(G341="Refusé","Refusé",IF(p_asof&gt;H341,"Expiré","En attente"))))))</f>
        <v/>
      </c>
      <c r="N341" s="59" t="str">
        <f>IF(COUNTA(B341:C341,E341:G341)=0,"",IF(B341="","Date manquante",IF(NOT(ISNUMBER(B341)),"Date invalide",IF(C341="","Client manquant",IF(ISNA(MATCH(C341,cli_code,0)),"Client inconnu",IF(O341&lt;MAX($O$6:O340),"Date antérieure au devis précédent",IF(AND(ISNUMBER(F341),F341&lt;O341),"Validité antérieure à la date du devis",IF(AND(R341=0,G341&lt;&gt;"Annulé"),"Aucune ligne (feuille Lignes de devis)",IF(COUNTIFS(dl_doc,A341,dl_check,"&lt;&gt;OK")&gt;0,"Ligne(s) à corriger",IF(AND(L341&lt;&gt;"",OR(G341="Refusé",G341="Annulé")),"Devis refusé ou annulé mais facturé","OK"))))))))))</f>
        <v/>
      </c>
      <c r="O341" s="62">
        <f>IF(ISNUMBER(B341),B341,0)</f>
        <v>0.0</v>
      </c>
      <c r="P341" s="62" t="str">
        <f>IF(O341=0,"",YEAR(O341))</f>
        <v/>
      </c>
      <c r="Q341" s="62" t="str">
        <f>IF(P341="","",COUNTIF($P$6:P341,P341))</f>
        <v/>
      </c>
      <c r="R341" s="62">
        <f>IF(A341="",0,COUNTIF(dl_doc,A341))</f>
        <v>0.0</v>
      </c>
    </row>
    <row r="342">
      <c r="A342" s="59" t="str">
        <f>IF(Q342="","",p_pdv&amp;"-"&amp;P342&amp;"-"&amp;RIGHT("000"&amp;Q342,4))</f>
        <v/>
      </c>
      <c r="B342" s="61" t="n"/>
      <c r="C342" s="60" t="n"/>
      <c r="D342" s="62" t="str">
        <f>IF(C342="","",IFERROR(INDEX(cli_name,MATCH(C342,cli_code,0))&amp;"","Client inconnu"))</f>
        <v/>
      </c>
      <c r="E342" s="63" t="n"/>
      <c r="F342" s="61" t="n"/>
      <c r="G342" s="60" t="n"/>
      <c r="H342" s="64" t="str">
        <f>IF(A342="","",IF(ISNUMBER(F342),F342,O342+N(p_validity)))</f>
        <v/>
      </c>
      <c r="I342" s="65" t="str">
        <f>IF(A342="","",SUMIF(dl_doc,A342,dl_ht))</f>
        <v/>
      </c>
      <c r="J342" s="65" t="str">
        <f>IF(A342="","",IF(INDEX(p_rates,1)="",0,ROUND(SUMIFS(dl_ht,dl_doc,A342,dl_rate,INDEX(p_rates,1))*INDEX(p_rates,1),2))+IF(INDEX(p_rates,2)="",0,ROUND(SUMIFS(dl_ht,dl_doc,A342,dl_rate,INDEX(p_rates,2))*INDEX(p_rates,2),2))+IF(INDEX(p_rates,3)="",0,ROUND(SUMIFS(dl_ht,dl_doc,A342,dl_rate,INDEX(p_rates,3))*INDEX(p_rates,3),2))+IF(INDEX(p_rates,4)="",0,ROUND(SUMIFS(dl_ht,dl_doc,A342,dl_rate,INDEX(p_rates,4))*INDEX(p_rates,4),2))+IF(INDEX(p_rates,5)="",0,ROUND(SUMIFS(dl_ht,dl_doc,A342,dl_rate,INDEX(p_rates,5))*INDEX(p_rates,5),2))+IF(INDEX(p_rates,6)="",0,ROUND(SUMIFS(dl_ht,dl_doc,A342,dl_rate,INDEX(p_rates,6))*INDEX(p_rates,6),2)))</f>
        <v/>
      </c>
      <c r="K342" s="65" t="str">
        <f>IF(A342="","",I342+J342)</f>
        <v/>
      </c>
      <c r="L342" s="59" t="str">
        <f>IF(A342="","",IFERROR(INDEX(fa_num,MATCH(A342,fa_dvkey,0))&amp;"",""))</f>
        <v/>
      </c>
      <c r="M342" s="59" t="str">
        <f>IF(A342="","",IF(G342="Annulé","Annulé",IF(L342&lt;&gt;"","Facturé",IF(G342="Accepté","Accepté",IF(G342="Refusé","Refusé",IF(p_asof&gt;H342,"Expiré","En attente"))))))</f>
        <v/>
      </c>
      <c r="N342" s="59" t="str">
        <f>IF(COUNTA(B342:C342,E342:G342)=0,"",IF(B342="","Date manquante",IF(NOT(ISNUMBER(B342)),"Date invalide",IF(C342="","Client manquant",IF(ISNA(MATCH(C342,cli_code,0)),"Client inconnu",IF(O342&lt;MAX($O$6:O341),"Date antérieure au devis précédent",IF(AND(ISNUMBER(F342),F342&lt;O342),"Validité antérieure à la date du devis",IF(AND(R342=0,G342&lt;&gt;"Annulé"),"Aucune ligne (feuille Lignes de devis)",IF(COUNTIFS(dl_doc,A342,dl_check,"&lt;&gt;OK")&gt;0,"Ligne(s) à corriger",IF(AND(L342&lt;&gt;"",OR(G342="Refusé",G342="Annulé")),"Devis refusé ou annulé mais facturé","OK"))))))))))</f>
        <v/>
      </c>
      <c r="O342" s="62">
        <f>IF(ISNUMBER(B342),B342,0)</f>
        <v>0.0</v>
      </c>
      <c r="P342" s="62" t="str">
        <f>IF(O342=0,"",YEAR(O342))</f>
        <v/>
      </c>
      <c r="Q342" s="62" t="str">
        <f>IF(P342="","",COUNTIF($P$6:P342,P342))</f>
        <v/>
      </c>
      <c r="R342" s="62">
        <f>IF(A342="",0,COUNTIF(dl_doc,A342))</f>
        <v>0.0</v>
      </c>
    </row>
    <row r="343">
      <c r="A343" s="59" t="str">
        <f>IF(Q343="","",p_pdv&amp;"-"&amp;P343&amp;"-"&amp;RIGHT("000"&amp;Q343,4))</f>
        <v/>
      </c>
      <c r="B343" s="61" t="n"/>
      <c r="C343" s="60" t="n"/>
      <c r="D343" s="62" t="str">
        <f>IF(C343="","",IFERROR(INDEX(cli_name,MATCH(C343,cli_code,0))&amp;"","Client inconnu"))</f>
        <v/>
      </c>
      <c r="E343" s="63" t="n"/>
      <c r="F343" s="61" t="n"/>
      <c r="G343" s="60" t="n"/>
      <c r="H343" s="64" t="str">
        <f>IF(A343="","",IF(ISNUMBER(F343),F343,O343+N(p_validity)))</f>
        <v/>
      </c>
      <c r="I343" s="65" t="str">
        <f>IF(A343="","",SUMIF(dl_doc,A343,dl_ht))</f>
        <v/>
      </c>
      <c r="J343" s="65" t="str">
        <f>IF(A343="","",IF(INDEX(p_rates,1)="",0,ROUND(SUMIFS(dl_ht,dl_doc,A343,dl_rate,INDEX(p_rates,1))*INDEX(p_rates,1),2))+IF(INDEX(p_rates,2)="",0,ROUND(SUMIFS(dl_ht,dl_doc,A343,dl_rate,INDEX(p_rates,2))*INDEX(p_rates,2),2))+IF(INDEX(p_rates,3)="",0,ROUND(SUMIFS(dl_ht,dl_doc,A343,dl_rate,INDEX(p_rates,3))*INDEX(p_rates,3),2))+IF(INDEX(p_rates,4)="",0,ROUND(SUMIFS(dl_ht,dl_doc,A343,dl_rate,INDEX(p_rates,4))*INDEX(p_rates,4),2))+IF(INDEX(p_rates,5)="",0,ROUND(SUMIFS(dl_ht,dl_doc,A343,dl_rate,INDEX(p_rates,5))*INDEX(p_rates,5),2))+IF(INDEX(p_rates,6)="",0,ROUND(SUMIFS(dl_ht,dl_doc,A343,dl_rate,INDEX(p_rates,6))*INDEX(p_rates,6),2)))</f>
        <v/>
      </c>
      <c r="K343" s="65" t="str">
        <f>IF(A343="","",I343+J343)</f>
        <v/>
      </c>
      <c r="L343" s="59" t="str">
        <f>IF(A343="","",IFERROR(INDEX(fa_num,MATCH(A343,fa_dvkey,0))&amp;"",""))</f>
        <v/>
      </c>
      <c r="M343" s="59" t="str">
        <f>IF(A343="","",IF(G343="Annulé","Annulé",IF(L343&lt;&gt;"","Facturé",IF(G343="Accepté","Accepté",IF(G343="Refusé","Refusé",IF(p_asof&gt;H343,"Expiré","En attente"))))))</f>
        <v/>
      </c>
      <c r="N343" s="59" t="str">
        <f>IF(COUNTA(B343:C343,E343:G343)=0,"",IF(B343="","Date manquante",IF(NOT(ISNUMBER(B343)),"Date invalide",IF(C343="","Client manquant",IF(ISNA(MATCH(C343,cli_code,0)),"Client inconnu",IF(O343&lt;MAX($O$6:O342),"Date antérieure au devis précédent",IF(AND(ISNUMBER(F343),F343&lt;O343),"Validité antérieure à la date du devis",IF(AND(R343=0,G343&lt;&gt;"Annulé"),"Aucune ligne (feuille Lignes de devis)",IF(COUNTIFS(dl_doc,A343,dl_check,"&lt;&gt;OK")&gt;0,"Ligne(s) à corriger",IF(AND(L343&lt;&gt;"",OR(G343="Refusé",G343="Annulé")),"Devis refusé ou annulé mais facturé","OK"))))))))))</f>
        <v/>
      </c>
      <c r="O343" s="62">
        <f>IF(ISNUMBER(B343),B343,0)</f>
        <v>0.0</v>
      </c>
      <c r="P343" s="62" t="str">
        <f>IF(O343=0,"",YEAR(O343))</f>
        <v/>
      </c>
      <c r="Q343" s="62" t="str">
        <f>IF(P343="","",COUNTIF($P$6:P343,P343))</f>
        <v/>
      </c>
      <c r="R343" s="62">
        <f>IF(A343="",0,COUNTIF(dl_doc,A343))</f>
        <v>0.0</v>
      </c>
    </row>
    <row r="344">
      <c r="A344" s="59" t="str">
        <f>IF(Q344="","",p_pdv&amp;"-"&amp;P344&amp;"-"&amp;RIGHT("000"&amp;Q344,4))</f>
        <v/>
      </c>
      <c r="B344" s="61" t="n"/>
      <c r="C344" s="60" t="n"/>
      <c r="D344" s="62" t="str">
        <f>IF(C344="","",IFERROR(INDEX(cli_name,MATCH(C344,cli_code,0))&amp;"","Client inconnu"))</f>
        <v/>
      </c>
      <c r="E344" s="63" t="n"/>
      <c r="F344" s="61" t="n"/>
      <c r="G344" s="60" t="n"/>
      <c r="H344" s="64" t="str">
        <f>IF(A344="","",IF(ISNUMBER(F344),F344,O344+N(p_validity)))</f>
        <v/>
      </c>
      <c r="I344" s="65" t="str">
        <f>IF(A344="","",SUMIF(dl_doc,A344,dl_ht))</f>
        <v/>
      </c>
      <c r="J344" s="65" t="str">
        <f>IF(A344="","",IF(INDEX(p_rates,1)="",0,ROUND(SUMIFS(dl_ht,dl_doc,A344,dl_rate,INDEX(p_rates,1))*INDEX(p_rates,1),2))+IF(INDEX(p_rates,2)="",0,ROUND(SUMIFS(dl_ht,dl_doc,A344,dl_rate,INDEX(p_rates,2))*INDEX(p_rates,2),2))+IF(INDEX(p_rates,3)="",0,ROUND(SUMIFS(dl_ht,dl_doc,A344,dl_rate,INDEX(p_rates,3))*INDEX(p_rates,3),2))+IF(INDEX(p_rates,4)="",0,ROUND(SUMIFS(dl_ht,dl_doc,A344,dl_rate,INDEX(p_rates,4))*INDEX(p_rates,4),2))+IF(INDEX(p_rates,5)="",0,ROUND(SUMIFS(dl_ht,dl_doc,A344,dl_rate,INDEX(p_rates,5))*INDEX(p_rates,5),2))+IF(INDEX(p_rates,6)="",0,ROUND(SUMIFS(dl_ht,dl_doc,A344,dl_rate,INDEX(p_rates,6))*INDEX(p_rates,6),2)))</f>
        <v/>
      </c>
      <c r="K344" s="65" t="str">
        <f>IF(A344="","",I344+J344)</f>
        <v/>
      </c>
      <c r="L344" s="59" t="str">
        <f>IF(A344="","",IFERROR(INDEX(fa_num,MATCH(A344,fa_dvkey,0))&amp;"",""))</f>
        <v/>
      </c>
      <c r="M344" s="59" t="str">
        <f>IF(A344="","",IF(G344="Annulé","Annulé",IF(L344&lt;&gt;"","Facturé",IF(G344="Accepté","Accepté",IF(G344="Refusé","Refusé",IF(p_asof&gt;H344,"Expiré","En attente"))))))</f>
        <v/>
      </c>
      <c r="N344" s="59" t="str">
        <f>IF(COUNTA(B344:C344,E344:G344)=0,"",IF(B344="","Date manquante",IF(NOT(ISNUMBER(B344)),"Date invalide",IF(C344="","Client manquant",IF(ISNA(MATCH(C344,cli_code,0)),"Client inconnu",IF(O344&lt;MAX($O$6:O343),"Date antérieure au devis précédent",IF(AND(ISNUMBER(F344),F344&lt;O344),"Validité antérieure à la date du devis",IF(AND(R344=0,G344&lt;&gt;"Annulé"),"Aucune ligne (feuille Lignes de devis)",IF(COUNTIFS(dl_doc,A344,dl_check,"&lt;&gt;OK")&gt;0,"Ligne(s) à corriger",IF(AND(L344&lt;&gt;"",OR(G344="Refusé",G344="Annulé")),"Devis refusé ou annulé mais facturé","OK"))))))))))</f>
        <v/>
      </c>
      <c r="O344" s="62">
        <f>IF(ISNUMBER(B344),B344,0)</f>
        <v>0.0</v>
      </c>
      <c r="P344" s="62" t="str">
        <f>IF(O344=0,"",YEAR(O344))</f>
        <v/>
      </c>
      <c r="Q344" s="62" t="str">
        <f>IF(P344="","",COUNTIF($P$6:P344,P344))</f>
        <v/>
      </c>
      <c r="R344" s="62">
        <f>IF(A344="",0,COUNTIF(dl_doc,A344))</f>
        <v>0.0</v>
      </c>
    </row>
    <row r="345">
      <c r="A345" s="59" t="str">
        <f>IF(Q345="","",p_pdv&amp;"-"&amp;P345&amp;"-"&amp;RIGHT("000"&amp;Q345,4))</f>
        <v/>
      </c>
      <c r="B345" s="61" t="n"/>
      <c r="C345" s="60" t="n"/>
      <c r="D345" s="62" t="str">
        <f>IF(C345="","",IFERROR(INDEX(cli_name,MATCH(C345,cli_code,0))&amp;"","Client inconnu"))</f>
        <v/>
      </c>
      <c r="E345" s="63" t="n"/>
      <c r="F345" s="61" t="n"/>
      <c r="G345" s="60" t="n"/>
      <c r="H345" s="64" t="str">
        <f>IF(A345="","",IF(ISNUMBER(F345),F345,O345+N(p_validity)))</f>
        <v/>
      </c>
      <c r="I345" s="65" t="str">
        <f>IF(A345="","",SUMIF(dl_doc,A345,dl_ht))</f>
        <v/>
      </c>
      <c r="J345" s="65" t="str">
        <f>IF(A345="","",IF(INDEX(p_rates,1)="",0,ROUND(SUMIFS(dl_ht,dl_doc,A345,dl_rate,INDEX(p_rates,1))*INDEX(p_rates,1),2))+IF(INDEX(p_rates,2)="",0,ROUND(SUMIFS(dl_ht,dl_doc,A345,dl_rate,INDEX(p_rates,2))*INDEX(p_rates,2),2))+IF(INDEX(p_rates,3)="",0,ROUND(SUMIFS(dl_ht,dl_doc,A345,dl_rate,INDEX(p_rates,3))*INDEX(p_rates,3),2))+IF(INDEX(p_rates,4)="",0,ROUND(SUMIFS(dl_ht,dl_doc,A345,dl_rate,INDEX(p_rates,4))*INDEX(p_rates,4),2))+IF(INDEX(p_rates,5)="",0,ROUND(SUMIFS(dl_ht,dl_doc,A345,dl_rate,INDEX(p_rates,5))*INDEX(p_rates,5),2))+IF(INDEX(p_rates,6)="",0,ROUND(SUMIFS(dl_ht,dl_doc,A345,dl_rate,INDEX(p_rates,6))*INDEX(p_rates,6),2)))</f>
        <v/>
      </c>
      <c r="K345" s="65" t="str">
        <f>IF(A345="","",I345+J345)</f>
        <v/>
      </c>
      <c r="L345" s="59" t="str">
        <f>IF(A345="","",IFERROR(INDEX(fa_num,MATCH(A345,fa_dvkey,0))&amp;"",""))</f>
        <v/>
      </c>
      <c r="M345" s="59" t="str">
        <f>IF(A345="","",IF(G345="Annulé","Annulé",IF(L345&lt;&gt;"","Facturé",IF(G345="Accepté","Accepté",IF(G345="Refusé","Refusé",IF(p_asof&gt;H345,"Expiré","En attente"))))))</f>
        <v/>
      </c>
      <c r="N345" s="59" t="str">
        <f>IF(COUNTA(B345:C345,E345:G345)=0,"",IF(B345="","Date manquante",IF(NOT(ISNUMBER(B345)),"Date invalide",IF(C345="","Client manquant",IF(ISNA(MATCH(C345,cli_code,0)),"Client inconnu",IF(O345&lt;MAX($O$6:O344),"Date antérieure au devis précédent",IF(AND(ISNUMBER(F345),F345&lt;O345),"Validité antérieure à la date du devis",IF(AND(R345=0,G345&lt;&gt;"Annulé"),"Aucune ligne (feuille Lignes de devis)",IF(COUNTIFS(dl_doc,A345,dl_check,"&lt;&gt;OK")&gt;0,"Ligne(s) à corriger",IF(AND(L345&lt;&gt;"",OR(G345="Refusé",G345="Annulé")),"Devis refusé ou annulé mais facturé","OK"))))))))))</f>
        <v/>
      </c>
      <c r="O345" s="62">
        <f>IF(ISNUMBER(B345),B345,0)</f>
        <v>0.0</v>
      </c>
      <c r="P345" s="62" t="str">
        <f>IF(O345=0,"",YEAR(O345))</f>
        <v/>
      </c>
      <c r="Q345" s="62" t="str">
        <f>IF(P345="","",COUNTIF($P$6:P345,P345))</f>
        <v/>
      </c>
      <c r="R345" s="62">
        <f>IF(A345="",0,COUNTIF(dl_doc,A345))</f>
        <v>0.0</v>
      </c>
    </row>
    <row r="346">
      <c r="A346" s="59" t="str">
        <f>IF(Q346="","",p_pdv&amp;"-"&amp;P346&amp;"-"&amp;RIGHT("000"&amp;Q346,4))</f>
        <v/>
      </c>
      <c r="B346" s="61" t="n"/>
      <c r="C346" s="60" t="n"/>
      <c r="D346" s="62" t="str">
        <f>IF(C346="","",IFERROR(INDEX(cli_name,MATCH(C346,cli_code,0))&amp;"","Client inconnu"))</f>
        <v/>
      </c>
      <c r="E346" s="63" t="n"/>
      <c r="F346" s="61" t="n"/>
      <c r="G346" s="60" t="n"/>
      <c r="H346" s="64" t="str">
        <f>IF(A346="","",IF(ISNUMBER(F346),F346,O346+N(p_validity)))</f>
        <v/>
      </c>
      <c r="I346" s="65" t="str">
        <f>IF(A346="","",SUMIF(dl_doc,A346,dl_ht))</f>
        <v/>
      </c>
      <c r="J346" s="65" t="str">
        <f>IF(A346="","",IF(INDEX(p_rates,1)="",0,ROUND(SUMIFS(dl_ht,dl_doc,A346,dl_rate,INDEX(p_rates,1))*INDEX(p_rates,1),2))+IF(INDEX(p_rates,2)="",0,ROUND(SUMIFS(dl_ht,dl_doc,A346,dl_rate,INDEX(p_rates,2))*INDEX(p_rates,2),2))+IF(INDEX(p_rates,3)="",0,ROUND(SUMIFS(dl_ht,dl_doc,A346,dl_rate,INDEX(p_rates,3))*INDEX(p_rates,3),2))+IF(INDEX(p_rates,4)="",0,ROUND(SUMIFS(dl_ht,dl_doc,A346,dl_rate,INDEX(p_rates,4))*INDEX(p_rates,4),2))+IF(INDEX(p_rates,5)="",0,ROUND(SUMIFS(dl_ht,dl_doc,A346,dl_rate,INDEX(p_rates,5))*INDEX(p_rates,5),2))+IF(INDEX(p_rates,6)="",0,ROUND(SUMIFS(dl_ht,dl_doc,A346,dl_rate,INDEX(p_rates,6))*INDEX(p_rates,6),2)))</f>
        <v/>
      </c>
      <c r="K346" s="65" t="str">
        <f>IF(A346="","",I346+J346)</f>
        <v/>
      </c>
      <c r="L346" s="59" t="str">
        <f>IF(A346="","",IFERROR(INDEX(fa_num,MATCH(A346,fa_dvkey,0))&amp;"",""))</f>
        <v/>
      </c>
      <c r="M346" s="59" t="str">
        <f>IF(A346="","",IF(G346="Annulé","Annulé",IF(L346&lt;&gt;"","Facturé",IF(G346="Accepté","Accepté",IF(G346="Refusé","Refusé",IF(p_asof&gt;H346,"Expiré","En attente"))))))</f>
        <v/>
      </c>
      <c r="N346" s="59" t="str">
        <f>IF(COUNTA(B346:C346,E346:G346)=0,"",IF(B346="","Date manquante",IF(NOT(ISNUMBER(B346)),"Date invalide",IF(C346="","Client manquant",IF(ISNA(MATCH(C346,cli_code,0)),"Client inconnu",IF(O346&lt;MAX($O$6:O345),"Date antérieure au devis précédent",IF(AND(ISNUMBER(F346),F346&lt;O346),"Validité antérieure à la date du devis",IF(AND(R346=0,G346&lt;&gt;"Annulé"),"Aucune ligne (feuille Lignes de devis)",IF(COUNTIFS(dl_doc,A346,dl_check,"&lt;&gt;OK")&gt;0,"Ligne(s) à corriger",IF(AND(L346&lt;&gt;"",OR(G346="Refusé",G346="Annulé")),"Devis refusé ou annulé mais facturé","OK"))))))))))</f>
        <v/>
      </c>
      <c r="O346" s="62">
        <f>IF(ISNUMBER(B346),B346,0)</f>
        <v>0.0</v>
      </c>
      <c r="P346" s="62" t="str">
        <f>IF(O346=0,"",YEAR(O346))</f>
        <v/>
      </c>
      <c r="Q346" s="62" t="str">
        <f>IF(P346="","",COUNTIF($P$6:P346,P346))</f>
        <v/>
      </c>
      <c r="R346" s="62">
        <f>IF(A346="",0,COUNTIF(dl_doc,A346))</f>
        <v>0.0</v>
      </c>
    </row>
    <row r="347">
      <c r="A347" s="59" t="str">
        <f>IF(Q347="","",p_pdv&amp;"-"&amp;P347&amp;"-"&amp;RIGHT("000"&amp;Q347,4))</f>
        <v/>
      </c>
      <c r="B347" s="61" t="n"/>
      <c r="C347" s="60" t="n"/>
      <c r="D347" s="62" t="str">
        <f>IF(C347="","",IFERROR(INDEX(cli_name,MATCH(C347,cli_code,0))&amp;"","Client inconnu"))</f>
        <v/>
      </c>
      <c r="E347" s="63" t="n"/>
      <c r="F347" s="61" t="n"/>
      <c r="G347" s="60" t="n"/>
      <c r="H347" s="64" t="str">
        <f>IF(A347="","",IF(ISNUMBER(F347),F347,O347+N(p_validity)))</f>
        <v/>
      </c>
      <c r="I347" s="65" t="str">
        <f>IF(A347="","",SUMIF(dl_doc,A347,dl_ht))</f>
        <v/>
      </c>
      <c r="J347" s="65" t="str">
        <f>IF(A347="","",IF(INDEX(p_rates,1)="",0,ROUND(SUMIFS(dl_ht,dl_doc,A347,dl_rate,INDEX(p_rates,1))*INDEX(p_rates,1),2))+IF(INDEX(p_rates,2)="",0,ROUND(SUMIFS(dl_ht,dl_doc,A347,dl_rate,INDEX(p_rates,2))*INDEX(p_rates,2),2))+IF(INDEX(p_rates,3)="",0,ROUND(SUMIFS(dl_ht,dl_doc,A347,dl_rate,INDEX(p_rates,3))*INDEX(p_rates,3),2))+IF(INDEX(p_rates,4)="",0,ROUND(SUMIFS(dl_ht,dl_doc,A347,dl_rate,INDEX(p_rates,4))*INDEX(p_rates,4),2))+IF(INDEX(p_rates,5)="",0,ROUND(SUMIFS(dl_ht,dl_doc,A347,dl_rate,INDEX(p_rates,5))*INDEX(p_rates,5),2))+IF(INDEX(p_rates,6)="",0,ROUND(SUMIFS(dl_ht,dl_doc,A347,dl_rate,INDEX(p_rates,6))*INDEX(p_rates,6),2)))</f>
        <v/>
      </c>
      <c r="K347" s="65" t="str">
        <f>IF(A347="","",I347+J347)</f>
        <v/>
      </c>
      <c r="L347" s="59" t="str">
        <f>IF(A347="","",IFERROR(INDEX(fa_num,MATCH(A347,fa_dvkey,0))&amp;"",""))</f>
        <v/>
      </c>
      <c r="M347" s="59" t="str">
        <f>IF(A347="","",IF(G347="Annulé","Annulé",IF(L347&lt;&gt;"","Facturé",IF(G347="Accepté","Accepté",IF(G347="Refusé","Refusé",IF(p_asof&gt;H347,"Expiré","En attente"))))))</f>
        <v/>
      </c>
      <c r="N347" s="59" t="str">
        <f>IF(COUNTA(B347:C347,E347:G347)=0,"",IF(B347="","Date manquante",IF(NOT(ISNUMBER(B347)),"Date invalide",IF(C347="","Client manquant",IF(ISNA(MATCH(C347,cli_code,0)),"Client inconnu",IF(O347&lt;MAX($O$6:O346),"Date antérieure au devis précédent",IF(AND(ISNUMBER(F347),F347&lt;O347),"Validité antérieure à la date du devis",IF(AND(R347=0,G347&lt;&gt;"Annulé"),"Aucune ligne (feuille Lignes de devis)",IF(COUNTIFS(dl_doc,A347,dl_check,"&lt;&gt;OK")&gt;0,"Ligne(s) à corriger",IF(AND(L347&lt;&gt;"",OR(G347="Refusé",G347="Annulé")),"Devis refusé ou annulé mais facturé","OK"))))))))))</f>
        <v/>
      </c>
      <c r="O347" s="62">
        <f>IF(ISNUMBER(B347),B347,0)</f>
        <v>0.0</v>
      </c>
      <c r="P347" s="62" t="str">
        <f>IF(O347=0,"",YEAR(O347))</f>
        <v/>
      </c>
      <c r="Q347" s="62" t="str">
        <f>IF(P347="","",COUNTIF($P$6:P347,P347))</f>
        <v/>
      </c>
      <c r="R347" s="62">
        <f>IF(A347="",0,COUNTIF(dl_doc,A347))</f>
        <v>0.0</v>
      </c>
    </row>
    <row r="348">
      <c r="A348" s="59" t="str">
        <f>IF(Q348="","",p_pdv&amp;"-"&amp;P348&amp;"-"&amp;RIGHT("000"&amp;Q348,4))</f>
        <v/>
      </c>
      <c r="B348" s="61" t="n"/>
      <c r="C348" s="60" t="n"/>
      <c r="D348" s="62" t="str">
        <f>IF(C348="","",IFERROR(INDEX(cli_name,MATCH(C348,cli_code,0))&amp;"","Client inconnu"))</f>
        <v/>
      </c>
      <c r="E348" s="63" t="n"/>
      <c r="F348" s="61" t="n"/>
      <c r="G348" s="60" t="n"/>
      <c r="H348" s="64" t="str">
        <f>IF(A348="","",IF(ISNUMBER(F348),F348,O348+N(p_validity)))</f>
        <v/>
      </c>
      <c r="I348" s="65" t="str">
        <f>IF(A348="","",SUMIF(dl_doc,A348,dl_ht))</f>
        <v/>
      </c>
      <c r="J348" s="65" t="str">
        <f>IF(A348="","",IF(INDEX(p_rates,1)="",0,ROUND(SUMIFS(dl_ht,dl_doc,A348,dl_rate,INDEX(p_rates,1))*INDEX(p_rates,1),2))+IF(INDEX(p_rates,2)="",0,ROUND(SUMIFS(dl_ht,dl_doc,A348,dl_rate,INDEX(p_rates,2))*INDEX(p_rates,2),2))+IF(INDEX(p_rates,3)="",0,ROUND(SUMIFS(dl_ht,dl_doc,A348,dl_rate,INDEX(p_rates,3))*INDEX(p_rates,3),2))+IF(INDEX(p_rates,4)="",0,ROUND(SUMIFS(dl_ht,dl_doc,A348,dl_rate,INDEX(p_rates,4))*INDEX(p_rates,4),2))+IF(INDEX(p_rates,5)="",0,ROUND(SUMIFS(dl_ht,dl_doc,A348,dl_rate,INDEX(p_rates,5))*INDEX(p_rates,5),2))+IF(INDEX(p_rates,6)="",0,ROUND(SUMIFS(dl_ht,dl_doc,A348,dl_rate,INDEX(p_rates,6))*INDEX(p_rates,6),2)))</f>
        <v/>
      </c>
      <c r="K348" s="65" t="str">
        <f>IF(A348="","",I348+J348)</f>
        <v/>
      </c>
      <c r="L348" s="59" t="str">
        <f>IF(A348="","",IFERROR(INDEX(fa_num,MATCH(A348,fa_dvkey,0))&amp;"",""))</f>
        <v/>
      </c>
      <c r="M348" s="59" t="str">
        <f>IF(A348="","",IF(G348="Annulé","Annulé",IF(L348&lt;&gt;"","Facturé",IF(G348="Accepté","Accepté",IF(G348="Refusé","Refusé",IF(p_asof&gt;H348,"Expiré","En attente"))))))</f>
        <v/>
      </c>
      <c r="N348" s="59" t="str">
        <f>IF(COUNTA(B348:C348,E348:G348)=0,"",IF(B348="","Date manquante",IF(NOT(ISNUMBER(B348)),"Date invalide",IF(C348="","Client manquant",IF(ISNA(MATCH(C348,cli_code,0)),"Client inconnu",IF(O348&lt;MAX($O$6:O347),"Date antérieure au devis précédent",IF(AND(ISNUMBER(F348),F348&lt;O348),"Validité antérieure à la date du devis",IF(AND(R348=0,G348&lt;&gt;"Annulé"),"Aucune ligne (feuille Lignes de devis)",IF(COUNTIFS(dl_doc,A348,dl_check,"&lt;&gt;OK")&gt;0,"Ligne(s) à corriger",IF(AND(L348&lt;&gt;"",OR(G348="Refusé",G348="Annulé")),"Devis refusé ou annulé mais facturé","OK"))))))))))</f>
        <v/>
      </c>
      <c r="O348" s="62">
        <f>IF(ISNUMBER(B348),B348,0)</f>
        <v>0.0</v>
      </c>
      <c r="P348" s="62" t="str">
        <f>IF(O348=0,"",YEAR(O348))</f>
        <v/>
      </c>
      <c r="Q348" s="62" t="str">
        <f>IF(P348="","",COUNTIF($P$6:P348,P348))</f>
        <v/>
      </c>
      <c r="R348" s="62">
        <f>IF(A348="",0,COUNTIF(dl_doc,A348))</f>
        <v>0.0</v>
      </c>
    </row>
    <row r="349">
      <c r="A349" s="59" t="str">
        <f>IF(Q349="","",p_pdv&amp;"-"&amp;P349&amp;"-"&amp;RIGHT("000"&amp;Q349,4))</f>
        <v/>
      </c>
      <c r="B349" s="61" t="n"/>
      <c r="C349" s="60" t="n"/>
      <c r="D349" s="62" t="str">
        <f>IF(C349="","",IFERROR(INDEX(cli_name,MATCH(C349,cli_code,0))&amp;"","Client inconnu"))</f>
        <v/>
      </c>
      <c r="E349" s="63" t="n"/>
      <c r="F349" s="61" t="n"/>
      <c r="G349" s="60" t="n"/>
      <c r="H349" s="64" t="str">
        <f>IF(A349="","",IF(ISNUMBER(F349),F349,O349+N(p_validity)))</f>
        <v/>
      </c>
      <c r="I349" s="65" t="str">
        <f>IF(A349="","",SUMIF(dl_doc,A349,dl_ht))</f>
        <v/>
      </c>
      <c r="J349" s="65" t="str">
        <f>IF(A349="","",IF(INDEX(p_rates,1)="",0,ROUND(SUMIFS(dl_ht,dl_doc,A349,dl_rate,INDEX(p_rates,1))*INDEX(p_rates,1),2))+IF(INDEX(p_rates,2)="",0,ROUND(SUMIFS(dl_ht,dl_doc,A349,dl_rate,INDEX(p_rates,2))*INDEX(p_rates,2),2))+IF(INDEX(p_rates,3)="",0,ROUND(SUMIFS(dl_ht,dl_doc,A349,dl_rate,INDEX(p_rates,3))*INDEX(p_rates,3),2))+IF(INDEX(p_rates,4)="",0,ROUND(SUMIFS(dl_ht,dl_doc,A349,dl_rate,INDEX(p_rates,4))*INDEX(p_rates,4),2))+IF(INDEX(p_rates,5)="",0,ROUND(SUMIFS(dl_ht,dl_doc,A349,dl_rate,INDEX(p_rates,5))*INDEX(p_rates,5),2))+IF(INDEX(p_rates,6)="",0,ROUND(SUMIFS(dl_ht,dl_doc,A349,dl_rate,INDEX(p_rates,6))*INDEX(p_rates,6),2)))</f>
        <v/>
      </c>
      <c r="K349" s="65" t="str">
        <f>IF(A349="","",I349+J349)</f>
        <v/>
      </c>
      <c r="L349" s="59" t="str">
        <f>IF(A349="","",IFERROR(INDEX(fa_num,MATCH(A349,fa_dvkey,0))&amp;"",""))</f>
        <v/>
      </c>
      <c r="M349" s="59" t="str">
        <f>IF(A349="","",IF(G349="Annulé","Annulé",IF(L349&lt;&gt;"","Facturé",IF(G349="Accepté","Accepté",IF(G349="Refusé","Refusé",IF(p_asof&gt;H349,"Expiré","En attente"))))))</f>
        <v/>
      </c>
      <c r="N349" s="59" t="str">
        <f>IF(COUNTA(B349:C349,E349:G349)=0,"",IF(B349="","Date manquante",IF(NOT(ISNUMBER(B349)),"Date invalide",IF(C349="","Client manquant",IF(ISNA(MATCH(C349,cli_code,0)),"Client inconnu",IF(O349&lt;MAX($O$6:O348),"Date antérieure au devis précédent",IF(AND(ISNUMBER(F349),F349&lt;O349),"Validité antérieure à la date du devis",IF(AND(R349=0,G349&lt;&gt;"Annulé"),"Aucune ligne (feuille Lignes de devis)",IF(COUNTIFS(dl_doc,A349,dl_check,"&lt;&gt;OK")&gt;0,"Ligne(s) à corriger",IF(AND(L349&lt;&gt;"",OR(G349="Refusé",G349="Annulé")),"Devis refusé ou annulé mais facturé","OK"))))))))))</f>
        <v/>
      </c>
      <c r="O349" s="62">
        <f>IF(ISNUMBER(B349),B349,0)</f>
        <v>0.0</v>
      </c>
      <c r="P349" s="62" t="str">
        <f>IF(O349=0,"",YEAR(O349))</f>
        <v/>
      </c>
      <c r="Q349" s="62" t="str">
        <f>IF(P349="","",COUNTIF($P$6:P349,P349))</f>
        <v/>
      </c>
      <c r="R349" s="62">
        <f>IF(A349="",0,COUNTIF(dl_doc,A349))</f>
        <v>0.0</v>
      </c>
    </row>
    <row r="350">
      <c r="A350" s="59" t="str">
        <f>IF(Q350="","",p_pdv&amp;"-"&amp;P350&amp;"-"&amp;RIGHT("000"&amp;Q350,4))</f>
        <v/>
      </c>
      <c r="B350" s="61" t="n"/>
      <c r="C350" s="60" t="n"/>
      <c r="D350" s="62" t="str">
        <f>IF(C350="","",IFERROR(INDEX(cli_name,MATCH(C350,cli_code,0))&amp;"","Client inconnu"))</f>
        <v/>
      </c>
      <c r="E350" s="63" t="n"/>
      <c r="F350" s="61" t="n"/>
      <c r="G350" s="60" t="n"/>
      <c r="H350" s="64" t="str">
        <f>IF(A350="","",IF(ISNUMBER(F350),F350,O350+N(p_validity)))</f>
        <v/>
      </c>
      <c r="I350" s="65" t="str">
        <f>IF(A350="","",SUMIF(dl_doc,A350,dl_ht))</f>
        <v/>
      </c>
      <c r="J350" s="65" t="str">
        <f>IF(A350="","",IF(INDEX(p_rates,1)="",0,ROUND(SUMIFS(dl_ht,dl_doc,A350,dl_rate,INDEX(p_rates,1))*INDEX(p_rates,1),2))+IF(INDEX(p_rates,2)="",0,ROUND(SUMIFS(dl_ht,dl_doc,A350,dl_rate,INDEX(p_rates,2))*INDEX(p_rates,2),2))+IF(INDEX(p_rates,3)="",0,ROUND(SUMIFS(dl_ht,dl_doc,A350,dl_rate,INDEX(p_rates,3))*INDEX(p_rates,3),2))+IF(INDEX(p_rates,4)="",0,ROUND(SUMIFS(dl_ht,dl_doc,A350,dl_rate,INDEX(p_rates,4))*INDEX(p_rates,4),2))+IF(INDEX(p_rates,5)="",0,ROUND(SUMIFS(dl_ht,dl_doc,A350,dl_rate,INDEX(p_rates,5))*INDEX(p_rates,5),2))+IF(INDEX(p_rates,6)="",0,ROUND(SUMIFS(dl_ht,dl_doc,A350,dl_rate,INDEX(p_rates,6))*INDEX(p_rates,6),2)))</f>
        <v/>
      </c>
      <c r="K350" s="65" t="str">
        <f>IF(A350="","",I350+J350)</f>
        <v/>
      </c>
      <c r="L350" s="59" t="str">
        <f>IF(A350="","",IFERROR(INDEX(fa_num,MATCH(A350,fa_dvkey,0))&amp;"",""))</f>
        <v/>
      </c>
      <c r="M350" s="59" t="str">
        <f>IF(A350="","",IF(G350="Annulé","Annulé",IF(L350&lt;&gt;"","Facturé",IF(G350="Accepté","Accepté",IF(G350="Refusé","Refusé",IF(p_asof&gt;H350,"Expiré","En attente"))))))</f>
        <v/>
      </c>
      <c r="N350" s="59" t="str">
        <f>IF(COUNTA(B350:C350,E350:G350)=0,"",IF(B350="","Date manquante",IF(NOT(ISNUMBER(B350)),"Date invalide",IF(C350="","Client manquant",IF(ISNA(MATCH(C350,cli_code,0)),"Client inconnu",IF(O350&lt;MAX($O$6:O349),"Date antérieure au devis précédent",IF(AND(ISNUMBER(F350),F350&lt;O350),"Validité antérieure à la date du devis",IF(AND(R350=0,G350&lt;&gt;"Annulé"),"Aucune ligne (feuille Lignes de devis)",IF(COUNTIFS(dl_doc,A350,dl_check,"&lt;&gt;OK")&gt;0,"Ligne(s) à corriger",IF(AND(L350&lt;&gt;"",OR(G350="Refusé",G350="Annulé")),"Devis refusé ou annulé mais facturé","OK"))))))))))</f>
        <v/>
      </c>
      <c r="O350" s="62">
        <f>IF(ISNUMBER(B350),B350,0)</f>
        <v>0.0</v>
      </c>
      <c r="P350" s="62" t="str">
        <f>IF(O350=0,"",YEAR(O350))</f>
        <v/>
      </c>
      <c r="Q350" s="62" t="str">
        <f>IF(P350="","",COUNTIF($P$6:P350,P350))</f>
        <v/>
      </c>
      <c r="R350" s="62">
        <f>IF(A350="",0,COUNTIF(dl_doc,A350))</f>
        <v>0.0</v>
      </c>
    </row>
    <row r="351">
      <c r="A351" s="59" t="str">
        <f>IF(Q351="","",p_pdv&amp;"-"&amp;P351&amp;"-"&amp;RIGHT("000"&amp;Q351,4))</f>
        <v/>
      </c>
      <c r="B351" s="61" t="n"/>
      <c r="C351" s="60" t="n"/>
      <c r="D351" s="62" t="str">
        <f>IF(C351="","",IFERROR(INDEX(cli_name,MATCH(C351,cli_code,0))&amp;"","Client inconnu"))</f>
        <v/>
      </c>
      <c r="E351" s="63" t="n"/>
      <c r="F351" s="61" t="n"/>
      <c r="G351" s="60" t="n"/>
      <c r="H351" s="64" t="str">
        <f>IF(A351="","",IF(ISNUMBER(F351),F351,O351+N(p_validity)))</f>
        <v/>
      </c>
      <c r="I351" s="65" t="str">
        <f>IF(A351="","",SUMIF(dl_doc,A351,dl_ht))</f>
        <v/>
      </c>
      <c r="J351" s="65" t="str">
        <f>IF(A351="","",IF(INDEX(p_rates,1)="",0,ROUND(SUMIFS(dl_ht,dl_doc,A351,dl_rate,INDEX(p_rates,1))*INDEX(p_rates,1),2))+IF(INDEX(p_rates,2)="",0,ROUND(SUMIFS(dl_ht,dl_doc,A351,dl_rate,INDEX(p_rates,2))*INDEX(p_rates,2),2))+IF(INDEX(p_rates,3)="",0,ROUND(SUMIFS(dl_ht,dl_doc,A351,dl_rate,INDEX(p_rates,3))*INDEX(p_rates,3),2))+IF(INDEX(p_rates,4)="",0,ROUND(SUMIFS(dl_ht,dl_doc,A351,dl_rate,INDEX(p_rates,4))*INDEX(p_rates,4),2))+IF(INDEX(p_rates,5)="",0,ROUND(SUMIFS(dl_ht,dl_doc,A351,dl_rate,INDEX(p_rates,5))*INDEX(p_rates,5),2))+IF(INDEX(p_rates,6)="",0,ROUND(SUMIFS(dl_ht,dl_doc,A351,dl_rate,INDEX(p_rates,6))*INDEX(p_rates,6),2)))</f>
        <v/>
      </c>
      <c r="K351" s="65" t="str">
        <f>IF(A351="","",I351+J351)</f>
        <v/>
      </c>
      <c r="L351" s="59" t="str">
        <f>IF(A351="","",IFERROR(INDEX(fa_num,MATCH(A351,fa_dvkey,0))&amp;"",""))</f>
        <v/>
      </c>
      <c r="M351" s="59" t="str">
        <f>IF(A351="","",IF(G351="Annulé","Annulé",IF(L351&lt;&gt;"","Facturé",IF(G351="Accepté","Accepté",IF(G351="Refusé","Refusé",IF(p_asof&gt;H351,"Expiré","En attente"))))))</f>
        <v/>
      </c>
      <c r="N351" s="59" t="str">
        <f>IF(COUNTA(B351:C351,E351:G351)=0,"",IF(B351="","Date manquante",IF(NOT(ISNUMBER(B351)),"Date invalide",IF(C351="","Client manquant",IF(ISNA(MATCH(C351,cli_code,0)),"Client inconnu",IF(O351&lt;MAX($O$6:O350),"Date antérieure au devis précédent",IF(AND(ISNUMBER(F351),F351&lt;O351),"Validité antérieure à la date du devis",IF(AND(R351=0,G351&lt;&gt;"Annulé"),"Aucune ligne (feuille Lignes de devis)",IF(COUNTIFS(dl_doc,A351,dl_check,"&lt;&gt;OK")&gt;0,"Ligne(s) à corriger",IF(AND(L351&lt;&gt;"",OR(G351="Refusé",G351="Annulé")),"Devis refusé ou annulé mais facturé","OK"))))))))))</f>
        <v/>
      </c>
      <c r="O351" s="62">
        <f>IF(ISNUMBER(B351),B351,0)</f>
        <v>0.0</v>
      </c>
      <c r="P351" s="62" t="str">
        <f>IF(O351=0,"",YEAR(O351))</f>
        <v/>
      </c>
      <c r="Q351" s="62" t="str">
        <f>IF(P351="","",COUNTIF($P$6:P351,P351))</f>
        <v/>
      </c>
      <c r="R351" s="62">
        <f>IF(A351="",0,COUNTIF(dl_doc,A351))</f>
        <v>0.0</v>
      </c>
    </row>
    <row r="352">
      <c r="A352" s="59" t="str">
        <f>IF(Q352="","",p_pdv&amp;"-"&amp;P352&amp;"-"&amp;RIGHT("000"&amp;Q352,4))</f>
        <v/>
      </c>
      <c r="B352" s="61" t="n"/>
      <c r="C352" s="60" t="n"/>
      <c r="D352" s="62" t="str">
        <f>IF(C352="","",IFERROR(INDEX(cli_name,MATCH(C352,cli_code,0))&amp;"","Client inconnu"))</f>
        <v/>
      </c>
      <c r="E352" s="63" t="n"/>
      <c r="F352" s="61" t="n"/>
      <c r="G352" s="60" t="n"/>
      <c r="H352" s="64" t="str">
        <f>IF(A352="","",IF(ISNUMBER(F352),F352,O352+N(p_validity)))</f>
        <v/>
      </c>
      <c r="I352" s="65" t="str">
        <f>IF(A352="","",SUMIF(dl_doc,A352,dl_ht))</f>
        <v/>
      </c>
      <c r="J352" s="65" t="str">
        <f>IF(A352="","",IF(INDEX(p_rates,1)="",0,ROUND(SUMIFS(dl_ht,dl_doc,A352,dl_rate,INDEX(p_rates,1))*INDEX(p_rates,1),2))+IF(INDEX(p_rates,2)="",0,ROUND(SUMIFS(dl_ht,dl_doc,A352,dl_rate,INDEX(p_rates,2))*INDEX(p_rates,2),2))+IF(INDEX(p_rates,3)="",0,ROUND(SUMIFS(dl_ht,dl_doc,A352,dl_rate,INDEX(p_rates,3))*INDEX(p_rates,3),2))+IF(INDEX(p_rates,4)="",0,ROUND(SUMIFS(dl_ht,dl_doc,A352,dl_rate,INDEX(p_rates,4))*INDEX(p_rates,4),2))+IF(INDEX(p_rates,5)="",0,ROUND(SUMIFS(dl_ht,dl_doc,A352,dl_rate,INDEX(p_rates,5))*INDEX(p_rates,5),2))+IF(INDEX(p_rates,6)="",0,ROUND(SUMIFS(dl_ht,dl_doc,A352,dl_rate,INDEX(p_rates,6))*INDEX(p_rates,6),2)))</f>
        <v/>
      </c>
      <c r="K352" s="65" t="str">
        <f>IF(A352="","",I352+J352)</f>
        <v/>
      </c>
      <c r="L352" s="59" t="str">
        <f>IF(A352="","",IFERROR(INDEX(fa_num,MATCH(A352,fa_dvkey,0))&amp;"",""))</f>
        <v/>
      </c>
      <c r="M352" s="59" t="str">
        <f>IF(A352="","",IF(G352="Annulé","Annulé",IF(L352&lt;&gt;"","Facturé",IF(G352="Accepté","Accepté",IF(G352="Refusé","Refusé",IF(p_asof&gt;H352,"Expiré","En attente"))))))</f>
        <v/>
      </c>
      <c r="N352" s="59" t="str">
        <f>IF(COUNTA(B352:C352,E352:G352)=0,"",IF(B352="","Date manquante",IF(NOT(ISNUMBER(B352)),"Date invalide",IF(C352="","Client manquant",IF(ISNA(MATCH(C352,cli_code,0)),"Client inconnu",IF(O352&lt;MAX($O$6:O351),"Date antérieure au devis précédent",IF(AND(ISNUMBER(F352),F352&lt;O352),"Validité antérieure à la date du devis",IF(AND(R352=0,G352&lt;&gt;"Annulé"),"Aucune ligne (feuille Lignes de devis)",IF(COUNTIFS(dl_doc,A352,dl_check,"&lt;&gt;OK")&gt;0,"Ligne(s) à corriger",IF(AND(L352&lt;&gt;"",OR(G352="Refusé",G352="Annulé")),"Devis refusé ou annulé mais facturé","OK"))))))))))</f>
        <v/>
      </c>
      <c r="O352" s="62">
        <f>IF(ISNUMBER(B352),B352,0)</f>
        <v>0.0</v>
      </c>
      <c r="P352" s="62" t="str">
        <f>IF(O352=0,"",YEAR(O352))</f>
        <v/>
      </c>
      <c r="Q352" s="62" t="str">
        <f>IF(P352="","",COUNTIF($P$6:P352,P352))</f>
        <v/>
      </c>
      <c r="R352" s="62">
        <f>IF(A352="",0,COUNTIF(dl_doc,A352))</f>
        <v>0.0</v>
      </c>
    </row>
    <row r="353">
      <c r="A353" s="59" t="str">
        <f>IF(Q353="","",p_pdv&amp;"-"&amp;P353&amp;"-"&amp;RIGHT("000"&amp;Q353,4))</f>
        <v/>
      </c>
      <c r="B353" s="61" t="n"/>
      <c r="C353" s="60" t="n"/>
      <c r="D353" s="62" t="str">
        <f>IF(C353="","",IFERROR(INDEX(cli_name,MATCH(C353,cli_code,0))&amp;"","Client inconnu"))</f>
        <v/>
      </c>
      <c r="E353" s="63" t="n"/>
      <c r="F353" s="61" t="n"/>
      <c r="G353" s="60" t="n"/>
      <c r="H353" s="64" t="str">
        <f>IF(A353="","",IF(ISNUMBER(F353),F353,O353+N(p_validity)))</f>
        <v/>
      </c>
      <c r="I353" s="65" t="str">
        <f>IF(A353="","",SUMIF(dl_doc,A353,dl_ht))</f>
        <v/>
      </c>
      <c r="J353" s="65" t="str">
        <f>IF(A353="","",IF(INDEX(p_rates,1)="",0,ROUND(SUMIFS(dl_ht,dl_doc,A353,dl_rate,INDEX(p_rates,1))*INDEX(p_rates,1),2))+IF(INDEX(p_rates,2)="",0,ROUND(SUMIFS(dl_ht,dl_doc,A353,dl_rate,INDEX(p_rates,2))*INDEX(p_rates,2),2))+IF(INDEX(p_rates,3)="",0,ROUND(SUMIFS(dl_ht,dl_doc,A353,dl_rate,INDEX(p_rates,3))*INDEX(p_rates,3),2))+IF(INDEX(p_rates,4)="",0,ROUND(SUMIFS(dl_ht,dl_doc,A353,dl_rate,INDEX(p_rates,4))*INDEX(p_rates,4),2))+IF(INDEX(p_rates,5)="",0,ROUND(SUMIFS(dl_ht,dl_doc,A353,dl_rate,INDEX(p_rates,5))*INDEX(p_rates,5),2))+IF(INDEX(p_rates,6)="",0,ROUND(SUMIFS(dl_ht,dl_doc,A353,dl_rate,INDEX(p_rates,6))*INDEX(p_rates,6),2)))</f>
        <v/>
      </c>
      <c r="K353" s="65" t="str">
        <f>IF(A353="","",I353+J353)</f>
        <v/>
      </c>
      <c r="L353" s="59" t="str">
        <f>IF(A353="","",IFERROR(INDEX(fa_num,MATCH(A353,fa_dvkey,0))&amp;"",""))</f>
        <v/>
      </c>
      <c r="M353" s="59" t="str">
        <f>IF(A353="","",IF(G353="Annulé","Annulé",IF(L353&lt;&gt;"","Facturé",IF(G353="Accepté","Accepté",IF(G353="Refusé","Refusé",IF(p_asof&gt;H353,"Expiré","En attente"))))))</f>
        <v/>
      </c>
      <c r="N353" s="59" t="str">
        <f>IF(COUNTA(B353:C353,E353:G353)=0,"",IF(B353="","Date manquante",IF(NOT(ISNUMBER(B353)),"Date invalide",IF(C353="","Client manquant",IF(ISNA(MATCH(C353,cli_code,0)),"Client inconnu",IF(O353&lt;MAX($O$6:O352),"Date antérieure au devis précédent",IF(AND(ISNUMBER(F353),F353&lt;O353),"Validité antérieure à la date du devis",IF(AND(R353=0,G353&lt;&gt;"Annulé"),"Aucune ligne (feuille Lignes de devis)",IF(COUNTIFS(dl_doc,A353,dl_check,"&lt;&gt;OK")&gt;0,"Ligne(s) à corriger",IF(AND(L353&lt;&gt;"",OR(G353="Refusé",G353="Annulé")),"Devis refusé ou annulé mais facturé","OK"))))))))))</f>
        <v/>
      </c>
      <c r="O353" s="62">
        <f>IF(ISNUMBER(B353),B353,0)</f>
        <v>0.0</v>
      </c>
      <c r="P353" s="62" t="str">
        <f>IF(O353=0,"",YEAR(O353))</f>
        <v/>
      </c>
      <c r="Q353" s="62" t="str">
        <f>IF(P353="","",COUNTIF($P$6:P353,P353))</f>
        <v/>
      </c>
      <c r="R353" s="62">
        <f>IF(A353="",0,COUNTIF(dl_doc,A353))</f>
        <v>0.0</v>
      </c>
    </row>
    <row r="354">
      <c r="A354" s="59" t="str">
        <f>IF(Q354="","",p_pdv&amp;"-"&amp;P354&amp;"-"&amp;RIGHT("000"&amp;Q354,4))</f>
        <v/>
      </c>
      <c r="B354" s="61" t="n"/>
      <c r="C354" s="60" t="n"/>
      <c r="D354" s="62" t="str">
        <f>IF(C354="","",IFERROR(INDEX(cli_name,MATCH(C354,cli_code,0))&amp;"","Client inconnu"))</f>
        <v/>
      </c>
      <c r="E354" s="63" t="n"/>
      <c r="F354" s="61" t="n"/>
      <c r="G354" s="60" t="n"/>
      <c r="H354" s="64" t="str">
        <f>IF(A354="","",IF(ISNUMBER(F354),F354,O354+N(p_validity)))</f>
        <v/>
      </c>
      <c r="I354" s="65" t="str">
        <f>IF(A354="","",SUMIF(dl_doc,A354,dl_ht))</f>
        <v/>
      </c>
      <c r="J354" s="65" t="str">
        <f>IF(A354="","",IF(INDEX(p_rates,1)="",0,ROUND(SUMIFS(dl_ht,dl_doc,A354,dl_rate,INDEX(p_rates,1))*INDEX(p_rates,1),2))+IF(INDEX(p_rates,2)="",0,ROUND(SUMIFS(dl_ht,dl_doc,A354,dl_rate,INDEX(p_rates,2))*INDEX(p_rates,2),2))+IF(INDEX(p_rates,3)="",0,ROUND(SUMIFS(dl_ht,dl_doc,A354,dl_rate,INDEX(p_rates,3))*INDEX(p_rates,3),2))+IF(INDEX(p_rates,4)="",0,ROUND(SUMIFS(dl_ht,dl_doc,A354,dl_rate,INDEX(p_rates,4))*INDEX(p_rates,4),2))+IF(INDEX(p_rates,5)="",0,ROUND(SUMIFS(dl_ht,dl_doc,A354,dl_rate,INDEX(p_rates,5))*INDEX(p_rates,5),2))+IF(INDEX(p_rates,6)="",0,ROUND(SUMIFS(dl_ht,dl_doc,A354,dl_rate,INDEX(p_rates,6))*INDEX(p_rates,6),2)))</f>
        <v/>
      </c>
      <c r="K354" s="65" t="str">
        <f>IF(A354="","",I354+J354)</f>
        <v/>
      </c>
      <c r="L354" s="59" t="str">
        <f>IF(A354="","",IFERROR(INDEX(fa_num,MATCH(A354,fa_dvkey,0))&amp;"",""))</f>
        <v/>
      </c>
      <c r="M354" s="59" t="str">
        <f>IF(A354="","",IF(G354="Annulé","Annulé",IF(L354&lt;&gt;"","Facturé",IF(G354="Accepté","Accepté",IF(G354="Refusé","Refusé",IF(p_asof&gt;H354,"Expiré","En attente"))))))</f>
        <v/>
      </c>
      <c r="N354" s="59" t="str">
        <f>IF(COUNTA(B354:C354,E354:G354)=0,"",IF(B354="","Date manquante",IF(NOT(ISNUMBER(B354)),"Date invalide",IF(C354="","Client manquant",IF(ISNA(MATCH(C354,cli_code,0)),"Client inconnu",IF(O354&lt;MAX($O$6:O353),"Date antérieure au devis précédent",IF(AND(ISNUMBER(F354),F354&lt;O354),"Validité antérieure à la date du devis",IF(AND(R354=0,G354&lt;&gt;"Annulé"),"Aucune ligne (feuille Lignes de devis)",IF(COUNTIFS(dl_doc,A354,dl_check,"&lt;&gt;OK")&gt;0,"Ligne(s) à corriger",IF(AND(L354&lt;&gt;"",OR(G354="Refusé",G354="Annulé")),"Devis refusé ou annulé mais facturé","OK"))))))))))</f>
        <v/>
      </c>
      <c r="O354" s="62">
        <f>IF(ISNUMBER(B354),B354,0)</f>
        <v>0.0</v>
      </c>
      <c r="P354" s="62" t="str">
        <f>IF(O354=0,"",YEAR(O354))</f>
        <v/>
      </c>
      <c r="Q354" s="62" t="str">
        <f>IF(P354="","",COUNTIF($P$6:P354,P354))</f>
        <v/>
      </c>
      <c r="R354" s="62">
        <f>IF(A354="",0,COUNTIF(dl_doc,A354))</f>
        <v>0.0</v>
      </c>
    </row>
    <row r="355">
      <c r="A355" s="59" t="str">
        <f>IF(Q355="","",p_pdv&amp;"-"&amp;P355&amp;"-"&amp;RIGHT("000"&amp;Q355,4))</f>
        <v/>
      </c>
      <c r="B355" s="61" t="n"/>
      <c r="C355" s="60" t="n"/>
      <c r="D355" s="62" t="str">
        <f>IF(C355="","",IFERROR(INDEX(cli_name,MATCH(C355,cli_code,0))&amp;"","Client inconnu"))</f>
        <v/>
      </c>
      <c r="E355" s="63" t="n"/>
      <c r="F355" s="61" t="n"/>
      <c r="G355" s="60" t="n"/>
      <c r="H355" s="64" t="str">
        <f>IF(A355="","",IF(ISNUMBER(F355),F355,O355+N(p_validity)))</f>
        <v/>
      </c>
      <c r="I355" s="65" t="str">
        <f>IF(A355="","",SUMIF(dl_doc,A355,dl_ht))</f>
        <v/>
      </c>
      <c r="J355" s="65" t="str">
        <f>IF(A355="","",IF(INDEX(p_rates,1)="",0,ROUND(SUMIFS(dl_ht,dl_doc,A355,dl_rate,INDEX(p_rates,1))*INDEX(p_rates,1),2))+IF(INDEX(p_rates,2)="",0,ROUND(SUMIFS(dl_ht,dl_doc,A355,dl_rate,INDEX(p_rates,2))*INDEX(p_rates,2),2))+IF(INDEX(p_rates,3)="",0,ROUND(SUMIFS(dl_ht,dl_doc,A355,dl_rate,INDEX(p_rates,3))*INDEX(p_rates,3),2))+IF(INDEX(p_rates,4)="",0,ROUND(SUMIFS(dl_ht,dl_doc,A355,dl_rate,INDEX(p_rates,4))*INDEX(p_rates,4),2))+IF(INDEX(p_rates,5)="",0,ROUND(SUMIFS(dl_ht,dl_doc,A355,dl_rate,INDEX(p_rates,5))*INDEX(p_rates,5),2))+IF(INDEX(p_rates,6)="",0,ROUND(SUMIFS(dl_ht,dl_doc,A355,dl_rate,INDEX(p_rates,6))*INDEX(p_rates,6),2)))</f>
        <v/>
      </c>
      <c r="K355" s="65" t="str">
        <f>IF(A355="","",I355+J355)</f>
        <v/>
      </c>
      <c r="L355" s="59" t="str">
        <f>IF(A355="","",IFERROR(INDEX(fa_num,MATCH(A355,fa_dvkey,0))&amp;"",""))</f>
        <v/>
      </c>
      <c r="M355" s="59" t="str">
        <f>IF(A355="","",IF(G355="Annulé","Annulé",IF(L355&lt;&gt;"","Facturé",IF(G355="Accepté","Accepté",IF(G355="Refusé","Refusé",IF(p_asof&gt;H355,"Expiré","En attente"))))))</f>
        <v/>
      </c>
      <c r="N355" s="59" t="str">
        <f>IF(COUNTA(B355:C355,E355:G355)=0,"",IF(B355="","Date manquante",IF(NOT(ISNUMBER(B355)),"Date invalide",IF(C355="","Client manquant",IF(ISNA(MATCH(C355,cli_code,0)),"Client inconnu",IF(O355&lt;MAX($O$6:O354),"Date antérieure au devis précédent",IF(AND(ISNUMBER(F355),F355&lt;O355),"Validité antérieure à la date du devis",IF(AND(R355=0,G355&lt;&gt;"Annulé"),"Aucune ligne (feuille Lignes de devis)",IF(COUNTIFS(dl_doc,A355,dl_check,"&lt;&gt;OK")&gt;0,"Ligne(s) à corriger",IF(AND(L355&lt;&gt;"",OR(G355="Refusé",G355="Annulé")),"Devis refusé ou annulé mais facturé","OK"))))))))))</f>
        <v/>
      </c>
      <c r="O355" s="62">
        <f>IF(ISNUMBER(B355),B355,0)</f>
        <v>0.0</v>
      </c>
      <c r="P355" s="62" t="str">
        <f>IF(O355=0,"",YEAR(O355))</f>
        <v/>
      </c>
      <c r="Q355" s="62" t="str">
        <f>IF(P355="","",COUNTIF($P$6:P355,P355))</f>
        <v/>
      </c>
      <c r="R355" s="62">
        <f>IF(A355="",0,COUNTIF(dl_doc,A355))</f>
        <v>0.0</v>
      </c>
    </row>
    <row r="356">
      <c r="A356" s="59" t="str">
        <f>IF(Q356="","",p_pdv&amp;"-"&amp;P356&amp;"-"&amp;RIGHT("000"&amp;Q356,4))</f>
        <v/>
      </c>
      <c r="B356" s="61" t="n"/>
      <c r="C356" s="60" t="n"/>
      <c r="D356" s="62" t="str">
        <f>IF(C356="","",IFERROR(INDEX(cli_name,MATCH(C356,cli_code,0))&amp;"","Client inconnu"))</f>
        <v/>
      </c>
      <c r="E356" s="63" t="n"/>
      <c r="F356" s="61" t="n"/>
      <c r="G356" s="60" t="n"/>
      <c r="H356" s="64" t="str">
        <f>IF(A356="","",IF(ISNUMBER(F356),F356,O356+N(p_validity)))</f>
        <v/>
      </c>
      <c r="I356" s="65" t="str">
        <f>IF(A356="","",SUMIF(dl_doc,A356,dl_ht))</f>
        <v/>
      </c>
      <c r="J356" s="65" t="str">
        <f>IF(A356="","",IF(INDEX(p_rates,1)="",0,ROUND(SUMIFS(dl_ht,dl_doc,A356,dl_rate,INDEX(p_rates,1))*INDEX(p_rates,1),2))+IF(INDEX(p_rates,2)="",0,ROUND(SUMIFS(dl_ht,dl_doc,A356,dl_rate,INDEX(p_rates,2))*INDEX(p_rates,2),2))+IF(INDEX(p_rates,3)="",0,ROUND(SUMIFS(dl_ht,dl_doc,A356,dl_rate,INDEX(p_rates,3))*INDEX(p_rates,3),2))+IF(INDEX(p_rates,4)="",0,ROUND(SUMIFS(dl_ht,dl_doc,A356,dl_rate,INDEX(p_rates,4))*INDEX(p_rates,4),2))+IF(INDEX(p_rates,5)="",0,ROUND(SUMIFS(dl_ht,dl_doc,A356,dl_rate,INDEX(p_rates,5))*INDEX(p_rates,5),2))+IF(INDEX(p_rates,6)="",0,ROUND(SUMIFS(dl_ht,dl_doc,A356,dl_rate,INDEX(p_rates,6))*INDEX(p_rates,6),2)))</f>
        <v/>
      </c>
      <c r="K356" s="65" t="str">
        <f>IF(A356="","",I356+J356)</f>
        <v/>
      </c>
      <c r="L356" s="59" t="str">
        <f>IF(A356="","",IFERROR(INDEX(fa_num,MATCH(A356,fa_dvkey,0))&amp;"",""))</f>
        <v/>
      </c>
      <c r="M356" s="59" t="str">
        <f>IF(A356="","",IF(G356="Annulé","Annulé",IF(L356&lt;&gt;"","Facturé",IF(G356="Accepté","Accepté",IF(G356="Refusé","Refusé",IF(p_asof&gt;H356,"Expiré","En attente"))))))</f>
        <v/>
      </c>
      <c r="N356" s="59" t="str">
        <f>IF(COUNTA(B356:C356,E356:G356)=0,"",IF(B356="","Date manquante",IF(NOT(ISNUMBER(B356)),"Date invalide",IF(C356="","Client manquant",IF(ISNA(MATCH(C356,cli_code,0)),"Client inconnu",IF(O356&lt;MAX($O$6:O355),"Date antérieure au devis précédent",IF(AND(ISNUMBER(F356),F356&lt;O356),"Validité antérieure à la date du devis",IF(AND(R356=0,G356&lt;&gt;"Annulé"),"Aucune ligne (feuille Lignes de devis)",IF(COUNTIFS(dl_doc,A356,dl_check,"&lt;&gt;OK")&gt;0,"Ligne(s) à corriger",IF(AND(L356&lt;&gt;"",OR(G356="Refusé",G356="Annulé")),"Devis refusé ou annulé mais facturé","OK"))))))))))</f>
        <v/>
      </c>
      <c r="O356" s="62">
        <f>IF(ISNUMBER(B356),B356,0)</f>
        <v>0.0</v>
      </c>
      <c r="P356" s="62" t="str">
        <f>IF(O356=0,"",YEAR(O356))</f>
        <v/>
      </c>
      <c r="Q356" s="62" t="str">
        <f>IF(P356="","",COUNTIF($P$6:P356,P356))</f>
        <v/>
      </c>
      <c r="R356" s="62">
        <f>IF(A356="",0,COUNTIF(dl_doc,A356))</f>
        <v>0.0</v>
      </c>
    </row>
    <row r="357">
      <c r="A357" s="59" t="str">
        <f>IF(Q357="","",p_pdv&amp;"-"&amp;P357&amp;"-"&amp;RIGHT("000"&amp;Q357,4))</f>
        <v/>
      </c>
      <c r="B357" s="61" t="n"/>
      <c r="C357" s="60" t="n"/>
      <c r="D357" s="62" t="str">
        <f>IF(C357="","",IFERROR(INDEX(cli_name,MATCH(C357,cli_code,0))&amp;"","Client inconnu"))</f>
        <v/>
      </c>
      <c r="E357" s="63" t="n"/>
      <c r="F357" s="61" t="n"/>
      <c r="G357" s="60" t="n"/>
      <c r="H357" s="64" t="str">
        <f>IF(A357="","",IF(ISNUMBER(F357),F357,O357+N(p_validity)))</f>
        <v/>
      </c>
      <c r="I357" s="65" t="str">
        <f>IF(A357="","",SUMIF(dl_doc,A357,dl_ht))</f>
        <v/>
      </c>
      <c r="J357" s="65" t="str">
        <f>IF(A357="","",IF(INDEX(p_rates,1)="",0,ROUND(SUMIFS(dl_ht,dl_doc,A357,dl_rate,INDEX(p_rates,1))*INDEX(p_rates,1),2))+IF(INDEX(p_rates,2)="",0,ROUND(SUMIFS(dl_ht,dl_doc,A357,dl_rate,INDEX(p_rates,2))*INDEX(p_rates,2),2))+IF(INDEX(p_rates,3)="",0,ROUND(SUMIFS(dl_ht,dl_doc,A357,dl_rate,INDEX(p_rates,3))*INDEX(p_rates,3),2))+IF(INDEX(p_rates,4)="",0,ROUND(SUMIFS(dl_ht,dl_doc,A357,dl_rate,INDEX(p_rates,4))*INDEX(p_rates,4),2))+IF(INDEX(p_rates,5)="",0,ROUND(SUMIFS(dl_ht,dl_doc,A357,dl_rate,INDEX(p_rates,5))*INDEX(p_rates,5),2))+IF(INDEX(p_rates,6)="",0,ROUND(SUMIFS(dl_ht,dl_doc,A357,dl_rate,INDEX(p_rates,6))*INDEX(p_rates,6),2)))</f>
        <v/>
      </c>
      <c r="K357" s="65" t="str">
        <f>IF(A357="","",I357+J357)</f>
        <v/>
      </c>
      <c r="L357" s="59" t="str">
        <f>IF(A357="","",IFERROR(INDEX(fa_num,MATCH(A357,fa_dvkey,0))&amp;"",""))</f>
        <v/>
      </c>
      <c r="M357" s="59" t="str">
        <f>IF(A357="","",IF(G357="Annulé","Annulé",IF(L357&lt;&gt;"","Facturé",IF(G357="Accepté","Accepté",IF(G357="Refusé","Refusé",IF(p_asof&gt;H357,"Expiré","En attente"))))))</f>
        <v/>
      </c>
      <c r="N357" s="59" t="str">
        <f>IF(COUNTA(B357:C357,E357:G357)=0,"",IF(B357="","Date manquante",IF(NOT(ISNUMBER(B357)),"Date invalide",IF(C357="","Client manquant",IF(ISNA(MATCH(C357,cli_code,0)),"Client inconnu",IF(O357&lt;MAX($O$6:O356),"Date antérieure au devis précédent",IF(AND(ISNUMBER(F357),F357&lt;O357),"Validité antérieure à la date du devis",IF(AND(R357=0,G357&lt;&gt;"Annulé"),"Aucune ligne (feuille Lignes de devis)",IF(COUNTIFS(dl_doc,A357,dl_check,"&lt;&gt;OK")&gt;0,"Ligne(s) à corriger",IF(AND(L357&lt;&gt;"",OR(G357="Refusé",G357="Annulé")),"Devis refusé ou annulé mais facturé","OK"))))))))))</f>
        <v/>
      </c>
      <c r="O357" s="62">
        <f>IF(ISNUMBER(B357),B357,0)</f>
        <v>0.0</v>
      </c>
      <c r="P357" s="62" t="str">
        <f>IF(O357=0,"",YEAR(O357))</f>
        <v/>
      </c>
      <c r="Q357" s="62" t="str">
        <f>IF(P357="","",COUNTIF($P$6:P357,P357))</f>
        <v/>
      </c>
      <c r="R357" s="62">
        <f>IF(A357="",0,COUNTIF(dl_doc,A357))</f>
        <v>0.0</v>
      </c>
    </row>
    <row r="358">
      <c r="A358" s="59" t="str">
        <f>IF(Q358="","",p_pdv&amp;"-"&amp;P358&amp;"-"&amp;RIGHT("000"&amp;Q358,4))</f>
        <v/>
      </c>
      <c r="B358" s="61" t="n"/>
      <c r="C358" s="60" t="n"/>
      <c r="D358" s="62" t="str">
        <f>IF(C358="","",IFERROR(INDEX(cli_name,MATCH(C358,cli_code,0))&amp;"","Client inconnu"))</f>
        <v/>
      </c>
      <c r="E358" s="63" t="n"/>
      <c r="F358" s="61" t="n"/>
      <c r="G358" s="60" t="n"/>
      <c r="H358" s="64" t="str">
        <f>IF(A358="","",IF(ISNUMBER(F358),F358,O358+N(p_validity)))</f>
        <v/>
      </c>
      <c r="I358" s="65" t="str">
        <f>IF(A358="","",SUMIF(dl_doc,A358,dl_ht))</f>
        <v/>
      </c>
      <c r="J358" s="65" t="str">
        <f>IF(A358="","",IF(INDEX(p_rates,1)="",0,ROUND(SUMIFS(dl_ht,dl_doc,A358,dl_rate,INDEX(p_rates,1))*INDEX(p_rates,1),2))+IF(INDEX(p_rates,2)="",0,ROUND(SUMIFS(dl_ht,dl_doc,A358,dl_rate,INDEX(p_rates,2))*INDEX(p_rates,2),2))+IF(INDEX(p_rates,3)="",0,ROUND(SUMIFS(dl_ht,dl_doc,A358,dl_rate,INDEX(p_rates,3))*INDEX(p_rates,3),2))+IF(INDEX(p_rates,4)="",0,ROUND(SUMIFS(dl_ht,dl_doc,A358,dl_rate,INDEX(p_rates,4))*INDEX(p_rates,4),2))+IF(INDEX(p_rates,5)="",0,ROUND(SUMIFS(dl_ht,dl_doc,A358,dl_rate,INDEX(p_rates,5))*INDEX(p_rates,5),2))+IF(INDEX(p_rates,6)="",0,ROUND(SUMIFS(dl_ht,dl_doc,A358,dl_rate,INDEX(p_rates,6))*INDEX(p_rates,6),2)))</f>
        <v/>
      </c>
      <c r="K358" s="65" t="str">
        <f>IF(A358="","",I358+J358)</f>
        <v/>
      </c>
      <c r="L358" s="59" t="str">
        <f>IF(A358="","",IFERROR(INDEX(fa_num,MATCH(A358,fa_dvkey,0))&amp;"",""))</f>
        <v/>
      </c>
      <c r="M358" s="59" t="str">
        <f>IF(A358="","",IF(G358="Annulé","Annulé",IF(L358&lt;&gt;"","Facturé",IF(G358="Accepté","Accepté",IF(G358="Refusé","Refusé",IF(p_asof&gt;H358,"Expiré","En attente"))))))</f>
        <v/>
      </c>
      <c r="N358" s="59" t="str">
        <f>IF(COUNTA(B358:C358,E358:G358)=0,"",IF(B358="","Date manquante",IF(NOT(ISNUMBER(B358)),"Date invalide",IF(C358="","Client manquant",IF(ISNA(MATCH(C358,cli_code,0)),"Client inconnu",IF(O358&lt;MAX($O$6:O357),"Date antérieure au devis précédent",IF(AND(ISNUMBER(F358),F358&lt;O358),"Validité antérieure à la date du devis",IF(AND(R358=0,G358&lt;&gt;"Annulé"),"Aucune ligne (feuille Lignes de devis)",IF(COUNTIFS(dl_doc,A358,dl_check,"&lt;&gt;OK")&gt;0,"Ligne(s) à corriger",IF(AND(L358&lt;&gt;"",OR(G358="Refusé",G358="Annulé")),"Devis refusé ou annulé mais facturé","OK"))))))))))</f>
        <v/>
      </c>
      <c r="O358" s="62">
        <f>IF(ISNUMBER(B358),B358,0)</f>
        <v>0.0</v>
      </c>
      <c r="P358" s="62" t="str">
        <f>IF(O358=0,"",YEAR(O358))</f>
        <v/>
      </c>
      <c r="Q358" s="62" t="str">
        <f>IF(P358="","",COUNTIF($P$6:P358,P358))</f>
        <v/>
      </c>
      <c r="R358" s="62">
        <f>IF(A358="",0,COUNTIF(dl_doc,A358))</f>
        <v>0.0</v>
      </c>
    </row>
    <row r="359">
      <c r="A359" s="59" t="str">
        <f>IF(Q359="","",p_pdv&amp;"-"&amp;P359&amp;"-"&amp;RIGHT("000"&amp;Q359,4))</f>
        <v/>
      </c>
      <c r="B359" s="61" t="n"/>
      <c r="C359" s="60" t="n"/>
      <c r="D359" s="62" t="str">
        <f>IF(C359="","",IFERROR(INDEX(cli_name,MATCH(C359,cli_code,0))&amp;"","Client inconnu"))</f>
        <v/>
      </c>
      <c r="E359" s="63" t="n"/>
      <c r="F359" s="61" t="n"/>
      <c r="G359" s="60" t="n"/>
      <c r="H359" s="64" t="str">
        <f>IF(A359="","",IF(ISNUMBER(F359),F359,O359+N(p_validity)))</f>
        <v/>
      </c>
      <c r="I359" s="65" t="str">
        <f>IF(A359="","",SUMIF(dl_doc,A359,dl_ht))</f>
        <v/>
      </c>
      <c r="J359" s="65" t="str">
        <f>IF(A359="","",IF(INDEX(p_rates,1)="",0,ROUND(SUMIFS(dl_ht,dl_doc,A359,dl_rate,INDEX(p_rates,1))*INDEX(p_rates,1),2))+IF(INDEX(p_rates,2)="",0,ROUND(SUMIFS(dl_ht,dl_doc,A359,dl_rate,INDEX(p_rates,2))*INDEX(p_rates,2),2))+IF(INDEX(p_rates,3)="",0,ROUND(SUMIFS(dl_ht,dl_doc,A359,dl_rate,INDEX(p_rates,3))*INDEX(p_rates,3),2))+IF(INDEX(p_rates,4)="",0,ROUND(SUMIFS(dl_ht,dl_doc,A359,dl_rate,INDEX(p_rates,4))*INDEX(p_rates,4),2))+IF(INDEX(p_rates,5)="",0,ROUND(SUMIFS(dl_ht,dl_doc,A359,dl_rate,INDEX(p_rates,5))*INDEX(p_rates,5),2))+IF(INDEX(p_rates,6)="",0,ROUND(SUMIFS(dl_ht,dl_doc,A359,dl_rate,INDEX(p_rates,6))*INDEX(p_rates,6),2)))</f>
        <v/>
      </c>
      <c r="K359" s="65" t="str">
        <f>IF(A359="","",I359+J359)</f>
        <v/>
      </c>
      <c r="L359" s="59" t="str">
        <f>IF(A359="","",IFERROR(INDEX(fa_num,MATCH(A359,fa_dvkey,0))&amp;"",""))</f>
        <v/>
      </c>
      <c r="M359" s="59" t="str">
        <f>IF(A359="","",IF(G359="Annulé","Annulé",IF(L359&lt;&gt;"","Facturé",IF(G359="Accepté","Accepté",IF(G359="Refusé","Refusé",IF(p_asof&gt;H359,"Expiré","En attente"))))))</f>
        <v/>
      </c>
      <c r="N359" s="59" t="str">
        <f>IF(COUNTA(B359:C359,E359:G359)=0,"",IF(B359="","Date manquante",IF(NOT(ISNUMBER(B359)),"Date invalide",IF(C359="","Client manquant",IF(ISNA(MATCH(C359,cli_code,0)),"Client inconnu",IF(O359&lt;MAX($O$6:O358),"Date antérieure au devis précédent",IF(AND(ISNUMBER(F359),F359&lt;O359),"Validité antérieure à la date du devis",IF(AND(R359=0,G359&lt;&gt;"Annulé"),"Aucune ligne (feuille Lignes de devis)",IF(COUNTIFS(dl_doc,A359,dl_check,"&lt;&gt;OK")&gt;0,"Ligne(s) à corriger",IF(AND(L359&lt;&gt;"",OR(G359="Refusé",G359="Annulé")),"Devis refusé ou annulé mais facturé","OK"))))))))))</f>
        <v/>
      </c>
      <c r="O359" s="62">
        <f>IF(ISNUMBER(B359),B359,0)</f>
        <v>0.0</v>
      </c>
      <c r="P359" s="62" t="str">
        <f>IF(O359=0,"",YEAR(O359))</f>
        <v/>
      </c>
      <c r="Q359" s="62" t="str">
        <f>IF(P359="","",COUNTIF($P$6:P359,P359))</f>
        <v/>
      </c>
      <c r="R359" s="62">
        <f>IF(A359="",0,COUNTIF(dl_doc,A359))</f>
        <v>0.0</v>
      </c>
    </row>
    <row r="360">
      <c r="A360" s="59" t="str">
        <f>IF(Q360="","",p_pdv&amp;"-"&amp;P360&amp;"-"&amp;RIGHT("000"&amp;Q360,4))</f>
        <v/>
      </c>
      <c r="B360" s="61" t="n"/>
      <c r="C360" s="60" t="n"/>
      <c r="D360" s="62" t="str">
        <f>IF(C360="","",IFERROR(INDEX(cli_name,MATCH(C360,cli_code,0))&amp;"","Client inconnu"))</f>
        <v/>
      </c>
      <c r="E360" s="63" t="n"/>
      <c r="F360" s="61" t="n"/>
      <c r="G360" s="60" t="n"/>
      <c r="H360" s="64" t="str">
        <f>IF(A360="","",IF(ISNUMBER(F360),F360,O360+N(p_validity)))</f>
        <v/>
      </c>
      <c r="I360" s="65" t="str">
        <f>IF(A360="","",SUMIF(dl_doc,A360,dl_ht))</f>
        <v/>
      </c>
      <c r="J360" s="65" t="str">
        <f>IF(A360="","",IF(INDEX(p_rates,1)="",0,ROUND(SUMIFS(dl_ht,dl_doc,A360,dl_rate,INDEX(p_rates,1))*INDEX(p_rates,1),2))+IF(INDEX(p_rates,2)="",0,ROUND(SUMIFS(dl_ht,dl_doc,A360,dl_rate,INDEX(p_rates,2))*INDEX(p_rates,2),2))+IF(INDEX(p_rates,3)="",0,ROUND(SUMIFS(dl_ht,dl_doc,A360,dl_rate,INDEX(p_rates,3))*INDEX(p_rates,3),2))+IF(INDEX(p_rates,4)="",0,ROUND(SUMIFS(dl_ht,dl_doc,A360,dl_rate,INDEX(p_rates,4))*INDEX(p_rates,4),2))+IF(INDEX(p_rates,5)="",0,ROUND(SUMIFS(dl_ht,dl_doc,A360,dl_rate,INDEX(p_rates,5))*INDEX(p_rates,5),2))+IF(INDEX(p_rates,6)="",0,ROUND(SUMIFS(dl_ht,dl_doc,A360,dl_rate,INDEX(p_rates,6))*INDEX(p_rates,6),2)))</f>
        <v/>
      </c>
      <c r="K360" s="65" t="str">
        <f>IF(A360="","",I360+J360)</f>
        <v/>
      </c>
      <c r="L360" s="59" t="str">
        <f>IF(A360="","",IFERROR(INDEX(fa_num,MATCH(A360,fa_dvkey,0))&amp;"",""))</f>
        <v/>
      </c>
      <c r="M360" s="59" t="str">
        <f>IF(A360="","",IF(G360="Annulé","Annulé",IF(L360&lt;&gt;"","Facturé",IF(G360="Accepté","Accepté",IF(G360="Refusé","Refusé",IF(p_asof&gt;H360,"Expiré","En attente"))))))</f>
        <v/>
      </c>
      <c r="N360" s="59" t="str">
        <f>IF(COUNTA(B360:C360,E360:G360)=0,"",IF(B360="","Date manquante",IF(NOT(ISNUMBER(B360)),"Date invalide",IF(C360="","Client manquant",IF(ISNA(MATCH(C360,cli_code,0)),"Client inconnu",IF(O360&lt;MAX($O$6:O359),"Date antérieure au devis précédent",IF(AND(ISNUMBER(F360),F360&lt;O360),"Validité antérieure à la date du devis",IF(AND(R360=0,G360&lt;&gt;"Annulé"),"Aucune ligne (feuille Lignes de devis)",IF(COUNTIFS(dl_doc,A360,dl_check,"&lt;&gt;OK")&gt;0,"Ligne(s) à corriger",IF(AND(L360&lt;&gt;"",OR(G360="Refusé",G360="Annulé")),"Devis refusé ou annulé mais facturé","OK"))))))))))</f>
        <v/>
      </c>
      <c r="O360" s="62">
        <f>IF(ISNUMBER(B360),B360,0)</f>
        <v>0.0</v>
      </c>
      <c r="P360" s="62" t="str">
        <f>IF(O360=0,"",YEAR(O360))</f>
        <v/>
      </c>
      <c r="Q360" s="62" t="str">
        <f>IF(P360="","",COUNTIF($P$6:P360,P360))</f>
        <v/>
      </c>
      <c r="R360" s="62">
        <f>IF(A360="",0,COUNTIF(dl_doc,A360))</f>
        <v>0.0</v>
      </c>
    </row>
    <row r="361">
      <c r="A361" s="59" t="str">
        <f>IF(Q361="","",p_pdv&amp;"-"&amp;P361&amp;"-"&amp;RIGHT("000"&amp;Q361,4))</f>
        <v/>
      </c>
      <c r="B361" s="61" t="n"/>
      <c r="C361" s="60" t="n"/>
      <c r="D361" s="62" t="str">
        <f>IF(C361="","",IFERROR(INDEX(cli_name,MATCH(C361,cli_code,0))&amp;"","Client inconnu"))</f>
        <v/>
      </c>
      <c r="E361" s="63" t="n"/>
      <c r="F361" s="61" t="n"/>
      <c r="G361" s="60" t="n"/>
      <c r="H361" s="64" t="str">
        <f>IF(A361="","",IF(ISNUMBER(F361),F361,O361+N(p_validity)))</f>
        <v/>
      </c>
      <c r="I361" s="65" t="str">
        <f>IF(A361="","",SUMIF(dl_doc,A361,dl_ht))</f>
        <v/>
      </c>
      <c r="J361" s="65" t="str">
        <f>IF(A361="","",IF(INDEX(p_rates,1)="",0,ROUND(SUMIFS(dl_ht,dl_doc,A361,dl_rate,INDEX(p_rates,1))*INDEX(p_rates,1),2))+IF(INDEX(p_rates,2)="",0,ROUND(SUMIFS(dl_ht,dl_doc,A361,dl_rate,INDEX(p_rates,2))*INDEX(p_rates,2),2))+IF(INDEX(p_rates,3)="",0,ROUND(SUMIFS(dl_ht,dl_doc,A361,dl_rate,INDEX(p_rates,3))*INDEX(p_rates,3),2))+IF(INDEX(p_rates,4)="",0,ROUND(SUMIFS(dl_ht,dl_doc,A361,dl_rate,INDEX(p_rates,4))*INDEX(p_rates,4),2))+IF(INDEX(p_rates,5)="",0,ROUND(SUMIFS(dl_ht,dl_doc,A361,dl_rate,INDEX(p_rates,5))*INDEX(p_rates,5),2))+IF(INDEX(p_rates,6)="",0,ROUND(SUMIFS(dl_ht,dl_doc,A361,dl_rate,INDEX(p_rates,6))*INDEX(p_rates,6),2)))</f>
        <v/>
      </c>
      <c r="K361" s="65" t="str">
        <f>IF(A361="","",I361+J361)</f>
        <v/>
      </c>
      <c r="L361" s="59" t="str">
        <f>IF(A361="","",IFERROR(INDEX(fa_num,MATCH(A361,fa_dvkey,0))&amp;"",""))</f>
        <v/>
      </c>
      <c r="M361" s="59" t="str">
        <f>IF(A361="","",IF(G361="Annulé","Annulé",IF(L361&lt;&gt;"","Facturé",IF(G361="Accepté","Accepté",IF(G361="Refusé","Refusé",IF(p_asof&gt;H361,"Expiré","En attente"))))))</f>
        <v/>
      </c>
      <c r="N361" s="59" t="str">
        <f>IF(COUNTA(B361:C361,E361:G361)=0,"",IF(B361="","Date manquante",IF(NOT(ISNUMBER(B361)),"Date invalide",IF(C361="","Client manquant",IF(ISNA(MATCH(C361,cli_code,0)),"Client inconnu",IF(O361&lt;MAX($O$6:O360),"Date antérieure au devis précédent",IF(AND(ISNUMBER(F361),F361&lt;O361),"Validité antérieure à la date du devis",IF(AND(R361=0,G361&lt;&gt;"Annulé"),"Aucune ligne (feuille Lignes de devis)",IF(COUNTIFS(dl_doc,A361,dl_check,"&lt;&gt;OK")&gt;0,"Ligne(s) à corriger",IF(AND(L361&lt;&gt;"",OR(G361="Refusé",G361="Annulé")),"Devis refusé ou annulé mais facturé","OK"))))))))))</f>
        <v/>
      </c>
      <c r="O361" s="62">
        <f>IF(ISNUMBER(B361),B361,0)</f>
        <v>0.0</v>
      </c>
      <c r="P361" s="62" t="str">
        <f>IF(O361=0,"",YEAR(O361))</f>
        <v/>
      </c>
      <c r="Q361" s="62" t="str">
        <f>IF(P361="","",COUNTIF($P$6:P361,P361))</f>
        <v/>
      </c>
      <c r="R361" s="62">
        <f>IF(A361="",0,COUNTIF(dl_doc,A361))</f>
        <v>0.0</v>
      </c>
    </row>
    <row r="362">
      <c r="A362" s="59" t="str">
        <f>IF(Q362="","",p_pdv&amp;"-"&amp;P362&amp;"-"&amp;RIGHT("000"&amp;Q362,4))</f>
        <v/>
      </c>
      <c r="B362" s="61" t="n"/>
      <c r="C362" s="60" t="n"/>
      <c r="D362" s="62" t="str">
        <f>IF(C362="","",IFERROR(INDEX(cli_name,MATCH(C362,cli_code,0))&amp;"","Client inconnu"))</f>
        <v/>
      </c>
      <c r="E362" s="63" t="n"/>
      <c r="F362" s="61" t="n"/>
      <c r="G362" s="60" t="n"/>
      <c r="H362" s="64" t="str">
        <f>IF(A362="","",IF(ISNUMBER(F362),F362,O362+N(p_validity)))</f>
        <v/>
      </c>
      <c r="I362" s="65" t="str">
        <f>IF(A362="","",SUMIF(dl_doc,A362,dl_ht))</f>
        <v/>
      </c>
      <c r="J362" s="65" t="str">
        <f>IF(A362="","",IF(INDEX(p_rates,1)="",0,ROUND(SUMIFS(dl_ht,dl_doc,A362,dl_rate,INDEX(p_rates,1))*INDEX(p_rates,1),2))+IF(INDEX(p_rates,2)="",0,ROUND(SUMIFS(dl_ht,dl_doc,A362,dl_rate,INDEX(p_rates,2))*INDEX(p_rates,2),2))+IF(INDEX(p_rates,3)="",0,ROUND(SUMIFS(dl_ht,dl_doc,A362,dl_rate,INDEX(p_rates,3))*INDEX(p_rates,3),2))+IF(INDEX(p_rates,4)="",0,ROUND(SUMIFS(dl_ht,dl_doc,A362,dl_rate,INDEX(p_rates,4))*INDEX(p_rates,4),2))+IF(INDEX(p_rates,5)="",0,ROUND(SUMIFS(dl_ht,dl_doc,A362,dl_rate,INDEX(p_rates,5))*INDEX(p_rates,5),2))+IF(INDEX(p_rates,6)="",0,ROUND(SUMIFS(dl_ht,dl_doc,A362,dl_rate,INDEX(p_rates,6))*INDEX(p_rates,6),2)))</f>
        <v/>
      </c>
      <c r="K362" s="65" t="str">
        <f>IF(A362="","",I362+J362)</f>
        <v/>
      </c>
      <c r="L362" s="59" t="str">
        <f>IF(A362="","",IFERROR(INDEX(fa_num,MATCH(A362,fa_dvkey,0))&amp;"",""))</f>
        <v/>
      </c>
      <c r="M362" s="59" t="str">
        <f>IF(A362="","",IF(G362="Annulé","Annulé",IF(L362&lt;&gt;"","Facturé",IF(G362="Accepté","Accepté",IF(G362="Refusé","Refusé",IF(p_asof&gt;H362,"Expiré","En attente"))))))</f>
        <v/>
      </c>
      <c r="N362" s="59" t="str">
        <f>IF(COUNTA(B362:C362,E362:G362)=0,"",IF(B362="","Date manquante",IF(NOT(ISNUMBER(B362)),"Date invalide",IF(C362="","Client manquant",IF(ISNA(MATCH(C362,cli_code,0)),"Client inconnu",IF(O362&lt;MAX($O$6:O361),"Date antérieure au devis précédent",IF(AND(ISNUMBER(F362),F362&lt;O362),"Validité antérieure à la date du devis",IF(AND(R362=0,G362&lt;&gt;"Annulé"),"Aucune ligne (feuille Lignes de devis)",IF(COUNTIFS(dl_doc,A362,dl_check,"&lt;&gt;OK")&gt;0,"Ligne(s) à corriger",IF(AND(L362&lt;&gt;"",OR(G362="Refusé",G362="Annulé")),"Devis refusé ou annulé mais facturé","OK"))))))))))</f>
        <v/>
      </c>
      <c r="O362" s="62">
        <f>IF(ISNUMBER(B362),B362,0)</f>
        <v>0.0</v>
      </c>
      <c r="P362" s="62" t="str">
        <f>IF(O362=0,"",YEAR(O362))</f>
        <v/>
      </c>
      <c r="Q362" s="62" t="str">
        <f>IF(P362="","",COUNTIF($P$6:P362,P362))</f>
        <v/>
      </c>
      <c r="R362" s="62">
        <f>IF(A362="",0,COUNTIF(dl_doc,A362))</f>
        <v>0.0</v>
      </c>
    </row>
    <row r="363">
      <c r="A363" s="59" t="str">
        <f>IF(Q363="","",p_pdv&amp;"-"&amp;P363&amp;"-"&amp;RIGHT("000"&amp;Q363,4))</f>
        <v/>
      </c>
      <c r="B363" s="61" t="n"/>
      <c r="C363" s="60" t="n"/>
      <c r="D363" s="62" t="str">
        <f>IF(C363="","",IFERROR(INDEX(cli_name,MATCH(C363,cli_code,0))&amp;"","Client inconnu"))</f>
        <v/>
      </c>
      <c r="E363" s="63" t="n"/>
      <c r="F363" s="61" t="n"/>
      <c r="G363" s="60" t="n"/>
      <c r="H363" s="64" t="str">
        <f>IF(A363="","",IF(ISNUMBER(F363),F363,O363+N(p_validity)))</f>
        <v/>
      </c>
      <c r="I363" s="65" t="str">
        <f>IF(A363="","",SUMIF(dl_doc,A363,dl_ht))</f>
        <v/>
      </c>
      <c r="J363" s="65" t="str">
        <f>IF(A363="","",IF(INDEX(p_rates,1)="",0,ROUND(SUMIFS(dl_ht,dl_doc,A363,dl_rate,INDEX(p_rates,1))*INDEX(p_rates,1),2))+IF(INDEX(p_rates,2)="",0,ROUND(SUMIFS(dl_ht,dl_doc,A363,dl_rate,INDEX(p_rates,2))*INDEX(p_rates,2),2))+IF(INDEX(p_rates,3)="",0,ROUND(SUMIFS(dl_ht,dl_doc,A363,dl_rate,INDEX(p_rates,3))*INDEX(p_rates,3),2))+IF(INDEX(p_rates,4)="",0,ROUND(SUMIFS(dl_ht,dl_doc,A363,dl_rate,INDEX(p_rates,4))*INDEX(p_rates,4),2))+IF(INDEX(p_rates,5)="",0,ROUND(SUMIFS(dl_ht,dl_doc,A363,dl_rate,INDEX(p_rates,5))*INDEX(p_rates,5),2))+IF(INDEX(p_rates,6)="",0,ROUND(SUMIFS(dl_ht,dl_doc,A363,dl_rate,INDEX(p_rates,6))*INDEX(p_rates,6),2)))</f>
        <v/>
      </c>
      <c r="K363" s="65" t="str">
        <f>IF(A363="","",I363+J363)</f>
        <v/>
      </c>
      <c r="L363" s="59" t="str">
        <f>IF(A363="","",IFERROR(INDEX(fa_num,MATCH(A363,fa_dvkey,0))&amp;"",""))</f>
        <v/>
      </c>
      <c r="M363" s="59" t="str">
        <f>IF(A363="","",IF(G363="Annulé","Annulé",IF(L363&lt;&gt;"","Facturé",IF(G363="Accepté","Accepté",IF(G363="Refusé","Refusé",IF(p_asof&gt;H363,"Expiré","En attente"))))))</f>
        <v/>
      </c>
      <c r="N363" s="59" t="str">
        <f>IF(COUNTA(B363:C363,E363:G363)=0,"",IF(B363="","Date manquante",IF(NOT(ISNUMBER(B363)),"Date invalide",IF(C363="","Client manquant",IF(ISNA(MATCH(C363,cli_code,0)),"Client inconnu",IF(O363&lt;MAX($O$6:O362),"Date antérieure au devis précédent",IF(AND(ISNUMBER(F363),F363&lt;O363),"Validité antérieure à la date du devis",IF(AND(R363=0,G363&lt;&gt;"Annulé"),"Aucune ligne (feuille Lignes de devis)",IF(COUNTIFS(dl_doc,A363,dl_check,"&lt;&gt;OK")&gt;0,"Ligne(s) à corriger",IF(AND(L363&lt;&gt;"",OR(G363="Refusé",G363="Annulé")),"Devis refusé ou annulé mais facturé","OK"))))))))))</f>
        <v/>
      </c>
      <c r="O363" s="62">
        <f>IF(ISNUMBER(B363),B363,0)</f>
        <v>0.0</v>
      </c>
      <c r="P363" s="62" t="str">
        <f>IF(O363=0,"",YEAR(O363))</f>
        <v/>
      </c>
      <c r="Q363" s="62" t="str">
        <f>IF(P363="","",COUNTIF($P$6:P363,P363))</f>
        <v/>
      </c>
      <c r="R363" s="62">
        <f>IF(A363="",0,COUNTIF(dl_doc,A363))</f>
        <v>0.0</v>
      </c>
    </row>
    <row r="364">
      <c r="A364" s="59" t="str">
        <f>IF(Q364="","",p_pdv&amp;"-"&amp;P364&amp;"-"&amp;RIGHT("000"&amp;Q364,4))</f>
        <v/>
      </c>
      <c r="B364" s="61" t="n"/>
      <c r="C364" s="60" t="n"/>
      <c r="D364" s="62" t="str">
        <f>IF(C364="","",IFERROR(INDEX(cli_name,MATCH(C364,cli_code,0))&amp;"","Client inconnu"))</f>
        <v/>
      </c>
      <c r="E364" s="63" t="n"/>
      <c r="F364" s="61" t="n"/>
      <c r="G364" s="60" t="n"/>
      <c r="H364" s="64" t="str">
        <f>IF(A364="","",IF(ISNUMBER(F364),F364,O364+N(p_validity)))</f>
        <v/>
      </c>
      <c r="I364" s="65" t="str">
        <f>IF(A364="","",SUMIF(dl_doc,A364,dl_ht))</f>
        <v/>
      </c>
      <c r="J364" s="65" t="str">
        <f>IF(A364="","",IF(INDEX(p_rates,1)="",0,ROUND(SUMIFS(dl_ht,dl_doc,A364,dl_rate,INDEX(p_rates,1))*INDEX(p_rates,1),2))+IF(INDEX(p_rates,2)="",0,ROUND(SUMIFS(dl_ht,dl_doc,A364,dl_rate,INDEX(p_rates,2))*INDEX(p_rates,2),2))+IF(INDEX(p_rates,3)="",0,ROUND(SUMIFS(dl_ht,dl_doc,A364,dl_rate,INDEX(p_rates,3))*INDEX(p_rates,3),2))+IF(INDEX(p_rates,4)="",0,ROUND(SUMIFS(dl_ht,dl_doc,A364,dl_rate,INDEX(p_rates,4))*INDEX(p_rates,4),2))+IF(INDEX(p_rates,5)="",0,ROUND(SUMIFS(dl_ht,dl_doc,A364,dl_rate,INDEX(p_rates,5))*INDEX(p_rates,5),2))+IF(INDEX(p_rates,6)="",0,ROUND(SUMIFS(dl_ht,dl_doc,A364,dl_rate,INDEX(p_rates,6))*INDEX(p_rates,6),2)))</f>
        <v/>
      </c>
      <c r="K364" s="65" t="str">
        <f>IF(A364="","",I364+J364)</f>
        <v/>
      </c>
      <c r="L364" s="59" t="str">
        <f>IF(A364="","",IFERROR(INDEX(fa_num,MATCH(A364,fa_dvkey,0))&amp;"",""))</f>
        <v/>
      </c>
      <c r="M364" s="59" t="str">
        <f>IF(A364="","",IF(G364="Annulé","Annulé",IF(L364&lt;&gt;"","Facturé",IF(G364="Accepté","Accepté",IF(G364="Refusé","Refusé",IF(p_asof&gt;H364,"Expiré","En attente"))))))</f>
        <v/>
      </c>
      <c r="N364" s="59" t="str">
        <f>IF(COUNTA(B364:C364,E364:G364)=0,"",IF(B364="","Date manquante",IF(NOT(ISNUMBER(B364)),"Date invalide",IF(C364="","Client manquant",IF(ISNA(MATCH(C364,cli_code,0)),"Client inconnu",IF(O364&lt;MAX($O$6:O363),"Date antérieure au devis précédent",IF(AND(ISNUMBER(F364),F364&lt;O364),"Validité antérieure à la date du devis",IF(AND(R364=0,G364&lt;&gt;"Annulé"),"Aucune ligne (feuille Lignes de devis)",IF(COUNTIFS(dl_doc,A364,dl_check,"&lt;&gt;OK")&gt;0,"Ligne(s) à corriger",IF(AND(L364&lt;&gt;"",OR(G364="Refusé",G364="Annulé")),"Devis refusé ou annulé mais facturé","OK"))))))))))</f>
        <v/>
      </c>
      <c r="O364" s="62">
        <f>IF(ISNUMBER(B364),B364,0)</f>
        <v>0.0</v>
      </c>
      <c r="P364" s="62" t="str">
        <f>IF(O364=0,"",YEAR(O364))</f>
        <v/>
      </c>
      <c r="Q364" s="62" t="str">
        <f>IF(P364="","",COUNTIF($P$6:P364,P364))</f>
        <v/>
      </c>
      <c r="R364" s="62">
        <f>IF(A364="",0,COUNTIF(dl_doc,A364))</f>
        <v>0.0</v>
      </c>
    </row>
    <row r="365">
      <c r="A365" s="59" t="str">
        <f>IF(Q365="","",p_pdv&amp;"-"&amp;P365&amp;"-"&amp;RIGHT("000"&amp;Q365,4))</f>
        <v/>
      </c>
      <c r="B365" s="61" t="n"/>
      <c r="C365" s="60" t="n"/>
      <c r="D365" s="62" t="str">
        <f>IF(C365="","",IFERROR(INDEX(cli_name,MATCH(C365,cli_code,0))&amp;"","Client inconnu"))</f>
        <v/>
      </c>
      <c r="E365" s="63" t="n"/>
      <c r="F365" s="61" t="n"/>
      <c r="G365" s="60" t="n"/>
      <c r="H365" s="64" t="str">
        <f>IF(A365="","",IF(ISNUMBER(F365),F365,O365+N(p_validity)))</f>
        <v/>
      </c>
      <c r="I365" s="65" t="str">
        <f>IF(A365="","",SUMIF(dl_doc,A365,dl_ht))</f>
        <v/>
      </c>
      <c r="J365" s="65" t="str">
        <f>IF(A365="","",IF(INDEX(p_rates,1)="",0,ROUND(SUMIFS(dl_ht,dl_doc,A365,dl_rate,INDEX(p_rates,1))*INDEX(p_rates,1),2))+IF(INDEX(p_rates,2)="",0,ROUND(SUMIFS(dl_ht,dl_doc,A365,dl_rate,INDEX(p_rates,2))*INDEX(p_rates,2),2))+IF(INDEX(p_rates,3)="",0,ROUND(SUMIFS(dl_ht,dl_doc,A365,dl_rate,INDEX(p_rates,3))*INDEX(p_rates,3),2))+IF(INDEX(p_rates,4)="",0,ROUND(SUMIFS(dl_ht,dl_doc,A365,dl_rate,INDEX(p_rates,4))*INDEX(p_rates,4),2))+IF(INDEX(p_rates,5)="",0,ROUND(SUMIFS(dl_ht,dl_doc,A365,dl_rate,INDEX(p_rates,5))*INDEX(p_rates,5),2))+IF(INDEX(p_rates,6)="",0,ROUND(SUMIFS(dl_ht,dl_doc,A365,dl_rate,INDEX(p_rates,6))*INDEX(p_rates,6),2)))</f>
        <v/>
      </c>
      <c r="K365" s="65" t="str">
        <f>IF(A365="","",I365+J365)</f>
        <v/>
      </c>
      <c r="L365" s="59" t="str">
        <f>IF(A365="","",IFERROR(INDEX(fa_num,MATCH(A365,fa_dvkey,0))&amp;"",""))</f>
        <v/>
      </c>
      <c r="M365" s="59" t="str">
        <f>IF(A365="","",IF(G365="Annulé","Annulé",IF(L365&lt;&gt;"","Facturé",IF(G365="Accepté","Accepté",IF(G365="Refusé","Refusé",IF(p_asof&gt;H365,"Expiré","En attente"))))))</f>
        <v/>
      </c>
      <c r="N365" s="59" t="str">
        <f>IF(COUNTA(B365:C365,E365:G365)=0,"",IF(B365="","Date manquante",IF(NOT(ISNUMBER(B365)),"Date invalide",IF(C365="","Client manquant",IF(ISNA(MATCH(C365,cli_code,0)),"Client inconnu",IF(O365&lt;MAX($O$6:O364),"Date antérieure au devis précédent",IF(AND(ISNUMBER(F365),F365&lt;O365),"Validité antérieure à la date du devis",IF(AND(R365=0,G365&lt;&gt;"Annulé"),"Aucune ligne (feuille Lignes de devis)",IF(COUNTIFS(dl_doc,A365,dl_check,"&lt;&gt;OK")&gt;0,"Ligne(s) à corriger",IF(AND(L365&lt;&gt;"",OR(G365="Refusé",G365="Annulé")),"Devis refusé ou annulé mais facturé","OK"))))))))))</f>
        <v/>
      </c>
      <c r="O365" s="62">
        <f>IF(ISNUMBER(B365),B365,0)</f>
        <v>0.0</v>
      </c>
      <c r="P365" s="62" t="str">
        <f>IF(O365=0,"",YEAR(O365))</f>
        <v/>
      </c>
      <c r="Q365" s="62" t="str">
        <f>IF(P365="","",COUNTIF($P$6:P365,P365))</f>
        <v/>
      </c>
      <c r="R365" s="62">
        <f>IF(A365="",0,COUNTIF(dl_doc,A365))</f>
        <v>0.0</v>
      </c>
    </row>
    <row r="366">
      <c r="A366" s="59" t="str">
        <f>IF(Q366="","",p_pdv&amp;"-"&amp;P366&amp;"-"&amp;RIGHT("000"&amp;Q366,4))</f>
        <v/>
      </c>
      <c r="B366" s="61" t="n"/>
      <c r="C366" s="60" t="n"/>
      <c r="D366" s="62" t="str">
        <f>IF(C366="","",IFERROR(INDEX(cli_name,MATCH(C366,cli_code,0))&amp;"","Client inconnu"))</f>
        <v/>
      </c>
      <c r="E366" s="63" t="n"/>
      <c r="F366" s="61" t="n"/>
      <c r="G366" s="60" t="n"/>
      <c r="H366" s="64" t="str">
        <f>IF(A366="","",IF(ISNUMBER(F366),F366,O366+N(p_validity)))</f>
        <v/>
      </c>
      <c r="I366" s="65" t="str">
        <f>IF(A366="","",SUMIF(dl_doc,A366,dl_ht))</f>
        <v/>
      </c>
      <c r="J366" s="65" t="str">
        <f>IF(A366="","",IF(INDEX(p_rates,1)="",0,ROUND(SUMIFS(dl_ht,dl_doc,A366,dl_rate,INDEX(p_rates,1))*INDEX(p_rates,1),2))+IF(INDEX(p_rates,2)="",0,ROUND(SUMIFS(dl_ht,dl_doc,A366,dl_rate,INDEX(p_rates,2))*INDEX(p_rates,2),2))+IF(INDEX(p_rates,3)="",0,ROUND(SUMIFS(dl_ht,dl_doc,A366,dl_rate,INDEX(p_rates,3))*INDEX(p_rates,3),2))+IF(INDEX(p_rates,4)="",0,ROUND(SUMIFS(dl_ht,dl_doc,A366,dl_rate,INDEX(p_rates,4))*INDEX(p_rates,4),2))+IF(INDEX(p_rates,5)="",0,ROUND(SUMIFS(dl_ht,dl_doc,A366,dl_rate,INDEX(p_rates,5))*INDEX(p_rates,5),2))+IF(INDEX(p_rates,6)="",0,ROUND(SUMIFS(dl_ht,dl_doc,A366,dl_rate,INDEX(p_rates,6))*INDEX(p_rates,6),2)))</f>
        <v/>
      </c>
      <c r="K366" s="65" t="str">
        <f>IF(A366="","",I366+J366)</f>
        <v/>
      </c>
      <c r="L366" s="59" t="str">
        <f>IF(A366="","",IFERROR(INDEX(fa_num,MATCH(A366,fa_dvkey,0))&amp;"",""))</f>
        <v/>
      </c>
      <c r="M366" s="59" t="str">
        <f>IF(A366="","",IF(G366="Annulé","Annulé",IF(L366&lt;&gt;"","Facturé",IF(G366="Accepté","Accepté",IF(G366="Refusé","Refusé",IF(p_asof&gt;H366,"Expiré","En attente"))))))</f>
        <v/>
      </c>
      <c r="N366" s="59" t="str">
        <f>IF(COUNTA(B366:C366,E366:G366)=0,"",IF(B366="","Date manquante",IF(NOT(ISNUMBER(B366)),"Date invalide",IF(C366="","Client manquant",IF(ISNA(MATCH(C366,cli_code,0)),"Client inconnu",IF(O366&lt;MAX($O$6:O365),"Date antérieure au devis précédent",IF(AND(ISNUMBER(F366),F366&lt;O366),"Validité antérieure à la date du devis",IF(AND(R366=0,G366&lt;&gt;"Annulé"),"Aucune ligne (feuille Lignes de devis)",IF(COUNTIFS(dl_doc,A366,dl_check,"&lt;&gt;OK")&gt;0,"Ligne(s) à corriger",IF(AND(L366&lt;&gt;"",OR(G366="Refusé",G366="Annulé")),"Devis refusé ou annulé mais facturé","OK"))))))))))</f>
        <v/>
      </c>
      <c r="O366" s="62">
        <f>IF(ISNUMBER(B366),B366,0)</f>
        <v>0.0</v>
      </c>
      <c r="P366" s="62" t="str">
        <f>IF(O366=0,"",YEAR(O366))</f>
        <v/>
      </c>
      <c r="Q366" s="62" t="str">
        <f>IF(P366="","",COUNTIF($P$6:P366,P366))</f>
        <v/>
      </c>
      <c r="R366" s="62">
        <f>IF(A366="",0,COUNTIF(dl_doc,A366))</f>
        <v>0.0</v>
      </c>
    </row>
    <row r="367">
      <c r="A367" s="59" t="str">
        <f>IF(Q367="","",p_pdv&amp;"-"&amp;P367&amp;"-"&amp;RIGHT("000"&amp;Q367,4))</f>
        <v/>
      </c>
      <c r="B367" s="61" t="n"/>
      <c r="C367" s="60" t="n"/>
      <c r="D367" s="62" t="str">
        <f>IF(C367="","",IFERROR(INDEX(cli_name,MATCH(C367,cli_code,0))&amp;"","Client inconnu"))</f>
        <v/>
      </c>
      <c r="E367" s="63" t="n"/>
      <c r="F367" s="61" t="n"/>
      <c r="G367" s="60" t="n"/>
      <c r="H367" s="64" t="str">
        <f>IF(A367="","",IF(ISNUMBER(F367),F367,O367+N(p_validity)))</f>
        <v/>
      </c>
      <c r="I367" s="65" t="str">
        <f>IF(A367="","",SUMIF(dl_doc,A367,dl_ht))</f>
        <v/>
      </c>
      <c r="J367" s="65" t="str">
        <f>IF(A367="","",IF(INDEX(p_rates,1)="",0,ROUND(SUMIFS(dl_ht,dl_doc,A367,dl_rate,INDEX(p_rates,1))*INDEX(p_rates,1),2))+IF(INDEX(p_rates,2)="",0,ROUND(SUMIFS(dl_ht,dl_doc,A367,dl_rate,INDEX(p_rates,2))*INDEX(p_rates,2),2))+IF(INDEX(p_rates,3)="",0,ROUND(SUMIFS(dl_ht,dl_doc,A367,dl_rate,INDEX(p_rates,3))*INDEX(p_rates,3),2))+IF(INDEX(p_rates,4)="",0,ROUND(SUMIFS(dl_ht,dl_doc,A367,dl_rate,INDEX(p_rates,4))*INDEX(p_rates,4),2))+IF(INDEX(p_rates,5)="",0,ROUND(SUMIFS(dl_ht,dl_doc,A367,dl_rate,INDEX(p_rates,5))*INDEX(p_rates,5),2))+IF(INDEX(p_rates,6)="",0,ROUND(SUMIFS(dl_ht,dl_doc,A367,dl_rate,INDEX(p_rates,6))*INDEX(p_rates,6),2)))</f>
        <v/>
      </c>
      <c r="K367" s="65" t="str">
        <f>IF(A367="","",I367+J367)</f>
        <v/>
      </c>
      <c r="L367" s="59" t="str">
        <f>IF(A367="","",IFERROR(INDEX(fa_num,MATCH(A367,fa_dvkey,0))&amp;"",""))</f>
        <v/>
      </c>
      <c r="M367" s="59" t="str">
        <f>IF(A367="","",IF(G367="Annulé","Annulé",IF(L367&lt;&gt;"","Facturé",IF(G367="Accepté","Accepté",IF(G367="Refusé","Refusé",IF(p_asof&gt;H367,"Expiré","En attente"))))))</f>
        <v/>
      </c>
      <c r="N367" s="59" t="str">
        <f>IF(COUNTA(B367:C367,E367:G367)=0,"",IF(B367="","Date manquante",IF(NOT(ISNUMBER(B367)),"Date invalide",IF(C367="","Client manquant",IF(ISNA(MATCH(C367,cli_code,0)),"Client inconnu",IF(O367&lt;MAX($O$6:O366),"Date antérieure au devis précédent",IF(AND(ISNUMBER(F367),F367&lt;O367),"Validité antérieure à la date du devis",IF(AND(R367=0,G367&lt;&gt;"Annulé"),"Aucune ligne (feuille Lignes de devis)",IF(COUNTIFS(dl_doc,A367,dl_check,"&lt;&gt;OK")&gt;0,"Ligne(s) à corriger",IF(AND(L367&lt;&gt;"",OR(G367="Refusé",G367="Annulé")),"Devis refusé ou annulé mais facturé","OK"))))))))))</f>
        <v/>
      </c>
      <c r="O367" s="62">
        <f>IF(ISNUMBER(B367),B367,0)</f>
        <v>0.0</v>
      </c>
      <c r="P367" s="62" t="str">
        <f>IF(O367=0,"",YEAR(O367))</f>
        <v/>
      </c>
      <c r="Q367" s="62" t="str">
        <f>IF(P367="","",COUNTIF($P$6:P367,P367))</f>
        <v/>
      </c>
      <c r="R367" s="62">
        <f>IF(A367="",0,COUNTIF(dl_doc,A367))</f>
        <v>0.0</v>
      </c>
    </row>
    <row r="368">
      <c r="A368" s="59" t="str">
        <f>IF(Q368="","",p_pdv&amp;"-"&amp;P368&amp;"-"&amp;RIGHT("000"&amp;Q368,4))</f>
        <v/>
      </c>
      <c r="B368" s="61" t="n"/>
      <c r="C368" s="60" t="n"/>
      <c r="D368" s="62" t="str">
        <f>IF(C368="","",IFERROR(INDEX(cli_name,MATCH(C368,cli_code,0))&amp;"","Client inconnu"))</f>
        <v/>
      </c>
      <c r="E368" s="63" t="n"/>
      <c r="F368" s="61" t="n"/>
      <c r="G368" s="60" t="n"/>
      <c r="H368" s="64" t="str">
        <f>IF(A368="","",IF(ISNUMBER(F368),F368,O368+N(p_validity)))</f>
        <v/>
      </c>
      <c r="I368" s="65" t="str">
        <f>IF(A368="","",SUMIF(dl_doc,A368,dl_ht))</f>
        <v/>
      </c>
      <c r="J368" s="65" t="str">
        <f>IF(A368="","",IF(INDEX(p_rates,1)="",0,ROUND(SUMIFS(dl_ht,dl_doc,A368,dl_rate,INDEX(p_rates,1))*INDEX(p_rates,1),2))+IF(INDEX(p_rates,2)="",0,ROUND(SUMIFS(dl_ht,dl_doc,A368,dl_rate,INDEX(p_rates,2))*INDEX(p_rates,2),2))+IF(INDEX(p_rates,3)="",0,ROUND(SUMIFS(dl_ht,dl_doc,A368,dl_rate,INDEX(p_rates,3))*INDEX(p_rates,3),2))+IF(INDEX(p_rates,4)="",0,ROUND(SUMIFS(dl_ht,dl_doc,A368,dl_rate,INDEX(p_rates,4))*INDEX(p_rates,4),2))+IF(INDEX(p_rates,5)="",0,ROUND(SUMIFS(dl_ht,dl_doc,A368,dl_rate,INDEX(p_rates,5))*INDEX(p_rates,5),2))+IF(INDEX(p_rates,6)="",0,ROUND(SUMIFS(dl_ht,dl_doc,A368,dl_rate,INDEX(p_rates,6))*INDEX(p_rates,6),2)))</f>
        <v/>
      </c>
      <c r="K368" s="65" t="str">
        <f>IF(A368="","",I368+J368)</f>
        <v/>
      </c>
      <c r="L368" s="59" t="str">
        <f>IF(A368="","",IFERROR(INDEX(fa_num,MATCH(A368,fa_dvkey,0))&amp;"",""))</f>
        <v/>
      </c>
      <c r="M368" s="59" t="str">
        <f>IF(A368="","",IF(G368="Annulé","Annulé",IF(L368&lt;&gt;"","Facturé",IF(G368="Accepté","Accepté",IF(G368="Refusé","Refusé",IF(p_asof&gt;H368,"Expiré","En attente"))))))</f>
        <v/>
      </c>
      <c r="N368" s="59" t="str">
        <f>IF(COUNTA(B368:C368,E368:G368)=0,"",IF(B368="","Date manquante",IF(NOT(ISNUMBER(B368)),"Date invalide",IF(C368="","Client manquant",IF(ISNA(MATCH(C368,cli_code,0)),"Client inconnu",IF(O368&lt;MAX($O$6:O367),"Date antérieure au devis précédent",IF(AND(ISNUMBER(F368),F368&lt;O368),"Validité antérieure à la date du devis",IF(AND(R368=0,G368&lt;&gt;"Annulé"),"Aucune ligne (feuille Lignes de devis)",IF(COUNTIFS(dl_doc,A368,dl_check,"&lt;&gt;OK")&gt;0,"Ligne(s) à corriger",IF(AND(L368&lt;&gt;"",OR(G368="Refusé",G368="Annulé")),"Devis refusé ou annulé mais facturé","OK"))))))))))</f>
        <v/>
      </c>
      <c r="O368" s="62">
        <f>IF(ISNUMBER(B368),B368,0)</f>
        <v>0.0</v>
      </c>
      <c r="P368" s="62" t="str">
        <f>IF(O368=0,"",YEAR(O368))</f>
        <v/>
      </c>
      <c r="Q368" s="62" t="str">
        <f>IF(P368="","",COUNTIF($P$6:P368,P368))</f>
        <v/>
      </c>
      <c r="R368" s="62">
        <f>IF(A368="",0,COUNTIF(dl_doc,A368))</f>
        <v>0.0</v>
      </c>
    </row>
    <row r="369">
      <c r="A369" s="59" t="str">
        <f>IF(Q369="","",p_pdv&amp;"-"&amp;P369&amp;"-"&amp;RIGHT("000"&amp;Q369,4))</f>
        <v/>
      </c>
      <c r="B369" s="61" t="n"/>
      <c r="C369" s="60" t="n"/>
      <c r="D369" s="62" t="str">
        <f>IF(C369="","",IFERROR(INDEX(cli_name,MATCH(C369,cli_code,0))&amp;"","Client inconnu"))</f>
        <v/>
      </c>
      <c r="E369" s="63" t="n"/>
      <c r="F369" s="61" t="n"/>
      <c r="G369" s="60" t="n"/>
      <c r="H369" s="64" t="str">
        <f>IF(A369="","",IF(ISNUMBER(F369),F369,O369+N(p_validity)))</f>
        <v/>
      </c>
      <c r="I369" s="65" t="str">
        <f>IF(A369="","",SUMIF(dl_doc,A369,dl_ht))</f>
        <v/>
      </c>
      <c r="J369" s="65" t="str">
        <f>IF(A369="","",IF(INDEX(p_rates,1)="",0,ROUND(SUMIFS(dl_ht,dl_doc,A369,dl_rate,INDEX(p_rates,1))*INDEX(p_rates,1),2))+IF(INDEX(p_rates,2)="",0,ROUND(SUMIFS(dl_ht,dl_doc,A369,dl_rate,INDEX(p_rates,2))*INDEX(p_rates,2),2))+IF(INDEX(p_rates,3)="",0,ROUND(SUMIFS(dl_ht,dl_doc,A369,dl_rate,INDEX(p_rates,3))*INDEX(p_rates,3),2))+IF(INDEX(p_rates,4)="",0,ROUND(SUMIFS(dl_ht,dl_doc,A369,dl_rate,INDEX(p_rates,4))*INDEX(p_rates,4),2))+IF(INDEX(p_rates,5)="",0,ROUND(SUMIFS(dl_ht,dl_doc,A369,dl_rate,INDEX(p_rates,5))*INDEX(p_rates,5),2))+IF(INDEX(p_rates,6)="",0,ROUND(SUMIFS(dl_ht,dl_doc,A369,dl_rate,INDEX(p_rates,6))*INDEX(p_rates,6),2)))</f>
        <v/>
      </c>
      <c r="K369" s="65" t="str">
        <f>IF(A369="","",I369+J369)</f>
        <v/>
      </c>
      <c r="L369" s="59" t="str">
        <f>IF(A369="","",IFERROR(INDEX(fa_num,MATCH(A369,fa_dvkey,0))&amp;"",""))</f>
        <v/>
      </c>
      <c r="M369" s="59" t="str">
        <f>IF(A369="","",IF(G369="Annulé","Annulé",IF(L369&lt;&gt;"","Facturé",IF(G369="Accepté","Accepté",IF(G369="Refusé","Refusé",IF(p_asof&gt;H369,"Expiré","En attente"))))))</f>
        <v/>
      </c>
      <c r="N369" s="59" t="str">
        <f>IF(COUNTA(B369:C369,E369:G369)=0,"",IF(B369="","Date manquante",IF(NOT(ISNUMBER(B369)),"Date invalide",IF(C369="","Client manquant",IF(ISNA(MATCH(C369,cli_code,0)),"Client inconnu",IF(O369&lt;MAX($O$6:O368),"Date antérieure au devis précédent",IF(AND(ISNUMBER(F369),F369&lt;O369),"Validité antérieure à la date du devis",IF(AND(R369=0,G369&lt;&gt;"Annulé"),"Aucune ligne (feuille Lignes de devis)",IF(COUNTIFS(dl_doc,A369,dl_check,"&lt;&gt;OK")&gt;0,"Ligne(s) à corriger",IF(AND(L369&lt;&gt;"",OR(G369="Refusé",G369="Annulé")),"Devis refusé ou annulé mais facturé","OK"))))))))))</f>
        <v/>
      </c>
      <c r="O369" s="62">
        <f>IF(ISNUMBER(B369),B369,0)</f>
        <v>0.0</v>
      </c>
      <c r="P369" s="62" t="str">
        <f>IF(O369=0,"",YEAR(O369))</f>
        <v/>
      </c>
      <c r="Q369" s="62" t="str">
        <f>IF(P369="","",COUNTIF($P$6:P369,P369))</f>
        <v/>
      </c>
      <c r="R369" s="62">
        <f>IF(A369="",0,COUNTIF(dl_doc,A369))</f>
        <v>0.0</v>
      </c>
    </row>
    <row r="370">
      <c r="A370" s="59" t="str">
        <f>IF(Q370="","",p_pdv&amp;"-"&amp;P370&amp;"-"&amp;RIGHT("000"&amp;Q370,4))</f>
        <v/>
      </c>
      <c r="B370" s="61" t="n"/>
      <c r="C370" s="60" t="n"/>
      <c r="D370" s="62" t="str">
        <f>IF(C370="","",IFERROR(INDEX(cli_name,MATCH(C370,cli_code,0))&amp;"","Client inconnu"))</f>
        <v/>
      </c>
      <c r="E370" s="63" t="n"/>
      <c r="F370" s="61" t="n"/>
      <c r="G370" s="60" t="n"/>
      <c r="H370" s="64" t="str">
        <f>IF(A370="","",IF(ISNUMBER(F370),F370,O370+N(p_validity)))</f>
        <v/>
      </c>
      <c r="I370" s="65" t="str">
        <f>IF(A370="","",SUMIF(dl_doc,A370,dl_ht))</f>
        <v/>
      </c>
      <c r="J370" s="65" t="str">
        <f>IF(A370="","",IF(INDEX(p_rates,1)="",0,ROUND(SUMIFS(dl_ht,dl_doc,A370,dl_rate,INDEX(p_rates,1))*INDEX(p_rates,1),2))+IF(INDEX(p_rates,2)="",0,ROUND(SUMIFS(dl_ht,dl_doc,A370,dl_rate,INDEX(p_rates,2))*INDEX(p_rates,2),2))+IF(INDEX(p_rates,3)="",0,ROUND(SUMIFS(dl_ht,dl_doc,A370,dl_rate,INDEX(p_rates,3))*INDEX(p_rates,3),2))+IF(INDEX(p_rates,4)="",0,ROUND(SUMIFS(dl_ht,dl_doc,A370,dl_rate,INDEX(p_rates,4))*INDEX(p_rates,4),2))+IF(INDEX(p_rates,5)="",0,ROUND(SUMIFS(dl_ht,dl_doc,A370,dl_rate,INDEX(p_rates,5))*INDEX(p_rates,5),2))+IF(INDEX(p_rates,6)="",0,ROUND(SUMIFS(dl_ht,dl_doc,A370,dl_rate,INDEX(p_rates,6))*INDEX(p_rates,6),2)))</f>
        <v/>
      </c>
      <c r="K370" s="65" t="str">
        <f>IF(A370="","",I370+J370)</f>
        <v/>
      </c>
      <c r="L370" s="59" t="str">
        <f>IF(A370="","",IFERROR(INDEX(fa_num,MATCH(A370,fa_dvkey,0))&amp;"",""))</f>
        <v/>
      </c>
      <c r="M370" s="59" t="str">
        <f>IF(A370="","",IF(G370="Annulé","Annulé",IF(L370&lt;&gt;"","Facturé",IF(G370="Accepté","Accepté",IF(G370="Refusé","Refusé",IF(p_asof&gt;H370,"Expiré","En attente"))))))</f>
        <v/>
      </c>
      <c r="N370" s="59" t="str">
        <f>IF(COUNTA(B370:C370,E370:G370)=0,"",IF(B370="","Date manquante",IF(NOT(ISNUMBER(B370)),"Date invalide",IF(C370="","Client manquant",IF(ISNA(MATCH(C370,cli_code,0)),"Client inconnu",IF(O370&lt;MAX($O$6:O369),"Date antérieure au devis précédent",IF(AND(ISNUMBER(F370),F370&lt;O370),"Validité antérieure à la date du devis",IF(AND(R370=0,G370&lt;&gt;"Annulé"),"Aucune ligne (feuille Lignes de devis)",IF(COUNTIFS(dl_doc,A370,dl_check,"&lt;&gt;OK")&gt;0,"Ligne(s) à corriger",IF(AND(L370&lt;&gt;"",OR(G370="Refusé",G370="Annulé")),"Devis refusé ou annulé mais facturé","OK"))))))))))</f>
        <v/>
      </c>
      <c r="O370" s="62">
        <f>IF(ISNUMBER(B370),B370,0)</f>
        <v>0.0</v>
      </c>
      <c r="P370" s="62" t="str">
        <f>IF(O370=0,"",YEAR(O370))</f>
        <v/>
      </c>
      <c r="Q370" s="62" t="str">
        <f>IF(P370="","",COUNTIF($P$6:P370,P370))</f>
        <v/>
      </c>
      <c r="R370" s="62">
        <f>IF(A370="",0,COUNTIF(dl_doc,A370))</f>
        <v>0.0</v>
      </c>
    </row>
    <row r="371">
      <c r="A371" s="59" t="str">
        <f>IF(Q371="","",p_pdv&amp;"-"&amp;P371&amp;"-"&amp;RIGHT("000"&amp;Q371,4))</f>
        <v/>
      </c>
      <c r="B371" s="61" t="n"/>
      <c r="C371" s="60" t="n"/>
      <c r="D371" s="62" t="str">
        <f>IF(C371="","",IFERROR(INDEX(cli_name,MATCH(C371,cli_code,0))&amp;"","Client inconnu"))</f>
        <v/>
      </c>
      <c r="E371" s="63" t="n"/>
      <c r="F371" s="61" t="n"/>
      <c r="G371" s="60" t="n"/>
      <c r="H371" s="64" t="str">
        <f>IF(A371="","",IF(ISNUMBER(F371),F371,O371+N(p_validity)))</f>
        <v/>
      </c>
      <c r="I371" s="65" t="str">
        <f>IF(A371="","",SUMIF(dl_doc,A371,dl_ht))</f>
        <v/>
      </c>
      <c r="J371" s="65" t="str">
        <f>IF(A371="","",IF(INDEX(p_rates,1)="",0,ROUND(SUMIFS(dl_ht,dl_doc,A371,dl_rate,INDEX(p_rates,1))*INDEX(p_rates,1),2))+IF(INDEX(p_rates,2)="",0,ROUND(SUMIFS(dl_ht,dl_doc,A371,dl_rate,INDEX(p_rates,2))*INDEX(p_rates,2),2))+IF(INDEX(p_rates,3)="",0,ROUND(SUMIFS(dl_ht,dl_doc,A371,dl_rate,INDEX(p_rates,3))*INDEX(p_rates,3),2))+IF(INDEX(p_rates,4)="",0,ROUND(SUMIFS(dl_ht,dl_doc,A371,dl_rate,INDEX(p_rates,4))*INDEX(p_rates,4),2))+IF(INDEX(p_rates,5)="",0,ROUND(SUMIFS(dl_ht,dl_doc,A371,dl_rate,INDEX(p_rates,5))*INDEX(p_rates,5),2))+IF(INDEX(p_rates,6)="",0,ROUND(SUMIFS(dl_ht,dl_doc,A371,dl_rate,INDEX(p_rates,6))*INDEX(p_rates,6),2)))</f>
        <v/>
      </c>
      <c r="K371" s="65" t="str">
        <f>IF(A371="","",I371+J371)</f>
        <v/>
      </c>
      <c r="L371" s="59" t="str">
        <f>IF(A371="","",IFERROR(INDEX(fa_num,MATCH(A371,fa_dvkey,0))&amp;"",""))</f>
        <v/>
      </c>
      <c r="M371" s="59" t="str">
        <f>IF(A371="","",IF(G371="Annulé","Annulé",IF(L371&lt;&gt;"","Facturé",IF(G371="Accepté","Accepté",IF(G371="Refusé","Refusé",IF(p_asof&gt;H371,"Expiré","En attente"))))))</f>
        <v/>
      </c>
      <c r="N371" s="59" t="str">
        <f>IF(COUNTA(B371:C371,E371:G371)=0,"",IF(B371="","Date manquante",IF(NOT(ISNUMBER(B371)),"Date invalide",IF(C371="","Client manquant",IF(ISNA(MATCH(C371,cli_code,0)),"Client inconnu",IF(O371&lt;MAX($O$6:O370),"Date antérieure au devis précédent",IF(AND(ISNUMBER(F371),F371&lt;O371),"Validité antérieure à la date du devis",IF(AND(R371=0,G371&lt;&gt;"Annulé"),"Aucune ligne (feuille Lignes de devis)",IF(COUNTIFS(dl_doc,A371,dl_check,"&lt;&gt;OK")&gt;0,"Ligne(s) à corriger",IF(AND(L371&lt;&gt;"",OR(G371="Refusé",G371="Annulé")),"Devis refusé ou annulé mais facturé","OK"))))))))))</f>
        <v/>
      </c>
      <c r="O371" s="62">
        <f>IF(ISNUMBER(B371),B371,0)</f>
        <v>0.0</v>
      </c>
      <c r="P371" s="62" t="str">
        <f>IF(O371=0,"",YEAR(O371))</f>
        <v/>
      </c>
      <c r="Q371" s="62" t="str">
        <f>IF(P371="","",COUNTIF($P$6:P371,P371))</f>
        <v/>
      </c>
      <c r="R371" s="62">
        <f>IF(A371="",0,COUNTIF(dl_doc,A371))</f>
        <v>0.0</v>
      </c>
    </row>
    <row r="372">
      <c r="A372" s="59" t="str">
        <f>IF(Q372="","",p_pdv&amp;"-"&amp;P372&amp;"-"&amp;RIGHT("000"&amp;Q372,4))</f>
        <v/>
      </c>
      <c r="B372" s="61" t="n"/>
      <c r="C372" s="60" t="n"/>
      <c r="D372" s="62" t="str">
        <f>IF(C372="","",IFERROR(INDEX(cli_name,MATCH(C372,cli_code,0))&amp;"","Client inconnu"))</f>
        <v/>
      </c>
      <c r="E372" s="63" t="n"/>
      <c r="F372" s="61" t="n"/>
      <c r="G372" s="60" t="n"/>
      <c r="H372" s="64" t="str">
        <f>IF(A372="","",IF(ISNUMBER(F372),F372,O372+N(p_validity)))</f>
        <v/>
      </c>
      <c r="I372" s="65" t="str">
        <f>IF(A372="","",SUMIF(dl_doc,A372,dl_ht))</f>
        <v/>
      </c>
      <c r="J372" s="65" t="str">
        <f>IF(A372="","",IF(INDEX(p_rates,1)="",0,ROUND(SUMIFS(dl_ht,dl_doc,A372,dl_rate,INDEX(p_rates,1))*INDEX(p_rates,1),2))+IF(INDEX(p_rates,2)="",0,ROUND(SUMIFS(dl_ht,dl_doc,A372,dl_rate,INDEX(p_rates,2))*INDEX(p_rates,2),2))+IF(INDEX(p_rates,3)="",0,ROUND(SUMIFS(dl_ht,dl_doc,A372,dl_rate,INDEX(p_rates,3))*INDEX(p_rates,3),2))+IF(INDEX(p_rates,4)="",0,ROUND(SUMIFS(dl_ht,dl_doc,A372,dl_rate,INDEX(p_rates,4))*INDEX(p_rates,4),2))+IF(INDEX(p_rates,5)="",0,ROUND(SUMIFS(dl_ht,dl_doc,A372,dl_rate,INDEX(p_rates,5))*INDEX(p_rates,5),2))+IF(INDEX(p_rates,6)="",0,ROUND(SUMIFS(dl_ht,dl_doc,A372,dl_rate,INDEX(p_rates,6))*INDEX(p_rates,6),2)))</f>
        <v/>
      </c>
      <c r="K372" s="65" t="str">
        <f>IF(A372="","",I372+J372)</f>
        <v/>
      </c>
      <c r="L372" s="59" t="str">
        <f>IF(A372="","",IFERROR(INDEX(fa_num,MATCH(A372,fa_dvkey,0))&amp;"",""))</f>
        <v/>
      </c>
      <c r="M372" s="59" t="str">
        <f>IF(A372="","",IF(G372="Annulé","Annulé",IF(L372&lt;&gt;"","Facturé",IF(G372="Accepté","Accepté",IF(G372="Refusé","Refusé",IF(p_asof&gt;H372,"Expiré","En attente"))))))</f>
        <v/>
      </c>
      <c r="N372" s="59" t="str">
        <f>IF(COUNTA(B372:C372,E372:G372)=0,"",IF(B372="","Date manquante",IF(NOT(ISNUMBER(B372)),"Date invalide",IF(C372="","Client manquant",IF(ISNA(MATCH(C372,cli_code,0)),"Client inconnu",IF(O372&lt;MAX($O$6:O371),"Date antérieure au devis précédent",IF(AND(ISNUMBER(F372),F372&lt;O372),"Validité antérieure à la date du devis",IF(AND(R372=0,G372&lt;&gt;"Annulé"),"Aucune ligne (feuille Lignes de devis)",IF(COUNTIFS(dl_doc,A372,dl_check,"&lt;&gt;OK")&gt;0,"Ligne(s) à corriger",IF(AND(L372&lt;&gt;"",OR(G372="Refusé",G372="Annulé")),"Devis refusé ou annulé mais facturé","OK"))))))))))</f>
        <v/>
      </c>
      <c r="O372" s="62">
        <f>IF(ISNUMBER(B372),B372,0)</f>
        <v>0.0</v>
      </c>
      <c r="P372" s="62" t="str">
        <f>IF(O372=0,"",YEAR(O372))</f>
        <v/>
      </c>
      <c r="Q372" s="62" t="str">
        <f>IF(P372="","",COUNTIF($P$6:P372,P372))</f>
        <v/>
      </c>
      <c r="R372" s="62">
        <f>IF(A372="",0,COUNTIF(dl_doc,A372))</f>
        <v>0.0</v>
      </c>
    </row>
    <row r="373">
      <c r="A373" s="59" t="str">
        <f>IF(Q373="","",p_pdv&amp;"-"&amp;P373&amp;"-"&amp;RIGHT("000"&amp;Q373,4))</f>
        <v/>
      </c>
      <c r="B373" s="61" t="n"/>
      <c r="C373" s="60" t="n"/>
      <c r="D373" s="62" t="str">
        <f>IF(C373="","",IFERROR(INDEX(cli_name,MATCH(C373,cli_code,0))&amp;"","Client inconnu"))</f>
        <v/>
      </c>
      <c r="E373" s="63" t="n"/>
      <c r="F373" s="61" t="n"/>
      <c r="G373" s="60" t="n"/>
      <c r="H373" s="64" t="str">
        <f>IF(A373="","",IF(ISNUMBER(F373),F373,O373+N(p_validity)))</f>
        <v/>
      </c>
      <c r="I373" s="65" t="str">
        <f>IF(A373="","",SUMIF(dl_doc,A373,dl_ht))</f>
        <v/>
      </c>
      <c r="J373" s="65" t="str">
        <f>IF(A373="","",IF(INDEX(p_rates,1)="",0,ROUND(SUMIFS(dl_ht,dl_doc,A373,dl_rate,INDEX(p_rates,1))*INDEX(p_rates,1),2))+IF(INDEX(p_rates,2)="",0,ROUND(SUMIFS(dl_ht,dl_doc,A373,dl_rate,INDEX(p_rates,2))*INDEX(p_rates,2),2))+IF(INDEX(p_rates,3)="",0,ROUND(SUMIFS(dl_ht,dl_doc,A373,dl_rate,INDEX(p_rates,3))*INDEX(p_rates,3),2))+IF(INDEX(p_rates,4)="",0,ROUND(SUMIFS(dl_ht,dl_doc,A373,dl_rate,INDEX(p_rates,4))*INDEX(p_rates,4),2))+IF(INDEX(p_rates,5)="",0,ROUND(SUMIFS(dl_ht,dl_doc,A373,dl_rate,INDEX(p_rates,5))*INDEX(p_rates,5),2))+IF(INDEX(p_rates,6)="",0,ROUND(SUMIFS(dl_ht,dl_doc,A373,dl_rate,INDEX(p_rates,6))*INDEX(p_rates,6),2)))</f>
        <v/>
      </c>
      <c r="K373" s="65" t="str">
        <f>IF(A373="","",I373+J373)</f>
        <v/>
      </c>
      <c r="L373" s="59" t="str">
        <f>IF(A373="","",IFERROR(INDEX(fa_num,MATCH(A373,fa_dvkey,0))&amp;"",""))</f>
        <v/>
      </c>
      <c r="M373" s="59" t="str">
        <f>IF(A373="","",IF(G373="Annulé","Annulé",IF(L373&lt;&gt;"","Facturé",IF(G373="Accepté","Accepté",IF(G373="Refusé","Refusé",IF(p_asof&gt;H373,"Expiré","En attente"))))))</f>
        <v/>
      </c>
      <c r="N373" s="59" t="str">
        <f>IF(COUNTA(B373:C373,E373:G373)=0,"",IF(B373="","Date manquante",IF(NOT(ISNUMBER(B373)),"Date invalide",IF(C373="","Client manquant",IF(ISNA(MATCH(C373,cli_code,0)),"Client inconnu",IF(O373&lt;MAX($O$6:O372),"Date antérieure au devis précédent",IF(AND(ISNUMBER(F373),F373&lt;O373),"Validité antérieure à la date du devis",IF(AND(R373=0,G373&lt;&gt;"Annulé"),"Aucune ligne (feuille Lignes de devis)",IF(COUNTIFS(dl_doc,A373,dl_check,"&lt;&gt;OK")&gt;0,"Ligne(s) à corriger",IF(AND(L373&lt;&gt;"",OR(G373="Refusé",G373="Annulé")),"Devis refusé ou annulé mais facturé","OK"))))))))))</f>
        <v/>
      </c>
      <c r="O373" s="62">
        <f>IF(ISNUMBER(B373),B373,0)</f>
        <v>0.0</v>
      </c>
      <c r="P373" s="62" t="str">
        <f>IF(O373=0,"",YEAR(O373))</f>
        <v/>
      </c>
      <c r="Q373" s="62" t="str">
        <f>IF(P373="","",COUNTIF($P$6:P373,P373))</f>
        <v/>
      </c>
      <c r="R373" s="62">
        <f>IF(A373="",0,COUNTIF(dl_doc,A373))</f>
        <v>0.0</v>
      </c>
    </row>
    <row r="374">
      <c r="A374" s="59" t="str">
        <f>IF(Q374="","",p_pdv&amp;"-"&amp;P374&amp;"-"&amp;RIGHT("000"&amp;Q374,4))</f>
        <v/>
      </c>
      <c r="B374" s="61" t="n"/>
      <c r="C374" s="60" t="n"/>
      <c r="D374" s="62" t="str">
        <f>IF(C374="","",IFERROR(INDEX(cli_name,MATCH(C374,cli_code,0))&amp;"","Client inconnu"))</f>
        <v/>
      </c>
      <c r="E374" s="63" t="n"/>
      <c r="F374" s="61" t="n"/>
      <c r="G374" s="60" t="n"/>
      <c r="H374" s="64" t="str">
        <f>IF(A374="","",IF(ISNUMBER(F374),F374,O374+N(p_validity)))</f>
        <v/>
      </c>
      <c r="I374" s="65" t="str">
        <f>IF(A374="","",SUMIF(dl_doc,A374,dl_ht))</f>
        <v/>
      </c>
      <c r="J374" s="65" t="str">
        <f>IF(A374="","",IF(INDEX(p_rates,1)="",0,ROUND(SUMIFS(dl_ht,dl_doc,A374,dl_rate,INDEX(p_rates,1))*INDEX(p_rates,1),2))+IF(INDEX(p_rates,2)="",0,ROUND(SUMIFS(dl_ht,dl_doc,A374,dl_rate,INDEX(p_rates,2))*INDEX(p_rates,2),2))+IF(INDEX(p_rates,3)="",0,ROUND(SUMIFS(dl_ht,dl_doc,A374,dl_rate,INDEX(p_rates,3))*INDEX(p_rates,3),2))+IF(INDEX(p_rates,4)="",0,ROUND(SUMIFS(dl_ht,dl_doc,A374,dl_rate,INDEX(p_rates,4))*INDEX(p_rates,4),2))+IF(INDEX(p_rates,5)="",0,ROUND(SUMIFS(dl_ht,dl_doc,A374,dl_rate,INDEX(p_rates,5))*INDEX(p_rates,5),2))+IF(INDEX(p_rates,6)="",0,ROUND(SUMIFS(dl_ht,dl_doc,A374,dl_rate,INDEX(p_rates,6))*INDEX(p_rates,6),2)))</f>
        <v/>
      </c>
      <c r="K374" s="65" t="str">
        <f>IF(A374="","",I374+J374)</f>
        <v/>
      </c>
      <c r="L374" s="59" t="str">
        <f>IF(A374="","",IFERROR(INDEX(fa_num,MATCH(A374,fa_dvkey,0))&amp;"",""))</f>
        <v/>
      </c>
      <c r="M374" s="59" t="str">
        <f>IF(A374="","",IF(G374="Annulé","Annulé",IF(L374&lt;&gt;"","Facturé",IF(G374="Accepté","Accepté",IF(G374="Refusé","Refusé",IF(p_asof&gt;H374,"Expiré","En attente"))))))</f>
        <v/>
      </c>
      <c r="N374" s="59" t="str">
        <f>IF(COUNTA(B374:C374,E374:G374)=0,"",IF(B374="","Date manquante",IF(NOT(ISNUMBER(B374)),"Date invalide",IF(C374="","Client manquant",IF(ISNA(MATCH(C374,cli_code,0)),"Client inconnu",IF(O374&lt;MAX($O$6:O373),"Date antérieure au devis précédent",IF(AND(ISNUMBER(F374),F374&lt;O374),"Validité antérieure à la date du devis",IF(AND(R374=0,G374&lt;&gt;"Annulé"),"Aucune ligne (feuille Lignes de devis)",IF(COUNTIFS(dl_doc,A374,dl_check,"&lt;&gt;OK")&gt;0,"Ligne(s) à corriger",IF(AND(L374&lt;&gt;"",OR(G374="Refusé",G374="Annulé")),"Devis refusé ou annulé mais facturé","OK"))))))))))</f>
        <v/>
      </c>
      <c r="O374" s="62">
        <f>IF(ISNUMBER(B374),B374,0)</f>
        <v>0.0</v>
      </c>
      <c r="P374" s="62" t="str">
        <f>IF(O374=0,"",YEAR(O374))</f>
        <v/>
      </c>
      <c r="Q374" s="62" t="str">
        <f>IF(P374="","",COUNTIF($P$6:P374,P374))</f>
        <v/>
      </c>
      <c r="R374" s="62">
        <f>IF(A374="",0,COUNTIF(dl_doc,A374))</f>
        <v>0.0</v>
      </c>
    </row>
    <row r="375">
      <c r="A375" s="59" t="str">
        <f>IF(Q375="","",p_pdv&amp;"-"&amp;P375&amp;"-"&amp;RIGHT("000"&amp;Q375,4))</f>
        <v/>
      </c>
      <c r="B375" s="61" t="n"/>
      <c r="C375" s="60" t="n"/>
      <c r="D375" s="62" t="str">
        <f>IF(C375="","",IFERROR(INDEX(cli_name,MATCH(C375,cli_code,0))&amp;"","Client inconnu"))</f>
        <v/>
      </c>
      <c r="E375" s="63" t="n"/>
      <c r="F375" s="61" t="n"/>
      <c r="G375" s="60" t="n"/>
      <c r="H375" s="64" t="str">
        <f>IF(A375="","",IF(ISNUMBER(F375),F375,O375+N(p_validity)))</f>
        <v/>
      </c>
      <c r="I375" s="65" t="str">
        <f>IF(A375="","",SUMIF(dl_doc,A375,dl_ht))</f>
        <v/>
      </c>
      <c r="J375" s="65" t="str">
        <f>IF(A375="","",IF(INDEX(p_rates,1)="",0,ROUND(SUMIFS(dl_ht,dl_doc,A375,dl_rate,INDEX(p_rates,1))*INDEX(p_rates,1),2))+IF(INDEX(p_rates,2)="",0,ROUND(SUMIFS(dl_ht,dl_doc,A375,dl_rate,INDEX(p_rates,2))*INDEX(p_rates,2),2))+IF(INDEX(p_rates,3)="",0,ROUND(SUMIFS(dl_ht,dl_doc,A375,dl_rate,INDEX(p_rates,3))*INDEX(p_rates,3),2))+IF(INDEX(p_rates,4)="",0,ROUND(SUMIFS(dl_ht,dl_doc,A375,dl_rate,INDEX(p_rates,4))*INDEX(p_rates,4),2))+IF(INDEX(p_rates,5)="",0,ROUND(SUMIFS(dl_ht,dl_doc,A375,dl_rate,INDEX(p_rates,5))*INDEX(p_rates,5),2))+IF(INDEX(p_rates,6)="",0,ROUND(SUMIFS(dl_ht,dl_doc,A375,dl_rate,INDEX(p_rates,6))*INDEX(p_rates,6),2)))</f>
        <v/>
      </c>
      <c r="K375" s="65" t="str">
        <f>IF(A375="","",I375+J375)</f>
        <v/>
      </c>
      <c r="L375" s="59" t="str">
        <f>IF(A375="","",IFERROR(INDEX(fa_num,MATCH(A375,fa_dvkey,0))&amp;"",""))</f>
        <v/>
      </c>
      <c r="M375" s="59" t="str">
        <f>IF(A375="","",IF(G375="Annulé","Annulé",IF(L375&lt;&gt;"","Facturé",IF(G375="Accepté","Accepté",IF(G375="Refusé","Refusé",IF(p_asof&gt;H375,"Expiré","En attente"))))))</f>
        <v/>
      </c>
      <c r="N375" s="59" t="str">
        <f>IF(COUNTA(B375:C375,E375:G375)=0,"",IF(B375="","Date manquante",IF(NOT(ISNUMBER(B375)),"Date invalide",IF(C375="","Client manquant",IF(ISNA(MATCH(C375,cli_code,0)),"Client inconnu",IF(O375&lt;MAX($O$6:O374),"Date antérieure au devis précédent",IF(AND(ISNUMBER(F375),F375&lt;O375),"Validité antérieure à la date du devis",IF(AND(R375=0,G375&lt;&gt;"Annulé"),"Aucune ligne (feuille Lignes de devis)",IF(COUNTIFS(dl_doc,A375,dl_check,"&lt;&gt;OK")&gt;0,"Ligne(s) à corriger",IF(AND(L375&lt;&gt;"",OR(G375="Refusé",G375="Annulé")),"Devis refusé ou annulé mais facturé","OK"))))))))))</f>
        <v/>
      </c>
      <c r="O375" s="62">
        <f>IF(ISNUMBER(B375),B375,0)</f>
        <v>0.0</v>
      </c>
      <c r="P375" s="62" t="str">
        <f>IF(O375=0,"",YEAR(O375))</f>
        <v/>
      </c>
      <c r="Q375" s="62" t="str">
        <f>IF(P375="","",COUNTIF($P$6:P375,P375))</f>
        <v/>
      </c>
      <c r="R375" s="62">
        <f>IF(A375="",0,COUNTIF(dl_doc,A375))</f>
        <v>0.0</v>
      </c>
    </row>
    <row r="376">
      <c r="A376" s="59" t="str">
        <f>IF(Q376="","",p_pdv&amp;"-"&amp;P376&amp;"-"&amp;RIGHT("000"&amp;Q376,4))</f>
        <v/>
      </c>
      <c r="B376" s="61" t="n"/>
      <c r="C376" s="60" t="n"/>
      <c r="D376" s="62" t="str">
        <f>IF(C376="","",IFERROR(INDEX(cli_name,MATCH(C376,cli_code,0))&amp;"","Client inconnu"))</f>
        <v/>
      </c>
      <c r="E376" s="63" t="n"/>
      <c r="F376" s="61" t="n"/>
      <c r="G376" s="60" t="n"/>
      <c r="H376" s="64" t="str">
        <f>IF(A376="","",IF(ISNUMBER(F376),F376,O376+N(p_validity)))</f>
        <v/>
      </c>
      <c r="I376" s="65" t="str">
        <f>IF(A376="","",SUMIF(dl_doc,A376,dl_ht))</f>
        <v/>
      </c>
      <c r="J376" s="65" t="str">
        <f>IF(A376="","",IF(INDEX(p_rates,1)="",0,ROUND(SUMIFS(dl_ht,dl_doc,A376,dl_rate,INDEX(p_rates,1))*INDEX(p_rates,1),2))+IF(INDEX(p_rates,2)="",0,ROUND(SUMIFS(dl_ht,dl_doc,A376,dl_rate,INDEX(p_rates,2))*INDEX(p_rates,2),2))+IF(INDEX(p_rates,3)="",0,ROUND(SUMIFS(dl_ht,dl_doc,A376,dl_rate,INDEX(p_rates,3))*INDEX(p_rates,3),2))+IF(INDEX(p_rates,4)="",0,ROUND(SUMIFS(dl_ht,dl_doc,A376,dl_rate,INDEX(p_rates,4))*INDEX(p_rates,4),2))+IF(INDEX(p_rates,5)="",0,ROUND(SUMIFS(dl_ht,dl_doc,A376,dl_rate,INDEX(p_rates,5))*INDEX(p_rates,5),2))+IF(INDEX(p_rates,6)="",0,ROUND(SUMIFS(dl_ht,dl_doc,A376,dl_rate,INDEX(p_rates,6))*INDEX(p_rates,6),2)))</f>
        <v/>
      </c>
      <c r="K376" s="65" t="str">
        <f>IF(A376="","",I376+J376)</f>
        <v/>
      </c>
      <c r="L376" s="59" t="str">
        <f>IF(A376="","",IFERROR(INDEX(fa_num,MATCH(A376,fa_dvkey,0))&amp;"",""))</f>
        <v/>
      </c>
      <c r="M376" s="59" t="str">
        <f>IF(A376="","",IF(G376="Annulé","Annulé",IF(L376&lt;&gt;"","Facturé",IF(G376="Accepté","Accepté",IF(G376="Refusé","Refusé",IF(p_asof&gt;H376,"Expiré","En attente"))))))</f>
        <v/>
      </c>
      <c r="N376" s="59" t="str">
        <f>IF(COUNTA(B376:C376,E376:G376)=0,"",IF(B376="","Date manquante",IF(NOT(ISNUMBER(B376)),"Date invalide",IF(C376="","Client manquant",IF(ISNA(MATCH(C376,cli_code,0)),"Client inconnu",IF(O376&lt;MAX($O$6:O375),"Date antérieure au devis précédent",IF(AND(ISNUMBER(F376),F376&lt;O376),"Validité antérieure à la date du devis",IF(AND(R376=0,G376&lt;&gt;"Annulé"),"Aucune ligne (feuille Lignes de devis)",IF(COUNTIFS(dl_doc,A376,dl_check,"&lt;&gt;OK")&gt;0,"Ligne(s) à corriger",IF(AND(L376&lt;&gt;"",OR(G376="Refusé",G376="Annulé")),"Devis refusé ou annulé mais facturé","OK"))))))))))</f>
        <v/>
      </c>
      <c r="O376" s="62">
        <f>IF(ISNUMBER(B376),B376,0)</f>
        <v>0.0</v>
      </c>
      <c r="P376" s="62" t="str">
        <f>IF(O376=0,"",YEAR(O376))</f>
        <v/>
      </c>
      <c r="Q376" s="62" t="str">
        <f>IF(P376="","",COUNTIF($P$6:P376,P376))</f>
        <v/>
      </c>
      <c r="R376" s="62">
        <f>IF(A376="",0,COUNTIF(dl_doc,A376))</f>
        <v>0.0</v>
      </c>
    </row>
    <row r="377">
      <c r="A377" s="59" t="str">
        <f>IF(Q377="","",p_pdv&amp;"-"&amp;P377&amp;"-"&amp;RIGHT("000"&amp;Q377,4))</f>
        <v/>
      </c>
      <c r="B377" s="61" t="n"/>
      <c r="C377" s="60" t="n"/>
      <c r="D377" s="62" t="str">
        <f>IF(C377="","",IFERROR(INDEX(cli_name,MATCH(C377,cli_code,0))&amp;"","Client inconnu"))</f>
        <v/>
      </c>
      <c r="E377" s="63" t="n"/>
      <c r="F377" s="61" t="n"/>
      <c r="G377" s="60" t="n"/>
      <c r="H377" s="64" t="str">
        <f>IF(A377="","",IF(ISNUMBER(F377),F377,O377+N(p_validity)))</f>
        <v/>
      </c>
      <c r="I377" s="65" t="str">
        <f>IF(A377="","",SUMIF(dl_doc,A377,dl_ht))</f>
        <v/>
      </c>
      <c r="J377" s="65" t="str">
        <f>IF(A377="","",IF(INDEX(p_rates,1)="",0,ROUND(SUMIFS(dl_ht,dl_doc,A377,dl_rate,INDEX(p_rates,1))*INDEX(p_rates,1),2))+IF(INDEX(p_rates,2)="",0,ROUND(SUMIFS(dl_ht,dl_doc,A377,dl_rate,INDEX(p_rates,2))*INDEX(p_rates,2),2))+IF(INDEX(p_rates,3)="",0,ROUND(SUMIFS(dl_ht,dl_doc,A377,dl_rate,INDEX(p_rates,3))*INDEX(p_rates,3),2))+IF(INDEX(p_rates,4)="",0,ROUND(SUMIFS(dl_ht,dl_doc,A377,dl_rate,INDEX(p_rates,4))*INDEX(p_rates,4),2))+IF(INDEX(p_rates,5)="",0,ROUND(SUMIFS(dl_ht,dl_doc,A377,dl_rate,INDEX(p_rates,5))*INDEX(p_rates,5),2))+IF(INDEX(p_rates,6)="",0,ROUND(SUMIFS(dl_ht,dl_doc,A377,dl_rate,INDEX(p_rates,6))*INDEX(p_rates,6),2)))</f>
        <v/>
      </c>
      <c r="K377" s="65" t="str">
        <f>IF(A377="","",I377+J377)</f>
        <v/>
      </c>
      <c r="L377" s="59" t="str">
        <f>IF(A377="","",IFERROR(INDEX(fa_num,MATCH(A377,fa_dvkey,0))&amp;"",""))</f>
        <v/>
      </c>
      <c r="M377" s="59" t="str">
        <f>IF(A377="","",IF(G377="Annulé","Annulé",IF(L377&lt;&gt;"","Facturé",IF(G377="Accepté","Accepté",IF(G377="Refusé","Refusé",IF(p_asof&gt;H377,"Expiré","En attente"))))))</f>
        <v/>
      </c>
      <c r="N377" s="59" t="str">
        <f>IF(COUNTA(B377:C377,E377:G377)=0,"",IF(B377="","Date manquante",IF(NOT(ISNUMBER(B377)),"Date invalide",IF(C377="","Client manquant",IF(ISNA(MATCH(C377,cli_code,0)),"Client inconnu",IF(O377&lt;MAX($O$6:O376),"Date antérieure au devis précédent",IF(AND(ISNUMBER(F377),F377&lt;O377),"Validité antérieure à la date du devis",IF(AND(R377=0,G377&lt;&gt;"Annulé"),"Aucune ligne (feuille Lignes de devis)",IF(COUNTIFS(dl_doc,A377,dl_check,"&lt;&gt;OK")&gt;0,"Ligne(s) à corriger",IF(AND(L377&lt;&gt;"",OR(G377="Refusé",G377="Annulé")),"Devis refusé ou annulé mais facturé","OK"))))))))))</f>
        <v/>
      </c>
      <c r="O377" s="62">
        <f>IF(ISNUMBER(B377),B377,0)</f>
        <v>0.0</v>
      </c>
      <c r="P377" s="62" t="str">
        <f>IF(O377=0,"",YEAR(O377))</f>
        <v/>
      </c>
      <c r="Q377" s="62" t="str">
        <f>IF(P377="","",COUNTIF($P$6:P377,P377))</f>
        <v/>
      </c>
      <c r="R377" s="62">
        <f>IF(A377="",0,COUNTIF(dl_doc,A377))</f>
        <v>0.0</v>
      </c>
    </row>
    <row r="378">
      <c r="A378" s="59" t="str">
        <f>IF(Q378="","",p_pdv&amp;"-"&amp;P378&amp;"-"&amp;RIGHT("000"&amp;Q378,4))</f>
        <v/>
      </c>
      <c r="B378" s="61" t="n"/>
      <c r="C378" s="60" t="n"/>
      <c r="D378" s="62" t="str">
        <f>IF(C378="","",IFERROR(INDEX(cli_name,MATCH(C378,cli_code,0))&amp;"","Client inconnu"))</f>
        <v/>
      </c>
      <c r="E378" s="63" t="n"/>
      <c r="F378" s="61" t="n"/>
      <c r="G378" s="60" t="n"/>
      <c r="H378" s="64" t="str">
        <f>IF(A378="","",IF(ISNUMBER(F378),F378,O378+N(p_validity)))</f>
        <v/>
      </c>
      <c r="I378" s="65" t="str">
        <f>IF(A378="","",SUMIF(dl_doc,A378,dl_ht))</f>
        <v/>
      </c>
      <c r="J378" s="65" t="str">
        <f>IF(A378="","",IF(INDEX(p_rates,1)="",0,ROUND(SUMIFS(dl_ht,dl_doc,A378,dl_rate,INDEX(p_rates,1))*INDEX(p_rates,1),2))+IF(INDEX(p_rates,2)="",0,ROUND(SUMIFS(dl_ht,dl_doc,A378,dl_rate,INDEX(p_rates,2))*INDEX(p_rates,2),2))+IF(INDEX(p_rates,3)="",0,ROUND(SUMIFS(dl_ht,dl_doc,A378,dl_rate,INDEX(p_rates,3))*INDEX(p_rates,3),2))+IF(INDEX(p_rates,4)="",0,ROUND(SUMIFS(dl_ht,dl_doc,A378,dl_rate,INDEX(p_rates,4))*INDEX(p_rates,4),2))+IF(INDEX(p_rates,5)="",0,ROUND(SUMIFS(dl_ht,dl_doc,A378,dl_rate,INDEX(p_rates,5))*INDEX(p_rates,5),2))+IF(INDEX(p_rates,6)="",0,ROUND(SUMIFS(dl_ht,dl_doc,A378,dl_rate,INDEX(p_rates,6))*INDEX(p_rates,6),2)))</f>
        <v/>
      </c>
      <c r="K378" s="65" t="str">
        <f>IF(A378="","",I378+J378)</f>
        <v/>
      </c>
      <c r="L378" s="59" t="str">
        <f>IF(A378="","",IFERROR(INDEX(fa_num,MATCH(A378,fa_dvkey,0))&amp;"",""))</f>
        <v/>
      </c>
      <c r="M378" s="59" t="str">
        <f>IF(A378="","",IF(G378="Annulé","Annulé",IF(L378&lt;&gt;"","Facturé",IF(G378="Accepté","Accepté",IF(G378="Refusé","Refusé",IF(p_asof&gt;H378,"Expiré","En attente"))))))</f>
        <v/>
      </c>
      <c r="N378" s="59" t="str">
        <f>IF(COUNTA(B378:C378,E378:G378)=0,"",IF(B378="","Date manquante",IF(NOT(ISNUMBER(B378)),"Date invalide",IF(C378="","Client manquant",IF(ISNA(MATCH(C378,cli_code,0)),"Client inconnu",IF(O378&lt;MAX($O$6:O377),"Date antérieure au devis précédent",IF(AND(ISNUMBER(F378),F378&lt;O378),"Validité antérieure à la date du devis",IF(AND(R378=0,G378&lt;&gt;"Annulé"),"Aucune ligne (feuille Lignes de devis)",IF(COUNTIFS(dl_doc,A378,dl_check,"&lt;&gt;OK")&gt;0,"Ligne(s) à corriger",IF(AND(L378&lt;&gt;"",OR(G378="Refusé",G378="Annulé")),"Devis refusé ou annulé mais facturé","OK"))))))))))</f>
        <v/>
      </c>
      <c r="O378" s="62">
        <f>IF(ISNUMBER(B378),B378,0)</f>
        <v>0.0</v>
      </c>
      <c r="P378" s="62" t="str">
        <f>IF(O378=0,"",YEAR(O378))</f>
        <v/>
      </c>
      <c r="Q378" s="62" t="str">
        <f>IF(P378="","",COUNTIF($P$6:P378,P378))</f>
        <v/>
      </c>
      <c r="R378" s="62">
        <f>IF(A378="",0,COUNTIF(dl_doc,A378))</f>
        <v>0.0</v>
      </c>
    </row>
    <row r="379">
      <c r="A379" s="59" t="str">
        <f>IF(Q379="","",p_pdv&amp;"-"&amp;P379&amp;"-"&amp;RIGHT("000"&amp;Q379,4))</f>
        <v/>
      </c>
      <c r="B379" s="61" t="n"/>
      <c r="C379" s="60" t="n"/>
      <c r="D379" s="62" t="str">
        <f>IF(C379="","",IFERROR(INDEX(cli_name,MATCH(C379,cli_code,0))&amp;"","Client inconnu"))</f>
        <v/>
      </c>
      <c r="E379" s="63" t="n"/>
      <c r="F379" s="61" t="n"/>
      <c r="G379" s="60" t="n"/>
      <c r="H379" s="64" t="str">
        <f>IF(A379="","",IF(ISNUMBER(F379),F379,O379+N(p_validity)))</f>
        <v/>
      </c>
      <c r="I379" s="65" t="str">
        <f>IF(A379="","",SUMIF(dl_doc,A379,dl_ht))</f>
        <v/>
      </c>
      <c r="J379" s="65" t="str">
        <f>IF(A379="","",IF(INDEX(p_rates,1)="",0,ROUND(SUMIFS(dl_ht,dl_doc,A379,dl_rate,INDEX(p_rates,1))*INDEX(p_rates,1),2))+IF(INDEX(p_rates,2)="",0,ROUND(SUMIFS(dl_ht,dl_doc,A379,dl_rate,INDEX(p_rates,2))*INDEX(p_rates,2),2))+IF(INDEX(p_rates,3)="",0,ROUND(SUMIFS(dl_ht,dl_doc,A379,dl_rate,INDEX(p_rates,3))*INDEX(p_rates,3),2))+IF(INDEX(p_rates,4)="",0,ROUND(SUMIFS(dl_ht,dl_doc,A379,dl_rate,INDEX(p_rates,4))*INDEX(p_rates,4),2))+IF(INDEX(p_rates,5)="",0,ROUND(SUMIFS(dl_ht,dl_doc,A379,dl_rate,INDEX(p_rates,5))*INDEX(p_rates,5),2))+IF(INDEX(p_rates,6)="",0,ROUND(SUMIFS(dl_ht,dl_doc,A379,dl_rate,INDEX(p_rates,6))*INDEX(p_rates,6),2)))</f>
        <v/>
      </c>
      <c r="K379" s="65" t="str">
        <f>IF(A379="","",I379+J379)</f>
        <v/>
      </c>
      <c r="L379" s="59" t="str">
        <f>IF(A379="","",IFERROR(INDEX(fa_num,MATCH(A379,fa_dvkey,0))&amp;"",""))</f>
        <v/>
      </c>
      <c r="M379" s="59" t="str">
        <f>IF(A379="","",IF(G379="Annulé","Annulé",IF(L379&lt;&gt;"","Facturé",IF(G379="Accepté","Accepté",IF(G379="Refusé","Refusé",IF(p_asof&gt;H379,"Expiré","En attente"))))))</f>
        <v/>
      </c>
      <c r="N379" s="59" t="str">
        <f>IF(COUNTA(B379:C379,E379:G379)=0,"",IF(B379="","Date manquante",IF(NOT(ISNUMBER(B379)),"Date invalide",IF(C379="","Client manquant",IF(ISNA(MATCH(C379,cli_code,0)),"Client inconnu",IF(O379&lt;MAX($O$6:O378),"Date antérieure au devis précédent",IF(AND(ISNUMBER(F379),F379&lt;O379),"Validité antérieure à la date du devis",IF(AND(R379=0,G379&lt;&gt;"Annulé"),"Aucune ligne (feuille Lignes de devis)",IF(COUNTIFS(dl_doc,A379,dl_check,"&lt;&gt;OK")&gt;0,"Ligne(s) à corriger",IF(AND(L379&lt;&gt;"",OR(G379="Refusé",G379="Annulé")),"Devis refusé ou annulé mais facturé","OK"))))))))))</f>
        <v/>
      </c>
      <c r="O379" s="62">
        <f>IF(ISNUMBER(B379),B379,0)</f>
        <v>0.0</v>
      </c>
      <c r="P379" s="62" t="str">
        <f>IF(O379=0,"",YEAR(O379))</f>
        <v/>
      </c>
      <c r="Q379" s="62" t="str">
        <f>IF(P379="","",COUNTIF($P$6:P379,P379))</f>
        <v/>
      </c>
      <c r="R379" s="62">
        <f>IF(A379="",0,COUNTIF(dl_doc,A379))</f>
        <v>0.0</v>
      </c>
    </row>
    <row r="380">
      <c r="A380" s="59" t="str">
        <f>IF(Q380="","",p_pdv&amp;"-"&amp;P380&amp;"-"&amp;RIGHT("000"&amp;Q380,4))</f>
        <v/>
      </c>
      <c r="B380" s="61" t="n"/>
      <c r="C380" s="60" t="n"/>
      <c r="D380" s="62" t="str">
        <f>IF(C380="","",IFERROR(INDEX(cli_name,MATCH(C380,cli_code,0))&amp;"","Client inconnu"))</f>
        <v/>
      </c>
      <c r="E380" s="63" t="n"/>
      <c r="F380" s="61" t="n"/>
      <c r="G380" s="60" t="n"/>
      <c r="H380" s="64" t="str">
        <f>IF(A380="","",IF(ISNUMBER(F380),F380,O380+N(p_validity)))</f>
        <v/>
      </c>
      <c r="I380" s="65" t="str">
        <f>IF(A380="","",SUMIF(dl_doc,A380,dl_ht))</f>
        <v/>
      </c>
      <c r="J380" s="65" t="str">
        <f>IF(A380="","",IF(INDEX(p_rates,1)="",0,ROUND(SUMIFS(dl_ht,dl_doc,A380,dl_rate,INDEX(p_rates,1))*INDEX(p_rates,1),2))+IF(INDEX(p_rates,2)="",0,ROUND(SUMIFS(dl_ht,dl_doc,A380,dl_rate,INDEX(p_rates,2))*INDEX(p_rates,2),2))+IF(INDEX(p_rates,3)="",0,ROUND(SUMIFS(dl_ht,dl_doc,A380,dl_rate,INDEX(p_rates,3))*INDEX(p_rates,3),2))+IF(INDEX(p_rates,4)="",0,ROUND(SUMIFS(dl_ht,dl_doc,A380,dl_rate,INDEX(p_rates,4))*INDEX(p_rates,4),2))+IF(INDEX(p_rates,5)="",0,ROUND(SUMIFS(dl_ht,dl_doc,A380,dl_rate,INDEX(p_rates,5))*INDEX(p_rates,5),2))+IF(INDEX(p_rates,6)="",0,ROUND(SUMIFS(dl_ht,dl_doc,A380,dl_rate,INDEX(p_rates,6))*INDEX(p_rates,6),2)))</f>
        <v/>
      </c>
      <c r="K380" s="65" t="str">
        <f>IF(A380="","",I380+J380)</f>
        <v/>
      </c>
      <c r="L380" s="59" t="str">
        <f>IF(A380="","",IFERROR(INDEX(fa_num,MATCH(A380,fa_dvkey,0))&amp;"",""))</f>
        <v/>
      </c>
      <c r="M380" s="59" t="str">
        <f>IF(A380="","",IF(G380="Annulé","Annulé",IF(L380&lt;&gt;"","Facturé",IF(G380="Accepté","Accepté",IF(G380="Refusé","Refusé",IF(p_asof&gt;H380,"Expiré","En attente"))))))</f>
        <v/>
      </c>
      <c r="N380" s="59" t="str">
        <f>IF(COUNTA(B380:C380,E380:G380)=0,"",IF(B380="","Date manquante",IF(NOT(ISNUMBER(B380)),"Date invalide",IF(C380="","Client manquant",IF(ISNA(MATCH(C380,cli_code,0)),"Client inconnu",IF(O380&lt;MAX($O$6:O379),"Date antérieure au devis précédent",IF(AND(ISNUMBER(F380),F380&lt;O380),"Validité antérieure à la date du devis",IF(AND(R380=0,G380&lt;&gt;"Annulé"),"Aucune ligne (feuille Lignes de devis)",IF(COUNTIFS(dl_doc,A380,dl_check,"&lt;&gt;OK")&gt;0,"Ligne(s) à corriger",IF(AND(L380&lt;&gt;"",OR(G380="Refusé",G380="Annulé")),"Devis refusé ou annulé mais facturé","OK"))))))))))</f>
        <v/>
      </c>
      <c r="O380" s="62">
        <f>IF(ISNUMBER(B380),B380,0)</f>
        <v>0.0</v>
      </c>
      <c r="P380" s="62" t="str">
        <f>IF(O380=0,"",YEAR(O380))</f>
        <v/>
      </c>
      <c r="Q380" s="62" t="str">
        <f>IF(P380="","",COUNTIF($P$6:P380,P380))</f>
        <v/>
      </c>
      <c r="R380" s="62">
        <f>IF(A380="",0,COUNTIF(dl_doc,A380))</f>
        <v>0.0</v>
      </c>
    </row>
    <row r="381">
      <c r="A381" s="59" t="str">
        <f>IF(Q381="","",p_pdv&amp;"-"&amp;P381&amp;"-"&amp;RIGHT("000"&amp;Q381,4))</f>
        <v/>
      </c>
      <c r="B381" s="61" t="n"/>
      <c r="C381" s="60" t="n"/>
      <c r="D381" s="62" t="str">
        <f>IF(C381="","",IFERROR(INDEX(cli_name,MATCH(C381,cli_code,0))&amp;"","Client inconnu"))</f>
        <v/>
      </c>
      <c r="E381" s="63" t="n"/>
      <c r="F381" s="61" t="n"/>
      <c r="G381" s="60" t="n"/>
      <c r="H381" s="64" t="str">
        <f>IF(A381="","",IF(ISNUMBER(F381),F381,O381+N(p_validity)))</f>
        <v/>
      </c>
      <c r="I381" s="65" t="str">
        <f>IF(A381="","",SUMIF(dl_doc,A381,dl_ht))</f>
        <v/>
      </c>
      <c r="J381" s="65" t="str">
        <f>IF(A381="","",IF(INDEX(p_rates,1)="",0,ROUND(SUMIFS(dl_ht,dl_doc,A381,dl_rate,INDEX(p_rates,1))*INDEX(p_rates,1),2))+IF(INDEX(p_rates,2)="",0,ROUND(SUMIFS(dl_ht,dl_doc,A381,dl_rate,INDEX(p_rates,2))*INDEX(p_rates,2),2))+IF(INDEX(p_rates,3)="",0,ROUND(SUMIFS(dl_ht,dl_doc,A381,dl_rate,INDEX(p_rates,3))*INDEX(p_rates,3),2))+IF(INDEX(p_rates,4)="",0,ROUND(SUMIFS(dl_ht,dl_doc,A381,dl_rate,INDEX(p_rates,4))*INDEX(p_rates,4),2))+IF(INDEX(p_rates,5)="",0,ROUND(SUMIFS(dl_ht,dl_doc,A381,dl_rate,INDEX(p_rates,5))*INDEX(p_rates,5),2))+IF(INDEX(p_rates,6)="",0,ROUND(SUMIFS(dl_ht,dl_doc,A381,dl_rate,INDEX(p_rates,6))*INDEX(p_rates,6),2)))</f>
        <v/>
      </c>
      <c r="K381" s="65" t="str">
        <f>IF(A381="","",I381+J381)</f>
        <v/>
      </c>
      <c r="L381" s="59" t="str">
        <f>IF(A381="","",IFERROR(INDEX(fa_num,MATCH(A381,fa_dvkey,0))&amp;"",""))</f>
        <v/>
      </c>
      <c r="M381" s="59" t="str">
        <f>IF(A381="","",IF(G381="Annulé","Annulé",IF(L381&lt;&gt;"","Facturé",IF(G381="Accepté","Accepté",IF(G381="Refusé","Refusé",IF(p_asof&gt;H381,"Expiré","En attente"))))))</f>
        <v/>
      </c>
      <c r="N381" s="59" t="str">
        <f>IF(COUNTA(B381:C381,E381:G381)=0,"",IF(B381="","Date manquante",IF(NOT(ISNUMBER(B381)),"Date invalide",IF(C381="","Client manquant",IF(ISNA(MATCH(C381,cli_code,0)),"Client inconnu",IF(O381&lt;MAX($O$6:O380),"Date antérieure au devis précédent",IF(AND(ISNUMBER(F381),F381&lt;O381),"Validité antérieure à la date du devis",IF(AND(R381=0,G381&lt;&gt;"Annulé"),"Aucune ligne (feuille Lignes de devis)",IF(COUNTIFS(dl_doc,A381,dl_check,"&lt;&gt;OK")&gt;0,"Ligne(s) à corriger",IF(AND(L381&lt;&gt;"",OR(G381="Refusé",G381="Annulé")),"Devis refusé ou annulé mais facturé","OK"))))))))))</f>
        <v/>
      </c>
      <c r="O381" s="62">
        <f>IF(ISNUMBER(B381),B381,0)</f>
        <v>0.0</v>
      </c>
      <c r="P381" s="62" t="str">
        <f>IF(O381=0,"",YEAR(O381))</f>
        <v/>
      </c>
      <c r="Q381" s="62" t="str">
        <f>IF(P381="","",COUNTIF($P$6:P381,P381))</f>
        <v/>
      </c>
      <c r="R381" s="62">
        <f>IF(A381="",0,COUNTIF(dl_doc,A381))</f>
        <v>0.0</v>
      </c>
    </row>
    <row r="382">
      <c r="A382" s="59" t="str">
        <f>IF(Q382="","",p_pdv&amp;"-"&amp;P382&amp;"-"&amp;RIGHT("000"&amp;Q382,4))</f>
        <v/>
      </c>
      <c r="B382" s="61" t="n"/>
      <c r="C382" s="60" t="n"/>
      <c r="D382" s="62" t="str">
        <f>IF(C382="","",IFERROR(INDEX(cli_name,MATCH(C382,cli_code,0))&amp;"","Client inconnu"))</f>
        <v/>
      </c>
      <c r="E382" s="63" t="n"/>
      <c r="F382" s="61" t="n"/>
      <c r="G382" s="60" t="n"/>
      <c r="H382" s="64" t="str">
        <f>IF(A382="","",IF(ISNUMBER(F382),F382,O382+N(p_validity)))</f>
        <v/>
      </c>
      <c r="I382" s="65" t="str">
        <f>IF(A382="","",SUMIF(dl_doc,A382,dl_ht))</f>
        <v/>
      </c>
      <c r="J382" s="65" t="str">
        <f>IF(A382="","",IF(INDEX(p_rates,1)="",0,ROUND(SUMIFS(dl_ht,dl_doc,A382,dl_rate,INDEX(p_rates,1))*INDEX(p_rates,1),2))+IF(INDEX(p_rates,2)="",0,ROUND(SUMIFS(dl_ht,dl_doc,A382,dl_rate,INDEX(p_rates,2))*INDEX(p_rates,2),2))+IF(INDEX(p_rates,3)="",0,ROUND(SUMIFS(dl_ht,dl_doc,A382,dl_rate,INDEX(p_rates,3))*INDEX(p_rates,3),2))+IF(INDEX(p_rates,4)="",0,ROUND(SUMIFS(dl_ht,dl_doc,A382,dl_rate,INDEX(p_rates,4))*INDEX(p_rates,4),2))+IF(INDEX(p_rates,5)="",0,ROUND(SUMIFS(dl_ht,dl_doc,A382,dl_rate,INDEX(p_rates,5))*INDEX(p_rates,5),2))+IF(INDEX(p_rates,6)="",0,ROUND(SUMIFS(dl_ht,dl_doc,A382,dl_rate,INDEX(p_rates,6))*INDEX(p_rates,6),2)))</f>
        <v/>
      </c>
      <c r="K382" s="65" t="str">
        <f>IF(A382="","",I382+J382)</f>
        <v/>
      </c>
      <c r="L382" s="59" t="str">
        <f>IF(A382="","",IFERROR(INDEX(fa_num,MATCH(A382,fa_dvkey,0))&amp;"",""))</f>
        <v/>
      </c>
      <c r="M382" s="59" t="str">
        <f>IF(A382="","",IF(G382="Annulé","Annulé",IF(L382&lt;&gt;"","Facturé",IF(G382="Accepté","Accepté",IF(G382="Refusé","Refusé",IF(p_asof&gt;H382,"Expiré","En attente"))))))</f>
        <v/>
      </c>
      <c r="N382" s="59" t="str">
        <f>IF(COUNTA(B382:C382,E382:G382)=0,"",IF(B382="","Date manquante",IF(NOT(ISNUMBER(B382)),"Date invalide",IF(C382="","Client manquant",IF(ISNA(MATCH(C382,cli_code,0)),"Client inconnu",IF(O382&lt;MAX($O$6:O381),"Date antérieure au devis précédent",IF(AND(ISNUMBER(F382),F382&lt;O382),"Validité antérieure à la date du devis",IF(AND(R382=0,G382&lt;&gt;"Annulé"),"Aucune ligne (feuille Lignes de devis)",IF(COUNTIFS(dl_doc,A382,dl_check,"&lt;&gt;OK")&gt;0,"Ligne(s) à corriger",IF(AND(L382&lt;&gt;"",OR(G382="Refusé",G382="Annulé")),"Devis refusé ou annulé mais facturé","OK"))))))))))</f>
        <v/>
      </c>
      <c r="O382" s="62">
        <f>IF(ISNUMBER(B382),B382,0)</f>
        <v>0.0</v>
      </c>
      <c r="P382" s="62" t="str">
        <f>IF(O382=0,"",YEAR(O382))</f>
        <v/>
      </c>
      <c r="Q382" s="62" t="str">
        <f>IF(P382="","",COUNTIF($P$6:P382,P382))</f>
        <v/>
      </c>
      <c r="R382" s="62">
        <f>IF(A382="",0,COUNTIF(dl_doc,A382))</f>
        <v>0.0</v>
      </c>
    </row>
    <row r="383">
      <c r="A383" s="59" t="str">
        <f>IF(Q383="","",p_pdv&amp;"-"&amp;P383&amp;"-"&amp;RIGHT("000"&amp;Q383,4))</f>
        <v/>
      </c>
      <c r="B383" s="61" t="n"/>
      <c r="C383" s="60" t="n"/>
      <c r="D383" s="62" t="str">
        <f>IF(C383="","",IFERROR(INDEX(cli_name,MATCH(C383,cli_code,0))&amp;"","Client inconnu"))</f>
        <v/>
      </c>
      <c r="E383" s="63" t="n"/>
      <c r="F383" s="61" t="n"/>
      <c r="G383" s="60" t="n"/>
      <c r="H383" s="64" t="str">
        <f>IF(A383="","",IF(ISNUMBER(F383),F383,O383+N(p_validity)))</f>
        <v/>
      </c>
      <c r="I383" s="65" t="str">
        <f>IF(A383="","",SUMIF(dl_doc,A383,dl_ht))</f>
        <v/>
      </c>
      <c r="J383" s="65" t="str">
        <f>IF(A383="","",IF(INDEX(p_rates,1)="",0,ROUND(SUMIFS(dl_ht,dl_doc,A383,dl_rate,INDEX(p_rates,1))*INDEX(p_rates,1),2))+IF(INDEX(p_rates,2)="",0,ROUND(SUMIFS(dl_ht,dl_doc,A383,dl_rate,INDEX(p_rates,2))*INDEX(p_rates,2),2))+IF(INDEX(p_rates,3)="",0,ROUND(SUMIFS(dl_ht,dl_doc,A383,dl_rate,INDEX(p_rates,3))*INDEX(p_rates,3),2))+IF(INDEX(p_rates,4)="",0,ROUND(SUMIFS(dl_ht,dl_doc,A383,dl_rate,INDEX(p_rates,4))*INDEX(p_rates,4),2))+IF(INDEX(p_rates,5)="",0,ROUND(SUMIFS(dl_ht,dl_doc,A383,dl_rate,INDEX(p_rates,5))*INDEX(p_rates,5),2))+IF(INDEX(p_rates,6)="",0,ROUND(SUMIFS(dl_ht,dl_doc,A383,dl_rate,INDEX(p_rates,6))*INDEX(p_rates,6),2)))</f>
        <v/>
      </c>
      <c r="K383" s="65" t="str">
        <f>IF(A383="","",I383+J383)</f>
        <v/>
      </c>
      <c r="L383" s="59" t="str">
        <f>IF(A383="","",IFERROR(INDEX(fa_num,MATCH(A383,fa_dvkey,0))&amp;"",""))</f>
        <v/>
      </c>
      <c r="M383" s="59" t="str">
        <f>IF(A383="","",IF(G383="Annulé","Annulé",IF(L383&lt;&gt;"","Facturé",IF(G383="Accepté","Accepté",IF(G383="Refusé","Refusé",IF(p_asof&gt;H383,"Expiré","En attente"))))))</f>
        <v/>
      </c>
      <c r="N383" s="59" t="str">
        <f>IF(COUNTA(B383:C383,E383:G383)=0,"",IF(B383="","Date manquante",IF(NOT(ISNUMBER(B383)),"Date invalide",IF(C383="","Client manquant",IF(ISNA(MATCH(C383,cli_code,0)),"Client inconnu",IF(O383&lt;MAX($O$6:O382),"Date antérieure au devis précédent",IF(AND(ISNUMBER(F383),F383&lt;O383),"Validité antérieure à la date du devis",IF(AND(R383=0,G383&lt;&gt;"Annulé"),"Aucune ligne (feuille Lignes de devis)",IF(COUNTIFS(dl_doc,A383,dl_check,"&lt;&gt;OK")&gt;0,"Ligne(s) à corriger",IF(AND(L383&lt;&gt;"",OR(G383="Refusé",G383="Annulé")),"Devis refusé ou annulé mais facturé","OK"))))))))))</f>
        <v/>
      </c>
      <c r="O383" s="62">
        <f>IF(ISNUMBER(B383),B383,0)</f>
        <v>0.0</v>
      </c>
      <c r="P383" s="62" t="str">
        <f>IF(O383=0,"",YEAR(O383))</f>
        <v/>
      </c>
      <c r="Q383" s="62" t="str">
        <f>IF(P383="","",COUNTIF($P$6:P383,P383))</f>
        <v/>
      </c>
      <c r="R383" s="62">
        <f>IF(A383="",0,COUNTIF(dl_doc,A383))</f>
        <v>0.0</v>
      </c>
    </row>
    <row r="384">
      <c r="A384" s="59" t="str">
        <f>IF(Q384="","",p_pdv&amp;"-"&amp;P384&amp;"-"&amp;RIGHT("000"&amp;Q384,4))</f>
        <v/>
      </c>
      <c r="B384" s="61" t="n"/>
      <c r="C384" s="60" t="n"/>
      <c r="D384" s="62" t="str">
        <f>IF(C384="","",IFERROR(INDEX(cli_name,MATCH(C384,cli_code,0))&amp;"","Client inconnu"))</f>
        <v/>
      </c>
      <c r="E384" s="63" t="n"/>
      <c r="F384" s="61" t="n"/>
      <c r="G384" s="60" t="n"/>
      <c r="H384" s="64" t="str">
        <f>IF(A384="","",IF(ISNUMBER(F384),F384,O384+N(p_validity)))</f>
        <v/>
      </c>
      <c r="I384" s="65" t="str">
        <f>IF(A384="","",SUMIF(dl_doc,A384,dl_ht))</f>
        <v/>
      </c>
      <c r="J384" s="65" t="str">
        <f>IF(A384="","",IF(INDEX(p_rates,1)="",0,ROUND(SUMIFS(dl_ht,dl_doc,A384,dl_rate,INDEX(p_rates,1))*INDEX(p_rates,1),2))+IF(INDEX(p_rates,2)="",0,ROUND(SUMIFS(dl_ht,dl_doc,A384,dl_rate,INDEX(p_rates,2))*INDEX(p_rates,2),2))+IF(INDEX(p_rates,3)="",0,ROUND(SUMIFS(dl_ht,dl_doc,A384,dl_rate,INDEX(p_rates,3))*INDEX(p_rates,3),2))+IF(INDEX(p_rates,4)="",0,ROUND(SUMIFS(dl_ht,dl_doc,A384,dl_rate,INDEX(p_rates,4))*INDEX(p_rates,4),2))+IF(INDEX(p_rates,5)="",0,ROUND(SUMIFS(dl_ht,dl_doc,A384,dl_rate,INDEX(p_rates,5))*INDEX(p_rates,5),2))+IF(INDEX(p_rates,6)="",0,ROUND(SUMIFS(dl_ht,dl_doc,A384,dl_rate,INDEX(p_rates,6))*INDEX(p_rates,6),2)))</f>
        <v/>
      </c>
      <c r="K384" s="65" t="str">
        <f>IF(A384="","",I384+J384)</f>
        <v/>
      </c>
      <c r="L384" s="59" t="str">
        <f>IF(A384="","",IFERROR(INDEX(fa_num,MATCH(A384,fa_dvkey,0))&amp;"",""))</f>
        <v/>
      </c>
      <c r="M384" s="59" t="str">
        <f>IF(A384="","",IF(G384="Annulé","Annulé",IF(L384&lt;&gt;"","Facturé",IF(G384="Accepté","Accepté",IF(G384="Refusé","Refusé",IF(p_asof&gt;H384,"Expiré","En attente"))))))</f>
        <v/>
      </c>
      <c r="N384" s="59" t="str">
        <f>IF(COUNTA(B384:C384,E384:G384)=0,"",IF(B384="","Date manquante",IF(NOT(ISNUMBER(B384)),"Date invalide",IF(C384="","Client manquant",IF(ISNA(MATCH(C384,cli_code,0)),"Client inconnu",IF(O384&lt;MAX($O$6:O383),"Date antérieure au devis précédent",IF(AND(ISNUMBER(F384),F384&lt;O384),"Validité antérieure à la date du devis",IF(AND(R384=0,G384&lt;&gt;"Annulé"),"Aucune ligne (feuille Lignes de devis)",IF(COUNTIFS(dl_doc,A384,dl_check,"&lt;&gt;OK")&gt;0,"Ligne(s) à corriger",IF(AND(L384&lt;&gt;"",OR(G384="Refusé",G384="Annulé")),"Devis refusé ou annulé mais facturé","OK"))))))))))</f>
        <v/>
      </c>
      <c r="O384" s="62">
        <f>IF(ISNUMBER(B384),B384,0)</f>
        <v>0.0</v>
      </c>
      <c r="P384" s="62" t="str">
        <f>IF(O384=0,"",YEAR(O384))</f>
        <v/>
      </c>
      <c r="Q384" s="62" t="str">
        <f>IF(P384="","",COUNTIF($P$6:P384,P384))</f>
        <v/>
      </c>
      <c r="R384" s="62">
        <f>IF(A384="",0,COUNTIF(dl_doc,A384))</f>
        <v>0.0</v>
      </c>
    </row>
    <row r="385">
      <c r="A385" s="59" t="str">
        <f>IF(Q385="","",p_pdv&amp;"-"&amp;P385&amp;"-"&amp;RIGHT("000"&amp;Q385,4))</f>
        <v/>
      </c>
      <c r="B385" s="61" t="n"/>
      <c r="C385" s="60" t="n"/>
      <c r="D385" s="62" t="str">
        <f>IF(C385="","",IFERROR(INDEX(cli_name,MATCH(C385,cli_code,0))&amp;"","Client inconnu"))</f>
        <v/>
      </c>
      <c r="E385" s="63" t="n"/>
      <c r="F385" s="61" t="n"/>
      <c r="G385" s="60" t="n"/>
      <c r="H385" s="64" t="str">
        <f>IF(A385="","",IF(ISNUMBER(F385),F385,O385+N(p_validity)))</f>
        <v/>
      </c>
      <c r="I385" s="65" t="str">
        <f>IF(A385="","",SUMIF(dl_doc,A385,dl_ht))</f>
        <v/>
      </c>
      <c r="J385" s="65" t="str">
        <f>IF(A385="","",IF(INDEX(p_rates,1)="",0,ROUND(SUMIFS(dl_ht,dl_doc,A385,dl_rate,INDEX(p_rates,1))*INDEX(p_rates,1),2))+IF(INDEX(p_rates,2)="",0,ROUND(SUMIFS(dl_ht,dl_doc,A385,dl_rate,INDEX(p_rates,2))*INDEX(p_rates,2),2))+IF(INDEX(p_rates,3)="",0,ROUND(SUMIFS(dl_ht,dl_doc,A385,dl_rate,INDEX(p_rates,3))*INDEX(p_rates,3),2))+IF(INDEX(p_rates,4)="",0,ROUND(SUMIFS(dl_ht,dl_doc,A385,dl_rate,INDEX(p_rates,4))*INDEX(p_rates,4),2))+IF(INDEX(p_rates,5)="",0,ROUND(SUMIFS(dl_ht,dl_doc,A385,dl_rate,INDEX(p_rates,5))*INDEX(p_rates,5),2))+IF(INDEX(p_rates,6)="",0,ROUND(SUMIFS(dl_ht,dl_doc,A385,dl_rate,INDEX(p_rates,6))*INDEX(p_rates,6),2)))</f>
        <v/>
      </c>
      <c r="K385" s="65" t="str">
        <f>IF(A385="","",I385+J385)</f>
        <v/>
      </c>
      <c r="L385" s="59" t="str">
        <f>IF(A385="","",IFERROR(INDEX(fa_num,MATCH(A385,fa_dvkey,0))&amp;"",""))</f>
        <v/>
      </c>
      <c r="M385" s="59" t="str">
        <f>IF(A385="","",IF(G385="Annulé","Annulé",IF(L385&lt;&gt;"","Facturé",IF(G385="Accepté","Accepté",IF(G385="Refusé","Refusé",IF(p_asof&gt;H385,"Expiré","En attente"))))))</f>
        <v/>
      </c>
      <c r="N385" s="59" t="str">
        <f>IF(COUNTA(B385:C385,E385:G385)=0,"",IF(B385="","Date manquante",IF(NOT(ISNUMBER(B385)),"Date invalide",IF(C385="","Client manquant",IF(ISNA(MATCH(C385,cli_code,0)),"Client inconnu",IF(O385&lt;MAX($O$6:O384),"Date antérieure au devis précédent",IF(AND(ISNUMBER(F385),F385&lt;O385),"Validité antérieure à la date du devis",IF(AND(R385=0,G385&lt;&gt;"Annulé"),"Aucune ligne (feuille Lignes de devis)",IF(COUNTIFS(dl_doc,A385,dl_check,"&lt;&gt;OK")&gt;0,"Ligne(s) à corriger",IF(AND(L385&lt;&gt;"",OR(G385="Refusé",G385="Annulé")),"Devis refusé ou annulé mais facturé","OK"))))))))))</f>
        <v/>
      </c>
      <c r="O385" s="62">
        <f>IF(ISNUMBER(B385),B385,0)</f>
        <v>0.0</v>
      </c>
      <c r="P385" s="62" t="str">
        <f>IF(O385=0,"",YEAR(O385))</f>
        <v/>
      </c>
      <c r="Q385" s="62" t="str">
        <f>IF(P385="","",COUNTIF($P$6:P385,P385))</f>
        <v/>
      </c>
      <c r="R385" s="62">
        <f>IF(A385="",0,COUNTIF(dl_doc,A385))</f>
        <v>0.0</v>
      </c>
    </row>
    <row r="386">
      <c r="A386" s="59" t="str">
        <f>IF(Q386="","",p_pdv&amp;"-"&amp;P386&amp;"-"&amp;RIGHT("000"&amp;Q386,4))</f>
        <v/>
      </c>
      <c r="B386" s="61" t="n"/>
      <c r="C386" s="60" t="n"/>
      <c r="D386" s="62" t="str">
        <f>IF(C386="","",IFERROR(INDEX(cli_name,MATCH(C386,cli_code,0))&amp;"","Client inconnu"))</f>
        <v/>
      </c>
      <c r="E386" s="63" t="n"/>
      <c r="F386" s="61" t="n"/>
      <c r="G386" s="60" t="n"/>
      <c r="H386" s="64" t="str">
        <f>IF(A386="","",IF(ISNUMBER(F386),F386,O386+N(p_validity)))</f>
        <v/>
      </c>
      <c r="I386" s="65" t="str">
        <f>IF(A386="","",SUMIF(dl_doc,A386,dl_ht))</f>
        <v/>
      </c>
      <c r="J386" s="65" t="str">
        <f>IF(A386="","",IF(INDEX(p_rates,1)="",0,ROUND(SUMIFS(dl_ht,dl_doc,A386,dl_rate,INDEX(p_rates,1))*INDEX(p_rates,1),2))+IF(INDEX(p_rates,2)="",0,ROUND(SUMIFS(dl_ht,dl_doc,A386,dl_rate,INDEX(p_rates,2))*INDEX(p_rates,2),2))+IF(INDEX(p_rates,3)="",0,ROUND(SUMIFS(dl_ht,dl_doc,A386,dl_rate,INDEX(p_rates,3))*INDEX(p_rates,3),2))+IF(INDEX(p_rates,4)="",0,ROUND(SUMIFS(dl_ht,dl_doc,A386,dl_rate,INDEX(p_rates,4))*INDEX(p_rates,4),2))+IF(INDEX(p_rates,5)="",0,ROUND(SUMIFS(dl_ht,dl_doc,A386,dl_rate,INDEX(p_rates,5))*INDEX(p_rates,5),2))+IF(INDEX(p_rates,6)="",0,ROUND(SUMIFS(dl_ht,dl_doc,A386,dl_rate,INDEX(p_rates,6))*INDEX(p_rates,6),2)))</f>
        <v/>
      </c>
      <c r="K386" s="65" t="str">
        <f>IF(A386="","",I386+J386)</f>
        <v/>
      </c>
      <c r="L386" s="59" t="str">
        <f>IF(A386="","",IFERROR(INDEX(fa_num,MATCH(A386,fa_dvkey,0))&amp;"",""))</f>
        <v/>
      </c>
      <c r="M386" s="59" t="str">
        <f>IF(A386="","",IF(G386="Annulé","Annulé",IF(L386&lt;&gt;"","Facturé",IF(G386="Accepté","Accepté",IF(G386="Refusé","Refusé",IF(p_asof&gt;H386,"Expiré","En attente"))))))</f>
        <v/>
      </c>
      <c r="N386" s="59" t="str">
        <f>IF(COUNTA(B386:C386,E386:G386)=0,"",IF(B386="","Date manquante",IF(NOT(ISNUMBER(B386)),"Date invalide",IF(C386="","Client manquant",IF(ISNA(MATCH(C386,cli_code,0)),"Client inconnu",IF(O386&lt;MAX($O$6:O385),"Date antérieure au devis précédent",IF(AND(ISNUMBER(F386),F386&lt;O386),"Validité antérieure à la date du devis",IF(AND(R386=0,G386&lt;&gt;"Annulé"),"Aucune ligne (feuille Lignes de devis)",IF(COUNTIFS(dl_doc,A386,dl_check,"&lt;&gt;OK")&gt;0,"Ligne(s) à corriger",IF(AND(L386&lt;&gt;"",OR(G386="Refusé",G386="Annulé")),"Devis refusé ou annulé mais facturé","OK"))))))))))</f>
        <v/>
      </c>
      <c r="O386" s="62">
        <f>IF(ISNUMBER(B386),B386,0)</f>
        <v>0.0</v>
      </c>
      <c r="P386" s="62" t="str">
        <f>IF(O386=0,"",YEAR(O386))</f>
        <v/>
      </c>
      <c r="Q386" s="62" t="str">
        <f>IF(P386="","",COUNTIF($P$6:P386,P386))</f>
        <v/>
      </c>
      <c r="R386" s="62">
        <f>IF(A386="",0,COUNTIF(dl_doc,A386))</f>
        <v>0.0</v>
      </c>
    </row>
    <row r="387">
      <c r="A387" s="59" t="str">
        <f>IF(Q387="","",p_pdv&amp;"-"&amp;P387&amp;"-"&amp;RIGHT("000"&amp;Q387,4))</f>
        <v/>
      </c>
      <c r="B387" s="61" t="n"/>
      <c r="C387" s="60" t="n"/>
      <c r="D387" s="62" t="str">
        <f>IF(C387="","",IFERROR(INDEX(cli_name,MATCH(C387,cli_code,0))&amp;"","Client inconnu"))</f>
        <v/>
      </c>
      <c r="E387" s="63" t="n"/>
      <c r="F387" s="61" t="n"/>
      <c r="G387" s="60" t="n"/>
      <c r="H387" s="64" t="str">
        <f>IF(A387="","",IF(ISNUMBER(F387),F387,O387+N(p_validity)))</f>
        <v/>
      </c>
      <c r="I387" s="65" t="str">
        <f>IF(A387="","",SUMIF(dl_doc,A387,dl_ht))</f>
        <v/>
      </c>
      <c r="J387" s="65" t="str">
        <f>IF(A387="","",IF(INDEX(p_rates,1)="",0,ROUND(SUMIFS(dl_ht,dl_doc,A387,dl_rate,INDEX(p_rates,1))*INDEX(p_rates,1),2))+IF(INDEX(p_rates,2)="",0,ROUND(SUMIFS(dl_ht,dl_doc,A387,dl_rate,INDEX(p_rates,2))*INDEX(p_rates,2),2))+IF(INDEX(p_rates,3)="",0,ROUND(SUMIFS(dl_ht,dl_doc,A387,dl_rate,INDEX(p_rates,3))*INDEX(p_rates,3),2))+IF(INDEX(p_rates,4)="",0,ROUND(SUMIFS(dl_ht,dl_doc,A387,dl_rate,INDEX(p_rates,4))*INDEX(p_rates,4),2))+IF(INDEX(p_rates,5)="",0,ROUND(SUMIFS(dl_ht,dl_doc,A387,dl_rate,INDEX(p_rates,5))*INDEX(p_rates,5),2))+IF(INDEX(p_rates,6)="",0,ROUND(SUMIFS(dl_ht,dl_doc,A387,dl_rate,INDEX(p_rates,6))*INDEX(p_rates,6),2)))</f>
        <v/>
      </c>
      <c r="K387" s="65" t="str">
        <f>IF(A387="","",I387+J387)</f>
        <v/>
      </c>
      <c r="L387" s="59" t="str">
        <f>IF(A387="","",IFERROR(INDEX(fa_num,MATCH(A387,fa_dvkey,0))&amp;"",""))</f>
        <v/>
      </c>
      <c r="M387" s="59" t="str">
        <f>IF(A387="","",IF(G387="Annulé","Annulé",IF(L387&lt;&gt;"","Facturé",IF(G387="Accepté","Accepté",IF(G387="Refusé","Refusé",IF(p_asof&gt;H387,"Expiré","En attente"))))))</f>
        <v/>
      </c>
      <c r="N387" s="59" t="str">
        <f>IF(COUNTA(B387:C387,E387:G387)=0,"",IF(B387="","Date manquante",IF(NOT(ISNUMBER(B387)),"Date invalide",IF(C387="","Client manquant",IF(ISNA(MATCH(C387,cli_code,0)),"Client inconnu",IF(O387&lt;MAX($O$6:O386),"Date antérieure au devis précédent",IF(AND(ISNUMBER(F387),F387&lt;O387),"Validité antérieure à la date du devis",IF(AND(R387=0,G387&lt;&gt;"Annulé"),"Aucune ligne (feuille Lignes de devis)",IF(COUNTIFS(dl_doc,A387,dl_check,"&lt;&gt;OK")&gt;0,"Ligne(s) à corriger",IF(AND(L387&lt;&gt;"",OR(G387="Refusé",G387="Annulé")),"Devis refusé ou annulé mais facturé","OK"))))))))))</f>
        <v/>
      </c>
      <c r="O387" s="62">
        <f>IF(ISNUMBER(B387),B387,0)</f>
        <v>0.0</v>
      </c>
      <c r="P387" s="62" t="str">
        <f>IF(O387=0,"",YEAR(O387))</f>
        <v/>
      </c>
      <c r="Q387" s="62" t="str">
        <f>IF(P387="","",COUNTIF($P$6:P387,P387))</f>
        <v/>
      </c>
      <c r="R387" s="62">
        <f>IF(A387="",0,COUNTIF(dl_doc,A387))</f>
        <v>0.0</v>
      </c>
    </row>
    <row r="388">
      <c r="A388" s="59" t="str">
        <f>IF(Q388="","",p_pdv&amp;"-"&amp;P388&amp;"-"&amp;RIGHT("000"&amp;Q388,4))</f>
        <v/>
      </c>
      <c r="B388" s="61" t="n"/>
      <c r="C388" s="60" t="n"/>
      <c r="D388" s="62" t="str">
        <f>IF(C388="","",IFERROR(INDEX(cli_name,MATCH(C388,cli_code,0))&amp;"","Client inconnu"))</f>
        <v/>
      </c>
      <c r="E388" s="63" t="n"/>
      <c r="F388" s="61" t="n"/>
      <c r="G388" s="60" t="n"/>
      <c r="H388" s="64" t="str">
        <f>IF(A388="","",IF(ISNUMBER(F388),F388,O388+N(p_validity)))</f>
        <v/>
      </c>
      <c r="I388" s="65" t="str">
        <f>IF(A388="","",SUMIF(dl_doc,A388,dl_ht))</f>
        <v/>
      </c>
      <c r="J388" s="65" t="str">
        <f>IF(A388="","",IF(INDEX(p_rates,1)="",0,ROUND(SUMIFS(dl_ht,dl_doc,A388,dl_rate,INDEX(p_rates,1))*INDEX(p_rates,1),2))+IF(INDEX(p_rates,2)="",0,ROUND(SUMIFS(dl_ht,dl_doc,A388,dl_rate,INDEX(p_rates,2))*INDEX(p_rates,2),2))+IF(INDEX(p_rates,3)="",0,ROUND(SUMIFS(dl_ht,dl_doc,A388,dl_rate,INDEX(p_rates,3))*INDEX(p_rates,3),2))+IF(INDEX(p_rates,4)="",0,ROUND(SUMIFS(dl_ht,dl_doc,A388,dl_rate,INDEX(p_rates,4))*INDEX(p_rates,4),2))+IF(INDEX(p_rates,5)="",0,ROUND(SUMIFS(dl_ht,dl_doc,A388,dl_rate,INDEX(p_rates,5))*INDEX(p_rates,5),2))+IF(INDEX(p_rates,6)="",0,ROUND(SUMIFS(dl_ht,dl_doc,A388,dl_rate,INDEX(p_rates,6))*INDEX(p_rates,6),2)))</f>
        <v/>
      </c>
      <c r="K388" s="65" t="str">
        <f>IF(A388="","",I388+J388)</f>
        <v/>
      </c>
      <c r="L388" s="59" t="str">
        <f>IF(A388="","",IFERROR(INDEX(fa_num,MATCH(A388,fa_dvkey,0))&amp;"",""))</f>
        <v/>
      </c>
      <c r="M388" s="59" t="str">
        <f>IF(A388="","",IF(G388="Annulé","Annulé",IF(L388&lt;&gt;"","Facturé",IF(G388="Accepté","Accepté",IF(G388="Refusé","Refusé",IF(p_asof&gt;H388,"Expiré","En attente"))))))</f>
        <v/>
      </c>
      <c r="N388" s="59" t="str">
        <f>IF(COUNTA(B388:C388,E388:G388)=0,"",IF(B388="","Date manquante",IF(NOT(ISNUMBER(B388)),"Date invalide",IF(C388="","Client manquant",IF(ISNA(MATCH(C388,cli_code,0)),"Client inconnu",IF(O388&lt;MAX($O$6:O387),"Date antérieure au devis précédent",IF(AND(ISNUMBER(F388),F388&lt;O388),"Validité antérieure à la date du devis",IF(AND(R388=0,G388&lt;&gt;"Annulé"),"Aucune ligne (feuille Lignes de devis)",IF(COUNTIFS(dl_doc,A388,dl_check,"&lt;&gt;OK")&gt;0,"Ligne(s) à corriger",IF(AND(L388&lt;&gt;"",OR(G388="Refusé",G388="Annulé")),"Devis refusé ou annulé mais facturé","OK"))))))))))</f>
        <v/>
      </c>
      <c r="O388" s="62">
        <f>IF(ISNUMBER(B388),B388,0)</f>
        <v>0.0</v>
      </c>
      <c r="P388" s="62" t="str">
        <f>IF(O388=0,"",YEAR(O388))</f>
        <v/>
      </c>
      <c r="Q388" s="62" t="str">
        <f>IF(P388="","",COUNTIF($P$6:P388,P388))</f>
        <v/>
      </c>
      <c r="R388" s="62">
        <f>IF(A388="",0,COUNTIF(dl_doc,A388))</f>
        <v>0.0</v>
      </c>
    </row>
    <row r="389">
      <c r="A389" s="59" t="str">
        <f>IF(Q389="","",p_pdv&amp;"-"&amp;P389&amp;"-"&amp;RIGHT("000"&amp;Q389,4))</f>
        <v/>
      </c>
      <c r="B389" s="61" t="n"/>
      <c r="C389" s="60" t="n"/>
      <c r="D389" s="62" t="str">
        <f>IF(C389="","",IFERROR(INDEX(cli_name,MATCH(C389,cli_code,0))&amp;"","Client inconnu"))</f>
        <v/>
      </c>
      <c r="E389" s="63" t="n"/>
      <c r="F389" s="61" t="n"/>
      <c r="G389" s="60" t="n"/>
      <c r="H389" s="64" t="str">
        <f>IF(A389="","",IF(ISNUMBER(F389),F389,O389+N(p_validity)))</f>
        <v/>
      </c>
      <c r="I389" s="65" t="str">
        <f>IF(A389="","",SUMIF(dl_doc,A389,dl_ht))</f>
        <v/>
      </c>
      <c r="J389" s="65" t="str">
        <f>IF(A389="","",IF(INDEX(p_rates,1)="",0,ROUND(SUMIFS(dl_ht,dl_doc,A389,dl_rate,INDEX(p_rates,1))*INDEX(p_rates,1),2))+IF(INDEX(p_rates,2)="",0,ROUND(SUMIFS(dl_ht,dl_doc,A389,dl_rate,INDEX(p_rates,2))*INDEX(p_rates,2),2))+IF(INDEX(p_rates,3)="",0,ROUND(SUMIFS(dl_ht,dl_doc,A389,dl_rate,INDEX(p_rates,3))*INDEX(p_rates,3),2))+IF(INDEX(p_rates,4)="",0,ROUND(SUMIFS(dl_ht,dl_doc,A389,dl_rate,INDEX(p_rates,4))*INDEX(p_rates,4),2))+IF(INDEX(p_rates,5)="",0,ROUND(SUMIFS(dl_ht,dl_doc,A389,dl_rate,INDEX(p_rates,5))*INDEX(p_rates,5),2))+IF(INDEX(p_rates,6)="",0,ROUND(SUMIFS(dl_ht,dl_doc,A389,dl_rate,INDEX(p_rates,6))*INDEX(p_rates,6),2)))</f>
        <v/>
      </c>
      <c r="K389" s="65" t="str">
        <f>IF(A389="","",I389+J389)</f>
        <v/>
      </c>
      <c r="L389" s="59" t="str">
        <f>IF(A389="","",IFERROR(INDEX(fa_num,MATCH(A389,fa_dvkey,0))&amp;"",""))</f>
        <v/>
      </c>
      <c r="M389" s="59" t="str">
        <f>IF(A389="","",IF(G389="Annulé","Annulé",IF(L389&lt;&gt;"","Facturé",IF(G389="Accepté","Accepté",IF(G389="Refusé","Refusé",IF(p_asof&gt;H389,"Expiré","En attente"))))))</f>
        <v/>
      </c>
      <c r="N389" s="59" t="str">
        <f>IF(COUNTA(B389:C389,E389:G389)=0,"",IF(B389="","Date manquante",IF(NOT(ISNUMBER(B389)),"Date invalide",IF(C389="","Client manquant",IF(ISNA(MATCH(C389,cli_code,0)),"Client inconnu",IF(O389&lt;MAX($O$6:O388),"Date antérieure au devis précédent",IF(AND(ISNUMBER(F389),F389&lt;O389),"Validité antérieure à la date du devis",IF(AND(R389=0,G389&lt;&gt;"Annulé"),"Aucune ligne (feuille Lignes de devis)",IF(COUNTIFS(dl_doc,A389,dl_check,"&lt;&gt;OK")&gt;0,"Ligne(s) à corriger",IF(AND(L389&lt;&gt;"",OR(G389="Refusé",G389="Annulé")),"Devis refusé ou annulé mais facturé","OK"))))))))))</f>
        <v/>
      </c>
      <c r="O389" s="62">
        <f>IF(ISNUMBER(B389),B389,0)</f>
        <v>0.0</v>
      </c>
      <c r="P389" s="62" t="str">
        <f>IF(O389=0,"",YEAR(O389))</f>
        <v/>
      </c>
      <c r="Q389" s="62" t="str">
        <f>IF(P389="","",COUNTIF($P$6:P389,P389))</f>
        <v/>
      </c>
      <c r="R389" s="62">
        <f>IF(A389="",0,COUNTIF(dl_doc,A389))</f>
        <v>0.0</v>
      </c>
    </row>
    <row r="390">
      <c r="A390" s="59" t="str">
        <f>IF(Q390="","",p_pdv&amp;"-"&amp;P390&amp;"-"&amp;RIGHT("000"&amp;Q390,4))</f>
        <v/>
      </c>
      <c r="B390" s="61" t="n"/>
      <c r="C390" s="60" t="n"/>
      <c r="D390" s="62" t="str">
        <f>IF(C390="","",IFERROR(INDEX(cli_name,MATCH(C390,cli_code,0))&amp;"","Client inconnu"))</f>
        <v/>
      </c>
      <c r="E390" s="63" t="n"/>
      <c r="F390" s="61" t="n"/>
      <c r="G390" s="60" t="n"/>
      <c r="H390" s="64" t="str">
        <f>IF(A390="","",IF(ISNUMBER(F390),F390,O390+N(p_validity)))</f>
        <v/>
      </c>
      <c r="I390" s="65" t="str">
        <f>IF(A390="","",SUMIF(dl_doc,A390,dl_ht))</f>
        <v/>
      </c>
      <c r="J390" s="65" t="str">
        <f>IF(A390="","",IF(INDEX(p_rates,1)="",0,ROUND(SUMIFS(dl_ht,dl_doc,A390,dl_rate,INDEX(p_rates,1))*INDEX(p_rates,1),2))+IF(INDEX(p_rates,2)="",0,ROUND(SUMIFS(dl_ht,dl_doc,A390,dl_rate,INDEX(p_rates,2))*INDEX(p_rates,2),2))+IF(INDEX(p_rates,3)="",0,ROUND(SUMIFS(dl_ht,dl_doc,A390,dl_rate,INDEX(p_rates,3))*INDEX(p_rates,3),2))+IF(INDEX(p_rates,4)="",0,ROUND(SUMIFS(dl_ht,dl_doc,A390,dl_rate,INDEX(p_rates,4))*INDEX(p_rates,4),2))+IF(INDEX(p_rates,5)="",0,ROUND(SUMIFS(dl_ht,dl_doc,A390,dl_rate,INDEX(p_rates,5))*INDEX(p_rates,5),2))+IF(INDEX(p_rates,6)="",0,ROUND(SUMIFS(dl_ht,dl_doc,A390,dl_rate,INDEX(p_rates,6))*INDEX(p_rates,6),2)))</f>
        <v/>
      </c>
      <c r="K390" s="65" t="str">
        <f>IF(A390="","",I390+J390)</f>
        <v/>
      </c>
      <c r="L390" s="59" t="str">
        <f>IF(A390="","",IFERROR(INDEX(fa_num,MATCH(A390,fa_dvkey,0))&amp;"",""))</f>
        <v/>
      </c>
      <c r="M390" s="59" t="str">
        <f>IF(A390="","",IF(G390="Annulé","Annulé",IF(L390&lt;&gt;"","Facturé",IF(G390="Accepté","Accepté",IF(G390="Refusé","Refusé",IF(p_asof&gt;H390,"Expiré","En attente"))))))</f>
        <v/>
      </c>
      <c r="N390" s="59" t="str">
        <f>IF(COUNTA(B390:C390,E390:G390)=0,"",IF(B390="","Date manquante",IF(NOT(ISNUMBER(B390)),"Date invalide",IF(C390="","Client manquant",IF(ISNA(MATCH(C390,cli_code,0)),"Client inconnu",IF(O390&lt;MAX($O$6:O389),"Date antérieure au devis précédent",IF(AND(ISNUMBER(F390),F390&lt;O390),"Validité antérieure à la date du devis",IF(AND(R390=0,G390&lt;&gt;"Annulé"),"Aucune ligne (feuille Lignes de devis)",IF(COUNTIFS(dl_doc,A390,dl_check,"&lt;&gt;OK")&gt;0,"Ligne(s) à corriger",IF(AND(L390&lt;&gt;"",OR(G390="Refusé",G390="Annulé")),"Devis refusé ou annulé mais facturé","OK"))))))))))</f>
        <v/>
      </c>
      <c r="O390" s="62">
        <f>IF(ISNUMBER(B390),B390,0)</f>
        <v>0.0</v>
      </c>
      <c r="P390" s="62" t="str">
        <f>IF(O390=0,"",YEAR(O390))</f>
        <v/>
      </c>
      <c r="Q390" s="62" t="str">
        <f>IF(P390="","",COUNTIF($P$6:P390,P390))</f>
        <v/>
      </c>
      <c r="R390" s="62">
        <f>IF(A390="",0,COUNTIF(dl_doc,A390))</f>
        <v>0.0</v>
      </c>
    </row>
    <row r="391">
      <c r="A391" s="59" t="str">
        <f>IF(Q391="","",p_pdv&amp;"-"&amp;P391&amp;"-"&amp;RIGHT("000"&amp;Q391,4))</f>
        <v/>
      </c>
      <c r="B391" s="61" t="n"/>
      <c r="C391" s="60" t="n"/>
      <c r="D391" s="62" t="str">
        <f>IF(C391="","",IFERROR(INDEX(cli_name,MATCH(C391,cli_code,0))&amp;"","Client inconnu"))</f>
        <v/>
      </c>
      <c r="E391" s="63" t="n"/>
      <c r="F391" s="61" t="n"/>
      <c r="G391" s="60" t="n"/>
      <c r="H391" s="64" t="str">
        <f>IF(A391="","",IF(ISNUMBER(F391),F391,O391+N(p_validity)))</f>
        <v/>
      </c>
      <c r="I391" s="65" t="str">
        <f>IF(A391="","",SUMIF(dl_doc,A391,dl_ht))</f>
        <v/>
      </c>
      <c r="J391" s="65" t="str">
        <f>IF(A391="","",IF(INDEX(p_rates,1)="",0,ROUND(SUMIFS(dl_ht,dl_doc,A391,dl_rate,INDEX(p_rates,1))*INDEX(p_rates,1),2))+IF(INDEX(p_rates,2)="",0,ROUND(SUMIFS(dl_ht,dl_doc,A391,dl_rate,INDEX(p_rates,2))*INDEX(p_rates,2),2))+IF(INDEX(p_rates,3)="",0,ROUND(SUMIFS(dl_ht,dl_doc,A391,dl_rate,INDEX(p_rates,3))*INDEX(p_rates,3),2))+IF(INDEX(p_rates,4)="",0,ROUND(SUMIFS(dl_ht,dl_doc,A391,dl_rate,INDEX(p_rates,4))*INDEX(p_rates,4),2))+IF(INDEX(p_rates,5)="",0,ROUND(SUMIFS(dl_ht,dl_doc,A391,dl_rate,INDEX(p_rates,5))*INDEX(p_rates,5),2))+IF(INDEX(p_rates,6)="",0,ROUND(SUMIFS(dl_ht,dl_doc,A391,dl_rate,INDEX(p_rates,6))*INDEX(p_rates,6),2)))</f>
        <v/>
      </c>
      <c r="K391" s="65" t="str">
        <f>IF(A391="","",I391+J391)</f>
        <v/>
      </c>
      <c r="L391" s="59" t="str">
        <f>IF(A391="","",IFERROR(INDEX(fa_num,MATCH(A391,fa_dvkey,0))&amp;"",""))</f>
        <v/>
      </c>
      <c r="M391" s="59" t="str">
        <f>IF(A391="","",IF(G391="Annulé","Annulé",IF(L391&lt;&gt;"","Facturé",IF(G391="Accepté","Accepté",IF(G391="Refusé","Refusé",IF(p_asof&gt;H391,"Expiré","En attente"))))))</f>
        <v/>
      </c>
      <c r="N391" s="59" t="str">
        <f>IF(COUNTA(B391:C391,E391:G391)=0,"",IF(B391="","Date manquante",IF(NOT(ISNUMBER(B391)),"Date invalide",IF(C391="","Client manquant",IF(ISNA(MATCH(C391,cli_code,0)),"Client inconnu",IF(O391&lt;MAX($O$6:O390),"Date antérieure au devis précédent",IF(AND(ISNUMBER(F391),F391&lt;O391),"Validité antérieure à la date du devis",IF(AND(R391=0,G391&lt;&gt;"Annulé"),"Aucune ligne (feuille Lignes de devis)",IF(COUNTIFS(dl_doc,A391,dl_check,"&lt;&gt;OK")&gt;0,"Ligne(s) à corriger",IF(AND(L391&lt;&gt;"",OR(G391="Refusé",G391="Annulé")),"Devis refusé ou annulé mais facturé","OK"))))))))))</f>
        <v/>
      </c>
      <c r="O391" s="62">
        <f>IF(ISNUMBER(B391),B391,0)</f>
        <v>0.0</v>
      </c>
      <c r="P391" s="62" t="str">
        <f>IF(O391=0,"",YEAR(O391))</f>
        <v/>
      </c>
      <c r="Q391" s="62" t="str">
        <f>IF(P391="","",COUNTIF($P$6:P391,P391))</f>
        <v/>
      </c>
      <c r="R391" s="62">
        <f>IF(A391="",0,COUNTIF(dl_doc,A391))</f>
        <v>0.0</v>
      </c>
    </row>
    <row r="392">
      <c r="A392" s="59" t="str">
        <f>IF(Q392="","",p_pdv&amp;"-"&amp;P392&amp;"-"&amp;RIGHT("000"&amp;Q392,4))</f>
        <v/>
      </c>
      <c r="B392" s="61" t="n"/>
      <c r="C392" s="60" t="n"/>
      <c r="D392" s="62" t="str">
        <f>IF(C392="","",IFERROR(INDEX(cli_name,MATCH(C392,cli_code,0))&amp;"","Client inconnu"))</f>
        <v/>
      </c>
      <c r="E392" s="63" t="n"/>
      <c r="F392" s="61" t="n"/>
      <c r="G392" s="60" t="n"/>
      <c r="H392" s="64" t="str">
        <f>IF(A392="","",IF(ISNUMBER(F392),F392,O392+N(p_validity)))</f>
        <v/>
      </c>
      <c r="I392" s="65" t="str">
        <f>IF(A392="","",SUMIF(dl_doc,A392,dl_ht))</f>
        <v/>
      </c>
      <c r="J392" s="65" t="str">
        <f>IF(A392="","",IF(INDEX(p_rates,1)="",0,ROUND(SUMIFS(dl_ht,dl_doc,A392,dl_rate,INDEX(p_rates,1))*INDEX(p_rates,1),2))+IF(INDEX(p_rates,2)="",0,ROUND(SUMIFS(dl_ht,dl_doc,A392,dl_rate,INDEX(p_rates,2))*INDEX(p_rates,2),2))+IF(INDEX(p_rates,3)="",0,ROUND(SUMIFS(dl_ht,dl_doc,A392,dl_rate,INDEX(p_rates,3))*INDEX(p_rates,3),2))+IF(INDEX(p_rates,4)="",0,ROUND(SUMIFS(dl_ht,dl_doc,A392,dl_rate,INDEX(p_rates,4))*INDEX(p_rates,4),2))+IF(INDEX(p_rates,5)="",0,ROUND(SUMIFS(dl_ht,dl_doc,A392,dl_rate,INDEX(p_rates,5))*INDEX(p_rates,5),2))+IF(INDEX(p_rates,6)="",0,ROUND(SUMIFS(dl_ht,dl_doc,A392,dl_rate,INDEX(p_rates,6))*INDEX(p_rates,6),2)))</f>
        <v/>
      </c>
      <c r="K392" s="65" t="str">
        <f>IF(A392="","",I392+J392)</f>
        <v/>
      </c>
      <c r="L392" s="59" t="str">
        <f>IF(A392="","",IFERROR(INDEX(fa_num,MATCH(A392,fa_dvkey,0))&amp;"",""))</f>
        <v/>
      </c>
      <c r="M392" s="59" t="str">
        <f>IF(A392="","",IF(G392="Annulé","Annulé",IF(L392&lt;&gt;"","Facturé",IF(G392="Accepté","Accepté",IF(G392="Refusé","Refusé",IF(p_asof&gt;H392,"Expiré","En attente"))))))</f>
        <v/>
      </c>
      <c r="N392" s="59" t="str">
        <f>IF(COUNTA(B392:C392,E392:G392)=0,"",IF(B392="","Date manquante",IF(NOT(ISNUMBER(B392)),"Date invalide",IF(C392="","Client manquant",IF(ISNA(MATCH(C392,cli_code,0)),"Client inconnu",IF(O392&lt;MAX($O$6:O391),"Date antérieure au devis précédent",IF(AND(ISNUMBER(F392),F392&lt;O392),"Validité antérieure à la date du devis",IF(AND(R392=0,G392&lt;&gt;"Annulé"),"Aucune ligne (feuille Lignes de devis)",IF(COUNTIFS(dl_doc,A392,dl_check,"&lt;&gt;OK")&gt;0,"Ligne(s) à corriger",IF(AND(L392&lt;&gt;"",OR(G392="Refusé",G392="Annulé")),"Devis refusé ou annulé mais facturé","OK"))))))))))</f>
        <v/>
      </c>
      <c r="O392" s="62">
        <f>IF(ISNUMBER(B392),B392,0)</f>
        <v>0.0</v>
      </c>
      <c r="P392" s="62" t="str">
        <f>IF(O392=0,"",YEAR(O392))</f>
        <v/>
      </c>
      <c r="Q392" s="62" t="str">
        <f>IF(P392="","",COUNTIF($P$6:P392,P392))</f>
        <v/>
      </c>
      <c r="R392" s="62">
        <f>IF(A392="",0,COUNTIF(dl_doc,A392))</f>
        <v>0.0</v>
      </c>
    </row>
    <row r="393">
      <c r="A393" s="59" t="str">
        <f>IF(Q393="","",p_pdv&amp;"-"&amp;P393&amp;"-"&amp;RIGHT("000"&amp;Q393,4))</f>
        <v/>
      </c>
      <c r="B393" s="61" t="n"/>
      <c r="C393" s="60" t="n"/>
      <c r="D393" s="62" t="str">
        <f>IF(C393="","",IFERROR(INDEX(cli_name,MATCH(C393,cli_code,0))&amp;"","Client inconnu"))</f>
        <v/>
      </c>
      <c r="E393" s="63" t="n"/>
      <c r="F393" s="61" t="n"/>
      <c r="G393" s="60" t="n"/>
      <c r="H393" s="64" t="str">
        <f>IF(A393="","",IF(ISNUMBER(F393),F393,O393+N(p_validity)))</f>
        <v/>
      </c>
      <c r="I393" s="65" t="str">
        <f>IF(A393="","",SUMIF(dl_doc,A393,dl_ht))</f>
        <v/>
      </c>
      <c r="J393" s="65" t="str">
        <f>IF(A393="","",IF(INDEX(p_rates,1)="",0,ROUND(SUMIFS(dl_ht,dl_doc,A393,dl_rate,INDEX(p_rates,1))*INDEX(p_rates,1),2))+IF(INDEX(p_rates,2)="",0,ROUND(SUMIFS(dl_ht,dl_doc,A393,dl_rate,INDEX(p_rates,2))*INDEX(p_rates,2),2))+IF(INDEX(p_rates,3)="",0,ROUND(SUMIFS(dl_ht,dl_doc,A393,dl_rate,INDEX(p_rates,3))*INDEX(p_rates,3),2))+IF(INDEX(p_rates,4)="",0,ROUND(SUMIFS(dl_ht,dl_doc,A393,dl_rate,INDEX(p_rates,4))*INDEX(p_rates,4),2))+IF(INDEX(p_rates,5)="",0,ROUND(SUMIFS(dl_ht,dl_doc,A393,dl_rate,INDEX(p_rates,5))*INDEX(p_rates,5),2))+IF(INDEX(p_rates,6)="",0,ROUND(SUMIFS(dl_ht,dl_doc,A393,dl_rate,INDEX(p_rates,6))*INDEX(p_rates,6),2)))</f>
        <v/>
      </c>
      <c r="K393" s="65" t="str">
        <f>IF(A393="","",I393+J393)</f>
        <v/>
      </c>
      <c r="L393" s="59" t="str">
        <f>IF(A393="","",IFERROR(INDEX(fa_num,MATCH(A393,fa_dvkey,0))&amp;"",""))</f>
        <v/>
      </c>
      <c r="M393" s="59" t="str">
        <f>IF(A393="","",IF(G393="Annulé","Annulé",IF(L393&lt;&gt;"","Facturé",IF(G393="Accepté","Accepté",IF(G393="Refusé","Refusé",IF(p_asof&gt;H393,"Expiré","En attente"))))))</f>
        <v/>
      </c>
      <c r="N393" s="59" t="str">
        <f>IF(COUNTA(B393:C393,E393:G393)=0,"",IF(B393="","Date manquante",IF(NOT(ISNUMBER(B393)),"Date invalide",IF(C393="","Client manquant",IF(ISNA(MATCH(C393,cli_code,0)),"Client inconnu",IF(O393&lt;MAX($O$6:O392),"Date antérieure au devis précédent",IF(AND(ISNUMBER(F393),F393&lt;O393),"Validité antérieure à la date du devis",IF(AND(R393=0,G393&lt;&gt;"Annulé"),"Aucune ligne (feuille Lignes de devis)",IF(COUNTIFS(dl_doc,A393,dl_check,"&lt;&gt;OK")&gt;0,"Ligne(s) à corriger",IF(AND(L393&lt;&gt;"",OR(G393="Refusé",G393="Annulé")),"Devis refusé ou annulé mais facturé","OK"))))))))))</f>
        <v/>
      </c>
      <c r="O393" s="62">
        <f>IF(ISNUMBER(B393),B393,0)</f>
        <v>0.0</v>
      </c>
      <c r="P393" s="62" t="str">
        <f>IF(O393=0,"",YEAR(O393))</f>
        <v/>
      </c>
      <c r="Q393" s="62" t="str">
        <f>IF(P393="","",COUNTIF($P$6:P393,P393))</f>
        <v/>
      </c>
      <c r="R393" s="62">
        <f>IF(A393="",0,COUNTIF(dl_doc,A393))</f>
        <v>0.0</v>
      </c>
    </row>
    <row r="394">
      <c r="A394" s="59" t="str">
        <f>IF(Q394="","",p_pdv&amp;"-"&amp;P394&amp;"-"&amp;RIGHT("000"&amp;Q394,4))</f>
        <v/>
      </c>
      <c r="B394" s="61" t="n"/>
      <c r="C394" s="60" t="n"/>
      <c r="D394" s="62" t="str">
        <f>IF(C394="","",IFERROR(INDEX(cli_name,MATCH(C394,cli_code,0))&amp;"","Client inconnu"))</f>
        <v/>
      </c>
      <c r="E394" s="63" t="n"/>
      <c r="F394" s="61" t="n"/>
      <c r="G394" s="60" t="n"/>
      <c r="H394" s="64" t="str">
        <f>IF(A394="","",IF(ISNUMBER(F394),F394,O394+N(p_validity)))</f>
        <v/>
      </c>
      <c r="I394" s="65" t="str">
        <f>IF(A394="","",SUMIF(dl_doc,A394,dl_ht))</f>
        <v/>
      </c>
      <c r="J394" s="65" t="str">
        <f>IF(A394="","",IF(INDEX(p_rates,1)="",0,ROUND(SUMIFS(dl_ht,dl_doc,A394,dl_rate,INDEX(p_rates,1))*INDEX(p_rates,1),2))+IF(INDEX(p_rates,2)="",0,ROUND(SUMIFS(dl_ht,dl_doc,A394,dl_rate,INDEX(p_rates,2))*INDEX(p_rates,2),2))+IF(INDEX(p_rates,3)="",0,ROUND(SUMIFS(dl_ht,dl_doc,A394,dl_rate,INDEX(p_rates,3))*INDEX(p_rates,3),2))+IF(INDEX(p_rates,4)="",0,ROUND(SUMIFS(dl_ht,dl_doc,A394,dl_rate,INDEX(p_rates,4))*INDEX(p_rates,4),2))+IF(INDEX(p_rates,5)="",0,ROUND(SUMIFS(dl_ht,dl_doc,A394,dl_rate,INDEX(p_rates,5))*INDEX(p_rates,5),2))+IF(INDEX(p_rates,6)="",0,ROUND(SUMIFS(dl_ht,dl_doc,A394,dl_rate,INDEX(p_rates,6))*INDEX(p_rates,6),2)))</f>
        <v/>
      </c>
      <c r="K394" s="65" t="str">
        <f>IF(A394="","",I394+J394)</f>
        <v/>
      </c>
      <c r="L394" s="59" t="str">
        <f>IF(A394="","",IFERROR(INDEX(fa_num,MATCH(A394,fa_dvkey,0))&amp;"",""))</f>
        <v/>
      </c>
      <c r="M394" s="59" t="str">
        <f>IF(A394="","",IF(G394="Annulé","Annulé",IF(L394&lt;&gt;"","Facturé",IF(G394="Accepté","Accepté",IF(G394="Refusé","Refusé",IF(p_asof&gt;H394,"Expiré","En attente"))))))</f>
        <v/>
      </c>
      <c r="N394" s="59" t="str">
        <f>IF(COUNTA(B394:C394,E394:G394)=0,"",IF(B394="","Date manquante",IF(NOT(ISNUMBER(B394)),"Date invalide",IF(C394="","Client manquant",IF(ISNA(MATCH(C394,cli_code,0)),"Client inconnu",IF(O394&lt;MAX($O$6:O393),"Date antérieure au devis précédent",IF(AND(ISNUMBER(F394),F394&lt;O394),"Validité antérieure à la date du devis",IF(AND(R394=0,G394&lt;&gt;"Annulé"),"Aucune ligne (feuille Lignes de devis)",IF(COUNTIFS(dl_doc,A394,dl_check,"&lt;&gt;OK")&gt;0,"Ligne(s) à corriger",IF(AND(L394&lt;&gt;"",OR(G394="Refusé",G394="Annulé")),"Devis refusé ou annulé mais facturé","OK"))))))))))</f>
        <v/>
      </c>
      <c r="O394" s="62">
        <f>IF(ISNUMBER(B394),B394,0)</f>
        <v>0.0</v>
      </c>
      <c r="P394" s="62" t="str">
        <f>IF(O394=0,"",YEAR(O394))</f>
        <v/>
      </c>
      <c r="Q394" s="62" t="str">
        <f>IF(P394="","",COUNTIF($P$6:P394,P394))</f>
        <v/>
      </c>
      <c r="R394" s="62">
        <f>IF(A394="",0,COUNTIF(dl_doc,A394))</f>
        <v>0.0</v>
      </c>
    </row>
    <row r="395">
      <c r="A395" s="59" t="str">
        <f>IF(Q395="","",p_pdv&amp;"-"&amp;P395&amp;"-"&amp;RIGHT("000"&amp;Q395,4))</f>
        <v/>
      </c>
      <c r="B395" s="61" t="n"/>
      <c r="C395" s="60" t="n"/>
      <c r="D395" s="62" t="str">
        <f>IF(C395="","",IFERROR(INDEX(cli_name,MATCH(C395,cli_code,0))&amp;"","Client inconnu"))</f>
        <v/>
      </c>
      <c r="E395" s="63" t="n"/>
      <c r="F395" s="61" t="n"/>
      <c r="G395" s="60" t="n"/>
      <c r="H395" s="64" t="str">
        <f>IF(A395="","",IF(ISNUMBER(F395),F395,O395+N(p_validity)))</f>
        <v/>
      </c>
      <c r="I395" s="65" t="str">
        <f>IF(A395="","",SUMIF(dl_doc,A395,dl_ht))</f>
        <v/>
      </c>
      <c r="J395" s="65" t="str">
        <f>IF(A395="","",IF(INDEX(p_rates,1)="",0,ROUND(SUMIFS(dl_ht,dl_doc,A395,dl_rate,INDEX(p_rates,1))*INDEX(p_rates,1),2))+IF(INDEX(p_rates,2)="",0,ROUND(SUMIFS(dl_ht,dl_doc,A395,dl_rate,INDEX(p_rates,2))*INDEX(p_rates,2),2))+IF(INDEX(p_rates,3)="",0,ROUND(SUMIFS(dl_ht,dl_doc,A395,dl_rate,INDEX(p_rates,3))*INDEX(p_rates,3),2))+IF(INDEX(p_rates,4)="",0,ROUND(SUMIFS(dl_ht,dl_doc,A395,dl_rate,INDEX(p_rates,4))*INDEX(p_rates,4),2))+IF(INDEX(p_rates,5)="",0,ROUND(SUMIFS(dl_ht,dl_doc,A395,dl_rate,INDEX(p_rates,5))*INDEX(p_rates,5),2))+IF(INDEX(p_rates,6)="",0,ROUND(SUMIFS(dl_ht,dl_doc,A395,dl_rate,INDEX(p_rates,6))*INDEX(p_rates,6),2)))</f>
        <v/>
      </c>
      <c r="K395" s="65" t="str">
        <f>IF(A395="","",I395+J395)</f>
        <v/>
      </c>
      <c r="L395" s="59" t="str">
        <f>IF(A395="","",IFERROR(INDEX(fa_num,MATCH(A395,fa_dvkey,0))&amp;"",""))</f>
        <v/>
      </c>
      <c r="M395" s="59" t="str">
        <f>IF(A395="","",IF(G395="Annulé","Annulé",IF(L395&lt;&gt;"","Facturé",IF(G395="Accepté","Accepté",IF(G395="Refusé","Refusé",IF(p_asof&gt;H395,"Expiré","En attente"))))))</f>
        <v/>
      </c>
      <c r="N395" s="59" t="str">
        <f>IF(COUNTA(B395:C395,E395:G395)=0,"",IF(B395="","Date manquante",IF(NOT(ISNUMBER(B395)),"Date invalide",IF(C395="","Client manquant",IF(ISNA(MATCH(C395,cli_code,0)),"Client inconnu",IF(O395&lt;MAX($O$6:O394),"Date antérieure au devis précédent",IF(AND(ISNUMBER(F395),F395&lt;O395),"Validité antérieure à la date du devis",IF(AND(R395=0,G395&lt;&gt;"Annulé"),"Aucune ligne (feuille Lignes de devis)",IF(COUNTIFS(dl_doc,A395,dl_check,"&lt;&gt;OK")&gt;0,"Ligne(s) à corriger",IF(AND(L395&lt;&gt;"",OR(G395="Refusé",G395="Annulé")),"Devis refusé ou annulé mais facturé","OK"))))))))))</f>
        <v/>
      </c>
      <c r="O395" s="62">
        <f>IF(ISNUMBER(B395),B395,0)</f>
        <v>0.0</v>
      </c>
      <c r="P395" s="62" t="str">
        <f>IF(O395=0,"",YEAR(O395))</f>
        <v/>
      </c>
      <c r="Q395" s="62" t="str">
        <f>IF(P395="","",COUNTIF($P$6:P395,P395))</f>
        <v/>
      </c>
      <c r="R395" s="62">
        <f>IF(A395="",0,COUNTIF(dl_doc,A395))</f>
        <v>0.0</v>
      </c>
    </row>
    <row r="396">
      <c r="A396" s="59" t="str">
        <f>IF(Q396="","",p_pdv&amp;"-"&amp;P396&amp;"-"&amp;RIGHT("000"&amp;Q396,4))</f>
        <v/>
      </c>
      <c r="B396" s="61" t="n"/>
      <c r="C396" s="60" t="n"/>
      <c r="D396" s="62" t="str">
        <f>IF(C396="","",IFERROR(INDEX(cli_name,MATCH(C396,cli_code,0))&amp;"","Client inconnu"))</f>
        <v/>
      </c>
      <c r="E396" s="63" t="n"/>
      <c r="F396" s="61" t="n"/>
      <c r="G396" s="60" t="n"/>
      <c r="H396" s="64" t="str">
        <f>IF(A396="","",IF(ISNUMBER(F396),F396,O396+N(p_validity)))</f>
        <v/>
      </c>
      <c r="I396" s="65" t="str">
        <f>IF(A396="","",SUMIF(dl_doc,A396,dl_ht))</f>
        <v/>
      </c>
      <c r="J396" s="65" t="str">
        <f>IF(A396="","",IF(INDEX(p_rates,1)="",0,ROUND(SUMIFS(dl_ht,dl_doc,A396,dl_rate,INDEX(p_rates,1))*INDEX(p_rates,1),2))+IF(INDEX(p_rates,2)="",0,ROUND(SUMIFS(dl_ht,dl_doc,A396,dl_rate,INDEX(p_rates,2))*INDEX(p_rates,2),2))+IF(INDEX(p_rates,3)="",0,ROUND(SUMIFS(dl_ht,dl_doc,A396,dl_rate,INDEX(p_rates,3))*INDEX(p_rates,3),2))+IF(INDEX(p_rates,4)="",0,ROUND(SUMIFS(dl_ht,dl_doc,A396,dl_rate,INDEX(p_rates,4))*INDEX(p_rates,4),2))+IF(INDEX(p_rates,5)="",0,ROUND(SUMIFS(dl_ht,dl_doc,A396,dl_rate,INDEX(p_rates,5))*INDEX(p_rates,5),2))+IF(INDEX(p_rates,6)="",0,ROUND(SUMIFS(dl_ht,dl_doc,A396,dl_rate,INDEX(p_rates,6))*INDEX(p_rates,6),2)))</f>
        <v/>
      </c>
      <c r="K396" s="65" t="str">
        <f>IF(A396="","",I396+J396)</f>
        <v/>
      </c>
      <c r="L396" s="59" t="str">
        <f>IF(A396="","",IFERROR(INDEX(fa_num,MATCH(A396,fa_dvkey,0))&amp;"",""))</f>
        <v/>
      </c>
      <c r="M396" s="59" t="str">
        <f>IF(A396="","",IF(G396="Annulé","Annulé",IF(L396&lt;&gt;"","Facturé",IF(G396="Accepté","Accepté",IF(G396="Refusé","Refusé",IF(p_asof&gt;H396,"Expiré","En attente"))))))</f>
        <v/>
      </c>
      <c r="N396" s="59" t="str">
        <f>IF(COUNTA(B396:C396,E396:G396)=0,"",IF(B396="","Date manquante",IF(NOT(ISNUMBER(B396)),"Date invalide",IF(C396="","Client manquant",IF(ISNA(MATCH(C396,cli_code,0)),"Client inconnu",IF(O396&lt;MAX($O$6:O395),"Date antérieure au devis précédent",IF(AND(ISNUMBER(F396),F396&lt;O396),"Validité antérieure à la date du devis",IF(AND(R396=0,G396&lt;&gt;"Annulé"),"Aucune ligne (feuille Lignes de devis)",IF(COUNTIFS(dl_doc,A396,dl_check,"&lt;&gt;OK")&gt;0,"Ligne(s) à corriger",IF(AND(L396&lt;&gt;"",OR(G396="Refusé",G396="Annulé")),"Devis refusé ou annulé mais facturé","OK"))))))))))</f>
        <v/>
      </c>
      <c r="O396" s="62">
        <f>IF(ISNUMBER(B396),B396,0)</f>
        <v>0.0</v>
      </c>
      <c r="P396" s="62" t="str">
        <f>IF(O396=0,"",YEAR(O396))</f>
        <v/>
      </c>
      <c r="Q396" s="62" t="str">
        <f>IF(P396="","",COUNTIF($P$6:P396,P396))</f>
        <v/>
      </c>
      <c r="R396" s="62">
        <f>IF(A396="",0,COUNTIF(dl_doc,A396))</f>
        <v>0.0</v>
      </c>
    </row>
    <row r="397">
      <c r="A397" s="59" t="str">
        <f>IF(Q397="","",p_pdv&amp;"-"&amp;P397&amp;"-"&amp;RIGHT("000"&amp;Q397,4))</f>
        <v/>
      </c>
      <c r="B397" s="61" t="n"/>
      <c r="C397" s="60" t="n"/>
      <c r="D397" s="62" t="str">
        <f>IF(C397="","",IFERROR(INDEX(cli_name,MATCH(C397,cli_code,0))&amp;"","Client inconnu"))</f>
        <v/>
      </c>
      <c r="E397" s="63" t="n"/>
      <c r="F397" s="61" t="n"/>
      <c r="G397" s="60" t="n"/>
      <c r="H397" s="64" t="str">
        <f>IF(A397="","",IF(ISNUMBER(F397),F397,O397+N(p_validity)))</f>
        <v/>
      </c>
      <c r="I397" s="65" t="str">
        <f>IF(A397="","",SUMIF(dl_doc,A397,dl_ht))</f>
        <v/>
      </c>
      <c r="J397" s="65" t="str">
        <f>IF(A397="","",IF(INDEX(p_rates,1)="",0,ROUND(SUMIFS(dl_ht,dl_doc,A397,dl_rate,INDEX(p_rates,1))*INDEX(p_rates,1),2))+IF(INDEX(p_rates,2)="",0,ROUND(SUMIFS(dl_ht,dl_doc,A397,dl_rate,INDEX(p_rates,2))*INDEX(p_rates,2),2))+IF(INDEX(p_rates,3)="",0,ROUND(SUMIFS(dl_ht,dl_doc,A397,dl_rate,INDEX(p_rates,3))*INDEX(p_rates,3),2))+IF(INDEX(p_rates,4)="",0,ROUND(SUMIFS(dl_ht,dl_doc,A397,dl_rate,INDEX(p_rates,4))*INDEX(p_rates,4),2))+IF(INDEX(p_rates,5)="",0,ROUND(SUMIFS(dl_ht,dl_doc,A397,dl_rate,INDEX(p_rates,5))*INDEX(p_rates,5),2))+IF(INDEX(p_rates,6)="",0,ROUND(SUMIFS(dl_ht,dl_doc,A397,dl_rate,INDEX(p_rates,6))*INDEX(p_rates,6),2)))</f>
        <v/>
      </c>
      <c r="K397" s="65" t="str">
        <f>IF(A397="","",I397+J397)</f>
        <v/>
      </c>
      <c r="L397" s="59" t="str">
        <f>IF(A397="","",IFERROR(INDEX(fa_num,MATCH(A397,fa_dvkey,0))&amp;"",""))</f>
        <v/>
      </c>
      <c r="M397" s="59" t="str">
        <f>IF(A397="","",IF(G397="Annulé","Annulé",IF(L397&lt;&gt;"","Facturé",IF(G397="Accepté","Accepté",IF(G397="Refusé","Refusé",IF(p_asof&gt;H397,"Expiré","En attente"))))))</f>
        <v/>
      </c>
      <c r="N397" s="59" t="str">
        <f>IF(COUNTA(B397:C397,E397:G397)=0,"",IF(B397="","Date manquante",IF(NOT(ISNUMBER(B397)),"Date invalide",IF(C397="","Client manquant",IF(ISNA(MATCH(C397,cli_code,0)),"Client inconnu",IF(O397&lt;MAX($O$6:O396),"Date antérieure au devis précédent",IF(AND(ISNUMBER(F397),F397&lt;O397),"Validité antérieure à la date du devis",IF(AND(R397=0,G397&lt;&gt;"Annulé"),"Aucune ligne (feuille Lignes de devis)",IF(COUNTIFS(dl_doc,A397,dl_check,"&lt;&gt;OK")&gt;0,"Ligne(s) à corriger",IF(AND(L397&lt;&gt;"",OR(G397="Refusé",G397="Annulé")),"Devis refusé ou annulé mais facturé","OK"))))))))))</f>
        <v/>
      </c>
      <c r="O397" s="62">
        <f>IF(ISNUMBER(B397),B397,0)</f>
        <v>0.0</v>
      </c>
      <c r="P397" s="62" t="str">
        <f>IF(O397=0,"",YEAR(O397))</f>
        <v/>
      </c>
      <c r="Q397" s="62" t="str">
        <f>IF(P397="","",COUNTIF($P$6:P397,P397))</f>
        <v/>
      </c>
      <c r="R397" s="62">
        <f>IF(A397="",0,COUNTIF(dl_doc,A397))</f>
        <v>0.0</v>
      </c>
    </row>
    <row r="398">
      <c r="A398" s="59" t="str">
        <f>IF(Q398="","",p_pdv&amp;"-"&amp;P398&amp;"-"&amp;RIGHT("000"&amp;Q398,4))</f>
        <v/>
      </c>
      <c r="B398" s="61" t="n"/>
      <c r="C398" s="60" t="n"/>
      <c r="D398" s="62" t="str">
        <f>IF(C398="","",IFERROR(INDEX(cli_name,MATCH(C398,cli_code,0))&amp;"","Client inconnu"))</f>
        <v/>
      </c>
      <c r="E398" s="63" t="n"/>
      <c r="F398" s="61" t="n"/>
      <c r="G398" s="60" t="n"/>
      <c r="H398" s="64" t="str">
        <f>IF(A398="","",IF(ISNUMBER(F398),F398,O398+N(p_validity)))</f>
        <v/>
      </c>
      <c r="I398" s="65" t="str">
        <f>IF(A398="","",SUMIF(dl_doc,A398,dl_ht))</f>
        <v/>
      </c>
      <c r="J398" s="65" t="str">
        <f>IF(A398="","",IF(INDEX(p_rates,1)="",0,ROUND(SUMIFS(dl_ht,dl_doc,A398,dl_rate,INDEX(p_rates,1))*INDEX(p_rates,1),2))+IF(INDEX(p_rates,2)="",0,ROUND(SUMIFS(dl_ht,dl_doc,A398,dl_rate,INDEX(p_rates,2))*INDEX(p_rates,2),2))+IF(INDEX(p_rates,3)="",0,ROUND(SUMIFS(dl_ht,dl_doc,A398,dl_rate,INDEX(p_rates,3))*INDEX(p_rates,3),2))+IF(INDEX(p_rates,4)="",0,ROUND(SUMIFS(dl_ht,dl_doc,A398,dl_rate,INDEX(p_rates,4))*INDEX(p_rates,4),2))+IF(INDEX(p_rates,5)="",0,ROUND(SUMIFS(dl_ht,dl_doc,A398,dl_rate,INDEX(p_rates,5))*INDEX(p_rates,5),2))+IF(INDEX(p_rates,6)="",0,ROUND(SUMIFS(dl_ht,dl_doc,A398,dl_rate,INDEX(p_rates,6))*INDEX(p_rates,6),2)))</f>
        <v/>
      </c>
      <c r="K398" s="65" t="str">
        <f>IF(A398="","",I398+J398)</f>
        <v/>
      </c>
      <c r="L398" s="59" t="str">
        <f>IF(A398="","",IFERROR(INDEX(fa_num,MATCH(A398,fa_dvkey,0))&amp;"",""))</f>
        <v/>
      </c>
      <c r="M398" s="59" t="str">
        <f>IF(A398="","",IF(G398="Annulé","Annulé",IF(L398&lt;&gt;"","Facturé",IF(G398="Accepté","Accepté",IF(G398="Refusé","Refusé",IF(p_asof&gt;H398,"Expiré","En attente"))))))</f>
        <v/>
      </c>
      <c r="N398" s="59" t="str">
        <f>IF(COUNTA(B398:C398,E398:G398)=0,"",IF(B398="","Date manquante",IF(NOT(ISNUMBER(B398)),"Date invalide",IF(C398="","Client manquant",IF(ISNA(MATCH(C398,cli_code,0)),"Client inconnu",IF(O398&lt;MAX($O$6:O397),"Date antérieure au devis précédent",IF(AND(ISNUMBER(F398),F398&lt;O398),"Validité antérieure à la date du devis",IF(AND(R398=0,G398&lt;&gt;"Annulé"),"Aucune ligne (feuille Lignes de devis)",IF(COUNTIFS(dl_doc,A398,dl_check,"&lt;&gt;OK")&gt;0,"Ligne(s) à corriger",IF(AND(L398&lt;&gt;"",OR(G398="Refusé",G398="Annulé")),"Devis refusé ou annulé mais facturé","OK"))))))))))</f>
        <v/>
      </c>
      <c r="O398" s="62">
        <f>IF(ISNUMBER(B398),B398,0)</f>
        <v>0.0</v>
      </c>
      <c r="P398" s="62" t="str">
        <f>IF(O398=0,"",YEAR(O398))</f>
        <v/>
      </c>
      <c r="Q398" s="62" t="str">
        <f>IF(P398="","",COUNTIF($P$6:P398,P398))</f>
        <v/>
      </c>
      <c r="R398" s="62">
        <f>IF(A398="",0,COUNTIF(dl_doc,A398))</f>
        <v>0.0</v>
      </c>
    </row>
    <row r="399">
      <c r="A399" s="59" t="str">
        <f>IF(Q399="","",p_pdv&amp;"-"&amp;P399&amp;"-"&amp;RIGHT("000"&amp;Q399,4))</f>
        <v/>
      </c>
      <c r="B399" s="61" t="n"/>
      <c r="C399" s="60" t="n"/>
      <c r="D399" s="62" t="str">
        <f>IF(C399="","",IFERROR(INDEX(cli_name,MATCH(C399,cli_code,0))&amp;"","Client inconnu"))</f>
        <v/>
      </c>
      <c r="E399" s="63" t="n"/>
      <c r="F399" s="61" t="n"/>
      <c r="G399" s="60" t="n"/>
      <c r="H399" s="64" t="str">
        <f>IF(A399="","",IF(ISNUMBER(F399),F399,O399+N(p_validity)))</f>
        <v/>
      </c>
      <c r="I399" s="65" t="str">
        <f>IF(A399="","",SUMIF(dl_doc,A399,dl_ht))</f>
        <v/>
      </c>
      <c r="J399" s="65" t="str">
        <f>IF(A399="","",IF(INDEX(p_rates,1)="",0,ROUND(SUMIFS(dl_ht,dl_doc,A399,dl_rate,INDEX(p_rates,1))*INDEX(p_rates,1),2))+IF(INDEX(p_rates,2)="",0,ROUND(SUMIFS(dl_ht,dl_doc,A399,dl_rate,INDEX(p_rates,2))*INDEX(p_rates,2),2))+IF(INDEX(p_rates,3)="",0,ROUND(SUMIFS(dl_ht,dl_doc,A399,dl_rate,INDEX(p_rates,3))*INDEX(p_rates,3),2))+IF(INDEX(p_rates,4)="",0,ROUND(SUMIFS(dl_ht,dl_doc,A399,dl_rate,INDEX(p_rates,4))*INDEX(p_rates,4),2))+IF(INDEX(p_rates,5)="",0,ROUND(SUMIFS(dl_ht,dl_doc,A399,dl_rate,INDEX(p_rates,5))*INDEX(p_rates,5),2))+IF(INDEX(p_rates,6)="",0,ROUND(SUMIFS(dl_ht,dl_doc,A399,dl_rate,INDEX(p_rates,6))*INDEX(p_rates,6),2)))</f>
        <v/>
      </c>
      <c r="K399" s="65" t="str">
        <f>IF(A399="","",I399+J399)</f>
        <v/>
      </c>
      <c r="L399" s="59" t="str">
        <f>IF(A399="","",IFERROR(INDEX(fa_num,MATCH(A399,fa_dvkey,0))&amp;"",""))</f>
        <v/>
      </c>
      <c r="M399" s="59" t="str">
        <f>IF(A399="","",IF(G399="Annulé","Annulé",IF(L399&lt;&gt;"","Facturé",IF(G399="Accepté","Accepté",IF(G399="Refusé","Refusé",IF(p_asof&gt;H399,"Expiré","En attente"))))))</f>
        <v/>
      </c>
      <c r="N399" s="59" t="str">
        <f>IF(COUNTA(B399:C399,E399:G399)=0,"",IF(B399="","Date manquante",IF(NOT(ISNUMBER(B399)),"Date invalide",IF(C399="","Client manquant",IF(ISNA(MATCH(C399,cli_code,0)),"Client inconnu",IF(O399&lt;MAX($O$6:O398),"Date antérieure au devis précédent",IF(AND(ISNUMBER(F399),F399&lt;O399),"Validité antérieure à la date du devis",IF(AND(R399=0,G399&lt;&gt;"Annulé"),"Aucune ligne (feuille Lignes de devis)",IF(COUNTIFS(dl_doc,A399,dl_check,"&lt;&gt;OK")&gt;0,"Ligne(s) à corriger",IF(AND(L399&lt;&gt;"",OR(G399="Refusé",G399="Annulé")),"Devis refusé ou annulé mais facturé","OK"))))))))))</f>
        <v/>
      </c>
      <c r="O399" s="62">
        <f>IF(ISNUMBER(B399),B399,0)</f>
        <v>0.0</v>
      </c>
      <c r="P399" s="62" t="str">
        <f>IF(O399=0,"",YEAR(O399))</f>
        <v/>
      </c>
      <c r="Q399" s="62" t="str">
        <f>IF(P399="","",COUNTIF($P$6:P399,P399))</f>
        <v/>
      </c>
      <c r="R399" s="62">
        <f>IF(A399="",0,COUNTIF(dl_doc,A399))</f>
        <v>0.0</v>
      </c>
    </row>
    <row r="400">
      <c r="A400" s="59" t="str">
        <f>IF(Q400="","",p_pdv&amp;"-"&amp;P400&amp;"-"&amp;RIGHT("000"&amp;Q400,4))</f>
        <v/>
      </c>
      <c r="B400" s="61" t="n"/>
      <c r="C400" s="60" t="n"/>
      <c r="D400" s="62" t="str">
        <f>IF(C400="","",IFERROR(INDEX(cli_name,MATCH(C400,cli_code,0))&amp;"","Client inconnu"))</f>
        <v/>
      </c>
      <c r="E400" s="63" t="n"/>
      <c r="F400" s="61" t="n"/>
      <c r="G400" s="60" t="n"/>
      <c r="H400" s="64" t="str">
        <f>IF(A400="","",IF(ISNUMBER(F400),F400,O400+N(p_validity)))</f>
        <v/>
      </c>
      <c r="I400" s="65" t="str">
        <f>IF(A400="","",SUMIF(dl_doc,A400,dl_ht))</f>
        <v/>
      </c>
      <c r="J400" s="65" t="str">
        <f>IF(A400="","",IF(INDEX(p_rates,1)="",0,ROUND(SUMIFS(dl_ht,dl_doc,A400,dl_rate,INDEX(p_rates,1))*INDEX(p_rates,1),2))+IF(INDEX(p_rates,2)="",0,ROUND(SUMIFS(dl_ht,dl_doc,A400,dl_rate,INDEX(p_rates,2))*INDEX(p_rates,2),2))+IF(INDEX(p_rates,3)="",0,ROUND(SUMIFS(dl_ht,dl_doc,A400,dl_rate,INDEX(p_rates,3))*INDEX(p_rates,3),2))+IF(INDEX(p_rates,4)="",0,ROUND(SUMIFS(dl_ht,dl_doc,A400,dl_rate,INDEX(p_rates,4))*INDEX(p_rates,4),2))+IF(INDEX(p_rates,5)="",0,ROUND(SUMIFS(dl_ht,dl_doc,A400,dl_rate,INDEX(p_rates,5))*INDEX(p_rates,5),2))+IF(INDEX(p_rates,6)="",0,ROUND(SUMIFS(dl_ht,dl_doc,A400,dl_rate,INDEX(p_rates,6))*INDEX(p_rates,6),2)))</f>
        <v/>
      </c>
      <c r="K400" s="65" t="str">
        <f>IF(A400="","",I400+J400)</f>
        <v/>
      </c>
      <c r="L400" s="59" t="str">
        <f>IF(A400="","",IFERROR(INDEX(fa_num,MATCH(A400,fa_dvkey,0))&amp;"",""))</f>
        <v/>
      </c>
      <c r="M400" s="59" t="str">
        <f>IF(A400="","",IF(G400="Annulé","Annulé",IF(L400&lt;&gt;"","Facturé",IF(G400="Accepté","Accepté",IF(G400="Refusé","Refusé",IF(p_asof&gt;H400,"Expiré","En attente"))))))</f>
        <v/>
      </c>
      <c r="N400" s="59" t="str">
        <f>IF(COUNTA(B400:C400,E400:G400)=0,"",IF(B400="","Date manquante",IF(NOT(ISNUMBER(B400)),"Date invalide",IF(C400="","Client manquant",IF(ISNA(MATCH(C400,cli_code,0)),"Client inconnu",IF(O400&lt;MAX($O$6:O399),"Date antérieure au devis précédent",IF(AND(ISNUMBER(F400),F400&lt;O400),"Validité antérieure à la date du devis",IF(AND(R400=0,G400&lt;&gt;"Annulé"),"Aucune ligne (feuille Lignes de devis)",IF(COUNTIFS(dl_doc,A400,dl_check,"&lt;&gt;OK")&gt;0,"Ligne(s) à corriger",IF(AND(L400&lt;&gt;"",OR(G400="Refusé",G400="Annulé")),"Devis refusé ou annulé mais facturé","OK"))))))))))</f>
        <v/>
      </c>
      <c r="O400" s="62">
        <f>IF(ISNUMBER(B400),B400,0)</f>
        <v>0.0</v>
      </c>
      <c r="P400" s="62" t="str">
        <f>IF(O400=0,"",YEAR(O400))</f>
        <v/>
      </c>
      <c r="Q400" s="62" t="str">
        <f>IF(P400="","",COUNTIF($P$6:P400,P400))</f>
        <v/>
      </c>
      <c r="R400" s="62">
        <f>IF(A400="",0,COUNTIF(dl_doc,A400))</f>
        <v>0.0</v>
      </c>
    </row>
    <row r="401">
      <c r="A401" s="59" t="str">
        <f>IF(Q401="","",p_pdv&amp;"-"&amp;P401&amp;"-"&amp;RIGHT("000"&amp;Q401,4))</f>
        <v/>
      </c>
      <c r="B401" s="61" t="n"/>
      <c r="C401" s="60" t="n"/>
      <c r="D401" s="62" t="str">
        <f>IF(C401="","",IFERROR(INDEX(cli_name,MATCH(C401,cli_code,0))&amp;"","Client inconnu"))</f>
        <v/>
      </c>
      <c r="E401" s="63" t="n"/>
      <c r="F401" s="61" t="n"/>
      <c r="G401" s="60" t="n"/>
      <c r="H401" s="64" t="str">
        <f>IF(A401="","",IF(ISNUMBER(F401),F401,O401+N(p_validity)))</f>
        <v/>
      </c>
      <c r="I401" s="65" t="str">
        <f>IF(A401="","",SUMIF(dl_doc,A401,dl_ht))</f>
        <v/>
      </c>
      <c r="J401" s="65" t="str">
        <f>IF(A401="","",IF(INDEX(p_rates,1)="",0,ROUND(SUMIFS(dl_ht,dl_doc,A401,dl_rate,INDEX(p_rates,1))*INDEX(p_rates,1),2))+IF(INDEX(p_rates,2)="",0,ROUND(SUMIFS(dl_ht,dl_doc,A401,dl_rate,INDEX(p_rates,2))*INDEX(p_rates,2),2))+IF(INDEX(p_rates,3)="",0,ROUND(SUMIFS(dl_ht,dl_doc,A401,dl_rate,INDEX(p_rates,3))*INDEX(p_rates,3),2))+IF(INDEX(p_rates,4)="",0,ROUND(SUMIFS(dl_ht,dl_doc,A401,dl_rate,INDEX(p_rates,4))*INDEX(p_rates,4),2))+IF(INDEX(p_rates,5)="",0,ROUND(SUMIFS(dl_ht,dl_doc,A401,dl_rate,INDEX(p_rates,5))*INDEX(p_rates,5),2))+IF(INDEX(p_rates,6)="",0,ROUND(SUMIFS(dl_ht,dl_doc,A401,dl_rate,INDEX(p_rates,6))*INDEX(p_rates,6),2)))</f>
        <v/>
      </c>
      <c r="K401" s="65" t="str">
        <f>IF(A401="","",I401+J401)</f>
        <v/>
      </c>
      <c r="L401" s="59" t="str">
        <f>IF(A401="","",IFERROR(INDEX(fa_num,MATCH(A401,fa_dvkey,0))&amp;"",""))</f>
        <v/>
      </c>
      <c r="M401" s="59" t="str">
        <f>IF(A401="","",IF(G401="Annulé","Annulé",IF(L401&lt;&gt;"","Facturé",IF(G401="Accepté","Accepté",IF(G401="Refusé","Refusé",IF(p_asof&gt;H401,"Expiré","En attente"))))))</f>
        <v/>
      </c>
      <c r="N401" s="59" t="str">
        <f>IF(COUNTA(B401:C401,E401:G401)=0,"",IF(B401="","Date manquante",IF(NOT(ISNUMBER(B401)),"Date invalide",IF(C401="","Client manquant",IF(ISNA(MATCH(C401,cli_code,0)),"Client inconnu",IF(O401&lt;MAX($O$6:O400),"Date antérieure au devis précédent",IF(AND(ISNUMBER(F401),F401&lt;O401),"Validité antérieure à la date du devis",IF(AND(R401=0,G401&lt;&gt;"Annulé"),"Aucune ligne (feuille Lignes de devis)",IF(COUNTIFS(dl_doc,A401,dl_check,"&lt;&gt;OK")&gt;0,"Ligne(s) à corriger",IF(AND(L401&lt;&gt;"",OR(G401="Refusé",G401="Annulé")),"Devis refusé ou annulé mais facturé","OK"))))))))))</f>
        <v/>
      </c>
      <c r="O401" s="62">
        <f>IF(ISNUMBER(B401),B401,0)</f>
        <v>0.0</v>
      </c>
      <c r="P401" s="62" t="str">
        <f>IF(O401=0,"",YEAR(O401))</f>
        <v/>
      </c>
      <c r="Q401" s="62" t="str">
        <f>IF(P401="","",COUNTIF($P$6:P401,P401))</f>
        <v/>
      </c>
      <c r="R401" s="62">
        <f>IF(A401="",0,COUNTIF(dl_doc,A401))</f>
        <v>0.0</v>
      </c>
    </row>
    <row r="402">
      <c r="A402" s="59" t="str">
        <f>IF(Q402="","",p_pdv&amp;"-"&amp;P402&amp;"-"&amp;RIGHT("000"&amp;Q402,4))</f>
        <v/>
      </c>
      <c r="B402" s="61" t="n"/>
      <c r="C402" s="60" t="n"/>
      <c r="D402" s="62" t="str">
        <f>IF(C402="","",IFERROR(INDEX(cli_name,MATCH(C402,cli_code,0))&amp;"","Client inconnu"))</f>
        <v/>
      </c>
      <c r="E402" s="63" t="n"/>
      <c r="F402" s="61" t="n"/>
      <c r="G402" s="60" t="n"/>
      <c r="H402" s="64" t="str">
        <f>IF(A402="","",IF(ISNUMBER(F402),F402,O402+N(p_validity)))</f>
        <v/>
      </c>
      <c r="I402" s="65" t="str">
        <f>IF(A402="","",SUMIF(dl_doc,A402,dl_ht))</f>
        <v/>
      </c>
      <c r="J402" s="65" t="str">
        <f>IF(A402="","",IF(INDEX(p_rates,1)="",0,ROUND(SUMIFS(dl_ht,dl_doc,A402,dl_rate,INDEX(p_rates,1))*INDEX(p_rates,1),2))+IF(INDEX(p_rates,2)="",0,ROUND(SUMIFS(dl_ht,dl_doc,A402,dl_rate,INDEX(p_rates,2))*INDEX(p_rates,2),2))+IF(INDEX(p_rates,3)="",0,ROUND(SUMIFS(dl_ht,dl_doc,A402,dl_rate,INDEX(p_rates,3))*INDEX(p_rates,3),2))+IF(INDEX(p_rates,4)="",0,ROUND(SUMIFS(dl_ht,dl_doc,A402,dl_rate,INDEX(p_rates,4))*INDEX(p_rates,4),2))+IF(INDEX(p_rates,5)="",0,ROUND(SUMIFS(dl_ht,dl_doc,A402,dl_rate,INDEX(p_rates,5))*INDEX(p_rates,5),2))+IF(INDEX(p_rates,6)="",0,ROUND(SUMIFS(dl_ht,dl_doc,A402,dl_rate,INDEX(p_rates,6))*INDEX(p_rates,6),2)))</f>
        <v/>
      </c>
      <c r="K402" s="65" t="str">
        <f>IF(A402="","",I402+J402)</f>
        <v/>
      </c>
      <c r="L402" s="59" t="str">
        <f>IF(A402="","",IFERROR(INDEX(fa_num,MATCH(A402,fa_dvkey,0))&amp;"",""))</f>
        <v/>
      </c>
      <c r="M402" s="59" t="str">
        <f>IF(A402="","",IF(G402="Annulé","Annulé",IF(L402&lt;&gt;"","Facturé",IF(G402="Accepté","Accepté",IF(G402="Refusé","Refusé",IF(p_asof&gt;H402,"Expiré","En attente"))))))</f>
        <v/>
      </c>
      <c r="N402" s="59" t="str">
        <f>IF(COUNTA(B402:C402,E402:G402)=0,"",IF(B402="","Date manquante",IF(NOT(ISNUMBER(B402)),"Date invalide",IF(C402="","Client manquant",IF(ISNA(MATCH(C402,cli_code,0)),"Client inconnu",IF(O402&lt;MAX($O$6:O401),"Date antérieure au devis précédent",IF(AND(ISNUMBER(F402),F402&lt;O402),"Validité antérieure à la date du devis",IF(AND(R402=0,G402&lt;&gt;"Annulé"),"Aucune ligne (feuille Lignes de devis)",IF(COUNTIFS(dl_doc,A402,dl_check,"&lt;&gt;OK")&gt;0,"Ligne(s) à corriger",IF(AND(L402&lt;&gt;"",OR(G402="Refusé",G402="Annulé")),"Devis refusé ou annulé mais facturé","OK"))))))))))</f>
        <v/>
      </c>
      <c r="O402" s="62">
        <f>IF(ISNUMBER(B402),B402,0)</f>
        <v>0.0</v>
      </c>
      <c r="P402" s="62" t="str">
        <f>IF(O402=0,"",YEAR(O402))</f>
        <v/>
      </c>
      <c r="Q402" s="62" t="str">
        <f>IF(P402="","",COUNTIF($P$6:P402,P402))</f>
        <v/>
      </c>
      <c r="R402" s="62">
        <f>IF(A402="",0,COUNTIF(dl_doc,A402))</f>
        <v>0.0</v>
      </c>
    </row>
    <row r="403">
      <c r="A403" s="59" t="str">
        <f>IF(Q403="","",p_pdv&amp;"-"&amp;P403&amp;"-"&amp;RIGHT("000"&amp;Q403,4))</f>
        <v/>
      </c>
      <c r="B403" s="61" t="n"/>
      <c r="C403" s="60" t="n"/>
      <c r="D403" s="62" t="str">
        <f>IF(C403="","",IFERROR(INDEX(cli_name,MATCH(C403,cli_code,0))&amp;"","Client inconnu"))</f>
        <v/>
      </c>
      <c r="E403" s="63" t="n"/>
      <c r="F403" s="61" t="n"/>
      <c r="G403" s="60" t="n"/>
      <c r="H403" s="64" t="str">
        <f>IF(A403="","",IF(ISNUMBER(F403),F403,O403+N(p_validity)))</f>
        <v/>
      </c>
      <c r="I403" s="65" t="str">
        <f>IF(A403="","",SUMIF(dl_doc,A403,dl_ht))</f>
        <v/>
      </c>
      <c r="J403" s="65" t="str">
        <f>IF(A403="","",IF(INDEX(p_rates,1)="",0,ROUND(SUMIFS(dl_ht,dl_doc,A403,dl_rate,INDEX(p_rates,1))*INDEX(p_rates,1),2))+IF(INDEX(p_rates,2)="",0,ROUND(SUMIFS(dl_ht,dl_doc,A403,dl_rate,INDEX(p_rates,2))*INDEX(p_rates,2),2))+IF(INDEX(p_rates,3)="",0,ROUND(SUMIFS(dl_ht,dl_doc,A403,dl_rate,INDEX(p_rates,3))*INDEX(p_rates,3),2))+IF(INDEX(p_rates,4)="",0,ROUND(SUMIFS(dl_ht,dl_doc,A403,dl_rate,INDEX(p_rates,4))*INDEX(p_rates,4),2))+IF(INDEX(p_rates,5)="",0,ROUND(SUMIFS(dl_ht,dl_doc,A403,dl_rate,INDEX(p_rates,5))*INDEX(p_rates,5),2))+IF(INDEX(p_rates,6)="",0,ROUND(SUMIFS(dl_ht,dl_doc,A403,dl_rate,INDEX(p_rates,6))*INDEX(p_rates,6),2)))</f>
        <v/>
      </c>
      <c r="K403" s="65" t="str">
        <f>IF(A403="","",I403+J403)</f>
        <v/>
      </c>
      <c r="L403" s="59" t="str">
        <f>IF(A403="","",IFERROR(INDEX(fa_num,MATCH(A403,fa_dvkey,0))&amp;"",""))</f>
        <v/>
      </c>
      <c r="M403" s="59" t="str">
        <f>IF(A403="","",IF(G403="Annulé","Annulé",IF(L403&lt;&gt;"","Facturé",IF(G403="Accepté","Accepté",IF(G403="Refusé","Refusé",IF(p_asof&gt;H403,"Expiré","En attente"))))))</f>
        <v/>
      </c>
      <c r="N403" s="59" t="str">
        <f>IF(COUNTA(B403:C403,E403:G403)=0,"",IF(B403="","Date manquante",IF(NOT(ISNUMBER(B403)),"Date invalide",IF(C403="","Client manquant",IF(ISNA(MATCH(C403,cli_code,0)),"Client inconnu",IF(O403&lt;MAX($O$6:O402),"Date antérieure au devis précédent",IF(AND(ISNUMBER(F403),F403&lt;O403),"Validité antérieure à la date du devis",IF(AND(R403=0,G403&lt;&gt;"Annulé"),"Aucune ligne (feuille Lignes de devis)",IF(COUNTIFS(dl_doc,A403,dl_check,"&lt;&gt;OK")&gt;0,"Ligne(s) à corriger",IF(AND(L403&lt;&gt;"",OR(G403="Refusé",G403="Annulé")),"Devis refusé ou annulé mais facturé","OK"))))))))))</f>
        <v/>
      </c>
      <c r="O403" s="62">
        <f>IF(ISNUMBER(B403),B403,0)</f>
        <v>0.0</v>
      </c>
      <c r="P403" s="62" t="str">
        <f>IF(O403=0,"",YEAR(O403))</f>
        <v/>
      </c>
      <c r="Q403" s="62" t="str">
        <f>IF(P403="","",COUNTIF($P$6:P403,P403))</f>
        <v/>
      </c>
      <c r="R403" s="62">
        <f>IF(A403="",0,COUNTIF(dl_doc,A403))</f>
        <v>0.0</v>
      </c>
    </row>
    <row r="404">
      <c r="A404" s="59" t="str">
        <f>IF(Q404="","",p_pdv&amp;"-"&amp;P404&amp;"-"&amp;RIGHT("000"&amp;Q404,4))</f>
        <v/>
      </c>
      <c r="B404" s="61" t="n"/>
      <c r="C404" s="60" t="n"/>
      <c r="D404" s="62" t="str">
        <f>IF(C404="","",IFERROR(INDEX(cli_name,MATCH(C404,cli_code,0))&amp;"","Client inconnu"))</f>
        <v/>
      </c>
      <c r="E404" s="63" t="n"/>
      <c r="F404" s="61" t="n"/>
      <c r="G404" s="60" t="n"/>
      <c r="H404" s="64" t="str">
        <f>IF(A404="","",IF(ISNUMBER(F404),F404,O404+N(p_validity)))</f>
        <v/>
      </c>
      <c r="I404" s="65" t="str">
        <f>IF(A404="","",SUMIF(dl_doc,A404,dl_ht))</f>
        <v/>
      </c>
      <c r="J404" s="65" t="str">
        <f>IF(A404="","",IF(INDEX(p_rates,1)="",0,ROUND(SUMIFS(dl_ht,dl_doc,A404,dl_rate,INDEX(p_rates,1))*INDEX(p_rates,1),2))+IF(INDEX(p_rates,2)="",0,ROUND(SUMIFS(dl_ht,dl_doc,A404,dl_rate,INDEX(p_rates,2))*INDEX(p_rates,2),2))+IF(INDEX(p_rates,3)="",0,ROUND(SUMIFS(dl_ht,dl_doc,A404,dl_rate,INDEX(p_rates,3))*INDEX(p_rates,3),2))+IF(INDEX(p_rates,4)="",0,ROUND(SUMIFS(dl_ht,dl_doc,A404,dl_rate,INDEX(p_rates,4))*INDEX(p_rates,4),2))+IF(INDEX(p_rates,5)="",0,ROUND(SUMIFS(dl_ht,dl_doc,A404,dl_rate,INDEX(p_rates,5))*INDEX(p_rates,5),2))+IF(INDEX(p_rates,6)="",0,ROUND(SUMIFS(dl_ht,dl_doc,A404,dl_rate,INDEX(p_rates,6))*INDEX(p_rates,6),2)))</f>
        <v/>
      </c>
      <c r="K404" s="65" t="str">
        <f>IF(A404="","",I404+J404)</f>
        <v/>
      </c>
      <c r="L404" s="59" t="str">
        <f>IF(A404="","",IFERROR(INDEX(fa_num,MATCH(A404,fa_dvkey,0))&amp;"",""))</f>
        <v/>
      </c>
      <c r="M404" s="59" t="str">
        <f>IF(A404="","",IF(G404="Annulé","Annulé",IF(L404&lt;&gt;"","Facturé",IF(G404="Accepté","Accepté",IF(G404="Refusé","Refusé",IF(p_asof&gt;H404,"Expiré","En attente"))))))</f>
        <v/>
      </c>
      <c r="N404" s="59" t="str">
        <f>IF(COUNTA(B404:C404,E404:G404)=0,"",IF(B404="","Date manquante",IF(NOT(ISNUMBER(B404)),"Date invalide",IF(C404="","Client manquant",IF(ISNA(MATCH(C404,cli_code,0)),"Client inconnu",IF(O404&lt;MAX($O$6:O403),"Date antérieure au devis précédent",IF(AND(ISNUMBER(F404),F404&lt;O404),"Validité antérieure à la date du devis",IF(AND(R404=0,G404&lt;&gt;"Annulé"),"Aucune ligne (feuille Lignes de devis)",IF(COUNTIFS(dl_doc,A404,dl_check,"&lt;&gt;OK")&gt;0,"Ligne(s) à corriger",IF(AND(L404&lt;&gt;"",OR(G404="Refusé",G404="Annulé")),"Devis refusé ou annulé mais facturé","OK"))))))))))</f>
        <v/>
      </c>
      <c r="O404" s="62">
        <f>IF(ISNUMBER(B404),B404,0)</f>
        <v>0.0</v>
      </c>
      <c r="P404" s="62" t="str">
        <f>IF(O404=0,"",YEAR(O404))</f>
        <v/>
      </c>
      <c r="Q404" s="62" t="str">
        <f>IF(P404="","",COUNTIF($P$6:P404,P404))</f>
        <v/>
      </c>
      <c r="R404" s="62">
        <f>IF(A404="",0,COUNTIF(dl_doc,A404))</f>
        <v>0.0</v>
      </c>
    </row>
    <row r="405">
      <c r="A405" s="59" t="str">
        <f>IF(Q405="","",p_pdv&amp;"-"&amp;P405&amp;"-"&amp;RIGHT("000"&amp;Q405,4))</f>
        <v/>
      </c>
      <c r="B405" s="61" t="n"/>
      <c r="C405" s="60" t="n"/>
      <c r="D405" s="62" t="str">
        <f>IF(C405="","",IFERROR(INDEX(cli_name,MATCH(C405,cli_code,0))&amp;"","Client inconnu"))</f>
        <v/>
      </c>
      <c r="E405" s="63" t="n"/>
      <c r="F405" s="61" t="n"/>
      <c r="G405" s="60" t="n"/>
      <c r="H405" s="64" t="str">
        <f>IF(A405="","",IF(ISNUMBER(F405),F405,O405+N(p_validity)))</f>
        <v/>
      </c>
      <c r="I405" s="65" t="str">
        <f>IF(A405="","",SUMIF(dl_doc,A405,dl_ht))</f>
        <v/>
      </c>
      <c r="J405" s="65" t="str">
        <f>IF(A405="","",IF(INDEX(p_rates,1)="",0,ROUND(SUMIFS(dl_ht,dl_doc,A405,dl_rate,INDEX(p_rates,1))*INDEX(p_rates,1),2))+IF(INDEX(p_rates,2)="",0,ROUND(SUMIFS(dl_ht,dl_doc,A405,dl_rate,INDEX(p_rates,2))*INDEX(p_rates,2),2))+IF(INDEX(p_rates,3)="",0,ROUND(SUMIFS(dl_ht,dl_doc,A405,dl_rate,INDEX(p_rates,3))*INDEX(p_rates,3),2))+IF(INDEX(p_rates,4)="",0,ROUND(SUMIFS(dl_ht,dl_doc,A405,dl_rate,INDEX(p_rates,4))*INDEX(p_rates,4),2))+IF(INDEX(p_rates,5)="",0,ROUND(SUMIFS(dl_ht,dl_doc,A405,dl_rate,INDEX(p_rates,5))*INDEX(p_rates,5),2))+IF(INDEX(p_rates,6)="",0,ROUND(SUMIFS(dl_ht,dl_doc,A405,dl_rate,INDEX(p_rates,6))*INDEX(p_rates,6),2)))</f>
        <v/>
      </c>
      <c r="K405" s="65" t="str">
        <f>IF(A405="","",I405+J405)</f>
        <v/>
      </c>
      <c r="L405" s="59" t="str">
        <f>IF(A405="","",IFERROR(INDEX(fa_num,MATCH(A405,fa_dvkey,0))&amp;"",""))</f>
        <v/>
      </c>
      <c r="M405" s="59" t="str">
        <f>IF(A405="","",IF(G405="Annulé","Annulé",IF(L405&lt;&gt;"","Facturé",IF(G405="Accepté","Accepté",IF(G405="Refusé","Refusé",IF(p_asof&gt;H405,"Expiré","En attente"))))))</f>
        <v/>
      </c>
      <c r="N405" s="59" t="str">
        <f>IF(COUNTA(B405:C405,E405:G405)=0,"",IF(B405="","Date manquante",IF(NOT(ISNUMBER(B405)),"Date invalide",IF(C405="","Client manquant",IF(ISNA(MATCH(C405,cli_code,0)),"Client inconnu",IF(O405&lt;MAX($O$6:O404),"Date antérieure au devis précédent",IF(AND(ISNUMBER(F405),F405&lt;O405),"Validité antérieure à la date du devis",IF(AND(R405=0,G405&lt;&gt;"Annulé"),"Aucune ligne (feuille Lignes de devis)",IF(COUNTIFS(dl_doc,A405,dl_check,"&lt;&gt;OK")&gt;0,"Ligne(s) à corriger",IF(AND(L405&lt;&gt;"",OR(G405="Refusé",G405="Annulé")),"Devis refusé ou annulé mais facturé","OK"))))))))))</f>
        <v/>
      </c>
      <c r="O405" s="62">
        <f>IF(ISNUMBER(B405),B405,0)</f>
        <v>0.0</v>
      </c>
      <c r="P405" s="62" t="str">
        <f>IF(O405=0,"",YEAR(O405))</f>
        <v/>
      </c>
      <c r="Q405" s="62" t="str">
        <f>IF(P405="","",COUNTIF($P$6:P405,P405))</f>
        <v/>
      </c>
      <c r="R405" s="62">
        <f>IF(A405="",0,COUNTIF(dl_doc,A405))</f>
        <v>0.0</v>
      </c>
    </row>
  </sheetData>
  <autoFilter ref="A5:N405"/>
  <conditionalFormatting sqref="M6:M405">
    <cfRule type="expression" priority="1" dxfId="0">
      <formula>$M6="En attente"</formula>
    </cfRule>
    <cfRule type="expression" priority="2" dxfId="2">
      <formula>$M6="Expiré"</formula>
    </cfRule>
    <cfRule type="expression" priority="3" dxfId="11">
      <formula>$M6="Accepté"</formula>
    </cfRule>
    <cfRule type="expression" priority="4" dxfId="14">
      <formula>$M6="Facturé"</formula>
    </cfRule>
    <cfRule type="expression" priority="5" dxfId="12">
      <formula>$M6="Refusé"</formula>
    </cfRule>
    <cfRule type="expression" priority="6" dxfId="12">
      <formula>$M6="Annulé"</formula>
    </cfRule>
  </conditionalFormatting>
  <conditionalFormatting sqref="N6:N405">
    <cfRule type="expression" priority="7" dxfId="11">
      <formula>$N6="OK"</formula>
    </cfRule>
    <cfRule type="expression" priority="8" dxfId="4">
      <formula>AND($N6&lt;&gt;"",$N6&lt;&gt;"OK")</formula>
    </cfRule>
  </conditionalFormatting>
  <conditionalFormatting sqref="I6:I405">
    <cfRule type="expression" priority="9" dxfId="5">
      <formula>p_currency="MAD"</formula>
    </cfRule>
    <cfRule type="expression" priority="12" dxfId="6">
      <formula>p_currency="EUR"</formula>
    </cfRule>
    <cfRule type="expression" priority="15" dxfId="7">
      <formula>p_currency="USD"</formula>
    </cfRule>
  </conditionalFormatting>
  <conditionalFormatting sqref="J6:J405">
    <cfRule type="expression" priority="10" dxfId="5">
      <formula>p_currency="MAD"</formula>
    </cfRule>
    <cfRule type="expression" priority="13" dxfId="6">
      <formula>p_currency="EUR"</formula>
    </cfRule>
    <cfRule type="expression" priority="16" dxfId="7">
      <formula>p_currency="USD"</formula>
    </cfRule>
  </conditionalFormatting>
  <conditionalFormatting sqref="K6:K405">
    <cfRule type="expression" priority="11" dxfId="5">
      <formula>p_currency="MAD"</formula>
    </cfRule>
    <cfRule type="expression" priority="14" dxfId="6">
      <formula>p_currency="EUR"</formula>
    </cfRule>
    <cfRule type="expression" priority="17" dxfId="7">
      <formula>p_currency="USD"</formula>
    </cfRule>
  </conditionalFormatting>
  <dataValidations count="5">
    <dataValidation sqref="B6:B405" showDropDown="0" showInputMessage="1" showErrorMessage="1" allowBlank="1" errorTitle="Date du devis" error="Date d'émission (jj/mm/aaaa). Saisissez les devis dans l'ordre des dates : le numéro suit l'ordre des lignes." promptTitle="Date du devis" prompt="Date d'émission (jj/mm/aaaa). Saisissez les devis dans l'ordre des dates : le numéro suit l'ordre des lignes." type="date" operator="between">
      <formula1>36526</formula1>
      <formula2>73051</formula2>
    </dataValidation>
    <dataValidation sqref="C6:C405" showDropDown="0" showInputMessage="1" showErrorMessage="1" allowBlank="1" errorTitle="Client" error="Choisissez le code client (feuille « Clients »)." promptTitle="Client" prompt="Choisissez le code client (feuille « Clients »)." type="list">
      <formula1>=cli_code</formula1>
    </dataValidation>
    <dataValidation sqref="E6:E405" showDropDown="0" showInputMessage="1" showErrorMessage="1" allowBlank="1" errorTitle="Objet" error="150 caractères au maximum." promptTitle="Objet" prompt="Objet du devis ou référence de la demande du client." type="textLength" operator="lessThanOrEqual">
      <formula1>150</formula1>
    </dataValidation>
    <dataValidation sqref="F6:F405" showDropDown="0" showInputMessage="1" showErrorMessage="1" allowBlank="1" errorTitle="Validité" error="Facultatif. Sinon le devis est valable le nombre de jours fixé dans les Paramètres." promptTitle="Validité" prompt="Facultatif. Sinon le devis est valable le nombre de jours fixé dans les Paramètres." type="date" operator="between">
      <formula1>36526</formula1>
      <formula2>73051</formula2>
    </dataValidation>
    <dataValidation sqref="G6:G405" showDropDown="0" showInputMessage="1" showErrorMessage="1" allowBlank="1" errorTitle="Statut" error="En attente (vide = en attente), Accepté, Refusé ou Annulé. Facturé s'affiche seul dès qu'une facture reprend le devis." promptTitle="Statut" prompt="En attente (vide = en attente), Accepté, Refusé ou Annulé. Facturé s'affiche seul dès qu'une facture reprend le devis." type="list">
      <formula1>"En attente,Accepté,Refusé,Annulé"</formula1>
    </dataValidation>
  </dataValidations>
  <hyperlinks>
    <hyperlink ref="N1" location="'Mode d''emploi'!A1"/>
  </hyperlinks>
  <printOptions horizontalCentered="1"/>
  <pageMargins left="0.4" right="0.4" top="0.5" bottom="0.5" header="0.5" footer="0.5"/>
  <pageSetup orientation="landscape" paperSize="9" fitToHeight="0" fitToWidth="1"/>
</worksheet>
</file>

<file path=xl/worksheets/sheet8.xml><?xml version="1.0" encoding="utf-8"?>
<worksheet xmlns="http://schemas.openxmlformats.org/spreadsheetml/2006/main">
  <sheetPr>
    <tabColor rgb="FFBE185D"/>
    <outlinePr summaryBelow="1" summaryRight="1"/>
    <pageSetUpPr fitToPage="1"/>
  </sheetPr>
  <dimension ref="A1:P25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5" customWidth="1" min="1" max="1"/>
    <col width="14" customWidth="1" min="2" max="2"/>
    <col width="30" customWidth="1" min="3" max="3"/>
    <col width="9" customWidth="1" min="4" max="4"/>
    <col width="13" customWidth="1" min="5" max="5"/>
    <col width="8" customWidth="1" min="6" max="6"/>
    <col width="9" customWidth="1" min="7" max="7"/>
    <col width="34" customWidth="1" min="8" max="8"/>
    <col width="8" customWidth="1" min="9" max="9"/>
    <col width="13" customWidth="1" min="10" max="10"/>
    <col width="9" customWidth="1" min="11" max="11"/>
    <col width="14" customWidth="1" min="12" max="12"/>
    <col width="24" customWidth="1" min="13" max="13"/>
    <col width="30" customWidth="1" min="14" max="14"/>
    <col hidden="1" width="6" customWidth="1" min="15" max="15"/>
    <col hidden="1" width="18" customWidth="1" min="16" max="16"/>
  </cols>
  <sheetData>
    <row r="1" ht="38" customHeight="1">
      <c r="A1" s="2" t="inlineStr">
        <is>
          <t>Lignes de devis</t>
        </is>
      </c>
      <c r="B1" s="1" t="n"/>
      <c r="C1" s="1" t="n"/>
      <c r="D1" s="1" t="n"/>
      <c r="E1" s="1" t="n"/>
      <c r="F1" s="1" t="n"/>
      <c r="G1" s="1" t="n"/>
      <c r="H1" s="1" t="n"/>
      <c r="I1" s="1" t="n"/>
      <c r="J1" s="1" t="n"/>
      <c r="K1" s="1" t="n"/>
      <c r="L1" s="1" t="n"/>
      <c r="M1" s="1" t="n"/>
      <c r="N1" s="18" t="inlineStr">
        <is>
          <t>⌂ Mode d'emploi</t>
        </is>
      </c>
    </row>
    <row r="2" ht="22" customHeight="1">
      <c r="A2" s="4" t="inlineStr">
        <is>
          <t>Une ligne par article du devis. Choisissez le numéro du devis, puis l'article : désignation, prix et TVA se remplissent.</t>
        </is>
      </c>
      <c r="B2" s="3" t="n"/>
      <c r="C2" s="3" t="n"/>
      <c r="D2" s="3" t="n"/>
      <c r="E2" s="3" t="n"/>
      <c r="F2" s="3" t="n"/>
      <c r="G2" s="3" t="n"/>
      <c r="H2" s="3" t="n"/>
      <c r="I2" s="3" t="n"/>
      <c r="J2" s="3" t="n"/>
      <c r="K2" s="3" t="n"/>
      <c r="L2" s="3" t="n"/>
      <c r="M2" s="3" t="n"/>
      <c r="N2" s="3" t="n"/>
    </row>
    <row r="3" ht="18" customHeight="1">
      <c r="L3" s="16" t="inlineStr">
        <is>
          <t>Saisie</t>
        </is>
      </c>
      <c r="M3" s="17" t="inlineStr">
        <is>
          <t>Calcul auto</t>
        </is>
      </c>
    </row>
    <row r="5" ht="34" customHeight="1">
      <c r="A5" s="43" t="inlineStr">
        <is>
          <t>N° devis</t>
        </is>
      </c>
      <c r="B5" s="43" t="inlineStr">
        <is>
          <t>Code article</t>
        </is>
      </c>
      <c r="C5" s="43" t="inlineStr">
        <is>
          <t>Désignation (si autre)</t>
        </is>
      </c>
      <c r="D5" s="43" t="inlineStr">
        <is>
          <t>Quantité</t>
        </is>
      </c>
      <c r="E5" s="43" t="inlineStr">
        <is>
          <t>Prix unitaire HT (si autre)</t>
        </is>
      </c>
      <c r="F5" s="43" t="inlineStr">
        <is>
          <t>Remise</t>
        </is>
      </c>
      <c r="G5" s="43" t="inlineStr">
        <is>
          <t>TVA (si autre)</t>
        </is>
      </c>
      <c r="H5" s="43" t="inlineStr">
        <is>
          <t>Désignation</t>
        </is>
      </c>
      <c r="I5" s="43" t="inlineStr">
        <is>
          <t>Unité</t>
        </is>
      </c>
      <c r="J5" s="43" t="inlineStr">
        <is>
          <t>Prix unitaire HT</t>
        </is>
      </c>
      <c r="K5" s="43" t="inlineStr">
        <is>
          <t>TVA</t>
        </is>
      </c>
      <c r="L5" s="43" t="inlineStr">
        <is>
          <t>Montant HT</t>
        </is>
      </c>
      <c r="M5" s="43" t="inlineStr">
        <is>
          <t>Client</t>
        </is>
      </c>
      <c r="N5" s="43" t="inlineStr">
        <is>
          <t>Contrôle</t>
        </is>
      </c>
      <c r="O5" s="43" t="inlineStr">
        <is>
          <t>N° ligne</t>
        </is>
      </c>
      <c r="P5" s="43" t="inlineStr">
        <is>
          <t>Clé</t>
        </is>
      </c>
    </row>
    <row r="6">
      <c r="A6" s="60" t="n"/>
      <c r="B6" s="63" t="n"/>
      <c r="C6" s="63" t="n"/>
      <c r="D6" s="67" t="n"/>
      <c r="E6" s="68" t="n"/>
      <c r="F6" s="69" t="n"/>
      <c r="G6" s="70" t="n"/>
      <c r="H6" s="62" t="str">
        <f>IF(COUNTA(A6:G6)=0,"",IF(C6&lt;&gt;"",C6,IF(B6="","",IFERROR(INDEX(pr_des,MATCH(B6,pr_code,0))&amp;"",""))))</f>
        <v/>
      </c>
      <c r="I6" s="59" t="str">
        <f>IF(B6="","",IFERROR(INDEX(pr_unit,MATCH(B6,pr_code,0))&amp;"",""))</f>
        <v/>
      </c>
      <c r="J6" s="65" t="str">
        <f>IF(COUNTA(A6:G6)=0,"",IF(E6&lt;&gt;"",E6,IF(B6="","",IFERROR(IF(INDEX(pr_price,MATCH(B6,pr_code,0))="","",INDEX(pr_price,MATCH(B6,pr_code,0))),""))))</f>
        <v/>
      </c>
      <c r="K6" s="71" t="str">
        <f>IF(COUNTA(A6:G6)=0,"",IF(G6&lt;&gt;"",G6,IF(B6="","",IFERROR(IF(INDEX(pr_rate,MATCH(B6,pr_code,0))="","",INDEX(pr_rate,MATCH(B6,pr_code,0))),""))))</f>
        <v/>
      </c>
      <c r="L6" s="65" t="str">
        <f>IF(COUNTA(A6:G6)=0,"",IF(AND(ISNUMBER(D6),ISNUMBER(J6)),ROUND(D6*J6*(1-N(F6)),2),0))</f>
        <v/>
      </c>
      <c r="M6" s="62" t="str">
        <f>IF(A6="","",IFERROR(INDEX(dv_cname,MATCH(A6,dv_num,0))&amp;"",""))</f>
        <v/>
      </c>
      <c r="N6" s="59" t="str">
        <f>IF(COUNTA(A6:G6)=0,"",IF(A6="","N° devis manquant",IF(ISNA(MATCH(A6,dv_num,0)),"Devis inconnu",IF(AND(B6&lt;&gt;"",ISNA(MATCH(B6,pr_code,0))),"Article inconnu",IF(H6="","Désignation manquante",IF(OR(NOT(ISNUMBER(D6)),N(D6)&lt;=0),"Quantité invalide",IF(J6="","Prix manquant",IF(OR(NOT(ISNUMBER(J6)),N(J6)&lt;0),"Prix invalide",IF(OR(AND(F6&lt;&gt;"",NOT(ISNUMBER(F6))),N(F6)&lt;0,N(F6)&gt;1),"Remise invalide",IF(K6="","Taux de TVA manquant",IF(NOT(ISNUMBER(K6)),"Taux de TVA invalide",IF(COUNTIF(p_rates,K6)=0,"Taux de TVA hors liste (Paramètres)",IF(N(O6)&gt;25,"Au-delà de 25 lignes : non imprimée","OK")))))))))))))</f>
        <v/>
      </c>
      <c r="O6" s="59" t="str">
        <f>IF(A6="","",COUNTIF($A$6:A6,A6))</f>
        <v/>
      </c>
      <c r="P6" s="62" t="str">
        <f>IF(A6="","",A6&amp;"|"&amp;O6)</f>
        <v/>
      </c>
    </row>
    <row r="7">
      <c r="A7" s="60" t="n"/>
      <c r="B7" s="63" t="n"/>
      <c r="C7" s="63" t="n"/>
      <c r="D7" s="67" t="n"/>
      <c r="E7" s="68" t="n"/>
      <c r="F7" s="69" t="n"/>
      <c r="G7" s="70" t="n"/>
      <c r="H7" s="62" t="str">
        <f>IF(COUNTA(A7:G7)=0,"",IF(C7&lt;&gt;"",C7,IF(B7="","",IFERROR(INDEX(pr_des,MATCH(B7,pr_code,0))&amp;"",""))))</f>
        <v/>
      </c>
      <c r="I7" s="59" t="str">
        <f>IF(B7="","",IFERROR(INDEX(pr_unit,MATCH(B7,pr_code,0))&amp;"",""))</f>
        <v/>
      </c>
      <c r="J7" s="65" t="str">
        <f>IF(COUNTA(A7:G7)=0,"",IF(E7&lt;&gt;"",E7,IF(B7="","",IFERROR(IF(INDEX(pr_price,MATCH(B7,pr_code,0))="","",INDEX(pr_price,MATCH(B7,pr_code,0))),""))))</f>
        <v/>
      </c>
      <c r="K7" s="71" t="str">
        <f>IF(COUNTA(A7:G7)=0,"",IF(G7&lt;&gt;"",G7,IF(B7="","",IFERROR(IF(INDEX(pr_rate,MATCH(B7,pr_code,0))="","",INDEX(pr_rate,MATCH(B7,pr_code,0))),""))))</f>
        <v/>
      </c>
      <c r="L7" s="65" t="str">
        <f>IF(COUNTA(A7:G7)=0,"",IF(AND(ISNUMBER(D7),ISNUMBER(J7)),ROUND(D7*J7*(1-N(F7)),2),0))</f>
        <v/>
      </c>
      <c r="M7" s="62" t="str">
        <f>IF(A7="","",IFERROR(INDEX(dv_cname,MATCH(A7,dv_num,0))&amp;"",""))</f>
        <v/>
      </c>
      <c r="N7" s="59" t="str">
        <f>IF(COUNTA(A7:G7)=0,"",IF(A7="","N° devis manquant",IF(ISNA(MATCH(A7,dv_num,0)),"Devis inconnu",IF(AND(B7&lt;&gt;"",ISNA(MATCH(B7,pr_code,0))),"Article inconnu",IF(H7="","Désignation manquante",IF(OR(NOT(ISNUMBER(D7)),N(D7)&lt;=0),"Quantité invalide",IF(J7="","Prix manquant",IF(OR(NOT(ISNUMBER(J7)),N(J7)&lt;0),"Prix invalide",IF(OR(AND(F7&lt;&gt;"",NOT(ISNUMBER(F7))),N(F7)&lt;0,N(F7)&gt;1),"Remise invalide",IF(K7="","Taux de TVA manquant",IF(NOT(ISNUMBER(K7)),"Taux de TVA invalide",IF(COUNTIF(p_rates,K7)=0,"Taux de TVA hors liste (Paramètres)",IF(N(O7)&gt;25,"Au-delà de 25 lignes : non imprimée","OK")))))))))))))</f>
        <v/>
      </c>
      <c r="O7" s="59" t="str">
        <f>IF(A7="","",COUNTIF($A$6:A7,A7))</f>
        <v/>
      </c>
      <c r="P7" s="62" t="str">
        <f>IF(A7="","",A7&amp;"|"&amp;O7)</f>
        <v/>
      </c>
    </row>
    <row r="8">
      <c r="A8" s="60" t="n"/>
      <c r="B8" s="63" t="n"/>
      <c r="C8" s="63" t="n"/>
      <c r="D8" s="67" t="n"/>
      <c r="E8" s="68" t="n"/>
      <c r="F8" s="69" t="n"/>
      <c r="G8" s="70" t="n"/>
      <c r="H8" s="62" t="str">
        <f>IF(COUNTA(A8:G8)=0,"",IF(C8&lt;&gt;"",C8,IF(B8="","",IFERROR(INDEX(pr_des,MATCH(B8,pr_code,0))&amp;"",""))))</f>
        <v/>
      </c>
      <c r="I8" s="59" t="str">
        <f>IF(B8="","",IFERROR(INDEX(pr_unit,MATCH(B8,pr_code,0))&amp;"",""))</f>
        <v/>
      </c>
      <c r="J8" s="65" t="str">
        <f>IF(COUNTA(A8:G8)=0,"",IF(E8&lt;&gt;"",E8,IF(B8="","",IFERROR(IF(INDEX(pr_price,MATCH(B8,pr_code,0))="","",INDEX(pr_price,MATCH(B8,pr_code,0))),""))))</f>
        <v/>
      </c>
      <c r="K8" s="71" t="str">
        <f>IF(COUNTA(A8:G8)=0,"",IF(G8&lt;&gt;"",G8,IF(B8="","",IFERROR(IF(INDEX(pr_rate,MATCH(B8,pr_code,0))="","",INDEX(pr_rate,MATCH(B8,pr_code,0))),""))))</f>
        <v/>
      </c>
      <c r="L8" s="65" t="str">
        <f>IF(COUNTA(A8:G8)=0,"",IF(AND(ISNUMBER(D8),ISNUMBER(J8)),ROUND(D8*J8*(1-N(F8)),2),0))</f>
        <v/>
      </c>
      <c r="M8" s="62" t="str">
        <f>IF(A8="","",IFERROR(INDEX(dv_cname,MATCH(A8,dv_num,0))&amp;"",""))</f>
        <v/>
      </c>
      <c r="N8" s="59" t="str">
        <f>IF(COUNTA(A8:G8)=0,"",IF(A8="","N° devis manquant",IF(ISNA(MATCH(A8,dv_num,0)),"Devis inconnu",IF(AND(B8&lt;&gt;"",ISNA(MATCH(B8,pr_code,0))),"Article inconnu",IF(H8="","Désignation manquante",IF(OR(NOT(ISNUMBER(D8)),N(D8)&lt;=0),"Quantité invalide",IF(J8="","Prix manquant",IF(OR(NOT(ISNUMBER(J8)),N(J8)&lt;0),"Prix invalide",IF(OR(AND(F8&lt;&gt;"",NOT(ISNUMBER(F8))),N(F8)&lt;0,N(F8)&gt;1),"Remise invalide",IF(K8="","Taux de TVA manquant",IF(NOT(ISNUMBER(K8)),"Taux de TVA invalide",IF(COUNTIF(p_rates,K8)=0,"Taux de TVA hors liste (Paramètres)",IF(N(O8)&gt;25,"Au-delà de 25 lignes : non imprimée","OK")))))))))))))</f>
        <v/>
      </c>
      <c r="O8" s="59" t="str">
        <f>IF(A8="","",COUNTIF($A$6:A8,A8))</f>
        <v/>
      </c>
      <c r="P8" s="62" t="str">
        <f>IF(A8="","",A8&amp;"|"&amp;O8)</f>
        <v/>
      </c>
    </row>
    <row r="9">
      <c r="A9" s="60" t="n"/>
      <c r="B9" s="63" t="n"/>
      <c r="C9" s="63" t="n"/>
      <c r="D9" s="67" t="n"/>
      <c r="E9" s="68" t="n"/>
      <c r="F9" s="69" t="n"/>
      <c r="G9" s="70" t="n"/>
      <c r="H9" s="62" t="str">
        <f>IF(COUNTA(A9:G9)=0,"",IF(C9&lt;&gt;"",C9,IF(B9="","",IFERROR(INDEX(pr_des,MATCH(B9,pr_code,0))&amp;"",""))))</f>
        <v/>
      </c>
      <c r="I9" s="59" t="str">
        <f>IF(B9="","",IFERROR(INDEX(pr_unit,MATCH(B9,pr_code,0))&amp;"",""))</f>
        <v/>
      </c>
      <c r="J9" s="65" t="str">
        <f>IF(COUNTA(A9:G9)=0,"",IF(E9&lt;&gt;"",E9,IF(B9="","",IFERROR(IF(INDEX(pr_price,MATCH(B9,pr_code,0))="","",INDEX(pr_price,MATCH(B9,pr_code,0))),""))))</f>
        <v/>
      </c>
      <c r="K9" s="71" t="str">
        <f>IF(COUNTA(A9:G9)=0,"",IF(G9&lt;&gt;"",G9,IF(B9="","",IFERROR(IF(INDEX(pr_rate,MATCH(B9,pr_code,0))="","",INDEX(pr_rate,MATCH(B9,pr_code,0))),""))))</f>
        <v/>
      </c>
      <c r="L9" s="65" t="str">
        <f>IF(COUNTA(A9:G9)=0,"",IF(AND(ISNUMBER(D9),ISNUMBER(J9)),ROUND(D9*J9*(1-N(F9)),2),0))</f>
        <v/>
      </c>
      <c r="M9" s="62" t="str">
        <f>IF(A9="","",IFERROR(INDEX(dv_cname,MATCH(A9,dv_num,0))&amp;"",""))</f>
        <v/>
      </c>
      <c r="N9" s="59" t="str">
        <f>IF(COUNTA(A9:G9)=0,"",IF(A9="","N° devis manquant",IF(ISNA(MATCH(A9,dv_num,0)),"Devis inconnu",IF(AND(B9&lt;&gt;"",ISNA(MATCH(B9,pr_code,0))),"Article inconnu",IF(H9="","Désignation manquante",IF(OR(NOT(ISNUMBER(D9)),N(D9)&lt;=0),"Quantité invalide",IF(J9="","Prix manquant",IF(OR(NOT(ISNUMBER(J9)),N(J9)&lt;0),"Prix invalide",IF(OR(AND(F9&lt;&gt;"",NOT(ISNUMBER(F9))),N(F9)&lt;0,N(F9)&gt;1),"Remise invalide",IF(K9="","Taux de TVA manquant",IF(NOT(ISNUMBER(K9)),"Taux de TVA invalide",IF(COUNTIF(p_rates,K9)=0,"Taux de TVA hors liste (Paramètres)",IF(N(O9)&gt;25,"Au-delà de 25 lignes : non imprimée","OK")))))))))))))</f>
        <v/>
      </c>
      <c r="O9" s="59" t="str">
        <f>IF(A9="","",COUNTIF($A$6:A9,A9))</f>
        <v/>
      </c>
      <c r="P9" s="62" t="str">
        <f>IF(A9="","",A9&amp;"|"&amp;O9)</f>
        <v/>
      </c>
    </row>
    <row r="10">
      <c r="A10" s="60" t="n"/>
      <c r="B10" s="63" t="n"/>
      <c r="C10" s="63" t="n"/>
      <c r="D10" s="67" t="n"/>
      <c r="E10" s="68" t="n"/>
      <c r="F10" s="69" t="n"/>
      <c r="G10" s="70" t="n"/>
      <c r="H10" s="62" t="str">
        <f>IF(COUNTA(A10:G10)=0,"",IF(C10&lt;&gt;"",C10,IF(B10="","",IFERROR(INDEX(pr_des,MATCH(B10,pr_code,0))&amp;"",""))))</f>
        <v/>
      </c>
      <c r="I10" s="59" t="str">
        <f>IF(B10="","",IFERROR(INDEX(pr_unit,MATCH(B10,pr_code,0))&amp;"",""))</f>
        <v/>
      </c>
      <c r="J10" s="65" t="str">
        <f>IF(COUNTA(A10:G10)=0,"",IF(E10&lt;&gt;"",E10,IF(B10="","",IFERROR(IF(INDEX(pr_price,MATCH(B10,pr_code,0))="","",INDEX(pr_price,MATCH(B10,pr_code,0))),""))))</f>
        <v/>
      </c>
      <c r="K10" s="71" t="str">
        <f>IF(COUNTA(A10:G10)=0,"",IF(G10&lt;&gt;"",G10,IF(B10="","",IFERROR(IF(INDEX(pr_rate,MATCH(B10,pr_code,0))="","",INDEX(pr_rate,MATCH(B10,pr_code,0))),""))))</f>
        <v/>
      </c>
      <c r="L10" s="65" t="str">
        <f>IF(COUNTA(A10:G10)=0,"",IF(AND(ISNUMBER(D10),ISNUMBER(J10)),ROUND(D10*J10*(1-N(F10)),2),0))</f>
        <v/>
      </c>
      <c r="M10" s="62" t="str">
        <f>IF(A10="","",IFERROR(INDEX(dv_cname,MATCH(A10,dv_num,0))&amp;"",""))</f>
        <v/>
      </c>
      <c r="N10" s="59" t="str">
        <f>IF(COUNTA(A10:G10)=0,"",IF(A10="","N° devis manquant",IF(ISNA(MATCH(A10,dv_num,0)),"Devis inconnu",IF(AND(B10&lt;&gt;"",ISNA(MATCH(B10,pr_code,0))),"Article inconnu",IF(H10="","Désignation manquante",IF(OR(NOT(ISNUMBER(D10)),N(D10)&lt;=0),"Quantité invalide",IF(J10="","Prix manquant",IF(OR(NOT(ISNUMBER(J10)),N(J10)&lt;0),"Prix invalide",IF(OR(AND(F10&lt;&gt;"",NOT(ISNUMBER(F10))),N(F10)&lt;0,N(F10)&gt;1),"Remise invalide",IF(K10="","Taux de TVA manquant",IF(NOT(ISNUMBER(K10)),"Taux de TVA invalide",IF(COUNTIF(p_rates,K10)=0,"Taux de TVA hors liste (Paramètres)",IF(N(O10)&gt;25,"Au-delà de 25 lignes : non imprimée","OK")))))))))))))</f>
        <v/>
      </c>
      <c r="O10" s="59" t="str">
        <f>IF(A10="","",COUNTIF($A$6:A10,A10))</f>
        <v/>
      </c>
      <c r="P10" s="62" t="str">
        <f>IF(A10="","",A10&amp;"|"&amp;O10)</f>
        <v/>
      </c>
    </row>
    <row r="11">
      <c r="A11" s="60" t="n"/>
      <c r="B11" s="63" t="n"/>
      <c r="C11" s="63" t="n"/>
      <c r="D11" s="67" t="n"/>
      <c r="E11" s="68" t="n"/>
      <c r="F11" s="69" t="n"/>
      <c r="G11" s="70" t="n"/>
      <c r="H11" s="62" t="str">
        <f>IF(COUNTA(A11:G11)=0,"",IF(C11&lt;&gt;"",C11,IF(B11="","",IFERROR(INDEX(pr_des,MATCH(B11,pr_code,0))&amp;"",""))))</f>
        <v/>
      </c>
      <c r="I11" s="59" t="str">
        <f>IF(B11="","",IFERROR(INDEX(pr_unit,MATCH(B11,pr_code,0))&amp;"",""))</f>
        <v/>
      </c>
      <c r="J11" s="65" t="str">
        <f>IF(COUNTA(A11:G11)=0,"",IF(E11&lt;&gt;"",E11,IF(B11="","",IFERROR(IF(INDEX(pr_price,MATCH(B11,pr_code,0))="","",INDEX(pr_price,MATCH(B11,pr_code,0))),""))))</f>
        <v/>
      </c>
      <c r="K11" s="71" t="str">
        <f>IF(COUNTA(A11:G11)=0,"",IF(G11&lt;&gt;"",G11,IF(B11="","",IFERROR(IF(INDEX(pr_rate,MATCH(B11,pr_code,0))="","",INDEX(pr_rate,MATCH(B11,pr_code,0))),""))))</f>
        <v/>
      </c>
      <c r="L11" s="65" t="str">
        <f>IF(COUNTA(A11:G11)=0,"",IF(AND(ISNUMBER(D11),ISNUMBER(J11)),ROUND(D11*J11*(1-N(F11)),2),0))</f>
        <v/>
      </c>
      <c r="M11" s="62" t="str">
        <f>IF(A11="","",IFERROR(INDEX(dv_cname,MATCH(A11,dv_num,0))&amp;"",""))</f>
        <v/>
      </c>
      <c r="N11" s="59" t="str">
        <f>IF(COUNTA(A11:G11)=0,"",IF(A11="","N° devis manquant",IF(ISNA(MATCH(A11,dv_num,0)),"Devis inconnu",IF(AND(B11&lt;&gt;"",ISNA(MATCH(B11,pr_code,0))),"Article inconnu",IF(H11="","Désignation manquante",IF(OR(NOT(ISNUMBER(D11)),N(D11)&lt;=0),"Quantité invalide",IF(J11="","Prix manquant",IF(OR(NOT(ISNUMBER(J11)),N(J11)&lt;0),"Prix invalide",IF(OR(AND(F11&lt;&gt;"",NOT(ISNUMBER(F11))),N(F11)&lt;0,N(F11)&gt;1),"Remise invalide",IF(K11="","Taux de TVA manquant",IF(NOT(ISNUMBER(K11)),"Taux de TVA invalide",IF(COUNTIF(p_rates,K11)=0,"Taux de TVA hors liste (Paramètres)",IF(N(O11)&gt;25,"Au-delà de 25 lignes : non imprimée","OK")))))))))))))</f>
        <v/>
      </c>
      <c r="O11" s="59" t="str">
        <f>IF(A11="","",COUNTIF($A$6:A11,A11))</f>
        <v/>
      </c>
      <c r="P11" s="62" t="str">
        <f>IF(A11="","",A11&amp;"|"&amp;O11)</f>
        <v/>
      </c>
    </row>
    <row r="12">
      <c r="A12" s="60" t="n"/>
      <c r="B12" s="63" t="n"/>
      <c r="C12" s="63" t="n"/>
      <c r="D12" s="67" t="n"/>
      <c r="E12" s="68" t="n"/>
      <c r="F12" s="69" t="n"/>
      <c r="G12" s="70" t="n"/>
      <c r="H12" s="62" t="str">
        <f>IF(COUNTA(A12:G12)=0,"",IF(C12&lt;&gt;"",C12,IF(B12="","",IFERROR(INDEX(pr_des,MATCH(B12,pr_code,0))&amp;"",""))))</f>
        <v/>
      </c>
      <c r="I12" s="59" t="str">
        <f>IF(B12="","",IFERROR(INDEX(pr_unit,MATCH(B12,pr_code,0))&amp;"",""))</f>
        <v/>
      </c>
      <c r="J12" s="65" t="str">
        <f>IF(COUNTA(A12:G12)=0,"",IF(E12&lt;&gt;"",E12,IF(B12="","",IFERROR(IF(INDEX(pr_price,MATCH(B12,pr_code,0))="","",INDEX(pr_price,MATCH(B12,pr_code,0))),""))))</f>
        <v/>
      </c>
      <c r="K12" s="71" t="str">
        <f>IF(COUNTA(A12:G12)=0,"",IF(G12&lt;&gt;"",G12,IF(B12="","",IFERROR(IF(INDEX(pr_rate,MATCH(B12,pr_code,0))="","",INDEX(pr_rate,MATCH(B12,pr_code,0))),""))))</f>
        <v/>
      </c>
      <c r="L12" s="65" t="str">
        <f>IF(COUNTA(A12:G12)=0,"",IF(AND(ISNUMBER(D12),ISNUMBER(J12)),ROUND(D12*J12*(1-N(F12)),2),0))</f>
        <v/>
      </c>
      <c r="M12" s="62" t="str">
        <f>IF(A12="","",IFERROR(INDEX(dv_cname,MATCH(A12,dv_num,0))&amp;"",""))</f>
        <v/>
      </c>
      <c r="N12" s="59" t="str">
        <f>IF(COUNTA(A12:G12)=0,"",IF(A12="","N° devis manquant",IF(ISNA(MATCH(A12,dv_num,0)),"Devis inconnu",IF(AND(B12&lt;&gt;"",ISNA(MATCH(B12,pr_code,0))),"Article inconnu",IF(H12="","Désignation manquante",IF(OR(NOT(ISNUMBER(D12)),N(D12)&lt;=0),"Quantité invalide",IF(J12="","Prix manquant",IF(OR(NOT(ISNUMBER(J12)),N(J12)&lt;0),"Prix invalide",IF(OR(AND(F12&lt;&gt;"",NOT(ISNUMBER(F12))),N(F12)&lt;0,N(F12)&gt;1),"Remise invalide",IF(K12="","Taux de TVA manquant",IF(NOT(ISNUMBER(K12)),"Taux de TVA invalide",IF(COUNTIF(p_rates,K12)=0,"Taux de TVA hors liste (Paramètres)",IF(N(O12)&gt;25,"Au-delà de 25 lignes : non imprimée","OK")))))))))))))</f>
        <v/>
      </c>
      <c r="O12" s="59" t="str">
        <f>IF(A12="","",COUNTIF($A$6:A12,A12))</f>
        <v/>
      </c>
      <c r="P12" s="62" t="str">
        <f>IF(A12="","",A12&amp;"|"&amp;O12)</f>
        <v/>
      </c>
    </row>
    <row r="13">
      <c r="A13" s="60" t="n"/>
      <c r="B13" s="63" t="n"/>
      <c r="C13" s="63" t="n"/>
      <c r="D13" s="67" t="n"/>
      <c r="E13" s="68" t="n"/>
      <c r="F13" s="69" t="n"/>
      <c r="G13" s="70" t="n"/>
      <c r="H13" s="62" t="str">
        <f>IF(COUNTA(A13:G13)=0,"",IF(C13&lt;&gt;"",C13,IF(B13="","",IFERROR(INDEX(pr_des,MATCH(B13,pr_code,0))&amp;"",""))))</f>
        <v/>
      </c>
      <c r="I13" s="59" t="str">
        <f>IF(B13="","",IFERROR(INDEX(pr_unit,MATCH(B13,pr_code,0))&amp;"",""))</f>
        <v/>
      </c>
      <c r="J13" s="65" t="str">
        <f>IF(COUNTA(A13:G13)=0,"",IF(E13&lt;&gt;"",E13,IF(B13="","",IFERROR(IF(INDEX(pr_price,MATCH(B13,pr_code,0))="","",INDEX(pr_price,MATCH(B13,pr_code,0))),""))))</f>
        <v/>
      </c>
      <c r="K13" s="71" t="str">
        <f>IF(COUNTA(A13:G13)=0,"",IF(G13&lt;&gt;"",G13,IF(B13="","",IFERROR(IF(INDEX(pr_rate,MATCH(B13,pr_code,0))="","",INDEX(pr_rate,MATCH(B13,pr_code,0))),""))))</f>
        <v/>
      </c>
      <c r="L13" s="65" t="str">
        <f>IF(COUNTA(A13:G13)=0,"",IF(AND(ISNUMBER(D13),ISNUMBER(J13)),ROUND(D13*J13*(1-N(F13)),2),0))</f>
        <v/>
      </c>
      <c r="M13" s="62" t="str">
        <f>IF(A13="","",IFERROR(INDEX(dv_cname,MATCH(A13,dv_num,0))&amp;"",""))</f>
        <v/>
      </c>
      <c r="N13" s="59" t="str">
        <f>IF(COUNTA(A13:G13)=0,"",IF(A13="","N° devis manquant",IF(ISNA(MATCH(A13,dv_num,0)),"Devis inconnu",IF(AND(B13&lt;&gt;"",ISNA(MATCH(B13,pr_code,0))),"Article inconnu",IF(H13="","Désignation manquante",IF(OR(NOT(ISNUMBER(D13)),N(D13)&lt;=0),"Quantité invalide",IF(J13="","Prix manquant",IF(OR(NOT(ISNUMBER(J13)),N(J13)&lt;0),"Prix invalide",IF(OR(AND(F13&lt;&gt;"",NOT(ISNUMBER(F13))),N(F13)&lt;0,N(F13)&gt;1),"Remise invalide",IF(K13="","Taux de TVA manquant",IF(NOT(ISNUMBER(K13)),"Taux de TVA invalide",IF(COUNTIF(p_rates,K13)=0,"Taux de TVA hors liste (Paramètres)",IF(N(O13)&gt;25,"Au-delà de 25 lignes : non imprimée","OK")))))))))))))</f>
        <v/>
      </c>
      <c r="O13" s="59" t="str">
        <f>IF(A13="","",COUNTIF($A$6:A13,A13))</f>
        <v/>
      </c>
      <c r="P13" s="62" t="str">
        <f>IF(A13="","",A13&amp;"|"&amp;O13)</f>
        <v/>
      </c>
    </row>
    <row r="14">
      <c r="A14" s="60" t="n"/>
      <c r="B14" s="63" t="n"/>
      <c r="C14" s="63" t="n"/>
      <c r="D14" s="67" t="n"/>
      <c r="E14" s="68" t="n"/>
      <c r="F14" s="69" t="n"/>
      <c r="G14" s="70" t="n"/>
      <c r="H14" s="62" t="str">
        <f>IF(COUNTA(A14:G14)=0,"",IF(C14&lt;&gt;"",C14,IF(B14="","",IFERROR(INDEX(pr_des,MATCH(B14,pr_code,0))&amp;"",""))))</f>
        <v/>
      </c>
      <c r="I14" s="59" t="str">
        <f>IF(B14="","",IFERROR(INDEX(pr_unit,MATCH(B14,pr_code,0))&amp;"",""))</f>
        <v/>
      </c>
      <c r="J14" s="65" t="str">
        <f>IF(COUNTA(A14:G14)=0,"",IF(E14&lt;&gt;"",E14,IF(B14="","",IFERROR(IF(INDEX(pr_price,MATCH(B14,pr_code,0))="","",INDEX(pr_price,MATCH(B14,pr_code,0))),""))))</f>
        <v/>
      </c>
      <c r="K14" s="71" t="str">
        <f>IF(COUNTA(A14:G14)=0,"",IF(G14&lt;&gt;"",G14,IF(B14="","",IFERROR(IF(INDEX(pr_rate,MATCH(B14,pr_code,0))="","",INDEX(pr_rate,MATCH(B14,pr_code,0))),""))))</f>
        <v/>
      </c>
      <c r="L14" s="65" t="str">
        <f>IF(COUNTA(A14:G14)=0,"",IF(AND(ISNUMBER(D14),ISNUMBER(J14)),ROUND(D14*J14*(1-N(F14)),2),0))</f>
        <v/>
      </c>
      <c r="M14" s="62" t="str">
        <f>IF(A14="","",IFERROR(INDEX(dv_cname,MATCH(A14,dv_num,0))&amp;"",""))</f>
        <v/>
      </c>
      <c r="N14" s="59" t="str">
        <f>IF(COUNTA(A14:G14)=0,"",IF(A14="","N° devis manquant",IF(ISNA(MATCH(A14,dv_num,0)),"Devis inconnu",IF(AND(B14&lt;&gt;"",ISNA(MATCH(B14,pr_code,0))),"Article inconnu",IF(H14="","Désignation manquante",IF(OR(NOT(ISNUMBER(D14)),N(D14)&lt;=0),"Quantité invalide",IF(J14="","Prix manquant",IF(OR(NOT(ISNUMBER(J14)),N(J14)&lt;0),"Prix invalide",IF(OR(AND(F14&lt;&gt;"",NOT(ISNUMBER(F14))),N(F14)&lt;0,N(F14)&gt;1),"Remise invalide",IF(K14="","Taux de TVA manquant",IF(NOT(ISNUMBER(K14)),"Taux de TVA invalide",IF(COUNTIF(p_rates,K14)=0,"Taux de TVA hors liste (Paramètres)",IF(N(O14)&gt;25,"Au-delà de 25 lignes : non imprimée","OK")))))))))))))</f>
        <v/>
      </c>
      <c r="O14" s="59" t="str">
        <f>IF(A14="","",COUNTIF($A$6:A14,A14))</f>
        <v/>
      </c>
      <c r="P14" s="62" t="str">
        <f>IF(A14="","",A14&amp;"|"&amp;O14)</f>
        <v/>
      </c>
    </row>
    <row r="15">
      <c r="A15" s="60" t="n"/>
      <c r="B15" s="63" t="n"/>
      <c r="C15" s="63" t="n"/>
      <c r="D15" s="67" t="n"/>
      <c r="E15" s="68" t="n"/>
      <c r="F15" s="69" t="n"/>
      <c r="G15" s="70" t="n"/>
      <c r="H15" s="62" t="str">
        <f>IF(COUNTA(A15:G15)=0,"",IF(C15&lt;&gt;"",C15,IF(B15="","",IFERROR(INDEX(pr_des,MATCH(B15,pr_code,0))&amp;"",""))))</f>
        <v/>
      </c>
      <c r="I15" s="59" t="str">
        <f>IF(B15="","",IFERROR(INDEX(pr_unit,MATCH(B15,pr_code,0))&amp;"",""))</f>
        <v/>
      </c>
      <c r="J15" s="65" t="str">
        <f>IF(COUNTA(A15:G15)=0,"",IF(E15&lt;&gt;"",E15,IF(B15="","",IFERROR(IF(INDEX(pr_price,MATCH(B15,pr_code,0))="","",INDEX(pr_price,MATCH(B15,pr_code,0))),""))))</f>
        <v/>
      </c>
      <c r="K15" s="71" t="str">
        <f>IF(COUNTA(A15:G15)=0,"",IF(G15&lt;&gt;"",G15,IF(B15="","",IFERROR(IF(INDEX(pr_rate,MATCH(B15,pr_code,0))="","",INDEX(pr_rate,MATCH(B15,pr_code,0))),""))))</f>
        <v/>
      </c>
      <c r="L15" s="65" t="str">
        <f>IF(COUNTA(A15:G15)=0,"",IF(AND(ISNUMBER(D15),ISNUMBER(J15)),ROUND(D15*J15*(1-N(F15)),2),0))</f>
        <v/>
      </c>
      <c r="M15" s="62" t="str">
        <f>IF(A15="","",IFERROR(INDEX(dv_cname,MATCH(A15,dv_num,0))&amp;"",""))</f>
        <v/>
      </c>
      <c r="N15" s="59" t="str">
        <f>IF(COUNTA(A15:G15)=0,"",IF(A15="","N° devis manquant",IF(ISNA(MATCH(A15,dv_num,0)),"Devis inconnu",IF(AND(B15&lt;&gt;"",ISNA(MATCH(B15,pr_code,0))),"Article inconnu",IF(H15="","Désignation manquante",IF(OR(NOT(ISNUMBER(D15)),N(D15)&lt;=0),"Quantité invalide",IF(J15="","Prix manquant",IF(OR(NOT(ISNUMBER(J15)),N(J15)&lt;0),"Prix invalide",IF(OR(AND(F15&lt;&gt;"",NOT(ISNUMBER(F15))),N(F15)&lt;0,N(F15)&gt;1),"Remise invalide",IF(K15="","Taux de TVA manquant",IF(NOT(ISNUMBER(K15)),"Taux de TVA invalide",IF(COUNTIF(p_rates,K15)=0,"Taux de TVA hors liste (Paramètres)",IF(N(O15)&gt;25,"Au-delà de 25 lignes : non imprimée","OK")))))))))))))</f>
        <v/>
      </c>
      <c r="O15" s="59" t="str">
        <f>IF(A15="","",COUNTIF($A$6:A15,A15))</f>
        <v/>
      </c>
      <c r="P15" s="62" t="str">
        <f>IF(A15="","",A15&amp;"|"&amp;O15)</f>
        <v/>
      </c>
    </row>
    <row r="16">
      <c r="A16" s="60" t="n"/>
      <c r="B16" s="63" t="n"/>
      <c r="C16" s="63" t="n"/>
      <c r="D16" s="67" t="n"/>
      <c r="E16" s="68" t="n"/>
      <c r="F16" s="69" t="n"/>
      <c r="G16" s="70" t="n"/>
      <c r="H16" s="62" t="str">
        <f>IF(COUNTA(A16:G16)=0,"",IF(C16&lt;&gt;"",C16,IF(B16="","",IFERROR(INDEX(pr_des,MATCH(B16,pr_code,0))&amp;"",""))))</f>
        <v/>
      </c>
      <c r="I16" s="59" t="str">
        <f>IF(B16="","",IFERROR(INDEX(pr_unit,MATCH(B16,pr_code,0))&amp;"",""))</f>
        <v/>
      </c>
      <c r="J16" s="65" t="str">
        <f>IF(COUNTA(A16:G16)=0,"",IF(E16&lt;&gt;"",E16,IF(B16="","",IFERROR(IF(INDEX(pr_price,MATCH(B16,pr_code,0))="","",INDEX(pr_price,MATCH(B16,pr_code,0))),""))))</f>
        <v/>
      </c>
      <c r="K16" s="71" t="str">
        <f>IF(COUNTA(A16:G16)=0,"",IF(G16&lt;&gt;"",G16,IF(B16="","",IFERROR(IF(INDEX(pr_rate,MATCH(B16,pr_code,0))="","",INDEX(pr_rate,MATCH(B16,pr_code,0))),""))))</f>
        <v/>
      </c>
      <c r="L16" s="65" t="str">
        <f>IF(COUNTA(A16:G16)=0,"",IF(AND(ISNUMBER(D16),ISNUMBER(J16)),ROUND(D16*J16*(1-N(F16)),2),0))</f>
        <v/>
      </c>
      <c r="M16" s="62" t="str">
        <f>IF(A16="","",IFERROR(INDEX(dv_cname,MATCH(A16,dv_num,0))&amp;"",""))</f>
        <v/>
      </c>
      <c r="N16" s="59" t="str">
        <f>IF(COUNTA(A16:G16)=0,"",IF(A16="","N° devis manquant",IF(ISNA(MATCH(A16,dv_num,0)),"Devis inconnu",IF(AND(B16&lt;&gt;"",ISNA(MATCH(B16,pr_code,0))),"Article inconnu",IF(H16="","Désignation manquante",IF(OR(NOT(ISNUMBER(D16)),N(D16)&lt;=0),"Quantité invalide",IF(J16="","Prix manquant",IF(OR(NOT(ISNUMBER(J16)),N(J16)&lt;0),"Prix invalide",IF(OR(AND(F16&lt;&gt;"",NOT(ISNUMBER(F16))),N(F16)&lt;0,N(F16)&gt;1),"Remise invalide",IF(K16="","Taux de TVA manquant",IF(NOT(ISNUMBER(K16)),"Taux de TVA invalide",IF(COUNTIF(p_rates,K16)=0,"Taux de TVA hors liste (Paramètres)",IF(N(O16)&gt;25,"Au-delà de 25 lignes : non imprimée","OK")))))))))))))</f>
        <v/>
      </c>
      <c r="O16" s="59" t="str">
        <f>IF(A16="","",COUNTIF($A$6:A16,A16))</f>
        <v/>
      </c>
      <c r="P16" s="62" t="str">
        <f>IF(A16="","",A16&amp;"|"&amp;O16)</f>
        <v/>
      </c>
    </row>
    <row r="17">
      <c r="A17" s="60" t="n"/>
      <c r="B17" s="63" t="n"/>
      <c r="C17" s="63" t="n"/>
      <c r="D17" s="67" t="n"/>
      <c r="E17" s="68" t="n"/>
      <c r="F17" s="69" t="n"/>
      <c r="G17" s="70" t="n"/>
      <c r="H17" s="62" t="str">
        <f>IF(COUNTA(A17:G17)=0,"",IF(C17&lt;&gt;"",C17,IF(B17="","",IFERROR(INDEX(pr_des,MATCH(B17,pr_code,0))&amp;"",""))))</f>
        <v/>
      </c>
      <c r="I17" s="59" t="str">
        <f>IF(B17="","",IFERROR(INDEX(pr_unit,MATCH(B17,pr_code,0))&amp;"",""))</f>
        <v/>
      </c>
      <c r="J17" s="65" t="str">
        <f>IF(COUNTA(A17:G17)=0,"",IF(E17&lt;&gt;"",E17,IF(B17="","",IFERROR(IF(INDEX(pr_price,MATCH(B17,pr_code,0))="","",INDEX(pr_price,MATCH(B17,pr_code,0))),""))))</f>
        <v/>
      </c>
      <c r="K17" s="71" t="str">
        <f>IF(COUNTA(A17:G17)=0,"",IF(G17&lt;&gt;"",G17,IF(B17="","",IFERROR(IF(INDEX(pr_rate,MATCH(B17,pr_code,0))="","",INDEX(pr_rate,MATCH(B17,pr_code,0))),""))))</f>
        <v/>
      </c>
      <c r="L17" s="65" t="str">
        <f>IF(COUNTA(A17:G17)=0,"",IF(AND(ISNUMBER(D17),ISNUMBER(J17)),ROUND(D17*J17*(1-N(F17)),2),0))</f>
        <v/>
      </c>
      <c r="M17" s="62" t="str">
        <f>IF(A17="","",IFERROR(INDEX(dv_cname,MATCH(A17,dv_num,0))&amp;"",""))</f>
        <v/>
      </c>
      <c r="N17" s="59" t="str">
        <f>IF(COUNTA(A17:G17)=0,"",IF(A17="","N° devis manquant",IF(ISNA(MATCH(A17,dv_num,0)),"Devis inconnu",IF(AND(B17&lt;&gt;"",ISNA(MATCH(B17,pr_code,0))),"Article inconnu",IF(H17="","Désignation manquante",IF(OR(NOT(ISNUMBER(D17)),N(D17)&lt;=0),"Quantité invalide",IF(J17="","Prix manquant",IF(OR(NOT(ISNUMBER(J17)),N(J17)&lt;0),"Prix invalide",IF(OR(AND(F17&lt;&gt;"",NOT(ISNUMBER(F17))),N(F17)&lt;0,N(F17)&gt;1),"Remise invalide",IF(K17="","Taux de TVA manquant",IF(NOT(ISNUMBER(K17)),"Taux de TVA invalide",IF(COUNTIF(p_rates,K17)=0,"Taux de TVA hors liste (Paramètres)",IF(N(O17)&gt;25,"Au-delà de 25 lignes : non imprimée","OK")))))))))))))</f>
        <v/>
      </c>
      <c r="O17" s="59" t="str">
        <f>IF(A17="","",COUNTIF($A$6:A17,A17))</f>
        <v/>
      </c>
      <c r="P17" s="62" t="str">
        <f>IF(A17="","",A17&amp;"|"&amp;O17)</f>
        <v/>
      </c>
    </row>
    <row r="18">
      <c r="A18" s="60" t="n"/>
      <c r="B18" s="63" t="n"/>
      <c r="C18" s="63" t="n"/>
      <c r="D18" s="67" t="n"/>
      <c r="E18" s="68" t="n"/>
      <c r="F18" s="69" t="n"/>
      <c r="G18" s="70" t="n"/>
      <c r="H18" s="62" t="str">
        <f>IF(COUNTA(A18:G18)=0,"",IF(C18&lt;&gt;"",C18,IF(B18="","",IFERROR(INDEX(pr_des,MATCH(B18,pr_code,0))&amp;"",""))))</f>
        <v/>
      </c>
      <c r="I18" s="59" t="str">
        <f>IF(B18="","",IFERROR(INDEX(pr_unit,MATCH(B18,pr_code,0))&amp;"",""))</f>
        <v/>
      </c>
      <c r="J18" s="65" t="str">
        <f>IF(COUNTA(A18:G18)=0,"",IF(E18&lt;&gt;"",E18,IF(B18="","",IFERROR(IF(INDEX(pr_price,MATCH(B18,pr_code,0))="","",INDEX(pr_price,MATCH(B18,pr_code,0))),""))))</f>
        <v/>
      </c>
      <c r="K18" s="71" t="str">
        <f>IF(COUNTA(A18:G18)=0,"",IF(G18&lt;&gt;"",G18,IF(B18="","",IFERROR(IF(INDEX(pr_rate,MATCH(B18,pr_code,0))="","",INDEX(pr_rate,MATCH(B18,pr_code,0))),""))))</f>
        <v/>
      </c>
      <c r="L18" s="65" t="str">
        <f>IF(COUNTA(A18:G18)=0,"",IF(AND(ISNUMBER(D18),ISNUMBER(J18)),ROUND(D18*J18*(1-N(F18)),2),0))</f>
        <v/>
      </c>
      <c r="M18" s="62" t="str">
        <f>IF(A18="","",IFERROR(INDEX(dv_cname,MATCH(A18,dv_num,0))&amp;"",""))</f>
        <v/>
      </c>
      <c r="N18" s="59" t="str">
        <f>IF(COUNTA(A18:G18)=0,"",IF(A18="","N° devis manquant",IF(ISNA(MATCH(A18,dv_num,0)),"Devis inconnu",IF(AND(B18&lt;&gt;"",ISNA(MATCH(B18,pr_code,0))),"Article inconnu",IF(H18="","Désignation manquante",IF(OR(NOT(ISNUMBER(D18)),N(D18)&lt;=0),"Quantité invalide",IF(J18="","Prix manquant",IF(OR(NOT(ISNUMBER(J18)),N(J18)&lt;0),"Prix invalide",IF(OR(AND(F18&lt;&gt;"",NOT(ISNUMBER(F18))),N(F18)&lt;0,N(F18)&gt;1),"Remise invalide",IF(K18="","Taux de TVA manquant",IF(NOT(ISNUMBER(K18)),"Taux de TVA invalide",IF(COUNTIF(p_rates,K18)=0,"Taux de TVA hors liste (Paramètres)",IF(N(O18)&gt;25,"Au-delà de 25 lignes : non imprimée","OK")))))))))))))</f>
        <v/>
      </c>
      <c r="O18" s="59" t="str">
        <f>IF(A18="","",COUNTIF($A$6:A18,A18))</f>
        <v/>
      </c>
      <c r="P18" s="62" t="str">
        <f>IF(A18="","",A18&amp;"|"&amp;O18)</f>
        <v/>
      </c>
    </row>
    <row r="19">
      <c r="A19" s="60" t="n"/>
      <c r="B19" s="63" t="n"/>
      <c r="C19" s="63" t="n"/>
      <c r="D19" s="67" t="n"/>
      <c r="E19" s="68" t="n"/>
      <c r="F19" s="69" t="n"/>
      <c r="G19" s="70" t="n"/>
      <c r="H19" s="62" t="str">
        <f>IF(COUNTA(A19:G19)=0,"",IF(C19&lt;&gt;"",C19,IF(B19="","",IFERROR(INDEX(pr_des,MATCH(B19,pr_code,0))&amp;"",""))))</f>
        <v/>
      </c>
      <c r="I19" s="59" t="str">
        <f>IF(B19="","",IFERROR(INDEX(pr_unit,MATCH(B19,pr_code,0))&amp;"",""))</f>
        <v/>
      </c>
      <c r="J19" s="65" t="str">
        <f>IF(COUNTA(A19:G19)=0,"",IF(E19&lt;&gt;"",E19,IF(B19="","",IFERROR(IF(INDEX(pr_price,MATCH(B19,pr_code,0))="","",INDEX(pr_price,MATCH(B19,pr_code,0))),""))))</f>
        <v/>
      </c>
      <c r="K19" s="71" t="str">
        <f>IF(COUNTA(A19:G19)=0,"",IF(G19&lt;&gt;"",G19,IF(B19="","",IFERROR(IF(INDEX(pr_rate,MATCH(B19,pr_code,0))="","",INDEX(pr_rate,MATCH(B19,pr_code,0))),""))))</f>
        <v/>
      </c>
      <c r="L19" s="65" t="str">
        <f>IF(COUNTA(A19:G19)=0,"",IF(AND(ISNUMBER(D19),ISNUMBER(J19)),ROUND(D19*J19*(1-N(F19)),2),0))</f>
        <v/>
      </c>
      <c r="M19" s="62" t="str">
        <f>IF(A19="","",IFERROR(INDEX(dv_cname,MATCH(A19,dv_num,0))&amp;"",""))</f>
        <v/>
      </c>
      <c r="N19" s="59" t="str">
        <f>IF(COUNTA(A19:G19)=0,"",IF(A19="","N° devis manquant",IF(ISNA(MATCH(A19,dv_num,0)),"Devis inconnu",IF(AND(B19&lt;&gt;"",ISNA(MATCH(B19,pr_code,0))),"Article inconnu",IF(H19="","Désignation manquante",IF(OR(NOT(ISNUMBER(D19)),N(D19)&lt;=0),"Quantité invalide",IF(J19="","Prix manquant",IF(OR(NOT(ISNUMBER(J19)),N(J19)&lt;0),"Prix invalide",IF(OR(AND(F19&lt;&gt;"",NOT(ISNUMBER(F19))),N(F19)&lt;0,N(F19)&gt;1),"Remise invalide",IF(K19="","Taux de TVA manquant",IF(NOT(ISNUMBER(K19)),"Taux de TVA invalide",IF(COUNTIF(p_rates,K19)=0,"Taux de TVA hors liste (Paramètres)",IF(N(O19)&gt;25,"Au-delà de 25 lignes : non imprimée","OK")))))))))))))</f>
        <v/>
      </c>
      <c r="O19" s="59" t="str">
        <f>IF(A19="","",COUNTIF($A$6:A19,A19))</f>
        <v/>
      </c>
      <c r="P19" s="62" t="str">
        <f>IF(A19="","",A19&amp;"|"&amp;O19)</f>
        <v/>
      </c>
    </row>
    <row r="20">
      <c r="A20" s="60" t="n"/>
      <c r="B20" s="63" t="n"/>
      <c r="C20" s="63" t="n"/>
      <c r="D20" s="67" t="n"/>
      <c r="E20" s="68" t="n"/>
      <c r="F20" s="69" t="n"/>
      <c r="G20" s="70" t="n"/>
      <c r="H20" s="62" t="str">
        <f>IF(COUNTA(A20:G20)=0,"",IF(C20&lt;&gt;"",C20,IF(B20="","",IFERROR(INDEX(pr_des,MATCH(B20,pr_code,0))&amp;"",""))))</f>
        <v/>
      </c>
      <c r="I20" s="59" t="str">
        <f>IF(B20="","",IFERROR(INDEX(pr_unit,MATCH(B20,pr_code,0))&amp;"",""))</f>
        <v/>
      </c>
      <c r="J20" s="65" t="str">
        <f>IF(COUNTA(A20:G20)=0,"",IF(E20&lt;&gt;"",E20,IF(B20="","",IFERROR(IF(INDEX(pr_price,MATCH(B20,pr_code,0))="","",INDEX(pr_price,MATCH(B20,pr_code,0))),""))))</f>
        <v/>
      </c>
      <c r="K20" s="71" t="str">
        <f>IF(COUNTA(A20:G20)=0,"",IF(G20&lt;&gt;"",G20,IF(B20="","",IFERROR(IF(INDEX(pr_rate,MATCH(B20,pr_code,0))="","",INDEX(pr_rate,MATCH(B20,pr_code,0))),""))))</f>
        <v/>
      </c>
      <c r="L20" s="65" t="str">
        <f>IF(COUNTA(A20:G20)=0,"",IF(AND(ISNUMBER(D20),ISNUMBER(J20)),ROUND(D20*J20*(1-N(F20)),2),0))</f>
        <v/>
      </c>
      <c r="M20" s="62" t="str">
        <f>IF(A20="","",IFERROR(INDEX(dv_cname,MATCH(A20,dv_num,0))&amp;"",""))</f>
        <v/>
      </c>
      <c r="N20" s="59" t="str">
        <f>IF(COUNTA(A20:G20)=0,"",IF(A20="","N° devis manquant",IF(ISNA(MATCH(A20,dv_num,0)),"Devis inconnu",IF(AND(B20&lt;&gt;"",ISNA(MATCH(B20,pr_code,0))),"Article inconnu",IF(H20="","Désignation manquante",IF(OR(NOT(ISNUMBER(D20)),N(D20)&lt;=0),"Quantité invalide",IF(J20="","Prix manquant",IF(OR(NOT(ISNUMBER(J20)),N(J20)&lt;0),"Prix invalide",IF(OR(AND(F20&lt;&gt;"",NOT(ISNUMBER(F20))),N(F20)&lt;0,N(F20)&gt;1),"Remise invalide",IF(K20="","Taux de TVA manquant",IF(NOT(ISNUMBER(K20)),"Taux de TVA invalide",IF(COUNTIF(p_rates,K20)=0,"Taux de TVA hors liste (Paramètres)",IF(N(O20)&gt;25,"Au-delà de 25 lignes : non imprimée","OK")))))))))))))</f>
        <v/>
      </c>
      <c r="O20" s="59" t="str">
        <f>IF(A20="","",COUNTIF($A$6:A20,A20))</f>
        <v/>
      </c>
      <c r="P20" s="62" t="str">
        <f>IF(A20="","",A20&amp;"|"&amp;O20)</f>
        <v/>
      </c>
    </row>
    <row r="21">
      <c r="A21" s="60" t="n"/>
      <c r="B21" s="63" t="n"/>
      <c r="C21" s="63" t="n"/>
      <c r="D21" s="67" t="n"/>
      <c r="E21" s="68" t="n"/>
      <c r="F21" s="69" t="n"/>
      <c r="G21" s="70" t="n"/>
      <c r="H21" s="62" t="str">
        <f>IF(COUNTA(A21:G21)=0,"",IF(C21&lt;&gt;"",C21,IF(B21="","",IFERROR(INDEX(pr_des,MATCH(B21,pr_code,0))&amp;"",""))))</f>
        <v/>
      </c>
      <c r="I21" s="59" t="str">
        <f>IF(B21="","",IFERROR(INDEX(pr_unit,MATCH(B21,pr_code,0))&amp;"",""))</f>
        <v/>
      </c>
      <c r="J21" s="65" t="str">
        <f>IF(COUNTA(A21:G21)=0,"",IF(E21&lt;&gt;"",E21,IF(B21="","",IFERROR(IF(INDEX(pr_price,MATCH(B21,pr_code,0))="","",INDEX(pr_price,MATCH(B21,pr_code,0))),""))))</f>
        <v/>
      </c>
      <c r="K21" s="71" t="str">
        <f>IF(COUNTA(A21:G21)=0,"",IF(G21&lt;&gt;"",G21,IF(B21="","",IFERROR(IF(INDEX(pr_rate,MATCH(B21,pr_code,0))="","",INDEX(pr_rate,MATCH(B21,pr_code,0))),""))))</f>
        <v/>
      </c>
      <c r="L21" s="65" t="str">
        <f>IF(COUNTA(A21:G21)=0,"",IF(AND(ISNUMBER(D21),ISNUMBER(J21)),ROUND(D21*J21*(1-N(F21)),2),0))</f>
        <v/>
      </c>
      <c r="M21" s="62" t="str">
        <f>IF(A21="","",IFERROR(INDEX(dv_cname,MATCH(A21,dv_num,0))&amp;"",""))</f>
        <v/>
      </c>
      <c r="N21" s="59" t="str">
        <f>IF(COUNTA(A21:G21)=0,"",IF(A21="","N° devis manquant",IF(ISNA(MATCH(A21,dv_num,0)),"Devis inconnu",IF(AND(B21&lt;&gt;"",ISNA(MATCH(B21,pr_code,0))),"Article inconnu",IF(H21="","Désignation manquante",IF(OR(NOT(ISNUMBER(D21)),N(D21)&lt;=0),"Quantité invalide",IF(J21="","Prix manquant",IF(OR(NOT(ISNUMBER(J21)),N(J21)&lt;0),"Prix invalide",IF(OR(AND(F21&lt;&gt;"",NOT(ISNUMBER(F21))),N(F21)&lt;0,N(F21)&gt;1),"Remise invalide",IF(K21="","Taux de TVA manquant",IF(NOT(ISNUMBER(K21)),"Taux de TVA invalide",IF(COUNTIF(p_rates,K21)=0,"Taux de TVA hors liste (Paramètres)",IF(N(O21)&gt;25,"Au-delà de 25 lignes : non imprimée","OK")))))))))))))</f>
        <v/>
      </c>
      <c r="O21" s="59" t="str">
        <f>IF(A21="","",COUNTIF($A$6:A21,A21))</f>
        <v/>
      </c>
      <c r="P21" s="62" t="str">
        <f>IF(A21="","",A21&amp;"|"&amp;O21)</f>
        <v/>
      </c>
    </row>
    <row r="22">
      <c r="A22" s="60" t="n"/>
      <c r="B22" s="63" t="n"/>
      <c r="C22" s="63" t="n"/>
      <c r="D22" s="67" t="n"/>
      <c r="E22" s="68" t="n"/>
      <c r="F22" s="69" t="n"/>
      <c r="G22" s="70" t="n"/>
      <c r="H22" s="62" t="str">
        <f>IF(COUNTA(A22:G22)=0,"",IF(C22&lt;&gt;"",C22,IF(B22="","",IFERROR(INDEX(pr_des,MATCH(B22,pr_code,0))&amp;"",""))))</f>
        <v/>
      </c>
      <c r="I22" s="59" t="str">
        <f>IF(B22="","",IFERROR(INDEX(pr_unit,MATCH(B22,pr_code,0))&amp;"",""))</f>
        <v/>
      </c>
      <c r="J22" s="65" t="str">
        <f>IF(COUNTA(A22:G22)=0,"",IF(E22&lt;&gt;"",E22,IF(B22="","",IFERROR(IF(INDEX(pr_price,MATCH(B22,pr_code,0))="","",INDEX(pr_price,MATCH(B22,pr_code,0))),""))))</f>
        <v/>
      </c>
      <c r="K22" s="71" t="str">
        <f>IF(COUNTA(A22:G22)=0,"",IF(G22&lt;&gt;"",G22,IF(B22="","",IFERROR(IF(INDEX(pr_rate,MATCH(B22,pr_code,0))="","",INDEX(pr_rate,MATCH(B22,pr_code,0))),""))))</f>
        <v/>
      </c>
      <c r="L22" s="65" t="str">
        <f>IF(COUNTA(A22:G22)=0,"",IF(AND(ISNUMBER(D22),ISNUMBER(J22)),ROUND(D22*J22*(1-N(F22)),2),0))</f>
        <v/>
      </c>
      <c r="M22" s="62" t="str">
        <f>IF(A22="","",IFERROR(INDEX(dv_cname,MATCH(A22,dv_num,0))&amp;"",""))</f>
        <v/>
      </c>
      <c r="N22" s="59" t="str">
        <f>IF(COUNTA(A22:G22)=0,"",IF(A22="","N° devis manquant",IF(ISNA(MATCH(A22,dv_num,0)),"Devis inconnu",IF(AND(B22&lt;&gt;"",ISNA(MATCH(B22,pr_code,0))),"Article inconnu",IF(H22="","Désignation manquante",IF(OR(NOT(ISNUMBER(D22)),N(D22)&lt;=0),"Quantité invalide",IF(J22="","Prix manquant",IF(OR(NOT(ISNUMBER(J22)),N(J22)&lt;0),"Prix invalide",IF(OR(AND(F22&lt;&gt;"",NOT(ISNUMBER(F22))),N(F22)&lt;0,N(F22)&gt;1),"Remise invalide",IF(K22="","Taux de TVA manquant",IF(NOT(ISNUMBER(K22)),"Taux de TVA invalide",IF(COUNTIF(p_rates,K22)=0,"Taux de TVA hors liste (Paramètres)",IF(N(O22)&gt;25,"Au-delà de 25 lignes : non imprimée","OK")))))))))))))</f>
        <v/>
      </c>
      <c r="O22" s="59" t="str">
        <f>IF(A22="","",COUNTIF($A$6:A22,A22))</f>
        <v/>
      </c>
      <c r="P22" s="62" t="str">
        <f>IF(A22="","",A22&amp;"|"&amp;O22)</f>
        <v/>
      </c>
    </row>
    <row r="23">
      <c r="A23" s="60" t="n"/>
      <c r="B23" s="63" t="n"/>
      <c r="C23" s="63" t="n"/>
      <c r="D23" s="67" t="n"/>
      <c r="E23" s="68" t="n"/>
      <c r="F23" s="69" t="n"/>
      <c r="G23" s="70" t="n"/>
      <c r="H23" s="62" t="str">
        <f>IF(COUNTA(A23:G23)=0,"",IF(C23&lt;&gt;"",C23,IF(B23="","",IFERROR(INDEX(pr_des,MATCH(B23,pr_code,0))&amp;"",""))))</f>
        <v/>
      </c>
      <c r="I23" s="59" t="str">
        <f>IF(B23="","",IFERROR(INDEX(pr_unit,MATCH(B23,pr_code,0))&amp;"",""))</f>
        <v/>
      </c>
      <c r="J23" s="65" t="str">
        <f>IF(COUNTA(A23:G23)=0,"",IF(E23&lt;&gt;"",E23,IF(B23="","",IFERROR(IF(INDEX(pr_price,MATCH(B23,pr_code,0))="","",INDEX(pr_price,MATCH(B23,pr_code,0))),""))))</f>
        <v/>
      </c>
      <c r="K23" s="71" t="str">
        <f>IF(COUNTA(A23:G23)=0,"",IF(G23&lt;&gt;"",G23,IF(B23="","",IFERROR(IF(INDEX(pr_rate,MATCH(B23,pr_code,0))="","",INDEX(pr_rate,MATCH(B23,pr_code,0))),""))))</f>
        <v/>
      </c>
      <c r="L23" s="65" t="str">
        <f>IF(COUNTA(A23:G23)=0,"",IF(AND(ISNUMBER(D23),ISNUMBER(J23)),ROUND(D23*J23*(1-N(F23)),2),0))</f>
        <v/>
      </c>
      <c r="M23" s="62" t="str">
        <f>IF(A23="","",IFERROR(INDEX(dv_cname,MATCH(A23,dv_num,0))&amp;"",""))</f>
        <v/>
      </c>
      <c r="N23" s="59" t="str">
        <f>IF(COUNTA(A23:G23)=0,"",IF(A23="","N° devis manquant",IF(ISNA(MATCH(A23,dv_num,0)),"Devis inconnu",IF(AND(B23&lt;&gt;"",ISNA(MATCH(B23,pr_code,0))),"Article inconnu",IF(H23="","Désignation manquante",IF(OR(NOT(ISNUMBER(D23)),N(D23)&lt;=0),"Quantité invalide",IF(J23="","Prix manquant",IF(OR(NOT(ISNUMBER(J23)),N(J23)&lt;0),"Prix invalide",IF(OR(AND(F23&lt;&gt;"",NOT(ISNUMBER(F23))),N(F23)&lt;0,N(F23)&gt;1),"Remise invalide",IF(K23="","Taux de TVA manquant",IF(NOT(ISNUMBER(K23)),"Taux de TVA invalide",IF(COUNTIF(p_rates,K23)=0,"Taux de TVA hors liste (Paramètres)",IF(N(O23)&gt;25,"Au-delà de 25 lignes : non imprimée","OK")))))))))))))</f>
        <v/>
      </c>
      <c r="O23" s="59" t="str">
        <f>IF(A23="","",COUNTIF($A$6:A23,A23))</f>
        <v/>
      </c>
      <c r="P23" s="62" t="str">
        <f>IF(A23="","",A23&amp;"|"&amp;O23)</f>
        <v/>
      </c>
    </row>
    <row r="24">
      <c r="A24" s="60" t="n"/>
      <c r="B24" s="63" t="n"/>
      <c r="C24" s="63" t="n"/>
      <c r="D24" s="67" t="n"/>
      <c r="E24" s="68" t="n"/>
      <c r="F24" s="69" t="n"/>
      <c r="G24" s="70" t="n"/>
      <c r="H24" s="62" t="str">
        <f>IF(COUNTA(A24:G24)=0,"",IF(C24&lt;&gt;"",C24,IF(B24="","",IFERROR(INDEX(pr_des,MATCH(B24,pr_code,0))&amp;"",""))))</f>
        <v/>
      </c>
      <c r="I24" s="59" t="str">
        <f>IF(B24="","",IFERROR(INDEX(pr_unit,MATCH(B24,pr_code,0))&amp;"",""))</f>
        <v/>
      </c>
      <c r="J24" s="65" t="str">
        <f>IF(COUNTA(A24:G24)=0,"",IF(E24&lt;&gt;"",E24,IF(B24="","",IFERROR(IF(INDEX(pr_price,MATCH(B24,pr_code,0))="","",INDEX(pr_price,MATCH(B24,pr_code,0))),""))))</f>
        <v/>
      </c>
      <c r="K24" s="71" t="str">
        <f>IF(COUNTA(A24:G24)=0,"",IF(G24&lt;&gt;"",G24,IF(B24="","",IFERROR(IF(INDEX(pr_rate,MATCH(B24,pr_code,0))="","",INDEX(pr_rate,MATCH(B24,pr_code,0))),""))))</f>
        <v/>
      </c>
      <c r="L24" s="65" t="str">
        <f>IF(COUNTA(A24:G24)=0,"",IF(AND(ISNUMBER(D24),ISNUMBER(J24)),ROUND(D24*J24*(1-N(F24)),2),0))</f>
        <v/>
      </c>
      <c r="M24" s="62" t="str">
        <f>IF(A24="","",IFERROR(INDEX(dv_cname,MATCH(A24,dv_num,0))&amp;"",""))</f>
        <v/>
      </c>
      <c r="N24" s="59" t="str">
        <f>IF(COUNTA(A24:G24)=0,"",IF(A24="","N° devis manquant",IF(ISNA(MATCH(A24,dv_num,0)),"Devis inconnu",IF(AND(B24&lt;&gt;"",ISNA(MATCH(B24,pr_code,0))),"Article inconnu",IF(H24="","Désignation manquante",IF(OR(NOT(ISNUMBER(D24)),N(D24)&lt;=0),"Quantité invalide",IF(J24="","Prix manquant",IF(OR(NOT(ISNUMBER(J24)),N(J24)&lt;0),"Prix invalide",IF(OR(AND(F24&lt;&gt;"",NOT(ISNUMBER(F24))),N(F24)&lt;0,N(F24)&gt;1),"Remise invalide",IF(K24="","Taux de TVA manquant",IF(NOT(ISNUMBER(K24)),"Taux de TVA invalide",IF(COUNTIF(p_rates,K24)=0,"Taux de TVA hors liste (Paramètres)",IF(N(O24)&gt;25,"Au-delà de 25 lignes : non imprimée","OK")))))))))))))</f>
        <v/>
      </c>
      <c r="O24" s="59" t="str">
        <f>IF(A24="","",COUNTIF($A$6:A24,A24))</f>
        <v/>
      </c>
      <c r="P24" s="62" t="str">
        <f>IF(A24="","",A24&amp;"|"&amp;O24)</f>
        <v/>
      </c>
    </row>
    <row r="25">
      <c r="A25" s="60" t="n"/>
      <c r="B25" s="63" t="n"/>
      <c r="C25" s="63" t="n"/>
      <c r="D25" s="67" t="n"/>
      <c r="E25" s="68" t="n"/>
      <c r="F25" s="69" t="n"/>
      <c r="G25" s="70" t="n"/>
      <c r="H25" s="62" t="str">
        <f>IF(COUNTA(A25:G25)=0,"",IF(C25&lt;&gt;"",C25,IF(B25="","",IFERROR(INDEX(pr_des,MATCH(B25,pr_code,0))&amp;"",""))))</f>
        <v/>
      </c>
      <c r="I25" s="59" t="str">
        <f>IF(B25="","",IFERROR(INDEX(pr_unit,MATCH(B25,pr_code,0))&amp;"",""))</f>
        <v/>
      </c>
      <c r="J25" s="65" t="str">
        <f>IF(COUNTA(A25:G25)=0,"",IF(E25&lt;&gt;"",E25,IF(B25="","",IFERROR(IF(INDEX(pr_price,MATCH(B25,pr_code,0))="","",INDEX(pr_price,MATCH(B25,pr_code,0))),""))))</f>
        <v/>
      </c>
      <c r="K25" s="71" t="str">
        <f>IF(COUNTA(A25:G25)=0,"",IF(G25&lt;&gt;"",G25,IF(B25="","",IFERROR(IF(INDEX(pr_rate,MATCH(B25,pr_code,0))="","",INDEX(pr_rate,MATCH(B25,pr_code,0))),""))))</f>
        <v/>
      </c>
      <c r="L25" s="65" t="str">
        <f>IF(COUNTA(A25:G25)=0,"",IF(AND(ISNUMBER(D25),ISNUMBER(J25)),ROUND(D25*J25*(1-N(F25)),2),0))</f>
        <v/>
      </c>
      <c r="M25" s="62" t="str">
        <f>IF(A25="","",IFERROR(INDEX(dv_cname,MATCH(A25,dv_num,0))&amp;"",""))</f>
        <v/>
      </c>
      <c r="N25" s="59" t="str">
        <f>IF(COUNTA(A25:G25)=0,"",IF(A25="","N° devis manquant",IF(ISNA(MATCH(A25,dv_num,0)),"Devis inconnu",IF(AND(B25&lt;&gt;"",ISNA(MATCH(B25,pr_code,0))),"Article inconnu",IF(H25="","Désignation manquante",IF(OR(NOT(ISNUMBER(D25)),N(D25)&lt;=0),"Quantité invalide",IF(J25="","Prix manquant",IF(OR(NOT(ISNUMBER(J25)),N(J25)&lt;0),"Prix invalide",IF(OR(AND(F25&lt;&gt;"",NOT(ISNUMBER(F25))),N(F25)&lt;0,N(F25)&gt;1),"Remise invalide",IF(K25="","Taux de TVA manquant",IF(NOT(ISNUMBER(K25)),"Taux de TVA invalide",IF(COUNTIF(p_rates,K25)=0,"Taux de TVA hors liste (Paramètres)",IF(N(O25)&gt;25,"Au-delà de 25 lignes : non imprimée","OK")))))))))))))</f>
        <v/>
      </c>
      <c r="O25" s="59" t="str">
        <f>IF(A25="","",COUNTIF($A$6:A25,A25))</f>
        <v/>
      </c>
      <c r="P25" s="62" t="str">
        <f>IF(A25="","",A25&amp;"|"&amp;O25)</f>
        <v/>
      </c>
    </row>
    <row r="26">
      <c r="A26" s="60" t="n"/>
      <c r="B26" s="63" t="n"/>
      <c r="C26" s="63" t="n"/>
      <c r="D26" s="67" t="n"/>
      <c r="E26" s="68" t="n"/>
      <c r="F26" s="69" t="n"/>
      <c r="G26" s="70" t="n"/>
      <c r="H26" s="62" t="str">
        <f>IF(COUNTA(A26:G26)=0,"",IF(C26&lt;&gt;"",C26,IF(B26="","",IFERROR(INDEX(pr_des,MATCH(B26,pr_code,0))&amp;"",""))))</f>
        <v/>
      </c>
      <c r="I26" s="59" t="str">
        <f>IF(B26="","",IFERROR(INDEX(pr_unit,MATCH(B26,pr_code,0))&amp;"",""))</f>
        <v/>
      </c>
      <c r="J26" s="65" t="str">
        <f>IF(COUNTA(A26:G26)=0,"",IF(E26&lt;&gt;"",E26,IF(B26="","",IFERROR(IF(INDEX(pr_price,MATCH(B26,pr_code,0))="","",INDEX(pr_price,MATCH(B26,pr_code,0))),""))))</f>
        <v/>
      </c>
      <c r="K26" s="71" t="str">
        <f>IF(COUNTA(A26:G26)=0,"",IF(G26&lt;&gt;"",G26,IF(B26="","",IFERROR(IF(INDEX(pr_rate,MATCH(B26,pr_code,0))="","",INDEX(pr_rate,MATCH(B26,pr_code,0))),""))))</f>
        <v/>
      </c>
      <c r="L26" s="65" t="str">
        <f>IF(COUNTA(A26:G26)=0,"",IF(AND(ISNUMBER(D26),ISNUMBER(J26)),ROUND(D26*J26*(1-N(F26)),2),0))</f>
        <v/>
      </c>
      <c r="M26" s="62" t="str">
        <f>IF(A26="","",IFERROR(INDEX(dv_cname,MATCH(A26,dv_num,0))&amp;"",""))</f>
        <v/>
      </c>
      <c r="N26" s="59" t="str">
        <f>IF(COUNTA(A26:G26)=0,"",IF(A26="","N° devis manquant",IF(ISNA(MATCH(A26,dv_num,0)),"Devis inconnu",IF(AND(B26&lt;&gt;"",ISNA(MATCH(B26,pr_code,0))),"Article inconnu",IF(H26="","Désignation manquante",IF(OR(NOT(ISNUMBER(D26)),N(D26)&lt;=0),"Quantité invalide",IF(J26="","Prix manquant",IF(OR(NOT(ISNUMBER(J26)),N(J26)&lt;0),"Prix invalide",IF(OR(AND(F26&lt;&gt;"",NOT(ISNUMBER(F26))),N(F26)&lt;0,N(F26)&gt;1),"Remise invalide",IF(K26="","Taux de TVA manquant",IF(NOT(ISNUMBER(K26)),"Taux de TVA invalide",IF(COUNTIF(p_rates,K26)=0,"Taux de TVA hors liste (Paramètres)",IF(N(O26)&gt;25,"Au-delà de 25 lignes : non imprimée","OK")))))))))))))</f>
        <v/>
      </c>
      <c r="O26" s="59" t="str">
        <f>IF(A26="","",COUNTIF($A$6:A26,A26))</f>
        <v/>
      </c>
      <c r="P26" s="62" t="str">
        <f>IF(A26="","",A26&amp;"|"&amp;O26)</f>
        <v/>
      </c>
    </row>
    <row r="27">
      <c r="A27" s="60" t="n"/>
      <c r="B27" s="63" t="n"/>
      <c r="C27" s="63" t="n"/>
      <c r="D27" s="67" t="n"/>
      <c r="E27" s="68" t="n"/>
      <c r="F27" s="69" t="n"/>
      <c r="G27" s="70" t="n"/>
      <c r="H27" s="62" t="str">
        <f>IF(COUNTA(A27:G27)=0,"",IF(C27&lt;&gt;"",C27,IF(B27="","",IFERROR(INDEX(pr_des,MATCH(B27,pr_code,0))&amp;"",""))))</f>
        <v/>
      </c>
      <c r="I27" s="59" t="str">
        <f>IF(B27="","",IFERROR(INDEX(pr_unit,MATCH(B27,pr_code,0))&amp;"",""))</f>
        <v/>
      </c>
      <c r="J27" s="65" t="str">
        <f>IF(COUNTA(A27:G27)=0,"",IF(E27&lt;&gt;"",E27,IF(B27="","",IFERROR(IF(INDEX(pr_price,MATCH(B27,pr_code,0))="","",INDEX(pr_price,MATCH(B27,pr_code,0))),""))))</f>
        <v/>
      </c>
      <c r="K27" s="71" t="str">
        <f>IF(COUNTA(A27:G27)=0,"",IF(G27&lt;&gt;"",G27,IF(B27="","",IFERROR(IF(INDEX(pr_rate,MATCH(B27,pr_code,0))="","",INDEX(pr_rate,MATCH(B27,pr_code,0))),""))))</f>
        <v/>
      </c>
      <c r="L27" s="65" t="str">
        <f>IF(COUNTA(A27:G27)=0,"",IF(AND(ISNUMBER(D27),ISNUMBER(J27)),ROUND(D27*J27*(1-N(F27)),2),0))</f>
        <v/>
      </c>
      <c r="M27" s="62" t="str">
        <f>IF(A27="","",IFERROR(INDEX(dv_cname,MATCH(A27,dv_num,0))&amp;"",""))</f>
        <v/>
      </c>
      <c r="N27" s="59" t="str">
        <f>IF(COUNTA(A27:G27)=0,"",IF(A27="","N° devis manquant",IF(ISNA(MATCH(A27,dv_num,0)),"Devis inconnu",IF(AND(B27&lt;&gt;"",ISNA(MATCH(B27,pr_code,0))),"Article inconnu",IF(H27="","Désignation manquante",IF(OR(NOT(ISNUMBER(D27)),N(D27)&lt;=0),"Quantité invalide",IF(J27="","Prix manquant",IF(OR(NOT(ISNUMBER(J27)),N(J27)&lt;0),"Prix invalide",IF(OR(AND(F27&lt;&gt;"",NOT(ISNUMBER(F27))),N(F27)&lt;0,N(F27)&gt;1),"Remise invalide",IF(K27="","Taux de TVA manquant",IF(NOT(ISNUMBER(K27)),"Taux de TVA invalide",IF(COUNTIF(p_rates,K27)=0,"Taux de TVA hors liste (Paramètres)",IF(N(O27)&gt;25,"Au-delà de 25 lignes : non imprimée","OK")))))))))))))</f>
        <v/>
      </c>
      <c r="O27" s="59" t="str">
        <f>IF(A27="","",COUNTIF($A$6:A27,A27))</f>
        <v/>
      </c>
      <c r="P27" s="62" t="str">
        <f>IF(A27="","",A27&amp;"|"&amp;O27)</f>
        <v/>
      </c>
    </row>
    <row r="28">
      <c r="A28" s="60" t="n"/>
      <c r="B28" s="63" t="n"/>
      <c r="C28" s="63" t="n"/>
      <c r="D28" s="67" t="n"/>
      <c r="E28" s="68" t="n"/>
      <c r="F28" s="69" t="n"/>
      <c r="G28" s="70" t="n"/>
      <c r="H28" s="62" t="str">
        <f>IF(COUNTA(A28:G28)=0,"",IF(C28&lt;&gt;"",C28,IF(B28="","",IFERROR(INDEX(pr_des,MATCH(B28,pr_code,0))&amp;"",""))))</f>
        <v/>
      </c>
      <c r="I28" s="59" t="str">
        <f>IF(B28="","",IFERROR(INDEX(pr_unit,MATCH(B28,pr_code,0))&amp;"",""))</f>
        <v/>
      </c>
      <c r="J28" s="65" t="str">
        <f>IF(COUNTA(A28:G28)=0,"",IF(E28&lt;&gt;"",E28,IF(B28="","",IFERROR(IF(INDEX(pr_price,MATCH(B28,pr_code,0))="","",INDEX(pr_price,MATCH(B28,pr_code,0))),""))))</f>
        <v/>
      </c>
      <c r="K28" s="71" t="str">
        <f>IF(COUNTA(A28:G28)=0,"",IF(G28&lt;&gt;"",G28,IF(B28="","",IFERROR(IF(INDEX(pr_rate,MATCH(B28,pr_code,0))="","",INDEX(pr_rate,MATCH(B28,pr_code,0))),""))))</f>
        <v/>
      </c>
      <c r="L28" s="65" t="str">
        <f>IF(COUNTA(A28:G28)=0,"",IF(AND(ISNUMBER(D28),ISNUMBER(J28)),ROUND(D28*J28*(1-N(F28)),2),0))</f>
        <v/>
      </c>
      <c r="M28" s="62" t="str">
        <f>IF(A28="","",IFERROR(INDEX(dv_cname,MATCH(A28,dv_num,0))&amp;"",""))</f>
        <v/>
      </c>
      <c r="N28" s="59" t="str">
        <f>IF(COUNTA(A28:G28)=0,"",IF(A28="","N° devis manquant",IF(ISNA(MATCH(A28,dv_num,0)),"Devis inconnu",IF(AND(B28&lt;&gt;"",ISNA(MATCH(B28,pr_code,0))),"Article inconnu",IF(H28="","Désignation manquante",IF(OR(NOT(ISNUMBER(D28)),N(D28)&lt;=0),"Quantité invalide",IF(J28="","Prix manquant",IF(OR(NOT(ISNUMBER(J28)),N(J28)&lt;0),"Prix invalide",IF(OR(AND(F28&lt;&gt;"",NOT(ISNUMBER(F28))),N(F28)&lt;0,N(F28)&gt;1),"Remise invalide",IF(K28="","Taux de TVA manquant",IF(NOT(ISNUMBER(K28)),"Taux de TVA invalide",IF(COUNTIF(p_rates,K28)=0,"Taux de TVA hors liste (Paramètres)",IF(N(O28)&gt;25,"Au-delà de 25 lignes : non imprimée","OK")))))))))))))</f>
        <v/>
      </c>
      <c r="O28" s="59" t="str">
        <f>IF(A28="","",COUNTIF($A$6:A28,A28))</f>
        <v/>
      </c>
      <c r="P28" s="62" t="str">
        <f>IF(A28="","",A28&amp;"|"&amp;O28)</f>
        <v/>
      </c>
    </row>
    <row r="29">
      <c r="A29" s="60" t="n"/>
      <c r="B29" s="63" t="n"/>
      <c r="C29" s="63" t="n"/>
      <c r="D29" s="67" t="n"/>
      <c r="E29" s="68" t="n"/>
      <c r="F29" s="69" t="n"/>
      <c r="G29" s="70" t="n"/>
      <c r="H29" s="62" t="str">
        <f>IF(COUNTA(A29:G29)=0,"",IF(C29&lt;&gt;"",C29,IF(B29="","",IFERROR(INDEX(pr_des,MATCH(B29,pr_code,0))&amp;"",""))))</f>
        <v/>
      </c>
      <c r="I29" s="59" t="str">
        <f>IF(B29="","",IFERROR(INDEX(pr_unit,MATCH(B29,pr_code,0))&amp;"",""))</f>
        <v/>
      </c>
      <c r="J29" s="65" t="str">
        <f>IF(COUNTA(A29:G29)=0,"",IF(E29&lt;&gt;"",E29,IF(B29="","",IFERROR(IF(INDEX(pr_price,MATCH(B29,pr_code,0))="","",INDEX(pr_price,MATCH(B29,pr_code,0))),""))))</f>
        <v/>
      </c>
      <c r="K29" s="71" t="str">
        <f>IF(COUNTA(A29:G29)=0,"",IF(G29&lt;&gt;"",G29,IF(B29="","",IFERROR(IF(INDEX(pr_rate,MATCH(B29,pr_code,0))="","",INDEX(pr_rate,MATCH(B29,pr_code,0))),""))))</f>
        <v/>
      </c>
      <c r="L29" s="65" t="str">
        <f>IF(COUNTA(A29:G29)=0,"",IF(AND(ISNUMBER(D29),ISNUMBER(J29)),ROUND(D29*J29*(1-N(F29)),2),0))</f>
        <v/>
      </c>
      <c r="M29" s="62" t="str">
        <f>IF(A29="","",IFERROR(INDEX(dv_cname,MATCH(A29,dv_num,0))&amp;"",""))</f>
        <v/>
      </c>
      <c r="N29" s="59" t="str">
        <f>IF(COUNTA(A29:G29)=0,"",IF(A29="","N° devis manquant",IF(ISNA(MATCH(A29,dv_num,0)),"Devis inconnu",IF(AND(B29&lt;&gt;"",ISNA(MATCH(B29,pr_code,0))),"Article inconnu",IF(H29="","Désignation manquante",IF(OR(NOT(ISNUMBER(D29)),N(D29)&lt;=0),"Quantité invalide",IF(J29="","Prix manquant",IF(OR(NOT(ISNUMBER(J29)),N(J29)&lt;0),"Prix invalide",IF(OR(AND(F29&lt;&gt;"",NOT(ISNUMBER(F29))),N(F29)&lt;0,N(F29)&gt;1),"Remise invalide",IF(K29="","Taux de TVA manquant",IF(NOT(ISNUMBER(K29)),"Taux de TVA invalide",IF(COUNTIF(p_rates,K29)=0,"Taux de TVA hors liste (Paramètres)",IF(N(O29)&gt;25,"Au-delà de 25 lignes : non imprimée","OK")))))))))))))</f>
        <v/>
      </c>
      <c r="O29" s="59" t="str">
        <f>IF(A29="","",COUNTIF($A$6:A29,A29))</f>
        <v/>
      </c>
      <c r="P29" s="62" t="str">
        <f>IF(A29="","",A29&amp;"|"&amp;O29)</f>
        <v/>
      </c>
    </row>
    <row r="30">
      <c r="A30" s="60" t="n"/>
      <c r="B30" s="63" t="n"/>
      <c r="C30" s="63" t="n"/>
      <c r="D30" s="67" t="n"/>
      <c r="E30" s="68" t="n"/>
      <c r="F30" s="69" t="n"/>
      <c r="G30" s="70" t="n"/>
      <c r="H30" s="62" t="str">
        <f>IF(COUNTA(A30:G30)=0,"",IF(C30&lt;&gt;"",C30,IF(B30="","",IFERROR(INDEX(pr_des,MATCH(B30,pr_code,0))&amp;"",""))))</f>
        <v/>
      </c>
      <c r="I30" s="59" t="str">
        <f>IF(B30="","",IFERROR(INDEX(pr_unit,MATCH(B30,pr_code,0))&amp;"",""))</f>
        <v/>
      </c>
      <c r="J30" s="65" t="str">
        <f>IF(COUNTA(A30:G30)=0,"",IF(E30&lt;&gt;"",E30,IF(B30="","",IFERROR(IF(INDEX(pr_price,MATCH(B30,pr_code,0))="","",INDEX(pr_price,MATCH(B30,pr_code,0))),""))))</f>
        <v/>
      </c>
      <c r="K30" s="71" t="str">
        <f>IF(COUNTA(A30:G30)=0,"",IF(G30&lt;&gt;"",G30,IF(B30="","",IFERROR(IF(INDEX(pr_rate,MATCH(B30,pr_code,0))="","",INDEX(pr_rate,MATCH(B30,pr_code,0))),""))))</f>
        <v/>
      </c>
      <c r="L30" s="65" t="str">
        <f>IF(COUNTA(A30:G30)=0,"",IF(AND(ISNUMBER(D30),ISNUMBER(J30)),ROUND(D30*J30*(1-N(F30)),2),0))</f>
        <v/>
      </c>
      <c r="M30" s="62" t="str">
        <f>IF(A30="","",IFERROR(INDEX(dv_cname,MATCH(A30,dv_num,0))&amp;"",""))</f>
        <v/>
      </c>
      <c r="N30" s="59" t="str">
        <f>IF(COUNTA(A30:G30)=0,"",IF(A30="","N° devis manquant",IF(ISNA(MATCH(A30,dv_num,0)),"Devis inconnu",IF(AND(B30&lt;&gt;"",ISNA(MATCH(B30,pr_code,0))),"Article inconnu",IF(H30="","Désignation manquante",IF(OR(NOT(ISNUMBER(D30)),N(D30)&lt;=0),"Quantité invalide",IF(J30="","Prix manquant",IF(OR(NOT(ISNUMBER(J30)),N(J30)&lt;0),"Prix invalide",IF(OR(AND(F30&lt;&gt;"",NOT(ISNUMBER(F30))),N(F30)&lt;0,N(F30)&gt;1),"Remise invalide",IF(K30="","Taux de TVA manquant",IF(NOT(ISNUMBER(K30)),"Taux de TVA invalide",IF(COUNTIF(p_rates,K30)=0,"Taux de TVA hors liste (Paramètres)",IF(N(O30)&gt;25,"Au-delà de 25 lignes : non imprimée","OK")))))))))))))</f>
        <v/>
      </c>
      <c r="O30" s="59" t="str">
        <f>IF(A30="","",COUNTIF($A$6:A30,A30))</f>
        <v/>
      </c>
      <c r="P30" s="62" t="str">
        <f>IF(A30="","",A30&amp;"|"&amp;O30)</f>
        <v/>
      </c>
    </row>
    <row r="31">
      <c r="A31" s="60" t="n"/>
      <c r="B31" s="63" t="n"/>
      <c r="C31" s="63" t="n"/>
      <c r="D31" s="67" t="n"/>
      <c r="E31" s="68" t="n"/>
      <c r="F31" s="69" t="n"/>
      <c r="G31" s="70" t="n"/>
      <c r="H31" s="62" t="str">
        <f>IF(COUNTA(A31:G31)=0,"",IF(C31&lt;&gt;"",C31,IF(B31="","",IFERROR(INDEX(pr_des,MATCH(B31,pr_code,0))&amp;"",""))))</f>
        <v/>
      </c>
      <c r="I31" s="59" t="str">
        <f>IF(B31="","",IFERROR(INDEX(pr_unit,MATCH(B31,pr_code,0))&amp;"",""))</f>
        <v/>
      </c>
      <c r="J31" s="65" t="str">
        <f>IF(COUNTA(A31:G31)=0,"",IF(E31&lt;&gt;"",E31,IF(B31="","",IFERROR(IF(INDEX(pr_price,MATCH(B31,pr_code,0))="","",INDEX(pr_price,MATCH(B31,pr_code,0))),""))))</f>
        <v/>
      </c>
      <c r="K31" s="71" t="str">
        <f>IF(COUNTA(A31:G31)=0,"",IF(G31&lt;&gt;"",G31,IF(B31="","",IFERROR(IF(INDEX(pr_rate,MATCH(B31,pr_code,0))="","",INDEX(pr_rate,MATCH(B31,pr_code,0))),""))))</f>
        <v/>
      </c>
      <c r="L31" s="65" t="str">
        <f>IF(COUNTA(A31:G31)=0,"",IF(AND(ISNUMBER(D31),ISNUMBER(J31)),ROUND(D31*J31*(1-N(F31)),2),0))</f>
        <v/>
      </c>
      <c r="M31" s="62" t="str">
        <f>IF(A31="","",IFERROR(INDEX(dv_cname,MATCH(A31,dv_num,0))&amp;"",""))</f>
        <v/>
      </c>
      <c r="N31" s="59" t="str">
        <f>IF(COUNTA(A31:G31)=0,"",IF(A31="","N° devis manquant",IF(ISNA(MATCH(A31,dv_num,0)),"Devis inconnu",IF(AND(B31&lt;&gt;"",ISNA(MATCH(B31,pr_code,0))),"Article inconnu",IF(H31="","Désignation manquante",IF(OR(NOT(ISNUMBER(D31)),N(D31)&lt;=0),"Quantité invalide",IF(J31="","Prix manquant",IF(OR(NOT(ISNUMBER(J31)),N(J31)&lt;0),"Prix invalide",IF(OR(AND(F31&lt;&gt;"",NOT(ISNUMBER(F31))),N(F31)&lt;0,N(F31)&gt;1),"Remise invalide",IF(K31="","Taux de TVA manquant",IF(NOT(ISNUMBER(K31)),"Taux de TVA invalide",IF(COUNTIF(p_rates,K31)=0,"Taux de TVA hors liste (Paramètres)",IF(N(O31)&gt;25,"Au-delà de 25 lignes : non imprimée","OK")))))))))))))</f>
        <v/>
      </c>
      <c r="O31" s="59" t="str">
        <f>IF(A31="","",COUNTIF($A$6:A31,A31))</f>
        <v/>
      </c>
      <c r="P31" s="62" t="str">
        <f>IF(A31="","",A31&amp;"|"&amp;O31)</f>
        <v/>
      </c>
    </row>
    <row r="32">
      <c r="A32" s="60" t="n"/>
      <c r="B32" s="63" t="n"/>
      <c r="C32" s="63" t="n"/>
      <c r="D32" s="67" t="n"/>
      <c r="E32" s="68" t="n"/>
      <c r="F32" s="69" t="n"/>
      <c r="G32" s="70" t="n"/>
      <c r="H32" s="62" t="str">
        <f>IF(COUNTA(A32:G32)=0,"",IF(C32&lt;&gt;"",C32,IF(B32="","",IFERROR(INDEX(pr_des,MATCH(B32,pr_code,0))&amp;"",""))))</f>
        <v/>
      </c>
      <c r="I32" s="59" t="str">
        <f>IF(B32="","",IFERROR(INDEX(pr_unit,MATCH(B32,pr_code,0))&amp;"",""))</f>
        <v/>
      </c>
      <c r="J32" s="65" t="str">
        <f>IF(COUNTA(A32:G32)=0,"",IF(E32&lt;&gt;"",E32,IF(B32="","",IFERROR(IF(INDEX(pr_price,MATCH(B32,pr_code,0))="","",INDEX(pr_price,MATCH(B32,pr_code,0))),""))))</f>
        <v/>
      </c>
      <c r="K32" s="71" t="str">
        <f>IF(COUNTA(A32:G32)=0,"",IF(G32&lt;&gt;"",G32,IF(B32="","",IFERROR(IF(INDEX(pr_rate,MATCH(B32,pr_code,0))="","",INDEX(pr_rate,MATCH(B32,pr_code,0))),""))))</f>
        <v/>
      </c>
      <c r="L32" s="65" t="str">
        <f>IF(COUNTA(A32:G32)=0,"",IF(AND(ISNUMBER(D32),ISNUMBER(J32)),ROUND(D32*J32*(1-N(F32)),2),0))</f>
        <v/>
      </c>
      <c r="M32" s="62" t="str">
        <f>IF(A32="","",IFERROR(INDEX(dv_cname,MATCH(A32,dv_num,0))&amp;"",""))</f>
        <v/>
      </c>
      <c r="N32" s="59" t="str">
        <f>IF(COUNTA(A32:G32)=0,"",IF(A32="","N° devis manquant",IF(ISNA(MATCH(A32,dv_num,0)),"Devis inconnu",IF(AND(B32&lt;&gt;"",ISNA(MATCH(B32,pr_code,0))),"Article inconnu",IF(H32="","Désignation manquante",IF(OR(NOT(ISNUMBER(D32)),N(D32)&lt;=0),"Quantité invalide",IF(J32="","Prix manquant",IF(OR(NOT(ISNUMBER(J32)),N(J32)&lt;0),"Prix invalide",IF(OR(AND(F32&lt;&gt;"",NOT(ISNUMBER(F32))),N(F32)&lt;0,N(F32)&gt;1),"Remise invalide",IF(K32="","Taux de TVA manquant",IF(NOT(ISNUMBER(K32)),"Taux de TVA invalide",IF(COUNTIF(p_rates,K32)=0,"Taux de TVA hors liste (Paramètres)",IF(N(O32)&gt;25,"Au-delà de 25 lignes : non imprimée","OK")))))))))))))</f>
        <v/>
      </c>
      <c r="O32" s="59" t="str">
        <f>IF(A32="","",COUNTIF($A$6:A32,A32))</f>
        <v/>
      </c>
      <c r="P32" s="62" t="str">
        <f>IF(A32="","",A32&amp;"|"&amp;O32)</f>
        <v/>
      </c>
    </row>
    <row r="33">
      <c r="A33" s="60" t="n"/>
      <c r="B33" s="63" t="n"/>
      <c r="C33" s="63" t="n"/>
      <c r="D33" s="67" t="n"/>
      <c r="E33" s="68" t="n"/>
      <c r="F33" s="69" t="n"/>
      <c r="G33" s="70" t="n"/>
      <c r="H33" s="62" t="str">
        <f>IF(COUNTA(A33:G33)=0,"",IF(C33&lt;&gt;"",C33,IF(B33="","",IFERROR(INDEX(pr_des,MATCH(B33,pr_code,0))&amp;"",""))))</f>
        <v/>
      </c>
      <c r="I33" s="59" t="str">
        <f>IF(B33="","",IFERROR(INDEX(pr_unit,MATCH(B33,pr_code,0))&amp;"",""))</f>
        <v/>
      </c>
      <c r="J33" s="65" t="str">
        <f>IF(COUNTA(A33:G33)=0,"",IF(E33&lt;&gt;"",E33,IF(B33="","",IFERROR(IF(INDEX(pr_price,MATCH(B33,pr_code,0))="","",INDEX(pr_price,MATCH(B33,pr_code,0))),""))))</f>
        <v/>
      </c>
      <c r="K33" s="71" t="str">
        <f>IF(COUNTA(A33:G33)=0,"",IF(G33&lt;&gt;"",G33,IF(B33="","",IFERROR(IF(INDEX(pr_rate,MATCH(B33,pr_code,0))="","",INDEX(pr_rate,MATCH(B33,pr_code,0))),""))))</f>
        <v/>
      </c>
      <c r="L33" s="65" t="str">
        <f>IF(COUNTA(A33:G33)=0,"",IF(AND(ISNUMBER(D33),ISNUMBER(J33)),ROUND(D33*J33*(1-N(F33)),2),0))</f>
        <v/>
      </c>
      <c r="M33" s="62" t="str">
        <f>IF(A33="","",IFERROR(INDEX(dv_cname,MATCH(A33,dv_num,0))&amp;"",""))</f>
        <v/>
      </c>
      <c r="N33" s="59" t="str">
        <f>IF(COUNTA(A33:G33)=0,"",IF(A33="","N° devis manquant",IF(ISNA(MATCH(A33,dv_num,0)),"Devis inconnu",IF(AND(B33&lt;&gt;"",ISNA(MATCH(B33,pr_code,0))),"Article inconnu",IF(H33="","Désignation manquante",IF(OR(NOT(ISNUMBER(D33)),N(D33)&lt;=0),"Quantité invalide",IF(J33="","Prix manquant",IF(OR(NOT(ISNUMBER(J33)),N(J33)&lt;0),"Prix invalide",IF(OR(AND(F33&lt;&gt;"",NOT(ISNUMBER(F33))),N(F33)&lt;0,N(F33)&gt;1),"Remise invalide",IF(K33="","Taux de TVA manquant",IF(NOT(ISNUMBER(K33)),"Taux de TVA invalide",IF(COUNTIF(p_rates,K33)=0,"Taux de TVA hors liste (Paramètres)",IF(N(O33)&gt;25,"Au-delà de 25 lignes : non imprimée","OK")))))))))))))</f>
        <v/>
      </c>
      <c r="O33" s="59" t="str">
        <f>IF(A33="","",COUNTIF($A$6:A33,A33))</f>
        <v/>
      </c>
      <c r="P33" s="62" t="str">
        <f>IF(A33="","",A33&amp;"|"&amp;O33)</f>
        <v/>
      </c>
    </row>
    <row r="34">
      <c r="A34" s="60" t="n"/>
      <c r="B34" s="63" t="n"/>
      <c r="C34" s="63" t="n"/>
      <c r="D34" s="67" t="n"/>
      <c r="E34" s="68" t="n"/>
      <c r="F34" s="69" t="n"/>
      <c r="G34" s="70" t="n"/>
      <c r="H34" s="62" t="str">
        <f>IF(COUNTA(A34:G34)=0,"",IF(C34&lt;&gt;"",C34,IF(B34="","",IFERROR(INDEX(pr_des,MATCH(B34,pr_code,0))&amp;"",""))))</f>
        <v/>
      </c>
      <c r="I34" s="59" t="str">
        <f>IF(B34="","",IFERROR(INDEX(pr_unit,MATCH(B34,pr_code,0))&amp;"",""))</f>
        <v/>
      </c>
      <c r="J34" s="65" t="str">
        <f>IF(COUNTA(A34:G34)=0,"",IF(E34&lt;&gt;"",E34,IF(B34="","",IFERROR(IF(INDEX(pr_price,MATCH(B34,pr_code,0))="","",INDEX(pr_price,MATCH(B34,pr_code,0))),""))))</f>
        <v/>
      </c>
      <c r="K34" s="71" t="str">
        <f>IF(COUNTA(A34:G34)=0,"",IF(G34&lt;&gt;"",G34,IF(B34="","",IFERROR(IF(INDEX(pr_rate,MATCH(B34,pr_code,0))="","",INDEX(pr_rate,MATCH(B34,pr_code,0))),""))))</f>
        <v/>
      </c>
      <c r="L34" s="65" t="str">
        <f>IF(COUNTA(A34:G34)=0,"",IF(AND(ISNUMBER(D34),ISNUMBER(J34)),ROUND(D34*J34*(1-N(F34)),2),0))</f>
        <v/>
      </c>
      <c r="M34" s="62" t="str">
        <f>IF(A34="","",IFERROR(INDEX(dv_cname,MATCH(A34,dv_num,0))&amp;"",""))</f>
        <v/>
      </c>
      <c r="N34" s="59" t="str">
        <f>IF(COUNTA(A34:G34)=0,"",IF(A34="","N° devis manquant",IF(ISNA(MATCH(A34,dv_num,0)),"Devis inconnu",IF(AND(B34&lt;&gt;"",ISNA(MATCH(B34,pr_code,0))),"Article inconnu",IF(H34="","Désignation manquante",IF(OR(NOT(ISNUMBER(D34)),N(D34)&lt;=0),"Quantité invalide",IF(J34="","Prix manquant",IF(OR(NOT(ISNUMBER(J34)),N(J34)&lt;0),"Prix invalide",IF(OR(AND(F34&lt;&gt;"",NOT(ISNUMBER(F34))),N(F34)&lt;0,N(F34)&gt;1),"Remise invalide",IF(K34="","Taux de TVA manquant",IF(NOT(ISNUMBER(K34)),"Taux de TVA invalide",IF(COUNTIF(p_rates,K34)=0,"Taux de TVA hors liste (Paramètres)",IF(N(O34)&gt;25,"Au-delà de 25 lignes : non imprimée","OK")))))))))))))</f>
        <v/>
      </c>
      <c r="O34" s="59" t="str">
        <f>IF(A34="","",COUNTIF($A$6:A34,A34))</f>
        <v/>
      </c>
      <c r="P34" s="62" t="str">
        <f>IF(A34="","",A34&amp;"|"&amp;O34)</f>
        <v/>
      </c>
    </row>
    <row r="35">
      <c r="A35" s="60" t="n"/>
      <c r="B35" s="63" t="n"/>
      <c r="C35" s="63" t="n"/>
      <c r="D35" s="67" t="n"/>
      <c r="E35" s="68" t="n"/>
      <c r="F35" s="69" t="n"/>
      <c r="G35" s="70" t="n"/>
      <c r="H35" s="62" t="str">
        <f>IF(COUNTA(A35:G35)=0,"",IF(C35&lt;&gt;"",C35,IF(B35="","",IFERROR(INDEX(pr_des,MATCH(B35,pr_code,0))&amp;"",""))))</f>
        <v/>
      </c>
      <c r="I35" s="59" t="str">
        <f>IF(B35="","",IFERROR(INDEX(pr_unit,MATCH(B35,pr_code,0))&amp;"",""))</f>
        <v/>
      </c>
      <c r="J35" s="65" t="str">
        <f>IF(COUNTA(A35:G35)=0,"",IF(E35&lt;&gt;"",E35,IF(B35="","",IFERROR(IF(INDEX(pr_price,MATCH(B35,pr_code,0))="","",INDEX(pr_price,MATCH(B35,pr_code,0))),""))))</f>
        <v/>
      </c>
      <c r="K35" s="71" t="str">
        <f>IF(COUNTA(A35:G35)=0,"",IF(G35&lt;&gt;"",G35,IF(B35="","",IFERROR(IF(INDEX(pr_rate,MATCH(B35,pr_code,0))="","",INDEX(pr_rate,MATCH(B35,pr_code,0))),""))))</f>
        <v/>
      </c>
      <c r="L35" s="65" t="str">
        <f>IF(COUNTA(A35:G35)=0,"",IF(AND(ISNUMBER(D35),ISNUMBER(J35)),ROUND(D35*J35*(1-N(F35)),2),0))</f>
        <v/>
      </c>
      <c r="M35" s="62" t="str">
        <f>IF(A35="","",IFERROR(INDEX(dv_cname,MATCH(A35,dv_num,0))&amp;"",""))</f>
        <v/>
      </c>
      <c r="N35" s="59" t="str">
        <f>IF(COUNTA(A35:G35)=0,"",IF(A35="","N° devis manquant",IF(ISNA(MATCH(A35,dv_num,0)),"Devis inconnu",IF(AND(B35&lt;&gt;"",ISNA(MATCH(B35,pr_code,0))),"Article inconnu",IF(H35="","Désignation manquante",IF(OR(NOT(ISNUMBER(D35)),N(D35)&lt;=0),"Quantité invalide",IF(J35="","Prix manquant",IF(OR(NOT(ISNUMBER(J35)),N(J35)&lt;0),"Prix invalide",IF(OR(AND(F35&lt;&gt;"",NOT(ISNUMBER(F35))),N(F35)&lt;0,N(F35)&gt;1),"Remise invalide",IF(K35="","Taux de TVA manquant",IF(NOT(ISNUMBER(K35)),"Taux de TVA invalide",IF(COUNTIF(p_rates,K35)=0,"Taux de TVA hors liste (Paramètres)",IF(N(O35)&gt;25,"Au-delà de 25 lignes : non imprimée","OK")))))))))))))</f>
        <v/>
      </c>
      <c r="O35" s="59" t="str">
        <f>IF(A35="","",COUNTIF($A$6:A35,A35))</f>
        <v/>
      </c>
      <c r="P35" s="62" t="str">
        <f>IF(A35="","",A35&amp;"|"&amp;O35)</f>
        <v/>
      </c>
    </row>
    <row r="36">
      <c r="A36" s="60" t="n"/>
      <c r="B36" s="63" t="n"/>
      <c r="C36" s="63" t="n"/>
      <c r="D36" s="67" t="n"/>
      <c r="E36" s="68" t="n"/>
      <c r="F36" s="69" t="n"/>
      <c r="G36" s="70" t="n"/>
      <c r="H36" s="62" t="str">
        <f>IF(COUNTA(A36:G36)=0,"",IF(C36&lt;&gt;"",C36,IF(B36="","",IFERROR(INDEX(pr_des,MATCH(B36,pr_code,0))&amp;"",""))))</f>
        <v/>
      </c>
      <c r="I36" s="59" t="str">
        <f>IF(B36="","",IFERROR(INDEX(pr_unit,MATCH(B36,pr_code,0))&amp;"",""))</f>
        <v/>
      </c>
      <c r="J36" s="65" t="str">
        <f>IF(COUNTA(A36:G36)=0,"",IF(E36&lt;&gt;"",E36,IF(B36="","",IFERROR(IF(INDEX(pr_price,MATCH(B36,pr_code,0))="","",INDEX(pr_price,MATCH(B36,pr_code,0))),""))))</f>
        <v/>
      </c>
      <c r="K36" s="71" t="str">
        <f>IF(COUNTA(A36:G36)=0,"",IF(G36&lt;&gt;"",G36,IF(B36="","",IFERROR(IF(INDEX(pr_rate,MATCH(B36,pr_code,0))="","",INDEX(pr_rate,MATCH(B36,pr_code,0))),""))))</f>
        <v/>
      </c>
      <c r="L36" s="65" t="str">
        <f>IF(COUNTA(A36:G36)=0,"",IF(AND(ISNUMBER(D36),ISNUMBER(J36)),ROUND(D36*J36*(1-N(F36)),2),0))</f>
        <v/>
      </c>
      <c r="M36" s="62" t="str">
        <f>IF(A36="","",IFERROR(INDEX(dv_cname,MATCH(A36,dv_num,0))&amp;"",""))</f>
        <v/>
      </c>
      <c r="N36" s="59" t="str">
        <f>IF(COUNTA(A36:G36)=0,"",IF(A36="","N° devis manquant",IF(ISNA(MATCH(A36,dv_num,0)),"Devis inconnu",IF(AND(B36&lt;&gt;"",ISNA(MATCH(B36,pr_code,0))),"Article inconnu",IF(H36="","Désignation manquante",IF(OR(NOT(ISNUMBER(D36)),N(D36)&lt;=0),"Quantité invalide",IF(J36="","Prix manquant",IF(OR(NOT(ISNUMBER(J36)),N(J36)&lt;0),"Prix invalide",IF(OR(AND(F36&lt;&gt;"",NOT(ISNUMBER(F36))),N(F36)&lt;0,N(F36)&gt;1),"Remise invalide",IF(K36="","Taux de TVA manquant",IF(NOT(ISNUMBER(K36)),"Taux de TVA invalide",IF(COUNTIF(p_rates,K36)=0,"Taux de TVA hors liste (Paramètres)",IF(N(O36)&gt;25,"Au-delà de 25 lignes : non imprimée","OK")))))))))))))</f>
        <v/>
      </c>
      <c r="O36" s="59" t="str">
        <f>IF(A36="","",COUNTIF($A$6:A36,A36))</f>
        <v/>
      </c>
      <c r="P36" s="62" t="str">
        <f>IF(A36="","",A36&amp;"|"&amp;O36)</f>
        <v/>
      </c>
    </row>
    <row r="37">
      <c r="A37" s="60" t="n"/>
      <c r="B37" s="63" t="n"/>
      <c r="C37" s="63" t="n"/>
      <c r="D37" s="67" t="n"/>
      <c r="E37" s="68" t="n"/>
      <c r="F37" s="69" t="n"/>
      <c r="G37" s="70" t="n"/>
      <c r="H37" s="62" t="str">
        <f>IF(COUNTA(A37:G37)=0,"",IF(C37&lt;&gt;"",C37,IF(B37="","",IFERROR(INDEX(pr_des,MATCH(B37,pr_code,0))&amp;"",""))))</f>
        <v/>
      </c>
      <c r="I37" s="59" t="str">
        <f>IF(B37="","",IFERROR(INDEX(pr_unit,MATCH(B37,pr_code,0))&amp;"",""))</f>
        <v/>
      </c>
      <c r="J37" s="65" t="str">
        <f>IF(COUNTA(A37:G37)=0,"",IF(E37&lt;&gt;"",E37,IF(B37="","",IFERROR(IF(INDEX(pr_price,MATCH(B37,pr_code,0))="","",INDEX(pr_price,MATCH(B37,pr_code,0))),""))))</f>
        <v/>
      </c>
      <c r="K37" s="71" t="str">
        <f>IF(COUNTA(A37:G37)=0,"",IF(G37&lt;&gt;"",G37,IF(B37="","",IFERROR(IF(INDEX(pr_rate,MATCH(B37,pr_code,0))="","",INDEX(pr_rate,MATCH(B37,pr_code,0))),""))))</f>
        <v/>
      </c>
      <c r="L37" s="65" t="str">
        <f>IF(COUNTA(A37:G37)=0,"",IF(AND(ISNUMBER(D37),ISNUMBER(J37)),ROUND(D37*J37*(1-N(F37)),2),0))</f>
        <v/>
      </c>
      <c r="M37" s="62" t="str">
        <f>IF(A37="","",IFERROR(INDEX(dv_cname,MATCH(A37,dv_num,0))&amp;"",""))</f>
        <v/>
      </c>
      <c r="N37" s="59" t="str">
        <f>IF(COUNTA(A37:G37)=0,"",IF(A37="","N° devis manquant",IF(ISNA(MATCH(A37,dv_num,0)),"Devis inconnu",IF(AND(B37&lt;&gt;"",ISNA(MATCH(B37,pr_code,0))),"Article inconnu",IF(H37="","Désignation manquante",IF(OR(NOT(ISNUMBER(D37)),N(D37)&lt;=0),"Quantité invalide",IF(J37="","Prix manquant",IF(OR(NOT(ISNUMBER(J37)),N(J37)&lt;0),"Prix invalide",IF(OR(AND(F37&lt;&gt;"",NOT(ISNUMBER(F37))),N(F37)&lt;0,N(F37)&gt;1),"Remise invalide",IF(K37="","Taux de TVA manquant",IF(NOT(ISNUMBER(K37)),"Taux de TVA invalide",IF(COUNTIF(p_rates,K37)=0,"Taux de TVA hors liste (Paramètres)",IF(N(O37)&gt;25,"Au-delà de 25 lignes : non imprimée","OK")))))))))))))</f>
        <v/>
      </c>
      <c r="O37" s="59" t="str">
        <f>IF(A37="","",COUNTIF($A$6:A37,A37))</f>
        <v/>
      </c>
      <c r="P37" s="62" t="str">
        <f>IF(A37="","",A37&amp;"|"&amp;O37)</f>
        <v/>
      </c>
    </row>
    <row r="38">
      <c r="A38" s="60" t="n"/>
      <c r="B38" s="63" t="n"/>
      <c r="C38" s="63" t="n"/>
      <c r="D38" s="67" t="n"/>
      <c r="E38" s="68" t="n"/>
      <c r="F38" s="69" t="n"/>
      <c r="G38" s="70" t="n"/>
      <c r="H38" s="62" t="str">
        <f>IF(COUNTA(A38:G38)=0,"",IF(C38&lt;&gt;"",C38,IF(B38="","",IFERROR(INDEX(pr_des,MATCH(B38,pr_code,0))&amp;"",""))))</f>
        <v/>
      </c>
      <c r="I38" s="59" t="str">
        <f>IF(B38="","",IFERROR(INDEX(pr_unit,MATCH(B38,pr_code,0))&amp;"",""))</f>
        <v/>
      </c>
      <c r="J38" s="65" t="str">
        <f>IF(COUNTA(A38:G38)=0,"",IF(E38&lt;&gt;"",E38,IF(B38="","",IFERROR(IF(INDEX(pr_price,MATCH(B38,pr_code,0))="","",INDEX(pr_price,MATCH(B38,pr_code,0))),""))))</f>
        <v/>
      </c>
      <c r="K38" s="71" t="str">
        <f>IF(COUNTA(A38:G38)=0,"",IF(G38&lt;&gt;"",G38,IF(B38="","",IFERROR(IF(INDEX(pr_rate,MATCH(B38,pr_code,0))="","",INDEX(pr_rate,MATCH(B38,pr_code,0))),""))))</f>
        <v/>
      </c>
      <c r="L38" s="65" t="str">
        <f>IF(COUNTA(A38:G38)=0,"",IF(AND(ISNUMBER(D38),ISNUMBER(J38)),ROUND(D38*J38*(1-N(F38)),2),0))</f>
        <v/>
      </c>
      <c r="M38" s="62" t="str">
        <f>IF(A38="","",IFERROR(INDEX(dv_cname,MATCH(A38,dv_num,0))&amp;"",""))</f>
        <v/>
      </c>
      <c r="N38" s="59" t="str">
        <f>IF(COUNTA(A38:G38)=0,"",IF(A38="","N° devis manquant",IF(ISNA(MATCH(A38,dv_num,0)),"Devis inconnu",IF(AND(B38&lt;&gt;"",ISNA(MATCH(B38,pr_code,0))),"Article inconnu",IF(H38="","Désignation manquante",IF(OR(NOT(ISNUMBER(D38)),N(D38)&lt;=0),"Quantité invalide",IF(J38="","Prix manquant",IF(OR(NOT(ISNUMBER(J38)),N(J38)&lt;0),"Prix invalide",IF(OR(AND(F38&lt;&gt;"",NOT(ISNUMBER(F38))),N(F38)&lt;0,N(F38)&gt;1),"Remise invalide",IF(K38="","Taux de TVA manquant",IF(NOT(ISNUMBER(K38)),"Taux de TVA invalide",IF(COUNTIF(p_rates,K38)=0,"Taux de TVA hors liste (Paramètres)",IF(N(O38)&gt;25,"Au-delà de 25 lignes : non imprimée","OK")))))))))))))</f>
        <v/>
      </c>
      <c r="O38" s="59" t="str">
        <f>IF(A38="","",COUNTIF($A$6:A38,A38))</f>
        <v/>
      </c>
      <c r="P38" s="62" t="str">
        <f>IF(A38="","",A38&amp;"|"&amp;O38)</f>
        <v/>
      </c>
    </row>
    <row r="39">
      <c r="A39" s="60" t="n"/>
      <c r="B39" s="63" t="n"/>
      <c r="C39" s="63" t="n"/>
      <c r="D39" s="67" t="n"/>
      <c r="E39" s="68" t="n"/>
      <c r="F39" s="69" t="n"/>
      <c r="G39" s="70" t="n"/>
      <c r="H39" s="62" t="str">
        <f>IF(COUNTA(A39:G39)=0,"",IF(C39&lt;&gt;"",C39,IF(B39="","",IFERROR(INDEX(pr_des,MATCH(B39,pr_code,0))&amp;"",""))))</f>
        <v/>
      </c>
      <c r="I39" s="59" t="str">
        <f>IF(B39="","",IFERROR(INDEX(pr_unit,MATCH(B39,pr_code,0))&amp;"",""))</f>
        <v/>
      </c>
      <c r="J39" s="65" t="str">
        <f>IF(COUNTA(A39:G39)=0,"",IF(E39&lt;&gt;"",E39,IF(B39="","",IFERROR(IF(INDEX(pr_price,MATCH(B39,pr_code,0))="","",INDEX(pr_price,MATCH(B39,pr_code,0))),""))))</f>
        <v/>
      </c>
      <c r="K39" s="71" t="str">
        <f>IF(COUNTA(A39:G39)=0,"",IF(G39&lt;&gt;"",G39,IF(B39="","",IFERROR(IF(INDEX(pr_rate,MATCH(B39,pr_code,0))="","",INDEX(pr_rate,MATCH(B39,pr_code,0))),""))))</f>
        <v/>
      </c>
      <c r="L39" s="65" t="str">
        <f>IF(COUNTA(A39:G39)=0,"",IF(AND(ISNUMBER(D39),ISNUMBER(J39)),ROUND(D39*J39*(1-N(F39)),2),0))</f>
        <v/>
      </c>
      <c r="M39" s="62" t="str">
        <f>IF(A39="","",IFERROR(INDEX(dv_cname,MATCH(A39,dv_num,0))&amp;"",""))</f>
        <v/>
      </c>
      <c r="N39" s="59" t="str">
        <f>IF(COUNTA(A39:G39)=0,"",IF(A39="","N° devis manquant",IF(ISNA(MATCH(A39,dv_num,0)),"Devis inconnu",IF(AND(B39&lt;&gt;"",ISNA(MATCH(B39,pr_code,0))),"Article inconnu",IF(H39="","Désignation manquante",IF(OR(NOT(ISNUMBER(D39)),N(D39)&lt;=0),"Quantité invalide",IF(J39="","Prix manquant",IF(OR(NOT(ISNUMBER(J39)),N(J39)&lt;0),"Prix invalide",IF(OR(AND(F39&lt;&gt;"",NOT(ISNUMBER(F39))),N(F39)&lt;0,N(F39)&gt;1),"Remise invalide",IF(K39="","Taux de TVA manquant",IF(NOT(ISNUMBER(K39)),"Taux de TVA invalide",IF(COUNTIF(p_rates,K39)=0,"Taux de TVA hors liste (Paramètres)",IF(N(O39)&gt;25,"Au-delà de 25 lignes : non imprimée","OK")))))))))))))</f>
        <v/>
      </c>
      <c r="O39" s="59" t="str">
        <f>IF(A39="","",COUNTIF($A$6:A39,A39))</f>
        <v/>
      </c>
      <c r="P39" s="62" t="str">
        <f>IF(A39="","",A39&amp;"|"&amp;O39)</f>
        <v/>
      </c>
    </row>
    <row r="40">
      <c r="A40" s="60" t="n"/>
      <c r="B40" s="63" t="n"/>
      <c r="C40" s="63" t="n"/>
      <c r="D40" s="67" t="n"/>
      <c r="E40" s="68" t="n"/>
      <c r="F40" s="69" t="n"/>
      <c r="G40" s="70" t="n"/>
      <c r="H40" s="62" t="str">
        <f>IF(COUNTA(A40:G40)=0,"",IF(C40&lt;&gt;"",C40,IF(B40="","",IFERROR(INDEX(pr_des,MATCH(B40,pr_code,0))&amp;"",""))))</f>
        <v/>
      </c>
      <c r="I40" s="59" t="str">
        <f>IF(B40="","",IFERROR(INDEX(pr_unit,MATCH(B40,pr_code,0))&amp;"",""))</f>
        <v/>
      </c>
      <c r="J40" s="65" t="str">
        <f>IF(COUNTA(A40:G40)=0,"",IF(E40&lt;&gt;"",E40,IF(B40="","",IFERROR(IF(INDEX(pr_price,MATCH(B40,pr_code,0))="","",INDEX(pr_price,MATCH(B40,pr_code,0))),""))))</f>
        <v/>
      </c>
      <c r="K40" s="71" t="str">
        <f>IF(COUNTA(A40:G40)=0,"",IF(G40&lt;&gt;"",G40,IF(B40="","",IFERROR(IF(INDEX(pr_rate,MATCH(B40,pr_code,0))="","",INDEX(pr_rate,MATCH(B40,pr_code,0))),""))))</f>
        <v/>
      </c>
      <c r="L40" s="65" t="str">
        <f>IF(COUNTA(A40:G40)=0,"",IF(AND(ISNUMBER(D40),ISNUMBER(J40)),ROUND(D40*J40*(1-N(F40)),2),0))</f>
        <v/>
      </c>
      <c r="M40" s="62" t="str">
        <f>IF(A40="","",IFERROR(INDEX(dv_cname,MATCH(A40,dv_num,0))&amp;"",""))</f>
        <v/>
      </c>
      <c r="N40" s="59" t="str">
        <f>IF(COUNTA(A40:G40)=0,"",IF(A40="","N° devis manquant",IF(ISNA(MATCH(A40,dv_num,0)),"Devis inconnu",IF(AND(B40&lt;&gt;"",ISNA(MATCH(B40,pr_code,0))),"Article inconnu",IF(H40="","Désignation manquante",IF(OR(NOT(ISNUMBER(D40)),N(D40)&lt;=0),"Quantité invalide",IF(J40="","Prix manquant",IF(OR(NOT(ISNUMBER(J40)),N(J40)&lt;0),"Prix invalide",IF(OR(AND(F40&lt;&gt;"",NOT(ISNUMBER(F40))),N(F40)&lt;0,N(F40)&gt;1),"Remise invalide",IF(K40="","Taux de TVA manquant",IF(NOT(ISNUMBER(K40)),"Taux de TVA invalide",IF(COUNTIF(p_rates,K40)=0,"Taux de TVA hors liste (Paramètres)",IF(N(O40)&gt;25,"Au-delà de 25 lignes : non imprimée","OK")))))))))))))</f>
        <v/>
      </c>
      <c r="O40" s="59" t="str">
        <f>IF(A40="","",COUNTIF($A$6:A40,A40))</f>
        <v/>
      </c>
      <c r="P40" s="62" t="str">
        <f>IF(A40="","",A40&amp;"|"&amp;O40)</f>
        <v/>
      </c>
    </row>
    <row r="41">
      <c r="A41" s="60" t="n"/>
      <c r="B41" s="63" t="n"/>
      <c r="C41" s="63" t="n"/>
      <c r="D41" s="67" t="n"/>
      <c r="E41" s="68" t="n"/>
      <c r="F41" s="69" t="n"/>
      <c r="G41" s="70" t="n"/>
      <c r="H41" s="62" t="str">
        <f>IF(COUNTA(A41:G41)=0,"",IF(C41&lt;&gt;"",C41,IF(B41="","",IFERROR(INDEX(pr_des,MATCH(B41,pr_code,0))&amp;"",""))))</f>
        <v/>
      </c>
      <c r="I41" s="59" t="str">
        <f>IF(B41="","",IFERROR(INDEX(pr_unit,MATCH(B41,pr_code,0))&amp;"",""))</f>
        <v/>
      </c>
      <c r="J41" s="65" t="str">
        <f>IF(COUNTA(A41:G41)=0,"",IF(E41&lt;&gt;"",E41,IF(B41="","",IFERROR(IF(INDEX(pr_price,MATCH(B41,pr_code,0))="","",INDEX(pr_price,MATCH(B41,pr_code,0))),""))))</f>
        <v/>
      </c>
      <c r="K41" s="71" t="str">
        <f>IF(COUNTA(A41:G41)=0,"",IF(G41&lt;&gt;"",G41,IF(B41="","",IFERROR(IF(INDEX(pr_rate,MATCH(B41,pr_code,0))="","",INDEX(pr_rate,MATCH(B41,pr_code,0))),""))))</f>
        <v/>
      </c>
      <c r="L41" s="65" t="str">
        <f>IF(COUNTA(A41:G41)=0,"",IF(AND(ISNUMBER(D41),ISNUMBER(J41)),ROUND(D41*J41*(1-N(F41)),2),0))</f>
        <v/>
      </c>
      <c r="M41" s="62" t="str">
        <f>IF(A41="","",IFERROR(INDEX(dv_cname,MATCH(A41,dv_num,0))&amp;"",""))</f>
        <v/>
      </c>
      <c r="N41" s="59" t="str">
        <f>IF(COUNTA(A41:G41)=0,"",IF(A41="","N° devis manquant",IF(ISNA(MATCH(A41,dv_num,0)),"Devis inconnu",IF(AND(B41&lt;&gt;"",ISNA(MATCH(B41,pr_code,0))),"Article inconnu",IF(H41="","Désignation manquante",IF(OR(NOT(ISNUMBER(D41)),N(D41)&lt;=0),"Quantité invalide",IF(J41="","Prix manquant",IF(OR(NOT(ISNUMBER(J41)),N(J41)&lt;0),"Prix invalide",IF(OR(AND(F41&lt;&gt;"",NOT(ISNUMBER(F41))),N(F41)&lt;0,N(F41)&gt;1),"Remise invalide",IF(K41="","Taux de TVA manquant",IF(NOT(ISNUMBER(K41)),"Taux de TVA invalide",IF(COUNTIF(p_rates,K41)=0,"Taux de TVA hors liste (Paramètres)",IF(N(O41)&gt;25,"Au-delà de 25 lignes : non imprimée","OK")))))))))))))</f>
        <v/>
      </c>
      <c r="O41" s="59" t="str">
        <f>IF(A41="","",COUNTIF($A$6:A41,A41))</f>
        <v/>
      </c>
      <c r="P41" s="62" t="str">
        <f>IF(A41="","",A41&amp;"|"&amp;O41)</f>
        <v/>
      </c>
    </row>
    <row r="42">
      <c r="A42" s="60" t="n"/>
      <c r="B42" s="63" t="n"/>
      <c r="C42" s="63" t="n"/>
      <c r="D42" s="67" t="n"/>
      <c r="E42" s="68" t="n"/>
      <c r="F42" s="69" t="n"/>
      <c r="G42" s="70" t="n"/>
      <c r="H42" s="62" t="str">
        <f>IF(COUNTA(A42:G42)=0,"",IF(C42&lt;&gt;"",C42,IF(B42="","",IFERROR(INDEX(pr_des,MATCH(B42,pr_code,0))&amp;"",""))))</f>
        <v/>
      </c>
      <c r="I42" s="59" t="str">
        <f>IF(B42="","",IFERROR(INDEX(pr_unit,MATCH(B42,pr_code,0))&amp;"",""))</f>
        <v/>
      </c>
      <c r="J42" s="65" t="str">
        <f>IF(COUNTA(A42:G42)=0,"",IF(E42&lt;&gt;"",E42,IF(B42="","",IFERROR(IF(INDEX(pr_price,MATCH(B42,pr_code,0))="","",INDEX(pr_price,MATCH(B42,pr_code,0))),""))))</f>
        <v/>
      </c>
      <c r="K42" s="71" t="str">
        <f>IF(COUNTA(A42:G42)=0,"",IF(G42&lt;&gt;"",G42,IF(B42="","",IFERROR(IF(INDEX(pr_rate,MATCH(B42,pr_code,0))="","",INDEX(pr_rate,MATCH(B42,pr_code,0))),""))))</f>
        <v/>
      </c>
      <c r="L42" s="65" t="str">
        <f>IF(COUNTA(A42:G42)=0,"",IF(AND(ISNUMBER(D42),ISNUMBER(J42)),ROUND(D42*J42*(1-N(F42)),2),0))</f>
        <v/>
      </c>
      <c r="M42" s="62" t="str">
        <f>IF(A42="","",IFERROR(INDEX(dv_cname,MATCH(A42,dv_num,0))&amp;"",""))</f>
        <v/>
      </c>
      <c r="N42" s="59" t="str">
        <f>IF(COUNTA(A42:G42)=0,"",IF(A42="","N° devis manquant",IF(ISNA(MATCH(A42,dv_num,0)),"Devis inconnu",IF(AND(B42&lt;&gt;"",ISNA(MATCH(B42,pr_code,0))),"Article inconnu",IF(H42="","Désignation manquante",IF(OR(NOT(ISNUMBER(D42)),N(D42)&lt;=0),"Quantité invalide",IF(J42="","Prix manquant",IF(OR(NOT(ISNUMBER(J42)),N(J42)&lt;0),"Prix invalide",IF(OR(AND(F42&lt;&gt;"",NOT(ISNUMBER(F42))),N(F42)&lt;0,N(F42)&gt;1),"Remise invalide",IF(K42="","Taux de TVA manquant",IF(NOT(ISNUMBER(K42)),"Taux de TVA invalide",IF(COUNTIF(p_rates,K42)=0,"Taux de TVA hors liste (Paramètres)",IF(N(O42)&gt;25,"Au-delà de 25 lignes : non imprimée","OK")))))))))))))</f>
        <v/>
      </c>
      <c r="O42" s="59" t="str">
        <f>IF(A42="","",COUNTIF($A$6:A42,A42))</f>
        <v/>
      </c>
      <c r="P42" s="62" t="str">
        <f>IF(A42="","",A42&amp;"|"&amp;O42)</f>
        <v/>
      </c>
    </row>
    <row r="43">
      <c r="A43" s="60" t="n"/>
      <c r="B43" s="63" t="n"/>
      <c r="C43" s="63" t="n"/>
      <c r="D43" s="67" t="n"/>
      <c r="E43" s="68" t="n"/>
      <c r="F43" s="69" t="n"/>
      <c r="G43" s="70" t="n"/>
      <c r="H43" s="62" t="str">
        <f>IF(COUNTA(A43:G43)=0,"",IF(C43&lt;&gt;"",C43,IF(B43="","",IFERROR(INDEX(pr_des,MATCH(B43,pr_code,0))&amp;"",""))))</f>
        <v/>
      </c>
      <c r="I43" s="59" t="str">
        <f>IF(B43="","",IFERROR(INDEX(pr_unit,MATCH(B43,pr_code,0))&amp;"",""))</f>
        <v/>
      </c>
      <c r="J43" s="65" t="str">
        <f>IF(COUNTA(A43:G43)=0,"",IF(E43&lt;&gt;"",E43,IF(B43="","",IFERROR(IF(INDEX(pr_price,MATCH(B43,pr_code,0))="","",INDEX(pr_price,MATCH(B43,pr_code,0))),""))))</f>
        <v/>
      </c>
      <c r="K43" s="71" t="str">
        <f>IF(COUNTA(A43:G43)=0,"",IF(G43&lt;&gt;"",G43,IF(B43="","",IFERROR(IF(INDEX(pr_rate,MATCH(B43,pr_code,0))="","",INDEX(pr_rate,MATCH(B43,pr_code,0))),""))))</f>
        <v/>
      </c>
      <c r="L43" s="65" t="str">
        <f>IF(COUNTA(A43:G43)=0,"",IF(AND(ISNUMBER(D43),ISNUMBER(J43)),ROUND(D43*J43*(1-N(F43)),2),0))</f>
        <v/>
      </c>
      <c r="M43" s="62" t="str">
        <f>IF(A43="","",IFERROR(INDEX(dv_cname,MATCH(A43,dv_num,0))&amp;"",""))</f>
        <v/>
      </c>
      <c r="N43" s="59" t="str">
        <f>IF(COUNTA(A43:G43)=0,"",IF(A43="","N° devis manquant",IF(ISNA(MATCH(A43,dv_num,0)),"Devis inconnu",IF(AND(B43&lt;&gt;"",ISNA(MATCH(B43,pr_code,0))),"Article inconnu",IF(H43="","Désignation manquante",IF(OR(NOT(ISNUMBER(D43)),N(D43)&lt;=0),"Quantité invalide",IF(J43="","Prix manquant",IF(OR(NOT(ISNUMBER(J43)),N(J43)&lt;0),"Prix invalide",IF(OR(AND(F43&lt;&gt;"",NOT(ISNUMBER(F43))),N(F43)&lt;0,N(F43)&gt;1),"Remise invalide",IF(K43="","Taux de TVA manquant",IF(NOT(ISNUMBER(K43)),"Taux de TVA invalide",IF(COUNTIF(p_rates,K43)=0,"Taux de TVA hors liste (Paramètres)",IF(N(O43)&gt;25,"Au-delà de 25 lignes : non imprimée","OK")))))))))))))</f>
        <v/>
      </c>
      <c r="O43" s="59" t="str">
        <f>IF(A43="","",COUNTIF($A$6:A43,A43))</f>
        <v/>
      </c>
      <c r="P43" s="62" t="str">
        <f>IF(A43="","",A43&amp;"|"&amp;O43)</f>
        <v/>
      </c>
    </row>
    <row r="44">
      <c r="A44" s="60" t="n"/>
      <c r="B44" s="63" t="n"/>
      <c r="C44" s="63" t="n"/>
      <c r="D44" s="67" t="n"/>
      <c r="E44" s="68" t="n"/>
      <c r="F44" s="69" t="n"/>
      <c r="G44" s="70" t="n"/>
      <c r="H44" s="62" t="str">
        <f>IF(COUNTA(A44:G44)=0,"",IF(C44&lt;&gt;"",C44,IF(B44="","",IFERROR(INDEX(pr_des,MATCH(B44,pr_code,0))&amp;"",""))))</f>
        <v/>
      </c>
      <c r="I44" s="59" t="str">
        <f>IF(B44="","",IFERROR(INDEX(pr_unit,MATCH(B44,pr_code,0))&amp;"",""))</f>
        <v/>
      </c>
      <c r="J44" s="65" t="str">
        <f>IF(COUNTA(A44:G44)=0,"",IF(E44&lt;&gt;"",E44,IF(B44="","",IFERROR(IF(INDEX(pr_price,MATCH(B44,pr_code,0))="","",INDEX(pr_price,MATCH(B44,pr_code,0))),""))))</f>
        <v/>
      </c>
      <c r="K44" s="71" t="str">
        <f>IF(COUNTA(A44:G44)=0,"",IF(G44&lt;&gt;"",G44,IF(B44="","",IFERROR(IF(INDEX(pr_rate,MATCH(B44,pr_code,0))="","",INDEX(pr_rate,MATCH(B44,pr_code,0))),""))))</f>
        <v/>
      </c>
      <c r="L44" s="65" t="str">
        <f>IF(COUNTA(A44:G44)=0,"",IF(AND(ISNUMBER(D44),ISNUMBER(J44)),ROUND(D44*J44*(1-N(F44)),2),0))</f>
        <v/>
      </c>
      <c r="M44" s="62" t="str">
        <f>IF(A44="","",IFERROR(INDEX(dv_cname,MATCH(A44,dv_num,0))&amp;"",""))</f>
        <v/>
      </c>
      <c r="N44" s="59" t="str">
        <f>IF(COUNTA(A44:G44)=0,"",IF(A44="","N° devis manquant",IF(ISNA(MATCH(A44,dv_num,0)),"Devis inconnu",IF(AND(B44&lt;&gt;"",ISNA(MATCH(B44,pr_code,0))),"Article inconnu",IF(H44="","Désignation manquante",IF(OR(NOT(ISNUMBER(D44)),N(D44)&lt;=0),"Quantité invalide",IF(J44="","Prix manquant",IF(OR(NOT(ISNUMBER(J44)),N(J44)&lt;0),"Prix invalide",IF(OR(AND(F44&lt;&gt;"",NOT(ISNUMBER(F44))),N(F44)&lt;0,N(F44)&gt;1),"Remise invalide",IF(K44="","Taux de TVA manquant",IF(NOT(ISNUMBER(K44)),"Taux de TVA invalide",IF(COUNTIF(p_rates,K44)=0,"Taux de TVA hors liste (Paramètres)",IF(N(O44)&gt;25,"Au-delà de 25 lignes : non imprimée","OK")))))))))))))</f>
        <v/>
      </c>
      <c r="O44" s="59" t="str">
        <f>IF(A44="","",COUNTIF($A$6:A44,A44))</f>
        <v/>
      </c>
      <c r="P44" s="62" t="str">
        <f>IF(A44="","",A44&amp;"|"&amp;O44)</f>
        <v/>
      </c>
    </row>
    <row r="45">
      <c r="A45" s="60" t="n"/>
      <c r="B45" s="63" t="n"/>
      <c r="C45" s="63" t="n"/>
      <c r="D45" s="67" t="n"/>
      <c r="E45" s="68" t="n"/>
      <c r="F45" s="69" t="n"/>
      <c r="G45" s="70" t="n"/>
      <c r="H45" s="62" t="str">
        <f>IF(COUNTA(A45:G45)=0,"",IF(C45&lt;&gt;"",C45,IF(B45="","",IFERROR(INDEX(pr_des,MATCH(B45,pr_code,0))&amp;"",""))))</f>
        <v/>
      </c>
      <c r="I45" s="59" t="str">
        <f>IF(B45="","",IFERROR(INDEX(pr_unit,MATCH(B45,pr_code,0))&amp;"",""))</f>
        <v/>
      </c>
      <c r="J45" s="65" t="str">
        <f>IF(COUNTA(A45:G45)=0,"",IF(E45&lt;&gt;"",E45,IF(B45="","",IFERROR(IF(INDEX(pr_price,MATCH(B45,pr_code,0))="","",INDEX(pr_price,MATCH(B45,pr_code,0))),""))))</f>
        <v/>
      </c>
      <c r="K45" s="71" t="str">
        <f>IF(COUNTA(A45:G45)=0,"",IF(G45&lt;&gt;"",G45,IF(B45="","",IFERROR(IF(INDEX(pr_rate,MATCH(B45,pr_code,0))="","",INDEX(pr_rate,MATCH(B45,pr_code,0))),""))))</f>
        <v/>
      </c>
      <c r="L45" s="65" t="str">
        <f>IF(COUNTA(A45:G45)=0,"",IF(AND(ISNUMBER(D45),ISNUMBER(J45)),ROUND(D45*J45*(1-N(F45)),2),0))</f>
        <v/>
      </c>
      <c r="M45" s="62" t="str">
        <f>IF(A45="","",IFERROR(INDEX(dv_cname,MATCH(A45,dv_num,0))&amp;"",""))</f>
        <v/>
      </c>
      <c r="N45" s="59" t="str">
        <f>IF(COUNTA(A45:G45)=0,"",IF(A45="","N° devis manquant",IF(ISNA(MATCH(A45,dv_num,0)),"Devis inconnu",IF(AND(B45&lt;&gt;"",ISNA(MATCH(B45,pr_code,0))),"Article inconnu",IF(H45="","Désignation manquante",IF(OR(NOT(ISNUMBER(D45)),N(D45)&lt;=0),"Quantité invalide",IF(J45="","Prix manquant",IF(OR(NOT(ISNUMBER(J45)),N(J45)&lt;0),"Prix invalide",IF(OR(AND(F45&lt;&gt;"",NOT(ISNUMBER(F45))),N(F45)&lt;0,N(F45)&gt;1),"Remise invalide",IF(K45="","Taux de TVA manquant",IF(NOT(ISNUMBER(K45)),"Taux de TVA invalide",IF(COUNTIF(p_rates,K45)=0,"Taux de TVA hors liste (Paramètres)",IF(N(O45)&gt;25,"Au-delà de 25 lignes : non imprimée","OK")))))))))))))</f>
        <v/>
      </c>
      <c r="O45" s="59" t="str">
        <f>IF(A45="","",COUNTIF($A$6:A45,A45))</f>
        <v/>
      </c>
      <c r="P45" s="62" t="str">
        <f>IF(A45="","",A45&amp;"|"&amp;O45)</f>
        <v/>
      </c>
    </row>
    <row r="46">
      <c r="A46" s="60" t="n"/>
      <c r="B46" s="63" t="n"/>
      <c r="C46" s="63" t="n"/>
      <c r="D46" s="67" t="n"/>
      <c r="E46" s="68" t="n"/>
      <c r="F46" s="69" t="n"/>
      <c r="G46" s="70" t="n"/>
      <c r="H46" s="62" t="str">
        <f>IF(COUNTA(A46:G46)=0,"",IF(C46&lt;&gt;"",C46,IF(B46="","",IFERROR(INDEX(pr_des,MATCH(B46,pr_code,0))&amp;"",""))))</f>
        <v/>
      </c>
      <c r="I46" s="59" t="str">
        <f>IF(B46="","",IFERROR(INDEX(pr_unit,MATCH(B46,pr_code,0))&amp;"",""))</f>
        <v/>
      </c>
      <c r="J46" s="65" t="str">
        <f>IF(COUNTA(A46:G46)=0,"",IF(E46&lt;&gt;"",E46,IF(B46="","",IFERROR(IF(INDEX(pr_price,MATCH(B46,pr_code,0))="","",INDEX(pr_price,MATCH(B46,pr_code,0))),""))))</f>
        <v/>
      </c>
      <c r="K46" s="71" t="str">
        <f>IF(COUNTA(A46:G46)=0,"",IF(G46&lt;&gt;"",G46,IF(B46="","",IFERROR(IF(INDEX(pr_rate,MATCH(B46,pr_code,0))="","",INDEX(pr_rate,MATCH(B46,pr_code,0))),""))))</f>
        <v/>
      </c>
      <c r="L46" s="65" t="str">
        <f>IF(COUNTA(A46:G46)=0,"",IF(AND(ISNUMBER(D46),ISNUMBER(J46)),ROUND(D46*J46*(1-N(F46)),2),0))</f>
        <v/>
      </c>
      <c r="M46" s="62" t="str">
        <f>IF(A46="","",IFERROR(INDEX(dv_cname,MATCH(A46,dv_num,0))&amp;"",""))</f>
        <v/>
      </c>
      <c r="N46" s="59" t="str">
        <f>IF(COUNTA(A46:G46)=0,"",IF(A46="","N° devis manquant",IF(ISNA(MATCH(A46,dv_num,0)),"Devis inconnu",IF(AND(B46&lt;&gt;"",ISNA(MATCH(B46,pr_code,0))),"Article inconnu",IF(H46="","Désignation manquante",IF(OR(NOT(ISNUMBER(D46)),N(D46)&lt;=0),"Quantité invalide",IF(J46="","Prix manquant",IF(OR(NOT(ISNUMBER(J46)),N(J46)&lt;0),"Prix invalide",IF(OR(AND(F46&lt;&gt;"",NOT(ISNUMBER(F46))),N(F46)&lt;0,N(F46)&gt;1),"Remise invalide",IF(K46="","Taux de TVA manquant",IF(NOT(ISNUMBER(K46)),"Taux de TVA invalide",IF(COUNTIF(p_rates,K46)=0,"Taux de TVA hors liste (Paramètres)",IF(N(O46)&gt;25,"Au-delà de 25 lignes : non imprimée","OK")))))))))))))</f>
        <v/>
      </c>
      <c r="O46" s="59" t="str">
        <f>IF(A46="","",COUNTIF($A$6:A46,A46))</f>
        <v/>
      </c>
      <c r="P46" s="62" t="str">
        <f>IF(A46="","",A46&amp;"|"&amp;O46)</f>
        <v/>
      </c>
    </row>
    <row r="47">
      <c r="A47" s="60" t="n"/>
      <c r="B47" s="63" t="n"/>
      <c r="C47" s="63" t="n"/>
      <c r="D47" s="67" t="n"/>
      <c r="E47" s="68" t="n"/>
      <c r="F47" s="69" t="n"/>
      <c r="G47" s="70" t="n"/>
      <c r="H47" s="62" t="str">
        <f>IF(COUNTA(A47:G47)=0,"",IF(C47&lt;&gt;"",C47,IF(B47="","",IFERROR(INDEX(pr_des,MATCH(B47,pr_code,0))&amp;"",""))))</f>
        <v/>
      </c>
      <c r="I47" s="59" t="str">
        <f>IF(B47="","",IFERROR(INDEX(pr_unit,MATCH(B47,pr_code,0))&amp;"",""))</f>
        <v/>
      </c>
      <c r="J47" s="65" t="str">
        <f>IF(COUNTA(A47:G47)=0,"",IF(E47&lt;&gt;"",E47,IF(B47="","",IFERROR(IF(INDEX(pr_price,MATCH(B47,pr_code,0))="","",INDEX(pr_price,MATCH(B47,pr_code,0))),""))))</f>
        <v/>
      </c>
      <c r="K47" s="71" t="str">
        <f>IF(COUNTA(A47:G47)=0,"",IF(G47&lt;&gt;"",G47,IF(B47="","",IFERROR(IF(INDEX(pr_rate,MATCH(B47,pr_code,0))="","",INDEX(pr_rate,MATCH(B47,pr_code,0))),""))))</f>
        <v/>
      </c>
      <c r="L47" s="65" t="str">
        <f>IF(COUNTA(A47:G47)=0,"",IF(AND(ISNUMBER(D47),ISNUMBER(J47)),ROUND(D47*J47*(1-N(F47)),2),0))</f>
        <v/>
      </c>
      <c r="M47" s="62" t="str">
        <f>IF(A47="","",IFERROR(INDEX(dv_cname,MATCH(A47,dv_num,0))&amp;"",""))</f>
        <v/>
      </c>
      <c r="N47" s="59" t="str">
        <f>IF(COUNTA(A47:G47)=0,"",IF(A47="","N° devis manquant",IF(ISNA(MATCH(A47,dv_num,0)),"Devis inconnu",IF(AND(B47&lt;&gt;"",ISNA(MATCH(B47,pr_code,0))),"Article inconnu",IF(H47="","Désignation manquante",IF(OR(NOT(ISNUMBER(D47)),N(D47)&lt;=0),"Quantité invalide",IF(J47="","Prix manquant",IF(OR(NOT(ISNUMBER(J47)),N(J47)&lt;0),"Prix invalide",IF(OR(AND(F47&lt;&gt;"",NOT(ISNUMBER(F47))),N(F47)&lt;0,N(F47)&gt;1),"Remise invalide",IF(K47="","Taux de TVA manquant",IF(NOT(ISNUMBER(K47)),"Taux de TVA invalide",IF(COUNTIF(p_rates,K47)=0,"Taux de TVA hors liste (Paramètres)",IF(N(O47)&gt;25,"Au-delà de 25 lignes : non imprimée","OK")))))))))))))</f>
        <v/>
      </c>
      <c r="O47" s="59" t="str">
        <f>IF(A47="","",COUNTIF($A$6:A47,A47))</f>
        <v/>
      </c>
      <c r="P47" s="62" t="str">
        <f>IF(A47="","",A47&amp;"|"&amp;O47)</f>
        <v/>
      </c>
    </row>
    <row r="48">
      <c r="A48" s="60" t="n"/>
      <c r="B48" s="63" t="n"/>
      <c r="C48" s="63" t="n"/>
      <c r="D48" s="67" t="n"/>
      <c r="E48" s="68" t="n"/>
      <c r="F48" s="69" t="n"/>
      <c r="G48" s="70" t="n"/>
      <c r="H48" s="62" t="str">
        <f>IF(COUNTA(A48:G48)=0,"",IF(C48&lt;&gt;"",C48,IF(B48="","",IFERROR(INDEX(pr_des,MATCH(B48,pr_code,0))&amp;"",""))))</f>
        <v/>
      </c>
      <c r="I48" s="59" t="str">
        <f>IF(B48="","",IFERROR(INDEX(pr_unit,MATCH(B48,pr_code,0))&amp;"",""))</f>
        <v/>
      </c>
      <c r="J48" s="65" t="str">
        <f>IF(COUNTA(A48:G48)=0,"",IF(E48&lt;&gt;"",E48,IF(B48="","",IFERROR(IF(INDEX(pr_price,MATCH(B48,pr_code,0))="","",INDEX(pr_price,MATCH(B48,pr_code,0))),""))))</f>
        <v/>
      </c>
      <c r="K48" s="71" t="str">
        <f>IF(COUNTA(A48:G48)=0,"",IF(G48&lt;&gt;"",G48,IF(B48="","",IFERROR(IF(INDEX(pr_rate,MATCH(B48,pr_code,0))="","",INDEX(pr_rate,MATCH(B48,pr_code,0))),""))))</f>
        <v/>
      </c>
      <c r="L48" s="65" t="str">
        <f>IF(COUNTA(A48:G48)=0,"",IF(AND(ISNUMBER(D48),ISNUMBER(J48)),ROUND(D48*J48*(1-N(F48)),2),0))</f>
        <v/>
      </c>
      <c r="M48" s="62" t="str">
        <f>IF(A48="","",IFERROR(INDEX(dv_cname,MATCH(A48,dv_num,0))&amp;"",""))</f>
        <v/>
      </c>
      <c r="N48" s="59" t="str">
        <f>IF(COUNTA(A48:G48)=0,"",IF(A48="","N° devis manquant",IF(ISNA(MATCH(A48,dv_num,0)),"Devis inconnu",IF(AND(B48&lt;&gt;"",ISNA(MATCH(B48,pr_code,0))),"Article inconnu",IF(H48="","Désignation manquante",IF(OR(NOT(ISNUMBER(D48)),N(D48)&lt;=0),"Quantité invalide",IF(J48="","Prix manquant",IF(OR(NOT(ISNUMBER(J48)),N(J48)&lt;0),"Prix invalide",IF(OR(AND(F48&lt;&gt;"",NOT(ISNUMBER(F48))),N(F48)&lt;0,N(F48)&gt;1),"Remise invalide",IF(K48="","Taux de TVA manquant",IF(NOT(ISNUMBER(K48)),"Taux de TVA invalide",IF(COUNTIF(p_rates,K48)=0,"Taux de TVA hors liste (Paramètres)",IF(N(O48)&gt;25,"Au-delà de 25 lignes : non imprimée","OK")))))))))))))</f>
        <v/>
      </c>
      <c r="O48" s="59" t="str">
        <f>IF(A48="","",COUNTIF($A$6:A48,A48))</f>
        <v/>
      </c>
      <c r="P48" s="62" t="str">
        <f>IF(A48="","",A48&amp;"|"&amp;O48)</f>
        <v/>
      </c>
    </row>
    <row r="49">
      <c r="A49" s="60" t="n"/>
      <c r="B49" s="63" t="n"/>
      <c r="C49" s="63" t="n"/>
      <c r="D49" s="67" t="n"/>
      <c r="E49" s="68" t="n"/>
      <c r="F49" s="69" t="n"/>
      <c r="G49" s="70" t="n"/>
      <c r="H49" s="62" t="str">
        <f>IF(COUNTA(A49:G49)=0,"",IF(C49&lt;&gt;"",C49,IF(B49="","",IFERROR(INDEX(pr_des,MATCH(B49,pr_code,0))&amp;"",""))))</f>
        <v/>
      </c>
      <c r="I49" s="59" t="str">
        <f>IF(B49="","",IFERROR(INDEX(pr_unit,MATCH(B49,pr_code,0))&amp;"",""))</f>
        <v/>
      </c>
      <c r="J49" s="65" t="str">
        <f>IF(COUNTA(A49:G49)=0,"",IF(E49&lt;&gt;"",E49,IF(B49="","",IFERROR(IF(INDEX(pr_price,MATCH(B49,pr_code,0))="","",INDEX(pr_price,MATCH(B49,pr_code,0))),""))))</f>
        <v/>
      </c>
      <c r="K49" s="71" t="str">
        <f>IF(COUNTA(A49:G49)=0,"",IF(G49&lt;&gt;"",G49,IF(B49="","",IFERROR(IF(INDEX(pr_rate,MATCH(B49,pr_code,0))="","",INDEX(pr_rate,MATCH(B49,pr_code,0))),""))))</f>
        <v/>
      </c>
      <c r="L49" s="65" t="str">
        <f>IF(COUNTA(A49:G49)=0,"",IF(AND(ISNUMBER(D49),ISNUMBER(J49)),ROUND(D49*J49*(1-N(F49)),2),0))</f>
        <v/>
      </c>
      <c r="M49" s="62" t="str">
        <f>IF(A49="","",IFERROR(INDEX(dv_cname,MATCH(A49,dv_num,0))&amp;"",""))</f>
        <v/>
      </c>
      <c r="N49" s="59" t="str">
        <f>IF(COUNTA(A49:G49)=0,"",IF(A49="","N° devis manquant",IF(ISNA(MATCH(A49,dv_num,0)),"Devis inconnu",IF(AND(B49&lt;&gt;"",ISNA(MATCH(B49,pr_code,0))),"Article inconnu",IF(H49="","Désignation manquante",IF(OR(NOT(ISNUMBER(D49)),N(D49)&lt;=0),"Quantité invalide",IF(J49="","Prix manquant",IF(OR(NOT(ISNUMBER(J49)),N(J49)&lt;0),"Prix invalide",IF(OR(AND(F49&lt;&gt;"",NOT(ISNUMBER(F49))),N(F49)&lt;0,N(F49)&gt;1),"Remise invalide",IF(K49="","Taux de TVA manquant",IF(NOT(ISNUMBER(K49)),"Taux de TVA invalide",IF(COUNTIF(p_rates,K49)=0,"Taux de TVA hors liste (Paramètres)",IF(N(O49)&gt;25,"Au-delà de 25 lignes : non imprimée","OK")))))))))))))</f>
        <v/>
      </c>
      <c r="O49" s="59" t="str">
        <f>IF(A49="","",COUNTIF($A$6:A49,A49))</f>
        <v/>
      </c>
      <c r="P49" s="62" t="str">
        <f>IF(A49="","",A49&amp;"|"&amp;O49)</f>
        <v/>
      </c>
    </row>
    <row r="50">
      <c r="A50" s="60" t="n"/>
      <c r="B50" s="63" t="n"/>
      <c r="C50" s="63" t="n"/>
      <c r="D50" s="67" t="n"/>
      <c r="E50" s="68" t="n"/>
      <c r="F50" s="69" t="n"/>
      <c r="G50" s="70" t="n"/>
      <c r="H50" s="62" t="str">
        <f>IF(COUNTA(A50:G50)=0,"",IF(C50&lt;&gt;"",C50,IF(B50="","",IFERROR(INDEX(pr_des,MATCH(B50,pr_code,0))&amp;"",""))))</f>
        <v/>
      </c>
      <c r="I50" s="59" t="str">
        <f>IF(B50="","",IFERROR(INDEX(pr_unit,MATCH(B50,pr_code,0))&amp;"",""))</f>
        <v/>
      </c>
      <c r="J50" s="65" t="str">
        <f>IF(COUNTA(A50:G50)=0,"",IF(E50&lt;&gt;"",E50,IF(B50="","",IFERROR(IF(INDEX(pr_price,MATCH(B50,pr_code,0))="","",INDEX(pr_price,MATCH(B50,pr_code,0))),""))))</f>
        <v/>
      </c>
      <c r="K50" s="71" t="str">
        <f>IF(COUNTA(A50:G50)=0,"",IF(G50&lt;&gt;"",G50,IF(B50="","",IFERROR(IF(INDEX(pr_rate,MATCH(B50,pr_code,0))="","",INDEX(pr_rate,MATCH(B50,pr_code,0))),""))))</f>
        <v/>
      </c>
      <c r="L50" s="65" t="str">
        <f>IF(COUNTA(A50:G50)=0,"",IF(AND(ISNUMBER(D50),ISNUMBER(J50)),ROUND(D50*J50*(1-N(F50)),2),0))</f>
        <v/>
      </c>
      <c r="M50" s="62" t="str">
        <f>IF(A50="","",IFERROR(INDEX(dv_cname,MATCH(A50,dv_num,0))&amp;"",""))</f>
        <v/>
      </c>
      <c r="N50" s="59" t="str">
        <f>IF(COUNTA(A50:G50)=0,"",IF(A50="","N° devis manquant",IF(ISNA(MATCH(A50,dv_num,0)),"Devis inconnu",IF(AND(B50&lt;&gt;"",ISNA(MATCH(B50,pr_code,0))),"Article inconnu",IF(H50="","Désignation manquante",IF(OR(NOT(ISNUMBER(D50)),N(D50)&lt;=0),"Quantité invalide",IF(J50="","Prix manquant",IF(OR(NOT(ISNUMBER(J50)),N(J50)&lt;0),"Prix invalide",IF(OR(AND(F50&lt;&gt;"",NOT(ISNUMBER(F50))),N(F50)&lt;0,N(F50)&gt;1),"Remise invalide",IF(K50="","Taux de TVA manquant",IF(NOT(ISNUMBER(K50)),"Taux de TVA invalide",IF(COUNTIF(p_rates,K50)=0,"Taux de TVA hors liste (Paramètres)",IF(N(O50)&gt;25,"Au-delà de 25 lignes : non imprimée","OK")))))))))))))</f>
        <v/>
      </c>
      <c r="O50" s="59" t="str">
        <f>IF(A50="","",COUNTIF($A$6:A50,A50))</f>
        <v/>
      </c>
      <c r="P50" s="62" t="str">
        <f>IF(A50="","",A50&amp;"|"&amp;O50)</f>
        <v/>
      </c>
    </row>
    <row r="51">
      <c r="A51" s="60" t="n"/>
      <c r="B51" s="63" t="n"/>
      <c r="C51" s="63" t="n"/>
      <c r="D51" s="67" t="n"/>
      <c r="E51" s="68" t="n"/>
      <c r="F51" s="69" t="n"/>
      <c r="G51" s="70" t="n"/>
      <c r="H51" s="62" t="str">
        <f>IF(COUNTA(A51:G51)=0,"",IF(C51&lt;&gt;"",C51,IF(B51="","",IFERROR(INDEX(pr_des,MATCH(B51,pr_code,0))&amp;"",""))))</f>
        <v/>
      </c>
      <c r="I51" s="59" t="str">
        <f>IF(B51="","",IFERROR(INDEX(pr_unit,MATCH(B51,pr_code,0))&amp;"",""))</f>
        <v/>
      </c>
      <c r="J51" s="65" t="str">
        <f>IF(COUNTA(A51:G51)=0,"",IF(E51&lt;&gt;"",E51,IF(B51="","",IFERROR(IF(INDEX(pr_price,MATCH(B51,pr_code,0))="","",INDEX(pr_price,MATCH(B51,pr_code,0))),""))))</f>
        <v/>
      </c>
      <c r="K51" s="71" t="str">
        <f>IF(COUNTA(A51:G51)=0,"",IF(G51&lt;&gt;"",G51,IF(B51="","",IFERROR(IF(INDEX(pr_rate,MATCH(B51,pr_code,0))="","",INDEX(pr_rate,MATCH(B51,pr_code,0))),""))))</f>
        <v/>
      </c>
      <c r="L51" s="65" t="str">
        <f>IF(COUNTA(A51:G51)=0,"",IF(AND(ISNUMBER(D51),ISNUMBER(J51)),ROUND(D51*J51*(1-N(F51)),2),0))</f>
        <v/>
      </c>
      <c r="M51" s="62" t="str">
        <f>IF(A51="","",IFERROR(INDEX(dv_cname,MATCH(A51,dv_num,0))&amp;"",""))</f>
        <v/>
      </c>
      <c r="N51" s="59" t="str">
        <f>IF(COUNTA(A51:G51)=0,"",IF(A51="","N° devis manquant",IF(ISNA(MATCH(A51,dv_num,0)),"Devis inconnu",IF(AND(B51&lt;&gt;"",ISNA(MATCH(B51,pr_code,0))),"Article inconnu",IF(H51="","Désignation manquante",IF(OR(NOT(ISNUMBER(D51)),N(D51)&lt;=0),"Quantité invalide",IF(J51="","Prix manquant",IF(OR(NOT(ISNUMBER(J51)),N(J51)&lt;0),"Prix invalide",IF(OR(AND(F51&lt;&gt;"",NOT(ISNUMBER(F51))),N(F51)&lt;0,N(F51)&gt;1),"Remise invalide",IF(K51="","Taux de TVA manquant",IF(NOT(ISNUMBER(K51)),"Taux de TVA invalide",IF(COUNTIF(p_rates,K51)=0,"Taux de TVA hors liste (Paramètres)",IF(N(O51)&gt;25,"Au-delà de 25 lignes : non imprimée","OK")))))))))))))</f>
        <v/>
      </c>
      <c r="O51" s="59" t="str">
        <f>IF(A51="","",COUNTIF($A$6:A51,A51))</f>
        <v/>
      </c>
      <c r="P51" s="62" t="str">
        <f>IF(A51="","",A51&amp;"|"&amp;O51)</f>
        <v/>
      </c>
    </row>
    <row r="52">
      <c r="A52" s="60" t="n"/>
      <c r="B52" s="63" t="n"/>
      <c r="C52" s="63" t="n"/>
      <c r="D52" s="67" t="n"/>
      <c r="E52" s="68" t="n"/>
      <c r="F52" s="69" t="n"/>
      <c r="G52" s="70" t="n"/>
      <c r="H52" s="62" t="str">
        <f>IF(COUNTA(A52:G52)=0,"",IF(C52&lt;&gt;"",C52,IF(B52="","",IFERROR(INDEX(pr_des,MATCH(B52,pr_code,0))&amp;"",""))))</f>
        <v/>
      </c>
      <c r="I52" s="59" t="str">
        <f>IF(B52="","",IFERROR(INDEX(pr_unit,MATCH(B52,pr_code,0))&amp;"",""))</f>
        <v/>
      </c>
      <c r="J52" s="65" t="str">
        <f>IF(COUNTA(A52:G52)=0,"",IF(E52&lt;&gt;"",E52,IF(B52="","",IFERROR(IF(INDEX(pr_price,MATCH(B52,pr_code,0))="","",INDEX(pr_price,MATCH(B52,pr_code,0))),""))))</f>
        <v/>
      </c>
      <c r="K52" s="71" t="str">
        <f>IF(COUNTA(A52:G52)=0,"",IF(G52&lt;&gt;"",G52,IF(B52="","",IFERROR(IF(INDEX(pr_rate,MATCH(B52,pr_code,0))="","",INDEX(pr_rate,MATCH(B52,pr_code,0))),""))))</f>
        <v/>
      </c>
      <c r="L52" s="65" t="str">
        <f>IF(COUNTA(A52:G52)=0,"",IF(AND(ISNUMBER(D52),ISNUMBER(J52)),ROUND(D52*J52*(1-N(F52)),2),0))</f>
        <v/>
      </c>
      <c r="M52" s="62" t="str">
        <f>IF(A52="","",IFERROR(INDEX(dv_cname,MATCH(A52,dv_num,0))&amp;"",""))</f>
        <v/>
      </c>
      <c r="N52" s="59" t="str">
        <f>IF(COUNTA(A52:G52)=0,"",IF(A52="","N° devis manquant",IF(ISNA(MATCH(A52,dv_num,0)),"Devis inconnu",IF(AND(B52&lt;&gt;"",ISNA(MATCH(B52,pr_code,0))),"Article inconnu",IF(H52="","Désignation manquante",IF(OR(NOT(ISNUMBER(D52)),N(D52)&lt;=0),"Quantité invalide",IF(J52="","Prix manquant",IF(OR(NOT(ISNUMBER(J52)),N(J52)&lt;0),"Prix invalide",IF(OR(AND(F52&lt;&gt;"",NOT(ISNUMBER(F52))),N(F52)&lt;0,N(F52)&gt;1),"Remise invalide",IF(K52="","Taux de TVA manquant",IF(NOT(ISNUMBER(K52)),"Taux de TVA invalide",IF(COUNTIF(p_rates,K52)=0,"Taux de TVA hors liste (Paramètres)",IF(N(O52)&gt;25,"Au-delà de 25 lignes : non imprimée","OK")))))))))))))</f>
        <v/>
      </c>
      <c r="O52" s="59" t="str">
        <f>IF(A52="","",COUNTIF($A$6:A52,A52))</f>
        <v/>
      </c>
      <c r="P52" s="62" t="str">
        <f>IF(A52="","",A52&amp;"|"&amp;O52)</f>
        <v/>
      </c>
    </row>
    <row r="53">
      <c r="A53" s="60" t="n"/>
      <c r="B53" s="63" t="n"/>
      <c r="C53" s="63" t="n"/>
      <c r="D53" s="67" t="n"/>
      <c r="E53" s="68" t="n"/>
      <c r="F53" s="69" t="n"/>
      <c r="G53" s="70" t="n"/>
      <c r="H53" s="62" t="str">
        <f>IF(COUNTA(A53:G53)=0,"",IF(C53&lt;&gt;"",C53,IF(B53="","",IFERROR(INDEX(pr_des,MATCH(B53,pr_code,0))&amp;"",""))))</f>
        <v/>
      </c>
      <c r="I53" s="59" t="str">
        <f>IF(B53="","",IFERROR(INDEX(pr_unit,MATCH(B53,pr_code,0))&amp;"",""))</f>
        <v/>
      </c>
      <c r="J53" s="65" t="str">
        <f>IF(COUNTA(A53:G53)=0,"",IF(E53&lt;&gt;"",E53,IF(B53="","",IFERROR(IF(INDEX(pr_price,MATCH(B53,pr_code,0))="","",INDEX(pr_price,MATCH(B53,pr_code,0))),""))))</f>
        <v/>
      </c>
      <c r="K53" s="71" t="str">
        <f>IF(COUNTA(A53:G53)=0,"",IF(G53&lt;&gt;"",G53,IF(B53="","",IFERROR(IF(INDEX(pr_rate,MATCH(B53,pr_code,0))="","",INDEX(pr_rate,MATCH(B53,pr_code,0))),""))))</f>
        <v/>
      </c>
      <c r="L53" s="65" t="str">
        <f>IF(COUNTA(A53:G53)=0,"",IF(AND(ISNUMBER(D53),ISNUMBER(J53)),ROUND(D53*J53*(1-N(F53)),2),0))</f>
        <v/>
      </c>
      <c r="M53" s="62" t="str">
        <f>IF(A53="","",IFERROR(INDEX(dv_cname,MATCH(A53,dv_num,0))&amp;"",""))</f>
        <v/>
      </c>
      <c r="N53" s="59" t="str">
        <f>IF(COUNTA(A53:G53)=0,"",IF(A53="","N° devis manquant",IF(ISNA(MATCH(A53,dv_num,0)),"Devis inconnu",IF(AND(B53&lt;&gt;"",ISNA(MATCH(B53,pr_code,0))),"Article inconnu",IF(H53="","Désignation manquante",IF(OR(NOT(ISNUMBER(D53)),N(D53)&lt;=0),"Quantité invalide",IF(J53="","Prix manquant",IF(OR(NOT(ISNUMBER(J53)),N(J53)&lt;0),"Prix invalide",IF(OR(AND(F53&lt;&gt;"",NOT(ISNUMBER(F53))),N(F53)&lt;0,N(F53)&gt;1),"Remise invalide",IF(K53="","Taux de TVA manquant",IF(NOT(ISNUMBER(K53)),"Taux de TVA invalide",IF(COUNTIF(p_rates,K53)=0,"Taux de TVA hors liste (Paramètres)",IF(N(O53)&gt;25,"Au-delà de 25 lignes : non imprimée","OK")))))))))))))</f>
        <v/>
      </c>
      <c r="O53" s="59" t="str">
        <f>IF(A53="","",COUNTIF($A$6:A53,A53))</f>
        <v/>
      </c>
      <c r="P53" s="62" t="str">
        <f>IF(A53="","",A53&amp;"|"&amp;O53)</f>
        <v/>
      </c>
    </row>
    <row r="54">
      <c r="A54" s="60" t="n"/>
      <c r="B54" s="63" t="n"/>
      <c r="C54" s="63" t="n"/>
      <c r="D54" s="67" t="n"/>
      <c r="E54" s="68" t="n"/>
      <c r="F54" s="69" t="n"/>
      <c r="G54" s="70" t="n"/>
      <c r="H54" s="62" t="str">
        <f>IF(COUNTA(A54:G54)=0,"",IF(C54&lt;&gt;"",C54,IF(B54="","",IFERROR(INDEX(pr_des,MATCH(B54,pr_code,0))&amp;"",""))))</f>
        <v/>
      </c>
      <c r="I54" s="59" t="str">
        <f>IF(B54="","",IFERROR(INDEX(pr_unit,MATCH(B54,pr_code,0))&amp;"",""))</f>
        <v/>
      </c>
      <c r="J54" s="65" t="str">
        <f>IF(COUNTA(A54:G54)=0,"",IF(E54&lt;&gt;"",E54,IF(B54="","",IFERROR(IF(INDEX(pr_price,MATCH(B54,pr_code,0))="","",INDEX(pr_price,MATCH(B54,pr_code,0))),""))))</f>
        <v/>
      </c>
      <c r="K54" s="71" t="str">
        <f>IF(COUNTA(A54:G54)=0,"",IF(G54&lt;&gt;"",G54,IF(B54="","",IFERROR(IF(INDEX(pr_rate,MATCH(B54,pr_code,0))="","",INDEX(pr_rate,MATCH(B54,pr_code,0))),""))))</f>
        <v/>
      </c>
      <c r="L54" s="65" t="str">
        <f>IF(COUNTA(A54:G54)=0,"",IF(AND(ISNUMBER(D54),ISNUMBER(J54)),ROUND(D54*J54*(1-N(F54)),2),0))</f>
        <v/>
      </c>
      <c r="M54" s="62" t="str">
        <f>IF(A54="","",IFERROR(INDEX(dv_cname,MATCH(A54,dv_num,0))&amp;"",""))</f>
        <v/>
      </c>
      <c r="N54" s="59" t="str">
        <f>IF(COUNTA(A54:G54)=0,"",IF(A54="","N° devis manquant",IF(ISNA(MATCH(A54,dv_num,0)),"Devis inconnu",IF(AND(B54&lt;&gt;"",ISNA(MATCH(B54,pr_code,0))),"Article inconnu",IF(H54="","Désignation manquante",IF(OR(NOT(ISNUMBER(D54)),N(D54)&lt;=0),"Quantité invalide",IF(J54="","Prix manquant",IF(OR(NOT(ISNUMBER(J54)),N(J54)&lt;0),"Prix invalide",IF(OR(AND(F54&lt;&gt;"",NOT(ISNUMBER(F54))),N(F54)&lt;0,N(F54)&gt;1),"Remise invalide",IF(K54="","Taux de TVA manquant",IF(NOT(ISNUMBER(K54)),"Taux de TVA invalide",IF(COUNTIF(p_rates,K54)=0,"Taux de TVA hors liste (Paramètres)",IF(N(O54)&gt;25,"Au-delà de 25 lignes : non imprimée","OK")))))))))))))</f>
        <v/>
      </c>
      <c r="O54" s="59" t="str">
        <f>IF(A54="","",COUNTIF($A$6:A54,A54))</f>
        <v/>
      </c>
      <c r="P54" s="62" t="str">
        <f>IF(A54="","",A54&amp;"|"&amp;O54)</f>
        <v/>
      </c>
    </row>
    <row r="55">
      <c r="A55" s="60" t="n"/>
      <c r="B55" s="63" t="n"/>
      <c r="C55" s="63" t="n"/>
      <c r="D55" s="67" t="n"/>
      <c r="E55" s="68" t="n"/>
      <c r="F55" s="69" t="n"/>
      <c r="G55" s="70" t="n"/>
      <c r="H55" s="62" t="str">
        <f>IF(COUNTA(A55:G55)=0,"",IF(C55&lt;&gt;"",C55,IF(B55="","",IFERROR(INDEX(pr_des,MATCH(B55,pr_code,0))&amp;"",""))))</f>
        <v/>
      </c>
      <c r="I55" s="59" t="str">
        <f>IF(B55="","",IFERROR(INDEX(pr_unit,MATCH(B55,pr_code,0))&amp;"",""))</f>
        <v/>
      </c>
      <c r="J55" s="65" t="str">
        <f>IF(COUNTA(A55:G55)=0,"",IF(E55&lt;&gt;"",E55,IF(B55="","",IFERROR(IF(INDEX(pr_price,MATCH(B55,pr_code,0))="","",INDEX(pr_price,MATCH(B55,pr_code,0))),""))))</f>
        <v/>
      </c>
      <c r="K55" s="71" t="str">
        <f>IF(COUNTA(A55:G55)=0,"",IF(G55&lt;&gt;"",G55,IF(B55="","",IFERROR(IF(INDEX(pr_rate,MATCH(B55,pr_code,0))="","",INDEX(pr_rate,MATCH(B55,pr_code,0))),""))))</f>
        <v/>
      </c>
      <c r="L55" s="65" t="str">
        <f>IF(COUNTA(A55:G55)=0,"",IF(AND(ISNUMBER(D55),ISNUMBER(J55)),ROUND(D55*J55*(1-N(F55)),2),0))</f>
        <v/>
      </c>
      <c r="M55" s="62" t="str">
        <f>IF(A55="","",IFERROR(INDEX(dv_cname,MATCH(A55,dv_num,0))&amp;"",""))</f>
        <v/>
      </c>
      <c r="N55" s="59" t="str">
        <f>IF(COUNTA(A55:G55)=0,"",IF(A55="","N° devis manquant",IF(ISNA(MATCH(A55,dv_num,0)),"Devis inconnu",IF(AND(B55&lt;&gt;"",ISNA(MATCH(B55,pr_code,0))),"Article inconnu",IF(H55="","Désignation manquante",IF(OR(NOT(ISNUMBER(D55)),N(D55)&lt;=0),"Quantité invalide",IF(J55="","Prix manquant",IF(OR(NOT(ISNUMBER(J55)),N(J55)&lt;0),"Prix invalide",IF(OR(AND(F55&lt;&gt;"",NOT(ISNUMBER(F55))),N(F55)&lt;0,N(F55)&gt;1),"Remise invalide",IF(K55="","Taux de TVA manquant",IF(NOT(ISNUMBER(K55)),"Taux de TVA invalide",IF(COUNTIF(p_rates,K55)=0,"Taux de TVA hors liste (Paramètres)",IF(N(O55)&gt;25,"Au-delà de 25 lignes : non imprimée","OK")))))))))))))</f>
        <v/>
      </c>
      <c r="O55" s="59" t="str">
        <f>IF(A55="","",COUNTIF($A$6:A55,A55))</f>
        <v/>
      </c>
      <c r="P55" s="62" t="str">
        <f>IF(A55="","",A55&amp;"|"&amp;O55)</f>
        <v/>
      </c>
    </row>
    <row r="56">
      <c r="A56" s="60" t="n"/>
      <c r="B56" s="63" t="n"/>
      <c r="C56" s="63" t="n"/>
      <c r="D56" s="67" t="n"/>
      <c r="E56" s="68" t="n"/>
      <c r="F56" s="69" t="n"/>
      <c r="G56" s="70" t="n"/>
      <c r="H56" s="62" t="str">
        <f>IF(COUNTA(A56:G56)=0,"",IF(C56&lt;&gt;"",C56,IF(B56="","",IFERROR(INDEX(pr_des,MATCH(B56,pr_code,0))&amp;"",""))))</f>
        <v/>
      </c>
      <c r="I56" s="59" t="str">
        <f>IF(B56="","",IFERROR(INDEX(pr_unit,MATCH(B56,pr_code,0))&amp;"",""))</f>
        <v/>
      </c>
      <c r="J56" s="65" t="str">
        <f>IF(COUNTA(A56:G56)=0,"",IF(E56&lt;&gt;"",E56,IF(B56="","",IFERROR(IF(INDEX(pr_price,MATCH(B56,pr_code,0))="","",INDEX(pr_price,MATCH(B56,pr_code,0))),""))))</f>
        <v/>
      </c>
      <c r="K56" s="71" t="str">
        <f>IF(COUNTA(A56:G56)=0,"",IF(G56&lt;&gt;"",G56,IF(B56="","",IFERROR(IF(INDEX(pr_rate,MATCH(B56,pr_code,0))="","",INDEX(pr_rate,MATCH(B56,pr_code,0))),""))))</f>
        <v/>
      </c>
      <c r="L56" s="65" t="str">
        <f>IF(COUNTA(A56:G56)=0,"",IF(AND(ISNUMBER(D56),ISNUMBER(J56)),ROUND(D56*J56*(1-N(F56)),2),0))</f>
        <v/>
      </c>
      <c r="M56" s="62" t="str">
        <f>IF(A56="","",IFERROR(INDEX(dv_cname,MATCH(A56,dv_num,0))&amp;"",""))</f>
        <v/>
      </c>
      <c r="N56" s="59" t="str">
        <f>IF(COUNTA(A56:G56)=0,"",IF(A56="","N° devis manquant",IF(ISNA(MATCH(A56,dv_num,0)),"Devis inconnu",IF(AND(B56&lt;&gt;"",ISNA(MATCH(B56,pr_code,0))),"Article inconnu",IF(H56="","Désignation manquante",IF(OR(NOT(ISNUMBER(D56)),N(D56)&lt;=0),"Quantité invalide",IF(J56="","Prix manquant",IF(OR(NOT(ISNUMBER(J56)),N(J56)&lt;0),"Prix invalide",IF(OR(AND(F56&lt;&gt;"",NOT(ISNUMBER(F56))),N(F56)&lt;0,N(F56)&gt;1),"Remise invalide",IF(K56="","Taux de TVA manquant",IF(NOT(ISNUMBER(K56)),"Taux de TVA invalide",IF(COUNTIF(p_rates,K56)=0,"Taux de TVA hors liste (Paramètres)",IF(N(O56)&gt;25,"Au-delà de 25 lignes : non imprimée","OK")))))))))))))</f>
        <v/>
      </c>
      <c r="O56" s="59" t="str">
        <f>IF(A56="","",COUNTIF($A$6:A56,A56))</f>
        <v/>
      </c>
      <c r="P56" s="62" t="str">
        <f>IF(A56="","",A56&amp;"|"&amp;O56)</f>
        <v/>
      </c>
    </row>
    <row r="57">
      <c r="A57" s="60" t="n"/>
      <c r="B57" s="63" t="n"/>
      <c r="C57" s="63" t="n"/>
      <c r="D57" s="67" t="n"/>
      <c r="E57" s="68" t="n"/>
      <c r="F57" s="69" t="n"/>
      <c r="G57" s="70" t="n"/>
      <c r="H57" s="62" t="str">
        <f>IF(COUNTA(A57:G57)=0,"",IF(C57&lt;&gt;"",C57,IF(B57="","",IFERROR(INDEX(pr_des,MATCH(B57,pr_code,0))&amp;"",""))))</f>
        <v/>
      </c>
      <c r="I57" s="59" t="str">
        <f>IF(B57="","",IFERROR(INDEX(pr_unit,MATCH(B57,pr_code,0))&amp;"",""))</f>
        <v/>
      </c>
      <c r="J57" s="65" t="str">
        <f>IF(COUNTA(A57:G57)=0,"",IF(E57&lt;&gt;"",E57,IF(B57="","",IFERROR(IF(INDEX(pr_price,MATCH(B57,pr_code,0))="","",INDEX(pr_price,MATCH(B57,pr_code,0))),""))))</f>
        <v/>
      </c>
      <c r="K57" s="71" t="str">
        <f>IF(COUNTA(A57:G57)=0,"",IF(G57&lt;&gt;"",G57,IF(B57="","",IFERROR(IF(INDEX(pr_rate,MATCH(B57,pr_code,0))="","",INDEX(pr_rate,MATCH(B57,pr_code,0))),""))))</f>
        <v/>
      </c>
      <c r="L57" s="65" t="str">
        <f>IF(COUNTA(A57:G57)=0,"",IF(AND(ISNUMBER(D57),ISNUMBER(J57)),ROUND(D57*J57*(1-N(F57)),2),0))</f>
        <v/>
      </c>
      <c r="M57" s="62" t="str">
        <f>IF(A57="","",IFERROR(INDEX(dv_cname,MATCH(A57,dv_num,0))&amp;"",""))</f>
        <v/>
      </c>
      <c r="N57" s="59" t="str">
        <f>IF(COUNTA(A57:G57)=0,"",IF(A57="","N° devis manquant",IF(ISNA(MATCH(A57,dv_num,0)),"Devis inconnu",IF(AND(B57&lt;&gt;"",ISNA(MATCH(B57,pr_code,0))),"Article inconnu",IF(H57="","Désignation manquante",IF(OR(NOT(ISNUMBER(D57)),N(D57)&lt;=0),"Quantité invalide",IF(J57="","Prix manquant",IF(OR(NOT(ISNUMBER(J57)),N(J57)&lt;0),"Prix invalide",IF(OR(AND(F57&lt;&gt;"",NOT(ISNUMBER(F57))),N(F57)&lt;0,N(F57)&gt;1),"Remise invalide",IF(K57="","Taux de TVA manquant",IF(NOT(ISNUMBER(K57)),"Taux de TVA invalide",IF(COUNTIF(p_rates,K57)=0,"Taux de TVA hors liste (Paramètres)",IF(N(O57)&gt;25,"Au-delà de 25 lignes : non imprimée","OK")))))))))))))</f>
        <v/>
      </c>
      <c r="O57" s="59" t="str">
        <f>IF(A57="","",COUNTIF($A$6:A57,A57))</f>
        <v/>
      </c>
      <c r="P57" s="62" t="str">
        <f>IF(A57="","",A57&amp;"|"&amp;O57)</f>
        <v/>
      </c>
    </row>
    <row r="58">
      <c r="A58" s="60" t="n"/>
      <c r="B58" s="63" t="n"/>
      <c r="C58" s="63" t="n"/>
      <c r="D58" s="67" t="n"/>
      <c r="E58" s="68" t="n"/>
      <c r="F58" s="69" t="n"/>
      <c r="G58" s="70" t="n"/>
      <c r="H58" s="62" t="str">
        <f>IF(COUNTA(A58:G58)=0,"",IF(C58&lt;&gt;"",C58,IF(B58="","",IFERROR(INDEX(pr_des,MATCH(B58,pr_code,0))&amp;"",""))))</f>
        <v/>
      </c>
      <c r="I58" s="59" t="str">
        <f>IF(B58="","",IFERROR(INDEX(pr_unit,MATCH(B58,pr_code,0))&amp;"",""))</f>
        <v/>
      </c>
      <c r="J58" s="65" t="str">
        <f>IF(COUNTA(A58:G58)=0,"",IF(E58&lt;&gt;"",E58,IF(B58="","",IFERROR(IF(INDEX(pr_price,MATCH(B58,pr_code,0))="","",INDEX(pr_price,MATCH(B58,pr_code,0))),""))))</f>
        <v/>
      </c>
      <c r="K58" s="71" t="str">
        <f>IF(COUNTA(A58:G58)=0,"",IF(G58&lt;&gt;"",G58,IF(B58="","",IFERROR(IF(INDEX(pr_rate,MATCH(B58,pr_code,0))="","",INDEX(pr_rate,MATCH(B58,pr_code,0))),""))))</f>
        <v/>
      </c>
      <c r="L58" s="65" t="str">
        <f>IF(COUNTA(A58:G58)=0,"",IF(AND(ISNUMBER(D58),ISNUMBER(J58)),ROUND(D58*J58*(1-N(F58)),2),0))</f>
        <v/>
      </c>
      <c r="M58" s="62" t="str">
        <f>IF(A58="","",IFERROR(INDEX(dv_cname,MATCH(A58,dv_num,0))&amp;"",""))</f>
        <v/>
      </c>
      <c r="N58" s="59" t="str">
        <f>IF(COUNTA(A58:G58)=0,"",IF(A58="","N° devis manquant",IF(ISNA(MATCH(A58,dv_num,0)),"Devis inconnu",IF(AND(B58&lt;&gt;"",ISNA(MATCH(B58,pr_code,0))),"Article inconnu",IF(H58="","Désignation manquante",IF(OR(NOT(ISNUMBER(D58)),N(D58)&lt;=0),"Quantité invalide",IF(J58="","Prix manquant",IF(OR(NOT(ISNUMBER(J58)),N(J58)&lt;0),"Prix invalide",IF(OR(AND(F58&lt;&gt;"",NOT(ISNUMBER(F58))),N(F58)&lt;0,N(F58)&gt;1),"Remise invalide",IF(K58="","Taux de TVA manquant",IF(NOT(ISNUMBER(K58)),"Taux de TVA invalide",IF(COUNTIF(p_rates,K58)=0,"Taux de TVA hors liste (Paramètres)",IF(N(O58)&gt;25,"Au-delà de 25 lignes : non imprimée","OK")))))))))))))</f>
        <v/>
      </c>
      <c r="O58" s="59" t="str">
        <f>IF(A58="","",COUNTIF($A$6:A58,A58))</f>
        <v/>
      </c>
      <c r="P58" s="62" t="str">
        <f>IF(A58="","",A58&amp;"|"&amp;O58)</f>
        <v/>
      </c>
    </row>
    <row r="59">
      <c r="A59" s="60" t="n"/>
      <c r="B59" s="63" t="n"/>
      <c r="C59" s="63" t="n"/>
      <c r="D59" s="67" t="n"/>
      <c r="E59" s="68" t="n"/>
      <c r="F59" s="69" t="n"/>
      <c r="G59" s="70" t="n"/>
      <c r="H59" s="62" t="str">
        <f>IF(COUNTA(A59:G59)=0,"",IF(C59&lt;&gt;"",C59,IF(B59="","",IFERROR(INDEX(pr_des,MATCH(B59,pr_code,0))&amp;"",""))))</f>
        <v/>
      </c>
      <c r="I59" s="59" t="str">
        <f>IF(B59="","",IFERROR(INDEX(pr_unit,MATCH(B59,pr_code,0))&amp;"",""))</f>
        <v/>
      </c>
      <c r="J59" s="65" t="str">
        <f>IF(COUNTA(A59:G59)=0,"",IF(E59&lt;&gt;"",E59,IF(B59="","",IFERROR(IF(INDEX(pr_price,MATCH(B59,pr_code,0))="","",INDEX(pr_price,MATCH(B59,pr_code,0))),""))))</f>
        <v/>
      </c>
      <c r="K59" s="71" t="str">
        <f>IF(COUNTA(A59:G59)=0,"",IF(G59&lt;&gt;"",G59,IF(B59="","",IFERROR(IF(INDEX(pr_rate,MATCH(B59,pr_code,0))="","",INDEX(pr_rate,MATCH(B59,pr_code,0))),""))))</f>
        <v/>
      </c>
      <c r="L59" s="65" t="str">
        <f>IF(COUNTA(A59:G59)=0,"",IF(AND(ISNUMBER(D59),ISNUMBER(J59)),ROUND(D59*J59*(1-N(F59)),2),0))</f>
        <v/>
      </c>
      <c r="M59" s="62" t="str">
        <f>IF(A59="","",IFERROR(INDEX(dv_cname,MATCH(A59,dv_num,0))&amp;"",""))</f>
        <v/>
      </c>
      <c r="N59" s="59" t="str">
        <f>IF(COUNTA(A59:G59)=0,"",IF(A59="","N° devis manquant",IF(ISNA(MATCH(A59,dv_num,0)),"Devis inconnu",IF(AND(B59&lt;&gt;"",ISNA(MATCH(B59,pr_code,0))),"Article inconnu",IF(H59="","Désignation manquante",IF(OR(NOT(ISNUMBER(D59)),N(D59)&lt;=0),"Quantité invalide",IF(J59="","Prix manquant",IF(OR(NOT(ISNUMBER(J59)),N(J59)&lt;0),"Prix invalide",IF(OR(AND(F59&lt;&gt;"",NOT(ISNUMBER(F59))),N(F59)&lt;0,N(F59)&gt;1),"Remise invalide",IF(K59="","Taux de TVA manquant",IF(NOT(ISNUMBER(K59)),"Taux de TVA invalide",IF(COUNTIF(p_rates,K59)=0,"Taux de TVA hors liste (Paramètres)",IF(N(O59)&gt;25,"Au-delà de 25 lignes : non imprimée","OK")))))))))))))</f>
        <v/>
      </c>
      <c r="O59" s="59" t="str">
        <f>IF(A59="","",COUNTIF($A$6:A59,A59))</f>
        <v/>
      </c>
      <c r="P59" s="62" t="str">
        <f>IF(A59="","",A59&amp;"|"&amp;O59)</f>
        <v/>
      </c>
    </row>
    <row r="60">
      <c r="A60" s="60" t="n"/>
      <c r="B60" s="63" t="n"/>
      <c r="C60" s="63" t="n"/>
      <c r="D60" s="67" t="n"/>
      <c r="E60" s="68" t="n"/>
      <c r="F60" s="69" t="n"/>
      <c r="G60" s="70" t="n"/>
      <c r="H60" s="62" t="str">
        <f>IF(COUNTA(A60:G60)=0,"",IF(C60&lt;&gt;"",C60,IF(B60="","",IFERROR(INDEX(pr_des,MATCH(B60,pr_code,0))&amp;"",""))))</f>
        <v/>
      </c>
      <c r="I60" s="59" t="str">
        <f>IF(B60="","",IFERROR(INDEX(pr_unit,MATCH(B60,pr_code,0))&amp;"",""))</f>
        <v/>
      </c>
      <c r="J60" s="65" t="str">
        <f>IF(COUNTA(A60:G60)=0,"",IF(E60&lt;&gt;"",E60,IF(B60="","",IFERROR(IF(INDEX(pr_price,MATCH(B60,pr_code,0))="","",INDEX(pr_price,MATCH(B60,pr_code,0))),""))))</f>
        <v/>
      </c>
      <c r="K60" s="71" t="str">
        <f>IF(COUNTA(A60:G60)=0,"",IF(G60&lt;&gt;"",G60,IF(B60="","",IFERROR(IF(INDEX(pr_rate,MATCH(B60,pr_code,0))="","",INDEX(pr_rate,MATCH(B60,pr_code,0))),""))))</f>
        <v/>
      </c>
      <c r="L60" s="65" t="str">
        <f>IF(COUNTA(A60:G60)=0,"",IF(AND(ISNUMBER(D60),ISNUMBER(J60)),ROUND(D60*J60*(1-N(F60)),2),0))</f>
        <v/>
      </c>
      <c r="M60" s="62" t="str">
        <f>IF(A60="","",IFERROR(INDEX(dv_cname,MATCH(A60,dv_num,0))&amp;"",""))</f>
        <v/>
      </c>
      <c r="N60" s="59" t="str">
        <f>IF(COUNTA(A60:G60)=0,"",IF(A60="","N° devis manquant",IF(ISNA(MATCH(A60,dv_num,0)),"Devis inconnu",IF(AND(B60&lt;&gt;"",ISNA(MATCH(B60,pr_code,0))),"Article inconnu",IF(H60="","Désignation manquante",IF(OR(NOT(ISNUMBER(D60)),N(D60)&lt;=0),"Quantité invalide",IF(J60="","Prix manquant",IF(OR(NOT(ISNUMBER(J60)),N(J60)&lt;0),"Prix invalide",IF(OR(AND(F60&lt;&gt;"",NOT(ISNUMBER(F60))),N(F60)&lt;0,N(F60)&gt;1),"Remise invalide",IF(K60="","Taux de TVA manquant",IF(NOT(ISNUMBER(K60)),"Taux de TVA invalide",IF(COUNTIF(p_rates,K60)=0,"Taux de TVA hors liste (Paramètres)",IF(N(O60)&gt;25,"Au-delà de 25 lignes : non imprimée","OK")))))))))))))</f>
        <v/>
      </c>
      <c r="O60" s="59" t="str">
        <f>IF(A60="","",COUNTIF($A$6:A60,A60))</f>
        <v/>
      </c>
      <c r="P60" s="62" t="str">
        <f>IF(A60="","",A60&amp;"|"&amp;O60)</f>
        <v/>
      </c>
    </row>
    <row r="61">
      <c r="A61" s="60" t="n"/>
      <c r="B61" s="63" t="n"/>
      <c r="C61" s="63" t="n"/>
      <c r="D61" s="67" t="n"/>
      <c r="E61" s="68" t="n"/>
      <c r="F61" s="69" t="n"/>
      <c r="G61" s="70" t="n"/>
      <c r="H61" s="62" t="str">
        <f>IF(COUNTA(A61:G61)=0,"",IF(C61&lt;&gt;"",C61,IF(B61="","",IFERROR(INDEX(pr_des,MATCH(B61,pr_code,0))&amp;"",""))))</f>
        <v/>
      </c>
      <c r="I61" s="59" t="str">
        <f>IF(B61="","",IFERROR(INDEX(pr_unit,MATCH(B61,pr_code,0))&amp;"",""))</f>
        <v/>
      </c>
      <c r="J61" s="65" t="str">
        <f>IF(COUNTA(A61:G61)=0,"",IF(E61&lt;&gt;"",E61,IF(B61="","",IFERROR(IF(INDEX(pr_price,MATCH(B61,pr_code,0))="","",INDEX(pr_price,MATCH(B61,pr_code,0))),""))))</f>
        <v/>
      </c>
      <c r="K61" s="71" t="str">
        <f>IF(COUNTA(A61:G61)=0,"",IF(G61&lt;&gt;"",G61,IF(B61="","",IFERROR(IF(INDEX(pr_rate,MATCH(B61,pr_code,0))="","",INDEX(pr_rate,MATCH(B61,pr_code,0))),""))))</f>
        <v/>
      </c>
      <c r="L61" s="65" t="str">
        <f>IF(COUNTA(A61:G61)=0,"",IF(AND(ISNUMBER(D61),ISNUMBER(J61)),ROUND(D61*J61*(1-N(F61)),2),0))</f>
        <v/>
      </c>
      <c r="M61" s="62" t="str">
        <f>IF(A61="","",IFERROR(INDEX(dv_cname,MATCH(A61,dv_num,0))&amp;"",""))</f>
        <v/>
      </c>
      <c r="N61" s="59" t="str">
        <f>IF(COUNTA(A61:G61)=0,"",IF(A61="","N° devis manquant",IF(ISNA(MATCH(A61,dv_num,0)),"Devis inconnu",IF(AND(B61&lt;&gt;"",ISNA(MATCH(B61,pr_code,0))),"Article inconnu",IF(H61="","Désignation manquante",IF(OR(NOT(ISNUMBER(D61)),N(D61)&lt;=0),"Quantité invalide",IF(J61="","Prix manquant",IF(OR(NOT(ISNUMBER(J61)),N(J61)&lt;0),"Prix invalide",IF(OR(AND(F61&lt;&gt;"",NOT(ISNUMBER(F61))),N(F61)&lt;0,N(F61)&gt;1),"Remise invalide",IF(K61="","Taux de TVA manquant",IF(NOT(ISNUMBER(K61)),"Taux de TVA invalide",IF(COUNTIF(p_rates,K61)=0,"Taux de TVA hors liste (Paramètres)",IF(N(O61)&gt;25,"Au-delà de 25 lignes : non imprimée","OK")))))))))))))</f>
        <v/>
      </c>
      <c r="O61" s="59" t="str">
        <f>IF(A61="","",COUNTIF($A$6:A61,A61))</f>
        <v/>
      </c>
      <c r="P61" s="62" t="str">
        <f>IF(A61="","",A61&amp;"|"&amp;O61)</f>
        <v/>
      </c>
    </row>
    <row r="62">
      <c r="A62" s="60" t="n"/>
      <c r="B62" s="63" t="n"/>
      <c r="C62" s="63" t="n"/>
      <c r="D62" s="67" t="n"/>
      <c r="E62" s="68" t="n"/>
      <c r="F62" s="69" t="n"/>
      <c r="G62" s="70" t="n"/>
      <c r="H62" s="62" t="str">
        <f>IF(COUNTA(A62:G62)=0,"",IF(C62&lt;&gt;"",C62,IF(B62="","",IFERROR(INDEX(pr_des,MATCH(B62,pr_code,0))&amp;"",""))))</f>
        <v/>
      </c>
      <c r="I62" s="59" t="str">
        <f>IF(B62="","",IFERROR(INDEX(pr_unit,MATCH(B62,pr_code,0))&amp;"",""))</f>
        <v/>
      </c>
      <c r="J62" s="65" t="str">
        <f>IF(COUNTA(A62:G62)=0,"",IF(E62&lt;&gt;"",E62,IF(B62="","",IFERROR(IF(INDEX(pr_price,MATCH(B62,pr_code,0))="","",INDEX(pr_price,MATCH(B62,pr_code,0))),""))))</f>
        <v/>
      </c>
      <c r="K62" s="71" t="str">
        <f>IF(COUNTA(A62:G62)=0,"",IF(G62&lt;&gt;"",G62,IF(B62="","",IFERROR(IF(INDEX(pr_rate,MATCH(B62,pr_code,0))="","",INDEX(pr_rate,MATCH(B62,pr_code,0))),""))))</f>
        <v/>
      </c>
      <c r="L62" s="65" t="str">
        <f>IF(COUNTA(A62:G62)=0,"",IF(AND(ISNUMBER(D62),ISNUMBER(J62)),ROUND(D62*J62*(1-N(F62)),2),0))</f>
        <v/>
      </c>
      <c r="M62" s="62" t="str">
        <f>IF(A62="","",IFERROR(INDEX(dv_cname,MATCH(A62,dv_num,0))&amp;"",""))</f>
        <v/>
      </c>
      <c r="N62" s="59" t="str">
        <f>IF(COUNTA(A62:G62)=0,"",IF(A62="","N° devis manquant",IF(ISNA(MATCH(A62,dv_num,0)),"Devis inconnu",IF(AND(B62&lt;&gt;"",ISNA(MATCH(B62,pr_code,0))),"Article inconnu",IF(H62="","Désignation manquante",IF(OR(NOT(ISNUMBER(D62)),N(D62)&lt;=0),"Quantité invalide",IF(J62="","Prix manquant",IF(OR(NOT(ISNUMBER(J62)),N(J62)&lt;0),"Prix invalide",IF(OR(AND(F62&lt;&gt;"",NOT(ISNUMBER(F62))),N(F62)&lt;0,N(F62)&gt;1),"Remise invalide",IF(K62="","Taux de TVA manquant",IF(NOT(ISNUMBER(K62)),"Taux de TVA invalide",IF(COUNTIF(p_rates,K62)=0,"Taux de TVA hors liste (Paramètres)",IF(N(O62)&gt;25,"Au-delà de 25 lignes : non imprimée","OK")))))))))))))</f>
        <v/>
      </c>
      <c r="O62" s="59" t="str">
        <f>IF(A62="","",COUNTIF($A$6:A62,A62))</f>
        <v/>
      </c>
      <c r="P62" s="62" t="str">
        <f>IF(A62="","",A62&amp;"|"&amp;O62)</f>
        <v/>
      </c>
    </row>
    <row r="63">
      <c r="A63" s="60" t="n"/>
      <c r="B63" s="63" t="n"/>
      <c r="C63" s="63" t="n"/>
      <c r="D63" s="67" t="n"/>
      <c r="E63" s="68" t="n"/>
      <c r="F63" s="69" t="n"/>
      <c r="G63" s="70" t="n"/>
      <c r="H63" s="62" t="str">
        <f>IF(COUNTA(A63:G63)=0,"",IF(C63&lt;&gt;"",C63,IF(B63="","",IFERROR(INDEX(pr_des,MATCH(B63,pr_code,0))&amp;"",""))))</f>
        <v/>
      </c>
      <c r="I63" s="59" t="str">
        <f>IF(B63="","",IFERROR(INDEX(pr_unit,MATCH(B63,pr_code,0))&amp;"",""))</f>
        <v/>
      </c>
      <c r="J63" s="65" t="str">
        <f>IF(COUNTA(A63:G63)=0,"",IF(E63&lt;&gt;"",E63,IF(B63="","",IFERROR(IF(INDEX(pr_price,MATCH(B63,pr_code,0))="","",INDEX(pr_price,MATCH(B63,pr_code,0))),""))))</f>
        <v/>
      </c>
      <c r="K63" s="71" t="str">
        <f>IF(COUNTA(A63:G63)=0,"",IF(G63&lt;&gt;"",G63,IF(B63="","",IFERROR(IF(INDEX(pr_rate,MATCH(B63,pr_code,0))="","",INDEX(pr_rate,MATCH(B63,pr_code,0))),""))))</f>
        <v/>
      </c>
      <c r="L63" s="65" t="str">
        <f>IF(COUNTA(A63:G63)=0,"",IF(AND(ISNUMBER(D63),ISNUMBER(J63)),ROUND(D63*J63*(1-N(F63)),2),0))</f>
        <v/>
      </c>
      <c r="M63" s="62" t="str">
        <f>IF(A63="","",IFERROR(INDEX(dv_cname,MATCH(A63,dv_num,0))&amp;"",""))</f>
        <v/>
      </c>
      <c r="N63" s="59" t="str">
        <f>IF(COUNTA(A63:G63)=0,"",IF(A63="","N° devis manquant",IF(ISNA(MATCH(A63,dv_num,0)),"Devis inconnu",IF(AND(B63&lt;&gt;"",ISNA(MATCH(B63,pr_code,0))),"Article inconnu",IF(H63="","Désignation manquante",IF(OR(NOT(ISNUMBER(D63)),N(D63)&lt;=0),"Quantité invalide",IF(J63="","Prix manquant",IF(OR(NOT(ISNUMBER(J63)),N(J63)&lt;0),"Prix invalide",IF(OR(AND(F63&lt;&gt;"",NOT(ISNUMBER(F63))),N(F63)&lt;0,N(F63)&gt;1),"Remise invalide",IF(K63="","Taux de TVA manquant",IF(NOT(ISNUMBER(K63)),"Taux de TVA invalide",IF(COUNTIF(p_rates,K63)=0,"Taux de TVA hors liste (Paramètres)",IF(N(O63)&gt;25,"Au-delà de 25 lignes : non imprimée","OK")))))))))))))</f>
        <v/>
      </c>
      <c r="O63" s="59" t="str">
        <f>IF(A63="","",COUNTIF($A$6:A63,A63))</f>
        <v/>
      </c>
      <c r="P63" s="62" t="str">
        <f>IF(A63="","",A63&amp;"|"&amp;O63)</f>
        <v/>
      </c>
    </row>
    <row r="64">
      <c r="A64" s="60" t="n"/>
      <c r="B64" s="63" t="n"/>
      <c r="C64" s="63" t="n"/>
      <c r="D64" s="67" t="n"/>
      <c r="E64" s="68" t="n"/>
      <c r="F64" s="69" t="n"/>
      <c r="G64" s="70" t="n"/>
      <c r="H64" s="62" t="str">
        <f>IF(COUNTA(A64:G64)=0,"",IF(C64&lt;&gt;"",C64,IF(B64="","",IFERROR(INDEX(pr_des,MATCH(B64,pr_code,0))&amp;"",""))))</f>
        <v/>
      </c>
      <c r="I64" s="59" t="str">
        <f>IF(B64="","",IFERROR(INDEX(pr_unit,MATCH(B64,pr_code,0))&amp;"",""))</f>
        <v/>
      </c>
      <c r="J64" s="65" t="str">
        <f>IF(COUNTA(A64:G64)=0,"",IF(E64&lt;&gt;"",E64,IF(B64="","",IFERROR(IF(INDEX(pr_price,MATCH(B64,pr_code,0))="","",INDEX(pr_price,MATCH(B64,pr_code,0))),""))))</f>
        <v/>
      </c>
      <c r="K64" s="71" t="str">
        <f>IF(COUNTA(A64:G64)=0,"",IF(G64&lt;&gt;"",G64,IF(B64="","",IFERROR(IF(INDEX(pr_rate,MATCH(B64,pr_code,0))="","",INDEX(pr_rate,MATCH(B64,pr_code,0))),""))))</f>
        <v/>
      </c>
      <c r="L64" s="65" t="str">
        <f>IF(COUNTA(A64:G64)=0,"",IF(AND(ISNUMBER(D64),ISNUMBER(J64)),ROUND(D64*J64*(1-N(F64)),2),0))</f>
        <v/>
      </c>
      <c r="M64" s="62" t="str">
        <f>IF(A64="","",IFERROR(INDEX(dv_cname,MATCH(A64,dv_num,0))&amp;"",""))</f>
        <v/>
      </c>
      <c r="N64" s="59" t="str">
        <f>IF(COUNTA(A64:G64)=0,"",IF(A64="","N° devis manquant",IF(ISNA(MATCH(A64,dv_num,0)),"Devis inconnu",IF(AND(B64&lt;&gt;"",ISNA(MATCH(B64,pr_code,0))),"Article inconnu",IF(H64="","Désignation manquante",IF(OR(NOT(ISNUMBER(D64)),N(D64)&lt;=0),"Quantité invalide",IF(J64="","Prix manquant",IF(OR(NOT(ISNUMBER(J64)),N(J64)&lt;0),"Prix invalide",IF(OR(AND(F64&lt;&gt;"",NOT(ISNUMBER(F64))),N(F64)&lt;0,N(F64)&gt;1),"Remise invalide",IF(K64="","Taux de TVA manquant",IF(NOT(ISNUMBER(K64)),"Taux de TVA invalide",IF(COUNTIF(p_rates,K64)=0,"Taux de TVA hors liste (Paramètres)",IF(N(O64)&gt;25,"Au-delà de 25 lignes : non imprimée","OK")))))))))))))</f>
        <v/>
      </c>
      <c r="O64" s="59" t="str">
        <f>IF(A64="","",COUNTIF($A$6:A64,A64))</f>
        <v/>
      </c>
      <c r="P64" s="62" t="str">
        <f>IF(A64="","",A64&amp;"|"&amp;O64)</f>
        <v/>
      </c>
    </row>
    <row r="65">
      <c r="A65" s="60" t="n"/>
      <c r="B65" s="63" t="n"/>
      <c r="C65" s="63" t="n"/>
      <c r="D65" s="67" t="n"/>
      <c r="E65" s="68" t="n"/>
      <c r="F65" s="69" t="n"/>
      <c r="G65" s="70" t="n"/>
      <c r="H65" s="62" t="str">
        <f>IF(COUNTA(A65:G65)=0,"",IF(C65&lt;&gt;"",C65,IF(B65="","",IFERROR(INDEX(pr_des,MATCH(B65,pr_code,0))&amp;"",""))))</f>
        <v/>
      </c>
      <c r="I65" s="59" t="str">
        <f>IF(B65="","",IFERROR(INDEX(pr_unit,MATCH(B65,pr_code,0))&amp;"",""))</f>
        <v/>
      </c>
      <c r="J65" s="65" t="str">
        <f>IF(COUNTA(A65:G65)=0,"",IF(E65&lt;&gt;"",E65,IF(B65="","",IFERROR(IF(INDEX(pr_price,MATCH(B65,pr_code,0))="","",INDEX(pr_price,MATCH(B65,pr_code,0))),""))))</f>
        <v/>
      </c>
      <c r="K65" s="71" t="str">
        <f>IF(COUNTA(A65:G65)=0,"",IF(G65&lt;&gt;"",G65,IF(B65="","",IFERROR(IF(INDEX(pr_rate,MATCH(B65,pr_code,0))="","",INDEX(pr_rate,MATCH(B65,pr_code,0))),""))))</f>
        <v/>
      </c>
      <c r="L65" s="65" t="str">
        <f>IF(COUNTA(A65:G65)=0,"",IF(AND(ISNUMBER(D65),ISNUMBER(J65)),ROUND(D65*J65*(1-N(F65)),2),0))</f>
        <v/>
      </c>
      <c r="M65" s="62" t="str">
        <f>IF(A65="","",IFERROR(INDEX(dv_cname,MATCH(A65,dv_num,0))&amp;"",""))</f>
        <v/>
      </c>
      <c r="N65" s="59" t="str">
        <f>IF(COUNTA(A65:G65)=0,"",IF(A65="","N° devis manquant",IF(ISNA(MATCH(A65,dv_num,0)),"Devis inconnu",IF(AND(B65&lt;&gt;"",ISNA(MATCH(B65,pr_code,0))),"Article inconnu",IF(H65="","Désignation manquante",IF(OR(NOT(ISNUMBER(D65)),N(D65)&lt;=0),"Quantité invalide",IF(J65="","Prix manquant",IF(OR(NOT(ISNUMBER(J65)),N(J65)&lt;0),"Prix invalide",IF(OR(AND(F65&lt;&gt;"",NOT(ISNUMBER(F65))),N(F65)&lt;0,N(F65)&gt;1),"Remise invalide",IF(K65="","Taux de TVA manquant",IF(NOT(ISNUMBER(K65)),"Taux de TVA invalide",IF(COUNTIF(p_rates,K65)=0,"Taux de TVA hors liste (Paramètres)",IF(N(O65)&gt;25,"Au-delà de 25 lignes : non imprimée","OK")))))))))))))</f>
        <v/>
      </c>
      <c r="O65" s="59" t="str">
        <f>IF(A65="","",COUNTIF($A$6:A65,A65))</f>
        <v/>
      </c>
      <c r="P65" s="62" t="str">
        <f>IF(A65="","",A65&amp;"|"&amp;O65)</f>
        <v/>
      </c>
    </row>
    <row r="66">
      <c r="A66" s="60" t="n"/>
      <c r="B66" s="63" t="n"/>
      <c r="C66" s="63" t="n"/>
      <c r="D66" s="67" t="n"/>
      <c r="E66" s="68" t="n"/>
      <c r="F66" s="69" t="n"/>
      <c r="G66" s="70" t="n"/>
      <c r="H66" s="62" t="str">
        <f>IF(COUNTA(A66:G66)=0,"",IF(C66&lt;&gt;"",C66,IF(B66="","",IFERROR(INDEX(pr_des,MATCH(B66,pr_code,0))&amp;"",""))))</f>
        <v/>
      </c>
      <c r="I66" s="59" t="str">
        <f>IF(B66="","",IFERROR(INDEX(pr_unit,MATCH(B66,pr_code,0))&amp;"",""))</f>
        <v/>
      </c>
      <c r="J66" s="65" t="str">
        <f>IF(COUNTA(A66:G66)=0,"",IF(E66&lt;&gt;"",E66,IF(B66="","",IFERROR(IF(INDEX(pr_price,MATCH(B66,pr_code,0))="","",INDEX(pr_price,MATCH(B66,pr_code,0))),""))))</f>
        <v/>
      </c>
      <c r="K66" s="71" t="str">
        <f>IF(COUNTA(A66:G66)=0,"",IF(G66&lt;&gt;"",G66,IF(B66="","",IFERROR(IF(INDEX(pr_rate,MATCH(B66,pr_code,0))="","",INDEX(pr_rate,MATCH(B66,pr_code,0))),""))))</f>
        <v/>
      </c>
      <c r="L66" s="65" t="str">
        <f>IF(COUNTA(A66:G66)=0,"",IF(AND(ISNUMBER(D66),ISNUMBER(J66)),ROUND(D66*J66*(1-N(F66)),2),0))</f>
        <v/>
      </c>
      <c r="M66" s="62" t="str">
        <f>IF(A66="","",IFERROR(INDEX(dv_cname,MATCH(A66,dv_num,0))&amp;"",""))</f>
        <v/>
      </c>
      <c r="N66" s="59" t="str">
        <f>IF(COUNTA(A66:G66)=0,"",IF(A66="","N° devis manquant",IF(ISNA(MATCH(A66,dv_num,0)),"Devis inconnu",IF(AND(B66&lt;&gt;"",ISNA(MATCH(B66,pr_code,0))),"Article inconnu",IF(H66="","Désignation manquante",IF(OR(NOT(ISNUMBER(D66)),N(D66)&lt;=0),"Quantité invalide",IF(J66="","Prix manquant",IF(OR(NOT(ISNUMBER(J66)),N(J66)&lt;0),"Prix invalide",IF(OR(AND(F66&lt;&gt;"",NOT(ISNUMBER(F66))),N(F66)&lt;0,N(F66)&gt;1),"Remise invalide",IF(K66="","Taux de TVA manquant",IF(NOT(ISNUMBER(K66)),"Taux de TVA invalide",IF(COUNTIF(p_rates,K66)=0,"Taux de TVA hors liste (Paramètres)",IF(N(O66)&gt;25,"Au-delà de 25 lignes : non imprimée","OK")))))))))))))</f>
        <v/>
      </c>
      <c r="O66" s="59" t="str">
        <f>IF(A66="","",COUNTIF($A$6:A66,A66))</f>
        <v/>
      </c>
      <c r="P66" s="62" t="str">
        <f>IF(A66="","",A66&amp;"|"&amp;O66)</f>
        <v/>
      </c>
    </row>
    <row r="67">
      <c r="A67" s="60" t="n"/>
      <c r="B67" s="63" t="n"/>
      <c r="C67" s="63" t="n"/>
      <c r="D67" s="67" t="n"/>
      <c r="E67" s="68" t="n"/>
      <c r="F67" s="69" t="n"/>
      <c r="G67" s="70" t="n"/>
      <c r="H67" s="62" t="str">
        <f>IF(COUNTA(A67:G67)=0,"",IF(C67&lt;&gt;"",C67,IF(B67="","",IFERROR(INDEX(pr_des,MATCH(B67,pr_code,0))&amp;"",""))))</f>
        <v/>
      </c>
      <c r="I67" s="59" t="str">
        <f>IF(B67="","",IFERROR(INDEX(pr_unit,MATCH(B67,pr_code,0))&amp;"",""))</f>
        <v/>
      </c>
      <c r="J67" s="65" t="str">
        <f>IF(COUNTA(A67:G67)=0,"",IF(E67&lt;&gt;"",E67,IF(B67="","",IFERROR(IF(INDEX(pr_price,MATCH(B67,pr_code,0))="","",INDEX(pr_price,MATCH(B67,pr_code,0))),""))))</f>
        <v/>
      </c>
      <c r="K67" s="71" t="str">
        <f>IF(COUNTA(A67:G67)=0,"",IF(G67&lt;&gt;"",G67,IF(B67="","",IFERROR(IF(INDEX(pr_rate,MATCH(B67,pr_code,0))="","",INDEX(pr_rate,MATCH(B67,pr_code,0))),""))))</f>
        <v/>
      </c>
      <c r="L67" s="65" t="str">
        <f>IF(COUNTA(A67:G67)=0,"",IF(AND(ISNUMBER(D67),ISNUMBER(J67)),ROUND(D67*J67*(1-N(F67)),2),0))</f>
        <v/>
      </c>
      <c r="M67" s="62" t="str">
        <f>IF(A67="","",IFERROR(INDEX(dv_cname,MATCH(A67,dv_num,0))&amp;"",""))</f>
        <v/>
      </c>
      <c r="N67" s="59" t="str">
        <f>IF(COUNTA(A67:G67)=0,"",IF(A67="","N° devis manquant",IF(ISNA(MATCH(A67,dv_num,0)),"Devis inconnu",IF(AND(B67&lt;&gt;"",ISNA(MATCH(B67,pr_code,0))),"Article inconnu",IF(H67="","Désignation manquante",IF(OR(NOT(ISNUMBER(D67)),N(D67)&lt;=0),"Quantité invalide",IF(J67="","Prix manquant",IF(OR(NOT(ISNUMBER(J67)),N(J67)&lt;0),"Prix invalide",IF(OR(AND(F67&lt;&gt;"",NOT(ISNUMBER(F67))),N(F67)&lt;0,N(F67)&gt;1),"Remise invalide",IF(K67="","Taux de TVA manquant",IF(NOT(ISNUMBER(K67)),"Taux de TVA invalide",IF(COUNTIF(p_rates,K67)=0,"Taux de TVA hors liste (Paramètres)",IF(N(O67)&gt;25,"Au-delà de 25 lignes : non imprimée","OK")))))))))))))</f>
        <v/>
      </c>
      <c r="O67" s="59" t="str">
        <f>IF(A67="","",COUNTIF($A$6:A67,A67))</f>
        <v/>
      </c>
      <c r="P67" s="62" t="str">
        <f>IF(A67="","",A67&amp;"|"&amp;O67)</f>
        <v/>
      </c>
    </row>
    <row r="68">
      <c r="A68" s="60" t="n"/>
      <c r="B68" s="63" t="n"/>
      <c r="C68" s="63" t="n"/>
      <c r="D68" s="67" t="n"/>
      <c r="E68" s="68" t="n"/>
      <c r="F68" s="69" t="n"/>
      <c r="G68" s="70" t="n"/>
      <c r="H68" s="62" t="str">
        <f>IF(COUNTA(A68:G68)=0,"",IF(C68&lt;&gt;"",C68,IF(B68="","",IFERROR(INDEX(pr_des,MATCH(B68,pr_code,0))&amp;"",""))))</f>
        <v/>
      </c>
      <c r="I68" s="59" t="str">
        <f>IF(B68="","",IFERROR(INDEX(pr_unit,MATCH(B68,pr_code,0))&amp;"",""))</f>
        <v/>
      </c>
      <c r="J68" s="65" t="str">
        <f>IF(COUNTA(A68:G68)=0,"",IF(E68&lt;&gt;"",E68,IF(B68="","",IFERROR(IF(INDEX(pr_price,MATCH(B68,pr_code,0))="","",INDEX(pr_price,MATCH(B68,pr_code,0))),""))))</f>
        <v/>
      </c>
      <c r="K68" s="71" t="str">
        <f>IF(COUNTA(A68:G68)=0,"",IF(G68&lt;&gt;"",G68,IF(B68="","",IFERROR(IF(INDEX(pr_rate,MATCH(B68,pr_code,0))="","",INDEX(pr_rate,MATCH(B68,pr_code,0))),""))))</f>
        <v/>
      </c>
      <c r="L68" s="65" t="str">
        <f>IF(COUNTA(A68:G68)=0,"",IF(AND(ISNUMBER(D68),ISNUMBER(J68)),ROUND(D68*J68*(1-N(F68)),2),0))</f>
        <v/>
      </c>
      <c r="M68" s="62" t="str">
        <f>IF(A68="","",IFERROR(INDEX(dv_cname,MATCH(A68,dv_num,0))&amp;"",""))</f>
        <v/>
      </c>
      <c r="N68" s="59" t="str">
        <f>IF(COUNTA(A68:G68)=0,"",IF(A68="","N° devis manquant",IF(ISNA(MATCH(A68,dv_num,0)),"Devis inconnu",IF(AND(B68&lt;&gt;"",ISNA(MATCH(B68,pr_code,0))),"Article inconnu",IF(H68="","Désignation manquante",IF(OR(NOT(ISNUMBER(D68)),N(D68)&lt;=0),"Quantité invalide",IF(J68="","Prix manquant",IF(OR(NOT(ISNUMBER(J68)),N(J68)&lt;0),"Prix invalide",IF(OR(AND(F68&lt;&gt;"",NOT(ISNUMBER(F68))),N(F68)&lt;0,N(F68)&gt;1),"Remise invalide",IF(K68="","Taux de TVA manquant",IF(NOT(ISNUMBER(K68)),"Taux de TVA invalide",IF(COUNTIF(p_rates,K68)=0,"Taux de TVA hors liste (Paramètres)",IF(N(O68)&gt;25,"Au-delà de 25 lignes : non imprimée","OK")))))))))))))</f>
        <v/>
      </c>
      <c r="O68" s="59" t="str">
        <f>IF(A68="","",COUNTIF($A$6:A68,A68))</f>
        <v/>
      </c>
      <c r="P68" s="62" t="str">
        <f>IF(A68="","",A68&amp;"|"&amp;O68)</f>
        <v/>
      </c>
    </row>
    <row r="69">
      <c r="A69" s="60" t="n"/>
      <c r="B69" s="63" t="n"/>
      <c r="C69" s="63" t="n"/>
      <c r="D69" s="67" t="n"/>
      <c r="E69" s="68" t="n"/>
      <c r="F69" s="69" t="n"/>
      <c r="G69" s="70" t="n"/>
      <c r="H69" s="62" t="str">
        <f>IF(COUNTA(A69:G69)=0,"",IF(C69&lt;&gt;"",C69,IF(B69="","",IFERROR(INDEX(pr_des,MATCH(B69,pr_code,0))&amp;"",""))))</f>
        <v/>
      </c>
      <c r="I69" s="59" t="str">
        <f>IF(B69="","",IFERROR(INDEX(pr_unit,MATCH(B69,pr_code,0))&amp;"",""))</f>
        <v/>
      </c>
      <c r="J69" s="65" t="str">
        <f>IF(COUNTA(A69:G69)=0,"",IF(E69&lt;&gt;"",E69,IF(B69="","",IFERROR(IF(INDEX(pr_price,MATCH(B69,pr_code,0))="","",INDEX(pr_price,MATCH(B69,pr_code,0))),""))))</f>
        <v/>
      </c>
      <c r="K69" s="71" t="str">
        <f>IF(COUNTA(A69:G69)=0,"",IF(G69&lt;&gt;"",G69,IF(B69="","",IFERROR(IF(INDEX(pr_rate,MATCH(B69,pr_code,0))="","",INDEX(pr_rate,MATCH(B69,pr_code,0))),""))))</f>
        <v/>
      </c>
      <c r="L69" s="65" t="str">
        <f>IF(COUNTA(A69:G69)=0,"",IF(AND(ISNUMBER(D69),ISNUMBER(J69)),ROUND(D69*J69*(1-N(F69)),2),0))</f>
        <v/>
      </c>
      <c r="M69" s="62" t="str">
        <f>IF(A69="","",IFERROR(INDEX(dv_cname,MATCH(A69,dv_num,0))&amp;"",""))</f>
        <v/>
      </c>
      <c r="N69" s="59" t="str">
        <f>IF(COUNTA(A69:G69)=0,"",IF(A69="","N° devis manquant",IF(ISNA(MATCH(A69,dv_num,0)),"Devis inconnu",IF(AND(B69&lt;&gt;"",ISNA(MATCH(B69,pr_code,0))),"Article inconnu",IF(H69="","Désignation manquante",IF(OR(NOT(ISNUMBER(D69)),N(D69)&lt;=0),"Quantité invalide",IF(J69="","Prix manquant",IF(OR(NOT(ISNUMBER(J69)),N(J69)&lt;0),"Prix invalide",IF(OR(AND(F69&lt;&gt;"",NOT(ISNUMBER(F69))),N(F69)&lt;0,N(F69)&gt;1),"Remise invalide",IF(K69="","Taux de TVA manquant",IF(NOT(ISNUMBER(K69)),"Taux de TVA invalide",IF(COUNTIF(p_rates,K69)=0,"Taux de TVA hors liste (Paramètres)",IF(N(O69)&gt;25,"Au-delà de 25 lignes : non imprimée","OK")))))))))))))</f>
        <v/>
      </c>
      <c r="O69" s="59" t="str">
        <f>IF(A69="","",COUNTIF($A$6:A69,A69))</f>
        <v/>
      </c>
      <c r="P69" s="62" t="str">
        <f>IF(A69="","",A69&amp;"|"&amp;O69)</f>
        <v/>
      </c>
    </row>
    <row r="70">
      <c r="A70" s="60" t="n"/>
      <c r="B70" s="63" t="n"/>
      <c r="C70" s="63" t="n"/>
      <c r="D70" s="67" t="n"/>
      <c r="E70" s="68" t="n"/>
      <c r="F70" s="69" t="n"/>
      <c r="G70" s="70" t="n"/>
      <c r="H70" s="62" t="str">
        <f>IF(COUNTA(A70:G70)=0,"",IF(C70&lt;&gt;"",C70,IF(B70="","",IFERROR(INDEX(pr_des,MATCH(B70,pr_code,0))&amp;"",""))))</f>
        <v/>
      </c>
      <c r="I70" s="59" t="str">
        <f>IF(B70="","",IFERROR(INDEX(pr_unit,MATCH(B70,pr_code,0))&amp;"",""))</f>
        <v/>
      </c>
      <c r="J70" s="65" t="str">
        <f>IF(COUNTA(A70:G70)=0,"",IF(E70&lt;&gt;"",E70,IF(B70="","",IFERROR(IF(INDEX(pr_price,MATCH(B70,pr_code,0))="","",INDEX(pr_price,MATCH(B70,pr_code,0))),""))))</f>
        <v/>
      </c>
      <c r="K70" s="71" t="str">
        <f>IF(COUNTA(A70:G70)=0,"",IF(G70&lt;&gt;"",G70,IF(B70="","",IFERROR(IF(INDEX(pr_rate,MATCH(B70,pr_code,0))="","",INDEX(pr_rate,MATCH(B70,pr_code,0))),""))))</f>
        <v/>
      </c>
      <c r="L70" s="65" t="str">
        <f>IF(COUNTA(A70:G70)=0,"",IF(AND(ISNUMBER(D70),ISNUMBER(J70)),ROUND(D70*J70*(1-N(F70)),2),0))</f>
        <v/>
      </c>
      <c r="M70" s="62" t="str">
        <f>IF(A70="","",IFERROR(INDEX(dv_cname,MATCH(A70,dv_num,0))&amp;"",""))</f>
        <v/>
      </c>
      <c r="N70" s="59" t="str">
        <f>IF(COUNTA(A70:G70)=0,"",IF(A70="","N° devis manquant",IF(ISNA(MATCH(A70,dv_num,0)),"Devis inconnu",IF(AND(B70&lt;&gt;"",ISNA(MATCH(B70,pr_code,0))),"Article inconnu",IF(H70="","Désignation manquante",IF(OR(NOT(ISNUMBER(D70)),N(D70)&lt;=0),"Quantité invalide",IF(J70="","Prix manquant",IF(OR(NOT(ISNUMBER(J70)),N(J70)&lt;0),"Prix invalide",IF(OR(AND(F70&lt;&gt;"",NOT(ISNUMBER(F70))),N(F70)&lt;0,N(F70)&gt;1),"Remise invalide",IF(K70="","Taux de TVA manquant",IF(NOT(ISNUMBER(K70)),"Taux de TVA invalide",IF(COUNTIF(p_rates,K70)=0,"Taux de TVA hors liste (Paramètres)",IF(N(O70)&gt;25,"Au-delà de 25 lignes : non imprimée","OK")))))))))))))</f>
        <v/>
      </c>
      <c r="O70" s="59" t="str">
        <f>IF(A70="","",COUNTIF($A$6:A70,A70))</f>
        <v/>
      </c>
      <c r="P70" s="62" t="str">
        <f>IF(A70="","",A70&amp;"|"&amp;O70)</f>
        <v/>
      </c>
    </row>
    <row r="71">
      <c r="A71" s="60" t="n"/>
      <c r="B71" s="63" t="n"/>
      <c r="C71" s="63" t="n"/>
      <c r="D71" s="67" t="n"/>
      <c r="E71" s="68" t="n"/>
      <c r="F71" s="69" t="n"/>
      <c r="G71" s="70" t="n"/>
      <c r="H71" s="62" t="str">
        <f>IF(COUNTA(A71:G71)=0,"",IF(C71&lt;&gt;"",C71,IF(B71="","",IFERROR(INDEX(pr_des,MATCH(B71,pr_code,0))&amp;"",""))))</f>
        <v/>
      </c>
      <c r="I71" s="59" t="str">
        <f>IF(B71="","",IFERROR(INDEX(pr_unit,MATCH(B71,pr_code,0))&amp;"",""))</f>
        <v/>
      </c>
      <c r="J71" s="65" t="str">
        <f>IF(COUNTA(A71:G71)=0,"",IF(E71&lt;&gt;"",E71,IF(B71="","",IFERROR(IF(INDEX(pr_price,MATCH(B71,pr_code,0))="","",INDEX(pr_price,MATCH(B71,pr_code,0))),""))))</f>
        <v/>
      </c>
      <c r="K71" s="71" t="str">
        <f>IF(COUNTA(A71:G71)=0,"",IF(G71&lt;&gt;"",G71,IF(B71="","",IFERROR(IF(INDEX(pr_rate,MATCH(B71,pr_code,0))="","",INDEX(pr_rate,MATCH(B71,pr_code,0))),""))))</f>
        <v/>
      </c>
      <c r="L71" s="65" t="str">
        <f>IF(COUNTA(A71:G71)=0,"",IF(AND(ISNUMBER(D71),ISNUMBER(J71)),ROUND(D71*J71*(1-N(F71)),2),0))</f>
        <v/>
      </c>
      <c r="M71" s="62" t="str">
        <f>IF(A71="","",IFERROR(INDEX(dv_cname,MATCH(A71,dv_num,0))&amp;"",""))</f>
        <v/>
      </c>
      <c r="N71" s="59" t="str">
        <f>IF(COUNTA(A71:G71)=0,"",IF(A71="","N° devis manquant",IF(ISNA(MATCH(A71,dv_num,0)),"Devis inconnu",IF(AND(B71&lt;&gt;"",ISNA(MATCH(B71,pr_code,0))),"Article inconnu",IF(H71="","Désignation manquante",IF(OR(NOT(ISNUMBER(D71)),N(D71)&lt;=0),"Quantité invalide",IF(J71="","Prix manquant",IF(OR(NOT(ISNUMBER(J71)),N(J71)&lt;0),"Prix invalide",IF(OR(AND(F71&lt;&gt;"",NOT(ISNUMBER(F71))),N(F71)&lt;0,N(F71)&gt;1),"Remise invalide",IF(K71="","Taux de TVA manquant",IF(NOT(ISNUMBER(K71)),"Taux de TVA invalide",IF(COUNTIF(p_rates,K71)=0,"Taux de TVA hors liste (Paramètres)",IF(N(O71)&gt;25,"Au-delà de 25 lignes : non imprimée","OK")))))))))))))</f>
        <v/>
      </c>
      <c r="O71" s="59" t="str">
        <f>IF(A71="","",COUNTIF($A$6:A71,A71))</f>
        <v/>
      </c>
      <c r="P71" s="62" t="str">
        <f>IF(A71="","",A71&amp;"|"&amp;O71)</f>
        <v/>
      </c>
    </row>
    <row r="72">
      <c r="A72" s="60" t="n"/>
      <c r="B72" s="63" t="n"/>
      <c r="C72" s="63" t="n"/>
      <c r="D72" s="67" t="n"/>
      <c r="E72" s="68" t="n"/>
      <c r="F72" s="69" t="n"/>
      <c r="G72" s="70" t="n"/>
      <c r="H72" s="62" t="str">
        <f>IF(COUNTA(A72:G72)=0,"",IF(C72&lt;&gt;"",C72,IF(B72="","",IFERROR(INDEX(pr_des,MATCH(B72,pr_code,0))&amp;"",""))))</f>
        <v/>
      </c>
      <c r="I72" s="59" t="str">
        <f>IF(B72="","",IFERROR(INDEX(pr_unit,MATCH(B72,pr_code,0))&amp;"",""))</f>
        <v/>
      </c>
      <c r="J72" s="65" t="str">
        <f>IF(COUNTA(A72:G72)=0,"",IF(E72&lt;&gt;"",E72,IF(B72="","",IFERROR(IF(INDEX(pr_price,MATCH(B72,pr_code,0))="","",INDEX(pr_price,MATCH(B72,pr_code,0))),""))))</f>
        <v/>
      </c>
      <c r="K72" s="71" t="str">
        <f>IF(COUNTA(A72:G72)=0,"",IF(G72&lt;&gt;"",G72,IF(B72="","",IFERROR(IF(INDEX(pr_rate,MATCH(B72,pr_code,0))="","",INDEX(pr_rate,MATCH(B72,pr_code,0))),""))))</f>
        <v/>
      </c>
      <c r="L72" s="65" t="str">
        <f>IF(COUNTA(A72:G72)=0,"",IF(AND(ISNUMBER(D72),ISNUMBER(J72)),ROUND(D72*J72*(1-N(F72)),2),0))</f>
        <v/>
      </c>
      <c r="M72" s="62" t="str">
        <f>IF(A72="","",IFERROR(INDEX(dv_cname,MATCH(A72,dv_num,0))&amp;"",""))</f>
        <v/>
      </c>
      <c r="N72" s="59" t="str">
        <f>IF(COUNTA(A72:G72)=0,"",IF(A72="","N° devis manquant",IF(ISNA(MATCH(A72,dv_num,0)),"Devis inconnu",IF(AND(B72&lt;&gt;"",ISNA(MATCH(B72,pr_code,0))),"Article inconnu",IF(H72="","Désignation manquante",IF(OR(NOT(ISNUMBER(D72)),N(D72)&lt;=0),"Quantité invalide",IF(J72="","Prix manquant",IF(OR(NOT(ISNUMBER(J72)),N(J72)&lt;0),"Prix invalide",IF(OR(AND(F72&lt;&gt;"",NOT(ISNUMBER(F72))),N(F72)&lt;0,N(F72)&gt;1),"Remise invalide",IF(K72="","Taux de TVA manquant",IF(NOT(ISNUMBER(K72)),"Taux de TVA invalide",IF(COUNTIF(p_rates,K72)=0,"Taux de TVA hors liste (Paramètres)",IF(N(O72)&gt;25,"Au-delà de 25 lignes : non imprimée","OK")))))))))))))</f>
        <v/>
      </c>
      <c r="O72" s="59" t="str">
        <f>IF(A72="","",COUNTIF($A$6:A72,A72))</f>
        <v/>
      </c>
      <c r="P72" s="62" t="str">
        <f>IF(A72="","",A72&amp;"|"&amp;O72)</f>
        <v/>
      </c>
    </row>
    <row r="73">
      <c r="A73" s="60" t="n"/>
      <c r="B73" s="63" t="n"/>
      <c r="C73" s="63" t="n"/>
      <c r="D73" s="67" t="n"/>
      <c r="E73" s="68" t="n"/>
      <c r="F73" s="69" t="n"/>
      <c r="G73" s="70" t="n"/>
      <c r="H73" s="62" t="str">
        <f>IF(COUNTA(A73:G73)=0,"",IF(C73&lt;&gt;"",C73,IF(B73="","",IFERROR(INDEX(pr_des,MATCH(B73,pr_code,0))&amp;"",""))))</f>
        <v/>
      </c>
      <c r="I73" s="59" t="str">
        <f>IF(B73="","",IFERROR(INDEX(pr_unit,MATCH(B73,pr_code,0))&amp;"",""))</f>
        <v/>
      </c>
      <c r="J73" s="65" t="str">
        <f>IF(COUNTA(A73:G73)=0,"",IF(E73&lt;&gt;"",E73,IF(B73="","",IFERROR(IF(INDEX(pr_price,MATCH(B73,pr_code,0))="","",INDEX(pr_price,MATCH(B73,pr_code,0))),""))))</f>
        <v/>
      </c>
      <c r="K73" s="71" t="str">
        <f>IF(COUNTA(A73:G73)=0,"",IF(G73&lt;&gt;"",G73,IF(B73="","",IFERROR(IF(INDEX(pr_rate,MATCH(B73,pr_code,0))="","",INDEX(pr_rate,MATCH(B73,pr_code,0))),""))))</f>
        <v/>
      </c>
      <c r="L73" s="65" t="str">
        <f>IF(COUNTA(A73:G73)=0,"",IF(AND(ISNUMBER(D73),ISNUMBER(J73)),ROUND(D73*J73*(1-N(F73)),2),0))</f>
        <v/>
      </c>
      <c r="M73" s="62" t="str">
        <f>IF(A73="","",IFERROR(INDEX(dv_cname,MATCH(A73,dv_num,0))&amp;"",""))</f>
        <v/>
      </c>
      <c r="N73" s="59" t="str">
        <f>IF(COUNTA(A73:G73)=0,"",IF(A73="","N° devis manquant",IF(ISNA(MATCH(A73,dv_num,0)),"Devis inconnu",IF(AND(B73&lt;&gt;"",ISNA(MATCH(B73,pr_code,0))),"Article inconnu",IF(H73="","Désignation manquante",IF(OR(NOT(ISNUMBER(D73)),N(D73)&lt;=0),"Quantité invalide",IF(J73="","Prix manquant",IF(OR(NOT(ISNUMBER(J73)),N(J73)&lt;0),"Prix invalide",IF(OR(AND(F73&lt;&gt;"",NOT(ISNUMBER(F73))),N(F73)&lt;0,N(F73)&gt;1),"Remise invalide",IF(K73="","Taux de TVA manquant",IF(NOT(ISNUMBER(K73)),"Taux de TVA invalide",IF(COUNTIF(p_rates,K73)=0,"Taux de TVA hors liste (Paramètres)",IF(N(O73)&gt;25,"Au-delà de 25 lignes : non imprimée","OK")))))))))))))</f>
        <v/>
      </c>
      <c r="O73" s="59" t="str">
        <f>IF(A73="","",COUNTIF($A$6:A73,A73))</f>
        <v/>
      </c>
      <c r="P73" s="62" t="str">
        <f>IF(A73="","",A73&amp;"|"&amp;O73)</f>
        <v/>
      </c>
    </row>
    <row r="74">
      <c r="A74" s="60" t="n"/>
      <c r="B74" s="63" t="n"/>
      <c r="C74" s="63" t="n"/>
      <c r="D74" s="67" t="n"/>
      <c r="E74" s="68" t="n"/>
      <c r="F74" s="69" t="n"/>
      <c r="G74" s="70" t="n"/>
      <c r="H74" s="62" t="str">
        <f>IF(COUNTA(A74:G74)=0,"",IF(C74&lt;&gt;"",C74,IF(B74="","",IFERROR(INDEX(pr_des,MATCH(B74,pr_code,0))&amp;"",""))))</f>
        <v/>
      </c>
      <c r="I74" s="59" t="str">
        <f>IF(B74="","",IFERROR(INDEX(pr_unit,MATCH(B74,pr_code,0))&amp;"",""))</f>
        <v/>
      </c>
      <c r="J74" s="65" t="str">
        <f>IF(COUNTA(A74:G74)=0,"",IF(E74&lt;&gt;"",E74,IF(B74="","",IFERROR(IF(INDEX(pr_price,MATCH(B74,pr_code,0))="","",INDEX(pr_price,MATCH(B74,pr_code,0))),""))))</f>
        <v/>
      </c>
      <c r="K74" s="71" t="str">
        <f>IF(COUNTA(A74:G74)=0,"",IF(G74&lt;&gt;"",G74,IF(B74="","",IFERROR(IF(INDEX(pr_rate,MATCH(B74,pr_code,0))="","",INDEX(pr_rate,MATCH(B74,pr_code,0))),""))))</f>
        <v/>
      </c>
      <c r="L74" s="65" t="str">
        <f>IF(COUNTA(A74:G74)=0,"",IF(AND(ISNUMBER(D74),ISNUMBER(J74)),ROUND(D74*J74*(1-N(F74)),2),0))</f>
        <v/>
      </c>
      <c r="M74" s="62" t="str">
        <f>IF(A74="","",IFERROR(INDEX(dv_cname,MATCH(A74,dv_num,0))&amp;"",""))</f>
        <v/>
      </c>
      <c r="N74" s="59" t="str">
        <f>IF(COUNTA(A74:G74)=0,"",IF(A74="","N° devis manquant",IF(ISNA(MATCH(A74,dv_num,0)),"Devis inconnu",IF(AND(B74&lt;&gt;"",ISNA(MATCH(B74,pr_code,0))),"Article inconnu",IF(H74="","Désignation manquante",IF(OR(NOT(ISNUMBER(D74)),N(D74)&lt;=0),"Quantité invalide",IF(J74="","Prix manquant",IF(OR(NOT(ISNUMBER(J74)),N(J74)&lt;0),"Prix invalide",IF(OR(AND(F74&lt;&gt;"",NOT(ISNUMBER(F74))),N(F74)&lt;0,N(F74)&gt;1),"Remise invalide",IF(K74="","Taux de TVA manquant",IF(NOT(ISNUMBER(K74)),"Taux de TVA invalide",IF(COUNTIF(p_rates,K74)=0,"Taux de TVA hors liste (Paramètres)",IF(N(O74)&gt;25,"Au-delà de 25 lignes : non imprimée","OK")))))))))))))</f>
        <v/>
      </c>
      <c r="O74" s="59" t="str">
        <f>IF(A74="","",COUNTIF($A$6:A74,A74))</f>
        <v/>
      </c>
      <c r="P74" s="62" t="str">
        <f>IF(A74="","",A74&amp;"|"&amp;O74)</f>
        <v/>
      </c>
    </row>
    <row r="75">
      <c r="A75" s="60" t="n"/>
      <c r="B75" s="63" t="n"/>
      <c r="C75" s="63" t="n"/>
      <c r="D75" s="67" t="n"/>
      <c r="E75" s="68" t="n"/>
      <c r="F75" s="69" t="n"/>
      <c r="G75" s="70" t="n"/>
      <c r="H75" s="62" t="str">
        <f>IF(COUNTA(A75:G75)=0,"",IF(C75&lt;&gt;"",C75,IF(B75="","",IFERROR(INDEX(pr_des,MATCH(B75,pr_code,0))&amp;"",""))))</f>
        <v/>
      </c>
      <c r="I75" s="59" t="str">
        <f>IF(B75="","",IFERROR(INDEX(pr_unit,MATCH(B75,pr_code,0))&amp;"",""))</f>
        <v/>
      </c>
      <c r="J75" s="65" t="str">
        <f>IF(COUNTA(A75:G75)=0,"",IF(E75&lt;&gt;"",E75,IF(B75="","",IFERROR(IF(INDEX(pr_price,MATCH(B75,pr_code,0))="","",INDEX(pr_price,MATCH(B75,pr_code,0))),""))))</f>
        <v/>
      </c>
      <c r="K75" s="71" t="str">
        <f>IF(COUNTA(A75:G75)=0,"",IF(G75&lt;&gt;"",G75,IF(B75="","",IFERROR(IF(INDEX(pr_rate,MATCH(B75,pr_code,0))="","",INDEX(pr_rate,MATCH(B75,pr_code,0))),""))))</f>
        <v/>
      </c>
      <c r="L75" s="65" t="str">
        <f>IF(COUNTA(A75:G75)=0,"",IF(AND(ISNUMBER(D75),ISNUMBER(J75)),ROUND(D75*J75*(1-N(F75)),2),0))</f>
        <v/>
      </c>
      <c r="M75" s="62" t="str">
        <f>IF(A75="","",IFERROR(INDEX(dv_cname,MATCH(A75,dv_num,0))&amp;"",""))</f>
        <v/>
      </c>
      <c r="N75" s="59" t="str">
        <f>IF(COUNTA(A75:G75)=0,"",IF(A75="","N° devis manquant",IF(ISNA(MATCH(A75,dv_num,0)),"Devis inconnu",IF(AND(B75&lt;&gt;"",ISNA(MATCH(B75,pr_code,0))),"Article inconnu",IF(H75="","Désignation manquante",IF(OR(NOT(ISNUMBER(D75)),N(D75)&lt;=0),"Quantité invalide",IF(J75="","Prix manquant",IF(OR(NOT(ISNUMBER(J75)),N(J75)&lt;0),"Prix invalide",IF(OR(AND(F75&lt;&gt;"",NOT(ISNUMBER(F75))),N(F75)&lt;0,N(F75)&gt;1),"Remise invalide",IF(K75="","Taux de TVA manquant",IF(NOT(ISNUMBER(K75)),"Taux de TVA invalide",IF(COUNTIF(p_rates,K75)=0,"Taux de TVA hors liste (Paramètres)",IF(N(O75)&gt;25,"Au-delà de 25 lignes : non imprimée","OK")))))))))))))</f>
        <v/>
      </c>
      <c r="O75" s="59" t="str">
        <f>IF(A75="","",COUNTIF($A$6:A75,A75))</f>
        <v/>
      </c>
      <c r="P75" s="62" t="str">
        <f>IF(A75="","",A75&amp;"|"&amp;O75)</f>
        <v/>
      </c>
    </row>
    <row r="76">
      <c r="A76" s="60" t="n"/>
      <c r="B76" s="63" t="n"/>
      <c r="C76" s="63" t="n"/>
      <c r="D76" s="67" t="n"/>
      <c r="E76" s="68" t="n"/>
      <c r="F76" s="69" t="n"/>
      <c r="G76" s="70" t="n"/>
      <c r="H76" s="62" t="str">
        <f>IF(COUNTA(A76:G76)=0,"",IF(C76&lt;&gt;"",C76,IF(B76="","",IFERROR(INDEX(pr_des,MATCH(B76,pr_code,0))&amp;"",""))))</f>
        <v/>
      </c>
      <c r="I76" s="59" t="str">
        <f>IF(B76="","",IFERROR(INDEX(pr_unit,MATCH(B76,pr_code,0))&amp;"",""))</f>
        <v/>
      </c>
      <c r="J76" s="65" t="str">
        <f>IF(COUNTA(A76:G76)=0,"",IF(E76&lt;&gt;"",E76,IF(B76="","",IFERROR(IF(INDEX(pr_price,MATCH(B76,pr_code,0))="","",INDEX(pr_price,MATCH(B76,pr_code,0))),""))))</f>
        <v/>
      </c>
      <c r="K76" s="71" t="str">
        <f>IF(COUNTA(A76:G76)=0,"",IF(G76&lt;&gt;"",G76,IF(B76="","",IFERROR(IF(INDEX(pr_rate,MATCH(B76,pr_code,0))="","",INDEX(pr_rate,MATCH(B76,pr_code,0))),""))))</f>
        <v/>
      </c>
      <c r="L76" s="65" t="str">
        <f>IF(COUNTA(A76:G76)=0,"",IF(AND(ISNUMBER(D76),ISNUMBER(J76)),ROUND(D76*J76*(1-N(F76)),2),0))</f>
        <v/>
      </c>
      <c r="M76" s="62" t="str">
        <f>IF(A76="","",IFERROR(INDEX(dv_cname,MATCH(A76,dv_num,0))&amp;"",""))</f>
        <v/>
      </c>
      <c r="N76" s="59" t="str">
        <f>IF(COUNTA(A76:G76)=0,"",IF(A76="","N° devis manquant",IF(ISNA(MATCH(A76,dv_num,0)),"Devis inconnu",IF(AND(B76&lt;&gt;"",ISNA(MATCH(B76,pr_code,0))),"Article inconnu",IF(H76="","Désignation manquante",IF(OR(NOT(ISNUMBER(D76)),N(D76)&lt;=0),"Quantité invalide",IF(J76="","Prix manquant",IF(OR(NOT(ISNUMBER(J76)),N(J76)&lt;0),"Prix invalide",IF(OR(AND(F76&lt;&gt;"",NOT(ISNUMBER(F76))),N(F76)&lt;0,N(F76)&gt;1),"Remise invalide",IF(K76="","Taux de TVA manquant",IF(NOT(ISNUMBER(K76)),"Taux de TVA invalide",IF(COUNTIF(p_rates,K76)=0,"Taux de TVA hors liste (Paramètres)",IF(N(O76)&gt;25,"Au-delà de 25 lignes : non imprimée","OK")))))))))))))</f>
        <v/>
      </c>
      <c r="O76" s="59" t="str">
        <f>IF(A76="","",COUNTIF($A$6:A76,A76))</f>
        <v/>
      </c>
      <c r="P76" s="62" t="str">
        <f>IF(A76="","",A76&amp;"|"&amp;O76)</f>
        <v/>
      </c>
    </row>
    <row r="77">
      <c r="A77" s="60" t="n"/>
      <c r="B77" s="63" t="n"/>
      <c r="C77" s="63" t="n"/>
      <c r="D77" s="67" t="n"/>
      <c r="E77" s="68" t="n"/>
      <c r="F77" s="69" t="n"/>
      <c r="G77" s="70" t="n"/>
      <c r="H77" s="62" t="str">
        <f>IF(COUNTA(A77:G77)=0,"",IF(C77&lt;&gt;"",C77,IF(B77="","",IFERROR(INDEX(pr_des,MATCH(B77,pr_code,0))&amp;"",""))))</f>
        <v/>
      </c>
      <c r="I77" s="59" t="str">
        <f>IF(B77="","",IFERROR(INDEX(pr_unit,MATCH(B77,pr_code,0))&amp;"",""))</f>
        <v/>
      </c>
      <c r="J77" s="65" t="str">
        <f>IF(COUNTA(A77:G77)=0,"",IF(E77&lt;&gt;"",E77,IF(B77="","",IFERROR(IF(INDEX(pr_price,MATCH(B77,pr_code,0))="","",INDEX(pr_price,MATCH(B77,pr_code,0))),""))))</f>
        <v/>
      </c>
      <c r="K77" s="71" t="str">
        <f>IF(COUNTA(A77:G77)=0,"",IF(G77&lt;&gt;"",G77,IF(B77="","",IFERROR(IF(INDEX(pr_rate,MATCH(B77,pr_code,0))="","",INDEX(pr_rate,MATCH(B77,pr_code,0))),""))))</f>
        <v/>
      </c>
      <c r="L77" s="65" t="str">
        <f>IF(COUNTA(A77:G77)=0,"",IF(AND(ISNUMBER(D77),ISNUMBER(J77)),ROUND(D77*J77*(1-N(F77)),2),0))</f>
        <v/>
      </c>
      <c r="M77" s="62" t="str">
        <f>IF(A77="","",IFERROR(INDEX(dv_cname,MATCH(A77,dv_num,0))&amp;"",""))</f>
        <v/>
      </c>
      <c r="N77" s="59" t="str">
        <f>IF(COUNTA(A77:G77)=0,"",IF(A77="","N° devis manquant",IF(ISNA(MATCH(A77,dv_num,0)),"Devis inconnu",IF(AND(B77&lt;&gt;"",ISNA(MATCH(B77,pr_code,0))),"Article inconnu",IF(H77="","Désignation manquante",IF(OR(NOT(ISNUMBER(D77)),N(D77)&lt;=0),"Quantité invalide",IF(J77="","Prix manquant",IF(OR(NOT(ISNUMBER(J77)),N(J77)&lt;0),"Prix invalide",IF(OR(AND(F77&lt;&gt;"",NOT(ISNUMBER(F77))),N(F77)&lt;0,N(F77)&gt;1),"Remise invalide",IF(K77="","Taux de TVA manquant",IF(NOT(ISNUMBER(K77)),"Taux de TVA invalide",IF(COUNTIF(p_rates,K77)=0,"Taux de TVA hors liste (Paramètres)",IF(N(O77)&gt;25,"Au-delà de 25 lignes : non imprimée","OK")))))))))))))</f>
        <v/>
      </c>
      <c r="O77" s="59" t="str">
        <f>IF(A77="","",COUNTIF($A$6:A77,A77))</f>
        <v/>
      </c>
      <c r="P77" s="62" t="str">
        <f>IF(A77="","",A77&amp;"|"&amp;O77)</f>
        <v/>
      </c>
    </row>
    <row r="78">
      <c r="A78" s="60" t="n"/>
      <c r="B78" s="63" t="n"/>
      <c r="C78" s="63" t="n"/>
      <c r="D78" s="67" t="n"/>
      <c r="E78" s="68" t="n"/>
      <c r="F78" s="69" t="n"/>
      <c r="G78" s="70" t="n"/>
      <c r="H78" s="62" t="str">
        <f>IF(COUNTA(A78:G78)=0,"",IF(C78&lt;&gt;"",C78,IF(B78="","",IFERROR(INDEX(pr_des,MATCH(B78,pr_code,0))&amp;"",""))))</f>
        <v/>
      </c>
      <c r="I78" s="59" t="str">
        <f>IF(B78="","",IFERROR(INDEX(pr_unit,MATCH(B78,pr_code,0))&amp;"",""))</f>
        <v/>
      </c>
      <c r="J78" s="65" t="str">
        <f>IF(COUNTA(A78:G78)=0,"",IF(E78&lt;&gt;"",E78,IF(B78="","",IFERROR(IF(INDEX(pr_price,MATCH(B78,pr_code,0))="","",INDEX(pr_price,MATCH(B78,pr_code,0))),""))))</f>
        <v/>
      </c>
      <c r="K78" s="71" t="str">
        <f>IF(COUNTA(A78:G78)=0,"",IF(G78&lt;&gt;"",G78,IF(B78="","",IFERROR(IF(INDEX(pr_rate,MATCH(B78,pr_code,0))="","",INDEX(pr_rate,MATCH(B78,pr_code,0))),""))))</f>
        <v/>
      </c>
      <c r="L78" s="65" t="str">
        <f>IF(COUNTA(A78:G78)=0,"",IF(AND(ISNUMBER(D78),ISNUMBER(J78)),ROUND(D78*J78*(1-N(F78)),2),0))</f>
        <v/>
      </c>
      <c r="M78" s="62" t="str">
        <f>IF(A78="","",IFERROR(INDEX(dv_cname,MATCH(A78,dv_num,0))&amp;"",""))</f>
        <v/>
      </c>
      <c r="N78" s="59" t="str">
        <f>IF(COUNTA(A78:G78)=0,"",IF(A78="","N° devis manquant",IF(ISNA(MATCH(A78,dv_num,0)),"Devis inconnu",IF(AND(B78&lt;&gt;"",ISNA(MATCH(B78,pr_code,0))),"Article inconnu",IF(H78="","Désignation manquante",IF(OR(NOT(ISNUMBER(D78)),N(D78)&lt;=0),"Quantité invalide",IF(J78="","Prix manquant",IF(OR(NOT(ISNUMBER(J78)),N(J78)&lt;0),"Prix invalide",IF(OR(AND(F78&lt;&gt;"",NOT(ISNUMBER(F78))),N(F78)&lt;0,N(F78)&gt;1),"Remise invalide",IF(K78="","Taux de TVA manquant",IF(NOT(ISNUMBER(K78)),"Taux de TVA invalide",IF(COUNTIF(p_rates,K78)=0,"Taux de TVA hors liste (Paramètres)",IF(N(O78)&gt;25,"Au-delà de 25 lignes : non imprimée","OK")))))))))))))</f>
        <v/>
      </c>
      <c r="O78" s="59" t="str">
        <f>IF(A78="","",COUNTIF($A$6:A78,A78))</f>
        <v/>
      </c>
      <c r="P78" s="62" t="str">
        <f>IF(A78="","",A78&amp;"|"&amp;O78)</f>
        <v/>
      </c>
    </row>
    <row r="79">
      <c r="A79" s="60" t="n"/>
      <c r="B79" s="63" t="n"/>
      <c r="C79" s="63" t="n"/>
      <c r="D79" s="67" t="n"/>
      <c r="E79" s="68" t="n"/>
      <c r="F79" s="69" t="n"/>
      <c r="G79" s="70" t="n"/>
      <c r="H79" s="62" t="str">
        <f>IF(COUNTA(A79:G79)=0,"",IF(C79&lt;&gt;"",C79,IF(B79="","",IFERROR(INDEX(pr_des,MATCH(B79,pr_code,0))&amp;"",""))))</f>
        <v/>
      </c>
      <c r="I79" s="59" t="str">
        <f>IF(B79="","",IFERROR(INDEX(pr_unit,MATCH(B79,pr_code,0))&amp;"",""))</f>
        <v/>
      </c>
      <c r="J79" s="65" t="str">
        <f>IF(COUNTA(A79:G79)=0,"",IF(E79&lt;&gt;"",E79,IF(B79="","",IFERROR(IF(INDEX(pr_price,MATCH(B79,pr_code,0))="","",INDEX(pr_price,MATCH(B79,pr_code,0))),""))))</f>
        <v/>
      </c>
      <c r="K79" s="71" t="str">
        <f>IF(COUNTA(A79:G79)=0,"",IF(G79&lt;&gt;"",G79,IF(B79="","",IFERROR(IF(INDEX(pr_rate,MATCH(B79,pr_code,0))="","",INDEX(pr_rate,MATCH(B79,pr_code,0))),""))))</f>
        <v/>
      </c>
      <c r="L79" s="65" t="str">
        <f>IF(COUNTA(A79:G79)=0,"",IF(AND(ISNUMBER(D79),ISNUMBER(J79)),ROUND(D79*J79*(1-N(F79)),2),0))</f>
        <v/>
      </c>
      <c r="M79" s="62" t="str">
        <f>IF(A79="","",IFERROR(INDEX(dv_cname,MATCH(A79,dv_num,0))&amp;"",""))</f>
        <v/>
      </c>
      <c r="N79" s="59" t="str">
        <f>IF(COUNTA(A79:G79)=0,"",IF(A79="","N° devis manquant",IF(ISNA(MATCH(A79,dv_num,0)),"Devis inconnu",IF(AND(B79&lt;&gt;"",ISNA(MATCH(B79,pr_code,0))),"Article inconnu",IF(H79="","Désignation manquante",IF(OR(NOT(ISNUMBER(D79)),N(D79)&lt;=0),"Quantité invalide",IF(J79="","Prix manquant",IF(OR(NOT(ISNUMBER(J79)),N(J79)&lt;0),"Prix invalide",IF(OR(AND(F79&lt;&gt;"",NOT(ISNUMBER(F79))),N(F79)&lt;0,N(F79)&gt;1),"Remise invalide",IF(K79="","Taux de TVA manquant",IF(NOT(ISNUMBER(K79)),"Taux de TVA invalide",IF(COUNTIF(p_rates,K79)=0,"Taux de TVA hors liste (Paramètres)",IF(N(O79)&gt;25,"Au-delà de 25 lignes : non imprimée","OK")))))))))))))</f>
        <v/>
      </c>
      <c r="O79" s="59" t="str">
        <f>IF(A79="","",COUNTIF($A$6:A79,A79))</f>
        <v/>
      </c>
      <c r="P79" s="62" t="str">
        <f>IF(A79="","",A79&amp;"|"&amp;O79)</f>
        <v/>
      </c>
    </row>
    <row r="80">
      <c r="A80" s="60" t="n"/>
      <c r="B80" s="63" t="n"/>
      <c r="C80" s="63" t="n"/>
      <c r="D80" s="67" t="n"/>
      <c r="E80" s="68" t="n"/>
      <c r="F80" s="69" t="n"/>
      <c r="G80" s="70" t="n"/>
      <c r="H80" s="62" t="str">
        <f>IF(COUNTA(A80:G80)=0,"",IF(C80&lt;&gt;"",C80,IF(B80="","",IFERROR(INDEX(pr_des,MATCH(B80,pr_code,0))&amp;"",""))))</f>
        <v/>
      </c>
      <c r="I80" s="59" t="str">
        <f>IF(B80="","",IFERROR(INDEX(pr_unit,MATCH(B80,pr_code,0))&amp;"",""))</f>
        <v/>
      </c>
      <c r="J80" s="65" t="str">
        <f>IF(COUNTA(A80:G80)=0,"",IF(E80&lt;&gt;"",E80,IF(B80="","",IFERROR(IF(INDEX(pr_price,MATCH(B80,pr_code,0))="","",INDEX(pr_price,MATCH(B80,pr_code,0))),""))))</f>
        <v/>
      </c>
      <c r="K80" s="71" t="str">
        <f>IF(COUNTA(A80:G80)=0,"",IF(G80&lt;&gt;"",G80,IF(B80="","",IFERROR(IF(INDEX(pr_rate,MATCH(B80,pr_code,0))="","",INDEX(pr_rate,MATCH(B80,pr_code,0))),""))))</f>
        <v/>
      </c>
      <c r="L80" s="65" t="str">
        <f>IF(COUNTA(A80:G80)=0,"",IF(AND(ISNUMBER(D80),ISNUMBER(J80)),ROUND(D80*J80*(1-N(F80)),2),0))</f>
        <v/>
      </c>
      <c r="M80" s="62" t="str">
        <f>IF(A80="","",IFERROR(INDEX(dv_cname,MATCH(A80,dv_num,0))&amp;"",""))</f>
        <v/>
      </c>
      <c r="N80" s="59" t="str">
        <f>IF(COUNTA(A80:G80)=0,"",IF(A80="","N° devis manquant",IF(ISNA(MATCH(A80,dv_num,0)),"Devis inconnu",IF(AND(B80&lt;&gt;"",ISNA(MATCH(B80,pr_code,0))),"Article inconnu",IF(H80="","Désignation manquante",IF(OR(NOT(ISNUMBER(D80)),N(D80)&lt;=0),"Quantité invalide",IF(J80="","Prix manquant",IF(OR(NOT(ISNUMBER(J80)),N(J80)&lt;0),"Prix invalide",IF(OR(AND(F80&lt;&gt;"",NOT(ISNUMBER(F80))),N(F80)&lt;0,N(F80)&gt;1),"Remise invalide",IF(K80="","Taux de TVA manquant",IF(NOT(ISNUMBER(K80)),"Taux de TVA invalide",IF(COUNTIF(p_rates,K80)=0,"Taux de TVA hors liste (Paramètres)",IF(N(O80)&gt;25,"Au-delà de 25 lignes : non imprimée","OK")))))))))))))</f>
        <v/>
      </c>
      <c r="O80" s="59" t="str">
        <f>IF(A80="","",COUNTIF($A$6:A80,A80))</f>
        <v/>
      </c>
      <c r="P80" s="62" t="str">
        <f>IF(A80="","",A80&amp;"|"&amp;O80)</f>
        <v/>
      </c>
    </row>
    <row r="81">
      <c r="A81" s="60" t="n"/>
      <c r="B81" s="63" t="n"/>
      <c r="C81" s="63" t="n"/>
      <c r="D81" s="67" t="n"/>
      <c r="E81" s="68" t="n"/>
      <c r="F81" s="69" t="n"/>
      <c r="G81" s="70" t="n"/>
      <c r="H81" s="62" t="str">
        <f>IF(COUNTA(A81:G81)=0,"",IF(C81&lt;&gt;"",C81,IF(B81="","",IFERROR(INDEX(pr_des,MATCH(B81,pr_code,0))&amp;"",""))))</f>
        <v/>
      </c>
      <c r="I81" s="59" t="str">
        <f>IF(B81="","",IFERROR(INDEX(pr_unit,MATCH(B81,pr_code,0))&amp;"",""))</f>
        <v/>
      </c>
      <c r="J81" s="65" t="str">
        <f>IF(COUNTA(A81:G81)=0,"",IF(E81&lt;&gt;"",E81,IF(B81="","",IFERROR(IF(INDEX(pr_price,MATCH(B81,pr_code,0))="","",INDEX(pr_price,MATCH(B81,pr_code,0))),""))))</f>
        <v/>
      </c>
      <c r="K81" s="71" t="str">
        <f>IF(COUNTA(A81:G81)=0,"",IF(G81&lt;&gt;"",G81,IF(B81="","",IFERROR(IF(INDEX(pr_rate,MATCH(B81,pr_code,0))="","",INDEX(pr_rate,MATCH(B81,pr_code,0))),""))))</f>
        <v/>
      </c>
      <c r="L81" s="65" t="str">
        <f>IF(COUNTA(A81:G81)=0,"",IF(AND(ISNUMBER(D81),ISNUMBER(J81)),ROUND(D81*J81*(1-N(F81)),2),0))</f>
        <v/>
      </c>
      <c r="M81" s="62" t="str">
        <f>IF(A81="","",IFERROR(INDEX(dv_cname,MATCH(A81,dv_num,0))&amp;"",""))</f>
        <v/>
      </c>
      <c r="N81" s="59" t="str">
        <f>IF(COUNTA(A81:G81)=0,"",IF(A81="","N° devis manquant",IF(ISNA(MATCH(A81,dv_num,0)),"Devis inconnu",IF(AND(B81&lt;&gt;"",ISNA(MATCH(B81,pr_code,0))),"Article inconnu",IF(H81="","Désignation manquante",IF(OR(NOT(ISNUMBER(D81)),N(D81)&lt;=0),"Quantité invalide",IF(J81="","Prix manquant",IF(OR(NOT(ISNUMBER(J81)),N(J81)&lt;0),"Prix invalide",IF(OR(AND(F81&lt;&gt;"",NOT(ISNUMBER(F81))),N(F81)&lt;0,N(F81)&gt;1),"Remise invalide",IF(K81="","Taux de TVA manquant",IF(NOT(ISNUMBER(K81)),"Taux de TVA invalide",IF(COUNTIF(p_rates,K81)=0,"Taux de TVA hors liste (Paramètres)",IF(N(O81)&gt;25,"Au-delà de 25 lignes : non imprimée","OK")))))))))))))</f>
        <v/>
      </c>
      <c r="O81" s="59" t="str">
        <f>IF(A81="","",COUNTIF($A$6:A81,A81))</f>
        <v/>
      </c>
      <c r="P81" s="62" t="str">
        <f>IF(A81="","",A81&amp;"|"&amp;O81)</f>
        <v/>
      </c>
    </row>
    <row r="82">
      <c r="A82" s="60" t="n"/>
      <c r="B82" s="63" t="n"/>
      <c r="C82" s="63" t="n"/>
      <c r="D82" s="67" t="n"/>
      <c r="E82" s="68" t="n"/>
      <c r="F82" s="69" t="n"/>
      <c r="G82" s="70" t="n"/>
      <c r="H82" s="62" t="str">
        <f>IF(COUNTA(A82:G82)=0,"",IF(C82&lt;&gt;"",C82,IF(B82="","",IFERROR(INDEX(pr_des,MATCH(B82,pr_code,0))&amp;"",""))))</f>
        <v/>
      </c>
      <c r="I82" s="59" t="str">
        <f>IF(B82="","",IFERROR(INDEX(pr_unit,MATCH(B82,pr_code,0))&amp;"",""))</f>
        <v/>
      </c>
      <c r="J82" s="65" t="str">
        <f>IF(COUNTA(A82:G82)=0,"",IF(E82&lt;&gt;"",E82,IF(B82="","",IFERROR(IF(INDEX(pr_price,MATCH(B82,pr_code,0))="","",INDEX(pr_price,MATCH(B82,pr_code,0))),""))))</f>
        <v/>
      </c>
      <c r="K82" s="71" t="str">
        <f>IF(COUNTA(A82:G82)=0,"",IF(G82&lt;&gt;"",G82,IF(B82="","",IFERROR(IF(INDEX(pr_rate,MATCH(B82,pr_code,0))="","",INDEX(pr_rate,MATCH(B82,pr_code,0))),""))))</f>
        <v/>
      </c>
      <c r="L82" s="65" t="str">
        <f>IF(COUNTA(A82:G82)=0,"",IF(AND(ISNUMBER(D82),ISNUMBER(J82)),ROUND(D82*J82*(1-N(F82)),2),0))</f>
        <v/>
      </c>
      <c r="M82" s="62" t="str">
        <f>IF(A82="","",IFERROR(INDEX(dv_cname,MATCH(A82,dv_num,0))&amp;"",""))</f>
        <v/>
      </c>
      <c r="N82" s="59" t="str">
        <f>IF(COUNTA(A82:G82)=0,"",IF(A82="","N° devis manquant",IF(ISNA(MATCH(A82,dv_num,0)),"Devis inconnu",IF(AND(B82&lt;&gt;"",ISNA(MATCH(B82,pr_code,0))),"Article inconnu",IF(H82="","Désignation manquante",IF(OR(NOT(ISNUMBER(D82)),N(D82)&lt;=0),"Quantité invalide",IF(J82="","Prix manquant",IF(OR(NOT(ISNUMBER(J82)),N(J82)&lt;0),"Prix invalide",IF(OR(AND(F82&lt;&gt;"",NOT(ISNUMBER(F82))),N(F82)&lt;0,N(F82)&gt;1),"Remise invalide",IF(K82="","Taux de TVA manquant",IF(NOT(ISNUMBER(K82)),"Taux de TVA invalide",IF(COUNTIF(p_rates,K82)=0,"Taux de TVA hors liste (Paramètres)",IF(N(O82)&gt;25,"Au-delà de 25 lignes : non imprimée","OK")))))))))))))</f>
        <v/>
      </c>
      <c r="O82" s="59" t="str">
        <f>IF(A82="","",COUNTIF($A$6:A82,A82))</f>
        <v/>
      </c>
      <c r="P82" s="62" t="str">
        <f>IF(A82="","",A82&amp;"|"&amp;O82)</f>
        <v/>
      </c>
    </row>
    <row r="83">
      <c r="A83" s="60" t="n"/>
      <c r="B83" s="63" t="n"/>
      <c r="C83" s="63" t="n"/>
      <c r="D83" s="67" t="n"/>
      <c r="E83" s="68" t="n"/>
      <c r="F83" s="69" t="n"/>
      <c r="G83" s="70" t="n"/>
      <c r="H83" s="62" t="str">
        <f>IF(COUNTA(A83:G83)=0,"",IF(C83&lt;&gt;"",C83,IF(B83="","",IFERROR(INDEX(pr_des,MATCH(B83,pr_code,0))&amp;"",""))))</f>
        <v/>
      </c>
      <c r="I83" s="59" t="str">
        <f>IF(B83="","",IFERROR(INDEX(pr_unit,MATCH(B83,pr_code,0))&amp;"",""))</f>
        <v/>
      </c>
      <c r="J83" s="65" t="str">
        <f>IF(COUNTA(A83:G83)=0,"",IF(E83&lt;&gt;"",E83,IF(B83="","",IFERROR(IF(INDEX(pr_price,MATCH(B83,pr_code,0))="","",INDEX(pr_price,MATCH(B83,pr_code,0))),""))))</f>
        <v/>
      </c>
      <c r="K83" s="71" t="str">
        <f>IF(COUNTA(A83:G83)=0,"",IF(G83&lt;&gt;"",G83,IF(B83="","",IFERROR(IF(INDEX(pr_rate,MATCH(B83,pr_code,0))="","",INDEX(pr_rate,MATCH(B83,pr_code,0))),""))))</f>
        <v/>
      </c>
      <c r="L83" s="65" t="str">
        <f>IF(COUNTA(A83:G83)=0,"",IF(AND(ISNUMBER(D83),ISNUMBER(J83)),ROUND(D83*J83*(1-N(F83)),2),0))</f>
        <v/>
      </c>
      <c r="M83" s="62" t="str">
        <f>IF(A83="","",IFERROR(INDEX(dv_cname,MATCH(A83,dv_num,0))&amp;"",""))</f>
        <v/>
      </c>
      <c r="N83" s="59" t="str">
        <f>IF(COUNTA(A83:G83)=0,"",IF(A83="","N° devis manquant",IF(ISNA(MATCH(A83,dv_num,0)),"Devis inconnu",IF(AND(B83&lt;&gt;"",ISNA(MATCH(B83,pr_code,0))),"Article inconnu",IF(H83="","Désignation manquante",IF(OR(NOT(ISNUMBER(D83)),N(D83)&lt;=0),"Quantité invalide",IF(J83="","Prix manquant",IF(OR(NOT(ISNUMBER(J83)),N(J83)&lt;0),"Prix invalide",IF(OR(AND(F83&lt;&gt;"",NOT(ISNUMBER(F83))),N(F83)&lt;0,N(F83)&gt;1),"Remise invalide",IF(K83="","Taux de TVA manquant",IF(NOT(ISNUMBER(K83)),"Taux de TVA invalide",IF(COUNTIF(p_rates,K83)=0,"Taux de TVA hors liste (Paramètres)",IF(N(O83)&gt;25,"Au-delà de 25 lignes : non imprimée","OK")))))))))))))</f>
        <v/>
      </c>
      <c r="O83" s="59" t="str">
        <f>IF(A83="","",COUNTIF($A$6:A83,A83))</f>
        <v/>
      </c>
      <c r="P83" s="62" t="str">
        <f>IF(A83="","",A83&amp;"|"&amp;O83)</f>
        <v/>
      </c>
    </row>
    <row r="84">
      <c r="A84" s="60" t="n"/>
      <c r="B84" s="63" t="n"/>
      <c r="C84" s="63" t="n"/>
      <c r="D84" s="67" t="n"/>
      <c r="E84" s="68" t="n"/>
      <c r="F84" s="69" t="n"/>
      <c r="G84" s="70" t="n"/>
      <c r="H84" s="62" t="str">
        <f>IF(COUNTA(A84:G84)=0,"",IF(C84&lt;&gt;"",C84,IF(B84="","",IFERROR(INDEX(pr_des,MATCH(B84,pr_code,0))&amp;"",""))))</f>
        <v/>
      </c>
      <c r="I84" s="59" t="str">
        <f>IF(B84="","",IFERROR(INDEX(pr_unit,MATCH(B84,pr_code,0))&amp;"",""))</f>
        <v/>
      </c>
      <c r="J84" s="65" t="str">
        <f>IF(COUNTA(A84:G84)=0,"",IF(E84&lt;&gt;"",E84,IF(B84="","",IFERROR(IF(INDEX(pr_price,MATCH(B84,pr_code,0))="","",INDEX(pr_price,MATCH(B84,pr_code,0))),""))))</f>
        <v/>
      </c>
      <c r="K84" s="71" t="str">
        <f>IF(COUNTA(A84:G84)=0,"",IF(G84&lt;&gt;"",G84,IF(B84="","",IFERROR(IF(INDEX(pr_rate,MATCH(B84,pr_code,0))="","",INDEX(pr_rate,MATCH(B84,pr_code,0))),""))))</f>
        <v/>
      </c>
      <c r="L84" s="65" t="str">
        <f>IF(COUNTA(A84:G84)=0,"",IF(AND(ISNUMBER(D84),ISNUMBER(J84)),ROUND(D84*J84*(1-N(F84)),2),0))</f>
        <v/>
      </c>
      <c r="M84" s="62" t="str">
        <f>IF(A84="","",IFERROR(INDEX(dv_cname,MATCH(A84,dv_num,0))&amp;"",""))</f>
        <v/>
      </c>
      <c r="N84" s="59" t="str">
        <f>IF(COUNTA(A84:G84)=0,"",IF(A84="","N° devis manquant",IF(ISNA(MATCH(A84,dv_num,0)),"Devis inconnu",IF(AND(B84&lt;&gt;"",ISNA(MATCH(B84,pr_code,0))),"Article inconnu",IF(H84="","Désignation manquante",IF(OR(NOT(ISNUMBER(D84)),N(D84)&lt;=0),"Quantité invalide",IF(J84="","Prix manquant",IF(OR(NOT(ISNUMBER(J84)),N(J84)&lt;0),"Prix invalide",IF(OR(AND(F84&lt;&gt;"",NOT(ISNUMBER(F84))),N(F84)&lt;0,N(F84)&gt;1),"Remise invalide",IF(K84="","Taux de TVA manquant",IF(NOT(ISNUMBER(K84)),"Taux de TVA invalide",IF(COUNTIF(p_rates,K84)=0,"Taux de TVA hors liste (Paramètres)",IF(N(O84)&gt;25,"Au-delà de 25 lignes : non imprimée","OK")))))))))))))</f>
        <v/>
      </c>
      <c r="O84" s="59" t="str">
        <f>IF(A84="","",COUNTIF($A$6:A84,A84))</f>
        <v/>
      </c>
      <c r="P84" s="62" t="str">
        <f>IF(A84="","",A84&amp;"|"&amp;O84)</f>
        <v/>
      </c>
    </row>
    <row r="85">
      <c r="A85" s="60" t="n"/>
      <c r="B85" s="63" t="n"/>
      <c r="C85" s="63" t="n"/>
      <c r="D85" s="67" t="n"/>
      <c r="E85" s="68" t="n"/>
      <c r="F85" s="69" t="n"/>
      <c r="G85" s="70" t="n"/>
      <c r="H85" s="62" t="str">
        <f>IF(COUNTA(A85:G85)=0,"",IF(C85&lt;&gt;"",C85,IF(B85="","",IFERROR(INDEX(pr_des,MATCH(B85,pr_code,0))&amp;"",""))))</f>
        <v/>
      </c>
      <c r="I85" s="59" t="str">
        <f>IF(B85="","",IFERROR(INDEX(pr_unit,MATCH(B85,pr_code,0))&amp;"",""))</f>
        <v/>
      </c>
      <c r="J85" s="65" t="str">
        <f>IF(COUNTA(A85:G85)=0,"",IF(E85&lt;&gt;"",E85,IF(B85="","",IFERROR(IF(INDEX(pr_price,MATCH(B85,pr_code,0))="","",INDEX(pr_price,MATCH(B85,pr_code,0))),""))))</f>
        <v/>
      </c>
      <c r="K85" s="71" t="str">
        <f>IF(COUNTA(A85:G85)=0,"",IF(G85&lt;&gt;"",G85,IF(B85="","",IFERROR(IF(INDEX(pr_rate,MATCH(B85,pr_code,0))="","",INDEX(pr_rate,MATCH(B85,pr_code,0))),""))))</f>
        <v/>
      </c>
      <c r="L85" s="65" t="str">
        <f>IF(COUNTA(A85:G85)=0,"",IF(AND(ISNUMBER(D85),ISNUMBER(J85)),ROUND(D85*J85*(1-N(F85)),2),0))</f>
        <v/>
      </c>
      <c r="M85" s="62" t="str">
        <f>IF(A85="","",IFERROR(INDEX(dv_cname,MATCH(A85,dv_num,0))&amp;"",""))</f>
        <v/>
      </c>
      <c r="N85" s="59" t="str">
        <f>IF(COUNTA(A85:G85)=0,"",IF(A85="","N° devis manquant",IF(ISNA(MATCH(A85,dv_num,0)),"Devis inconnu",IF(AND(B85&lt;&gt;"",ISNA(MATCH(B85,pr_code,0))),"Article inconnu",IF(H85="","Désignation manquante",IF(OR(NOT(ISNUMBER(D85)),N(D85)&lt;=0),"Quantité invalide",IF(J85="","Prix manquant",IF(OR(NOT(ISNUMBER(J85)),N(J85)&lt;0),"Prix invalide",IF(OR(AND(F85&lt;&gt;"",NOT(ISNUMBER(F85))),N(F85)&lt;0,N(F85)&gt;1),"Remise invalide",IF(K85="","Taux de TVA manquant",IF(NOT(ISNUMBER(K85)),"Taux de TVA invalide",IF(COUNTIF(p_rates,K85)=0,"Taux de TVA hors liste (Paramètres)",IF(N(O85)&gt;25,"Au-delà de 25 lignes : non imprimée","OK")))))))))))))</f>
        <v/>
      </c>
      <c r="O85" s="59" t="str">
        <f>IF(A85="","",COUNTIF($A$6:A85,A85))</f>
        <v/>
      </c>
      <c r="P85" s="62" t="str">
        <f>IF(A85="","",A85&amp;"|"&amp;O85)</f>
        <v/>
      </c>
    </row>
    <row r="86">
      <c r="A86" s="60" t="n"/>
      <c r="B86" s="63" t="n"/>
      <c r="C86" s="63" t="n"/>
      <c r="D86" s="67" t="n"/>
      <c r="E86" s="68" t="n"/>
      <c r="F86" s="69" t="n"/>
      <c r="G86" s="70" t="n"/>
      <c r="H86" s="62" t="str">
        <f>IF(COUNTA(A86:G86)=0,"",IF(C86&lt;&gt;"",C86,IF(B86="","",IFERROR(INDEX(pr_des,MATCH(B86,pr_code,0))&amp;"",""))))</f>
        <v/>
      </c>
      <c r="I86" s="59" t="str">
        <f>IF(B86="","",IFERROR(INDEX(pr_unit,MATCH(B86,pr_code,0))&amp;"",""))</f>
        <v/>
      </c>
      <c r="J86" s="65" t="str">
        <f>IF(COUNTA(A86:G86)=0,"",IF(E86&lt;&gt;"",E86,IF(B86="","",IFERROR(IF(INDEX(pr_price,MATCH(B86,pr_code,0))="","",INDEX(pr_price,MATCH(B86,pr_code,0))),""))))</f>
        <v/>
      </c>
      <c r="K86" s="71" t="str">
        <f>IF(COUNTA(A86:G86)=0,"",IF(G86&lt;&gt;"",G86,IF(B86="","",IFERROR(IF(INDEX(pr_rate,MATCH(B86,pr_code,0))="","",INDEX(pr_rate,MATCH(B86,pr_code,0))),""))))</f>
        <v/>
      </c>
      <c r="L86" s="65" t="str">
        <f>IF(COUNTA(A86:G86)=0,"",IF(AND(ISNUMBER(D86),ISNUMBER(J86)),ROUND(D86*J86*(1-N(F86)),2),0))</f>
        <v/>
      </c>
      <c r="M86" s="62" t="str">
        <f>IF(A86="","",IFERROR(INDEX(dv_cname,MATCH(A86,dv_num,0))&amp;"",""))</f>
        <v/>
      </c>
      <c r="N86" s="59" t="str">
        <f>IF(COUNTA(A86:G86)=0,"",IF(A86="","N° devis manquant",IF(ISNA(MATCH(A86,dv_num,0)),"Devis inconnu",IF(AND(B86&lt;&gt;"",ISNA(MATCH(B86,pr_code,0))),"Article inconnu",IF(H86="","Désignation manquante",IF(OR(NOT(ISNUMBER(D86)),N(D86)&lt;=0),"Quantité invalide",IF(J86="","Prix manquant",IF(OR(NOT(ISNUMBER(J86)),N(J86)&lt;0),"Prix invalide",IF(OR(AND(F86&lt;&gt;"",NOT(ISNUMBER(F86))),N(F86)&lt;0,N(F86)&gt;1),"Remise invalide",IF(K86="","Taux de TVA manquant",IF(NOT(ISNUMBER(K86)),"Taux de TVA invalide",IF(COUNTIF(p_rates,K86)=0,"Taux de TVA hors liste (Paramètres)",IF(N(O86)&gt;25,"Au-delà de 25 lignes : non imprimée","OK")))))))))))))</f>
        <v/>
      </c>
      <c r="O86" s="59" t="str">
        <f>IF(A86="","",COUNTIF($A$6:A86,A86))</f>
        <v/>
      </c>
      <c r="P86" s="62" t="str">
        <f>IF(A86="","",A86&amp;"|"&amp;O86)</f>
        <v/>
      </c>
    </row>
    <row r="87">
      <c r="A87" s="60" t="n"/>
      <c r="B87" s="63" t="n"/>
      <c r="C87" s="63" t="n"/>
      <c r="D87" s="67" t="n"/>
      <c r="E87" s="68" t="n"/>
      <c r="F87" s="69" t="n"/>
      <c r="G87" s="70" t="n"/>
      <c r="H87" s="62" t="str">
        <f>IF(COUNTA(A87:G87)=0,"",IF(C87&lt;&gt;"",C87,IF(B87="","",IFERROR(INDEX(pr_des,MATCH(B87,pr_code,0))&amp;"",""))))</f>
        <v/>
      </c>
      <c r="I87" s="59" t="str">
        <f>IF(B87="","",IFERROR(INDEX(pr_unit,MATCH(B87,pr_code,0))&amp;"",""))</f>
        <v/>
      </c>
      <c r="J87" s="65" t="str">
        <f>IF(COUNTA(A87:G87)=0,"",IF(E87&lt;&gt;"",E87,IF(B87="","",IFERROR(IF(INDEX(pr_price,MATCH(B87,pr_code,0))="","",INDEX(pr_price,MATCH(B87,pr_code,0))),""))))</f>
        <v/>
      </c>
      <c r="K87" s="71" t="str">
        <f>IF(COUNTA(A87:G87)=0,"",IF(G87&lt;&gt;"",G87,IF(B87="","",IFERROR(IF(INDEX(pr_rate,MATCH(B87,pr_code,0))="","",INDEX(pr_rate,MATCH(B87,pr_code,0))),""))))</f>
        <v/>
      </c>
      <c r="L87" s="65" t="str">
        <f>IF(COUNTA(A87:G87)=0,"",IF(AND(ISNUMBER(D87),ISNUMBER(J87)),ROUND(D87*J87*(1-N(F87)),2),0))</f>
        <v/>
      </c>
      <c r="M87" s="62" t="str">
        <f>IF(A87="","",IFERROR(INDEX(dv_cname,MATCH(A87,dv_num,0))&amp;"",""))</f>
        <v/>
      </c>
      <c r="N87" s="59" t="str">
        <f>IF(COUNTA(A87:G87)=0,"",IF(A87="","N° devis manquant",IF(ISNA(MATCH(A87,dv_num,0)),"Devis inconnu",IF(AND(B87&lt;&gt;"",ISNA(MATCH(B87,pr_code,0))),"Article inconnu",IF(H87="","Désignation manquante",IF(OR(NOT(ISNUMBER(D87)),N(D87)&lt;=0),"Quantité invalide",IF(J87="","Prix manquant",IF(OR(NOT(ISNUMBER(J87)),N(J87)&lt;0),"Prix invalide",IF(OR(AND(F87&lt;&gt;"",NOT(ISNUMBER(F87))),N(F87)&lt;0,N(F87)&gt;1),"Remise invalide",IF(K87="","Taux de TVA manquant",IF(NOT(ISNUMBER(K87)),"Taux de TVA invalide",IF(COUNTIF(p_rates,K87)=0,"Taux de TVA hors liste (Paramètres)",IF(N(O87)&gt;25,"Au-delà de 25 lignes : non imprimée","OK")))))))))))))</f>
        <v/>
      </c>
      <c r="O87" s="59" t="str">
        <f>IF(A87="","",COUNTIF($A$6:A87,A87))</f>
        <v/>
      </c>
      <c r="P87" s="62" t="str">
        <f>IF(A87="","",A87&amp;"|"&amp;O87)</f>
        <v/>
      </c>
    </row>
    <row r="88">
      <c r="A88" s="60" t="n"/>
      <c r="B88" s="63" t="n"/>
      <c r="C88" s="63" t="n"/>
      <c r="D88" s="67" t="n"/>
      <c r="E88" s="68" t="n"/>
      <c r="F88" s="69" t="n"/>
      <c r="G88" s="70" t="n"/>
      <c r="H88" s="62" t="str">
        <f>IF(COUNTA(A88:G88)=0,"",IF(C88&lt;&gt;"",C88,IF(B88="","",IFERROR(INDEX(pr_des,MATCH(B88,pr_code,0))&amp;"",""))))</f>
        <v/>
      </c>
      <c r="I88" s="59" t="str">
        <f>IF(B88="","",IFERROR(INDEX(pr_unit,MATCH(B88,pr_code,0))&amp;"",""))</f>
        <v/>
      </c>
      <c r="J88" s="65" t="str">
        <f>IF(COUNTA(A88:G88)=0,"",IF(E88&lt;&gt;"",E88,IF(B88="","",IFERROR(IF(INDEX(pr_price,MATCH(B88,pr_code,0))="","",INDEX(pr_price,MATCH(B88,pr_code,0))),""))))</f>
        <v/>
      </c>
      <c r="K88" s="71" t="str">
        <f>IF(COUNTA(A88:G88)=0,"",IF(G88&lt;&gt;"",G88,IF(B88="","",IFERROR(IF(INDEX(pr_rate,MATCH(B88,pr_code,0))="","",INDEX(pr_rate,MATCH(B88,pr_code,0))),""))))</f>
        <v/>
      </c>
      <c r="L88" s="65" t="str">
        <f>IF(COUNTA(A88:G88)=0,"",IF(AND(ISNUMBER(D88),ISNUMBER(J88)),ROUND(D88*J88*(1-N(F88)),2),0))</f>
        <v/>
      </c>
      <c r="M88" s="62" t="str">
        <f>IF(A88="","",IFERROR(INDEX(dv_cname,MATCH(A88,dv_num,0))&amp;"",""))</f>
        <v/>
      </c>
      <c r="N88" s="59" t="str">
        <f>IF(COUNTA(A88:G88)=0,"",IF(A88="","N° devis manquant",IF(ISNA(MATCH(A88,dv_num,0)),"Devis inconnu",IF(AND(B88&lt;&gt;"",ISNA(MATCH(B88,pr_code,0))),"Article inconnu",IF(H88="","Désignation manquante",IF(OR(NOT(ISNUMBER(D88)),N(D88)&lt;=0),"Quantité invalide",IF(J88="","Prix manquant",IF(OR(NOT(ISNUMBER(J88)),N(J88)&lt;0),"Prix invalide",IF(OR(AND(F88&lt;&gt;"",NOT(ISNUMBER(F88))),N(F88)&lt;0,N(F88)&gt;1),"Remise invalide",IF(K88="","Taux de TVA manquant",IF(NOT(ISNUMBER(K88)),"Taux de TVA invalide",IF(COUNTIF(p_rates,K88)=0,"Taux de TVA hors liste (Paramètres)",IF(N(O88)&gt;25,"Au-delà de 25 lignes : non imprimée","OK")))))))))))))</f>
        <v/>
      </c>
      <c r="O88" s="59" t="str">
        <f>IF(A88="","",COUNTIF($A$6:A88,A88))</f>
        <v/>
      </c>
      <c r="P88" s="62" t="str">
        <f>IF(A88="","",A88&amp;"|"&amp;O88)</f>
        <v/>
      </c>
    </row>
    <row r="89">
      <c r="A89" s="60" t="n"/>
      <c r="B89" s="63" t="n"/>
      <c r="C89" s="63" t="n"/>
      <c r="D89" s="67" t="n"/>
      <c r="E89" s="68" t="n"/>
      <c r="F89" s="69" t="n"/>
      <c r="G89" s="70" t="n"/>
      <c r="H89" s="62" t="str">
        <f>IF(COUNTA(A89:G89)=0,"",IF(C89&lt;&gt;"",C89,IF(B89="","",IFERROR(INDEX(pr_des,MATCH(B89,pr_code,0))&amp;"",""))))</f>
        <v/>
      </c>
      <c r="I89" s="59" t="str">
        <f>IF(B89="","",IFERROR(INDEX(pr_unit,MATCH(B89,pr_code,0))&amp;"",""))</f>
        <v/>
      </c>
      <c r="J89" s="65" t="str">
        <f>IF(COUNTA(A89:G89)=0,"",IF(E89&lt;&gt;"",E89,IF(B89="","",IFERROR(IF(INDEX(pr_price,MATCH(B89,pr_code,0))="","",INDEX(pr_price,MATCH(B89,pr_code,0))),""))))</f>
        <v/>
      </c>
      <c r="K89" s="71" t="str">
        <f>IF(COUNTA(A89:G89)=0,"",IF(G89&lt;&gt;"",G89,IF(B89="","",IFERROR(IF(INDEX(pr_rate,MATCH(B89,pr_code,0))="","",INDEX(pr_rate,MATCH(B89,pr_code,0))),""))))</f>
        <v/>
      </c>
      <c r="L89" s="65" t="str">
        <f>IF(COUNTA(A89:G89)=0,"",IF(AND(ISNUMBER(D89),ISNUMBER(J89)),ROUND(D89*J89*(1-N(F89)),2),0))</f>
        <v/>
      </c>
      <c r="M89" s="62" t="str">
        <f>IF(A89="","",IFERROR(INDEX(dv_cname,MATCH(A89,dv_num,0))&amp;"",""))</f>
        <v/>
      </c>
      <c r="N89" s="59" t="str">
        <f>IF(COUNTA(A89:G89)=0,"",IF(A89="","N° devis manquant",IF(ISNA(MATCH(A89,dv_num,0)),"Devis inconnu",IF(AND(B89&lt;&gt;"",ISNA(MATCH(B89,pr_code,0))),"Article inconnu",IF(H89="","Désignation manquante",IF(OR(NOT(ISNUMBER(D89)),N(D89)&lt;=0),"Quantité invalide",IF(J89="","Prix manquant",IF(OR(NOT(ISNUMBER(J89)),N(J89)&lt;0),"Prix invalide",IF(OR(AND(F89&lt;&gt;"",NOT(ISNUMBER(F89))),N(F89)&lt;0,N(F89)&gt;1),"Remise invalide",IF(K89="","Taux de TVA manquant",IF(NOT(ISNUMBER(K89)),"Taux de TVA invalide",IF(COUNTIF(p_rates,K89)=0,"Taux de TVA hors liste (Paramètres)",IF(N(O89)&gt;25,"Au-delà de 25 lignes : non imprimée","OK")))))))))))))</f>
        <v/>
      </c>
      <c r="O89" s="59" t="str">
        <f>IF(A89="","",COUNTIF($A$6:A89,A89))</f>
        <v/>
      </c>
      <c r="P89" s="62" t="str">
        <f>IF(A89="","",A89&amp;"|"&amp;O89)</f>
        <v/>
      </c>
    </row>
    <row r="90">
      <c r="A90" s="60" t="n"/>
      <c r="B90" s="63" t="n"/>
      <c r="C90" s="63" t="n"/>
      <c r="D90" s="67" t="n"/>
      <c r="E90" s="68" t="n"/>
      <c r="F90" s="69" t="n"/>
      <c r="G90" s="70" t="n"/>
      <c r="H90" s="62" t="str">
        <f>IF(COUNTA(A90:G90)=0,"",IF(C90&lt;&gt;"",C90,IF(B90="","",IFERROR(INDEX(pr_des,MATCH(B90,pr_code,0))&amp;"",""))))</f>
        <v/>
      </c>
      <c r="I90" s="59" t="str">
        <f>IF(B90="","",IFERROR(INDEX(pr_unit,MATCH(B90,pr_code,0))&amp;"",""))</f>
        <v/>
      </c>
      <c r="J90" s="65" t="str">
        <f>IF(COUNTA(A90:G90)=0,"",IF(E90&lt;&gt;"",E90,IF(B90="","",IFERROR(IF(INDEX(pr_price,MATCH(B90,pr_code,0))="","",INDEX(pr_price,MATCH(B90,pr_code,0))),""))))</f>
        <v/>
      </c>
      <c r="K90" s="71" t="str">
        <f>IF(COUNTA(A90:G90)=0,"",IF(G90&lt;&gt;"",G90,IF(B90="","",IFERROR(IF(INDEX(pr_rate,MATCH(B90,pr_code,0))="","",INDEX(pr_rate,MATCH(B90,pr_code,0))),""))))</f>
        <v/>
      </c>
      <c r="L90" s="65" t="str">
        <f>IF(COUNTA(A90:G90)=0,"",IF(AND(ISNUMBER(D90),ISNUMBER(J90)),ROUND(D90*J90*(1-N(F90)),2),0))</f>
        <v/>
      </c>
      <c r="M90" s="62" t="str">
        <f>IF(A90="","",IFERROR(INDEX(dv_cname,MATCH(A90,dv_num,0))&amp;"",""))</f>
        <v/>
      </c>
      <c r="N90" s="59" t="str">
        <f>IF(COUNTA(A90:G90)=0,"",IF(A90="","N° devis manquant",IF(ISNA(MATCH(A90,dv_num,0)),"Devis inconnu",IF(AND(B90&lt;&gt;"",ISNA(MATCH(B90,pr_code,0))),"Article inconnu",IF(H90="","Désignation manquante",IF(OR(NOT(ISNUMBER(D90)),N(D90)&lt;=0),"Quantité invalide",IF(J90="","Prix manquant",IF(OR(NOT(ISNUMBER(J90)),N(J90)&lt;0),"Prix invalide",IF(OR(AND(F90&lt;&gt;"",NOT(ISNUMBER(F90))),N(F90)&lt;0,N(F90)&gt;1),"Remise invalide",IF(K90="","Taux de TVA manquant",IF(NOT(ISNUMBER(K90)),"Taux de TVA invalide",IF(COUNTIF(p_rates,K90)=0,"Taux de TVA hors liste (Paramètres)",IF(N(O90)&gt;25,"Au-delà de 25 lignes : non imprimée","OK")))))))))))))</f>
        <v/>
      </c>
      <c r="O90" s="59" t="str">
        <f>IF(A90="","",COUNTIF($A$6:A90,A90))</f>
        <v/>
      </c>
      <c r="P90" s="62" t="str">
        <f>IF(A90="","",A90&amp;"|"&amp;O90)</f>
        <v/>
      </c>
    </row>
    <row r="91">
      <c r="A91" s="60" t="n"/>
      <c r="B91" s="63" t="n"/>
      <c r="C91" s="63" t="n"/>
      <c r="D91" s="67" t="n"/>
      <c r="E91" s="68" t="n"/>
      <c r="F91" s="69" t="n"/>
      <c r="G91" s="70" t="n"/>
      <c r="H91" s="62" t="str">
        <f>IF(COUNTA(A91:G91)=0,"",IF(C91&lt;&gt;"",C91,IF(B91="","",IFERROR(INDEX(pr_des,MATCH(B91,pr_code,0))&amp;"",""))))</f>
        <v/>
      </c>
      <c r="I91" s="59" t="str">
        <f>IF(B91="","",IFERROR(INDEX(pr_unit,MATCH(B91,pr_code,0))&amp;"",""))</f>
        <v/>
      </c>
      <c r="J91" s="65" t="str">
        <f>IF(COUNTA(A91:G91)=0,"",IF(E91&lt;&gt;"",E91,IF(B91="","",IFERROR(IF(INDEX(pr_price,MATCH(B91,pr_code,0))="","",INDEX(pr_price,MATCH(B91,pr_code,0))),""))))</f>
        <v/>
      </c>
      <c r="K91" s="71" t="str">
        <f>IF(COUNTA(A91:G91)=0,"",IF(G91&lt;&gt;"",G91,IF(B91="","",IFERROR(IF(INDEX(pr_rate,MATCH(B91,pr_code,0))="","",INDEX(pr_rate,MATCH(B91,pr_code,0))),""))))</f>
        <v/>
      </c>
      <c r="L91" s="65" t="str">
        <f>IF(COUNTA(A91:G91)=0,"",IF(AND(ISNUMBER(D91),ISNUMBER(J91)),ROUND(D91*J91*(1-N(F91)),2),0))</f>
        <v/>
      </c>
      <c r="M91" s="62" t="str">
        <f>IF(A91="","",IFERROR(INDEX(dv_cname,MATCH(A91,dv_num,0))&amp;"",""))</f>
        <v/>
      </c>
      <c r="N91" s="59" t="str">
        <f>IF(COUNTA(A91:G91)=0,"",IF(A91="","N° devis manquant",IF(ISNA(MATCH(A91,dv_num,0)),"Devis inconnu",IF(AND(B91&lt;&gt;"",ISNA(MATCH(B91,pr_code,0))),"Article inconnu",IF(H91="","Désignation manquante",IF(OR(NOT(ISNUMBER(D91)),N(D91)&lt;=0),"Quantité invalide",IF(J91="","Prix manquant",IF(OR(NOT(ISNUMBER(J91)),N(J91)&lt;0),"Prix invalide",IF(OR(AND(F91&lt;&gt;"",NOT(ISNUMBER(F91))),N(F91)&lt;0,N(F91)&gt;1),"Remise invalide",IF(K91="","Taux de TVA manquant",IF(NOT(ISNUMBER(K91)),"Taux de TVA invalide",IF(COUNTIF(p_rates,K91)=0,"Taux de TVA hors liste (Paramètres)",IF(N(O91)&gt;25,"Au-delà de 25 lignes : non imprimée","OK")))))))))))))</f>
        <v/>
      </c>
      <c r="O91" s="59" t="str">
        <f>IF(A91="","",COUNTIF($A$6:A91,A91))</f>
        <v/>
      </c>
      <c r="P91" s="62" t="str">
        <f>IF(A91="","",A91&amp;"|"&amp;O91)</f>
        <v/>
      </c>
    </row>
    <row r="92">
      <c r="A92" s="60" t="n"/>
      <c r="B92" s="63" t="n"/>
      <c r="C92" s="63" t="n"/>
      <c r="D92" s="67" t="n"/>
      <c r="E92" s="68" t="n"/>
      <c r="F92" s="69" t="n"/>
      <c r="G92" s="70" t="n"/>
      <c r="H92" s="62" t="str">
        <f>IF(COUNTA(A92:G92)=0,"",IF(C92&lt;&gt;"",C92,IF(B92="","",IFERROR(INDEX(pr_des,MATCH(B92,pr_code,0))&amp;"",""))))</f>
        <v/>
      </c>
      <c r="I92" s="59" t="str">
        <f>IF(B92="","",IFERROR(INDEX(pr_unit,MATCH(B92,pr_code,0))&amp;"",""))</f>
        <v/>
      </c>
      <c r="J92" s="65" t="str">
        <f>IF(COUNTA(A92:G92)=0,"",IF(E92&lt;&gt;"",E92,IF(B92="","",IFERROR(IF(INDEX(pr_price,MATCH(B92,pr_code,0))="","",INDEX(pr_price,MATCH(B92,pr_code,0))),""))))</f>
        <v/>
      </c>
      <c r="K92" s="71" t="str">
        <f>IF(COUNTA(A92:G92)=0,"",IF(G92&lt;&gt;"",G92,IF(B92="","",IFERROR(IF(INDEX(pr_rate,MATCH(B92,pr_code,0))="","",INDEX(pr_rate,MATCH(B92,pr_code,0))),""))))</f>
        <v/>
      </c>
      <c r="L92" s="65" t="str">
        <f>IF(COUNTA(A92:G92)=0,"",IF(AND(ISNUMBER(D92),ISNUMBER(J92)),ROUND(D92*J92*(1-N(F92)),2),0))</f>
        <v/>
      </c>
      <c r="M92" s="62" t="str">
        <f>IF(A92="","",IFERROR(INDEX(dv_cname,MATCH(A92,dv_num,0))&amp;"",""))</f>
        <v/>
      </c>
      <c r="N92" s="59" t="str">
        <f>IF(COUNTA(A92:G92)=0,"",IF(A92="","N° devis manquant",IF(ISNA(MATCH(A92,dv_num,0)),"Devis inconnu",IF(AND(B92&lt;&gt;"",ISNA(MATCH(B92,pr_code,0))),"Article inconnu",IF(H92="","Désignation manquante",IF(OR(NOT(ISNUMBER(D92)),N(D92)&lt;=0),"Quantité invalide",IF(J92="","Prix manquant",IF(OR(NOT(ISNUMBER(J92)),N(J92)&lt;0),"Prix invalide",IF(OR(AND(F92&lt;&gt;"",NOT(ISNUMBER(F92))),N(F92)&lt;0,N(F92)&gt;1),"Remise invalide",IF(K92="","Taux de TVA manquant",IF(NOT(ISNUMBER(K92)),"Taux de TVA invalide",IF(COUNTIF(p_rates,K92)=0,"Taux de TVA hors liste (Paramètres)",IF(N(O92)&gt;25,"Au-delà de 25 lignes : non imprimée","OK")))))))))))))</f>
        <v/>
      </c>
      <c r="O92" s="59" t="str">
        <f>IF(A92="","",COUNTIF($A$6:A92,A92))</f>
        <v/>
      </c>
      <c r="P92" s="62" t="str">
        <f>IF(A92="","",A92&amp;"|"&amp;O92)</f>
        <v/>
      </c>
    </row>
    <row r="93">
      <c r="A93" s="60" t="n"/>
      <c r="B93" s="63" t="n"/>
      <c r="C93" s="63" t="n"/>
      <c r="D93" s="67" t="n"/>
      <c r="E93" s="68" t="n"/>
      <c r="F93" s="69" t="n"/>
      <c r="G93" s="70" t="n"/>
      <c r="H93" s="62" t="str">
        <f>IF(COUNTA(A93:G93)=0,"",IF(C93&lt;&gt;"",C93,IF(B93="","",IFERROR(INDEX(pr_des,MATCH(B93,pr_code,0))&amp;"",""))))</f>
        <v/>
      </c>
      <c r="I93" s="59" t="str">
        <f>IF(B93="","",IFERROR(INDEX(pr_unit,MATCH(B93,pr_code,0))&amp;"",""))</f>
        <v/>
      </c>
      <c r="J93" s="65" t="str">
        <f>IF(COUNTA(A93:G93)=0,"",IF(E93&lt;&gt;"",E93,IF(B93="","",IFERROR(IF(INDEX(pr_price,MATCH(B93,pr_code,0))="","",INDEX(pr_price,MATCH(B93,pr_code,0))),""))))</f>
        <v/>
      </c>
      <c r="K93" s="71" t="str">
        <f>IF(COUNTA(A93:G93)=0,"",IF(G93&lt;&gt;"",G93,IF(B93="","",IFERROR(IF(INDEX(pr_rate,MATCH(B93,pr_code,0))="","",INDEX(pr_rate,MATCH(B93,pr_code,0))),""))))</f>
        <v/>
      </c>
      <c r="L93" s="65" t="str">
        <f>IF(COUNTA(A93:G93)=0,"",IF(AND(ISNUMBER(D93),ISNUMBER(J93)),ROUND(D93*J93*(1-N(F93)),2),0))</f>
        <v/>
      </c>
      <c r="M93" s="62" t="str">
        <f>IF(A93="","",IFERROR(INDEX(dv_cname,MATCH(A93,dv_num,0))&amp;"",""))</f>
        <v/>
      </c>
      <c r="N93" s="59" t="str">
        <f>IF(COUNTA(A93:G93)=0,"",IF(A93="","N° devis manquant",IF(ISNA(MATCH(A93,dv_num,0)),"Devis inconnu",IF(AND(B93&lt;&gt;"",ISNA(MATCH(B93,pr_code,0))),"Article inconnu",IF(H93="","Désignation manquante",IF(OR(NOT(ISNUMBER(D93)),N(D93)&lt;=0),"Quantité invalide",IF(J93="","Prix manquant",IF(OR(NOT(ISNUMBER(J93)),N(J93)&lt;0),"Prix invalide",IF(OR(AND(F93&lt;&gt;"",NOT(ISNUMBER(F93))),N(F93)&lt;0,N(F93)&gt;1),"Remise invalide",IF(K93="","Taux de TVA manquant",IF(NOT(ISNUMBER(K93)),"Taux de TVA invalide",IF(COUNTIF(p_rates,K93)=0,"Taux de TVA hors liste (Paramètres)",IF(N(O93)&gt;25,"Au-delà de 25 lignes : non imprimée","OK")))))))))))))</f>
        <v/>
      </c>
      <c r="O93" s="59" t="str">
        <f>IF(A93="","",COUNTIF($A$6:A93,A93))</f>
        <v/>
      </c>
      <c r="P93" s="62" t="str">
        <f>IF(A93="","",A93&amp;"|"&amp;O93)</f>
        <v/>
      </c>
    </row>
    <row r="94">
      <c r="A94" s="60" t="n"/>
      <c r="B94" s="63" t="n"/>
      <c r="C94" s="63" t="n"/>
      <c r="D94" s="67" t="n"/>
      <c r="E94" s="68" t="n"/>
      <c r="F94" s="69" t="n"/>
      <c r="G94" s="70" t="n"/>
      <c r="H94" s="62" t="str">
        <f>IF(COUNTA(A94:G94)=0,"",IF(C94&lt;&gt;"",C94,IF(B94="","",IFERROR(INDEX(pr_des,MATCH(B94,pr_code,0))&amp;"",""))))</f>
        <v/>
      </c>
      <c r="I94" s="59" t="str">
        <f>IF(B94="","",IFERROR(INDEX(pr_unit,MATCH(B94,pr_code,0))&amp;"",""))</f>
        <v/>
      </c>
      <c r="J94" s="65" t="str">
        <f>IF(COUNTA(A94:G94)=0,"",IF(E94&lt;&gt;"",E94,IF(B94="","",IFERROR(IF(INDEX(pr_price,MATCH(B94,pr_code,0))="","",INDEX(pr_price,MATCH(B94,pr_code,0))),""))))</f>
        <v/>
      </c>
      <c r="K94" s="71" t="str">
        <f>IF(COUNTA(A94:G94)=0,"",IF(G94&lt;&gt;"",G94,IF(B94="","",IFERROR(IF(INDEX(pr_rate,MATCH(B94,pr_code,0))="","",INDEX(pr_rate,MATCH(B94,pr_code,0))),""))))</f>
        <v/>
      </c>
      <c r="L94" s="65" t="str">
        <f>IF(COUNTA(A94:G94)=0,"",IF(AND(ISNUMBER(D94),ISNUMBER(J94)),ROUND(D94*J94*(1-N(F94)),2),0))</f>
        <v/>
      </c>
      <c r="M94" s="62" t="str">
        <f>IF(A94="","",IFERROR(INDEX(dv_cname,MATCH(A94,dv_num,0))&amp;"",""))</f>
        <v/>
      </c>
      <c r="N94" s="59" t="str">
        <f>IF(COUNTA(A94:G94)=0,"",IF(A94="","N° devis manquant",IF(ISNA(MATCH(A94,dv_num,0)),"Devis inconnu",IF(AND(B94&lt;&gt;"",ISNA(MATCH(B94,pr_code,0))),"Article inconnu",IF(H94="","Désignation manquante",IF(OR(NOT(ISNUMBER(D94)),N(D94)&lt;=0),"Quantité invalide",IF(J94="","Prix manquant",IF(OR(NOT(ISNUMBER(J94)),N(J94)&lt;0),"Prix invalide",IF(OR(AND(F94&lt;&gt;"",NOT(ISNUMBER(F94))),N(F94)&lt;0,N(F94)&gt;1),"Remise invalide",IF(K94="","Taux de TVA manquant",IF(NOT(ISNUMBER(K94)),"Taux de TVA invalide",IF(COUNTIF(p_rates,K94)=0,"Taux de TVA hors liste (Paramètres)",IF(N(O94)&gt;25,"Au-delà de 25 lignes : non imprimée","OK")))))))))))))</f>
        <v/>
      </c>
      <c r="O94" s="59" t="str">
        <f>IF(A94="","",COUNTIF($A$6:A94,A94))</f>
        <v/>
      </c>
      <c r="P94" s="62" t="str">
        <f>IF(A94="","",A94&amp;"|"&amp;O94)</f>
        <v/>
      </c>
    </row>
    <row r="95">
      <c r="A95" s="60" t="n"/>
      <c r="B95" s="63" t="n"/>
      <c r="C95" s="63" t="n"/>
      <c r="D95" s="67" t="n"/>
      <c r="E95" s="68" t="n"/>
      <c r="F95" s="69" t="n"/>
      <c r="G95" s="70" t="n"/>
      <c r="H95" s="62" t="str">
        <f>IF(COUNTA(A95:G95)=0,"",IF(C95&lt;&gt;"",C95,IF(B95="","",IFERROR(INDEX(pr_des,MATCH(B95,pr_code,0))&amp;"",""))))</f>
        <v/>
      </c>
      <c r="I95" s="59" t="str">
        <f>IF(B95="","",IFERROR(INDEX(pr_unit,MATCH(B95,pr_code,0))&amp;"",""))</f>
        <v/>
      </c>
      <c r="J95" s="65" t="str">
        <f>IF(COUNTA(A95:G95)=0,"",IF(E95&lt;&gt;"",E95,IF(B95="","",IFERROR(IF(INDEX(pr_price,MATCH(B95,pr_code,0))="","",INDEX(pr_price,MATCH(B95,pr_code,0))),""))))</f>
        <v/>
      </c>
      <c r="K95" s="71" t="str">
        <f>IF(COUNTA(A95:G95)=0,"",IF(G95&lt;&gt;"",G95,IF(B95="","",IFERROR(IF(INDEX(pr_rate,MATCH(B95,pr_code,0))="","",INDEX(pr_rate,MATCH(B95,pr_code,0))),""))))</f>
        <v/>
      </c>
      <c r="L95" s="65" t="str">
        <f>IF(COUNTA(A95:G95)=0,"",IF(AND(ISNUMBER(D95),ISNUMBER(J95)),ROUND(D95*J95*(1-N(F95)),2),0))</f>
        <v/>
      </c>
      <c r="M95" s="62" t="str">
        <f>IF(A95="","",IFERROR(INDEX(dv_cname,MATCH(A95,dv_num,0))&amp;"",""))</f>
        <v/>
      </c>
      <c r="N95" s="59" t="str">
        <f>IF(COUNTA(A95:G95)=0,"",IF(A95="","N° devis manquant",IF(ISNA(MATCH(A95,dv_num,0)),"Devis inconnu",IF(AND(B95&lt;&gt;"",ISNA(MATCH(B95,pr_code,0))),"Article inconnu",IF(H95="","Désignation manquante",IF(OR(NOT(ISNUMBER(D95)),N(D95)&lt;=0),"Quantité invalide",IF(J95="","Prix manquant",IF(OR(NOT(ISNUMBER(J95)),N(J95)&lt;0),"Prix invalide",IF(OR(AND(F95&lt;&gt;"",NOT(ISNUMBER(F95))),N(F95)&lt;0,N(F95)&gt;1),"Remise invalide",IF(K95="","Taux de TVA manquant",IF(NOT(ISNUMBER(K95)),"Taux de TVA invalide",IF(COUNTIF(p_rates,K95)=0,"Taux de TVA hors liste (Paramètres)",IF(N(O95)&gt;25,"Au-delà de 25 lignes : non imprimée","OK")))))))))))))</f>
        <v/>
      </c>
      <c r="O95" s="59" t="str">
        <f>IF(A95="","",COUNTIF($A$6:A95,A95))</f>
        <v/>
      </c>
      <c r="P95" s="62" t="str">
        <f>IF(A95="","",A95&amp;"|"&amp;O95)</f>
        <v/>
      </c>
    </row>
    <row r="96">
      <c r="A96" s="60" t="n"/>
      <c r="B96" s="63" t="n"/>
      <c r="C96" s="63" t="n"/>
      <c r="D96" s="67" t="n"/>
      <c r="E96" s="68" t="n"/>
      <c r="F96" s="69" t="n"/>
      <c r="G96" s="70" t="n"/>
      <c r="H96" s="62" t="str">
        <f>IF(COUNTA(A96:G96)=0,"",IF(C96&lt;&gt;"",C96,IF(B96="","",IFERROR(INDEX(pr_des,MATCH(B96,pr_code,0))&amp;"",""))))</f>
        <v/>
      </c>
      <c r="I96" s="59" t="str">
        <f>IF(B96="","",IFERROR(INDEX(pr_unit,MATCH(B96,pr_code,0))&amp;"",""))</f>
        <v/>
      </c>
      <c r="J96" s="65" t="str">
        <f>IF(COUNTA(A96:G96)=0,"",IF(E96&lt;&gt;"",E96,IF(B96="","",IFERROR(IF(INDEX(pr_price,MATCH(B96,pr_code,0))="","",INDEX(pr_price,MATCH(B96,pr_code,0))),""))))</f>
        <v/>
      </c>
      <c r="K96" s="71" t="str">
        <f>IF(COUNTA(A96:G96)=0,"",IF(G96&lt;&gt;"",G96,IF(B96="","",IFERROR(IF(INDEX(pr_rate,MATCH(B96,pr_code,0))="","",INDEX(pr_rate,MATCH(B96,pr_code,0))),""))))</f>
        <v/>
      </c>
      <c r="L96" s="65" t="str">
        <f>IF(COUNTA(A96:G96)=0,"",IF(AND(ISNUMBER(D96),ISNUMBER(J96)),ROUND(D96*J96*(1-N(F96)),2),0))</f>
        <v/>
      </c>
      <c r="M96" s="62" t="str">
        <f>IF(A96="","",IFERROR(INDEX(dv_cname,MATCH(A96,dv_num,0))&amp;"",""))</f>
        <v/>
      </c>
      <c r="N96" s="59" t="str">
        <f>IF(COUNTA(A96:G96)=0,"",IF(A96="","N° devis manquant",IF(ISNA(MATCH(A96,dv_num,0)),"Devis inconnu",IF(AND(B96&lt;&gt;"",ISNA(MATCH(B96,pr_code,0))),"Article inconnu",IF(H96="","Désignation manquante",IF(OR(NOT(ISNUMBER(D96)),N(D96)&lt;=0),"Quantité invalide",IF(J96="","Prix manquant",IF(OR(NOT(ISNUMBER(J96)),N(J96)&lt;0),"Prix invalide",IF(OR(AND(F96&lt;&gt;"",NOT(ISNUMBER(F96))),N(F96)&lt;0,N(F96)&gt;1),"Remise invalide",IF(K96="","Taux de TVA manquant",IF(NOT(ISNUMBER(K96)),"Taux de TVA invalide",IF(COUNTIF(p_rates,K96)=0,"Taux de TVA hors liste (Paramètres)",IF(N(O96)&gt;25,"Au-delà de 25 lignes : non imprimée","OK")))))))))))))</f>
        <v/>
      </c>
      <c r="O96" s="59" t="str">
        <f>IF(A96="","",COUNTIF($A$6:A96,A96))</f>
        <v/>
      </c>
      <c r="P96" s="62" t="str">
        <f>IF(A96="","",A96&amp;"|"&amp;O96)</f>
        <v/>
      </c>
    </row>
    <row r="97">
      <c r="A97" s="60" t="n"/>
      <c r="B97" s="63" t="n"/>
      <c r="C97" s="63" t="n"/>
      <c r="D97" s="67" t="n"/>
      <c r="E97" s="68" t="n"/>
      <c r="F97" s="69" t="n"/>
      <c r="G97" s="70" t="n"/>
      <c r="H97" s="62" t="str">
        <f>IF(COUNTA(A97:G97)=0,"",IF(C97&lt;&gt;"",C97,IF(B97="","",IFERROR(INDEX(pr_des,MATCH(B97,pr_code,0))&amp;"",""))))</f>
        <v/>
      </c>
      <c r="I97" s="59" t="str">
        <f>IF(B97="","",IFERROR(INDEX(pr_unit,MATCH(B97,pr_code,0))&amp;"",""))</f>
        <v/>
      </c>
      <c r="J97" s="65" t="str">
        <f>IF(COUNTA(A97:G97)=0,"",IF(E97&lt;&gt;"",E97,IF(B97="","",IFERROR(IF(INDEX(pr_price,MATCH(B97,pr_code,0))="","",INDEX(pr_price,MATCH(B97,pr_code,0))),""))))</f>
        <v/>
      </c>
      <c r="K97" s="71" t="str">
        <f>IF(COUNTA(A97:G97)=0,"",IF(G97&lt;&gt;"",G97,IF(B97="","",IFERROR(IF(INDEX(pr_rate,MATCH(B97,pr_code,0))="","",INDEX(pr_rate,MATCH(B97,pr_code,0))),""))))</f>
        <v/>
      </c>
      <c r="L97" s="65" t="str">
        <f>IF(COUNTA(A97:G97)=0,"",IF(AND(ISNUMBER(D97),ISNUMBER(J97)),ROUND(D97*J97*(1-N(F97)),2),0))</f>
        <v/>
      </c>
      <c r="M97" s="62" t="str">
        <f>IF(A97="","",IFERROR(INDEX(dv_cname,MATCH(A97,dv_num,0))&amp;"",""))</f>
        <v/>
      </c>
      <c r="N97" s="59" t="str">
        <f>IF(COUNTA(A97:G97)=0,"",IF(A97="","N° devis manquant",IF(ISNA(MATCH(A97,dv_num,0)),"Devis inconnu",IF(AND(B97&lt;&gt;"",ISNA(MATCH(B97,pr_code,0))),"Article inconnu",IF(H97="","Désignation manquante",IF(OR(NOT(ISNUMBER(D97)),N(D97)&lt;=0),"Quantité invalide",IF(J97="","Prix manquant",IF(OR(NOT(ISNUMBER(J97)),N(J97)&lt;0),"Prix invalide",IF(OR(AND(F97&lt;&gt;"",NOT(ISNUMBER(F97))),N(F97)&lt;0,N(F97)&gt;1),"Remise invalide",IF(K97="","Taux de TVA manquant",IF(NOT(ISNUMBER(K97)),"Taux de TVA invalide",IF(COUNTIF(p_rates,K97)=0,"Taux de TVA hors liste (Paramètres)",IF(N(O97)&gt;25,"Au-delà de 25 lignes : non imprimée","OK")))))))))))))</f>
        <v/>
      </c>
      <c r="O97" s="59" t="str">
        <f>IF(A97="","",COUNTIF($A$6:A97,A97))</f>
        <v/>
      </c>
      <c r="P97" s="62" t="str">
        <f>IF(A97="","",A97&amp;"|"&amp;O97)</f>
        <v/>
      </c>
    </row>
    <row r="98">
      <c r="A98" s="60" t="n"/>
      <c r="B98" s="63" t="n"/>
      <c r="C98" s="63" t="n"/>
      <c r="D98" s="67" t="n"/>
      <c r="E98" s="68" t="n"/>
      <c r="F98" s="69" t="n"/>
      <c r="G98" s="70" t="n"/>
      <c r="H98" s="62" t="str">
        <f>IF(COUNTA(A98:G98)=0,"",IF(C98&lt;&gt;"",C98,IF(B98="","",IFERROR(INDEX(pr_des,MATCH(B98,pr_code,0))&amp;"",""))))</f>
        <v/>
      </c>
      <c r="I98" s="59" t="str">
        <f>IF(B98="","",IFERROR(INDEX(pr_unit,MATCH(B98,pr_code,0))&amp;"",""))</f>
        <v/>
      </c>
      <c r="J98" s="65" t="str">
        <f>IF(COUNTA(A98:G98)=0,"",IF(E98&lt;&gt;"",E98,IF(B98="","",IFERROR(IF(INDEX(pr_price,MATCH(B98,pr_code,0))="","",INDEX(pr_price,MATCH(B98,pr_code,0))),""))))</f>
        <v/>
      </c>
      <c r="K98" s="71" t="str">
        <f>IF(COUNTA(A98:G98)=0,"",IF(G98&lt;&gt;"",G98,IF(B98="","",IFERROR(IF(INDEX(pr_rate,MATCH(B98,pr_code,0))="","",INDEX(pr_rate,MATCH(B98,pr_code,0))),""))))</f>
        <v/>
      </c>
      <c r="L98" s="65" t="str">
        <f>IF(COUNTA(A98:G98)=0,"",IF(AND(ISNUMBER(D98),ISNUMBER(J98)),ROUND(D98*J98*(1-N(F98)),2),0))</f>
        <v/>
      </c>
      <c r="M98" s="62" t="str">
        <f>IF(A98="","",IFERROR(INDEX(dv_cname,MATCH(A98,dv_num,0))&amp;"",""))</f>
        <v/>
      </c>
      <c r="N98" s="59" t="str">
        <f>IF(COUNTA(A98:G98)=0,"",IF(A98="","N° devis manquant",IF(ISNA(MATCH(A98,dv_num,0)),"Devis inconnu",IF(AND(B98&lt;&gt;"",ISNA(MATCH(B98,pr_code,0))),"Article inconnu",IF(H98="","Désignation manquante",IF(OR(NOT(ISNUMBER(D98)),N(D98)&lt;=0),"Quantité invalide",IF(J98="","Prix manquant",IF(OR(NOT(ISNUMBER(J98)),N(J98)&lt;0),"Prix invalide",IF(OR(AND(F98&lt;&gt;"",NOT(ISNUMBER(F98))),N(F98)&lt;0,N(F98)&gt;1),"Remise invalide",IF(K98="","Taux de TVA manquant",IF(NOT(ISNUMBER(K98)),"Taux de TVA invalide",IF(COUNTIF(p_rates,K98)=0,"Taux de TVA hors liste (Paramètres)",IF(N(O98)&gt;25,"Au-delà de 25 lignes : non imprimée","OK")))))))))))))</f>
        <v/>
      </c>
      <c r="O98" s="59" t="str">
        <f>IF(A98="","",COUNTIF($A$6:A98,A98))</f>
        <v/>
      </c>
      <c r="P98" s="62" t="str">
        <f>IF(A98="","",A98&amp;"|"&amp;O98)</f>
        <v/>
      </c>
    </row>
    <row r="99">
      <c r="A99" s="60" t="n"/>
      <c r="B99" s="63" t="n"/>
      <c r="C99" s="63" t="n"/>
      <c r="D99" s="67" t="n"/>
      <c r="E99" s="68" t="n"/>
      <c r="F99" s="69" t="n"/>
      <c r="G99" s="70" t="n"/>
      <c r="H99" s="62" t="str">
        <f>IF(COUNTA(A99:G99)=0,"",IF(C99&lt;&gt;"",C99,IF(B99="","",IFERROR(INDEX(pr_des,MATCH(B99,pr_code,0))&amp;"",""))))</f>
        <v/>
      </c>
      <c r="I99" s="59" t="str">
        <f>IF(B99="","",IFERROR(INDEX(pr_unit,MATCH(B99,pr_code,0))&amp;"",""))</f>
        <v/>
      </c>
      <c r="J99" s="65" t="str">
        <f>IF(COUNTA(A99:G99)=0,"",IF(E99&lt;&gt;"",E99,IF(B99="","",IFERROR(IF(INDEX(pr_price,MATCH(B99,pr_code,0))="","",INDEX(pr_price,MATCH(B99,pr_code,0))),""))))</f>
        <v/>
      </c>
      <c r="K99" s="71" t="str">
        <f>IF(COUNTA(A99:G99)=0,"",IF(G99&lt;&gt;"",G99,IF(B99="","",IFERROR(IF(INDEX(pr_rate,MATCH(B99,pr_code,0))="","",INDEX(pr_rate,MATCH(B99,pr_code,0))),""))))</f>
        <v/>
      </c>
      <c r="L99" s="65" t="str">
        <f>IF(COUNTA(A99:G99)=0,"",IF(AND(ISNUMBER(D99),ISNUMBER(J99)),ROUND(D99*J99*(1-N(F99)),2),0))</f>
        <v/>
      </c>
      <c r="M99" s="62" t="str">
        <f>IF(A99="","",IFERROR(INDEX(dv_cname,MATCH(A99,dv_num,0))&amp;"",""))</f>
        <v/>
      </c>
      <c r="N99" s="59" t="str">
        <f>IF(COUNTA(A99:G99)=0,"",IF(A99="","N° devis manquant",IF(ISNA(MATCH(A99,dv_num,0)),"Devis inconnu",IF(AND(B99&lt;&gt;"",ISNA(MATCH(B99,pr_code,0))),"Article inconnu",IF(H99="","Désignation manquante",IF(OR(NOT(ISNUMBER(D99)),N(D99)&lt;=0),"Quantité invalide",IF(J99="","Prix manquant",IF(OR(NOT(ISNUMBER(J99)),N(J99)&lt;0),"Prix invalide",IF(OR(AND(F99&lt;&gt;"",NOT(ISNUMBER(F99))),N(F99)&lt;0,N(F99)&gt;1),"Remise invalide",IF(K99="","Taux de TVA manquant",IF(NOT(ISNUMBER(K99)),"Taux de TVA invalide",IF(COUNTIF(p_rates,K99)=0,"Taux de TVA hors liste (Paramètres)",IF(N(O99)&gt;25,"Au-delà de 25 lignes : non imprimée","OK")))))))))))))</f>
        <v/>
      </c>
      <c r="O99" s="59" t="str">
        <f>IF(A99="","",COUNTIF($A$6:A99,A99))</f>
        <v/>
      </c>
      <c r="P99" s="62" t="str">
        <f>IF(A99="","",A99&amp;"|"&amp;O99)</f>
        <v/>
      </c>
    </row>
    <row r="100">
      <c r="A100" s="60" t="n"/>
      <c r="B100" s="63" t="n"/>
      <c r="C100" s="63" t="n"/>
      <c r="D100" s="67" t="n"/>
      <c r="E100" s="68" t="n"/>
      <c r="F100" s="69" t="n"/>
      <c r="G100" s="70" t="n"/>
      <c r="H100" s="62" t="str">
        <f>IF(COUNTA(A100:G100)=0,"",IF(C100&lt;&gt;"",C100,IF(B100="","",IFERROR(INDEX(pr_des,MATCH(B100,pr_code,0))&amp;"",""))))</f>
        <v/>
      </c>
      <c r="I100" s="59" t="str">
        <f>IF(B100="","",IFERROR(INDEX(pr_unit,MATCH(B100,pr_code,0))&amp;"",""))</f>
        <v/>
      </c>
      <c r="J100" s="65" t="str">
        <f>IF(COUNTA(A100:G100)=0,"",IF(E100&lt;&gt;"",E100,IF(B100="","",IFERROR(IF(INDEX(pr_price,MATCH(B100,pr_code,0))="","",INDEX(pr_price,MATCH(B100,pr_code,0))),""))))</f>
        <v/>
      </c>
      <c r="K100" s="71" t="str">
        <f>IF(COUNTA(A100:G100)=0,"",IF(G100&lt;&gt;"",G100,IF(B100="","",IFERROR(IF(INDEX(pr_rate,MATCH(B100,pr_code,0))="","",INDEX(pr_rate,MATCH(B100,pr_code,0))),""))))</f>
        <v/>
      </c>
      <c r="L100" s="65" t="str">
        <f>IF(COUNTA(A100:G100)=0,"",IF(AND(ISNUMBER(D100),ISNUMBER(J100)),ROUND(D100*J100*(1-N(F100)),2),0))</f>
        <v/>
      </c>
      <c r="M100" s="62" t="str">
        <f>IF(A100="","",IFERROR(INDEX(dv_cname,MATCH(A100,dv_num,0))&amp;"",""))</f>
        <v/>
      </c>
      <c r="N100" s="59" t="str">
        <f>IF(COUNTA(A100:G100)=0,"",IF(A100="","N° devis manquant",IF(ISNA(MATCH(A100,dv_num,0)),"Devis inconnu",IF(AND(B100&lt;&gt;"",ISNA(MATCH(B100,pr_code,0))),"Article inconnu",IF(H100="","Désignation manquante",IF(OR(NOT(ISNUMBER(D100)),N(D100)&lt;=0),"Quantité invalide",IF(J100="","Prix manquant",IF(OR(NOT(ISNUMBER(J100)),N(J100)&lt;0),"Prix invalide",IF(OR(AND(F100&lt;&gt;"",NOT(ISNUMBER(F100))),N(F100)&lt;0,N(F100)&gt;1),"Remise invalide",IF(K100="","Taux de TVA manquant",IF(NOT(ISNUMBER(K100)),"Taux de TVA invalide",IF(COUNTIF(p_rates,K100)=0,"Taux de TVA hors liste (Paramètres)",IF(N(O100)&gt;25,"Au-delà de 25 lignes : non imprimée","OK")))))))))))))</f>
        <v/>
      </c>
      <c r="O100" s="59" t="str">
        <f>IF(A100="","",COUNTIF($A$6:A100,A100))</f>
        <v/>
      </c>
      <c r="P100" s="62" t="str">
        <f>IF(A100="","",A100&amp;"|"&amp;O100)</f>
        <v/>
      </c>
    </row>
    <row r="101">
      <c r="A101" s="60" t="n"/>
      <c r="B101" s="63" t="n"/>
      <c r="C101" s="63" t="n"/>
      <c r="D101" s="67" t="n"/>
      <c r="E101" s="68" t="n"/>
      <c r="F101" s="69" t="n"/>
      <c r="G101" s="70" t="n"/>
      <c r="H101" s="62" t="str">
        <f>IF(COUNTA(A101:G101)=0,"",IF(C101&lt;&gt;"",C101,IF(B101="","",IFERROR(INDEX(pr_des,MATCH(B101,pr_code,0))&amp;"",""))))</f>
        <v/>
      </c>
      <c r="I101" s="59" t="str">
        <f>IF(B101="","",IFERROR(INDEX(pr_unit,MATCH(B101,pr_code,0))&amp;"",""))</f>
        <v/>
      </c>
      <c r="J101" s="65" t="str">
        <f>IF(COUNTA(A101:G101)=0,"",IF(E101&lt;&gt;"",E101,IF(B101="","",IFERROR(IF(INDEX(pr_price,MATCH(B101,pr_code,0))="","",INDEX(pr_price,MATCH(B101,pr_code,0))),""))))</f>
        <v/>
      </c>
      <c r="K101" s="71" t="str">
        <f>IF(COUNTA(A101:G101)=0,"",IF(G101&lt;&gt;"",G101,IF(B101="","",IFERROR(IF(INDEX(pr_rate,MATCH(B101,pr_code,0))="","",INDEX(pr_rate,MATCH(B101,pr_code,0))),""))))</f>
        <v/>
      </c>
      <c r="L101" s="65" t="str">
        <f>IF(COUNTA(A101:G101)=0,"",IF(AND(ISNUMBER(D101),ISNUMBER(J101)),ROUND(D101*J101*(1-N(F101)),2),0))</f>
        <v/>
      </c>
      <c r="M101" s="62" t="str">
        <f>IF(A101="","",IFERROR(INDEX(dv_cname,MATCH(A101,dv_num,0))&amp;"",""))</f>
        <v/>
      </c>
      <c r="N101" s="59" t="str">
        <f>IF(COUNTA(A101:G101)=0,"",IF(A101="","N° devis manquant",IF(ISNA(MATCH(A101,dv_num,0)),"Devis inconnu",IF(AND(B101&lt;&gt;"",ISNA(MATCH(B101,pr_code,0))),"Article inconnu",IF(H101="","Désignation manquante",IF(OR(NOT(ISNUMBER(D101)),N(D101)&lt;=0),"Quantité invalide",IF(J101="","Prix manquant",IF(OR(NOT(ISNUMBER(J101)),N(J101)&lt;0),"Prix invalide",IF(OR(AND(F101&lt;&gt;"",NOT(ISNUMBER(F101))),N(F101)&lt;0,N(F101)&gt;1),"Remise invalide",IF(K101="","Taux de TVA manquant",IF(NOT(ISNUMBER(K101)),"Taux de TVA invalide",IF(COUNTIF(p_rates,K101)=0,"Taux de TVA hors liste (Paramètres)",IF(N(O101)&gt;25,"Au-delà de 25 lignes : non imprimée","OK")))))))))))))</f>
        <v/>
      </c>
      <c r="O101" s="59" t="str">
        <f>IF(A101="","",COUNTIF($A$6:A101,A101))</f>
        <v/>
      </c>
      <c r="P101" s="62" t="str">
        <f>IF(A101="","",A101&amp;"|"&amp;O101)</f>
        <v/>
      </c>
    </row>
    <row r="102">
      <c r="A102" s="60" t="n"/>
      <c r="B102" s="63" t="n"/>
      <c r="C102" s="63" t="n"/>
      <c r="D102" s="67" t="n"/>
      <c r="E102" s="68" t="n"/>
      <c r="F102" s="69" t="n"/>
      <c r="G102" s="70" t="n"/>
      <c r="H102" s="62" t="str">
        <f>IF(COUNTA(A102:G102)=0,"",IF(C102&lt;&gt;"",C102,IF(B102="","",IFERROR(INDEX(pr_des,MATCH(B102,pr_code,0))&amp;"",""))))</f>
        <v/>
      </c>
      <c r="I102" s="59" t="str">
        <f>IF(B102="","",IFERROR(INDEX(pr_unit,MATCH(B102,pr_code,0))&amp;"",""))</f>
        <v/>
      </c>
      <c r="J102" s="65" t="str">
        <f>IF(COUNTA(A102:G102)=0,"",IF(E102&lt;&gt;"",E102,IF(B102="","",IFERROR(IF(INDEX(pr_price,MATCH(B102,pr_code,0))="","",INDEX(pr_price,MATCH(B102,pr_code,0))),""))))</f>
        <v/>
      </c>
      <c r="K102" s="71" t="str">
        <f>IF(COUNTA(A102:G102)=0,"",IF(G102&lt;&gt;"",G102,IF(B102="","",IFERROR(IF(INDEX(pr_rate,MATCH(B102,pr_code,0))="","",INDEX(pr_rate,MATCH(B102,pr_code,0))),""))))</f>
        <v/>
      </c>
      <c r="L102" s="65" t="str">
        <f>IF(COUNTA(A102:G102)=0,"",IF(AND(ISNUMBER(D102),ISNUMBER(J102)),ROUND(D102*J102*(1-N(F102)),2),0))</f>
        <v/>
      </c>
      <c r="M102" s="62" t="str">
        <f>IF(A102="","",IFERROR(INDEX(dv_cname,MATCH(A102,dv_num,0))&amp;"",""))</f>
        <v/>
      </c>
      <c r="N102" s="59" t="str">
        <f>IF(COUNTA(A102:G102)=0,"",IF(A102="","N° devis manquant",IF(ISNA(MATCH(A102,dv_num,0)),"Devis inconnu",IF(AND(B102&lt;&gt;"",ISNA(MATCH(B102,pr_code,0))),"Article inconnu",IF(H102="","Désignation manquante",IF(OR(NOT(ISNUMBER(D102)),N(D102)&lt;=0),"Quantité invalide",IF(J102="","Prix manquant",IF(OR(NOT(ISNUMBER(J102)),N(J102)&lt;0),"Prix invalide",IF(OR(AND(F102&lt;&gt;"",NOT(ISNUMBER(F102))),N(F102)&lt;0,N(F102)&gt;1),"Remise invalide",IF(K102="","Taux de TVA manquant",IF(NOT(ISNUMBER(K102)),"Taux de TVA invalide",IF(COUNTIF(p_rates,K102)=0,"Taux de TVA hors liste (Paramètres)",IF(N(O102)&gt;25,"Au-delà de 25 lignes : non imprimée","OK")))))))))))))</f>
        <v/>
      </c>
      <c r="O102" s="59" t="str">
        <f>IF(A102="","",COUNTIF($A$6:A102,A102))</f>
        <v/>
      </c>
      <c r="P102" s="62" t="str">
        <f>IF(A102="","",A102&amp;"|"&amp;O102)</f>
        <v/>
      </c>
    </row>
    <row r="103">
      <c r="A103" s="60" t="n"/>
      <c r="B103" s="63" t="n"/>
      <c r="C103" s="63" t="n"/>
      <c r="D103" s="67" t="n"/>
      <c r="E103" s="68" t="n"/>
      <c r="F103" s="69" t="n"/>
      <c r="G103" s="70" t="n"/>
      <c r="H103" s="62" t="str">
        <f>IF(COUNTA(A103:G103)=0,"",IF(C103&lt;&gt;"",C103,IF(B103="","",IFERROR(INDEX(pr_des,MATCH(B103,pr_code,0))&amp;"",""))))</f>
        <v/>
      </c>
      <c r="I103" s="59" t="str">
        <f>IF(B103="","",IFERROR(INDEX(pr_unit,MATCH(B103,pr_code,0))&amp;"",""))</f>
        <v/>
      </c>
      <c r="J103" s="65" t="str">
        <f>IF(COUNTA(A103:G103)=0,"",IF(E103&lt;&gt;"",E103,IF(B103="","",IFERROR(IF(INDEX(pr_price,MATCH(B103,pr_code,0))="","",INDEX(pr_price,MATCH(B103,pr_code,0))),""))))</f>
        <v/>
      </c>
      <c r="K103" s="71" t="str">
        <f>IF(COUNTA(A103:G103)=0,"",IF(G103&lt;&gt;"",G103,IF(B103="","",IFERROR(IF(INDEX(pr_rate,MATCH(B103,pr_code,0))="","",INDEX(pr_rate,MATCH(B103,pr_code,0))),""))))</f>
        <v/>
      </c>
      <c r="L103" s="65" t="str">
        <f>IF(COUNTA(A103:G103)=0,"",IF(AND(ISNUMBER(D103),ISNUMBER(J103)),ROUND(D103*J103*(1-N(F103)),2),0))</f>
        <v/>
      </c>
      <c r="M103" s="62" t="str">
        <f>IF(A103="","",IFERROR(INDEX(dv_cname,MATCH(A103,dv_num,0))&amp;"",""))</f>
        <v/>
      </c>
      <c r="N103" s="59" t="str">
        <f>IF(COUNTA(A103:G103)=0,"",IF(A103="","N° devis manquant",IF(ISNA(MATCH(A103,dv_num,0)),"Devis inconnu",IF(AND(B103&lt;&gt;"",ISNA(MATCH(B103,pr_code,0))),"Article inconnu",IF(H103="","Désignation manquante",IF(OR(NOT(ISNUMBER(D103)),N(D103)&lt;=0),"Quantité invalide",IF(J103="","Prix manquant",IF(OR(NOT(ISNUMBER(J103)),N(J103)&lt;0),"Prix invalide",IF(OR(AND(F103&lt;&gt;"",NOT(ISNUMBER(F103))),N(F103)&lt;0,N(F103)&gt;1),"Remise invalide",IF(K103="","Taux de TVA manquant",IF(NOT(ISNUMBER(K103)),"Taux de TVA invalide",IF(COUNTIF(p_rates,K103)=0,"Taux de TVA hors liste (Paramètres)",IF(N(O103)&gt;25,"Au-delà de 25 lignes : non imprimée","OK")))))))))))))</f>
        <v/>
      </c>
      <c r="O103" s="59" t="str">
        <f>IF(A103="","",COUNTIF($A$6:A103,A103))</f>
        <v/>
      </c>
      <c r="P103" s="62" t="str">
        <f>IF(A103="","",A103&amp;"|"&amp;O103)</f>
        <v/>
      </c>
    </row>
    <row r="104">
      <c r="A104" s="60" t="n"/>
      <c r="B104" s="63" t="n"/>
      <c r="C104" s="63" t="n"/>
      <c r="D104" s="67" t="n"/>
      <c r="E104" s="68" t="n"/>
      <c r="F104" s="69" t="n"/>
      <c r="G104" s="70" t="n"/>
      <c r="H104" s="62" t="str">
        <f>IF(COUNTA(A104:G104)=0,"",IF(C104&lt;&gt;"",C104,IF(B104="","",IFERROR(INDEX(pr_des,MATCH(B104,pr_code,0))&amp;"",""))))</f>
        <v/>
      </c>
      <c r="I104" s="59" t="str">
        <f>IF(B104="","",IFERROR(INDEX(pr_unit,MATCH(B104,pr_code,0))&amp;"",""))</f>
        <v/>
      </c>
      <c r="J104" s="65" t="str">
        <f>IF(COUNTA(A104:G104)=0,"",IF(E104&lt;&gt;"",E104,IF(B104="","",IFERROR(IF(INDEX(pr_price,MATCH(B104,pr_code,0))="","",INDEX(pr_price,MATCH(B104,pr_code,0))),""))))</f>
        <v/>
      </c>
      <c r="K104" s="71" t="str">
        <f>IF(COUNTA(A104:G104)=0,"",IF(G104&lt;&gt;"",G104,IF(B104="","",IFERROR(IF(INDEX(pr_rate,MATCH(B104,pr_code,0))="","",INDEX(pr_rate,MATCH(B104,pr_code,0))),""))))</f>
        <v/>
      </c>
      <c r="L104" s="65" t="str">
        <f>IF(COUNTA(A104:G104)=0,"",IF(AND(ISNUMBER(D104),ISNUMBER(J104)),ROUND(D104*J104*(1-N(F104)),2),0))</f>
        <v/>
      </c>
      <c r="M104" s="62" t="str">
        <f>IF(A104="","",IFERROR(INDEX(dv_cname,MATCH(A104,dv_num,0))&amp;"",""))</f>
        <v/>
      </c>
      <c r="N104" s="59" t="str">
        <f>IF(COUNTA(A104:G104)=0,"",IF(A104="","N° devis manquant",IF(ISNA(MATCH(A104,dv_num,0)),"Devis inconnu",IF(AND(B104&lt;&gt;"",ISNA(MATCH(B104,pr_code,0))),"Article inconnu",IF(H104="","Désignation manquante",IF(OR(NOT(ISNUMBER(D104)),N(D104)&lt;=0),"Quantité invalide",IF(J104="","Prix manquant",IF(OR(NOT(ISNUMBER(J104)),N(J104)&lt;0),"Prix invalide",IF(OR(AND(F104&lt;&gt;"",NOT(ISNUMBER(F104))),N(F104)&lt;0,N(F104)&gt;1),"Remise invalide",IF(K104="","Taux de TVA manquant",IF(NOT(ISNUMBER(K104)),"Taux de TVA invalide",IF(COUNTIF(p_rates,K104)=0,"Taux de TVA hors liste (Paramètres)",IF(N(O104)&gt;25,"Au-delà de 25 lignes : non imprimée","OK")))))))))))))</f>
        <v/>
      </c>
      <c r="O104" s="59" t="str">
        <f>IF(A104="","",COUNTIF($A$6:A104,A104))</f>
        <v/>
      </c>
      <c r="P104" s="62" t="str">
        <f>IF(A104="","",A104&amp;"|"&amp;O104)</f>
        <v/>
      </c>
    </row>
    <row r="105">
      <c r="A105" s="60" t="n"/>
      <c r="B105" s="63" t="n"/>
      <c r="C105" s="63" t="n"/>
      <c r="D105" s="67" t="n"/>
      <c r="E105" s="68" t="n"/>
      <c r="F105" s="69" t="n"/>
      <c r="G105" s="70" t="n"/>
      <c r="H105" s="62" t="str">
        <f>IF(COUNTA(A105:G105)=0,"",IF(C105&lt;&gt;"",C105,IF(B105="","",IFERROR(INDEX(pr_des,MATCH(B105,pr_code,0))&amp;"",""))))</f>
        <v/>
      </c>
      <c r="I105" s="59" t="str">
        <f>IF(B105="","",IFERROR(INDEX(pr_unit,MATCH(B105,pr_code,0))&amp;"",""))</f>
        <v/>
      </c>
      <c r="J105" s="65" t="str">
        <f>IF(COUNTA(A105:G105)=0,"",IF(E105&lt;&gt;"",E105,IF(B105="","",IFERROR(IF(INDEX(pr_price,MATCH(B105,pr_code,0))="","",INDEX(pr_price,MATCH(B105,pr_code,0))),""))))</f>
        <v/>
      </c>
      <c r="K105" s="71" t="str">
        <f>IF(COUNTA(A105:G105)=0,"",IF(G105&lt;&gt;"",G105,IF(B105="","",IFERROR(IF(INDEX(pr_rate,MATCH(B105,pr_code,0))="","",INDEX(pr_rate,MATCH(B105,pr_code,0))),""))))</f>
        <v/>
      </c>
      <c r="L105" s="65" t="str">
        <f>IF(COUNTA(A105:G105)=0,"",IF(AND(ISNUMBER(D105),ISNUMBER(J105)),ROUND(D105*J105*(1-N(F105)),2),0))</f>
        <v/>
      </c>
      <c r="M105" s="62" t="str">
        <f>IF(A105="","",IFERROR(INDEX(dv_cname,MATCH(A105,dv_num,0))&amp;"",""))</f>
        <v/>
      </c>
      <c r="N105" s="59" t="str">
        <f>IF(COUNTA(A105:G105)=0,"",IF(A105="","N° devis manquant",IF(ISNA(MATCH(A105,dv_num,0)),"Devis inconnu",IF(AND(B105&lt;&gt;"",ISNA(MATCH(B105,pr_code,0))),"Article inconnu",IF(H105="","Désignation manquante",IF(OR(NOT(ISNUMBER(D105)),N(D105)&lt;=0),"Quantité invalide",IF(J105="","Prix manquant",IF(OR(NOT(ISNUMBER(J105)),N(J105)&lt;0),"Prix invalide",IF(OR(AND(F105&lt;&gt;"",NOT(ISNUMBER(F105))),N(F105)&lt;0,N(F105)&gt;1),"Remise invalide",IF(K105="","Taux de TVA manquant",IF(NOT(ISNUMBER(K105)),"Taux de TVA invalide",IF(COUNTIF(p_rates,K105)=0,"Taux de TVA hors liste (Paramètres)",IF(N(O105)&gt;25,"Au-delà de 25 lignes : non imprimée","OK")))))))))))))</f>
        <v/>
      </c>
      <c r="O105" s="59" t="str">
        <f>IF(A105="","",COUNTIF($A$6:A105,A105))</f>
        <v/>
      </c>
      <c r="P105" s="62" t="str">
        <f>IF(A105="","",A105&amp;"|"&amp;O105)</f>
        <v/>
      </c>
    </row>
    <row r="106">
      <c r="A106" s="60" t="n"/>
      <c r="B106" s="63" t="n"/>
      <c r="C106" s="63" t="n"/>
      <c r="D106" s="67" t="n"/>
      <c r="E106" s="68" t="n"/>
      <c r="F106" s="69" t="n"/>
      <c r="G106" s="70" t="n"/>
      <c r="H106" s="62" t="str">
        <f>IF(COUNTA(A106:G106)=0,"",IF(C106&lt;&gt;"",C106,IF(B106="","",IFERROR(INDEX(pr_des,MATCH(B106,pr_code,0))&amp;"",""))))</f>
        <v/>
      </c>
      <c r="I106" s="59" t="str">
        <f>IF(B106="","",IFERROR(INDEX(pr_unit,MATCH(B106,pr_code,0))&amp;"",""))</f>
        <v/>
      </c>
      <c r="J106" s="65" t="str">
        <f>IF(COUNTA(A106:G106)=0,"",IF(E106&lt;&gt;"",E106,IF(B106="","",IFERROR(IF(INDEX(pr_price,MATCH(B106,pr_code,0))="","",INDEX(pr_price,MATCH(B106,pr_code,0))),""))))</f>
        <v/>
      </c>
      <c r="K106" s="71" t="str">
        <f>IF(COUNTA(A106:G106)=0,"",IF(G106&lt;&gt;"",G106,IF(B106="","",IFERROR(IF(INDEX(pr_rate,MATCH(B106,pr_code,0))="","",INDEX(pr_rate,MATCH(B106,pr_code,0))),""))))</f>
        <v/>
      </c>
      <c r="L106" s="65" t="str">
        <f>IF(COUNTA(A106:G106)=0,"",IF(AND(ISNUMBER(D106),ISNUMBER(J106)),ROUND(D106*J106*(1-N(F106)),2),0))</f>
        <v/>
      </c>
      <c r="M106" s="62" t="str">
        <f>IF(A106="","",IFERROR(INDEX(dv_cname,MATCH(A106,dv_num,0))&amp;"",""))</f>
        <v/>
      </c>
      <c r="N106" s="59" t="str">
        <f>IF(COUNTA(A106:G106)=0,"",IF(A106="","N° devis manquant",IF(ISNA(MATCH(A106,dv_num,0)),"Devis inconnu",IF(AND(B106&lt;&gt;"",ISNA(MATCH(B106,pr_code,0))),"Article inconnu",IF(H106="","Désignation manquante",IF(OR(NOT(ISNUMBER(D106)),N(D106)&lt;=0),"Quantité invalide",IF(J106="","Prix manquant",IF(OR(NOT(ISNUMBER(J106)),N(J106)&lt;0),"Prix invalide",IF(OR(AND(F106&lt;&gt;"",NOT(ISNUMBER(F106))),N(F106)&lt;0,N(F106)&gt;1),"Remise invalide",IF(K106="","Taux de TVA manquant",IF(NOT(ISNUMBER(K106)),"Taux de TVA invalide",IF(COUNTIF(p_rates,K106)=0,"Taux de TVA hors liste (Paramètres)",IF(N(O106)&gt;25,"Au-delà de 25 lignes : non imprimée","OK")))))))))))))</f>
        <v/>
      </c>
      <c r="O106" s="59" t="str">
        <f>IF(A106="","",COUNTIF($A$6:A106,A106))</f>
        <v/>
      </c>
      <c r="P106" s="62" t="str">
        <f>IF(A106="","",A106&amp;"|"&amp;O106)</f>
        <v/>
      </c>
    </row>
    <row r="107">
      <c r="A107" s="60" t="n"/>
      <c r="B107" s="63" t="n"/>
      <c r="C107" s="63" t="n"/>
      <c r="D107" s="67" t="n"/>
      <c r="E107" s="68" t="n"/>
      <c r="F107" s="69" t="n"/>
      <c r="G107" s="70" t="n"/>
      <c r="H107" s="62" t="str">
        <f>IF(COUNTA(A107:G107)=0,"",IF(C107&lt;&gt;"",C107,IF(B107="","",IFERROR(INDEX(pr_des,MATCH(B107,pr_code,0))&amp;"",""))))</f>
        <v/>
      </c>
      <c r="I107" s="59" t="str">
        <f>IF(B107="","",IFERROR(INDEX(pr_unit,MATCH(B107,pr_code,0))&amp;"",""))</f>
        <v/>
      </c>
      <c r="J107" s="65" t="str">
        <f>IF(COUNTA(A107:G107)=0,"",IF(E107&lt;&gt;"",E107,IF(B107="","",IFERROR(IF(INDEX(pr_price,MATCH(B107,pr_code,0))="","",INDEX(pr_price,MATCH(B107,pr_code,0))),""))))</f>
        <v/>
      </c>
      <c r="K107" s="71" t="str">
        <f>IF(COUNTA(A107:G107)=0,"",IF(G107&lt;&gt;"",G107,IF(B107="","",IFERROR(IF(INDEX(pr_rate,MATCH(B107,pr_code,0))="","",INDEX(pr_rate,MATCH(B107,pr_code,0))),""))))</f>
        <v/>
      </c>
      <c r="L107" s="65" t="str">
        <f>IF(COUNTA(A107:G107)=0,"",IF(AND(ISNUMBER(D107),ISNUMBER(J107)),ROUND(D107*J107*(1-N(F107)),2),0))</f>
        <v/>
      </c>
      <c r="M107" s="62" t="str">
        <f>IF(A107="","",IFERROR(INDEX(dv_cname,MATCH(A107,dv_num,0))&amp;"",""))</f>
        <v/>
      </c>
      <c r="N107" s="59" t="str">
        <f>IF(COUNTA(A107:G107)=0,"",IF(A107="","N° devis manquant",IF(ISNA(MATCH(A107,dv_num,0)),"Devis inconnu",IF(AND(B107&lt;&gt;"",ISNA(MATCH(B107,pr_code,0))),"Article inconnu",IF(H107="","Désignation manquante",IF(OR(NOT(ISNUMBER(D107)),N(D107)&lt;=0),"Quantité invalide",IF(J107="","Prix manquant",IF(OR(NOT(ISNUMBER(J107)),N(J107)&lt;0),"Prix invalide",IF(OR(AND(F107&lt;&gt;"",NOT(ISNUMBER(F107))),N(F107)&lt;0,N(F107)&gt;1),"Remise invalide",IF(K107="","Taux de TVA manquant",IF(NOT(ISNUMBER(K107)),"Taux de TVA invalide",IF(COUNTIF(p_rates,K107)=0,"Taux de TVA hors liste (Paramètres)",IF(N(O107)&gt;25,"Au-delà de 25 lignes : non imprimée","OK")))))))))))))</f>
        <v/>
      </c>
      <c r="O107" s="59" t="str">
        <f>IF(A107="","",COUNTIF($A$6:A107,A107))</f>
        <v/>
      </c>
      <c r="P107" s="62" t="str">
        <f>IF(A107="","",A107&amp;"|"&amp;O107)</f>
        <v/>
      </c>
    </row>
    <row r="108">
      <c r="A108" s="60" t="n"/>
      <c r="B108" s="63" t="n"/>
      <c r="C108" s="63" t="n"/>
      <c r="D108" s="67" t="n"/>
      <c r="E108" s="68" t="n"/>
      <c r="F108" s="69" t="n"/>
      <c r="G108" s="70" t="n"/>
      <c r="H108" s="62" t="str">
        <f>IF(COUNTA(A108:G108)=0,"",IF(C108&lt;&gt;"",C108,IF(B108="","",IFERROR(INDEX(pr_des,MATCH(B108,pr_code,0))&amp;"",""))))</f>
        <v/>
      </c>
      <c r="I108" s="59" t="str">
        <f>IF(B108="","",IFERROR(INDEX(pr_unit,MATCH(B108,pr_code,0))&amp;"",""))</f>
        <v/>
      </c>
      <c r="J108" s="65" t="str">
        <f>IF(COUNTA(A108:G108)=0,"",IF(E108&lt;&gt;"",E108,IF(B108="","",IFERROR(IF(INDEX(pr_price,MATCH(B108,pr_code,0))="","",INDEX(pr_price,MATCH(B108,pr_code,0))),""))))</f>
        <v/>
      </c>
      <c r="K108" s="71" t="str">
        <f>IF(COUNTA(A108:G108)=0,"",IF(G108&lt;&gt;"",G108,IF(B108="","",IFERROR(IF(INDEX(pr_rate,MATCH(B108,pr_code,0))="","",INDEX(pr_rate,MATCH(B108,pr_code,0))),""))))</f>
        <v/>
      </c>
      <c r="L108" s="65" t="str">
        <f>IF(COUNTA(A108:G108)=0,"",IF(AND(ISNUMBER(D108),ISNUMBER(J108)),ROUND(D108*J108*(1-N(F108)),2),0))</f>
        <v/>
      </c>
      <c r="M108" s="62" t="str">
        <f>IF(A108="","",IFERROR(INDEX(dv_cname,MATCH(A108,dv_num,0))&amp;"",""))</f>
        <v/>
      </c>
      <c r="N108" s="59" t="str">
        <f>IF(COUNTA(A108:G108)=0,"",IF(A108="","N° devis manquant",IF(ISNA(MATCH(A108,dv_num,0)),"Devis inconnu",IF(AND(B108&lt;&gt;"",ISNA(MATCH(B108,pr_code,0))),"Article inconnu",IF(H108="","Désignation manquante",IF(OR(NOT(ISNUMBER(D108)),N(D108)&lt;=0),"Quantité invalide",IF(J108="","Prix manquant",IF(OR(NOT(ISNUMBER(J108)),N(J108)&lt;0),"Prix invalide",IF(OR(AND(F108&lt;&gt;"",NOT(ISNUMBER(F108))),N(F108)&lt;0,N(F108)&gt;1),"Remise invalide",IF(K108="","Taux de TVA manquant",IF(NOT(ISNUMBER(K108)),"Taux de TVA invalide",IF(COUNTIF(p_rates,K108)=0,"Taux de TVA hors liste (Paramètres)",IF(N(O108)&gt;25,"Au-delà de 25 lignes : non imprimée","OK")))))))))))))</f>
        <v/>
      </c>
      <c r="O108" s="59" t="str">
        <f>IF(A108="","",COUNTIF($A$6:A108,A108))</f>
        <v/>
      </c>
      <c r="P108" s="62" t="str">
        <f>IF(A108="","",A108&amp;"|"&amp;O108)</f>
        <v/>
      </c>
    </row>
    <row r="109">
      <c r="A109" s="60" t="n"/>
      <c r="B109" s="63" t="n"/>
      <c r="C109" s="63" t="n"/>
      <c r="D109" s="67" t="n"/>
      <c r="E109" s="68" t="n"/>
      <c r="F109" s="69" t="n"/>
      <c r="G109" s="70" t="n"/>
      <c r="H109" s="62" t="str">
        <f>IF(COUNTA(A109:G109)=0,"",IF(C109&lt;&gt;"",C109,IF(B109="","",IFERROR(INDEX(pr_des,MATCH(B109,pr_code,0))&amp;"",""))))</f>
        <v/>
      </c>
      <c r="I109" s="59" t="str">
        <f>IF(B109="","",IFERROR(INDEX(pr_unit,MATCH(B109,pr_code,0))&amp;"",""))</f>
        <v/>
      </c>
      <c r="J109" s="65" t="str">
        <f>IF(COUNTA(A109:G109)=0,"",IF(E109&lt;&gt;"",E109,IF(B109="","",IFERROR(IF(INDEX(pr_price,MATCH(B109,pr_code,0))="","",INDEX(pr_price,MATCH(B109,pr_code,0))),""))))</f>
        <v/>
      </c>
      <c r="K109" s="71" t="str">
        <f>IF(COUNTA(A109:G109)=0,"",IF(G109&lt;&gt;"",G109,IF(B109="","",IFERROR(IF(INDEX(pr_rate,MATCH(B109,pr_code,0))="","",INDEX(pr_rate,MATCH(B109,pr_code,0))),""))))</f>
        <v/>
      </c>
      <c r="L109" s="65" t="str">
        <f>IF(COUNTA(A109:G109)=0,"",IF(AND(ISNUMBER(D109),ISNUMBER(J109)),ROUND(D109*J109*(1-N(F109)),2),0))</f>
        <v/>
      </c>
      <c r="M109" s="62" t="str">
        <f>IF(A109="","",IFERROR(INDEX(dv_cname,MATCH(A109,dv_num,0))&amp;"",""))</f>
        <v/>
      </c>
      <c r="N109" s="59" t="str">
        <f>IF(COUNTA(A109:G109)=0,"",IF(A109="","N° devis manquant",IF(ISNA(MATCH(A109,dv_num,0)),"Devis inconnu",IF(AND(B109&lt;&gt;"",ISNA(MATCH(B109,pr_code,0))),"Article inconnu",IF(H109="","Désignation manquante",IF(OR(NOT(ISNUMBER(D109)),N(D109)&lt;=0),"Quantité invalide",IF(J109="","Prix manquant",IF(OR(NOT(ISNUMBER(J109)),N(J109)&lt;0),"Prix invalide",IF(OR(AND(F109&lt;&gt;"",NOT(ISNUMBER(F109))),N(F109)&lt;0,N(F109)&gt;1),"Remise invalide",IF(K109="","Taux de TVA manquant",IF(NOT(ISNUMBER(K109)),"Taux de TVA invalide",IF(COUNTIF(p_rates,K109)=0,"Taux de TVA hors liste (Paramètres)",IF(N(O109)&gt;25,"Au-delà de 25 lignes : non imprimée","OK")))))))))))))</f>
        <v/>
      </c>
      <c r="O109" s="59" t="str">
        <f>IF(A109="","",COUNTIF($A$6:A109,A109))</f>
        <v/>
      </c>
      <c r="P109" s="62" t="str">
        <f>IF(A109="","",A109&amp;"|"&amp;O109)</f>
        <v/>
      </c>
    </row>
    <row r="110">
      <c r="A110" s="60" t="n"/>
      <c r="B110" s="63" t="n"/>
      <c r="C110" s="63" t="n"/>
      <c r="D110" s="67" t="n"/>
      <c r="E110" s="68" t="n"/>
      <c r="F110" s="69" t="n"/>
      <c r="G110" s="70" t="n"/>
      <c r="H110" s="62" t="str">
        <f>IF(COUNTA(A110:G110)=0,"",IF(C110&lt;&gt;"",C110,IF(B110="","",IFERROR(INDEX(pr_des,MATCH(B110,pr_code,0))&amp;"",""))))</f>
        <v/>
      </c>
      <c r="I110" s="59" t="str">
        <f>IF(B110="","",IFERROR(INDEX(pr_unit,MATCH(B110,pr_code,0))&amp;"",""))</f>
        <v/>
      </c>
      <c r="J110" s="65" t="str">
        <f>IF(COUNTA(A110:G110)=0,"",IF(E110&lt;&gt;"",E110,IF(B110="","",IFERROR(IF(INDEX(pr_price,MATCH(B110,pr_code,0))="","",INDEX(pr_price,MATCH(B110,pr_code,0))),""))))</f>
        <v/>
      </c>
      <c r="K110" s="71" t="str">
        <f>IF(COUNTA(A110:G110)=0,"",IF(G110&lt;&gt;"",G110,IF(B110="","",IFERROR(IF(INDEX(pr_rate,MATCH(B110,pr_code,0))="","",INDEX(pr_rate,MATCH(B110,pr_code,0))),""))))</f>
        <v/>
      </c>
      <c r="L110" s="65" t="str">
        <f>IF(COUNTA(A110:G110)=0,"",IF(AND(ISNUMBER(D110),ISNUMBER(J110)),ROUND(D110*J110*(1-N(F110)),2),0))</f>
        <v/>
      </c>
      <c r="M110" s="62" t="str">
        <f>IF(A110="","",IFERROR(INDEX(dv_cname,MATCH(A110,dv_num,0))&amp;"",""))</f>
        <v/>
      </c>
      <c r="N110" s="59" t="str">
        <f>IF(COUNTA(A110:G110)=0,"",IF(A110="","N° devis manquant",IF(ISNA(MATCH(A110,dv_num,0)),"Devis inconnu",IF(AND(B110&lt;&gt;"",ISNA(MATCH(B110,pr_code,0))),"Article inconnu",IF(H110="","Désignation manquante",IF(OR(NOT(ISNUMBER(D110)),N(D110)&lt;=0),"Quantité invalide",IF(J110="","Prix manquant",IF(OR(NOT(ISNUMBER(J110)),N(J110)&lt;0),"Prix invalide",IF(OR(AND(F110&lt;&gt;"",NOT(ISNUMBER(F110))),N(F110)&lt;0,N(F110)&gt;1),"Remise invalide",IF(K110="","Taux de TVA manquant",IF(NOT(ISNUMBER(K110)),"Taux de TVA invalide",IF(COUNTIF(p_rates,K110)=0,"Taux de TVA hors liste (Paramètres)",IF(N(O110)&gt;25,"Au-delà de 25 lignes : non imprimée","OK")))))))))))))</f>
        <v/>
      </c>
      <c r="O110" s="59" t="str">
        <f>IF(A110="","",COUNTIF($A$6:A110,A110))</f>
        <v/>
      </c>
      <c r="P110" s="62" t="str">
        <f>IF(A110="","",A110&amp;"|"&amp;O110)</f>
        <v/>
      </c>
    </row>
    <row r="111">
      <c r="A111" s="60" t="n"/>
      <c r="B111" s="63" t="n"/>
      <c r="C111" s="63" t="n"/>
      <c r="D111" s="67" t="n"/>
      <c r="E111" s="68" t="n"/>
      <c r="F111" s="69" t="n"/>
      <c r="G111" s="70" t="n"/>
      <c r="H111" s="62" t="str">
        <f>IF(COUNTA(A111:G111)=0,"",IF(C111&lt;&gt;"",C111,IF(B111="","",IFERROR(INDEX(pr_des,MATCH(B111,pr_code,0))&amp;"",""))))</f>
        <v/>
      </c>
      <c r="I111" s="59" t="str">
        <f>IF(B111="","",IFERROR(INDEX(pr_unit,MATCH(B111,pr_code,0))&amp;"",""))</f>
        <v/>
      </c>
      <c r="J111" s="65" t="str">
        <f>IF(COUNTA(A111:G111)=0,"",IF(E111&lt;&gt;"",E111,IF(B111="","",IFERROR(IF(INDEX(pr_price,MATCH(B111,pr_code,0))="","",INDEX(pr_price,MATCH(B111,pr_code,0))),""))))</f>
        <v/>
      </c>
      <c r="K111" s="71" t="str">
        <f>IF(COUNTA(A111:G111)=0,"",IF(G111&lt;&gt;"",G111,IF(B111="","",IFERROR(IF(INDEX(pr_rate,MATCH(B111,pr_code,0))="","",INDEX(pr_rate,MATCH(B111,pr_code,0))),""))))</f>
        <v/>
      </c>
      <c r="L111" s="65" t="str">
        <f>IF(COUNTA(A111:G111)=0,"",IF(AND(ISNUMBER(D111),ISNUMBER(J111)),ROUND(D111*J111*(1-N(F111)),2),0))</f>
        <v/>
      </c>
      <c r="M111" s="62" t="str">
        <f>IF(A111="","",IFERROR(INDEX(dv_cname,MATCH(A111,dv_num,0))&amp;"",""))</f>
        <v/>
      </c>
      <c r="N111" s="59" t="str">
        <f>IF(COUNTA(A111:G111)=0,"",IF(A111="","N° devis manquant",IF(ISNA(MATCH(A111,dv_num,0)),"Devis inconnu",IF(AND(B111&lt;&gt;"",ISNA(MATCH(B111,pr_code,0))),"Article inconnu",IF(H111="","Désignation manquante",IF(OR(NOT(ISNUMBER(D111)),N(D111)&lt;=0),"Quantité invalide",IF(J111="","Prix manquant",IF(OR(NOT(ISNUMBER(J111)),N(J111)&lt;0),"Prix invalide",IF(OR(AND(F111&lt;&gt;"",NOT(ISNUMBER(F111))),N(F111)&lt;0,N(F111)&gt;1),"Remise invalide",IF(K111="","Taux de TVA manquant",IF(NOT(ISNUMBER(K111)),"Taux de TVA invalide",IF(COUNTIF(p_rates,K111)=0,"Taux de TVA hors liste (Paramètres)",IF(N(O111)&gt;25,"Au-delà de 25 lignes : non imprimée","OK")))))))))))))</f>
        <v/>
      </c>
      <c r="O111" s="59" t="str">
        <f>IF(A111="","",COUNTIF($A$6:A111,A111))</f>
        <v/>
      </c>
      <c r="P111" s="62" t="str">
        <f>IF(A111="","",A111&amp;"|"&amp;O111)</f>
        <v/>
      </c>
    </row>
    <row r="112">
      <c r="A112" s="60" t="n"/>
      <c r="B112" s="63" t="n"/>
      <c r="C112" s="63" t="n"/>
      <c r="D112" s="67" t="n"/>
      <c r="E112" s="68" t="n"/>
      <c r="F112" s="69" t="n"/>
      <c r="G112" s="70" t="n"/>
      <c r="H112" s="62" t="str">
        <f>IF(COUNTA(A112:G112)=0,"",IF(C112&lt;&gt;"",C112,IF(B112="","",IFERROR(INDEX(pr_des,MATCH(B112,pr_code,0))&amp;"",""))))</f>
        <v/>
      </c>
      <c r="I112" s="59" t="str">
        <f>IF(B112="","",IFERROR(INDEX(pr_unit,MATCH(B112,pr_code,0))&amp;"",""))</f>
        <v/>
      </c>
      <c r="J112" s="65" t="str">
        <f>IF(COUNTA(A112:G112)=0,"",IF(E112&lt;&gt;"",E112,IF(B112="","",IFERROR(IF(INDEX(pr_price,MATCH(B112,pr_code,0))="","",INDEX(pr_price,MATCH(B112,pr_code,0))),""))))</f>
        <v/>
      </c>
      <c r="K112" s="71" t="str">
        <f>IF(COUNTA(A112:G112)=0,"",IF(G112&lt;&gt;"",G112,IF(B112="","",IFERROR(IF(INDEX(pr_rate,MATCH(B112,pr_code,0))="","",INDEX(pr_rate,MATCH(B112,pr_code,0))),""))))</f>
        <v/>
      </c>
      <c r="L112" s="65" t="str">
        <f>IF(COUNTA(A112:G112)=0,"",IF(AND(ISNUMBER(D112),ISNUMBER(J112)),ROUND(D112*J112*(1-N(F112)),2),0))</f>
        <v/>
      </c>
      <c r="M112" s="62" t="str">
        <f>IF(A112="","",IFERROR(INDEX(dv_cname,MATCH(A112,dv_num,0))&amp;"",""))</f>
        <v/>
      </c>
      <c r="N112" s="59" t="str">
        <f>IF(COUNTA(A112:G112)=0,"",IF(A112="","N° devis manquant",IF(ISNA(MATCH(A112,dv_num,0)),"Devis inconnu",IF(AND(B112&lt;&gt;"",ISNA(MATCH(B112,pr_code,0))),"Article inconnu",IF(H112="","Désignation manquante",IF(OR(NOT(ISNUMBER(D112)),N(D112)&lt;=0),"Quantité invalide",IF(J112="","Prix manquant",IF(OR(NOT(ISNUMBER(J112)),N(J112)&lt;0),"Prix invalide",IF(OR(AND(F112&lt;&gt;"",NOT(ISNUMBER(F112))),N(F112)&lt;0,N(F112)&gt;1),"Remise invalide",IF(K112="","Taux de TVA manquant",IF(NOT(ISNUMBER(K112)),"Taux de TVA invalide",IF(COUNTIF(p_rates,K112)=0,"Taux de TVA hors liste (Paramètres)",IF(N(O112)&gt;25,"Au-delà de 25 lignes : non imprimée","OK")))))))))))))</f>
        <v/>
      </c>
      <c r="O112" s="59" t="str">
        <f>IF(A112="","",COUNTIF($A$6:A112,A112))</f>
        <v/>
      </c>
      <c r="P112" s="62" t="str">
        <f>IF(A112="","",A112&amp;"|"&amp;O112)</f>
        <v/>
      </c>
    </row>
    <row r="113">
      <c r="A113" s="60" t="n"/>
      <c r="B113" s="63" t="n"/>
      <c r="C113" s="63" t="n"/>
      <c r="D113" s="67" t="n"/>
      <c r="E113" s="68" t="n"/>
      <c r="F113" s="69" t="n"/>
      <c r="G113" s="70" t="n"/>
      <c r="H113" s="62" t="str">
        <f>IF(COUNTA(A113:G113)=0,"",IF(C113&lt;&gt;"",C113,IF(B113="","",IFERROR(INDEX(pr_des,MATCH(B113,pr_code,0))&amp;"",""))))</f>
        <v/>
      </c>
      <c r="I113" s="59" t="str">
        <f>IF(B113="","",IFERROR(INDEX(pr_unit,MATCH(B113,pr_code,0))&amp;"",""))</f>
        <v/>
      </c>
      <c r="J113" s="65" t="str">
        <f>IF(COUNTA(A113:G113)=0,"",IF(E113&lt;&gt;"",E113,IF(B113="","",IFERROR(IF(INDEX(pr_price,MATCH(B113,pr_code,0))="","",INDEX(pr_price,MATCH(B113,pr_code,0))),""))))</f>
        <v/>
      </c>
      <c r="K113" s="71" t="str">
        <f>IF(COUNTA(A113:G113)=0,"",IF(G113&lt;&gt;"",G113,IF(B113="","",IFERROR(IF(INDEX(pr_rate,MATCH(B113,pr_code,0))="","",INDEX(pr_rate,MATCH(B113,pr_code,0))),""))))</f>
        <v/>
      </c>
      <c r="L113" s="65" t="str">
        <f>IF(COUNTA(A113:G113)=0,"",IF(AND(ISNUMBER(D113),ISNUMBER(J113)),ROUND(D113*J113*(1-N(F113)),2),0))</f>
        <v/>
      </c>
      <c r="M113" s="62" t="str">
        <f>IF(A113="","",IFERROR(INDEX(dv_cname,MATCH(A113,dv_num,0))&amp;"",""))</f>
        <v/>
      </c>
      <c r="N113" s="59" t="str">
        <f>IF(COUNTA(A113:G113)=0,"",IF(A113="","N° devis manquant",IF(ISNA(MATCH(A113,dv_num,0)),"Devis inconnu",IF(AND(B113&lt;&gt;"",ISNA(MATCH(B113,pr_code,0))),"Article inconnu",IF(H113="","Désignation manquante",IF(OR(NOT(ISNUMBER(D113)),N(D113)&lt;=0),"Quantité invalide",IF(J113="","Prix manquant",IF(OR(NOT(ISNUMBER(J113)),N(J113)&lt;0),"Prix invalide",IF(OR(AND(F113&lt;&gt;"",NOT(ISNUMBER(F113))),N(F113)&lt;0,N(F113)&gt;1),"Remise invalide",IF(K113="","Taux de TVA manquant",IF(NOT(ISNUMBER(K113)),"Taux de TVA invalide",IF(COUNTIF(p_rates,K113)=0,"Taux de TVA hors liste (Paramètres)",IF(N(O113)&gt;25,"Au-delà de 25 lignes : non imprimée","OK")))))))))))))</f>
        <v/>
      </c>
      <c r="O113" s="59" t="str">
        <f>IF(A113="","",COUNTIF($A$6:A113,A113))</f>
        <v/>
      </c>
      <c r="P113" s="62" t="str">
        <f>IF(A113="","",A113&amp;"|"&amp;O113)</f>
        <v/>
      </c>
    </row>
    <row r="114">
      <c r="A114" s="60" t="n"/>
      <c r="B114" s="63" t="n"/>
      <c r="C114" s="63" t="n"/>
      <c r="D114" s="67" t="n"/>
      <c r="E114" s="68" t="n"/>
      <c r="F114" s="69" t="n"/>
      <c r="G114" s="70" t="n"/>
      <c r="H114" s="62" t="str">
        <f>IF(COUNTA(A114:G114)=0,"",IF(C114&lt;&gt;"",C114,IF(B114="","",IFERROR(INDEX(pr_des,MATCH(B114,pr_code,0))&amp;"",""))))</f>
        <v/>
      </c>
      <c r="I114" s="59" t="str">
        <f>IF(B114="","",IFERROR(INDEX(pr_unit,MATCH(B114,pr_code,0))&amp;"",""))</f>
        <v/>
      </c>
      <c r="J114" s="65" t="str">
        <f>IF(COUNTA(A114:G114)=0,"",IF(E114&lt;&gt;"",E114,IF(B114="","",IFERROR(IF(INDEX(pr_price,MATCH(B114,pr_code,0))="","",INDEX(pr_price,MATCH(B114,pr_code,0))),""))))</f>
        <v/>
      </c>
      <c r="K114" s="71" t="str">
        <f>IF(COUNTA(A114:G114)=0,"",IF(G114&lt;&gt;"",G114,IF(B114="","",IFERROR(IF(INDEX(pr_rate,MATCH(B114,pr_code,0))="","",INDEX(pr_rate,MATCH(B114,pr_code,0))),""))))</f>
        <v/>
      </c>
      <c r="L114" s="65" t="str">
        <f>IF(COUNTA(A114:G114)=0,"",IF(AND(ISNUMBER(D114),ISNUMBER(J114)),ROUND(D114*J114*(1-N(F114)),2),0))</f>
        <v/>
      </c>
      <c r="M114" s="62" t="str">
        <f>IF(A114="","",IFERROR(INDEX(dv_cname,MATCH(A114,dv_num,0))&amp;"",""))</f>
        <v/>
      </c>
      <c r="N114" s="59" t="str">
        <f>IF(COUNTA(A114:G114)=0,"",IF(A114="","N° devis manquant",IF(ISNA(MATCH(A114,dv_num,0)),"Devis inconnu",IF(AND(B114&lt;&gt;"",ISNA(MATCH(B114,pr_code,0))),"Article inconnu",IF(H114="","Désignation manquante",IF(OR(NOT(ISNUMBER(D114)),N(D114)&lt;=0),"Quantité invalide",IF(J114="","Prix manquant",IF(OR(NOT(ISNUMBER(J114)),N(J114)&lt;0),"Prix invalide",IF(OR(AND(F114&lt;&gt;"",NOT(ISNUMBER(F114))),N(F114)&lt;0,N(F114)&gt;1),"Remise invalide",IF(K114="","Taux de TVA manquant",IF(NOT(ISNUMBER(K114)),"Taux de TVA invalide",IF(COUNTIF(p_rates,K114)=0,"Taux de TVA hors liste (Paramètres)",IF(N(O114)&gt;25,"Au-delà de 25 lignes : non imprimée","OK")))))))))))))</f>
        <v/>
      </c>
      <c r="O114" s="59" t="str">
        <f>IF(A114="","",COUNTIF($A$6:A114,A114))</f>
        <v/>
      </c>
      <c r="P114" s="62" t="str">
        <f>IF(A114="","",A114&amp;"|"&amp;O114)</f>
        <v/>
      </c>
    </row>
    <row r="115">
      <c r="A115" s="60" t="n"/>
      <c r="B115" s="63" t="n"/>
      <c r="C115" s="63" t="n"/>
      <c r="D115" s="67" t="n"/>
      <c r="E115" s="68" t="n"/>
      <c r="F115" s="69" t="n"/>
      <c r="G115" s="70" t="n"/>
      <c r="H115" s="62" t="str">
        <f>IF(COUNTA(A115:G115)=0,"",IF(C115&lt;&gt;"",C115,IF(B115="","",IFERROR(INDEX(pr_des,MATCH(B115,pr_code,0))&amp;"",""))))</f>
        <v/>
      </c>
      <c r="I115" s="59" t="str">
        <f>IF(B115="","",IFERROR(INDEX(pr_unit,MATCH(B115,pr_code,0))&amp;"",""))</f>
        <v/>
      </c>
      <c r="J115" s="65" t="str">
        <f>IF(COUNTA(A115:G115)=0,"",IF(E115&lt;&gt;"",E115,IF(B115="","",IFERROR(IF(INDEX(pr_price,MATCH(B115,pr_code,0))="","",INDEX(pr_price,MATCH(B115,pr_code,0))),""))))</f>
        <v/>
      </c>
      <c r="K115" s="71" t="str">
        <f>IF(COUNTA(A115:G115)=0,"",IF(G115&lt;&gt;"",G115,IF(B115="","",IFERROR(IF(INDEX(pr_rate,MATCH(B115,pr_code,0))="","",INDEX(pr_rate,MATCH(B115,pr_code,0))),""))))</f>
        <v/>
      </c>
      <c r="L115" s="65" t="str">
        <f>IF(COUNTA(A115:G115)=0,"",IF(AND(ISNUMBER(D115),ISNUMBER(J115)),ROUND(D115*J115*(1-N(F115)),2),0))</f>
        <v/>
      </c>
      <c r="M115" s="62" t="str">
        <f>IF(A115="","",IFERROR(INDEX(dv_cname,MATCH(A115,dv_num,0))&amp;"",""))</f>
        <v/>
      </c>
      <c r="N115" s="59" t="str">
        <f>IF(COUNTA(A115:G115)=0,"",IF(A115="","N° devis manquant",IF(ISNA(MATCH(A115,dv_num,0)),"Devis inconnu",IF(AND(B115&lt;&gt;"",ISNA(MATCH(B115,pr_code,0))),"Article inconnu",IF(H115="","Désignation manquante",IF(OR(NOT(ISNUMBER(D115)),N(D115)&lt;=0),"Quantité invalide",IF(J115="","Prix manquant",IF(OR(NOT(ISNUMBER(J115)),N(J115)&lt;0),"Prix invalide",IF(OR(AND(F115&lt;&gt;"",NOT(ISNUMBER(F115))),N(F115)&lt;0,N(F115)&gt;1),"Remise invalide",IF(K115="","Taux de TVA manquant",IF(NOT(ISNUMBER(K115)),"Taux de TVA invalide",IF(COUNTIF(p_rates,K115)=0,"Taux de TVA hors liste (Paramètres)",IF(N(O115)&gt;25,"Au-delà de 25 lignes : non imprimée","OK")))))))))))))</f>
        <v/>
      </c>
      <c r="O115" s="59" t="str">
        <f>IF(A115="","",COUNTIF($A$6:A115,A115))</f>
        <v/>
      </c>
      <c r="P115" s="62" t="str">
        <f>IF(A115="","",A115&amp;"|"&amp;O115)</f>
        <v/>
      </c>
    </row>
    <row r="116">
      <c r="A116" s="60" t="n"/>
      <c r="B116" s="63" t="n"/>
      <c r="C116" s="63" t="n"/>
      <c r="D116" s="67" t="n"/>
      <c r="E116" s="68" t="n"/>
      <c r="F116" s="69" t="n"/>
      <c r="G116" s="70" t="n"/>
      <c r="H116" s="62" t="str">
        <f>IF(COUNTA(A116:G116)=0,"",IF(C116&lt;&gt;"",C116,IF(B116="","",IFERROR(INDEX(pr_des,MATCH(B116,pr_code,0))&amp;"",""))))</f>
        <v/>
      </c>
      <c r="I116" s="59" t="str">
        <f>IF(B116="","",IFERROR(INDEX(pr_unit,MATCH(B116,pr_code,0))&amp;"",""))</f>
        <v/>
      </c>
      <c r="J116" s="65" t="str">
        <f>IF(COUNTA(A116:G116)=0,"",IF(E116&lt;&gt;"",E116,IF(B116="","",IFERROR(IF(INDEX(pr_price,MATCH(B116,pr_code,0))="","",INDEX(pr_price,MATCH(B116,pr_code,0))),""))))</f>
        <v/>
      </c>
      <c r="K116" s="71" t="str">
        <f>IF(COUNTA(A116:G116)=0,"",IF(G116&lt;&gt;"",G116,IF(B116="","",IFERROR(IF(INDEX(pr_rate,MATCH(B116,pr_code,0))="","",INDEX(pr_rate,MATCH(B116,pr_code,0))),""))))</f>
        <v/>
      </c>
      <c r="L116" s="65" t="str">
        <f>IF(COUNTA(A116:G116)=0,"",IF(AND(ISNUMBER(D116),ISNUMBER(J116)),ROUND(D116*J116*(1-N(F116)),2),0))</f>
        <v/>
      </c>
      <c r="M116" s="62" t="str">
        <f>IF(A116="","",IFERROR(INDEX(dv_cname,MATCH(A116,dv_num,0))&amp;"",""))</f>
        <v/>
      </c>
      <c r="N116" s="59" t="str">
        <f>IF(COUNTA(A116:G116)=0,"",IF(A116="","N° devis manquant",IF(ISNA(MATCH(A116,dv_num,0)),"Devis inconnu",IF(AND(B116&lt;&gt;"",ISNA(MATCH(B116,pr_code,0))),"Article inconnu",IF(H116="","Désignation manquante",IF(OR(NOT(ISNUMBER(D116)),N(D116)&lt;=0),"Quantité invalide",IF(J116="","Prix manquant",IF(OR(NOT(ISNUMBER(J116)),N(J116)&lt;0),"Prix invalide",IF(OR(AND(F116&lt;&gt;"",NOT(ISNUMBER(F116))),N(F116)&lt;0,N(F116)&gt;1),"Remise invalide",IF(K116="","Taux de TVA manquant",IF(NOT(ISNUMBER(K116)),"Taux de TVA invalide",IF(COUNTIF(p_rates,K116)=0,"Taux de TVA hors liste (Paramètres)",IF(N(O116)&gt;25,"Au-delà de 25 lignes : non imprimée","OK")))))))))))))</f>
        <v/>
      </c>
      <c r="O116" s="59" t="str">
        <f>IF(A116="","",COUNTIF($A$6:A116,A116))</f>
        <v/>
      </c>
      <c r="P116" s="62" t="str">
        <f>IF(A116="","",A116&amp;"|"&amp;O116)</f>
        <v/>
      </c>
    </row>
    <row r="117">
      <c r="A117" s="60" t="n"/>
      <c r="B117" s="63" t="n"/>
      <c r="C117" s="63" t="n"/>
      <c r="D117" s="67" t="n"/>
      <c r="E117" s="68" t="n"/>
      <c r="F117" s="69" t="n"/>
      <c r="G117" s="70" t="n"/>
      <c r="H117" s="62" t="str">
        <f>IF(COUNTA(A117:G117)=0,"",IF(C117&lt;&gt;"",C117,IF(B117="","",IFERROR(INDEX(pr_des,MATCH(B117,pr_code,0))&amp;"",""))))</f>
        <v/>
      </c>
      <c r="I117" s="59" t="str">
        <f>IF(B117="","",IFERROR(INDEX(pr_unit,MATCH(B117,pr_code,0))&amp;"",""))</f>
        <v/>
      </c>
      <c r="J117" s="65" t="str">
        <f>IF(COUNTA(A117:G117)=0,"",IF(E117&lt;&gt;"",E117,IF(B117="","",IFERROR(IF(INDEX(pr_price,MATCH(B117,pr_code,0))="","",INDEX(pr_price,MATCH(B117,pr_code,0))),""))))</f>
        <v/>
      </c>
      <c r="K117" s="71" t="str">
        <f>IF(COUNTA(A117:G117)=0,"",IF(G117&lt;&gt;"",G117,IF(B117="","",IFERROR(IF(INDEX(pr_rate,MATCH(B117,pr_code,0))="","",INDEX(pr_rate,MATCH(B117,pr_code,0))),""))))</f>
        <v/>
      </c>
      <c r="L117" s="65" t="str">
        <f>IF(COUNTA(A117:G117)=0,"",IF(AND(ISNUMBER(D117),ISNUMBER(J117)),ROUND(D117*J117*(1-N(F117)),2),0))</f>
        <v/>
      </c>
      <c r="M117" s="62" t="str">
        <f>IF(A117="","",IFERROR(INDEX(dv_cname,MATCH(A117,dv_num,0))&amp;"",""))</f>
        <v/>
      </c>
      <c r="N117" s="59" t="str">
        <f>IF(COUNTA(A117:G117)=0,"",IF(A117="","N° devis manquant",IF(ISNA(MATCH(A117,dv_num,0)),"Devis inconnu",IF(AND(B117&lt;&gt;"",ISNA(MATCH(B117,pr_code,0))),"Article inconnu",IF(H117="","Désignation manquante",IF(OR(NOT(ISNUMBER(D117)),N(D117)&lt;=0),"Quantité invalide",IF(J117="","Prix manquant",IF(OR(NOT(ISNUMBER(J117)),N(J117)&lt;0),"Prix invalide",IF(OR(AND(F117&lt;&gt;"",NOT(ISNUMBER(F117))),N(F117)&lt;0,N(F117)&gt;1),"Remise invalide",IF(K117="","Taux de TVA manquant",IF(NOT(ISNUMBER(K117)),"Taux de TVA invalide",IF(COUNTIF(p_rates,K117)=0,"Taux de TVA hors liste (Paramètres)",IF(N(O117)&gt;25,"Au-delà de 25 lignes : non imprimée","OK")))))))))))))</f>
        <v/>
      </c>
      <c r="O117" s="59" t="str">
        <f>IF(A117="","",COUNTIF($A$6:A117,A117))</f>
        <v/>
      </c>
      <c r="P117" s="62" t="str">
        <f>IF(A117="","",A117&amp;"|"&amp;O117)</f>
        <v/>
      </c>
    </row>
    <row r="118">
      <c r="A118" s="60" t="n"/>
      <c r="B118" s="63" t="n"/>
      <c r="C118" s="63" t="n"/>
      <c r="D118" s="67" t="n"/>
      <c r="E118" s="68" t="n"/>
      <c r="F118" s="69" t="n"/>
      <c r="G118" s="70" t="n"/>
      <c r="H118" s="62" t="str">
        <f>IF(COUNTA(A118:G118)=0,"",IF(C118&lt;&gt;"",C118,IF(B118="","",IFERROR(INDEX(pr_des,MATCH(B118,pr_code,0))&amp;"",""))))</f>
        <v/>
      </c>
      <c r="I118" s="59" t="str">
        <f>IF(B118="","",IFERROR(INDEX(pr_unit,MATCH(B118,pr_code,0))&amp;"",""))</f>
        <v/>
      </c>
      <c r="J118" s="65" t="str">
        <f>IF(COUNTA(A118:G118)=0,"",IF(E118&lt;&gt;"",E118,IF(B118="","",IFERROR(IF(INDEX(pr_price,MATCH(B118,pr_code,0))="","",INDEX(pr_price,MATCH(B118,pr_code,0))),""))))</f>
        <v/>
      </c>
      <c r="K118" s="71" t="str">
        <f>IF(COUNTA(A118:G118)=0,"",IF(G118&lt;&gt;"",G118,IF(B118="","",IFERROR(IF(INDEX(pr_rate,MATCH(B118,pr_code,0))="","",INDEX(pr_rate,MATCH(B118,pr_code,0))),""))))</f>
        <v/>
      </c>
      <c r="L118" s="65" t="str">
        <f>IF(COUNTA(A118:G118)=0,"",IF(AND(ISNUMBER(D118),ISNUMBER(J118)),ROUND(D118*J118*(1-N(F118)),2),0))</f>
        <v/>
      </c>
      <c r="M118" s="62" t="str">
        <f>IF(A118="","",IFERROR(INDEX(dv_cname,MATCH(A118,dv_num,0))&amp;"",""))</f>
        <v/>
      </c>
      <c r="N118" s="59" t="str">
        <f>IF(COUNTA(A118:G118)=0,"",IF(A118="","N° devis manquant",IF(ISNA(MATCH(A118,dv_num,0)),"Devis inconnu",IF(AND(B118&lt;&gt;"",ISNA(MATCH(B118,pr_code,0))),"Article inconnu",IF(H118="","Désignation manquante",IF(OR(NOT(ISNUMBER(D118)),N(D118)&lt;=0),"Quantité invalide",IF(J118="","Prix manquant",IF(OR(NOT(ISNUMBER(J118)),N(J118)&lt;0),"Prix invalide",IF(OR(AND(F118&lt;&gt;"",NOT(ISNUMBER(F118))),N(F118)&lt;0,N(F118)&gt;1),"Remise invalide",IF(K118="","Taux de TVA manquant",IF(NOT(ISNUMBER(K118)),"Taux de TVA invalide",IF(COUNTIF(p_rates,K118)=0,"Taux de TVA hors liste (Paramètres)",IF(N(O118)&gt;25,"Au-delà de 25 lignes : non imprimée","OK")))))))))))))</f>
        <v/>
      </c>
      <c r="O118" s="59" t="str">
        <f>IF(A118="","",COUNTIF($A$6:A118,A118))</f>
        <v/>
      </c>
      <c r="P118" s="62" t="str">
        <f>IF(A118="","",A118&amp;"|"&amp;O118)</f>
        <v/>
      </c>
    </row>
    <row r="119">
      <c r="A119" s="60" t="n"/>
      <c r="B119" s="63" t="n"/>
      <c r="C119" s="63" t="n"/>
      <c r="D119" s="67" t="n"/>
      <c r="E119" s="68" t="n"/>
      <c r="F119" s="69" t="n"/>
      <c r="G119" s="70" t="n"/>
      <c r="H119" s="62" t="str">
        <f>IF(COUNTA(A119:G119)=0,"",IF(C119&lt;&gt;"",C119,IF(B119="","",IFERROR(INDEX(pr_des,MATCH(B119,pr_code,0))&amp;"",""))))</f>
        <v/>
      </c>
      <c r="I119" s="59" t="str">
        <f>IF(B119="","",IFERROR(INDEX(pr_unit,MATCH(B119,pr_code,0))&amp;"",""))</f>
        <v/>
      </c>
      <c r="J119" s="65" t="str">
        <f>IF(COUNTA(A119:G119)=0,"",IF(E119&lt;&gt;"",E119,IF(B119="","",IFERROR(IF(INDEX(pr_price,MATCH(B119,pr_code,0))="","",INDEX(pr_price,MATCH(B119,pr_code,0))),""))))</f>
        <v/>
      </c>
      <c r="K119" s="71" t="str">
        <f>IF(COUNTA(A119:G119)=0,"",IF(G119&lt;&gt;"",G119,IF(B119="","",IFERROR(IF(INDEX(pr_rate,MATCH(B119,pr_code,0))="","",INDEX(pr_rate,MATCH(B119,pr_code,0))),""))))</f>
        <v/>
      </c>
      <c r="L119" s="65" t="str">
        <f>IF(COUNTA(A119:G119)=0,"",IF(AND(ISNUMBER(D119),ISNUMBER(J119)),ROUND(D119*J119*(1-N(F119)),2),0))</f>
        <v/>
      </c>
      <c r="M119" s="62" t="str">
        <f>IF(A119="","",IFERROR(INDEX(dv_cname,MATCH(A119,dv_num,0))&amp;"",""))</f>
        <v/>
      </c>
      <c r="N119" s="59" t="str">
        <f>IF(COUNTA(A119:G119)=0,"",IF(A119="","N° devis manquant",IF(ISNA(MATCH(A119,dv_num,0)),"Devis inconnu",IF(AND(B119&lt;&gt;"",ISNA(MATCH(B119,pr_code,0))),"Article inconnu",IF(H119="","Désignation manquante",IF(OR(NOT(ISNUMBER(D119)),N(D119)&lt;=0),"Quantité invalide",IF(J119="","Prix manquant",IF(OR(NOT(ISNUMBER(J119)),N(J119)&lt;0),"Prix invalide",IF(OR(AND(F119&lt;&gt;"",NOT(ISNUMBER(F119))),N(F119)&lt;0,N(F119)&gt;1),"Remise invalide",IF(K119="","Taux de TVA manquant",IF(NOT(ISNUMBER(K119)),"Taux de TVA invalide",IF(COUNTIF(p_rates,K119)=0,"Taux de TVA hors liste (Paramètres)",IF(N(O119)&gt;25,"Au-delà de 25 lignes : non imprimée","OK")))))))))))))</f>
        <v/>
      </c>
      <c r="O119" s="59" t="str">
        <f>IF(A119="","",COUNTIF($A$6:A119,A119))</f>
        <v/>
      </c>
      <c r="P119" s="62" t="str">
        <f>IF(A119="","",A119&amp;"|"&amp;O119)</f>
        <v/>
      </c>
    </row>
    <row r="120">
      <c r="A120" s="60" t="n"/>
      <c r="B120" s="63" t="n"/>
      <c r="C120" s="63" t="n"/>
      <c r="D120" s="67" t="n"/>
      <c r="E120" s="68" t="n"/>
      <c r="F120" s="69" t="n"/>
      <c r="G120" s="70" t="n"/>
      <c r="H120" s="62" t="str">
        <f>IF(COUNTA(A120:G120)=0,"",IF(C120&lt;&gt;"",C120,IF(B120="","",IFERROR(INDEX(pr_des,MATCH(B120,pr_code,0))&amp;"",""))))</f>
        <v/>
      </c>
      <c r="I120" s="59" t="str">
        <f>IF(B120="","",IFERROR(INDEX(pr_unit,MATCH(B120,pr_code,0))&amp;"",""))</f>
        <v/>
      </c>
      <c r="J120" s="65" t="str">
        <f>IF(COUNTA(A120:G120)=0,"",IF(E120&lt;&gt;"",E120,IF(B120="","",IFERROR(IF(INDEX(pr_price,MATCH(B120,pr_code,0))="","",INDEX(pr_price,MATCH(B120,pr_code,0))),""))))</f>
        <v/>
      </c>
      <c r="K120" s="71" t="str">
        <f>IF(COUNTA(A120:G120)=0,"",IF(G120&lt;&gt;"",G120,IF(B120="","",IFERROR(IF(INDEX(pr_rate,MATCH(B120,pr_code,0))="","",INDEX(pr_rate,MATCH(B120,pr_code,0))),""))))</f>
        <v/>
      </c>
      <c r="L120" s="65" t="str">
        <f>IF(COUNTA(A120:G120)=0,"",IF(AND(ISNUMBER(D120),ISNUMBER(J120)),ROUND(D120*J120*(1-N(F120)),2),0))</f>
        <v/>
      </c>
      <c r="M120" s="62" t="str">
        <f>IF(A120="","",IFERROR(INDEX(dv_cname,MATCH(A120,dv_num,0))&amp;"",""))</f>
        <v/>
      </c>
      <c r="N120" s="59" t="str">
        <f>IF(COUNTA(A120:G120)=0,"",IF(A120="","N° devis manquant",IF(ISNA(MATCH(A120,dv_num,0)),"Devis inconnu",IF(AND(B120&lt;&gt;"",ISNA(MATCH(B120,pr_code,0))),"Article inconnu",IF(H120="","Désignation manquante",IF(OR(NOT(ISNUMBER(D120)),N(D120)&lt;=0),"Quantité invalide",IF(J120="","Prix manquant",IF(OR(NOT(ISNUMBER(J120)),N(J120)&lt;0),"Prix invalide",IF(OR(AND(F120&lt;&gt;"",NOT(ISNUMBER(F120))),N(F120)&lt;0,N(F120)&gt;1),"Remise invalide",IF(K120="","Taux de TVA manquant",IF(NOT(ISNUMBER(K120)),"Taux de TVA invalide",IF(COUNTIF(p_rates,K120)=0,"Taux de TVA hors liste (Paramètres)",IF(N(O120)&gt;25,"Au-delà de 25 lignes : non imprimée","OK")))))))))))))</f>
        <v/>
      </c>
      <c r="O120" s="59" t="str">
        <f>IF(A120="","",COUNTIF($A$6:A120,A120))</f>
        <v/>
      </c>
      <c r="P120" s="62" t="str">
        <f>IF(A120="","",A120&amp;"|"&amp;O120)</f>
        <v/>
      </c>
    </row>
    <row r="121">
      <c r="A121" s="60" t="n"/>
      <c r="B121" s="63" t="n"/>
      <c r="C121" s="63" t="n"/>
      <c r="D121" s="67" t="n"/>
      <c r="E121" s="68" t="n"/>
      <c r="F121" s="69" t="n"/>
      <c r="G121" s="70" t="n"/>
      <c r="H121" s="62" t="str">
        <f>IF(COUNTA(A121:G121)=0,"",IF(C121&lt;&gt;"",C121,IF(B121="","",IFERROR(INDEX(pr_des,MATCH(B121,pr_code,0))&amp;"",""))))</f>
        <v/>
      </c>
      <c r="I121" s="59" t="str">
        <f>IF(B121="","",IFERROR(INDEX(pr_unit,MATCH(B121,pr_code,0))&amp;"",""))</f>
        <v/>
      </c>
      <c r="J121" s="65" t="str">
        <f>IF(COUNTA(A121:G121)=0,"",IF(E121&lt;&gt;"",E121,IF(B121="","",IFERROR(IF(INDEX(pr_price,MATCH(B121,pr_code,0))="","",INDEX(pr_price,MATCH(B121,pr_code,0))),""))))</f>
        <v/>
      </c>
      <c r="K121" s="71" t="str">
        <f>IF(COUNTA(A121:G121)=0,"",IF(G121&lt;&gt;"",G121,IF(B121="","",IFERROR(IF(INDEX(pr_rate,MATCH(B121,pr_code,0))="","",INDEX(pr_rate,MATCH(B121,pr_code,0))),""))))</f>
        <v/>
      </c>
      <c r="L121" s="65" t="str">
        <f>IF(COUNTA(A121:G121)=0,"",IF(AND(ISNUMBER(D121),ISNUMBER(J121)),ROUND(D121*J121*(1-N(F121)),2),0))</f>
        <v/>
      </c>
      <c r="M121" s="62" t="str">
        <f>IF(A121="","",IFERROR(INDEX(dv_cname,MATCH(A121,dv_num,0))&amp;"",""))</f>
        <v/>
      </c>
      <c r="N121" s="59" t="str">
        <f>IF(COUNTA(A121:G121)=0,"",IF(A121="","N° devis manquant",IF(ISNA(MATCH(A121,dv_num,0)),"Devis inconnu",IF(AND(B121&lt;&gt;"",ISNA(MATCH(B121,pr_code,0))),"Article inconnu",IF(H121="","Désignation manquante",IF(OR(NOT(ISNUMBER(D121)),N(D121)&lt;=0),"Quantité invalide",IF(J121="","Prix manquant",IF(OR(NOT(ISNUMBER(J121)),N(J121)&lt;0),"Prix invalide",IF(OR(AND(F121&lt;&gt;"",NOT(ISNUMBER(F121))),N(F121)&lt;0,N(F121)&gt;1),"Remise invalide",IF(K121="","Taux de TVA manquant",IF(NOT(ISNUMBER(K121)),"Taux de TVA invalide",IF(COUNTIF(p_rates,K121)=0,"Taux de TVA hors liste (Paramètres)",IF(N(O121)&gt;25,"Au-delà de 25 lignes : non imprimée","OK")))))))))))))</f>
        <v/>
      </c>
      <c r="O121" s="59" t="str">
        <f>IF(A121="","",COUNTIF($A$6:A121,A121))</f>
        <v/>
      </c>
      <c r="P121" s="62" t="str">
        <f>IF(A121="","",A121&amp;"|"&amp;O121)</f>
        <v/>
      </c>
    </row>
    <row r="122">
      <c r="A122" s="60" t="n"/>
      <c r="B122" s="63" t="n"/>
      <c r="C122" s="63" t="n"/>
      <c r="D122" s="67" t="n"/>
      <c r="E122" s="68" t="n"/>
      <c r="F122" s="69" t="n"/>
      <c r="G122" s="70" t="n"/>
      <c r="H122" s="62" t="str">
        <f>IF(COUNTA(A122:G122)=0,"",IF(C122&lt;&gt;"",C122,IF(B122="","",IFERROR(INDEX(pr_des,MATCH(B122,pr_code,0))&amp;"",""))))</f>
        <v/>
      </c>
      <c r="I122" s="59" t="str">
        <f>IF(B122="","",IFERROR(INDEX(pr_unit,MATCH(B122,pr_code,0))&amp;"",""))</f>
        <v/>
      </c>
      <c r="J122" s="65" t="str">
        <f>IF(COUNTA(A122:G122)=0,"",IF(E122&lt;&gt;"",E122,IF(B122="","",IFERROR(IF(INDEX(pr_price,MATCH(B122,pr_code,0))="","",INDEX(pr_price,MATCH(B122,pr_code,0))),""))))</f>
        <v/>
      </c>
      <c r="K122" s="71" t="str">
        <f>IF(COUNTA(A122:G122)=0,"",IF(G122&lt;&gt;"",G122,IF(B122="","",IFERROR(IF(INDEX(pr_rate,MATCH(B122,pr_code,0))="","",INDEX(pr_rate,MATCH(B122,pr_code,0))),""))))</f>
        <v/>
      </c>
      <c r="L122" s="65" t="str">
        <f>IF(COUNTA(A122:G122)=0,"",IF(AND(ISNUMBER(D122),ISNUMBER(J122)),ROUND(D122*J122*(1-N(F122)),2),0))</f>
        <v/>
      </c>
      <c r="M122" s="62" t="str">
        <f>IF(A122="","",IFERROR(INDEX(dv_cname,MATCH(A122,dv_num,0))&amp;"",""))</f>
        <v/>
      </c>
      <c r="N122" s="59" t="str">
        <f>IF(COUNTA(A122:G122)=0,"",IF(A122="","N° devis manquant",IF(ISNA(MATCH(A122,dv_num,0)),"Devis inconnu",IF(AND(B122&lt;&gt;"",ISNA(MATCH(B122,pr_code,0))),"Article inconnu",IF(H122="","Désignation manquante",IF(OR(NOT(ISNUMBER(D122)),N(D122)&lt;=0),"Quantité invalide",IF(J122="","Prix manquant",IF(OR(NOT(ISNUMBER(J122)),N(J122)&lt;0),"Prix invalide",IF(OR(AND(F122&lt;&gt;"",NOT(ISNUMBER(F122))),N(F122)&lt;0,N(F122)&gt;1),"Remise invalide",IF(K122="","Taux de TVA manquant",IF(NOT(ISNUMBER(K122)),"Taux de TVA invalide",IF(COUNTIF(p_rates,K122)=0,"Taux de TVA hors liste (Paramètres)",IF(N(O122)&gt;25,"Au-delà de 25 lignes : non imprimée","OK")))))))))))))</f>
        <v/>
      </c>
      <c r="O122" s="59" t="str">
        <f>IF(A122="","",COUNTIF($A$6:A122,A122))</f>
        <v/>
      </c>
      <c r="P122" s="62" t="str">
        <f>IF(A122="","",A122&amp;"|"&amp;O122)</f>
        <v/>
      </c>
    </row>
    <row r="123">
      <c r="A123" s="60" t="n"/>
      <c r="B123" s="63" t="n"/>
      <c r="C123" s="63" t="n"/>
      <c r="D123" s="67" t="n"/>
      <c r="E123" s="68" t="n"/>
      <c r="F123" s="69" t="n"/>
      <c r="G123" s="70" t="n"/>
      <c r="H123" s="62" t="str">
        <f>IF(COUNTA(A123:G123)=0,"",IF(C123&lt;&gt;"",C123,IF(B123="","",IFERROR(INDEX(pr_des,MATCH(B123,pr_code,0))&amp;"",""))))</f>
        <v/>
      </c>
      <c r="I123" s="59" t="str">
        <f>IF(B123="","",IFERROR(INDEX(pr_unit,MATCH(B123,pr_code,0))&amp;"",""))</f>
        <v/>
      </c>
      <c r="J123" s="65" t="str">
        <f>IF(COUNTA(A123:G123)=0,"",IF(E123&lt;&gt;"",E123,IF(B123="","",IFERROR(IF(INDEX(pr_price,MATCH(B123,pr_code,0))="","",INDEX(pr_price,MATCH(B123,pr_code,0))),""))))</f>
        <v/>
      </c>
      <c r="K123" s="71" t="str">
        <f>IF(COUNTA(A123:G123)=0,"",IF(G123&lt;&gt;"",G123,IF(B123="","",IFERROR(IF(INDEX(pr_rate,MATCH(B123,pr_code,0))="","",INDEX(pr_rate,MATCH(B123,pr_code,0))),""))))</f>
        <v/>
      </c>
      <c r="L123" s="65" t="str">
        <f>IF(COUNTA(A123:G123)=0,"",IF(AND(ISNUMBER(D123),ISNUMBER(J123)),ROUND(D123*J123*(1-N(F123)),2),0))</f>
        <v/>
      </c>
      <c r="M123" s="62" t="str">
        <f>IF(A123="","",IFERROR(INDEX(dv_cname,MATCH(A123,dv_num,0))&amp;"",""))</f>
        <v/>
      </c>
      <c r="N123" s="59" t="str">
        <f>IF(COUNTA(A123:G123)=0,"",IF(A123="","N° devis manquant",IF(ISNA(MATCH(A123,dv_num,0)),"Devis inconnu",IF(AND(B123&lt;&gt;"",ISNA(MATCH(B123,pr_code,0))),"Article inconnu",IF(H123="","Désignation manquante",IF(OR(NOT(ISNUMBER(D123)),N(D123)&lt;=0),"Quantité invalide",IF(J123="","Prix manquant",IF(OR(NOT(ISNUMBER(J123)),N(J123)&lt;0),"Prix invalide",IF(OR(AND(F123&lt;&gt;"",NOT(ISNUMBER(F123))),N(F123)&lt;0,N(F123)&gt;1),"Remise invalide",IF(K123="","Taux de TVA manquant",IF(NOT(ISNUMBER(K123)),"Taux de TVA invalide",IF(COUNTIF(p_rates,K123)=0,"Taux de TVA hors liste (Paramètres)",IF(N(O123)&gt;25,"Au-delà de 25 lignes : non imprimée","OK")))))))))))))</f>
        <v/>
      </c>
      <c r="O123" s="59" t="str">
        <f>IF(A123="","",COUNTIF($A$6:A123,A123))</f>
        <v/>
      </c>
      <c r="P123" s="62" t="str">
        <f>IF(A123="","",A123&amp;"|"&amp;O123)</f>
        <v/>
      </c>
    </row>
    <row r="124">
      <c r="A124" s="60" t="n"/>
      <c r="B124" s="63" t="n"/>
      <c r="C124" s="63" t="n"/>
      <c r="D124" s="67" t="n"/>
      <c r="E124" s="68" t="n"/>
      <c r="F124" s="69" t="n"/>
      <c r="G124" s="70" t="n"/>
      <c r="H124" s="62" t="str">
        <f>IF(COUNTA(A124:G124)=0,"",IF(C124&lt;&gt;"",C124,IF(B124="","",IFERROR(INDEX(pr_des,MATCH(B124,pr_code,0))&amp;"",""))))</f>
        <v/>
      </c>
      <c r="I124" s="59" t="str">
        <f>IF(B124="","",IFERROR(INDEX(pr_unit,MATCH(B124,pr_code,0))&amp;"",""))</f>
        <v/>
      </c>
      <c r="J124" s="65" t="str">
        <f>IF(COUNTA(A124:G124)=0,"",IF(E124&lt;&gt;"",E124,IF(B124="","",IFERROR(IF(INDEX(pr_price,MATCH(B124,pr_code,0))="","",INDEX(pr_price,MATCH(B124,pr_code,0))),""))))</f>
        <v/>
      </c>
      <c r="K124" s="71" t="str">
        <f>IF(COUNTA(A124:G124)=0,"",IF(G124&lt;&gt;"",G124,IF(B124="","",IFERROR(IF(INDEX(pr_rate,MATCH(B124,pr_code,0))="","",INDEX(pr_rate,MATCH(B124,pr_code,0))),""))))</f>
        <v/>
      </c>
      <c r="L124" s="65" t="str">
        <f>IF(COUNTA(A124:G124)=0,"",IF(AND(ISNUMBER(D124),ISNUMBER(J124)),ROUND(D124*J124*(1-N(F124)),2),0))</f>
        <v/>
      </c>
      <c r="M124" s="62" t="str">
        <f>IF(A124="","",IFERROR(INDEX(dv_cname,MATCH(A124,dv_num,0))&amp;"",""))</f>
        <v/>
      </c>
      <c r="N124" s="59" t="str">
        <f>IF(COUNTA(A124:G124)=0,"",IF(A124="","N° devis manquant",IF(ISNA(MATCH(A124,dv_num,0)),"Devis inconnu",IF(AND(B124&lt;&gt;"",ISNA(MATCH(B124,pr_code,0))),"Article inconnu",IF(H124="","Désignation manquante",IF(OR(NOT(ISNUMBER(D124)),N(D124)&lt;=0),"Quantité invalide",IF(J124="","Prix manquant",IF(OR(NOT(ISNUMBER(J124)),N(J124)&lt;0),"Prix invalide",IF(OR(AND(F124&lt;&gt;"",NOT(ISNUMBER(F124))),N(F124)&lt;0,N(F124)&gt;1),"Remise invalide",IF(K124="","Taux de TVA manquant",IF(NOT(ISNUMBER(K124)),"Taux de TVA invalide",IF(COUNTIF(p_rates,K124)=0,"Taux de TVA hors liste (Paramètres)",IF(N(O124)&gt;25,"Au-delà de 25 lignes : non imprimée","OK")))))))))))))</f>
        <v/>
      </c>
      <c r="O124" s="59" t="str">
        <f>IF(A124="","",COUNTIF($A$6:A124,A124))</f>
        <v/>
      </c>
      <c r="P124" s="62" t="str">
        <f>IF(A124="","",A124&amp;"|"&amp;O124)</f>
        <v/>
      </c>
    </row>
    <row r="125">
      <c r="A125" s="60" t="n"/>
      <c r="B125" s="63" t="n"/>
      <c r="C125" s="63" t="n"/>
      <c r="D125" s="67" t="n"/>
      <c r="E125" s="68" t="n"/>
      <c r="F125" s="69" t="n"/>
      <c r="G125" s="70" t="n"/>
      <c r="H125" s="62" t="str">
        <f>IF(COUNTA(A125:G125)=0,"",IF(C125&lt;&gt;"",C125,IF(B125="","",IFERROR(INDEX(pr_des,MATCH(B125,pr_code,0))&amp;"",""))))</f>
        <v/>
      </c>
      <c r="I125" s="59" t="str">
        <f>IF(B125="","",IFERROR(INDEX(pr_unit,MATCH(B125,pr_code,0))&amp;"",""))</f>
        <v/>
      </c>
      <c r="J125" s="65" t="str">
        <f>IF(COUNTA(A125:G125)=0,"",IF(E125&lt;&gt;"",E125,IF(B125="","",IFERROR(IF(INDEX(pr_price,MATCH(B125,pr_code,0))="","",INDEX(pr_price,MATCH(B125,pr_code,0))),""))))</f>
        <v/>
      </c>
      <c r="K125" s="71" t="str">
        <f>IF(COUNTA(A125:G125)=0,"",IF(G125&lt;&gt;"",G125,IF(B125="","",IFERROR(IF(INDEX(pr_rate,MATCH(B125,pr_code,0))="","",INDEX(pr_rate,MATCH(B125,pr_code,0))),""))))</f>
        <v/>
      </c>
      <c r="L125" s="65" t="str">
        <f>IF(COUNTA(A125:G125)=0,"",IF(AND(ISNUMBER(D125),ISNUMBER(J125)),ROUND(D125*J125*(1-N(F125)),2),0))</f>
        <v/>
      </c>
      <c r="M125" s="62" t="str">
        <f>IF(A125="","",IFERROR(INDEX(dv_cname,MATCH(A125,dv_num,0))&amp;"",""))</f>
        <v/>
      </c>
      <c r="N125" s="59" t="str">
        <f>IF(COUNTA(A125:G125)=0,"",IF(A125="","N° devis manquant",IF(ISNA(MATCH(A125,dv_num,0)),"Devis inconnu",IF(AND(B125&lt;&gt;"",ISNA(MATCH(B125,pr_code,0))),"Article inconnu",IF(H125="","Désignation manquante",IF(OR(NOT(ISNUMBER(D125)),N(D125)&lt;=0),"Quantité invalide",IF(J125="","Prix manquant",IF(OR(NOT(ISNUMBER(J125)),N(J125)&lt;0),"Prix invalide",IF(OR(AND(F125&lt;&gt;"",NOT(ISNUMBER(F125))),N(F125)&lt;0,N(F125)&gt;1),"Remise invalide",IF(K125="","Taux de TVA manquant",IF(NOT(ISNUMBER(K125)),"Taux de TVA invalide",IF(COUNTIF(p_rates,K125)=0,"Taux de TVA hors liste (Paramètres)",IF(N(O125)&gt;25,"Au-delà de 25 lignes : non imprimée","OK")))))))))))))</f>
        <v/>
      </c>
      <c r="O125" s="59" t="str">
        <f>IF(A125="","",COUNTIF($A$6:A125,A125))</f>
        <v/>
      </c>
      <c r="P125" s="62" t="str">
        <f>IF(A125="","",A125&amp;"|"&amp;O125)</f>
        <v/>
      </c>
    </row>
    <row r="126">
      <c r="A126" s="60" t="n"/>
      <c r="B126" s="63" t="n"/>
      <c r="C126" s="63" t="n"/>
      <c r="D126" s="67" t="n"/>
      <c r="E126" s="68" t="n"/>
      <c r="F126" s="69" t="n"/>
      <c r="G126" s="70" t="n"/>
      <c r="H126" s="62" t="str">
        <f>IF(COUNTA(A126:G126)=0,"",IF(C126&lt;&gt;"",C126,IF(B126="","",IFERROR(INDEX(pr_des,MATCH(B126,pr_code,0))&amp;"",""))))</f>
        <v/>
      </c>
      <c r="I126" s="59" t="str">
        <f>IF(B126="","",IFERROR(INDEX(pr_unit,MATCH(B126,pr_code,0))&amp;"",""))</f>
        <v/>
      </c>
      <c r="J126" s="65" t="str">
        <f>IF(COUNTA(A126:G126)=0,"",IF(E126&lt;&gt;"",E126,IF(B126="","",IFERROR(IF(INDEX(pr_price,MATCH(B126,pr_code,0))="","",INDEX(pr_price,MATCH(B126,pr_code,0))),""))))</f>
        <v/>
      </c>
      <c r="K126" s="71" t="str">
        <f>IF(COUNTA(A126:G126)=0,"",IF(G126&lt;&gt;"",G126,IF(B126="","",IFERROR(IF(INDEX(pr_rate,MATCH(B126,pr_code,0))="","",INDEX(pr_rate,MATCH(B126,pr_code,0))),""))))</f>
        <v/>
      </c>
      <c r="L126" s="65" t="str">
        <f>IF(COUNTA(A126:G126)=0,"",IF(AND(ISNUMBER(D126),ISNUMBER(J126)),ROUND(D126*J126*(1-N(F126)),2),0))</f>
        <v/>
      </c>
      <c r="M126" s="62" t="str">
        <f>IF(A126="","",IFERROR(INDEX(dv_cname,MATCH(A126,dv_num,0))&amp;"",""))</f>
        <v/>
      </c>
      <c r="N126" s="59" t="str">
        <f>IF(COUNTA(A126:G126)=0,"",IF(A126="","N° devis manquant",IF(ISNA(MATCH(A126,dv_num,0)),"Devis inconnu",IF(AND(B126&lt;&gt;"",ISNA(MATCH(B126,pr_code,0))),"Article inconnu",IF(H126="","Désignation manquante",IF(OR(NOT(ISNUMBER(D126)),N(D126)&lt;=0),"Quantité invalide",IF(J126="","Prix manquant",IF(OR(NOT(ISNUMBER(J126)),N(J126)&lt;0),"Prix invalide",IF(OR(AND(F126&lt;&gt;"",NOT(ISNUMBER(F126))),N(F126)&lt;0,N(F126)&gt;1),"Remise invalide",IF(K126="","Taux de TVA manquant",IF(NOT(ISNUMBER(K126)),"Taux de TVA invalide",IF(COUNTIF(p_rates,K126)=0,"Taux de TVA hors liste (Paramètres)",IF(N(O126)&gt;25,"Au-delà de 25 lignes : non imprimée","OK")))))))))))))</f>
        <v/>
      </c>
      <c r="O126" s="59" t="str">
        <f>IF(A126="","",COUNTIF($A$6:A126,A126))</f>
        <v/>
      </c>
      <c r="P126" s="62" t="str">
        <f>IF(A126="","",A126&amp;"|"&amp;O126)</f>
        <v/>
      </c>
    </row>
    <row r="127">
      <c r="A127" s="60" t="n"/>
      <c r="B127" s="63" t="n"/>
      <c r="C127" s="63" t="n"/>
      <c r="D127" s="67" t="n"/>
      <c r="E127" s="68" t="n"/>
      <c r="F127" s="69" t="n"/>
      <c r="G127" s="70" t="n"/>
      <c r="H127" s="62" t="str">
        <f>IF(COUNTA(A127:G127)=0,"",IF(C127&lt;&gt;"",C127,IF(B127="","",IFERROR(INDEX(pr_des,MATCH(B127,pr_code,0))&amp;"",""))))</f>
        <v/>
      </c>
      <c r="I127" s="59" t="str">
        <f>IF(B127="","",IFERROR(INDEX(pr_unit,MATCH(B127,pr_code,0))&amp;"",""))</f>
        <v/>
      </c>
      <c r="J127" s="65" t="str">
        <f>IF(COUNTA(A127:G127)=0,"",IF(E127&lt;&gt;"",E127,IF(B127="","",IFERROR(IF(INDEX(pr_price,MATCH(B127,pr_code,0))="","",INDEX(pr_price,MATCH(B127,pr_code,0))),""))))</f>
        <v/>
      </c>
      <c r="K127" s="71" t="str">
        <f>IF(COUNTA(A127:G127)=0,"",IF(G127&lt;&gt;"",G127,IF(B127="","",IFERROR(IF(INDEX(pr_rate,MATCH(B127,pr_code,0))="","",INDEX(pr_rate,MATCH(B127,pr_code,0))),""))))</f>
        <v/>
      </c>
      <c r="L127" s="65" t="str">
        <f>IF(COUNTA(A127:G127)=0,"",IF(AND(ISNUMBER(D127),ISNUMBER(J127)),ROUND(D127*J127*(1-N(F127)),2),0))</f>
        <v/>
      </c>
      <c r="M127" s="62" t="str">
        <f>IF(A127="","",IFERROR(INDEX(dv_cname,MATCH(A127,dv_num,0))&amp;"",""))</f>
        <v/>
      </c>
      <c r="N127" s="59" t="str">
        <f>IF(COUNTA(A127:G127)=0,"",IF(A127="","N° devis manquant",IF(ISNA(MATCH(A127,dv_num,0)),"Devis inconnu",IF(AND(B127&lt;&gt;"",ISNA(MATCH(B127,pr_code,0))),"Article inconnu",IF(H127="","Désignation manquante",IF(OR(NOT(ISNUMBER(D127)),N(D127)&lt;=0),"Quantité invalide",IF(J127="","Prix manquant",IF(OR(NOT(ISNUMBER(J127)),N(J127)&lt;0),"Prix invalide",IF(OR(AND(F127&lt;&gt;"",NOT(ISNUMBER(F127))),N(F127)&lt;0,N(F127)&gt;1),"Remise invalide",IF(K127="","Taux de TVA manquant",IF(NOT(ISNUMBER(K127)),"Taux de TVA invalide",IF(COUNTIF(p_rates,K127)=0,"Taux de TVA hors liste (Paramètres)",IF(N(O127)&gt;25,"Au-delà de 25 lignes : non imprimée","OK")))))))))))))</f>
        <v/>
      </c>
      <c r="O127" s="59" t="str">
        <f>IF(A127="","",COUNTIF($A$6:A127,A127))</f>
        <v/>
      </c>
      <c r="P127" s="62" t="str">
        <f>IF(A127="","",A127&amp;"|"&amp;O127)</f>
        <v/>
      </c>
    </row>
    <row r="128">
      <c r="A128" s="60" t="n"/>
      <c r="B128" s="63" t="n"/>
      <c r="C128" s="63" t="n"/>
      <c r="D128" s="67" t="n"/>
      <c r="E128" s="68" t="n"/>
      <c r="F128" s="69" t="n"/>
      <c r="G128" s="70" t="n"/>
      <c r="H128" s="62" t="str">
        <f>IF(COUNTA(A128:G128)=0,"",IF(C128&lt;&gt;"",C128,IF(B128="","",IFERROR(INDEX(pr_des,MATCH(B128,pr_code,0))&amp;"",""))))</f>
        <v/>
      </c>
      <c r="I128" s="59" t="str">
        <f>IF(B128="","",IFERROR(INDEX(pr_unit,MATCH(B128,pr_code,0))&amp;"",""))</f>
        <v/>
      </c>
      <c r="J128" s="65" t="str">
        <f>IF(COUNTA(A128:G128)=0,"",IF(E128&lt;&gt;"",E128,IF(B128="","",IFERROR(IF(INDEX(pr_price,MATCH(B128,pr_code,0))="","",INDEX(pr_price,MATCH(B128,pr_code,0))),""))))</f>
        <v/>
      </c>
      <c r="K128" s="71" t="str">
        <f>IF(COUNTA(A128:G128)=0,"",IF(G128&lt;&gt;"",G128,IF(B128="","",IFERROR(IF(INDEX(pr_rate,MATCH(B128,pr_code,0))="","",INDEX(pr_rate,MATCH(B128,pr_code,0))),""))))</f>
        <v/>
      </c>
      <c r="L128" s="65" t="str">
        <f>IF(COUNTA(A128:G128)=0,"",IF(AND(ISNUMBER(D128),ISNUMBER(J128)),ROUND(D128*J128*(1-N(F128)),2),0))</f>
        <v/>
      </c>
      <c r="M128" s="62" t="str">
        <f>IF(A128="","",IFERROR(INDEX(dv_cname,MATCH(A128,dv_num,0))&amp;"",""))</f>
        <v/>
      </c>
      <c r="N128" s="59" t="str">
        <f>IF(COUNTA(A128:G128)=0,"",IF(A128="","N° devis manquant",IF(ISNA(MATCH(A128,dv_num,0)),"Devis inconnu",IF(AND(B128&lt;&gt;"",ISNA(MATCH(B128,pr_code,0))),"Article inconnu",IF(H128="","Désignation manquante",IF(OR(NOT(ISNUMBER(D128)),N(D128)&lt;=0),"Quantité invalide",IF(J128="","Prix manquant",IF(OR(NOT(ISNUMBER(J128)),N(J128)&lt;0),"Prix invalide",IF(OR(AND(F128&lt;&gt;"",NOT(ISNUMBER(F128))),N(F128)&lt;0,N(F128)&gt;1),"Remise invalide",IF(K128="","Taux de TVA manquant",IF(NOT(ISNUMBER(K128)),"Taux de TVA invalide",IF(COUNTIF(p_rates,K128)=0,"Taux de TVA hors liste (Paramètres)",IF(N(O128)&gt;25,"Au-delà de 25 lignes : non imprimée","OK")))))))))))))</f>
        <v/>
      </c>
      <c r="O128" s="59" t="str">
        <f>IF(A128="","",COUNTIF($A$6:A128,A128))</f>
        <v/>
      </c>
      <c r="P128" s="62" t="str">
        <f>IF(A128="","",A128&amp;"|"&amp;O128)</f>
        <v/>
      </c>
    </row>
    <row r="129">
      <c r="A129" s="60" t="n"/>
      <c r="B129" s="63" t="n"/>
      <c r="C129" s="63" t="n"/>
      <c r="D129" s="67" t="n"/>
      <c r="E129" s="68" t="n"/>
      <c r="F129" s="69" t="n"/>
      <c r="G129" s="70" t="n"/>
      <c r="H129" s="62" t="str">
        <f>IF(COUNTA(A129:G129)=0,"",IF(C129&lt;&gt;"",C129,IF(B129="","",IFERROR(INDEX(pr_des,MATCH(B129,pr_code,0))&amp;"",""))))</f>
        <v/>
      </c>
      <c r="I129" s="59" t="str">
        <f>IF(B129="","",IFERROR(INDEX(pr_unit,MATCH(B129,pr_code,0))&amp;"",""))</f>
        <v/>
      </c>
      <c r="J129" s="65" t="str">
        <f>IF(COUNTA(A129:G129)=0,"",IF(E129&lt;&gt;"",E129,IF(B129="","",IFERROR(IF(INDEX(pr_price,MATCH(B129,pr_code,0))="","",INDEX(pr_price,MATCH(B129,pr_code,0))),""))))</f>
        <v/>
      </c>
      <c r="K129" s="71" t="str">
        <f>IF(COUNTA(A129:G129)=0,"",IF(G129&lt;&gt;"",G129,IF(B129="","",IFERROR(IF(INDEX(pr_rate,MATCH(B129,pr_code,0))="","",INDEX(pr_rate,MATCH(B129,pr_code,0))),""))))</f>
        <v/>
      </c>
      <c r="L129" s="65" t="str">
        <f>IF(COUNTA(A129:G129)=0,"",IF(AND(ISNUMBER(D129),ISNUMBER(J129)),ROUND(D129*J129*(1-N(F129)),2),0))</f>
        <v/>
      </c>
      <c r="M129" s="62" t="str">
        <f>IF(A129="","",IFERROR(INDEX(dv_cname,MATCH(A129,dv_num,0))&amp;"",""))</f>
        <v/>
      </c>
      <c r="N129" s="59" t="str">
        <f>IF(COUNTA(A129:G129)=0,"",IF(A129="","N° devis manquant",IF(ISNA(MATCH(A129,dv_num,0)),"Devis inconnu",IF(AND(B129&lt;&gt;"",ISNA(MATCH(B129,pr_code,0))),"Article inconnu",IF(H129="","Désignation manquante",IF(OR(NOT(ISNUMBER(D129)),N(D129)&lt;=0),"Quantité invalide",IF(J129="","Prix manquant",IF(OR(NOT(ISNUMBER(J129)),N(J129)&lt;0),"Prix invalide",IF(OR(AND(F129&lt;&gt;"",NOT(ISNUMBER(F129))),N(F129)&lt;0,N(F129)&gt;1),"Remise invalide",IF(K129="","Taux de TVA manquant",IF(NOT(ISNUMBER(K129)),"Taux de TVA invalide",IF(COUNTIF(p_rates,K129)=0,"Taux de TVA hors liste (Paramètres)",IF(N(O129)&gt;25,"Au-delà de 25 lignes : non imprimée","OK")))))))))))))</f>
        <v/>
      </c>
      <c r="O129" s="59" t="str">
        <f>IF(A129="","",COUNTIF($A$6:A129,A129))</f>
        <v/>
      </c>
      <c r="P129" s="62" t="str">
        <f>IF(A129="","",A129&amp;"|"&amp;O129)</f>
        <v/>
      </c>
    </row>
    <row r="130">
      <c r="A130" s="60" t="n"/>
      <c r="B130" s="63" t="n"/>
      <c r="C130" s="63" t="n"/>
      <c r="D130" s="67" t="n"/>
      <c r="E130" s="68" t="n"/>
      <c r="F130" s="69" t="n"/>
      <c r="G130" s="70" t="n"/>
      <c r="H130" s="62" t="str">
        <f>IF(COUNTA(A130:G130)=0,"",IF(C130&lt;&gt;"",C130,IF(B130="","",IFERROR(INDEX(pr_des,MATCH(B130,pr_code,0))&amp;"",""))))</f>
        <v/>
      </c>
      <c r="I130" s="59" t="str">
        <f>IF(B130="","",IFERROR(INDEX(pr_unit,MATCH(B130,pr_code,0))&amp;"",""))</f>
        <v/>
      </c>
      <c r="J130" s="65" t="str">
        <f>IF(COUNTA(A130:G130)=0,"",IF(E130&lt;&gt;"",E130,IF(B130="","",IFERROR(IF(INDEX(pr_price,MATCH(B130,pr_code,0))="","",INDEX(pr_price,MATCH(B130,pr_code,0))),""))))</f>
        <v/>
      </c>
      <c r="K130" s="71" t="str">
        <f>IF(COUNTA(A130:G130)=0,"",IF(G130&lt;&gt;"",G130,IF(B130="","",IFERROR(IF(INDEX(pr_rate,MATCH(B130,pr_code,0))="","",INDEX(pr_rate,MATCH(B130,pr_code,0))),""))))</f>
        <v/>
      </c>
      <c r="L130" s="65" t="str">
        <f>IF(COUNTA(A130:G130)=0,"",IF(AND(ISNUMBER(D130),ISNUMBER(J130)),ROUND(D130*J130*(1-N(F130)),2),0))</f>
        <v/>
      </c>
      <c r="M130" s="62" t="str">
        <f>IF(A130="","",IFERROR(INDEX(dv_cname,MATCH(A130,dv_num,0))&amp;"",""))</f>
        <v/>
      </c>
      <c r="N130" s="59" t="str">
        <f>IF(COUNTA(A130:G130)=0,"",IF(A130="","N° devis manquant",IF(ISNA(MATCH(A130,dv_num,0)),"Devis inconnu",IF(AND(B130&lt;&gt;"",ISNA(MATCH(B130,pr_code,0))),"Article inconnu",IF(H130="","Désignation manquante",IF(OR(NOT(ISNUMBER(D130)),N(D130)&lt;=0),"Quantité invalide",IF(J130="","Prix manquant",IF(OR(NOT(ISNUMBER(J130)),N(J130)&lt;0),"Prix invalide",IF(OR(AND(F130&lt;&gt;"",NOT(ISNUMBER(F130))),N(F130)&lt;0,N(F130)&gt;1),"Remise invalide",IF(K130="","Taux de TVA manquant",IF(NOT(ISNUMBER(K130)),"Taux de TVA invalide",IF(COUNTIF(p_rates,K130)=0,"Taux de TVA hors liste (Paramètres)",IF(N(O130)&gt;25,"Au-delà de 25 lignes : non imprimée","OK")))))))))))))</f>
        <v/>
      </c>
      <c r="O130" s="59" t="str">
        <f>IF(A130="","",COUNTIF($A$6:A130,A130))</f>
        <v/>
      </c>
      <c r="P130" s="62" t="str">
        <f>IF(A130="","",A130&amp;"|"&amp;O130)</f>
        <v/>
      </c>
    </row>
    <row r="131">
      <c r="A131" s="60" t="n"/>
      <c r="B131" s="63" t="n"/>
      <c r="C131" s="63" t="n"/>
      <c r="D131" s="67" t="n"/>
      <c r="E131" s="68" t="n"/>
      <c r="F131" s="69" t="n"/>
      <c r="G131" s="70" t="n"/>
      <c r="H131" s="62" t="str">
        <f>IF(COUNTA(A131:G131)=0,"",IF(C131&lt;&gt;"",C131,IF(B131="","",IFERROR(INDEX(pr_des,MATCH(B131,pr_code,0))&amp;"",""))))</f>
        <v/>
      </c>
      <c r="I131" s="59" t="str">
        <f>IF(B131="","",IFERROR(INDEX(pr_unit,MATCH(B131,pr_code,0))&amp;"",""))</f>
        <v/>
      </c>
      <c r="J131" s="65" t="str">
        <f>IF(COUNTA(A131:G131)=0,"",IF(E131&lt;&gt;"",E131,IF(B131="","",IFERROR(IF(INDEX(pr_price,MATCH(B131,pr_code,0))="","",INDEX(pr_price,MATCH(B131,pr_code,0))),""))))</f>
        <v/>
      </c>
      <c r="K131" s="71" t="str">
        <f>IF(COUNTA(A131:G131)=0,"",IF(G131&lt;&gt;"",G131,IF(B131="","",IFERROR(IF(INDEX(pr_rate,MATCH(B131,pr_code,0))="","",INDEX(pr_rate,MATCH(B131,pr_code,0))),""))))</f>
        <v/>
      </c>
      <c r="L131" s="65" t="str">
        <f>IF(COUNTA(A131:G131)=0,"",IF(AND(ISNUMBER(D131),ISNUMBER(J131)),ROUND(D131*J131*(1-N(F131)),2),0))</f>
        <v/>
      </c>
      <c r="M131" s="62" t="str">
        <f>IF(A131="","",IFERROR(INDEX(dv_cname,MATCH(A131,dv_num,0))&amp;"",""))</f>
        <v/>
      </c>
      <c r="N131" s="59" t="str">
        <f>IF(COUNTA(A131:G131)=0,"",IF(A131="","N° devis manquant",IF(ISNA(MATCH(A131,dv_num,0)),"Devis inconnu",IF(AND(B131&lt;&gt;"",ISNA(MATCH(B131,pr_code,0))),"Article inconnu",IF(H131="","Désignation manquante",IF(OR(NOT(ISNUMBER(D131)),N(D131)&lt;=0),"Quantité invalide",IF(J131="","Prix manquant",IF(OR(NOT(ISNUMBER(J131)),N(J131)&lt;0),"Prix invalide",IF(OR(AND(F131&lt;&gt;"",NOT(ISNUMBER(F131))),N(F131)&lt;0,N(F131)&gt;1),"Remise invalide",IF(K131="","Taux de TVA manquant",IF(NOT(ISNUMBER(K131)),"Taux de TVA invalide",IF(COUNTIF(p_rates,K131)=0,"Taux de TVA hors liste (Paramètres)",IF(N(O131)&gt;25,"Au-delà de 25 lignes : non imprimée","OK")))))))))))))</f>
        <v/>
      </c>
      <c r="O131" s="59" t="str">
        <f>IF(A131="","",COUNTIF($A$6:A131,A131))</f>
        <v/>
      </c>
      <c r="P131" s="62" t="str">
        <f>IF(A131="","",A131&amp;"|"&amp;O131)</f>
        <v/>
      </c>
    </row>
    <row r="132">
      <c r="A132" s="60" t="n"/>
      <c r="B132" s="63" t="n"/>
      <c r="C132" s="63" t="n"/>
      <c r="D132" s="67" t="n"/>
      <c r="E132" s="68" t="n"/>
      <c r="F132" s="69" t="n"/>
      <c r="G132" s="70" t="n"/>
      <c r="H132" s="62" t="str">
        <f>IF(COUNTA(A132:G132)=0,"",IF(C132&lt;&gt;"",C132,IF(B132="","",IFERROR(INDEX(pr_des,MATCH(B132,pr_code,0))&amp;"",""))))</f>
        <v/>
      </c>
      <c r="I132" s="59" t="str">
        <f>IF(B132="","",IFERROR(INDEX(pr_unit,MATCH(B132,pr_code,0))&amp;"",""))</f>
        <v/>
      </c>
      <c r="J132" s="65" t="str">
        <f>IF(COUNTA(A132:G132)=0,"",IF(E132&lt;&gt;"",E132,IF(B132="","",IFERROR(IF(INDEX(pr_price,MATCH(B132,pr_code,0))="","",INDEX(pr_price,MATCH(B132,pr_code,0))),""))))</f>
        <v/>
      </c>
      <c r="K132" s="71" t="str">
        <f>IF(COUNTA(A132:G132)=0,"",IF(G132&lt;&gt;"",G132,IF(B132="","",IFERROR(IF(INDEX(pr_rate,MATCH(B132,pr_code,0))="","",INDEX(pr_rate,MATCH(B132,pr_code,0))),""))))</f>
        <v/>
      </c>
      <c r="L132" s="65" t="str">
        <f>IF(COUNTA(A132:G132)=0,"",IF(AND(ISNUMBER(D132),ISNUMBER(J132)),ROUND(D132*J132*(1-N(F132)),2),0))</f>
        <v/>
      </c>
      <c r="M132" s="62" t="str">
        <f>IF(A132="","",IFERROR(INDEX(dv_cname,MATCH(A132,dv_num,0))&amp;"",""))</f>
        <v/>
      </c>
      <c r="N132" s="59" t="str">
        <f>IF(COUNTA(A132:G132)=0,"",IF(A132="","N° devis manquant",IF(ISNA(MATCH(A132,dv_num,0)),"Devis inconnu",IF(AND(B132&lt;&gt;"",ISNA(MATCH(B132,pr_code,0))),"Article inconnu",IF(H132="","Désignation manquante",IF(OR(NOT(ISNUMBER(D132)),N(D132)&lt;=0),"Quantité invalide",IF(J132="","Prix manquant",IF(OR(NOT(ISNUMBER(J132)),N(J132)&lt;0),"Prix invalide",IF(OR(AND(F132&lt;&gt;"",NOT(ISNUMBER(F132))),N(F132)&lt;0,N(F132)&gt;1),"Remise invalide",IF(K132="","Taux de TVA manquant",IF(NOT(ISNUMBER(K132)),"Taux de TVA invalide",IF(COUNTIF(p_rates,K132)=0,"Taux de TVA hors liste (Paramètres)",IF(N(O132)&gt;25,"Au-delà de 25 lignes : non imprimée","OK")))))))))))))</f>
        <v/>
      </c>
      <c r="O132" s="59" t="str">
        <f>IF(A132="","",COUNTIF($A$6:A132,A132))</f>
        <v/>
      </c>
      <c r="P132" s="62" t="str">
        <f>IF(A132="","",A132&amp;"|"&amp;O132)</f>
        <v/>
      </c>
    </row>
    <row r="133">
      <c r="A133" s="60" t="n"/>
      <c r="B133" s="63" t="n"/>
      <c r="C133" s="63" t="n"/>
      <c r="D133" s="67" t="n"/>
      <c r="E133" s="68" t="n"/>
      <c r="F133" s="69" t="n"/>
      <c r="G133" s="70" t="n"/>
      <c r="H133" s="62" t="str">
        <f>IF(COUNTA(A133:G133)=0,"",IF(C133&lt;&gt;"",C133,IF(B133="","",IFERROR(INDEX(pr_des,MATCH(B133,pr_code,0))&amp;"",""))))</f>
        <v/>
      </c>
      <c r="I133" s="59" t="str">
        <f>IF(B133="","",IFERROR(INDEX(pr_unit,MATCH(B133,pr_code,0))&amp;"",""))</f>
        <v/>
      </c>
      <c r="J133" s="65" t="str">
        <f>IF(COUNTA(A133:G133)=0,"",IF(E133&lt;&gt;"",E133,IF(B133="","",IFERROR(IF(INDEX(pr_price,MATCH(B133,pr_code,0))="","",INDEX(pr_price,MATCH(B133,pr_code,0))),""))))</f>
        <v/>
      </c>
      <c r="K133" s="71" t="str">
        <f>IF(COUNTA(A133:G133)=0,"",IF(G133&lt;&gt;"",G133,IF(B133="","",IFERROR(IF(INDEX(pr_rate,MATCH(B133,pr_code,0))="","",INDEX(pr_rate,MATCH(B133,pr_code,0))),""))))</f>
        <v/>
      </c>
      <c r="L133" s="65" t="str">
        <f>IF(COUNTA(A133:G133)=0,"",IF(AND(ISNUMBER(D133),ISNUMBER(J133)),ROUND(D133*J133*(1-N(F133)),2),0))</f>
        <v/>
      </c>
      <c r="M133" s="62" t="str">
        <f>IF(A133="","",IFERROR(INDEX(dv_cname,MATCH(A133,dv_num,0))&amp;"",""))</f>
        <v/>
      </c>
      <c r="N133" s="59" t="str">
        <f>IF(COUNTA(A133:G133)=0,"",IF(A133="","N° devis manquant",IF(ISNA(MATCH(A133,dv_num,0)),"Devis inconnu",IF(AND(B133&lt;&gt;"",ISNA(MATCH(B133,pr_code,0))),"Article inconnu",IF(H133="","Désignation manquante",IF(OR(NOT(ISNUMBER(D133)),N(D133)&lt;=0),"Quantité invalide",IF(J133="","Prix manquant",IF(OR(NOT(ISNUMBER(J133)),N(J133)&lt;0),"Prix invalide",IF(OR(AND(F133&lt;&gt;"",NOT(ISNUMBER(F133))),N(F133)&lt;0,N(F133)&gt;1),"Remise invalide",IF(K133="","Taux de TVA manquant",IF(NOT(ISNUMBER(K133)),"Taux de TVA invalide",IF(COUNTIF(p_rates,K133)=0,"Taux de TVA hors liste (Paramètres)",IF(N(O133)&gt;25,"Au-delà de 25 lignes : non imprimée","OK")))))))))))))</f>
        <v/>
      </c>
      <c r="O133" s="59" t="str">
        <f>IF(A133="","",COUNTIF($A$6:A133,A133))</f>
        <v/>
      </c>
      <c r="P133" s="62" t="str">
        <f>IF(A133="","",A133&amp;"|"&amp;O133)</f>
        <v/>
      </c>
    </row>
    <row r="134">
      <c r="A134" s="60" t="n"/>
      <c r="B134" s="63" t="n"/>
      <c r="C134" s="63" t="n"/>
      <c r="D134" s="67" t="n"/>
      <c r="E134" s="68" t="n"/>
      <c r="F134" s="69" t="n"/>
      <c r="G134" s="70" t="n"/>
      <c r="H134" s="62" t="str">
        <f>IF(COUNTA(A134:G134)=0,"",IF(C134&lt;&gt;"",C134,IF(B134="","",IFERROR(INDEX(pr_des,MATCH(B134,pr_code,0))&amp;"",""))))</f>
        <v/>
      </c>
      <c r="I134" s="59" t="str">
        <f>IF(B134="","",IFERROR(INDEX(pr_unit,MATCH(B134,pr_code,0))&amp;"",""))</f>
        <v/>
      </c>
      <c r="J134" s="65" t="str">
        <f>IF(COUNTA(A134:G134)=0,"",IF(E134&lt;&gt;"",E134,IF(B134="","",IFERROR(IF(INDEX(pr_price,MATCH(B134,pr_code,0))="","",INDEX(pr_price,MATCH(B134,pr_code,0))),""))))</f>
        <v/>
      </c>
      <c r="K134" s="71" t="str">
        <f>IF(COUNTA(A134:G134)=0,"",IF(G134&lt;&gt;"",G134,IF(B134="","",IFERROR(IF(INDEX(pr_rate,MATCH(B134,pr_code,0))="","",INDEX(pr_rate,MATCH(B134,pr_code,0))),""))))</f>
        <v/>
      </c>
      <c r="L134" s="65" t="str">
        <f>IF(COUNTA(A134:G134)=0,"",IF(AND(ISNUMBER(D134),ISNUMBER(J134)),ROUND(D134*J134*(1-N(F134)),2),0))</f>
        <v/>
      </c>
      <c r="M134" s="62" t="str">
        <f>IF(A134="","",IFERROR(INDEX(dv_cname,MATCH(A134,dv_num,0))&amp;"",""))</f>
        <v/>
      </c>
      <c r="N134" s="59" t="str">
        <f>IF(COUNTA(A134:G134)=0,"",IF(A134="","N° devis manquant",IF(ISNA(MATCH(A134,dv_num,0)),"Devis inconnu",IF(AND(B134&lt;&gt;"",ISNA(MATCH(B134,pr_code,0))),"Article inconnu",IF(H134="","Désignation manquante",IF(OR(NOT(ISNUMBER(D134)),N(D134)&lt;=0),"Quantité invalide",IF(J134="","Prix manquant",IF(OR(NOT(ISNUMBER(J134)),N(J134)&lt;0),"Prix invalide",IF(OR(AND(F134&lt;&gt;"",NOT(ISNUMBER(F134))),N(F134)&lt;0,N(F134)&gt;1),"Remise invalide",IF(K134="","Taux de TVA manquant",IF(NOT(ISNUMBER(K134)),"Taux de TVA invalide",IF(COUNTIF(p_rates,K134)=0,"Taux de TVA hors liste (Paramètres)",IF(N(O134)&gt;25,"Au-delà de 25 lignes : non imprimée","OK")))))))))))))</f>
        <v/>
      </c>
      <c r="O134" s="59" t="str">
        <f>IF(A134="","",COUNTIF($A$6:A134,A134))</f>
        <v/>
      </c>
      <c r="P134" s="62" t="str">
        <f>IF(A134="","",A134&amp;"|"&amp;O134)</f>
        <v/>
      </c>
    </row>
    <row r="135">
      <c r="A135" s="60" t="n"/>
      <c r="B135" s="63" t="n"/>
      <c r="C135" s="63" t="n"/>
      <c r="D135" s="67" t="n"/>
      <c r="E135" s="68" t="n"/>
      <c r="F135" s="69" t="n"/>
      <c r="G135" s="70" t="n"/>
      <c r="H135" s="62" t="str">
        <f>IF(COUNTA(A135:G135)=0,"",IF(C135&lt;&gt;"",C135,IF(B135="","",IFERROR(INDEX(pr_des,MATCH(B135,pr_code,0))&amp;"",""))))</f>
        <v/>
      </c>
      <c r="I135" s="59" t="str">
        <f>IF(B135="","",IFERROR(INDEX(pr_unit,MATCH(B135,pr_code,0))&amp;"",""))</f>
        <v/>
      </c>
      <c r="J135" s="65" t="str">
        <f>IF(COUNTA(A135:G135)=0,"",IF(E135&lt;&gt;"",E135,IF(B135="","",IFERROR(IF(INDEX(pr_price,MATCH(B135,pr_code,0))="","",INDEX(pr_price,MATCH(B135,pr_code,0))),""))))</f>
        <v/>
      </c>
      <c r="K135" s="71" t="str">
        <f>IF(COUNTA(A135:G135)=0,"",IF(G135&lt;&gt;"",G135,IF(B135="","",IFERROR(IF(INDEX(pr_rate,MATCH(B135,pr_code,0))="","",INDEX(pr_rate,MATCH(B135,pr_code,0))),""))))</f>
        <v/>
      </c>
      <c r="L135" s="65" t="str">
        <f>IF(COUNTA(A135:G135)=0,"",IF(AND(ISNUMBER(D135),ISNUMBER(J135)),ROUND(D135*J135*(1-N(F135)),2),0))</f>
        <v/>
      </c>
      <c r="M135" s="62" t="str">
        <f>IF(A135="","",IFERROR(INDEX(dv_cname,MATCH(A135,dv_num,0))&amp;"",""))</f>
        <v/>
      </c>
      <c r="N135" s="59" t="str">
        <f>IF(COUNTA(A135:G135)=0,"",IF(A135="","N° devis manquant",IF(ISNA(MATCH(A135,dv_num,0)),"Devis inconnu",IF(AND(B135&lt;&gt;"",ISNA(MATCH(B135,pr_code,0))),"Article inconnu",IF(H135="","Désignation manquante",IF(OR(NOT(ISNUMBER(D135)),N(D135)&lt;=0),"Quantité invalide",IF(J135="","Prix manquant",IF(OR(NOT(ISNUMBER(J135)),N(J135)&lt;0),"Prix invalide",IF(OR(AND(F135&lt;&gt;"",NOT(ISNUMBER(F135))),N(F135)&lt;0,N(F135)&gt;1),"Remise invalide",IF(K135="","Taux de TVA manquant",IF(NOT(ISNUMBER(K135)),"Taux de TVA invalide",IF(COUNTIF(p_rates,K135)=0,"Taux de TVA hors liste (Paramètres)",IF(N(O135)&gt;25,"Au-delà de 25 lignes : non imprimée","OK")))))))))))))</f>
        <v/>
      </c>
      <c r="O135" s="59" t="str">
        <f>IF(A135="","",COUNTIF($A$6:A135,A135))</f>
        <v/>
      </c>
      <c r="P135" s="62" t="str">
        <f>IF(A135="","",A135&amp;"|"&amp;O135)</f>
        <v/>
      </c>
    </row>
    <row r="136">
      <c r="A136" s="60" t="n"/>
      <c r="B136" s="63" t="n"/>
      <c r="C136" s="63" t="n"/>
      <c r="D136" s="67" t="n"/>
      <c r="E136" s="68" t="n"/>
      <c r="F136" s="69" t="n"/>
      <c r="G136" s="70" t="n"/>
      <c r="H136" s="62" t="str">
        <f>IF(COUNTA(A136:G136)=0,"",IF(C136&lt;&gt;"",C136,IF(B136="","",IFERROR(INDEX(pr_des,MATCH(B136,pr_code,0))&amp;"",""))))</f>
        <v/>
      </c>
      <c r="I136" s="59" t="str">
        <f>IF(B136="","",IFERROR(INDEX(pr_unit,MATCH(B136,pr_code,0))&amp;"",""))</f>
        <v/>
      </c>
      <c r="J136" s="65" t="str">
        <f>IF(COUNTA(A136:G136)=0,"",IF(E136&lt;&gt;"",E136,IF(B136="","",IFERROR(IF(INDEX(pr_price,MATCH(B136,pr_code,0))="","",INDEX(pr_price,MATCH(B136,pr_code,0))),""))))</f>
        <v/>
      </c>
      <c r="K136" s="71" t="str">
        <f>IF(COUNTA(A136:G136)=0,"",IF(G136&lt;&gt;"",G136,IF(B136="","",IFERROR(IF(INDEX(pr_rate,MATCH(B136,pr_code,0))="","",INDEX(pr_rate,MATCH(B136,pr_code,0))),""))))</f>
        <v/>
      </c>
      <c r="L136" s="65" t="str">
        <f>IF(COUNTA(A136:G136)=0,"",IF(AND(ISNUMBER(D136),ISNUMBER(J136)),ROUND(D136*J136*(1-N(F136)),2),0))</f>
        <v/>
      </c>
      <c r="M136" s="62" t="str">
        <f>IF(A136="","",IFERROR(INDEX(dv_cname,MATCH(A136,dv_num,0))&amp;"",""))</f>
        <v/>
      </c>
      <c r="N136" s="59" t="str">
        <f>IF(COUNTA(A136:G136)=0,"",IF(A136="","N° devis manquant",IF(ISNA(MATCH(A136,dv_num,0)),"Devis inconnu",IF(AND(B136&lt;&gt;"",ISNA(MATCH(B136,pr_code,0))),"Article inconnu",IF(H136="","Désignation manquante",IF(OR(NOT(ISNUMBER(D136)),N(D136)&lt;=0),"Quantité invalide",IF(J136="","Prix manquant",IF(OR(NOT(ISNUMBER(J136)),N(J136)&lt;0),"Prix invalide",IF(OR(AND(F136&lt;&gt;"",NOT(ISNUMBER(F136))),N(F136)&lt;0,N(F136)&gt;1),"Remise invalide",IF(K136="","Taux de TVA manquant",IF(NOT(ISNUMBER(K136)),"Taux de TVA invalide",IF(COUNTIF(p_rates,K136)=0,"Taux de TVA hors liste (Paramètres)",IF(N(O136)&gt;25,"Au-delà de 25 lignes : non imprimée","OK")))))))))))))</f>
        <v/>
      </c>
      <c r="O136" s="59" t="str">
        <f>IF(A136="","",COUNTIF($A$6:A136,A136))</f>
        <v/>
      </c>
      <c r="P136" s="62" t="str">
        <f>IF(A136="","",A136&amp;"|"&amp;O136)</f>
        <v/>
      </c>
    </row>
    <row r="137">
      <c r="A137" s="60" t="n"/>
      <c r="B137" s="63" t="n"/>
      <c r="C137" s="63" t="n"/>
      <c r="D137" s="67" t="n"/>
      <c r="E137" s="68" t="n"/>
      <c r="F137" s="69" t="n"/>
      <c r="G137" s="70" t="n"/>
      <c r="H137" s="62" t="str">
        <f>IF(COUNTA(A137:G137)=0,"",IF(C137&lt;&gt;"",C137,IF(B137="","",IFERROR(INDEX(pr_des,MATCH(B137,pr_code,0))&amp;"",""))))</f>
        <v/>
      </c>
      <c r="I137" s="59" t="str">
        <f>IF(B137="","",IFERROR(INDEX(pr_unit,MATCH(B137,pr_code,0))&amp;"",""))</f>
        <v/>
      </c>
      <c r="J137" s="65" t="str">
        <f>IF(COUNTA(A137:G137)=0,"",IF(E137&lt;&gt;"",E137,IF(B137="","",IFERROR(IF(INDEX(pr_price,MATCH(B137,pr_code,0))="","",INDEX(pr_price,MATCH(B137,pr_code,0))),""))))</f>
        <v/>
      </c>
      <c r="K137" s="71" t="str">
        <f>IF(COUNTA(A137:G137)=0,"",IF(G137&lt;&gt;"",G137,IF(B137="","",IFERROR(IF(INDEX(pr_rate,MATCH(B137,pr_code,0))="","",INDEX(pr_rate,MATCH(B137,pr_code,0))),""))))</f>
        <v/>
      </c>
      <c r="L137" s="65" t="str">
        <f>IF(COUNTA(A137:G137)=0,"",IF(AND(ISNUMBER(D137),ISNUMBER(J137)),ROUND(D137*J137*(1-N(F137)),2),0))</f>
        <v/>
      </c>
      <c r="M137" s="62" t="str">
        <f>IF(A137="","",IFERROR(INDEX(dv_cname,MATCH(A137,dv_num,0))&amp;"",""))</f>
        <v/>
      </c>
      <c r="N137" s="59" t="str">
        <f>IF(COUNTA(A137:G137)=0,"",IF(A137="","N° devis manquant",IF(ISNA(MATCH(A137,dv_num,0)),"Devis inconnu",IF(AND(B137&lt;&gt;"",ISNA(MATCH(B137,pr_code,0))),"Article inconnu",IF(H137="","Désignation manquante",IF(OR(NOT(ISNUMBER(D137)),N(D137)&lt;=0),"Quantité invalide",IF(J137="","Prix manquant",IF(OR(NOT(ISNUMBER(J137)),N(J137)&lt;0),"Prix invalide",IF(OR(AND(F137&lt;&gt;"",NOT(ISNUMBER(F137))),N(F137)&lt;0,N(F137)&gt;1),"Remise invalide",IF(K137="","Taux de TVA manquant",IF(NOT(ISNUMBER(K137)),"Taux de TVA invalide",IF(COUNTIF(p_rates,K137)=0,"Taux de TVA hors liste (Paramètres)",IF(N(O137)&gt;25,"Au-delà de 25 lignes : non imprimée","OK")))))))))))))</f>
        <v/>
      </c>
      <c r="O137" s="59" t="str">
        <f>IF(A137="","",COUNTIF($A$6:A137,A137))</f>
        <v/>
      </c>
      <c r="P137" s="62" t="str">
        <f>IF(A137="","",A137&amp;"|"&amp;O137)</f>
        <v/>
      </c>
    </row>
    <row r="138">
      <c r="A138" s="60" t="n"/>
      <c r="B138" s="63" t="n"/>
      <c r="C138" s="63" t="n"/>
      <c r="D138" s="67" t="n"/>
      <c r="E138" s="68" t="n"/>
      <c r="F138" s="69" t="n"/>
      <c r="G138" s="70" t="n"/>
      <c r="H138" s="62" t="str">
        <f>IF(COUNTA(A138:G138)=0,"",IF(C138&lt;&gt;"",C138,IF(B138="","",IFERROR(INDEX(pr_des,MATCH(B138,pr_code,0))&amp;"",""))))</f>
        <v/>
      </c>
      <c r="I138" s="59" t="str">
        <f>IF(B138="","",IFERROR(INDEX(pr_unit,MATCH(B138,pr_code,0))&amp;"",""))</f>
        <v/>
      </c>
      <c r="J138" s="65" t="str">
        <f>IF(COUNTA(A138:G138)=0,"",IF(E138&lt;&gt;"",E138,IF(B138="","",IFERROR(IF(INDEX(pr_price,MATCH(B138,pr_code,0))="","",INDEX(pr_price,MATCH(B138,pr_code,0))),""))))</f>
        <v/>
      </c>
      <c r="K138" s="71" t="str">
        <f>IF(COUNTA(A138:G138)=0,"",IF(G138&lt;&gt;"",G138,IF(B138="","",IFERROR(IF(INDEX(pr_rate,MATCH(B138,pr_code,0))="","",INDEX(pr_rate,MATCH(B138,pr_code,0))),""))))</f>
        <v/>
      </c>
      <c r="L138" s="65" t="str">
        <f>IF(COUNTA(A138:G138)=0,"",IF(AND(ISNUMBER(D138),ISNUMBER(J138)),ROUND(D138*J138*(1-N(F138)),2),0))</f>
        <v/>
      </c>
      <c r="M138" s="62" t="str">
        <f>IF(A138="","",IFERROR(INDEX(dv_cname,MATCH(A138,dv_num,0))&amp;"",""))</f>
        <v/>
      </c>
      <c r="N138" s="59" t="str">
        <f>IF(COUNTA(A138:G138)=0,"",IF(A138="","N° devis manquant",IF(ISNA(MATCH(A138,dv_num,0)),"Devis inconnu",IF(AND(B138&lt;&gt;"",ISNA(MATCH(B138,pr_code,0))),"Article inconnu",IF(H138="","Désignation manquante",IF(OR(NOT(ISNUMBER(D138)),N(D138)&lt;=0),"Quantité invalide",IF(J138="","Prix manquant",IF(OR(NOT(ISNUMBER(J138)),N(J138)&lt;0),"Prix invalide",IF(OR(AND(F138&lt;&gt;"",NOT(ISNUMBER(F138))),N(F138)&lt;0,N(F138)&gt;1),"Remise invalide",IF(K138="","Taux de TVA manquant",IF(NOT(ISNUMBER(K138)),"Taux de TVA invalide",IF(COUNTIF(p_rates,K138)=0,"Taux de TVA hors liste (Paramètres)",IF(N(O138)&gt;25,"Au-delà de 25 lignes : non imprimée","OK")))))))))))))</f>
        <v/>
      </c>
      <c r="O138" s="59" t="str">
        <f>IF(A138="","",COUNTIF($A$6:A138,A138))</f>
        <v/>
      </c>
      <c r="P138" s="62" t="str">
        <f>IF(A138="","",A138&amp;"|"&amp;O138)</f>
        <v/>
      </c>
    </row>
    <row r="139">
      <c r="A139" s="60" t="n"/>
      <c r="B139" s="63" t="n"/>
      <c r="C139" s="63" t="n"/>
      <c r="D139" s="67" t="n"/>
      <c r="E139" s="68" t="n"/>
      <c r="F139" s="69" t="n"/>
      <c r="G139" s="70" t="n"/>
      <c r="H139" s="62" t="str">
        <f>IF(COUNTA(A139:G139)=0,"",IF(C139&lt;&gt;"",C139,IF(B139="","",IFERROR(INDEX(pr_des,MATCH(B139,pr_code,0))&amp;"",""))))</f>
        <v/>
      </c>
      <c r="I139" s="59" t="str">
        <f>IF(B139="","",IFERROR(INDEX(pr_unit,MATCH(B139,pr_code,0))&amp;"",""))</f>
        <v/>
      </c>
      <c r="J139" s="65" t="str">
        <f>IF(COUNTA(A139:G139)=0,"",IF(E139&lt;&gt;"",E139,IF(B139="","",IFERROR(IF(INDEX(pr_price,MATCH(B139,pr_code,0))="","",INDEX(pr_price,MATCH(B139,pr_code,0))),""))))</f>
        <v/>
      </c>
      <c r="K139" s="71" t="str">
        <f>IF(COUNTA(A139:G139)=0,"",IF(G139&lt;&gt;"",G139,IF(B139="","",IFERROR(IF(INDEX(pr_rate,MATCH(B139,pr_code,0))="","",INDEX(pr_rate,MATCH(B139,pr_code,0))),""))))</f>
        <v/>
      </c>
      <c r="L139" s="65" t="str">
        <f>IF(COUNTA(A139:G139)=0,"",IF(AND(ISNUMBER(D139),ISNUMBER(J139)),ROUND(D139*J139*(1-N(F139)),2),0))</f>
        <v/>
      </c>
      <c r="M139" s="62" t="str">
        <f>IF(A139="","",IFERROR(INDEX(dv_cname,MATCH(A139,dv_num,0))&amp;"",""))</f>
        <v/>
      </c>
      <c r="N139" s="59" t="str">
        <f>IF(COUNTA(A139:G139)=0,"",IF(A139="","N° devis manquant",IF(ISNA(MATCH(A139,dv_num,0)),"Devis inconnu",IF(AND(B139&lt;&gt;"",ISNA(MATCH(B139,pr_code,0))),"Article inconnu",IF(H139="","Désignation manquante",IF(OR(NOT(ISNUMBER(D139)),N(D139)&lt;=0),"Quantité invalide",IF(J139="","Prix manquant",IF(OR(NOT(ISNUMBER(J139)),N(J139)&lt;0),"Prix invalide",IF(OR(AND(F139&lt;&gt;"",NOT(ISNUMBER(F139))),N(F139)&lt;0,N(F139)&gt;1),"Remise invalide",IF(K139="","Taux de TVA manquant",IF(NOT(ISNUMBER(K139)),"Taux de TVA invalide",IF(COUNTIF(p_rates,K139)=0,"Taux de TVA hors liste (Paramètres)",IF(N(O139)&gt;25,"Au-delà de 25 lignes : non imprimée","OK")))))))))))))</f>
        <v/>
      </c>
      <c r="O139" s="59" t="str">
        <f>IF(A139="","",COUNTIF($A$6:A139,A139))</f>
        <v/>
      </c>
      <c r="P139" s="62" t="str">
        <f>IF(A139="","",A139&amp;"|"&amp;O139)</f>
        <v/>
      </c>
    </row>
    <row r="140">
      <c r="A140" s="60" t="n"/>
      <c r="B140" s="63" t="n"/>
      <c r="C140" s="63" t="n"/>
      <c r="D140" s="67" t="n"/>
      <c r="E140" s="68" t="n"/>
      <c r="F140" s="69" t="n"/>
      <c r="G140" s="70" t="n"/>
      <c r="H140" s="62" t="str">
        <f>IF(COUNTA(A140:G140)=0,"",IF(C140&lt;&gt;"",C140,IF(B140="","",IFERROR(INDEX(pr_des,MATCH(B140,pr_code,0))&amp;"",""))))</f>
        <v/>
      </c>
      <c r="I140" s="59" t="str">
        <f>IF(B140="","",IFERROR(INDEX(pr_unit,MATCH(B140,pr_code,0))&amp;"",""))</f>
        <v/>
      </c>
      <c r="J140" s="65" t="str">
        <f>IF(COUNTA(A140:G140)=0,"",IF(E140&lt;&gt;"",E140,IF(B140="","",IFERROR(IF(INDEX(pr_price,MATCH(B140,pr_code,0))="","",INDEX(pr_price,MATCH(B140,pr_code,0))),""))))</f>
        <v/>
      </c>
      <c r="K140" s="71" t="str">
        <f>IF(COUNTA(A140:G140)=0,"",IF(G140&lt;&gt;"",G140,IF(B140="","",IFERROR(IF(INDEX(pr_rate,MATCH(B140,pr_code,0))="","",INDEX(pr_rate,MATCH(B140,pr_code,0))),""))))</f>
        <v/>
      </c>
      <c r="L140" s="65" t="str">
        <f>IF(COUNTA(A140:G140)=0,"",IF(AND(ISNUMBER(D140),ISNUMBER(J140)),ROUND(D140*J140*(1-N(F140)),2),0))</f>
        <v/>
      </c>
      <c r="M140" s="62" t="str">
        <f>IF(A140="","",IFERROR(INDEX(dv_cname,MATCH(A140,dv_num,0))&amp;"",""))</f>
        <v/>
      </c>
      <c r="N140" s="59" t="str">
        <f>IF(COUNTA(A140:G140)=0,"",IF(A140="","N° devis manquant",IF(ISNA(MATCH(A140,dv_num,0)),"Devis inconnu",IF(AND(B140&lt;&gt;"",ISNA(MATCH(B140,pr_code,0))),"Article inconnu",IF(H140="","Désignation manquante",IF(OR(NOT(ISNUMBER(D140)),N(D140)&lt;=0),"Quantité invalide",IF(J140="","Prix manquant",IF(OR(NOT(ISNUMBER(J140)),N(J140)&lt;0),"Prix invalide",IF(OR(AND(F140&lt;&gt;"",NOT(ISNUMBER(F140))),N(F140)&lt;0,N(F140)&gt;1),"Remise invalide",IF(K140="","Taux de TVA manquant",IF(NOT(ISNUMBER(K140)),"Taux de TVA invalide",IF(COUNTIF(p_rates,K140)=0,"Taux de TVA hors liste (Paramètres)",IF(N(O140)&gt;25,"Au-delà de 25 lignes : non imprimée","OK")))))))))))))</f>
        <v/>
      </c>
      <c r="O140" s="59" t="str">
        <f>IF(A140="","",COUNTIF($A$6:A140,A140))</f>
        <v/>
      </c>
      <c r="P140" s="62" t="str">
        <f>IF(A140="","",A140&amp;"|"&amp;O140)</f>
        <v/>
      </c>
    </row>
    <row r="141">
      <c r="A141" s="60" t="n"/>
      <c r="B141" s="63" t="n"/>
      <c r="C141" s="63" t="n"/>
      <c r="D141" s="67" t="n"/>
      <c r="E141" s="68" t="n"/>
      <c r="F141" s="69" t="n"/>
      <c r="G141" s="70" t="n"/>
      <c r="H141" s="62" t="str">
        <f>IF(COUNTA(A141:G141)=0,"",IF(C141&lt;&gt;"",C141,IF(B141="","",IFERROR(INDEX(pr_des,MATCH(B141,pr_code,0))&amp;"",""))))</f>
        <v/>
      </c>
      <c r="I141" s="59" t="str">
        <f>IF(B141="","",IFERROR(INDEX(pr_unit,MATCH(B141,pr_code,0))&amp;"",""))</f>
        <v/>
      </c>
      <c r="J141" s="65" t="str">
        <f>IF(COUNTA(A141:G141)=0,"",IF(E141&lt;&gt;"",E141,IF(B141="","",IFERROR(IF(INDEX(pr_price,MATCH(B141,pr_code,0))="","",INDEX(pr_price,MATCH(B141,pr_code,0))),""))))</f>
        <v/>
      </c>
      <c r="K141" s="71" t="str">
        <f>IF(COUNTA(A141:G141)=0,"",IF(G141&lt;&gt;"",G141,IF(B141="","",IFERROR(IF(INDEX(pr_rate,MATCH(B141,pr_code,0))="","",INDEX(pr_rate,MATCH(B141,pr_code,0))),""))))</f>
        <v/>
      </c>
      <c r="L141" s="65" t="str">
        <f>IF(COUNTA(A141:G141)=0,"",IF(AND(ISNUMBER(D141),ISNUMBER(J141)),ROUND(D141*J141*(1-N(F141)),2),0))</f>
        <v/>
      </c>
      <c r="M141" s="62" t="str">
        <f>IF(A141="","",IFERROR(INDEX(dv_cname,MATCH(A141,dv_num,0))&amp;"",""))</f>
        <v/>
      </c>
      <c r="N141" s="59" t="str">
        <f>IF(COUNTA(A141:G141)=0,"",IF(A141="","N° devis manquant",IF(ISNA(MATCH(A141,dv_num,0)),"Devis inconnu",IF(AND(B141&lt;&gt;"",ISNA(MATCH(B141,pr_code,0))),"Article inconnu",IF(H141="","Désignation manquante",IF(OR(NOT(ISNUMBER(D141)),N(D141)&lt;=0),"Quantité invalide",IF(J141="","Prix manquant",IF(OR(NOT(ISNUMBER(J141)),N(J141)&lt;0),"Prix invalide",IF(OR(AND(F141&lt;&gt;"",NOT(ISNUMBER(F141))),N(F141)&lt;0,N(F141)&gt;1),"Remise invalide",IF(K141="","Taux de TVA manquant",IF(NOT(ISNUMBER(K141)),"Taux de TVA invalide",IF(COUNTIF(p_rates,K141)=0,"Taux de TVA hors liste (Paramètres)",IF(N(O141)&gt;25,"Au-delà de 25 lignes : non imprimée","OK")))))))))))))</f>
        <v/>
      </c>
      <c r="O141" s="59" t="str">
        <f>IF(A141="","",COUNTIF($A$6:A141,A141))</f>
        <v/>
      </c>
      <c r="P141" s="62" t="str">
        <f>IF(A141="","",A141&amp;"|"&amp;O141)</f>
        <v/>
      </c>
    </row>
    <row r="142">
      <c r="A142" s="60" t="n"/>
      <c r="B142" s="63" t="n"/>
      <c r="C142" s="63" t="n"/>
      <c r="D142" s="67" t="n"/>
      <c r="E142" s="68" t="n"/>
      <c r="F142" s="69" t="n"/>
      <c r="G142" s="70" t="n"/>
      <c r="H142" s="62" t="str">
        <f>IF(COUNTA(A142:G142)=0,"",IF(C142&lt;&gt;"",C142,IF(B142="","",IFERROR(INDEX(pr_des,MATCH(B142,pr_code,0))&amp;"",""))))</f>
        <v/>
      </c>
      <c r="I142" s="59" t="str">
        <f>IF(B142="","",IFERROR(INDEX(pr_unit,MATCH(B142,pr_code,0))&amp;"",""))</f>
        <v/>
      </c>
      <c r="J142" s="65" t="str">
        <f>IF(COUNTA(A142:G142)=0,"",IF(E142&lt;&gt;"",E142,IF(B142="","",IFERROR(IF(INDEX(pr_price,MATCH(B142,pr_code,0))="","",INDEX(pr_price,MATCH(B142,pr_code,0))),""))))</f>
        <v/>
      </c>
      <c r="K142" s="71" t="str">
        <f>IF(COUNTA(A142:G142)=0,"",IF(G142&lt;&gt;"",G142,IF(B142="","",IFERROR(IF(INDEX(pr_rate,MATCH(B142,pr_code,0))="","",INDEX(pr_rate,MATCH(B142,pr_code,0))),""))))</f>
        <v/>
      </c>
      <c r="L142" s="65" t="str">
        <f>IF(COUNTA(A142:G142)=0,"",IF(AND(ISNUMBER(D142),ISNUMBER(J142)),ROUND(D142*J142*(1-N(F142)),2),0))</f>
        <v/>
      </c>
      <c r="M142" s="62" t="str">
        <f>IF(A142="","",IFERROR(INDEX(dv_cname,MATCH(A142,dv_num,0))&amp;"",""))</f>
        <v/>
      </c>
      <c r="N142" s="59" t="str">
        <f>IF(COUNTA(A142:G142)=0,"",IF(A142="","N° devis manquant",IF(ISNA(MATCH(A142,dv_num,0)),"Devis inconnu",IF(AND(B142&lt;&gt;"",ISNA(MATCH(B142,pr_code,0))),"Article inconnu",IF(H142="","Désignation manquante",IF(OR(NOT(ISNUMBER(D142)),N(D142)&lt;=0),"Quantité invalide",IF(J142="","Prix manquant",IF(OR(NOT(ISNUMBER(J142)),N(J142)&lt;0),"Prix invalide",IF(OR(AND(F142&lt;&gt;"",NOT(ISNUMBER(F142))),N(F142)&lt;0,N(F142)&gt;1),"Remise invalide",IF(K142="","Taux de TVA manquant",IF(NOT(ISNUMBER(K142)),"Taux de TVA invalide",IF(COUNTIF(p_rates,K142)=0,"Taux de TVA hors liste (Paramètres)",IF(N(O142)&gt;25,"Au-delà de 25 lignes : non imprimée","OK")))))))))))))</f>
        <v/>
      </c>
      <c r="O142" s="59" t="str">
        <f>IF(A142="","",COUNTIF($A$6:A142,A142))</f>
        <v/>
      </c>
      <c r="P142" s="62" t="str">
        <f>IF(A142="","",A142&amp;"|"&amp;O142)</f>
        <v/>
      </c>
    </row>
    <row r="143">
      <c r="A143" s="60" t="n"/>
      <c r="B143" s="63" t="n"/>
      <c r="C143" s="63" t="n"/>
      <c r="D143" s="67" t="n"/>
      <c r="E143" s="68" t="n"/>
      <c r="F143" s="69" t="n"/>
      <c r="G143" s="70" t="n"/>
      <c r="H143" s="62" t="str">
        <f>IF(COUNTA(A143:G143)=0,"",IF(C143&lt;&gt;"",C143,IF(B143="","",IFERROR(INDEX(pr_des,MATCH(B143,pr_code,0))&amp;"",""))))</f>
        <v/>
      </c>
      <c r="I143" s="59" t="str">
        <f>IF(B143="","",IFERROR(INDEX(pr_unit,MATCH(B143,pr_code,0))&amp;"",""))</f>
        <v/>
      </c>
      <c r="J143" s="65" t="str">
        <f>IF(COUNTA(A143:G143)=0,"",IF(E143&lt;&gt;"",E143,IF(B143="","",IFERROR(IF(INDEX(pr_price,MATCH(B143,pr_code,0))="","",INDEX(pr_price,MATCH(B143,pr_code,0))),""))))</f>
        <v/>
      </c>
      <c r="K143" s="71" t="str">
        <f>IF(COUNTA(A143:G143)=0,"",IF(G143&lt;&gt;"",G143,IF(B143="","",IFERROR(IF(INDEX(pr_rate,MATCH(B143,pr_code,0))="","",INDEX(pr_rate,MATCH(B143,pr_code,0))),""))))</f>
        <v/>
      </c>
      <c r="L143" s="65" t="str">
        <f>IF(COUNTA(A143:G143)=0,"",IF(AND(ISNUMBER(D143),ISNUMBER(J143)),ROUND(D143*J143*(1-N(F143)),2),0))</f>
        <v/>
      </c>
      <c r="M143" s="62" t="str">
        <f>IF(A143="","",IFERROR(INDEX(dv_cname,MATCH(A143,dv_num,0))&amp;"",""))</f>
        <v/>
      </c>
      <c r="N143" s="59" t="str">
        <f>IF(COUNTA(A143:G143)=0,"",IF(A143="","N° devis manquant",IF(ISNA(MATCH(A143,dv_num,0)),"Devis inconnu",IF(AND(B143&lt;&gt;"",ISNA(MATCH(B143,pr_code,0))),"Article inconnu",IF(H143="","Désignation manquante",IF(OR(NOT(ISNUMBER(D143)),N(D143)&lt;=0),"Quantité invalide",IF(J143="","Prix manquant",IF(OR(NOT(ISNUMBER(J143)),N(J143)&lt;0),"Prix invalide",IF(OR(AND(F143&lt;&gt;"",NOT(ISNUMBER(F143))),N(F143)&lt;0,N(F143)&gt;1),"Remise invalide",IF(K143="","Taux de TVA manquant",IF(NOT(ISNUMBER(K143)),"Taux de TVA invalide",IF(COUNTIF(p_rates,K143)=0,"Taux de TVA hors liste (Paramètres)",IF(N(O143)&gt;25,"Au-delà de 25 lignes : non imprimée","OK")))))))))))))</f>
        <v/>
      </c>
      <c r="O143" s="59" t="str">
        <f>IF(A143="","",COUNTIF($A$6:A143,A143))</f>
        <v/>
      </c>
      <c r="P143" s="62" t="str">
        <f>IF(A143="","",A143&amp;"|"&amp;O143)</f>
        <v/>
      </c>
    </row>
    <row r="144">
      <c r="A144" s="60" t="n"/>
      <c r="B144" s="63" t="n"/>
      <c r="C144" s="63" t="n"/>
      <c r="D144" s="67" t="n"/>
      <c r="E144" s="68" t="n"/>
      <c r="F144" s="69" t="n"/>
      <c r="G144" s="70" t="n"/>
      <c r="H144" s="62" t="str">
        <f>IF(COUNTA(A144:G144)=0,"",IF(C144&lt;&gt;"",C144,IF(B144="","",IFERROR(INDEX(pr_des,MATCH(B144,pr_code,0))&amp;"",""))))</f>
        <v/>
      </c>
      <c r="I144" s="59" t="str">
        <f>IF(B144="","",IFERROR(INDEX(pr_unit,MATCH(B144,pr_code,0))&amp;"",""))</f>
        <v/>
      </c>
      <c r="J144" s="65" t="str">
        <f>IF(COUNTA(A144:G144)=0,"",IF(E144&lt;&gt;"",E144,IF(B144="","",IFERROR(IF(INDEX(pr_price,MATCH(B144,pr_code,0))="","",INDEX(pr_price,MATCH(B144,pr_code,0))),""))))</f>
        <v/>
      </c>
      <c r="K144" s="71" t="str">
        <f>IF(COUNTA(A144:G144)=0,"",IF(G144&lt;&gt;"",G144,IF(B144="","",IFERROR(IF(INDEX(pr_rate,MATCH(B144,pr_code,0))="","",INDEX(pr_rate,MATCH(B144,pr_code,0))),""))))</f>
        <v/>
      </c>
      <c r="L144" s="65" t="str">
        <f>IF(COUNTA(A144:G144)=0,"",IF(AND(ISNUMBER(D144),ISNUMBER(J144)),ROUND(D144*J144*(1-N(F144)),2),0))</f>
        <v/>
      </c>
      <c r="M144" s="62" t="str">
        <f>IF(A144="","",IFERROR(INDEX(dv_cname,MATCH(A144,dv_num,0))&amp;"",""))</f>
        <v/>
      </c>
      <c r="N144" s="59" t="str">
        <f>IF(COUNTA(A144:G144)=0,"",IF(A144="","N° devis manquant",IF(ISNA(MATCH(A144,dv_num,0)),"Devis inconnu",IF(AND(B144&lt;&gt;"",ISNA(MATCH(B144,pr_code,0))),"Article inconnu",IF(H144="","Désignation manquante",IF(OR(NOT(ISNUMBER(D144)),N(D144)&lt;=0),"Quantité invalide",IF(J144="","Prix manquant",IF(OR(NOT(ISNUMBER(J144)),N(J144)&lt;0),"Prix invalide",IF(OR(AND(F144&lt;&gt;"",NOT(ISNUMBER(F144))),N(F144)&lt;0,N(F144)&gt;1),"Remise invalide",IF(K144="","Taux de TVA manquant",IF(NOT(ISNUMBER(K144)),"Taux de TVA invalide",IF(COUNTIF(p_rates,K144)=0,"Taux de TVA hors liste (Paramètres)",IF(N(O144)&gt;25,"Au-delà de 25 lignes : non imprimée","OK")))))))))))))</f>
        <v/>
      </c>
      <c r="O144" s="59" t="str">
        <f>IF(A144="","",COUNTIF($A$6:A144,A144))</f>
        <v/>
      </c>
      <c r="P144" s="62" t="str">
        <f>IF(A144="","",A144&amp;"|"&amp;O144)</f>
        <v/>
      </c>
    </row>
    <row r="145">
      <c r="A145" s="60" t="n"/>
      <c r="B145" s="63" t="n"/>
      <c r="C145" s="63" t="n"/>
      <c r="D145" s="67" t="n"/>
      <c r="E145" s="68" t="n"/>
      <c r="F145" s="69" t="n"/>
      <c r="G145" s="70" t="n"/>
      <c r="H145" s="62" t="str">
        <f>IF(COUNTA(A145:G145)=0,"",IF(C145&lt;&gt;"",C145,IF(B145="","",IFERROR(INDEX(pr_des,MATCH(B145,pr_code,0))&amp;"",""))))</f>
        <v/>
      </c>
      <c r="I145" s="59" t="str">
        <f>IF(B145="","",IFERROR(INDEX(pr_unit,MATCH(B145,pr_code,0))&amp;"",""))</f>
        <v/>
      </c>
      <c r="J145" s="65" t="str">
        <f>IF(COUNTA(A145:G145)=0,"",IF(E145&lt;&gt;"",E145,IF(B145="","",IFERROR(IF(INDEX(pr_price,MATCH(B145,pr_code,0))="","",INDEX(pr_price,MATCH(B145,pr_code,0))),""))))</f>
        <v/>
      </c>
      <c r="K145" s="71" t="str">
        <f>IF(COUNTA(A145:G145)=0,"",IF(G145&lt;&gt;"",G145,IF(B145="","",IFERROR(IF(INDEX(pr_rate,MATCH(B145,pr_code,0))="","",INDEX(pr_rate,MATCH(B145,pr_code,0))),""))))</f>
        <v/>
      </c>
      <c r="L145" s="65" t="str">
        <f>IF(COUNTA(A145:G145)=0,"",IF(AND(ISNUMBER(D145),ISNUMBER(J145)),ROUND(D145*J145*(1-N(F145)),2),0))</f>
        <v/>
      </c>
      <c r="M145" s="62" t="str">
        <f>IF(A145="","",IFERROR(INDEX(dv_cname,MATCH(A145,dv_num,0))&amp;"",""))</f>
        <v/>
      </c>
      <c r="N145" s="59" t="str">
        <f>IF(COUNTA(A145:G145)=0,"",IF(A145="","N° devis manquant",IF(ISNA(MATCH(A145,dv_num,0)),"Devis inconnu",IF(AND(B145&lt;&gt;"",ISNA(MATCH(B145,pr_code,0))),"Article inconnu",IF(H145="","Désignation manquante",IF(OR(NOT(ISNUMBER(D145)),N(D145)&lt;=0),"Quantité invalide",IF(J145="","Prix manquant",IF(OR(NOT(ISNUMBER(J145)),N(J145)&lt;0),"Prix invalide",IF(OR(AND(F145&lt;&gt;"",NOT(ISNUMBER(F145))),N(F145)&lt;0,N(F145)&gt;1),"Remise invalide",IF(K145="","Taux de TVA manquant",IF(NOT(ISNUMBER(K145)),"Taux de TVA invalide",IF(COUNTIF(p_rates,K145)=0,"Taux de TVA hors liste (Paramètres)",IF(N(O145)&gt;25,"Au-delà de 25 lignes : non imprimée","OK")))))))))))))</f>
        <v/>
      </c>
      <c r="O145" s="59" t="str">
        <f>IF(A145="","",COUNTIF($A$6:A145,A145))</f>
        <v/>
      </c>
      <c r="P145" s="62" t="str">
        <f>IF(A145="","",A145&amp;"|"&amp;O145)</f>
        <v/>
      </c>
    </row>
    <row r="146">
      <c r="A146" s="60" t="n"/>
      <c r="B146" s="63" t="n"/>
      <c r="C146" s="63" t="n"/>
      <c r="D146" s="67" t="n"/>
      <c r="E146" s="68" t="n"/>
      <c r="F146" s="69" t="n"/>
      <c r="G146" s="70" t="n"/>
      <c r="H146" s="62" t="str">
        <f>IF(COUNTA(A146:G146)=0,"",IF(C146&lt;&gt;"",C146,IF(B146="","",IFERROR(INDEX(pr_des,MATCH(B146,pr_code,0))&amp;"",""))))</f>
        <v/>
      </c>
      <c r="I146" s="59" t="str">
        <f>IF(B146="","",IFERROR(INDEX(pr_unit,MATCH(B146,pr_code,0))&amp;"",""))</f>
        <v/>
      </c>
      <c r="J146" s="65" t="str">
        <f>IF(COUNTA(A146:G146)=0,"",IF(E146&lt;&gt;"",E146,IF(B146="","",IFERROR(IF(INDEX(pr_price,MATCH(B146,pr_code,0))="","",INDEX(pr_price,MATCH(B146,pr_code,0))),""))))</f>
        <v/>
      </c>
      <c r="K146" s="71" t="str">
        <f>IF(COUNTA(A146:G146)=0,"",IF(G146&lt;&gt;"",G146,IF(B146="","",IFERROR(IF(INDEX(pr_rate,MATCH(B146,pr_code,0))="","",INDEX(pr_rate,MATCH(B146,pr_code,0))),""))))</f>
        <v/>
      </c>
      <c r="L146" s="65" t="str">
        <f>IF(COUNTA(A146:G146)=0,"",IF(AND(ISNUMBER(D146),ISNUMBER(J146)),ROUND(D146*J146*(1-N(F146)),2),0))</f>
        <v/>
      </c>
      <c r="M146" s="62" t="str">
        <f>IF(A146="","",IFERROR(INDEX(dv_cname,MATCH(A146,dv_num,0))&amp;"",""))</f>
        <v/>
      </c>
      <c r="N146" s="59" t="str">
        <f>IF(COUNTA(A146:G146)=0,"",IF(A146="","N° devis manquant",IF(ISNA(MATCH(A146,dv_num,0)),"Devis inconnu",IF(AND(B146&lt;&gt;"",ISNA(MATCH(B146,pr_code,0))),"Article inconnu",IF(H146="","Désignation manquante",IF(OR(NOT(ISNUMBER(D146)),N(D146)&lt;=0),"Quantité invalide",IF(J146="","Prix manquant",IF(OR(NOT(ISNUMBER(J146)),N(J146)&lt;0),"Prix invalide",IF(OR(AND(F146&lt;&gt;"",NOT(ISNUMBER(F146))),N(F146)&lt;0,N(F146)&gt;1),"Remise invalide",IF(K146="","Taux de TVA manquant",IF(NOT(ISNUMBER(K146)),"Taux de TVA invalide",IF(COUNTIF(p_rates,K146)=0,"Taux de TVA hors liste (Paramètres)",IF(N(O146)&gt;25,"Au-delà de 25 lignes : non imprimée","OK")))))))))))))</f>
        <v/>
      </c>
      <c r="O146" s="59" t="str">
        <f>IF(A146="","",COUNTIF($A$6:A146,A146))</f>
        <v/>
      </c>
      <c r="P146" s="62" t="str">
        <f>IF(A146="","",A146&amp;"|"&amp;O146)</f>
        <v/>
      </c>
    </row>
    <row r="147">
      <c r="A147" s="60" t="n"/>
      <c r="B147" s="63" t="n"/>
      <c r="C147" s="63" t="n"/>
      <c r="D147" s="67" t="n"/>
      <c r="E147" s="68" t="n"/>
      <c r="F147" s="69" t="n"/>
      <c r="G147" s="70" t="n"/>
      <c r="H147" s="62" t="str">
        <f>IF(COUNTA(A147:G147)=0,"",IF(C147&lt;&gt;"",C147,IF(B147="","",IFERROR(INDEX(pr_des,MATCH(B147,pr_code,0))&amp;"",""))))</f>
        <v/>
      </c>
      <c r="I147" s="59" t="str">
        <f>IF(B147="","",IFERROR(INDEX(pr_unit,MATCH(B147,pr_code,0))&amp;"",""))</f>
        <v/>
      </c>
      <c r="J147" s="65" t="str">
        <f>IF(COUNTA(A147:G147)=0,"",IF(E147&lt;&gt;"",E147,IF(B147="","",IFERROR(IF(INDEX(pr_price,MATCH(B147,pr_code,0))="","",INDEX(pr_price,MATCH(B147,pr_code,0))),""))))</f>
        <v/>
      </c>
      <c r="K147" s="71" t="str">
        <f>IF(COUNTA(A147:G147)=0,"",IF(G147&lt;&gt;"",G147,IF(B147="","",IFERROR(IF(INDEX(pr_rate,MATCH(B147,pr_code,0))="","",INDEX(pr_rate,MATCH(B147,pr_code,0))),""))))</f>
        <v/>
      </c>
      <c r="L147" s="65" t="str">
        <f>IF(COUNTA(A147:G147)=0,"",IF(AND(ISNUMBER(D147),ISNUMBER(J147)),ROUND(D147*J147*(1-N(F147)),2),0))</f>
        <v/>
      </c>
      <c r="M147" s="62" t="str">
        <f>IF(A147="","",IFERROR(INDEX(dv_cname,MATCH(A147,dv_num,0))&amp;"",""))</f>
        <v/>
      </c>
      <c r="N147" s="59" t="str">
        <f>IF(COUNTA(A147:G147)=0,"",IF(A147="","N° devis manquant",IF(ISNA(MATCH(A147,dv_num,0)),"Devis inconnu",IF(AND(B147&lt;&gt;"",ISNA(MATCH(B147,pr_code,0))),"Article inconnu",IF(H147="","Désignation manquante",IF(OR(NOT(ISNUMBER(D147)),N(D147)&lt;=0),"Quantité invalide",IF(J147="","Prix manquant",IF(OR(NOT(ISNUMBER(J147)),N(J147)&lt;0),"Prix invalide",IF(OR(AND(F147&lt;&gt;"",NOT(ISNUMBER(F147))),N(F147)&lt;0,N(F147)&gt;1),"Remise invalide",IF(K147="","Taux de TVA manquant",IF(NOT(ISNUMBER(K147)),"Taux de TVA invalide",IF(COUNTIF(p_rates,K147)=0,"Taux de TVA hors liste (Paramètres)",IF(N(O147)&gt;25,"Au-delà de 25 lignes : non imprimée","OK")))))))))))))</f>
        <v/>
      </c>
      <c r="O147" s="59" t="str">
        <f>IF(A147="","",COUNTIF($A$6:A147,A147))</f>
        <v/>
      </c>
      <c r="P147" s="62" t="str">
        <f>IF(A147="","",A147&amp;"|"&amp;O147)</f>
        <v/>
      </c>
    </row>
    <row r="148">
      <c r="A148" s="60" t="n"/>
      <c r="B148" s="63" t="n"/>
      <c r="C148" s="63" t="n"/>
      <c r="D148" s="67" t="n"/>
      <c r="E148" s="68" t="n"/>
      <c r="F148" s="69" t="n"/>
      <c r="G148" s="70" t="n"/>
      <c r="H148" s="62" t="str">
        <f>IF(COUNTA(A148:G148)=0,"",IF(C148&lt;&gt;"",C148,IF(B148="","",IFERROR(INDEX(pr_des,MATCH(B148,pr_code,0))&amp;"",""))))</f>
        <v/>
      </c>
      <c r="I148" s="59" t="str">
        <f>IF(B148="","",IFERROR(INDEX(pr_unit,MATCH(B148,pr_code,0))&amp;"",""))</f>
        <v/>
      </c>
      <c r="J148" s="65" t="str">
        <f>IF(COUNTA(A148:G148)=0,"",IF(E148&lt;&gt;"",E148,IF(B148="","",IFERROR(IF(INDEX(pr_price,MATCH(B148,pr_code,0))="","",INDEX(pr_price,MATCH(B148,pr_code,0))),""))))</f>
        <v/>
      </c>
      <c r="K148" s="71" t="str">
        <f>IF(COUNTA(A148:G148)=0,"",IF(G148&lt;&gt;"",G148,IF(B148="","",IFERROR(IF(INDEX(pr_rate,MATCH(B148,pr_code,0))="","",INDEX(pr_rate,MATCH(B148,pr_code,0))),""))))</f>
        <v/>
      </c>
      <c r="L148" s="65" t="str">
        <f>IF(COUNTA(A148:G148)=0,"",IF(AND(ISNUMBER(D148),ISNUMBER(J148)),ROUND(D148*J148*(1-N(F148)),2),0))</f>
        <v/>
      </c>
      <c r="M148" s="62" t="str">
        <f>IF(A148="","",IFERROR(INDEX(dv_cname,MATCH(A148,dv_num,0))&amp;"",""))</f>
        <v/>
      </c>
      <c r="N148" s="59" t="str">
        <f>IF(COUNTA(A148:G148)=0,"",IF(A148="","N° devis manquant",IF(ISNA(MATCH(A148,dv_num,0)),"Devis inconnu",IF(AND(B148&lt;&gt;"",ISNA(MATCH(B148,pr_code,0))),"Article inconnu",IF(H148="","Désignation manquante",IF(OR(NOT(ISNUMBER(D148)),N(D148)&lt;=0),"Quantité invalide",IF(J148="","Prix manquant",IF(OR(NOT(ISNUMBER(J148)),N(J148)&lt;0),"Prix invalide",IF(OR(AND(F148&lt;&gt;"",NOT(ISNUMBER(F148))),N(F148)&lt;0,N(F148)&gt;1),"Remise invalide",IF(K148="","Taux de TVA manquant",IF(NOT(ISNUMBER(K148)),"Taux de TVA invalide",IF(COUNTIF(p_rates,K148)=0,"Taux de TVA hors liste (Paramètres)",IF(N(O148)&gt;25,"Au-delà de 25 lignes : non imprimée","OK")))))))))))))</f>
        <v/>
      </c>
      <c r="O148" s="59" t="str">
        <f>IF(A148="","",COUNTIF($A$6:A148,A148))</f>
        <v/>
      </c>
      <c r="P148" s="62" t="str">
        <f>IF(A148="","",A148&amp;"|"&amp;O148)</f>
        <v/>
      </c>
    </row>
    <row r="149">
      <c r="A149" s="60" t="n"/>
      <c r="B149" s="63" t="n"/>
      <c r="C149" s="63" t="n"/>
      <c r="D149" s="67" t="n"/>
      <c r="E149" s="68" t="n"/>
      <c r="F149" s="69" t="n"/>
      <c r="G149" s="70" t="n"/>
      <c r="H149" s="62" t="str">
        <f>IF(COUNTA(A149:G149)=0,"",IF(C149&lt;&gt;"",C149,IF(B149="","",IFERROR(INDEX(pr_des,MATCH(B149,pr_code,0))&amp;"",""))))</f>
        <v/>
      </c>
      <c r="I149" s="59" t="str">
        <f>IF(B149="","",IFERROR(INDEX(pr_unit,MATCH(B149,pr_code,0))&amp;"",""))</f>
        <v/>
      </c>
      <c r="J149" s="65" t="str">
        <f>IF(COUNTA(A149:G149)=0,"",IF(E149&lt;&gt;"",E149,IF(B149="","",IFERROR(IF(INDEX(pr_price,MATCH(B149,pr_code,0))="","",INDEX(pr_price,MATCH(B149,pr_code,0))),""))))</f>
        <v/>
      </c>
      <c r="K149" s="71" t="str">
        <f>IF(COUNTA(A149:G149)=0,"",IF(G149&lt;&gt;"",G149,IF(B149="","",IFERROR(IF(INDEX(pr_rate,MATCH(B149,pr_code,0))="","",INDEX(pr_rate,MATCH(B149,pr_code,0))),""))))</f>
        <v/>
      </c>
      <c r="L149" s="65" t="str">
        <f>IF(COUNTA(A149:G149)=0,"",IF(AND(ISNUMBER(D149),ISNUMBER(J149)),ROUND(D149*J149*(1-N(F149)),2),0))</f>
        <v/>
      </c>
      <c r="M149" s="62" t="str">
        <f>IF(A149="","",IFERROR(INDEX(dv_cname,MATCH(A149,dv_num,0))&amp;"",""))</f>
        <v/>
      </c>
      <c r="N149" s="59" t="str">
        <f>IF(COUNTA(A149:G149)=0,"",IF(A149="","N° devis manquant",IF(ISNA(MATCH(A149,dv_num,0)),"Devis inconnu",IF(AND(B149&lt;&gt;"",ISNA(MATCH(B149,pr_code,0))),"Article inconnu",IF(H149="","Désignation manquante",IF(OR(NOT(ISNUMBER(D149)),N(D149)&lt;=0),"Quantité invalide",IF(J149="","Prix manquant",IF(OR(NOT(ISNUMBER(J149)),N(J149)&lt;0),"Prix invalide",IF(OR(AND(F149&lt;&gt;"",NOT(ISNUMBER(F149))),N(F149)&lt;0,N(F149)&gt;1),"Remise invalide",IF(K149="","Taux de TVA manquant",IF(NOT(ISNUMBER(K149)),"Taux de TVA invalide",IF(COUNTIF(p_rates,K149)=0,"Taux de TVA hors liste (Paramètres)",IF(N(O149)&gt;25,"Au-delà de 25 lignes : non imprimée","OK")))))))))))))</f>
        <v/>
      </c>
      <c r="O149" s="59" t="str">
        <f>IF(A149="","",COUNTIF($A$6:A149,A149))</f>
        <v/>
      </c>
      <c r="P149" s="62" t="str">
        <f>IF(A149="","",A149&amp;"|"&amp;O149)</f>
        <v/>
      </c>
    </row>
    <row r="150">
      <c r="A150" s="60" t="n"/>
      <c r="B150" s="63" t="n"/>
      <c r="C150" s="63" t="n"/>
      <c r="D150" s="67" t="n"/>
      <c r="E150" s="68" t="n"/>
      <c r="F150" s="69" t="n"/>
      <c r="G150" s="70" t="n"/>
      <c r="H150" s="62" t="str">
        <f>IF(COUNTA(A150:G150)=0,"",IF(C150&lt;&gt;"",C150,IF(B150="","",IFERROR(INDEX(pr_des,MATCH(B150,pr_code,0))&amp;"",""))))</f>
        <v/>
      </c>
      <c r="I150" s="59" t="str">
        <f>IF(B150="","",IFERROR(INDEX(pr_unit,MATCH(B150,pr_code,0))&amp;"",""))</f>
        <v/>
      </c>
      <c r="J150" s="65" t="str">
        <f>IF(COUNTA(A150:G150)=0,"",IF(E150&lt;&gt;"",E150,IF(B150="","",IFERROR(IF(INDEX(pr_price,MATCH(B150,pr_code,0))="","",INDEX(pr_price,MATCH(B150,pr_code,0))),""))))</f>
        <v/>
      </c>
      <c r="K150" s="71" t="str">
        <f>IF(COUNTA(A150:G150)=0,"",IF(G150&lt;&gt;"",G150,IF(B150="","",IFERROR(IF(INDEX(pr_rate,MATCH(B150,pr_code,0))="","",INDEX(pr_rate,MATCH(B150,pr_code,0))),""))))</f>
        <v/>
      </c>
      <c r="L150" s="65" t="str">
        <f>IF(COUNTA(A150:G150)=0,"",IF(AND(ISNUMBER(D150),ISNUMBER(J150)),ROUND(D150*J150*(1-N(F150)),2),0))</f>
        <v/>
      </c>
      <c r="M150" s="62" t="str">
        <f>IF(A150="","",IFERROR(INDEX(dv_cname,MATCH(A150,dv_num,0))&amp;"",""))</f>
        <v/>
      </c>
      <c r="N150" s="59" t="str">
        <f>IF(COUNTA(A150:G150)=0,"",IF(A150="","N° devis manquant",IF(ISNA(MATCH(A150,dv_num,0)),"Devis inconnu",IF(AND(B150&lt;&gt;"",ISNA(MATCH(B150,pr_code,0))),"Article inconnu",IF(H150="","Désignation manquante",IF(OR(NOT(ISNUMBER(D150)),N(D150)&lt;=0),"Quantité invalide",IF(J150="","Prix manquant",IF(OR(NOT(ISNUMBER(J150)),N(J150)&lt;0),"Prix invalide",IF(OR(AND(F150&lt;&gt;"",NOT(ISNUMBER(F150))),N(F150)&lt;0,N(F150)&gt;1),"Remise invalide",IF(K150="","Taux de TVA manquant",IF(NOT(ISNUMBER(K150)),"Taux de TVA invalide",IF(COUNTIF(p_rates,K150)=0,"Taux de TVA hors liste (Paramètres)",IF(N(O150)&gt;25,"Au-delà de 25 lignes : non imprimée","OK")))))))))))))</f>
        <v/>
      </c>
      <c r="O150" s="59" t="str">
        <f>IF(A150="","",COUNTIF($A$6:A150,A150))</f>
        <v/>
      </c>
      <c r="P150" s="62" t="str">
        <f>IF(A150="","",A150&amp;"|"&amp;O150)</f>
        <v/>
      </c>
    </row>
    <row r="151">
      <c r="A151" s="60" t="n"/>
      <c r="B151" s="63" t="n"/>
      <c r="C151" s="63" t="n"/>
      <c r="D151" s="67" t="n"/>
      <c r="E151" s="68" t="n"/>
      <c r="F151" s="69" t="n"/>
      <c r="G151" s="70" t="n"/>
      <c r="H151" s="62" t="str">
        <f>IF(COUNTA(A151:G151)=0,"",IF(C151&lt;&gt;"",C151,IF(B151="","",IFERROR(INDEX(pr_des,MATCH(B151,pr_code,0))&amp;"",""))))</f>
        <v/>
      </c>
      <c r="I151" s="59" t="str">
        <f>IF(B151="","",IFERROR(INDEX(pr_unit,MATCH(B151,pr_code,0))&amp;"",""))</f>
        <v/>
      </c>
      <c r="J151" s="65" t="str">
        <f>IF(COUNTA(A151:G151)=0,"",IF(E151&lt;&gt;"",E151,IF(B151="","",IFERROR(IF(INDEX(pr_price,MATCH(B151,pr_code,0))="","",INDEX(pr_price,MATCH(B151,pr_code,0))),""))))</f>
        <v/>
      </c>
      <c r="K151" s="71" t="str">
        <f>IF(COUNTA(A151:G151)=0,"",IF(G151&lt;&gt;"",G151,IF(B151="","",IFERROR(IF(INDEX(pr_rate,MATCH(B151,pr_code,0))="","",INDEX(pr_rate,MATCH(B151,pr_code,0))),""))))</f>
        <v/>
      </c>
      <c r="L151" s="65" t="str">
        <f>IF(COUNTA(A151:G151)=0,"",IF(AND(ISNUMBER(D151),ISNUMBER(J151)),ROUND(D151*J151*(1-N(F151)),2),0))</f>
        <v/>
      </c>
      <c r="M151" s="62" t="str">
        <f>IF(A151="","",IFERROR(INDEX(dv_cname,MATCH(A151,dv_num,0))&amp;"",""))</f>
        <v/>
      </c>
      <c r="N151" s="59" t="str">
        <f>IF(COUNTA(A151:G151)=0,"",IF(A151="","N° devis manquant",IF(ISNA(MATCH(A151,dv_num,0)),"Devis inconnu",IF(AND(B151&lt;&gt;"",ISNA(MATCH(B151,pr_code,0))),"Article inconnu",IF(H151="","Désignation manquante",IF(OR(NOT(ISNUMBER(D151)),N(D151)&lt;=0),"Quantité invalide",IF(J151="","Prix manquant",IF(OR(NOT(ISNUMBER(J151)),N(J151)&lt;0),"Prix invalide",IF(OR(AND(F151&lt;&gt;"",NOT(ISNUMBER(F151))),N(F151)&lt;0,N(F151)&gt;1),"Remise invalide",IF(K151="","Taux de TVA manquant",IF(NOT(ISNUMBER(K151)),"Taux de TVA invalide",IF(COUNTIF(p_rates,K151)=0,"Taux de TVA hors liste (Paramètres)",IF(N(O151)&gt;25,"Au-delà de 25 lignes : non imprimée","OK")))))))))))))</f>
        <v/>
      </c>
      <c r="O151" s="59" t="str">
        <f>IF(A151="","",COUNTIF($A$6:A151,A151))</f>
        <v/>
      </c>
      <c r="P151" s="62" t="str">
        <f>IF(A151="","",A151&amp;"|"&amp;O151)</f>
        <v/>
      </c>
    </row>
    <row r="152">
      <c r="A152" s="60" t="n"/>
      <c r="B152" s="63" t="n"/>
      <c r="C152" s="63" t="n"/>
      <c r="D152" s="67" t="n"/>
      <c r="E152" s="68" t="n"/>
      <c r="F152" s="69" t="n"/>
      <c r="G152" s="70" t="n"/>
      <c r="H152" s="62" t="str">
        <f>IF(COUNTA(A152:G152)=0,"",IF(C152&lt;&gt;"",C152,IF(B152="","",IFERROR(INDEX(pr_des,MATCH(B152,pr_code,0))&amp;"",""))))</f>
        <v/>
      </c>
      <c r="I152" s="59" t="str">
        <f>IF(B152="","",IFERROR(INDEX(pr_unit,MATCH(B152,pr_code,0))&amp;"",""))</f>
        <v/>
      </c>
      <c r="J152" s="65" t="str">
        <f>IF(COUNTA(A152:G152)=0,"",IF(E152&lt;&gt;"",E152,IF(B152="","",IFERROR(IF(INDEX(pr_price,MATCH(B152,pr_code,0))="","",INDEX(pr_price,MATCH(B152,pr_code,0))),""))))</f>
        <v/>
      </c>
      <c r="K152" s="71" t="str">
        <f>IF(COUNTA(A152:G152)=0,"",IF(G152&lt;&gt;"",G152,IF(B152="","",IFERROR(IF(INDEX(pr_rate,MATCH(B152,pr_code,0))="","",INDEX(pr_rate,MATCH(B152,pr_code,0))),""))))</f>
        <v/>
      </c>
      <c r="L152" s="65" t="str">
        <f>IF(COUNTA(A152:G152)=0,"",IF(AND(ISNUMBER(D152),ISNUMBER(J152)),ROUND(D152*J152*(1-N(F152)),2),0))</f>
        <v/>
      </c>
      <c r="M152" s="62" t="str">
        <f>IF(A152="","",IFERROR(INDEX(dv_cname,MATCH(A152,dv_num,0))&amp;"",""))</f>
        <v/>
      </c>
      <c r="N152" s="59" t="str">
        <f>IF(COUNTA(A152:G152)=0,"",IF(A152="","N° devis manquant",IF(ISNA(MATCH(A152,dv_num,0)),"Devis inconnu",IF(AND(B152&lt;&gt;"",ISNA(MATCH(B152,pr_code,0))),"Article inconnu",IF(H152="","Désignation manquante",IF(OR(NOT(ISNUMBER(D152)),N(D152)&lt;=0),"Quantité invalide",IF(J152="","Prix manquant",IF(OR(NOT(ISNUMBER(J152)),N(J152)&lt;0),"Prix invalide",IF(OR(AND(F152&lt;&gt;"",NOT(ISNUMBER(F152))),N(F152)&lt;0,N(F152)&gt;1),"Remise invalide",IF(K152="","Taux de TVA manquant",IF(NOT(ISNUMBER(K152)),"Taux de TVA invalide",IF(COUNTIF(p_rates,K152)=0,"Taux de TVA hors liste (Paramètres)",IF(N(O152)&gt;25,"Au-delà de 25 lignes : non imprimée","OK")))))))))))))</f>
        <v/>
      </c>
      <c r="O152" s="59" t="str">
        <f>IF(A152="","",COUNTIF($A$6:A152,A152))</f>
        <v/>
      </c>
      <c r="P152" s="62" t="str">
        <f>IF(A152="","",A152&amp;"|"&amp;O152)</f>
        <v/>
      </c>
    </row>
    <row r="153">
      <c r="A153" s="60" t="n"/>
      <c r="B153" s="63" t="n"/>
      <c r="C153" s="63" t="n"/>
      <c r="D153" s="67" t="n"/>
      <c r="E153" s="68" t="n"/>
      <c r="F153" s="69" t="n"/>
      <c r="G153" s="70" t="n"/>
      <c r="H153" s="62" t="str">
        <f>IF(COUNTA(A153:G153)=0,"",IF(C153&lt;&gt;"",C153,IF(B153="","",IFERROR(INDEX(pr_des,MATCH(B153,pr_code,0))&amp;"",""))))</f>
        <v/>
      </c>
      <c r="I153" s="59" t="str">
        <f>IF(B153="","",IFERROR(INDEX(pr_unit,MATCH(B153,pr_code,0))&amp;"",""))</f>
        <v/>
      </c>
      <c r="J153" s="65" t="str">
        <f>IF(COUNTA(A153:G153)=0,"",IF(E153&lt;&gt;"",E153,IF(B153="","",IFERROR(IF(INDEX(pr_price,MATCH(B153,pr_code,0))="","",INDEX(pr_price,MATCH(B153,pr_code,0))),""))))</f>
        <v/>
      </c>
      <c r="K153" s="71" t="str">
        <f>IF(COUNTA(A153:G153)=0,"",IF(G153&lt;&gt;"",G153,IF(B153="","",IFERROR(IF(INDEX(pr_rate,MATCH(B153,pr_code,0))="","",INDEX(pr_rate,MATCH(B153,pr_code,0))),""))))</f>
        <v/>
      </c>
      <c r="L153" s="65" t="str">
        <f>IF(COUNTA(A153:G153)=0,"",IF(AND(ISNUMBER(D153),ISNUMBER(J153)),ROUND(D153*J153*(1-N(F153)),2),0))</f>
        <v/>
      </c>
      <c r="M153" s="62" t="str">
        <f>IF(A153="","",IFERROR(INDEX(dv_cname,MATCH(A153,dv_num,0))&amp;"",""))</f>
        <v/>
      </c>
      <c r="N153" s="59" t="str">
        <f>IF(COUNTA(A153:G153)=0,"",IF(A153="","N° devis manquant",IF(ISNA(MATCH(A153,dv_num,0)),"Devis inconnu",IF(AND(B153&lt;&gt;"",ISNA(MATCH(B153,pr_code,0))),"Article inconnu",IF(H153="","Désignation manquante",IF(OR(NOT(ISNUMBER(D153)),N(D153)&lt;=0),"Quantité invalide",IF(J153="","Prix manquant",IF(OR(NOT(ISNUMBER(J153)),N(J153)&lt;0),"Prix invalide",IF(OR(AND(F153&lt;&gt;"",NOT(ISNUMBER(F153))),N(F153)&lt;0,N(F153)&gt;1),"Remise invalide",IF(K153="","Taux de TVA manquant",IF(NOT(ISNUMBER(K153)),"Taux de TVA invalide",IF(COUNTIF(p_rates,K153)=0,"Taux de TVA hors liste (Paramètres)",IF(N(O153)&gt;25,"Au-delà de 25 lignes : non imprimée","OK")))))))))))))</f>
        <v/>
      </c>
      <c r="O153" s="59" t="str">
        <f>IF(A153="","",COUNTIF($A$6:A153,A153))</f>
        <v/>
      </c>
      <c r="P153" s="62" t="str">
        <f>IF(A153="","",A153&amp;"|"&amp;O153)</f>
        <v/>
      </c>
    </row>
    <row r="154">
      <c r="A154" s="60" t="n"/>
      <c r="B154" s="63" t="n"/>
      <c r="C154" s="63" t="n"/>
      <c r="D154" s="67" t="n"/>
      <c r="E154" s="68" t="n"/>
      <c r="F154" s="69" t="n"/>
      <c r="G154" s="70" t="n"/>
      <c r="H154" s="62" t="str">
        <f>IF(COUNTA(A154:G154)=0,"",IF(C154&lt;&gt;"",C154,IF(B154="","",IFERROR(INDEX(pr_des,MATCH(B154,pr_code,0))&amp;"",""))))</f>
        <v/>
      </c>
      <c r="I154" s="59" t="str">
        <f>IF(B154="","",IFERROR(INDEX(pr_unit,MATCH(B154,pr_code,0))&amp;"",""))</f>
        <v/>
      </c>
      <c r="J154" s="65" t="str">
        <f>IF(COUNTA(A154:G154)=0,"",IF(E154&lt;&gt;"",E154,IF(B154="","",IFERROR(IF(INDEX(pr_price,MATCH(B154,pr_code,0))="","",INDEX(pr_price,MATCH(B154,pr_code,0))),""))))</f>
        <v/>
      </c>
      <c r="K154" s="71" t="str">
        <f>IF(COUNTA(A154:G154)=0,"",IF(G154&lt;&gt;"",G154,IF(B154="","",IFERROR(IF(INDEX(pr_rate,MATCH(B154,pr_code,0))="","",INDEX(pr_rate,MATCH(B154,pr_code,0))),""))))</f>
        <v/>
      </c>
      <c r="L154" s="65" t="str">
        <f>IF(COUNTA(A154:G154)=0,"",IF(AND(ISNUMBER(D154),ISNUMBER(J154)),ROUND(D154*J154*(1-N(F154)),2),0))</f>
        <v/>
      </c>
      <c r="M154" s="62" t="str">
        <f>IF(A154="","",IFERROR(INDEX(dv_cname,MATCH(A154,dv_num,0))&amp;"",""))</f>
        <v/>
      </c>
      <c r="N154" s="59" t="str">
        <f>IF(COUNTA(A154:G154)=0,"",IF(A154="","N° devis manquant",IF(ISNA(MATCH(A154,dv_num,0)),"Devis inconnu",IF(AND(B154&lt;&gt;"",ISNA(MATCH(B154,pr_code,0))),"Article inconnu",IF(H154="","Désignation manquante",IF(OR(NOT(ISNUMBER(D154)),N(D154)&lt;=0),"Quantité invalide",IF(J154="","Prix manquant",IF(OR(NOT(ISNUMBER(J154)),N(J154)&lt;0),"Prix invalide",IF(OR(AND(F154&lt;&gt;"",NOT(ISNUMBER(F154))),N(F154)&lt;0,N(F154)&gt;1),"Remise invalide",IF(K154="","Taux de TVA manquant",IF(NOT(ISNUMBER(K154)),"Taux de TVA invalide",IF(COUNTIF(p_rates,K154)=0,"Taux de TVA hors liste (Paramètres)",IF(N(O154)&gt;25,"Au-delà de 25 lignes : non imprimée","OK")))))))))))))</f>
        <v/>
      </c>
      <c r="O154" s="59" t="str">
        <f>IF(A154="","",COUNTIF($A$6:A154,A154))</f>
        <v/>
      </c>
      <c r="P154" s="62" t="str">
        <f>IF(A154="","",A154&amp;"|"&amp;O154)</f>
        <v/>
      </c>
    </row>
    <row r="155">
      <c r="A155" s="60" t="n"/>
      <c r="B155" s="63" t="n"/>
      <c r="C155" s="63" t="n"/>
      <c r="D155" s="67" t="n"/>
      <c r="E155" s="68" t="n"/>
      <c r="F155" s="69" t="n"/>
      <c r="G155" s="70" t="n"/>
      <c r="H155" s="62" t="str">
        <f>IF(COUNTA(A155:G155)=0,"",IF(C155&lt;&gt;"",C155,IF(B155="","",IFERROR(INDEX(pr_des,MATCH(B155,pr_code,0))&amp;"",""))))</f>
        <v/>
      </c>
      <c r="I155" s="59" t="str">
        <f>IF(B155="","",IFERROR(INDEX(pr_unit,MATCH(B155,pr_code,0))&amp;"",""))</f>
        <v/>
      </c>
      <c r="J155" s="65" t="str">
        <f>IF(COUNTA(A155:G155)=0,"",IF(E155&lt;&gt;"",E155,IF(B155="","",IFERROR(IF(INDEX(pr_price,MATCH(B155,pr_code,0))="","",INDEX(pr_price,MATCH(B155,pr_code,0))),""))))</f>
        <v/>
      </c>
      <c r="K155" s="71" t="str">
        <f>IF(COUNTA(A155:G155)=0,"",IF(G155&lt;&gt;"",G155,IF(B155="","",IFERROR(IF(INDEX(pr_rate,MATCH(B155,pr_code,0))="","",INDEX(pr_rate,MATCH(B155,pr_code,0))),""))))</f>
        <v/>
      </c>
      <c r="L155" s="65" t="str">
        <f>IF(COUNTA(A155:G155)=0,"",IF(AND(ISNUMBER(D155),ISNUMBER(J155)),ROUND(D155*J155*(1-N(F155)),2),0))</f>
        <v/>
      </c>
      <c r="M155" s="62" t="str">
        <f>IF(A155="","",IFERROR(INDEX(dv_cname,MATCH(A155,dv_num,0))&amp;"",""))</f>
        <v/>
      </c>
      <c r="N155" s="59" t="str">
        <f>IF(COUNTA(A155:G155)=0,"",IF(A155="","N° devis manquant",IF(ISNA(MATCH(A155,dv_num,0)),"Devis inconnu",IF(AND(B155&lt;&gt;"",ISNA(MATCH(B155,pr_code,0))),"Article inconnu",IF(H155="","Désignation manquante",IF(OR(NOT(ISNUMBER(D155)),N(D155)&lt;=0),"Quantité invalide",IF(J155="","Prix manquant",IF(OR(NOT(ISNUMBER(J155)),N(J155)&lt;0),"Prix invalide",IF(OR(AND(F155&lt;&gt;"",NOT(ISNUMBER(F155))),N(F155)&lt;0,N(F155)&gt;1),"Remise invalide",IF(K155="","Taux de TVA manquant",IF(NOT(ISNUMBER(K155)),"Taux de TVA invalide",IF(COUNTIF(p_rates,K155)=0,"Taux de TVA hors liste (Paramètres)",IF(N(O155)&gt;25,"Au-delà de 25 lignes : non imprimée","OK")))))))))))))</f>
        <v/>
      </c>
      <c r="O155" s="59" t="str">
        <f>IF(A155="","",COUNTIF($A$6:A155,A155))</f>
        <v/>
      </c>
      <c r="P155" s="62" t="str">
        <f>IF(A155="","",A155&amp;"|"&amp;O155)</f>
        <v/>
      </c>
    </row>
    <row r="156">
      <c r="A156" s="60" t="n"/>
      <c r="B156" s="63" t="n"/>
      <c r="C156" s="63" t="n"/>
      <c r="D156" s="67" t="n"/>
      <c r="E156" s="68" t="n"/>
      <c r="F156" s="69" t="n"/>
      <c r="G156" s="70" t="n"/>
      <c r="H156" s="62" t="str">
        <f>IF(COUNTA(A156:G156)=0,"",IF(C156&lt;&gt;"",C156,IF(B156="","",IFERROR(INDEX(pr_des,MATCH(B156,pr_code,0))&amp;"",""))))</f>
        <v/>
      </c>
      <c r="I156" s="59" t="str">
        <f>IF(B156="","",IFERROR(INDEX(pr_unit,MATCH(B156,pr_code,0))&amp;"",""))</f>
        <v/>
      </c>
      <c r="J156" s="65" t="str">
        <f>IF(COUNTA(A156:G156)=0,"",IF(E156&lt;&gt;"",E156,IF(B156="","",IFERROR(IF(INDEX(pr_price,MATCH(B156,pr_code,0))="","",INDEX(pr_price,MATCH(B156,pr_code,0))),""))))</f>
        <v/>
      </c>
      <c r="K156" s="71" t="str">
        <f>IF(COUNTA(A156:G156)=0,"",IF(G156&lt;&gt;"",G156,IF(B156="","",IFERROR(IF(INDEX(pr_rate,MATCH(B156,pr_code,0))="","",INDEX(pr_rate,MATCH(B156,pr_code,0))),""))))</f>
        <v/>
      </c>
      <c r="L156" s="65" t="str">
        <f>IF(COUNTA(A156:G156)=0,"",IF(AND(ISNUMBER(D156),ISNUMBER(J156)),ROUND(D156*J156*(1-N(F156)),2),0))</f>
        <v/>
      </c>
      <c r="M156" s="62" t="str">
        <f>IF(A156="","",IFERROR(INDEX(dv_cname,MATCH(A156,dv_num,0))&amp;"",""))</f>
        <v/>
      </c>
      <c r="N156" s="59" t="str">
        <f>IF(COUNTA(A156:G156)=0,"",IF(A156="","N° devis manquant",IF(ISNA(MATCH(A156,dv_num,0)),"Devis inconnu",IF(AND(B156&lt;&gt;"",ISNA(MATCH(B156,pr_code,0))),"Article inconnu",IF(H156="","Désignation manquante",IF(OR(NOT(ISNUMBER(D156)),N(D156)&lt;=0),"Quantité invalide",IF(J156="","Prix manquant",IF(OR(NOT(ISNUMBER(J156)),N(J156)&lt;0),"Prix invalide",IF(OR(AND(F156&lt;&gt;"",NOT(ISNUMBER(F156))),N(F156)&lt;0,N(F156)&gt;1),"Remise invalide",IF(K156="","Taux de TVA manquant",IF(NOT(ISNUMBER(K156)),"Taux de TVA invalide",IF(COUNTIF(p_rates,K156)=0,"Taux de TVA hors liste (Paramètres)",IF(N(O156)&gt;25,"Au-delà de 25 lignes : non imprimée","OK")))))))))))))</f>
        <v/>
      </c>
      <c r="O156" s="59" t="str">
        <f>IF(A156="","",COUNTIF($A$6:A156,A156))</f>
        <v/>
      </c>
      <c r="P156" s="62" t="str">
        <f>IF(A156="","",A156&amp;"|"&amp;O156)</f>
        <v/>
      </c>
    </row>
    <row r="157">
      <c r="A157" s="60" t="n"/>
      <c r="B157" s="63" t="n"/>
      <c r="C157" s="63" t="n"/>
      <c r="D157" s="67" t="n"/>
      <c r="E157" s="68" t="n"/>
      <c r="F157" s="69" t="n"/>
      <c r="G157" s="70" t="n"/>
      <c r="H157" s="62" t="str">
        <f>IF(COUNTA(A157:G157)=0,"",IF(C157&lt;&gt;"",C157,IF(B157="","",IFERROR(INDEX(pr_des,MATCH(B157,pr_code,0))&amp;"",""))))</f>
        <v/>
      </c>
      <c r="I157" s="59" t="str">
        <f>IF(B157="","",IFERROR(INDEX(pr_unit,MATCH(B157,pr_code,0))&amp;"",""))</f>
        <v/>
      </c>
      <c r="J157" s="65" t="str">
        <f>IF(COUNTA(A157:G157)=0,"",IF(E157&lt;&gt;"",E157,IF(B157="","",IFERROR(IF(INDEX(pr_price,MATCH(B157,pr_code,0))="","",INDEX(pr_price,MATCH(B157,pr_code,0))),""))))</f>
        <v/>
      </c>
      <c r="K157" s="71" t="str">
        <f>IF(COUNTA(A157:G157)=0,"",IF(G157&lt;&gt;"",G157,IF(B157="","",IFERROR(IF(INDEX(pr_rate,MATCH(B157,pr_code,0))="","",INDEX(pr_rate,MATCH(B157,pr_code,0))),""))))</f>
        <v/>
      </c>
      <c r="L157" s="65" t="str">
        <f>IF(COUNTA(A157:G157)=0,"",IF(AND(ISNUMBER(D157),ISNUMBER(J157)),ROUND(D157*J157*(1-N(F157)),2),0))</f>
        <v/>
      </c>
      <c r="M157" s="62" t="str">
        <f>IF(A157="","",IFERROR(INDEX(dv_cname,MATCH(A157,dv_num,0))&amp;"",""))</f>
        <v/>
      </c>
      <c r="N157" s="59" t="str">
        <f>IF(COUNTA(A157:G157)=0,"",IF(A157="","N° devis manquant",IF(ISNA(MATCH(A157,dv_num,0)),"Devis inconnu",IF(AND(B157&lt;&gt;"",ISNA(MATCH(B157,pr_code,0))),"Article inconnu",IF(H157="","Désignation manquante",IF(OR(NOT(ISNUMBER(D157)),N(D157)&lt;=0),"Quantité invalide",IF(J157="","Prix manquant",IF(OR(NOT(ISNUMBER(J157)),N(J157)&lt;0),"Prix invalide",IF(OR(AND(F157&lt;&gt;"",NOT(ISNUMBER(F157))),N(F157)&lt;0,N(F157)&gt;1),"Remise invalide",IF(K157="","Taux de TVA manquant",IF(NOT(ISNUMBER(K157)),"Taux de TVA invalide",IF(COUNTIF(p_rates,K157)=0,"Taux de TVA hors liste (Paramètres)",IF(N(O157)&gt;25,"Au-delà de 25 lignes : non imprimée","OK")))))))))))))</f>
        <v/>
      </c>
      <c r="O157" s="59" t="str">
        <f>IF(A157="","",COUNTIF($A$6:A157,A157))</f>
        <v/>
      </c>
      <c r="P157" s="62" t="str">
        <f>IF(A157="","",A157&amp;"|"&amp;O157)</f>
        <v/>
      </c>
    </row>
    <row r="158">
      <c r="A158" s="60" t="n"/>
      <c r="B158" s="63" t="n"/>
      <c r="C158" s="63" t="n"/>
      <c r="D158" s="67" t="n"/>
      <c r="E158" s="68" t="n"/>
      <c r="F158" s="69" t="n"/>
      <c r="G158" s="70" t="n"/>
      <c r="H158" s="62" t="str">
        <f>IF(COUNTA(A158:G158)=0,"",IF(C158&lt;&gt;"",C158,IF(B158="","",IFERROR(INDEX(pr_des,MATCH(B158,pr_code,0))&amp;"",""))))</f>
        <v/>
      </c>
      <c r="I158" s="59" t="str">
        <f>IF(B158="","",IFERROR(INDEX(pr_unit,MATCH(B158,pr_code,0))&amp;"",""))</f>
        <v/>
      </c>
      <c r="J158" s="65" t="str">
        <f>IF(COUNTA(A158:G158)=0,"",IF(E158&lt;&gt;"",E158,IF(B158="","",IFERROR(IF(INDEX(pr_price,MATCH(B158,pr_code,0))="","",INDEX(pr_price,MATCH(B158,pr_code,0))),""))))</f>
        <v/>
      </c>
      <c r="K158" s="71" t="str">
        <f>IF(COUNTA(A158:G158)=0,"",IF(G158&lt;&gt;"",G158,IF(B158="","",IFERROR(IF(INDEX(pr_rate,MATCH(B158,pr_code,0))="","",INDEX(pr_rate,MATCH(B158,pr_code,0))),""))))</f>
        <v/>
      </c>
      <c r="L158" s="65" t="str">
        <f>IF(COUNTA(A158:G158)=0,"",IF(AND(ISNUMBER(D158),ISNUMBER(J158)),ROUND(D158*J158*(1-N(F158)),2),0))</f>
        <v/>
      </c>
      <c r="M158" s="62" t="str">
        <f>IF(A158="","",IFERROR(INDEX(dv_cname,MATCH(A158,dv_num,0))&amp;"",""))</f>
        <v/>
      </c>
      <c r="N158" s="59" t="str">
        <f>IF(COUNTA(A158:G158)=0,"",IF(A158="","N° devis manquant",IF(ISNA(MATCH(A158,dv_num,0)),"Devis inconnu",IF(AND(B158&lt;&gt;"",ISNA(MATCH(B158,pr_code,0))),"Article inconnu",IF(H158="","Désignation manquante",IF(OR(NOT(ISNUMBER(D158)),N(D158)&lt;=0),"Quantité invalide",IF(J158="","Prix manquant",IF(OR(NOT(ISNUMBER(J158)),N(J158)&lt;0),"Prix invalide",IF(OR(AND(F158&lt;&gt;"",NOT(ISNUMBER(F158))),N(F158)&lt;0,N(F158)&gt;1),"Remise invalide",IF(K158="","Taux de TVA manquant",IF(NOT(ISNUMBER(K158)),"Taux de TVA invalide",IF(COUNTIF(p_rates,K158)=0,"Taux de TVA hors liste (Paramètres)",IF(N(O158)&gt;25,"Au-delà de 25 lignes : non imprimée","OK")))))))))))))</f>
        <v/>
      </c>
      <c r="O158" s="59" t="str">
        <f>IF(A158="","",COUNTIF($A$6:A158,A158))</f>
        <v/>
      </c>
      <c r="P158" s="62" t="str">
        <f>IF(A158="","",A158&amp;"|"&amp;O158)</f>
        <v/>
      </c>
    </row>
    <row r="159">
      <c r="A159" s="60" t="n"/>
      <c r="B159" s="63" t="n"/>
      <c r="C159" s="63" t="n"/>
      <c r="D159" s="67" t="n"/>
      <c r="E159" s="68" t="n"/>
      <c r="F159" s="69" t="n"/>
      <c r="G159" s="70" t="n"/>
      <c r="H159" s="62" t="str">
        <f>IF(COUNTA(A159:G159)=0,"",IF(C159&lt;&gt;"",C159,IF(B159="","",IFERROR(INDEX(pr_des,MATCH(B159,pr_code,0))&amp;"",""))))</f>
        <v/>
      </c>
      <c r="I159" s="59" t="str">
        <f>IF(B159="","",IFERROR(INDEX(pr_unit,MATCH(B159,pr_code,0))&amp;"",""))</f>
        <v/>
      </c>
      <c r="J159" s="65" t="str">
        <f>IF(COUNTA(A159:G159)=0,"",IF(E159&lt;&gt;"",E159,IF(B159="","",IFERROR(IF(INDEX(pr_price,MATCH(B159,pr_code,0))="","",INDEX(pr_price,MATCH(B159,pr_code,0))),""))))</f>
        <v/>
      </c>
      <c r="K159" s="71" t="str">
        <f>IF(COUNTA(A159:G159)=0,"",IF(G159&lt;&gt;"",G159,IF(B159="","",IFERROR(IF(INDEX(pr_rate,MATCH(B159,pr_code,0))="","",INDEX(pr_rate,MATCH(B159,pr_code,0))),""))))</f>
        <v/>
      </c>
      <c r="L159" s="65" t="str">
        <f>IF(COUNTA(A159:G159)=0,"",IF(AND(ISNUMBER(D159),ISNUMBER(J159)),ROUND(D159*J159*(1-N(F159)),2),0))</f>
        <v/>
      </c>
      <c r="M159" s="62" t="str">
        <f>IF(A159="","",IFERROR(INDEX(dv_cname,MATCH(A159,dv_num,0))&amp;"",""))</f>
        <v/>
      </c>
      <c r="N159" s="59" t="str">
        <f>IF(COUNTA(A159:G159)=0,"",IF(A159="","N° devis manquant",IF(ISNA(MATCH(A159,dv_num,0)),"Devis inconnu",IF(AND(B159&lt;&gt;"",ISNA(MATCH(B159,pr_code,0))),"Article inconnu",IF(H159="","Désignation manquante",IF(OR(NOT(ISNUMBER(D159)),N(D159)&lt;=0),"Quantité invalide",IF(J159="","Prix manquant",IF(OR(NOT(ISNUMBER(J159)),N(J159)&lt;0),"Prix invalide",IF(OR(AND(F159&lt;&gt;"",NOT(ISNUMBER(F159))),N(F159)&lt;0,N(F159)&gt;1),"Remise invalide",IF(K159="","Taux de TVA manquant",IF(NOT(ISNUMBER(K159)),"Taux de TVA invalide",IF(COUNTIF(p_rates,K159)=0,"Taux de TVA hors liste (Paramètres)",IF(N(O159)&gt;25,"Au-delà de 25 lignes : non imprimée","OK")))))))))))))</f>
        <v/>
      </c>
      <c r="O159" s="59" t="str">
        <f>IF(A159="","",COUNTIF($A$6:A159,A159))</f>
        <v/>
      </c>
      <c r="P159" s="62" t="str">
        <f>IF(A159="","",A159&amp;"|"&amp;O159)</f>
        <v/>
      </c>
    </row>
    <row r="160">
      <c r="A160" s="60" t="n"/>
      <c r="B160" s="63" t="n"/>
      <c r="C160" s="63" t="n"/>
      <c r="D160" s="67" t="n"/>
      <c r="E160" s="68" t="n"/>
      <c r="F160" s="69" t="n"/>
      <c r="G160" s="70" t="n"/>
      <c r="H160" s="62" t="str">
        <f>IF(COUNTA(A160:G160)=0,"",IF(C160&lt;&gt;"",C160,IF(B160="","",IFERROR(INDEX(pr_des,MATCH(B160,pr_code,0))&amp;"",""))))</f>
        <v/>
      </c>
      <c r="I160" s="59" t="str">
        <f>IF(B160="","",IFERROR(INDEX(pr_unit,MATCH(B160,pr_code,0))&amp;"",""))</f>
        <v/>
      </c>
      <c r="J160" s="65" t="str">
        <f>IF(COUNTA(A160:G160)=0,"",IF(E160&lt;&gt;"",E160,IF(B160="","",IFERROR(IF(INDEX(pr_price,MATCH(B160,pr_code,0))="","",INDEX(pr_price,MATCH(B160,pr_code,0))),""))))</f>
        <v/>
      </c>
      <c r="K160" s="71" t="str">
        <f>IF(COUNTA(A160:G160)=0,"",IF(G160&lt;&gt;"",G160,IF(B160="","",IFERROR(IF(INDEX(pr_rate,MATCH(B160,pr_code,0))="","",INDEX(pr_rate,MATCH(B160,pr_code,0))),""))))</f>
        <v/>
      </c>
      <c r="L160" s="65" t="str">
        <f>IF(COUNTA(A160:G160)=0,"",IF(AND(ISNUMBER(D160),ISNUMBER(J160)),ROUND(D160*J160*(1-N(F160)),2),0))</f>
        <v/>
      </c>
      <c r="M160" s="62" t="str">
        <f>IF(A160="","",IFERROR(INDEX(dv_cname,MATCH(A160,dv_num,0))&amp;"",""))</f>
        <v/>
      </c>
      <c r="N160" s="59" t="str">
        <f>IF(COUNTA(A160:G160)=0,"",IF(A160="","N° devis manquant",IF(ISNA(MATCH(A160,dv_num,0)),"Devis inconnu",IF(AND(B160&lt;&gt;"",ISNA(MATCH(B160,pr_code,0))),"Article inconnu",IF(H160="","Désignation manquante",IF(OR(NOT(ISNUMBER(D160)),N(D160)&lt;=0),"Quantité invalide",IF(J160="","Prix manquant",IF(OR(NOT(ISNUMBER(J160)),N(J160)&lt;0),"Prix invalide",IF(OR(AND(F160&lt;&gt;"",NOT(ISNUMBER(F160))),N(F160)&lt;0,N(F160)&gt;1),"Remise invalide",IF(K160="","Taux de TVA manquant",IF(NOT(ISNUMBER(K160)),"Taux de TVA invalide",IF(COUNTIF(p_rates,K160)=0,"Taux de TVA hors liste (Paramètres)",IF(N(O160)&gt;25,"Au-delà de 25 lignes : non imprimée","OK")))))))))))))</f>
        <v/>
      </c>
      <c r="O160" s="59" t="str">
        <f>IF(A160="","",COUNTIF($A$6:A160,A160))</f>
        <v/>
      </c>
      <c r="P160" s="62" t="str">
        <f>IF(A160="","",A160&amp;"|"&amp;O160)</f>
        <v/>
      </c>
    </row>
    <row r="161">
      <c r="A161" s="60" t="n"/>
      <c r="B161" s="63" t="n"/>
      <c r="C161" s="63" t="n"/>
      <c r="D161" s="67" t="n"/>
      <c r="E161" s="68" t="n"/>
      <c r="F161" s="69" t="n"/>
      <c r="G161" s="70" t="n"/>
      <c r="H161" s="62" t="str">
        <f>IF(COUNTA(A161:G161)=0,"",IF(C161&lt;&gt;"",C161,IF(B161="","",IFERROR(INDEX(pr_des,MATCH(B161,pr_code,0))&amp;"",""))))</f>
        <v/>
      </c>
      <c r="I161" s="59" t="str">
        <f>IF(B161="","",IFERROR(INDEX(pr_unit,MATCH(B161,pr_code,0))&amp;"",""))</f>
        <v/>
      </c>
      <c r="J161" s="65" t="str">
        <f>IF(COUNTA(A161:G161)=0,"",IF(E161&lt;&gt;"",E161,IF(B161="","",IFERROR(IF(INDEX(pr_price,MATCH(B161,pr_code,0))="","",INDEX(pr_price,MATCH(B161,pr_code,0))),""))))</f>
        <v/>
      </c>
      <c r="K161" s="71" t="str">
        <f>IF(COUNTA(A161:G161)=0,"",IF(G161&lt;&gt;"",G161,IF(B161="","",IFERROR(IF(INDEX(pr_rate,MATCH(B161,pr_code,0))="","",INDEX(pr_rate,MATCH(B161,pr_code,0))),""))))</f>
        <v/>
      </c>
      <c r="L161" s="65" t="str">
        <f>IF(COUNTA(A161:G161)=0,"",IF(AND(ISNUMBER(D161),ISNUMBER(J161)),ROUND(D161*J161*(1-N(F161)),2),0))</f>
        <v/>
      </c>
      <c r="M161" s="62" t="str">
        <f>IF(A161="","",IFERROR(INDEX(dv_cname,MATCH(A161,dv_num,0))&amp;"",""))</f>
        <v/>
      </c>
      <c r="N161" s="59" t="str">
        <f>IF(COUNTA(A161:G161)=0,"",IF(A161="","N° devis manquant",IF(ISNA(MATCH(A161,dv_num,0)),"Devis inconnu",IF(AND(B161&lt;&gt;"",ISNA(MATCH(B161,pr_code,0))),"Article inconnu",IF(H161="","Désignation manquante",IF(OR(NOT(ISNUMBER(D161)),N(D161)&lt;=0),"Quantité invalide",IF(J161="","Prix manquant",IF(OR(NOT(ISNUMBER(J161)),N(J161)&lt;0),"Prix invalide",IF(OR(AND(F161&lt;&gt;"",NOT(ISNUMBER(F161))),N(F161)&lt;0,N(F161)&gt;1),"Remise invalide",IF(K161="","Taux de TVA manquant",IF(NOT(ISNUMBER(K161)),"Taux de TVA invalide",IF(COUNTIF(p_rates,K161)=0,"Taux de TVA hors liste (Paramètres)",IF(N(O161)&gt;25,"Au-delà de 25 lignes : non imprimée","OK")))))))))))))</f>
        <v/>
      </c>
      <c r="O161" s="59" t="str">
        <f>IF(A161="","",COUNTIF($A$6:A161,A161))</f>
        <v/>
      </c>
      <c r="P161" s="62" t="str">
        <f>IF(A161="","",A161&amp;"|"&amp;O161)</f>
        <v/>
      </c>
    </row>
    <row r="162">
      <c r="A162" s="60" t="n"/>
      <c r="B162" s="63" t="n"/>
      <c r="C162" s="63" t="n"/>
      <c r="D162" s="67" t="n"/>
      <c r="E162" s="68" t="n"/>
      <c r="F162" s="69" t="n"/>
      <c r="G162" s="70" t="n"/>
      <c r="H162" s="62" t="str">
        <f>IF(COUNTA(A162:G162)=0,"",IF(C162&lt;&gt;"",C162,IF(B162="","",IFERROR(INDEX(pr_des,MATCH(B162,pr_code,0))&amp;"",""))))</f>
        <v/>
      </c>
      <c r="I162" s="59" t="str">
        <f>IF(B162="","",IFERROR(INDEX(pr_unit,MATCH(B162,pr_code,0))&amp;"",""))</f>
        <v/>
      </c>
      <c r="J162" s="65" t="str">
        <f>IF(COUNTA(A162:G162)=0,"",IF(E162&lt;&gt;"",E162,IF(B162="","",IFERROR(IF(INDEX(pr_price,MATCH(B162,pr_code,0))="","",INDEX(pr_price,MATCH(B162,pr_code,0))),""))))</f>
        <v/>
      </c>
      <c r="K162" s="71" t="str">
        <f>IF(COUNTA(A162:G162)=0,"",IF(G162&lt;&gt;"",G162,IF(B162="","",IFERROR(IF(INDEX(pr_rate,MATCH(B162,pr_code,0))="","",INDEX(pr_rate,MATCH(B162,pr_code,0))),""))))</f>
        <v/>
      </c>
      <c r="L162" s="65" t="str">
        <f>IF(COUNTA(A162:G162)=0,"",IF(AND(ISNUMBER(D162),ISNUMBER(J162)),ROUND(D162*J162*(1-N(F162)),2),0))</f>
        <v/>
      </c>
      <c r="M162" s="62" t="str">
        <f>IF(A162="","",IFERROR(INDEX(dv_cname,MATCH(A162,dv_num,0))&amp;"",""))</f>
        <v/>
      </c>
      <c r="N162" s="59" t="str">
        <f>IF(COUNTA(A162:G162)=0,"",IF(A162="","N° devis manquant",IF(ISNA(MATCH(A162,dv_num,0)),"Devis inconnu",IF(AND(B162&lt;&gt;"",ISNA(MATCH(B162,pr_code,0))),"Article inconnu",IF(H162="","Désignation manquante",IF(OR(NOT(ISNUMBER(D162)),N(D162)&lt;=0),"Quantité invalide",IF(J162="","Prix manquant",IF(OR(NOT(ISNUMBER(J162)),N(J162)&lt;0),"Prix invalide",IF(OR(AND(F162&lt;&gt;"",NOT(ISNUMBER(F162))),N(F162)&lt;0,N(F162)&gt;1),"Remise invalide",IF(K162="","Taux de TVA manquant",IF(NOT(ISNUMBER(K162)),"Taux de TVA invalide",IF(COUNTIF(p_rates,K162)=0,"Taux de TVA hors liste (Paramètres)",IF(N(O162)&gt;25,"Au-delà de 25 lignes : non imprimée","OK")))))))))))))</f>
        <v/>
      </c>
      <c r="O162" s="59" t="str">
        <f>IF(A162="","",COUNTIF($A$6:A162,A162))</f>
        <v/>
      </c>
      <c r="P162" s="62" t="str">
        <f>IF(A162="","",A162&amp;"|"&amp;O162)</f>
        <v/>
      </c>
    </row>
    <row r="163">
      <c r="A163" s="60" t="n"/>
      <c r="B163" s="63" t="n"/>
      <c r="C163" s="63" t="n"/>
      <c r="D163" s="67" t="n"/>
      <c r="E163" s="68" t="n"/>
      <c r="F163" s="69" t="n"/>
      <c r="G163" s="70" t="n"/>
      <c r="H163" s="62" t="str">
        <f>IF(COUNTA(A163:G163)=0,"",IF(C163&lt;&gt;"",C163,IF(B163="","",IFERROR(INDEX(pr_des,MATCH(B163,pr_code,0))&amp;"",""))))</f>
        <v/>
      </c>
      <c r="I163" s="59" t="str">
        <f>IF(B163="","",IFERROR(INDEX(pr_unit,MATCH(B163,pr_code,0))&amp;"",""))</f>
        <v/>
      </c>
      <c r="J163" s="65" t="str">
        <f>IF(COUNTA(A163:G163)=0,"",IF(E163&lt;&gt;"",E163,IF(B163="","",IFERROR(IF(INDEX(pr_price,MATCH(B163,pr_code,0))="","",INDEX(pr_price,MATCH(B163,pr_code,0))),""))))</f>
        <v/>
      </c>
      <c r="K163" s="71" t="str">
        <f>IF(COUNTA(A163:G163)=0,"",IF(G163&lt;&gt;"",G163,IF(B163="","",IFERROR(IF(INDEX(pr_rate,MATCH(B163,pr_code,0))="","",INDEX(pr_rate,MATCH(B163,pr_code,0))),""))))</f>
        <v/>
      </c>
      <c r="L163" s="65" t="str">
        <f>IF(COUNTA(A163:G163)=0,"",IF(AND(ISNUMBER(D163),ISNUMBER(J163)),ROUND(D163*J163*(1-N(F163)),2),0))</f>
        <v/>
      </c>
      <c r="M163" s="62" t="str">
        <f>IF(A163="","",IFERROR(INDEX(dv_cname,MATCH(A163,dv_num,0))&amp;"",""))</f>
        <v/>
      </c>
      <c r="N163" s="59" t="str">
        <f>IF(COUNTA(A163:G163)=0,"",IF(A163="","N° devis manquant",IF(ISNA(MATCH(A163,dv_num,0)),"Devis inconnu",IF(AND(B163&lt;&gt;"",ISNA(MATCH(B163,pr_code,0))),"Article inconnu",IF(H163="","Désignation manquante",IF(OR(NOT(ISNUMBER(D163)),N(D163)&lt;=0),"Quantité invalide",IF(J163="","Prix manquant",IF(OR(NOT(ISNUMBER(J163)),N(J163)&lt;0),"Prix invalide",IF(OR(AND(F163&lt;&gt;"",NOT(ISNUMBER(F163))),N(F163)&lt;0,N(F163)&gt;1),"Remise invalide",IF(K163="","Taux de TVA manquant",IF(NOT(ISNUMBER(K163)),"Taux de TVA invalide",IF(COUNTIF(p_rates,K163)=0,"Taux de TVA hors liste (Paramètres)",IF(N(O163)&gt;25,"Au-delà de 25 lignes : non imprimée","OK")))))))))))))</f>
        <v/>
      </c>
      <c r="O163" s="59" t="str">
        <f>IF(A163="","",COUNTIF($A$6:A163,A163))</f>
        <v/>
      </c>
      <c r="P163" s="62" t="str">
        <f>IF(A163="","",A163&amp;"|"&amp;O163)</f>
        <v/>
      </c>
    </row>
    <row r="164">
      <c r="A164" s="60" t="n"/>
      <c r="B164" s="63" t="n"/>
      <c r="C164" s="63" t="n"/>
      <c r="D164" s="67" t="n"/>
      <c r="E164" s="68" t="n"/>
      <c r="F164" s="69" t="n"/>
      <c r="G164" s="70" t="n"/>
      <c r="H164" s="62" t="str">
        <f>IF(COUNTA(A164:G164)=0,"",IF(C164&lt;&gt;"",C164,IF(B164="","",IFERROR(INDEX(pr_des,MATCH(B164,pr_code,0))&amp;"",""))))</f>
        <v/>
      </c>
      <c r="I164" s="59" t="str">
        <f>IF(B164="","",IFERROR(INDEX(pr_unit,MATCH(B164,pr_code,0))&amp;"",""))</f>
        <v/>
      </c>
      <c r="J164" s="65" t="str">
        <f>IF(COUNTA(A164:G164)=0,"",IF(E164&lt;&gt;"",E164,IF(B164="","",IFERROR(IF(INDEX(pr_price,MATCH(B164,pr_code,0))="","",INDEX(pr_price,MATCH(B164,pr_code,0))),""))))</f>
        <v/>
      </c>
      <c r="K164" s="71" t="str">
        <f>IF(COUNTA(A164:G164)=0,"",IF(G164&lt;&gt;"",G164,IF(B164="","",IFERROR(IF(INDEX(pr_rate,MATCH(B164,pr_code,0))="","",INDEX(pr_rate,MATCH(B164,pr_code,0))),""))))</f>
        <v/>
      </c>
      <c r="L164" s="65" t="str">
        <f>IF(COUNTA(A164:G164)=0,"",IF(AND(ISNUMBER(D164),ISNUMBER(J164)),ROUND(D164*J164*(1-N(F164)),2),0))</f>
        <v/>
      </c>
      <c r="M164" s="62" t="str">
        <f>IF(A164="","",IFERROR(INDEX(dv_cname,MATCH(A164,dv_num,0))&amp;"",""))</f>
        <v/>
      </c>
      <c r="N164" s="59" t="str">
        <f>IF(COUNTA(A164:G164)=0,"",IF(A164="","N° devis manquant",IF(ISNA(MATCH(A164,dv_num,0)),"Devis inconnu",IF(AND(B164&lt;&gt;"",ISNA(MATCH(B164,pr_code,0))),"Article inconnu",IF(H164="","Désignation manquante",IF(OR(NOT(ISNUMBER(D164)),N(D164)&lt;=0),"Quantité invalide",IF(J164="","Prix manquant",IF(OR(NOT(ISNUMBER(J164)),N(J164)&lt;0),"Prix invalide",IF(OR(AND(F164&lt;&gt;"",NOT(ISNUMBER(F164))),N(F164)&lt;0,N(F164)&gt;1),"Remise invalide",IF(K164="","Taux de TVA manquant",IF(NOT(ISNUMBER(K164)),"Taux de TVA invalide",IF(COUNTIF(p_rates,K164)=0,"Taux de TVA hors liste (Paramètres)",IF(N(O164)&gt;25,"Au-delà de 25 lignes : non imprimée","OK")))))))))))))</f>
        <v/>
      </c>
      <c r="O164" s="59" t="str">
        <f>IF(A164="","",COUNTIF($A$6:A164,A164))</f>
        <v/>
      </c>
      <c r="P164" s="62" t="str">
        <f>IF(A164="","",A164&amp;"|"&amp;O164)</f>
        <v/>
      </c>
    </row>
    <row r="165">
      <c r="A165" s="60" t="n"/>
      <c r="B165" s="63" t="n"/>
      <c r="C165" s="63" t="n"/>
      <c r="D165" s="67" t="n"/>
      <c r="E165" s="68" t="n"/>
      <c r="F165" s="69" t="n"/>
      <c r="G165" s="70" t="n"/>
      <c r="H165" s="62" t="str">
        <f>IF(COUNTA(A165:G165)=0,"",IF(C165&lt;&gt;"",C165,IF(B165="","",IFERROR(INDEX(pr_des,MATCH(B165,pr_code,0))&amp;"",""))))</f>
        <v/>
      </c>
      <c r="I165" s="59" t="str">
        <f>IF(B165="","",IFERROR(INDEX(pr_unit,MATCH(B165,pr_code,0))&amp;"",""))</f>
        <v/>
      </c>
      <c r="J165" s="65" t="str">
        <f>IF(COUNTA(A165:G165)=0,"",IF(E165&lt;&gt;"",E165,IF(B165="","",IFERROR(IF(INDEX(pr_price,MATCH(B165,pr_code,0))="","",INDEX(pr_price,MATCH(B165,pr_code,0))),""))))</f>
        <v/>
      </c>
      <c r="K165" s="71" t="str">
        <f>IF(COUNTA(A165:G165)=0,"",IF(G165&lt;&gt;"",G165,IF(B165="","",IFERROR(IF(INDEX(pr_rate,MATCH(B165,pr_code,0))="","",INDEX(pr_rate,MATCH(B165,pr_code,0))),""))))</f>
        <v/>
      </c>
      <c r="L165" s="65" t="str">
        <f>IF(COUNTA(A165:G165)=0,"",IF(AND(ISNUMBER(D165),ISNUMBER(J165)),ROUND(D165*J165*(1-N(F165)),2),0))</f>
        <v/>
      </c>
      <c r="M165" s="62" t="str">
        <f>IF(A165="","",IFERROR(INDEX(dv_cname,MATCH(A165,dv_num,0))&amp;"",""))</f>
        <v/>
      </c>
      <c r="N165" s="59" t="str">
        <f>IF(COUNTA(A165:G165)=0,"",IF(A165="","N° devis manquant",IF(ISNA(MATCH(A165,dv_num,0)),"Devis inconnu",IF(AND(B165&lt;&gt;"",ISNA(MATCH(B165,pr_code,0))),"Article inconnu",IF(H165="","Désignation manquante",IF(OR(NOT(ISNUMBER(D165)),N(D165)&lt;=0),"Quantité invalide",IF(J165="","Prix manquant",IF(OR(NOT(ISNUMBER(J165)),N(J165)&lt;0),"Prix invalide",IF(OR(AND(F165&lt;&gt;"",NOT(ISNUMBER(F165))),N(F165)&lt;0,N(F165)&gt;1),"Remise invalide",IF(K165="","Taux de TVA manquant",IF(NOT(ISNUMBER(K165)),"Taux de TVA invalide",IF(COUNTIF(p_rates,K165)=0,"Taux de TVA hors liste (Paramètres)",IF(N(O165)&gt;25,"Au-delà de 25 lignes : non imprimée","OK")))))))))))))</f>
        <v/>
      </c>
      <c r="O165" s="59" t="str">
        <f>IF(A165="","",COUNTIF($A$6:A165,A165))</f>
        <v/>
      </c>
      <c r="P165" s="62" t="str">
        <f>IF(A165="","",A165&amp;"|"&amp;O165)</f>
        <v/>
      </c>
    </row>
    <row r="166">
      <c r="A166" s="60" t="n"/>
      <c r="B166" s="63" t="n"/>
      <c r="C166" s="63" t="n"/>
      <c r="D166" s="67" t="n"/>
      <c r="E166" s="68" t="n"/>
      <c r="F166" s="69" t="n"/>
      <c r="G166" s="70" t="n"/>
      <c r="H166" s="62" t="str">
        <f>IF(COUNTA(A166:G166)=0,"",IF(C166&lt;&gt;"",C166,IF(B166="","",IFERROR(INDEX(pr_des,MATCH(B166,pr_code,0))&amp;"",""))))</f>
        <v/>
      </c>
      <c r="I166" s="59" t="str">
        <f>IF(B166="","",IFERROR(INDEX(pr_unit,MATCH(B166,pr_code,0))&amp;"",""))</f>
        <v/>
      </c>
      <c r="J166" s="65" t="str">
        <f>IF(COUNTA(A166:G166)=0,"",IF(E166&lt;&gt;"",E166,IF(B166="","",IFERROR(IF(INDEX(pr_price,MATCH(B166,pr_code,0))="","",INDEX(pr_price,MATCH(B166,pr_code,0))),""))))</f>
        <v/>
      </c>
      <c r="K166" s="71" t="str">
        <f>IF(COUNTA(A166:G166)=0,"",IF(G166&lt;&gt;"",G166,IF(B166="","",IFERROR(IF(INDEX(pr_rate,MATCH(B166,pr_code,0))="","",INDEX(pr_rate,MATCH(B166,pr_code,0))),""))))</f>
        <v/>
      </c>
      <c r="L166" s="65" t="str">
        <f>IF(COUNTA(A166:G166)=0,"",IF(AND(ISNUMBER(D166),ISNUMBER(J166)),ROUND(D166*J166*(1-N(F166)),2),0))</f>
        <v/>
      </c>
      <c r="M166" s="62" t="str">
        <f>IF(A166="","",IFERROR(INDEX(dv_cname,MATCH(A166,dv_num,0))&amp;"",""))</f>
        <v/>
      </c>
      <c r="N166" s="59" t="str">
        <f>IF(COUNTA(A166:G166)=0,"",IF(A166="","N° devis manquant",IF(ISNA(MATCH(A166,dv_num,0)),"Devis inconnu",IF(AND(B166&lt;&gt;"",ISNA(MATCH(B166,pr_code,0))),"Article inconnu",IF(H166="","Désignation manquante",IF(OR(NOT(ISNUMBER(D166)),N(D166)&lt;=0),"Quantité invalide",IF(J166="","Prix manquant",IF(OR(NOT(ISNUMBER(J166)),N(J166)&lt;0),"Prix invalide",IF(OR(AND(F166&lt;&gt;"",NOT(ISNUMBER(F166))),N(F166)&lt;0,N(F166)&gt;1),"Remise invalide",IF(K166="","Taux de TVA manquant",IF(NOT(ISNUMBER(K166)),"Taux de TVA invalide",IF(COUNTIF(p_rates,K166)=0,"Taux de TVA hors liste (Paramètres)",IF(N(O166)&gt;25,"Au-delà de 25 lignes : non imprimée","OK")))))))))))))</f>
        <v/>
      </c>
      <c r="O166" s="59" t="str">
        <f>IF(A166="","",COUNTIF($A$6:A166,A166))</f>
        <v/>
      </c>
      <c r="P166" s="62" t="str">
        <f>IF(A166="","",A166&amp;"|"&amp;O166)</f>
        <v/>
      </c>
    </row>
    <row r="167">
      <c r="A167" s="60" t="n"/>
      <c r="B167" s="63" t="n"/>
      <c r="C167" s="63" t="n"/>
      <c r="D167" s="67" t="n"/>
      <c r="E167" s="68" t="n"/>
      <c r="F167" s="69" t="n"/>
      <c r="G167" s="70" t="n"/>
      <c r="H167" s="62" t="str">
        <f>IF(COUNTA(A167:G167)=0,"",IF(C167&lt;&gt;"",C167,IF(B167="","",IFERROR(INDEX(pr_des,MATCH(B167,pr_code,0))&amp;"",""))))</f>
        <v/>
      </c>
      <c r="I167" s="59" t="str">
        <f>IF(B167="","",IFERROR(INDEX(pr_unit,MATCH(B167,pr_code,0))&amp;"",""))</f>
        <v/>
      </c>
      <c r="J167" s="65" t="str">
        <f>IF(COUNTA(A167:G167)=0,"",IF(E167&lt;&gt;"",E167,IF(B167="","",IFERROR(IF(INDEX(pr_price,MATCH(B167,pr_code,0))="","",INDEX(pr_price,MATCH(B167,pr_code,0))),""))))</f>
        <v/>
      </c>
      <c r="K167" s="71" t="str">
        <f>IF(COUNTA(A167:G167)=0,"",IF(G167&lt;&gt;"",G167,IF(B167="","",IFERROR(IF(INDEX(pr_rate,MATCH(B167,pr_code,0))="","",INDEX(pr_rate,MATCH(B167,pr_code,0))),""))))</f>
        <v/>
      </c>
      <c r="L167" s="65" t="str">
        <f>IF(COUNTA(A167:G167)=0,"",IF(AND(ISNUMBER(D167),ISNUMBER(J167)),ROUND(D167*J167*(1-N(F167)),2),0))</f>
        <v/>
      </c>
      <c r="M167" s="62" t="str">
        <f>IF(A167="","",IFERROR(INDEX(dv_cname,MATCH(A167,dv_num,0))&amp;"",""))</f>
        <v/>
      </c>
      <c r="N167" s="59" t="str">
        <f>IF(COUNTA(A167:G167)=0,"",IF(A167="","N° devis manquant",IF(ISNA(MATCH(A167,dv_num,0)),"Devis inconnu",IF(AND(B167&lt;&gt;"",ISNA(MATCH(B167,pr_code,0))),"Article inconnu",IF(H167="","Désignation manquante",IF(OR(NOT(ISNUMBER(D167)),N(D167)&lt;=0),"Quantité invalide",IF(J167="","Prix manquant",IF(OR(NOT(ISNUMBER(J167)),N(J167)&lt;0),"Prix invalide",IF(OR(AND(F167&lt;&gt;"",NOT(ISNUMBER(F167))),N(F167)&lt;0,N(F167)&gt;1),"Remise invalide",IF(K167="","Taux de TVA manquant",IF(NOT(ISNUMBER(K167)),"Taux de TVA invalide",IF(COUNTIF(p_rates,K167)=0,"Taux de TVA hors liste (Paramètres)",IF(N(O167)&gt;25,"Au-delà de 25 lignes : non imprimée","OK")))))))))))))</f>
        <v/>
      </c>
      <c r="O167" s="59" t="str">
        <f>IF(A167="","",COUNTIF($A$6:A167,A167))</f>
        <v/>
      </c>
      <c r="P167" s="62" t="str">
        <f>IF(A167="","",A167&amp;"|"&amp;O167)</f>
        <v/>
      </c>
    </row>
    <row r="168">
      <c r="A168" s="60" t="n"/>
      <c r="B168" s="63" t="n"/>
      <c r="C168" s="63" t="n"/>
      <c r="D168" s="67" t="n"/>
      <c r="E168" s="68" t="n"/>
      <c r="F168" s="69" t="n"/>
      <c r="G168" s="70" t="n"/>
      <c r="H168" s="62" t="str">
        <f>IF(COUNTA(A168:G168)=0,"",IF(C168&lt;&gt;"",C168,IF(B168="","",IFERROR(INDEX(pr_des,MATCH(B168,pr_code,0))&amp;"",""))))</f>
        <v/>
      </c>
      <c r="I168" s="59" t="str">
        <f>IF(B168="","",IFERROR(INDEX(pr_unit,MATCH(B168,pr_code,0))&amp;"",""))</f>
        <v/>
      </c>
      <c r="J168" s="65" t="str">
        <f>IF(COUNTA(A168:G168)=0,"",IF(E168&lt;&gt;"",E168,IF(B168="","",IFERROR(IF(INDEX(pr_price,MATCH(B168,pr_code,0))="","",INDEX(pr_price,MATCH(B168,pr_code,0))),""))))</f>
        <v/>
      </c>
      <c r="K168" s="71" t="str">
        <f>IF(COUNTA(A168:G168)=0,"",IF(G168&lt;&gt;"",G168,IF(B168="","",IFERROR(IF(INDEX(pr_rate,MATCH(B168,pr_code,0))="","",INDEX(pr_rate,MATCH(B168,pr_code,0))),""))))</f>
        <v/>
      </c>
      <c r="L168" s="65" t="str">
        <f>IF(COUNTA(A168:G168)=0,"",IF(AND(ISNUMBER(D168),ISNUMBER(J168)),ROUND(D168*J168*(1-N(F168)),2),0))</f>
        <v/>
      </c>
      <c r="M168" s="62" t="str">
        <f>IF(A168="","",IFERROR(INDEX(dv_cname,MATCH(A168,dv_num,0))&amp;"",""))</f>
        <v/>
      </c>
      <c r="N168" s="59" t="str">
        <f>IF(COUNTA(A168:G168)=0,"",IF(A168="","N° devis manquant",IF(ISNA(MATCH(A168,dv_num,0)),"Devis inconnu",IF(AND(B168&lt;&gt;"",ISNA(MATCH(B168,pr_code,0))),"Article inconnu",IF(H168="","Désignation manquante",IF(OR(NOT(ISNUMBER(D168)),N(D168)&lt;=0),"Quantité invalide",IF(J168="","Prix manquant",IF(OR(NOT(ISNUMBER(J168)),N(J168)&lt;0),"Prix invalide",IF(OR(AND(F168&lt;&gt;"",NOT(ISNUMBER(F168))),N(F168)&lt;0,N(F168)&gt;1),"Remise invalide",IF(K168="","Taux de TVA manquant",IF(NOT(ISNUMBER(K168)),"Taux de TVA invalide",IF(COUNTIF(p_rates,K168)=0,"Taux de TVA hors liste (Paramètres)",IF(N(O168)&gt;25,"Au-delà de 25 lignes : non imprimée","OK")))))))))))))</f>
        <v/>
      </c>
      <c r="O168" s="59" t="str">
        <f>IF(A168="","",COUNTIF($A$6:A168,A168))</f>
        <v/>
      </c>
      <c r="P168" s="62" t="str">
        <f>IF(A168="","",A168&amp;"|"&amp;O168)</f>
        <v/>
      </c>
    </row>
    <row r="169">
      <c r="A169" s="60" t="n"/>
      <c r="B169" s="63" t="n"/>
      <c r="C169" s="63" t="n"/>
      <c r="D169" s="67" t="n"/>
      <c r="E169" s="68" t="n"/>
      <c r="F169" s="69" t="n"/>
      <c r="G169" s="70" t="n"/>
      <c r="H169" s="62" t="str">
        <f>IF(COUNTA(A169:G169)=0,"",IF(C169&lt;&gt;"",C169,IF(B169="","",IFERROR(INDEX(pr_des,MATCH(B169,pr_code,0))&amp;"",""))))</f>
        <v/>
      </c>
      <c r="I169" s="59" t="str">
        <f>IF(B169="","",IFERROR(INDEX(pr_unit,MATCH(B169,pr_code,0))&amp;"",""))</f>
        <v/>
      </c>
      <c r="J169" s="65" t="str">
        <f>IF(COUNTA(A169:G169)=0,"",IF(E169&lt;&gt;"",E169,IF(B169="","",IFERROR(IF(INDEX(pr_price,MATCH(B169,pr_code,0))="","",INDEX(pr_price,MATCH(B169,pr_code,0))),""))))</f>
        <v/>
      </c>
      <c r="K169" s="71" t="str">
        <f>IF(COUNTA(A169:G169)=0,"",IF(G169&lt;&gt;"",G169,IF(B169="","",IFERROR(IF(INDEX(pr_rate,MATCH(B169,pr_code,0))="","",INDEX(pr_rate,MATCH(B169,pr_code,0))),""))))</f>
        <v/>
      </c>
      <c r="L169" s="65" t="str">
        <f>IF(COUNTA(A169:G169)=0,"",IF(AND(ISNUMBER(D169),ISNUMBER(J169)),ROUND(D169*J169*(1-N(F169)),2),0))</f>
        <v/>
      </c>
      <c r="M169" s="62" t="str">
        <f>IF(A169="","",IFERROR(INDEX(dv_cname,MATCH(A169,dv_num,0))&amp;"",""))</f>
        <v/>
      </c>
      <c r="N169" s="59" t="str">
        <f>IF(COUNTA(A169:G169)=0,"",IF(A169="","N° devis manquant",IF(ISNA(MATCH(A169,dv_num,0)),"Devis inconnu",IF(AND(B169&lt;&gt;"",ISNA(MATCH(B169,pr_code,0))),"Article inconnu",IF(H169="","Désignation manquante",IF(OR(NOT(ISNUMBER(D169)),N(D169)&lt;=0),"Quantité invalide",IF(J169="","Prix manquant",IF(OR(NOT(ISNUMBER(J169)),N(J169)&lt;0),"Prix invalide",IF(OR(AND(F169&lt;&gt;"",NOT(ISNUMBER(F169))),N(F169)&lt;0,N(F169)&gt;1),"Remise invalide",IF(K169="","Taux de TVA manquant",IF(NOT(ISNUMBER(K169)),"Taux de TVA invalide",IF(COUNTIF(p_rates,K169)=0,"Taux de TVA hors liste (Paramètres)",IF(N(O169)&gt;25,"Au-delà de 25 lignes : non imprimée","OK")))))))))))))</f>
        <v/>
      </c>
      <c r="O169" s="59" t="str">
        <f>IF(A169="","",COUNTIF($A$6:A169,A169))</f>
        <v/>
      </c>
      <c r="P169" s="62" t="str">
        <f>IF(A169="","",A169&amp;"|"&amp;O169)</f>
        <v/>
      </c>
    </row>
    <row r="170">
      <c r="A170" s="60" t="n"/>
      <c r="B170" s="63" t="n"/>
      <c r="C170" s="63" t="n"/>
      <c r="D170" s="67" t="n"/>
      <c r="E170" s="68" t="n"/>
      <c r="F170" s="69" t="n"/>
      <c r="G170" s="70" t="n"/>
      <c r="H170" s="62" t="str">
        <f>IF(COUNTA(A170:G170)=0,"",IF(C170&lt;&gt;"",C170,IF(B170="","",IFERROR(INDEX(pr_des,MATCH(B170,pr_code,0))&amp;"",""))))</f>
        <v/>
      </c>
      <c r="I170" s="59" t="str">
        <f>IF(B170="","",IFERROR(INDEX(pr_unit,MATCH(B170,pr_code,0))&amp;"",""))</f>
        <v/>
      </c>
      <c r="J170" s="65" t="str">
        <f>IF(COUNTA(A170:G170)=0,"",IF(E170&lt;&gt;"",E170,IF(B170="","",IFERROR(IF(INDEX(pr_price,MATCH(B170,pr_code,0))="","",INDEX(pr_price,MATCH(B170,pr_code,0))),""))))</f>
        <v/>
      </c>
      <c r="K170" s="71" t="str">
        <f>IF(COUNTA(A170:G170)=0,"",IF(G170&lt;&gt;"",G170,IF(B170="","",IFERROR(IF(INDEX(pr_rate,MATCH(B170,pr_code,0))="","",INDEX(pr_rate,MATCH(B170,pr_code,0))),""))))</f>
        <v/>
      </c>
      <c r="L170" s="65" t="str">
        <f>IF(COUNTA(A170:G170)=0,"",IF(AND(ISNUMBER(D170),ISNUMBER(J170)),ROUND(D170*J170*(1-N(F170)),2),0))</f>
        <v/>
      </c>
      <c r="M170" s="62" t="str">
        <f>IF(A170="","",IFERROR(INDEX(dv_cname,MATCH(A170,dv_num,0))&amp;"",""))</f>
        <v/>
      </c>
      <c r="N170" s="59" t="str">
        <f>IF(COUNTA(A170:G170)=0,"",IF(A170="","N° devis manquant",IF(ISNA(MATCH(A170,dv_num,0)),"Devis inconnu",IF(AND(B170&lt;&gt;"",ISNA(MATCH(B170,pr_code,0))),"Article inconnu",IF(H170="","Désignation manquante",IF(OR(NOT(ISNUMBER(D170)),N(D170)&lt;=0),"Quantité invalide",IF(J170="","Prix manquant",IF(OR(NOT(ISNUMBER(J170)),N(J170)&lt;0),"Prix invalide",IF(OR(AND(F170&lt;&gt;"",NOT(ISNUMBER(F170))),N(F170)&lt;0,N(F170)&gt;1),"Remise invalide",IF(K170="","Taux de TVA manquant",IF(NOT(ISNUMBER(K170)),"Taux de TVA invalide",IF(COUNTIF(p_rates,K170)=0,"Taux de TVA hors liste (Paramètres)",IF(N(O170)&gt;25,"Au-delà de 25 lignes : non imprimée","OK")))))))))))))</f>
        <v/>
      </c>
      <c r="O170" s="59" t="str">
        <f>IF(A170="","",COUNTIF($A$6:A170,A170))</f>
        <v/>
      </c>
      <c r="P170" s="62" t="str">
        <f>IF(A170="","",A170&amp;"|"&amp;O170)</f>
        <v/>
      </c>
    </row>
    <row r="171">
      <c r="A171" s="60" t="n"/>
      <c r="B171" s="63" t="n"/>
      <c r="C171" s="63" t="n"/>
      <c r="D171" s="67" t="n"/>
      <c r="E171" s="68" t="n"/>
      <c r="F171" s="69" t="n"/>
      <c r="G171" s="70" t="n"/>
      <c r="H171" s="62" t="str">
        <f>IF(COUNTA(A171:G171)=0,"",IF(C171&lt;&gt;"",C171,IF(B171="","",IFERROR(INDEX(pr_des,MATCH(B171,pr_code,0))&amp;"",""))))</f>
        <v/>
      </c>
      <c r="I171" s="59" t="str">
        <f>IF(B171="","",IFERROR(INDEX(pr_unit,MATCH(B171,pr_code,0))&amp;"",""))</f>
        <v/>
      </c>
      <c r="J171" s="65" t="str">
        <f>IF(COUNTA(A171:G171)=0,"",IF(E171&lt;&gt;"",E171,IF(B171="","",IFERROR(IF(INDEX(pr_price,MATCH(B171,pr_code,0))="","",INDEX(pr_price,MATCH(B171,pr_code,0))),""))))</f>
        <v/>
      </c>
      <c r="K171" s="71" t="str">
        <f>IF(COUNTA(A171:G171)=0,"",IF(G171&lt;&gt;"",G171,IF(B171="","",IFERROR(IF(INDEX(pr_rate,MATCH(B171,pr_code,0))="","",INDEX(pr_rate,MATCH(B171,pr_code,0))),""))))</f>
        <v/>
      </c>
      <c r="L171" s="65" t="str">
        <f>IF(COUNTA(A171:G171)=0,"",IF(AND(ISNUMBER(D171),ISNUMBER(J171)),ROUND(D171*J171*(1-N(F171)),2),0))</f>
        <v/>
      </c>
      <c r="M171" s="62" t="str">
        <f>IF(A171="","",IFERROR(INDEX(dv_cname,MATCH(A171,dv_num,0))&amp;"",""))</f>
        <v/>
      </c>
      <c r="N171" s="59" t="str">
        <f>IF(COUNTA(A171:G171)=0,"",IF(A171="","N° devis manquant",IF(ISNA(MATCH(A171,dv_num,0)),"Devis inconnu",IF(AND(B171&lt;&gt;"",ISNA(MATCH(B171,pr_code,0))),"Article inconnu",IF(H171="","Désignation manquante",IF(OR(NOT(ISNUMBER(D171)),N(D171)&lt;=0),"Quantité invalide",IF(J171="","Prix manquant",IF(OR(NOT(ISNUMBER(J171)),N(J171)&lt;0),"Prix invalide",IF(OR(AND(F171&lt;&gt;"",NOT(ISNUMBER(F171))),N(F171)&lt;0,N(F171)&gt;1),"Remise invalide",IF(K171="","Taux de TVA manquant",IF(NOT(ISNUMBER(K171)),"Taux de TVA invalide",IF(COUNTIF(p_rates,K171)=0,"Taux de TVA hors liste (Paramètres)",IF(N(O171)&gt;25,"Au-delà de 25 lignes : non imprimée","OK")))))))))))))</f>
        <v/>
      </c>
      <c r="O171" s="59" t="str">
        <f>IF(A171="","",COUNTIF($A$6:A171,A171))</f>
        <v/>
      </c>
      <c r="P171" s="62" t="str">
        <f>IF(A171="","",A171&amp;"|"&amp;O171)</f>
        <v/>
      </c>
    </row>
    <row r="172">
      <c r="A172" s="60" t="n"/>
      <c r="B172" s="63" t="n"/>
      <c r="C172" s="63" t="n"/>
      <c r="D172" s="67" t="n"/>
      <c r="E172" s="68" t="n"/>
      <c r="F172" s="69" t="n"/>
      <c r="G172" s="70" t="n"/>
      <c r="H172" s="62" t="str">
        <f>IF(COUNTA(A172:G172)=0,"",IF(C172&lt;&gt;"",C172,IF(B172="","",IFERROR(INDEX(pr_des,MATCH(B172,pr_code,0))&amp;"",""))))</f>
        <v/>
      </c>
      <c r="I172" s="59" t="str">
        <f>IF(B172="","",IFERROR(INDEX(pr_unit,MATCH(B172,pr_code,0))&amp;"",""))</f>
        <v/>
      </c>
      <c r="J172" s="65" t="str">
        <f>IF(COUNTA(A172:G172)=0,"",IF(E172&lt;&gt;"",E172,IF(B172="","",IFERROR(IF(INDEX(pr_price,MATCH(B172,pr_code,0))="","",INDEX(pr_price,MATCH(B172,pr_code,0))),""))))</f>
        <v/>
      </c>
      <c r="K172" s="71" t="str">
        <f>IF(COUNTA(A172:G172)=0,"",IF(G172&lt;&gt;"",G172,IF(B172="","",IFERROR(IF(INDEX(pr_rate,MATCH(B172,pr_code,0))="","",INDEX(pr_rate,MATCH(B172,pr_code,0))),""))))</f>
        <v/>
      </c>
      <c r="L172" s="65" t="str">
        <f>IF(COUNTA(A172:G172)=0,"",IF(AND(ISNUMBER(D172),ISNUMBER(J172)),ROUND(D172*J172*(1-N(F172)),2),0))</f>
        <v/>
      </c>
      <c r="M172" s="62" t="str">
        <f>IF(A172="","",IFERROR(INDEX(dv_cname,MATCH(A172,dv_num,0))&amp;"",""))</f>
        <v/>
      </c>
      <c r="N172" s="59" t="str">
        <f>IF(COUNTA(A172:G172)=0,"",IF(A172="","N° devis manquant",IF(ISNA(MATCH(A172,dv_num,0)),"Devis inconnu",IF(AND(B172&lt;&gt;"",ISNA(MATCH(B172,pr_code,0))),"Article inconnu",IF(H172="","Désignation manquante",IF(OR(NOT(ISNUMBER(D172)),N(D172)&lt;=0),"Quantité invalide",IF(J172="","Prix manquant",IF(OR(NOT(ISNUMBER(J172)),N(J172)&lt;0),"Prix invalide",IF(OR(AND(F172&lt;&gt;"",NOT(ISNUMBER(F172))),N(F172)&lt;0,N(F172)&gt;1),"Remise invalide",IF(K172="","Taux de TVA manquant",IF(NOT(ISNUMBER(K172)),"Taux de TVA invalide",IF(COUNTIF(p_rates,K172)=0,"Taux de TVA hors liste (Paramètres)",IF(N(O172)&gt;25,"Au-delà de 25 lignes : non imprimée","OK")))))))))))))</f>
        <v/>
      </c>
      <c r="O172" s="59" t="str">
        <f>IF(A172="","",COUNTIF($A$6:A172,A172))</f>
        <v/>
      </c>
      <c r="P172" s="62" t="str">
        <f>IF(A172="","",A172&amp;"|"&amp;O172)</f>
        <v/>
      </c>
    </row>
    <row r="173">
      <c r="A173" s="60" t="n"/>
      <c r="B173" s="63" t="n"/>
      <c r="C173" s="63" t="n"/>
      <c r="D173" s="67" t="n"/>
      <c r="E173" s="68" t="n"/>
      <c r="F173" s="69" t="n"/>
      <c r="G173" s="70" t="n"/>
      <c r="H173" s="62" t="str">
        <f>IF(COUNTA(A173:G173)=0,"",IF(C173&lt;&gt;"",C173,IF(B173="","",IFERROR(INDEX(pr_des,MATCH(B173,pr_code,0))&amp;"",""))))</f>
        <v/>
      </c>
      <c r="I173" s="59" t="str">
        <f>IF(B173="","",IFERROR(INDEX(pr_unit,MATCH(B173,pr_code,0))&amp;"",""))</f>
        <v/>
      </c>
      <c r="J173" s="65" t="str">
        <f>IF(COUNTA(A173:G173)=0,"",IF(E173&lt;&gt;"",E173,IF(B173="","",IFERROR(IF(INDEX(pr_price,MATCH(B173,pr_code,0))="","",INDEX(pr_price,MATCH(B173,pr_code,0))),""))))</f>
        <v/>
      </c>
      <c r="K173" s="71" t="str">
        <f>IF(COUNTA(A173:G173)=0,"",IF(G173&lt;&gt;"",G173,IF(B173="","",IFERROR(IF(INDEX(pr_rate,MATCH(B173,pr_code,0))="","",INDEX(pr_rate,MATCH(B173,pr_code,0))),""))))</f>
        <v/>
      </c>
      <c r="L173" s="65" t="str">
        <f>IF(COUNTA(A173:G173)=0,"",IF(AND(ISNUMBER(D173),ISNUMBER(J173)),ROUND(D173*J173*(1-N(F173)),2),0))</f>
        <v/>
      </c>
      <c r="M173" s="62" t="str">
        <f>IF(A173="","",IFERROR(INDEX(dv_cname,MATCH(A173,dv_num,0))&amp;"",""))</f>
        <v/>
      </c>
      <c r="N173" s="59" t="str">
        <f>IF(COUNTA(A173:G173)=0,"",IF(A173="","N° devis manquant",IF(ISNA(MATCH(A173,dv_num,0)),"Devis inconnu",IF(AND(B173&lt;&gt;"",ISNA(MATCH(B173,pr_code,0))),"Article inconnu",IF(H173="","Désignation manquante",IF(OR(NOT(ISNUMBER(D173)),N(D173)&lt;=0),"Quantité invalide",IF(J173="","Prix manquant",IF(OR(NOT(ISNUMBER(J173)),N(J173)&lt;0),"Prix invalide",IF(OR(AND(F173&lt;&gt;"",NOT(ISNUMBER(F173))),N(F173)&lt;0,N(F173)&gt;1),"Remise invalide",IF(K173="","Taux de TVA manquant",IF(NOT(ISNUMBER(K173)),"Taux de TVA invalide",IF(COUNTIF(p_rates,K173)=0,"Taux de TVA hors liste (Paramètres)",IF(N(O173)&gt;25,"Au-delà de 25 lignes : non imprimée","OK")))))))))))))</f>
        <v/>
      </c>
      <c r="O173" s="59" t="str">
        <f>IF(A173="","",COUNTIF($A$6:A173,A173))</f>
        <v/>
      </c>
      <c r="P173" s="62" t="str">
        <f>IF(A173="","",A173&amp;"|"&amp;O173)</f>
        <v/>
      </c>
    </row>
    <row r="174">
      <c r="A174" s="60" t="n"/>
      <c r="B174" s="63" t="n"/>
      <c r="C174" s="63" t="n"/>
      <c r="D174" s="67" t="n"/>
      <c r="E174" s="68" t="n"/>
      <c r="F174" s="69" t="n"/>
      <c r="G174" s="70" t="n"/>
      <c r="H174" s="62" t="str">
        <f>IF(COUNTA(A174:G174)=0,"",IF(C174&lt;&gt;"",C174,IF(B174="","",IFERROR(INDEX(pr_des,MATCH(B174,pr_code,0))&amp;"",""))))</f>
        <v/>
      </c>
      <c r="I174" s="59" t="str">
        <f>IF(B174="","",IFERROR(INDEX(pr_unit,MATCH(B174,pr_code,0))&amp;"",""))</f>
        <v/>
      </c>
      <c r="J174" s="65" t="str">
        <f>IF(COUNTA(A174:G174)=0,"",IF(E174&lt;&gt;"",E174,IF(B174="","",IFERROR(IF(INDEX(pr_price,MATCH(B174,pr_code,0))="","",INDEX(pr_price,MATCH(B174,pr_code,0))),""))))</f>
        <v/>
      </c>
      <c r="K174" s="71" t="str">
        <f>IF(COUNTA(A174:G174)=0,"",IF(G174&lt;&gt;"",G174,IF(B174="","",IFERROR(IF(INDEX(pr_rate,MATCH(B174,pr_code,0))="","",INDEX(pr_rate,MATCH(B174,pr_code,0))),""))))</f>
        <v/>
      </c>
      <c r="L174" s="65" t="str">
        <f>IF(COUNTA(A174:G174)=0,"",IF(AND(ISNUMBER(D174),ISNUMBER(J174)),ROUND(D174*J174*(1-N(F174)),2),0))</f>
        <v/>
      </c>
      <c r="M174" s="62" t="str">
        <f>IF(A174="","",IFERROR(INDEX(dv_cname,MATCH(A174,dv_num,0))&amp;"",""))</f>
        <v/>
      </c>
      <c r="N174" s="59" t="str">
        <f>IF(COUNTA(A174:G174)=0,"",IF(A174="","N° devis manquant",IF(ISNA(MATCH(A174,dv_num,0)),"Devis inconnu",IF(AND(B174&lt;&gt;"",ISNA(MATCH(B174,pr_code,0))),"Article inconnu",IF(H174="","Désignation manquante",IF(OR(NOT(ISNUMBER(D174)),N(D174)&lt;=0),"Quantité invalide",IF(J174="","Prix manquant",IF(OR(NOT(ISNUMBER(J174)),N(J174)&lt;0),"Prix invalide",IF(OR(AND(F174&lt;&gt;"",NOT(ISNUMBER(F174))),N(F174)&lt;0,N(F174)&gt;1),"Remise invalide",IF(K174="","Taux de TVA manquant",IF(NOT(ISNUMBER(K174)),"Taux de TVA invalide",IF(COUNTIF(p_rates,K174)=0,"Taux de TVA hors liste (Paramètres)",IF(N(O174)&gt;25,"Au-delà de 25 lignes : non imprimée","OK")))))))))))))</f>
        <v/>
      </c>
      <c r="O174" s="59" t="str">
        <f>IF(A174="","",COUNTIF($A$6:A174,A174))</f>
        <v/>
      </c>
      <c r="P174" s="62" t="str">
        <f>IF(A174="","",A174&amp;"|"&amp;O174)</f>
        <v/>
      </c>
    </row>
    <row r="175">
      <c r="A175" s="60" t="n"/>
      <c r="B175" s="63" t="n"/>
      <c r="C175" s="63" t="n"/>
      <c r="D175" s="67" t="n"/>
      <c r="E175" s="68" t="n"/>
      <c r="F175" s="69" t="n"/>
      <c r="G175" s="70" t="n"/>
      <c r="H175" s="62" t="str">
        <f>IF(COUNTA(A175:G175)=0,"",IF(C175&lt;&gt;"",C175,IF(B175="","",IFERROR(INDEX(pr_des,MATCH(B175,pr_code,0))&amp;"",""))))</f>
        <v/>
      </c>
      <c r="I175" s="59" t="str">
        <f>IF(B175="","",IFERROR(INDEX(pr_unit,MATCH(B175,pr_code,0))&amp;"",""))</f>
        <v/>
      </c>
      <c r="J175" s="65" t="str">
        <f>IF(COUNTA(A175:G175)=0,"",IF(E175&lt;&gt;"",E175,IF(B175="","",IFERROR(IF(INDEX(pr_price,MATCH(B175,pr_code,0))="","",INDEX(pr_price,MATCH(B175,pr_code,0))),""))))</f>
        <v/>
      </c>
      <c r="K175" s="71" t="str">
        <f>IF(COUNTA(A175:G175)=0,"",IF(G175&lt;&gt;"",G175,IF(B175="","",IFERROR(IF(INDEX(pr_rate,MATCH(B175,pr_code,0))="","",INDEX(pr_rate,MATCH(B175,pr_code,0))),""))))</f>
        <v/>
      </c>
      <c r="L175" s="65" t="str">
        <f>IF(COUNTA(A175:G175)=0,"",IF(AND(ISNUMBER(D175),ISNUMBER(J175)),ROUND(D175*J175*(1-N(F175)),2),0))</f>
        <v/>
      </c>
      <c r="M175" s="62" t="str">
        <f>IF(A175="","",IFERROR(INDEX(dv_cname,MATCH(A175,dv_num,0))&amp;"",""))</f>
        <v/>
      </c>
      <c r="N175" s="59" t="str">
        <f>IF(COUNTA(A175:G175)=0,"",IF(A175="","N° devis manquant",IF(ISNA(MATCH(A175,dv_num,0)),"Devis inconnu",IF(AND(B175&lt;&gt;"",ISNA(MATCH(B175,pr_code,0))),"Article inconnu",IF(H175="","Désignation manquante",IF(OR(NOT(ISNUMBER(D175)),N(D175)&lt;=0),"Quantité invalide",IF(J175="","Prix manquant",IF(OR(NOT(ISNUMBER(J175)),N(J175)&lt;0),"Prix invalide",IF(OR(AND(F175&lt;&gt;"",NOT(ISNUMBER(F175))),N(F175)&lt;0,N(F175)&gt;1),"Remise invalide",IF(K175="","Taux de TVA manquant",IF(NOT(ISNUMBER(K175)),"Taux de TVA invalide",IF(COUNTIF(p_rates,K175)=0,"Taux de TVA hors liste (Paramètres)",IF(N(O175)&gt;25,"Au-delà de 25 lignes : non imprimée","OK")))))))))))))</f>
        <v/>
      </c>
      <c r="O175" s="59" t="str">
        <f>IF(A175="","",COUNTIF($A$6:A175,A175))</f>
        <v/>
      </c>
      <c r="P175" s="62" t="str">
        <f>IF(A175="","",A175&amp;"|"&amp;O175)</f>
        <v/>
      </c>
    </row>
    <row r="176">
      <c r="A176" s="60" t="n"/>
      <c r="B176" s="63" t="n"/>
      <c r="C176" s="63" t="n"/>
      <c r="D176" s="67" t="n"/>
      <c r="E176" s="68" t="n"/>
      <c r="F176" s="69" t="n"/>
      <c r="G176" s="70" t="n"/>
      <c r="H176" s="62" t="str">
        <f>IF(COUNTA(A176:G176)=0,"",IF(C176&lt;&gt;"",C176,IF(B176="","",IFERROR(INDEX(pr_des,MATCH(B176,pr_code,0))&amp;"",""))))</f>
        <v/>
      </c>
      <c r="I176" s="59" t="str">
        <f>IF(B176="","",IFERROR(INDEX(pr_unit,MATCH(B176,pr_code,0))&amp;"",""))</f>
        <v/>
      </c>
      <c r="J176" s="65" t="str">
        <f>IF(COUNTA(A176:G176)=0,"",IF(E176&lt;&gt;"",E176,IF(B176="","",IFERROR(IF(INDEX(pr_price,MATCH(B176,pr_code,0))="","",INDEX(pr_price,MATCH(B176,pr_code,0))),""))))</f>
        <v/>
      </c>
      <c r="K176" s="71" t="str">
        <f>IF(COUNTA(A176:G176)=0,"",IF(G176&lt;&gt;"",G176,IF(B176="","",IFERROR(IF(INDEX(pr_rate,MATCH(B176,pr_code,0))="","",INDEX(pr_rate,MATCH(B176,pr_code,0))),""))))</f>
        <v/>
      </c>
      <c r="L176" s="65" t="str">
        <f>IF(COUNTA(A176:G176)=0,"",IF(AND(ISNUMBER(D176),ISNUMBER(J176)),ROUND(D176*J176*(1-N(F176)),2),0))</f>
        <v/>
      </c>
      <c r="M176" s="62" t="str">
        <f>IF(A176="","",IFERROR(INDEX(dv_cname,MATCH(A176,dv_num,0))&amp;"",""))</f>
        <v/>
      </c>
      <c r="N176" s="59" t="str">
        <f>IF(COUNTA(A176:G176)=0,"",IF(A176="","N° devis manquant",IF(ISNA(MATCH(A176,dv_num,0)),"Devis inconnu",IF(AND(B176&lt;&gt;"",ISNA(MATCH(B176,pr_code,0))),"Article inconnu",IF(H176="","Désignation manquante",IF(OR(NOT(ISNUMBER(D176)),N(D176)&lt;=0),"Quantité invalide",IF(J176="","Prix manquant",IF(OR(NOT(ISNUMBER(J176)),N(J176)&lt;0),"Prix invalide",IF(OR(AND(F176&lt;&gt;"",NOT(ISNUMBER(F176))),N(F176)&lt;0,N(F176)&gt;1),"Remise invalide",IF(K176="","Taux de TVA manquant",IF(NOT(ISNUMBER(K176)),"Taux de TVA invalide",IF(COUNTIF(p_rates,K176)=0,"Taux de TVA hors liste (Paramètres)",IF(N(O176)&gt;25,"Au-delà de 25 lignes : non imprimée","OK")))))))))))))</f>
        <v/>
      </c>
      <c r="O176" s="59" t="str">
        <f>IF(A176="","",COUNTIF($A$6:A176,A176))</f>
        <v/>
      </c>
      <c r="P176" s="62" t="str">
        <f>IF(A176="","",A176&amp;"|"&amp;O176)</f>
        <v/>
      </c>
    </row>
    <row r="177">
      <c r="A177" s="60" t="n"/>
      <c r="B177" s="63" t="n"/>
      <c r="C177" s="63" t="n"/>
      <c r="D177" s="67" t="n"/>
      <c r="E177" s="68" t="n"/>
      <c r="F177" s="69" t="n"/>
      <c r="G177" s="70" t="n"/>
      <c r="H177" s="62" t="str">
        <f>IF(COUNTA(A177:G177)=0,"",IF(C177&lt;&gt;"",C177,IF(B177="","",IFERROR(INDEX(pr_des,MATCH(B177,pr_code,0))&amp;"",""))))</f>
        <v/>
      </c>
      <c r="I177" s="59" t="str">
        <f>IF(B177="","",IFERROR(INDEX(pr_unit,MATCH(B177,pr_code,0))&amp;"",""))</f>
        <v/>
      </c>
      <c r="J177" s="65" t="str">
        <f>IF(COUNTA(A177:G177)=0,"",IF(E177&lt;&gt;"",E177,IF(B177="","",IFERROR(IF(INDEX(pr_price,MATCH(B177,pr_code,0))="","",INDEX(pr_price,MATCH(B177,pr_code,0))),""))))</f>
        <v/>
      </c>
      <c r="K177" s="71" t="str">
        <f>IF(COUNTA(A177:G177)=0,"",IF(G177&lt;&gt;"",G177,IF(B177="","",IFERROR(IF(INDEX(pr_rate,MATCH(B177,pr_code,0))="","",INDEX(pr_rate,MATCH(B177,pr_code,0))),""))))</f>
        <v/>
      </c>
      <c r="L177" s="65" t="str">
        <f>IF(COUNTA(A177:G177)=0,"",IF(AND(ISNUMBER(D177),ISNUMBER(J177)),ROUND(D177*J177*(1-N(F177)),2),0))</f>
        <v/>
      </c>
      <c r="M177" s="62" t="str">
        <f>IF(A177="","",IFERROR(INDEX(dv_cname,MATCH(A177,dv_num,0))&amp;"",""))</f>
        <v/>
      </c>
      <c r="N177" s="59" t="str">
        <f>IF(COUNTA(A177:G177)=0,"",IF(A177="","N° devis manquant",IF(ISNA(MATCH(A177,dv_num,0)),"Devis inconnu",IF(AND(B177&lt;&gt;"",ISNA(MATCH(B177,pr_code,0))),"Article inconnu",IF(H177="","Désignation manquante",IF(OR(NOT(ISNUMBER(D177)),N(D177)&lt;=0),"Quantité invalide",IF(J177="","Prix manquant",IF(OR(NOT(ISNUMBER(J177)),N(J177)&lt;0),"Prix invalide",IF(OR(AND(F177&lt;&gt;"",NOT(ISNUMBER(F177))),N(F177)&lt;0,N(F177)&gt;1),"Remise invalide",IF(K177="","Taux de TVA manquant",IF(NOT(ISNUMBER(K177)),"Taux de TVA invalide",IF(COUNTIF(p_rates,K177)=0,"Taux de TVA hors liste (Paramètres)",IF(N(O177)&gt;25,"Au-delà de 25 lignes : non imprimée","OK")))))))))))))</f>
        <v/>
      </c>
      <c r="O177" s="59" t="str">
        <f>IF(A177="","",COUNTIF($A$6:A177,A177))</f>
        <v/>
      </c>
      <c r="P177" s="62" t="str">
        <f>IF(A177="","",A177&amp;"|"&amp;O177)</f>
        <v/>
      </c>
    </row>
    <row r="178">
      <c r="A178" s="60" t="n"/>
      <c r="B178" s="63" t="n"/>
      <c r="C178" s="63" t="n"/>
      <c r="D178" s="67" t="n"/>
      <c r="E178" s="68" t="n"/>
      <c r="F178" s="69" t="n"/>
      <c r="G178" s="70" t="n"/>
      <c r="H178" s="62" t="str">
        <f>IF(COUNTA(A178:G178)=0,"",IF(C178&lt;&gt;"",C178,IF(B178="","",IFERROR(INDEX(pr_des,MATCH(B178,pr_code,0))&amp;"",""))))</f>
        <v/>
      </c>
      <c r="I178" s="59" t="str">
        <f>IF(B178="","",IFERROR(INDEX(pr_unit,MATCH(B178,pr_code,0))&amp;"",""))</f>
        <v/>
      </c>
      <c r="J178" s="65" t="str">
        <f>IF(COUNTA(A178:G178)=0,"",IF(E178&lt;&gt;"",E178,IF(B178="","",IFERROR(IF(INDEX(pr_price,MATCH(B178,pr_code,0))="","",INDEX(pr_price,MATCH(B178,pr_code,0))),""))))</f>
        <v/>
      </c>
      <c r="K178" s="71" t="str">
        <f>IF(COUNTA(A178:G178)=0,"",IF(G178&lt;&gt;"",G178,IF(B178="","",IFERROR(IF(INDEX(pr_rate,MATCH(B178,pr_code,0))="","",INDEX(pr_rate,MATCH(B178,pr_code,0))),""))))</f>
        <v/>
      </c>
      <c r="L178" s="65" t="str">
        <f>IF(COUNTA(A178:G178)=0,"",IF(AND(ISNUMBER(D178),ISNUMBER(J178)),ROUND(D178*J178*(1-N(F178)),2),0))</f>
        <v/>
      </c>
      <c r="M178" s="62" t="str">
        <f>IF(A178="","",IFERROR(INDEX(dv_cname,MATCH(A178,dv_num,0))&amp;"",""))</f>
        <v/>
      </c>
      <c r="N178" s="59" t="str">
        <f>IF(COUNTA(A178:G178)=0,"",IF(A178="","N° devis manquant",IF(ISNA(MATCH(A178,dv_num,0)),"Devis inconnu",IF(AND(B178&lt;&gt;"",ISNA(MATCH(B178,pr_code,0))),"Article inconnu",IF(H178="","Désignation manquante",IF(OR(NOT(ISNUMBER(D178)),N(D178)&lt;=0),"Quantité invalide",IF(J178="","Prix manquant",IF(OR(NOT(ISNUMBER(J178)),N(J178)&lt;0),"Prix invalide",IF(OR(AND(F178&lt;&gt;"",NOT(ISNUMBER(F178))),N(F178)&lt;0,N(F178)&gt;1),"Remise invalide",IF(K178="","Taux de TVA manquant",IF(NOT(ISNUMBER(K178)),"Taux de TVA invalide",IF(COUNTIF(p_rates,K178)=0,"Taux de TVA hors liste (Paramètres)",IF(N(O178)&gt;25,"Au-delà de 25 lignes : non imprimée","OK")))))))))))))</f>
        <v/>
      </c>
      <c r="O178" s="59" t="str">
        <f>IF(A178="","",COUNTIF($A$6:A178,A178))</f>
        <v/>
      </c>
      <c r="P178" s="62" t="str">
        <f>IF(A178="","",A178&amp;"|"&amp;O178)</f>
        <v/>
      </c>
    </row>
    <row r="179">
      <c r="A179" s="60" t="n"/>
      <c r="B179" s="63" t="n"/>
      <c r="C179" s="63" t="n"/>
      <c r="D179" s="67" t="n"/>
      <c r="E179" s="68" t="n"/>
      <c r="F179" s="69" t="n"/>
      <c r="G179" s="70" t="n"/>
      <c r="H179" s="62" t="str">
        <f>IF(COUNTA(A179:G179)=0,"",IF(C179&lt;&gt;"",C179,IF(B179="","",IFERROR(INDEX(pr_des,MATCH(B179,pr_code,0))&amp;"",""))))</f>
        <v/>
      </c>
      <c r="I179" s="59" t="str">
        <f>IF(B179="","",IFERROR(INDEX(pr_unit,MATCH(B179,pr_code,0))&amp;"",""))</f>
        <v/>
      </c>
      <c r="J179" s="65" t="str">
        <f>IF(COUNTA(A179:G179)=0,"",IF(E179&lt;&gt;"",E179,IF(B179="","",IFERROR(IF(INDEX(pr_price,MATCH(B179,pr_code,0))="","",INDEX(pr_price,MATCH(B179,pr_code,0))),""))))</f>
        <v/>
      </c>
      <c r="K179" s="71" t="str">
        <f>IF(COUNTA(A179:G179)=0,"",IF(G179&lt;&gt;"",G179,IF(B179="","",IFERROR(IF(INDEX(pr_rate,MATCH(B179,pr_code,0))="","",INDEX(pr_rate,MATCH(B179,pr_code,0))),""))))</f>
        <v/>
      </c>
      <c r="L179" s="65" t="str">
        <f>IF(COUNTA(A179:G179)=0,"",IF(AND(ISNUMBER(D179),ISNUMBER(J179)),ROUND(D179*J179*(1-N(F179)),2),0))</f>
        <v/>
      </c>
      <c r="M179" s="62" t="str">
        <f>IF(A179="","",IFERROR(INDEX(dv_cname,MATCH(A179,dv_num,0))&amp;"",""))</f>
        <v/>
      </c>
      <c r="N179" s="59" t="str">
        <f>IF(COUNTA(A179:G179)=0,"",IF(A179="","N° devis manquant",IF(ISNA(MATCH(A179,dv_num,0)),"Devis inconnu",IF(AND(B179&lt;&gt;"",ISNA(MATCH(B179,pr_code,0))),"Article inconnu",IF(H179="","Désignation manquante",IF(OR(NOT(ISNUMBER(D179)),N(D179)&lt;=0),"Quantité invalide",IF(J179="","Prix manquant",IF(OR(NOT(ISNUMBER(J179)),N(J179)&lt;0),"Prix invalide",IF(OR(AND(F179&lt;&gt;"",NOT(ISNUMBER(F179))),N(F179)&lt;0,N(F179)&gt;1),"Remise invalide",IF(K179="","Taux de TVA manquant",IF(NOT(ISNUMBER(K179)),"Taux de TVA invalide",IF(COUNTIF(p_rates,K179)=0,"Taux de TVA hors liste (Paramètres)",IF(N(O179)&gt;25,"Au-delà de 25 lignes : non imprimée","OK")))))))))))))</f>
        <v/>
      </c>
      <c r="O179" s="59" t="str">
        <f>IF(A179="","",COUNTIF($A$6:A179,A179))</f>
        <v/>
      </c>
      <c r="P179" s="62" t="str">
        <f>IF(A179="","",A179&amp;"|"&amp;O179)</f>
        <v/>
      </c>
    </row>
    <row r="180">
      <c r="A180" s="60" t="n"/>
      <c r="B180" s="63" t="n"/>
      <c r="C180" s="63" t="n"/>
      <c r="D180" s="67" t="n"/>
      <c r="E180" s="68" t="n"/>
      <c r="F180" s="69" t="n"/>
      <c r="G180" s="70" t="n"/>
      <c r="H180" s="62" t="str">
        <f>IF(COUNTA(A180:G180)=0,"",IF(C180&lt;&gt;"",C180,IF(B180="","",IFERROR(INDEX(pr_des,MATCH(B180,pr_code,0))&amp;"",""))))</f>
        <v/>
      </c>
      <c r="I180" s="59" t="str">
        <f>IF(B180="","",IFERROR(INDEX(pr_unit,MATCH(B180,pr_code,0))&amp;"",""))</f>
        <v/>
      </c>
      <c r="J180" s="65" t="str">
        <f>IF(COUNTA(A180:G180)=0,"",IF(E180&lt;&gt;"",E180,IF(B180="","",IFERROR(IF(INDEX(pr_price,MATCH(B180,pr_code,0))="","",INDEX(pr_price,MATCH(B180,pr_code,0))),""))))</f>
        <v/>
      </c>
      <c r="K180" s="71" t="str">
        <f>IF(COUNTA(A180:G180)=0,"",IF(G180&lt;&gt;"",G180,IF(B180="","",IFERROR(IF(INDEX(pr_rate,MATCH(B180,pr_code,0))="","",INDEX(pr_rate,MATCH(B180,pr_code,0))),""))))</f>
        <v/>
      </c>
      <c r="L180" s="65" t="str">
        <f>IF(COUNTA(A180:G180)=0,"",IF(AND(ISNUMBER(D180),ISNUMBER(J180)),ROUND(D180*J180*(1-N(F180)),2),0))</f>
        <v/>
      </c>
      <c r="M180" s="62" t="str">
        <f>IF(A180="","",IFERROR(INDEX(dv_cname,MATCH(A180,dv_num,0))&amp;"",""))</f>
        <v/>
      </c>
      <c r="N180" s="59" t="str">
        <f>IF(COUNTA(A180:G180)=0,"",IF(A180="","N° devis manquant",IF(ISNA(MATCH(A180,dv_num,0)),"Devis inconnu",IF(AND(B180&lt;&gt;"",ISNA(MATCH(B180,pr_code,0))),"Article inconnu",IF(H180="","Désignation manquante",IF(OR(NOT(ISNUMBER(D180)),N(D180)&lt;=0),"Quantité invalide",IF(J180="","Prix manquant",IF(OR(NOT(ISNUMBER(J180)),N(J180)&lt;0),"Prix invalide",IF(OR(AND(F180&lt;&gt;"",NOT(ISNUMBER(F180))),N(F180)&lt;0,N(F180)&gt;1),"Remise invalide",IF(K180="","Taux de TVA manquant",IF(NOT(ISNUMBER(K180)),"Taux de TVA invalide",IF(COUNTIF(p_rates,K180)=0,"Taux de TVA hors liste (Paramètres)",IF(N(O180)&gt;25,"Au-delà de 25 lignes : non imprimée","OK")))))))))))))</f>
        <v/>
      </c>
      <c r="O180" s="59" t="str">
        <f>IF(A180="","",COUNTIF($A$6:A180,A180))</f>
        <v/>
      </c>
      <c r="P180" s="62" t="str">
        <f>IF(A180="","",A180&amp;"|"&amp;O180)</f>
        <v/>
      </c>
    </row>
    <row r="181">
      <c r="A181" s="60" t="n"/>
      <c r="B181" s="63" t="n"/>
      <c r="C181" s="63" t="n"/>
      <c r="D181" s="67" t="n"/>
      <c r="E181" s="68" t="n"/>
      <c r="F181" s="69" t="n"/>
      <c r="G181" s="70" t="n"/>
      <c r="H181" s="62" t="str">
        <f>IF(COUNTA(A181:G181)=0,"",IF(C181&lt;&gt;"",C181,IF(B181="","",IFERROR(INDEX(pr_des,MATCH(B181,pr_code,0))&amp;"",""))))</f>
        <v/>
      </c>
      <c r="I181" s="59" t="str">
        <f>IF(B181="","",IFERROR(INDEX(pr_unit,MATCH(B181,pr_code,0))&amp;"",""))</f>
        <v/>
      </c>
      <c r="J181" s="65" t="str">
        <f>IF(COUNTA(A181:G181)=0,"",IF(E181&lt;&gt;"",E181,IF(B181="","",IFERROR(IF(INDEX(pr_price,MATCH(B181,pr_code,0))="","",INDEX(pr_price,MATCH(B181,pr_code,0))),""))))</f>
        <v/>
      </c>
      <c r="K181" s="71" t="str">
        <f>IF(COUNTA(A181:G181)=0,"",IF(G181&lt;&gt;"",G181,IF(B181="","",IFERROR(IF(INDEX(pr_rate,MATCH(B181,pr_code,0))="","",INDEX(pr_rate,MATCH(B181,pr_code,0))),""))))</f>
        <v/>
      </c>
      <c r="L181" s="65" t="str">
        <f>IF(COUNTA(A181:G181)=0,"",IF(AND(ISNUMBER(D181),ISNUMBER(J181)),ROUND(D181*J181*(1-N(F181)),2),0))</f>
        <v/>
      </c>
      <c r="M181" s="62" t="str">
        <f>IF(A181="","",IFERROR(INDEX(dv_cname,MATCH(A181,dv_num,0))&amp;"",""))</f>
        <v/>
      </c>
      <c r="N181" s="59" t="str">
        <f>IF(COUNTA(A181:G181)=0,"",IF(A181="","N° devis manquant",IF(ISNA(MATCH(A181,dv_num,0)),"Devis inconnu",IF(AND(B181&lt;&gt;"",ISNA(MATCH(B181,pr_code,0))),"Article inconnu",IF(H181="","Désignation manquante",IF(OR(NOT(ISNUMBER(D181)),N(D181)&lt;=0),"Quantité invalide",IF(J181="","Prix manquant",IF(OR(NOT(ISNUMBER(J181)),N(J181)&lt;0),"Prix invalide",IF(OR(AND(F181&lt;&gt;"",NOT(ISNUMBER(F181))),N(F181)&lt;0,N(F181)&gt;1),"Remise invalide",IF(K181="","Taux de TVA manquant",IF(NOT(ISNUMBER(K181)),"Taux de TVA invalide",IF(COUNTIF(p_rates,K181)=0,"Taux de TVA hors liste (Paramètres)",IF(N(O181)&gt;25,"Au-delà de 25 lignes : non imprimée","OK")))))))))))))</f>
        <v/>
      </c>
      <c r="O181" s="59" t="str">
        <f>IF(A181="","",COUNTIF($A$6:A181,A181))</f>
        <v/>
      </c>
      <c r="P181" s="62" t="str">
        <f>IF(A181="","",A181&amp;"|"&amp;O181)</f>
        <v/>
      </c>
    </row>
    <row r="182">
      <c r="A182" s="60" t="n"/>
      <c r="B182" s="63" t="n"/>
      <c r="C182" s="63" t="n"/>
      <c r="D182" s="67" t="n"/>
      <c r="E182" s="68" t="n"/>
      <c r="F182" s="69" t="n"/>
      <c r="G182" s="70" t="n"/>
      <c r="H182" s="62" t="str">
        <f>IF(COUNTA(A182:G182)=0,"",IF(C182&lt;&gt;"",C182,IF(B182="","",IFERROR(INDEX(pr_des,MATCH(B182,pr_code,0))&amp;"",""))))</f>
        <v/>
      </c>
      <c r="I182" s="59" t="str">
        <f>IF(B182="","",IFERROR(INDEX(pr_unit,MATCH(B182,pr_code,0))&amp;"",""))</f>
        <v/>
      </c>
      <c r="J182" s="65" t="str">
        <f>IF(COUNTA(A182:G182)=0,"",IF(E182&lt;&gt;"",E182,IF(B182="","",IFERROR(IF(INDEX(pr_price,MATCH(B182,pr_code,0))="","",INDEX(pr_price,MATCH(B182,pr_code,0))),""))))</f>
        <v/>
      </c>
      <c r="K182" s="71" t="str">
        <f>IF(COUNTA(A182:G182)=0,"",IF(G182&lt;&gt;"",G182,IF(B182="","",IFERROR(IF(INDEX(pr_rate,MATCH(B182,pr_code,0))="","",INDEX(pr_rate,MATCH(B182,pr_code,0))),""))))</f>
        <v/>
      </c>
      <c r="L182" s="65" t="str">
        <f>IF(COUNTA(A182:G182)=0,"",IF(AND(ISNUMBER(D182),ISNUMBER(J182)),ROUND(D182*J182*(1-N(F182)),2),0))</f>
        <v/>
      </c>
      <c r="M182" s="62" t="str">
        <f>IF(A182="","",IFERROR(INDEX(dv_cname,MATCH(A182,dv_num,0))&amp;"",""))</f>
        <v/>
      </c>
      <c r="N182" s="59" t="str">
        <f>IF(COUNTA(A182:G182)=0,"",IF(A182="","N° devis manquant",IF(ISNA(MATCH(A182,dv_num,0)),"Devis inconnu",IF(AND(B182&lt;&gt;"",ISNA(MATCH(B182,pr_code,0))),"Article inconnu",IF(H182="","Désignation manquante",IF(OR(NOT(ISNUMBER(D182)),N(D182)&lt;=0),"Quantité invalide",IF(J182="","Prix manquant",IF(OR(NOT(ISNUMBER(J182)),N(J182)&lt;0),"Prix invalide",IF(OR(AND(F182&lt;&gt;"",NOT(ISNUMBER(F182))),N(F182)&lt;0,N(F182)&gt;1),"Remise invalide",IF(K182="","Taux de TVA manquant",IF(NOT(ISNUMBER(K182)),"Taux de TVA invalide",IF(COUNTIF(p_rates,K182)=0,"Taux de TVA hors liste (Paramètres)",IF(N(O182)&gt;25,"Au-delà de 25 lignes : non imprimée","OK")))))))))))))</f>
        <v/>
      </c>
      <c r="O182" s="59" t="str">
        <f>IF(A182="","",COUNTIF($A$6:A182,A182))</f>
        <v/>
      </c>
      <c r="P182" s="62" t="str">
        <f>IF(A182="","",A182&amp;"|"&amp;O182)</f>
        <v/>
      </c>
    </row>
    <row r="183">
      <c r="A183" s="60" t="n"/>
      <c r="B183" s="63" t="n"/>
      <c r="C183" s="63" t="n"/>
      <c r="D183" s="67" t="n"/>
      <c r="E183" s="68" t="n"/>
      <c r="F183" s="69" t="n"/>
      <c r="G183" s="70" t="n"/>
      <c r="H183" s="62" t="str">
        <f>IF(COUNTA(A183:G183)=0,"",IF(C183&lt;&gt;"",C183,IF(B183="","",IFERROR(INDEX(pr_des,MATCH(B183,pr_code,0))&amp;"",""))))</f>
        <v/>
      </c>
      <c r="I183" s="59" t="str">
        <f>IF(B183="","",IFERROR(INDEX(pr_unit,MATCH(B183,pr_code,0))&amp;"",""))</f>
        <v/>
      </c>
      <c r="J183" s="65" t="str">
        <f>IF(COUNTA(A183:G183)=0,"",IF(E183&lt;&gt;"",E183,IF(B183="","",IFERROR(IF(INDEX(pr_price,MATCH(B183,pr_code,0))="","",INDEX(pr_price,MATCH(B183,pr_code,0))),""))))</f>
        <v/>
      </c>
      <c r="K183" s="71" t="str">
        <f>IF(COUNTA(A183:G183)=0,"",IF(G183&lt;&gt;"",G183,IF(B183="","",IFERROR(IF(INDEX(pr_rate,MATCH(B183,pr_code,0))="","",INDEX(pr_rate,MATCH(B183,pr_code,0))),""))))</f>
        <v/>
      </c>
      <c r="L183" s="65" t="str">
        <f>IF(COUNTA(A183:G183)=0,"",IF(AND(ISNUMBER(D183),ISNUMBER(J183)),ROUND(D183*J183*(1-N(F183)),2),0))</f>
        <v/>
      </c>
      <c r="M183" s="62" t="str">
        <f>IF(A183="","",IFERROR(INDEX(dv_cname,MATCH(A183,dv_num,0))&amp;"",""))</f>
        <v/>
      </c>
      <c r="N183" s="59" t="str">
        <f>IF(COUNTA(A183:G183)=0,"",IF(A183="","N° devis manquant",IF(ISNA(MATCH(A183,dv_num,0)),"Devis inconnu",IF(AND(B183&lt;&gt;"",ISNA(MATCH(B183,pr_code,0))),"Article inconnu",IF(H183="","Désignation manquante",IF(OR(NOT(ISNUMBER(D183)),N(D183)&lt;=0),"Quantité invalide",IF(J183="","Prix manquant",IF(OR(NOT(ISNUMBER(J183)),N(J183)&lt;0),"Prix invalide",IF(OR(AND(F183&lt;&gt;"",NOT(ISNUMBER(F183))),N(F183)&lt;0,N(F183)&gt;1),"Remise invalide",IF(K183="","Taux de TVA manquant",IF(NOT(ISNUMBER(K183)),"Taux de TVA invalide",IF(COUNTIF(p_rates,K183)=0,"Taux de TVA hors liste (Paramètres)",IF(N(O183)&gt;25,"Au-delà de 25 lignes : non imprimée","OK")))))))))))))</f>
        <v/>
      </c>
      <c r="O183" s="59" t="str">
        <f>IF(A183="","",COUNTIF($A$6:A183,A183))</f>
        <v/>
      </c>
      <c r="P183" s="62" t="str">
        <f>IF(A183="","",A183&amp;"|"&amp;O183)</f>
        <v/>
      </c>
    </row>
    <row r="184">
      <c r="A184" s="60" t="n"/>
      <c r="B184" s="63" t="n"/>
      <c r="C184" s="63" t="n"/>
      <c r="D184" s="67" t="n"/>
      <c r="E184" s="68" t="n"/>
      <c r="F184" s="69" t="n"/>
      <c r="G184" s="70" t="n"/>
      <c r="H184" s="62" t="str">
        <f>IF(COUNTA(A184:G184)=0,"",IF(C184&lt;&gt;"",C184,IF(B184="","",IFERROR(INDEX(pr_des,MATCH(B184,pr_code,0))&amp;"",""))))</f>
        <v/>
      </c>
      <c r="I184" s="59" t="str">
        <f>IF(B184="","",IFERROR(INDEX(pr_unit,MATCH(B184,pr_code,0))&amp;"",""))</f>
        <v/>
      </c>
      <c r="J184" s="65" t="str">
        <f>IF(COUNTA(A184:G184)=0,"",IF(E184&lt;&gt;"",E184,IF(B184="","",IFERROR(IF(INDEX(pr_price,MATCH(B184,pr_code,0))="","",INDEX(pr_price,MATCH(B184,pr_code,0))),""))))</f>
        <v/>
      </c>
      <c r="K184" s="71" t="str">
        <f>IF(COUNTA(A184:G184)=0,"",IF(G184&lt;&gt;"",G184,IF(B184="","",IFERROR(IF(INDEX(pr_rate,MATCH(B184,pr_code,0))="","",INDEX(pr_rate,MATCH(B184,pr_code,0))),""))))</f>
        <v/>
      </c>
      <c r="L184" s="65" t="str">
        <f>IF(COUNTA(A184:G184)=0,"",IF(AND(ISNUMBER(D184),ISNUMBER(J184)),ROUND(D184*J184*(1-N(F184)),2),0))</f>
        <v/>
      </c>
      <c r="M184" s="62" t="str">
        <f>IF(A184="","",IFERROR(INDEX(dv_cname,MATCH(A184,dv_num,0))&amp;"",""))</f>
        <v/>
      </c>
      <c r="N184" s="59" t="str">
        <f>IF(COUNTA(A184:G184)=0,"",IF(A184="","N° devis manquant",IF(ISNA(MATCH(A184,dv_num,0)),"Devis inconnu",IF(AND(B184&lt;&gt;"",ISNA(MATCH(B184,pr_code,0))),"Article inconnu",IF(H184="","Désignation manquante",IF(OR(NOT(ISNUMBER(D184)),N(D184)&lt;=0),"Quantité invalide",IF(J184="","Prix manquant",IF(OR(NOT(ISNUMBER(J184)),N(J184)&lt;0),"Prix invalide",IF(OR(AND(F184&lt;&gt;"",NOT(ISNUMBER(F184))),N(F184)&lt;0,N(F184)&gt;1),"Remise invalide",IF(K184="","Taux de TVA manquant",IF(NOT(ISNUMBER(K184)),"Taux de TVA invalide",IF(COUNTIF(p_rates,K184)=0,"Taux de TVA hors liste (Paramètres)",IF(N(O184)&gt;25,"Au-delà de 25 lignes : non imprimée","OK")))))))))))))</f>
        <v/>
      </c>
      <c r="O184" s="59" t="str">
        <f>IF(A184="","",COUNTIF($A$6:A184,A184))</f>
        <v/>
      </c>
      <c r="P184" s="62" t="str">
        <f>IF(A184="","",A184&amp;"|"&amp;O184)</f>
        <v/>
      </c>
    </row>
    <row r="185">
      <c r="A185" s="60" t="n"/>
      <c r="B185" s="63" t="n"/>
      <c r="C185" s="63" t="n"/>
      <c r="D185" s="67" t="n"/>
      <c r="E185" s="68" t="n"/>
      <c r="F185" s="69" t="n"/>
      <c r="G185" s="70" t="n"/>
      <c r="H185" s="62" t="str">
        <f>IF(COUNTA(A185:G185)=0,"",IF(C185&lt;&gt;"",C185,IF(B185="","",IFERROR(INDEX(pr_des,MATCH(B185,pr_code,0))&amp;"",""))))</f>
        <v/>
      </c>
      <c r="I185" s="59" t="str">
        <f>IF(B185="","",IFERROR(INDEX(pr_unit,MATCH(B185,pr_code,0))&amp;"",""))</f>
        <v/>
      </c>
      <c r="J185" s="65" t="str">
        <f>IF(COUNTA(A185:G185)=0,"",IF(E185&lt;&gt;"",E185,IF(B185="","",IFERROR(IF(INDEX(pr_price,MATCH(B185,pr_code,0))="","",INDEX(pr_price,MATCH(B185,pr_code,0))),""))))</f>
        <v/>
      </c>
      <c r="K185" s="71" t="str">
        <f>IF(COUNTA(A185:G185)=0,"",IF(G185&lt;&gt;"",G185,IF(B185="","",IFERROR(IF(INDEX(pr_rate,MATCH(B185,pr_code,0))="","",INDEX(pr_rate,MATCH(B185,pr_code,0))),""))))</f>
        <v/>
      </c>
      <c r="L185" s="65" t="str">
        <f>IF(COUNTA(A185:G185)=0,"",IF(AND(ISNUMBER(D185),ISNUMBER(J185)),ROUND(D185*J185*(1-N(F185)),2),0))</f>
        <v/>
      </c>
      <c r="M185" s="62" t="str">
        <f>IF(A185="","",IFERROR(INDEX(dv_cname,MATCH(A185,dv_num,0))&amp;"",""))</f>
        <v/>
      </c>
      <c r="N185" s="59" t="str">
        <f>IF(COUNTA(A185:G185)=0,"",IF(A185="","N° devis manquant",IF(ISNA(MATCH(A185,dv_num,0)),"Devis inconnu",IF(AND(B185&lt;&gt;"",ISNA(MATCH(B185,pr_code,0))),"Article inconnu",IF(H185="","Désignation manquante",IF(OR(NOT(ISNUMBER(D185)),N(D185)&lt;=0),"Quantité invalide",IF(J185="","Prix manquant",IF(OR(NOT(ISNUMBER(J185)),N(J185)&lt;0),"Prix invalide",IF(OR(AND(F185&lt;&gt;"",NOT(ISNUMBER(F185))),N(F185)&lt;0,N(F185)&gt;1),"Remise invalide",IF(K185="","Taux de TVA manquant",IF(NOT(ISNUMBER(K185)),"Taux de TVA invalide",IF(COUNTIF(p_rates,K185)=0,"Taux de TVA hors liste (Paramètres)",IF(N(O185)&gt;25,"Au-delà de 25 lignes : non imprimée","OK")))))))))))))</f>
        <v/>
      </c>
      <c r="O185" s="59" t="str">
        <f>IF(A185="","",COUNTIF($A$6:A185,A185))</f>
        <v/>
      </c>
      <c r="P185" s="62" t="str">
        <f>IF(A185="","",A185&amp;"|"&amp;O185)</f>
        <v/>
      </c>
    </row>
    <row r="186">
      <c r="A186" s="60" t="n"/>
      <c r="B186" s="63" t="n"/>
      <c r="C186" s="63" t="n"/>
      <c r="D186" s="67" t="n"/>
      <c r="E186" s="68" t="n"/>
      <c r="F186" s="69" t="n"/>
      <c r="G186" s="70" t="n"/>
      <c r="H186" s="62" t="str">
        <f>IF(COUNTA(A186:G186)=0,"",IF(C186&lt;&gt;"",C186,IF(B186="","",IFERROR(INDEX(pr_des,MATCH(B186,pr_code,0))&amp;"",""))))</f>
        <v/>
      </c>
      <c r="I186" s="59" t="str">
        <f>IF(B186="","",IFERROR(INDEX(pr_unit,MATCH(B186,pr_code,0))&amp;"",""))</f>
        <v/>
      </c>
      <c r="J186" s="65" t="str">
        <f>IF(COUNTA(A186:G186)=0,"",IF(E186&lt;&gt;"",E186,IF(B186="","",IFERROR(IF(INDEX(pr_price,MATCH(B186,pr_code,0))="","",INDEX(pr_price,MATCH(B186,pr_code,0))),""))))</f>
        <v/>
      </c>
      <c r="K186" s="71" t="str">
        <f>IF(COUNTA(A186:G186)=0,"",IF(G186&lt;&gt;"",G186,IF(B186="","",IFERROR(IF(INDEX(pr_rate,MATCH(B186,pr_code,0))="","",INDEX(pr_rate,MATCH(B186,pr_code,0))),""))))</f>
        <v/>
      </c>
      <c r="L186" s="65" t="str">
        <f>IF(COUNTA(A186:G186)=0,"",IF(AND(ISNUMBER(D186),ISNUMBER(J186)),ROUND(D186*J186*(1-N(F186)),2),0))</f>
        <v/>
      </c>
      <c r="M186" s="62" t="str">
        <f>IF(A186="","",IFERROR(INDEX(dv_cname,MATCH(A186,dv_num,0))&amp;"",""))</f>
        <v/>
      </c>
      <c r="N186" s="59" t="str">
        <f>IF(COUNTA(A186:G186)=0,"",IF(A186="","N° devis manquant",IF(ISNA(MATCH(A186,dv_num,0)),"Devis inconnu",IF(AND(B186&lt;&gt;"",ISNA(MATCH(B186,pr_code,0))),"Article inconnu",IF(H186="","Désignation manquante",IF(OR(NOT(ISNUMBER(D186)),N(D186)&lt;=0),"Quantité invalide",IF(J186="","Prix manquant",IF(OR(NOT(ISNUMBER(J186)),N(J186)&lt;0),"Prix invalide",IF(OR(AND(F186&lt;&gt;"",NOT(ISNUMBER(F186))),N(F186)&lt;0,N(F186)&gt;1),"Remise invalide",IF(K186="","Taux de TVA manquant",IF(NOT(ISNUMBER(K186)),"Taux de TVA invalide",IF(COUNTIF(p_rates,K186)=0,"Taux de TVA hors liste (Paramètres)",IF(N(O186)&gt;25,"Au-delà de 25 lignes : non imprimée","OK")))))))))))))</f>
        <v/>
      </c>
      <c r="O186" s="59" t="str">
        <f>IF(A186="","",COUNTIF($A$6:A186,A186))</f>
        <v/>
      </c>
      <c r="P186" s="62" t="str">
        <f>IF(A186="","",A186&amp;"|"&amp;O186)</f>
        <v/>
      </c>
    </row>
    <row r="187">
      <c r="A187" s="60" t="n"/>
      <c r="B187" s="63" t="n"/>
      <c r="C187" s="63" t="n"/>
      <c r="D187" s="67" t="n"/>
      <c r="E187" s="68" t="n"/>
      <c r="F187" s="69" t="n"/>
      <c r="G187" s="70" t="n"/>
      <c r="H187" s="62" t="str">
        <f>IF(COUNTA(A187:G187)=0,"",IF(C187&lt;&gt;"",C187,IF(B187="","",IFERROR(INDEX(pr_des,MATCH(B187,pr_code,0))&amp;"",""))))</f>
        <v/>
      </c>
      <c r="I187" s="59" t="str">
        <f>IF(B187="","",IFERROR(INDEX(pr_unit,MATCH(B187,pr_code,0))&amp;"",""))</f>
        <v/>
      </c>
      <c r="J187" s="65" t="str">
        <f>IF(COUNTA(A187:G187)=0,"",IF(E187&lt;&gt;"",E187,IF(B187="","",IFERROR(IF(INDEX(pr_price,MATCH(B187,pr_code,0))="","",INDEX(pr_price,MATCH(B187,pr_code,0))),""))))</f>
        <v/>
      </c>
      <c r="K187" s="71" t="str">
        <f>IF(COUNTA(A187:G187)=0,"",IF(G187&lt;&gt;"",G187,IF(B187="","",IFERROR(IF(INDEX(pr_rate,MATCH(B187,pr_code,0))="","",INDEX(pr_rate,MATCH(B187,pr_code,0))),""))))</f>
        <v/>
      </c>
      <c r="L187" s="65" t="str">
        <f>IF(COUNTA(A187:G187)=0,"",IF(AND(ISNUMBER(D187),ISNUMBER(J187)),ROUND(D187*J187*(1-N(F187)),2),0))</f>
        <v/>
      </c>
      <c r="M187" s="62" t="str">
        <f>IF(A187="","",IFERROR(INDEX(dv_cname,MATCH(A187,dv_num,0))&amp;"",""))</f>
        <v/>
      </c>
      <c r="N187" s="59" t="str">
        <f>IF(COUNTA(A187:G187)=0,"",IF(A187="","N° devis manquant",IF(ISNA(MATCH(A187,dv_num,0)),"Devis inconnu",IF(AND(B187&lt;&gt;"",ISNA(MATCH(B187,pr_code,0))),"Article inconnu",IF(H187="","Désignation manquante",IF(OR(NOT(ISNUMBER(D187)),N(D187)&lt;=0),"Quantité invalide",IF(J187="","Prix manquant",IF(OR(NOT(ISNUMBER(J187)),N(J187)&lt;0),"Prix invalide",IF(OR(AND(F187&lt;&gt;"",NOT(ISNUMBER(F187))),N(F187)&lt;0,N(F187)&gt;1),"Remise invalide",IF(K187="","Taux de TVA manquant",IF(NOT(ISNUMBER(K187)),"Taux de TVA invalide",IF(COUNTIF(p_rates,K187)=0,"Taux de TVA hors liste (Paramètres)",IF(N(O187)&gt;25,"Au-delà de 25 lignes : non imprimée","OK")))))))))))))</f>
        <v/>
      </c>
      <c r="O187" s="59" t="str">
        <f>IF(A187="","",COUNTIF($A$6:A187,A187))</f>
        <v/>
      </c>
      <c r="P187" s="62" t="str">
        <f>IF(A187="","",A187&amp;"|"&amp;O187)</f>
        <v/>
      </c>
    </row>
    <row r="188">
      <c r="A188" s="60" t="n"/>
      <c r="B188" s="63" t="n"/>
      <c r="C188" s="63" t="n"/>
      <c r="D188" s="67" t="n"/>
      <c r="E188" s="68" t="n"/>
      <c r="F188" s="69" t="n"/>
      <c r="G188" s="70" t="n"/>
      <c r="H188" s="62" t="str">
        <f>IF(COUNTA(A188:G188)=0,"",IF(C188&lt;&gt;"",C188,IF(B188="","",IFERROR(INDEX(pr_des,MATCH(B188,pr_code,0))&amp;"",""))))</f>
        <v/>
      </c>
      <c r="I188" s="59" t="str">
        <f>IF(B188="","",IFERROR(INDEX(pr_unit,MATCH(B188,pr_code,0))&amp;"",""))</f>
        <v/>
      </c>
      <c r="J188" s="65" t="str">
        <f>IF(COUNTA(A188:G188)=0,"",IF(E188&lt;&gt;"",E188,IF(B188="","",IFERROR(IF(INDEX(pr_price,MATCH(B188,pr_code,0))="","",INDEX(pr_price,MATCH(B188,pr_code,0))),""))))</f>
        <v/>
      </c>
      <c r="K188" s="71" t="str">
        <f>IF(COUNTA(A188:G188)=0,"",IF(G188&lt;&gt;"",G188,IF(B188="","",IFERROR(IF(INDEX(pr_rate,MATCH(B188,pr_code,0))="","",INDEX(pr_rate,MATCH(B188,pr_code,0))),""))))</f>
        <v/>
      </c>
      <c r="L188" s="65" t="str">
        <f>IF(COUNTA(A188:G188)=0,"",IF(AND(ISNUMBER(D188),ISNUMBER(J188)),ROUND(D188*J188*(1-N(F188)),2),0))</f>
        <v/>
      </c>
      <c r="M188" s="62" t="str">
        <f>IF(A188="","",IFERROR(INDEX(dv_cname,MATCH(A188,dv_num,0))&amp;"",""))</f>
        <v/>
      </c>
      <c r="N188" s="59" t="str">
        <f>IF(COUNTA(A188:G188)=0,"",IF(A188="","N° devis manquant",IF(ISNA(MATCH(A188,dv_num,0)),"Devis inconnu",IF(AND(B188&lt;&gt;"",ISNA(MATCH(B188,pr_code,0))),"Article inconnu",IF(H188="","Désignation manquante",IF(OR(NOT(ISNUMBER(D188)),N(D188)&lt;=0),"Quantité invalide",IF(J188="","Prix manquant",IF(OR(NOT(ISNUMBER(J188)),N(J188)&lt;0),"Prix invalide",IF(OR(AND(F188&lt;&gt;"",NOT(ISNUMBER(F188))),N(F188)&lt;0,N(F188)&gt;1),"Remise invalide",IF(K188="","Taux de TVA manquant",IF(NOT(ISNUMBER(K188)),"Taux de TVA invalide",IF(COUNTIF(p_rates,K188)=0,"Taux de TVA hors liste (Paramètres)",IF(N(O188)&gt;25,"Au-delà de 25 lignes : non imprimée","OK")))))))))))))</f>
        <v/>
      </c>
      <c r="O188" s="59" t="str">
        <f>IF(A188="","",COUNTIF($A$6:A188,A188))</f>
        <v/>
      </c>
      <c r="P188" s="62" t="str">
        <f>IF(A188="","",A188&amp;"|"&amp;O188)</f>
        <v/>
      </c>
    </row>
    <row r="189">
      <c r="A189" s="60" t="n"/>
      <c r="B189" s="63" t="n"/>
      <c r="C189" s="63" t="n"/>
      <c r="D189" s="67" t="n"/>
      <c r="E189" s="68" t="n"/>
      <c r="F189" s="69" t="n"/>
      <c r="G189" s="70" t="n"/>
      <c r="H189" s="62" t="str">
        <f>IF(COUNTA(A189:G189)=0,"",IF(C189&lt;&gt;"",C189,IF(B189="","",IFERROR(INDEX(pr_des,MATCH(B189,pr_code,0))&amp;"",""))))</f>
        <v/>
      </c>
      <c r="I189" s="59" t="str">
        <f>IF(B189="","",IFERROR(INDEX(pr_unit,MATCH(B189,pr_code,0))&amp;"",""))</f>
        <v/>
      </c>
      <c r="J189" s="65" t="str">
        <f>IF(COUNTA(A189:G189)=0,"",IF(E189&lt;&gt;"",E189,IF(B189="","",IFERROR(IF(INDEX(pr_price,MATCH(B189,pr_code,0))="","",INDEX(pr_price,MATCH(B189,pr_code,0))),""))))</f>
        <v/>
      </c>
      <c r="K189" s="71" t="str">
        <f>IF(COUNTA(A189:G189)=0,"",IF(G189&lt;&gt;"",G189,IF(B189="","",IFERROR(IF(INDEX(pr_rate,MATCH(B189,pr_code,0))="","",INDEX(pr_rate,MATCH(B189,pr_code,0))),""))))</f>
        <v/>
      </c>
      <c r="L189" s="65" t="str">
        <f>IF(COUNTA(A189:G189)=0,"",IF(AND(ISNUMBER(D189),ISNUMBER(J189)),ROUND(D189*J189*(1-N(F189)),2),0))</f>
        <v/>
      </c>
      <c r="M189" s="62" t="str">
        <f>IF(A189="","",IFERROR(INDEX(dv_cname,MATCH(A189,dv_num,0))&amp;"",""))</f>
        <v/>
      </c>
      <c r="N189" s="59" t="str">
        <f>IF(COUNTA(A189:G189)=0,"",IF(A189="","N° devis manquant",IF(ISNA(MATCH(A189,dv_num,0)),"Devis inconnu",IF(AND(B189&lt;&gt;"",ISNA(MATCH(B189,pr_code,0))),"Article inconnu",IF(H189="","Désignation manquante",IF(OR(NOT(ISNUMBER(D189)),N(D189)&lt;=0),"Quantité invalide",IF(J189="","Prix manquant",IF(OR(NOT(ISNUMBER(J189)),N(J189)&lt;0),"Prix invalide",IF(OR(AND(F189&lt;&gt;"",NOT(ISNUMBER(F189))),N(F189)&lt;0,N(F189)&gt;1),"Remise invalide",IF(K189="","Taux de TVA manquant",IF(NOT(ISNUMBER(K189)),"Taux de TVA invalide",IF(COUNTIF(p_rates,K189)=0,"Taux de TVA hors liste (Paramètres)",IF(N(O189)&gt;25,"Au-delà de 25 lignes : non imprimée","OK")))))))))))))</f>
        <v/>
      </c>
      <c r="O189" s="59" t="str">
        <f>IF(A189="","",COUNTIF($A$6:A189,A189))</f>
        <v/>
      </c>
      <c r="P189" s="62" t="str">
        <f>IF(A189="","",A189&amp;"|"&amp;O189)</f>
        <v/>
      </c>
    </row>
    <row r="190">
      <c r="A190" s="60" t="n"/>
      <c r="B190" s="63" t="n"/>
      <c r="C190" s="63" t="n"/>
      <c r="D190" s="67" t="n"/>
      <c r="E190" s="68" t="n"/>
      <c r="F190" s="69" t="n"/>
      <c r="G190" s="70" t="n"/>
      <c r="H190" s="62" t="str">
        <f>IF(COUNTA(A190:G190)=0,"",IF(C190&lt;&gt;"",C190,IF(B190="","",IFERROR(INDEX(pr_des,MATCH(B190,pr_code,0))&amp;"",""))))</f>
        <v/>
      </c>
      <c r="I190" s="59" t="str">
        <f>IF(B190="","",IFERROR(INDEX(pr_unit,MATCH(B190,pr_code,0))&amp;"",""))</f>
        <v/>
      </c>
      <c r="J190" s="65" t="str">
        <f>IF(COUNTA(A190:G190)=0,"",IF(E190&lt;&gt;"",E190,IF(B190="","",IFERROR(IF(INDEX(pr_price,MATCH(B190,pr_code,0))="","",INDEX(pr_price,MATCH(B190,pr_code,0))),""))))</f>
        <v/>
      </c>
      <c r="K190" s="71" t="str">
        <f>IF(COUNTA(A190:G190)=0,"",IF(G190&lt;&gt;"",G190,IF(B190="","",IFERROR(IF(INDEX(pr_rate,MATCH(B190,pr_code,0))="","",INDEX(pr_rate,MATCH(B190,pr_code,0))),""))))</f>
        <v/>
      </c>
      <c r="L190" s="65" t="str">
        <f>IF(COUNTA(A190:G190)=0,"",IF(AND(ISNUMBER(D190),ISNUMBER(J190)),ROUND(D190*J190*(1-N(F190)),2),0))</f>
        <v/>
      </c>
      <c r="M190" s="62" t="str">
        <f>IF(A190="","",IFERROR(INDEX(dv_cname,MATCH(A190,dv_num,0))&amp;"",""))</f>
        <v/>
      </c>
      <c r="N190" s="59" t="str">
        <f>IF(COUNTA(A190:G190)=0,"",IF(A190="","N° devis manquant",IF(ISNA(MATCH(A190,dv_num,0)),"Devis inconnu",IF(AND(B190&lt;&gt;"",ISNA(MATCH(B190,pr_code,0))),"Article inconnu",IF(H190="","Désignation manquante",IF(OR(NOT(ISNUMBER(D190)),N(D190)&lt;=0),"Quantité invalide",IF(J190="","Prix manquant",IF(OR(NOT(ISNUMBER(J190)),N(J190)&lt;0),"Prix invalide",IF(OR(AND(F190&lt;&gt;"",NOT(ISNUMBER(F190))),N(F190)&lt;0,N(F190)&gt;1),"Remise invalide",IF(K190="","Taux de TVA manquant",IF(NOT(ISNUMBER(K190)),"Taux de TVA invalide",IF(COUNTIF(p_rates,K190)=0,"Taux de TVA hors liste (Paramètres)",IF(N(O190)&gt;25,"Au-delà de 25 lignes : non imprimée","OK")))))))))))))</f>
        <v/>
      </c>
      <c r="O190" s="59" t="str">
        <f>IF(A190="","",COUNTIF($A$6:A190,A190))</f>
        <v/>
      </c>
      <c r="P190" s="62" t="str">
        <f>IF(A190="","",A190&amp;"|"&amp;O190)</f>
        <v/>
      </c>
    </row>
    <row r="191">
      <c r="A191" s="60" t="n"/>
      <c r="B191" s="63" t="n"/>
      <c r="C191" s="63" t="n"/>
      <c r="D191" s="67" t="n"/>
      <c r="E191" s="68" t="n"/>
      <c r="F191" s="69" t="n"/>
      <c r="G191" s="70" t="n"/>
      <c r="H191" s="62" t="str">
        <f>IF(COUNTA(A191:G191)=0,"",IF(C191&lt;&gt;"",C191,IF(B191="","",IFERROR(INDEX(pr_des,MATCH(B191,pr_code,0))&amp;"",""))))</f>
        <v/>
      </c>
      <c r="I191" s="59" t="str">
        <f>IF(B191="","",IFERROR(INDEX(pr_unit,MATCH(B191,pr_code,0))&amp;"",""))</f>
        <v/>
      </c>
      <c r="J191" s="65" t="str">
        <f>IF(COUNTA(A191:G191)=0,"",IF(E191&lt;&gt;"",E191,IF(B191="","",IFERROR(IF(INDEX(pr_price,MATCH(B191,pr_code,0))="","",INDEX(pr_price,MATCH(B191,pr_code,0))),""))))</f>
        <v/>
      </c>
      <c r="K191" s="71" t="str">
        <f>IF(COUNTA(A191:G191)=0,"",IF(G191&lt;&gt;"",G191,IF(B191="","",IFERROR(IF(INDEX(pr_rate,MATCH(B191,pr_code,0))="","",INDEX(pr_rate,MATCH(B191,pr_code,0))),""))))</f>
        <v/>
      </c>
      <c r="L191" s="65" t="str">
        <f>IF(COUNTA(A191:G191)=0,"",IF(AND(ISNUMBER(D191),ISNUMBER(J191)),ROUND(D191*J191*(1-N(F191)),2),0))</f>
        <v/>
      </c>
      <c r="M191" s="62" t="str">
        <f>IF(A191="","",IFERROR(INDEX(dv_cname,MATCH(A191,dv_num,0))&amp;"",""))</f>
        <v/>
      </c>
      <c r="N191" s="59" t="str">
        <f>IF(COUNTA(A191:G191)=0,"",IF(A191="","N° devis manquant",IF(ISNA(MATCH(A191,dv_num,0)),"Devis inconnu",IF(AND(B191&lt;&gt;"",ISNA(MATCH(B191,pr_code,0))),"Article inconnu",IF(H191="","Désignation manquante",IF(OR(NOT(ISNUMBER(D191)),N(D191)&lt;=0),"Quantité invalide",IF(J191="","Prix manquant",IF(OR(NOT(ISNUMBER(J191)),N(J191)&lt;0),"Prix invalide",IF(OR(AND(F191&lt;&gt;"",NOT(ISNUMBER(F191))),N(F191)&lt;0,N(F191)&gt;1),"Remise invalide",IF(K191="","Taux de TVA manquant",IF(NOT(ISNUMBER(K191)),"Taux de TVA invalide",IF(COUNTIF(p_rates,K191)=0,"Taux de TVA hors liste (Paramètres)",IF(N(O191)&gt;25,"Au-delà de 25 lignes : non imprimée","OK")))))))))))))</f>
        <v/>
      </c>
      <c r="O191" s="59" t="str">
        <f>IF(A191="","",COUNTIF($A$6:A191,A191))</f>
        <v/>
      </c>
      <c r="P191" s="62" t="str">
        <f>IF(A191="","",A191&amp;"|"&amp;O191)</f>
        <v/>
      </c>
    </row>
    <row r="192">
      <c r="A192" s="60" t="n"/>
      <c r="B192" s="63" t="n"/>
      <c r="C192" s="63" t="n"/>
      <c r="D192" s="67" t="n"/>
      <c r="E192" s="68" t="n"/>
      <c r="F192" s="69" t="n"/>
      <c r="G192" s="70" t="n"/>
      <c r="H192" s="62" t="str">
        <f>IF(COUNTA(A192:G192)=0,"",IF(C192&lt;&gt;"",C192,IF(B192="","",IFERROR(INDEX(pr_des,MATCH(B192,pr_code,0))&amp;"",""))))</f>
        <v/>
      </c>
      <c r="I192" s="59" t="str">
        <f>IF(B192="","",IFERROR(INDEX(pr_unit,MATCH(B192,pr_code,0))&amp;"",""))</f>
        <v/>
      </c>
      <c r="J192" s="65" t="str">
        <f>IF(COUNTA(A192:G192)=0,"",IF(E192&lt;&gt;"",E192,IF(B192="","",IFERROR(IF(INDEX(pr_price,MATCH(B192,pr_code,0))="","",INDEX(pr_price,MATCH(B192,pr_code,0))),""))))</f>
        <v/>
      </c>
      <c r="K192" s="71" t="str">
        <f>IF(COUNTA(A192:G192)=0,"",IF(G192&lt;&gt;"",G192,IF(B192="","",IFERROR(IF(INDEX(pr_rate,MATCH(B192,pr_code,0))="","",INDEX(pr_rate,MATCH(B192,pr_code,0))),""))))</f>
        <v/>
      </c>
      <c r="L192" s="65" t="str">
        <f>IF(COUNTA(A192:G192)=0,"",IF(AND(ISNUMBER(D192),ISNUMBER(J192)),ROUND(D192*J192*(1-N(F192)),2),0))</f>
        <v/>
      </c>
      <c r="M192" s="62" t="str">
        <f>IF(A192="","",IFERROR(INDEX(dv_cname,MATCH(A192,dv_num,0))&amp;"",""))</f>
        <v/>
      </c>
      <c r="N192" s="59" t="str">
        <f>IF(COUNTA(A192:G192)=0,"",IF(A192="","N° devis manquant",IF(ISNA(MATCH(A192,dv_num,0)),"Devis inconnu",IF(AND(B192&lt;&gt;"",ISNA(MATCH(B192,pr_code,0))),"Article inconnu",IF(H192="","Désignation manquante",IF(OR(NOT(ISNUMBER(D192)),N(D192)&lt;=0),"Quantité invalide",IF(J192="","Prix manquant",IF(OR(NOT(ISNUMBER(J192)),N(J192)&lt;0),"Prix invalide",IF(OR(AND(F192&lt;&gt;"",NOT(ISNUMBER(F192))),N(F192)&lt;0,N(F192)&gt;1),"Remise invalide",IF(K192="","Taux de TVA manquant",IF(NOT(ISNUMBER(K192)),"Taux de TVA invalide",IF(COUNTIF(p_rates,K192)=0,"Taux de TVA hors liste (Paramètres)",IF(N(O192)&gt;25,"Au-delà de 25 lignes : non imprimée","OK")))))))))))))</f>
        <v/>
      </c>
      <c r="O192" s="59" t="str">
        <f>IF(A192="","",COUNTIF($A$6:A192,A192))</f>
        <v/>
      </c>
      <c r="P192" s="62" t="str">
        <f>IF(A192="","",A192&amp;"|"&amp;O192)</f>
        <v/>
      </c>
    </row>
    <row r="193">
      <c r="A193" s="60" t="n"/>
      <c r="B193" s="63" t="n"/>
      <c r="C193" s="63" t="n"/>
      <c r="D193" s="67" t="n"/>
      <c r="E193" s="68" t="n"/>
      <c r="F193" s="69" t="n"/>
      <c r="G193" s="70" t="n"/>
      <c r="H193" s="62" t="str">
        <f>IF(COUNTA(A193:G193)=0,"",IF(C193&lt;&gt;"",C193,IF(B193="","",IFERROR(INDEX(pr_des,MATCH(B193,pr_code,0))&amp;"",""))))</f>
        <v/>
      </c>
      <c r="I193" s="59" t="str">
        <f>IF(B193="","",IFERROR(INDEX(pr_unit,MATCH(B193,pr_code,0))&amp;"",""))</f>
        <v/>
      </c>
      <c r="J193" s="65" t="str">
        <f>IF(COUNTA(A193:G193)=0,"",IF(E193&lt;&gt;"",E193,IF(B193="","",IFERROR(IF(INDEX(pr_price,MATCH(B193,pr_code,0))="","",INDEX(pr_price,MATCH(B193,pr_code,0))),""))))</f>
        <v/>
      </c>
      <c r="K193" s="71" t="str">
        <f>IF(COUNTA(A193:G193)=0,"",IF(G193&lt;&gt;"",G193,IF(B193="","",IFERROR(IF(INDEX(pr_rate,MATCH(B193,pr_code,0))="","",INDEX(pr_rate,MATCH(B193,pr_code,0))),""))))</f>
        <v/>
      </c>
      <c r="L193" s="65" t="str">
        <f>IF(COUNTA(A193:G193)=0,"",IF(AND(ISNUMBER(D193),ISNUMBER(J193)),ROUND(D193*J193*(1-N(F193)),2),0))</f>
        <v/>
      </c>
      <c r="M193" s="62" t="str">
        <f>IF(A193="","",IFERROR(INDEX(dv_cname,MATCH(A193,dv_num,0))&amp;"",""))</f>
        <v/>
      </c>
      <c r="N193" s="59" t="str">
        <f>IF(COUNTA(A193:G193)=0,"",IF(A193="","N° devis manquant",IF(ISNA(MATCH(A193,dv_num,0)),"Devis inconnu",IF(AND(B193&lt;&gt;"",ISNA(MATCH(B193,pr_code,0))),"Article inconnu",IF(H193="","Désignation manquante",IF(OR(NOT(ISNUMBER(D193)),N(D193)&lt;=0),"Quantité invalide",IF(J193="","Prix manquant",IF(OR(NOT(ISNUMBER(J193)),N(J193)&lt;0),"Prix invalide",IF(OR(AND(F193&lt;&gt;"",NOT(ISNUMBER(F193))),N(F193)&lt;0,N(F193)&gt;1),"Remise invalide",IF(K193="","Taux de TVA manquant",IF(NOT(ISNUMBER(K193)),"Taux de TVA invalide",IF(COUNTIF(p_rates,K193)=0,"Taux de TVA hors liste (Paramètres)",IF(N(O193)&gt;25,"Au-delà de 25 lignes : non imprimée","OK")))))))))))))</f>
        <v/>
      </c>
      <c r="O193" s="59" t="str">
        <f>IF(A193="","",COUNTIF($A$6:A193,A193))</f>
        <v/>
      </c>
      <c r="P193" s="62" t="str">
        <f>IF(A193="","",A193&amp;"|"&amp;O193)</f>
        <v/>
      </c>
    </row>
    <row r="194">
      <c r="A194" s="60" t="n"/>
      <c r="B194" s="63" t="n"/>
      <c r="C194" s="63" t="n"/>
      <c r="D194" s="67" t="n"/>
      <c r="E194" s="68" t="n"/>
      <c r="F194" s="69" t="n"/>
      <c r="G194" s="70" t="n"/>
      <c r="H194" s="62" t="str">
        <f>IF(COUNTA(A194:G194)=0,"",IF(C194&lt;&gt;"",C194,IF(B194="","",IFERROR(INDEX(pr_des,MATCH(B194,pr_code,0))&amp;"",""))))</f>
        <v/>
      </c>
      <c r="I194" s="59" t="str">
        <f>IF(B194="","",IFERROR(INDEX(pr_unit,MATCH(B194,pr_code,0))&amp;"",""))</f>
        <v/>
      </c>
      <c r="J194" s="65" t="str">
        <f>IF(COUNTA(A194:G194)=0,"",IF(E194&lt;&gt;"",E194,IF(B194="","",IFERROR(IF(INDEX(pr_price,MATCH(B194,pr_code,0))="","",INDEX(pr_price,MATCH(B194,pr_code,0))),""))))</f>
        <v/>
      </c>
      <c r="K194" s="71" t="str">
        <f>IF(COUNTA(A194:G194)=0,"",IF(G194&lt;&gt;"",G194,IF(B194="","",IFERROR(IF(INDEX(pr_rate,MATCH(B194,pr_code,0))="","",INDEX(pr_rate,MATCH(B194,pr_code,0))),""))))</f>
        <v/>
      </c>
      <c r="L194" s="65" t="str">
        <f>IF(COUNTA(A194:G194)=0,"",IF(AND(ISNUMBER(D194),ISNUMBER(J194)),ROUND(D194*J194*(1-N(F194)),2),0))</f>
        <v/>
      </c>
      <c r="M194" s="62" t="str">
        <f>IF(A194="","",IFERROR(INDEX(dv_cname,MATCH(A194,dv_num,0))&amp;"",""))</f>
        <v/>
      </c>
      <c r="N194" s="59" t="str">
        <f>IF(COUNTA(A194:G194)=0,"",IF(A194="","N° devis manquant",IF(ISNA(MATCH(A194,dv_num,0)),"Devis inconnu",IF(AND(B194&lt;&gt;"",ISNA(MATCH(B194,pr_code,0))),"Article inconnu",IF(H194="","Désignation manquante",IF(OR(NOT(ISNUMBER(D194)),N(D194)&lt;=0),"Quantité invalide",IF(J194="","Prix manquant",IF(OR(NOT(ISNUMBER(J194)),N(J194)&lt;0),"Prix invalide",IF(OR(AND(F194&lt;&gt;"",NOT(ISNUMBER(F194))),N(F194)&lt;0,N(F194)&gt;1),"Remise invalide",IF(K194="","Taux de TVA manquant",IF(NOT(ISNUMBER(K194)),"Taux de TVA invalide",IF(COUNTIF(p_rates,K194)=0,"Taux de TVA hors liste (Paramètres)",IF(N(O194)&gt;25,"Au-delà de 25 lignes : non imprimée","OK")))))))))))))</f>
        <v/>
      </c>
      <c r="O194" s="59" t="str">
        <f>IF(A194="","",COUNTIF($A$6:A194,A194))</f>
        <v/>
      </c>
      <c r="P194" s="62" t="str">
        <f>IF(A194="","",A194&amp;"|"&amp;O194)</f>
        <v/>
      </c>
    </row>
    <row r="195">
      <c r="A195" s="60" t="n"/>
      <c r="B195" s="63" t="n"/>
      <c r="C195" s="63" t="n"/>
      <c r="D195" s="67" t="n"/>
      <c r="E195" s="68" t="n"/>
      <c r="F195" s="69" t="n"/>
      <c r="G195" s="70" t="n"/>
      <c r="H195" s="62" t="str">
        <f>IF(COUNTA(A195:G195)=0,"",IF(C195&lt;&gt;"",C195,IF(B195="","",IFERROR(INDEX(pr_des,MATCH(B195,pr_code,0))&amp;"",""))))</f>
        <v/>
      </c>
      <c r="I195" s="59" t="str">
        <f>IF(B195="","",IFERROR(INDEX(pr_unit,MATCH(B195,pr_code,0))&amp;"",""))</f>
        <v/>
      </c>
      <c r="J195" s="65" t="str">
        <f>IF(COUNTA(A195:G195)=0,"",IF(E195&lt;&gt;"",E195,IF(B195="","",IFERROR(IF(INDEX(pr_price,MATCH(B195,pr_code,0))="","",INDEX(pr_price,MATCH(B195,pr_code,0))),""))))</f>
        <v/>
      </c>
      <c r="K195" s="71" t="str">
        <f>IF(COUNTA(A195:G195)=0,"",IF(G195&lt;&gt;"",G195,IF(B195="","",IFERROR(IF(INDEX(pr_rate,MATCH(B195,pr_code,0))="","",INDEX(pr_rate,MATCH(B195,pr_code,0))),""))))</f>
        <v/>
      </c>
      <c r="L195" s="65" t="str">
        <f>IF(COUNTA(A195:G195)=0,"",IF(AND(ISNUMBER(D195),ISNUMBER(J195)),ROUND(D195*J195*(1-N(F195)),2),0))</f>
        <v/>
      </c>
      <c r="M195" s="62" t="str">
        <f>IF(A195="","",IFERROR(INDEX(dv_cname,MATCH(A195,dv_num,0))&amp;"",""))</f>
        <v/>
      </c>
      <c r="N195" s="59" t="str">
        <f>IF(COUNTA(A195:G195)=0,"",IF(A195="","N° devis manquant",IF(ISNA(MATCH(A195,dv_num,0)),"Devis inconnu",IF(AND(B195&lt;&gt;"",ISNA(MATCH(B195,pr_code,0))),"Article inconnu",IF(H195="","Désignation manquante",IF(OR(NOT(ISNUMBER(D195)),N(D195)&lt;=0),"Quantité invalide",IF(J195="","Prix manquant",IF(OR(NOT(ISNUMBER(J195)),N(J195)&lt;0),"Prix invalide",IF(OR(AND(F195&lt;&gt;"",NOT(ISNUMBER(F195))),N(F195)&lt;0,N(F195)&gt;1),"Remise invalide",IF(K195="","Taux de TVA manquant",IF(NOT(ISNUMBER(K195)),"Taux de TVA invalide",IF(COUNTIF(p_rates,K195)=0,"Taux de TVA hors liste (Paramètres)",IF(N(O195)&gt;25,"Au-delà de 25 lignes : non imprimée","OK")))))))))))))</f>
        <v/>
      </c>
      <c r="O195" s="59" t="str">
        <f>IF(A195="","",COUNTIF($A$6:A195,A195))</f>
        <v/>
      </c>
      <c r="P195" s="62" t="str">
        <f>IF(A195="","",A195&amp;"|"&amp;O195)</f>
        <v/>
      </c>
    </row>
    <row r="196">
      <c r="A196" s="60" t="n"/>
      <c r="B196" s="63" t="n"/>
      <c r="C196" s="63" t="n"/>
      <c r="D196" s="67" t="n"/>
      <c r="E196" s="68" t="n"/>
      <c r="F196" s="69" t="n"/>
      <c r="G196" s="70" t="n"/>
      <c r="H196" s="62" t="str">
        <f>IF(COUNTA(A196:G196)=0,"",IF(C196&lt;&gt;"",C196,IF(B196="","",IFERROR(INDEX(pr_des,MATCH(B196,pr_code,0))&amp;"",""))))</f>
        <v/>
      </c>
      <c r="I196" s="59" t="str">
        <f>IF(B196="","",IFERROR(INDEX(pr_unit,MATCH(B196,pr_code,0))&amp;"",""))</f>
        <v/>
      </c>
      <c r="J196" s="65" t="str">
        <f>IF(COUNTA(A196:G196)=0,"",IF(E196&lt;&gt;"",E196,IF(B196="","",IFERROR(IF(INDEX(pr_price,MATCH(B196,pr_code,0))="","",INDEX(pr_price,MATCH(B196,pr_code,0))),""))))</f>
        <v/>
      </c>
      <c r="K196" s="71" t="str">
        <f>IF(COUNTA(A196:G196)=0,"",IF(G196&lt;&gt;"",G196,IF(B196="","",IFERROR(IF(INDEX(pr_rate,MATCH(B196,pr_code,0))="","",INDEX(pr_rate,MATCH(B196,pr_code,0))),""))))</f>
        <v/>
      </c>
      <c r="L196" s="65" t="str">
        <f>IF(COUNTA(A196:G196)=0,"",IF(AND(ISNUMBER(D196),ISNUMBER(J196)),ROUND(D196*J196*(1-N(F196)),2),0))</f>
        <v/>
      </c>
      <c r="M196" s="62" t="str">
        <f>IF(A196="","",IFERROR(INDEX(dv_cname,MATCH(A196,dv_num,0))&amp;"",""))</f>
        <v/>
      </c>
      <c r="N196" s="59" t="str">
        <f>IF(COUNTA(A196:G196)=0,"",IF(A196="","N° devis manquant",IF(ISNA(MATCH(A196,dv_num,0)),"Devis inconnu",IF(AND(B196&lt;&gt;"",ISNA(MATCH(B196,pr_code,0))),"Article inconnu",IF(H196="","Désignation manquante",IF(OR(NOT(ISNUMBER(D196)),N(D196)&lt;=0),"Quantité invalide",IF(J196="","Prix manquant",IF(OR(NOT(ISNUMBER(J196)),N(J196)&lt;0),"Prix invalide",IF(OR(AND(F196&lt;&gt;"",NOT(ISNUMBER(F196))),N(F196)&lt;0,N(F196)&gt;1),"Remise invalide",IF(K196="","Taux de TVA manquant",IF(NOT(ISNUMBER(K196)),"Taux de TVA invalide",IF(COUNTIF(p_rates,K196)=0,"Taux de TVA hors liste (Paramètres)",IF(N(O196)&gt;25,"Au-delà de 25 lignes : non imprimée","OK")))))))))))))</f>
        <v/>
      </c>
      <c r="O196" s="59" t="str">
        <f>IF(A196="","",COUNTIF($A$6:A196,A196))</f>
        <v/>
      </c>
      <c r="P196" s="62" t="str">
        <f>IF(A196="","",A196&amp;"|"&amp;O196)</f>
        <v/>
      </c>
    </row>
    <row r="197">
      <c r="A197" s="60" t="n"/>
      <c r="B197" s="63" t="n"/>
      <c r="C197" s="63" t="n"/>
      <c r="D197" s="67" t="n"/>
      <c r="E197" s="68" t="n"/>
      <c r="F197" s="69" t="n"/>
      <c r="G197" s="70" t="n"/>
      <c r="H197" s="62" t="str">
        <f>IF(COUNTA(A197:G197)=0,"",IF(C197&lt;&gt;"",C197,IF(B197="","",IFERROR(INDEX(pr_des,MATCH(B197,pr_code,0))&amp;"",""))))</f>
        <v/>
      </c>
      <c r="I197" s="59" t="str">
        <f>IF(B197="","",IFERROR(INDEX(pr_unit,MATCH(B197,pr_code,0))&amp;"",""))</f>
        <v/>
      </c>
      <c r="J197" s="65" t="str">
        <f>IF(COUNTA(A197:G197)=0,"",IF(E197&lt;&gt;"",E197,IF(B197="","",IFERROR(IF(INDEX(pr_price,MATCH(B197,pr_code,0))="","",INDEX(pr_price,MATCH(B197,pr_code,0))),""))))</f>
        <v/>
      </c>
      <c r="K197" s="71" t="str">
        <f>IF(COUNTA(A197:G197)=0,"",IF(G197&lt;&gt;"",G197,IF(B197="","",IFERROR(IF(INDEX(pr_rate,MATCH(B197,pr_code,0))="","",INDEX(pr_rate,MATCH(B197,pr_code,0))),""))))</f>
        <v/>
      </c>
      <c r="L197" s="65" t="str">
        <f>IF(COUNTA(A197:G197)=0,"",IF(AND(ISNUMBER(D197),ISNUMBER(J197)),ROUND(D197*J197*(1-N(F197)),2),0))</f>
        <v/>
      </c>
      <c r="M197" s="62" t="str">
        <f>IF(A197="","",IFERROR(INDEX(dv_cname,MATCH(A197,dv_num,0))&amp;"",""))</f>
        <v/>
      </c>
      <c r="N197" s="59" t="str">
        <f>IF(COUNTA(A197:G197)=0,"",IF(A197="","N° devis manquant",IF(ISNA(MATCH(A197,dv_num,0)),"Devis inconnu",IF(AND(B197&lt;&gt;"",ISNA(MATCH(B197,pr_code,0))),"Article inconnu",IF(H197="","Désignation manquante",IF(OR(NOT(ISNUMBER(D197)),N(D197)&lt;=0),"Quantité invalide",IF(J197="","Prix manquant",IF(OR(NOT(ISNUMBER(J197)),N(J197)&lt;0),"Prix invalide",IF(OR(AND(F197&lt;&gt;"",NOT(ISNUMBER(F197))),N(F197)&lt;0,N(F197)&gt;1),"Remise invalide",IF(K197="","Taux de TVA manquant",IF(NOT(ISNUMBER(K197)),"Taux de TVA invalide",IF(COUNTIF(p_rates,K197)=0,"Taux de TVA hors liste (Paramètres)",IF(N(O197)&gt;25,"Au-delà de 25 lignes : non imprimée","OK")))))))))))))</f>
        <v/>
      </c>
      <c r="O197" s="59" t="str">
        <f>IF(A197="","",COUNTIF($A$6:A197,A197))</f>
        <v/>
      </c>
      <c r="P197" s="62" t="str">
        <f>IF(A197="","",A197&amp;"|"&amp;O197)</f>
        <v/>
      </c>
    </row>
    <row r="198">
      <c r="A198" s="60" t="n"/>
      <c r="B198" s="63" t="n"/>
      <c r="C198" s="63" t="n"/>
      <c r="D198" s="67" t="n"/>
      <c r="E198" s="68" t="n"/>
      <c r="F198" s="69" t="n"/>
      <c r="G198" s="70" t="n"/>
      <c r="H198" s="62" t="str">
        <f>IF(COUNTA(A198:G198)=0,"",IF(C198&lt;&gt;"",C198,IF(B198="","",IFERROR(INDEX(pr_des,MATCH(B198,pr_code,0))&amp;"",""))))</f>
        <v/>
      </c>
      <c r="I198" s="59" t="str">
        <f>IF(B198="","",IFERROR(INDEX(pr_unit,MATCH(B198,pr_code,0))&amp;"",""))</f>
        <v/>
      </c>
      <c r="J198" s="65" t="str">
        <f>IF(COUNTA(A198:G198)=0,"",IF(E198&lt;&gt;"",E198,IF(B198="","",IFERROR(IF(INDEX(pr_price,MATCH(B198,pr_code,0))="","",INDEX(pr_price,MATCH(B198,pr_code,0))),""))))</f>
        <v/>
      </c>
      <c r="K198" s="71" t="str">
        <f>IF(COUNTA(A198:G198)=0,"",IF(G198&lt;&gt;"",G198,IF(B198="","",IFERROR(IF(INDEX(pr_rate,MATCH(B198,pr_code,0))="","",INDEX(pr_rate,MATCH(B198,pr_code,0))),""))))</f>
        <v/>
      </c>
      <c r="L198" s="65" t="str">
        <f>IF(COUNTA(A198:G198)=0,"",IF(AND(ISNUMBER(D198),ISNUMBER(J198)),ROUND(D198*J198*(1-N(F198)),2),0))</f>
        <v/>
      </c>
      <c r="M198" s="62" t="str">
        <f>IF(A198="","",IFERROR(INDEX(dv_cname,MATCH(A198,dv_num,0))&amp;"",""))</f>
        <v/>
      </c>
      <c r="N198" s="59" t="str">
        <f>IF(COUNTA(A198:G198)=0,"",IF(A198="","N° devis manquant",IF(ISNA(MATCH(A198,dv_num,0)),"Devis inconnu",IF(AND(B198&lt;&gt;"",ISNA(MATCH(B198,pr_code,0))),"Article inconnu",IF(H198="","Désignation manquante",IF(OR(NOT(ISNUMBER(D198)),N(D198)&lt;=0),"Quantité invalide",IF(J198="","Prix manquant",IF(OR(NOT(ISNUMBER(J198)),N(J198)&lt;0),"Prix invalide",IF(OR(AND(F198&lt;&gt;"",NOT(ISNUMBER(F198))),N(F198)&lt;0,N(F198)&gt;1),"Remise invalide",IF(K198="","Taux de TVA manquant",IF(NOT(ISNUMBER(K198)),"Taux de TVA invalide",IF(COUNTIF(p_rates,K198)=0,"Taux de TVA hors liste (Paramètres)",IF(N(O198)&gt;25,"Au-delà de 25 lignes : non imprimée","OK")))))))))))))</f>
        <v/>
      </c>
      <c r="O198" s="59" t="str">
        <f>IF(A198="","",COUNTIF($A$6:A198,A198))</f>
        <v/>
      </c>
      <c r="P198" s="62" t="str">
        <f>IF(A198="","",A198&amp;"|"&amp;O198)</f>
        <v/>
      </c>
    </row>
    <row r="199">
      <c r="A199" s="60" t="n"/>
      <c r="B199" s="63" t="n"/>
      <c r="C199" s="63" t="n"/>
      <c r="D199" s="67" t="n"/>
      <c r="E199" s="68" t="n"/>
      <c r="F199" s="69" t="n"/>
      <c r="G199" s="70" t="n"/>
      <c r="H199" s="62" t="str">
        <f>IF(COUNTA(A199:G199)=0,"",IF(C199&lt;&gt;"",C199,IF(B199="","",IFERROR(INDEX(pr_des,MATCH(B199,pr_code,0))&amp;"",""))))</f>
        <v/>
      </c>
      <c r="I199" s="59" t="str">
        <f>IF(B199="","",IFERROR(INDEX(pr_unit,MATCH(B199,pr_code,0))&amp;"",""))</f>
        <v/>
      </c>
      <c r="J199" s="65" t="str">
        <f>IF(COUNTA(A199:G199)=0,"",IF(E199&lt;&gt;"",E199,IF(B199="","",IFERROR(IF(INDEX(pr_price,MATCH(B199,pr_code,0))="","",INDEX(pr_price,MATCH(B199,pr_code,0))),""))))</f>
        <v/>
      </c>
      <c r="K199" s="71" t="str">
        <f>IF(COUNTA(A199:G199)=0,"",IF(G199&lt;&gt;"",G199,IF(B199="","",IFERROR(IF(INDEX(pr_rate,MATCH(B199,pr_code,0))="","",INDEX(pr_rate,MATCH(B199,pr_code,0))),""))))</f>
        <v/>
      </c>
      <c r="L199" s="65" t="str">
        <f>IF(COUNTA(A199:G199)=0,"",IF(AND(ISNUMBER(D199),ISNUMBER(J199)),ROUND(D199*J199*(1-N(F199)),2),0))</f>
        <v/>
      </c>
      <c r="M199" s="62" t="str">
        <f>IF(A199="","",IFERROR(INDEX(dv_cname,MATCH(A199,dv_num,0))&amp;"",""))</f>
        <v/>
      </c>
      <c r="N199" s="59" t="str">
        <f>IF(COUNTA(A199:G199)=0,"",IF(A199="","N° devis manquant",IF(ISNA(MATCH(A199,dv_num,0)),"Devis inconnu",IF(AND(B199&lt;&gt;"",ISNA(MATCH(B199,pr_code,0))),"Article inconnu",IF(H199="","Désignation manquante",IF(OR(NOT(ISNUMBER(D199)),N(D199)&lt;=0),"Quantité invalide",IF(J199="","Prix manquant",IF(OR(NOT(ISNUMBER(J199)),N(J199)&lt;0),"Prix invalide",IF(OR(AND(F199&lt;&gt;"",NOT(ISNUMBER(F199))),N(F199)&lt;0,N(F199)&gt;1),"Remise invalide",IF(K199="","Taux de TVA manquant",IF(NOT(ISNUMBER(K199)),"Taux de TVA invalide",IF(COUNTIF(p_rates,K199)=0,"Taux de TVA hors liste (Paramètres)",IF(N(O199)&gt;25,"Au-delà de 25 lignes : non imprimée","OK")))))))))))))</f>
        <v/>
      </c>
      <c r="O199" s="59" t="str">
        <f>IF(A199="","",COUNTIF($A$6:A199,A199))</f>
        <v/>
      </c>
      <c r="P199" s="62" t="str">
        <f>IF(A199="","",A199&amp;"|"&amp;O199)</f>
        <v/>
      </c>
    </row>
    <row r="200">
      <c r="A200" s="60" t="n"/>
      <c r="B200" s="63" t="n"/>
      <c r="C200" s="63" t="n"/>
      <c r="D200" s="67" t="n"/>
      <c r="E200" s="68" t="n"/>
      <c r="F200" s="69" t="n"/>
      <c r="G200" s="70" t="n"/>
      <c r="H200" s="62" t="str">
        <f>IF(COUNTA(A200:G200)=0,"",IF(C200&lt;&gt;"",C200,IF(B200="","",IFERROR(INDEX(pr_des,MATCH(B200,pr_code,0))&amp;"",""))))</f>
        <v/>
      </c>
      <c r="I200" s="59" t="str">
        <f>IF(B200="","",IFERROR(INDEX(pr_unit,MATCH(B200,pr_code,0))&amp;"",""))</f>
        <v/>
      </c>
      <c r="J200" s="65" t="str">
        <f>IF(COUNTA(A200:G200)=0,"",IF(E200&lt;&gt;"",E200,IF(B200="","",IFERROR(IF(INDEX(pr_price,MATCH(B200,pr_code,0))="","",INDEX(pr_price,MATCH(B200,pr_code,0))),""))))</f>
        <v/>
      </c>
      <c r="K200" s="71" t="str">
        <f>IF(COUNTA(A200:G200)=0,"",IF(G200&lt;&gt;"",G200,IF(B200="","",IFERROR(IF(INDEX(pr_rate,MATCH(B200,pr_code,0))="","",INDEX(pr_rate,MATCH(B200,pr_code,0))),""))))</f>
        <v/>
      </c>
      <c r="L200" s="65" t="str">
        <f>IF(COUNTA(A200:G200)=0,"",IF(AND(ISNUMBER(D200),ISNUMBER(J200)),ROUND(D200*J200*(1-N(F200)),2),0))</f>
        <v/>
      </c>
      <c r="M200" s="62" t="str">
        <f>IF(A200="","",IFERROR(INDEX(dv_cname,MATCH(A200,dv_num,0))&amp;"",""))</f>
        <v/>
      </c>
      <c r="N200" s="59" t="str">
        <f>IF(COUNTA(A200:G200)=0,"",IF(A200="","N° devis manquant",IF(ISNA(MATCH(A200,dv_num,0)),"Devis inconnu",IF(AND(B200&lt;&gt;"",ISNA(MATCH(B200,pr_code,0))),"Article inconnu",IF(H200="","Désignation manquante",IF(OR(NOT(ISNUMBER(D200)),N(D200)&lt;=0),"Quantité invalide",IF(J200="","Prix manquant",IF(OR(NOT(ISNUMBER(J200)),N(J200)&lt;0),"Prix invalide",IF(OR(AND(F200&lt;&gt;"",NOT(ISNUMBER(F200))),N(F200)&lt;0,N(F200)&gt;1),"Remise invalide",IF(K200="","Taux de TVA manquant",IF(NOT(ISNUMBER(K200)),"Taux de TVA invalide",IF(COUNTIF(p_rates,K200)=0,"Taux de TVA hors liste (Paramètres)",IF(N(O200)&gt;25,"Au-delà de 25 lignes : non imprimée","OK")))))))))))))</f>
        <v/>
      </c>
      <c r="O200" s="59" t="str">
        <f>IF(A200="","",COUNTIF($A$6:A200,A200))</f>
        <v/>
      </c>
      <c r="P200" s="62" t="str">
        <f>IF(A200="","",A200&amp;"|"&amp;O200)</f>
        <v/>
      </c>
    </row>
    <row r="201">
      <c r="A201" s="60" t="n"/>
      <c r="B201" s="63" t="n"/>
      <c r="C201" s="63" t="n"/>
      <c r="D201" s="67" t="n"/>
      <c r="E201" s="68" t="n"/>
      <c r="F201" s="69" t="n"/>
      <c r="G201" s="70" t="n"/>
      <c r="H201" s="62" t="str">
        <f>IF(COUNTA(A201:G201)=0,"",IF(C201&lt;&gt;"",C201,IF(B201="","",IFERROR(INDEX(pr_des,MATCH(B201,pr_code,0))&amp;"",""))))</f>
        <v/>
      </c>
      <c r="I201" s="59" t="str">
        <f>IF(B201="","",IFERROR(INDEX(pr_unit,MATCH(B201,pr_code,0))&amp;"",""))</f>
        <v/>
      </c>
      <c r="J201" s="65" t="str">
        <f>IF(COUNTA(A201:G201)=0,"",IF(E201&lt;&gt;"",E201,IF(B201="","",IFERROR(IF(INDEX(pr_price,MATCH(B201,pr_code,0))="","",INDEX(pr_price,MATCH(B201,pr_code,0))),""))))</f>
        <v/>
      </c>
      <c r="K201" s="71" t="str">
        <f>IF(COUNTA(A201:G201)=0,"",IF(G201&lt;&gt;"",G201,IF(B201="","",IFERROR(IF(INDEX(pr_rate,MATCH(B201,pr_code,0))="","",INDEX(pr_rate,MATCH(B201,pr_code,0))),""))))</f>
        <v/>
      </c>
      <c r="L201" s="65" t="str">
        <f>IF(COUNTA(A201:G201)=0,"",IF(AND(ISNUMBER(D201),ISNUMBER(J201)),ROUND(D201*J201*(1-N(F201)),2),0))</f>
        <v/>
      </c>
      <c r="M201" s="62" t="str">
        <f>IF(A201="","",IFERROR(INDEX(dv_cname,MATCH(A201,dv_num,0))&amp;"",""))</f>
        <v/>
      </c>
      <c r="N201" s="59" t="str">
        <f>IF(COUNTA(A201:G201)=0,"",IF(A201="","N° devis manquant",IF(ISNA(MATCH(A201,dv_num,0)),"Devis inconnu",IF(AND(B201&lt;&gt;"",ISNA(MATCH(B201,pr_code,0))),"Article inconnu",IF(H201="","Désignation manquante",IF(OR(NOT(ISNUMBER(D201)),N(D201)&lt;=0),"Quantité invalide",IF(J201="","Prix manquant",IF(OR(NOT(ISNUMBER(J201)),N(J201)&lt;0),"Prix invalide",IF(OR(AND(F201&lt;&gt;"",NOT(ISNUMBER(F201))),N(F201)&lt;0,N(F201)&gt;1),"Remise invalide",IF(K201="","Taux de TVA manquant",IF(NOT(ISNUMBER(K201)),"Taux de TVA invalide",IF(COUNTIF(p_rates,K201)=0,"Taux de TVA hors liste (Paramètres)",IF(N(O201)&gt;25,"Au-delà de 25 lignes : non imprimée","OK")))))))))))))</f>
        <v/>
      </c>
      <c r="O201" s="59" t="str">
        <f>IF(A201="","",COUNTIF($A$6:A201,A201))</f>
        <v/>
      </c>
      <c r="P201" s="62" t="str">
        <f>IF(A201="","",A201&amp;"|"&amp;O201)</f>
        <v/>
      </c>
    </row>
    <row r="202">
      <c r="A202" s="60" t="n"/>
      <c r="B202" s="63" t="n"/>
      <c r="C202" s="63" t="n"/>
      <c r="D202" s="67" t="n"/>
      <c r="E202" s="68" t="n"/>
      <c r="F202" s="69" t="n"/>
      <c r="G202" s="70" t="n"/>
      <c r="H202" s="62" t="str">
        <f>IF(COUNTA(A202:G202)=0,"",IF(C202&lt;&gt;"",C202,IF(B202="","",IFERROR(INDEX(pr_des,MATCH(B202,pr_code,0))&amp;"",""))))</f>
        <v/>
      </c>
      <c r="I202" s="59" t="str">
        <f>IF(B202="","",IFERROR(INDEX(pr_unit,MATCH(B202,pr_code,0))&amp;"",""))</f>
        <v/>
      </c>
      <c r="J202" s="65" t="str">
        <f>IF(COUNTA(A202:G202)=0,"",IF(E202&lt;&gt;"",E202,IF(B202="","",IFERROR(IF(INDEX(pr_price,MATCH(B202,pr_code,0))="","",INDEX(pr_price,MATCH(B202,pr_code,0))),""))))</f>
        <v/>
      </c>
      <c r="K202" s="71" t="str">
        <f>IF(COUNTA(A202:G202)=0,"",IF(G202&lt;&gt;"",G202,IF(B202="","",IFERROR(IF(INDEX(pr_rate,MATCH(B202,pr_code,0))="","",INDEX(pr_rate,MATCH(B202,pr_code,0))),""))))</f>
        <v/>
      </c>
      <c r="L202" s="65" t="str">
        <f>IF(COUNTA(A202:G202)=0,"",IF(AND(ISNUMBER(D202),ISNUMBER(J202)),ROUND(D202*J202*(1-N(F202)),2),0))</f>
        <v/>
      </c>
      <c r="M202" s="62" t="str">
        <f>IF(A202="","",IFERROR(INDEX(dv_cname,MATCH(A202,dv_num,0))&amp;"",""))</f>
        <v/>
      </c>
      <c r="N202" s="59" t="str">
        <f>IF(COUNTA(A202:G202)=0,"",IF(A202="","N° devis manquant",IF(ISNA(MATCH(A202,dv_num,0)),"Devis inconnu",IF(AND(B202&lt;&gt;"",ISNA(MATCH(B202,pr_code,0))),"Article inconnu",IF(H202="","Désignation manquante",IF(OR(NOT(ISNUMBER(D202)),N(D202)&lt;=0),"Quantité invalide",IF(J202="","Prix manquant",IF(OR(NOT(ISNUMBER(J202)),N(J202)&lt;0),"Prix invalide",IF(OR(AND(F202&lt;&gt;"",NOT(ISNUMBER(F202))),N(F202)&lt;0,N(F202)&gt;1),"Remise invalide",IF(K202="","Taux de TVA manquant",IF(NOT(ISNUMBER(K202)),"Taux de TVA invalide",IF(COUNTIF(p_rates,K202)=0,"Taux de TVA hors liste (Paramètres)",IF(N(O202)&gt;25,"Au-delà de 25 lignes : non imprimée","OK")))))))))))))</f>
        <v/>
      </c>
      <c r="O202" s="59" t="str">
        <f>IF(A202="","",COUNTIF($A$6:A202,A202))</f>
        <v/>
      </c>
      <c r="P202" s="62" t="str">
        <f>IF(A202="","",A202&amp;"|"&amp;O202)</f>
        <v/>
      </c>
    </row>
    <row r="203">
      <c r="A203" s="60" t="n"/>
      <c r="B203" s="63" t="n"/>
      <c r="C203" s="63" t="n"/>
      <c r="D203" s="67" t="n"/>
      <c r="E203" s="68" t="n"/>
      <c r="F203" s="69" t="n"/>
      <c r="G203" s="70" t="n"/>
      <c r="H203" s="62" t="str">
        <f>IF(COUNTA(A203:G203)=0,"",IF(C203&lt;&gt;"",C203,IF(B203="","",IFERROR(INDEX(pr_des,MATCH(B203,pr_code,0))&amp;"",""))))</f>
        <v/>
      </c>
      <c r="I203" s="59" t="str">
        <f>IF(B203="","",IFERROR(INDEX(pr_unit,MATCH(B203,pr_code,0))&amp;"",""))</f>
        <v/>
      </c>
      <c r="J203" s="65" t="str">
        <f>IF(COUNTA(A203:G203)=0,"",IF(E203&lt;&gt;"",E203,IF(B203="","",IFERROR(IF(INDEX(pr_price,MATCH(B203,pr_code,0))="","",INDEX(pr_price,MATCH(B203,pr_code,0))),""))))</f>
        <v/>
      </c>
      <c r="K203" s="71" t="str">
        <f>IF(COUNTA(A203:G203)=0,"",IF(G203&lt;&gt;"",G203,IF(B203="","",IFERROR(IF(INDEX(pr_rate,MATCH(B203,pr_code,0))="","",INDEX(pr_rate,MATCH(B203,pr_code,0))),""))))</f>
        <v/>
      </c>
      <c r="L203" s="65" t="str">
        <f>IF(COUNTA(A203:G203)=0,"",IF(AND(ISNUMBER(D203),ISNUMBER(J203)),ROUND(D203*J203*(1-N(F203)),2),0))</f>
        <v/>
      </c>
      <c r="M203" s="62" t="str">
        <f>IF(A203="","",IFERROR(INDEX(dv_cname,MATCH(A203,dv_num,0))&amp;"",""))</f>
        <v/>
      </c>
      <c r="N203" s="59" t="str">
        <f>IF(COUNTA(A203:G203)=0,"",IF(A203="","N° devis manquant",IF(ISNA(MATCH(A203,dv_num,0)),"Devis inconnu",IF(AND(B203&lt;&gt;"",ISNA(MATCH(B203,pr_code,0))),"Article inconnu",IF(H203="","Désignation manquante",IF(OR(NOT(ISNUMBER(D203)),N(D203)&lt;=0),"Quantité invalide",IF(J203="","Prix manquant",IF(OR(NOT(ISNUMBER(J203)),N(J203)&lt;0),"Prix invalide",IF(OR(AND(F203&lt;&gt;"",NOT(ISNUMBER(F203))),N(F203)&lt;0,N(F203)&gt;1),"Remise invalide",IF(K203="","Taux de TVA manquant",IF(NOT(ISNUMBER(K203)),"Taux de TVA invalide",IF(COUNTIF(p_rates,K203)=0,"Taux de TVA hors liste (Paramètres)",IF(N(O203)&gt;25,"Au-delà de 25 lignes : non imprimée","OK")))))))))))))</f>
        <v/>
      </c>
      <c r="O203" s="59" t="str">
        <f>IF(A203="","",COUNTIF($A$6:A203,A203))</f>
        <v/>
      </c>
      <c r="P203" s="62" t="str">
        <f>IF(A203="","",A203&amp;"|"&amp;O203)</f>
        <v/>
      </c>
    </row>
    <row r="204">
      <c r="A204" s="60" t="n"/>
      <c r="B204" s="63" t="n"/>
      <c r="C204" s="63" t="n"/>
      <c r="D204" s="67" t="n"/>
      <c r="E204" s="68" t="n"/>
      <c r="F204" s="69" t="n"/>
      <c r="G204" s="70" t="n"/>
      <c r="H204" s="62" t="str">
        <f>IF(COUNTA(A204:G204)=0,"",IF(C204&lt;&gt;"",C204,IF(B204="","",IFERROR(INDEX(pr_des,MATCH(B204,pr_code,0))&amp;"",""))))</f>
        <v/>
      </c>
      <c r="I204" s="59" t="str">
        <f>IF(B204="","",IFERROR(INDEX(pr_unit,MATCH(B204,pr_code,0))&amp;"",""))</f>
        <v/>
      </c>
      <c r="J204" s="65" t="str">
        <f>IF(COUNTA(A204:G204)=0,"",IF(E204&lt;&gt;"",E204,IF(B204="","",IFERROR(IF(INDEX(pr_price,MATCH(B204,pr_code,0))="","",INDEX(pr_price,MATCH(B204,pr_code,0))),""))))</f>
        <v/>
      </c>
      <c r="K204" s="71" t="str">
        <f>IF(COUNTA(A204:G204)=0,"",IF(G204&lt;&gt;"",G204,IF(B204="","",IFERROR(IF(INDEX(pr_rate,MATCH(B204,pr_code,0))="","",INDEX(pr_rate,MATCH(B204,pr_code,0))),""))))</f>
        <v/>
      </c>
      <c r="L204" s="65" t="str">
        <f>IF(COUNTA(A204:G204)=0,"",IF(AND(ISNUMBER(D204),ISNUMBER(J204)),ROUND(D204*J204*(1-N(F204)),2),0))</f>
        <v/>
      </c>
      <c r="M204" s="62" t="str">
        <f>IF(A204="","",IFERROR(INDEX(dv_cname,MATCH(A204,dv_num,0))&amp;"",""))</f>
        <v/>
      </c>
      <c r="N204" s="59" t="str">
        <f>IF(COUNTA(A204:G204)=0,"",IF(A204="","N° devis manquant",IF(ISNA(MATCH(A204,dv_num,0)),"Devis inconnu",IF(AND(B204&lt;&gt;"",ISNA(MATCH(B204,pr_code,0))),"Article inconnu",IF(H204="","Désignation manquante",IF(OR(NOT(ISNUMBER(D204)),N(D204)&lt;=0),"Quantité invalide",IF(J204="","Prix manquant",IF(OR(NOT(ISNUMBER(J204)),N(J204)&lt;0),"Prix invalide",IF(OR(AND(F204&lt;&gt;"",NOT(ISNUMBER(F204))),N(F204)&lt;0,N(F204)&gt;1),"Remise invalide",IF(K204="","Taux de TVA manquant",IF(NOT(ISNUMBER(K204)),"Taux de TVA invalide",IF(COUNTIF(p_rates,K204)=0,"Taux de TVA hors liste (Paramètres)",IF(N(O204)&gt;25,"Au-delà de 25 lignes : non imprimée","OK")))))))))))))</f>
        <v/>
      </c>
      <c r="O204" s="59" t="str">
        <f>IF(A204="","",COUNTIF($A$6:A204,A204))</f>
        <v/>
      </c>
      <c r="P204" s="62" t="str">
        <f>IF(A204="","",A204&amp;"|"&amp;O204)</f>
        <v/>
      </c>
    </row>
    <row r="205">
      <c r="A205" s="60" t="n"/>
      <c r="B205" s="63" t="n"/>
      <c r="C205" s="63" t="n"/>
      <c r="D205" s="67" t="n"/>
      <c r="E205" s="68" t="n"/>
      <c r="F205" s="69" t="n"/>
      <c r="G205" s="70" t="n"/>
      <c r="H205" s="62" t="str">
        <f>IF(COUNTA(A205:G205)=0,"",IF(C205&lt;&gt;"",C205,IF(B205="","",IFERROR(INDEX(pr_des,MATCH(B205,pr_code,0))&amp;"",""))))</f>
        <v/>
      </c>
      <c r="I205" s="59" t="str">
        <f>IF(B205="","",IFERROR(INDEX(pr_unit,MATCH(B205,pr_code,0))&amp;"",""))</f>
        <v/>
      </c>
      <c r="J205" s="65" t="str">
        <f>IF(COUNTA(A205:G205)=0,"",IF(E205&lt;&gt;"",E205,IF(B205="","",IFERROR(IF(INDEX(pr_price,MATCH(B205,pr_code,0))="","",INDEX(pr_price,MATCH(B205,pr_code,0))),""))))</f>
        <v/>
      </c>
      <c r="K205" s="71" t="str">
        <f>IF(COUNTA(A205:G205)=0,"",IF(G205&lt;&gt;"",G205,IF(B205="","",IFERROR(IF(INDEX(pr_rate,MATCH(B205,pr_code,0))="","",INDEX(pr_rate,MATCH(B205,pr_code,0))),""))))</f>
        <v/>
      </c>
      <c r="L205" s="65" t="str">
        <f>IF(COUNTA(A205:G205)=0,"",IF(AND(ISNUMBER(D205),ISNUMBER(J205)),ROUND(D205*J205*(1-N(F205)),2),0))</f>
        <v/>
      </c>
      <c r="M205" s="62" t="str">
        <f>IF(A205="","",IFERROR(INDEX(dv_cname,MATCH(A205,dv_num,0))&amp;"",""))</f>
        <v/>
      </c>
      <c r="N205" s="59" t="str">
        <f>IF(COUNTA(A205:G205)=0,"",IF(A205="","N° devis manquant",IF(ISNA(MATCH(A205,dv_num,0)),"Devis inconnu",IF(AND(B205&lt;&gt;"",ISNA(MATCH(B205,pr_code,0))),"Article inconnu",IF(H205="","Désignation manquante",IF(OR(NOT(ISNUMBER(D205)),N(D205)&lt;=0),"Quantité invalide",IF(J205="","Prix manquant",IF(OR(NOT(ISNUMBER(J205)),N(J205)&lt;0),"Prix invalide",IF(OR(AND(F205&lt;&gt;"",NOT(ISNUMBER(F205))),N(F205)&lt;0,N(F205)&gt;1),"Remise invalide",IF(K205="","Taux de TVA manquant",IF(NOT(ISNUMBER(K205)),"Taux de TVA invalide",IF(COUNTIF(p_rates,K205)=0,"Taux de TVA hors liste (Paramètres)",IF(N(O205)&gt;25,"Au-delà de 25 lignes : non imprimée","OK")))))))))))))</f>
        <v/>
      </c>
      <c r="O205" s="59" t="str">
        <f>IF(A205="","",COUNTIF($A$6:A205,A205))</f>
        <v/>
      </c>
      <c r="P205" s="62" t="str">
        <f>IF(A205="","",A205&amp;"|"&amp;O205)</f>
        <v/>
      </c>
    </row>
    <row r="206">
      <c r="A206" s="60" t="n"/>
      <c r="B206" s="63" t="n"/>
      <c r="C206" s="63" t="n"/>
      <c r="D206" s="67" t="n"/>
      <c r="E206" s="68" t="n"/>
      <c r="F206" s="69" t="n"/>
      <c r="G206" s="70" t="n"/>
      <c r="H206" s="62" t="str">
        <f>IF(COUNTA(A206:G206)=0,"",IF(C206&lt;&gt;"",C206,IF(B206="","",IFERROR(INDEX(pr_des,MATCH(B206,pr_code,0))&amp;"",""))))</f>
        <v/>
      </c>
      <c r="I206" s="59" t="str">
        <f>IF(B206="","",IFERROR(INDEX(pr_unit,MATCH(B206,pr_code,0))&amp;"",""))</f>
        <v/>
      </c>
      <c r="J206" s="65" t="str">
        <f>IF(COUNTA(A206:G206)=0,"",IF(E206&lt;&gt;"",E206,IF(B206="","",IFERROR(IF(INDEX(pr_price,MATCH(B206,pr_code,0))="","",INDEX(pr_price,MATCH(B206,pr_code,0))),""))))</f>
        <v/>
      </c>
      <c r="K206" s="71" t="str">
        <f>IF(COUNTA(A206:G206)=0,"",IF(G206&lt;&gt;"",G206,IF(B206="","",IFERROR(IF(INDEX(pr_rate,MATCH(B206,pr_code,0))="","",INDEX(pr_rate,MATCH(B206,pr_code,0))),""))))</f>
        <v/>
      </c>
      <c r="L206" s="65" t="str">
        <f>IF(COUNTA(A206:G206)=0,"",IF(AND(ISNUMBER(D206),ISNUMBER(J206)),ROUND(D206*J206*(1-N(F206)),2),0))</f>
        <v/>
      </c>
      <c r="M206" s="62" t="str">
        <f>IF(A206="","",IFERROR(INDEX(dv_cname,MATCH(A206,dv_num,0))&amp;"",""))</f>
        <v/>
      </c>
      <c r="N206" s="59" t="str">
        <f>IF(COUNTA(A206:G206)=0,"",IF(A206="","N° devis manquant",IF(ISNA(MATCH(A206,dv_num,0)),"Devis inconnu",IF(AND(B206&lt;&gt;"",ISNA(MATCH(B206,pr_code,0))),"Article inconnu",IF(H206="","Désignation manquante",IF(OR(NOT(ISNUMBER(D206)),N(D206)&lt;=0),"Quantité invalide",IF(J206="","Prix manquant",IF(OR(NOT(ISNUMBER(J206)),N(J206)&lt;0),"Prix invalide",IF(OR(AND(F206&lt;&gt;"",NOT(ISNUMBER(F206))),N(F206)&lt;0,N(F206)&gt;1),"Remise invalide",IF(K206="","Taux de TVA manquant",IF(NOT(ISNUMBER(K206)),"Taux de TVA invalide",IF(COUNTIF(p_rates,K206)=0,"Taux de TVA hors liste (Paramètres)",IF(N(O206)&gt;25,"Au-delà de 25 lignes : non imprimée","OK")))))))))))))</f>
        <v/>
      </c>
      <c r="O206" s="59" t="str">
        <f>IF(A206="","",COUNTIF($A$6:A206,A206))</f>
        <v/>
      </c>
      <c r="P206" s="62" t="str">
        <f>IF(A206="","",A206&amp;"|"&amp;O206)</f>
        <v/>
      </c>
    </row>
    <row r="207">
      <c r="A207" s="60" t="n"/>
      <c r="B207" s="63" t="n"/>
      <c r="C207" s="63" t="n"/>
      <c r="D207" s="67" t="n"/>
      <c r="E207" s="68" t="n"/>
      <c r="F207" s="69" t="n"/>
      <c r="G207" s="70" t="n"/>
      <c r="H207" s="62" t="str">
        <f>IF(COUNTA(A207:G207)=0,"",IF(C207&lt;&gt;"",C207,IF(B207="","",IFERROR(INDEX(pr_des,MATCH(B207,pr_code,0))&amp;"",""))))</f>
        <v/>
      </c>
      <c r="I207" s="59" t="str">
        <f>IF(B207="","",IFERROR(INDEX(pr_unit,MATCH(B207,pr_code,0))&amp;"",""))</f>
        <v/>
      </c>
      <c r="J207" s="65" t="str">
        <f>IF(COUNTA(A207:G207)=0,"",IF(E207&lt;&gt;"",E207,IF(B207="","",IFERROR(IF(INDEX(pr_price,MATCH(B207,pr_code,0))="","",INDEX(pr_price,MATCH(B207,pr_code,0))),""))))</f>
        <v/>
      </c>
      <c r="K207" s="71" t="str">
        <f>IF(COUNTA(A207:G207)=0,"",IF(G207&lt;&gt;"",G207,IF(B207="","",IFERROR(IF(INDEX(pr_rate,MATCH(B207,pr_code,0))="","",INDEX(pr_rate,MATCH(B207,pr_code,0))),""))))</f>
        <v/>
      </c>
      <c r="L207" s="65" t="str">
        <f>IF(COUNTA(A207:G207)=0,"",IF(AND(ISNUMBER(D207),ISNUMBER(J207)),ROUND(D207*J207*(1-N(F207)),2),0))</f>
        <v/>
      </c>
      <c r="M207" s="62" t="str">
        <f>IF(A207="","",IFERROR(INDEX(dv_cname,MATCH(A207,dv_num,0))&amp;"",""))</f>
        <v/>
      </c>
      <c r="N207" s="59" t="str">
        <f>IF(COUNTA(A207:G207)=0,"",IF(A207="","N° devis manquant",IF(ISNA(MATCH(A207,dv_num,0)),"Devis inconnu",IF(AND(B207&lt;&gt;"",ISNA(MATCH(B207,pr_code,0))),"Article inconnu",IF(H207="","Désignation manquante",IF(OR(NOT(ISNUMBER(D207)),N(D207)&lt;=0),"Quantité invalide",IF(J207="","Prix manquant",IF(OR(NOT(ISNUMBER(J207)),N(J207)&lt;0),"Prix invalide",IF(OR(AND(F207&lt;&gt;"",NOT(ISNUMBER(F207))),N(F207)&lt;0,N(F207)&gt;1),"Remise invalide",IF(K207="","Taux de TVA manquant",IF(NOT(ISNUMBER(K207)),"Taux de TVA invalide",IF(COUNTIF(p_rates,K207)=0,"Taux de TVA hors liste (Paramètres)",IF(N(O207)&gt;25,"Au-delà de 25 lignes : non imprimée","OK")))))))))))))</f>
        <v/>
      </c>
      <c r="O207" s="59" t="str">
        <f>IF(A207="","",COUNTIF($A$6:A207,A207))</f>
        <v/>
      </c>
      <c r="P207" s="62" t="str">
        <f>IF(A207="","",A207&amp;"|"&amp;O207)</f>
        <v/>
      </c>
    </row>
    <row r="208">
      <c r="A208" s="60" t="n"/>
      <c r="B208" s="63" t="n"/>
      <c r="C208" s="63" t="n"/>
      <c r="D208" s="67" t="n"/>
      <c r="E208" s="68" t="n"/>
      <c r="F208" s="69" t="n"/>
      <c r="G208" s="70" t="n"/>
      <c r="H208" s="62" t="str">
        <f>IF(COUNTA(A208:G208)=0,"",IF(C208&lt;&gt;"",C208,IF(B208="","",IFERROR(INDEX(pr_des,MATCH(B208,pr_code,0))&amp;"",""))))</f>
        <v/>
      </c>
      <c r="I208" s="59" t="str">
        <f>IF(B208="","",IFERROR(INDEX(pr_unit,MATCH(B208,pr_code,0))&amp;"",""))</f>
        <v/>
      </c>
      <c r="J208" s="65" t="str">
        <f>IF(COUNTA(A208:G208)=0,"",IF(E208&lt;&gt;"",E208,IF(B208="","",IFERROR(IF(INDEX(pr_price,MATCH(B208,pr_code,0))="","",INDEX(pr_price,MATCH(B208,pr_code,0))),""))))</f>
        <v/>
      </c>
      <c r="K208" s="71" t="str">
        <f>IF(COUNTA(A208:G208)=0,"",IF(G208&lt;&gt;"",G208,IF(B208="","",IFERROR(IF(INDEX(pr_rate,MATCH(B208,pr_code,0))="","",INDEX(pr_rate,MATCH(B208,pr_code,0))),""))))</f>
        <v/>
      </c>
      <c r="L208" s="65" t="str">
        <f>IF(COUNTA(A208:G208)=0,"",IF(AND(ISNUMBER(D208),ISNUMBER(J208)),ROUND(D208*J208*(1-N(F208)),2),0))</f>
        <v/>
      </c>
      <c r="M208" s="62" t="str">
        <f>IF(A208="","",IFERROR(INDEX(dv_cname,MATCH(A208,dv_num,0))&amp;"",""))</f>
        <v/>
      </c>
      <c r="N208" s="59" t="str">
        <f>IF(COUNTA(A208:G208)=0,"",IF(A208="","N° devis manquant",IF(ISNA(MATCH(A208,dv_num,0)),"Devis inconnu",IF(AND(B208&lt;&gt;"",ISNA(MATCH(B208,pr_code,0))),"Article inconnu",IF(H208="","Désignation manquante",IF(OR(NOT(ISNUMBER(D208)),N(D208)&lt;=0),"Quantité invalide",IF(J208="","Prix manquant",IF(OR(NOT(ISNUMBER(J208)),N(J208)&lt;0),"Prix invalide",IF(OR(AND(F208&lt;&gt;"",NOT(ISNUMBER(F208))),N(F208)&lt;0,N(F208)&gt;1),"Remise invalide",IF(K208="","Taux de TVA manquant",IF(NOT(ISNUMBER(K208)),"Taux de TVA invalide",IF(COUNTIF(p_rates,K208)=0,"Taux de TVA hors liste (Paramètres)",IF(N(O208)&gt;25,"Au-delà de 25 lignes : non imprimée","OK")))))))))))))</f>
        <v/>
      </c>
      <c r="O208" s="59" t="str">
        <f>IF(A208="","",COUNTIF($A$6:A208,A208))</f>
        <v/>
      </c>
      <c r="P208" s="62" t="str">
        <f>IF(A208="","",A208&amp;"|"&amp;O208)</f>
        <v/>
      </c>
    </row>
    <row r="209">
      <c r="A209" s="60" t="n"/>
      <c r="B209" s="63" t="n"/>
      <c r="C209" s="63" t="n"/>
      <c r="D209" s="67" t="n"/>
      <c r="E209" s="68" t="n"/>
      <c r="F209" s="69" t="n"/>
      <c r="G209" s="70" t="n"/>
      <c r="H209" s="62" t="str">
        <f>IF(COUNTA(A209:G209)=0,"",IF(C209&lt;&gt;"",C209,IF(B209="","",IFERROR(INDEX(pr_des,MATCH(B209,pr_code,0))&amp;"",""))))</f>
        <v/>
      </c>
      <c r="I209" s="59" t="str">
        <f>IF(B209="","",IFERROR(INDEX(pr_unit,MATCH(B209,pr_code,0))&amp;"",""))</f>
        <v/>
      </c>
      <c r="J209" s="65" t="str">
        <f>IF(COUNTA(A209:G209)=0,"",IF(E209&lt;&gt;"",E209,IF(B209="","",IFERROR(IF(INDEX(pr_price,MATCH(B209,pr_code,0))="","",INDEX(pr_price,MATCH(B209,pr_code,0))),""))))</f>
        <v/>
      </c>
      <c r="K209" s="71" t="str">
        <f>IF(COUNTA(A209:G209)=0,"",IF(G209&lt;&gt;"",G209,IF(B209="","",IFERROR(IF(INDEX(pr_rate,MATCH(B209,pr_code,0))="","",INDEX(pr_rate,MATCH(B209,pr_code,0))),""))))</f>
        <v/>
      </c>
      <c r="L209" s="65" t="str">
        <f>IF(COUNTA(A209:G209)=0,"",IF(AND(ISNUMBER(D209),ISNUMBER(J209)),ROUND(D209*J209*(1-N(F209)),2),0))</f>
        <v/>
      </c>
      <c r="M209" s="62" t="str">
        <f>IF(A209="","",IFERROR(INDEX(dv_cname,MATCH(A209,dv_num,0))&amp;"",""))</f>
        <v/>
      </c>
      <c r="N209" s="59" t="str">
        <f>IF(COUNTA(A209:G209)=0,"",IF(A209="","N° devis manquant",IF(ISNA(MATCH(A209,dv_num,0)),"Devis inconnu",IF(AND(B209&lt;&gt;"",ISNA(MATCH(B209,pr_code,0))),"Article inconnu",IF(H209="","Désignation manquante",IF(OR(NOT(ISNUMBER(D209)),N(D209)&lt;=0),"Quantité invalide",IF(J209="","Prix manquant",IF(OR(NOT(ISNUMBER(J209)),N(J209)&lt;0),"Prix invalide",IF(OR(AND(F209&lt;&gt;"",NOT(ISNUMBER(F209))),N(F209)&lt;0,N(F209)&gt;1),"Remise invalide",IF(K209="","Taux de TVA manquant",IF(NOT(ISNUMBER(K209)),"Taux de TVA invalide",IF(COUNTIF(p_rates,K209)=0,"Taux de TVA hors liste (Paramètres)",IF(N(O209)&gt;25,"Au-delà de 25 lignes : non imprimée","OK")))))))))))))</f>
        <v/>
      </c>
      <c r="O209" s="59" t="str">
        <f>IF(A209="","",COUNTIF($A$6:A209,A209))</f>
        <v/>
      </c>
      <c r="P209" s="62" t="str">
        <f>IF(A209="","",A209&amp;"|"&amp;O209)</f>
        <v/>
      </c>
    </row>
    <row r="210">
      <c r="A210" s="60" t="n"/>
      <c r="B210" s="63" t="n"/>
      <c r="C210" s="63" t="n"/>
      <c r="D210" s="67" t="n"/>
      <c r="E210" s="68" t="n"/>
      <c r="F210" s="69" t="n"/>
      <c r="G210" s="70" t="n"/>
      <c r="H210" s="62" t="str">
        <f>IF(COUNTA(A210:G210)=0,"",IF(C210&lt;&gt;"",C210,IF(B210="","",IFERROR(INDEX(pr_des,MATCH(B210,pr_code,0))&amp;"",""))))</f>
        <v/>
      </c>
      <c r="I210" s="59" t="str">
        <f>IF(B210="","",IFERROR(INDEX(pr_unit,MATCH(B210,pr_code,0))&amp;"",""))</f>
        <v/>
      </c>
      <c r="J210" s="65" t="str">
        <f>IF(COUNTA(A210:G210)=0,"",IF(E210&lt;&gt;"",E210,IF(B210="","",IFERROR(IF(INDEX(pr_price,MATCH(B210,pr_code,0))="","",INDEX(pr_price,MATCH(B210,pr_code,0))),""))))</f>
        <v/>
      </c>
      <c r="K210" s="71" t="str">
        <f>IF(COUNTA(A210:G210)=0,"",IF(G210&lt;&gt;"",G210,IF(B210="","",IFERROR(IF(INDEX(pr_rate,MATCH(B210,pr_code,0))="","",INDEX(pr_rate,MATCH(B210,pr_code,0))),""))))</f>
        <v/>
      </c>
      <c r="L210" s="65" t="str">
        <f>IF(COUNTA(A210:G210)=0,"",IF(AND(ISNUMBER(D210),ISNUMBER(J210)),ROUND(D210*J210*(1-N(F210)),2),0))</f>
        <v/>
      </c>
      <c r="M210" s="62" t="str">
        <f>IF(A210="","",IFERROR(INDEX(dv_cname,MATCH(A210,dv_num,0))&amp;"",""))</f>
        <v/>
      </c>
      <c r="N210" s="59" t="str">
        <f>IF(COUNTA(A210:G210)=0,"",IF(A210="","N° devis manquant",IF(ISNA(MATCH(A210,dv_num,0)),"Devis inconnu",IF(AND(B210&lt;&gt;"",ISNA(MATCH(B210,pr_code,0))),"Article inconnu",IF(H210="","Désignation manquante",IF(OR(NOT(ISNUMBER(D210)),N(D210)&lt;=0),"Quantité invalide",IF(J210="","Prix manquant",IF(OR(NOT(ISNUMBER(J210)),N(J210)&lt;0),"Prix invalide",IF(OR(AND(F210&lt;&gt;"",NOT(ISNUMBER(F210))),N(F210)&lt;0,N(F210)&gt;1),"Remise invalide",IF(K210="","Taux de TVA manquant",IF(NOT(ISNUMBER(K210)),"Taux de TVA invalide",IF(COUNTIF(p_rates,K210)=0,"Taux de TVA hors liste (Paramètres)",IF(N(O210)&gt;25,"Au-delà de 25 lignes : non imprimée","OK")))))))))))))</f>
        <v/>
      </c>
      <c r="O210" s="59" t="str">
        <f>IF(A210="","",COUNTIF($A$6:A210,A210))</f>
        <v/>
      </c>
      <c r="P210" s="62" t="str">
        <f>IF(A210="","",A210&amp;"|"&amp;O210)</f>
        <v/>
      </c>
    </row>
    <row r="211">
      <c r="A211" s="60" t="n"/>
      <c r="B211" s="63" t="n"/>
      <c r="C211" s="63" t="n"/>
      <c r="D211" s="67" t="n"/>
      <c r="E211" s="68" t="n"/>
      <c r="F211" s="69" t="n"/>
      <c r="G211" s="70" t="n"/>
      <c r="H211" s="62" t="str">
        <f>IF(COUNTA(A211:G211)=0,"",IF(C211&lt;&gt;"",C211,IF(B211="","",IFERROR(INDEX(pr_des,MATCH(B211,pr_code,0))&amp;"",""))))</f>
        <v/>
      </c>
      <c r="I211" s="59" t="str">
        <f>IF(B211="","",IFERROR(INDEX(pr_unit,MATCH(B211,pr_code,0))&amp;"",""))</f>
        <v/>
      </c>
      <c r="J211" s="65" t="str">
        <f>IF(COUNTA(A211:G211)=0,"",IF(E211&lt;&gt;"",E211,IF(B211="","",IFERROR(IF(INDEX(pr_price,MATCH(B211,pr_code,0))="","",INDEX(pr_price,MATCH(B211,pr_code,0))),""))))</f>
        <v/>
      </c>
      <c r="K211" s="71" t="str">
        <f>IF(COUNTA(A211:G211)=0,"",IF(G211&lt;&gt;"",G211,IF(B211="","",IFERROR(IF(INDEX(pr_rate,MATCH(B211,pr_code,0))="","",INDEX(pr_rate,MATCH(B211,pr_code,0))),""))))</f>
        <v/>
      </c>
      <c r="L211" s="65" t="str">
        <f>IF(COUNTA(A211:G211)=0,"",IF(AND(ISNUMBER(D211),ISNUMBER(J211)),ROUND(D211*J211*(1-N(F211)),2),0))</f>
        <v/>
      </c>
      <c r="M211" s="62" t="str">
        <f>IF(A211="","",IFERROR(INDEX(dv_cname,MATCH(A211,dv_num,0))&amp;"",""))</f>
        <v/>
      </c>
      <c r="N211" s="59" t="str">
        <f>IF(COUNTA(A211:G211)=0,"",IF(A211="","N° devis manquant",IF(ISNA(MATCH(A211,dv_num,0)),"Devis inconnu",IF(AND(B211&lt;&gt;"",ISNA(MATCH(B211,pr_code,0))),"Article inconnu",IF(H211="","Désignation manquante",IF(OR(NOT(ISNUMBER(D211)),N(D211)&lt;=0),"Quantité invalide",IF(J211="","Prix manquant",IF(OR(NOT(ISNUMBER(J211)),N(J211)&lt;0),"Prix invalide",IF(OR(AND(F211&lt;&gt;"",NOT(ISNUMBER(F211))),N(F211)&lt;0,N(F211)&gt;1),"Remise invalide",IF(K211="","Taux de TVA manquant",IF(NOT(ISNUMBER(K211)),"Taux de TVA invalide",IF(COUNTIF(p_rates,K211)=0,"Taux de TVA hors liste (Paramètres)",IF(N(O211)&gt;25,"Au-delà de 25 lignes : non imprimée","OK")))))))))))))</f>
        <v/>
      </c>
      <c r="O211" s="59" t="str">
        <f>IF(A211="","",COUNTIF($A$6:A211,A211))</f>
        <v/>
      </c>
      <c r="P211" s="62" t="str">
        <f>IF(A211="","",A211&amp;"|"&amp;O211)</f>
        <v/>
      </c>
    </row>
    <row r="212">
      <c r="A212" s="60" t="n"/>
      <c r="B212" s="63" t="n"/>
      <c r="C212" s="63" t="n"/>
      <c r="D212" s="67" t="n"/>
      <c r="E212" s="68" t="n"/>
      <c r="F212" s="69" t="n"/>
      <c r="G212" s="70" t="n"/>
      <c r="H212" s="62" t="str">
        <f>IF(COUNTA(A212:G212)=0,"",IF(C212&lt;&gt;"",C212,IF(B212="","",IFERROR(INDEX(pr_des,MATCH(B212,pr_code,0))&amp;"",""))))</f>
        <v/>
      </c>
      <c r="I212" s="59" t="str">
        <f>IF(B212="","",IFERROR(INDEX(pr_unit,MATCH(B212,pr_code,0))&amp;"",""))</f>
        <v/>
      </c>
      <c r="J212" s="65" t="str">
        <f>IF(COUNTA(A212:G212)=0,"",IF(E212&lt;&gt;"",E212,IF(B212="","",IFERROR(IF(INDEX(pr_price,MATCH(B212,pr_code,0))="","",INDEX(pr_price,MATCH(B212,pr_code,0))),""))))</f>
        <v/>
      </c>
      <c r="K212" s="71" t="str">
        <f>IF(COUNTA(A212:G212)=0,"",IF(G212&lt;&gt;"",G212,IF(B212="","",IFERROR(IF(INDEX(pr_rate,MATCH(B212,pr_code,0))="","",INDEX(pr_rate,MATCH(B212,pr_code,0))),""))))</f>
        <v/>
      </c>
      <c r="L212" s="65" t="str">
        <f>IF(COUNTA(A212:G212)=0,"",IF(AND(ISNUMBER(D212),ISNUMBER(J212)),ROUND(D212*J212*(1-N(F212)),2),0))</f>
        <v/>
      </c>
      <c r="M212" s="62" t="str">
        <f>IF(A212="","",IFERROR(INDEX(dv_cname,MATCH(A212,dv_num,0))&amp;"",""))</f>
        <v/>
      </c>
      <c r="N212" s="59" t="str">
        <f>IF(COUNTA(A212:G212)=0,"",IF(A212="","N° devis manquant",IF(ISNA(MATCH(A212,dv_num,0)),"Devis inconnu",IF(AND(B212&lt;&gt;"",ISNA(MATCH(B212,pr_code,0))),"Article inconnu",IF(H212="","Désignation manquante",IF(OR(NOT(ISNUMBER(D212)),N(D212)&lt;=0),"Quantité invalide",IF(J212="","Prix manquant",IF(OR(NOT(ISNUMBER(J212)),N(J212)&lt;0),"Prix invalide",IF(OR(AND(F212&lt;&gt;"",NOT(ISNUMBER(F212))),N(F212)&lt;0,N(F212)&gt;1),"Remise invalide",IF(K212="","Taux de TVA manquant",IF(NOT(ISNUMBER(K212)),"Taux de TVA invalide",IF(COUNTIF(p_rates,K212)=0,"Taux de TVA hors liste (Paramètres)",IF(N(O212)&gt;25,"Au-delà de 25 lignes : non imprimée","OK")))))))))))))</f>
        <v/>
      </c>
      <c r="O212" s="59" t="str">
        <f>IF(A212="","",COUNTIF($A$6:A212,A212))</f>
        <v/>
      </c>
      <c r="P212" s="62" t="str">
        <f>IF(A212="","",A212&amp;"|"&amp;O212)</f>
        <v/>
      </c>
    </row>
    <row r="213">
      <c r="A213" s="60" t="n"/>
      <c r="B213" s="63" t="n"/>
      <c r="C213" s="63" t="n"/>
      <c r="D213" s="67" t="n"/>
      <c r="E213" s="68" t="n"/>
      <c r="F213" s="69" t="n"/>
      <c r="G213" s="70" t="n"/>
      <c r="H213" s="62" t="str">
        <f>IF(COUNTA(A213:G213)=0,"",IF(C213&lt;&gt;"",C213,IF(B213="","",IFERROR(INDEX(pr_des,MATCH(B213,pr_code,0))&amp;"",""))))</f>
        <v/>
      </c>
      <c r="I213" s="59" t="str">
        <f>IF(B213="","",IFERROR(INDEX(pr_unit,MATCH(B213,pr_code,0))&amp;"",""))</f>
        <v/>
      </c>
      <c r="J213" s="65" t="str">
        <f>IF(COUNTA(A213:G213)=0,"",IF(E213&lt;&gt;"",E213,IF(B213="","",IFERROR(IF(INDEX(pr_price,MATCH(B213,pr_code,0))="","",INDEX(pr_price,MATCH(B213,pr_code,0))),""))))</f>
        <v/>
      </c>
      <c r="K213" s="71" t="str">
        <f>IF(COUNTA(A213:G213)=0,"",IF(G213&lt;&gt;"",G213,IF(B213="","",IFERROR(IF(INDEX(pr_rate,MATCH(B213,pr_code,0))="","",INDEX(pr_rate,MATCH(B213,pr_code,0))),""))))</f>
        <v/>
      </c>
      <c r="L213" s="65" t="str">
        <f>IF(COUNTA(A213:G213)=0,"",IF(AND(ISNUMBER(D213),ISNUMBER(J213)),ROUND(D213*J213*(1-N(F213)),2),0))</f>
        <v/>
      </c>
      <c r="M213" s="62" t="str">
        <f>IF(A213="","",IFERROR(INDEX(dv_cname,MATCH(A213,dv_num,0))&amp;"",""))</f>
        <v/>
      </c>
      <c r="N213" s="59" t="str">
        <f>IF(COUNTA(A213:G213)=0,"",IF(A213="","N° devis manquant",IF(ISNA(MATCH(A213,dv_num,0)),"Devis inconnu",IF(AND(B213&lt;&gt;"",ISNA(MATCH(B213,pr_code,0))),"Article inconnu",IF(H213="","Désignation manquante",IF(OR(NOT(ISNUMBER(D213)),N(D213)&lt;=0),"Quantité invalide",IF(J213="","Prix manquant",IF(OR(NOT(ISNUMBER(J213)),N(J213)&lt;0),"Prix invalide",IF(OR(AND(F213&lt;&gt;"",NOT(ISNUMBER(F213))),N(F213)&lt;0,N(F213)&gt;1),"Remise invalide",IF(K213="","Taux de TVA manquant",IF(NOT(ISNUMBER(K213)),"Taux de TVA invalide",IF(COUNTIF(p_rates,K213)=0,"Taux de TVA hors liste (Paramètres)",IF(N(O213)&gt;25,"Au-delà de 25 lignes : non imprimée","OK")))))))))))))</f>
        <v/>
      </c>
      <c r="O213" s="59" t="str">
        <f>IF(A213="","",COUNTIF($A$6:A213,A213))</f>
        <v/>
      </c>
      <c r="P213" s="62" t="str">
        <f>IF(A213="","",A213&amp;"|"&amp;O213)</f>
        <v/>
      </c>
    </row>
    <row r="214">
      <c r="A214" s="60" t="n"/>
      <c r="B214" s="63" t="n"/>
      <c r="C214" s="63" t="n"/>
      <c r="D214" s="67" t="n"/>
      <c r="E214" s="68" t="n"/>
      <c r="F214" s="69" t="n"/>
      <c r="G214" s="70" t="n"/>
      <c r="H214" s="62" t="str">
        <f>IF(COUNTA(A214:G214)=0,"",IF(C214&lt;&gt;"",C214,IF(B214="","",IFERROR(INDEX(pr_des,MATCH(B214,pr_code,0))&amp;"",""))))</f>
        <v/>
      </c>
      <c r="I214" s="59" t="str">
        <f>IF(B214="","",IFERROR(INDEX(pr_unit,MATCH(B214,pr_code,0))&amp;"",""))</f>
        <v/>
      </c>
      <c r="J214" s="65" t="str">
        <f>IF(COUNTA(A214:G214)=0,"",IF(E214&lt;&gt;"",E214,IF(B214="","",IFERROR(IF(INDEX(pr_price,MATCH(B214,pr_code,0))="","",INDEX(pr_price,MATCH(B214,pr_code,0))),""))))</f>
        <v/>
      </c>
      <c r="K214" s="71" t="str">
        <f>IF(COUNTA(A214:G214)=0,"",IF(G214&lt;&gt;"",G214,IF(B214="","",IFERROR(IF(INDEX(pr_rate,MATCH(B214,pr_code,0))="","",INDEX(pr_rate,MATCH(B214,pr_code,0))),""))))</f>
        <v/>
      </c>
      <c r="L214" s="65" t="str">
        <f>IF(COUNTA(A214:G214)=0,"",IF(AND(ISNUMBER(D214),ISNUMBER(J214)),ROUND(D214*J214*(1-N(F214)),2),0))</f>
        <v/>
      </c>
      <c r="M214" s="62" t="str">
        <f>IF(A214="","",IFERROR(INDEX(dv_cname,MATCH(A214,dv_num,0))&amp;"",""))</f>
        <v/>
      </c>
      <c r="N214" s="59" t="str">
        <f>IF(COUNTA(A214:G214)=0,"",IF(A214="","N° devis manquant",IF(ISNA(MATCH(A214,dv_num,0)),"Devis inconnu",IF(AND(B214&lt;&gt;"",ISNA(MATCH(B214,pr_code,0))),"Article inconnu",IF(H214="","Désignation manquante",IF(OR(NOT(ISNUMBER(D214)),N(D214)&lt;=0),"Quantité invalide",IF(J214="","Prix manquant",IF(OR(NOT(ISNUMBER(J214)),N(J214)&lt;0),"Prix invalide",IF(OR(AND(F214&lt;&gt;"",NOT(ISNUMBER(F214))),N(F214)&lt;0,N(F214)&gt;1),"Remise invalide",IF(K214="","Taux de TVA manquant",IF(NOT(ISNUMBER(K214)),"Taux de TVA invalide",IF(COUNTIF(p_rates,K214)=0,"Taux de TVA hors liste (Paramètres)",IF(N(O214)&gt;25,"Au-delà de 25 lignes : non imprimée","OK")))))))))))))</f>
        <v/>
      </c>
      <c r="O214" s="59" t="str">
        <f>IF(A214="","",COUNTIF($A$6:A214,A214))</f>
        <v/>
      </c>
      <c r="P214" s="62" t="str">
        <f>IF(A214="","",A214&amp;"|"&amp;O214)</f>
        <v/>
      </c>
    </row>
    <row r="215">
      <c r="A215" s="60" t="n"/>
      <c r="B215" s="63" t="n"/>
      <c r="C215" s="63" t="n"/>
      <c r="D215" s="67" t="n"/>
      <c r="E215" s="68" t="n"/>
      <c r="F215" s="69" t="n"/>
      <c r="G215" s="70" t="n"/>
      <c r="H215" s="62" t="str">
        <f>IF(COUNTA(A215:G215)=0,"",IF(C215&lt;&gt;"",C215,IF(B215="","",IFERROR(INDEX(pr_des,MATCH(B215,pr_code,0))&amp;"",""))))</f>
        <v/>
      </c>
      <c r="I215" s="59" t="str">
        <f>IF(B215="","",IFERROR(INDEX(pr_unit,MATCH(B215,pr_code,0))&amp;"",""))</f>
        <v/>
      </c>
      <c r="J215" s="65" t="str">
        <f>IF(COUNTA(A215:G215)=0,"",IF(E215&lt;&gt;"",E215,IF(B215="","",IFERROR(IF(INDEX(pr_price,MATCH(B215,pr_code,0))="","",INDEX(pr_price,MATCH(B215,pr_code,0))),""))))</f>
        <v/>
      </c>
      <c r="K215" s="71" t="str">
        <f>IF(COUNTA(A215:G215)=0,"",IF(G215&lt;&gt;"",G215,IF(B215="","",IFERROR(IF(INDEX(pr_rate,MATCH(B215,pr_code,0))="","",INDEX(pr_rate,MATCH(B215,pr_code,0))),""))))</f>
        <v/>
      </c>
      <c r="L215" s="65" t="str">
        <f>IF(COUNTA(A215:G215)=0,"",IF(AND(ISNUMBER(D215),ISNUMBER(J215)),ROUND(D215*J215*(1-N(F215)),2),0))</f>
        <v/>
      </c>
      <c r="M215" s="62" t="str">
        <f>IF(A215="","",IFERROR(INDEX(dv_cname,MATCH(A215,dv_num,0))&amp;"",""))</f>
        <v/>
      </c>
      <c r="N215" s="59" t="str">
        <f>IF(COUNTA(A215:G215)=0,"",IF(A215="","N° devis manquant",IF(ISNA(MATCH(A215,dv_num,0)),"Devis inconnu",IF(AND(B215&lt;&gt;"",ISNA(MATCH(B215,pr_code,0))),"Article inconnu",IF(H215="","Désignation manquante",IF(OR(NOT(ISNUMBER(D215)),N(D215)&lt;=0),"Quantité invalide",IF(J215="","Prix manquant",IF(OR(NOT(ISNUMBER(J215)),N(J215)&lt;0),"Prix invalide",IF(OR(AND(F215&lt;&gt;"",NOT(ISNUMBER(F215))),N(F215)&lt;0,N(F215)&gt;1),"Remise invalide",IF(K215="","Taux de TVA manquant",IF(NOT(ISNUMBER(K215)),"Taux de TVA invalide",IF(COUNTIF(p_rates,K215)=0,"Taux de TVA hors liste (Paramètres)",IF(N(O215)&gt;25,"Au-delà de 25 lignes : non imprimée","OK")))))))))))))</f>
        <v/>
      </c>
      <c r="O215" s="59" t="str">
        <f>IF(A215="","",COUNTIF($A$6:A215,A215))</f>
        <v/>
      </c>
      <c r="P215" s="62" t="str">
        <f>IF(A215="","",A215&amp;"|"&amp;O215)</f>
        <v/>
      </c>
    </row>
    <row r="216">
      <c r="A216" s="60" t="n"/>
      <c r="B216" s="63" t="n"/>
      <c r="C216" s="63" t="n"/>
      <c r="D216" s="67" t="n"/>
      <c r="E216" s="68" t="n"/>
      <c r="F216" s="69" t="n"/>
      <c r="G216" s="70" t="n"/>
      <c r="H216" s="62" t="str">
        <f>IF(COUNTA(A216:G216)=0,"",IF(C216&lt;&gt;"",C216,IF(B216="","",IFERROR(INDEX(pr_des,MATCH(B216,pr_code,0))&amp;"",""))))</f>
        <v/>
      </c>
      <c r="I216" s="59" t="str">
        <f>IF(B216="","",IFERROR(INDEX(pr_unit,MATCH(B216,pr_code,0))&amp;"",""))</f>
        <v/>
      </c>
      <c r="J216" s="65" t="str">
        <f>IF(COUNTA(A216:G216)=0,"",IF(E216&lt;&gt;"",E216,IF(B216="","",IFERROR(IF(INDEX(pr_price,MATCH(B216,pr_code,0))="","",INDEX(pr_price,MATCH(B216,pr_code,0))),""))))</f>
        <v/>
      </c>
      <c r="K216" s="71" t="str">
        <f>IF(COUNTA(A216:G216)=0,"",IF(G216&lt;&gt;"",G216,IF(B216="","",IFERROR(IF(INDEX(pr_rate,MATCH(B216,pr_code,0))="","",INDEX(pr_rate,MATCH(B216,pr_code,0))),""))))</f>
        <v/>
      </c>
      <c r="L216" s="65" t="str">
        <f>IF(COUNTA(A216:G216)=0,"",IF(AND(ISNUMBER(D216),ISNUMBER(J216)),ROUND(D216*J216*(1-N(F216)),2),0))</f>
        <v/>
      </c>
      <c r="M216" s="62" t="str">
        <f>IF(A216="","",IFERROR(INDEX(dv_cname,MATCH(A216,dv_num,0))&amp;"",""))</f>
        <v/>
      </c>
      <c r="N216" s="59" t="str">
        <f>IF(COUNTA(A216:G216)=0,"",IF(A216="","N° devis manquant",IF(ISNA(MATCH(A216,dv_num,0)),"Devis inconnu",IF(AND(B216&lt;&gt;"",ISNA(MATCH(B216,pr_code,0))),"Article inconnu",IF(H216="","Désignation manquante",IF(OR(NOT(ISNUMBER(D216)),N(D216)&lt;=0),"Quantité invalide",IF(J216="","Prix manquant",IF(OR(NOT(ISNUMBER(J216)),N(J216)&lt;0),"Prix invalide",IF(OR(AND(F216&lt;&gt;"",NOT(ISNUMBER(F216))),N(F216)&lt;0,N(F216)&gt;1),"Remise invalide",IF(K216="","Taux de TVA manquant",IF(NOT(ISNUMBER(K216)),"Taux de TVA invalide",IF(COUNTIF(p_rates,K216)=0,"Taux de TVA hors liste (Paramètres)",IF(N(O216)&gt;25,"Au-delà de 25 lignes : non imprimée","OK")))))))))))))</f>
        <v/>
      </c>
      <c r="O216" s="59" t="str">
        <f>IF(A216="","",COUNTIF($A$6:A216,A216))</f>
        <v/>
      </c>
      <c r="P216" s="62" t="str">
        <f>IF(A216="","",A216&amp;"|"&amp;O216)</f>
        <v/>
      </c>
    </row>
    <row r="217">
      <c r="A217" s="60" t="n"/>
      <c r="B217" s="63" t="n"/>
      <c r="C217" s="63" t="n"/>
      <c r="D217" s="67" t="n"/>
      <c r="E217" s="68" t="n"/>
      <c r="F217" s="69" t="n"/>
      <c r="G217" s="70" t="n"/>
      <c r="H217" s="62" t="str">
        <f>IF(COUNTA(A217:G217)=0,"",IF(C217&lt;&gt;"",C217,IF(B217="","",IFERROR(INDEX(pr_des,MATCH(B217,pr_code,0))&amp;"",""))))</f>
        <v/>
      </c>
      <c r="I217" s="59" t="str">
        <f>IF(B217="","",IFERROR(INDEX(pr_unit,MATCH(B217,pr_code,0))&amp;"",""))</f>
        <v/>
      </c>
      <c r="J217" s="65" t="str">
        <f>IF(COUNTA(A217:G217)=0,"",IF(E217&lt;&gt;"",E217,IF(B217="","",IFERROR(IF(INDEX(pr_price,MATCH(B217,pr_code,0))="","",INDEX(pr_price,MATCH(B217,pr_code,0))),""))))</f>
        <v/>
      </c>
      <c r="K217" s="71" t="str">
        <f>IF(COUNTA(A217:G217)=0,"",IF(G217&lt;&gt;"",G217,IF(B217="","",IFERROR(IF(INDEX(pr_rate,MATCH(B217,pr_code,0))="","",INDEX(pr_rate,MATCH(B217,pr_code,0))),""))))</f>
        <v/>
      </c>
      <c r="L217" s="65" t="str">
        <f>IF(COUNTA(A217:G217)=0,"",IF(AND(ISNUMBER(D217),ISNUMBER(J217)),ROUND(D217*J217*(1-N(F217)),2),0))</f>
        <v/>
      </c>
      <c r="M217" s="62" t="str">
        <f>IF(A217="","",IFERROR(INDEX(dv_cname,MATCH(A217,dv_num,0))&amp;"",""))</f>
        <v/>
      </c>
      <c r="N217" s="59" t="str">
        <f>IF(COUNTA(A217:G217)=0,"",IF(A217="","N° devis manquant",IF(ISNA(MATCH(A217,dv_num,0)),"Devis inconnu",IF(AND(B217&lt;&gt;"",ISNA(MATCH(B217,pr_code,0))),"Article inconnu",IF(H217="","Désignation manquante",IF(OR(NOT(ISNUMBER(D217)),N(D217)&lt;=0),"Quantité invalide",IF(J217="","Prix manquant",IF(OR(NOT(ISNUMBER(J217)),N(J217)&lt;0),"Prix invalide",IF(OR(AND(F217&lt;&gt;"",NOT(ISNUMBER(F217))),N(F217)&lt;0,N(F217)&gt;1),"Remise invalide",IF(K217="","Taux de TVA manquant",IF(NOT(ISNUMBER(K217)),"Taux de TVA invalide",IF(COUNTIF(p_rates,K217)=0,"Taux de TVA hors liste (Paramètres)",IF(N(O217)&gt;25,"Au-delà de 25 lignes : non imprimée","OK")))))))))))))</f>
        <v/>
      </c>
      <c r="O217" s="59" t="str">
        <f>IF(A217="","",COUNTIF($A$6:A217,A217))</f>
        <v/>
      </c>
      <c r="P217" s="62" t="str">
        <f>IF(A217="","",A217&amp;"|"&amp;O217)</f>
        <v/>
      </c>
    </row>
    <row r="218">
      <c r="A218" s="60" t="n"/>
      <c r="B218" s="63" t="n"/>
      <c r="C218" s="63" t="n"/>
      <c r="D218" s="67" t="n"/>
      <c r="E218" s="68" t="n"/>
      <c r="F218" s="69" t="n"/>
      <c r="G218" s="70" t="n"/>
      <c r="H218" s="62" t="str">
        <f>IF(COUNTA(A218:G218)=0,"",IF(C218&lt;&gt;"",C218,IF(B218="","",IFERROR(INDEX(pr_des,MATCH(B218,pr_code,0))&amp;"",""))))</f>
        <v/>
      </c>
      <c r="I218" s="59" t="str">
        <f>IF(B218="","",IFERROR(INDEX(pr_unit,MATCH(B218,pr_code,0))&amp;"",""))</f>
        <v/>
      </c>
      <c r="J218" s="65" t="str">
        <f>IF(COUNTA(A218:G218)=0,"",IF(E218&lt;&gt;"",E218,IF(B218="","",IFERROR(IF(INDEX(pr_price,MATCH(B218,pr_code,0))="","",INDEX(pr_price,MATCH(B218,pr_code,0))),""))))</f>
        <v/>
      </c>
      <c r="K218" s="71" t="str">
        <f>IF(COUNTA(A218:G218)=0,"",IF(G218&lt;&gt;"",G218,IF(B218="","",IFERROR(IF(INDEX(pr_rate,MATCH(B218,pr_code,0))="","",INDEX(pr_rate,MATCH(B218,pr_code,0))),""))))</f>
        <v/>
      </c>
      <c r="L218" s="65" t="str">
        <f>IF(COUNTA(A218:G218)=0,"",IF(AND(ISNUMBER(D218),ISNUMBER(J218)),ROUND(D218*J218*(1-N(F218)),2),0))</f>
        <v/>
      </c>
      <c r="M218" s="62" t="str">
        <f>IF(A218="","",IFERROR(INDEX(dv_cname,MATCH(A218,dv_num,0))&amp;"",""))</f>
        <v/>
      </c>
      <c r="N218" s="59" t="str">
        <f>IF(COUNTA(A218:G218)=0,"",IF(A218="","N° devis manquant",IF(ISNA(MATCH(A218,dv_num,0)),"Devis inconnu",IF(AND(B218&lt;&gt;"",ISNA(MATCH(B218,pr_code,0))),"Article inconnu",IF(H218="","Désignation manquante",IF(OR(NOT(ISNUMBER(D218)),N(D218)&lt;=0),"Quantité invalide",IF(J218="","Prix manquant",IF(OR(NOT(ISNUMBER(J218)),N(J218)&lt;0),"Prix invalide",IF(OR(AND(F218&lt;&gt;"",NOT(ISNUMBER(F218))),N(F218)&lt;0,N(F218)&gt;1),"Remise invalide",IF(K218="","Taux de TVA manquant",IF(NOT(ISNUMBER(K218)),"Taux de TVA invalide",IF(COUNTIF(p_rates,K218)=0,"Taux de TVA hors liste (Paramètres)",IF(N(O218)&gt;25,"Au-delà de 25 lignes : non imprimée","OK")))))))))))))</f>
        <v/>
      </c>
      <c r="O218" s="59" t="str">
        <f>IF(A218="","",COUNTIF($A$6:A218,A218))</f>
        <v/>
      </c>
      <c r="P218" s="62" t="str">
        <f>IF(A218="","",A218&amp;"|"&amp;O218)</f>
        <v/>
      </c>
    </row>
    <row r="219">
      <c r="A219" s="60" t="n"/>
      <c r="B219" s="63" t="n"/>
      <c r="C219" s="63" t="n"/>
      <c r="D219" s="67" t="n"/>
      <c r="E219" s="68" t="n"/>
      <c r="F219" s="69" t="n"/>
      <c r="G219" s="70" t="n"/>
      <c r="H219" s="62" t="str">
        <f>IF(COUNTA(A219:G219)=0,"",IF(C219&lt;&gt;"",C219,IF(B219="","",IFERROR(INDEX(pr_des,MATCH(B219,pr_code,0))&amp;"",""))))</f>
        <v/>
      </c>
      <c r="I219" s="59" t="str">
        <f>IF(B219="","",IFERROR(INDEX(pr_unit,MATCH(B219,pr_code,0))&amp;"",""))</f>
        <v/>
      </c>
      <c r="J219" s="65" t="str">
        <f>IF(COUNTA(A219:G219)=0,"",IF(E219&lt;&gt;"",E219,IF(B219="","",IFERROR(IF(INDEX(pr_price,MATCH(B219,pr_code,0))="","",INDEX(pr_price,MATCH(B219,pr_code,0))),""))))</f>
        <v/>
      </c>
      <c r="K219" s="71" t="str">
        <f>IF(COUNTA(A219:G219)=0,"",IF(G219&lt;&gt;"",G219,IF(B219="","",IFERROR(IF(INDEX(pr_rate,MATCH(B219,pr_code,0))="","",INDEX(pr_rate,MATCH(B219,pr_code,0))),""))))</f>
        <v/>
      </c>
      <c r="L219" s="65" t="str">
        <f>IF(COUNTA(A219:G219)=0,"",IF(AND(ISNUMBER(D219),ISNUMBER(J219)),ROUND(D219*J219*(1-N(F219)),2),0))</f>
        <v/>
      </c>
      <c r="M219" s="62" t="str">
        <f>IF(A219="","",IFERROR(INDEX(dv_cname,MATCH(A219,dv_num,0))&amp;"",""))</f>
        <v/>
      </c>
      <c r="N219" s="59" t="str">
        <f>IF(COUNTA(A219:G219)=0,"",IF(A219="","N° devis manquant",IF(ISNA(MATCH(A219,dv_num,0)),"Devis inconnu",IF(AND(B219&lt;&gt;"",ISNA(MATCH(B219,pr_code,0))),"Article inconnu",IF(H219="","Désignation manquante",IF(OR(NOT(ISNUMBER(D219)),N(D219)&lt;=0),"Quantité invalide",IF(J219="","Prix manquant",IF(OR(NOT(ISNUMBER(J219)),N(J219)&lt;0),"Prix invalide",IF(OR(AND(F219&lt;&gt;"",NOT(ISNUMBER(F219))),N(F219)&lt;0,N(F219)&gt;1),"Remise invalide",IF(K219="","Taux de TVA manquant",IF(NOT(ISNUMBER(K219)),"Taux de TVA invalide",IF(COUNTIF(p_rates,K219)=0,"Taux de TVA hors liste (Paramètres)",IF(N(O219)&gt;25,"Au-delà de 25 lignes : non imprimée","OK")))))))))))))</f>
        <v/>
      </c>
      <c r="O219" s="59" t="str">
        <f>IF(A219="","",COUNTIF($A$6:A219,A219))</f>
        <v/>
      </c>
      <c r="P219" s="62" t="str">
        <f>IF(A219="","",A219&amp;"|"&amp;O219)</f>
        <v/>
      </c>
    </row>
    <row r="220">
      <c r="A220" s="60" t="n"/>
      <c r="B220" s="63" t="n"/>
      <c r="C220" s="63" t="n"/>
      <c r="D220" s="67" t="n"/>
      <c r="E220" s="68" t="n"/>
      <c r="F220" s="69" t="n"/>
      <c r="G220" s="70" t="n"/>
      <c r="H220" s="62" t="str">
        <f>IF(COUNTA(A220:G220)=0,"",IF(C220&lt;&gt;"",C220,IF(B220="","",IFERROR(INDEX(pr_des,MATCH(B220,pr_code,0))&amp;"",""))))</f>
        <v/>
      </c>
      <c r="I220" s="59" t="str">
        <f>IF(B220="","",IFERROR(INDEX(pr_unit,MATCH(B220,pr_code,0))&amp;"",""))</f>
        <v/>
      </c>
      <c r="J220" s="65" t="str">
        <f>IF(COUNTA(A220:G220)=0,"",IF(E220&lt;&gt;"",E220,IF(B220="","",IFERROR(IF(INDEX(pr_price,MATCH(B220,pr_code,0))="","",INDEX(pr_price,MATCH(B220,pr_code,0))),""))))</f>
        <v/>
      </c>
      <c r="K220" s="71" t="str">
        <f>IF(COUNTA(A220:G220)=0,"",IF(G220&lt;&gt;"",G220,IF(B220="","",IFERROR(IF(INDEX(pr_rate,MATCH(B220,pr_code,0))="","",INDEX(pr_rate,MATCH(B220,pr_code,0))),""))))</f>
        <v/>
      </c>
      <c r="L220" s="65" t="str">
        <f>IF(COUNTA(A220:G220)=0,"",IF(AND(ISNUMBER(D220),ISNUMBER(J220)),ROUND(D220*J220*(1-N(F220)),2),0))</f>
        <v/>
      </c>
      <c r="M220" s="62" t="str">
        <f>IF(A220="","",IFERROR(INDEX(dv_cname,MATCH(A220,dv_num,0))&amp;"",""))</f>
        <v/>
      </c>
      <c r="N220" s="59" t="str">
        <f>IF(COUNTA(A220:G220)=0,"",IF(A220="","N° devis manquant",IF(ISNA(MATCH(A220,dv_num,0)),"Devis inconnu",IF(AND(B220&lt;&gt;"",ISNA(MATCH(B220,pr_code,0))),"Article inconnu",IF(H220="","Désignation manquante",IF(OR(NOT(ISNUMBER(D220)),N(D220)&lt;=0),"Quantité invalide",IF(J220="","Prix manquant",IF(OR(NOT(ISNUMBER(J220)),N(J220)&lt;0),"Prix invalide",IF(OR(AND(F220&lt;&gt;"",NOT(ISNUMBER(F220))),N(F220)&lt;0,N(F220)&gt;1),"Remise invalide",IF(K220="","Taux de TVA manquant",IF(NOT(ISNUMBER(K220)),"Taux de TVA invalide",IF(COUNTIF(p_rates,K220)=0,"Taux de TVA hors liste (Paramètres)",IF(N(O220)&gt;25,"Au-delà de 25 lignes : non imprimée","OK")))))))))))))</f>
        <v/>
      </c>
      <c r="O220" s="59" t="str">
        <f>IF(A220="","",COUNTIF($A$6:A220,A220))</f>
        <v/>
      </c>
      <c r="P220" s="62" t="str">
        <f>IF(A220="","",A220&amp;"|"&amp;O220)</f>
        <v/>
      </c>
    </row>
    <row r="221">
      <c r="A221" s="60" t="n"/>
      <c r="B221" s="63" t="n"/>
      <c r="C221" s="63" t="n"/>
      <c r="D221" s="67" t="n"/>
      <c r="E221" s="68" t="n"/>
      <c r="F221" s="69" t="n"/>
      <c r="G221" s="70" t="n"/>
      <c r="H221" s="62" t="str">
        <f>IF(COUNTA(A221:G221)=0,"",IF(C221&lt;&gt;"",C221,IF(B221="","",IFERROR(INDEX(pr_des,MATCH(B221,pr_code,0))&amp;"",""))))</f>
        <v/>
      </c>
      <c r="I221" s="59" t="str">
        <f>IF(B221="","",IFERROR(INDEX(pr_unit,MATCH(B221,pr_code,0))&amp;"",""))</f>
        <v/>
      </c>
      <c r="J221" s="65" t="str">
        <f>IF(COUNTA(A221:G221)=0,"",IF(E221&lt;&gt;"",E221,IF(B221="","",IFERROR(IF(INDEX(pr_price,MATCH(B221,pr_code,0))="","",INDEX(pr_price,MATCH(B221,pr_code,0))),""))))</f>
        <v/>
      </c>
      <c r="K221" s="71" t="str">
        <f>IF(COUNTA(A221:G221)=0,"",IF(G221&lt;&gt;"",G221,IF(B221="","",IFERROR(IF(INDEX(pr_rate,MATCH(B221,pr_code,0))="","",INDEX(pr_rate,MATCH(B221,pr_code,0))),""))))</f>
        <v/>
      </c>
      <c r="L221" s="65" t="str">
        <f>IF(COUNTA(A221:G221)=0,"",IF(AND(ISNUMBER(D221),ISNUMBER(J221)),ROUND(D221*J221*(1-N(F221)),2),0))</f>
        <v/>
      </c>
      <c r="M221" s="62" t="str">
        <f>IF(A221="","",IFERROR(INDEX(dv_cname,MATCH(A221,dv_num,0))&amp;"",""))</f>
        <v/>
      </c>
      <c r="N221" s="59" t="str">
        <f>IF(COUNTA(A221:G221)=0,"",IF(A221="","N° devis manquant",IF(ISNA(MATCH(A221,dv_num,0)),"Devis inconnu",IF(AND(B221&lt;&gt;"",ISNA(MATCH(B221,pr_code,0))),"Article inconnu",IF(H221="","Désignation manquante",IF(OR(NOT(ISNUMBER(D221)),N(D221)&lt;=0),"Quantité invalide",IF(J221="","Prix manquant",IF(OR(NOT(ISNUMBER(J221)),N(J221)&lt;0),"Prix invalide",IF(OR(AND(F221&lt;&gt;"",NOT(ISNUMBER(F221))),N(F221)&lt;0,N(F221)&gt;1),"Remise invalide",IF(K221="","Taux de TVA manquant",IF(NOT(ISNUMBER(K221)),"Taux de TVA invalide",IF(COUNTIF(p_rates,K221)=0,"Taux de TVA hors liste (Paramètres)",IF(N(O221)&gt;25,"Au-delà de 25 lignes : non imprimée","OK")))))))))))))</f>
        <v/>
      </c>
      <c r="O221" s="59" t="str">
        <f>IF(A221="","",COUNTIF($A$6:A221,A221))</f>
        <v/>
      </c>
      <c r="P221" s="62" t="str">
        <f>IF(A221="","",A221&amp;"|"&amp;O221)</f>
        <v/>
      </c>
    </row>
    <row r="222">
      <c r="A222" s="60" t="n"/>
      <c r="B222" s="63" t="n"/>
      <c r="C222" s="63" t="n"/>
      <c r="D222" s="67" t="n"/>
      <c r="E222" s="68" t="n"/>
      <c r="F222" s="69" t="n"/>
      <c r="G222" s="70" t="n"/>
      <c r="H222" s="62" t="str">
        <f>IF(COUNTA(A222:G222)=0,"",IF(C222&lt;&gt;"",C222,IF(B222="","",IFERROR(INDEX(pr_des,MATCH(B222,pr_code,0))&amp;"",""))))</f>
        <v/>
      </c>
      <c r="I222" s="59" t="str">
        <f>IF(B222="","",IFERROR(INDEX(pr_unit,MATCH(B222,pr_code,0))&amp;"",""))</f>
        <v/>
      </c>
      <c r="J222" s="65" t="str">
        <f>IF(COUNTA(A222:G222)=0,"",IF(E222&lt;&gt;"",E222,IF(B222="","",IFERROR(IF(INDEX(pr_price,MATCH(B222,pr_code,0))="","",INDEX(pr_price,MATCH(B222,pr_code,0))),""))))</f>
        <v/>
      </c>
      <c r="K222" s="71" t="str">
        <f>IF(COUNTA(A222:G222)=0,"",IF(G222&lt;&gt;"",G222,IF(B222="","",IFERROR(IF(INDEX(pr_rate,MATCH(B222,pr_code,0))="","",INDEX(pr_rate,MATCH(B222,pr_code,0))),""))))</f>
        <v/>
      </c>
      <c r="L222" s="65" t="str">
        <f>IF(COUNTA(A222:G222)=0,"",IF(AND(ISNUMBER(D222),ISNUMBER(J222)),ROUND(D222*J222*(1-N(F222)),2),0))</f>
        <v/>
      </c>
      <c r="M222" s="62" t="str">
        <f>IF(A222="","",IFERROR(INDEX(dv_cname,MATCH(A222,dv_num,0))&amp;"",""))</f>
        <v/>
      </c>
      <c r="N222" s="59" t="str">
        <f>IF(COUNTA(A222:G222)=0,"",IF(A222="","N° devis manquant",IF(ISNA(MATCH(A222,dv_num,0)),"Devis inconnu",IF(AND(B222&lt;&gt;"",ISNA(MATCH(B222,pr_code,0))),"Article inconnu",IF(H222="","Désignation manquante",IF(OR(NOT(ISNUMBER(D222)),N(D222)&lt;=0),"Quantité invalide",IF(J222="","Prix manquant",IF(OR(NOT(ISNUMBER(J222)),N(J222)&lt;0),"Prix invalide",IF(OR(AND(F222&lt;&gt;"",NOT(ISNUMBER(F222))),N(F222)&lt;0,N(F222)&gt;1),"Remise invalide",IF(K222="","Taux de TVA manquant",IF(NOT(ISNUMBER(K222)),"Taux de TVA invalide",IF(COUNTIF(p_rates,K222)=0,"Taux de TVA hors liste (Paramètres)",IF(N(O222)&gt;25,"Au-delà de 25 lignes : non imprimée","OK")))))))))))))</f>
        <v/>
      </c>
      <c r="O222" s="59" t="str">
        <f>IF(A222="","",COUNTIF($A$6:A222,A222))</f>
        <v/>
      </c>
      <c r="P222" s="62" t="str">
        <f>IF(A222="","",A222&amp;"|"&amp;O222)</f>
        <v/>
      </c>
    </row>
    <row r="223">
      <c r="A223" s="60" t="n"/>
      <c r="B223" s="63" t="n"/>
      <c r="C223" s="63" t="n"/>
      <c r="D223" s="67" t="n"/>
      <c r="E223" s="68" t="n"/>
      <c r="F223" s="69" t="n"/>
      <c r="G223" s="70" t="n"/>
      <c r="H223" s="62" t="str">
        <f>IF(COUNTA(A223:G223)=0,"",IF(C223&lt;&gt;"",C223,IF(B223="","",IFERROR(INDEX(pr_des,MATCH(B223,pr_code,0))&amp;"",""))))</f>
        <v/>
      </c>
      <c r="I223" s="59" t="str">
        <f>IF(B223="","",IFERROR(INDEX(pr_unit,MATCH(B223,pr_code,0))&amp;"",""))</f>
        <v/>
      </c>
      <c r="J223" s="65" t="str">
        <f>IF(COUNTA(A223:G223)=0,"",IF(E223&lt;&gt;"",E223,IF(B223="","",IFERROR(IF(INDEX(pr_price,MATCH(B223,pr_code,0))="","",INDEX(pr_price,MATCH(B223,pr_code,0))),""))))</f>
        <v/>
      </c>
      <c r="K223" s="71" t="str">
        <f>IF(COUNTA(A223:G223)=0,"",IF(G223&lt;&gt;"",G223,IF(B223="","",IFERROR(IF(INDEX(pr_rate,MATCH(B223,pr_code,0))="","",INDEX(pr_rate,MATCH(B223,pr_code,0))),""))))</f>
        <v/>
      </c>
      <c r="L223" s="65" t="str">
        <f>IF(COUNTA(A223:G223)=0,"",IF(AND(ISNUMBER(D223),ISNUMBER(J223)),ROUND(D223*J223*(1-N(F223)),2),0))</f>
        <v/>
      </c>
      <c r="M223" s="62" t="str">
        <f>IF(A223="","",IFERROR(INDEX(dv_cname,MATCH(A223,dv_num,0))&amp;"",""))</f>
        <v/>
      </c>
      <c r="N223" s="59" t="str">
        <f>IF(COUNTA(A223:G223)=0,"",IF(A223="","N° devis manquant",IF(ISNA(MATCH(A223,dv_num,0)),"Devis inconnu",IF(AND(B223&lt;&gt;"",ISNA(MATCH(B223,pr_code,0))),"Article inconnu",IF(H223="","Désignation manquante",IF(OR(NOT(ISNUMBER(D223)),N(D223)&lt;=0),"Quantité invalide",IF(J223="","Prix manquant",IF(OR(NOT(ISNUMBER(J223)),N(J223)&lt;0),"Prix invalide",IF(OR(AND(F223&lt;&gt;"",NOT(ISNUMBER(F223))),N(F223)&lt;0,N(F223)&gt;1),"Remise invalide",IF(K223="","Taux de TVA manquant",IF(NOT(ISNUMBER(K223)),"Taux de TVA invalide",IF(COUNTIF(p_rates,K223)=0,"Taux de TVA hors liste (Paramètres)",IF(N(O223)&gt;25,"Au-delà de 25 lignes : non imprimée","OK")))))))))))))</f>
        <v/>
      </c>
      <c r="O223" s="59" t="str">
        <f>IF(A223="","",COUNTIF($A$6:A223,A223))</f>
        <v/>
      </c>
      <c r="P223" s="62" t="str">
        <f>IF(A223="","",A223&amp;"|"&amp;O223)</f>
        <v/>
      </c>
    </row>
    <row r="224">
      <c r="A224" s="60" t="n"/>
      <c r="B224" s="63" t="n"/>
      <c r="C224" s="63" t="n"/>
      <c r="D224" s="67" t="n"/>
      <c r="E224" s="68" t="n"/>
      <c r="F224" s="69" t="n"/>
      <c r="G224" s="70" t="n"/>
      <c r="H224" s="62" t="str">
        <f>IF(COUNTA(A224:G224)=0,"",IF(C224&lt;&gt;"",C224,IF(B224="","",IFERROR(INDEX(pr_des,MATCH(B224,pr_code,0))&amp;"",""))))</f>
        <v/>
      </c>
      <c r="I224" s="59" t="str">
        <f>IF(B224="","",IFERROR(INDEX(pr_unit,MATCH(B224,pr_code,0))&amp;"",""))</f>
        <v/>
      </c>
      <c r="J224" s="65" t="str">
        <f>IF(COUNTA(A224:G224)=0,"",IF(E224&lt;&gt;"",E224,IF(B224="","",IFERROR(IF(INDEX(pr_price,MATCH(B224,pr_code,0))="","",INDEX(pr_price,MATCH(B224,pr_code,0))),""))))</f>
        <v/>
      </c>
      <c r="K224" s="71" t="str">
        <f>IF(COUNTA(A224:G224)=0,"",IF(G224&lt;&gt;"",G224,IF(B224="","",IFERROR(IF(INDEX(pr_rate,MATCH(B224,pr_code,0))="","",INDEX(pr_rate,MATCH(B224,pr_code,0))),""))))</f>
        <v/>
      </c>
      <c r="L224" s="65" t="str">
        <f>IF(COUNTA(A224:G224)=0,"",IF(AND(ISNUMBER(D224),ISNUMBER(J224)),ROUND(D224*J224*(1-N(F224)),2),0))</f>
        <v/>
      </c>
      <c r="M224" s="62" t="str">
        <f>IF(A224="","",IFERROR(INDEX(dv_cname,MATCH(A224,dv_num,0))&amp;"",""))</f>
        <v/>
      </c>
      <c r="N224" s="59" t="str">
        <f>IF(COUNTA(A224:G224)=0,"",IF(A224="","N° devis manquant",IF(ISNA(MATCH(A224,dv_num,0)),"Devis inconnu",IF(AND(B224&lt;&gt;"",ISNA(MATCH(B224,pr_code,0))),"Article inconnu",IF(H224="","Désignation manquante",IF(OR(NOT(ISNUMBER(D224)),N(D224)&lt;=0),"Quantité invalide",IF(J224="","Prix manquant",IF(OR(NOT(ISNUMBER(J224)),N(J224)&lt;0),"Prix invalide",IF(OR(AND(F224&lt;&gt;"",NOT(ISNUMBER(F224))),N(F224)&lt;0,N(F224)&gt;1),"Remise invalide",IF(K224="","Taux de TVA manquant",IF(NOT(ISNUMBER(K224)),"Taux de TVA invalide",IF(COUNTIF(p_rates,K224)=0,"Taux de TVA hors liste (Paramètres)",IF(N(O224)&gt;25,"Au-delà de 25 lignes : non imprimée","OK")))))))))))))</f>
        <v/>
      </c>
      <c r="O224" s="59" t="str">
        <f>IF(A224="","",COUNTIF($A$6:A224,A224))</f>
        <v/>
      </c>
      <c r="P224" s="62" t="str">
        <f>IF(A224="","",A224&amp;"|"&amp;O224)</f>
        <v/>
      </c>
    </row>
    <row r="225">
      <c r="A225" s="60" t="n"/>
      <c r="B225" s="63" t="n"/>
      <c r="C225" s="63" t="n"/>
      <c r="D225" s="67" t="n"/>
      <c r="E225" s="68" t="n"/>
      <c r="F225" s="69" t="n"/>
      <c r="G225" s="70" t="n"/>
      <c r="H225" s="62" t="str">
        <f>IF(COUNTA(A225:G225)=0,"",IF(C225&lt;&gt;"",C225,IF(B225="","",IFERROR(INDEX(pr_des,MATCH(B225,pr_code,0))&amp;"",""))))</f>
        <v/>
      </c>
      <c r="I225" s="59" t="str">
        <f>IF(B225="","",IFERROR(INDEX(pr_unit,MATCH(B225,pr_code,0))&amp;"",""))</f>
        <v/>
      </c>
      <c r="J225" s="65" t="str">
        <f>IF(COUNTA(A225:G225)=0,"",IF(E225&lt;&gt;"",E225,IF(B225="","",IFERROR(IF(INDEX(pr_price,MATCH(B225,pr_code,0))="","",INDEX(pr_price,MATCH(B225,pr_code,0))),""))))</f>
        <v/>
      </c>
      <c r="K225" s="71" t="str">
        <f>IF(COUNTA(A225:G225)=0,"",IF(G225&lt;&gt;"",G225,IF(B225="","",IFERROR(IF(INDEX(pr_rate,MATCH(B225,pr_code,0))="","",INDEX(pr_rate,MATCH(B225,pr_code,0))),""))))</f>
        <v/>
      </c>
      <c r="L225" s="65" t="str">
        <f>IF(COUNTA(A225:G225)=0,"",IF(AND(ISNUMBER(D225),ISNUMBER(J225)),ROUND(D225*J225*(1-N(F225)),2),0))</f>
        <v/>
      </c>
      <c r="M225" s="62" t="str">
        <f>IF(A225="","",IFERROR(INDEX(dv_cname,MATCH(A225,dv_num,0))&amp;"",""))</f>
        <v/>
      </c>
      <c r="N225" s="59" t="str">
        <f>IF(COUNTA(A225:G225)=0,"",IF(A225="","N° devis manquant",IF(ISNA(MATCH(A225,dv_num,0)),"Devis inconnu",IF(AND(B225&lt;&gt;"",ISNA(MATCH(B225,pr_code,0))),"Article inconnu",IF(H225="","Désignation manquante",IF(OR(NOT(ISNUMBER(D225)),N(D225)&lt;=0),"Quantité invalide",IF(J225="","Prix manquant",IF(OR(NOT(ISNUMBER(J225)),N(J225)&lt;0),"Prix invalide",IF(OR(AND(F225&lt;&gt;"",NOT(ISNUMBER(F225))),N(F225)&lt;0,N(F225)&gt;1),"Remise invalide",IF(K225="","Taux de TVA manquant",IF(NOT(ISNUMBER(K225)),"Taux de TVA invalide",IF(COUNTIF(p_rates,K225)=0,"Taux de TVA hors liste (Paramètres)",IF(N(O225)&gt;25,"Au-delà de 25 lignes : non imprimée","OK")))))))))))))</f>
        <v/>
      </c>
      <c r="O225" s="59" t="str">
        <f>IF(A225="","",COUNTIF($A$6:A225,A225))</f>
        <v/>
      </c>
      <c r="P225" s="62" t="str">
        <f>IF(A225="","",A225&amp;"|"&amp;O225)</f>
        <v/>
      </c>
    </row>
    <row r="226">
      <c r="A226" s="60" t="n"/>
      <c r="B226" s="63" t="n"/>
      <c r="C226" s="63" t="n"/>
      <c r="D226" s="67" t="n"/>
      <c r="E226" s="68" t="n"/>
      <c r="F226" s="69" t="n"/>
      <c r="G226" s="70" t="n"/>
      <c r="H226" s="62" t="str">
        <f>IF(COUNTA(A226:G226)=0,"",IF(C226&lt;&gt;"",C226,IF(B226="","",IFERROR(INDEX(pr_des,MATCH(B226,pr_code,0))&amp;"",""))))</f>
        <v/>
      </c>
      <c r="I226" s="59" t="str">
        <f>IF(B226="","",IFERROR(INDEX(pr_unit,MATCH(B226,pr_code,0))&amp;"",""))</f>
        <v/>
      </c>
      <c r="J226" s="65" t="str">
        <f>IF(COUNTA(A226:G226)=0,"",IF(E226&lt;&gt;"",E226,IF(B226="","",IFERROR(IF(INDEX(pr_price,MATCH(B226,pr_code,0))="","",INDEX(pr_price,MATCH(B226,pr_code,0))),""))))</f>
        <v/>
      </c>
      <c r="K226" s="71" t="str">
        <f>IF(COUNTA(A226:G226)=0,"",IF(G226&lt;&gt;"",G226,IF(B226="","",IFERROR(IF(INDEX(pr_rate,MATCH(B226,pr_code,0))="","",INDEX(pr_rate,MATCH(B226,pr_code,0))),""))))</f>
        <v/>
      </c>
      <c r="L226" s="65" t="str">
        <f>IF(COUNTA(A226:G226)=0,"",IF(AND(ISNUMBER(D226),ISNUMBER(J226)),ROUND(D226*J226*(1-N(F226)),2),0))</f>
        <v/>
      </c>
      <c r="M226" s="62" t="str">
        <f>IF(A226="","",IFERROR(INDEX(dv_cname,MATCH(A226,dv_num,0))&amp;"",""))</f>
        <v/>
      </c>
      <c r="N226" s="59" t="str">
        <f>IF(COUNTA(A226:G226)=0,"",IF(A226="","N° devis manquant",IF(ISNA(MATCH(A226,dv_num,0)),"Devis inconnu",IF(AND(B226&lt;&gt;"",ISNA(MATCH(B226,pr_code,0))),"Article inconnu",IF(H226="","Désignation manquante",IF(OR(NOT(ISNUMBER(D226)),N(D226)&lt;=0),"Quantité invalide",IF(J226="","Prix manquant",IF(OR(NOT(ISNUMBER(J226)),N(J226)&lt;0),"Prix invalide",IF(OR(AND(F226&lt;&gt;"",NOT(ISNUMBER(F226))),N(F226)&lt;0,N(F226)&gt;1),"Remise invalide",IF(K226="","Taux de TVA manquant",IF(NOT(ISNUMBER(K226)),"Taux de TVA invalide",IF(COUNTIF(p_rates,K226)=0,"Taux de TVA hors liste (Paramètres)",IF(N(O226)&gt;25,"Au-delà de 25 lignes : non imprimée","OK")))))))))))))</f>
        <v/>
      </c>
      <c r="O226" s="59" t="str">
        <f>IF(A226="","",COUNTIF($A$6:A226,A226))</f>
        <v/>
      </c>
      <c r="P226" s="62" t="str">
        <f>IF(A226="","",A226&amp;"|"&amp;O226)</f>
        <v/>
      </c>
    </row>
    <row r="227">
      <c r="A227" s="60" t="n"/>
      <c r="B227" s="63" t="n"/>
      <c r="C227" s="63" t="n"/>
      <c r="D227" s="67" t="n"/>
      <c r="E227" s="68" t="n"/>
      <c r="F227" s="69" t="n"/>
      <c r="G227" s="70" t="n"/>
      <c r="H227" s="62" t="str">
        <f>IF(COUNTA(A227:G227)=0,"",IF(C227&lt;&gt;"",C227,IF(B227="","",IFERROR(INDEX(pr_des,MATCH(B227,pr_code,0))&amp;"",""))))</f>
        <v/>
      </c>
      <c r="I227" s="59" t="str">
        <f>IF(B227="","",IFERROR(INDEX(pr_unit,MATCH(B227,pr_code,0))&amp;"",""))</f>
        <v/>
      </c>
      <c r="J227" s="65" t="str">
        <f>IF(COUNTA(A227:G227)=0,"",IF(E227&lt;&gt;"",E227,IF(B227="","",IFERROR(IF(INDEX(pr_price,MATCH(B227,pr_code,0))="","",INDEX(pr_price,MATCH(B227,pr_code,0))),""))))</f>
        <v/>
      </c>
      <c r="K227" s="71" t="str">
        <f>IF(COUNTA(A227:G227)=0,"",IF(G227&lt;&gt;"",G227,IF(B227="","",IFERROR(IF(INDEX(pr_rate,MATCH(B227,pr_code,0))="","",INDEX(pr_rate,MATCH(B227,pr_code,0))),""))))</f>
        <v/>
      </c>
      <c r="L227" s="65" t="str">
        <f>IF(COUNTA(A227:G227)=0,"",IF(AND(ISNUMBER(D227),ISNUMBER(J227)),ROUND(D227*J227*(1-N(F227)),2),0))</f>
        <v/>
      </c>
      <c r="M227" s="62" t="str">
        <f>IF(A227="","",IFERROR(INDEX(dv_cname,MATCH(A227,dv_num,0))&amp;"",""))</f>
        <v/>
      </c>
      <c r="N227" s="59" t="str">
        <f>IF(COUNTA(A227:G227)=0,"",IF(A227="","N° devis manquant",IF(ISNA(MATCH(A227,dv_num,0)),"Devis inconnu",IF(AND(B227&lt;&gt;"",ISNA(MATCH(B227,pr_code,0))),"Article inconnu",IF(H227="","Désignation manquante",IF(OR(NOT(ISNUMBER(D227)),N(D227)&lt;=0),"Quantité invalide",IF(J227="","Prix manquant",IF(OR(NOT(ISNUMBER(J227)),N(J227)&lt;0),"Prix invalide",IF(OR(AND(F227&lt;&gt;"",NOT(ISNUMBER(F227))),N(F227)&lt;0,N(F227)&gt;1),"Remise invalide",IF(K227="","Taux de TVA manquant",IF(NOT(ISNUMBER(K227)),"Taux de TVA invalide",IF(COUNTIF(p_rates,K227)=0,"Taux de TVA hors liste (Paramètres)",IF(N(O227)&gt;25,"Au-delà de 25 lignes : non imprimée","OK")))))))))))))</f>
        <v/>
      </c>
      <c r="O227" s="59" t="str">
        <f>IF(A227="","",COUNTIF($A$6:A227,A227))</f>
        <v/>
      </c>
      <c r="P227" s="62" t="str">
        <f>IF(A227="","",A227&amp;"|"&amp;O227)</f>
        <v/>
      </c>
    </row>
    <row r="228">
      <c r="A228" s="60" t="n"/>
      <c r="B228" s="63" t="n"/>
      <c r="C228" s="63" t="n"/>
      <c r="D228" s="67" t="n"/>
      <c r="E228" s="68" t="n"/>
      <c r="F228" s="69" t="n"/>
      <c r="G228" s="70" t="n"/>
      <c r="H228" s="62" t="str">
        <f>IF(COUNTA(A228:G228)=0,"",IF(C228&lt;&gt;"",C228,IF(B228="","",IFERROR(INDEX(pr_des,MATCH(B228,pr_code,0))&amp;"",""))))</f>
        <v/>
      </c>
      <c r="I228" s="59" t="str">
        <f>IF(B228="","",IFERROR(INDEX(pr_unit,MATCH(B228,pr_code,0))&amp;"",""))</f>
        <v/>
      </c>
      <c r="J228" s="65" t="str">
        <f>IF(COUNTA(A228:G228)=0,"",IF(E228&lt;&gt;"",E228,IF(B228="","",IFERROR(IF(INDEX(pr_price,MATCH(B228,pr_code,0))="","",INDEX(pr_price,MATCH(B228,pr_code,0))),""))))</f>
        <v/>
      </c>
      <c r="K228" s="71" t="str">
        <f>IF(COUNTA(A228:G228)=0,"",IF(G228&lt;&gt;"",G228,IF(B228="","",IFERROR(IF(INDEX(pr_rate,MATCH(B228,pr_code,0))="","",INDEX(pr_rate,MATCH(B228,pr_code,0))),""))))</f>
        <v/>
      </c>
      <c r="L228" s="65" t="str">
        <f>IF(COUNTA(A228:G228)=0,"",IF(AND(ISNUMBER(D228),ISNUMBER(J228)),ROUND(D228*J228*(1-N(F228)),2),0))</f>
        <v/>
      </c>
      <c r="M228" s="62" t="str">
        <f>IF(A228="","",IFERROR(INDEX(dv_cname,MATCH(A228,dv_num,0))&amp;"",""))</f>
        <v/>
      </c>
      <c r="N228" s="59" t="str">
        <f>IF(COUNTA(A228:G228)=0,"",IF(A228="","N° devis manquant",IF(ISNA(MATCH(A228,dv_num,0)),"Devis inconnu",IF(AND(B228&lt;&gt;"",ISNA(MATCH(B228,pr_code,0))),"Article inconnu",IF(H228="","Désignation manquante",IF(OR(NOT(ISNUMBER(D228)),N(D228)&lt;=0),"Quantité invalide",IF(J228="","Prix manquant",IF(OR(NOT(ISNUMBER(J228)),N(J228)&lt;0),"Prix invalide",IF(OR(AND(F228&lt;&gt;"",NOT(ISNUMBER(F228))),N(F228)&lt;0,N(F228)&gt;1),"Remise invalide",IF(K228="","Taux de TVA manquant",IF(NOT(ISNUMBER(K228)),"Taux de TVA invalide",IF(COUNTIF(p_rates,K228)=0,"Taux de TVA hors liste (Paramètres)",IF(N(O228)&gt;25,"Au-delà de 25 lignes : non imprimée","OK")))))))))))))</f>
        <v/>
      </c>
      <c r="O228" s="59" t="str">
        <f>IF(A228="","",COUNTIF($A$6:A228,A228))</f>
        <v/>
      </c>
      <c r="P228" s="62" t="str">
        <f>IF(A228="","",A228&amp;"|"&amp;O228)</f>
        <v/>
      </c>
    </row>
    <row r="229">
      <c r="A229" s="60" t="n"/>
      <c r="B229" s="63" t="n"/>
      <c r="C229" s="63" t="n"/>
      <c r="D229" s="67" t="n"/>
      <c r="E229" s="68" t="n"/>
      <c r="F229" s="69" t="n"/>
      <c r="G229" s="70" t="n"/>
      <c r="H229" s="62" t="str">
        <f>IF(COUNTA(A229:G229)=0,"",IF(C229&lt;&gt;"",C229,IF(B229="","",IFERROR(INDEX(pr_des,MATCH(B229,pr_code,0))&amp;"",""))))</f>
        <v/>
      </c>
      <c r="I229" s="59" t="str">
        <f>IF(B229="","",IFERROR(INDEX(pr_unit,MATCH(B229,pr_code,0))&amp;"",""))</f>
        <v/>
      </c>
      <c r="J229" s="65" t="str">
        <f>IF(COUNTA(A229:G229)=0,"",IF(E229&lt;&gt;"",E229,IF(B229="","",IFERROR(IF(INDEX(pr_price,MATCH(B229,pr_code,0))="","",INDEX(pr_price,MATCH(B229,pr_code,0))),""))))</f>
        <v/>
      </c>
      <c r="K229" s="71" t="str">
        <f>IF(COUNTA(A229:G229)=0,"",IF(G229&lt;&gt;"",G229,IF(B229="","",IFERROR(IF(INDEX(pr_rate,MATCH(B229,pr_code,0))="","",INDEX(pr_rate,MATCH(B229,pr_code,0))),""))))</f>
        <v/>
      </c>
      <c r="L229" s="65" t="str">
        <f>IF(COUNTA(A229:G229)=0,"",IF(AND(ISNUMBER(D229),ISNUMBER(J229)),ROUND(D229*J229*(1-N(F229)),2),0))</f>
        <v/>
      </c>
      <c r="M229" s="62" t="str">
        <f>IF(A229="","",IFERROR(INDEX(dv_cname,MATCH(A229,dv_num,0))&amp;"",""))</f>
        <v/>
      </c>
      <c r="N229" s="59" t="str">
        <f>IF(COUNTA(A229:G229)=0,"",IF(A229="","N° devis manquant",IF(ISNA(MATCH(A229,dv_num,0)),"Devis inconnu",IF(AND(B229&lt;&gt;"",ISNA(MATCH(B229,pr_code,0))),"Article inconnu",IF(H229="","Désignation manquante",IF(OR(NOT(ISNUMBER(D229)),N(D229)&lt;=0),"Quantité invalide",IF(J229="","Prix manquant",IF(OR(NOT(ISNUMBER(J229)),N(J229)&lt;0),"Prix invalide",IF(OR(AND(F229&lt;&gt;"",NOT(ISNUMBER(F229))),N(F229)&lt;0,N(F229)&gt;1),"Remise invalide",IF(K229="","Taux de TVA manquant",IF(NOT(ISNUMBER(K229)),"Taux de TVA invalide",IF(COUNTIF(p_rates,K229)=0,"Taux de TVA hors liste (Paramètres)",IF(N(O229)&gt;25,"Au-delà de 25 lignes : non imprimée","OK")))))))))))))</f>
        <v/>
      </c>
      <c r="O229" s="59" t="str">
        <f>IF(A229="","",COUNTIF($A$6:A229,A229))</f>
        <v/>
      </c>
      <c r="P229" s="62" t="str">
        <f>IF(A229="","",A229&amp;"|"&amp;O229)</f>
        <v/>
      </c>
    </row>
    <row r="230">
      <c r="A230" s="60" t="n"/>
      <c r="B230" s="63" t="n"/>
      <c r="C230" s="63" t="n"/>
      <c r="D230" s="67" t="n"/>
      <c r="E230" s="68" t="n"/>
      <c r="F230" s="69" t="n"/>
      <c r="G230" s="70" t="n"/>
      <c r="H230" s="62" t="str">
        <f>IF(COUNTA(A230:G230)=0,"",IF(C230&lt;&gt;"",C230,IF(B230="","",IFERROR(INDEX(pr_des,MATCH(B230,pr_code,0))&amp;"",""))))</f>
        <v/>
      </c>
      <c r="I230" s="59" t="str">
        <f>IF(B230="","",IFERROR(INDEX(pr_unit,MATCH(B230,pr_code,0))&amp;"",""))</f>
        <v/>
      </c>
      <c r="J230" s="65" t="str">
        <f>IF(COUNTA(A230:G230)=0,"",IF(E230&lt;&gt;"",E230,IF(B230="","",IFERROR(IF(INDEX(pr_price,MATCH(B230,pr_code,0))="","",INDEX(pr_price,MATCH(B230,pr_code,0))),""))))</f>
        <v/>
      </c>
      <c r="K230" s="71" t="str">
        <f>IF(COUNTA(A230:G230)=0,"",IF(G230&lt;&gt;"",G230,IF(B230="","",IFERROR(IF(INDEX(pr_rate,MATCH(B230,pr_code,0))="","",INDEX(pr_rate,MATCH(B230,pr_code,0))),""))))</f>
        <v/>
      </c>
      <c r="L230" s="65" t="str">
        <f>IF(COUNTA(A230:G230)=0,"",IF(AND(ISNUMBER(D230),ISNUMBER(J230)),ROUND(D230*J230*(1-N(F230)),2),0))</f>
        <v/>
      </c>
      <c r="M230" s="62" t="str">
        <f>IF(A230="","",IFERROR(INDEX(dv_cname,MATCH(A230,dv_num,0))&amp;"",""))</f>
        <v/>
      </c>
      <c r="N230" s="59" t="str">
        <f>IF(COUNTA(A230:G230)=0,"",IF(A230="","N° devis manquant",IF(ISNA(MATCH(A230,dv_num,0)),"Devis inconnu",IF(AND(B230&lt;&gt;"",ISNA(MATCH(B230,pr_code,0))),"Article inconnu",IF(H230="","Désignation manquante",IF(OR(NOT(ISNUMBER(D230)),N(D230)&lt;=0),"Quantité invalide",IF(J230="","Prix manquant",IF(OR(NOT(ISNUMBER(J230)),N(J230)&lt;0),"Prix invalide",IF(OR(AND(F230&lt;&gt;"",NOT(ISNUMBER(F230))),N(F230)&lt;0,N(F230)&gt;1),"Remise invalide",IF(K230="","Taux de TVA manquant",IF(NOT(ISNUMBER(K230)),"Taux de TVA invalide",IF(COUNTIF(p_rates,K230)=0,"Taux de TVA hors liste (Paramètres)",IF(N(O230)&gt;25,"Au-delà de 25 lignes : non imprimée","OK")))))))))))))</f>
        <v/>
      </c>
      <c r="O230" s="59" t="str">
        <f>IF(A230="","",COUNTIF($A$6:A230,A230))</f>
        <v/>
      </c>
      <c r="P230" s="62" t="str">
        <f>IF(A230="","",A230&amp;"|"&amp;O230)</f>
        <v/>
      </c>
    </row>
    <row r="231">
      <c r="A231" s="60" t="n"/>
      <c r="B231" s="63" t="n"/>
      <c r="C231" s="63" t="n"/>
      <c r="D231" s="67" t="n"/>
      <c r="E231" s="68" t="n"/>
      <c r="F231" s="69" t="n"/>
      <c r="G231" s="70" t="n"/>
      <c r="H231" s="62" t="str">
        <f>IF(COUNTA(A231:G231)=0,"",IF(C231&lt;&gt;"",C231,IF(B231="","",IFERROR(INDEX(pr_des,MATCH(B231,pr_code,0))&amp;"",""))))</f>
        <v/>
      </c>
      <c r="I231" s="59" t="str">
        <f>IF(B231="","",IFERROR(INDEX(pr_unit,MATCH(B231,pr_code,0))&amp;"",""))</f>
        <v/>
      </c>
      <c r="J231" s="65" t="str">
        <f>IF(COUNTA(A231:G231)=0,"",IF(E231&lt;&gt;"",E231,IF(B231="","",IFERROR(IF(INDEX(pr_price,MATCH(B231,pr_code,0))="","",INDEX(pr_price,MATCH(B231,pr_code,0))),""))))</f>
        <v/>
      </c>
      <c r="K231" s="71" t="str">
        <f>IF(COUNTA(A231:G231)=0,"",IF(G231&lt;&gt;"",G231,IF(B231="","",IFERROR(IF(INDEX(pr_rate,MATCH(B231,pr_code,0))="","",INDEX(pr_rate,MATCH(B231,pr_code,0))),""))))</f>
        <v/>
      </c>
      <c r="L231" s="65" t="str">
        <f>IF(COUNTA(A231:G231)=0,"",IF(AND(ISNUMBER(D231),ISNUMBER(J231)),ROUND(D231*J231*(1-N(F231)),2),0))</f>
        <v/>
      </c>
      <c r="M231" s="62" t="str">
        <f>IF(A231="","",IFERROR(INDEX(dv_cname,MATCH(A231,dv_num,0))&amp;"",""))</f>
        <v/>
      </c>
      <c r="N231" s="59" t="str">
        <f>IF(COUNTA(A231:G231)=0,"",IF(A231="","N° devis manquant",IF(ISNA(MATCH(A231,dv_num,0)),"Devis inconnu",IF(AND(B231&lt;&gt;"",ISNA(MATCH(B231,pr_code,0))),"Article inconnu",IF(H231="","Désignation manquante",IF(OR(NOT(ISNUMBER(D231)),N(D231)&lt;=0),"Quantité invalide",IF(J231="","Prix manquant",IF(OR(NOT(ISNUMBER(J231)),N(J231)&lt;0),"Prix invalide",IF(OR(AND(F231&lt;&gt;"",NOT(ISNUMBER(F231))),N(F231)&lt;0,N(F231)&gt;1),"Remise invalide",IF(K231="","Taux de TVA manquant",IF(NOT(ISNUMBER(K231)),"Taux de TVA invalide",IF(COUNTIF(p_rates,K231)=0,"Taux de TVA hors liste (Paramètres)",IF(N(O231)&gt;25,"Au-delà de 25 lignes : non imprimée","OK")))))))))))))</f>
        <v/>
      </c>
      <c r="O231" s="59" t="str">
        <f>IF(A231="","",COUNTIF($A$6:A231,A231))</f>
        <v/>
      </c>
      <c r="P231" s="62" t="str">
        <f>IF(A231="","",A231&amp;"|"&amp;O231)</f>
        <v/>
      </c>
    </row>
    <row r="232">
      <c r="A232" s="60" t="n"/>
      <c r="B232" s="63" t="n"/>
      <c r="C232" s="63" t="n"/>
      <c r="D232" s="67" t="n"/>
      <c r="E232" s="68" t="n"/>
      <c r="F232" s="69" t="n"/>
      <c r="G232" s="70" t="n"/>
      <c r="H232" s="62" t="str">
        <f>IF(COUNTA(A232:G232)=0,"",IF(C232&lt;&gt;"",C232,IF(B232="","",IFERROR(INDEX(pr_des,MATCH(B232,pr_code,0))&amp;"",""))))</f>
        <v/>
      </c>
      <c r="I232" s="59" t="str">
        <f>IF(B232="","",IFERROR(INDEX(pr_unit,MATCH(B232,pr_code,0))&amp;"",""))</f>
        <v/>
      </c>
      <c r="J232" s="65" t="str">
        <f>IF(COUNTA(A232:G232)=0,"",IF(E232&lt;&gt;"",E232,IF(B232="","",IFERROR(IF(INDEX(pr_price,MATCH(B232,pr_code,0))="","",INDEX(pr_price,MATCH(B232,pr_code,0))),""))))</f>
        <v/>
      </c>
      <c r="K232" s="71" t="str">
        <f>IF(COUNTA(A232:G232)=0,"",IF(G232&lt;&gt;"",G232,IF(B232="","",IFERROR(IF(INDEX(pr_rate,MATCH(B232,pr_code,0))="","",INDEX(pr_rate,MATCH(B232,pr_code,0))),""))))</f>
        <v/>
      </c>
      <c r="L232" s="65" t="str">
        <f>IF(COUNTA(A232:G232)=0,"",IF(AND(ISNUMBER(D232),ISNUMBER(J232)),ROUND(D232*J232*(1-N(F232)),2),0))</f>
        <v/>
      </c>
      <c r="M232" s="62" t="str">
        <f>IF(A232="","",IFERROR(INDEX(dv_cname,MATCH(A232,dv_num,0))&amp;"",""))</f>
        <v/>
      </c>
      <c r="N232" s="59" t="str">
        <f>IF(COUNTA(A232:G232)=0,"",IF(A232="","N° devis manquant",IF(ISNA(MATCH(A232,dv_num,0)),"Devis inconnu",IF(AND(B232&lt;&gt;"",ISNA(MATCH(B232,pr_code,0))),"Article inconnu",IF(H232="","Désignation manquante",IF(OR(NOT(ISNUMBER(D232)),N(D232)&lt;=0),"Quantité invalide",IF(J232="","Prix manquant",IF(OR(NOT(ISNUMBER(J232)),N(J232)&lt;0),"Prix invalide",IF(OR(AND(F232&lt;&gt;"",NOT(ISNUMBER(F232))),N(F232)&lt;0,N(F232)&gt;1),"Remise invalide",IF(K232="","Taux de TVA manquant",IF(NOT(ISNUMBER(K232)),"Taux de TVA invalide",IF(COUNTIF(p_rates,K232)=0,"Taux de TVA hors liste (Paramètres)",IF(N(O232)&gt;25,"Au-delà de 25 lignes : non imprimée","OK")))))))))))))</f>
        <v/>
      </c>
      <c r="O232" s="59" t="str">
        <f>IF(A232="","",COUNTIF($A$6:A232,A232))</f>
        <v/>
      </c>
      <c r="P232" s="62" t="str">
        <f>IF(A232="","",A232&amp;"|"&amp;O232)</f>
        <v/>
      </c>
    </row>
    <row r="233">
      <c r="A233" s="60" t="n"/>
      <c r="B233" s="63" t="n"/>
      <c r="C233" s="63" t="n"/>
      <c r="D233" s="67" t="n"/>
      <c r="E233" s="68" t="n"/>
      <c r="F233" s="69" t="n"/>
      <c r="G233" s="70" t="n"/>
      <c r="H233" s="62" t="str">
        <f>IF(COUNTA(A233:G233)=0,"",IF(C233&lt;&gt;"",C233,IF(B233="","",IFERROR(INDEX(pr_des,MATCH(B233,pr_code,0))&amp;"",""))))</f>
        <v/>
      </c>
      <c r="I233" s="59" t="str">
        <f>IF(B233="","",IFERROR(INDEX(pr_unit,MATCH(B233,pr_code,0))&amp;"",""))</f>
        <v/>
      </c>
      <c r="J233" s="65" t="str">
        <f>IF(COUNTA(A233:G233)=0,"",IF(E233&lt;&gt;"",E233,IF(B233="","",IFERROR(IF(INDEX(pr_price,MATCH(B233,pr_code,0))="","",INDEX(pr_price,MATCH(B233,pr_code,0))),""))))</f>
        <v/>
      </c>
      <c r="K233" s="71" t="str">
        <f>IF(COUNTA(A233:G233)=0,"",IF(G233&lt;&gt;"",G233,IF(B233="","",IFERROR(IF(INDEX(pr_rate,MATCH(B233,pr_code,0))="","",INDEX(pr_rate,MATCH(B233,pr_code,0))),""))))</f>
        <v/>
      </c>
      <c r="L233" s="65" t="str">
        <f>IF(COUNTA(A233:G233)=0,"",IF(AND(ISNUMBER(D233),ISNUMBER(J233)),ROUND(D233*J233*(1-N(F233)),2),0))</f>
        <v/>
      </c>
      <c r="M233" s="62" t="str">
        <f>IF(A233="","",IFERROR(INDEX(dv_cname,MATCH(A233,dv_num,0))&amp;"",""))</f>
        <v/>
      </c>
      <c r="N233" s="59" t="str">
        <f>IF(COUNTA(A233:G233)=0,"",IF(A233="","N° devis manquant",IF(ISNA(MATCH(A233,dv_num,0)),"Devis inconnu",IF(AND(B233&lt;&gt;"",ISNA(MATCH(B233,pr_code,0))),"Article inconnu",IF(H233="","Désignation manquante",IF(OR(NOT(ISNUMBER(D233)),N(D233)&lt;=0),"Quantité invalide",IF(J233="","Prix manquant",IF(OR(NOT(ISNUMBER(J233)),N(J233)&lt;0),"Prix invalide",IF(OR(AND(F233&lt;&gt;"",NOT(ISNUMBER(F233))),N(F233)&lt;0,N(F233)&gt;1),"Remise invalide",IF(K233="","Taux de TVA manquant",IF(NOT(ISNUMBER(K233)),"Taux de TVA invalide",IF(COUNTIF(p_rates,K233)=0,"Taux de TVA hors liste (Paramètres)",IF(N(O233)&gt;25,"Au-delà de 25 lignes : non imprimée","OK")))))))))))))</f>
        <v/>
      </c>
      <c r="O233" s="59" t="str">
        <f>IF(A233="","",COUNTIF($A$6:A233,A233))</f>
        <v/>
      </c>
      <c r="P233" s="62" t="str">
        <f>IF(A233="","",A233&amp;"|"&amp;O233)</f>
        <v/>
      </c>
    </row>
    <row r="234">
      <c r="A234" s="60" t="n"/>
      <c r="B234" s="63" t="n"/>
      <c r="C234" s="63" t="n"/>
      <c r="D234" s="67" t="n"/>
      <c r="E234" s="68" t="n"/>
      <c r="F234" s="69" t="n"/>
      <c r="G234" s="70" t="n"/>
      <c r="H234" s="62" t="str">
        <f>IF(COUNTA(A234:G234)=0,"",IF(C234&lt;&gt;"",C234,IF(B234="","",IFERROR(INDEX(pr_des,MATCH(B234,pr_code,0))&amp;"",""))))</f>
        <v/>
      </c>
      <c r="I234" s="59" t="str">
        <f>IF(B234="","",IFERROR(INDEX(pr_unit,MATCH(B234,pr_code,0))&amp;"",""))</f>
        <v/>
      </c>
      <c r="J234" s="65" t="str">
        <f>IF(COUNTA(A234:G234)=0,"",IF(E234&lt;&gt;"",E234,IF(B234="","",IFERROR(IF(INDEX(pr_price,MATCH(B234,pr_code,0))="","",INDEX(pr_price,MATCH(B234,pr_code,0))),""))))</f>
        <v/>
      </c>
      <c r="K234" s="71" t="str">
        <f>IF(COUNTA(A234:G234)=0,"",IF(G234&lt;&gt;"",G234,IF(B234="","",IFERROR(IF(INDEX(pr_rate,MATCH(B234,pr_code,0))="","",INDEX(pr_rate,MATCH(B234,pr_code,0))),""))))</f>
        <v/>
      </c>
      <c r="L234" s="65" t="str">
        <f>IF(COUNTA(A234:G234)=0,"",IF(AND(ISNUMBER(D234),ISNUMBER(J234)),ROUND(D234*J234*(1-N(F234)),2),0))</f>
        <v/>
      </c>
      <c r="M234" s="62" t="str">
        <f>IF(A234="","",IFERROR(INDEX(dv_cname,MATCH(A234,dv_num,0))&amp;"",""))</f>
        <v/>
      </c>
      <c r="N234" s="59" t="str">
        <f>IF(COUNTA(A234:G234)=0,"",IF(A234="","N° devis manquant",IF(ISNA(MATCH(A234,dv_num,0)),"Devis inconnu",IF(AND(B234&lt;&gt;"",ISNA(MATCH(B234,pr_code,0))),"Article inconnu",IF(H234="","Désignation manquante",IF(OR(NOT(ISNUMBER(D234)),N(D234)&lt;=0),"Quantité invalide",IF(J234="","Prix manquant",IF(OR(NOT(ISNUMBER(J234)),N(J234)&lt;0),"Prix invalide",IF(OR(AND(F234&lt;&gt;"",NOT(ISNUMBER(F234))),N(F234)&lt;0,N(F234)&gt;1),"Remise invalide",IF(K234="","Taux de TVA manquant",IF(NOT(ISNUMBER(K234)),"Taux de TVA invalide",IF(COUNTIF(p_rates,K234)=0,"Taux de TVA hors liste (Paramètres)",IF(N(O234)&gt;25,"Au-delà de 25 lignes : non imprimée","OK")))))))))))))</f>
        <v/>
      </c>
      <c r="O234" s="59" t="str">
        <f>IF(A234="","",COUNTIF($A$6:A234,A234))</f>
        <v/>
      </c>
      <c r="P234" s="62" t="str">
        <f>IF(A234="","",A234&amp;"|"&amp;O234)</f>
        <v/>
      </c>
    </row>
    <row r="235">
      <c r="A235" s="60" t="n"/>
      <c r="B235" s="63" t="n"/>
      <c r="C235" s="63" t="n"/>
      <c r="D235" s="67" t="n"/>
      <c r="E235" s="68" t="n"/>
      <c r="F235" s="69" t="n"/>
      <c r="G235" s="70" t="n"/>
      <c r="H235" s="62" t="str">
        <f>IF(COUNTA(A235:G235)=0,"",IF(C235&lt;&gt;"",C235,IF(B235="","",IFERROR(INDEX(pr_des,MATCH(B235,pr_code,0))&amp;"",""))))</f>
        <v/>
      </c>
      <c r="I235" s="59" t="str">
        <f>IF(B235="","",IFERROR(INDEX(pr_unit,MATCH(B235,pr_code,0))&amp;"",""))</f>
        <v/>
      </c>
      <c r="J235" s="65" t="str">
        <f>IF(COUNTA(A235:G235)=0,"",IF(E235&lt;&gt;"",E235,IF(B235="","",IFERROR(IF(INDEX(pr_price,MATCH(B235,pr_code,0))="","",INDEX(pr_price,MATCH(B235,pr_code,0))),""))))</f>
        <v/>
      </c>
      <c r="K235" s="71" t="str">
        <f>IF(COUNTA(A235:G235)=0,"",IF(G235&lt;&gt;"",G235,IF(B235="","",IFERROR(IF(INDEX(pr_rate,MATCH(B235,pr_code,0))="","",INDEX(pr_rate,MATCH(B235,pr_code,0))),""))))</f>
        <v/>
      </c>
      <c r="L235" s="65" t="str">
        <f>IF(COUNTA(A235:G235)=0,"",IF(AND(ISNUMBER(D235),ISNUMBER(J235)),ROUND(D235*J235*(1-N(F235)),2),0))</f>
        <v/>
      </c>
      <c r="M235" s="62" t="str">
        <f>IF(A235="","",IFERROR(INDEX(dv_cname,MATCH(A235,dv_num,0))&amp;"",""))</f>
        <v/>
      </c>
      <c r="N235" s="59" t="str">
        <f>IF(COUNTA(A235:G235)=0,"",IF(A235="","N° devis manquant",IF(ISNA(MATCH(A235,dv_num,0)),"Devis inconnu",IF(AND(B235&lt;&gt;"",ISNA(MATCH(B235,pr_code,0))),"Article inconnu",IF(H235="","Désignation manquante",IF(OR(NOT(ISNUMBER(D235)),N(D235)&lt;=0),"Quantité invalide",IF(J235="","Prix manquant",IF(OR(NOT(ISNUMBER(J235)),N(J235)&lt;0),"Prix invalide",IF(OR(AND(F235&lt;&gt;"",NOT(ISNUMBER(F235))),N(F235)&lt;0,N(F235)&gt;1),"Remise invalide",IF(K235="","Taux de TVA manquant",IF(NOT(ISNUMBER(K235)),"Taux de TVA invalide",IF(COUNTIF(p_rates,K235)=0,"Taux de TVA hors liste (Paramètres)",IF(N(O235)&gt;25,"Au-delà de 25 lignes : non imprimée","OK")))))))))))))</f>
        <v/>
      </c>
      <c r="O235" s="59" t="str">
        <f>IF(A235="","",COUNTIF($A$6:A235,A235))</f>
        <v/>
      </c>
      <c r="P235" s="62" t="str">
        <f>IF(A235="","",A235&amp;"|"&amp;O235)</f>
        <v/>
      </c>
    </row>
    <row r="236">
      <c r="A236" s="60" t="n"/>
      <c r="B236" s="63" t="n"/>
      <c r="C236" s="63" t="n"/>
      <c r="D236" s="67" t="n"/>
      <c r="E236" s="68" t="n"/>
      <c r="F236" s="69" t="n"/>
      <c r="G236" s="70" t="n"/>
      <c r="H236" s="62" t="str">
        <f>IF(COUNTA(A236:G236)=0,"",IF(C236&lt;&gt;"",C236,IF(B236="","",IFERROR(INDEX(pr_des,MATCH(B236,pr_code,0))&amp;"",""))))</f>
        <v/>
      </c>
      <c r="I236" s="59" t="str">
        <f>IF(B236="","",IFERROR(INDEX(pr_unit,MATCH(B236,pr_code,0))&amp;"",""))</f>
        <v/>
      </c>
      <c r="J236" s="65" t="str">
        <f>IF(COUNTA(A236:G236)=0,"",IF(E236&lt;&gt;"",E236,IF(B236="","",IFERROR(IF(INDEX(pr_price,MATCH(B236,pr_code,0))="","",INDEX(pr_price,MATCH(B236,pr_code,0))),""))))</f>
        <v/>
      </c>
      <c r="K236" s="71" t="str">
        <f>IF(COUNTA(A236:G236)=0,"",IF(G236&lt;&gt;"",G236,IF(B236="","",IFERROR(IF(INDEX(pr_rate,MATCH(B236,pr_code,0))="","",INDEX(pr_rate,MATCH(B236,pr_code,0))),""))))</f>
        <v/>
      </c>
      <c r="L236" s="65" t="str">
        <f>IF(COUNTA(A236:G236)=0,"",IF(AND(ISNUMBER(D236),ISNUMBER(J236)),ROUND(D236*J236*(1-N(F236)),2),0))</f>
        <v/>
      </c>
      <c r="M236" s="62" t="str">
        <f>IF(A236="","",IFERROR(INDEX(dv_cname,MATCH(A236,dv_num,0))&amp;"",""))</f>
        <v/>
      </c>
      <c r="N236" s="59" t="str">
        <f>IF(COUNTA(A236:G236)=0,"",IF(A236="","N° devis manquant",IF(ISNA(MATCH(A236,dv_num,0)),"Devis inconnu",IF(AND(B236&lt;&gt;"",ISNA(MATCH(B236,pr_code,0))),"Article inconnu",IF(H236="","Désignation manquante",IF(OR(NOT(ISNUMBER(D236)),N(D236)&lt;=0),"Quantité invalide",IF(J236="","Prix manquant",IF(OR(NOT(ISNUMBER(J236)),N(J236)&lt;0),"Prix invalide",IF(OR(AND(F236&lt;&gt;"",NOT(ISNUMBER(F236))),N(F236)&lt;0,N(F236)&gt;1),"Remise invalide",IF(K236="","Taux de TVA manquant",IF(NOT(ISNUMBER(K236)),"Taux de TVA invalide",IF(COUNTIF(p_rates,K236)=0,"Taux de TVA hors liste (Paramètres)",IF(N(O236)&gt;25,"Au-delà de 25 lignes : non imprimée","OK")))))))))))))</f>
        <v/>
      </c>
      <c r="O236" s="59" t="str">
        <f>IF(A236="","",COUNTIF($A$6:A236,A236))</f>
        <v/>
      </c>
      <c r="P236" s="62" t="str">
        <f>IF(A236="","",A236&amp;"|"&amp;O236)</f>
        <v/>
      </c>
    </row>
    <row r="237">
      <c r="A237" s="60" t="n"/>
      <c r="B237" s="63" t="n"/>
      <c r="C237" s="63" t="n"/>
      <c r="D237" s="67" t="n"/>
      <c r="E237" s="68" t="n"/>
      <c r="F237" s="69" t="n"/>
      <c r="G237" s="70" t="n"/>
      <c r="H237" s="62" t="str">
        <f>IF(COUNTA(A237:G237)=0,"",IF(C237&lt;&gt;"",C237,IF(B237="","",IFERROR(INDEX(pr_des,MATCH(B237,pr_code,0))&amp;"",""))))</f>
        <v/>
      </c>
      <c r="I237" s="59" t="str">
        <f>IF(B237="","",IFERROR(INDEX(pr_unit,MATCH(B237,pr_code,0))&amp;"",""))</f>
        <v/>
      </c>
      <c r="J237" s="65" t="str">
        <f>IF(COUNTA(A237:G237)=0,"",IF(E237&lt;&gt;"",E237,IF(B237="","",IFERROR(IF(INDEX(pr_price,MATCH(B237,pr_code,0))="","",INDEX(pr_price,MATCH(B237,pr_code,0))),""))))</f>
        <v/>
      </c>
      <c r="K237" s="71" t="str">
        <f>IF(COUNTA(A237:G237)=0,"",IF(G237&lt;&gt;"",G237,IF(B237="","",IFERROR(IF(INDEX(pr_rate,MATCH(B237,pr_code,0))="","",INDEX(pr_rate,MATCH(B237,pr_code,0))),""))))</f>
        <v/>
      </c>
      <c r="L237" s="65" t="str">
        <f>IF(COUNTA(A237:G237)=0,"",IF(AND(ISNUMBER(D237),ISNUMBER(J237)),ROUND(D237*J237*(1-N(F237)),2),0))</f>
        <v/>
      </c>
      <c r="M237" s="62" t="str">
        <f>IF(A237="","",IFERROR(INDEX(dv_cname,MATCH(A237,dv_num,0))&amp;"",""))</f>
        <v/>
      </c>
      <c r="N237" s="59" t="str">
        <f>IF(COUNTA(A237:G237)=0,"",IF(A237="","N° devis manquant",IF(ISNA(MATCH(A237,dv_num,0)),"Devis inconnu",IF(AND(B237&lt;&gt;"",ISNA(MATCH(B237,pr_code,0))),"Article inconnu",IF(H237="","Désignation manquante",IF(OR(NOT(ISNUMBER(D237)),N(D237)&lt;=0),"Quantité invalide",IF(J237="","Prix manquant",IF(OR(NOT(ISNUMBER(J237)),N(J237)&lt;0),"Prix invalide",IF(OR(AND(F237&lt;&gt;"",NOT(ISNUMBER(F237))),N(F237)&lt;0,N(F237)&gt;1),"Remise invalide",IF(K237="","Taux de TVA manquant",IF(NOT(ISNUMBER(K237)),"Taux de TVA invalide",IF(COUNTIF(p_rates,K237)=0,"Taux de TVA hors liste (Paramètres)",IF(N(O237)&gt;25,"Au-delà de 25 lignes : non imprimée","OK")))))))))))))</f>
        <v/>
      </c>
      <c r="O237" s="59" t="str">
        <f>IF(A237="","",COUNTIF($A$6:A237,A237))</f>
        <v/>
      </c>
      <c r="P237" s="62" t="str">
        <f>IF(A237="","",A237&amp;"|"&amp;O237)</f>
        <v/>
      </c>
    </row>
    <row r="238">
      <c r="A238" s="60" t="n"/>
      <c r="B238" s="63" t="n"/>
      <c r="C238" s="63" t="n"/>
      <c r="D238" s="67" t="n"/>
      <c r="E238" s="68" t="n"/>
      <c r="F238" s="69" t="n"/>
      <c r="G238" s="70" t="n"/>
      <c r="H238" s="62" t="str">
        <f>IF(COUNTA(A238:G238)=0,"",IF(C238&lt;&gt;"",C238,IF(B238="","",IFERROR(INDEX(pr_des,MATCH(B238,pr_code,0))&amp;"",""))))</f>
        <v/>
      </c>
      <c r="I238" s="59" t="str">
        <f>IF(B238="","",IFERROR(INDEX(pr_unit,MATCH(B238,pr_code,0))&amp;"",""))</f>
        <v/>
      </c>
      <c r="J238" s="65" t="str">
        <f>IF(COUNTA(A238:G238)=0,"",IF(E238&lt;&gt;"",E238,IF(B238="","",IFERROR(IF(INDEX(pr_price,MATCH(B238,pr_code,0))="","",INDEX(pr_price,MATCH(B238,pr_code,0))),""))))</f>
        <v/>
      </c>
      <c r="K238" s="71" t="str">
        <f>IF(COUNTA(A238:G238)=0,"",IF(G238&lt;&gt;"",G238,IF(B238="","",IFERROR(IF(INDEX(pr_rate,MATCH(B238,pr_code,0))="","",INDEX(pr_rate,MATCH(B238,pr_code,0))),""))))</f>
        <v/>
      </c>
      <c r="L238" s="65" t="str">
        <f>IF(COUNTA(A238:G238)=0,"",IF(AND(ISNUMBER(D238),ISNUMBER(J238)),ROUND(D238*J238*(1-N(F238)),2),0))</f>
        <v/>
      </c>
      <c r="M238" s="62" t="str">
        <f>IF(A238="","",IFERROR(INDEX(dv_cname,MATCH(A238,dv_num,0))&amp;"",""))</f>
        <v/>
      </c>
      <c r="N238" s="59" t="str">
        <f>IF(COUNTA(A238:G238)=0,"",IF(A238="","N° devis manquant",IF(ISNA(MATCH(A238,dv_num,0)),"Devis inconnu",IF(AND(B238&lt;&gt;"",ISNA(MATCH(B238,pr_code,0))),"Article inconnu",IF(H238="","Désignation manquante",IF(OR(NOT(ISNUMBER(D238)),N(D238)&lt;=0),"Quantité invalide",IF(J238="","Prix manquant",IF(OR(NOT(ISNUMBER(J238)),N(J238)&lt;0),"Prix invalide",IF(OR(AND(F238&lt;&gt;"",NOT(ISNUMBER(F238))),N(F238)&lt;0,N(F238)&gt;1),"Remise invalide",IF(K238="","Taux de TVA manquant",IF(NOT(ISNUMBER(K238)),"Taux de TVA invalide",IF(COUNTIF(p_rates,K238)=0,"Taux de TVA hors liste (Paramètres)",IF(N(O238)&gt;25,"Au-delà de 25 lignes : non imprimée","OK")))))))))))))</f>
        <v/>
      </c>
      <c r="O238" s="59" t="str">
        <f>IF(A238="","",COUNTIF($A$6:A238,A238))</f>
        <v/>
      </c>
      <c r="P238" s="62" t="str">
        <f>IF(A238="","",A238&amp;"|"&amp;O238)</f>
        <v/>
      </c>
    </row>
    <row r="239">
      <c r="A239" s="60" t="n"/>
      <c r="B239" s="63" t="n"/>
      <c r="C239" s="63" t="n"/>
      <c r="D239" s="67" t="n"/>
      <c r="E239" s="68" t="n"/>
      <c r="F239" s="69" t="n"/>
      <c r="G239" s="70" t="n"/>
      <c r="H239" s="62" t="str">
        <f>IF(COUNTA(A239:G239)=0,"",IF(C239&lt;&gt;"",C239,IF(B239="","",IFERROR(INDEX(pr_des,MATCH(B239,pr_code,0))&amp;"",""))))</f>
        <v/>
      </c>
      <c r="I239" s="59" t="str">
        <f>IF(B239="","",IFERROR(INDEX(pr_unit,MATCH(B239,pr_code,0))&amp;"",""))</f>
        <v/>
      </c>
      <c r="J239" s="65" t="str">
        <f>IF(COUNTA(A239:G239)=0,"",IF(E239&lt;&gt;"",E239,IF(B239="","",IFERROR(IF(INDEX(pr_price,MATCH(B239,pr_code,0))="","",INDEX(pr_price,MATCH(B239,pr_code,0))),""))))</f>
        <v/>
      </c>
      <c r="K239" s="71" t="str">
        <f>IF(COUNTA(A239:G239)=0,"",IF(G239&lt;&gt;"",G239,IF(B239="","",IFERROR(IF(INDEX(pr_rate,MATCH(B239,pr_code,0))="","",INDEX(pr_rate,MATCH(B239,pr_code,0))),""))))</f>
        <v/>
      </c>
      <c r="L239" s="65" t="str">
        <f>IF(COUNTA(A239:G239)=0,"",IF(AND(ISNUMBER(D239),ISNUMBER(J239)),ROUND(D239*J239*(1-N(F239)),2),0))</f>
        <v/>
      </c>
      <c r="M239" s="62" t="str">
        <f>IF(A239="","",IFERROR(INDEX(dv_cname,MATCH(A239,dv_num,0))&amp;"",""))</f>
        <v/>
      </c>
      <c r="N239" s="59" t="str">
        <f>IF(COUNTA(A239:G239)=0,"",IF(A239="","N° devis manquant",IF(ISNA(MATCH(A239,dv_num,0)),"Devis inconnu",IF(AND(B239&lt;&gt;"",ISNA(MATCH(B239,pr_code,0))),"Article inconnu",IF(H239="","Désignation manquante",IF(OR(NOT(ISNUMBER(D239)),N(D239)&lt;=0),"Quantité invalide",IF(J239="","Prix manquant",IF(OR(NOT(ISNUMBER(J239)),N(J239)&lt;0),"Prix invalide",IF(OR(AND(F239&lt;&gt;"",NOT(ISNUMBER(F239))),N(F239)&lt;0,N(F239)&gt;1),"Remise invalide",IF(K239="","Taux de TVA manquant",IF(NOT(ISNUMBER(K239)),"Taux de TVA invalide",IF(COUNTIF(p_rates,K239)=0,"Taux de TVA hors liste (Paramètres)",IF(N(O239)&gt;25,"Au-delà de 25 lignes : non imprimée","OK")))))))))))))</f>
        <v/>
      </c>
      <c r="O239" s="59" t="str">
        <f>IF(A239="","",COUNTIF($A$6:A239,A239))</f>
        <v/>
      </c>
      <c r="P239" s="62" t="str">
        <f>IF(A239="","",A239&amp;"|"&amp;O239)</f>
        <v/>
      </c>
    </row>
    <row r="240">
      <c r="A240" s="60" t="n"/>
      <c r="B240" s="63" t="n"/>
      <c r="C240" s="63" t="n"/>
      <c r="D240" s="67" t="n"/>
      <c r="E240" s="68" t="n"/>
      <c r="F240" s="69" t="n"/>
      <c r="G240" s="70" t="n"/>
      <c r="H240" s="62" t="str">
        <f>IF(COUNTA(A240:G240)=0,"",IF(C240&lt;&gt;"",C240,IF(B240="","",IFERROR(INDEX(pr_des,MATCH(B240,pr_code,0))&amp;"",""))))</f>
        <v/>
      </c>
      <c r="I240" s="59" t="str">
        <f>IF(B240="","",IFERROR(INDEX(pr_unit,MATCH(B240,pr_code,0))&amp;"",""))</f>
        <v/>
      </c>
      <c r="J240" s="65" t="str">
        <f>IF(COUNTA(A240:G240)=0,"",IF(E240&lt;&gt;"",E240,IF(B240="","",IFERROR(IF(INDEX(pr_price,MATCH(B240,pr_code,0))="","",INDEX(pr_price,MATCH(B240,pr_code,0))),""))))</f>
        <v/>
      </c>
      <c r="K240" s="71" t="str">
        <f>IF(COUNTA(A240:G240)=0,"",IF(G240&lt;&gt;"",G240,IF(B240="","",IFERROR(IF(INDEX(pr_rate,MATCH(B240,pr_code,0))="","",INDEX(pr_rate,MATCH(B240,pr_code,0))),""))))</f>
        <v/>
      </c>
      <c r="L240" s="65" t="str">
        <f>IF(COUNTA(A240:G240)=0,"",IF(AND(ISNUMBER(D240),ISNUMBER(J240)),ROUND(D240*J240*(1-N(F240)),2),0))</f>
        <v/>
      </c>
      <c r="M240" s="62" t="str">
        <f>IF(A240="","",IFERROR(INDEX(dv_cname,MATCH(A240,dv_num,0))&amp;"",""))</f>
        <v/>
      </c>
      <c r="N240" s="59" t="str">
        <f>IF(COUNTA(A240:G240)=0,"",IF(A240="","N° devis manquant",IF(ISNA(MATCH(A240,dv_num,0)),"Devis inconnu",IF(AND(B240&lt;&gt;"",ISNA(MATCH(B240,pr_code,0))),"Article inconnu",IF(H240="","Désignation manquante",IF(OR(NOT(ISNUMBER(D240)),N(D240)&lt;=0),"Quantité invalide",IF(J240="","Prix manquant",IF(OR(NOT(ISNUMBER(J240)),N(J240)&lt;0),"Prix invalide",IF(OR(AND(F240&lt;&gt;"",NOT(ISNUMBER(F240))),N(F240)&lt;0,N(F240)&gt;1),"Remise invalide",IF(K240="","Taux de TVA manquant",IF(NOT(ISNUMBER(K240)),"Taux de TVA invalide",IF(COUNTIF(p_rates,K240)=0,"Taux de TVA hors liste (Paramètres)",IF(N(O240)&gt;25,"Au-delà de 25 lignes : non imprimée","OK")))))))))))))</f>
        <v/>
      </c>
      <c r="O240" s="59" t="str">
        <f>IF(A240="","",COUNTIF($A$6:A240,A240))</f>
        <v/>
      </c>
      <c r="P240" s="62" t="str">
        <f>IF(A240="","",A240&amp;"|"&amp;O240)</f>
        <v/>
      </c>
    </row>
    <row r="241">
      <c r="A241" s="60" t="n"/>
      <c r="B241" s="63" t="n"/>
      <c r="C241" s="63" t="n"/>
      <c r="D241" s="67" t="n"/>
      <c r="E241" s="68" t="n"/>
      <c r="F241" s="69" t="n"/>
      <c r="G241" s="70" t="n"/>
      <c r="H241" s="62" t="str">
        <f>IF(COUNTA(A241:G241)=0,"",IF(C241&lt;&gt;"",C241,IF(B241="","",IFERROR(INDEX(pr_des,MATCH(B241,pr_code,0))&amp;"",""))))</f>
        <v/>
      </c>
      <c r="I241" s="59" t="str">
        <f>IF(B241="","",IFERROR(INDEX(pr_unit,MATCH(B241,pr_code,0))&amp;"",""))</f>
        <v/>
      </c>
      <c r="J241" s="65" t="str">
        <f>IF(COUNTA(A241:G241)=0,"",IF(E241&lt;&gt;"",E241,IF(B241="","",IFERROR(IF(INDEX(pr_price,MATCH(B241,pr_code,0))="","",INDEX(pr_price,MATCH(B241,pr_code,0))),""))))</f>
        <v/>
      </c>
      <c r="K241" s="71" t="str">
        <f>IF(COUNTA(A241:G241)=0,"",IF(G241&lt;&gt;"",G241,IF(B241="","",IFERROR(IF(INDEX(pr_rate,MATCH(B241,pr_code,0))="","",INDEX(pr_rate,MATCH(B241,pr_code,0))),""))))</f>
        <v/>
      </c>
      <c r="L241" s="65" t="str">
        <f>IF(COUNTA(A241:G241)=0,"",IF(AND(ISNUMBER(D241),ISNUMBER(J241)),ROUND(D241*J241*(1-N(F241)),2),0))</f>
        <v/>
      </c>
      <c r="M241" s="62" t="str">
        <f>IF(A241="","",IFERROR(INDEX(dv_cname,MATCH(A241,dv_num,0))&amp;"",""))</f>
        <v/>
      </c>
      <c r="N241" s="59" t="str">
        <f>IF(COUNTA(A241:G241)=0,"",IF(A241="","N° devis manquant",IF(ISNA(MATCH(A241,dv_num,0)),"Devis inconnu",IF(AND(B241&lt;&gt;"",ISNA(MATCH(B241,pr_code,0))),"Article inconnu",IF(H241="","Désignation manquante",IF(OR(NOT(ISNUMBER(D241)),N(D241)&lt;=0),"Quantité invalide",IF(J241="","Prix manquant",IF(OR(NOT(ISNUMBER(J241)),N(J241)&lt;0),"Prix invalide",IF(OR(AND(F241&lt;&gt;"",NOT(ISNUMBER(F241))),N(F241)&lt;0,N(F241)&gt;1),"Remise invalide",IF(K241="","Taux de TVA manquant",IF(NOT(ISNUMBER(K241)),"Taux de TVA invalide",IF(COUNTIF(p_rates,K241)=0,"Taux de TVA hors liste (Paramètres)",IF(N(O241)&gt;25,"Au-delà de 25 lignes : non imprimée","OK")))))))))))))</f>
        <v/>
      </c>
      <c r="O241" s="59" t="str">
        <f>IF(A241="","",COUNTIF($A$6:A241,A241))</f>
        <v/>
      </c>
      <c r="P241" s="62" t="str">
        <f>IF(A241="","",A241&amp;"|"&amp;O241)</f>
        <v/>
      </c>
    </row>
    <row r="242">
      <c r="A242" s="60" t="n"/>
      <c r="B242" s="63" t="n"/>
      <c r="C242" s="63" t="n"/>
      <c r="D242" s="67" t="n"/>
      <c r="E242" s="68" t="n"/>
      <c r="F242" s="69" t="n"/>
      <c r="G242" s="70" t="n"/>
      <c r="H242" s="62" t="str">
        <f>IF(COUNTA(A242:G242)=0,"",IF(C242&lt;&gt;"",C242,IF(B242="","",IFERROR(INDEX(pr_des,MATCH(B242,pr_code,0))&amp;"",""))))</f>
        <v/>
      </c>
      <c r="I242" s="59" t="str">
        <f>IF(B242="","",IFERROR(INDEX(pr_unit,MATCH(B242,pr_code,0))&amp;"",""))</f>
        <v/>
      </c>
      <c r="J242" s="65" t="str">
        <f>IF(COUNTA(A242:G242)=0,"",IF(E242&lt;&gt;"",E242,IF(B242="","",IFERROR(IF(INDEX(pr_price,MATCH(B242,pr_code,0))="","",INDEX(pr_price,MATCH(B242,pr_code,0))),""))))</f>
        <v/>
      </c>
      <c r="K242" s="71" t="str">
        <f>IF(COUNTA(A242:G242)=0,"",IF(G242&lt;&gt;"",G242,IF(B242="","",IFERROR(IF(INDEX(pr_rate,MATCH(B242,pr_code,0))="","",INDEX(pr_rate,MATCH(B242,pr_code,0))),""))))</f>
        <v/>
      </c>
      <c r="L242" s="65" t="str">
        <f>IF(COUNTA(A242:G242)=0,"",IF(AND(ISNUMBER(D242),ISNUMBER(J242)),ROUND(D242*J242*(1-N(F242)),2),0))</f>
        <v/>
      </c>
      <c r="M242" s="62" t="str">
        <f>IF(A242="","",IFERROR(INDEX(dv_cname,MATCH(A242,dv_num,0))&amp;"",""))</f>
        <v/>
      </c>
      <c r="N242" s="59" t="str">
        <f>IF(COUNTA(A242:G242)=0,"",IF(A242="","N° devis manquant",IF(ISNA(MATCH(A242,dv_num,0)),"Devis inconnu",IF(AND(B242&lt;&gt;"",ISNA(MATCH(B242,pr_code,0))),"Article inconnu",IF(H242="","Désignation manquante",IF(OR(NOT(ISNUMBER(D242)),N(D242)&lt;=0),"Quantité invalide",IF(J242="","Prix manquant",IF(OR(NOT(ISNUMBER(J242)),N(J242)&lt;0),"Prix invalide",IF(OR(AND(F242&lt;&gt;"",NOT(ISNUMBER(F242))),N(F242)&lt;0,N(F242)&gt;1),"Remise invalide",IF(K242="","Taux de TVA manquant",IF(NOT(ISNUMBER(K242)),"Taux de TVA invalide",IF(COUNTIF(p_rates,K242)=0,"Taux de TVA hors liste (Paramètres)",IF(N(O242)&gt;25,"Au-delà de 25 lignes : non imprimée","OK")))))))))))))</f>
        <v/>
      </c>
      <c r="O242" s="59" t="str">
        <f>IF(A242="","",COUNTIF($A$6:A242,A242))</f>
        <v/>
      </c>
      <c r="P242" s="62" t="str">
        <f>IF(A242="","",A242&amp;"|"&amp;O242)</f>
        <v/>
      </c>
    </row>
    <row r="243">
      <c r="A243" s="60" t="n"/>
      <c r="B243" s="63" t="n"/>
      <c r="C243" s="63" t="n"/>
      <c r="D243" s="67" t="n"/>
      <c r="E243" s="68" t="n"/>
      <c r="F243" s="69" t="n"/>
      <c r="G243" s="70" t="n"/>
      <c r="H243" s="62" t="str">
        <f>IF(COUNTA(A243:G243)=0,"",IF(C243&lt;&gt;"",C243,IF(B243="","",IFERROR(INDEX(pr_des,MATCH(B243,pr_code,0))&amp;"",""))))</f>
        <v/>
      </c>
      <c r="I243" s="59" t="str">
        <f>IF(B243="","",IFERROR(INDEX(pr_unit,MATCH(B243,pr_code,0))&amp;"",""))</f>
        <v/>
      </c>
      <c r="J243" s="65" t="str">
        <f>IF(COUNTA(A243:G243)=0,"",IF(E243&lt;&gt;"",E243,IF(B243="","",IFERROR(IF(INDEX(pr_price,MATCH(B243,pr_code,0))="","",INDEX(pr_price,MATCH(B243,pr_code,0))),""))))</f>
        <v/>
      </c>
      <c r="K243" s="71" t="str">
        <f>IF(COUNTA(A243:G243)=0,"",IF(G243&lt;&gt;"",G243,IF(B243="","",IFERROR(IF(INDEX(pr_rate,MATCH(B243,pr_code,0))="","",INDEX(pr_rate,MATCH(B243,pr_code,0))),""))))</f>
        <v/>
      </c>
      <c r="L243" s="65" t="str">
        <f>IF(COUNTA(A243:G243)=0,"",IF(AND(ISNUMBER(D243),ISNUMBER(J243)),ROUND(D243*J243*(1-N(F243)),2),0))</f>
        <v/>
      </c>
      <c r="M243" s="62" t="str">
        <f>IF(A243="","",IFERROR(INDEX(dv_cname,MATCH(A243,dv_num,0))&amp;"",""))</f>
        <v/>
      </c>
      <c r="N243" s="59" t="str">
        <f>IF(COUNTA(A243:G243)=0,"",IF(A243="","N° devis manquant",IF(ISNA(MATCH(A243,dv_num,0)),"Devis inconnu",IF(AND(B243&lt;&gt;"",ISNA(MATCH(B243,pr_code,0))),"Article inconnu",IF(H243="","Désignation manquante",IF(OR(NOT(ISNUMBER(D243)),N(D243)&lt;=0),"Quantité invalide",IF(J243="","Prix manquant",IF(OR(NOT(ISNUMBER(J243)),N(J243)&lt;0),"Prix invalide",IF(OR(AND(F243&lt;&gt;"",NOT(ISNUMBER(F243))),N(F243)&lt;0,N(F243)&gt;1),"Remise invalide",IF(K243="","Taux de TVA manquant",IF(NOT(ISNUMBER(K243)),"Taux de TVA invalide",IF(COUNTIF(p_rates,K243)=0,"Taux de TVA hors liste (Paramètres)",IF(N(O243)&gt;25,"Au-delà de 25 lignes : non imprimée","OK")))))))))))))</f>
        <v/>
      </c>
      <c r="O243" s="59" t="str">
        <f>IF(A243="","",COUNTIF($A$6:A243,A243))</f>
        <v/>
      </c>
      <c r="P243" s="62" t="str">
        <f>IF(A243="","",A243&amp;"|"&amp;O243)</f>
        <v/>
      </c>
    </row>
    <row r="244">
      <c r="A244" s="60" t="n"/>
      <c r="B244" s="63" t="n"/>
      <c r="C244" s="63" t="n"/>
      <c r="D244" s="67" t="n"/>
      <c r="E244" s="68" t="n"/>
      <c r="F244" s="69" t="n"/>
      <c r="G244" s="70" t="n"/>
      <c r="H244" s="62" t="str">
        <f>IF(COUNTA(A244:G244)=0,"",IF(C244&lt;&gt;"",C244,IF(B244="","",IFERROR(INDEX(pr_des,MATCH(B244,pr_code,0))&amp;"",""))))</f>
        <v/>
      </c>
      <c r="I244" s="59" t="str">
        <f>IF(B244="","",IFERROR(INDEX(pr_unit,MATCH(B244,pr_code,0))&amp;"",""))</f>
        <v/>
      </c>
      <c r="J244" s="65" t="str">
        <f>IF(COUNTA(A244:G244)=0,"",IF(E244&lt;&gt;"",E244,IF(B244="","",IFERROR(IF(INDEX(pr_price,MATCH(B244,pr_code,0))="","",INDEX(pr_price,MATCH(B244,pr_code,0))),""))))</f>
        <v/>
      </c>
      <c r="K244" s="71" t="str">
        <f>IF(COUNTA(A244:G244)=0,"",IF(G244&lt;&gt;"",G244,IF(B244="","",IFERROR(IF(INDEX(pr_rate,MATCH(B244,pr_code,0))="","",INDEX(pr_rate,MATCH(B244,pr_code,0))),""))))</f>
        <v/>
      </c>
      <c r="L244" s="65" t="str">
        <f>IF(COUNTA(A244:G244)=0,"",IF(AND(ISNUMBER(D244),ISNUMBER(J244)),ROUND(D244*J244*(1-N(F244)),2),0))</f>
        <v/>
      </c>
      <c r="M244" s="62" t="str">
        <f>IF(A244="","",IFERROR(INDEX(dv_cname,MATCH(A244,dv_num,0))&amp;"",""))</f>
        <v/>
      </c>
      <c r="N244" s="59" t="str">
        <f>IF(COUNTA(A244:G244)=0,"",IF(A244="","N° devis manquant",IF(ISNA(MATCH(A244,dv_num,0)),"Devis inconnu",IF(AND(B244&lt;&gt;"",ISNA(MATCH(B244,pr_code,0))),"Article inconnu",IF(H244="","Désignation manquante",IF(OR(NOT(ISNUMBER(D244)),N(D244)&lt;=0),"Quantité invalide",IF(J244="","Prix manquant",IF(OR(NOT(ISNUMBER(J244)),N(J244)&lt;0),"Prix invalide",IF(OR(AND(F244&lt;&gt;"",NOT(ISNUMBER(F244))),N(F244)&lt;0,N(F244)&gt;1),"Remise invalide",IF(K244="","Taux de TVA manquant",IF(NOT(ISNUMBER(K244)),"Taux de TVA invalide",IF(COUNTIF(p_rates,K244)=0,"Taux de TVA hors liste (Paramètres)",IF(N(O244)&gt;25,"Au-delà de 25 lignes : non imprimée","OK")))))))))))))</f>
        <v/>
      </c>
      <c r="O244" s="59" t="str">
        <f>IF(A244="","",COUNTIF($A$6:A244,A244))</f>
        <v/>
      </c>
      <c r="P244" s="62" t="str">
        <f>IF(A244="","",A244&amp;"|"&amp;O244)</f>
        <v/>
      </c>
    </row>
    <row r="245">
      <c r="A245" s="60" t="n"/>
      <c r="B245" s="63" t="n"/>
      <c r="C245" s="63" t="n"/>
      <c r="D245" s="67" t="n"/>
      <c r="E245" s="68" t="n"/>
      <c r="F245" s="69" t="n"/>
      <c r="G245" s="70" t="n"/>
      <c r="H245" s="62" t="str">
        <f>IF(COUNTA(A245:G245)=0,"",IF(C245&lt;&gt;"",C245,IF(B245="","",IFERROR(INDEX(pr_des,MATCH(B245,pr_code,0))&amp;"",""))))</f>
        <v/>
      </c>
      <c r="I245" s="59" t="str">
        <f>IF(B245="","",IFERROR(INDEX(pr_unit,MATCH(B245,pr_code,0))&amp;"",""))</f>
        <v/>
      </c>
      <c r="J245" s="65" t="str">
        <f>IF(COUNTA(A245:G245)=0,"",IF(E245&lt;&gt;"",E245,IF(B245="","",IFERROR(IF(INDEX(pr_price,MATCH(B245,pr_code,0))="","",INDEX(pr_price,MATCH(B245,pr_code,0))),""))))</f>
        <v/>
      </c>
      <c r="K245" s="71" t="str">
        <f>IF(COUNTA(A245:G245)=0,"",IF(G245&lt;&gt;"",G245,IF(B245="","",IFERROR(IF(INDEX(pr_rate,MATCH(B245,pr_code,0))="","",INDEX(pr_rate,MATCH(B245,pr_code,0))),""))))</f>
        <v/>
      </c>
      <c r="L245" s="65" t="str">
        <f>IF(COUNTA(A245:G245)=0,"",IF(AND(ISNUMBER(D245),ISNUMBER(J245)),ROUND(D245*J245*(1-N(F245)),2),0))</f>
        <v/>
      </c>
      <c r="M245" s="62" t="str">
        <f>IF(A245="","",IFERROR(INDEX(dv_cname,MATCH(A245,dv_num,0))&amp;"",""))</f>
        <v/>
      </c>
      <c r="N245" s="59" t="str">
        <f>IF(COUNTA(A245:G245)=0,"",IF(A245="","N° devis manquant",IF(ISNA(MATCH(A245,dv_num,0)),"Devis inconnu",IF(AND(B245&lt;&gt;"",ISNA(MATCH(B245,pr_code,0))),"Article inconnu",IF(H245="","Désignation manquante",IF(OR(NOT(ISNUMBER(D245)),N(D245)&lt;=0),"Quantité invalide",IF(J245="","Prix manquant",IF(OR(NOT(ISNUMBER(J245)),N(J245)&lt;0),"Prix invalide",IF(OR(AND(F245&lt;&gt;"",NOT(ISNUMBER(F245))),N(F245)&lt;0,N(F245)&gt;1),"Remise invalide",IF(K245="","Taux de TVA manquant",IF(NOT(ISNUMBER(K245)),"Taux de TVA invalide",IF(COUNTIF(p_rates,K245)=0,"Taux de TVA hors liste (Paramètres)",IF(N(O245)&gt;25,"Au-delà de 25 lignes : non imprimée","OK")))))))))))))</f>
        <v/>
      </c>
      <c r="O245" s="59" t="str">
        <f>IF(A245="","",COUNTIF($A$6:A245,A245))</f>
        <v/>
      </c>
      <c r="P245" s="62" t="str">
        <f>IF(A245="","",A245&amp;"|"&amp;O245)</f>
        <v/>
      </c>
    </row>
    <row r="246">
      <c r="A246" s="60" t="n"/>
      <c r="B246" s="63" t="n"/>
      <c r="C246" s="63" t="n"/>
      <c r="D246" s="67" t="n"/>
      <c r="E246" s="68" t="n"/>
      <c r="F246" s="69" t="n"/>
      <c r="G246" s="70" t="n"/>
      <c r="H246" s="62" t="str">
        <f>IF(COUNTA(A246:G246)=0,"",IF(C246&lt;&gt;"",C246,IF(B246="","",IFERROR(INDEX(pr_des,MATCH(B246,pr_code,0))&amp;"",""))))</f>
        <v/>
      </c>
      <c r="I246" s="59" t="str">
        <f>IF(B246="","",IFERROR(INDEX(pr_unit,MATCH(B246,pr_code,0))&amp;"",""))</f>
        <v/>
      </c>
      <c r="J246" s="65" t="str">
        <f>IF(COUNTA(A246:G246)=0,"",IF(E246&lt;&gt;"",E246,IF(B246="","",IFERROR(IF(INDEX(pr_price,MATCH(B246,pr_code,0))="","",INDEX(pr_price,MATCH(B246,pr_code,0))),""))))</f>
        <v/>
      </c>
      <c r="K246" s="71" t="str">
        <f>IF(COUNTA(A246:G246)=0,"",IF(G246&lt;&gt;"",G246,IF(B246="","",IFERROR(IF(INDEX(pr_rate,MATCH(B246,pr_code,0))="","",INDEX(pr_rate,MATCH(B246,pr_code,0))),""))))</f>
        <v/>
      </c>
      <c r="L246" s="65" t="str">
        <f>IF(COUNTA(A246:G246)=0,"",IF(AND(ISNUMBER(D246),ISNUMBER(J246)),ROUND(D246*J246*(1-N(F246)),2),0))</f>
        <v/>
      </c>
      <c r="M246" s="62" t="str">
        <f>IF(A246="","",IFERROR(INDEX(dv_cname,MATCH(A246,dv_num,0))&amp;"",""))</f>
        <v/>
      </c>
      <c r="N246" s="59" t="str">
        <f>IF(COUNTA(A246:G246)=0,"",IF(A246="","N° devis manquant",IF(ISNA(MATCH(A246,dv_num,0)),"Devis inconnu",IF(AND(B246&lt;&gt;"",ISNA(MATCH(B246,pr_code,0))),"Article inconnu",IF(H246="","Désignation manquante",IF(OR(NOT(ISNUMBER(D246)),N(D246)&lt;=0),"Quantité invalide",IF(J246="","Prix manquant",IF(OR(NOT(ISNUMBER(J246)),N(J246)&lt;0),"Prix invalide",IF(OR(AND(F246&lt;&gt;"",NOT(ISNUMBER(F246))),N(F246)&lt;0,N(F246)&gt;1),"Remise invalide",IF(K246="","Taux de TVA manquant",IF(NOT(ISNUMBER(K246)),"Taux de TVA invalide",IF(COUNTIF(p_rates,K246)=0,"Taux de TVA hors liste (Paramètres)",IF(N(O246)&gt;25,"Au-delà de 25 lignes : non imprimée","OK")))))))))))))</f>
        <v/>
      </c>
      <c r="O246" s="59" t="str">
        <f>IF(A246="","",COUNTIF($A$6:A246,A246))</f>
        <v/>
      </c>
      <c r="P246" s="62" t="str">
        <f>IF(A246="","",A246&amp;"|"&amp;O246)</f>
        <v/>
      </c>
    </row>
    <row r="247">
      <c r="A247" s="60" t="n"/>
      <c r="B247" s="63" t="n"/>
      <c r="C247" s="63" t="n"/>
      <c r="D247" s="67" t="n"/>
      <c r="E247" s="68" t="n"/>
      <c r="F247" s="69" t="n"/>
      <c r="G247" s="70" t="n"/>
      <c r="H247" s="62" t="str">
        <f>IF(COUNTA(A247:G247)=0,"",IF(C247&lt;&gt;"",C247,IF(B247="","",IFERROR(INDEX(pr_des,MATCH(B247,pr_code,0))&amp;"",""))))</f>
        <v/>
      </c>
      <c r="I247" s="59" t="str">
        <f>IF(B247="","",IFERROR(INDEX(pr_unit,MATCH(B247,pr_code,0))&amp;"",""))</f>
        <v/>
      </c>
      <c r="J247" s="65" t="str">
        <f>IF(COUNTA(A247:G247)=0,"",IF(E247&lt;&gt;"",E247,IF(B247="","",IFERROR(IF(INDEX(pr_price,MATCH(B247,pr_code,0))="","",INDEX(pr_price,MATCH(B247,pr_code,0))),""))))</f>
        <v/>
      </c>
      <c r="K247" s="71" t="str">
        <f>IF(COUNTA(A247:G247)=0,"",IF(G247&lt;&gt;"",G247,IF(B247="","",IFERROR(IF(INDEX(pr_rate,MATCH(B247,pr_code,0))="","",INDEX(pr_rate,MATCH(B247,pr_code,0))),""))))</f>
        <v/>
      </c>
      <c r="L247" s="65" t="str">
        <f>IF(COUNTA(A247:G247)=0,"",IF(AND(ISNUMBER(D247),ISNUMBER(J247)),ROUND(D247*J247*(1-N(F247)),2),0))</f>
        <v/>
      </c>
      <c r="M247" s="62" t="str">
        <f>IF(A247="","",IFERROR(INDEX(dv_cname,MATCH(A247,dv_num,0))&amp;"",""))</f>
        <v/>
      </c>
      <c r="N247" s="59" t="str">
        <f>IF(COUNTA(A247:G247)=0,"",IF(A247="","N° devis manquant",IF(ISNA(MATCH(A247,dv_num,0)),"Devis inconnu",IF(AND(B247&lt;&gt;"",ISNA(MATCH(B247,pr_code,0))),"Article inconnu",IF(H247="","Désignation manquante",IF(OR(NOT(ISNUMBER(D247)),N(D247)&lt;=0),"Quantité invalide",IF(J247="","Prix manquant",IF(OR(NOT(ISNUMBER(J247)),N(J247)&lt;0),"Prix invalide",IF(OR(AND(F247&lt;&gt;"",NOT(ISNUMBER(F247))),N(F247)&lt;0,N(F247)&gt;1),"Remise invalide",IF(K247="","Taux de TVA manquant",IF(NOT(ISNUMBER(K247)),"Taux de TVA invalide",IF(COUNTIF(p_rates,K247)=0,"Taux de TVA hors liste (Paramètres)",IF(N(O247)&gt;25,"Au-delà de 25 lignes : non imprimée","OK")))))))))))))</f>
        <v/>
      </c>
      <c r="O247" s="59" t="str">
        <f>IF(A247="","",COUNTIF($A$6:A247,A247))</f>
        <v/>
      </c>
      <c r="P247" s="62" t="str">
        <f>IF(A247="","",A247&amp;"|"&amp;O247)</f>
        <v/>
      </c>
    </row>
    <row r="248">
      <c r="A248" s="60" t="n"/>
      <c r="B248" s="63" t="n"/>
      <c r="C248" s="63" t="n"/>
      <c r="D248" s="67" t="n"/>
      <c r="E248" s="68" t="n"/>
      <c r="F248" s="69" t="n"/>
      <c r="G248" s="70" t="n"/>
      <c r="H248" s="62" t="str">
        <f>IF(COUNTA(A248:G248)=0,"",IF(C248&lt;&gt;"",C248,IF(B248="","",IFERROR(INDEX(pr_des,MATCH(B248,pr_code,0))&amp;"",""))))</f>
        <v/>
      </c>
      <c r="I248" s="59" t="str">
        <f>IF(B248="","",IFERROR(INDEX(pr_unit,MATCH(B248,pr_code,0))&amp;"",""))</f>
        <v/>
      </c>
      <c r="J248" s="65" t="str">
        <f>IF(COUNTA(A248:G248)=0,"",IF(E248&lt;&gt;"",E248,IF(B248="","",IFERROR(IF(INDEX(pr_price,MATCH(B248,pr_code,0))="","",INDEX(pr_price,MATCH(B248,pr_code,0))),""))))</f>
        <v/>
      </c>
      <c r="K248" s="71" t="str">
        <f>IF(COUNTA(A248:G248)=0,"",IF(G248&lt;&gt;"",G248,IF(B248="","",IFERROR(IF(INDEX(pr_rate,MATCH(B248,pr_code,0))="","",INDEX(pr_rate,MATCH(B248,pr_code,0))),""))))</f>
        <v/>
      </c>
      <c r="L248" s="65" t="str">
        <f>IF(COUNTA(A248:G248)=0,"",IF(AND(ISNUMBER(D248),ISNUMBER(J248)),ROUND(D248*J248*(1-N(F248)),2),0))</f>
        <v/>
      </c>
      <c r="M248" s="62" t="str">
        <f>IF(A248="","",IFERROR(INDEX(dv_cname,MATCH(A248,dv_num,0))&amp;"",""))</f>
        <v/>
      </c>
      <c r="N248" s="59" t="str">
        <f>IF(COUNTA(A248:G248)=0,"",IF(A248="","N° devis manquant",IF(ISNA(MATCH(A248,dv_num,0)),"Devis inconnu",IF(AND(B248&lt;&gt;"",ISNA(MATCH(B248,pr_code,0))),"Article inconnu",IF(H248="","Désignation manquante",IF(OR(NOT(ISNUMBER(D248)),N(D248)&lt;=0),"Quantité invalide",IF(J248="","Prix manquant",IF(OR(NOT(ISNUMBER(J248)),N(J248)&lt;0),"Prix invalide",IF(OR(AND(F248&lt;&gt;"",NOT(ISNUMBER(F248))),N(F248)&lt;0,N(F248)&gt;1),"Remise invalide",IF(K248="","Taux de TVA manquant",IF(NOT(ISNUMBER(K248)),"Taux de TVA invalide",IF(COUNTIF(p_rates,K248)=0,"Taux de TVA hors liste (Paramètres)",IF(N(O248)&gt;25,"Au-delà de 25 lignes : non imprimée","OK")))))))))))))</f>
        <v/>
      </c>
      <c r="O248" s="59" t="str">
        <f>IF(A248="","",COUNTIF($A$6:A248,A248))</f>
        <v/>
      </c>
      <c r="P248" s="62" t="str">
        <f>IF(A248="","",A248&amp;"|"&amp;O248)</f>
        <v/>
      </c>
    </row>
    <row r="249">
      <c r="A249" s="60" t="n"/>
      <c r="B249" s="63" t="n"/>
      <c r="C249" s="63" t="n"/>
      <c r="D249" s="67" t="n"/>
      <c r="E249" s="68" t="n"/>
      <c r="F249" s="69" t="n"/>
      <c r="G249" s="70" t="n"/>
      <c r="H249" s="62" t="str">
        <f>IF(COUNTA(A249:G249)=0,"",IF(C249&lt;&gt;"",C249,IF(B249="","",IFERROR(INDEX(pr_des,MATCH(B249,pr_code,0))&amp;"",""))))</f>
        <v/>
      </c>
      <c r="I249" s="59" t="str">
        <f>IF(B249="","",IFERROR(INDEX(pr_unit,MATCH(B249,pr_code,0))&amp;"",""))</f>
        <v/>
      </c>
      <c r="J249" s="65" t="str">
        <f>IF(COUNTA(A249:G249)=0,"",IF(E249&lt;&gt;"",E249,IF(B249="","",IFERROR(IF(INDEX(pr_price,MATCH(B249,pr_code,0))="","",INDEX(pr_price,MATCH(B249,pr_code,0))),""))))</f>
        <v/>
      </c>
      <c r="K249" s="71" t="str">
        <f>IF(COUNTA(A249:G249)=0,"",IF(G249&lt;&gt;"",G249,IF(B249="","",IFERROR(IF(INDEX(pr_rate,MATCH(B249,pr_code,0))="","",INDEX(pr_rate,MATCH(B249,pr_code,0))),""))))</f>
        <v/>
      </c>
      <c r="L249" s="65" t="str">
        <f>IF(COUNTA(A249:G249)=0,"",IF(AND(ISNUMBER(D249),ISNUMBER(J249)),ROUND(D249*J249*(1-N(F249)),2),0))</f>
        <v/>
      </c>
      <c r="M249" s="62" t="str">
        <f>IF(A249="","",IFERROR(INDEX(dv_cname,MATCH(A249,dv_num,0))&amp;"",""))</f>
        <v/>
      </c>
      <c r="N249" s="59" t="str">
        <f>IF(COUNTA(A249:G249)=0,"",IF(A249="","N° devis manquant",IF(ISNA(MATCH(A249,dv_num,0)),"Devis inconnu",IF(AND(B249&lt;&gt;"",ISNA(MATCH(B249,pr_code,0))),"Article inconnu",IF(H249="","Désignation manquante",IF(OR(NOT(ISNUMBER(D249)),N(D249)&lt;=0),"Quantité invalide",IF(J249="","Prix manquant",IF(OR(NOT(ISNUMBER(J249)),N(J249)&lt;0),"Prix invalide",IF(OR(AND(F249&lt;&gt;"",NOT(ISNUMBER(F249))),N(F249)&lt;0,N(F249)&gt;1),"Remise invalide",IF(K249="","Taux de TVA manquant",IF(NOT(ISNUMBER(K249)),"Taux de TVA invalide",IF(COUNTIF(p_rates,K249)=0,"Taux de TVA hors liste (Paramètres)",IF(N(O249)&gt;25,"Au-delà de 25 lignes : non imprimée","OK")))))))))))))</f>
        <v/>
      </c>
      <c r="O249" s="59" t="str">
        <f>IF(A249="","",COUNTIF($A$6:A249,A249))</f>
        <v/>
      </c>
      <c r="P249" s="62" t="str">
        <f>IF(A249="","",A249&amp;"|"&amp;O249)</f>
        <v/>
      </c>
    </row>
    <row r="250">
      <c r="A250" s="60" t="n"/>
      <c r="B250" s="63" t="n"/>
      <c r="C250" s="63" t="n"/>
      <c r="D250" s="67" t="n"/>
      <c r="E250" s="68" t="n"/>
      <c r="F250" s="69" t="n"/>
      <c r="G250" s="70" t="n"/>
      <c r="H250" s="62" t="str">
        <f>IF(COUNTA(A250:G250)=0,"",IF(C250&lt;&gt;"",C250,IF(B250="","",IFERROR(INDEX(pr_des,MATCH(B250,pr_code,0))&amp;"",""))))</f>
        <v/>
      </c>
      <c r="I250" s="59" t="str">
        <f>IF(B250="","",IFERROR(INDEX(pr_unit,MATCH(B250,pr_code,0))&amp;"",""))</f>
        <v/>
      </c>
      <c r="J250" s="65" t="str">
        <f>IF(COUNTA(A250:G250)=0,"",IF(E250&lt;&gt;"",E250,IF(B250="","",IFERROR(IF(INDEX(pr_price,MATCH(B250,pr_code,0))="","",INDEX(pr_price,MATCH(B250,pr_code,0))),""))))</f>
        <v/>
      </c>
      <c r="K250" s="71" t="str">
        <f>IF(COUNTA(A250:G250)=0,"",IF(G250&lt;&gt;"",G250,IF(B250="","",IFERROR(IF(INDEX(pr_rate,MATCH(B250,pr_code,0))="","",INDEX(pr_rate,MATCH(B250,pr_code,0))),""))))</f>
        <v/>
      </c>
      <c r="L250" s="65" t="str">
        <f>IF(COUNTA(A250:G250)=0,"",IF(AND(ISNUMBER(D250),ISNUMBER(J250)),ROUND(D250*J250*(1-N(F250)),2),0))</f>
        <v/>
      </c>
      <c r="M250" s="62" t="str">
        <f>IF(A250="","",IFERROR(INDEX(dv_cname,MATCH(A250,dv_num,0))&amp;"",""))</f>
        <v/>
      </c>
      <c r="N250" s="59" t="str">
        <f>IF(COUNTA(A250:G250)=0,"",IF(A250="","N° devis manquant",IF(ISNA(MATCH(A250,dv_num,0)),"Devis inconnu",IF(AND(B250&lt;&gt;"",ISNA(MATCH(B250,pr_code,0))),"Article inconnu",IF(H250="","Désignation manquante",IF(OR(NOT(ISNUMBER(D250)),N(D250)&lt;=0),"Quantité invalide",IF(J250="","Prix manquant",IF(OR(NOT(ISNUMBER(J250)),N(J250)&lt;0),"Prix invalide",IF(OR(AND(F250&lt;&gt;"",NOT(ISNUMBER(F250))),N(F250)&lt;0,N(F250)&gt;1),"Remise invalide",IF(K250="","Taux de TVA manquant",IF(NOT(ISNUMBER(K250)),"Taux de TVA invalide",IF(COUNTIF(p_rates,K250)=0,"Taux de TVA hors liste (Paramètres)",IF(N(O250)&gt;25,"Au-delà de 25 lignes : non imprimée","OK")))))))))))))</f>
        <v/>
      </c>
      <c r="O250" s="59" t="str">
        <f>IF(A250="","",COUNTIF($A$6:A250,A250))</f>
        <v/>
      </c>
      <c r="P250" s="62" t="str">
        <f>IF(A250="","",A250&amp;"|"&amp;O250)</f>
        <v/>
      </c>
    </row>
    <row r="251">
      <c r="A251" s="60" t="n"/>
      <c r="B251" s="63" t="n"/>
      <c r="C251" s="63" t="n"/>
      <c r="D251" s="67" t="n"/>
      <c r="E251" s="68" t="n"/>
      <c r="F251" s="69" t="n"/>
      <c r="G251" s="70" t="n"/>
      <c r="H251" s="62" t="str">
        <f>IF(COUNTA(A251:G251)=0,"",IF(C251&lt;&gt;"",C251,IF(B251="","",IFERROR(INDEX(pr_des,MATCH(B251,pr_code,0))&amp;"",""))))</f>
        <v/>
      </c>
      <c r="I251" s="59" t="str">
        <f>IF(B251="","",IFERROR(INDEX(pr_unit,MATCH(B251,pr_code,0))&amp;"",""))</f>
        <v/>
      </c>
      <c r="J251" s="65" t="str">
        <f>IF(COUNTA(A251:G251)=0,"",IF(E251&lt;&gt;"",E251,IF(B251="","",IFERROR(IF(INDEX(pr_price,MATCH(B251,pr_code,0))="","",INDEX(pr_price,MATCH(B251,pr_code,0))),""))))</f>
        <v/>
      </c>
      <c r="K251" s="71" t="str">
        <f>IF(COUNTA(A251:G251)=0,"",IF(G251&lt;&gt;"",G251,IF(B251="","",IFERROR(IF(INDEX(pr_rate,MATCH(B251,pr_code,0))="","",INDEX(pr_rate,MATCH(B251,pr_code,0))),""))))</f>
        <v/>
      </c>
      <c r="L251" s="65" t="str">
        <f>IF(COUNTA(A251:G251)=0,"",IF(AND(ISNUMBER(D251),ISNUMBER(J251)),ROUND(D251*J251*(1-N(F251)),2),0))</f>
        <v/>
      </c>
      <c r="M251" s="62" t="str">
        <f>IF(A251="","",IFERROR(INDEX(dv_cname,MATCH(A251,dv_num,0))&amp;"",""))</f>
        <v/>
      </c>
      <c r="N251" s="59" t="str">
        <f>IF(COUNTA(A251:G251)=0,"",IF(A251="","N° devis manquant",IF(ISNA(MATCH(A251,dv_num,0)),"Devis inconnu",IF(AND(B251&lt;&gt;"",ISNA(MATCH(B251,pr_code,0))),"Article inconnu",IF(H251="","Désignation manquante",IF(OR(NOT(ISNUMBER(D251)),N(D251)&lt;=0),"Quantité invalide",IF(J251="","Prix manquant",IF(OR(NOT(ISNUMBER(J251)),N(J251)&lt;0),"Prix invalide",IF(OR(AND(F251&lt;&gt;"",NOT(ISNUMBER(F251))),N(F251)&lt;0,N(F251)&gt;1),"Remise invalide",IF(K251="","Taux de TVA manquant",IF(NOT(ISNUMBER(K251)),"Taux de TVA invalide",IF(COUNTIF(p_rates,K251)=0,"Taux de TVA hors liste (Paramètres)",IF(N(O251)&gt;25,"Au-delà de 25 lignes : non imprimée","OK")))))))))))))</f>
        <v/>
      </c>
      <c r="O251" s="59" t="str">
        <f>IF(A251="","",COUNTIF($A$6:A251,A251))</f>
        <v/>
      </c>
      <c r="P251" s="62" t="str">
        <f>IF(A251="","",A251&amp;"|"&amp;O251)</f>
        <v/>
      </c>
    </row>
    <row r="252">
      <c r="A252" s="60" t="n"/>
      <c r="B252" s="63" t="n"/>
      <c r="C252" s="63" t="n"/>
      <c r="D252" s="67" t="n"/>
      <c r="E252" s="68" t="n"/>
      <c r="F252" s="69" t="n"/>
      <c r="G252" s="70" t="n"/>
      <c r="H252" s="62" t="str">
        <f>IF(COUNTA(A252:G252)=0,"",IF(C252&lt;&gt;"",C252,IF(B252="","",IFERROR(INDEX(pr_des,MATCH(B252,pr_code,0))&amp;"",""))))</f>
        <v/>
      </c>
      <c r="I252" s="59" t="str">
        <f>IF(B252="","",IFERROR(INDEX(pr_unit,MATCH(B252,pr_code,0))&amp;"",""))</f>
        <v/>
      </c>
      <c r="J252" s="65" t="str">
        <f>IF(COUNTA(A252:G252)=0,"",IF(E252&lt;&gt;"",E252,IF(B252="","",IFERROR(IF(INDEX(pr_price,MATCH(B252,pr_code,0))="","",INDEX(pr_price,MATCH(B252,pr_code,0))),""))))</f>
        <v/>
      </c>
      <c r="K252" s="71" t="str">
        <f>IF(COUNTA(A252:G252)=0,"",IF(G252&lt;&gt;"",G252,IF(B252="","",IFERROR(IF(INDEX(pr_rate,MATCH(B252,pr_code,0))="","",INDEX(pr_rate,MATCH(B252,pr_code,0))),""))))</f>
        <v/>
      </c>
      <c r="L252" s="65" t="str">
        <f>IF(COUNTA(A252:G252)=0,"",IF(AND(ISNUMBER(D252),ISNUMBER(J252)),ROUND(D252*J252*(1-N(F252)),2),0))</f>
        <v/>
      </c>
      <c r="M252" s="62" t="str">
        <f>IF(A252="","",IFERROR(INDEX(dv_cname,MATCH(A252,dv_num,0))&amp;"",""))</f>
        <v/>
      </c>
      <c r="N252" s="59" t="str">
        <f>IF(COUNTA(A252:G252)=0,"",IF(A252="","N° devis manquant",IF(ISNA(MATCH(A252,dv_num,0)),"Devis inconnu",IF(AND(B252&lt;&gt;"",ISNA(MATCH(B252,pr_code,0))),"Article inconnu",IF(H252="","Désignation manquante",IF(OR(NOT(ISNUMBER(D252)),N(D252)&lt;=0),"Quantité invalide",IF(J252="","Prix manquant",IF(OR(NOT(ISNUMBER(J252)),N(J252)&lt;0),"Prix invalide",IF(OR(AND(F252&lt;&gt;"",NOT(ISNUMBER(F252))),N(F252)&lt;0,N(F252)&gt;1),"Remise invalide",IF(K252="","Taux de TVA manquant",IF(NOT(ISNUMBER(K252)),"Taux de TVA invalide",IF(COUNTIF(p_rates,K252)=0,"Taux de TVA hors liste (Paramètres)",IF(N(O252)&gt;25,"Au-delà de 25 lignes : non imprimée","OK")))))))))))))</f>
        <v/>
      </c>
      <c r="O252" s="59" t="str">
        <f>IF(A252="","",COUNTIF($A$6:A252,A252))</f>
        <v/>
      </c>
      <c r="P252" s="62" t="str">
        <f>IF(A252="","",A252&amp;"|"&amp;O252)</f>
        <v/>
      </c>
    </row>
    <row r="253">
      <c r="A253" s="60" t="n"/>
      <c r="B253" s="63" t="n"/>
      <c r="C253" s="63" t="n"/>
      <c r="D253" s="67" t="n"/>
      <c r="E253" s="68" t="n"/>
      <c r="F253" s="69" t="n"/>
      <c r="G253" s="70" t="n"/>
      <c r="H253" s="62" t="str">
        <f>IF(COUNTA(A253:G253)=0,"",IF(C253&lt;&gt;"",C253,IF(B253="","",IFERROR(INDEX(pr_des,MATCH(B253,pr_code,0))&amp;"",""))))</f>
        <v/>
      </c>
      <c r="I253" s="59" t="str">
        <f>IF(B253="","",IFERROR(INDEX(pr_unit,MATCH(B253,pr_code,0))&amp;"",""))</f>
        <v/>
      </c>
      <c r="J253" s="65" t="str">
        <f>IF(COUNTA(A253:G253)=0,"",IF(E253&lt;&gt;"",E253,IF(B253="","",IFERROR(IF(INDEX(pr_price,MATCH(B253,pr_code,0))="","",INDEX(pr_price,MATCH(B253,pr_code,0))),""))))</f>
        <v/>
      </c>
      <c r="K253" s="71" t="str">
        <f>IF(COUNTA(A253:G253)=0,"",IF(G253&lt;&gt;"",G253,IF(B253="","",IFERROR(IF(INDEX(pr_rate,MATCH(B253,pr_code,0))="","",INDEX(pr_rate,MATCH(B253,pr_code,0))),""))))</f>
        <v/>
      </c>
      <c r="L253" s="65" t="str">
        <f>IF(COUNTA(A253:G253)=0,"",IF(AND(ISNUMBER(D253),ISNUMBER(J253)),ROUND(D253*J253*(1-N(F253)),2),0))</f>
        <v/>
      </c>
      <c r="M253" s="62" t="str">
        <f>IF(A253="","",IFERROR(INDEX(dv_cname,MATCH(A253,dv_num,0))&amp;"",""))</f>
        <v/>
      </c>
      <c r="N253" s="59" t="str">
        <f>IF(COUNTA(A253:G253)=0,"",IF(A253="","N° devis manquant",IF(ISNA(MATCH(A253,dv_num,0)),"Devis inconnu",IF(AND(B253&lt;&gt;"",ISNA(MATCH(B253,pr_code,0))),"Article inconnu",IF(H253="","Désignation manquante",IF(OR(NOT(ISNUMBER(D253)),N(D253)&lt;=0),"Quantité invalide",IF(J253="","Prix manquant",IF(OR(NOT(ISNUMBER(J253)),N(J253)&lt;0),"Prix invalide",IF(OR(AND(F253&lt;&gt;"",NOT(ISNUMBER(F253))),N(F253)&lt;0,N(F253)&gt;1),"Remise invalide",IF(K253="","Taux de TVA manquant",IF(NOT(ISNUMBER(K253)),"Taux de TVA invalide",IF(COUNTIF(p_rates,K253)=0,"Taux de TVA hors liste (Paramètres)",IF(N(O253)&gt;25,"Au-delà de 25 lignes : non imprimée","OK")))))))))))))</f>
        <v/>
      </c>
      <c r="O253" s="59" t="str">
        <f>IF(A253="","",COUNTIF($A$6:A253,A253))</f>
        <v/>
      </c>
      <c r="P253" s="62" t="str">
        <f>IF(A253="","",A253&amp;"|"&amp;O253)</f>
        <v/>
      </c>
    </row>
    <row r="254">
      <c r="A254" s="60" t="n"/>
      <c r="B254" s="63" t="n"/>
      <c r="C254" s="63" t="n"/>
      <c r="D254" s="67" t="n"/>
      <c r="E254" s="68" t="n"/>
      <c r="F254" s="69" t="n"/>
      <c r="G254" s="70" t="n"/>
      <c r="H254" s="62" t="str">
        <f>IF(COUNTA(A254:G254)=0,"",IF(C254&lt;&gt;"",C254,IF(B254="","",IFERROR(INDEX(pr_des,MATCH(B254,pr_code,0))&amp;"",""))))</f>
        <v/>
      </c>
      <c r="I254" s="59" t="str">
        <f>IF(B254="","",IFERROR(INDEX(pr_unit,MATCH(B254,pr_code,0))&amp;"",""))</f>
        <v/>
      </c>
      <c r="J254" s="65" t="str">
        <f>IF(COUNTA(A254:G254)=0,"",IF(E254&lt;&gt;"",E254,IF(B254="","",IFERROR(IF(INDEX(pr_price,MATCH(B254,pr_code,0))="","",INDEX(pr_price,MATCH(B254,pr_code,0))),""))))</f>
        <v/>
      </c>
      <c r="K254" s="71" t="str">
        <f>IF(COUNTA(A254:G254)=0,"",IF(G254&lt;&gt;"",G254,IF(B254="","",IFERROR(IF(INDEX(pr_rate,MATCH(B254,pr_code,0))="","",INDEX(pr_rate,MATCH(B254,pr_code,0))),""))))</f>
        <v/>
      </c>
      <c r="L254" s="65" t="str">
        <f>IF(COUNTA(A254:G254)=0,"",IF(AND(ISNUMBER(D254),ISNUMBER(J254)),ROUND(D254*J254*(1-N(F254)),2),0))</f>
        <v/>
      </c>
      <c r="M254" s="62" t="str">
        <f>IF(A254="","",IFERROR(INDEX(dv_cname,MATCH(A254,dv_num,0))&amp;"",""))</f>
        <v/>
      </c>
      <c r="N254" s="59" t="str">
        <f>IF(COUNTA(A254:G254)=0,"",IF(A254="","N° devis manquant",IF(ISNA(MATCH(A254,dv_num,0)),"Devis inconnu",IF(AND(B254&lt;&gt;"",ISNA(MATCH(B254,pr_code,0))),"Article inconnu",IF(H254="","Désignation manquante",IF(OR(NOT(ISNUMBER(D254)),N(D254)&lt;=0),"Quantité invalide",IF(J254="","Prix manquant",IF(OR(NOT(ISNUMBER(J254)),N(J254)&lt;0),"Prix invalide",IF(OR(AND(F254&lt;&gt;"",NOT(ISNUMBER(F254))),N(F254)&lt;0,N(F254)&gt;1),"Remise invalide",IF(K254="","Taux de TVA manquant",IF(NOT(ISNUMBER(K254)),"Taux de TVA invalide",IF(COUNTIF(p_rates,K254)=0,"Taux de TVA hors liste (Paramètres)",IF(N(O254)&gt;25,"Au-delà de 25 lignes : non imprimée","OK")))))))))))))</f>
        <v/>
      </c>
      <c r="O254" s="59" t="str">
        <f>IF(A254="","",COUNTIF($A$6:A254,A254))</f>
        <v/>
      </c>
      <c r="P254" s="62" t="str">
        <f>IF(A254="","",A254&amp;"|"&amp;O254)</f>
        <v/>
      </c>
    </row>
    <row r="255">
      <c r="A255" s="60" t="n"/>
      <c r="B255" s="63" t="n"/>
      <c r="C255" s="63" t="n"/>
      <c r="D255" s="67" t="n"/>
      <c r="E255" s="68" t="n"/>
      <c r="F255" s="69" t="n"/>
      <c r="G255" s="70" t="n"/>
      <c r="H255" s="62" t="str">
        <f>IF(COUNTA(A255:G255)=0,"",IF(C255&lt;&gt;"",C255,IF(B255="","",IFERROR(INDEX(pr_des,MATCH(B255,pr_code,0))&amp;"",""))))</f>
        <v/>
      </c>
      <c r="I255" s="59" t="str">
        <f>IF(B255="","",IFERROR(INDEX(pr_unit,MATCH(B255,pr_code,0))&amp;"",""))</f>
        <v/>
      </c>
      <c r="J255" s="65" t="str">
        <f>IF(COUNTA(A255:G255)=0,"",IF(E255&lt;&gt;"",E255,IF(B255="","",IFERROR(IF(INDEX(pr_price,MATCH(B255,pr_code,0))="","",INDEX(pr_price,MATCH(B255,pr_code,0))),""))))</f>
        <v/>
      </c>
      <c r="K255" s="71" t="str">
        <f>IF(COUNTA(A255:G255)=0,"",IF(G255&lt;&gt;"",G255,IF(B255="","",IFERROR(IF(INDEX(pr_rate,MATCH(B255,pr_code,0))="","",INDEX(pr_rate,MATCH(B255,pr_code,0))),""))))</f>
        <v/>
      </c>
      <c r="L255" s="65" t="str">
        <f>IF(COUNTA(A255:G255)=0,"",IF(AND(ISNUMBER(D255),ISNUMBER(J255)),ROUND(D255*J255*(1-N(F255)),2),0))</f>
        <v/>
      </c>
      <c r="M255" s="62" t="str">
        <f>IF(A255="","",IFERROR(INDEX(dv_cname,MATCH(A255,dv_num,0))&amp;"",""))</f>
        <v/>
      </c>
      <c r="N255" s="59" t="str">
        <f>IF(COUNTA(A255:G255)=0,"",IF(A255="","N° devis manquant",IF(ISNA(MATCH(A255,dv_num,0)),"Devis inconnu",IF(AND(B255&lt;&gt;"",ISNA(MATCH(B255,pr_code,0))),"Article inconnu",IF(H255="","Désignation manquante",IF(OR(NOT(ISNUMBER(D255)),N(D255)&lt;=0),"Quantité invalide",IF(J255="","Prix manquant",IF(OR(NOT(ISNUMBER(J255)),N(J255)&lt;0),"Prix invalide",IF(OR(AND(F255&lt;&gt;"",NOT(ISNUMBER(F255))),N(F255)&lt;0,N(F255)&gt;1),"Remise invalide",IF(K255="","Taux de TVA manquant",IF(NOT(ISNUMBER(K255)),"Taux de TVA invalide",IF(COUNTIF(p_rates,K255)=0,"Taux de TVA hors liste (Paramètres)",IF(N(O255)&gt;25,"Au-delà de 25 lignes : non imprimée","OK")))))))))))))</f>
        <v/>
      </c>
      <c r="O255" s="59" t="str">
        <f>IF(A255="","",COUNTIF($A$6:A255,A255))</f>
        <v/>
      </c>
      <c r="P255" s="62" t="str">
        <f>IF(A255="","",A255&amp;"|"&amp;O255)</f>
        <v/>
      </c>
    </row>
    <row r="256">
      <c r="A256" s="60" t="n"/>
      <c r="B256" s="63" t="n"/>
      <c r="C256" s="63" t="n"/>
      <c r="D256" s="67" t="n"/>
      <c r="E256" s="68" t="n"/>
      <c r="F256" s="69" t="n"/>
      <c r="G256" s="70" t="n"/>
      <c r="H256" s="62" t="str">
        <f>IF(COUNTA(A256:G256)=0,"",IF(C256&lt;&gt;"",C256,IF(B256="","",IFERROR(INDEX(pr_des,MATCH(B256,pr_code,0))&amp;"",""))))</f>
        <v/>
      </c>
      <c r="I256" s="59" t="str">
        <f>IF(B256="","",IFERROR(INDEX(pr_unit,MATCH(B256,pr_code,0))&amp;"",""))</f>
        <v/>
      </c>
      <c r="J256" s="65" t="str">
        <f>IF(COUNTA(A256:G256)=0,"",IF(E256&lt;&gt;"",E256,IF(B256="","",IFERROR(IF(INDEX(pr_price,MATCH(B256,pr_code,0))="","",INDEX(pr_price,MATCH(B256,pr_code,0))),""))))</f>
        <v/>
      </c>
      <c r="K256" s="71" t="str">
        <f>IF(COUNTA(A256:G256)=0,"",IF(G256&lt;&gt;"",G256,IF(B256="","",IFERROR(IF(INDEX(pr_rate,MATCH(B256,pr_code,0))="","",INDEX(pr_rate,MATCH(B256,pr_code,0))),""))))</f>
        <v/>
      </c>
      <c r="L256" s="65" t="str">
        <f>IF(COUNTA(A256:G256)=0,"",IF(AND(ISNUMBER(D256),ISNUMBER(J256)),ROUND(D256*J256*(1-N(F256)),2),0))</f>
        <v/>
      </c>
      <c r="M256" s="62" t="str">
        <f>IF(A256="","",IFERROR(INDEX(dv_cname,MATCH(A256,dv_num,0))&amp;"",""))</f>
        <v/>
      </c>
      <c r="N256" s="59" t="str">
        <f>IF(COUNTA(A256:G256)=0,"",IF(A256="","N° devis manquant",IF(ISNA(MATCH(A256,dv_num,0)),"Devis inconnu",IF(AND(B256&lt;&gt;"",ISNA(MATCH(B256,pr_code,0))),"Article inconnu",IF(H256="","Désignation manquante",IF(OR(NOT(ISNUMBER(D256)),N(D256)&lt;=0),"Quantité invalide",IF(J256="","Prix manquant",IF(OR(NOT(ISNUMBER(J256)),N(J256)&lt;0),"Prix invalide",IF(OR(AND(F256&lt;&gt;"",NOT(ISNUMBER(F256))),N(F256)&lt;0,N(F256)&gt;1),"Remise invalide",IF(K256="","Taux de TVA manquant",IF(NOT(ISNUMBER(K256)),"Taux de TVA invalide",IF(COUNTIF(p_rates,K256)=0,"Taux de TVA hors liste (Paramètres)",IF(N(O256)&gt;25,"Au-delà de 25 lignes : non imprimée","OK")))))))))))))</f>
        <v/>
      </c>
      <c r="O256" s="59" t="str">
        <f>IF(A256="","",COUNTIF($A$6:A256,A256))</f>
        <v/>
      </c>
      <c r="P256" s="62" t="str">
        <f>IF(A256="","",A256&amp;"|"&amp;O256)</f>
        <v/>
      </c>
    </row>
    <row r="257">
      <c r="A257" s="60" t="n"/>
      <c r="B257" s="63" t="n"/>
      <c r="C257" s="63" t="n"/>
      <c r="D257" s="67" t="n"/>
      <c r="E257" s="68" t="n"/>
      <c r="F257" s="69" t="n"/>
      <c r="G257" s="70" t="n"/>
      <c r="H257" s="62" t="str">
        <f>IF(COUNTA(A257:G257)=0,"",IF(C257&lt;&gt;"",C257,IF(B257="","",IFERROR(INDEX(pr_des,MATCH(B257,pr_code,0))&amp;"",""))))</f>
        <v/>
      </c>
      <c r="I257" s="59" t="str">
        <f>IF(B257="","",IFERROR(INDEX(pr_unit,MATCH(B257,pr_code,0))&amp;"",""))</f>
        <v/>
      </c>
      <c r="J257" s="65" t="str">
        <f>IF(COUNTA(A257:G257)=0,"",IF(E257&lt;&gt;"",E257,IF(B257="","",IFERROR(IF(INDEX(pr_price,MATCH(B257,pr_code,0))="","",INDEX(pr_price,MATCH(B257,pr_code,0))),""))))</f>
        <v/>
      </c>
      <c r="K257" s="71" t="str">
        <f>IF(COUNTA(A257:G257)=0,"",IF(G257&lt;&gt;"",G257,IF(B257="","",IFERROR(IF(INDEX(pr_rate,MATCH(B257,pr_code,0))="","",INDEX(pr_rate,MATCH(B257,pr_code,0))),""))))</f>
        <v/>
      </c>
      <c r="L257" s="65" t="str">
        <f>IF(COUNTA(A257:G257)=0,"",IF(AND(ISNUMBER(D257),ISNUMBER(J257)),ROUND(D257*J257*(1-N(F257)),2),0))</f>
        <v/>
      </c>
      <c r="M257" s="62" t="str">
        <f>IF(A257="","",IFERROR(INDEX(dv_cname,MATCH(A257,dv_num,0))&amp;"",""))</f>
        <v/>
      </c>
      <c r="N257" s="59" t="str">
        <f>IF(COUNTA(A257:G257)=0,"",IF(A257="","N° devis manquant",IF(ISNA(MATCH(A257,dv_num,0)),"Devis inconnu",IF(AND(B257&lt;&gt;"",ISNA(MATCH(B257,pr_code,0))),"Article inconnu",IF(H257="","Désignation manquante",IF(OR(NOT(ISNUMBER(D257)),N(D257)&lt;=0),"Quantité invalide",IF(J257="","Prix manquant",IF(OR(NOT(ISNUMBER(J257)),N(J257)&lt;0),"Prix invalide",IF(OR(AND(F257&lt;&gt;"",NOT(ISNUMBER(F257))),N(F257)&lt;0,N(F257)&gt;1),"Remise invalide",IF(K257="","Taux de TVA manquant",IF(NOT(ISNUMBER(K257)),"Taux de TVA invalide",IF(COUNTIF(p_rates,K257)=0,"Taux de TVA hors liste (Paramètres)",IF(N(O257)&gt;25,"Au-delà de 25 lignes : non imprimée","OK")))))))))))))</f>
        <v/>
      </c>
      <c r="O257" s="59" t="str">
        <f>IF(A257="","",COUNTIF($A$6:A257,A257))</f>
        <v/>
      </c>
      <c r="P257" s="62" t="str">
        <f>IF(A257="","",A257&amp;"|"&amp;O257)</f>
        <v/>
      </c>
    </row>
    <row r="258">
      <c r="A258" s="60" t="n"/>
      <c r="B258" s="63" t="n"/>
      <c r="C258" s="63" t="n"/>
      <c r="D258" s="67" t="n"/>
      <c r="E258" s="68" t="n"/>
      <c r="F258" s="69" t="n"/>
      <c r="G258" s="70" t="n"/>
      <c r="H258" s="62" t="str">
        <f>IF(COUNTA(A258:G258)=0,"",IF(C258&lt;&gt;"",C258,IF(B258="","",IFERROR(INDEX(pr_des,MATCH(B258,pr_code,0))&amp;"",""))))</f>
        <v/>
      </c>
      <c r="I258" s="59" t="str">
        <f>IF(B258="","",IFERROR(INDEX(pr_unit,MATCH(B258,pr_code,0))&amp;"",""))</f>
        <v/>
      </c>
      <c r="J258" s="65" t="str">
        <f>IF(COUNTA(A258:G258)=0,"",IF(E258&lt;&gt;"",E258,IF(B258="","",IFERROR(IF(INDEX(pr_price,MATCH(B258,pr_code,0))="","",INDEX(pr_price,MATCH(B258,pr_code,0))),""))))</f>
        <v/>
      </c>
      <c r="K258" s="71" t="str">
        <f>IF(COUNTA(A258:G258)=0,"",IF(G258&lt;&gt;"",G258,IF(B258="","",IFERROR(IF(INDEX(pr_rate,MATCH(B258,pr_code,0))="","",INDEX(pr_rate,MATCH(B258,pr_code,0))),""))))</f>
        <v/>
      </c>
      <c r="L258" s="65" t="str">
        <f>IF(COUNTA(A258:G258)=0,"",IF(AND(ISNUMBER(D258),ISNUMBER(J258)),ROUND(D258*J258*(1-N(F258)),2),0))</f>
        <v/>
      </c>
      <c r="M258" s="62" t="str">
        <f>IF(A258="","",IFERROR(INDEX(dv_cname,MATCH(A258,dv_num,0))&amp;"",""))</f>
        <v/>
      </c>
      <c r="N258" s="59" t="str">
        <f>IF(COUNTA(A258:G258)=0,"",IF(A258="","N° devis manquant",IF(ISNA(MATCH(A258,dv_num,0)),"Devis inconnu",IF(AND(B258&lt;&gt;"",ISNA(MATCH(B258,pr_code,0))),"Article inconnu",IF(H258="","Désignation manquante",IF(OR(NOT(ISNUMBER(D258)),N(D258)&lt;=0),"Quantité invalide",IF(J258="","Prix manquant",IF(OR(NOT(ISNUMBER(J258)),N(J258)&lt;0),"Prix invalide",IF(OR(AND(F258&lt;&gt;"",NOT(ISNUMBER(F258))),N(F258)&lt;0,N(F258)&gt;1),"Remise invalide",IF(K258="","Taux de TVA manquant",IF(NOT(ISNUMBER(K258)),"Taux de TVA invalide",IF(COUNTIF(p_rates,K258)=0,"Taux de TVA hors liste (Paramètres)",IF(N(O258)&gt;25,"Au-delà de 25 lignes : non imprimée","OK")))))))))))))</f>
        <v/>
      </c>
      <c r="O258" s="59" t="str">
        <f>IF(A258="","",COUNTIF($A$6:A258,A258))</f>
        <v/>
      </c>
      <c r="P258" s="62" t="str">
        <f>IF(A258="","",A258&amp;"|"&amp;O258)</f>
        <v/>
      </c>
    </row>
    <row r="259">
      <c r="A259" s="60" t="n"/>
      <c r="B259" s="63" t="n"/>
      <c r="C259" s="63" t="n"/>
      <c r="D259" s="67" t="n"/>
      <c r="E259" s="68" t="n"/>
      <c r="F259" s="69" t="n"/>
      <c r="G259" s="70" t="n"/>
      <c r="H259" s="62" t="str">
        <f>IF(COUNTA(A259:G259)=0,"",IF(C259&lt;&gt;"",C259,IF(B259="","",IFERROR(INDEX(pr_des,MATCH(B259,pr_code,0))&amp;"",""))))</f>
        <v/>
      </c>
      <c r="I259" s="59" t="str">
        <f>IF(B259="","",IFERROR(INDEX(pr_unit,MATCH(B259,pr_code,0))&amp;"",""))</f>
        <v/>
      </c>
      <c r="J259" s="65" t="str">
        <f>IF(COUNTA(A259:G259)=0,"",IF(E259&lt;&gt;"",E259,IF(B259="","",IFERROR(IF(INDEX(pr_price,MATCH(B259,pr_code,0))="","",INDEX(pr_price,MATCH(B259,pr_code,0))),""))))</f>
        <v/>
      </c>
      <c r="K259" s="71" t="str">
        <f>IF(COUNTA(A259:G259)=0,"",IF(G259&lt;&gt;"",G259,IF(B259="","",IFERROR(IF(INDEX(pr_rate,MATCH(B259,pr_code,0))="","",INDEX(pr_rate,MATCH(B259,pr_code,0))),""))))</f>
        <v/>
      </c>
      <c r="L259" s="65" t="str">
        <f>IF(COUNTA(A259:G259)=0,"",IF(AND(ISNUMBER(D259),ISNUMBER(J259)),ROUND(D259*J259*(1-N(F259)),2),0))</f>
        <v/>
      </c>
      <c r="M259" s="62" t="str">
        <f>IF(A259="","",IFERROR(INDEX(dv_cname,MATCH(A259,dv_num,0))&amp;"",""))</f>
        <v/>
      </c>
      <c r="N259" s="59" t="str">
        <f>IF(COUNTA(A259:G259)=0,"",IF(A259="","N° devis manquant",IF(ISNA(MATCH(A259,dv_num,0)),"Devis inconnu",IF(AND(B259&lt;&gt;"",ISNA(MATCH(B259,pr_code,0))),"Article inconnu",IF(H259="","Désignation manquante",IF(OR(NOT(ISNUMBER(D259)),N(D259)&lt;=0),"Quantité invalide",IF(J259="","Prix manquant",IF(OR(NOT(ISNUMBER(J259)),N(J259)&lt;0),"Prix invalide",IF(OR(AND(F259&lt;&gt;"",NOT(ISNUMBER(F259))),N(F259)&lt;0,N(F259)&gt;1),"Remise invalide",IF(K259="","Taux de TVA manquant",IF(NOT(ISNUMBER(K259)),"Taux de TVA invalide",IF(COUNTIF(p_rates,K259)=0,"Taux de TVA hors liste (Paramètres)",IF(N(O259)&gt;25,"Au-delà de 25 lignes : non imprimée","OK")))))))))))))</f>
        <v/>
      </c>
      <c r="O259" s="59" t="str">
        <f>IF(A259="","",COUNTIF($A$6:A259,A259))</f>
        <v/>
      </c>
      <c r="P259" s="62" t="str">
        <f>IF(A259="","",A259&amp;"|"&amp;O259)</f>
        <v/>
      </c>
    </row>
    <row r="260">
      <c r="A260" s="60" t="n"/>
      <c r="B260" s="63" t="n"/>
      <c r="C260" s="63" t="n"/>
      <c r="D260" s="67" t="n"/>
      <c r="E260" s="68" t="n"/>
      <c r="F260" s="69" t="n"/>
      <c r="G260" s="70" t="n"/>
      <c r="H260" s="62" t="str">
        <f>IF(COUNTA(A260:G260)=0,"",IF(C260&lt;&gt;"",C260,IF(B260="","",IFERROR(INDEX(pr_des,MATCH(B260,pr_code,0))&amp;"",""))))</f>
        <v/>
      </c>
      <c r="I260" s="59" t="str">
        <f>IF(B260="","",IFERROR(INDEX(pr_unit,MATCH(B260,pr_code,0))&amp;"",""))</f>
        <v/>
      </c>
      <c r="J260" s="65" t="str">
        <f>IF(COUNTA(A260:G260)=0,"",IF(E260&lt;&gt;"",E260,IF(B260="","",IFERROR(IF(INDEX(pr_price,MATCH(B260,pr_code,0))="","",INDEX(pr_price,MATCH(B260,pr_code,0))),""))))</f>
        <v/>
      </c>
      <c r="K260" s="71" t="str">
        <f>IF(COUNTA(A260:G260)=0,"",IF(G260&lt;&gt;"",G260,IF(B260="","",IFERROR(IF(INDEX(pr_rate,MATCH(B260,pr_code,0))="","",INDEX(pr_rate,MATCH(B260,pr_code,0))),""))))</f>
        <v/>
      </c>
      <c r="L260" s="65" t="str">
        <f>IF(COUNTA(A260:G260)=0,"",IF(AND(ISNUMBER(D260),ISNUMBER(J260)),ROUND(D260*J260*(1-N(F260)),2),0))</f>
        <v/>
      </c>
      <c r="M260" s="62" t="str">
        <f>IF(A260="","",IFERROR(INDEX(dv_cname,MATCH(A260,dv_num,0))&amp;"",""))</f>
        <v/>
      </c>
      <c r="N260" s="59" t="str">
        <f>IF(COUNTA(A260:G260)=0,"",IF(A260="","N° devis manquant",IF(ISNA(MATCH(A260,dv_num,0)),"Devis inconnu",IF(AND(B260&lt;&gt;"",ISNA(MATCH(B260,pr_code,0))),"Article inconnu",IF(H260="","Désignation manquante",IF(OR(NOT(ISNUMBER(D260)),N(D260)&lt;=0),"Quantité invalide",IF(J260="","Prix manquant",IF(OR(NOT(ISNUMBER(J260)),N(J260)&lt;0),"Prix invalide",IF(OR(AND(F260&lt;&gt;"",NOT(ISNUMBER(F260))),N(F260)&lt;0,N(F260)&gt;1),"Remise invalide",IF(K260="","Taux de TVA manquant",IF(NOT(ISNUMBER(K260)),"Taux de TVA invalide",IF(COUNTIF(p_rates,K260)=0,"Taux de TVA hors liste (Paramètres)",IF(N(O260)&gt;25,"Au-delà de 25 lignes : non imprimée","OK")))))))))))))</f>
        <v/>
      </c>
      <c r="O260" s="59" t="str">
        <f>IF(A260="","",COUNTIF($A$6:A260,A260))</f>
        <v/>
      </c>
      <c r="P260" s="62" t="str">
        <f>IF(A260="","",A260&amp;"|"&amp;O260)</f>
        <v/>
      </c>
    </row>
    <row r="261">
      <c r="A261" s="60" t="n"/>
      <c r="B261" s="63" t="n"/>
      <c r="C261" s="63" t="n"/>
      <c r="D261" s="67" t="n"/>
      <c r="E261" s="68" t="n"/>
      <c r="F261" s="69" t="n"/>
      <c r="G261" s="70" t="n"/>
      <c r="H261" s="62" t="str">
        <f>IF(COUNTA(A261:G261)=0,"",IF(C261&lt;&gt;"",C261,IF(B261="","",IFERROR(INDEX(pr_des,MATCH(B261,pr_code,0))&amp;"",""))))</f>
        <v/>
      </c>
      <c r="I261" s="59" t="str">
        <f>IF(B261="","",IFERROR(INDEX(pr_unit,MATCH(B261,pr_code,0))&amp;"",""))</f>
        <v/>
      </c>
      <c r="J261" s="65" t="str">
        <f>IF(COUNTA(A261:G261)=0,"",IF(E261&lt;&gt;"",E261,IF(B261="","",IFERROR(IF(INDEX(pr_price,MATCH(B261,pr_code,0))="","",INDEX(pr_price,MATCH(B261,pr_code,0))),""))))</f>
        <v/>
      </c>
      <c r="K261" s="71" t="str">
        <f>IF(COUNTA(A261:G261)=0,"",IF(G261&lt;&gt;"",G261,IF(B261="","",IFERROR(IF(INDEX(pr_rate,MATCH(B261,pr_code,0))="","",INDEX(pr_rate,MATCH(B261,pr_code,0))),""))))</f>
        <v/>
      </c>
      <c r="L261" s="65" t="str">
        <f>IF(COUNTA(A261:G261)=0,"",IF(AND(ISNUMBER(D261),ISNUMBER(J261)),ROUND(D261*J261*(1-N(F261)),2),0))</f>
        <v/>
      </c>
      <c r="M261" s="62" t="str">
        <f>IF(A261="","",IFERROR(INDEX(dv_cname,MATCH(A261,dv_num,0))&amp;"",""))</f>
        <v/>
      </c>
      <c r="N261" s="59" t="str">
        <f>IF(COUNTA(A261:G261)=0,"",IF(A261="","N° devis manquant",IF(ISNA(MATCH(A261,dv_num,0)),"Devis inconnu",IF(AND(B261&lt;&gt;"",ISNA(MATCH(B261,pr_code,0))),"Article inconnu",IF(H261="","Désignation manquante",IF(OR(NOT(ISNUMBER(D261)),N(D261)&lt;=0),"Quantité invalide",IF(J261="","Prix manquant",IF(OR(NOT(ISNUMBER(J261)),N(J261)&lt;0),"Prix invalide",IF(OR(AND(F261&lt;&gt;"",NOT(ISNUMBER(F261))),N(F261)&lt;0,N(F261)&gt;1),"Remise invalide",IF(K261="","Taux de TVA manquant",IF(NOT(ISNUMBER(K261)),"Taux de TVA invalide",IF(COUNTIF(p_rates,K261)=0,"Taux de TVA hors liste (Paramètres)",IF(N(O261)&gt;25,"Au-delà de 25 lignes : non imprimée","OK")))))))))))))</f>
        <v/>
      </c>
      <c r="O261" s="59" t="str">
        <f>IF(A261="","",COUNTIF($A$6:A261,A261))</f>
        <v/>
      </c>
      <c r="P261" s="62" t="str">
        <f>IF(A261="","",A261&amp;"|"&amp;O261)</f>
        <v/>
      </c>
    </row>
    <row r="262">
      <c r="A262" s="60" t="n"/>
      <c r="B262" s="63" t="n"/>
      <c r="C262" s="63" t="n"/>
      <c r="D262" s="67" t="n"/>
      <c r="E262" s="68" t="n"/>
      <c r="F262" s="69" t="n"/>
      <c r="G262" s="70" t="n"/>
      <c r="H262" s="62" t="str">
        <f>IF(COUNTA(A262:G262)=0,"",IF(C262&lt;&gt;"",C262,IF(B262="","",IFERROR(INDEX(pr_des,MATCH(B262,pr_code,0))&amp;"",""))))</f>
        <v/>
      </c>
      <c r="I262" s="59" t="str">
        <f>IF(B262="","",IFERROR(INDEX(pr_unit,MATCH(B262,pr_code,0))&amp;"",""))</f>
        <v/>
      </c>
      <c r="J262" s="65" t="str">
        <f>IF(COUNTA(A262:G262)=0,"",IF(E262&lt;&gt;"",E262,IF(B262="","",IFERROR(IF(INDEX(pr_price,MATCH(B262,pr_code,0))="","",INDEX(pr_price,MATCH(B262,pr_code,0))),""))))</f>
        <v/>
      </c>
      <c r="K262" s="71" t="str">
        <f>IF(COUNTA(A262:G262)=0,"",IF(G262&lt;&gt;"",G262,IF(B262="","",IFERROR(IF(INDEX(pr_rate,MATCH(B262,pr_code,0))="","",INDEX(pr_rate,MATCH(B262,pr_code,0))),""))))</f>
        <v/>
      </c>
      <c r="L262" s="65" t="str">
        <f>IF(COUNTA(A262:G262)=0,"",IF(AND(ISNUMBER(D262),ISNUMBER(J262)),ROUND(D262*J262*(1-N(F262)),2),0))</f>
        <v/>
      </c>
      <c r="M262" s="62" t="str">
        <f>IF(A262="","",IFERROR(INDEX(dv_cname,MATCH(A262,dv_num,0))&amp;"",""))</f>
        <v/>
      </c>
      <c r="N262" s="59" t="str">
        <f>IF(COUNTA(A262:G262)=0,"",IF(A262="","N° devis manquant",IF(ISNA(MATCH(A262,dv_num,0)),"Devis inconnu",IF(AND(B262&lt;&gt;"",ISNA(MATCH(B262,pr_code,0))),"Article inconnu",IF(H262="","Désignation manquante",IF(OR(NOT(ISNUMBER(D262)),N(D262)&lt;=0),"Quantité invalide",IF(J262="","Prix manquant",IF(OR(NOT(ISNUMBER(J262)),N(J262)&lt;0),"Prix invalide",IF(OR(AND(F262&lt;&gt;"",NOT(ISNUMBER(F262))),N(F262)&lt;0,N(F262)&gt;1),"Remise invalide",IF(K262="","Taux de TVA manquant",IF(NOT(ISNUMBER(K262)),"Taux de TVA invalide",IF(COUNTIF(p_rates,K262)=0,"Taux de TVA hors liste (Paramètres)",IF(N(O262)&gt;25,"Au-delà de 25 lignes : non imprimée","OK")))))))))))))</f>
        <v/>
      </c>
      <c r="O262" s="59" t="str">
        <f>IF(A262="","",COUNTIF($A$6:A262,A262))</f>
        <v/>
      </c>
      <c r="P262" s="62" t="str">
        <f>IF(A262="","",A262&amp;"|"&amp;O262)</f>
        <v/>
      </c>
    </row>
    <row r="263">
      <c r="A263" s="60" t="n"/>
      <c r="B263" s="63" t="n"/>
      <c r="C263" s="63" t="n"/>
      <c r="D263" s="67" t="n"/>
      <c r="E263" s="68" t="n"/>
      <c r="F263" s="69" t="n"/>
      <c r="G263" s="70" t="n"/>
      <c r="H263" s="62" t="str">
        <f>IF(COUNTA(A263:G263)=0,"",IF(C263&lt;&gt;"",C263,IF(B263="","",IFERROR(INDEX(pr_des,MATCH(B263,pr_code,0))&amp;"",""))))</f>
        <v/>
      </c>
      <c r="I263" s="59" t="str">
        <f>IF(B263="","",IFERROR(INDEX(pr_unit,MATCH(B263,pr_code,0))&amp;"",""))</f>
        <v/>
      </c>
      <c r="J263" s="65" t="str">
        <f>IF(COUNTA(A263:G263)=0,"",IF(E263&lt;&gt;"",E263,IF(B263="","",IFERROR(IF(INDEX(pr_price,MATCH(B263,pr_code,0))="","",INDEX(pr_price,MATCH(B263,pr_code,0))),""))))</f>
        <v/>
      </c>
      <c r="K263" s="71" t="str">
        <f>IF(COUNTA(A263:G263)=0,"",IF(G263&lt;&gt;"",G263,IF(B263="","",IFERROR(IF(INDEX(pr_rate,MATCH(B263,pr_code,0))="","",INDEX(pr_rate,MATCH(B263,pr_code,0))),""))))</f>
        <v/>
      </c>
      <c r="L263" s="65" t="str">
        <f>IF(COUNTA(A263:G263)=0,"",IF(AND(ISNUMBER(D263),ISNUMBER(J263)),ROUND(D263*J263*(1-N(F263)),2),0))</f>
        <v/>
      </c>
      <c r="M263" s="62" t="str">
        <f>IF(A263="","",IFERROR(INDEX(dv_cname,MATCH(A263,dv_num,0))&amp;"",""))</f>
        <v/>
      </c>
      <c r="N263" s="59" t="str">
        <f>IF(COUNTA(A263:G263)=0,"",IF(A263="","N° devis manquant",IF(ISNA(MATCH(A263,dv_num,0)),"Devis inconnu",IF(AND(B263&lt;&gt;"",ISNA(MATCH(B263,pr_code,0))),"Article inconnu",IF(H263="","Désignation manquante",IF(OR(NOT(ISNUMBER(D263)),N(D263)&lt;=0),"Quantité invalide",IF(J263="","Prix manquant",IF(OR(NOT(ISNUMBER(J263)),N(J263)&lt;0),"Prix invalide",IF(OR(AND(F263&lt;&gt;"",NOT(ISNUMBER(F263))),N(F263)&lt;0,N(F263)&gt;1),"Remise invalide",IF(K263="","Taux de TVA manquant",IF(NOT(ISNUMBER(K263)),"Taux de TVA invalide",IF(COUNTIF(p_rates,K263)=0,"Taux de TVA hors liste (Paramètres)",IF(N(O263)&gt;25,"Au-delà de 25 lignes : non imprimée","OK")))))))))))))</f>
        <v/>
      </c>
      <c r="O263" s="59" t="str">
        <f>IF(A263="","",COUNTIF($A$6:A263,A263))</f>
        <v/>
      </c>
      <c r="P263" s="62" t="str">
        <f>IF(A263="","",A263&amp;"|"&amp;O263)</f>
        <v/>
      </c>
    </row>
    <row r="264">
      <c r="A264" s="60" t="n"/>
      <c r="B264" s="63" t="n"/>
      <c r="C264" s="63" t="n"/>
      <c r="D264" s="67" t="n"/>
      <c r="E264" s="68" t="n"/>
      <c r="F264" s="69" t="n"/>
      <c r="G264" s="70" t="n"/>
      <c r="H264" s="62" t="str">
        <f>IF(COUNTA(A264:G264)=0,"",IF(C264&lt;&gt;"",C264,IF(B264="","",IFERROR(INDEX(pr_des,MATCH(B264,pr_code,0))&amp;"",""))))</f>
        <v/>
      </c>
      <c r="I264" s="59" t="str">
        <f>IF(B264="","",IFERROR(INDEX(pr_unit,MATCH(B264,pr_code,0))&amp;"",""))</f>
        <v/>
      </c>
      <c r="J264" s="65" t="str">
        <f>IF(COUNTA(A264:G264)=0,"",IF(E264&lt;&gt;"",E264,IF(B264="","",IFERROR(IF(INDEX(pr_price,MATCH(B264,pr_code,0))="","",INDEX(pr_price,MATCH(B264,pr_code,0))),""))))</f>
        <v/>
      </c>
      <c r="K264" s="71" t="str">
        <f>IF(COUNTA(A264:G264)=0,"",IF(G264&lt;&gt;"",G264,IF(B264="","",IFERROR(IF(INDEX(pr_rate,MATCH(B264,pr_code,0))="","",INDEX(pr_rate,MATCH(B264,pr_code,0))),""))))</f>
        <v/>
      </c>
      <c r="L264" s="65" t="str">
        <f>IF(COUNTA(A264:G264)=0,"",IF(AND(ISNUMBER(D264),ISNUMBER(J264)),ROUND(D264*J264*(1-N(F264)),2),0))</f>
        <v/>
      </c>
      <c r="M264" s="62" t="str">
        <f>IF(A264="","",IFERROR(INDEX(dv_cname,MATCH(A264,dv_num,0))&amp;"",""))</f>
        <v/>
      </c>
      <c r="N264" s="59" t="str">
        <f>IF(COUNTA(A264:G264)=0,"",IF(A264="","N° devis manquant",IF(ISNA(MATCH(A264,dv_num,0)),"Devis inconnu",IF(AND(B264&lt;&gt;"",ISNA(MATCH(B264,pr_code,0))),"Article inconnu",IF(H264="","Désignation manquante",IF(OR(NOT(ISNUMBER(D264)),N(D264)&lt;=0),"Quantité invalide",IF(J264="","Prix manquant",IF(OR(NOT(ISNUMBER(J264)),N(J264)&lt;0),"Prix invalide",IF(OR(AND(F264&lt;&gt;"",NOT(ISNUMBER(F264))),N(F264)&lt;0,N(F264)&gt;1),"Remise invalide",IF(K264="","Taux de TVA manquant",IF(NOT(ISNUMBER(K264)),"Taux de TVA invalide",IF(COUNTIF(p_rates,K264)=0,"Taux de TVA hors liste (Paramètres)",IF(N(O264)&gt;25,"Au-delà de 25 lignes : non imprimée","OK")))))))))))))</f>
        <v/>
      </c>
      <c r="O264" s="59" t="str">
        <f>IF(A264="","",COUNTIF($A$6:A264,A264))</f>
        <v/>
      </c>
      <c r="P264" s="62" t="str">
        <f>IF(A264="","",A264&amp;"|"&amp;O264)</f>
        <v/>
      </c>
    </row>
    <row r="265">
      <c r="A265" s="60" t="n"/>
      <c r="B265" s="63" t="n"/>
      <c r="C265" s="63" t="n"/>
      <c r="D265" s="67" t="n"/>
      <c r="E265" s="68" t="n"/>
      <c r="F265" s="69" t="n"/>
      <c r="G265" s="70" t="n"/>
      <c r="H265" s="62" t="str">
        <f>IF(COUNTA(A265:G265)=0,"",IF(C265&lt;&gt;"",C265,IF(B265="","",IFERROR(INDEX(pr_des,MATCH(B265,pr_code,0))&amp;"",""))))</f>
        <v/>
      </c>
      <c r="I265" s="59" t="str">
        <f>IF(B265="","",IFERROR(INDEX(pr_unit,MATCH(B265,pr_code,0))&amp;"",""))</f>
        <v/>
      </c>
      <c r="J265" s="65" t="str">
        <f>IF(COUNTA(A265:G265)=0,"",IF(E265&lt;&gt;"",E265,IF(B265="","",IFERROR(IF(INDEX(pr_price,MATCH(B265,pr_code,0))="","",INDEX(pr_price,MATCH(B265,pr_code,0))),""))))</f>
        <v/>
      </c>
      <c r="K265" s="71" t="str">
        <f>IF(COUNTA(A265:G265)=0,"",IF(G265&lt;&gt;"",G265,IF(B265="","",IFERROR(IF(INDEX(pr_rate,MATCH(B265,pr_code,0))="","",INDEX(pr_rate,MATCH(B265,pr_code,0))),""))))</f>
        <v/>
      </c>
      <c r="L265" s="65" t="str">
        <f>IF(COUNTA(A265:G265)=0,"",IF(AND(ISNUMBER(D265),ISNUMBER(J265)),ROUND(D265*J265*(1-N(F265)),2),0))</f>
        <v/>
      </c>
      <c r="M265" s="62" t="str">
        <f>IF(A265="","",IFERROR(INDEX(dv_cname,MATCH(A265,dv_num,0))&amp;"",""))</f>
        <v/>
      </c>
      <c r="N265" s="59" t="str">
        <f>IF(COUNTA(A265:G265)=0,"",IF(A265="","N° devis manquant",IF(ISNA(MATCH(A265,dv_num,0)),"Devis inconnu",IF(AND(B265&lt;&gt;"",ISNA(MATCH(B265,pr_code,0))),"Article inconnu",IF(H265="","Désignation manquante",IF(OR(NOT(ISNUMBER(D265)),N(D265)&lt;=0),"Quantité invalide",IF(J265="","Prix manquant",IF(OR(NOT(ISNUMBER(J265)),N(J265)&lt;0),"Prix invalide",IF(OR(AND(F265&lt;&gt;"",NOT(ISNUMBER(F265))),N(F265)&lt;0,N(F265)&gt;1),"Remise invalide",IF(K265="","Taux de TVA manquant",IF(NOT(ISNUMBER(K265)),"Taux de TVA invalide",IF(COUNTIF(p_rates,K265)=0,"Taux de TVA hors liste (Paramètres)",IF(N(O265)&gt;25,"Au-delà de 25 lignes : non imprimée","OK")))))))))))))</f>
        <v/>
      </c>
      <c r="O265" s="59" t="str">
        <f>IF(A265="","",COUNTIF($A$6:A265,A265))</f>
        <v/>
      </c>
      <c r="P265" s="62" t="str">
        <f>IF(A265="","",A265&amp;"|"&amp;O265)</f>
        <v/>
      </c>
    </row>
    <row r="266">
      <c r="A266" s="60" t="n"/>
      <c r="B266" s="63" t="n"/>
      <c r="C266" s="63" t="n"/>
      <c r="D266" s="67" t="n"/>
      <c r="E266" s="68" t="n"/>
      <c r="F266" s="69" t="n"/>
      <c r="G266" s="70" t="n"/>
      <c r="H266" s="62" t="str">
        <f>IF(COUNTA(A266:G266)=0,"",IF(C266&lt;&gt;"",C266,IF(B266="","",IFERROR(INDEX(pr_des,MATCH(B266,pr_code,0))&amp;"",""))))</f>
        <v/>
      </c>
      <c r="I266" s="59" t="str">
        <f>IF(B266="","",IFERROR(INDEX(pr_unit,MATCH(B266,pr_code,0))&amp;"",""))</f>
        <v/>
      </c>
      <c r="J266" s="65" t="str">
        <f>IF(COUNTA(A266:G266)=0,"",IF(E266&lt;&gt;"",E266,IF(B266="","",IFERROR(IF(INDEX(pr_price,MATCH(B266,pr_code,0))="","",INDEX(pr_price,MATCH(B266,pr_code,0))),""))))</f>
        <v/>
      </c>
      <c r="K266" s="71" t="str">
        <f>IF(COUNTA(A266:G266)=0,"",IF(G266&lt;&gt;"",G266,IF(B266="","",IFERROR(IF(INDEX(pr_rate,MATCH(B266,pr_code,0))="","",INDEX(pr_rate,MATCH(B266,pr_code,0))),""))))</f>
        <v/>
      </c>
      <c r="L266" s="65" t="str">
        <f>IF(COUNTA(A266:G266)=0,"",IF(AND(ISNUMBER(D266),ISNUMBER(J266)),ROUND(D266*J266*(1-N(F266)),2),0))</f>
        <v/>
      </c>
      <c r="M266" s="62" t="str">
        <f>IF(A266="","",IFERROR(INDEX(dv_cname,MATCH(A266,dv_num,0))&amp;"",""))</f>
        <v/>
      </c>
      <c r="N266" s="59" t="str">
        <f>IF(COUNTA(A266:G266)=0,"",IF(A266="","N° devis manquant",IF(ISNA(MATCH(A266,dv_num,0)),"Devis inconnu",IF(AND(B266&lt;&gt;"",ISNA(MATCH(B266,pr_code,0))),"Article inconnu",IF(H266="","Désignation manquante",IF(OR(NOT(ISNUMBER(D266)),N(D266)&lt;=0),"Quantité invalide",IF(J266="","Prix manquant",IF(OR(NOT(ISNUMBER(J266)),N(J266)&lt;0),"Prix invalide",IF(OR(AND(F266&lt;&gt;"",NOT(ISNUMBER(F266))),N(F266)&lt;0,N(F266)&gt;1),"Remise invalide",IF(K266="","Taux de TVA manquant",IF(NOT(ISNUMBER(K266)),"Taux de TVA invalide",IF(COUNTIF(p_rates,K266)=0,"Taux de TVA hors liste (Paramètres)",IF(N(O266)&gt;25,"Au-delà de 25 lignes : non imprimée","OK")))))))))))))</f>
        <v/>
      </c>
      <c r="O266" s="59" t="str">
        <f>IF(A266="","",COUNTIF($A$6:A266,A266))</f>
        <v/>
      </c>
      <c r="P266" s="62" t="str">
        <f>IF(A266="","",A266&amp;"|"&amp;O266)</f>
        <v/>
      </c>
    </row>
    <row r="267">
      <c r="A267" s="60" t="n"/>
      <c r="B267" s="63" t="n"/>
      <c r="C267" s="63" t="n"/>
      <c r="D267" s="67" t="n"/>
      <c r="E267" s="68" t="n"/>
      <c r="F267" s="69" t="n"/>
      <c r="G267" s="70" t="n"/>
      <c r="H267" s="62" t="str">
        <f>IF(COUNTA(A267:G267)=0,"",IF(C267&lt;&gt;"",C267,IF(B267="","",IFERROR(INDEX(pr_des,MATCH(B267,pr_code,0))&amp;"",""))))</f>
        <v/>
      </c>
      <c r="I267" s="59" t="str">
        <f>IF(B267="","",IFERROR(INDEX(pr_unit,MATCH(B267,pr_code,0))&amp;"",""))</f>
        <v/>
      </c>
      <c r="J267" s="65" t="str">
        <f>IF(COUNTA(A267:G267)=0,"",IF(E267&lt;&gt;"",E267,IF(B267="","",IFERROR(IF(INDEX(pr_price,MATCH(B267,pr_code,0))="","",INDEX(pr_price,MATCH(B267,pr_code,0))),""))))</f>
        <v/>
      </c>
      <c r="K267" s="71" t="str">
        <f>IF(COUNTA(A267:G267)=0,"",IF(G267&lt;&gt;"",G267,IF(B267="","",IFERROR(IF(INDEX(pr_rate,MATCH(B267,pr_code,0))="","",INDEX(pr_rate,MATCH(B267,pr_code,0))),""))))</f>
        <v/>
      </c>
      <c r="L267" s="65" t="str">
        <f>IF(COUNTA(A267:G267)=0,"",IF(AND(ISNUMBER(D267),ISNUMBER(J267)),ROUND(D267*J267*(1-N(F267)),2),0))</f>
        <v/>
      </c>
      <c r="M267" s="62" t="str">
        <f>IF(A267="","",IFERROR(INDEX(dv_cname,MATCH(A267,dv_num,0))&amp;"",""))</f>
        <v/>
      </c>
      <c r="N267" s="59" t="str">
        <f>IF(COUNTA(A267:G267)=0,"",IF(A267="","N° devis manquant",IF(ISNA(MATCH(A267,dv_num,0)),"Devis inconnu",IF(AND(B267&lt;&gt;"",ISNA(MATCH(B267,pr_code,0))),"Article inconnu",IF(H267="","Désignation manquante",IF(OR(NOT(ISNUMBER(D267)),N(D267)&lt;=0),"Quantité invalide",IF(J267="","Prix manquant",IF(OR(NOT(ISNUMBER(J267)),N(J267)&lt;0),"Prix invalide",IF(OR(AND(F267&lt;&gt;"",NOT(ISNUMBER(F267))),N(F267)&lt;0,N(F267)&gt;1),"Remise invalide",IF(K267="","Taux de TVA manquant",IF(NOT(ISNUMBER(K267)),"Taux de TVA invalide",IF(COUNTIF(p_rates,K267)=0,"Taux de TVA hors liste (Paramètres)",IF(N(O267)&gt;25,"Au-delà de 25 lignes : non imprimée","OK")))))))))))))</f>
        <v/>
      </c>
      <c r="O267" s="59" t="str">
        <f>IF(A267="","",COUNTIF($A$6:A267,A267))</f>
        <v/>
      </c>
      <c r="P267" s="62" t="str">
        <f>IF(A267="","",A267&amp;"|"&amp;O267)</f>
        <v/>
      </c>
    </row>
    <row r="268">
      <c r="A268" s="60" t="n"/>
      <c r="B268" s="63" t="n"/>
      <c r="C268" s="63" t="n"/>
      <c r="D268" s="67" t="n"/>
      <c r="E268" s="68" t="n"/>
      <c r="F268" s="69" t="n"/>
      <c r="G268" s="70" t="n"/>
      <c r="H268" s="62" t="str">
        <f>IF(COUNTA(A268:G268)=0,"",IF(C268&lt;&gt;"",C268,IF(B268="","",IFERROR(INDEX(pr_des,MATCH(B268,pr_code,0))&amp;"",""))))</f>
        <v/>
      </c>
      <c r="I268" s="59" t="str">
        <f>IF(B268="","",IFERROR(INDEX(pr_unit,MATCH(B268,pr_code,0))&amp;"",""))</f>
        <v/>
      </c>
      <c r="J268" s="65" t="str">
        <f>IF(COUNTA(A268:G268)=0,"",IF(E268&lt;&gt;"",E268,IF(B268="","",IFERROR(IF(INDEX(pr_price,MATCH(B268,pr_code,0))="","",INDEX(pr_price,MATCH(B268,pr_code,0))),""))))</f>
        <v/>
      </c>
      <c r="K268" s="71" t="str">
        <f>IF(COUNTA(A268:G268)=0,"",IF(G268&lt;&gt;"",G268,IF(B268="","",IFERROR(IF(INDEX(pr_rate,MATCH(B268,pr_code,0))="","",INDEX(pr_rate,MATCH(B268,pr_code,0))),""))))</f>
        <v/>
      </c>
      <c r="L268" s="65" t="str">
        <f>IF(COUNTA(A268:G268)=0,"",IF(AND(ISNUMBER(D268),ISNUMBER(J268)),ROUND(D268*J268*(1-N(F268)),2),0))</f>
        <v/>
      </c>
      <c r="M268" s="62" t="str">
        <f>IF(A268="","",IFERROR(INDEX(dv_cname,MATCH(A268,dv_num,0))&amp;"",""))</f>
        <v/>
      </c>
      <c r="N268" s="59" t="str">
        <f>IF(COUNTA(A268:G268)=0,"",IF(A268="","N° devis manquant",IF(ISNA(MATCH(A268,dv_num,0)),"Devis inconnu",IF(AND(B268&lt;&gt;"",ISNA(MATCH(B268,pr_code,0))),"Article inconnu",IF(H268="","Désignation manquante",IF(OR(NOT(ISNUMBER(D268)),N(D268)&lt;=0),"Quantité invalide",IF(J268="","Prix manquant",IF(OR(NOT(ISNUMBER(J268)),N(J268)&lt;0),"Prix invalide",IF(OR(AND(F268&lt;&gt;"",NOT(ISNUMBER(F268))),N(F268)&lt;0,N(F268)&gt;1),"Remise invalide",IF(K268="","Taux de TVA manquant",IF(NOT(ISNUMBER(K268)),"Taux de TVA invalide",IF(COUNTIF(p_rates,K268)=0,"Taux de TVA hors liste (Paramètres)",IF(N(O268)&gt;25,"Au-delà de 25 lignes : non imprimée","OK")))))))))))))</f>
        <v/>
      </c>
      <c r="O268" s="59" t="str">
        <f>IF(A268="","",COUNTIF($A$6:A268,A268))</f>
        <v/>
      </c>
      <c r="P268" s="62" t="str">
        <f>IF(A268="","",A268&amp;"|"&amp;O268)</f>
        <v/>
      </c>
    </row>
    <row r="269">
      <c r="A269" s="60" t="n"/>
      <c r="B269" s="63" t="n"/>
      <c r="C269" s="63" t="n"/>
      <c r="D269" s="67" t="n"/>
      <c r="E269" s="68" t="n"/>
      <c r="F269" s="69" t="n"/>
      <c r="G269" s="70" t="n"/>
      <c r="H269" s="62" t="str">
        <f>IF(COUNTA(A269:G269)=0,"",IF(C269&lt;&gt;"",C269,IF(B269="","",IFERROR(INDEX(pr_des,MATCH(B269,pr_code,0))&amp;"",""))))</f>
        <v/>
      </c>
      <c r="I269" s="59" t="str">
        <f>IF(B269="","",IFERROR(INDEX(pr_unit,MATCH(B269,pr_code,0))&amp;"",""))</f>
        <v/>
      </c>
      <c r="J269" s="65" t="str">
        <f>IF(COUNTA(A269:G269)=0,"",IF(E269&lt;&gt;"",E269,IF(B269="","",IFERROR(IF(INDEX(pr_price,MATCH(B269,pr_code,0))="","",INDEX(pr_price,MATCH(B269,pr_code,0))),""))))</f>
        <v/>
      </c>
      <c r="K269" s="71" t="str">
        <f>IF(COUNTA(A269:G269)=0,"",IF(G269&lt;&gt;"",G269,IF(B269="","",IFERROR(IF(INDEX(pr_rate,MATCH(B269,pr_code,0))="","",INDEX(pr_rate,MATCH(B269,pr_code,0))),""))))</f>
        <v/>
      </c>
      <c r="L269" s="65" t="str">
        <f>IF(COUNTA(A269:G269)=0,"",IF(AND(ISNUMBER(D269),ISNUMBER(J269)),ROUND(D269*J269*(1-N(F269)),2),0))</f>
        <v/>
      </c>
      <c r="M269" s="62" t="str">
        <f>IF(A269="","",IFERROR(INDEX(dv_cname,MATCH(A269,dv_num,0))&amp;"",""))</f>
        <v/>
      </c>
      <c r="N269" s="59" t="str">
        <f>IF(COUNTA(A269:G269)=0,"",IF(A269="","N° devis manquant",IF(ISNA(MATCH(A269,dv_num,0)),"Devis inconnu",IF(AND(B269&lt;&gt;"",ISNA(MATCH(B269,pr_code,0))),"Article inconnu",IF(H269="","Désignation manquante",IF(OR(NOT(ISNUMBER(D269)),N(D269)&lt;=0),"Quantité invalide",IF(J269="","Prix manquant",IF(OR(NOT(ISNUMBER(J269)),N(J269)&lt;0),"Prix invalide",IF(OR(AND(F269&lt;&gt;"",NOT(ISNUMBER(F269))),N(F269)&lt;0,N(F269)&gt;1),"Remise invalide",IF(K269="","Taux de TVA manquant",IF(NOT(ISNUMBER(K269)),"Taux de TVA invalide",IF(COUNTIF(p_rates,K269)=0,"Taux de TVA hors liste (Paramètres)",IF(N(O269)&gt;25,"Au-delà de 25 lignes : non imprimée","OK")))))))))))))</f>
        <v/>
      </c>
      <c r="O269" s="59" t="str">
        <f>IF(A269="","",COUNTIF($A$6:A269,A269))</f>
        <v/>
      </c>
      <c r="P269" s="62" t="str">
        <f>IF(A269="","",A269&amp;"|"&amp;O269)</f>
        <v/>
      </c>
    </row>
    <row r="270">
      <c r="A270" s="60" t="n"/>
      <c r="B270" s="63" t="n"/>
      <c r="C270" s="63" t="n"/>
      <c r="D270" s="67" t="n"/>
      <c r="E270" s="68" t="n"/>
      <c r="F270" s="69" t="n"/>
      <c r="G270" s="70" t="n"/>
      <c r="H270" s="62" t="str">
        <f>IF(COUNTA(A270:G270)=0,"",IF(C270&lt;&gt;"",C270,IF(B270="","",IFERROR(INDEX(pr_des,MATCH(B270,pr_code,0))&amp;"",""))))</f>
        <v/>
      </c>
      <c r="I270" s="59" t="str">
        <f>IF(B270="","",IFERROR(INDEX(pr_unit,MATCH(B270,pr_code,0))&amp;"",""))</f>
        <v/>
      </c>
      <c r="J270" s="65" t="str">
        <f>IF(COUNTA(A270:G270)=0,"",IF(E270&lt;&gt;"",E270,IF(B270="","",IFERROR(IF(INDEX(pr_price,MATCH(B270,pr_code,0))="","",INDEX(pr_price,MATCH(B270,pr_code,0))),""))))</f>
        <v/>
      </c>
      <c r="K270" s="71" t="str">
        <f>IF(COUNTA(A270:G270)=0,"",IF(G270&lt;&gt;"",G270,IF(B270="","",IFERROR(IF(INDEX(pr_rate,MATCH(B270,pr_code,0))="","",INDEX(pr_rate,MATCH(B270,pr_code,0))),""))))</f>
        <v/>
      </c>
      <c r="L270" s="65" t="str">
        <f>IF(COUNTA(A270:G270)=0,"",IF(AND(ISNUMBER(D270),ISNUMBER(J270)),ROUND(D270*J270*(1-N(F270)),2),0))</f>
        <v/>
      </c>
      <c r="M270" s="62" t="str">
        <f>IF(A270="","",IFERROR(INDEX(dv_cname,MATCH(A270,dv_num,0))&amp;"",""))</f>
        <v/>
      </c>
      <c r="N270" s="59" t="str">
        <f>IF(COUNTA(A270:G270)=0,"",IF(A270="","N° devis manquant",IF(ISNA(MATCH(A270,dv_num,0)),"Devis inconnu",IF(AND(B270&lt;&gt;"",ISNA(MATCH(B270,pr_code,0))),"Article inconnu",IF(H270="","Désignation manquante",IF(OR(NOT(ISNUMBER(D270)),N(D270)&lt;=0),"Quantité invalide",IF(J270="","Prix manquant",IF(OR(NOT(ISNUMBER(J270)),N(J270)&lt;0),"Prix invalide",IF(OR(AND(F270&lt;&gt;"",NOT(ISNUMBER(F270))),N(F270)&lt;0,N(F270)&gt;1),"Remise invalide",IF(K270="","Taux de TVA manquant",IF(NOT(ISNUMBER(K270)),"Taux de TVA invalide",IF(COUNTIF(p_rates,K270)=0,"Taux de TVA hors liste (Paramètres)",IF(N(O270)&gt;25,"Au-delà de 25 lignes : non imprimée","OK")))))))))))))</f>
        <v/>
      </c>
      <c r="O270" s="59" t="str">
        <f>IF(A270="","",COUNTIF($A$6:A270,A270))</f>
        <v/>
      </c>
      <c r="P270" s="62" t="str">
        <f>IF(A270="","",A270&amp;"|"&amp;O270)</f>
        <v/>
      </c>
    </row>
    <row r="271">
      <c r="A271" s="60" t="n"/>
      <c r="B271" s="63" t="n"/>
      <c r="C271" s="63" t="n"/>
      <c r="D271" s="67" t="n"/>
      <c r="E271" s="68" t="n"/>
      <c r="F271" s="69" t="n"/>
      <c r="G271" s="70" t="n"/>
      <c r="H271" s="62" t="str">
        <f>IF(COUNTA(A271:G271)=0,"",IF(C271&lt;&gt;"",C271,IF(B271="","",IFERROR(INDEX(pr_des,MATCH(B271,pr_code,0))&amp;"",""))))</f>
        <v/>
      </c>
      <c r="I271" s="59" t="str">
        <f>IF(B271="","",IFERROR(INDEX(pr_unit,MATCH(B271,pr_code,0))&amp;"",""))</f>
        <v/>
      </c>
      <c r="J271" s="65" t="str">
        <f>IF(COUNTA(A271:G271)=0,"",IF(E271&lt;&gt;"",E271,IF(B271="","",IFERROR(IF(INDEX(pr_price,MATCH(B271,pr_code,0))="","",INDEX(pr_price,MATCH(B271,pr_code,0))),""))))</f>
        <v/>
      </c>
      <c r="K271" s="71" t="str">
        <f>IF(COUNTA(A271:G271)=0,"",IF(G271&lt;&gt;"",G271,IF(B271="","",IFERROR(IF(INDEX(pr_rate,MATCH(B271,pr_code,0))="","",INDEX(pr_rate,MATCH(B271,pr_code,0))),""))))</f>
        <v/>
      </c>
      <c r="L271" s="65" t="str">
        <f>IF(COUNTA(A271:G271)=0,"",IF(AND(ISNUMBER(D271),ISNUMBER(J271)),ROUND(D271*J271*(1-N(F271)),2),0))</f>
        <v/>
      </c>
      <c r="M271" s="62" t="str">
        <f>IF(A271="","",IFERROR(INDEX(dv_cname,MATCH(A271,dv_num,0))&amp;"",""))</f>
        <v/>
      </c>
      <c r="N271" s="59" t="str">
        <f>IF(COUNTA(A271:G271)=0,"",IF(A271="","N° devis manquant",IF(ISNA(MATCH(A271,dv_num,0)),"Devis inconnu",IF(AND(B271&lt;&gt;"",ISNA(MATCH(B271,pr_code,0))),"Article inconnu",IF(H271="","Désignation manquante",IF(OR(NOT(ISNUMBER(D271)),N(D271)&lt;=0),"Quantité invalide",IF(J271="","Prix manquant",IF(OR(NOT(ISNUMBER(J271)),N(J271)&lt;0),"Prix invalide",IF(OR(AND(F271&lt;&gt;"",NOT(ISNUMBER(F271))),N(F271)&lt;0,N(F271)&gt;1),"Remise invalide",IF(K271="","Taux de TVA manquant",IF(NOT(ISNUMBER(K271)),"Taux de TVA invalide",IF(COUNTIF(p_rates,K271)=0,"Taux de TVA hors liste (Paramètres)",IF(N(O271)&gt;25,"Au-delà de 25 lignes : non imprimée","OK")))))))))))))</f>
        <v/>
      </c>
      <c r="O271" s="59" t="str">
        <f>IF(A271="","",COUNTIF($A$6:A271,A271))</f>
        <v/>
      </c>
      <c r="P271" s="62" t="str">
        <f>IF(A271="","",A271&amp;"|"&amp;O271)</f>
        <v/>
      </c>
    </row>
    <row r="272">
      <c r="A272" s="60" t="n"/>
      <c r="B272" s="63" t="n"/>
      <c r="C272" s="63" t="n"/>
      <c r="D272" s="67" t="n"/>
      <c r="E272" s="68" t="n"/>
      <c r="F272" s="69" t="n"/>
      <c r="G272" s="70" t="n"/>
      <c r="H272" s="62" t="str">
        <f>IF(COUNTA(A272:G272)=0,"",IF(C272&lt;&gt;"",C272,IF(B272="","",IFERROR(INDEX(pr_des,MATCH(B272,pr_code,0))&amp;"",""))))</f>
        <v/>
      </c>
      <c r="I272" s="59" t="str">
        <f>IF(B272="","",IFERROR(INDEX(pr_unit,MATCH(B272,pr_code,0))&amp;"",""))</f>
        <v/>
      </c>
      <c r="J272" s="65" t="str">
        <f>IF(COUNTA(A272:G272)=0,"",IF(E272&lt;&gt;"",E272,IF(B272="","",IFERROR(IF(INDEX(pr_price,MATCH(B272,pr_code,0))="","",INDEX(pr_price,MATCH(B272,pr_code,0))),""))))</f>
        <v/>
      </c>
      <c r="K272" s="71" t="str">
        <f>IF(COUNTA(A272:G272)=0,"",IF(G272&lt;&gt;"",G272,IF(B272="","",IFERROR(IF(INDEX(pr_rate,MATCH(B272,pr_code,0))="","",INDEX(pr_rate,MATCH(B272,pr_code,0))),""))))</f>
        <v/>
      </c>
      <c r="L272" s="65" t="str">
        <f>IF(COUNTA(A272:G272)=0,"",IF(AND(ISNUMBER(D272),ISNUMBER(J272)),ROUND(D272*J272*(1-N(F272)),2),0))</f>
        <v/>
      </c>
      <c r="M272" s="62" t="str">
        <f>IF(A272="","",IFERROR(INDEX(dv_cname,MATCH(A272,dv_num,0))&amp;"",""))</f>
        <v/>
      </c>
      <c r="N272" s="59" t="str">
        <f>IF(COUNTA(A272:G272)=0,"",IF(A272="","N° devis manquant",IF(ISNA(MATCH(A272,dv_num,0)),"Devis inconnu",IF(AND(B272&lt;&gt;"",ISNA(MATCH(B272,pr_code,0))),"Article inconnu",IF(H272="","Désignation manquante",IF(OR(NOT(ISNUMBER(D272)),N(D272)&lt;=0),"Quantité invalide",IF(J272="","Prix manquant",IF(OR(NOT(ISNUMBER(J272)),N(J272)&lt;0),"Prix invalide",IF(OR(AND(F272&lt;&gt;"",NOT(ISNUMBER(F272))),N(F272)&lt;0,N(F272)&gt;1),"Remise invalide",IF(K272="","Taux de TVA manquant",IF(NOT(ISNUMBER(K272)),"Taux de TVA invalide",IF(COUNTIF(p_rates,K272)=0,"Taux de TVA hors liste (Paramètres)",IF(N(O272)&gt;25,"Au-delà de 25 lignes : non imprimée","OK")))))))))))))</f>
        <v/>
      </c>
      <c r="O272" s="59" t="str">
        <f>IF(A272="","",COUNTIF($A$6:A272,A272))</f>
        <v/>
      </c>
      <c r="P272" s="62" t="str">
        <f>IF(A272="","",A272&amp;"|"&amp;O272)</f>
        <v/>
      </c>
    </row>
    <row r="273">
      <c r="A273" s="60" t="n"/>
      <c r="B273" s="63" t="n"/>
      <c r="C273" s="63" t="n"/>
      <c r="D273" s="67" t="n"/>
      <c r="E273" s="68" t="n"/>
      <c r="F273" s="69" t="n"/>
      <c r="G273" s="70" t="n"/>
      <c r="H273" s="62" t="str">
        <f>IF(COUNTA(A273:G273)=0,"",IF(C273&lt;&gt;"",C273,IF(B273="","",IFERROR(INDEX(pr_des,MATCH(B273,pr_code,0))&amp;"",""))))</f>
        <v/>
      </c>
      <c r="I273" s="59" t="str">
        <f>IF(B273="","",IFERROR(INDEX(pr_unit,MATCH(B273,pr_code,0))&amp;"",""))</f>
        <v/>
      </c>
      <c r="J273" s="65" t="str">
        <f>IF(COUNTA(A273:G273)=0,"",IF(E273&lt;&gt;"",E273,IF(B273="","",IFERROR(IF(INDEX(pr_price,MATCH(B273,pr_code,0))="","",INDEX(pr_price,MATCH(B273,pr_code,0))),""))))</f>
        <v/>
      </c>
      <c r="K273" s="71" t="str">
        <f>IF(COUNTA(A273:G273)=0,"",IF(G273&lt;&gt;"",G273,IF(B273="","",IFERROR(IF(INDEX(pr_rate,MATCH(B273,pr_code,0))="","",INDEX(pr_rate,MATCH(B273,pr_code,0))),""))))</f>
        <v/>
      </c>
      <c r="L273" s="65" t="str">
        <f>IF(COUNTA(A273:G273)=0,"",IF(AND(ISNUMBER(D273),ISNUMBER(J273)),ROUND(D273*J273*(1-N(F273)),2),0))</f>
        <v/>
      </c>
      <c r="M273" s="62" t="str">
        <f>IF(A273="","",IFERROR(INDEX(dv_cname,MATCH(A273,dv_num,0))&amp;"",""))</f>
        <v/>
      </c>
      <c r="N273" s="59" t="str">
        <f>IF(COUNTA(A273:G273)=0,"",IF(A273="","N° devis manquant",IF(ISNA(MATCH(A273,dv_num,0)),"Devis inconnu",IF(AND(B273&lt;&gt;"",ISNA(MATCH(B273,pr_code,0))),"Article inconnu",IF(H273="","Désignation manquante",IF(OR(NOT(ISNUMBER(D273)),N(D273)&lt;=0),"Quantité invalide",IF(J273="","Prix manquant",IF(OR(NOT(ISNUMBER(J273)),N(J273)&lt;0),"Prix invalide",IF(OR(AND(F273&lt;&gt;"",NOT(ISNUMBER(F273))),N(F273)&lt;0,N(F273)&gt;1),"Remise invalide",IF(K273="","Taux de TVA manquant",IF(NOT(ISNUMBER(K273)),"Taux de TVA invalide",IF(COUNTIF(p_rates,K273)=0,"Taux de TVA hors liste (Paramètres)",IF(N(O273)&gt;25,"Au-delà de 25 lignes : non imprimée","OK")))))))))))))</f>
        <v/>
      </c>
      <c r="O273" s="59" t="str">
        <f>IF(A273="","",COUNTIF($A$6:A273,A273))</f>
        <v/>
      </c>
      <c r="P273" s="62" t="str">
        <f>IF(A273="","",A273&amp;"|"&amp;O273)</f>
        <v/>
      </c>
    </row>
    <row r="274">
      <c r="A274" s="60" t="n"/>
      <c r="B274" s="63" t="n"/>
      <c r="C274" s="63" t="n"/>
      <c r="D274" s="67" t="n"/>
      <c r="E274" s="68" t="n"/>
      <c r="F274" s="69" t="n"/>
      <c r="G274" s="70" t="n"/>
      <c r="H274" s="62" t="str">
        <f>IF(COUNTA(A274:G274)=0,"",IF(C274&lt;&gt;"",C274,IF(B274="","",IFERROR(INDEX(pr_des,MATCH(B274,pr_code,0))&amp;"",""))))</f>
        <v/>
      </c>
      <c r="I274" s="59" t="str">
        <f>IF(B274="","",IFERROR(INDEX(pr_unit,MATCH(B274,pr_code,0))&amp;"",""))</f>
        <v/>
      </c>
      <c r="J274" s="65" t="str">
        <f>IF(COUNTA(A274:G274)=0,"",IF(E274&lt;&gt;"",E274,IF(B274="","",IFERROR(IF(INDEX(pr_price,MATCH(B274,pr_code,0))="","",INDEX(pr_price,MATCH(B274,pr_code,0))),""))))</f>
        <v/>
      </c>
      <c r="K274" s="71" t="str">
        <f>IF(COUNTA(A274:G274)=0,"",IF(G274&lt;&gt;"",G274,IF(B274="","",IFERROR(IF(INDEX(pr_rate,MATCH(B274,pr_code,0))="","",INDEX(pr_rate,MATCH(B274,pr_code,0))),""))))</f>
        <v/>
      </c>
      <c r="L274" s="65" t="str">
        <f>IF(COUNTA(A274:G274)=0,"",IF(AND(ISNUMBER(D274),ISNUMBER(J274)),ROUND(D274*J274*(1-N(F274)),2),0))</f>
        <v/>
      </c>
      <c r="M274" s="62" t="str">
        <f>IF(A274="","",IFERROR(INDEX(dv_cname,MATCH(A274,dv_num,0))&amp;"",""))</f>
        <v/>
      </c>
      <c r="N274" s="59" t="str">
        <f>IF(COUNTA(A274:G274)=0,"",IF(A274="","N° devis manquant",IF(ISNA(MATCH(A274,dv_num,0)),"Devis inconnu",IF(AND(B274&lt;&gt;"",ISNA(MATCH(B274,pr_code,0))),"Article inconnu",IF(H274="","Désignation manquante",IF(OR(NOT(ISNUMBER(D274)),N(D274)&lt;=0),"Quantité invalide",IF(J274="","Prix manquant",IF(OR(NOT(ISNUMBER(J274)),N(J274)&lt;0),"Prix invalide",IF(OR(AND(F274&lt;&gt;"",NOT(ISNUMBER(F274))),N(F274)&lt;0,N(F274)&gt;1),"Remise invalide",IF(K274="","Taux de TVA manquant",IF(NOT(ISNUMBER(K274)),"Taux de TVA invalide",IF(COUNTIF(p_rates,K274)=0,"Taux de TVA hors liste (Paramètres)",IF(N(O274)&gt;25,"Au-delà de 25 lignes : non imprimée","OK")))))))))))))</f>
        <v/>
      </c>
      <c r="O274" s="59" t="str">
        <f>IF(A274="","",COUNTIF($A$6:A274,A274))</f>
        <v/>
      </c>
      <c r="P274" s="62" t="str">
        <f>IF(A274="","",A274&amp;"|"&amp;O274)</f>
        <v/>
      </c>
    </row>
    <row r="275">
      <c r="A275" s="60" t="n"/>
      <c r="B275" s="63" t="n"/>
      <c r="C275" s="63" t="n"/>
      <c r="D275" s="67" t="n"/>
      <c r="E275" s="68" t="n"/>
      <c r="F275" s="69" t="n"/>
      <c r="G275" s="70" t="n"/>
      <c r="H275" s="62" t="str">
        <f>IF(COUNTA(A275:G275)=0,"",IF(C275&lt;&gt;"",C275,IF(B275="","",IFERROR(INDEX(pr_des,MATCH(B275,pr_code,0))&amp;"",""))))</f>
        <v/>
      </c>
      <c r="I275" s="59" t="str">
        <f>IF(B275="","",IFERROR(INDEX(pr_unit,MATCH(B275,pr_code,0))&amp;"",""))</f>
        <v/>
      </c>
      <c r="J275" s="65" t="str">
        <f>IF(COUNTA(A275:G275)=0,"",IF(E275&lt;&gt;"",E275,IF(B275="","",IFERROR(IF(INDEX(pr_price,MATCH(B275,pr_code,0))="","",INDEX(pr_price,MATCH(B275,pr_code,0))),""))))</f>
        <v/>
      </c>
      <c r="K275" s="71" t="str">
        <f>IF(COUNTA(A275:G275)=0,"",IF(G275&lt;&gt;"",G275,IF(B275="","",IFERROR(IF(INDEX(pr_rate,MATCH(B275,pr_code,0))="","",INDEX(pr_rate,MATCH(B275,pr_code,0))),""))))</f>
        <v/>
      </c>
      <c r="L275" s="65" t="str">
        <f>IF(COUNTA(A275:G275)=0,"",IF(AND(ISNUMBER(D275),ISNUMBER(J275)),ROUND(D275*J275*(1-N(F275)),2),0))</f>
        <v/>
      </c>
      <c r="M275" s="62" t="str">
        <f>IF(A275="","",IFERROR(INDEX(dv_cname,MATCH(A275,dv_num,0))&amp;"",""))</f>
        <v/>
      </c>
      <c r="N275" s="59" t="str">
        <f>IF(COUNTA(A275:G275)=0,"",IF(A275="","N° devis manquant",IF(ISNA(MATCH(A275,dv_num,0)),"Devis inconnu",IF(AND(B275&lt;&gt;"",ISNA(MATCH(B275,pr_code,0))),"Article inconnu",IF(H275="","Désignation manquante",IF(OR(NOT(ISNUMBER(D275)),N(D275)&lt;=0),"Quantité invalide",IF(J275="","Prix manquant",IF(OR(NOT(ISNUMBER(J275)),N(J275)&lt;0),"Prix invalide",IF(OR(AND(F275&lt;&gt;"",NOT(ISNUMBER(F275))),N(F275)&lt;0,N(F275)&gt;1),"Remise invalide",IF(K275="","Taux de TVA manquant",IF(NOT(ISNUMBER(K275)),"Taux de TVA invalide",IF(COUNTIF(p_rates,K275)=0,"Taux de TVA hors liste (Paramètres)",IF(N(O275)&gt;25,"Au-delà de 25 lignes : non imprimée","OK")))))))))))))</f>
        <v/>
      </c>
      <c r="O275" s="59" t="str">
        <f>IF(A275="","",COUNTIF($A$6:A275,A275))</f>
        <v/>
      </c>
      <c r="P275" s="62" t="str">
        <f>IF(A275="","",A275&amp;"|"&amp;O275)</f>
        <v/>
      </c>
    </row>
    <row r="276">
      <c r="A276" s="60" t="n"/>
      <c r="B276" s="63" t="n"/>
      <c r="C276" s="63" t="n"/>
      <c r="D276" s="67" t="n"/>
      <c r="E276" s="68" t="n"/>
      <c r="F276" s="69" t="n"/>
      <c r="G276" s="70" t="n"/>
      <c r="H276" s="62" t="str">
        <f>IF(COUNTA(A276:G276)=0,"",IF(C276&lt;&gt;"",C276,IF(B276="","",IFERROR(INDEX(pr_des,MATCH(B276,pr_code,0))&amp;"",""))))</f>
        <v/>
      </c>
      <c r="I276" s="59" t="str">
        <f>IF(B276="","",IFERROR(INDEX(pr_unit,MATCH(B276,pr_code,0))&amp;"",""))</f>
        <v/>
      </c>
      <c r="J276" s="65" t="str">
        <f>IF(COUNTA(A276:G276)=0,"",IF(E276&lt;&gt;"",E276,IF(B276="","",IFERROR(IF(INDEX(pr_price,MATCH(B276,pr_code,0))="","",INDEX(pr_price,MATCH(B276,pr_code,0))),""))))</f>
        <v/>
      </c>
      <c r="K276" s="71" t="str">
        <f>IF(COUNTA(A276:G276)=0,"",IF(G276&lt;&gt;"",G276,IF(B276="","",IFERROR(IF(INDEX(pr_rate,MATCH(B276,pr_code,0))="","",INDEX(pr_rate,MATCH(B276,pr_code,0))),""))))</f>
        <v/>
      </c>
      <c r="L276" s="65" t="str">
        <f>IF(COUNTA(A276:G276)=0,"",IF(AND(ISNUMBER(D276),ISNUMBER(J276)),ROUND(D276*J276*(1-N(F276)),2),0))</f>
        <v/>
      </c>
      <c r="M276" s="62" t="str">
        <f>IF(A276="","",IFERROR(INDEX(dv_cname,MATCH(A276,dv_num,0))&amp;"",""))</f>
        <v/>
      </c>
      <c r="N276" s="59" t="str">
        <f>IF(COUNTA(A276:G276)=0,"",IF(A276="","N° devis manquant",IF(ISNA(MATCH(A276,dv_num,0)),"Devis inconnu",IF(AND(B276&lt;&gt;"",ISNA(MATCH(B276,pr_code,0))),"Article inconnu",IF(H276="","Désignation manquante",IF(OR(NOT(ISNUMBER(D276)),N(D276)&lt;=0),"Quantité invalide",IF(J276="","Prix manquant",IF(OR(NOT(ISNUMBER(J276)),N(J276)&lt;0),"Prix invalide",IF(OR(AND(F276&lt;&gt;"",NOT(ISNUMBER(F276))),N(F276)&lt;0,N(F276)&gt;1),"Remise invalide",IF(K276="","Taux de TVA manquant",IF(NOT(ISNUMBER(K276)),"Taux de TVA invalide",IF(COUNTIF(p_rates,K276)=0,"Taux de TVA hors liste (Paramètres)",IF(N(O276)&gt;25,"Au-delà de 25 lignes : non imprimée","OK")))))))))))))</f>
        <v/>
      </c>
      <c r="O276" s="59" t="str">
        <f>IF(A276="","",COUNTIF($A$6:A276,A276))</f>
        <v/>
      </c>
      <c r="P276" s="62" t="str">
        <f>IF(A276="","",A276&amp;"|"&amp;O276)</f>
        <v/>
      </c>
    </row>
    <row r="277">
      <c r="A277" s="60" t="n"/>
      <c r="B277" s="63" t="n"/>
      <c r="C277" s="63" t="n"/>
      <c r="D277" s="67" t="n"/>
      <c r="E277" s="68" t="n"/>
      <c r="F277" s="69" t="n"/>
      <c r="G277" s="70" t="n"/>
      <c r="H277" s="62" t="str">
        <f>IF(COUNTA(A277:G277)=0,"",IF(C277&lt;&gt;"",C277,IF(B277="","",IFERROR(INDEX(pr_des,MATCH(B277,pr_code,0))&amp;"",""))))</f>
        <v/>
      </c>
      <c r="I277" s="59" t="str">
        <f>IF(B277="","",IFERROR(INDEX(pr_unit,MATCH(B277,pr_code,0))&amp;"",""))</f>
        <v/>
      </c>
      <c r="J277" s="65" t="str">
        <f>IF(COUNTA(A277:G277)=0,"",IF(E277&lt;&gt;"",E277,IF(B277="","",IFERROR(IF(INDEX(pr_price,MATCH(B277,pr_code,0))="","",INDEX(pr_price,MATCH(B277,pr_code,0))),""))))</f>
        <v/>
      </c>
      <c r="K277" s="71" t="str">
        <f>IF(COUNTA(A277:G277)=0,"",IF(G277&lt;&gt;"",G277,IF(B277="","",IFERROR(IF(INDEX(pr_rate,MATCH(B277,pr_code,0))="","",INDEX(pr_rate,MATCH(B277,pr_code,0))),""))))</f>
        <v/>
      </c>
      <c r="L277" s="65" t="str">
        <f>IF(COUNTA(A277:G277)=0,"",IF(AND(ISNUMBER(D277),ISNUMBER(J277)),ROUND(D277*J277*(1-N(F277)),2),0))</f>
        <v/>
      </c>
      <c r="M277" s="62" t="str">
        <f>IF(A277="","",IFERROR(INDEX(dv_cname,MATCH(A277,dv_num,0))&amp;"",""))</f>
        <v/>
      </c>
      <c r="N277" s="59" t="str">
        <f>IF(COUNTA(A277:G277)=0,"",IF(A277="","N° devis manquant",IF(ISNA(MATCH(A277,dv_num,0)),"Devis inconnu",IF(AND(B277&lt;&gt;"",ISNA(MATCH(B277,pr_code,0))),"Article inconnu",IF(H277="","Désignation manquante",IF(OR(NOT(ISNUMBER(D277)),N(D277)&lt;=0),"Quantité invalide",IF(J277="","Prix manquant",IF(OR(NOT(ISNUMBER(J277)),N(J277)&lt;0),"Prix invalide",IF(OR(AND(F277&lt;&gt;"",NOT(ISNUMBER(F277))),N(F277)&lt;0,N(F277)&gt;1),"Remise invalide",IF(K277="","Taux de TVA manquant",IF(NOT(ISNUMBER(K277)),"Taux de TVA invalide",IF(COUNTIF(p_rates,K277)=0,"Taux de TVA hors liste (Paramètres)",IF(N(O277)&gt;25,"Au-delà de 25 lignes : non imprimée","OK")))))))))))))</f>
        <v/>
      </c>
      <c r="O277" s="59" t="str">
        <f>IF(A277="","",COUNTIF($A$6:A277,A277))</f>
        <v/>
      </c>
      <c r="P277" s="62" t="str">
        <f>IF(A277="","",A277&amp;"|"&amp;O277)</f>
        <v/>
      </c>
    </row>
    <row r="278">
      <c r="A278" s="60" t="n"/>
      <c r="B278" s="63" t="n"/>
      <c r="C278" s="63" t="n"/>
      <c r="D278" s="67" t="n"/>
      <c r="E278" s="68" t="n"/>
      <c r="F278" s="69" t="n"/>
      <c r="G278" s="70" t="n"/>
      <c r="H278" s="62" t="str">
        <f>IF(COUNTA(A278:G278)=0,"",IF(C278&lt;&gt;"",C278,IF(B278="","",IFERROR(INDEX(pr_des,MATCH(B278,pr_code,0))&amp;"",""))))</f>
        <v/>
      </c>
      <c r="I278" s="59" t="str">
        <f>IF(B278="","",IFERROR(INDEX(pr_unit,MATCH(B278,pr_code,0))&amp;"",""))</f>
        <v/>
      </c>
      <c r="J278" s="65" t="str">
        <f>IF(COUNTA(A278:G278)=0,"",IF(E278&lt;&gt;"",E278,IF(B278="","",IFERROR(IF(INDEX(pr_price,MATCH(B278,pr_code,0))="","",INDEX(pr_price,MATCH(B278,pr_code,0))),""))))</f>
        <v/>
      </c>
      <c r="K278" s="71" t="str">
        <f>IF(COUNTA(A278:G278)=0,"",IF(G278&lt;&gt;"",G278,IF(B278="","",IFERROR(IF(INDEX(pr_rate,MATCH(B278,pr_code,0))="","",INDEX(pr_rate,MATCH(B278,pr_code,0))),""))))</f>
        <v/>
      </c>
      <c r="L278" s="65" t="str">
        <f>IF(COUNTA(A278:G278)=0,"",IF(AND(ISNUMBER(D278),ISNUMBER(J278)),ROUND(D278*J278*(1-N(F278)),2),0))</f>
        <v/>
      </c>
      <c r="M278" s="62" t="str">
        <f>IF(A278="","",IFERROR(INDEX(dv_cname,MATCH(A278,dv_num,0))&amp;"",""))</f>
        <v/>
      </c>
      <c r="N278" s="59" t="str">
        <f>IF(COUNTA(A278:G278)=0,"",IF(A278="","N° devis manquant",IF(ISNA(MATCH(A278,dv_num,0)),"Devis inconnu",IF(AND(B278&lt;&gt;"",ISNA(MATCH(B278,pr_code,0))),"Article inconnu",IF(H278="","Désignation manquante",IF(OR(NOT(ISNUMBER(D278)),N(D278)&lt;=0),"Quantité invalide",IF(J278="","Prix manquant",IF(OR(NOT(ISNUMBER(J278)),N(J278)&lt;0),"Prix invalide",IF(OR(AND(F278&lt;&gt;"",NOT(ISNUMBER(F278))),N(F278)&lt;0,N(F278)&gt;1),"Remise invalide",IF(K278="","Taux de TVA manquant",IF(NOT(ISNUMBER(K278)),"Taux de TVA invalide",IF(COUNTIF(p_rates,K278)=0,"Taux de TVA hors liste (Paramètres)",IF(N(O278)&gt;25,"Au-delà de 25 lignes : non imprimée","OK")))))))))))))</f>
        <v/>
      </c>
      <c r="O278" s="59" t="str">
        <f>IF(A278="","",COUNTIF($A$6:A278,A278))</f>
        <v/>
      </c>
      <c r="P278" s="62" t="str">
        <f>IF(A278="","",A278&amp;"|"&amp;O278)</f>
        <v/>
      </c>
    </row>
    <row r="279">
      <c r="A279" s="60" t="n"/>
      <c r="B279" s="63" t="n"/>
      <c r="C279" s="63" t="n"/>
      <c r="D279" s="67" t="n"/>
      <c r="E279" s="68" t="n"/>
      <c r="F279" s="69" t="n"/>
      <c r="G279" s="70" t="n"/>
      <c r="H279" s="62" t="str">
        <f>IF(COUNTA(A279:G279)=0,"",IF(C279&lt;&gt;"",C279,IF(B279="","",IFERROR(INDEX(pr_des,MATCH(B279,pr_code,0))&amp;"",""))))</f>
        <v/>
      </c>
      <c r="I279" s="59" t="str">
        <f>IF(B279="","",IFERROR(INDEX(pr_unit,MATCH(B279,pr_code,0))&amp;"",""))</f>
        <v/>
      </c>
      <c r="J279" s="65" t="str">
        <f>IF(COUNTA(A279:G279)=0,"",IF(E279&lt;&gt;"",E279,IF(B279="","",IFERROR(IF(INDEX(pr_price,MATCH(B279,pr_code,0))="","",INDEX(pr_price,MATCH(B279,pr_code,0))),""))))</f>
        <v/>
      </c>
      <c r="K279" s="71" t="str">
        <f>IF(COUNTA(A279:G279)=0,"",IF(G279&lt;&gt;"",G279,IF(B279="","",IFERROR(IF(INDEX(pr_rate,MATCH(B279,pr_code,0))="","",INDEX(pr_rate,MATCH(B279,pr_code,0))),""))))</f>
        <v/>
      </c>
      <c r="L279" s="65" t="str">
        <f>IF(COUNTA(A279:G279)=0,"",IF(AND(ISNUMBER(D279),ISNUMBER(J279)),ROUND(D279*J279*(1-N(F279)),2),0))</f>
        <v/>
      </c>
      <c r="M279" s="62" t="str">
        <f>IF(A279="","",IFERROR(INDEX(dv_cname,MATCH(A279,dv_num,0))&amp;"",""))</f>
        <v/>
      </c>
      <c r="N279" s="59" t="str">
        <f>IF(COUNTA(A279:G279)=0,"",IF(A279="","N° devis manquant",IF(ISNA(MATCH(A279,dv_num,0)),"Devis inconnu",IF(AND(B279&lt;&gt;"",ISNA(MATCH(B279,pr_code,0))),"Article inconnu",IF(H279="","Désignation manquante",IF(OR(NOT(ISNUMBER(D279)),N(D279)&lt;=0),"Quantité invalide",IF(J279="","Prix manquant",IF(OR(NOT(ISNUMBER(J279)),N(J279)&lt;0),"Prix invalide",IF(OR(AND(F279&lt;&gt;"",NOT(ISNUMBER(F279))),N(F279)&lt;0,N(F279)&gt;1),"Remise invalide",IF(K279="","Taux de TVA manquant",IF(NOT(ISNUMBER(K279)),"Taux de TVA invalide",IF(COUNTIF(p_rates,K279)=0,"Taux de TVA hors liste (Paramètres)",IF(N(O279)&gt;25,"Au-delà de 25 lignes : non imprimée","OK")))))))))))))</f>
        <v/>
      </c>
      <c r="O279" s="59" t="str">
        <f>IF(A279="","",COUNTIF($A$6:A279,A279))</f>
        <v/>
      </c>
      <c r="P279" s="62" t="str">
        <f>IF(A279="","",A279&amp;"|"&amp;O279)</f>
        <v/>
      </c>
    </row>
    <row r="280">
      <c r="A280" s="60" t="n"/>
      <c r="B280" s="63" t="n"/>
      <c r="C280" s="63" t="n"/>
      <c r="D280" s="67" t="n"/>
      <c r="E280" s="68" t="n"/>
      <c r="F280" s="69" t="n"/>
      <c r="G280" s="70" t="n"/>
      <c r="H280" s="62" t="str">
        <f>IF(COUNTA(A280:G280)=0,"",IF(C280&lt;&gt;"",C280,IF(B280="","",IFERROR(INDEX(pr_des,MATCH(B280,pr_code,0))&amp;"",""))))</f>
        <v/>
      </c>
      <c r="I280" s="59" t="str">
        <f>IF(B280="","",IFERROR(INDEX(pr_unit,MATCH(B280,pr_code,0))&amp;"",""))</f>
        <v/>
      </c>
      <c r="J280" s="65" t="str">
        <f>IF(COUNTA(A280:G280)=0,"",IF(E280&lt;&gt;"",E280,IF(B280="","",IFERROR(IF(INDEX(pr_price,MATCH(B280,pr_code,0))="","",INDEX(pr_price,MATCH(B280,pr_code,0))),""))))</f>
        <v/>
      </c>
      <c r="K280" s="71" t="str">
        <f>IF(COUNTA(A280:G280)=0,"",IF(G280&lt;&gt;"",G280,IF(B280="","",IFERROR(IF(INDEX(pr_rate,MATCH(B280,pr_code,0))="","",INDEX(pr_rate,MATCH(B280,pr_code,0))),""))))</f>
        <v/>
      </c>
      <c r="L280" s="65" t="str">
        <f>IF(COUNTA(A280:G280)=0,"",IF(AND(ISNUMBER(D280),ISNUMBER(J280)),ROUND(D280*J280*(1-N(F280)),2),0))</f>
        <v/>
      </c>
      <c r="M280" s="62" t="str">
        <f>IF(A280="","",IFERROR(INDEX(dv_cname,MATCH(A280,dv_num,0))&amp;"",""))</f>
        <v/>
      </c>
      <c r="N280" s="59" t="str">
        <f>IF(COUNTA(A280:G280)=0,"",IF(A280="","N° devis manquant",IF(ISNA(MATCH(A280,dv_num,0)),"Devis inconnu",IF(AND(B280&lt;&gt;"",ISNA(MATCH(B280,pr_code,0))),"Article inconnu",IF(H280="","Désignation manquante",IF(OR(NOT(ISNUMBER(D280)),N(D280)&lt;=0),"Quantité invalide",IF(J280="","Prix manquant",IF(OR(NOT(ISNUMBER(J280)),N(J280)&lt;0),"Prix invalide",IF(OR(AND(F280&lt;&gt;"",NOT(ISNUMBER(F280))),N(F280)&lt;0,N(F280)&gt;1),"Remise invalide",IF(K280="","Taux de TVA manquant",IF(NOT(ISNUMBER(K280)),"Taux de TVA invalide",IF(COUNTIF(p_rates,K280)=0,"Taux de TVA hors liste (Paramètres)",IF(N(O280)&gt;25,"Au-delà de 25 lignes : non imprimée","OK")))))))))))))</f>
        <v/>
      </c>
      <c r="O280" s="59" t="str">
        <f>IF(A280="","",COUNTIF($A$6:A280,A280))</f>
        <v/>
      </c>
      <c r="P280" s="62" t="str">
        <f>IF(A280="","",A280&amp;"|"&amp;O280)</f>
        <v/>
      </c>
    </row>
    <row r="281">
      <c r="A281" s="60" t="n"/>
      <c r="B281" s="63" t="n"/>
      <c r="C281" s="63" t="n"/>
      <c r="D281" s="67" t="n"/>
      <c r="E281" s="68" t="n"/>
      <c r="F281" s="69" t="n"/>
      <c r="G281" s="70" t="n"/>
      <c r="H281" s="62" t="str">
        <f>IF(COUNTA(A281:G281)=0,"",IF(C281&lt;&gt;"",C281,IF(B281="","",IFERROR(INDEX(pr_des,MATCH(B281,pr_code,0))&amp;"",""))))</f>
        <v/>
      </c>
      <c r="I281" s="59" t="str">
        <f>IF(B281="","",IFERROR(INDEX(pr_unit,MATCH(B281,pr_code,0))&amp;"",""))</f>
        <v/>
      </c>
      <c r="J281" s="65" t="str">
        <f>IF(COUNTA(A281:G281)=0,"",IF(E281&lt;&gt;"",E281,IF(B281="","",IFERROR(IF(INDEX(pr_price,MATCH(B281,pr_code,0))="","",INDEX(pr_price,MATCH(B281,pr_code,0))),""))))</f>
        <v/>
      </c>
      <c r="K281" s="71" t="str">
        <f>IF(COUNTA(A281:G281)=0,"",IF(G281&lt;&gt;"",G281,IF(B281="","",IFERROR(IF(INDEX(pr_rate,MATCH(B281,pr_code,0))="","",INDEX(pr_rate,MATCH(B281,pr_code,0))),""))))</f>
        <v/>
      </c>
      <c r="L281" s="65" t="str">
        <f>IF(COUNTA(A281:G281)=0,"",IF(AND(ISNUMBER(D281),ISNUMBER(J281)),ROUND(D281*J281*(1-N(F281)),2),0))</f>
        <v/>
      </c>
      <c r="M281" s="62" t="str">
        <f>IF(A281="","",IFERROR(INDEX(dv_cname,MATCH(A281,dv_num,0))&amp;"",""))</f>
        <v/>
      </c>
      <c r="N281" s="59" t="str">
        <f>IF(COUNTA(A281:G281)=0,"",IF(A281="","N° devis manquant",IF(ISNA(MATCH(A281,dv_num,0)),"Devis inconnu",IF(AND(B281&lt;&gt;"",ISNA(MATCH(B281,pr_code,0))),"Article inconnu",IF(H281="","Désignation manquante",IF(OR(NOT(ISNUMBER(D281)),N(D281)&lt;=0),"Quantité invalide",IF(J281="","Prix manquant",IF(OR(NOT(ISNUMBER(J281)),N(J281)&lt;0),"Prix invalide",IF(OR(AND(F281&lt;&gt;"",NOT(ISNUMBER(F281))),N(F281)&lt;0,N(F281)&gt;1),"Remise invalide",IF(K281="","Taux de TVA manquant",IF(NOT(ISNUMBER(K281)),"Taux de TVA invalide",IF(COUNTIF(p_rates,K281)=0,"Taux de TVA hors liste (Paramètres)",IF(N(O281)&gt;25,"Au-delà de 25 lignes : non imprimée","OK")))))))))))))</f>
        <v/>
      </c>
      <c r="O281" s="59" t="str">
        <f>IF(A281="","",COUNTIF($A$6:A281,A281))</f>
        <v/>
      </c>
      <c r="P281" s="62" t="str">
        <f>IF(A281="","",A281&amp;"|"&amp;O281)</f>
        <v/>
      </c>
    </row>
    <row r="282">
      <c r="A282" s="60" t="n"/>
      <c r="B282" s="63" t="n"/>
      <c r="C282" s="63" t="n"/>
      <c r="D282" s="67" t="n"/>
      <c r="E282" s="68" t="n"/>
      <c r="F282" s="69" t="n"/>
      <c r="G282" s="70" t="n"/>
      <c r="H282" s="62" t="str">
        <f>IF(COUNTA(A282:G282)=0,"",IF(C282&lt;&gt;"",C282,IF(B282="","",IFERROR(INDEX(pr_des,MATCH(B282,pr_code,0))&amp;"",""))))</f>
        <v/>
      </c>
      <c r="I282" s="59" t="str">
        <f>IF(B282="","",IFERROR(INDEX(pr_unit,MATCH(B282,pr_code,0))&amp;"",""))</f>
        <v/>
      </c>
      <c r="J282" s="65" t="str">
        <f>IF(COUNTA(A282:G282)=0,"",IF(E282&lt;&gt;"",E282,IF(B282="","",IFERROR(IF(INDEX(pr_price,MATCH(B282,pr_code,0))="","",INDEX(pr_price,MATCH(B282,pr_code,0))),""))))</f>
        <v/>
      </c>
      <c r="K282" s="71" t="str">
        <f>IF(COUNTA(A282:G282)=0,"",IF(G282&lt;&gt;"",G282,IF(B282="","",IFERROR(IF(INDEX(pr_rate,MATCH(B282,pr_code,0))="","",INDEX(pr_rate,MATCH(B282,pr_code,0))),""))))</f>
        <v/>
      </c>
      <c r="L282" s="65" t="str">
        <f>IF(COUNTA(A282:G282)=0,"",IF(AND(ISNUMBER(D282),ISNUMBER(J282)),ROUND(D282*J282*(1-N(F282)),2),0))</f>
        <v/>
      </c>
      <c r="M282" s="62" t="str">
        <f>IF(A282="","",IFERROR(INDEX(dv_cname,MATCH(A282,dv_num,0))&amp;"",""))</f>
        <v/>
      </c>
      <c r="N282" s="59" t="str">
        <f>IF(COUNTA(A282:G282)=0,"",IF(A282="","N° devis manquant",IF(ISNA(MATCH(A282,dv_num,0)),"Devis inconnu",IF(AND(B282&lt;&gt;"",ISNA(MATCH(B282,pr_code,0))),"Article inconnu",IF(H282="","Désignation manquante",IF(OR(NOT(ISNUMBER(D282)),N(D282)&lt;=0),"Quantité invalide",IF(J282="","Prix manquant",IF(OR(NOT(ISNUMBER(J282)),N(J282)&lt;0),"Prix invalide",IF(OR(AND(F282&lt;&gt;"",NOT(ISNUMBER(F282))),N(F282)&lt;0,N(F282)&gt;1),"Remise invalide",IF(K282="","Taux de TVA manquant",IF(NOT(ISNUMBER(K282)),"Taux de TVA invalide",IF(COUNTIF(p_rates,K282)=0,"Taux de TVA hors liste (Paramètres)",IF(N(O282)&gt;25,"Au-delà de 25 lignes : non imprimée","OK")))))))))))))</f>
        <v/>
      </c>
      <c r="O282" s="59" t="str">
        <f>IF(A282="","",COUNTIF($A$6:A282,A282))</f>
        <v/>
      </c>
      <c r="P282" s="62" t="str">
        <f>IF(A282="","",A282&amp;"|"&amp;O282)</f>
        <v/>
      </c>
    </row>
    <row r="283">
      <c r="A283" s="60" t="n"/>
      <c r="B283" s="63" t="n"/>
      <c r="C283" s="63" t="n"/>
      <c r="D283" s="67" t="n"/>
      <c r="E283" s="68" t="n"/>
      <c r="F283" s="69" t="n"/>
      <c r="G283" s="70" t="n"/>
      <c r="H283" s="62" t="str">
        <f>IF(COUNTA(A283:G283)=0,"",IF(C283&lt;&gt;"",C283,IF(B283="","",IFERROR(INDEX(pr_des,MATCH(B283,pr_code,0))&amp;"",""))))</f>
        <v/>
      </c>
      <c r="I283" s="59" t="str">
        <f>IF(B283="","",IFERROR(INDEX(pr_unit,MATCH(B283,pr_code,0))&amp;"",""))</f>
        <v/>
      </c>
      <c r="J283" s="65" t="str">
        <f>IF(COUNTA(A283:G283)=0,"",IF(E283&lt;&gt;"",E283,IF(B283="","",IFERROR(IF(INDEX(pr_price,MATCH(B283,pr_code,0))="","",INDEX(pr_price,MATCH(B283,pr_code,0))),""))))</f>
        <v/>
      </c>
      <c r="K283" s="71" t="str">
        <f>IF(COUNTA(A283:G283)=0,"",IF(G283&lt;&gt;"",G283,IF(B283="","",IFERROR(IF(INDEX(pr_rate,MATCH(B283,pr_code,0))="","",INDEX(pr_rate,MATCH(B283,pr_code,0))),""))))</f>
        <v/>
      </c>
      <c r="L283" s="65" t="str">
        <f>IF(COUNTA(A283:G283)=0,"",IF(AND(ISNUMBER(D283),ISNUMBER(J283)),ROUND(D283*J283*(1-N(F283)),2),0))</f>
        <v/>
      </c>
      <c r="M283" s="62" t="str">
        <f>IF(A283="","",IFERROR(INDEX(dv_cname,MATCH(A283,dv_num,0))&amp;"",""))</f>
        <v/>
      </c>
      <c r="N283" s="59" t="str">
        <f>IF(COUNTA(A283:G283)=0,"",IF(A283="","N° devis manquant",IF(ISNA(MATCH(A283,dv_num,0)),"Devis inconnu",IF(AND(B283&lt;&gt;"",ISNA(MATCH(B283,pr_code,0))),"Article inconnu",IF(H283="","Désignation manquante",IF(OR(NOT(ISNUMBER(D283)),N(D283)&lt;=0),"Quantité invalide",IF(J283="","Prix manquant",IF(OR(NOT(ISNUMBER(J283)),N(J283)&lt;0),"Prix invalide",IF(OR(AND(F283&lt;&gt;"",NOT(ISNUMBER(F283))),N(F283)&lt;0,N(F283)&gt;1),"Remise invalide",IF(K283="","Taux de TVA manquant",IF(NOT(ISNUMBER(K283)),"Taux de TVA invalide",IF(COUNTIF(p_rates,K283)=0,"Taux de TVA hors liste (Paramètres)",IF(N(O283)&gt;25,"Au-delà de 25 lignes : non imprimée","OK")))))))))))))</f>
        <v/>
      </c>
      <c r="O283" s="59" t="str">
        <f>IF(A283="","",COUNTIF($A$6:A283,A283))</f>
        <v/>
      </c>
      <c r="P283" s="62" t="str">
        <f>IF(A283="","",A283&amp;"|"&amp;O283)</f>
        <v/>
      </c>
    </row>
    <row r="284">
      <c r="A284" s="60" t="n"/>
      <c r="B284" s="63" t="n"/>
      <c r="C284" s="63" t="n"/>
      <c r="D284" s="67" t="n"/>
      <c r="E284" s="68" t="n"/>
      <c r="F284" s="69" t="n"/>
      <c r="G284" s="70" t="n"/>
      <c r="H284" s="62" t="str">
        <f>IF(COUNTA(A284:G284)=0,"",IF(C284&lt;&gt;"",C284,IF(B284="","",IFERROR(INDEX(pr_des,MATCH(B284,pr_code,0))&amp;"",""))))</f>
        <v/>
      </c>
      <c r="I284" s="59" t="str">
        <f>IF(B284="","",IFERROR(INDEX(pr_unit,MATCH(B284,pr_code,0))&amp;"",""))</f>
        <v/>
      </c>
      <c r="J284" s="65" t="str">
        <f>IF(COUNTA(A284:G284)=0,"",IF(E284&lt;&gt;"",E284,IF(B284="","",IFERROR(IF(INDEX(pr_price,MATCH(B284,pr_code,0))="","",INDEX(pr_price,MATCH(B284,pr_code,0))),""))))</f>
        <v/>
      </c>
      <c r="K284" s="71" t="str">
        <f>IF(COUNTA(A284:G284)=0,"",IF(G284&lt;&gt;"",G284,IF(B284="","",IFERROR(IF(INDEX(pr_rate,MATCH(B284,pr_code,0))="","",INDEX(pr_rate,MATCH(B284,pr_code,0))),""))))</f>
        <v/>
      </c>
      <c r="L284" s="65" t="str">
        <f>IF(COUNTA(A284:G284)=0,"",IF(AND(ISNUMBER(D284),ISNUMBER(J284)),ROUND(D284*J284*(1-N(F284)),2),0))</f>
        <v/>
      </c>
      <c r="M284" s="62" t="str">
        <f>IF(A284="","",IFERROR(INDEX(dv_cname,MATCH(A284,dv_num,0))&amp;"",""))</f>
        <v/>
      </c>
      <c r="N284" s="59" t="str">
        <f>IF(COUNTA(A284:G284)=0,"",IF(A284="","N° devis manquant",IF(ISNA(MATCH(A284,dv_num,0)),"Devis inconnu",IF(AND(B284&lt;&gt;"",ISNA(MATCH(B284,pr_code,0))),"Article inconnu",IF(H284="","Désignation manquante",IF(OR(NOT(ISNUMBER(D284)),N(D284)&lt;=0),"Quantité invalide",IF(J284="","Prix manquant",IF(OR(NOT(ISNUMBER(J284)),N(J284)&lt;0),"Prix invalide",IF(OR(AND(F284&lt;&gt;"",NOT(ISNUMBER(F284))),N(F284)&lt;0,N(F284)&gt;1),"Remise invalide",IF(K284="","Taux de TVA manquant",IF(NOT(ISNUMBER(K284)),"Taux de TVA invalide",IF(COUNTIF(p_rates,K284)=0,"Taux de TVA hors liste (Paramètres)",IF(N(O284)&gt;25,"Au-delà de 25 lignes : non imprimée","OK")))))))))))))</f>
        <v/>
      </c>
      <c r="O284" s="59" t="str">
        <f>IF(A284="","",COUNTIF($A$6:A284,A284))</f>
        <v/>
      </c>
      <c r="P284" s="62" t="str">
        <f>IF(A284="","",A284&amp;"|"&amp;O284)</f>
        <v/>
      </c>
    </row>
    <row r="285">
      <c r="A285" s="60" t="n"/>
      <c r="B285" s="63" t="n"/>
      <c r="C285" s="63" t="n"/>
      <c r="D285" s="67" t="n"/>
      <c r="E285" s="68" t="n"/>
      <c r="F285" s="69" t="n"/>
      <c r="G285" s="70" t="n"/>
      <c r="H285" s="62" t="str">
        <f>IF(COUNTA(A285:G285)=0,"",IF(C285&lt;&gt;"",C285,IF(B285="","",IFERROR(INDEX(pr_des,MATCH(B285,pr_code,0))&amp;"",""))))</f>
        <v/>
      </c>
      <c r="I285" s="59" t="str">
        <f>IF(B285="","",IFERROR(INDEX(pr_unit,MATCH(B285,pr_code,0))&amp;"",""))</f>
        <v/>
      </c>
      <c r="J285" s="65" t="str">
        <f>IF(COUNTA(A285:G285)=0,"",IF(E285&lt;&gt;"",E285,IF(B285="","",IFERROR(IF(INDEX(pr_price,MATCH(B285,pr_code,0))="","",INDEX(pr_price,MATCH(B285,pr_code,0))),""))))</f>
        <v/>
      </c>
      <c r="K285" s="71" t="str">
        <f>IF(COUNTA(A285:G285)=0,"",IF(G285&lt;&gt;"",G285,IF(B285="","",IFERROR(IF(INDEX(pr_rate,MATCH(B285,pr_code,0))="","",INDEX(pr_rate,MATCH(B285,pr_code,0))),""))))</f>
        <v/>
      </c>
      <c r="L285" s="65" t="str">
        <f>IF(COUNTA(A285:G285)=0,"",IF(AND(ISNUMBER(D285),ISNUMBER(J285)),ROUND(D285*J285*(1-N(F285)),2),0))</f>
        <v/>
      </c>
      <c r="M285" s="62" t="str">
        <f>IF(A285="","",IFERROR(INDEX(dv_cname,MATCH(A285,dv_num,0))&amp;"",""))</f>
        <v/>
      </c>
      <c r="N285" s="59" t="str">
        <f>IF(COUNTA(A285:G285)=0,"",IF(A285="","N° devis manquant",IF(ISNA(MATCH(A285,dv_num,0)),"Devis inconnu",IF(AND(B285&lt;&gt;"",ISNA(MATCH(B285,pr_code,0))),"Article inconnu",IF(H285="","Désignation manquante",IF(OR(NOT(ISNUMBER(D285)),N(D285)&lt;=0),"Quantité invalide",IF(J285="","Prix manquant",IF(OR(NOT(ISNUMBER(J285)),N(J285)&lt;0),"Prix invalide",IF(OR(AND(F285&lt;&gt;"",NOT(ISNUMBER(F285))),N(F285)&lt;0,N(F285)&gt;1),"Remise invalide",IF(K285="","Taux de TVA manquant",IF(NOT(ISNUMBER(K285)),"Taux de TVA invalide",IF(COUNTIF(p_rates,K285)=0,"Taux de TVA hors liste (Paramètres)",IF(N(O285)&gt;25,"Au-delà de 25 lignes : non imprimée","OK")))))))))))))</f>
        <v/>
      </c>
      <c r="O285" s="59" t="str">
        <f>IF(A285="","",COUNTIF($A$6:A285,A285))</f>
        <v/>
      </c>
      <c r="P285" s="62" t="str">
        <f>IF(A285="","",A285&amp;"|"&amp;O285)</f>
        <v/>
      </c>
    </row>
    <row r="286">
      <c r="A286" s="60" t="n"/>
      <c r="B286" s="63" t="n"/>
      <c r="C286" s="63" t="n"/>
      <c r="D286" s="67" t="n"/>
      <c r="E286" s="68" t="n"/>
      <c r="F286" s="69" t="n"/>
      <c r="G286" s="70" t="n"/>
      <c r="H286" s="62" t="str">
        <f>IF(COUNTA(A286:G286)=0,"",IF(C286&lt;&gt;"",C286,IF(B286="","",IFERROR(INDEX(pr_des,MATCH(B286,pr_code,0))&amp;"",""))))</f>
        <v/>
      </c>
      <c r="I286" s="59" t="str">
        <f>IF(B286="","",IFERROR(INDEX(pr_unit,MATCH(B286,pr_code,0))&amp;"",""))</f>
        <v/>
      </c>
      <c r="J286" s="65" t="str">
        <f>IF(COUNTA(A286:G286)=0,"",IF(E286&lt;&gt;"",E286,IF(B286="","",IFERROR(IF(INDEX(pr_price,MATCH(B286,pr_code,0))="","",INDEX(pr_price,MATCH(B286,pr_code,0))),""))))</f>
        <v/>
      </c>
      <c r="K286" s="71" t="str">
        <f>IF(COUNTA(A286:G286)=0,"",IF(G286&lt;&gt;"",G286,IF(B286="","",IFERROR(IF(INDEX(pr_rate,MATCH(B286,pr_code,0))="","",INDEX(pr_rate,MATCH(B286,pr_code,0))),""))))</f>
        <v/>
      </c>
      <c r="L286" s="65" t="str">
        <f>IF(COUNTA(A286:G286)=0,"",IF(AND(ISNUMBER(D286),ISNUMBER(J286)),ROUND(D286*J286*(1-N(F286)),2),0))</f>
        <v/>
      </c>
      <c r="M286" s="62" t="str">
        <f>IF(A286="","",IFERROR(INDEX(dv_cname,MATCH(A286,dv_num,0))&amp;"",""))</f>
        <v/>
      </c>
      <c r="N286" s="59" t="str">
        <f>IF(COUNTA(A286:G286)=0,"",IF(A286="","N° devis manquant",IF(ISNA(MATCH(A286,dv_num,0)),"Devis inconnu",IF(AND(B286&lt;&gt;"",ISNA(MATCH(B286,pr_code,0))),"Article inconnu",IF(H286="","Désignation manquante",IF(OR(NOT(ISNUMBER(D286)),N(D286)&lt;=0),"Quantité invalide",IF(J286="","Prix manquant",IF(OR(NOT(ISNUMBER(J286)),N(J286)&lt;0),"Prix invalide",IF(OR(AND(F286&lt;&gt;"",NOT(ISNUMBER(F286))),N(F286)&lt;0,N(F286)&gt;1),"Remise invalide",IF(K286="","Taux de TVA manquant",IF(NOT(ISNUMBER(K286)),"Taux de TVA invalide",IF(COUNTIF(p_rates,K286)=0,"Taux de TVA hors liste (Paramètres)",IF(N(O286)&gt;25,"Au-delà de 25 lignes : non imprimée","OK")))))))))))))</f>
        <v/>
      </c>
      <c r="O286" s="59" t="str">
        <f>IF(A286="","",COUNTIF($A$6:A286,A286))</f>
        <v/>
      </c>
      <c r="P286" s="62" t="str">
        <f>IF(A286="","",A286&amp;"|"&amp;O286)</f>
        <v/>
      </c>
    </row>
    <row r="287">
      <c r="A287" s="60" t="n"/>
      <c r="B287" s="63" t="n"/>
      <c r="C287" s="63" t="n"/>
      <c r="D287" s="67" t="n"/>
      <c r="E287" s="68" t="n"/>
      <c r="F287" s="69" t="n"/>
      <c r="G287" s="70" t="n"/>
      <c r="H287" s="62" t="str">
        <f>IF(COUNTA(A287:G287)=0,"",IF(C287&lt;&gt;"",C287,IF(B287="","",IFERROR(INDEX(pr_des,MATCH(B287,pr_code,0))&amp;"",""))))</f>
        <v/>
      </c>
      <c r="I287" s="59" t="str">
        <f>IF(B287="","",IFERROR(INDEX(pr_unit,MATCH(B287,pr_code,0))&amp;"",""))</f>
        <v/>
      </c>
      <c r="J287" s="65" t="str">
        <f>IF(COUNTA(A287:G287)=0,"",IF(E287&lt;&gt;"",E287,IF(B287="","",IFERROR(IF(INDEX(pr_price,MATCH(B287,pr_code,0))="","",INDEX(pr_price,MATCH(B287,pr_code,0))),""))))</f>
        <v/>
      </c>
      <c r="K287" s="71" t="str">
        <f>IF(COUNTA(A287:G287)=0,"",IF(G287&lt;&gt;"",G287,IF(B287="","",IFERROR(IF(INDEX(pr_rate,MATCH(B287,pr_code,0))="","",INDEX(pr_rate,MATCH(B287,pr_code,0))),""))))</f>
        <v/>
      </c>
      <c r="L287" s="65" t="str">
        <f>IF(COUNTA(A287:G287)=0,"",IF(AND(ISNUMBER(D287),ISNUMBER(J287)),ROUND(D287*J287*(1-N(F287)),2),0))</f>
        <v/>
      </c>
      <c r="M287" s="62" t="str">
        <f>IF(A287="","",IFERROR(INDEX(dv_cname,MATCH(A287,dv_num,0))&amp;"",""))</f>
        <v/>
      </c>
      <c r="N287" s="59" t="str">
        <f>IF(COUNTA(A287:G287)=0,"",IF(A287="","N° devis manquant",IF(ISNA(MATCH(A287,dv_num,0)),"Devis inconnu",IF(AND(B287&lt;&gt;"",ISNA(MATCH(B287,pr_code,0))),"Article inconnu",IF(H287="","Désignation manquante",IF(OR(NOT(ISNUMBER(D287)),N(D287)&lt;=0),"Quantité invalide",IF(J287="","Prix manquant",IF(OR(NOT(ISNUMBER(J287)),N(J287)&lt;0),"Prix invalide",IF(OR(AND(F287&lt;&gt;"",NOT(ISNUMBER(F287))),N(F287)&lt;0,N(F287)&gt;1),"Remise invalide",IF(K287="","Taux de TVA manquant",IF(NOT(ISNUMBER(K287)),"Taux de TVA invalide",IF(COUNTIF(p_rates,K287)=0,"Taux de TVA hors liste (Paramètres)",IF(N(O287)&gt;25,"Au-delà de 25 lignes : non imprimée","OK")))))))))))))</f>
        <v/>
      </c>
      <c r="O287" s="59" t="str">
        <f>IF(A287="","",COUNTIF($A$6:A287,A287))</f>
        <v/>
      </c>
      <c r="P287" s="62" t="str">
        <f>IF(A287="","",A287&amp;"|"&amp;O287)</f>
        <v/>
      </c>
    </row>
    <row r="288">
      <c r="A288" s="60" t="n"/>
      <c r="B288" s="63" t="n"/>
      <c r="C288" s="63" t="n"/>
      <c r="D288" s="67" t="n"/>
      <c r="E288" s="68" t="n"/>
      <c r="F288" s="69" t="n"/>
      <c r="G288" s="70" t="n"/>
      <c r="H288" s="62" t="str">
        <f>IF(COUNTA(A288:G288)=0,"",IF(C288&lt;&gt;"",C288,IF(B288="","",IFERROR(INDEX(pr_des,MATCH(B288,pr_code,0))&amp;"",""))))</f>
        <v/>
      </c>
      <c r="I288" s="59" t="str">
        <f>IF(B288="","",IFERROR(INDEX(pr_unit,MATCH(B288,pr_code,0))&amp;"",""))</f>
        <v/>
      </c>
      <c r="J288" s="65" t="str">
        <f>IF(COUNTA(A288:G288)=0,"",IF(E288&lt;&gt;"",E288,IF(B288="","",IFERROR(IF(INDEX(pr_price,MATCH(B288,pr_code,0))="","",INDEX(pr_price,MATCH(B288,pr_code,0))),""))))</f>
        <v/>
      </c>
      <c r="K288" s="71" t="str">
        <f>IF(COUNTA(A288:G288)=0,"",IF(G288&lt;&gt;"",G288,IF(B288="","",IFERROR(IF(INDEX(pr_rate,MATCH(B288,pr_code,0))="","",INDEX(pr_rate,MATCH(B288,pr_code,0))),""))))</f>
        <v/>
      </c>
      <c r="L288" s="65" t="str">
        <f>IF(COUNTA(A288:G288)=0,"",IF(AND(ISNUMBER(D288),ISNUMBER(J288)),ROUND(D288*J288*(1-N(F288)),2),0))</f>
        <v/>
      </c>
      <c r="M288" s="62" t="str">
        <f>IF(A288="","",IFERROR(INDEX(dv_cname,MATCH(A288,dv_num,0))&amp;"",""))</f>
        <v/>
      </c>
      <c r="N288" s="59" t="str">
        <f>IF(COUNTA(A288:G288)=0,"",IF(A288="","N° devis manquant",IF(ISNA(MATCH(A288,dv_num,0)),"Devis inconnu",IF(AND(B288&lt;&gt;"",ISNA(MATCH(B288,pr_code,0))),"Article inconnu",IF(H288="","Désignation manquante",IF(OR(NOT(ISNUMBER(D288)),N(D288)&lt;=0),"Quantité invalide",IF(J288="","Prix manquant",IF(OR(NOT(ISNUMBER(J288)),N(J288)&lt;0),"Prix invalide",IF(OR(AND(F288&lt;&gt;"",NOT(ISNUMBER(F288))),N(F288)&lt;0,N(F288)&gt;1),"Remise invalide",IF(K288="","Taux de TVA manquant",IF(NOT(ISNUMBER(K288)),"Taux de TVA invalide",IF(COUNTIF(p_rates,K288)=0,"Taux de TVA hors liste (Paramètres)",IF(N(O288)&gt;25,"Au-delà de 25 lignes : non imprimée","OK")))))))))))))</f>
        <v/>
      </c>
      <c r="O288" s="59" t="str">
        <f>IF(A288="","",COUNTIF($A$6:A288,A288))</f>
        <v/>
      </c>
      <c r="P288" s="62" t="str">
        <f>IF(A288="","",A288&amp;"|"&amp;O288)</f>
        <v/>
      </c>
    </row>
    <row r="289">
      <c r="A289" s="60" t="n"/>
      <c r="B289" s="63" t="n"/>
      <c r="C289" s="63" t="n"/>
      <c r="D289" s="67" t="n"/>
      <c r="E289" s="68" t="n"/>
      <c r="F289" s="69" t="n"/>
      <c r="G289" s="70" t="n"/>
      <c r="H289" s="62" t="str">
        <f>IF(COUNTA(A289:G289)=0,"",IF(C289&lt;&gt;"",C289,IF(B289="","",IFERROR(INDEX(pr_des,MATCH(B289,pr_code,0))&amp;"",""))))</f>
        <v/>
      </c>
      <c r="I289" s="59" t="str">
        <f>IF(B289="","",IFERROR(INDEX(pr_unit,MATCH(B289,pr_code,0))&amp;"",""))</f>
        <v/>
      </c>
      <c r="J289" s="65" t="str">
        <f>IF(COUNTA(A289:G289)=0,"",IF(E289&lt;&gt;"",E289,IF(B289="","",IFERROR(IF(INDEX(pr_price,MATCH(B289,pr_code,0))="","",INDEX(pr_price,MATCH(B289,pr_code,0))),""))))</f>
        <v/>
      </c>
      <c r="K289" s="71" t="str">
        <f>IF(COUNTA(A289:G289)=0,"",IF(G289&lt;&gt;"",G289,IF(B289="","",IFERROR(IF(INDEX(pr_rate,MATCH(B289,pr_code,0))="","",INDEX(pr_rate,MATCH(B289,pr_code,0))),""))))</f>
        <v/>
      </c>
      <c r="L289" s="65" t="str">
        <f>IF(COUNTA(A289:G289)=0,"",IF(AND(ISNUMBER(D289),ISNUMBER(J289)),ROUND(D289*J289*(1-N(F289)),2),0))</f>
        <v/>
      </c>
      <c r="M289" s="62" t="str">
        <f>IF(A289="","",IFERROR(INDEX(dv_cname,MATCH(A289,dv_num,0))&amp;"",""))</f>
        <v/>
      </c>
      <c r="N289" s="59" t="str">
        <f>IF(COUNTA(A289:G289)=0,"",IF(A289="","N° devis manquant",IF(ISNA(MATCH(A289,dv_num,0)),"Devis inconnu",IF(AND(B289&lt;&gt;"",ISNA(MATCH(B289,pr_code,0))),"Article inconnu",IF(H289="","Désignation manquante",IF(OR(NOT(ISNUMBER(D289)),N(D289)&lt;=0),"Quantité invalide",IF(J289="","Prix manquant",IF(OR(NOT(ISNUMBER(J289)),N(J289)&lt;0),"Prix invalide",IF(OR(AND(F289&lt;&gt;"",NOT(ISNUMBER(F289))),N(F289)&lt;0,N(F289)&gt;1),"Remise invalide",IF(K289="","Taux de TVA manquant",IF(NOT(ISNUMBER(K289)),"Taux de TVA invalide",IF(COUNTIF(p_rates,K289)=0,"Taux de TVA hors liste (Paramètres)",IF(N(O289)&gt;25,"Au-delà de 25 lignes : non imprimée","OK")))))))))))))</f>
        <v/>
      </c>
      <c r="O289" s="59" t="str">
        <f>IF(A289="","",COUNTIF($A$6:A289,A289))</f>
        <v/>
      </c>
      <c r="P289" s="62" t="str">
        <f>IF(A289="","",A289&amp;"|"&amp;O289)</f>
        <v/>
      </c>
    </row>
    <row r="290">
      <c r="A290" s="60" t="n"/>
      <c r="B290" s="63" t="n"/>
      <c r="C290" s="63" t="n"/>
      <c r="D290" s="67" t="n"/>
      <c r="E290" s="68" t="n"/>
      <c r="F290" s="69" t="n"/>
      <c r="G290" s="70" t="n"/>
      <c r="H290" s="62" t="str">
        <f>IF(COUNTA(A290:G290)=0,"",IF(C290&lt;&gt;"",C290,IF(B290="","",IFERROR(INDEX(pr_des,MATCH(B290,pr_code,0))&amp;"",""))))</f>
        <v/>
      </c>
      <c r="I290" s="59" t="str">
        <f>IF(B290="","",IFERROR(INDEX(pr_unit,MATCH(B290,pr_code,0))&amp;"",""))</f>
        <v/>
      </c>
      <c r="J290" s="65" t="str">
        <f>IF(COUNTA(A290:G290)=0,"",IF(E290&lt;&gt;"",E290,IF(B290="","",IFERROR(IF(INDEX(pr_price,MATCH(B290,pr_code,0))="","",INDEX(pr_price,MATCH(B290,pr_code,0))),""))))</f>
        <v/>
      </c>
      <c r="K290" s="71" t="str">
        <f>IF(COUNTA(A290:G290)=0,"",IF(G290&lt;&gt;"",G290,IF(B290="","",IFERROR(IF(INDEX(pr_rate,MATCH(B290,pr_code,0))="","",INDEX(pr_rate,MATCH(B290,pr_code,0))),""))))</f>
        <v/>
      </c>
      <c r="L290" s="65" t="str">
        <f>IF(COUNTA(A290:G290)=0,"",IF(AND(ISNUMBER(D290),ISNUMBER(J290)),ROUND(D290*J290*(1-N(F290)),2),0))</f>
        <v/>
      </c>
      <c r="M290" s="62" t="str">
        <f>IF(A290="","",IFERROR(INDEX(dv_cname,MATCH(A290,dv_num,0))&amp;"",""))</f>
        <v/>
      </c>
      <c r="N290" s="59" t="str">
        <f>IF(COUNTA(A290:G290)=0,"",IF(A290="","N° devis manquant",IF(ISNA(MATCH(A290,dv_num,0)),"Devis inconnu",IF(AND(B290&lt;&gt;"",ISNA(MATCH(B290,pr_code,0))),"Article inconnu",IF(H290="","Désignation manquante",IF(OR(NOT(ISNUMBER(D290)),N(D290)&lt;=0),"Quantité invalide",IF(J290="","Prix manquant",IF(OR(NOT(ISNUMBER(J290)),N(J290)&lt;0),"Prix invalide",IF(OR(AND(F290&lt;&gt;"",NOT(ISNUMBER(F290))),N(F290)&lt;0,N(F290)&gt;1),"Remise invalide",IF(K290="","Taux de TVA manquant",IF(NOT(ISNUMBER(K290)),"Taux de TVA invalide",IF(COUNTIF(p_rates,K290)=0,"Taux de TVA hors liste (Paramètres)",IF(N(O290)&gt;25,"Au-delà de 25 lignes : non imprimée","OK")))))))))))))</f>
        <v/>
      </c>
      <c r="O290" s="59" t="str">
        <f>IF(A290="","",COUNTIF($A$6:A290,A290))</f>
        <v/>
      </c>
      <c r="P290" s="62" t="str">
        <f>IF(A290="","",A290&amp;"|"&amp;O290)</f>
        <v/>
      </c>
    </row>
    <row r="291">
      <c r="A291" s="60" t="n"/>
      <c r="B291" s="63" t="n"/>
      <c r="C291" s="63" t="n"/>
      <c r="D291" s="67" t="n"/>
      <c r="E291" s="68" t="n"/>
      <c r="F291" s="69" t="n"/>
      <c r="G291" s="70" t="n"/>
      <c r="H291" s="62" t="str">
        <f>IF(COUNTA(A291:G291)=0,"",IF(C291&lt;&gt;"",C291,IF(B291="","",IFERROR(INDEX(pr_des,MATCH(B291,pr_code,0))&amp;"",""))))</f>
        <v/>
      </c>
      <c r="I291" s="59" t="str">
        <f>IF(B291="","",IFERROR(INDEX(pr_unit,MATCH(B291,pr_code,0))&amp;"",""))</f>
        <v/>
      </c>
      <c r="J291" s="65" t="str">
        <f>IF(COUNTA(A291:G291)=0,"",IF(E291&lt;&gt;"",E291,IF(B291="","",IFERROR(IF(INDEX(pr_price,MATCH(B291,pr_code,0))="","",INDEX(pr_price,MATCH(B291,pr_code,0))),""))))</f>
        <v/>
      </c>
      <c r="K291" s="71" t="str">
        <f>IF(COUNTA(A291:G291)=0,"",IF(G291&lt;&gt;"",G291,IF(B291="","",IFERROR(IF(INDEX(pr_rate,MATCH(B291,pr_code,0))="","",INDEX(pr_rate,MATCH(B291,pr_code,0))),""))))</f>
        <v/>
      </c>
      <c r="L291" s="65" t="str">
        <f>IF(COUNTA(A291:G291)=0,"",IF(AND(ISNUMBER(D291),ISNUMBER(J291)),ROUND(D291*J291*(1-N(F291)),2),0))</f>
        <v/>
      </c>
      <c r="M291" s="62" t="str">
        <f>IF(A291="","",IFERROR(INDEX(dv_cname,MATCH(A291,dv_num,0))&amp;"",""))</f>
        <v/>
      </c>
      <c r="N291" s="59" t="str">
        <f>IF(COUNTA(A291:G291)=0,"",IF(A291="","N° devis manquant",IF(ISNA(MATCH(A291,dv_num,0)),"Devis inconnu",IF(AND(B291&lt;&gt;"",ISNA(MATCH(B291,pr_code,0))),"Article inconnu",IF(H291="","Désignation manquante",IF(OR(NOT(ISNUMBER(D291)),N(D291)&lt;=0),"Quantité invalide",IF(J291="","Prix manquant",IF(OR(NOT(ISNUMBER(J291)),N(J291)&lt;0),"Prix invalide",IF(OR(AND(F291&lt;&gt;"",NOT(ISNUMBER(F291))),N(F291)&lt;0,N(F291)&gt;1),"Remise invalide",IF(K291="","Taux de TVA manquant",IF(NOT(ISNUMBER(K291)),"Taux de TVA invalide",IF(COUNTIF(p_rates,K291)=0,"Taux de TVA hors liste (Paramètres)",IF(N(O291)&gt;25,"Au-delà de 25 lignes : non imprimée","OK")))))))))))))</f>
        <v/>
      </c>
      <c r="O291" s="59" t="str">
        <f>IF(A291="","",COUNTIF($A$6:A291,A291))</f>
        <v/>
      </c>
      <c r="P291" s="62" t="str">
        <f>IF(A291="","",A291&amp;"|"&amp;O291)</f>
        <v/>
      </c>
    </row>
    <row r="292">
      <c r="A292" s="60" t="n"/>
      <c r="B292" s="63" t="n"/>
      <c r="C292" s="63" t="n"/>
      <c r="D292" s="67" t="n"/>
      <c r="E292" s="68" t="n"/>
      <c r="F292" s="69" t="n"/>
      <c r="G292" s="70" t="n"/>
      <c r="H292" s="62" t="str">
        <f>IF(COUNTA(A292:G292)=0,"",IF(C292&lt;&gt;"",C292,IF(B292="","",IFERROR(INDEX(pr_des,MATCH(B292,pr_code,0))&amp;"",""))))</f>
        <v/>
      </c>
      <c r="I292" s="59" t="str">
        <f>IF(B292="","",IFERROR(INDEX(pr_unit,MATCH(B292,pr_code,0))&amp;"",""))</f>
        <v/>
      </c>
      <c r="J292" s="65" t="str">
        <f>IF(COUNTA(A292:G292)=0,"",IF(E292&lt;&gt;"",E292,IF(B292="","",IFERROR(IF(INDEX(pr_price,MATCH(B292,pr_code,0))="","",INDEX(pr_price,MATCH(B292,pr_code,0))),""))))</f>
        <v/>
      </c>
      <c r="K292" s="71" t="str">
        <f>IF(COUNTA(A292:G292)=0,"",IF(G292&lt;&gt;"",G292,IF(B292="","",IFERROR(IF(INDEX(pr_rate,MATCH(B292,pr_code,0))="","",INDEX(pr_rate,MATCH(B292,pr_code,0))),""))))</f>
        <v/>
      </c>
      <c r="L292" s="65" t="str">
        <f>IF(COUNTA(A292:G292)=0,"",IF(AND(ISNUMBER(D292),ISNUMBER(J292)),ROUND(D292*J292*(1-N(F292)),2),0))</f>
        <v/>
      </c>
      <c r="M292" s="62" t="str">
        <f>IF(A292="","",IFERROR(INDEX(dv_cname,MATCH(A292,dv_num,0))&amp;"",""))</f>
        <v/>
      </c>
      <c r="N292" s="59" t="str">
        <f>IF(COUNTA(A292:G292)=0,"",IF(A292="","N° devis manquant",IF(ISNA(MATCH(A292,dv_num,0)),"Devis inconnu",IF(AND(B292&lt;&gt;"",ISNA(MATCH(B292,pr_code,0))),"Article inconnu",IF(H292="","Désignation manquante",IF(OR(NOT(ISNUMBER(D292)),N(D292)&lt;=0),"Quantité invalide",IF(J292="","Prix manquant",IF(OR(NOT(ISNUMBER(J292)),N(J292)&lt;0),"Prix invalide",IF(OR(AND(F292&lt;&gt;"",NOT(ISNUMBER(F292))),N(F292)&lt;0,N(F292)&gt;1),"Remise invalide",IF(K292="","Taux de TVA manquant",IF(NOT(ISNUMBER(K292)),"Taux de TVA invalide",IF(COUNTIF(p_rates,K292)=0,"Taux de TVA hors liste (Paramètres)",IF(N(O292)&gt;25,"Au-delà de 25 lignes : non imprimée","OK")))))))))))))</f>
        <v/>
      </c>
      <c r="O292" s="59" t="str">
        <f>IF(A292="","",COUNTIF($A$6:A292,A292))</f>
        <v/>
      </c>
      <c r="P292" s="62" t="str">
        <f>IF(A292="","",A292&amp;"|"&amp;O292)</f>
        <v/>
      </c>
    </row>
    <row r="293">
      <c r="A293" s="60" t="n"/>
      <c r="B293" s="63" t="n"/>
      <c r="C293" s="63" t="n"/>
      <c r="D293" s="67" t="n"/>
      <c r="E293" s="68" t="n"/>
      <c r="F293" s="69" t="n"/>
      <c r="G293" s="70" t="n"/>
      <c r="H293" s="62" t="str">
        <f>IF(COUNTA(A293:G293)=0,"",IF(C293&lt;&gt;"",C293,IF(B293="","",IFERROR(INDEX(pr_des,MATCH(B293,pr_code,0))&amp;"",""))))</f>
        <v/>
      </c>
      <c r="I293" s="59" t="str">
        <f>IF(B293="","",IFERROR(INDEX(pr_unit,MATCH(B293,pr_code,0))&amp;"",""))</f>
        <v/>
      </c>
      <c r="J293" s="65" t="str">
        <f>IF(COUNTA(A293:G293)=0,"",IF(E293&lt;&gt;"",E293,IF(B293="","",IFERROR(IF(INDEX(pr_price,MATCH(B293,pr_code,0))="","",INDEX(pr_price,MATCH(B293,pr_code,0))),""))))</f>
        <v/>
      </c>
      <c r="K293" s="71" t="str">
        <f>IF(COUNTA(A293:G293)=0,"",IF(G293&lt;&gt;"",G293,IF(B293="","",IFERROR(IF(INDEX(pr_rate,MATCH(B293,pr_code,0))="","",INDEX(pr_rate,MATCH(B293,pr_code,0))),""))))</f>
        <v/>
      </c>
      <c r="L293" s="65" t="str">
        <f>IF(COUNTA(A293:G293)=0,"",IF(AND(ISNUMBER(D293),ISNUMBER(J293)),ROUND(D293*J293*(1-N(F293)),2),0))</f>
        <v/>
      </c>
      <c r="M293" s="62" t="str">
        <f>IF(A293="","",IFERROR(INDEX(dv_cname,MATCH(A293,dv_num,0))&amp;"",""))</f>
        <v/>
      </c>
      <c r="N293" s="59" t="str">
        <f>IF(COUNTA(A293:G293)=0,"",IF(A293="","N° devis manquant",IF(ISNA(MATCH(A293,dv_num,0)),"Devis inconnu",IF(AND(B293&lt;&gt;"",ISNA(MATCH(B293,pr_code,0))),"Article inconnu",IF(H293="","Désignation manquante",IF(OR(NOT(ISNUMBER(D293)),N(D293)&lt;=0),"Quantité invalide",IF(J293="","Prix manquant",IF(OR(NOT(ISNUMBER(J293)),N(J293)&lt;0),"Prix invalide",IF(OR(AND(F293&lt;&gt;"",NOT(ISNUMBER(F293))),N(F293)&lt;0,N(F293)&gt;1),"Remise invalide",IF(K293="","Taux de TVA manquant",IF(NOT(ISNUMBER(K293)),"Taux de TVA invalide",IF(COUNTIF(p_rates,K293)=0,"Taux de TVA hors liste (Paramètres)",IF(N(O293)&gt;25,"Au-delà de 25 lignes : non imprimée","OK")))))))))))))</f>
        <v/>
      </c>
      <c r="O293" s="59" t="str">
        <f>IF(A293="","",COUNTIF($A$6:A293,A293))</f>
        <v/>
      </c>
      <c r="P293" s="62" t="str">
        <f>IF(A293="","",A293&amp;"|"&amp;O293)</f>
        <v/>
      </c>
    </row>
    <row r="294">
      <c r="A294" s="60" t="n"/>
      <c r="B294" s="63" t="n"/>
      <c r="C294" s="63" t="n"/>
      <c r="D294" s="67" t="n"/>
      <c r="E294" s="68" t="n"/>
      <c r="F294" s="69" t="n"/>
      <c r="G294" s="70" t="n"/>
      <c r="H294" s="62" t="str">
        <f>IF(COUNTA(A294:G294)=0,"",IF(C294&lt;&gt;"",C294,IF(B294="","",IFERROR(INDEX(pr_des,MATCH(B294,pr_code,0))&amp;"",""))))</f>
        <v/>
      </c>
      <c r="I294" s="59" t="str">
        <f>IF(B294="","",IFERROR(INDEX(pr_unit,MATCH(B294,pr_code,0))&amp;"",""))</f>
        <v/>
      </c>
      <c r="J294" s="65" t="str">
        <f>IF(COUNTA(A294:G294)=0,"",IF(E294&lt;&gt;"",E294,IF(B294="","",IFERROR(IF(INDEX(pr_price,MATCH(B294,pr_code,0))="","",INDEX(pr_price,MATCH(B294,pr_code,0))),""))))</f>
        <v/>
      </c>
      <c r="K294" s="71" t="str">
        <f>IF(COUNTA(A294:G294)=0,"",IF(G294&lt;&gt;"",G294,IF(B294="","",IFERROR(IF(INDEX(pr_rate,MATCH(B294,pr_code,0))="","",INDEX(pr_rate,MATCH(B294,pr_code,0))),""))))</f>
        <v/>
      </c>
      <c r="L294" s="65" t="str">
        <f>IF(COUNTA(A294:G294)=0,"",IF(AND(ISNUMBER(D294),ISNUMBER(J294)),ROUND(D294*J294*(1-N(F294)),2),0))</f>
        <v/>
      </c>
      <c r="M294" s="62" t="str">
        <f>IF(A294="","",IFERROR(INDEX(dv_cname,MATCH(A294,dv_num,0))&amp;"",""))</f>
        <v/>
      </c>
      <c r="N294" s="59" t="str">
        <f>IF(COUNTA(A294:G294)=0,"",IF(A294="","N° devis manquant",IF(ISNA(MATCH(A294,dv_num,0)),"Devis inconnu",IF(AND(B294&lt;&gt;"",ISNA(MATCH(B294,pr_code,0))),"Article inconnu",IF(H294="","Désignation manquante",IF(OR(NOT(ISNUMBER(D294)),N(D294)&lt;=0),"Quantité invalide",IF(J294="","Prix manquant",IF(OR(NOT(ISNUMBER(J294)),N(J294)&lt;0),"Prix invalide",IF(OR(AND(F294&lt;&gt;"",NOT(ISNUMBER(F294))),N(F294)&lt;0,N(F294)&gt;1),"Remise invalide",IF(K294="","Taux de TVA manquant",IF(NOT(ISNUMBER(K294)),"Taux de TVA invalide",IF(COUNTIF(p_rates,K294)=0,"Taux de TVA hors liste (Paramètres)",IF(N(O294)&gt;25,"Au-delà de 25 lignes : non imprimée","OK")))))))))))))</f>
        <v/>
      </c>
      <c r="O294" s="59" t="str">
        <f>IF(A294="","",COUNTIF($A$6:A294,A294))</f>
        <v/>
      </c>
      <c r="P294" s="62" t="str">
        <f>IF(A294="","",A294&amp;"|"&amp;O294)</f>
        <v/>
      </c>
    </row>
    <row r="295">
      <c r="A295" s="60" t="n"/>
      <c r="B295" s="63" t="n"/>
      <c r="C295" s="63" t="n"/>
      <c r="D295" s="67" t="n"/>
      <c r="E295" s="68" t="n"/>
      <c r="F295" s="69" t="n"/>
      <c r="G295" s="70" t="n"/>
      <c r="H295" s="62" t="str">
        <f>IF(COUNTA(A295:G295)=0,"",IF(C295&lt;&gt;"",C295,IF(B295="","",IFERROR(INDEX(pr_des,MATCH(B295,pr_code,0))&amp;"",""))))</f>
        <v/>
      </c>
      <c r="I295" s="59" t="str">
        <f>IF(B295="","",IFERROR(INDEX(pr_unit,MATCH(B295,pr_code,0))&amp;"",""))</f>
        <v/>
      </c>
      <c r="J295" s="65" t="str">
        <f>IF(COUNTA(A295:G295)=0,"",IF(E295&lt;&gt;"",E295,IF(B295="","",IFERROR(IF(INDEX(pr_price,MATCH(B295,pr_code,0))="","",INDEX(pr_price,MATCH(B295,pr_code,0))),""))))</f>
        <v/>
      </c>
      <c r="K295" s="71" t="str">
        <f>IF(COUNTA(A295:G295)=0,"",IF(G295&lt;&gt;"",G295,IF(B295="","",IFERROR(IF(INDEX(pr_rate,MATCH(B295,pr_code,0))="","",INDEX(pr_rate,MATCH(B295,pr_code,0))),""))))</f>
        <v/>
      </c>
      <c r="L295" s="65" t="str">
        <f>IF(COUNTA(A295:G295)=0,"",IF(AND(ISNUMBER(D295),ISNUMBER(J295)),ROUND(D295*J295*(1-N(F295)),2),0))</f>
        <v/>
      </c>
      <c r="M295" s="62" t="str">
        <f>IF(A295="","",IFERROR(INDEX(dv_cname,MATCH(A295,dv_num,0))&amp;"",""))</f>
        <v/>
      </c>
      <c r="N295" s="59" t="str">
        <f>IF(COUNTA(A295:G295)=0,"",IF(A295="","N° devis manquant",IF(ISNA(MATCH(A295,dv_num,0)),"Devis inconnu",IF(AND(B295&lt;&gt;"",ISNA(MATCH(B295,pr_code,0))),"Article inconnu",IF(H295="","Désignation manquante",IF(OR(NOT(ISNUMBER(D295)),N(D295)&lt;=0),"Quantité invalide",IF(J295="","Prix manquant",IF(OR(NOT(ISNUMBER(J295)),N(J295)&lt;0),"Prix invalide",IF(OR(AND(F295&lt;&gt;"",NOT(ISNUMBER(F295))),N(F295)&lt;0,N(F295)&gt;1),"Remise invalide",IF(K295="","Taux de TVA manquant",IF(NOT(ISNUMBER(K295)),"Taux de TVA invalide",IF(COUNTIF(p_rates,K295)=0,"Taux de TVA hors liste (Paramètres)",IF(N(O295)&gt;25,"Au-delà de 25 lignes : non imprimée","OK")))))))))))))</f>
        <v/>
      </c>
      <c r="O295" s="59" t="str">
        <f>IF(A295="","",COUNTIF($A$6:A295,A295))</f>
        <v/>
      </c>
      <c r="P295" s="62" t="str">
        <f>IF(A295="","",A295&amp;"|"&amp;O295)</f>
        <v/>
      </c>
    </row>
    <row r="296">
      <c r="A296" s="60" t="n"/>
      <c r="B296" s="63" t="n"/>
      <c r="C296" s="63" t="n"/>
      <c r="D296" s="67" t="n"/>
      <c r="E296" s="68" t="n"/>
      <c r="F296" s="69" t="n"/>
      <c r="G296" s="70" t="n"/>
      <c r="H296" s="62" t="str">
        <f>IF(COUNTA(A296:G296)=0,"",IF(C296&lt;&gt;"",C296,IF(B296="","",IFERROR(INDEX(pr_des,MATCH(B296,pr_code,0))&amp;"",""))))</f>
        <v/>
      </c>
      <c r="I296" s="59" t="str">
        <f>IF(B296="","",IFERROR(INDEX(pr_unit,MATCH(B296,pr_code,0))&amp;"",""))</f>
        <v/>
      </c>
      <c r="J296" s="65" t="str">
        <f>IF(COUNTA(A296:G296)=0,"",IF(E296&lt;&gt;"",E296,IF(B296="","",IFERROR(IF(INDEX(pr_price,MATCH(B296,pr_code,0))="","",INDEX(pr_price,MATCH(B296,pr_code,0))),""))))</f>
        <v/>
      </c>
      <c r="K296" s="71" t="str">
        <f>IF(COUNTA(A296:G296)=0,"",IF(G296&lt;&gt;"",G296,IF(B296="","",IFERROR(IF(INDEX(pr_rate,MATCH(B296,pr_code,0))="","",INDEX(pr_rate,MATCH(B296,pr_code,0))),""))))</f>
        <v/>
      </c>
      <c r="L296" s="65" t="str">
        <f>IF(COUNTA(A296:G296)=0,"",IF(AND(ISNUMBER(D296),ISNUMBER(J296)),ROUND(D296*J296*(1-N(F296)),2),0))</f>
        <v/>
      </c>
      <c r="M296" s="62" t="str">
        <f>IF(A296="","",IFERROR(INDEX(dv_cname,MATCH(A296,dv_num,0))&amp;"",""))</f>
        <v/>
      </c>
      <c r="N296" s="59" t="str">
        <f>IF(COUNTA(A296:G296)=0,"",IF(A296="","N° devis manquant",IF(ISNA(MATCH(A296,dv_num,0)),"Devis inconnu",IF(AND(B296&lt;&gt;"",ISNA(MATCH(B296,pr_code,0))),"Article inconnu",IF(H296="","Désignation manquante",IF(OR(NOT(ISNUMBER(D296)),N(D296)&lt;=0),"Quantité invalide",IF(J296="","Prix manquant",IF(OR(NOT(ISNUMBER(J296)),N(J296)&lt;0),"Prix invalide",IF(OR(AND(F296&lt;&gt;"",NOT(ISNUMBER(F296))),N(F296)&lt;0,N(F296)&gt;1),"Remise invalide",IF(K296="","Taux de TVA manquant",IF(NOT(ISNUMBER(K296)),"Taux de TVA invalide",IF(COUNTIF(p_rates,K296)=0,"Taux de TVA hors liste (Paramètres)",IF(N(O296)&gt;25,"Au-delà de 25 lignes : non imprimée","OK")))))))))))))</f>
        <v/>
      </c>
      <c r="O296" s="59" t="str">
        <f>IF(A296="","",COUNTIF($A$6:A296,A296))</f>
        <v/>
      </c>
      <c r="P296" s="62" t="str">
        <f>IF(A296="","",A296&amp;"|"&amp;O296)</f>
        <v/>
      </c>
    </row>
    <row r="297">
      <c r="A297" s="60" t="n"/>
      <c r="B297" s="63" t="n"/>
      <c r="C297" s="63" t="n"/>
      <c r="D297" s="67" t="n"/>
      <c r="E297" s="68" t="n"/>
      <c r="F297" s="69" t="n"/>
      <c r="G297" s="70" t="n"/>
      <c r="H297" s="62" t="str">
        <f>IF(COUNTA(A297:G297)=0,"",IF(C297&lt;&gt;"",C297,IF(B297="","",IFERROR(INDEX(pr_des,MATCH(B297,pr_code,0))&amp;"",""))))</f>
        <v/>
      </c>
      <c r="I297" s="59" t="str">
        <f>IF(B297="","",IFERROR(INDEX(pr_unit,MATCH(B297,pr_code,0))&amp;"",""))</f>
        <v/>
      </c>
      <c r="J297" s="65" t="str">
        <f>IF(COUNTA(A297:G297)=0,"",IF(E297&lt;&gt;"",E297,IF(B297="","",IFERROR(IF(INDEX(pr_price,MATCH(B297,pr_code,0))="","",INDEX(pr_price,MATCH(B297,pr_code,0))),""))))</f>
        <v/>
      </c>
      <c r="K297" s="71" t="str">
        <f>IF(COUNTA(A297:G297)=0,"",IF(G297&lt;&gt;"",G297,IF(B297="","",IFERROR(IF(INDEX(pr_rate,MATCH(B297,pr_code,0))="","",INDEX(pr_rate,MATCH(B297,pr_code,0))),""))))</f>
        <v/>
      </c>
      <c r="L297" s="65" t="str">
        <f>IF(COUNTA(A297:G297)=0,"",IF(AND(ISNUMBER(D297),ISNUMBER(J297)),ROUND(D297*J297*(1-N(F297)),2),0))</f>
        <v/>
      </c>
      <c r="M297" s="62" t="str">
        <f>IF(A297="","",IFERROR(INDEX(dv_cname,MATCH(A297,dv_num,0))&amp;"",""))</f>
        <v/>
      </c>
      <c r="N297" s="59" t="str">
        <f>IF(COUNTA(A297:G297)=0,"",IF(A297="","N° devis manquant",IF(ISNA(MATCH(A297,dv_num,0)),"Devis inconnu",IF(AND(B297&lt;&gt;"",ISNA(MATCH(B297,pr_code,0))),"Article inconnu",IF(H297="","Désignation manquante",IF(OR(NOT(ISNUMBER(D297)),N(D297)&lt;=0),"Quantité invalide",IF(J297="","Prix manquant",IF(OR(NOT(ISNUMBER(J297)),N(J297)&lt;0),"Prix invalide",IF(OR(AND(F297&lt;&gt;"",NOT(ISNUMBER(F297))),N(F297)&lt;0,N(F297)&gt;1),"Remise invalide",IF(K297="","Taux de TVA manquant",IF(NOT(ISNUMBER(K297)),"Taux de TVA invalide",IF(COUNTIF(p_rates,K297)=0,"Taux de TVA hors liste (Paramètres)",IF(N(O297)&gt;25,"Au-delà de 25 lignes : non imprimée","OK")))))))))))))</f>
        <v/>
      </c>
      <c r="O297" s="59" t="str">
        <f>IF(A297="","",COUNTIF($A$6:A297,A297))</f>
        <v/>
      </c>
      <c r="P297" s="62" t="str">
        <f>IF(A297="","",A297&amp;"|"&amp;O297)</f>
        <v/>
      </c>
    </row>
    <row r="298">
      <c r="A298" s="60" t="n"/>
      <c r="B298" s="63" t="n"/>
      <c r="C298" s="63" t="n"/>
      <c r="D298" s="67" t="n"/>
      <c r="E298" s="68" t="n"/>
      <c r="F298" s="69" t="n"/>
      <c r="G298" s="70" t="n"/>
      <c r="H298" s="62" t="str">
        <f>IF(COUNTA(A298:G298)=0,"",IF(C298&lt;&gt;"",C298,IF(B298="","",IFERROR(INDEX(pr_des,MATCH(B298,pr_code,0))&amp;"",""))))</f>
        <v/>
      </c>
      <c r="I298" s="59" t="str">
        <f>IF(B298="","",IFERROR(INDEX(pr_unit,MATCH(B298,pr_code,0))&amp;"",""))</f>
        <v/>
      </c>
      <c r="J298" s="65" t="str">
        <f>IF(COUNTA(A298:G298)=0,"",IF(E298&lt;&gt;"",E298,IF(B298="","",IFERROR(IF(INDEX(pr_price,MATCH(B298,pr_code,0))="","",INDEX(pr_price,MATCH(B298,pr_code,0))),""))))</f>
        <v/>
      </c>
      <c r="K298" s="71" t="str">
        <f>IF(COUNTA(A298:G298)=0,"",IF(G298&lt;&gt;"",G298,IF(B298="","",IFERROR(IF(INDEX(pr_rate,MATCH(B298,pr_code,0))="","",INDEX(pr_rate,MATCH(B298,pr_code,0))),""))))</f>
        <v/>
      </c>
      <c r="L298" s="65" t="str">
        <f>IF(COUNTA(A298:G298)=0,"",IF(AND(ISNUMBER(D298),ISNUMBER(J298)),ROUND(D298*J298*(1-N(F298)),2),0))</f>
        <v/>
      </c>
      <c r="M298" s="62" t="str">
        <f>IF(A298="","",IFERROR(INDEX(dv_cname,MATCH(A298,dv_num,0))&amp;"",""))</f>
        <v/>
      </c>
      <c r="N298" s="59" t="str">
        <f>IF(COUNTA(A298:G298)=0,"",IF(A298="","N° devis manquant",IF(ISNA(MATCH(A298,dv_num,0)),"Devis inconnu",IF(AND(B298&lt;&gt;"",ISNA(MATCH(B298,pr_code,0))),"Article inconnu",IF(H298="","Désignation manquante",IF(OR(NOT(ISNUMBER(D298)),N(D298)&lt;=0),"Quantité invalide",IF(J298="","Prix manquant",IF(OR(NOT(ISNUMBER(J298)),N(J298)&lt;0),"Prix invalide",IF(OR(AND(F298&lt;&gt;"",NOT(ISNUMBER(F298))),N(F298)&lt;0,N(F298)&gt;1),"Remise invalide",IF(K298="","Taux de TVA manquant",IF(NOT(ISNUMBER(K298)),"Taux de TVA invalide",IF(COUNTIF(p_rates,K298)=0,"Taux de TVA hors liste (Paramètres)",IF(N(O298)&gt;25,"Au-delà de 25 lignes : non imprimée","OK")))))))))))))</f>
        <v/>
      </c>
      <c r="O298" s="59" t="str">
        <f>IF(A298="","",COUNTIF($A$6:A298,A298))</f>
        <v/>
      </c>
      <c r="P298" s="62" t="str">
        <f>IF(A298="","",A298&amp;"|"&amp;O298)</f>
        <v/>
      </c>
    </row>
    <row r="299">
      <c r="A299" s="60" t="n"/>
      <c r="B299" s="63" t="n"/>
      <c r="C299" s="63" t="n"/>
      <c r="D299" s="67" t="n"/>
      <c r="E299" s="68" t="n"/>
      <c r="F299" s="69" t="n"/>
      <c r="G299" s="70" t="n"/>
      <c r="H299" s="62" t="str">
        <f>IF(COUNTA(A299:G299)=0,"",IF(C299&lt;&gt;"",C299,IF(B299="","",IFERROR(INDEX(pr_des,MATCH(B299,pr_code,0))&amp;"",""))))</f>
        <v/>
      </c>
      <c r="I299" s="59" t="str">
        <f>IF(B299="","",IFERROR(INDEX(pr_unit,MATCH(B299,pr_code,0))&amp;"",""))</f>
        <v/>
      </c>
      <c r="J299" s="65" t="str">
        <f>IF(COUNTA(A299:G299)=0,"",IF(E299&lt;&gt;"",E299,IF(B299="","",IFERROR(IF(INDEX(pr_price,MATCH(B299,pr_code,0))="","",INDEX(pr_price,MATCH(B299,pr_code,0))),""))))</f>
        <v/>
      </c>
      <c r="K299" s="71" t="str">
        <f>IF(COUNTA(A299:G299)=0,"",IF(G299&lt;&gt;"",G299,IF(B299="","",IFERROR(IF(INDEX(pr_rate,MATCH(B299,pr_code,0))="","",INDEX(pr_rate,MATCH(B299,pr_code,0))),""))))</f>
        <v/>
      </c>
      <c r="L299" s="65" t="str">
        <f>IF(COUNTA(A299:G299)=0,"",IF(AND(ISNUMBER(D299),ISNUMBER(J299)),ROUND(D299*J299*(1-N(F299)),2),0))</f>
        <v/>
      </c>
      <c r="M299" s="62" t="str">
        <f>IF(A299="","",IFERROR(INDEX(dv_cname,MATCH(A299,dv_num,0))&amp;"",""))</f>
        <v/>
      </c>
      <c r="N299" s="59" t="str">
        <f>IF(COUNTA(A299:G299)=0,"",IF(A299="","N° devis manquant",IF(ISNA(MATCH(A299,dv_num,0)),"Devis inconnu",IF(AND(B299&lt;&gt;"",ISNA(MATCH(B299,pr_code,0))),"Article inconnu",IF(H299="","Désignation manquante",IF(OR(NOT(ISNUMBER(D299)),N(D299)&lt;=0),"Quantité invalide",IF(J299="","Prix manquant",IF(OR(NOT(ISNUMBER(J299)),N(J299)&lt;0),"Prix invalide",IF(OR(AND(F299&lt;&gt;"",NOT(ISNUMBER(F299))),N(F299)&lt;0,N(F299)&gt;1),"Remise invalide",IF(K299="","Taux de TVA manquant",IF(NOT(ISNUMBER(K299)),"Taux de TVA invalide",IF(COUNTIF(p_rates,K299)=0,"Taux de TVA hors liste (Paramètres)",IF(N(O299)&gt;25,"Au-delà de 25 lignes : non imprimée","OK")))))))))))))</f>
        <v/>
      </c>
      <c r="O299" s="59" t="str">
        <f>IF(A299="","",COUNTIF($A$6:A299,A299))</f>
        <v/>
      </c>
      <c r="P299" s="62" t="str">
        <f>IF(A299="","",A299&amp;"|"&amp;O299)</f>
        <v/>
      </c>
    </row>
    <row r="300">
      <c r="A300" s="60" t="n"/>
      <c r="B300" s="63" t="n"/>
      <c r="C300" s="63" t="n"/>
      <c r="D300" s="67" t="n"/>
      <c r="E300" s="68" t="n"/>
      <c r="F300" s="69" t="n"/>
      <c r="G300" s="70" t="n"/>
      <c r="H300" s="62" t="str">
        <f>IF(COUNTA(A300:G300)=0,"",IF(C300&lt;&gt;"",C300,IF(B300="","",IFERROR(INDEX(pr_des,MATCH(B300,pr_code,0))&amp;"",""))))</f>
        <v/>
      </c>
      <c r="I300" s="59" t="str">
        <f>IF(B300="","",IFERROR(INDEX(pr_unit,MATCH(B300,pr_code,0))&amp;"",""))</f>
        <v/>
      </c>
      <c r="J300" s="65" t="str">
        <f>IF(COUNTA(A300:G300)=0,"",IF(E300&lt;&gt;"",E300,IF(B300="","",IFERROR(IF(INDEX(pr_price,MATCH(B300,pr_code,0))="","",INDEX(pr_price,MATCH(B300,pr_code,0))),""))))</f>
        <v/>
      </c>
      <c r="K300" s="71" t="str">
        <f>IF(COUNTA(A300:G300)=0,"",IF(G300&lt;&gt;"",G300,IF(B300="","",IFERROR(IF(INDEX(pr_rate,MATCH(B300,pr_code,0))="","",INDEX(pr_rate,MATCH(B300,pr_code,0))),""))))</f>
        <v/>
      </c>
      <c r="L300" s="65" t="str">
        <f>IF(COUNTA(A300:G300)=0,"",IF(AND(ISNUMBER(D300),ISNUMBER(J300)),ROUND(D300*J300*(1-N(F300)),2),0))</f>
        <v/>
      </c>
      <c r="M300" s="62" t="str">
        <f>IF(A300="","",IFERROR(INDEX(dv_cname,MATCH(A300,dv_num,0))&amp;"",""))</f>
        <v/>
      </c>
      <c r="N300" s="59" t="str">
        <f>IF(COUNTA(A300:G300)=0,"",IF(A300="","N° devis manquant",IF(ISNA(MATCH(A300,dv_num,0)),"Devis inconnu",IF(AND(B300&lt;&gt;"",ISNA(MATCH(B300,pr_code,0))),"Article inconnu",IF(H300="","Désignation manquante",IF(OR(NOT(ISNUMBER(D300)),N(D300)&lt;=0),"Quantité invalide",IF(J300="","Prix manquant",IF(OR(NOT(ISNUMBER(J300)),N(J300)&lt;0),"Prix invalide",IF(OR(AND(F300&lt;&gt;"",NOT(ISNUMBER(F300))),N(F300)&lt;0,N(F300)&gt;1),"Remise invalide",IF(K300="","Taux de TVA manquant",IF(NOT(ISNUMBER(K300)),"Taux de TVA invalide",IF(COUNTIF(p_rates,K300)=0,"Taux de TVA hors liste (Paramètres)",IF(N(O300)&gt;25,"Au-delà de 25 lignes : non imprimée","OK")))))))))))))</f>
        <v/>
      </c>
      <c r="O300" s="59" t="str">
        <f>IF(A300="","",COUNTIF($A$6:A300,A300))</f>
        <v/>
      </c>
      <c r="P300" s="62" t="str">
        <f>IF(A300="","",A300&amp;"|"&amp;O300)</f>
        <v/>
      </c>
    </row>
    <row r="301">
      <c r="A301" s="60" t="n"/>
      <c r="B301" s="63" t="n"/>
      <c r="C301" s="63" t="n"/>
      <c r="D301" s="67" t="n"/>
      <c r="E301" s="68" t="n"/>
      <c r="F301" s="69" t="n"/>
      <c r="G301" s="70" t="n"/>
      <c r="H301" s="62" t="str">
        <f>IF(COUNTA(A301:G301)=0,"",IF(C301&lt;&gt;"",C301,IF(B301="","",IFERROR(INDEX(pr_des,MATCH(B301,pr_code,0))&amp;"",""))))</f>
        <v/>
      </c>
      <c r="I301" s="59" t="str">
        <f>IF(B301="","",IFERROR(INDEX(pr_unit,MATCH(B301,pr_code,0))&amp;"",""))</f>
        <v/>
      </c>
      <c r="J301" s="65" t="str">
        <f>IF(COUNTA(A301:G301)=0,"",IF(E301&lt;&gt;"",E301,IF(B301="","",IFERROR(IF(INDEX(pr_price,MATCH(B301,pr_code,0))="","",INDEX(pr_price,MATCH(B301,pr_code,0))),""))))</f>
        <v/>
      </c>
      <c r="K301" s="71" t="str">
        <f>IF(COUNTA(A301:G301)=0,"",IF(G301&lt;&gt;"",G301,IF(B301="","",IFERROR(IF(INDEX(pr_rate,MATCH(B301,pr_code,0))="","",INDEX(pr_rate,MATCH(B301,pr_code,0))),""))))</f>
        <v/>
      </c>
      <c r="L301" s="65" t="str">
        <f>IF(COUNTA(A301:G301)=0,"",IF(AND(ISNUMBER(D301),ISNUMBER(J301)),ROUND(D301*J301*(1-N(F301)),2),0))</f>
        <v/>
      </c>
      <c r="M301" s="62" t="str">
        <f>IF(A301="","",IFERROR(INDEX(dv_cname,MATCH(A301,dv_num,0))&amp;"",""))</f>
        <v/>
      </c>
      <c r="N301" s="59" t="str">
        <f>IF(COUNTA(A301:G301)=0,"",IF(A301="","N° devis manquant",IF(ISNA(MATCH(A301,dv_num,0)),"Devis inconnu",IF(AND(B301&lt;&gt;"",ISNA(MATCH(B301,pr_code,0))),"Article inconnu",IF(H301="","Désignation manquante",IF(OR(NOT(ISNUMBER(D301)),N(D301)&lt;=0),"Quantité invalide",IF(J301="","Prix manquant",IF(OR(NOT(ISNUMBER(J301)),N(J301)&lt;0),"Prix invalide",IF(OR(AND(F301&lt;&gt;"",NOT(ISNUMBER(F301))),N(F301)&lt;0,N(F301)&gt;1),"Remise invalide",IF(K301="","Taux de TVA manquant",IF(NOT(ISNUMBER(K301)),"Taux de TVA invalide",IF(COUNTIF(p_rates,K301)=0,"Taux de TVA hors liste (Paramètres)",IF(N(O301)&gt;25,"Au-delà de 25 lignes : non imprimée","OK")))))))))))))</f>
        <v/>
      </c>
      <c r="O301" s="59" t="str">
        <f>IF(A301="","",COUNTIF($A$6:A301,A301))</f>
        <v/>
      </c>
      <c r="P301" s="62" t="str">
        <f>IF(A301="","",A301&amp;"|"&amp;O301)</f>
        <v/>
      </c>
    </row>
    <row r="302">
      <c r="A302" s="60" t="n"/>
      <c r="B302" s="63" t="n"/>
      <c r="C302" s="63" t="n"/>
      <c r="D302" s="67" t="n"/>
      <c r="E302" s="68" t="n"/>
      <c r="F302" s="69" t="n"/>
      <c r="G302" s="70" t="n"/>
      <c r="H302" s="62" t="str">
        <f>IF(COUNTA(A302:G302)=0,"",IF(C302&lt;&gt;"",C302,IF(B302="","",IFERROR(INDEX(pr_des,MATCH(B302,pr_code,0))&amp;"",""))))</f>
        <v/>
      </c>
      <c r="I302" s="59" t="str">
        <f>IF(B302="","",IFERROR(INDEX(pr_unit,MATCH(B302,pr_code,0))&amp;"",""))</f>
        <v/>
      </c>
      <c r="J302" s="65" t="str">
        <f>IF(COUNTA(A302:G302)=0,"",IF(E302&lt;&gt;"",E302,IF(B302="","",IFERROR(IF(INDEX(pr_price,MATCH(B302,pr_code,0))="","",INDEX(pr_price,MATCH(B302,pr_code,0))),""))))</f>
        <v/>
      </c>
      <c r="K302" s="71" t="str">
        <f>IF(COUNTA(A302:G302)=0,"",IF(G302&lt;&gt;"",G302,IF(B302="","",IFERROR(IF(INDEX(pr_rate,MATCH(B302,pr_code,0))="","",INDEX(pr_rate,MATCH(B302,pr_code,0))),""))))</f>
        <v/>
      </c>
      <c r="L302" s="65" t="str">
        <f>IF(COUNTA(A302:G302)=0,"",IF(AND(ISNUMBER(D302),ISNUMBER(J302)),ROUND(D302*J302*(1-N(F302)),2),0))</f>
        <v/>
      </c>
      <c r="M302" s="62" t="str">
        <f>IF(A302="","",IFERROR(INDEX(dv_cname,MATCH(A302,dv_num,0))&amp;"",""))</f>
        <v/>
      </c>
      <c r="N302" s="59" t="str">
        <f>IF(COUNTA(A302:G302)=0,"",IF(A302="","N° devis manquant",IF(ISNA(MATCH(A302,dv_num,0)),"Devis inconnu",IF(AND(B302&lt;&gt;"",ISNA(MATCH(B302,pr_code,0))),"Article inconnu",IF(H302="","Désignation manquante",IF(OR(NOT(ISNUMBER(D302)),N(D302)&lt;=0),"Quantité invalide",IF(J302="","Prix manquant",IF(OR(NOT(ISNUMBER(J302)),N(J302)&lt;0),"Prix invalide",IF(OR(AND(F302&lt;&gt;"",NOT(ISNUMBER(F302))),N(F302)&lt;0,N(F302)&gt;1),"Remise invalide",IF(K302="","Taux de TVA manquant",IF(NOT(ISNUMBER(K302)),"Taux de TVA invalide",IF(COUNTIF(p_rates,K302)=0,"Taux de TVA hors liste (Paramètres)",IF(N(O302)&gt;25,"Au-delà de 25 lignes : non imprimée","OK")))))))))))))</f>
        <v/>
      </c>
      <c r="O302" s="59" t="str">
        <f>IF(A302="","",COUNTIF($A$6:A302,A302))</f>
        <v/>
      </c>
      <c r="P302" s="62" t="str">
        <f>IF(A302="","",A302&amp;"|"&amp;O302)</f>
        <v/>
      </c>
    </row>
    <row r="303">
      <c r="A303" s="60" t="n"/>
      <c r="B303" s="63" t="n"/>
      <c r="C303" s="63" t="n"/>
      <c r="D303" s="67" t="n"/>
      <c r="E303" s="68" t="n"/>
      <c r="F303" s="69" t="n"/>
      <c r="G303" s="70" t="n"/>
      <c r="H303" s="62" t="str">
        <f>IF(COUNTA(A303:G303)=0,"",IF(C303&lt;&gt;"",C303,IF(B303="","",IFERROR(INDEX(pr_des,MATCH(B303,pr_code,0))&amp;"",""))))</f>
        <v/>
      </c>
      <c r="I303" s="59" t="str">
        <f>IF(B303="","",IFERROR(INDEX(pr_unit,MATCH(B303,pr_code,0))&amp;"",""))</f>
        <v/>
      </c>
      <c r="J303" s="65" t="str">
        <f>IF(COUNTA(A303:G303)=0,"",IF(E303&lt;&gt;"",E303,IF(B303="","",IFERROR(IF(INDEX(pr_price,MATCH(B303,pr_code,0))="","",INDEX(pr_price,MATCH(B303,pr_code,0))),""))))</f>
        <v/>
      </c>
      <c r="K303" s="71" t="str">
        <f>IF(COUNTA(A303:G303)=0,"",IF(G303&lt;&gt;"",G303,IF(B303="","",IFERROR(IF(INDEX(pr_rate,MATCH(B303,pr_code,0))="","",INDEX(pr_rate,MATCH(B303,pr_code,0))),""))))</f>
        <v/>
      </c>
      <c r="L303" s="65" t="str">
        <f>IF(COUNTA(A303:G303)=0,"",IF(AND(ISNUMBER(D303),ISNUMBER(J303)),ROUND(D303*J303*(1-N(F303)),2),0))</f>
        <v/>
      </c>
      <c r="M303" s="62" t="str">
        <f>IF(A303="","",IFERROR(INDEX(dv_cname,MATCH(A303,dv_num,0))&amp;"",""))</f>
        <v/>
      </c>
      <c r="N303" s="59" t="str">
        <f>IF(COUNTA(A303:G303)=0,"",IF(A303="","N° devis manquant",IF(ISNA(MATCH(A303,dv_num,0)),"Devis inconnu",IF(AND(B303&lt;&gt;"",ISNA(MATCH(B303,pr_code,0))),"Article inconnu",IF(H303="","Désignation manquante",IF(OR(NOT(ISNUMBER(D303)),N(D303)&lt;=0),"Quantité invalide",IF(J303="","Prix manquant",IF(OR(NOT(ISNUMBER(J303)),N(J303)&lt;0),"Prix invalide",IF(OR(AND(F303&lt;&gt;"",NOT(ISNUMBER(F303))),N(F303)&lt;0,N(F303)&gt;1),"Remise invalide",IF(K303="","Taux de TVA manquant",IF(NOT(ISNUMBER(K303)),"Taux de TVA invalide",IF(COUNTIF(p_rates,K303)=0,"Taux de TVA hors liste (Paramètres)",IF(N(O303)&gt;25,"Au-delà de 25 lignes : non imprimée","OK")))))))))))))</f>
        <v/>
      </c>
      <c r="O303" s="59" t="str">
        <f>IF(A303="","",COUNTIF($A$6:A303,A303))</f>
        <v/>
      </c>
      <c r="P303" s="62" t="str">
        <f>IF(A303="","",A303&amp;"|"&amp;O303)</f>
        <v/>
      </c>
    </row>
    <row r="304">
      <c r="A304" s="60" t="n"/>
      <c r="B304" s="63" t="n"/>
      <c r="C304" s="63" t="n"/>
      <c r="D304" s="67" t="n"/>
      <c r="E304" s="68" t="n"/>
      <c r="F304" s="69" t="n"/>
      <c r="G304" s="70" t="n"/>
      <c r="H304" s="62" t="str">
        <f>IF(COUNTA(A304:G304)=0,"",IF(C304&lt;&gt;"",C304,IF(B304="","",IFERROR(INDEX(pr_des,MATCH(B304,pr_code,0))&amp;"",""))))</f>
        <v/>
      </c>
      <c r="I304" s="59" t="str">
        <f>IF(B304="","",IFERROR(INDEX(pr_unit,MATCH(B304,pr_code,0))&amp;"",""))</f>
        <v/>
      </c>
      <c r="J304" s="65" t="str">
        <f>IF(COUNTA(A304:G304)=0,"",IF(E304&lt;&gt;"",E304,IF(B304="","",IFERROR(IF(INDEX(pr_price,MATCH(B304,pr_code,0))="","",INDEX(pr_price,MATCH(B304,pr_code,0))),""))))</f>
        <v/>
      </c>
      <c r="K304" s="71" t="str">
        <f>IF(COUNTA(A304:G304)=0,"",IF(G304&lt;&gt;"",G304,IF(B304="","",IFERROR(IF(INDEX(pr_rate,MATCH(B304,pr_code,0))="","",INDEX(pr_rate,MATCH(B304,pr_code,0))),""))))</f>
        <v/>
      </c>
      <c r="L304" s="65" t="str">
        <f>IF(COUNTA(A304:G304)=0,"",IF(AND(ISNUMBER(D304),ISNUMBER(J304)),ROUND(D304*J304*(1-N(F304)),2),0))</f>
        <v/>
      </c>
      <c r="M304" s="62" t="str">
        <f>IF(A304="","",IFERROR(INDEX(dv_cname,MATCH(A304,dv_num,0))&amp;"",""))</f>
        <v/>
      </c>
      <c r="N304" s="59" t="str">
        <f>IF(COUNTA(A304:G304)=0,"",IF(A304="","N° devis manquant",IF(ISNA(MATCH(A304,dv_num,0)),"Devis inconnu",IF(AND(B304&lt;&gt;"",ISNA(MATCH(B304,pr_code,0))),"Article inconnu",IF(H304="","Désignation manquante",IF(OR(NOT(ISNUMBER(D304)),N(D304)&lt;=0),"Quantité invalide",IF(J304="","Prix manquant",IF(OR(NOT(ISNUMBER(J304)),N(J304)&lt;0),"Prix invalide",IF(OR(AND(F304&lt;&gt;"",NOT(ISNUMBER(F304))),N(F304)&lt;0,N(F304)&gt;1),"Remise invalide",IF(K304="","Taux de TVA manquant",IF(NOT(ISNUMBER(K304)),"Taux de TVA invalide",IF(COUNTIF(p_rates,K304)=0,"Taux de TVA hors liste (Paramètres)",IF(N(O304)&gt;25,"Au-delà de 25 lignes : non imprimée","OK")))))))))))))</f>
        <v/>
      </c>
      <c r="O304" s="59" t="str">
        <f>IF(A304="","",COUNTIF($A$6:A304,A304))</f>
        <v/>
      </c>
      <c r="P304" s="62" t="str">
        <f>IF(A304="","",A304&amp;"|"&amp;O304)</f>
        <v/>
      </c>
    </row>
    <row r="305">
      <c r="A305" s="60" t="n"/>
      <c r="B305" s="63" t="n"/>
      <c r="C305" s="63" t="n"/>
      <c r="D305" s="67" t="n"/>
      <c r="E305" s="68" t="n"/>
      <c r="F305" s="69" t="n"/>
      <c r="G305" s="70" t="n"/>
      <c r="H305" s="62" t="str">
        <f>IF(COUNTA(A305:G305)=0,"",IF(C305&lt;&gt;"",C305,IF(B305="","",IFERROR(INDEX(pr_des,MATCH(B305,pr_code,0))&amp;"",""))))</f>
        <v/>
      </c>
      <c r="I305" s="59" t="str">
        <f>IF(B305="","",IFERROR(INDEX(pr_unit,MATCH(B305,pr_code,0))&amp;"",""))</f>
        <v/>
      </c>
      <c r="J305" s="65" t="str">
        <f>IF(COUNTA(A305:G305)=0,"",IF(E305&lt;&gt;"",E305,IF(B305="","",IFERROR(IF(INDEX(pr_price,MATCH(B305,pr_code,0))="","",INDEX(pr_price,MATCH(B305,pr_code,0))),""))))</f>
        <v/>
      </c>
      <c r="K305" s="71" t="str">
        <f>IF(COUNTA(A305:G305)=0,"",IF(G305&lt;&gt;"",G305,IF(B305="","",IFERROR(IF(INDEX(pr_rate,MATCH(B305,pr_code,0))="","",INDEX(pr_rate,MATCH(B305,pr_code,0))),""))))</f>
        <v/>
      </c>
      <c r="L305" s="65" t="str">
        <f>IF(COUNTA(A305:G305)=0,"",IF(AND(ISNUMBER(D305),ISNUMBER(J305)),ROUND(D305*J305*(1-N(F305)),2),0))</f>
        <v/>
      </c>
      <c r="M305" s="62" t="str">
        <f>IF(A305="","",IFERROR(INDEX(dv_cname,MATCH(A305,dv_num,0))&amp;"",""))</f>
        <v/>
      </c>
      <c r="N305" s="59" t="str">
        <f>IF(COUNTA(A305:G305)=0,"",IF(A305="","N° devis manquant",IF(ISNA(MATCH(A305,dv_num,0)),"Devis inconnu",IF(AND(B305&lt;&gt;"",ISNA(MATCH(B305,pr_code,0))),"Article inconnu",IF(H305="","Désignation manquante",IF(OR(NOT(ISNUMBER(D305)),N(D305)&lt;=0),"Quantité invalide",IF(J305="","Prix manquant",IF(OR(NOT(ISNUMBER(J305)),N(J305)&lt;0),"Prix invalide",IF(OR(AND(F305&lt;&gt;"",NOT(ISNUMBER(F305))),N(F305)&lt;0,N(F305)&gt;1),"Remise invalide",IF(K305="","Taux de TVA manquant",IF(NOT(ISNUMBER(K305)),"Taux de TVA invalide",IF(COUNTIF(p_rates,K305)=0,"Taux de TVA hors liste (Paramètres)",IF(N(O305)&gt;25,"Au-delà de 25 lignes : non imprimée","OK")))))))))))))</f>
        <v/>
      </c>
      <c r="O305" s="59" t="str">
        <f>IF(A305="","",COUNTIF($A$6:A305,A305))</f>
        <v/>
      </c>
      <c r="P305" s="62" t="str">
        <f>IF(A305="","",A305&amp;"|"&amp;O305)</f>
        <v/>
      </c>
    </row>
    <row r="306">
      <c r="A306" s="60" t="n"/>
      <c r="B306" s="63" t="n"/>
      <c r="C306" s="63" t="n"/>
      <c r="D306" s="67" t="n"/>
      <c r="E306" s="68" t="n"/>
      <c r="F306" s="69" t="n"/>
      <c r="G306" s="70" t="n"/>
      <c r="H306" s="62" t="str">
        <f>IF(COUNTA(A306:G306)=0,"",IF(C306&lt;&gt;"",C306,IF(B306="","",IFERROR(INDEX(pr_des,MATCH(B306,pr_code,0))&amp;"",""))))</f>
        <v/>
      </c>
      <c r="I306" s="59" t="str">
        <f>IF(B306="","",IFERROR(INDEX(pr_unit,MATCH(B306,pr_code,0))&amp;"",""))</f>
        <v/>
      </c>
      <c r="J306" s="65" t="str">
        <f>IF(COUNTA(A306:G306)=0,"",IF(E306&lt;&gt;"",E306,IF(B306="","",IFERROR(IF(INDEX(pr_price,MATCH(B306,pr_code,0))="","",INDEX(pr_price,MATCH(B306,pr_code,0))),""))))</f>
        <v/>
      </c>
      <c r="K306" s="71" t="str">
        <f>IF(COUNTA(A306:G306)=0,"",IF(G306&lt;&gt;"",G306,IF(B306="","",IFERROR(IF(INDEX(pr_rate,MATCH(B306,pr_code,0))="","",INDEX(pr_rate,MATCH(B306,pr_code,0))),""))))</f>
        <v/>
      </c>
      <c r="L306" s="65" t="str">
        <f>IF(COUNTA(A306:G306)=0,"",IF(AND(ISNUMBER(D306),ISNUMBER(J306)),ROUND(D306*J306*(1-N(F306)),2),0))</f>
        <v/>
      </c>
      <c r="M306" s="62" t="str">
        <f>IF(A306="","",IFERROR(INDEX(dv_cname,MATCH(A306,dv_num,0))&amp;"",""))</f>
        <v/>
      </c>
      <c r="N306" s="59" t="str">
        <f>IF(COUNTA(A306:G306)=0,"",IF(A306="","N° devis manquant",IF(ISNA(MATCH(A306,dv_num,0)),"Devis inconnu",IF(AND(B306&lt;&gt;"",ISNA(MATCH(B306,pr_code,0))),"Article inconnu",IF(H306="","Désignation manquante",IF(OR(NOT(ISNUMBER(D306)),N(D306)&lt;=0),"Quantité invalide",IF(J306="","Prix manquant",IF(OR(NOT(ISNUMBER(J306)),N(J306)&lt;0),"Prix invalide",IF(OR(AND(F306&lt;&gt;"",NOT(ISNUMBER(F306))),N(F306)&lt;0,N(F306)&gt;1),"Remise invalide",IF(K306="","Taux de TVA manquant",IF(NOT(ISNUMBER(K306)),"Taux de TVA invalide",IF(COUNTIF(p_rates,K306)=0,"Taux de TVA hors liste (Paramètres)",IF(N(O306)&gt;25,"Au-delà de 25 lignes : non imprimée","OK")))))))))))))</f>
        <v/>
      </c>
      <c r="O306" s="59" t="str">
        <f>IF(A306="","",COUNTIF($A$6:A306,A306))</f>
        <v/>
      </c>
      <c r="P306" s="62" t="str">
        <f>IF(A306="","",A306&amp;"|"&amp;O306)</f>
        <v/>
      </c>
    </row>
    <row r="307">
      <c r="A307" s="60" t="n"/>
      <c r="B307" s="63" t="n"/>
      <c r="C307" s="63" t="n"/>
      <c r="D307" s="67" t="n"/>
      <c r="E307" s="68" t="n"/>
      <c r="F307" s="69" t="n"/>
      <c r="G307" s="70" t="n"/>
      <c r="H307" s="62" t="str">
        <f>IF(COUNTA(A307:G307)=0,"",IF(C307&lt;&gt;"",C307,IF(B307="","",IFERROR(INDEX(pr_des,MATCH(B307,pr_code,0))&amp;"",""))))</f>
        <v/>
      </c>
      <c r="I307" s="59" t="str">
        <f>IF(B307="","",IFERROR(INDEX(pr_unit,MATCH(B307,pr_code,0))&amp;"",""))</f>
        <v/>
      </c>
      <c r="J307" s="65" t="str">
        <f>IF(COUNTA(A307:G307)=0,"",IF(E307&lt;&gt;"",E307,IF(B307="","",IFERROR(IF(INDEX(pr_price,MATCH(B307,pr_code,0))="","",INDEX(pr_price,MATCH(B307,pr_code,0))),""))))</f>
        <v/>
      </c>
      <c r="K307" s="71" t="str">
        <f>IF(COUNTA(A307:G307)=0,"",IF(G307&lt;&gt;"",G307,IF(B307="","",IFERROR(IF(INDEX(pr_rate,MATCH(B307,pr_code,0))="","",INDEX(pr_rate,MATCH(B307,pr_code,0))),""))))</f>
        <v/>
      </c>
      <c r="L307" s="65" t="str">
        <f>IF(COUNTA(A307:G307)=0,"",IF(AND(ISNUMBER(D307),ISNUMBER(J307)),ROUND(D307*J307*(1-N(F307)),2),0))</f>
        <v/>
      </c>
      <c r="M307" s="62" t="str">
        <f>IF(A307="","",IFERROR(INDEX(dv_cname,MATCH(A307,dv_num,0))&amp;"",""))</f>
        <v/>
      </c>
      <c r="N307" s="59" t="str">
        <f>IF(COUNTA(A307:G307)=0,"",IF(A307="","N° devis manquant",IF(ISNA(MATCH(A307,dv_num,0)),"Devis inconnu",IF(AND(B307&lt;&gt;"",ISNA(MATCH(B307,pr_code,0))),"Article inconnu",IF(H307="","Désignation manquante",IF(OR(NOT(ISNUMBER(D307)),N(D307)&lt;=0),"Quantité invalide",IF(J307="","Prix manquant",IF(OR(NOT(ISNUMBER(J307)),N(J307)&lt;0),"Prix invalide",IF(OR(AND(F307&lt;&gt;"",NOT(ISNUMBER(F307))),N(F307)&lt;0,N(F307)&gt;1),"Remise invalide",IF(K307="","Taux de TVA manquant",IF(NOT(ISNUMBER(K307)),"Taux de TVA invalide",IF(COUNTIF(p_rates,K307)=0,"Taux de TVA hors liste (Paramètres)",IF(N(O307)&gt;25,"Au-delà de 25 lignes : non imprimée","OK")))))))))))))</f>
        <v/>
      </c>
      <c r="O307" s="59" t="str">
        <f>IF(A307="","",COUNTIF($A$6:A307,A307))</f>
        <v/>
      </c>
      <c r="P307" s="62" t="str">
        <f>IF(A307="","",A307&amp;"|"&amp;O307)</f>
        <v/>
      </c>
    </row>
    <row r="308">
      <c r="A308" s="60" t="n"/>
      <c r="B308" s="63" t="n"/>
      <c r="C308" s="63" t="n"/>
      <c r="D308" s="67" t="n"/>
      <c r="E308" s="68" t="n"/>
      <c r="F308" s="69" t="n"/>
      <c r="G308" s="70" t="n"/>
      <c r="H308" s="62" t="str">
        <f>IF(COUNTA(A308:G308)=0,"",IF(C308&lt;&gt;"",C308,IF(B308="","",IFERROR(INDEX(pr_des,MATCH(B308,pr_code,0))&amp;"",""))))</f>
        <v/>
      </c>
      <c r="I308" s="59" t="str">
        <f>IF(B308="","",IFERROR(INDEX(pr_unit,MATCH(B308,pr_code,0))&amp;"",""))</f>
        <v/>
      </c>
      <c r="J308" s="65" t="str">
        <f>IF(COUNTA(A308:G308)=0,"",IF(E308&lt;&gt;"",E308,IF(B308="","",IFERROR(IF(INDEX(pr_price,MATCH(B308,pr_code,0))="","",INDEX(pr_price,MATCH(B308,pr_code,0))),""))))</f>
        <v/>
      </c>
      <c r="K308" s="71" t="str">
        <f>IF(COUNTA(A308:G308)=0,"",IF(G308&lt;&gt;"",G308,IF(B308="","",IFERROR(IF(INDEX(pr_rate,MATCH(B308,pr_code,0))="","",INDEX(pr_rate,MATCH(B308,pr_code,0))),""))))</f>
        <v/>
      </c>
      <c r="L308" s="65" t="str">
        <f>IF(COUNTA(A308:G308)=0,"",IF(AND(ISNUMBER(D308),ISNUMBER(J308)),ROUND(D308*J308*(1-N(F308)),2),0))</f>
        <v/>
      </c>
      <c r="M308" s="62" t="str">
        <f>IF(A308="","",IFERROR(INDEX(dv_cname,MATCH(A308,dv_num,0))&amp;"",""))</f>
        <v/>
      </c>
      <c r="N308" s="59" t="str">
        <f>IF(COUNTA(A308:G308)=0,"",IF(A308="","N° devis manquant",IF(ISNA(MATCH(A308,dv_num,0)),"Devis inconnu",IF(AND(B308&lt;&gt;"",ISNA(MATCH(B308,pr_code,0))),"Article inconnu",IF(H308="","Désignation manquante",IF(OR(NOT(ISNUMBER(D308)),N(D308)&lt;=0),"Quantité invalide",IF(J308="","Prix manquant",IF(OR(NOT(ISNUMBER(J308)),N(J308)&lt;0),"Prix invalide",IF(OR(AND(F308&lt;&gt;"",NOT(ISNUMBER(F308))),N(F308)&lt;0,N(F308)&gt;1),"Remise invalide",IF(K308="","Taux de TVA manquant",IF(NOT(ISNUMBER(K308)),"Taux de TVA invalide",IF(COUNTIF(p_rates,K308)=0,"Taux de TVA hors liste (Paramètres)",IF(N(O308)&gt;25,"Au-delà de 25 lignes : non imprimée","OK")))))))))))))</f>
        <v/>
      </c>
      <c r="O308" s="59" t="str">
        <f>IF(A308="","",COUNTIF($A$6:A308,A308))</f>
        <v/>
      </c>
      <c r="P308" s="62" t="str">
        <f>IF(A308="","",A308&amp;"|"&amp;O308)</f>
        <v/>
      </c>
    </row>
    <row r="309">
      <c r="A309" s="60" t="n"/>
      <c r="B309" s="63" t="n"/>
      <c r="C309" s="63" t="n"/>
      <c r="D309" s="67" t="n"/>
      <c r="E309" s="68" t="n"/>
      <c r="F309" s="69" t="n"/>
      <c r="G309" s="70" t="n"/>
      <c r="H309" s="62" t="str">
        <f>IF(COUNTA(A309:G309)=0,"",IF(C309&lt;&gt;"",C309,IF(B309="","",IFERROR(INDEX(pr_des,MATCH(B309,pr_code,0))&amp;"",""))))</f>
        <v/>
      </c>
      <c r="I309" s="59" t="str">
        <f>IF(B309="","",IFERROR(INDEX(pr_unit,MATCH(B309,pr_code,0))&amp;"",""))</f>
        <v/>
      </c>
      <c r="J309" s="65" t="str">
        <f>IF(COUNTA(A309:G309)=0,"",IF(E309&lt;&gt;"",E309,IF(B309="","",IFERROR(IF(INDEX(pr_price,MATCH(B309,pr_code,0))="","",INDEX(pr_price,MATCH(B309,pr_code,0))),""))))</f>
        <v/>
      </c>
      <c r="K309" s="71" t="str">
        <f>IF(COUNTA(A309:G309)=0,"",IF(G309&lt;&gt;"",G309,IF(B309="","",IFERROR(IF(INDEX(pr_rate,MATCH(B309,pr_code,0))="","",INDEX(pr_rate,MATCH(B309,pr_code,0))),""))))</f>
        <v/>
      </c>
      <c r="L309" s="65" t="str">
        <f>IF(COUNTA(A309:G309)=0,"",IF(AND(ISNUMBER(D309),ISNUMBER(J309)),ROUND(D309*J309*(1-N(F309)),2),0))</f>
        <v/>
      </c>
      <c r="M309" s="62" t="str">
        <f>IF(A309="","",IFERROR(INDEX(dv_cname,MATCH(A309,dv_num,0))&amp;"",""))</f>
        <v/>
      </c>
      <c r="N309" s="59" t="str">
        <f>IF(COUNTA(A309:G309)=0,"",IF(A309="","N° devis manquant",IF(ISNA(MATCH(A309,dv_num,0)),"Devis inconnu",IF(AND(B309&lt;&gt;"",ISNA(MATCH(B309,pr_code,0))),"Article inconnu",IF(H309="","Désignation manquante",IF(OR(NOT(ISNUMBER(D309)),N(D309)&lt;=0),"Quantité invalide",IF(J309="","Prix manquant",IF(OR(NOT(ISNUMBER(J309)),N(J309)&lt;0),"Prix invalide",IF(OR(AND(F309&lt;&gt;"",NOT(ISNUMBER(F309))),N(F309)&lt;0,N(F309)&gt;1),"Remise invalide",IF(K309="","Taux de TVA manquant",IF(NOT(ISNUMBER(K309)),"Taux de TVA invalide",IF(COUNTIF(p_rates,K309)=0,"Taux de TVA hors liste (Paramètres)",IF(N(O309)&gt;25,"Au-delà de 25 lignes : non imprimée","OK")))))))))))))</f>
        <v/>
      </c>
      <c r="O309" s="59" t="str">
        <f>IF(A309="","",COUNTIF($A$6:A309,A309))</f>
        <v/>
      </c>
      <c r="P309" s="62" t="str">
        <f>IF(A309="","",A309&amp;"|"&amp;O309)</f>
        <v/>
      </c>
    </row>
    <row r="310">
      <c r="A310" s="60" t="n"/>
      <c r="B310" s="63" t="n"/>
      <c r="C310" s="63" t="n"/>
      <c r="D310" s="67" t="n"/>
      <c r="E310" s="68" t="n"/>
      <c r="F310" s="69" t="n"/>
      <c r="G310" s="70" t="n"/>
      <c r="H310" s="62" t="str">
        <f>IF(COUNTA(A310:G310)=0,"",IF(C310&lt;&gt;"",C310,IF(B310="","",IFERROR(INDEX(pr_des,MATCH(B310,pr_code,0))&amp;"",""))))</f>
        <v/>
      </c>
      <c r="I310" s="59" t="str">
        <f>IF(B310="","",IFERROR(INDEX(pr_unit,MATCH(B310,pr_code,0))&amp;"",""))</f>
        <v/>
      </c>
      <c r="J310" s="65" t="str">
        <f>IF(COUNTA(A310:G310)=0,"",IF(E310&lt;&gt;"",E310,IF(B310="","",IFERROR(IF(INDEX(pr_price,MATCH(B310,pr_code,0))="","",INDEX(pr_price,MATCH(B310,pr_code,0))),""))))</f>
        <v/>
      </c>
      <c r="K310" s="71" t="str">
        <f>IF(COUNTA(A310:G310)=0,"",IF(G310&lt;&gt;"",G310,IF(B310="","",IFERROR(IF(INDEX(pr_rate,MATCH(B310,pr_code,0))="","",INDEX(pr_rate,MATCH(B310,pr_code,0))),""))))</f>
        <v/>
      </c>
      <c r="L310" s="65" t="str">
        <f>IF(COUNTA(A310:G310)=0,"",IF(AND(ISNUMBER(D310),ISNUMBER(J310)),ROUND(D310*J310*(1-N(F310)),2),0))</f>
        <v/>
      </c>
      <c r="M310" s="62" t="str">
        <f>IF(A310="","",IFERROR(INDEX(dv_cname,MATCH(A310,dv_num,0))&amp;"",""))</f>
        <v/>
      </c>
      <c r="N310" s="59" t="str">
        <f>IF(COUNTA(A310:G310)=0,"",IF(A310="","N° devis manquant",IF(ISNA(MATCH(A310,dv_num,0)),"Devis inconnu",IF(AND(B310&lt;&gt;"",ISNA(MATCH(B310,pr_code,0))),"Article inconnu",IF(H310="","Désignation manquante",IF(OR(NOT(ISNUMBER(D310)),N(D310)&lt;=0),"Quantité invalide",IF(J310="","Prix manquant",IF(OR(NOT(ISNUMBER(J310)),N(J310)&lt;0),"Prix invalide",IF(OR(AND(F310&lt;&gt;"",NOT(ISNUMBER(F310))),N(F310)&lt;0,N(F310)&gt;1),"Remise invalide",IF(K310="","Taux de TVA manquant",IF(NOT(ISNUMBER(K310)),"Taux de TVA invalide",IF(COUNTIF(p_rates,K310)=0,"Taux de TVA hors liste (Paramètres)",IF(N(O310)&gt;25,"Au-delà de 25 lignes : non imprimée","OK")))))))))))))</f>
        <v/>
      </c>
      <c r="O310" s="59" t="str">
        <f>IF(A310="","",COUNTIF($A$6:A310,A310))</f>
        <v/>
      </c>
      <c r="P310" s="62" t="str">
        <f>IF(A310="","",A310&amp;"|"&amp;O310)</f>
        <v/>
      </c>
    </row>
    <row r="311">
      <c r="A311" s="60" t="n"/>
      <c r="B311" s="63" t="n"/>
      <c r="C311" s="63" t="n"/>
      <c r="D311" s="67" t="n"/>
      <c r="E311" s="68" t="n"/>
      <c r="F311" s="69" t="n"/>
      <c r="G311" s="70" t="n"/>
      <c r="H311" s="62" t="str">
        <f>IF(COUNTA(A311:G311)=0,"",IF(C311&lt;&gt;"",C311,IF(B311="","",IFERROR(INDEX(pr_des,MATCH(B311,pr_code,0))&amp;"",""))))</f>
        <v/>
      </c>
      <c r="I311" s="59" t="str">
        <f>IF(B311="","",IFERROR(INDEX(pr_unit,MATCH(B311,pr_code,0))&amp;"",""))</f>
        <v/>
      </c>
      <c r="J311" s="65" t="str">
        <f>IF(COUNTA(A311:G311)=0,"",IF(E311&lt;&gt;"",E311,IF(B311="","",IFERROR(IF(INDEX(pr_price,MATCH(B311,pr_code,0))="","",INDEX(pr_price,MATCH(B311,pr_code,0))),""))))</f>
        <v/>
      </c>
      <c r="K311" s="71" t="str">
        <f>IF(COUNTA(A311:G311)=0,"",IF(G311&lt;&gt;"",G311,IF(B311="","",IFERROR(IF(INDEX(pr_rate,MATCH(B311,pr_code,0))="","",INDEX(pr_rate,MATCH(B311,pr_code,0))),""))))</f>
        <v/>
      </c>
      <c r="L311" s="65" t="str">
        <f>IF(COUNTA(A311:G311)=0,"",IF(AND(ISNUMBER(D311),ISNUMBER(J311)),ROUND(D311*J311*(1-N(F311)),2),0))</f>
        <v/>
      </c>
      <c r="M311" s="62" t="str">
        <f>IF(A311="","",IFERROR(INDEX(dv_cname,MATCH(A311,dv_num,0))&amp;"",""))</f>
        <v/>
      </c>
      <c r="N311" s="59" t="str">
        <f>IF(COUNTA(A311:G311)=0,"",IF(A311="","N° devis manquant",IF(ISNA(MATCH(A311,dv_num,0)),"Devis inconnu",IF(AND(B311&lt;&gt;"",ISNA(MATCH(B311,pr_code,0))),"Article inconnu",IF(H311="","Désignation manquante",IF(OR(NOT(ISNUMBER(D311)),N(D311)&lt;=0),"Quantité invalide",IF(J311="","Prix manquant",IF(OR(NOT(ISNUMBER(J311)),N(J311)&lt;0),"Prix invalide",IF(OR(AND(F311&lt;&gt;"",NOT(ISNUMBER(F311))),N(F311)&lt;0,N(F311)&gt;1),"Remise invalide",IF(K311="","Taux de TVA manquant",IF(NOT(ISNUMBER(K311)),"Taux de TVA invalide",IF(COUNTIF(p_rates,K311)=0,"Taux de TVA hors liste (Paramètres)",IF(N(O311)&gt;25,"Au-delà de 25 lignes : non imprimée","OK")))))))))))))</f>
        <v/>
      </c>
      <c r="O311" s="59" t="str">
        <f>IF(A311="","",COUNTIF($A$6:A311,A311))</f>
        <v/>
      </c>
      <c r="P311" s="62" t="str">
        <f>IF(A311="","",A311&amp;"|"&amp;O311)</f>
        <v/>
      </c>
    </row>
    <row r="312">
      <c r="A312" s="60" t="n"/>
      <c r="B312" s="63" t="n"/>
      <c r="C312" s="63" t="n"/>
      <c r="D312" s="67" t="n"/>
      <c r="E312" s="68" t="n"/>
      <c r="F312" s="69" t="n"/>
      <c r="G312" s="70" t="n"/>
      <c r="H312" s="62" t="str">
        <f>IF(COUNTA(A312:G312)=0,"",IF(C312&lt;&gt;"",C312,IF(B312="","",IFERROR(INDEX(pr_des,MATCH(B312,pr_code,0))&amp;"",""))))</f>
        <v/>
      </c>
      <c r="I312" s="59" t="str">
        <f>IF(B312="","",IFERROR(INDEX(pr_unit,MATCH(B312,pr_code,0))&amp;"",""))</f>
        <v/>
      </c>
      <c r="J312" s="65" t="str">
        <f>IF(COUNTA(A312:G312)=0,"",IF(E312&lt;&gt;"",E312,IF(B312="","",IFERROR(IF(INDEX(pr_price,MATCH(B312,pr_code,0))="","",INDEX(pr_price,MATCH(B312,pr_code,0))),""))))</f>
        <v/>
      </c>
      <c r="K312" s="71" t="str">
        <f>IF(COUNTA(A312:G312)=0,"",IF(G312&lt;&gt;"",G312,IF(B312="","",IFERROR(IF(INDEX(pr_rate,MATCH(B312,pr_code,0))="","",INDEX(pr_rate,MATCH(B312,pr_code,0))),""))))</f>
        <v/>
      </c>
      <c r="L312" s="65" t="str">
        <f>IF(COUNTA(A312:G312)=0,"",IF(AND(ISNUMBER(D312),ISNUMBER(J312)),ROUND(D312*J312*(1-N(F312)),2),0))</f>
        <v/>
      </c>
      <c r="M312" s="62" t="str">
        <f>IF(A312="","",IFERROR(INDEX(dv_cname,MATCH(A312,dv_num,0))&amp;"",""))</f>
        <v/>
      </c>
      <c r="N312" s="59" t="str">
        <f>IF(COUNTA(A312:G312)=0,"",IF(A312="","N° devis manquant",IF(ISNA(MATCH(A312,dv_num,0)),"Devis inconnu",IF(AND(B312&lt;&gt;"",ISNA(MATCH(B312,pr_code,0))),"Article inconnu",IF(H312="","Désignation manquante",IF(OR(NOT(ISNUMBER(D312)),N(D312)&lt;=0),"Quantité invalide",IF(J312="","Prix manquant",IF(OR(NOT(ISNUMBER(J312)),N(J312)&lt;0),"Prix invalide",IF(OR(AND(F312&lt;&gt;"",NOT(ISNUMBER(F312))),N(F312)&lt;0,N(F312)&gt;1),"Remise invalide",IF(K312="","Taux de TVA manquant",IF(NOT(ISNUMBER(K312)),"Taux de TVA invalide",IF(COUNTIF(p_rates,K312)=0,"Taux de TVA hors liste (Paramètres)",IF(N(O312)&gt;25,"Au-delà de 25 lignes : non imprimée","OK")))))))))))))</f>
        <v/>
      </c>
      <c r="O312" s="59" t="str">
        <f>IF(A312="","",COUNTIF($A$6:A312,A312))</f>
        <v/>
      </c>
      <c r="P312" s="62" t="str">
        <f>IF(A312="","",A312&amp;"|"&amp;O312)</f>
        <v/>
      </c>
    </row>
    <row r="313">
      <c r="A313" s="60" t="n"/>
      <c r="B313" s="63" t="n"/>
      <c r="C313" s="63" t="n"/>
      <c r="D313" s="67" t="n"/>
      <c r="E313" s="68" t="n"/>
      <c r="F313" s="69" t="n"/>
      <c r="G313" s="70" t="n"/>
      <c r="H313" s="62" t="str">
        <f>IF(COUNTA(A313:G313)=0,"",IF(C313&lt;&gt;"",C313,IF(B313="","",IFERROR(INDEX(pr_des,MATCH(B313,pr_code,0))&amp;"",""))))</f>
        <v/>
      </c>
      <c r="I313" s="59" t="str">
        <f>IF(B313="","",IFERROR(INDEX(pr_unit,MATCH(B313,pr_code,0))&amp;"",""))</f>
        <v/>
      </c>
      <c r="J313" s="65" t="str">
        <f>IF(COUNTA(A313:G313)=0,"",IF(E313&lt;&gt;"",E313,IF(B313="","",IFERROR(IF(INDEX(pr_price,MATCH(B313,pr_code,0))="","",INDEX(pr_price,MATCH(B313,pr_code,0))),""))))</f>
        <v/>
      </c>
      <c r="K313" s="71" t="str">
        <f>IF(COUNTA(A313:G313)=0,"",IF(G313&lt;&gt;"",G313,IF(B313="","",IFERROR(IF(INDEX(pr_rate,MATCH(B313,pr_code,0))="","",INDEX(pr_rate,MATCH(B313,pr_code,0))),""))))</f>
        <v/>
      </c>
      <c r="L313" s="65" t="str">
        <f>IF(COUNTA(A313:G313)=0,"",IF(AND(ISNUMBER(D313),ISNUMBER(J313)),ROUND(D313*J313*(1-N(F313)),2),0))</f>
        <v/>
      </c>
      <c r="M313" s="62" t="str">
        <f>IF(A313="","",IFERROR(INDEX(dv_cname,MATCH(A313,dv_num,0))&amp;"",""))</f>
        <v/>
      </c>
      <c r="N313" s="59" t="str">
        <f>IF(COUNTA(A313:G313)=0,"",IF(A313="","N° devis manquant",IF(ISNA(MATCH(A313,dv_num,0)),"Devis inconnu",IF(AND(B313&lt;&gt;"",ISNA(MATCH(B313,pr_code,0))),"Article inconnu",IF(H313="","Désignation manquante",IF(OR(NOT(ISNUMBER(D313)),N(D313)&lt;=0),"Quantité invalide",IF(J313="","Prix manquant",IF(OR(NOT(ISNUMBER(J313)),N(J313)&lt;0),"Prix invalide",IF(OR(AND(F313&lt;&gt;"",NOT(ISNUMBER(F313))),N(F313)&lt;0,N(F313)&gt;1),"Remise invalide",IF(K313="","Taux de TVA manquant",IF(NOT(ISNUMBER(K313)),"Taux de TVA invalide",IF(COUNTIF(p_rates,K313)=0,"Taux de TVA hors liste (Paramètres)",IF(N(O313)&gt;25,"Au-delà de 25 lignes : non imprimée","OK")))))))))))))</f>
        <v/>
      </c>
      <c r="O313" s="59" t="str">
        <f>IF(A313="","",COUNTIF($A$6:A313,A313))</f>
        <v/>
      </c>
      <c r="P313" s="62" t="str">
        <f>IF(A313="","",A313&amp;"|"&amp;O313)</f>
        <v/>
      </c>
    </row>
    <row r="314">
      <c r="A314" s="60" t="n"/>
      <c r="B314" s="63" t="n"/>
      <c r="C314" s="63" t="n"/>
      <c r="D314" s="67" t="n"/>
      <c r="E314" s="68" t="n"/>
      <c r="F314" s="69" t="n"/>
      <c r="G314" s="70" t="n"/>
      <c r="H314" s="62" t="str">
        <f>IF(COUNTA(A314:G314)=0,"",IF(C314&lt;&gt;"",C314,IF(B314="","",IFERROR(INDEX(pr_des,MATCH(B314,pr_code,0))&amp;"",""))))</f>
        <v/>
      </c>
      <c r="I314" s="59" t="str">
        <f>IF(B314="","",IFERROR(INDEX(pr_unit,MATCH(B314,pr_code,0))&amp;"",""))</f>
        <v/>
      </c>
      <c r="J314" s="65" t="str">
        <f>IF(COUNTA(A314:G314)=0,"",IF(E314&lt;&gt;"",E314,IF(B314="","",IFERROR(IF(INDEX(pr_price,MATCH(B314,pr_code,0))="","",INDEX(pr_price,MATCH(B314,pr_code,0))),""))))</f>
        <v/>
      </c>
      <c r="K314" s="71" t="str">
        <f>IF(COUNTA(A314:G314)=0,"",IF(G314&lt;&gt;"",G314,IF(B314="","",IFERROR(IF(INDEX(pr_rate,MATCH(B314,pr_code,0))="","",INDEX(pr_rate,MATCH(B314,pr_code,0))),""))))</f>
        <v/>
      </c>
      <c r="L314" s="65" t="str">
        <f>IF(COUNTA(A314:G314)=0,"",IF(AND(ISNUMBER(D314),ISNUMBER(J314)),ROUND(D314*J314*(1-N(F314)),2),0))</f>
        <v/>
      </c>
      <c r="M314" s="62" t="str">
        <f>IF(A314="","",IFERROR(INDEX(dv_cname,MATCH(A314,dv_num,0))&amp;"",""))</f>
        <v/>
      </c>
      <c r="N314" s="59" t="str">
        <f>IF(COUNTA(A314:G314)=0,"",IF(A314="","N° devis manquant",IF(ISNA(MATCH(A314,dv_num,0)),"Devis inconnu",IF(AND(B314&lt;&gt;"",ISNA(MATCH(B314,pr_code,0))),"Article inconnu",IF(H314="","Désignation manquante",IF(OR(NOT(ISNUMBER(D314)),N(D314)&lt;=0),"Quantité invalide",IF(J314="","Prix manquant",IF(OR(NOT(ISNUMBER(J314)),N(J314)&lt;0),"Prix invalide",IF(OR(AND(F314&lt;&gt;"",NOT(ISNUMBER(F314))),N(F314)&lt;0,N(F314)&gt;1),"Remise invalide",IF(K314="","Taux de TVA manquant",IF(NOT(ISNUMBER(K314)),"Taux de TVA invalide",IF(COUNTIF(p_rates,K314)=0,"Taux de TVA hors liste (Paramètres)",IF(N(O314)&gt;25,"Au-delà de 25 lignes : non imprimée","OK")))))))))))))</f>
        <v/>
      </c>
      <c r="O314" s="59" t="str">
        <f>IF(A314="","",COUNTIF($A$6:A314,A314))</f>
        <v/>
      </c>
      <c r="P314" s="62" t="str">
        <f>IF(A314="","",A314&amp;"|"&amp;O314)</f>
        <v/>
      </c>
    </row>
    <row r="315">
      <c r="A315" s="60" t="n"/>
      <c r="B315" s="63" t="n"/>
      <c r="C315" s="63" t="n"/>
      <c r="D315" s="67" t="n"/>
      <c r="E315" s="68" t="n"/>
      <c r="F315" s="69" t="n"/>
      <c r="G315" s="70" t="n"/>
      <c r="H315" s="62" t="str">
        <f>IF(COUNTA(A315:G315)=0,"",IF(C315&lt;&gt;"",C315,IF(B315="","",IFERROR(INDEX(pr_des,MATCH(B315,pr_code,0))&amp;"",""))))</f>
        <v/>
      </c>
      <c r="I315" s="59" t="str">
        <f>IF(B315="","",IFERROR(INDEX(pr_unit,MATCH(B315,pr_code,0))&amp;"",""))</f>
        <v/>
      </c>
      <c r="J315" s="65" t="str">
        <f>IF(COUNTA(A315:G315)=0,"",IF(E315&lt;&gt;"",E315,IF(B315="","",IFERROR(IF(INDEX(pr_price,MATCH(B315,pr_code,0))="","",INDEX(pr_price,MATCH(B315,pr_code,0))),""))))</f>
        <v/>
      </c>
      <c r="K315" s="71" t="str">
        <f>IF(COUNTA(A315:G315)=0,"",IF(G315&lt;&gt;"",G315,IF(B315="","",IFERROR(IF(INDEX(pr_rate,MATCH(B315,pr_code,0))="","",INDEX(pr_rate,MATCH(B315,pr_code,0))),""))))</f>
        <v/>
      </c>
      <c r="L315" s="65" t="str">
        <f>IF(COUNTA(A315:G315)=0,"",IF(AND(ISNUMBER(D315),ISNUMBER(J315)),ROUND(D315*J315*(1-N(F315)),2),0))</f>
        <v/>
      </c>
      <c r="M315" s="62" t="str">
        <f>IF(A315="","",IFERROR(INDEX(dv_cname,MATCH(A315,dv_num,0))&amp;"",""))</f>
        <v/>
      </c>
      <c r="N315" s="59" t="str">
        <f>IF(COUNTA(A315:G315)=0,"",IF(A315="","N° devis manquant",IF(ISNA(MATCH(A315,dv_num,0)),"Devis inconnu",IF(AND(B315&lt;&gt;"",ISNA(MATCH(B315,pr_code,0))),"Article inconnu",IF(H315="","Désignation manquante",IF(OR(NOT(ISNUMBER(D315)),N(D315)&lt;=0),"Quantité invalide",IF(J315="","Prix manquant",IF(OR(NOT(ISNUMBER(J315)),N(J315)&lt;0),"Prix invalide",IF(OR(AND(F315&lt;&gt;"",NOT(ISNUMBER(F315))),N(F315)&lt;0,N(F315)&gt;1),"Remise invalide",IF(K315="","Taux de TVA manquant",IF(NOT(ISNUMBER(K315)),"Taux de TVA invalide",IF(COUNTIF(p_rates,K315)=0,"Taux de TVA hors liste (Paramètres)",IF(N(O315)&gt;25,"Au-delà de 25 lignes : non imprimée","OK")))))))))))))</f>
        <v/>
      </c>
      <c r="O315" s="59" t="str">
        <f>IF(A315="","",COUNTIF($A$6:A315,A315))</f>
        <v/>
      </c>
      <c r="P315" s="62" t="str">
        <f>IF(A315="","",A315&amp;"|"&amp;O315)</f>
        <v/>
      </c>
    </row>
    <row r="316">
      <c r="A316" s="60" t="n"/>
      <c r="B316" s="63" t="n"/>
      <c r="C316" s="63" t="n"/>
      <c r="D316" s="67" t="n"/>
      <c r="E316" s="68" t="n"/>
      <c r="F316" s="69" t="n"/>
      <c r="G316" s="70" t="n"/>
      <c r="H316" s="62" t="str">
        <f>IF(COUNTA(A316:G316)=0,"",IF(C316&lt;&gt;"",C316,IF(B316="","",IFERROR(INDEX(pr_des,MATCH(B316,pr_code,0))&amp;"",""))))</f>
        <v/>
      </c>
      <c r="I316" s="59" t="str">
        <f>IF(B316="","",IFERROR(INDEX(pr_unit,MATCH(B316,pr_code,0))&amp;"",""))</f>
        <v/>
      </c>
      <c r="J316" s="65" t="str">
        <f>IF(COUNTA(A316:G316)=0,"",IF(E316&lt;&gt;"",E316,IF(B316="","",IFERROR(IF(INDEX(pr_price,MATCH(B316,pr_code,0))="","",INDEX(pr_price,MATCH(B316,pr_code,0))),""))))</f>
        <v/>
      </c>
      <c r="K316" s="71" t="str">
        <f>IF(COUNTA(A316:G316)=0,"",IF(G316&lt;&gt;"",G316,IF(B316="","",IFERROR(IF(INDEX(pr_rate,MATCH(B316,pr_code,0))="","",INDEX(pr_rate,MATCH(B316,pr_code,0))),""))))</f>
        <v/>
      </c>
      <c r="L316" s="65" t="str">
        <f>IF(COUNTA(A316:G316)=0,"",IF(AND(ISNUMBER(D316),ISNUMBER(J316)),ROUND(D316*J316*(1-N(F316)),2),0))</f>
        <v/>
      </c>
      <c r="M316" s="62" t="str">
        <f>IF(A316="","",IFERROR(INDEX(dv_cname,MATCH(A316,dv_num,0))&amp;"",""))</f>
        <v/>
      </c>
      <c r="N316" s="59" t="str">
        <f>IF(COUNTA(A316:G316)=0,"",IF(A316="","N° devis manquant",IF(ISNA(MATCH(A316,dv_num,0)),"Devis inconnu",IF(AND(B316&lt;&gt;"",ISNA(MATCH(B316,pr_code,0))),"Article inconnu",IF(H316="","Désignation manquante",IF(OR(NOT(ISNUMBER(D316)),N(D316)&lt;=0),"Quantité invalide",IF(J316="","Prix manquant",IF(OR(NOT(ISNUMBER(J316)),N(J316)&lt;0),"Prix invalide",IF(OR(AND(F316&lt;&gt;"",NOT(ISNUMBER(F316))),N(F316)&lt;0,N(F316)&gt;1),"Remise invalide",IF(K316="","Taux de TVA manquant",IF(NOT(ISNUMBER(K316)),"Taux de TVA invalide",IF(COUNTIF(p_rates,K316)=0,"Taux de TVA hors liste (Paramètres)",IF(N(O316)&gt;25,"Au-delà de 25 lignes : non imprimée","OK")))))))))))))</f>
        <v/>
      </c>
      <c r="O316" s="59" t="str">
        <f>IF(A316="","",COUNTIF($A$6:A316,A316))</f>
        <v/>
      </c>
      <c r="P316" s="62" t="str">
        <f>IF(A316="","",A316&amp;"|"&amp;O316)</f>
        <v/>
      </c>
    </row>
    <row r="317">
      <c r="A317" s="60" t="n"/>
      <c r="B317" s="63" t="n"/>
      <c r="C317" s="63" t="n"/>
      <c r="D317" s="67" t="n"/>
      <c r="E317" s="68" t="n"/>
      <c r="F317" s="69" t="n"/>
      <c r="G317" s="70" t="n"/>
      <c r="H317" s="62" t="str">
        <f>IF(COUNTA(A317:G317)=0,"",IF(C317&lt;&gt;"",C317,IF(B317="","",IFERROR(INDEX(pr_des,MATCH(B317,pr_code,0))&amp;"",""))))</f>
        <v/>
      </c>
      <c r="I317" s="59" t="str">
        <f>IF(B317="","",IFERROR(INDEX(pr_unit,MATCH(B317,pr_code,0))&amp;"",""))</f>
        <v/>
      </c>
      <c r="J317" s="65" t="str">
        <f>IF(COUNTA(A317:G317)=0,"",IF(E317&lt;&gt;"",E317,IF(B317="","",IFERROR(IF(INDEX(pr_price,MATCH(B317,pr_code,0))="","",INDEX(pr_price,MATCH(B317,pr_code,0))),""))))</f>
        <v/>
      </c>
      <c r="K317" s="71" t="str">
        <f>IF(COUNTA(A317:G317)=0,"",IF(G317&lt;&gt;"",G317,IF(B317="","",IFERROR(IF(INDEX(pr_rate,MATCH(B317,pr_code,0))="","",INDEX(pr_rate,MATCH(B317,pr_code,0))),""))))</f>
        <v/>
      </c>
      <c r="L317" s="65" t="str">
        <f>IF(COUNTA(A317:G317)=0,"",IF(AND(ISNUMBER(D317),ISNUMBER(J317)),ROUND(D317*J317*(1-N(F317)),2),0))</f>
        <v/>
      </c>
      <c r="M317" s="62" t="str">
        <f>IF(A317="","",IFERROR(INDEX(dv_cname,MATCH(A317,dv_num,0))&amp;"",""))</f>
        <v/>
      </c>
      <c r="N317" s="59" t="str">
        <f>IF(COUNTA(A317:G317)=0,"",IF(A317="","N° devis manquant",IF(ISNA(MATCH(A317,dv_num,0)),"Devis inconnu",IF(AND(B317&lt;&gt;"",ISNA(MATCH(B317,pr_code,0))),"Article inconnu",IF(H317="","Désignation manquante",IF(OR(NOT(ISNUMBER(D317)),N(D317)&lt;=0),"Quantité invalide",IF(J317="","Prix manquant",IF(OR(NOT(ISNUMBER(J317)),N(J317)&lt;0),"Prix invalide",IF(OR(AND(F317&lt;&gt;"",NOT(ISNUMBER(F317))),N(F317)&lt;0,N(F317)&gt;1),"Remise invalide",IF(K317="","Taux de TVA manquant",IF(NOT(ISNUMBER(K317)),"Taux de TVA invalide",IF(COUNTIF(p_rates,K317)=0,"Taux de TVA hors liste (Paramètres)",IF(N(O317)&gt;25,"Au-delà de 25 lignes : non imprimée","OK")))))))))))))</f>
        <v/>
      </c>
      <c r="O317" s="59" t="str">
        <f>IF(A317="","",COUNTIF($A$6:A317,A317))</f>
        <v/>
      </c>
      <c r="P317" s="62" t="str">
        <f>IF(A317="","",A317&amp;"|"&amp;O317)</f>
        <v/>
      </c>
    </row>
    <row r="318">
      <c r="A318" s="60" t="n"/>
      <c r="B318" s="63" t="n"/>
      <c r="C318" s="63" t="n"/>
      <c r="D318" s="67" t="n"/>
      <c r="E318" s="68" t="n"/>
      <c r="F318" s="69" t="n"/>
      <c r="G318" s="70" t="n"/>
      <c r="H318" s="62" t="str">
        <f>IF(COUNTA(A318:G318)=0,"",IF(C318&lt;&gt;"",C318,IF(B318="","",IFERROR(INDEX(pr_des,MATCH(B318,pr_code,0))&amp;"",""))))</f>
        <v/>
      </c>
      <c r="I318" s="59" t="str">
        <f>IF(B318="","",IFERROR(INDEX(pr_unit,MATCH(B318,pr_code,0))&amp;"",""))</f>
        <v/>
      </c>
      <c r="J318" s="65" t="str">
        <f>IF(COUNTA(A318:G318)=0,"",IF(E318&lt;&gt;"",E318,IF(B318="","",IFERROR(IF(INDEX(pr_price,MATCH(B318,pr_code,0))="","",INDEX(pr_price,MATCH(B318,pr_code,0))),""))))</f>
        <v/>
      </c>
      <c r="K318" s="71" t="str">
        <f>IF(COUNTA(A318:G318)=0,"",IF(G318&lt;&gt;"",G318,IF(B318="","",IFERROR(IF(INDEX(pr_rate,MATCH(B318,pr_code,0))="","",INDEX(pr_rate,MATCH(B318,pr_code,0))),""))))</f>
        <v/>
      </c>
      <c r="L318" s="65" t="str">
        <f>IF(COUNTA(A318:G318)=0,"",IF(AND(ISNUMBER(D318),ISNUMBER(J318)),ROUND(D318*J318*(1-N(F318)),2),0))</f>
        <v/>
      </c>
      <c r="M318" s="62" t="str">
        <f>IF(A318="","",IFERROR(INDEX(dv_cname,MATCH(A318,dv_num,0))&amp;"",""))</f>
        <v/>
      </c>
      <c r="N318" s="59" t="str">
        <f>IF(COUNTA(A318:G318)=0,"",IF(A318="","N° devis manquant",IF(ISNA(MATCH(A318,dv_num,0)),"Devis inconnu",IF(AND(B318&lt;&gt;"",ISNA(MATCH(B318,pr_code,0))),"Article inconnu",IF(H318="","Désignation manquante",IF(OR(NOT(ISNUMBER(D318)),N(D318)&lt;=0),"Quantité invalide",IF(J318="","Prix manquant",IF(OR(NOT(ISNUMBER(J318)),N(J318)&lt;0),"Prix invalide",IF(OR(AND(F318&lt;&gt;"",NOT(ISNUMBER(F318))),N(F318)&lt;0,N(F318)&gt;1),"Remise invalide",IF(K318="","Taux de TVA manquant",IF(NOT(ISNUMBER(K318)),"Taux de TVA invalide",IF(COUNTIF(p_rates,K318)=0,"Taux de TVA hors liste (Paramètres)",IF(N(O318)&gt;25,"Au-delà de 25 lignes : non imprimée","OK")))))))))))))</f>
        <v/>
      </c>
      <c r="O318" s="59" t="str">
        <f>IF(A318="","",COUNTIF($A$6:A318,A318))</f>
        <v/>
      </c>
      <c r="P318" s="62" t="str">
        <f>IF(A318="","",A318&amp;"|"&amp;O318)</f>
        <v/>
      </c>
    </row>
    <row r="319">
      <c r="A319" s="60" t="n"/>
      <c r="B319" s="63" t="n"/>
      <c r="C319" s="63" t="n"/>
      <c r="D319" s="67" t="n"/>
      <c r="E319" s="68" t="n"/>
      <c r="F319" s="69" t="n"/>
      <c r="G319" s="70" t="n"/>
      <c r="H319" s="62" t="str">
        <f>IF(COUNTA(A319:G319)=0,"",IF(C319&lt;&gt;"",C319,IF(B319="","",IFERROR(INDEX(pr_des,MATCH(B319,pr_code,0))&amp;"",""))))</f>
        <v/>
      </c>
      <c r="I319" s="59" t="str">
        <f>IF(B319="","",IFERROR(INDEX(pr_unit,MATCH(B319,pr_code,0))&amp;"",""))</f>
        <v/>
      </c>
      <c r="J319" s="65" t="str">
        <f>IF(COUNTA(A319:G319)=0,"",IF(E319&lt;&gt;"",E319,IF(B319="","",IFERROR(IF(INDEX(pr_price,MATCH(B319,pr_code,0))="","",INDEX(pr_price,MATCH(B319,pr_code,0))),""))))</f>
        <v/>
      </c>
      <c r="K319" s="71" t="str">
        <f>IF(COUNTA(A319:G319)=0,"",IF(G319&lt;&gt;"",G319,IF(B319="","",IFERROR(IF(INDEX(pr_rate,MATCH(B319,pr_code,0))="","",INDEX(pr_rate,MATCH(B319,pr_code,0))),""))))</f>
        <v/>
      </c>
      <c r="L319" s="65" t="str">
        <f>IF(COUNTA(A319:G319)=0,"",IF(AND(ISNUMBER(D319),ISNUMBER(J319)),ROUND(D319*J319*(1-N(F319)),2),0))</f>
        <v/>
      </c>
      <c r="M319" s="62" t="str">
        <f>IF(A319="","",IFERROR(INDEX(dv_cname,MATCH(A319,dv_num,0))&amp;"",""))</f>
        <v/>
      </c>
      <c r="N319" s="59" t="str">
        <f>IF(COUNTA(A319:G319)=0,"",IF(A319="","N° devis manquant",IF(ISNA(MATCH(A319,dv_num,0)),"Devis inconnu",IF(AND(B319&lt;&gt;"",ISNA(MATCH(B319,pr_code,0))),"Article inconnu",IF(H319="","Désignation manquante",IF(OR(NOT(ISNUMBER(D319)),N(D319)&lt;=0),"Quantité invalide",IF(J319="","Prix manquant",IF(OR(NOT(ISNUMBER(J319)),N(J319)&lt;0),"Prix invalide",IF(OR(AND(F319&lt;&gt;"",NOT(ISNUMBER(F319))),N(F319)&lt;0,N(F319)&gt;1),"Remise invalide",IF(K319="","Taux de TVA manquant",IF(NOT(ISNUMBER(K319)),"Taux de TVA invalide",IF(COUNTIF(p_rates,K319)=0,"Taux de TVA hors liste (Paramètres)",IF(N(O319)&gt;25,"Au-delà de 25 lignes : non imprimée","OK")))))))))))))</f>
        <v/>
      </c>
      <c r="O319" s="59" t="str">
        <f>IF(A319="","",COUNTIF($A$6:A319,A319))</f>
        <v/>
      </c>
      <c r="P319" s="62" t="str">
        <f>IF(A319="","",A319&amp;"|"&amp;O319)</f>
        <v/>
      </c>
    </row>
    <row r="320">
      <c r="A320" s="60" t="n"/>
      <c r="B320" s="63" t="n"/>
      <c r="C320" s="63" t="n"/>
      <c r="D320" s="67" t="n"/>
      <c r="E320" s="68" t="n"/>
      <c r="F320" s="69" t="n"/>
      <c r="G320" s="70" t="n"/>
      <c r="H320" s="62" t="str">
        <f>IF(COUNTA(A320:G320)=0,"",IF(C320&lt;&gt;"",C320,IF(B320="","",IFERROR(INDEX(pr_des,MATCH(B320,pr_code,0))&amp;"",""))))</f>
        <v/>
      </c>
      <c r="I320" s="59" t="str">
        <f>IF(B320="","",IFERROR(INDEX(pr_unit,MATCH(B320,pr_code,0))&amp;"",""))</f>
        <v/>
      </c>
      <c r="J320" s="65" t="str">
        <f>IF(COUNTA(A320:G320)=0,"",IF(E320&lt;&gt;"",E320,IF(B320="","",IFERROR(IF(INDEX(pr_price,MATCH(B320,pr_code,0))="","",INDEX(pr_price,MATCH(B320,pr_code,0))),""))))</f>
        <v/>
      </c>
      <c r="K320" s="71" t="str">
        <f>IF(COUNTA(A320:G320)=0,"",IF(G320&lt;&gt;"",G320,IF(B320="","",IFERROR(IF(INDEX(pr_rate,MATCH(B320,pr_code,0))="","",INDEX(pr_rate,MATCH(B320,pr_code,0))),""))))</f>
        <v/>
      </c>
      <c r="L320" s="65" t="str">
        <f>IF(COUNTA(A320:G320)=0,"",IF(AND(ISNUMBER(D320),ISNUMBER(J320)),ROUND(D320*J320*(1-N(F320)),2),0))</f>
        <v/>
      </c>
      <c r="M320" s="62" t="str">
        <f>IF(A320="","",IFERROR(INDEX(dv_cname,MATCH(A320,dv_num,0))&amp;"",""))</f>
        <v/>
      </c>
      <c r="N320" s="59" t="str">
        <f>IF(COUNTA(A320:G320)=0,"",IF(A320="","N° devis manquant",IF(ISNA(MATCH(A320,dv_num,0)),"Devis inconnu",IF(AND(B320&lt;&gt;"",ISNA(MATCH(B320,pr_code,0))),"Article inconnu",IF(H320="","Désignation manquante",IF(OR(NOT(ISNUMBER(D320)),N(D320)&lt;=0),"Quantité invalide",IF(J320="","Prix manquant",IF(OR(NOT(ISNUMBER(J320)),N(J320)&lt;0),"Prix invalide",IF(OR(AND(F320&lt;&gt;"",NOT(ISNUMBER(F320))),N(F320)&lt;0,N(F320)&gt;1),"Remise invalide",IF(K320="","Taux de TVA manquant",IF(NOT(ISNUMBER(K320)),"Taux de TVA invalide",IF(COUNTIF(p_rates,K320)=0,"Taux de TVA hors liste (Paramètres)",IF(N(O320)&gt;25,"Au-delà de 25 lignes : non imprimée","OK")))))))))))))</f>
        <v/>
      </c>
      <c r="O320" s="59" t="str">
        <f>IF(A320="","",COUNTIF($A$6:A320,A320))</f>
        <v/>
      </c>
      <c r="P320" s="62" t="str">
        <f>IF(A320="","",A320&amp;"|"&amp;O320)</f>
        <v/>
      </c>
    </row>
    <row r="321">
      <c r="A321" s="60" t="n"/>
      <c r="B321" s="63" t="n"/>
      <c r="C321" s="63" t="n"/>
      <c r="D321" s="67" t="n"/>
      <c r="E321" s="68" t="n"/>
      <c r="F321" s="69" t="n"/>
      <c r="G321" s="70" t="n"/>
      <c r="H321" s="62" t="str">
        <f>IF(COUNTA(A321:G321)=0,"",IF(C321&lt;&gt;"",C321,IF(B321="","",IFERROR(INDEX(pr_des,MATCH(B321,pr_code,0))&amp;"",""))))</f>
        <v/>
      </c>
      <c r="I321" s="59" t="str">
        <f>IF(B321="","",IFERROR(INDEX(pr_unit,MATCH(B321,pr_code,0))&amp;"",""))</f>
        <v/>
      </c>
      <c r="J321" s="65" t="str">
        <f>IF(COUNTA(A321:G321)=0,"",IF(E321&lt;&gt;"",E321,IF(B321="","",IFERROR(IF(INDEX(pr_price,MATCH(B321,pr_code,0))="","",INDEX(pr_price,MATCH(B321,pr_code,0))),""))))</f>
        <v/>
      </c>
      <c r="K321" s="71" t="str">
        <f>IF(COUNTA(A321:G321)=0,"",IF(G321&lt;&gt;"",G321,IF(B321="","",IFERROR(IF(INDEX(pr_rate,MATCH(B321,pr_code,0))="","",INDEX(pr_rate,MATCH(B321,pr_code,0))),""))))</f>
        <v/>
      </c>
      <c r="L321" s="65" t="str">
        <f>IF(COUNTA(A321:G321)=0,"",IF(AND(ISNUMBER(D321),ISNUMBER(J321)),ROUND(D321*J321*(1-N(F321)),2),0))</f>
        <v/>
      </c>
      <c r="M321" s="62" t="str">
        <f>IF(A321="","",IFERROR(INDEX(dv_cname,MATCH(A321,dv_num,0))&amp;"",""))</f>
        <v/>
      </c>
      <c r="N321" s="59" t="str">
        <f>IF(COUNTA(A321:G321)=0,"",IF(A321="","N° devis manquant",IF(ISNA(MATCH(A321,dv_num,0)),"Devis inconnu",IF(AND(B321&lt;&gt;"",ISNA(MATCH(B321,pr_code,0))),"Article inconnu",IF(H321="","Désignation manquante",IF(OR(NOT(ISNUMBER(D321)),N(D321)&lt;=0),"Quantité invalide",IF(J321="","Prix manquant",IF(OR(NOT(ISNUMBER(J321)),N(J321)&lt;0),"Prix invalide",IF(OR(AND(F321&lt;&gt;"",NOT(ISNUMBER(F321))),N(F321)&lt;0,N(F321)&gt;1),"Remise invalide",IF(K321="","Taux de TVA manquant",IF(NOT(ISNUMBER(K321)),"Taux de TVA invalide",IF(COUNTIF(p_rates,K321)=0,"Taux de TVA hors liste (Paramètres)",IF(N(O321)&gt;25,"Au-delà de 25 lignes : non imprimée","OK")))))))))))))</f>
        <v/>
      </c>
      <c r="O321" s="59" t="str">
        <f>IF(A321="","",COUNTIF($A$6:A321,A321))</f>
        <v/>
      </c>
      <c r="P321" s="62" t="str">
        <f>IF(A321="","",A321&amp;"|"&amp;O321)</f>
        <v/>
      </c>
    </row>
    <row r="322">
      <c r="A322" s="60" t="n"/>
      <c r="B322" s="63" t="n"/>
      <c r="C322" s="63" t="n"/>
      <c r="D322" s="67" t="n"/>
      <c r="E322" s="68" t="n"/>
      <c r="F322" s="69" t="n"/>
      <c r="G322" s="70" t="n"/>
      <c r="H322" s="62" t="str">
        <f>IF(COUNTA(A322:G322)=0,"",IF(C322&lt;&gt;"",C322,IF(B322="","",IFERROR(INDEX(pr_des,MATCH(B322,pr_code,0))&amp;"",""))))</f>
        <v/>
      </c>
      <c r="I322" s="59" t="str">
        <f>IF(B322="","",IFERROR(INDEX(pr_unit,MATCH(B322,pr_code,0))&amp;"",""))</f>
        <v/>
      </c>
      <c r="J322" s="65" t="str">
        <f>IF(COUNTA(A322:G322)=0,"",IF(E322&lt;&gt;"",E322,IF(B322="","",IFERROR(IF(INDEX(pr_price,MATCH(B322,pr_code,0))="","",INDEX(pr_price,MATCH(B322,pr_code,0))),""))))</f>
        <v/>
      </c>
      <c r="K322" s="71" t="str">
        <f>IF(COUNTA(A322:G322)=0,"",IF(G322&lt;&gt;"",G322,IF(B322="","",IFERROR(IF(INDEX(pr_rate,MATCH(B322,pr_code,0))="","",INDEX(pr_rate,MATCH(B322,pr_code,0))),""))))</f>
        <v/>
      </c>
      <c r="L322" s="65" t="str">
        <f>IF(COUNTA(A322:G322)=0,"",IF(AND(ISNUMBER(D322),ISNUMBER(J322)),ROUND(D322*J322*(1-N(F322)),2),0))</f>
        <v/>
      </c>
      <c r="M322" s="62" t="str">
        <f>IF(A322="","",IFERROR(INDEX(dv_cname,MATCH(A322,dv_num,0))&amp;"",""))</f>
        <v/>
      </c>
      <c r="N322" s="59" t="str">
        <f>IF(COUNTA(A322:G322)=0,"",IF(A322="","N° devis manquant",IF(ISNA(MATCH(A322,dv_num,0)),"Devis inconnu",IF(AND(B322&lt;&gt;"",ISNA(MATCH(B322,pr_code,0))),"Article inconnu",IF(H322="","Désignation manquante",IF(OR(NOT(ISNUMBER(D322)),N(D322)&lt;=0),"Quantité invalide",IF(J322="","Prix manquant",IF(OR(NOT(ISNUMBER(J322)),N(J322)&lt;0),"Prix invalide",IF(OR(AND(F322&lt;&gt;"",NOT(ISNUMBER(F322))),N(F322)&lt;0,N(F322)&gt;1),"Remise invalide",IF(K322="","Taux de TVA manquant",IF(NOT(ISNUMBER(K322)),"Taux de TVA invalide",IF(COUNTIF(p_rates,K322)=0,"Taux de TVA hors liste (Paramètres)",IF(N(O322)&gt;25,"Au-delà de 25 lignes : non imprimée","OK")))))))))))))</f>
        <v/>
      </c>
      <c r="O322" s="59" t="str">
        <f>IF(A322="","",COUNTIF($A$6:A322,A322))</f>
        <v/>
      </c>
      <c r="P322" s="62" t="str">
        <f>IF(A322="","",A322&amp;"|"&amp;O322)</f>
        <v/>
      </c>
    </row>
    <row r="323">
      <c r="A323" s="60" t="n"/>
      <c r="B323" s="63" t="n"/>
      <c r="C323" s="63" t="n"/>
      <c r="D323" s="67" t="n"/>
      <c r="E323" s="68" t="n"/>
      <c r="F323" s="69" t="n"/>
      <c r="G323" s="70" t="n"/>
      <c r="H323" s="62" t="str">
        <f>IF(COUNTA(A323:G323)=0,"",IF(C323&lt;&gt;"",C323,IF(B323="","",IFERROR(INDEX(pr_des,MATCH(B323,pr_code,0))&amp;"",""))))</f>
        <v/>
      </c>
      <c r="I323" s="59" t="str">
        <f>IF(B323="","",IFERROR(INDEX(pr_unit,MATCH(B323,pr_code,0))&amp;"",""))</f>
        <v/>
      </c>
      <c r="J323" s="65" t="str">
        <f>IF(COUNTA(A323:G323)=0,"",IF(E323&lt;&gt;"",E323,IF(B323="","",IFERROR(IF(INDEX(pr_price,MATCH(B323,pr_code,0))="","",INDEX(pr_price,MATCH(B323,pr_code,0))),""))))</f>
        <v/>
      </c>
      <c r="K323" s="71" t="str">
        <f>IF(COUNTA(A323:G323)=0,"",IF(G323&lt;&gt;"",G323,IF(B323="","",IFERROR(IF(INDEX(pr_rate,MATCH(B323,pr_code,0))="","",INDEX(pr_rate,MATCH(B323,pr_code,0))),""))))</f>
        <v/>
      </c>
      <c r="L323" s="65" t="str">
        <f>IF(COUNTA(A323:G323)=0,"",IF(AND(ISNUMBER(D323),ISNUMBER(J323)),ROUND(D323*J323*(1-N(F323)),2),0))</f>
        <v/>
      </c>
      <c r="M323" s="62" t="str">
        <f>IF(A323="","",IFERROR(INDEX(dv_cname,MATCH(A323,dv_num,0))&amp;"",""))</f>
        <v/>
      </c>
      <c r="N323" s="59" t="str">
        <f>IF(COUNTA(A323:G323)=0,"",IF(A323="","N° devis manquant",IF(ISNA(MATCH(A323,dv_num,0)),"Devis inconnu",IF(AND(B323&lt;&gt;"",ISNA(MATCH(B323,pr_code,0))),"Article inconnu",IF(H323="","Désignation manquante",IF(OR(NOT(ISNUMBER(D323)),N(D323)&lt;=0),"Quantité invalide",IF(J323="","Prix manquant",IF(OR(NOT(ISNUMBER(J323)),N(J323)&lt;0),"Prix invalide",IF(OR(AND(F323&lt;&gt;"",NOT(ISNUMBER(F323))),N(F323)&lt;0,N(F323)&gt;1),"Remise invalide",IF(K323="","Taux de TVA manquant",IF(NOT(ISNUMBER(K323)),"Taux de TVA invalide",IF(COUNTIF(p_rates,K323)=0,"Taux de TVA hors liste (Paramètres)",IF(N(O323)&gt;25,"Au-delà de 25 lignes : non imprimée","OK")))))))))))))</f>
        <v/>
      </c>
      <c r="O323" s="59" t="str">
        <f>IF(A323="","",COUNTIF($A$6:A323,A323))</f>
        <v/>
      </c>
      <c r="P323" s="62" t="str">
        <f>IF(A323="","",A323&amp;"|"&amp;O323)</f>
        <v/>
      </c>
    </row>
    <row r="324">
      <c r="A324" s="60" t="n"/>
      <c r="B324" s="63" t="n"/>
      <c r="C324" s="63" t="n"/>
      <c r="D324" s="67" t="n"/>
      <c r="E324" s="68" t="n"/>
      <c r="F324" s="69" t="n"/>
      <c r="G324" s="70" t="n"/>
      <c r="H324" s="62" t="str">
        <f>IF(COUNTA(A324:G324)=0,"",IF(C324&lt;&gt;"",C324,IF(B324="","",IFERROR(INDEX(pr_des,MATCH(B324,pr_code,0))&amp;"",""))))</f>
        <v/>
      </c>
      <c r="I324" s="59" t="str">
        <f>IF(B324="","",IFERROR(INDEX(pr_unit,MATCH(B324,pr_code,0))&amp;"",""))</f>
        <v/>
      </c>
      <c r="J324" s="65" t="str">
        <f>IF(COUNTA(A324:G324)=0,"",IF(E324&lt;&gt;"",E324,IF(B324="","",IFERROR(IF(INDEX(pr_price,MATCH(B324,pr_code,0))="","",INDEX(pr_price,MATCH(B324,pr_code,0))),""))))</f>
        <v/>
      </c>
      <c r="K324" s="71" t="str">
        <f>IF(COUNTA(A324:G324)=0,"",IF(G324&lt;&gt;"",G324,IF(B324="","",IFERROR(IF(INDEX(pr_rate,MATCH(B324,pr_code,0))="","",INDEX(pr_rate,MATCH(B324,pr_code,0))),""))))</f>
        <v/>
      </c>
      <c r="L324" s="65" t="str">
        <f>IF(COUNTA(A324:G324)=0,"",IF(AND(ISNUMBER(D324),ISNUMBER(J324)),ROUND(D324*J324*(1-N(F324)),2),0))</f>
        <v/>
      </c>
      <c r="M324" s="62" t="str">
        <f>IF(A324="","",IFERROR(INDEX(dv_cname,MATCH(A324,dv_num,0))&amp;"",""))</f>
        <v/>
      </c>
      <c r="N324" s="59" t="str">
        <f>IF(COUNTA(A324:G324)=0,"",IF(A324="","N° devis manquant",IF(ISNA(MATCH(A324,dv_num,0)),"Devis inconnu",IF(AND(B324&lt;&gt;"",ISNA(MATCH(B324,pr_code,0))),"Article inconnu",IF(H324="","Désignation manquante",IF(OR(NOT(ISNUMBER(D324)),N(D324)&lt;=0),"Quantité invalide",IF(J324="","Prix manquant",IF(OR(NOT(ISNUMBER(J324)),N(J324)&lt;0),"Prix invalide",IF(OR(AND(F324&lt;&gt;"",NOT(ISNUMBER(F324))),N(F324)&lt;0,N(F324)&gt;1),"Remise invalide",IF(K324="","Taux de TVA manquant",IF(NOT(ISNUMBER(K324)),"Taux de TVA invalide",IF(COUNTIF(p_rates,K324)=0,"Taux de TVA hors liste (Paramètres)",IF(N(O324)&gt;25,"Au-delà de 25 lignes : non imprimée","OK")))))))))))))</f>
        <v/>
      </c>
      <c r="O324" s="59" t="str">
        <f>IF(A324="","",COUNTIF($A$6:A324,A324))</f>
        <v/>
      </c>
      <c r="P324" s="62" t="str">
        <f>IF(A324="","",A324&amp;"|"&amp;O324)</f>
        <v/>
      </c>
    </row>
    <row r="325">
      <c r="A325" s="60" t="n"/>
      <c r="B325" s="63" t="n"/>
      <c r="C325" s="63" t="n"/>
      <c r="D325" s="67" t="n"/>
      <c r="E325" s="68" t="n"/>
      <c r="F325" s="69" t="n"/>
      <c r="G325" s="70" t="n"/>
      <c r="H325" s="62" t="str">
        <f>IF(COUNTA(A325:G325)=0,"",IF(C325&lt;&gt;"",C325,IF(B325="","",IFERROR(INDEX(pr_des,MATCH(B325,pr_code,0))&amp;"",""))))</f>
        <v/>
      </c>
      <c r="I325" s="59" t="str">
        <f>IF(B325="","",IFERROR(INDEX(pr_unit,MATCH(B325,pr_code,0))&amp;"",""))</f>
        <v/>
      </c>
      <c r="J325" s="65" t="str">
        <f>IF(COUNTA(A325:G325)=0,"",IF(E325&lt;&gt;"",E325,IF(B325="","",IFERROR(IF(INDEX(pr_price,MATCH(B325,pr_code,0))="","",INDEX(pr_price,MATCH(B325,pr_code,0))),""))))</f>
        <v/>
      </c>
      <c r="K325" s="71" t="str">
        <f>IF(COUNTA(A325:G325)=0,"",IF(G325&lt;&gt;"",G325,IF(B325="","",IFERROR(IF(INDEX(pr_rate,MATCH(B325,pr_code,0))="","",INDEX(pr_rate,MATCH(B325,pr_code,0))),""))))</f>
        <v/>
      </c>
      <c r="L325" s="65" t="str">
        <f>IF(COUNTA(A325:G325)=0,"",IF(AND(ISNUMBER(D325),ISNUMBER(J325)),ROUND(D325*J325*(1-N(F325)),2),0))</f>
        <v/>
      </c>
      <c r="M325" s="62" t="str">
        <f>IF(A325="","",IFERROR(INDEX(dv_cname,MATCH(A325,dv_num,0))&amp;"",""))</f>
        <v/>
      </c>
      <c r="N325" s="59" t="str">
        <f>IF(COUNTA(A325:G325)=0,"",IF(A325="","N° devis manquant",IF(ISNA(MATCH(A325,dv_num,0)),"Devis inconnu",IF(AND(B325&lt;&gt;"",ISNA(MATCH(B325,pr_code,0))),"Article inconnu",IF(H325="","Désignation manquante",IF(OR(NOT(ISNUMBER(D325)),N(D325)&lt;=0),"Quantité invalide",IF(J325="","Prix manquant",IF(OR(NOT(ISNUMBER(J325)),N(J325)&lt;0),"Prix invalide",IF(OR(AND(F325&lt;&gt;"",NOT(ISNUMBER(F325))),N(F325)&lt;0,N(F325)&gt;1),"Remise invalide",IF(K325="","Taux de TVA manquant",IF(NOT(ISNUMBER(K325)),"Taux de TVA invalide",IF(COUNTIF(p_rates,K325)=0,"Taux de TVA hors liste (Paramètres)",IF(N(O325)&gt;25,"Au-delà de 25 lignes : non imprimée","OK")))))))))))))</f>
        <v/>
      </c>
      <c r="O325" s="59" t="str">
        <f>IF(A325="","",COUNTIF($A$6:A325,A325))</f>
        <v/>
      </c>
      <c r="P325" s="62" t="str">
        <f>IF(A325="","",A325&amp;"|"&amp;O325)</f>
        <v/>
      </c>
    </row>
    <row r="326">
      <c r="A326" s="60" t="n"/>
      <c r="B326" s="63" t="n"/>
      <c r="C326" s="63" t="n"/>
      <c r="D326" s="67" t="n"/>
      <c r="E326" s="68" t="n"/>
      <c r="F326" s="69" t="n"/>
      <c r="G326" s="70" t="n"/>
      <c r="H326" s="62" t="str">
        <f>IF(COUNTA(A326:G326)=0,"",IF(C326&lt;&gt;"",C326,IF(B326="","",IFERROR(INDEX(pr_des,MATCH(B326,pr_code,0))&amp;"",""))))</f>
        <v/>
      </c>
      <c r="I326" s="59" t="str">
        <f>IF(B326="","",IFERROR(INDEX(pr_unit,MATCH(B326,pr_code,0))&amp;"",""))</f>
        <v/>
      </c>
      <c r="J326" s="65" t="str">
        <f>IF(COUNTA(A326:G326)=0,"",IF(E326&lt;&gt;"",E326,IF(B326="","",IFERROR(IF(INDEX(pr_price,MATCH(B326,pr_code,0))="","",INDEX(pr_price,MATCH(B326,pr_code,0))),""))))</f>
        <v/>
      </c>
      <c r="K326" s="71" t="str">
        <f>IF(COUNTA(A326:G326)=0,"",IF(G326&lt;&gt;"",G326,IF(B326="","",IFERROR(IF(INDEX(pr_rate,MATCH(B326,pr_code,0))="","",INDEX(pr_rate,MATCH(B326,pr_code,0))),""))))</f>
        <v/>
      </c>
      <c r="L326" s="65" t="str">
        <f>IF(COUNTA(A326:G326)=0,"",IF(AND(ISNUMBER(D326),ISNUMBER(J326)),ROUND(D326*J326*(1-N(F326)),2),0))</f>
        <v/>
      </c>
      <c r="M326" s="62" t="str">
        <f>IF(A326="","",IFERROR(INDEX(dv_cname,MATCH(A326,dv_num,0))&amp;"",""))</f>
        <v/>
      </c>
      <c r="N326" s="59" t="str">
        <f>IF(COUNTA(A326:G326)=0,"",IF(A326="","N° devis manquant",IF(ISNA(MATCH(A326,dv_num,0)),"Devis inconnu",IF(AND(B326&lt;&gt;"",ISNA(MATCH(B326,pr_code,0))),"Article inconnu",IF(H326="","Désignation manquante",IF(OR(NOT(ISNUMBER(D326)),N(D326)&lt;=0),"Quantité invalide",IF(J326="","Prix manquant",IF(OR(NOT(ISNUMBER(J326)),N(J326)&lt;0),"Prix invalide",IF(OR(AND(F326&lt;&gt;"",NOT(ISNUMBER(F326))),N(F326)&lt;0,N(F326)&gt;1),"Remise invalide",IF(K326="","Taux de TVA manquant",IF(NOT(ISNUMBER(K326)),"Taux de TVA invalide",IF(COUNTIF(p_rates,K326)=0,"Taux de TVA hors liste (Paramètres)",IF(N(O326)&gt;25,"Au-delà de 25 lignes : non imprimée","OK")))))))))))))</f>
        <v/>
      </c>
      <c r="O326" s="59" t="str">
        <f>IF(A326="","",COUNTIF($A$6:A326,A326))</f>
        <v/>
      </c>
      <c r="P326" s="62" t="str">
        <f>IF(A326="","",A326&amp;"|"&amp;O326)</f>
        <v/>
      </c>
    </row>
    <row r="327">
      <c r="A327" s="60" t="n"/>
      <c r="B327" s="63" t="n"/>
      <c r="C327" s="63" t="n"/>
      <c r="D327" s="67" t="n"/>
      <c r="E327" s="68" t="n"/>
      <c r="F327" s="69" t="n"/>
      <c r="G327" s="70" t="n"/>
      <c r="H327" s="62" t="str">
        <f>IF(COUNTA(A327:G327)=0,"",IF(C327&lt;&gt;"",C327,IF(B327="","",IFERROR(INDEX(pr_des,MATCH(B327,pr_code,0))&amp;"",""))))</f>
        <v/>
      </c>
      <c r="I327" s="59" t="str">
        <f>IF(B327="","",IFERROR(INDEX(pr_unit,MATCH(B327,pr_code,0))&amp;"",""))</f>
        <v/>
      </c>
      <c r="J327" s="65" t="str">
        <f>IF(COUNTA(A327:G327)=0,"",IF(E327&lt;&gt;"",E327,IF(B327="","",IFERROR(IF(INDEX(pr_price,MATCH(B327,pr_code,0))="","",INDEX(pr_price,MATCH(B327,pr_code,0))),""))))</f>
        <v/>
      </c>
      <c r="K327" s="71" t="str">
        <f>IF(COUNTA(A327:G327)=0,"",IF(G327&lt;&gt;"",G327,IF(B327="","",IFERROR(IF(INDEX(pr_rate,MATCH(B327,pr_code,0))="","",INDEX(pr_rate,MATCH(B327,pr_code,0))),""))))</f>
        <v/>
      </c>
      <c r="L327" s="65" t="str">
        <f>IF(COUNTA(A327:G327)=0,"",IF(AND(ISNUMBER(D327),ISNUMBER(J327)),ROUND(D327*J327*(1-N(F327)),2),0))</f>
        <v/>
      </c>
      <c r="M327" s="62" t="str">
        <f>IF(A327="","",IFERROR(INDEX(dv_cname,MATCH(A327,dv_num,0))&amp;"",""))</f>
        <v/>
      </c>
      <c r="N327" s="59" t="str">
        <f>IF(COUNTA(A327:G327)=0,"",IF(A327="","N° devis manquant",IF(ISNA(MATCH(A327,dv_num,0)),"Devis inconnu",IF(AND(B327&lt;&gt;"",ISNA(MATCH(B327,pr_code,0))),"Article inconnu",IF(H327="","Désignation manquante",IF(OR(NOT(ISNUMBER(D327)),N(D327)&lt;=0),"Quantité invalide",IF(J327="","Prix manquant",IF(OR(NOT(ISNUMBER(J327)),N(J327)&lt;0),"Prix invalide",IF(OR(AND(F327&lt;&gt;"",NOT(ISNUMBER(F327))),N(F327)&lt;0,N(F327)&gt;1),"Remise invalide",IF(K327="","Taux de TVA manquant",IF(NOT(ISNUMBER(K327)),"Taux de TVA invalide",IF(COUNTIF(p_rates,K327)=0,"Taux de TVA hors liste (Paramètres)",IF(N(O327)&gt;25,"Au-delà de 25 lignes : non imprimée","OK")))))))))))))</f>
        <v/>
      </c>
      <c r="O327" s="59" t="str">
        <f>IF(A327="","",COUNTIF($A$6:A327,A327))</f>
        <v/>
      </c>
      <c r="P327" s="62" t="str">
        <f>IF(A327="","",A327&amp;"|"&amp;O327)</f>
        <v/>
      </c>
    </row>
    <row r="328">
      <c r="A328" s="60" t="n"/>
      <c r="B328" s="63" t="n"/>
      <c r="C328" s="63" t="n"/>
      <c r="D328" s="67" t="n"/>
      <c r="E328" s="68" t="n"/>
      <c r="F328" s="69" t="n"/>
      <c r="G328" s="70" t="n"/>
      <c r="H328" s="62" t="str">
        <f>IF(COUNTA(A328:G328)=0,"",IF(C328&lt;&gt;"",C328,IF(B328="","",IFERROR(INDEX(pr_des,MATCH(B328,pr_code,0))&amp;"",""))))</f>
        <v/>
      </c>
      <c r="I328" s="59" t="str">
        <f>IF(B328="","",IFERROR(INDEX(pr_unit,MATCH(B328,pr_code,0))&amp;"",""))</f>
        <v/>
      </c>
      <c r="J328" s="65" t="str">
        <f>IF(COUNTA(A328:G328)=0,"",IF(E328&lt;&gt;"",E328,IF(B328="","",IFERROR(IF(INDEX(pr_price,MATCH(B328,pr_code,0))="","",INDEX(pr_price,MATCH(B328,pr_code,0))),""))))</f>
        <v/>
      </c>
      <c r="K328" s="71" t="str">
        <f>IF(COUNTA(A328:G328)=0,"",IF(G328&lt;&gt;"",G328,IF(B328="","",IFERROR(IF(INDEX(pr_rate,MATCH(B328,pr_code,0))="","",INDEX(pr_rate,MATCH(B328,pr_code,0))),""))))</f>
        <v/>
      </c>
      <c r="L328" s="65" t="str">
        <f>IF(COUNTA(A328:G328)=0,"",IF(AND(ISNUMBER(D328),ISNUMBER(J328)),ROUND(D328*J328*(1-N(F328)),2),0))</f>
        <v/>
      </c>
      <c r="M328" s="62" t="str">
        <f>IF(A328="","",IFERROR(INDEX(dv_cname,MATCH(A328,dv_num,0))&amp;"",""))</f>
        <v/>
      </c>
      <c r="N328" s="59" t="str">
        <f>IF(COUNTA(A328:G328)=0,"",IF(A328="","N° devis manquant",IF(ISNA(MATCH(A328,dv_num,0)),"Devis inconnu",IF(AND(B328&lt;&gt;"",ISNA(MATCH(B328,pr_code,0))),"Article inconnu",IF(H328="","Désignation manquante",IF(OR(NOT(ISNUMBER(D328)),N(D328)&lt;=0),"Quantité invalide",IF(J328="","Prix manquant",IF(OR(NOT(ISNUMBER(J328)),N(J328)&lt;0),"Prix invalide",IF(OR(AND(F328&lt;&gt;"",NOT(ISNUMBER(F328))),N(F328)&lt;0,N(F328)&gt;1),"Remise invalide",IF(K328="","Taux de TVA manquant",IF(NOT(ISNUMBER(K328)),"Taux de TVA invalide",IF(COUNTIF(p_rates,K328)=0,"Taux de TVA hors liste (Paramètres)",IF(N(O328)&gt;25,"Au-delà de 25 lignes : non imprimée","OK")))))))))))))</f>
        <v/>
      </c>
      <c r="O328" s="59" t="str">
        <f>IF(A328="","",COUNTIF($A$6:A328,A328))</f>
        <v/>
      </c>
      <c r="P328" s="62" t="str">
        <f>IF(A328="","",A328&amp;"|"&amp;O328)</f>
        <v/>
      </c>
    </row>
    <row r="329">
      <c r="A329" s="60" t="n"/>
      <c r="B329" s="63" t="n"/>
      <c r="C329" s="63" t="n"/>
      <c r="D329" s="67" t="n"/>
      <c r="E329" s="68" t="n"/>
      <c r="F329" s="69" t="n"/>
      <c r="G329" s="70" t="n"/>
      <c r="H329" s="62" t="str">
        <f>IF(COUNTA(A329:G329)=0,"",IF(C329&lt;&gt;"",C329,IF(B329="","",IFERROR(INDEX(pr_des,MATCH(B329,pr_code,0))&amp;"",""))))</f>
        <v/>
      </c>
      <c r="I329" s="59" t="str">
        <f>IF(B329="","",IFERROR(INDEX(pr_unit,MATCH(B329,pr_code,0))&amp;"",""))</f>
        <v/>
      </c>
      <c r="J329" s="65" t="str">
        <f>IF(COUNTA(A329:G329)=0,"",IF(E329&lt;&gt;"",E329,IF(B329="","",IFERROR(IF(INDEX(pr_price,MATCH(B329,pr_code,0))="","",INDEX(pr_price,MATCH(B329,pr_code,0))),""))))</f>
        <v/>
      </c>
      <c r="K329" s="71" t="str">
        <f>IF(COUNTA(A329:G329)=0,"",IF(G329&lt;&gt;"",G329,IF(B329="","",IFERROR(IF(INDEX(pr_rate,MATCH(B329,pr_code,0))="","",INDEX(pr_rate,MATCH(B329,pr_code,0))),""))))</f>
        <v/>
      </c>
      <c r="L329" s="65" t="str">
        <f>IF(COUNTA(A329:G329)=0,"",IF(AND(ISNUMBER(D329),ISNUMBER(J329)),ROUND(D329*J329*(1-N(F329)),2),0))</f>
        <v/>
      </c>
      <c r="M329" s="62" t="str">
        <f>IF(A329="","",IFERROR(INDEX(dv_cname,MATCH(A329,dv_num,0))&amp;"",""))</f>
        <v/>
      </c>
      <c r="N329" s="59" t="str">
        <f>IF(COUNTA(A329:G329)=0,"",IF(A329="","N° devis manquant",IF(ISNA(MATCH(A329,dv_num,0)),"Devis inconnu",IF(AND(B329&lt;&gt;"",ISNA(MATCH(B329,pr_code,0))),"Article inconnu",IF(H329="","Désignation manquante",IF(OR(NOT(ISNUMBER(D329)),N(D329)&lt;=0),"Quantité invalide",IF(J329="","Prix manquant",IF(OR(NOT(ISNUMBER(J329)),N(J329)&lt;0),"Prix invalide",IF(OR(AND(F329&lt;&gt;"",NOT(ISNUMBER(F329))),N(F329)&lt;0,N(F329)&gt;1),"Remise invalide",IF(K329="","Taux de TVA manquant",IF(NOT(ISNUMBER(K329)),"Taux de TVA invalide",IF(COUNTIF(p_rates,K329)=0,"Taux de TVA hors liste (Paramètres)",IF(N(O329)&gt;25,"Au-delà de 25 lignes : non imprimée","OK")))))))))))))</f>
        <v/>
      </c>
      <c r="O329" s="59" t="str">
        <f>IF(A329="","",COUNTIF($A$6:A329,A329))</f>
        <v/>
      </c>
      <c r="P329" s="62" t="str">
        <f>IF(A329="","",A329&amp;"|"&amp;O329)</f>
        <v/>
      </c>
    </row>
    <row r="330">
      <c r="A330" s="60" t="n"/>
      <c r="B330" s="63" t="n"/>
      <c r="C330" s="63" t="n"/>
      <c r="D330" s="67" t="n"/>
      <c r="E330" s="68" t="n"/>
      <c r="F330" s="69" t="n"/>
      <c r="G330" s="70" t="n"/>
      <c r="H330" s="62" t="str">
        <f>IF(COUNTA(A330:G330)=0,"",IF(C330&lt;&gt;"",C330,IF(B330="","",IFERROR(INDEX(pr_des,MATCH(B330,pr_code,0))&amp;"",""))))</f>
        <v/>
      </c>
      <c r="I330" s="59" t="str">
        <f>IF(B330="","",IFERROR(INDEX(pr_unit,MATCH(B330,pr_code,0))&amp;"",""))</f>
        <v/>
      </c>
      <c r="J330" s="65" t="str">
        <f>IF(COUNTA(A330:G330)=0,"",IF(E330&lt;&gt;"",E330,IF(B330="","",IFERROR(IF(INDEX(pr_price,MATCH(B330,pr_code,0))="","",INDEX(pr_price,MATCH(B330,pr_code,0))),""))))</f>
        <v/>
      </c>
      <c r="K330" s="71" t="str">
        <f>IF(COUNTA(A330:G330)=0,"",IF(G330&lt;&gt;"",G330,IF(B330="","",IFERROR(IF(INDEX(pr_rate,MATCH(B330,pr_code,0))="","",INDEX(pr_rate,MATCH(B330,pr_code,0))),""))))</f>
        <v/>
      </c>
      <c r="L330" s="65" t="str">
        <f>IF(COUNTA(A330:G330)=0,"",IF(AND(ISNUMBER(D330),ISNUMBER(J330)),ROUND(D330*J330*(1-N(F330)),2),0))</f>
        <v/>
      </c>
      <c r="M330" s="62" t="str">
        <f>IF(A330="","",IFERROR(INDEX(dv_cname,MATCH(A330,dv_num,0))&amp;"",""))</f>
        <v/>
      </c>
      <c r="N330" s="59" t="str">
        <f>IF(COUNTA(A330:G330)=0,"",IF(A330="","N° devis manquant",IF(ISNA(MATCH(A330,dv_num,0)),"Devis inconnu",IF(AND(B330&lt;&gt;"",ISNA(MATCH(B330,pr_code,0))),"Article inconnu",IF(H330="","Désignation manquante",IF(OR(NOT(ISNUMBER(D330)),N(D330)&lt;=0),"Quantité invalide",IF(J330="","Prix manquant",IF(OR(NOT(ISNUMBER(J330)),N(J330)&lt;0),"Prix invalide",IF(OR(AND(F330&lt;&gt;"",NOT(ISNUMBER(F330))),N(F330)&lt;0,N(F330)&gt;1),"Remise invalide",IF(K330="","Taux de TVA manquant",IF(NOT(ISNUMBER(K330)),"Taux de TVA invalide",IF(COUNTIF(p_rates,K330)=0,"Taux de TVA hors liste (Paramètres)",IF(N(O330)&gt;25,"Au-delà de 25 lignes : non imprimée","OK")))))))))))))</f>
        <v/>
      </c>
      <c r="O330" s="59" t="str">
        <f>IF(A330="","",COUNTIF($A$6:A330,A330))</f>
        <v/>
      </c>
      <c r="P330" s="62" t="str">
        <f>IF(A330="","",A330&amp;"|"&amp;O330)</f>
        <v/>
      </c>
    </row>
    <row r="331">
      <c r="A331" s="60" t="n"/>
      <c r="B331" s="63" t="n"/>
      <c r="C331" s="63" t="n"/>
      <c r="D331" s="67" t="n"/>
      <c r="E331" s="68" t="n"/>
      <c r="F331" s="69" t="n"/>
      <c r="G331" s="70" t="n"/>
      <c r="H331" s="62" t="str">
        <f>IF(COUNTA(A331:G331)=0,"",IF(C331&lt;&gt;"",C331,IF(B331="","",IFERROR(INDEX(pr_des,MATCH(B331,pr_code,0))&amp;"",""))))</f>
        <v/>
      </c>
      <c r="I331" s="59" t="str">
        <f>IF(B331="","",IFERROR(INDEX(pr_unit,MATCH(B331,pr_code,0))&amp;"",""))</f>
        <v/>
      </c>
      <c r="J331" s="65" t="str">
        <f>IF(COUNTA(A331:G331)=0,"",IF(E331&lt;&gt;"",E331,IF(B331="","",IFERROR(IF(INDEX(pr_price,MATCH(B331,pr_code,0))="","",INDEX(pr_price,MATCH(B331,pr_code,0))),""))))</f>
        <v/>
      </c>
      <c r="K331" s="71" t="str">
        <f>IF(COUNTA(A331:G331)=0,"",IF(G331&lt;&gt;"",G331,IF(B331="","",IFERROR(IF(INDEX(pr_rate,MATCH(B331,pr_code,0))="","",INDEX(pr_rate,MATCH(B331,pr_code,0))),""))))</f>
        <v/>
      </c>
      <c r="L331" s="65" t="str">
        <f>IF(COUNTA(A331:G331)=0,"",IF(AND(ISNUMBER(D331),ISNUMBER(J331)),ROUND(D331*J331*(1-N(F331)),2),0))</f>
        <v/>
      </c>
      <c r="M331" s="62" t="str">
        <f>IF(A331="","",IFERROR(INDEX(dv_cname,MATCH(A331,dv_num,0))&amp;"",""))</f>
        <v/>
      </c>
      <c r="N331" s="59" t="str">
        <f>IF(COUNTA(A331:G331)=0,"",IF(A331="","N° devis manquant",IF(ISNA(MATCH(A331,dv_num,0)),"Devis inconnu",IF(AND(B331&lt;&gt;"",ISNA(MATCH(B331,pr_code,0))),"Article inconnu",IF(H331="","Désignation manquante",IF(OR(NOT(ISNUMBER(D331)),N(D331)&lt;=0),"Quantité invalide",IF(J331="","Prix manquant",IF(OR(NOT(ISNUMBER(J331)),N(J331)&lt;0),"Prix invalide",IF(OR(AND(F331&lt;&gt;"",NOT(ISNUMBER(F331))),N(F331)&lt;0,N(F331)&gt;1),"Remise invalide",IF(K331="","Taux de TVA manquant",IF(NOT(ISNUMBER(K331)),"Taux de TVA invalide",IF(COUNTIF(p_rates,K331)=0,"Taux de TVA hors liste (Paramètres)",IF(N(O331)&gt;25,"Au-delà de 25 lignes : non imprimée","OK")))))))))))))</f>
        <v/>
      </c>
      <c r="O331" s="59" t="str">
        <f>IF(A331="","",COUNTIF($A$6:A331,A331))</f>
        <v/>
      </c>
      <c r="P331" s="62" t="str">
        <f>IF(A331="","",A331&amp;"|"&amp;O331)</f>
        <v/>
      </c>
    </row>
    <row r="332">
      <c r="A332" s="60" t="n"/>
      <c r="B332" s="63" t="n"/>
      <c r="C332" s="63" t="n"/>
      <c r="D332" s="67" t="n"/>
      <c r="E332" s="68" t="n"/>
      <c r="F332" s="69" t="n"/>
      <c r="G332" s="70" t="n"/>
      <c r="H332" s="62" t="str">
        <f>IF(COUNTA(A332:G332)=0,"",IF(C332&lt;&gt;"",C332,IF(B332="","",IFERROR(INDEX(pr_des,MATCH(B332,pr_code,0))&amp;"",""))))</f>
        <v/>
      </c>
      <c r="I332" s="59" t="str">
        <f>IF(B332="","",IFERROR(INDEX(pr_unit,MATCH(B332,pr_code,0))&amp;"",""))</f>
        <v/>
      </c>
      <c r="J332" s="65" t="str">
        <f>IF(COUNTA(A332:G332)=0,"",IF(E332&lt;&gt;"",E332,IF(B332="","",IFERROR(IF(INDEX(pr_price,MATCH(B332,pr_code,0))="","",INDEX(pr_price,MATCH(B332,pr_code,0))),""))))</f>
        <v/>
      </c>
      <c r="K332" s="71" t="str">
        <f>IF(COUNTA(A332:G332)=0,"",IF(G332&lt;&gt;"",G332,IF(B332="","",IFERROR(IF(INDEX(pr_rate,MATCH(B332,pr_code,0))="","",INDEX(pr_rate,MATCH(B332,pr_code,0))),""))))</f>
        <v/>
      </c>
      <c r="L332" s="65" t="str">
        <f>IF(COUNTA(A332:G332)=0,"",IF(AND(ISNUMBER(D332),ISNUMBER(J332)),ROUND(D332*J332*(1-N(F332)),2),0))</f>
        <v/>
      </c>
      <c r="M332" s="62" t="str">
        <f>IF(A332="","",IFERROR(INDEX(dv_cname,MATCH(A332,dv_num,0))&amp;"",""))</f>
        <v/>
      </c>
      <c r="N332" s="59" t="str">
        <f>IF(COUNTA(A332:G332)=0,"",IF(A332="","N° devis manquant",IF(ISNA(MATCH(A332,dv_num,0)),"Devis inconnu",IF(AND(B332&lt;&gt;"",ISNA(MATCH(B332,pr_code,0))),"Article inconnu",IF(H332="","Désignation manquante",IF(OR(NOT(ISNUMBER(D332)),N(D332)&lt;=0),"Quantité invalide",IF(J332="","Prix manquant",IF(OR(NOT(ISNUMBER(J332)),N(J332)&lt;0),"Prix invalide",IF(OR(AND(F332&lt;&gt;"",NOT(ISNUMBER(F332))),N(F332)&lt;0,N(F332)&gt;1),"Remise invalide",IF(K332="","Taux de TVA manquant",IF(NOT(ISNUMBER(K332)),"Taux de TVA invalide",IF(COUNTIF(p_rates,K332)=0,"Taux de TVA hors liste (Paramètres)",IF(N(O332)&gt;25,"Au-delà de 25 lignes : non imprimée","OK")))))))))))))</f>
        <v/>
      </c>
      <c r="O332" s="59" t="str">
        <f>IF(A332="","",COUNTIF($A$6:A332,A332))</f>
        <v/>
      </c>
      <c r="P332" s="62" t="str">
        <f>IF(A332="","",A332&amp;"|"&amp;O332)</f>
        <v/>
      </c>
    </row>
    <row r="333">
      <c r="A333" s="60" t="n"/>
      <c r="B333" s="63" t="n"/>
      <c r="C333" s="63" t="n"/>
      <c r="D333" s="67" t="n"/>
      <c r="E333" s="68" t="n"/>
      <c r="F333" s="69" t="n"/>
      <c r="G333" s="70" t="n"/>
      <c r="H333" s="62" t="str">
        <f>IF(COUNTA(A333:G333)=0,"",IF(C333&lt;&gt;"",C333,IF(B333="","",IFERROR(INDEX(pr_des,MATCH(B333,pr_code,0))&amp;"",""))))</f>
        <v/>
      </c>
      <c r="I333" s="59" t="str">
        <f>IF(B333="","",IFERROR(INDEX(pr_unit,MATCH(B333,pr_code,0))&amp;"",""))</f>
        <v/>
      </c>
      <c r="J333" s="65" t="str">
        <f>IF(COUNTA(A333:G333)=0,"",IF(E333&lt;&gt;"",E333,IF(B333="","",IFERROR(IF(INDEX(pr_price,MATCH(B333,pr_code,0))="","",INDEX(pr_price,MATCH(B333,pr_code,0))),""))))</f>
        <v/>
      </c>
      <c r="K333" s="71" t="str">
        <f>IF(COUNTA(A333:G333)=0,"",IF(G333&lt;&gt;"",G333,IF(B333="","",IFERROR(IF(INDEX(pr_rate,MATCH(B333,pr_code,0))="","",INDEX(pr_rate,MATCH(B333,pr_code,0))),""))))</f>
        <v/>
      </c>
      <c r="L333" s="65" t="str">
        <f>IF(COUNTA(A333:G333)=0,"",IF(AND(ISNUMBER(D333),ISNUMBER(J333)),ROUND(D333*J333*(1-N(F333)),2),0))</f>
        <v/>
      </c>
      <c r="M333" s="62" t="str">
        <f>IF(A333="","",IFERROR(INDEX(dv_cname,MATCH(A333,dv_num,0))&amp;"",""))</f>
        <v/>
      </c>
      <c r="N333" s="59" t="str">
        <f>IF(COUNTA(A333:G333)=0,"",IF(A333="","N° devis manquant",IF(ISNA(MATCH(A333,dv_num,0)),"Devis inconnu",IF(AND(B333&lt;&gt;"",ISNA(MATCH(B333,pr_code,0))),"Article inconnu",IF(H333="","Désignation manquante",IF(OR(NOT(ISNUMBER(D333)),N(D333)&lt;=0),"Quantité invalide",IF(J333="","Prix manquant",IF(OR(NOT(ISNUMBER(J333)),N(J333)&lt;0),"Prix invalide",IF(OR(AND(F333&lt;&gt;"",NOT(ISNUMBER(F333))),N(F333)&lt;0,N(F333)&gt;1),"Remise invalide",IF(K333="","Taux de TVA manquant",IF(NOT(ISNUMBER(K333)),"Taux de TVA invalide",IF(COUNTIF(p_rates,K333)=0,"Taux de TVA hors liste (Paramètres)",IF(N(O333)&gt;25,"Au-delà de 25 lignes : non imprimée","OK")))))))))))))</f>
        <v/>
      </c>
      <c r="O333" s="59" t="str">
        <f>IF(A333="","",COUNTIF($A$6:A333,A333))</f>
        <v/>
      </c>
      <c r="P333" s="62" t="str">
        <f>IF(A333="","",A333&amp;"|"&amp;O333)</f>
        <v/>
      </c>
    </row>
    <row r="334">
      <c r="A334" s="60" t="n"/>
      <c r="B334" s="63" t="n"/>
      <c r="C334" s="63" t="n"/>
      <c r="D334" s="67" t="n"/>
      <c r="E334" s="68" t="n"/>
      <c r="F334" s="69" t="n"/>
      <c r="G334" s="70" t="n"/>
      <c r="H334" s="62" t="str">
        <f>IF(COUNTA(A334:G334)=0,"",IF(C334&lt;&gt;"",C334,IF(B334="","",IFERROR(INDEX(pr_des,MATCH(B334,pr_code,0))&amp;"",""))))</f>
        <v/>
      </c>
      <c r="I334" s="59" t="str">
        <f>IF(B334="","",IFERROR(INDEX(pr_unit,MATCH(B334,pr_code,0))&amp;"",""))</f>
        <v/>
      </c>
      <c r="J334" s="65" t="str">
        <f>IF(COUNTA(A334:G334)=0,"",IF(E334&lt;&gt;"",E334,IF(B334="","",IFERROR(IF(INDEX(pr_price,MATCH(B334,pr_code,0))="","",INDEX(pr_price,MATCH(B334,pr_code,0))),""))))</f>
        <v/>
      </c>
      <c r="K334" s="71" t="str">
        <f>IF(COUNTA(A334:G334)=0,"",IF(G334&lt;&gt;"",G334,IF(B334="","",IFERROR(IF(INDEX(pr_rate,MATCH(B334,pr_code,0))="","",INDEX(pr_rate,MATCH(B334,pr_code,0))),""))))</f>
        <v/>
      </c>
      <c r="L334" s="65" t="str">
        <f>IF(COUNTA(A334:G334)=0,"",IF(AND(ISNUMBER(D334),ISNUMBER(J334)),ROUND(D334*J334*(1-N(F334)),2),0))</f>
        <v/>
      </c>
      <c r="M334" s="62" t="str">
        <f>IF(A334="","",IFERROR(INDEX(dv_cname,MATCH(A334,dv_num,0))&amp;"",""))</f>
        <v/>
      </c>
      <c r="N334" s="59" t="str">
        <f>IF(COUNTA(A334:G334)=0,"",IF(A334="","N° devis manquant",IF(ISNA(MATCH(A334,dv_num,0)),"Devis inconnu",IF(AND(B334&lt;&gt;"",ISNA(MATCH(B334,pr_code,0))),"Article inconnu",IF(H334="","Désignation manquante",IF(OR(NOT(ISNUMBER(D334)),N(D334)&lt;=0),"Quantité invalide",IF(J334="","Prix manquant",IF(OR(NOT(ISNUMBER(J334)),N(J334)&lt;0),"Prix invalide",IF(OR(AND(F334&lt;&gt;"",NOT(ISNUMBER(F334))),N(F334)&lt;0,N(F334)&gt;1),"Remise invalide",IF(K334="","Taux de TVA manquant",IF(NOT(ISNUMBER(K334)),"Taux de TVA invalide",IF(COUNTIF(p_rates,K334)=0,"Taux de TVA hors liste (Paramètres)",IF(N(O334)&gt;25,"Au-delà de 25 lignes : non imprimée","OK")))))))))))))</f>
        <v/>
      </c>
      <c r="O334" s="59" t="str">
        <f>IF(A334="","",COUNTIF($A$6:A334,A334))</f>
        <v/>
      </c>
      <c r="P334" s="62" t="str">
        <f>IF(A334="","",A334&amp;"|"&amp;O334)</f>
        <v/>
      </c>
    </row>
    <row r="335">
      <c r="A335" s="60" t="n"/>
      <c r="B335" s="63" t="n"/>
      <c r="C335" s="63" t="n"/>
      <c r="D335" s="67" t="n"/>
      <c r="E335" s="68" t="n"/>
      <c r="F335" s="69" t="n"/>
      <c r="G335" s="70" t="n"/>
      <c r="H335" s="62" t="str">
        <f>IF(COUNTA(A335:G335)=0,"",IF(C335&lt;&gt;"",C335,IF(B335="","",IFERROR(INDEX(pr_des,MATCH(B335,pr_code,0))&amp;"",""))))</f>
        <v/>
      </c>
      <c r="I335" s="59" t="str">
        <f>IF(B335="","",IFERROR(INDEX(pr_unit,MATCH(B335,pr_code,0))&amp;"",""))</f>
        <v/>
      </c>
      <c r="J335" s="65" t="str">
        <f>IF(COUNTA(A335:G335)=0,"",IF(E335&lt;&gt;"",E335,IF(B335="","",IFERROR(IF(INDEX(pr_price,MATCH(B335,pr_code,0))="","",INDEX(pr_price,MATCH(B335,pr_code,0))),""))))</f>
        <v/>
      </c>
      <c r="K335" s="71" t="str">
        <f>IF(COUNTA(A335:G335)=0,"",IF(G335&lt;&gt;"",G335,IF(B335="","",IFERROR(IF(INDEX(pr_rate,MATCH(B335,pr_code,0))="","",INDEX(pr_rate,MATCH(B335,pr_code,0))),""))))</f>
        <v/>
      </c>
      <c r="L335" s="65" t="str">
        <f>IF(COUNTA(A335:G335)=0,"",IF(AND(ISNUMBER(D335),ISNUMBER(J335)),ROUND(D335*J335*(1-N(F335)),2),0))</f>
        <v/>
      </c>
      <c r="M335" s="62" t="str">
        <f>IF(A335="","",IFERROR(INDEX(dv_cname,MATCH(A335,dv_num,0))&amp;"",""))</f>
        <v/>
      </c>
      <c r="N335" s="59" t="str">
        <f>IF(COUNTA(A335:G335)=0,"",IF(A335="","N° devis manquant",IF(ISNA(MATCH(A335,dv_num,0)),"Devis inconnu",IF(AND(B335&lt;&gt;"",ISNA(MATCH(B335,pr_code,0))),"Article inconnu",IF(H335="","Désignation manquante",IF(OR(NOT(ISNUMBER(D335)),N(D335)&lt;=0),"Quantité invalide",IF(J335="","Prix manquant",IF(OR(NOT(ISNUMBER(J335)),N(J335)&lt;0),"Prix invalide",IF(OR(AND(F335&lt;&gt;"",NOT(ISNUMBER(F335))),N(F335)&lt;0,N(F335)&gt;1),"Remise invalide",IF(K335="","Taux de TVA manquant",IF(NOT(ISNUMBER(K335)),"Taux de TVA invalide",IF(COUNTIF(p_rates,K335)=0,"Taux de TVA hors liste (Paramètres)",IF(N(O335)&gt;25,"Au-delà de 25 lignes : non imprimée","OK")))))))))))))</f>
        <v/>
      </c>
      <c r="O335" s="59" t="str">
        <f>IF(A335="","",COUNTIF($A$6:A335,A335))</f>
        <v/>
      </c>
      <c r="P335" s="62" t="str">
        <f>IF(A335="","",A335&amp;"|"&amp;O335)</f>
        <v/>
      </c>
    </row>
    <row r="336">
      <c r="A336" s="60" t="n"/>
      <c r="B336" s="63" t="n"/>
      <c r="C336" s="63" t="n"/>
      <c r="D336" s="67" t="n"/>
      <c r="E336" s="68" t="n"/>
      <c r="F336" s="69" t="n"/>
      <c r="G336" s="70" t="n"/>
      <c r="H336" s="62" t="str">
        <f>IF(COUNTA(A336:G336)=0,"",IF(C336&lt;&gt;"",C336,IF(B336="","",IFERROR(INDEX(pr_des,MATCH(B336,pr_code,0))&amp;"",""))))</f>
        <v/>
      </c>
      <c r="I336" s="59" t="str">
        <f>IF(B336="","",IFERROR(INDEX(pr_unit,MATCH(B336,pr_code,0))&amp;"",""))</f>
        <v/>
      </c>
      <c r="J336" s="65" t="str">
        <f>IF(COUNTA(A336:G336)=0,"",IF(E336&lt;&gt;"",E336,IF(B336="","",IFERROR(IF(INDEX(pr_price,MATCH(B336,pr_code,0))="","",INDEX(pr_price,MATCH(B336,pr_code,0))),""))))</f>
        <v/>
      </c>
      <c r="K336" s="71" t="str">
        <f>IF(COUNTA(A336:G336)=0,"",IF(G336&lt;&gt;"",G336,IF(B336="","",IFERROR(IF(INDEX(pr_rate,MATCH(B336,pr_code,0))="","",INDEX(pr_rate,MATCH(B336,pr_code,0))),""))))</f>
        <v/>
      </c>
      <c r="L336" s="65" t="str">
        <f>IF(COUNTA(A336:G336)=0,"",IF(AND(ISNUMBER(D336),ISNUMBER(J336)),ROUND(D336*J336*(1-N(F336)),2),0))</f>
        <v/>
      </c>
      <c r="M336" s="62" t="str">
        <f>IF(A336="","",IFERROR(INDEX(dv_cname,MATCH(A336,dv_num,0))&amp;"",""))</f>
        <v/>
      </c>
      <c r="N336" s="59" t="str">
        <f>IF(COUNTA(A336:G336)=0,"",IF(A336="","N° devis manquant",IF(ISNA(MATCH(A336,dv_num,0)),"Devis inconnu",IF(AND(B336&lt;&gt;"",ISNA(MATCH(B336,pr_code,0))),"Article inconnu",IF(H336="","Désignation manquante",IF(OR(NOT(ISNUMBER(D336)),N(D336)&lt;=0),"Quantité invalide",IF(J336="","Prix manquant",IF(OR(NOT(ISNUMBER(J336)),N(J336)&lt;0),"Prix invalide",IF(OR(AND(F336&lt;&gt;"",NOT(ISNUMBER(F336))),N(F336)&lt;0,N(F336)&gt;1),"Remise invalide",IF(K336="","Taux de TVA manquant",IF(NOT(ISNUMBER(K336)),"Taux de TVA invalide",IF(COUNTIF(p_rates,K336)=0,"Taux de TVA hors liste (Paramètres)",IF(N(O336)&gt;25,"Au-delà de 25 lignes : non imprimée","OK")))))))))))))</f>
        <v/>
      </c>
      <c r="O336" s="59" t="str">
        <f>IF(A336="","",COUNTIF($A$6:A336,A336))</f>
        <v/>
      </c>
      <c r="P336" s="62" t="str">
        <f>IF(A336="","",A336&amp;"|"&amp;O336)</f>
        <v/>
      </c>
    </row>
    <row r="337">
      <c r="A337" s="60" t="n"/>
      <c r="B337" s="63" t="n"/>
      <c r="C337" s="63" t="n"/>
      <c r="D337" s="67" t="n"/>
      <c r="E337" s="68" t="n"/>
      <c r="F337" s="69" t="n"/>
      <c r="G337" s="70" t="n"/>
      <c r="H337" s="62" t="str">
        <f>IF(COUNTA(A337:G337)=0,"",IF(C337&lt;&gt;"",C337,IF(B337="","",IFERROR(INDEX(pr_des,MATCH(B337,pr_code,0))&amp;"",""))))</f>
        <v/>
      </c>
      <c r="I337" s="59" t="str">
        <f>IF(B337="","",IFERROR(INDEX(pr_unit,MATCH(B337,pr_code,0))&amp;"",""))</f>
        <v/>
      </c>
      <c r="J337" s="65" t="str">
        <f>IF(COUNTA(A337:G337)=0,"",IF(E337&lt;&gt;"",E337,IF(B337="","",IFERROR(IF(INDEX(pr_price,MATCH(B337,pr_code,0))="","",INDEX(pr_price,MATCH(B337,pr_code,0))),""))))</f>
        <v/>
      </c>
      <c r="K337" s="71" t="str">
        <f>IF(COUNTA(A337:G337)=0,"",IF(G337&lt;&gt;"",G337,IF(B337="","",IFERROR(IF(INDEX(pr_rate,MATCH(B337,pr_code,0))="","",INDEX(pr_rate,MATCH(B337,pr_code,0))),""))))</f>
        <v/>
      </c>
      <c r="L337" s="65" t="str">
        <f>IF(COUNTA(A337:G337)=0,"",IF(AND(ISNUMBER(D337),ISNUMBER(J337)),ROUND(D337*J337*(1-N(F337)),2),0))</f>
        <v/>
      </c>
      <c r="M337" s="62" t="str">
        <f>IF(A337="","",IFERROR(INDEX(dv_cname,MATCH(A337,dv_num,0))&amp;"",""))</f>
        <v/>
      </c>
      <c r="N337" s="59" t="str">
        <f>IF(COUNTA(A337:G337)=0,"",IF(A337="","N° devis manquant",IF(ISNA(MATCH(A337,dv_num,0)),"Devis inconnu",IF(AND(B337&lt;&gt;"",ISNA(MATCH(B337,pr_code,0))),"Article inconnu",IF(H337="","Désignation manquante",IF(OR(NOT(ISNUMBER(D337)),N(D337)&lt;=0),"Quantité invalide",IF(J337="","Prix manquant",IF(OR(NOT(ISNUMBER(J337)),N(J337)&lt;0),"Prix invalide",IF(OR(AND(F337&lt;&gt;"",NOT(ISNUMBER(F337))),N(F337)&lt;0,N(F337)&gt;1),"Remise invalide",IF(K337="","Taux de TVA manquant",IF(NOT(ISNUMBER(K337)),"Taux de TVA invalide",IF(COUNTIF(p_rates,K337)=0,"Taux de TVA hors liste (Paramètres)",IF(N(O337)&gt;25,"Au-delà de 25 lignes : non imprimée","OK")))))))))))))</f>
        <v/>
      </c>
      <c r="O337" s="59" t="str">
        <f>IF(A337="","",COUNTIF($A$6:A337,A337))</f>
        <v/>
      </c>
      <c r="P337" s="62" t="str">
        <f>IF(A337="","",A337&amp;"|"&amp;O337)</f>
        <v/>
      </c>
    </row>
    <row r="338">
      <c r="A338" s="60" t="n"/>
      <c r="B338" s="63" t="n"/>
      <c r="C338" s="63" t="n"/>
      <c r="D338" s="67" t="n"/>
      <c r="E338" s="68" t="n"/>
      <c r="F338" s="69" t="n"/>
      <c r="G338" s="70" t="n"/>
      <c r="H338" s="62" t="str">
        <f>IF(COUNTA(A338:G338)=0,"",IF(C338&lt;&gt;"",C338,IF(B338="","",IFERROR(INDEX(pr_des,MATCH(B338,pr_code,0))&amp;"",""))))</f>
        <v/>
      </c>
      <c r="I338" s="59" t="str">
        <f>IF(B338="","",IFERROR(INDEX(pr_unit,MATCH(B338,pr_code,0))&amp;"",""))</f>
        <v/>
      </c>
      <c r="J338" s="65" t="str">
        <f>IF(COUNTA(A338:G338)=0,"",IF(E338&lt;&gt;"",E338,IF(B338="","",IFERROR(IF(INDEX(pr_price,MATCH(B338,pr_code,0))="","",INDEX(pr_price,MATCH(B338,pr_code,0))),""))))</f>
        <v/>
      </c>
      <c r="K338" s="71" t="str">
        <f>IF(COUNTA(A338:G338)=0,"",IF(G338&lt;&gt;"",G338,IF(B338="","",IFERROR(IF(INDEX(pr_rate,MATCH(B338,pr_code,0))="","",INDEX(pr_rate,MATCH(B338,pr_code,0))),""))))</f>
        <v/>
      </c>
      <c r="L338" s="65" t="str">
        <f>IF(COUNTA(A338:G338)=0,"",IF(AND(ISNUMBER(D338),ISNUMBER(J338)),ROUND(D338*J338*(1-N(F338)),2),0))</f>
        <v/>
      </c>
      <c r="M338" s="62" t="str">
        <f>IF(A338="","",IFERROR(INDEX(dv_cname,MATCH(A338,dv_num,0))&amp;"",""))</f>
        <v/>
      </c>
      <c r="N338" s="59" t="str">
        <f>IF(COUNTA(A338:G338)=0,"",IF(A338="","N° devis manquant",IF(ISNA(MATCH(A338,dv_num,0)),"Devis inconnu",IF(AND(B338&lt;&gt;"",ISNA(MATCH(B338,pr_code,0))),"Article inconnu",IF(H338="","Désignation manquante",IF(OR(NOT(ISNUMBER(D338)),N(D338)&lt;=0),"Quantité invalide",IF(J338="","Prix manquant",IF(OR(NOT(ISNUMBER(J338)),N(J338)&lt;0),"Prix invalide",IF(OR(AND(F338&lt;&gt;"",NOT(ISNUMBER(F338))),N(F338)&lt;0,N(F338)&gt;1),"Remise invalide",IF(K338="","Taux de TVA manquant",IF(NOT(ISNUMBER(K338)),"Taux de TVA invalide",IF(COUNTIF(p_rates,K338)=0,"Taux de TVA hors liste (Paramètres)",IF(N(O338)&gt;25,"Au-delà de 25 lignes : non imprimée","OK")))))))))))))</f>
        <v/>
      </c>
      <c r="O338" s="59" t="str">
        <f>IF(A338="","",COUNTIF($A$6:A338,A338))</f>
        <v/>
      </c>
      <c r="P338" s="62" t="str">
        <f>IF(A338="","",A338&amp;"|"&amp;O338)</f>
        <v/>
      </c>
    </row>
    <row r="339">
      <c r="A339" s="60" t="n"/>
      <c r="B339" s="63" t="n"/>
      <c r="C339" s="63" t="n"/>
      <c r="D339" s="67" t="n"/>
      <c r="E339" s="68" t="n"/>
      <c r="F339" s="69" t="n"/>
      <c r="G339" s="70" t="n"/>
      <c r="H339" s="62" t="str">
        <f>IF(COUNTA(A339:G339)=0,"",IF(C339&lt;&gt;"",C339,IF(B339="","",IFERROR(INDEX(pr_des,MATCH(B339,pr_code,0))&amp;"",""))))</f>
        <v/>
      </c>
      <c r="I339" s="59" t="str">
        <f>IF(B339="","",IFERROR(INDEX(pr_unit,MATCH(B339,pr_code,0))&amp;"",""))</f>
        <v/>
      </c>
      <c r="J339" s="65" t="str">
        <f>IF(COUNTA(A339:G339)=0,"",IF(E339&lt;&gt;"",E339,IF(B339="","",IFERROR(IF(INDEX(pr_price,MATCH(B339,pr_code,0))="","",INDEX(pr_price,MATCH(B339,pr_code,0))),""))))</f>
        <v/>
      </c>
      <c r="K339" s="71" t="str">
        <f>IF(COUNTA(A339:G339)=0,"",IF(G339&lt;&gt;"",G339,IF(B339="","",IFERROR(IF(INDEX(pr_rate,MATCH(B339,pr_code,0))="","",INDEX(pr_rate,MATCH(B339,pr_code,0))),""))))</f>
        <v/>
      </c>
      <c r="L339" s="65" t="str">
        <f>IF(COUNTA(A339:G339)=0,"",IF(AND(ISNUMBER(D339),ISNUMBER(J339)),ROUND(D339*J339*(1-N(F339)),2),0))</f>
        <v/>
      </c>
      <c r="M339" s="62" t="str">
        <f>IF(A339="","",IFERROR(INDEX(dv_cname,MATCH(A339,dv_num,0))&amp;"",""))</f>
        <v/>
      </c>
      <c r="N339" s="59" t="str">
        <f>IF(COUNTA(A339:G339)=0,"",IF(A339="","N° devis manquant",IF(ISNA(MATCH(A339,dv_num,0)),"Devis inconnu",IF(AND(B339&lt;&gt;"",ISNA(MATCH(B339,pr_code,0))),"Article inconnu",IF(H339="","Désignation manquante",IF(OR(NOT(ISNUMBER(D339)),N(D339)&lt;=0),"Quantité invalide",IF(J339="","Prix manquant",IF(OR(NOT(ISNUMBER(J339)),N(J339)&lt;0),"Prix invalide",IF(OR(AND(F339&lt;&gt;"",NOT(ISNUMBER(F339))),N(F339)&lt;0,N(F339)&gt;1),"Remise invalide",IF(K339="","Taux de TVA manquant",IF(NOT(ISNUMBER(K339)),"Taux de TVA invalide",IF(COUNTIF(p_rates,K339)=0,"Taux de TVA hors liste (Paramètres)",IF(N(O339)&gt;25,"Au-delà de 25 lignes : non imprimée","OK")))))))))))))</f>
        <v/>
      </c>
      <c r="O339" s="59" t="str">
        <f>IF(A339="","",COUNTIF($A$6:A339,A339))</f>
        <v/>
      </c>
      <c r="P339" s="62" t="str">
        <f>IF(A339="","",A339&amp;"|"&amp;O339)</f>
        <v/>
      </c>
    </row>
    <row r="340">
      <c r="A340" s="60" t="n"/>
      <c r="B340" s="63" t="n"/>
      <c r="C340" s="63" t="n"/>
      <c r="D340" s="67" t="n"/>
      <c r="E340" s="68" t="n"/>
      <c r="F340" s="69" t="n"/>
      <c r="G340" s="70" t="n"/>
      <c r="H340" s="62" t="str">
        <f>IF(COUNTA(A340:G340)=0,"",IF(C340&lt;&gt;"",C340,IF(B340="","",IFERROR(INDEX(pr_des,MATCH(B340,pr_code,0))&amp;"",""))))</f>
        <v/>
      </c>
      <c r="I340" s="59" t="str">
        <f>IF(B340="","",IFERROR(INDEX(pr_unit,MATCH(B340,pr_code,0))&amp;"",""))</f>
        <v/>
      </c>
      <c r="J340" s="65" t="str">
        <f>IF(COUNTA(A340:G340)=0,"",IF(E340&lt;&gt;"",E340,IF(B340="","",IFERROR(IF(INDEX(pr_price,MATCH(B340,pr_code,0))="","",INDEX(pr_price,MATCH(B340,pr_code,0))),""))))</f>
        <v/>
      </c>
      <c r="K340" s="71" t="str">
        <f>IF(COUNTA(A340:G340)=0,"",IF(G340&lt;&gt;"",G340,IF(B340="","",IFERROR(IF(INDEX(pr_rate,MATCH(B340,pr_code,0))="","",INDEX(pr_rate,MATCH(B340,pr_code,0))),""))))</f>
        <v/>
      </c>
      <c r="L340" s="65" t="str">
        <f>IF(COUNTA(A340:G340)=0,"",IF(AND(ISNUMBER(D340),ISNUMBER(J340)),ROUND(D340*J340*(1-N(F340)),2),0))</f>
        <v/>
      </c>
      <c r="M340" s="62" t="str">
        <f>IF(A340="","",IFERROR(INDEX(dv_cname,MATCH(A340,dv_num,0))&amp;"",""))</f>
        <v/>
      </c>
      <c r="N340" s="59" t="str">
        <f>IF(COUNTA(A340:G340)=0,"",IF(A340="","N° devis manquant",IF(ISNA(MATCH(A340,dv_num,0)),"Devis inconnu",IF(AND(B340&lt;&gt;"",ISNA(MATCH(B340,pr_code,0))),"Article inconnu",IF(H340="","Désignation manquante",IF(OR(NOT(ISNUMBER(D340)),N(D340)&lt;=0),"Quantité invalide",IF(J340="","Prix manquant",IF(OR(NOT(ISNUMBER(J340)),N(J340)&lt;0),"Prix invalide",IF(OR(AND(F340&lt;&gt;"",NOT(ISNUMBER(F340))),N(F340)&lt;0,N(F340)&gt;1),"Remise invalide",IF(K340="","Taux de TVA manquant",IF(NOT(ISNUMBER(K340)),"Taux de TVA invalide",IF(COUNTIF(p_rates,K340)=0,"Taux de TVA hors liste (Paramètres)",IF(N(O340)&gt;25,"Au-delà de 25 lignes : non imprimée","OK")))))))))))))</f>
        <v/>
      </c>
      <c r="O340" s="59" t="str">
        <f>IF(A340="","",COUNTIF($A$6:A340,A340))</f>
        <v/>
      </c>
      <c r="P340" s="62" t="str">
        <f>IF(A340="","",A340&amp;"|"&amp;O340)</f>
        <v/>
      </c>
    </row>
    <row r="341">
      <c r="A341" s="60" t="n"/>
      <c r="B341" s="63" t="n"/>
      <c r="C341" s="63" t="n"/>
      <c r="D341" s="67" t="n"/>
      <c r="E341" s="68" t="n"/>
      <c r="F341" s="69" t="n"/>
      <c r="G341" s="70" t="n"/>
      <c r="H341" s="62" t="str">
        <f>IF(COUNTA(A341:G341)=0,"",IF(C341&lt;&gt;"",C341,IF(B341="","",IFERROR(INDEX(pr_des,MATCH(B341,pr_code,0))&amp;"",""))))</f>
        <v/>
      </c>
      <c r="I341" s="59" t="str">
        <f>IF(B341="","",IFERROR(INDEX(pr_unit,MATCH(B341,pr_code,0))&amp;"",""))</f>
        <v/>
      </c>
      <c r="J341" s="65" t="str">
        <f>IF(COUNTA(A341:G341)=0,"",IF(E341&lt;&gt;"",E341,IF(B341="","",IFERROR(IF(INDEX(pr_price,MATCH(B341,pr_code,0))="","",INDEX(pr_price,MATCH(B341,pr_code,0))),""))))</f>
        <v/>
      </c>
      <c r="K341" s="71" t="str">
        <f>IF(COUNTA(A341:G341)=0,"",IF(G341&lt;&gt;"",G341,IF(B341="","",IFERROR(IF(INDEX(pr_rate,MATCH(B341,pr_code,0))="","",INDEX(pr_rate,MATCH(B341,pr_code,0))),""))))</f>
        <v/>
      </c>
      <c r="L341" s="65" t="str">
        <f>IF(COUNTA(A341:G341)=0,"",IF(AND(ISNUMBER(D341),ISNUMBER(J341)),ROUND(D341*J341*(1-N(F341)),2),0))</f>
        <v/>
      </c>
      <c r="M341" s="62" t="str">
        <f>IF(A341="","",IFERROR(INDEX(dv_cname,MATCH(A341,dv_num,0))&amp;"",""))</f>
        <v/>
      </c>
      <c r="N341" s="59" t="str">
        <f>IF(COUNTA(A341:G341)=0,"",IF(A341="","N° devis manquant",IF(ISNA(MATCH(A341,dv_num,0)),"Devis inconnu",IF(AND(B341&lt;&gt;"",ISNA(MATCH(B341,pr_code,0))),"Article inconnu",IF(H341="","Désignation manquante",IF(OR(NOT(ISNUMBER(D341)),N(D341)&lt;=0),"Quantité invalide",IF(J341="","Prix manquant",IF(OR(NOT(ISNUMBER(J341)),N(J341)&lt;0),"Prix invalide",IF(OR(AND(F341&lt;&gt;"",NOT(ISNUMBER(F341))),N(F341)&lt;0,N(F341)&gt;1),"Remise invalide",IF(K341="","Taux de TVA manquant",IF(NOT(ISNUMBER(K341)),"Taux de TVA invalide",IF(COUNTIF(p_rates,K341)=0,"Taux de TVA hors liste (Paramètres)",IF(N(O341)&gt;25,"Au-delà de 25 lignes : non imprimée","OK")))))))))))))</f>
        <v/>
      </c>
      <c r="O341" s="59" t="str">
        <f>IF(A341="","",COUNTIF($A$6:A341,A341))</f>
        <v/>
      </c>
      <c r="P341" s="62" t="str">
        <f>IF(A341="","",A341&amp;"|"&amp;O341)</f>
        <v/>
      </c>
    </row>
    <row r="342">
      <c r="A342" s="60" t="n"/>
      <c r="B342" s="63" t="n"/>
      <c r="C342" s="63" t="n"/>
      <c r="D342" s="67" t="n"/>
      <c r="E342" s="68" t="n"/>
      <c r="F342" s="69" t="n"/>
      <c r="G342" s="70" t="n"/>
      <c r="H342" s="62" t="str">
        <f>IF(COUNTA(A342:G342)=0,"",IF(C342&lt;&gt;"",C342,IF(B342="","",IFERROR(INDEX(pr_des,MATCH(B342,pr_code,0))&amp;"",""))))</f>
        <v/>
      </c>
      <c r="I342" s="59" t="str">
        <f>IF(B342="","",IFERROR(INDEX(pr_unit,MATCH(B342,pr_code,0))&amp;"",""))</f>
        <v/>
      </c>
      <c r="J342" s="65" t="str">
        <f>IF(COUNTA(A342:G342)=0,"",IF(E342&lt;&gt;"",E342,IF(B342="","",IFERROR(IF(INDEX(pr_price,MATCH(B342,pr_code,0))="","",INDEX(pr_price,MATCH(B342,pr_code,0))),""))))</f>
        <v/>
      </c>
      <c r="K342" s="71" t="str">
        <f>IF(COUNTA(A342:G342)=0,"",IF(G342&lt;&gt;"",G342,IF(B342="","",IFERROR(IF(INDEX(pr_rate,MATCH(B342,pr_code,0))="","",INDEX(pr_rate,MATCH(B342,pr_code,0))),""))))</f>
        <v/>
      </c>
      <c r="L342" s="65" t="str">
        <f>IF(COUNTA(A342:G342)=0,"",IF(AND(ISNUMBER(D342),ISNUMBER(J342)),ROUND(D342*J342*(1-N(F342)),2),0))</f>
        <v/>
      </c>
      <c r="M342" s="62" t="str">
        <f>IF(A342="","",IFERROR(INDEX(dv_cname,MATCH(A342,dv_num,0))&amp;"",""))</f>
        <v/>
      </c>
      <c r="N342" s="59" t="str">
        <f>IF(COUNTA(A342:G342)=0,"",IF(A342="","N° devis manquant",IF(ISNA(MATCH(A342,dv_num,0)),"Devis inconnu",IF(AND(B342&lt;&gt;"",ISNA(MATCH(B342,pr_code,0))),"Article inconnu",IF(H342="","Désignation manquante",IF(OR(NOT(ISNUMBER(D342)),N(D342)&lt;=0),"Quantité invalide",IF(J342="","Prix manquant",IF(OR(NOT(ISNUMBER(J342)),N(J342)&lt;0),"Prix invalide",IF(OR(AND(F342&lt;&gt;"",NOT(ISNUMBER(F342))),N(F342)&lt;0,N(F342)&gt;1),"Remise invalide",IF(K342="","Taux de TVA manquant",IF(NOT(ISNUMBER(K342)),"Taux de TVA invalide",IF(COUNTIF(p_rates,K342)=0,"Taux de TVA hors liste (Paramètres)",IF(N(O342)&gt;25,"Au-delà de 25 lignes : non imprimée","OK")))))))))))))</f>
        <v/>
      </c>
      <c r="O342" s="59" t="str">
        <f>IF(A342="","",COUNTIF($A$6:A342,A342))</f>
        <v/>
      </c>
      <c r="P342" s="62" t="str">
        <f>IF(A342="","",A342&amp;"|"&amp;O342)</f>
        <v/>
      </c>
    </row>
    <row r="343">
      <c r="A343" s="60" t="n"/>
      <c r="B343" s="63" t="n"/>
      <c r="C343" s="63" t="n"/>
      <c r="D343" s="67" t="n"/>
      <c r="E343" s="68" t="n"/>
      <c r="F343" s="69" t="n"/>
      <c r="G343" s="70" t="n"/>
      <c r="H343" s="62" t="str">
        <f>IF(COUNTA(A343:G343)=0,"",IF(C343&lt;&gt;"",C343,IF(B343="","",IFERROR(INDEX(pr_des,MATCH(B343,pr_code,0))&amp;"",""))))</f>
        <v/>
      </c>
      <c r="I343" s="59" t="str">
        <f>IF(B343="","",IFERROR(INDEX(pr_unit,MATCH(B343,pr_code,0))&amp;"",""))</f>
        <v/>
      </c>
      <c r="J343" s="65" t="str">
        <f>IF(COUNTA(A343:G343)=0,"",IF(E343&lt;&gt;"",E343,IF(B343="","",IFERROR(IF(INDEX(pr_price,MATCH(B343,pr_code,0))="","",INDEX(pr_price,MATCH(B343,pr_code,0))),""))))</f>
        <v/>
      </c>
      <c r="K343" s="71" t="str">
        <f>IF(COUNTA(A343:G343)=0,"",IF(G343&lt;&gt;"",G343,IF(B343="","",IFERROR(IF(INDEX(pr_rate,MATCH(B343,pr_code,0))="","",INDEX(pr_rate,MATCH(B343,pr_code,0))),""))))</f>
        <v/>
      </c>
      <c r="L343" s="65" t="str">
        <f>IF(COUNTA(A343:G343)=0,"",IF(AND(ISNUMBER(D343),ISNUMBER(J343)),ROUND(D343*J343*(1-N(F343)),2),0))</f>
        <v/>
      </c>
      <c r="M343" s="62" t="str">
        <f>IF(A343="","",IFERROR(INDEX(dv_cname,MATCH(A343,dv_num,0))&amp;"",""))</f>
        <v/>
      </c>
      <c r="N343" s="59" t="str">
        <f>IF(COUNTA(A343:G343)=0,"",IF(A343="","N° devis manquant",IF(ISNA(MATCH(A343,dv_num,0)),"Devis inconnu",IF(AND(B343&lt;&gt;"",ISNA(MATCH(B343,pr_code,0))),"Article inconnu",IF(H343="","Désignation manquante",IF(OR(NOT(ISNUMBER(D343)),N(D343)&lt;=0),"Quantité invalide",IF(J343="","Prix manquant",IF(OR(NOT(ISNUMBER(J343)),N(J343)&lt;0),"Prix invalide",IF(OR(AND(F343&lt;&gt;"",NOT(ISNUMBER(F343))),N(F343)&lt;0,N(F343)&gt;1),"Remise invalide",IF(K343="","Taux de TVA manquant",IF(NOT(ISNUMBER(K343)),"Taux de TVA invalide",IF(COUNTIF(p_rates,K343)=0,"Taux de TVA hors liste (Paramètres)",IF(N(O343)&gt;25,"Au-delà de 25 lignes : non imprimée","OK")))))))))))))</f>
        <v/>
      </c>
      <c r="O343" s="59" t="str">
        <f>IF(A343="","",COUNTIF($A$6:A343,A343))</f>
        <v/>
      </c>
      <c r="P343" s="62" t="str">
        <f>IF(A343="","",A343&amp;"|"&amp;O343)</f>
        <v/>
      </c>
    </row>
    <row r="344">
      <c r="A344" s="60" t="n"/>
      <c r="B344" s="63" t="n"/>
      <c r="C344" s="63" t="n"/>
      <c r="D344" s="67" t="n"/>
      <c r="E344" s="68" t="n"/>
      <c r="F344" s="69" t="n"/>
      <c r="G344" s="70" t="n"/>
      <c r="H344" s="62" t="str">
        <f>IF(COUNTA(A344:G344)=0,"",IF(C344&lt;&gt;"",C344,IF(B344="","",IFERROR(INDEX(pr_des,MATCH(B344,pr_code,0))&amp;"",""))))</f>
        <v/>
      </c>
      <c r="I344" s="59" t="str">
        <f>IF(B344="","",IFERROR(INDEX(pr_unit,MATCH(B344,pr_code,0))&amp;"",""))</f>
        <v/>
      </c>
      <c r="J344" s="65" t="str">
        <f>IF(COUNTA(A344:G344)=0,"",IF(E344&lt;&gt;"",E344,IF(B344="","",IFERROR(IF(INDEX(pr_price,MATCH(B344,pr_code,0))="","",INDEX(pr_price,MATCH(B344,pr_code,0))),""))))</f>
        <v/>
      </c>
      <c r="K344" s="71" t="str">
        <f>IF(COUNTA(A344:G344)=0,"",IF(G344&lt;&gt;"",G344,IF(B344="","",IFERROR(IF(INDEX(pr_rate,MATCH(B344,pr_code,0))="","",INDEX(pr_rate,MATCH(B344,pr_code,0))),""))))</f>
        <v/>
      </c>
      <c r="L344" s="65" t="str">
        <f>IF(COUNTA(A344:G344)=0,"",IF(AND(ISNUMBER(D344),ISNUMBER(J344)),ROUND(D344*J344*(1-N(F344)),2),0))</f>
        <v/>
      </c>
      <c r="M344" s="62" t="str">
        <f>IF(A344="","",IFERROR(INDEX(dv_cname,MATCH(A344,dv_num,0))&amp;"",""))</f>
        <v/>
      </c>
      <c r="N344" s="59" t="str">
        <f>IF(COUNTA(A344:G344)=0,"",IF(A344="","N° devis manquant",IF(ISNA(MATCH(A344,dv_num,0)),"Devis inconnu",IF(AND(B344&lt;&gt;"",ISNA(MATCH(B344,pr_code,0))),"Article inconnu",IF(H344="","Désignation manquante",IF(OR(NOT(ISNUMBER(D344)),N(D344)&lt;=0),"Quantité invalide",IF(J344="","Prix manquant",IF(OR(NOT(ISNUMBER(J344)),N(J344)&lt;0),"Prix invalide",IF(OR(AND(F344&lt;&gt;"",NOT(ISNUMBER(F344))),N(F344)&lt;0,N(F344)&gt;1),"Remise invalide",IF(K344="","Taux de TVA manquant",IF(NOT(ISNUMBER(K344)),"Taux de TVA invalide",IF(COUNTIF(p_rates,K344)=0,"Taux de TVA hors liste (Paramètres)",IF(N(O344)&gt;25,"Au-delà de 25 lignes : non imprimée","OK")))))))))))))</f>
        <v/>
      </c>
      <c r="O344" s="59" t="str">
        <f>IF(A344="","",COUNTIF($A$6:A344,A344))</f>
        <v/>
      </c>
      <c r="P344" s="62" t="str">
        <f>IF(A344="","",A344&amp;"|"&amp;O344)</f>
        <v/>
      </c>
    </row>
    <row r="345">
      <c r="A345" s="60" t="n"/>
      <c r="B345" s="63" t="n"/>
      <c r="C345" s="63" t="n"/>
      <c r="D345" s="67" t="n"/>
      <c r="E345" s="68" t="n"/>
      <c r="F345" s="69" t="n"/>
      <c r="G345" s="70" t="n"/>
      <c r="H345" s="62" t="str">
        <f>IF(COUNTA(A345:G345)=0,"",IF(C345&lt;&gt;"",C345,IF(B345="","",IFERROR(INDEX(pr_des,MATCH(B345,pr_code,0))&amp;"",""))))</f>
        <v/>
      </c>
      <c r="I345" s="59" t="str">
        <f>IF(B345="","",IFERROR(INDEX(pr_unit,MATCH(B345,pr_code,0))&amp;"",""))</f>
        <v/>
      </c>
      <c r="J345" s="65" t="str">
        <f>IF(COUNTA(A345:G345)=0,"",IF(E345&lt;&gt;"",E345,IF(B345="","",IFERROR(IF(INDEX(pr_price,MATCH(B345,pr_code,0))="","",INDEX(pr_price,MATCH(B345,pr_code,0))),""))))</f>
        <v/>
      </c>
      <c r="K345" s="71" t="str">
        <f>IF(COUNTA(A345:G345)=0,"",IF(G345&lt;&gt;"",G345,IF(B345="","",IFERROR(IF(INDEX(pr_rate,MATCH(B345,pr_code,0))="","",INDEX(pr_rate,MATCH(B345,pr_code,0))),""))))</f>
        <v/>
      </c>
      <c r="L345" s="65" t="str">
        <f>IF(COUNTA(A345:G345)=0,"",IF(AND(ISNUMBER(D345),ISNUMBER(J345)),ROUND(D345*J345*(1-N(F345)),2),0))</f>
        <v/>
      </c>
      <c r="M345" s="62" t="str">
        <f>IF(A345="","",IFERROR(INDEX(dv_cname,MATCH(A345,dv_num,0))&amp;"",""))</f>
        <v/>
      </c>
      <c r="N345" s="59" t="str">
        <f>IF(COUNTA(A345:G345)=0,"",IF(A345="","N° devis manquant",IF(ISNA(MATCH(A345,dv_num,0)),"Devis inconnu",IF(AND(B345&lt;&gt;"",ISNA(MATCH(B345,pr_code,0))),"Article inconnu",IF(H345="","Désignation manquante",IF(OR(NOT(ISNUMBER(D345)),N(D345)&lt;=0),"Quantité invalide",IF(J345="","Prix manquant",IF(OR(NOT(ISNUMBER(J345)),N(J345)&lt;0),"Prix invalide",IF(OR(AND(F345&lt;&gt;"",NOT(ISNUMBER(F345))),N(F345)&lt;0,N(F345)&gt;1),"Remise invalide",IF(K345="","Taux de TVA manquant",IF(NOT(ISNUMBER(K345)),"Taux de TVA invalide",IF(COUNTIF(p_rates,K345)=0,"Taux de TVA hors liste (Paramètres)",IF(N(O345)&gt;25,"Au-delà de 25 lignes : non imprimée","OK")))))))))))))</f>
        <v/>
      </c>
      <c r="O345" s="59" t="str">
        <f>IF(A345="","",COUNTIF($A$6:A345,A345))</f>
        <v/>
      </c>
      <c r="P345" s="62" t="str">
        <f>IF(A345="","",A345&amp;"|"&amp;O345)</f>
        <v/>
      </c>
    </row>
    <row r="346">
      <c r="A346" s="60" t="n"/>
      <c r="B346" s="63" t="n"/>
      <c r="C346" s="63" t="n"/>
      <c r="D346" s="67" t="n"/>
      <c r="E346" s="68" t="n"/>
      <c r="F346" s="69" t="n"/>
      <c r="G346" s="70" t="n"/>
      <c r="H346" s="62" t="str">
        <f>IF(COUNTA(A346:G346)=0,"",IF(C346&lt;&gt;"",C346,IF(B346="","",IFERROR(INDEX(pr_des,MATCH(B346,pr_code,0))&amp;"",""))))</f>
        <v/>
      </c>
      <c r="I346" s="59" t="str">
        <f>IF(B346="","",IFERROR(INDEX(pr_unit,MATCH(B346,pr_code,0))&amp;"",""))</f>
        <v/>
      </c>
      <c r="J346" s="65" t="str">
        <f>IF(COUNTA(A346:G346)=0,"",IF(E346&lt;&gt;"",E346,IF(B346="","",IFERROR(IF(INDEX(pr_price,MATCH(B346,pr_code,0))="","",INDEX(pr_price,MATCH(B346,pr_code,0))),""))))</f>
        <v/>
      </c>
      <c r="K346" s="71" t="str">
        <f>IF(COUNTA(A346:G346)=0,"",IF(G346&lt;&gt;"",G346,IF(B346="","",IFERROR(IF(INDEX(pr_rate,MATCH(B346,pr_code,0))="","",INDEX(pr_rate,MATCH(B346,pr_code,0))),""))))</f>
        <v/>
      </c>
      <c r="L346" s="65" t="str">
        <f>IF(COUNTA(A346:G346)=0,"",IF(AND(ISNUMBER(D346),ISNUMBER(J346)),ROUND(D346*J346*(1-N(F346)),2),0))</f>
        <v/>
      </c>
      <c r="M346" s="62" t="str">
        <f>IF(A346="","",IFERROR(INDEX(dv_cname,MATCH(A346,dv_num,0))&amp;"",""))</f>
        <v/>
      </c>
      <c r="N346" s="59" t="str">
        <f>IF(COUNTA(A346:G346)=0,"",IF(A346="","N° devis manquant",IF(ISNA(MATCH(A346,dv_num,0)),"Devis inconnu",IF(AND(B346&lt;&gt;"",ISNA(MATCH(B346,pr_code,0))),"Article inconnu",IF(H346="","Désignation manquante",IF(OR(NOT(ISNUMBER(D346)),N(D346)&lt;=0),"Quantité invalide",IF(J346="","Prix manquant",IF(OR(NOT(ISNUMBER(J346)),N(J346)&lt;0),"Prix invalide",IF(OR(AND(F346&lt;&gt;"",NOT(ISNUMBER(F346))),N(F346)&lt;0,N(F346)&gt;1),"Remise invalide",IF(K346="","Taux de TVA manquant",IF(NOT(ISNUMBER(K346)),"Taux de TVA invalide",IF(COUNTIF(p_rates,K346)=0,"Taux de TVA hors liste (Paramètres)",IF(N(O346)&gt;25,"Au-delà de 25 lignes : non imprimée","OK")))))))))))))</f>
        <v/>
      </c>
      <c r="O346" s="59" t="str">
        <f>IF(A346="","",COUNTIF($A$6:A346,A346))</f>
        <v/>
      </c>
      <c r="P346" s="62" t="str">
        <f>IF(A346="","",A346&amp;"|"&amp;O346)</f>
        <v/>
      </c>
    </row>
    <row r="347">
      <c r="A347" s="60" t="n"/>
      <c r="B347" s="63" t="n"/>
      <c r="C347" s="63" t="n"/>
      <c r="D347" s="67" t="n"/>
      <c r="E347" s="68" t="n"/>
      <c r="F347" s="69" t="n"/>
      <c r="G347" s="70" t="n"/>
      <c r="H347" s="62" t="str">
        <f>IF(COUNTA(A347:G347)=0,"",IF(C347&lt;&gt;"",C347,IF(B347="","",IFERROR(INDEX(pr_des,MATCH(B347,pr_code,0))&amp;"",""))))</f>
        <v/>
      </c>
      <c r="I347" s="59" t="str">
        <f>IF(B347="","",IFERROR(INDEX(pr_unit,MATCH(B347,pr_code,0))&amp;"",""))</f>
        <v/>
      </c>
      <c r="J347" s="65" t="str">
        <f>IF(COUNTA(A347:G347)=0,"",IF(E347&lt;&gt;"",E347,IF(B347="","",IFERROR(IF(INDEX(pr_price,MATCH(B347,pr_code,0))="","",INDEX(pr_price,MATCH(B347,pr_code,0))),""))))</f>
        <v/>
      </c>
      <c r="K347" s="71" t="str">
        <f>IF(COUNTA(A347:G347)=0,"",IF(G347&lt;&gt;"",G347,IF(B347="","",IFERROR(IF(INDEX(pr_rate,MATCH(B347,pr_code,0))="","",INDEX(pr_rate,MATCH(B347,pr_code,0))),""))))</f>
        <v/>
      </c>
      <c r="L347" s="65" t="str">
        <f>IF(COUNTA(A347:G347)=0,"",IF(AND(ISNUMBER(D347),ISNUMBER(J347)),ROUND(D347*J347*(1-N(F347)),2),0))</f>
        <v/>
      </c>
      <c r="M347" s="62" t="str">
        <f>IF(A347="","",IFERROR(INDEX(dv_cname,MATCH(A347,dv_num,0))&amp;"",""))</f>
        <v/>
      </c>
      <c r="N347" s="59" t="str">
        <f>IF(COUNTA(A347:G347)=0,"",IF(A347="","N° devis manquant",IF(ISNA(MATCH(A347,dv_num,0)),"Devis inconnu",IF(AND(B347&lt;&gt;"",ISNA(MATCH(B347,pr_code,0))),"Article inconnu",IF(H347="","Désignation manquante",IF(OR(NOT(ISNUMBER(D347)),N(D347)&lt;=0),"Quantité invalide",IF(J347="","Prix manquant",IF(OR(NOT(ISNUMBER(J347)),N(J347)&lt;0),"Prix invalide",IF(OR(AND(F347&lt;&gt;"",NOT(ISNUMBER(F347))),N(F347)&lt;0,N(F347)&gt;1),"Remise invalide",IF(K347="","Taux de TVA manquant",IF(NOT(ISNUMBER(K347)),"Taux de TVA invalide",IF(COUNTIF(p_rates,K347)=0,"Taux de TVA hors liste (Paramètres)",IF(N(O347)&gt;25,"Au-delà de 25 lignes : non imprimée","OK")))))))))))))</f>
        <v/>
      </c>
      <c r="O347" s="59" t="str">
        <f>IF(A347="","",COUNTIF($A$6:A347,A347))</f>
        <v/>
      </c>
      <c r="P347" s="62" t="str">
        <f>IF(A347="","",A347&amp;"|"&amp;O347)</f>
        <v/>
      </c>
    </row>
    <row r="348">
      <c r="A348" s="60" t="n"/>
      <c r="B348" s="63" t="n"/>
      <c r="C348" s="63" t="n"/>
      <c r="D348" s="67" t="n"/>
      <c r="E348" s="68" t="n"/>
      <c r="F348" s="69" t="n"/>
      <c r="G348" s="70" t="n"/>
      <c r="H348" s="62" t="str">
        <f>IF(COUNTA(A348:G348)=0,"",IF(C348&lt;&gt;"",C348,IF(B348="","",IFERROR(INDEX(pr_des,MATCH(B348,pr_code,0))&amp;"",""))))</f>
        <v/>
      </c>
      <c r="I348" s="59" t="str">
        <f>IF(B348="","",IFERROR(INDEX(pr_unit,MATCH(B348,pr_code,0))&amp;"",""))</f>
        <v/>
      </c>
      <c r="J348" s="65" t="str">
        <f>IF(COUNTA(A348:G348)=0,"",IF(E348&lt;&gt;"",E348,IF(B348="","",IFERROR(IF(INDEX(pr_price,MATCH(B348,pr_code,0))="","",INDEX(pr_price,MATCH(B348,pr_code,0))),""))))</f>
        <v/>
      </c>
      <c r="K348" s="71" t="str">
        <f>IF(COUNTA(A348:G348)=0,"",IF(G348&lt;&gt;"",G348,IF(B348="","",IFERROR(IF(INDEX(pr_rate,MATCH(B348,pr_code,0))="","",INDEX(pr_rate,MATCH(B348,pr_code,0))),""))))</f>
        <v/>
      </c>
      <c r="L348" s="65" t="str">
        <f>IF(COUNTA(A348:G348)=0,"",IF(AND(ISNUMBER(D348),ISNUMBER(J348)),ROUND(D348*J348*(1-N(F348)),2),0))</f>
        <v/>
      </c>
      <c r="M348" s="62" t="str">
        <f>IF(A348="","",IFERROR(INDEX(dv_cname,MATCH(A348,dv_num,0))&amp;"",""))</f>
        <v/>
      </c>
      <c r="N348" s="59" t="str">
        <f>IF(COUNTA(A348:G348)=0,"",IF(A348="","N° devis manquant",IF(ISNA(MATCH(A348,dv_num,0)),"Devis inconnu",IF(AND(B348&lt;&gt;"",ISNA(MATCH(B348,pr_code,0))),"Article inconnu",IF(H348="","Désignation manquante",IF(OR(NOT(ISNUMBER(D348)),N(D348)&lt;=0),"Quantité invalide",IF(J348="","Prix manquant",IF(OR(NOT(ISNUMBER(J348)),N(J348)&lt;0),"Prix invalide",IF(OR(AND(F348&lt;&gt;"",NOT(ISNUMBER(F348))),N(F348)&lt;0,N(F348)&gt;1),"Remise invalide",IF(K348="","Taux de TVA manquant",IF(NOT(ISNUMBER(K348)),"Taux de TVA invalide",IF(COUNTIF(p_rates,K348)=0,"Taux de TVA hors liste (Paramètres)",IF(N(O348)&gt;25,"Au-delà de 25 lignes : non imprimée","OK")))))))))))))</f>
        <v/>
      </c>
      <c r="O348" s="59" t="str">
        <f>IF(A348="","",COUNTIF($A$6:A348,A348))</f>
        <v/>
      </c>
      <c r="P348" s="62" t="str">
        <f>IF(A348="","",A348&amp;"|"&amp;O348)</f>
        <v/>
      </c>
    </row>
    <row r="349">
      <c r="A349" s="60" t="n"/>
      <c r="B349" s="63" t="n"/>
      <c r="C349" s="63" t="n"/>
      <c r="D349" s="67" t="n"/>
      <c r="E349" s="68" t="n"/>
      <c r="F349" s="69" t="n"/>
      <c r="G349" s="70" t="n"/>
      <c r="H349" s="62" t="str">
        <f>IF(COUNTA(A349:G349)=0,"",IF(C349&lt;&gt;"",C349,IF(B349="","",IFERROR(INDEX(pr_des,MATCH(B349,pr_code,0))&amp;"",""))))</f>
        <v/>
      </c>
      <c r="I349" s="59" t="str">
        <f>IF(B349="","",IFERROR(INDEX(pr_unit,MATCH(B349,pr_code,0))&amp;"",""))</f>
        <v/>
      </c>
      <c r="J349" s="65" t="str">
        <f>IF(COUNTA(A349:G349)=0,"",IF(E349&lt;&gt;"",E349,IF(B349="","",IFERROR(IF(INDEX(pr_price,MATCH(B349,pr_code,0))="","",INDEX(pr_price,MATCH(B349,pr_code,0))),""))))</f>
        <v/>
      </c>
      <c r="K349" s="71" t="str">
        <f>IF(COUNTA(A349:G349)=0,"",IF(G349&lt;&gt;"",G349,IF(B349="","",IFERROR(IF(INDEX(pr_rate,MATCH(B349,pr_code,0))="","",INDEX(pr_rate,MATCH(B349,pr_code,0))),""))))</f>
        <v/>
      </c>
      <c r="L349" s="65" t="str">
        <f>IF(COUNTA(A349:G349)=0,"",IF(AND(ISNUMBER(D349),ISNUMBER(J349)),ROUND(D349*J349*(1-N(F349)),2),0))</f>
        <v/>
      </c>
      <c r="M349" s="62" t="str">
        <f>IF(A349="","",IFERROR(INDEX(dv_cname,MATCH(A349,dv_num,0))&amp;"",""))</f>
        <v/>
      </c>
      <c r="N349" s="59" t="str">
        <f>IF(COUNTA(A349:G349)=0,"",IF(A349="","N° devis manquant",IF(ISNA(MATCH(A349,dv_num,0)),"Devis inconnu",IF(AND(B349&lt;&gt;"",ISNA(MATCH(B349,pr_code,0))),"Article inconnu",IF(H349="","Désignation manquante",IF(OR(NOT(ISNUMBER(D349)),N(D349)&lt;=0),"Quantité invalide",IF(J349="","Prix manquant",IF(OR(NOT(ISNUMBER(J349)),N(J349)&lt;0),"Prix invalide",IF(OR(AND(F349&lt;&gt;"",NOT(ISNUMBER(F349))),N(F349)&lt;0,N(F349)&gt;1),"Remise invalide",IF(K349="","Taux de TVA manquant",IF(NOT(ISNUMBER(K349)),"Taux de TVA invalide",IF(COUNTIF(p_rates,K349)=0,"Taux de TVA hors liste (Paramètres)",IF(N(O349)&gt;25,"Au-delà de 25 lignes : non imprimée","OK")))))))))))))</f>
        <v/>
      </c>
      <c r="O349" s="59" t="str">
        <f>IF(A349="","",COUNTIF($A$6:A349,A349))</f>
        <v/>
      </c>
      <c r="P349" s="62" t="str">
        <f>IF(A349="","",A349&amp;"|"&amp;O349)</f>
        <v/>
      </c>
    </row>
    <row r="350">
      <c r="A350" s="60" t="n"/>
      <c r="B350" s="63" t="n"/>
      <c r="C350" s="63" t="n"/>
      <c r="D350" s="67" t="n"/>
      <c r="E350" s="68" t="n"/>
      <c r="F350" s="69" t="n"/>
      <c r="G350" s="70" t="n"/>
      <c r="H350" s="62" t="str">
        <f>IF(COUNTA(A350:G350)=0,"",IF(C350&lt;&gt;"",C350,IF(B350="","",IFERROR(INDEX(pr_des,MATCH(B350,pr_code,0))&amp;"",""))))</f>
        <v/>
      </c>
      <c r="I350" s="59" t="str">
        <f>IF(B350="","",IFERROR(INDEX(pr_unit,MATCH(B350,pr_code,0))&amp;"",""))</f>
        <v/>
      </c>
      <c r="J350" s="65" t="str">
        <f>IF(COUNTA(A350:G350)=0,"",IF(E350&lt;&gt;"",E350,IF(B350="","",IFERROR(IF(INDEX(pr_price,MATCH(B350,pr_code,0))="","",INDEX(pr_price,MATCH(B350,pr_code,0))),""))))</f>
        <v/>
      </c>
      <c r="K350" s="71" t="str">
        <f>IF(COUNTA(A350:G350)=0,"",IF(G350&lt;&gt;"",G350,IF(B350="","",IFERROR(IF(INDEX(pr_rate,MATCH(B350,pr_code,0))="","",INDEX(pr_rate,MATCH(B350,pr_code,0))),""))))</f>
        <v/>
      </c>
      <c r="L350" s="65" t="str">
        <f>IF(COUNTA(A350:G350)=0,"",IF(AND(ISNUMBER(D350),ISNUMBER(J350)),ROUND(D350*J350*(1-N(F350)),2),0))</f>
        <v/>
      </c>
      <c r="M350" s="62" t="str">
        <f>IF(A350="","",IFERROR(INDEX(dv_cname,MATCH(A350,dv_num,0))&amp;"",""))</f>
        <v/>
      </c>
      <c r="N350" s="59" t="str">
        <f>IF(COUNTA(A350:G350)=0,"",IF(A350="","N° devis manquant",IF(ISNA(MATCH(A350,dv_num,0)),"Devis inconnu",IF(AND(B350&lt;&gt;"",ISNA(MATCH(B350,pr_code,0))),"Article inconnu",IF(H350="","Désignation manquante",IF(OR(NOT(ISNUMBER(D350)),N(D350)&lt;=0),"Quantité invalide",IF(J350="","Prix manquant",IF(OR(NOT(ISNUMBER(J350)),N(J350)&lt;0),"Prix invalide",IF(OR(AND(F350&lt;&gt;"",NOT(ISNUMBER(F350))),N(F350)&lt;0,N(F350)&gt;1),"Remise invalide",IF(K350="","Taux de TVA manquant",IF(NOT(ISNUMBER(K350)),"Taux de TVA invalide",IF(COUNTIF(p_rates,K350)=0,"Taux de TVA hors liste (Paramètres)",IF(N(O350)&gt;25,"Au-delà de 25 lignes : non imprimée","OK")))))))))))))</f>
        <v/>
      </c>
      <c r="O350" s="59" t="str">
        <f>IF(A350="","",COUNTIF($A$6:A350,A350))</f>
        <v/>
      </c>
      <c r="P350" s="62" t="str">
        <f>IF(A350="","",A350&amp;"|"&amp;O350)</f>
        <v/>
      </c>
    </row>
    <row r="351">
      <c r="A351" s="60" t="n"/>
      <c r="B351" s="63" t="n"/>
      <c r="C351" s="63" t="n"/>
      <c r="D351" s="67" t="n"/>
      <c r="E351" s="68" t="n"/>
      <c r="F351" s="69" t="n"/>
      <c r="G351" s="70" t="n"/>
      <c r="H351" s="62" t="str">
        <f>IF(COUNTA(A351:G351)=0,"",IF(C351&lt;&gt;"",C351,IF(B351="","",IFERROR(INDEX(pr_des,MATCH(B351,pr_code,0))&amp;"",""))))</f>
        <v/>
      </c>
      <c r="I351" s="59" t="str">
        <f>IF(B351="","",IFERROR(INDEX(pr_unit,MATCH(B351,pr_code,0))&amp;"",""))</f>
        <v/>
      </c>
      <c r="J351" s="65" t="str">
        <f>IF(COUNTA(A351:G351)=0,"",IF(E351&lt;&gt;"",E351,IF(B351="","",IFERROR(IF(INDEX(pr_price,MATCH(B351,pr_code,0))="","",INDEX(pr_price,MATCH(B351,pr_code,0))),""))))</f>
        <v/>
      </c>
      <c r="K351" s="71" t="str">
        <f>IF(COUNTA(A351:G351)=0,"",IF(G351&lt;&gt;"",G351,IF(B351="","",IFERROR(IF(INDEX(pr_rate,MATCH(B351,pr_code,0))="","",INDEX(pr_rate,MATCH(B351,pr_code,0))),""))))</f>
        <v/>
      </c>
      <c r="L351" s="65" t="str">
        <f>IF(COUNTA(A351:G351)=0,"",IF(AND(ISNUMBER(D351),ISNUMBER(J351)),ROUND(D351*J351*(1-N(F351)),2),0))</f>
        <v/>
      </c>
      <c r="M351" s="62" t="str">
        <f>IF(A351="","",IFERROR(INDEX(dv_cname,MATCH(A351,dv_num,0))&amp;"",""))</f>
        <v/>
      </c>
      <c r="N351" s="59" t="str">
        <f>IF(COUNTA(A351:G351)=0,"",IF(A351="","N° devis manquant",IF(ISNA(MATCH(A351,dv_num,0)),"Devis inconnu",IF(AND(B351&lt;&gt;"",ISNA(MATCH(B351,pr_code,0))),"Article inconnu",IF(H351="","Désignation manquante",IF(OR(NOT(ISNUMBER(D351)),N(D351)&lt;=0),"Quantité invalide",IF(J351="","Prix manquant",IF(OR(NOT(ISNUMBER(J351)),N(J351)&lt;0),"Prix invalide",IF(OR(AND(F351&lt;&gt;"",NOT(ISNUMBER(F351))),N(F351)&lt;0,N(F351)&gt;1),"Remise invalide",IF(K351="","Taux de TVA manquant",IF(NOT(ISNUMBER(K351)),"Taux de TVA invalide",IF(COUNTIF(p_rates,K351)=0,"Taux de TVA hors liste (Paramètres)",IF(N(O351)&gt;25,"Au-delà de 25 lignes : non imprimée","OK")))))))))))))</f>
        <v/>
      </c>
      <c r="O351" s="59" t="str">
        <f>IF(A351="","",COUNTIF($A$6:A351,A351))</f>
        <v/>
      </c>
      <c r="P351" s="62" t="str">
        <f>IF(A351="","",A351&amp;"|"&amp;O351)</f>
        <v/>
      </c>
    </row>
    <row r="352">
      <c r="A352" s="60" t="n"/>
      <c r="B352" s="63" t="n"/>
      <c r="C352" s="63" t="n"/>
      <c r="D352" s="67" t="n"/>
      <c r="E352" s="68" t="n"/>
      <c r="F352" s="69" t="n"/>
      <c r="G352" s="70" t="n"/>
      <c r="H352" s="62" t="str">
        <f>IF(COUNTA(A352:G352)=0,"",IF(C352&lt;&gt;"",C352,IF(B352="","",IFERROR(INDEX(pr_des,MATCH(B352,pr_code,0))&amp;"",""))))</f>
        <v/>
      </c>
      <c r="I352" s="59" t="str">
        <f>IF(B352="","",IFERROR(INDEX(pr_unit,MATCH(B352,pr_code,0))&amp;"",""))</f>
        <v/>
      </c>
      <c r="J352" s="65" t="str">
        <f>IF(COUNTA(A352:G352)=0,"",IF(E352&lt;&gt;"",E352,IF(B352="","",IFERROR(IF(INDEX(pr_price,MATCH(B352,pr_code,0))="","",INDEX(pr_price,MATCH(B352,pr_code,0))),""))))</f>
        <v/>
      </c>
      <c r="K352" s="71" t="str">
        <f>IF(COUNTA(A352:G352)=0,"",IF(G352&lt;&gt;"",G352,IF(B352="","",IFERROR(IF(INDEX(pr_rate,MATCH(B352,pr_code,0))="","",INDEX(pr_rate,MATCH(B352,pr_code,0))),""))))</f>
        <v/>
      </c>
      <c r="L352" s="65" t="str">
        <f>IF(COUNTA(A352:G352)=0,"",IF(AND(ISNUMBER(D352),ISNUMBER(J352)),ROUND(D352*J352*(1-N(F352)),2),0))</f>
        <v/>
      </c>
      <c r="M352" s="62" t="str">
        <f>IF(A352="","",IFERROR(INDEX(dv_cname,MATCH(A352,dv_num,0))&amp;"",""))</f>
        <v/>
      </c>
      <c r="N352" s="59" t="str">
        <f>IF(COUNTA(A352:G352)=0,"",IF(A352="","N° devis manquant",IF(ISNA(MATCH(A352,dv_num,0)),"Devis inconnu",IF(AND(B352&lt;&gt;"",ISNA(MATCH(B352,pr_code,0))),"Article inconnu",IF(H352="","Désignation manquante",IF(OR(NOT(ISNUMBER(D352)),N(D352)&lt;=0),"Quantité invalide",IF(J352="","Prix manquant",IF(OR(NOT(ISNUMBER(J352)),N(J352)&lt;0),"Prix invalide",IF(OR(AND(F352&lt;&gt;"",NOT(ISNUMBER(F352))),N(F352)&lt;0,N(F352)&gt;1),"Remise invalide",IF(K352="","Taux de TVA manquant",IF(NOT(ISNUMBER(K352)),"Taux de TVA invalide",IF(COUNTIF(p_rates,K352)=0,"Taux de TVA hors liste (Paramètres)",IF(N(O352)&gt;25,"Au-delà de 25 lignes : non imprimée","OK")))))))))))))</f>
        <v/>
      </c>
      <c r="O352" s="59" t="str">
        <f>IF(A352="","",COUNTIF($A$6:A352,A352))</f>
        <v/>
      </c>
      <c r="P352" s="62" t="str">
        <f>IF(A352="","",A352&amp;"|"&amp;O352)</f>
        <v/>
      </c>
    </row>
    <row r="353">
      <c r="A353" s="60" t="n"/>
      <c r="B353" s="63" t="n"/>
      <c r="C353" s="63" t="n"/>
      <c r="D353" s="67" t="n"/>
      <c r="E353" s="68" t="n"/>
      <c r="F353" s="69" t="n"/>
      <c r="G353" s="70" t="n"/>
      <c r="H353" s="62" t="str">
        <f>IF(COUNTA(A353:G353)=0,"",IF(C353&lt;&gt;"",C353,IF(B353="","",IFERROR(INDEX(pr_des,MATCH(B353,pr_code,0))&amp;"",""))))</f>
        <v/>
      </c>
      <c r="I353" s="59" t="str">
        <f>IF(B353="","",IFERROR(INDEX(pr_unit,MATCH(B353,pr_code,0))&amp;"",""))</f>
        <v/>
      </c>
      <c r="J353" s="65" t="str">
        <f>IF(COUNTA(A353:G353)=0,"",IF(E353&lt;&gt;"",E353,IF(B353="","",IFERROR(IF(INDEX(pr_price,MATCH(B353,pr_code,0))="","",INDEX(pr_price,MATCH(B353,pr_code,0))),""))))</f>
        <v/>
      </c>
      <c r="K353" s="71" t="str">
        <f>IF(COUNTA(A353:G353)=0,"",IF(G353&lt;&gt;"",G353,IF(B353="","",IFERROR(IF(INDEX(pr_rate,MATCH(B353,pr_code,0))="","",INDEX(pr_rate,MATCH(B353,pr_code,0))),""))))</f>
        <v/>
      </c>
      <c r="L353" s="65" t="str">
        <f>IF(COUNTA(A353:G353)=0,"",IF(AND(ISNUMBER(D353),ISNUMBER(J353)),ROUND(D353*J353*(1-N(F353)),2),0))</f>
        <v/>
      </c>
      <c r="M353" s="62" t="str">
        <f>IF(A353="","",IFERROR(INDEX(dv_cname,MATCH(A353,dv_num,0))&amp;"",""))</f>
        <v/>
      </c>
      <c r="N353" s="59" t="str">
        <f>IF(COUNTA(A353:G353)=0,"",IF(A353="","N° devis manquant",IF(ISNA(MATCH(A353,dv_num,0)),"Devis inconnu",IF(AND(B353&lt;&gt;"",ISNA(MATCH(B353,pr_code,0))),"Article inconnu",IF(H353="","Désignation manquante",IF(OR(NOT(ISNUMBER(D353)),N(D353)&lt;=0),"Quantité invalide",IF(J353="","Prix manquant",IF(OR(NOT(ISNUMBER(J353)),N(J353)&lt;0),"Prix invalide",IF(OR(AND(F353&lt;&gt;"",NOT(ISNUMBER(F353))),N(F353)&lt;0,N(F353)&gt;1),"Remise invalide",IF(K353="","Taux de TVA manquant",IF(NOT(ISNUMBER(K353)),"Taux de TVA invalide",IF(COUNTIF(p_rates,K353)=0,"Taux de TVA hors liste (Paramètres)",IF(N(O353)&gt;25,"Au-delà de 25 lignes : non imprimée","OK")))))))))))))</f>
        <v/>
      </c>
      <c r="O353" s="59" t="str">
        <f>IF(A353="","",COUNTIF($A$6:A353,A353))</f>
        <v/>
      </c>
      <c r="P353" s="62" t="str">
        <f>IF(A353="","",A353&amp;"|"&amp;O353)</f>
        <v/>
      </c>
    </row>
    <row r="354">
      <c r="A354" s="60" t="n"/>
      <c r="B354" s="63" t="n"/>
      <c r="C354" s="63" t="n"/>
      <c r="D354" s="67" t="n"/>
      <c r="E354" s="68" t="n"/>
      <c r="F354" s="69" t="n"/>
      <c r="G354" s="70" t="n"/>
      <c r="H354" s="62" t="str">
        <f>IF(COUNTA(A354:G354)=0,"",IF(C354&lt;&gt;"",C354,IF(B354="","",IFERROR(INDEX(pr_des,MATCH(B354,pr_code,0))&amp;"",""))))</f>
        <v/>
      </c>
      <c r="I354" s="59" t="str">
        <f>IF(B354="","",IFERROR(INDEX(pr_unit,MATCH(B354,pr_code,0))&amp;"",""))</f>
        <v/>
      </c>
      <c r="J354" s="65" t="str">
        <f>IF(COUNTA(A354:G354)=0,"",IF(E354&lt;&gt;"",E354,IF(B354="","",IFERROR(IF(INDEX(pr_price,MATCH(B354,pr_code,0))="","",INDEX(pr_price,MATCH(B354,pr_code,0))),""))))</f>
        <v/>
      </c>
      <c r="K354" s="71" t="str">
        <f>IF(COUNTA(A354:G354)=0,"",IF(G354&lt;&gt;"",G354,IF(B354="","",IFERROR(IF(INDEX(pr_rate,MATCH(B354,pr_code,0))="","",INDEX(pr_rate,MATCH(B354,pr_code,0))),""))))</f>
        <v/>
      </c>
      <c r="L354" s="65" t="str">
        <f>IF(COUNTA(A354:G354)=0,"",IF(AND(ISNUMBER(D354),ISNUMBER(J354)),ROUND(D354*J354*(1-N(F354)),2),0))</f>
        <v/>
      </c>
      <c r="M354" s="62" t="str">
        <f>IF(A354="","",IFERROR(INDEX(dv_cname,MATCH(A354,dv_num,0))&amp;"",""))</f>
        <v/>
      </c>
      <c r="N354" s="59" t="str">
        <f>IF(COUNTA(A354:G354)=0,"",IF(A354="","N° devis manquant",IF(ISNA(MATCH(A354,dv_num,0)),"Devis inconnu",IF(AND(B354&lt;&gt;"",ISNA(MATCH(B354,pr_code,0))),"Article inconnu",IF(H354="","Désignation manquante",IF(OR(NOT(ISNUMBER(D354)),N(D354)&lt;=0),"Quantité invalide",IF(J354="","Prix manquant",IF(OR(NOT(ISNUMBER(J354)),N(J354)&lt;0),"Prix invalide",IF(OR(AND(F354&lt;&gt;"",NOT(ISNUMBER(F354))),N(F354)&lt;0,N(F354)&gt;1),"Remise invalide",IF(K354="","Taux de TVA manquant",IF(NOT(ISNUMBER(K354)),"Taux de TVA invalide",IF(COUNTIF(p_rates,K354)=0,"Taux de TVA hors liste (Paramètres)",IF(N(O354)&gt;25,"Au-delà de 25 lignes : non imprimée","OK")))))))))))))</f>
        <v/>
      </c>
      <c r="O354" s="59" t="str">
        <f>IF(A354="","",COUNTIF($A$6:A354,A354))</f>
        <v/>
      </c>
      <c r="P354" s="62" t="str">
        <f>IF(A354="","",A354&amp;"|"&amp;O354)</f>
        <v/>
      </c>
    </row>
    <row r="355">
      <c r="A355" s="60" t="n"/>
      <c r="B355" s="63" t="n"/>
      <c r="C355" s="63" t="n"/>
      <c r="D355" s="67" t="n"/>
      <c r="E355" s="68" t="n"/>
      <c r="F355" s="69" t="n"/>
      <c r="G355" s="70" t="n"/>
      <c r="H355" s="62" t="str">
        <f>IF(COUNTA(A355:G355)=0,"",IF(C355&lt;&gt;"",C355,IF(B355="","",IFERROR(INDEX(pr_des,MATCH(B355,pr_code,0))&amp;"",""))))</f>
        <v/>
      </c>
      <c r="I355" s="59" t="str">
        <f>IF(B355="","",IFERROR(INDEX(pr_unit,MATCH(B355,pr_code,0))&amp;"",""))</f>
        <v/>
      </c>
      <c r="J355" s="65" t="str">
        <f>IF(COUNTA(A355:G355)=0,"",IF(E355&lt;&gt;"",E355,IF(B355="","",IFERROR(IF(INDEX(pr_price,MATCH(B355,pr_code,0))="","",INDEX(pr_price,MATCH(B355,pr_code,0))),""))))</f>
        <v/>
      </c>
      <c r="K355" s="71" t="str">
        <f>IF(COUNTA(A355:G355)=0,"",IF(G355&lt;&gt;"",G355,IF(B355="","",IFERROR(IF(INDEX(pr_rate,MATCH(B355,pr_code,0))="","",INDEX(pr_rate,MATCH(B355,pr_code,0))),""))))</f>
        <v/>
      </c>
      <c r="L355" s="65" t="str">
        <f>IF(COUNTA(A355:G355)=0,"",IF(AND(ISNUMBER(D355),ISNUMBER(J355)),ROUND(D355*J355*(1-N(F355)),2),0))</f>
        <v/>
      </c>
      <c r="M355" s="62" t="str">
        <f>IF(A355="","",IFERROR(INDEX(dv_cname,MATCH(A355,dv_num,0))&amp;"",""))</f>
        <v/>
      </c>
      <c r="N355" s="59" t="str">
        <f>IF(COUNTA(A355:G355)=0,"",IF(A355="","N° devis manquant",IF(ISNA(MATCH(A355,dv_num,0)),"Devis inconnu",IF(AND(B355&lt;&gt;"",ISNA(MATCH(B355,pr_code,0))),"Article inconnu",IF(H355="","Désignation manquante",IF(OR(NOT(ISNUMBER(D355)),N(D355)&lt;=0),"Quantité invalide",IF(J355="","Prix manquant",IF(OR(NOT(ISNUMBER(J355)),N(J355)&lt;0),"Prix invalide",IF(OR(AND(F355&lt;&gt;"",NOT(ISNUMBER(F355))),N(F355)&lt;0,N(F355)&gt;1),"Remise invalide",IF(K355="","Taux de TVA manquant",IF(NOT(ISNUMBER(K355)),"Taux de TVA invalide",IF(COUNTIF(p_rates,K355)=0,"Taux de TVA hors liste (Paramètres)",IF(N(O355)&gt;25,"Au-delà de 25 lignes : non imprimée","OK")))))))))))))</f>
        <v/>
      </c>
      <c r="O355" s="59" t="str">
        <f>IF(A355="","",COUNTIF($A$6:A355,A355))</f>
        <v/>
      </c>
      <c r="P355" s="62" t="str">
        <f>IF(A355="","",A355&amp;"|"&amp;O355)</f>
        <v/>
      </c>
    </row>
    <row r="356">
      <c r="A356" s="60" t="n"/>
      <c r="B356" s="63" t="n"/>
      <c r="C356" s="63" t="n"/>
      <c r="D356" s="67" t="n"/>
      <c r="E356" s="68" t="n"/>
      <c r="F356" s="69" t="n"/>
      <c r="G356" s="70" t="n"/>
      <c r="H356" s="62" t="str">
        <f>IF(COUNTA(A356:G356)=0,"",IF(C356&lt;&gt;"",C356,IF(B356="","",IFERROR(INDEX(pr_des,MATCH(B356,pr_code,0))&amp;"",""))))</f>
        <v/>
      </c>
      <c r="I356" s="59" t="str">
        <f>IF(B356="","",IFERROR(INDEX(pr_unit,MATCH(B356,pr_code,0))&amp;"",""))</f>
        <v/>
      </c>
      <c r="J356" s="65" t="str">
        <f>IF(COUNTA(A356:G356)=0,"",IF(E356&lt;&gt;"",E356,IF(B356="","",IFERROR(IF(INDEX(pr_price,MATCH(B356,pr_code,0))="","",INDEX(pr_price,MATCH(B356,pr_code,0))),""))))</f>
        <v/>
      </c>
      <c r="K356" s="71" t="str">
        <f>IF(COUNTA(A356:G356)=0,"",IF(G356&lt;&gt;"",G356,IF(B356="","",IFERROR(IF(INDEX(pr_rate,MATCH(B356,pr_code,0))="","",INDEX(pr_rate,MATCH(B356,pr_code,0))),""))))</f>
        <v/>
      </c>
      <c r="L356" s="65" t="str">
        <f>IF(COUNTA(A356:G356)=0,"",IF(AND(ISNUMBER(D356),ISNUMBER(J356)),ROUND(D356*J356*(1-N(F356)),2),0))</f>
        <v/>
      </c>
      <c r="M356" s="62" t="str">
        <f>IF(A356="","",IFERROR(INDEX(dv_cname,MATCH(A356,dv_num,0))&amp;"",""))</f>
        <v/>
      </c>
      <c r="N356" s="59" t="str">
        <f>IF(COUNTA(A356:G356)=0,"",IF(A356="","N° devis manquant",IF(ISNA(MATCH(A356,dv_num,0)),"Devis inconnu",IF(AND(B356&lt;&gt;"",ISNA(MATCH(B356,pr_code,0))),"Article inconnu",IF(H356="","Désignation manquante",IF(OR(NOT(ISNUMBER(D356)),N(D356)&lt;=0),"Quantité invalide",IF(J356="","Prix manquant",IF(OR(NOT(ISNUMBER(J356)),N(J356)&lt;0),"Prix invalide",IF(OR(AND(F356&lt;&gt;"",NOT(ISNUMBER(F356))),N(F356)&lt;0,N(F356)&gt;1),"Remise invalide",IF(K356="","Taux de TVA manquant",IF(NOT(ISNUMBER(K356)),"Taux de TVA invalide",IF(COUNTIF(p_rates,K356)=0,"Taux de TVA hors liste (Paramètres)",IF(N(O356)&gt;25,"Au-delà de 25 lignes : non imprimée","OK")))))))))))))</f>
        <v/>
      </c>
      <c r="O356" s="59" t="str">
        <f>IF(A356="","",COUNTIF($A$6:A356,A356))</f>
        <v/>
      </c>
      <c r="P356" s="62" t="str">
        <f>IF(A356="","",A356&amp;"|"&amp;O356)</f>
        <v/>
      </c>
    </row>
    <row r="357">
      <c r="A357" s="60" t="n"/>
      <c r="B357" s="63" t="n"/>
      <c r="C357" s="63" t="n"/>
      <c r="D357" s="67" t="n"/>
      <c r="E357" s="68" t="n"/>
      <c r="F357" s="69" t="n"/>
      <c r="G357" s="70" t="n"/>
      <c r="H357" s="62" t="str">
        <f>IF(COUNTA(A357:G357)=0,"",IF(C357&lt;&gt;"",C357,IF(B357="","",IFERROR(INDEX(pr_des,MATCH(B357,pr_code,0))&amp;"",""))))</f>
        <v/>
      </c>
      <c r="I357" s="59" t="str">
        <f>IF(B357="","",IFERROR(INDEX(pr_unit,MATCH(B357,pr_code,0))&amp;"",""))</f>
        <v/>
      </c>
      <c r="J357" s="65" t="str">
        <f>IF(COUNTA(A357:G357)=0,"",IF(E357&lt;&gt;"",E357,IF(B357="","",IFERROR(IF(INDEX(pr_price,MATCH(B357,pr_code,0))="","",INDEX(pr_price,MATCH(B357,pr_code,0))),""))))</f>
        <v/>
      </c>
      <c r="K357" s="71" t="str">
        <f>IF(COUNTA(A357:G357)=0,"",IF(G357&lt;&gt;"",G357,IF(B357="","",IFERROR(IF(INDEX(pr_rate,MATCH(B357,pr_code,0))="","",INDEX(pr_rate,MATCH(B357,pr_code,0))),""))))</f>
        <v/>
      </c>
      <c r="L357" s="65" t="str">
        <f>IF(COUNTA(A357:G357)=0,"",IF(AND(ISNUMBER(D357),ISNUMBER(J357)),ROUND(D357*J357*(1-N(F357)),2),0))</f>
        <v/>
      </c>
      <c r="M357" s="62" t="str">
        <f>IF(A357="","",IFERROR(INDEX(dv_cname,MATCH(A357,dv_num,0))&amp;"",""))</f>
        <v/>
      </c>
      <c r="N357" s="59" t="str">
        <f>IF(COUNTA(A357:G357)=0,"",IF(A357="","N° devis manquant",IF(ISNA(MATCH(A357,dv_num,0)),"Devis inconnu",IF(AND(B357&lt;&gt;"",ISNA(MATCH(B357,pr_code,0))),"Article inconnu",IF(H357="","Désignation manquante",IF(OR(NOT(ISNUMBER(D357)),N(D357)&lt;=0),"Quantité invalide",IF(J357="","Prix manquant",IF(OR(NOT(ISNUMBER(J357)),N(J357)&lt;0),"Prix invalide",IF(OR(AND(F357&lt;&gt;"",NOT(ISNUMBER(F357))),N(F357)&lt;0,N(F357)&gt;1),"Remise invalide",IF(K357="","Taux de TVA manquant",IF(NOT(ISNUMBER(K357)),"Taux de TVA invalide",IF(COUNTIF(p_rates,K357)=0,"Taux de TVA hors liste (Paramètres)",IF(N(O357)&gt;25,"Au-delà de 25 lignes : non imprimée","OK")))))))))))))</f>
        <v/>
      </c>
      <c r="O357" s="59" t="str">
        <f>IF(A357="","",COUNTIF($A$6:A357,A357))</f>
        <v/>
      </c>
      <c r="P357" s="62" t="str">
        <f>IF(A357="","",A357&amp;"|"&amp;O357)</f>
        <v/>
      </c>
    </row>
    <row r="358">
      <c r="A358" s="60" t="n"/>
      <c r="B358" s="63" t="n"/>
      <c r="C358" s="63" t="n"/>
      <c r="D358" s="67" t="n"/>
      <c r="E358" s="68" t="n"/>
      <c r="F358" s="69" t="n"/>
      <c r="G358" s="70" t="n"/>
      <c r="H358" s="62" t="str">
        <f>IF(COUNTA(A358:G358)=0,"",IF(C358&lt;&gt;"",C358,IF(B358="","",IFERROR(INDEX(pr_des,MATCH(B358,pr_code,0))&amp;"",""))))</f>
        <v/>
      </c>
      <c r="I358" s="59" t="str">
        <f>IF(B358="","",IFERROR(INDEX(pr_unit,MATCH(B358,pr_code,0))&amp;"",""))</f>
        <v/>
      </c>
      <c r="J358" s="65" t="str">
        <f>IF(COUNTA(A358:G358)=0,"",IF(E358&lt;&gt;"",E358,IF(B358="","",IFERROR(IF(INDEX(pr_price,MATCH(B358,pr_code,0))="","",INDEX(pr_price,MATCH(B358,pr_code,0))),""))))</f>
        <v/>
      </c>
      <c r="K358" s="71" t="str">
        <f>IF(COUNTA(A358:G358)=0,"",IF(G358&lt;&gt;"",G358,IF(B358="","",IFERROR(IF(INDEX(pr_rate,MATCH(B358,pr_code,0))="","",INDEX(pr_rate,MATCH(B358,pr_code,0))),""))))</f>
        <v/>
      </c>
      <c r="L358" s="65" t="str">
        <f>IF(COUNTA(A358:G358)=0,"",IF(AND(ISNUMBER(D358),ISNUMBER(J358)),ROUND(D358*J358*(1-N(F358)),2),0))</f>
        <v/>
      </c>
      <c r="M358" s="62" t="str">
        <f>IF(A358="","",IFERROR(INDEX(dv_cname,MATCH(A358,dv_num,0))&amp;"",""))</f>
        <v/>
      </c>
      <c r="N358" s="59" t="str">
        <f>IF(COUNTA(A358:G358)=0,"",IF(A358="","N° devis manquant",IF(ISNA(MATCH(A358,dv_num,0)),"Devis inconnu",IF(AND(B358&lt;&gt;"",ISNA(MATCH(B358,pr_code,0))),"Article inconnu",IF(H358="","Désignation manquante",IF(OR(NOT(ISNUMBER(D358)),N(D358)&lt;=0),"Quantité invalide",IF(J358="","Prix manquant",IF(OR(NOT(ISNUMBER(J358)),N(J358)&lt;0),"Prix invalide",IF(OR(AND(F358&lt;&gt;"",NOT(ISNUMBER(F358))),N(F358)&lt;0,N(F358)&gt;1),"Remise invalide",IF(K358="","Taux de TVA manquant",IF(NOT(ISNUMBER(K358)),"Taux de TVA invalide",IF(COUNTIF(p_rates,K358)=0,"Taux de TVA hors liste (Paramètres)",IF(N(O358)&gt;25,"Au-delà de 25 lignes : non imprimée","OK")))))))))))))</f>
        <v/>
      </c>
      <c r="O358" s="59" t="str">
        <f>IF(A358="","",COUNTIF($A$6:A358,A358))</f>
        <v/>
      </c>
      <c r="P358" s="62" t="str">
        <f>IF(A358="","",A358&amp;"|"&amp;O358)</f>
        <v/>
      </c>
    </row>
    <row r="359">
      <c r="A359" s="60" t="n"/>
      <c r="B359" s="63" t="n"/>
      <c r="C359" s="63" t="n"/>
      <c r="D359" s="67" t="n"/>
      <c r="E359" s="68" t="n"/>
      <c r="F359" s="69" t="n"/>
      <c r="G359" s="70" t="n"/>
      <c r="H359" s="62" t="str">
        <f>IF(COUNTA(A359:G359)=0,"",IF(C359&lt;&gt;"",C359,IF(B359="","",IFERROR(INDEX(pr_des,MATCH(B359,pr_code,0))&amp;"",""))))</f>
        <v/>
      </c>
      <c r="I359" s="59" t="str">
        <f>IF(B359="","",IFERROR(INDEX(pr_unit,MATCH(B359,pr_code,0))&amp;"",""))</f>
        <v/>
      </c>
      <c r="J359" s="65" t="str">
        <f>IF(COUNTA(A359:G359)=0,"",IF(E359&lt;&gt;"",E359,IF(B359="","",IFERROR(IF(INDEX(pr_price,MATCH(B359,pr_code,0))="","",INDEX(pr_price,MATCH(B359,pr_code,0))),""))))</f>
        <v/>
      </c>
      <c r="K359" s="71" t="str">
        <f>IF(COUNTA(A359:G359)=0,"",IF(G359&lt;&gt;"",G359,IF(B359="","",IFERROR(IF(INDEX(pr_rate,MATCH(B359,pr_code,0))="","",INDEX(pr_rate,MATCH(B359,pr_code,0))),""))))</f>
        <v/>
      </c>
      <c r="L359" s="65" t="str">
        <f>IF(COUNTA(A359:G359)=0,"",IF(AND(ISNUMBER(D359),ISNUMBER(J359)),ROUND(D359*J359*(1-N(F359)),2),0))</f>
        <v/>
      </c>
      <c r="M359" s="62" t="str">
        <f>IF(A359="","",IFERROR(INDEX(dv_cname,MATCH(A359,dv_num,0))&amp;"",""))</f>
        <v/>
      </c>
      <c r="N359" s="59" t="str">
        <f>IF(COUNTA(A359:G359)=0,"",IF(A359="","N° devis manquant",IF(ISNA(MATCH(A359,dv_num,0)),"Devis inconnu",IF(AND(B359&lt;&gt;"",ISNA(MATCH(B359,pr_code,0))),"Article inconnu",IF(H359="","Désignation manquante",IF(OR(NOT(ISNUMBER(D359)),N(D359)&lt;=0),"Quantité invalide",IF(J359="","Prix manquant",IF(OR(NOT(ISNUMBER(J359)),N(J359)&lt;0),"Prix invalide",IF(OR(AND(F359&lt;&gt;"",NOT(ISNUMBER(F359))),N(F359)&lt;0,N(F359)&gt;1),"Remise invalide",IF(K359="","Taux de TVA manquant",IF(NOT(ISNUMBER(K359)),"Taux de TVA invalide",IF(COUNTIF(p_rates,K359)=0,"Taux de TVA hors liste (Paramètres)",IF(N(O359)&gt;25,"Au-delà de 25 lignes : non imprimée","OK")))))))))))))</f>
        <v/>
      </c>
      <c r="O359" s="59" t="str">
        <f>IF(A359="","",COUNTIF($A$6:A359,A359))</f>
        <v/>
      </c>
      <c r="P359" s="62" t="str">
        <f>IF(A359="","",A359&amp;"|"&amp;O359)</f>
        <v/>
      </c>
    </row>
    <row r="360">
      <c r="A360" s="60" t="n"/>
      <c r="B360" s="63" t="n"/>
      <c r="C360" s="63" t="n"/>
      <c r="D360" s="67" t="n"/>
      <c r="E360" s="68" t="n"/>
      <c r="F360" s="69" t="n"/>
      <c r="G360" s="70" t="n"/>
      <c r="H360" s="62" t="str">
        <f>IF(COUNTA(A360:G360)=0,"",IF(C360&lt;&gt;"",C360,IF(B360="","",IFERROR(INDEX(pr_des,MATCH(B360,pr_code,0))&amp;"",""))))</f>
        <v/>
      </c>
      <c r="I360" s="59" t="str">
        <f>IF(B360="","",IFERROR(INDEX(pr_unit,MATCH(B360,pr_code,0))&amp;"",""))</f>
        <v/>
      </c>
      <c r="J360" s="65" t="str">
        <f>IF(COUNTA(A360:G360)=0,"",IF(E360&lt;&gt;"",E360,IF(B360="","",IFERROR(IF(INDEX(pr_price,MATCH(B360,pr_code,0))="","",INDEX(pr_price,MATCH(B360,pr_code,0))),""))))</f>
        <v/>
      </c>
      <c r="K360" s="71" t="str">
        <f>IF(COUNTA(A360:G360)=0,"",IF(G360&lt;&gt;"",G360,IF(B360="","",IFERROR(IF(INDEX(pr_rate,MATCH(B360,pr_code,0))="","",INDEX(pr_rate,MATCH(B360,pr_code,0))),""))))</f>
        <v/>
      </c>
      <c r="L360" s="65" t="str">
        <f>IF(COUNTA(A360:G360)=0,"",IF(AND(ISNUMBER(D360),ISNUMBER(J360)),ROUND(D360*J360*(1-N(F360)),2),0))</f>
        <v/>
      </c>
      <c r="M360" s="62" t="str">
        <f>IF(A360="","",IFERROR(INDEX(dv_cname,MATCH(A360,dv_num,0))&amp;"",""))</f>
        <v/>
      </c>
      <c r="N360" s="59" t="str">
        <f>IF(COUNTA(A360:G360)=0,"",IF(A360="","N° devis manquant",IF(ISNA(MATCH(A360,dv_num,0)),"Devis inconnu",IF(AND(B360&lt;&gt;"",ISNA(MATCH(B360,pr_code,0))),"Article inconnu",IF(H360="","Désignation manquante",IF(OR(NOT(ISNUMBER(D360)),N(D360)&lt;=0),"Quantité invalide",IF(J360="","Prix manquant",IF(OR(NOT(ISNUMBER(J360)),N(J360)&lt;0),"Prix invalide",IF(OR(AND(F360&lt;&gt;"",NOT(ISNUMBER(F360))),N(F360)&lt;0,N(F360)&gt;1),"Remise invalide",IF(K360="","Taux de TVA manquant",IF(NOT(ISNUMBER(K360)),"Taux de TVA invalide",IF(COUNTIF(p_rates,K360)=0,"Taux de TVA hors liste (Paramètres)",IF(N(O360)&gt;25,"Au-delà de 25 lignes : non imprimée","OK")))))))))))))</f>
        <v/>
      </c>
      <c r="O360" s="59" t="str">
        <f>IF(A360="","",COUNTIF($A$6:A360,A360))</f>
        <v/>
      </c>
      <c r="P360" s="62" t="str">
        <f>IF(A360="","",A360&amp;"|"&amp;O360)</f>
        <v/>
      </c>
    </row>
    <row r="361">
      <c r="A361" s="60" t="n"/>
      <c r="B361" s="63" t="n"/>
      <c r="C361" s="63" t="n"/>
      <c r="D361" s="67" t="n"/>
      <c r="E361" s="68" t="n"/>
      <c r="F361" s="69" t="n"/>
      <c r="G361" s="70" t="n"/>
      <c r="H361" s="62" t="str">
        <f>IF(COUNTA(A361:G361)=0,"",IF(C361&lt;&gt;"",C361,IF(B361="","",IFERROR(INDEX(pr_des,MATCH(B361,pr_code,0))&amp;"",""))))</f>
        <v/>
      </c>
      <c r="I361" s="59" t="str">
        <f>IF(B361="","",IFERROR(INDEX(pr_unit,MATCH(B361,pr_code,0))&amp;"",""))</f>
        <v/>
      </c>
      <c r="J361" s="65" t="str">
        <f>IF(COUNTA(A361:G361)=0,"",IF(E361&lt;&gt;"",E361,IF(B361="","",IFERROR(IF(INDEX(pr_price,MATCH(B361,pr_code,0))="","",INDEX(pr_price,MATCH(B361,pr_code,0))),""))))</f>
        <v/>
      </c>
      <c r="K361" s="71" t="str">
        <f>IF(COUNTA(A361:G361)=0,"",IF(G361&lt;&gt;"",G361,IF(B361="","",IFERROR(IF(INDEX(pr_rate,MATCH(B361,pr_code,0))="","",INDEX(pr_rate,MATCH(B361,pr_code,0))),""))))</f>
        <v/>
      </c>
      <c r="L361" s="65" t="str">
        <f>IF(COUNTA(A361:G361)=0,"",IF(AND(ISNUMBER(D361),ISNUMBER(J361)),ROUND(D361*J361*(1-N(F361)),2),0))</f>
        <v/>
      </c>
      <c r="M361" s="62" t="str">
        <f>IF(A361="","",IFERROR(INDEX(dv_cname,MATCH(A361,dv_num,0))&amp;"",""))</f>
        <v/>
      </c>
      <c r="N361" s="59" t="str">
        <f>IF(COUNTA(A361:G361)=0,"",IF(A361="","N° devis manquant",IF(ISNA(MATCH(A361,dv_num,0)),"Devis inconnu",IF(AND(B361&lt;&gt;"",ISNA(MATCH(B361,pr_code,0))),"Article inconnu",IF(H361="","Désignation manquante",IF(OR(NOT(ISNUMBER(D361)),N(D361)&lt;=0),"Quantité invalide",IF(J361="","Prix manquant",IF(OR(NOT(ISNUMBER(J361)),N(J361)&lt;0),"Prix invalide",IF(OR(AND(F361&lt;&gt;"",NOT(ISNUMBER(F361))),N(F361)&lt;0,N(F361)&gt;1),"Remise invalide",IF(K361="","Taux de TVA manquant",IF(NOT(ISNUMBER(K361)),"Taux de TVA invalide",IF(COUNTIF(p_rates,K361)=0,"Taux de TVA hors liste (Paramètres)",IF(N(O361)&gt;25,"Au-delà de 25 lignes : non imprimée","OK")))))))))))))</f>
        <v/>
      </c>
      <c r="O361" s="59" t="str">
        <f>IF(A361="","",COUNTIF($A$6:A361,A361))</f>
        <v/>
      </c>
      <c r="P361" s="62" t="str">
        <f>IF(A361="","",A361&amp;"|"&amp;O361)</f>
        <v/>
      </c>
    </row>
    <row r="362">
      <c r="A362" s="60" t="n"/>
      <c r="B362" s="63" t="n"/>
      <c r="C362" s="63" t="n"/>
      <c r="D362" s="67" t="n"/>
      <c r="E362" s="68" t="n"/>
      <c r="F362" s="69" t="n"/>
      <c r="G362" s="70" t="n"/>
      <c r="H362" s="62" t="str">
        <f>IF(COUNTA(A362:G362)=0,"",IF(C362&lt;&gt;"",C362,IF(B362="","",IFERROR(INDEX(pr_des,MATCH(B362,pr_code,0))&amp;"",""))))</f>
        <v/>
      </c>
      <c r="I362" s="59" t="str">
        <f>IF(B362="","",IFERROR(INDEX(pr_unit,MATCH(B362,pr_code,0))&amp;"",""))</f>
        <v/>
      </c>
      <c r="J362" s="65" t="str">
        <f>IF(COUNTA(A362:G362)=0,"",IF(E362&lt;&gt;"",E362,IF(B362="","",IFERROR(IF(INDEX(pr_price,MATCH(B362,pr_code,0))="","",INDEX(pr_price,MATCH(B362,pr_code,0))),""))))</f>
        <v/>
      </c>
      <c r="K362" s="71" t="str">
        <f>IF(COUNTA(A362:G362)=0,"",IF(G362&lt;&gt;"",G362,IF(B362="","",IFERROR(IF(INDEX(pr_rate,MATCH(B362,pr_code,0))="","",INDEX(pr_rate,MATCH(B362,pr_code,0))),""))))</f>
        <v/>
      </c>
      <c r="L362" s="65" t="str">
        <f>IF(COUNTA(A362:G362)=0,"",IF(AND(ISNUMBER(D362),ISNUMBER(J362)),ROUND(D362*J362*(1-N(F362)),2),0))</f>
        <v/>
      </c>
      <c r="M362" s="62" t="str">
        <f>IF(A362="","",IFERROR(INDEX(dv_cname,MATCH(A362,dv_num,0))&amp;"",""))</f>
        <v/>
      </c>
      <c r="N362" s="59" t="str">
        <f>IF(COUNTA(A362:G362)=0,"",IF(A362="","N° devis manquant",IF(ISNA(MATCH(A362,dv_num,0)),"Devis inconnu",IF(AND(B362&lt;&gt;"",ISNA(MATCH(B362,pr_code,0))),"Article inconnu",IF(H362="","Désignation manquante",IF(OR(NOT(ISNUMBER(D362)),N(D362)&lt;=0),"Quantité invalide",IF(J362="","Prix manquant",IF(OR(NOT(ISNUMBER(J362)),N(J362)&lt;0),"Prix invalide",IF(OR(AND(F362&lt;&gt;"",NOT(ISNUMBER(F362))),N(F362)&lt;0,N(F362)&gt;1),"Remise invalide",IF(K362="","Taux de TVA manquant",IF(NOT(ISNUMBER(K362)),"Taux de TVA invalide",IF(COUNTIF(p_rates,K362)=0,"Taux de TVA hors liste (Paramètres)",IF(N(O362)&gt;25,"Au-delà de 25 lignes : non imprimée","OK")))))))))))))</f>
        <v/>
      </c>
      <c r="O362" s="59" t="str">
        <f>IF(A362="","",COUNTIF($A$6:A362,A362))</f>
        <v/>
      </c>
      <c r="P362" s="62" t="str">
        <f>IF(A362="","",A362&amp;"|"&amp;O362)</f>
        <v/>
      </c>
    </row>
    <row r="363">
      <c r="A363" s="60" t="n"/>
      <c r="B363" s="63" t="n"/>
      <c r="C363" s="63" t="n"/>
      <c r="D363" s="67" t="n"/>
      <c r="E363" s="68" t="n"/>
      <c r="F363" s="69" t="n"/>
      <c r="G363" s="70" t="n"/>
      <c r="H363" s="62" t="str">
        <f>IF(COUNTA(A363:G363)=0,"",IF(C363&lt;&gt;"",C363,IF(B363="","",IFERROR(INDEX(pr_des,MATCH(B363,pr_code,0))&amp;"",""))))</f>
        <v/>
      </c>
      <c r="I363" s="59" t="str">
        <f>IF(B363="","",IFERROR(INDEX(pr_unit,MATCH(B363,pr_code,0))&amp;"",""))</f>
        <v/>
      </c>
      <c r="J363" s="65" t="str">
        <f>IF(COUNTA(A363:G363)=0,"",IF(E363&lt;&gt;"",E363,IF(B363="","",IFERROR(IF(INDEX(pr_price,MATCH(B363,pr_code,0))="","",INDEX(pr_price,MATCH(B363,pr_code,0))),""))))</f>
        <v/>
      </c>
      <c r="K363" s="71" t="str">
        <f>IF(COUNTA(A363:G363)=0,"",IF(G363&lt;&gt;"",G363,IF(B363="","",IFERROR(IF(INDEX(pr_rate,MATCH(B363,pr_code,0))="","",INDEX(pr_rate,MATCH(B363,pr_code,0))),""))))</f>
        <v/>
      </c>
      <c r="L363" s="65" t="str">
        <f>IF(COUNTA(A363:G363)=0,"",IF(AND(ISNUMBER(D363),ISNUMBER(J363)),ROUND(D363*J363*(1-N(F363)),2),0))</f>
        <v/>
      </c>
      <c r="M363" s="62" t="str">
        <f>IF(A363="","",IFERROR(INDEX(dv_cname,MATCH(A363,dv_num,0))&amp;"",""))</f>
        <v/>
      </c>
      <c r="N363" s="59" t="str">
        <f>IF(COUNTA(A363:G363)=0,"",IF(A363="","N° devis manquant",IF(ISNA(MATCH(A363,dv_num,0)),"Devis inconnu",IF(AND(B363&lt;&gt;"",ISNA(MATCH(B363,pr_code,0))),"Article inconnu",IF(H363="","Désignation manquante",IF(OR(NOT(ISNUMBER(D363)),N(D363)&lt;=0),"Quantité invalide",IF(J363="","Prix manquant",IF(OR(NOT(ISNUMBER(J363)),N(J363)&lt;0),"Prix invalide",IF(OR(AND(F363&lt;&gt;"",NOT(ISNUMBER(F363))),N(F363)&lt;0,N(F363)&gt;1),"Remise invalide",IF(K363="","Taux de TVA manquant",IF(NOT(ISNUMBER(K363)),"Taux de TVA invalide",IF(COUNTIF(p_rates,K363)=0,"Taux de TVA hors liste (Paramètres)",IF(N(O363)&gt;25,"Au-delà de 25 lignes : non imprimée","OK")))))))))))))</f>
        <v/>
      </c>
      <c r="O363" s="59" t="str">
        <f>IF(A363="","",COUNTIF($A$6:A363,A363))</f>
        <v/>
      </c>
      <c r="P363" s="62" t="str">
        <f>IF(A363="","",A363&amp;"|"&amp;O363)</f>
        <v/>
      </c>
    </row>
    <row r="364">
      <c r="A364" s="60" t="n"/>
      <c r="B364" s="63" t="n"/>
      <c r="C364" s="63" t="n"/>
      <c r="D364" s="67" t="n"/>
      <c r="E364" s="68" t="n"/>
      <c r="F364" s="69" t="n"/>
      <c r="G364" s="70" t="n"/>
      <c r="H364" s="62" t="str">
        <f>IF(COUNTA(A364:G364)=0,"",IF(C364&lt;&gt;"",C364,IF(B364="","",IFERROR(INDEX(pr_des,MATCH(B364,pr_code,0))&amp;"",""))))</f>
        <v/>
      </c>
      <c r="I364" s="59" t="str">
        <f>IF(B364="","",IFERROR(INDEX(pr_unit,MATCH(B364,pr_code,0))&amp;"",""))</f>
        <v/>
      </c>
      <c r="J364" s="65" t="str">
        <f>IF(COUNTA(A364:G364)=0,"",IF(E364&lt;&gt;"",E364,IF(B364="","",IFERROR(IF(INDEX(pr_price,MATCH(B364,pr_code,0))="","",INDEX(pr_price,MATCH(B364,pr_code,0))),""))))</f>
        <v/>
      </c>
      <c r="K364" s="71" t="str">
        <f>IF(COUNTA(A364:G364)=0,"",IF(G364&lt;&gt;"",G364,IF(B364="","",IFERROR(IF(INDEX(pr_rate,MATCH(B364,pr_code,0))="","",INDEX(pr_rate,MATCH(B364,pr_code,0))),""))))</f>
        <v/>
      </c>
      <c r="L364" s="65" t="str">
        <f>IF(COUNTA(A364:G364)=0,"",IF(AND(ISNUMBER(D364),ISNUMBER(J364)),ROUND(D364*J364*(1-N(F364)),2),0))</f>
        <v/>
      </c>
      <c r="M364" s="62" t="str">
        <f>IF(A364="","",IFERROR(INDEX(dv_cname,MATCH(A364,dv_num,0))&amp;"",""))</f>
        <v/>
      </c>
      <c r="N364" s="59" t="str">
        <f>IF(COUNTA(A364:G364)=0,"",IF(A364="","N° devis manquant",IF(ISNA(MATCH(A364,dv_num,0)),"Devis inconnu",IF(AND(B364&lt;&gt;"",ISNA(MATCH(B364,pr_code,0))),"Article inconnu",IF(H364="","Désignation manquante",IF(OR(NOT(ISNUMBER(D364)),N(D364)&lt;=0),"Quantité invalide",IF(J364="","Prix manquant",IF(OR(NOT(ISNUMBER(J364)),N(J364)&lt;0),"Prix invalide",IF(OR(AND(F364&lt;&gt;"",NOT(ISNUMBER(F364))),N(F364)&lt;0,N(F364)&gt;1),"Remise invalide",IF(K364="","Taux de TVA manquant",IF(NOT(ISNUMBER(K364)),"Taux de TVA invalide",IF(COUNTIF(p_rates,K364)=0,"Taux de TVA hors liste (Paramètres)",IF(N(O364)&gt;25,"Au-delà de 25 lignes : non imprimée","OK")))))))))))))</f>
        <v/>
      </c>
      <c r="O364" s="59" t="str">
        <f>IF(A364="","",COUNTIF($A$6:A364,A364))</f>
        <v/>
      </c>
      <c r="P364" s="62" t="str">
        <f>IF(A364="","",A364&amp;"|"&amp;O364)</f>
        <v/>
      </c>
    </row>
    <row r="365">
      <c r="A365" s="60" t="n"/>
      <c r="B365" s="63" t="n"/>
      <c r="C365" s="63" t="n"/>
      <c r="D365" s="67" t="n"/>
      <c r="E365" s="68" t="n"/>
      <c r="F365" s="69" t="n"/>
      <c r="G365" s="70" t="n"/>
      <c r="H365" s="62" t="str">
        <f>IF(COUNTA(A365:G365)=0,"",IF(C365&lt;&gt;"",C365,IF(B365="","",IFERROR(INDEX(pr_des,MATCH(B365,pr_code,0))&amp;"",""))))</f>
        <v/>
      </c>
      <c r="I365" s="59" t="str">
        <f>IF(B365="","",IFERROR(INDEX(pr_unit,MATCH(B365,pr_code,0))&amp;"",""))</f>
        <v/>
      </c>
      <c r="J365" s="65" t="str">
        <f>IF(COUNTA(A365:G365)=0,"",IF(E365&lt;&gt;"",E365,IF(B365="","",IFERROR(IF(INDEX(pr_price,MATCH(B365,pr_code,0))="","",INDEX(pr_price,MATCH(B365,pr_code,0))),""))))</f>
        <v/>
      </c>
      <c r="K365" s="71" t="str">
        <f>IF(COUNTA(A365:G365)=0,"",IF(G365&lt;&gt;"",G365,IF(B365="","",IFERROR(IF(INDEX(pr_rate,MATCH(B365,pr_code,0))="","",INDEX(pr_rate,MATCH(B365,pr_code,0))),""))))</f>
        <v/>
      </c>
      <c r="L365" s="65" t="str">
        <f>IF(COUNTA(A365:G365)=0,"",IF(AND(ISNUMBER(D365),ISNUMBER(J365)),ROUND(D365*J365*(1-N(F365)),2),0))</f>
        <v/>
      </c>
      <c r="M365" s="62" t="str">
        <f>IF(A365="","",IFERROR(INDEX(dv_cname,MATCH(A365,dv_num,0))&amp;"",""))</f>
        <v/>
      </c>
      <c r="N365" s="59" t="str">
        <f>IF(COUNTA(A365:G365)=0,"",IF(A365="","N° devis manquant",IF(ISNA(MATCH(A365,dv_num,0)),"Devis inconnu",IF(AND(B365&lt;&gt;"",ISNA(MATCH(B365,pr_code,0))),"Article inconnu",IF(H365="","Désignation manquante",IF(OR(NOT(ISNUMBER(D365)),N(D365)&lt;=0),"Quantité invalide",IF(J365="","Prix manquant",IF(OR(NOT(ISNUMBER(J365)),N(J365)&lt;0),"Prix invalide",IF(OR(AND(F365&lt;&gt;"",NOT(ISNUMBER(F365))),N(F365)&lt;0,N(F365)&gt;1),"Remise invalide",IF(K365="","Taux de TVA manquant",IF(NOT(ISNUMBER(K365)),"Taux de TVA invalide",IF(COUNTIF(p_rates,K365)=0,"Taux de TVA hors liste (Paramètres)",IF(N(O365)&gt;25,"Au-delà de 25 lignes : non imprimée","OK")))))))))))))</f>
        <v/>
      </c>
      <c r="O365" s="59" t="str">
        <f>IF(A365="","",COUNTIF($A$6:A365,A365))</f>
        <v/>
      </c>
      <c r="P365" s="62" t="str">
        <f>IF(A365="","",A365&amp;"|"&amp;O365)</f>
        <v/>
      </c>
    </row>
    <row r="366">
      <c r="A366" s="60" t="n"/>
      <c r="B366" s="63" t="n"/>
      <c r="C366" s="63" t="n"/>
      <c r="D366" s="67" t="n"/>
      <c r="E366" s="68" t="n"/>
      <c r="F366" s="69" t="n"/>
      <c r="G366" s="70" t="n"/>
      <c r="H366" s="62" t="str">
        <f>IF(COUNTA(A366:G366)=0,"",IF(C366&lt;&gt;"",C366,IF(B366="","",IFERROR(INDEX(pr_des,MATCH(B366,pr_code,0))&amp;"",""))))</f>
        <v/>
      </c>
      <c r="I366" s="59" t="str">
        <f>IF(B366="","",IFERROR(INDEX(pr_unit,MATCH(B366,pr_code,0))&amp;"",""))</f>
        <v/>
      </c>
      <c r="J366" s="65" t="str">
        <f>IF(COUNTA(A366:G366)=0,"",IF(E366&lt;&gt;"",E366,IF(B366="","",IFERROR(IF(INDEX(pr_price,MATCH(B366,pr_code,0))="","",INDEX(pr_price,MATCH(B366,pr_code,0))),""))))</f>
        <v/>
      </c>
      <c r="K366" s="71" t="str">
        <f>IF(COUNTA(A366:G366)=0,"",IF(G366&lt;&gt;"",G366,IF(B366="","",IFERROR(IF(INDEX(pr_rate,MATCH(B366,pr_code,0))="","",INDEX(pr_rate,MATCH(B366,pr_code,0))),""))))</f>
        <v/>
      </c>
      <c r="L366" s="65" t="str">
        <f>IF(COUNTA(A366:G366)=0,"",IF(AND(ISNUMBER(D366),ISNUMBER(J366)),ROUND(D366*J366*(1-N(F366)),2),0))</f>
        <v/>
      </c>
      <c r="M366" s="62" t="str">
        <f>IF(A366="","",IFERROR(INDEX(dv_cname,MATCH(A366,dv_num,0))&amp;"",""))</f>
        <v/>
      </c>
      <c r="N366" s="59" t="str">
        <f>IF(COUNTA(A366:G366)=0,"",IF(A366="","N° devis manquant",IF(ISNA(MATCH(A366,dv_num,0)),"Devis inconnu",IF(AND(B366&lt;&gt;"",ISNA(MATCH(B366,pr_code,0))),"Article inconnu",IF(H366="","Désignation manquante",IF(OR(NOT(ISNUMBER(D366)),N(D366)&lt;=0),"Quantité invalide",IF(J366="","Prix manquant",IF(OR(NOT(ISNUMBER(J366)),N(J366)&lt;0),"Prix invalide",IF(OR(AND(F366&lt;&gt;"",NOT(ISNUMBER(F366))),N(F366)&lt;0,N(F366)&gt;1),"Remise invalide",IF(K366="","Taux de TVA manquant",IF(NOT(ISNUMBER(K366)),"Taux de TVA invalide",IF(COUNTIF(p_rates,K366)=0,"Taux de TVA hors liste (Paramètres)",IF(N(O366)&gt;25,"Au-delà de 25 lignes : non imprimée","OK")))))))))))))</f>
        <v/>
      </c>
      <c r="O366" s="59" t="str">
        <f>IF(A366="","",COUNTIF($A$6:A366,A366))</f>
        <v/>
      </c>
      <c r="P366" s="62" t="str">
        <f>IF(A366="","",A366&amp;"|"&amp;O366)</f>
        <v/>
      </c>
    </row>
    <row r="367">
      <c r="A367" s="60" t="n"/>
      <c r="B367" s="63" t="n"/>
      <c r="C367" s="63" t="n"/>
      <c r="D367" s="67" t="n"/>
      <c r="E367" s="68" t="n"/>
      <c r="F367" s="69" t="n"/>
      <c r="G367" s="70" t="n"/>
      <c r="H367" s="62" t="str">
        <f>IF(COUNTA(A367:G367)=0,"",IF(C367&lt;&gt;"",C367,IF(B367="","",IFERROR(INDEX(pr_des,MATCH(B367,pr_code,0))&amp;"",""))))</f>
        <v/>
      </c>
      <c r="I367" s="59" t="str">
        <f>IF(B367="","",IFERROR(INDEX(pr_unit,MATCH(B367,pr_code,0))&amp;"",""))</f>
        <v/>
      </c>
      <c r="J367" s="65" t="str">
        <f>IF(COUNTA(A367:G367)=0,"",IF(E367&lt;&gt;"",E367,IF(B367="","",IFERROR(IF(INDEX(pr_price,MATCH(B367,pr_code,0))="","",INDEX(pr_price,MATCH(B367,pr_code,0))),""))))</f>
        <v/>
      </c>
      <c r="K367" s="71" t="str">
        <f>IF(COUNTA(A367:G367)=0,"",IF(G367&lt;&gt;"",G367,IF(B367="","",IFERROR(IF(INDEX(pr_rate,MATCH(B367,pr_code,0))="","",INDEX(pr_rate,MATCH(B367,pr_code,0))),""))))</f>
        <v/>
      </c>
      <c r="L367" s="65" t="str">
        <f>IF(COUNTA(A367:G367)=0,"",IF(AND(ISNUMBER(D367),ISNUMBER(J367)),ROUND(D367*J367*(1-N(F367)),2),0))</f>
        <v/>
      </c>
      <c r="M367" s="62" t="str">
        <f>IF(A367="","",IFERROR(INDEX(dv_cname,MATCH(A367,dv_num,0))&amp;"",""))</f>
        <v/>
      </c>
      <c r="N367" s="59" t="str">
        <f>IF(COUNTA(A367:G367)=0,"",IF(A367="","N° devis manquant",IF(ISNA(MATCH(A367,dv_num,0)),"Devis inconnu",IF(AND(B367&lt;&gt;"",ISNA(MATCH(B367,pr_code,0))),"Article inconnu",IF(H367="","Désignation manquante",IF(OR(NOT(ISNUMBER(D367)),N(D367)&lt;=0),"Quantité invalide",IF(J367="","Prix manquant",IF(OR(NOT(ISNUMBER(J367)),N(J367)&lt;0),"Prix invalide",IF(OR(AND(F367&lt;&gt;"",NOT(ISNUMBER(F367))),N(F367)&lt;0,N(F367)&gt;1),"Remise invalide",IF(K367="","Taux de TVA manquant",IF(NOT(ISNUMBER(K367)),"Taux de TVA invalide",IF(COUNTIF(p_rates,K367)=0,"Taux de TVA hors liste (Paramètres)",IF(N(O367)&gt;25,"Au-delà de 25 lignes : non imprimée","OK")))))))))))))</f>
        <v/>
      </c>
      <c r="O367" s="59" t="str">
        <f>IF(A367="","",COUNTIF($A$6:A367,A367))</f>
        <v/>
      </c>
      <c r="P367" s="62" t="str">
        <f>IF(A367="","",A367&amp;"|"&amp;O367)</f>
        <v/>
      </c>
    </row>
    <row r="368">
      <c r="A368" s="60" t="n"/>
      <c r="B368" s="63" t="n"/>
      <c r="C368" s="63" t="n"/>
      <c r="D368" s="67" t="n"/>
      <c r="E368" s="68" t="n"/>
      <c r="F368" s="69" t="n"/>
      <c r="G368" s="70" t="n"/>
      <c r="H368" s="62" t="str">
        <f>IF(COUNTA(A368:G368)=0,"",IF(C368&lt;&gt;"",C368,IF(B368="","",IFERROR(INDEX(pr_des,MATCH(B368,pr_code,0))&amp;"",""))))</f>
        <v/>
      </c>
      <c r="I368" s="59" t="str">
        <f>IF(B368="","",IFERROR(INDEX(pr_unit,MATCH(B368,pr_code,0))&amp;"",""))</f>
        <v/>
      </c>
      <c r="J368" s="65" t="str">
        <f>IF(COUNTA(A368:G368)=0,"",IF(E368&lt;&gt;"",E368,IF(B368="","",IFERROR(IF(INDEX(pr_price,MATCH(B368,pr_code,0))="","",INDEX(pr_price,MATCH(B368,pr_code,0))),""))))</f>
        <v/>
      </c>
      <c r="K368" s="71" t="str">
        <f>IF(COUNTA(A368:G368)=0,"",IF(G368&lt;&gt;"",G368,IF(B368="","",IFERROR(IF(INDEX(pr_rate,MATCH(B368,pr_code,0))="","",INDEX(pr_rate,MATCH(B368,pr_code,0))),""))))</f>
        <v/>
      </c>
      <c r="L368" s="65" t="str">
        <f>IF(COUNTA(A368:G368)=0,"",IF(AND(ISNUMBER(D368),ISNUMBER(J368)),ROUND(D368*J368*(1-N(F368)),2),0))</f>
        <v/>
      </c>
      <c r="M368" s="62" t="str">
        <f>IF(A368="","",IFERROR(INDEX(dv_cname,MATCH(A368,dv_num,0))&amp;"",""))</f>
        <v/>
      </c>
      <c r="N368" s="59" t="str">
        <f>IF(COUNTA(A368:G368)=0,"",IF(A368="","N° devis manquant",IF(ISNA(MATCH(A368,dv_num,0)),"Devis inconnu",IF(AND(B368&lt;&gt;"",ISNA(MATCH(B368,pr_code,0))),"Article inconnu",IF(H368="","Désignation manquante",IF(OR(NOT(ISNUMBER(D368)),N(D368)&lt;=0),"Quantité invalide",IF(J368="","Prix manquant",IF(OR(NOT(ISNUMBER(J368)),N(J368)&lt;0),"Prix invalide",IF(OR(AND(F368&lt;&gt;"",NOT(ISNUMBER(F368))),N(F368)&lt;0,N(F368)&gt;1),"Remise invalide",IF(K368="","Taux de TVA manquant",IF(NOT(ISNUMBER(K368)),"Taux de TVA invalide",IF(COUNTIF(p_rates,K368)=0,"Taux de TVA hors liste (Paramètres)",IF(N(O368)&gt;25,"Au-delà de 25 lignes : non imprimée","OK")))))))))))))</f>
        <v/>
      </c>
      <c r="O368" s="59" t="str">
        <f>IF(A368="","",COUNTIF($A$6:A368,A368))</f>
        <v/>
      </c>
      <c r="P368" s="62" t="str">
        <f>IF(A368="","",A368&amp;"|"&amp;O368)</f>
        <v/>
      </c>
    </row>
    <row r="369">
      <c r="A369" s="60" t="n"/>
      <c r="B369" s="63" t="n"/>
      <c r="C369" s="63" t="n"/>
      <c r="D369" s="67" t="n"/>
      <c r="E369" s="68" t="n"/>
      <c r="F369" s="69" t="n"/>
      <c r="G369" s="70" t="n"/>
      <c r="H369" s="62" t="str">
        <f>IF(COUNTA(A369:G369)=0,"",IF(C369&lt;&gt;"",C369,IF(B369="","",IFERROR(INDEX(pr_des,MATCH(B369,pr_code,0))&amp;"",""))))</f>
        <v/>
      </c>
      <c r="I369" s="59" t="str">
        <f>IF(B369="","",IFERROR(INDEX(pr_unit,MATCH(B369,pr_code,0))&amp;"",""))</f>
        <v/>
      </c>
      <c r="J369" s="65" t="str">
        <f>IF(COUNTA(A369:G369)=0,"",IF(E369&lt;&gt;"",E369,IF(B369="","",IFERROR(IF(INDEX(pr_price,MATCH(B369,pr_code,0))="","",INDEX(pr_price,MATCH(B369,pr_code,0))),""))))</f>
        <v/>
      </c>
      <c r="K369" s="71" t="str">
        <f>IF(COUNTA(A369:G369)=0,"",IF(G369&lt;&gt;"",G369,IF(B369="","",IFERROR(IF(INDEX(pr_rate,MATCH(B369,pr_code,0))="","",INDEX(pr_rate,MATCH(B369,pr_code,0))),""))))</f>
        <v/>
      </c>
      <c r="L369" s="65" t="str">
        <f>IF(COUNTA(A369:G369)=0,"",IF(AND(ISNUMBER(D369),ISNUMBER(J369)),ROUND(D369*J369*(1-N(F369)),2),0))</f>
        <v/>
      </c>
      <c r="M369" s="62" t="str">
        <f>IF(A369="","",IFERROR(INDEX(dv_cname,MATCH(A369,dv_num,0))&amp;"",""))</f>
        <v/>
      </c>
      <c r="N369" s="59" t="str">
        <f>IF(COUNTA(A369:G369)=0,"",IF(A369="","N° devis manquant",IF(ISNA(MATCH(A369,dv_num,0)),"Devis inconnu",IF(AND(B369&lt;&gt;"",ISNA(MATCH(B369,pr_code,0))),"Article inconnu",IF(H369="","Désignation manquante",IF(OR(NOT(ISNUMBER(D369)),N(D369)&lt;=0),"Quantité invalide",IF(J369="","Prix manquant",IF(OR(NOT(ISNUMBER(J369)),N(J369)&lt;0),"Prix invalide",IF(OR(AND(F369&lt;&gt;"",NOT(ISNUMBER(F369))),N(F369)&lt;0,N(F369)&gt;1),"Remise invalide",IF(K369="","Taux de TVA manquant",IF(NOT(ISNUMBER(K369)),"Taux de TVA invalide",IF(COUNTIF(p_rates,K369)=0,"Taux de TVA hors liste (Paramètres)",IF(N(O369)&gt;25,"Au-delà de 25 lignes : non imprimée","OK")))))))))))))</f>
        <v/>
      </c>
      <c r="O369" s="59" t="str">
        <f>IF(A369="","",COUNTIF($A$6:A369,A369))</f>
        <v/>
      </c>
      <c r="P369" s="62" t="str">
        <f>IF(A369="","",A369&amp;"|"&amp;O369)</f>
        <v/>
      </c>
    </row>
    <row r="370">
      <c r="A370" s="60" t="n"/>
      <c r="B370" s="63" t="n"/>
      <c r="C370" s="63" t="n"/>
      <c r="D370" s="67" t="n"/>
      <c r="E370" s="68" t="n"/>
      <c r="F370" s="69" t="n"/>
      <c r="G370" s="70" t="n"/>
      <c r="H370" s="62" t="str">
        <f>IF(COUNTA(A370:G370)=0,"",IF(C370&lt;&gt;"",C370,IF(B370="","",IFERROR(INDEX(pr_des,MATCH(B370,pr_code,0))&amp;"",""))))</f>
        <v/>
      </c>
      <c r="I370" s="59" t="str">
        <f>IF(B370="","",IFERROR(INDEX(pr_unit,MATCH(B370,pr_code,0))&amp;"",""))</f>
        <v/>
      </c>
      <c r="J370" s="65" t="str">
        <f>IF(COUNTA(A370:G370)=0,"",IF(E370&lt;&gt;"",E370,IF(B370="","",IFERROR(IF(INDEX(pr_price,MATCH(B370,pr_code,0))="","",INDEX(pr_price,MATCH(B370,pr_code,0))),""))))</f>
        <v/>
      </c>
      <c r="K370" s="71" t="str">
        <f>IF(COUNTA(A370:G370)=0,"",IF(G370&lt;&gt;"",G370,IF(B370="","",IFERROR(IF(INDEX(pr_rate,MATCH(B370,pr_code,0))="","",INDEX(pr_rate,MATCH(B370,pr_code,0))),""))))</f>
        <v/>
      </c>
      <c r="L370" s="65" t="str">
        <f>IF(COUNTA(A370:G370)=0,"",IF(AND(ISNUMBER(D370),ISNUMBER(J370)),ROUND(D370*J370*(1-N(F370)),2),0))</f>
        <v/>
      </c>
      <c r="M370" s="62" t="str">
        <f>IF(A370="","",IFERROR(INDEX(dv_cname,MATCH(A370,dv_num,0))&amp;"",""))</f>
        <v/>
      </c>
      <c r="N370" s="59" t="str">
        <f>IF(COUNTA(A370:G370)=0,"",IF(A370="","N° devis manquant",IF(ISNA(MATCH(A370,dv_num,0)),"Devis inconnu",IF(AND(B370&lt;&gt;"",ISNA(MATCH(B370,pr_code,0))),"Article inconnu",IF(H370="","Désignation manquante",IF(OR(NOT(ISNUMBER(D370)),N(D370)&lt;=0),"Quantité invalide",IF(J370="","Prix manquant",IF(OR(NOT(ISNUMBER(J370)),N(J370)&lt;0),"Prix invalide",IF(OR(AND(F370&lt;&gt;"",NOT(ISNUMBER(F370))),N(F370)&lt;0,N(F370)&gt;1),"Remise invalide",IF(K370="","Taux de TVA manquant",IF(NOT(ISNUMBER(K370)),"Taux de TVA invalide",IF(COUNTIF(p_rates,K370)=0,"Taux de TVA hors liste (Paramètres)",IF(N(O370)&gt;25,"Au-delà de 25 lignes : non imprimée","OK")))))))))))))</f>
        <v/>
      </c>
      <c r="O370" s="59" t="str">
        <f>IF(A370="","",COUNTIF($A$6:A370,A370))</f>
        <v/>
      </c>
      <c r="P370" s="62" t="str">
        <f>IF(A370="","",A370&amp;"|"&amp;O370)</f>
        <v/>
      </c>
    </row>
    <row r="371">
      <c r="A371" s="60" t="n"/>
      <c r="B371" s="63" t="n"/>
      <c r="C371" s="63" t="n"/>
      <c r="D371" s="67" t="n"/>
      <c r="E371" s="68" t="n"/>
      <c r="F371" s="69" t="n"/>
      <c r="G371" s="70" t="n"/>
      <c r="H371" s="62" t="str">
        <f>IF(COUNTA(A371:G371)=0,"",IF(C371&lt;&gt;"",C371,IF(B371="","",IFERROR(INDEX(pr_des,MATCH(B371,pr_code,0))&amp;"",""))))</f>
        <v/>
      </c>
      <c r="I371" s="59" t="str">
        <f>IF(B371="","",IFERROR(INDEX(pr_unit,MATCH(B371,pr_code,0))&amp;"",""))</f>
        <v/>
      </c>
      <c r="J371" s="65" t="str">
        <f>IF(COUNTA(A371:G371)=0,"",IF(E371&lt;&gt;"",E371,IF(B371="","",IFERROR(IF(INDEX(pr_price,MATCH(B371,pr_code,0))="","",INDEX(pr_price,MATCH(B371,pr_code,0))),""))))</f>
        <v/>
      </c>
      <c r="K371" s="71" t="str">
        <f>IF(COUNTA(A371:G371)=0,"",IF(G371&lt;&gt;"",G371,IF(B371="","",IFERROR(IF(INDEX(pr_rate,MATCH(B371,pr_code,0))="","",INDEX(pr_rate,MATCH(B371,pr_code,0))),""))))</f>
        <v/>
      </c>
      <c r="L371" s="65" t="str">
        <f>IF(COUNTA(A371:G371)=0,"",IF(AND(ISNUMBER(D371),ISNUMBER(J371)),ROUND(D371*J371*(1-N(F371)),2),0))</f>
        <v/>
      </c>
      <c r="M371" s="62" t="str">
        <f>IF(A371="","",IFERROR(INDEX(dv_cname,MATCH(A371,dv_num,0))&amp;"",""))</f>
        <v/>
      </c>
      <c r="N371" s="59" t="str">
        <f>IF(COUNTA(A371:G371)=0,"",IF(A371="","N° devis manquant",IF(ISNA(MATCH(A371,dv_num,0)),"Devis inconnu",IF(AND(B371&lt;&gt;"",ISNA(MATCH(B371,pr_code,0))),"Article inconnu",IF(H371="","Désignation manquante",IF(OR(NOT(ISNUMBER(D371)),N(D371)&lt;=0),"Quantité invalide",IF(J371="","Prix manquant",IF(OR(NOT(ISNUMBER(J371)),N(J371)&lt;0),"Prix invalide",IF(OR(AND(F371&lt;&gt;"",NOT(ISNUMBER(F371))),N(F371)&lt;0,N(F371)&gt;1),"Remise invalide",IF(K371="","Taux de TVA manquant",IF(NOT(ISNUMBER(K371)),"Taux de TVA invalide",IF(COUNTIF(p_rates,K371)=0,"Taux de TVA hors liste (Paramètres)",IF(N(O371)&gt;25,"Au-delà de 25 lignes : non imprimée","OK")))))))))))))</f>
        <v/>
      </c>
      <c r="O371" s="59" t="str">
        <f>IF(A371="","",COUNTIF($A$6:A371,A371))</f>
        <v/>
      </c>
      <c r="P371" s="62" t="str">
        <f>IF(A371="","",A371&amp;"|"&amp;O371)</f>
        <v/>
      </c>
    </row>
    <row r="372">
      <c r="A372" s="60" t="n"/>
      <c r="B372" s="63" t="n"/>
      <c r="C372" s="63" t="n"/>
      <c r="D372" s="67" t="n"/>
      <c r="E372" s="68" t="n"/>
      <c r="F372" s="69" t="n"/>
      <c r="G372" s="70" t="n"/>
      <c r="H372" s="62" t="str">
        <f>IF(COUNTA(A372:G372)=0,"",IF(C372&lt;&gt;"",C372,IF(B372="","",IFERROR(INDEX(pr_des,MATCH(B372,pr_code,0))&amp;"",""))))</f>
        <v/>
      </c>
      <c r="I372" s="59" t="str">
        <f>IF(B372="","",IFERROR(INDEX(pr_unit,MATCH(B372,pr_code,0))&amp;"",""))</f>
        <v/>
      </c>
      <c r="J372" s="65" t="str">
        <f>IF(COUNTA(A372:G372)=0,"",IF(E372&lt;&gt;"",E372,IF(B372="","",IFERROR(IF(INDEX(pr_price,MATCH(B372,pr_code,0))="","",INDEX(pr_price,MATCH(B372,pr_code,0))),""))))</f>
        <v/>
      </c>
      <c r="K372" s="71" t="str">
        <f>IF(COUNTA(A372:G372)=0,"",IF(G372&lt;&gt;"",G372,IF(B372="","",IFERROR(IF(INDEX(pr_rate,MATCH(B372,pr_code,0))="","",INDEX(pr_rate,MATCH(B372,pr_code,0))),""))))</f>
        <v/>
      </c>
      <c r="L372" s="65" t="str">
        <f>IF(COUNTA(A372:G372)=0,"",IF(AND(ISNUMBER(D372),ISNUMBER(J372)),ROUND(D372*J372*(1-N(F372)),2),0))</f>
        <v/>
      </c>
      <c r="M372" s="62" t="str">
        <f>IF(A372="","",IFERROR(INDEX(dv_cname,MATCH(A372,dv_num,0))&amp;"",""))</f>
        <v/>
      </c>
      <c r="N372" s="59" t="str">
        <f>IF(COUNTA(A372:G372)=0,"",IF(A372="","N° devis manquant",IF(ISNA(MATCH(A372,dv_num,0)),"Devis inconnu",IF(AND(B372&lt;&gt;"",ISNA(MATCH(B372,pr_code,0))),"Article inconnu",IF(H372="","Désignation manquante",IF(OR(NOT(ISNUMBER(D372)),N(D372)&lt;=0),"Quantité invalide",IF(J372="","Prix manquant",IF(OR(NOT(ISNUMBER(J372)),N(J372)&lt;0),"Prix invalide",IF(OR(AND(F372&lt;&gt;"",NOT(ISNUMBER(F372))),N(F372)&lt;0,N(F372)&gt;1),"Remise invalide",IF(K372="","Taux de TVA manquant",IF(NOT(ISNUMBER(K372)),"Taux de TVA invalide",IF(COUNTIF(p_rates,K372)=0,"Taux de TVA hors liste (Paramètres)",IF(N(O372)&gt;25,"Au-delà de 25 lignes : non imprimée","OK")))))))))))))</f>
        <v/>
      </c>
      <c r="O372" s="59" t="str">
        <f>IF(A372="","",COUNTIF($A$6:A372,A372))</f>
        <v/>
      </c>
      <c r="P372" s="62" t="str">
        <f>IF(A372="","",A372&amp;"|"&amp;O372)</f>
        <v/>
      </c>
    </row>
    <row r="373">
      <c r="A373" s="60" t="n"/>
      <c r="B373" s="63" t="n"/>
      <c r="C373" s="63" t="n"/>
      <c r="D373" s="67" t="n"/>
      <c r="E373" s="68" t="n"/>
      <c r="F373" s="69" t="n"/>
      <c r="G373" s="70" t="n"/>
      <c r="H373" s="62" t="str">
        <f>IF(COUNTA(A373:G373)=0,"",IF(C373&lt;&gt;"",C373,IF(B373="","",IFERROR(INDEX(pr_des,MATCH(B373,pr_code,0))&amp;"",""))))</f>
        <v/>
      </c>
      <c r="I373" s="59" t="str">
        <f>IF(B373="","",IFERROR(INDEX(pr_unit,MATCH(B373,pr_code,0))&amp;"",""))</f>
        <v/>
      </c>
      <c r="J373" s="65" t="str">
        <f>IF(COUNTA(A373:G373)=0,"",IF(E373&lt;&gt;"",E373,IF(B373="","",IFERROR(IF(INDEX(pr_price,MATCH(B373,pr_code,0))="","",INDEX(pr_price,MATCH(B373,pr_code,0))),""))))</f>
        <v/>
      </c>
      <c r="K373" s="71" t="str">
        <f>IF(COUNTA(A373:G373)=0,"",IF(G373&lt;&gt;"",G373,IF(B373="","",IFERROR(IF(INDEX(pr_rate,MATCH(B373,pr_code,0))="","",INDEX(pr_rate,MATCH(B373,pr_code,0))),""))))</f>
        <v/>
      </c>
      <c r="L373" s="65" t="str">
        <f>IF(COUNTA(A373:G373)=0,"",IF(AND(ISNUMBER(D373),ISNUMBER(J373)),ROUND(D373*J373*(1-N(F373)),2),0))</f>
        <v/>
      </c>
      <c r="M373" s="62" t="str">
        <f>IF(A373="","",IFERROR(INDEX(dv_cname,MATCH(A373,dv_num,0))&amp;"",""))</f>
        <v/>
      </c>
      <c r="N373" s="59" t="str">
        <f>IF(COUNTA(A373:G373)=0,"",IF(A373="","N° devis manquant",IF(ISNA(MATCH(A373,dv_num,0)),"Devis inconnu",IF(AND(B373&lt;&gt;"",ISNA(MATCH(B373,pr_code,0))),"Article inconnu",IF(H373="","Désignation manquante",IF(OR(NOT(ISNUMBER(D373)),N(D373)&lt;=0),"Quantité invalide",IF(J373="","Prix manquant",IF(OR(NOT(ISNUMBER(J373)),N(J373)&lt;0),"Prix invalide",IF(OR(AND(F373&lt;&gt;"",NOT(ISNUMBER(F373))),N(F373)&lt;0,N(F373)&gt;1),"Remise invalide",IF(K373="","Taux de TVA manquant",IF(NOT(ISNUMBER(K373)),"Taux de TVA invalide",IF(COUNTIF(p_rates,K373)=0,"Taux de TVA hors liste (Paramètres)",IF(N(O373)&gt;25,"Au-delà de 25 lignes : non imprimée","OK")))))))))))))</f>
        <v/>
      </c>
      <c r="O373" s="59" t="str">
        <f>IF(A373="","",COUNTIF($A$6:A373,A373))</f>
        <v/>
      </c>
      <c r="P373" s="62" t="str">
        <f>IF(A373="","",A373&amp;"|"&amp;O373)</f>
        <v/>
      </c>
    </row>
    <row r="374">
      <c r="A374" s="60" t="n"/>
      <c r="B374" s="63" t="n"/>
      <c r="C374" s="63" t="n"/>
      <c r="D374" s="67" t="n"/>
      <c r="E374" s="68" t="n"/>
      <c r="F374" s="69" t="n"/>
      <c r="G374" s="70" t="n"/>
      <c r="H374" s="62" t="str">
        <f>IF(COUNTA(A374:G374)=0,"",IF(C374&lt;&gt;"",C374,IF(B374="","",IFERROR(INDEX(pr_des,MATCH(B374,pr_code,0))&amp;"",""))))</f>
        <v/>
      </c>
      <c r="I374" s="59" t="str">
        <f>IF(B374="","",IFERROR(INDEX(pr_unit,MATCH(B374,pr_code,0))&amp;"",""))</f>
        <v/>
      </c>
      <c r="J374" s="65" t="str">
        <f>IF(COUNTA(A374:G374)=0,"",IF(E374&lt;&gt;"",E374,IF(B374="","",IFERROR(IF(INDEX(pr_price,MATCH(B374,pr_code,0))="","",INDEX(pr_price,MATCH(B374,pr_code,0))),""))))</f>
        <v/>
      </c>
      <c r="K374" s="71" t="str">
        <f>IF(COUNTA(A374:G374)=0,"",IF(G374&lt;&gt;"",G374,IF(B374="","",IFERROR(IF(INDEX(pr_rate,MATCH(B374,pr_code,0))="","",INDEX(pr_rate,MATCH(B374,pr_code,0))),""))))</f>
        <v/>
      </c>
      <c r="L374" s="65" t="str">
        <f>IF(COUNTA(A374:G374)=0,"",IF(AND(ISNUMBER(D374),ISNUMBER(J374)),ROUND(D374*J374*(1-N(F374)),2),0))</f>
        <v/>
      </c>
      <c r="M374" s="62" t="str">
        <f>IF(A374="","",IFERROR(INDEX(dv_cname,MATCH(A374,dv_num,0))&amp;"",""))</f>
        <v/>
      </c>
      <c r="N374" s="59" t="str">
        <f>IF(COUNTA(A374:G374)=0,"",IF(A374="","N° devis manquant",IF(ISNA(MATCH(A374,dv_num,0)),"Devis inconnu",IF(AND(B374&lt;&gt;"",ISNA(MATCH(B374,pr_code,0))),"Article inconnu",IF(H374="","Désignation manquante",IF(OR(NOT(ISNUMBER(D374)),N(D374)&lt;=0),"Quantité invalide",IF(J374="","Prix manquant",IF(OR(NOT(ISNUMBER(J374)),N(J374)&lt;0),"Prix invalide",IF(OR(AND(F374&lt;&gt;"",NOT(ISNUMBER(F374))),N(F374)&lt;0,N(F374)&gt;1),"Remise invalide",IF(K374="","Taux de TVA manquant",IF(NOT(ISNUMBER(K374)),"Taux de TVA invalide",IF(COUNTIF(p_rates,K374)=0,"Taux de TVA hors liste (Paramètres)",IF(N(O374)&gt;25,"Au-delà de 25 lignes : non imprimée","OK")))))))))))))</f>
        <v/>
      </c>
      <c r="O374" s="59" t="str">
        <f>IF(A374="","",COUNTIF($A$6:A374,A374))</f>
        <v/>
      </c>
      <c r="P374" s="62" t="str">
        <f>IF(A374="","",A374&amp;"|"&amp;O374)</f>
        <v/>
      </c>
    </row>
    <row r="375">
      <c r="A375" s="60" t="n"/>
      <c r="B375" s="63" t="n"/>
      <c r="C375" s="63" t="n"/>
      <c r="D375" s="67" t="n"/>
      <c r="E375" s="68" t="n"/>
      <c r="F375" s="69" t="n"/>
      <c r="G375" s="70" t="n"/>
      <c r="H375" s="62" t="str">
        <f>IF(COUNTA(A375:G375)=0,"",IF(C375&lt;&gt;"",C375,IF(B375="","",IFERROR(INDEX(pr_des,MATCH(B375,pr_code,0))&amp;"",""))))</f>
        <v/>
      </c>
      <c r="I375" s="59" t="str">
        <f>IF(B375="","",IFERROR(INDEX(pr_unit,MATCH(B375,pr_code,0))&amp;"",""))</f>
        <v/>
      </c>
      <c r="J375" s="65" t="str">
        <f>IF(COUNTA(A375:G375)=0,"",IF(E375&lt;&gt;"",E375,IF(B375="","",IFERROR(IF(INDEX(pr_price,MATCH(B375,pr_code,0))="","",INDEX(pr_price,MATCH(B375,pr_code,0))),""))))</f>
        <v/>
      </c>
      <c r="K375" s="71" t="str">
        <f>IF(COUNTA(A375:G375)=0,"",IF(G375&lt;&gt;"",G375,IF(B375="","",IFERROR(IF(INDEX(pr_rate,MATCH(B375,pr_code,0))="","",INDEX(pr_rate,MATCH(B375,pr_code,0))),""))))</f>
        <v/>
      </c>
      <c r="L375" s="65" t="str">
        <f>IF(COUNTA(A375:G375)=0,"",IF(AND(ISNUMBER(D375),ISNUMBER(J375)),ROUND(D375*J375*(1-N(F375)),2),0))</f>
        <v/>
      </c>
      <c r="M375" s="62" t="str">
        <f>IF(A375="","",IFERROR(INDEX(dv_cname,MATCH(A375,dv_num,0))&amp;"",""))</f>
        <v/>
      </c>
      <c r="N375" s="59" t="str">
        <f>IF(COUNTA(A375:G375)=0,"",IF(A375="","N° devis manquant",IF(ISNA(MATCH(A375,dv_num,0)),"Devis inconnu",IF(AND(B375&lt;&gt;"",ISNA(MATCH(B375,pr_code,0))),"Article inconnu",IF(H375="","Désignation manquante",IF(OR(NOT(ISNUMBER(D375)),N(D375)&lt;=0),"Quantité invalide",IF(J375="","Prix manquant",IF(OR(NOT(ISNUMBER(J375)),N(J375)&lt;0),"Prix invalide",IF(OR(AND(F375&lt;&gt;"",NOT(ISNUMBER(F375))),N(F375)&lt;0,N(F375)&gt;1),"Remise invalide",IF(K375="","Taux de TVA manquant",IF(NOT(ISNUMBER(K375)),"Taux de TVA invalide",IF(COUNTIF(p_rates,K375)=0,"Taux de TVA hors liste (Paramètres)",IF(N(O375)&gt;25,"Au-delà de 25 lignes : non imprimée","OK")))))))))))))</f>
        <v/>
      </c>
      <c r="O375" s="59" t="str">
        <f>IF(A375="","",COUNTIF($A$6:A375,A375))</f>
        <v/>
      </c>
      <c r="P375" s="62" t="str">
        <f>IF(A375="","",A375&amp;"|"&amp;O375)</f>
        <v/>
      </c>
    </row>
    <row r="376">
      <c r="A376" s="60" t="n"/>
      <c r="B376" s="63" t="n"/>
      <c r="C376" s="63" t="n"/>
      <c r="D376" s="67" t="n"/>
      <c r="E376" s="68" t="n"/>
      <c r="F376" s="69" t="n"/>
      <c r="G376" s="70" t="n"/>
      <c r="H376" s="62" t="str">
        <f>IF(COUNTA(A376:G376)=0,"",IF(C376&lt;&gt;"",C376,IF(B376="","",IFERROR(INDEX(pr_des,MATCH(B376,pr_code,0))&amp;"",""))))</f>
        <v/>
      </c>
      <c r="I376" s="59" t="str">
        <f>IF(B376="","",IFERROR(INDEX(pr_unit,MATCH(B376,pr_code,0))&amp;"",""))</f>
        <v/>
      </c>
      <c r="J376" s="65" t="str">
        <f>IF(COUNTA(A376:G376)=0,"",IF(E376&lt;&gt;"",E376,IF(B376="","",IFERROR(IF(INDEX(pr_price,MATCH(B376,pr_code,0))="","",INDEX(pr_price,MATCH(B376,pr_code,0))),""))))</f>
        <v/>
      </c>
      <c r="K376" s="71" t="str">
        <f>IF(COUNTA(A376:G376)=0,"",IF(G376&lt;&gt;"",G376,IF(B376="","",IFERROR(IF(INDEX(pr_rate,MATCH(B376,pr_code,0))="","",INDEX(pr_rate,MATCH(B376,pr_code,0))),""))))</f>
        <v/>
      </c>
      <c r="L376" s="65" t="str">
        <f>IF(COUNTA(A376:G376)=0,"",IF(AND(ISNUMBER(D376),ISNUMBER(J376)),ROUND(D376*J376*(1-N(F376)),2),0))</f>
        <v/>
      </c>
      <c r="M376" s="62" t="str">
        <f>IF(A376="","",IFERROR(INDEX(dv_cname,MATCH(A376,dv_num,0))&amp;"",""))</f>
        <v/>
      </c>
      <c r="N376" s="59" t="str">
        <f>IF(COUNTA(A376:G376)=0,"",IF(A376="","N° devis manquant",IF(ISNA(MATCH(A376,dv_num,0)),"Devis inconnu",IF(AND(B376&lt;&gt;"",ISNA(MATCH(B376,pr_code,0))),"Article inconnu",IF(H376="","Désignation manquante",IF(OR(NOT(ISNUMBER(D376)),N(D376)&lt;=0),"Quantité invalide",IF(J376="","Prix manquant",IF(OR(NOT(ISNUMBER(J376)),N(J376)&lt;0),"Prix invalide",IF(OR(AND(F376&lt;&gt;"",NOT(ISNUMBER(F376))),N(F376)&lt;0,N(F376)&gt;1),"Remise invalide",IF(K376="","Taux de TVA manquant",IF(NOT(ISNUMBER(K376)),"Taux de TVA invalide",IF(COUNTIF(p_rates,K376)=0,"Taux de TVA hors liste (Paramètres)",IF(N(O376)&gt;25,"Au-delà de 25 lignes : non imprimée","OK")))))))))))))</f>
        <v/>
      </c>
      <c r="O376" s="59" t="str">
        <f>IF(A376="","",COUNTIF($A$6:A376,A376))</f>
        <v/>
      </c>
      <c r="P376" s="62" t="str">
        <f>IF(A376="","",A376&amp;"|"&amp;O376)</f>
        <v/>
      </c>
    </row>
    <row r="377">
      <c r="A377" s="60" t="n"/>
      <c r="B377" s="63" t="n"/>
      <c r="C377" s="63" t="n"/>
      <c r="D377" s="67" t="n"/>
      <c r="E377" s="68" t="n"/>
      <c r="F377" s="69" t="n"/>
      <c r="G377" s="70" t="n"/>
      <c r="H377" s="62" t="str">
        <f>IF(COUNTA(A377:G377)=0,"",IF(C377&lt;&gt;"",C377,IF(B377="","",IFERROR(INDEX(pr_des,MATCH(B377,pr_code,0))&amp;"",""))))</f>
        <v/>
      </c>
      <c r="I377" s="59" t="str">
        <f>IF(B377="","",IFERROR(INDEX(pr_unit,MATCH(B377,pr_code,0))&amp;"",""))</f>
        <v/>
      </c>
      <c r="J377" s="65" t="str">
        <f>IF(COUNTA(A377:G377)=0,"",IF(E377&lt;&gt;"",E377,IF(B377="","",IFERROR(IF(INDEX(pr_price,MATCH(B377,pr_code,0))="","",INDEX(pr_price,MATCH(B377,pr_code,0))),""))))</f>
        <v/>
      </c>
      <c r="K377" s="71" t="str">
        <f>IF(COUNTA(A377:G377)=0,"",IF(G377&lt;&gt;"",G377,IF(B377="","",IFERROR(IF(INDEX(pr_rate,MATCH(B377,pr_code,0))="","",INDEX(pr_rate,MATCH(B377,pr_code,0))),""))))</f>
        <v/>
      </c>
      <c r="L377" s="65" t="str">
        <f>IF(COUNTA(A377:G377)=0,"",IF(AND(ISNUMBER(D377),ISNUMBER(J377)),ROUND(D377*J377*(1-N(F377)),2),0))</f>
        <v/>
      </c>
      <c r="M377" s="62" t="str">
        <f>IF(A377="","",IFERROR(INDEX(dv_cname,MATCH(A377,dv_num,0))&amp;"",""))</f>
        <v/>
      </c>
      <c r="N377" s="59" t="str">
        <f>IF(COUNTA(A377:G377)=0,"",IF(A377="","N° devis manquant",IF(ISNA(MATCH(A377,dv_num,0)),"Devis inconnu",IF(AND(B377&lt;&gt;"",ISNA(MATCH(B377,pr_code,0))),"Article inconnu",IF(H377="","Désignation manquante",IF(OR(NOT(ISNUMBER(D377)),N(D377)&lt;=0),"Quantité invalide",IF(J377="","Prix manquant",IF(OR(NOT(ISNUMBER(J377)),N(J377)&lt;0),"Prix invalide",IF(OR(AND(F377&lt;&gt;"",NOT(ISNUMBER(F377))),N(F377)&lt;0,N(F377)&gt;1),"Remise invalide",IF(K377="","Taux de TVA manquant",IF(NOT(ISNUMBER(K377)),"Taux de TVA invalide",IF(COUNTIF(p_rates,K377)=0,"Taux de TVA hors liste (Paramètres)",IF(N(O377)&gt;25,"Au-delà de 25 lignes : non imprimée","OK")))))))))))))</f>
        <v/>
      </c>
      <c r="O377" s="59" t="str">
        <f>IF(A377="","",COUNTIF($A$6:A377,A377))</f>
        <v/>
      </c>
      <c r="P377" s="62" t="str">
        <f>IF(A377="","",A377&amp;"|"&amp;O377)</f>
        <v/>
      </c>
    </row>
    <row r="378">
      <c r="A378" s="60" t="n"/>
      <c r="B378" s="63" t="n"/>
      <c r="C378" s="63" t="n"/>
      <c r="D378" s="67" t="n"/>
      <c r="E378" s="68" t="n"/>
      <c r="F378" s="69" t="n"/>
      <c r="G378" s="70" t="n"/>
      <c r="H378" s="62" t="str">
        <f>IF(COUNTA(A378:G378)=0,"",IF(C378&lt;&gt;"",C378,IF(B378="","",IFERROR(INDEX(pr_des,MATCH(B378,pr_code,0))&amp;"",""))))</f>
        <v/>
      </c>
      <c r="I378" s="59" t="str">
        <f>IF(B378="","",IFERROR(INDEX(pr_unit,MATCH(B378,pr_code,0))&amp;"",""))</f>
        <v/>
      </c>
      <c r="J378" s="65" t="str">
        <f>IF(COUNTA(A378:G378)=0,"",IF(E378&lt;&gt;"",E378,IF(B378="","",IFERROR(IF(INDEX(pr_price,MATCH(B378,pr_code,0))="","",INDEX(pr_price,MATCH(B378,pr_code,0))),""))))</f>
        <v/>
      </c>
      <c r="K378" s="71" t="str">
        <f>IF(COUNTA(A378:G378)=0,"",IF(G378&lt;&gt;"",G378,IF(B378="","",IFERROR(IF(INDEX(pr_rate,MATCH(B378,pr_code,0))="","",INDEX(pr_rate,MATCH(B378,pr_code,0))),""))))</f>
        <v/>
      </c>
      <c r="L378" s="65" t="str">
        <f>IF(COUNTA(A378:G378)=0,"",IF(AND(ISNUMBER(D378),ISNUMBER(J378)),ROUND(D378*J378*(1-N(F378)),2),0))</f>
        <v/>
      </c>
      <c r="M378" s="62" t="str">
        <f>IF(A378="","",IFERROR(INDEX(dv_cname,MATCH(A378,dv_num,0))&amp;"",""))</f>
        <v/>
      </c>
      <c r="N378" s="59" t="str">
        <f>IF(COUNTA(A378:G378)=0,"",IF(A378="","N° devis manquant",IF(ISNA(MATCH(A378,dv_num,0)),"Devis inconnu",IF(AND(B378&lt;&gt;"",ISNA(MATCH(B378,pr_code,0))),"Article inconnu",IF(H378="","Désignation manquante",IF(OR(NOT(ISNUMBER(D378)),N(D378)&lt;=0),"Quantité invalide",IF(J378="","Prix manquant",IF(OR(NOT(ISNUMBER(J378)),N(J378)&lt;0),"Prix invalide",IF(OR(AND(F378&lt;&gt;"",NOT(ISNUMBER(F378))),N(F378)&lt;0,N(F378)&gt;1),"Remise invalide",IF(K378="","Taux de TVA manquant",IF(NOT(ISNUMBER(K378)),"Taux de TVA invalide",IF(COUNTIF(p_rates,K378)=0,"Taux de TVA hors liste (Paramètres)",IF(N(O378)&gt;25,"Au-delà de 25 lignes : non imprimée","OK")))))))))))))</f>
        <v/>
      </c>
      <c r="O378" s="59" t="str">
        <f>IF(A378="","",COUNTIF($A$6:A378,A378))</f>
        <v/>
      </c>
      <c r="P378" s="62" t="str">
        <f>IF(A378="","",A378&amp;"|"&amp;O378)</f>
        <v/>
      </c>
    </row>
    <row r="379">
      <c r="A379" s="60" t="n"/>
      <c r="B379" s="63" t="n"/>
      <c r="C379" s="63" t="n"/>
      <c r="D379" s="67" t="n"/>
      <c r="E379" s="68" t="n"/>
      <c r="F379" s="69" t="n"/>
      <c r="G379" s="70" t="n"/>
      <c r="H379" s="62" t="str">
        <f>IF(COUNTA(A379:G379)=0,"",IF(C379&lt;&gt;"",C379,IF(B379="","",IFERROR(INDEX(pr_des,MATCH(B379,pr_code,0))&amp;"",""))))</f>
        <v/>
      </c>
      <c r="I379" s="59" t="str">
        <f>IF(B379="","",IFERROR(INDEX(pr_unit,MATCH(B379,pr_code,0))&amp;"",""))</f>
        <v/>
      </c>
      <c r="J379" s="65" t="str">
        <f>IF(COUNTA(A379:G379)=0,"",IF(E379&lt;&gt;"",E379,IF(B379="","",IFERROR(IF(INDEX(pr_price,MATCH(B379,pr_code,0))="","",INDEX(pr_price,MATCH(B379,pr_code,0))),""))))</f>
        <v/>
      </c>
      <c r="K379" s="71" t="str">
        <f>IF(COUNTA(A379:G379)=0,"",IF(G379&lt;&gt;"",G379,IF(B379="","",IFERROR(IF(INDEX(pr_rate,MATCH(B379,pr_code,0))="","",INDEX(pr_rate,MATCH(B379,pr_code,0))),""))))</f>
        <v/>
      </c>
      <c r="L379" s="65" t="str">
        <f>IF(COUNTA(A379:G379)=0,"",IF(AND(ISNUMBER(D379),ISNUMBER(J379)),ROUND(D379*J379*(1-N(F379)),2),0))</f>
        <v/>
      </c>
      <c r="M379" s="62" t="str">
        <f>IF(A379="","",IFERROR(INDEX(dv_cname,MATCH(A379,dv_num,0))&amp;"",""))</f>
        <v/>
      </c>
      <c r="N379" s="59" t="str">
        <f>IF(COUNTA(A379:G379)=0,"",IF(A379="","N° devis manquant",IF(ISNA(MATCH(A379,dv_num,0)),"Devis inconnu",IF(AND(B379&lt;&gt;"",ISNA(MATCH(B379,pr_code,0))),"Article inconnu",IF(H379="","Désignation manquante",IF(OR(NOT(ISNUMBER(D379)),N(D379)&lt;=0),"Quantité invalide",IF(J379="","Prix manquant",IF(OR(NOT(ISNUMBER(J379)),N(J379)&lt;0),"Prix invalide",IF(OR(AND(F379&lt;&gt;"",NOT(ISNUMBER(F379))),N(F379)&lt;0,N(F379)&gt;1),"Remise invalide",IF(K379="","Taux de TVA manquant",IF(NOT(ISNUMBER(K379)),"Taux de TVA invalide",IF(COUNTIF(p_rates,K379)=0,"Taux de TVA hors liste (Paramètres)",IF(N(O379)&gt;25,"Au-delà de 25 lignes : non imprimée","OK")))))))))))))</f>
        <v/>
      </c>
      <c r="O379" s="59" t="str">
        <f>IF(A379="","",COUNTIF($A$6:A379,A379))</f>
        <v/>
      </c>
      <c r="P379" s="62" t="str">
        <f>IF(A379="","",A379&amp;"|"&amp;O379)</f>
        <v/>
      </c>
    </row>
    <row r="380">
      <c r="A380" s="60" t="n"/>
      <c r="B380" s="63" t="n"/>
      <c r="C380" s="63" t="n"/>
      <c r="D380" s="67" t="n"/>
      <c r="E380" s="68" t="n"/>
      <c r="F380" s="69" t="n"/>
      <c r="G380" s="70" t="n"/>
      <c r="H380" s="62" t="str">
        <f>IF(COUNTA(A380:G380)=0,"",IF(C380&lt;&gt;"",C380,IF(B380="","",IFERROR(INDEX(pr_des,MATCH(B380,pr_code,0))&amp;"",""))))</f>
        <v/>
      </c>
      <c r="I380" s="59" t="str">
        <f>IF(B380="","",IFERROR(INDEX(pr_unit,MATCH(B380,pr_code,0))&amp;"",""))</f>
        <v/>
      </c>
      <c r="J380" s="65" t="str">
        <f>IF(COUNTA(A380:G380)=0,"",IF(E380&lt;&gt;"",E380,IF(B380="","",IFERROR(IF(INDEX(pr_price,MATCH(B380,pr_code,0))="","",INDEX(pr_price,MATCH(B380,pr_code,0))),""))))</f>
        <v/>
      </c>
      <c r="K380" s="71" t="str">
        <f>IF(COUNTA(A380:G380)=0,"",IF(G380&lt;&gt;"",G380,IF(B380="","",IFERROR(IF(INDEX(pr_rate,MATCH(B380,pr_code,0))="","",INDEX(pr_rate,MATCH(B380,pr_code,0))),""))))</f>
        <v/>
      </c>
      <c r="L380" s="65" t="str">
        <f>IF(COUNTA(A380:G380)=0,"",IF(AND(ISNUMBER(D380),ISNUMBER(J380)),ROUND(D380*J380*(1-N(F380)),2),0))</f>
        <v/>
      </c>
      <c r="M380" s="62" t="str">
        <f>IF(A380="","",IFERROR(INDEX(dv_cname,MATCH(A380,dv_num,0))&amp;"",""))</f>
        <v/>
      </c>
      <c r="N380" s="59" t="str">
        <f>IF(COUNTA(A380:G380)=0,"",IF(A380="","N° devis manquant",IF(ISNA(MATCH(A380,dv_num,0)),"Devis inconnu",IF(AND(B380&lt;&gt;"",ISNA(MATCH(B380,pr_code,0))),"Article inconnu",IF(H380="","Désignation manquante",IF(OR(NOT(ISNUMBER(D380)),N(D380)&lt;=0),"Quantité invalide",IF(J380="","Prix manquant",IF(OR(NOT(ISNUMBER(J380)),N(J380)&lt;0),"Prix invalide",IF(OR(AND(F380&lt;&gt;"",NOT(ISNUMBER(F380))),N(F380)&lt;0,N(F380)&gt;1),"Remise invalide",IF(K380="","Taux de TVA manquant",IF(NOT(ISNUMBER(K380)),"Taux de TVA invalide",IF(COUNTIF(p_rates,K380)=0,"Taux de TVA hors liste (Paramètres)",IF(N(O380)&gt;25,"Au-delà de 25 lignes : non imprimée","OK")))))))))))))</f>
        <v/>
      </c>
      <c r="O380" s="59" t="str">
        <f>IF(A380="","",COUNTIF($A$6:A380,A380))</f>
        <v/>
      </c>
      <c r="P380" s="62" t="str">
        <f>IF(A380="","",A380&amp;"|"&amp;O380)</f>
        <v/>
      </c>
    </row>
    <row r="381">
      <c r="A381" s="60" t="n"/>
      <c r="B381" s="63" t="n"/>
      <c r="C381" s="63" t="n"/>
      <c r="D381" s="67" t="n"/>
      <c r="E381" s="68" t="n"/>
      <c r="F381" s="69" t="n"/>
      <c r="G381" s="70" t="n"/>
      <c r="H381" s="62" t="str">
        <f>IF(COUNTA(A381:G381)=0,"",IF(C381&lt;&gt;"",C381,IF(B381="","",IFERROR(INDEX(pr_des,MATCH(B381,pr_code,0))&amp;"",""))))</f>
        <v/>
      </c>
      <c r="I381" s="59" t="str">
        <f>IF(B381="","",IFERROR(INDEX(pr_unit,MATCH(B381,pr_code,0))&amp;"",""))</f>
        <v/>
      </c>
      <c r="J381" s="65" t="str">
        <f>IF(COUNTA(A381:G381)=0,"",IF(E381&lt;&gt;"",E381,IF(B381="","",IFERROR(IF(INDEX(pr_price,MATCH(B381,pr_code,0))="","",INDEX(pr_price,MATCH(B381,pr_code,0))),""))))</f>
        <v/>
      </c>
      <c r="K381" s="71" t="str">
        <f>IF(COUNTA(A381:G381)=0,"",IF(G381&lt;&gt;"",G381,IF(B381="","",IFERROR(IF(INDEX(pr_rate,MATCH(B381,pr_code,0))="","",INDEX(pr_rate,MATCH(B381,pr_code,0))),""))))</f>
        <v/>
      </c>
      <c r="L381" s="65" t="str">
        <f>IF(COUNTA(A381:G381)=0,"",IF(AND(ISNUMBER(D381),ISNUMBER(J381)),ROUND(D381*J381*(1-N(F381)),2),0))</f>
        <v/>
      </c>
      <c r="M381" s="62" t="str">
        <f>IF(A381="","",IFERROR(INDEX(dv_cname,MATCH(A381,dv_num,0))&amp;"",""))</f>
        <v/>
      </c>
      <c r="N381" s="59" t="str">
        <f>IF(COUNTA(A381:G381)=0,"",IF(A381="","N° devis manquant",IF(ISNA(MATCH(A381,dv_num,0)),"Devis inconnu",IF(AND(B381&lt;&gt;"",ISNA(MATCH(B381,pr_code,0))),"Article inconnu",IF(H381="","Désignation manquante",IF(OR(NOT(ISNUMBER(D381)),N(D381)&lt;=0),"Quantité invalide",IF(J381="","Prix manquant",IF(OR(NOT(ISNUMBER(J381)),N(J381)&lt;0),"Prix invalide",IF(OR(AND(F381&lt;&gt;"",NOT(ISNUMBER(F381))),N(F381)&lt;0,N(F381)&gt;1),"Remise invalide",IF(K381="","Taux de TVA manquant",IF(NOT(ISNUMBER(K381)),"Taux de TVA invalide",IF(COUNTIF(p_rates,K381)=0,"Taux de TVA hors liste (Paramètres)",IF(N(O381)&gt;25,"Au-delà de 25 lignes : non imprimée","OK")))))))))))))</f>
        <v/>
      </c>
      <c r="O381" s="59" t="str">
        <f>IF(A381="","",COUNTIF($A$6:A381,A381))</f>
        <v/>
      </c>
      <c r="P381" s="62" t="str">
        <f>IF(A381="","",A381&amp;"|"&amp;O381)</f>
        <v/>
      </c>
    </row>
    <row r="382">
      <c r="A382" s="60" t="n"/>
      <c r="B382" s="63" t="n"/>
      <c r="C382" s="63" t="n"/>
      <c r="D382" s="67" t="n"/>
      <c r="E382" s="68" t="n"/>
      <c r="F382" s="69" t="n"/>
      <c r="G382" s="70" t="n"/>
      <c r="H382" s="62" t="str">
        <f>IF(COUNTA(A382:G382)=0,"",IF(C382&lt;&gt;"",C382,IF(B382="","",IFERROR(INDEX(pr_des,MATCH(B382,pr_code,0))&amp;"",""))))</f>
        <v/>
      </c>
      <c r="I382" s="59" t="str">
        <f>IF(B382="","",IFERROR(INDEX(pr_unit,MATCH(B382,pr_code,0))&amp;"",""))</f>
        <v/>
      </c>
      <c r="J382" s="65" t="str">
        <f>IF(COUNTA(A382:G382)=0,"",IF(E382&lt;&gt;"",E382,IF(B382="","",IFERROR(IF(INDEX(pr_price,MATCH(B382,pr_code,0))="","",INDEX(pr_price,MATCH(B382,pr_code,0))),""))))</f>
        <v/>
      </c>
      <c r="K382" s="71" t="str">
        <f>IF(COUNTA(A382:G382)=0,"",IF(G382&lt;&gt;"",G382,IF(B382="","",IFERROR(IF(INDEX(pr_rate,MATCH(B382,pr_code,0))="","",INDEX(pr_rate,MATCH(B382,pr_code,0))),""))))</f>
        <v/>
      </c>
      <c r="L382" s="65" t="str">
        <f>IF(COUNTA(A382:G382)=0,"",IF(AND(ISNUMBER(D382),ISNUMBER(J382)),ROUND(D382*J382*(1-N(F382)),2),0))</f>
        <v/>
      </c>
      <c r="M382" s="62" t="str">
        <f>IF(A382="","",IFERROR(INDEX(dv_cname,MATCH(A382,dv_num,0))&amp;"",""))</f>
        <v/>
      </c>
      <c r="N382" s="59" t="str">
        <f>IF(COUNTA(A382:G382)=0,"",IF(A382="","N° devis manquant",IF(ISNA(MATCH(A382,dv_num,0)),"Devis inconnu",IF(AND(B382&lt;&gt;"",ISNA(MATCH(B382,pr_code,0))),"Article inconnu",IF(H382="","Désignation manquante",IF(OR(NOT(ISNUMBER(D382)),N(D382)&lt;=0),"Quantité invalide",IF(J382="","Prix manquant",IF(OR(NOT(ISNUMBER(J382)),N(J382)&lt;0),"Prix invalide",IF(OR(AND(F382&lt;&gt;"",NOT(ISNUMBER(F382))),N(F382)&lt;0,N(F382)&gt;1),"Remise invalide",IF(K382="","Taux de TVA manquant",IF(NOT(ISNUMBER(K382)),"Taux de TVA invalide",IF(COUNTIF(p_rates,K382)=0,"Taux de TVA hors liste (Paramètres)",IF(N(O382)&gt;25,"Au-delà de 25 lignes : non imprimée","OK")))))))))))))</f>
        <v/>
      </c>
      <c r="O382" s="59" t="str">
        <f>IF(A382="","",COUNTIF($A$6:A382,A382))</f>
        <v/>
      </c>
      <c r="P382" s="62" t="str">
        <f>IF(A382="","",A382&amp;"|"&amp;O382)</f>
        <v/>
      </c>
    </row>
    <row r="383">
      <c r="A383" s="60" t="n"/>
      <c r="B383" s="63" t="n"/>
      <c r="C383" s="63" t="n"/>
      <c r="D383" s="67" t="n"/>
      <c r="E383" s="68" t="n"/>
      <c r="F383" s="69" t="n"/>
      <c r="G383" s="70" t="n"/>
      <c r="H383" s="62" t="str">
        <f>IF(COUNTA(A383:G383)=0,"",IF(C383&lt;&gt;"",C383,IF(B383="","",IFERROR(INDEX(pr_des,MATCH(B383,pr_code,0))&amp;"",""))))</f>
        <v/>
      </c>
      <c r="I383" s="59" t="str">
        <f>IF(B383="","",IFERROR(INDEX(pr_unit,MATCH(B383,pr_code,0))&amp;"",""))</f>
        <v/>
      </c>
      <c r="J383" s="65" t="str">
        <f>IF(COUNTA(A383:G383)=0,"",IF(E383&lt;&gt;"",E383,IF(B383="","",IFERROR(IF(INDEX(pr_price,MATCH(B383,pr_code,0))="","",INDEX(pr_price,MATCH(B383,pr_code,0))),""))))</f>
        <v/>
      </c>
      <c r="K383" s="71" t="str">
        <f>IF(COUNTA(A383:G383)=0,"",IF(G383&lt;&gt;"",G383,IF(B383="","",IFERROR(IF(INDEX(pr_rate,MATCH(B383,pr_code,0))="","",INDEX(pr_rate,MATCH(B383,pr_code,0))),""))))</f>
        <v/>
      </c>
      <c r="L383" s="65" t="str">
        <f>IF(COUNTA(A383:G383)=0,"",IF(AND(ISNUMBER(D383),ISNUMBER(J383)),ROUND(D383*J383*(1-N(F383)),2),0))</f>
        <v/>
      </c>
      <c r="M383" s="62" t="str">
        <f>IF(A383="","",IFERROR(INDEX(dv_cname,MATCH(A383,dv_num,0))&amp;"",""))</f>
        <v/>
      </c>
      <c r="N383" s="59" t="str">
        <f>IF(COUNTA(A383:G383)=0,"",IF(A383="","N° devis manquant",IF(ISNA(MATCH(A383,dv_num,0)),"Devis inconnu",IF(AND(B383&lt;&gt;"",ISNA(MATCH(B383,pr_code,0))),"Article inconnu",IF(H383="","Désignation manquante",IF(OR(NOT(ISNUMBER(D383)),N(D383)&lt;=0),"Quantité invalide",IF(J383="","Prix manquant",IF(OR(NOT(ISNUMBER(J383)),N(J383)&lt;0),"Prix invalide",IF(OR(AND(F383&lt;&gt;"",NOT(ISNUMBER(F383))),N(F383)&lt;0,N(F383)&gt;1),"Remise invalide",IF(K383="","Taux de TVA manquant",IF(NOT(ISNUMBER(K383)),"Taux de TVA invalide",IF(COUNTIF(p_rates,K383)=0,"Taux de TVA hors liste (Paramètres)",IF(N(O383)&gt;25,"Au-delà de 25 lignes : non imprimée","OK")))))))))))))</f>
        <v/>
      </c>
      <c r="O383" s="59" t="str">
        <f>IF(A383="","",COUNTIF($A$6:A383,A383))</f>
        <v/>
      </c>
      <c r="P383" s="62" t="str">
        <f>IF(A383="","",A383&amp;"|"&amp;O383)</f>
        <v/>
      </c>
    </row>
    <row r="384">
      <c r="A384" s="60" t="n"/>
      <c r="B384" s="63" t="n"/>
      <c r="C384" s="63" t="n"/>
      <c r="D384" s="67" t="n"/>
      <c r="E384" s="68" t="n"/>
      <c r="F384" s="69" t="n"/>
      <c r="G384" s="70" t="n"/>
      <c r="H384" s="62" t="str">
        <f>IF(COUNTA(A384:G384)=0,"",IF(C384&lt;&gt;"",C384,IF(B384="","",IFERROR(INDEX(pr_des,MATCH(B384,pr_code,0))&amp;"",""))))</f>
        <v/>
      </c>
      <c r="I384" s="59" t="str">
        <f>IF(B384="","",IFERROR(INDEX(pr_unit,MATCH(B384,pr_code,0))&amp;"",""))</f>
        <v/>
      </c>
      <c r="J384" s="65" t="str">
        <f>IF(COUNTA(A384:G384)=0,"",IF(E384&lt;&gt;"",E384,IF(B384="","",IFERROR(IF(INDEX(pr_price,MATCH(B384,pr_code,0))="","",INDEX(pr_price,MATCH(B384,pr_code,0))),""))))</f>
        <v/>
      </c>
      <c r="K384" s="71" t="str">
        <f>IF(COUNTA(A384:G384)=0,"",IF(G384&lt;&gt;"",G384,IF(B384="","",IFERROR(IF(INDEX(pr_rate,MATCH(B384,pr_code,0))="","",INDEX(pr_rate,MATCH(B384,pr_code,0))),""))))</f>
        <v/>
      </c>
      <c r="L384" s="65" t="str">
        <f>IF(COUNTA(A384:G384)=0,"",IF(AND(ISNUMBER(D384),ISNUMBER(J384)),ROUND(D384*J384*(1-N(F384)),2),0))</f>
        <v/>
      </c>
      <c r="M384" s="62" t="str">
        <f>IF(A384="","",IFERROR(INDEX(dv_cname,MATCH(A384,dv_num,0))&amp;"",""))</f>
        <v/>
      </c>
      <c r="N384" s="59" t="str">
        <f>IF(COUNTA(A384:G384)=0,"",IF(A384="","N° devis manquant",IF(ISNA(MATCH(A384,dv_num,0)),"Devis inconnu",IF(AND(B384&lt;&gt;"",ISNA(MATCH(B384,pr_code,0))),"Article inconnu",IF(H384="","Désignation manquante",IF(OR(NOT(ISNUMBER(D384)),N(D384)&lt;=0),"Quantité invalide",IF(J384="","Prix manquant",IF(OR(NOT(ISNUMBER(J384)),N(J384)&lt;0),"Prix invalide",IF(OR(AND(F384&lt;&gt;"",NOT(ISNUMBER(F384))),N(F384)&lt;0,N(F384)&gt;1),"Remise invalide",IF(K384="","Taux de TVA manquant",IF(NOT(ISNUMBER(K384)),"Taux de TVA invalide",IF(COUNTIF(p_rates,K384)=0,"Taux de TVA hors liste (Paramètres)",IF(N(O384)&gt;25,"Au-delà de 25 lignes : non imprimée","OK")))))))))))))</f>
        <v/>
      </c>
      <c r="O384" s="59" t="str">
        <f>IF(A384="","",COUNTIF($A$6:A384,A384))</f>
        <v/>
      </c>
      <c r="P384" s="62" t="str">
        <f>IF(A384="","",A384&amp;"|"&amp;O384)</f>
        <v/>
      </c>
    </row>
    <row r="385">
      <c r="A385" s="60" t="n"/>
      <c r="B385" s="63" t="n"/>
      <c r="C385" s="63" t="n"/>
      <c r="D385" s="67" t="n"/>
      <c r="E385" s="68" t="n"/>
      <c r="F385" s="69" t="n"/>
      <c r="G385" s="70" t="n"/>
      <c r="H385" s="62" t="str">
        <f>IF(COUNTA(A385:G385)=0,"",IF(C385&lt;&gt;"",C385,IF(B385="","",IFERROR(INDEX(pr_des,MATCH(B385,pr_code,0))&amp;"",""))))</f>
        <v/>
      </c>
      <c r="I385" s="59" t="str">
        <f>IF(B385="","",IFERROR(INDEX(pr_unit,MATCH(B385,pr_code,0))&amp;"",""))</f>
        <v/>
      </c>
      <c r="J385" s="65" t="str">
        <f>IF(COUNTA(A385:G385)=0,"",IF(E385&lt;&gt;"",E385,IF(B385="","",IFERROR(IF(INDEX(pr_price,MATCH(B385,pr_code,0))="","",INDEX(pr_price,MATCH(B385,pr_code,0))),""))))</f>
        <v/>
      </c>
      <c r="K385" s="71" t="str">
        <f>IF(COUNTA(A385:G385)=0,"",IF(G385&lt;&gt;"",G385,IF(B385="","",IFERROR(IF(INDEX(pr_rate,MATCH(B385,pr_code,0))="","",INDEX(pr_rate,MATCH(B385,pr_code,0))),""))))</f>
        <v/>
      </c>
      <c r="L385" s="65" t="str">
        <f>IF(COUNTA(A385:G385)=0,"",IF(AND(ISNUMBER(D385),ISNUMBER(J385)),ROUND(D385*J385*(1-N(F385)),2),0))</f>
        <v/>
      </c>
      <c r="M385" s="62" t="str">
        <f>IF(A385="","",IFERROR(INDEX(dv_cname,MATCH(A385,dv_num,0))&amp;"",""))</f>
        <v/>
      </c>
      <c r="N385" s="59" t="str">
        <f>IF(COUNTA(A385:G385)=0,"",IF(A385="","N° devis manquant",IF(ISNA(MATCH(A385,dv_num,0)),"Devis inconnu",IF(AND(B385&lt;&gt;"",ISNA(MATCH(B385,pr_code,0))),"Article inconnu",IF(H385="","Désignation manquante",IF(OR(NOT(ISNUMBER(D385)),N(D385)&lt;=0),"Quantité invalide",IF(J385="","Prix manquant",IF(OR(NOT(ISNUMBER(J385)),N(J385)&lt;0),"Prix invalide",IF(OR(AND(F385&lt;&gt;"",NOT(ISNUMBER(F385))),N(F385)&lt;0,N(F385)&gt;1),"Remise invalide",IF(K385="","Taux de TVA manquant",IF(NOT(ISNUMBER(K385)),"Taux de TVA invalide",IF(COUNTIF(p_rates,K385)=0,"Taux de TVA hors liste (Paramètres)",IF(N(O385)&gt;25,"Au-delà de 25 lignes : non imprimée","OK")))))))))))))</f>
        <v/>
      </c>
      <c r="O385" s="59" t="str">
        <f>IF(A385="","",COUNTIF($A$6:A385,A385))</f>
        <v/>
      </c>
      <c r="P385" s="62" t="str">
        <f>IF(A385="","",A385&amp;"|"&amp;O385)</f>
        <v/>
      </c>
    </row>
    <row r="386">
      <c r="A386" s="60" t="n"/>
      <c r="B386" s="63" t="n"/>
      <c r="C386" s="63" t="n"/>
      <c r="D386" s="67" t="n"/>
      <c r="E386" s="68" t="n"/>
      <c r="F386" s="69" t="n"/>
      <c r="G386" s="70" t="n"/>
      <c r="H386" s="62" t="str">
        <f>IF(COUNTA(A386:G386)=0,"",IF(C386&lt;&gt;"",C386,IF(B386="","",IFERROR(INDEX(pr_des,MATCH(B386,pr_code,0))&amp;"",""))))</f>
        <v/>
      </c>
      <c r="I386" s="59" t="str">
        <f>IF(B386="","",IFERROR(INDEX(pr_unit,MATCH(B386,pr_code,0))&amp;"",""))</f>
        <v/>
      </c>
      <c r="J386" s="65" t="str">
        <f>IF(COUNTA(A386:G386)=0,"",IF(E386&lt;&gt;"",E386,IF(B386="","",IFERROR(IF(INDEX(pr_price,MATCH(B386,pr_code,0))="","",INDEX(pr_price,MATCH(B386,pr_code,0))),""))))</f>
        <v/>
      </c>
      <c r="K386" s="71" t="str">
        <f>IF(COUNTA(A386:G386)=0,"",IF(G386&lt;&gt;"",G386,IF(B386="","",IFERROR(IF(INDEX(pr_rate,MATCH(B386,pr_code,0))="","",INDEX(pr_rate,MATCH(B386,pr_code,0))),""))))</f>
        <v/>
      </c>
      <c r="L386" s="65" t="str">
        <f>IF(COUNTA(A386:G386)=0,"",IF(AND(ISNUMBER(D386),ISNUMBER(J386)),ROUND(D386*J386*(1-N(F386)),2),0))</f>
        <v/>
      </c>
      <c r="M386" s="62" t="str">
        <f>IF(A386="","",IFERROR(INDEX(dv_cname,MATCH(A386,dv_num,0))&amp;"",""))</f>
        <v/>
      </c>
      <c r="N386" s="59" t="str">
        <f>IF(COUNTA(A386:G386)=0,"",IF(A386="","N° devis manquant",IF(ISNA(MATCH(A386,dv_num,0)),"Devis inconnu",IF(AND(B386&lt;&gt;"",ISNA(MATCH(B386,pr_code,0))),"Article inconnu",IF(H386="","Désignation manquante",IF(OR(NOT(ISNUMBER(D386)),N(D386)&lt;=0),"Quantité invalide",IF(J386="","Prix manquant",IF(OR(NOT(ISNUMBER(J386)),N(J386)&lt;0),"Prix invalide",IF(OR(AND(F386&lt;&gt;"",NOT(ISNUMBER(F386))),N(F386)&lt;0,N(F386)&gt;1),"Remise invalide",IF(K386="","Taux de TVA manquant",IF(NOT(ISNUMBER(K386)),"Taux de TVA invalide",IF(COUNTIF(p_rates,K386)=0,"Taux de TVA hors liste (Paramètres)",IF(N(O386)&gt;25,"Au-delà de 25 lignes : non imprimée","OK")))))))))))))</f>
        <v/>
      </c>
      <c r="O386" s="59" t="str">
        <f>IF(A386="","",COUNTIF($A$6:A386,A386))</f>
        <v/>
      </c>
      <c r="P386" s="62" t="str">
        <f>IF(A386="","",A386&amp;"|"&amp;O386)</f>
        <v/>
      </c>
    </row>
    <row r="387">
      <c r="A387" s="60" t="n"/>
      <c r="B387" s="63" t="n"/>
      <c r="C387" s="63" t="n"/>
      <c r="D387" s="67" t="n"/>
      <c r="E387" s="68" t="n"/>
      <c r="F387" s="69" t="n"/>
      <c r="G387" s="70" t="n"/>
      <c r="H387" s="62" t="str">
        <f>IF(COUNTA(A387:G387)=0,"",IF(C387&lt;&gt;"",C387,IF(B387="","",IFERROR(INDEX(pr_des,MATCH(B387,pr_code,0))&amp;"",""))))</f>
        <v/>
      </c>
      <c r="I387" s="59" t="str">
        <f>IF(B387="","",IFERROR(INDEX(pr_unit,MATCH(B387,pr_code,0))&amp;"",""))</f>
        <v/>
      </c>
      <c r="J387" s="65" t="str">
        <f>IF(COUNTA(A387:G387)=0,"",IF(E387&lt;&gt;"",E387,IF(B387="","",IFERROR(IF(INDEX(pr_price,MATCH(B387,pr_code,0))="","",INDEX(pr_price,MATCH(B387,pr_code,0))),""))))</f>
        <v/>
      </c>
      <c r="K387" s="71" t="str">
        <f>IF(COUNTA(A387:G387)=0,"",IF(G387&lt;&gt;"",G387,IF(B387="","",IFERROR(IF(INDEX(pr_rate,MATCH(B387,pr_code,0))="","",INDEX(pr_rate,MATCH(B387,pr_code,0))),""))))</f>
        <v/>
      </c>
      <c r="L387" s="65" t="str">
        <f>IF(COUNTA(A387:G387)=0,"",IF(AND(ISNUMBER(D387),ISNUMBER(J387)),ROUND(D387*J387*(1-N(F387)),2),0))</f>
        <v/>
      </c>
      <c r="M387" s="62" t="str">
        <f>IF(A387="","",IFERROR(INDEX(dv_cname,MATCH(A387,dv_num,0))&amp;"",""))</f>
        <v/>
      </c>
      <c r="N387" s="59" t="str">
        <f>IF(COUNTA(A387:G387)=0,"",IF(A387="","N° devis manquant",IF(ISNA(MATCH(A387,dv_num,0)),"Devis inconnu",IF(AND(B387&lt;&gt;"",ISNA(MATCH(B387,pr_code,0))),"Article inconnu",IF(H387="","Désignation manquante",IF(OR(NOT(ISNUMBER(D387)),N(D387)&lt;=0),"Quantité invalide",IF(J387="","Prix manquant",IF(OR(NOT(ISNUMBER(J387)),N(J387)&lt;0),"Prix invalide",IF(OR(AND(F387&lt;&gt;"",NOT(ISNUMBER(F387))),N(F387)&lt;0,N(F387)&gt;1),"Remise invalide",IF(K387="","Taux de TVA manquant",IF(NOT(ISNUMBER(K387)),"Taux de TVA invalide",IF(COUNTIF(p_rates,K387)=0,"Taux de TVA hors liste (Paramètres)",IF(N(O387)&gt;25,"Au-delà de 25 lignes : non imprimée","OK")))))))))))))</f>
        <v/>
      </c>
      <c r="O387" s="59" t="str">
        <f>IF(A387="","",COUNTIF($A$6:A387,A387))</f>
        <v/>
      </c>
      <c r="P387" s="62" t="str">
        <f>IF(A387="","",A387&amp;"|"&amp;O387)</f>
        <v/>
      </c>
    </row>
    <row r="388">
      <c r="A388" s="60" t="n"/>
      <c r="B388" s="63" t="n"/>
      <c r="C388" s="63" t="n"/>
      <c r="D388" s="67" t="n"/>
      <c r="E388" s="68" t="n"/>
      <c r="F388" s="69" t="n"/>
      <c r="G388" s="70" t="n"/>
      <c r="H388" s="62" t="str">
        <f>IF(COUNTA(A388:G388)=0,"",IF(C388&lt;&gt;"",C388,IF(B388="","",IFERROR(INDEX(pr_des,MATCH(B388,pr_code,0))&amp;"",""))))</f>
        <v/>
      </c>
      <c r="I388" s="59" t="str">
        <f>IF(B388="","",IFERROR(INDEX(pr_unit,MATCH(B388,pr_code,0))&amp;"",""))</f>
        <v/>
      </c>
      <c r="J388" s="65" t="str">
        <f>IF(COUNTA(A388:G388)=0,"",IF(E388&lt;&gt;"",E388,IF(B388="","",IFERROR(IF(INDEX(pr_price,MATCH(B388,pr_code,0))="","",INDEX(pr_price,MATCH(B388,pr_code,0))),""))))</f>
        <v/>
      </c>
      <c r="K388" s="71" t="str">
        <f>IF(COUNTA(A388:G388)=0,"",IF(G388&lt;&gt;"",G388,IF(B388="","",IFERROR(IF(INDEX(pr_rate,MATCH(B388,pr_code,0))="","",INDEX(pr_rate,MATCH(B388,pr_code,0))),""))))</f>
        <v/>
      </c>
      <c r="L388" s="65" t="str">
        <f>IF(COUNTA(A388:G388)=0,"",IF(AND(ISNUMBER(D388),ISNUMBER(J388)),ROUND(D388*J388*(1-N(F388)),2),0))</f>
        <v/>
      </c>
      <c r="M388" s="62" t="str">
        <f>IF(A388="","",IFERROR(INDEX(dv_cname,MATCH(A388,dv_num,0))&amp;"",""))</f>
        <v/>
      </c>
      <c r="N388" s="59" t="str">
        <f>IF(COUNTA(A388:G388)=0,"",IF(A388="","N° devis manquant",IF(ISNA(MATCH(A388,dv_num,0)),"Devis inconnu",IF(AND(B388&lt;&gt;"",ISNA(MATCH(B388,pr_code,0))),"Article inconnu",IF(H388="","Désignation manquante",IF(OR(NOT(ISNUMBER(D388)),N(D388)&lt;=0),"Quantité invalide",IF(J388="","Prix manquant",IF(OR(NOT(ISNUMBER(J388)),N(J388)&lt;0),"Prix invalide",IF(OR(AND(F388&lt;&gt;"",NOT(ISNUMBER(F388))),N(F388)&lt;0,N(F388)&gt;1),"Remise invalide",IF(K388="","Taux de TVA manquant",IF(NOT(ISNUMBER(K388)),"Taux de TVA invalide",IF(COUNTIF(p_rates,K388)=0,"Taux de TVA hors liste (Paramètres)",IF(N(O388)&gt;25,"Au-delà de 25 lignes : non imprimée","OK")))))))))))))</f>
        <v/>
      </c>
      <c r="O388" s="59" t="str">
        <f>IF(A388="","",COUNTIF($A$6:A388,A388))</f>
        <v/>
      </c>
      <c r="P388" s="62" t="str">
        <f>IF(A388="","",A388&amp;"|"&amp;O388)</f>
        <v/>
      </c>
    </row>
    <row r="389">
      <c r="A389" s="60" t="n"/>
      <c r="B389" s="63" t="n"/>
      <c r="C389" s="63" t="n"/>
      <c r="D389" s="67" t="n"/>
      <c r="E389" s="68" t="n"/>
      <c r="F389" s="69" t="n"/>
      <c r="G389" s="70" t="n"/>
      <c r="H389" s="62" t="str">
        <f>IF(COUNTA(A389:G389)=0,"",IF(C389&lt;&gt;"",C389,IF(B389="","",IFERROR(INDEX(pr_des,MATCH(B389,pr_code,0))&amp;"",""))))</f>
        <v/>
      </c>
      <c r="I389" s="59" t="str">
        <f>IF(B389="","",IFERROR(INDEX(pr_unit,MATCH(B389,pr_code,0))&amp;"",""))</f>
        <v/>
      </c>
      <c r="J389" s="65" t="str">
        <f>IF(COUNTA(A389:G389)=0,"",IF(E389&lt;&gt;"",E389,IF(B389="","",IFERROR(IF(INDEX(pr_price,MATCH(B389,pr_code,0))="","",INDEX(pr_price,MATCH(B389,pr_code,0))),""))))</f>
        <v/>
      </c>
      <c r="K389" s="71" t="str">
        <f>IF(COUNTA(A389:G389)=0,"",IF(G389&lt;&gt;"",G389,IF(B389="","",IFERROR(IF(INDEX(pr_rate,MATCH(B389,pr_code,0))="","",INDEX(pr_rate,MATCH(B389,pr_code,0))),""))))</f>
        <v/>
      </c>
      <c r="L389" s="65" t="str">
        <f>IF(COUNTA(A389:G389)=0,"",IF(AND(ISNUMBER(D389),ISNUMBER(J389)),ROUND(D389*J389*(1-N(F389)),2),0))</f>
        <v/>
      </c>
      <c r="M389" s="62" t="str">
        <f>IF(A389="","",IFERROR(INDEX(dv_cname,MATCH(A389,dv_num,0))&amp;"",""))</f>
        <v/>
      </c>
      <c r="N389" s="59" t="str">
        <f>IF(COUNTA(A389:G389)=0,"",IF(A389="","N° devis manquant",IF(ISNA(MATCH(A389,dv_num,0)),"Devis inconnu",IF(AND(B389&lt;&gt;"",ISNA(MATCH(B389,pr_code,0))),"Article inconnu",IF(H389="","Désignation manquante",IF(OR(NOT(ISNUMBER(D389)),N(D389)&lt;=0),"Quantité invalide",IF(J389="","Prix manquant",IF(OR(NOT(ISNUMBER(J389)),N(J389)&lt;0),"Prix invalide",IF(OR(AND(F389&lt;&gt;"",NOT(ISNUMBER(F389))),N(F389)&lt;0,N(F389)&gt;1),"Remise invalide",IF(K389="","Taux de TVA manquant",IF(NOT(ISNUMBER(K389)),"Taux de TVA invalide",IF(COUNTIF(p_rates,K389)=0,"Taux de TVA hors liste (Paramètres)",IF(N(O389)&gt;25,"Au-delà de 25 lignes : non imprimée","OK")))))))))))))</f>
        <v/>
      </c>
      <c r="O389" s="59" t="str">
        <f>IF(A389="","",COUNTIF($A$6:A389,A389))</f>
        <v/>
      </c>
      <c r="P389" s="62" t="str">
        <f>IF(A389="","",A389&amp;"|"&amp;O389)</f>
        <v/>
      </c>
    </row>
    <row r="390">
      <c r="A390" s="60" t="n"/>
      <c r="B390" s="63" t="n"/>
      <c r="C390" s="63" t="n"/>
      <c r="D390" s="67" t="n"/>
      <c r="E390" s="68" t="n"/>
      <c r="F390" s="69" t="n"/>
      <c r="G390" s="70" t="n"/>
      <c r="H390" s="62" t="str">
        <f>IF(COUNTA(A390:G390)=0,"",IF(C390&lt;&gt;"",C390,IF(B390="","",IFERROR(INDEX(pr_des,MATCH(B390,pr_code,0))&amp;"",""))))</f>
        <v/>
      </c>
      <c r="I390" s="59" t="str">
        <f>IF(B390="","",IFERROR(INDEX(pr_unit,MATCH(B390,pr_code,0))&amp;"",""))</f>
        <v/>
      </c>
      <c r="J390" s="65" t="str">
        <f>IF(COUNTA(A390:G390)=0,"",IF(E390&lt;&gt;"",E390,IF(B390="","",IFERROR(IF(INDEX(pr_price,MATCH(B390,pr_code,0))="","",INDEX(pr_price,MATCH(B390,pr_code,0))),""))))</f>
        <v/>
      </c>
      <c r="K390" s="71" t="str">
        <f>IF(COUNTA(A390:G390)=0,"",IF(G390&lt;&gt;"",G390,IF(B390="","",IFERROR(IF(INDEX(pr_rate,MATCH(B390,pr_code,0))="","",INDEX(pr_rate,MATCH(B390,pr_code,0))),""))))</f>
        <v/>
      </c>
      <c r="L390" s="65" t="str">
        <f>IF(COUNTA(A390:G390)=0,"",IF(AND(ISNUMBER(D390),ISNUMBER(J390)),ROUND(D390*J390*(1-N(F390)),2),0))</f>
        <v/>
      </c>
      <c r="M390" s="62" t="str">
        <f>IF(A390="","",IFERROR(INDEX(dv_cname,MATCH(A390,dv_num,0))&amp;"",""))</f>
        <v/>
      </c>
      <c r="N390" s="59" t="str">
        <f>IF(COUNTA(A390:G390)=0,"",IF(A390="","N° devis manquant",IF(ISNA(MATCH(A390,dv_num,0)),"Devis inconnu",IF(AND(B390&lt;&gt;"",ISNA(MATCH(B390,pr_code,0))),"Article inconnu",IF(H390="","Désignation manquante",IF(OR(NOT(ISNUMBER(D390)),N(D390)&lt;=0),"Quantité invalide",IF(J390="","Prix manquant",IF(OR(NOT(ISNUMBER(J390)),N(J390)&lt;0),"Prix invalide",IF(OR(AND(F390&lt;&gt;"",NOT(ISNUMBER(F390))),N(F390)&lt;0,N(F390)&gt;1),"Remise invalide",IF(K390="","Taux de TVA manquant",IF(NOT(ISNUMBER(K390)),"Taux de TVA invalide",IF(COUNTIF(p_rates,K390)=0,"Taux de TVA hors liste (Paramètres)",IF(N(O390)&gt;25,"Au-delà de 25 lignes : non imprimée","OK")))))))))))))</f>
        <v/>
      </c>
      <c r="O390" s="59" t="str">
        <f>IF(A390="","",COUNTIF($A$6:A390,A390))</f>
        <v/>
      </c>
      <c r="P390" s="62" t="str">
        <f>IF(A390="","",A390&amp;"|"&amp;O390)</f>
        <v/>
      </c>
    </row>
    <row r="391">
      <c r="A391" s="60" t="n"/>
      <c r="B391" s="63" t="n"/>
      <c r="C391" s="63" t="n"/>
      <c r="D391" s="67" t="n"/>
      <c r="E391" s="68" t="n"/>
      <c r="F391" s="69" t="n"/>
      <c r="G391" s="70" t="n"/>
      <c r="H391" s="62" t="str">
        <f>IF(COUNTA(A391:G391)=0,"",IF(C391&lt;&gt;"",C391,IF(B391="","",IFERROR(INDEX(pr_des,MATCH(B391,pr_code,0))&amp;"",""))))</f>
        <v/>
      </c>
      <c r="I391" s="59" t="str">
        <f>IF(B391="","",IFERROR(INDEX(pr_unit,MATCH(B391,pr_code,0))&amp;"",""))</f>
        <v/>
      </c>
      <c r="J391" s="65" t="str">
        <f>IF(COUNTA(A391:G391)=0,"",IF(E391&lt;&gt;"",E391,IF(B391="","",IFERROR(IF(INDEX(pr_price,MATCH(B391,pr_code,0))="","",INDEX(pr_price,MATCH(B391,pr_code,0))),""))))</f>
        <v/>
      </c>
      <c r="K391" s="71" t="str">
        <f>IF(COUNTA(A391:G391)=0,"",IF(G391&lt;&gt;"",G391,IF(B391="","",IFERROR(IF(INDEX(pr_rate,MATCH(B391,pr_code,0))="","",INDEX(pr_rate,MATCH(B391,pr_code,0))),""))))</f>
        <v/>
      </c>
      <c r="L391" s="65" t="str">
        <f>IF(COUNTA(A391:G391)=0,"",IF(AND(ISNUMBER(D391),ISNUMBER(J391)),ROUND(D391*J391*(1-N(F391)),2),0))</f>
        <v/>
      </c>
      <c r="M391" s="62" t="str">
        <f>IF(A391="","",IFERROR(INDEX(dv_cname,MATCH(A391,dv_num,0))&amp;"",""))</f>
        <v/>
      </c>
      <c r="N391" s="59" t="str">
        <f>IF(COUNTA(A391:G391)=0,"",IF(A391="","N° devis manquant",IF(ISNA(MATCH(A391,dv_num,0)),"Devis inconnu",IF(AND(B391&lt;&gt;"",ISNA(MATCH(B391,pr_code,0))),"Article inconnu",IF(H391="","Désignation manquante",IF(OR(NOT(ISNUMBER(D391)),N(D391)&lt;=0),"Quantité invalide",IF(J391="","Prix manquant",IF(OR(NOT(ISNUMBER(J391)),N(J391)&lt;0),"Prix invalide",IF(OR(AND(F391&lt;&gt;"",NOT(ISNUMBER(F391))),N(F391)&lt;0,N(F391)&gt;1),"Remise invalide",IF(K391="","Taux de TVA manquant",IF(NOT(ISNUMBER(K391)),"Taux de TVA invalide",IF(COUNTIF(p_rates,K391)=0,"Taux de TVA hors liste (Paramètres)",IF(N(O391)&gt;25,"Au-delà de 25 lignes : non imprimée","OK")))))))))))))</f>
        <v/>
      </c>
      <c r="O391" s="59" t="str">
        <f>IF(A391="","",COUNTIF($A$6:A391,A391))</f>
        <v/>
      </c>
      <c r="P391" s="62" t="str">
        <f>IF(A391="","",A391&amp;"|"&amp;O391)</f>
        <v/>
      </c>
    </row>
    <row r="392">
      <c r="A392" s="60" t="n"/>
      <c r="B392" s="63" t="n"/>
      <c r="C392" s="63" t="n"/>
      <c r="D392" s="67" t="n"/>
      <c r="E392" s="68" t="n"/>
      <c r="F392" s="69" t="n"/>
      <c r="G392" s="70" t="n"/>
      <c r="H392" s="62" t="str">
        <f>IF(COUNTA(A392:G392)=0,"",IF(C392&lt;&gt;"",C392,IF(B392="","",IFERROR(INDEX(pr_des,MATCH(B392,pr_code,0))&amp;"",""))))</f>
        <v/>
      </c>
      <c r="I392" s="59" t="str">
        <f>IF(B392="","",IFERROR(INDEX(pr_unit,MATCH(B392,pr_code,0))&amp;"",""))</f>
        <v/>
      </c>
      <c r="J392" s="65" t="str">
        <f>IF(COUNTA(A392:G392)=0,"",IF(E392&lt;&gt;"",E392,IF(B392="","",IFERROR(IF(INDEX(pr_price,MATCH(B392,pr_code,0))="","",INDEX(pr_price,MATCH(B392,pr_code,0))),""))))</f>
        <v/>
      </c>
      <c r="K392" s="71" t="str">
        <f>IF(COUNTA(A392:G392)=0,"",IF(G392&lt;&gt;"",G392,IF(B392="","",IFERROR(IF(INDEX(pr_rate,MATCH(B392,pr_code,0))="","",INDEX(pr_rate,MATCH(B392,pr_code,0))),""))))</f>
        <v/>
      </c>
      <c r="L392" s="65" t="str">
        <f>IF(COUNTA(A392:G392)=0,"",IF(AND(ISNUMBER(D392),ISNUMBER(J392)),ROUND(D392*J392*(1-N(F392)),2),0))</f>
        <v/>
      </c>
      <c r="M392" s="62" t="str">
        <f>IF(A392="","",IFERROR(INDEX(dv_cname,MATCH(A392,dv_num,0))&amp;"",""))</f>
        <v/>
      </c>
      <c r="N392" s="59" t="str">
        <f>IF(COUNTA(A392:G392)=0,"",IF(A392="","N° devis manquant",IF(ISNA(MATCH(A392,dv_num,0)),"Devis inconnu",IF(AND(B392&lt;&gt;"",ISNA(MATCH(B392,pr_code,0))),"Article inconnu",IF(H392="","Désignation manquante",IF(OR(NOT(ISNUMBER(D392)),N(D392)&lt;=0),"Quantité invalide",IF(J392="","Prix manquant",IF(OR(NOT(ISNUMBER(J392)),N(J392)&lt;0),"Prix invalide",IF(OR(AND(F392&lt;&gt;"",NOT(ISNUMBER(F392))),N(F392)&lt;0,N(F392)&gt;1),"Remise invalide",IF(K392="","Taux de TVA manquant",IF(NOT(ISNUMBER(K392)),"Taux de TVA invalide",IF(COUNTIF(p_rates,K392)=0,"Taux de TVA hors liste (Paramètres)",IF(N(O392)&gt;25,"Au-delà de 25 lignes : non imprimée","OK")))))))))))))</f>
        <v/>
      </c>
      <c r="O392" s="59" t="str">
        <f>IF(A392="","",COUNTIF($A$6:A392,A392))</f>
        <v/>
      </c>
      <c r="P392" s="62" t="str">
        <f>IF(A392="","",A392&amp;"|"&amp;O392)</f>
        <v/>
      </c>
    </row>
    <row r="393">
      <c r="A393" s="60" t="n"/>
      <c r="B393" s="63" t="n"/>
      <c r="C393" s="63" t="n"/>
      <c r="D393" s="67" t="n"/>
      <c r="E393" s="68" t="n"/>
      <c r="F393" s="69" t="n"/>
      <c r="G393" s="70" t="n"/>
      <c r="H393" s="62" t="str">
        <f>IF(COUNTA(A393:G393)=0,"",IF(C393&lt;&gt;"",C393,IF(B393="","",IFERROR(INDEX(pr_des,MATCH(B393,pr_code,0))&amp;"",""))))</f>
        <v/>
      </c>
      <c r="I393" s="59" t="str">
        <f>IF(B393="","",IFERROR(INDEX(pr_unit,MATCH(B393,pr_code,0))&amp;"",""))</f>
        <v/>
      </c>
      <c r="J393" s="65" t="str">
        <f>IF(COUNTA(A393:G393)=0,"",IF(E393&lt;&gt;"",E393,IF(B393="","",IFERROR(IF(INDEX(pr_price,MATCH(B393,pr_code,0))="","",INDEX(pr_price,MATCH(B393,pr_code,0))),""))))</f>
        <v/>
      </c>
      <c r="K393" s="71" t="str">
        <f>IF(COUNTA(A393:G393)=0,"",IF(G393&lt;&gt;"",G393,IF(B393="","",IFERROR(IF(INDEX(pr_rate,MATCH(B393,pr_code,0))="","",INDEX(pr_rate,MATCH(B393,pr_code,0))),""))))</f>
        <v/>
      </c>
      <c r="L393" s="65" t="str">
        <f>IF(COUNTA(A393:G393)=0,"",IF(AND(ISNUMBER(D393),ISNUMBER(J393)),ROUND(D393*J393*(1-N(F393)),2),0))</f>
        <v/>
      </c>
      <c r="M393" s="62" t="str">
        <f>IF(A393="","",IFERROR(INDEX(dv_cname,MATCH(A393,dv_num,0))&amp;"",""))</f>
        <v/>
      </c>
      <c r="N393" s="59" t="str">
        <f>IF(COUNTA(A393:G393)=0,"",IF(A393="","N° devis manquant",IF(ISNA(MATCH(A393,dv_num,0)),"Devis inconnu",IF(AND(B393&lt;&gt;"",ISNA(MATCH(B393,pr_code,0))),"Article inconnu",IF(H393="","Désignation manquante",IF(OR(NOT(ISNUMBER(D393)),N(D393)&lt;=0),"Quantité invalide",IF(J393="","Prix manquant",IF(OR(NOT(ISNUMBER(J393)),N(J393)&lt;0),"Prix invalide",IF(OR(AND(F393&lt;&gt;"",NOT(ISNUMBER(F393))),N(F393)&lt;0,N(F393)&gt;1),"Remise invalide",IF(K393="","Taux de TVA manquant",IF(NOT(ISNUMBER(K393)),"Taux de TVA invalide",IF(COUNTIF(p_rates,K393)=0,"Taux de TVA hors liste (Paramètres)",IF(N(O393)&gt;25,"Au-delà de 25 lignes : non imprimée","OK")))))))))))))</f>
        <v/>
      </c>
      <c r="O393" s="59" t="str">
        <f>IF(A393="","",COUNTIF($A$6:A393,A393))</f>
        <v/>
      </c>
      <c r="P393" s="62" t="str">
        <f>IF(A393="","",A393&amp;"|"&amp;O393)</f>
        <v/>
      </c>
    </row>
    <row r="394">
      <c r="A394" s="60" t="n"/>
      <c r="B394" s="63" t="n"/>
      <c r="C394" s="63" t="n"/>
      <c r="D394" s="67" t="n"/>
      <c r="E394" s="68" t="n"/>
      <c r="F394" s="69" t="n"/>
      <c r="G394" s="70" t="n"/>
      <c r="H394" s="62" t="str">
        <f>IF(COUNTA(A394:G394)=0,"",IF(C394&lt;&gt;"",C394,IF(B394="","",IFERROR(INDEX(pr_des,MATCH(B394,pr_code,0))&amp;"",""))))</f>
        <v/>
      </c>
      <c r="I394" s="59" t="str">
        <f>IF(B394="","",IFERROR(INDEX(pr_unit,MATCH(B394,pr_code,0))&amp;"",""))</f>
        <v/>
      </c>
      <c r="J394" s="65" t="str">
        <f>IF(COUNTA(A394:G394)=0,"",IF(E394&lt;&gt;"",E394,IF(B394="","",IFERROR(IF(INDEX(pr_price,MATCH(B394,pr_code,0))="","",INDEX(pr_price,MATCH(B394,pr_code,0))),""))))</f>
        <v/>
      </c>
      <c r="K394" s="71" t="str">
        <f>IF(COUNTA(A394:G394)=0,"",IF(G394&lt;&gt;"",G394,IF(B394="","",IFERROR(IF(INDEX(pr_rate,MATCH(B394,pr_code,0))="","",INDEX(pr_rate,MATCH(B394,pr_code,0))),""))))</f>
        <v/>
      </c>
      <c r="L394" s="65" t="str">
        <f>IF(COUNTA(A394:G394)=0,"",IF(AND(ISNUMBER(D394),ISNUMBER(J394)),ROUND(D394*J394*(1-N(F394)),2),0))</f>
        <v/>
      </c>
      <c r="M394" s="62" t="str">
        <f>IF(A394="","",IFERROR(INDEX(dv_cname,MATCH(A394,dv_num,0))&amp;"",""))</f>
        <v/>
      </c>
      <c r="N394" s="59" t="str">
        <f>IF(COUNTA(A394:G394)=0,"",IF(A394="","N° devis manquant",IF(ISNA(MATCH(A394,dv_num,0)),"Devis inconnu",IF(AND(B394&lt;&gt;"",ISNA(MATCH(B394,pr_code,0))),"Article inconnu",IF(H394="","Désignation manquante",IF(OR(NOT(ISNUMBER(D394)),N(D394)&lt;=0),"Quantité invalide",IF(J394="","Prix manquant",IF(OR(NOT(ISNUMBER(J394)),N(J394)&lt;0),"Prix invalide",IF(OR(AND(F394&lt;&gt;"",NOT(ISNUMBER(F394))),N(F394)&lt;0,N(F394)&gt;1),"Remise invalide",IF(K394="","Taux de TVA manquant",IF(NOT(ISNUMBER(K394)),"Taux de TVA invalide",IF(COUNTIF(p_rates,K394)=0,"Taux de TVA hors liste (Paramètres)",IF(N(O394)&gt;25,"Au-delà de 25 lignes : non imprimée","OK")))))))))))))</f>
        <v/>
      </c>
      <c r="O394" s="59" t="str">
        <f>IF(A394="","",COUNTIF($A$6:A394,A394))</f>
        <v/>
      </c>
      <c r="P394" s="62" t="str">
        <f>IF(A394="","",A394&amp;"|"&amp;O394)</f>
        <v/>
      </c>
    </row>
    <row r="395">
      <c r="A395" s="60" t="n"/>
      <c r="B395" s="63" t="n"/>
      <c r="C395" s="63" t="n"/>
      <c r="D395" s="67" t="n"/>
      <c r="E395" s="68" t="n"/>
      <c r="F395" s="69" t="n"/>
      <c r="G395" s="70" t="n"/>
      <c r="H395" s="62" t="str">
        <f>IF(COUNTA(A395:G395)=0,"",IF(C395&lt;&gt;"",C395,IF(B395="","",IFERROR(INDEX(pr_des,MATCH(B395,pr_code,0))&amp;"",""))))</f>
        <v/>
      </c>
      <c r="I395" s="59" t="str">
        <f>IF(B395="","",IFERROR(INDEX(pr_unit,MATCH(B395,pr_code,0))&amp;"",""))</f>
        <v/>
      </c>
      <c r="J395" s="65" t="str">
        <f>IF(COUNTA(A395:G395)=0,"",IF(E395&lt;&gt;"",E395,IF(B395="","",IFERROR(IF(INDEX(pr_price,MATCH(B395,pr_code,0))="","",INDEX(pr_price,MATCH(B395,pr_code,0))),""))))</f>
        <v/>
      </c>
      <c r="K395" s="71" t="str">
        <f>IF(COUNTA(A395:G395)=0,"",IF(G395&lt;&gt;"",G395,IF(B395="","",IFERROR(IF(INDEX(pr_rate,MATCH(B395,pr_code,0))="","",INDEX(pr_rate,MATCH(B395,pr_code,0))),""))))</f>
        <v/>
      </c>
      <c r="L395" s="65" t="str">
        <f>IF(COUNTA(A395:G395)=0,"",IF(AND(ISNUMBER(D395),ISNUMBER(J395)),ROUND(D395*J395*(1-N(F395)),2),0))</f>
        <v/>
      </c>
      <c r="M395" s="62" t="str">
        <f>IF(A395="","",IFERROR(INDEX(dv_cname,MATCH(A395,dv_num,0))&amp;"",""))</f>
        <v/>
      </c>
      <c r="N395" s="59" t="str">
        <f>IF(COUNTA(A395:G395)=0,"",IF(A395="","N° devis manquant",IF(ISNA(MATCH(A395,dv_num,0)),"Devis inconnu",IF(AND(B395&lt;&gt;"",ISNA(MATCH(B395,pr_code,0))),"Article inconnu",IF(H395="","Désignation manquante",IF(OR(NOT(ISNUMBER(D395)),N(D395)&lt;=0),"Quantité invalide",IF(J395="","Prix manquant",IF(OR(NOT(ISNUMBER(J395)),N(J395)&lt;0),"Prix invalide",IF(OR(AND(F395&lt;&gt;"",NOT(ISNUMBER(F395))),N(F395)&lt;0,N(F395)&gt;1),"Remise invalide",IF(K395="","Taux de TVA manquant",IF(NOT(ISNUMBER(K395)),"Taux de TVA invalide",IF(COUNTIF(p_rates,K395)=0,"Taux de TVA hors liste (Paramètres)",IF(N(O395)&gt;25,"Au-delà de 25 lignes : non imprimée","OK")))))))))))))</f>
        <v/>
      </c>
      <c r="O395" s="59" t="str">
        <f>IF(A395="","",COUNTIF($A$6:A395,A395))</f>
        <v/>
      </c>
      <c r="P395" s="62" t="str">
        <f>IF(A395="","",A395&amp;"|"&amp;O395)</f>
        <v/>
      </c>
    </row>
    <row r="396">
      <c r="A396" s="60" t="n"/>
      <c r="B396" s="63" t="n"/>
      <c r="C396" s="63" t="n"/>
      <c r="D396" s="67" t="n"/>
      <c r="E396" s="68" t="n"/>
      <c r="F396" s="69" t="n"/>
      <c r="G396" s="70" t="n"/>
      <c r="H396" s="62" t="str">
        <f>IF(COUNTA(A396:G396)=0,"",IF(C396&lt;&gt;"",C396,IF(B396="","",IFERROR(INDEX(pr_des,MATCH(B396,pr_code,0))&amp;"",""))))</f>
        <v/>
      </c>
      <c r="I396" s="59" t="str">
        <f>IF(B396="","",IFERROR(INDEX(pr_unit,MATCH(B396,pr_code,0))&amp;"",""))</f>
        <v/>
      </c>
      <c r="J396" s="65" t="str">
        <f>IF(COUNTA(A396:G396)=0,"",IF(E396&lt;&gt;"",E396,IF(B396="","",IFERROR(IF(INDEX(pr_price,MATCH(B396,pr_code,0))="","",INDEX(pr_price,MATCH(B396,pr_code,0))),""))))</f>
        <v/>
      </c>
      <c r="K396" s="71" t="str">
        <f>IF(COUNTA(A396:G396)=0,"",IF(G396&lt;&gt;"",G396,IF(B396="","",IFERROR(IF(INDEX(pr_rate,MATCH(B396,pr_code,0))="","",INDEX(pr_rate,MATCH(B396,pr_code,0))),""))))</f>
        <v/>
      </c>
      <c r="L396" s="65" t="str">
        <f>IF(COUNTA(A396:G396)=0,"",IF(AND(ISNUMBER(D396),ISNUMBER(J396)),ROUND(D396*J396*(1-N(F396)),2),0))</f>
        <v/>
      </c>
      <c r="M396" s="62" t="str">
        <f>IF(A396="","",IFERROR(INDEX(dv_cname,MATCH(A396,dv_num,0))&amp;"",""))</f>
        <v/>
      </c>
      <c r="N396" s="59" t="str">
        <f>IF(COUNTA(A396:G396)=0,"",IF(A396="","N° devis manquant",IF(ISNA(MATCH(A396,dv_num,0)),"Devis inconnu",IF(AND(B396&lt;&gt;"",ISNA(MATCH(B396,pr_code,0))),"Article inconnu",IF(H396="","Désignation manquante",IF(OR(NOT(ISNUMBER(D396)),N(D396)&lt;=0),"Quantité invalide",IF(J396="","Prix manquant",IF(OR(NOT(ISNUMBER(J396)),N(J396)&lt;0),"Prix invalide",IF(OR(AND(F396&lt;&gt;"",NOT(ISNUMBER(F396))),N(F396)&lt;0,N(F396)&gt;1),"Remise invalide",IF(K396="","Taux de TVA manquant",IF(NOT(ISNUMBER(K396)),"Taux de TVA invalide",IF(COUNTIF(p_rates,K396)=0,"Taux de TVA hors liste (Paramètres)",IF(N(O396)&gt;25,"Au-delà de 25 lignes : non imprimée","OK")))))))))))))</f>
        <v/>
      </c>
      <c r="O396" s="59" t="str">
        <f>IF(A396="","",COUNTIF($A$6:A396,A396))</f>
        <v/>
      </c>
      <c r="P396" s="62" t="str">
        <f>IF(A396="","",A396&amp;"|"&amp;O396)</f>
        <v/>
      </c>
    </row>
    <row r="397">
      <c r="A397" s="60" t="n"/>
      <c r="B397" s="63" t="n"/>
      <c r="C397" s="63" t="n"/>
      <c r="D397" s="67" t="n"/>
      <c r="E397" s="68" t="n"/>
      <c r="F397" s="69" t="n"/>
      <c r="G397" s="70" t="n"/>
      <c r="H397" s="62" t="str">
        <f>IF(COUNTA(A397:G397)=0,"",IF(C397&lt;&gt;"",C397,IF(B397="","",IFERROR(INDEX(pr_des,MATCH(B397,pr_code,0))&amp;"",""))))</f>
        <v/>
      </c>
      <c r="I397" s="59" t="str">
        <f>IF(B397="","",IFERROR(INDEX(pr_unit,MATCH(B397,pr_code,0))&amp;"",""))</f>
        <v/>
      </c>
      <c r="J397" s="65" t="str">
        <f>IF(COUNTA(A397:G397)=0,"",IF(E397&lt;&gt;"",E397,IF(B397="","",IFERROR(IF(INDEX(pr_price,MATCH(B397,pr_code,0))="","",INDEX(pr_price,MATCH(B397,pr_code,0))),""))))</f>
        <v/>
      </c>
      <c r="K397" s="71" t="str">
        <f>IF(COUNTA(A397:G397)=0,"",IF(G397&lt;&gt;"",G397,IF(B397="","",IFERROR(IF(INDEX(pr_rate,MATCH(B397,pr_code,0))="","",INDEX(pr_rate,MATCH(B397,pr_code,0))),""))))</f>
        <v/>
      </c>
      <c r="L397" s="65" t="str">
        <f>IF(COUNTA(A397:G397)=0,"",IF(AND(ISNUMBER(D397),ISNUMBER(J397)),ROUND(D397*J397*(1-N(F397)),2),0))</f>
        <v/>
      </c>
      <c r="M397" s="62" t="str">
        <f>IF(A397="","",IFERROR(INDEX(dv_cname,MATCH(A397,dv_num,0))&amp;"",""))</f>
        <v/>
      </c>
      <c r="N397" s="59" t="str">
        <f>IF(COUNTA(A397:G397)=0,"",IF(A397="","N° devis manquant",IF(ISNA(MATCH(A397,dv_num,0)),"Devis inconnu",IF(AND(B397&lt;&gt;"",ISNA(MATCH(B397,pr_code,0))),"Article inconnu",IF(H397="","Désignation manquante",IF(OR(NOT(ISNUMBER(D397)),N(D397)&lt;=0),"Quantité invalide",IF(J397="","Prix manquant",IF(OR(NOT(ISNUMBER(J397)),N(J397)&lt;0),"Prix invalide",IF(OR(AND(F397&lt;&gt;"",NOT(ISNUMBER(F397))),N(F397)&lt;0,N(F397)&gt;1),"Remise invalide",IF(K397="","Taux de TVA manquant",IF(NOT(ISNUMBER(K397)),"Taux de TVA invalide",IF(COUNTIF(p_rates,K397)=0,"Taux de TVA hors liste (Paramètres)",IF(N(O397)&gt;25,"Au-delà de 25 lignes : non imprimée","OK")))))))))))))</f>
        <v/>
      </c>
      <c r="O397" s="59" t="str">
        <f>IF(A397="","",COUNTIF($A$6:A397,A397))</f>
        <v/>
      </c>
      <c r="P397" s="62" t="str">
        <f>IF(A397="","",A397&amp;"|"&amp;O397)</f>
        <v/>
      </c>
    </row>
    <row r="398">
      <c r="A398" s="60" t="n"/>
      <c r="B398" s="63" t="n"/>
      <c r="C398" s="63" t="n"/>
      <c r="D398" s="67" t="n"/>
      <c r="E398" s="68" t="n"/>
      <c r="F398" s="69" t="n"/>
      <c r="G398" s="70" t="n"/>
      <c r="H398" s="62" t="str">
        <f>IF(COUNTA(A398:G398)=0,"",IF(C398&lt;&gt;"",C398,IF(B398="","",IFERROR(INDEX(pr_des,MATCH(B398,pr_code,0))&amp;"",""))))</f>
        <v/>
      </c>
      <c r="I398" s="59" t="str">
        <f>IF(B398="","",IFERROR(INDEX(pr_unit,MATCH(B398,pr_code,0))&amp;"",""))</f>
        <v/>
      </c>
      <c r="J398" s="65" t="str">
        <f>IF(COUNTA(A398:G398)=0,"",IF(E398&lt;&gt;"",E398,IF(B398="","",IFERROR(IF(INDEX(pr_price,MATCH(B398,pr_code,0))="","",INDEX(pr_price,MATCH(B398,pr_code,0))),""))))</f>
        <v/>
      </c>
      <c r="K398" s="71" t="str">
        <f>IF(COUNTA(A398:G398)=0,"",IF(G398&lt;&gt;"",G398,IF(B398="","",IFERROR(IF(INDEX(pr_rate,MATCH(B398,pr_code,0))="","",INDEX(pr_rate,MATCH(B398,pr_code,0))),""))))</f>
        <v/>
      </c>
      <c r="L398" s="65" t="str">
        <f>IF(COUNTA(A398:G398)=0,"",IF(AND(ISNUMBER(D398),ISNUMBER(J398)),ROUND(D398*J398*(1-N(F398)),2),0))</f>
        <v/>
      </c>
      <c r="M398" s="62" t="str">
        <f>IF(A398="","",IFERROR(INDEX(dv_cname,MATCH(A398,dv_num,0))&amp;"",""))</f>
        <v/>
      </c>
      <c r="N398" s="59" t="str">
        <f>IF(COUNTA(A398:G398)=0,"",IF(A398="","N° devis manquant",IF(ISNA(MATCH(A398,dv_num,0)),"Devis inconnu",IF(AND(B398&lt;&gt;"",ISNA(MATCH(B398,pr_code,0))),"Article inconnu",IF(H398="","Désignation manquante",IF(OR(NOT(ISNUMBER(D398)),N(D398)&lt;=0),"Quantité invalide",IF(J398="","Prix manquant",IF(OR(NOT(ISNUMBER(J398)),N(J398)&lt;0),"Prix invalide",IF(OR(AND(F398&lt;&gt;"",NOT(ISNUMBER(F398))),N(F398)&lt;0,N(F398)&gt;1),"Remise invalide",IF(K398="","Taux de TVA manquant",IF(NOT(ISNUMBER(K398)),"Taux de TVA invalide",IF(COUNTIF(p_rates,K398)=0,"Taux de TVA hors liste (Paramètres)",IF(N(O398)&gt;25,"Au-delà de 25 lignes : non imprimée","OK")))))))))))))</f>
        <v/>
      </c>
      <c r="O398" s="59" t="str">
        <f>IF(A398="","",COUNTIF($A$6:A398,A398))</f>
        <v/>
      </c>
      <c r="P398" s="62" t="str">
        <f>IF(A398="","",A398&amp;"|"&amp;O398)</f>
        <v/>
      </c>
    </row>
    <row r="399">
      <c r="A399" s="60" t="n"/>
      <c r="B399" s="63" t="n"/>
      <c r="C399" s="63" t="n"/>
      <c r="D399" s="67" t="n"/>
      <c r="E399" s="68" t="n"/>
      <c r="F399" s="69" t="n"/>
      <c r="G399" s="70" t="n"/>
      <c r="H399" s="62" t="str">
        <f>IF(COUNTA(A399:G399)=0,"",IF(C399&lt;&gt;"",C399,IF(B399="","",IFERROR(INDEX(pr_des,MATCH(B399,pr_code,0))&amp;"",""))))</f>
        <v/>
      </c>
      <c r="I399" s="59" t="str">
        <f>IF(B399="","",IFERROR(INDEX(pr_unit,MATCH(B399,pr_code,0))&amp;"",""))</f>
        <v/>
      </c>
      <c r="J399" s="65" t="str">
        <f>IF(COUNTA(A399:G399)=0,"",IF(E399&lt;&gt;"",E399,IF(B399="","",IFERROR(IF(INDEX(pr_price,MATCH(B399,pr_code,0))="","",INDEX(pr_price,MATCH(B399,pr_code,0))),""))))</f>
        <v/>
      </c>
      <c r="K399" s="71" t="str">
        <f>IF(COUNTA(A399:G399)=0,"",IF(G399&lt;&gt;"",G399,IF(B399="","",IFERROR(IF(INDEX(pr_rate,MATCH(B399,pr_code,0))="","",INDEX(pr_rate,MATCH(B399,pr_code,0))),""))))</f>
        <v/>
      </c>
      <c r="L399" s="65" t="str">
        <f>IF(COUNTA(A399:G399)=0,"",IF(AND(ISNUMBER(D399),ISNUMBER(J399)),ROUND(D399*J399*(1-N(F399)),2),0))</f>
        <v/>
      </c>
      <c r="M399" s="62" t="str">
        <f>IF(A399="","",IFERROR(INDEX(dv_cname,MATCH(A399,dv_num,0))&amp;"",""))</f>
        <v/>
      </c>
      <c r="N399" s="59" t="str">
        <f>IF(COUNTA(A399:G399)=0,"",IF(A399="","N° devis manquant",IF(ISNA(MATCH(A399,dv_num,0)),"Devis inconnu",IF(AND(B399&lt;&gt;"",ISNA(MATCH(B399,pr_code,0))),"Article inconnu",IF(H399="","Désignation manquante",IF(OR(NOT(ISNUMBER(D399)),N(D399)&lt;=0),"Quantité invalide",IF(J399="","Prix manquant",IF(OR(NOT(ISNUMBER(J399)),N(J399)&lt;0),"Prix invalide",IF(OR(AND(F399&lt;&gt;"",NOT(ISNUMBER(F399))),N(F399)&lt;0,N(F399)&gt;1),"Remise invalide",IF(K399="","Taux de TVA manquant",IF(NOT(ISNUMBER(K399)),"Taux de TVA invalide",IF(COUNTIF(p_rates,K399)=0,"Taux de TVA hors liste (Paramètres)",IF(N(O399)&gt;25,"Au-delà de 25 lignes : non imprimée","OK")))))))))))))</f>
        <v/>
      </c>
      <c r="O399" s="59" t="str">
        <f>IF(A399="","",COUNTIF($A$6:A399,A399))</f>
        <v/>
      </c>
      <c r="P399" s="62" t="str">
        <f>IF(A399="","",A399&amp;"|"&amp;O399)</f>
        <v/>
      </c>
    </row>
    <row r="400">
      <c r="A400" s="60" t="n"/>
      <c r="B400" s="63" t="n"/>
      <c r="C400" s="63" t="n"/>
      <c r="D400" s="67" t="n"/>
      <c r="E400" s="68" t="n"/>
      <c r="F400" s="69" t="n"/>
      <c r="G400" s="70" t="n"/>
      <c r="H400" s="62" t="str">
        <f>IF(COUNTA(A400:G400)=0,"",IF(C400&lt;&gt;"",C400,IF(B400="","",IFERROR(INDEX(pr_des,MATCH(B400,pr_code,0))&amp;"",""))))</f>
        <v/>
      </c>
      <c r="I400" s="59" t="str">
        <f>IF(B400="","",IFERROR(INDEX(pr_unit,MATCH(B400,pr_code,0))&amp;"",""))</f>
        <v/>
      </c>
      <c r="J400" s="65" t="str">
        <f>IF(COUNTA(A400:G400)=0,"",IF(E400&lt;&gt;"",E400,IF(B400="","",IFERROR(IF(INDEX(pr_price,MATCH(B400,pr_code,0))="","",INDEX(pr_price,MATCH(B400,pr_code,0))),""))))</f>
        <v/>
      </c>
      <c r="K400" s="71" t="str">
        <f>IF(COUNTA(A400:G400)=0,"",IF(G400&lt;&gt;"",G400,IF(B400="","",IFERROR(IF(INDEX(pr_rate,MATCH(B400,pr_code,0))="","",INDEX(pr_rate,MATCH(B400,pr_code,0))),""))))</f>
        <v/>
      </c>
      <c r="L400" s="65" t="str">
        <f>IF(COUNTA(A400:G400)=0,"",IF(AND(ISNUMBER(D400),ISNUMBER(J400)),ROUND(D400*J400*(1-N(F400)),2),0))</f>
        <v/>
      </c>
      <c r="M400" s="62" t="str">
        <f>IF(A400="","",IFERROR(INDEX(dv_cname,MATCH(A400,dv_num,0))&amp;"",""))</f>
        <v/>
      </c>
      <c r="N400" s="59" t="str">
        <f>IF(COUNTA(A400:G400)=0,"",IF(A400="","N° devis manquant",IF(ISNA(MATCH(A400,dv_num,0)),"Devis inconnu",IF(AND(B400&lt;&gt;"",ISNA(MATCH(B400,pr_code,0))),"Article inconnu",IF(H400="","Désignation manquante",IF(OR(NOT(ISNUMBER(D400)),N(D400)&lt;=0),"Quantité invalide",IF(J400="","Prix manquant",IF(OR(NOT(ISNUMBER(J400)),N(J400)&lt;0),"Prix invalide",IF(OR(AND(F400&lt;&gt;"",NOT(ISNUMBER(F400))),N(F400)&lt;0,N(F400)&gt;1),"Remise invalide",IF(K400="","Taux de TVA manquant",IF(NOT(ISNUMBER(K400)),"Taux de TVA invalide",IF(COUNTIF(p_rates,K400)=0,"Taux de TVA hors liste (Paramètres)",IF(N(O400)&gt;25,"Au-delà de 25 lignes : non imprimée","OK")))))))))))))</f>
        <v/>
      </c>
      <c r="O400" s="59" t="str">
        <f>IF(A400="","",COUNTIF($A$6:A400,A400))</f>
        <v/>
      </c>
      <c r="P400" s="62" t="str">
        <f>IF(A400="","",A400&amp;"|"&amp;O400)</f>
        <v/>
      </c>
    </row>
    <row r="401">
      <c r="A401" s="60" t="n"/>
      <c r="B401" s="63" t="n"/>
      <c r="C401" s="63" t="n"/>
      <c r="D401" s="67" t="n"/>
      <c r="E401" s="68" t="n"/>
      <c r="F401" s="69" t="n"/>
      <c r="G401" s="70" t="n"/>
      <c r="H401" s="62" t="str">
        <f>IF(COUNTA(A401:G401)=0,"",IF(C401&lt;&gt;"",C401,IF(B401="","",IFERROR(INDEX(pr_des,MATCH(B401,pr_code,0))&amp;"",""))))</f>
        <v/>
      </c>
      <c r="I401" s="59" t="str">
        <f>IF(B401="","",IFERROR(INDEX(pr_unit,MATCH(B401,pr_code,0))&amp;"",""))</f>
        <v/>
      </c>
      <c r="J401" s="65" t="str">
        <f>IF(COUNTA(A401:G401)=0,"",IF(E401&lt;&gt;"",E401,IF(B401="","",IFERROR(IF(INDEX(pr_price,MATCH(B401,pr_code,0))="","",INDEX(pr_price,MATCH(B401,pr_code,0))),""))))</f>
        <v/>
      </c>
      <c r="K401" s="71" t="str">
        <f>IF(COUNTA(A401:G401)=0,"",IF(G401&lt;&gt;"",G401,IF(B401="","",IFERROR(IF(INDEX(pr_rate,MATCH(B401,pr_code,0))="","",INDEX(pr_rate,MATCH(B401,pr_code,0))),""))))</f>
        <v/>
      </c>
      <c r="L401" s="65" t="str">
        <f>IF(COUNTA(A401:G401)=0,"",IF(AND(ISNUMBER(D401),ISNUMBER(J401)),ROUND(D401*J401*(1-N(F401)),2),0))</f>
        <v/>
      </c>
      <c r="M401" s="62" t="str">
        <f>IF(A401="","",IFERROR(INDEX(dv_cname,MATCH(A401,dv_num,0))&amp;"",""))</f>
        <v/>
      </c>
      <c r="N401" s="59" t="str">
        <f>IF(COUNTA(A401:G401)=0,"",IF(A401="","N° devis manquant",IF(ISNA(MATCH(A401,dv_num,0)),"Devis inconnu",IF(AND(B401&lt;&gt;"",ISNA(MATCH(B401,pr_code,0))),"Article inconnu",IF(H401="","Désignation manquante",IF(OR(NOT(ISNUMBER(D401)),N(D401)&lt;=0),"Quantité invalide",IF(J401="","Prix manquant",IF(OR(NOT(ISNUMBER(J401)),N(J401)&lt;0),"Prix invalide",IF(OR(AND(F401&lt;&gt;"",NOT(ISNUMBER(F401))),N(F401)&lt;0,N(F401)&gt;1),"Remise invalide",IF(K401="","Taux de TVA manquant",IF(NOT(ISNUMBER(K401)),"Taux de TVA invalide",IF(COUNTIF(p_rates,K401)=0,"Taux de TVA hors liste (Paramètres)",IF(N(O401)&gt;25,"Au-delà de 25 lignes : non imprimée","OK")))))))))))))</f>
        <v/>
      </c>
      <c r="O401" s="59" t="str">
        <f>IF(A401="","",COUNTIF($A$6:A401,A401))</f>
        <v/>
      </c>
      <c r="P401" s="62" t="str">
        <f>IF(A401="","",A401&amp;"|"&amp;O401)</f>
        <v/>
      </c>
    </row>
    <row r="402">
      <c r="A402" s="60" t="n"/>
      <c r="B402" s="63" t="n"/>
      <c r="C402" s="63" t="n"/>
      <c r="D402" s="67" t="n"/>
      <c r="E402" s="68" t="n"/>
      <c r="F402" s="69" t="n"/>
      <c r="G402" s="70" t="n"/>
      <c r="H402" s="62" t="str">
        <f>IF(COUNTA(A402:G402)=0,"",IF(C402&lt;&gt;"",C402,IF(B402="","",IFERROR(INDEX(pr_des,MATCH(B402,pr_code,0))&amp;"",""))))</f>
        <v/>
      </c>
      <c r="I402" s="59" t="str">
        <f>IF(B402="","",IFERROR(INDEX(pr_unit,MATCH(B402,pr_code,0))&amp;"",""))</f>
        <v/>
      </c>
      <c r="J402" s="65" t="str">
        <f>IF(COUNTA(A402:G402)=0,"",IF(E402&lt;&gt;"",E402,IF(B402="","",IFERROR(IF(INDEX(pr_price,MATCH(B402,pr_code,0))="","",INDEX(pr_price,MATCH(B402,pr_code,0))),""))))</f>
        <v/>
      </c>
      <c r="K402" s="71" t="str">
        <f>IF(COUNTA(A402:G402)=0,"",IF(G402&lt;&gt;"",G402,IF(B402="","",IFERROR(IF(INDEX(pr_rate,MATCH(B402,pr_code,0))="","",INDEX(pr_rate,MATCH(B402,pr_code,0))),""))))</f>
        <v/>
      </c>
      <c r="L402" s="65" t="str">
        <f>IF(COUNTA(A402:G402)=0,"",IF(AND(ISNUMBER(D402),ISNUMBER(J402)),ROUND(D402*J402*(1-N(F402)),2),0))</f>
        <v/>
      </c>
      <c r="M402" s="62" t="str">
        <f>IF(A402="","",IFERROR(INDEX(dv_cname,MATCH(A402,dv_num,0))&amp;"",""))</f>
        <v/>
      </c>
      <c r="N402" s="59" t="str">
        <f>IF(COUNTA(A402:G402)=0,"",IF(A402="","N° devis manquant",IF(ISNA(MATCH(A402,dv_num,0)),"Devis inconnu",IF(AND(B402&lt;&gt;"",ISNA(MATCH(B402,pr_code,0))),"Article inconnu",IF(H402="","Désignation manquante",IF(OR(NOT(ISNUMBER(D402)),N(D402)&lt;=0),"Quantité invalide",IF(J402="","Prix manquant",IF(OR(NOT(ISNUMBER(J402)),N(J402)&lt;0),"Prix invalide",IF(OR(AND(F402&lt;&gt;"",NOT(ISNUMBER(F402))),N(F402)&lt;0,N(F402)&gt;1),"Remise invalide",IF(K402="","Taux de TVA manquant",IF(NOT(ISNUMBER(K402)),"Taux de TVA invalide",IF(COUNTIF(p_rates,K402)=0,"Taux de TVA hors liste (Paramètres)",IF(N(O402)&gt;25,"Au-delà de 25 lignes : non imprimée","OK")))))))))))))</f>
        <v/>
      </c>
      <c r="O402" s="59" t="str">
        <f>IF(A402="","",COUNTIF($A$6:A402,A402))</f>
        <v/>
      </c>
      <c r="P402" s="62" t="str">
        <f>IF(A402="","",A402&amp;"|"&amp;O402)</f>
        <v/>
      </c>
    </row>
    <row r="403">
      <c r="A403" s="60" t="n"/>
      <c r="B403" s="63" t="n"/>
      <c r="C403" s="63" t="n"/>
      <c r="D403" s="67" t="n"/>
      <c r="E403" s="68" t="n"/>
      <c r="F403" s="69" t="n"/>
      <c r="G403" s="70" t="n"/>
      <c r="H403" s="62" t="str">
        <f>IF(COUNTA(A403:G403)=0,"",IF(C403&lt;&gt;"",C403,IF(B403="","",IFERROR(INDEX(pr_des,MATCH(B403,pr_code,0))&amp;"",""))))</f>
        <v/>
      </c>
      <c r="I403" s="59" t="str">
        <f>IF(B403="","",IFERROR(INDEX(pr_unit,MATCH(B403,pr_code,0))&amp;"",""))</f>
        <v/>
      </c>
      <c r="J403" s="65" t="str">
        <f>IF(COUNTA(A403:G403)=0,"",IF(E403&lt;&gt;"",E403,IF(B403="","",IFERROR(IF(INDEX(pr_price,MATCH(B403,pr_code,0))="","",INDEX(pr_price,MATCH(B403,pr_code,0))),""))))</f>
        <v/>
      </c>
      <c r="K403" s="71" t="str">
        <f>IF(COUNTA(A403:G403)=0,"",IF(G403&lt;&gt;"",G403,IF(B403="","",IFERROR(IF(INDEX(pr_rate,MATCH(B403,pr_code,0))="","",INDEX(pr_rate,MATCH(B403,pr_code,0))),""))))</f>
        <v/>
      </c>
      <c r="L403" s="65" t="str">
        <f>IF(COUNTA(A403:G403)=0,"",IF(AND(ISNUMBER(D403),ISNUMBER(J403)),ROUND(D403*J403*(1-N(F403)),2),0))</f>
        <v/>
      </c>
      <c r="M403" s="62" t="str">
        <f>IF(A403="","",IFERROR(INDEX(dv_cname,MATCH(A403,dv_num,0))&amp;"",""))</f>
        <v/>
      </c>
      <c r="N403" s="59" t="str">
        <f>IF(COUNTA(A403:G403)=0,"",IF(A403="","N° devis manquant",IF(ISNA(MATCH(A403,dv_num,0)),"Devis inconnu",IF(AND(B403&lt;&gt;"",ISNA(MATCH(B403,pr_code,0))),"Article inconnu",IF(H403="","Désignation manquante",IF(OR(NOT(ISNUMBER(D403)),N(D403)&lt;=0),"Quantité invalide",IF(J403="","Prix manquant",IF(OR(NOT(ISNUMBER(J403)),N(J403)&lt;0),"Prix invalide",IF(OR(AND(F403&lt;&gt;"",NOT(ISNUMBER(F403))),N(F403)&lt;0,N(F403)&gt;1),"Remise invalide",IF(K403="","Taux de TVA manquant",IF(NOT(ISNUMBER(K403)),"Taux de TVA invalide",IF(COUNTIF(p_rates,K403)=0,"Taux de TVA hors liste (Paramètres)",IF(N(O403)&gt;25,"Au-delà de 25 lignes : non imprimée","OK")))))))))))))</f>
        <v/>
      </c>
      <c r="O403" s="59" t="str">
        <f>IF(A403="","",COUNTIF($A$6:A403,A403))</f>
        <v/>
      </c>
      <c r="P403" s="62" t="str">
        <f>IF(A403="","",A403&amp;"|"&amp;O403)</f>
        <v/>
      </c>
    </row>
    <row r="404">
      <c r="A404" s="60" t="n"/>
      <c r="B404" s="63" t="n"/>
      <c r="C404" s="63" t="n"/>
      <c r="D404" s="67" t="n"/>
      <c r="E404" s="68" t="n"/>
      <c r="F404" s="69" t="n"/>
      <c r="G404" s="70" t="n"/>
      <c r="H404" s="62" t="str">
        <f>IF(COUNTA(A404:G404)=0,"",IF(C404&lt;&gt;"",C404,IF(B404="","",IFERROR(INDEX(pr_des,MATCH(B404,pr_code,0))&amp;"",""))))</f>
        <v/>
      </c>
      <c r="I404" s="59" t="str">
        <f>IF(B404="","",IFERROR(INDEX(pr_unit,MATCH(B404,pr_code,0))&amp;"",""))</f>
        <v/>
      </c>
      <c r="J404" s="65" t="str">
        <f>IF(COUNTA(A404:G404)=0,"",IF(E404&lt;&gt;"",E404,IF(B404="","",IFERROR(IF(INDEX(pr_price,MATCH(B404,pr_code,0))="","",INDEX(pr_price,MATCH(B404,pr_code,0))),""))))</f>
        <v/>
      </c>
      <c r="K404" s="71" t="str">
        <f>IF(COUNTA(A404:G404)=0,"",IF(G404&lt;&gt;"",G404,IF(B404="","",IFERROR(IF(INDEX(pr_rate,MATCH(B404,pr_code,0))="","",INDEX(pr_rate,MATCH(B404,pr_code,0))),""))))</f>
        <v/>
      </c>
      <c r="L404" s="65" t="str">
        <f>IF(COUNTA(A404:G404)=0,"",IF(AND(ISNUMBER(D404),ISNUMBER(J404)),ROUND(D404*J404*(1-N(F404)),2),0))</f>
        <v/>
      </c>
      <c r="M404" s="62" t="str">
        <f>IF(A404="","",IFERROR(INDEX(dv_cname,MATCH(A404,dv_num,0))&amp;"",""))</f>
        <v/>
      </c>
      <c r="N404" s="59" t="str">
        <f>IF(COUNTA(A404:G404)=0,"",IF(A404="","N° devis manquant",IF(ISNA(MATCH(A404,dv_num,0)),"Devis inconnu",IF(AND(B404&lt;&gt;"",ISNA(MATCH(B404,pr_code,0))),"Article inconnu",IF(H404="","Désignation manquante",IF(OR(NOT(ISNUMBER(D404)),N(D404)&lt;=0),"Quantité invalide",IF(J404="","Prix manquant",IF(OR(NOT(ISNUMBER(J404)),N(J404)&lt;0),"Prix invalide",IF(OR(AND(F404&lt;&gt;"",NOT(ISNUMBER(F404))),N(F404)&lt;0,N(F404)&gt;1),"Remise invalide",IF(K404="","Taux de TVA manquant",IF(NOT(ISNUMBER(K404)),"Taux de TVA invalide",IF(COUNTIF(p_rates,K404)=0,"Taux de TVA hors liste (Paramètres)",IF(N(O404)&gt;25,"Au-delà de 25 lignes : non imprimée","OK")))))))))))))</f>
        <v/>
      </c>
      <c r="O404" s="59" t="str">
        <f>IF(A404="","",COUNTIF($A$6:A404,A404))</f>
        <v/>
      </c>
      <c r="P404" s="62" t="str">
        <f>IF(A404="","",A404&amp;"|"&amp;O404)</f>
        <v/>
      </c>
    </row>
    <row r="405">
      <c r="A405" s="60" t="n"/>
      <c r="B405" s="63" t="n"/>
      <c r="C405" s="63" t="n"/>
      <c r="D405" s="67" t="n"/>
      <c r="E405" s="68" t="n"/>
      <c r="F405" s="69" t="n"/>
      <c r="G405" s="70" t="n"/>
      <c r="H405" s="62" t="str">
        <f>IF(COUNTA(A405:G405)=0,"",IF(C405&lt;&gt;"",C405,IF(B405="","",IFERROR(INDEX(pr_des,MATCH(B405,pr_code,0))&amp;"",""))))</f>
        <v/>
      </c>
      <c r="I405" s="59" t="str">
        <f>IF(B405="","",IFERROR(INDEX(pr_unit,MATCH(B405,pr_code,0))&amp;"",""))</f>
        <v/>
      </c>
      <c r="J405" s="65" t="str">
        <f>IF(COUNTA(A405:G405)=0,"",IF(E405&lt;&gt;"",E405,IF(B405="","",IFERROR(IF(INDEX(pr_price,MATCH(B405,pr_code,0))="","",INDEX(pr_price,MATCH(B405,pr_code,0))),""))))</f>
        <v/>
      </c>
      <c r="K405" s="71" t="str">
        <f>IF(COUNTA(A405:G405)=0,"",IF(G405&lt;&gt;"",G405,IF(B405="","",IFERROR(IF(INDEX(pr_rate,MATCH(B405,pr_code,0))="","",INDEX(pr_rate,MATCH(B405,pr_code,0))),""))))</f>
        <v/>
      </c>
      <c r="L405" s="65" t="str">
        <f>IF(COUNTA(A405:G405)=0,"",IF(AND(ISNUMBER(D405),ISNUMBER(J405)),ROUND(D405*J405*(1-N(F405)),2),0))</f>
        <v/>
      </c>
      <c r="M405" s="62" t="str">
        <f>IF(A405="","",IFERROR(INDEX(dv_cname,MATCH(A405,dv_num,0))&amp;"",""))</f>
        <v/>
      </c>
      <c r="N405" s="59" t="str">
        <f>IF(COUNTA(A405:G405)=0,"",IF(A405="","N° devis manquant",IF(ISNA(MATCH(A405,dv_num,0)),"Devis inconnu",IF(AND(B405&lt;&gt;"",ISNA(MATCH(B405,pr_code,0))),"Article inconnu",IF(H405="","Désignation manquante",IF(OR(NOT(ISNUMBER(D405)),N(D405)&lt;=0),"Quantité invalide",IF(J405="","Prix manquant",IF(OR(NOT(ISNUMBER(J405)),N(J405)&lt;0),"Prix invalide",IF(OR(AND(F405&lt;&gt;"",NOT(ISNUMBER(F405))),N(F405)&lt;0,N(F405)&gt;1),"Remise invalide",IF(K405="","Taux de TVA manquant",IF(NOT(ISNUMBER(K405)),"Taux de TVA invalide",IF(COUNTIF(p_rates,K405)=0,"Taux de TVA hors liste (Paramètres)",IF(N(O405)&gt;25,"Au-delà de 25 lignes : non imprimée","OK")))))))))))))</f>
        <v/>
      </c>
      <c r="O405" s="59" t="str">
        <f>IF(A405="","",COUNTIF($A$6:A405,A405))</f>
        <v/>
      </c>
      <c r="P405" s="62" t="str">
        <f>IF(A405="","",A405&amp;"|"&amp;O405)</f>
        <v/>
      </c>
    </row>
    <row r="406">
      <c r="A406" s="60" t="n"/>
      <c r="B406" s="63" t="n"/>
      <c r="C406" s="63" t="n"/>
      <c r="D406" s="67" t="n"/>
      <c r="E406" s="68" t="n"/>
      <c r="F406" s="69" t="n"/>
      <c r="G406" s="70" t="n"/>
      <c r="H406" s="62" t="str">
        <f>IF(COUNTA(A406:G406)=0,"",IF(C406&lt;&gt;"",C406,IF(B406="","",IFERROR(INDEX(pr_des,MATCH(B406,pr_code,0))&amp;"",""))))</f>
        <v/>
      </c>
      <c r="I406" s="59" t="str">
        <f>IF(B406="","",IFERROR(INDEX(pr_unit,MATCH(B406,pr_code,0))&amp;"",""))</f>
        <v/>
      </c>
      <c r="J406" s="65" t="str">
        <f>IF(COUNTA(A406:G406)=0,"",IF(E406&lt;&gt;"",E406,IF(B406="","",IFERROR(IF(INDEX(pr_price,MATCH(B406,pr_code,0))="","",INDEX(pr_price,MATCH(B406,pr_code,0))),""))))</f>
        <v/>
      </c>
      <c r="K406" s="71" t="str">
        <f>IF(COUNTA(A406:G406)=0,"",IF(G406&lt;&gt;"",G406,IF(B406="","",IFERROR(IF(INDEX(pr_rate,MATCH(B406,pr_code,0))="","",INDEX(pr_rate,MATCH(B406,pr_code,0))),""))))</f>
        <v/>
      </c>
      <c r="L406" s="65" t="str">
        <f>IF(COUNTA(A406:G406)=0,"",IF(AND(ISNUMBER(D406),ISNUMBER(J406)),ROUND(D406*J406*(1-N(F406)),2),0))</f>
        <v/>
      </c>
      <c r="M406" s="62" t="str">
        <f>IF(A406="","",IFERROR(INDEX(dv_cname,MATCH(A406,dv_num,0))&amp;"",""))</f>
        <v/>
      </c>
      <c r="N406" s="59" t="str">
        <f>IF(COUNTA(A406:G406)=0,"",IF(A406="","N° devis manquant",IF(ISNA(MATCH(A406,dv_num,0)),"Devis inconnu",IF(AND(B406&lt;&gt;"",ISNA(MATCH(B406,pr_code,0))),"Article inconnu",IF(H406="","Désignation manquante",IF(OR(NOT(ISNUMBER(D406)),N(D406)&lt;=0),"Quantité invalide",IF(J406="","Prix manquant",IF(OR(NOT(ISNUMBER(J406)),N(J406)&lt;0),"Prix invalide",IF(OR(AND(F406&lt;&gt;"",NOT(ISNUMBER(F406))),N(F406)&lt;0,N(F406)&gt;1),"Remise invalide",IF(K406="","Taux de TVA manquant",IF(NOT(ISNUMBER(K406)),"Taux de TVA invalide",IF(COUNTIF(p_rates,K406)=0,"Taux de TVA hors liste (Paramètres)",IF(N(O406)&gt;25,"Au-delà de 25 lignes : non imprimée","OK")))))))))))))</f>
        <v/>
      </c>
      <c r="O406" s="59" t="str">
        <f>IF(A406="","",COUNTIF($A$6:A406,A406))</f>
        <v/>
      </c>
      <c r="P406" s="62" t="str">
        <f>IF(A406="","",A406&amp;"|"&amp;O406)</f>
        <v/>
      </c>
    </row>
    <row r="407">
      <c r="A407" s="60" t="n"/>
      <c r="B407" s="63" t="n"/>
      <c r="C407" s="63" t="n"/>
      <c r="D407" s="67" t="n"/>
      <c r="E407" s="68" t="n"/>
      <c r="F407" s="69" t="n"/>
      <c r="G407" s="70" t="n"/>
      <c r="H407" s="62" t="str">
        <f>IF(COUNTA(A407:G407)=0,"",IF(C407&lt;&gt;"",C407,IF(B407="","",IFERROR(INDEX(pr_des,MATCH(B407,pr_code,0))&amp;"",""))))</f>
        <v/>
      </c>
      <c r="I407" s="59" t="str">
        <f>IF(B407="","",IFERROR(INDEX(pr_unit,MATCH(B407,pr_code,0))&amp;"",""))</f>
        <v/>
      </c>
      <c r="J407" s="65" t="str">
        <f>IF(COUNTA(A407:G407)=0,"",IF(E407&lt;&gt;"",E407,IF(B407="","",IFERROR(IF(INDEX(pr_price,MATCH(B407,pr_code,0))="","",INDEX(pr_price,MATCH(B407,pr_code,0))),""))))</f>
        <v/>
      </c>
      <c r="K407" s="71" t="str">
        <f>IF(COUNTA(A407:G407)=0,"",IF(G407&lt;&gt;"",G407,IF(B407="","",IFERROR(IF(INDEX(pr_rate,MATCH(B407,pr_code,0))="","",INDEX(pr_rate,MATCH(B407,pr_code,0))),""))))</f>
        <v/>
      </c>
      <c r="L407" s="65" t="str">
        <f>IF(COUNTA(A407:G407)=0,"",IF(AND(ISNUMBER(D407),ISNUMBER(J407)),ROUND(D407*J407*(1-N(F407)),2),0))</f>
        <v/>
      </c>
      <c r="M407" s="62" t="str">
        <f>IF(A407="","",IFERROR(INDEX(dv_cname,MATCH(A407,dv_num,0))&amp;"",""))</f>
        <v/>
      </c>
      <c r="N407" s="59" t="str">
        <f>IF(COUNTA(A407:G407)=0,"",IF(A407="","N° devis manquant",IF(ISNA(MATCH(A407,dv_num,0)),"Devis inconnu",IF(AND(B407&lt;&gt;"",ISNA(MATCH(B407,pr_code,0))),"Article inconnu",IF(H407="","Désignation manquante",IF(OR(NOT(ISNUMBER(D407)),N(D407)&lt;=0),"Quantité invalide",IF(J407="","Prix manquant",IF(OR(NOT(ISNUMBER(J407)),N(J407)&lt;0),"Prix invalide",IF(OR(AND(F407&lt;&gt;"",NOT(ISNUMBER(F407))),N(F407)&lt;0,N(F407)&gt;1),"Remise invalide",IF(K407="","Taux de TVA manquant",IF(NOT(ISNUMBER(K407)),"Taux de TVA invalide",IF(COUNTIF(p_rates,K407)=0,"Taux de TVA hors liste (Paramètres)",IF(N(O407)&gt;25,"Au-delà de 25 lignes : non imprimée","OK")))))))))))))</f>
        <v/>
      </c>
      <c r="O407" s="59" t="str">
        <f>IF(A407="","",COUNTIF($A$6:A407,A407))</f>
        <v/>
      </c>
      <c r="P407" s="62" t="str">
        <f>IF(A407="","",A407&amp;"|"&amp;O407)</f>
        <v/>
      </c>
    </row>
    <row r="408">
      <c r="A408" s="60" t="n"/>
      <c r="B408" s="63" t="n"/>
      <c r="C408" s="63" t="n"/>
      <c r="D408" s="67" t="n"/>
      <c r="E408" s="68" t="n"/>
      <c r="F408" s="69" t="n"/>
      <c r="G408" s="70" t="n"/>
      <c r="H408" s="62" t="str">
        <f>IF(COUNTA(A408:G408)=0,"",IF(C408&lt;&gt;"",C408,IF(B408="","",IFERROR(INDEX(pr_des,MATCH(B408,pr_code,0))&amp;"",""))))</f>
        <v/>
      </c>
      <c r="I408" s="59" t="str">
        <f>IF(B408="","",IFERROR(INDEX(pr_unit,MATCH(B408,pr_code,0))&amp;"",""))</f>
        <v/>
      </c>
      <c r="J408" s="65" t="str">
        <f>IF(COUNTA(A408:G408)=0,"",IF(E408&lt;&gt;"",E408,IF(B408="","",IFERROR(IF(INDEX(pr_price,MATCH(B408,pr_code,0))="","",INDEX(pr_price,MATCH(B408,pr_code,0))),""))))</f>
        <v/>
      </c>
      <c r="K408" s="71" t="str">
        <f>IF(COUNTA(A408:G408)=0,"",IF(G408&lt;&gt;"",G408,IF(B408="","",IFERROR(IF(INDEX(pr_rate,MATCH(B408,pr_code,0))="","",INDEX(pr_rate,MATCH(B408,pr_code,0))),""))))</f>
        <v/>
      </c>
      <c r="L408" s="65" t="str">
        <f>IF(COUNTA(A408:G408)=0,"",IF(AND(ISNUMBER(D408),ISNUMBER(J408)),ROUND(D408*J408*(1-N(F408)),2),0))</f>
        <v/>
      </c>
      <c r="M408" s="62" t="str">
        <f>IF(A408="","",IFERROR(INDEX(dv_cname,MATCH(A408,dv_num,0))&amp;"",""))</f>
        <v/>
      </c>
      <c r="N408" s="59" t="str">
        <f>IF(COUNTA(A408:G408)=0,"",IF(A408="","N° devis manquant",IF(ISNA(MATCH(A408,dv_num,0)),"Devis inconnu",IF(AND(B408&lt;&gt;"",ISNA(MATCH(B408,pr_code,0))),"Article inconnu",IF(H408="","Désignation manquante",IF(OR(NOT(ISNUMBER(D408)),N(D408)&lt;=0),"Quantité invalide",IF(J408="","Prix manquant",IF(OR(NOT(ISNUMBER(J408)),N(J408)&lt;0),"Prix invalide",IF(OR(AND(F408&lt;&gt;"",NOT(ISNUMBER(F408))),N(F408)&lt;0,N(F408)&gt;1),"Remise invalide",IF(K408="","Taux de TVA manquant",IF(NOT(ISNUMBER(K408)),"Taux de TVA invalide",IF(COUNTIF(p_rates,K408)=0,"Taux de TVA hors liste (Paramètres)",IF(N(O408)&gt;25,"Au-delà de 25 lignes : non imprimée","OK")))))))))))))</f>
        <v/>
      </c>
      <c r="O408" s="59" t="str">
        <f>IF(A408="","",COUNTIF($A$6:A408,A408))</f>
        <v/>
      </c>
      <c r="P408" s="62" t="str">
        <f>IF(A408="","",A408&amp;"|"&amp;O408)</f>
        <v/>
      </c>
    </row>
    <row r="409">
      <c r="A409" s="60" t="n"/>
      <c r="B409" s="63" t="n"/>
      <c r="C409" s="63" t="n"/>
      <c r="D409" s="67" t="n"/>
      <c r="E409" s="68" t="n"/>
      <c r="F409" s="69" t="n"/>
      <c r="G409" s="70" t="n"/>
      <c r="H409" s="62" t="str">
        <f>IF(COUNTA(A409:G409)=0,"",IF(C409&lt;&gt;"",C409,IF(B409="","",IFERROR(INDEX(pr_des,MATCH(B409,pr_code,0))&amp;"",""))))</f>
        <v/>
      </c>
      <c r="I409" s="59" t="str">
        <f>IF(B409="","",IFERROR(INDEX(pr_unit,MATCH(B409,pr_code,0))&amp;"",""))</f>
        <v/>
      </c>
      <c r="J409" s="65" t="str">
        <f>IF(COUNTA(A409:G409)=0,"",IF(E409&lt;&gt;"",E409,IF(B409="","",IFERROR(IF(INDEX(pr_price,MATCH(B409,pr_code,0))="","",INDEX(pr_price,MATCH(B409,pr_code,0))),""))))</f>
        <v/>
      </c>
      <c r="K409" s="71" t="str">
        <f>IF(COUNTA(A409:G409)=0,"",IF(G409&lt;&gt;"",G409,IF(B409="","",IFERROR(IF(INDEX(pr_rate,MATCH(B409,pr_code,0))="","",INDEX(pr_rate,MATCH(B409,pr_code,0))),""))))</f>
        <v/>
      </c>
      <c r="L409" s="65" t="str">
        <f>IF(COUNTA(A409:G409)=0,"",IF(AND(ISNUMBER(D409),ISNUMBER(J409)),ROUND(D409*J409*(1-N(F409)),2),0))</f>
        <v/>
      </c>
      <c r="M409" s="62" t="str">
        <f>IF(A409="","",IFERROR(INDEX(dv_cname,MATCH(A409,dv_num,0))&amp;"",""))</f>
        <v/>
      </c>
      <c r="N409" s="59" t="str">
        <f>IF(COUNTA(A409:G409)=0,"",IF(A409="","N° devis manquant",IF(ISNA(MATCH(A409,dv_num,0)),"Devis inconnu",IF(AND(B409&lt;&gt;"",ISNA(MATCH(B409,pr_code,0))),"Article inconnu",IF(H409="","Désignation manquante",IF(OR(NOT(ISNUMBER(D409)),N(D409)&lt;=0),"Quantité invalide",IF(J409="","Prix manquant",IF(OR(NOT(ISNUMBER(J409)),N(J409)&lt;0),"Prix invalide",IF(OR(AND(F409&lt;&gt;"",NOT(ISNUMBER(F409))),N(F409)&lt;0,N(F409)&gt;1),"Remise invalide",IF(K409="","Taux de TVA manquant",IF(NOT(ISNUMBER(K409)),"Taux de TVA invalide",IF(COUNTIF(p_rates,K409)=0,"Taux de TVA hors liste (Paramètres)",IF(N(O409)&gt;25,"Au-delà de 25 lignes : non imprimée","OK")))))))))))))</f>
        <v/>
      </c>
      <c r="O409" s="59" t="str">
        <f>IF(A409="","",COUNTIF($A$6:A409,A409))</f>
        <v/>
      </c>
      <c r="P409" s="62" t="str">
        <f>IF(A409="","",A409&amp;"|"&amp;O409)</f>
        <v/>
      </c>
    </row>
    <row r="410">
      <c r="A410" s="60" t="n"/>
      <c r="B410" s="63" t="n"/>
      <c r="C410" s="63" t="n"/>
      <c r="D410" s="67" t="n"/>
      <c r="E410" s="68" t="n"/>
      <c r="F410" s="69" t="n"/>
      <c r="G410" s="70" t="n"/>
      <c r="H410" s="62" t="str">
        <f>IF(COUNTA(A410:G410)=0,"",IF(C410&lt;&gt;"",C410,IF(B410="","",IFERROR(INDEX(pr_des,MATCH(B410,pr_code,0))&amp;"",""))))</f>
        <v/>
      </c>
      <c r="I410" s="59" t="str">
        <f>IF(B410="","",IFERROR(INDEX(pr_unit,MATCH(B410,pr_code,0))&amp;"",""))</f>
        <v/>
      </c>
      <c r="J410" s="65" t="str">
        <f>IF(COUNTA(A410:G410)=0,"",IF(E410&lt;&gt;"",E410,IF(B410="","",IFERROR(IF(INDEX(pr_price,MATCH(B410,pr_code,0))="","",INDEX(pr_price,MATCH(B410,pr_code,0))),""))))</f>
        <v/>
      </c>
      <c r="K410" s="71" t="str">
        <f>IF(COUNTA(A410:G410)=0,"",IF(G410&lt;&gt;"",G410,IF(B410="","",IFERROR(IF(INDEX(pr_rate,MATCH(B410,pr_code,0))="","",INDEX(pr_rate,MATCH(B410,pr_code,0))),""))))</f>
        <v/>
      </c>
      <c r="L410" s="65" t="str">
        <f>IF(COUNTA(A410:G410)=0,"",IF(AND(ISNUMBER(D410),ISNUMBER(J410)),ROUND(D410*J410*(1-N(F410)),2),0))</f>
        <v/>
      </c>
      <c r="M410" s="62" t="str">
        <f>IF(A410="","",IFERROR(INDEX(dv_cname,MATCH(A410,dv_num,0))&amp;"",""))</f>
        <v/>
      </c>
      <c r="N410" s="59" t="str">
        <f>IF(COUNTA(A410:G410)=0,"",IF(A410="","N° devis manquant",IF(ISNA(MATCH(A410,dv_num,0)),"Devis inconnu",IF(AND(B410&lt;&gt;"",ISNA(MATCH(B410,pr_code,0))),"Article inconnu",IF(H410="","Désignation manquante",IF(OR(NOT(ISNUMBER(D410)),N(D410)&lt;=0),"Quantité invalide",IF(J410="","Prix manquant",IF(OR(NOT(ISNUMBER(J410)),N(J410)&lt;0),"Prix invalide",IF(OR(AND(F410&lt;&gt;"",NOT(ISNUMBER(F410))),N(F410)&lt;0,N(F410)&gt;1),"Remise invalide",IF(K410="","Taux de TVA manquant",IF(NOT(ISNUMBER(K410)),"Taux de TVA invalide",IF(COUNTIF(p_rates,K410)=0,"Taux de TVA hors liste (Paramètres)",IF(N(O410)&gt;25,"Au-delà de 25 lignes : non imprimée","OK")))))))))))))</f>
        <v/>
      </c>
      <c r="O410" s="59" t="str">
        <f>IF(A410="","",COUNTIF($A$6:A410,A410))</f>
        <v/>
      </c>
      <c r="P410" s="62" t="str">
        <f>IF(A410="","",A410&amp;"|"&amp;O410)</f>
        <v/>
      </c>
    </row>
    <row r="411">
      <c r="A411" s="60" t="n"/>
      <c r="B411" s="63" t="n"/>
      <c r="C411" s="63" t="n"/>
      <c r="D411" s="67" t="n"/>
      <c r="E411" s="68" t="n"/>
      <c r="F411" s="69" t="n"/>
      <c r="G411" s="70" t="n"/>
      <c r="H411" s="62" t="str">
        <f>IF(COUNTA(A411:G411)=0,"",IF(C411&lt;&gt;"",C411,IF(B411="","",IFERROR(INDEX(pr_des,MATCH(B411,pr_code,0))&amp;"",""))))</f>
        <v/>
      </c>
      <c r="I411" s="59" t="str">
        <f>IF(B411="","",IFERROR(INDEX(pr_unit,MATCH(B411,pr_code,0))&amp;"",""))</f>
        <v/>
      </c>
      <c r="J411" s="65" t="str">
        <f>IF(COUNTA(A411:G411)=0,"",IF(E411&lt;&gt;"",E411,IF(B411="","",IFERROR(IF(INDEX(pr_price,MATCH(B411,pr_code,0))="","",INDEX(pr_price,MATCH(B411,pr_code,0))),""))))</f>
        <v/>
      </c>
      <c r="K411" s="71" t="str">
        <f>IF(COUNTA(A411:G411)=0,"",IF(G411&lt;&gt;"",G411,IF(B411="","",IFERROR(IF(INDEX(pr_rate,MATCH(B411,pr_code,0))="","",INDEX(pr_rate,MATCH(B411,pr_code,0))),""))))</f>
        <v/>
      </c>
      <c r="L411" s="65" t="str">
        <f>IF(COUNTA(A411:G411)=0,"",IF(AND(ISNUMBER(D411),ISNUMBER(J411)),ROUND(D411*J411*(1-N(F411)),2),0))</f>
        <v/>
      </c>
      <c r="M411" s="62" t="str">
        <f>IF(A411="","",IFERROR(INDEX(dv_cname,MATCH(A411,dv_num,0))&amp;"",""))</f>
        <v/>
      </c>
      <c r="N411" s="59" t="str">
        <f>IF(COUNTA(A411:G411)=0,"",IF(A411="","N° devis manquant",IF(ISNA(MATCH(A411,dv_num,0)),"Devis inconnu",IF(AND(B411&lt;&gt;"",ISNA(MATCH(B411,pr_code,0))),"Article inconnu",IF(H411="","Désignation manquante",IF(OR(NOT(ISNUMBER(D411)),N(D411)&lt;=0),"Quantité invalide",IF(J411="","Prix manquant",IF(OR(NOT(ISNUMBER(J411)),N(J411)&lt;0),"Prix invalide",IF(OR(AND(F411&lt;&gt;"",NOT(ISNUMBER(F411))),N(F411)&lt;0,N(F411)&gt;1),"Remise invalide",IF(K411="","Taux de TVA manquant",IF(NOT(ISNUMBER(K411)),"Taux de TVA invalide",IF(COUNTIF(p_rates,K411)=0,"Taux de TVA hors liste (Paramètres)",IF(N(O411)&gt;25,"Au-delà de 25 lignes : non imprimée","OK")))))))))))))</f>
        <v/>
      </c>
      <c r="O411" s="59" t="str">
        <f>IF(A411="","",COUNTIF($A$6:A411,A411))</f>
        <v/>
      </c>
      <c r="P411" s="62" t="str">
        <f>IF(A411="","",A411&amp;"|"&amp;O411)</f>
        <v/>
      </c>
    </row>
    <row r="412">
      <c r="A412" s="60" t="n"/>
      <c r="B412" s="63" t="n"/>
      <c r="C412" s="63" t="n"/>
      <c r="D412" s="67" t="n"/>
      <c r="E412" s="68" t="n"/>
      <c r="F412" s="69" t="n"/>
      <c r="G412" s="70" t="n"/>
      <c r="H412" s="62" t="str">
        <f>IF(COUNTA(A412:G412)=0,"",IF(C412&lt;&gt;"",C412,IF(B412="","",IFERROR(INDEX(pr_des,MATCH(B412,pr_code,0))&amp;"",""))))</f>
        <v/>
      </c>
      <c r="I412" s="59" t="str">
        <f>IF(B412="","",IFERROR(INDEX(pr_unit,MATCH(B412,pr_code,0))&amp;"",""))</f>
        <v/>
      </c>
      <c r="J412" s="65" t="str">
        <f>IF(COUNTA(A412:G412)=0,"",IF(E412&lt;&gt;"",E412,IF(B412="","",IFERROR(IF(INDEX(pr_price,MATCH(B412,pr_code,0))="","",INDEX(pr_price,MATCH(B412,pr_code,0))),""))))</f>
        <v/>
      </c>
      <c r="K412" s="71" t="str">
        <f>IF(COUNTA(A412:G412)=0,"",IF(G412&lt;&gt;"",G412,IF(B412="","",IFERROR(IF(INDEX(pr_rate,MATCH(B412,pr_code,0))="","",INDEX(pr_rate,MATCH(B412,pr_code,0))),""))))</f>
        <v/>
      </c>
      <c r="L412" s="65" t="str">
        <f>IF(COUNTA(A412:G412)=0,"",IF(AND(ISNUMBER(D412),ISNUMBER(J412)),ROUND(D412*J412*(1-N(F412)),2),0))</f>
        <v/>
      </c>
      <c r="M412" s="62" t="str">
        <f>IF(A412="","",IFERROR(INDEX(dv_cname,MATCH(A412,dv_num,0))&amp;"",""))</f>
        <v/>
      </c>
      <c r="N412" s="59" t="str">
        <f>IF(COUNTA(A412:G412)=0,"",IF(A412="","N° devis manquant",IF(ISNA(MATCH(A412,dv_num,0)),"Devis inconnu",IF(AND(B412&lt;&gt;"",ISNA(MATCH(B412,pr_code,0))),"Article inconnu",IF(H412="","Désignation manquante",IF(OR(NOT(ISNUMBER(D412)),N(D412)&lt;=0),"Quantité invalide",IF(J412="","Prix manquant",IF(OR(NOT(ISNUMBER(J412)),N(J412)&lt;0),"Prix invalide",IF(OR(AND(F412&lt;&gt;"",NOT(ISNUMBER(F412))),N(F412)&lt;0,N(F412)&gt;1),"Remise invalide",IF(K412="","Taux de TVA manquant",IF(NOT(ISNUMBER(K412)),"Taux de TVA invalide",IF(COUNTIF(p_rates,K412)=0,"Taux de TVA hors liste (Paramètres)",IF(N(O412)&gt;25,"Au-delà de 25 lignes : non imprimée","OK")))))))))))))</f>
        <v/>
      </c>
      <c r="O412" s="59" t="str">
        <f>IF(A412="","",COUNTIF($A$6:A412,A412))</f>
        <v/>
      </c>
      <c r="P412" s="62" t="str">
        <f>IF(A412="","",A412&amp;"|"&amp;O412)</f>
        <v/>
      </c>
    </row>
    <row r="413">
      <c r="A413" s="60" t="n"/>
      <c r="B413" s="63" t="n"/>
      <c r="C413" s="63" t="n"/>
      <c r="D413" s="67" t="n"/>
      <c r="E413" s="68" t="n"/>
      <c r="F413" s="69" t="n"/>
      <c r="G413" s="70" t="n"/>
      <c r="H413" s="62" t="str">
        <f>IF(COUNTA(A413:G413)=0,"",IF(C413&lt;&gt;"",C413,IF(B413="","",IFERROR(INDEX(pr_des,MATCH(B413,pr_code,0))&amp;"",""))))</f>
        <v/>
      </c>
      <c r="I413" s="59" t="str">
        <f>IF(B413="","",IFERROR(INDEX(pr_unit,MATCH(B413,pr_code,0))&amp;"",""))</f>
        <v/>
      </c>
      <c r="J413" s="65" t="str">
        <f>IF(COUNTA(A413:G413)=0,"",IF(E413&lt;&gt;"",E413,IF(B413="","",IFERROR(IF(INDEX(pr_price,MATCH(B413,pr_code,0))="","",INDEX(pr_price,MATCH(B413,pr_code,0))),""))))</f>
        <v/>
      </c>
      <c r="K413" s="71" t="str">
        <f>IF(COUNTA(A413:G413)=0,"",IF(G413&lt;&gt;"",G413,IF(B413="","",IFERROR(IF(INDEX(pr_rate,MATCH(B413,pr_code,0))="","",INDEX(pr_rate,MATCH(B413,pr_code,0))),""))))</f>
        <v/>
      </c>
      <c r="L413" s="65" t="str">
        <f>IF(COUNTA(A413:G413)=0,"",IF(AND(ISNUMBER(D413),ISNUMBER(J413)),ROUND(D413*J413*(1-N(F413)),2),0))</f>
        <v/>
      </c>
      <c r="M413" s="62" t="str">
        <f>IF(A413="","",IFERROR(INDEX(dv_cname,MATCH(A413,dv_num,0))&amp;"",""))</f>
        <v/>
      </c>
      <c r="N413" s="59" t="str">
        <f>IF(COUNTA(A413:G413)=0,"",IF(A413="","N° devis manquant",IF(ISNA(MATCH(A413,dv_num,0)),"Devis inconnu",IF(AND(B413&lt;&gt;"",ISNA(MATCH(B413,pr_code,0))),"Article inconnu",IF(H413="","Désignation manquante",IF(OR(NOT(ISNUMBER(D413)),N(D413)&lt;=0),"Quantité invalide",IF(J413="","Prix manquant",IF(OR(NOT(ISNUMBER(J413)),N(J413)&lt;0),"Prix invalide",IF(OR(AND(F413&lt;&gt;"",NOT(ISNUMBER(F413))),N(F413)&lt;0,N(F413)&gt;1),"Remise invalide",IF(K413="","Taux de TVA manquant",IF(NOT(ISNUMBER(K413)),"Taux de TVA invalide",IF(COUNTIF(p_rates,K413)=0,"Taux de TVA hors liste (Paramètres)",IF(N(O413)&gt;25,"Au-delà de 25 lignes : non imprimée","OK")))))))))))))</f>
        <v/>
      </c>
      <c r="O413" s="59" t="str">
        <f>IF(A413="","",COUNTIF($A$6:A413,A413))</f>
        <v/>
      </c>
      <c r="P413" s="62" t="str">
        <f>IF(A413="","",A413&amp;"|"&amp;O413)</f>
        <v/>
      </c>
    </row>
    <row r="414">
      <c r="A414" s="60" t="n"/>
      <c r="B414" s="63" t="n"/>
      <c r="C414" s="63" t="n"/>
      <c r="D414" s="67" t="n"/>
      <c r="E414" s="68" t="n"/>
      <c r="F414" s="69" t="n"/>
      <c r="G414" s="70" t="n"/>
      <c r="H414" s="62" t="str">
        <f>IF(COUNTA(A414:G414)=0,"",IF(C414&lt;&gt;"",C414,IF(B414="","",IFERROR(INDEX(pr_des,MATCH(B414,pr_code,0))&amp;"",""))))</f>
        <v/>
      </c>
      <c r="I414" s="59" t="str">
        <f>IF(B414="","",IFERROR(INDEX(pr_unit,MATCH(B414,pr_code,0))&amp;"",""))</f>
        <v/>
      </c>
      <c r="J414" s="65" t="str">
        <f>IF(COUNTA(A414:G414)=0,"",IF(E414&lt;&gt;"",E414,IF(B414="","",IFERROR(IF(INDEX(pr_price,MATCH(B414,pr_code,0))="","",INDEX(pr_price,MATCH(B414,pr_code,0))),""))))</f>
        <v/>
      </c>
      <c r="K414" s="71" t="str">
        <f>IF(COUNTA(A414:G414)=0,"",IF(G414&lt;&gt;"",G414,IF(B414="","",IFERROR(IF(INDEX(pr_rate,MATCH(B414,pr_code,0))="","",INDEX(pr_rate,MATCH(B414,pr_code,0))),""))))</f>
        <v/>
      </c>
      <c r="L414" s="65" t="str">
        <f>IF(COUNTA(A414:G414)=0,"",IF(AND(ISNUMBER(D414),ISNUMBER(J414)),ROUND(D414*J414*(1-N(F414)),2),0))</f>
        <v/>
      </c>
      <c r="M414" s="62" t="str">
        <f>IF(A414="","",IFERROR(INDEX(dv_cname,MATCH(A414,dv_num,0))&amp;"",""))</f>
        <v/>
      </c>
      <c r="N414" s="59" t="str">
        <f>IF(COUNTA(A414:G414)=0,"",IF(A414="","N° devis manquant",IF(ISNA(MATCH(A414,dv_num,0)),"Devis inconnu",IF(AND(B414&lt;&gt;"",ISNA(MATCH(B414,pr_code,0))),"Article inconnu",IF(H414="","Désignation manquante",IF(OR(NOT(ISNUMBER(D414)),N(D414)&lt;=0),"Quantité invalide",IF(J414="","Prix manquant",IF(OR(NOT(ISNUMBER(J414)),N(J414)&lt;0),"Prix invalide",IF(OR(AND(F414&lt;&gt;"",NOT(ISNUMBER(F414))),N(F414)&lt;0,N(F414)&gt;1),"Remise invalide",IF(K414="","Taux de TVA manquant",IF(NOT(ISNUMBER(K414)),"Taux de TVA invalide",IF(COUNTIF(p_rates,K414)=0,"Taux de TVA hors liste (Paramètres)",IF(N(O414)&gt;25,"Au-delà de 25 lignes : non imprimée","OK")))))))))))))</f>
        <v/>
      </c>
      <c r="O414" s="59" t="str">
        <f>IF(A414="","",COUNTIF($A$6:A414,A414))</f>
        <v/>
      </c>
      <c r="P414" s="62" t="str">
        <f>IF(A414="","",A414&amp;"|"&amp;O414)</f>
        <v/>
      </c>
    </row>
    <row r="415">
      <c r="A415" s="60" t="n"/>
      <c r="B415" s="63" t="n"/>
      <c r="C415" s="63" t="n"/>
      <c r="D415" s="67" t="n"/>
      <c r="E415" s="68" t="n"/>
      <c r="F415" s="69" t="n"/>
      <c r="G415" s="70" t="n"/>
      <c r="H415" s="62" t="str">
        <f>IF(COUNTA(A415:G415)=0,"",IF(C415&lt;&gt;"",C415,IF(B415="","",IFERROR(INDEX(pr_des,MATCH(B415,pr_code,0))&amp;"",""))))</f>
        <v/>
      </c>
      <c r="I415" s="59" t="str">
        <f>IF(B415="","",IFERROR(INDEX(pr_unit,MATCH(B415,pr_code,0))&amp;"",""))</f>
        <v/>
      </c>
      <c r="J415" s="65" t="str">
        <f>IF(COUNTA(A415:G415)=0,"",IF(E415&lt;&gt;"",E415,IF(B415="","",IFERROR(IF(INDEX(pr_price,MATCH(B415,pr_code,0))="","",INDEX(pr_price,MATCH(B415,pr_code,0))),""))))</f>
        <v/>
      </c>
      <c r="K415" s="71" t="str">
        <f>IF(COUNTA(A415:G415)=0,"",IF(G415&lt;&gt;"",G415,IF(B415="","",IFERROR(IF(INDEX(pr_rate,MATCH(B415,pr_code,0))="","",INDEX(pr_rate,MATCH(B415,pr_code,0))),""))))</f>
        <v/>
      </c>
      <c r="L415" s="65" t="str">
        <f>IF(COUNTA(A415:G415)=0,"",IF(AND(ISNUMBER(D415),ISNUMBER(J415)),ROUND(D415*J415*(1-N(F415)),2),0))</f>
        <v/>
      </c>
      <c r="M415" s="62" t="str">
        <f>IF(A415="","",IFERROR(INDEX(dv_cname,MATCH(A415,dv_num,0))&amp;"",""))</f>
        <v/>
      </c>
      <c r="N415" s="59" t="str">
        <f>IF(COUNTA(A415:G415)=0,"",IF(A415="","N° devis manquant",IF(ISNA(MATCH(A415,dv_num,0)),"Devis inconnu",IF(AND(B415&lt;&gt;"",ISNA(MATCH(B415,pr_code,0))),"Article inconnu",IF(H415="","Désignation manquante",IF(OR(NOT(ISNUMBER(D415)),N(D415)&lt;=0),"Quantité invalide",IF(J415="","Prix manquant",IF(OR(NOT(ISNUMBER(J415)),N(J415)&lt;0),"Prix invalide",IF(OR(AND(F415&lt;&gt;"",NOT(ISNUMBER(F415))),N(F415)&lt;0,N(F415)&gt;1),"Remise invalide",IF(K415="","Taux de TVA manquant",IF(NOT(ISNUMBER(K415)),"Taux de TVA invalide",IF(COUNTIF(p_rates,K415)=0,"Taux de TVA hors liste (Paramètres)",IF(N(O415)&gt;25,"Au-delà de 25 lignes : non imprimée","OK")))))))))))))</f>
        <v/>
      </c>
      <c r="O415" s="59" t="str">
        <f>IF(A415="","",COUNTIF($A$6:A415,A415))</f>
        <v/>
      </c>
      <c r="P415" s="62" t="str">
        <f>IF(A415="","",A415&amp;"|"&amp;O415)</f>
        <v/>
      </c>
    </row>
    <row r="416">
      <c r="A416" s="60" t="n"/>
      <c r="B416" s="63" t="n"/>
      <c r="C416" s="63" t="n"/>
      <c r="D416" s="67" t="n"/>
      <c r="E416" s="68" t="n"/>
      <c r="F416" s="69" t="n"/>
      <c r="G416" s="70" t="n"/>
      <c r="H416" s="62" t="str">
        <f>IF(COUNTA(A416:G416)=0,"",IF(C416&lt;&gt;"",C416,IF(B416="","",IFERROR(INDEX(pr_des,MATCH(B416,pr_code,0))&amp;"",""))))</f>
        <v/>
      </c>
      <c r="I416" s="59" t="str">
        <f>IF(B416="","",IFERROR(INDEX(pr_unit,MATCH(B416,pr_code,0))&amp;"",""))</f>
        <v/>
      </c>
      <c r="J416" s="65" t="str">
        <f>IF(COUNTA(A416:G416)=0,"",IF(E416&lt;&gt;"",E416,IF(B416="","",IFERROR(IF(INDEX(pr_price,MATCH(B416,pr_code,0))="","",INDEX(pr_price,MATCH(B416,pr_code,0))),""))))</f>
        <v/>
      </c>
      <c r="K416" s="71" t="str">
        <f>IF(COUNTA(A416:G416)=0,"",IF(G416&lt;&gt;"",G416,IF(B416="","",IFERROR(IF(INDEX(pr_rate,MATCH(B416,pr_code,0))="","",INDEX(pr_rate,MATCH(B416,pr_code,0))),""))))</f>
        <v/>
      </c>
      <c r="L416" s="65" t="str">
        <f>IF(COUNTA(A416:G416)=0,"",IF(AND(ISNUMBER(D416),ISNUMBER(J416)),ROUND(D416*J416*(1-N(F416)),2),0))</f>
        <v/>
      </c>
      <c r="M416" s="62" t="str">
        <f>IF(A416="","",IFERROR(INDEX(dv_cname,MATCH(A416,dv_num,0))&amp;"",""))</f>
        <v/>
      </c>
      <c r="N416" s="59" t="str">
        <f>IF(COUNTA(A416:G416)=0,"",IF(A416="","N° devis manquant",IF(ISNA(MATCH(A416,dv_num,0)),"Devis inconnu",IF(AND(B416&lt;&gt;"",ISNA(MATCH(B416,pr_code,0))),"Article inconnu",IF(H416="","Désignation manquante",IF(OR(NOT(ISNUMBER(D416)),N(D416)&lt;=0),"Quantité invalide",IF(J416="","Prix manquant",IF(OR(NOT(ISNUMBER(J416)),N(J416)&lt;0),"Prix invalide",IF(OR(AND(F416&lt;&gt;"",NOT(ISNUMBER(F416))),N(F416)&lt;0,N(F416)&gt;1),"Remise invalide",IF(K416="","Taux de TVA manquant",IF(NOT(ISNUMBER(K416)),"Taux de TVA invalide",IF(COUNTIF(p_rates,K416)=0,"Taux de TVA hors liste (Paramètres)",IF(N(O416)&gt;25,"Au-delà de 25 lignes : non imprimée","OK")))))))))))))</f>
        <v/>
      </c>
      <c r="O416" s="59" t="str">
        <f>IF(A416="","",COUNTIF($A$6:A416,A416))</f>
        <v/>
      </c>
      <c r="P416" s="62" t="str">
        <f>IF(A416="","",A416&amp;"|"&amp;O416)</f>
        <v/>
      </c>
    </row>
    <row r="417">
      <c r="A417" s="60" t="n"/>
      <c r="B417" s="63" t="n"/>
      <c r="C417" s="63" t="n"/>
      <c r="D417" s="67" t="n"/>
      <c r="E417" s="68" t="n"/>
      <c r="F417" s="69" t="n"/>
      <c r="G417" s="70" t="n"/>
      <c r="H417" s="62" t="str">
        <f>IF(COUNTA(A417:G417)=0,"",IF(C417&lt;&gt;"",C417,IF(B417="","",IFERROR(INDEX(pr_des,MATCH(B417,pr_code,0))&amp;"",""))))</f>
        <v/>
      </c>
      <c r="I417" s="59" t="str">
        <f>IF(B417="","",IFERROR(INDEX(pr_unit,MATCH(B417,pr_code,0))&amp;"",""))</f>
        <v/>
      </c>
      <c r="J417" s="65" t="str">
        <f>IF(COUNTA(A417:G417)=0,"",IF(E417&lt;&gt;"",E417,IF(B417="","",IFERROR(IF(INDEX(pr_price,MATCH(B417,pr_code,0))="","",INDEX(pr_price,MATCH(B417,pr_code,0))),""))))</f>
        <v/>
      </c>
      <c r="K417" s="71" t="str">
        <f>IF(COUNTA(A417:G417)=0,"",IF(G417&lt;&gt;"",G417,IF(B417="","",IFERROR(IF(INDEX(pr_rate,MATCH(B417,pr_code,0))="","",INDEX(pr_rate,MATCH(B417,pr_code,0))),""))))</f>
        <v/>
      </c>
      <c r="L417" s="65" t="str">
        <f>IF(COUNTA(A417:G417)=0,"",IF(AND(ISNUMBER(D417),ISNUMBER(J417)),ROUND(D417*J417*(1-N(F417)),2),0))</f>
        <v/>
      </c>
      <c r="M417" s="62" t="str">
        <f>IF(A417="","",IFERROR(INDEX(dv_cname,MATCH(A417,dv_num,0))&amp;"",""))</f>
        <v/>
      </c>
      <c r="N417" s="59" t="str">
        <f>IF(COUNTA(A417:G417)=0,"",IF(A417="","N° devis manquant",IF(ISNA(MATCH(A417,dv_num,0)),"Devis inconnu",IF(AND(B417&lt;&gt;"",ISNA(MATCH(B417,pr_code,0))),"Article inconnu",IF(H417="","Désignation manquante",IF(OR(NOT(ISNUMBER(D417)),N(D417)&lt;=0),"Quantité invalide",IF(J417="","Prix manquant",IF(OR(NOT(ISNUMBER(J417)),N(J417)&lt;0),"Prix invalide",IF(OR(AND(F417&lt;&gt;"",NOT(ISNUMBER(F417))),N(F417)&lt;0,N(F417)&gt;1),"Remise invalide",IF(K417="","Taux de TVA manquant",IF(NOT(ISNUMBER(K417)),"Taux de TVA invalide",IF(COUNTIF(p_rates,K417)=0,"Taux de TVA hors liste (Paramètres)",IF(N(O417)&gt;25,"Au-delà de 25 lignes : non imprimée","OK")))))))))))))</f>
        <v/>
      </c>
      <c r="O417" s="59" t="str">
        <f>IF(A417="","",COUNTIF($A$6:A417,A417))</f>
        <v/>
      </c>
      <c r="P417" s="62" t="str">
        <f>IF(A417="","",A417&amp;"|"&amp;O417)</f>
        <v/>
      </c>
    </row>
    <row r="418">
      <c r="A418" s="60" t="n"/>
      <c r="B418" s="63" t="n"/>
      <c r="C418" s="63" t="n"/>
      <c r="D418" s="67" t="n"/>
      <c r="E418" s="68" t="n"/>
      <c r="F418" s="69" t="n"/>
      <c r="G418" s="70" t="n"/>
      <c r="H418" s="62" t="str">
        <f>IF(COUNTA(A418:G418)=0,"",IF(C418&lt;&gt;"",C418,IF(B418="","",IFERROR(INDEX(pr_des,MATCH(B418,pr_code,0))&amp;"",""))))</f>
        <v/>
      </c>
      <c r="I418" s="59" t="str">
        <f>IF(B418="","",IFERROR(INDEX(pr_unit,MATCH(B418,pr_code,0))&amp;"",""))</f>
        <v/>
      </c>
      <c r="J418" s="65" t="str">
        <f>IF(COUNTA(A418:G418)=0,"",IF(E418&lt;&gt;"",E418,IF(B418="","",IFERROR(IF(INDEX(pr_price,MATCH(B418,pr_code,0))="","",INDEX(pr_price,MATCH(B418,pr_code,0))),""))))</f>
        <v/>
      </c>
      <c r="K418" s="71" t="str">
        <f>IF(COUNTA(A418:G418)=0,"",IF(G418&lt;&gt;"",G418,IF(B418="","",IFERROR(IF(INDEX(pr_rate,MATCH(B418,pr_code,0))="","",INDEX(pr_rate,MATCH(B418,pr_code,0))),""))))</f>
        <v/>
      </c>
      <c r="L418" s="65" t="str">
        <f>IF(COUNTA(A418:G418)=0,"",IF(AND(ISNUMBER(D418),ISNUMBER(J418)),ROUND(D418*J418*(1-N(F418)),2),0))</f>
        <v/>
      </c>
      <c r="M418" s="62" t="str">
        <f>IF(A418="","",IFERROR(INDEX(dv_cname,MATCH(A418,dv_num,0))&amp;"",""))</f>
        <v/>
      </c>
      <c r="N418" s="59" t="str">
        <f>IF(COUNTA(A418:G418)=0,"",IF(A418="","N° devis manquant",IF(ISNA(MATCH(A418,dv_num,0)),"Devis inconnu",IF(AND(B418&lt;&gt;"",ISNA(MATCH(B418,pr_code,0))),"Article inconnu",IF(H418="","Désignation manquante",IF(OR(NOT(ISNUMBER(D418)),N(D418)&lt;=0),"Quantité invalide",IF(J418="","Prix manquant",IF(OR(NOT(ISNUMBER(J418)),N(J418)&lt;0),"Prix invalide",IF(OR(AND(F418&lt;&gt;"",NOT(ISNUMBER(F418))),N(F418)&lt;0,N(F418)&gt;1),"Remise invalide",IF(K418="","Taux de TVA manquant",IF(NOT(ISNUMBER(K418)),"Taux de TVA invalide",IF(COUNTIF(p_rates,K418)=0,"Taux de TVA hors liste (Paramètres)",IF(N(O418)&gt;25,"Au-delà de 25 lignes : non imprimée","OK")))))))))))))</f>
        <v/>
      </c>
      <c r="O418" s="59" t="str">
        <f>IF(A418="","",COUNTIF($A$6:A418,A418))</f>
        <v/>
      </c>
      <c r="P418" s="62" t="str">
        <f>IF(A418="","",A418&amp;"|"&amp;O418)</f>
        <v/>
      </c>
    </row>
    <row r="419">
      <c r="A419" s="60" t="n"/>
      <c r="B419" s="63" t="n"/>
      <c r="C419" s="63" t="n"/>
      <c r="D419" s="67" t="n"/>
      <c r="E419" s="68" t="n"/>
      <c r="F419" s="69" t="n"/>
      <c r="G419" s="70" t="n"/>
      <c r="H419" s="62" t="str">
        <f>IF(COUNTA(A419:G419)=0,"",IF(C419&lt;&gt;"",C419,IF(B419="","",IFERROR(INDEX(pr_des,MATCH(B419,pr_code,0))&amp;"",""))))</f>
        <v/>
      </c>
      <c r="I419" s="59" t="str">
        <f>IF(B419="","",IFERROR(INDEX(pr_unit,MATCH(B419,pr_code,0))&amp;"",""))</f>
        <v/>
      </c>
      <c r="J419" s="65" t="str">
        <f>IF(COUNTA(A419:G419)=0,"",IF(E419&lt;&gt;"",E419,IF(B419="","",IFERROR(IF(INDEX(pr_price,MATCH(B419,pr_code,0))="","",INDEX(pr_price,MATCH(B419,pr_code,0))),""))))</f>
        <v/>
      </c>
      <c r="K419" s="71" t="str">
        <f>IF(COUNTA(A419:G419)=0,"",IF(G419&lt;&gt;"",G419,IF(B419="","",IFERROR(IF(INDEX(pr_rate,MATCH(B419,pr_code,0))="","",INDEX(pr_rate,MATCH(B419,pr_code,0))),""))))</f>
        <v/>
      </c>
      <c r="L419" s="65" t="str">
        <f>IF(COUNTA(A419:G419)=0,"",IF(AND(ISNUMBER(D419),ISNUMBER(J419)),ROUND(D419*J419*(1-N(F419)),2),0))</f>
        <v/>
      </c>
      <c r="M419" s="62" t="str">
        <f>IF(A419="","",IFERROR(INDEX(dv_cname,MATCH(A419,dv_num,0))&amp;"",""))</f>
        <v/>
      </c>
      <c r="N419" s="59" t="str">
        <f>IF(COUNTA(A419:G419)=0,"",IF(A419="","N° devis manquant",IF(ISNA(MATCH(A419,dv_num,0)),"Devis inconnu",IF(AND(B419&lt;&gt;"",ISNA(MATCH(B419,pr_code,0))),"Article inconnu",IF(H419="","Désignation manquante",IF(OR(NOT(ISNUMBER(D419)),N(D419)&lt;=0),"Quantité invalide",IF(J419="","Prix manquant",IF(OR(NOT(ISNUMBER(J419)),N(J419)&lt;0),"Prix invalide",IF(OR(AND(F419&lt;&gt;"",NOT(ISNUMBER(F419))),N(F419)&lt;0,N(F419)&gt;1),"Remise invalide",IF(K419="","Taux de TVA manquant",IF(NOT(ISNUMBER(K419)),"Taux de TVA invalide",IF(COUNTIF(p_rates,K419)=0,"Taux de TVA hors liste (Paramètres)",IF(N(O419)&gt;25,"Au-delà de 25 lignes : non imprimée","OK")))))))))))))</f>
        <v/>
      </c>
      <c r="O419" s="59" t="str">
        <f>IF(A419="","",COUNTIF($A$6:A419,A419))</f>
        <v/>
      </c>
      <c r="P419" s="62" t="str">
        <f>IF(A419="","",A419&amp;"|"&amp;O419)</f>
        <v/>
      </c>
    </row>
    <row r="420">
      <c r="A420" s="60" t="n"/>
      <c r="B420" s="63" t="n"/>
      <c r="C420" s="63" t="n"/>
      <c r="D420" s="67" t="n"/>
      <c r="E420" s="68" t="n"/>
      <c r="F420" s="69" t="n"/>
      <c r="G420" s="70" t="n"/>
      <c r="H420" s="62" t="str">
        <f>IF(COUNTA(A420:G420)=0,"",IF(C420&lt;&gt;"",C420,IF(B420="","",IFERROR(INDEX(pr_des,MATCH(B420,pr_code,0))&amp;"",""))))</f>
        <v/>
      </c>
      <c r="I420" s="59" t="str">
        <f>IF(B420="","",IFERROR(INDEX(pr_unit,MATCH(B420,pr_code,0))&amp;"",""))</f>
        <v/>
      </c>
      <c r="J420" s="65" t="str">
        <f>IF(COUNTA(A420:G420)=0,"",IF(E420&lt;&gt;"",E420,IF(B420="","",IFERROR(IF(INDEX(pr_price,MATCH(B420,pr_code,0))="","",INDEX(pr_price,MATCH(B420,pr_code,0))),""))))</f>
        <v/>
      </c>
      <c r="K420" s="71" t="str">
        <f>IF(COUNTA(A420:G420)=0,"",IF(G420&lt;&gt;"",G420,IF(B420="","",IFERROR(IF(INDEX(pr_rate,MATCH(B420,pr_code,0))="","",INDEX(pr_rate,MATCH(B420,pr_code,0))),""))))</f>
        <v/>
      </c>
      <c r="L420" s="65" t="str">
        <f>IF(COUNTA(A420:G420)=0,"",IF(AND(ISNUMBER(D420),ISNUMBER(J420)),ROUND(D420*J420*(1-N(F420)),2),0))</f>
        <v/>
      </c>
      <c r="M420" s="62" t="str">
        <f>IF(A420="","",IFERROR(INDEX(dv_cname,MATCH(A420,dv_num,0))&amp;"",""))</f>
        <v/>
      </c>
      <c r="N420" s="59" t="str">
        <f>IF(COUNTA(A420:G420)=0,"",IF(A420="","N° devis manquant",IF(ISNA(MATCH(A420,dv_num,0)),"Devis inconnu",IF(AND(B420&lt;&gt;"",ISNA(MATCH(B420,pr_code,0))),"Article inconnu",IF(H420="","Désignation manquante",IF(OR(NOT(ISNUMBER(D420)),N(D420)&lt;=0),"Quantité invalide",IF(J420="","Prix manquant",IF(OR(NOT(ISNUMBER(J420)),N(J420)&lt;0),"Prix invalide",IF(OR(AND(F420&lt;&gt;"",NOT(ISNUMBER(F420))),N(F420)&lt;0,N(F420)&gt;1),"Remise invalide",IF(K420="","Taux de TVA manquant",IF(NOT(ISNUMBER(K420)),"Taux de TVA invalide",IF(COUNTIF(p_rates,K420)=0,"Taux de TVA hors liste (Paramètres)",IF(N(O420)&gt;25,"Au-delà de 25 lignes : non imprimée","OK")))))))))))))</f>
        <v/>
      </c>
      <c r="O420" s="59" t="str">
        <f>IF(A420="","",COUNTIF($A$6:A420,A420))</f>
        <v/>
      </c>
      <c r="P420" s="62" t="str">
        <f>IF(A420="","",A420&amp;"|"&amp;O420)</f>
        <v/>
      </c>
    </row>
    <row r="421">
      <c r="A421" s="60" t="n"/>
      <c r="B421" s="63" t="n"/>
      <c r="C421" s="63" t="n"/>
      <c r="D421" s="67" t="n"/>
      <c r="E421" s="68" t="n"/>
      <c r="F421" s="69" t="n"/>
      <c r="G421" s="70" t="n"/>
      <c r="H421" s="62" t="str">
        <f>IF(COUNTA(A421:G421)=0,"",IF(C421&lt;&gt;"",C421,IF(B421="","",IFERROR(INDEX(pr_des,MATCH(B421,pr_code,0))&amp;"",""))))</f>
        <v/>
      </c>
      <c r="I421" s="59" t="str">
        <f>IF(B421="","",IFERROR(INDEX(pr_unit,MATCH(B421,pr_code,0))&amp;"",""))</f>
        <v/>
      </c>
      <c r="J421" s="65" t="str">
        <f>IF(COUNTA(A421:G421)=0,"",IF(E421&lt;&gt;"",E421,IF(B421="","",IFERROR(IF(INDEX(pr_price,MATCH(B421,pr_code,0))="","",INDEX(pr_price,MATCH(B421,pr_code,0))),""))))</f>
        <v/>
      </c>
      <c r="K421" s="71" t="str">
        <f>IF(COUNTA(A421:G421)=0,"",IF(G421&lt;&gt;"",G421,IF(B421="","",IFERROR(IF(INDEX(pr_rate,MATCH(B421,pr_code,0))="","",INDEX(pr_rate,MATCH(B421,pr_code,0))),""))))</f>
        <v/>
      </c>
      <c r="L421" s="65" t="str">
        <f>IF(COUNTA(A421:G421)=0,"",IF(AND(ISNUMBER(D421),ISNUMBER(J421)),ROUND(D421*J421*(1-N(F421)),2),0))</f>
        <v/>
      </c>
      <c r="M421" s="62" t="str">
        <f>IF(A421="","",IFERROR(INDEX(dv_cname,MATCH(A421,dv_num,0))&amp;"",""))</f>
        <v/>
      </c>
      <c r="N421" s="59" t="str">
        <f>IF(COUNTA(A421:G421)=0,"",IF(A421="","N° devis manquant",IF(ISNA(MATCH(A421,dv_num,0)),"Devis inconnu",IF(AND(B421&lt;&gt;"",ISNA(MATCH(B421,pr_code,0))),"Article inconnu",IF(H421="","Désignation manquante",IF(OR(NOT(ISNUMBER(D421)),N(D421)&lt;=0),"Quantité invalide",IF(J421="","Prix manquant",IF(OR(NOT(ISNUMBER(J421)),N(J421)&lt;0),"Prix invalide",IF(OR(AND(F421&lt;&gt;"",NOT(ISNUMBER(F421))),N(F421)&lt;0,N(F421)&gt;1),"Remise invalide",IF(K421="","Taux de TVA manquant",IF(NOT(ISNUMBER(K421)),"Taux de TVA invalide",IF(COUNTIF(p_rates,K421)=0,"Taux de TVA hors liste (Paramètres)",IF(N(O421)&gt;25,"Au-delà de 25 lignes : non imprimée","OK")))))))))))))</f>
        <v/>
      </c>
      <c r="O421" s="59" t="str">
        <f>IF(A421="","",COUNTIF($A$6:A421,A421))</f>
        <v/>
      </c>
      <c r="P421" s="62" t="str">
        <f>IF(A421="","",A421&amp;"|"&amp;O421)</f>
        <v/>
      </c>
    </row>
    <row r="422">
      <c r="A422" s="60" t="n"/>
      <c r="B422" s="63" t="n"/>
      <c r="C422" s="63" t="n"/>
      <c r="D422" s="67" t="n"/>
      <c r="E422" s="68" t="n"/>
      <c r="F422" s="69" t="n"/>
      <c r="G422" s="70" t="n"/>
      <c r="H422" s="62" t="str">
        <f>IF(COUNTA(A422:G422)=0,"",IF(C422&lt;&gt;"",C422,IF(B422="","",IFERROR(INDEX(pr_des,MATCH(B422,pr_code,0))&amp;"",""))))</f>
        <v/>
      </c>
      <c r="I422" s="59" t="str">
        <f>IF(B422="","",IFERROR(INDEX(pr_unit,MATCH(B422,pr_code,0))&amp;"",""))</f>
        <v/>
      </c>
      <c r="J422" s="65" t="str">
        <f>IF(COUNTA(A422:G422)=0,"",IF(E422&lt;&gt;"",E422,IF(B422="","",IFERROR(IF(INDEX(pr_price,MATCH(B422,pr_code,0))="","",INDEX(pr_price,MATCH(B422,pr_code,0))),""))))</f>
        <v/>
      </c>
      <c r="K422" s="71" t="str">
        <f>IF(COUNTA(A422:G422)=0,"",IF(G422&lt;&gt;"",G422,IF(B422="","",IFERROR(IF(INDEX(pr_rate,MATCH(B422,pr_code,0))="","",INDEX(pr_rate,MATCH(B422,pr_code,0))),""))))</f>
        <v/>
      </c>
      <c r="L422" s="65" t="str">
        <f>IF(COUNTA(A422:G422)=0,"",IF(AND(ISNUMBER(D422),ISNUMBER(J422)),ROUND(D422*J422*(1-N(F422)),2),0))</f>
        <v/>
      </c>
      <c r="M422" s="62" t="str">
        <f>IF(A422="","",IFERROR(INDEX(dv_cname,MATCH(A422,dv_num,0))&amp;"",""))</f>
        <v/>
      </c>
      <c r="N422" s="59" t="str">
        <f>IF(COUNTA(A422:G422)=0,"",IF(A422="","N° devis manquant",IF(ISNA(MATCH(A422,dv_num,0)),"Devis inconnu",IF(AND(B422&lt;&gt;"",ISNA(MATCH(B422,pr_code,0))),"Article inconnu",IF(H422="","Désignation manquante",IF(OR(NOT(ISNUMBER(D422)),N(D422)&lt;=0),"Quantité invalide",IF(J422="","Prix manquant",IF(OR(NOT(ISNUMBER(J422)),N(J422)&lt;0),"Prix invalide",IF(OR(AND(F422&lt;&gt;"",NOT(ISNUMBER(F422))),N(F422)&lt;0,N(F422)&gt;1),"Remise invalide",IF(K422="","Taux de TVA manquant",IF(NOT(ISNUMBER(K422)),"Taux de TVA invalide",IF(COUNTIF(p_rates,K422)=0,"Taux de TVA hors liste (Paramètres)",IF(N(O422)&gt;25,"Au-delà de 25 lignes : non imprimée","OK")))))))))))))</f>
        <v/>
      </c>
      <c r="O422" s="59" t="str">
        <f>IF(A422="","",COUNTIF($A$6:A422,A422))</f>
        <v/>
      </c>
      <c r="P422" s="62" t="str">
        <f>IF(A422="","",A422&amp;"|"&amp;O422)</f>
        <v/>
      </c>
    </row>
    <row r="423">
      <c r="A423" s="60" t="n"/>
      <c r="B423" s="63" t="n"/>
      <c r="C423" s="63" t="n"/>
      <c r="D423" s="67" t="n"/>
      <c r="E423" s="68" t="n"/>
      <c r="F423" s="69" t="n"/>
      <c r="G423" s="70" t="n"/>
      <c r="H423" s="62" t="str">
        <f>IF(COUNTA(A423:G423)=0,"",IF(C423&lt;&gt;"",C423,IF(B423="","",IFERROR(INDEX(pr_des,MATCH(B423,pr_code,0))&amp;"",""))))</f>
        <v/>
      </c>
      <c r="I423" s="59" t="str">
        <f>IF(B423="","",IFERROR(INDEX(pr_unit,MATCH(B423,pr_code,0))&amp;"",""))</f>
        <v/>
      </c>
      <c r="J423" s="65" t="str">
        <f>IF(COUNTA(A423:G423)=0,"",IF(E423&lt;&gt;"",E423,IF(B423="","",IFERROR(IF(INDEX(pr_price,MATCH(B423,pr_code,0))="","",INDEX(pr_price,MATCH(B423,pr_code,0))),""))))</f>
        <v/>
      </c>
      <c r="K423" s="71" t="str">
        <f>IF(COUNTA(A423:G423)=0,"",IF(G423&lt;&gt;"",G423,IF(B423="","",IFERROR(IF(INDEX(pr_rate,MATCH(B423,pr_code,0))="","",INDEX(pr_rate,MATCH(B423,pr_code,0))),""))))</f>
        <v/>
      </c>
      <c r="L423" s="65" t="str">
        <f>IF(COUNTA(A423:G423)=0,"",IF(AND(ISNUMBER(D423),ISNUMBER(J423)),ROUND(D423*J423*(1-N(F423)),2),0))</f>
        <v/>
      </c>
      <c r="M423" s="62" t="str">
        <f>IF(A423="","",IFERROR(INDEX(dv_cname,MATCH(A423,dv_num,0))&amp;"",""))</f>
        <v/>
      </c>
      <c r="N423" s="59" t="str">
        <f>IF(COUNTA(A423:G423)=0,"",IF(A423="","N° devis manquant",IF(ISNA(MATCH(A423,dv_num,0)),"Devis inconnu",IF(AND(B423&lt;&gt;"",ISNA(MATCH(B423,pr_code,0))),"Article inconnu",IF(H423="","Désignation manquante",IF(OR(NOT(ISNUMBER(D423)),N(D423)&lt;=0),"Quantité invalide",IF(J423="","Prix manquant",IF(OR(NOT(ISNUMBER(J423)),N(J423)&lt;0),"Prix invalide",IF(OR(AND(F423&lt;&gt;"",NOT(ISNUMBER(F423))),N(F423)&lt;0,N(F423)&gt;1),"Remise invalide",IF(K423="","Taux de TVA manquant",IF(NOT(ISNUMBER(K423)),"Taux de TVA invalide",IF(COUNTIF(p_rates,K423)=0,"Taux de TVA hors liste (Paramètres)",IF(N(O423)&gt;25,"Au-delà de 25 lignes : non imprimée","OK")))))))))))))</f>
        <v/>
      </c>
      <c r="O423" s="59" t="str">
        <f>IF(A423="","",COUNTIF($A$6:A423,A423))</f>
        <v/>
      </c>
      <c r="P423" s="62" t="str">
        <f>IF(A423="","",A423&amp;"|"&amp;O423)</f>
        <v/>
      </c>
    </row>
    <row r="424">
      <c r="A424" s="60" t="n"/>
      <c r="B424" s="63" t="n"/>
      <c r="C424" s="63" t="n"/>
      <c r="D424" s="67" t="n"/>
      <c r="E424" s="68" t="n"/>
      <c r="F424" s="69" t="n"/>
      <c r="G424" s="70" t="n"/>
      <c r="H424" s="62" t="str">
        <f>IF(COUNTA(A424:G424)=0,"",IF(C424&lt;&gt;"",C424,IF(B424="","",IFERROR(INDEX(pr_des,MATCH(B424,pr_code,0))&amp;"",""))))</f>
        <v/>
      </c>
      <c r="I424" s="59" t="str">
        <f>IF(B424="","",IFERROR(INDEX(pr_unit,MATCH(B424,pr_code,0))&amp;"",""))</f>
        <v/>
      </c>
      <c r="J424" s="65" t="str">
        <f>IF(COUNTA(A424:G424)=0,"",IF(E424&lt;&gt;"",E424,IF(B424="","",IFERROR(IF(INDEX(pr_price,MATCH(B424,pr_code,0))="","",INDEX(pr_price,MATCH(B424,pr_code,0))),""))))</f>
        <v/>
      </c>
      <c r="K424" s="71" t="str">
        <f>IF(COUNTA(A424:G424)=0,"",IF(G424&lt;&gt;"",G424,IF(B424="","",IFERROR(IF(INDEX(pr_rate,MATCH(B424,pr_code,0))="","",INDEX(pr_rate,MATCH(B424,pr_code,0))),""))))</f>
        <v/>
      </c>
      <c r="L424" s="65" t="str">
        <f>IF(COUNTA(A424:G424)=0,"",IF(AND(ISNUMBER(D424),ISNUMBER(J424)),ROUND(D424*J424*(1-N(F424)),2),0))</f>
        <v/>
      </c>
      <c r="M424" s="62" t="str">
        <f>IF(A424="","",IFERROR(INDEX(dv_cname,MATCH(A424,dv_num,0))&amp;"",""))</f>
        <v/>
      </c>
      <c r="N424" s="59" t="str">
        <f>IF(COUNTA(A424:G424)=0,"",IF(A424="","N° devis manquant",IF(ISNA(MATCH(A424,dv_num,0)),"Devis inconnu",IF(AND(B424&lt;&gt;"",ISNA(MATCH(B424,pr_code,0))),"Article inconnu",IF(H424="","Désignation manquante",IF(OR(NOT(ISNUMBER(D424)),N(D424)&lt;=0),"Quantité invalide",IF(J424="","Prix manquant",IF(OR(NOT(ISNUMBER(J424)),N(J424)&lt;0),"Prix invalide",IF(OR(AND(F424&lt;&gt;"",NOT(ISNUMBER(F424))),N(F424)&lt;0,N(F424)&gt;1),"Remise invalide",IF(K424="","Taux de TVA manquant",IF(NOT(ISNUMBER(K424)),"Taux de TVA invalide",IF(COUNTIF(p_rates,K424)=0,"Taux de TVA hors liste (Paramètres)",IF(N(O424)&gt;25,"Au-delà de 25 lignes : non imprimée","OK")))))))))))))</f>
        <v/>
      </c>
      <c r="O424" s="59" t="str">
        <f>IF(A424="","",COUNTIF($A$6:A424,A424))</f>
        <v/>
      </c>
      <c r="P424" s="62" t="str">
        <f>IF(A424="","",A424&amp;"|"&amp;O424)</f>
        <v/>
      </c>
    </row>
    <row r="425">
      <c r="A425" s="60" t="n"/>
      <c r="B425" s="63" t="n"/>
      <c r="C425" s="63" t="n"/>
      <c r="D425" s="67" t="n"/>
      <c r="E425" s="68" t="n"/>
      <c r="F425" s="69" t="n"/>
      <c r="G425" s="70" t="n"/>
      <c r="H425" s="62" t="str">
        <f>IF(COUNTA(A425:G425)=0,"",IF(C425&lt;&gt;"",C425,IF(B425="","",IFERROR(INDEX(pr_des,MATCH(B425,pr_code,0))&amp;"",""))))</f>
        <v/>
      </c>
      <c r="I425" s="59" t="str">
        <f>IF(B425="","",IFERROR(INDEX(pr_unit,MATCH(B425,pr_code,0))&amp;"",""))</f>
        <v/>
      </c>
      <c r="J425" s="65" t="str">
        <f>IF(COUNTA(A425:G425)=0,"",IF(E425&lt;&gt;"",E425,IF(B425="","",IFERROR(IF(INDEX(pr_price,MATCH(B425,pr_code,0))="","",INDEX(pr_price,MATCH(B425,pr_code,0))),""))))</f>
        <v/>
      </c>
      <c r="K425" s="71" t="str">
        <f>IF(COUNTA(A425:G425)=0,"",IF(G425&lt;&gt;"",G425,IF(B425="","",IFERROR(IF(INDEX(pr_rate,MATCH(B425,pr_code,0))="","",INDEX(pr_rate,MATCH(B425,pr_code,0))),""))))</f>
        <v/>
      </c>
      <c r="L425" s="65" t="str">
        <f>IF(COUNTA(A425:G425)=0,"",IF(AND(ISNUMBER(D425),ISNUMBER(J425)),ROUND(D425*J425*(1-N(F425)),2),0))</f>
        <v/>
      </c>
      <c r="M425" s="62" t="str">
        <f>IF(A425="","",IFERROR(INDEX(dv_cname,MATCH(A425,dv_num,0))&amp;"",""))</f>
        <v/>
      </c>
      <c r="N425" s="59" t="str">
        <f>IF(COUNTA(A425:G425)=0,"",IF(A425="","N° devis manquant",IF(ISNA(MATCH(A425,dv_num,0)),"Devis inconnu",IF(AND(B425&lt;&gt;"",ISNA(MATCH(B425,pr_code,0))),"Article inconnu",IF(H425="","Désignation manquante",IF(OR(NOT(ISNUMBER(D425)),N(D425)&lt;=0),"Quantité invalide",IF(J425="","Prix manquant",IF(OR(NOT(ISNUMBER(J425)),N(J425)&lt;0),"Prix invalide",IF(OR(AND(F425&lt;&gt;"",NOT(ISNUMBER(F425))),N(F425)&lt;0,N(F425)&gt;1),"Remise invalide",IF(K425="","Taux de TVA manquant",IF(NOT(ISNUMBER(K425)),"Taux de TVA invalide",IF(COUNTIF(p_rates,K425)=0,"Taux de TVA hors liste (Paramètres)",IF(N(O425)&gt;25,"Au-delà de 25 lignes : non imprimée","OK")))))))))))))</f>
        <v/>
      </c>
      <c r="O425" s="59" t="str">
        <f>IF(A425="","",COUNTIF($A$6:A425,A425))</f>
        <v/>
      </c>
      <c r="P425" s="62" t="str">
        <f>IF(A425="","",A425&amp;"|"&amp;O425)</f>
        <v/>
      </c>
    </row>
    <row r="426">
      <c r="A426" s="60" t="n"/>
      <c r="B426" s="63" t="n"/>
      <c r="C426" s="63" t="n"/>
      <c r="D426" s="67" t="n"/>
      <c r="E426" s="68" t="n"/>
      <c r="F426" s="69" t="n"/>
      <c r="G426" s="70" t="n"/>
      <c r="H426" s="62" t="str">
        <f>IF(COUNTA(A426:G426)=0,"",IF(C426&lt;&gt;"",C426,IF(B426="","",IFERROR(INDEX(pr_des,MATCH(B426,pr_code,0))&amp;"",""))))</f>
        <v/>
      </c>
      <c r="I426" s="59" t="str">
        <f>IF(B426="","",IFERROR(INDEX(pr_unit,MATCH(B426,pr_code,0))&amp;"",""))</f>
        <v/>
      </c>
      <c r="J426" s="65" t="str">
        <f>IF(COUNTA(A426:G426)=0,"",IF(E426&lt;&gt;"",E426,IF(B426="","",IFERROR(IF(INDEX(pr_price,MATCH(B426,pr_code,0))="","",INDEX(pr_price,MATCH(B426,pr_code,0))),""))))</f>
        <v/>
      </c>
      <c r="K426" s="71" t="str">
        <f>IF(COUNTA(A426:G426)=0,"",IF(G426&lt;&gt;"",G426,IF(B426="","",IFERROR(IF(INDEX(pr_rate,MATCH(B426,pr_code,0))="","",INDEX(pr_rate,MATCH(B426,pr_code,0))),""))))</f>
        <v/>
      </c>
      <c r="L426" s="65" t="str">
        <f>IF(COUNTA(A426:G426)=0,"",IF(AND(ISNUMBER(D426),ISNUMBER(J426)),ROUND(D426*J426*(1-N(F426)),2),0))</f>
        <v/>
      </c>
      <c r="M426" s="62" t="str">
        <f>IF(A426="","",IFERROR(INDEX(dv_cname,MATCH(A426,dv_num,0))&amp;"",""))</f>
        <v/>
      </c>
      <c r="N426" s="59" t="str">
        <f>IF(COUNTA(A426:G426)=0,"",IF(A426="","N° devis manquant",IF(ISNA(MATCH(A426,dv_num,0)),"Devis inconnu",IF(AND(B426&lt;&gt;"",ISNA(MATCH(B426,pr_code,0))),"Article inconnu",IF(H426="","Désignation manquante",IF(OR(NOT(ISNUMBER(D426)),N(D426)&lt;=0),"Quantité invalide",IF(J426="","Prix manquant",IF(OR(NOT(ISNUMBER(J426)),N(J426)&lt;0),"Prix invalide",IF(OR(AND(F426&lt;&gt;"",NOT(ISNUMBER(F426))),N(F426)&lt;0,N(F426)&gt;1),"Remise invalide",IF(K426="","Taux de TVA manquant",IF(NOT(ISNUMBER(K426)),"Taux de TVA invalide",IF(COUNTIF(p_rates,K426)=0,"Taux de TVA hors liste (Paramètres)",IF(N(O426)&gt;25,"Au-delà de 25 lignes : non imprimée","OK")))))))))))))</f>
        <v/>
      </c>
      <c r="O426" s="59" t="str">
        <f>IF(A426="","",COUNTIF($A$6:A426,A426))</f>
        <v/>
      </c>
      <c r="P426" s="62" t="str">
        <f>IF(A426="","",A426&amp;"|"&amp;O426)</f>
        <v/>
      </c>
    </row>
    <row r="427">
      <c r="A427" s="60" t="n"/>
      <c r="B427" s="63" t="n"/>
      <c r="C427" s="63" t="n"/>
      <c r="D427" s="67" t="n"/>
      <c r="E427" s="68" t="n"/>
      <c r="F427" s="69" t="n"/>
      <c r="G427" s="70" t="n"/>
      <c r="H427" s="62" t="str">
        <f>IF(COUNTA(A427:G427)=0,"",IF(C427&lt;&gt;"",C427,IF(B427="","",IFERROR(INDEX(pr_des,MATCH(B427,pr_code,0))&amp;"",""))))</f>
        <v/>
      </c>
      <c r="I427" s="59" t="str">
        <f>IF(B427="","",IFERROR(INDEX(pr_unit,MATCH(B427,pr_code,0))&amp;"",""))</f>
        <v/>
      </c>
      <c r="J427" s="65" t="str">
        <f>IF(COUNTA(A427:G427)=0,"",IF(E427&lt;&gt;"",E427,IF(B427="","",IFERROR(IF(INDEX(pr_price,MATCH(B427,pr_code,0))="","",INDEX(pr_price,MATCH(B427,pr_code,0))),""))))</f>
        <v/>
      </c>
      <c r="K427" s="71" t="str">
        <f>IF(COUNTA(A427:G427)=0,"",IF(G427&lt;&gt;"",G427,IF(B427="","",IFERROR(IF(INDEX(pr_rate,MATCH(B427,pr_code,0))="","",INDEX(pr_rate,MATCH(B427,pr_code,0))),""))))</f>
        <v/>
      </c>
      <c r="L427" s="65" t="str">
        <f>IF(COUNTA(A427:G427)=0,"",IF(AND(ISNUMBER(D427),ISNUMBER(J427)),ROUND(D427*J427*(1-N(F427)),2),0))</f>
        <v/>
      </c>
      <c r="M427" s="62" t="str">
        <f>IF(A427="","",IFERROR(INDEX(dv_cname,MATCH(A427,dv_num,0))&amp;"",""))</f>
        <v/>
      </c>
      <c r="N427" s="59" t="str">
        <f>IF(COUNTA(A427:G427)=0,"",IF(A427="","N° devis manquant",IF(ISNA(MATCH(A427,dv_num,0)),"Devis inconnu",IF(AND(B427&lt;&gt;"",ISNA(MATCH(B427,pr_code,0))),"Article inconnu",IF(H427="","Désignation manquante",IF(OR(NOT(ISNUMBER(D427)),N(D427)&lt;=0),"Quantité invalide",IF(J427="","Prix manquant",IF(OR(NOT(ISNUMBER(J427)),N(J427)&lt;0),"Prix invalide",IF(OR(AND(F427&lt;&gt;"",NOT(ISNUMBER(F427))),N(F427)&lt;0,N(F427)&gt;1),"Remise invalide",IF(K427="","Taux de TVA manquant",IF(NOT(ISNUMBER(K427)),"Taux de TVA invalide",IF(COUNTIF(p_rates,K427)=0,"Taux de TVA hors liste (Paramètres)",IF(N(O427)&gt;25,"Au-delà de 25 lignes : non imprimée","OK")))))))))))))</f>
        <v/>
      </c>
      <c r="O427" s="59" t="str">
        <f>IF(A427="","",COUNTIF($A$6:A427,A427))</f>
        <v/>
      </c>
      <c r="P427" s="62" t="str">
        <f>IF(A427="","",A427&amp;"|"&amp;O427)</f>
        <v/>
      </c>
    </row>
    <row r="428">
      <c r="A428" s="60" t="n"/>
      <c r="B428" s="63" t="n"/>
      <c r="C428" s="63" t="n"/>
      <c r="D428" s="67" t="n"/>
      <c r="E428" s="68" t="n"/>
      <c r="F428" s="69" t="n"/>
      <c r="G428" s="70" t="n"/>
      <c r="H428" s="62" t="str">
        <f>IF(COUNTA(A428:G428)=0,"",IF(C428&lt;&gt;"",C428,IF(B428="","",IFERROR(INDEX(pr_des,MATCH(B428,pr_code,0))&amp;"",""))))</f>
        <v/>
      </c>
      <c r="I428" s="59" t="str">
        <f>IF(B428="","",IFERROR(INDEX(pr_unit,MATCH(B428,pr_code,0))&amp;"",""))</f>
        <v/>
      </c>
      <c r="J428" s="65" t="str">
        <f>IF(COUNTA(A428:G428)=0,"",IF(E428&lt;&gt;"",E428,IF(B428="","",IFERROR(IF(INDEX(pr_price,MATCH(B428,pr_code,0))="","",INDEX(pr_price,MATCH(B428,pr_code,0))),""))))</f>
        <v/>
      </c>
      <c r="K428" s="71" t="str">
        <f>IF(COUNTA(A428:G428)=0,"",IF(G428&lt;&gt;"",G428,IF(B428="","",IFERROR(IF(INDEX(pr_rate,MATCH(B428,pr_code,0))="","",INDEX(pr_rate,MATCH(B428,pr_code,0))),""))))</f>
        <v/>
      </c>
      <c r="L428" s="65" t="str">
        <f>IF(COUNTA(A428:G428)=0,"",IF(AND(ISNUMBER(D428),ISNUMBER(J428)),ROUND(D428*J428*(1-N(F428)),2),0))</f>
        <v/>
      </c>
      <c r="M428" s="62" t="str">
        <f>IF(A428="","",IFERROR(INDEX(dv_cname,MATCH(A428,dv_num,0))&amp;"",""))</f>
        <v/>
      </c>
      <c r="N428" s="59" t="str">
        <f>IF(COUNTA(A428:G428)=0,"",IF(A428="","N° devis manquant",IF(ISNA(MATCH(A428,dv_num,0)),"Devis inconnu",IF(AND(B428&lt;&gt;"",ISNA(MATCH(B428,pr_code,0))),"Article inconnu",IF(H428="","Désignation manquante",IF(OR(NOT(ISNUMBER(D428)),N(D428)&lt;=0),"Quantité invalide",IF(J428="","Prix manquant",IF(OR(NOT(ISNUMBER(J428)),N(J428)&lt;0),"Prix invalide",IF(OR(AND(F428&lt;&gt;"",NOT(ISNUMBER(F428))),N(F428)&lt;0,N(F428)&gt;1),"Remise invalide",IF(K428="","Taux de TVA manquant",IF(NOT(ISNUMBER(K428)),"Taux de TVA invalide",IF(COUNTIF(p_rates,K428)=0,"Taux de TVA hors liste (Paramètres)",IF(N(O428)&gt;25,"Au-delà de 25 lignes : non imprimée","OK")))))))))))))</f>
        <v/>
      </c>
      <c r="O428" s="59" t="str">
        <f>IF(A428="","",COUNTIF($A$6:A428,A428))</f>
        <v/>
      </c>
      <c r="P428" s="62" t="str">
        <f>IF(A428="","",A428&amp;"|"&amp;O428)</f>
        <v/>
      </c>
    </row>
    <row r="429">
      <c r="A429" s="60" t="n"/>
      <c r="B429" s="63" t="n"/>
      <c r="C429" s="63" t="n"/>
      <c r="D429" s="67" t="n"/>
      <c r="E429" s="68" t="n"/>
      <c r="F429" s="69" t="n"/>
      <c r="G429" s="70" t="n"/>
      <c r="H429" s="62" t="str">
        <f>IF(COUNTA(A429:G429)=0,"",IF(C429&lt;&gt;"",C429,IF(B429="","",IFERROR(INDEX(pr_des,MATCH(B429,pr_code,0))&amp;"",""))))</f>
        <v/>
      </c>
      <c r="I429" s="59" t="str">
        <f>IF(B429="","",IFERROR(INDEX(pr_unit,MATCH(B429,pr_code,0))&amp;"",""))</f>
        <v/>
      </c>
      <c r="J429" s="65" t="str">
        <f>IF(COUNTA(A429:G429)=0,"",IF(E429&lt;&gt;"",E429,IF(B429="","",IFERROR(IF(INDEX(pr_price,MATCH(B429,pr_code,0))="","",INDEX(pr_price,MATCH(B429,pr_code,0))),""))))</f>
        <v/>
      </c>
      <c r="K429" s="71" t="str">
        <f>IF(COUNTA(A429:G429)=0,"",IF(G429&lt;&gt;"",G429,IF(B429="","",IFERROR(IF(INDEX(pr_rate,MATCH(B429,pr_code,0))="","",INDEX(pr_rate,MATCH(B429,pr_code,0))),""))))</f>
        <v/>
      </c>
      <c r="L429" s="65" t="str">
        <f>IF(COUNTA(A429:G429)=0,"",IF(AND(ISNUMBER(D429),ISNUMBER(J429)),ROUND(D429*J429*(1-N(F429)),2),0))</f>
        <v/>
      </c>
      <c r="M429" s="62" t="str">
        <f>IF(A429="","",IFERROR(INDEX(dv_cname,MATCH(A429,dv_num,0))&amp;"",""))</f>
        <v/>
      </c>
      <c r="N429" s="59" t="str">
        <f>IF(COUNTA(A429:G429)=0,"",IF(A429="","N° devis manquant",IF(ISNA(MATCH(A429,dv_num,0)),"Devis inconnu",IF(AND(B429&lt;&gt;"",ISNA(MATCH(B429,pr_code,0))),"Article inconnu",IF(H429="","Désignation manquante",IF(OR(NOT(ISNUMBER(D429)),N(D429)&lt;=0),"Quantité invalide",IF(J429="","Prix manquant",IF(OR(NOT(ISNUMBER(J429)),N(J429)&lt;0),"Prix invalide",IF(OR(AND(F429&lt;&gt;"",NOT(ISNUMBER(F429))),N(F429)&lt;0,N(F429)&gt;1),"Remise invalide",IF(K429="","Taux de TVA manquant",IF(NOT(ISNUMBER(K429)),"Taux de TVA invalide",IF(COUNTIF(p_rates,K429)=0,"Taux de TVA hors liste (Paramètres)",IF(N(O429)&gt;25,"Au-delà de 25 lignes : non imprimée","OK")))))))))))))</f>
        <v/>
      </c>
      <c r="O429" s="59" t="str">
        <f>IF(A429="","",COUNTIF($A$6:A429,A429))</f>
        <v/>
      </c>
      <c r="P429" s="62" t="str">
        <f>IF(A429="","",A429&amp;"|"&amp;O429)</f>
        <v/>
      </c>
    </row>
    <row r="430">
      <c r="A430" s="60" t="n"/>
      <c r="B430" s="63" t="n"/>
      <c r="C430" s="63" t="n"/>
      <c r="D430" s="67" t="n"/>
      <c r="E430" s="68" t="n"/>
      <c r="F430" s="69" t="n"/>
      <c r="G430" s="70" t="n"/>
      <c r="H430" s="62" t="str">
        <f>IF(COUNTA(A430:G430)=0,"",IF(C430&lt;&gt;"",C430,IF(B430="","",IFERROR(INDEX(pr_des,MATCH(B430,pr_code,0))&amp;"",""))))</f>
        <v/>
      </c>
      <c r="I430" s="59" t="str">
        <f>IF(B430="","",IFERROR(INDEX(pr_unit,MATCH(B430,pr_code,0))&amp;"",""))</f>
        <v/>
      </c>
      <c r="J430" s="65" t="str">
        <f>IF(COUNTA(A430:G430)=0,"",IF(E430&lt;&gt;"",E430,IF(B430="","",IFERROR(IF(INDEX(pr_price,MATCH(B430,pr_code,0))="","",INDEX(pr_price,MATCH(B430,pr_code,0))),""))))</f>
        <v/>
      </c>
      <c r="K430" s="71" t="str">
        <f>IF(COUNTA(A430:G430)=0,"",IF(G430&lt;&gt;"",G430,IF(B430="","",IFERROR(IF(INDEX(pr_rate,MATCH(B430,pr_code,0))="","",INDEX(pr_rate,MATCH(B430,pr_code,0))),""))))</f>
        <v/>
      </c>
      <c r="L430" s="65" t="str">
        <f>IF(COUNTA(A430:G430)=0,"",IF(AND(ISNUMBER(D430),ISNUMBER(J430)),ROUND(D430*J430*(1-N(F430)),2),0))</f>
        <v/>
      </c>
      <c r="M430" s="62" t="str">
        <f>IF(A430="","",IFERROR(INDEX(dv_cname,MATCH(A430,dv_num,0))&amp;"",""))</f>
        <v/>
      </c>
      <c r="N430" s="59" t="str">
        <f>IF(COUNTA(A430:G430)=0,"",IF(A430="","N° devis manquant",IF(ISNA(MATCH(A430,dv_num,0)),"Devis inconnu",IF(AND(B430&lt;&gt;"",ISNA(MATCH(B430,pr_code,0))),"Article inconnu",IF(H430="","Désignation manquante",IF(OR(NOT(ISNUMBER(D430)),N(D430)&lt;=0),"Quantité invalide",IF(J430="","Prix manquant",IF(OR(NOT(ISNUMBER(J430)),N(J430)&lt;0),"Prix invalide",IF(OR(AND(F430&lt;&gt;"",NOT(ISNUMBER(F430))),N(F430)&lt;0,N(F430)&gt;1),"Remise invalide",IF(K430="","Taux de TVA manquant",IF(NOT(ISNUMBER(K430)),"Taux de TVA invalide",IF(COUNTIF(p_rates,K430)=0,"Taux de TVA hors liste (Paramètres)",IF(N(O430)&gt;25,"Au-delà de 25 lignes : non imprimée","OK")))))))))))))</f>
        <v/>
      </c>
      <c r="O430" s="59" t="str">
        <f>IF(A430="","",COUNTIF($A$6:A430,A430))</f>
        <v/>
      </c>
      <c r="P430" s="62" t="str">
        <f>IF(A430="","",A430&amp;"|"&amp;O430)</f>
        <v/>
      </c>
    </row>
    <row r="431">
      <c r="A431" s="60" t="n"/>
      <c r="B431" s="63" t="n"/>
      <c r="C431" s="63" t="n"/>
      <c r="D431" s="67" t="n"/>
      <c r="E431" s="68" t="n"/>
      <c r="F431" s="69" t="n"/>
      <c r="G431" s="70" t="n"/>
      <c r="H431" s="62" t="str">
        <f>IF(COUNTA(A431:G431)=0,"",IF(C431&lt;&gt;"",C431,IF(B431="","",IFERROR(INDEX(pr_des,MATCH(B431,pr_code,0))&amp;"",""))))</f>
        <v/>
      </c>
      <c r="I431" s="59" t="str">
        <f>IF(B431="","",IFERROR(INDEX(pr_unit,MATCH(B431,pr_code,0))&amp;"",""))</f>
        <v/>
      </c>
      <c r="J431" s="65" t="str">
        <f>IF(COUNTA(A431:G431)=0,"",IF(E431&lt;&gt;"",E431,IF(B431="","",IFERROR(IF(INDEX(pr_price,MATCH(B431,pr_code,0))="","",INDEX(pr_price,MATCH(B431,pr_code,0))),""))))</f>
        <v/>
      </c>
      <c r="K431" s="71" t="str">
        <f>IF(COUNTA(A431:G431)=0,"",IF(G431&lt;&gt;"",G431,IF(B431="","",IFERROR(IF(INDEX(pr_rate,MATCH(B431,pr_code,0))="","",INDEX(pr_rate,MATCH(B431,pr_code,0))),""))))</f>
        <v/>
      </c>
      <c r="L431" s="65" t="str">
        <f>IF(COUNTA(A431:G431)=0,"",IF(AND(ISNUMBER(D431),ISNUMBER(J431)),ROUND(D431*J431*(1-N(F431)),2),0))</f>
        <v/>
      </c>
      <c r="M431" s="62" t="str">
        <f>IF(A431="","",IFERROR(INDEX(dv_cname,MATCH(A431,dv_num,0))&amp;"",""))</f>
        <v/>
      </c>
      <c r="N431" s="59" t="str">
        <f>IF(COUNTA(A431:G431)=0,"",IF(A431="","N° devis manquant",IF(ISNA(MATCH(A431,dv_num,0)),"Devis inconnu",IF(AND(B431&lt;&gt;"",ISNA(MATCH(B431,pr_code,0))),"Article inconnu",IF(H431="","Désignation manquante",IF(OR(NOT(ISNUMBER(D431)),N(D431)&lt;=0),"Quantité invalide",IF(J431="","Prix manquant",IF(OR(NOT(ISNUMBER(J431)),N(J431)&lt;0),"Prix invalide",IF(OR(AND(F431&lt;&gt;"",NOT(ISNUMBER(F431))),N(F431)&lt;0,N(F431)&gt;1),"Remise invalide",IF(K431="","Taux de TVA manquant",IF(NOT(ISNUMBER(K431)),"Taux de TVA invalide",IF(COUNTIF(p_rates,K431)=0,"Taux de TVA hors liste (Paramètres)",IF(N(O431)&gt;25,"Au-delà de 25 lignes : non imprimée","OK")))))))))))))</f>
        <v/>
      </c>
      <c r="O431" s="59" t="str">
        <f>IF(A431="","",COUNTIF($A$6:A431,A431))</f>
        <v/>
      </c>
      <c r="P431" s="62" t="str">
        <f>IF(A431="","",A431&amp;"|"&amp;O431)</f>
        <v/>
      </c>
    </row>
    <row r="432">
      <c r="A432" s="60" t="n"/>
      <c r="B432" s="63" t="n"/>
      <c r="C432" s="63" t="n"/>
      <c r="D432" s="67" t="n"/>
      <c r="E432" s="68" t="n"/>
      <c r="F432" s="69" t="n"/>
      <c r="G432" s="70" t="n"/>
      <c r="H432" s="62" t="str">
        <f>IF(COUNTA(A432:G432)=0,"",IF(C432&lt;&gt;"",C432,IF(B432="","",IFERROR(INDEX(pr_des,MATCH(B432,pr_code,0))&amp;"",""))))</f>
        <v/>
      </c>
      <c r="I432" s="59" t="str">
        <f>IF(B432="","",IFERROR(INDEX(pr_unit,MATCH(B432,pr_code,0))&amp;"",""))</f>
        <v/>
      </c>
      <c r="J432" s="65" t="str">
        <f>IF(COUNTA(A432:G432)=0,"",IF(E432&lt;&gt;"",E432,IF(B432="","",IFERROR(IF(INDEX(pr_price,MATCH(B432,pr_code,0))="","",INDEX(pr_price,MATCH(B432,pr_code,0))),""))))</f>
        <v/>
      </c>
      <c r="K432" s="71" t="str">
        <f>IF(COUNTA(A432:G432)=0,"",IF(G432&lt;&gt;"",G432,IF(B432="","",IFERROR(IF(INDEX(pr_rate,MATCH(B432,pr_code,0))="","",INDEX(pr_rate,MATCH(B432,pr_code,0))),""))))</f>
        <v/>
      </c>
      <c r="L432" s="65" t="str">
        <f>IF(COUNTA(A432:G432)=0,"",IF(AND(ISNUMBER(D432),ISNUMBER(J432)),ROUND(D432*J432*(1-N(F432)),2),0))</f>
        <v/>
      </c>
      <c r="M432" s="62" t="str">
        <f>IF(A432="","",IFERROR(INDEX(dv_cname,MATCH(A432,dv_num,0))&amp;"",""))</f>
        <v/>
      </c>
      <c r="N432" s="59" t="str">
        <f>IF(COUNTA(A432:G432)=0,"",IF(A432="","N° devis manquant",IF(ISNA(MATCH(A432,dv_num,0)),"Devis inconnu",IF(AND(B432&lt;&gt;"",ISNA(MATCH(B432,pr_code,0))),"Article inconnu",IF(H432="","Désignation manquante",IF(OR(NOT(ISNUMBER(D432)),N(D432)&lt;=0),"Quantité invalide",IF(J432="","Prix manquant",IF(OR(NOT(ISNUMBER(J432)),N(J432)&lt;0),"Prix invalide",IF(OR(AND(F432&lt;&gt;"",NOT(ISNUMBER(F432))),N(F432)&lt;0,N(F432)&gt;1),"Remise invalide",IF(K432="","Taux de TVA manquant",IF(NOT(ISNUMBER(K432)),"Taux de TVA invalide",IF(COUNTIF(p_rates,K432)=0,"Taux de TVA hors liste (Paramètres)",IF(N(O432)&gt;25,"Au-delà de 25 lignes : non imprimée","OK")))))))))))))</f>
        <v/>
      </c>
      <c r="O432" s="59" t="str">
        <f>IF(A432="","",COUNTIF($A$6:A432,A432))</f>
        <v/>
      </c>
      <c r="P432" s="62" t="str">
        <f>IF(A432="","",A432&amp;"|"&amp;O432)</f>
        <v/>
      </c>
    </row>
    <row r="433">
      <c r="A433" s="60" t="n"/>
      <c r="B433" s="63" t="n"/>
      <c r="C433" s="63" t="n"/>
      <c r="D433" s="67" t="n"/>
      <c r="E433" s="68" t="n"/>
      <c r="F433" s="69" t="n"/>
      <c r="G433" s="70" t="n"/>
      <c r="H433" s="62" t="str">
        <f>IF(COUNTA(A433:G433)=0,"",IF(C433&lt;&gt;"",C433,IF(B433="","",IFERROR(INDEX(pr_des,MATCH(B433,pr_code,0))&amp;"",""))))</f>
        <v/>
      </c>
      <c r="I433" s="59" t="str">
        <f>IF(B433="","",IFERROR(INDEX(pr_unit,MATCH(B433,pr_code,0))&amp;"",""))</f>
        <v/>
      </c>
      <c r="J433" s="65" t="str">
        <f>IF(COUNTA(A433:G433)=0,"",IF(E433&lt;&gt;"",E433,IF(B433="","",IFERROR(IF(INDEX(pr_price,MATCH(B433,pr_code,0))="","",INDEX(pr_price,MATCH(B433,pr_code,0))),""))))</f>
        <v/>
      </c>
      <c r="K433" s="71" t="str">
        <f>IF(COUNTA(A433:G433)=0,"",IF(G433&lt;&gt;"",G433,IF(B433="","",IFERROR(IF(INDEX(pr_rate,MATCH(B433,pr_code,0))="","",INDEX(pr_rate,MATCH(B433,pr_code,0))),""))))</f>
        <v/>
      </c>
      <c r="L433" s="65" t="str">
        <f>IF(COUNTA(A433:G433)=0,"",IF(AND(ISNUMBER(D433),ISNUMBER(J433)),ROUND(D433*J433*(1-N(F433)),2),0))</f>
        <v/>
      </c>
      <c r="M433" s="62" t="str">
        <f>IF(A433="","",IFERROR(INDEX(dv_cname,MATCH(A433,dv_num,0))&amp;"",""))</f>
        <v/>
      </c>
      <c r="N433" s="59" t="str">
        <f>IF(COUNTA(A433:G433)=0,"",IF(A433="","N° devis manquant",IF(ISNA(MATCH(A433,dv_num,0)),"Devis inconnu",IF(AND(B433&lt;&gt;"",ISNA(MATCH(B433,pr_code,0))),"Article inconnu",IF(H433="","Désignation manquante",IF(OR(NOT(ISNUMBER(D433)),N(D433)&lt;=0),"Quantité invalide",IF(J433="","Prix manquant",IF(OR(NOT(ISNUMBER(J433)),N(J433)&lt;0),"Prix invalide",IF(OR(AND(F433&lt;&gt;"",NOT(ISNUMBER(F433))),N(F433)&lt;0,N(F433)&gt;1),"Remise invalide",IF(K433="","Taux de TVA manquant",IF(NOT(ISNUMBER(K433)),"Taux de TVA invalide",IF(COUNTIF(p_rates,K433)=0,"Taux de TVA hors liste (Paramètres)",IF(N(O433)&gt;25,"Au-delà de 25 lignes : non imprimée","OK")))))))))))))</f>
        <v/>
      </c>
      <c r="O433" s="59" t="str">
        <f>IF(A433="","",COUNTIF($A$6:A433,A433))</f>
        <v/>
      </c>
      <c r="P433" s="62" t="str">
        <f>IF(A433="","",A433&amp;"|"&amp;O433)</f>
        <v/>
      </c>
    </row>
    <row r="434">
      <c r="A434" s="60" t="n"/>
      <c r="B434" s="63" t="n"/>
      <c r="C434" s="63" t="n"/>
      <c r="D434" s="67" t="n"/>
      <c r="E434" s="68" t="n"/>
      <c r="F434" s="69" t="n"/>
      <c r="G434" s="70" t="n"/>
      <c r="H434" s="62" t="str">
        <f>IF(COUNTA(A434:G434)=0,"",IF(C434&lt;&gt;"",C434,IF(B434="","",IFERROR(INDEX(pr_des,MATCH(B434,pr_code,0))&amp;"",""))))</f>
        <v/>
      </c>
      <c r="I434" s="59" t="str">
        <f>IF(B434="","",IFERROR(INDEX(pr_unit,MATCH(B434,pr_code,0))&amp;"",""))</f>
        <v/>
      </c>
      <c r="J434" s="65" t="str">
        <f>IF(COUNTA(A434:G434)=0,"",IF(E434&lt;&gt;"",E434,IF(B434="","",IFERROR(IF(INDEX(pr_price,MATCH(B434,pr_code,0))="","",INDEX(pr_price,MATCH(B434,pr_code,0))),""))))</f>
        <v/>
      </c>
      <c r="K434" s="71" t="str">
        <f>IF(COUNTA(A434:G434)=0,"",IF(G434&lt;&gt;"",G434,IF(B434="","",IFERROR(IF(INDEX(pr_rate,MATCH(B434,pr_code,0))="","",INDEX(pr_rate,MATCH(B434,pr_code,0))),""))))</f>
        <v/>
      </c>
      <c r="L434" s="65" t="str">
        <f>IF(COUNTA(A434:G434)=0,"",IF(AND(ISNUMBER(D434),ISNUMBER(J434)),ROUND(D434*J434*(1-N(F434)),2),0))</f>
        <v/>
      </c>
      <c r="M434" s="62" t="str">
        <f>IF(A434="","",IFERROR(INDEX(dv_cname,MATCH(A434,dv_num,0))&amp;"",""))</f>
        <v/>
      </c>
      <c r="N434" s="59" t="str">
        <f>IF(COUNTA(A434:G434)=0,"",IF(A434="","N° devis manquant",IF(ISNA(MATCH(A434,dv_num,0)),"Devis inconnu",IF(AND(B434&lt;&gt;"",ISNA(MATCH(B434,pr_code,0))),"Article inconnu",IF(H434="","Désignation manquante",IF(OR(NOT(ISNUMBER(D434)),N(D434)&lt;=0),"Quantité invalide",IF(J434="","Prix manquant",IF(OR(NOT(ISNUMBER(J434)),N(J434)&lt;0),"Prix invalide",IF(OR(AND(F434&lt;&gt;"",NOT(ISNUMBER(F434))),N(F434)&lt;0,N(F434)&gt;1),"Remise invalide",IF(K434="","Taux de TVA manquant",IF(NOT(ISNUMBER(K434)),"Taux de TVA invalide",IF(COUNTIF(p_rates,K434)=0,"Taux de TVA hors liste (Paramètres)",IF(N(O434)&gt;25,"Au-delà de 25 lignes : non imprimée","OK")))))))))))))</f>
        <v/>
      </c>
      <c r="O434" s="59" t="str">
        <f>IF(A434="","",COUNTIF($A$6:A434,A434))</f>
        <v/>
      </c>
      <c r="P434" s="62" t="str">
        <f>IF(A434="","",A434&amp;"|"&amp;O434)</f>
        <v/>
      </c>
    </row>
    <row r="435">
      <c r="A435" s="60" t="n"/>
      <c r="B435" s="63" t="n"/>
      <c r="C435" s="63" t="n"/>
      <c r="D435" s="67" t="n"/>
      <c r="E435" s="68" t="n"/>
      <c r="F435" s="69" t="n"/>
      <c r="G435" s="70" t="n"/>
      <c r="H435" s="62" t="str">
        <f>IF(COUNTA(A435:G435)=0,"",IF(C435&lt;&gt;"",C435,IF(B435="","",IFERROR(INDEX(pr_des,MATCH(B435,pr_code,0))&amp;"",""))))</f>
        <v/>
      </c>
      <c r="I435" s="59" t="str">
        <f>IF(B435="","",IFERROR(INDEX(pr_unit,MATCH(B435,pr_code,0))&amp;"",""))</f>
        <v/>
      </c>
      <c r="J435" s="65" t="str">
        <f>IF(COUNTA(A435:G435)=0,"",IF(E435&lt;&gt;"",E435,IF(B435="","",IFERROR(IF(INDEX(pr_price,MATCH(B435,pr_code,0))="","",INDEX(pr_price,MATCH(B435,pr_code,0))),""))))</f>
        <v/>
      </c>
      <c r="K435" s="71" t="str">
        <f>IF(COUNTA(A435:G435)=0,"",IF(G435&lt;&gt;"",G435,IF(B435="","",IFERROR(IF(INDEX(pr_rate,MATCH(B435,pr_code,0))="","",INDEX(pr_rate,MATCH(B435,pr_code,0))),""))))</f>
        <v/>
      </c>
      <c r="L435" s="65" t="str">
        <f>IF(COUNTA(A435:G435)=0,"",IF(AND(ISNUMBER(D435),ISNUMBER(J435)),ROUND(D435*J435*(1-N(F435)),2),0))</f>
        <v/>
      </c>
      <c r="M435" s="62" t="str">
        <f>IF(A435="","",IFERROR(INDEX(dv_cname,MATCH(A435,dv_num,0))&amp;"",""))</f>
        <v/>
      </c>
      <c r="N435" s="59" t="str">
        <f>IF(COUNTA(A435:G435)=0,"",IF(A435="","N° devis manquant",IF(ISNA(MATCH(A435,dv_num,0)),"Devis inconnu",IF(AND(B435&lt;&gt;"",ISNA(MATCH(B435,pr_code,0))),"Article inconnu",IF(H435="","Désignation manquante",IF(OR(NOT(ISNUMBER(D435)),N(D435)&lt;=0),"Quantité invalide",IF(J435="","Prix manquant",IF(OR(NOT(ISNUMBER(J435)),N(J435)&lt;0),"Prix invalide",IF(OR(AND(F435&lt;&gt;"",NOT(ISNUMBER(F435))),N(F435)&lt;0,N(F435)&gt;1),"Remise invalide",IF(K435="","Taux de TVA manquant",IF(NOT(ISNUMBER(K435)),"Taux de TVA invalide",IF(COUNTIF(p_rates,K435)=0,"Taux de TVA hors liste (Paramètres)",IF(N(O435)&gt;25,"Au-delà de 25 lignes : non imprimée","OK")))))))))))))</f>
        <v/>
      </c>
      <c r="O435" s="59" t="str">
        <f>IF(A435="","",COUNTIF($A$6:A435,A435))</f>
        <v/>
      </c>
      <c r="P435" s="62" t="str">
        <f>IF(A435="","",A435&amp;"|"&amp;O435)</f>
        <v/>
      </c>
    </row>
    <row r="436">
      <c r="A436" s="60" t="n"/>
      <c r="B436" s="63" t="n"/>
      <c r="C436" s="63" t="n"/>
      <c r="D436" s="67" t="n"/>
      <c r="E436" s="68" t="n"/>
      <c r="F436" s="69" t="n"/>
      <c r="G436" s="70" t="n"/>
      <c r="H436" s="62" t="str">
        <f>IF(COUNTA(A436:G436)=0,"",IF(C436&lt;&gt;"",C436,IF(B436="","",IFERROR(INDEX(pr_des,MATCH(B436,pr_code,0))&amp;"",""))))</f>
        <v/>
      </c>
      <c r="I436" s="59" t="str">
        <f>IF(B436="","",IFERROR(INDEX(pr_unit,MATCH(B436,pr_code,0))&amp;"",""))</f>
        <v/>
      </c>
      <c r="J436" s="65" t="str">
        <f>IF(COUNTA(A436:G436)=0,"",IF(E436&lt;&gt;"",E436,IF(B436="","",IFERROR(IF(INDEX(pr_price,MATCH(B436,pr_code,0))="","",INDEX(pr_price,MATCH(B436,pr_code,0))),""))))</f>
        <v/>
      </c>
      <c r="K436" s="71" t="str">
        <f>IF(COUNTA(A436:G436)=0,"",IF(G436&lt;&gt;"",G436,IF(B436="","",IFERROR(IF(INDEX(pr_rate,MATCH(B436,pr_code,0))="","",INDEX(pr_rate,MATCH(B436,pr_code,0))),""))))</f>
        <v/>
      </c>
      <c r="L436" s="65" t="str">
        <f>IF(COUNTA(A436:G436)=0,"",IF(AND(ISNUMBER(D436),ISNUMBER(J436)),ROUND(D436*J436*(1-N(F436)),2),0))</f>
        <v/>
      </c>
      <c r="M436" s="62" t="str">
        <f>IF(A436="","",IFERROR(INDEX(dv_cname,MATCH(A436,dv_num,0))&amp;"",""))</f>
        <v/>
      </c>
      <c r="N436" s="59" t="str">
        <f>IF(COUNTA(A436:G436)=0,"",IF(A436="","N° devis manquant",IF(ISNA(MATCH(A436,dv_num,0)),"Devis inconnu",IF(AND(B436&lt;&gt;"",ISNA(MATCH(B436,pr_code,0))),"Article inconnu",IF(H436="","Désignation manquante",IF(OR(NOT(ISNUMBER(D436)),N(D436)&lt;=0),"Quantité invalide",IF(J436="","Prix manquant",IF(OR(NOT(ISNUMBER(J436)),N(J436)&lt;0),"Prix invalide",IF(OR(AND(F436&lt;&gt;"",NOT(ISNUMBER(F436))),N(F436)&lt;0,N(F436)&gt;1),"Remise invalide",IF(K436="","Taux de TVA manquant",IF(NOT(ISNUMBER(K436)),"Taux de TVA invalide",IF(COUNTIF(p_rates,K436)=0,"Taux de TVA hors liste (Paramètres)",IF(N(O436)&gt;25,"Au-delà de 25 lignes : non imprimée","OK")))))))))))))</f>
        <v/>
      </c>
      <c r="O436" s="59" t="str">
        <f>IF(A436="","",COUNTIF($A$6:A436,A436))</f>
        <v/>
      </c>
      <c r="P436" s="62" t="str">
        <f>IF(A436="","",A436&amp;"|"&amp;O436)</f>
        <v/>
      </c>
    </row>
    <row r="437">
      <c r="A437" s="60" t="n"/>
      <c r="B437" s="63" t="n"/>
      <c r="C437" s="63" t="n"/>
      <c r="D437" s="67" t="n"/>
      <c r="E437" s="68" t="n"/>
      <c r="F437" s="69" t="n"/>
      <c r="G437" s="70" t="n"/>
      <c r="H437" s="62" t="str">
        <f>IF(COUNTA(A437:G437)=0,"",IF(C437&lt;&gt;"",C437,IF(B437="","",IFERROR(INDEX(pr_des,MATCH(B437,pr_code,0))&amp;"",""))))</f>
        <v/>
      </c>
      <c r="I437" s="59" t="str">
        <f>IF(B437="","",IFERROR(INDEX(pr_unit,MATCH(B437,pr_code,0))&amp;"",""))</f>
        <v/>
      </c>
      <c r="J437" s="65" t="str">
        <f>IF(COUNTA(A437:G437)=0,"",IF(E437&lt;&gt;"",E437,IF(B437="","",IFERROR(IF(INDEX(pr_price,MATCH(B437,pr_code,0))="","",INDEX(pr_price,MATCH(B437,pr_code,0))),""))))</f>
        <v/>
      </c>
      <c r="K437" s="71" t="str">
        <f>IF(COUNTA(A437:G437)=0,"",IF(G437&lt;&gt;"",G437,IF(B437="","",IFERROR(IF(INDEX(pr_rate,MATCH(B437,pr_code,0))="","",INDEX(pr_rate,MATCH(B437,pr_code,0))),""))))</f>
        <v/>
      </c>
      <c r="L437" s="65" t="str">
        <f>IF(COUNTA(A437:G437)=0,"",IF(AND(ISNUMBER(D437),ISNUMBER(J437)),ROUND(D437*J437*(1-N(F437)),2),0))</f>
        <v/>
      </c>
      <c r="M437" s="62" t="str">
        <f>IF(A437="","",IFERROR(INDEX(dv_cname,MATCH(A437,dv_num,0))&amp;"",""))</f>
        <v/>
      </c>
      <c r="N437" s="59" t="str">
        <f>IF(COUNTA(A437:G437)=0,"",IF(A437="","N° devis manquant",IF(ISNA(MATCH(A437,dv_num,0)),"Devis inconnu",IF(AND(B437&lt;&gt;"",ISNA(MATCH(B437,pr_code,0))),"Article inconnu",IF(H437="","Désignation manquante",IF(OR(NOT(ISNUMBER(D437)),N(D437)&lt;=0),"Quantité invalide",IF(J437="","Prix manquant",IF(OR(NOT(ISNUMBER(J437)),N(J437)&lt;0),"Prix invalide",IF(OR(AND(F437&lt;&gt;"",NOT(ISNUMBER(F437))),N(F437)&lt;0,N(F437)&gt;1),"Remise invalide",IF(K437="","Taux de TVA manquant",IF(NOT(ISNUMBER(K437)),"Taux de TVA invalide",IF(COUNTIF(p_rates,K437)=0,"Taux de TVA hors liste (Paramètres)",IF(N(O437)&gt;25,"Au-delà de 25 lignes : non imprimée","OK")))))))))))))</f>
        <v/>
      </c>
      <c r="O437" s="59" t="str">
        <f>IF(A437="","",COUNTIF($A$6:A437,A437))</f>
        <v/>
      </c>
      <c r="P437" s="62" t="str">
        <f>IF(A437="","",A437&amp;"|"&amp;O437)</f>
        <v/>
      </c>
    </row>
    <row r="438">
      <c r="A438" s="60" t="n"/>
      <c r="B438" s="63" t="n"/>
      <c r="C438" s="63" t="n"/>
      <c r="D438" s="67" t="n"/>
      <c r="E438" s="68" t="n"/>
      <c r="F438" s="69" t="n"/>
      <c r="G438" s="70" t="n"/>
      <c r="H438" s="62" t="str">
        <f>IF(COUNTA(A438:G438)=0,"",IF(C438&lt;&gt;"",C438,IF(B438="","",IFERROR(INDEX(pr_des,MATCH(B438,pr_code,0))&amp;"",""))))</f>
        <v/>
      </c>
      <c r="I438" s="59" t="str">
        <f>IF(B438="","",IFERROR(INDEX(pr_unit,MATCH(B438,pr_code,0))&amp;"",""))</f>
        <v/>
      </c>
      <c r="J438" s="65" t="str">
        <f>IF(COUNTA(A438:G438)=0,"",IF(E438&lt;&gt;"",E438,IF(B438="","",IFERROR(IF(INDEX(pr_price,MATCH(B438,pr_code,0))="","",INDEX(pr_price,MATCH(B438,pr_code,0))),""))))</f>
        <v/>
      </c>
      <c r="K438" s="71" t="str">
        <f>IF(COUNTA(A438:G438)=0,"",IF(G438&lt;&gt;"",G438,IF(B438="","",IFERROR(IF(INDEX(pr_rate,MATCH(B438,pr_code,0))="","",INDEX(pr_rate,MATCH(B438,pr_code,0))),""))))</f>
        <v/>
      </c>
      <c r="L438" s="65" t="str">
        <f>IF(COUNTA(A438:G438)=0,"",IF(AND(ISNUMBER(D438),ISNUMBER(J438)),ROUND(D438*J438*(1-N(F438)),2),0))</f>
        <v/>
      </c>
      <c r="M438" s="62" t="str">
        <f>IF(A438="","",IFERROR(INDEX(dv_cname,MATCH(A438,dv_num,0))&amp;"",""))</f>
        <v/>
      </c>
      <c r="N438" s="59" t="str">
        <f>IF(COUNTA(A438:G438)=0,"",IF(A438="","N° devis manquant",IF(ISNA(MATCH(A438,dv_num,0)),"Devis inconnu",IF(AND(B438&lt;&gt;"",ISNA(MATCH(B438,pr_code,0))),"Article inconnu",IF(H438="","Désignation manquante",IF(OR(NOT(ISNUMBER(D438)),N(D438)&lt;=0),"Quantité invalide",IF(J438="","Prix manquant",IF(OR(NOT(ISNUMBER(J438)),N(J438)&lt;0),"Prix invalide",IF(OR(AND(F438&lt;&gt;"",NOT(ISNUMBER(F438))),N(F438)&lt;0,N(F438)&gt;1),"Remise invalide",IF(K438="","Taux de TVA manquant",IF(NOT(ISNUMBER(K438)),"Taux de TVA invalide",IF(COUNTIF(p_rates,K438)=0,"Taux de TVA hors liste (Paramètres)",IF(N(O438)&gt;25,"Au-delà de 25 lignes : non imprimée","OK")))))))))))))</f>
        <v/>
      </c>
      <c r="O438" s="59" t="str">
        <f>IF(A438="","",COUNTIF($A$6:A438,A438))</f>
        <v/>
      </c>
      <c r="P438" s="62" t="str">
        <f>IF(A438="","",A438&amp;"|"&amp;O438)</f>
        <v/>
      </c>
    </row>
    <row r="439">
      <c r="A439" s="60" t="n"/>
      <c r="B439" s="63" t="n"/>
      <c r="C439" s="63" t="n"/>
      <c r="D439" s="67" t="n"/>
      <c r="E439" s="68" t="n"/>
      <c r="F439" s="69" t="n"/>
      <c r="G439" s="70" t="n"/>
      <c r="H439" s="62" t="str">
        <f>IF(COUNTA(A439:G439)=0,"",IF(C439&lt;&gt;"",C439,IF(B439="","",IFERROR(INDEX(pr_des,MATCH(B439,pr_code,0))&amp;"",""))))</f>
        <v/>
      </c>
      <c r="I439" s="59" t="str">
        <f>IF(B439="","",IFERROR(INDEX(pr_unit,MATCH(B439,pr_code,0))&amp;"",""))</f>
        <v/>
      </c>
      <c r="J439" s="65" t="str">
        <f>IF(COUNTA(A439:G439)=0,"",IF(E439&lt;&gt;"",E439,IF(B439="","",IFERROR(IF(INDEX(pr_price,MATCH(B439,pr_code,0))="","",INDEX(pr_price,MATCH(B439,pr_code,0))),""))))</f>
        <v/>
      </c>
      <c r="K439" s="71" t="str">
        <f>IF(COUNTA(A439:G439)=0,"",IF(G439&lt;&gt;"",G439,IF(B439="","",IFERROR(IF(INDEX(pr_rate,MATCH(B439,pr_code,0))="","",INDEX(pr_rate,MATCH(B439,pr_code,0))),""))))</f>
        <v/>
      </c>
      <c r="L439" s="65" t="str">
        <f>IF(COUNTA(A439:G439)=0,"",IF(AND(ISNUMBER(D439),ISNUMBER(J439)),ROUND(D439*J439*(1-N(F439)),2),0))</f>
        <v/>
      </c>
      <c r="M439" s="62" t="str">
        <f>IF(A439="","",IFERROR(INDEX(dv_cname,MATCH(A439,dv_num,0))&amp;"",""))</f>
        <v/>
      </c>
      <c r="N439" s="59" t="str">
        <f>IF(COUNTA(A439:G439)=0,"",IF(A439="","N° devis manquant",IF(ISNA(MATCH(A439,dv_num,0)),"Devis inconnu",IF(AND(B439&lt;&gt;"",ISNA(MATCH(B439,pr_code,0))),"Article inconnu",IF(H439="","Désignation manquante",IF(OR(NOT(ISNUMBER(D439)),N(D439)&lt;=0),"Quantité invalide",IF(J439="","Prix manquant",IF(OR(NOT(ISNUMBER(J439)),N(J439)&lt;0),"Prix invalide",IF(OR(AND(F439&lt;&gt;"",NOT(ISNUMBER(F439))),N(F439)&lt;0,N(F439)&gt;1),"Remise invalide",IF(K439="","Taux de TVA manquant",IF(NOT(ISNUMBER(K439)),"Taux de TVA invalide",IF(COUNTIF(p_rates,K439)=0,"Taux de TVA hors liste (Paramètres)",IF(N(O439)&gt;25,"Au-delà de 25 lignes : non imprimée","OK")))))))))))))</f>
        <v/>
      </c>
      <c r="O439" s="59" t="str">
        <f>IF(A439="","",COUNTIF($A$6:A439,A439))</f>
        <v/>
      </c>
      <c r="P439" s="62" t="str">
        <f>IF(A439="","",A439&amp;"|"&amp;O439)</f>
        <v/>
      </c>
    </row>
    <row r="440">
      <c r="A440" s="60" t="n"/>
      <c r="B440" s="63" t="n"/>
      <c r="C440" s="63" t="n"/>
      <c r="D440" s="67" t="n"/>
      <c r="E440" s="68" t="n"/>
      <c r="F440" s="69" t="n"/>
      <c r="G440" s="70" t="n"/>
      <c r="H440" s="62" t="str">
        <f>IF(COUNTA(A440:G440)=0,"",IF(C440&lt;&gt;"",C440,IF(B440="","",IFERROR(INDEX(pr_des,MATCH(B440,pr_code,0))&amp;"",""))))</f>
        <v/>
      </c>
      <c r="I440" s="59" t="str">
        <f>IF(B440="","",IFERROR(INDEX(pr_unit,MATCH(B440,pr_code,0))&amp;"",""))</f>
        <v/>
      </c>
      <c r="J440" s="65" t="str">
        <f>IF(COUNTA(A440:G440)=0,"",IF(E440&lt;&gt;"",E440,IF(B440="","",IFERROR(IF(INDEX(pr_price,MATCH(B440,pr_code,0))="","",INDEX(pr_price,MATCH(B440,pr_code,0))),""))))</f>
        <v/>
      </c>
      <c r="K440" s="71" t="str">
        <f>IF(COUNTA(A440:G440)=0,"",IF(G440&lt;&gt;"",G440,IF(B440="","",IFERROR(IF(INDEX(pr_rate,MATCH(B440,pr_code,0))="","",INDEX(pr_rate,MATCH(B440,pr_code,0))),""))))</f>
        <v/>
      </c>
      <c r="L440" s="65" t="str">
        <f>IF(COUNTA(A440:G440)=0,"",IF(AND(ISNUMBER(D440),ISNUMBER(J440)),ROUND(D440*J440*(1-N(F440)),2),0))</f>
        <v/>
      </c>
      <c r="M440" s="62" t="str">
        <f>IF(A440="","",IFERROR(INDEX(dv_cname,MATCH(A440,dv_num,0))&amp;"",""))</f>
        <v/>
      </c>
      <c r="N440" s="59" t="str">
        <f>IF(COUNTA(A440:G440)=0,"",IF(A440="","N° devis manquant",IF(ISNA(MATCH(A440,dv_num,0)),"Devis inconnu",IF(AND(B440&lt;&gt;"",ISNA(MATCH(B440,pr_code,0))),"Article inconnu",IF(H440="","Désignation manquante",IF(OR(NOT(ISNUMBER(D440)),N(D440)&lt;=0),"Quantité invalide",IF(J440="","Prix manquant",IF(OR(NOT(ISNUMBER(J440)),N(J440)&lt;0),"Prix invalide",IF(OR(AND(F440&lt;&gt;"",NOT(ISNUMBER(F440))),N(F440)&lt;0,N(F440)&gt;1),"Remise invalide",IF(K440="","Taux de TVA manquant",IF(NOT(ISNUMBER(K440)),"Taux de TVA invalide",IF(COUNTIF(p_rates,K440)=0,"Taux de TVA hors liste (Paramètres)",IF(N(O440)&gt;25,"Au-delà de 25 lignes : non imprimée","OK")))))))))))))</f>
        <v/>
      </c>
      <c r="O440" s="59" t="str">
        <f>IF(A440="","",COUNTIF($A$6:A440,A440))</f>
        <v/>
      </c>
      <c r="P440" s="62" t="str">
        <f>IF(A440="","",A440&amp;"|"&amp;O440)</f>
        <v/>
      </c>
    </row>
    <row r="441">
      <c r="A441" s="60" t="n"/>
      <c r="B441" s="63" t="n"/>
      <c r="C441" s="63" t="n"/>
      <c r="D441" s="67" t="n"/>
      <c r="E441" s="68" t="n"/>
      <c r="F441" s="69" t="n"/>
      <c r="G441" s="70" t="n"/>
      <c r="H441" s="62" t="str">
        <f>IF(COUNTA(A441:G441)=0,"",IF(C441&lt;&gt;"",C441,IF(B441="","",IFERROR(INDEX(pr_des,MATCH(B441,pr_code,0))&amp;"",""))))</f>
        <v/>
      </c>
      <c r="I441" s="59" t="str">
        <f>IF(B441="","",IFERROR(INDEX(pr_unit,MATCH(B441,pr_code,0))&amp;"",""))</f>
        <v/>
      </c>
      <c r="J441" s="65" t="str">
        <f>IF(COUNTA(A441:G441)=0,"",IF(E441&lt;&gt;"",E441,IF(B441="","",IFERROR(IF(INDEX(pr_price,MATCH(B441,pr_code,0))="","",INDEX(pr_price,MATCH(B441,pr_code,0))),""))))</f>
        <v/>
      </c>
      <c r="K441" s="71" t="str">
        <f>IF(COUNTA(A441:G441)=0,"",IF(G441&lt;&gt;"",G441,IF(B441="","",IFERROR(IF(INDEX(pr_rate,MATCH(B441,pr_code,0))="","",INDEX(pr_rate,MATCH(B441,pr_code,0))),""))))</f>
        <v/>
      </c>
      <c r="L441" s="65" t="str">
        <f>IF(COUNTA(A441:G441)=0,"",IF(AND(ISNUMBER(D441),ISNUMBER(J441)),ROUND(D441*J441*(1-N(F441)),2),0))</f>
        <v/>
      </c>
      <c r="M441" s="62" t="str">
        <f>IF(A441="","",IFERROR(INDEX(dv_cname,MATCH(A441,dv_num,0))&amp;"",""))</f>
        <v/>
      </c>
      <c r="N441" s="59" t="str">
        <f>IF(COUNTA(A441:G441)=0,"",IF(A441="","N° devis manquant",IF(ISNA(MATCH(A441,dv_num,0)),"Devis inconnu",IF(AND(B441&lt;&gt;"",ISNA(MATCH(B441,pr_code,0))),"Article inconnu",IF(H441="","Désignation manquante",IF(OR(NOT(ISNUMBER(D441)),N(D441)&lt;=0),"Quantité invalide",IF(J441="","Prix manquant",IF(OR(NOT(ISNUMBER(J441)),N(J441)&lt;0),"Prix invalide",IF(OR(AND(F441&lt;&gt;"",NOT(ISNUMBER(F441))),N(F441)&lt;0,N(F441)&gt;1),"Remise invalide",IF(K441="","Taux de TVA manquant",IF(NOT(ISNUMBER(K441)),"Taux de TVA invalide",IF(COUNTIF(p_rates,K441)=0,"Taux de TVA hors liste (Paramètres)",IF(N(O441)&gt;25,"Au-delà de 25 lignes : non imprimée","OK")))))))))))))</f>
        <v/>
      </c>
      <c r="O441" s="59" t="str">
        <f>IF(A441="","",COUNTIF($A$6:A441,A441))</f>
        <v/>
      </c>
      <c r="P441" s="62" t="str">
        <f>IF(A441="","",A441&amp;"|"&amp;O441)</f>
        <v/>
      </c>
    </row>
    <row r="442">
      <c r="A442" s="60" t="n"/>
      <c r="B442" s="63" t="n"/>
      <c r="C442" s="63" t="n"/>
      <c r="D442" s="67" t="n"/>
      <c r="E442" s="68" t="n"/>
      <c r="F442" s="69" t="n"/>
      <c r="G442" s="70" t="n"/>
      <c r="H442" s="62" t="str">
        <f>IF(COUNTA(A442:G442)=0,"",IF(C442&lt;&gt;"",C442,IF(B442="","",IFERROR(INDEX(pr_des,MATCH(B442,pr_code,0))&amp;"",""))))</f>
        <v/>
      </c>
      <c r="I442" s="59" t="str">
        <f>IF(B442="","",IFERROR(INDEX(pr_unit,MATCH(B442,pr_code,0))&amp;"",""))</f>
        <v/>
      </c>
      <c r="J442" s="65" t="str">
        <f>IF(COUNTA(A442:G442)=0,"",IF(E442&lt;&gt;"",E442,IF(B442="","",IFERROR(IF(INDEX(pr_price,MATCH(B442,pr_code,0))="","",INDEX(pr_price,MATCH(B442,pr_code,0))),""))))</f>
        <v/>
      </c>
      <c r="K442" s="71" t="str">
        <f>IF(COUNTA(A442:G442)=0,"",IF(G442&lt;&gt;"",G442,IF(B442="","",IFERROR(IF(INDEX(pr_rate,MATCH(B442,pr_code,0))="","",INDEX(pr_rate,MATCH(B442,pr_code,0))),""))))</f>
        <v/>
      </c>
      <c r="L442" s="65" t="str">
        <f>IF(COUNTA(A442:G442)=0,"",IF(AND(ISNUMBER(D442),ISNUMBER(J442)),ROUND(D442*J442*(1-N(F442)),2),0))</f>
        <v/>
      </c>
      <c r="M442" s="62" t="str">
        <f>IF(A442="","",IFERROR(INDEX(dv_cname,MATCH(A442,dv_num,0))&amp;"",""))</f>
        <v/>
      </c>
      <c r="N442" s="59" t="str">
        <f>IF(COUNTA(A442:G442)=0,"",IF(A442="","N° devis manquant",IF(ISNA(MATCH(A442,dv_num,0)),"Devis inconnu",IF(AND(B442&lt;&gt;"",ISNA(MATCH(B442,pr_code,0))),"Article inconnu",IF(H442="","Désignation manquante",IF(OR(NOT(ISNUMBER(D442)),N(D442)&lt;=0),"Quantité invalide",IF(J442="","Prix manquant",IF(OR(NOT(ISNUMBER(J442)),N(J442)&lt;0),"Prix invalide",IF(OR(AND(F442&lt;&gt;"",NOT(ISNUMBER(F442))),N(F442)&lt;0,N(F442)&gt;1),"Remise invalide",IF(K442="","Taux de TVA manquant",IF(NOT(ISNUMBER(K442)),"Taux de TVA invalide",IF(COUNTIF(p_rates,K442)=0,"Taux de TVA hors liste (Paramètres)",IF(N(O442)&gt;25,"Au-delà de 25 lignes : non imprimée","OK")))))))))))))</f>
        <v/>
      </c>
      <c r="O442" s="59" t="str">
        <f>IF(A442="","",COUNTIF($A$6:A442,A442))</f>
        <v/>
      </c>
      <c r="P442" s="62" t="str">
        <f>IF(A442="","",A442&amp;"|"&amp;O442)</f>
        <v/>
      </c>
    </row>
    <row r="443">
      <c r="A443" s="60" t="n"/>
      <c r="B443" s="63" t="n"/>
      <c r="C443" s="63" t="n"/>
      <c r="D443" s="67" t="n"/>
      <c r="E443" s="68" t="n"/>
      <c r="F443" s="69" t="n"/>
      <c r="G443" s="70" t="n"/>
      <c r="H443" s="62" t="str">
        <f>IF(COUNTA(A443:G443)=0,"",IF(C443&lt;&gt;"",C443,IF(B443="","",IFERROR(INDEX(pr_des,MATCH(B443,pr_code,0))&amp;"",""))))</f>
        <v/>
      </c>
      <c r="I443" s="59" t="str">
        <f>IF(B443="","",IFERROR(INDEX(pr_unit,MATCH(B443,pr_code,0))&amp;"",""))</f>
        <v/>
      </c>
      <c r="J443" s="65" t="str">
        <f>IF(COUNTA(A443:G443)=0,"",IF(E443&lt;&gt;"",E443,IF(B443="","",IFERROR(IF(INDEX(pr_price,MATCH(B443,pr_code,0))="","",INDEX(pr_price,MATCH(B443,pr_code,0))),""))))</f>
        <v/>
      </c>
      <c r="K443" s="71" t="str">
        <f>IF(COUNTA(A443:G443)=0,"",IF(G443&lt;&gt;"",G443,IF(B443="","",IFERROR(IF(INDEX(pr_rate,MATCH(B443,pr_code,0))="","",INDEX(pr_rate,MATCH(B443,pr_code,0))),""))))</f>
        <v/>
      </c>
      <c r="L443" s="65" t="str">
        <f>IF(COUNTA(A443:G443)=0,"",IF(AND(ISNUMBER(D443),ISNUMBER(J443)),ROUND(D443*J443*(1-N(F443)),2),0))</f>
        <v/>
      </c>
      <c r="M443" s="62" t="str">
        <f>IF(A443="","",IFERROR(INDEX(dv_cname,MATCH(A443,dv_num,0))&amp;"",""))</f>
        <v/>
      </c>
      <c r="N443" s="59" t="str">
        <f>IF(COUNTA(A443:G443)=0,"",IF(A443="","N° devis manquant",IF(ISNA(MATCH(A443,dv_num,0)),"Devis inconnu",IF(AND(B443&lt;&gt;"",ISNA(MATCH(B443,pr_code,0))),"Article inconnu",IF(H443="","Désignation manquante",IF(OR(NOT(ISNUMBER(D443)),N(D443)&lt;=0),"Quantité invalide",IF(J443="","Prix manquant",IF(OR(NOT(ISNUMBER(J443)),N(J443)&lt;0),"Prix invalide",IF(OR(AND(F443&lt;&gt;"",NOT(ISNUMBER(F443))),N(F443)&lt;0,N(F443)&gt;1),"Remise invalide",IF(K443="","Taux de TVA manquant",IF(NOT(ISNUMBER(K443)),"Taux de TVA invalide",IF(COUNTIF(p_rates,K443)=0,"Taux de TVA hors liste (Paramètres)",IF(N(O443)&gt;25,"Au-delà de 25 lignes : non imprimée","OK")))))))))))))</f>
        <v/>
      </c>
      <c r="O443" s="59" t="str">
        <f>IF(A443="","",COUNTIF($A$6:A443,A443))</f>
        <v/>
      </c>
      <c r="P443" s="62" t="str">
        <f>IF(A443="","",A443&amp;"|"&amp;O443)</f>
        <v/>
      </c>
    </row>
    <row r="444">
      <c r="A444" s="60" t="n"/>
      <c r="B444" s="63" t="n"/>
      <c r="C444" s="63" t="n"/>
      <c r="D444" s="67" t="n"/>
      <c r="E444" s="68" t="n"/>
      <c r="F444" s="69" t="n"/>
      <c r="G444" s="70" t="n"/>
      <c r="H444" s="62" t="str">
        <f>IF(COUNTA(A444:G444)=0,"",IF(C444&lt;&gt;"",C444,IF(B444="","",IFERROR(INDEX(pr_des,MATCH(B444,pr_code,0))&amp;"",""))))</f>
        <v/>
      </c>
      <c r="I444" s="59" t="str">
        <f>IF(B444="","",IFERROR(INDEX(pr_unit,MATCH(B444,pr_code,0))&amp;"",""))</f>
        <v/>
      </c>
      <c r="J444" s="65" t="str">
        <f>IF(COUNTA(A444:G444)=0,"",IF(E444&lt;&gt;"",E444,IF(B444="","",IFERROR(IF(INDEX(pr_price,MATCH(B444,pr_code,0))="","",INDEX(pr_price,MATCH(B444,pr_code,0))),""))))</f>
        <v/>
      </c>
      <c r="K444" s="71" t="str">
        <f>IF(COUNTA(A444:G444)=0,"",IF(G444&lt;&gt;"",G444,IF(B444="","",IFERROR(IF(INDEX(pr_rate,MATCH(B444,pr_code,0))="","",INDEX(pr_rate,MATCH(B444,pr_code,0))),""))))</f>
        <v/>
      </c>
      <c r="L444" s="65" t="str">
        <f>IF(COUNTA(A444:G444)=0,"",IF(AND(ISNUMBER(D444),ISNUMBER(J444)),ROUND(D444*J444*(1-N(F444)),2),0))</f>
        <v/>
      </c>
      <c r="M444" s="62" t="str">
        <f>IF(A444="","",IFERROR(INDEX(dv_cname,MATCH(A444,dv_num,0))&amp;"",""))</f>
        <v/>
      </c>
      <c r="N444" s="59" t="str">
        <f>IF(COUNTA(A444:G444)=0,"",IF(A444="","N° devis manquant",IF(ISNA(MATCH(A444,dv_num,0)),"Devis inconnu",IF(AND(B444&lt;&gt;"",ISNA(MATCH(B444,pr_code,0))),"Article inconnu",IF(H444="","Désignation manquante",IF(OR(NOT(ISNUMBER(D444)),N(D444)&lt;=0),"Quantité invalide",IF(J444="","Prix manquant",IF(OR(NOT(ISNUMBER(J444)),N(J444)&lt;0),"Prix invalide",IF(OR(AND(F444&lt;&gt;"",NOT(ISNUMBER(F444))),N(F444)&lt;0,N(F444)&gt;1),"Remise invalide",IF(K444="","Taux de TVA manquant",IF(NOT(ISNUMBER(K444)),"Taux de TVA invalide",IF(COUNTIF(p_rates,K444)=0,"Taux de TVA hors liste (Paramètres)",IF(N(O444)&gt;25,"Au-delà de 25 lignes : non imprimée","OK")))))))))))))</f>
        <v/>
      </c>
      <c r="O444" s="59" t="str">
        <f>IF(A444="","",COUNTIF($A$6:A444,A444))</f>
        <v/>
      </c>
      <c r="P444" s="62" t="str">
        <f>IF(A444="","",A444&amp;"|"&amp;O444)</f>
        <v/>
      </c>
    </row>
    <row r="445">
      <c r="A445" s="60" t="n"/>
      <c r="B445" s="63" t="n"/>
      <c r="C445" s="63" t="n"/>
      <c r="D445" s="67" t="n"/>
      <c r="E445" s="68" t="n"/>
      <c r="F445" s="69" t="n"/>
      <c r="G445" s="70" t="n"/>
      <c r="H445" s="62" t="str">
        <f>IF(COUNTA(A445:G445)=0,"",IF(C445&lt;&gt;"",C445,IF(B445="","",IFERROR(INDEX(pr_des,MATCH(B445,pr_code,0))&amp;"",""))))</f>
        <v/>
      </c>
      <c r="I445" s="59" t="str">
        <f>IF(B445="","",IFERROR(INDEX(pr_unit,MATCH(B445,pr_code,0))&amp;"",""))</f>
        <v/>
      </c>
      <c r="J445" s="65" t="str">
        <f>IF(COUNTA(A445:G445)=0,"",IF(E445&lt;&gt;"",E445,IF(B445="","",IFERROR(IF(INDEX(pr_price,MATCH(B445,pr_code,0))="","",INDEX(pr_price,MATCH(B445,pr_code,0))),""))))</f>
        <v/>
      </c>
      <c r="K445" s="71" t="str">
        <f>IF(COUNTA(A445:G445)=0,"",IF(G445&lt;&gt;"",G445,IF(B445="","",IFERROR(IF(INDEX(pr_rate,MATCH(B445,pr_code,0))="","",INDEX(pr_rate,MATCH(B445,pr_code,0))),""))))</f>
        <v/>
      </c>
      <c r="L445" s="65" t="str">
        <f>IF(COUNTA(A445:G445)=0,"",IF(AND(ISNUMBER(D445),ISNUMBER(J445)),ROUND(D445*J445*(1-N(F445)),2),0))</f>
        <v/>
      </c>
      <c r="M445" s="62" t="str">
        <f>IF(A445="","",IFERROR(INDEX(dv_cname,MATCH(A445,dv_num,0))&amp;"",""))</f>
        <v/>
      </c>
      <c r="N445" s="59" t="str">
        <f>IF(COUNTA(A445:G445)=0,"",IF(A445="","N° devis manquant",IF(ISNA(MATCH(A445,dv_num,0)),"Devis inconnu",IF(AND(B445&lt;&gt;"",ISNA(MATCH(B445,pr_code,0))),"Article inconnu",IF(H445="","Désignation manquante",IF(OR(NOT(ISNUMBER(D445)),N(D445)&lt;=0),"Quantité invalide",IF(J445="","Prix manquant",IF(OR(NOT(ISNUMBER(J445)),N(J445)&lt;0),"Prix invalide",IF(OR(AND(F445&lt;&gt;"",NOT(ISNUMBER(F445))),N(F445)&lt;0,N(F445)&gt;1),"Remise invalide",IF(K445="","Taux de TVA manquant",IF(NOT(ISNUMBER(K445)),"Taux de TVA invalide",IF(COUNTIF(p_rates,K445)=0,"Taux de TVA hors liste (Paramètres)",IF(N(O445)&gt;25,"Au-delà de 25 lignes : non imprimée","OK")))))))))))))</f>
        <v/>
      </c>
      <c r="O445" s="59" t="str">
        <f>IF(A445="","",COUNTIF($A$6:A445,A445))</f>
        <v/>
      </c>
      <c r="P445" s="62" t="str">
        <f>IF(A445="","",A445&amp;"|"&amp;O445)</f>
        <v/>
      </c>
    </row>
    <row r="446">
      <c r="A446" s="60" t="n"/>
      <c r="B446" s="63" t="n"/>
      <c r="C446" s="63" t="n"/>
      <c r="D446" s="67" t="n"/>
      <c r="E446" s="68" t="n"/>
      <c r="F446" s="69" t="n"/>
      <c r="G446" s="70" t="n"/>
      <c r="H446" s="62" t="str">
        <f>IF(COUNTA(A446:G446)=0,"",IF(C446&lt;&gt;"",C446,IF(B446="","",IFERROR(INDEX(pr_des,MATCH(B446,pr_code,0))&amp;"",""))))</f>
        <v/>
      </c>
      <c r="I446" s="59" t="str">
        <f>IF(B446="","",IFERROR(INDEX(pr_unit,MATCH(B446,pr_code,0))&amp;"",""))</f>
        <v/>
      </c>
      <c r="J446" s="65" t="str">
        <f>IF(COUNTA(A446:G446)=0,"",IF(E446&lt;&gt;"",E446,IF(B446="","",IFERROR(IF(INDEX(pr_price,MATCH(B446,pr_code,0))="","",INDEX(pr_price,MATCH(B446,pr_code,0))),""))))</f>
        <v/>
      </c>
      <c r="K446" s="71" t="str">
        <f>IF(COUNTA(A446:G446)=0,"",IF(G446&lt;&gt;"",G446,IF(B446="","",IFERROR(IF(INDEX(pr_rate,MATCH(B446,pr_code,0))="","",INDEX(pr_rate,MATCH(B446,pr_code,0))),""))))</f>
        <v/>
      </c>
      <c r="L446" s="65" t="str">
        <f>IF(COUNTA(A446:G446)=0,"",IF(AND(ISNUMBER(D446),ISNUMBER(J446)),ROUND(D446*J446*(1-N(F446)),2),0))</f>
        <v/>
      </c>
      <c r="M446" s="62" t="str">
        <f>IF(A446="","",IFERROR(INDEX(dv_cname,MATCH(A446,dv_num,0))&amp;"",""))</f>
        <v/>
      </c>
      <c r="N446" s="59" t="str">
        <f>IF(COUNTA(A446:G446)=0,"",IF(A446="","N° devis manquant",IF(ISNA(MATCH(A446,dv_num,0)),"Devis inconnu",IF(AND(B446&lt;&gt;"",ISNA(MATCH(B446,pr_code,0))),"Article inconnu",IF(H446="","Désignation manquante",IF(OR(NOT(ISNUMBER(D446)),N(D446)&lt;=0),"Quantité invalide",IF(J446="","Prix manquant",IF(OR(NOT(ISNUMBER(J446)),N(J446)&lt;0),"Prix invalide",IF(OR(AND(F446&lt;&gt;"",NOT(ISNUMBER(F446))),N(F446)&lt;0,N(F446)&gt;1),"Remise invalide",IF(K446="","Taux de TVA manquant",IF(NOT(ISNUMBER(K446)),"Taux de TVA invalide",IF(COUNTIF(p_rates,K446)=0,"Taux de TVA hors liste (Paramètres)",IF(N(O446)&gt;25,"Au-delà de 25 lignes : non imprimée","OK")))))))))))))</f>
        <v/>
      </c>
      <c r="O446" s="59" t="str">
        <f>IF(A446="","",COUNTIF($A$6:A446,A446))</f>
        <v/>
      </c>
      <c r="P446" s="62" t="str">
        <f>IF(A446="","",A446&amp;"|"&amp;O446)</f>
        <v/>
      </c>
    </row>
    <row r="447">
      <c r="A447" s="60" t="n"/>
      <c r="B447" s="63" t="n"/>
      <c r="C447" s="63" t="n"/>
      <c r="D447" s="67" t="n"/>
      <c r="E447" s="68" t="n"/>
      <c r="F447" s="69" t="n"/>
      <c r="G447" s="70" t="n"/>
      <c r="H447" s="62" t="str">
        <f>IF(COUNTA(A447:G447)=0,"",IF(C447&lt;&gt;"",C447,IF(B447="","",IFERROR(INDEX(pr_des,MATCH(B447,pr_code,0))&amp;"",""))))</f>
        <v/>
      </c>
      <c r="I447" s="59" t="str">
        <f>IF(B447="","",IFERROR(INDEX(pr_unit,MATCH(B447,pr_code,0))&amp;"",""))</f>
        <v/>
      </c>
      <c r="J447" s="65" t="str">
        <f>IF(COUNTA(A447:G447)=0,"",IF(E447&lt;&gt;"",E447,IF(B447="","",IFERROR(IF(INDEX(pr_price,MATCH(B447,pr_code,0))="","",INDEX(pr_price,MATCH(B447,pr_code,0))),""))))</f>
        <v/>
      </c>
      <c r="K447" s="71" t="str">
        <f>IF(COUNTA(A447:G447)=0,"",IF(G447&lt;&gt;"",G447,IF(B447="","",IFERROR(IF(INDEX(pr_rate,MATCH(B447,pr_code,0))="","",INDEX(pr_rate,MATCH(B447,pr_code,0))),""))))</f>
        <v/>
      </c>
      <c r="L447" s="65" t="str">
        <f>IF(COUNTA(A447:G447)=0,"",IF(AND(ISNUMBER(D447),ISNUMBER(J447)),ROUND(D447*J447*(1-N(F447)),2),0))</f>
        <v/>
      </c>
      <c r="M447" s="62" t="str">
        <f>IF(A447="","",IFERROR(INDEX(dv_cname,MATCH(A447,dv_num,0))&amp;"",""))</f>
        <v/>
      </c>
      <c r="N447" s="59" t="str">
        <f>IF(COUNTA(A447:G447)=0,"",IF(A447="","N° devis manquant",IF(ISNA(MATCH(A447,dv_num,0)),"Devis inconnu",IF(AND(B447&lt;&gt;"",ISNA(MATCH(B447,pr_code,0))),"Article inconnu",IF(H447="","Désignation manquante",IF(OR(NOT(ISNUMBER(D447)),N(D447)&lt;=0),"Quantité invalide",IF(J447="","Prix manquant",IF(OR(NOT(ISNUMBER(J447)),N(J447)&lt;0),"Prix invalide",IF(OR(AND(F447&lt;&gt;"",NOT(ISNUMBER(F447))),N(F447)&lt;0,N(F447)&gt;1),"Remise invalide",IF(K447="","Taux de TVA manquant",IF(NOT(ISNUMBER(K447)),"Taux de TVA invalide",IF(COUNTIF(p_rates,K447)=0,"Taux de TVA hors liste (Paramètres)",IF(N(O447)&gt;25,"Au-delà de 25 lignes : non imprimée","OK")))))))))))))</f>
        <v/>
      </c>
      <c r="O447" s="59" t="str">
        <f>IF(A447="","",COUNTIF($A$6:A447,A447))</f>
        <v/>
      </c>
      <c r="P447" s="62" t="str">
        <f>IF(A447="","",A447&amp;"|"&amp;O447)</f>
        <v/>
      </c>
    </row>
    <row r="448">
      <c r="A448" s="60" t="n"/>
      <c r="B448" s="63" t="n"/>
      <c r="C448" s="63" t="n"/>
      <c r="D448" s="67" t="n"/>
      <c r="E448" s="68" t="n"/>
      <c r="F448" s="69" t="n"/>
      <c r="G448" s="70" t="n"/>
      <c r="H448" s="62" t="str">
        <f>IF(COUNTA(A448:G448)=0,"",IF(C448&lt;&gt;"",C448,IF(B448="","",IFERROR(INDEX(pr_des,MATCH(B448,pr_code,0))&amp;"",""))))</f>
        <v/>
      </c>
      <c r="I448" s="59" t="str">
        <f>IF(B448="","",IFERROR(INDEX(pr_unit,MATCH(B448,pr_code,0))&amp;"",""))</f>
        <v/>
      </c>
      <c r="J448" s="65" t="str">
        <f>IF(COUNTA(A448:G448)=0,"",IF(E448&lt;&gt;"",E448,IF(B448="","",IFERROR(IF(INDEX(pr_price,MATCH(B448,pr_code,0))="","",INDEX(pr_price,MATCH(B448,pr_code,0))),""))))</f>
        <v/>
      </c>
      <c r="K448" s="71" t="str">
        <f>IF(COUNTA(A448:G448)=0,"",IF(G448&lt;&gt;"",G448,IF(B448="","",IFERROR(IF(INDEX(pr_rate,MATCH(B448,pr_code,0))="","",INDEX(pr_rate,MATCH(B448,pr_code,0))),""))))</f>
        <v/>
      </c>
      <c r="L448" s="65" t="str">
        <f>IF(COUNTA(A448:G448)=0,"",IF(AND(ISNUMBER(D448),ISNUMBER(J448)),ROUND(D448*J448*(1-N(F448)),2),0))</f>
        <v/>
      </c>
      <c r="M448" s="62" t="str">
        <f>IF(A448="","",IFERROR(INDEX(dv_cname,MATCH(A448,dv_num,0))&amp;"",""))</f>
        <v/>
      </c>
      <c r="N448" s="59" t="str">
        <f>IF(COUNTA(A448:G448)=0,"",IF(A448="","N° devis manquant",IF(ISNA(MATCH(A448,dv_num,0)),"Devis inconnu",IF(AND(B448&lt;&gt;"",ISNA(MATCH(B448,pr_code,0))),"Article inconnu",IF(H448="","Désignation manquante",IF(OR(NOT(ISNUMBER(D448)),N(D448)&lt;=0),"Quantité invalide",IF(J448="","Prix manquant",IF(OR(NOT(ISNUMBER(J448)),N(J448)&lt;0),"Prix invalide",IF(OR(AND(F448&lt;&gt;"",NOT(ISNUMBER(F448))),N(F448)&lt;0,N(F448)&gt;1),"Remise invalide",IF(K448="","Taux de TVA manquant",IF(NOT(ISNUMBER(K448)),"Taux de TVA invalide",IF(COUNTIF(p_rates,K448)=0,"Taux de TVA hors liste (Paramètres)",IF(N(O448)&gt;25,"Au-delà de 25 lignes : non imprimée","OK")))))))))))))</f>
        <v/>
      </c>
      <c r="O448" s="59" t="str">
        <f>IF(A448="","",COUNTIF($A$6:A448,A448))</f>
        <v/>
      </c>
      <c r="P448" s="62" t="str">
        <f>IF(A448="","",A448&amp;"|"&amp;O448)</f>
        <v/>
      </c>
    </row>
    <row r="449">
      <c r="A449" s="60" t="n"/>
      <c r="B449" s="63" t="n"/>
      <c r="C449" s="63" t="n"/>
      <c r="D449" s="67" t="n"/>
      <c r="E449" s="68" t="n"/>
      <c r="F449" s="69" t="n"/>
      <c r="G449" s="70" t="n"/>
      <c r="H449" s="62" t="str">
        <f>IF(COUNTA(A449:G449)=0,"",IF(C449&lt;&gt;"",C449,IF(B449="","",IFERROR(INDEX(pr_des,MATCH(B449,pr_code,0))&amp;"",""))))</f>
        <v/>
      </c>
      <c r="I449" s="59" t="str">
        <f>IF(B449="","",IFERROR(INDEX(pr_unit,MATCH(B449,pr_code,0))&amp;"",""))</f>
        <v/>
      </c>
      <c r="J449" s="65" t="str">
        <f>IF(COUNTA(A449:G449)=0,"",IF(E449&lt;&gt;"",E449,IF(B449="","",IFERROR(IF(INDEX(pr_price,MATCH(B449,pr_code,0))="","",INDEX(pr_price,MATCH(B449,pr_code,0))),""))))</f>
        <v/>
      </c>
      <c r="K449" s="71" t="str">
        <f>IF(COUNTA(A449:G449)=0,"",IF(G449&lt;&gt;"",G449,IF(B449="","",IFERROR(IF(INDEX(pr_rate,MATCH(B449,pr_code,0))="","",INDEX(pr_rate,MATCH(B449,pr_code,0))),""))))</f>
        <v/>
      </c>
      <c r="L449" s="65" t="str">
        <f>IF(COUNTA(A449:G449)=0,"",IF(AND(ISNUMBER(D449),ISNUMBER(J449)),ROUND(D449*J449*(1-N(F449)),2),0))</f>
        <v/>
      </c>
      <c r="M449" s="62" t="str">
        <f>IF(A449="","",IFERROR(INDEX(dv_cname,MATCH(A449,dv_num,0))&amp;"",""))</f>
        <v/>
      </c>
      <c r="N449" s="59" t="str">
        <f>IF(COUNTA(A449:G449)=0,"",IF(A449="","N° devis manquant",IF(ISNA(MATCH(A449,dv_num,0)),"Devis inconnu",IF(AND(B449&lt;&gt;"",ISNA(MATCH(B449,pr_code,0))),"Article inconnu",IF(H449="","Désignation manquante",IF(OR(NOT(ISNUMBER(D449)),N(D449)&lt;=0),"Quantité invalide",IF(J449="","Prix manquant",IF(OR(NOT(ISNUMBER(J449)),N(J449)&lt;0),"Prix invalide",IF(OR(AND(F449&lt;&gt;"",NOT(ISNUMBER(F449))),N(F449)&lt;0,N(F449)&gt;1),"Remise invalide",IF(K449="","Taux de TVA manquant",IF(NOT(ISNUMBER(K449)),"Taux de TVA invalide",IF(COUNTIF(p_rates,K449)=0,"Taux de TVA hors liste (Paramètres)",IF(N(O449)&gt;25,"Au-delà de 25 lignes : non imprimée","OK")))))))))))))</f>
        <v/>
      </c>
      <c r="O449" s="59" t="str">
        <f>IF(A449="","",COUNTIF($A$6:A449,A449))</f>
        <v/>
      </c>
      <c r="P449" s="62" t="str">
        <f>IF(A449="","",A449&amp;"|"&amp;O449)</f>
        <v/>
      </c>
    </row>
    <row r="450">
      <c r="A450" s="60" t="n"/>
      <c r="B450" s="63" t="n"/>
      <c r="C450" s="63" t="n"/>
      <c r="D450" s="67" t="n"/>
      <c r="E450" s="68" t="n"/>
      <c r="F450" s="69" t="n"/>
      <c r="G450" s="70" t="n"/>
      <c r="H450" s="62" t="str">
        <f>IF(COUNTA(A450:G450)=0,"",IF(C450&lt;&gt;"",C450,IF(B450="","",IFERROR(INDEX(pr_des,MATCH(B450,pr_code,0))&amp;"",""))))</f>
        <v/>
      </c>
      <c r="I450" s="59" t="str">
        <f>IF(B450="","",IFERROR(INDEX(pr_unit,MATCH(B450,pr_code,0))&amp;"",""))</f>
        <v/>
      </c>
      <c r="J450" s="65" t="str">
        <f>IF(COUNTA(A450:G450)=0,"",IF(E450&lt;&gt;"",E450,IF(B450="","",IFERROR(IF(INDEX(pr_price,MATCH(B450,pr_code,0))="","",INDEX(pr_price,MATCH(B450,pr_code,0))),""))))</f>
        <v/>
      </c>
      <c r="K450" s="71" t="str">
        <f>IF(COUNTA(A450:G450)=0,"",IF(G450&lt;&gt;"",G450,IF(B450="","",IFERROR(IF(INDEX(pr_rate,MATCH(B450,pr_code,0))="","",INDEX(pr_rate,MATCH(B450,pr_code,0))),""))))</f>
        <v/>
      </c>
      <c r="L450" s="65" t="str">
        <f>IF(COUNTA(A450:G450)=0,"",IF(AND(ISNUMBER(D450),ISNUMBER(J450)),ROUND(D450*J450*(1-N(F450)),2),0))</f>
        <v/>
      </c>
      <c r="M450" s="62" t="str">
        <f>IF(A450="","",IFERROR(INDEX(dv_cname,MATCH(A450,dv_num,0))&amp;"",""))</f>
        <v/>
      </c>
      <c r="N450" s="59" t="str">
        <f>IF(COUNTA(A450:G450)=0,"",IF(A450="","N° devis manquant",IF(ISNA(MATCH(A450,dv_num,0)),"Devis inconnu",IF(AND(B450&lt;&gt;"",ISNA(MATCH(B450,pr_code,0))),"Article inconnu",IF(H450="","Désignation manquante",IF(OR(NOT(ISNUMBER(D450)),N(D450)&lt;=0),"Quantité invalide",IF(J450="","Prix manquant",IF(OR(NOT(ISNUMBER(J450)),N(J450)&lt;0),"Prix invalide",IF(OR(AND(F450&lt;&gt;"",NOT(ISNUMBER(F450))),N(F450)&lt;0,N(F450)&gt;1),"Remise invalide",IF(K450="","Taux de TVA manquant",IF(NOT(ISNUMBER(K450)),"Taux de TVA invalide",IF(COUNTIF(p_rates,K450)=0,"Taux de TVA hors liste (Paramètres)",IF(N(O450)&gt;25,"Au-delà de 25 lignes : non imprimée","OK")))))))))))))</f>
        <v/>
      </c>
      <c r="O450" s="59" t="str">
        <f>IF(A450="","",COUNTIF($A$6:A450,A450))</f>
        <v/>
      </c>
      <c r="P450" s="62" t="str">
        <f>IF(A450="","",A450&amp;"|"&amp;O450)</f>
        <v/>
      </c>
    </row>
    <row r="451">
      <c r="A451" s="60" t="n"/>
      <c r="B451" s="63" t="n"/>
      <c r="C451" s="63" t="n"/>
      <c r="D451" s="67" t="n"/>
      <c r="E451" s="68" t="n"/>
      <c r="F451" s="69" t="n"/>
      <c r="G451" s="70" t="n"/>
      <c r="H451" s="62" t="str">
        <f>IF(COUNTA(A451:G451)=0,"",IF(C451&lt;&gt;"",C451,IF(B451="","",IFERROR(INDEX(pr_des,MATCH(B451,pr_code,0))&amp;"",""))))</f>
        <v/>
      </c>
      <c r="I451" s="59" t="str">
        <f>IF(B451="","",IFERROR(INDEX(pr_unit,MATCH(B451,pr_code,0))&amp;"",""))</f>
        <v/>
      </c>
      <c r="J451" s="65" t="str">
        <f>IF(COUNTA(A451:G451)=0,"",IF(E451&lt;&gt;"",E451,IF(B451="","",IFERROR(IF(INDEX(pr_price,MATCH(B451,pr_code,0))="","",INDEX(pr_price,MATCH(B451,pr_code,0))),""))))</f>
        <v/>
      </c>
      <c r="K451" s="71" t="str">
        <f>IF(COUNTA(A451:G451)=0,"",IF(G451&lt;&gt;"",G451,IF(B451="","",IFERROR(IF(INDEX(pr_rate,MATCH(B451,pr_code,0))="","",INDEX(pr_rate,MATCH(B451,pr_code,0))),""))))</f>
        <v/>
      </c>
      <c r="L451" s="65" t="str">
        <f>IF(COUNTA(A451:G451)=0,"",IF(AND(ISNUMBER(D451),ISNUMBER(J451)),ROUND(D451*J451*(1-N(F451)),2),0))</f>
        <v/>
      </c>
      <c r="M451" s="62" t="str">
        <f>IF(A451="","",IFERROR(INDEX(dv_cname,MATCH(A451,dv_num,0))&amp;"",""))</f>
        <v/>
      </c>
      <c r="N451" s="59" t="str">
        <f>IF(COUNTA(A451:G451)=0,"",IF(A451="","N° devis manquant",IF(ISNA(MATCH(A451,dv_num,0)),"Devis inconnu",IF(AND(B451&lt;&gt;"",ISNA(MATCH(B451,pr_code,0))),"Article inconnu",IF(H451="","Désignation manquante",IF(OR(NOT(ISNUMBER(D451)),N(D451)&lt;=0),"Quantité invalide",IF(J451="","Prix manquant",IF(OR(NOT(ISNUMBER(J451)),N(J451)&lt;0),"Prix invalide",IF(OR(AND(F451&lt;&gt;"",NOT(ISNUMBER(F451))),N(F451)&lt;0,N(F451)&gt;1),"Remise invalide",IF(K451="","Taux de TVA manquant",IF(NOT(ISNUMBER(K451)),"Taux de TVA invalide",IF(COUNTIF(p_rates,K451)=0,"Taux de TVA hors liste (Paramètres)",IF(N(O451)&gt;25,"Au-delà de 25 lignes : non imprimée","OK")))))))))))))</f>
        <v/>
      </c>
      <c r="O451" s="59" t="str">
        <f>IF(A451="","",COUNTIF($A$6:A451,A451))</f>
        <v/>
      </c>
      <c r="P451" s="62" t="str">
        <f>IF(A451="","",A451&amp;"|"&amp;O451)</f>
        <v/>
      </c>
    </row>
    <row r="452">
      <c r="A452" s="60" t="n"/>
      <c r="B452" s="63" t="n"/>
      <c r="C452" s="63" t="n"/>
      <c r="D452" s="67" t="n"/>
      <c r="E452" s="68" t="n"/>
      <c r="F452" s="69" t="n"/>
      <c r="G452" s="70" t="n"/>
      <c r="H452" s="62" t="str">
        <f>IF(COUNTA(A452:G452)=0,"",IF(C452&lt;&gt;"",C452,IF(B452="","",IFERROR(INDEX(pr_des,MATCH(B452,pr_code,0))&amp;"",""))))</f>
        <v/>
      </c>
      <c r="I452" s="59" t="str">
        <f>IF(B452="","",IFERROR(INDEX(pr_unit,MATCH(B452,pr_code,0))&amp;"",""))</f>
        <v/>
      </c>
      <c r="J452" s="65" t="str">
        <f>IF(COUNTA(A452:G452)=0,"",IF(E452&lt;&gt;"",E452,IF(B452="","",IFERROR(IF(INDEX(pr_price,MATCH(B452,pr_code,0))="","",INDEX(pr_price,MATCH(B452,pr_code,0))),""))))</f>
        <v/>
      </c>
      <c r="K452" s="71" t="str">
        <f>IF(COUNTA(A452:G452)=0,"",IF(G452&lt;&gt;"",G452,IF(B452="","",IFERROR(IF(INDEX(pr_rate,MATCH(B452,pr_code,0))="","",INDEX(pr_rate,MATCH(B452,pr_code,0))),""))))</f>
        <v/>
      </c>
      <c r="L452" s="65" t="str">
        <f>IF(COUNTA(A452:G452)=0,"",IF(AND(ISNUMBER(D452),ISNUMBER(J452)),ROUND(D452*J452*(1-N(F452)),2),0))</f>
        <v/>
      </c>
      <c r="M452" s="62" t="str">
        <f>IF(A452="","",IFERROR(INDEX(dv_cname,MATCH(A452,dv_num,0))&amp;"",""))</f>
        <v/>
      </c>
      <c r="N452" s="59" t="str">
        <f>IF(COUNTA(A452:G452)=0,"",IF(A452="","N° devis manquant",IF(ISNA(MATCH(A452,dv_num,0)),"Devis inconnu",IF(AND(B452&lt;&gt;"",ISNA(MATCH(B452,pr_code,0))),"Article inconnu",IF(H452="","Désignation manquante",IF(OR(NOT(ISNUMBER(D452)),N(D452)&lt;=0),"Quantité invalide",IF(J452="","Prix manquant",IF(OR(NOT(ISNUMBER(J452)),N(J452)&lt;0),"Prix invalide",IF(OR(AND(F452&lt;&gt;"",NOT(ISNUMBER(F452))),N(F452)&lt;0,N(F452)&gt;1),"Remise invalide",IF(K452="","Taux de TVA manquant",IF(NOT(ISNUMBER(K452)),"Taux de TVA invalide",IF(COUNTIF(p_rates,K452)=0,"Taux de TVA hors liste (Paramètres)",IF(N(O452)&gt;25,"Au-delà de 25 lignes : non imprimée","OK")))))))))))))</f>
        <v/>
      </c>
      <c r="O452" s="59" t="str">
        <f>IF(A452="","",COUNTIF($A$6:A452,A452))</f>
        <v/>
      </c>
      <c r="P452" s="62" t="str">
        <f>IF(A452="","",A452&amp;"|"&amp;O452)</f>
        <v/>
      </c>
    </row>
    <row r="453">
      <c r="A453" s="60" t="n"/>
      <c r="B453" s="63" t="n"/>
      <c r="C453" s="63" t="n"/>
      <c r="D453" s="67" t="n"/>
      <c r="E453" s="68" t="n"/>
      <c r="F453" s="69" t="n"/>
      <c r="G453" s="70" t="n"/>
      <c r="H453" s="62" t="str">
        <f>IF(COUNTA(A453:G453)=0,"",IF(C453&lt;&gt;"",C453,IF(B453="","",IFERROR(INDEX(pr_des,MATCH(B453,pr_code,0))&amp;"",""))))</f>
        <v/>
      </c>
      <c r="I453" s="59" t="str">
        <f>IF(B453="","",IFERROR(INDEX(pr_unit,MATCH(B453,pr_code,0))&amp;"",""))</f>
        <v/>
      </c>
      <c r="J453" s="65" t="str">
        <f>IF(COUNTA(A453:G453)=0,"",IF(E453&lt;&gt;"",E453,IF(B453="","",IFERROR(IF(INDEX(pr_price,MATCH(B453,pr_code,0))="","",INDEX(pr_price,MATCH(B453,pr_code,0))),""))))</f>
        <v/>
      </c>
      <c r="K453" s="71" t="str">
        <f>IF(COUNTA(A453:G453)=0,"",IF(G453&lt;&gt;"",G453,IF(B453="","",IFERROR(IF(INDEX(pr_rate,MATCH(B453,pr_code,0))="","",INDEX(pr_rate,MATCH(B453,pr_code,0))),""))))</f>
        <v/>
      </c>
      <c r="L453" s="65" t="str">
        <f>IF(COUNTA(A453:G453)=0,"",IF(AND(ISNUMBER(D453),ISNUMBER(J453)),ROUND(D453*J453*(1-N(F453)),2),0))</f>
        <v/>
      </c>
      <c r="M453" s="62" t="str">
        <f>IF(A453="","",IFERROR(INDEX(dv_cname,MATCH(A453,dv_num,0))&amp;"",""))</f>
        <v/>
      </c>
      <c r="N453" s="59" t="str">
        <f>IF(COUNTA(A453:G453)=0,"",IF(A453="","N° devis manquant",IF(ISNA(MATCH(A453,dv_num,0)),"Devis inconnu",IF(AND(B453&lt;&gt;"",ISNA(MATCH(B453,pr_code,0))),"Article inconnu",IF(H453="","Désignation manquante",IF(OR(NOT(ISNUMBER(D453)),N(D453)&lt;=0),"Quantité invalide",IF(J453="","Prix manquant",IF(OR(NOT(ISNUMBER(J453)),N(J453)&lt;0),"Prix invalide",IF(OR(AND(F453&lt;&gt;"",NOT(ISNUMBER(F453))),N(F453)&lt;0,N(F453)&gt;1),"Remise invalide",IF(K453="","Taux de TVA manquant",IF(NOT(ISNUMBER(K453)),"Taux de TVA invalide",IF(COUNTIF(p_rates,K453)=0,"Taux de TVA hors liste (Paramètres)",IF(N(O453)&gt;25,"Au-delà de 25 lignes : non imprimée","OK")))))))))))))</f>
        <v/>
      </c>
      <c r="O453" s="59" t="str">
        <f>IF(A453="","",COUNTIF($A$6:A453,A453))</f>
        <v/>
      </c>
      <c r="P453" s="62" t="str">
        <f>IF(A453="","",A453&amp;"|"&amp;O453)</f>
        <v/>
      </c>
    </row>
    <row r="454">
      <c r="A454" s="60" t="n"/>
      <c r="B454" s="63" t="n"/>
      <c r="C454" s="63" t="n"/>
      <c r="D454" s="67" t="n"/>
      <c r="E454" s="68" t="n"/>
      <c r="F454" s="69" t="n"/>
      <c r="G454" s="70" t="n"/>
      <c r="H454" s="62" t="str">
        <f>IF(COUNTA(A454:G454)=0,"",IF(C454&lt;&gt;"",C454,IF(B454="","",IFERROR(INDEX(pr_des,MATCH(B454,pr_code,0))&amp;"",""))))</f>
        <v/>
      </c>
      <c r="I454" s="59" t="str">
        <f>IF(B454="","",IFERROR(INDEX(pr_unit,MATCH(B454,pr_code,0))&amp;"",""))</f>
        <v/>
      </c>
      <c r="J454" s="65" t="str">
        <f>IF(COUNTA(A454:G454)=0,"",IF(E454&lt;&gt;"",E454,IF(B454="","",IFERROR(IF(INDEX(pr_price,MATCH(B454,pr_code,0))="","",INDEX(pr_price,MATCH(B454,pr_code,0))),""))))</f>
        <v/>
      </c>
      <c r="K454" s="71" t="str">
        <f>IF(COUNTA(A454:G454)=0,"",IF(G454&lt;&gt;"",G454,IF(B454="","",IFERROR(IF(INDEX(pr_rate,MATCH(B454,pr_code,0))="","",INDEX(pr_rate,MATCH(B454,pr_code,0))),""))))</f>
        <v/>
      </c>
      <c r="L454" s="65" t="str">
        <f>IF(COUNTA(A454:G454)=0,"",IF(AND(ISNUMBER(D454),ISNUMBER(J454)),ROUND(D454*J454*(1-N(F454)),2),0))</f>
        <v/>
      </c>
      <c r="M454" s="62" t="str">
        <f>IF(A454="","",IFERROR(INDEX(dv_cname,MATCH(A454,dv_num,0))&amp;"",""))</f>
        <v/>
      </c>
      <c r="N454" s="59" t="str">
        <f>IF(COUNTA(A454:G454)=0,"",IF(A454="","N° devis manquant",IF(ISNA(MATCH(A454,dv_num,0)),"Devis inconnu",IF(AND(B454&lt;&gt;"",ISNA(MATCH(B454,pr_code,0))),"Article inconnu",IF(H454="","Désignation manquante",IF(OR(NOT(ISNUMBER(D454)),N(D454)&lt;=0),"Quantité invalide",IF(J454="","Prix manquant",IF(OR(NOT(ISNUMBER(J454)),N(J454)&lt;0),"Prix invalide",IF(OR(AND(F454&lt;&gt;"",NOT(ISNUMBER(F454))),N(F454)&lt;0,N(F454)&gt;1),"Remise invalide",IF(K454="","Taux de TVA manquant",IF(NOT(ISNUMBER(K454)),"Taux de TVA invalide",IF(COUNTIF(p_rates,K454)=0,"Taux de TVA hors liste (Paramètres)",IF(N(O454)&gt;25,"Au-delà de 25 lignes : non imprimée","OK")))))))))))))</f>
        <v/>
      </c>
      <c r="O454" s="59" t="str">
        <f>IF(A454="","",COUNTIF($A$6:A454,A454))</f>
        <v/>
      </c>
      <c r="P454" s="62" t="str">
        <f>IF(A454="","",A454&amp;"|"&amp;O454)</f>
        <v/>
      </c>
    </row>
    <row r="455">
      <c r="A455" s="60" t="n"/>
      <c r="B455" s="63" t="n"/>
      <c r="C455" s="63" t="n"/>
      <c r="D455" s="67" t="n"/>
      <c r="E455" s="68" t="n"/>
      <c r="F455" s="69" t="n"/>
      <c r="G455" s="70" t="n"/>
      <c r="H455" s="62" t="str">
        <f>IF(COUNTA(A455:G455)=0,"",IF(C455&lt;&gt;"",C455,IF(B455="","",IFERROR(INDEX(pr_des,MATCH(B455,pr_code,0))&amp;"",""))))</f>
        <v/>
      </c>
      <c r="I455" s="59" t="str">
        <f>IF(B455="","",IFERROR(INDEX(pr_unit,MATCH(B455,pr_code,0))&amp;"",""))</f>
        <v/>
      </c>
      <c r="J455" s="65" t="str">
        <f>IF(COUNTA(A455:G455)=0,"",IF(E455&lt;&gt;"",E455,IF(B455="","",IFERROR(IF(INDEX(pr_price,MATCH(B455,pr_code,0))="","",INDEX(pr_price,MATCH(B455,pr_code,0))),""))))</f>
        <v/>
      </c>
      <c r="K455" s="71" t="str">
        <f>IF(COUNTA(A455:G455)=0,"",IF(G455&lt;&gt;"",G455,IF(B455="","",IFERROR(IF(INDEX(pr_rate,MATCH(B455,pr_code,0))="","",INDEX(pr_rate,MATCH(B455,pr_code,0))),""))))</f>
        <v/>
      </c>
      <c r="L455" s="65" t="str">
        <f>IF(COUNTA(A455:G455)=0,"",IF(AND(ISNUMBER(D455),ISNUMBER(J455)),ROUND(D455*J455*(1-N(F455)),2),0))</f>
        <v/>
      </c>
      <c r="M455" s="62" t="str">
        <f>IF(A455="","",IFERROR(INDEX(dv_cname,MATCH(A455,dv_num,0))&amp;"",""))</f>
        <v/>
      </c>
      <c r="N455" s="59" t="str">
        <f>IF(COUNTA(A455:G455)=0,"",IF(A455="","N° devis manquant",IF(ISNA(MATCH(A455,dv_num,0)),"Devis inconnu",IF(AND(B455&lt;&gt;"",ISNA(MATCH(B455,pr_code,0))),"Article inconnu",IF(H455="","Désignation manquante",IF(OR(NOT(ISNUMBER(D455)),N(D455)&lt;=0),"Quantité invalide",IF(J455="","Prix manquant",IF(OR(NOT(ISNUMBER(J455)),N(J455)&lt;0),"Prix invalide",IF(OR(AND(F455&lt;&gt;"",NOT(ISNUMBER(F455))),N(F455)&lt;0,N(F455)&gt;1),"Remise invalide",IF(K455="","Taux de TVA manquant",IF(NOT(ISNUMBER(K455)),"Taux de TVA invalide",IF(COUNTIF(p_rates,K455)=0,"Taux de TVA hors liste (Paramètres)",IF(N(O455)&gt;25,"Au-delà de 25 lignes : non imprimée","OK")))))))))))))</f>
        <v/>
      </c>
      <c r="O455" s="59" t="str">
        <f>IF(A455="","",COUNTIF($A$6:A455,A455))</f>
        <v/>
      </c>
      <c r="P455" s="62" t="str">
        <f>IF(A455="","",A455&amp;"|"&amp;O455)</f>
        <v/>
      </c>
    </row>
    <row r="456">
      <c r="A456" s="60" t="n"/>
      <c r="B456" s="63" t="n"/>
      <c r="C456" s="63" t="n"/>
      <c r="D456" s="67" t="n"/>
      <c r="E456" s="68" t="n"/>
      <c r="F456" s="69" t="n"/>
      <c r="G456" s="70" t="n"/>
      <c r="H456" s="62" t="str">
        <f>IF(COUNTA(A456:G456)=0,"",IF(C456&lt;&gt;"",C456,IF(B456="","",IFERROR(INDEX(pr_des,MATCH(B456,pr_code,0))&amp;"",""))))</f>
        <v/>
      </c>
      <c r="I456" s="59" t="str">
        <f>IF(B456="","",IFERROR(INDEX(pr_unit,MATCH(B456,pr_code,0))&amp;"",""))</f>
        <v/>
      </c>
      <c r="J456" s="65" t="str">
        <f>IF(COUNTA(A456:G456)=0,"",IF(E456&lt;&gt;"",E456,IF(B456="","",IFERROR(IF(INDEX(pr_price,MATCH(B456,pr_code,0))="","",INDEX(pr_price,MATCH(B456,pr_code,0))),""))))</f>
        <v/>
      </c>
      <c r="K456" s="71" t="str">
        <f>IF(COUNTA(A456:G456)=0,"",IF(G456&lt;&gt;"",G456,IF(B456="","",IFERROR(IF(INDEX(pr_rate,MATCH(B456,pr_code,0))="","",INDEX(pr_rate,MATCH(B456,pr_code,0))),""))))</f>
        <v/>
      </c>
      <c r="L456" s="65" t="str">
        <f>IF(COUNTA(A456:G456)=0,"",IF(AND(ISNUMBER(D456),ISNUMBER(J456)),ROUND(D456*J456*(1-N(F456)),2),0))</f>
        <v/>
      </c>
      <c r="M456" s="62" t="str">
        <f>IF(A456="","",IFERROR(INDEX(dv_cname,MATCH(A456,dv_num,0))&amp;"",""))</f>
        <v/>
      </c>
      <c r="N456" s="59" t="str">
        <f>IF(COUNTA(A456:G456)=0,"",IF(A456="","N° devis manquant",IF(ISNA(MATCH(A456,dv_num,0)),"Devis inconnu",IF(AND(B456&lt;&gt;"",ISNA(MATCH(B456,pr_code,0))),"Article inconnu",IF(H456="","Désignation manquante",IF(OR(NOT(ISNUMBER(D456)),N(D456)&lt;=0),"Quantité invalide",IF(J456="","Prix manquant",IF(OR(NOT(ISNUMBER(J456)),N(J456)&lt;0),"Prix invalide",IF(OR(AND(F456&lt;&gt;"",NOT(ISNUMBER(F456))),N(F456)&lt;0,N(F456)&gt;1),"Remise invalide",IF(K456="","Taux de TVA manquant",IF(NOT(ISNUMBER(K456)),"Taux de TVA invalide",IF(COUNTIF(p_rates,K456)=0,"Taux de TVA hors liste (Paramètres)",IF(N(O456)&gt;25,"Au-delà de 25 lignes : non imprimée","OK")))))))))))))</f>
        <v/>
      </c>
      <c r="O456" s="59" t="str">
        <f>IF(A456="","",COUNTIF($A$6:A456,A456))</f>
        <v/>
      </c>
      <c r="P456" s="62" t="str">
        <f>IF(A456="","",A456&amp;"|"&amp;O456)</f>
        <v/>
      </c>
    </row>
    <row r="457">
      <c r="A457" s="60" t="n"/>
      <c r="B457" s="63" t="n"/>
      <c r="C457" s="63" t="n"/>
      <c r="D457" s="67" t="n"/>
      <c r="E457" s="68" t="n"/>
      <c r="F457" s="69" t="n"/>
      <c r="G457" s="70" t="n"/>
      <c r="H457" s="62" t="str">
        <f>IF(COUNTA(A457:G457)=0,"",IF(C457&lt;&gt;"",C457,IF(B457="","",IFERROR(INDEX(pr_des,MATCH(B457,pr_code,0))&amp;"",""))))</f>
        <v/>
      </c>
      <c r="I457" s="59" t="str">
        <f>IF(B457="","",IFERROR(INDEX(pr_unit,MATCH(B457,pr_code,0))&amp;"",""))</f>
        <v/>
      </c>
      <c r="J457" s="65" t="str">
        <f>IF(COUNTA(A457:G457)=0,"",IF(E457&lt;&gt;"",E457,IF(B457="","",IFERROR(IF(INDEX(pr_price,MATCH(B457,pr_code,0))="","",INDEX(pr_price,MATCH(B457,pr_code,0))),""))))</f>
        <v/>
      </c>
      <c r="K457" s="71" t="str">
        <f>IF(COUNTA(A457:G457)=0,"",IF(G457&lt;&gt;"",G457,IF(B457="","",IFERROR(IF(INDEX(pr_rate,MATCH(B457,pr_code,0))="","",INDEX(pr_rate,MATCH(B457,pr_code,0))),""))))</f>
        <v/>
      </c>
      <c r="L457" s="65" t="str">
        <f>IF(COUNTA(A457:G457)=0,"",IF(AND(ISNUMBER(D457),ISNUMBER(J457)),ROUND(D457*J457*(1-N(F457)),2),0))</f>
        <v/>
      </c>
      <c r="M457" s="62" t="str">
        <f>IF(A457="","",IFERROR(INDEX(dv_cname,MATCH(A457,dv_num,0))&amp;"",""))</f>
        <v/>
      </c>
      <c r="N457" s="59" t="str">
        <f>IF(COUNTA(A457:G457)=0,"",IF(A457="","N° devis manquant",IF(ISNA(MATCH(A457,dv_num,0)),"Devis inconnu",IF(AND(B457&lt;&gt;"",ISNA(MATCH(B457,pr_code,0))),"Article inconnu",IF(H457="","Désignation manquante",IF(OR(NOT(ISNUMBER(D457)),N(D457)&lt;=0),"Quantité invalide",IF(J457="","Prix manquant",IF(OR(NOT(ISNUMBER(J457)),N(J457)&lt;0),"Prix invalide",IF(OR(AND(F457&lt;&gt;"",NOT(ISNUMBER(F457))),N(F457)&lt;0,N(F457)&gt;1),"Remise invalide",IF(K457="","Taux de TVA manquant",IF(NOT(ISNUMBER(K457)),"Taux de TVA invalide",IF(COUNTIF(p_rates,K457)=0,"Taux de TVA hors liste (Paramètres)",IF(N(O457)&gt;25,"Au-delà de 25 lignes : non imprimée","OK")))))))))))))</f>
        <v/>
      </c>
      <c r="O457" s="59" t="str">
        <f>IF(A457="","",COUNTIF($A$6:A457,A457))</f>
        <v/>
      </c>
      <c r="P457" s="62" t="str">
        <f>IF(A457="","",A457&amp;"|"&amp;O457)</f>
        <v/>
      </c>
    </row>
    <row r="458">
      <c r="A458" s="60" t="n"/>
      <c r="B458" s="63" t="n"/>
      <c r="C458" s="63" t="n"/>
      <c r="D458" s="67" t="n"/>
      <c r="E458" s="68" t="n"/>
      <c r="F458" s="69" t="n"/>
      <c r="G458" s="70" t="n"/>
      <c r="H458" s="62" t="str">
        <f>IF(COUNTA(A458:G458)=0,"",IF(C458&lt;&gt;"",C458,IF(B458="","",IFERROR(INDEX(pr_des,MATCH(B458,pr_code,0))&amp;"",""))))</f>
        <v/>
      </c>
      <c r="I458" s="59" t="str">
        <f>IF(B458="","",IFERROR(INDEX(pr_unit,MATCH(B458,pr_code,0))&amp;"",""))</f>
        <v/>
      </c>
      <c r="J458" s="65" t="str">
        <f>IF(COUNTA(A458:G458)=0,"",IF(E458&lt;&gt;"",E458,IF(B458="","",IFERROR(IF(INDEX(pr_price,MATCH(B458,pr_code,0))="","",INDEX(pr_price,MATCH(B458,pr_code,0))),""))))</f>
        <v/>
      </c>
      <c r="K458" s="71" t="str">
        <f>IF(COUNTA(A458:G458)=0,"",IF(G458&lt;&gt;"",G458,IF(B458="","",IFERROR(IF(INDEX(pr_rate,MATCH(B458,pr_code,0))="","",INDEX(pr_rate,MATCH(B458,pr_code,0))),""))))</f>
        <v/>
      </c>
      <c r="L458" s="65" t="str">
        <f>IF(COUNTA(A458:G458)=0,"",IF(AND(ISNUMBER(D458),ISNUMBER(J458)),ROUND(D458*J458*(1-N(F458)),2),0))</f>
        <v/>
      </c>
      <c r="M458" s="62" t="str">
        <f>IF(A458="","",IFERROR(INDEX(dv_cname,MATCH(A458,dv_num,0))&amp;"",""))</f>
        <v/>
      </c>
      <c r="N458" s="59" t="str">
        <f>IF(COUNTA(A458:G458)=0,"",IF(A458="","N° devis manquant",IF(ISNA(MATCH(A458,dv_num,0)),"Devis inconnu",IF(AND(B458&lt;&gt;"",ISNA(MATCH(B458,pr_code,0))),"Article inconnu",IF(H458="","Désignation manquante",IF(OR(NOT(ISNUMBER(D458)),N(D458)&lt;=0),"Quantité invalide",IF(J458="","Prix manquant",IF(OR(NOT(ISNUMBER(J458)),N(J458)&lt;0),"Prix invalide",IF(OR(AND(F458&lt;&gt;"",NOT(ISNUMBER(F458))),N(F458)&lt;0,N(F458)&gt;1),"Remise invalide",IF(K458="","Taux de TVA manquant",IF(NOT(ISNUMBER(K458)),"Taux de TVA invalide",IF(COUNTIF(p_rates,K458)=0,"Taux de TVA hors liste (Paramètres)",IF(N(O458)&gt;25,"Au-delà de 25 lignes : non imprimée","OK")))))))))))))</f>
        <v/>
      </c>
      <c r="O458" s="59" t="str">
        <f>IF(A458="","",COUNTIF($A$6:A458,A458))</f>
        <v/>
      </c>
      <c r="P458" s="62" t="str">
        <f>IF(A458="","",A458&amp;"|"&amp;O458)</f>
        <v/>
      </c>
    </row>
    <row r="459">
      <c r="A459" s="60" t="n"/>
      <c r="B459" s="63" t="n"/>
      <c r="C459" s="63" t="n"/>
      <c r="D459" s="67" t="n"/>
      <c r="E459" s="68" t="n"/>
      <c r="F459" s="69" t="n"/>
      <c r="G459" s="70" t="n"/>
      <c r="H459" s="62" t="str">
        <f>IF(COUNTA(A459:G459)=0,"",IF(C459&lt;&gt;"",C459,IF(B459="","",IFERROR(INDEX(pr_des,MATCH(B459,pr_code,0))&amp;"",""))))</f>
        <v/>
      </c>
      <c r="I459" s="59" t="str">
        <f>IF(B459="","",IFERROR(INDEX(pr_unit,MATCH(B459,pr_code,0))&amp;"",""))</f>
        <v/>
      </c>
      <c r="J459" s="65" t="str">
        <f>IF(COUNTA(A459:G459)=0,"",IF(E459&lt;&gt;"",E459,IF(B459="","",IFERROR(IF(INDEX(pr_price,MATCH(B459,pr_code,0))="","",INDEX(pr_price,MATCH(B459,pr_code,0))),""))))</f>
        <v/>
      </c>
      <c r="K459" s="71" t="str">
        <f>IF(COUNTA(A459:G459)=0,"",IF(G459&lt;&gt;"",G459,IF(B459="","",IFERROR(IF(INDEX(pr_rate,MATCH(B459,pr_code,0))="","",INDEX(pr_rate,MATCH(B459,pr_code,0))),""))))</f>
        <v/>
      </c>
      <c r="L459" s="65" t="str">
        <f>IF(COUNTA(A459:G459)=0,"",IF(AND(ISNUMBER(D459),ISNUMBER(J459)),ROUND(D459*J459*(1-N(F459)),2),0))</f>
        <v/>
      </c>
      <c r="M459" s="62" t="str">
        <f>IF(A459="","",IFERROR(INDEX(dv_cname,MATCH(A459,dv_num,0))&amp;"",""))</f>
        <v/>
      </c>
      <c r="N459" s="59" t="str">
        <f>IF(COUNTA(A459:G459)=0,"",IF(A459="","N° devis manquant",IF(ISNA(MATCH(A459,dv_num,0)),"Devis inconnu",IF(AND(B459&lt;&gt;"",ISNA(MATCH(B459,pr_code,0))),"Article inconnu",IF(H459="","Désignation manquante",IF(OR(NOT(ISNUMBER(D459)),N(D459)&lt;=0),"Quantité invalide",IF(J459="","Prix manquant",IF(OR(NOT(ISNUMBER(J459)),N(J459)&lt;0),"Prix invalide",IF(OR(AND(F459&lt;&gt;"",NOT(ISNUMBER(F459))),N(F459)&lt;0,N(F459)&gt;1),"Remise invalide",IF(K459="","Taux de TVA manquant",IF(NOT(ISNUMBER(K459)),"Taux de TVA invalide",IF(COUNTIF(p_rates,K459)=0,"Taux de TVA hors liste (Paramètres)",IF(N(O459)&gt;25,"Au-delà de 25 lignes : non imprimée","OK")))))))))))))</f>
        <v/>
      </c>
      <c r="O459" s="59" t="str">
        <f>IF(A459="","",COUNTIF($A$6:A459,A459))</f>
        <v/>
      </c>
      <c r="P459" s="62" t="str">
        <f>IF(A459="","",A459&amp;"|"&amp;O459)</f>
        <v/>
      </c>
    </row>
    <row r="460">
      <c r="A460" s="60" t="n"/>
      <c r="B460" s="63" t="n"/>
      <c r="C460" s="63" t="n"/>
      <c r="D460" s="67" t="n"/>
      <c r="E460" s="68" t="n"/>
      <c r="F460" s="69" t="n"/>
      <c r="G460" s="70" t="n"/>
      <c r="H460" s="62" t="str">
        <f>IF(COUNTA(A460:G460)=0,"",IF(C460&lt;&gt;"",C460,IF(B460="","",IFERROR(INDEX(pr_des,MATCH(B460,pr_code,0))&amp;"",""))))</f>
        <v/>
      </c>
      <c r="I460" s="59" t="str">
        <f>IF(B460="","",IFERROR(INDEX(pr_unit,MATCH(B460,pr_code,0))&amp;"",""))</f>
        <v/>
      </c>
      <c r="J460" s="65" t="str">
        <f>IF(COUNTA(A460:G460)=0,"",IF(E460&lt;&gt;"",E460,IF(B460="","",IFERROR(IF(INDEX(pr_price,MATCH(B460,pr_code,0))="","",INDEX(pr_price,MATCH(B460,pr_code,0))),""))))</f>
        <v/>
      </c>
      <c r="K460" s="71" t="str">
        <f>IF(COUNTA(A460:G460)=0,"",IF(G460&lt;&gt;"",G460,IF(B460="","",IFERROR(IF(INDEX(pr_rate,MATCH(B460,pr_code,0))="","",INDEX(pr_rate,MATCH(B460,pr_code,0))),""))))</f>
        <v/>
      </c>
      <c r="L460" s="65" t="str">
        <f>IF(COUNTA(A460:G460)=0,"",IF(AND(ISNUMBER(D460),ISNUMBER(J460)),ROUND(D460*J460*(1-N(F460)),2),0))</f>
        <v/>
      </c>
      <c r="M460" s="62" t="str">
        <f>IF(A460="","",IFERROR(INDEX(dv_cname,MATCH(A460,dv_num,0))&amp;"",""))</f>
        <v/>
      </c>
      <c r="N460" s="59" t="str">
        <f>IF(COUNTA(A460:G460)=0,"",IF(A460="","N° devis manquant",IF(ISNA(MATCH(A460,dv_num,0)),"Devis inconnu",IF(AND(B460&lt;&gt;"",ISNA(MATCH(B460,pr_code,0))),"Article inconnu",IF(H460="","Désignation manquante",IF(OR(NOT(ISNUMBER(D460)),N(D460)&lt;=0),"Quantité invalide",IF(J460="","Prix manquant",IF(OR(NOT(ISNUMBER(J460)),N(J460)&lt;0),"Prix invalide",IF(OR(AND(F460&lt;&gt;"",NOT(ISNUMBER(F460))),N(F460)&lt;0,N(F460)&gt;1),"Remise invalide",IF(K460="","Taux de TVA manquant",IF(NOT(ISNUMBER(K460)),"Taux de TVA invalide",IF(COUNTIF(p_rates,K460)=0,"Taux de TVA hors liste (Paramètres)",IF(N(O460)&gt;25,"Au-delà de 25 lignes : non imprimée","OK")))))))))))))</f>
        <v/>
      </c>
      <c r="O460" s="59" t="str">
        <f>IF(A460="","",COUNTIF($A$6:A460,A460))</f>
        <v/>
      </c>
      <c r="P460" s="62" t="str">
        <f>IF(A460="","",A460&amp;"|"&amp;O460)</f>
        <v/>
      </c>
    </row>
    <row r="461">
      <c r="A461" s="60" t="n"/>
      <c r="B461" s="63" t="n"/>
      <c r="C461" s="63" t="n"/>
      <c r="D461" s="67" t="n"/>
      <c r="E461" s="68" t="n"/>
      <c r="F461" s="69" t="n"/>
      <c r="G461" s="70" t="n"/>
      <c r="H461" s="62" t="str">
        <f>IF(COUNTA(A461:G461)=0,"",IF(C461&lt;&gt;"",C461,IF(B461="","",IFERROR(INDEX(pr_des,MATCH(B461,pr_code,0))&amp;"",""))))</f>
        <v/>
      </c>
      <c r="I461" s="59" t="str">
        <f>IF(B461="","",IFERROR(INDEX(pr_unit,MATCH(B461,pr_code,0))&amp;"",""))</f>
        <v/>
      </c>
      <c r="J461" s="65" t="str">
        <f>IF(COUNTA(A461:G461)=0,"",IF(E461&lt;&gt;"",E461,IF(B461="","",IFERROR(IF(INDEX(pr_price,MATCH(B461,pr_code,0))="","",INDEX(pr_price,MATCH(B461,pr_code,0))),""))))</f>
        <v/>
      </c>
      <c r="K461" s="71" t="str">
        <f>IF(COUNTA(A461:G461)=0,"",IF(G461&lt;&gt;"",G461,IF(B461="","",IFERROR(IF(INDEX(pr_rate,MATCH(B461,pr_code,0))="","",INDEX(pr_rate,MATCH(B461,pr_code,0))),""))))</f>
        <v/>
      </c>
      <c r="L461" s="65" t="str">
        <f>IF(COUNTA(A461:G461)=0,"",IF(AND(ISNUMBER(D461),ISNUMBER(J461)),ROUND(D461*J461*(1-N(F461)),2),0))</f>
        <v/>
      </c>
      <c r="M461" s="62" t="str">
        <f>IF(A461="","",IFERROR(INDEX(dv_cname,MATCH(A461,dv_num,0))&amp;"",""))</f>
        <v/>
      </c>
      <c r="N461" s="59" t="str">
        <f>IF(COUNTA(A461:G461)=0,"",IF(A461="","N° devis manquant",IF(ISNA(MATCH(A461,dv_num,0)),"Devis inconnu",IF(AND(B461&lt;&gt;"",ISNA(MATCH(B461,pr_code,0))),"Article inconnu",IF(H461="","Désignation manquante",IF(OR(NOT(ISNUMBER(D461)),N(D461)&lt;=0),"Quantité invalide",IF(J461="","Prix manquant",IF(OR(NOT(ISNUMBER(J461)),N(J461)&lt;0),"Prix invalide",IF(OR(AND(F461&lt;&gt;"",NOT(ISNUMBER(F461))),N(F461)&lt;0,N(F461)&gt;1),"Remise invalide",IF(K461="","Taux de TVA manquant",IF(NOT(ISNUMBER(K461)),"Taux de TVA invalide",IF(COUNTIF(p_rates,K461)=0,"Taux de TVA hors liste (Paramètres)",IF(N(O461)&gt;25,"Au-delà de 25 lignes : non imprimée","OK")))))))))))))</f>
        <v/>
      </c>
      <c r="O461" s="59" t="str">
        <f>IF(A461="","",COUNTIF($A$6:A461,A461))</f>
        <v/>
      </c>
      <c r="P461" s="62" t="str">
        <f>IF(A461="","",A461&amp;"|"&amp;O461)</f>
        <v/>
      </c>
    </row>
    <row r="462">
      <c r="A462" s="60" t="n"/>
      <c r="B462" s="63" t="n"/>
      <c r="C462" s="63" t="n"/>
      <c r="D462" s="67" t="n"/>
      <c r="E462" s="68" t="n"/>
      <c r="F462" s="69" t="n"/>
      <c r="G462" s="70" t="n"/>
      <c r="H462" s="62" t="str">
        <f>IF(COUNTA(A462:G462)=0,"",IF(C462&lt;&gt;"",C462,IF(B462="","",IFERROR(INDEX(pr_des,MATCH(B462,pr_code,0))&amp;"",""))))</f>
        <v/>
      </c>
      <c r="I462" s="59" t="str">
        <f>IF(B462="","",IFERROR(INDEX(pr_unit,MATCH(B462,pr_code,0))&amp;"",""))</f>
        <v/>
      </c>
      <c r="J462" s="65" t="str">
        <f>IF(COUNTA(A462:G462)=0,"",IF(E462&lt;&gt;"",E462,IF(B462="","",IFERROR(IF(INDEX(pr_price,MATCH(B462,pr_code,0))="","",INDEX(pr_price,MATCH(B462,pr_code,0))),""))))</f>
        <v/>
      </c>
      <c r="K462" s="71" t="str">
        <f>IF(COUNTA(A462:G462)=0,"",IF(G462&lt;&gt;"",G462,IF(B462="","",IFERROR(IF(INDEX(pr_rate,MATCH(B462,pr_code,0))="","",INDEX(pr_rate,MATCH(B462,pr_code,0))),""))))</f>
        <v/>
      </c>
      <c r="L462" s="65" t="str">
        <f>IF(COUNTA(A462:G462)=0,"",IF(AND(ISNUMBER(D462),ISNUMBER(J462)),ROUND(D462*J462*(1-N(F462)),2),0))</f>
        <v/>
      </c>
      <c r="M462" s="62" t="str">
        <f>IF(A462="","",IFERROR(INDEX(dv_cname,MATCH(A462,dv_num,0))&amp;"",""))</f>
        <v/>
      </c>
      <c r="N462" s="59" t="str">
        <f>IF(COUNTA(A462:G462)=0,"",IF(A462="","N° devis manquant",IF(ISNA(MATCH(A462,dv_num,0)),"Devis inconnu",IF(AND(B462&lt;&gt;"",ISNA(MATCH(B462,pr_code,0))),"Article inconnu",IF(H462="","Désignation manquante",IF(OR(NOT(ISNUMBER(D462)),N(D462)&lt;=0),"Quantité invalide",IF(J462="","Prix manquant",IF(OR(NOT(ISNUMBER(J462)),N(J462)&lt;0),"Prix invalide",IF(OR(AND(F462&lt;&gt;"",NOT(ISNUMBER(F462))),N(F462)&lt;0,N(F462)&gt;1),"Remise invalide",IF(K462="","Taux de TVA manquant",IF(NOT(ISNUMBER(K462)),"Taux de TVA invalide",IF(COUNTIF(p_rates,K462)=0,"Taux de TVA hors liste (Paramètres)",IF(N(O462)&gt;25,"Au-delà de 25 lignes : non imprimée","OK")))))))))))))</f>
        <v/>
      </c>
      <c r="O462" s="59" t="str">
        <f>IF(A462="","",COUNTIF($A$6:A462,A462))</f>
        <v/>
      </c>
      <c r="P462" s="62" t="str">
        <f>IF(A462="","",A462&amp;"|"&amp;O462)</f>
        <v/>
      </c>
    </row>
    <row r="463">
      <c r="A463" s="60" t="n"/>
      <c r="B463" s="63" t="n"/>
      <c r="C463" s="63" t="n"/>
      <c r="D463" s="67" t="n"/>
      <c r="E463" s="68" t="n"/>
      <c r="F463" s="69" t="n"/>
      <c r="G463" s="70" t="n"/>
      <c r="H463" s="62" t="str">
        <f>IF(COUNTA(A463:G463)=0,"",IF(C463&lt;&gt;"",C463,IF(B463="","",IFERROR(INDEX(pr_des,MATCH(B463,pr_code,0))&amp;"",""))))</f>
        <v/>
      </c>
      <c r="I463" s="59" t="str">
        <f>IF(B463="","",IFERROR(INDEX(pr_unit,MATCH(B463,pr_code,0))&amp;"",""))</f>
        <v/>
      </c>
      <c r="J463" s="65" t="str">
        <f>IF(COUNTA(A463:G463)=0,"",IF(E463&lt;&gt;"",E463,IF(B463="","",IFERROR(IF(INDEX(pr_price,MATCH(B463,pr_code,0))="","",INDEX(pr_price,MATCH(B463,pr_code,0))),""))))</f>
        <v/>
      </c>
      <c r="K463" s="71" t="str">
        <f>IF(COUNTA(A463:G463)=0,"",IF(G463&lt;&gt;"",G463,IF(B463="","",IFERROR(IF(INDEX(pr_rate,MATCH(B463,pr_code,0))="","",INDEX(pr_rate,MATCH(B463,pr_code,0))),""))))</f>
        <v/>
      </c>
      <c r="L463" s="65" t="str">
        <f>IF(COUNTA(A463:G463)=0,"",IF(AND(ISNUMBER(D463),ISNUMBER(J463)),ROUND(D463*J463*(1-N(F463)),2),0))</f>
        <v/>
      </c>
      <c r="M463" s="62" t="str">
        <f>IF(A463="","",IFERROR(INDEX(dv_cname,MATCH(A463,dv_num,0))&amp;"",""))</f>
        <v/>
      </c>
      <c r="N463" s="59" t="str">
        <f>IF(COUNTA(A463:G463)=0,"",IF(A463="","N° devis manquant",IF(ISNA(MATCH(A463,dv_num,0)),"Devis inconnu",IF(AND(B463&lt;&gt;"",ISNA(MATCH(B463,pr_code,0))),"Article inconnu",IF(H463="","Désignation manquante",IF(OR(NOT(ISNUMBER(D463)),N(D463)&lt;=0),"Quantité invalide",IF(J463="","Prix manquant",IF(OR(NOT(ISNUMBER(J463)),N(J463)&lt;0),"Prix invalide",IF(OR(AND(F463&lt;&gt;"",NOT(ISNUMBER(F463))),N(F463)&lt;0,N(F463)&gt;1),"Remise invalide",IF(K463="","Taux de TVA manquant",IF(NOT(ISNUMBER(K463)),"Taux de TVA invalide",IF(COUNTIF(p_rates,K463)=0,"Taux de TVA hors liste (Paramètres)",IF(N(O463)&gt;25,"Au-delà de 25 lignes : non imprimée","OK")))))))))))))</f>
        <v/>
      </c>
      <c r="O463" s="59" t="str">
        <f>IF(A463="","",COUNTIF($A$6:A463,A463))</f>
        <v/>
      </c>
      <c r="P463" s="62" t="str">
        <f>IF(A463="","",A463&amp;"|"&amp;O463)</f>
        <v/>
      </c>
    </row>
    <row r="464">
      <c r="A464" s="60" t="n"/>
      <c r="B464" s="63" t="n"/>
      <c r="C464" s="63" t="n"/>
      <c r="D464" s="67" t="n"/>
      <c r="E464" s="68" t="n"/>
      <c r="F464" s="69" t="n"/>
      <c r="G464" s="70" t="n"/>
      <c r="H464" s="62" t="str">
        <f>IF(COUNTA(A464:G464)=0,"",IF(C464&lt;&gt;"",C464,IF(B464="","",IFERROR(INDEX(pr_des,MATCH(B464,pr_code,0))&amp;"",""))))</f>
        <v/>
      </c>
      <c r="I464" s="59" t="str">
        <f>IF(B464="","",IFERROR(INDEX(pr_unit,MATCH(B464,pr_code,0))&amp;"",""))</f>
        <v/>
      </c>
      <c r="J464" s="65" t="str">
        <f>IF(COUNTA(A464:G464)=0,"",IF(E464&lt;&gt;"",E464,IF(B464="","",IFERROR(IF(INDEX(pr_price,MATCH(B464,pr_code,0))="","",INDEX(pr_price,MATCH(B464,pr_code,0))),""))))</f>
        <v/>
      </c>
      <c r="K464" s="71" t="str">
        <f>IF(COUNTA(A464:G464)=0,"",IF(G464&lt;&gt;"",G464,IF(B464="","",IFERROR(IF(INDEX(pr_rate,MATCH(B464,pr_code,0))="","",INDEX(pr_rate,MATCH(B464,pr_code,0))),""))))</f>
        <v/>
      </c>
      <c r="L464" s="65" t="str">
        <f>IF(COUNTA(A464:G464)=0,"",IF(AND(ISNUMBER(D464),ISNUMBER(J464)),ROUND(D464*J464*(1-N(F464)),2),0))</f>
        <v/>
      </c>
      <c r="M464" s="62" t="str">
        <f>IF(A464="","",IFERROR(INDEX(dv_cname,MATCH(A464,dv_num,0))&amp;"",""))</f>
        <v/>
      </c>
      <c r="N464" s="59" t="str">
        <f>IF(COUNTA(A464:G464)=0,"",IF(A464="","N° devis manquant",IF(ISNA(MATCH(A464,dv_num,0)),"Devis inconnu",IF(AND(B464&lt;&gt;"",ISNA(MATCH(B464,pr_code,0))),"Article inconnu",IF(H464="","Désignation manquante",IF(OR(NOT(ISNUMBER(D464)),N(D464)&lt;=0),"Quantité invalide",IF(J464="","Prix manquant",IF(OR(NOT(ISNUMBER(J464)),N(J464)&lt;0),"Prix invalide",IF(OR(AND(F464&lt;&gt;"",NOT(ISNUMBER(F464))),N(F464)&lt;0,N(F464)&gt;1),"Remise invalide",IF(K464="","Taux de TVA manquant",IF(NOT(ISNUMBER(K464)),"Taux de TVA invalide",IF(COUNTIF(p_rates,K464)=0,"Taux de TVA hors liste (Paramètres)",IF(N(O464)&gt;25,"Au-delà de 25 lignes : non imprimée","OK")))))))))))))</f>
        <v/>
      </c>
      <c r="O464" s="59" t="str">
        <f>IF(A464="","",COUNTIF($A$6:A464,A464))</f>
        <v/>
      </c>
      <c r="P464" s="62" t="str">
        <f>IF(A464="","",A464&amp;"|"&amp;O464)</f>
        <v/>
      </c>
    </row>
    <row r="465">
      <c r="A465" s="60" t="n"/>
      <c r="B465" s="63" t="n"/>
      <c r="C465" s="63" t="n"/>
      <c r="D465" s="67" t="n"/>
      <c r="E465" s="68" t="n"/>
      <c r="F465" s="69" t="n"/>
      <c r="G465" s="70" t="n"/>
      <c r="H465" s="62" t="str">
        <f>IF(COUNTA(A465:G465)=0,"",IF(C465&lt;&gt;"",C465,IF(B465="","",IFERROR(INDEX(pr_des,MATCH(B465,pr_code,0))&amp;"",""))))</f>
        <v/>
      </c>
      <c r="I465" s="59" t="str">
        <f>IF(B465="","",IFERROR(INDEX(pr_unit,MATCH(B465,pr_code,0))&amp;"",""))</f>
        <v/>
      </c>
      <c r="J465" s="65" t="str">
        <f>IF(COUNTA(A465:G465)=0,"",IF(E465&lt;&gt;"",E465,IF(B465="","",IFERROR(IF(INDEX(pr_price,MATCH(B465,pr_code,0))="","",INDEX(pr_price,MATCH(B465,pr_code,0))),""))))</f>
        <v/>
      </c>
      <c r="K465" s="71" t="str">
        <f>IF(COUNTA(A465:G465)=0,"",IF(G465&lt;&gt;"",G465,IF(B465="","",IFERROR(IF(INDEX(pr_rate,MATCH(B465,pr_code,0))="","",INDEX(pr_rate,MATCH(B465,pr_code,0))),""))))</f>
        <v/>
      </c>
      <c r="L465" s="65" t="str">
        <f>IF(COUNTA(A465:G465)=0,"",IF(AND(ISNUMBER(D465),ISNUMBER(J465)),ROUND(D465*J465*(1-N(F465)),2),0))</f>
        <v/>
      </c>
      <c r="M465" s="62" t="str">
        <f>IF(A465="","",IFERROR(INDEX(dv_cname,MATCH(A465,dv_num,0))&amp;"",""))</f>
        <v/>
      </c>
      <c r="N465" s="59" t="str">
        <f>IF(COUNTA(A465:G465)=0,"",IF(A465="","N° devis manquant",IF(ISNA(MATCH(A465,dv_num,0)),"Devis inconnu",IF(AND(B465&lt;&gt;"",ISNA(MATCH(B465,pr_code,0))),"Article inconnu",IF(H465="","Désignation manquante",IF(OR(NOT(ISNUMBER(D465)),N(D465)&lt;=0),"Quantité invalide",IF(J465="","Prix manquant",IF(OR(NOT(ISNUMBER(J465)),N(J465)&lt;0),"Prix invalide",IF(OR(AND(F465&lt;&gt;"",NOT(ISNUMBER(F465))),N(F465)&lt;0,N(F465)&gt;1),"Remise invalide",IF(K465="","Taux de TVA manquant",IF(NOT(ISNUMBER(K465)),"Taux de TVA invalide",IF(COUNTIF(p_rates,K465)=0,"Taux de TVA hors liste (Paramètres)",IF(N(O465)&gt;25,"Au-delà de 25 lignes : non imprimée","OK")))))))))))))</f>
        <v/>
      </c>
      <c r="O465" s="59" t="str">
        <f>IF(A465="","",COUNTIF($A$6:A465,A465))</f>
        <v/>
      </c>
      <c r="P465" s="62" t="str">
        <f>IF(A465="","",A465&amp;"|"&amp;O465)</f>
        <v/>
      </c>
    </row>
    <row r="466">
      <c r="A466" s="60" t="n"/>
      <c r="B466" s="63" t="n"/>
      <c r="C466" s="63" t="n"/>
      <c r="D466" s="67" t="n"/>
      <c r="E466" s="68" t="n"/>
      <c r="F466" s="69" t="n"/>
      <c r="G466" s="70" t="n"/>
      <c r="H466" s="62" t="str">
        <f>IF(COUNTA(A466:G466)=0,"",IF(C466&lt;&gt;"",C466,IF(B466="","",IFERROR(INDEX(pr_des,MATCH(B466,pr_code,0))&amp;"",""))))</f>
        <v/>
      </c>
      <c r="I466" s="59" t="str">
        <f>IF(B466="","",IFERROR(INDEX(pr_unit,MATCH(B466,pr_code,0))&amp;"",""))</f>
        <v/>
      </c>
      <c r="J466" s="65" t="str">
        <f>IF(COUNTA(A466:G466)=0,"",IF(E466&lt;&gt;"",E466,IF(B466="","",IFERROR(IF(INDEX(pr_price,MATCH(B466,pr_code,0))="","",INDEX(pr_price,MATCH(B466,pr_code,0))),""))))</f>
        <v/>
      </c>
      <c r="K466" s="71" t="str">
        <f>IF(COUNTA(A466:G466)=0,"",IF(G466&lt;&gt;"",G466,IF(B466="","",IFERROR(IF(INDEX(pr_rate,MATCH(B466,pr_code,0))="","",INDEX(pr_rate,MATCH(B466,pr_code,0))),""))))</f>
        <v/>
      </c>
      <c r="L466" s="65" t="str">
        <f>IF(COUNTA(A466:G466)=0,"",IF(AND(ISNUMBER(D466),ISNUMBER(J466)),ROUND(D466*J466*(1-N(F466)),2),0))</f>
        <v/>
      </c>
      <c r="M466" s="62" t="str">
        <f>IF(A466="","",IFERROR(INDEX(dv_cname,MATCH(A466,dv_num,0))&amp;"",""))</f>
        <v/>
      </c>
      <c r="N466" s="59" t="str">
        <f>IF(COUNTA(A466:G466)=0,"",IF(A466="","N° devis manquant",IF(ISNA(MATCH(A466,dv_num,0)),"Devis inconnu",IF(AND(B466&lt;&gt;"",ISNA(MATCH(B466,pr_code,0))),"Article inconnu",IF(H466="","Désignation manquante",IF(OR(NOT(ISNUMBER(D466)),N(D466)&lt;=0),"Quantité invalide",IF(J466="","Prix manquant",IF(OR(NOT(ISNUMBER(J466)),N(J466)&lt;0),"Prix invalide",IF(OR(AND(F466&lt;&gt;"",NOT(ISNUMBER(F466))),N(F466)&lt;0,N(F466)&gt;1),"Remise invalide",IF(K466="","Taux de TVA manquant",IF(NOT(ISNUMBER(K466)),"Taux de TVA invalide",IF(COUNTIF(p_rates,K466)=0,"Taux de TVA hors liste (Paramètres)",IF(N(O466)&gt;25,"Au-delà de 25 lignes : non imprimée","OK")))))))))))))</f>
        <v/>
      </c>
      <c r="O466" s="59" t="str">
        <f>IF(A466="","",COUNTIF($A$6:A466,A466))</f>
        <v/>
      </c>
      <c r="P466" s="62" t="str">
        <f>IF(A466="","",A466&amp;"|"&amp;O466)</f>
        <v/>
      </c>
    </row>
    <row r="467">
      <c r="A467" s="60" t="n"/>
      <c r="B467" s="63" t="n"/>
      <c r="C467" s="63" t="n"/>
      <c r="D467" s="67" t="n"/>
      <c r="E467" s="68" t="n"/>
      <c r="F467" s="69" t="n"/>
      <c r="G467" s="70" t="n"/>
      <c r="H467" s="62" t="str">
        <f>IF(COUNTA(A467:G467)=0,"",IF(C467&lt;&gt;"",C467,IF(B467="","",IFERROR(INDEX(pr_des,MATCH(B467,pr_code,0))&amp;"",""))))</f>
        <v/>
      </c>
      <c r="I467" s="59" t="str">
        <f>IF(B467="","",IFERROR(INDEX(pr_unit,MATCH(B467,pr_code,0))&amp;"",""))</f>
        <v/>
      </c>
      <c r="J467" s="65" t="str">
        <f>IF(COUNTA(A467:G467)=0,"",IF(E467&lt;&gt;"",E467,IF(B467="","",IFERROR(IF(INDEX(pr_price,MATCH(B467,pr_code,0))="","",INDEX(pr_price,MATCH(B467,pr_code,0))),""))))</f>
        <v/>
      </c>
      <c r="K467" s="71" t="str">
        <f>IF(COUNTA(A467:G467)=0,"",IF(G467&lt;&gt;"",G467,IF(B467="","",IFERROR(IF(INDEX(pr_rate,MATCH(B467,pr_code,0))="","",INDEX(pr_rate,MATCH(B467,pr_code,0))),""))))</f>
        <v/>
      </c>
      <c r="L467" s="65" t="str">
        <f>IF(COUNTA(A467:G467)=0,"",IF(AND(ISNUMBER(D467),ISNUMBER(J467)),ROUND(D467*J467*(1-N(F467)),2),0))</f>
        <v/>
      </c>
      <c r="M467" s="62" t="str">
        <f>IF(A467="","",IFERROR(INDEX(dv_cname,MATCH(A467,dv_num,0))&amp;"",""))</f>
        <v/>
      </c>
      <c r="N467" s="59" t="str">
        <f>IF(COUNTA(A467:G467)=0,"",IF(A467="","N° devis manquant",IF(ISNA(MATCH(A467,dv_num,0)),"Devis inconnu",IF(AND(B467&lt;&gt;"",ISNA(MATCH(B467,pr_code,0))),"Article inconnu",IF(H467="","Désignation manquante",IF(OR(NOT(ISNUMBER(D467)),N(D467)&lt;=0),"Quantité invalide",IF(J467="","Prix manquant",IF(OR(NOT(ISNUMBER(J467)),N(J467)&lt;0),"Prix invalide",IF(OR(AND(F467&lt;&gt;"",NOT(ISNUMBER(F467))),N(F467)&lt;0,N(F467)&gt;1),"Remise invalide",IF(K467="","Taux de TVA manquant",IF(NOT(ISNUMBER(K467)),"Taux de TVA invalide",IF(COUNTIF(p_rates,K467)=0,"Taux de TVA hors liste (Paramètres)",IF(N(O467)&gt;25,"Au-delà de 25 lignes : non imprimée","OK")))))))))))))</f>
        <v/>
      </c>
      <c r="O467" s="59" t="str">
        <f>IF(A467="","",COUNTIF($A$6:A467,A467))</f>
        <v/>
      </c>
      <c r="P467" s="62" t="str">
        <f>IF(A467="","",A467&amp;"|"&amp;O467)</f>
        <v/>
      </c>
    </row>
    <row r="468">
      <c r="A468" s="60" t="n"/>
      <c r="B468" s="63" t="n"/>
      <c r="C468" s="63" t="n"/>
      <c r="D468" s="67" t="n"/>
      <c r="E468" s="68" t="n"/>
      <c r="F468" s="69" t="n"/>
      <c r="G468" s="70" t="n"/>
      <c r="H468" s="62" t="str">
        <f>IF(COUNTA(A468:G468)=0,"",IF(C468&lt;&gt;"",C468,IF(B468="","",IFERROR(INDEX(pr_des,MATCH(B468,pr_code,0))&amp;"",""))))</f>
        <v/>
      </c>
      <c r="I468" s="59" t="str">
        <f>IF(B468="","",IFERROR(INDEX(pr_unit,MATCH(B468,pr_code,0))&amp;"",""))</f>
        <v/>
      </c>
      <c r="J468" s="65" t="str">
        <f>IF(COUNTA(A468:G468)=0,"",IF(E468&lt;&gt;"",E468,IF(B468="","",IFERROR(IF(INDEX(pr_price,MATCH(B468,pr_code,0))="","",INDEX(pr_price,MATCH(B468,pr_code,0))),""))))</f>
        <v/>
      </c>
      <c r="K468" s="71" t="str">
        <f>IF(COUNTA(A468:G468)=0,"",IF(G468&lt;&gt;"",G468,IF(B468="","",IFERROR(IF(INDEX(pr_rate,MATCH(B468,pr_code,0))="","",INDEX(pr_rate,MATCH(B468,pr_code,0))),""))))</f>
        <v/>
      </c>
      <c r="L468" s="65" t="str">
        <f>IF(COUNTA(A468:G468)=0,"",IF(AND(ISNUMBER(D468),ISNUMBER(J468)),ROUND(D468*J468*(1-N(F468)),2),0))</f>
        <v/>
      </c>
      <c r="M468" s="62" t="str">
        <f>IF(A468="","",IFERROR(INDEX(dv_cname,MATCH(A468,dv_num,0))&amp;"",""))</f>
        <v/>
      </c>
      <c r="N468" s="59" t="str">
        <f>IF(COUNTA(A468:G468)=0,"",IF(A468="","N° devis manquant",IF(ISNA(MATCH(A468,dv_num,0)),"Devis inconnu",IF(AND(B468&lt;&gt;"",ISNA(MATCH(B468,pr_code,0))),"Article inconnu",IF(H468="","Désignation manquante",IF(OR(NOT(ISNUMBER(D468)),N(D468)&lt;=0),"Quantité invalide",IF(J468="","Prix manquant",IF(OR(NOT(ISNUMBER(J468)),N(J468)&lt;0),"Prix invalide",IF(OR(AND(F468&lt;&gt;"",NOT(ISNUMBER(F468))),N(F468)&lt;0,N(F468)&gt;1),"Remise invalide",IF(K468="","Taux de TVA manquant",IF(NOT(ISNUMBER(K468)),"Taux de TVA invalide",IF(COUNTIF(p_rates,K468)=0,"Taux de TVA hors liste (Paramètres)",IF(N(O468)&gt;25,"Au-delà de 25 lignes : non imprimée","OK")))))))))))))</f>
        <v/>
      </c>
      <c r="O468" s="59" t="str">
        <f>IF(A468="","",COUNTIF($A$6:A468,A468))</f>
        <v/>
      </c>
      <c r="P468" s="62" t="str">
        <f>IF(A468="","",A468&amp;"|"&amp;O468)</f>
        <v/>
      </c>
    </row>
    <row r="469">
      <c r="A469" s="60" t="n"/>
      <c r="B469" s="63" t="n"/>
      <c r="C469" s="63" t="n"/>
      <c r="D469" s="67" t="n"/>
      <c r="E469" s="68" t="n"/>
      <c r="F469" s="69" t="n"/>
      <c r="G469" s="70" t="n"/>
      <c r="H469" s="62" t="str">
        <f>IF(COUNTA(A469:G469)=0,"",IF(C469&lt;&gt;"",C469,IF(B469="","",IFERROR(INDEX(pr_des,MATCH(B469,pr_code,0))&amp;"",""))))</f>
        <v/>
      </c>
      <c r="I469" s="59" t="str">
        <f>IF(B469="","",IFERROR(INDEX(pr_unit,MATCH(B469,pr_code,0))&amp;"",""))</f>
        <v/>
      </c>
      <c r="J469" s="65" t="str">
        <f>IF(COUNTA(A469:G469)=0,"",IF(E469&lt;&gt;"",E469,IF(B469="","",IFERROR(IF(INDEX(pr_price,MATCH(B469,pr_code,0))="","",INDEX(pr_price,MATCH(B469,pr_code,0))),""))))</f>
        <v/>
      </c>
      <c r="K469" s="71" t="str">
        <f>IF(COUNTA(A469:G469)=0,"",IF(G469&lt;&gt;"",G469,IF(B469="","",IFERROR(IF(INDEX(pr_rate,MATCH(B469,pr_code,0))="","",INDEX(pr_rate,MATCH(B469,pr_code,0))),""))))</f>
        <v/>
      </c>
      <c r="L469" s="65" t="str">
        <f>IF(COUNTA(A469:G469)=0,"",IF(AND(ISNUMBER(D469),ISNUMBER(J469)),ROUND(D469*J469*(1-N(F469)),2),0))</f>
        <v/>
      </c>
      <c r="M469" s="62" t="str">
        <f>IF(A469="","",IFERROR(INDEX(dv_cname,MATCH(A469,dv_num,0))&amp;"",""))</f>
        <v/>
      </c>
      <c r="N469" s="59" t="str">
        <f>IF(COUNTA(A469:G469)=0,"",IF(A469="","N° devis manquant",IF(ISNA(MATCH(A469,dv_num,0)),"Devis inconnu",IF(AND(B469&lt;&gt;"",ISNA(MATCH(B469,pr_code,0))),"Article inconnu",IF(H469="","Désignation manquante",IF(OR(NOT(ISNUMBER(D469)),N(D469)&lt;=0),"Quantité invalide",IF(J469="","Prix manquant",IF(OR(NOT(ISNUMBER(J469)),N(J469)&lt;0),"Prix invalide",IF(OR(AND(F469&lt;&gt;"",NOT(ISNUMBER(F469))),N(F469)&lt;0,N(F469)&gt;1),"Remise invalide",IF(K469="","Taux de TVA manquant",IF(NOT(ISNUMBER(K469)),"Taux de TVA invalide",IF(COUNTIF(p_rates,K469)=0,"Taux de TVA hors liste (Paramètres)",IF(N(O469)&gt;25,"Au-delà de 25 lignes : non imprimée","OK")))))))))))))</f>
        <v/>
      </c>
      <c r="O469" s="59" t="str">
        <f>IF(A469="","",COUNTIF($A$6:A469,A469))</f>
        <v/>
      </c>
      <c r="P469" s="62" t="str">
        <f>IF(A469="","",A469&amp;"|"&amp;O469)</f>
        <v/>
      </c>
    </row>
    <row r="470">
      <c r="A470" s="60" t="n"/>
      <c r="B470" s="63" t="n"/>
      <c r="C470" s="63" t="n"/>
      <c r="D470" s="67" t="n"/>
      <c r="E470" s="68" t="n"/>
      <c r="F470" s="69" t="n"/>
      <c r="G470" s="70" t="n"/>
      <c r="H470" s="62" t="str">
        <f>IF(COUNTA(A470:G470)=0,"",IF(C470&lt;&gt;"",C470,IF(B470="","",IFERROR(INDEX(pr_des,MATCH(B470,pr_code,0))&amp;"",""))))</f>
        <v/>
      </c>
      <c r="I470" s="59" t="str">
        <f>IF(B470="","",IFERROR(INDEX(pr_unit,MATCH(B470,pr_code,0))&amp;"",""))</f>
        <v/>
      </c>
      <c r="J470" s="65" t="str">
        <f>IF(COUNTA(A470:G470)=0,"",IF(E470&lt;&gt;"",E470,IF(B470="","",IFERROR(IF(INDEX(pr_price,MATCH(B470,pr_code,0))="","",INDEX(pr_price,MATCH(B470,pr_code,0))),""))))</f>
        <v/>
      </c>
      <c r="K470" s="71" t="str">
        <f>IF(COUNTA(A470:G470)=0,"",IF(G470&lt;&gt;"",G470,IF(B470="","",IFERROR(IF(INDEX(pr_rate,MATCH(B470,pr_code,0))="","",INDEX(pr_rate,MATCH(B470,pr_code,0))),""))))</f>
        <v/>
      </c>
      <c r="L470" s="65" t="str">
        <f>IF(COUNTA(A470:G470)=0,"",IF(AND(ISNUMBER(D470),ISNUMBER(J470)),ROUND(D470*J470*(1-N(F470)),2),0))</f>
        <v/>
      </c>
      <c r="M470" s="62" t="str">
        <f>IF(A470="","",IFERROR(INDEX(dv_cname,MATCH(A470,dv_num,0))&amp;"",""))</f>
        <v/>
      </c>
      <c r="N470" s="59" t="str">
        <f>IF(COUNTA(A470:G470)=0,"",IF(A470="","N° devis manquant",IF(ISNA(MATCH(A470,dv_num,0)),"Devis inconnu",IF(AND(B470&lt;&gt;"",ISNA(MATCH(B470,pr_code,0))),"Article inconnu",IF(H470="","Désignation manquante",IF(OR(NOT(ISNUMBER(D470)),N(D470)&lt;=0),"Quantité invalide",IF(J470="","Prix manquant",IF(OR(NOT(ISNUMBER(J470)),N(J470)&lt;0),"Prix invalide",IF(OR(AND(F470&lt;&gt;"",NOT(ISNUMBER(F470))),N(F470)&lt;0,N(F470)&gt;1),"Remise invalide",IF(K470="","Taux de TVA manquant",IF(NOT(ISNUMBER(K470)),"Taux de TVA invalide",IF(COUNTIF(p_rates,K470)=0,"Taux de TVA hors liste (Paramètres)",IF(N(O470)&gt;25,"Au-delà de 25 lignes : non imprimée","OK")))))))))))))</f>
        <v/>
      </c>
      <c r="O470" s="59" t="str">
        <f>IF(A470="","",COUNTIF($A$6:A470,A470))</f>
        <v/>
      </c>
      <c r="P470" s="62" t="str">
        <f>IF(A470="","",A470&amp;"|"&amp;O470)</f>
        <v/>
      </c>
    </row>
    <row r="471">
      <c r="A471" s="60" t="n"/>
      <c r="B471" s="63" t="n"/>
      <c r="C471" s="63" t="n"/>
      <c r="D471" s="67" t="n"/>
      <c r="E471" s="68" t="n"/>
      <c r="F471" s="69" t="n"/>
      <c r="G471" s="70" t="n"/>
      <c r="H471" s="62" t="str">
        <f>IF(COUNTA(A471:G471)=0,"",IF(C471&lt;&gt;"",C471,IF(B471="","",IFERROR(INDEX(pr_des,MATCH(B471,pr_code,0))&amp;"",""))))</f>
        <v/>
      </c>
      <c r="I471" s="59" t="str">
        <f>IF(B471="","",IFERROR(INDEX(pr_unit,MATCH(B471,pr_code,0))&amp;"",""))</f>
        <v/>
      </c>
      <c r="J471" s="65" t="str">
        <f>IF(COUNTA(A471:G471)=0,"",IF(E471&lt;&gt;"",E471,IF(B471="","",IFERROR(IF(INDEX(pr_price,MATCH(B471,pr_code,0))="","",INDEX(pr_price,MATCH(B471,pr_code,0))),""))))</f>
        <v/>
      </c>
      <c r="K471" s="71" t="str">
        <f>IF(COUNTA(A471:G471)=0,"",IF(G471&lt;&gt;"",G471,IF(B471="","",IFERROR(IF(INDEX(pr_rate,MATCH(B471,pr_code,0))="","",INDEX(pr_rate,MATCH(B471,pr_code,0))),""))))</f>
        <v/>
      </c>
      <c r="L471" s="65" t="str">
        <f>IF(COUNTA(A471:G471)=0,"",IF(AND(ISNUMBER(D471),ISNUMBER(J471)),ROUND(D471*J471*(1-N(F471)),2),0))</f>
        <v/>
      </c>
      <c r="M471" s="62" t="str">
        <f>IF(A471="","",IFERROR(INDEX(dv_cname,MATCH(A471,dv_num,0))&amp;"",""))</f>
        <v/>
      </c>
      <c r="N471" s="59" t="str">
        <f>IF(COUNTA(A471:G471)=0,"",IF(A471="","N° devis manquant",IF(ISNA(MATCH(A471,dv_num,0)),"Devis inconnu",IF(AND(B471&lt;&gt;"",ISNA(MATCH(B471,pr_code,0))),"Article inconnu",IF(H471="","Désignation manquante",IF(OR(NOT(ISNUMBER(D471)),N(D471)&lt;=0),"Quantité invalide",IF(J471="","Prix manquant",IF(OR(NOT(ISNUMBER(J471)),N(J471)&lt;0),"Prix invalide",IF(OR(AND(F471&lt;&gt;"",NOT(ISNUMBER(F471))),N(F471)&lt;0,N(F471)&gt;1),"Remise invalide",IF(K471="","Taux de TVA manquant",IF(NOT(ISNUMBER(K471)),"Taux de TVA invalide",IF(COUNTIF(p_rates,K471)=0,"Taux de TVA hors liste (Paramètres)",IF(N(O471)&gt;25,"Au-delà de 25 lignes : non imprimée","OK")))))))))))))</f>
        <v/>
      </c>
      <c r="O471" s="59" t="str">
        <f>IF(A471="","",COUNTIF($A$6:A471,A471))</f>
        <v/>
      </c>
      <c r="P471" s="62" t="str">
        <f>IF(A471="","",A471&amp;"|"&amp;O471)</f>
        <v/>
      </c>
    </row>
    <row r="472">
      <c r="A472" s="60" t="n"/>
      <c r="B472" s="63" t="n"/>
      <c r="C472" s="63" t="n"/>
      <c r="D472" s="67" t="n"/>
      <c r="E472" s="68" t="n"/>
      <c r="F472" s="69" t="n"/>
      <c r="G472" s="70" t="n"/>
      <c r="H472" s="62" t="str">
        <f>IF(COUNTA(A472:G472)=0,"",IF(C472&lt;&gt;"",C472,IF(B472="","",IFERROR(INDEX(pr_des,MATCH(B472,pr_code,0))&amp;"",""))))</f>
        <v/>
      </c>
      <c r="I472" s="59" t="str">
        <f>IF(B472="","",IFERROR(INDEX(pr_unit,MATCH(B472,pr_code,0))&amp;"",""))</f>
        <v/>
      </c>
      <c r="J472" s="65" t="str">
        <f>IF(COUNTA(A472:G472)=0,"",IF(E472&lt;&gt;"",E472,IF(B472="","",IFERROR(IF(INDEX(pr_price,MATCH(B472,pr_code,0))="","",INDEX(pr_price,MATCH(B472,pr_code,0))),""))))</f>
        <v/>
      </c>
      <c r="K472" s="71" t="str">
        <f>IF(COUNTA(A472:G472)=0,"",IF(G472&lt;&gt;"",G472,IF(B472="","",IFERROR(IF(INDEX(pr_rate,MATCH(B472,pr_code,0))="","",INDEX(pr_rate,MATCH(B472,pr_code,0))),""))))</f>
        <v/>
      </c>
      <c r="L472" s="65" t="str">
        <f>IF(COUNTA(A472:G472)=0,"",IF(AND(ISNUMBER(D472),ISNUMBER(J472)),ROUND(D472*J472*(1-N(F472)),2),0))</f>
        <v/>
      </c>
      <c r="M472" s="62" t="str">
        <f>IF(A472="","",IFERROR(INDEX(dv_cname,MATCH(A472,dv_num,0))&amp;"",""))</f>
        <v/>
      </c>
      <c r="N472" s="59" t="str">
        <f>IF(COUNTA(A472:G472)=0,"",IF(A472="","N° devis manquant",IF(ISNA(MATCH(A472,dv_num,0)),"Devis inconnu",IF(AND(B472&lt;&gt;"",ISNA(MATCH(B472,pr_code,0))),"Article inconnu",IF(H472="","Désignation manquante",IF(OR(NOT(ISNUMBER(D472)),N(D472)&lt;=0),"Quantité invalide",IF(J472="","Prix manquant",IF(OR(NOT(ISNUMBER(J472)),N(J472)&lt;0),"Prix invalide",IF(OR(AND(F472&lt;&gt;"",NOT(ISNUMBER(F472))),N(F472)&lt;0,N(F472)&gt;1),"Remise invalide",IF(K472="","Taux de TVA manquant",IF(NOT(ISNUMBER(K472)),"Taux de TVA invalide",IF(COUNTIF(p_rates,K472)=0,"Taux de TVA hors liste (Paramètres)",IF(N(O472)&gt;25,"Au-delà de 25 lignes : non imprimée","OK")))))))))))))</f>
        <v/>
      </c>
      <c r="O472" s="59" t="str">
        <f>IF(A472="","",COUNTIF($A$6:A472,A472))</f>
        <v/>
      </c>
      <c r="P472" s="62" t="str">
        <f>IF(A472="","",A472&amp;"|"&amp;O472)</f>
        <v/>
      </c>
    </row>
    <row r="473">
      <c r="A473" s="60" t="n"/>
      <c r="B473" s="63" t="n"/>
      <c r="C473" s="63" t="n"/>
      <c r="D473" s="67" t="n"/>
      <c r="E473" s="68" t="n"/>
      <c r="F473" s="69" t="n"/>
      <c r="G473" s="70" t="n"/>
      <c r="H473" s="62" t="str">
        <f>IF(COUNTA(A473:G473)=0,"",IF(C473&lt;&gt;"",C473,IF(B473="","",IFERROR(INDEX(pr_des,MATCH(B473,pr_code,0))&amp;"",""))))</f>
        <v/>
      </c>
      <c r="I473" s="59" t="str">
        <f>IF(B473="","",IFERROR(INDEX(pr_unit,MATCH(B473,pr_code,0))&amp;"",""))</f>
        <v/>
      </c>
      <c r="J473" s="65" t="str">
        <f>IF(COUNTA(A473:G473)=0,"",IF(E473&lt;&gt;"",E473,IF(B473="","",IFERROR(IF(INDEX(pr_price,MATCH(B473,pr_code,0))="","",INDEX(pr_price,MATCH(B473,pr_code,0))),""))))</f>
        <v/>
      </c>
      <c r="K473" s="71" t="str">
        <f>IF(COUNTA(A473:G473)=0,"",IF(G473&lt;&gt;"",G473,IF(B473="","",IFERROR(IF(INDEX(pr_rate,MATCH(B473,pr_code,0))="","",INDEX(pr_rate,MATCH(B473,pr_code,0))),""))))</f>
        <v/>
      </c>
      <c r="L473" s="65" t="str">
        <f>IF(COUNTA(A473:G473)=0,"",IF(AND(ISNUMBER(D473),ISNUMBER(J473)),ROUND(D473*J473*(1-N(F473)),2),0))</f>
        <v/>
      </c>
      <c r="M473" s="62" t="str">
        <f>IF(A473="","",IFERROR(INDEX(dv_cname,MATCH(A473,dv_num,0))&amp;"",""))</f>
        <v/>
      </c>
      <c r="N473" s="59" t="str">
        <f>IF(COUNTA(A473:G473)=0,"",IF(A473="","N° devis manquant",IF(ISNA(MATCH(A473,dv_num,0)),"Devis inconnu",IF(AND(B473&lt;&gt;"",ISNA(MATCH(B473,pr_code,0))),"Article inconnu",IF(H473="","Désignation manquante",IF(OR(NOT(ISNUMBER(D473)),N(D473)&lt;=0),"Quantité invalide",IF(J473="","Prix manquant",IF(OR(NOT(ISNUMBER(J473)),N(J473)&lt;0),"Prix invalide",IF(OR(AND(F473&lt;&gt;"",NOT(ISNUMBER(F473))),N(F473)&lt;0,N(F473)&gt;1),"Remise invalide",IF(K473="","Taux de TVA manquant",IF(NOT(ISNUMBER(K473)),"Taux de TVA invalide",IF(COUNTIF(p_rates,K473)=0,"Taux de TVA hors liste (Paramètres)",IF(N(O473)&gt;25,"Au-delà de 25 lignes : non imprimée","OK")))))))))))))</f>
        <v/>
      </c>
      <c r="O473" s="59" t="str">
        <f>IF(A473="","",COUNTIF($A$6:A473,A473))</f>
        <v/>
      </c>
      <c r="P473" s="62" t="str">
        <f>IF(A473="","",A473&amp;"|"&amp;O473)</f>
        <v/>
      </c>
    </row>
    <row r="474">
      <c r="A474" s="60" t="n"/>
      <c r="B474" s="63" t="n"/>
      <c r="C474" s="63" t="n"/>
      <c r="D474" s="67" t="n"/>
      <c r="E474" s="68" t="n"/>
      <c r="F474" s="69" t="n"/>
      <c r="G474" s="70" t="n"/>
      <c r="H474" s="62" t="str">
        <f>IF(COUNTA(A474:G474)=0,"",IF(C474&lt;&gt;"",C474,IF(B474="","",IFERROR(INDEX(pr_des,MATCH(B474,pr_code,0))&amp;"",""))))</f>
        <v/>
      </c>
      <c r="I474" s="59" t="str">
        <f>IF(B474="","",IFERROR(INDEX(pr_unit,MATCH(B474,pr_code,0))&amp;"",""))</f>
        <v/>
      </c>
      <c r="J474" s="65" t="str">
        <f>IF(COUNTA(A474:G474)=0,"",IF(E474&lt;&gt;"",E474,IF(B474="","",IFERROR(IF(INDEX(pr_price,MATCH(B474,pr_code,0))="","",INDEX(pr_price,MATCH(B474,pr_code,0))),""))))</f>
        <v/>
      </c>
      <c r="K474" s="71" t="str">
        <f>IF(COUNTA(A474:G474)=0,"",IF(G474&lt;&gt;"",G474,IF(B474="","",IFERROR(IF(INDEX(pr_rate,MATCH(B474,pr_code,0))="","",INDEX(pr_rate,MATCH(B474,pr_code,0))),""))))</f>
        <v/>
      </c>
      <c r="L474" s="65" t="str">
        <f>IF(COUNTA(A474:G474)=0,"",IF(AND(ISNUMBER(D474),ISNUMBER(J474)),ROUND(D474*J474*(1-N(F474)),2),0))</f>
        <v/>
      </c>
      <c r="M474" s="62" t="str">
        <f>IF(A474="","",IFERROR(INDEX(dv_cname,MATCH(A474,dv_num,0))&amp;"",""))</f>
        <v/>
      </c>
      <c r="N474" s="59" t="str">
        <f>IF(COUNTA(A474:G474)=0,"",IF(A474="","N° devis manquant",IF(ISNA(MATCH(A474,dv_num,0)),"Devis inconnu",IF(AND(B474&lt;&gt;"",ISNA(MATCH(B474,pr_code,0))),"Article inconnu",IF(H474="","Désignation manquante",IF(OR(NOT(ISNUMBER(D474)),N(D474)&lt;=0),"Quantité invalide",IF(J474="","Prix manquant",IF(OR(NOT(ISNUMBER(J474)),N(J474)&lt;0),"Prix invalide",IF(OR(AND(F474&lt;&gt;"",NOT(ISNUMBER(F474))),N(F474)&lt;0,N(F474)&gt;1),"Remise invalide",IF(K474="","Taux de TVA manquant",IF(NOT(ISNUMBER(K474)),"Taux de TVA invalide",IF(COUNTIF(p_rates,K474)=0,"Taux de TVA hors liste (Paramètres)",IF(N(O474)&gt;25,"Au-delà de 25 lignes : non imprimée","OK")))))))))))))</f>
        <v/>
      </c>
      <c r="O474" s="59" t="str">
        <f>IF(A474="","",COUNTIF($A$6:A474,A474))</f>
        <v/>
      </c>
      <c r="P474" s="62" t="str">
        <f>IF(A474="","",A474&amp;"|"&amp;O474)</f>
        <v/>
      </c>
    </row>
    <row r="475">
      <c r="A475" s="60" t="n"/>
      <c r="B475" s="63" t="n"/>
      <c r="C475" s="63" t="n"/>
      <c r="D475" s="67" t="n"/>
      <c r="E475" s="68" t="n"/>
      <c r="F475" s="69" t="n"/>
      <c r="G475" s="70" t="n"/>
      <c r="H475" s="62" t="str">
        <f>IF(COUNTA(A475:G475)=0,"",IF(C475&lt;&gt;"",C475,IF(B475="","",IFERROR(INDEX(pr_des,MATCH(B475,pr_code,0))&amp;"",""))))</f>
        <v/>
      </c>
      <c r="I475" s="59" t="str">
        <f>IF(B475="","",IFERROR(INDEX(pr_unit,MATCH(B475,pr_code,0))&amp;"",""))</f>
        <v/>
      </c>
      <c r="J475" s="65" t="str">
        <f>IF(COUNTA(A475:G475)=0,"",IF(E475&lt;&gt;"",E475,IF(B475="","",IFERROR(IF(INDEX(pr_price,MATCH(B475,pr_code,0))="","",INDEX(pr_price,MATCH(B475,pr_code,0))),""))))</f>
        <v/>
      </c>
      <c r="K475" s="71" t="str">
        <f>IF(COUNTA(A475:G475)=0,"",IF(G475&lt;&gt;"",G475,IF(B475="","",IFERROR(IF(INDEX(pr_rate,MATCH(B475,pr_code,0))="","",INDEX(pr_rate,MATCH(B475,pr_code,0))),""))))</f>
        <v/>
      </c>
      <c r="L475" s="65" t="str">
        <f>IF(COUNTA(A475:G475)=0,"",IF(AND(ISNUMBER(D475),ISNUMBER(J475)),ROUND(D475*J475*(1-N(F475)),2),0))</f>
        <v/>
      </c>
      <c r="M475" s="62" t="str">
        <f>IF(A475="","",IFERROR(INDEX(dv_cname,MATCH(A475,dv_num,0))&amp;"",""))</f>
        <v/>
      </c>
      <c r="N475" s="59" t="str">
        <f>IF(COUNTA(A475:G475)=0,"",IF(A475="","N° devis manquant",IF(ISNA(MATCH(A475,dv_num,0)),"Devis inconnu",IF(AND(B475&lt;&gt;"",ISNA(MATCH(B475,pr_code,0))),"Article inconnu",IF(H475="","Désignation manquante",IF(OR(NOT(ISNUMBER(D475)),N(D475)&lt;=0),"Quantité invalide",IF(J475="","Prix manquant",IF(OR(NOT(ISNUMBER(J475)),N(J475)&lt;0),"Prix invalide",IF(OR(AND(F475&lt;&gt;"",NOT(ISNUMBER(F475))),N(F475)&lt;0,N(F475)&gt;1),"Remise invalide",IF(K475="","Taux de TVA manquant",IF(NOT(ISNUMBER(K475)),"Taux de TVA invalide",IF(COUNTIF(p_rates,K475)=0,"Taux de TVA hors liste (Paramètres)",IF(N(O475)&gt;25,"Au-delà de 25 lignes : non imprimée","OK")))))))))))))</f>
        <v/>
      </c>
      <c r="O475" s="59" t="str">
        <f>IF(A475="","",COUNTIF($A$6:A475,A475))</f>
        <v/>
      </c>
      <c r="P475" s="62" t="str">
        <f>IF(A475="","",A475&amp;"|"&amp;O475)</f>
        <v/>
      </c>
    </row>
    <row r="476">
      <c r="A476" s="60" t="n"/>
      <c r="B476" s="63" t="n"/>
      <c r="C476" s="63" t="n"/>
      <c r="D476" s="67" t="n"/>
      <c r="E476" s="68" t="n"/>
      <c r="F476" s="69" t="n"/>
      <c r="G476" s="70" t="n"/>
      <c r="H476" s="62" t="str">
        <f>IF(COUNTA(A476:G476)=0,"",IF(C476&lt;&gt;"",C476,IF(B476="","",IFERROR(INDEX(pr_des,MATCH(B476,pr_code,0))&amp;"",""))))</f>
        <v/>
      </c>
      <c r="I476" s="59" t="str">
        <f>IF(B476="","",IFERROR(INDEX(pr_unit,MATCH(B476,pr_code,0))&amp;"",""))</f>
        <v/>
      </c>
      <c r="J476" s="65" t="str">
        <f>IF(COUNTA(A476:G476)=0,"",IF(E476&lt;&gt;"",E476,IF(B476="","",IFERROR(IF(INDEX(pr_price,MATCH(B476,pr_code,0))="","",INDEX(pr_price,MATCH(B476,pr_code,0))),""))))</f>
        <v/>
      </c>
      <c r="K476" s="71" t="str">
        <f>IF(COUNTA(A476:G476)=0,"",IF(G476&lt;&gt;"",G476,IF(B476="","",IFERROR(IF(INDEX(pr_rate,MATCH(B476,pr_code,0))="","",INDEX(pr_rate,MATCH(B476,pr_code,0))),""))))</f>
        <v/>
      </c>
      <c r="L476" s="65" t="str">
        <f>IF(COUNTA(A476:G476)=0,"",IF(AND(ISNUMBER(D476),ISNUMBER(J476)),ROUND(D476*J476*(1-N(F476)),2),0))</f>
        <v/>
      </c>
      <c r="M476" s="62" t="str">
        <f>IF(A476="","",IFERROR(INDEX(dv_cname,MATCH(A476,dv_num,0))&amp;"",""))</f>
        <v/>
      </c>
      <c r="N476" s="59" t="str">
        <f>IF(COUNTA(A476:G476)=0,"",IF(A476="","N° devis manquant",IF(ISNA(MATCH(A476,dv_num,0)),"Devis inconnu",IF(AND(B476&lt;&gt;"",ISNA(MATCH(B476,pr_code,0))),"Article inconnu",IF(H476="","Désignation manquante",IF(OR(NOT(ISNUMBER(D476)),N(D476)&lt;=0),"Quantité invalide",IF(J476="","Prix manquant",IF(OR(NOT(ISNUMBER(J476)),N(J476)&lt;0),"Prix invalide",IF(OR(AND(F476&lt;&gt;"",NOT(ISNUMBER(F476))),N(F476)&lt;0,N(F476)&gt;1),"Remise invalide",IF(K476="","Taux de TVA manquant",IF(NOT(ISNUMBER(K476)),"Taux de TVA invalide",IF(COUNTIF(p_rates,K476)=0,"Taux de TVA hors liste (Paramètres)",IF(N(O476)&gt;25,"Au-delà de 25 lignes : non imprimée","OK")))))))))))))</f>
        <v/>
      </c>
      <c r="O476" s="59" t="str">
        <f>IF(A476="","",COUNTIF($A$6:A476,A476))</f>
        <v/>
      </c>
      <c r="P476" s="62" t="str">
        <f>IF(A476="","",A476&amp;"|"&amp;O476)</f>
        <v/>
      </c>
    </row>
    <row r="477">
      <c r="A477" s="60" t="n"/>
      <c r="B477" s="63" t="n"/>
      <c r="C477" s="63" t="n"/>
      <c r="D477" s="67" t="n"/>
      <c r="E477" s="68" t="n"/>
      <c r="F477" s="69" t="n"/>
      <c r="G477" s="70" t="n"/>
      <c r="H477" s="62" t="str">
        <f>IF(COUNTA(A477:G477)=0,"",IF(C477&lt;&gt;"",C477,IF(B477="","",IFERROR(INDEX(pr_des,MATCH(B477,pr_code,0))&amp;"",""))))</f>
        <v/>
      </c>
      <c r="I477" s="59" t="str">
        <f>IF(B477="","",IFERROR(INDEX(pr_unit,MATCH(B477,pr_code,0))&amp;"",""))</f>
        <v/>
      </c>
      <c r="J477" s="65" t="str">
        <f>IF(COUNTA(A477:G477)=0,"",IF(E477&lt;&gt;"",E477,IF(B477="","",IFERROR(IF(INDEX(pr_price,MATCH(B477,pr_code,0))="","",INDEX(pr_price,MATCH(B477,pr_code,0))),""))))</f>
        <v/>
      </c>
      <c r="K477" s="71" t="str">
        <f>IF(COUNTA(A477:G477)=0,"",IF(G477&lt;&gt;"",G477,IF(B477="","",IFERROR(IF(INDEX(pr_rate,MATCH(B477,pr_code,0))="","",INDEX(pr_rate,MATCH(B477,pr_code,0))),""))))</f>
        <v/>
      </c>
      <c r="L477" s="65" t="str">
        <f>IF(COUNTA(A477:G477)=0,"",IF(AND(ISNUMBER(D477),ISNUMBER(J477)),ROUND(D477*J477*(1-N(F477)),2),0))</f>
        <v/>
      </c>
      <c r="M477" s="62" t="str">
        <f>IF(A477="","",IFERROR(INDEX(dv_cname,MATCH(A477,dv_num,0))&amp;"",""))</f>
        <v/>
      </c>
      <c r="N477" s="59" t="str">
        <f>IF(COUNTA(A477:G477)=0,"",IF(A477="","N° devis manquant",IF(ISNA(MATCH(A477,dv_num,0)),"Devis inconnu",IF(AND(B477&lt;&gt;"",ISNA(MATCH(B477,pr_code,0))),"Article inconnu",IF(H477="","Désignation manquante",IF(OR(NOT(ISNUMBER(D477)),N(D477)&lt;=0),"Quantité invalide",IF(J477="","Prix manquant",IF(OR(NOT(ISNUMBER(J477)),N(J477)&lt;0),"Prix invalide",IF(OR(AND(F477&lt;&gt;"",NOT(ISNUMBER(F477))),N(F477)&lt;0,N(F477)&gt;1),"Remise invalide",IF(K477="","Taux de TVA manquant",IF(NOT(ISNUMBER(K477)),"Taux de TVA invalide",IF(COUNTIF(p_rates,K477)=0,"Taux de TVA hors liste (Paramètres)",IF(N(O477)&gt;25,"Au-delà de 25 lignes : non imprimée","OK")))))))))))))</f>
        <v/>
      </c>
      <c r="O477" s="59" t="str">
        <f>IF(A477="","",COUNTIF($A$6:A477,A477))</f>
        <v/>
      </c>
      <c r="P477" s="62" t="str">
        <f>IF(A477="","",A477&amp;"|"&amp;O477)</f>
        <v/>
      </c>
    </row>
    <row r="478">
      <c r="A478" s="60" t="n"/>
      <c r="B478" s="63" t="n"/>
      <c r="C478" s="63" t="n"/>
      <c r="D478" s="67" t="n"/>
      <c r="E478" s="68" t="n"/>
      <c r="F478" s="69" t="n"/>
      <c r="G478" s="70" t="n"/>
      <c r="H478" s="62" t="str">
        <f>IF(COUNTA(A478:G478)=0,"",IF(C478&lt;&gt;"",C478,IF(B478="","",IFERROR(INDEX(pr_des,MATCH(B478,pr_code,0))&amp;"",""))))</f>
        <v/>
      </c>
      <c r="I478" s="59" t="str">
        <f>IF(B478="","",IFERROR(INDEX(pr_unit,MATCH(B478,pr_code,0))&amp;"",""))</f>
        <v/>
      </c>
      <c r="J478" s="65" t="str">
        <f>IF(COUNTA(A478:G478)=0,"",IF(E478&lt;&gt;"",E478,IF(B478="","",IFERROR(IF(INDEX(pr_price,MATCH(B478,pr_code,0))="","",INDEX(pr_price,MATCH(B478,pr_code,0))),""))))</f>
        <v/>
      </c>
      <c r="K478" s="71" t="str">
        <f>IF(COUNTA(A478:G478)=0,"",IF(G478&lt;&gt;"",G478,IF(B478="","",IFERROR(IF(INDEX(pr_rate,MATCH(B478,pr_code,0))="","",INDEX(pr_rate,MATCH(B478,pr_code,0))),""))))</f>
        <v/>
      </c>
      <c r="L478" s="65" t="str">
        <f>IF(COUNTA(A478:G478)=0,"",IF(AND(ISNUMBER(D478),ISNUMBER(J478)),ROUND(D478*J478*(1-N(F478)),2),0))</f>
        <v/>
      </c>
      <c r="M478" s="62" t="str">
        <f>IF(A478="","",IFERROR(INDEX(dv_cname,MATCH(A478,dv_num,0))&amp;"",""))</f>
        <v/>
      </c>
      <c r="N478" s="59" t="str">
        <f>IF(COUNTA(A478:G478)=0,"",IF(A478="","N° devis manquant",IF(ISNA(MATCH(A478,dv_num,0)),"Devis inconnu",IF(AND(B478&lt;&gt;"",ISNA(MATCH(B478,pr_code,0))),"Article inconnu",IF(H478="","Désignation manquante",IF(OR(NOT(ISNUMBER(D478)),N(D478)&lt;=0),"Quantité invalide",IF(J478="","Prix manquant",IF(OR(NOT(ISNUMBER(J478)),N(J478)&lt;0),"Prix invalide",IF(OR(AND(F478&lt;&gt;"",NOT(ISNUMBER(F478))),N(F478)&lt;0,N(F478)&gt;1),"Remise invalide",IF(K478="","Taux de TVA manquant",IF(NOT(ISNUMBER(K478)),"Taux de TVA invalide",IF(COUNTIF(p_rates,K478)=0,"Taux de TVA hors liste (Paramètres)",IF(N(O478)&gt;25,"Au-delà de 25 lignes : non imprimée","OK")))))))))))))</f>
        <v/>
      </c>
      <c r="O478" s="59" t="str">
        <f>IF(A478="","",COUNTIF($A$6:A478,A478))</f>
        <v/>
      </c>
      <c r="P478" s="62" t="str">
        <f>IF(A478="","",A478&amp;"|"&amp;O478)</f>
        <v/>
      </c>
    </row>
    <row r="479">
      <c r="A479" s="60" t="n"/>
      <c r="B479" s="63" t="n"/>
      <c r="C479" s="63" t="n"/>
      <c r="D479" s="67" t="n"/>
      <c r="E479" s="68" t="n"/>
      <c r="F479" s="69" t="n"/>
      <c r="G479" s="70" t="n"/>
      <c r="H479" s="62" t="str">
        <f>IF(COUNTA(A479:G479)=0,"",IF(C479&lt;&gt;"",C479,IF(B479="","",IFERROR(INDEX(pr_des,MATCH(B479,pr_code,0))&amp;"",""))))</f>
        <v/>
      </c>
      <c r="I479" s="59" t="str">
        <f>IF(B479="","",IFERROR(INDEX(pr_unit,MATCH(B479,pr_code,0))&amp;"",""))</f>
        <v/>
      </c>
      <c r="J479" s="65" t="str">
        <f>IF(COUNTA(A479:G479)=0,"",IF(E479&lt;&gt;"",E479,IF(B479="","",IFERROR(IF(INDEX(pr_price,MATCH(B479,pr_code,0))="","",INDEX(pr_price,MATCH(B479,pr_code,0))),""))))</f>
        <v/>
      </c>
      <c r="K479" s="71" t="str">
        <f>IF(COUNTA(A479:G479)=0,"",IF(G479&lt;&gt;"",G479,IF(B479="","",IFERROR(IF(INDEX(pr_rate,MATCH(B479,pr_code,0))="","",INDEX(pr_rate,MATCH(B479,pr_code,0))),""))))</f>
        <v/>
      </c>
      <c r="L479" s="65" t="str">
        <f>IF(COUNTA(A479:G479)=0,"",IF(AND(ISNUMBER(D479),ISNUMBER(J479)),ROUND(D479*J479*(1-N(F479)),2),0))</f>
        <v/>
      </c>
      <c r="M479" s="62" t="str">
        <f>IF(A479="","",IFERROR(INDEX(dv_cname,MATCH(A479,dv_num,0))&amp;"",""))</f>
        <v/>
      </c>
      <c r="N479" s="59" t="str">
        <f>IF(COUNTA(A479:G479)=0,"",IF(A479="","N° devis manquant",IF(ISNA(MATCH(A479,dv_num,0)),"Devis inconnu",IF(AND(B479&lt;&gt;"",ISNA(MATCH(B479,pr_code,0))),"Article inconnu",IF(H479="","Désignation manquante",IF(OR(NOT(ISNUMBER(D479)),N(D479)&lt;=0),"Quantité invalide",IF(J479="","Prix manquant",IF(OR(NOT(ISNUMBER(J479)),N(J479)&lt;0),"Prix invalide",IF(OR(AND(F479&lt;&gt;"",NOT(ISNUMBER(F479))),N(F479)&lt;0,N(F479)&gt;1),"Remise invalide",IF(K479="","Taux de TVA manquant",IF(NOT(ISNUMBER(K479)),"Taux de TVA invalide",IF(COUNTIF(p_rates,K479)=0,"Taux de TVA hors liste (Paramètres)",IF(N(O479)&gt;25,"Au-delà de 25 lignes : non imprimée","OK")))))))))))))</f>
        <v/>
      </c>
      <c r="O479" s="59" t="str">
        <f>IF(A479="","",COUNTIF($A$6:A479,A479))</f>
        <v/>
      </c>
      <c r="P479" s="62" t="str">
        <f>IF(A479="","",A479&amp;"|"&amp;O479)</f>
        <v/>
      </c>
    </row>
    <row r="480">
      <c r="A480" s="60" t="n"/>
      <c r="B480" s="63" t="n"/>
      <c r="C480" s="63" t="n"/>
      <c r="D480" s="67" t="n"/>
      <c r="E480" s="68" t="n"/>
      <c r="F480" s="69" t="n"/>
      <c r="G480" s="70" t="n"/>
      <c r="H480" s="62" t="str">
        <f>IF(COUNTA(A480:G480)=0,"",IF(C480&lt;&gt;"",C480,IF(B480="","",IFERROR(INDEX(pr_des,MATCH(B480,pr_code,0))&amp;"",""))))</f>
        <v/>
      </c>
      <c r="I480" s="59" t="str">
        <f>IF(B480="","",IFERROR(INDEX(pr_unit,MATCH(B480,pr_code,0))&amp;"",""))</f>
        <v/>
      </c>
      <c r="J480" s="65" t="str">
        <f>IF(COUNTA(A480:G480)=0,"",IF(E480&lt;&gt;"",E480,IF(B480="","",IFERROR(IF(INDEX(pr_price,MATCH(B480,pr_code,0))="","",INDEX(pr_price,MATCH(B480,pr_code,0))),""))))</f>
        <v/>
      </c>
      <c r="K480" s="71" t="str">
        <f>IF(COUNTA(A480:G480)=0,"",IF(G480&lt;&gt;"",G480,IF(B480="","",IFERROR(IF(INDEX(pr_rate,MATCH(B480,pr_code,0))="","",INDEX(pr_rate,MATCH(B480,pr_code,0))),""))))</f>
        <v/>
      </c>
      <c r="L480" s="65" t="str">
        <f>IF(COUNTA(A480:G480)=0,"",IF(AND(ISNUMBER(D480),ISNUMBER(J480)),ROUND(D480*J480*(1-N(F480)),2),0))</f>
        <v/>
      </c>
      <c r="M480" s="62" t="str">
        <f>IF(A480="","",IFERROR(INDEX(dv_cname,MATCH(A480,dv_num,0))&amp;"",""))</f>
        <v/>
      </c>
      <c r="N480" s="59" t="str">
        <f>IF(COUNTA(A480:G480)=0,"",IF(A480="","N° devis manquant",IF(ISNA(MATCH(A480,dv_num,0)),"Devis inconnu",IF(AND(B480&lt;&gt;"",ISNA(MATCH(B480,pr_code,0))),"Article inconnu",IF(H480="","Désignation manquante",IF(OR(NOT(ISNUMBER(D480)),N(D480)&lt;=0),"Quantité invalide",IF(J480="","Prix manquant",IF(OR(NOT(ISNUMBER(J480)),N(J480)&lt;0),"Prix invalide",IF(OR(AND(F480&lt;&gt;"",NOT(ISNUMBER(F480))),N(F480)&lt;0,N(F480)&gt;1),"Remise invalide",IF(K480="","Taux de TVA manquant",IF(NOT(ISNUMBER(K480)),"Taux de TVA invalide",IF(COUNTIF(p_rates,K480)=0,"Taux de TVA hors liste (Paramètres)",IF(N(O480)&gt;25,"Au-delà de 25 lignes : non imprimée","OK")))))))))))))</f>
        <v/>
      </c>
      <c r="O480" s="59" t="str">
        <f>IF(A480="","",COUNTIF($A$6:A480,A480))</f>
        <v/>
      </c>
      <c r="P480" s="62" t="str">
        <f>IF(A480="","",A480&amp;"|"&amp;O480)</f>
        <v/>
      </c>
    </row>
    <row r="481">
      <c r="A481" s="60" t="n"/>
      <c r="B481" s="63" t="n"/>
      <c r="C481" s="63" t="n"/>
      <c r="D481" s="67" t="n"/>
      <c r="E481" s="68" t="n"/>
      <c r="F481" s="69" t="n"/>
      <c r="G481" s="70" t="n"/>
      <c r="H481" s="62" t="str">
        <f>IF(COUNTA(A481:G481)=0,"",IF(C481&lt;&gt;"",C481,IF(B481="","",IFERROR(INDEX(pr_des,MATCH(B481,pr_code,0))&amp;"",""))))</f>
        <v/>
      </c>
      <c r="I481" s="59" t="str">
        <f>IF(B481="","",IFERROR(INDEX(pr_unit,MATCH(B481,pr_code,0))&amp;"",""))</f>
        <v/>
      </c>
      <c r="J481" s="65" t="str">
        <f>IF(COUNTA(A481:G481)=0,"",IF(E481&lt;&gt;"",E481,IF(B481="","",IFERROR(IF(INDEX(pr_price,MATCH(B481,pr_code,0))="","",INDEX(pr_price,MATCH(B481,pr_code,0))),""))))</f>
        <v/>
      </c>
      <c r="K481" s="71" t="str">
        <f>IF(COUNTA(A481:G481)=0,"",IF(G481&lt;&gt;"",G481,IF(B481="","",IFERROR(IF(INDEX(pr_rate,MATCH(B481,pr_code,0))="","",INDEX(pr_rate,MATCH(B481,pr_code,0))),""))))</f>
        <v/>
      </c>
      <c r="L481" s="65" t="str">
        <f>IF(COUNTA(A481:G481)=0,"",IF(AND(ISNUMBER(D481),ISNUMBER(J481)),ROUND(D481*J481*(1-N(F481)),2),0))</f>
        <v/>
      </c>
      <c r="M481" s="62" t="str">
        <f>IF(A481="","",IFERROR(INDEX(dv_cname,MATCH(A481,dv_num,0))&amp;"",""))</f>
        <v/>
      </c>
      <c r="N481" s="59" t="str">
        <f>IF(COUNTA(A481:G481)=0,"",IF(A481="","N° devis manquant",IF(ISNA(MATCH(A481,dv_num,0)),"Devis inconnu",IF(AND(B481&lt;&gt;"",ISNA(MATCH(B481,pr_code,0))),"Article inconnu",IF(H481="","Désignation manquante",IF(OR(NOT(ISNUMBER(D481)),N(D481)&lt;=0),"Quantité invalide",IF(J481="","Prix manquant",IF(OR(NOT(ISNUMBER(J481)),N(J481)&lt;0),"Prix invalide",IF(OR(AND(F481&lt;&gt;"",NOT(ISNUMBER(F481))),N(F481)&lt;0,N(F481)&gt;1),"Remise invalide",IF(K481="","Taux de TVA manquant",IF(NOT(ISNUMBER(K481)),"Taux de TVA invalide",IF(COUNTIF(p_rates,K481)=0,"Taux de TVA hors liste (Paramètres)",IF(N(O481)&gt;25,"Au-delà de 25 lignes : non imprimée","OK")))))))))))))</f>
        <v/>
      </c>
      <c r="O481" s="59" t="str">
        <f>IF(A481="","",COUNTIF($A$6:A481,A481))</f>
        <v/>
      </c>
      <c r="P481" s="62" t="str">
        <f>IF(A481="","",A481&amp;"|"&amp;O481)</f>
        <v/>
      </c>
    </row>
    <row r="482">
      <c r="A482" s="60" t="n"/>
      <c r="B482" s="63" t="n"/>
      <c r="C482" s="63" t="n"/>
      <c r="D482" s="67" t="n"/>
      <c r="E482" s="68" t="n"/>
      <c r="F482" s="69" t="n"/>
      <c r="G482" s="70" t="n"/>
      <c r="H482" s="62" t="str">
        <f>IF(COUNTA(A482:G482)=0,"",IF(C482&lt;&gt;"",C482,IF(B482="","",IFERROR(INDEX(pr_des,MATCH(B482,pr_code,0))&amp;"",""))))</f>
        <v/>
      </c>
      <c r="I482" s="59" t="str">
        <f>IF(B482="","",IFERROR(INDEX(pr_unit,MATCH(B482,pr_code,0))&amp;"",""))</f>
        <v/>
      </c>
      <c r="J482" s="65" t="str">
        <f>IF(COUNTA(A482:G482)=0,"",IF(E482&lt;&gt;"",E482,IF(B482="","",IFERROR(IF(INDEX(pr_price,MATCH(B482,pr_code,0))="","",INDEX(pr_price,MATCH(B482,pr_code,0))),""))))</f>
        <v/>
      </c>
      <c r="K482" s="71" t="str">
        <f>IF(COUNTA(A482:G482)=0,"",IF(G482&lt;&gt;"",G482,IF(B482="","",IFERROR(IF(INDEX(pr_rate,MATCH(B482,pr_code,0))="","",INDEX(pr_rate,MATCH(B482,pr_code,0))),""))))</f>
        <v/>
      </c>
      <c r="L482" s="65" t="str">
        <f>IF(COUNTA(A482:G482)=0,"",IF(AND(ISNUMBER(D482),ISNUMBER(J482)),ROUND(D482*J482*(1-N(F482)),2),0))</f>
        <v/>
      </c>
      <c r="M482" s="62" t="str">
        <f>IF(A482="","",IFERROR(INDEX(dv_cname,MATCH(A482,dv_num,0))&amp;"",""))</f>
        <v/>
      </c>
      <c r="N482" s="59" t="str">
        <f>IF(COUNTA(A482:G482)=0,"",IF(A482="","N° devis manquant",IF(ISNA(MATCH(A482,dv_num,0)),"Devis inconnu",IF(AND(B482&lt;&gt;"",ISNA(MATCH(B482,pr_code,0))),"Article inconnu",IF(H482="","Désignation manquante",IF(OR(NOT(ISNUMBER(D482)),N(D482)&lt;=0),"Quantité invalide",IF(J482="","Prix manquant",IF(OR(NOT(ISNUMBER(J482)),N(J482)&lt;0),"Prix invalide",IF(OR(AND(F482&lt;&gt;"",NOT(ISNUMBER(F482))),N(F482)&lt;0,N(F482)&gt;1),"Remise invalide",IF(K482="","Taux de TVA manquant",IF(NOT(ISNUMBER(K482)),"Taux de TVA invalide",IF(COUNTIF(p_rates,K482)=0,"Taux de TVA hors liste (Paramètres)",IF(N(O482)&gt;25,"Au-delà de 25 lignes : non imprimée","OK")))))))))))))</f>
        <v/>
      </c>
      <c r="O482" s="59" t="str">
        <f>IF(A482="","",COUNTIF($A$6:A482,A482))</f>
        <v/>
      </c>
      <c r="P482" s="62" t="str">
        <f>IF(A482="","",A482&amp;"|"&amp;O482)</f>
        <v/>
      </c>
    </row>
    <row r="483">
      <c r="A483" s="60" t="n"/>
      <c r="B483" s="63" t="n"/>
      <c r="C483" s="63" t="n"/>
      <c r="D483" s="67" t="n"/>
      <c r="E483" s="68" t="n"/>
      <c r="F483" s="69" t="n"/>
      <c r="G483" s="70" t="n"/>
      <c r="H483" s="62" t="str">
        <f>IF(COUNTA(A483:G483)=0,"",IF(C483&lt;&gt;"",C483,IF(B483="","",IFERROR(INDEX(pr_des,MATCH(B483,pr_code,0))&amp;"",""))))</f>
        <v/>
      </c>
      <c r="I483" s="59" t="str">
        <f>IF(B483="","",IFERROR(INDEX(pr_unit,MATCH(B483,pr_code,0))&amp;"",""))</f>
        <v/>
      </c>
      <c r="J483" s="65" t="str">
        <f>IF(COUNTA(A483:G483)=0,"",IF(E483&lt;&gt;"",E483,IF(B483="","",IFERROR(IF(INDEX(pr_price,MATCH(B483,pr_code,0))="","",INDEX(pr_price,MATCH(B483,pr_code,0))),""))))</f>
        <v/>
      </c>
      <c r="K483" s="71" t="str">
        <f>IF(COUNTA(A483:G483)=0,"",IF(G483&lt;&gt;"",G483,IF(B483="","",IFERROR(IF(INDEX(pr_rate,MATCH(B483,pr_code,0))="","",INDEX(pr_rate,MATCH(B483,pr_code,0))),""))))</f>
        <v/>
      </c>
      <c r="L483" s="65" t="str">
        <f>IF(COUNTA(A483:G483)=0,"",IF(AND(ISNUMBER(D483),ISNUMBER(J483)),ROUND(D483*J483*(1-N(F483)),2),0))</f>
        <v/>
      </c>
      <c r="M483" s="62" t="str">
        <f>IF(A483="","",IFERROR(INDEX(dv_cname,MATCH(A483,dv_num,0))&amp;"",""))</f>
        <v/>
      </c>
      <c r="N483" s="59" t="str">
        <f>IF(COUNTA(A483:G483)=0,"",IF(A483="","N° devis manquant",IF(ISNA(MATCH(A483,dv_num,0)),"Devis inconnu",IF(AND(B483&lt;&gt;"",ISNA(MATCH(B483,pr_code,0))),"Article inconnu",IF(H483="","Désignation manquante",IF(OR(NOT(ISNUMBER(D483)),N(D483)&lt;=0),"Quantité invalide",IF(J483="","Prix manquant",IF(OR(NOT(ISNUMBER(J483)),N(J483)&lt;0),"Prix invalide",IF(OR(AND(F483&lt;&gt;"",NOT(ISNUMBER(F483))),N(F483)&lt;0,N(F483)&gt;1),"Remise invalide",IF(K483="","Taux de TVA manquant",IF(NOT(ISNUMBER(K483)),"Taux de TVA invalide",IF(COUNTIF(p_rates,K483)=0,"Taux de TVA hors liste (Paramètres)",IF(N(O483)&gt;25,"Au-delà de 25 lignes : non imprimée","OK")))))))))))))</f>
        <v/>
      </c>
      <c r="O483" s="59" t="str">
        <f>IF(A483="","",COUNTIF($A$6:A483,A483))</f>
        <v/>
      </c>
      <c r="P483" s="62" t="str">
        <f>IF(A483="","",A483&amp;"|"&amp;O483)</f>
        <v/>
      </c>
    </row>
    <row r="484">
      <c r="A484" s="60" t="n"/>
      <c r="B484" s="63" t="n"/>
      <c r="C484" s="63" t="n"/>
      <c r="D484" s="67" t="n"/>
      <c r="E484" s="68" t="n"/>
      <c r="F484" s="69" t="n"/>
      <c r="G484" s="70" t="n"/>
      <c r="H484" s="62" t="str">
        <f>IF(COUNTA(A484:G484)=0,"",IF(C484&lt;&gt;"",C484,IF(B484="","",IFERROR(INDEX(pr_des,MATCH(B484,pr_code,0))&amp;"",""))))</f>
        <v/>
      </c>
      <c r="I484" s="59" t="str">
        <f>IF(B484="","",IFERROR(INDEX(pr_unit,MATCH(B484,pr_code,0))&amp;"",""))</f>
        <v/>
      </c>
      <c r="J484" s="65" t="str">
        <f>IF(COUNTA(A484:G484)=0,"",IF(E484&lt;&gt;"",E484,IF(B484="","",IFERROR(IF(INDEX(pr_price,MATCH(B484,pr_code,0))="","",INDEX(pr_price,MATCH(B484,pr_code,0))),""))))</f>
        <v/>
      </c>
      <c r="K484" s="71" t="str">
        <f>IF(COUNTA(A484:G484)=0,"",IF(G484&lt;&gt;"",G484,IF(B484="","",IFERROR(IF(INDEX(pr_rate,MATCH(B484,pr_code,0))="","",INDEX(pr_rate,MATCH(B484,pr_code,0))),""))))</f>
        <v/>
      </c>
      <c r="L484" s="65" t="str">
        <f>IF(COUNTA(A484:G484)=0,"",IF(AND(ISNUMBER(D484),ISNUMBER(J484)),ROUND(D484*J484*(1-N(F484)),2),0))</f>
        <v/>
      </c>
      <c r="M484" s="62" t="str">
        <f>IF(A484="","",IFERROR(INDEX(dv_cname,MATCH(A484,dv_num,0))&amp;"",""))</f>
        <v/>
      </c>
      <c r="N484" s="59" t="str">
        <f>IF(COUNTA(A484:G484)=0,"",IF(A484="","N° devis manquant",IF(ISNA(MATCH(A484,dv_num,0)),"Devis inconnu",IF(AND(B484&lt;&gt;"",ISNA(MATCH(B484,pr_code,0))),"Article inconnu",IF(H484="","Désignation manquante",IF(OR(NOT(ISNUMBER(D484)),N(D484)&lt;=0),"Quantité invalide",IF(J484="","Prix manquant",IF(OR(NOT(ISNUMBER(J484)),N(J484)&lt;0),"Prix invalide",IF(OR(AND(F484&lt;&gt;"",NOT(ISNUMBER(F484))),N(F484)&lt;0,N(F484)&gt;1),"Remise invalide",IF(K484="","Taux de TVA manquant",IF(NOT(ISNUMBER(K484)),"Taux de TVA invalide",IF(COUNTIF(p_rates,K484)=0,"Taux de TVA hors liste (Paramètres)",IF(N(O484)&gt;25,"Au-delà de 25 lignes : non imprimée","OK")))))))))))))</f>
        <v/>
      </c>
      <c r="O484" s="59" t="str">
        <f>IF(A484="","",COUNTIF($A$6:A484,A484))</f>
        <v/>
      </c>
      <c r="P484" s="62" t="str">
        <f>IF(A484="","",A484&amp;"|"&amp;O484)</f>
        <v/>
      </c>
    </row>
    <row r="485">
      <c r="A485" s="60" t="n"/>
      <c r="B485" s="63" t="n"/>
      <c r="C485" s="63" t="n"/>
      <c r="D485" s="67" t="n"/>
      <c r="E485" s="68" t="n"/>
      <c r="F485" s="69" t="n"/>
      <c r="G485" s="70" t="n"/>
      <c r="H485" s="62" t="str">
        <f>IF(COUNTA(A485:G485)=0,"",IF(C485&lt;&gt;"",C485,IF(B485="","",IFERROR(INDEX(pr_des,MATCH(B485,pr_code,0))&amp;"",""))))</f>
        <v/>
      </c>
      <c r="I485" s="59" t="str">
        <f>IF(B485="","",IFERROR(INDEX(pr_unit,MATCH(B485,pr_code,0))&amp;"",""))</f>
        <v/>
      </c>
      <c r="J485" s="65" t="str">
        <f>IF(COUNTA(A485:G485)=0,"",IF(E485&lt;&gt;"",E485,IF(B485="","",IFERROR(IF(INDEX(pr_price,MATCH(B485,pr_code,0))="","",INDEX(pr_price,MATCH(B485,pr_code,0))),""))))</f>
        <v/>
      </c>
      <c r="K485" s="71" t="str">
        <f>IF(COUNTA(A485:G485)=0,"",IF(G485&lt;&gt;"",G485,IF(B485="","",IFERROR(IF(INDEX(pr_rate,MATCH(B485,pr_code,0))="","",INDEX(pr_rate,MATCH(B485,pr_code,0))),""))))</f>
        <v/>
      </c>
      <c r="L485" s="65" t="str">
        <f>IF(COUNTA(A485:G485)=0,"",IF(AND(ISNUMBER(D485),ISNUMBER(J485)),ROUND(D485*J485*(1-N(F485)),2),0))</f>
        <v/>
      </c>
      <c r="M485" s="62" t="str">
        <f>IF(A485="","",IFERROR(INDEX(dv_cname,MATCH(A485,dv_num,0))&amp;"",""))</f>
        <v/>
      </c>
      <c r="N485" s="59" t="str">
        <f>IF(COUNTA(A485:G485)=0,"",IF(A485="","N° devis manquant",IF(ISNA(MATCH(A485,dv_num,0)),"Devis inconnu",IF(AND(B485&lt;&gt;"",ISNA(MATCH(B485,pr_code,0))),"Article inconnu",IF(H485="","Désignation manquante",IF(OR(NOT(ISNUMBER(D485)),N(D485)&lt;=0),"Quantité invalide",IF(J485="","Prix manquant",IF(OR(NOT(ISNUMBER(J485)),N(J485)&lt;0),"Prix invalide",IF(OR(AND(F485&lt;&gt;"",NOT(ISNUMBER(F485))),N(F485)&lt;0,N(F485)&gt;1),"Remise invalide",IF(K485="","Taux de TVA manquant",IF(NOT(ISNUMBER(K485)),"Taux de TVA invalide",IF(COUNTIF(p_rates,K485)=0,"Taux de TVA hors liste (Paramètres)",IF(N(O485)&gt;25,"Au-delà de 25 lignes : non imprimée","OK")))))))))))))</f>
        <v/>
      </c>
      <c r="O485" s="59" t="str">
        <f>IF(A485="","",COUNTIF($A$6:A485,A485))</f>
        <v/>
      </c>
      <c r="P485" s="62" t="str">
        <f>IF(A485="","",A485&amp;"|"&amp;O485)</f>
        <v/>
      </c>
    </row>
    <row r="486">
      <c r="A486" s="60" t="n"/>
      <c r="B486" s="63" t="n"/>
      <c r="C486" s="63" t="n"/>
      <c r="D486" s="67" t="n"/>
      <c r="E486" s="68" t="n"/>
      <c r="F486" s="69" t="n"/>
      <c r="G486" s="70" t="n"/>
      <c r="H486" s="62" t="str">
        <f>IF(COUNTA(A486:G486)=0,"",IF(C486&lt;&gt;"",C486,IF(B486="","",IFERROR(INDEX(pr_des,MATCH(B486,pr_code,0))&amp;"",""))))</f>
        <v/>
      </c>
      <c r="I486" s="59" t="str">
        <f>IF(B486="","",IFERROR(INDEX(pr_unit,MATCH(B486,pr_code,0))&amp;"",""))</f>
        <v/>
      </c>
      <c r="J486" s="65" t="str">
        <f>IF(COUNTA(A486:G486)=0,"",IF(E486&lt;&gt;"",E486,IF(B486="","",IFERROR(IF(INDEX(pr_price,MATCH(B486,pr_code,0))="","",INDEX(pr_price,MATCH(B486,pr_code,0))),""))))</f>
        <v/>
      </c>
      <c r="K486" s="71" t="str">
        <f>IF(COUNTA(A486:G486)=0,"",IF(G486&lt;&gt;"",G486,IF(B486="","",IFERROR(IF(INDEX(pr_rate,MATCH(B486,pr_code,0))="","",INDEX(pr_rate,MATCH(B486,pr_code,0))),""))))</f>
        <v/>
      </c>
      <c r="L486" s="65" t="str">
        <f>IF(COUNTA(A486:G486)=0,"",IF(AND(ISNUMBER(D486),ISNUMBER(J486)),ROUND(D486*J486*(1-N(F486)),2),0))</f>
        <v/>
      </c>
      <c r="M486" s="62" t="str">
        <f>IF(A486="","",IFERROR(INDEX(dv_cname,MATCH(A486,dv_num,0))&amp;"",""))</f>
        <v/>
      </c>
      <c r="N486" s="59" t="str">
        <f>IF(COUNTA(A486:G486)=0,"",IF(A486="","N° devis manquant",IF(ISNA(MATCH(A486,dv_num,0)),"Devis inconnu",IF(AND(B486&lt;&gt;"",ISNA(MATCH(B486,pr_code,0))),"Article inconnu",IF(H486="","Désignation manquante",IF(OR(NOT(ISNUMBER(D486)),N(D486)&lt;=0),"Quantité invalide",IF(J486="","Prix manquant",IF(OR(NOT(ISNUMBER(J486)),N(J486)&lt;0),"Prix invalide",IF(OR(AND(F486&lt;&gt;"",NOT(ISNUMBER(F486))),N(F486)&lt;0,N(F486)&gt;1),"Remise invalide",IF(K486="","Taux de TVA manquant",IF(NOT(ISNUMBER(K486)),"Taux de TVA invalide",IF(COUNTIF(p_rates,K486)=0,"Taux de TVA hors liste (Paramètres)",IF(N(O486)&gt;25,"Au-delà de 25 lignes : non imprimée","OK")))))))))))))</f>
        <v/>
      </c>
      <c r="O486" s="59" t="str">
        <f>IF(A486="","",COUNTIF($A$6:A486,A486))</f>
        <v/>
      </c>
      <c r="P486" s="62" t="str">
        <f>IF(A486="","",A486&amp;"|"&amp;O486)</f>
        <v/>
      </c>
    </row>
    <row r="487">
      <c r="A487" s="60" t="n"/>
      <c r="B487" s="63" t="n"/>
      <c r="C487" s="63" t="n"/>
      <c r="D487" s="67" t="n"/>
      <c r="E487" s="68" t="n"/>
      <c r="F487" s="69" t="n"/>
      <c r="G487" s="70" t="n"/>
      <c r="H487" s="62" t="str">
        <f>IF(COUNTA(A487:G487)=0,"",IF(C487&lt;&gt;"",C487,IF(B487="","",IFERROR(INDEX(pr_des,MATCH(B487,pr_code,0))&amp;"",""))))</f>
        <v/>
      </c>
      <c r="I487" s="59" t="str">
        <f>IF(B487="","",IFERROR(INDEX(pr_unit,MATCH(B487,pr_code,0))&amp;"",""))</f>
        <v/>
      </c>
      <c r="J487" s="65" t="str">
        <f>IF(COUNTA(A487:G487)=0,"",IF(E487&lt;&gt;"",E487,IF(B487="","",IFERROR(IF(INDEX(pr_price,MATCH(B487,pr_code,0))="","",INDEX(pr_price,MATCH(B487,pr_code,0))),""))))</f>
        <v/>
      </c>
      <c r="K487" s="71" t="str">
        <f>IF(COUNTA(A487:G487)=0,"",IF(G487&lt;&gt;"",G487,IF(B487="","",IFERROR(IF(INDEX(pr_rate,MATCH(B487,pr_code,0))="","",INDEX(pr_rate,MATCH(B487,pr_code,0))),""))))</f>
        <v/>
      </c>
      <c r="L487" s="65" t="str">
        <f>IF(COUNTA(A487:G487)=0,"",IF(AND(ISNUMBER(D487),ISNUMBER(J487)),ROUND(D487*J487*(1-N(F487)),2),0))</f>
        <v/>
      </c>
      <c r="M487" s="62" t="str">
        <f>IF(A487="","",IFERROR(INDEX(dv_cname,MATCH(A487,dv_num,0))&amp;"",""))</f>
        <v/>
      </c>
      <c r="N487" s="59" t="str">
        <f>IF(COUNTA(A487:G487)=0,"",IF(A487="","N° devis manquant",IF(ISNA(MATCH(A487,dv_num,0)),"Devis inconnu",IF(AND(B487&lt;&gt;"",ISNA(MATCH(B487,pr_code,0))),"Article inconnu",IF(H487="","Désignation manquante",IF(OR(NOT(ISNUMBER(D487)),N(D487)&lt;=0),"Quantité invalide",IF(J487="","Prix manquant",IF(OR(NOT(ISNUMBER(J487)),N(J487)&lt;0),"Prix invalide",IF(OR(AND(F487&lt;&gt;"",NOT(ISNUMBER(F487))),N(F487)&lt;0,N(F487)&gt;1),"Remise invalide",IF(K487="","Taux de TVA manquant",IF(NOT(ISNUMBER(K487)),"Taux de TVA invalide",IF(COUNTIF(p_rates,K487)=0,"Taux de TVA hors liste (Paramètres)",IF(N(O487)&gt;25,"Au-delà de 25 lignes : non imprimée","OK")))))))))))))</f>
        <v/>
      </c>
      <c r="O487" s="59" t="str">
        <f>IF(A487="","",COUNTIF($A$6:A487,A487))</f>
        <v/>
      </c>
      <c r="P487" s="62" t="str">
        <f>IF(A487="","",A487&amp;"|"&amp;O487)</f>
        <v/>
      </c>
    </row>
    <row r="488">
      <c r="A488" s="60" t="n"/>
      <c r="B488" s="63" t="n"/>
      <c r="C488" s="63" t="n"/>
      <c r="D488" s="67" t="n"/>
      <c r="E488" s="68" t="n"/>
      <c r="F488" s="69" t="n"/>
      <c r="G488" s="70" t="n"/>
      <c r="H488" s="62" t="str">
        <f>IF(COUNTA(A488:G488)=0,"",IF(C488&lt;&gt;"",C488,IF(B488="","",IFERROR(INDEX(pr_des,MATCH(B488,pr_code,0))&amp;"",""))))</f>
        <v/>
      </c>
      <c r="I488" s="59" t="str">
        <f>IF(B488="","",IFERROR(INDEX(pr_unit,MATCH(B488,pr_code,0))&amp;"",""))</f>
        <v/>
      </c>
      <c r="J488" s="65" t="str">
        <f>IF(COUNTA(A488:G488)=0,"",IF(E488&lt;&gt;"",E488,IF(B488="","",IFERROR(IF(INDEX(pr_price,MATCH(B488,pr_code,0))="","",INDEX(pr_price,MATCH(B488,pr_code,0))),""))))</f>
        <v/>
      </c>
      <c r="K488" s="71" t="str">
        <f>IF(COUNTA(A488:G488)=0,"",IF(G488&lt;&gt;"",G488,IF(B488="","",IFERROR(IF(INDEX(pr_rate,MATCH(B488,pr_code,0))="","",INDEX(pr_rate,MATCH(B488,pr_code,0))),""))))</f>
        <v/>
      </c>
      <c r="L488" s="65" t="str">
        <f>IF(COUNTA(A488:G488)=0,"",IF(AND(ISNUMBER(D488),ISNUMBER(J488)),ROUND(D488*J488*(1-N(F488)),2),0))</f>
        <v/>
      </c>
      <c r="M488" s="62" t="str">
        <f>IF(A488="","",IFERROR(INDEX(dv_cname,MATCH(A488,dv_num,0))&amp;"",""))</f>
        <v/>
      </c>
      <c r="N488" s="59" t="str">
        <f>IF(COUNTA(A488:G488)=0,"",IF(A488="","N° devis manquant",IF(ISNA(MATCH(A488,dv_num,0)),"Devis inconnu",IF(AND(B488&lt;&gt;"",ISNA(MATCH(B488,pr_code,0))),"Article inconnu",IF(H488="","Désignation manquante",IF(OR(NOT(ISNUMBER(D488)),N(D488)&lt;=0),"Quantité invalide",IF(J488="","Prix manquant",IF(OR(NOT(ISNUMBER(J488)),N(J488)&lt;0),"Prix invalide",IF(OR(AND(F488&lt;&gt;"",NOT(ISNUMBER(F488))),N(F488)&lt;0,N(F488)&gt;1),"Remise invalide",IF(K488="","Taux de TVA manquant",IF(NOT(ISNUMBER(K488)),"Taux de TVA invalide",IF(COUNTIF(p_rates,K488)=0,"Taux de TVA hors liste (Paramètres)",IF(N(O488)&gt;25,"Au-delà de 25 lignes : non imprimée","OK")))))))))))))</f>
        <v/>
      </c>
      <c r="O488" s="59" t="str">
        <f>IF(A488="","",COUNTIF($A$6:A488,A488))</f>
        <v/>
      </c>
      <c r="P488" s="62" t="str">
        <f>IF(A488="","",A488&amp;"|"&amp;O488)</f>
        <v/>
      </c>
    </row>
    <row r="489">
      <c r="A489" s="60" t="n"/>
      <c r="B489" s="63" t="n"/>
      <c r="C489" s="63" t="n"/>
      <c r="D489" s="67" t="n"/>
      <c r="E489" s="68" t="n"/>
      <c r="F489" s="69" t="n"/>
      <c r="G489" s="70" t="n"/>
      <c r="H489" s="62" t="str">
        <f>IF(COUNTA(A489:G489)=0,"",IF(C489&lt;&gt;"",C489,IF(B489="","",IFERROR(INDEX(pr_des,MATCH(B489,pr_code,0))&amp;"",""))))</f>
        <v/>
      </c>
      <c r="I489" s="59" t="str">
        <f>IF(B489="","",IFERROR(INDEX(pr_unit,MATCH(B489,pr_code,0))&amp;"",""))</f>
        <v/>
      </c>
      <c r="J489" s="65" t="str">
        <f>IF(COUNTA(A489:G489)=0,"",IF(E489&lt;&gt;"",E489,IF(B489="","",IFERROR(IF(INDEX(pr_price,MATCH(B489,pr_code,0))="","",INDEX(pr_price,MATCH(B489,pr_code,0))),""))))</f>
        <v/>
      </c>
      <c r="K489" s="71" t="str">
        <f>IF(COUNTA(A489:G489)=0,"",IF(G489&lt;&gt;"",G489,IF(B489="","",IFERROR(IF(INDEX(pr_rate,MATCH(B489,pr_code,0))="","",INDEX(pr_rate,MATCH(B489,pr_code,0))),""))))</f>
        <v/>
      </c>
      <c r="L489" s="65" t="str">
        <f>IF(COUNTA(A489:G489)=0,"",IF(AND(ISNUMBER(D489),ISNUMBER(J489)),ROUND(D489*J489*(1-N(F489)),2),0))</f>
        <v/>
      </c>
      <c r="M489" s="62" t="str">
        <f>IF(A489="","",IFERROR(INDEX(dv_cname,MATCH(A489,dv_num,0))&amp;"",""))</f>
        <v/>
      </c>
      <c r="N489" s="59" t="str">
        <f>IF(COUNTA(A489:G489)=0,"",IF(A489="","N° devis manquant",IF(ISNA(MATCH(A489,dv_num,0)),"Devis inconnu",IF(AND(B489&lt;&gt;"",ISNA(MATCH(B489,pr_code,0))),"Article inconnu",IF(H489="","Désignation manquante",IF(OR(NOT(ISNUMBER(D489)),N(D489)&lt;=0),"Quantité invalide",IF(J489="","Prix manquant",IF(OR(NOT(ISNUMBER(J489)),N(J489)&lt;0),"Prix invalide",IF(OR(AND(F489&lt;&gt;"",NOT(ISNUMBER(F489))),N(F489)&lt;0,N(F489)&gt;1),"Remise invalide",IF(K489="","Taux de TVA manquant",IF(NOT(ISNUMBER(K489)),"Taux de TVA invalide",IF(COUNTIF(p_rates,K489)=0,"Taux de TVA hors liste (Paramètres)",IF(N(O489)&gt;25,"Au-delà de 25 lignes : non imprimée","OK")))))))))))))</f>
        <v/>
      </c>
      <c r="O489" s="59" t="str">
        <f>IF(A489="","",COUNTIF($A$6:A489,A489))</f>
        <v/>
      </c>
      <c r="P489" s="62" t="str">
        <f>IF(A489="","",A489&amp;"|"&amp;O489)</f>
        <v/>
      </c>
    </row>
    <row r="490">
      <c r="A490" s="60" t="n"/>
      <c r="B490" s="63" t="n"/>
      <c r="C490" s="63" t="n"/>
      <c r="D490" s="67" t="n"/>
      <c r="E490" s="68" t="n"/>
      <c r="F490" s="69" t="n"/>
      <c r="G490" s="70" t="n"/>
      <c r="H490" s="62" t="str">
        <f>IF(COUNTA(A490:G490)=0,"",IF(C490&lt;&gt;"",C490,IF(B490="","",IFERROR(INDEX(pr_des,MATCH(B490,pr_code,0))&amp;"",""))))</f>
        <v/>
      </c>
      <c r="I490" s="59" t="str">
        <f>IF(B490="","",IFERROR(INDEX(pr_unit,MATCH(B490,pr_code,0))&amp;"",""))</f>
        <v/>
      </c>
      <c r="J490" s="65" t="str">
        <f>IF(COUNTA(A490:G490)=0,"",IF(E490&lt;&gt;"",E490,IF(B490="","",IFERROR(IF(INDEX(pr_price,MATCH(B490,pr_code,0))="","",INDEX(pr_price,MATCH(B490,pr_code,0))),""))))</f>
        <v/>
      </c>
      <c r="K490" s="71" t="str">
        <f>IF(COUNTA(A490:G490)=0,"",IF(G490&lt;&gt;"",G490,IF(B490="","",IFERROR(IF(INDEX(pr_rate,MATCH(B490,pr_code,0))="","",INDEX(pr_rate,MATCH(B490,pr_code,0))),""))))</f>
        <v/>
      </c>
      <c r="L490" s="65" t="str">
        <f>IF(COUNTA(A490:G490)=0,"",IF(AND(ISNUMBER(D490),ISNUMBER(J490)),ROUND(D490*J490*(1-N(F490)),2),0))</f>
        <v/>
      </c>
      <c r="M490" s="62" t="str">
        <f>IF(A490="","",IFERROR(INDEX(dv_cname,MATCH(A490,dv_num,0))&amp;"",""))</f>
        <v/>
      </c>
      <c r="N490" s="59" t="str">
        <f>IF(COUNTA(A490:G490)=0,"",IF(A490="","N° devis manquant",IF(ISNA(MATCH(A490,dv_num,0)),"Devis inconnu",IF(AND(B490&lt;&gt;"",ISNA(MATCH(B490,pr_code,0))),"Article inconnu",IF(H490="","Désignation manquante",IF(OR(NOT(ISNUMBER(D490)),N(D490)&lt;=0),"Quantité invalide",IF(J490="","Prix manquant",IF(OR(NOT(ISNUMBER(J490)),N(J490)&lt;0),"Prix invalide",IF(OR(AND(F490&lt;&gt;"",NOT(ISNUMBER(F490))),N(F490)&lt;0,N(F490)&gt;1),"Remise invalide",IF(K490="","Taux de TVA manquant",IF(NOT(ISNUMBER(K490)),"Taux de TVA invalide",IF(COUNTIF(p_rates,K490)=0,"Taux de TVA hors liste (Paramètres)",IF(N(O490)&gt;25,"Au-delà de 25 lignes : non imprimée","OK")))))))))))))</f>
        <v/>
      </c>
      <c r="O490" s="59" t="str">
        <f>IF(A490="","",COUNTIF($A$6:A490,A490))</f>
        <v/>
      </c>
      <c r="P490" s="62" t="str">
        <f>IF(A490="","",A490&amp;"|"&amp;O490)</f>
        <v/>
      </c>
    </row>
    <row r="491">
      <c r="A491" s="60" t="n"/>
      <c r="B491" s="63" t="n"/>
      <c r="C491" s="63" t="n"/>
      <c r="D491" s="67" t="n"/>
      <c r="E491" s="68" t="n"/>
      <c r="F491" s="69" t="n"/>
      <c r="G491" s="70" t="n"/>
      <c r="H491" s="62" t="str">
        <f>IF(COUNTA(A491:G491)=0,"",IF(C491&lt;&gt;"",C491,IF(B491="","",IFERROR(INDEX(pr_des,MATCH(B491,pr_code,0))&amp;"",""))))</f>
        <v/>
      </c>
      <c r="I491" s="59" t="str">
        <f>IF(B491="","",IFERROR(INDEX(pr_unit,MATCH(B491,pr_code,0))&amp;"",""))</f>
        <v/>
      </c>
      <c r="J491" s="65" t="str">
        <f>IF(COUNTA(A491:G491)=0,"",IF(E491&lt;&gt;"",E491,IF(B491="","",IFERROR(IF(INDEX(pr_price,MATCH(B491,pr_code,0))="","",INDEX(pr_price,MATCH(B491,pr_code,0))),""))))</f>
        <v/>
      </c>
      <c r="K491" s="71" t="str">
        <f>IF(COUNTA(A491:G491)=0,"",IF(G491&lt;&gt;"",G491,IF(B491="","",IFERROR(IF(INDEX(pr_rate,MATCH(B491,pr_code,0))="","",INDEX(pr_rate,MATCH(B491,pr_code,0))),""))))</f>
        <v/>
      </c>
      <c r="L491" s="65" t="str">
        <f>IF(COUNTA(A491:G491)=0,"",IF(AND(ISNUMBER(D491),ISNUMBER(J491)),ROUND(D491*J491*(1-N(F491)),2),0))</f>
        <v/>
      </c>
      <c r="M491" s="62" t="str">
        <f>IF(A491="","",IFERROR(INDEX(dv_cname,MATCH(A491,dv_num,0))&amp;"",""))</f>
        <v/>
      </c>
      <c r="N491" s="59" t="str">
        <f>IF(COUNTA(A491:G491)=0,"",IF(A491="","N° devis manquant",IF(ISNA(MATCH(A491,dv_num,0)),"Devis inconnu",IF(AND(B491&lt;&gt;"",ISNA(MATCH(B491,pr_code,0))),"Article inconnu",IF(H491="","Désignation manquante",IF(OR(NOT(ISNUMBER(D491)),N(D491)&lt;=0),"Quantité invalide",IF(J491="","Prix manquant",IF(OR(NOT(ISNUMBER(J491)),N(J491)&lt;0),"Prix invalide",IF(OR(AND(F491&lt;&gt;"",NOT(ISNUMBER(F491))),N(F491)&lt;0,N(F491)&gt;1),"Remise invalide",IF(K491="","Taux de TVA manquant",IF(NOT(ISNUMBER(K491)),"Taux de TVA invalide",IF(COUNTIF(p_rates,K491)=0,"Taux de TVA hors liste (Paramètres)",IF(N(O491)&gt;25,"Au-delà de 25 lignes : non imprimée","OK")))))))))))))</f>
        <v/>
      </c>
      <c r="O491" s="59" t="str">
        <f>IF(A491="","",COUNTIF($A$6:A491,A491))</f>
        <v/>
      </c>
      <c r="P491" s="62" t="str">
        <f>IF(A491="","",A491&amp;"|"&amp;O491)</f>
        <v/>
      </c>
    </row>
    <row r="492">
      <c r="A492" s="60" t="n"/>
      <c r="B492" s="63" t="n"/>
      <c r="C492" s="63" t="n"/>
      <c r="D492" s="67" t="n"/>
      <c r="E492" s="68" t="n"/>
      <c r="F492" s="69" t="n"/>
      <c r="G492" s="70" t="n"/>
      <c r="H492" s="62" t="str">
        <f>IF(COUNTA(A492:G492)=0,"",IF(C492&lt;&gt;"",C492,IF(B492="","",IFERROR(INDEX(pr_des,MATCH(B492,pr_code,0))&amp;"",""))))</f>
        <v/>
      </c>
      <c r="I492" s="59" t="str">
        <f>IF(B492="","",IFERROR(INDEX(pr_unit,MATCH(B492,pr_code,0))&amp;"",""))</f>
        <v/>
      </c>
      <c r="J492" s="65" t="str">
        <f>IF(COUNTA(A492:G492)=0,"",IF(E492&lt;&gt;"",E492,IF(B492="","",IFERROR(IF(INDEX(pr_price,MATCH(B492,pr_code,0))="","",INDEX(pr_price,MATCH(B492,pr_code,0))),""))))</f>
        <v/>
      </c>
      <c r="K492" s="71" t="str">
        <f>IF(COUNTA(A492:G492)=0,"",IF(G492&lt;&gt;"",G492,IF(B492="","",IFERROR(IF(INDEX(pr_rate,MATCH(B492,pr_code,0))="","",INDEX(pr_rate,MATCH(B492,pr_code,0))),""))))</f>
        <v/>
      </c>
      <c r="L492" s="65" t="str">
        <f>IF(COUNTA(A492:G492)=0,"",IF(AND(ISNUMBER(D492),ISNUMBER(J492)),ROUND(D492*J492*(1-N(F492)),2),0))</f>
        <v/>
      </c>
      <c r="M492" s="62" t="str">
        <f>IF(A492="","",IFERROR(INDEX(dv_cname,MATCH(A492,dv_num,0))&amp;"",""))</f>
        <v/>
      </c>
      <c r="N492" s="59" t="str">
        <f>IF(COUNTA(A492:G492)=0,"",IF(A492="","N° devis manquant",IF(ISNA(MATCH(A492,dv_num,0)),"Devis inconnu",IF(AND(B492&lt;&gt;"",ISNA(MATCH(B492,pr_code,0))),"Article inconnu",IF(H492="","Désignation manquante",IF(OR(NOT(ISNUMBER(D492)),N(D492)&lt;=0),"Quantité invalide",IF(J492="","Prix manquant",IF(OR(NOT(ISNUMBER(J492)),N(J492)&lt;0),"Prix invalide",IF(OR(AND(F492&lt;&gt;"",NOT(ISNUMBER(F492))),N(F492)&lt;0,N(F492)&gt;1),"Remise invalide",IF(K492="","Taux de TVA manquant",IF(NOT(ISNUMBER(K492)),"Taux de TVA invalide",IF(COUNTIF(p_rates,K492)=0,"Taux de TVA hors liste (Paramètres)",IF(N(O492)&gt;25,"Au-delà de 25 lignes : non imprimée","OK")))))))))))))</f>
        <v/>
      </c>
      <c r="O492" s="59" t="str">
        <f>IF(A492="","",COUNTIF($A$6:A492,A492))</f>
        <v/>
      </c>
      <c r="P492" s="62" t="str">
        <f>IF(A492="","",A492&amp;"|"&amp;O492)</f>
        <v/>
      </c>
    </row>
    <row r="493">
      <c r="A493" s="60" t="n"/>
      <c r="B493" s="63" t="n"/>
      <c r="C493" s="63" t="n"/>
      <c r="D493" s="67" t="n"/>
      <c r="E493" s="68" t="n"/>
      <c r="F493" s="69" t="n"/>
      <c r="G493" s="70" t="n"/>
      <c r="H493" s="62" t="str">
        <f>IF(COUNTA(A493:G493)=0,"",IF(C493&lt;&gt;"",C493,IF(B493="","",IFERROR(INDEX(pr_des,MATCH(B493,pr_code,0))&amp;"",""))))</f>
        <v/>
      </c>
      <c r="I493" s="59" t="str">
        <f>IF(B493="","",IFERROR(INDEX(pr_unit,MATCH(B493,pr_code,0))&amp;"",""))</f>
        <v/>
      </c>
      <c r="J493" s="65" t="str">
        <f>IF(COUNTA(A493:G493)=0,"",IF(E493&lt;&gt;"",E493,IF(B493="","",IFERROR(IF(INDEX(pr_price,MATCH(B493,pr_code,0))="","",INDEX(pr_price,MATCH(B493,pr_code,0))),""))))</f>
        <v/>
      </c>
      <c r="K493" s="71" t="str">
        <f>IF(COUNTA(A493:G493)=0,"",IF(G493&lt;&gt;"",G493,IF(B493="","",IFERROR(IF(INDEX(pr_rate,MATCH(B493,pr_code,0))="","",INDEX(pr_rate,MATCH(B493,pr_code,0))),""))))</f>
        <v/>
      </c>
      <c r="L493" s="65" t="str">
        <f>IF(COUNTA(A493:G493)=0,"",IF(AND(ISNUMBER(D493),ISNUMBER(J493)),ROUND(D493*J493*(1-N(F493)),2),0))</f>
        <v/>
      </c>
      <c r="M493" s="62" t="str">
        <f>IF(A493="","",IFERROR(INDEX(dv_cname,MATCH(A493,dv_num,0))&amp;"",""))</f>
        <v/>
      </c>
      <c r="N493" s="59" t="str">
        <f>IF(COUNTA(A493:G493)=0,"",IF(A493="","N° devis manquant",IF(ISNA(MATCH(A493,dv_num,0)),"Devis inconnu",IF(AND(B493&lt;&gt;"",ISNA(MATCH(B493,pr_code,0))),"Article inconnu",IF(H493="","Désignation manquante",IF(OR(NOT(ISNUMBER(D493)),N(D493)&lt;=0),"Quantité invalide",IF(J493="","Prix manquant",IF(OR(NOT(ISNUMBER(J493)),N(J493)&lt;0),"Prix invalide",IF(OR(AND(F493&lt;&gt;"",NOT(ISNUMBER(F493))),N(F493)&lt;0,N(F493)&gt;1),"Remise invalide",IF(K493="","Taux de TVA manquant",IF(NOT(ISNUMBER(K493)),"Taux de TVA invalide",IF(COUNTIF(p_rates,K493)=0,"Taux de TVA hors liste (Paramètres)",IF(N(O493)&gt;25,"Au-delà de 25 lignes : non imprimée","OK")))))))))))))</f>
        <v/>
      </c>
      <c r="O493" s="59" t="str">
        <f>IF(A493="","",COUNTIF($A$6:A493,A493))</f>
        <v/>
      </c>
      <c r="P493" s="62" t="str">
        <f>IF(A493="","",A493&amp;"|"&amp;O493)</f>
        <v/>
      </c>
    </row>
    <row r="494">
      <c r="A494" s="60" t="n"/>
      <c r="B494" s="63" t="n"/>
      <c r="C494" s="63" t="n"/>
      <c r="D494" s="67" t="n"/>
      <c r="E494" s="68" t="n"/>
      <c r="F494" s="69" t="n"/>
      <c r="G494" s="70" t="n"/>
      <c r="H494" s="62" t="str">
        <f>IF(COUNTA(A494:G494)=0,"",IF(C494&lt;&gt;"",C494,IF(B494="","",IFERROR(INDEX(pr_des,MATCH(B494,pr_code,0))&amp;"",""))))</f>
        <v/>
      </c>
      <c r="I494" s="59" t="str">
        <f>IF(B494="","",IFERROR(INDEX(pr_unit,MATCH(B494,pr_code,0))&amp;"",""))</f>
        <v/>
      </c>
      <c r="J494" s="65" t="str">
        <f>IF(COUNTA(A494:G494)=0,"",IF(E494&lt;&gt;"",E494,IF(B494="","",IFERROR(IF(INDEX(pr_price,MATCH(B494,pr_code,0))="","",INDEX(pr_price,MATCH(B494,pr_code,0))),""))))</f>
        <v/>
      </c>
      <c r="K494" s="71" t="str">
        <f>IF(COUNTA(A494:G494)=0,"",IF(G494&lt;&gt;"",G494,IF(B494="","",IFERROR(IF(INDEX(pr_rate,MATCH(B494,pr_code,0))="","",INDEX(pr_rate,MATCH(B494,pr_code,0))),""))))</f>
        <v/>
      </c>
      <c r="L494" s="65" t="str">
        <f>IF(COUNTA(A494:G494)=0,"",IF(AND(ISNUMBER(D494),ISNUMBER(J494)),ROUND(D494*J494*(1-N(F494)),2),0))</f>
        <v/>
      </c>
      <c r="M494" s="62" t="str">
        <f>IF(A494="","",IFERROR(INDEX(dv_cname,MATCH(A494,dv_num,0))&amp;"",""))</f>
        <v/>
      </c>
      <c r="N494" s="59" t="str">
        <f>IF(COUNTA(A494:G494)=0,"",IF(A494="","N° devis manquant",IF(ISNA(MATCH(A494,dv_num,0)),"Devis inconnu",IF(AND(B494&lt;&gt;"",ISNA(MATCH(B494,pr_code,0))),"Article inconnu",IF(H494="","Désignation manquante",IF(OR(NOT(ISNUMBER(D494)),N(D494)&lt;=0),"Quantité invalide",IF(J494="","Prix manquant",IF(OR(NOT(ISNUMBER(J494)),N(J494)&lt;0),"Prix invalide",IF(OR(AND(F494&lt;&gt;"",NOT(ISNUMBER(F494))),N(F494)&lt;0,N(F494)&gt;1),"Remise invalide",IF(K494="","Taux de TVA manquant",IF(NOT(ISNUMBER(K494)),"Taux de TVA invalide",IF(COUNTIF(p_rates,K494)=0,"Taux de TVA hors liste (Paramètres)",IF(N(O494)&gt;25,"Au-delà de 25 lignes : non imprimée","OK")))))))))))))</f>
        <v/>
      </c>
      <c r="O494" s="59" t="str">
        <f>IF(A494="","",COUNTIF($A$6:A494,A494))</f>
        <v/>
      </c>
      <c r="P494" s="62" t="str">
        <f>IF(A494="","",A494&amp;"|"&amp;O494)</f>
        <v/>
      </c>
    </row>
    <row r="495">
      <c r="A495" s="60" t="n"/>
      <c r="B495" s="63" t="n"/>
      <c r="C495" s="63" t="n"/>
      <c r="D495" s="67" t="n"/>
      <c r="E495" s="68" t="n"/>
      <c r="F495" s="69" t="n"/>
      <c r="G495" s="70" t="n"/>
      <c r="H495" s="62" t="str">
        <f>IF(COUNTA(A495:G495)=0,"",IF(C495&lt;&gt;"",C495,IF(B495="","",IFERROR(INDEX(pr_des,MATCH(B495,pr_code,0))&amp;"",""))))</f>
        <v/>
      </c>
      <c r="I495" s="59" t="str">
        <f>IF(B495="","",IFERROR(INDEX(pr_unit,MATCH(B495,pr_code,0))&amp;"",""))</f>
        <v/>
      </c>
      <c r="J495" s="65" t="str">
        <f>IF(COUNTA(A495:G495)=0,"",IF(E495&lt;&gt;"",E495,IF(B495="","",IFERROR(IF(INDEX(pr_price,MATCH(B495,pr_code,0))="","",INDEX(pr_price,MATCH(B495,pr_code,0))),""))))</f>
        <v/>
      </c>
      <c r="K495" s="71" t="str">
        <f>IF(COUNTA(A495:G495)=0,"",IF(G495&lt;&gt;"",G495,IF(B495="","",IFERROR(IF(INDEX(pr_rate,MATCH(B495,pr_code,0))="","",INDEX(pr_rate,MATCH(B495,pr_code,0))),""))))</f>
        <v/>
      </c>
      <c r="L495" s="65" t="str">
        <f>IF(COUNTA(A495:G495)=0,"",IF(AND(ISNUMBER(D495),ISNUMBER(J495)),ROUND(D495*J495*(1-N(F495)),2),0))</f>
        <v/>
      </c>
      <c r="M495" s="62" t="str">
        <f>IF(A495="","",IFERROR(INDEX(dv_cname,MATCH(A495,dv_num,0))&amp;"",""))</f>
        <v/>
      </c>
      <c r="N495" s="59" t="str">
        <f>IF(COUNTA(A495:G495)=0,"",IF(A495="","N° devis manquant",IF(ISNA(MATCH(A495,dv_num,0)),"Devis inconnu",IF(AND(B495&lt;&gt;"",ISNA(MATCH(B495,pr_code,0))),"Article inconnu",IF(H495="","Désignation manquante",IF(OR(NOT(ISNUMBER(D495)),N(D495)&lt;=0),"Quantité invalide",IF(J495="","Prix manquant",IF(OR(NOT(ISNUMBER(J495)),N(J495)&lt;0),"Prix invalide",IF(OR(AND(F495&lt;&gt;"",NOT(ISNUMBER(F495))),N(F495)&lt;0,N(F495)&gt;1),"Remise invalide",IF(K495="","Taux de TVA manquant",IF(NOT(ISNUMBER(K495)),"Taux de TVA invalide",IF(COUNTIF(p_rates,K495)=0,"Taux de TVA hors liste (Paramètres)",IF(N(O495)&gt;25,"Au-delà de 25 lignes : non imprimée","OK")))))))))))))</f>
        <v/>
      </c>
      <c r="O495" s="59" t="str">
        <f>IF(A495="","",COUNTIF($A$6:A495,A495))</f>
        <v/>
      </c>
      <c r="P495" s="62" t="str">
        <f>IF(A495="","",A495&amp;"|"&amp;O495)</f>
        <v/>
      </c>
    </row>
    <row r="496">
      <c r="A496" s="60" t="n"/>
      <c r="B496" s="63" t="n"/>
      <c r="C496" s="63" t="n"/>
      <c r="D496" s="67" t="n"/>
      <c r="E496" s="68" t="n"/>
      <c r="F496" s="69" t="n"/>
      <c r="G496" s="70" t="n"/>
      <c r="H496" s="62" t="str">
        <f>IF(COUNTA(A496:G496)=0,"",IF(C496&lt;&gt;"",C496,IF(B496="","",IFERROR(INDEX(pr_des,MATCH(B496,pr_code,0))&amp;"",""))))</f>
        <v/>
      </c>
      <c r="I496" s="59" t="str">
        <f>IF(B496="","",IFERROR(INDEX(pr_unit,MATCH(B496,pr_code,0))&amp;"",""))</f>
        <v/>
      </c>
      <c r="J496" s="65" t="str">
        <f>IF(COUNTA(A496:G496)=0,"",IF(E496&lt;&gt;"",E496,IF(B496="","",IFERROR(IF(INDEX(pr_price,MATCH(B496,pr_code,0))="","",INDEX(pr_price,MATCH(B496,pr_code,0))),""))))</f>
        <v/>
      </c>
      <c r="K496" s="71" t="str">
        <f>IF(COUNTA(A496:G496)=0,"",IF(G496&lt;&gt;"",G496,IF(B496="","",IFERROR(IF(INDEX(pr_rate,MATCH(B496,pr_code,0))="","",INDEX(pr_rate,MATCH(B496,pr_code,0))),""))))</f>
        <v/>
      </c>
      <c r="L496" s="65" t="str">
        <f>IF(COUNTA(A496:G496)=0,"",IF(AND(ISNUMBER(D496),ISNUMBER(J496)),ROUND(D496*J496*(1-N(F496)),2),0))</f>
        <v/>
      </c>
      <c r="M496" s="62" t="str">
        <f>IF(A496="","",IFERROR(INDEX(dv_cname,MATCH(A496,dv_num,0))&amp;"",""))</f>
        <v/>
      </c>
      <c r="N496" s="59" t="str">
        <f>IF(COUNTA(A496:G496)=0,"",IF(A496="","N° devis manquant",IF(ISNA(MATCH(A496,dv_num,0)),"Devis inconnu",IF(AND(B496&lt;&gt;"",ISNA(MATCH(B496,pr_code,0))),"Article inconnu",IF(H496="","Désignation manquante",IF(OR(NOT(ISNUMBER(D496)),N(D496)&lt;=0),"Quantité invalide",IF(J496="","Prix manquant",IF(OR(NOT(ISNUMBER(J496)),N(J496)&lt;0),"Prix invalide",IF(OR(AND(F496&lt;&gt;"",NOT(ISNUMBER(F496))),N(F496)&lt;0,N(F496)&gt;1),"Remise invalide",IF(K496="","Taux de TVA manquant",IF(NOT(ISNUMBER(K496)),"Taux de TVA invalide",IF(COUNTIF(p_rates,K496)=0,"Taux de TVA hors liste (Paramètres)",IF(N(O496)&gt;25,"Au-delà de 25 lignes : non imprimée","OK")))))))))))))</f>
        <v/>
      </c>
      <c r="O496" s="59" t="str">
        <f>IF(A496="","",COUNTIF($A$6:A496,A496))</f>
        <v/>
      </c>
      <c r="P496" s="62" t="str">
        <f>IF(A496="","",A496&amp;"|"&amp;O496)</f>
        <v/>
      </c>
    </row>
    <row r="497">
      <c r="A497" s="60" t="n"/>
      <c r="B497" s="63" t="n"/>
      <c r="C497" s="63" t="n"/>
      <c r="D497" s="67" t="n"/>
      <c r="E497" s="68" t="n"/>
      <c r="F497" s="69" t="n"/>
      <c r="G497" s="70" t="n"/>
      <c r="H497" s="62" t="str">
        <f>IF(COUNTA(A497:G497)=0,"",IF(C497&lt;&gt;"",C497,IF(B497="","",IFERROR(INDEX(pr_des,MATCH(B497,pr_code,0))&amp;"",""))))</f>
        <v/>
      </c>
      <c r="I497" s="59" t="str">
        <f>IF(B497="","",IFERROR(INDEX(pr_unit,MATCH(B497,pr_code,0))&amp;"",""))</f>
        <v/>
      </c>
      <c r="J497" s="65" t="str">
        <f>IF(COUNTA(A497:G497)=0,"",IF(E497&lt;&gt;"",E497,IF(B497="","",IFERROR(IF(INDEX(pr_price,MATCH(B497,pr_code,0))="","",INDEX(pr_price,MATCH(B497,pr_code,0))),""))))</f>
        <v/>
      </c>
      <c r="K497" s="71" t="str">
        <f>IF(COUNTA(A497:G497)=0,"",IF(G497&lt;&gt;"",G497,IF(B497="","",IFERROR(IF(INDEX(pr_rate,MATCH(B497,pr_code,0))="","",INDEX(pr_rate,MATCH(B497,pr_code,0))),""))))</f>
        <v/>
      </c>
      <c r="L497" s="65" t="str">
        <f>IF(COUNTA(A497:G497)=0,"",IF(AND(ISNUMBER(D497),ISNUMBER(J497)),ROUND(D497*J497*(1-N(F497)),2),0))</f>
        <v/>
      </c>
      <c r="M497" s="62" t="str">
        <f>IF(A497="","",IFERROR(INDEX(dv_cname,MATCH(A497,dv_num,0))&amp;"",""))</f>
        <v/>
      </c>
      <c r="N497" s="59" t="str">
        <f>IF(COUNTA(A497:G497)=0,"",IF(A497="","N° devis manquant",IF(ISNA(MATCH(A497,dv_num,0)),"Devis inconnu",IF(AND(B497&lt;&gt;"",ISNA(MATCH(B497,pr_code,0))),"Article inconnu",IF(H497="","Désignation manquante",IF(OR(NOT(ISNUMBER(D497)),N(D497)&lt;=0),"Quantité invalide",IF(J497="","Prix manquant",IF(OR(NOT(ISNUMBER(J497)),N(J497)&lt;0),"Prix invalide",IF(OR(AND(F497&lt;&gt;"",NOT(ISNUMBER(F497))),N(F497)&lt;0,N(F497)&gt;1),"Remise invalide",IF(K497="","Taux de TVA manquant",IF(NOT(ISNUMBER(K497)),"Taux de TVA invalide",IF(COUNTIF(p_rates,K497)=0,"Taux de TVA hors liste (Paramètres)",IF(N(O497)&gt;25,"Au-delà de 25 lignes : non imprimée","OK")))))))))))))</f>
        <v/>
      </c>
      <c r="O497" s="59" t="str">
        <f>IF(A497="","",COUNTIF($A$6:A497,A497))</f>
        <v/>
      </c>
      <c r="P497" s="62" t="str">
        <f>IF(A497="","",A497&amp;"|"&amp;O497)</f>
        <v/>
      </c>
    </row>
    <row r="498">
      <c r="A498" s="60" t="n"/>
      <c r="B498" s="63" t="n"/>
      <c r="C498" s="63" t="n"/>
      <c r="D498" s="67" t="n"/>
      <c r="E498" s="68" t="n"/>
      <c r="F498" s="69" t="n"/>
      <c r="G498" s="70" t="n"/>
      <c r="H498" s="62" t="str">
        <f>IF(COUNTA(A498:G498)=0,"",IF(C498&lt;&gt;"",C498,IF(B498="","",IFERROR(INDEX(pr_des,MATCH(B498,pr_code,0))&amp;"",""))))</f>
        <v/>
      </c>
      <c r="I498" s="59" t="str">
        <f>IF(B498="","",IFERROR(INDEX(pr_unit,MATCH(B498,pr_code,0))&amp;"",""))</f>
        <v/>
      </c>
      <c r="J498" s="65" t="str">
        <f>IF(COUNTA(A498:G498)=0,"",IF(E498&lt;&gt;"",E498,IF(B498="","",IFERROR(IF(INDEX(pr_price,MATCH(B498,pr_code,0))="","",INDEX(pr_price,MATCH(B498,pr_code,0))),""))))</f>
        <v/>
      </c>
      <c r="K498" s="71" t="str">
        <f>IF(COUNTA(A498:G498)=0,"",IF(G498&lt;&gt;"",G498,IF(B498="","",IFERROR(IF(INDEX(pr_rate,MATCH(B498,pr_code,0))="","",INDEX(pr_rate,MATCH(B498,pr_code,0))),""))))</f>
        <v/>
      </c>
      <c r="L498" s="65" t="str">
        <f>IF(COUNTA(A498:G498)=0,"",IF(AND(ISNUMBER(D498),ISNUMBER(J498)),ROUND(D498*J498*(1-N(F498)),2),0))</f>
        <v/>
      </c>
      <c r="M498" s="62" t="str">
        <f>IF(A498="","",IFERROR(INDEX(dv_cname,MATCH(A498,dv_num,0))&amp;"",""))</f>
        <v/>
      </c>
      <c r="N498" s="59" t="str">
        <f>IF(COUNTA(A498:G498)=0,"",IF(A498="","N° devis manquant",IF(ISNA(MATCH(A498,dv_num,0)),"Devis inconnu",IF(AND(B498&lt;&gt;"",ISNA(MATCH(B498,pr_code,0))),"Article inconnu",IF(H498="","Désignation manquante",IF(OR(NOT(ISNUMBER(D498)),N(D498)&lt;=0),"Quantité invalide",IF(J498="","Prix manquant",IF(OR(NOT(ISNUMBER(J498)),N(J498)&lt;0),"Prix invalide",IF(OR(AND(F498&lt;&gt;"",NOT(ISNUMBER(F498))),N(F498)&lt;0,N(F498)&gt;1),"Remise invalide",IF(K498="","Taux de TVA manquant",IF(NOT(ISNUMBER(K498)),"Taux de TVA invalide",IF(COUNTIF(p_rates,K498)=0,"Taux de TVA hors liste (Paramètres)",IF(N(O498)&gt;25,"Au-delà de 25 lignes : non imprimée","OK")))))))))))))</f>
        <v/>
      </c>
      <c r="O498" s="59" t="str">
        <f>IF(A498="","",COUNTIF($A$6:A498,A498))</f>
        <v/>
      </c>
      <c r="P498" s="62" t="str">
        <f>IF(A498="","",A498&amp;"|"&amp;O498)</f>
        <v/>
      </c>
    </row>
    <row r="499">
      <c r="A499" s="60" t="n"/>
      <c r="B499" s="63" t="n"/>
      <c r="C499" s="63" t="n"/>
      <c r="D499" s="67" t="n"/>
      <c r="E499" s="68" t="n"/>
      <c r="F499" s="69" t="n"/>
      <c r="G499" s="70" t="n"/>
      <c r="H499" s="62" t="str">
        <f>IF(COUNTA(A499:G499)=0,"",IF(C499&lt;&gt;"",C499,IF(B499="","",IFERROR(INDEX(pr_des,MATCH(B499,pr_code,0))&amp;"",""))))</f>
        <v/>
      </c>
      <c r="I499" s="59" t="str">
        <f>IF(B499="","",IFERROR(INDEX(pr_unit,MATCH(B499,pr_code,0))&amp;"",""))</f>
        <v/>
      </c>
      <c r="J499" s="65" t="str">
        <f>IF(COUNTA(A499:G499)=0,"",IF(E499&lt;&gt;"",E499,IF(B499="","",IFERROR(IF(INDEX(pr_price,MATCH(B499,pr_code,0))="","",INDEX(pr_price,MATCH(B499,pr_code,0))),""))))</f>
        <v/>
      </c>
      <c r="K499" s="71" t="str">
        <f>IF(COUNTA(A499:G499)=0,"",IF(G499&lt;&gt;"",G499,IF(B499="","",IFERROR(IF(INDEX(pr_rate,MATCH(B499,pr_code,0))="","",INDEX(pr_rate,MATCH(B499,pr_code,0))),""))))</f>
        <v/>
      </c>
      <c r="L499" s="65" t="str">
        <f>IF(COUNTA(A499:G499)=0,"",IF(AND(ISNUMBER(D499),ISNUMBER(J499)),ROUND(D499*J499*(1-N(F499)),2),0))</f>
        <v/>
      </c>
      <c r="M499" s="62" t="str">
        <f>IF(A499="","",IFERROR(INDEX(dv_cname,MATCH(A499,dv_num,0))&amp;"",""))</f>
        <v/>
      </c>
      <c r="N499" s="59" t="str">
        <f>IF(COUNTA(A499:G499)=0,"",IF(A499="","N° devis manquant",IF(ISNA(MATCH(A499,dv_num,0)),"Devis inconnu",IF(AND(B499&lt;&gt;"",ISNA(MATCH(B499,pr_code,0))),"Article inconnu",IF(H499="","Désignation manquante",IF(OR(NOT(ISNUMBER(D499)),N(D499)&lt;=0),"Quantité invalide",IF(J499="","Prix manquant",IF(OR(NOT(ISNUMBER(J499)),N(J499)&lt;0),"Prix invalide",IF(OR(AND(F499&lt;&gt;"",NOT(ISNUMBER(F499))),N(F499)&lt;0,N(F499)&gt;1),"Remise invalide",IF(K499="","Taux de TVA manquant",IF(NOT(ISNUMBER(K499)),"Taux de TVA invalide",IF(COUNTIF(p_rates,K499)=0,"Taux de TVA hors liste (Paramètres)",IF(N(O499)&gt;25,"Au-delà de 25 lignes : non imprimée","OK")))))))))))))</f>
        <v/>
      </c>
      <c r="O499" s="59" t="str">
        <f>IF(A499="","",COUNTIF($A$6:A499,A499))</f>
        <v/>
      </c>
      <c r="P499" s="62" t="str">
        <f>IF(A499="","",A499&amp;"|"&amp;O499)</f>
        <v/>
      </c>
    </row>
    <row r="500">
      <c r="A500" s="60" t="n"/>
      <c r="B500" s="63" t="n"/>
      <c r="C500" s="63" t="n"/>
      <c r="D500" s="67" t="n"/>
      <c r="E500" s="68" t="n"/>
      <c r="F500" s="69" t="n"/>
      <c r="G500" s="70" t="n"/>
      <c r="H500" s="62" t="str">
        <f>IF(COUNTA(A500:G500)=0,"",IF(C500&lt;&gt;"",C500,IF(B500="","",IFERROR(INDEX(pr_des,MATCH(B500,pr_code,0))&amp;"",""))))</f>
        <v/>
      </c>
      <c r="I500" s="59" t="str">
        <f>IF(B500="","",IFERROR(INDEX(pr_unit,MATCH(B500,pr_code,0))&amp;"",""))</f>
        <v/>
      </c>
      <c r="J500" s="65" t="str">
        <f>IF(COUNTA(A500:G500)=0,"",IF(E500&lt;&gt;"",E500,IF(B500="","",IFERROR(IF(INDEX(pr_price,MATCH(B500,pr_code,0))="","",INDEX(pr_price,MATCH(B500,pr_code,0))),""))))</f>
        <v/>
      </c>
      <c r="K500" s="71" t="str">
        <f>IF(COUNTA(A500:G500)=0,"",IF(G500&lt;&gt;"",G500,IF(B500="","",IFERROR(IF(INDEX(pr_rate,MATCH(B500,pr_code,0))="","",INDEX(pr_rate,MATCH(B500,pr_code,0))),""))))</f>
        <v/>
      </c>
      <c r="L500" s="65" t="str">
        <f>IF(COUNTA(A500:G500)=0,"",IF(AND(ISNUMBER(D500),ISNUMBER(J500)),ROUND(D500*J500*(1-N(F500)),2),0))</f>
        <v/>
      </c>
      <c r="M500" s="62" t="str">
        <f>IF(A500="","",IFERROR(INDEX(dv_cname,MATCH(A500,dv_num,0))&amp;"",""))</f>
        <v/>
      </c>
      <c r="N500" s="59" t="str">
        <f>IF(COUNTA(A500:G500)=0,"",IF(A500="","N° devis manquant",IF(ISNA(MATCH(A500,dv_num,0)),"Devis inconnu",IF(AND(B500&lt;&gt;"",ISNA(MATCH(B500,pr_code,0))),"Article inconnu",IF(H500="","Désignation manquante",IF(OR(NOT(ISNUMBER(D500)),N(D500)&lt;=0),"Quantité invalide",IF(J500="","Prix manquant",IF(OR(NOT(ISNUMBER(J500)),N(J500)&lt;0),"Prix invalide",IF(OR(AND(F500&lt;&gt;"",NOT(ISNUMBER(F500))),N(F500)&lt;0,N(F500)&gt;1),"Remise invalide",IF(K500="","Taux de TVA manquant",IF(NOT(ISNUMBER(K500)),"Taux de TVA invalide",IF(COUNTIF(p_rates,K500)=0,"Taux de TVA hors liste (Paramètres)",IF(N(O500)&gt;25,"Au-delà de 25 lignes : non imprimée","OK")))))))))))))</f>
        <v/>
      </c>
      <c r="O500" s="59" t="str">
        <f>IF(A500="","",COUNTIF($A$6:A500,A500))</f>
        <v/>
      </c>
      <c r="P500" s="62" t="str">
        <f>IF(A500="","",A500&amp;"|"&amp;O500)</f>
        <v/>
      </c>
    </row>
    <row r="501">
      <c r="A501" s="60" t="n"/>
      <c r="B501" s="63" t="n"/>
      <c r="C501" s="63" t="n"/>
      <c r="D501" s="67" t="n"/>
      <c r="E501" s="68" t="n"/>
      <c r="F501" s="69" t="n"/>
      <c r="G501" s="70" t="n"/>
      <c r="H501" s="62" t="str">
        <f>IF(COUNTA(A501:G501)=0,"",IF(C501&lt;&gt;"",C501,IF(B501="","",IFERROR(INDEX(pr_des,MATCH(B501,pr_code,0))&amp;"",""))))</f>
        <v/>
      </c>
      <c r="I501" s="59" t="str">
        <f>IF(B501="","",IFERROR(INDEX(pr_unit,MATCH(B501,pr_code,0))&amp;"",""))</f>
        <v/>
      </c>
      <c r="J501" s="65" t="str">
        <f>IF(COUNTA(A501:G501)=0,"",IF(E501&lt;&gt;"",E501,IF(B501="","",IFERROR(IF(INDEX(pr_price,MATCH(B501,pr_code,0))="","",INDEX(pr_price,MATCH(B501,pr_code,0))),""))))</f>
        <v/>
      </c>
      <c r="K501" s="71" t="str">
        <f>IF(COUNTA(A501:G501)=0,"",IF(G501&lt;&gt;"",G501,IF(B501="","",IFERROR(IF(INDEX(pr_rate,MATCH(B501,pr_code,0))="","",INDEX(pr_rate,MATCH(B501,pr_code,0))),""))))</f>
        <v/>
      </c>
      <c r="L501" s="65" t="str">
        <f>IF(COUNTA(A501:G501)=0,"",IF(AND(ISNUMBER(D501),ISNUMBER(J501)),ROUND(D501*J501*(1-N(F501)),2),0))</f>
        <v/>
      </c>
      <c r="M501" s="62" t="str">
        <f>IF(A501="","",IFERROR(INDEX(dv_cname,MATCH(A501,dv_num,0))&amp;"",""))</f>
        <v/>
      </c>
      <c r="N501" s="59" t="str">
        <f>IF(COUNTA(A501:G501)=0,"",IF(A501="","N° devis manquant",IF(ISNA(MATCH(A501,dv_num,0)),"Devis inconnu",IF(AND(B501&lt;&gt;"",ISNA(MATCH(B501,pr_code,0))),"Article inconnu",IF(H501="","Désignation manquante",IF(OR(NOT(ISNUMBER(D501)),N(D501)&lt;=0),"Quantité invalide",IF(J501="","Prix manquant",IF(OR(NOT(ISNUMBER(J501)),N(J501)&lt;0),"Prix invalide",IF(OR(AND(F501&lt;&gt;"",NOT(ISNUMBER(F501))),N(F501)&lt;0,N(F501)&gt;1),"Remise invalide",IF(K501="","Taux de TVA manquant",IF(NOT(ISNUMBER(K501)),"Taux de TVA invalide",IF(COUNTIF(p_rates,K501)=0,"Taux de TVA hors liste (Paramètres)",IF(N(O501)&gt;25,"Au-delà de 25 lignes : non imprimée","OK")))))))))))))</f>
        <v/>
      </c>
      <c r="O501" s="59" t="str">
        <f>IF(A501="","",COUNTIF($A$6:A501,A501))</f>
        <v/>
      </c>
      <c r="P501" s="62" t="str">
        <f>IF(A501="","",A501&amp;"|"&amp;O501)</f>
        <v/>
      </c>
    </row>
    <row r="502">
      <c r="A502" s="60" t="n"/>
      <c r="B502" s="63" t="n"/>
      <c r="C502" s="63" t="n"/>
      <c r="D502" s="67" t="n"/>
      <c r="E502" s="68" t="n"/>
      <c r="F502" s="69" t="n"/>
      <c r="G502" s="70" t="n"/>
      <c r="H502" s="62" t="str">
        <f>IF(COUNTA(A502:G502)=0,"",IF(C502&lt;&gt;"",C502,IF(B502="","",IFERROR(INDEX(pr_des,MATCH(B502,pr_code,0))&amp;"",""))))</f>
        <v/>
      </c>
      <c r="I502" s="59" t="str">
        <f>IF(B502="","",IFERROR(INDEX(pr_unit,MATCH(B502,pr_code,0))&amp;"",""))</f>
        <v/>
      </c>
      <c r="J502" s="65" t="str">
        <f>IF(COUNTA(A502:G502)=0,"",IF(E502&lt;&gt;"",E502,IF(B502="","",IFERROR(IF(INDEX(pr_price,MATCH(B502,pr_code,0))="","",INDEX(pr_price,MATCH(B502,pr_code,0))),""))))</f>
        <v/>
      </c>
      <c r="K502" s="71" t="str">
        <f>IF(COUNTA(A502:G502)=0,"",IF(G502&lt;&gt;"",G502,IF(B502="","",IFERROR(IF(INDEX(pr_rate,MATCH(B502,pr_code,0))="","",INDEX(pr_rate,MATCH(B502,pr_code,0))),""))))</f>
        <v/>
      </c>
      <c r="L502" s="65" t="str">
        <f>IF(COUNTA(A502:G502)=0,"",IF(AND(ISNUMBER(D502),ISNUMBER(J502)),ROUND(D502*J502*(1-N(F502)),2),0))</f>
        <v/>
      </c>
      <c r="M502" s="62" t="str">
        <f>IF(A502="","",IFERROR(INDEX(dv_cname,MATCH(A502,dv_num,0))&amp;"",""))</f>
        <v/>
      </c>
      <c r="N502" s="59" t="str">
        <f>IF(COUNTA(A502:G502)=0,"",IF(A502="","N° devis manquant",IF(ISNA(MATCH(A502,dv_num,0)),"Devis inconnu",IF(AND(B502&lt;&gt;"",ISNA(MATCH(B502,pr_code,0))),"Article inconnu",IF(H502="","Désignation manquante",IF(OR(NOT(ISNUMBER(D502)),N(D502)&lt;=0),"Quantité invalide",IF(J502="","Prix manquant",IF(OR(NOT(ISNUMBER(J502)),N(J502)&lt;0),"Prix invalide",IF(OR(AND(F502&lt;&gt;"",NOT(ISNUMBER(F502))),N(F502)&lt;0,N(F502)&gt;1),"Remise invalide",IF(K502="","Taux de TVA manquant",IF(NOT(ISNUMBER(K502)),"Taux de TVA invalide",IF(COUNTIF(p_rates,K502)=0,"Taux de TVA hors liste (Paramètres)",IF(N(O502)&gt;25,"Au-delà de 25 lignes : non imprimée","OK")))))))))))))</f>
        <v/>
      </c>
      <c r="O502" s="59" t="str">
        <f>IF(A502="","",COUNTIF($A$6:A502,A502))</f>
        <v/>
      </c>
      <c r="P502" s="62" t="str">
        <f>IF(A502="","",A502&amp;"|"&amp;O502)</f>
        <v/>
      </c>
    </row>
    <row r="503">
      <c r="A503" s="60" t="n"/>
      <c r="B503" s="63" t="n"/>
      <c r="C503" s="63" t="n"/>
      <c r="D503" s="67" t="n"/>
      <c r="E503" s="68" t="n"/>
      <c r="F503" s="69" t="n"/>
      <c r="G503" s="70" t="n"/>
      <c r="H503" s="62" t="str">
        <f>IF(COUNTA(A503:G503)=0,"",IF(C503&lt;&gt;"",C503,IF(B503="","",IFERROR(INDEX(pr_des,MATCH(B503,pr_code,0))&amp;"",""))))</f>
        <v/>
      </c>
      <c r="I503" s="59" t="str">
        <f>IF(B503="","",IFERROR(INDEX(pr_unit,MATCH(B503,pr_code,0))&amp;"",""))</f>
        <v/>
      </c>
      <c r="J503" s="65" t="str">
        <f>IF(COUNTA(A503:G503)=0,"",IF(E503&lt;&gt;"",E503,IF(B503="","",IFERROR(IF(INDEX(pr_price,MATCH(B503,pr_code,0))="","",INDEX(pr_price,MATCH(B503,pr_code,0))),""))))</f>
        <v/>
      </c>
      <c r="K503" s="71" t="str">
        <f>IF(COUNTA(A503:G503)=0,"",IF(G503&lt;&gt;"",G503,IF(B503="","",IFERROR(IF(INDEX(pr_rate,MATCH(B503,pr_code,0))="","",INDEX(pr_rate,MATCH(B503,pr_code,0))),""))))</f>
        <v/>
      </c>
      <c r="L503" s="65" t="str">
        <f>IF(COUNTA(A503:G503)=0,"",IF(AND(ISNUMBER(D503),ISNUMBER(J503)),ROUND(D503*J503*(1-N(F503)),2),0))</f>
        <v/>
      </c>
      <c r="M503" s="62" t="str">
        <f>IF(A503="","",IFERROR(INDEX(dv_cname,MATCH(A503,dv_num,0))&amp;"",""))</f>
        <v/>
      </c>
      <c r="N503" s="59" t="str">
        <f>IF(COUNTA(A503:G503)=0,"",IF(A503="","N° devis manquant",IF(ISNA(MATCH(A503,dv_num,0)),"Devis inconnu",IF(AND(B503&lt;&gt;"",ISNA(MATCH(B503,pr_code,0))),"Article inconnu",IF(H503="","Désignation manquante",IF(OR(NOT(ISNUMBER(D503)),N(D503)&lt;=0),"Quantité invalide",IF(J503="","Prix manquant",IF(OR(NOT(ISNUMBER(J503)),N(J503)&lt;0),"Prix invalide",IF(OR(AND(F503&lt;&gt;"",NOT(ISNUMBER(F503))),N(F503)&lt;0,N(F503)&gt;1),"Remise invalide",IF(K503="","Taux de TVA manquant",IF(NOT(ISNUMBER(K503)),"Taux de TVA invalide",IF(COUNTIF(p_rates,K503)=0,"Taux de TVA hors liste (Paramètres)",IF(N(O503)&gt;25,"Au-delà de 25 lignes : non imprimée","OK")))))))))))))</f>
        <v/>
      </c>
      <c r="O503" s="59" t="str">
        <f>IF(A503="","",COUNTIF($A$6:A503,A503))</f>
        <v/>
      </c>
      <c r="P503" s="62" t="str">
        <f>IF(A503="","",A503&amp;"|"&amp;O503)</f>
        <v/>
      </c>
    </row>
    <row r="504">
      <c r="A504" s="60" t="n"/>
      <c r="B504" s="63" t="n"/>
      <c r="C504" s="63" t="n"/>
      <c r="D504" s="67" t="n"/>
      <c r="E504" s="68" t="n"/>
      <c r="F504" s="69" t="n"/>
      <c r="G504" s="70" t="n"/>
      <c r="H504" s="62" t="str">
        <f>IF(COUNTA(A504:G504)=0,"",IF(C504&lt;&gt;"",C504,IF(B504="","",IFERROR(INDEX(pr_des,MATCH(B504,pr_code,0))&amp;"",""))))</f>
        <v/>
      </c>
      <c r="I504" s="59" t="str">
        <f>IF(B504="","",IFERROR(INDEX(pr_unit,MATCH(B504,pr_code,0))&amp;"",""))</f>
        <v/>
      </c>
      <c r="J504" s="65" t="str">
        <f>IF(COUNTA(A504:G504)=0,"",IF(E504&lt;&gt;"",E504,IF(B504="","",IFERROR(IF(INDEX(pr_price,MATCH(B504,pr_code,0))="","",INDEX(pr_price,MATCH(B504,pr_code,0))),""))))</f>
        <v/>
      </c>
      <c r="K504" s="71" t="str">
        <f>IF(COUNTA(A504:G504)=0,"",IF(G504&lt;&gt;"",G504,IF(B504="","",IFERROR(IF(INDEX(pr_rate,MATCH(B504,pr_code,0))="","",INDEX(pr_rate,MATCH(B504,pr_code,0))),""))))</f>
        <v/>
      </c>
      <c r="L504" s="65" t="str">
        <f>IF(COUNTA(A504:G504)=0,"",IF(AND(ISNUMBER(D504),ISNUMBER(J504)),ROUND(D504*J504*(1-N(F504)),2),0))</f>
        <v/>
      </c>
      <c r="M504" s="62" t="str">
        <f>IF(A504="","",IFERROR(INDEX(dv_cname,MATCH(A504,dv_num,0))&amp;"",""))</f>
        <v/>
      </c>
      <c r="N504" s="59" t="str">
        <f>IF(COUNTA(A504:G504)=0,"",IF(A504="","N° devis manquant",IF(ISNA(MATCH(A504,dv_num,0)),"Devis inconnu",IF(AND(B504&lt;&gt;"",ISNA(MATCH(B504,pr_code,0))),"Article inconnu",IF(H504="","Désignation manquante",IF(OR(NOT(ISNUMBER(D504)),N(D504)&lt;=0),"Quantité invalide",IF(J504="","Prix manquant",IF(OR(NOT(ISNUMBER(J504)),N(J504)&lt;0),"Prix invalide",IF(OR(AND(F504&lt;&gt;"",NOT(ISNUMBER(F504))),N(F504)&lt;0,N(F504)&gt;1),"Remise invalide",IF(K504="","Taux de TVA manquant",IF(NOT(ISNUMBER(K504)),"Taux de TVA invalide",IF(COUNTIF(p_rates,K504)=0,"Taux de TVA hors liste (Paramètres)",IF(N(O504)&gt;25,"Au-delà de 25 lignes : non imprimée","OK")))))))))))))</f>
        <v/>
      </c>
      <c r="O504" s="59" t="str">
        <f>IF(A504="","",COUNTIF($A$6:A504,A504))</f>
        <v/>
      </c>
      <c r="P504" s="62" t="str">
        <f>IF(A504="","",A504&amp;"|"&amp;O504)</f>
        <v/>
      </c>
    </row>
    <row r="505">
      <c r="A505" s="60" t="n"/>
      <c r="B505" s="63" t="n"/>
      <c r="C505" s="63" t="n"/>
      <c r="D505" s="67" t="n"/>
      <c r="E505" s="68" t="n"/>
      <c r="F505" s="69" t="n"/>
      <c r="G505" s="70" t="n"/>
      <c r="H505" s="62" t="str">
        <f>IF(COUNTA(A505:G505)=0,"",IF(C505&lt;&gt;"",C505,IF(B505="","",IFERROR(INDEX(pr_des,MATCH(B505,pr_code,0))&amp;"",""))))</f>
        <v/>
      </c>
      <c r="I505" s="59" t="str">
        <f>IF(B505="","",IFERROR(INDEX(pr_unit,MATCH(B505,pr_code,0))&amp;"",""))</f>
        <v/>
      </c>
      <c r="J505" s="65" t="str">
        <f>IF(COUNTA(A505:G505)=0,"",IF(E505&lt;&gt;"",E505,IF(B505="","",IFERROR(IF(INDEX(pr_price,MATCH(B505,pr_code,0))="","",INDEX(pr_price,MATCH(B505,pr_code,0))),""))))</f>
        <v/>
      </c>
      <c r="K505" s="71" t="str">
        <f>IF(COUNTA(A505:G505)=0,"",IF(G505&lt;&gt;"",G505,IF(B505="","",IFERROR(IF(INDEX(pr_rate,MATCH(B505,pr_code,0))="","",INDEX(pr_rate,MATCH(B505,pr_code,0))),""))))</f>
        <v/>
      </c>
      <c r="L505" s="65" t="str">
        <f>IF(COUNTA(A505:G505)=0,"",IF(AND(ISNUMBER(D505),ISNUMBER(J505)),ROUND(D505*J505*(1-N(F505)),2),0))</f>
        <v/>
      </c>
      <c r="M505" s="62" t="str">
        <f>IF(A505="","",IFERROR(INDEX(dv_cname,MATCH(A505,dv_num,0))&amp;"",""))</f>
        <v/>
      </c>
      <c r="N505" s="59" t="str">
        <f>IF(COUNTA(A505:G505)=0,"",IF(A505="","N° devis manquant",IF(ISNA(MATCH(A505,dv_num,0)),"Devis inconnu",IF(AND(B505&lt;&gt;"",ISNA(MATCH(B505,pr_code,0))),"Article inconnu",IF(H505="","Désignation manquante",IF(OR(NOT(ISNUMBER(D505)),N(D505)&lt;=0),"Quantité invalide",IF(J505="","Prix manquant",IF(OR(NOT(ISNUMBER(J505)),N(J505)&lt;0),"Prix invalide",IF(OR(AND(F505&lt;&gt;"",NOT(ISNUMBER(F505))),N(F505)&lt;0,N(F505)&gt;1),"Remise invalide",IF(K505="","Taux de TVA manquant",IF(NOT(ISNUMBER(K505)),"Taux de TVA invalide",IF(COUNTIF(p_rates,K505)=0,"Taux de TVA hors liste (Paramètres)",IF(N(O505)&gt;25,"Au-delà de 25 lignes : non imprimée","OK")))))))))))))</f>
        <v/>
      </c>
      <c r="O505" s="59" t="str">
        <f>IF(A505="","",COUNTIF($A$6:A505,A505))</f>
        <v/>
      </c>
      <c r="P505" s="62" t="str">
        <f>IF(A505="","",A505&amp;"|"&amp;O505)</f>
        <v/>
      </c>
    </row>
    <row r="506">
      <c r="A506" s="60" t="n"/>
      <c r="B506" s="63" t="n"/>
      <c r="C506" s="63" t="n"/>
      <c r="D506" s="67" t="n"/>
      <c r="E506" s="68" t="n"/>
      <c r="F506" s="69" t="n"/>
      <c r="G506" s="70" t="n"/>
      <c r="H506" s="62" t="str">
        <f>IF(COUNTA(A506:G506)=0,"",IF(C506&lt;&gt;"",C506,IF(B506="","",IFERROR(INDEX(pr_des,MATCH(B506,pr_code,0))&amp;"",""))))</f>
        <v/>
      </c>
      <c r="I506" s="59" t="str">
        <f>IF(B506="","",IFERROR(INDEX(pr_unit,MATCH(B506,pr_code,0))&amp;"",""))</f>
        <v/>
      </c>
      <c r="J506" s="65" t="str">
        <f>IF(COUNTA(A506:G506)=0,"",IF(E506&lt;&gt;"",E506,IF(B506="","",IFERROR(IF(INDEX(pr_price,MATCH(B506,pr_code,0))="","",INDEX(pr_price,MATCH(B506,pr_code,0))),""))))</f>
        <v/>
      </c>
      <c r="K506" s="71" t="str">
        <f>IF(COUNTA(A506:G506)=0,"",IF(G506&lt;&gt;"",G506,IF(B506="","",IFERROR(IF(INDEX(pr_rate,MATCH(B506,pr_code,0))="","",INDEX(pr_rate,MATCH(B506,pr_code,0))),""))))</f>
        <v/>
      </c>
      <c r="L506" s="65" t="str">
        <f>IF(COUNTA(A506:G506)=0,"",IF(AND(ISNUMBER(D506),ISNUMBER(J506)),ROUND(D506*J506*(1-N(F506)),2),0))</f>
        <v/>
      </c>
      <c r="M506" s="62" t="str">
        <f>IF(A506="","",IFERROR(INDEX(dv_cname,MATCH(A506,dv_num,0))&amp;"",""))</f>
        <v/>
      </c>
      <c r="N506" s="59" t="str">
        <f>IF(COUNTA(A506:G506)=0,"",IF(A506="","N° devis manquant",IF(ISNA(MATCH(A506,dv_num,0)),"Devis inconnu",IF(AND(B506&lt;&gt;"",ISNA(MATCH(B506,pr_code,0))),"Article inconnu",IF(H506="","Désignation manquante",IF(OR(NOT(ISNUMBER(D506)),N(D506)&lt;=0),"Quantité invalide",IF(J506="","Prix manquant",IF(OR(NOT(ISNUMBER(J506)),N(J506)&lt;0),"Prix invalide",IF(OR(AND(F506&lt;&gt;"",NOT(ISNUMBER(F506))),N(F506)&lt;0,N(F506)&gt;1),"Remise invalide",IF(K506="","Taux de TVA manquant",IF(NOT(ISNUMBER(K506)),"Taux de TVA invalide",IF(COUNTIF(p_rates,K506)=0,"Taux de TVA hors liste (Paramètres)",IF(N(O506)&gt;25,"Au-delà de 25 lignes : non imprimée","OK")))))))))))))</f>
        <v/>
      </c>
      <c r="O506" s="59" t="str">
        <f>IF(A506="","",COUNTIF($A$6:A506,A506))</f>
        <v/>
      </c>
      <c r="P506" s="62" t="str">
        <f>IF(A506="","",A506&amp;"|"&amp;O506)</f>
        <v/>
      </c>
    </row>
    <row r="507">
      <c r="A507" s="60" t="n"/>
      <c r="B507" s="63" t="n"/>
      <c r="C507" s="63" t="n"/>
      <c r="D507" s="67" t="n"/>
      <c r="E507" s="68" t="n"/>
      <c r="F507" s="69" t="n"/>
      <c r="G507" s="70" t="n"/>
      <c r="H507" s="62" t="str">
        <f>IF(COUNTA(A507:G507)=0,"",IF(C507&lt;&gt;"",C507,IF(B507="","",IFERROR(INDEX(pr_des,MATCH(B507,pr_code,0))&amp;"",""))))</f>
        <v/>
      </c>
      <c r="I507" s="59" t="str">
        <f>IF(B507="","",IFERROR(INDEX(pr_unit,MATCH(B507,pr_code,0))&amp;"",""))</f>
        <v/>
      </c>
      <c r="J507" s="65" t="str">
        <f>IF(COUNTA(A507:G507)=0,"",IF(E507&lt;&gt;"",E507,IF(B507="","",IFERROR(IF(INDEX(pr_price,MATCH(B507,pr_code,0))="","",INDEX(pr_price,MATCH(B507,pr_code,0))),""))))</f>
        <v/>
      </c>
      <c r="K507" s="71" t="str">
        <f>IF(COUNTA(A507:G507)=0,"",IF(G507&lt;&gt;"",G507,IF(B507="","",IFERROR(IF(INDEX(pr_rate,MATCH(B507,pr_code,0))="","",INDEX(pr_rate,MATCH(B507,pr_code,0))),""))))</f>
        <v/>
      </c>
      <c r="L507" s="65" t="str">
        <f>IF(COUNTA(A507:G507)=0,"",IF(AND(ISNUMBER(D507),ISNUMBER(J507)),ROUND(D507*J507*(1-N(F507)),2),0))</f>
        <v/>
      </c>
      <c r="M507" s="62" t="str">
        <f>IF(A507="","",IFERROR(INDEX(dv_cname,MATCH(A507,dv_num,0))&amp;"",""))</f>
        <v/>
      </c>
      <c r="N507" s="59" t="str">
        <f>IF(COUNTA(A507:G507)=0,"",IF(A507="","N° devis manquant",IF(ISNA(MATCH(A507,dv_num,0)),"Devis inconnu",IF(AND(B507&lt;&gt;"",ISNA(MATCH(B507,pr_code,0))),"Article inconnu",IF(H507="","Désignation manquante",IF(OR(NOT(ISNUMBER(D507)),N(D507)&lt;=0),"Quantité invalide",IF(J507="","Prix manquant",IF(OR(NOT(ISNUMBER(J507)),N(J507)&lt;0),"Prix invalide",IF(OR(AND(F507&lt;&gt;"",NOT(ISNUMBER(F507))),N(F507)&lt;0,N(F507)&gt;1),"Remise invalide",IF(K507="","Taux de TVA manquant",IF(NOT(ISNUMBER(K507)),"Taux de TVA invalide",IF(COUNTIF(p_rates,K507)=0,"Taux de TVA hors liste (Paramètres)",IF(N(O507)&gt;25,"Au-delà de 25 lignes : non imprimée","OK")))))))))))))</f>
        <v/>
      </c>
      <c r="O507" s="59" t="str">
        <f>IF(A507="","",COUNTIF($A$6:A507,A507))</f>
        <v/>
      </c>
      <c r="P507" s="62" t="str">
        <f>IF(A507="","",A507&amp;"|"&amp;O507)</f>
        <v/>
      </c>
    </row>
    <row r="508">
      <c r="A508" s="60" t="n"/>
      <c r="B508" s="63" t="n"/>
      <c r="C508" s="63" t="n"/>
      <c r="D508" s="67" t="n"/>
      <c r="E508" s="68" t="n"/>
      <c r="F508" s="69" t="n"/>
      <c r="G508" s="70" t="n"/>
      <c r="H508" s="62" t="str">
        <f>IF(COUNTA(A508:G508)=0,"",IF(C508&lt;&gt;"",C508,IF(B508="","",IFERROR(INDEX(pr_des,MATCH(B508,pr_code,0))&amp;"",""))))</f>
        <v/>
      </c>
      <c r="I508" s="59" t="str">
        <f>IF(B508="","",IFERROR(INDEX(pr_unit,MATCH(B508,pr_code,0))&amp;"",""))</f>
        <v/>
      </c>
      <c r="J508" s="65" t="str">
        <f>IF(COUNTA(A508:G508)=0,"",IF(E508&lt;&gt;"",E508,IF(B508="","",IFERROR(IF(INDEX(pr_price,MATCH(B508,pr_code,0))="","",INDEX(pr_price,MATCH(B508,pr_code,0))),""))))</f>
        <v/>
      </c>
      <c r="K508" s="71" t="str">
        <f>IF(COUNTA(A508:G508)=0,"",IF(G508&lt;&gt;"",G508,IF(B508="","",IFERROR(IF(INDEX(pr_rate,MATCH(B508,pr_code,0))="","",INDEX(pr_rate,MATCH(B508,pr_code,0))),""))))</f>
        <v/>
      </c>
      <c r="L508" s="65" t="str">
        <f>IF(COUNTA(A508:G508)=0,"",IF(AND(ISNUMBER(D508),ISNUMBER(J508)),ROUND(D508*J508*(1-N(F508)),2),0))</f>
        <v/>
      </c>
      <c r="M508" s="62" t="str">
        <f>IF(A508="","",IFERROR(INDEX(dv_cname,MATCH(A508,dv_num,0))&amp;"",""))</f>
        <v/>
      </c>
      <c r="N508" s="59" t="str">
        <f>IF(COUNTA(A508:G508)=0,"",IF(A508="","N° devis manquant",IF(ISNA(MATCH(A508,dv_num,0)),"Devis inconnu",IF(AND(B508&lt;&gt;"",ISNA(MATCH(B508,pr_code,0))),"Article inconnu",IF(H508="","Désignation manquante",IF(OR(NOT(ISNUMBER(D508)),N(D508)&lt;=0),"Quantité invalide",IF(J508="","Prix manquant",IF(OR(NOT(ISNUMBER(J508)),N(J508)&lt;0),"Prix invalide",IF(OR(AND(F508&lt;&gt;"",NOT(ISNUMBER(F508))),N(F508)&lt;0,N(F508)&gt;1),"Remise invalide",IF(K508="","Taux de TVA manquant",IF(NOT(ISNUMBER(K508)),"Taux de TVA invalide",IF(COUNTIF(p_rates,K508)=0,"Taux de TVA hors liste (Paramètres)",IF(N(O508)&gt;25,"Au-delà de 25 lignes : non imprimée","OK")))))))))))))</f>
        <v/>
      </c>
      <c r="O508" s="59" t="str">
        <f>IF(A508="","",COUNTIF($A$6:A508,A508))</f>
        <v/>
      </c>
      <c r="P508" s="62" t="str">
        <f>IF(A508="","",A508&amp;"|"&amp;O508)</f>
        <v/>
      </c>
    </row>
    <row r="509">
      <c r="A509" s="60" t="n"/>
      <c r="B509" s="63" t="n"/>
      <c r="C509" s="63" t="n"/>
      <c r="D509" s="67" t="n"/>
      <c r="E509" s="68" t="n"/>
      <c r="F509" s="69" t="n"/>
      <c r="G509" s="70" t="n"/>
      <c r="H509" s="62" t="str">
        <f>IF(COUNTA(A509:G509)=0,"",IF(C509&lt;&gt;"",C509,IF(B509="","",IFERROR(INDEX(pr_des,MATCH(B509,pr_code,0))&amp;"",""))))</f>
        <v/>
      </c>
      <c r="I509" s="59" t="str">
        <f>IF(B509="","",IFERROR(INDEX(pr_unit,MATCH(B509,pr_code,0))&amp;"",""))</f>
        <v/>
      </c>
      <c r="J509" s="65" t="str">
        <f>IF(COUNTA(A509:G509)=0,"",IF(E509&lt;&gt;"",E509,IF(B509="","",IFERROR(IF(INDEX(pr_price,MATCH(B509,pr_code,0))="","",INDEX(pr_price,MATCH(B509,pr_code,0))),""))))</f>
        <v/>
      </c>
      <c r="K509" s="71" t="str">
        <f>IF(COUNTA(A509:G509)=0,"",IF(G509&lt;&gt;"",G509,IF(B509="","",IFERROR(IF(INDEX(pr_rate,MATCH(B509,pr_code,0))="","",INDEX(pr_rate,MATCH(B509,pr_code,0))),""))))</f>
        <v/>
      </c>
      <c r="L509" s="65" t="str">
        <f>IF(COUNTA(A509:G509)=0,"",IF(AND(ISNUMBER(D509),ISNUMBER(J509)),ROUND(D509*J509*(1-N(F509)),2),0))</f>
        <v/>
      </c>
      <c r="M509" s="62" t="str">
        <f>IF(A509="","",IFERROR(INDEX(dv_cname,MATCH(A509,dv_num,0))&amp;"",""))</f>
        <v/>
      </c>
      <c r="N509" s="59" t="str">
        <f>IF(COUNTA(A509:G509)=0,"",IF(A509="","N° devis manquant",IF(ISNA(MATCH(A509,dv_num,0)),"Devis inconnu",IF(AND(B509&lt;&gt;"",ISNA(MATCH(B509,pr_code,0))),"Article inconnu",IF(H509="","Désignation manquante",IF(OR(NOT(ISNUMBER(D509)),N(D509)&lt;=0),"Quantité invalide",IF(J509="","Prix manquant",IF(OR(NOT(ISNUMBER(J509)),N(J509)&lt;0),"Prix invalide",IF(OR(AND(F509&lt;&gt;"",NOT(ISNUMBER(F509))),N(F509)&lt;0,N(F509)&gt;1),"Remise invalide",IF(K509="","Taux de TVA manquant",IF(NOT(ISNUMBER(K509)),"Taux de TVA invalide",IF(COUNTIF(p_rates,K509)=0,"Taux de TVA hors liste (Paramètres)",IF(N(O509)&gt;25,"Au-delà de 25 lignes : non imprimée","OK")))))))))))))</f>
        <v/>
      </c>
      <c r="O509" s="59" t="str">
        <f>IF(A509="","",COUNTIF($A$6:A509,A509))</f>
        <v/>
      </c>
      <c r="P509" s="62" t="str">
        <f>IF(A509="","",A509&amp;"|"&amp;O509)</f>
        <v/>
      </c>
    </row>
    <row r="510">
      <c r="A510" s="60" t="n"/>
      <c r="B510" s="63" t="n"/>
      <c r="C510" s="63" t="n"/>
      <c r="D510" s="67" t="n"/>
      <c r="E510" s="68" t="n"/>
      <c r="F510" s="69" t="n"/>
      <c r="G510" s="70" t="n"/>
      <c r="H510" s="62" t="str">
        <f>IF(COUNTA(A510:G510)=0,"",IF(C510&lt;&gt;"",C510,IF(B510="","",IFERROR(INDEX(pr_des,MATCH(B510,pr_code,0))&amp;"",""))))</f>
        <v/>
      </c>
      <c r="I510" s="59" t="str">
        <f>IF(B510="","",IFERROR(INDEX(pr_unit,MATCH(B510,pr_code,0))&amp;"",""))</f>
        <v/>
      </c>
      <c r="J510" s="65" t="str">
        <f>IF(COUNTA(A510:G510)=0,"",IF(E510&lt;&gt;"",E510,IF(B510="","",IFERROR(IF(INDEX(pr_price,MATCH(B510,pr_code,0))="","",INDEX(pr_price,MATCH(B510,pr_code,0))),""))))</f>
        <v/>
      </c>
      <c r="K510" s="71" t="str">
        <f>IF(COUNTA(A510:G510)=0,"",IF(G510&lt;&gt;"",G510,IF(B510="","",IFERROR(IF(INDEX(pr_rate,MATCH(B510,pr_code,0))="","",INDEX(pr_rate,MATCH(B510,pr_code,0))),""))))</f>
        <v/>
      </c>
      <c r="L510" s="65" t="str">
        <f>IF(COUNTA(A510:G510)=0,"",IF(AND(ISNUMBER(D510),ISNUMBER(J510)),ROUND(D510*J510*(1-N(F510)),2),0))</f>
        <v/>
      </c>
      <c r="M510" s="62" t="str">
        <f>IF(A510="","",IFERROR(INDEX(dv_cname,MATCH(A510,dv_num,0))&amp;"",""))</f>
        <v/>
      </c>
      <c r="N510" s="59" t="str">
        <f>IF(COUNTA(A510:G510)=0,"",IF(A510="","N° devis manquant",IF(ISNA(MATCH(A510,dv_num,0)),"Devis inconnu",IF(AND(B510&lt;&gt;"",ISNA(MATCH(B510,pr_code,0))),"Article inconnu",IF(H510="","Désignation manquante",IF(OR(NOT(ISNUMBER(D510)),N(D510)&lt;=0),"Quantité invalide",IF(J510="","Prix manquant",IF(OR(NOT(ISNUMBER(J510)),N(J510)&lt;0),"Prix invalide",IF(OR(AND(F510&lt;&gt;"",NOT(ISNUMBER(F510))),N(F510)&lt;0,N(F510)&gt;1),"Remise invalide",IF(K510="","Taux de TVA manquant",IF(NOT(ISNUMBER(K510)),"Taux de TVA invalide",IF(COUNTIF(p_rates,K510)=0,"Taux de TVA hors liste (Paramètres)",IF(N(O510)&gt;25,"Au-delà de 25 lignes : non imprimée","OK")))))))))))))</f>
        <v/>
      </c>
      <c r="O510" s="59" t="str">
        <f>IF(A510="","",COUNTIF($A$6:A510,A510))</f>
        <v/>
      </c>
      <c r="P510" s="62" t="str">
        <f>IF(A510="","",A510&amp;"|"&amp;O510)</f>
        <v/>
      </c>
    </row>
    <row r="511">
      <c r="A511" s="60" t="n"/>
      <c r="B511" s="63" t="n"/>
      <c r="C511" s="63" t="n"/>
      <c r="D511" s="67" t="n"/>
      <c r="E511" s="68" t="n"/>
      <c r="F511" s="69" t="n"/>
      <c r="G511" s="70" t="n"/>
      <c r="H511" s="62" t="str">
        <f>IF(COUNTA(A511:G511)=0,"",IF(C511&lt;&gt;"",C511,IF(B511="","",IFERROR(INDEX(pr_des,MATCH(B511,pr_code,0))&amp;"",""))))</f>
        <v/>
      </c>
      <c r="I511" s="59" t="str">
        <f>IF(B511="","",IFERROR(INDEX(pr_unit,MATCH(B511,pr_code,0))&amp;"",""))</f>
        <v/>
      </c>
      <c r="J511" s="65" t="str">
        <f>IF(COUNTA(A511:G511)=0,"",IF(E511&lt;&gt;"",E511,IF(B511="","",IFERROR(IF(INDEX(pr_price,MATCH(B511,pr_code,0))="","",INDEX(pr_price,MATCH(B511,pr_code,0))),""))))</f>
        <v/>
      </c>
      <c r="K511" s="71" t="str">
        <f>IF(COUNTA(A511:G511)=0,"",IF(G511&lt;&gt;"",G511,IF(B511="","",IFERROR(IF(INDEX(pr_rate,MATCH(B511,pr_code,0))="","",INDEX(pr_rate,MATCH(B511,pr_code,0))),""))))</f>
        <v/>
      </c>
      <c r="L511" s="65" t="str">
        <f>IF(COUNTA(A511:G511)=0,"",IF(AND(ISNUMBER(D511),ISNUMBER(J511)),ROUND(D511*J511*(1-N(F511)),2),0))</f>
        <v/>
      </c>
      <c r="M511" s="62" t="str">
        <f>IF(A511="","",IFERROR(INDEX(dv_cname,MATCH(A511,dv_num,0))&amp;"",""))</f>
        <v/>
      </c>
      <c r="N511" s="59" t="str">
        <f>IF(COUNTA(A511:G511)=0,"",IF(A511="","N° devis manquant",IF(ISNA(MATCH(A511,dv_num,0)),"Devis inconnu",IF(AND(B511&lt;&gt;"",ISNA(MATCH(B511,pr_code,0))),"Article inconnu",IF(H511="","Désignation manquante",IF(OR(NOT(ISNUMBER(D511)),N(D511)&lt;=0),"Quantité invalide",IF(J511="","Prix manquant",IF(OR(NOT(ISNUMBER(J511)),N(J511)&lt;0),"Prix invalide",IF(OR(AND(F511&lt;&gt;"",NOT(ISNUMBER(F511))),N(F511)&lt;0,N(F511)&gt;1),"Remise invalide",IF(K511="","Taux de TVA manquant",IF(NOT(ISNUMBER(K511)),"Taux de TVA invalide",IF(COUNTIF(p_rates,K511)=0,"Taux de TVA hors liste (Paramètres)",IF(N(O511)&gt;25,"Au-delà de 25 lignes : non imprimée","OK")))))))))))))</f>
        <v/>
      </c>
      <c r="O511" s="59" t="str">
        <f>IF(A511="","",COUNTIF($A$6:A511,A511))</f>
        <v/>
      </c>
      <c r="P511" s="62" t="str">
        <f>IF(A511="","",A511&amp;"|"&amp;O511)</f>
        <v/>
      </c>
    </row>
    <row r="512">
      <c r="A512" s="60" t="n"/>
      <c r="B512" s="63" t="n"/>
      <c r="C512" s="63" t="n"/>
      <c r="D512" s="67" t="n"/>
      <c r="E512" s="68" t="n"/>
      <c r="F512" s="69" t="n"/>
      <c r="G512" s="70" t="n"/>
      <c r="H512" s="62" t="str">
        <f>IF(COUNTA(A512:G512)=0,"",IF(C512&lt;&gt;"",C512,IF(B512="","",IFERROR(INDEX(pr_des,MATCH(B512,pr_code,0))&amp;"",""))))</f>
        <v/>
      </c>
      <c r="I512" s="59" t="str">
        <f>IF(B512="","",IFERROR(INDEX(pr_unit,MATCH(B512,pr_code,0))&amp;"",""))</f>
        <v/>
      </c>
      <c r="J512" s="65" t="str">
        <f>IF(COUNTA(A512:G512)=0,"",IF(E512&lt;&gt;"",E512,IF(B512="","",IFERROR(IF(INDEX(pr_price,MATCH(B512,pr_code,0))="","",INDEX(pr_price,MATCH(B512,pr_code,0))),""))))</f>
        <v/>
      </c>
      <c r="K512" s="71" t="str">
        <f>IF(COUNTA(A512:G512)=0,"",IF(G512&lt;&gt;"",G512,IF(B512="","",IFERROR(IF(INDEX(pr_rate,MATCH(B512,pr_code,0))="","",INDEX(pr_rate,MATCH(B512,pr_code,0))),""))))</f>
        <v/>
      </c>
      <c r="L512" s="65" t="str">
        <f>IF(COUNTA(A512:G512)=0,"",IF(AND(ISNUMBER(D512),ISNUMBER(J512)),ROUND(D512*J512*(1-N(F512)),2),0))</f>
        <v/>
      </c>
      <c r="M512" s="62" t="str">
        <f>IF(A512="","",IFERROR(INDEX(dv_cname,MATCH(A512,dv_num,0))&amp;"",""))</f>
        <v/>
      </c>
      <c r="N512" s="59" t="str">
        <f>IF(COUNTA(A512:G512)=0,"",IF(A512="","N° devis manquant",IF(ISNA(MATCH(A512,dv_num,0)),"Devis inconnu",IF(AND(B512&lt;&gt;"",ISNA(MATCH(B512,pr_code,0))),"Article inconnu",IF(H512="","Désignation manquante",IF(OR(NOT(ISNUMBER(D512)),N(D512)&lt;=0),"Quantité invalide",IF(J512="","Prix manquant",IF(OR(NOT(ISNUMBER(J512)),N(J512)&lt;0),"Prix invalide",IF(OR(AND(F512&lt;&gt;"",NOT(ISNUMBER(F512))),N(F512)&lt;0,N(F512)&gt;1),"Remise invalide",IF(K512="","Taux de TVA manquant",IF(NOT(ISNUMBER(K512)),"Taux de TVA invalide",IF(COUNTIF(p_rates,K512)=0,"Taux de TVA hors liste (Paramètres)",IF(N(O512)&gt;25,"Au-delà de 25 lignes : non imprimée","OK")))))))))))))</f>
        <v/>
      </c>
      <c r="O512" s="59" t="str">
        <f>IF(A512="","",COUNTIF($A$6:A512,A512))</f>
        <v/>
      </c>
      <c r="P512" s="62" t="str">
        <f>IF(A512="","",A512&amp;"|"&amp;O512)</f>
        <v/>
      </c>
    </row>
    <row r="513">
      <c r="A513" s="60" t="n"/>
      <c r="B513" s="63" t="n"/>
      <c r="C513" s="63" t="n"/>
      <c r="D513" s="67" t="n"/>
      <c r="E513" s="68" t="n"/>
      <c r="F513" s="69" t="n"/>
      <c r="G513" s="70" t="n"/>
      <c r="H513" s="62" t="str">
        <f>IF(COUNTA(A513:G513)=0,"",IF(C513&lt;&gt;"",C513,IF(B513="","",IFERROR(INDEX(pr_des,MATCH(B513,pr_code,0))&amp;"",""))))</f>
        <v/>
      </c>
      <c r="I513" s="59" t="str">
        <f>IF(B513="","",IFERROR(INDEX(pr_unit,MATCH(B513,pr_code,0))&amp;"",""))</f>
        <v/>
      </c>
      <c r="J513" s="65" t="str">
        <f>IF(COUNTA(A513:G513)=0,"",IF(E513&lt;&gt;"",E513,IF(B513="","",IFERROR(IF(INDEX(pr_price,MATCH(B513,pr_code,0))="","",INDEX(pr_price,MATCH(B513,pr_code,0))),""))))</f>
        <v/>
      </c>
      <c r="K513" s="71" t="str">
        <f>IF(COUNTA(A513:G513)=0,"",IF(G513&lt;&gt;"",G513,IF(B513="","",IFERROR(IF(INDEX(pr_rate,MATCH(B513,pr_code,0))="","",INDEX(pr_rate,MATCH(B513,pr_code,0))),""))))</f>
        <v/>
      </c>
      <c r="L513" s="65" t="str">
        <f>IF(COUNTA(A513:G513)=0,"",IF(AND(ISNUMBER(D513),ISNUMBER(J513)),ROUND(D513*J513*(1-N(F513)),2),0))</f>
        <v/>
      </c>
      <c r="M513" s="62" t="str">
        <f>IF(A513="","",IFERROR(INDEX(dv_cname,MATCH(A513,dv_num,0))&amp;"",""))</f>
        <v/>
      </c>
      <c r="N513" s="59" t="str">
        <f>IF(COUNTA(A513:G513)=0,"",IF(A513="","N° devis manquant",IF(ISNA(MATCH(A513,dv_num,0)),"Devis inconnu",IF(AND(B513&lt;&gt;"",ISNA(MATCH(B513,pr_code,0))),"Article inconnu",IF(H513="","Désignation manquante",IF(OR(NOT(ISNUMBER(D513)),N(D513)&lt;=0),"Quantité invalide",IF(J513="","Prix manquant",IF(OR(NOT(ISNUMBER(J513)),N(J513)&lt;0),"Prix invalide",IF(OR(AND(F513&lt;&gt;"",NOT(ISNUMBER(F513))),N(F513)&lt;0,N(F513)&gt;1),"Remise invalide",IF(K513="","Taux de TVA manquant",IF(NOT(ISNUMBER(K513)),"Taux de TVA invalide",IF(COUNTIF(p_rates,K513)=0,"Taux de TVA hors liste (Paramètres)",IF(N(O513)&gt;25,"Au-delà de 25 lignes : non imprimée","OK")))))))))))))</f>
        <v/>
      </c>
      <c r="O513" s="59" t="str">
        <f>IF(A513="","",COUNTIF($A$6:A513,A513))</f>
        <v/>
      </c>
      <c r="P513" s="62" t="str">
        <f>IF(A513="","",A513&amp;"|"&amp;O513)</f>
        <v/>
      </c>
    </row>
    <row r="514">
      <c r="A514" s="60" t="n"/>
      <c r="B514" s="63" t="n"/>
      <c r="C514" s="63" t="n"/>
      <c r="D514" s="67" t="n"/>
      <c r="E514" s="68" t="n"/>
      <c r="F514" s="69" t="n"/>
      <c r="G514" s="70" t="n"/>
      <c r="H514" s="62" t="str">
        <f>IF(COUNTA(A514:G514)=0,"",IF(C514&lt;&gt;"",C514,IF(B514="","",IFERROR(INDEX(pr_des,MATCH(B514,pr_code,0))&amp;"",""))))</f>
        <v/>
      </c>
      <c r="I514" s="59" t="str">
        <f>IF(B514="","",IFERROR(INDEX(pr_unit,MATCH(B514,pr_code,0))&amp;"",""))</f>
        <v/>
      </c>
      <c r="J514" s="65" t="str">
        <f>IF(COUNTA(A514:G514)=0,"",IF(E514&lt;&gt;"",E514,IF(B514="","",IFERROR(IF(INDEX(pr_price,MATCH(B514,pr_code,0))="","",INDEX(pr_price,MATCH(B514,pr_code,0))),""))))</f>
        <v/>
      </c>
      <c r="K514" s="71" t="str">
        <f>IF(COUNTA(A514:G514)=0,"",IF(G514&lt;&gt;"",G514,IF(B514="","",IFERROR(IF(INDEX(pr_rate,MATCH(B514,pr_code,0))="","",INDEX(pr_rate,MATCH(B514,pr_code,0))),""))))</f>
        <v/>
      </c>
      <c r="L514" s="65" t="str">
        <f>IF(COUNTA(A514:G514)=0,"",IF(AND(ISNUMBER(D514),ISNUMBER(J514)),ROUND(D514*J514*(1-N(F514)),2),0))</f>
        <v/>
      </c>
      <c r="M514" s="62" t="str">
        <f>IF(A514="","",IFERROR(INDEX(dv_cname,MATCH(A514,dv_num,0))&amp;"",""))</f>
        <v/>
      </c>
      <c r="N514" s="59" t="str">
        <f>IF(COUNTA(A514:G514)=0,"",IF(A514="","N° devis manquant",IF(ISNA(MATCH(A514,dv_num,0)),"Devis inconnu",IF(AND(B514&lt;&gt;"",ISNA(MATCH(B514,pr_code,0))),"Article inconnu",IF(H514="","Désignation manquante",IF(OR(NOT(ISNUMBER(D514)),N(D514)&lt;=0),"Quantité invalide",IF(J514="","Prix manquant",IF(OR(NOT(ISNUMBER(J514)),N(J514)&lt;0),"Prix invalide",IF(OR(AND(F514&lt;&gt;"",NOT(ISNUMBER(F514))),N(F514)&lt;0,N(F514)&gt;1),"Remise invalide",IF(K514="","Taux de TVA manquant",IF(NOT(ISNUMBER(K514)),"Taux de TVA invalide",IF(COUNTIF(p_rates,K514)=0,"Taux de TVA hors liste (Paramètres)",IF(N(O514)&gt;25,"Au-delà de 25 lignes : non imprimée","OK")))))))))))))</f>
        <v/>
      </c>
      <c r="O514" s="59" t="str">
        <f>IF(A514="","",COUNTIF($A$6:A514,A514))</f>
        <v/>
      </c>
      <c r="P514" s="62" t="str">
        <f>IF(A514="","",A514&amp;"|"&amp;O514)</f>
        <v/>
      </c>
    </row>
    <row r="515">
      <c r="A515" s="60" t="n"/>
      <c r="B515" s="63" t="n"/>
      <c r="C515" s="63" t="n"/>
      <c r="D515" s="67" t="n"/>
      <c r="E515" s="68" t="n"/>
      <c r="F515" s="69" t="n"/>
      <c r="G515" s="70" t="n"/>
      <c r="H515" s="62" t="str">
        <f>IF(COUNTA(A515:G515)=0,"",IF(C515&lt;&gt;"",C515,IF(B515="","",IFERROR(INDEX(pr_des,MATCH(B515,pr_code,0))&amp;"",""))))</f>
        <v/>
      </c>
      <c r="I515" s="59" t="str">
        <f>IF(B515="","",IFERROR(INDEX(pr_unit,MATCH(B515,pr_code,0))&amp;"",""))</f>
        <v/>
      </c>
      <c r="J515" s="65" t="str">
        <f>IF(COUNTA(A515:G515)=0,"",IF(E515&lt;&gt;"",E515,IF(B515="","",IFERROR(IF(INDEX(pr_price,MATCH(B515,pr_code,0))="","",INDEX(pr_price,MATCH(B515,pr_code,0))),""))))</f>
        <v/>
      </c>
      <c r="K515" s="71" t="str">
        <f>IF(COUNTA(A515:G515)=0,"",IF(G515&lt;&gt;"",G515,IF(B515="","",IFERROR(IF(INDEX(pr_rate,MATCH(B515,pr_code,0))="","",INDEX(pr_rate,MATCH(B515,pr_code,0))),""))))</f>
        <v/>
      </c>
      <c r="L515" s="65" t="str">
        <f>IF(COUNTA(A515:G515)=0,"",IF(AND(ISNUMBER(D515),ISNUMBER(J515)),ROUND(D515*J515*(1-N(F515)),2),0))</f>
        <v/>
      </c>
      <c r="M515" s="62" t="str">
        <f>IF(A515="","",IFERROR(INDEX(dv_cname,MATCH(A515,dv_num,0))&amp;"",""))</f>
        <v/>
      </c>
      <c r="N515" s="59" t="str">
        <f>IF(COUNTA(A515:G515)=0,"",IF(A515="","N° devis manquant",IF(ISNA(MATCH(A515,dv_num,0)),"Devis inconnu",IF(AND(B515&lt;&gt;"",ISNA(MATCH(B515,pr_code,0))),"Article inconnu",IF(H515="","Désignation manquante",IF(OR(NOT(ISNUMBER(D515)),N(D515)&lt;=0),"Quantité invalide",IF(J515="","Prix manquant",IF(OR(NOT(ISNUMBER(J515)),N(J515)&lt;0),"Prix invalide",IF(OR(AND(F515&lt;&gt;"",NOT(ISNUMBER(F515))),N(F515)&lt;0,N(F515)&gt;1),"Remise invalide",IF(K515="","Taux de TVA manquant",IF(NOT(ISNUMBER(K515)),"Taux de TVA invalide",IF(COUNTIF(p_rates,K515)=0,"Taux de TVA hors liste (Paramètres)",IF(N(O515)&gt;25,"Au-delà de 25 lignes : non imprimée","OK")))))))))))))</f>
        <v/>
      </c>
      <c r="O515" s="59" t="str">
        <f>IF(A515="","",COUNTIF($A$6:A515,A515))</f>
        <v/>
      </c>
      <c r="P515" s="62" t="str">
        <f>IF(A515="","",A515&amp;"|"&amp;O515)</f>
        <v/>
      </c>
    </row>
    <row r="516">
      <c r="A516" s="60" t="n"/>
      <c r="B516" s="63" t="n"/>
      <c r="C516" s="63" t="n"/>
      <c r="D516" s="67" t="n"/>
      <c r="E516" s="68" t="n"/>
      <c r="F516" s="69" t="n"/>
      <c r="G516" s="70" t="n"/>
      <c r="H516" s="62" t="str">
        <f>IF(COUNTA(A516:G516)=0,"",IF(C516&lt;&gt;"",C516,IF(B516="","",IFERROR(INDEX(pr_des,MATCH(B516,pr_code,0))&amp;"",""))))</f>
        <v/>
      </c>
      <c r="I516" s="59" t="str">
        <f>IF(B516="","",IFERROR(INDEX(pr_unit,MATCH(B516,pr_code,0))&amp;"",""))</f>
        <v/>
      </c>
      <c r="J516" s="65" t="str">
        <f>IF(COUNTA(A516:G516)=0,"",IF(E516&lt;&gt;"",E516,IF(B516="","",IFERROR(IF(INDEX(pr_price,MATCH(B516,pr_code,0))="","",INDEX(pr_price,MATCH(B516,pr_code,0))),""))))</f>
        <v/>
      </c>
      <c r="K516" s="71" t="str">
        <f>IF(COUNTA(A516:G516)=0,"",IF(G516&lt;&gt;"",G516,IF(B516="","",IFERROR(IF(INDEX(pr_rate,MATCH(B516,pr_code,0))="","",INDEX(pr_rate,MATCH(B516,pr_code,0))),""))))</f>
        <v/>
      </c>
      <c r="L516" s="65" t="str">
        <f>IF(COUNTA(A516:G516)=0,"",IF(AND(ISNUMBER(D516),ISNUMBER(J516)),ROUND(D516*J516*(1-N(F516)),2),0))</f>
        <v/>
      </c>
      <c r="M516" s="62" t="str">
        <f>IF(A516="","",IFERROR(INDEX(dv_cname,MATCH(A516,dv_num,0))&amp;"",""))</f>
        <v/>
      </c>
      <c r="N516" s="59" t="str">
        <f>IF(COUNTA(A516:G516)=0,"",IF(A516="","N° devis manquant",IF(ISNA(MATCH(A516,dv_num,0)),"Devis inconnu",IF(AND(B516&lt;&gt;"",ISNA(MATCH(B516,pr_code,0))),"Article inconnu",IF(H516="","Désignation manquante",IF(OR(NOT(ISNUMBER(D516)),N(D516)&lt;=0),"Quantité invalide",IF(J516="","Prix manquant",IF(OR(NOT(ISNUMBER(J516)),N(J516)&lt;0),"Prix invalide",IF(OR(AND(F516&lt;&gt;"",NOT(ISNUMBER(F516))),N(F516)&lt;0,N(F516)&gt;1),"Remise invalide",IF(K516="","Taux de TVA manquant",IF(NOT(ISNUMBER(K516)),"Taux de TVA invalide",IF(COUNTIF(p_rates,K516)=0,"Taux de TVA hors liste (Paramètres)",IF(N(O516)&gt;25,"Au-delà de 25 lignes : non imprimée","OK")))))))))))))</f>
        <v/>
      </c>
      <c r="O516" s="59" t="str">
        <f>IF(A516="","",COUNTIF($A$6:A516,A516))</f>
        <v/>
      </c>
      <c r="P516" s="62" t="str">
        <f>IF(A516="","",A516&amp;"|"&amp;O516)</f>
        <v/>
      </c>
    </row>
    <row r="517">
      <c r="A517" s="60" t="n"/>
      <c r="B517" s="63" t="n"/>
      <c r="C517" s="63" t="n"/>
      <c r="D517" s="67" t="n"/>
      <c r="E517" s="68" t="n"/>
      <c r="F517" s="69" t="n"/>
      <c r="G517" s="70" t="n"/>
      <c r="H517" s="62" t="str">
        <f>IF(COUNTA(A517:G517)=0,"",IF(C517&lt;&gt;"",C517,IF(B517="","",IFERROR(INDEX(pr_des,MATCH(B517,pr_code,0))&amp;"",""))))</f>
        <v/>
      </c>
      <c r="I517" s="59" t="str">
        <f>IF(B517="","",IFERROR(INDEX(pr_unit,MATCH(B517,pr_code,0))&amp;"",""))</f>
        <v/>
      </c>
      <c r="J517" s="65" t="str">
        <f>IF(COUNTA(A517:G517)=0,"",IF(E517&lt;&gt;"",E517,IF(B517="","",IFERROR(IF(INDEX(pr_price,MATCH(B517,pr_code,0))="","",INDEX(pr_price,MATCH(B517,pr_code,0))),""))))</f>
        <v/>
      </c>
      <c r="K517" s="71" t="str">
        <f>IF(COUNTA(A517:G517)=0,"",IF(G517&lt;&gt;"",G517,IF(B517="","",IFERROR(IF(INDEX(pr_rate,MATCH(B517,pr_code,0))="","",INDEX(pr_rate,MATCH(B517,pr_code,0))),""))))</f>
        <v/>
      </c>
      <c r="L517" s="65" t="str">
        <f>IF(COUNTA(A517:G517)=0,"",IF(AND(ISNUMBER(D517),ISNUMBER(J517)),ROUND(D517*J517*(1-N(F517)),2),0))</f>
        <v/>
      </c>
      <c r="M517" s="62" t="str">
        <f>IF(A517="","",IFERROR(INDEX(dv_cname,MATCH(A517,dv_num,0))&amp;"",""))</f>
        <v/>
      </c>
      <c r="N517" s="59" t="str">
        <f>IF(COUNTA(A517:G517)=0,"",IF(A517="","N° devis manquant",IF(ISNA(MATCH(A517,dv_num,0)),"Devis inconnu",IF(AND(B517&lt;&gt;"",ISNA(MATCH(B517,pr_code,0))),"Article inconnu",IF(H517="","Désignation manquante",IF(OR(NOT(ISNUMBER(D517)),N(D517)&lt;=0),"Quantité invalide",IF(J517="","Prix manquant",IF(OR(NOT(ISNUMBER(J517)),N(J517)&lt;0),"Prix invalide",IF(OR(AND(F517&lt;&gt;"",NOT(ISNUMBER(F517))),N(F517)&lt;0,N(F517)&gt;1),"Remise invalide",IF(K517="","Taux de TVA manquant",IF(NOT(ISNUMBER(K517)),"Taux de TVA invalide",IF(COUNTIF(p_rates,K517)=0,"Taux de TVA hors liste (Paramètres)",IF(N(O517)&gt;25,"Au-delà de 25 lignes : non imprimée","OK")))))))))))))</f>
        <v/>
      </c>
      <c r="O517" s="59" t="str">
        <f>IF(A517="","",COUNTIF($A$6:A517,A517))</f>
        <v/>
      </c>
      <c r="P517" s="62" t="str">
        <f>IF(A517="","",A517&amp;"|"&amp;O517)</f>
        <v/>
      </c>
    </row>
    <row r="518">
      <c r="A518" s="60" t="n"/>
      <c r="B518" s="63" t="n"/>
      <c r="C518" s="63" t="n"/>
      <c r="D518" s="67" t="n"/>
      <c r="E518" s="68" t="n"/>
      <c r="F518" s="69" t="n"/>
      <c r="G518" s="70" t="n"/>
      <c r="H518" s="62" t="str">
        <f>IF(COUNTA(A518:G518)=0,"",IF(C518&lt;&gt;"",C518,IF(B518="","",IFERROR(INDEX(pr_des,MATCH(B518,pr_code,0))&amp;"",""))))</f>
        <v/>
      </c>
      <c r="I518" s="59" t="str">
        <f>IF(B518="","",IFERROR(INDEX(pr_unit,MATCH(B518,pr_code,0))&amp;"",""))</f>
        <v/>
      </c>
      <c r="J518" s="65" t="str">
        <f>IF(COUNTA(A518:G518)=0,"",IF(E518&lt;&gt;"",E518,IF(B518="","",IFERROR(IF(INDEX(pr_price,MATCH(B518,pr_code,0))="","",INDEX(pr_price,MATCH(B518,pr_code,0))),""))))</f>
        <v/>
      </c>
      <c r="K518" s="71" t="str">
        <f>IF(COUNTA(A518:G518)=0,"",IF(G518&lt;&gt;"",G518,IF(B518="","",IFERROR(IF(INDEX(pr_rate,MATCH(B518,pr_code,0))="","",INDEX(pr_rate,MATCH(B518,pr_code,0))),""))))</f>
        <v/>
      </c>
      <c r="L518" s="65" t="str">
        <f>IF(COUNTA(A518:G518)=0,"",IF(AND(ISNUMBER(D518),ISNUMBER(J518)),ROUND(D518*J518*(1-N(F518)),2),0))</f>
        <v/>
      </c>
      <c r="M518" s="62" t="str">
        <f>IF(A518="","",IFERROR(INDEX(dv_cname,MATCH(A518,dv_num,0))&amp;"",""))</f>
        <v/>
      </c>
      <c r="N518" s="59" t="str">
        <f>IF(COUNTA(A518:G518)=0,"",IF(A518="","N° devis manquant",IF(ISNA(MATCH(A518,dv_num,0)),"Devis inconnu",IF(AND(B518&lt;&gt;"",ISNA(MATCH(B518,pr_code,0))),"Article inconnu",IF(H518="","Désignation manquante",IF(OR(NOT(ISNUMBER(D518)),N(D518)&lt;=0),"Quantité invalide",IF(J518="","Prix manquant",IF(OR(NOT(ISNUMBER(J518)),N(J518)&lt;0),"Prix invalide",IF(OR(AND(F518&lt;&gt;"",NOT(ISNUMBER(F518))),N(F518)&lt;0,N(F518)&gt;1),"Remise invalide",IF(K518="","Taux de TVA manquant",IF(NOT(ISNUMBER(K518)),"Taux de TVA invalide",IF(COUNTIF(p_rates,K518)=0,"Taux de TVA hors liste (Paramètres)",IF(N(O518)&gt;25,"Au-delà de 25 lignes : non imprimée","OK")))))))))))))</f>
        <v/>
      </c>
      <c r="O518" s="59" t="str">
        <f>IF(A518="","",COUNTIF($A$6:A518,A518))</f>
        <v/>
      </c>
      <c r="P518" s="62" t="str">
        <f>IF(A518="","",A518&amp;"|"&amp;O518)</f>
        <v/>
      </c>
    </row>
    <row r="519">
      <c r="A519" s="60" t="n"/>
      <c r="B519" s="63" t="n"/>
      <c r="C519" s="63" t="n"/>
      <c r="D519" s="67" t="n"/>
      <c r="E519" s="68" t="n"/>
      <c r="F519" s="69" t="n"/>
      <c r="G519" s="70" t="n"/>
      <c r="H519" s="62" t="str">
        <f>IF(COUNTA(A519:G519)=0,"",IF(C519&lt;&gt;"",C519,IF(B519="","",IFERROR(INDEX(pr_des,MATCH(B519,pr_code,0))&amp;"",""))))</f>
        <v/>
      </c>
      <c r="I519" s="59" t="str">
        <f>IF(B519="","",IFERROR(INDEX(pr_unit,MATCH(B519,pr_code,0))&amp;"",""))</f>
        <v/>
      </c>
      <c r="J519" s="65" t="str">
        <f>IF(COUNTA(A519:G519)=0,"",IF(E519&lt;&gt;"",E519,IF(B519="","",IFERROR(IF(INDEX(pr_price,MATCH(B519,pr_code,0))="","",INDEX(pr_price,MATCH(B519,pr_code,0))),""))))</f>
        <v/>
      </c>
      <c r="K519" s="71" t="str">
        <f>IF(COUNTA(A519:G519)=0,"",IF(G519&lt;&gt;"",G519,IF(B519="","",IFERROR(IF(INDEX(pr_rate,MATCH(B519,pr_code,0))="","",INDEX(pr_rate,MATCH(B519,pr_code,0))),""))))</f>
        <v/>
      </c>
      <c r="L519" s="65" t="str">
        <f>IF(COUNTA(A519:G519)=0,"",IF(AND(ISNUMBER(D519),ISNUMBER(J519)),ROUND(D519*J519*(1-N(F519)),2),0))</f>
        <v/>
      </c>
      <c r="M519" s="62" t="str">
        <f>IF(A519="","",IFERROR(INDEX(dv_cname,MATCH(A519,dv_num,0))&amp;"",""))</f>
        <v/>
      </c>
      <c r="N519" s="59" t="str">
        <f>IF(COUNTA(A519:G519)=0,"",IF(A519="","N° devis manquant",IF(ISNA(MATCH(A519,dv_num,0)),"Devis inconnu",IF(AND(B519&lt;&gt;"",ISNA(MATCH(B519,pr_code,0))),"Article inconnu",IF(H519="","Désignation manquante",IF(OR(NOT(ISNUMBER(D519)),N(D519)&lt;=0),"Quantité invalide",IF(J519="","Prix manquant",IF(OR(NOT(ISNUMBER(J519)),N(J519)&lt;0),"Prix invalide",IF(OR(AND(F519&lt;&gt;"",NOT(ISNUMBER(F519))),N(F519)&lt;0,N(F519)&gt;1),"Remise invalide",IF(K519="","Taux de TVA manquant",IF(NOT(ISNUMBER(K519)),"Taux de TVA invalide",IF(COUNTIF(p_rates,K519)=0,"Taux de TVA hors liste (Paramètres)",IF(N(O519)&gt;25,"Au-delà de 25 lignes : non imprimée","OK")))))))))))))</f>
        <v/>
      </c>
      <c r="O519" s="59" t="str">
        <f>IF(A519="","",COUNTIF($A$6:A519,A519))</f>
        <v/>
      </c>
      <c r="P519" s="62" t="str">
        <f>IF(A519="","",A519&amp;"|"&amp;O519)</f>
        <v/>
      </c>
    </row>
    <row r="520">
      <c r="A520" s="60" t="n"/>
      <c r="B520" s="63" t="n"/>
      <c r="C520" s="63" t="n"/>
      <c r="D520" s="67" t="n"/>
      <c r="E520" s="68" t="n"/>
      <c r="F520" s="69" t="n"/>
      <c r="G520" s="70" t="n"/>
      <c r="H520" s="62" t="str">
        <f>IF(COUNTA(A520:G520)=0,"",IF(C520&lt;&gt;"",C520,IF(B520="","",IFERROR(INDEX(pr_des,MATCH(B520,pr_code,0))&amp;"",""))))</f>
        <v/>
      </c>
      <c r="I520" s="59" t="str">
        <f>IF(B520="","",IFERROR(INDEX(pr_unit,MATCH(B520,pr_code,0))&amp;"",""))</f>
        <v/>
      </c>
      <c r="J520" s="65" t="str">
        <f>IF(COUNTA(A520:G520)=0,"",IF(E520&lt;&gt;"",E520,IF(B520="","",IFERROR(IF(INDEX(pr_price,MATCH(B520,pr_code,0))="","",INDEX(pr_price,MATCH(B520,pr_code,0))),""))))</f>
        <v/>
      </c>
      <c r="K520" s="71" t="str">
        <f>IF(COUNTA(A520:G520)=0,"",IF(G520&lt;&gt;"",G520,IF(B520="","",IFERROR(IF(INDEX(pr_rate,MATCH(B520,pr_code,0))="","",INDEX(pr_rate,MATCH(B520,pr_code,0))),""))))</f>
        <v/>
      </c>
      <c r="L520" s="65" t="str">
        <f>IF(COUNTA(A520:G520)=0,"",IF(AND(ISNUMBER(D520),ISNUMBER(J520)),ROUND(D520*J520*(1-N(F520)),2),0))</f>
        <v/>
      </c>
      <c r="M520" s="62" t="str">
        <f>IF(A520="","",IFERROR(INDEX(dv_cname,MATCH(A520,dv_num,0))&amp;"",""))</f>
        <v/>
      </c>
      <c r="N520" s="59" t="str">
        <f>IF(COUNTA(A520:G520)=0,"",IF(A520="","N° devis manquant",IF(ISNA(MATCH(A520,dv_num,0)),"Devis inconnu",IF(AND(B520&lt;&gt;"",ISNA(MATCH(B520,pr_code,0))),"Article inconnu",IF(H520="","Désignation manquante",IF(OR(NOT(ISNUMBER(D520)),N(D520)&lt;=0),"Quantité invalide",IF(J520="","Prix manquant",IF(OR(NOT(ISNUMBER(J520)),N(J520)&lt;0),"Prix invalide",IF(OR(AND(F520&lt;&gt;"",NOT(ISNUMBER(F520))),N(F520)&lt;0,N(F520)&gt;1),"Remise invalide",IF(K520="","Taux de TVA manquant",IF(NOT(ISNUMBER(K520)),"Taux de TVA invalide",IF(COUNTIF(p_rates,K520)=0,"Taux de TVA hors liste (Paramètres)",IF(N(O520)&gt;25,"Au-delà de 25 lignes : non imprimée","OK")))))))))))))</f>
        <v/>
      </c>
      <c r="O520" s="59" t="str">
        <f>IF(A520="","",COUNTIF($A$6:A520,A520))</f>
        <v/>
      </c>
      <c r="P520" s="62" t="str">
        <f>IF(A520="","",A520&amp;"|"&amp;O520)</f>
        <v/>
      </c>
    </row>
    <row r="521">
      <c r="A521" s="60" t="n"/>
      <c r="B521" s="63" t="n"/>
      <c r="C521" s="63" t="n"/>
      <c r="D521" s="67" t="n"/>
      <c r="E521" s="68" t="n"/>
      <c r="F521" s="69" t="n"/>
      <c r="G521" s="70" t="n"/>
      <c r="H521" s="62" t="str">
        <f>IF(COUNTA(A521:G521)=0,"",IF(C521&lt;&gt;"",C521,IF(B521="","",IFERROR(INDEX(pr_des,MATCH(B521,pr_code,0))&amp;"",""))))</f>
        <v/>
      </c>
      <c r="I521" s="59" t="str">
        <f>IF(B521="","",IFERROR(INDEX(pr_unit,MATCH(B521,pr_code,0))&amp;"",""))</f>
        <v/>
      </c>
      <c r="J521" s="65" t="str">
        <f>IF(COUNTA(A521:G521)=0,"",IF(E521&lt;&gt;"",E521,IF(B521="","",IFERROR(IF(INDEX(pr_price,MATCH(B521,pr_code,0))="","",INDEX(pr_price,MATCH(B521,pr_code,0))),""))))</f>
        <v/>
      </c>
      <c r="K521" s="71" t="str">
        <f>IF(COUNTA(A521:G521)=0,"",IF(G521&lt;&gt;"",G521,IF(B521="","",IFERROR(IF(INDEX(pr_rate,MATCH(B521,pr_code,0))="","",INDEX(pr_rate,MATCH(B521,pr_code,0))),""))))</f>
        <v/>
      </c>
      <c r="L521" s="65" t="str">
        <f>IF(COUNTA(A521:G521)=0,"",IF(AND(ISNUMBER(D521),ISNUMBER(J521)),ROUND(D521*J521*(1-N(F521)),2),0))</f>
        <v/>
      </c>
      <c r="M521" s="62" t="str">
        <f>IF(A521="","",IFERROR(INDEX(dv_cname,MATCH(A521,dv_num,0))&amp;"",""))</f>
        <v/>
      </c>
      <c r="N521" s="59" t="str">
        <f>IF(COUNTA(A521:G521)=0,"",IF(A521="","N° devis manquant",IF(ISNA(MATCH(A521,dv_num,0)),"Devis inconnu",IF(AND(B521&lt;&gt;"",ISNA(MATCH(B521,pr_code,0))),"Article inconnu",IF(H521="","Désignation manquante",IF(OR(NOT(ISNUMBER(D521)),N(D521)&lt;=0),"Quantité invalide",IF(J521="","Prix manquant",IF(OR(NOT(ISNUMBER(J521)),N(J521)&lt;0),"Prix invalide",IF(OR(AND(F521&lt;&gt;"",NOT(ISNUMBER(F521))),N(F521)&lt;0,N(F521)&gt;1),"Remise invalide",IF(K521="","Taux de TVA manquant",IF(NOT(ISNUMBER(K521)),"Taux de TVA invalide",IF(COUNTIF(p_rates,K521)=0,"Taux de TVA hors liste (Paramètres)",IF(N(O521)&gt;25,"Au-delà de 25 lignes : non imprimée","OK")))))))))))))</f>
        <v/>
      </c>
      <c r="O521" s="59" t="str">
        <f>IF(A521="","",COUNTIF($A$6:A521,A521))</f>
        <v/>
      </c>
      <c r="P521" s="62" t="str">
        <f>IF(A521="","",A521&amp;"|"&amp;O521)</f>
        <v/>
      </c>
    </row>
    <row r="522">
      <c r="A522" s="60" t="n"/>
      <c r="B522" s="63" t="n"/>
      <c r="C522" s="63" t="n"/>
      <c r="D522" s="67" t="n"/>
      <c r="E522" s="68" t="n"/>
      <c r="F522" s="69" t="n"/>
      <c r="G522" s="70" t="n"/>
      <c r="H522" s="62" t="str">
        <f>IF(COUNTA(A522:G522)=0,"",IF(C522&lt;&gt;"",C522,IF(B522="","",IFERROR(INDEX(pr_des,MATCH(B522,pr_code,0))&amp;"",""))))</f>
        <v/>
      </c>
      <c r="I522" s="59" t="str">
        <f>IF(B522="","",IFERROR(INDEX(pr_unit,MATCH(B522,pr_code,0))&amp;"",""))</f>
        <v/>
      </c>
      <c r="J522" s="65" t="str">
        <f>IF(COUNTA(A522:G522)=0,"",IF(E522&lt;&gt;"",E522,IF(B522="","",IFERROR(IF(INDEX(pr_price,MATCH(B522,pr_code,0))="","",INDEX(pr_price,MATCH(B522,pr_code,0))),""))))</f>
        <v/>
      </c>
      <c r="K522" s="71" t="str">
        <f>IF(COUNTA(A522:G522)=0,"",IF(G522&lt;&gt;"",G522,IF(B522="","",IFERROR(IF(INDEX(pr_rate,MATCH(B522,pr_code,0))="","",INDEX(pr_rate,MATCH(B522,pr_code,0))),""))))</f>
        <v/>
      </c>
      <c r="L522" s="65" t="str">
        <f>IF(COUNTA(A522:G522)=0,"",IF(AND(ISNUMBER(D522),ISNUMBER(J522)),ROUND(D522*J522*(1-N(F522)),2),0))</f>
        <v/>
      </c>
      <c r="M522" s="62" t="str">
        <f>IF(A522="","",IFERROR(INDEX(dv_cname,MATCH(A522,dv_num,0))&amp;"",""))</f>
        <v/>
      </c>
      <c r="N522" s="59" t="str">
        <f>IF(COUNTA(A522:G522)=0,"",IF(A522="","N° devis manquant",IF(ISNA(MATCH(A522,dv_num,0)),"Devis inconnu",IF(AND(B522&lt;&gt;"",ISNA(MATCH(B522,pr_code,0))),"Article inconnu",IF(H522="","Désignation manquante",IF(OR(NOT(ISNUMBER(D522)),N(D522)&lt;=0),"Quantité invalide",IF(J522="","Prix manquant",IF(OR(NOT(ISNUMBER(J522)),N(J522)&lt;0),"Prix invalide",IF(OR(AND(F522&lt;&gt;"",NOT(ISNUMBER(F522))),N(F522)&lt;0,N(F522)&gt;1),"Remise invalide",IF(K522="","Taux de TVA manquant",IF(NOT(ISNUMBER(K522)),"Taux de TVA invalide",IF(COUNTIF(p_rates,K522)=0,"Taux de TVA hors liste (Paramètres)",IF(N(O522)&gt;25,"Au-delà de 25 lignes : non imprimée","OK")))))))))))))</f>
        <v/>
      </c>
      <c r="O522" s="59" t="str">
        <f>IF(A522="","",COUNTIF($A$6:A522,A522))</f>
        <v/>
      </c>
      <c r="P522" s="62" t="str">
        <f>IF(A522="","",A522&amp;"|"&amp;O522)</f>
        <v/>
      </c>
    </row>
    <row r="523">
      <c r="A523" s="60" t="n"/>
      <c r="B523" s="63" t="n"/>
      <c r="C523" s="63" t="n"/>
      <c r="D523" s="67" t="n"/>
      <c r="E523" s="68" t="n"/>
      <c r="F523" s="69" t="n"/>
      <c r="G523" s="70" t="n"/>
      <c r="H523" s="62" t="str">
        <f>IF(COUNTA(A523:G523)=0,"",IF(C523&lt;&gt;"",C523,IF(B523="","",IFERROR(INDEX(pr_des,MATCH(B523,pr_code,0))&amp;"",""))))</f>
        <v/>
      </c>
      <c r="I523" s="59" t="str">
        <f>IF(B523="","",IFERROR(INDEX(pr_unit,MATCH(B523,pr_code,0))&amp;"",""))</f>
        <v/>
      </c>
      <c r="J523" s="65" t="str">
        <f>IF(COUNTA(A523:G523)=0,"",IF(E523&lt;&gt;"",E523,IF(B523="","",IFERROR(IF(INDEX(pr_price,MATCH(B523,pr_code,0))="","",INDEX(pr_price,MATCH(B523,pr_code,0))),""))))</f>
        <v/>
      </c>
      <c r="K523" s="71" t="str">
        <f>IF(COUNTA(A523:G523)=0,"",IF(G523&lt;&gt;"",G523,IF(B523="","",IFERROR(IF(INDEX(pr_rate,MATCH(B523,pr_code,0))="","",INDEX(pr_rate,MATCH(B523,pr_code,0))),""))))</f>
        <v/>
      </c>
      <c r="L523" s="65" t="str">
        <f>IF(COUNTA(A523:G523)=0,"",IF(AND(ISNUMBER(D523),ISNUMBER(J523)),ROUND(D523*J523*(1-N(F523)),2),0))</f>
        <v/>
      </c>
      <c r="M523" s="62" t="str">
        <f>IF(A523="","",IFERROR(INDEX(dv_cname,MATCH(A523,dv_num,0))&amp;"",""))</f>
        <v/>
      </c>
      <c r="N523" s="59" t="str">
        <f>IF(COUNTA(A523:G523)=0,"",IF(A523="","N° devis manquant",IF(ISNA(MATCH(A523,dv_num,0)),"Devis inconnu",IF(AND(B523&lt;&gt;"",ISNA(MATCH(B523,pr_code,0))),"Article inconnu",IF(H523="","Désignation manquante",IF(OR(NOT(ISNUMBER(D523)),N(D523)&lt;=0),"Quantité invalide",IF(J523="","Prix manquant",IF(OR(NOT(ISNUMBER(J523)),N(J523)&lt;0),"Prix invalide",IF(OR(AND(F523&lt;&gt;"",NOT(ISNUMBER(F523))),N(F523)&lt;0,N(F523)&gt;1),"Remise invalide",IF(K523="","Taux de TVA manquant",IF(NOT(ISNUMBER(K523)),"Taux de TVA invalide",IF(COUNTIF(p_rates,K523)=0,"Taux de TVA hors liste (Paramètres)",IF(N(O523)&gt;25,"Au-delà de 25 lignes : non imprimée","OK")))))))))))))</f>
        <v/>
      </c>
      <c r="O523" s="59" t="str">
        <f>IF(A523="","",COUNTIF($A$6:A523,A523))</f>
        <v/>
      </c>
      <c r="P523" s="62" t="str">
        <f>IF(A523="","",A523&amp;"|"&amp;O523)</f>
        <v/>
      </c>
    </row>
    <row r="524">
      <c r="A524" s="60" t="n"/>
      <c r="B524" s="63" t="n"/>
      <c r="C524" s="63" t="n"/>
      <c r="D524" s="67" t="n"/>
      <c r="E524" s="68" t="n"/>
      <c r="F524" s="69" t="n"/>
      <c r="G524" s="70" t="n"/>
      <c r="H524" s="62" t="str">
        <f>IF(COUNTA(A524:G524)=0,"",IF(C524&lt;&gt;"",C524,IF(B524="","",IFERROR(INDEX(pr_des,MATCH(B524,pr_code,0))&amp;"",""))))</f>
        <v/>
      </c>
      <c r="I524" s="59" t="str">
        <f>IF(B524="","",IFERROR(INDEX(pr_unit,MATCH(B524,pr_code,0))&amp;"",""))</f>
        <v/>
      </c>
      <c r="J524" s="65" t="str">
        <f>IF(COUNTA(A524:G524)=0,"",IF(E524&lt;&gt;"",E524,IF(B524="","",IFERROR(IF(INDEX(pr_price,MATCH(B524,pr_code,0))="","",INDEX(pr_price,MATCH(B524,pr_code,0))),""))))</f>
        <v/>
      </c>
      <c r="K524" s="71" t="str">
        <f>IF(COUNTA(A524:G524)=0,"",IF(G524&lt;&gt;"",G524,IF(B524="","",IFERROR(IF(INDEX(pr_rate,MATCH(B524,pr_code,0))="","",INDEX(pr_rate,MATCH(B524,pr_code,0))),""))))</f>
        <v/>
      </c>
      <c r="L524" s="65" t="str">
        <f>IF(COUNTA(A524:G524)=0,"",IF(AND(ISNUMBER(D524),ISNUMBER(J524)),ROUND(D524*J524*(1-N(F524)),2),0))</f>
        <v/>
      </c>
      <c r="M524" s="62" t="str">
        <f>IF(A524="","",IFERROR(INDEX(dv_cname,MATCH(A524,dv_num,0))&amp;"",""))</f>
        <v/>
      </c>
      <c r="N524" s="59" t="str">
        <f>IF(COUNTA(A524:G524)=0,"",IF(A524="","N° devis manquant",IF(ISNA(MATCH(A524,dv_num,0)),"Devis inconnu",IF(AND(B524&lt;&gt;"",ISNA(MATCH(B524,pr_code,0))),"Article inconnu",IF(H524="","Désignation manquante",IF(OR(NOT(ISNUMBER(D524)),N(D524)&lt;=0),"Quantité invalide",IF(J524="","Prix manquant",IF(OR(NOT(ISNUMBER(J524)),N(J524)&lt;0),"Prix invalide",IF(OR(AND(F524&lt;&gt;"",NOT(ISNUMBER(F524))),N(F524)&lt;0,N(F524)&gt;1),"Remise invalide",IF(K524="","Taux de TVA manquant",IF(NOT(ISNUMBER(K524)),"Taux de TVA invalide",IF(COUNTIF(p_rates,K524)=0,"Taux de TVA hors liste (Paramètres)",IF(N(O524)&gt;25,"Au-delà de 25 lignes : non imprimée","OK")))))))))))))</f>
        <v/>
      </c>
      <c r="O524" s="59" t="str">
        <f>IF(A524="","",COUNTIF($A$6:A524,A524))</f>
        <v/>
      </c>
      <c r="P524" s="62" t="str">
        <f>IF(A524="","",A524&amp;"|"&amp;O524)</f>
        <v/>
      </c>
    </row>
    <row r="525">
      <c r="A525" s="60" t="n"/>
      <c r="B525" s="63" t="n"/>
      <c r="C525" s="63" t="n"/>
      <c r="D525" s="67" t="n"/>
      <c r="E525" s="68" t="n"/>
      <c r="F525" s="69" t="n"/>
      <c r="G525" s="70" t="n"/>
      <c r="H525" s="62" t="str">
        <f>IF(COUNTA(A525:G525)=0,"",IF(C525&lt;&gt;"",C525,IF(B525="","",IFERROR(INDEX(pr_des,MATCH(B525,pr_code,0))&amp;"",""))))</f>
        <v/>
      </c>
      <c r="I525" s="59" t="str">
        <f>IF(B525="","",IFERROR(INDEX(pr_unit,MATCH(B525,pr_code,0))&amp;"",""))</f>
        <v/>
      </c>
      <c r="J525" s="65" t="str">
        <f>IF(COUNTA(A525:G525)=0,"",IF(E525&lt;&gt;"",E525,IF(B525="","",IFERROR(IF(INDEX(pr_price,MATCH(B525,pr_code,0))="","",INDEX(pr_price,MATCH(B525,pr_code,0))),""))))</f>
        <v/>
      </c>
      <c r="K525" s="71" t="str">
        <f>IF(COUNTA(A525:G525)=0,"",IF(G525&lt;&gt;"",G525,IF(B525="","",IFERROR(IF(INDEX(pr_rate,MATCH(B525,pr_code,0))="","",INDEX(pr_rate,MATCH(B525,pr_code,0))),""))))</f>
        <v/>
      </c>
      <c r="L525" s="65" t="str">
        <f>IF(COUNTA(A525:G525)=0,"",IF(AND(ISNUMBER(D525),ISNUMBER(J525)),ROUND(D525*J525*(1-N(F525)),2),0))</f>
        <v/>
      </c>
      <c r="M525" s="62" t="str">
        <f>IF(A525="","",IFERROR(INDEX(dv_cname,MATCH(A525,dv_num,0))&amp;"",""))</f>
        <v/>
      </c>
      <c r="N525" s="59" t="str">
        <f>IF(COUNTA(A525:G525)=0,"",IF(A525="","N° devis manquant",IF(ISNA(MATCH(A525,dv_num,0)),"Devis inconnu",IF(AND(B525&lt;&gt;"",ISNA(MATCH(B525,pr_code,0))),"Article inconnu",IF(H525="","Désignation manquante",IF(OR(NOT(ISNUMBER(D525)),N(D525)&lt;=0),"Quantité invalide",IF(J525="","Prix manquant",IF(OR(NOT(ISNUMBER(J525)),N(J525)&lt;0),"Prix invalide",IF(OR(AND(F525&lt;&gt;"",NOT(ISNUMBER(F525))),N(F525)&lt;0,N(F525)&gt;1),"Remise invalide",IF(K525="","Taux de TVA manquant",IF(NOT(ISNUMBER(K525)),"Taux de TVA invalide",IF(COUNTIF(p_rates,K525)=0,"Taux de TVA hors liste (Paramètres)",IF(N(O525)&gt;25,"Au-delà de 25 lignes : non imprimée","OK")))))))))))))</f>
        <v/>
      </c>
      <c r="O525" s="59" t="str">
        <f>IF(A525="","",COUNTIF($A$6:A525,A525))</f>
        <v/>
      </c>
      <c r="P525" s="62" t="str">
        <f>IF(A525="","",A525&amp;"|"&amp;O525)</f>
        <v/>
      </c>
    </row>
    <row r="526">
      <c r="A526" s="60" t="n"/>
      <c r="B526" s="63" t="n"/>
      <c r="C526" s="63" t="n"/>
      <c r="D526" s="67" t="n"/>
      <c r="E526" s="68" t="n"/>
      <c r="F526" s="69" t="n"/>
      <c r="G526" s="70" t="n"/>
      <c r="H526" s="62" t="str">
        <f>IF(COUNTA(A526:G526)=0,"",IF(C526&lt;&gt;"",C526,IF(B526="","",IFERROR(INDEX(pr_des,MATCH(B526,pr_code,0))&amp;"",""))))</f>
        <v/>
      </c>
      <c r="I526" s="59" t="str">
        <f>IF(B526="","",IFERROR(INDEX(pr_unit,MATCH(B526,pr_code,0))&amp;"",""))</f>
        <v/>
      </c>
      <c r="J526" s="65" t="str">
        <f>IF(COUNTA(A526:G526)=0,"",IF(E526&lt;&gt;"",E526,IF(B526="","",IFERROR(IF(INDEX(pr_price,MATCH(B526,pr_code,0))="","",INDEX(pr_price,MATCH(B526,pr_code,0))),""))))</f>
        <v/>
      </c>
      <c r="K526" s="71" t="str">
        <f>IF(COUNTA(A526:G526)=0,"",IF(G526&lt;&gt;"",G526,IF(B526="","",IFERROR(IF(INDEX(pr_rate,MATCH(B526,pr_code,0))="","",INDEX(pr_rate,MATCH(B526,pr_code,0))),""))))</f>
        <v/>
      </c>
      <c r="L526" s="65" t="str">
        <f>IF(COUNTA(A526:G526)=0,"",IF(AND(ISNUMBER(D526),ISNUMBER(J526)),ROUND(D526*J526*(1-N(F526)),2),0))</f>
        <v/>
      </c>
      <c r="M526" s="62" t="str">
        <f>IF(A526="","",IFERROR(INDEX(dv_cname,MATCH(A526,dv_num,0))&amp;"",""))</f>
        <v/>
      </c>
      <c r="N526" s="59" t="str">
        <f>IF(COUNTA(A526:G526)=0,"",IF(A526="","N° devis manquant",IF(ISNA(MATCH(A526,dv_num,0)),"Devis inconnu",IF(AND(B526&lt;&gt;"",ISNA(MATCH(B526,pr_code,0))),"Article inconnu",IF(H526="","Désignation manquante",IF(OR(NOT(ISNUMBER(D526)),N(D526)&lt;=0),"Quantité invalide",IF(J526="","Prix manquant",IF(OR(NOT(ISNUMBER(J526)),N(J526)&lt;0),"Prix invalide",IF(OR(AND(F526&lt;&gt;"",NOT(ISNUMBER(F526))),N(F526)&lt;0,N(F526)&gt;1),"Remise invalide",IF(K526="","Taux de TVA manquant",IF(NOT(ISNUMBER(K526)),"Taux de TVA invalide",IF(COUNTIF(p_rates,K526)=0,"Taux de TVA hors liste (Paramètres)",IF(N(O526)&gt;25,"Au-delà de 25 lignes : non imprimée","OK")))))))))))))</f>
        <v/>
      </c>
      <c r="O526" s="59" t="str">
        <f>IF(A526="","",COUNTIF($A$6:A526,A526))</f>
        <v/>
      </c>
      <c r="P526" s="62" t="str">
        <f>IF(A526="","",A526&amp;"|"&amp;O526)</f>
        <v/>
      </c>
    </row>
    <row r="527">
      <c r="A527" s="60" t="n"/>
      <c r="B527" s="63" t="n"/>
      <c r="C527" s="63" t="n"/>
      <c r="D527" s="67" t="n"/>
      <c r="E527" s="68" t="n"/>
      <c r="F527" s="69" t="n"/>
      <c r="G527" s="70" t="n"/>
      <c r="H527" s="62" t="str">
        <f>IF(COUNTA(A527:G527)=0,"",IF(C527&lt;&gt;"",C527,IF(B527="","",IFERROR(INDEX(pr_des,MATCH(B527,pr_code,0))&amp;"",""))))</f>
        <v/>
      </c>
      <c r="I527" s="59" t="str">
        <f>IF(B527="","",IFERROR(INDEX(pr_unit,MATCH(B527,pr_code,0))&amp;"",""))</f>
        <v/>
      </c>
      <c r="J527" s="65" t="str">
        <f>IF(COUNTA(A527:G527)=0,"",IF(E527&lt;&gt;"",E527,IF(B527="","",IFERROR(IF(INDEX(pr_price,MATCH(B527,pr_code,0))="","",INDEX(pr_price,MATCH(B527,pr_code,0))),""))))</f>
        <v/>
      </c>
      <c r="K527" s="71" t="str">
        <f>IF(COUNTA(A527:G527)=0,"",IF(G527&lt;&gt;"",G527,IF(B527="","",IFERROR(IF(INDEX(pr_rate,MATCH(B527,pr_code,0))="","",INDEX(pr_rate,MATCH(B527,pr_code,0))),""))))</f>
        <v/>
      </c>
      <c r="L527" s="65" t="str">
        <f>IF(COUNTA(A527:G527)=0,"",IF(AND(ISNUMBER(D527),ISNUMBER(J527)),ROUND(D527*J527*(1-N(F527)),2),0))</f>
        <v/>
      </c>
      <c r="M527" s="62" t="str">
        <f>IF(A527="","",IFERROR(INDEX(dv_cname,MATCH(A527,dv_num,0))&amp;"",""))</f>
        <v/>
      </c>
      <c r="N527" s="59" t="str">
        <f>IF(COUNTA(A527:G527)=0,"",IF(A527="","N° devis manquant",IF(ISNA(MATCH(A527,dv_num,0)),"Devis inconnu",IF(AND(B527&lt;&gt;"",ISNA(MATCH(B527,pr_code,0))),"Article inconnu",IF(H527="","Désignation manquante",IF(OR(NOT(ISNUMBER(D527)),N(D527)&lt;=0),"Quantité invalide",IF(J527="","Prix manquant",IF(OR(NOT(ISNUMBER(J527)),N(J527)&lt;0),"Prix invalide",IF(OR(AND(F527&lt;&gt;"",NOT(ISNUMBER(F527))),N(F527)&lt;0,N(F527)&gt;1),"Remise invalide",IF(K527="","Taux de TVA manquant",IF(NOT(ISNUMBER(K527)),"Taux de TVA invalide",IF(COUNTIF(p_rates,K527)=0,"Taux de TVA hors liste (Paramètres)",IF(N(O527)&gt;25,"Au-delà de 25 lignes : non imprimée","OK")))))))))))))</f>
        <v/>
      </c>
      <c r="O527" s="59" t="str">
        <f>IF(A527="","",COUNTIF($A$6:A527,A527))</f>
        <v/>
      </c>
      <c r="P527" s="62" t="str">
        <f>IF(A527="","",A527&amp;"|"&amp;O527)</f>
        <v/>
      </c>
    </row>
    <row r="528">
      <c r="A528" s="60" t="n"/>
      <c r="B528" s="63" t="n"/>
      <c r="C528" s="63" t="n"/>
      <c r="D528" s="67" t="n"/>
      <c r="E528" s="68" t="n"/>
      <c r="F528" s="69" t="n"/>
      <c r="G528" s="70" t="n"/>
      <c r="H528" s="62" t="str">
        <f>IF(COUNTA(A528:G528)=0,"",IF(C528&lt;&gt;"",C528,IF(B528="","",IFERROR(INDEX(pr_des,MATCH(B528,pr_code,0))&amp;"",""))))</f>
        <v/>
      </c>
      <c r="I528" s="59" t="str">
        <f>IF(B528="","",IFERROR(INDEX(pr_unit,MATCH(B528,pr_code,0))&amp;"",""))</f>
        <v/>
      </c>
      <c r="J528" s="65" t="str">
        <f>IF(COUNTA(A528:G528)=0,"",IF(E528&lt;&gt;"",E528,IF(B528="","",IFERROR(IF(INDEX(pr_price,MATCH(B528,pr_code,0))="","",INDEX(pr_price,MATCH(B528,pr_code,0))),""))))</f>
        <v/>
      </c>
      <c r="K528" s="71" t="str">
        <f>IF(COUNTA(A528:G528)=0,"",IF(G528&lt;&gt;"",G528,IF(B528="","",IFERROR(IF(INDEX(pr_rate,MATCH(B528,pr_code,0))="","",INDEX(pr_rate,MATCH(B528,pr_code,0))),""))))</f>
        <v/>
      </c>
      <c r="L528" s="65" t="str">
        <f>IF(COUNTA(A528:G528)=0,"",IF(AND(ISNUMBER(D528),ISNUMBER(J528)),ROUND(D528*J528*(1-N(F528)),2),0))</f>
        <v/>
      </c>
      <c r="M528" s="62" t="str">
        <f>IF(A528="","",IFERROR(INDEX(dv_cname,MATCH(A528,dv_num,0))&amp;"",""))</f>
        <v/>
      </c>
      <c r="N528" s="59" t="str">
        <f>IF(COUNTA(A528:G528)=0,"",IF(A528="","N° devis manquant",IF(ISNA(MATCH(A528,dv_num,0)),"Devis inconnu",IF(AND(B528&lt;&gt;"",ISNA(MATCH(B528,pr_code,0))),"Article inconnu",IF(H528="","Désignation manquante",IF(OR(NOT(ISNUMBER(D528)),N(D528)&lt;=0),"Quantité invalide",IF(J528="","Prix manquant",IF(OR(NOT(ISNUMBER(J528)),N(J528)&lt;0),"Prix invalide",IF(OR(AND(F528&lt;&gt;"",NOT(ISNUMBER(F528))),N(F528)&lt;0,N(F528)&gt;1),"Remise invalide",IF(K528="","Taux de TVA manquant",IF(NOT(ISNUMBER(K528)),"Taux de TVA invalide",IF(COUNTIF(p_rates,K528)=0,"Taux de TVA hors liste (Paramètres)",IF(N(O528)&gt;25,"Au-delà de 25 lignes : non imprimée","OK")))))))))))))</f>
        <v/>
      </c>
      <c r="O528" s="59" t="str">
        <f>IF(A528="","",COUNTIF($A$6:A528,A528))</f>
        <v/>
      </c>
      <c r="P528" s="62" t="str">
        <f>IF(A528="","",A528&amp;"|"&amp;O528)</f>
        <v/>
      </c>
    </row>
    <row r="529">
      <c r="A529" s="60" t="n"/>
      <c r="B529" s="63" t="n"/>
      <c r="C529" s="63" t="n"/>
      <c r="D529" s="67" t="n"/>
      <c r="E529" s="68" t="n"/>
      <c r="F529" s="69" t="n"/>
      <c r="G529" s="70" t="n"/>
      <c r="H529" s="62" t="str">
        <f>IF(COUNTA(A529:G529)=0,"",IF(C529&lt;&gt;"",C529,IF(B529="","",IFERROR(INDEX(pr_des,MATCH(B529,pr_code,0))&amp;"",""))))</f>
        <v/>
      </c>
      <c r="I529" s="59" t="str">
        <f>IF(B529="","",IFERROR(INDEX(pr_unit,MATCH(B529,pr_code,0))&amp;"",""))</f>
        <v/>
      </c>
      <c r="J529" s="65" t="str">
        <f>IF(COUNTA(A529:G529)=0,"",IF(E529&lt;&gt;"",E529,IF(B529="","",IFERROR(IF(INDEX(pr_price,MATCH(B529,pr_code,0))="","",INDEX(pr_price,MATCH(B529,pr_code,0))),""))))</f>
        <v/>
      </c>
      <c r="K529" s="71" t="str">
        <f>IF(COUNTA(A529:G529)=0,"",IF(G529&lt;&gt;"",G529,IF(B529="","",IFERROR(IF(INDEX(pr_rate,MATCH(B529,pr_code,0))="","",INDEX(pr_rate,MATCH(B529,pr_code,0))),""))))</f>
        <v/>
      </c>
      <c r="L529" s="65" t="str">
        <f>IF(COUNTA(A529:G529)=0,"",IF(AND(ISNUMBER(D529),ISNUMBER(J529)),ROUND(D529*J529*(1-N(F529)),2),0))</f>
        <v/>
      </c>
      <c r="M529" s="62" t="str">
        <f>IF(A529="","",IFERROR(INDEX(dv_cname,MATCH(A529,dv_num,0))&amp;"",""))</f>
        <v/>
      </c>
      <c r="N529" s="59" t="str">
        <f>IF(COUNTA(A529:G529)=0,"",IF(A529="","N° devis manquant",IF(ISNA(MATCH(A529,dv_num,0)),"Devis inconnu",IF(AND(B529&lt;&gt;"",ISNA(MATCH(B529,pr_code,0))),"Article inconnu",IF(H529="","Désignation manquante",IF(OR(NOT(ISNUMBER(D529)),N(D529)&lt;=0),"Quantité invalide",IF(J529="","Prix manquant",IF(OR(NOT(ISNUMBER(J529)),N(J529)&lt;0),"Prix invalide",IF(OR(AND(F529&lt;&gt;"",NOT(ISNUMBER(F529))),N(F529)&lt;0,N(F529)&gt;1),"Remise invalide",IF(K529="","Taux de TVA manquant",IF(NOT(ISNUMBER(K529)),"Taux de TVA invalide",IF(COUNTIF(p_rates,K529)=0,"Taux de TVA hors liste (Paramètres)",IF(N(O529)&gt;25,"Au-delà de 25 lignes : non imprimée","OK")))))))))))))</f>
        <v/>
      </c>
      <c r="O529" s="59" t="str">
        <f>IF(A529="","",COUNTIF($A$6:A529,A529))</f>
        <v/>
      </c>
      <c r="P529" s="62" t="str">
        <f>IF(A529="","",A529&amp;"|"&amp;O529)</f>
        <v/>
      </c>
    </row>
    <row r="530">
      <c r="A530" s="60" t="n"/>
      <c r="B530" s="63" t="n"/>
      <c r="C530" s="63" t="n"/>
      <c r="D530" s="67" t="n"/>
      <c r="E530" s="68" t="n"/>
      <c r="F530" s="69" t="n"/>
      <c r="G530" s="70" t="n"/>
      <c r="H530" s="62" t="str">
        <f>IF(COUNTA(A530:G530)=0,"",IF(C530&lt;&gt;"",C530,IF(B530="","",IFERROR(INDEX(pr_des,MATCH(B530,pr_code,0))&amp;"",""))))</f>
        <v/>
      </c>
      <c r="I530" s="59" t="str">
        <f>IF(B530="","",IFERROR(INDEX(pr_unit,MATCH(B530,pr_code,0))&amp;"",""))</f>
        <v/>
      </c>
      <c r="J530" s="65" t="str">
        <f>IF(COUNTA(A530:G530)=0,"",IF(E530&lt;&gt;"",E530,IF(B530="","",IFERROR(IF(INDEX(pr_price,MATCH(B530,pr_code,0))="","",INDEX(pr_price,MATCH(B530,pr_code,0))),""))))</f>
        <v/>
      </c>
      <c r="K530" s="71" t="str">
        <f>IF(COUNTA(A530:G530)=0,"",IF(G530&lt;&gt;"",G530,IF(B530="","",IFERROR(IF(INDEX(pr_rate,MATCH(B530,pr_code,0))="","",INDEX(pr_rate,MATCH(B530,pr_code,0))),""))))</f>
        <v/>
      </c>
      <c r="L530" s="65" t="str">
        <f>IF(COUNTA(A530:G530)=0,"",IF(AND(ISNUMBER(D530),ISNUMBER(J530)),ROUND(D530*J530*(1-N(F530)),2),0))</f>
        <v/>
      </c>
      <c r="M530" s="62" t="str">
        <f>IF(A530="","",IFERROR(INDEX(dv_cname,MATCH(A530,dv_num,0))&amp;"",""))</f>
        <v/>
      </c>
      <c r="N530" s="59" t="str">
        <f>IF(COUNTA(A530:G530)=0,"",IF(A530="","N° devis manquant",IF(ISNA(MATCH(A530,dv_num,0)),"Devis inconnu",IF(AND(B530&lt;&gt;"",ISNA(MATCH(B530,pr_code,0))),"Article inconnu",IF(H530="","Désignation manquante",IF(OR(NOT(ISNUMBER(D530)),N(D530)&lt;=0),"Quantité invalide",IF(J530="","Prix manquant",IF(OR(NOT(ISNUMBER(J530)),N(J530)&lt;0),"Prix invalide",IF(OR(AND(F530&lt;&gt;"",NOT(ISNUMBER(F530))),N(F530)&lt;0,N(F530)&gt;1),"Remise invalide",IF(K530="","Taux de TVA manquant",IF(NOT(ISNUMBER(K530)),"Taux de TVA invalide",IF(COUNTIF(p_rates,K530)=0,"Taux de TVA hors liste (Paramètres)",IF(N(O530)&gt;25,"Au-delà de 25 lignes : non imprimée","OK")))))))))))))</f>
        <v/>
      </c>
      <c r="O530" s="59" t="str">
        <f>IF(A530="","",COUNTIF($A$6:A530,A530))</f>
        <v/>
      </c>
      <c r="P530" s="62" t="str">
        <f>IF(A530="","",A530&amp;"|"&amp;O530)</f>
        <v/>
      </c>
    </row>
    <row r="531">
      <c r="A531" s="60" t="n"/>
      <c r="B531" s="63" t="n"/>
      <c r="C531" s="63" t="n"/>
      <c r="D531" s="67" t="n"/>
      <c r="E531" s="68" t="n"/>
      <c r="F531" s="69" t="n"/>
      <c r="G531" s="70" t="n"/>
      <c r="H531" s="62" t="str">
        <f>IF(COUNTA(A531:G531)=0,"",IF(C531&lt;&gt;"",C531,IF(B531="","",IFERROR(INDEX(pr_des,MATCH(B531,pr_code,0))&amp;"",""))))</f>
        <v/>
      </c>
      <c r="I531" s="59" t="str">
        <f>IF(B531="","",IFERROR(INDEX(pr_unit,MATCH(B531,pr_code,0))&amp;"",""))</f>
        <v/>
      </c>
      <c r="J531" s="65" t="str">
        <f>IF(COUNTA(A531:G531)=0,"",IF(E531&lt;&gt;"",E531,IF(B531="","",IFERROR(IF(INDEX(pr_price,MATCH(B531,pr_code,0))="","",INDEX(pr_price,MATCH(B531,pr_code,0))),""))))</f>
        <v/>
      </c>
      <c r="K531" s="71" t="str">
        <f>IF(COUNTA(A531:G531)=0,"",IF(G531&lt;&gt;"",G531,IF(B531="","",IFERROR(IF(INDEX(pr_rate,MATCH(B531,pr_code,0))="","",INDEX(pr_rate,MATCH(B531,pr_code,0))),""))))</f>
        <v/>
      </c>
      <c r="L531" s="65" t="str">
        <f>IF(COUNTA(A531:G531)=0,"",IF(AND(ISNUMBER(D531),ISNUMBER(J531)),ROUND(D531*J531*(1-N(F531)),2),0))</f>
        <v/>
      </c>
      <c r="M531" s="62" t="str">
        <f>IF(A531="","",IFERROR(INDEX(dv_cname,MATCH(A531,dv_num,0))&amp;"",""))</f>
        <v/>
      </c>
      <c r="N531" s="59" t="str">
        <f>IF(COUNTA(A531:G531)=0,"",IF(A531="","N° devis manquant",IF(ISNA(MATCH(A531,dv_num,0)),"Devis inconnu",IF(AND(B531&lt;&gt;"",ISNA(MATCH(B531,pr_code,0))),"Article inconnu",IF(H531="","Désignation manquante",IF(OR(NOT(ISNUMBER(D531)),N(D531)&lt;=0),"Quantité invalide",IF(J531="","Prix manquant",IF(OR(NOT(ISNUMBER(J531)),N(J531)&lt;0),"Prix invalide",IF(OR(AND(F531&lt;&gt;"",NOT(ISNUMBER(F531))),N(F531)&lt;0,N(F531)&gt;1),"Remise invalide",IF(K531="","Taux de TVA manquant",IF(NOT(ISNUMBER(K531)),"Taux de TVA invalide",IF(COUNTIF(p_rates,K531)=0,"Taux de TVA hors liste (Paramètres)",IF(N(O531)&gt;25,"Au-delà de 25 lignes : non imprimée","OK")))))))))))))</f>
        <v/>
      </c>
      <c r="O531" s="59" t="str">
        <f>IF(A531="","",COUNTIF($A$6:A531,A531))</f>
        <v/>
      </c>
      <c r="P531" s="62" t="str">
        <f>IF(A531="","",A531&amp;"|"&amp;O531)</f>
        <v/>
      </c>
    </row>
    <row r="532">
      <c r="A532" s="60" t="n"/>
      <c r="B532" s="63" t="n"/>
      <c r="C532" s="63" t="n"/>
      <c r="D532" s="67" t="n"/>
      <c r="E532" s="68" t="n"/>
      <c r="F532" s="69" t="n"/>
      <c r="G532" s="70" t="n"/>
      <c r="H532" s="62" t="str">
        <f>IF(COUNTA(A532:G532)=0,"",IF(C532&lt;&gt;"",C532,IF(B532="","",IFERROR(INDEX(pr_des,MATCH(B532,pr_code,0))&amp;"",""))))</f>
        <v/>
      </c>
      <c r="I532" s="59" t="str">
        <f>IF(B532="","",IFERROR(INDEX(pr_unit,MATCH(B532,pr_code,0))&amp;"",""))</f>
        <v/>
      </c>
      <c r="J532" s="65" t="str">
        <f>IF(COUNTA(A532:G532)=0,"",IF(E532&lt;&gt;"",E532,IF(B532="","",IFERROR(IF(INDEX(pr_price,MATCH(B532,pr_code,0))="","",INDEX(pr_price,MATCH(B532,pr_code,0))),""))))</f>
        <v/>
      </c>
      <c r="K532" s="71" t="str">
        <f>IF(COUNTA(A532:G532)=0,"",IF(G532&lt;&gt;"",G532,IF(B532="","",IFERROR(IF(INDEX(pr_rate,MATCH(B532,pr_code,0))="","",INDEX(pr_rate,MATCH(B532,pr_code,0))),""))))</f>
        <v/>
      </c>
      <c r="L532" s="65" t="str">
        <f>IF(COUNTA(A532:G532)=0,"",IF(AND(ISNUMBER(D532),ISNUMBER(J532)),ROUND(D532*J532*(1-N(F532)),2),0))</f>
        <v/>
      </c>
      <c r="M532" s="62" t="str">
        <f>IF(A532="","",IFERROR(INDEX(dv_cname,MATCH(A532,dv_num,0))&amp;"",""))</f>
        <v/>
      </c>
      <c r="N532" s="59" t="str">
        <f>IF(COUNTA(A532:G532)=0,"",IF(A532="","N° devis manquant",IF(ISNA(MATCH(A532,dv_num,0)),"Devis inconnu",IF(AND(B532&lt;&gt;"",ISNA(MATCH(B532,pr_code,0))),"Article inconnu",IF(H532="","Désignation manquante",IF(OR(NOT(ISNUMBER(D532)),N(D532)&lt;=0),"Quantité invalide",IF(J532="","Prix manquant",IF(OR(NOT(ISNUMBER(J532)),N(J532)&lt;0),"Prix invalide",IF(OR(AND(F532&lt;&gt;"",NOT(ISNUMBER(F532))),N(F532)&lt;0,N(F532)&gt;1),"Remise invalide",IF(K532="","Taux de TVA manquant",IF(NOT(ISNUMBER(K532)),"Taux de TVA invalide",IF(COUNTIF(p_rates,K532)=0,"Taux de TVA hors liste (Paramètres)",IF(N(O532)&gt;25,"Au-delà de 25 lignes : non imprimée","OK")))))))))))))</f>
        <v/>
      </c>
      <c r="O532" s="59" t="str">
        <f>IF(A532="","",COUNTIF($A$6:A532,A532))</f>
        <v/>
      </c>
      <c r="P532" s="62" t="str">
        <f>IF(A532="","",A532&amp;"|"&amp;O532)</f>
        <v/>
      </c>
    </row>
    <row r="533">
      <c r="A533" s="60" t="n"/>
      <c r="B533" s="63" t="n"/>
      <c r="C533" s="63" t="n"/>
      <c r="D533" s="67" t="n"/>
      <c r="E533" s="68" t="n"/>
      <c r="F533" s="69" t="n"/>
      <c r="G533" s="70" t="n"/>
      <c r="H533" s="62" t="str">
        <f>IF(COUNTA(A533:G533)=0,"",IF(C533&lt;&gt;"",C533,IF(B533="","",IFERROR(INDEX(pr_des,MATCH(B533,pr_code,0))&amp;"",""))))</f>
        <v/>
      </c>
      <c r="I533" s="59" t="str">
        <f>IF(B533="","",IFERROR(INDEX(pr_unit,MATCH(B533,pr_code,0))&amp;"",""))</f>
        <v/>
      </c>
      <c r="J533" s="65" t="str">
        <f>IF(COUNTA(A533:G533)=0,"",IF(E533&lt;&gt;"",E533,IF(B533="","",IFERROR(IF(INDEX(pr_price,MATCH(B533,pr_code,0))="","",INDEX(pr_price,MATCH(B533,pr_code,0))),""))))</f>
        <v/>
      </c>
      <c r="K533" s="71" t="str">
        <f>IF(COUNTA(A533:G533)=0,"",IF(G533&lt;&gt;"",G533,IF(B533="","",IFERROR(IF(INDEX(pr_rate,MATCH(B533,pr_code,0))="","",INDEX(pr_rate,MATCH(B533,pr_code,0))),""))))</f>
        <v/>
      </c>
      <c r="L533" s="65" t="str">
        <f>IF(COUNTA(A533:G533)=0,"",IF(AND(ISNUMBER(D533),ISNUMBER(J533)),ROUND(D533*J533*(1-N(F533)),2),0))</f>
        <v/>
      </c>
      <c r="M533" s="62" t="str">
        <f>IF(A533="","",IFERROR(INDEX(dv_cname,MATCH(A533,dv_num,0))&amp;"",""))</f>
        <v/>
      </c>
      <c r="N533" s="59" t="str">
        <f>IF(COUNTA(A533:G533)=0,"",IF(A533="","N° devis manquant",IF(ISNA(MATCH(A533,dv_num,0)),"Devis inconnu",IF(AND(B533&lt;&gt;"",ISNA(MATCH(B533,pr_code,0))),"Article inconnu",IF(H533="","Désignation manquante",IF(OR(NOT(ISNUMBER(D533)),N(D533)&lt;=0),"Quantité invalide",IF(J533="","Prix manquant",IF(OR(NOT(ISNUMBER(J533)),N(J533)&lt;0),"Prix invalide",IF(OR(AND(F533&lt;&gt;"",NOT(ISNUMBER(F533))),N(F533)&lt;0,N(F533)&gt;1),"Remise invalide",IF(K533="","Taux de TVA manquant",IF(NOT(ISNUMBER(K533)),"Taux de TVA invalide",IF(COUNTIF(p_rates,K533)=0,"Taux de TVA hors liste (Paramètres)",IF(N(O533)&gt;25,"Au-delà de 25 lignes : non imprimée","OK")))))))))))))</f>
        <v/>
      </c>
      <c r="O533" s="59" t="str">
        <f>IF(A533="","",COUNTIF($A$6:A533,A533))</f>
        <v/>
      </c>
      <c r="P533" s="62" t="str">
        <f>IF(A533="","",A533&amp;"|"&amp;O533)</f>
        <v/>
      </c>
    </row>
    <row r="534">
      <c r="A534" s="60" t="n"/>
      <c r="B534" s="63" t="n"/>
      <c r="C534" s="63" t="n"/>
      <c r="D534" s="67" t="n"/>
      <c r="E534" s="68" t="n"/>
      <c r="F534" s="69" t="n"/>
      <c r="G534" s="70" t="n"/>
      <c r="H534" s="62" t="str">
        <f>IF(COUNTA(A534:G534)=0,"",IF(C534&lt;&gt;"",C534,IF(B534="","",IFERROR(INDEX(pr_des,MATCH(B534,pr_code,0))&amp;"",""))))</f>
        <v/>
      </c>
      <c r="I534" s="59" t="str">
        <f>IF(B534="","",IFERROR(INDEX(pr_unit,MATCH(B534,pr_code,0))&amp;"",""))</f>
        <v/>
      </c>
      <c r="J534" s="65" t="str">
        <f>IF(COUNTA(A534:G534)=0,"",IF(E534&lt;&gt;"",E534,IF(B534="","",IFERROR(IF(INDEX(pr_price,MATCH(B534,pr_code,0))="","",INDEX(pr_price,MATCH(B534,pr_code,0))),""))))</f>
        <v/>
      </c>
      <c r="K534" s="71" t="str">
        <f>IF(COUNTA(A534:G534)=0,"",IF(G534&lt;&gt;"",G534,IF(B534="","",IFERROR(IF(INDEX(pr_rate,MATCH(B534,pr_code,0))="","",INDEX(pr_rate,MATCH(B534,pr_code,0))),""))))</f>
        <v/>
      </c>
      <c r="L534" s="65" t="str">
        <f>IF(COUNTA(A534:G534)=0,"",IF(AND(ISNUMBER(D534),ISNUMBER(J534)),ROUND(D534*J534*(1-N(F534)),2),0))</f>
        <v/>
      </c>
      <c r="M534" s="62" t="str">
        <f>IF(A534="","",IFERROR(INDEX(dv_cname,MATCH(A534,dv_num,0))&amp;"",""))</f>
        <v/>
      </c>
      <c r="N534" s="59" t="str">
        <f>IF(COUNTA(A534:G534)=0,"",IF(A534="","N° devis manquant",IF(ISNA(MATCH(A534,dv_num,0)),"Devis inconnu",IF(AND(B534&lt;&gt;"",ISNA(MATCH(B534,pr_code,0))),"Article inconnu",IF(H534="","Désignation manquante",IF(OR(NOT(ISNUMBER(D534)),N(D534)&lt;=0),"Quantité invalide",IF(J534="","Prix manquant",IF(OR(NOT(ISNUMBER(J534)),N(J534)&lt;0),"Prix invalide",IF(OR(AND(F534&lt;&gt;"",NOT(ISNUMBER(F534))),N(F534)&lt;0,N(F534)&gt;1),"Remise invalide",IF(K534="","Taux de TVA manquant",IF(NOT(ISNUMBER(K534)),"Taux de TVA invalide",IF(COUNTIF(p_rates,K534)=0,"Taux de TVA hors liste (Paramètres)",IF(N(O534)&gt;25,"Au-delà de 25 lignes : non imprimée","OK")))))))))))))</f>
        <v/>
      </c>
      <c r="O534" s="59" t="str">
        <f>IF(A534="","",COUNTIF($A$6:A534,A534))</f>
        <v/>
      </c>
      <c r="P534" s="62" t="str">
        <f>IF(A534="","",A534&amp;"|"&amp;O534)</f>
        <v/>
      </c>
    </row>
    <row r="535">
      <c r="A535" s="60" t="n"/>
      <c r="B535" s="63" t="n"/>
      <c r="C535" s="63" t="n"/>
      <c r="D535" s="67" t="n"/>
      <c r="E535" s="68" t="n"/>
      <c r="F535" s="69" t="n"/>
      <c r="G535" s="70" t="n"/>
      <c r="H535" s="62" t="str">
        <f>IF(COUNTA(A535:G535)=0,"",IF(C535&lt;&gt;"",C535,IF(B535="","",IFERROR(INDEX(pr_des,MATCH(B535,pr_code,0))&amp;"",""))))</f>
        <v/>
      </c>
      <c r="I535" s="59" t="str">
        <f>IF(B535="","",IFERROR(INDEX(pr_unit,MATCH(B535,pr_code,0))&amp;"",""))</f>
        <v/>
      </c>
      <c r="J535" s="65" t="str">
        <f>IF(COUNTA(A535:G535)=0,"",IF(E535&lt;&gt;"",E535,IF(B535="","",IFERROR(IF(INDEX(pr_price,MATCH(B535,pr_code,0))="","",INDEX(pr_price,MATCH(B535,pr_code,0))),""))))</f>
        <v/>
      </c>
      <c r="K535" s="71" t="str">
        <f>IF(COUNTA(A535:G535)=0,"",IF(G535&lt;&gt;"",G535,IF(B535="","",IFERROR(IF(INDEX(pr_rate,MATCH(B535,pr_code,0))="","",INDEX(pr_rate,MATCH(B535,pr_code,0))),""))))</f>
        <v/>
      </c>
      <c r="L535" s="65" t="str">
        <f>IF(COUNTA(A535:G535)=0,"",IF(AND(ISNUMBER(D535),ISNUMBER(J535)),ROUND(D535*J535*(1-N(F535)),2),0))</f>
        <v/>
      </c>
      <c r="M535" s="62" t="str">
        <f>IF(A535="","",IFERROR(INDEX(dv_cname,MATCH(A535,dv_num,0))&amp;"",""))</f>
        <v/>
      </c>
      <c r="N535" s="59" t="str">
        <f>IF(COUNTA(A535:G535)=0,"",IF(A535="","N° devis manquant",IF(ISNA(MATCH(A535,dv_num,0)),"Devis inconnu",IF(AND(B535&lt;&gt;"",ISNA(MATCH(B535,pr_code,0))),"Article inconnu",IF(H535="","Désignation manquante",IF(OR(NOT(ISNUMBER(D535)),N(D535)&lt;=0),"Quantité invalide",IF(J535="","Prix manquant",IF(OR(NOT(ISNUMBER(J535)),N(J535)&lt;0),"Prix invalide",IF(OR(AND(F535&lt;&gt;"",NOT(ISNUMBER(F535))),N(F535)&lt;0,N(F535)&gt;1),"Remise invalide",IF(K535="","Taux de TVA manquant",IF(NOT(ISNUMBER(K535)),"Taux de TVA invalide",IF(COUNTIF(p_rates,K535)=0,"Taux de TVA hors liste (Paramètres)",IF(N(O535)&gt;25,"Au-delà de 25 lignes : non imprimée","OK")))))))))))))</f>
        <v/>
      </c>
      <c r="O535" s="59" t="str">
        <f>IF(A535="","",COUNTIF($A$6:A535,A535))</f>
        <v/>
      </c>
      <c r="P535" s="62" t="str">
        <f>IF(A535="","",A535&amp;"|"&amp;O535)</f>
        <v/>
      </c>
    </row>
    <row r="536">
      <c r="A536" s="60" t="n"/>
      <c r="B536" s="63" t="n"/>
      <c r="C536" s="63" t="n"/>
      <c r="D536" s="67" t="n"/>
      <c r="E536" s="68" t="n"/>
      <c r="F536" s="69" t="n"/>
      <c r="G536" s="70" t="n"/>
      <c r="H536" s="62" t="str">
        <f>IF(COUNTA(A536:G536)=0,"",IF(C536&lt;&gt;"",C536,IF(B536="","",IFERROR(INDEX(pr_des,MATCH(B536,pr_code,0))&amp;"",""))))</f>
        <v/>
      </c>
      <c r="I536" s="59" t="str">
        <f>IF(B536="","",IFERROR(INDEX(pr_unit,MATCH(B536,pr_code,0))&amp;"",""))</f>
        <v/>
      </c>
      <c r="J536" s="65" t="str">
        <f>IF(COUNTA(A536:G536)=0,"",IF(E536&lt;&gt;"",E536,IF(B536="","",IFERROR(IF(INDEX(pr_price,MATCH(B536,pr_code,0))="","",INDEX(pr_price,MATCH(B536,pr_code,0))),""))))</f>
        <v/>
      </c>
      <c r="K536" s="71" t="str">
        <f>IF(COUNTA(A536:G536)=0,"",IF(G536&lt;&gt;"",G536,IF(B536="","",IFERROR(IF(INDEX(pr_rate,MATCH(B536,pr_code,0))="","",INDEX(pr_rate,MATCH(B536,pr_code,0))),""))))</f>
        <v/>
      </c>
      <c r="L536" s="65" t="str">
        <f>IF(COUNTA(A536:G536)=0,"",IF(AND(ISNUMBER(D536),ISNUMBER(J536)),ROUND(D536*J536*(1-N(F536)),2),0))</f>
        <v/>
      </c>
      <c r="M536" s="62" t="str">
        <f>IF(A536="","",IFERROR(INDEX(dv_cname,MATCH(A536,dv_num,0))&amp;"",""))</f>
        <v/>
      </c>
      <c r="N536" s="59" t="str">
        <f>IF(COUNTA(A536:G536)=0,"",IF(A536="","N° devis manquant",IF(ISNA(MATCH(A536,dv_num,0)),"Devis inconnu",IF(AND(B536&lt;&gt;"",ISNA(MATCH(B536,pr_code,0))),"Article inconnu",IF(H536="","Désignation manquante",IF(OR(NOT(ISNUMBER(D536)),N(D536)&lt;=0),"Quantité invalide",IF(J536="","Prix manquant",IF(OR(NOT(ISNUMBER(J536)),N(J536)&lt;0),"Prix invalide",IF(OR(AND(F536&lt;&gt;"",NOT(ISNUMBER(F536))),N(F536)&lt;0,N(F536)&gt;1),"Remise invalide",IF(K536="","Taux de TVA manquant",IF(NOT(ISNUMBER(K536)),"Taux de TVA invalide",IF(COUNTIF(p_rates,K536)=0,"Taux de TVA hors liste (Paramètres)",IF(N(O536)&gt;25,"Au-delà de 25 lignes : non imprimée","OK")))))))))))))</f>
        <v/>
      </c>
      <c r="O536" s="59" t="str">
        <f>IF(A536="","",COUNTIF($A$6:A536,A536))</f>
        <v/>
      </c>
      <c r="P536" s="62" t="str">
        <f>IF(A536="","",A536&amp;"|"&amp;O536)</f>
        <v/>
      </c>
    </row>
    <row r="537">
      <c r="A537" s="60" t="n"/>
      <c r="B537" s="63" t="n"/>
      <c r="C537" s="63" t="n"/>
      <c r="D537" s="67" t="n"/>
      <c r="E537" s="68" t="n"/>
      <c r="F537" s="69" t="n"/>
      <c r="G537" s="70" t="n"/>
      <c r="H537" s="62" t="str">
        <f>IF(COUNTA(A537:G537)=0,"",IF(C537&lt;&gt;"",C537,IF(B537="","",IFERROR(INDEX(pr_des,MATCH(B537,pr_code,0))&amp;"",""))))</f>
        <v/>
      </c>
      <c r="I537" s="59" t="str">
        <f>IF(B537="","",IFERROR(INDEX(pr_unit,MATCH(B537,pr_code,0))&amp;"",""))</f>
        <v/>
      </c>
      <c r="J537" s="65" t="str">
        <f>IF(COUNTA(A537:G537)=0,"",IF(E537&lt;&gt;"",E537,IF(B537="","",IFERROR(IF(INDEX(pr_price,MATCH(B537,pr_code,0))="","",INDEX(pr_price,MATCH(B537,pr_code,0))),""))))</f>
        <v/>
      </c>
      <c r="K537" s="71" t="str">
        <f>IF(COUNTA(A537:G537)=0,"",IF(G537&lt;&gt;"",G537,IF(B537="","",IFERROR(IF(INDEX(pr_rate,MATCH(B537,pr_code,0))="","",INDEX(pr_rate,MATCH(B537,pr_code,0))),""))))</f>
        <v/>
      </c>
      <c r="L537" s="65" t="str">
        <f>IF(COUNTA(A537:G537)=0,"",IF(AND(ISNUMBER(D537),ISNUMBER(J537)),ROUND(D537*J537*(1-N(F537)),2),0))</f>
        <v/>
      </c>
      <c r="M537" s="62" t="str">
        <f>IF(A537="","",IFERROR(INDEX(dv_cname,MATCH(A537,dv_num,0))&amp;"",""))</f>
        <v/>
      </c>
      <c r="N537" s="59" t="str">
        <f>IF(COUNTA(A537:G537)=0,"",IF(A537="","N° devis manquant",IF(ISNA(MATCH(A537,dv_num,0)),"Devis inconnu",IF(AND(B537&lt;&gt;"",ISNA(MATCH(B537,pr_code,0))),"Article inconnu",IF(H537="","Désignation manquante",IF(OR(NOT(ISNUMBER(D537)),N(D537)&lt;=0),"Quantité invalide",IF(J537="","Prix manquant",IF(OR(NOT(ISNUMBER(J537)),N(J537)&lt;0),"Prix invalide",IF(OR(AND(F537&lt;&gt;"",NOT(ISNUMBER(F537))),N(F537)&lt;0,N(F537)&gt;1),"Remise invalide",IF(K537="","Taux de TVA manquant",IF(NOT(ISNUMBER(K537)),"Taux de TVA invalide",IF(COUNTIF(p_rates,K537)=0,"Taux de TVA hors liste (Paramètres)",IF(N(O537)&gt;25,"Au-delà de 25 lignes : non imprimée","OK")))))))))))))</f>
        <v/>
      </c>
      <c r="O537" s="59" t="str">
        <f>IF(A537="","",COUNTIF($A$6:A537,A537))</f>
        <v/>
      </c>
      <c r="P537" s="62" t="str">
        <f>IF(A537="","",A537&amp;"|"&amp;O537)</f>
        <v/>
      </c>
    </row>
    <row r="538">
      <c r="A538" s="60" t="n"/>
      <c r="B538" s="63" t="n"/>
      <c r="C538" s="63" t="n"/>
      <c r="D538" s="67" t="n"/>
      <c r="E538" s="68" t="n"/>
      <c r="F538" s="69" t="n"/>
      <c r="G538" s="70" t="n"/>
      <c r="H538" s="62" t="str">
        <f>IF(COUNTA(A538:G538)=0,"",IF(C538&lt;&gt;"",C538,IF(B538="","",IFERROR(INDEX(pr_des,MATCH(B538,pr_code,0))&amp;"",""))))</f>
        <v/>
      </c>
      <c r="I538" s="59" t="str">
        <f>IF(B538="","",IFERROR(INDEX(pr_unit,MATCH(B538,pr_code,0))&amp;"",""))</f>
        <v/>
      </c>
      <c r="J538" s="65" t="str">
        <f>IF(COUNTA(A538:G538)=0,"",IF(E538&lt;&gt;"",E538,IF(B538="","",IFERROR(IF(INDEX(pr_price,MATCH(B538,pr_code,0))="","",INDEX(pr_price,MATCH(B538,pr_code,0))),""))))</f>
        <v/>
      </c>
      <c r="K538" s="71" t="str">
        <f>IF(COUNTA(A538:G538)=0,"",IF(G538&lt;&gt;"",G538,IF(B538="","",IFERROR(IF(INDEX(pr_rate,MATCH(B538,pr_code,0))="","",INDEX(pr_rate,MATCH(B538,pr_code,0))),""))))</f>
        <v/>
      </c>
      <c r="L538" s="65" t="str">
        <f>IF(COUNTA(A538:G538)=0,"",IF(AND(ISNUMBER(D538),ISNUMBER(J538)),ROUND(D538*J538*(1-N(F538)),2),0))</f>
        <v/>
      </c>
      <c r="M538" s="62" t="str">
        <f>IF(A538="","",IFERROR(INDEX(dv_cname,MATCH(A538,dv_num,0))&amp;"",""))</f>
        <v/>
      </c>
      <c r="N538" s="59" t="str">
        <f>IF(COUNTA(A538:G538)=0,"",IF(A538="","N° devis manquant",IF(ISNA(MATCH(A538,dv_num,0)),"Devis inconnu",IF(AND(B538&lt;&gt;"",ISNA(MATCH(B538,pr_code,0))),"Article inconnu",IF(H538="","Désignation manquante",IF(OR(NOT(ISNUMBER(D538)),N(D538)&lt;=0),"Quantité invalide",IF(J538="","Prix manquant",IF(OR(NOT(ISNUMBER(J538)),N(J538)&lt;0),"Prix invalide",IF(OR(AND(F538&lt;&gt;"",NOT(ISNUMBER(F538))),N(F538)&lt;0,N(F538)&gt;1),"Remise invalide",IF(K538="","Taux de TVA manquant",IF(NOT(ISNUMBER(K538)),"Taux de TVA invalide",IF(COUNTIF(p_rates,K538)=0,"Taux de TVA hors liste (Paramètres)",IF(N(O538)&gt;25,"Au-delà de 25 lignes : non imprimée","OK")))))))))))))</f>
        <v/>
      </c>
      <c r="O538" s="59" t="str">
        <f>IF(A538="","",COUNTIF($A$6:A538,A538))</f>
        <v/>
      </c>
      <c r="P538" s="62" t="str">
        <f>IF(A538="","",A538&amp;"|"&amp;O538)</f>
        <v/>
      </c>
    </row>
    <row r="539">
      <c r="A539" s="60" t="n"/>
      <c r="B539" s="63" t="n"/>
      <c r="C539" s="63" t="n"/>
      <c r="D539" s="67" t="n"/>
      <c r="E539" s="68" t="n"/>
      <c r="F539" s="69" t="n"/>
      <c r="G539" s="70" t="n"/>
      <c r="H539" s="62" t="str">
        <f>IF(COUNTA(A539:G539)=0,"",IF(C539&lt;&gt;"",C539,IF(B539="","",IFERROR(INDEX(pr_des,MATCH(B539,pr_code,0))&amp;"",""))))</f>
        <v/>
      </c>
      <c r="I539" s="59" t="str">
        <f>IF(B539="","",IFERROR(INDEX(pr_unit,MATCH(B539,pr_code,0))&amp;"",""))</f>
        <v/>
      </c>
      <c r="J539" s="65" t="str">
        <f>IF(COUNTA(A539:G539)=0,"",IF(E539&lt;&gt;"",E539,IF(B539="","",IFERROR(IF(INDEX(pr_price,MATCH(B539,pr_code,0))="","",INDEX(pr_price,MATCH(B539,pr_code,0))),""))))</f>
        <v/>
      </c>
      <c r="K539" s="71" t="str">
        <f>IF(COUNTA(A539:G539)=0,"",IF(G539&lt;&gt;"",G539,IF(B539="","",IFERROR(IF(INDEX(pr_rate,MATCH(B539,pr_code,0))="","",INDEX(pr_rate,MATCH(B539,pr_code,0))),""))))</f>
        <v/>
      </c>
      <c r="L539" s="65" t="str">
        <f>IF(COUNTA(A539:G539)=0,"",IF(AND(ISNUMBER(D539),ISNUMBER(J539)),ROUND(D539*J539*(1-N(F539)),2),0))</f>
        <v/>
      </c>
      <c r="M539" s="62" t="str">
        <f>IF(A539="","",IFERROR(INDEX(dv_cname,MATCH(A539,dv_num,0))&amp;"",""))</f>
        <v/>
      </c>
      <c r="N539" s="59" t="str">
        <f>IF(COUNTA(A539:G539)=0,"",IF(A539="","N° devis manquant",IF(ISNA(MATCH(A539,dv_num,0)),"Devis inconnu",IF(AND(B539&lt;&gt;"",ISNA(MATCH(B539,pr_code,0))),"Article inconnu",IF(H539="","Désignation manquante",IF(OR(NOT(ISNUMBER(D539)),N(D539)&lt;=0),"Quantité invalide",IF(J539="","Prix manquant",IF(OR(NOT(ISNUMBER(J539)),N(J539)&lt;0),"Prix invalide",IF(OR(AND(F539&lt;&gt;"",NOT(ISNUMBER(F539))),N(F539)&lt;0,N(F539)&gt;1),"Remise invalide",IF(K539="","Taux de TVA manquant",IF(NOT(ISNUMBER(K539)),"Taux de TVA invalide",IF(COUNTIF(p_rates,K539)=0,"Taux de TVA hors liste (Paramètres)",IF(N(O539)&gt;25,"Au-delà de 25 lignes : non imprimée","OK")))))))))))))</f>
        <v/>
      </c>
      <c r="O539" s="59" t="str">
        <f>IF(A539="","",COUNTIF($A$6:A539,A539))</f>
        <v/>
      </c>
      <c r="P539" s="62" t="str">
        <f>IF(A539="","",A539&amp;"|"&amp;O539)</f>
        <v/>
      </c>
    </row>
    <row r="540">
      <c r="A540" s="60" t="n"/>
      <c r="B540" s="63" t="n"/>
      <c r="C540" s="63" t="n"/>
      <c r="D540" s="67" t="n"/>
      <c r="E540" s="68" t="n"/>
      <c r="F540" s="69" t="n"/>
      <c r="G540" s="70" t="n"/>
      <c r="H540" s="62" t="str">
        <f>IF(COUNTA(A540:G540)=0,"",IF(C540&lt;&gt;"",C540,IF(B540="","",IFERROR(INDEX(pr_des,MATCH(B540,pr_code,0))&amp;"",""))))</f>
        <v/>
      </c>
      <c r="I540" s="59" t="str">
        <f>IF(B540="","",IFERROR(INDEX(pr_unit,MATCH(B540,pr_code,0))&amp;"",""))</f>
        <v/>
      </c>
      <c r="J540" s="65" t="str">
        <f>IF(COUNTA(A540:G540)=0,"",IF(E540&lt;&gt;"",E540,IF(B540="","",IFERROR(IF(INDEX(pr_price,MATCH(B540,pr_code,0))="","",INDEX(pr_price,MATCH(B540,pr_code,0))),""))))</f>
        <v/>
      </c>
      <c r="K540" s="71" t="str">
        <f>IF(COUNTA(A540:G540)=0,"",IF(G540&lt;&gt;"",G540,IF(B540="","",IFERROR(IF(INDEX(pr_rate,MATCH(B540,pr_code,0))="","",INDEX(pr_rate,MATCH(B540,pr_code,0))),""))))</f>
        <v/>
      </c>
      <c r="L540" s="65" t="str">
        <f>IF(COUNTA(A540:G540)=0,"",IF(AND(ISNUMBER(D540),ISNUMBER(J540)),ROUND(D540*J540*(1-N(F540)),2),0))</f>
        <v/>
      </c>
      <c r="M540" s="62" t="str">
        <f>IF(A540="","",IFERROR(INDEX(dv_cname,MATCH(A540,dv_num,0))&amp;"",""))</f>
        <v/>
      </c>
      <c r="N540" s="59" t="str">
        <f>IF(COUNTA(A540:G540)=0,"",IF(A540="","N° devis manquant",IF(ISNA(MATCH(A540,dv_num,0)),"Devis inconnu",IF(AND(B540&lt;&gt;"",ISNA(MATCH(B540,pr_code,0))),"Article inconnu",IF(H540="","Désignation manquante",IF(OR(NOT(ISNUMBER(D540)),N(D540)&lt;=0),"Quantité invalide",IF(J540="","Prix manquant",IF(OR(NOT(ISNUMBER(J540)),N(J540)&lt;0),"Prix invalide",IF(OR(AND(F540&lt;&gt;"",NOT(ISNUMBER(F540))),N(F540)&lt;0,N(F540)&gt;1),"Remise invalide",IF(K540="","Taux de TVA manquant",IF(NOT(ISNUMBER(K540)),"Taux de TVA invalide",IF(COUNTIF(p_rates,K540)=0,"Taux de TVA hors liste (Paramètres)",IF(N(O540)&gt;25,"Au-delà de 25 lignes : non imprimée","OK")))))))))))))</f>
        <v/>
      </c>
      <c r="O540" s="59" t="str">
        <f>IF(A540="","",COUNTIF($A$6:A540,A540))</f>
        <v/>
      </c>
      <c r="P540" s="62" t="str">
        <f>IF(A540="","",A540&amp;"|"&amp;O540)</f>
        <v/>
      </c>
    </row>
    <row r="541">
      <c r="A541" s="60" t="n"/>
      <c r="B541" s="63" t="n"/>
      <c r="C541" s="63" t="n"/>
      <c r="D541" s="67" t="n"/>
      <c r="E541" s="68" t="n"/>
      <c r="F541" s="69" t="n"/>
      <c r="G541" s="70" t="n"/>
      <c r="H541" s="62" t="str">
        <f>IF(COUNTA(A541:G541)=0,"",IF(C541&lt;&gt;"",C541,IF(B541="","",IFERROR(INDEX(pr_des,MATCH(B541,pr_code,0))&amp;"",""))))</f>
        <v/>
      </c>
      <c r="I541" s="59" t="str">
        <f>IF(B541="","",IFERROR(INDEX(pr_unit,MATCH(B541,pr_code,0))&amp;"",""))</f>
        <v/>
      </c>
      <c r="J541" s="65" t="str">
        <f>IF(COUNTA(A541:G541)=0,"",IF(E541&lt;&gt;"",E541,IF(B541="","",IFERROR(IF(INDEX(pr_price,MATCH(B541,pr_code,0))="","",INDEX(pr_price,MATCH(B541,pr_code,0))),""))))</f>
        <v/>
      </c>
      <c r="K541" s="71" t="str">
        <f>IF(COUNTA(A541:G541)=0,"",IF(G541&lt;&gt;"",G541,IF(B541="","",IFERROR(IF(INDEX(pr_rate,MATCH(B541,pr_code,0))="","",INDEX(pr_rate,MATCH(B541,pr_code,0))),""))))</f>
        <v/>
      </c>
      <c r="L541" s="65" t="str">
        <f>IF(COUNTA(A541:G541)=0,"",IF(AND(ISNUMBER(D541),ISNUMBER(J541)),ROUND(D541*J541*(1-N(F541)),2),0))</f>
        <v/>
      </c>
      <c r="M541" s="62" t="str">
        <f>IF(A541="","",IFERROR(INDEX(dv_cname,MATCH(A541,dv_num,0))&amp;"",""))</f>
        <v/>
      </c>
      <c r="N541" s="59" t="str">
        <f>IF(COUNTA(A541:G541)=0,"",IF(A541="","N° devis manquant",IF(ISNA(MATCH(A541,dv_num,0)),"Devis inconnu",IF(AND(B541&lt;&gt;"",ISNA(MATCH(B541,pr_code,0))),"Article inconnu",IF(H541="","Désignation manquante",IF(OR(NOT(ISNUMBER(D541)),N(D541)&lt;=0),"Quantité invalide",IF(J541="","Prix manquant",IF(OR(NOT(ISNUMBER(J541)),N(J541)&lt;0),"Prix invalide",IF(OR(AND(F541&lt;&gt;"",NOT(ISNUMBER(F541))),N(F541)&lt;0,N(F541)&gt;1),"Remise invalide",IF(K541="","Taux de TVA manquant",IF(NOT(ISNUMBER(K541)),"Taux de TVA invalide",IF(COUNTIF(p_rates,K541)=0,"Taux de TVA hors liste (Paramètres)",IF(N(O541)&gt;25,"Au-delà de 25 lignes : non imprimée","OK")))))))))))))</f>
        <v/>
      </c>
      <c r="O541" s="59" t="str">
        <f>IF(A541="","",COUNTIF($A$6:A541,A541))</f>
        <v/>
      </c>
      <c r="P541" s="62" t="str">
        <f>IF(A541="","",A541&amp;"|"&amp;O541)</f>
        <v/>
      </c>
    </row>
    <row r="542">
      <c r="A542" s="60" t="n"/>
      <c r="B542" s="63" t="n"/>
      <c r="C542" s="63" t="n"/>
      <c r="D542" s="67" t="n"/>
      <c r="E542" s="68" t="n"/>
      <c r="F542" s="69" t="n"/>
      <c r="G542" s="70" t="n"/>
      <c r="H542" s="62" t="str">
        <f>IF(COUNTA(A542:G542)=0,"",IF(C542&lt;&gt;"",C542,IF(B542="","",IFERROR(INDEX(pr_des,MATCH(B542,pr_code,0))&amp;"",""))))</f>
        <v/>
      </c>
      <c r="I542" s="59" t="str">
        <f>IF(B542="","",IFERROR(INDEX(pr_unit,MATCH(B542,pr_code,0))&amp;"",""))</f>
        <v/>
      </c>
      <c r="J542" s="65" t="str">
        <f>IF(COUNTA(A542:G542)=0,"",IF(E542&lt;&gt;"",E542,IF(B542="","",IFERROR(IF(INDEX(pr_price,MATCH(B542,pr_code,0))="","",INDEX(pr_price,MATCH(B542,pr_code,0))),""))))</f>
        <v/>
      </c>
      <c r="K542" s="71" t="str">
        <f>IF(COUNTA(A542:G542)=0,"",IF(G542&lt;&gt;"",G542,IF(B542="","",IFERROR(IF(INDEX(pr_rate,MATCH(B542,pr_code,0))="","",INDEX(pr_rate,MATCH(B542,pr_code,0))),""))))</f>
        <v/>
      </c>
      <c r="L542" s="65" t="str">
        <f>IF(COUNTA(A542:G542)=0,"",IF(AND(ISNUMBER(D542),ISNUMBER(J542)),ROUND(D542*J542*(1-N(F542)),2),0))</f>
        <v/>
      </c>
      <c r="M542" s="62" t="str">
        <f>IF(A542="","",IFERROR(INDEX(dv_cname,MATCH(A542,dv_num,0))&amp;"",""))</f>
        <v/>
      </c>
      <c r="N542" s="59" t="str">
        <f>IF(COUNTA(A542:G542)=0,"",IF(A542="","N° devis manquant",IF(ISNA(MATCH(A542,dv_num,0)),"Devis inconnu",IF(AND(B542&lt;&gt;"",ISNA(MATCH(B542,pr_code,0))),"Article inconnu",IF(H542="","Désignation manquante",IF(OR(NOT(ISNUMBER(D542)),N(D542)&lt;=0),"Quantité invalide",IF(J542="","Prix manquant",IF(OR(NOT(ISNUMBER(J542)),N(J542)&lt;0),"Prix invalide",IF(OR(AND(F542&lt;&gt;"",NOT(ISNUMBER(F542))),N(F542)&lt;0,N(F542)&gt;1),"Remise invalide",IF(K542="","Taux de TVA manquant",IF(NOT(ISNUMBER(K542)),"Taux de TVA invalide",IF(COUNTIF(p_rates,K542)=0,"Taux de TVA hors liste (Paramètres)",IF(N(O542)&gt;25,"Au-delà de 25 lignes : non imprimée","OK")))))))))))))</f>
        <v/>
      </c>
      <c r="O542" s="59" t="str">
        <f>IF(A542="","",COUNTIF($A$6:A542,A542))</f>
        <v/>
      </c>
      <c r="P542" s="62" t="str">
        <f>IF(A542="","",A542&amp;"|"&amp;O542)</f>
        <v/>
      </c>
    </row>
    <row r="543">
      <c r="A543" s="60" t="n"/>
      <c r="B543" s="63" t="n"/>
      <c r="C543" s="63" t="n"/>
      <c r="D543" s="67" t="n"/>
      <c r="E543" s="68" t="n"/>
      <c r="F543" s="69" t="n"/>
      <c r="G543" s="70" t="n"/>
      <c r="H543" s="62" t="str">
        <f>IF(COUNTA(A543:G543)=0,"",IF(C543&lt;&gt;"",C543,IF(B543="","",IFERROR(INDEX(pr_des,MATCH(B543,pr_code,0))&amp;"",""))))</f>
        <v/>
      </c>
      <c r="I543" s="59" t="str">
        <f>IF(B543="","",IFERROR(INDEX(pr_unit,MATCH(B543,pr_code,0))&amp;"",""))</f>
        <v/>
      </c>
      <c r="J543" s="65" t="str">
        <f>IF(COUNTA(A543:G543)=0,"",IF(E543&lt;&gt;"",E543,IF(B543="","",IFERROR(IF(INDEX(pr_price,MATCH(B543,pr_code,0))="","",INDEX(pr_price,MATCH(B543,pr_code,0))),""))))</f>
        <v/>
      </c>
      <c r="K543" s="71" t="str">
        <f>IF(COUNTA(A543:G543)=0,"",IF(G543&lt;&gt;"",G543,IF(B543="","",IFERROR(IF(INDEX(pr_rate,MATCH(B543,pr_code,0))="","",INDEX(pr_rate,MATCH(B543,pr_code,0))),""))))</f>
        <v/>
      </c>
      <c r="L543" s="65" t="str">
        <f>IF(COUNTA(A543:G543)=0,"",IF(AND(ISNUMBER(D543),ISNUMBER(J543)),ROUND(D543*J543*(1-N(F543)),2),0))</f>
        <v/>
      </c>
      <c r="M543" s="62" t="str">
        <f>IF(A543="","",IFERROR(INDEX(dv_cname,MATCH(A543,dv_num,0))&amp;"",""))</f>
        <v/>
      </c>
      <c r="N543" s="59" t="str">
        <f>IF(COUNTA(A543:G543)=0,"",IF(A543="","N° devis manquant",IF(ISNA(MATCH(A543,dv_num,0)),"Devis inconnu",IF(AND(B543&lt;&gt;"",ISNA(MATCH(B543,pr_code,0))),"Article inconnu",IF(H543="","Désignation manquante",IF(OR(NOT(ISNUMBER(D543)),N(D543)&lt;=0),"Quantité invalide",IF(J543="","Prix manquant",IF(OR(NOT(ISNUMBER(J543)),N(J543)&lt;0),"Prix invalide",IF(OR(AND(F543&lt;&gt;"",NOT(ISNUMBER(F543))),N(F543)&lt;0,N(F543)&gt;1),"Remise invalide",IF(K543="","Taux de TVA manquant",IF(NOT(ISNUMBER(K543)),"Taux de TVA invalide",IF(COUNTIF(p_rates,K543)=0,"Taux de TVA hors liste (Paramètres)",IF(N(O543)&gt;25,"Au-delà de 25 lignes : non imprimée","OK")))))))))))))</f>
        <v/>
      </c>
      <c r="O543" s="59" t="str">
        <f>IF(A543="","",COUNTIF($A$6:A543,A543))</f>
        <v/>
      </c>
      <c r="P543" s="62" t="str">
        <f>IF(A543="","",A543&amp;"|"&amp;O543)</f>
        <v/>
      </c>
    </row>
    <row r="544">
      <c r="A544" s="60" t="n"/>
      <c r="B544" s="63" t="n"/>
      <c r="C544" s="63" t="n"/>
      <c r="D544" s="67" t="n"/>
      <c r="E544" s="68" t="n"/>
      <c r="F544" s="69" t="n"/>
      <c r="G544" s="70" t="n"/>
      <c r="H544" s="62" t="str">
        <f>IF(COUNTA(A544:G544)=0,"",IF(C544&lt;&gt;"",C544,IF(B544="","",IFERROR(INDEX(pr_des,MATCH(B544,pr_code,0))&amp;"",""))))</f>
        <v/>
      </c>
      <c r="I544" s="59" t="str">
        <f>IF(B544="","",IFERROR(INDEX(pr_unit,MATCH(B544,pr_code,0))&amp;"",""))</f>
        <v/>
      </c>
      <c r="J544" s="65" t="str">
        <f>IF(COUNTA(A544:G544)=0,"",IF(E544&lt;&gt;"",E544,IF(B544="","",IFERROR(IF(INDEX(pr_price,MATCH(B544,pr_code,0))="","",INDEX(pr_price,MATCH(B544,pr_code,0))),""))))</f>
        <v/>
      </c>
      <c r="K544" s="71" t="str">
        <f>IF(COUNTA(A544:G544)=0,"",IF(G544&lt;&gt;"",G544,IF(B544="","",IFERROR(IF(INDEX(pr_rate,MATCH(B544,pr_code,0))="","",INDEX(pr_rate,MATCH(B544,pr_code,0))),""))))</f>
        <v/>
      </c>
      <c r="L544" s="65" t="str">
        <f>IF(COUNTA(A544:G544)=0,"",IF(AND(ISNUMBER(D544),ISNUMBER(J544)),ROUND(D544*J544*(1-N(F544)),2),0))</f>
        <v/>
      </c>
      <c r="M544" s="62" t="str">
        <f>IF(A544="","",IFERROR(INDEX(dv_cname,MATCH(A544,dv_num,0))&amp;"",""))</f>
        <v/>
      </c>
      <c r="N544" s="59" t="str">
        <f>IF(COUNTA(A544:G544)=0,"",IF(A544="","N° devis manquant",IF(ISNA(MATCH(A544,dv_num,0)),"Devis inconnu",IF(AND(B544&lt;&gt;"",ISNA(MATCH(B544,pr_code,0))),"Article inconnu",IF(H544="","Désignation manquante",IF(OR(NOT(ISNUMBER(D544)),N(D544)&lt;=0),"Quantité invalide",IF(J544="","Prix manquant",IF(OR(NOT(ISNUMBER(J544)),N(J544)&lt;0),"Prix invalide",IF(OR(AND(F544&lt;&gt;"",NOT(ISNUMBER(F544))),N(F544)&lt;0,N(F544)&gt;1),"Remise invalide",IF(K544="","Taux de TVA manquant",IF(NOT(ISNUMBER(K544)),"Taux de TVA invalide",IF(COUNTIF(p_rates,K544)=0,"Taux de TVA hors liste (Paramètres)",IF(N(O544)&gt;25,"Au-delà de 25 lignes : non imprimée","OK")))))))))))))</f>
        <v/>
      </c>
      <c r="O544" s="59" t="str">
        <f>IF(A544="","",COUNTIF($A$6:A544,A544))</f>
        <v/>
      </c>
      <c r="P544" s="62" t="str">
        <f>IF(A544="","",A544&amp;"|"&amp;O544)</f>
        <v/>
      </c>
    </row>
    <row r="545">
      <c r="A545" s="60" t="n"/>
      <c r="B545" s="63" t="n"/>
      <c r="C545" s="63" t="n"/>
      <c r="D545" s="67" t="n"/>
      <c r="E545" s="68" t="n"/>
      <c r="F545" s="69" t="n"/>
      <c r="G545" s="70" t="n"/>
      <c r="H545" s="62" t="str">
        <f>IF(COUNTA(A545:G545)=0,"",IF(C545&lt;&gt;"",C545,IF(B545="","",IFERROR(INDEX(pr_des,MATCH(B545,pr_code,0))&amp;"",""))))</f>
        <v/>
      </c>
      <c r="I545" s="59" t="str">
        <f>IF(B545="","",IFERROR(INDEX(pr_unit,MATCH(B545,pr_code,0))&amp;"",""))</f>
        <v/>
      </c>
      <c r="J545" s="65" t="str">
        <f>IF(COUNTA(A545:G545)=0,"",IF(E545&lt;&gt;"",E545,IF(B545="","",IFERROR(IF(INDEX(pr_price,MATCH(B545,pr_code,0))="","",INDEX(pr_price,MATCH(B545,pr_code,0))),""))))</f>
        <v/>
      </c>
      <c r="K545" s="71" t="str">
        <f>IF(COUNTA(A545:G545)=0,"",IF(G545&lt;&gt;"",G545,IF(B545="","",IFERROR(IF(INDEX(pr_rate,MATCH(B545,pr_code,0))="","",INDEX(pr_rate,MATCH(B545,pr_code,0))),""))))</f>
        <v/>
      </c>
      <c r="L545" s="65" t="str">
        <f>IF(COUNTA(A545:G545)=0,"",IF(AND(ISNUMBER(D545),ISNUMBER(J545)),ROUND(D545*J545*(1-N(F545)),2),0))</f>
        <v/>
      </c>
      <c r="M545" s="62" t="str">
        <f>IF(A545="","",IFERROR(INDEX(dv_cname,MATCH(A545,dv_num,0))&amp;"",""))</f>
        <v/>
      </c>
      <c r="N545" s="59" t="str">
        <f>IF(COUNTA(A545:G545)=0,"",IF(A545="","N° devis manquant",IF(ISNA(MATCH(A545,dv_num,0)),"Devis inconnu",IF(AND(B545&lt;&gt;"",ISNA(MATCH(B545,pr_code,0))),"Article inconnu",IF(H545="","Désignation manquante",IF(OR(NOT(ISNUMBER(D545)),N(D545)&lt;=0),"Quantité invalide",IF(J545="","Prix manquant",IF(OR(NOT(ISNUMBER(J545)),N(J545)&lt;0),"Prix invalide",IF(OR(AND(F545&lt;&gt;"",NOT(ISNUMBER(F545))),N(F545)&lt;0,N(F545)&gt;1),"Remise invalide",IF(K545="","Taux de TVA manquant",IF(NOT(ISNUMBER(K545)),"Taux de TVA invalide",IF(COUNTIF(p_rates,K545)=0,"Taux de TVA hors liste (Paramètres)",IF(N(O545)&gt;25,"Au-delà de 25 lignes : non imprimée","OK")))))))))))))</f>
        <v/>
      </c>
      <c r="O545" s="59" t="str">
        <f>IF(A545="","",COUNTIF($A$6:A545,A545))</f>
        <v/>
      </c>
      <c r="P545" s="62" t="str">
        <f>IF(A545="","",A545&amp;"|"&amp;O545)</f>
        <v/>
      </c>
    </row>
    <row r="546">
      <c r="A546" s="60" t="n"/>
      <c r="B546" s="63" t="n"/>
      <c r="C546" s="63" t="n"/>
      <c r="D546" s="67" t="n"/>
      <c r="E546" s="68" t="n"/>
      <c r="F546" s="69" t="n"/>
      <c r="G546" s="70" t="n"/>
      <c r="H546" s="62" t="str">
        <f>IF(COUNTA(A546:G546)=0,"",IF(C546&lt;&gt;"",C546,IF(B546="","",IFERROR(INDEX(pr_des,MATCH(B546,pr_code,0))&amp;"",""))))</f>
        <v/>
      </c>
      <c r="I546" s="59" t="str">
        <f>IF(B546="","",IFERROR(INDEX(pr_unit,MATCH(B546,pr_code,0))&amp;"",""))</f>
        <v/>
      </c>
      <c r="J546" s="65" t="str">
        <f>IF(COUNTA(A546:G546)=0,"",IF(E546&lt;&gt;"",E546,IF(B546="","",IFERROR(IF(INDEX(pr_price,MATCH(B546,pr_code,0))="","",INDEX(pr_price,MATCH(B546,pr_code,0))),""))))</f>
        <v/>
      </c>
      <c r="K546" s="71" t="str">
        <f>IF(COUNTA(A546:G546)=0,"",IF(G546&lt;&gt;"",G546,IF(B546="","",IFERROR(IF(INDEX(pr_rate,MATCH(B546,pr_code,0))="","",INDEX(pr_rate,MATCH(B546,pr_code,0))),""))))</f>
        <v/>
      </c>
      <c r="L546" s="65" t="str">
        <f>IF(COUNTA(A546:G546)=0,"",IF(AND(ISNUMBER(D546),ISNUMBER(J546)),ROUND(D546*J546*(1-N(F546)),2),0))</f>
        <v/>
      </c>
      <c r="M546" s="62" t="str">
        <f>IF(A546="","",IFERROR(INDEX(dv_cname,MATCH(A546,dv_num,0))&amp;"",""))</f>
        <v/>
      </c>
      <c r="N546" s="59" t="str">
        <f>IF(COUNTA(A546:G546)=0,"",IF(A546="","N° devis manquant",IF(ISNA(MATCH(A546,dv_num,0)),"Devis inconnu",IF(AND(B546&lt;&gt;"",ISNA(MATCH(B546,pr_code,0))),"Article inconnu",IF(H546="","Désignation manquante",IF(OR(NOT(ISNUMBER(D546)),N(D546)&lt;=0),"Quantité invalide",IF(J546="","Prix manquant",IF(OR(NOT(ISNUMBER(J546)),N(J546)&lt;0),"Prix invalide",IF(OR(AND(F546&lt;&gt;"",NOT(ISNUMBER(F546))),N(F546)&lt;0,N(F546)&gt;1),"Remise invalide",IF(K546="","Taux de TVA manquant",IF(NOT(ISNUMBER(K546)),"Taux de TVA invalide",IF(COUNTIF(p_rates,K546)=0,"Taux de TVA hors liste (Paramètres)",IF(N(O546)&gt;25,"Au-delà de 25 lignes : non imprimée","OK")))))))))))))</f>
        <v/>
      </c>
      <c r="O546" s="59" t="str">
        <f>IF(A546="","",COUNTIF($A$6:A546,A546))</f>
        <v/>
      </c>
      <c r="P546" s="62" t="str">
        <f>IF(A546="","",A546&amp;"|"&amp;O546)</f>
        <v/>
      </c>
    </row>
    <row r="547">
      <c r="A547" s="60" t="n"/>
      <c r="B547" s="63" t="n"/>
      <c r="C547" s="63" t="n"/>
      <c r="D547" s="67" t="n"/>
      <c r="E547" s="68" t="n"/>
      <c r="F547" s="69" t="n"/>
      <c r="G547" s="70" t="n"/>
      <c r="H547" s="62" t="str">
        <f>IF(COUNTA(A547:G547)=0,"",IF(C547&lt;&gt;"",C547,IF(B547="","",IFERROR(INDEX(pr_des,MATCH(B547,pr_code,0))&amp;"",""))))</f>
        <v/>
      </c>
      <c r="I547" s="59" t="str">
        <f>IF(B547="","",IFERROR(INDEX(pr_unit,MATCH(B547,pr_code,0))&amp;"",""))</f>
        <v/>
      </c>
      <c r="J547" s="65" t="str">
        <f>IF(COUNTA(A547:G547)=0,"",IF(E547&lt;&gt;"",E547,IF(B547="","",IFERROR(IF(INDEX(pr_price,MATCH(B547,pr_code,0))="","",INDEX(pr_price,MATCH(B547,pr_code,0))),""))))</f>
        <v/>
      </c>
      <c r="K547" s="71" t="str">
        <f>IF(COUNTA(A547:G547)=0,"",IF(G547&lt;&gt;"",G547,IF(B547="","",IFERROR(IF(INDEX(pr_rate,MATCH(B547,pr_code,0))="","",INDEX(pr_rate,MATCH(B547,pr_code,0))),""))))</f>
        <v/>
      </c>
      <c r="L547" s="65" t="str">
        <f>IF(COUNTA(A547:G547)=0,"",IF(AND(ISNUMBER(D547),ISNUMBER(J547)),ROUND(D547*J547*(1-N(F547)),2),0))</f>
        <v/>
      </c>
      <c r="M547" s="62" t="str">
        <f>IF(A547="","",IFERROR(INDEX(dv_cname,MATCH(A547,dv_num,0))&amp;"",""))</f>
        <v/>
      </c>
      <c r="N547" s="59" t="str">
        <f>IF(COUNTA(A547:G547)=0,"",IF(A547="","N° devis manquant",IF(ISNA(MATCH(A547,dv_num,0)),"Devis inconnu",IF(AND(B547&lt;&gt;"",ISNA(MATCH(B547,pr_code,0))),"Article inconnu",IF(H547="","Désignation manquante",IF(OR(NOT(ISNUMBER(D547)),N(D547)&lt;=0),"Quantité invalide",IF(J547="","Prix manquant",IF(OR(NOT(ISNUMBER(J547)),N(J547)&lt;0),"Prix invalide",IF(OR(AND(F547&lt;&gt;"",NOT(ISNUMBER(F547))),N(F547)&lt;0,N(F547)&gt;1),"Remise invalide",IF(K547="","Taux de TVA manquant",IF(NOT(ISNUMBER(K547)),"Taux de TVA invalide",IF(COUNTIF(p_rates,K547)=0,"Taux de TVA hors liste (Paramètres)",IF(N(O547)&gt;25,"Au-delà de 25 lignes : non imprimée","OK")))))))))))))</f>
        <v/>
      </c>
      <c r="O547" s="59" t="str">
        <f>IF(A547="","",COUNTIF($A$6:A547,A547))</f>
        <v/>
      </c>
      <c r="P547" s="62" t="str">
        <f>IF(A547="","",A547&amp;"|"&amp;O547)</f>
        <v/>
      </c>
    </row>
    <row r="548">
      <c r="A548" s="60" t="n"/>
      <c r="B548" s="63" t="n"/>
      <c r="C548" s="63" t="n"/>
      <c r="D548" s="67" t="n"/>
      <c r="E548" s="68" t="n"/>
      <c r="F548" s="69" t="n"/>
      <c r="G548" s="70" t="n"/>
      <c r="H548" s="62" t="str">
        <f>IF(COUNTA(A548:G548)=0,"",IF(C548&lt;&gt;"",C548,IF(B548="","",IFERROR(INDEX(pr_des,MATCH(B548,pr_code,0))&amp;"",""))))</f>
        <v/>
      </c>
      <c r="I548" s="59" t="str">
        <f>IF(B548="","",IFERROR(INDEX(pr_unit,MATCH(B548,pr_code,0))&amp;"",""))</f>
        <v/>
      </c>
      <c r="J548" s="65" t="str">
        <f>IF(COUNTA(A548:G548)=0,"",IF(E548&lt;&gt;"",E548,IF(B548="","",IFERROR(IF(INDEX(pr_price,MATCH(B548,pr_code,0))="","",INDEX(pr_price,MATCH(B548,pr_code,0))),""))))</f>
        <v/>
      </c>
      <c r="K548" s="71" t="str">
        <f>IF(COUNTA(A548:G548)=0,"",IF(G548&lt;&gt;"",G548,IF(B548="","",IFERROR(IF(INDEX(pr_rate,MATCH(B548,pr_code,0))="","",INDEX(pr_rate,MATCH(B548,pr_code,0))),""))))</f>
        <v/>
      </c>
      <c r="L548" s="65" t="str">
        <f>IF(COUNTA(A548:G548)=0,"",IF(AND(ISNUMBER(D548),ISNUMBER(J548)),ROUND(D548*J548*(1-N(F548)),2),0))</f>
        <v/>
      </c>
      <c r="M548" s="62" t="str">
        <f>IF(A548="","",IFERROR(INDEX(dv_cname,MATCH(A548,dv_num,0))&amp;"",""))</f>
        <v/>
      </c>
      <c r="N548" s="59" t="str">
        <f>IF(COUNTA(A548:G548)=0,"",IF(A548="","N° devis manquant",IF(ISNA(MATCH(A548,dv_num,0)),"Devis inconnu",IF(AND(B548&lt;&gt;"",ISNA(MATCH(B548,pr_code,0))),"Article inconnu",IF(H548="","Désignation manquante",IF(OR(NOT(ISNUMBER(D548)),N(D548)&lt;=0),"Quantité invalide",IF(J548="","Prix manquant",IF(OR(NOT(ISNUMBER(J548)),N(J548)&lt;0),"Prix invalide",IF(OR(AND(F548&lt;&gt;"",NOT(ISNUMBER(F548))),N(F548)&lt;0,N(F548)&gt;1),"Remise invalide",IF(K548="","Taux de TVA manquant",IF(NOT(ISNUMBER(K548)),"Taux de TVA invalide",IF(COUNTIF(p_rates,K548)=0,"Taux de TVA hors liste (Paramètres)",IF(N(O548)&gt;25,"Au-delà de 25 lignes : non imprimée","OK")))))))))))))</f>
        <v/>
      </c>
      <c r="O548" s="59" t="str">
        <f>IF(A548="","",COUNTIF($A$6:A548,A548))</f>
        <v/>
      </c>
      <c r="P548" s="62" t="str">
        <f>IF(A548="","",A548&amp;"|"&amp;O548)</f>
        <v/>
      </c>
    </row>
    <row r="549">
      <c r="A549" s="60" t="n"/>
      <c r="B549" s="63" t="n"/>
      <c r="C549" s="63" t="n"/>
      <c r="D549" s="67" t="n"/>
      <c r="E549" s="68" t="n"/>
      <c r="F549" s="69" t="n"/>
      <c r="G549" s="70" t="n"/>
      <c r="H549" s="62" t="str">
        <f>IF(COUNTA(A549:G549)=0,"",IF(C549&lt;&gt;"",C549,IF(B549="","",IFERROR(INDEX(pr_des,MATCH(B549,pr_code,0))&amp;"",""))))</f>
        <v/>
      </c>
      <c r="I549" s="59" t="str">
        <f>IF(B549="","",IFERROR(INDEX(pr_unit,MATCH(B549,pr_code,0))&amp;"",""))</f>
        <v/>
      </c>
      <c r="J549" s="65" t="str">
        <f>IF(COUNTA(A549:G549)=0,"",IF(E549&lt;&gt;"",E549,IF(B549="","",IFERROR(IF(INDEX(pr_price,MATCH(B549,pr_code,0))="","",INDEX(pr_price,MATCH(B549,pr_code,0))),""))))</f>
        <v/>
      </c>
      <c r="K549" s="71" t="str">
        <f>IF(COUNTA(A549:G549)=0,"",IF(G549&lt;&gt;"",G549,IF(B549="","",IFERROR(IF(INDEX(pr_rate,MATCH(B549,pr_code,0))="","",INDEX(pr_rate,MATCH(B549,pr_code,0))),""))))</f>
        <v/>
      </c>
      <c r="L549" s="65" t="str">
        <f>IF(COUNTA(A549:G549)=0,"",IF(AND(ISNUMBER(D549),ISNUMBER(J549)),ROUND(D549*J549*(1-N(F549)),2),0))</f>
        <v/>
      </c>
      <c r="M549" s="62" t="str">
        <f>IF(A549="","",IFERROR(INDEX(dv_cname,MATCH(A549,dv_num,0))&amp;"",""))</f>
        <v/>
      </c>
      <c r="N549" s="59" t="str">
        <f>IF(COUNTA(A549:G549)=0,"",IF(A549="","N° devis manquant",IF(ISNA(MATCH(A549,dv_num,0)),"Devis inconnu",IF(AND(B549&lt;&gt;"",ISNA(MATCH(B549,pr_code,0))),"Article inconnu",IF(H549="","Désignation manquante",IF(OR(NOT(ISNUMBER(D549)),N(D549)&lt;=0),"Quantité invalide",IF(J549="","Prix manquant",IF(OR(NOT(ISNUMBER(J549)),N(J549)&lt;0),"Prix invalide",IF(OR(AND(F549&lt;&gt;"",NOT(ISNUMBER(F549))),N(F549)&lt;0,N(F549)&gt;1),"Remise invalide",IF(K549="","Taux de TVA manquant",IF(NOT(ISNUMBER(K549)),"Taux de TVA invalide",IF(COUNTIF(p_rates,K549)=0,"Taux de TVA hors liste (Paramètres)",IF(N(O549)&gt;25,"Au-delà de 25 lignes : non imprimée","OK")))))))))))))</f>
        <v/>
      </c>
      <c r="O549" s="59" t="str">
        <f>IF(A549="","",COUNTIF($A$6:A549,A549))</f>
        <v/>
      </c>
      <c r="P549" s="62" t="str">
        <f>IF(A549="","",A549&amp;"|"&amp;O549)</f>
        <v/>
      </c>
    </row>
    <row r="550">
      <c r="A550" s="60" t="n"/>
      <c r="B550" s="63" t="n"/>
      <c r="C550" s="63" t="n"/>
      <c r="D550" s="67" t="n"/>
      <c r="E550" s="68" t="n"/>
      <c r="F550" s="69" t="n"/>
      <c r="G550" s="70" t="n"/>
      <c r="H550" s="62" t="str">
        <f>IF(COUNTA(A550:G550)=0,"",IF(C550&lt;&gt;"",C550,IF(B550="","",IFERROR(INDEX(pr_des,MATCH(B550,pr_code,0))&amp;"",""))))</f>
        <v/>
      </c>
      <c r="I550" s="59" t="str">
        <f>IF(B550="","",IFERROR(INDEX(pr_unit,MATCH(B550,pr_code,0))&amp;"",""))</f>
        <v/>
      </c>
      <c r="J550" s="65" t="str">
        <f>IF(COUNTA(A550:G550)=0,"",IF(E550&lt;&gt;"",E550,IF(B550="","",IFERROR(IF(INDEX(pr_price,MATCH(B550,pr_code,0))="","",INDEX(pr_price,MATCH(B550,pr_code,0))),""))))</f>
        <v/>
      </c>
      <c r="K550" s="71" t="str">
        <f>IF(COUNTA(A550:G550)=0,"",IF(G550&lt;&gt;"",G550,IF(B550="","",IFERROR(IF(INDEX(pr_rate,MATCH(B550,pr_code,0))="","",INDEX(pr_rate,MATCH(B550,pr_code,0))),""))))</f>
        <v/>
      </c>
      <c r="L550" s="65" t="str">
        <f>IF(COUNTA(A550:G550)=0,"",IF(AND(ISNUMBER(D550),ISNUMBER(J550)),ROUND(D550*J550*(1-N(F550)),2),0))</f>
        <v/>
      </c>
      <c r="M550" s="62" t="str">
        <f>IF(A550="","",IFERROR(INDEX(dv_cname,MATCH(A550,dv_num,0))&amp;"",""))</f>
        <v/>
      </c>
      <c r="N550" s="59" t="str">
        <f>IF(COUNTA(A550:G550)=0,"",IF(A550="","N° devis manquant",IF(ISNA(MATCH(A550,dv_num,0)),"Devis inconnu",IF(AND(B550&lt;&gt;"",ISNA(MATCH(B550,pr_code,0))),"Article inconnu",IF(H550="","Désignation manquante",IF(OR(NOT(ISNUMBER(D550)),N(D550)&lt;=0),"Quantité invalide",IF(J550="","Prix manquant",IF(OR(NOT(ISNUMBER(J550)),N(J550)&lt;0),"Prix invalide",IF(OR(AND(F550&lt;&gt;"",NOT(ISNUMBER(F550))),N(F550)&lt;0,N(F550)&gt;1),"Remise invalide",IF(K550="","Taux de TVA manquant",IF(NOT(ISNUMBER(K550)),"Taux de TVA invalide",IF(COUNTIF(p_rates,K550)=0,"Taux de TVA hors liste (Paramètres)",IF(N(O550)&gt;25,"Au-delà de 25 lignes : non imprimée","OK")))))))))))))</f>
        <v/>
      </c>
      <c r="O550" s="59" t="str">
        <f>IF(A550="","",COUNTIF($A$6:A550,A550))</f>
        <v/>
      </c>
      <c r="P550" s="62" t="str">
        <f>IF(A550="","",A550&amp;"|"&amp;O550)</f>
        <v/>
      </c>
    </row>
    <row r="551">
      <c r="A551" s="60" t="n"/>
      <c r="B551" s="63" t="n"/>
      <c r="C551" s="63" t="n"/>
      <c r="D551" s="67" t="n"/>
      <c r="E551" s="68" t="n"/>
      <c r="F551" s="69" t="n"/>
      <c r="G551" s="70" t="n"/>
      <c r="H551" s="62" t="str">
        <f>IF(COUNTA(A551:G551)=0,"",IF(C551&lt;&gt;"",C551,IF(B551="","",IFERROR(INDEX(pr_des,MATCH(B551,pr_code,0))&amp;"",""))))</f>
        <v/>
      </c>
      <c r="I551" s="59" t="str">
        <f>IF(B551="","",IFERROR(INDEX(pr_unit,MATCH(B551,pr_code,0))&amp;"",""))</f>
        <v/>
      </c>
      <c r="J551" s="65" t="str">
        <f>IF(COUNTA(A551:G551)=0,"",IF(E551&lt;&gt;"",E551,IF(B551="","",IFERROR(IF(INDEX(pr_price,MATCH(B551,pr_code,0))="","",INDEX(pr_price,MATCH(B551,pr_code,0))),""))))</f>
        <v/>
      </c>
      <c r="K551" s="71" t="str">
        <f>IF(COUNTA(A551:G551)=0,"",IF(G551&lt;&gt;"",G551,IF(B551="","",IFERROR(IF(INDEX(pr_rate,MATCH(B551,pr_code,0))="","",INDEX(pr_rate,MATCH(B551,pr_code,0))),""))))</f>
        <v/>
      </c>
      <c r="L551" s="65" t="str">
        <f>IF(COUNTA(A551:G551)=0,"",IF(AND(ISNUMBER(D551),ISNUMBER(J551)),ROUND(D551*J551*(1-N(F551)),2),0))</f>
        <v/>
      </c>
      <c r="M551" s="62" t="str">
        <f>IF(A551="","",IFERROR(INDEX(dv_cname,MATCH(A551,dv_num,0))&amp;"",""))</f>
        <v/>
      </c>
      <c r="N551" s="59" t="str">
        <f>IF(COUNTA(A551:G551)=0,"",IF(A551="","N° devis manquant",IF(ISNA(MATCH(A551,dv_num,0)),"Devis inconnu",IF(AND(B551&lt;&gt;"",ISNA(MATCH(B551,pr_code,0))),"Article inconnu",IF(H551="","Désignation manquante",IF(OR(NOT(ISNUMBER(D551)),N(D551)&lt;=0),"Quantité invalide",IF(J551="","Prix manquant",IF(OR(NOT(ISNUMBER(J551)),N(J551)&lt;0),"Prix invalide",IF(OR(AND(F551&lt;&gt;"",NOT(ISNUMBER(F551))),N(F551)&lt;0,N(F551)&gt;1),"Remise invalide",IF(K551="","Taux de TVA manquant",IF(NOT(ISNUMBER(K551)),"Taux de TVA invalide",IF(COUNTIF(p_rates,K551)=0,"Taux de TVA hors liste (Paramètres)",IF(N(O551)&gt;25,"Au-delà de 25 lignes : non imprimée","OK")))))))))))))</f>
        <v/>
      </c>
      <c r="O551" s="59" t="str">
        <f>IF(A551="","",COUNTIF($A$6:A551,A551))</f>
        <v/>
      </c>
      <c r="P551" s="62" t="str">
        <f>IF(A551="","",A551&amp;"|"&amp;O551)</f>
        <v/>
      </c>
    </row>
    <row r="552">
      <c r="A552" s="60" t="n"/>
      <c r="B552" s="63" t="n"/>
      <c r="C552" s="63" t="n"/>
      <c r="D552" s="67" t="n"/>
      <c r="E552" s="68" t="n"/>
      <c r="F552" s="69" t="n"/>
      <c r="G552" s="70" t="n"/>
      <c r="H552" s="62" t="str">
        <f>IF(COUNTA(A552:G552)=0,"",IF(C552&lt;&gt;"",C552,IF(B552="","",IFERROR(INDEX(pr_des,MATCH(B552,pr_code,0))&amp;"",""))))</f>
        <v/>
      </c>
      <c r="I552" s="59" t="str">
        <f>IF(B552="","",IFERROR(INDEX(pr_unit,MATCH(B552,pr_code,0))&amp;"",""))</f>
        <v/>
      </c>
      <c r="J552" s="65" t="str">
        <f>IF(COUNTA(A552:G552)=0,"",IF(E552&lt;&gt;"",E552,IF(B552="","",IFERROR(IF(INDEX(pr_price,MATCH(B552,pr_code,0))="","",INDEX(pr_price,MATCH(B552,pr_code,0))),""))))</f>
        <v/>
      </c>
      <c r="K552" s="71" t="str">
        <f>IF(COUNTA(A552:G552)=0,"",IF(G552&lt;&gt;"",G552,IF(B552="","",IFERROR(IF(INDEX(pr_rate,MATCH(B552,pr_code,0))="","",INDEX(pr_rate,MATCH(B552,pr_code,0))),""))))</f>
        <v/>
      </c>
      <c r="L552" s="65" t="str">
        <f>IF(COUNTA(A552:G552)=0,"",IF(AND(ISNUMBER(D552),ISNUMBER(J552)),ROUND(D552*J552*(1-N(F552)),2),0))</f>
        <v/>
      </c>
      <c r="M552" s="62" t="str">
        <f>IF(A552="","",IFERROR(INDEX(dv_cname,MATCH(A552,dv_num,0))&amp;"",""))</f>
        <v/>
      </c>
      <c r="N552" s="59" t="str">
        <f>IF(COUNTA(A552:G552)=0,"",IF(A552="","N° devis manquant",IF(ISNA(MATCH(A552,dv_num,0)),"Devis inconnu",IF(AND(B552&lt;&gt;"",ISNA(MATCH(B552,pr_code,0))),"Article inconnu",IF(H552="","Désignation manquante",IF(OR(NOT(ISNUMBER(D552)),N(D552)&lt;=0),"Quantité invalide",IF(J552="","Prix manquant",IF(OR(NOT(ISNUMBER(J552)),N(J552)&lt;0),"Prix invalide",IF(OR(AND(F552&lt;&gt;"",NOT(ISNUMBER(F552))),N(F552)&lt;0,N(F552)&gt;1),"Remise invalide",IF(K552="","Taux de TVA manquant",IF(NOT(ISNUMBER(K552)),"Taux de TVA invalide",IF(COUNTIF(p_rates,K552)=0,"Taux de TVA hors liste (Paramètres)",IF(N(O552)&gt;25,"Au-delà de 25 lignes : non imprimée","OK")))))))))))))</f>
        <v/>
      </c>
      <c r="O552" s="59" t="str">
        <f>IF(A552="","",COUNTIF($A$6:A552,A552))</f>
        <v/>
      </c>
      <c r="P552" s="62" t="str">
        <f>IF(A552="","",A552&amp;"|"&amp;O552)</f>
        <v/>
      </c>
    </row>
    <row r="553">
      <c r="A553" s="60" t="n"/>
      <c r="B553" s="63" t="n"/>
      <c r="C553" s="63" t="n"/>
      <c r="D553" s="67" t="n"/>
      <c r="E553" s="68" t="n"/>
      <c r="F553" s="69" t="n"/>
      <c r="G553" s="70" t="n"/>
      <c r="H553" s="62" t="str">
        <f>IF(COUNTA(A553:G553)=0,"",IF(C553&lt;&gt;"",C553,IF(B553="","",IFERROR(INDEX(pr_des,MATCH(B553,pr_code,0))&amp;"",""))))</f>
        <v/>
      </c>
      <c r="I553" s="59" t="str">
        <f>IF(B553="","",IFERROR(INDEX(pr_unit,MATCH(B553,pr_code,0))&amp;"",""))</f>
        <v/>
      </c>
      <c r="J553" s="65" t="str">
        <f>IF(COUNTA(A553:G553)=0,"",IF(E553&lt;&gt;"",E553,IF(B553="","",IFERROR(IF(INDEX(pr_price,MATCH(B553,pr_code,0))="","",INDEX(pr_price,MATCH(B553,pr_code,0))),""))))</f>
        <v/>
      </c>
      <c r="K553" s="71" t="str">
        <f>IF(COUNTA(A553:G553)=0,"",IF(G553&lt;&gt;"",G553,IF(B553="","",IFERROR(IF(INDEX(pr_rate,MATCH(B553,pr_code,0))="","",INDEX(pr_rate,MATCH(B553,pr_code,0))),""))))</f>
        <v/>
      </c>
      <c r="L553" s="65" t="str">
        <f>IF(COUNTA(A553:G553)=0,"",IF(AND(ISNUMBER(D553),ISNUMBER(J553)),ROUND(D553*J553*(1-N(F553)),2),0))</f>
        <v/>
      </c>
      <c r="M553" s="62" t="str">
        <f>IF(A553="","",IFERROR(INDEX(dv_cname,MATCH(A553,dv_num,0))&amp;"",""))</f>
        <v/>
      </c>
      <c r="N553" s="59" t="str">
        <f>IF(COUNTA(A553:G553)=0,"",IF(A553="","N° devis manquant",IF(ISNA(MATCH(A553,dv_num,0)),"Devis inconnu",IF(AND(B553&lt;&gt;"",ISNA(MATCH(B553,pr_code,0))),"Article inconnu",IF(H553="","Désignation manquante",IF(OR(NOT(ISNUMBER(D553)),N(D553)&lt;=0),"Quantité invalide",IF(J553="","Prix manquant",IF(OR(NOT(ISNUMBER(J553)),N(J553)&lt;0),"Prix invalide",IF(OR(AND(F553&lt;&gt;"",NOT(ISNUMBER(F553))),N(F553)&lt;0,N(F553)&gt;1),"Remise invalide",IF(K553="","Taux de TVA manquant",IF(NOT(ISNUMBER(K553)),"Taux de TVA invalide",IF(COUNTIF(p_rates,K553)=0,"Taux de TVA hors liste (Paramètres)",IF(N(O553)&gt;25,"Au-delà de 25 lignes : non imprimée","OK")))))))))))))</f>
        <v/>
      </c>
      <c r="O553" s="59" t="str">
        <f>IF(A553="","",COUNTIF($A$6:A553,A553))</f>
        <v/>
      </c>
      <c r="P553" s="62" t="str">
        <f>IF(A553="","",A553&amp;"|"&amp;O553)</f>
        <v/>
      </c>
    </row>
    <row r="554">
      <c r="A554" s="60" t="n"/>
      <c r="B554" s="63" t="n"/>
      <c r="C554" s="63" t="n"/>
      <c r="D554" s="67" t="n"/>
      <c r="E554" s="68" t="n"/>
      <c r="F554" s="69" t="n"/>
      <c r="G554" s="70" t="n"/>
      <c r="H554" s="62" t="str">
        <f>IF(COUNTA(A554:G554)=0,"",IF(C554&lt;&gt;"",C554,IF(B554="","",IFERROR(INDEX(pr_des,MATCH(B554,pr_code,0))&amp;"",""))))</f>
        <v/>
      </c>
      <c r="I554" s="59" t="str">
        <f>IF(B554="","",IFERROR(INDEX(pr_unit,MATCH(B554,pr_code,0))&amp;"",""))</f>
        <v/>
      </c>
      <c r="J554" s="65" t="str">
        <f>IF(COUNTA(A554:G554)=0,"",IF(E554&lt;&gt;"",E554,IF(B554="","",IFERROR(IF(INDEX(pr_price,MATCH(B554,pr_code,0))="","",INDEX(pr_price,MATCH(B554,pr_code,0))),""))))</f>
        <v/>
      </c>
      <c r="K554" s="71" t="str">
        <f>IF(COUNTA(A554:G554)=0,"",IF(G554&lt;&gt;"",G554,IF(B554="","",IFERROR(IF(INDEX(pr_rate,MATCH(B554,pr_code,0))="","",INDEX(pr_rate,MATCH(B554,pr_code,0))),""))))</f>
        <v/>
      </c>
      <c r="L554" s="65" t="str">
        <f>IF(COUNTA(A554:G554)=0,"",IF(AND(ISNUMBER(D554),ISNUMBER(J554)),ROUND(D554*J554*(1-N(F554)),2),0))</f>
        <v/>
      </c>
      <c r="M554" s="62" t="str">
        <f>IF(A554="","",IFERROR(INDEX(dv_cname,MATCH(A554,dv_num,0))&amp;"",""))</f>
        <v/>
      </c>
      <c r="N554" s="59" t="str">
        <f>IF(COUNTA(A554:G554)=0,"",IF(A554="","N° devis manquant",IF(ISNA(MATCH(A554,dv_num,0)),"Devis inconnu",IF(AND(B554&lt;&gt;"",ISNA(MATCH(B554,pr_code,0))),"Article inconnu",IF(H554="","Désignation manquante",IF(OR(NOT(ISNUMBER(D554)),N(D554)&lt;=0),"Quantité invalide",IF(J554="","Prix manquant",IF(OR(NOT(ISNUMBER(J554)),N(J554)&lt;0),"Prix invalide",IF(OR(AND(F554&lt;&gt;"",NOT(ISNUMBER(F554))),N(F554)&lt;0,N(F554)&gt;1),"Remise invalide",IF(K554="","Taux de TVA manquant",IF(NOT(ISNUMBER(K554)),"Taux de TVA invalide",IF(COUNTIF(p_rates,K554)=0,"Taux de TVA hors liste (Paramètres)",IF(N(O554)&gt;25,"Au-delà de 25 lignes : non imprimée","OK")))))))))))))</f>
        <v/>
      </c>
      <c r="O554" s="59" t="str">
        <f>IF(A554="","",COUNTIF($A$6:A554,A554))</f>
        <v/>
      </c>
      <c r="P554" s="62" t="str">
        <f>IF(A554="","",A554&amp;"|"&amp;O554)</f>
        <v/>
      </c>
    </row>
    <row r="555">
      <c r="A555" s="60" t="n"/>
      <c r="B555" s="63" t="n"/>
      <c r="C555" s="63" t="n"/>
      <c r="D555" s="67" t="n"/>
      <c r="E555" s="68" t="n"/>
      <c r="F555" s="69" t="n"/>
      <c r="G555" s="70" t="n"/>
      <c r="H555" s="62" t="str">
        <f>IF(COUNTA(A555:G555)=0,"",IF(C555&lt;&gt;"",C555,IF(B555="","",IFERROR(INDEX(pr_des,MATCH(B555,pr_code,0))&amp;"",""))))</f>
        <v/>
      </c>
      <c r="I555" s="59" t="str">
        <f>IF(B555="","",IFERROR(INDEX(pr_unit,MATCH(B555,pr_code,0))&amp;"",""))</f>
        <v/>
      </c>
      <c r="J555" s="65" t="str">
        <f>IF(COUNTA(A555:G555)=0,"",IF(E555&lt;&gt;"",E555,IF(B555="","",IFERROR(IF(INDEX(pr_price,MATCH(B555,pr_code,0))="","",INDEX(pr_price,MATCH(B555,pr_code,0))),""))))</f>
        <v/>
      </c>
      <c r="K555" s="71" t="str">
        <f>IF(COUNTA(A555:G555)=0,"",IF(G555&lt;&gt;"",G555,IF(B555="","",IFERROR(IF(INDEX(pr_rate,MATCH(B555,pr_code,0))="","",INDEX(pr_rate,MATCH(B555,pr_code,0))),""))))</f>
        <v/>
      </c>
      <c r="L555" s="65" t="str">
        <f>IF(COUNTA(A555:G555)=0,"",IF(AND(ISNUMBER(D555),ISNUMBER(J555)),ROUND(D555*J555*(1-N(F555)),2),0))</f>
        <v/>
      </c>
      <c r="M555" s="62" t="str">
        <f>IF(A555="","",IFERROR(INDEX(dv_cname,MATCH(A555,dv_num,0))&amp;"",""))</f>
        <v/>
      </c>
      <c r="N555" s="59" t="str">
        <f>IF(COUNTA(A555:G555)=0,"",IF(A555="","N° devis manquant",IF(ISNA(MATCH(A555,dv_num,0)),"Devis inconnu",IF(AND(B555&lt;&gt;"",ISNA(MATCH(B555,pr_code,0))),"Article inconnu",IF(H555="","Désignation manquante",IF(OR(NOT(ISNUMBER(D555)),N(D555)&lt;=0),"Quantité invalide",IF(J555="","Prix manquant",IF(OR(NOT(ISNUMBER(J555)),N(J555)&lt;0),"Prix invalide",IF(OR(AND(F555&lt;&gt;"",NOT(ISNUMBER(F555))),N(F555)&lt;0,N(F555)&gt;1),"Remise invalide",IF(K555="","Taux de TVA manquant",IF(NOT(ISNUMBER(K555)),"Taux de TVA invalide",IF(COUNTIF(p_rates,K555)=0,"Taux de TVA hors liste (Paramètres)",IF(N(O555)&gt;25,"Au-delà de 25 lignes : non imprimée","OK")))))))))))))</f>
        <v/>
      </c>
      <c r="O555" s="59" t="str">
        <f>IF(A555="","",COUNTIF($A$6:A555,A555))</f>
        <v/>
      </c>
      <c r="P555" s="62" t="str">
        <f>IF(A555="","",A555&amp;"|"&amp;O555)</f>
        <v/>
      </c>
    </row>
    <row r="556">
      <c r="A556" s="60" t="n"/>
      <c r="B556" s="63" t="n"/>
      <c r="C556" s="63" t="n"/>
      <c r="D556" s="67" t="n"/>
      <c r="E556" s="68" t="n"/>
      <c r="F556" s="69" t="n"/>
      <c r="G556" s="70" t="n"/>
      <c r="H556" s="62" t="str">
        <f>IF(COUNTA(A556:G556)=0,"",IF(C556&lt;&gt;"",C556,IF(B556="","",IFERROR(INDEX(pr_des,MATCH(B556,pr_code,0))&amp;"",""))))</f>
        <v/>
      </c>
      <c r="I556" s="59" t="str">
        <f>IF(B556="","",IFERROR(INDEX(pr_unit,MATCH(B556,pr_code,0))&amp;"",""))</f>
        <v/>
      </c>
      <c r="J556" s="65" t="str">
        <f>IF(COUNTA(A556:G556)=0,"",IF(E556&lt;&gt;"",E556,IF(B556="","",IFERROR(IF(INDEX(pr_price,MATCH(B556,pr_code,0))="","",INDEX(pr_price,MATCH(B556,pr_code,0))),""))))</f>
        <v/>
      </c>
      <c r="K556" s="71" t="str">
        <f>IF(COUNTA(A556:G556)=0,"",IF(G556&lt;&gt;"",G556,IF(B556="","",IFERROR(IF(INDEX(pr_rate,MATCH(B556,pr_code,0))="","",INDEX(pr_rate,MATCH(B556,pr_code,0))),""))))</f>
        <v/>
      </c>
      <c r="L556" s="65" t="str">
        <f>IF(COUNTA(A556:G556)=0,"",IF(AND(ISNUMBER(D556),ISNUMBER(J556)),ROUND(D556*J556*(1-N(F556)),2),0))</f>
        <v/>
      </c>
      <c r="M556" s="62" t="str">
        <f>IF(A556="","",IFERROR(INDEX(dv_cname,MATCH(A556,dv_num,0))&amp;"",""))</f>
        <v/>
      </c>
      <c r="N556" s="59" t="str">
        <f>IF(COUNTA(A556:G556)=0,"",IF(A556="","N° devis manquant",IF(ISNA(MATCH(A556,dv_num,0)),"Devis inconnu",IF(AND(B556&lt;&gt;"",ISNA(MATCH(B556,pr_code,0))),"Article inconnu",IF(H556="","Désignation manquante",IF(OR(NOT(ISNUMBER(D556)),N(D556)&lt;=0),"Quantité invalide",IF(J556="","Prix manquant",IF(OR(NOT(ISNUMBER(J556)),N(J556)&lt;0),"Prix invalide",IF(OR(AND(F556&lt;&gt;"",NOT(ISNUMBER(F556))),N(F556)&lt;0,N(F556)&gt;1),"Remise invalide",IF(K556="","Taux de TVA manquant",IF(NOT(ISNUMBER(K556)),"Taux de TVA invalide",IF(COUNTIF(p_rates,K556)=0,"Taux de TVA hors liste (Paramètres)",IF(N(O556)&gt;25,"Au-delà de 25 lignes : non imprimée","OK")))))))))))))</f>
        <v/>
      </c>
      <c r="O556" s="59" t="str">
        <f>IF(A556="","",COUNTIF($A$6:A556,A556))</f>
        <v/>
      </c>
      <c r="P556" s="62" t="str">
        <f>IF(A556="","",A556&amp;"|"&amp;O556)</f>
        <v/>
      </c>
    </row>
    <row r="557">
      <c r="A557" s="60" t="n"/>
      <c r="B557" s="63" t="n"/>
      <c r="C557" s="63" t="n"/>
      <c r="D557" s="67" t="n"/>
      <c r="E557" s="68" t="n"/>
      <c r="F557" s="69" t="n"/>
      <c r="G557" s="70" t="n"/>
      <c r="H557" s="62" t="str">
        <f>IF(COUNTA(A557:G557)=0,"",IF(C557&lt;&gt;"",C557,IF(B557="","",IFERROR(INDEX(pr_des,MATCH(B557,pr_code,0))&amp;"",""))))</f>
        <v/>
      </c>
      <c r="I557" s="59" t="str">
        <f>IF(B557="","",IFERROR(INDEX(pr_unit,MATCH(B557,pr_code,0))&amp;"",""))</f>
        <v/>
      </c>
      <c r="J557" s="65" t="str">
        <f>IF(COUNTA(A557:G557)=0,"",IF(E557&lt;&gt;"",E557,IF(B557="","",IFERROR(IF(INDEX(pr_price,MATCH(B557,pr_code,0))="","",INDEX(pr_price,MATCH(B557,pr_code,0))),""))))</f>
        <v/>
      </c>
      <c r="K557" s="71" t="str">
        <f>IF(COUNTA(A557:G557)=0,"",IF(G557&lt;&gt;"",G557,IF(B557="","",IFERROR(IF(INDEX(pr_rate,MATCH(B557,pr_code,0))="","",INDEX(pr_rate,MATCH(B557,pr_code,0))),""))))</f>
        <v/>
      </c>
      <c r="L557" s="65" t="str">
        <f>IF(COUNTA(A557:G557)=0,"",IF(AND(ISNUMBER(D557),ISNUMBER(J557)),ROUND(D557*J557*(1-N(F557)),2),0))</f>
        <v/>
      </c>
      <c r="M557" s="62" t="str">
        <f>IF(A557="","",IFERROR(INDEX(dv_cname,MATCH(A557,dv_num,0))&amp;"",""))</f>
        <v/>
      </c>
      <c r="N557" s="59" t="str">
        <f>IF(COUNTA(A557:G557)=0,"",IF(A557="","N° devis manquant",IF(ISNA(MATCH(A557,dv_num,0)),"Devis inconnu",IF(AND(B557&lt;&gt;"",ISNA(MATCH(B557,pr_code,0))),"Article inconnu",IF(H557="","Désignation manquante",IF(OR(NOT(ISNUMBER(D557)),N(D557)&lt;=0),"Quantité invalide",IF(J557="","Prix manquant",IF(OR(NOT(ISNUMBER(J557)),N(J557)&lt;0),"Prix invalide",IF(OR(AND(F557&lt;&gt;"",NOT(ISNUMBER(F557))),N(F557)&lt;0,N(F557)&gt;1),"Remise invalide",IF(K557="","Taux de TVA manquant",IF(NOT(ISNUMBER(K557)),"Taux de TVA invalide",IF(COUNTIF(p_rates,K557)=0,"Taux de TVA hors liste (Paramètres)",IF(N(O557)&gt;25,"Au-delà de 25 lignes : non imprimée","OK")))))))))))))</f>
        <v/>
      </c>
      <c r="O557" s="59" t="str">
        <f>IF(A557="","",COUNTIF($A$6:A557,A557))</f>
        <v/>
      </c>
      <c r="P557" s="62" t="str">
        <f>IF(A557="","",A557&amp;"|"&amp;O557)</f>
        <v/>
      </c>
    </row>
    <row r="558">
      <c r="A558" s="60" t="n"/>
      <c r="B558" s="63" t="n"/>
      <c r="C558" s="63" t="n"/>
      <c r="D558" s="67" t="n"/>
      <c r="E558" s="68" t="n"/>
      <c r="F558" s="69" t="n"/>
      <c r="G558" s="70" t="n"/>
      <c r="H558" s="62" t="str">
        <f>IF(COUNTA(A558:G558)=0,"",IF(C558&lt;&gt;"",C558,IF(B558="","",IFERROR(INDEX(pr_des,MATCH(B558,pr_code,0))&amp;"",""))))</f>
        <v/>
      </c>
      <c r="I558" s="59" t="str">
        <f>IF(B558="","",IFERROR(INDEX(pr_unit,MATCH(B558,pr_code,0))&amp;"",""))</f>
        <v/>
      </c>
      <c r="J558" s="65" t="str">
        <f>IF(COUNTA(A558:G558)=0,"",IF(E558&lt;&gt;"",E558,IF(B558="","",IFERROR(IF(INDEX(pr_price,MATCH(B558,pr_code,0))="","",INDEX(pr_price,MATCH(B558,pr_code,0))),""))))</f>
        <v/>
      </c>
      <c r="K558" s="71" t="str">
        <f>IF(COUNTA(A558:G558)=0,"",IF(G558&lt;&gt;"",G558,IF(B558="","",IFERROR(IF(INDEX(pr_rate,MATCH(B558,pr_code,0))="","",INDEX(pr_rate,MATCH(B558,pr_code,0))),""))))</f>
        <v/>
      </c>
      <c r="L558" s="65" t="str">
        <f>IF(COUNTA(A558:G558)=0,"",IF(AND(ISNUMBER(D558),ISNUMBER(J558)),ROUND(D558*J558*(1-N(F558)),2),0))</f>
        <v/>
      </c>
      <c r="M558" s="62" t="str">
        <f>IF(A558="","",IFERROR(INDEX(dv_cname,MATCH(A558,dv_num,0))&amp;"",""))</f>
        <v/>
      </c>
      <c r="N558" s="59" t="str">
        <f>IF(COUNTA(A558:G558)=0,"",IF(A558="","N° devis manquant",IF(ISNA(MATCH(A558,dv_num,0)),"Devis inconnu",IF(AND(B558&lt;&gt;"",ISNA(MATCH(B558,pr_code,0))),"Article inconnu",IF(H558="","Désignation manquante",IF(OR(NOT(ISNUMBER(D558)),N(D558)&lt;=0),"Quantité invalide",IF(J558="","Prix manquant",IF(OR(NOT(ISNUMBER(J558)),N(J558)&lt;0),"Prix invalide",IF(OR(AND(F558&lt;&gt;"",NOT(ISNUMBER(F558))),N(F558)&lt;0,N(F558)&gt;1),"Remise invalide",IF(K558="","Taux de TVA manquant",IF(NOT(ISNUMBER(K558)),"Taux de TVA invalide",IF(COUNTIF(p_rates,K558)=0,"Taux de TVA hors liste (Paramètres)",IF(N(O558)&gt;25,"Au-delà de 25 lignes : non imprimée","OK")))))))))))))</f>
        <v/>
      </c>
      <c r="O558" s="59" t="str">
        <f>IF(A558="","",COUNTIF($A$6:A558,A558))</f>
        <v/>
      </c>
      <c r="P558" s="62" t="str">
        <f>IF(A558="","",A558&amp;"|"&amp;O558)</f>
        <v/>
      </c>
    </row>
    <row r="559">
      <c r="A559" s="60" t="n"/>
      <c r="B559" s="63" t="n"/>
      <c r="C559" s="63" t="n"/>
      <c r="D559" s="67" t="n"/>
      <c r="E559" s="68" t="n"/>
      <c r="F559" s="69" t="n"/>
      <c r="G559" s="70" t="n"/>
      <c r="H559" s="62" t="str">
        <f>IF(COUNTA(A559:G559)=0,"",IF(C559&lt;&gt;"",C559,IF(B559="","",IFERROR(INDEX(pr_des,MATCH(B559,pr_code,0))&amp;"",""))))</f>
        <v/>
      </c>
      <c r="I559" s="59" t="str">
        <f>IF(B559="","",IFERROR(INDEX(pr_unit,MATCH(B559,pr_code,0))&amp;"",""))</f>
        <v/>
      </c>
      <c r="J559" s="65" t="str">
        <f>IF(COUNTA(A559:G559)=0,"",IF(E559&lt;&gt;"",E559,IF(B559="","",IFERROR(IF(INDEX(pr_price,MATCH(B559,pr_code,0))="","",INDEX(pr_price,MATCH(B559,pr_code,0))),""))))</f>
        <v/>
      </c>
      <c r="K559" s="71" t="str">
        <f>IF(COUNTA(A559:G559)=0,"",IF(G559&lt;&gt;"",G559,IF(B559="","",IFERROR(IF(INDEX(pr_rate,MATCH(B559,pr_code,0))="","",INDEX(pr_rate,MATCH(B559,pr_code,0))),""))))</f>
        <v/>
      </c>
      <c r="L559" s="65" t="str">
        <f>IF(COUNTA(A559:G559)=0,"",IF(AND(ISNUMBER(D559),ISNUMBER(J559)),ROUND(D559*J559*(1-N(F559)),2),0))</f>
        <v/>
      </c>
      <c r="M559" s="62" t="str">
        <f>IF(A559="","",IFERROR(INDEX(dv_cname,MATCH(A559,dv_num,0))&amp;"",""))</f>
        <v/>
      </c>
      <c r="N559" s="59" t="str">
        <f>IF(COUNTA(A559:G559)=0,"",IF(A559="","N° devis manquant",IF(ISNA(MATCH(A559,dv_num,0)),"Devis inconnu",IF(AND(B559&lt;&gt;"",ISNA(MATCH(B559,pr_code,0))),"Article inconnu",IF(H559="","Désignation manquante",IF(OR(NOT(ISNUMBER(D559)),N(D559)&lt;=0),"Quantité invalide",IF(J559="","Prix manquant",IF(OR(NOT(ISNUMBER(J559)),N(J559)&lt;0),"Prix invalide",IF(OR(AND(F559&lt;&gt;"",NOT(ISNUMBER(F559))),N(F559)&lt;0,N(F559)&gt;1),"Remise invalide",IF(K559="","Taux de TVA manquant",IF(NOT(ISNUMBER(K559)),"Taux de TVA invalide",IF(COUNTIF(p_rates,K559)=0,"Taux de TVA hors liste (Paramètres)",IF(N(O559)&gt;25,"Au-delà de 25 lignes : non imprimée","OK")))))))))))))</f>
        <v/>
      </c>
      <c r="O559" s="59" t="str">
        <f>IF(A559="","",COUNTIF($A$6:A559,A559))</f>
        <v/>
      </c>
      <c r="P559" s="62" t="str">
        <f>IF(A559="","",A559&amp;"|"&amp;O559)</f>
        <v/>
      </c>
    </row>
    <row r="560">
      <c r="A560" s="60" t="n"/>
      <c r="B560" s="63" t="n"/>
      <c r="C560" s="63" t="n"/>
      <c r="D560" s="67" t="n"/>
      <c r="E560" s="68" t="n"/>
      <c r="F560" s="69" t="n"/>
      <c r="G560" s="70" t="n"/>
      <c r="H560" s="62" t="str">
        <f>IF(COUNTA(A560:G560)=0,"",IF(C560&lt;&gt;"",C560,IF(B560="","",IFERROR(INDEX(pr_des,MATCH(B560,pr_code,0))&amp;"",""))))</f>
        <v/>
      </c>
      <c r="I560" s="59" t="str">
        <f>IF(B560="","",IFERROR(INDEX(pr_unit,MATCH(B560,pr_code,0))&amp;"",""))</f>
        <v/>
      </c>
      <c r="J560" s="65" t="str">
        <f>IF(COUNTA(A560:G560)=0,"",IF(E560&lt;&gt;"",E560,IF(B560="","",IFERROR(IF(INDEX(pr_price,MATCH(B560,pr_code,0))="","",INDEX(pr_price,MATCH(B560,pr_code,0))),""))))</f>
        <v/>
      </c>
      <c r="K560" s="71" t="str">
        <f>IF(COUNTA(A560:G560)=0,"",IF(G560&lt;&gt;"",G560,IF(B560="","",IFERROR(IF(INDEX(pr_rate,MATCH(B560,pr_code,0))="","",INDEX(pr_rate,MATCH(B560,pr_code,0))),""))))</f>
        <v/>
      </c>
      <c r="L560" s="65" t="str">
        <f>IF(COUNTA(A560:G560)=0,"",IF(AND(ISNUMBER(D560),ISNUMBER(J560)),ROUND(D560*J560*(1-N(F560)),2),0))</f>
        <v/>
      </c>
      <c r="M560" s="62" t="str">
        <f>IF(A560="","",IFERROR(INDEX(dv_cname,MATCH(A560,dv_num,0))&amp;"",""))</f>
        <v/>
      </c>
      <c r="N560" s="59" t="str">
        <f>IF(COUNTA(A560:G560)=0,"",IF(A560="","N° devis manquant",IF(ISNA(MATCH(A560,dv_num,0)),"Devis inconnu",IF(AND(B560&lt;&gt;"",ISNA(MATCH(B560,pr_code,0))),"Article inconnu",IF(H560="","Désignation manquante",IF(OR(NOT(ISNUMBER(D560)),N(D560)&lt;=0),"Quantité invalide",IF(J560="","Prix manquant",IF(OR(NOT(ISNUMBER(J560)),N(J560)&lt;0),"Prix invalide",IF(OR(AND(F560&lt;&gt;"",NOT(ISNUMBER(F560))),N(F560)&lt;0,N(F560)&gt;1),"Remise invalide",IF(K560="","Taux de TVA manquant",IF(NOT(ISNUMBER(K560)),"Taux de TVA invalide",IF(COUNTIF(p_rates,K560)=0,"Taux de TVA hors liste (Paramètres)",IF(N(O560)&gt;25,"Au-delà de 25 lignes : non imprimée","OK")))))))))))))</f>
        <v/>
      </c>
      <c r="O560" s="59" t="str">
        <f>IF(A560="","",COUNTIF($A$6:A560,A560))</f>
        <v/>
      </c>
      <c r="P560" s="62" t="str">
        <f>IF(A560="","",A560&amp;"|"&amp;O560)</f>
        <v/>
      </c>
    </row>
    <row r="561">
      <c r="A561" s="60" t="n"/>
      <c r="B561" s="63" t="n"/>
      <c r="C561" s="63" t="n"/>
      <c r="D561" s="67" t="n"/>
      <c r="E561" s="68" t="n"/>
      <c r="F561" s="69" t="n"/>
      <c r="G561" s="70" t="n"/>
      <c r="H561" s="62" t="str">
        <f>IF(COUNTA(A561:G561)=0,"",IF(C561&lt;&gt;"",C561,IF(B561="","",IFERROR(INDEX(pr_des,MATCH(B561,pr_code,0))&amp;"",""))))</f>
        <v/>
      </c>
      <c r="I561" s="59" t="str">
        <f>IF(B561="","",IFERROR(INDEX(pr_unit,MATCH(B561,pr_code,0))&amp;"",""))</f>
        <v/>
      </c>
      <c r="J561" s="65" t="str">
        <f>IF(COUNTA(A561:G561)=0,"",IF(E561&lt;&gt;"",E561,IF(B561="","",IFERROR(IF(INDEX(pr_price,MATCH(B561,pr_code,0))="","",INDEX(pr_price,MATCH(B561,pr_code,0))),""))))</f>
        <v/>
      </c>
      <c r="K561" s="71" t="str">
        <f>IF(COUNTA(A561:G561)=0,"",IF(G561&lt;&gt;"",G561,IF(B561="","",IFERROR(IF(INDEX(pr_rate,MATCH(B561,pr_code,0))="","",INDEX(pr_rate,MATCH(B561,pr_code,0))),""))))</f>
        <v/>
      </c>
      <c r="L561" s="65" t="str">
        <f>IF(COUNTA(A561:G561)=0,"",IF(AND(ISNUMBER(D561),ISNUMBER(J561)),ROUND(D561*J561*(1-N(F561)),2),0))</f>
        <v/>
      </c>
      <c r="M561" s="62" t="str">
        <f>IF(A561="","",IFERROR(INDEX(dv_cname,MATCH(A561,dv_num,0))&amp;"",""))</f>
        <v/>
      </c>
      <c r="N561" s="59" t="str">
        <f>IF(COUNTA(A561:G561)=0,"",IF(A561="","N° devis manquant",IF(ISNA(MATCH(A561,dv_num,0)),"Devis inconnu",IF(AND(B561&lt;&gt;"",ISNA(MATCH(B561,pr_code,0))),"Article inconnu",IF(H561="","Désignation manquante",IF(OR(NOT(ISNUMBER(D561)),N(D561)&lt;=0),"Quantité invalide",IF(J561="","Prix manquant",IF(OR(NOT(ISNUMBER(J561)),N(J561)&lt;0),"Prix invalide",IF(OR(AND(F561&lt;&gt;"",NOT(ISNUMBER(F561))),N(F561)&lt;0,N(F561)&gt;1),"Remise invalide",IF(K561="","Taux de TVA manquant",IF(NOT(ISNUMBER(K561)),"Taux de TVA invalide",IF(COUNTIF(p_rates,K561)=0,"Taux de TVA hors liste (Paramètres)",IF(N(O561)&gt;25,"Au-delà de 25 lignes : non imprimée","OK")))))))))))))</f>
        <v/>
      </c>
      <c r="O561" s="59" t="str">
        <f>IF(A561="","",COUNTIF($A$6:A561,A561))</f>
        <v/>
      </c>
      <c r="P561" s="62" t="str">
        <f>IF(A561="","",A561&amp;"|"&amp;O561)</f>
        <v/>
      </c>
    </row>
    <row r="562">
      <c r="A562" s="60" t="n"/>
      <c r="B562" s="63" t="n"/>
      <c r="C562" s="63" t="n"/>
      <c r="D562" s="67" t="n"/>
      <c r="E562" s="68" t="n"/>
      <c r="F562" s="69" t="n"/>
      <c r="G562" s="70" t="n"/>
      <c r="H562" s="62" t="str">
        <f>IF(COUNTA(A562:G562)=0,"",IF(C562&lt;&gt;"",C562,IF(B562="","",IFERROR(INDEX(pr_des,MATCH(B562,pr_code,0))&amp;"",""))))</f>
        <v/>
      </c>
      <c r="I562" s="59" t="str">
        <f>IF(B562="","",IFERROR(INDEX(pr_unit,MATCH(B562,pr_code,0))&amp;"",""))</f>
        <v/>
      </c>
      <c r="J562" s="65" t="str">
        <f>IF(COUNTA(A562:G562)=0,"",IF(E562&lt;&gt;"",E562,IF(B562="","",IFERROR(IF(INDEX(pr_price,MATCH(B562,pr_code,0))="","",INDEX(pr_price,MATCH(B562,pr_code,0))),""))))</f>
        <v/>
      </c>
      <c r="K562" s="71" t="str">
        <f>IF(COUNTA(A562:G562)=0,"",IF(G562&lt;&gt;"",G562,IF(B562="","",IFERROR(IF(INDEX(pr_rate,MATCH(B562,pr_code,0))="","",INDEX(pr_rate,MATCH(B562,pr_code,0))),""))))</f>
        <v/>
      </c>
      <c r="L562" s="65" t="str">
        <f>IF(COUNTA(A562:G562)=0,"",IF(AND(ISNUMBER(D562),ISNUMBER(J562)),ROUND(D562*J562*(1-N(F562)),2),0))</f>
        <v/>
      </c>
      <c r="M562" s="62" t="str">
        <f>IF(A562="","",IFERROR(INDEX(dv_cname,MATCH(A562,dv_num,0))&amp;"",""))</f>
        <v/>
      </c>
      <c r="N562" s="59" t="str">
        <f>IF(COUNTA(A562:G562)=0,"",IF(A562="","N° devis manquant",IF(ISNA(MATCH(A562,dv_num,0)),"Devis inconnu",IF(AND(B562&lt;&gt;"",ISNA(MATCH(B562,pr_code,0))),"Article inconnu",IF(H562="","Désignation manquante",IF(OR(NOT(ISNUMBER(D562)),N(D562)&lt;=0),"Quantité invalide",IF(J562="","Prix manquant",IF(OR(NOT(ISNUMBER(J562)),N(J562)&lt;0),"Prix invalide",IF(OR(AND(F562&lt;&gt;"",NOT(ISNUMBER(F562))),N(F562)&lt;0,N(F562)&gt;1),"Remise invalide",IF(K562="","Taux de TVA manquant",IF(NOT(ISNUMBER(K562)),"Taux de TVA invalide",IF(COUNTIF(p_rates,K562)=0,"Taux de TVA hors liste (Paramètres)",IF(N(O562)&gt;25,"Au-delà de 25 lignes : non imprimée","OK")))))))))))))</f>
        <v/>
      </c>
      <c r="O562" s="59" t="str">
        <f>IF(A562="","",COUNTIF($A$6:A562,A562))</f>
        <v/>
      </c>
      <c r="P562" s="62" t="str">
        <f>IF(A562="","",A562&amp;"|"&amp;O562)</f>
        <v/>
      </c>
    </row>
    <row r="563">
      <c r="A563" s="60" t="n"/>
      <c r="B563" s="63" t="n"/>
      <c r="C563" s="63" t="n"/>
      <c r="D563" s="67" t="n"/>
      <c r="E563" s="68" t="n"/>
      <c r="F563" s="69" t="n"/>
      <c r="G563" s="70" t="n"/>
      <c r="H563" s="62" t="str">
        <f>IF(COUNTA(A563:G563)=0,"",IF(C563&lt;&gt;"",C563,IF(B563="","",IFERROR(INDEX(pr_des,MATCH(B563,pr_code,0))&amp;"",""))))</f>
        <v/>
      </c>
      <c r="I563" s="59" t="str">
        <f>IF(B563="","",IFERROR(INDEX(pr_unit,MATCH(B563,pr_code,0))&amp;"",""))</f>
        <v/>
      </c>
      <c r="J563" s="65" t="str">
        <f>IF(COUNTA(A563:G563)=0,"",IF(E563&lt;&gt;"",E563,IF(B563="","",IFERROR(IF(INDEX(pr_price,MATCH(B563,pr_code,0))="","",INDEX(pr_price,MATCH(B563,pr_code,0))),""))))</f>
        <v/>
      </c>
      <c r="K563" s="71" t="str">
        <f>IF(COUNTA(A563:G563)=0,"",IF(G563&lt;&gt;"",G563,IF(B563="","",IFERROR(IF(INDEX(pr_rate,MATCH(B563,pr_code,0))="","",INDEX(pr_rate,MATCH(B563,pr_code,0))),""))))</f>
        <v/>
      </c>
      <c r="L563" s="65" t="str">
        <f>IF(COUNTA(A563:G563)=0,"",IF(AND(ISNUMBER(D563),ISNUMBER(J563)),ROUND(D563*J563*(1-N(F563)),2),0))</f>
        <v/>
      </c>
      <c r="M563" s="62" t="str">
        <f>IF(A563="","",IFERROR(INDEX(dv_cname,MATCH(A563,dv_num,0))&amp;"",""))</f>
        <v/>
      </c>
      <c r="N563" s="59" t="str">
        <f>IF(COUNTA(A563:G563)=0,"",IF(A563="","N° devis manquant",IF(ISNA(MATCH(A563,dv_num,0)),"Devis inconnu",IF(AND(B563&lt;&gt;"",ISNA(MATCH(B563,pr_code,0))),"Article inconnu",IF(H563="","Désignation manquante",IF(OR(NOT(ISNUMBER(D563)),N(D563)&lt;=0),"Quantité invalide",IF(J563="","Prix manquant",IF(OR(NOT(ISNUMBER(J563)),N(J563)&lt;0),"Prix invalide",IF(OR(AND(F563&lt;&gt;"",NOT(ISNUMBER(F563))),N(F563)&lt;0,N(F563)&gt;1),"Remise invalide",IF(K563="","Taux de TVA manquant",IF(NOT(ISNUMBER(K563)),"Taux de TVA invalide",IF(COUNTIF(p_rates,K563)=0,"Taux de TVA hors liste (Paramètres)",IF(N(O563)&gt;25,"Au-delà de 25 lignes : non imprimée","OK")))))))))))))</f>
        <v/>
      </c>
      <c r="O563" s="59" t="str">
        <f>IF(A563="","",COUNTIF($A$6:A563,A563))</f>
        <v/>
      </c>
      <c r="P563" s="62" t="str">
        <f>IF(A563="","",A563&amp;"|"&amp;O563)</f>
        <v/>
      </c>
    </row>
    <row r="564">
      <c r="A564" s="60" t="n"/>
      <c r="B564" s="63" t="n"/>
      <c r="C564" s="63" t="n"/>
      <c r="D564" s="67" t="n"/>
      <c r="E564" s="68" t="n"/>
      <c r="F564" s="69" t="n"/>
      <c r="G564" s="70" t="n"/>
      <c r="H564" s="62" t="str">
        <f>IF(COUNTA(A564:G564)=0,"",IF(C564&lt;&gt;"",C564,IF(B564="","",IFERROR(INDEX(pr_des,MATCH(B564,pr_code,0))&amp;"",""))))</f>
        <v/>
      </c>
      <c r="I564" s="59" t="str">
        <f>IF(B564="","",IFERROR(INDEX(pr_unit,MATCH(B564,pr_code,0))&amp;"",""))</f>
        <v/>
      </c>
      <c r="J564" s="65" t="str">
        <f>IF(COUNTA(A564:G564)=0,"",IF(E564&lt;&gt;"",E564,IF(B564="","",IFERROR(IF(INDEX(pr_price,MATCH(B564,pr_code,0))="","",INDEX(pr_price,MATCH(B564,pr_code,0))),""))))</f>
        <v/>
      </c>
      <c r="K564" s="71" t="str">
        <f>IF(COUNTA(A564:G564)=0,"",IF(G564&lt;&gt;"",G564,IF(B564="","",IFERROR(IF(INDEX(pr_rate,MATCH(B564,pr_code,0))="","",INDEX(pr_rate,MATCH(B564,pr_code,0))),""))))</f>
        <v/>
      </c>
      <c r="L564" s="65" t="str">
        <f>IF(COUNTA(A564:G564)=0,"",IF(AND(ISNUMBER(D564),ISNUMBER(J564)),ROUND(D564*J564*(1-N(F564)),2),0))</f>
        <v/>
      </c>
      <c r="M564" s="62" t="str">
        <f>IF(A564="","",IFERROR(INDEX(dv_cname,MATCH(A564,dv_num,0))&amp;"",""))</f>
        <v/>
      </c>
      <c r="N564" s="59" t="str">
        <f>IF(COUNTA(A564:G564)=0,"",IF(A564="","N° devis manquant",IF(ISNA(MATCH(A564,dv_num,0)),"Devis inconnu",IF(AND(B564&lt;&gt;"",ISNA(MATCH(B564,pr_code,0))),"Article inconnu",IF(H564="","Désignation manquante",IF(OR(NOT(ISNUMBER(D564)),N(D564)&lt;=0),"Quantité invalide",IF(J564="","Prix manquant",IF(OR(NOT(ISNUMBER(J564)),N(J564)&lt;0),"Prix invalide",IF(OR(AND(F564&lt;&gt;"",NOT(ISNUMBER(F564))),N(F564)&lt;0,N(F564)&gt;1),"Remise invalide",IF(K564="","Taux de TVA manquant",IF(NOT(ISNUMBER(K564)),"Taux de TVA invalide",IF(COUNTIF(p_rates,K564)=0,"Taux de TVA hors liste (Paramètres)",IF(N(O564)&gt;25,"Au-delà de 25 lignes : non imprimée","OK")))))))))))))</f>
        <v/>
      </c>
      <c r="O564" s="59" t="str">
        <f>IF(A564="","",COUNTIF($A$6:A564,A564))</f>
        <v/>
      </c>
      <c r="P564" s="62" t="str">
        <f>IF(A564="","",A564&amp;"|"&amp;O564)</f>
        <v/>
      </c>
    </row>
    <row r="565">
      <c r="A565" s="60" t="n"/>
      <c r="B565" s="63" t="n"/>
      <c r="C565" s="63" t="n"/>
      <c r="D565" s="67" t="n"/>
      <c r="E565" s="68" t="n"/>
      <c r="F565" s="69" t="n"/>
      <c r="G565" s="70" t="n"/>
      <c r="H565" s="62" t="str">
        <f>IF(COUNTA(A565:G565)=0,"",IF(C565&lt;&gt;"",C565,IF(B565="","",IFERROR(INDEX(pr_des,MATCH(B565,pr_code,0))&amp;"",""))))</f>
        <v/>
      </c>
      <c r="I565" s="59" t="str">
        <f>IF(B565="","",IFERROR(INDEX(pr_unit,MATCH(B565,pr_code,0))&amp;"",""))</f>
        <v/>
      </c>
      <c r="J565" s="65" t="str">
        <f>IF(COUNTA(A565:G565)=0,"",IF(E565&lt;&gt;"",E565,IF(B565="","",IFERROR(IF(INDEX(pr_price,MATCH(B565,pr_code,0))="","",INDEX(pr_price,MATCH(B565,pr_code,0))),""))))</f>
        <v/>
      </c>
      <c r="K565" s="71" t="str">
        <f>IF(COUNTA(A565:G565)=0,"",IF(G565&lt;&gt;"",G565,IF(B565="","",IFERROR(IF(INDEX(pr_rate,MATCH(B565,pr_code,0))="","",INDEX(pr_rate,MATCH(B565,pr_code,0))),""))))</f>
        <v/>
      </c>
      <c r="L565" s="65" t="str">
        <f>IF(COUNTA(A565:G565)=0,"",IF(AND(ISNUMBER(D565),ISNUMBER(J565)),ROUND(D565*J565*(1-N(F565)),2),0))</f>
        <v/>
      </c>
      <c r="M565" s="62" t="str">
        <f>IF(A565="","",IFERROR(INDEX(dv_cname,MATCH(A565,dv_num,0))&amp;"",""))</f>
        <v/>
      </c>
      <c r="N565" s="59" t="str">
        <f>IF(COUNTA(A565:G565)=0,"",IF(A565="","N° devis manquant",IF(ISNA(MATCH(A565,dv_num,0)),"Devis inconnu",IF(AND(B565&lt;&gt;"",ISNA(MATCH(B565,pr_code,0))),"Article inconnu",IF(H565="","Désignation manquante",IF(OR(NOT(ISNUMBER(D565)),N(D565)&lt;=0),"Quantité invalide",IF(J565="","Prix manquant",IF(OR(NOT(ISNUMBER(J565)),N(J565)&lt;0),"Prix invalide",IF(OR(AND(F565&lt;&gt;"",NOT(ISNUMBER(F565))),N(F565)&lt;0,N(F565)&gt;1),"Remise invalide",IF(K565="","Taux de TVA manquant",IF(NOT(ISNUMBER(K565)),"Taux de TVA invalide",IF(COUNTIF(p_rates,K565)=0,"Taux de TVA hors liste (Paramètres)",IF(N(O565)&gt;25,"Au-delà de 25 lignes : non imprimée","OK")))))))))))))</f>
        <v/>
      </c>
      <c r="O565" s="59" t="str">
        <f>IF(A565="","",COUNTIF($A$6:A565,A565))</f>
        <v/>
      </c>
      <c r="P565" s="62" t="str">
        <f>IF(A565="","",A565&amp;"|"&amp;O565)</f>
        <v/>
      </c>
    </row>
    <row r="566">
      <c r="A566" s="60" t="n"/>
      <c r="B566" s="63" t="n"/>
      <c r="C566" s="63" t="n"/>
      <c r="D566" s="67" t="n"/>
      <c r="E566" s="68" t="n"/>
      <c r="F566" s="69" t="n"/>
      <c r="G566" s="70" t="n"/>
      <c r="H566" s="62" t="str">
        <f>IF(COUNTA(A566:G566)=0,"",IF(C566&lt;&gt;"",C566,IF(B566="","",IFERROR(INDEX(pr_des,MATCH(B566,pr_code,0))&amp;"",""))))</f>
        <v/>
      </c>
      <c r="I566" s="59" t="str">
        <f>IF(B566="","",IFERROR(INDEX(pr_unit,MATCH(B566,pr_code,0))&amp;"",""))</f>
        <v/>
      </c>
      <c r="J566" s="65" t="str">
        <f>IF(COUNTA(A566:G566)=0,"",IF(E566&lt;&gt;"",E566,IF(B566="","",IFERROR(IF(INDEX(pr_price,MATCH(B566,pr_code,0))="","",INDEX(pr_price,MATCH(B566,pr_code,0))),""))))</f>
        <v/>
      </c>
      <c r="K566" s="71" t="str">
        <f>IF(COUNTA(A566:G566)=0,"",IF(G566&lt;&gt;"",G566,IF(B566="","",IFERROR(IF(INDEX(pr_rate,MATCH(B566,pr_code,0))="","",INDEX(pr_rate,MATCH(B566,pr_code,0))),""))))</f>
        <v/>
      </c>
      <c r="L566" s="65" t="str">
        <f>IF(COUNTA(A566:G566)=0,"",IF(AND(ISNUMBER(D566),ISNUMBER(J566)),ROUND(D566*J566*(1-N(F566)),2),0))</f>
        <v/>
      </c>
      <c r="M566" s="62" t="str">
        <f>IF(A566="","",IFERROR(INDEX(dv_cname,MATCH(A566,dv_num,0))&amp;"",""))</f>
        <v/>
      </c>
      <c r="N566" s="59" t="str">
        <f>IF(COUNTA(A566:G566)=0,"",IF(A566="","N° devis manquant",IF(ISNA(MATCH(A566,dv_num,0)),"Devis inconnu",IF(AND(B566&lt;&gt;"",ISNA(MATCH(B566,pr_code,0))),"Article inconnu",IF(H566="","Désignation manquante",IF(OR(NOT(ISNUMBER(D566)),N(D566)&lt;=0),"Quantité invalide",IF(J566="","Prix manquant",IF(OR(NOT(ISNUMBER(J566)),N(J566)&lt;0),"Prix invalide",IF(OR(AND(F566&lt;&gt;"",NOT(ISNUMBER(F566))),N(F566)&lt;0,N(F566)&gt;1),"Remise invalide",IF(K566="","Taux de TVA manquant",IF(NOT(ISNUMBER(K566)),"Taux de TVA invalide",IF(COUNTIF(p_rates,K566)=0,"Taux de TVA hors liste (Paramètres)",IF(N(O566)&gt;25,"Au-delà de 25 lignes : non imprimée","OK")))))))))))))</f>
        <v/>
      </c>
      <c r="O566" s="59" t="str">
        <f>IF(A566="","",COUNTIF($A$6:A566,A566))</f>
        <v/>
      </c>
      <c r="P566" s="62" t="str">
        <f>IF(A566="","",A566&amp;"|"&amp;O566)</f>
        <v/>
      </c>
    </row>
    <row r="567">
      <c r="A567" s="60" t="n"/>
      <c r="B567" s="63" t="n"/>
      <c r="C567" s="63" t="n"/>
      <c r="D567" s="67" t="n"/>
      <c r="E567" s="68" t="n"/>
      <c r="F567" s="69" t="n"/>
      <c r="G567" s="70" t="n"/>
      <c r="H567" s="62" t="str">
        <f>IF(COUNTA(A567:G567)=0,"",IF(C567&lt;&gt;"",C567,IF(B567="","",IFERROR(INDEX(pr_des,MATCH(B567,pr_code,0))&amp;"",""))))</f>
        <v/>
      </c>
      <c r="I567" s="59" t="str">
        <f>IF(B567="","",IFERROR(INDEX(pr_unit,MATCH(B567,pr_code,0))&amp;"",""))</f>
        <v/>
      </c>
      <c r="J567" s="65" t="str">
        <f>IF(COUNTA(A567:G567)=0,"",IF(E567&lt;&gt;"",E567,IF(B567="","",IFERROR(IF(INDEX(pr_price,MATCH(B567,pr_code,0))="","",INDEX(pr_price,MATCH(B567,pr_code,0))),""))))</f>
        <v/>
      </c>
      <c r="K567" s="71" t="str">
        <f>IF(COUNTA(A567:G567)=0,"",IF(G567&lt;&gt;"",G567,IF(B567="","",IFERROR(IF(INDEX(pr_rate,MATCH(B567,pr_code,0))="","",INDEX(pr_rate,MATCH(B567,pr_code,0))),""))))</f>
        <v/>
      </c>
      <c r="L567" s="65" t="str">
        <f>IF(COUNTA(A567:G567)=0,"",IF(AND(ISNUMBER(D567),ISNUMBER(J567)),ROUND(D567*J567*(1-N(F567)),2),0))</f>
        <v/>
      </c>
      <c r="M567" s="62" t="str">
        <f>IF(A567="","",IFERROR(INDEX(dv_cname,MATCH(A567,dv_num,0))&amp;"",""))</f>
        <v/>
      </c>
      <c r="N567" s="59" t="str">
        <f>IF(COUNTA(A567:G567)=0,"",IF(A567="","N° devis manquant",IF(ISNA(MATCH(A567,dv_num,0)),"Devis inconnu",IF(AND(B567&lt;&gt;"",ISNA(MATCH(B567,pr_code,0))),"Article inconnu",IF(H567="","Désignation manquante",IF(OR(NOT(ISNUMBER(D567)),N(D567)&lt;=0),"Quantité invalide",IF(J567="","Prix manquant",IF(OR(NOT(ISNUMBER(J567)),N(J567)&lt;0),"Prix invalide",IF(OR(AND(F567&lt;&gt;"",NOT(ISNUMBER(F567))),N(F567)&lt;0,N(F567)&gt;1),"Remise invalide",IF(K567="","Taux de TVA manquant",IF(NOT(ISNUMBER(K567)),"Taux de TVA invalide",IF(COUNTIF(p_rates,K567)=0,"Taux de TVA hors liste (Paramètres)",IF(N(O567)&gt;25,"Au-delà de 25 lignes : non imprimée","OK")))))))))))))</f>
        <v/>
      </c>
      <c r="O567" s="59" t="str">
        <f>IF(A567="","",COUNTIF($A$6:A567,A567))</f>
        <v/>
      </c>
      <c r="P567" s="62" t="str">
        <f>IF(A567="","",A567&amp;"|"&amp;O567)</f>
        <v/>
      </c>
    </row>
    <row r="568">
      <c r="A568" s="60" t="n"/>
      <c r="B568" s="63" t="n"/>
      <c r="C568" s="63" t="n"/>
      <c r="D568" s="67" t="n"/>
      <c r="E568" s="68" t="n"/>
      <c r="F568" s="69" t="n"/>
      <c r="G568" s="70" t="n"/>
      <c r="H568" s="62" t="str">
        <f>IF(COUNTA(A568:G568)=0,"",IF(C568&lt;&gt;"",C568,IF(B568="","",IFERROR(INDEX(pr_des,MATCH(B568,pr_code,0))&amp;"",""))))</f>
        <v/>
      </c>
      <c r="I568" s="59" t="str">
        <f>IF(B568="","",IFERROR(INDEX(pr_unit,MATCH(B568,pr_code,0))&amp;"",""))</f>
        <v/>
      </c>
      <c r="J568" s="65" t="str">
        <f>IF(COUNTA(A568:G568)=0,"",IF(E568&lt;&gt;"",E568,IF(B568="","",IFERROR(IF(INDEX(pr_price,MATCH(B568,pr_code,0))="","",INDEX(pr_price,MATCH(B568,pr_code,0))),""))))</f>
        <v/>
      </c>
      <c r="K568" s="71" t="str">
        <f>IF(COUNTA(A568:G568)=0,"",IF(G568&lt;&gt;"",G568,IF(B568="","",IFERROR(IF(INDEX(pr_rate,MATCH(B568,pr_code,0))="","",INDEX(pr_rate,MATCH(B568,pr_code,0))),""))))</f>
        <v/>
      </c>
      <c r="L568" s="65" t="str">
        <f>IF(COUNTA(A568:G568)=0,"",IF(AND(ISNUMBER(D568),ISNUMBER(J568)),ROUND(D568*J568*(1-N(F568)),2),0))</f>
        <v/>
      </c>
      <c r="M568" s="62" t="str">
        <f>IF(A568="","",IFERROR(INDEX(dv_cname,MATCH(A568,dv_num,0))&amp;"",""))</f>
        <v/>
      </c>
      <c r="N568" s="59" t="str">
        <f>IF(COUNTA(A568:G568)=0,"",IF(A568="","N° devis manquant",IF(ISNA(MATCH(A568,dv_num,0)),"Devis inconnu",IF(AND(B568&lt;&gt;"",ISNA(MATCH(B568,pr_code,0))),"Article inconnu",IF(H568="","Désignation manquante",IF(OR(NOT(ISNUMBER(D568)),N(D568)&lt;=0),"Quantité invalide",IF(J568="","Prix manquant",IF(OR(NOT(ISNUMBER(J568)),N(J568)&lt;0),"Prix invalide",IF(OR(AND(F568&lt;&gt;"",NOT(ISNUMBER(F568))),N(F568)&lt;0,N(F568)&gt;1),"Remise invalide",IF(K568="","Taux de TVA manquant",IF(NOT(ISNUMBER(K568)),"Taux de TVA invalide",IF(COUNTIF(p_rates,K568)=0,"Taux de TVA hors liste (Paramètres)",IF(N(O568)&gt;25,"Au-delà de 25 lignes : non imprimée","OK")))))))))))))</f>
        <v/>
      </c>
      <c r="O568" s="59" t="str">
        <f>IF(A568="","",COUNTIF($A$6:A568,A568))</f>
        <v/>
      </c>
      <c r="P568" s="62" t="str">
        <f>IF(A568="","",A568&amp;"|"&amp;O568)</f>
        <v/>
      </c>
    </row>
    <row r="569">
      <c r="A569" s="60" t="n"/>
      <c r="B569" s="63" t="n"/>
      <c r="C569" s="63" t="n"/>
      <c r="D569" s="67" t="n"/>
      <c r="E569" s="68" t="n"/>
      <c r="F569" s="69" t="n"/>
      <c r="G569" s="70" t="n"/>
      <c r="H569" s="62" t="str">
        <f>IF(COUNTA(A569:G569)=0,"",IF(C569&lt;&gt;"",C569,IF(B569="","",IFERROR(INDEX(pr_des,MATCH(B569,pr_code,0))&amp;"",""))))</f>
        <v/>
      </c>
      <c r="I569" s="59" t="str">
        <f>IF(B569="","",IFERROR(INDEX(pr_unit,MATCH(B569,pr_code,0))&amp;"",""))</f>
        <v/>
      </c>
      <c r="J569" s="65" t="str">
        <f>IF(COUNTA(A569:G569)=0,"",IF(E569&lt;&gt;"",E569,IF(B569="","",IFERROR(IF(INDEX(pr_price,MATCH(B569,pr_code,0))="","",INDEX(pr_price,MATCH(B569,pr_code,0))),""))))</f>
        <v/>
      </c>
      <c r="K569" s="71" t="str">
        <f>IF(COUNTA(A569:G569)=0,"",IF(G569&lt;&gt;"",G569,IF(B569="","",IFERROR(IF(INDEX(pr_rate,MATCH(B569,pr_code,0))="","",INDEX(pr_rate,MATCH(B569,pr_code,0))),""))))</f>
        <v/>
      </c>
      <c r="L569" s="65" t="str">
        <f>IF(COUNTA(A569:G569)=0,"",IF(AND(ISNUMBER(D569),ISNUMBER(J569)),ROUND(D569*J569*(1-N(F569)),2),0))</f>
        <v/>
      </c>
      <c r="M569" s="62" t="str">
        <f>IF(A569="","",IFERROR(INDEX(dv_cname,MATCH(A569,dv_num,0))&amp;"",""))</f>
        <v/>
      </c>
      <c r="N569" s="59" t="str">
        <f>IF(COUNTA(A569:G569)=0,"",IF(A569="","N° devis manquant",IF(ISNA(MATCH(A569,dv_num,0)),"Devis inconnu",IF(AND(B569&lt;&gt;"",ISNA(MATCH(B569,pr_code,0))),"Article inconnu",IF(H569="","Désignation manquante",IF(OR(NOT(ISNUMBER(D569)),N(D569)&lt;=0),"Quantité invalide",IF(J569="","Prix manquant",IF(OR(NOT(ISNUMBER(J569)),N(J569)&lt;0),"Prix invalide",IF(OR(AND(F569&lt;&gt;"",NOT(ISNUMBER(F569))),N(F569)&lt;0,N(F569)&gt;1),"Remise invalide",IF(K569="","Taux de TVA manquant",IF(NOT(ISNUMBER(K569)),"Taux de TVA invalide",IF(COUNTIF(p_rates,K569)=0,"Taux de TVA hors liste (Paramètres)",IF(N(O569)&gt;25,"Au-delà de 25 lignes : non imprimée","OK")))))))))))))</f>
        <v/>
      </c>
      <c r="O569" s="59" t="str">
        <f>IF(A569="","",COUNTIF($A$6:A569,A569))</f>
        <v/>
      </c>
      <c r="P569" s="62" t="str">
        <f>IF(A569="","",A569&amp;"|"&amp;O569)</f>
        <v/>
      </c>
    </row>
    <row r="570">
      <c r="A570" s="60" t="n"/>
      <c r="B570" s="63" t="n"/>
      <c r="C570" s="63" t="n"/>
      <c r="D570" s="67" t="n"/>
      <c r="E570" s="68" t="n"/>
      <c r="F570" s="69" t="n"/>
      <c r="G570" s="70" t="n"/>
      <c r="H570" s="62" t="str">
        <f>IF(COUNTA(A570:G570)=0,"",IF(C570&lt;&gt;"",C570,IF(B570="","",IFERROR(INDEX(pr_des,MATCH(B570,pr_code,0))&amp;"",""))))</f>
        <v/>
      </c>
      <c r="I570" s="59" t="str">
        <f>IF(B570="","",IFERROR(INDEX(pr_unit,MATCH(B570,pr_code,0))&amp;"",""))</f>
        <v/>
      </c>
      <c r="J570" s="65" t="str">
        <f>IF(COUNTA(A570:G570)=0,"",IF(E570&lt;&gt;"",E570,IF(B570="","",IFERROR(IF(INDEX(pr_price,MATCH(B570,pr_code,0))="","",INDEX(pr_price,MATCH(B570,pr_code,0))),""))))</f>
        <v/>
      </c>
      <c r="K570" s="71" t="str">
        <f>IF(COUNTA(A570:G570)=0,"",IF(G570&lt;&gt;"",G570,IF(B570="","",IFERROR(IF(INDEX(pr_rate,MATCH(B570,pr_code,0))="","",INDEX(pr_rate,MATCH(B570,pr_code,0))),""))))</f>
        <v/>
      </c>
      <c r="L570" s="65" t="str">
        <f>IF(COUNTA(A570:G570)=0,"",IF(AND(ISNUMBER(D570),ISNUMBER(J570)),ROUND(D570*J570*(1-N(F570)),2),0))</f>
        <v/>
      </c>
      <c r="M570" s="62" t="str">
        <f>IF(A570="","",IFERROR(INDEX(dv_cname,MATCH(A570,dv_num,0))&amp;"",""))</f>
        <v/>
      </c>
      <c r="N570" s="59" t="str">
        <f>IF(COUNTA(A570:G570)=0,"",IF(A570="","N° devis manquant",IF(ISNA(MATCH(A570,dv_num,0)),"Devis inconnu",IF(AND(B570&lt;&gt;"",ISNA(MATCH(B570,pr_code,0))),"Article inconnu",IF(H570="","Désignation manquante",IF(OR(NOT(ISNUMBER(D570)),N(D570)&lt;=0),"Quantité invalide",IF(J570="","Prix manquant",IF(OR(NOT(ISNUMBER(J570)),N(J570)&lt;0),"Prix invalide",IF(OR(AND(F570&lt;&gt;"",NOT(ISNUMBER(F570))),N(F570)&lt;0,N(F570)&gt;1),"Remise invalide",IF(K570="","Taux de TVA manquant",IF(NOT(ISNUMBER(K570)),"Taux de TVA invalide",IF(COUNTIF(p_rates,K570)=0,"Taux de TVA hors liste (Paramètres)",IF(N(O570)&gt;25,"Au-delà de 25 lignes : non imprimée","OK")))))))))))))</f>
        <v/>
      </c>
      <c r="O570" s="59" t="str">
        <f>IF(A570="","",COUNTIF($A$6:A570,A570))</f>
        <v/>
      </c>
      <c r="P570" s="62" t="str">
        <f>IF(A570="","",A570&amp;"|"&amp;O570)</f>
        <v/>
      </c>
    </row>
    <row r="571">
      <c r="A571" s="60" t="n"/>
      <c r="B571" s="63" t="n"/>
      <c r="C571" s="63" t="n"/>
      <c r="D571" s="67" t="n"/>
      <c r="E571" s="68" t="n"/>
      <c r="F571" s="69" t="n"/>
      <c r="G571" s="70" t="n"/>
      <c r="H571" s="62" t="str">
        <f>IF(COUNTA(A571:G571)=0,"",IF(C571&lt;&gt;"",C571,IF(B571="","",IFERROR(INDEX(pr_des,MATCH(B571,pr_code,0))&amp;"",""))))</f>
        <v/>
      </c>
      <c r="I571" s="59" t="str">
        <f>IF(B571="","",IFERROR(INDEX(pr_unit,MATCH(B571,pr_code,0))&amp;"",""))</f>
        <v/>
      </c>
      <c r="J571" s="65" t="str">
        <f>IF(COUNTA(A571:G571)=0,"",IF(E571&lt;&gt;"",E571,IF(B571="","",IFERROR(IF(INDEX(pr_price,MATCH(B571,pr_code,0))="","",INDEX(pr_price,MATCH(B571,pr_code,0))),""))))</f>
        <v/>
      </c>
      <c r="K571" s="71" t="str">
        <f>IF(COUNTA(A571:G571)=0,"",IF(G571&lt;&gt;"",G571,IF(B571="","",IFERROR(IF(INDEX(pr_rate,MATCH(B571,pr_code,0))="","",INDEX(pr_rate,MATCH(B571,pr_code,0))),""))))</f>
        <v/>
      </c>
      <c r="L571" s="65" t="str">
        <f>IF(COUNTA(A571:G571)=0,"",IF(AND(ISNUMBER(D571),ISNUMBER(J571)),ROUND(D571*J571*(1-N(F571)),2),0))</f>
        <v/>
      </c>
      <c r="M571" s="62" t="str">
        <f>IF(A571="","",IFERROR(INDEX(dv_cname,MATCH(A571,dv_num,0))&amp;"",""))</f>
        <v/>
      </c>
      <c r="N571" s="59" t="str">
        <f>IF(COUNTA(A571:G571)=0,"",IF(A571="","N° devis manquant",IF(ISNA(MATCH(A571,dv_num,0)),"Devis inconnu",IF(AND(B571&lt;&gt;"",ISNA(MATCH(B571,pr_code,0))),"Article inconnu",IF(H571="","Désignation manquante",IF(OR(NOT(ISNUMBER(D571)),N(D571)&lt;=0),"Quantité invalide",IF(J571="","Prix manquant",IF(OR(NOT(ISNUMBER(J571)),N(J571)&lt;0),"Prix invalide",IF(OR(AND(F571&lt;&gt;"",NOT(ISNUMBER(F571))),N(F571)&lt;0,N(F571)&gt;1),"Remise invalide",IF(K571="","Taux de TVA manquant",IF(NOT(ISNUMBER(K571)),"Taux de TVA invalide",IF(COUNTIF(p_rates,K571)=0,"Taux de TVA hors liste (Paramètres)",IF(N(O571)&gt;25,"Au-delà de 25 lignes : non imprimée","OK")))))))))))))</f>
        <v/>
      </c>
      <c r="O571" s="59" t="str">
        <f>IF(A571="","",COUNTIF($A$6:A571,A571))</f>
        <v/>
      </c>
      <c r="P571" s="62" t="str">
        <f>IF(A571="","",A571&amp;"|"&amp;O571)</f>
        <v/>
      </c>
    </row>
    <row r="572">
      <c r="A572" s="60" t="n"/>
      <c r="B572" s="63" t="n"/>
      <c r="C572" s="63" t="n"/>
      <c r="D572" s="67" t="n"/>
      <c r="E572" s="68" t="n"/>
      <c r="F572" s="69" t="n"/>
      <c r="G572" s="70" t="n"/>
      <c r="H572" s="62" t="str">
        <f>IF(COUNTA(A572:G572)=0,"",IF(C572&lt;&gt;"",C572,IF(B572="","",IFERROR(INDEX(pr_des,MATCH(B572,pr_code,0))&amp;"",""))))</f>
        <v/>
      </c>
      <c r="I572" s="59" t="str">
        <f>IF(B572="","",IFERROR(INDEX(pr_unit,MATCH(B572,pr_code,0))&amp;"",""))</f>
        <v/>
      </c>
      <c r="J572" s="65" t="str">
        <f>IF(COUNTA(A572:G572)=0,"",IF(E572&lt;&gt;"",E572,IF(B572="","",IFERROR(IF(INDEX(pr_price,MATCH(B572,pr_code,0))="","",INDEX(pr_price,MATCH(B572,pr_code,0))),""))))</f>
        <v/>
      </c>
      <c r="K572" s="71" t="str">
        <f>IF(COUNTA(A572:G572)=0,"",IF(G572&lt;&gt;"",G572,IF(B572="","",IFERROR(IF(INDEX(pr_rate,MATCH(B572,pr_code,0))="","",INDEX(pr_rate,MATCH(B572,pr_code,0))),""))))</f>
        <v/>
      </c>
      <c r="L572" s="65" t="str">
        <f>IF(COUNTA(A572:G572)=0,"",IF(AND(ISNUMBER(D572),ISNUMBER(J572)),ROUND(D572*J572*(1-N(F572)),2),0))</f>
        <v/>
      </c>
      <c r="M572" s="62" t="str">
        <f>IF(A572="","",IFERROR(INDEX(dv_cname,MATCH(A572,dv_num,0))&amp;"",""))</f>
        <v/>
      </c>
      <c r="N572" s="59" t="str">
        <f>IF(COUNTA(A572:G572)=0,"",IF(A572="","N° devis manquant",IF(ISNA(MATCH(A572,dv_num,0)),"Devis inconnu",IF(AND(B572&lt;&gt;"",ISNA(MATCH(B572,pr_code,0))),"Article inconnu",IF(H572="","Désignation manquante",IF(OR(NOT(ISNUMBER(D572)),N(D572)&lt;=0),"Quantité invalide",IF(J572="","Prix manquant",IF(OR(NOT(ISNUMBER(J572)),N(J572)&lt;0),"Prix invalide",IF(OR(AND(F572&lt;&gt;"",NOT(ISNUMBER(F572))),N(F572)&lt;0,N(F572)&gt;1),"Remise invalide",IF(K572="","Taux de TVA manquant",IF(NOT(ISNUMBER(K572)),"Taux de TVA invalide",IF(COUNTIF(p_rates,K572)=0,"Taux de TVA hors liste (Paramètres)",IF(N(O572)&gt;25,"Au-delà de 25 lignes : non imprimée","OK")))))))))))))</f>
        <v/>
      </c>
      <c r="O572" s="59" t="str">
        <f>IF(A572="","",COUNTIF($A$6:A572,A572))</f>
        <v/>
      </c>
      <c r="P572" s="62" t="str">
        <f>IF(A572="","",A572&amp;"|"&amp;O572)</f>
        <v/>
      </c>
    </row>
    <row r="573">
      <c r="A573" s="60" t="n"/>
      <c r="B573" s="63" t="n"/>
      <c r="C573" s="63" t="n"/>
      <c r="D573" s="67" t="n"/>
      <c r="E573" s="68" t="n"/>
      <c r="F573" s="69" t="n"/>
      <c r="G573" s="70" t="n"/>
      <c r="H573" s="62" t="str">
        <f>IF(COUNTA(A573:G573)=0,"",IF(C573&lt;&gt;"",C573,IF(B573="","",IFERROR(INDEX(pr_des,MATCH(B573,pr_code,0))&amp;"",""))))</f>
        <v/>
      </c>
      <c r="I573" s="59" t="str">
        <f>IF(B573="","",IFERROR(INDEX(pr_unit,MATCH(B573,pr_code,0))&amp;"",""))</f>
        <v/>
      </c>
      <c r="J573" s="65" t="str">
        <f>IF(COUNTA(A573:G573)=0,"",IF(E573&lt;&gt;"",E573,IF(B573="","",IFERROR(IF(INDEX(pr_price,MATCH(B573,pr_code,0))="","",INDEX(pr_price,MATCH(B573,pr_code,0))),""))))</f>
        <v/>
      </c>
      <c r="K573" s="71" t="str">
        <f>IF(COUNTA(A573:G573)=0,"",IF(G573&lt;&gt;"",G573,IF(B573="","",IFERROR(IF(INDEX(pr_rate,MATCH(B573,pr_code,0))="","",INDEX(pr_rate,MATCH(B573,pr_code,0))),""))))</f>
        <v/>
      </c>
      <c r="L573" s="65" t="str">
        <f>IF(COUNTA(A573:G573)=0,"",IF(AND(ISNUMBER(D573),ISNUMBER(J573)),ROUND(D573*J573*(1-N(F573)),2),0))</f>
        <v/>
      </c>
      <c r="M573" s="62" t="str">
        <f>IF(A573="","",IFERROR(INDEX(dv_cname,MATCH(A573,dv_num,0))&amp;"",""))</f>
        <v/>
      </c>
      <c r="N573" s="59" t="str">
        <f>IF(COUNTA(A573:G573)=0,"",IF(A573="","N° devis manquant",IF(ISNA(MATCH(A573,dv_num,0)),"Devis inconnu",IF(AND(B573&lt;&gt;"",ISNA(MATCH(B573,pr_code,0))),"Article inconnu",IF(H573="","Désignation manquante",IF(OR(NOT(ISNUMBER(D573)),N(D573)&lt;=0),"Quantité invalide",IF(J573="","Prix manquant",IF(OR(NOT(ISNUMBER(J573)),N(J573)&lt;0),"Prix invalide",IF(OR(AND(F573&lt;&gt;"",NOT(ISNUMBER(F573))),N(F573)&lt;0,N(F573)&gt;1),"Remise invalide",IF(K573="","Taux de TVA manquant",IF(NOT(ISNUMBER(K573)),"Taux de TVA invalide",IF(COUNTIF(p_rates,K573)=0,"Taux de TVA hors liste (Paramètres)",IF(N(O573)&gt;25,"Au-delà de 25 lignes : non imprimée","OK")))))))))))))</f>
        <v/>
      </c>
      <c r="O573" s="59" t="str">
        <f>IF(A573="","",COUNTIF($A$6:A573,A573))</f>
        <v/>
      </c>
      <c r="P573" s="62" t="str">
        <f>IF(A573="","",A573&amp;"|"&amp;O573)</f>
        <v/>
      </c>
    </row>
    <row r="574">
      <c r="A574" s="60" t="n"/>
      <c r="B574" s="63" t="n"/>
      <c r="C574" s="63" t="n"/>
      <c r="D574" s="67" t="n"/>
      <c r="E574" s="68" t="n"/>
      <c r="F574" s="69" t="n"/>
      <c r="G574" s="70" t="n"/>
      <c r="H574" s="62" t="str">
        <f>IF(COUNTA(A574:G574)=0,"",IF(C574&lt;&gt;"",C574,IF(B574="","",IFERROR(INDEX(pr_des,MATCH(B574,pr_code,0))&amp;"",""))))</f>
        <v/>
      </c>
      <c r="I574" s="59" t="str">
        <f>IF(B574="","",IFERROR(INDEX(pr_unit,MATCH(B574,pr_code,0))&amp;"",""))</f>
        <v/>
      </c>
      <c r="J574" s="65" t="str">
        <f>IF(COUNTA(A574:G574)=0,"",IF(E574&lt;&gt;"",E574,IF(B574="","",IFERROR(IF(INDEX(pr_price,MATCH(B574,pr_code,0))="","",INDEX(pr_price,MATCH(B574,pr_code,0))),""))))</f>
        <v/>
      </c>
      <c r="K574" s="71" t="str">
        <f>IF(COUNTA(A574:G574)=0,"",IF(G574&lt;&gt;"",G574,IF(B574="","",IFERROR(IF(INDEX(pr_rate,MATCH(B574,pr_code,0))="","",INDEX(pr_rate,MATCH(B574,pr_code,0))),""))))</f>
        <v/>
      </c>
      <c r="L574" s="65" t="str">
        <f>IF(COUNTA(A574:G574)=0,"",IF(AND(ISNUMBER(D574),ISNUMBER(J574)),ROUND(D574*J574*(1-N(F574)),2),0))</f>
        <v/>
      </c>
      <c r="M574" s="62" t="str">
        <f>IF(A574="","",IFERROR(INDEX(dv_cname,MATCH(A574,dv_num,0))&amp;"",""))</f>
        <v/>
      </c>
      <c r="N574" s="59" t="str">
        <f>IF(COUNTA(A574:G574)=0,"",IF(A574="","N° devis manquant",IF(ISNA(MATCH(A574,dv_num,0)),"Devis inconnu",IF(AND(B574&lt;&gt;"",ISNA(MATCH(B574,pr_code,0))),"Article inconnu",IF(H574="","Désignation manquante",IF(OR(NOT(ISNUMBER(D574)),N(D574)&lt;=0),"Quantité invalide",IF(J574="","Prix manquant",IF(OR(NOT(ISNUMBER(J574)),N(J574)&lt;0),"Prix invalide",IF(OR(AND(F574&lt;&gt;"",NOT(ISNUMBER(F574))),N(F574)&lt;0,N(F574)&gt;1),"Remise invalide",IF(K574="","Taux de TVA manquant",IF(NOT(ISNUMBER(K574)),"Taux de TVA invalide",IF(COUNTIF(p_rates,K574)=0,"Taux de TVA hors liste (Paramètres)",IF(N(O574)&gt;25,"Au-delà de 25 lignes : non imprimée","OK")))))))))))))</f>
        <v/>
      </c>
      <c r="O574" s="59" t="str">
        <f>IF(A574="","",COUNTIF($A$6:A574,A574))</f>
        <v/>
      </c>
      <c r="P574" s="62" t="str">
        <f>IF(A574="","",A574&amp;"|"&amp;O574)</f>
        <v/>
      </c>
    </row>
    <row r="575">
      <c r="A575" s="60" t="n"/>
      <c r="B575" s="63" t="n"/>
      <c r="C575" s="63" t="n"/>
      <c r="D575" s="67" t="n"/>
      <c r="E575" s="68" t="n"/>
      <c r="F575" s="69" t="n"/>
      <c r="G575" s="70" t="n"/>
      <c r="H575" s="62" t="str">
        <f>IF(COUNTA(A575:G575)=0,"",IF(C575&lt;&gt;"",C575,IF(B575="","",IFERROR(INDEX(pr_des,MATCH(B575,pr_code,0))&amp;"",""))))</f>
        <v/>
      </c>
      <c r="I575" s="59" t="str">
        <f>IF(B575="","",IFERROR(INDEX(pr_unit,MATCH(B575,pr_code,0))&amp;"",""))</f>
        <v/>
      </c>
      <c r="J575" s="65" t="str">
        <f>IF(COUNTA(A575:G575)=0,"",IF(E575&lt;&gt;"",E575,IF(B575="","",IFERROR(IF(INDEX(pr_price,MATCH(B575,pr_code,0))="","",INDEX(pr_price,MATCH(B575,pr_code,0))),""))))</f>
        <v/>
      </c>
      <c r="K575" s="71" t="str">
        <f>IF(COUNTA(A575:G575)=0,"",IF(G575&lt;&gt;"",G575,IF(B575="","",IFERROR(IF(INDEX(pr_rate,MATCH(B575,pr_code,0))="","",INDEX(pr_rate,MATCH(B575,pr_code,0))),""))))</f>
        <v/>
      </c>
      <c r="L575" s="65" t="str">
        <f>IF(COUNTA(A575:G575)=0,"",IF(AND(ISNUMBER(D575),ISNUMBER(J575)),ROUND(D575*J575*(1-N(F575)),2),0))</f>
        <v/>
      </c>
      <c r="M575" s="62" t="str">
        <f>IF(A575="","",IFERROR(INDEX(dv_cname,MATCH(A575,dv_num,0))&amp;"",""))</f>
        <v/>
      </c>
      <c r="N575" s="59" t="str">
        <f>IF(COUNTA(A575:G575)=0,"",IF(A575="","N° devis manquant",IF(ISNA(MATCH(A575,dv_num,0)),"Devis inconnu",IF(AND(B575&lt;&gt;"",ISNA(MATCH(B575,pr_code,0))),"Article inconnu",IF(H575="","Désignation manquante",IF(OR(NOT(ISNUMBER(D575)),N(D575)&lt;=0),"Quantité invalide",IF(J575="","Prix manquant",IF(OR(NOT(ISNUMBER(J575)),N(J575)&lt;0),"Prix invalide",IF(OR(AND(F575&lt;&gt;"",NOT(ISNUMBER(F575))),N(F575)&lt;0,N(F575)&gt;1),"Remise invalide",IF(K575="","Taux de TVA manquant",IF(NOT(ISNUMBER(K575)),"Taux de TVA invalide",IF(COUNTIF(p_rates,K575)=0,"Taux de TVA hors liste (Paramètres)",IF(N(O575)&gt;25,"Au-delà de 25 lignes : non imprimée","OK")))))))))))))</f>
        <v/>
      </c>
      <c r="O575" s="59" t="str">
        <f>IF(A575="","",COUNTIF($A$6:A575,A575))</f>
        <v/>
      </c>
      <c r="P575" s="62" t="str">
        <f>IF(A575="","",A575&amp;"|"&amp;O575)</f>
        <v/>
      </c>
    </row>
    <row r="576">
      <c r="A576" s="60" t="n"/>
      <c r="B576" s="63" t="n"/>
      <c r="C576" s="63" t="n"/>
      <c r="D576" s="67" t="n"/>
      <c r="E576" s="68" t="n"/>
      <c r="F576" s="69" t="n"/>
      <c r="G576" s="70" t="n"/>
      <c r="H576" s="62" t="str">
        <f>IF(COUNTA(A576:G576)=0,"",IF(C576&lt;&gt;"",C576,IF(B576="","",IFERROR(INDEX(pr_des,MATCH(B576,pr_code,0))&amp;"",""))))</f>
        <v/>
      </c>
      <c r="I576" s="59" t="str">
        <f>IF(B576="","",IFERROR(INDEX(pr_unit,MATCH(B576,pr_code,0))&amp;"",""))</f>
        <v/>
      </c>
      <c r="J576" s="65" t="str">
        <f>IF(COUNTA(A576:G576)=0,"",IF(E576&lt;&gt;"",E576,IF(B576="","",IFERROR(IF(INDEX(pr_price,MATCH(B576,pr_code,0))="","",INDEX(pr_price,MATCH(B576,pr_code,0))),""))))</f>
        <v/>
      </c>
      <c r="K576" s="71" t="str">
        <f>IF(COUNTA(A576:G576)=0,"",IF(G576&lt;&gt;"",G576,IF(B576="","",IFERROR(IF(INDEX(pr_rate,MATCH(B576,pr_code,0))="","",INDEX(pr_rate,MATCH(B576,pr_code,0))),""))))</f>
        <v/>
      </c>
      <c r="L576" s="65" t="str">
        <f>IF(COUNTA(A576:G576)=0,"",IF(AND(ISNUMBER(D576),ISNUMBER(J576)),ROUND(D576*J576*(1-N(F576)),2),0))</f>
        <v/>
      </c>
      <c r="M576" s="62" t="str">
        <f>IF(A576="","",IFERROR(INDEX(dv_cname,MATCH(A576,dv_num,0))&amp;"",""))</f>
        <v/>
      </c>
      <c r="N576" s="59" t="str">
        <f>IF(COUNTA(A576:G576)=0,"",IF(A576="","N° devis manquant",IF(ISNA(MATCH(A576,dv_num,0)),"Devis inconnu",IF(AND(B576&lt;&gt;"",ISNA(MATCH(B576,pr_code,0))),"Article inconnu",IF(H576="","Désignation manquante",IF(OR(NOT(ISNUMBER(D576)),N(D576)&lt;=0),"Quantité invalide",IF(J576="","Prix manquant",IF(OR(NOT(ISNUMBER(J576)),N(J576)&lt;0),"Prix invalide",IF(OR(AND(F576&lt;&gt;"",NOT(ISNUMBER(F576))),N(F576)&lt;0,N(F576)&gt;1),"Remise invalide",IF(K576="","Taux de TVA manquant",IF(NOT(ISNUMBER(K576)),"Taux de TVA invalide",IF(COUNTIF(p_rates,K576)=0,"Taux de TVA hors liste (Paramètres)",IF(N(O576)&gt;25,"Au-delà de 25 lignes : non imprimée","OK")))))))))))))</f>
        <v/>
      </c>
      <c r="O576" s="59" t="str">
        <f>IF(A576="","",COUNTIF($A$6:A576,A576))</f>
        <v/>
      </c>
      <c r="P576" s="62" t="str">
        <f>IF(A576="","",A576&amp;"|"&amp;O576)</f>
        <v/>
      </c>
    </row>
    <row r="577">
      <c r="A577" s="60" t="n"/>
      <c r="B577" s="63" t="n"/>
      <c r="C577" s="63" t="n"/>
      <c r="D577" s="67" t="n"/>
      <c r="E577" s="68" t="n"/>
      <c r="F577" s="69" t="n"/>
      <c r="G577" s="70" t="n"/>
      <c r="H577" s="62" t="str">
        <f>IF(COUNTA(A577:G577)=0,"",IF(C577&lt;&gt;"",C577,IF(B577="","",IFERROR(INDEX(pr_des,MATCH(B577,pr_code,0))&amp;"",""))))</f>
        <v/>
      </c>
      <c r="I577" s="59" t="str">
        <f>IF(B577="","",IFERROR(INDEX(pr_unit,MATCH(B577,pr_code,0))&amp;"",""))</f>
        <v/>
      </c>
      <c r="J577" s="65" t="str">
        <f>IF(COUNTA(A577:G577)=0,"",IF(E577&lt;&gt;"",E577,IF(B577="","",IFERROR(IF(INDEX(pr_price,MATCH(B577,pr_code,0))="","",INDEX(pr_price,MATCH(B577,pr_code,0))),""))))</f>
        <v/>
      </c>
      <c r="K577" s="71" t="str">
        <f>IF(COUNTA(A577:G577)=0,"",IF(G577&lt;&gt;"",G577,IF(B577="","",IFERROR(IF(INDEX(pr_rate,MATCH(B577,pr_code,0))="","",INDEX(pr_rate,MATCH(B577,pr_code,0))),""))))</f>
        <v/>
      </c>
      <c r="L577" s="65" t="str">
        <f>IF(COUNTA(A577:G577)=0,"",IF(AND(ISNUMBER(D577),ISNUMBER(J577)),ROUND(D577*J577*(1-N(F577)),2),0))</f>
        <v/>
      </c>
      <c r="M577" s="62" t="str">
        <f>IF(A577="","",IFERROR(INDEX(dv_cname,MATCH(A577,dv_num,0))&amp;"",""))</f>
        <v/>
      </c>
      <c r="N577" s="59" t="str">
        <f>IF(COUNTA(A577:G577)=0,"",IF(A577="","N° devis manquant",IF(ISNA(MATCH(A577,dv_num,0)),"Devis inconnu",IF(AND(B577&lt;&gt;"",ISNA(MATCH(B577,pr_code,0))),"Article inconnu",IF(H577="","Désignation manquante",IF(OR(NOT(ISNUMBER(D577)),N(D577)&lt;=0),"Quantité invalide",IF(J577="","Prix manquant",IF(OR(NOT(ISNUMBER(J577)),N(J577)&lt;0),"Prix invalide",IF(OR(AND(F577&lt;&gt;"",NOT(ISNUMBER(F577))),N(F577)&lt;0,N(F577)&gt;1),"Remise invalide",IF(K577="","Taux de TVA manquant",IF(NOT(ISNUMBER(K577)),"Taux de TVA invalide",IF(COUNTIF(p_rates,K577)=0,"Taux de TVA hors liste (Paramètres)",IF(N(O577)&gt;25,"Au-delà de 25 lignes : non imprimée","OK")))))))))))))</f>
        <v/>
      </c>
      <c r="O577" s="59" t="str">
        <f>IF(A577="","",COUNTIF($A$6:A577,A577))</f>
        <v/>
      </c>
      <c r="P577" s="62" t="str">
        <f>IF(A577="","",A577&amp;"|"&amp;O577)</f>
        <v/>
      </c>
    </row>
    <row r="578">
      <c r="A578" s="60" t="n"/>
      <c r="B578" s="63" t="n"/>
      <c r="C578" s="63" t="n"/>
      <c r="D578" s="67" t="n"/>
      <c r="E578" s="68" t="n"/>
      <c r="F578" s="69" t="n"/>
      <c r="G578" s="70" t="n"/>
      <c r="H578" s="62" t="str">
        <f>IF(COUNTA(A578:G578)=0,"",IF(C578&lt;&gt;"",C578,IF(B578="","",IFERROR(INDEX(pr_des,MATCH(B578,pr_code,0))&amp;"",""))))</f>
        <v/>
      </c>
      <c r="I578" s="59" t="str">
        <f>IF(B578="","",IFERROR(INDEX(pr_unit,MATCH(B578,pr_code,0))&amp;"",""))</f>
        <v/>
      </c>
      <c r="J578" s="65" t="str">
        <f>IF(COUNTA(A578:G578)=0,"",IF(E578&lt;&gt;"",E578,IF(B578="","",IFERROR(IF(INDEX(pr_price,MATCH(B578,pr_code,0))="","",INDEX(pr_price,MATCH(B578,pr_code,0))),""))))</f>
        <v/>
      </c>
      <c r="K578" s="71" t="str">
        <f>IF(COUNTA(A578:G578)=0,"",IF(G578&lt;&gt;"",G578,IF(B578="","",IFERROR(IF(INDEX(pr_rate,MATCH(B578,pr_code,0))="","",INDEX(pr_rate,MATCH(B578,pr_code,0))),""))))</f>
        <v/>
      </c>
      <c r="L578" s="65" t="str">
        <f>IF(COUNTA(A578:G578)=0,"",IF(AND(ISNUMBER(D578),ISNUMBER(J578)),ROUND(D578*J578*(1-N(F578)),2),0))</f>
        <v/>
      </c>
      <c r="M578" s="62" t="str">
        <f>IF(A578="","",IFERROR(INDEX(dv_cname,MATCH(A578,dv_num,0))&amp;"",""))</f>
        <v/>
      </c>
      <c r="N578" s="59" t="str">
        <f>IF(COUNTA(A578:G578)=0,"",IF(A578="","N° devis manquant",IF(ISNA(MATCH(A578,dv_num,0)),"Devis inconnu",IF(AND(B578&lt;&gt;"",ISNA(MATCH(B578,pr_code,0))),"Article inconnu",IF(H578="","Désignation manquante",IF(OR(NOT(ISNUMBER(D578)),N(D578)&lt;=0),"Quantité invalide",IF(J578="","Prix manquant",IF(OR(NOT(ISNUMBER(J578)),N(J578)&lt;0),"Prix invalide",IF(OR(AND(F578&lt;&gt;"",NOT(ISNUMBER(F578))),N(F578)&lt;0,N(F578)&gt;1),"Remise invalide",IF(K578="","Taux de TVA manquant",IF(NOT(ISNUMBER(K578)),"Taux de TVA invalide",IF(COUNTIF(p_rates,K578)=0,"Taux de TVA hors liste (Paramètres)",IF(N(O578)&gt;25,"Au-delà de 25 lignes : non imprimée","OK")))))))))))))</f>
        <v/>
      </c>
      <c r="O578" s="59" t="str">
        <f>IF(A578="","",COUNTIF($A$6:A578,A578))</f>
        <v/>
      </c>
      <c r="P578" s="62" t="str">
        <f>IF(A578="","",A578&amp;"|"&amp;O578)</f>
        <v/>
      </c>
    </row>
    <row r="579">
      <c r="A579" s="60" t="n"/>
      <c r="B579" s="63" t="n"/>
      <c r="C579" s="63" t="n"/>
      <c r="D579" s="67" t="n"/>
      <c r="E579" s="68" t="n"/>
      <c r="F579" s="69" t="n"/>
      <c r="G579" s="70" t="n"/>
      <c r="H579" s="62" t="str">
        <f>IF(COUNTA(A579:G579)=0,"",IF(C579&lt;&gt;"",C579,IF(B579="","",IFERROR(INDEX(pr_des,MATCH(B579,pr_code,0))&amp;"",""))))</f>
        <v/>
      </c>
      <c r="I579" s="59" t="str">
        <f>IF(B579="","",IFERROR(INDEX(pr_unit,MATCH(B579,pr_code,0))&amp;"",""))</f>
        <v/>
      </c>
      <c r="J579" s="65" t="str">
        <f>IF(COUNTA(A579:G579)=0,"",IF(E579&lt;&gt;"",E579,IF(B579="","",IFERROR(IF(INDEX(pr_price,MATCH(B579,pr_code,0))="","",INDEX(pr_price,MATCH(B579,pr_code,0))),""))))</f>
        <v/>
      </c>
      <c r="K579" s="71" t="str">
        <f>IF(COUNTA(A579:G579)=0,"",IF(G579&lt;&gt;"",G579,IF(B579="","",IFERROR(IF(INDEX(pr_rate,MATCH(B579,pr_code,0))="","",INDEX(pr_rate,MATCH(B579,pr_code,0))),""))))</f>
        <v/>
      </c>
      <c r="L579" s="65" t="str">
        <f>IF(COUNTA(A579:G579)=0,"",IF(AND(ISNUMBER(D579),ISNUMBER(J579)),ROUND(D579*J579*(1-N(F579)),2),0))</f>
        <v/>
      </c>
      <c r="M579" s="62" t="str">
        <f>IF(A579="","",IFERROR(INDEX(dv_cname,MATCH(A579,dv_num,0))&amp;"",""))</f>
        <v/>
      </c>
      <c r="N579" s="59" t="str">
        <f>IF(COUNTA(A579:G579)=0,"",IF(A579="","N° devis manquant",IF(ISNA(MATCH(A579,dv_num,0)),"Devis inconnu",IF(AND(B579&lt;&gt;"",ISNA(MATCH(B579,pr_code,0))),"Article inconnu",IF(H579="","Désignation manquante",IF(OR(NOT(ISNUMBER(D579)),N(D579)&lt;=0),"Quantité invalide",IF(J579="","Prix manquant",IF(OR(NOT(ISNUMBER(J579)),N(J579)&lt;0),"Prix invalide",IF(OR(AND(F579&lt;&gt;"",NOT(ISNUMBER(F579))),N(F579)&lt;0,N(F579)&gt;1),"Remise invalide",IF(K579="","Taux de TVA manquant",IF(NOT(ISNUMBER(K579)),"Taux de TVA invalide",IF(COUNTIF(p_rates,K579)=0,"Taux de TVA hors liste (Paramètres)",IF(N(O579)&gt;25,"Au-delà de 25 lignes : non imprimée","OK")))))))))))))</f>
        <v/>
      </c>
      <c r="O579" s="59" t="str">
        <f>IF(A579="","",COUNTIF($A$6:A579,A579))</f>
        <v/>
      </c>
      <c r="P579" s="62" t="str">
        <f>IF(A579="","",A579&amp;"|"&amp;O579)</f>
        <v/>
      </c>
    </row>
    <row r="580">
      <c r="A580" s="60" t="n"/>
      <c r="B580" s="63" t="n"/>
      <c r="C580" s="63" t="n"/>
      <c r="D580" s="67" t="n"/>
      <c r="E580" s="68" t="n"/>
      <c r="F580" s="69" t="n"/>
      <c r="G580" s="70" t="n"/>
      <c r="H580" s="62" t="str">
        <f>IF(COUNTA(A580:G580)=0,"",IF(C580&lt;&gt;"",C580,IF(B580="","",IFERROR(INDEX(pr_des,MATCH(B580,pr_code,0))&amp;"",""))))</f>
        <v/>
      </c>
      <c r="I580" s="59" t="str">
        <f>IF(B580="","",IFERROR(INDEX(pr_unit,MATCH(B580,pr_code,0))&amp;"",""))</f>
        <v/>
      </c>
      <c r="J580" s="65" t="str">
        <f>IF(COUNTA(A580:G580)=0,"",IF(E580&lt;&gt;"",E580,IF(B580="","",IFERROR(IF(INDEX(pr_price,MATCH(B580,pr_code,0))="","",INDEX(pr_price,MATCH(B580,pr_code,0))),""))))</f>
        <v/>
      </c>
      <c r="K580" s="71" t="str">
        <f>IF(COUNTA(A580:G580)=0,"",IF(G580&lt;&gt;"",G580,IF(B580="","",IFERROR(IF(INDEX(pr_rate,MATCH(B580,pr_code,0))="","",INDEX(pr_rate,MATCH(B580,pr_code,0))),""))))</f>
        <v/>
      </c>
      <c r="L580" s="65" t="str">
        <f>IF(COUNTA(A580:G580)=0,"",IF(AND(ISNUMBER(D580),ISNUMBER(J580)),ROUND(D580*J580*(1-N(F580)),2),0))</f>
        <v/>
      </c>
      <c r="M580" s="62" t="str">
        <f>IF(A580="","",IFERROR(INDEX(dv_cname,MATCH(A580,dv_num,0))&amp;"",""))</f>
        <v/>
      </c>
      <c r="N580" s="59" t="str">
        <f>IF(COUNTA(A580:G580)=0,"",IF(A580="","N° devis manquant",IF(ISNA(MATCH(A580,dv_num,0)),"Devis inconnu",IF(AND(B580&lt;&gt;"",ISNA(MATCH(B580,pr_code,0))),"Article inconnu",IF(H580="","Désignation manquante",IF(OR(NOT(ISNUMBER(D580)),N(D580)&lt;=0),"Quantité invalide",IF(J580="","Prix manquant",IF(OR(NOT(ISNUMBER(J580)),N(J580)&lt;0),"Prix invalide",IF(OR(AND(F580&lt;&gt;"",NOT(ISNUMBER(F580))),N(F580)&lt;0,N(F580)&gt;1),"Remise invalide",IF(K580="","Taux de TVA manquant",IF(NOT(ISNUMBER(K580)),"Taux de TVA invalide",IF(COUNTIF(p_rates,K580)=0,"Taux de TVA hors liste (Paramètres)",IF(N(O580)&gt;25,"Au-delà de 25 lignes : non imprimée","OK")))))))))))))</f>
        <v/>
      </c>
      <c r="O580" s="59" t="str">
        <f>IF(A580="","",COUNTIF($A$6:A580,A580))</f>
        <v/>
      </c>
      <c r="P580" s="62" t="str">
        <f>IF(A580="","",A580&amp;"|"&amp;O580)</f>
        <v/>
      </c>
    </row>
    <row r="581">
      <c r="A581" s="60" t="n"/>
      <c r="B581" s="63" t="n"/>
      <c r="C581" s="63" t="n"/>
      <c r="D581" s="67" t="n"/>
      <c r="E581" s="68" t="n"/>
      <c r="F581" s="69" t="n"/>
      <c r="G581" s="70" t="n"/>
      <c r="H581" s="62" t="str">
        <f>IF(COUNTA(A581:G581)=0,"",IF(C581&lt;&gt;"",C581,IF(B581="","",IFERROR(INDEX(pr_des,MATCH(B581,pr_code,0))&amp;"",""))))</f>
        <v/>
      </c>
      <c r="I581" s="59" t="str">
        <f>IF(B581="","",IFERROR(INDEX(pr_unit,MATCH(B581,pr_code,0))&amp;"",""))</f>
        <v/>
      </c>
      <c r="J581" s="65" t="str">
        <f>IF(COUNTA(A581:G581)=0,"",IF(E581&lt;&gt;"",E581,IF(B581="","",IFERROR(IF(INDEX(pr_price,MATCH(B581,pr_code,0))="","",INDEX(pr_price,MATCH(B581,pr_code,0))),""))))</f>
        <v/>
      </c>
      <c r="K581" s="71" t="str">
        <f>IF(COUNTA(A581:G581)=0,"",IF(G581&lt;&gt;"",G581,IF(B581="","",IFERROR(IF(INDEX(pr_rate,MATCH(B581,pr_code,0))="","",INDEX(pr_rate,MATCH(B581,pr_code,0))),""))))</f>
        <v/>
      </c>
      <c r="L581" s="65" t="str">
        <f>IF(COUNTA(A581:G581)=0,"",IF(AND(ISNUMBER(D581),ISNUMBER(J581)),ROUND(D581*J581*(1-N(F581)),2),0))</f>
        <v/>
      </c>
      <c r="M581" s="62" t="str">
        <f>IF(A581="","",IFERROR(INDEX(dv_cname,MATCH(A581,dv_num,0))&amp;"",""))</f>
        <v/>
      </c>
      <c r="N581" s="59" t="str">
        <f>IF(COUNTA(A581:G581)=0,"",IF(A581="","N° devis manquant",IF(ISNA(MATCH(A581,dv_num,0)),"Devis inconnu",IF(AND(B581&lt;&gt;"",ISNA(MATCH(B581,pr_code,0))),"Article inconnu",IF(H581="","Désignation manquante",IF(OR(NOT(ISNUMBER(D581)),N(D581)&lt;=0),"Quantité invalide",IF(J581="","Prix manquant",IF(OR(NOT(ISNUMBER(J581)),N(J581)&lt;0),"Prix invalide",IF(OR(AND(F581&lt;&gt;"",NOT(ISNUMBER(F581))),N(F581)&lt;0,N(F581)&gt;1),"Remise invalide",IF(K581="","Taux de TVA manquant",IF(NOT(ISNUMBER(K581)),"Taux de TVA invalide",IF(COUNTIF(p_rates,K581)=0,"Taux de TVA hors liste (Paramètres)",IF(N(O581)&gt;25,"Au-delà de 25 lignes : non imprimée","OK")))))))))))))</f>
        <v/>
      </c>
      <c r="O581" s="59" t="str">
        <f>IF(A581="","",COUNTIF($A$6:A581,A581))</f>
        <v/>
      </c>
      <c r="P581" s="62" t="str">
        <f>IF(A581="","",A581&amp;"|"&amp;O581)</f>
        <v/>
      </c>
    </row>
    <row r="582">
      <c r="A582" s="60" t="n"/>
      <c r="B582" s="63" t="n"/>
      <c r="C582" s="63" t="n"/>
      <c r="D582" s="67" t="n"/>
      <c r="E582" s="68" t="n"/>
      <c r="F582" s="69" t="n"/>
      <c r="G582" s="70" t="n"/>
      <c r="H582" s="62" t="str">
        <f>IF(COUNTA(A582:G582)=0,"",IF(C582&lt;&gt;"",C582,IF(B582="","",IFERROR(INDEX(pr_des,MATCH(B582,pr_code,0))&amp;"",""))))</f>
        <v/>
      </c>
      <c r="I582" s="59" t="str">
        <f>IF(B582="","",IFERROR(INDEX(pr_unit,MATCH(B582,pr_code,0))&amp;"",""))</f>
        <v/>
      </c>
      <c r="J582" s="65" t="str">
        <f>IF(COUNTA(A582:G582)=0,"",IF(E582&lt;&gt;"",E582,IF(B582="","",IFERROR(IF(INDEX(pr_price,MATCH(B582,pr_code,0))="","",INDEX(pr_price,MATCH(B582,pr_code,0))),""))))</f>
        <v/>
      </c>
      <c r="K582" s="71" t="str">
        <f>IF(COUNTA(A582:G582)=0,"",IF(G582&lt;&gt;"",G582,IF(B582="","",IFERROR(IF(INDEX(pr_rate,MATCH(B582,pr_code,0))="","",INDEX(pr_rate,MATCH(B582,pr_code,0))),""))))</f>
        <v/>
      </c>
      <c r="L582" s="65" t="str">
        <f>IF(COUNTA(A582:G582)=0,"",IF(AND(ISNUMBER(D582),ISNUMBER(J582)),ROUND(D582*J582*(1-N(F582)),2),0))</f>
        <v/>
      </c>
      <c r="M582" s="62" t="str">
        <f>IF(A582="","",IFERROR(INDEX(dv_cname,MATCH(A582,dv_num,0))&amp;"",""))</f>
        <v/>
      </c>
      <c r="N582" s="59" t="str">
        <f>IF(COUNTA(A582:G582)=0,"",IF(A582="","N° devis manquant",IF(ISNA(MATCH(A582,dv_num,0)),"Devis inconnu",IF(AND(B582&lt;&gt;"",ISNA(MATCH(B582,pr_code,0))),"Article inconnu",IF(H582="","Désignation manquante",IF(OR(NOT(ISNUMBER(D582)),N(D582)&lt;=0),"Quantité invalide",IF(J582="","Prix manquant",IF(OR(NOT(ISNUMBER(J582)),N(J582)&lt;0),"Prix invalide",IF(OR(AND(F582&lt;&gt;"",NOT(ISNUMBER(F582))),N(F582)&lt;0,N(F582)&gt;1),"Remise invalide",IF(K582="","Taux de TVA manquant",IF(NOT(ISNUMBER(K582)),"Taux de TVA invalide",IF(COUNTIF(p_rates,K582)=0,"Taux de TVA hors liste (Paramètres)",IF(N(O582)&gt;25,"Au-delà de 25 lignes : non imprimée","OK")))))))))))))</f>
        <v/>
      </c>
      <c r="O582" s="59" t="str">
        <f>IF(A582="","",COUNTIF($A$6:A582,A582))</f>
        <v/>
      </c>
      <c r="P582" s="62" t="str">
        <f>IF(A582="","",A582&amp;"|"&amp;O582)</f>
        <v/>
      </c>
    </row>
    <row r="583">
      <c r="A583" s="60" t="n"/>
      <c r="B583" s="63" t="n"/>
      <c r="C583" s="63" t="n"/>
      <c r="D583" s="67" t="n"/>
      <c r="E583" s="68" t="n"/>
      <c r="F583" s="69" t="n"/>
      <c r="G583" s="70" t="n"/>
      <c r="H583" s="62" t="str">
        <f>IF(COUNTA(A583:G583)=0,"",IF(C583&lt;&gt;"",C583,IF(B583="","",IFERROR(INDEX(pr_des,MATCH(B583,pr_code,0))&amp;"",""))))</f>
        <v/>
      </c>
      <c r="I583" s="59" t="str">
        <f>IF(B583="","",IFERROR(INDEX(pr_unit,MATCH(B583,pr_code,0))&amp;"",""))</f>
        <v/>
      </c>
      <c r="J583" s="65" t="str">
        <f>IF(COUNTA(A583:G583)=0,"",IF(E583&lt;&gt;"",E583,IF(B583="","",IFERROR(IF(INDEX(pr_price,MATCH(B583,pr_code,0))="","",INDEX(pr_price,MATCH(B583,pr_code,0))),""))))</f>
        <v/>
      </c>
      <c r="K583" s="71" t="str">
        <f>IF(COUNTA(A583:G583)=0,"",IF(G583&lt;&gt;"",G583,IF(B583="","",IFERROR(IF(INDEX(pr_rate,MATCH(B583,pr_code,0))="","",INDEX(pr_rate,MATCH(B583,pr_code,0))),""))))</f>
        <v/>
      </c>
      <c r="L583" s="65" t="str">
        <f>IF(COUNTA(A583:G583)=0,"",IF(AND(ISNUMBER(D583),ISNUMBER(J583)),ROUND(D583*J583*(1-N(F583)),2),0))</f>
        <v/>
      </c>
      <c r="M583" s="62" t="str">
        <f>IF(A583="","",IFERROR(INDEX(dv_cname,MATCH(A583,dv_num,0))&amp;"",""))</f>
        <v/>
      </c>
      <c r="N583" s="59" t="str">
        <f>IF(COUNTA(A583:G583)=0,"",IF(A583="","N° devis manquant",IF(ISNA(MATCH(A583,dv_num,0)),"Devis inconnu",IF(AND(B583&lt;&gt;"",ISNA(MATCH(B583,pr_code,0))),"Article inconnu",IF(H583="","Désignation manquante",IF(OR(NOT(ISNUMBER(D583)),N(D583)&lt;=0),"Quantité invalide",IF(J583="","Prix manquant",IF(OR(NOT(ISNUMBER(J583)),N(J583)&lt;0),"Prix invalide",IF(OR(AND(F583&lt;&gt;"",NOT(ISNUMBER(F583))),N(F583)&lt;0,N(F583)&gt;1),"Remise invalide",IF(K583="","Taux de TVA manquant",IF(NOT(ISNUMBER(K583)),"Taux de TVA invalide",IF(COUNTIF(p_rates,K583)=0,"Taux de TVA hors liste (Paramètres)",IF(N(O583)&gt;25,"Au-delà de 25 lignes : non imprimée","OK")))))))))))))</f>
        <v/>
      </c>
      <c r="O583" s="59" t="str">
        <f>IF(A583="","",COUNTIF($A$6:A583,A583))</f>
        <v/>
      </c>
      <c r="P583" s="62" t="str">
        <f>IF(A583="","",A583&amp;"|"&amp;O583)</f>
        <v/>
      </c>
    </row>
    <row r="584">
      <c r="A584" s="60" t="n"/>
      <c r="B584" s="63" t="n"/>
      <c r="C584" s="63" t="n"/>
      <c r="D584" s="67" t="n"/>
      <c r="E584" s="68" t="n"/>
      <c r="F584" s="69" t="n"/>
      <c r="G584" s="70" t="n"/>
      <c r="H584" s="62" t="str">
        <f>IF(COUNTA(A584:G584)=0,"",IF(C584&lt;&gt;"",C584,IF(B584="","",IFERROR(INDEX(pr_des,MATCH(B584,pr_code,0))&amp;"",""))))</f>
        <v/>
      </c>
      <c r="I584" s="59" t="str">
        <f>IF(B584="","",IFERROR(INDEX(pr_unit,MATCH(B584,pr_code,0))&amp;"",""))</f>
        <v/>
      </c>
      <c r="J584" s="65" t="str">
        <f>IF(COUNTA(A584:G584)=0,"",IF(E584&lt;&gt;"",E584,IF(B584="","",IFERROR(IF(INDEX(pr_price,MATCH(B584,pr_code,0))="","",INDEX(pr_price,MATCH(B584,pr_code,0))),""))))</f>
        <v/>
      </c>
      <c r="K584" s="71" t="str">
        <f>IF(COUNTA(A584:G584)=0,"",IF(G584&lt;&gt;"",G584,IF(B584="","",IFERROR(IF(INDEX(pr_rate,MATCH(B584,pr_code,0))="","",INDEX(pr_rate,MATCH(B584,pr_code,0))),""))))</f>
        <v/>
      </c>
      <c r="L584" s="65" t="str">
        <f>IF(COUNTA(A584:G584)=0,"",IF(AND(ISNUMBER(D584),ISNUMBER(J584)),ROUND(D584*J584*(1-N(F584)),2),0))</f>
        <v/>
      </c>
      <c r="M584" s="62" t="str">
        <f>IF(A584="","",IFERROR(INDEX(dv_cname,MATCH(A584,dv_num,0))&amp;"",""))</f>
        <v/>
      </c>
      <c r="N584" s="59" t="str">
        <f>IF(COUNTA(A584:G584)=0,"",IF(A584="","N° devis manquant",IF(ISNA(MATCH(A584,dv_num,0)),"Devis inconnu",IF(AND(B584&lt;&gt;"",ISNA(MATCH(B584,pr_code,0))),"Article inconnu",IF(H584="","Désignation manquante",IF(OR(NOT(ISNUMBER(D584)),N(D584)&lt;=0),"Quantité invalide",IF(J584="","Prix manquant",IF(OR(NOT(ISNUMBER(J584)),N(J584)&lt;0),"Prix invalide",IF(OR(AND(F584&lt;&gt;"",NOT(ISNUMBER(F584))),N(F584)&lt;0,N(F584)&gt;1),"Remise invalide",IF(K584="","Taux de TVA manquant",IF(NOT(ISNUMBER(K584)),"Taux de TVA invalide",IF(COUNTIF(p_rates,K584)=0,"Taux de TVA hors liste (Paramètres)",IF(N(O584)&gt;25,"Au-delà de 25 lignes : non imprimée","OK")))))))))))))</f>
        <v/>
      </c>
      <c r="O584" s="59" t="str">
        <f>IF(A584="","",COUNTIF($A$6:A584,A584))</f>
        <v/>
      </c>
      <c r="P584" s="62" t="str">
        <f>IF(A584="","",A584&amp;"|"&amp;O584)</f>
        <v/>
      </c>
    </row>
    <row r="585">
      <c r="A585" s="60" t="n"/>
      <c r="B585" s="63" t="n"/>
      <c r="C585" s="63" t="n"/>
      <c r="D585" s="67" t="n"/>
      <c r="E585" s="68" t="n"/>
      <c r="F585" s="69" t="n"/>
      <c r="G585" s="70" t="n"/>
      <c r="H585" s="62" t="str">
        <f>IF(COUNTA(A585:G585)=0,"",IF(C585&lt;&gt;"",C585,IF(B585="","",IFERROR(INDEX(pr_des,MATCH(B585,pr_code,0))&amp;"",""))))</f>
        <v/>
      </c>
      <c r="I585" s="59" t="str">
        <f>IF(B585="","",IFERROR(INDEX(pr_unit,MATCH(B585,pr_code,0))&amp;"",""))</f>
        <v/>
      </c>
      <c r="J585" s="65" t="str">
        <f>IF(COUNTA(A585:G585)=0,"",IF(E585&lt;&gt;"",E585,IF(B585="","",IFERROR(IF(INDEX(pr_price,MATCH(B585,pr_code,0))="","",INDEX(pr_price,MATCH(B585,pr_code,0))),""))))</f>
        <v/>
      </c>
      <c r="K585" s="71" t="str">
        <f>IF(COUNTA(A585:G585)=0,"",IF(G585&lt;&gt;"",G585,IF(B585="","",IFERROR(IF(INDEX(pr_rate,MATCH(B585,pr_code,0))="","",INDEX(pr_rate,MATCH(B585,pr_code,0))),""))))</f>
        <v/>
      </c>
      <c r="L585" s="65" t="str">
        <f>IF(COUNTA(A585:G585)=0,"",IF(AND(ISNUMBER(D585),ISNUMBER(J585)),ROUND(D585*J585*(1-N(F585)),2),0))</f>
        <v/>
      </c>
      <c r="M585" s="62" t="str">
        <f>IF(A585="","",IFERROR(INDEX(dv_cname,MATCH(A585,dv_num,0))&amp;"",""))</f>
        <v/>
      </c>
      <c r="N585" s="59" t="str">
        <f>IF(COUNTA(A585:G585)=0,"",IF(A585="","N° devis manquant",IF(ISNA(MATCH(A585,dv_num,0)),"Devis inconnu",IF(AND(B585&lt;&gt;"",ISNA(MATCH(B585,pr_code,0))),"Article inconnu",IF(H585="","Désignation manquante",IF(OR(NOT(ISNUMBER(D585)),N(D585)&lt;=0),"Quantité invalide",IF(J585="","Prix manquant",IF(OR(NOT(ISNUMBER(J585)),N(J585)&lt;0),"Prix invalide",IF(OR(AND(F585&lt;&gt;"",NOT(ISNUMBER(F585))),N(F585)&lt;0,N(F585)&gt;1),"Remise invalide",IF(K585="","Taux de TVA manquant",IF(NOT(ISNUMBER(K585)),"Taux de TVA invalide",IF(COUNTIF(p_rates,K585)=0,"Taux de TVA hors liste (Paramètres)",IF(N(O585)&gt;25,"Au-delà de 25 lignes : non imprimée","OK")))))))))))))</f>
        <v/>
      </c>
      <c r="O585" s="59" t="str">
        <f>IF(A585="","",COUNTIF($A$6:A585,A585))</f>
        <v/>
      </c>
      <c r="P585" s="62" t="str">
        <f>IF(A585="","",A585&amp;"|"&amp;O585)</f>
        <v/>
      </c>
    </row>
    <row r="586">
      <c r="A586" s="60" t="n"/>
      <c r="B586" s="63" t="n"/>
      <c r="C586" s="63" t="n"/>
      <c r="D586" s="67" t="n"/>
      <c r="E586" s="68" t="n"/>
      <c r="F586" s="69" t="n"/>
      <c r="G586" s="70" t="n"/>
      <c r="H586" s="62" t="str">
        <f>IF(COUNTA(A586:G586)=0,"",IF(C586&lt;&gt;"",C586,IF(B586="","",IFERROR(INDEX(pr_des,MATCH(B586,pr_code,0))&amp;"",""))))</f>
        <v/>
      </c>
      <c r="I586" s="59" t="str">
        <f>IF(B586="","",IFERROR(INDEX(pr_unit,MATCH(B586,pr_code,0))&amp;"",""))</f>
        <v/>
      </c>
      <c r="J586" s="65" t="str">
        <f>IF(COUNTA(A586:G586)=0,"",IF(E586&lt;&gt;"",E586,IF(B586="","",IFERROR(IF(INDEX(pr_price,MATCH(B586,pr_code,0))="","",INDEX(pr_price,MATCH(B586,pr_code,0))),""))))</f>
        <v/>
      </c>
      <c r="K586" s="71" t="str">
        <f>IF(COUNTA(A586:G586)=0,"",IF(G586&lt;&gt;"",G586,IF(B586="","",IFERROR(IF(INDEX(pr_rate,MATCH(B586,pr_code,0))="","",INDEX(pr_rate,MATCH(B586,pr_code,0))),""))))</f>
        <v/>
      </c>
      <c r="L586" s="65" t="str">
        <f>IF(COUNTA(A586:G586)=0,"",IF(AND(ISNUMBER(D586),ISNUMBER(J586)),ROUND(D586*J586*(1-N(F586)),2),0))</f>
        <v/>
      </c>
      <c r="M586" s="62" t="str">
        <f>IF(A586="","",IFERROR(INDEX(dv_cname,MATCH(A586,dv_num,0))&amp;"",""))</f>
        <v/>
      </c>
      <c r="N586" s="59" t="str">
        <f>IF(COUNTA(A586:G586)=0,"",IF(A586="","N° devis manquant",IF(ISNA(MATCH(A586,dv_num,0)),"Devis inconnu",IF(AND(B586&lt;&gt;"",ISNA(MATCH(B586,pr_code,0))),"Article inconnu",IF(H586="","Désignation manquante",IF(OR(NOT(ISNUMBER(D586)),N(D586)&lt;=0),"Quantité invalide",IF(J586="","Prix manquant",IF(OR(NOT(ISNUMBER(J586)),N(J586)&lt;0),"Prix invalide",IF(OR(AND(F586&lt;&gt;"",NOT(ISNUMBER(F586))),N(F586)&lt;0,N(F586)&gt;1),"Remise invalide",IF(K586="","Taux de TVA manquant",IF(NOT(ISNUMBER(K586)),"Taux de TVA invalide",IF(COUNTIF(p_rates,K586)=0,"Taux de TVA hors liste (Paramètres)",IF(N(O586)&gt;25,"Au-delà de 25 lignes : non imprimée","OK")))))))))))))</f>
        <v/>
      </c>
      <c r="O586" s="59" t="str">
        <f>IF(A586="","",COUNTIF($A$6:A586,A586))</f>
        <v/>
      </c>
      <c r="P586" s="62" t="str">
        <f>IF(A586="","",A586&amp;"|"&amp;O586)</f>
        <v/>
      </c>
    </row>
    <row r="587">
      <c r="A587" s="60" t="n"/>
      <c r="B587" s="63" t="n"/>
      <c r="C587" s="63" t="n"/>
      <c r="D587" s="67" t="n"/>
      <c r="E587" s="68" t="n"/>
      <c r="F587" s="69" t="n"/>
      <c r="G587" s="70" t="n"/>
      <c r="H587" s="62" t="str">
        <f>IF(COUNTA(A587:G587)=0,"",IF(C587&lt;&gt;"",C587,IF(B587="","",IFERROR(INDEX(pr_des,MATCH(B587,pr_code,0))&amp;"",""))))</f>
        <v/>
      </c>
      <c r="I587" s="59" t="str">
        <f>IF(B587="","",IFERROR(INDEX(pr_unit,MATCH(B587,pr_code,0))&amp;"",""))</f>
        <v/>
      </c>
      <c r="J587" s="65" t="str">
        <f>IF(COUNTA(A587:G587)=0,"",IF(E587&lt;&gt;"",E587,IF(B587="","",IFERROR(IF(INDEX(pr_price,MATCH(B587,pr_code,0))="","",INDEX(pr_price,MATCH(B587,pr_code,0))),""))))</f>
        <v/>
      </c>
      <c r="K587" s="71" t="str">
        <f>IF(COUNTA(A587:G587)=0,"",IF(G587&lt;&gt;"",G587,IF(B587="","",IFERROR(IF(INDEX(pr_rate,MATCH(B587,pr_code,0))="","",INDEX(pr_rate,MATCH(B587,pr_code,0))),""))))</f>
        <v/>
      </c>
      <c r="L587" s="65" t="str">
        <f>IF(COUNTA(A587:G587)=0,"",IF(AND(ISNUMBER(D587),ISNUMBER(J587)),ROUND(D587*J587*(1-N(F587)),2),0))</f>
        <v/>
      </c>
      <c r="M587" s="62" t="str">
        <f>IF(A587="","",IFERROR(INDEX(dv_cname,MATCH(A587,dv_num,0))&amp;"",""))</f>
        <v/>
      </c>
      <c r="N587" s="59" t="str">
        <f>IF(COUNTA(A587:G587)=0,"",IF(A587="","N° devis manquant",IF(ISNA(MATCH(A587,dv_num,0)),"Devis inconnu",IF(AND(B587&lt;&gt;"",ISNA(MATCH(B587,pr_code,0))),"Article inconnu",IF(H587="","Désignation manquante",IF(OR(NOT(ISNUMBER(D587)),N(D587)&lt;=0),"Quantité invalide",IF(J587="","Prix manquant",IF(OR(NOT(ISNUMBER(J587)),N(J587)&lt;0),"Prix invalide",IF(OR(AND(F587&lt;&gt;"",NOT(ISNUMBER(F587))),N(F587)&lt;0,N(F587)&gt;1),"Remise invalide",IF(K587="","Taux de TVA manquant",IF(NOT(ISNUMBER(K587)),"Taux de TVA invalide",IF(COUNTIF(p_rates,K587)=0,"Taux de TVA hors liste (Paramètres)",IF(N(O587)&gt;25,"Au-delà de 25 lignes : non imprimée","OK")))))))))))))</f>
        <v/>
      </c>
      <c r="O587" s="59" t="str">
        <f>IF(A587="","",COUNTIF($A$6:A587,A587))</f>
        <v/>
      </c>
      <c r="P587" s="62" t="str">
        <f>IF(A587="","",A587&amp;"|"&amp;O587)</f>
        <v/>
      </c>
    </row>
    <row r="588">
      <c r="A588" s="60" t="n"/>
      <c r="B588" s="63" t="n"/>
      <c r="C588" s="63" t="n"/>
      <c r="D588" s="67" t="n"/>
      <c r="E588" s="68" t="n"/>
      <c r="F588" s="69" t="n"/>
      <c r="G588" s="70" t="n"/>
      <c r="H588" s="62" t="str">
        <f>IF(COUNTA(A588:G588)=0,"",IF(C588&lt;&gt;"",C588,IF(B588="","",IFERROR(INDEX(pr_des,MATCH(B588,pr_code,0))&amp;"",""))))</f>
        <v/>
      </c>
      <c r="I588" s="59" t="str">
        <f>IF(B588="","",IFERROR(INDEX(pr_unit,MATCH(B588,pr_code,0))&amp;"",""))</f>
        <v/>
      </c>
      <c r="J588" s="65" t="str">
        <f>IF(COUNTA(A588:G588)=0,"",IF(E588&lt;&gt;"",E588,IF(B588="","",IFERROR(IF(INDEX(pr_price,MATCH(B588,pr_code,0))="","",INDEX(pr_price,MATCH(B588,pr_code,0))),""))))</f>
        <v/>
      </c>
      <c r="K588" s="71" t="str">
        <f>IF(COUNTA(A588:G588)=0,"",IF(G588&lt;&gt;"",G588,IF(B588="","",IFERROR(IF(INDEX(pr_rate,MATCH(B588,pr_code,0))="","",INDEX(pr_rate,MATCH(B588,pr_code,0))),""))))</f>
        <v/>
      </c>
      <c r="L588" s="65" t="str">
        <f>IF(COUNTA(A588:G588)=0,"",IF(AND(ISNUMBER(D588),ISNUMBER(J588)),ROUND(D588*J588*(1-N(F588)),2),0))</f>
        <v/>
      </c>
      <c r="M588" s="62" t="str">
        <f>IF(A588="","",IFERROR(INDEX(dv_cname,MATCH(A588,dv_num,0))&amp;"",""))</f>
        <v/>
      </c>
      <c r="N588" s="59" t="str">
        <f>IF(COUNTA(A588:G588)=0,"",IF(A588="","N° devis manquant",IF(ISNA(MATCH(A588,dv_num,0)),"Devis inconnu",IF(AND(B588&lt;&gt;"",ISNA(MATCH(B588,pr_code,0))),"Article inconnu",IF(H588="","Désignation manquante",IF(OR(NOT(ISNUMBER(D588)),N(D588)&lt;=0),"Quantité invalide",IF(J588="","Prix manquant",IF(OR(NOT(ISNUMBER(J588)),N(J588)&lt;0),"Prix invalide",IF(OR(AND(F588&lt;&gt;"",NOT(ISNUMBER(F588))),N(F588)&lt;0,N(F588)&gt;1),"Remise invalide",IF(K588="","Taux de TVA manquant",IF(NOT(ISNUMBER(K588)),"Taux de TVA invalide",IF(COUNTIF(p_rates,K588)=0,"Taux de TVA hors liste (Paramètres)",IF(N(O588)&gt;25,"Au-delà de 25 lignes : non imprimée","OK")))))))))))))</f>
        <v/>
      </c>
      <c r="O588" s="59" t="str">
        <f>IF(A588="","",COUNTIF($A$6:A588,A588))</f>
        <v/>
      </c>
      <c r="P588" s="62" t="str">
        <f>IF(A588="","",A588&amp;"|"&amp;O588)</f>
        <v/>
      </c>
    </row>
    <row r="589">
      <c r="A589" s="60" t="n"/>
      <c r="B589" s="63" t="n"/>
      <c r="C589" s="63" t="n"/>
      <c r="D589" s="67" t="n"/>
      <c r="E589" s="68" t="n"/>
      <c r="F589" s="69" t="n"/>
      <c r="G589" s="70" t="n"/>
      <c r="H589" s="62" t="str">
        <f>IF(COUNTA(A589:G589)=0,"",IF(C589&lt;&gt;"",C589,IF(B589="","",IFERROR(INDEX(pr_des,MATCH(B589,pr_code,0))&amp;"",""))))</f>
        <v/>
      </c>
      <c r="I589" s="59" t="str">
        <f>IF(B589="","",IFERROR(INDEX(pr_unit,MATCH(B589,pr_code,0))&amp;"",""))</f>
        <v/>
      </c>
      <c r="J589" s="65" t="str">
        <f>IF(COUNTA(A589:G589)=0,"",IF(E589&lt;&gt;"",E589,IF(B589="","",IFERROR(IF(INDEX(pr_price,MATCH(B589,pr_code,0))="","",INDEX(pr_price,MATCH(B589,pr_code,0))),""))))</f>
        <v/>
      </c>
      <c r="K589" s="71" t="str">
        <f>IF(COUNTA(A589:G589)=0,"",IF(G589&lt;&gt;"",G589,IF(B589="","",IFERROR(IF(INDEX(pr_rate,MATCH(B589,pr_code,0))="","",INDEX(pr_rate,MATCH(B589,pr_code,0))),""))))</f>
        <v/>
      </c>
      <c r="L589" s="65" t="str">
        <f>IF(COUNTA(A589:G589)=0,"",IF(AND(ISNUMBER(D589),ISNUMBER(J589)),ROUND(D589*J589*(1-N(F589)),2),0))</f>
        <v/>
      </c>
      <c r="M589" s="62" t="str">
        <f>IF(A589="","",IFERROR(INDEX(dv_cname,MATCH(A589,dv_num,0))&amp;"",""))</f>
        <v/>
      </c>
      <c r="N589" s="59" t="str">
        <f>IF(COUNTA(A589:G589)=0,"",IF(A589="","N° devis manquant",IF(ISNA(MATCH(A589,dv_num,0)),"Devis inconnu",IF(AND(B589&lt;&gt;"",ISNA(MATCH(B589,pr_code,0))),"Article inconnu",IF(H589="","Désignation manquante",IF(OR(NOT(ISNUMBER(D589)),N(D589)&lt;=0),"Quantité invalide",IF(J589="","Prix manquant",IF(OR(NOT(ISNUMBER(J589)),N(J589)&lt;0),"Prix invalide",IF(OR(AND(F589&lt;&gt;"",NOT(ISNUMBER(F589))),N(F589)&lt;0,N(F589)&gt;1),"Remise invalide",IF(K589="","Taux de TVA manquant",IF(NOT(ISNUMBER(K589)),"Taux de TVA invalide",IF(COUNTIF(p_rates,K589)=0,"Taux de TVA hors liste (Paramètres)",IF(N(O589)&gt;25,"Au-delà de 25 lignes : non imprimée","OK")))))))))))))</f>
        <v/>
      </c>
      <c r="O589" s="59" t="str">
        <f>IF(A589="","",COUNTIF($A$6:A589,A589))</f>
        <v/>
      </c>
      <c r="P589" s="62" t="str">
        <f>IF(A589="","",A589&amp;"|"&amp;O589)</f>
        <v/>
      </c>
    </row>
    <row r="590">
      <c r="A590" s="60" t="n"/>
      <c r="B590" s="63" t="n"/>
      <c r="C590" s="63" t="n"/>
      <c r="D590" s="67" t="n"/>
      <c r="E590" s="68" t="n"/>
      <c r="F590" s="69" t="n"/>
      <c r="G590" s="70" t="n"/>
      <c r="H590" s="62" t="str">
        <f>IF(COUNTA(A590:G590)=0,"",IF(C590&lt;&gt;"",C590,IF(B590="","",IFERROR(INDEX(pr_des,MATCH(B590,pr_code,0))&amp;"",""))))</f>
        <v/>
      </c>
      <c r="I590" s="59" t="str">
        <f>IF(B590="","",IFERROR(INDEX(pr_unit,MATCH(B590,pr_code,0))&amp;"",""))</f>
        <v/>
      </c>
      <c r="J590" s="65" t="str">
        <f>IF(COUNTA(A590:G590)=0,"",IF(E590&lt;&gt;"",E590,IF(B590="","",IFERROR(IF(INDEX(pr_price,MATCH(B590,pr_code,0))="","",INDEX(pr_price,MATCH(B590,pr_code,0))),""))))</f>
        <v/>
      </c>
      <c r="K590" s="71" t="str">
        <f>IF(COUNTA(A590:G590)=0,"",IF(G590&lt;&gt;"",G590,IF(B590="","",IFERROR(IF(INDEX(pr_rate,MATCH(B590,pr_code,0))="","",INDEX(pr_rate,MATCH(B590,pr_code,0))),""))))</f>
        <v/>
      </c>
      <c r="L590" s="65" t="str">
        <f>IF(COUNTA(A590:G590)=0,"",IF(AND(ISNUMBER(D590),ISNUMBER(J590)),ROUND(D590*J590*(1-N(F590)),2),0))</f>
        <v/>
      </c>
      <c r="M590" s="62" t="str">
        <f>IF(A590="","",IFERROR(INDEX(dv_cname,MATCH(A590,dv_num,0))&amp;"",""))</f>
        <v/>
      </c>
      <c r="N590" s="59" t="str">
        <f>IF(COUNTA(A590:G590)=0,"",IF(A590="","N° devis manquant",IF(ISNA(MATCH(A590,dv_num,0)),"Devis inconnu",IF(AND(B590&lt;&gt;"",ISNA(MATCH(B590,pr_code,0))),"Article inconnu",IF(H590="","Désignation manquante",IF(OR(NOT(ISNUMBER(D590)),N(D590)&lt;=0),"Quantité invalide",IF(J590="","Prix manquant",IF(OR(NOT(ISNUMBER(J590)),N(J590)&lt;0),"Prix invalide",IF(OR(AND(F590&lt;&gt;"",NOT(ISNUMBER(F590))),N(F590)&lt;0,N(F590)&gt;1),"Remise invalide",IF(K590="","Taux de TVA manquant",IF(NOT(ISNUMBER(K590)),"Taux de TVA invalide",IF(COUNTIF(p_rates,K590)=0,"Taux de TVA hors liste (Paramètres)",IF(N(O590)&gt;25,"Au-delà de 25 lignes : non imprimée","OK")))))))))))))</f>
        <v/>
      </c>
      <c r="O590" s="59" t="str">
        <f>IF(A590="","",COUNTIF($A$6:A590,A590))</f>
        <v/>
      </c>
      <c r="P590" s="62" t="str">
        <f>IF(A590="","",A590&amp;"|"&amp;O590)</f>
        <v/>
      </c>
    </row>
    <row r="591">
      <c r="A591" s="60" t="n"/>
      <c r="B591" s="63" t="n"/>
      <c r="C591" s="63" t="n"/>
      <c r="D591" s="67" t="n"/>
      <c r="E591" s="68" t="n"/>
      <c r="F591" s="69" t="n"/>
      <c r="G591" s="70" t="n"/>
      <c r="H591" s="62" t="str">
        <f>IF(COUNTA(A591:G591)=0,"",IF(C591&lt;&gt;"",C591,IF(B591="","",IFERROR(INDEX(pr_des,MATCH(B591,pr_code,0))&amp;"",""))))</f>
        <v/>
      </c>
      <c r="I591" s="59" t="str">
        <f>IF(B591="","",IFERROR(INDEX(pr_unit,MATCH(B591,pr_code,0))&amp;"",""))</f>
        <v/>
      </c>
      <c r="J591" s="65" t="str">
        <f>IF(COUNTA(A591:G591)=0,"",IF(E591&lt;&gt;"",E591,IF(B591="","",IFERROR(IF(INDEX(pr_price,MATCH(B591,pr_code,0))="","",INDEX(pr_price,MATCH(B591,pr_code,0))),""))))</f>
        <v/>
      </c>
      <c r="K591" s="71" t="str">
        <f>IF(COUNTA(A591:G591)=0,"",IF(G591&lt;&gt;"",G591,IF(B591="","",IFERROR(IF(INDEX(pr_rate,MATCH(B591,pr_code,0))="","",INDEX(pr_rate,MATCH(B591,pr_code,0))),""))))</f>
        <v/>
      </c>
      <c r="L591" s="65" t="str">
        <f>IF(COUNTA(A591:G591)=0,"",IF(AND(ISNUMBER(D591),ISNUMBER(J591)),ROUND(D591*J591*(1-N(F591)),2),0))</f>
        <v/>
      </c>
      <c r="M591" s="62" t="str">
        <f>IF(A591="","",IFERROR(INDEX(dv_cname,MATCH(A591,dv_num,0))&amp;"",""))</f>
        <v/>
      </c>
      <c r="N591" s="59" t="str">
        <f>IF(COUNTA(A591:G591)=0,"",IF(A591="","N° devis manquant",IF(ISNA(MATCH(A591,dv_num,0)),"Devis inconnu",IF(AND(B591&lt;&gt;"",ISNA(MATCH(B591,pr_code,0))),"Article inconnu",IF(H591="","Désignation manquante",IF(OR(NOT(ISNUMBER(D591)),N(D591)&lt;=0),"Quantité invalide",IF(J591="","Prix manquant",IF(OR(NOT(ISNUMBER(J591)),N(J591)&lt;0),"Prix invalide",IF(OR(AND(F591&lt;&gt;"",NOT(ISNUMBER(F591))),N(F591)&lt;0,N(F591)&gt;1),"Remise invalide",IF(K591="","Taux de TVA manquant",IF(NOT(ISNUMBER(K591)),"Taux de TVA invalide",IF(COUNTIF(p_rates,K591)=0,"Taux de TVA hors liste (Paramètres)",IF(N(O591)&gt;25,"Au-delà de 25 lignes : non imprimée","OK")))))))))))))</f>
        <v/>
      </c>
      <c r="O591" s="59" t="str">
        <f>IF(A591="","",COUNTIF($A$6:A591,A591))</f>
        <v/>
      </c>
      <c r="P591" s="62" t="str">
        <f>IF(A591="","",A591&amp;"|"&amp;O591)</f>
        <v/>
      </c>
    </row>
    <row r="592">
      <c r="A592" s="60" t="n"/>
      <c r="B592" s="63" t="n"/>
      <c r="C592" s="63" t="n"/>
      <c r="D592" s="67" t="n"/>
      <c r="E592" s="68" t="n"/>
      <c r="F592" s="69" t="n"/>
      <c r="G592" s="70" t="n"/>
      <c r="H592" s="62" t="str">
        <f>IF(COUNTA(A592:G592)=0,"",IF(C592&lt;&gt;"",C592,IF(B592="","",IFERROR(INDEX(pr_des,MATCH(B592,pr_code,0))&amp;"",""))))</f>
        <v/>
      </c>
      <c r="I592" s="59" t="str">
        <f>IF(B592="","",IFERROR(INDEX(pr_unit,MATCH(B592,pr_code,0))&amp;"",""))</f>
        <v/>
      </c>
      <c r="J592" s="65" t="str">
        <f>IF(COUNTA(A592:G592)=0,"",IF(E592&lt;&gt;"",E592,IF(B592="","",IFERROR(IF(INDEX(pr_price,MATCH(B592,pr_code,0))="","",INDEX(pr_price,MATCH(B592,pr_code,0))),""))))</f>
        <v/>
      </c>
      <c r="K592" s="71" t="str">
        <f>IF(COUNTA(A592:G592)=0,"",IF(G592&lt;&gt;"",G592,IF(B592="","",IFERROR(IF(INDEX(pr_rate,MATCH(B592,pr_code,0))="","",INDEX(pr_rate,MATCH(B592,pr_code,0))),""))))</f>
        <v/>
      </c>
      <c r="L592" s="65" t="str">
        <f>IF(COUNTA(A592:G592)=0,"",IF(AND(ISNUMBER(D592),ISNUMBER(J592)),ROUND(D592*J592*(1-N(F592)),2),0))</f>
        <v/>
      </c>
      <c r="M592" s="62" t="str">
        <f>IF(A592="","",IFERROR(INDEX(dv_cname,MATCH(A592,dv_num,0))&amp;"",""))</f>
        <v/>
      </c>
      <c r="N592" s="59" t="str">
        <f>IF(COUNTA(A592:G592)=0,"",IF(A592="","N° devis manquant",IF(ISNA(MATCH(A592,dv_num,0)),"Devis inconnu",IF(AND(B592&lt;&gt;"",ISNA(MATCH(B592,pr_code,0))),"Article inconnu",IF(H592="","Désignation manquante",IF(OR(NOT(ISNUMBER(D592)),N(D592)&lt;=0),"Quantité invalide",IF(J592="","Prix manquant",IF(OR(NOT(ISNUMBER(J592)),N(J592)&lt;0),"Prix invalide",IF(OR(AND(F592&lt;&gt;"",NOT(ISNUMBER(F592))),N(F592)&lt;0,N(F592)&gt;1),"Remise invalide",IF(K592="","Taux de TVA manquant",IF(NOT(ISNUMBER(K592)),"Taux de TVA invalide",IF(COUNTIF(p_rates,K592)=0,"Taux de TVA hors liste (Paramètres)",IF(N(O592)&gt;25,"Au-delà de 25 lignes : non imprimée","OK")))))))))))))</f>
        <v/>
      </c>
      <c r="O592" s="59" t="str">
        <f>IF(A592="","",COUNTIF($A$6:A592,A592))</f>
        <v/>
      </c>
      <c r="P592" s="62" t="str">
        <f>IF(A592="","",A592&amp;"|"&amp;O592)</f>
        <v/>
      </c>
    </row>
    <row r="593">
      <c r="A593" s="60" t="n"/>
      <c r="B593" s="63" t="n"/>
      <c r="C593" s="63" t="n"/>
      <c r="D593" s="67" t="n"/>
      <c r="E593" s="68" t="n"/>
      <c r="F593" s="69" t="n"/>
      <c r="G593" s="70" t="n"/>
      <c r="H593" s="62" t="str">
        <f>IF(COUNTA(A593:G593)=0,"",IF(C593&lt;&gt;"",C593,IF(B593="","",IFERROR(INDEX(pr_des,MATCH(B593,pr_code,0))&amp;"",""))))</f>
        <v/>
      </c>
      <c r="I593" s="59" t="str">
        <f>IF(B593="","",IFERROR(INDEX(pr_unit,MATCH(B593,pr_code,0))&amp;"",""))</f>
        <v/>
      </c>
      <c r="J593" s="65" t="str">
        <f>IF(COUNTA(A593:G593)=0,"",IF(E593&lt;&gt;"",E593,IF(B593="","",IFERROR(IF(INDEX(pr_price,MATCH(B593,pr_code,0))="","",INDEX(pr_price,MATCH(B593,pr_code,0))),""))))</f>
        <v/>
      </c>
      <c r="K593" s="71" t="str">
        <f>IF(COUNTA(A593:G593)=0,"",IF(G593&lt;&gt;"",G593,IF(B593="","",IFERROR(IF(INDEX(pr_rate,MATCH(B593,pr_code,0))="","",INDEX(pr_rate,MATCH(B593,pr_code,0))),""))))</f>
        <v/>
      </c>
      <c r="L593" s="65" t="str">
        <f>IF(COUNTA(A593:G593)=0,"",IF(AND(ISNUMBER(D593),ISNUMBER(J593)),ROUND(D593*J593*(1-N(F593)),2),0))</f>
        <v/>
      </c>
      <c r="M593" s="62" t="str">
        <f>IF(A593="","",IFERROR(INDEX(dv_cname,MATCH(A593,dv_num,0))&amp;"",""))</f>
        <v/>
      </c>
      <c r="N593" s="59" t="str">
        <f>IF(COUNTA(A593:G593)=0,"",IF(A593="","N° devis manquant",IF(ISNA(MATCH(A593,dv_num,0)),"Devis inconnu",IF(AND(B593&lt;&gt;"",ISNA(MATCH(B593,pr_code,0))),"Article inconnu",IF(H593="","Désignation manquante",IF(OR(NOT(ISNUMBER(D593)),N(D593)&lt;=0),"Quantité invalide",IF(J593="","Prix manquant",IF(OR(NOT(ISNUMBER(J593)),N(J593)&lt;0),"Prix invalide",IF(OR(AND(F593&lt;&gt;"",NOT(ISNUMBER(F593))),N(F593)&lt;0,N(F593)&gt;1),"Remise invalide",IF(K593="","Taux de TVA manquant",IF(NOT(ISNUMBER(K593)),"Taux de TVA invalide",IF(COUNTIF(p_rates,K593)=0,"Taux de TVA hors liste (Paramètres)",IF(N(O593)&gt;25,"Au-delà de 25 lignes : non imprimée","OK")))))))))))))</f>
        <v/>
      </c>
      <c r="O593" s="59" t="str">
        <f>IF(A593="","",COUNTIF($A$6:A593,A593))</f>
        <v/>
      </c>
      <c r="P593" s="62" t="str">
        <f>IF(A593="","",A593&amp;"|"&amp;O593)</f>
        <v/>
      </c>
    </row>
    <row r="594">
      <c r="A594" s="60" t="n"/>
      <c r="B594" s="63" t="n"/>
      <c r="C594" s="63" t="n"/>
      <c r="D594" s="67" t="n"/>
      <c r="E594" s="68" t="n"/>
      <c r="F594" s="69" t="n"/>
      <c r="G594" s="70" t="n"/>
      <c r="H594" s="62" t="str">
        <f>IF(COUNTA(A594:G594)=0,"",IF(C594&lt;&gt;"",C594,IF(B594="","",IFERROR(INDEX(pr_des,MATCH(B594,pr_code,0))&amp;"",""))))</f>
        <v/>
      </c>
      <c r="I594" s="59" t="str">
        <f>IF(B594="","",IFERROR(INDEX(pr_unit,MATCH(B594,pr_code,0))&amp;"",""))</f>
        <v/>
      </c>
      <c r="J594" s="65" t="str">
        <f>IF(COUNTA(A594:G594)=0,"",IF(E594&lt;&gt;"",E594,IF(B594="","",IFERROR(IF(INDEX(pr_price,MATCH(B594,pr_code,0))="","",INDEX(pr_price,MATCH(B594,pr_code,0))),""))))</f>
        <v/>
      </c>
      <c r="K594" s="71" t="str">
        <f>IF(COUNTA(A594:G594)=0,"",IF(G594&lt;&gt;"",G594,IF(B594="","",IFERROR(IF(INDEX(pr_rate,MATCH(B594,pr_code,0))="","",INDEX(pr_rate,MATCH(B594,pr_code,0))),""))))</f>
        <v/>
      </c>
      <c r="L594" s="65" t="str">
        <f>IF(COUNTA(A594:G594)=0,"",IF(AND(ISNUMBER(D594),ISNUMBER(J594)),ROUND(D594*J594*(1-N(F594)),2),0))</f>
        <v/>
      </c>
      <c r="M594" s="62" t="str">
        <f>IF(A594="","",IFERROR(INDEX(dv_cname,MATCH(A594,dv_num,0))&amp;"",""))</f>
        <v/>
      </c>
      <c r="N594" s="59" t="str">
        <f>IF(COUNTA(A594:G594)=0,"",IF(A594="","N° devis manquant",IF(ISNA(MATCH(A594,dv_num,0)),"Devis inconnu",IF(AND(B594&lt;&gt;"",ISNA(MATCH(B594,pr_code,0))),"Article inconnu",IF(H594="","Désignation manquante",IF(OR(NOT(ISNUMBER(D594)),N(D594)&lt;=0),"Quantité invalide",IF(J594="","Prix manquant",IF(OR(NOT(ISNUMBER(J594)),N(J594)&lt;0),"Prix invalide",IF(OR(AND(F594&lt;&gt;"",NOT(ISNUMBER(F594))),N(F594)&lt;0,N(F594)&gt;1),"Remise invalide",IF(K594="","Taux de TVA manquant",IF(NOT(ISNUMBER(K594)),"Taux de TVA invalide",IF(COUNTIF(p_rates,K594)=0,"Taux de TVA hors liste (Paramètres)",IF(N(O594)&gt;25,"Au-delà de 25 lignes : non imprimée","OK")))))))))))))</f>
        <v/>
      </c>
      <c r="O594" s="59" t="str">
        <f>IF(A594="","",COUNTIF($A$6:A594,A594))</f>
        <v/>
      </c>
      <c r="P594" s="62" t="str">
        <f>IF(A594="","",A594&amp;"|"&amp;O594)</f>
        <v/>
      </c>
    </row>
    <row r="595">
      <c r="A595" s="60" t="n"/>
      <c r="B595" s="63" t="n"/>
      <c r="C595" s="63" t="n"/>
      <c r="D595" s="67" t="n"/>
      <c r="E595" s="68" t="n"/>
      <c r="F595" s="69" t="n"/>
      <c r="G595" s="70" t="n"/>
      <c r="H595" s="62" t="str">
        <f>IF(COUNTA(A595:G595)=0,"",IF(C595&lt;&gt;"",C595,IF(B595="","",IFERROR(INDEX(pr_des,MATCH(B595,pr_code,0))&amp;"",""))))</f>
        <v/>
      </c>
      <c r="I595" s="59" t="str">
        <f>IF(B595="","",IFERROR(INDEX(pr_unit,MATCH(B595,pr_code,0))&amp;"",""))</f>
        <v/>
      </c>
      <c r="J595" s="65" t="str">
        <f>IF(COUNTA(A595:G595)=0,"",IF(E595&lt;&gt;"",E595,IF(B595="","",IFERROR(IF(INDEX(pr_price,MATCH(B595,pr_code,0))="","",INDEX(pr_price,MATCH(B595,pr_code,0))),""))))</f>
        <v/>
      </c>
      <c r="K595" s="71" t="str">
        <f>IF(COUNTA(A595:G595)=0,"",IF(G595&lt;&gt;"",G595,IF(B595="","",IFERROR(IF(INDEX(pr_rate,MATCH(B595,pr_code,0))="","",INDEX(pr_rate,MATCH(B595,pr_code,0))),""))))</f>
        <v/>
      </c>
      <c r="L595" s="65" t="str">
        <f>IF(COUNTA(A595:G595)=0,"",IF(AND(ISNUMBER(D595),ISNUMBER(J595)),ROUND(D595*J595*(1-N(F595)),2),0))</f>
        <v/>
      </c>
      <c r="M595" s="62" t="str">
        <f>IF(A595="","",IFERROR(INDEX(dv_cname,MATCH(A595,dv_num,0))&amp;"",""))</f>
        <v/>
      </c>
      <c r="N595" s="59" t="str">
        <f>IF(COUNTA(A595:G595)=0,"",IF(A595="","N° devis manquant",IF(ISNA(MATCH(A595,dv_num,0)),"Devis inconnu",IF(AND(B595&lt;&gt;"",ISNA(MATCH(B595,pr_code,0))),"Article inconnu",IF(H595="","Désignation manquante",IF(OR(NOT(ISNUMBER(D595)),N(D595)&lt;=0),"Quantité invalide",IF(J595="","Prix manquant",IF(OR(NOT(ISNUMBER(J595)),N(J595)&lt;0),"Prix invalide",IF(OR(AND(F595&lt;&gt;"",NOT(ISNUMBER(F595))),N(F595)&lt;0,N(F595)&gt;1),"Remise invalide",IF(K595="","Taux de TVA manquant",IF(NOT(ISNUMBER(K595)),"Taux de TVA invalide",IF(COUNTIF(p_rates,K595)=0,"Taux de TVA hors liste (Paramètres)",IF(N(O595)&gt;25,"Au-delà de 25 lignes : non imprimée","OK")))))))))))))</f>
        <v/>
      </c>
      <c r="O595" s="59" t="str">
        <f>IF(A595="","",COUNTIF($A$6:A595,A595))</f>
        <v/>
      </c>
      <c r="P595" s="62" t="str">
        <f>IF(A595="","",A595&amp;"|"&amp;O595)</f>
        <v/>
      </c>
    </row>
    <row r="596">
      <c r="A596" s="60" t="n"/>
      <c r="B596" s="63" t="n"/>
      <c r="C596" s="63" t="n"/>
      <c r="D596" s="67" t="n"/>
      <c r="E596" s="68" t="n"/>
      <c r="F596" s="69" t="n"/>
      <c r="G596" s="70" t="n"/>
      <c r="H596" s="62" t="str">
        <f>IF(COUNTA(A596:G596)=0,"",IF(C596&lt;&gt;"",C596,IF(B596="","",IFERROR(INDEX(pr_des,MATCH(B596,pr_code,0))&amp;"",""))))</f>
        <v/>
      </c>
      <c r="I596" s="59" t="str">
        <f>IF(B596="","",IFERROR(INDEX(pr_unit,MATCH(B596,pr_code,0))&amp;"",""))</f>
        <v/>
      </c>
      <c r="J596" s="65" t="str">
        <f>IF(COUNTA(A596:G596)=0,"",IF(E596&lt;&gt;"",E596,IF(B596="","",IFERROR(IF(INDEX(pr_price,MATCH(B596,pr_code,0))="","",INDEX(pr_price,MATCH(B596,pr_code,0))),""))))</f>
        <v/>
      </c>
      <c r="K596" s="71" t="str">
        <f>IF(COUNTA(A596:G596)=0,"",IF(G596&lt;&gt;"",G596,IF(B596="","",IFERROR(IF(INDEX(pr_rate,MATCH(B596,pr_code,0))="","",INDEX(pr_rate,MATCH(B596,pr_code,0))),""))))</f>
        <v/>
      </c>
      <c r="L596" s="65" t="str">
        <f>IF(COUNTA(A596:G596)=0,"",IF(AND(ISNUMBER(D596),ISNUMBER(J596)),ROUND(D596*J596*(1-N(F596)),2),0))</f>
        <v/>
      </c>
      <c r="M596" s="62" t="str">
        <f>IF(A596="","",IFERROR(INDEX(dv_cname,MATCH(A596,dv_num,0))&amp;"",""))</f>
        <v/>
      </c>
      <c r="N596" s="59" t="str">
        <f>IF(COUNTA(A596:G596)=0,"",IF(A596="","N° devis manquant",IF(ISNA(MATCH(A596,dv_num,0)),"Devis inconnu",IF(AND(B596&lt;&gt;"",ISNA(MATCH(B596,pr_code,0))),"Article inconnu",IF(H596="","Désignation manquante",IF(OR(NOT(ISNUMBER(D596)),N(D596)&lt;=0),"Quantité invalide",IF(J596="","Prix manquant",IF(OR(NOT(ISNUMBER(J596)),N(J596)&lt;0),"Prix invalide",IF(OR(AND(F596&lt;&gt;"",NOT(ISNUMBER(F596))),N(F596)&lt;0,N(F596)&gt;1),"Remise invalide",IF(K596="","Taux de TVA manquant",IF(NOT(ISNUMBER(K596)),"Taux de TVA invalide",IF(COUNTIF(p_rates,K596)=0,"Taux de TVA hors liste (Paramètres)",IF(N(O596)&gt;25,"Au-delà de 25 lignes : non imprimée","OK")))))))))))))</f>
        <v/>
      </c>
      <c r="O596" s="59" t="str">
        <f>IF(A596="","",COUNTIF($A$6:A596,A596))</f>
        <v/>
      </c>
      <c r="P596" s="62" t="str">
        <f>IF(A596="","",A596&amp;"|"&amp;O596)</f>
        <v/>
      </c>
    </row>
    <row r="597">
      <c r="A597" s="60" t="n"/>
      <c r="B597" s="63" t="n"/>
      <c r="C597" s="63" t="n"/>
      <c r="D597" s="67" t="n"/>
      <c r="E597" s="68" t="n"/>
      <c r="F597" s="69" t="n"/>
      <c r="G597" s="70" t="n"/>
      <c r="H597" s="62" t="str">
        <f>IF(COUNTA(A597:G597)=0,"",IF(C597&lt;&gt;"",C597,IF(B597="","",IFERROR(INDEX(pr_des,MATCH(B597,pr_code,0))&amp;"",""))))</f>
        <v/>
      </c>
      <c r="I597" s="59" t="str">
        <f>IF(B597="","",IFERROR(INDEX(pr_unit,MATCH(B597,pr_code,0))&amp;"",""))</f>
        <v/>
      </c>
      <c r="J597" s="65" t="str">
        <f>IF(COUNTA(A597:G597)=0,"",IF(E597&lt;&gt;"",E597,IF(B597="","",IFERROR(IF(INDEX(pr_price,MATCH(B597,pr_code,0))="","",INDEX(pr_price,MATCH(B597,pr_code,0))),""))))</f>
        <v/>
      </c>
      <c r="K597" s="71" t="str">
        <f>IF(COUNTA(A597:G597)=0,"",IF(G597&lt;&gt;"",G597,IF(B597="","",IFERROR(IF(INDEX(pr_rate,MATCH(B597,pr_code,0))="","",INDEX(pr_rate,MATCH(B597,pr_code,0))),""))))</f>
        <v/>
      </c>
      <c r="L597" s="65" t="str">
        <f>IF(COUNTA(A597:G597)=0,"",IF(AND(ISNUMBER(D597),ISNUMBER(J597)),ROUND(D597*J597*(1-N(F597)),2),0))</f>
        <v/>
      </c>
      <c r="M597" s="62" t="str">
        <f>IF(A597="","",IFERROR(INDEX(dv_cname,MATCH(A597,dv_num,0))&amp;"",""))</f>
        <v/>
      </c>
      <c r="N597" s="59" t="str">
        <f>IF(COUNTA(A597:G597)=0,"",IF(A597="","N° devis manquant",IF(ISNA(MATCH(A597,dv_num,0)),"Devis inconnu",IF(AND(B597&lt;&gt;"",ISNA(MATCH(B597,pr_code,0))),"Article inconnu",IF(H597="","Désignation manquante",IF(OR(NOT(ISNUMBER(D597)),N(D597)&lt;=0),"Quantité invalide",IF(J597="","Prix manquant",IF(OR(NOT(ISNUMBER(J597)),N(J597)&lt;0),"Prix invalide",IF(OR(AND(F597&lt;&gt;"",NOT(ISNUMBER(F597))),N(F597)&lt;0,N(F597)&gt;1),"Remise invalide",IF(K597="","Taux de TVA manquant",IF(NOT(ISNUMBER(K597)),"Taux de TVA invalide",IF(COUNTIF(p_rates,K597)=0,"Taux de TVA hors liste (Paramètres)",IF(N(O597)&gt;25,"Au-delà de 25 lignes : non imprimée","OK")))))))))))))</f>
        <v/>
      </c>
      <c r="O597" s="59" t="str">
        <f>IF(A597="","",COUNTIF($A$6:A597,A597))</f>
        <v/>
      </c>
      <c r="P597" s="62" t="str">
        <f>IF(A597="","",A597&amp;"|"&amp;O597)</f>
        <v/>
      </c>
    </row>
    <row r="598">
      <c r="A598" s="60" t="n"/>
      <c r="B598" s="63" t="n"/>
      <c r="C598" s="63" t="n"/>
      <c r="D598" s="67" t="n"/>
      <c r="E598" s="68" t="n"/>
      <c r="F598" s="69" t="n"/>
      <c r="G598" s="70" t="n"/>
      <c r="H598" s="62" t="str">
        <f>IF(COUNTA(A598:G598)=0,"",IF(C598&lt;&gt;"",C598,IF(B598="","",IFERROR(INDEX(pr_des,MATCH(B598,pr_code,0))&amp;"",""))))</f>
        <v/>
      </c>
      <c r="I598" s="59" t="str">
        <f>IF(B598="","",IFERROR(INDEX(pr_unit,MATCH(B598,pr_code,0))&amp;"",""))</f>
        <v/>
      </c>
      <c r="J598" s="65" t="str">
        <f>IF(COUNTA(A598:G598)=0,"",IF(E598&lt;&gt;"",E598,IF(B598="","",IFERROR(IF(INDEX(pr_price,MATCH(B598,pr_code,0))="","",INDEX(pr_price,MATCH(B598,pr_code,0))),""))))</f>
        <v/>
      </c>
      <c r="K598" s="71" t="str">
        <f>IF(COUNTA(A598:G598)=0,"",IF(G598&lt;&gt;"",G598,IF(B598="","",IFERROR(IF(INDEX(pr_rate,MATCH(B598,pr_code,0))="","",INDEX(pr_rate,MATCH(B598,pr_code,0))),""))))</f>
        <v/>
      </c>
      <c r="L598" s="65" t="str">
        <f>IF(COUNTA(A598:G598)=0,"",IF(AND(ISNUMBER(D598),ISNUMBER(J598)),ROUND(D598*J598*(1-N(F598)),2),0))</f>
        <v/>
      </c>
      <c r="M598" s="62" t="str">
        <f>IF(A598="","",IFERROR(INDEX(dv_cname,MATCH(A598,dv_num,0))&amp;"",""))</f>
        <v/>
      </c>
      <c r="N598" s="59" t="str">
        <f>IF(COUNTA(A598:G598)=0,"",IF(A598="","N° devis manquant",IF(ISNA(MATCH(A598,dv_num,0)),"Devis inconnu",IF(AND(B598&lt;&gt;"",ISNA(MATCH(B598,pr_code,0))),"Article inconnu",IF(H598="","Désignation manquante",IF(OR(NOT(ISNUMBER(D598)),N(D598)&lt;=0),"Quantité invalide",IF(J598="","Prix manquant",IF(OR(NOT(ISNUMBER(J598)),N(J598)&lt;0),"Prix invalide",IF(OR(AND(F598&lt;&gt;"",NOT(ISNUMBER(F598))),N(F598)&lt;0,N(F598)&gt;1),"Remise invalide",IF(K598="","Taux de TVA manquant",IF(NOT(ISNUMBER(K598)),"Taux de TVA invalide",IF(COUNTIF(p_rates,K598)=0,"Taux de TVA hors liste (Paramètres)",IF(N(O598)&gt;25,"Au-delà de 25 lignes : non imprimée","OK")))))))))))))</f>
        <v/>
      </c>
      <c r="O598" s="59" t="str">
        <f>IF(A598="","",COUNTIF($A$6:A598,A598))</f>
        <v/>
      </c>
      <c r="P598" s="62" t="str">
        <f>IF(A598="","",A598&amp;"|"&amp;O598)</f>
        <v/>
      </c>
    </row>
    <row r="599">
      <c r="A599" s="60" t="n"/>
      <c r="B599" s="63" t="n"/>
      <c r="C599" s="63" t="n"/>
      <c r="D599" s="67" t="n"/>
      <c r="E599" s="68" t="n"/>
      <c r="F599" s="69" t="n"/>
      <c r="G599" s="70" t="n"/>
      <c r="H599" s="62" t="str">
        <f>IF(COUNTA(A599:G599)=0,"",IF(C599&lt;&gt;"",C599,IF(B599="","",IFERROR(INDEX(pr_des,MATCH(B599,pr_code,0))&amp;"",""))))</f>
        <v/>
      </c>
      <c r="I599" s="59" t="str">
        <f>IF(B599="","",IFERROR(INDEX(pr_unit,MATCH(B599,pr_code,0))&amp;"",""))</f>
        <v/>
      </c>
      <c r="J599" s="65" t="str">
        <f>IF(COUNTA(A599:G599)=0,"",IF(E599&lt;&gt;"",E599,IF(B599="","",IFERROR(IF(INDEX(pr_price,MATCH(B599,pr_code,0))="","",INDEX(pr_price,MATCH(B599,pr_code,0))),""))))</f>
        <v/>
      </c>
      <c r="K599" s="71" t="str">
        <f>IF(COUNTA(A599:G599)=0,"",IF(G599&lt;&gt;"",G599,IF(B599="","",IFERROR(IF(INDEX(pr_rate,MATCH(B599,pr_code,0))="","",INDEX(pr_rate,MATCH(B599,pr_code,0))),""))))</f>
        <v/>
      </c>
      <c r="L599" s="65" t="str">
        <f>IF(COUNTA(A599:G599)=0,"",IF(AND(ISNUMBER(D599),ISNUMBER(J599)),ROUND(D599*J599*(1-N(F599)),2),0))</f>
        <v/>
      </c>
      <c r="M599" s="62" t="str">
        <f>IF(A599="","",IFERROR(INDEX(dv_cname,MATCH(A599,dv_num,0))&amp;"",""))</f>
        <v/>
      </c>
      <c r="N599" s="59" t="str">
        <f>IF(COUNTA(A599:G599)=0,"",IF(A599="","N° devis manquant",IF(ISNA(MATCH(A599,dv_num,0)),"Devis inconnu",IF(AND(B599&lt;&gt;"",ISNA(MATCH(B599,pr_code,0))),"Article inconnu",IF(H599="","Désignation manquante",IF(OR(NOT(ISNUMBER(D599)),N(D599)&lt;=0),"Quantité invalide",IF(J599="","Prix manquant",IF(OR(NOT(ISNUMBER(J599)),N(J599)&lt;0),"Prix invalide",IF(OR(AND(F599&lt;&gt;"",NOT(ISNUMBER(F599))),N(F599)&lt;0,N(F599)&gt;1),"Remise invalide",IF(K599="","Taux de TVA manquant",IF(NOT(ISNUMBER(K599)),"Taux de TVA invalide",IF(COUNTIF(p_rates,K599)=0,"Taux de TVA hors liste (Paramètres)",IF(N(O599)&gt;25,"Au-delà de 25 lignes : non imprimée","OK")))))))))))))</f>
        <v/>
      </c>
      <c r="O599" s="59" t="str">
        <f>IF(A599="","",COUNTIF($A$6:A599,A599))</f>
        <v/>
      </c>
      <c r="P599" s="62" t="str">
        <f>IF(A599="","",A599&amp;"|"&amp;O599)</f>
        <v/>
      </c>
    </row>
    <row r="600">
      <c r="A600" s="60" t="n"/>
      <c r="B600" s="63" t="n"/>
      <c r="C600" s="63" t="n"/>
      <c r="D600" s="67" t="n"/>
      <c r="E600" s="68" t="n"/>
      <c r="F600" s="69" t="n"/>
      <c r="G600" s="70" t="n"/>
      <c r="H600" s="62" t="str">
        <f>IF(COUNTA(A600:G600)=0,"",IF(C600&lt;&gt;"",C600,IF(B600="","",IFERROR(INDEX(pr_des,MATCH(B600,pr_code,0))&amp;"",""))))</f>
        <v/>
      </c>
      <c r="I600" s="59" t="str">
        <f>IF(B600="","",IFERROR(INDEX(pr_unit,MATCH(B600,pr_code,0))&amp;"",""))</f>
        <v/>
      </c>
      <c r="J600" s="65" t="str">
        <f>IF(COUNTA(A600:G600)=0,"",IF(E600&lt;&gt;"",E600,IF(B600="","",IFERROR(IF(INDEX(pr_price,MATCH(B600,pr_code,0))="","",INDEX(pr_price,MATCH(B600,pr_code,0))),""))))</f>
        <v/>
      </c>
      <c r="K600" s="71" t="str">
        <f>IF(COUNTA(A600:G600)=0,"",IF(G600&lt;&gt;"",G600,IF(B600="","",IFERROR(IF(INDEX(pr_rate,MATCH(B600,pr_code,0))="","",INDEX(pr_rate,MATCH(B600,pr_code,0))),""))))</f>
        <v/>
      </c>
      <c r="L600" s="65" t="str">
        <f>IF(COUNTA(A600:G600)=0,"",IF(AND(ISNUMBER(D600),ISNUMBER(J600)),ROUND(D600*J600*(1-N(F600)),2),0))</f>
        <v/>
      </c>
      <c r="M600" s="62" t="str">
        <f>IF(A600="","",IFERROR(INDEX(dv_cname,MATCH(A600,dv_num,0))&amp;"",""))</f>
        <v/>
      </c>
      <c r="N600" s="59" t="str">
        <f>IF(COUNTA(A600:G600)=0,"",IF(A600="","N° devis manquant",IF(ISNA(MATCH(A600,dv_num,0)),"Devis inconnu",IF(AND(B600&lt;&gt;"",ISNA(MATCH(B600,pr_code,0))),"Article inconnu",IF(H600="","Désignation manquante",IF(OR(NOT(ISNUMBER(D600)),N(D600)&lt;=0),"Quantité invalide",IF(J600="","Prix manquant",IF(OR(NOT(ISNUMBER(J600)),N(J600)&lt;0),"Prix invalide",IF(OR(AND(F600&lt;&gt;"",NOT(ISNUMBER(F600))),N(F600)&lt;0,N(F600)&gt;1),"Remise invalide",IF(K600="","Taux de TVA manquant",IF(NOT(ISNUMBER(K600)),"Taux de TVA invalide",IF(COUNTIF(p_rates,K600)=0,"Taux de TVA hors liste (Paramètres)",IF(N(O600)&gt;25,"Au-delà de 25 lignes : non imprimée","OK")))))))))))))</f>
        <v/>
      </c>
      <c r="O600" s="59" t="str">
        <f>IF(A600="","",COUNTIF($A$6:A600,A600))</f>
        <v/>
      </c>
      <c r="P600" s="62" t="str">
        <f>IF(A600="","",A600&amp;"|"&amp;O600)</f>
        <v/>
      </c>
    </row>
    <row r="601">
      <c r="A601" s="60" t="n"/>
      <c r="B601" s="63" t="n"/>
      <c r="C601" s="63" t="n"/>
      <c r="D601" s="67" t="n"/>
      <c r="E601" s="68" t="n"/>
      <c r="F601" s="69" t="n"/>
      <c r="G601" s="70" t="n"/>
      <c r="H601" s="62" t="str">
        <f>IF(COUNTA(A601:G601)=0,"",IF(C601&lt;&gt;"",C601,IF(B601="","",IFERROR(INDEX(pr_des,MATCH(B601,pr_code,0))&amp;"",""))))</f>
        <v/>
      </c>
      <c r="I601" s="59" t="str">
        <f>IF(B601="","",IFERROR(INDEX(pr_unit,MATCH(B601,pr_code,0))&amp;"",""))</f>
        <v/>
      </c>
      <c r="J601" s="65" t="str">
        <f>IF(COUNTA(A601:G601)=0,"",IF(E601&lt;&gt;"",E601,IF(B601="","",IFERROR(IF(INDEX(pr_price,MATCH(B601,pr_code,0))="","",INDEX(pr_price,MATCH(B601,pr_code,0))),""))))</f>
        <v/>
      </c>
      <c r="K601" s="71" t="str">
        <f>IF(COUNTA(A601:G601)=0,"",IF(G601&lt;&gt;"",G601,IF(B601="","",IFERROR(IF(INDEX(pr_rate,MATCH(B601,pr_code,0))="","",INDEX(pr_rate,MATCH(B601,pr_code,0))),""))))</f>
        <v/>
      </c>
      <c r="L601" s="65" t="str">
        <f>IF(COUNTA(A601:G601)=0,"",IF(AND(ISNUMBER(D601),ISNUMBER(J601)),ROUND(D601*J601*(1-N(F601)),2),0))</f>
        <v/>
      </c>
      <c r="M601" s="62" t="str">
        <f>IF(A601="","",IFERROR(INDEX(dv_cname,MATCH(A601,dv_num,0))&amp;"",""))</f>
        <v/>
      </c>
      <c r="N601" s="59" t="str">
        <f>IF(COUNTA(A601:G601)=0,"",IF(A601="","N° devis manquant",IF(ISNA(MATCH(A601,dv_num,0)),"Devis inconnu",IF(AND(B601&lt;&gt;"",ISNA(MATCH(B601,pr_code,0))),"Article inconnu",IF(H601="","Désignation manquante",IF(OR(NOT(ISNUMBER(D601)),N(D601)&lt;=0),"Quantité invalide",IF(J601="","Prix manquant",IF(OR(NOT(ISNUMBER(J601)),N(J601)&lt;0),"Prix invalide",IF(OR(AND(F601&lt;&gt;"",NOT(ISNUMBER(F601))),N(F601)&lt;0,N(F601)&gt;1),"Remise invalide",IF(K601="","Taux de TVA manquant",IF(NOT(ISNUMBER(K601)),"Taux de TVA invalide",IF(COUNTIF(p_rates,K601)=0,"Taux de TVA hors liste (Paramètres)",IF(N(O601)&gt;25,"Au-delà de 25 lignes : non imprimée","OK")))))))))))))</f>
        <v/>
      </c>
      <c r="O601" s="59" t="str">
        <f>IF(A601="","",COUNTIF($A$6:A601,A601))</f>
        <v/>
      </c>
      <c r="P601" s="62" t="str">
        <f>IF(A601="","",A601&amp;"|"&amp;O601)</f>
        <v/>
      </c>
    </row>
    <row r="602">
      <c r="A602" s="60" t="n"/>
      <c r="B602" s="63" t="n"/>
      <c r="C602" s="63" t="n"/>
      <c r="D602" s="67" t="n"/>
      <c r="E602" s="68" t="n"/>
      <c r="F602" s="69" t="n"/>
      <c r="G602" s="70" t="n"/>
      <c r="H602" s="62" t="str">
        <f>IF(COUNTA(A602:G602)=0,"",IF(C602&lt;&gt;"",C602,IF(B602="","",IFERROR(INDEX(pr_des,MATCH(B602,pr_code,0))&amp;"",""))))</f>
        <v/>
      </c>
      <c r="I602" s="59" t="str">
        <f>IF(B602="","",IFERROR(INDEX(pr_unit,MATCH(B602,pr_code,0))&amp;"",""))</f>
        <v/>
      </c>
      <c r="J602" s="65" t="str">
        <f>IF(COUNTA(A602:G602)=0,"",IF(E602&lt;&gt;"",E602,IF(B602="","",IFERROR(IF(INDEX(pr_price,MATCH(B602,pr_code,0))="","",INDEX(pr_price,MATCH(B602,pr_code,0))),""))))</f>
        <v/>
      </c>
      <c r="K602" s="71" t="str">
        <f>IF(COUNTA(A602:G602)=0,"",IF(G602&lt;&gt;"",G602,IF(B602="","",IFERROR(IF(INDEX(pr_rate,MATCH(B602,pr_code,0))="","",INDEX(pr_rate,MATCH(B602,pr_code,0))),""))))</f>
        <v/>
      </c>
      <c r="L602" s="65" t="str">
        <f>IF(COUNTA(A602:G602)=0,"",IF(AND(ISNUMBER(D602),ISNUMBER(J602)),ROUND(D602*J602*(1-N(F602)),2),0))</f>
        <v/>
      </c>
      <c r="M602" s="62" t="str">
        <f>IF(A602="","",IFERROR(INDEX(dv_cname,MATCH(A602,dv_num,0))&amp;"",""))</f>
        <v/>
      </c>
      <c r="N602" s="59" t="str">
        <f>IF(COUNTA(A602:G602)=0,"",IF(A602="","N° devis manquant",IF(ISNA(MATCH(A602,dv_num,0)),"Devis inconnu",IF(AND(B602&lt;&gt;"",ISNA(MATCH(B602,pr_code,0))),"Article inconnu",IF(H602="","Désignation manquante",IF(OR(NOT(ISNUMBER(D602)),N(D602)&lt;=0),"Quantité invalide",IF(J602="","Prix manquant",IF(OR(NOT(ISNUMBER(J602)),N(J602)&lt;0),"Prix invalide",IF(OR(AND(F602&lt;&gt;"",NOT(ISNUMBER(F602))),N(F602)&lt;0,N(F602)&gt;1),"Remise invalide",IF(K602="","Taux de TVA manquant",IF(NOT(ISNUMBER(K602)),"Taux de TVA invalide",IF(COUNTIF(p_rates,K602)=0,"Taux de TVA hors liste (Paramètres)",IF(N(O602)&gt;25,"Au-delà de 25 lignes : non imprimée","OK")))))))))))))</f>
        <v/>
      </c>
      <c r="O602" s="59" t="str">
        <f>IF(A602="","",COUNTIF($A$6:A602,A602))</f>
        <v/>
      </c>
      <c r="P602" s="62" t="str">
        <f>IF(A602="","",A602&amp;"|"&amp;O602)</f>
        <v/>
      </c>
    </row>
    <row r="603">
      <c r="A603" s="60" t="n"/>
      <c r="B603" s="63" t="n"/>
      <c r="C603" s="63" t="n"/>
      <c r="D603" s="67" t="n"/>
      <c r="E603" s="68" t="n"/>
      <c r="F603" s="69" t="n"/>
      <c r="G603" s="70" t="n"/>
      <c r="H603" s="62" t="str">
        <f>IF(COUNTA(A603:G603)=0,"",IF(C603&lt;&gt;"",C603,IF(B603="","",IFERROR(INDEX(pr_des,MATCH(B603,pr_code,0))&amp;"",""))))</f>
        <v/>
      </c>
      <c r="I603" s="59" t="str">
        <f>IF(B603="","",IFERROR(INDEX(pr_unit,MATCH(B603,pr_code,0))&amp;"",""))</f>
        <v/>
      </c>
      <c r="J603" s="65" t="str">
        <f>IF(COUNTA(A603:G603)=0,"",IF(E603&lt;&gt;"",E603,IF(B603="","",IFERROR(IF(INDEX(pr_price,MATCH(B603,pr_code,0))="","",INDEX(pr_price,MATCH(B603,pr_code,0))),""))))</f>
        <v/>
      </c>
      <c r="K603" s="71" t="str">
        <f>IF(COUNTA(A603:G603)=0,"",IF(G603&lt;&gt;"",G603,IF(B603="","",IFERROR(IF(INDEX(pr_rate,MATCH(B603,pr_code,0))="","",INDEX(pr_rate,MATCH(B603,pr_code,0))),""))))</f>
        <v/>
      </c>
      <c r="L603" s="65" t="str">
        <f>IF(COUNTA(A603:G603)=0,"",IF(AND(ISNUMBER(D603),ISNUMBER(J603)),ROUND(D603*J603*(1-N(F603)),2),0))</f>
        <v/>
      </c>
      <c r="M603" s="62" t="str">
        <f>IF(A603="","",IFERROR(INDEX(dv_cname,MATCH(A603,dv_num,0))&amp;"",""))</f>
        <v/>
      </c>
      <c r="N603" s="59" t="str">
        <f>IF(COUNTA(A603:G603)=0,"",IF(A603="","N° devis manquant",IF(ISNA(MATCH(A603,dv_num,0)),"Devis inconnu",IF(AND(B603&lt;&gt;"",ISNA(MATCH(B603,pr_code,0))),"Article inconnu",IF(H603="","Désignation manquante",IF(OR(NOT(ISNUMBER(D603)),N(D603)&lt;=0),"Quantité invalide",IF(J603="","Prix manquant",IF(OR(NOT(ISNUMBER(J603)),N(J603)&lt;0),"Prix invalide",IF(OR(AND(F603&lt;&gt;"",NOT(ISNUMBER(F603))),N(F603)&lt;0,N(F603)&gt;1),"Remise invalide",IF(K603="","Taux de TVA manquant",IF(NOT(ISNUMBER(K603)),"Taux de TVA invalide",IF(COUNTIF(p_rates,K603)=0,"Taux de TVA hors liste (Paramètres)",IF(N(O603)&gt;25,"Au-delà de 25 lignes : non imprimée","OK")))))))))))))</f>
        <v/>
      </c>
      <c r="O603" s="59" t="str">
        <f>IF(A603="","",COUNTIF($A$6:A603,A603))</f>
        <v/>
      </c>
      <c r="P603" s="62" t="str">
        <f>IF(A603="","",A603&amp;"|"&amp;O603)</f>
        <v/>
      </c>
    </row>
    <row r="604">
      <c r="A604" s="60" t="n"/>
      <c r="B604" s="63" t="n"/>
      <c r="C604" s="63" t="n"/>
      <c r="D604" s="67" t="n"/>
      <c r="E604" s="68" t="n"/>
      <c r="F604" s="69" t="n"/>
      <c r="G604" s="70" t="n"/>
      <c r="H604" s="62" t="str">
        <f>IF(COUNTA(A604:G604)=0,"",IF(C604&lt;&gt;"",C604,IF(B604="","",IFERROR(INDEX(pr_des,MATCH(B604,pr_code,0))&amp;"",""))))</f>
        <v/>
      </c>
      <c r="I604" s="59" t="str">
        <f>IF(B604="","",IFERROR(INDEX(pr_unit,MATCH(B604,pr_code,0))&amp;"",""))</f>
        <v/>
      </c>
      <c r="J604" s="65" t="str">
        <f>IF(COUNTA(A604:G604)=0,"",IF(E604&lt;&gt;"",E604,IF(B604="","",IFERROR(IF(INDEX(pr_price,MATCH(B604,pr_code,0))="","",INDEX(pr_price,MATCH(B604,pr_code,0))),""))))</f>
        <v/>
      </c>
      <c r="K604" s="71" t="str">
        <f>IF(COUNTA(A604:G604)=0,"",IF(G604&lt;&gt;"",G604,IF(B604="","",IFERROR(IF(INDEX(pr_rate,MATCH(B604,pr_code,0))="","",INDEX(pr_rate,MATCH(B604,pr_code,0))),""))))</f>
        <v/>
      </c>
      <c r="L604" s="65" t="str">
        <f>IF(COUNTA(A604:G604)=0,"",IF(AND(ISNUMBER(D604),ISNUMBER(J604)),ROUND(D604*J604*(1-N(F604)),2),0))</f>
        <v/>
      </c>
      <c r="M604" s="62" t="str">
        <f>IF(A604="","",IFERROR(INDEX(dv_cname,MATCH(A604,dv_num,0))&amp;"",""))</f>
        <v/>
      </c>
      <c r="N604" s="59" t="str">
        <f>IF(COUNTA(A604:G604)=0,"",IF(A604="","N° devis manquant",IF(ISNA(MATCH(A604,dv_num,0)),"Devis inconnu",IF(AND(B604&lt;&gt;"",ISNA(MATCH(B604,pr_code,0))),"Article inconnu",IF(H604="","Désignation manquante",IF(OR(NOT(ISNUMBER(D604)),N(D604)&lt;=0),"Quantité invalide",IF(J604="","Prix manquant",IF(OR(NOT(ISNUMBER(J604)),N(J604)&lt;0),"Prix invalide",IF(OR(AND(F604&lt;&gt;"",NOT(ISNUMBER(F604))),N(F604)&lt;0,N(F604)&gt;1),"Remise invalide",IF(K604="","Taux de TVA manquant",IF(NOT(ISNUMBER(K604)),"Taux de TVA invalide",IF(COUNTIF(p_rates,K604)=0,"Taux de TVA hors liste (Paramètres)",IF(N(O604)&gt;25,"Au-delà de 25 lignes : non imprimée","OK")))))))))))))</f>
        <v/>
      </c>
      <c r="O604" s="59" t="str">
        <f>IF(A604="","",COUNTIF($A$6:A604,A604))</f>
        <v/>
      </c>
      <c r="P604" s="62" t="str">
        <f>IF(A604="","",A604&amp;"|"&amp;O604)</f>
        <v/>
      </c>
    </row>
    <row r="605">
      <c r="A605" s="60" t="n"/>
      <c r="B605" s="63" t="n"/>
      <c r="C605" s="63" t="n"/>
      <c r="D605" s="67" t="n"/>
      <c r="E605" s="68" t="n"/>
      <c r="F605" s="69" t="n"/>
      <c r="G605" s="70" t="n"/>
      <c r="H605" s="62" t="str">
        <f>IF(COUNTA(A605:G605)=0,"",IF(C605&lt;&gt;"",C605,IF(B605="","",IFERROR(INDEX(pr_des,MATCH(B605,pr_code,0))&amp;"",""))))</f>
        <v/>
      </c>
      <c r="I605" s="59" t="str">
        <f>IF(B605="","",IFERROR(INDEX(pr_unit,MATCH(B605,pr_code,0))&amp;"",""))</f>
        <v/>
      </c>
      <c r="J605" s="65" t="str">
        <f>IF(COUNTA(A605:G605)=0,"",IF(E605&lt;&gt;"",E605,IF(B605="","",IFERROR(IF(INDEX(pr_price,MATCH(B605,pr_code,0))="","",INDEX(pr_price,MATCH(B605,pr_code,0))),""))))</f>
        <v/>
      </c>
      <c r="K605" s="71" t="str">
        <f>IF(COUNTA(A605:G605)=0,"",IF(G605&lt;&gt;"",G605,IF(B605="","",IFERROR(IF(INDEX(pr_rate,MATCH(B605,pr_code,0))="","",INDEX(pr_rate,MATCH(B605,pr_code,0))),""))))</f>
        <v/>
      </c>
      <c r="L605" s="65" t="str">
        <f>IF(COUNTA(A605:G605)=0,"",IF(AND(ISNUMBER(D605),ISNUMBER(J605)),ROUND(D605*J605*(1-N(F605)),2),0))</f>
        <v/>
      </c>
      <c r="M605" s="62" t="str">
        <f>IF(A605="","",IFERROR(INDEX(dv_cname,MATCH(A605,dv_num,0))&amp;"",""))</f>
        <v/>
      </c>
      <c r="N605" s="59" t="str">
        <f>IF(COUNTA(A605:G605)=0,"",IF(A605="","N° devis manquant",IF(ISNA(MATCH(A605,dv_num,0)),"Devis inconnu",IF(AND(B605&lt;&gt;"",ISNA(MATCH(B605,pr_code,0))),"Article inconnu",IF(H605="","Désignation manquante",IF(OR(NOT(ISNUMBER(D605)),N(D605)&lt;=0),"Quantité invalide",IF(J605="","Prix manquant",IF(OR(NOT(ISNUMBER(J605)),N(J605)&lt;0),"Prix invalide",IF(OR(AND(F605&lt;&gt;"",NOT(ISNUMBER(F605))),N(F605)&lt;0,N(F605)&gt;1),"Remise invalide",IF(K605="","Taux de TVA manquant",IF(NOT(ISNUMBER(K605)),"Taux de TVA invalide",IF(COUNTIF(p_rates,K605)=0,"Taux de TVA hors liste (Paramètres)",IF(N(O605)&gt;25,"Au-delà de 25 lignes : non imprimée","OK")))))))))))))</f>
        <v/>
      </c>
      <c r="O605" s="59" t="str">
        <f>IF(A605="","",COUNTIF($A$6:A605,A605))</f>
        <v/>
      </c>
      <c r="P605" s="62" t="str">
        <f>IF(A605="","",A605&amp;"|"&amp;O605)</f>
        <v/>
      </c>
    </row>
    <row r="606">
      <c r="A606" s="60" t="n"/>
      <c r="B606" s="63" t="n"/>
      <c r="C606" s="63" t="n"/>
      <c r="D606" s="67" t="n"/>
      <c r="E606" s="68" t="n"/>
      <c r="F606" s="69" t="n"/>
      <c r="G606" s="70" t="n"/>
      <c r="H606" s="62" t="str">
        <f>IF(COUNTA(A606:G606)=0,"",IF(C606&lt;&gt;"",C606,IF(B606="","",IFERROR(INDEX(pr_des,MATCH(B606,pr_code,0))&amp;"",""))))</f>
        <v/>
      </c>
      <c r="I606" s="59" t="str">
        <f>IF(B606="","",IFERROR(INDEX(pr_unit,MATCH(B606,pr_code,0))&amp;"",""))</f>
        <v/>
      </c>
      <c r="J606" s="65" t="str">
        <f>IF(COUNTA(A606:G606)=0,"",IF(E606&lt;&gt;"",E606,IF(B606="","",IFERROR(IF(INDEX(pr_price,MATCH(B606,pr_code,0))="","",INDEX(pr_price,MATCH(B606,pr_code,0))),""))))</f>
        <v/>
      </c>
      <c r="K606" s="71" t="str">
        <f>IF(COUNTA(A606:G606)=0,"",IF(G606&lt;&gt;"",G606,IF(B606="","",IFERROR(IF(INDEX(pr_rate,MATCH(B606,pr_code,0))="","",INDEX(pr_rate,MATCH(B606,pr_code,0))),""))))</f>
        <v/>
      </c>
      <c r="L606" s="65" t="str">
        <f>IF(COUNTA(A606:G606)=0,"",IF(AND(ISNUMBER(D606),ISNUMBER(J606)),ROUND(D606*J606*(1-N(F606)),2),0))</f>
        <v/>
      </c>
      <c r="M606" s="62" t="str">
        <f>IF(A606="","",IFERROR(INDEX(dv_cname,MATCH(A606,dv_num,0))&amp;"",""))</f>
        <v/>
      </c>
      <c r="N606" s="59" t="str">
        <f>IF(COUNTA(A606:G606)=0,"",IF(A606="","N° devis manquant",IF(ISNA(MATCH(A606,dv_num,0)),"Devis inconnu",IF(AND(B606&lt;&gt;"",ISNA(MATCH(B606,pr_code,0))),"Article inconnu",IF(H606="","Désignation manquante",IF(OR(NOT(ISNUMBER(D606)),N(D606)&lt;=0),"Quantité invalide",IF(J606="","Prix manquant",IF(OR(NOT(ISNUMBER(J606)),N(J606)&lt;0),"Prix invalide",IF(OR(AND(F606&lt;&gt;"",NOT(ISNUMBER(F606))),N(F606)&lt;0,N(F606)&gt;1),"Remise invalide",IF(K606="","Taux de TVA manquant",IF(NOT(ISNUMBER(K606)),"Taux de TVA invalide",IF(COUNTIF(p_rates,K606)=0,"Taux de TVA hors liste (Paramètres)",IF(N(O606)&gt;25,"Au-delà de 25 lignes : non imprimée","OK")))))))))))))</f>
        <v/>
      </c>
      <c r="O606" s="59" t="str">
        <f>IF(A606="","",COUNTIF($A$6:A606,A606))</f>
        <v/>
      </c>
      <c r="P606" s="62" t="str">
        <f>IF(A606="","",A606&amp;"|"&amp;O606)</f>
        <v/>
      </c>
    </row>
    <row r="607">
      <c r="A607" s="60" t="n"/>
      <c r="B607" s="63" t="n"/>
      <c r="C607" s="63" t="n"/>
      <c r="D607" s="67" t="n"/>
      <c r="E607" s="68" t="n"/>
      <c r="F607" s="69" t="n"/>
      <c r="G607" s="70" t="n"/>
      <c r="H607" s="62" t="str">
        <f>IF(COUNTA(A607:G607)=0,"",IF(C607&lt;&gt;"",C607,IF(B607="","",IFERROR(INDEX(pr_des,MATCH(B607,pr_code,0))&amp;"",""))))</f>
        <v/>
      </c>
      <c r="I607" s="59" t="str">
        <f>IF(B607="","",IFERROR(INDEX(pr_unit,MATCH(B607,pr_code,0))&amp;"",""))</f>
        <v/>
      </c>
      <c r="J607" s="65" t="str">
        <f>IF(COUNTA(A607:G607)=0,"",IF(E607&lt;&gt;"",E607,IF(B607="","",IFERROR(IF(INDEX(pr_price,MATCH(B607,pr_code,0))="","",INDEX(pr_price,MATCH(B607,pr_code,0))),""))))</f>
        <v/>
      </c>
      <c r="K607" s="71" t="str">
        <f>IF(COUNTA(A607:G607)=0,"",IF(G607&lt;&gt;"",G607,IF(B607="","",IFERROR(IF(INDEX(pr_rate,MATCH(B607,pr_code,0))="","",INDEX(pr_rate,MATCH(B607,pr_code,0))),""))))</f>
        <v/>
      </c>
      <c r="L607" s="65" t="str">
        <f>IF(COUNTA(A607:G607)=0,"",IF(AND(ISNUMBER(D607),ISNUMBER(J607)),ROUND(D607*J607*(1-N(F607)),2),0))</f>
        <v/>
      </c>
      <c r="M607" s="62" t="str">
        <f>IF(A607="","",IFERROR(INDEX(dv_cname,MATCH(A607,dv_num,0))&amp;"",""))</f>
        <v/>
      </c>
      <c r="N607" s="59" t="str">
        <f>IF(COUNTA(A607:G607)=0,"",IF(A607="","N° devis manquant",IF(ISNA(MATCH(A607,dv_num,0)),"Devis inconnu",IF(AND(B607&lt;&gt;"",ISNA(MATCH(B607,pr_code,0))),"Article inconnu",IF(H607="","Désignation manquante",IF(OR(NOT(ISNUMBER(D607)),N(D607)&lt;=0),"Quantité invalide",IF(J607="","Prix manquant",IF(OR(NOT(ISNUMBER(J607)),N(J607)&lt;0),"Prix invalide",IF(OR(AND(F607&lt;&gt;"",NOT(ISNUMBER(F607))),N(F607)&lt;0,N(F607)&gt;1),"Remise invalide",IF(K607="","Taux de TVA manquant",IF(NOT(ISNUMBER(K607)),"Taux de TVA invalide",IF(COUNTIF(p_rates,K607)=0,"Taux de TVA hors liste (Paramètres)",IF(N(O607)&gt;25,"Au-delà de 25 lignes : non imprimée","OK")))))))))))))</f>
        <v/>
      </c>
      <c r="O607" s="59" t="str">
        <f>IF(A607="","",COUNTIF($A$6:A607,A607))</f>
        <v/>
      </c>
      <c r="P607" s="62" t="str">
        <f>IF(A607="","",A607&amp;"|"&amp;O607)</f>
        <v/>
      </c>
    </row>
    <row r="608">
      <c r="A608" s="60" t="n"/>
      <c r="B608" s="63" t="n"/>
      <c r="C608" s="63" t="n"/>
      <c r="D608" s="67" t="n"/>
      <c r="E608" s="68" t="n"/>
      <c r="F608" s="69" t="n"/>
      <c r="G608" s="70" t="n"/>
      <c r="H608" s="62" t="str">
        <f>IF(COUNTA(A608:G608)=0,"",IF(C608&lt;&gt;"",C608,IF(B608="","",IFERROR(INDEX(pr_des,MATCH(B608,pr_code,0))&amp;"",""))))</f>
        <v/>
      </c>
      <c r="I608" s="59" t="str">
        <f>IF(B608="","",IFERROR(INDEX(pr_unit,MATCH(B608,pr_code,0))&amp;"",""))</f>
        <v/>
      </c>
      <c r="J608" s="65" t="str">
        <f>IF(COUNTA(A608:G608)=0,"",IF(E608&lt;&gt;"",E608,IF(B608="","",IFERROR(IF(INDEX(pr_price,MATCH(B608,pr_code,0))="","",INDEX(pr_price,MATCH(B608,pr_code,0))),""))))</f>
        <v/>
      </c>
      <c r="K608" s="71" t="str">
        <f>IF(COUNTA(A608:G608)=0,"",IF(G608&lt;&gt;"",G608,IF(B608="","",IFERROR(IF(INDEX(pr_rate,MATCH(B608,pr_code,0))="","",INDEX(pr_rate,MATCH(B608,pr_code,0))),""))))</f>
        <v/>
      </c>
      <c r="L608" s="65" t="str">
        <f>IF(COUNTA(A608:G608)=0,"",IF(AND(ISNUMBER(D608),ISNUMBER(J608)),ROUND(D608*J608*(1-N(F608)),2),0))</f>
        <v/>
      </c>
      <c r="M608" s="62" t="str">
        <f>IF(A608="","",IFERROR(INDEX(dv_cname,MATCH(A608,dv_num,0))&amp;"",""))</f>
        <v/>
      </c>
      <c r="N608" s="59" t="str">
        <f>IF(COUNTA(A608:G608)=0,"",IF(A608="","N° devis manquant",IF(ISNA(MATCH(A608,dv_num,0)),"Devis inconnu",IF(AND(B608&lt;&gt;"",ISNA(MATCH(B608,pr_code,0))),"Article inconnu",IF(H608="","Désignation manquante",IF(OR(NOT(ISNUMBER(D608)),N(D608)&lt;=0),"Quantité invalide",IF(J608="","Prix manquant",IF(OR(NOT(ISNUMBER(J608)),N(J608)&lt;0),"Prix invalide",IF(OR(AND(F608&lt;&gt;"",NOT(ISNUMBER(F608))),N(F608)&lt;0,N(F608)&gt;1),"Remise invalide",IF(K608="","Taux de TVA manquant",IF(NOT(ISNUMBER(K608)),"Taux de TVA invalide",IF(COUNTIF(p_rates,K608)=0,"Taux de TVA hors liste (Paramètres)",IF(N(O608)&gt;25,"Au-delà de 25 lignes : non imprimée","OK")))))))))))))</f>
        <v/>
      </c>
      <c r="O608" s="59" t="str">
        <f>IF(A608="","",COUNTIF($A$6:A608,A608))</f>
        <v/>
      </c>
      <c r="P608" s="62" t="str">
        <f>IF(A608="","",A608&amp;"|"&amp;O608)</f>
        <v/>
      </c>
    </row>
    <row r="609">
      <c r="A609" s="60" t="n"/>
      <c r="B609" s="63" t="n"/>
      <c r="C609" s="63" t="n"/>
      <c r="D609" s="67" t="n"/>
      <c r="E609" s="68" t="n"/>
      <c r="F609" s="69" t="n"/>
      <c r="G609" s="70" t="n"/>
      <c r="H609" s="62" t="str">
        <f>IF(COUNTA(A609:G609)=0,"",IF(C609&lt;&gt;"",C609,IF(B609="","",IFERROR(INDEX(pr_des,MATCH(B609,pr_code,0))&amp;"",""))))</f>
        <v/>
      </c>
      <c r="I609" s="59" t="str">
        <f>IF(B609="","",IFERROR(INDEX(pr_unit,MATCH(B609,pr_code,0))&amp;"",""))</f>
        <v/>
      </c>
      <c r="J609" s="65" t="str">
        <f>IF(COUNTA(A609:G609)=0,"",IF(E609&lt;&gt;"",E609,IF(B609="","",IFERROR(IF(INDEX(pr_price,MATCH(B609,pr_code,0))="","",INDEX(pr_price,MATCH(B609,pr_code,0))),""))))</f>
        <v/>
      </c>
      <c r="K609" s="71" t="str">
        <f>IF(COUNTA(A609:G609)=0,"",IF(G609&lt;&gt;"",G609,IF(B609="","",IFERROR(IF(INDEX(pr_rate,MATCH(B609,pr_code,0))="","",INDEX(pr_rate,MATCH(B609,pr_code,0))),""))))</f>
        <v/>
      </c>
      <c r="L609" s="65" t="str">
        <f>IF(COUNTA(A609:G609)=0,"",IF(AND(ISNUMBER(D609),ISNUMBER(J609)),ROUND(D609*J609*(1-N(F609)),2),0))</f>
        <v/>
      </c>
      <c r="M609" s="62" t="str">
        <f>IF(A609="","",IFERROR(INDEX(dv_cname,MATCH(A609,dv_num,0))&amp;"",""))</f>
        <v/>
      </c>
      <c r="N609" s="59" t="str">
        <f>IF(COUNTA(A609:G609)=0,"",IF(A609="","N° devis manquant",IF(ISNA(MATCH(A609,dv_num,0)),"Devis inconnu",IF(AND(B609&lt;&gt;"",ISNA(MATCH(B609,pr_code,0))),"Article inconnu",IF(H609="","Désignation manquante",IF(OR(NOT(ISNUMBER(D609)),N(D609)&lt;=0),"Quantité invalide",IF(J609="","Prix manquant",IF(OR(NOT(ISNUMBER(J609)),N(J609)&lt;0),"Prix invalide",IF(OR(AND(F609&lt;&gt;"",NOT(ISNUMBER(F609))),N(F609)&lt;0,N(F609)&gt;1),"Remise invalide",IF(K609="","Taux de TVA manquant",IF(NOT(ISNUMBER(K609)),"Taux de TVA invalide",IF(COUNTIF(p_rates,K609)=0,"Taux de TVA hors liste (Paramètres)",IF(N(O609)&gt;25,"Au-delà de 25 lignes : non imprimée","OK")))))))))))))</f>
        <v/>
      </c>
      <c r="O609" s="59" t="str">
        <f>IF(A609="","",COUNTIF($A$6:A609,A609))</f>
        <v/>
      </c>
      <c r="P609" s="62" t="str">
        <f>IF(A609="","",A609&amp;"|"&amp;O609)</f>
        <v/>
      </c>
    </row>
    <row r="610">
      <c r="A610" s="60" t="n"/>
      <c r="B610" s="63" t="n"/>
      <c r="C610" s="63" t="n"/>
      <c r="D610" s="67" t="n"/>
      <c r="E610" s="68" t="n"/>
      <c r="F610" s="69" t="n"/>
      <c r="G610" s="70" t="n"/>
      <c r="H610" s="62" t="str">
        <f>IF(COUNTA(A610:G610)=0,"",IF(C610&lt;&gt;"",C610,IF(B610="","",IFERROR(INDEX(pr_des,MATCH(B610,pr_code,0))&amp;"",""))))</f>
        <v/>
      </c>
      <c r="I610" s="59" t="str">
        <f>IF(B610="","",IFERROR(INDEX(pr_unit,MATCH(B610,pr_code,0))&amp;"",""))</f>
        <v/>
      </c>
      <c r="J610" s="65" t="str">
        <f>IF(COUNTA(A610:G610)=0,"",IF(E610&lt;&gt;"",E610,IF(B610="","",IFERROR(IF(INDEX(pr_price,MATCH(B610,pr_code,0))="","",INDEX(pr_price,MATCH(B610,pr_code,0))),""))))</f>
        <v/>
      </c>
      <c r="K610" s="71" t="str">
        <f>IF(COUNTA(A610:G610)=0,"",IF(G610&lt;&gt;"",G610,IF(B610="","",IFERROR(IF(INDEX(pr_rate,MATCH(B610,pr_code,0))="","",INDEX(pr_rate,MATCH(B610,pr_code,0))),""))))</f>
        <v/>
      </c>
      <c r="L610" s="65" t="str">
        <f>IF(COUNTA(A610:G610)=0,"",IF(AND(ISNUMBER(D610),ISNUMBER(J610)),ROUND(D610*J610*(1-N(F610)),2),0))</f>
        <v/>
      </c>
      <c r="M610" s="62" t="str">
        <f>IF(A610="","",IFERROR(INDEX(dv_cname,MATCH(A610,dv_num,0))&amp;"",""))</f>
        <v/>
      </c>
      <c r="N610" s="59" t="str">
        <f>IF(COUNTA(A610:G610)=0,"",IF(A610="","N° devis manquant",IF(ISNA(MATCH(A610,dv_num,0)),"Devis inconnu",IF(AND(B610&lt;&gt;"",ISNA(MATCH(B610,pr_code,0))),"Article inconnu",IF(H610="","Désignation manquante",IF(OR(NOT(ISNUMBER(D610)),N(D610)&lt;=0),"Quantité invalide",IF(J610="","Prix manquant",IF(OR(NOT(ISNUMBER(J610)),N(J610)&lt;0),"Prix invalide",IF(OR(AND(F610&lt;&gt;"",NOT(ISNUMBER(F610))),N(F610)&lt;0,N(F610)&gt;1),"Remise invalide",IF(K610="","Taux de TVA manquant",IF(NOT(ISNUMBER(K610)),"Taux de TVA invalide",IF(COUNTIF(p_rates,K610)=0,"Taux de TVA hors liste (Paramètres)",IF(N(O610)&gt;25,"Au-delà de 25 lignes : non imprimée","OK")))))))))))))</f>
        <v/>
      </c>
      <c r="O610" s="59" t="str">
        <f>IF(A610="","",COUNTIF($A$6:A610,A610))</f>
        <v/>
      </c>
      <c r="P610" s="62" t="str">
        <f>IF(A610="","",A610&amp;"|"&amp;O610)</f>
        <v/>
      </c>
    </row>
    <row r="611">
      <c r="A611" s="60" t="n"/>
      <c r="B611" s="63" t="n"/>
      <c r="C611" s="63" t="n"/>
      <c r="D611" s="67" t="n"/>
      <c r="E611" s="68" t="n"/>
      <c r="F611" s="69" t="n"/>
      <c r="G611" s="70" t="n"/>
      <c r="H611" s="62" t="str">
        <f>IF(COUNTA(A611:G611)=0,"",IF(C611&lt;&gt;"",C611,IF(B611="","",IFERROR(INDEX(pr_des,MATCH(B611,pr_code,0))&amp;"",""))))</f>
        <v/>
      </c>
      <c r="I611" s="59" t="str">
        <f>IF(B611="","",IFERROR(INDEX(pr_unit,MATCH(B611,pr_code,0))&amp;"",""))</f>
        <v/>
      </c>
      <c r="J611" s="65" t="str">
        <f>IF(COUNTA(A611:G611)=0,"",IF(E611&lt;&gt;"",E611,IF(B611="","",IFERROR(IF(INDEX(pr_price,MATCH(B611,pr_code,0))="","",INDEX(pr_price,MATCH(B611,pr_code,0))),""))))</f>
        <v/>
      </c>
      <c r="K611" s="71" t="str">
        <f>IF(COUNTA(A611:G611)=0,"",IF(G611&lt;&gt;"",G611,IF(B611="","",IFERROR(IF(INDEX(pr_rate,MATCH(B611,pr_code,0))="","",INDEX(pr_rate,MATCH(B611,pr_code,0))),""))))</f>
        <v/>
      </c>
      <c r="L611" s="65" t="str">
        <f>IF(COUNTA(A611:G611)=0,"",IF(AND(ISNUMBER(D611),ISNUMBER(J611)),ROUND(D611*J611*(1-N(F611)),2),0))</f>
        <v/>
      </c>
      <c r="M611" s="62" t="str">
        <f>IF(A611="","",IFERROR(INDEX(dv_cname,MATCH(A611,dv_num,0))&amp;"",""))</f>
        <v/>
      </c>
      <c r="N611" s="59" t="str">
        <f>IF(COUNTA(A611:G611)=0,"",IF(A611="","N° devis manquant",IF(ISNA(MATCH(A611,dv_num,0)),"Devis inconnu",IF(AND(B611&lt;&gt;"",ISNA(MATCH(B611,pr_code,0))),"Article inconnu",IF(H611="","Désignation manquante",IF(OR(NOT(ISNUMBER(D611)),N(D611)&lt;=0),"Quantité invalide",IF(J611="","Prix manquant",IF(OR(NOT(ISNUMBER(J611)),N(J611)&lt;0),"Prix invalide",IF(OR(AND(F611&lt;&gt;"",NOT(ISNUMBER(F611))),N(F611)&lt;0,N(F611)&gt;1),"Remise invalide",IF(K611="","Taux de TVA manquant",IF(NOT(ISNUMBER(K611)),"Taux de TVA invalide",IF(COUNTIF(p_rates,K611)=0,"Taux de TVA hors liste (Paramètres)",IF(N(O611)&gt;25,"Au-delà de 25 lignes : non imprimée","OK")))))))))))))</f>
        <v/>
      </c>
      <c r="O611" s="59" t="str">
        <f>IF(A611="","",COUNTIF($A$6:A611,A611))</f>
        <v/>
      </c>
      <c r="P611" s="62" t="str">
        <f>IF(A611="","",A611&amp;"|"&amp;O611)</f>
        <v/>
      </c>
    </row>
    <row r="612">
      <c r="A612" s="60" t="n"/>
      <c r="B612" s="63" t="n"/>
      <c r="C612" s="63" t="n"/>
      <c r="D612" s="67" t="n"/>
      <c r="E612" s="68" t="n"/>
      <c r="F612" s="69" t="n"/>
      <c r="G612" s="70" t="n"/>
      <c r="H612" s="62" t="str">
        <f>IF(COUNTA(A612:G612)=0,"",IF(C612&lt;&gt;"",C612,IF(B612="","",IFERROR(INDEX(pr_des,MATCH(B612,pr_code,0))&amp;"",""))))</f>
        <v/>
      </c>
      <c r="I612" s="59" t="str">
        <f>IF(B612="","",IFERROR(INDEX(pr_unit,MATCH(B612,pr_code,0))&amp;"",""))</f>
        <v/>
      </c>
      <c r="J612" s="65" t="str">
        <f>IF(COUNTA(A612:G612)=0,"",IF(E612&lt;&gt;"",E612,IF(B612="","",IFERROR(IF(INDEX(pr_price,MATCH(B612,pr_code,0))="","",INDEX(pr_price,MATCH(B612,pr_code,0))),""))))</f>
        <v/>
      </c>
      <c r="K612" s="71" t="str">
        <f>IF(COUNTA(A612:G612)=0,"",IF(G612&lt;&gt;"",G612,IF(B612="","",IFERROR(IF(INDEX(pr_rate,MATCH(B612,pr_code,0))="","",INDEX(pr_rate,MATCH(B612,pr_code,0))),""))))</f>
        <v/>
      </c>
      <c r="L612" s="65" t="str">
        <f>IF(COUNTA(A612:G612)=0,"",IF(AND(ISNUMBER(D612),ISNUMBER(J612)),ROUND(D612*J612*(1-N(F612)),2),0))</f>
        <v/>
      </c>
      <c r="M612" s="62" t="str">
        <f>IF(A612="","",IFERROR(INDEX(dv_cname,MATCH(A612,dv_num,0))&amp;"",""))</f>
        <v/>
      </c>
      <c r="N612" s="59" t="str">
        <f>IF(COUNTA(A612:G612)=0,"",IF(A612="","N° devis manquant",IF(ISNA(MATCH(A612,dv_num,0)),"Devis inconnu",IF(AND(B612&lt;&gt;"",ISNA(MATCH(B612,pr_code,0))),"Article inconnu",IF(H612="","Désignation manquante",IF(OR(NOT(ISNUMBER(D612)),N(D612)&lt;=0),"Quantité invalide",IF(J612="","Prix manquant",IF(OR(NOT(ISNUMBER(J612)),N(J612)&lt;0),"Prix invalide",IF(OR(AND(F612&lt;&gt;"",NOT(ISNUMBER(F612))),N(F612)&lt;0,N(F612)&gt;1),"Remise invalide",IF(K612="","Taux de TVA manquant",IF(NOT(ISNUMBER(K612)),"Taux de TVA invalide",IF(COUNTIF(p_rates,K612)=0,"Taux de TVA hors liste (Paramètres)",IF(N(O612)&gt;25,"Au-delà de 25 lignes : non imprimée","OK")))))))))))))</f>
        <v/>
      </c>
      <c r="O612" s="59" t="str">
        <f>IF(A612="","",COUNTIF($A$6:A612,A612))</f>
        <v/>
      </c>
      <c r="P612" s="62" t="str">
        <f>IF(A612="","",A612&amp;"|"&amp;O612)</f>
        <v/>
      </c>
    </row>
    <row r="613">
      <c r="A613" s="60" t="n"/>
      <c r="B613" s="63" t="n"/>
      <c r="C613" s="63" t="n"/>
      <c r="D613" s="67" t="n"/>
      <c r="E613" s="68" t="n"/>
      <c r="F613" s="69" t="n"/>
      <c r="G613" s="70" t="n"/>
      <c r="H613" s="62" t="str">
        <f>IF(COUNTA(A613:G613)=0,"",IF(C613&lt;&gt;"",C613,IF(B613="","",IFERROR(INDEX(pr_des,MATCH(B613,pr_code,0))&amp;"",""))))</f>
        <v/>
      </c>
      <c r="I613" s="59" t="str">
        <f>IF(B613="","",IFERROR(INDEX(pr_unit,MATCH(B613,pr_code,0))&amp;"",""))</f>
        <v/>
      </c>
      <c r="J613" s="65" t="str">
        <f>IF(COUNTA(A613:G613)=0,"",IF(E613&lt;&gt;"",E613,IF(B613="","",IFERROR(IF(INDEX(pr_price,MATCH(B613,pr_code,0))="","",INDEX(pr_price,MATCH(B613,pr_code,0))),""))))</f>
        <v/>
      </c>
      <c r="K613" s="71" t="str">
        <f>IF(COUNTA(A613:G613)=0,"",IF(G613&lt;&gt;"",G613,IF(B613="","",IFERROR(IF(INDEX(pr_rate,MATCH(B613,pr_code,0))="","",INDEX(pr_rate,MATCH(B613,pr_code,0))),""))))</f>
        <v/>
      </c>
      <c r="L613" s="65" t="str">
        <f>IF(COUNTA(A613:G613)=0,"",IF(AND(ISNUMBER(D613),ISNUMBER(J613)),ROUND(D613*J613*(1-N(F613)),2),0))</f>
        <v/>
      </c>
      <c r="M613" s="62" t="str">
        <f>IF(A613="","",IFERROR(INDEX(dv_cname,MATCH(A613,dv_num,0))&amp;"",""))</f>
        <v/>
      </c>
      <c r="N613" s="59" t="str">
        <f>IF(COUNTA(A613:G613)=0,"",IF(A613="","N° devis manquant",IF(ISNA(MATCH(A613,dv_num,0)),"Devis inconnu",IF(AND(B613&lt;&gt;"",ISNA(MATCH(B613,pr_code,0))),"Article inconnu",IF(H613="","Désignation manquante",IF(OR(NOT(ISNUMBER(D613)),N(D613)&lt;=0),"Quantité invalide",IF(J613="","Prix manquant",IF(OR(NOT(ISNUMBER(J613)),N(J613)&lt;0),"Prix invalide",IF(OR(AND(F613&lt;&gt;"",NOT(ISNUMBER(F613))),N(F613)&lt;0,N(F613)&gt;1),"Remise invalide",IF(K613="","Taux de TVA manquant",IF(NOT(ISNUMBER(K613)),"Taux de TVA invalide",IF(COUNTIF(p_rates,K613)=0,"Taux de TVA hors liste (Paramètres)",IF(N(O613)&gt;25,"Au-delà de 25 lignes : non imprimée","OK")))))))))))))</f>
        <v/>
      </c>
      <c r="O613" s="59" t="str">
        <f>IF(A613="","",COUNTIF($A$6:A613,A613))</f>
        <v/>
      </c>
      <c r="P613" s="62" t="str">
        <f>IF(A613="","",A613&amp;"|"&amp;O613)</f>
        <v/>
      </c>
    </row>
    <row r="614">
      <c r="A614" s="60" t="n"/>
      <c r="B614" s="63" t="n"/>
      <c r="C614" s="63" t="n"/>
      <c r="D614" s="67" t="n"/>
      <c r="E614" s="68" t="n"/>
      <c r="F614" s="69" t="n"/>
      <c r="G614" s="70" t="n"/>
      <c r="H614" s="62" t="str">
        <f>IF(COUNTA(A614:G614)=0,"",IF(C614&lt;&gt;"",C614,IF(B614="","",IFERROR(INDEX(pr_des,MATCH(B614,pr_code,0))&amp;"",""))))</f>
        <v/>
      </c>
      <c r="I614" s="59" t="str">
        <f>IF(B614="","",IFERROR(INDEX(pr_unit,MATCH(B614,pr_code,0))&amp;"",""))</f>
        <v/>
      </c>
      <c r="J614" s="65" t="str">
        <f>IF(COUNTA(A614:G614)=0,"",IF(E614&lt;&gt;"",E614,IF(B614="","",IFERROR(IF(INDEX(pr_price,MATCH(B614,pr_code,0))="","",INDEX(pr_price,MATCH(B614,pr_code,0))),""))))</f>
        <v/>
      </c>
      <c r="K614" s="71" t="str">
        <f>IF(COUNTA(A614:G614)=0,"",IF(G614&lt;&gt;"",G614,IF(B614="","",IFERROR(IF(INDEX(pr_rate,MATCH(B614,pr_code,0))="","",INDEX(pr_rate,MATCH(B614,pr_code,0))),""))))</f>
        <v/>
      </c>
      <c r="L614" s="65" t="str">
        <f>IF(COUNTA(A614:G614)=0,"",IF(AND(ISNUMBER(D614),ISNUMBER(J614)),ROUND(D614*J614*(1-N(F614)),2),0))</f>
        <v/>
      </c>
      <c r="M614" s="62" t="str">
        <f>IF(A614="","",IFERROR(INDEX(dv_cname,MATCH(A614,dv_num,0))&amp;"",""))</f>
        <v/>
      </c>
      <c r="N614" s="59" t="str">
        <f>IF(COUNTA(A614:G614)=0,"",IF(A614="","N° devis manquant",IF(ISNA(MATCH(A614,dv_num,0)),"Devis inconnu",IF(AND(B614&lt;&gt;"",ISNA(MATCH(B614,pr_code,0))),"Article inconnu",IF(H614="","Désignation manquante",IF(OR(NOT(ISNUMBER(D614)),N(D614)&lt;=0),"Quantité invalide",IF(J614="","Prix manquant",IF(OR(NOT(ISNUMBER(J614)),N(J614)&lt;0),"Prix invalide",IF(OR(AND(F614&lt;&gt;"",NOT(ISNUMBER(F614))),N(F614)&lt;0,N(F614)&gt;1),"Remise invalide",IF(K614="","Taux de TVA manquant",IF(NOT(ISNUMBER(K614)),"Taux de TVA invalide",IF(COUNTIF(p_rates,K614)=0,"Taux de TVA hors liste (Paramètres)",IF(N(O614)&gt;25,"Au-delà de 25 lignes : non imprimée","OK")))))))))))))</f>
        <v/>
      </c>
      <c r="O614" s="59" t="str">
        <f>IF(A614="","",COUNTIF($A$6:A614,A614))</f>
        <v/>
      </c>
      <c r="P614" s="62" t="str">
        <f>IF(A614="","",A614&amp;"|"&amp;O614)</f>
        <v/>
      </c>
    </row>
    <row r="615">
      <c r="A615" s="60" t="n"/>
      <c r="B615" s="63" t="n"/>
      <c r="C615" s="63" t="n"/>
      <c r="D615" s="67" t="n"/>
      <c r="E615" s="68" t="n"/>
      <c r="F615" s="69" t="n"/>
      <c r="G615" s="70" t="n"/>
      <c r="H615" s="62" t="str">
        <f>IF(COUNTA(A615:G615)=0,"",IF(C615&lt;&gt;"",C615,IF(B615="","",IFERROR(INDEX(pr_des,MATCH(B615,pr_code,0))&amp;"",""))))</f>
        <v/>
      </c>
      <c r="I615" s="59" t="str">
        <f>IF(B615="","",IFERROR(INDEX(pr_unit,MATCH(B615,pr_code,0))&amp;"",""))</f>
        <v/>
      </c>
      <c r="J615" s="65" t="str">
        <f>IF(COUNTA(A615:G615)=0,"",IF(E615&lt;&gt;"",E615,IF(B615="","",IFERROR(IF(INDEX(pr_price,MATCH(B615,pr_code,0))="","",INDEX(pr_price,MATCH(B615,pr_code,0))),""))))</f>
        <v/>
      </c>
      <c r="K615" s="71" t="str">
        <f>IF(COUNTA(A615:G615)=0,"",IF(G615&lt;&gt;"",G615,IF(B615="","",IFERROR(IF(INDEX(pr_rate,MATCH(B615,pr_code,0))="","",INDEX(pr_rate,MATCH(B615,pr_code,0))),""))))</f>
        <v/>
      </c>
      <c r="L615" s="65" t="str">
        <f>IF(COUNTA(A615:G615)=0,"",IF(AND(ISNUMBER(D615),ISNUMBER(J615)),ROUND(D615*J615*(1-N(F615)),2),0))</f>
        <v/>
      </c>
      <c r="M615" s="62" t="str">
        <f>IF(A615="","",IFERROR(INDEX(dv_cname,MATCH(A615,dv_num,0))&amp;"",""))</f>
        <v/>
      </c>
      <c r="N615" s="59" t="str">
        <f>IF(COUNTA(A615:G615)=0,"",IF(A615="","N° devis manquant",IF(ISNA(MATCH(A615,dv_num,0)),"Devis inconnu",IF(AND(B615&lt;&gt;"",ISNA(MATCH(B615,pr_code,0))),"Article inconnu",IF(H615="","Désignation manquante",IF(OR(NOT(ISNUMBER(D615)),N(D615)&lt;=0),"Quantité invalide",IF(J615="","Prix manquant",IF(OR(NOT(ISNUMBER(J615)),N(J615)&lt;0),"Prix invalide",IF(OR(AND(F615&lt;&gt;"",NOT(ISNUMBER(F615))),N(F615)&lt;0,N(F615)&gt;1),"Remise invalide",IF(K615="","Taux de TVA manquant",IF(NOT(ISNUMBER(K615)),"Taux de TVA invalide",IF(COUNTIF(p_rates,K615)=0,"Taux de TVA hors liste (Paramètres)",IF(N(O615)&gt;25,"Au-delà de 25 lignes : non imprimée","OK")))))))))))))</f>
        <v/>
      </c>
      <c r="O615" s="59" t="str">
        <f>IF(A615="","",COUNTIF($A$6:A615,A615))</f>
        <v/>
      </c>
      <c r="P615" s="62" t="str">
        <f>IF(A615="","",A615&amp;"|"&amp;O615)</f>
        <v/>
      </c>
    </row>
    <row r="616">
      <c r="A616" s="60" t="n"/>
      <c r="B616" s="63" t="n"/>
      <c r="C616" s="63" t="n"/>
      <c r="D616" s="67" t="n"/>
      <c r="E616" s="68" t="n"/>
      <c r="F616" s="69" t="n"/>
      <c r="G616" s="70" t="n"/>
      <c r="H616" s="62" t="str">
        <f>IF(COUNTA(A616:G616)=0,"",IF(C616&lt;&gt;"",C616,IF(B616="","",IFERROR(INDEX(pr_des,MATCH(B616,pr_code,0))&amp;"",""))))</f>
        <v/>
      </c>
      <c r="I616" s="59" t="str">
        <f>IF(B616="","",IFERROR(INDEX(pr_unit,MATCH(B616,pr_code,0))&amp;"",""))</f>
        <v/>
      </c>
      <c r="J616" s="65" t="str">
        <f>IF(COUNTA(A616:G616)=0,"",IF(E616&lt;&gt;"",E616,IF(B616="","",IFERROR(IF(INDEX(pr_price,MATCH(B616,pr_code,0))="","",INDEX(pr_price,MATCH(B616,pr_code,0))),""))))</f>
        <v/>
      </c>
      <c r="K616" s="71" t="str">
        <f>IF(COUNTA(A616:G616)=0,"",IF(G616&lt;&gt;"",G616,IF(B616="","",IFERROR(IF(INDEX(pr_rate,MATCH(B616,pr_code,0))="","",INDEX(pr_rate,MATCH(B616,pr_code,0))),""))))</f>
        <v/>
      </c>
      <c r="L616" s="65" t="str">
        <f>IF(COUNTA(A616:G616)=0,"",IF(AND(ISNUMBER(D616),ISNUMBER(J616)),ROUND(D616*J616*(1-N(F616)),2),0))</f>
        <v/>
      </c>
      <c r="M616" s="62" t="str">
        <f>IF(A616="","",IFERROR(INDEX(dv_cname,MATCH(A616,dv_num,0))&amp;"",""))</f>
        <v/>
      </c>
      <c r="N616" s="59" t="str">
        <f>IF(COUNTA(A616:G616)=0,"",IF(A616="","N° devis manquant",IF(ISNA(MATCH(A616,dv_num,0)),"Devis inconnu",IF(AND(B616&lt;&gt;"",ISNA(MATCH(B616,pr_code,0))),"Article inconnu",IF(H616="","Désignation manquante",IF(OR(NOT(ISNUMBER(D616)),N(D616)&lt;=0),"Quantité invalide",IF(J616="","Prix manquant",IF(OR(NOT(ISNUMBER(J616)),N(J616)&lt;0),"Prix invalide",IF(OR(AND(F616&lt;&gt;"",NOT(ISNUMBER(F616))),N(F616)&lt;0,N(F616)&gt;1),"Remise invalide",IF(K616="","Taux de TVA manquant",IF(NOT(ISNUMBER(K616)),"Taux de TVA invalide",IF(COUNTIF(p_rates,K616)=0,"Taux de TVA hors liste (Paramètres)",IF(N(O616)&gt;25,"Au-delà de 25 lignes : non imprimée","OK")))))))))))))</f>
        <v/>
      </c>
      <c r="O616" s="59" t="str">
        <f>IF(A616="","",COUNTIF($A$6:A616,A616))</f>
        <v/>
      </c>
      <c r="P616" s="62" t="str">
        <f>IF(A616="","",A616&amp;"|"&amp;O616)</f>
        <v/>
      </c>
    </row>
    <row r="617">
      <c r="A617" s="60" t="n"/>
      <c r="B617" s="63" t="n"/>
      <c r="C617" s="63" t="n"/>
      <c r="D617" s="67" t="n"/>
      <c r="E617" s="68" t="n"/>
      <c r="F617" s="69" t="n"/>
      <c r="G617" s="70" t="n"/>
      <c r="H617" s="62" t="str">
        <f>IF(COUNTA(A617:G617)=0,"",IF(C617&lt;&gt;"",C617,IF(B617="","",IFERROR(INDEX(pr_des,MATCH(B617,pr_code,0))&amp;"",""))))</f>
        <v/>
      </c>
      <c r="I617" s="59" t="str">
        <f>IF(B617="","",IFERROR(INDEX(pr_unit,MATCH(B617,pr_code,0))&amp;"",""))</f>
        <v/>
      </c>
      <c r="J617" s="65" t="str">
        <f>IF(COUNTA(A617:G617)=0,"",IF(E617&lt;&gt;"",E617,IF(B617="","",IFERROR(IF(INDEX(pr_price,MATCH(B617,pr_code,0))="","",INDEX(pr_price,MATCH(B617,pr_code,0))),""))))</f>
        <v/>
      </c>
      <c r="K617" s="71" t="str">
        <f>IF(COUNTA(A617:G617)=0,"",IF(G617&lt;&gt;"",G617,IF(B617="","",IFERROR(IF(INDEX(pr_rate,MATCH(B617,pr_code,0))="","",INDEX(pr_rate,MATCH(B617,pr_code,0))),""))))</f>
        <v/>
      </c>
      <c r="L617" s="65" t="str">
        <f>IF(COUNTA(A617:G617)=0,"",IF(AND(ISNUMBER(D617),ISNUMBER(J617)),ROUND(D617*J617*(1-N(F617)),2),0))</f>
        <v/>
      </c>
      <c r="M617" s="62" t="str">
        <f>IF(A617="","",IFERROR(INDEX(dv_cname,MATCH(A617,dv_num,0))&amp;"",""))</f>
        <v/>
      </c>
      <c r="N617" s="59" t="str">
        <f>IF(COUNTA(A617:G617)=0,"",IF(A617="","N° devis manquant",IF(ISNA(MATCH(A617,dv_num,0)),"Devis inconnu",IF(AND(B617&lt;&gt;"",ISNA(MATCH(B617,pr_code,0))),"Article inconnu",IF(H617="","Désignation manquante",IF(OR(NOT(ISNUMBER(D617)),N(D617)&lt;=0),"Quantité invalide",IF(J617="","Prix manquant",IF(OR(NOT(ISNUMBER(J617)),N(J617)&lt;0),"Prix invalide",IF(OR(AND(F617&lt;&gt;"",NOT(ISNUMBER(F617))),N(F617)&lt;0,N(F617)&gt;1),"Remise invalide",IF(K617="","Taux de TVA manquant",IF(NOT(ISNUMBER(K617)),"Taux de TVA invalide",IF(COUNTIF(p_rates,K617)=0,"Taux de TVA hors liste (Paramètres)",IF(N(O617)&gt;25,"Au-delà de 25 lignes : non imprimée","OK")))))))))))))</f>
        <v/>
      </c>
      <c r="O617" s="59" t="str">
        <f>IF(A617="","",COUNTIF($A$6:A617,A617))</f>
        <v/>
      </c>
      <c r="P617" s="62" t="str">
        <f>IF(A617="","",A617&amp;"|"&amp;O617)</f>
        <v/>
      </c>
    </row>
    <row r="618">
      <c r="A618" s="60" t="n"/>
      <c r="B618" s="63" t="n"/>
      <c r="C618" s="63" t="n"/>
      <c r="D618" s="67" t="n"/>
      <c r="E618" s="68" t="n"/>
      <c r="F618" s="69" t="n"/>
      <c r="G618" s="70" t="n"/>
      <c r="H618" s="62" t="str">
        <f>IF(COUNTA(A618:G618)=0,"",IF(C618&lt;&gt;"",C618,IF(B618="","",IFERROR(INDEX(pr_des,MATCH(B618,pr_code,0))&amp;"",""))))</f>
        <v/>
      </c>
      <c r="I618" s="59" t="str">
        <f>IF(B618="","",IFERROR(INDEX(pr_unit,MATCH(B618,pr_code,0))&amp;"",""))</f>
        <v/>
      </c>
      <c r="J618" s="65" t="str">
        <f>IF(COUNTA(A618:G618)=0,"",IF(E618&lt;&gt;"",E618,IF(B618="","",IFERROR(IF(INDEX(pr_price,MATCH(B618,pr_code,0))="","",INDEX(pr_price,MATCH(B618,pr_code,0))),""))))</f>
        <v/>
      </c>
      <c r="K618" s="71" t="str">
        <f>IF(COUNTA(A618:G618)=0,"",IF(G618&lt;&gt;"",G618,IF(B618="","",IFERROR(IF(INDEX(pr_rate,MATCH(B618,pr_code,0))="","",INDEX(pr_rate,MATCH(B618,pr_code,0))),""))))</f>
        <v/>
      </c>
      <c r="L618" s="65" t="str">
        <f>IF(COUNTA(A618:G618)=0,"",IF(AND(ISNUMBER(D618),ISNUMBER(J618)),ROUND(D618*J618*(1-N(F618)),2),0))</f>
        <v/>
      </c>
      <c r="M618" s="62" t="str">
        <f>IF(A618="","",IFERROR(INDEX(dv_cname,MATCH(A618,dv_num,0))&amp;"",""))</f>
        <v/>
      </c>
      <c r="N618" s="59" t="str">
        <f>IF(COUNTA(A618:G618)=0,"",IF(A618="","N° devis manquant",IF(ISNA(MATCH(A618,dv_num,0)),"Devis inconnu",IF(AND(B618&lt;&gt;"",ISNA(MATCH(B618,pr_code,0))),"Article inconnu",IF(H618="","Désignation manquante",IF(OR(NOT(ISNUMBER(D618)),N(D618)&lt;=0),"Quantité invalide",IF(J618="","Prix manquant",IF(OR(NOT(ISNUMBER(J618)),N(J618)&lt;0),"Prix invalide",IF(OR(AND(F618&lt;&gt;"",NOT(ISNUMBER(F618))),N(F618)&lt;0,N(F618)&gt;1),"Remise invalide",IF(K618="","Taux de TVA manquant",IF(NOT(ISNUMBER(K618)),"Taux de TVA invalide",IF(COUNTIF(p_rates,K618)=0,"Taux de TVA hors liste (Paramètres)",IF(N(O618)&gt;25,"Au-delà de 25 lignes : non imprimée","OK")))))))))))))</f>
        <v/>
      </c>
      <c r="O618" s="59" t="str">
        <f>IF(A618="","",COUNTIF($A$6:A618,A618))</f>
        <v/>
      </c>
      <c r="P618" s="62" t="str">
        <f>IF(A618="","",A618&amp;"|"&amp;O618)</f>
        <v/>
      </c>
    </row>
    <row r="619">
      <c r="A619" s="60" t="n"/>
      <c r="B619" s="63" t="n"/>
      <c r="C619" s="63" t="n"/>
      <c r="D619" s="67" t="n"/>
      <c r="E619" s="68" t="n"/>
      <c r="F619" s="69" t="n"/>
      <c r="G619" s="70" t="n"/>
      <c r="H619" s="62" t="str">
        <f>IF(COUNTA(A619:G619)=0,"",IF(C619&lt;&gt;"",C619,IF(B619="","",IFERROR(INDEX(pr_des,MATCH(B619,pr_code,0))&amp;"",""))))</f>
        <v/>
      </c>
      <c r="I619" s="59" t="str">
        <f>IF(B619="","",IFERROR(INDEX(pr_unit,MATCH(B619,pr_code,0))&amp;"",""))</f>
        <v/>
      </c>
      <c r="J619" s="65" t="str">
        <f>IF(COUNTA(A619:G619)=0,"",IF(E619&lt;&gt;"",E619,IF(B619="","",IFERROR(IF(INDEX(pr_price,MATCH(B619,pr_code,0))="","",INDEX(pr_price,MATCH(B619,pr_code,0))),""))))</f>
        <v/>
      </c>
      <c r="K619" s="71" t="str">
        <f>IF(COUNTA(A619:G619)=0,"",IF(G619&lt;&gt;"",G619,IF(B619="","",IFERROR(IF(INDEX(pr_rate,MATCH(B619,pr_code,0))="","",INDEX(pr_rate,MATCH(B619,pr_code,0))),""))))</f>
        <v/>
      </c>
      <c r="L619" s="65" t="str">
        <f>IF(COUNTA(A619:G619)=0,"",IF(AND(ISNUMBER(D619),ISNUMBER(J619)),ROUND(D619*J619*(1-N(F619)),2),0))</f>
        <v/>
      </c>
      <c r="M619" s="62" t="str">
        <f>IF(A619="","",IFERROR(INDEX(dv_cname,MATCH(A619,dv_num,0))&amp;"",""))</f>
        <v/>
      </c>
      <c r="N619" s="59" t="str">
        <f>IF(COUNTA(A619:G619)=0,"",IF(A619="","N° devis manquant",IF(ISNA(MATCH(A619,dv_num,0)),"Devis inconnu",IF(AND(B619&lt;&gt;"",ISNA(MATCH(B619,pr_code,0))),"Article inconnu",IF(H619="","Désignation manquante",IF(OR(NOT(ISNUMBER(D619)),N(D619)&lt;=0),"Quantité invalide",IF(J619="","Prix manquant",IF(OR(NOT(ISNUMBER(J619)),N(J619)&lt;0),"Prix invalide",IF(OR(AND(F619&lt;&gt;"",NOT(ISNUMBER(F619))),N(F619)&lt;0,N(F619)&gt;1),"Remise invalide",IF(K619="","Taux de TVA manquant",IF(NOT(ISNUMBER(K619)),"Taux de TVA invalide",IF(COUNTIF(p_rates,K619)=0,"Taux de TVA hors liste (Paramètres)",IF(N(O619)&gt;25,"Au-delà de 25 lignes : non imprimée","OK")))))))))))))</f>
        <v/>
      </c>
      <c r="O619" s="59" t="str">
        <f>IF(A619="","",COUNTIF($A$6:A619,A619))</f>
        <v/>
      </c>
      <c r="P619" s="62" t="str">
        <f>IF(A619="","",A619&amp;"|"&amp;O619)</f>
        <v/>
      </c>
    </row>
    <row r="620">
      <c r="A620" s="60" t="n"/>
      <c r="B620" s="63" t="n"/>
      <c r="C620" s="63" t="n"/>
      <c r="D620" s="67" t="n"/>
      <c r="E620" s="68" t="n"/>
      <c r="F620" s="69" t="n"/>
      <c r="G620" s="70" t="n"/>
      <c r="H620" s="62" t="str">
        <f>IF(COUNTA(A620:G620)=0,"",IF(C620&lt;&gt;"",C620,IF(B620="","",IFERROR(INDEX(pr_des,MATCH(B620,pr_code,0))&amp;"",""))))</f>
        <v/>
      </c>
      <c r="I620" s="59" t="str">
        <f>IF(B620="","",IFERROR(INDEX(pr_unit,MATCH(B620,pr_code,0))&amp;"",""))</f>
        <v/>
      </c>
      <c r="J620" s="65" t="str">
        <f>IF(COUNTA(A620:G620)=0,"",IF(E620&lt;&gt;"",E620,IF(B620="","",IFERROR(IF(INDEX(pr_price,MATCH(B620,pr_code,0))="","",INDEX(pr_price,MATCH(B620,pr_code,0))),""))))</f>
        <v/>
      </c>
      <c r="K620" s="71" t="str">
        <f>IF(COUNTA(A620:G620)=0,"",IF(G620&lt;&gt;"",G620,IF(B620="","",IFERROR(IF(INDEX(pr_rate,MATCH(B620,pr_code,0))="","",INDEX(pr_rate,MATCH(B620,pr_code,0))),""))))</f>
        <v/>
      </c>
      <c r="L620" s="65" t="str">
        <f>IF(COUNTA(A620:G620)=0,"",IF(AND(ISNUMBER(D620),ISNUMBER(J620)),ROUND(D620*J620*(1-N(F620)),2),0))</f>
        <v/>
      </c>
      <c r="M620" s="62" t="str">
        <f>IF(A620="","",IFERROR(INDEX(dv_cname,MATCH(A620,dv_num,0))&amp;"",""))</f>
        <v/>
      </c>
      <c r="N620" s="59" t="str">
        <f>IF(COUNTA(A620:G620)=0,"",IF(A620="","N° devis manquant",IF(ISNA(MATCH(A620,dv_num,0)),"Devis inconnu",IF(AND(B620&lt;&gt;"",ISNA(MATCH(B620,pr_code,0))),"Article inconnu",IF(H620="","Désignation manquante",IF(OR(NOT(ISNUMBER(D620)),N(D620)&lt;=0),"Quantité invalide",IF(J620="","Prix manquant",IF(OR(NOT(ISNUMBER(J620)),N(J620)&lt;0),"Prix invalide",IF(OR(AND(F620&lt;&gt;"",NOT(ISNUMBER(F620))),N(F620)&lt;0,N(F620)&gt;1),"Remise invalide",IF(K620="","Taux de TVA manquant",IF(NOT(ISNUMBER(K620)),"Taux de TVA invalide",IF(COUNTIF(p_rates,K620)=0,"Taux de TVA hors liste (Paramètres)",IF(N(O620)&gt;25,"Au-delà de 25 lignes : non imprimée","OK")))))))))))))</f>
        <v/>
      </c>
      <c r="O620" s="59" t="str">
        <f>IF(A620="","",COUNTIF($A$6:A620,A620))</f>
        <v/>
      </c>
      <c r="P620" s="62" t="str">
        <f>IF(A620="","",A620&amp;"|"&amp;O620)</f>
        <v/>
      </c>
    </row>
    <row r="621">
      <c r="A621" s="60" t="n"/>
      <c r="B621" s="63" t="n"/>
      <c r="C621" s="63" t="n"/>
      <c r="D621" s="67" t="n"/>
      <c r="E621" s="68" t="n"/>
      <c r="F621" s="69" t="n"/>
      <c r="G621" s="70" t="n"/>
      <c r="H621" s="62" t="str">
        <f>IF(COUNTA(A621:G621)=0,"",IF(C621&lt;&gt;"",C621,IF(B621="","",IFERROR(INDEX(pr_des,MATCH(B621,pr_code,0))&amp;"",""))))</f>
        <v/>
      </c>
      <c r="I621" s="59" t="str">
        <f>IF(B621="","",IFERROR(INDEX(pr_unit,MATCH(B621,pr_code,0))&amp;"",""))</f>
        <v/>
      </c>
      <c r="J621" s="65" t="str">
        <f>IF(COUNTA(A621:G621)=0,"",IF(E621&lt;&gt;"",E621,IF(B621="","",IFERROR(IF(INDEX(pr_price,MATCH(B621,pr_code,0))="","",INDEX(pr_price,MATCH(B621,pr_code,0))),""))))</f>
        <v/>
      </c>
      <c r="K621" s="71" t="str">
        <f>IF(COUNTA(A621:G621)=0,"",IF(G621&lt;&gt;"",G621,IF(B621="","",IFERROR(IF(INDEX(pr_rate,MATCH(B621,pr_code,0))="","",INDEX(pr_rate,MATCH(B621,pr_code,0))),""))))</f>
        <v/>
      </c>
      <c r="L621" s="65" t="str">
        <f>IF(COUNTA(A621:G621)=0,"",IF(AND(ISNUMBER(D621),ISNUMBER(J621)),ROUND(D621*J621*(1-N(F621)),2),0))</f>
        <v/>
      </c>
      <c r="M621" s="62" t="str">
        <f>IF(A621="","",IFERROR(INDEX(dv_cname,MATCH(A621,dv_num,0))&amp;"",""))</f>
        <v/>
      </c>
      <c r="N621" s="59" t="str">
        <f>IF(COUNTA(A621:G621)=0,"",IF(A621="","N° devis manquant",IF(ISNA(MATCH(A621,dv_num,0)),"Devis inconnu",IF(AND(B621&lt;&gt;"",ISNA(MATCH(B621,pr_code,0))),"Article inconnu",IF(H621="","Désignation manquante",IF(OR(NOT(ISNUMBER(D621)),N(D621)&lt;=0),"Quantité invalide",IF(J621="","Prix manquant",IF(OR(NOT(ISNUMBER(J621)),N(J621)&lt;0),"Prix invalide",IF(OR(AND(F621&lt;&gt;"",NOT(ISNUMBER(F621))),N(F621)&lt;0,N(F621)&gt;1),"Remise invalide",IF(K621="","Taux de TVA manquant",IF(NOT(ISNUMBER(K621)),"Taux de TVA invalide",IF(COUNTIF(p_rates,K621)=0,"Taux de TVA hors liste (Paramètres)",IF(N(O621)&gt;25,"Au-delà de 25 lignes : non imprimée","OK")))))))))))))</f>
        <v/>
      </c>
      <c r="O621" s="59" t="str">
        <f>IF(A621="","",COUNTIF($A$6:A621,A621))</f>
        <v/>
      </c>
      <c r="P621" s="62" t="str">
        <f>IF(A621="","",A621&amp;"|"&amp;O621)</f>
        <v/>
      </c>
    </row>
    <row r="622">
      <c r="A622" s="60" t="n"/>
      <c r="B622" s="63" t="n"/>
      <c r="C622" s="63" t="n"/>
      <c r="D622" s="67" t="n"/>
      <c r="E622" s="68" t="n"/>
      <c r="F622" s="69" t="n"/>
      <c r="G622" s="70" t="n"/>
      <c r="H622" s="62" t="str">
        <f>IF(COUNTA(A622:G622)=0,"",IF(C622&lt;&gt;"",C622,IF(B622="","",IFERROR(INDEX(pr_des,MATCH(B622,pr_code,0))&amp;"",""))))</f>
        <v/>
      </c>
      <c r="I622" s="59" t="str">
        <f>IF(B622="","",IFERROR(INDEX(pr_unit,MATCH(B622,pr_code,0))&amp;"",""))</f>
        <v/>
      </c>
      <c r="J622" s="65" t="str">
        <f>IF(COUNTA(A622:G622)=0,"",IF(E622&lt;&gt;"",E622,IF(B622="","",IFERROR(IF(INDEX(pr_price,MATCH(B622,pr_code,0))="","",INDEX(pr_price,MATCH(B622,pr_code,0))),""))))</f>
        <v/>
      </c>
      <c r="K622" s="71" t="str">
        <f>IF(COUNTA(A622:G622)=0,"",IF(G622&lt;&gt;"",G622,IF(B622="","",IFERROR(IF(INDEX(pr_rate,MATCH(B622,pr_code,0))="","",INDEX(pr_rate,MATCH(B622,pr_code,0))),""))))</f>
        <v/>
      </c>
      <c r="L622" s="65" t="str">
        <f>IF(COUNTA(A622:G622)=0,"",IF(AND(ISNUMBER(D622),ISNUMBER(J622)),ROUND(D622*J622*(1-N(F622)),2),0))</f>
        <v/>
      </c>
      <c r="M622" s="62" t="str">
        <f>IF(A622="","",IFERROR(INDEX(dv_cname,MATCH(A622,dv_num,0))&amp;"",""))</f>
        <v/>
      </c>
      <c r="N622" s="59" t="str">
        <f>IF(COUNTA(A622:G622)=0,"",IF(A622="","N° devis manquant",IF(ISNA(MATCH(A622,dv_num,0)),"Devis inconnu",IF(AND(B622&lt;&gt;"",ISNA(MATCH(B622,pr_code,0))),"Article inconnu",IF(H622="","Désignation manquante",IF(OR(NOT(ISNUMBER(D622)),N(D622)&lt;=0),"Quantité invalide",IF(J622="","Prix manquant",IF(OR(NOT(ISNUMBER(J622)),N(J622)&lt;0),"Prix invalide",IF(OR(AND(F622&lt;&gt;"",NOT(ISNUMBER(F622))),N(F622)&lt;0,N(F622)&gt;1),"Remise invalide",IF(K622="","Taux de TVA manquant",IF(NOT(ISNUMBER(K622)),"Taux de TVA invalide",IF(COUNTIF(p_rates,K622)=0,"Taux de TVA hors liste (Paramètres)",IF(N(O622)&gt;25,"Au-delà de 25 lignes : non imprimée","OK")))))))))))))</f>
        <v/>
      </c>
      <c r="O622" s="59" t="str">
        <f>IF(A622="","",COUNTIF($A$6:A622,A622))</f>
        <v/>
      </c>
      <c r="P622" s="62" t="str">
        <f>IF(A622="","",A622&amp;"|"&amp;O622)</f>
        <v/>
      </c>
    </row>
    <row r="623">
      <c r="A623" s="60" t="n"/>
      <c r="B623" s="63" t="n"/>
      <c r="C623" s="63" t="n"/>
      <c r="D623" s="67" t="n"/>
      <c r="E623" s="68" t="n"/>
      <c r="F623" s="69" t="n"/>
      <c r="G623" s="70" t="n"/>
      <c r="H623" s="62" t="str">
        <f>IF(COUNTA(A623:G623)=0,"",IF(C623&lt;&gt;"",C623,IF(B623="","",IFERROR(INDEX(pr_des,MATCH(B623,pr_code,0))&amp;"",""))))</f>
        <v/>
      </c>
      <c r="I623" s="59" t="str">
        <f>IF(B623="","",IFERROR(INDEX(pr_unit,MATCH(B623,pr_code,0))&amp;"",""))</f>
        <v/>
      </c>
      <c r="J623" s="65" t="str">
        <f>IF(COUNTA(A623:G623)=0,"",IF(E623&lt;&gt;"",E623,IF(B623="","",IFERROR(IF(INDEX(pr_price,MATCH(B623,pr_code,0))="","",INDEX(pr_price,MATCH(B623,pr_code,0))),""))))</f>
        <v/>
      </c>
      <c r="K623" s="71" t="str">
        <f>IF(COUNTA(A623:G623)=0,"",IF(G623&lt;&gt;"",G623,IF(B623="","",IFERROR(IF(INDEX(pr_rate,MATCH(B623,pr_code,0))="","",INDEX(pr_rate,MATCH(B623,pr_code,0))),""))))</f>
        <v/>
      </c>
      <c r="L623" s="65" t="str">
        <f>IF(COUNTA(A623:G623)=0,"",IF(AND(ISNUMBER(D623),ISNUMBER(J623)),ROUND(D623*J623*(1-N(F623)),2),0))</f>
        <v/>
      </c>
      <c r="M623" s="62" t="str">
        <f>IF(A623="","",IFERROR(INDEX(dv_cname,MATCH(A623,dv_num,0))&amp;"",""))</f>
        <v/>
      </c>
      <c r="N623" s="59" t="str">
        <f>IF(COUNTA(A623:G623)=0,"",IF(A623="","N° devis manquant",IF(ISNA(MATCH(A623,dv_num,0)),"Devis inconnu",IF(AND(B623&lt;&gt;"",ISNA(MATCH(B623,pr_code,0))),"Article inconnu",IF(H623="","Désignation manquante",IF(OR(NOT(ISNUMBER(D623)),N(D623)&lt;=0),"Quantité invalide",IF(J623="","Prix manquant",IF(OR(NOT(ISNUMBER(J623)),N(J623)&lt;0),"Prix invalide",IF(OR(AND(F623&lt;&gt;"",NOT(ISNUMBER(F623))),N(F623)&lt;0,N(F623)&gt;1),"Remise invalide",IF(K623="","Taux de TVA manquant",IF(NOT(ISNUMBER(K623)),"Taux de TVA invalide",IF(COUNTIF(p_rates,K623)=0,"Taux de TVA hors liste (Paramètres)",IF(N(O623)&gt;25,"Au-delà de 25 lignes : non imprimée","OK")))))))))))))</f>
        <v/>
      </c>
      <c r="O623" s="59" t="str">
        <f>IF(A623="","",COUNTIF($A$6:A623,A623))</f>
        <v/>
      </c>
      <c r="P623" s="62" t="str">
        <f>IF(A623="","",A623&amp;"|"&amp;O623)</f>
        <v/>
      </c>
    </row>
    <row r="624">
      <c r="A624" s="60" t="n"/>
      <c r="B624" s="63" t="n"/>
      <c r="C624" s="63" t="n"/>
      <c r="D624" s="67" t="n"/>
      <c r="E624" s="68" t="n"/>
      <c r="F624" s="69" t="n"/>
      <c r="G624" s="70" t="n"/>
      <c r="H624" s="62" t="str">
        <f>IF(COUNTA(A624:G624)=0,"",IF(C624&lt;&gt;"",C624,IF(B624="","",IFERROR(INDEX(pr_des,MATCH(B624,pr_code,0))&amp;"",""))))</f>
        <v/>
      </c>
      <c r="I624" s="59" t="str">
        <f>IF(B624="","",IFERROR(INDEX(pr_unit,MATCH(B624,pr_code,0))&amp;"",""))</f>
        <v/>
      </c>
      <c r="J624" s="65" t="str">
        <f>IF(COUNTA(A624:G624)=0,"",IF(E624&lt;&gt;"",E624,IF(B624="","",IFERROR(IF(INDEX(pr_price,MATCH(B624,pr_code,0))="","",INDEX(pr_price,MATCH(B624,pr_code,0))),""))))</f>
        <v/>
      </c>
      <c r="K624" s="71" t="str">
        <f>IF(COUNTA(A624:G624)=0,"",IF(G624&lt;&gt;"",G624,IF(B624="","",IFERROR(IF(INDEX(pr_rate,MATCH(B624,pr_code,0))="","",INDEX(pr_rate,MATCH(B624,pr_code,0))),""))))</f>
        <v/>
      </c>
      <c r="L624" s="65" t="str">
        <f>IF(COUNTA(A624:G624)=0,"",IF(AND(ISNUMBER(D624),ISNUMBER(J624)),ROUND(D624*J624*(1-N(F624)),2),0))</f>
        <v/>
      </c>
      <c r="M624" s="62" t="str">
        <f>IF(A624="","",IFERROR(INDEX(dv_cname,MATCH(A624,dv_num,0))&amp;"",""))</f>
        <v/>
      </c>
      <c r="N624" s="59" t="str">
        <f>IF(COUNTA(A624:G624)=0,"",IF(A624="","N° devis manquant",IF(ISNA(MATCH(A624,dv_num,0)),"Devis inconnu",IF(AND(B624&lt;&gt;"",ISNA(MATCH(B624,pr_code,0))),"Article inconnu",IF(H624="","Désignation manquante",IF(OR(NOT(ISNUMBER(D624)),N(D624)&lt;=0),"Quantité invalide",IF(J624="","Prix manquant",IF(OR(NOT(ISNUMBER(J624)),N(J624)&lt;0),"Prix invalide",IF(OR(AND(F624&lt;&gt;"",NOT(ISNUMBER(F624))),N(F624)&lt;0,N(F624)&gt;1),"Remise invalide",IF(K624="","Taux de TVA manquant",IF(NOT(ISNUMBER(K624)),"Taux de TVA invalide",IF(COUNTIF(p_rates,K624)=0,"Taux de TVA hors liste (Paramètres)",IF(N(O624)&gt;25,"Au-delà de 25 lignes : non imprimée","OK")))))))))))))</f>
        <v/>
      </c>
      <c r="O624" s="59" t="str">
        <f>IF(A624="","",COUNTIF($A$6:A624,A624))</f>
        <v/>
      </c>
      <c r="P624" s="62" t="str">
        <f>IF(A624="","",A624&amp;"|"&amp;O624)</f>
        <v/>
      </c>
    </row>
    <row r="625">
      <c r="A625" s="60" t="n"/>
      <c r="B625" s="63" t="n"/>
      <c r="C625" s="63" t="n"/>
      <c r="D625" s="67" t="n"/>
      <c r="E625" s="68" t="n"/>
      <c r="F625" s="69" t="n"/>
      <c r="G625" s="70" t="n"/>
      <c r="H625" s="62" t="str">
        <f>IF(COUNTA(A625:G625)=0,"",IF(C625&lt;&gt;"",C625,IF(B625="","",IFERROR(INDEX(pr_des,MATCH(B625,pr_code,0))&amp;"",""))))</f>
        <v/>
      </c>
      <c r="I625" s="59" t="str">
        <f>IF(B625="","",IFERROR(INDEX(pr_unit,MATCH(B625,pr_code,0))&amp;"",""))</f>
        <v/>
      </c>
      <c r="J625" s="65" t="str">
        <f>IF(COUNTA(A625:G625)=0,"",IF(E625&lt;&gt;"",E625,IF(B625="","",IFERROR(IF(INDEX(pr_price,MATCH(B625,pr_code,0))="","",INDEX(pr_price,MATCH(B625,pr_code,0))),""))))</f>
        <v/>
      </c>
      <c r="K625" s="71" t="str">
        <f>IF(COUNTA(A625:G625)=0,"",IF(G625&lt;&gt;"",G625,IF(B625="","",IFERROR(IF(INDEX(pr_rate,MATCH(B625,pr_code,0))="","",INDEX(pr_rate,MATCH(B625,pr_code,0))),""))))</f>
        <v/>
      </c>
      <c r="L625" s="65" t="str">
        <f>IF(COUNTA(A625:G625)=0,"",IF(AND(ISNUMBER(D625),ISNUMBER(J625)),ROUND(D625*J625*(1-N(F625)),2),0))</f>
        <v/>
      </c>
      <c r="M625" s="62" t="str">
        <f>IF(A625="","",IFERROR(INDEX(dv_cname,MATCH(A625,dv_num,0))&amp;"",""))</f>
        <v/>
      </c>
      <c r="N625" s="59" t="str">
        <f>IF(COUNTA(A625:G625)=0,"",IF(A625="","N° devis manquant",IF(ISNA(MATCH(A625,dv_num,0)),"Devis inconnu",IF(AND(B625&lt;&gt;"",ISNA(MATCH(B625,pr_code,0))),"Article inconnu",IF(H625="","Désignation manquante",IF(OR(NOT(ISNUMBER(D625)),N(D625)&lt;=0),"Quantité invalide",IF(J625="","Prix manquant",IF(OR(NOT(ISNUMBER(J625)),N(J625)&lt;0),"Prix invalide",IF(OR(AND(F625&lt;&gt;"",NOT(ISNUMBER(F625))),N(F625)&lt;0,N(F625)&gt;1),"Remise invalide",IF(K625="","Taux de TVA manquant",IF(NOT(ISNUMBER(K625)),"Taux de TVA invalide",IF(COUNTIF(p_rates,K625)=0,"Taux de TVA hors liste (Paramètres)",IF(N(O625)&gt;25,"Au-delà de 25 lignes : non imprimée","OK")))))))))))))</f>
        <v/>
      </c>
      <c r="O625" s="59" t="str">
        <f>IF(A625="","",COUNTIF($A$6:A625,A625))</f>
        <v/>
      </c>
      <c r="P625" s="62" t="str">
        <f>IF(A625="","",A625&amp;"|"&amp;O625)</f>
        <v/>
      </c>
    </row>
    <row r="626">
      <c r="A626" s="60" t="n"/>
      <c r="B626" s="63" t="n"/>
      <c r="C626" s="63" t="n"/>
      <c r="D626" s="67" t="n"/>
      <c r="E626" s="68" t="n"/>
      <c r="F626" s="69" t="n"/>
      <c r="G626" s="70" t="n"/>
      <c r="H626" s="62" t="str">
        <f>IF(COUNTA(A626:G626)=0,"",IF(C626&lt;&gt;"",C626,IF(B626="","",IFERROR(INDEX(pr_des,MATCH(B626,pr_code,0))&amp;"",""))))</f>
        <v/>
      </c>
      <c r="I626" s="59" t="str">
        <f>IF(B626="","",IFERROR(INDEX(pr_unit,MATCH(B626,pr_code,0))&amp;"",""))</f>
        <v/>
      </c>
      <c r="J626" s="65" t="str">
        <f>IF(COUNTA(A626:G626)=0,"",IF(E626&lt;&gt;"",E626,IF(B626="","",IFERROR(IF(INDEX(pr_price,MATCH(B626,pr_code,0))="","",INDEX(pr_price,MATCH(B626,pr_code,0))),""))))</f>
        <v/>
      </c>
      <c r="K626" s="71" t="str">
        <f>IF(COUNTA(A626:G626)=0,"",IF(G626&lt;&gt;"",G626,IF(B626="","",IFERROR(IF(INDEX(pr_rate,MATCH(B626,pr_code,0))="","",INDEX(pr_rate,MATCH(B626,pr_code,0))),""))))</f>
        <v/>
      </c>
      <c r="L626" s="65" t="str">
        <f>IF(COUNTA(A626:G626)=0,"",IF(AND(ISNUMBER(D626),ISNUMBER(J626)),ROUND(D626*J626*(1-N(F626)),2),0))</f>
        <v/>
      </c>
      <c r="M626" s="62" t="str">
        <f>IF(A626="","",IFERROR(INDEX(dv_cname,MATCH(A626,dv_num,0))&amp;"",""))</f>
        <v/>
      </c>
      <c r="N626" s="59" t="str">
        <f>IF(COUNTA(A626:G626)=0,"",IF(A626="","N° devis manquant",IF(ISNA(MATCH(A626,dv_num,0)),"Devis inconnu",IF(AND(B626&lt;&gt;"",ISNA(MATCH(B626,pr_code,0))),"Article inconnu",IF(H626="","Désignation manquante",IF(OR(NOT(ISNUMBER(D626)),N(D626)&lt;=0),"Quantité invalide",IF(J626="","Prix manquant",IF(OR(NOT(ISNUMBER(J626)),N(J626)&lt;0),"Prix invalide",IF(OR(AND(F626&lt;&gt;"",NOT(ISNUMBER(F626))),N(F626)&lt;0,N(F626)&gt;1),"Remise invalide",IF(K626="","Taux de TVA manquant",IF(NOT(ISNUMBER(K626)),"Taux de TVA invalide",IF(COUNTIF(p_rates,K626)=0,"Taux de TVA hors liste (Paramètres)",IF(N(O626)&gt;25,"Au-delà de 25 lignes : non imprimée","OK")))))))))))))</f>
        <v/>
      </c>
      <c r="O626" s="59" t="str">
        <f>IF(A626="","",COUNTIF($A$6:A626,A626))</f>
        <v/>
      </c>
      <c r="P626" s="62" t="str">
        <f>IF(A626="","",A626&amp;"|"&amp;O626)</f>
        <v/>
      </c>
    </row>
    <row r="627">
      <c r="A627" s="60" t="n"/>
      <c r="B627" s="63" t="n"/>
      <c r="C627" s="63" t="n"/>
      <c r="D627" s="67" t="n"/>
      <c r="E627" s="68" t="n"/>
      <c r="F627" s="69" t="n"/>
      <c r="G627" s="70" t="n"/>
      <c r="H627" s="62" t="str">
        <f>IF(COUNTA(A627:G627)=0,"",IF(C627&lt;&gt;"",C627,IF(B627="","",IFERROR(INDEX(pr_des,MATCH(B627,pr_code,0))&amp;"",""))))</f>
        <v/>
      </c>
      <c r="I627" s="59" t="str">
        <f>IF(B627="","",IFERROR(INDEX(pr_unit,MATCH(B627,pr_code,0))&amp;"",""))</f>
        <v/>
      </c>
      <c r="J627" s="65" t="str">
        <f>IF(COUNTA(A627:G627)=0,"",IF(E627&lt;&gt;"",E627,IF(B627="","",IFERROR(IF(INDEX(pr_price,MATCH(B627,pr_code,0))="","",INDEX(pr_price,MATCH(B627,pr_code,0))),""))))</f>
        <v/>
      </c>
      <c r="K627" s="71" t="str">
        <f>IF(COUNTA(A627:G627)=0,"",IF(G627&lt;&gt;"",G627,IF(B627="","",IFERROR(IF(INDEX(pr_rate,MATCH(B627,pr_code,0))="","",INDEX(pr_rate,MATCH(B627,pr_code,0))),""))))</f>
        <v/>
      </c>
      <c r="L627" s="65" t="str">
        <f>IF(COUNTA(A627:G627)=0,"",IF(AND(ISNUMBER(D627),ISNUMBER(J627)),ROUND(D627*J627*(1-N(F627)),2),0))</f>
        <v/>
      </c>
      <c r="M627" s="62" t="str">
        <f>IF(A627="","",IFERROR(INDEX(dv_cname,MATCH(A627,dv_num,0))&amp;"",""))</f>
        <v/>
      </c>
      <c r="N627" s="59" t="str">
        <f>IF(COUNTA(A627:G627)=0,"",IF(A627="","N° devis manquant",IF(ISNA(MATCH(A627,dv_num,0)),"Devis inconnu",IF(AND(B627&lt;&gt;"",ISNA(MATCH(B627,pr_code,0))),"Article inconnu",IF(H627="","Désignation manquante",IF(OR(NOT(ISNUMBER(D627)),N(D627)&lt;=0),"Quantité invalide",IF(J627="","Prix manquant",IF(OR(NOT(ISNUMBER(J627)),N(J627)&lt;0),"Prix invalide",IF(OR(AND(F627&lt;&gt;"",NOT(ISNUMBER(F627))),N(F627)&lt;0,N(F627)&gt;1),"Remise invalide",IF(K627="","Taux de TVA manquant",IF(NOT(ISNUMBER(K627)),"Taux de TVA invalide",IF(COUNTIF(p_rates,K627)=0,"Taux de TVA hors liste (Paramètres)",IF(N(O627)&gt;25,"Au-delà de 25 lignes : non imprimée","OK")))))))))))))</f>
        <v/>
      </c>
      <c r="O627" s="59" t="str">
        <f>IF(A627="","",COUNTIF($A$6:A627,A627))</f>
        <v/>
      </c>
      <c r="P627" s="62" t="str">
        <f>IF(A627="","",A627&amp;"|"&amp;O627)</f>
        <v/>
      </c>
    </row>
    <row r="628">
      <c r="A628" s="60" t="n"/>
      <c r="B628" s="63" t="n"/>
      <c r="C628" s="63" t="n"/>
      <c r="D628" s="67" t="n"/>
      <c r="E628" s="68" t="n"/>
      <c r="F628" s="69" t="n"/>
      <c r="G628" s="70" t="n"/>
      <c r="H628" s="62" t="str">
        <f>IF(COUNTA(A628:G628)=0,"",IF(C628&lt;&gt;"",C628,IF(B628="","",IFERROR(INDEX(pr_des,MATCH(B628,pr_code,0))&amp;"",""))))</f>
        <v/>
      </c>
      <c r="I628" s="59" t="str">
        <f>IF(B628="","",IFERROR(INDEX(pr_unit,MATCH(B628,pr_code,0))&amp;"",""))</f>
        <v/>
      </c>
      <c r="J628" s="65" t="str">
        <f>IF(COUNTA(A628:G628)=0,"",IF(E628&lt;&gt;"",E628,IF(B628="","",IFERROR(IF(INDEX(pr_price,MATCH(B628,pr_code,0))="","",INDEX(pr_price,MATCH(B628,pr_code,0))),""))))</f>
        <v/>
      </c>
      <c r="K628" s="71" t="str">
        <f>IF(COUNTA(A628:G628)=0,"",IF(G628&lt;&gt;"",G628,IF(B628="","",IFERROR(IF(INDEX(pr_rate,MATCH(B628,pr_code,0))="","",INDEX(pr_rate,MATCH(B628,pr_code,0))),""))))</f>
        <v/>
      </c>
      <c r="L628" s="65" t="str">
        <f>IF(COUNTA(A628:G628)=0,"",IF(AND(ISNUMBER(D628),ISNUMBER(J628)),ROUND(D628*J628*(1-N(F628)),2),0))</f>
        <v/>
      </c>
      <c r="M628" s="62" t="str">
        <f>IF(A628="","",IFERROR(INDEX(dv_cname,MATCH(A628,dv_num,0))&amp;"",""))</f>
        <v/>
      </c>
      <c r="N628" s="59" t="str">
        <f>IF(COUNTA(A628:G628)=0,"",IF(A628="","N° devis manquant",IF(ISNA(MATCH(A628,dv_num,0)),"Devis inconnu",IF(AND(B628&lt;&gt;"",ISNA(MATCH(B628,pr_code,0))),"Article inconnu",IF(H628="","Désignation manquante",IF(OR(NOT(ISNUMBER(D628)),N(D628)&lt;=0),"Quantité invalide",IF(J628="","Prix manquant",IF(OR(NOT(ISNUMBER(J628)),N(J628)&lt;0),"Prix invalide",IF(OR(AND(F628&lt;&gt;"",NOT(ISNUMBER(F628))),N(F628)&lt;0,N(F628)&gt;1),"Remise invalide",IF(K628="","Taux de TVA manquant",IF(NOT(ISNUMBER(K628)),"Taux de TVA invalide",IF(COUNTIF(p_rates,K628)=0,"Taux de TVA hors liste (Paramètres)",IF(N(O628)&gt;25,"Au-delà de 25 lignes : non imprimée","OK")))))))))))))</f>
        <v/>
      </c>
      <c r="O628" s="59" t="str">
        <f>IF(A628="","",COUNTIF($A$6:A628,A628))</f>
        <v/>
      </c>
      <c r="P628" s="62" t="str">
        <f>IF(A628="","",A628&amp;"|"&amp;O628)</f>
        <v/>
      </c>
    </row>
    <row r="629">
      <c r="A629" s="60" t="n"/>
      <c r="B629" s="63" t="n"/>
      <c r="C629" s="63" t="n"/>
      <c r="D629" s="67" t="n"/>
      <c r="E629" s="68" t="n"/>
      <c r="F629" s="69" t="n"/>
      <c r="G629" s="70" t="n"/>
      <c r="H629" s="62" t="str">
        <f>IF(COUNTA(A629:G629)=0,"",IF(C629&lt;&gt;"",C629,IF(B629="","",IFERROR(INDEX(pr_des,MATCH(B629,pr_code,0))&amp;"",""))))</f>
        <v/>
      </c>
      <c r="I629" s="59" t="str">
        <f>IF(B629="","",IFERROR(INDEX(pr_unit,MATCH(B629,pr_code,0))&amp;"",""))</f>
        <v/>
      </c>
      <c r="J629" s="65" t="str">
        <f>IF(COUNTA(A629:G629)=0,"",IF(E629&lt;&gt;"",E629,IF(B629="","",IFERROR(IF(INDEX(pr_price,MATCH(B629,pr_code,0))="","",INDEX(pr_price,MATCH(B629,pr_code,0))),""))))</f>
        <v/>
      </c>
      <c r="K629" s="71" t="str">
        <f>IF(COUNTA(A629:G629)=0,"",IF(G629&lt;&gt;"",G629,IF(B629="","",IFERROR(IF(INDEX(pr_rate,MATCH(B629,pr_code,0))="","",INDEX(pr_rate,MATCH(B629,pr_code,0))),""))))</f>
        <v/>
      </c>
      <c r="L629" s="65" t="str">
        <f>IF(COUNTA(A629:G629)=0,"",IF(AND(ISNUMBER(D629),ISNUMBER(J629)),ROUND(D629*J629*(1-N(F629)),2),0))</f>
        <v/>
      </c>
      <c r="M629" s="62" t="str">
        <f>IF(A629="","",IFERROR(INDEX(dv_cname,MATCH(A629,dv_num,0))&amp;"",""))</f>
        <v/>
      </c>
      <c r="N629" s="59" t="str">
        <f>IF(COUNTA(A629:G629)=0,"",IF(A629="","N° devis manquant",IF(ISNA(MATCH(A629,dv_num,0)),"Devis inconnu",IF(AND(B629&lt;&gt;"",ISNA(MATCH(B629,pr_code,0))),"Article inconnu",IF(H629="","Désignation manquante",IF(OR(NOT(ISNUMBER(D629)),N(D629)&lt;=0),"Quantité invalide",IF(J629="","Prix manquant",IF(OR(NOT(ISNUMBER(J629)),N(J629)&lt;0),"Prix invalide",IF(OR(AND(F629&lt;&gt;"",NOT(ISNUMBER(F629))),N(F629)&lt;0,N(F629)&gt;1),"Remise invalide",IF(K629="","Taux de TVA manquant",IF(NOT(ISNUMBER(K629)),"Taux de TVA invalide",IF(COUNTIF(p_rates,K629)=0,"Taux de TVA hors liste (Paramètres)",IF(N(O629)&gt;25,"Au-delà de 25 lignes : non imprimée","OK")))))))))))))</f>
        <v/>
      </c>
      <c r="O629" s="59" t="str">
        <f>IF(A629="","",COUNTIF($A$6:A629,A629))</f>
        <v/>
      </c>
      <c r="P629" s="62" t="str">
        <f>IF(A629="","",A629&amp;"|"&amp;O629)</f>
        <v/>
      </c>
    </row>
    <row r="630">
      <c r="A630" s="60" t="n"/>
      <c r="B630" s="63" t="n"/>
      <c r="C630" s="63" t="n"/>
      <c r="D630" s="67" t="n"/>
      <c r="E630" s="68" t="n"/>
      <c r="F630" s="69" t="n"/>
      <c r="G630" s="70" t="n"/>
      <c r="H630" s="62" t="str">
        <f>IF(COUNTA(A630:G630)=0,"",IF(C630&lt;&gt;"",C630,IF(B630="","",IFERROR(INDEX(pr_des,MATCH(B630,pr_code,0))&amp;"",""))))</f>
        <v/>
      </c>
      <c r="I630" s="59" t="str">
        <f>IF(B630="","",IFERROR(INDEX(pr_unit,MATCH(B630,pr_code,0))&amp;"",""))</f>
        <v/>
      </c>
      <c r="J630" s="65" t="str">
        <f>IF(COUNTA(A630:G630)=0,"",IF(E630&lt;&gt;"",E630,IF(B630="","",IFERROR(IF(INDEX(pr_price,MATCH(B630,pr_code,0))="","",INDEX(pr_price,MATCH(B630,pr_code,0))),""))))</f>
        <v/>
      </c>
      <c r="K630" s="71" t="str">
        <f>IF(COUNTA(A630:G630)=0,"",IF(G630&lt;&gt;"",G630,IF(B630="","",IFERROR(IF(INDEX(pr_rate,MATCH(B630,pr_code,0))="","",INDEX(pr_rate,MATCH(B630,pr_code,0))),""))))</f>
        <v/>
      </c>
      <c r="L630" s="65" t="str">
        <f>IF(COUNTA(A630:G630)=0,"",IF(AND(ISNUMBER(D630),ISNUMBER(J630)),ROUND(D630*J630*(1-N(F630)),2),0))</f>
        <v/>
      </c>
      <c r="M630" s="62" t="str">
        <f>IF(A630="","",IFERROR(INDEX(dv_cname,MATCH(A630,dv_num,0))&amp;"",""))</f>
        <v/>
      </c>
      <c r="N630" s="59" t="str">
        <f>IF(COUNTA(A630:G630)=0,"",IF(A630="","N° devis manquant",IF(ISNA(MATCH(A630,dv_num,0)),"Devis inconnu",IF(AND(B630&lt;&gt;"",ISNA(MATCH(B630,pr_code,0))),"Article inconnu",IF(H630="","Désignation manquante",IF(OR(NOT(ISNUMBER(D630)),N(D630)&lt;=0),"Quantité invalide",IF(J630="","Prix manquant",IF(OR(NOT(ISNUMBER(J630)),N(J630)&lt;0),"Prix invalide",IF(OR(AND(F630&lt;&gt;"",NOT(ISNUMBER(F630))),N(F630)&lt;0,N(F630)&gt;1),"Remise invalide",IF(K630="","Taux de TVA manquant",IF(NOT(ISNUMBER(K630)),"Taux de TVA invalide",IF(COUNTIF(p_rates,K630)=0,"Taux de TVA hors liste (Paramètres)",IF(N(O630)&gt;25,"Au-delà de 25 lignes : non imprimée","OK")))))))))))))</f>
        <v/>
      </c>
      <c r="O630" s="59" t="str">
        <f>IF(A630="","",COUNTIF($A$6:A630,A630))</f>
        <v/>
      </c>
      <c r="P630" s="62" t="str">
        <f>IF(A630="","",A630&amp;"|"&amp;O630)</f>
        <v/>
      </c>
    </row>
    <row r="631">
      <c r="A631" s="60" t="n"/>
      <c r="B631" s="63" t="n"/>
      <c r="C631" s="63" t="n"/>
      <c r="D631" s="67" t="n"/>
      <c r="E631" s="68" t="n"/>
      <c r="F631" s="69" t="n"/>
      <c r="G631" s="70" t="n"/>
      <c r="H631" s="62" t="str">
        <f>IF(COUNTA(A631:G631)=0,"",IF(C631&lt;&gt;"",C631,IF(B631="","",IFERROR(INDEX(pr_des,MATCH(B631,pr_code,0))&amp;"",""))))</f>
        <v/>
      </c>
      <c r="I631" s="59" t="str">
        <f>IF(B631="","",IFERROR(INDEX(pr_unit,MATCH(B631,pr_code,0))&amp;"",""))</f>
        <v/>
      </c>
      <c r="J631" s="65" t="str">
        <f>IF(COUNTA(A631:G631)=0,"",IF(E631&lt;&gt;"",E631,IF(B631="","",IFERROR(IF(INDEX(pr_price,MATCH(B631,pr_code,0))="","",INDEX(pr_price,MATCH(B631,pr_code,0))),""))))</f>
        <v/>
      </c>
      <c r="K631" s="71" t="str">
        <f>IF(COUNTA(A631:G631)=0,"",IF(G631&lt;&gt;"",G631,IF(B631="","",IFERROR(IF(INDEX(pr_rate,MATCH(B631,pr_code,0))="","",INDEX(pr_rate,MATCH(B631,pr_code,0))),""))))</f>
        <v/>
      </c>
      <c r="L631" s="65" t="str">
        <f>IF(COUNTA(A631:G631)=0,"",IF(AND(ISNUMBER(D631),ISNUMBER(J631)),ROUND(D631*J631*(1-N(F631)),2),0))</f>
        <v/>
      </c>
      <c r="M631" s="62" t="str">
        <f>IF(A631="","",IFERROR(INDEX(dv_cname,MATCH(A631,dv_num,0))&amp;"",""))</f>
        <v/>
      </c>
      <c r="N631" s="59" t="str">
        <f>IF(COUNTA(A631:G631)=0,"",IF(A631="","N° devis manquant",IF(ISNA(MATCH(A631,dv_num,0)),"Devis inconnu",IF(AND(B631&lt;&gt;"",ISNA(MATCH(B631,pr_code,0))),"Article inconnu",IF(H631="","Désignation manquante",IF(OR(NOT(ISNUMBER(D631)),N(D631)&lt;=0),"Quantité invalide",IF(J631="","Prix manquant",IF(OR(NOT(ISNUMBER(J631)),N(J631)&lt;0),"Prix invalide",IF(OR(AND(F631&lt;&gt;"",NOT(ISNUMBER(F631))),N(F631)&lt;0,N(F631)&gt;1),"Remise invalide",IF(K631="","Taux de TVA manquant",IF(NOT(ISNUMBER(K631)),"Taux de TVA invalide",IF(COUNTIF(p_rates,K631)=0,"Taux de TVA hors liste (Paramètres)",IF(N(O631)&gt;25,"Au-delà de 25 lignes : non imprimée","OK")))))))))))))</f>
        <v/>
      </c>
      <c r="O631" s="59" t="str">
        <f>IF(A631="","",COUNTIF($A$6:A631,A631))</f>
        <v/>
      </c>
      <c r="P631" s="62" t="str">
        <f>IF(A631="","",A631&amp;"|"&amp;O631)</f>
        <v/>
      </c>
    </row>
    <row r="632">
      <c r="A632" s="60" t="n"/>
      <c r="B632" s="63" t="n"/>
      <c r="C632" s="63" t="n"/>
      <c r="D632" s="67" t="n"/>
      <c r="E632" s="68" t="n"/>
      <c r="F632" s="69" t="n"/>
      <c r="G632" s="70" t="n"/>
      <c r="H632" s="62" t="str">
        <f>IF(COUNTA(A632:G632)=0,"",IF(C632&lt;&gt;"",C632,IF(B632="","",IFERROR(INDEX(pr_des,MATCH(B632,pr_code,0))&amp;"",""))))</f>
        <v/>
      </c>
      <c r="I632" s="59" t="str">
        <f>IF(B632="","",IFERROR(INDEX(pr_unit,MATCH(B632,pr_code,0))&amp;"",""))</f>
        <v/>
      </c>
      <c r="J632" s="65" t="str">
        <f>IF(COUNTA(A632:G632)=0,"",IF(E632&lt;&gt;"",E632,IF(B632="","",IFERROR(IF(INDEX(pr_price,MATCH(B632,pr_code,0))="","",INDEX(pr_price,MATCH(B632,pr_code,0))),""))))</f>
        <v/>
      </c>
      <c r="K632" s="71" t="str">
        <f>IF(COUNTA(A632:G632)=0,"",IF(G632&lt;&gt;"",G632,IF(B632="","",IFERROR(IF(INDEX(pr_rate,MATCH(B632,pr_code,0))="","",INDEX(pr_rate,MATCH(B632,pr_code,0))),""))))</f>
        <v/>
      </c>
      <c r="L632" s="65" t="str">
        <f>IF(COUNTA(A632:G632)=0,"",IF(AND(ISNUMBER(D632),ISNUMBER(J632)),ROUND(D632*J632*(1-N(F632)),2),0))</f>
        <v/>
      </c>
      <c r="M632" s="62" t="str">
        <f>IF(A632="","",IFERROR(INDEX(dv_cname,MATCH(A632,dv_num,0))&amp;"",""))</f>
        <v/>
      </c>
      <c r="N632" s="59" t="str">
        <f>IF(COUNTA(A632:G632)=0,"",IF(A632="","N° devis manquant",IF(ISNA(MATCH(A632,dv_num,0)),"Devis inconnu",IF(AND(B632&lt;&gt;"",ISNA(MATCH(B632,pr_code,0))),"Article inconnu",IF(H632="","Désignation manquante",IF(OR(NOT(ISNUMBER(D632)),N(D632)&lt;=0),"Quantité invalide",IF(J632="","Prix manquant",IF(OR(NOT(ISNUMBER(J632)),N(J632)&lt;0),"Prix invalide",IF(OR(AND(F632&lt;&gt;"",NOT(ISNUMBER(F632))),N(F632)&lt;0,N(F632)&gt;1),"Remise invalide",IF(K632="","Taux de TVA manquant",IF(NOT(ISNUMBER(K632)),"Taux de TVA invalide",IF(COUNTIF(p_rates,K632)=0,"Taux de TVA hors liste (Paramètres)",IF(N(O632)&gt;25,"Au-delà de 25 lignes : non imprimée","OK")))))))))))))</f>
        <v/>
      </c>
      <c r="O632" s="59" t="str">
        <f>IF(A632="","",COUNTIF($A$6:A632,A632))</f>
        <v/>
      </c>
      <c r="P632" s="62" t="str">
        <f>IF(A632="","",A632&amp;"|"&amp;O632)</f>
        <v/>
      </c>
    </row>
    <row r="633">
      <c r="A633" s="60" t="n"/>
      <c r="B633" s="63" t="n"/>
      <c r="C633" s="63" t="n"/>
      <c r="D633" s="67" t="n"/>
      <c r="E633" s="68" t="n"/>
      <c r="F633" s="69" t="n"/>
      <c r="G633" s="70" t="n"/>
      <c r="H633" s="62" t="str">
        <f>IF(COUNTA(A633:G633)=0,"",IF(C633&lt;&gt;"",C633,IF(B633="","",IFERROR(INDEX(pr_des,MATCH(B633,pr_code,0))&amp;"",""))))</f>
        <v/>
      </c>
      <c r="I633" s="59" t="str">
        <f>IF(B633="","",IFERROR(INDEX(pr_unit,MATCH(B633,pr_code,0))&amp;"",""))</f>
        <v/>
      </c>
      <c r="J633" s="65" t="str">
        <f>IF(COUNTA(A633:G633)=0,"",IF(E633&lt;&gt;"",E633,IF(B633="","",IFERROR(IF(INDEX(pr_price,MATCH(B633,pr_code,0))="","",INDEX(pr_price,MATCH(B633,pr_code,0))),""))))</f>
        <v/>
      </c>
      <c r="K633" s="71" t="str">
        <f>IF(COUNTA(A633:G633)=0,"",IF(G633&lt;&gt;"",G633,IF(B633="","",IFERROR(IF(INDEX(pr_rate,MATCH(B633,pr_code,0))="","",INDEX(pr_rate,MATCH(B633,pr_code,0))),""))))</f>
        <v/>
      </c>
      <c r="L633" s="65" t="str">
        <f>IF(COUNTA(A633:G633)=0,"",IF(AND(ISNUMBER(D633),ISNUMBER(J633)),ROUND(D633*J633*(1-N(F633)),2),0))</f>
        <v/>
      </c>
      <c r="M633" s="62" t="str">
        <f>IF(A633="","",IFERROR(INDEX(dv_cname,MATCH(A633,dv_num,0))&amp;"",""))</f>
        <v/>
      </c>
      <c r="N633" s="59" t="str">
        <f>IF(COUNTA(A633:G633)=0,"",IF(A633="","N° devis manquant",IF(ISNA(MATCH(A633,dv_num,0)),"Devis inconnu",IF(AND(B633&lt;&gt;"",ISNA(MATCH(B633,pr_code,0))),"Article inconnu",IF(H633="","Désignation manquante",IF(OR(NOT(ISNUMBER(D633)),N(D633)&lt;=0),"Quantité invalide",IF(J633="","Prix manquant",IF(OR(NOT(ISNUMBER(J633)),N(J633)&lt;0),"Prix invalide",IF(OR(AND(F633&lt;&gt;"",NOT(ISNUMBER(F633))),N(F633)&lt;0,N(F633)&gt;1),"Remise invalide",IF(K633="","Taux de TVA manquant",IF(NOT(ISNUMBER(K633)),"Taux de TVA invalide",IF(COUNTIF(p_rates,K633)=0,"Taux de TVA hors liste (Paramètres)",IF(N(O633)&gt;25,"Au-delà de 25 lignes : non imprimée","OK")))))))))))))</f>
        <v/>
      </c>
      <c r="O633" s="59" t="str">
        <f>IF(A633="","",COUNTIF($A$6:A633,A633))</f>
        <v/>
      </c>
      <c r="P633" s="62" t="str">
        <f>IF(A633="","",A633&amp;"|"&amp;O633)</f>
        <v/>
      </c>
    </row>
    <row r="634">
      <c r="A634" s="60" t="n"/>
      <c r="B634" s="63" t="n"/>
      <c r="C634" s="63" t="n"/>
      <c r="D634" s="67" t="n"/>
      <c r="E634" s="68" t="n"/>
      <c r="F634" s="69" t="n"/>
      <c r="G634" s="70" t="n"/>
      <c r="H634" s="62" t="str">
        <f>IF(COUNTA(A634:G634)=0,"",IF(C634&lt;&gt;"",C634,IF(B634="","",IFERROR(INDEX(pr_des,MATCH(B634,pr_code,0))&amp;"",""))))</f>
        <v/>
      </c>
      <c r="I634" s="59" t="str">
        <f>IF(B634="","",IFERROR(INDEX(pr_unit,MATCH(B634,pr_code,0))&amp;"",""))</f>
        <v/>
      </c>
      <c r="J634" s="65" t="str">
        <f>IF(COUNTA(A634:G634)=0,"",IF(E634&lt;&gt;"",E634,IF(B634="","",IFERROR(IF(INDEX(pr_price,MATCH(B634,pr_code,0))="","",INDEX(pr_price,MATCH(B634,pr_code,0))),""))))</f>
        <v/>
      </c>
      <c r="K634" s="71" t="str">
        <f>IF(COUNTA(A634:G634)=0,"",IF(G634&lt;&gt;"",G634,IF(B634="","",IFERROR(IF(INDEX(pr_rate,MATCH(B634,pr_code,0))="","",INDEX(pr_rate,MATCH(B634,pr_code,0))),""))))</f>
        <v/>
      </c>
      <c r="L634" s="65" t="str">
        <f>IF(COUNTA(A634:G634)=0,"",IF(AND(ISNUMBER(D634),ISNUMBER(J634)),ROUND(D634*J634*(1-N(F634)),2),0))</f>
        <v/>
      </c>
      <c r="M634" s="62" t="str">
        <f>IF(A634="","",IFERROR(INDEX(dv_cname,MATCH(A634,dv_num,0))&amp;"",""))</f>
        <v/>
      </c>
      <c r="N634" s="59" t="str">
        <f>IF(COUNTA(A634:G634)=0,"",IF(A634="","N° devis manquant",IF(ISNA(MATCH(A634,dv_num,0)),"Devis inconnu",IF(AND(B634&lt;&gt;"",ISNA(MATCH(B634,pr_code,0))),"Article inconnu",IF(H634="","Désignation manquante",IF(OR(NOT(ISNUMBER(D634)),N(D634)&lt;=0),"Quantité invalide",IF(J634="","Prix manquant",IF(OR(NOT(ISNUMBER(J634)),N(J634)&lt;0),"Prix invalide",IF(OR(AND(F634&lt;&gt;"",NOT(ISNUMBER(F634))),N(F634)&lt;0,N(F634)&gt;1),"Remise invalide",IF(K634="","Taux de TVA manquant",IF(NOT(ISNUMBER(K634)),"Taux de TVA invalide",IF(COUNTIF(p_rates,K634)=0,"Taux de TVA hors liste (Paramètres)",IF(N(O634)&gt;25,"Au-delà de 25 lignes : non imprimée","OK")))))))))))))</f>
        <v/>
      </c>
      <c r="O634" s="59" t="str">
        <f>IF(A634="","",COUNTIF($A$6:A634,A634))</f>
        <v/>
      </c>
      <c r="P634" s="62" t="str">
        <f>IF(A634="","",A634&amp;"|"&amp;O634)</f>
        <v/>
      </c>
    </row>
    <row r="635">
      <c r="A635" s="60" t="n"/>
      <c r="B635" s="63" t="n"/>
      <c r="C635" s="63" t="n"/>
      <c r="D635" s="67" t="n"/>
      <c r="E635" s="68" t="n"/>
      <c r="F635" s="69" t="n"/>
      <c r="G635" s="70" t="n"/>
      <c r="H635" s="62" t="str">
        <f>IF(COUNTA(A635:G635)=0,"",IF(C635&lt;&gt;"",C635,IF(B635="","",IFERROR(INDEX(pr_des,MATCH(B635,pr_code,0))&amp;"",""))))</f>
        <v/>
      </c>
      <c r="I635" s="59" t="str">
        <f>IF(B635="","",IFERROR(INDEX(pr_unit,MATCH(B635,pr_code,0))&amp;"",""))</f>
        <v/>
      </c>
      <c r="J635" s="65" t="str">
        <f>IF(COUNTA(A635:G635)=0,"",IF(E635&lt;&gt;"",E635,IF(B635="","",IFERROR(IF(INDEX(pr_price,MATCH(B635,pr_code,0))="","",INDEX(pr_price,MATCH(B635,pr_code,0))),""))))</f>
        <v/>
      </c>
      <c r="K635" s="71" t="str">
        <f>IF(COUNTA(A635:G635)=0,"",IF(G635&lt;&gt;"",G635,IF(B635="","",IFERROR(IF(INDEX(pr_rate,MATCH(B635,pr_code,0))="","",INDEX(pr_rate,MATCH(B635,pr_code,0))),""))))</f>
        <v/>
      </c>
      <c r="L635" s="65" t="str">
        <f>IF(COUNTA(A635:G635)=0,"",IF(AND(ISNUMBER(D635),ISNUMBER(J635)),ROUND(D635*J635*(1-N(F635)),2),0))</f>
        <v/>
      </c>
      <c r="M635" s="62" t="str">
        <f>IF(A635="","",IFERROR(INDEX(dv_cname,MATCH(A635,dv_num,0))&amp;"",""))</f>
        <v/>
      </c>
      <c r="N635" s="59" t="str">
        <f>IF(COUNTA(A635:G635)=0,"",IF(A635="","N° devis manquant",IF(ISNA(MATCH(A635,dv_num,0)),"Devis inconnu",IF(AND(B635&lt;&gt;"",ISNA(MATCH(B635,pr_code,0))),"Article inconnu",IF(H635="","Désignation manquante",IF(OR(NOT(ISNUMBER(D635)),N(D635)&lt;=0),"Quantité invalide",IF(J635="","Prix manquant",IF(OR(NOT(ISNUMBER(J635)),N(J635)&lt;0),"Prix invalide",IF(OR(AND(F635&lt;&gt;"",NOT(ISNUMBER(F635))),N(F635)&lt;0,N(F635)&gt;1),"Remise invalide",IF(K635="","Taux de TVA manquant",IF(NOT(ISNUMBER(K635)),"Taux de TVA invalide",IF(COUNTIF(p_rates,K635)=0,"Taux de TVA hors liste (Paramètres)",IF(N(O635)&gt;25,"Au-delà de 25 lignes : non imprimée","OK")))))))))))))</f>
        <v/>
      </c>
      <c r="O635" s="59" t="str">
        <f>IF(A635="","",COUNTIF($A$6:A635,A635))</f>
        <v/>
      </c>
      <c r="P635" s="62" t="str">
        <f>IF(A635="","",A635&amp;"|"&amp;O635)</f>
        <v/>
      </c>
    </row>
    <row r="636">
      <c r="A636" s="60" t="n"/>
      <c r="B636" s="63" t="n"/>
      <c r="C636" s="63" t="n"/>
      <c r="D636" s="67" t="n"/>
      <c r="E636" s="68" t="n"/>
      <c r="F636" s="69" t="n"/>
      <c r="G636" s="70" t="n"/>
      <c r="H636" s="62" t="str">
        <f>IF(COUNTA(A636:G636)=0,"",IF(C636&lt;&gt;"",C636,IF(B636="","",IFERROR(INDEX(pr_des,MATCH(B636,pr_code,0))&amp;"",""))))</f>
        <v/>
      </c>
      <c r="I636" s="59" t="str">
        <f>IF(B636="","",IFERROR(INDEX(pr_unit,MATCH(B636,pr_code,0))&amp;"",""))</f>
        <v/>
      </c>
      <c r="J636" s="65" t="str">
        <f>IF(COUNTA(A636:G636)=0,"",IF(E636&lt;&gt;"",E636,IF(B636="","",IFERROR(IF(INDEX(pr_price,MATCH(B636,pr_code,0))="","",INDEX(pr_price,MATCH(B636,pr_code,0))),""))))</f>
        <v/>
      </c>
      <c r="K636" s="71" t="str">
        <f>IF(COUNTA(A636:G636)=0,"",IF(G636&lt;&gt;"",G636,IF(B636="","",IFERROR(IF(INDEX(pr_rate,MATCH(B636,pr_code,0))="","",INDEX(pr_rate,MATCH(B636,pr_code,0))),""))))</f>
        <v/>
      </c>
      <c r="L636" s="65" t="str">
        <f>IF(COUNTA(A636:G636)=0,"",IF(AND(ISNUMBER(D636),ISNUMBER(J636)),ROUND(D636*J636*(1-N(F636)),2),0))</f>
        <v/>
      </c>
      <c r="M636" s="62" t="str">
        <f>IF(A636="","",IFERROR(INDEX(dv_cname,MATCH(A636,dv_num,0))&amp;"",""))</f>
        <v/>
      </c>
      <c r="N636" s="59" t="str">
        <f>IF(COUNTA(A636:G636)=0,"",IF(A636="","N° devis manquant",IF(ISNA(MATCH(A636,dv_num,0)),"Devis inconnu",IF(AND(B636&lt;&gt;"",ISNA(MATCH(B636,pr_code,0))),"Article inconnu",IF(H636="","Désignation manquante",IF(OR(NOT(ISNUMBER(D636)),N(D636)&lt;=0),"Quantité invalide",IF(J636="","Prix manquant",IF(OR(NOT(ISNUMBER(J636)),N(J636)&lt;0),"Prix invalide",IF(OR(AND(F636&lt;&gt;"",NOT(ISNUMBER(F636))),N(F636)&lt;0,N(F636)&gt;1),"Remise invalide",IF(K636="","Taux de TVA manquant",IF(NOT(ISNUMBER(K636)),"Taux de TVA invalide",IF(COUNTIF(p_rates,K636)=0,"Taux de TVA hors liste (Paramètres)",IF(N(O636)&gt;25,"Au-delà de 25 lignes : non imprimée","OK")))))))))))))</f>
        <v/>
      </c>
      <c r="O636" s="59" t="str">
        <f>IF(A636="","",COUNTIF($A$6:A636,A636))</f>
        <v/>
      </c>
      <c r="P636" s="62" t="str">
        <f>IF(A636="","",A636&amp;"|"&amp;O636)</f>
        <v/>
      </c>
    </row>
    <row r="637">
      <c r="A637" s="60" t="n"/>
      <c r="B637" s="63" t="n"/>
      <c r="C637" s="63" t="n"/>
      <c r="D637" s="67" t="n"/>
      <c r="E637" s="68" t="n"/>
      <c r="F637" s="69" t="n"/>
      <c r="G637" s="70" t="n"/>
      <c r="H637" s="62" t="str">
        <f>IF(COUNTA(A637:G637)=0,"",IF(C637&lt;&gt;"",C637,IF(B637="","",IFERROR(INDEX(pr_des,MATCH(B637,pr_code,0))&amp;"",""))))</f>
        <v/>
      </c>
      <c r="I637" s="59" t="str">
        <f>IF(B637="","",IFERROR(INDEX(pr_unit,MATCH(B637,pr_code,0))&amp;"",""))</f>
        <v/>
      </c>
      <c r="J637" s="65" t="str">
        <f>IF(COUNTA(A637:G637)=0,"",IF(E637&lt;&gt;"",E637,IF(B637="","",IFERROR(IF(INDEX(pr_price,MATCH(B637,pr_code,0))="","",INDEX(pr_price,MATCH(B637,pr_code,0))),""))))</f>
        <v/>
      </c>
      <c r="K637" s="71" t="str">
        <f>IF(COUNTA(A637:G637)=0,"",IF(G637&lt;&gt;"",G637,IF(B637="","",IFERROR(IF(INDEX(pr_rate,MATCH(B637,pr_code,0))="","",INDEX(pr_rate,MATCH(B637,pr_code,0))),""))))</f>
        <v/>
      </c>
      <c r="L637" s="65" t="str">
        <f>IF(COUNTA(A637:G637)=0,"",IF(AND(ISNUMBER(D637),ISNUMBER(J637)),ROUND(D637*J637*(1-N(F637)),2),0))</f>
        <v/>
      </c>
      <c r="M637" s="62" t="str">
        <f>IF(A637="","",IFERROR(INDEX(dv_cname,MATCH(A637,dv_num,0))&amp;"",""))</f>
        <v/>
      </c>
      <c r="N637" s="59" t="str">
        <f>IF(COUNTA(A637:G637)=0,"",IF(A637="","N° devis manquant",IF(ISNA(MATCH(A637,dv_num,0)),"Devis inconnu",IF(AND(B637&lt;&gt;"",ISNA(MATCH(B637,pr_code,0))),"Article inconnu",IF(H637="","Désignation manquante",IF(OR(NOT(ISNUMBER(D637)),N(D637)&lt;=0),"Quantité invalide",IF(J637="","Prix manquant",IF(OR(NOT(ISNUMBER(J637)),N(J637)&lt;0),"Prix invalide",IF(OR(AND(F637&lt;&gt;"",NOT(ISNUMBER(F637))),N(F637)&lt;0,N(F637)&gt;1),"Remise invalide",IF(K637="","Taux de TVA manquant",IF(NOT(ISNUMBER(K637)),"Taux de TVA invalide",IF(COUNTIF(p_rates,K637)=0,"Taux de TVA hors liste (Paramètres)",IF(N(O637)&gt;25,"Au-delà de 25 lignes : non imprimée","OK")))))))))))))</f>
        <v/>
      </c>
      <c r="O637" s="59" t="str">
        <f>IF(A637="","",COUNTIF($A$6:A637,A637))</f>
        <v/>
      </c>
      <c r="P637" s="62" t="str">
        <f>IF(A637="","",A637&amp;"|"&amp;O637)</f>
        <v/>
      </c>
    </row>
    <row r="638">
      <c r="A638" s="60" t="n"/>
      <c r="B638" s="63" t="n"/>
      <c r="C638" s="63" t="n"/>
      <c r="D638" s="67" t="n"/>
      <c r="E638" s="68" t="n"/>
      <c r="F638" s="69" t="n"/>
      <c r="G638" s="70" t="n"/>
      <c r="H638" s="62" t="str">
        <f>IF(COUNTA(A638:G638)=0,"",IF(C638&lt;&gt;"",C638,IF(B638="","",IFERROR(INDEX(pr_des,MATCH(B638,pr_code,0))&amp;"",""))))</f>
        <v/>
      </c>
      <c r="I638" s="59" t="str">
        <f>IF(B638="","",IFERROR(INDEX(pr_unit,MATCH(B638,pr_code,0))&amp;"",""))</f>
        <v/>
      </c>
      <c r="J638" s="65" t="str">
        <f>IF(COUNTA(A638:G638)=0,"",IF(E638&lt;&gt;"",E638,IF(B638="","",IFERROR(IF(INDEX(pr_price,MATCH(B638,pr_code,0))="","",INDEX(pr_price,MATCH(B638,pr_code,0))),""))))</f>
        <v/>
      </c>
      <c r="K638" s="71" t="str">
        <f>IF(COUNTA(A638:G638)=0,"",IF(G638&lt;&gt;"",G638,IF(B638="","",IFERROR(IF(INDEX(pr_rate,MATCH(B638,pr_code,0))="","",INDEX(pr_rate,MATCH(B638,pr_code,0))),""))))</f>
        <v/>
      </c>
      <c r="L638" s="65" t="str">
        <f>IF(COUNTA(A638:G638)=0,"",IF(AND(ISNUMBER(D638),ISNUMBER(J638)),ROUND(D638*J638*(1-N(F638)),2),0))</f>
        <v/>
      </c>
      <c r="M638" s="62" t="str">
        <f>IF(A638="","",IFERROR(INDEX(dv_cname,MATCH(A638,dv_num,0))&amp;"",""))</f>
        <v/>
      </c>
      <c r="N638" s="59" t="str">
        <f>IF(COUNTA(A638:G638)=0,"",IF(A638="","N° devis manquant",IF(ISNA(MATCH(A638,dv_num,0)),"Devis inconnu",IF(AND(B638&lt;&gt;"",ISNA(MATCH(B638,pr_code,0))),"Article inconnu",IF(H638="","Désignation manquante",IF(OR(NOT(ISNUMBER(D638)),N(D638)&lt;=0),"Quantité invalide",IF(J638="","Prix manquant",IF(OR(NOT(ISNUMBER(J638)),N(J638)&lt;0),"Prix invalide",IF(OR(AND(F638&lt;&gt;"",NOT(ISNUMBER(F638))),N(F638)&lt;0,N(F638)&gt;1),"Remise invalide",IF(K638="","Taux de TVA manquant",IF(NOT(ISNUMBER(K638)),"Taux de TVA invalide",IF(COUNTIF(p_rates,K638)=0,"Taux de TVA hors liste (Paramètres)",IF(N(O638)&gt;25,"Au-delà de 25 lignes : non imprimée","OK")))))))))))))</f>
        <v/>
      </c>
      <c r="O638" s="59" t="str">
        <f>IF(A638="","",COUNTIF($A$6:A638,A638))</f>
        <v/>
      </c>
      <c r="P638" s="62" t="str">
        <f>IF(A638="","",A638&amp;"|"&amp;O638)</f>
        <v/>
      </c>
    </row>
    <row r="639">
      <c r="A639" s="60" t="n"/>
      <c r="B639" s="63" t="n"/>
      <c r="C639" s="63" t="n"/>
      <c r="D639" s="67" t="n"/>
      <c r="E639" s="68" t="n"/>
      <c r="F639" s="69" t="n"/>
      <c r="G639" s="70" t="n"/>
      <c r="H639" s="62" t="str">
        <f>IF(COUNTA(A639:G639)=0,"",IF(C639&lt;&gt;"",C639,IF(B639="","",IFERROR(INDEX(pr_des,MATCH(B639,pr_code,0))&amp;"",""))))</f>
        <v/>
      </c>
      <c r="I639" s="59" t="str">
        <f>IF(B639="","",IFERROR(INDEX(pr_unit,MATCH(B639,pr_code,0))&amp;"",""))</f>
        <v/>
      </c>
      <c r="J639" s="65" t="str">
        <f>IF(COUNTA(A639:G639)=0,"",IF(E639&lt;&gt;"",E639,IF(B639="","",IFERROR(IF(INDEX(pr_price,MATCH(B639,pr_code,0))="","",INDEX(pr_price,MATCH(B639,pr_code,0))),""))))</f>
        <v/>
      </c>
      <c r="K639" s="71" t="str">
        <f>IF(COUNTA(A639:G639)=0,"",IF(G639&lt;&gt;"",G639,IF(B639="","",IFERROR(IF(INDEX(pr_rate,MATCH(B639,pr_code,0))="","",INDEX(pr_rate,MATCH(B639,pr_code,0))),""))))</f>
        <v/>
      </c>
      <c r="L639" s="65" t="str">
        <f>IF(COUNTA(A639:G639)=0,"",IF(AND(ISNUMBER(D639),ISNUMBER(J639)),ROUND(D639*J639*(1-N(F639)),2),0))</f>
        <v/>
      </c>
      <c r="M639" s="62" t="str">
        <f>IF(A639="","",IFERROR(INDEX(dv_cname,MATCH(A639,dv_num,0))&amp;"",""))</f>
        <v/>
      </c>
      <c r="N639" s="59" t="str">
        <f>IF(COUNTA(A639:G639)=0,"",IF(A639="","N° devis manquant",IF(ISNA(MATCH(A639,dv_num,0)),"Devis inconnu",IF(AND(B639&lt;&gt;"",ISNA(MATCH(B639,pr_code,0))),"Article inconnu",IF(H639="","Désignation manquante",IF(OR(NOT(ISNUMBER(D639)),N(D639)&lt;=0),"Quantité invalide",IF(J639="","Prix manquant",IF(OR(NOT(ISNUMBER(J639)),N(J639)&lt;0),"Prix invalide",IF(OR(AND(F639&lt;&gt;"",NOT(ISNUMBER(F639))),N(F639)&lt;0,N(F639)&gt;1),"Remise invalide",IF(K639="","Taux de TVA manquant",IF(NOT(ISNUMBER(K639)),"Taux de TVA invalide",IF(COUNTIF(p_rates,K639)=0,"Taux de TVA hors liste (Paramètres)",IF(N(O639)&gt;25,"Au-delà de 25 lignes : non imprimée","OK")))))))))))))</f>
        <v/>
      </c>
      <c r="O639" s="59" t="str">
        <f>IF(A639="","",COUNTIF($A$6:A639,A639))</f>
        <v/>
      </c>
      <c r="P639" s="62" t="str">
        <f>IF(A639="","",A639&amp;"|"&amp;O639)</f>
        <v/>
      </c>
    </row>
    <row r="640">
      <c r="A640" s="60" t="n"/>
      <c r="B640" s="63" t="n"/>
      <c r="C640" s="63" t="n"/>
      <c r="D640" s="67" t="n"/>
      <c r="E640" s="68" t="n"/>
      <c r="F640" s="69" t="n"/>
      <c r="G640" s="70" t="n"/>
      <c r="H640" s="62" t="str">
        <f>IF(COUNTA(A640:G640)=0,"",IF(C640&lt;&gt;"",C640,IF(B640="","",IFERROR(INDEX(pr_des,MATCH(B640,pr_code,0))&amp;"",""))))</f>
        <v/>
      </c>
      <c r="I640" s="59" t="str">
        <f>IF(B640="","",IFERROR(INDEX(pr_unit,MATCH(B640,pr_code,0))&amp;"",""))</f>
        <v/>
      </c>
      <c r="J640" s="65" t="str">
        <f>IF(COUNTA(A640:G640)=0,"",IF(E640&lt;&gt;"",E640,IF(B640="","",IFERROR(IF(INDEX(pr_price,MATCH(B640,pr_code,0))="","",INDEX(pr_price,MATCH(B640,pr_code,0))),""))))</f>
        <v/>
      </c>
      <c r="K640" s="71" t="str">
        <f>IF(COUNTA(A640:G640)=0,"",IF(G640&lt;&gt;"",G640,IF(B640="","",IFERROR(IF(INDEX(pr_rate,MATCH(B640,pr_code,0))="","",INDEX(pr_rate,MATCH(B640,pr_code,0))),""))))</f>
        <v/>
      </c>
      <c r="L640" s="65" t="str">
        <f>IF(COUNTA(A640:G640)=0,"",IF(AND(ISNUMBER(D640),ISNUMBER(J640)),ROUND(D640*J640*(1-N(F640)),2),0))</f>
        <v/>
      </c>
      <c r="M640" s="62" t="str">
        <f>IF(A640="","",IFERROR(INDEX(dv_cname,MATCH(A640,dv_num,0))&amp;"",""))</f>
        <v/>
      </c>
      <c r="N640" s="59" t="str">
        <f>IF(COUNTA(A640:G640)=0,"",IF(A640="","N° devis manquant",IF(ISNA(MATCH(A640,dv_num,0)),"Devis inconnu",IF(AND(B640&lt;&gt;"",ISNA(MATCH(B640,pr_code,0))),"Article inconnu",IF(H640="","Désignation manquante",IF(OR(NOT(ISNUMBER(D640)),N(D640)&lt;=0),"Quantité invalide",IF(J640="","Prix manquant",IF(OR(NOT(ISNUMBER(J640)),N(J640)&lt;0),"Prix invalide",IF(OR(AND(F640&lt;&gt;"",NOT(ISNUMBER(F640))),N(F640)&lt;0,N(F640)&gt;1),"Remise invalide",IF(K640="","Taux de TVA manquant",IF(NOT(ISNUMBER(K640)),"Taux de TVA invalide",IF(COUNTIF(p_rates,K640)=0,"Taux de TVA hors liste (Paramètres)",IF(N(O640)&gt;25,"Au-delà de 25 lignes : non imprimée","OK")))))))))))))</f>
        <v/>
      </c>
      <c r="O640" s="59" t="str">
        <f>IF(A640="","",COUNTIF($A$6:A640,A640))</f>
        <v/>
      </c>
      <c r="P640" s="62" t="str">
        <f>IF(A640="","",A640&amp;"|"&amp;O640)</f>
        <v/>
      </c>
    </row>
    <row r="641">
      <c r="A641" s="60" t="n"/>
      <c r="B641" s="63" t="n"/>
      <c r="C641" s="63" t="n"/>
      <c r="D641" s="67" t="n"/>
      <c r="E641" s="68" t="n"/>
      <c r="F641" s="69" t="n"/>
      <c r="G641" s="70" t="n"/>
      <c r="H641" s="62" t="str">
        <f>IF(COUNTA(A641:G641)=0,"",IF(C641&lt;&gt;"",C641,IF(B641="","",IFERROR(INDEX(pr_des,MATCH(B641,pr_code,0))&amp;"",""))))</f>
        <v/>
      </c>
      <c r="I641" s="59" t="str">
        <f>IF(B641="","",IFERROR(INDEX(pr_unit,MATCH(B641,pr_code,0))&amp;"",""))</f>
        <v/>
      </c>
      <c r="J641" s="65" t="str">
        <f>IF(COUNTA(A641:G641)=0,"",IF(E641&lt;&gt;"",E641,IF(B641="","",IFERROR(IF(INDEX(pr_price,MATCH(B641,pr_code,0))="","",INDEX(pr_price,MATCH(B641,pr_code,0))),""))))</f>
        <v/>
      </c>
      <c r="K641" s="71" t="str">
        <f>IF(COUNTA(A641:G641)=0,"",IF(G641&lt;&gt;"",G641,IF(B641="","",IFERROR(IF(INDEX(pr_rate,MATCH(B641,pr_code,0))="","",INDEX(pr_rate,MATCH(B641,pr_code,0))),""))))</f>
        <v/>
      </c>
      <c r="L641" s="65" t="str">
        <f>IF(COUNTA(A641:G641)=0,"",IF(AND(ISNUMBER(D641),ISNUMBER(J641)),ROUND(D641*J641*(1-N(F641)),2),0))</f>
        <v/>
      </c>
      <c r="M641" s="62" t="str">
        <f>IF(A641="","",IFERROR(INDEX(dv_cname,MATCH(A641,dv_num,0))&amp;"",""))</f>
        <v/>
      </c>
      <c r="N641" s="59" t="str">
        <f>IF(COUNTA(A641:G641)=0,"",IF(A641="","N° devis manquant",IF(ISNA(MATCH(A641,dv_num,0)),"Devis inconnu",IF(AND(B641&lt;&gt;"",ISNA(MATCH(B641,pr_code,0))),"Article inconnu",IF(H641="","Désignation manquante",IF(OR(NOT(ISNUMBER(D641)),N(D641)&lt;=0),"Quantité invalide",IF(J641="","Prix manquant",IF(OR(NOT(ISNUMBER(J641)),N(J641)&lt;0),"Prix invalide",IF(OR(AND(F641&lt;&gt;"",NOT(ISNUMBER(F641))),N(F641)&lt;0,N(F641)&gt;1),"Remise invalide",IF(K641="","Taux de TVA manquant",IF(NOT(ISNUMBER(K641)),"Taux de TVA invalide",IF(COUNTIF(p_rates,K641)=0,"Taux de TVA hors liste (Paramètres)",IF(N(O641)&gt;25,"Au-delà de 25 lignes : non imprimée","OK")))))))))))))</f>
        <v/>
      </c>
      <c r="O641" s="59" t="str">
        <f>IF(A641="","",COUNTIF($A$6:A641,A641))</f>
        <v/>
      </c>
      <c r="P641" s="62" t="str">
        <f>IF(A641="","",A641&amp;"|"&amp;O641)</f>
        <v/>
      </c>
    </row>
    <row r="642">
      <c r="A642" s="60" t="n"/>
      <c r="B642" s="63" t="n"/>
      <c r="C642" s="63" t="n"/>
      <c r="D642" s="67" t="n"/>
      <c r="E642" s="68" t="n"/>
      <c r="F642" s="69" t="n"/>
      <c r="G642" s="70" t="n"/>
      <c r="H642" s="62" t="str">
        <f>IF(COUNTA(A642:G642)=0,"",IF(C642&lt;&gt;"",C642,IF(B642="","",IFERROR(INDEX(pr_des,MATCH(B642,pr_code,0))&amp;"",""))))</f>
        <v/>
      </c>
      <c r="I642" s="59" t="str">
        <f>IF(B642="","",IFERROR(INDEX(pr_unit,MATCH(B642,pr_code,0))&amp;"",""))</f>
        <v/>
      </c>
      <c r="J642" s="65" t="str">
        <f>IF(COUNTA(A642:G642)=0,"",IF(E642&lt;&gt;"",E642,IF(B642="","",IFERROR(IF(INDEX(pr_price,MATCH(B642,pr_code,0))="","",INDEX(pr_price,MATCH(B642,pr_code,0))),""))))</f>
        <v/>
      </c>
      <c r="K642" s="71" t="str">
        <f>IF(COUNTA(A642:G642)=0,"",IF(G642&lt;&gt;"",G642,IF(B642="","",IFERROR(IF(INDEX(pr_rate,MATCH(B642,pr_code,0))="","",INDEX(pr_rate,MATCH(B642,pr_code,0))),""))))</f>
        <v/>
      </c>
      <c r="L642" s="65" t="str">
        <f>IF(COUNTA(A642:G642)=0,"",IF(AND(ISNUMBER(D642),ISNUMBER(J642)),ROUND(D642*J642*(1-N(F642)),2),0))</f>
        <v/>
      </c>
      <c r="M642" s="62" t="str">
        <f>IF(A642="","",IFERROR(INDEX(dv_cname,MATCH(A642,dv_num,0))&amp;"",""))</f>
        <v/>
      </c>
      <c r="N642" s="59" t="str">
        <f>IF(COUNTA(A642:G642)=0,"",IF(A642="","N° devis manquant",IF(ISNA(MATCH(A642,dv_num,0)),"Devis inconnu",IF(AND(B642&lt;&gt;"",ISNA(MATCH(B642,pr_code,0))),"Article inconnu",IF(H642="","Désignation manquante",IF(OR(NOT(ISNUMBER(D642)),N(D642)&lt;=0),"Quantité invalide",IF(J642="","Prix manquant",IF(OR(NOT(ISNUMBER(J642)),N(J642)&lt;0),"Prix invalide",IF(OR(AND(F642&lt;&gt;"",NOT(ISNUMBER(F642))),N(F642)&lt;0,N(F642)&gt;1),"Remise invalide",IF(K642="","Taux de TVA manquant",IF(NOT(ISNUMBER(K642)),"Taux de TVA invalide",IF(COUNTIF(p_rates,K642)=0,"Taux de TVA hors liste (Paramètres)",IF(N(O642)&gt;25,"Au-delà de 25 lignes : non imprimée","OK")))))))))))))</f>
        <v/>
      </c>
      <c r="O642" s="59" t="str">
        <f>IF(A642="","",COUNTIF($A$6:A642,A642))</f>
        <v/>
      </c>
      <c r="P642" s="62" t="str">
        <f>IF(A642="","",A642&amp;"|"&amp;O642)</f>
        <v/>
      </c>
    </row>
    <row r="643">
      <c r="A643" s="60" t="n"/>
      <c r="B643" s="63" t="n"/>
      <c r="C643" s="63" t="n"/>
      <c r="D643" s="67" t="n"/>
      <c r="E643" s="68" t="n"/>
      <c r="F643" s="69" t="n"/>
      <c r="G643" s="70" t="n"/>
      <c r="H643" s="62" t="str">
        <f>IF(COUNTA(A643:G643)=0,"",IF(C643&lt;&gt;"",C643,IF(B643="","",IFERROR(INDEX(pr_des,MATCH(B643,pr_code,0))&amp;"",""))))</f>
        <v/>
      </c>
      <c r="I643" s="59" t="str">
        <f>IF(B643="","",IFERROR(INDEX(pr_unit,MATCH(B643,pr_code,0))&amp;"",""))</f>
        <v/>
      </c>
      <c r="J643" s="65" t="str">
        <f>IF(COUNTA(A643:G643)=0,"",IF(E643&lt;&gt;"",E643,IF(B643="","",IFERROR(IF(INDEX(pr_price,MATCH(B643,pr_code,0))="","",INDEX(pr_price,MATCH(B643,pr_code,0))),""))))</f>
        <v/>
      </c>
      <c r="K643" s="71" t="str">
        <f>IF(COUNTA(A643:G643)=0,"",IF(G643&lt;&gt;"",G643,IF(B643="","",IFERROR(IF(INDEX(pr_rate,MATCH(B643,pr_code,0))="","",INDEX(pr_rate,MATCH(B643,pr_code,0))),""))))</f>
        <v/>
      </c>
      <c r="L643" s="65" t="str">
        <f>IF(COUNTA(A643:G643)=0,"",IF(AND(ISNUMBER(D643),ISNUMBER(J643)),ROUND(D643*J643*(1-N(F643)),2),0))</f>
        <v/>
      </c>
      <c r="M643" s="62" t="str">
        <f>IF(A643="","",IFERROR(INDEX(dv_cname,MATCH(A643,dv_num,0))&amp;"",""))</f>
        <v/>
      </c>
      <c r="N643" s="59" t="str">
        <f>IF(COUNTA(A643:G643)=0,"",IF(A643="","N° devis manquant",IF(ISNA(MATCH(A643,dv_num,0)),"Devis inconnu",IF(AND(B643&lt;&gt;"",ISNA(MATCH(B643,pr_code,0))),"Article inconnu",IF(H643="","Désignation manquante",IF(OR(NOT(ISNUMBER(D643)),N(D643)&lt;=0),"Quantité invalide",IF(J643="","Prix manquant",IF(OR(NOT(ISNUMBER(J643)),N(J643)&lt;0),"Prix invalide",IF(OR(AND(F643&lt;&gt;"",NOT(ISNUMBER(F643))),N(F643)&lt;0,N(F643)&gt;1),"Remise invalide",IF(K643="","Taux de TVA manquant",IF(NOT(ISNUMBER(K643)),"Taux de TVA invalide",IF(COUNTIF(p_rates,K643)=0,"Taux de TVA hors liste (Paramètres)",IF(N(O643)&gt;25,"Au-delà de 25 lignes : non imprimée","OK")))))))))))))</f>
        <v/>
      </c>
      <c r="O643" s="59" t="str">
        <f>IF(A643="","",COUNTIF($A$6:A643,A643))</f>
        <v/>
      </c>
      <c r="P643" s="62" t="str">
        <f>IF(A643="","",A643&amp;"|"&amp;O643)</f>
        <v/>
      </c>
    </row>
    <row r="644">
      <c r="A644" s="60" t="n"/>
      <c r="B644" s="63" t="n"/>
      <c r="C644" s="63" t="n"/>
      <c r="D644" s="67" t="n"/>
      <c r="E644" s="68" t="n"/>
      <c r="F644" s="69" t="n"/>
      <c r="G644" s="70" t="n"/>
      <c r="H644" s="62" t="str">
        <f>IF(COUNTA(A644:G644)=0,"",IF(C644&lt;&gt;"",C644,IF(B644="","",IFERROR(INDEX(pr_des,MATCH(B644,pr_code,0))&amp;"",""))))</f>
        <v/>
      </c>
      <c r="I644" s="59" t="str">
        <f>IF(B644="","",IFERROR(INDEX(pr_unit,MATCH(B644,pr_code,0))&amp;"",""))</f>
        <v/>
      </c>
      <c r="J644" s="65" t="str">
        <f>IF(COUNTA(A644:G644)=0,"",IF(E644&lt;&gt;"",E644,IF(B644="","",IFERROR(IF(INDEX(pr_price,MATCH(B644,pr_code,0))="","",INDEX(pr_price,MATCH(B644,pr_code,0))),""))))</f>
        <v/>
      </c>
      <c r="K644" s="71" t="str">
        <f>IF(COUNTA(A644:G644)=0,"",IF(G644&lt;&gt;"",G644,IF(B644="","",IFERROR(IF(INDEX(pr_rate,MATCH(B644,pr_code,0))="","",INDEX(pr_rate,MATCH(B644,pr_code,0))),""))))</f>
        <v/>
      </c>
      <c r="L644" s="65" t="str">
        <f>IF(COUNTA(A644:G644)=0,"",IF(AND(ISNUMBER(D644),ISNUMBER(J644)),ROUND(D644*J644*(1-N(F644)),2),0))</f>
        <v/>
      </c>
      <c r="M644" s="62" t="str">
        <f>IF(A644="","",IFERROR(INDEX(dv_cname,MATCH(A644,dv_num,0))&amp;"",""))</f>
        <v/>
      </c>
      <c r="N644" s="59" t="str">
        <f>IF(COUNTA(A644:G644)=0,"",IF(A644="","N° devis manquant",IF(ISNA(MATCH(A644,dv_num,0)),"Devis inconnu",IF(AND(B644&lt;&gt;"",ISNA(MATCH(B644,pr_code,0))),"Article inconnu",IF(H644="","Désignation manquante",IF(OR(NOT(ISNUMBER(D644)),N(D644)&lt;=0),"Quantité invalide",IF(J644="","Prix manquant",IF(OR(NOT(ISNUMBER(J644)),N(J644)&lt;0),"Prix invalide",IF(OR(AND(F644&lt;&gt;"",NOT(ISNUMBER(F644))),N(F644)&lt;0,N(F644)&gt;1),"Remise invalide",IF(K644="","Taux de TVA manquant",IF(NOT(ISNUMBER(K644)),"Taux de TVA invalide",IF(COUNTIF(p_rates,K644)=0,"Taux de TVA hors liste (Paramètres)",IF(N(O644)&gt;25,"Au-delà de 25 lignes : non imprimée","OK")))))))))))))</f>
        <v/>
      </c>
      <c r="O644" s="59" t="str">
        <f>IF(A644="","",COUNTIF($A$6:A644,A644))</f>
        <v/>
      </c>
      <c r="P644" s="62" t="str">
        <f>IF(A644="","",A644&amp;"|"&amp;O644)</f>
        <v/>
      </c>
    </row>
    <row r="645">
      <c r="A645" s="60" t="n"/>
      <c r="B645" s="63" t="n"/>
      <c r="C645" s="63" t="n"/>
      <c r="D645" s="67" t="n"/>
      <c r="E645" s="68" t="n"/>
      <c r="F645" s="69" t="n"/>
      <c r="G645" s="70" t="n"/>
      <c r="H645" s="62" t="str">
        <f>IF(COUNTA(A645:G645)=0,"",IF(C645&lt;&gt;"",C645,IF(B645="","",IFERROR(INDEX(pr_des,MATCH(B645,pr_code,0))&amp;"",""))))</f>
        <v/>
      </c>
      <c r="I645" s="59" t="str">
        <f>IF(B645="","",IFERROR(INDEX(pr_unit,MATCH(B645,pr_code,0))&amp;"",""))</f>
        <v/>
      </c>
      <c r="J645" s="65" t="str">
        <f>IF(COUNTA(A645:G645)=0,"",IF(E645&lt;&gt;"",E645,IF(B645="","",IFERROR(IF(INDEX(pr_price,MATCH(B645,pr_code,0))="","",INDEX(pr_price,MATCH(B645,pr_code,0))),""))))</f>
        <v/>
      </c>
      <c r="K645" s="71" t="str">
        <f>IF(COUNTA(A645:G645)=0,"",IF(G645&lt;&gt;"",G645,IF(B645="","",IFERROR(IF(INDEX(pr_rate,MATCH(B645,pr_code,0))="","",INDEX(pr_rate,MATCH(B645,pr_code,0))),""))))</f>
        <v/>
      </c>
      <c r="L645" s="65" t="str">
        <f>IF(COUNTA(A645:G645)=0,"",IF(AND(ISNUMBER(D645),ISNUMBER(J645)),ROUND(D645*J645*(1-N(F645)),2),0))</f>
        <v/>
      </c>
      <c r="M645" s="62" t="str">
        <f>IF(A645="","",IFERROR(INDEX(dv_cname,MATCH(A645,dv_num,0))&amp;"",""))</f>
        <v/>
      </c>
      <c r="N645" s="59" t="str">
        <f>IF(COUNTA(A645:G645)=0,"",IF(A645="","N° devis manquant",IF(ISNA(MATCH(A645,dv_num,0)),"Devis inconnu",IF(AND(B645&lt;&gt;"",ISNA(MATCH(B645,pr_code,0))),"Article inconnu",IF(H645="","Désignation manquante",IF(OR(NOT(ISNUMBER(D645)),N(D645)&lt;=0),"Quantité invalide",IF(J645="","Prix manquant",IF(OR(NOT(ISNUMBER(J645)),N(J645)&lt;0),"Prix invalide",IF(OR(AND(F645&lt;&gt;"",NOT(ISNUMBER(F645))),N(F645)&lt;0,N(F645)&gt;1),"Remise invalide",IF(K645="","Taux de TVA manquant",IF(NOT(ISNUMBER(K645)),"Taux de TVA invalide",IF(COUNTIF(p_rates,K645)=0,"Taux de TVA hors liste (Paramètres)",IF(N(O645)&gt;25,"Au-delà de 25 lignes : non imprimée","OK")))))))))))))</f>
        <v/>
      </c>
      <c r="O645" s="59" t="str">
        <f>IF(A645="","",COUNTIF($A$6:A645,A645))</f>
        <v/>
      </c>
      <c r="P645" s="62" t="str">
        <f>IF(A645="","",A645&amp;"|"&amp;O645)</f>
        <v/>
      </c>
    </row>
    <row r="646">
      <c r="A646" s="60" t="n"/>
      <c r="B646" s="63" t="n"/>
      <c r="C646" s="63" t="n"/>
      <c r="D646" s="67" t="n"/>
      <c r="E646" s="68" t="n"/>
      <c r="F646" s="69" t="n"/>
      <c r="G646" s="70" t="n"/>
      <c r="H646" s="62" t="str">
        <f>IF(COUNTA(A646:G646)=0,"",IF(C646&lt;&gt;"",C646,IF(B646="","",IFERROR(INDEX(pr_des,MATCH(B646,pr_code,0))&amp;"",""))))</f>
        <v/>
      </c>
      <c r="I646" s="59" t="str">
        <f>IF(B646="","",IFERROR(INDEX(pr_unit,MATCH(B646,pr_code,0))&amp;"",""))</f>
        <v/>
      </c>
      <c r="J646" s="65" t="str">
        <f>IF(COUNTA(A646:G646)=0,"",IF(E646&lt;&gt;"",E646,IF(B646="","",IFERROR(IF(INDEX(pr_price,MATCH(B646,pr_code,0))="","",INDEX(pr_price,MATCH(B646,pr_code,0))),""))))</f>
        <v/>
      </c>
      <c r="K646" s="71" t="str">
        <f>IF(COUNTA(A646:G646)=0,"",IF(G646&lt;&gt;"",G646,IF(B646="","",IFERROR(IF(INDEX(pr_rate,MATCH(B646,pr_code,0))="","",INDEX(pr_rate,MATCH(B646,pr_code,0))),""))))</f>
        <v/>
      </c>
      <c r="L646" s="65" t="str">
        <f>IF(COUNTA(A646:G646)=0,"",IF(AND(ISNUMBER(D646),ISNUMBER(J646)),ROUND(D646*J646*(1-N(F646)),2),0))</f>
        <v/>
      </c>
      <c r="M646" s="62" t="str">
        <f>IF(A646="","",IFERROR(INDEX(dv_cname,MATCH(A646,dv_num,0))&amp;"",""))</f>
        <v/>
      </c>
      <c r="N646" s="59" t="str">
        <f>IF(COUNTA(A646:G646)=0,"",IF(A646="","N° devis manquant",IF(ISNA(MATCH(A646,dv_num,0)),"Devis inconnu",IF(AND(B646&lt;&gt;"",ISNA(MATCH(B646,pr_code,0))),"Article inconnu",IF(H646="","Désignation manquante",IF(OR(NOT(ISNUMBER(D646)),N(D646)&lt;=0),"Quantité invalide",IF(J646="","Prix manquant",IF(OR(NOT(ISNUMBER(J646)),N(J646)&lt;0),"Prix invalide",IF(OR(AND(F646&lt;&gt;"",NOT(ISNUMBER(F646))),N(F646)&lt;0,N(F646)&gt;1),"Remise invalide",IF(K646="","Taux de TVA manquant",IF(NOT(ISNUMBER(K646)),"Taux de TVA invalide",IF(COUNTIF(p_rates,K646)=0,"Taux de TVA hors liste (Paramètres)",IF(N(O646)&gt;25,"Au-delà de 25 lignes : non imprimée","OK")))))))))))))</f>
        <v/>
      </c>
      <c r="O646" s="59" t="str">
        <f>IF(A646="","",COUNTIF($A$6:A646,A646))</f>
        <v/>
      </c>
      <c r="P646" s="62" t="str">
        <f>IF(A646="","",A646&amp;"|"&amp;O646)</f>
        <v/>
      </c>
    </row>
    <row r="647">
      <c r="A647" s="60" t="n"/>
      <c r="B647" s="63" t="n"/>
      <c r="C647" s="63" t="n"/>
      <c r="D647" s="67" t="n"/>
      <c r="E647" s="68" t="n"/>
      <c r="F647" s="69" t="n"/>
      <c r="G647" s="70" t="n"/>
      <c r="H647" s="62" t="str">
        <f>IF(COUNTA(A647:G647)=0,"",IF(C647&lt;&gt;"",C647,IF(B647="","",IFERROR(INDEX(pr_des,MATCH(B647,pr_code,0))&amp;"",""))))</f>
        <v/>
      </c>
      <c r="I647" s="59" t="str">
        <f>IF(B647="","",IFERROR(INDEX(pr_unit,MATCH(B647,pr_code,0))&amp;"",""))</f>
        <v/>
      </c>
      <c r="J647" s="65" t="str">
        <f>IF(COUNTA(A647:G647)=0,"",IF(E647&lt;&gt;"",E647,IF(B647="","",IFERROR(IF(INDEX(pr_price,MATCH(B647,pr_code,0))="","",INDEX(pr_price,MATCH(B647,pr_code,0))),""))))</f>
        <v/>
      </c>
      <c r="K647" s="71" t="str">
        <f>IF(COUNTA(A647:G647)=0,"",IF(G647&lt;&gt;"",G647,IF(B647="","",IFERROR(IF(INDEX(pr_rate,MATCH(B647,pr_code,0))="","",INDEX(pr_rate,MATCH(B647,pr_code,0))),""))))</f>
        <v/>
      </c>
      <c r="L647" s="65" t="str">
        <f>IF(COUNTA(A647:G647)=0,"",IF(AND(ISNUMBER(D647),ISNUMBER(J647)),ROUND(D647*J647*(1-N(F647)),2),0))</f>
        <v/>
      </c>
      <c r="M647" s="62" t="str">
        <f>IF(A647="","",IFERROR(INDEX(dv_cname,MATCH(A647,dv_num,0))&amp;"",""))</f>
        <v/>
      </c>
      <c r="N647" s="59" t="str">
        <f>IF(COUNTA(A647:G647)=0,"",IF(A647="","N° devis manquant",IF(ISNA(MATCH(A647,dv_num,0)),"Devis inconnu",IF(AND(B647&lt;&gt;"",ISNA(MATCH(B647,pr_code,0))),"Article inconnu",IF(H647="","Désignation manquante",IF(OR(NOT(ISNUMBER(D647)),N(D647)&lt;=0),"Quantité invalide",IF(J647="","Prix manquant",IF(OR(NOT(ISNUMBER(J647)),N(J647)&lt;0),"Prix invalide",IF(OR(AND(F647&lt;&gt;"",NOT(ISNUMBER(F647))),N(F647)&lt;0,N(F647)&gt;1),"Remise invalide",IF(K647="","Taux de TVA manquant",IF(NOT(ISNUMBER(K647)),"Taux de TVA invalide",IF(COUNTIF(p_rates,K647)=0,"Taux de TVA hors liste (Paramètres)",IF(N(O647)&gt;25,"Au-delà de 25 lignes : non imprimée","OK")))))))))))))</f>
        <v/>
      </c>
      <c r="O647" s="59" t="str">
        <f>IF(A647="","",COUNTIF($A$6:A647,A647))</f>
        <v/>
      </c>
      <c r="P647" s="62" t="str">
        <f>IF(A647="","",A647&amp;"|"&amp;O647)</f>
        <v/>
      </c>
    </row>
    <row r="648">
      <c r="A648" s="60" t="n"/>
      <c r="B648" s="63" t="n"/>
      <c r="C648" s="63" t="n"/>
      <c r="D648" s="67" t="n"/>
      <c r="E648" s="68" t="n"/>
      <c r="F648" s="69" t="n"/>
      <c r="G648" s="70" t="n"/>
      <c r="H648" s="62" t="str">
        <f>IF(COUNTA(A648:G648)=0,"",IF(C648&lt;&gt;"",C648,IF(B648="","",IFERROR(INDEX(pr_des,MATCH(B648,pr_code,0))&amp;"",""))))</f>
        <v/>
      </c>
      <c r="I648" s="59" t="str">
        <f>IF(B648="","",IFERROR(INDEX(pr_unit,MATCH(B648,pr_code,0))&amp;"",""))</f>
        <v/>
      </c>
      <c r="J648" s="65" t="str">
        <f>IF(COUNTA(A648:G648)=0,"",IF(E648&lt;&gt;"",E648,IF(B648="","",IFERROR(IF(INDEX(pr_price,MATCH(B648,pr_code,0))="","",INDEX(pr_price,MATCH(B648,pr_code,0))),""))))</f>
        <v/>
      </c>
      <c r="K648" s="71" t="str">
        <f>IF(COUNTA(A648:G648)=0,"",IF(G648&lt;&gt;"",G648,IF(B648="","",IFERROR(IF(INDEX(pr_rate,MATCH(B648,pr_code,0))="","",INDEX(pr_rate,MATCH(B648,pr_code,0))),""))))</f>
        <v/>
      </c>
      <c r="L648" s="65" t="str">
        <f>IF(COUNTA(A648:G648)=0,"",IF(AND(ISNUMBER(D648),ISNUMBER(J648)),ROUND(D648*J648*(1-N(F648)),2),0))</f>
        <v/>
      </c>
      <c r="M648" s="62" t="str">
        <f>IF(A648="","",IFERROR(INDEX(dv_cname,MATCH(A648,dv_num,0))&amp;"",""))</f>
        <v/>
      </c>
      <c r="N648" s="59" t="str">
        <f>IF(COUNTA(A648:G648)=0,"",IF(A648="","N° devis manquant",IF(ISNA(MATCH(A648,dv_num,0)),"Devis inconnu",IF(AND(B648&lt;&gt;"",ISNA(MATCH(B648,pr_code,0))),"Article inconnu",IF(H648="","Désignation manquante",IF(OR(NOT(ISNUMBER(D648)),N(D648)&lt;=0),"Quantité invalide",IF(J648="","Prix manquant",IF(OR(NOT(ISNUMBER(J648)),N(J648)&lt;0),"Prix invalide",IF(OR(AND(F648&lt;&gt;"",NOT(ISNUMBER(F648))),N(F648)&lt;0,N(F648)&gt;1),"Remise invalide",IF(K648="","Taux de TVA manquant",IF(NOT(ISNUMBER(K648)),"Taux de TVA invalide",IF(COUNTIF(p_rates,K648)=0,"Taux de TVA hors liste (Paramètres)",IF(N(O648)&gt;25,"Au-delà de 25 lignes : non imprimée","OK")))))))))))))</f>
        <v/>
      </c>
      <c r="O648" s="59" t="str">
        <f>IF(A648="","",COUNTIF($A$6:A648,A648))</f>
        <v/>
      </c>
      <c r="P648" s="62" t="str">
        <f>IF(A648="","",A648&amp;"|"&amp;O648)</f>
        <v/>
      </c>
    </row>
    <row r="649">
      <c r="A649" s="60" t="n"/>
      <c r="B649" s="63" t="n"/>
      <c r="C649" s="63" t="n"/>
      <c r="D649" s="67" t="n"/>
      <c r="E649" s="68" t="n"/>
      <c r="F649" s="69" t="n"/>
      <c r="G649" s="70" t="n"/>
      <c r="H649" s="62" t="str">
        <f>IF(COUNTA(A649:G649)=0,"",IF(C649&lt;&gt;"",C649,IF(B649="","",IFERROR(INDEX(pr_des,MATCH(B649,pr_code,0))&amp;"",""))))</f>
        <v/>
      </c>
      <c r="I649" s="59" t="str">
        <f>IF(B649="","",IFERROR(INDEX(pr_unit,MATCH(B649,pr_code,0))&amp;"",""))</f>
        <v/>
      </c>
      <c r="J649" s="65" t="str">
        <f>IF(COUNTA(A649:G649)=0,"",IF(E649&lt;&gt;"",E649,IF(B649="","",IFERROR(IF(INDEX(pr_price,MATCH(B649,pr_code,0))="","",INDEX(pr_price,MATCH(B649,pr_code,0))),""))))</f>
        <v/>
      </c>
      <c r="K649" s="71" t="str">
        <f>IF(COUNTA(A649:G649)=0,"",IF(G649&lt;&gt;"",G649,IF(B649="","",IFERROR(IF(INDEX(pr_rate,MATCH(B649,pr_code,0))="","",INDEX(pr_rate,MATCH(B649,pr_code,0))),""))))</f>
        <v/>
      </c>
      <c r="L649" s="65" t="str">
        <f>IF(COUNTA(A649:G649)=0,"",IF(AND(ISNUMBER(D649),ISNUMBER(J649)),ROUND(D649*J649*(1-N(F649)),2),0))</f>
        <v/>
      </c>
      <c r="M649" s="62" t="str">
        <f>IF(A649="","",IFERROR(INDEX(dv_cname,MATCH(A649,dv_num,0))&amp;"",""))</f>
        <v/>
      </c>
      <c r="N649" s="59" t="str">
        <f>IF(COUNTA(A649:G649)=0,"",IF(A649="","N° devis manquant",IF(ISNA(MATCH(A649,dv_num,0)),"Devis inconnu",IF(AND(B649&lt;&gt;"",ISNA(MATCH(B649,pr_code,0))),"Article inconnu",IF(H649="","Désignation manquante",IF(OR(NOT(ISNUMBER(D649)),N(D649)&lt;=0),"Quantité invalide",IF(J649="","Prix manquant",IF(OR(NOT(ISNUMBER(J649)),N(J649)&lt;0),"Prix invalide",IF(OR(AND(F649&lt;&gt;"",NOT(ISNUMBER(F649))),N(F649)&lt;0,N(F649)&gt;1),"Remise invalide",IF(K649="","Taux de TVA manquant",IF(NOT(ISNUMBER(K649)),"Taux de TVA invalide",IF(COUNTIF(p_rates,K649)=0,"Taux de TVA hors liste (Paramètres)",IF(N(O649)&gt;25,"Au-delà de 25 lignes : non imprimée","OK")))))))))))))</f>
        <v/>
      </c>
      <c r="O649" s="59" t="str">
        <f>IF(A649="","",COUNTIF($A$6:A649,A649))</f>
        <v/>
      </c>
      <c r="P649" s="62" t="str">
        <f>IF(A649="","",A649&amp;"|"&amp;O649)</f>
        <v/>
      </c>
    </row>
    <row r="650">
      <c r="A650" s="60" t="n"/>
      <c r="B650" s="63" t="n"/>
      <c r="C650" s="63" t="n"/>
      <c r="D650" s="67" t="n"/>
      <c r="E650" s="68" t="n"/>
      <c r="F650" s="69" t="n"/>
      <c r="G650" s="70" t="n"/>
      <c r="H650" s="62" t="str">
        <f>IF(COUNTA(A650:G650)=0,"",IF(C650&lt;&gt;"",C650,IF(B650="","",IFERROR(INDEX(pr_des,MATCH(B650,pr_code,0))&amp;"",""))))</f>
        <v/>
      </c>
      <c r="I650" s="59" t="str">
        <f>IF(B650="","",IFERROR(INDEX(pr_unit,MATCH(B650,pr_code,0))&amp;"",""))</f>
        <v/>
      </c>
      <c r="J650" s="65" t="str">
        <f>IF(COUNTA(A650:G650)=0,"",IF(E650&lt;&gt;"",E650,IF(B650="","",IFERROR(IF(INDEX(pr_price,MATCH(B650,pr_code,0))="","",INDEX(pr_price,MATCH(B650,pr_code,0))),""))))</f>
        <v/>
      </c>
      <c r="K650" s="71" t="str">
        <f>IF(COUNTA(A650:G650)=0,"",IF(G650&lt;&gt;"",G650,IF(B650="","",IFERROR(IF(INDEX(pr_rate,MATCH(B650,pr_code,0))="","",INDEX(pr_rate,MATCH(B650,pr_code,0))),""))))</f>
        <v/>
      </c>
      <c r="L650" s="65" t="str">
        <f>IF(COUNTA(A650:G650)=0,"",IF(AND(ISNUMBER(D650),ISNUMBER(J650)),ROUND(D650*J650*(1-N(F650)),2),0))</f>
        <v/>
      </c>
      <c r="M650" s="62" t="str">
        <f>IF(A650="","",IFERROR(INDEX(dv_cname,MATCH(A650,dv_num,0))&amp;"",""))</f>
        <v/>
      </c>
      <c r="N650" s="59" t="str">
        <f>IF(COUNTA(A650:G650)=0,"",IF(A650="","N° devis manquant",IF(ISNA(MATCH(A650,dv_num,0)),"Devis inconnu",IF(AND(B650&lt;&gt;"",ISNA(MATCH(B650,pr_code,0))),"Article inconnu",IF(H650="","Désignation manquante",IF(OR(NOT(ISNUMBER(D650)),N(D650)&lt;=0),"Quantité invalide",IF(J650="","Prix manquant",IF(OR(NOT(ISNUMBER(J650)),N(J650)&lt;0),"Prix invalide",IF(OR(AND(F650&lt;&gt;"",NOT(ISNUMBER(F650))),N(F650)&lt;0,N(F650)&gt;1),"Remise invalide",IF(K650="","Taux de TVA manquant",IF(NOT(ISNUMBER(K650)),"Taux de TVA invalide",IF(COUNTIF(p_rates,K650)=0,"Taux de TVA hors liste (Paramètres)",IF(N(O650)&gt;25,"Au-delà de 25 lignes : non imprimée","OK")))))))))))))</f>
        <v/>
      </c>
      <c r="O650" s="59" t="str">
        <f>IF(A650="","",COUNTIF($A$6:A650,A650))</f>
        <v/>
      </c>
      <c r="P650" s="62" t="str">
        <f>IF(A650="","",A650&amp;"|"&amp;O650)</f>
        <v/>
      </c>
    </row>
    <row r="651">
      <c r="A651" s="60" t="n"/>
      <c r="B651" s="63" t="n"/>
      <c r="C651" s="63" t="n"/>
      <c r="D651" s="67" t="n"/>
      <c r="E651" s="68" t="n"/>
      <c r="F651" s="69" t="n"/>
      <c r="G651" s="70" t="n"/>
      <c r="H651" s="62" t="str">
        <f>IF(COUNTA(A651:G651)=0,"",IF(C651&lt;&gt;"",C651,IF(B651="","",IFERROR(INDEX(pr_des,MATCH(B651,pr_code,0))&amp;"",""))))</f>
        <v/>
      </c>
      <c r="I651" s="59" t="str">
        <f>IF(B651="","",IFERROR(INDEX(pr_unit,MATCH(B651,pr_code,0))&amp;"",""))</f>
        <v/>
      </c>
      <c r="J651" s="65" t="str">
        <f>IF(COUNTA(A651:G651)=0,"",IF(E651&lt;&gt;"",E651,IF(B651="","",IFERROR(IF(INDEX(pr_price,MATCH(B651,pr_code,0))="","",INDEX(pr_price,MATCH(B651,pr_code,0))),""))))</f>
        <v/>
      </c>
      <c r="K651" s="71" t="str">
        <f>IF(COUNTA(A651:G651)=0,"",IF(G651&lt;&gt;"",G651,IF(B651="","",IFERROR(IF(INDEX(pr_rate,MATCH(B651,pr_code,0))="","",INDEX(pr_rate,MATCH(B651,pr_code,0))),""))))</f>
        <v/>
      </c>
      <c r="L651" s="65" t="str">
        <f>IF(COUNTA(A651:G651)=0,"",IF(AND(ISNUMBER(D651),ISNUMBER(J651)),ROUND(D651*J651*(1-N(F651)),2),0))</f>
        <v/>
      </c>
      <c r="M651" s="62" t="str">
        <f>IF(A651="","",IFERROR(INDEX(dv_cname,MATCH(A651,dv_num,0))&amp;"",""))</f>
        <v/>
      </c>
      <c r="N651" s="59" t="str">
        <f>IF(COUNTA(A651:G651)=0,"",IF(A651="","N° devis manquant",IF(ISNA(MATCH(A651,dv_num,0)),"Devis inconnu",IF(AND(B651&lt;&gt;"",ISNA(MATCH(B651,pr_code,0))),"Article inconnu",IF(H651="","Désignation manquante",IF(OR(NOT(ISNUMBER(D651)),N(D651)&lt;=0),"Quantité invalide",IF(J651="","Prix manquant",IF(OR(NOT(ISNUMBER(J651)),N(J651)&lt;0),"Prix invalide",IF(OR(AND(F651&lt;&gt;"",NOT(ISNUMBER(F651))),N(F651)&lt;0,N(F651)&gt;1),"Remise invalide",IF(K651="","Taux de TVA manquant",IF(NOT(ISNUMBER(K651)),"Taux de TVA invalide",IF(COUNTIF(p_rates,K651)=0,"Taux de TVA hors liste (Paramètres)",IF(N(O651)&gt;25,"Au-delà de 25 lignes : non imprimée","OK")))))))))))))</f>
        <v/>
      </c>
      <c r="O651" s="59" t="str">
        <f>IF(A651="","",COUNTIF($A$6:A651,A651))</f>
        <v/>
      </c>
      <c r="P651" s="62" t="str">
        <f>IF(A651="","",A651&amp;"|"&amp;O651)</f>
        <v/>
      </c>
    </row>
    <row r="652">
      <c r="A652" s="60" t="n"/>
      <c r="B652" s="63" t="n"/>
      <c r="C652" s="63" t="n"/>
      <c r="D652" s="67" t="n"/>
      <c r="E652" s="68" t="n"/>
      <c r="F652" s="69" t="n"/>
      <c r="G652" s="70" t="n"/>
      <c r="H652" s="62" t="str">
        <f>IF(COUNTA(A652:G652)=0,"",IF(C652&lt;&gt;"",C652,IF(B652="","",IFERROR(INDEX(pr_des,MATCH(B652,pr_code,0))&amp;"",""))))</f>
        <v/>
      </c>
      <c r="I652" s="59" t="str">
        <f>IF(B652="","",IFERROR(INDEX(pr_unit,MATCH(B652,pr_code,0))&amp;"",""))</f>
        <v/>
      </c>
      <c r="J652" s="65" t="str">
        <f>IF(COUNTA(A652:G652)=0,"",IF(E652&lt;&gt;"",E652,IF(B652="","",IFERROR(IF(INDEX(pr_price,MATCH(B652,pr_code,0))="","",INDEX(pr_price,MATCH(B652,pr_code,0))),""))))</f>
        <v/>
      </c>
      <c r="K652" s="71" t="str">
        <f>IF(COUNTA(A652:G652)=0,"",IF(G652&lt;&gt;"",G652,IF(B652="","",IFERROR(IF(INDEX(pr_rate,MATCH(B652,pr_code,0))="","",INDEX(pr_rate,MATCH(B652,pr_code,0))),""))))</f>
        <v/>
      </c>
      <c r="L652" s="65" t="str">
        <f>IF(COUNTA(A652:G652)=0,"",IF(AND(ISNUMBER(D652),ISNUMBER(J652)),ROUND(D652*J652*(1-N(F652)),2),0))</f>
        <v/>
      </c>
      <c r="M652" s="62" t="str">
        <f>IF(A652="","",IFERROR(INDEX(dv_cname,MATCH(A652,dv_num,0))&amp;"",""))</f>
        <v/>
      </c>
      <c r="N652" s="59" t="str">
        <f>IF(COUNTA(A652:G652)=0,"",IF(A652="","N° devis manquant",IF(ISNA(MATCH(A652,dv_num,0)),"Devis inconnu",IF(AND(B652&lt;&gt;"",ISNA(MATCH(B652,pr_code,0))),"Article inconnu",IF(H652="","Désignation manquante",IF(OR(NOT(ISNUMBER(D652)),N(D652)&lt;=0),"Quantité invalide",IF(J652="","Prix manquant",IF(OR(NOT(ISNUMBER(J652)),N(J652)&lt;0),"Prix invalide",IF(OR(AND(F652&lt;&gt;"",NOT(ISNUMBER(F652))),N(F652)&lt;0,N(F652)&gt;1),"Remise invalide",IF(K652="","Taux de TVA manquant",IF(NOT(ISNUMBER(K652)),"Taux de TVA invalide",IF(COUNTIF(p_rates,K652)=0,"Taux de TVA hors liste (Paramètres)",IF(N(O652)&gt;25,"Au-delà de 25 lignes : non imprimée","OK")))))))))))))</f>
        <v/>
      </c>
      <c r="O652" s="59" t="str">
        <f>IF(A652="","",COUNTIF($A$6:A652,A652))</f>
        <v/>
      </c>
      <c r="P652" s="62" t="str">
        <f>IF(A652="","",A652&amp;"|"&amp;O652)</f>
        <v/>
      </c>
    </row>
    <row r="653">
      <c r="A653" s="60" t="n"/>
      <c r="B653" s="63" t="n"/>
      <c r="C653" s="63" t="n"/>
      <c r="D653" s="67" t="n"/>
      <c r="E653" s="68" t="n"/>
      <c r="F653" s="69" t="n"/>
      <c r="G653" s="70" t="n"/>
      <c r="H653" s="62" t="str">
        <f>IF(COUNTA(A653:G653)=0,"",IF(C653&lt;&gt;"",C653,IF(B653="","",IFERROR(INDEX(pr_des,MATCH(B653,pr_code,0))&amp;"",""))))</f>
        <v/>
      </c>
      <c r="I653" s="59" t="str">
        <f>IF(B653="","",IFERROR(INDEX(pr_unit,MATCH(B653,pr_code,0))&amp;"",""))</f>
        <v/>
      </c>
      <c r="J653" s="65" t="str">
        <f>IF(COUNTA(A653:G653)=0,"",IF(E653&lt;&gt;"",E653,IF(B653="","",IFERROR(IF(INDEX(pr_price,MATCH(B653,pr_code,0))="","",INDEX(pr_price,MATCH(B653,pr_code,0))),""))))</f>
        <v/>
      </c>
      <c r="K653" s="71" t="str">
        <f>IF(COUNTA(A653:G653)=0,"",IF(G653&lt;&gt;"",G653,IF(B653="","",IFERROR(IF(INDEX(pr_rate,MATCH(B653,pr_code,0))="","",INDEX(pr_rate,MATCH(B653,pr_code,0))),""))))</f>
        <v/>
      </c>
      <c r="L653" s="65" t="str">
        <f>IF(COUNTA(A653:G653)=0,"",IF(AND(ISNUMBER(D653),ISNUMBER(J653)),ROUND(D653*J653*(1-N(F653)),2),0))</f>
        <v/>
      </c>
      <c r="M653" s="62" t="str">
        <f>IF(A653="","",IFERROR(INDEX(dv_cname,MATCH(A653,dv_num,0))&amp;"",""))</f>
        <v/>
      </c>
      <c r="N653" s="59" t="str">
        <f>IF(COUNTA(A653:G653)=0,"",IF(A653="","N° devis manquant",IF(ISNA(MATCH(A653,dv_num,0)),"Devis inconnu",IF(AND(B653&lt;&gt;"",ISNA(MATCH(B653,pr_code,0))),"Article inconnu",IF(H653="","Désignation manquante",IF(OR(NOT(ISNUMBER(D653)),N(D653)&lt;=0),"Quantité invalide",IF(J653="","Prix manquant",IF(OR(NOT(ISNUMBER(J653)),N(J653)&lt;0),"Prix invalide",IF(OR(AND(F653&lt;&gt;"",NOT(ISNUMBER(F653))),N(F653)&lt;0,N(F653)&gt;1),"Remise invalide",IF(K653="","Taux de TVA manquant",IF(NOT(ISNUMBER(K653)),"Taux de TVA invalide",IF(COUNTIF(p_rates,K653)=0,"Taux de TVA hors liste (Paramètres)",IF(N(O653)&gt;25,"Au-delà de 25 lignes : non imprimée","OK")))))))))))))</f>
        <v/>
      </c>
      <c r="O653" s="59" t="str">
        <f>IF(A653="","",COUNTIF($A$6:A653,A653))</f>
        <v/>
      </c>
      <c r="P653" s="62" t="str">
        <f>IF(A653="","",A653&amp;"|"&amp;O653)</f>
        <v/>
      </c>
    </row>
    <row r="654">
      <c r="A654" s="60" t="n"/>
      <c r="B654" s="63" t="n"/>
      <c r="C654" s="63" t="n"/>
      <c r="D654" s="67" t="n"/>
      <c r="E654" s="68" t="n"/>
      <c r="F654" s="69" t="n"/>
      <c r="G654" s="70" t="n"/>
      <c r="H654" s="62" t="str">
        <f>IF(COUNTA(A654:G654)=0,"",IF(C654&lt;&gt;"",C654,IF(B654="","",IFERROR(INDEX(pr_des,MATCH(B654,pr_code,0))&amp;"",""))))</f>
        <v/>
      </c>
      <c r="I654" s="59" t="str">
        <f>IF(B654="","",IFERROR(INDEX(pr_unit,MATCH(B654,pr_code,0))&amp;"",""))</f>
        <v/>
      </c>
      <c r="J654" s="65" t="str">
        <f>IF(COUNTA(A654:G654)=0,"",IF(E654&lt;&gt;"",E654,IF(B654="","",IFERROR(IF(INDEX(pr_price,MATCH(B654,pr_code,0))="","",INDEX(pr_price,MATCH(B654,pr_code,0))),""))))</f>
        <v/>
      </c>
      <c r="K654" s="71" t="str">
        <f>IF(COUNTA(A654:G654)=0,"",IF(G654&lt;&gt;"",G654,IF(B654="","",IFERROR(IF(INDEX(pr_rate,MATCH(B654,pr_code,0))="","",INDEX(pr_rate,MATCH(B654,pr_code,0))),""))))</f>
        <v/>
      </c>
      <c r="L654" s="65" t="str">
        <f>IF(COUNTA(A654:G654)=0,"",IF(AND(ISNUMBER(D654),ISNUMBER(J654)),ROUND(D654*J654*(1-N(F654)),2),0))</f>
        <v/>
      </c>
      <c r="M654" s="62" t="str">
        <f>IF(A654="","",IFERROR(INDEX(dv_cname,MATCH(A654,dv_num,0))&amp;"",""))</f>
        <v/>
      </c>
      <c r="N654" s="59" t="str">
        <f>IF(COUNTA(A654:G654)=0,"",IF(A654="","N° devis manquant",IF(ISNA(MATCH(A654,dv_num,0)),"Devis inconnu",IF(AND(B654&lt;&gt;"",ISNA(MATCH(B654,pr_code,0))),"Article inconnu",IF(H654="","Désignation manquante",IF(OR(NOT(ISNUMBER(D654)),N(D654)&lt;=0),"Quantité invalide",IF(J654="","Prix manquant",IF(OR(NOT(ISNUMBER(J654)),N(J654)&lt;0),"Prix invalide",IF(OR(AND(F654&lt;&gt;"",NOT(ISNUMBER(F654))),N(F654)&lt;0,N(F654)&gt;1),"Remise invalide",IF(K654="","Taux de TVA manquant",IF(NOT(ISNUMBER(K654)),"Taux de TVA invalide",IF(COUNTIF(p_rates,K654)=0,"Taux de TVA hors liste (Paramètres)",IF(N(O654)&gt;25,"Au-delà de 25 lignes : non imprimée","OK")))))))))))))</f>
        <v/>
      </c>
      <c r="O654" s="59" t="str">
        <f>IF(A654="","",COUNTIF($A$6:A654,A654))</f>
        <v/>
      </c>
      <c r="P654" s="62" t="str">
        <f>IF(A654="","",A654&amp;"|"&amp;O654)</f>
        <v/>
      </c>
    </row>
    <row r="655">
      <c r="A655" s="60" t="n"/>
      <c r="B655" s="63" t="n"/>
      <c r="C655" s="63" t="n"/>
      <c r="D655" s="67" t="n"/>
      <c r="E655" s="68" t="n"/>
      <c r="F655" s="69" t="n"/>
      <c r="G655" s="70" t="n"/>
      <c r="H655" s="62" t="str">
        <f>IF(COUNTA(A655:G655)=0,"",IF(C655&lt;&gt;"",C655,IF(B655="","",IFERROR(INDEX(pr_des,MATCH(B655,pr_code,0))&amp;"",""))))</f>
        <v/>
      </c>
      <c r="I655" s="59" t="str">
        <f>IF(B655="","",IFERROR(INDEX(pr_unit,MATCH(B655,pr_code,0))&amp;"",""))</f>
        <v/>
      </c>
      <c r="J655" s="65" t="str">
        <f>IF(COUNTA(A655:G655)=0,"",IF(E655&lt;&gt;"",E655,IF(B655="","",IFERROR(IF(INDEX(pr_price,MATCH(B655,pr_code,0))="","",INDEX(pr_price,MATCH(B655,pr_code,0))),""))))</f>
        <v/>
      </c>
      <c r="K655" s="71" t="str">
        <f>IF(COUNTA(A655:G655)=0,"",IF(G655&lt;&gt;"",G655,IF(B655="","",IFERROR(IF(INDEX(pr_rate,MATCH(B655,pr_code,0))="","",INDEX(pr_rate,MATCH(B655,pr_code,0))),""))))</f>
        <v/>
      </c>
      <c r="L655" s="65" t="str">
        <f>IF(COUNTA(A655:G655)=0,"",IF(AND(ISNUMBER(D655),ISNUMBER(J655)),ROUND(D655*J655*(1-N(F655)),2),0))</f>
        <v/>
      </c>
      <c r="M655" s="62" t="str">
        <f>IF(A655="","",IFERROR(INDEX(dv_cname,MATCH(A655,dv_num,0))&amp;"",""))</f>
        <v/>
      </c>
      <c r="N655" s="59" t="str">
        <f>IF(COUNTA(A655:G655)=0,"",IF(A655="","N° devis manquant",IF(ISNA(MATCH(A655,dv_num,0)),"Devis inconnu",IF(AND(B655&lt;&gt;"",ISNA(MATCH(B655,pr_code,0))),"Article inconnu",IF(H655="","Désignation manquante",IF(OR(NOT(ISNUMBER(D655)),N(D655)&lt;=0),"Quantité invalide",IF(J655="","Prix manquant",IF(OR(NOT(ISNUMBER(J655)),N(J655)&lt;0),"Prix invalide",IF(OR(AND(F655&lt;&gt;"",NOT(ISNUMBER(F655))),N(F655)&lt;0,N(F655)&gt;1),"Remise invalide",IF(K655="","Taux de TVA manquant",IF(NOT(ISNUMBER(K655)),"Taux de TVA invalide",IF(COUNTIF(p_rates,K655)=0,"Taux de TVA hors liste (Paramètres)",IF(N(O655)&gt;25,"Au-delà de 25 lignes : non imprimée","OK")))))))))))))</f>
        <v/>
      </c>
      <c r="O655" s="59" t="str">
        <f>IF(A655="","",COUNTIF($A$6:A655,A655))</f>
        <v/>
      </c>
      <c r="P655" s="62" t="str">
        <f>IF(A655="","",A655&amp;"|"&amp;O655)</f>
        <v/>
      </c>
    </row>
    <row r="656">
      <c r="A656" s="60" t="n"/>
      <c r="B656" s="63" t="n"/>
      <c r="C656" s="63" t="n"/>
      <c r="D656" s="67" t="n"/>
      <c r="E656" s="68" t="n"/>
      <c r="F656" s="69" t="n"/>
      <c r="G656" s="70" t="n"/>
      <c r="H656" s="62" t="str">
        <f>IF(COUNTA(A656:G656)=0,"",IF(C656&lt;&gt;"",C656,IF(B656="","",IFERROR(INDEX(pr_des,MATCH(B656,pr_code,0))&amp;"",""))))</f>
        <v/>
      </c>
      <c r="I656" s="59" t="str">
        <f>IF(B656="","",IFERROR(INDEX(pr_unit,MATCH(B656,pr_code,0))&amp;"",""))</f>
        <v/>
      </c>
      <c r="J656" s="65" t="str">
        <f>IF(COUNTA(A656:G656)=0,"",IF(E656&lt;&gt;"",E656,IF(B656="","",IFERROR(IF(INDEX(pr_price,MATCH(B656,pr_code,0))="","",INDEX(pr_price,MATCH(B656,pr_code,0))),""))))</f>
        <v/>
      </c>
      <c r="K656" s="71" t="str">
        <f>IF(COUNTA(A656:G656)=0,"",IF(G656&lt;&gt;"",G656,IF(B656="","",IFERROR(IF(INDEX(pr_rate,MATCH(B656,pr_code,0))="","",INDEX(pr_rate,MATCH(B656,pr_code,0))),""))))</f>
        <v/>
      </c>
      <c r="L656" s="65" t="str">
        <f>IF(COUNTA(A656:G656)=0,"",IF(AND(ISNUMBER(D656),ISNUMBER(J656)),ROUND(D656*J656*(1-N(F656)),2),0))</f>
        <v/>
      </c>
      <c r="M656" s="62" t="str">
        <f>IF(A656="","",IFERROR(INDEX(dv_cname,MATCH(A656,dv_num,0))&amp;"",""))</f>
        <v/>
      </c>
      <c r="N656" s="59" t="str">
        <f>IF(COUNTA(A656:G656)=0,"",IF(A656="","N° devis manquant",IF(ISNA(MATCH(A656,dv_num,0)),"Devis inconnu",IF(AND(B656&lt;&gt;"",ISNA(MATCH(B656,pr_code,0))),"Article inconnu",IF(H656="","Désignation manquante",IF(OR(NOT(ISNUMBER(D656)),N(D656)&lt;=0),"Quantité invalide",IF(J656="","Prix manquant",IF(OR(NOT(ISNUMBER(J656)),N(J656)&lt;0),"Prix invalide",IF(OR(AND(F656&lt;&gt;"",NOT(ISNUMBER(F656))),N(F656)&lt;0,N(F656)&gt;1),"Remise invalide",IF(K656="","Taux de TVA manquant",IF(NOT(ISNUMBER(K656)),"Taux de TVA invalide",IF(COUNTIF(p_rates,K656)=0,"Taux de TVA hors liste (Paramètres)",IF(N(O656)&gt;25,"Au-delà de 25 lignes : non imprimée","OK")))))))))))))</f>
        <v/>
      </c>
      <c r="O656" s="59" t="str">
        <f>IF(A656="","",COUNTIF($A$6:A656,A656))</f>
        <v/>
      </c>
      <c r="P656" s="62" t="str">
        <f>IF(A656="","",A656&amp;"|"&amp;O656)</f>
        <v/>
      </c>
    </row>
    <row r="657">
      <c r="A657" s="60" t="n"/>
      <c r="B657" s="63" t="n"/>
      <c r="C657" s="63" t="n"/>
      <c r="D657" s="67" t="n"/>
      <c r="E657" s="68" t="n"/>
      <c r="F657" s="69" t="n"/>
      <c r="G657" s="70" t="n"/>
      <c r="H657" s="62" t="str">
        <f>IF(COUNTA(A657:G657)=0,"",IF(C657&lt;&gt;"",C657,IF(B657="","",IFERROR(INDEX(pr_des,MATCH(B657,pr_code,0))&amp;"",""))))</f>
        <v/>
      </c>
      <c r="I657" s="59" t="str">
        <f>IF(B657="","",IFERROR(INDEX(pr_unit,MATCH(B657,pr_code,0))&amp;"",""))</f>
        <v/>
      </c>
      <c r="J657" s="65" t="str">
        <f>IF(COUNTA(A657:G657)=0,"",IF(E657&lt;&gt;"",E657,IF(B657="","",IFERROR(IF(INDEX(pr_price,MATCH(B657,pr_code,0))="","",INDEX(pr_price,MATCH(B657,pr_code,0))),""))))</f>
        <v/>
      </c>
      <c r="K657" s="71" t="str">
        <f>IF(COUNTA(A657:G657)=0,"",IF(G657&lt;&gt;"",G657,IF(B657="","",IFERROR(IF(INDEX(pr_rate,MATCH(B657,pr_code,0))="","",INDEX(pr_rate,MATCH(B657,pr_code,0))),""))))</f>
        <v/>
      </c>
      <c r="L657" s="65" t="str">
        <f>IF(COUNTA(A657:G657)=0,"",IF(AND(ISNUMBER(D657),ISNUMBER(J657)),ROUND(D657*J657*(1-N(F657)),2),0))</f>
        <v/>
      </c>
      <c r="M657" s="62" t="str">
        <f>IF(A657="","",IFERROR(INDEX(dv_cname,MATCH(A657,dv_num,0))&amp;"",""))</f>
        <v/>
      </c>
      <c r="N657" s="59" t="str">
        <f>IF(COUNTA(A657:G657)=0,"",IF(A657="","N° devis manquant",IF(ISNA(MATCH(A657,dv_num,0)),"Devis inconnu",IF(AND(B657&lt;&gt;"",ISNA(MATCH(B657,pr_code,0))),"Article inconnu",IF(H657="","Désignation manquante",IF(OR(NOT(ISNUMBER(D657)),N(D657)&lt;=0),"Quantité invalide",IF(J657="","Prix manquant",IF(OR(NOT(ISNUMBER(J657)),N(J657)&lt;0),"Prix invalide",IF(OR(AND(F657&lt;&gt;"",NOT(ISNUMBER(F657))),N(F657)&lt;0,N(F657)&gt;1),"Remise invalide",IF(K657="","Taux de TVA manquant",IF(NOT(ISNUMBER(K657)),"Taux de TVA invalide",IF(COUNTIF(p_rates,K657)=0,"Taux de TVA hors liste (Paramètres)",IF(N(O657)&gt;25,"Au-delà de 25 lignes : non imprimée","OK")))))))))))))</f>
        <v/>
      </c>
      <c r="O657" s="59" t="str">
        <f>IF(A657="","",COUNTIF($A$6:A657,A657))</f>
        <v/>
      </c>
      <c r="P657" s="62" t="str">
        <f>IF(A657="","",A657&amp;"|"&amp;O657)</f>
        <v/>
      </c>
    </row>
    <row r="658">
      <c r="A658" s="60" t="n"/>
      <c r="B658" s="63" t="n"/>
      <c r="C658" s="63" t="n"/>
      <c r="D658" s="67" t="n"/>
      <c r="E658" s="68" t="n"/>
      <c r="F658" s="69" t="n"/>
      <c r="G658" s="70" t="n"/>
      <c r="H658" s="62" t="str">
        <f>IF(COUNTA(A658:G658)=0,"",IF(C658&lt;&gt;"",C658,IF(B658="","",IFERROR(INDEX(pr_des,MATCH(B658,pr_code,0))&amp;"",""))))</f>
        <v/>
      </c>
      <c r="I658" s="59" t="str">
        <f>IF(B658="","",IFERROR(INDEX(pr_unit,MATCH(B658,pr_code,0))&amp;"",""))</f>
        <v/>
      </c>
      <c r="J658" s="65" t="str">
        <f>IF(COUNTA(A658:G658)=0,"",IF(E658&lt;&gt;"",E658,IF(B658="","",IFERROR(IF(INDEX(pr_price,MATCH(B658,pr_code,0))="","",INDEX(pr_price,MATCH(B658,pr_code,0))),""))))</f>
        <v/>
      </c>
      <c r="K658" s="71" t="str">
        <f>IF(COUNTA(A658:G658)=0,"",IF(G658&lt;&gt;"",G658,IF(B658="","",IFERROR(IF(INDEX(pr_rate,MATCH(B658,pr_code,0))="","",INDEX(pr_rate,MATCH(B658,pr_code,0))),""))))</f>
        <v/>
      </c>
      <c r="L658" s="65" t="str">
        <f>IF(COUNTA(A658:G658)=0,"",IF(AND(ISNUMBER(D658),ISNUMBER(J658)),ROUND(D658*J658*(1-N(F658)),2),0))</f>
        <v/>
      </c>
      <c r="M658" s="62" t="str">
        <f>IF(A658="","",IFERROR(INDEX(dv_cname,MATCH(A658,dv_num,0))&amp;"",""))</f>
        <v/>
      </c>
      <c r="N658" s="59" t="str">
        <f>IF(COUNTA(A658:G658)=0,"",IF(A658="","N° devis manquant",IF(ISNA(MATCH(A658,dv_num,0)),"Devis inconnu",IF(AND(B658&lt;&gt;"",ISNA(MATCH(B658,pr_code,0))),"Article inconnu",IF(H658="","Désignation manquante",IF(OR(NOT(ISNUMBER(D658)),N(D658)&lt;=0),"Quantité invalide",IF(J658="","Prix manquant",IF(OR(NOT(ISNUMBER(J658)),N(J658)&lt;0),"Prix invalide",IF(OR(AND(F658&lt;&gt;"",NOT(ISNUMBER(F658))),N(F658)&lt;0,N(F658)&gt;1),"Remise invalide",IF(K658="","Taux de TVA manquant",IF(NOT(ISNUMBER(K658)),"Taux de TVA invalide",IF(COUNTIF(p_rates,K658)=0,"Taux de TVA hors liste (Paramètres)",IF(N(O658)&gt;25,"Au-delà de 25 lignes : non imprimée","OK")))))))))))))</f>
        <v/>
      </c>
      <c r="O658" s="59" t="str">
        <f>IF(A658="","",COUNTIF($A$6:A658,A658))</f>
        <v/>
      </c>
      <c r="P658" s="62" t="str">
        <f>IF(A658="","",A658&amp;"|"&amp;O658)</f>
        <v/>
      </c>
    </row>
    <row r="659">
      <c r="A659" s="60" t="n"/>
      <c r="B659" s="63" t="n"/>
      <c r="C659" s="63" t="n"/>
      <c r="D659" s="67" t="n"/>
      <c r="E659" s="68" t="n"/>
      <c r="F659" s="69" t="n"/>
      <c r="G659" s="70" t="n"/>
      <c r="H659" s="62" t="str">
        <f>IF(COUNTA(A659:G659)=0,"",IF(C659&lt;&gt;"",C659,IF(B659="","",IFERROR(INDEX(pr_des,MATCH(B659,pr_code,0))&amp;"",""))))</f>
        <v/>
      </c>
      <c r="I659" s="59" t="str">
        <f>IF(B659="","",IFERROR(INDEX(pr_unit,MATCH(B659,pr_code,0))&amp;"",""))</f>
        <v/>
      </c>
      <c r="J659" s="65" t="str">
        <f>IF(COUNTA(A659:G659)=0,"",IF(E659&lt;&gt;"",E659,IF(B659="","",IFERROR(IF(INDEX(pr_price,MATCH(B659,pr_code,0))="","",INDEX(pr_price,MATCH(B659,pr_code,0))),""))))</f>
        <v/>
      </c>
      <c r="K659" s="71" t="str">
        <f>IF(COUNTA(A659:G659)=0,"",IF(G659&lt;&gt;"",G659,IF(B659="","",IFERROR(IF(INDEX(pr_rate,MATCH(B659,pr_code,0))="","",INDEX(pr_rate,MATCH(B659,pr_code,0))),""))))</f>
        <v/>
      </c>
      <c r="L659" s="65" t="str">
        <f>IF(COUNTA(A659:G659)=0,"",IF(AND(ISNUMBER(D659),ISNUMBER(J659)),ROUND(D659*J659*(1-N(F659)),2),0))</f>
        <v/>
      </c>
      <c r="M659" s="62" t="str">
        <f>IF(A659="","",IFERROR(INDEX(dv_cname,MATCH(A659,dv_num,0))&amp;"",""))</f>
        <v/>
      </c>
      <c r="N659" s="59" t="str">
        <f>IF(COUNTA(A659:G659)=0,"",IF(A659="","N° devis manquant",IF(ISNA(MATCH(A659,dv_num,0)),"Devis inconnu",IF(AND(B659&lt;&gt;"",ISNA(MATCH(B659,pr_code,0))),"Article inconnu",IF(H659="","Désignation manquante",IF(OR(NOT(ISNUMBER(D659)),N(D659)&lt;=0),"Quantité invalide",IF(J659="","Prix manquant",IF(OR(NOT(ISNUMBER(J659)),N(J659)&lt;0),"Prix invalide",IF(OR(AND(F659&lt;&gt;"",NOT(ISNUMBER(F659))),N(F659)&lt;0,N(F659)&gt;1),"Remise invalide",IF(K659="","Taux de TVA manquant",IF(NOT(ISNUMBER(K659)),"Taux de TVA invalide",IF(COUNTIF(p_rates,K659)=0,"Taux de TVA hors liste (Paramètres)",IF(N(O659)&gt;25,"Au-delà de 25 lignes : non imprimée","OK")))))))))))))</f>
        <v/>
      </c>
      <c r="O659" s="59" t="str">
        <f>IF(A659="","",COUNTIF($A$6:A659,A659))</f>
        <v/>
      </c>
      <c r="P659" s="62" t="str">
        <f>IF(A659="","",A659&amp;"|"&amp;O659)</f>
        <v/>
      </c>
    </row>
    <row r="660">
      <c r="A660" s="60" t="n"/>
      <c r="B660" s="63" t="n"/>
      <c r="C660" s="63" t="n"/>
      <c r="D660" s="67" t="n"/>
      <c r="E660" s="68" t="n"/>
      <c r="F660" s="69" t="n"/>
      <c r="G660" s="70" t="n"/>
      <c r="H660" s="62" t="str">
        <f>IF(COUNTA(A660:G660)=0,"",IF(C660&lt;&gt;"",C660,IF(B660="","",IFERROR(INDEX(pr_des,MATCH(B660,pr_code,0))&amp;"",""))))</f>
        <v/>
      </c>
      <c r="I660" s="59" t="str">
        <f>IF(B660="","",IFERROR(INDEX(pr_unit,MATCH(B660,pr_code,0))&amp;"",""))</f>
        <v/>
      </c>
      <c r="J660" s="65" t="str">
        <f>IF(COUNTA(A660:G660)=0,"",IF(E660&lt;&gt;"",E660,IF(B660="","",IFERROR(IF(INDEX(pr_price,MATCH(B660,pr_code,0))="","",INDEX(pr_price,MATCH(B660,pr_code,0))),""))))</f>
        <v/>
      </c>
      <c r="K660" s="71" t="str">
        <f>IF(COUNTA(A660:G660)=0,"",IF(G660&lt;&gt;"",G660,IF(B660="","",IFERROR(IF(INDEX(pr_rate,MATCH(B660,pr_code,0))="","",INDEX(pr_rate,MATCH(B660,pr_code,0))),""))))</f>
        <v/>
      </c>
      <c r="L660" s="65" t="str">
        <f>IF(COUNTA(A660:G660)=0,"",IF(AND(ISNUMBER(D660),ISNUMBER(J660)),ROUND(D660*J660*(1-N(F660)),2),0))</f>
        <v/>
      </c>
      <c r="M660" s="62" t="str">
        <f>IF(A660="","",IFERROR(INDEX(dv_cname,MATCH(A660,dv_num,0))&amp;"",""))</f>
        <v/>
      </c>
      <c r="N660" s="59" t="str">
        <f>IF(COUNTA(A660:G660)=0,"",IF(A660="","N° devis manquant",IF(ISNA(MATCH(A660,dv_num,0)),"Devis inconnu",IF(AND(B660&lt;&gt;"",ISNA(MATCH(B660,pr_code,0))),"Article inconnu",IF(H660="","Désignation manquante",IF(OR(NOT(ISNUMBER(D660)),N(D660)&lt;=0),"Quantité invalide",IF(J660="","Prix manquant",IF(OR(NOT(ISNUMBER(J660)),N(J660)&lt;0),"Prix invalide",IF(OR(AND(F660&lt;&gt;"",NOT(ISNUMBER(F660))),N(F660)&lt;0,N(F660)&gt;1),"Remise invalide",IF(K660="","Taux de TVA manquant",IF(NOT(ISNUMBER(K660)),"Taux de TVA invalide",IF(COUNTIF(p_rates,K660)=0,"Taux de TVA hors liste (Paramètres)",IF(N(O660)&gt;25,"Au-delà de 25 lignes : non imprimée","OK")))))))))))))</f>
        <v/>
      </c>
      <c r="O660" s="59" t="str">
        <f>IF(A660="","",COUNTIF($A$6:A660,A660))</f>
        <v/>
      </c>
      <c r="P660" s="62" t="str">
        <f>IF(A660="","",A660&amp;"|"&amp;O660)</f>
        <v/>
      </c>
    </row>
    <row r="661">
      <c r="A661" s="60" t="n"/>
      <c r="B661" s="63" t="n"/>
      <c r="C661" s="63" t="n"/>
      <c r="D661" s="67" t="n"/>
      <c r="E661" s="68" t="n"/>
      <c r="F661" s="69" t="n"/>
      <c r="G661" s="70" t="n"/>
      <c r="H661" s="62" t="str">
        <f>IF(COUNTA(A661:G661)=0,"",IF(C661&lt;&gt;"",C661,IF(B661="","",IFERROR(INDEX(pr_des,MATCH(B661,pr_code,0))&amp;"",""))))</f>
        <v/>
      </c>
      <c r="I661" s="59" t="str">
        <f>IF(B661="","",IFERROR(INDEX(pr_unit,MATCH(B661,pr_code,0))&amp;"",""))</f>
        <v/>
      </c>
      <c r="J661" s="65" t="str">
        <f>IF(COUNTA(A661:G661)=0,"",IF(E661&lt;&gt;"",E661,IF(B661="","",IFERROR(IF(INDEX(pr_price,MATCH(B661,pr_code,0))="","",INDEX(pr_price,MATCH(B661,pr_code,0))),""))))</f>
        <v/>
      </c>
      <c r="K661" s="71" t="str">
        <f>IF(COUNTA(A661:G661)=0,"",IF(G661&lt;&gt;"",G661,IF(B661="","",IFERROR(IF(INDEX(pr_rate,MATCH(B661,pr_code,0))="","",INDEX(pr_rate,MATCH(B661,pr_code,0))),""))))</f>
        <v/>
      </c>
      <c r="L661" s="65" t="str">
        <f>IF(COUNTA(A661:G661)=0,"",IF(AND(ISNUMBER(D661),ISNUMBER(J661)),ROUND(D661*J661*(1-N(F661)),2),0))</f>
        <v/>
      </c>
      <c r="M661" s="62" t="str">
        <f>IF(A661="","",IFERROR(INDEX(dv_cname,MATCH(A661,dv_num,0))&amp;"",""))</f>
        <v/>
      </c>
      <c r="N661" s="59" t="str">
        <f>IF(COUNTA(A661:G661)=0,"",IF(A661="","N° devis manquant",IF(ISNA(MATCH(A661,dv_num,0)),"Devis inconnu",IF(AND(B661&lt;&gt;"",ISNA(MATCH(B661,pr_code,0))),"Article inconnu",IF(H661="","Désignation manquante",IF(OR(NOT(ISNUMBER(D661)),N(D661)&lt;=0),"Quantité invalide",IF(J661="","Prix manquant",IF(OR(NOT(ISNUMBER(J661)),N(J661)&lt;0),"Prix invalide",IF(OR(AND(F661&lt;&gt;"",NOT(ISNUMBER(F661))),N(F661)&lt;0,N(F661)&gt;1),"Remise invalide",IF(K661="","Taux de TVA manquant",IF(NOT(ISNUMBER(K661)),"Taux de TVA invalide",IF(COUNTIF(p_rates,K661)=0,"Taux de TVA hors liste (Paramètres)",IF(N(O661)&gt;25,"Au-delà de 25 lignes : non imprimée","OK")))))))))))))</f>
        <v/>
      </c>
      <c r="O661" s="59" t="str">
        <f>IF(A661="","",COUNTIF($A$6:A661,A661))</f>
        <v/>
      </c>
      <c r="P661" s="62" t="str">
        <f>IF(A661="","",A661&amp;"|"&amp;O661)</f>
        <v/>
      </c>
    </row>
    <row r="662">
      <c r="A662" s="60" t="n"/>
      <c r="B662" s="63" t="n"/>
      <c r="C662" s="63" t="n"/>
      <c r="D662" s="67" t="n"/>
      <c r="E662" s="68" t="n"/>
      <c r="F662" s="69" t="n"/>
      <c r="G662" s="70" t="n"/>
      <c r="H662" s="62" t="str">
        <f>IF(COUNTA(A662:G662)=0,"",IF(C662&lt;&gt;"",C662,IF(B662="","",IFERROR(INDEX(pr_des,MATCH(B662,pr_code,0))&amp;"",""))))</f>
        <v/>
      </c>
      <c r="I662" s="59" t="str">
        <f>IF(B662="","",IFERROR(INDEX(pr_unit,MATCH(B662,pr_code,0))&amp;"",""))</f>
        <v/>
      </c>
      <c r="J662" s="65" t="str">
        <f>IF(COUNTA(A662:G662)=0,"",IF(E662&lt;&gt;"",E662,IF(B662="","",IFERROR(IF(INDEX(pr_price,MATCH(B662,pr_code,0))="","",INDEX(pr_price,MATCH(B662,pr_code,0))),""))))</f>
        <v/>
      </c>
      <c r="K662" s="71" t="str">
        <f>IF(COUNTA(A662:G662)=0,"",IF(G662&lt;&gt;"",G662,IF(B662="","",IFERROR(IF(INDEX(pr_rate,MATCH(B662,pr_code,0))="","",INDEX(pr_rate,MATCH(B662,pr_code,0))),""))))</f>
        <v/>
      </c>
      <c r="L662" s="65" t="str">
        <f>IF(COUNTA(A662:G662)=0,"",IF(AND(ISNUMBER(D662),ISNUMBER(J662)),ROUND(D662*J662*(1-N(F662)),2),0))</f>
        <v/>
      </c>
      <c r="M662" s="62" t="str">
        <f>IF(A662="","",IFERROR(INDEX(dv_cname,MATCH(A662,dv_num,0))&amp;"",""))</f>
        <v/>
      </c>
      <c r="N662" s="59" t="str">
        <f>IF(COUNTA(A662:G662)=0,"",IF(A662="","N° devis manquant",IF(ISNA(MATCH(A662,dv_num,0)),"Devis inconnu",IF(AND(B662&lt;&gt;"",ISNA(MATCH(B662,pr_code,0))),"Article inconnu",IF(H662="","Désignation manquante",IF(OR(NOT(ISNUMBER(D662)),N(D662)&lt;=0),"Quantité invalide",IF(J662="","Prix manquant",IF(OR(NOT(ISNUMBER(J662)),N(J662)&lt;0),"Prix invalide",IF(OR(AND(F662&lt;&gt;"",NOT(ISNUMBER(F662))),N(F662)&lt;0,N(F662)&gt;1),"Remise invalide",IF(K662="","Taux de TVA manquant",IF(NOT(ISNUMBER(K662)),"Taux de TVA invalide",IF(COUNTIF(p_rates,K662)=0,"Taux de TVA hors liste (Paramètres)",IF(N(O662)&gt;25,"Au-delà de 25 lignes : non imprimée","OK")))))))))))))</f>
        <v/>
      </c>
      <c r="O662" s="59" t="str">
        <f>IF(A662="","",COUNTIF($A$6:A662,A662))</f>
        <v/>
      </c>
      <c r="P662" s="62" t="str">
        <f>IF(A662="","",A662&amp;"|"&amp;O662)</f>
        <v/>
      </c>
    </row>
    <row r="663">
      <c r="A663" s="60" t="n"/>
      <c r="B663" s="63" t="n"/>
      <c r="C663" s="63" t="n"/>
      <c r="D663" s="67" t="n"/>
      <c r="E663" s="68" t="n"/>
      <c r="F663" s="69" t="n"/>
      <c r="G663" s="70" t="n"/>
      <c r="H663" s="62" t="str">
        <f>IF(COUNTA(A663:G663)=0,"",IF(C663&lt;&gt;"",C663,IF(B663="","",IFERROR(INDEX(pr_des,MATCH(B663,pr_code,0))&amp;"",""))))</f>
        <v/>
      </c>
      <c r="I663" s="59" t="str">
        <f>IF(B663="","",IFERROR(INDEX(pr_unit,MATCH(B663,pr_code,0))&amp;"",""))</f>
        <v/>
      </c>
      <c r="J663" s="65" t="str">
        <f>IF(COUNTA(A663:G663)=0,"",IF(E663&lt;&gt;"",E663,IF(B663="","",IFERROR(IF(INDEX(pr_price,MATCH(B663,pr_code,0))="","",INDEX(pr_price,MATCH(B663,pr_code,0))),""))))</f>
        <v/>
      </c>
      <c r="K663" s="71" t="str">
        <f>IF(COUNTA(A663:G663)=0,"",IF(G663&lt;&gt;"",G663,IF(B663="","",IFERROR(IF(INDEX(pr_rate,MATCH(B663,pr_code,0))="","",INDEX(pr_rate,MATCH(B663,pr_code,0))),""))))</f>
        <v/>
      </c>
      <c r="L663" s="65" t="str">
        <f>IF(COUNTA(A663:G663)=0,"",IF(AND(ISNUMBER(D663),ISNUMBER(J663)),ROUND(D663*J663*(1-N(F663)),2),0))</f>
        <v/>
      </c>
      <c r="M663" s="62" t="str">
        <f>IF(A663="","",IFERROR(INDEX(dv_cname,MATCH(A663,dv_num,0))&amp;"",""))</f>
        <v/>
      </c>
      <c r="N663" s="59" t="str">
        <f>IF(COUNTA(A663:G663)=0,"",IF(A663="","N° devis manquant",IF(ISNA(MATCH(A663,dv_num,0)),"Devis inconnu",IF(AND(B663&lt;&gt;"",ISNA(MATCH(B663,pr_code,0))),"Article inconnu",IF(H663="","Désignation manquante",IF(OR(NOT(ISNUMBER(D663)),N(D663)&lt;=0),"Quantité invalide",IF(J663="","Prix manquant",IF(OR(NOT(ISNUMBER(J663)),N(J663)&lt;0),"Prix invalide",IF(OR(AND(F663&lt;&gt;"",NOT(ISNUMBER(F663))),N(F663)&lt;0,N(F663)&gt;1),"Remise invalide",IF(K663="","Taux de TVA manquant",IF(NOT(ISNUMBER(K663)),"Taux de TVA invalide",IF(COUNTIF(p_rates,K663)=0,"Taux de TVA hors liste (Paramètres)",IF(N(O663)&gt;25,"Au-delà de 25 lignes : non imprimée","OK")))))))))))))</f>
        <v/>
      </c>
      <c r="O663" s="59" t="str">
        <f>IF(A663="","",COUNTIF($A$6:A663,A663))</f>
        <v/>
      </c>
      <c r="P663" s="62" t="str">
        <f>IF(A663="","",A663&amp;"|"&amp;O663)</f>
        <v/>
      </c>
    </row>
    <row r="664">
      <c r="A664" s="60" t="n"/>
      <c r="B664" s="63" t="n"/>
      <c r="C664" s="63" t="n"/>
      <c r="D664" s="67" t="n"/>
      <c r="E664" s="68" t="n"/>
      <c r="F664" s="69" t="n"/>
      <c r="G664" s="70" t="n"/>
      <c r="H664" s="62" t="str">
        <f>IF(COUNTA(A664:G664)=0,"",IF(C664&lt;&gt;"",C664,IF(B664="","",IFERROR(INDEX(pr_des,MATCH(B664,pr_code,0))&amp;"",""))))</f>
        <v/>
      </c>
      <c r="I664" s="59" t="str">
        <f>IF(B664="","",IFERROR(INDEX(pr_unit,MATCH(B664,pr_code,0))&amp;"",""))</f>
        <v/>
      </c>
      <c r="J664" s="65" t="str">
        <f>IF(COUNTA(A664:G664)=0,"",IF(E664&lt;&gt;"",E664,IF(B664="","",IFERROR(IF(INDEX(pr_price,MATCH(B664,pr_code,0))="","",INDEX(pr_price,MATCH(B664,pr_code,0))),""))))</f>
        <v/>
      </c>
      <c r="K664" s="71" t="str">
        <f>IF(COUNTA(A664:G664)=0,"",IF(G664&lt;&gt;"",G664,IF(B664="","",IFERROR(IF(INDEX(pr_rate,MATCH(B664,pr_code,0))="","",INDEX(pr_rate,MATCH(B664,pr_code,0))),""))))</f>
        <v/>
      </c>
      <c r="L664" s="65" t="str">
        <f>IF(COUNTA(A664:G664)=0,"",IF(AND(ISNUMBER(D664),ISNUMBER(J664)),ROUND(D664*J664*(1-N(F664)),2),0))</f>
        <v/>
      </c>
      <c r="M664" s="62" t="str">
        <f>IF(A664="","",IFERROR(INDEX(dv_cname,MATCH(A664,dv_num,0))&amp;"",""))</f>
        <v/>
      </c>
      <c r="N664" s="59" t="str">
        <f>IF(COUNTA(A664:G664)=0,"",IF(A664="","N° devis manquant",IF(ISNA(MATCH(A664,dv_num,0)),"Devis inconnu",IF(AND(B664&lt;&gt;"",ISNA(MATCH(B664,pr_code,0))),"Article inconnu",IF(H664="","Désignation manquante",IF(OR(NOT(ISNUMBER(D664)),N(D664)&lt;=0),"Quantité invalide",IF(J664="","Prix manquant",IF(OR(NOT(ISNUMBER(J664)),N(J664)&lt;0),"Prix invalide",IF(OR(AND(F664&lt;&gt;"",NOT(ISNUMBER(F664))),N(F664)&lt;0,N(F664)&gt;1),"Remise invalide",IF(K664="","Taux de TVA manquant",IF(NOT(ISNUMBER(K664)),"Taux de TVA invalide",IF(COUNTIF(p_rates,K664)=0,"Taux de TVA hors liste (Paramètres)",IF(N(O664)&gt;25,"Au-delà de 25 lignes : non imprimée","OK")))))))))))))</f>
        <v/>
      </c>
      <c r="O664" s="59" t="str">
        <f>IF(A664="","",COUNTIF($A$6:A664,A664))</f>
        <v/>
      </c>
      <c r="P664" s="62" t="str">
        <f>IF(A664="","",A664&amp;"|"&amp;O664)</f>
        <v/>
      </c>
    </row>
    <row r="665">
      <c r="A665" s="60" t="n"/>
      <c r="B665" s="63" t="n"/>
      <c r="C665" s="63" t="n"/>
      <c r="D665" s="67" t="n"/>
      <c r="E665" s="68" t="n"/>
      <c r="F665" s="69" t="n"/>
      <c r="G665" s="70" t="n"/>
      <c r="H665" s="62" t="str">
        <f>IF(COUNTA(A665:G665)=0,"",IF(C665&lt;&gt;"",C665,IF(B665="","",IFERROR(INDEX(pr_des,MATCH(B665,pr_code,0))&amp;"",""))))</f>
        <v/>
      </c>
      <c r="I665" s="59" t="str">
        <f>IF(B665="","",IFERROR(INDEX(pr_unit,MATCH(B665,pr_code,0))&amp;"",""))</f>
        <v/>
      </c>
      <c r="J665" s="65" t="str">
        <f>IF(COUNTA(A665:G665)=0,"",IF(E665&lt;&gt;"",E665,IF(B665="","",IFERROR(IF(INDEX(pr_price,MATCH(B665,pr_code,0))="","",INDEX(pr_price,MATCH(B665,pr_code,0))),""))))</f>
        <v/>
      </c>
      <c r="K665" s="71" t="str">
        <f>IF(COUNTA(A665:G665)=0,"",IF(G665&lt;&gt;"",G665,IF(B665="","",IFERROR(IF(INDEX(pr_rate,MATCH(B665,pr_code,0))="","",INDEX(pr_rate,MATCH(B665,pr_code,0))),""))))</f>
        <v/>
      </c>
      <c r="L665" s="65" t="str">
        <f>IF(COUNTA(A665:G665)=0,"",IF(AND(ISNUMBER(D665),ISNUMBER(J665)),ROUND(D665*J665*(1-N(F665)),2),0))</f>
        <v/>
      </c>
      <c r="M665" s="62" t="str">
        <f>IF(A665="","",IFERROR(INDEX(dv_cname,MATCH(A665,dv_num,0))&amp;"",""))</f>
        <v/>
      </c>
      <c r="N665" s="59" t="str">
        <f>IF(COUNTA(A665:G665)=0,"",IF(A665="","N° devis manquant",IF(ISNA(MATCH(A665,dv_num,0)),"Devis inconnu",IF(AND(B665&lt;&gt;"",ISNA(MATCH(B665,pr_code,0))),"Article inconnu",IF(H665="","Désignation manquante",IF(OR(NOT(ISNUMBER(D665)),N(D665)&lt;=0),"Quantité invalide",IF(J665="","Prix manquant",IF(OR(NOT(ISNUMBER(J665)),N(J665)&lt;0),"Prix invalide",IF(OR(AND(F665&lt;&gt;"",NOT(ISNUMBER(F665))),N(F665)&lt;0,N(F665)&gt;1),"Remise invalide",IF(K665="","Taux de TVA manquant",IF(NOT(ISNUMBER(K665)),"Taux de TVA invalide",IF(COUNTIF(p_rates,K665)=0,"Taux de TVA hors liste (Paramètres)",IF(N(O665)&gt;25,"Au-delà de 25 lignes : non imprimée","OK")))))))))))))</f>
        <v/>
      </c>
      <c r="O665" s="59" t="str">
        <f>IF(A665="","",COUNTIF($A$6:A665,A665))</f>
        <v/>
      </c>
      <c r="P665" s="62" t="str">
        <f>IF(A665="","",A665&amp;"|"&amp;O665)</f>
        <v/>
      </c>
    </row>
    <row r="666">
      <c r="A666" s="60" t="n"/>
      <c r="B666" s="63" t="n"/>
      <c r="C666" s="63" t="n"/>
      <c r="D666" s="67" t="n"/>
      <c r="E666" s="68" t="n"/>
      <c r="F666" s="69" t="n"/>
      <c r="G666" s="70" t="n"/>
      <c r="H666" s="62" t="str">
        <f>IF(COUNTA(A666:G666)=0,"",IF(C666&lt;&gt;"",C666,IF(B666="","",IFERROR(INDEX(pr_des,MATCH(B666,pr_code,0))&amp;"",""))))</f>
        <v/>
      </c>
      <c r="I666" s="59" t="str">
        <f>IF(B666="","",IFERROR(INDEX(pr_unit,MATCH(B666,pr_code,0))&amp;"",""))</f>
        <v/>
      </c>
      <c r="J666" s="65" t="str">
        <f>IF(COUNTA(A666:G666)=0,"",IF(E666&lt;&gt;"",E666,IF(B666="","",IFERROR(IF(INDEX(pr_price,MATCH(B666,pr_code,0))="","",INDEX(pr_price,MATCH(B666,pr_code,0))),""))))</f>
        <v/>
      </c>
      <c r="K666" s="71" t="str">
        <f>IF(COUNTA(A666:G666)=0,"",IF(G666&lt;&gt;"",G666,IF(B666="","",IFERROR(IF(INDEX(pr_rate,MATCH(B666,pr_code,0))="","",INDEX(pr_rate,MATCH(B666,pr_code,0))),""))))</f>
        <v/>
      </c>
      <c r="L666" s="65" t="str">
        <f>IF(COUNTA(A666:G666)=0,"",IF(AND(ISNUMBER(D666),ISNUMBER(J666)),ROUND(D666*J666*(1-N(F666)),2),0))</f>
        <v/>
      </c>
      <c r="M666" s="62" t="str">
        <f>IF(A666="","",IFERROR(INDEX(dv_cname,MATCH(A666,dv_num,0))&amp;"",""))</f>
        <v/>
      </c>
      <c r="N666" s="59" t="str">
        <f>IF(COUNTA(A666:G666)=0,"",IF(A666="","N° devis manquant",IF(ISNA(MATCH(A666,dv_num,0)),"Devis inconnu",IF(AND(B666&lt;&gt;"",ISNA(MATCH(B666,pr_code,0))),"Article inconnu",IF(H666="","Désignation manquante",IF(OR(NOT(ISNUMBER(D666)),N(D666)&lt;=0),"Quantité invalide",IF(J666="","Prix manquant",IF(OR(NOT(ISNUMBER(J666)),N(J666)&lt;0),"Prix invalide",IF(OR(AND(F666&lt;&gt;"",NOT(ISNUMBER(F666))),N(F666)&lt;0,N(F666)&gt;1),"Remise invalide",IF(K666="","Taux de TVA manquant",IF(NOT(ISNUMBER(K666)),"Taux de TVA invalide",IF(COUNTIF(p_rates,K666)=0,"Taux de TVA hors liste (Paramètres)",IF(N(O666)&gt;25,"Au-delà de 25 lignes : non imprimée","OK")))))))))))))</f>
        <v/>
      </c>
      <c r="O666" s="59" t="str">
        <f>IF(A666="","",COUNTIF($A$6:A666,A666))</f>
        <v/>
      </c>
      <c r="P666" s="62" t="str">
        <f>IF(A666="","",A666&amp;"|"&amp;O666)</f>
        <v/>
      </c>
    </row>
    <row r="667">
      <c r="A667" s="60" t="n"/>
      <c r="B667" s="63" t="n"/>
      <c r="C667" s="63" t="n"/>
      <c r="D667" s="67" t="n"/>
      <c r="E667" s="68" t="n"/>
      <c r="F667" s="69" t="n"/>
      <c r="G667" s="70" t="n"/>
      <c r="H667" s="62" t="str">
        <f>IF(COUNTA(A667:G667)=0,"",IF(C667&lt;&gt;"",C667,IF(B667="","",IFERROR(INDEX(pr_des,MATCH(B667,pr_code,0))&amp;"",""))))</f>
        <v/>
      </c>
      <c r="I667" s="59" t="str">
        <f>IF(B667="","",IFERROR(INDEX(pr_unit,MATCH(B667,pr_code,0))&amp;"",""))</f>
        <v/>
      </c>
      <c r="J667" s="65" t="str">
        <f>IF(COUNTA(A667:G667)=0,"",IF(E667&lt;&gt;"",E667,IF(B667="","",IFERROR(IF(INDEX(pr_price,MATCH(B667,pr_code,0))="","",INDEX(pr_price,MATCH(B667,pr_code,0))),""))))</f>
        <v/>
      </c>
      <c r="K667" s="71" t="str">
        <f>IF(COUNTA(A667:G667)=0,"",IF(G667&lt;&gt;"",G667,IF(B667="","",IFERROR(IF(INDEX(pr_rate,MATCH(B667,pr_code,0))="","",INDEX(pr_rate,MATCH(B667,pr_code,0))),""))))</f>
        <v/>
      </c>
      <c r="L667" s="65" t="str">
        <f>IF(COUNTA(A667:G667)=0,"",IF(AND(ISNUMBER(D667),ISNUMBER(J667)),ROUND(D667*J667*(1-N(F667)),2),0))</f>
        <v/>
      </c>
      <c r="M667" s="62" t="str">
        <f>IF(A667="","",IFERROR(INDEX(dv_cname,MATCH(A667,dv_num,0))&amp;"",""))</f>
        <v/>
      </c>
      <c r="N667" s="59" t="str">
        <f>IF(COUNTA(A667:G667)=0,"",IF(A667="","N° devis manquant",IF(ISNA(MATCH(A667,dv_num,0)),"Devis inconnu",IF(AND(B667&lt;&gt;"",ISNA(MATCH(B667,pr_code,0))),"Article inconnu",IF(H667="","Désignation manquante",IF(OR(NOT(ISNUMBER(D667)),N(D667)&lt;=0),"Quantité invalide",IF(J667="","Prix manquant",IF(OR(NOT(ISNUMBER(J667)),N(J667)&lt;0),"Prix invalide",IF(OR(AND(F667&lt;&gt;"",NOT(ISNUMBER(F667))),N(F667)&lt;0,N(F667)&gt;1),"Remise invalide",IF(K667="","Taux de TVA manquant",IF(NOT(ISNUMBER(K667)),"Taux de TVA invalide",IF(COUNTIF(p_rates,K667)=0,"Taux de TVA hors liste (Paramètres)",IF(N(O667)&gt;25,"Au-delà de 25 lignes : non imprimée","OK")))))))))))))</f>
        <v/>
      </c>
      <c r="O667" s="59" t="str">
        <f>IF(A667="","",COUNTIF($A$6:A667,A667))</f>
        <v/>
      </c>
      <c r="P667" s="62" t="str">
        <f>IF(A667="","",A667&amp;"|"&amp;O667)</f>
        <v/>
      </c>
    </row>
    <row r="668">
      <c r="A668" s="60" t="n"/>
      <c r="B668" s="63" t="n"/>
      <c r="C668" s="63" t="n"/>
      <c r="D668" s="67" t="n"/>
      <c r="E668" s="68" t="n"/>
      <c r="F668" s="69" t="n"/>
      <c r="G668" s="70" t="n"/>
      <c r="H668" s="62" t="str">
        <f>IF(COUNTA(A668:G668)=0,"",IF(C668&lt;&gt;"",C668,IF(B668="","",IFERROR(INDEX(pr_des,MATCH(B668,pr_code,0))&amp;"",""))))</f>
        <v/>
      </c>
      <c r="I668" s="59" t="str">
        <f>IF(B668="","",IFERROR(INDEX(pr_unit,MATCH(B668,pr_code,0))&amp;"",""))</f>
        <v/>
      </c>
      <c r="J668" s="65" t="str">
        <f>IF(COUNTA(A668:G668)=0,"",IF(E668&lt;&gt;"",E668,IF(B668="","",IFERROR(IF(INDEX(pr_price,MATCH(B668,pr_code,0))="","",INDEX(pr_price,MATCH(B668,pr_code,0))),""))))</f>
        <v/>
      </c>
      <c r="K668" s="71" t="str">
        <f>IF(COUNTA(A668:G668)=0,"",IF(G668&lt;&gt;"",G668,IF(B668="","",IFERROR(IF(INDEX(pr_rate,MATCH(B668,pr_code,0))="","",INDEX(pr_rate,MATCH(B668,pr_code,0))),""))))</f>
        <v/>
      </c>
      <c r="L668" s="65" t="str">
        <f>IF(COUNTA(A668:G668)=0,"",IF(AND(ISNUMBER(D668),ISNUMBER(J668)),ROUND(D668*J668*(1-N(F668)),2),0))</f>
        <v/>
      </c>
      <c r="M668" s="62" t="str">
        <f>IF(A668="","",IFERROR(INDEX(dv_cname,MATCH(A668,dv_num,0))&amp;"",""))</f>
        <v/>
      </c>
      <c r="N668" s="59" t="str">
        <f>IF(COUNTA(A668:G668)=0,"",IF(A668="","N° devis manquant",IF(ISNA(MATCH(A668,dv_num,0)),"Devis inconnu",IF(AND(B668&lt;&gt;"",ISNA(MATCH(B668,pr_code,0))),"Article inconnu",IF(H668="","Désignation manquante",IF(OR(NOT(ISNUMBER(D668)),N(D668)&lt;=0),"Quantité invalide",IF(J668="","Prix manquant",IF(OR(NOT(ISNUMBER(J668)),N(J668)&lt;0),"Prix invalide",IF(OR(AND(F668&lt;&gt;"",NOT(ISNUMBER(F668))),N(F668)&lt;0,N(F668)&gt;1),"Remise invalide",IF(K668="","Taux de TVA manquant",IF(NOT(ISNUMBER(K668)),"Taux de TVA invalide",IF(COUNTIF(p_rates,K668)=0,"Taux de TVA hors liste (Paramètres)",IF(N(O668)&gt;25,"Au-delà de 25 lignes : non imprimée","OK")))))))))))))</f>
        <v/>
      </c>
      <c r="O668" s="59" t="str">
        <f>IF(A668="","",COUNTIF($A$6:A668,A668))</f>
        <v/>
      </c>
      <c r="P668" s="62" t="str">
        <f>IF(A668="","",A668&amp;"|"&amp;O668)</f>
        <v/>
      </c>
    </row>
    <row r="669">
      <c r="A669" s="60" t="n"/>
      <c r="B669" s="63" t="n"/>
      <c r="C669" s="63" t="n"/>
      <c r="D669" s="67" t="n"/>
      <c r="E669" s="68" t="n"/>
      <c r="F669" s="69" t="n"/>
      <c r="G669" s="70" t="n"/>
      <c r="H669" s="62" t="str">
        <f>IF(COUNTA(A669:G669)=0,"",IF(C669&lt;&gt;"",C669,IF(B669="","",IFERROR(INDEX(pr_des,MATCH(B669,pr_code,0))&amp;"",""))))</f>
        <v/>
      </c>
      <c r="I669" s="59" t="str">
        <f>IF(B669="","",IFERROR(INDEX(pr_unit,MATCH(B669,pr_code,0))&amp;"",""))</f>
        <v/>
      </c>
      <c r="J669" s="65" t="str">
        <f>IF(COUNTA(A669:G669)=0,"",IF(E669&lt;&gt;"",E669,IF(B669="","",IFERROR(IF(INDEX(pr_price,MATCH(B669,pr_code,0))="","",INDEX(pr_price,MATCH(B669,pr_code,0))),""))))</f>
        <v/>
      </c>
      <c r="K669" s="71" t="str">
        <f>IF(COUNTA(A669:G669)=0,"",IF(G669&lt;&gt;"",G669,IF(B669="","",IFERROR(IF(INDEX(pr_rate,MATCH(B669,pr_code,0))="","",INDEX(pr_rate,MATCH(B669,pr_code,0))),""))))</f>
        <v/>
      </c>
      <c r="L669" s="65" t="str">
        <f>IF(COUNTA(A669:G669)=0,"",IF(AND(ISNUMBER(D669),ISNUMBER(J669)),ROUND(D669*J669*(1-N(F669)),2),0))</f>
        <v/>
      </c>
      <c r="M669" s="62" t="str">
        <f>IF(A669="","",IFERROR(INDEX(dv_cname,MATCH(A669,dv_num,0))&amp;"",""))</f>
        <v/>
      </c>
      <c r="N669" s="59" t="str">
        <f>IF(COUNTA(A669:G669)=0,"",IF(A669="","N° devis manquant",IF(ISNA(MATCH(A669,dv_num,0)),"Devis inconnu",IF(AND(B669&lt;&gt;"",ISNA(MATCH(B669,pr_code,0))),"Article inconnu",IF(H669="","Désignation manquante",IF(OR(NOT(ISNUMBER(D669)),N(D669)&lt;=0),"Quantité invalide",IF(J669="","Prix manquant",IF(OR(NOT(ISNUMBER(J669)),N(J669)&lt;0),"Prix invalide",IF(OR(AND(F669&lt;&gt;"",NOT(ISNUMBER(F669))),N(F669)&lt;0,N(F669)&gt;1),"Remise invalide",IF(K669="","Taux de TVA manquant",IF(NOT(ISNUMBER(K669)),"Taux de TVA invalide",IF(COUNTIF(p_rates,K669)=0,"Taux de TVA hors liste (Paramètres)",IF(N(O669)&gt;25,"Au-delà de 25 lignes : non imprimée","OK")))))))))))))</f>
        <v/>
      </c>
      <c r="O669" s="59" t="str">
        <f>IF(A669="","",COUNTIF($A$6:A669,A669))</f>
        <v/>
      </c>
      <c r="P669" s="62" t="str">
        <f>IF(A669="","",A669&amp;"|"&amp;O669)</f>
        <v/>
      </c>
    </row>
    <row r="670">
      <c r="A670" s="60" t="n"/>
      <c r="B670" s="63" t="n"/>
      <c r="C670" s="63" t="n"/>
      <c r="D670" s="67" t="n"/>
      <c r="E670" s="68" t="n"/>
      <c r="F670" s="69" t="n"/>
      <c r="G670" s="70" t="n"/>
      <c r="H670" s="62" t="str">
        <f>IF(COUNTA(A670:G670)=0,"",IF(C670&lt;&gt;"",C670,IF(B670="","",IFERROR(INDEX(pr_des,MATCH(B670,pr_code,0))&amp;"",""))))</f>
        <v/>
      </c>
      <c r="I670" s="59" t="str">
        <f>IF(B670="","",IFERROR(INDEX(pr_unit,MATCH(B670,pr_code,0))&amp;"",""))</f>
        <v/>
      </c>
      <c r="J670" s="65" t="str">
        <f>IF(COUNTA(A670:G670)=0,"",IF(E670&lt;&gt;"",E670,IF(B670="","",IFERROR(IF(INDEX(pr_price,MATCH(B670,pr_code,0))="","",INDEX(pr_price,MATCH(B670,pr_code,0))),""))))</f>
        <v/>
      </c>
      <c r="K670" s="71" t="str">
        <f>IF(COUNTA(A670:G670)=0,"",IF(G670&lt;&gt;"",G670,IF(B670="","",IFERROR(IF(INDEX(pr_rate,MATCH(B670,pr_code,0))="","",INDEX(pr_rate,MATCH(B670,pr_code,0))),""))))</f>
        <v/>
      </c>
      <c r="L670" s="65" t="str">
        <f>IF(COUNTA(A670:G670)=0,"",IF(AND(ISNUMBER(D670),ISNUMBER(J670)),ROUND(D670*J670*(1-N(F670)),2),0))</f>
        <v/>
      </c>
      <c r="M670" s="62" t="str">
        <f>IF(A670="","",IFERROR(INDEX(dv_cname,MATCH(A670,dv_num,0))&amp;"",""))</f>
        <v/>
      </c>
      <c r="N670" s="59" t="str">
        <f>IF(COUNTA(A670:G670)=0,"",IF(A670="","N° devis manquant",IF(ISNA(MATCH(A670,dv_num,0)),"Devis inconnu",IF(AND(B670&lt;&gt;"",ISNA(MATCH(B670,pr_code,0))),"Article inconnu",IF(H670="","Désignation manquante",IF(OR(NOT(ISNUMBER(D670)),N(D670)&lt;=0),"Quantité invalide",IF(J670="","Prix manquant",IF(OR(NOT(ISNUMBER(J670)),N(J670)&lt;0),"Prix invalide",IF(OR(AND(F670&lt;&gt;"",NOT(ISNUMBER(F670))),N(F670)&lt;0,N(F670)&gt;1),"Remise invalide",IF(K670="","Taux de TVA manquant",IF(NOT(ISNUMBER(K670)),"Taux de TVA invalide",IF(COUNTIF(p_rates,K670)=0,"Taux de TVA hors liste (Paramètres)",IF(N(O670)&gt;25,"Au-delà de 25 lignes : non imprimée","OK")))))))))))))</f>
        <v/>
      </c>
      <c r="O670" s="59" t="str">
        <f>IF(A670="","",COUNTIF($A$6:A670,A670))</f>
        <v/>
      </c>
      <c r="P670" s="62" t="str">
        <f>IF(A670="","",A670&amp;"|"&amp;O670)</f>
        <v/>
      </c>
    </row>
    <row r="671">
      <c r="A671" s="60" t="n"/>
      <c r="B671" s="63" t="n"/>
      <c r="C671" s="63" t="n"/>
      <c r="D671" s="67" t="n"/>
      <c r="E671" s="68" t="n"/>
      <c r="F671" s="69" t="n"/>
      <c r="G671" s="70" t="n"/>
      <c r="H671" s="62" t="str">
        <f>IF(COUNTA(A671:G671)=0,"",IF(C671&lt;&gt;"",C671,IF(B671="","",IFERROR(INDEX(pr_des,MATCH(B671,pr_code,0))&amp;"",""))))</f>
        <v/>
      </c>
      <c r="I671" s="59" t="str">
        <f>IF(B671="","",IFERROR(INDEX(pr_unit,MATCH(B671,pr_code,0))&amp;"",""))</f>
        <v/>
      </c>
      <c r="J671" s="65" t="str">
        <f>IF(COUNTA(A671:G671)=0,"",IF(E671&lt;&gt;"",E671,IF(B671="","",IFERROR(IF(INDEX(pr_price,MATCH(B671,pr_code,0))="","",INDEX(pr_price,MATCH(B671,pr_code,0))),""))))</f>
        <v/>
      </c>
      <c r="K671" s="71" t="str">
        <f>IF(COUNTA(A671:G671)=0,"",IF(G671&lt;&gt;"",G671,IF(B671="","",IFERROR(IF(INDEX(pr_rate,MATCH(B671,pr_code,0))="","",INDEX(pr_rate,MATCH(B671,pr_code,0))),""))))</f>
        <v/>
      </c>
      <c r="L671" s="65" t="str">
        <f>IF(COUNTA(A671:G671)=0,"",IF(AND(ISNUMBER(D671),ISNUMBER(J671)),ROUND(D671*J671*(1-N(F671)),2),0))</f>
        <v/>
      </c>
      <c r="M671" s="62" t="str">
        <f>IF(A671="","",IFERROR(INDEX(dv_cname,MATCH(A671,dv_num,0))&amp;"",""))</f>
        <v/>
      </c>
      <c r="N671" s="59" t="str">
        <f>IF(COUNTA(A671:G671)=0,"",IF(A671="","N° devis manquant",IF(ISNA(MATCH(A671,dv_num,0)),"Devis inconnu",IF(AND(B671&lt;&gt;"",ISNA(MATCH(B671,pr_code,0))),"Article inconnu",IF(H671="","Désignation manquante",IF(OR(NOT(ISNUMBER(D671)),N(D671)&lt;=0),"Quantité invalide",IF(J671="","Prix manquant",IF(OR(NOT(ISNUMBER(J671)),N(J671)&lt;0),"Prix invalide",IF(OR(AND(F671&lt;&gt;"",NOT(ISNUMBER(F671))),N(F671)&lt;0,N(F671)&gt;1),"Remise invalide",IF(K671="","Taux de TVA manquant",IF(NOT(ISNUMBER(K671)),"Taux de TVA invalide",IF(COUNTIF(p_rates,K671)=0,"Taux de TVA hors liste (Paramètres)",IF(N(O671)&gt;25,"Au-delà de 25 lignes : non imprimée","OK")))))))))))))</f>
        <v/>
      </c>
      <c r="O671" s="59" t="str">
        <f>IF(A671="","",COUNTIF($A$6:A671,A671))</f>
        <v/>
      </c>
      <c r="P671" s="62" t="str">
        <f>IF(A671="","",A671&amp;"|"&amp;O671)</f>
        <v/>
      </c>
    </row>
    <row r="672">
      <c r="A672" s="60" t="n"/>
      <c r="B672" s="63" t="n"/>
      <c r="C672" s="63" t="n"/>
      <c r="D672" s="67" t="n"/>
      <c r="E672" s="68" t="n"/>
      <c r="F672" s="69" t="n"/>
      <c r="G672" s="70" t="n"/>
      <c r="H672" s="62" t="str">
        <f>IF(COUNTA(A672:G672)=0,"",IF(C672&lt;&gt;"",C672,IF(B672="","",IFERROR(INDEX(pr_des,MATCH(B672,pr_code,0))&amp;"",""))))</f>
        <v/>
      </c>
      <c r="I672" s="59" t="str">
        <f>IF(B672="","",IFERROR(INDEX(pr_unit,MATCH(B672,pr_code,0))&amp;"",""))</f>
        <v/>
      </c>
      <c r="J672" s="65" t="str">
        <f>IF(COUNTA(A672:G672)=0,"",IF(E672&lt;&gt;"",E672,IF(B672="","",IFERROR(IF(INDEX(pr_price,MATCH(B672,pr_code,0))="","",INDEX(pr_price,MATCH(B672,pr_code,0))),""))))</f>
        <v/>
      </c>
      <c r="K672" s="71" t="str">
        <f>IF(COUNTA(A672:G672)=0,"",IF(G672&lt;&gt;"",G672,IF(B672="","",IFERROR(IF(INDEX(pr_rate,MATCH(B672,pr_code,0))="","",INDEX(pr_rate,MATCH(B672,pr_code,0))),""))))</f>
        <v/>
      </c>
      <c r="L672" s="65" t="str">
        <f>IF(COUNTA(A672:G672)=0,"",IF(AND(ISNUMBER(D672),ISNUMBER(J672)),ROUND(D672*J672*(1-N(F672)),2),0))</f>
        <v/>
      </c>
      <c r="M672" s="62" t="str">
        <f>IF(A672="","",IFERROR(INDEX(dv_cname,MATCH(A672,dv_num,0))&amp;"",""))</f>
        <v/>
      </c>
      <c r="N672" s="59" t="str">
        <f>IF(COUNTA(A672:G672)=0,"",IF(A672="","N° devis manquant",IF(ISNA(MATCH(A672,dv_num,0)),"Devis inconnu",IF(AND(B672&lt;&gt;"",ISNA(MATCH(B672,pr_code,0))),"Article inconnu",IF(H672="","Désignation manquante",IF(OR(NOT(ISNUMBER(D672)),N(D672)&lt;=0),"Quantité invalide",IF(J672="","Prix manquant",IF(OR(NOT(ISNUMBER(J672)),N(J672)&lt;0),"Prix invalide",IF(OR(AND(F672&lt;&gt;"",NOT(ISNUMBER(F672))),N(F672)&lt;0,N(F672)&gt;1),"Remise invalide",IF(K672="","Taux de TVA manquant",IF(NOT(ISNUMBER(K672)),"Taux de TVA invalide",IF(COUNTIF(p_rates,K672)=0,"Taux de TVA hors liste (Paramètres)",IF(N(O672)&gt;25,"Au-delà de 25 lignes : non imprimée","OK")))))))))))))</f>
        <v/>
      </c>
      <c r="O672" s="59" t="str">
        <f>IF(A672="","",COUNTIF($A$6:A672,A672))</f>
        <v/>
      </c>
      <c r="P672" s="62" t="str">
        <f>IF(A672="","",A672&amp;"|"&amp;O672)</f>
        <v/>
      </c>
    </row>
    <row r="673">
      <c r="A673" s="60" t="n"/>
      <c r="B673" s="63" t="n"/>
      <c r="C673" s="63" t="n"/>
      <c r="D673" s="67" t="n"/>
      <c r="E673" s="68" t="n"/>
      <c r="F673" s="69" t="n"/>
      <c r="G673" s="70" t="n"/>
      <c r="H673" s="62" t="str">
        <f>IF(COUNTA(A673:G673)=0,"",IF(C673&lt;&gt;"",C673,IF(B673="","",IFERROR(INDEX(pr_des,MATCH(B673,pr_code,0))&amp;"",""))))</f>
        <v/>
      </c>
      <c r="I673" s="59" t="str">
        <f>IF(B673="","",IFERROR(INDEX(pr_unit,MATCH(B673,pr_code,0))&amp;"",""))</f>
        <v/>
      </c>
      <c r="J673" s="65" t="str">
        <f>IF(COUNTA(A673:G673)=0,"",IF(E673&lt;&gt;"",E673,IF(B673="","",IFERROR(IF(INDEX(pr_price,MATCH(B673,pr_code,0))="","",INDEX(pr_price,MATCH(B673,pr_code,0))),""))))</f>
        <v/>
      </c>
      <c r="K673" s="71" t="str">
        <f>IF(COUNTA(A673:G673)=0,"",IF(G673&lt;&gt;"",G673,IF(B673="","",IFERROR(IF(INDEX(pr_rate,MATCH(B673,pr_code,0))="","",INDEX(pr_rate,MATCH(B673,pr_code,0))),""))))</f>
        <v/>
      </c>
      <c r="L673" s="65" t="str">
        <f>IF(COUNTA(A673:G673)=0,"",IF(AND(ISNUMBER(D673),ISNUMBER(J673)),ROUND(D673*J673*(1-N(F673)),2),0))</f>
        <v/>
      </c>
      <c r="M673" s="62" t="str">
        <f>IF(A673="","",IFERROR(INDEX(dv_cname,MATCH(A673,dv_num,0))&amp;"",""))</f>
        <v/>
      </c>
      <c r="N673" s="59" t="str">
        <f>IF(COUNTA(A673:G673)=0,"",IF(A673="","N° devis manquant",IF(ISNA(MATCH(A673,dv_num,0)),"Devis inconnu",IF(AND(B673&lt;&gt;"",ISNA(MATCH(B673,pr_code,0))),"Article inconnu",IF(H673="","Désignation manquante",IF(OR(NOT(ISNUMBER(D673)),N(D673)&lt;=0),"Quantité invalide",IF(J673="","Prix manquant",IF(OR(NOT(ISNUMBER(J673)),N(J673)&lt;0),"Prix invalide",IF(OR(AND(F673&lt;&gt;"",NOT(ISNUMBER(F673))),N(F673)&lt;0,N(F673)&gt;1),"Remise invalide",IF(K673="","Taux de TVA manquant",IF(NOT(ISNUMBER(K673)),"Taux de TVA invalide",IF(COUNTIF(p_rates,K673)=0,"Taux de TVA hors liste (Paramètres)",IF(N(O673)&gt;25,"Au-delà de 25 lignes : non imprimée","OK")))))))))))))</f>
        <v/>
      </c>
      <c r="O673" s="59" t="str">
        <f>IF(A673="","",COUNTIF($A$6:A673,A673))</f>
        <v/>
      </c>
      <c r="P673" s="62" t="str">
        <f>IF(A673="","",A673&amp;"|"&amp;O673)</f>
        <v/>
      </c>
    </row>
    <row r="674">
      <c r="A674" s="60" t="n"/>
      <c r="B674" s="63" t="n"/>
      <c r="C674" s="63" t="n"/>
      <c r="D674" s="67" t="n"/>
      <c r="E674" s="68" t="n"/>
      <c r="F674" s="69" t="n"/>
      <c r="G674" s="70" t="n"/>
      <c r="H674" s="62" t="str">
        <f>IF(COUNTA(A674:G674)=0,"",IF(C674&lt;&gt;"",C674,IF(B674="","",IFERROR(INDEX(pr_des,MATCH(B674,pr_code,0))&amp;"",""))))</f>
        <v/>
      </c>
      <c r="I674" s="59" t="str">
        <f>IF(B674="","",IFERROR(INDEX(pr_unit,MATCH(B674,pr_code,0))&amp;"",""))</f>
        <v/>
      </c>
      <c r="J674" s="65" t="str">
        <f>IF(COUNTA(A674:G674)=0,"",IF(E674&lt;&gt;"",E674,IF(B674="","",IFERROR(IF(INDEX(pr_price,MATCH(B674,pr_code,0))="","",INDEX(pr_price,MATCH(B674,pr_code,0))),""))))</f>
        <v/>
      </c>
      <c r="K674" s="71" t="str">
        <f>IF(COUNTA(A674:G674)=0,"",IF(G674&lt;&gt;"",G674,IF(B674="","",IFERROR(IF(INDEX(pr_rate,MATCH(B674,pr_code,0))="","",INDEX(pr_rate,MATCH(B674,pr_code,0))),""))))</f>
        <v/>
      </c>
      <c r="L674" s="65" t="str">
        <f>IF(COUNTA(A674:G674)=0,"",IF(AND(ISNUMBER(D674),ISNUMBER(J674)),ROUND(D674*J674*(1-N(F674)),2),0))</f>
        <v/>
      </c>
      <c r="M674" s="62" t="str">
        <f>IF(A674="","",IFERROR(INDEX(dv_cname,MATCH(A674,dv_num,0))&amp;"",""))</f>
        <v/>
      </c>
      <c r="N674" s="59" t="str">
        <f>IF(COUNTA(A674:G674)=0,"",IF(A674="","N° devis manquant",IF(ISNA(MATCH(A674,dv_num,0)),"Devis inconnu",IF(AND(B674&lt;&gt;"",ISNA(MATCH(B674,pr_code,0))),"Article inconnu",IF(H674="","Désignation manquante",IF(OR(NOT(ISNUMBER(D674)),N(D674)&lt;=0),"Quantité invalide",IF(J674="","Prix manquant",IF(OR(NOT(ISNUMBER(J674)),N(J674)&lt;0),"Prix invalide",IF(OR(AND(F674&lt;&gt;"",NOT(ISNUMBER(F674))),N(F674)&lt;0,N(F674)&gt;1),"Remise invalide",IF(K674="","Taux de TVA manquant",IF(NOT(ISNUMBER(K674)),"Taux de TVA invalide",IF(COUNTIF(p_rates,K674)=0,"Taux de TVA hors liste (Paramètres)",IF(N(O674)&gt;25,"Au-delà de 25 lignes : non imprimée","OK")))))))))))))</f>
        <v/>
      </c>
      <c r="O674" s="59" t="str">
        <f>IF(A674="","",COUNTIF($A$6:A674,A674))</f>
        <v/>
      </c>
      <c r="P674" s="62" t="str">
        <f>IF(A674="","",A674&amp;"|"&amp;O674)</f>
        <v/>
      </c>
    </row>
    <row r="675">
      <c r="A675" s="60" t="n"/>
      <c r="B675" s="63" t="n"/>
      <c r="C675" s="63" t="n"/>
      <c r="D675" s="67" t="n"/>
      <c r="E675" s="68" t="n"/>
      <c r="F675" s="69" t="n"/>
      <c r="G675" s="70" t="n"/>
      <c r="H675" s="62" t="str">
        <f>IF(COUNTA(A675:G675)=0,"",IF(C675&lt;&gt;"",C675,IF(B675="","",IFERROR(INDEX(pr_des,MATCH(B675,pr_code,0))&amp;"",""))))</f>
        <v/>
      </c>
      <c r="I675" s="59" t="str">
        <f>IF(B675="","",IFERROR(INDEX(pr_unit,MATCH(B675,pr_code,0))&amp;"",""))</f>
        <v/>
      </c>
      <c r="J675" s="65" t="str">
        <f>IF(COUNTA(A675:G675)=0,"",IF(E675&lt;&gt;"",E675,IF(B675="","",IFERROR(IF(INDEX(pr_price,MATCH(B675,pr_code,0))="","",INDEX(pr_price,MATCH(B675,pr_code,0))),""))))</f>
        <v/>
      </c>
      <c r="K675" s="71" t="str">
        <f>IF(COUNTA(A675:G675)=0,"",IF(G675&lt;&gt;"",G675,IF(B675="","",IFERROR(IF(INDEX(pr_rate,MATCH(B675,pr_code,0))="","",INDEX(pr_rate,MATCH(B675,pr_code,0))),""))))</f>
        <v/>
      </c>
      <c r="L675" s="65" t="str">
        <f>IF(COUNTA(A675:G675)=0,"",IF(AND(ISNUMBER(D675),ISNUMBER(J675)),ROUND(D675*J675*(1-N(F675)),2),0))</f>
        <v/>
      </c>
      <c r="M675" s="62" t="str">
        <f>IF(A675="","",IFERROR(INDEX(dv_cname,MATCH(A675,dv_num,0))&amp;"",""))</f>
        <v/>
      </c>
      <c r="N675" s="59" t="str">
        <f>IF(COUNTA(A675:G675)=0,"",IF(A675="","N° devis manquant",IF(ISNA(MATCH(A675,dv_num,0)),"Devis inconnu",IF(AND(B675&lt;&gt;"",ISNA(MATCH(B675,pr_code,0))),"Article inconnu",IF(H675="","Désignation manquante",IF(OR(NOT(ISNUMBER(D675)),N(D675)&lt;=0),"Quantité invalide",IF(J675="","Prix manquant",IF(OR(NOT(ISNUMBER(J675)),N(J675)&lt;0),"Prix invalide",IF(OR(AND(F675&lt;&gt;"",NOT(ISNUMBER(F675))),N(F675)&lt;0,N(F675)&gt;1),"Remise invalide",IF(K675="","Taux de TVA manquant",IF(NOT(ISNUMBER(K675)),"Taux de TVA invalide",IF(COUNTIF(p_rates,K675)=0,"Taux de TVA hors liste (Paramètres)",IF(N(O675)&gt;25,"Au-delà de 25 lignes : non imprimée","OK")))))))))))))</f>
        <v/>
      </c>
      <c r="O675" s="59" t="str">
        <f>IF(A675="","",COUNTIF($A$6:A675,A675))</f>
        <v/>
      </c>
      <c r="P675" s="62" t="str">
        <f>IF(A675="","",A675&amp;"|"&amp;O675)</f>
        <v/>
      </c>
    </row>
    <row r="676">
      <c r="A676" s="60" t="n"/>
      <c r="B676" s="63" t="n"/>
      <c r="C676" s="63" t="n"/>
      <c r="D676" s="67" t="n"/>
      <c r="E676" s="68" t="n"/>
      <c r="F676" s="69" t="n"/>
      <c r="G676" s="70" t="n"/>
      <c r="H676" s="62" t="str">
        <f>IF(COUNTA(A676:G676)=0,"",IF(C676&lt;&gt;"",C676,IF(B676="","",IFERROR(INDEX(pr_des,MATCH(B676,pr_code,0))&amp;"",""))))</f>
        <v/>
      </c>
      <c r="I676" s="59" t="str">
        <f>IF(B676="","",IFERROR(INDEX(pr_unit,MATCH(B676,pr_code,0))&amp;"",""))</f>
        <v/>
      </c>
      <c r="J676" s="65" t="str">
        <f>IF(COUNTA(A676:G676)=0,"",IF(E676&lt;&gt;"",E676,IF(B676="","",IFERROR(IF(INDEX(pr_price,MATCH(B676,pr_code,0))="","",INDEX(pr_price,MATCH(B676,pr_code,0))),""))))</f>
        <v/>
      </c>
      <c r="K676" s="71" t="str">
        <f>IF(COUNTA(A676:G676)=0,"",IF(G676&lt;&gt;"",G676,IF(B676="","",IFERROR(IF(INDEX(pr_rate,MATCH(B676,pr_code,0))="","",INDEX(pr_rate,MATCH(B676,pr_code,0))),""))))</f>
        <v/>
      </c>
      <c r="L676" s="65" t="str">
        <f>IF(COUNTA(A676:G676)=0,"",IF(AND(ISNUMBER(D676),ISNUMBER(J676)),ROUND(D676*J676*(1-N(F676)),2),0))</f>
        <v/>
      </c>
      <c r="M676" s="62" t="str">
        <f>IF(A676="","",IFERROR(INDEX(dv_cname,MATCH(A676,dv_num,0))&amp;"",""))</f>
        <v/>
      </c>
      <c r="N676" s="59" t="str">
        <f>IF(COUNTA(A676:G676)=0,"",IF(A676="","N° devis manquant",IF(ISNA(MATCH(A676,dv_num,0)),"Devis inconnu",IF(AND(B676&lt;&gt;"",ISNA(MATCH(B676,pr_code,0))),"Article inconnu",IF(H676="","Désignation manquante",IF(OR(NOT(ISNUMBER(D676)),N(D676)&lt;=0),"Quantité invalide",IF(J676="","Prix manquant",IF(OR(NOT(ISNUMBER(J676)),N(J676)&lt;0),"Prix invalide",IF(OR(AND(F676&lt;&gt;"",NOT(ISNUMBER(F676))),N(F676)&lt;0,N(F676)&gt;1),"Remise invalide",IF(K676="","Taux de TVA manquant",IF(NOT(ISNUMBER(K676)),"Taux de TVA invalide",IF(COUNTIF(p_rates,K676)=0,"Taux de TVA hors liste (Paramètres)",IF(N(O676)&gt;25,"Au-delà de 25 lignes : non imprimée","OK")))))))))))))</f>
        <v/>
      </c>
      <c r="O676" s="59" t="str">
        <f>IF(A676="","",COUNTIF($A$6:A676,A676))</f>
        <v/>
      </c>
      <c r="P676" s="62" t="str">
        <f>IF(A676="","",A676&amp;"|"&amp;O676)</f>
        <v/>
      </c>
    </row>
    <row r="677">
      <c r="A677" s="60" t="n"/>
      <c r="B677" s="63" t="n"/>
      <c r="C677" s="63" t="n"/>
      <c r="D677" s="67" t="n"/>
      <c r="E677" s="68" t="n"/>
      <c r="F677" s="69" t="n"/>
      <c r="G677" s="70" t="n"/>
      <c r="H677" s="62" t="str">
        <f>IF(COUNTA(A677:G677)=0,"",IF(C677&lt;&gt;"",C677,IF(B677="","",IFERROR(INDEX(pr_des,MATCH(B677,pr_code,0))&amp;"",""))))</f>
        <v/>
      </c>
      <c r="I677" s="59" t="str">
        <f>IF(B677="","",IFERROR(INDEX(pr_unit,MATCH(B677,pr_code,0))&amp;"",""))</f>
        <v/>
      </c>
      <c r="J677" s="65" t="str">
        <f>IF(COUNTA(A677:G677)=0,"",IF(E677&lt;&gt;"",E677,IF(B677="","",IFERROR(IF(INDEX(pr_price,MATCH(B677,pr_code,0))="","",INDEX(pr_price,MATCH(B677,pr_code,0))),""))))</f>
        <v/>
      </c>
      <c r="K677" s="71" t="str">
        <f>IF(COUNTA(A677:G677)=0,"",IF(G677&lt;&gt;"",G677,IF(B677="","",IFERROR(IF(INDEX(pr_rate,MATCH(B677,pr_code,0))="","",INDEX(pr_rate,MATCH(B677,pr_code,0))),""))))</f>
        <v/>
      </c>
      <c r="L677" s="65" t="str">
        <f>IF(COUNTA(A677:G677)=0,"",IF(AND(ISNUMBER(D677),ISNUMBER(J677)),ROUND(D677*J677*(1-N(F677)),2),0))</f>
        <v/>
      </c>
      <c r="M677" s="62" t="str">
        <f>IF(A677="","",IFERROR(INDEX(dv_cname,MATCH(A677,dv_num,0))&amp;"",""))</f>
        <v/>
      </c>
      <c r="N677" s="59" t="str">
        <f>IF(COUNTA(A677:G677)=0,"",IF(A677="","N° devis manquant",IF(ISNA(MATCH(A677,dv_num,0)),"Devis inconnu",IF(AND(B677&lt;&gt;"",ISNA(MATCH(B677,pr_code,0))),"Article inconnu",IF(H677="","Désignation manquante",IF(OR(NOT(ISNUMBER(D677)),N(D677)&lt;=0),"Quantité invalide",IF(J677="","Prix manquant",IF(OR(NOT(ISNUMBER(J677)),N(J677)&lt;0),"Prix invalide",IF(OR(AND(F677&lt;&gt;"",NOT(ISNUMBER(F677))),N(F677)&lt;0,N(F677)&gt;1),"Remise invalide",IF(K677="","Taux de TVA manquant",IF(NOT(ISNUMBER(K677)),"Taux de TVA invalide",IF(COUNTIF(p_rates,K677)=0,"Taux de TVA hors liste (Paramètres)",IF(N(O677)&gt;25,"Au-delà de 25 lignes : non imprimée","OK")))))))))))))</f>
        <v/>
      </c>
      <c r="O677" s="59" t="str">
        <f>IF(A677="","",COUNTIF($A$6:A677,A677))</f>
        <v/>
      </c>
      <c r="P677" s="62" t="str">
        <f>IF(A677="","",A677&amp;"|"&amp;O677)</f>
        <v/>
      </c>
    </row>
    <row r="678">
      <c r="A678" s="60" t="n"/>
      <c r="B678" s="63" t="n"/>
      <c r="C678" s="63" t="n"/>
      <c r="D678" s="67" t="n"/>
      <c r="E678" s="68" t="n"/>
      <c r="F678" s="69" t="n"/>
      <c r="G678" s="70" t="n"/>
      <c r="H678" s="62" t="str">
        <f>IF(COUNTA(A678:G678)=0,"",IF(C678&lt;&gt;"",C678,IF(B678="","",IFERROR(INDEX(pr_des,MATCH(B678,pr_code,0))&amp;"",""))))</f>
        <v/>
      </c>
      <c r="I678" s="59" t="str">
        <f>IF(B678="","",IFERROR(INDEX(pr_unit,MATCH(B678,pr_code,0))&amp;"",""))</f>
        <v/>
      </c>
      <c r="J678" s="65" t="str">
        <f>IF(COUNTA(A678:G678)=0,"",IF(E678&lt;&gt;"",E678,IF(B678="","",IFERROR(IF(INDEX(pr_price,MATCH(B678,pr_code,0))="","",INDEX(pr_price,MATCH(B678,pr_code,0))),""))))</f>
        <v/>
      </c>
      <c r="K678" s="71" t="str">
        <f>IF(COUNTA(A678:G678)=0,"",IF(G678&lt;&gt;"",G678,IF(B678="","",IFERROR(IF(INDEX(pr_rate,MATCH(B678,pr_code,0))="","",INDEX(pr_rate,MATCH(B678,pr_code,0))),""))))</f>
        <v/>
      </c>
      <c r="L678" s="65" t="str">
        <f>IF(COUNTA(A678:G678)=0,"",IF(AND(ISNUMBER(D678),ISNUMBER(J678)),ROUND(D678*J678*(1-N(F678)),2),0))</f>
        <v/>
      </c>
      <c r="M678" s="62" t="str">
        <f>IF(A678="","",IFERROR(INDEX(dv_cname,MATCH(A678,dv_num,0))&amp;"",""))</f>
        <v/>
      </c>
      <c r="N678" s="59" t="str">
        <f>IF(COUNTA(A678:G678)=0,"",IF(A678="","N° devis manquant",IF(ISNA(MATCH(A678,dv_num,0)),"Devis inconnu",IF(AND(B678&lt;&gt;"",ISNA(MATCH(B678,pr_code,0))),"Article inconnu",IF(H678="","Désignation manquante",IF(OR(NOT(ISNUMBER(D678)),N(D678)&lt;=0),"Quantité invalide",IF(J678="","Prix manquant",IF(OR(NOT(ISNUMBER(J678)),N(J678)&lt;0),"Prix invalide",IF(OR(AND(F678&lt;&gt;"",NOT(ISNUMBER(F678))),N(F678)&lt;0,N(F678)&gt;1),"Remise invalide",IF(K678="","Taux de TVA manquant",IF(NOT(ISNUMBER(K678)),"Taux de TVA invalide",IF(COUNTIF(p_rates,K678)=0,"Taux de TVA hors liste (Paramètres)",IF(N(O678)&gt;25,"Au-delà de 25 lignes : non imprimée","OK")))))))))))))</f>
        <v/>
      </c>
      <c r="O678" s="59" t="str">
        <f>IF(A678="","",COUNTIF($A$6:A678,A678))</f>
        <v/>
      </c>
      <c r="P678" s="62" t="str">
        <f>IF(A678="","",A678&amp;"|"&amp;O678)</f>
        <v/>
      </c>
    </row>
    <row r="679">
      <c r="A679" s="60" t="n"/>
      <c r="B679" s="63" t="n"/>
      <c r="C679" s="63" t="n"/>
      <c r="D679" s="67" t="n"/>
      <c r="E679" s="68" t="n"/>
      <c r="F679" s="69" t="n"/>
      <c r="G679" s="70" t="n"/>
      <c r="H679" s="62" t="str">
        <f>IF(COUNTA(A679:G679)=0,"",IF(C679&lt;&gt;"",C679,IF(B679="","",IFERROR(INDEX(pr_des,MATCH(B679,pr_code,0))&amp;"",""))))</f>
        <v/>
      </c>
      <c r="I679" s="59" t="str">
        <f>IF(B679="","",IFERROR(INDEX(pr_unit,MATCH(B679,pr_code,0))&amp;"",""))</f>
        <v/>
      </c>
      <c r="J679" s="65" t="str">
        <f>IF(COUNTA(A679:G679)=0,"",IF(E679&lt;&gt;"",E679,IF(B679="","",IFERROR(IF(INDEX(pr_price,MATCH(B679,pr_code,0))="","",INDEX(pr_price,MATCH(B679,pr_code,0))),""))))</f>
        <v/>
      </c>
      <c r="K679" s="71" t="str">
        <f>IF(COUNTA(A679:G679)=0,"",IF(G679&lt;&gt;"",G679,IF(B679="","",IFERROR(IF(INDEX(pr_rate,MATCH(B679,pr_code,0))="","",INDEX(pr_rate,MATCH(B679,pr_code,0))),""))))</f>
        <v/>
      </c>
      <c r="L679" s="65" t="str">
        <f>IF(COUNTA(A679:G679)=0,"",IF(AND(ISNUMBER(D679),ISNUMBER(J679)),ROUND(D679*J679*(1-N(F679)),2),0))</f>
        <v/>
      </c>
      <c r="M679" s="62" t="str">
        <f>IF(A679="","",IFERROR(INDEX(dv_cname,MATCH(A679,dv_num,0))&amp;"",""))</f>
        <v/>
      </c>
      <c r="N679" s="59" t="str">
        <f>IF(COUNTA(A679:G679)=0,"",IF(A679="","N° devis manquant",IF(ISNA(MATCH(A679,dv_num,0)),"Devis inconnu",IF(AND(B679&lt;&gt;"",ISNA(MATCH(B679,pr_code,0))),"Article inconnu",IF(H679="","Désignation manquante",IF(OR(NOT(ISNUMBER(D679)),N(D679)&lt;=0),"Quantité invalide",IF(J679="","Prix manquant",IF(OR(NOT(ISNUMBER(J679)),N(J679)&lt;0),"Prix invalide",IF(OR(AND(F679&lt;&gt;"",NOT(ISNUMBER(F679))),N(F679)&lt;0,N(F679)&gt;1),"Remise invalide",IF(K679="","Taux de TVA manquant",IF(NOT(ISNUMBER(K679)),"Taux de TVA invalide",IF(COUNTIF(p_rates,K679)=0,"Taux de TVA hors liste (Paramètres)",IF(N(O679)&gt;25,"Au-delà de 25 lignes : non imprimée","OK")))))))))))))</f>
        <v/>
      </c>
      <c r="O679" s="59" t="str">
        <f>IF(A679="","",COUNTIF($A$6:A679,A679))</f>
        <v/>
      </c>
      <c r="P679" s="62" t="str">
        <f>IF(A679="","",A679&amp;"|"&amp;O679)</f>
        <v/>
      </c>
    </row>
    <row r="680">
      <c r="A680" s="60" t="n"/>
      <c r="B680" s="63" t="n"/>
      <c r="C680" s="63" t="n"/>
      <c r="D680" s="67" t="n"/>
      <c r="E680" s="68" t="n"/>
      <c r="F680" s="69" t="n"/>
      <c r="G680" s="70" t="n"/>
      <c r="H680" s="62" t="str">
        <f>IF(COUNTA(A680:G680)=0,"",IF(C680&lt;&gt;"",C680,IF(B680="","",IFERROR(INDEX(pr_des,MATCH(B680,pr_code,0))&amp;"",""))))</f>
        <v/>
      </c>
      <c r="I680" s="59" t="str">
        <f>IF(B680="","",IFERROR(INDEX(pr_unit,MATCH(B680,pr_code,0))&amp;"",""))</f>
        <v/>
      </c>
      <c r="J680" s="65" t="str">
        <f>IF(COUNTA(A680:G680)=0,"",IF(E680&lt;&gt;"",E680,IF(B680="","",IFERROR(IF(INDEX(pr_price,MATCH(B680,pr_code,0))="","",INDEX(pr_price,MATCH(B680,pr_code,0))),""))))</f>
        <v/>
      </c>
      <c r="K680" s="71" t="str">
        <f>IF(COUNTA(A680:G680)=0,"",IF(G680&lt;&gt;"",G680,IF(B680="","",IFERROR(IF(INDEX(pr_rate,MATCH(B680,pr_code,0))="","",INDEX(pr_rate,MATCH(B680,pr_code,0))),""))))</f>
        <v/>
      </c>
      <c r="L680" s="65" t="str">
        <f>IF(COUNTA(A680:G680)=0,"",IF(AND(ISNUMBER(D680),ISNUMBER(J680)),ROUND(D680*J680*(1-N(F680)),2),0))</f>
        <v/>
      </c>
      <c r="M680" s="62" t="str">
        <f>IF(A680="","",IFERROR(INDEX(dv_cname,MATCH(A680,dv_num,0))&amp;"",""))</f>
        <v/>
      </c>
      <c r="N680" s="59" t="str">
        <f>IF(COUNTA(A680:G680)=0,"",IF(A680="","N° devis manquant",IF(ISNA(MATCH(A680,dv_num,0)),"Devis inconnu",IF(AND(B680&lt;&gt;"",ISNA(MATCH(B680,pr_code,0))),"Article inconnu",IF(H680="","Désignation manquante",IF(OR(NOT(ISNUMBER(D680)),N(D680)&lt;=0),"Quantité invalide",IF(J680="","Prix manquant",IF(OR(NOT(ISNUMBER(J680)),N(J680)&lt;0),"Prix invalide",IF(OR(AND(F680&lt;&gt;"",NOT(ISNUMBER(F680))),N(F680)&lt;0,N(F680)&gt;1),"Remise invalide",IF(K680="","Taux de TVA manquant",IF(NOT(ISNUMBER(K680)),"Taux de TVA invalide",IF(COUNTIF(p_rates,K680)=0,"Taux de TVA hors liste (Paramètres)",IF(N(O680)&gt;25,"Au-delà de 25 lignes : non imprimée","OK")))))))))))))</f>
        <v/>
      </c>
      <c r="O680" s="59" t="str">
        <f>IF(A680="","",COUNTIF($A$6:A680,A680))</f>
        <v/>
      </c>
      <c r="P680" s="62" t="str">
        <f>IF(A680="","",A680&amp;"|"&amp;O680)</f>
        <v/>
      </c>
    </row>
    <row r="681">
      <c r="A681" s="60" t="n"/>
      <c r="B681" s="63" t="n"/>
      <c r="C681" s="63" t="n"/>
      <c r="D681" s="67" t="n"/>
      <c r="E681" s="68" t="n"/>
      <c r="F681" s="69" t="n"/>
      <c r="G681" s="70" t="n"/>
      <c r="H681" s="62" t="str">
        <f>IF(COUNTA(A681:G681)=0,"",IF(C681&lt;&gt;"",C681,IF(B681="","",IFERROR(INDEX(pr_des,MATCH(B681,pr_code,0))&amp;"",""))))</f>
        <v/>
      </c>
      <c r="I681" s="59" t="str">
        <f>IF(B681="","",IFERROR(INDEX(pr_unit,MATCH(B681,pr_code,0))&amp;"",""))</f>
        <v/>
      </c>
      <c r="J681" s="65" t="str">
        <f>IF(COUNTA(A681:G681)=0,"",IF(E681&lt;&gt;"",E681,IF(B681="","",IFERROR(IF(INDEX(pr_price,MATCH(B681,pr_code,0))="","",INDEX(pr_price,MATCH(B681,pr_code,0))),""))))</f>
        <v/>
      </c>
      <c r="K681" s="71" t="str">
        <f>IF(COUNTA(A681:G681)=0,"",IF(G681&lt;&gt;"",G681,IF(B681="","",IFERROR(IF(INDEX(pr_rate,MATCH(B681,pr_code,0))="","",INDEX(pr_rate,MATCH(B681,pr_code,0))),""))))</f>
        <v/>
      </c>
      <c r="L681" s="65" t="str">
        <f>IF(COUNTA(A681:G681)=0,"",IF(AND(ISNUMBER(D681),ISNUMBER(J681)),ROUND(D681*J681*(1-N(F681)),2),0))</f>
        <v/>
      </c>
      <c r="M681" s="62" t="str">
        <f>IF(A681="","",IFERROR(INDEX(dv_cname,MATCH(A681,dv_num,0))&amp;"",""))</f>
        <v/>
      </c>
      <c r="N681" s="59" t="str">
        <f>IF(COUNTA(A681:G681)=0,"",IF(A681="","N° devis manquant",IF(ISNA(MATCH(A681,dv_num,0)),"Devis inconnu",IF(AND(B681&lt;&gt;"",ISNA(MATCH(B681,pr_code,0))),"Article inconnu",IF(H681="","Désignation manquante",IF(OR(NOT(ISNUMBER(D681)),N(D681)&lt;=0),"Quantité invalide",IF(J681="","Prix manquant",IF(OR(NOT(ISNUMBER(J681)),N(J681)&lt;0),"Prix invalide",IF(OR(AND(F681&lt;&gt;"",NOT(ISNUMBER(F681))),N(F681)&lt;0,N(F681)&gt;1),"Remise invalide",IF(K681="","Taux de TVA manquant",IF(NOT(ISNUMBER(K681)),"Taux de TVA invalide",IF(COUNTIF(p_rates,K681)=0,"Taux de TVA hors liste (Paramètres)",IF(N(O681)&gt;25,"Au-delà de 25 lignes : non imprimée","OK")))))))))))))</f>
        <v/>
      </c>
      <c r="O681" s="59" t="str">
        <f>IF(A681="","",COUNTIF($A$6:A681,A681))</f>
        <v/>
      </c>
      <c r="P681" s="62" t="str">
        <f>IF(A681="","",A681&amp;"|"&amp;O681)</f>
        <v/>
      </c>
    </row>
    <row r="682">
      <c r="A682" s="60" t="n"/>
      <c r="B682" s="63" t="n"/>
      <c r="C682" s="63" t="n"/>
      <c r="D682" s="67" t="n"/>
      <c r="E682" s="68" t="n"/>
      <c r="F682" s="69" t="n"/>
      <c r="G682" s="70" t="n"/>
      <c r="H682" s="62" t="str">
        <f>IF(COUNTA(A682:G682)=0,"",IF(C682&lt;&gt;"",C682,IF(B682="","",IFERROR(INDEX(pr_des,MATCH(B682,pr_code,0))&amp;"",""))))</f>
        <v/>
      </c>
      <c r="I682" s="59" t="str">
        <f>IF(B682="","",IFERROR(INDEX(pr_unit,MATCH(B682,pr_code,0))&amp;"",""))</f>
        <v/>
      </c>
      <c r="J682" s="65" t="str">
        <f>IF(COUNTA(A682:G682)=0,"",IF(E682&lt;&gt;"",E682,IF(B682="","",IFERROR(IF(INDEX(pr_price,MATCH(B682,pr_code,0))="","",INDEX(pr_price,MATCH(B682,pr_code,0))),""))))</f>
        <v/>
      </c>
      <c r="K682" s="71" t="str">
        <f>IF(COUNTA(A682:G682)=0,"",IF(G682&lt;&gt;"",G682,IF(B682="","",IFERROR(IF(INDEX(pr_rate,MATCH(B682,pr_code,0))="","",INDEX(pr_rate,MATCH(B682,pr_code,0))),""))))</f>
        <v/>
      </c>
      <c r="L682" s="65" t="str">
        <f>IF(COUNTA(A682:G682)=0,"",IF(AND(ISNUMBER(D682),ISNUMBER(J682)),ROUND(D682*J682*(1-N(F682)),2),0))</f>
        <v/>
      </c>
      <c r="M682" s="62" t="str">
        <f>IF(A682="","",IFERROR(INDEX(dv_cname,MATCH(A682,dv_num,0))&amp;"",""))</f>
        <v/>
      </c>
      <c r="N682" s="59" t="str">
        <f>IF(COUNTA(A682:G682)=0,"",IF(A682="","N° devis manquant",IF(ISNA(MATCH(A682,dv_num,0)),"Devis inconnu",IF(AND(B682&lt;&gt;"",ISNA(MATCH(B682,pr_code,0))),"Article inconnu",IF(H682="","Désignation manquante",IF(OR(NOT(ISNUMBER(D682)),N(D682)&lt;=0),"Quantité invalide",IF(J682="","Prix manquant",IF(OR(NOT(ISNUMBER(J682)),N(J682)&lt;0),"Prix invalide",IF(OR(AND(F682&lt;&gt;"",NOT(ISNUMBER(F682))),N(F682)&lt;0,N(F682)&gt;1),"Remise invalide",IF(K682="","Taux de TVA manquant",IF(NOT(ISNUMBER(K682)),"Taux de TVA invalide",IF(COUNTIF(p_rates,K682)=0,"Taux de TVA hors liste (Paramètres)",IF(N(O682)&gt;25,"Au-delà de 25 lignes : non imprimée","OK")))))))))))))</f>
        <v/>
      </c>
      <c r="O682" s="59" t="str">
        <f>IF(A682="","",COUNTIF($A$6:A682,A682))</f>
        <v/>
      </c>
      <c r="P682" s="62" t="str">
        <f>IF(A682="","",A682&amp;"|"&amp;O682)</f>
        <v/>
      </c>
    </row>
    <row r="683">
      <c r="A683" s="60" t="n"/>
      <c r="B683" s="63" t="n"/>
      <c r="C683" s="63" t="n"/>
      <c r="D683" s="67" t="n"/>
      <c r="E683" s="68" t="n"/>
      <c r="F683" s="69" t="n"/>
      <c r="G683" s="70" t="n"/>
      <c r="H683" s="62" t="str">
        <f>IF(COUNTA(A683:G683)=0,"",IF(C683&lt;&gt;"",C683,IF(B683="","",IFERROR(INDEX(pr_des,MATCH(B683,pr_code,0))&amp;"",""))))</f>
        <v/>
      </c>
      <c r="I683" s="59" t="str">
        <f>IF(B683="","",IFERROR(INDEX(pr_unit,MATCH(B683,pr_code,0))&amp;"",""))</f>
        <v/>
      </c>
      <c r="J683" s="65" t="str">
        <f>IF(COUNTA(A683:G683)=0,"",IF(E683&lt;&gt;"",E683,IF(B683="","",IFERROR(IF(INDEX(pr_price,MATCH(B683,pr_code,0))="","",INDEX(pr_price,MATCH(B683,pr_code,0))),""))))</f>
        <v/>
      </c>
      <c r="K683" s="71" t="str">
        <f>IF(COUNTA(A683:G683)=0,"",IF(G683&lt;&gt;"",G683,IF(B683="","",IFERROR(IF(INDEX(pr_rate,MATCH(B683,pr_code,0))="","",INDEX(pr_rate,MATCH(B683,pr_code,0))),""))))</f>
        <v/>
      </c>
      <c r="L683" s="65" t="str">
        <f>IF(COUNTA(A683:G683)=0,"",IF(AND(ISNUMBER(D683),ISNUMBER(J683)),ROUND(D683*J683*(1-N(F683)),2),0))</f>
        <v/>
      </c>
      <c r="M683" s="62" t="str">
        <f>IF(A683="","",IFERROR(INDEX(dv_cname,MATCH(A683,dv_num,0))&amp;"",""))</f>
        <v/>
      </c>
      <c r="N683" s="59" t="str">
        <f>IF(COUNTA(A683:G683)=0,"",IF(A683="","N° devis manquant",IF(ISNA(MATCH(A683,dv_num,0)),"Devis inconnu",IF(AND(B683&lt;&gt;"",ISNA(MATCH(B683,pr_code,0))),"Article inconnu",IF(H683="","Désignation manquante",IF(OR(NOT(ISNUMBER(D683)),N(D683)&lt;=0),"Quantité invalide",IF(J683="","Prix manquant",IF(OR(NOT(ISNUMBER(J683)),N(J683)&lt;0),"Prix invalide",IF(OR(AND(F683&lt;&gt;"",NOT(ISNUMBER(F683))),N(F683)&lt;0,N(F683)&gt;1),"Remise invalide",IF(K683="","Taux de TVA manquant",IF(NOT(ISNUMBER(K683)),"Taux de TVA invalide",IF(COUNTIF(p_rates,K683)=0,"Taux de TVA hors liste (Paramètres)",IF(N(O683)&gt;25,"Au-delà de 25 lignes : non imprimée","OK")))))))))))))</f>
        <v/>
      </c>
      <c r="O683" s="59" t="str">
        <f>IF(A683="","",COUNTIF($A$6:A683,A683))</f>
        <v/>
      </c>
      <c r="P683" s="62" t="str">
        <f>IF(A683="","",A683&amp;"|"&amp;O683)</f>
        <v/>
      </c>
    </row>
    <row r="684">
      <c r="A684" s="60" t="n"/>
      <c r="B684" s="63" t="n"/>
      <c r="C684" s="63" t="n"/>
      <c r="D684" s="67" t="n"/>
      <c r="E684" s="68" t="n"/>
      <c r="F684" s="69" t="n"/>
      <c r="G684" s="70" t="n"/>
      <c r="H684" s="62" t="str">
        <f>IF(COUNTA(A684:G684)=0,"",IF(C684&lt;&gt;"",C684,IF(B684="","",IFERROR(INDEX(pr_des,MATCH(B684,pr_code,0))&amp;"",""))))</f>
        <v/>
      </c>
      <c r="I684" s="59" t="str">
        <f>IF(B684="","",IFERROR(INDEX(pr_unit,MATCH(B684,pr_code,0))&amp;"",""))</f>
        <v/>
      </c>
      <c r="J684" s="65" t="str">
        <f>IF(COUNTA(A684:G684)=0,"",IF(E684&lt;&gt;"",E684,IF(B684="","",IFERROR(IF(INDEX(pr_price,MATCH(B684,pr_code,0))="","",INDEX(pr_price,MATCH(B684,pr_code,0))),""))))</f>
        <v/>
      </c>
      <c r="K684" s="71" t="str">
        <f>IF(COUNTA(A684:G684)=0,"",IF(G684&lt;&gt;"",G684,IF(B684="","",IFERROR(IF(INDEX(pr_rate,MATCH(B684,pr_code,0))="","",INDEX(pr_rate,MATCH(B684,pr_code,0))),""))))</f>
        <v/>
      </c>
      <c r="L684" s="65" t="str">
        <f>IF(COUNTA(A684:G684)=0,"",IF(AND(ISNUMBER(D684),ISNUMBER(J684)),ROUND(D684*J684*(1-N(F684)),2),0))</f>
        <v/>
      </c>
      <c r="M684" s="62" t="str">
        <f>IF(A684="","",IFERROR(INDEX(dv_cname,MATCH(A684,dv_num,0))&amp;"",""))</f>
        <v/>
      </c>
      <c r="N684" s="59" t="str">
        <f>IF(COUNTA(A684:G684)=0,"",IF(A684="","N° devis manquant",IF(ISNA(MATCH(A684,dv_num,0)),"Devis inconnu",IF(AND(B684&lt;&gt;"",ISNA(MATCH(B684,pr_code,0))),"Article inconnu",IF(H684="","Désignation manquante",IF(OR(NOT(ISNUMBER(D684)),N(D684)&lt;=0),"Quantité invalide",IF(J684="","Prix manquant",IF(OR(NOT(ISNUMBER(J684)),N(J684)&lt;0),"Prix invalide",IF(OR(AND(F684&lt;&gt;"",NOT(ISNUMBER(F684))),N(F684)&lt;0,N(F684)&gt;1),"Remise invalide",IF(K684="","Taux de TVA manquant",IF(NOT(ISNUMBER(K684)),"Taux de TVA invalide",IF(COUNTIF(p_rates,K684)=0,"Taux de TVA hors liste (Paramètres)",IF(N(O684)&gt;25,"Au-delà de 25 lignes : non imprimée","OK")))))))))))))</f>
        <v/>
      </c>
      <c r="O684" s="59" t="str">
        <f>IF(A684="","",COUNTIF($A$6:A684,A684))</f>
        <v/>
      </c>
      <c r="P684" s="62" t="str">
        <f>IF(A684="","",A684&amp;"|"&amp;O684)</f>
        <v/>
      </c>
    </row>
    <row r="685">
      <c r="A685" s="60" t="n"/>
      <c r="B685" s="63" t="n"/>
      <c r="C685" s="63" t="n"/>
      <c r="D685" s="67" t="n"/>
      <c r="E685" s="68" t="n"/>
      <c r="F685" s="69" t="n"/>
      <c r="G685" s="70" t="n"/>
      <c r="H685" s="62" t="str">
        <f>IF(COUNTA(A685:G685)=0,"",IF(C685&lt;&gt;"",C685,IF(B685="","",IFERROR(INDEX(pr_des,MATCH(B685,pr_code,0))&amp;"",""))))</f>
        <v/>
      </c>
      <c r="I685" s="59" t="str">
        <f>IF(B685="","",IFERROR(INDEX(pr_unit,MATCH(B685,pr_code,0))&amp;"",""))</f>
        <v/>
      </c>
      <c r="J685" s="65" t="str">
        <f>IF(COUNTA(A685:G685)=0,"",IF(E685&lt;&gt;"",E685,IF(B685="","",IFERROR(IF(INDEX(pr_price,MATCH(B685,pr_code,0))="","",INDEX(pr_price,MATCH(B685,pr_code,0))),""))))</f>
        <v/>
      </c>
      <c r="K685" s="71" t="str">
        <f>IF(COUNTA(A685:G685)=0,"",IF(G685&lt;&gt;"",G685,IF(B685="","",IFERROR(IF(INDEX(pr_rate,MATCH(B685,pr_code,0))="","",INDEX(pr_rate,MATCH(B685,pr_code,0))),""))))</f>
        <v/>
      </c>
      <c r="L685" s="65" t="str">
        <f>IF(COUNTA(A685:G685)=0,"",IF(AND(ISNUMBER(D685),ISNUMBER(J685)),ROUND(D685*J685*(1-N(F685)),2),0))</f>
        <v/>
      </c>
      <c r="M685" s="62" t="str">
        <f>IF(A685="","",IFERROR(INDEX(dv_cname,MATCH(A685,dv_num,0))&amp;"",""))</f>
        <v/>
      </c>
      <c r="N685" s="59" t="str">
        <f>IF(COUNTA(A685:G685)=0,"",IF(A685="","N° devis manquant",IF(ISNA(MATCH(A685,dv_num,0)),"Devis inconnu",IF(AND(B685&lt;&gt;"",ISNA(MATCH(B685,pr_code,0))),"Article inconnu",IF(H685="","Désignation manquante",IF(OR(NOT(ISNUMBER(D685)),N(D685)&lt;=0),"Quantité invalide",IF(J685="","Prix manquant",IF(OR(NOT(ISNUMBER(J685)),N(J685)&lt;0),"Prix invalide",IF(OR(AND(F685&lt;&gt;"",NOT(ISNUMBER(F685))),N(F685)&lt;0,N(F685)&gt;1),"Remise invalide",IF(K685="","Taux de TVA manquant",IF(NOT(ISNUMBER(K685)),"Taux de TVA invalide",IF(COUNTIF(p_rates,K685)=0,"Taux de TVA hors liste (Paramètres)",IF(N(O685)&gt;25,"Au-delà de 25 lignes : non imprimée","OK")))))))))))))</f>
        <v/>
      </c>
      <c r="O685" s="59" t="str">
        <f>IF(A685="","",COUNTIF($A$6:A685,A685))</f>
        <v/>
      </c>
      <c r="P685" s="62" t="str">
        <f>IF(A685="","",A685&amp;"|"&amp;O685)</f>
        <v/>
      </c>
    </row>
    <row r="686">
      <c r="A686" s="60" t="n"/>
      <c r="B686" s="63" t="n"/>
      <c r="C686" s="63" t="n"/>
      <c r="D686" s="67" t="n"/>
      <c r="E686" s="68" t="n"/>
      <c r="F686" s="69" t="n"/>
      <c r="G686" s="70" t="n"/>
      <c r="H686" s="62" t="str">
        <f>IF(COUNTA(A686:G686)=0,"",IF(C686&lt;&gt;"",C686,IF(B686="","",IFERROR(INDEX(pr_des,MATCH(B686,pr_code,0))&amp;"",""))))</f>
        <v/>
      </c>
      <c r="I686" s="59" t="str">
        <f>IF(B686="","",IFERROR(INDEX(pr_unit,MATCH(B686,pr_code,0))&amp;"",""))</f>
        <v/>
      </c>
      <c r="J686" s="65" t="str">
        <f>IF(COUNTA(A686:G686)=0,"",IF(E686&lt;&gt;"",E686,IF(B686="","",IFERROR(IF(INDEX(pr_price,MATCH(B686,pr_code,0))="","",INDEX(pr_price,MATCH(B686,pr_code,0))),""))))</f>
        <v/>
      </c>
      <c r="K686" s="71" t="str">
        <f>IF(COUNTA(A686:G686)=0,"",IF(G686&lt;&gt;"",G686,IF(B686="","",IFERROR(IF(INDEX(pr_rate,MATCH(B686,pr_code,0))="","",INDEX(pr_rate,MATCH(B686,pr_code,0))),""))))</f>
        <v/>
      </c>
      <c r="L686" s="65" t="str">
        <f>IF(COUNTA(A686:G686)=0,"",IF(AND(ISNUMBER(D686),ISNUMBER(J686)),ROUND(D686*J686*(1-N(F686)),2),0))</f>
        <v/>
      </c>
      <c r="M686" s="62" t="str">
        <f>IF(A686="","",IFERROR(INDEX(dv_cname,MATCH(A686,dv_num,0))&amp;"",""))</f>
        <v/>
      </c>
      <c r="N686" s="59" t="str">
        <f>IF(COUNTA(A686:G686)=0,"",IF(A686="","N° devis manquant",IF(ISNA(MATCH(A686,dv_num,0)),"Devis inconnu",IF(AND(B686&lt;&gt;"",ISNA(MATCH(B686,pr_code,0))),"Article inconnu",IF(H686="","Désignation manquante",IF(OR(NOT(ISNUMBER(D686)),N(D686)&lt;=0),"Quantité invalide",IF(J686="","Prix manquant",IF(OR(NOT(ISNUMBER(J686)),N(J686)&lt;0),"Prix invalide",IF(OR(AND(F686&lt;&gt;"",NOT(ISNUMBER(F686))),N(F686)&lt;0,N(F686)&gt;1),"Remise invalide",IF(K686="","Taux de TVA manquant",IF(NOT(ISNUMBER(K686)),"Taux de TVA invalide",IF(COUNTIF(p_rates,K686)=0,"Taux de TVA hors liste (Paramètres)",IF(N(O686)&gt;25,"Au-delà de 25 lignes : non imprimée","OK")))))))))))))</f>
        <v/>
      </c>
      <c r="O686" s="59" t="str">
        <f>IF(A686="","",COUNTIF($A$6:A686,A686))</f>
        <v/>
      </c>
      <c r="P686" s="62" t="str">
        <f>IF(A686="","",A686&amp;"|"&amp;O686)</f>
        <v/>
      </c>
    </row>
    <row r="687">
      <c r="A687" s="60" t="n"/>
      <c r="B687" s="63" t="n"/>
      <c r="C687" s="63" t="n"/>
      <c r="D687" s="67" t="n"/>
      <c r="E687" s="68" t="n"/>
      <c r="F687" s="69" t="n"/>
      <c r="G687" s="70" t="n"/>
      <c r="H687" s="62" t="str">
        <f>IF(COUNTA(A687:G687)=0,"",IF(C687&lt;&gt;"",C687,IF(B687="","",IFERROR(INDEX(pr_des,MATCH(B687,pr_code,0))&amp;"",""))))</f>
        <v/>
      </c>
      <c r="I687" s="59" t="str">
        <f>IF(B687="","",IFERROR(INDEX(pr_unit,MATCH(B687,pr_code,0))&amp;"",""))</f>
        <v/>
      </c>
      <c r="J687" s="65" t="str">
        <f>IF(COUNTA(A687:G687)=0,"",IF(E687&lt;&gt;"",E687,IF(B687="","",IFERROR(IF(INDEX(pr_price,MATCH(B687,pr_code,0))="","",INDEX(pr_price,MATCH(B687,pr_code,0))),""))))</f>
        <v/>
      </c>
      <c r="K687" s="71" t="str">
        <f>IF(COUNTA(A687:G687)=0,"",IF(G687&lt;&gt;"",G687,IF(B687="","",IFERROR(IF(INDEX(pr_rate,MATCH(B687,pr_code,0))="","",INDEX(pr_rate,MATCH(B687,pr_code,0))),""))))</f>
        <v/>
      </c>
      <c r="L687" s="65" t="str">
        <f>IF(COUNTA(A687:G687)=0,"",IF(AND(ISNUMBER(D687),ISNUMBER(J687)),ROUND(D687*J687*(1-N(F687)),2),0))</f>
        <v/>
      </c>
      <c r="M687" s="62" t="str">
        <f>IF(A687="","",IFERROR(INDEX(dv_cname,MATCH(A687,dv_num,0))&amp;"",""))</f>
        <v/>
      </c>
      <c r="N687" s="59" t="str">
        <f>IF(COUNTA(A687:G687)=0,"",IF(A687="","N° devis manquant",IF(ISNA(MATCH(A687,dv_num,0)),"Devis inconnu",IF(AND(B687&lt;&gt;"",ISNA(MATCH(B687,pr_code,0))),"Article inconnu",IF(H687="","Désignation manquante",IF(OR(NOT(ISNUMBER(D687)),N(D687)&lt;=0),"Quantité invalide",IF(J687="","Prix manquant",IF(OR(NOT(ISNUMBER(J687)),N(J687)&lt;0),"Prix invalide",IF(OR(AND(F687&lt;&gt;"",NOT(ISNUMBER(F687))),N(F687)&lt;0,N(F687)&gt;1),"Remise invalide",IF(K687="","Taux de TVA manquant",IF(NOT(ISNUMBER(K687)),"Taux de TVA invalide",IF(COUNTIF(p_rates,K687)=0,"Taux de TVA hors liste (Paramètres)",IF(N(O687)&gt;25,"Au-delà de 25 lignes : non imprimée","OK")))))))))))))</f>
        <v/>
      </c>
      <c r="O687" s="59" t="str">
        <f>IF(A687="","",COUNTIF($A$6:A687,A687))</f>
        <v/>
      </c>
      <c r="P687" s="62" t="str">
        <f>IF(A687="","",A687&amp;"|"&amp;O687)</f>
        <v/>
      </c>
    </row>
    <row r="688">
      <c r="A688" s="60" t="n"/>
      <c r="B688" s="63" t="n"/>
      <c r="C688" s="63" t="n"/>
      <c r="D688" s="67" t="n"/>
      <c r="E688" s="68" t="n"/>
      <c r="F688" s="69" t="n"/>
      <c r="G688" s="70" t="n"/>
      <c r="H688" s="62" t="str">
        <f>IF(COUNTA(A688:G688)=0,"",IF(C688&lt;&gt;"",C688,IF(B688="","",IFERROR(INDEX(pr_des,MATCH(B688,pr_code,0))&amp;"",""))))</f>
        <v/>
      </c>
      <c r="I688" s="59" t="str">
        <f>IF(B688="","",IFERROR(INDEX(pr_unit,MATCH(B688,pr_code,0))&amp;"",""))</f>
        <v/>
      </c>
      <c r="J688" s="65" t="str">
        <f>IF(COUNTA(A688:G688)=0,"",IF(E688&lt;&gt;"",E688,IF(B688="","",IFERROR(IF(INDEX(pr_price,MATCH(B688,pr_code,0))="","",INDEX(pr_price,MATCH(B688,pr_code,0))),""))))</f>
        <v/>
      </c>
      <c r="K688" s="71" t="str">
        <f>IF(COUNTA(A688:G688)=0,"",IF(G688&lt;&gt;"",G688,IF(B688="","",IFERROR(IF(INDEX(pr_rate,MATCH(B688,pr_code,0))="","",INDEX(pr_rate,MATCH(B688,pr_code,0))),""))))</f>
        <v/>
      </c>
      <c r="L688" s="65" t="str">
        <f>IF(COUNTA(A688:G688)=0,"",IF(AND(ISNUMBER(D688),ISNUMBER(J688)),ROUND(D688*J688*(1-N(F688)),2),0))</f>
        <v/>
      </c>
      <c r="M688" s="62" t="str">
        <f>IF(A688="","",IFERROR(INDEX(dv_cname,MATCH(A688,dv_num,0))&amp;"",""))</f>
        <v/>
      </c>
      <c r="N688" s="59" t="str">
        <f>IF(COUNTA(A688:G688)=0,"",IF(A688="","N° devis manquant",IF(ISNA(MATCH(A688,dv_num,0)),"Devis inconnu",IF(AND(B688&lt;&gt;"",ISNA(MATCH(B688,pr_code,0))),"Article inconnu",IF(H688="","Désignation manquante",IF(OR(NOT(ISNUMBER(D688)),N(D688)&lt;=0),"Quantité invalide",IF(J688="","Prix manquant",IF(OR(NOT(ISNUMBER(J688)),N(J688)&lt;0),"Prix invalide",IF(OR(AND(F688&lt;&gt;"",NOT(ISNUMBER(F688))),N(F688)&lt;0,N(F688)&gt;1),"Remise invalide",IF(K688="","Taux de TVA manquant",IF(NOT(ISNUMBER(K688)),"Taux de TVA invalide",IF(COUNTIF(p_rates,K688)=0,"Taux de TVA hors liste (Paramètres)",IF(N(O688)&gt;25,"Au-delà de 25 lignes : non imprimée","OK")))))))))))))</f>
        <v/>
      </c>
      <c r="O688" s="59" t="str">
        <f>IF(A688="","",COUNTIF($A$6:A688,A688))</f>
        <v/>
      </c>
      <c r="P688" s="62" t="str">
        <f>IF(A688="","",A688&amp;"|"&amp;O688)</f>
        <v/>
      </c>
    </row>
    <row r="689">
      <c r="A689" s="60" t="n"/>
      <c r="B689" s="63" t="n"/>
      <c r="C689" s="63" t="n"/>
      <c r="D689" s="67" t="n"/>
      <c r="E689" s="68" t="n"/>
      <c r="F689" s="69" t="n"/>
      <c r="G689" s="70" t="n"/>
      <c r="H689" s="62" t="str">
        <f>IF(COUNTA(A689:G689)=0,"",IF(C689&lt;&gt;"",C689,IF(B689="","",IFERROR(INDEX(pr_des,MATCH(B689,pr_code,0))&amp;"",""))))</f>
        <v/>
      </c>
      <c r="I689" s="59" t="str">
        <f>IF(B689="","",IFERROR(INDEX(pr_unit,MATCH(B689,pr_code,0))&amp;"",""))</f>
        <v/>
      </c>
      <c r="J689" s="65" t="str">
        <f>IF(COUNTA(A689:G689)=0,"",IF(E689&lt;&gt;"",E689,IF(B689="","",IFERROR(IF(INDEX(pr_price,MATCH(B689,pr_code,0))="","",INDEX(pr_price,MATCH(B689,pr_code,0))),""))))</f>
        <v/>
      </c>
      <c r="K689" s="71" t="str">
        <f>IF(COUNTA(A689:G689)=0,"",IF(G689&lt;&gt;"",G689,IF(B689="","",IFERROR(IF(INDEX(pr_rate,MATCH(B689,pr_code,0))="","",INDEX(pr_rate,MATCH(B689,pr_code,0))),""))))</f>
        <v/>
      </c>
      <c r="L689" s="65" t="str">
        <f>IF(COUNTA(A689:G689)=0,"",IF(AND(ISNUMBER(D689),ISNUMBER(J689)),ROUND(D689*J689*(1-N(F689)),2),0))</f>
        <v/>
      </c>
      <c r="M689" s="62" t="str">
        <f>IF(A689="","",IFERROR(INDEX(dv_cname,MATCH(A689,dv_num,0))&amp;"",""))</f>
        <v/>
      </c>
      <c r="N689" s="59" t="str">
        <f>IF(COUNTA(A689:G689)=0,"",IF(A689="","N° devis manquant",IF(ISNA(MATCH(A689,dv_num,0)),"Devis inconnu",IF(AND(B689&lt;&gt;"",ISNA(MATCH(B689,pr_code,0))),"Article inconnu",IF(H689="","Désignation manquante",IF(OR(NOT(ISNUMBER(D689)),N(D689)&lt;=0),"Quantité invalide",IF(J689="","Prix manquant",IF(OR(NOT(ISNUMBER(J689)),N(J689)&lt;0),"Prix invalide",IF(OR(AND(F689&lt;&gt;"",NOT(ISNUMBER(F689))),N(F689)&lt;0,N(F689)&gt;1),"Remise invalide",IF(K689="","Taux de TVA manquant",IF(NOT(ISNUMBER(K689)),"Taux de TVA invalide",IF(COUNTIF(p_rates,K689)=0,"Taux de TVA hors liste (Paramètres)",IF(N(O689)&gt;25,"Au-delà de 25 lignes : non imprimée","OK")))))))))))))</f>
        <v/>
      </c>
      <c r="O689" s="59" t="str">
        <f>IF(A689="","",COUNTIF($A$6:A689,A689))</f>
        <v/>
      </c>
      <c r="P689" s="62" t="str">
        <f>IF(A689="","",A689&amp;"|"&amp;O689)</f>
        <v/>
      </c>
    </row>
    <row r="690">
      <c r="A690" s="60" t="n"/>
      <c r="B690" s="63" t="n"/>
      <c r="C690" s="63" t="n"/>
      <c r="D690" s="67" t="n"/>
      <c r="E690" s="68" t="n"/>
      <c r="F690" s="69" t="n"/>
      <c r="G690" s="70" t="n"/>
      <c r="H690" s="62" t="str">
        <f>IF(COUNTA(A690:G690)=0,"",IF(C690&lt;&gt;"",C690,IF(B690="","",IFERROR(INDEX(pr_des,MATCH(B690,pr_code,0))&amp;"",""))))</f>
        <v/>
      </c>
      <c r="I690" s="59" t="str">
        <f>IF(B690="","",IFERROR(INDEX(pr_unit,MATCH(B690,pr_code,0))&amp;"",""))</f>
        <v/>
      </c>
      <c r="J690" s="65" t="str">
        <f>IF(COUNTA(A690:G690)=0,"",IF(E690&lt;&gt;"",E690,IF(B690="","",IFERROR(IF(INDEX(pr_price,MATCH(B690,pr_code,0))="","",INDEX(pr_price,MATCH(B690,pr_code,0))),""))))</f>
        <v/>
      </c>
      <c r="K690" s="71" t="str">
        <f>IF(COUNTA(A690:G690)=0,"",IF(G690&lt;&gt;"",G690,IF(B690="","",IFERROR(IF(INDEX(pr_rate,MATCH(B690,pr_code,0))="","",INDEX(pr_rate,MATCH(B690,pr_code,0))),""))))</f>
        <v/>
      </c>
      <c r="L690" s="65" t="str">
        <f>IF(COUNTA(A690:G690)=0,"",IF(AND(ISNUMBER(D690),ISNUMBER(J690)),ROUND(D690*J690*(1-N(F690)),2),0))</f>
        <v/>
      </c>
      <c r="M690" s="62" t="str">
        <f>IF(A690="","",IFERROR(INDEX(dv_cname,MATCH(A690,dv_num,0))&amp;"",""))</f>
        <v/>
      </c>
      <c r="N690" s="59" t="str">
        <f>IF(COUNTA(A690:G690)=0,"",IF(A690="","N° devis manquant",IF(ISNA(MATCH(A690,dv_num,0)),"Devis inconnu",IF(AND(B690&lt;&gt;"",ISNA(MATCH(B690,pr_code,0))),"Article inconnu",IF(H690="","Désignation manquante",IF(OR(NOT(ISNUMBER(D690)),N(D690)&lt;=0),"Quantité invalide",IF(J690="","Prix manquant",IF(OR(NOT(ISNUMBER(J690)),N(J690)&lt;0),"Prix invalide",IF(OR(AND(F690&lt;&gt;"",NOT(ISNUMBER(F690))),N(F690)&lt;0,N(F690)&gt;1),"Remise invalide",IF(K690="","Taux de TVA manquant",IF(NOT(ISNUMBER(K690)),"Taux de TVA invalide",IF(COUNTIF(p_rates,K690)=0,"Taux de TVA hors liste (Paramètres)",IF(N(O690)&gt;25,"Au-delà de 25 lignes : non imprimée","OK")))))))))))))</f>
        <v/>
      </c>
      <c r="O690" s="59" t="str">
        <f>IF(A690="","",COUNTIF($A$6:A690,A690))</f>
        <v/>
      </c>
      <c r="P690" s="62" t="str">
        <f>IF(A690="","",A690&amp;"|"&amp;O690)</f>
        <v/>
      </c>
    </row>
    <row r="691">
      <c r="A691" s="60" t="n"/>
      <c r="B691" s="63" t="n"/>
      <c r="C691" s="63" t="n"/>
      <c r="D691" s="67" t="n"/>
      <c r="E691" s="68" t="n"/>
      <c r="F691" s="69" t="n"/>
      <c r="G691" s="70" t="n"/>
      <c r="H691" s="62" t="str">
        <f>IF(COUNTA(A691:G691)=0,"",IF(C691&lt;&gt;"",C691,IF(B691="","",IFERROR(INDEX(pr_des,MATCH(B691,pr_code,0))&amp;"",""))))</f>
        <v/>
      </c>
      <c r="I691" s="59" t="str">
        <f>IF(B691="","",IFERROR(INDEX(pr_unit,MATCH(B691,pr_code,0))&amp;"",""))</f>
        <v/>
      </c>
      <c r="J691" s="65" t="str">
        <f>IF(COUNTA(A691:G691)=0,"",IF(E691&lt;&gt;"",E691,IF(B691="","",IFERROR(IF(INDEX(pr_price,MATCH(B691,pr_code,0))="","",INDEX(pr_price,MATCH(B691,pr_code,0))),""))))</f>
        <v/>
      </c>
      <c r="K691" s="71" t="str">
        <f>IF(COUNTA(A691:G691)=0,"",IF(G691&lt;&gt;"",G691,IF(B691="","",IFERROR(IF(INDEX(pr_rate,MATCH(B691,pr_code,0))="","",INDEX(pr_rate,MATCH(B691,pr_code,0))),""))))</f>
        <v/>
      </c>
      <c r="L691" s="65" t="str">
        <f>IF(COUNTA(A691:G691)=0,"",IF(AND(ISNUMBER(D691),ISNUMBER(J691)),ROUND(D691*J691*(1-N(F691)),2),0))</f>
        <v/>
      </c>
      <c r="M691" s="62" t="str">
        <f>IF(A691="","",IFERROR(INDEX(dv_cname,MATCH(A691,dv_num,0))&amp;"",""))</f>
        <v/>
      </c>
      <c r="N691" s="59" t="str">
        <f>IF(COUNTA(A691:G691)=0,"",IF(A691="","N° devis manquant",IF(ISNA(MATCH(A691,dv_num,0)),"Devis inconnu",IF(AND(B691&lt;&gt;"",ISNA(MATCH(B691,pr_code,0))),"Article inconnu",IF(H691="","Désignation manquante",IF(OR(NOT(ISNUMBER(D691)),N(D691)&lt;=0),"Quantité invalide",IF(J691="","Prix manquant",IF(OR(NOT(ISNUMBER(J691)),N(J691)&lt;0),"Prix invalide",IF(OR(AND(F691&lt;&gt;"",NOT(ISNUMBER(F691))),N(F691)&lt;0,N(F691)&gt;1),"Remise invalide",IF(K691="","Taux de TVA manquant",IF(NOT(ISNUMBER(K691)),"Taux de TVA invalide",IF(COUNTIF(p_rates,K691)=0,"Taux de TVA hors liste (Paramètres)",IF(N(O691)&gt;25,"Au-delà de 25 lignes : non imprimée","OK")))))))))))))</f>
        <v/>
      </c>
      <c r="O691" s="59" t="str">
        <f>IF(A691="","",COUNTIF($A$6:A691,A691))</f>
        <v/>
      </c>
      <c r="P691" s="62" t="str">
        <f>IF(A691="","",A691&amp;"|"&amp;O691)</f>
        <v/>
      </c>
    </row>
    <row r="692">
      <c r="A692" s="60" t="n"/>
      <c r="B692" s="63" t="n"/>
      <c r="C692" s="63" t="n"/>
      <c r="D692" s="67" t="n"/>
      <c r="E692" s="68" t="n"/>
      <c r="F692" s="69" t="n"/>
      <c r="G692" s="70" t="n"/>
      <c r="H692" s="62" t="str">
        <f>IF(COUNTA(A692:G692)=0,"",IF(C692&lt;&gt;"",C692,IF(B692="","",IFERROR(INDEX(pr_des,MATCH(B692,pr_code,0))&amp;"",""))))</f>
        <v/>
      </c>
      <c r="I692" s="59" t="str">
        <f>IF(B692="","",IFERROR(INDEX(pr_unit,MATCH(B692,pr_code,0))&amp;"",""))</f>
        <v/>
      </c>
      <c r="J692" s="65" t="str">
        <f>IF(COUNTA(A692:G692)=0,"",IF(E692&lt;&gt;"",E692,IF(B692="","",IFERROR(IF(INDEX(pr_price,MATCH(B692,pr_code,0))="","",INDEX(pr_price,MATCH(B692,pr_code,0))),""))))</f>
        <v/>
      </c>
      <c r="K692" s="71" t="str">
        <f>IF(COUNTA(A692:G692)=0,"",IF(G692&lt;&gt;"",G692,IF(B692="","",IFERROR(IF(INDEX(pr_rate,MATCH(B692,pr_code,0))="","",INDEX(pr_rate,MATCH(B692,pr_code,0))),""))))</f>
        <v/>
      </c>
      <c r="L692" s="65" t="str">
        <f>IF(COUNTA(A692:G692)=0,"",IF(AND(ISNUMBER(D692),ISNUMBER(J692)),ROUND(D692*J692*(1-N(F692)),2),0))</f>
        <v/>
      </c>
      <c r="M692" s="62" t="str">
        <f>IF(A692="","",IFERROR(INDEX(dv_cname,MATCH(A692,dv_num,0))&amp;"",""))</f>
        <v/>
      </c>
      <c r="N692" s="59" t="str">
        <f>IF(COUNTA(A692:G692)=0,"",IF(A692="","N° devis manquant",IF(ISNA(MATCH(A692,dv_num,0)),"Devis inconnu",IF(AND(B692&lt;&gt;"",ISNA(MATCH(B692,pr_code,0))),"Article inconnu",IF(H692="","Désignation manquante",IF(OR(NOT(ISNUMBER(D692)),N(D692)&lt;=0),"Quantité invalide",IF(J692="","Prix manquant",IF(OR(NOT(ISNUMBER(J692)),N(J692)&lt;0),"Prix invalide",IF(OR(AND(F692&lt;&gt;"",NOT(ISNUMBER(F692))),N(F692)&lt;0,N(F692)&gt;1),"Remise invalide",IF(K692="","Taux de TVA manquant",IF(NOT(ISNUMBER(K692)),"Taux de TVA invalide",IF(COUNTIF(p_rates,K692)=0,"Taux de TVA hors liste (Paramètres)",IF(N(O692)&gt;25,"Au-delà de 25 lignes : non imprimée","OK")))))))))))))</f>
        <v/>
      </c>
      <c r="O692" s="59" t="str">
        <f>IF(A692="","",COUNTIF($A$6:A692,A692))</f>
        <v/>
      </c>
      <c r="P692" s="62" t="str">
        <f>IF(A692="","",A692&amp;"|"&amp;O692)</f>
        <v/>
      </c>
    </row>
    <row r="693">
      <c r="A693" s="60" t="n"/>
      <c r="B693" s="63" t="n"/>
      <c r="C693" s="63" t="n"/>
      <c r="D693" s="67" t="n"/>
      <c r="E693" s="68" t="n"/>
      <c r="F693" s="69" t="n"/>
      <c r="G693" s="70" t="n"/>
      <c r="H693" s="62" t="str">
        <f>IF(COUNTA(A693:G693)=0,"",IF(C693&lt;&gt;"",C693,IF(B693="","",IFERROR(INDEX(pr_des,MATCH(B693,pr_code,0))&amp;"",""))))</f>
        <v/>
      </c>
      <c r="I693" s="59" t="str">
        <f>IF(B693="","",IFERROR(INDEX(pr_unit,MATCH(B693,pr_code,0))&amp;"",""))</f>
        <v/>
      </c>
      <c r="J693" s="65" t="str">
        <f>IF(COUNTA(A693:G693)=0,"",IF(E693&lt;&gt;"",E693,IF(B693="","",IFERROR(IF(INDEX(pr_price,MATCH(B693,pr_code,0))="","",INDEX(pr_price,MATCH(B693,pr_code,0))),""))))</f>
        <v/>
      </c>
      <c r="K693" s="71" t="str">
        <f>IF(COUNTA(A693:G693)=0,"",IF(G693&lt;&gt;"",G693,IF(B693="","",IFERROR(IF(INDEX(pr_rate,MATCH(B693,pr_code,0))="","",INDEX(pr_rate,MATCH(B693,pr_code,0))),""))))</f>
        <v/>
      </c>
      <c r="L693" s="65" t="str">
        <f>IF(COUNTA(A693:G693)=0,"",IF(AND(ISNUMBER(D693),ISNUMBER(J693)),ROUND(D693*J693*(1-N(F693)),2),0))</f>
        <v/>
      </c>
      <c r="M693" s="62" t="str">
        <f>IF(A693="","",IFERROR(INDEX(dv_cname,MATCH(A693,dv_num,0))&amp;"",""))</f>
        <v/>
      </c>
      <c r="N693" s="59" t="str">
        <f>IF(COUNTA(A693:G693)=0,"",IF(A693="","N° devis manquant",IF(ISNA(MATCH(A693,dv_num,0)),"Devis inconnu",IF(AND(B693&lt;&gt;"",ISNA(MATCH(B693,pr_code,0))),"Article inconnu",IF(H693="","Désignation manquante",IF(OR(NOT(ISNUMBER(D693)),N(D693)&lt;=0),"Quantité invalide",IF(J693="","Prix manquant",IF(OR(NOT(ISNUMBER(J693)),N(J693)&lt;0),"Prix invalide",IF(OR(AND(F693&lt;&gt;"",NOT(ISNUMBER(F693))),N(F693)&lt;0,N(F693)&gt;1),"Remise invalide",IF(K693="","Taux de TVA manquant",IF(NOT(ISNUMBER(K693)),"Taux de TVA invalide",IF(COUNTIF(p_rates,K693)=0,"Taux de TVA hors liste (Paramètres)",IF(N(O693)&gt;25,"Au-delà de 25 lignes : non imprimée","OK")))))))))))))</f>
        <v/>
      </c>
      <c r="O693" s="59" t="str">
        <f>IF(A693="","",COUNTIF($A$6:A693,A693))</f>
        <v/>
      </c>
      <c r="P693" s="62" t="str">
        <f>IF(A693="","",A693&amp;"|"&amp;O693)</f>
        <v/>
      </c>
    </row>
    <row r="694">
      <c r="A694" s="60" t="n"/>
      <c r="B694" s="63" t="n"/>
      <c r="C694" s="63" t="n"/>
      <c r="D694" s="67" t="n"/>
      <c r="E694" s="68" t="n"/>
      <c r="F694" s="69" t="n"/>
      <c r="G694" s="70" t="n"/>
      <c r="H694" s="62" t="str">
        <f>IF(COUNTA(A694:G694)=0,"",IF(C694&lt;&gt;"",C694,IF(B694="","",IFERROR(INDEX(pr_des,MATCH(B694,pr_code,0))&amp;"",""))))</f>
        <v/>
      </c>
      <c r="I694" s="59" t="str">
        <f>IF(B694="","",IFERROR(INDEX(pr_unit,MATCH(B694,pr_code,0))&amp;"",""))</f>
        <v/>
      </c>
      <c r="J694" s="65" t="str">
        <f>IF(COUNTA(A694:G694)=0,"",IF(E694&lt;&gt;"",E694,IF(B694="","",IFERROR(IF(INDEX(pr_price,MATCH(B694,pr_code,0))="","",INDEX(pr_price,MATCH(B694,pr_code,0))),""))))</f>
        <v/>
      </c>
      <c r="K694" s="71" t="str">
        <f>IF(COUNTA(A694:G694)=0,"",IF(G694&lt;&gt;"",G694,IF(B694="","",IFERROR(IF(INDEX(pr_rate,MATCH(B694,pr_code,0))="","",INDEX(pr_rate,MATCH(B694,pr_code,0))),""))))</f>
        <v/>
      </c>
      <c r="L694" s="65" t="str">
        <f>IF(COUNTA(A694:G694)=0,"",IF(AND(ISNUMBER(D694),ISNUMBER(J694)),ROUND(D694*J694*(1-N(F694)),2),0))</f>
        <v/>
      </c>
      <c r="M694" s="62" t="str">
        <f>IF(A694="","",IFERROR(INDEX(dv_cname,MATCH(A694,dv_num,0))&amp;"",""))</f>
        <v/>
      </c>
      <c r="N694" s="59" t="str">
        <f>IF(COUNTA(A694:G694)=0,"",IF(A694="","N° devis manquant",IF(ISNA(MATCH(A694,dv_num,0)),"Devis inconnu",IF(AND(B694&lt;&gt;"",ISNA(MATCH(B694,pr_code,0))),"Article inconnu",IF(H694="","Désignation manquante",IF(OR(NOT(ISNUMBER(D694)),N(D694)&lt;=0),"Quantité invalide",IF(J694="","Prix manquant",IF(OR(NOT(ISNUMBER(J694)),N(J694)&lt;0),"Prix invalide",IF(OR(AND(F694&lt;&gt;"",NOT(ISNUMBER(F694))),N(F694)&lt;0,N(F694)&gt;1),"Remise invalide",IF(K694="","Taux de TVA manquant",IF(NOT(ISNUMBER(K694)),"Taux de TVA invalide",IF(COUNTIF(p_rates,K694)=0,"Taux de TVA hors liste (Paramètres)",IF(N(O694)&gt;25,"Au-delà de 25 lignes : non imprimée","OK")))))))))))))</f>
        <v/>
      </c>
      <c r="O694" s="59" t="str">
        <f>IF(A694="","",COUNTIF($A$6:A694,A694))</f>
        <v/>
      </c>
      <c r="P694" s="62" t="str">
        <f>IF(A694="","",A694&amp;"|"&amp;O694)</f>
        <v/>
      </c>
    </row>
    <row r="695">
      <c r="A695" s="60" t="n"/>
      <c r="B695" s="63" t="n"/>
      <c r="C695" s="63" t="n"/>
      <c r="D695" s="67" t="n"/>
      <c r="E695" s="68" t="n"/>
      <c r="F695" s="69" t="n"/>
      <c r="G695" s="70" t="n"/>
      <c r="H695" s="62" t="str">
        <f>IF(COUNTA(A695:G695)=0,"",IF(C695&lt;&gt;"",C695,IF(B695="","",IFERROR(INDEX(pr_des,MATCH(B695,pr_code,0))&amp;"",""))))</f>
        <v/>
      </c>
      <c r="I695" s="59" t="str">
        <f>IF(B695="","",IFERROR(INDEX(pr_unit,MATCH(B695,pr_code,0))&amp;"",""))</f>
        <v/>
      </c>
      <c r="J695" s="65" t="str">
        <f>IF(COUNTA(A695:G695)=0,"",IF(E695&lt;&gt;"",E695,IF(B695="","",IFERROR(IF(INDEX(pr_price,MATCH(B695,pr_code,0))="","",INDEX(pr_price,MATCH(B695,pr_code,0))),""))))</f>
        <v/>
      </c>
      <c r="K695" s="71" t="str">
        <f>IF(COUNTA(A695:G695)=0,"",IF(G695&lt;&gt;"",G695,IF(B695="","",IFERROR(IF(INDEX(pr_rate,MATCH(B695,pr_code,0))="","",INDEX(pr_rate,MATCH(B695,pr_code,0))),""))))</f>
        <v/>
      </c>
      <c r="L695" s="65" t="str">
        <f>IF(COUNTA(A695:G695)=0,"",IF(AND(ISNUMBER(D695),ISNUMBER(J695)),ROUND(D695*J695*(1-N(F695)),2),0))</f>
        <v/>
      </c>
      <c r="M695" s="62" t="str">
        <f>IF(A695="","",IFERROR(INDEX(dv_cname,MATCH(A695,dv_num,0))&amp;"",""))</f>
        <v/>
      </c>
      <c r="N695" s="59" t="str">
        <f>IF(COUNTA(A695:G695)=0,"",IF(A695="","N° devis manquant",IF(ISNA(MATCH(A695,dv_num,0)),"Devis inconnu",IF(AND(B695&lt;&gt;"",ISNA(MATCH(B695,pr_code,0))),"Article inconnu",IF(H695="","Désignation manquante",IF(OR(NOT(ISNUMBER(D695)),N(D695)&lt;=0),"Quantité invalide",IF(J695="","Prix manquant",IF(OR(NOT(ISNUMBER(J695)),N(J695)&lt;0),"Prix invalide",IF(OR(AND(F695&lt;&gt;"",NOT(ISNUMBER(F695))),N(F695)&lt;0,N(F695)&gt;1),"Remise invalide",IF(K695="","Taux de TVA manquant",IF(NOT(ISNUMBER(K695)),"Taux de TVA invalide",IF(COUNTIF(p_rates,K695)=0,"Taux de TVA hors liste (Paramètres)",IF(N(O695)&gt;25,"Au-delà de 25 lignes : non imprimée","OK")))))))))))))</f>
        <v/>
      </c>
      <c r="O695" s="59" t="str">
        <f>IF(A695="","",COUNTIF($A$6:A695,A695))</f>
        <v/>
      </c>
      <c r="P695" s="62" t="str">
        <f>IF(A695="","",A695&amp;"|"&amp;O695)</f>
        <v/>
      </c>
    </row>
    <row r="696">
      <c r="A696" s="60" t="n"/>
      <c r="B696" s="63" t="n"/>
      <c r="C696" s="63" t="n"/>
      <c r="D696" s="67" t="n"/>
      <c r="E696" s="68" t="n"/>
      <c r="F696" s="69" t="n"/>
      <c r="G696" s="70" t="n"/>
      <c r="H696" s="62" t="str">
        <f>IF(COUNTA(A696:G696)=0,"",IF(C696&lt;&gt;"",C696,IF(B696="","",IFERROR(INDEX(pr_des,MATCH(B696,pr_code,0))&amp;"",""))))</f>
        <v/>
      </c>
      <c r="I696" s="59" t="str">
        <f>IF(B696="","",IFERROR(INDEX(pr_unit,MATCH(B696,pr_code,0))&amp;"",""))</f>
        <v/>
      </c>
      <c r="J696" s="65" t="str">
        <f>IF(COUNTA(A696:G696)=0,"",IF(E696&lt;&gt;"",E696,IF(B696="","",IFERROR(IF(INDEX(pr_price,MATCH(B696,pr_code,0))="","",INDEX(pr_price,MATCH(B696,pr_code,0))),""))))</f>
        <v/>
      </c>
      <c r="K696" s="71" t="str">
        <f>IF(COUNTA(A696:G696)=0,"",IF(G696&lt;&gt;"",G696,IF(B696="","",IFERROR(IF(INDEX(pr_rate,MATCH(B696,pr_code,0))="","",INDEX(pr_rate,MATCH(B696,pr_code,0))),""))))</f>
        <v/>
      </c>
      <c r="L696" s="65" t="str">
        <f>IF(COUNTA(A696:G696)=0,"",IF(AND(ISNUMBER(D696),ISNUMBER(J696)),ROUND(D696*J696*(1-N(F696)),2),0))</f>
        <v/>
      </c>
      <c r="M696" s="62" t="str">
        <f>IF(A696="","",IFERROR(INDEX(dv_cname,MATCH(A696,dv_num,0))&amp;"",""))</f>
        <v/>
      </c>
      <c r="N696" s="59" t="str">
        <f>IF(COUNTA(A696:G696)=0,"",IF(A696="","N° devis manquant",IF(ISNA(MATCH(A696,dv_num,0)),"Devis inconnu",IF(AND(B696&lt;&gt;"",ISNA(MATCH(B696,pr_code,0))),"Article inconnu",IF(H696="","Désignation manquante",IF(OR(NOT(ISNUMBER(D696)),N(D696)&lt;=0),"Quantité invalide",IF(J696="","Prix manquant",IF(OR(NOT(ISNUMBER(J696)),N(J696)&lt;0),"Prix invalide",IF(OR(AND(F696&lt;&gt;"",NOT(ISNUMBER(F696))),N(F696)&lt;0,N(F696)&gt;1),"Remise invalide",IF(K696="","Taux de TVA manquant",IF(NOT(ISNUMBER(K696)),"Taux de TVA invalide",IF(COUNTIF(p_rates,K696)=0,"Taux de TVA hors liste (Paramètres)",IF(N(O696)&gt;25,"Au-delà de 25 lignes : non imprimée","OK")))))))))))))</f>
        <v/>
      </c>
      <c r="O696" s="59" t="str">
        <f>IF(A696="","",COUNTIF($A$6:A696,A696))</f>
        <v/>
      </c>
      <c r="P696" s="62" t="str">
        <f>IF(A696="","",A696&amp;"|"&amp;O696)</f>
        <v/>
      </c>
    </row>
    <row r="697">
      <c r="A697" s="60" t="n"/>
      <c r="B697" s="63" t="n"/>
      <c r="C697" s="63" t="n"/>
      <c r="D697" s="67" t="n"/>
      <c r="E697" s="68" t="n"/>
      <c r="F697" s="69" t="n"/>
      <c r="G697" s="70" t="n"/>
      <c r="H697" s="62" t="str">
        <f>IF(COUNTA(A697:G697)=0,"",IF(C697&lt;&gt;"",C697,IF(B697="","",IFERROR(INDEX(pr_des,MATCH(B697,pr_code,0))&amp;"",""))))</f>
        <v/>
      </c>
      <c r="I697" s="59" t="str">
        <f>IF(B697="","",IFERROR(INDEX(pr_unit,MATCH(B697,pr_code,0))&amp;"",""))</f>
        <v/>
      </c>
      <c r="J697" s="65" t="str">
        <f>IF(COUNTA(A697:G697)=0,"",IF(E697&lt;&gt;"",E697,IF(B697="","",IFERROR(IF(INDEX(pr_price,MATCH(B697,pr_code,0))="","",INDEX(pr_price,MATCH(B697,pr_code,0))),""))))</f>
        <v/>
      </c>
      <c r="K697" s="71" t="str">
        <f>IF(COUNTA(A697:G697)=0,"",IF(G697&lt;&gt;"",G697,IF(B697="","",IFERROR(IF(INDEX(pr_rate,MATCH(B697,pr_code,0))="","",INDEX(pr_rate,MATCH(B697,pr_code,0))),""))))</f>
        <v/>
      </c>
      <c r="L697" s="65" t="str">
        <f>IF(COUNTA(A697:G697)=0,"",IF(AND(ISNUMBER(D697),ISNUMBER(J697)),ROUND(D697*J697*(1-N(F697)),2),0))</f>
        <v/>
      </c>
      <c r="M697" s="62" t="str">
        <f>IF(A697="","",IFERROR(INDEX(dv_cname,MATCH(A697,dv_num,0))&amp;"",""))</f>
        <v/>
      </c>
      <c r="N697" s="59" t="str">
        <f>IF(COUNTA(A697:G697)=0,"",IF(A697="","N° devis manquant",IF(ISNA(MATCH(A697,dv_num,0)),"Devis inconnu",IF(AND(B697&lt;&gt;"",ISNA(MATCH(B697,pr_code,0))),"Article inconnu",IF(H697="","Désignation manquante",IF(OR(NOT(ISNUMBER(D697)),N(D697)&lt;=0),"Quantité invalide",IF(J697="","Prix manquant",IF(OR(NOT(ISNUMBER(J697)),N(J697)&lt;0),"Prix invalide",IF(OR(AND(F697&lt;&gt;"",NOT(ISNUMBER(F697))),N(F697)&lt;0,N(F697)&gt;1),"Remise invalide",IF(K697="","Taux de TVA manquant",IF(NOT(ISNUMBER(K697)),"Taux de TVA invalide",IF(COUNTIF(p_rates,K697)=0,"Taux de TVA hors liste (Paramètres)",IF(N(O697)&gt;25,"Au-delà de 25 lignes : non imprimée","OK")))))))))))))</f>
        <v/>
      </c>
      <c r="O697" s="59" t="str">
        <f>IF(A697="","",COUNTIF($A$6:A697,A697))</f>
        <v/>
      </c>
      <c r="P697" s="62" t="str">
        <f>IF(A697="","",A697&amp;"|"&amp;O697)</f>
        <v/>
      </c>
    </row>
    <row r="698">
      <c r="A698" s="60" t="n"/>
      <c r="B698" s="63" t="n"/>
      <c r="C698" s="63" t="n"/>
      <c r="D698" s="67" t="n"/>
      <c r="E698" s="68" t="n"/>
      <c r="F698" s="69" t="n"/>
      <c r="G698" s="70" t="n"/>
      <c r="H698" s="62" t="str">
        <f>IF(COUNTA(A698:G698)=0,"",IF(C698&lt;&gt;"",C698,IF(B698="","",IFERROR(INDEX(pr_des,MATCH(B698,pr_code,0))&amp;"",""))))</f>
        <v/>
      </c>
      <c r="I698" s="59" t="str">
        <f>IF(B698="","",IFERROR(INDEX(pr_unit,MATCH(B698,pr_code,0))&amp;"",""))</f>
        <v/>
      </c>
      <c r="J698" s="65" t="str">
        <f>IF(COUNTA(A698:G698)=0,"",IF(E698&lt;&gt;"",E698,IF(B698="","",IFERROR(IF(INDEX(pr_price,MATCH(B698,pr_code,0))="","",INDEX(pr_price,MATCH(B698,pr_code,0))),""))))</f>
        <v/>
      </c>
      <c r="K698" s="71" t="str">
        <f>IF(COUNTA(A698:G698)=0,"",IF(G698&lt;&gt;"",G698,IF(B698="","",IFERROR(IF(INDEX(pr_rate,MATCH(B698,pr_code,0))="","",INDEX(pr_rate,MATCH(B698,pr_code,0))),""))))</f>
        <v/>
      </c>
      <c r="L698" s="65" t="str">
        <f>IF(COUNTA(A698:G698)=0,"",IF(AND(ISNUMBER(D698),ISNUMBER(J698)),ROUND(D698*J698*(1-N(F698)),2),0))</f>
        <v/>
      </c>
      <c r="M698" s="62" t="str">
        <f>IF(A698="","",IFERROR(INDEX(dv_cname,MATCH(A698,dv_num,0))&amp;"",""))</f>
        <v/>
      </c>
      <c r="N698" s="59" t="str">
        <f>IF(COUNTA(A698:G698)=0,"",IF(A698="","N° devis manquant",IF(ISNA(MATCH(A698,dv_num,0)),"Devis inconnu",IF(AND(B698&lt;&gt;"",ISNA(MATCH(B698,pr_code,0))),"Article inconnu",IF(H698="","Désignation manquante",IF(OR(NOT(ISNUMBER(D698)),N(D698)&lt;=0),"Quantité invalide",IF(J698="","Prix manquant",IF(OR(NOT(ISNUMBER(J698)),N(J698)&lt;0),"Prix invalide",IF(OR(AND(F698&lt;&gt;"",NOT(ISNUMBER(F698))),N(F698)&lt;0,N(F698)&gt;1),"Remise invalide",IF(K698="","Taux de TVA manquant",IF(NOT(ISNUMBER(K698)),"Taux de TVA invalide",IF(COUNTIF(p_rates,K698)=0,"Taux de TVA hors liste (Paramètres)",IF(N(O698)&gt;25,"Au-delà de 25 lignes : non imprimée","OK")))))))))))))</f>
        <v/>
      </c>
      <c r="O698" s="59" t="str">
        <f>IF(A698="","",COUNTIF($A$6:A698,A698))</f>
        <v/>
      </c>
      <c r="P698" s="62" t="str">
        <f>IF(A698="","",A698&amp;"|"&amp;O698)</f>
        <v/>
      </c>
    </row>
    <row r="699">
      <c r="A699" s="60" t="n"/>
      <c r="B699" s="63" t="n"/>
      <c r="C699" s="63" t="n"/>
      <c r="D699" s="67" t="n"/>
      <c r="E699" s="68" t="n"/>
      <c r="F699" s="69" t="n"/>
      <c r="G699" s="70" t="n"/>
      <c r="H699" s="62" t="str">
        <f>IF(COUNTA(A699:G699)=0,"",IF(C699&lt;&gt;"",C699,IF(B699="","",IFERROR(INDEX(pr_des,MATCH(B699,pr_code,0))&amp;"",""))))</f>
        <v/>
      </c>
      <c r="I699" s="59" t="str">
        <f>IF(B699="","",IFERROR(INDEX(pr_unit,MATCH(B699,pr_code,0))&amp;"",""))</f>
        <v/>
      </c>
      <c r="J699" s="65" t="str">
        <f>IF(COUNTA(A699:G699)=0,"",IF(E699&lt;&gt;"",E699,IF(B699="","",IFERROR(IF(INDEX(pr_price,MATCH(B699,pr_code,0))="","",INDEX(pr_price,MATCH(B699,pr_code,0))),""))))</f>
        <v/>
      </c>
      <c r="K699" s="71" t="str">
        <f>IF(COUNTA(A699:G699)=0,"",IF(G699&lt;&gt;"",G699,IF(B699="","",IFERROR(IF(INDEX(pr_rate,MATCH(B699,pr_code,0))="","",INDEX(pr_rate,MATCH(B699,pr_code,0))),""))))</f>
        <v/>
      </c>
      <c r="L699" s="65" t="str">
        <f>IF(COUNTA(A699:G699)=0,"",IF(AND(ISNUMBER(D699),ISNUMBER(J699)),ROUND(D699*J699*(1-N(F699)),2),0))</f>
        <v/>
      </c>
      <c r="M699" s="62" t="str">
        <f>IF(A699="","",IFERROR(INDEX(dv_cname,MATCH(A699,dv_num,0))&amp;"",""))</f>
        <v/>
      </c>
      <c r="N699" s="59" t="str">
        <f>IF(COUNTA(A699:G699)=0,"",IF(A699="","N° devis manquant",IF(ISNA(MATCH(A699,dv_num,0)),"Devis inconnu",IF(AND(B699&lt;&gt;"",ISNA(MATCH(B699,pr_code,0))),"Article inconnu",IF(H699="","Désignation manquante",IF(OR(NOT(ISNUMBER(D699)),N(D699)&lt;=0),"Quantité invalide",IF(J699="","Prix manquant",IF(OR(NOT(ISNUMBER(J699)),N(J699)&lt;0),"Prix invalide",IF(OR(AND(F699&lt;&gt;"",NOT(ISNUMBER(F699))),N(F699)&lt;0,N(F699)&gt;1),"Remise invalide",IF(K699="","Taux de TVA manquant",IF(NOT(ISNUMBER(K699)),"Taux de TVA invalide",IF(COUNTIF(p_rates,K699)=0,"Taux de TVA hors liste (Paramètres)",IF(N(O699)&gt;25,"Au-delà de 25 lignes : non imprimée","OK")))))))))))))</f>
        <v/>
      </c>
      <c r="O699" s="59" t="str">
        <f>IF(A699="","",COUNTIF($A$6:A699,A699))</f>
        <v/>
      </c>
      <c r="P699" s="62" t="str">
        <f>IF(A699="","",A699&amp;"|"&amp;O699)</f>
        <v/>
      </c>
    </row>
    <row r="700">
      <c r="A700" s="60" t="n"/>
      <c r="B700" s="63" t="n"/>
      <c r="C700" s="63" t="n"/>
      <c r="D700" s="67" t="n"/>
      <c r="E700" s="68" t="n"/>
      <c r="F700" s="69" t="n"/>
      <c r="G700" s="70" t="n"/>
      <c r="H700" s="62" t="str">
        <f>IF(COUNTA(A700:G700)=0,"",IF(C700&lt;&gt;"",C700,IF(B700="","",IFERROR(INDEX(pr_des,MATCH(B700,pr_code,0))&amp;"",""))))</f>
        <v/>
      </c>
      <c r="I700" s="59" t="str">
        <f>IF(B700="","",IFERROR(INDEX(pr_unit,MATCH(B700,pr_code,0))&amp;"",""))</f>
        <v/>
      </c>
      <c r="J700" s="65" t="str">
        <f>IF(COUNTA(A700:G700)=0,"",IF(E700&lt;&gt;"",E700,IF(B700="","",IFERROR(IF(INDEX(pr_price,MATCH(B700,pr_code,0))="","",INDEX(pr_price,MATCH(B700,pr_code,0))),""))))</f>
        <v/>
      </c>
      <c r="K700" s="71" t="str">
        <f>IF(COUNTA(A700:G700)=0,"",IF(G700&lt;&gt;"",G700,IF(B700="","",IFERROR(IF(INDEX(pr_rate,MATCH(B700,pr_code,0))="","",INDEX(pr_rate,MATCH(B700,pr_code,0))),""))))</f>
        <v/>
      </c>
      <c r="L700" s="65" t="str">
        <f>IF(COUNTA(A700:G700)=0,"",IF(AND(ISNUMBER(D700),ISNUMBER(J700)),ROUND(D700*J700*(1-N(F700)),2),0))</f>
        <v/>
      </c>
      <c r="M700" s="62" t="str">
        <f>IF(A700="","",IFERROR(INDEX(dv_cname,MATCH(A700,dv_num,0))&amp;"",""))</f>
        <v/>
      </c>
      <c r="N700" s="59" t="str">
        <f>IF(COUNTA(A700:G700)=0,"",IF(A700="","N° devis manquant",IF(ISNA(MATCH(A700,dv_num,0)),"Devis inconnu",IF(AND(B700&lt;&gt;"",ISNA(MATCH(B700,pr_code,0))),"Article inconnu",IF(H700="","Désignation manquante",IF(OR(NOT(ISNUMBER(D700)),N(D700)&lt;=0),"Quantité invalide",IF(J700="","Prix manquant",IF(OR(NOT(ISNUMBER(J700)),N(J700)&lt;0),"Prix invalide",IF(OR(AND(F700&lt;&gt;"",NOT(ISNUMBER(F700))),N(F700)&lt;0,N(F700)&gt;1),"Remise invalide",IF(K700="","Taux de TVA manquant",IF(NOT(ISNUMBER(K700)),"Taux de TVA invalide",IF(COUNTIF(p_rates,K700)=0,"Taux de TVA hors liste (Paramètres)",IF(N(O700)&gt;25,"Au-delà de 25 lignes : non imprimée","OK")))))))))))))</f>
        <v/>
      </c>
      <c r="O700" s="59" t="str">
        <f>IF(A700="","",COUNTIF($A$6:A700,A700))</f>
        <v/>
      </c>
      <c r="P700" s="62" t="str">
        <f>IF(A700="","",A700&amp;"|"&amp;O700)</f>
        <v/>
      </c>
    </row>
    <row r="701">
      <c r="A701" s="60" t="n"/>
      <c r="B701" s="63" t="n"/>
      <c r="C701" s="63" t="n"/>
      <c r="D701" s="67" t="n"/>
      <c r="E701" s="68" t="n"/>
      <c r="F701" s="69" t="n"/>
      <c r="G701" s="70" t="n"/>
      <c r="H701" s="62" t="str">
        <f>IF(COUNTA(A701:G701)=0,"",IF(C701&lt;&gt;"",C701,IF(B701="","",IFERROR(INDEX(pr_des,MATCH(B701,pr_code,0))&amp;"",""))))</f>
        <v/>
      </c>
      <c r="I701" s="59" t="str">
        <f>IF(B701="","",IFERROR(INDEX(pr_unit,MATCH(B701,pr_code,0))&amp;"",""))</f>
        <v/>
      </c>
      <c r="J701" s="65" t="str">
        <f>IF(COUNTA(A701:G701)=0,"",IF(E701&lt;&gt;"",E701,IF(B701="","",IFERROR(IF(INDEX(pr_price,MATCH(B701,pr_code,0))="","",INDEX(pr_price,MATCH(B701,pr_code,0))),""))))</f>
        <v/>
      </c>
      <c r="K701" s="71" t="str">
        <f>IF(COUNTA(A701:G701)=0,"",IF(G701&lt;&gt;"",G701,IF(B701="","",IFERROR(IF(INDEX(pr_rate,MATCH(B701,pr_code,0))="","",INDEX(pr_rate,MATCH(B701,pr_code,0))),""))))</f>
        <v/>
      </c>
      <c r="L701" s="65" t="str">
        <f>IF(COUNTA(A701:G701)=0,"",IF(AND(ISNUMBER(D701),ISNUMBER(J701)),ROUND(D701*J701*(1-N(F701)),2),0))</f>
        <v/>
      </c>
      <c r="M701" s="62" t="str">
        <f>IF(A701="","",IFERROR(INDEX(dv_cname,MATCH(A701,dv_num,0))&amp;"",""))</f>
        <v/>
      </c>
      <c r="N701" s="59" t="str">
        <f>IF(COUNTA(A701:G701)=0,"",IF(A701="","N° devis manquant",IF(ISNA(MATCH(A701,dv_num,0)),"Devis inconnu",IF(AND(B701&lt;&gt;"",ISNA(MATCH(B701,pr_code,0))),"Article inconnu",IF(H701="","Désignation manquante",IF(OR(NOT(ISNUMBER(D701)),N(D701)&lt;=0),"Quantité invalide",IF(J701="","Prix manquant",IF(OR(NOT(ISNUMBER(J701)),N(J701)&lt;0),"Prix invalide",IF(OR(AND(F701&lt;&gt;"",NOT(ISNUMBER(F701))),N(F701)&lt;0,N(F701)&gt;1),"Remise invalide",IF(K701="","Taux de TVA manquant",IF(NOT(ISNUMBER(K701)),"Taux de TVA invalide",IF(COUNTIF(p_rates,K701)=0,"Taux de TVA hors liste (Paramètres)",IF(N(O701)&gt;25,"Au-delà de 25 lignes : non imprimée","OK")))))))))))))</f>
        <v/>
      </c>
      <c r="O701" s="59" t="str">
        <f>IF(A701="","",COUNTIF($A$6:A701,A701))</f>
        <v/>
      </c>
      <c r="P701" s="62" t="str">
        <f>IF(A701="","",A701&amp;"|"&amp;O701)</f>
        <v/>
      </c>
    </row>
    <row r="702">
      <c r="A702" s="60" t="n"/>
      <c r="B702" s="63" t="n"/>
      <c r="C702" s="63" t="n"/>
      <c r="D702" s="67" t="n"/>
      <c r="E702" s="68" t="n"/>
      <c r="F702" s="69" t="n"/>
      <c r="G702" s="70" t="n"/>
      <c r="H702" s="62" t="str">
        <f>IF(COUNTA(A702:G702)=0,"",IF(C702&lt;&gt;"",C702,IF(B702="","",IFERROR(INDEX(pr_des,MATCH(B702,pr_code,0))&amp;"",""))))</f>
        <v/>
      </c>
      <c r="I702" s="59" t="str">
        <f>IF(B702="","",IFERROR(INDEX(pr_unit,MATCH(B702,pr_code,0))&amp;"",""))</f>
        <v/>
      </c>
      <c r="J702" s="65" t="str">
        <f>IF(COUNTA(A702:G702)=0,"",IF(E702&lt;&gt;"",E702,IF(B702="","",IFERROR(IF(INDEX(pr_price,MATCH(B702,pr_code,0))="","",INDEX(pr_price,MATCH(B702,pr_code,0))),""))))</f>
        <v/>
      </c>
      <c r="K702" s="71" t="str">
        <f>IF(COUNTA(A702:G702)=0,"",IF(G702&lt;&gt;"",G702,IF(B702="","",IFERROR(IF(INDEX(pr_rate,MATCH(B702,pr_code,0))="","",INDEX(pr_rate,MATCH(B702,pr_code,0))),""))))</f>
        <v/>
      </c>
      <c r="L702" s="65" t="str">
        <f>IF(COUNTA(A702:G702)=0,"",IF(AND(ISNUMBER(D702),ISNUMBER(J702)),ROUND(D702*J702*(1-N(F702)),2),0))</f>
        <v/>
      </c>
      <c r="M702" s="62" t="str">
        <f>IF(A702="","",IFERROR(INDEX(dv_cname,MATCH(A702,dv_num,0))&amp;"",""))</f>
        <v/>
      </c>
      <c r="N702" s="59" t="str">
        <f>IF(COUNTA(A702:G702)=0,"",IF(A702="","N° devis manquant",IF(ISNA(MATCH(A702,dv_num,0)),"Devis inconnu",IF(AND(B702&lt;&gt;"",ISNA(MATCH(B702,pr_code,0))),"Article inconnu",IF(H702="","Désignation manquante",IF(OR(NOT(ISNUMBER(D702)),N(D702)&lt;=0),"Quantité invalide",IF(J702="","Prix manquant",IF(OR(NOT(ISNUMBER(J702)),N(J702)&lt;0),"Prix invalide",IF(OR(AND(F702&lt;&gt;"",NOT(ISNUMBER(F702))),N(F702)&lt;0,N(F702)&gt;1),"Remise invalide",IF(K702="","Taux de TVA manquant",IF(NOT(ISNUMBER(K702)),"Taux de TVA invalide",IF(COUNTIF(p_rates,K702)=0,"Taux de TVA hors liste (Paramètres)",IF(N(O702)&gt;25,"Au-delà de 25 lignes : non imprimée","OK")))))))))))))</f>
        <v/>
      </c>
      <c r="O702" s="59" t="str">
        <f>IF(A702="","",COUNTIF($A$6:A702,A702))</f>
        <v/>
      </c>
      <c r="P702" s="62" t="str">
        <f>IF(A702="","",A702&amp;"|"&amp;O702)</f>
        <v/>
      </c>
    </row>
    <row r="703">
      <c r="A703" s="60" t="n"/>
      <c r="B703" s="63" t="n"/>
      <c r="C703" s="63" t="n"/>
      <c r="D703" s="67" t="n"/>
      <c r="E703" s="68" t="n"/>
      <c r="F703" s="69" t="n"/>
      <c r="G703" s="70" t="n"/>
      <c r="H703" s="62" t="str">
        <f>IF(COUNTA(A703:G703)=0,"",IF(C703&lt;&gt;"",C703,IF(B703="","",IFERROR(INDEX(pr_des,MATCH(B703,pr_code,0))&amp;"",""))))</f>
        <v/>
      </c>
      <c r="I703" s="59" t="str">
        <f>IF(B703="","",IFERROR(INDEX(pr_unit,MATCH(B703,pr_code,0))&amp;"",""))</f>
        <v/>
      </c>
      <c r="J703" s="65" t="str">
        <f>IF(COUNTA(A703:G703)=0,"",IF(E703&lt;&gt;"",E703,IF(B703="","",IFERROR(IF(INDEX(pr_price,MATCH(B703,pr_code,0))="","",INDEX(pr_price,MATCH(B703,pr_code,0))),""))))</f>
        <v/>
      </c>
      <c r="K703" s="71" t="str">
        <f>IF(COUNTA(A703:G703)=0,"",IF(G703&lt;&gt;"",G703,IF(B703="","",IFERROR(IF(INDEX(pr_rate,MATCH(B703,pr_code,0))="","",INDEX(pr_rate,MATCH(B703,pr_code,0))),""))))</f>
        <v/>
      </c>
      <c r="L703" s="65" t="str">
        <f>IF(COUNTA(A703:G703)=0,"",IF(AND(ISNUMBER(D703),ISNUMBER(J703)),ROUND(D703*J703*(1-N(F703)),2),0))</f>
        <v/>
      </c>
      <c r="M703" s="62" t="str">
        <f>IF(A703="","",IFERROR(INDEX(dv_cname,MATCH(A703,dv_num,0))&amp;"",""))</f>
        <v/>
      </c>
      <c r="N703" s="59" t="str">
        <f>IF(COUNTA(A703:G703)=0,"",IF(A703="","N° devis manquant",IF(ISNA(MATCH(A703,dv_num,0)),"Devis inconnu",IF(AND(B703&lt;&gt;"",ISNA(MATCH(B703,pr_code,0))),"Article inconnu",IF(H703="","Désignation manquante",IF(OR(NOT(ISNUMBER(D703)),N(D703)&lt;=0),"Quantité invalide",IF(J703="","Prix manquant",IF(OR(NOT(ISNUMBER(J703)),N(J703)&lt;0),"Prix invalide",IF(OR(AND(F703&lt;&gt;"",NOT(ISNUMBER(F703))),N(F703)&lt;0,N(F703)&gt;1),"Remise invalide",IF(K703="","Taux de TVA manquant",IF(NOT(ISNUMBER(K703)),"Taux de TVA invalide",IF(COUNTIF(p_rates,K703)=0,"Taux de TVA hors liste (Paramètres)",IF(N(O703)&gt;25,"Au-delà de 25 lignes : non imprimée","OK")))))))))))))</f>
        <v/>
      </c>
      <c r="O703" s="59" t="str">
        <f>IF(A703="","",COUNTIF($A$6:A703,A703))</f>
        <v/>
      </c>
      <c r="P703" s="62" t="str">
        <f>IF(A703="","",A703&amp;"|"&amp;O703)</f>
        <v/>
      </c>
    </row>
    <row r="704">
      <c r="A704" s="60" t="n"/>
      <c r="B704" s="63" t="n"/>
      <c r="C704" s="63" t="n"/>
      <c r="D704" s="67" t="n"/>
      <c r="E704" s="68" t="n"/>
      <c r="F704" s="69" t="n"/>
      <c r="G704" s="70" t="n"/>
      <c r="H704" s="62" t="str">
        <f>IF(COUNTA(A704:G704)=0,"",IF(C704&lt;&gt;"",C704,IF(B704="","",IFERROR(INDEX(pr_des,MATCH(B704,pr_code,0))&amp;"",""))))</f>
        <v/>
      </c>
      <c r="I704" s="59" t="str">
        <f>IF(B704="","",IFERROR(INDEX(pr_unit,MATCH(B704,pr_code,0))&amp;"",""))</f>
        <v/>
      </c>
      <c r="J704" s="65" t="str">
        <f>IF(COUNTA(A704:G704)=0,"",IF(E704&lt;&gt;"",E704,IF(B704="","",IFERROR(IF(INDEX(pr_price,MATCH(B704,pr_code,0))="","",INDEX(pr_price,MATCH(B704,pr_code,0))),""))))</f>
        <v/>
      </c>
      <c r="K704" s="71" t="str">
        <f>IF(COUNTA(A704:G704)=0,"",IF(G704&lt;&gt;"",G704,IF(B704="","",IFERROR(IF(INDEX(pr_rate,MATCH(B704,pr_code,0))="","",INDEX(pr_rate,MATCH(B704,pr_code,0))),""))))</f>
        <v/>
      </c>
      <c r="L704" s="65" t="str">
        <f>IF(COUNTA(A704:G704)=0,"",IF(AND(ISNUMBER(D704),ISNUMBER(J704)),ROUND(D704*J704*(1-N(F704)),2),0))</f>
        <v/>
      </c>
      <c r="M704" s="62" t="str">
        <f>IF(A704="","",IFERROR(INDEX(dv_cname,MATCH(A704,dv_num,0))&amp;"",""))</f>
        <v/>
      </c>
      <c r="N704" s="59" t="str">
        <f>IF(COUNTA(A704:G704)=0,"",IF(A704="","N° devis manquant",IF(ISNA(MATCH(A704,dv_num,0)),"Devis inconnu",IF(AND(B704&lt;&gt;"",ISNA(MATCH(B704,pr_code,0))),"Article inconnu",IF(H704="","Désignation manquante",IF(OR(NOT(ISNUMBER(D704)),N(D704)&lt;=0),"Quantité invalide",IF(J704="","Prix manquant",IF(OR(NOT(ISNUMBER(J704)),N(J704)&lt;0),"Prix invalide",IF(OR(AND(F704&lt;&gt;"",NOT(ISNUMBER(F704))),N(F704)&lt;0,N(F704)&gt;1),"Remise invalide",IF(K704="","Taux de TVA manquant",IF(NOT(ISNUMBER(K704)),"Taux de TVA invalide",IF(COUNTIF(p_rates,K704)=0,"Taux de TVA hors liste (Paramètres)",IF(N(O704)&gt;25,"Au-delà de 25 lignes : non imprimée","OK")))))))))))))</f>
        <v/>
      </c>
      <c r="O704" s="59" t="str">
        <f>IF(A704="","",COUNTIF($A$6:A704,A704))</f>
        <v/>
      </c>
      <c r="P704" s="62" t="str">
        <f>IF(A704="","",A704&amp;"|"&amp;O704)</f>
        <v/>
      </c>
    </row>
    <row r="705">
      <c r="A705" s="60" t="n"/>
      <c r="B705" s="63" t="n"/>
      <c r="C705" s="63" t="n"/>
      <c r="D705" s="67" t="n"/>
      <c r="E705" s="68" t="n"/>
      <c r="F705" s="69" t="n"/>
      <c r="G705" s="70" t="n"/>
      <c r="H705" s="62" t="str">
        <f>IF(COUNTA(A705:G705)=0,"",IF(C705&lt;&gt;"",C705,IF(B705="","",IFERROR(INDEX(pr_des,MATCH(B705,pr_code,0))&amp;"",""))))</f>
        <v/>
      </c>
      <c r="I705" s="59" t="str">
        <f>IF(B705="","",IFERROR(INDEX(pr_unit,MATCH(B705,pr_code,0))&amp;"",""))</f>
        <v/>
      </c>
      <c r="J705" s="65" t="str">
        <f>IF(COUNTA(A705:G705)=0,"",IF(E705&lt;&gt;"",E705,IF(B705="","",IFERROR(IF(INDEX(pr_price,MATCH(B705,pr_code,0))="","",INDEX(pr_price,MATCH(B705,pr_code,0))),""))))</f>
        <v/>
      </c>
      <c r="K705" s="71" t="str">
        <f>IF(COUNTA(A705:G705)=0,"",IF(G705&lt;&gt;"",G705,IF(B705="","",IFERROR(IF(INDEX(pr_rate,MATCH(B705,pr_code,0))="","",INDEX(pr_rate,MATCH(B705,pr_code,0))),""))))</f>
        <v/>
      </c>
      <c r="L705" s="65" t="str">
        <f>IF(COUNTA(A705:G705)=0,"",IF(AND(ISNUMBER(D705),ISNUMBER(J705)),ROUND(D705*J705*(1-N(F705)),2),0))</f>
        <v/>
      </c>
      <c r="M705" s="62" t="str">
        <f>IF(A705="","",IFERROR(INDEX(dv_cname,MATCH(A705,dv_num,0))&amp;"",""))</f>
        <v/>
      </c>
      <c r="N705" s="59" t="str">
        <f>IF(COUNTA(A705:G705)=0,"",IF(A705="","N° devis manquant",IF(ISNA(MATCH(A705,dv_num,0)),"Devis inconnu",IF(AND(B705&lt;&gt;"",ISNA(MATCH(B705,pr_code,0))),"Article inconnu",IF(H705="","Désignation manquante",IF(OR(NOT(ISNUMBER(D705)),N(D705)&lt;=0),"Quantité invalide",IF(J705="","Prix manquant",IF(OR(NOT(ISNUMBER(J705)),N(J705)&lt;0),"Prix invalide",IF(OR(AND(F705&lt;&gt;"",NOT(ISNUMBER(F705))),N(F705)&lt;0,N(F705)&gt;1),"Remise invalide",IF(K705="","Taux de TVA manquant",IF(NOT(ISNUMBER(K705)),"Taux de TVA invalide",IF(COUNTIF(p_rates,K705)=0,"Taux de TVA hors liste (Paramètres)",IF(N(O705)&gt;25,"Au-delà de 25 lignes : non imprimée","OK")))))))))))))</f>
        <v/>
      </c>
      <c r="O705" s="59" t="str">
        <f>IF(A705="","",COUNTIF($A$6:A705,A705))</f>
        <v/>
      </c>
      <c r="P705" s="62" t="str">
        <f>IF(A705="","",A705&amp;"|"&amp;O705)</f>
        <v/>
      </c>
    </row>
    <row r="706">
      <c r="A706" s="60" t="n"/>
      <c r="B706" s="63" t="n"/>
      <c r="C706" s="63" t="n"/>
      <c r="D706" s="67" t="n"/>
      <c r="E706" s="68" t="n"/>
      <c r="F706" s="69" t="n"/>
      <c r="G706" s="70" t="n"/>
      <c r="H706" s="62" t="str">
        <f>IF(COUNTA(A706:G706)=0,"",IF(C706&lt;&gt;"",C706,IF(B706="","",IFERROR(INDEX(pr_des,MATCH(B706,pr_code,0))&amp;"",""))))</f>
        <v/>
      </c>
      <c r="I706" s="59" t="str">
        <f>IF(B706="","",IFERROR(INDEX(pr_unit,MATCH(B706,pr_code,0))&amp;"",""))</f>
        <v/>
      </c>
      <c r="J706" s="65" t="str">
        <f>IF(COUNTA(A706:G706)=0,"",IF(E706&lt;&gt;"",E706,IF(B706="","",IFERROR(IF(INDEX(pr_price,MATCH(B706,pr_code,0))="","",INDEX(pr_price,MATCH(B706,pr_code,0))),""))))</f>
        <v/>
      </c>
      <c r="K706" s="71" t="str">
        <f>IF(COUNTA(A706:G706)=0,"",IF(G706&lt;&gt;"",G706,IF(B706="","",IFERROR(IF(INDEX(pr_rate,MATCH(B706,pr_code,0))="","",INDEX(pr_rate,MATCH(B706,pr_code,0))),""))))</f>
        <v/>
      </c>
      <c r="L706" s="65" t="str">
        <f>IF(COUNTA(A706:G706)=0,"",IF(AND(ISNUMBER(D706),ISNUMBER(J706)),ROUND(D706*J706*(1-N(F706)),2),0))</f>
        <v/>
      </c>
      <c r="M706" s="62" t="str">
        <f>IF(A706="","",IFERROR(INDEX(dv_cname,MATCH(A706,dv_num,0))&amp;"",""))</f>
        <v/>
      </c>
      <c r="N706" s="59" t="str">
        <f>IF(COUNTA(A706:G706)=0,"",IF(A706="","N° devis manquant",IF(ISNA(MATCH(A706,dv_num,0)),"Devis inconnu",IF(AND(B706&lt;&gt;"",ISNA(MATCH(B706,pr_code,0))),"Article inconnu",IF(H706="","Désignation manquante",IF(OR(NOT(ISNUMBER(D706)),N(D706)&lt;=0),"Quantité invalide",IF(J706="","Prix manquant",IF(OR(NOT(ISNUMBER(J706)),N(J706)&lt;0),"Prix invalide",IF(OR(AND(F706&lt;&gt;"",NOT(ISNUMBER(F706))),N(F706)&lt;0,N(F706)&gt;1),"Remise invalide",IF(K706="","Taux de TVA manquant",IF(NOT(ISNUMBER(K706)),"Taux de TVA invalide",IF(COUNTIF(p_rates,K706)=0,"Taux de TVA hors liste (Paramètres)",IF(N(O706)&gt;25,"Au-delà de 25 lignes : non imprimée","OK")))))))))))))</f>
        <v/>
      </c>
      <c r="O706" s="59" t="str">
        <f>IF(A706="","",COUNTIF($A$6:A706,A706))</f>
        <v/>
      </c>
      <c r="P706" s="62" t="str">
        <f>IF(A706="","",A706&amp;"|"&amp;O706)</f>
        <v/>
      </c>
    </row>
    <row r="707">
      <c r="A707" s="60" t="n"/>
      <c r="B707" s="63" t="n"/>
      <c r="C707" s="63" t="n"/>
      <c r="D707" s="67" t="n"/>
      <c r="E707" s="68" t="n"/>
      <c r="F707" s="69" t="n"/>
      <c r="G707" s="70" t="n"/>
      <c r="H707" s="62" t="str">
        <f>IF(COUNTA(A707:G707)=0,"",IF(C707&lt;&gt;"",C707,IF(B707="","",IFERROR(INDEX(pr_des,MATCH(B707,pr_code,0))&amp;"",""))))</f>
        <v/>
      </c>
      <c r="I707" s="59" t="str">
        <f>IF(B707="","",IFERROR(INDEX(pr_unit,MATCH(B707,pr_code,0))&amp;"",""))</f>
        <v/>
      </c>
      <c r="J707" s="65" t="str">
        <f>IF(COUNTA(A707:G707)=0,"",IF(E707&lt;&gt;"",E707,IF(B707="","",IFERROR(IF(INDEX(pr_price,MATCH(B707,pr_code,0))="","",INDEX(pr_price,MATCH(B707,pr_code,0))),""))))</f>
        <v/>
      </c>
      <c r="K707" s="71" t="str">
        <f>IF(COUNTA(A707:G707)=0,"",IF(G707&lt;&gt;"",G707,IF(B707="","",IFERROR(IF(INDEX(pr_rate,MATCH(B707,pr_code,0))="","",INDEX(pr_rate,MATCH(B707,pr_code,0))),""))))</f>
        <v/>
      </c>
      <c r="L707" s="65" t="str">
        <f>IF(COUNTA(A707:G707)=0,"",IF(AND(ISNUMBER(D707),ISNUMBER(J707)),ROUND(D707*J707*(1-N(F707)),2),0))</f>
        <v/>
      </c>
      <c r="M707" s="62" t="str">
        <f>IF(A707="","",IFERROR(INDEX(dv_cname,MATCH(A707,dv_num,0))&amp;"",""))</f>
        <v/>
      </c>
      <c r="N707" s="59" t="str">
        <f>IF(COUNTA(A707:G707)=0,"",IF(A707="","N° devis manquant",IF(ISNA(MATCH(A707,dv_num,0)),"Devis inconnu",IF(AND(B707&lt;&gt;"",ISNA(MATCH(B707,pr_code,0))),"Article inconnu",IF(H707="","Désignation manquante",IF(OR(NOT(ISNUMBER(D707)),N(D707)&lt;=0),"Quantité invalide",IF(J707="","Prix manquant",IF(OR(NOT(ISNUMBER(J707)),N(J707)&lt;0),"Prix invalide",IF(OR(AND(F707&lt;&gt;"",NOT(ISNUMBER(F707))),N(F707)&lt;0,N(F707)&gt;1),"Remise invalide",IF(K707="","Taux de TVA manquant",IF(NOT(ISNUMBER(K707)),"Taux de TVA invalide",IF(COUNTIF(p_rates,K707)=0,"Taux de TVA hors liste (Paramètres)",IF(N(O707)&gt;25,"Au-delà de 25 lignes : non imprimée","OK")))))))))))))</f>
        <v/>
      </c>
      <c r="O707" s="59" t="str">
        <f>IF(A707="","",COUNTIF($A$6:A707,A707))</f>
        <v/>
      </c>
      <c r="P707" s="62" t="str">
        <f>IF(A707="","",A707&amp;"|"&amp;O707)</f>
        <v/>
      </c>
    </row>
    <row r="708">
      <c r="A708" s="60" t="n"/>
      <c r="B708" s="63" t="n"/>
      <c r="C708" s="63" t="n"/>
      <c r="D708" s="67" t="n"/>
      <c r="E708" s="68" t="n"/>
      <c r="F708" s="69" t="n"/>
      <c r="G708" s="70" t="n"/>
      <c r="H708" s="62" t="str">
        <f>IF(COUNTA(A708:G708)=0,"",IF(C708&lt;&gt;"",C708,IF(B708="","",IFERROR(INDEX(pr_des,MATCH(B708,pr_code,0))&amp;"",""))))</f>
        <v/>
      </c>
      <c r="I708" s="59" t="str">
        <f>IF(B708="","",IFERROR(INDEX(pr_unit,MATCH(B708,pr_code,0))&amp;"",""))</f>
        <v/>
      </c>
      <c r="J708" s="65" t="str">
        <f>IF(COUNTA(A708:G708)=0,"",IF(E708&lt;&gt;"",E708,IF(B708="","",IFERROR(IF(INDEX(pr_price,MATCH(B708,pr_code,0))="","",INDEX(pr_price,MATCH(B708,pr_code,0))),""))))</f>
        <v/>
      </c>
      <c r="K708" s="71" t="str">
        <f>IF(COUNTA(A708:G708)=0,"",IF(G708&lt;&gt;"",G708,IF(B708="","",IFERROR(IF(INDEX(pr_rate,MATCH(B708,pr_code,0))="","",INDEX(pr_rate,MATCH(B708,pr_code,0))),""))))</f>
        <v/>
      </c>
      <c r="L708" s="65" t="str">
        <f>IF(COUNTA(A708:G708)=0,"",IF(AND(ISNUMBER(D708),ISNUMBER(J708)),ROUND(D708*J708*(1-N(F708)),2),0))</f>
        <v/>
      </c>
      <c r="M708" s="62" t="str">
        <f>IF(A708="","",IFERROR(INDEX(dv_cname,MATCH(A708,dv_num,0))&amp;"",""))</f>
        <v/>
      </c>
      <c r="N708" s="59" t="str">
        <f>IF(COUNTA(A708:G708)=0,"",IF(A708="","N° devis manquant",IF(ISNA(MATCH(A708,dv_num,0)),"Devis inconnu",IF(AND(B708&lt;&gt;"",ISNA(MATCH(B708,pr_code,0))),"Article inconnu",IF(H708="","Désignation manquante",IF(OR(NOT(ISNUMBER(D708)),N(D708)&lt;=0),"Quantité invalide",IF(J708="","Prix manquant",IF(OR(NOT(ISNUMBER(J708)),N(J708)&lt;0),"Prix invalide",IF(OR(AND(F708&lt;&gt;"",NOT(ISNUMBER(F708))),N(F708)&lt;0,N(F708)&gt;1),"Remise invalide",IF(K708="","Taux de TVA manquant",IF(NOT(ISNUMBER(K708)),"Taux de TVA invalide",IF(COUNTIF(p_rates,K708)=0,"Taux de TVA hors liste (Paramètres)",IF(N(O708)&gt;25,"Au-delà de 25 lignes : non imprimée","OK")))))))))))))</f>
        <v/>
      </c>
      <c r="O708" s="59" t="str">
        <f>IF(A708="","",COUNTIF($A$6:A708,A708))</f>
        <v/>
      </c>
      <c r="P708" s="62" t="str">
        <f>IF(A708="","",A708&amp;"|"&amp;O708)</f>
        <v/>
      </c>
    </row>
    <row r="709">
      <c r="A709" s="60" t="n"/>
      <c r="B709" s="63" t="n"/>
      <c r="C709" s="63" t="n"/>
      <c r="D709" s="67" t="n"/>
      <c r="E709" s="68" t="n"/>
      <c r="F709" s="69" t="n"/>
      <c r="G709" s="70" t="n"/>
      <c r="H709" s="62" t="str">
        <f>IF(COUNTA(A709:G709)=0,"",IF(C709&lt;&gt;"",C709,IF(B709="","",IFERROR(INDEX(pr_des,MATCH(B709,pr_code,0))&amp;"",""))))</f>
        <v/>
      </c>
      <c r="I709" s="59" t="str">
        <f>IF(B709="","",IFERROR(INDEX(pr_unit,MATCH(B709,pr_code,0))&amp;"",""))</f>
        <v/>
      </c>
      <c r="J709" s="65" t="str">
        <f>IF(COUNTA(A709:G709)=0,"",IF(E709&lt;&gt;"",E709,IF(B709="","",IFERROR(IF(INDEX(pr_price,MATCH(B709,pr_code,0))="","",INDEX(pr_price,MATCH(B709,pr_code,0))),""))))</f>
        <v/>
      </c>
      <c r="K709" s="71" t="str">
        <f>IF(COUNTA(A709:G709)=0,"",IF(G709&lt;&gt;"",G709,IF(B709="","",IFERROR(IF(INDEX(pr_rate,MATCH(B709,pr_code,0))="","",INDEX(pr_rate,MATCH(B709,pr_code,0))),""))))</f>
        <v/>
      </c>
      <c r="L709" s="65" t="str">
        <f>IF(COUNTA(A709:G709)=0,"",IF(AND(ISNUMBER(D709),ISNUMBER(J709)),ROUND(D709*J709*(1-N(F709)),2),0))</f>
        <v/>
      </c>
      <c r="M709" s="62" t="str">
        <f>IF(A709="","",IFERROR(INDEX(dv_cname,MATCH(A709,dv_num,0))&amp;"",""))</f>
        <v/>
      </c>
      <c r="N709" s="59" t="str">
        <f>IF(COUNTA(A709:G709)=0,"",IF(A709="","N° devis manquant",IF(ISNA(MATCH(A709,dv_num,0)),"Devis inconnu",IF(AND(B709&lt;&gt;"",ISNA(MATCH(B709,pr_code,0))),"Article inconnu",IF(H709="","Désignation manquante",IF(OR(NOT(ISNUMBER(D709)),N(D709)&lt;=0),"Quantité invalide",IF(J709="","Prix manquant",IF(OR(NOT(ISNUMBER(J709)),N(J709)&lt;0),"Prix invalide",IF(OR(AND(F709&lt;&gt;"",NOT(ISNUMBER(F709))),N(F709)&lt;0,N(F709)&gt;1),"Remise invalide",IF(K709="","Taux de TVA manquant",IF(NOT(ISNUMBER(K709)),"Taux de TVA invalide",IF(COUNTIF(p_rates,K709)=0,"Taux de TVA hors liste (Paramètres)",IF(N(O709)&gt;25,"Au-delà de 25 lignes : non imprimée","OK")))))))))))))</f>
        <v/>
      </c>
      <c r="O709" s="59" t="str">
        <f>IF(A709="","",COUNTIF($A$6:A709,A709))</f>
        <v/>
      </c>
      <c r="P709" s="62" t="str">
        <f>IF(A709="","",A709&amp;"|"&amp;O709)</f>
        <v/>
      </c>
    </row>
    <row r="710">
      <c r="A710" s="60" t="n"/>
      <c r="B710" s="63" t="n"/>
      <c r="C710" s="63" t="n"/>
      <c r="D710" s="67" t="n"/>
      <c r="E710" s="68" t="n"/>
      <c r="F710" s="69" t="n"/>
      <c r="G710" s="70" t="n"/>
      <c r="H710" s="62" t="str">
        <f>IF(COUNTA(A710:G710)=0,"",IF(C710&lt;&gt;"",C710,IF(B710="","",IFERROR(INDEX(pr_des,MATCH(B710,pr_code,0))&amp;"",""))))</f>
        <v/>
      </c>
      <c r="I710" s="59" t="str">
        <f>IF(B710="","",IFERROR(INDEX(pr_unit,MATCH(B710,pr_code,0))&amp;"",""))</f>
        <v/>
      </c>
      <c r="J710" s="65" t="str">
        <f>IF(COUNTA(A710:G710)=0,"",IF(E710&lt;&gt;"",E710,IF(B710="","",IFERROR(IF(INDEX(pr_price,MATCH(B710,pr_code,0))="","",INDEX(pr_price,MATCH(B710,pr_code,0))),""))))</f>
        <v/>
      </c>
      <c r="K710" s="71" t="str">
        <f>IF(COUNTA(A710:G710)=0,"",IF(G710&lt;&gt;"",G710,IF(B710="","",IFERROR(IF(INDEX(pr_rate,MATCH(B710,pr_code,0))="","",INDEX(pr_rate,MATCH(B710,pr_code,0))),""))))</f>
        <v/>
      </c>
      <c r="L710" s="65" t="str">
        <f>IF(COUNTA(A710:G710)=0,"",IF(AND(ISNUMBER(D710),ISNUMBER(J710)),ROUND(D710*J710*(1-N(F710)),2),0))</f>
        <v/>
      </c>
      <c r="M710" s="62" t="str">
        <f>IF(A710="","",IFERROR(INDEX(dv_cname,MATCH(A710,dv_num,0))&amp;"",""))</f>
        <v/>
      </c>
      <c r="N710" s="59" t="str">
        <f>IF(COUNTA(A710:G710)=0,"",IF(A710="","N° devis manquant",IF(ISNA(MATCH(A710,dv_num,0)),"Devis inconnu",IF(AND(B710&lt;&gt;"",ISNA(MATCH(B710,pr_code,0))),"Article inconnu",IF(H710="","Désignation manquante",IF(OR(NOT(ISNUMBER(D710)),N(D710)&lt;=0),"Quantité invalide",IF(J710="","Prix manquant",IF(OR(NOT(ISNUMBER(J710)),N(J710)&lt;0),"Prix invalide",IF(OR(AND(F710&lt;&gt;"",NOT(ISNUMBER(F710))),N(F710)&lt;0,N(F710)&gt;1),"Remise invalide",IF(K710="","Taux de TVA manquant",IF(NOT(ISNUMBER(K710)),"Taux de TVA invalide",IF(COUNTIF(p_rates,K710)=0,"Taux de TVA hors liste (Paramètres)",IF(N(O710)&gt;25,"Au-delà de 25 lignes : non imprimée","OK")))))))))))))</f>
        <v/>
      </c>
      <c r="O710" s="59" t="str">
        <f>IF(A710="","",COUNTIF($A$6:A710,A710))</f>
        <v/>
      </c>
      <c r="P710" s="62" t="str">
        <f>IF(A710="","",A710&amp;"|"&amp;O710)</f>
        <v/>
      </c>
    </row>
    <row r="711">
      <c r="A711" s="60" t="n"/>
      <c r="B711" s="63" t="n"/>
      <c r="C711" s="63" t="n"/>
      <c r="D711" s="67" t="n"/>
      <c r="E711" s="68" t="n"/>
      <c r="F711" s="69" t="n"/>
      <c r="G711" s="70" t="n"/>
      <c r="H711" s="62" t="str">
        <f>IF(COUNTA(A711:G711)=0,"",IF(C711&lt;&gt;"",C711,IF(B711="","",IFERROR(INDEX(pr_des,MATCH(B711,pr_code,0))&amp;"",""))))</f>
        <v/>
      </c>
      <c r="I711" s="59" t="str">
        <f>IF(B711="","",IFERROR(INDEX(pr_unit,MATCH(B711,pr_code,0))&amp;"",""))</f>
        <v/>
      </c>
      <c r="J711" s="65" t="str">
        <f>IF(COUNTA(A711:G711)=0,"",IF(E711&lt;&gt;"",E711,IF(B711="","",IFERROR(IF(INDEX(pr_price,MATCH(B711,pr_code,0))="","",INDEX(pr_price,MATCH(B711,pr_code,0))),""))))</f>
        <v/>
      </c>
      <c r="K711" s="71" t="str">
        <f>IF(COUNTA(A711:G711)=0,"",IF(G711&lt;&gt;"",G711,IF(B711="","",IFERROR(IF(INDEX(pr_rate,MATCH(B711,pr_code,0))="","",INDEX(pr_rate,MATCH(B711,pr_code,0))),""))))</f>
        <v/>
      </c>
      <c r="L711" s="65" t="str">
        <f>IF(COUNTA(A711:G711)=0,"",IF(AND(ISNUMBER(D711),ISNUMBER(J711)),ROUND(D711*J711*(1-N(F711)),2),0))</f>
        <v/>
      </c>
      <c r="M711" s="62" t="str">
        <f>IF(A711="","",IFERROR(INDEX(dv_cname,MATCH(A711,dv_num,0))&amp;"",""))</f>
        <v/>
      </c>
      <c r="N711" s="59" t="str">
        <f>IF(COUNTA(A711:G711)=0,"",IF(A711="","N° devis manquant",IF(ISNA(MATCH(A711,dv_num,0)),"Devis inconnu",IF(AND(B711&lt;&gt;"",ISNA(MATCH(B711,pr_code,0))),"Article inconnu",IF(H711="","Désignation manquante",IF(OR(NOT(ISNUMBER(D711)),N(D711)&lt;=0),"Quantité invalide",IF(J711="","Prix manquant",IF(OR(NOT(ISNUMBER(J711)),N(J711)&lt;0),"Prix invalide",IF(OR(AND(F711&lt;&gt;"",NOT(ISNUMBER(F711))),N(F711)&lt;0,N(F711)&gt;1),"Remise invalide",IF(K711="","Taux de TVA manquant",IF(NOT(ISNUMBER(K711)),"Taux de TVA invalide",IF(COUNTIF(p_rates,K711)=0,"Taux de TVA hors liste (Paramètres)",IF(N(O711)&gt;25,"Au-delà de 25 lignes : non imprimée","OK")))))))))))))</f>
        <v/>
      </c>
      <c r="O711" s="59" t="str">
        <f>IF(A711="","",COUNTIF($A$6:A711,A711))</f>
        <v/>
      </c>
      <c r="P711" s="62" t="str">
        <f>IF(A711="","",A711&amp;"|"&amp;O711)</f>
        <v/>
      </c>
    </row>
    <row r="712">
      <c r="A712" s="60" t="n"/>
      <c r="B712" s="63" t="n"/>
      <c r="C712" s="63" t="n"/>
      <c r="D712" s="67" t="n"/>
      <c r="E712" s="68" t="n"/>
      <c r="F712" s="69" t="n"/>
      <c r="G712" s="70" t="n"/>
      <c r="H712" s="62" t="str">
        <f>IF(COUNTA(A712:G712)=0,"",IF(C712&lt;&gt;"",C712,IF(B712="","",IFERROR(INDEX(pr_des,MATCH(B712,pr_code,0))&amp;"",""))))</f>
        <v/>
      </c>
      <c r="I712" s="59" t="str">
        <f>IF(B712="","",IFERROR(INDEX(pr_unit,MATCH(B712,pr_code,0))&amp;"",""))</f>
        <v/>
      </c>
      <c r="J712" s="65" t="str">
        <f>IF(COUNTA(A712:G712)=0,"",IF(E712&lt;&gt;"",E712,IF(B712="","",IFERROR(IF(INDEX(pr_price,MATCH(B712,pr_code,0))="","",INDEX(pr_price,MATCH(B712,pr_code,0))),""))))</f>
        <v/>
      </c>
      <c r="K712" s="71" t="str">
        <f>IF(COUNTA(A712:G712)=0,"",IF(G712&lt;&gt;"",G712,IF(B712="","",IFERROR(IF(INDEX(pr_rate,MATCH(B712,pr_code,0))="","",INDEX(pr_rate,MATCH(B712,pr_code,0))),""))))</f>
        <v/>
      </c>
      <c r="L712" s="65" t="str">
        <f>IF(COUNTA(A712:G712)=0,"",IF(AND(ISNUMBER(D712),ISNUMBER(J712)),ROUND(D712*J712*(1-N(F712)),2),0))</f>
        <v/>
      </c>
      <c r="M712" s="62" t="str">
        <f>IF(A712="","",IFERROR(INDEX(dv_cname,MATCH(A712,dv_num,0))&amp;"",""))</f>
        <v/>
      </c>
      <c r="N712" s="59" t="str">
        <f>IF(COUNTA(A712:G712)=0,"",IF(A712="","N° devis manquant",IF(ISNA(MATCH(A712,dv_num,0)),"Devis inconnu",IF(AND(B712&lt;&gt;"",ISNA(MATCH(B712,pr_code,0))),"Article inconnu",IF(H712="","Désignation manquante",IF(OR(NOT(ISNUMBER(D712)),N(D712)&lt;=0),"Quantité invalide",IF(J712="","Prix manquant",IF(OR(NOT(ISNUMBER(J712)),N(J712)&lt;0),"Prix invalide",IF(OR(AND(F712&lt;&gt;"",NOT(ISNUMBER(F712))),N(F712)&lt;0,N(F712)&gt;1),"Remise invalide",IF(K712="","Taux de TVA manquant",IF(NOT(ISNUMBER(K712)),"Taux de TVA invalide",IF(COUNTIF(p_rates,K712)=0,"Taux de TVA hors liste (Paramètres)",IF(N(O712)&gt;25,"Au-delà de 25 lignes : non imprimée","OK")))))))))))))</f>
        <v/>
      </c>
      <c r="O712" s="59" t="str">
        <f>IF(A712="","",COUNTIF($A$6:A712,A712))</f>
        <v/>
      </c>
      <c r="P712" s="62" t="str">
        <f>IF(A712="","",A712&amp;"|"&amp;O712)</f>
        <v/>
      </c>
    </row>
    <row r="713">
      <c r="A713" s="60" t="n"/>
      <c r="B713" s="63" t="n"/>
      <c r="C713" s="63" t="n"/>
      <c r="D713" s="67" t="n"/>
      <c r="E713" s="68" t="n"/>
      <c r="F713" s="69" t="n"/>
      <c r="G713" s="70" t="n"/>
      <c r="H713" s="62" t="str">
        <f>IF(COUNTA(A713:G713)=0,"",IF(C713&lt;&gt;"",C713,IF(B713="","",IFERROR(INDEX(pr_des,MATCH(B713,pr_code,0))&amp;"",""))))</f>
        <v/>
      </c>
      <c r="I713" s="59" t="str">
        <f>IF(B713="","",IFERROR(INDEX(pr_unit,MATCH(B713,pr_code,0))&amp;"",""))</f>
        <v/>
      </c>
      <c r="J713" s="65" t="str">
        <f>IF(COUNTA(A713:G713)=0,"",IF(E713&lt;&gt;"",E713,IF(B713="","",IFERROR(IF(INDEX(pr_price,MATCH(B713,pr_code,0))="","",INDEX(pr_price,MATCH(B713,pr_code,0))),""))))</f>
        <v/>
      </c>
      <c r="K713" s="71" t="str">
        <f>IF(COUNTA(A713:G713)=0,"",IF(G713&lt;&gt;"",G713,IF(B713="","",IFERROR(IF(INDEX(pr_rate,MATCH(B713,pr_code,0))="","",INDEX(pr_rate,MATCH(B713,pr_code,0))),""))))</f>
        <v/>
      </c>
      <c r="L713" s="65" t="str">
        <f>IF(COUNTA(A713:G713)=0,"",IF(AND(ISNUMBER(D713),ISNUMBER(J713)),ROUND(D713*J713*(1-N(F713)),2),0))</f>
        <v/>
      </c>
      <c r="M713" s="62" t="str">
        <f>IF(A713="","",IFERROR(INDEX(dv_cname,MATCH(A713,dv_num,0))&amp;"",""))</f>
        <v/>
      </c>
      <c r="N713" s="59" t="str">
        <f>IF(COUNTA(A713:G713)=0,"",IF(A713="","N° devis manquant",IF(ISNA(MATCH(A713,dv_num,0)),"Devis inconnu",IF(AND(B713&lt;&gt;"",ISNA(MATCH(B713,pr_code,0))),"Article inconnu",IF(H713="","Désignation manquante",IF(OR(NOT(ISNUMBER(D713)),N(D713)&lt;=0),"Quantité invalide",IF(J713="","Prix manquant",IF(OR(NOT(ISNUMBER(J713)),N(J713)&lt;0),"Prix invalide",IF(OR(AND(F713&lt;&gt;"",NOT(ISNUMBER(F713))),N(F713)&lt;0,N(F713)&gt;1),"Remise invalide",IF(K713="","Taux de TVA manquant",IF(NOT(ISNUMBER(K713)),"Taux de TVA invalide",IF(COUNTIF(p_rates,K713)=0,"Taux de TVA hors liste (Paramètres)",IF(N(O713)&gt;25,"Au-delà de 25 lignes : non imprimée","OK")))))))))))))</f>
        <v/>
      </c>
      <c r="O713" s="59" t="str">
        <f>IF(A713="","",COUNTIF($A$6:A713,A713))</f>
        <v/>
      </c>
      <c r="P713" s="62" t="str">
        <f>IF(A713="","",A713&amp;"|"&amp;O713)</f>
        <v/>
      </c>
    </row>
    <row r="714">
      <c r="A714" s="60" t="n"/>
      <c r="B714" s="63" t="n"/>
      <c r="C714" s="63" t="n"/>
      <c r="D714" s="67" t="n"/>
      <c r="E714" s="68" t="n"/>
      <c r="F714" s="69" t="n"/>
      <c r="G714" s="70" t="n"/>
      <c r="H714" s="62" t="str">
        <f>IF(COUNTA(A714:G714)=0,"",IF(C714&lt;&gt;"",C714,IF(B714="","",IFERROR(INDEX(pr_des,MATCH(B714,pr_code,0))&amp;"",""))))</f>
        <v/>
      </c>
      <c r="I714" s="59" t="str">
        <f>IF(B714="","",IFERROR(INDEX(pr_unit,MATCH(B714,pr_code,0))&amp;"",""))</f>
        <v/>
      </c>
      <c r="J714" s="65" t="str">
        <f>IF(COUNTA(A714:G714)=0,"",IF(E714&lt;&gt;"",E714,IF(B714="","",IFERROR(IF(INDEX(pr_price,MATCH(B714,pr_code,0))="","",INDEX(pr_price,MATCH(B714,pr_code,0))),""))))</f>
        <v/>
      </c>
      <c r="K714" s="71" t="str">
        <f>IF(COUNTA(A714:G714)=0,"",IF(G714&lt;&gt;"",G714,IF(B714="","",IFERROR(IF(INDEX(pr_rate,MATCH(B714,pr_code,0))="","",INDEX(pr_rate,MATCH(B714,pr_code,0))),""))))</f>
        <v/>
      </c>
      <c r="L714" s="65" t="str">
        <f>IF(COUNTA(A714:G714)=0,"",IF(AND(ISNUMBER(D714),ISNUMBER(J714)),ROUND(D714*J714*(1-N(F714)),2),0))</f>
        <v/>
      </c>
      <c r="M714" s="62" t="str">
        <f>IF(A714="","",IFERROR(INDEX(dv_cname,MATCH(A714,dv_num,0))&amp;"",""))</f>
        <v/>
      </c>
      <c r="N714" s="59" t="str">
        <f>IF(COUNTA(A714:G714)=0,"",IF(A714="","N° devis manquant",IF(ISNA(MATCH(A714,dv_num,0)),"Devis inconnu",IF(AND(B714&lt;&gt;"",ISNA(MATCH(B714,pr_code,0))),"Article inconnu",IF(H714="","Désignation manquante",IF(OR(NOT(ISNUMBER(D714)),N(D714)&lt;=0),"Quantité invalide",IF(J714="","Prix manquant",IF(OR(NOT(ISNUMBER(J714)),N(J714)&lt;0),"Prix invalide",IF(OR(AND(F714&lt;&gt;"",NOT(ISNUMBER(F714))),N(F714)&lt;0,N(F714)&gt;1),"Remise invalide",IF(K714="","Taux de TVA manquant",IF(NOT(ISNUMBER(K714)),"Taux de TVA invalide",IF(COUNTIF(p_rates,K714)=0,"Taux de TVA hors liste (Paramètres)",IF(N(O714)&gt;25,"Au-delà de 25 lignes : non imprimée","OK")))))))))))))</f>
        <v/>
      </c>
      <c r="O714" s="59" t="str">
        <f>IF(A714="","",COUNTIF($A$6:A714,A714))</f>
        <v/>
      </c>
      <c r="P714" s="62" t="str">
        <f>IF(A714="","",A714&amp;"|"&amp;O714)</f>
        <v/>
      </c>
    </row>
    <row r="715">
      <c r="A715" s="60" t="n"/>
      <c r="B715" s="63" t="n"/>
      <c r="C715" s="63" t="n"/>
      <c r="D715" s="67" t="n"/>
      <c r="E715" s="68" t="n"/>
      <c r="F715" s="69" t="n"/>
      <c r="G715" s="70" t="n"/>
      <c r="H715" s="62" t="str">
        <f>IF(COUNTA(A715:G715)=0,"",IF(C715&lt;&gt;"",C715,IF(B715="","",IFERROR(INDEX(pr_des,MATCH(B715,pr_code,0))&amp;"",""))))</f>
        <v/>
      </c>
      <c r="I715" s="59" t="str">
        <f>IF(B715="","",IFERROR(INDEX(pr_unit,MATCH(B715,pr_code,0))&amp;"",""))</f>
        <v/>
      </c>
      <c r="J715" s="65" t="str">
        <f>IF(COUNTA(A715:G715)=0,"",IF(E715&lt;&gt;"",E715,IF(B715="","",IFERROR(IF(INDEX(pr_price,MATCH(B715,pr_code,0))="","",INDEX(pr_price,MATCH(B715,pr_code,0))),""))))</f>
        <v/>
      </c>
      <c r="K715" s="71" t="str">
        <f>IF(COUNTA(A715:G715)=0,"",IF(G715&lt;&gt;"",G715,IF(B715="","",IFERROR(IF(INDEX(pr_rate,MATCH(B715,pr_code,0))="","",INDEX(pr_rate,MATCH(B715,pr_code,0))),""))))</f>
        <v/>
      </c>
      <c r="L715" s="65" t="str">
        <f>IF(COUNTA(A715:G715)=0,"",IF(AND(ISNUMBER(D715),ISNUMBER(J715)),ROUND(D715*J715*(1-N(F715)),2),0))</f>
        <v/>
      </c>
      <c r="M715" s="62" t="str">
        <f>IF(A715="","",IFERROR(INDEX(dv_cname,MATCH(A715,dv_num,0))&amp;"",""))</f>
        <v/>
      </c>
      <c r="N715" s="59" t="str">
        <f>IF(COUNTA(A715:G715)=0,"",IF(A715="","N° devis manquant",IF(ISNA(MATCH(A715,dv_num,0)),"Devis inconnu",IF(AND(B715&lt;&gt;"",ISNA(MATCH(B715,pr_code,0))),"Article inconnu",IF(H715="","Désignation manquante",IF(OR(NOT(ISNUMBER(D715)),N(D715)&lt;=0),"Quantité invalide",IF(J715="","Prix manquant",IF(OR(NOT(ISNUMBER(J715)),N(J715)&lt;0),"Prix invalide",IF(OR(AND(F715&lt;&gt;"",NOT(ISNUMBER(F715))),N(F715)&lt;0,N(F715)&gt;1),"Remise invalide",IF(K715="","Taux de TVA manquant",IF(NOT(ISNUMBER(K715)),"Taux de TVA invalide",IF(COUNTIF(p_rates,K715)=0,"Taux de TVA hors liste (Paramètres)",IF(N(O715)&gt;25,"Au-delà de 25 lignes : non imprimée","OK")))))))))))))</f>
        <v/>
      </c>
      <c r="O715" s="59" t="str">
        <f>IF(A715="","",COUNTIF($A$6:A715,A715))</f>
        <v/>
      </c>
      <c r="P715" s="62" t="str">
        <f>IF(A715="","",A715&amp;"|"&amp;O715)</f>
        <v/>
      </c>
    </row>
    <row r="716">
      <c r="A716" s="60" t="n"/>
      <c r="B716" s="63" t="n"/>
      <c r="C716" s="63" t="n"/>
      <c r="D716" s="67" t="n"/>
      <c r="E716" s="68" t="n"/>
      <c r="F716" s="69" t="n"/>
      <c r="G716" s="70" t="n"/>
      <c r="H716" s="62" t="str">
        <f>IF(COUNTA(A716:G716)=0,"",IF(C716&lt;&gt;"",C716,IF(B716="","",IFERROR(INDEX(pr_des,MATCH(B716,pr_code,0))&amp;"",""))))</f>
        <v/>
      </c>
      <c r="I716" s="59" t="str">
        <f>IF(B716="","",IFERROR(INDEX(pr_unit,MATCH(B716,pr_code,0))&amp;"",""))</f>
        <v/>
      </c>
      <c r="J716" s="65" t="str">
        <f>IF(COUNTA(A716:G716)=0,"",IF(E716&lt;&gt;"",E716,IF(B716="","",IFERROR(IF(INDEX(pr_price,MATCH(B716,pr_code,0))="","",INDEX(pr_price,MATCH(B716,pr_code,0))),""))))</f>
        <v/>
      </c>
      <c r="K716" s="71" t="str">
        <f>IF(COUNTA(A716:G716)=0,"",IF(G716&lt;&gt;"",G716,IF(B716="","",IFERROR(IF(INDEX(pr_rate,MATCH(B716,pr_code,0))="","",INDEX(pr_rate,MATCH(B716,pr_code,0))),""))))</f>
        <v/>
      </c>
      <c r="L716" s="65" t="str">
        <f>IF(COUNTA(A716:G716)=0,"",IF(AND(ISNUMBER(D716),ISNUMBER(J716)),ROUND(D716*J716*(1-N(F716)),2),0))</f>
        <v/>
      </c>
      <c r="M716" s="62" t="str">
        <f>IF(A716="","",IFERROR(INDEX(dv_cname,MATCH(A716,dv_num,0))&amp;"",""))</f>
        <v/>
      </c>
      <c r="N716" s="59" t="str">
        <f>IF(COUNTA(A716:G716)=0,"",IF(A716="","N° devis manquant",IF(ISNA(MATCH(A716,dv_num,0)),"Devis inconnu",IF(AND(B716&lt;&gt;"",ISNA(MATCH(B716,pr_code,0))),"Article inconnu",IF(H716="","Désignation manquante",IF(OR(NOT(ISNUMBER(D716)),N(D716)&lt;=0),"Quantité invalide",IF(J716="","Prix manquant",IF(OR(NOT(ISNUMBER(J716)),N(J716)&lt;0),"Prix invalide",IF(OR(AND(F716&lt;&gt;"",NOT(ISNUMBER(F716))),N(F716)&lt;0,N(F716)&gt;1),"Remise invalide",IF(K716="","Taux de TVA manquant",IF(NOT(ISNUMBER(K716)),"Taux de TVA invalide",IF(COUNTIF(p_rates,K716)=0,"Taux de TVA hors liste (Paramètres)",IF(N(O716)&gt;25,"Au-delà de 25 lignes : non imprimée","OK")))))))))))))</f>
        <v/>
      </c>
      <c r="O716" s="59" t="str">
        <f>IF(A716="","",COUNTIF($A$6:A716,A716))</f>
        <v/>
      </c>
      <c r="P716" s="62" t="str">
        <f>IF(A716="","",A716&amp;"|"&amp;O716)</f>
        <v/>
      </c>
    </row>
    <row r="717">
      <c r="A717" s="60" t="n"/>
      <c r="B717" s="63" t="n"/>
      <c r="C717" s="63" t="n"/>
      <c r="D717" s="67" t="n"/>
      <c r="E717" s="68" t="n"/>
      <c r="F717" s="69" t="n"/>
      <c r="G717" s="70" t="n"/>
      <c r="H717" s="62" t="str">
        <f>IF(COUNTA(A717:G717)=0,"",IF(C717&lt;&gt;"",C717,IF(B717="","",IFERROR(INDEX(pr_des,MATCH(B717,pr_code,0))&amp;"",""))))</f>
        <v/>
      </c>
      <c r="I717" s="59" t="str">
        <f>IF(B717="","",IFERROR(INDEX(pr_unit,MATCH(B717,pr_code,0))&amp;"",""))</f>
        <v/>
      </c>
      <c r="J717" s="65" t="str">
        <f>IF(COUNTA(A717:G717)=0,"",IF(E717&lt;&gt;"",E717,IF(B717="","",IFERROR(IF(INDEX(pr_price,MATCH(B717,pr_code,0))="","",INDEX(pr_price,MATCH(B717,pr_code,0))),""))))</f>
        <v/>
      </c>
      <c r="K717" s="71" t="str">
        <f>IF(COUNTA(A717:G717)=0,"",IF(G717&lt;&gt;"",G717,IF(B717="","",IFERROR(IF(INDEX(pr_rate,MATCH(B717,pr_code,0))="","",INDEX(pr_rate,MATCH(B717,pr_code,0))),""))))</f>
        <v/>
      </c>
      <c r="L717" s="65" t="str">
        <f>IF(COUNTA(A717:G717)=0,"",IF(AND(ISNUMBER(D717),ISNUMBER(J717)),ROUND(D717*J717*(1-N(F717)),2),0))</f>
        <v/>
      </c>
      <c r="M717" s="62" t="str">
        <f>IF(A717="","",IFERROR(INDEX(dv_cname,MATCH(A717,dv_num,0))&amp;"",""))</f>
        <v/>
      </c>
      <c r="N717" s="59" t="str">
        <f>IF(COUNTA(A717:G717)=0,"",IF(A717="","N° devis manquant",IF(ISNA(MATCH(A717,dv_num,0)),"Devis inconnu",IF(AND(B717&lt;&gt;"",ISNA(MATCH(B717,pr_code,0))),"Article inconnu",IF(H717="","Désignation manquante",IF(OR(NOT(ISNUMBER(D717)),N(D717)&lt;=0),"Quantité invalide",IF(J717="","Prix manquant",IF(OR(NOT(ISNUMBER(J717)),N(J717)&lt;0),"Prix invalide",IF(OR(AND(F717&lt;&gt;"",NOT(ISNUMBER(F717))),N(F717)&lt;0,N(F717)&gt;1),"Remise invalide",IF(K717="","Taux de TVA manquant",IF(NOT(ISNUMBER(K717)),"Taux de TVA invalide",IF(COUNTIF(p_rates,K717)=0,"Taux de TVA hors liste (Paramètres)",IF(N(O717)&gt;25,"Au-delà de 25 lignes : non imprimée","OK")))))))))))))</f>
        <v/>
      </c>
      <c r="O717" s="59" t="str">
        <f>IF(A717="","",COUNTIF($A$6:A717,A717))</f>
        <v/>
      </c>
      <c r="P717" s="62" t="str">
        <f>IF(A717="","",A717&amp;"|"&amp;O717)</f>
        <v/>
      </c>
    </row>
    <row r="718">
      <c r="A718" s="60" t="n"/>
      <c r="B718" s="63" t="n"/>
      <c r="C718" s="63" t="n"/>
      <c r="D718" s="67" t="n"/>
      <c r="E718" s="68" t="n"/>
      <c r="F718" s="69" t="n"/>
      <c r="G718" s="70" t="n"/>
      <c r="H718" s="62" t="str">
        <f>IF(COUNTA(A718:G718)=0,"",IF(C718&lt;&gt;"",C718,IF(B718="","",IFERROR(INDEX(pr_des,MATCH(B718,pr_code,0))&amp;"",""))))</f>
        <v/>
      </c>
      <c r="I718" s="59" t="str">
        <f>IF(B718="","",IFERROR(INDEX(pr_unit,MATCH(B718,pr_code,0))&amp;"",""))</f>
        <v/>
      </c>
      <c r="J718" s="65" t="str">
        <f>IF(COUNTA(A718:G718)=0,"",IF(E718&lt;&gt;"",E718,IF(B718="","",IFERROR(IF(INDEX(pr_price,MATCH(B718,pr_code,0))="","",INDEX(pr_price,MATCH(B718,pr_code,0))),""))))</f>
        <v/>
      </c>
      <c r="K718" s="71" t="str">
        <f>IF(COUNTA(A718:G718)=0,"",IF(G718&lt;&gt;"",G718,IF(B718="","",IFERROR(IF(INDEX(pr_rate,MATCH(B718,pr_code,0))="","",INDEX(pr_rate,MATCH(B718,pr_code,0))),""))))</f>
        <v/>
      </c>
      <c r="L718" s="65" t="str">
        <f>IF(COUNTA(A718:G718)=0,"",IF(AND(ISNUMBER(D718),ISNUMBER(J718)),ROUND(D718*J718*(1-N(F718)),2),0))</f>
        <v/>
      </c>
      <c r="M718" s="62" t="str">
        <f>IF(A718="","",IFERROR(INDEX(dv_cname,MATCH(A718,dv_num,0))&amp;"",""))</f>
        <v/>
      </c>
      <c r="N718" s="59" t="str">
        <f>IF(COUNTA(A718:G718)=0,"",IF(A718="","N° devis manquant",IF(ISNA(MATCH(A718,dv_num,0)),"Devis inconnu",IF(AND(B718&lt;&gt;"",ISNA(MATCH(B718,pr_code,0))),"Article inconnu",IF(H718="","Désignation manquante",IF(OR(NOT(ISNUMBER(D718)),N(D718)&lt;=0),"Quantité invalide",IF(J718="","Prix manquant",IF(OR(NOT(ISNUMBER(J718)),N(J718)&lt;0),"Prix invalide",IF(OR(AND(F718&lt;&gt;"",NOT(ISNUMBER(F718))),N(F718)&lt;0,N(F718)&gt;1),"Remise invalide",IF(K718="","Taux de TVA manquant",IF(NOT(ISNUMBER(K718)),"Taux de TVA invalide",IF(COUNTIF(p_rates,K718)=0,"Taux de TVA hors liste (Paramètres)",IF(N(O718)&gt;25,"Au-delà de 25 lignes : non imprimée","OK")))))))))))))</f>
        <v/>
      </c>
      <c r="O718" s="59" t="str">
        <f>IF(A718="","",COUNTIF($A$6:A718,A718))</f>
        <v/>
      </c>
      <c r="P718" s="62" t="str">
        <f>IF(A718="","",A718&amp;"|"&amp;O718)</f>
        <v/>
      </c>
    </row>
    <row r="719">
      <c r="A719" s="60" t="n"/>
      <c r="B719" s="63" t="n"/>
      <c r="C719" s="63" t="n"/>
      <c r="D719" s="67" t="n"/>
      <c r="E719" s="68" t="n"/>
      <c r="F719" s="69" t="n"/>
      <c r="G719" s="70" t="n"/>
      <c r="H719" s="62" t="str">
        <f>IF(COUNTA(A719:G719)=0,"",IF(C719&lt;&gt;"",C719,IF(B719="","",IFERROR(INDEX(pr_des,MATCH(B719,pr_code,0))&amp;"",""))))</f>
        <v/>
      </c>
      <c r="I719" s="59" t="str">
        <f>IF(B719="","",IFERROR(INDEX(pr_unit,MATCH(B719,pr_code,0))&amp;"",""))</f>
        <v/>
      </c>
      <c r="J719" s="65" t="str">
        <f>IF(COUNTA(A719:G719)=0,"",IF(E719&lt;&gt;"",E719,IF(B719="","",IFERROR(IF(INDEX(pr_price,MATCH(B719,pr_code,0))="","",INDEX(pr_price,MATCH(B719,pr_code,0))),""))))</f>
        <v/>
      </c>
      <c r="K719" s="71" t="str">
        <f>IF(COUNTA(A719:G719)=0,"",IF(G719&lt;&gt;"",G719,IF(B719="","",IFERROR(IF(INDEX(pr_rate,MATCH(B719,pr_code,0))="","",INDEX(pr_rate,MATCH(B719,pr_code,0))),""))))</f>
        <v/>
      </c>
      <c r="L719" s="65" t="str">
        <f>IF(COUNTA(A719:G719)=0,"",IF(AND(ISNUMBER(D719),ISNUMBER(J719)),ROUND(D719*J719*(1-N(F719)),2),0))</f>
        <v/>
      </c>
      <c r="M719" s="62" t="str">
        <f>IF(A719="","",IFERROR(INDEX(dv_cname,MATCH(A719,dv_num,0))&amp;"",""))</f>
        <v/>
      </c>
      <c r="N719" s="59" t="str">
        <f>IF(COUNTA(A719:G719)=0,"",IF(A719="","N° devis manquant",IF(ISNA(MATCH(A719,dv_num,0)),"Devis inconnu",IF(AND(B719&lt;&gt;"",ISNA(MATCH(B719,pr_code,0))),"Article inconnu",IF(H719="","Désignation manquante",IF(OR(NOT(ISNUMBER(D719)),N(D719)&lt;=0),"Quantité invalide",IF(J719="","Prix manquant",IF(OR(NOT(ISNUMBER(J719)),N(J719)&lt;0),"Prix invalide",IF(OR(AND(F719&lt;&gt;"",NOT(ISNUMBER(F719))),N(F719)&lt;0,N(F719)&gt;1),"Remise invalide",IF(K719="","Taux de TVA manquant",IF(NOT(ISNUMBER(K719)),"Taux de TVA invalide",IF(COUNTIF(p_rates,K719)=0,"Taux de TVA hors liste (Paramètres)",IF(N(O719)&gt;25,"Au-delà de 25 lignes : non imprimée","OK")))))))))))))</f>
        <v/>
      </c>
      <c r="O719" s="59" t="str">
        <f>IF(A719="","",COUNTIF($A$6:A719,A719))</f>
        <v/>
      </c>
      <c r="P719" s="62" t="str">
        <f>IF(A719="","",A719&amp;"|"&amp;O719)</f>
        <v/>
      </c>
    </row>
    <row r="720">
      <c r="A720" s="60" t="n"/>
      <c r="B720" s="63" t="n"/>
      <c r="C720" s="63" t="n"/>
      <c r="D720" s="67" t="n"/>
      <c r="E720" s="68" t="n"/>
      <c r="F720" s="69" t="n"/>
      <c r="G720" s="70" t="n"/>
      <c r="H720" s="62" t="str">
        <f>IF(COUNTA(A720:G720)=0,"",IF(C720&lt;&gt;"",C720,IF(B720="","",IFERROR(INDEX(pr_des,MATCH(B720,pr_code,0))&amp;"",""))))</f>
        <v/>
      </c>
      <c r="I720" s="59" t="str">
        <f>IF(B720="","",IFERROR(INDEX(pr_unit,MATCH(B720,pr_code,0))&amp;"",""))</f>
        <v/>
      </c>
      <c r="J720" s="65" t="str">
        <f>IF(COUNTA(A720:G720)=0,"",IF(E720&lt;&gt;"",E720,IF(B720="","",IFERROR(IF(INDEX(pr_price,MATCH(B720,pr_code,0))="","",INDEX(pr_price,MATCH(B720,pr_code,0))),""))))</f>
        <v/>
      </c>
      <c r="K720" s="71" t="str">
        <f>IF(COUNTA(A720:G720)=0,"",IF(G720&lt;&gt;"",G720,IF(B720="","",IFERROR(IF(INDEX(pr_rate,MATCH(B720,pr_code,0))="","",INDEX(pr_rate,MATCH(B720,pr_code,0))),""))))</f>
        <v/>
      </c>
      <c r="L720" s="65" t="str">
        <f>IF(COUNTA(A720:G720)=0,"",IF(AND(ISNUMBER(D720),ISNUMBER(J720)),ROUND(D720*J720*(1-N(F720)),2),0))</f>
        <v/>
      </c>
      <c r="M720" s="62" t="str">
        <f>IF(A720="","",IFERROR(INDEX(dv_cname,MATCH(A720,dv_num,0))&amp;"",""))</f>
        <v/>
      </c>
      <c r="N720" s="59" t="str">
        <f>IF(COUNTA(A720:G720)=0,"",IF(A720="","N° devis manquant",IF(ISNA(MATCH(A720,dv_num,0)),"Devis inconnu",IF(AND(B720&lt;&gt;"",ISNA(MATCH(B720,pr_code,0))),"Article inconnu",IF(H720="","Désignation manquante",IF(OR(NOT(ISNUMBER(D720)),N(D720)&lt;=0),"Quantité invalide",IF(J720="","Prix manquant",IF(OR(NOT(ISNUMBER(J720)),N(J720)&lt;0),"Prix invalide",IF(OR(AND(F720&lt;&gt;"",NOT(ISNUMBER(F720))),N(F720)&lt;0,N(F720)&gt;1),"Remise invalide",IF(K720="","Taux de TVA manquant",IF(NOT(ISNUMBER(K720)),"Taux de TVA invalide",IF(COUNTIF(p_rates,K720)=0,"Taux de TVA hors liste (Paramètres)",IF(N(O720)&gt;25,"Au-delà de 25 lignes : non imprimée","OK")))))))))))))</f>
        <v/>
      </c>
      <c r="O720" s="59" t="str">
        <f>IF(A720="","",COUNTIF($A$6:A720,A720))</f>
        <v/>
      </c>
      <c r="P720" s="62" t="str">
        <f>IF(A720="","",A720&amp;"|"&amp;O720)</f>
        <v/>
      </c>
    </row>
    <row r="721">
      <c r="A721" s="60" t="n"/>
      <c r="B721" s="63" t="n"/>
      <c r="C721" s="63" t="n"/>
      <c r="D721" s="67" t="n"/>
      <c r="E721" s="68" t="n"/>
      <c r="F721" s="69" t="n"/>
      <c r="G721" s="70" t="n"/>
      <c r="H721" s="62" t="str">
        <f>IF(COUNTA(A721:G721)=0,"",IF(C721&lt;&gt;"",C721,IF(B721="","",IFERROR(INDEX(pr_des,MATCH(B721,pr_code,0))&amp;"",""))))</f>
        <v/>
      </c>
      <c r="I721" s="59" t="str">
        <f>IF(B721="","",IFERROR(INDEX(pr_unit,MATCH(B721,pr_code,0))&amp;"",""))</f>
        <v/>
      </c>
      <c r="J721" s="65" t="str">
        <f>IF(COUNTA(A721:G721)=0,"",IF(E721&lt;&gt;"",E721,IF(B721="","",IFERROR(IF(INDEX(pr_price,MATCH(B721,pr_code,0))="","",INDEX(pr_price,MATCH(B721,pr_code,0))),""))))</f>
        <v/>
      </c>
      <c r="K721" s="71" t="str">
        <f>IF(COUNTA(A721:G721)=0,"",IF(G721&lt;&gt;"",G721,IF(B721="","",IFERROR(IF(INDEX(pr_rate,MATCH(B721,pr_code,0))="","",INDEX(pr_rate,MATCH(B721,pr_code,0))),""))))</f>
        <v/>
      </c>
      <c r="L721" s="65" t="str">
        <f>IF(COUNTA(A721:G721)=0,"",IF(AND(ISNUMBER(D721),ISNUMBER(J721)),ROUND(D721*J721*(1-N(F721)),2),0))</f>
        <v/>
      </c>
      <c r="M721" s="62" t="str">
        <f>IF(A721="","",IFERROR(INDEX(dv_cname,MATCH(A721,dv_num,0))&amp;"",""))</f>
        <v/>
      </c>
      <c r="N721" s="59" t="str">
        <f>IF(COUNTA(A721:G721)=0,"",IF(A721="","N° devis manquant",IF(ISNA(MATCH(A721,dv_num,0)),"Devis inconnu",IF(AND(B721&lt;&gt;"",ISNA(MATCH(B721,pr_code,0))),"Article inconnu",IF(H721="","Désignation manquante",IF(OR(NOT(ISNUMBER(D721)),N(D721)&lt;=0),"Quantité invalide",IF(J721="","Prix manquant",IF(OR(NOT(ISNUMBER(J721)),N(J721)&lt;0),"Prix invalide",IF(OR(AND(F721&lt;&gt;"",NOT(ISNUMBER(F721))),N(F721)&lt;0,N(F721)&gt;1),"Remise invalide",IF(K721="","Taux de TVA manquant",IF(NOT(ISNUMBER(K721)),"Taux de TVA invalide",IF(COUNTIF(p_rates,K721)=0,"Taux de TVA hors liste (Paramètres)",IF(N(O721)&gt;25,"Au-delà de 25 lignes : non imprimée","OK")))))))))))))</f>
        <v/>
      </c>
      <c r="O721" s="59" t="str">
        <f>IF(A721="","",COUNTIF($A$6:A721,A721))</f>
        <v/>
      </c>
      <c r="P721" s="62" t="str">
        <f>IF(A721="","",A721&amp;"|"&amp;O721)</f>
        <v/>
      </c>
    </row>
    <row r="722">
      <c r="A722" s="60" t="n"/>
      <c r="B722" s="63" t="n"/>
      <c r="C722" s="63" t="n"/>
      <c r="D722" s="67" t="n"/>
      <c r="E722" s="68" t="n"/>
      <c r="F722" s="69" t="n"/>
      <c r="G722" s="70" t="n"/>
      <c r="H722" s="62" t="str">
        <f>IF(COUNTA(A722:G722)=0,"",IF(C722&lt;&gt;"",C722,IF(B722="","",IFERROR(INDEX(pr_des,MATCH(B722,pr_code,0))&amp;"",""))))</f>
        <v/>
      </c>
      <c r="I722" s="59" t="str">
        <f>IF(B722="","",IFERROR(INDEX(pr_unit,MATCH(B722,pr_code,0))&amp;"",""))</f>
        <v/>
      </c>
      <c r="J722" s="65" t="str">
        <f>IF(COUNTA(A722:G722)=0,"",IF(E722&lt;&gt;"",E722,IF(B722="","",IFERROR(IF(INDEX(pr_price,MATCH(B722,pr_code,0))="","",INDEX(pr_price,MATCH(B722,pr_code,0))),""))))</f>
        <v/>
      </c>
      <c r="K722" s="71" t="str">
        <f>IF(COUNTA(A722:G722)=0,"",IF(G722&lt;&gt;"",G722,IF(B722="","",IFERROR(IF(INDEX(pr_rate,MATCH(B722,pr_code,0))="","",INDEX(pr_rate,MATCH(B722,pr_code,0))),""))))</f>
        <v/>
      </c>
      <c r="L722" s="65" t="str">
        <f>IF(COUNTA(A722:G722)=0,"",IF(AND(ISNUMBER(D722),ISNUMBER(J722)),ROUND(D722*J722*(1-N(F722)),2),0))</f>
        <v/>
      </c>
      <c r="M722" s="62" t="str">
        <f>IF(A722="","",IFERROR(INDEX(dv_cname,MATCH(A722,dv_num,0))&amp;"",""))</f>
        <v/>
      </c>
      <c r="N722" s="59" t="str">
        <f>IF(COUNTA(A722:G722)=0,"",IF(A722="","N° devis manquant",IF(ISNA(MATCH(A722,dv_num,0)),"Devis inconnu",IF(AND(B722&lt;&gt;"",ISNA(MATCH(B722,pr_code,0))),"Article inconnu",IF(H722="","Désignation manquante",IF(OR(NOT(ISNUMBER(D722)),N(D722)&lt;=0),"Quantité invalide",IF(J722="","Prix manquant",IF(OR(NOT(ISNUMBER(J722)),N(J722)&lt;0),"Prix invalide",IF(OR(AND(F722&lt;&gt;"",NOT(ISNUMBER(F722))),N(F722)&lt;0,N(F722)&gt;1),"Remise invalide",IF(K722="","Taux de TVA manquant",IF(NOT(ISNUMBER(K722)),"Taux de TVA invalide",IF(COUNTIF(p_rates,K722)=0,"Taux de TVA hors liste (Paramètres)",IF(N(O722)&gt;25,"Au-delà de 25 lignes : non imprimée","OK")))))))))))))</f>
        <v/>
      </c>
      <c r="O722" s="59" t="str">
        <f>IF(A722="","",COUNTIF($A$6:A722,A722))</f>
        <v/>
      </c>
      <c r="P722" s="62" t="str">
        <f>IF(A722="","",A722&amp;"|"&amp;O722)</f>
        <v/>
      </c>
    </row>
    <row r="723">
      <c r="A723" s="60" t="n"/>
      <c r="B723" s="63" t="n"/>
      <c r="C723" s="63" t="n"/>
      <c r="D723" s="67" t="n"/>
      <c r="E723" s="68" t="n"/>
      <c r="F723" s="69" t="n"/>
      <c r="G723" s="70" t="n"/>
      <c r="H723" s="62" t="str">
        <f>IF(COUNTA(A723:G723)=0,"",IF(C723&lt;&gt;"",C723,IF(B723="","",IFERROR(INDEX(pr_des,MATCH(B723,pr_code,0))&amp;"",""))))</f>
        <v/>
      </c>
      <c r="I723" s="59" t="str">
        <f>IF(B723="","",IFERROR(INDEX(pr_unit,MATCH(B723,pr_code,0))&amp;"",""))</f>
        <v/>
      </c>
      <c r="J723" s="65" t="str">
        <f>IF(COUNTA(A723:G723)=0,"",IF(E723&lt;&gt;"",E723,IF(B723="","",IFERROR(IF(INDEX(pr_price,MATCH(B723,pr_code,0))="","",INDEX(pr_price,MATCH(B723,pr_code,0))),""))))</f>
        <v/>
      </c>
      <c r="K723" s="71" t="str">
        <f>IF(COUNTA(A723:G723)=0,"",IF(G723&lt;&gt;"",G723,IF(B723="","",IFERROR(IF(INDEX(pr_rate,MATCH(B723,pr_code,0))="","",INDEX(pr_rate,MATCH(B723,pr_code,0))),""))))</f>
        <v/>
      </c>
      <c r="L723" s="65" t="str">
        <f>IF(COUNTA(A723:G723)=0,"",IF(AND(ISNUMBER(D723),ISNUMBER(J723)),ROUND(D723*J723*(1-N(F723)),2),0))</f>
        <v/>
      </c>
      <c r="M723" s="62" t="str">
        <f>IF(A723="","",IFERROR(INDEX(dv_cname,MATCH(A723,dv_num,0))&amp;"",""))</f>
        <v/>
      </c>
      <c r="N723" s="59" t="str">
        <f>IF(COUNTA(A723:G723)=0,"",IF(A723="","N° devis manquant",IF(ISNA(MATCH(A723,dv_num,0)),"Devis inconnu",IF(AND(B723&lt;&gt;"",ISNA(MATCH(B723,pr_code,0))),"Article inconnu",IF(H723="","Désignation manquante",IF(OR(NOT(ISNUMBER(D723)),N(D723)&lt;=0),"Quantité invalide",IF(J723="","Prix manquant",IF(OR(NOT(ISNUMBER(J723)),N(J723)&lt;0),"Prix invalide",IF(OR(AND(F723&lt;&gt;"",NOT(ISNUMBER(F723))),N(F723)&lt;0,N(F723)&gt;1),"Remise invalide",IF(K723="","Taux de TVA manquant",IF(NOT(ISNUMBER(K723)),"Taux de TVA invalide",IF(COUNTIF(p_rates,K723)=0,"Taux de TVA hors liste (Paramètres)",IF(N(O723)&gt;25,"Au-delà de 25 lignes : non imprimée","OK")))))))))))))</f>
        <v/>
      </c>
      <c r="O723" s="59" t="str">
        <f>IF(A723="","",COUNTIF($A$6:A723,A723))</f>
        <v/>
      </c>
      <c r="P723" s="62" t="str">
        <f>IF(A723="","",A723&amp;"|"&amp;O723)</f>
        <v/>
      </c>
    </row>
    <row r="724">
      <c r="A724" s="60" t="n"/>
      <c r="B724" s="63" t="n"/>
      <c r="C724" s="63" t="n"/>
      <c r="D724" s="67" t="n"/>
      <c r="E724" s="68" t="n"/>
      <c r="F724" s="69" t="n"/>
      <c r="G724" s="70" t="n"/>
      <c r="H724" s="62" t="str">
        <f>IF(COUNTA(A724:G724)=0,"",IF(C724&lt;&gt;"",C724,IF(B724="","",IFERROR(INDEX(pr_des,MATCH(B724,pr_code,0))&amp;"",""))))</f>
        <v/>
      </c>
      <c r="I724" s="59" t="str">
        <f>IF(B724="","",IFERROR(INDEX(pr_unit,MATCH(B724,pr_code,0))&amp;"",""))</f>
        <v/>
      </c>
      <c r="J724" s="65" t="str">
        <f>IF(COUNTA(A724:G724)=0,"",IF(E724&lt;&gt;"",E724,IF(B724="","",IFERROR(IF(INDEX(pr_price,MATCH(B724,pr_code,0))="","",INDEX(pr_price,MATCH(B724,pr_code,0))),""))))</f>
        <v/>
      </c>
      <c r="K724" s="71" t="str">
        <f>IF(COUNTA(A724:G724)=0,"",IF(G724&lt;&gt;"",G724,IF(B724="","",IFERROR(IF(INDEX(pr_rate,MATCH(B724,pr_code,0))="","",INDEX(pr_rate,MATCH(B724,pr_code,0))),""))))</f>
        <v/>
      </c>
      <c r="L724" s="65" t="str">
        <f>IF(COUNTA(A724:G724)=0,"",IF(AND(ISNUMBER(D724),ISNUMBER(J724)),ROUND(D724*J724*(1-N(F724)),2),0))</f>
        <v/>
      </c>
      <c r="M724" s="62" t="str">
        <f>IF(A724="","",IFERROR(INDEX(dv_cname,MATCH(A724,dv_num,0))&amp;"",""))</f>
        <v/>
      </c>
      <c r="N724" s="59" t="str">
        <f>IF(COUNTA(A724:G724)=0,"",IF(A724="","N° devis manquant",IF(ISNA(MATCH(A724,dv_num,0)),"Devis inconnu",IF(AND(B724&lt;&gt;"",ISNA(MATCH(B724,pr_code,0))),"Article inconnu",IF(H724="","Désignation manquante",IF(OR(NOT(ISNUMBER(D724)),N(D724)&lt;=0),"Quantité invalide",IF(J724="","Prix manquant",IF(OR(NOT(ISNUMBER(J724)),N(J724)&lt;0),"Prix invalide",IF(OR(AND(F724&lt;&gt;"",NOT(ISNUMBER(F724))),N(F724)&lt;0,N(F724)&gt;1),"Remise invalide",IF(K724="","Taux de TVA manquant",IF(NOT(ISNUMBER(K724)),"Taux de TVA invalide",IF(COUNTIF(p_rates,K724)=0,"Taux de TVA hors liste (Paramètres)",IF(N(O724)&gt;25,"Au-delà de 25 lignes : non imprimée","OK")))))))))))))</f>
        <v/>
      </c>
      <c r="O724" s="59" t="str">
        <f>IF(A724="","",COUNTIF($A$6:A724,A724))</f>
        <v/>
      </c>
      <c r="P724" s="62" t="str">
        <f>IF(A724="","",A724&amp;"|"&amp;O724)</f>
        <v/>
      </c>
    </row>
    <row r="725">
      <c r="A725" s="60" t="n"/>
      <c r="B725" s="63" t="n"/>
      <c r="C725" s="63" t="n"/>
      <c r="D725" s="67" t="n"/>
      <c r="E725" s="68" t="n"/>
      <c r="F725" s="69" t="n"/>
      <c r="G725" s="70" t="n"/>
      <c r="H725" s="62" t="str">
        <f>IF(COUNTA(A725:G725)=0,"",IF(C725&lt;&gt;"",C725,IF(B725="","",IFERROR(INDEX(pr_des,MATCH(B725,pr_code,0))&amp;"",""))))</f>
        <v/>
      </c>
      <c r="I725" s="59" t="str">
        <f>IF(B725="","",IFERROR(INDEX(pr_unit,MATCH(B725,pr_code,0))&amp;"",""))</f>
        <v/>
      </c>
      <c r="J725" s="65" t="str">
        <f>IF(COUNTA(A725:G725)=0,"",IF(E725&lt;&gt;"",E725,IF(B725="","",IFERROR(IF(INDEX(pr_price,MATCH(B725,pr_code,0))="","",INDEX(pr_price,MATCH(B725,pr_code,0))),""))))</f>
        <v/>
      </c>
      <c r="K725" s="71" t="str">
        <f>IF(COUNTA(A725:G725)=0,"",IF(G725&lt;&gt;"",G725,IF(B725="","",IFERROR(IF(INDEX(pr_rate,MATCH(B725,pr_code,0))="","",INDEX(pr_rate,MATCH(B725,pr_code,0))),""))))</f>
        <v/>
      </c>
      <c r="L725" s="65" t="str">
        <f>IF(COUNTA(A725:G725)=0,"",IF(AND(ISNUMBER(D725),ISNUMBER(J725)),ROUND(D725*J725*(1-N(F725)),2),0))</f>
        <v/>
      </c>
      <c r="M725" s="62" t="str">
        <f>IF(A725="","",IFERROR(INDEX(dv_cname,MATCH(A725,dv_num,0))&amp;"",""))</f>
        <v/>
      </c>
      <c r="N725" s="59" t="str">
        <f>IF(COUNTA(A725:G725)=0,"",IF(A725="","N° devis manquant",IF(ISNA(MATCH(A725,dv_num,0)),"Devis inconnu",IF(AND(B725&lt;&gt;"",ISNA(MATCH(B725,pr_code,0))),"Article inconnu",IF(H725="","Désignation manquante",IF(OR(NOT(ISNUMBER(D725)),N(D725)&lt;=0),"Quantité invalide",IF(J725="","Prix manquant",IF(OR(NOT(ISNUMBER(J725)),N(J725)&lt;0),"Prix invalide",IF(OR(AND(F725&lt;&gt;"",NOT(ISNUMBER(F725))),N(F725)&lt;0,N(F725)&gt;1),"Remise invalide",IF(K725="","Taux de TVA manquant",IF(NOT(ISNUMBER(K725)),"Taux de TVA invalide",IF(COUNTIF(p_rates,K725)=0,"Taux de TVA hors liste (Paramètres)",IF(N(O725)&gt;25,"Au-delà de 25 lignes : non imprimée","OK")))))))))))))</f>
        <v/>
      </c>
      <c r="O725" s="59" t="str">
        <f>IF(A725="","",COUNTIF($A$6:A725,A725))</f>
        <v/>
      </c>
      <c r="P725" s="62" t="str">
        <f>IF(A725="","",A725&amp;"|"&amp;O725)</f>
        <v/>
      </c>
    </row>
    <row r="726">
      <c r="A726" s="60" t="n"/>
      <c r="B726" s="63" t="n"/>
      <c r="C726" s="63" t="n"/>
      <c r="D726" s="67" t="n"/>
      <c r="E726" s="68" t="n"/>
      <c r="F726" s="69" t="n"/>
      <c r="G726" s="70" t="n"/>
      <c r="H726" s="62" t="str">
        <f>IF(COUNTA(A726:G726)=0,"",IF(C726&lt;&gt;"",C726,IF(B726="","",IFERROR(INDEX(pr_des,MATCH(B726,pr_code,0))&amp;"",""))))</f>
        <v/>
      </c>
      <c r="I726" s="59" t="str">
        <f>IF(B726="","",IFERROR(INDEX(pr_unit,MATCH(B726,pr_code,0))&amp;"",""))</f>
        <v/>
      </c>
      <c r="J726" s="65" t="str">
        <f>IF(COUNTA(A726:G726)=0,"",IF(E726&lt;&gt;"",E726,IF(B726="","",IFERROR(IF(INDEX(pr_price,MATCH(B726,pr_code,0))="","",INDEX(pr_price,MATCH(B726,pr_code,0))),""))))</f>
        <v/>
      </c>
      <c r="K726" s="71" t="str">
        <f>IF(COUNTA(A726:G726)=0,"",IF(G726&lt;&gt;"",G726,IF(B726="","",IFERROR(IF(INDEX(pr_rate,MATCH(B726,pr_code,0))="","",INDEX(pr_rate,MATCH(B726,pr_code,0))),""))))</f>
        <v/>
      </c>
      <c r="L726" s="65" t="str">
        <f>IF(COUNTA(A726:G726)=0,"",IF(AND(ISNUMBER(D726),ISNUMBER(J726)),ROUND(D726*J726*(1-N(F726)),2),0))</f>
        <v/>
      </c>
      <c r="M726" s="62" t="str">
        <f>IF(A726="","",IFERROR(INDEX(dv_cname,MATCH(A726,dv_num,0))&amp;"",""))</f>
        <v/>
      </c>
      <c r="N726" s="59" t="str">
        <f>IF(COUNTA(A726:G726)=0,"",IF(A726="","N° devis manquant",IF(ISNA(MATCH(A726,dv_num,0)),"Devis inconnu",IF(AND(B726&lt;&gt;"",ISNA(MATCH(B726,pr_code,0))),"Article inconnu",IF(H726="","Désignation manquante",IF(OR(NOT(ISNUMBER(D726)),N(D726)&lt;=0),"Quantité invalide",IF(J726="","Prix manquant",IF(OR(NOT(ISNUMBER(J726)),N(J726)&lt;0),"Prix invalide",IF(OR(AND(F726&lt;&gt;"",NOT(ISNUMBER(F726))),N(F726)&lt;0,N(F726)&gt;1),"Remise invalide",IF(K726="","Taux de TVA manquant",IF(NOT(ISNUMBER(K726)),"Taux de TVA invalide",IF(COUNTIF(p_rates,K726)=0,"Taux de TVA hors liste (Paramètres)",IF(N(O726)&gt;25,"Au-delà de 25 lignes : non imprimée","OK")))))))))))))</f>
        <v/>
      </c>
      <c r="O726" s="59" t="str">
        <f>IF(A726="","",COUNTIF($A$6:A726,A726))</f>
        <v/>
      </c>
      <c r="P726" s="62" t="str">
        <f>IF(A726="","",A726&amp;"|"&amp;O726)</f>
        <v/>
      </c>
    </row>
    <row r="727">
      <c r="A727" s="60" t="n"/>
      <c r="B727" s="63" t="n"/>
      <c r="C727" s="63" t="n"/>
      <c r="D727" s="67" t="n"/>
      <c r="E727" s="68" t="n"/>
      <c r="F727" s="69" t="n"/>
      <c r="G727" s="70" t="n"/>
      <c r="H727" s="62" t="str">
        <f>IF(COUNTA(A727:G727)=0,"",IF(C727&lt;&gt;"",C727,IF(B727="","",IFERROR(INDEX(pr_des,MATCH(B727,pr_code,0))&amp;"",""))))</f>
        <v/>
      </c>
      <c r="I727" s="59" t="str">
        <f>IF(B727="","",IFERROR(INDEX(pr_unit,MATCH(B727,pr_code,0))&amp;"",""))</f>
        <v/>
      </c>
      <c r="J727" s="65" t="str">
        <f>IF(COUNTA(A727:G727)=0,"",IF(E727&lt;&gt;"",E727,IF(B727="","",IFERROR(IF(INDEX(pr_price,MATCH(B727,pr_code,0))="","",INDEX(pr_price,MATCH(B727,pr_code,0))),""))))</f>
        <v/>
      </c>
      <c r="K727" s="71" t="str">
        <f>IF(COUNTA(A727:G727)=0,"",IF(G727&lt;&gt;"",G727,IF(B727="","",IFERROR(IF(INDEX(pr_rate,MATCH(B727,pr_code,0))="","",INDEX(pr_rate,MATCH(B727,pr_code,0))),""))))</f>
        <v/>
      </c>
      <c r="L727" s="65" t="str">
        <f>IF(COUNTA(A727:G727)=0,"",IF(AND(ISNUMBER(D727),ISNUMBER(J727)),ROUND(D727*J727*(1-N(F727)),2),0))</f>
        <v/>
      </c>
      <c r="M727" s="62" t="str">
        <f>IF(A727="","",IFERROR(INDEX(dv_cname,MATCH(A727,dv_num,0))&amp;"",""))</f>
        <v/>
      </c>
      <c r="N727" s="59" t="str">
        <f>IF(COUNTA(A727:G727)=0,"",IF(A727="","N° devis manquant",IF(ISNA(MATCH(A727,dv_num,0)),"Devis inconnu",IF(AND(B727&lt;&gt;"",ISNA(MATCH(B727,pr_code,0))),"Article inconnu",IF(H727="","Désignation manquante",IF(OR(NOT(ISNUMBER(D727)),N(D727)&lt;=0),"Quantité invalide",IF(J727="","Prix manquant",IF(OR(NOT(ISNUMBER(J727)),N(J727)&lt;0),"Prix invalide",IF(OR(AND(F727&lt;&gt;"",NOT(ISNUMBER(F727))),N(F727)&lt;0,N(F727)&gt;1),"Remise invalide",IF(K727="","Taux de TVA manquant",IF(NOT(ISNUMBER(K727)),"Taux de TVA invalide",IF(COUNTIF(p_rates,K727)=0,"Taux de TVA hors liste (Paramètres)",IF(N(O727)&gt;25,"Au-delà de 25 lignes : non imprimée","OK")))))))))))))</f>
        <v/>
      </c>
      <c r="O727" s="59" t="str">
        <f>IF(A727="","",COUNTIF($A$6:A727,A727))</f>
        <v/>
      </c>
      <c r="P727" s="62" t="str">
        <f>IF(A727="","",A727&amp;"|"&amp;O727)</f>
        <v/>
      </c>
    </row>
    <row r="728">
      <c r="A728" s="60" t="n"/>
      <c r="B728" s="63" t="n"/>
      <c r="C728" s="63" t="n"/>
      <c r="D728" s="67" t="n"/>
      <c r="E728" s="68" t="n"/>
      <c r="F728" s="69" t="n"/>
      <c r="G728" s="70" t="n"/>
      <c r="H728" s="62" t="str">
        <f>IF(COUNTA(A728:G728)=0,"",IF(C728&lt;&gt;"",C728,IF(B728="","",IFERROR(INDEX(pr_des,MATCH(B728,pr_code,0))&amp;"",""))))</f>
        <v/>
      </c>
      <c r="I728" s="59" t="str">
        <f>IF(B728="","",IFERROR(INDEX(pr_unit,MATCH(B728,pr_code,0))&amp;"",""))</f>
        <v/>
      </c>
      <c r="J728" s="65" t="str">
        <f>IF(COUNTA(A728:G728)=0,"",IF(E728&lt;&gt;"",E728,IF(B728="","",IFERROR(IF(INDEX(pr_price,MATCH(B728,pr_code,0))="","",INDEX(pr_price,MATCH(B728,pr_code,0))),""))))</f>
        <v/>
      </c>
      <c r="K728" s="71" t="str">
        <f>IF(COUNTA(A728:G728)=0,"",IF(G728&lt;&gt;"",G728,IF(B728="","",IFERROR(IF(INDEX(pr_rate,MATCH(B728,pr_code,0))="","",INDEX(pr_rate,MATCH(B728,pr_code,0))),""))))</f>
        <v/>
      </c>
      <c r="L728" s="65" t="str">
        <f>IF(COUNTA(A728:G728)=0,"",IF(AND(ISNUMBER(D728),ISNUMBER(J728)),ROUND(D728*J728*(1-N(F728)),2),0))</f>
        <v/>
      </c>
      <c r="M728" s="62" t="str">
        <f>IF(A728="","",IFERROR(INDEX(dv_cname,MATCH(A728,dv_num,0))&amp;"",""))</f>
        <v/>
      </c>
      <c r="N728" s="59" t="str">
        <f>IF(COUNTA(A728:G728)=0,"",IF(A728="","N° devis manquant",IF(ISNA(MATCH(A728,dv_num,0)),"Devis inconnu",IF(AND(B728&lt;&gt;"",ISNA(MATCH(B728,pr_code,0))),"Article inconnu",IF(H728="","Désignation manquante",IF(OR(NOT(ISNUMBER(D728)),N(D728)&lt;=0),"Quantité invalide",IF(J728="","Prix manquant",IF(OR(NOT(ISNUMBER(J728)),N(J728)&lt;0),"Prix invalide",IF(OR(AND(F728&lt;&gt;"",NOT(ISNUMBER(F728))),N(F728)&lt;0,N(F728)&gt;1),"Remise invalide",IF(K728="","Taux de TVA manquant",IF(NOT(ISNUMBER(K728)),"Taux de TVA invalide",IF(COUNTIF(p_rates,K728)=0,"Taux de TVA hors liste (Paramètres)",IF(N(O728)&gt;25,"Au-delà de 25 lignes : non imprimée","OK")))))))))))))</f>
        <v/>
      </c>
      <c r="O728" s="59" t="str">
        <f>IF(A728="","",COUNTIF($A$6:A728,A728))</f>
        <v/>
      </c>
      <c r="P728" s="62" t="str">
        <f>IF(A728="","",A728&amp;"|"&amp;O728)</f>
        <v/>
      </c>
    </row>
    <row r="729">
      <c r="A729" s="60" t="n"/>
      <c r="B729" s="63" t="n"/>
      <c r="C729" s="63" t="n"/>
      <c r="D729" s="67" t="n"/>
      <c r="E729" s="68" t="n"/>
      <c r="F729" s="69" t="n"/>
      <c r="G729" s="70" t="n"/>
      <c r="H729" s="62" t="str">
        <f>IF(COUNTA(A729:G729)=0,"",IF(C729&lt;&gt;"",C729,IF(B729="","",IFERROR(INDEX(pr_des,MATCH(B729,pr_code,0))&amp;"",""))))</f>
        <v/>
      </c>
      <c r="I729" s="59" t="str">
        <f>IF(B729="","",IFERROR(INDEX(pr_unit,MATCH(B729,pr_code,0))&amp;"",""))</f>
        <v/>
      </c>
      <c r="J729" s="65" t="str">
        <f>IF(COUNTA(A729:G729)=0,"",IF(E729&lt;&gt;"",E729,IF(B729="","",IFERROR(IF(INDEX(pr_price,MATCH(B729,pr_code,0))="","",INDEX(pr_price,MATCH(B729,pr_code,0))),""))))</f>
        <v/>
      </c>
      <c r="K729" s="71" t="str">
        <f>IF(COUNTA(A729:G729)=0,"",IF(G729&lt;&gt;"",G729,IF(B729="","",IFERROR(IF(INDEX(pr_rate,MATCH(B729,pr_code,0))="","",INDEX(pr_rate,MATCH(B729,pr_code,0))),""))))</f>
        <v/>
      </c>
      <c r="L729" s="65" t="str">
        <f>IF(COUNTA(A729:G729)=0,"",IF(AND(ISNUMBER(D729),ISNUMBER(J729)),ROUND(D729*J729*(1-N(F729)),2),0))</f>
        <v/>
      </c>
      <c r="M729" s="62" t="str">
        <f>IF(A729="","",IFERROR(INDEX(dv_cname,MATCH(A729,dv_num,0))&amp;"",""))</f>
        <v/>
      </c>
      <c r="N729" s="59" t="str">
        <f>IF(COUNTA(A729:G729)=0,"",IF(A729="","N° devis manquant",IF(ISNA(MATCH(A729,dv_num,0)),"Devis inconnu",IF(AND(B729&lt;&gt;"",ISNA(MATCH(B729,pr_code,0))),"Article inconnu",IF(H729="","Désignation manquante",IF(OR(NOT(ISNUMBER(D729)),N(D729)&lt;=0),"Quantité invalide",IF(J729="","Prix manquant",IF(OR(NOT(ISNUMBER(J729)),N(J729)&lt;0),"Prix invalide",IF(OR(AND(F729&lt;&gt;"",NOT(ISNUMBER(F729))),N(F729)&lt;0,N(F729)&gt;1),"Remise invalide",IF(K729="","Taux de TVA manquant",IF(NOT(ISNUMBER(K729)),"Taux de TVA invalide",IF(COUNTIF(p_rates,K729)=0,"Taux de TVA hors liste (Paramètres)",IF(N(O729)&gt;25,"Au-delà de 25 lignes : non imprimée","OK")))))))))))))</f>
        <v/>
      </c>
      <c r="O729" s="59" t="str">
        <f>IF(A729="","",COUNTIF($A$6:A729,A729))</f>
        <v/>
      </c>
      <c r="P729" s="62" t="str">
        <f>IF(A729="","",A729&amp;"|"&amp;O729)</f>
        <v/>
      </c>
    </row>
    <row r="730">
      <c r="A730" s="60" t="n"/>
      <c r="B730" s="63" t="n"/>
      <c r="C730" s="63" t="n"/>
      <c r="D730" s="67" t="n"/>
      <c r="E730" s="68" t="n"/>
      <c r="F730" s="69" t="n"/>
      <c r="G730" s="70" t="n"/>
      <c r="H730" s="62" t="str">
        <f>IF(COUNTA(A730:G730)=0,"",IF(C730&lt;&gt;"",C730,IF(B730="","",IFERROR(INDEX(pr_des,MATCH(B730,pr_code,0))&amp;"",""))))</f>
        <v/>
      </c>
      <c r="I730" s="59" t="str">
        <f>IF(B730="","",IFERROR(INDEX(pr_unit,MATCH(B730,pr_code,0))&amp;"",""))</f>
        <v/>
      </c>
      <c r="J730" s="65" t="str">
        <f>IF(COUNTA(A730:G730)=0,"",IF(E730&lt;&gt;"",E730,IF(B730="","",IFERROR(IF(INDEX(pr_price,MATCH(B730,pr_code,0))="","",INDEX(pr_price,MATCH(B730,pr_code,0))),""))))</f>
        <v/>
      </c>
      <c r="K730" s="71" t="str">
        <f>IF(COUNTA(A730:G730)=0,"",IF(G730&lt;&gt;"",G730,IF(B730="","",IFERROR(IF(INDEX(pr_rate,MATCH(B730,pr_code,0))="","",INDEX(pr_rate,MATCH(B730,pr_code,0))),""))))</f>
        <v/>
      </c>
      <c r="L730" s="65" t="str">
        <f>IF(COUNTA(A730:G730)=0,"",IF(AND(ISNUMBER(D730),ISNUMBER(J730)),ROUND(D730*J730*(1-N(F730)),2),0))</f>
        <v/>
      </c>
      <c r="M730" s="62" t="str">
        <f>IF(A730="","",IFERROR(INDEX(dv_cname,MATCH(A730,dv_num,0))&amp;"",""))</f>
        <v/>
      </c>
      <c r="N730" s="59" t="str">
        <f>IF(COUNTA(A730:G730)=0,"",IF(A730="","N° devis manquant",IF(ISNA(MATCH(A730,dv_num,0)),"Devis inconnu",IF(AND(B730&lt;&gt;"",ISNA(MATCH(B730,pr_code,0))),"Article inconnu",IF(H730="","Désignation manquante",IF(OR(NOT(ISNUMBER(D730)),N(D730)&lt;=0),"Quantité invalide",IF(J730="","Prix manquant",IF(OR(NOT(ISNUMBER(J730)),N(J730)&lt;0),"Prix invalide",IF(OR(AND(F730&lt;&gt;"",NOT(ISNUMBER(F730))),N(F730)&lt;0,N(F730)&gt;1),"Remise invalide",IF(K730="","Taux de TVA manquant",IF(NOT(ISNUMBER(K730)),"Taux de TVA invalide",IF(COUNTIF(p_rates,K730)=0,"Taux de TVA hors liste (Paramètres)",IF(N(O730)&gt;25,"Au-delà de 25 lignes : non imprimée","OK")))))))))))))</f>
        <v/>
      </c>
      <c r="O730" s="59" t="str">
        <f>IF(A730="","",COUNTIF($A$6:A730,A730))</f>
        <v/>
      </c>
      <c r="P730" s="62" t="str">
        <f>IF(A730="","",A730&amp;"|"&amp;O730)</f>
        <v/>
      </c>
    </row>
    <row r="731">
      <c r="A731" s="60" t="n"/>
      <c r="B731" s="63" t="n"/>
      <c r="C731" s="63" t="n"/>
      <c r="D731" s="67" t="n"/>
      <c r="E731" s="68" t="n"/>
      <c r="F731" s="69" t="n"/>
      <c r="G731" s="70" t="n"/>
      <c r="H731" s="62" t="str">
        <f>IF(COUNTA(A731:G731)=0,"",IF(C731&lt;&gt;"",C731,IF(B731="","",IFERROR(INDEX(pr_des,MATCH(B731,pr_code,0))&amp;"",""))))</f>
        <v/>
      </c>
      <c r="I731" s="59" t="str">
        <f>IF(B731="","",IFERROR(INDEX(pr_unit,MATCH(B731,pr_code,0))&amp;"",""))</f>
        <v/>
      </c>
      <c r="J731" s="65" t="str">
        <f>IF(COUNTA(A731:G731)=0,"",IF(E731&lt;&gt;"",E731,IF(B731="","",IFERROR(IF(INDEX(pr_price,MATCH(B731,pr_code,0))="","",INDEX(pr_price,MATCH(B731,pr_code,0))),""))))</f>
        <v/>
      </c>
      <c r="K731" s="71" t="str">
        <f>IF(COUNTA(A731:G731)=0,"",IF(G731&lt;&gt;"",G731,IF(B731="","",IFERROR(IF(INDEX(pr_rate,MATCH(B731,pr_code,0))="","",INDEX(pr_rate,MATCH(B731,pr_code,0))),""))))</f>
        <v/>
      </c>
      <c r="L731" s="65" t="str">
        <f>IF(COUNTA(A731:G731)=0,"",IF(AND(ISNUMBER(D731),ISNUMBER(J731)),ROUND(D731*J731*(1-N(F731)),2),0))</f>
        <v/>
      </c>
      <c r="M731" s="62" t="str">
        <f>IF(A731="","",IFERROR(INDEX(dv_cname,MATCH(A731,dv_num,0))&amp;"",""))</f>
        <v/>
      </c>
      <c r="N731" s="59" t="str">
        <f>IF(COUNTA(A731:G731)=0,"",IF(A731="","N° devis manquant",IF(ISNA(MATCH(A731,dv_num,0)),"Devis inconnu",IF(AND(B731&lt;&gt;"",ISNA(MATCH(B731,pr_code,0))),"Article inconnu",IF(H731="","Désignation manquante",IF(OR(NOT(ISNUMBER(D731)),N(D731)&lt;=0),"Quantité invalide",IF(J731="","Prix manquant",IF(OR(NOT(ISNUMBER(J731)),N(J731)&lt;0),"Prix invalide",IF(OR(AND(F731&lt;&gt;"",NOT(ISNUMBER(F731))),N(F731)&lt;0,N(F731)&gt;1),"Remise invalide",IF(K731="","Taux de TVA manquant",IF(NOT(ISNUMBER(K731)),"Taux de TVA invalide",IF(COUNTIF(p_rates,K731)=0,"Taux de TVA hors liste (Paramètres)",IF(N(O731)&gt;25,"Au-delà de 25 lignes : non imprimée","OK")))))))))))))</f>
        <v/>
      </c>
      <c r="O731" s="59" t="str">
        <f>IF(A731="","",COUNTIF($A$6:A731,A731))</f>
        <v/>
      </c>
      <c r="P731" s="62" t="str">
        <f>IF(A731="","",A731&amp;"|"&amp;O731)</f>
        <v/>
      </c>
    </row>
    <row r="732">
      <c r="A732" s="60" t="n"/>
      <c r="B732" s="63" t="n"/>
      <c r="C732" s="63" t="n"/>
      <c r="D732" s="67" t="n"/>
      <c r="E732" s="68" t="n"/>
      <c r="F732" s="69" t="n"/>
      <c r="G732" s="70" t="n"/>
      <c r="H732" s="62" t="str">
        <f>IF(COUNTA(A732:G732)=0,"",IF(C732&lt;&gt;"",C732,IF(B732="","",IFERROR(INDEX(pr_des,MATCH(B732,pr_code,0))&amp;"",""))))</f>
        <v/>
      </c>
      <c r="I732" s="59" t="str">
        <f>IF(B732="","",IFERROR(INDEX(pr_unit,MATCH(B732,pr_code,0))&amp;"",""))</f>
        <v/>
      </c>
      <c r="J732" s="65" t="str">
        <f>IF(COUNTA(A732:G732)=0,"",IF(E732&lt;&gt;"",E732,IF(B732="","",IFERROR(IF(INDEX(pr_price,MATCH(B732,pr_code,0))="","",INDEX(pr_price,MATCH(B732,pr_code,0))),""))))</f>
        <v/>
      </c>
      <c r="K732" s="71" t="str">
        <f>IF(COUNTA(A732:G732)=0,"",IF(G732&lt;&gt;"",G732,IF(B732="","",IFERROR(IF(INDEX(pr_rate,MATCH(B732,pr_code,0))="","",INDEX(pr_rate,MATCH(B732,pr_code,0))),""))))</f>
        <v/>
      </c>
      <c r="L732" s="65" t="str">
        <f>IF(COUNTA(A732:G732)=0,"",IF(AND(ISNUMBER(D732),ISNUMBER(J732)),ROUND(D732*J732*(1-N(F732)),2),0))</f>
        <v/>
      </c>
      <c r="M732" s="62" t="str">
        <f>IF(A732="","",IFERROR(INDEX(dv_cname,MATCH(A732,dv_num,0))&amp;"",""))</f>
        <v/>
      </c>
      <c r="N732" s="59" t="str">
        <f>IF(COUNTA(A732:G732)=0,"",IF(A732="","N° devis manquant",IF(ISNA(MATCH(A732,dv_num,0)),"Devis inconnu",IF(AND(B732&lt;&gt;"",ISNA(MATCH(B732,pr_code,0))),"Article inconnu",IF(H732="","Désignation manquante",IF(OR(NOT(ISNUMBER(D732)),N(D732)&lt;=0),"Quantité invalide",IF(J732="","Prix manquant",IF(OR(NOT(ISNUMBER(J732)),N(J732)&lt;0),"Prix invalide",IF(OR(AND(F732&lt;&gt;"",NOT(ISNUMBER(F732))),N(F732)&lt;0,N(F732)&gt;1),"Remise invalide",IF(K732="","Taux de TVA manquant",IF(NOT(ISNUMBER(K732)),"Taux de TVA invalide",IF(COUNTIF(p_rates,K732)=0,"Taux de TVA hors liste (Paramètres)",IF(N(O732)&gt;25,"Au-delà de 25 lignes : non imprimée","OK")))))))))))))</f>
        <v/>
      </c>
      <c r="O732" s="59" t="str">
        <f>IF(A732="","",COUNTIF($A$6:A732,A732))</f>
        <v/>
      </c>
      <c r="P732" s="62" t="str">
        <f>IF(A732="","",A732&amp;"|"&amp;O732)</f>
        <v/>
      </c>
    </row>
    <row r="733">
      <c r="A733" s="60" t="n"/>
      <c r="B733" s="63" t="n"/>
      <c r="C733" s="63" t="n"/>
      <c r="D733" s="67" t="n"/>
      <c r="E733" s="68" t="n"/>
      <c r="F733" s="69" t="n"/>
      <c r="G733" s="70" t="n"/>
      <c r="H733" s="62" t="str">
        <f>IF(COUNTA(A733:G733)=0,"",IF(C733&lt;&gt;"",C733,IF(B733="","",IFERROR(INDEX(pr_des,MATCH(B733,pr_code,0))&amp;"",""))))</f>
        <v/>
      </c>
      <c r="I733" s="59" t="str">
        <f>IF(B733="","",IFERROR(INDEX(pr_unit,MATCH(B733,pr_code,0))&amp;"",""))</f>
        <v/>
      </c>
      <c r="J733" s="65" t="str">
        <f>IF(COUNTA(A733:G733)=0,"",IF(E733&lt;&gt;"",E733,IF(B733="","",IFERROR(IF(INDEX(pr_price,MATCH(B733,pr_code,0))="","",INDEX(pr_price,MATCH(B733,pr_code,0))),""))))</f>
        <v/>
      </c>
      <c r="K733" s="71" t="str">
        <f>IF(COUNTA(A733:G733)=0,"",IF(G733&lt;&gt;"",G733,IF(B733="","",IFERROR(IF(INDEX(pr_rate,MATCH(B733,pr_code,0))="","",INDEX(pr_rate,MATCH(B733,pr_code,0))),""))))</f>
        <v/>
      </c>
      <c r="L733" s="65" t="str">
        <f>IF(COUNTA(A733:G733)=0,"",IF(AND(ISNUMBER(D733),ISNUMBER(J733)),ROUND(D733*J733*(1-N(F733)),2),0))</f>
        <v/>
      </c>
      <c r="M733" s="62" t="str">
        <f>IF(A733="","",IFERROR(INDEX(dv_cname,MATCH(A733,dv_num,0))&amp;"",""))</f>
        <v/>
      </c>
      <c r="N733" s="59" t="str">
        <f>IF(COUNTA(A733:G733)=0,"",IF(A733="","N° devis manquant",IF(ISNA(MATCH(A733,dv_num,0)),"Devis inconnu",IF(AND(B733&lt;&gt;"",ISNA(MATCH(B733,pr_code,0))),"Article inconnu",IF(H733="","Désignation manquante",IF(OR(NOT(ISNUMBER(D733)),N(D733)&lt;=0),"Quantité invalide",IF(J733="","Prix manquant",IF(OR(NOT(ISNUMBER(J733)),N(J733)&lt;0),"Prix invalide",IF(OR(AND(F733&lt;&gt;"",NOT(ISNUMBER(F733))),N(F733)&lt;0,N(F733)&gt;1),"Remise invalide",IF(K733="","Taux de TVA manquant",IF(NOT(ISNUMBER(K733)),"Taux de TVA invalide",IF(COUNTIF(p_rates,K733)=0,"Taux de TVA hors liste (Paramètres)",IF(N(O733)&gt;25,"Au-delà de 25 lignes : non imprimée","OK")))))))))))))</f>
        <v/>
      </c>
      <c r="O733" s="59" t="str">
        <f>IF(A733="","",COUNTIF($A$6:A733,A733))</f>
        <v/>
      </c>
      <c r="P733" s="62" t="str">
        <f>IF(A733="","",A733&amp;"|"&amp;O733)</f>
        <v/>
      </c>
    </row>
    <row r="734">
      <c r="A734" s="60" t="n"/>
      <c r="B734" s="63" t="n"/>
      <c r="C734" s="63" t="n"/>
      <c r="D734" s="67" t="n"/>
      <c r="E734" s="68" t="n"/>
      <c r="F734" s="69" t="n"/>
      <c r="G734" s="70" t="n"/>
      <c r="H734" s="62" t="str">
        <f>IF(COUNTA(A734:G734)=0,"",IF(C734&lt;&gt;"",C734,IF(B734="","",IFERROR(INDEX(pr_des,MATCH(B734,pr_code,0))&amp;"",""))))</f>
        <v/>
      </c>
      <c r="I734" s="59" t="str">
        <f>IF(B734="","",IFERROR(INDEX(pr_unit,MATCH(B734,pr_code,0))&amp;"",""))</f>
        <v/>
      </c>
      <c r="J734" s="65" t="str">
        <f>IF(COUNTA(A734:G734)=0,"",IF(E734&lt;&gt;"",E734,IF(B734="","",IFERROR(IF(INDEX(pr_price,MATCH(B734,pr_code,0))="","",INDEX(pr_price,MATCH(B734,pr_code,0))),""))))</f>
        <v/>
      </c>
      <c r="K734" s="71" t="str">
        <f>IF(COUNTA(A734:G734)=0,"",IF(G734&lt;&gt;"",G734,IF(B734="","",IFERROR(IF(INDEX(pr_rate,MATCH(B734,pr_code,0))="","",INDEX(pr_rate,MATCH(B734,pr_code,0))),""))))</f>
        <v/>
      </c>
      <c r="L734" s="65" t="str">
        <f>IF(COUNTA(A734:G734)=0,"",IF(AND(ISNUMBER(D734),ISNUMBER(J734)),ROUND(D734*J734*(1-N(F734)),2),0))</f>
        <v/>
      </c>
      <c r="M734" s="62" t="str">
        <f>IF(A734="","",IFERROR(INDEX(dv_cname,MATCH(A734,dv_num,0))&amp;"",""))</f>
        <v/>
      </c>
      <c r="N734" s="59" t="str">
        <f>IF(COUNTA(A734:G734)=0,"",IF(A734="","N° devis manquant",IF(ISNA(MATCH(A734,dv_num,0)),"Devis inconnu",IF(AND(B734&lt;&gt;"",ISNA(MATCH(B734,pr_code,0))),"Article inconnu",IF(H734="","Désignation manquante",IF(OR(NOT(ISNUMBER(D734)),N(D734)&lt;=0),"Quantité invalide",IF(J734="","Prix manquant",IF(OR(NOT(ISNUMBER(J734)),N(J734)&lt;0),"Prix invalide",IF(OR(AND(F734&lt;&gt;"",NOT(ISNUMBER(F734))),N(F734)&lt;0,N(F734)&gt;1),"Remise invalide",IF(K734="","Taux de TVA manquant",IF(NOT(ISNUMBER(K734)),"Taux de TVA invalide",IF(COUNTIF(p_rates,K734)=0,"Taux de TVA hors liste (Paramètres)",IF(N(O734)&gt;25,"Au-delà de 25 lignes : non imprimée","OK")))))))))))))</f>
        <v/>
      </c>
      <c r="O734" s="59" t="str">
        <f>IF(A734="","",COUNTIF($A$6:A734,A734))</f>
        <v/>
      </c>
      <c r="P734" s="62" t="str">
        <f>IF(A734="","",A734&amp;"|"&amp;O734)</f>
        <v/>
      </c>
    </row>
    <row r="735">
      <c r="A735" s="60" t="n"/>
      <c r="B735" s="63" t="n"/>
      <c r="C735" s="63" t="n"/>
      <c r="D735" s="67" t="n"/>
      <c r="E735" s="68" t="n"/>
      <c r="F735" s="69" t="n"/>
      <c r="G735" s="70" t="n"/>
      <c r="H735" s="62" t="str">
        <f>IF(COUNTA(A735:G735)=0,"",IF(C735&lt;&gt;"",C735,IF(B735="","",IFERROR(INDEX(pr_des,MATCH(B735,pr_code,0))&amp;"",""))))</f>
        <v/>
      </c>
      <c r="I735" s="59" t="str">
        <f>IF(B735="","",IFERROR(INDEX(pr_unit,MATCH(B735,pr_code,0))&amp;"",""))</f>
        <v/>
      </c>
      <c r="J735" s="65" t="str">
        <f>IF(COUNTA(A735:G735)=0,"",IF(E735&lt;&gt;"",E735,IF(B735="","",IFERROR(IF(INDEX(pr_price,MATCH(B735,pr_code,0))="","",INDEX(pr_price,MATCH(B735,pr_code,0))),""))))</f>
        <v/>
      </c>
      <c r="K735" s="71" t="str">
        <f>IF(COUNTA(A735:G735)=0,"",IF(G735&lt;&gt;"",G735,IF(B735="","",IFERROR(IF(INDEX(pr_rate,MATCH(B735,pr_code,0))="","",INDEX(pr_rate,MATCH(B735,pr_code,0))),""))))</f>
        <v/>
      </c>
      <c r="L735" s="65" t="str">
        <f>IF(COUNTA(A735:G735)=0,"",IF(AND(ISNUMBER(D735),ISNUMBER(J735)),ROUND(D735*J735*(1-N(F735)),2),0))</f>
        <v/>
      </c>
      <c r="M735" s="62" t="str">
        <f>IF(A735="","",IFERROR(INDEX(dv_cname,MATCH(A735,dv_num,0))&amp;"",""))</f>
        <v/>
      </c>
      <c r="N735" s="59" t="str">
        <f>IF(COUNTA(A735:G735)=0,"",IF(A735="","N° devis manquant",IF(ISNA(MATCH(A735,dv_num,0)),"Devis inconnu",IF(AND(B735&lt;&gt;"",ISNA(MATCH(B735,pr_code,0))),"Article inconnu",IF(H735="","Désignation manquante",IF(OR(NOT(ISNUMBER(D735)),N(D735)&lt;=0),"Quantité invalide",IF(J735="","Prix manquant",IF(OR(NOT(ISNUMBER(J735)),N(J735)&lt;0),"Prix invalide",IF(OR(AND(F735&lt;&gt;"",NOT(ISNUMBER(F735))),N(F735)&lt;0,N(F735)&gt;1),"Remise invalide",IF(K735="","Taux de TVA manquant",IF(NOT(ISNUMBER(K735)),"Taux de TVA invalide",IF(COUNTIF(p_rates,K735)=0,"Taux de TVA hors liste (Paramètres)",IF(N(O735)&gt;25,"Au-delà de 25 lignes : non imprimée","OK")))))))))))))</f>
        <v/>
      </c>
      <c r="O735" s="59" t="str">
        <f>IF(A735="","",COUNTIF($A$6:A735,A735))</f>
        <v/>
      </c>
      <c r="P735" s="62" t="str">
        <f>IF(A735="","",A735&amp;"|"&amp;O735)</f>
        <v/>
      </c>
    </row>
    <row r="736">
      <c r="A736" s="60" t="n"/>
      <c r="B736" s="63" t="n"/>
      <c r="C736" s="63" t="n"/>
      <c r="D736" s="67" t="n"/>
      <c r="E736" s="68" t="n"/>
      <c r="F736" s="69" t="n"/>
      <c r="G736" s="70" t="n"/>
      <c r="H736" s="62" t="str">
        <f>IF(COUNTA(A736:G736)=0,"",IF(C736&lt;&gt;"",C736,IF(B736="","",IFERROR(INDEX(pr_des,MATCH(B736,pr_code,0))&amp;"",""))))</f>
        <v/>
      </c>
      <c r="I736" s="59" t="str">
        <f>IF(B736="","",IFERROR(INDEX(pr_unit,MATCH(B736,pr_code,0))&amp;"",""))</f>
        <v/>
      </c>
      <c r="J736" s="65" t="str">
        <f>IF(COUNTA(A736:G736)=0,"",IF(E736&lt;&gt;"",E736,IF(B736="","",IFERROR(IF(INDEX(pr_price,MATCH(B736,pr_code,0))="","",INDEX(pr_price,MATCH(B736,pr_code,0))),""))))</f>
        <v/>
      </c>
      <c r="K736" s="71" t="str">
        <f>IF(COUNTA(A736:G736)=0,"",IF(G736&lt;&gt;"",G736,IF(B736="","",IFERROR(IF(INDEX(pr_rate,MATCH(B736,pr_code,0))="","",INDEX(pr_rate,MATCH(B736,pr_code,0))),""))))</f>
        <v/>
      </c>
      <c r="L736" s="65" t="str">
        <f>IF(COUNTA(A736:G736)=0,"",IF(AND(ISNUMBER(D736),ISNUMBER(J736)),ROUND(D736*J736*(1-N(F736)),2),0))</f>
        <v/>
      </c>
      <c r="M736" s="62" t="str">
        <f>IF(A736="","",IFERROR(INDEX(dv_cname,MATCH(A736,dv_num,0))&amp;"",""))</f>
        <v/>
      </c>
      <c r="N736" s="59" t="str">
        <f>IF(COUNTA(A736:G736)=0,"",IF(A736="","N° devis manquant",IF(ISNA(MATCH(A736,dv_num,0)),"Devis inconnu",IF(AND(B736&lt;&gt;"",ISNA(MATCH(B736,pr_code,0))),"Article inconnu",IF(H736="","Désignation manquante",IF(OR(NOT(ISNUMBER(D736)),N(D736)&lt;=0),"Quantité invalide",IF(J736="","Prix manquant",IF(OR(NOT(ISNUMBER(J736)),N(J736)&lt;0),"Prix invalide",IF(OR(AND(F736&lt;&gt;"",NOT(ISNUMBER(F736))),N(F736)&lt;0,N(F736)&gt;1),"Remise invalide",IF(K736="","Taux de TVA manquant",IF(NOT(ISNUMBER(K736)),"Taux de TVA invalide",IF(COUNTIF(p_rates,K736)=0,"Taux de TVA hors liste (Paramètres)",IF(N(O736)&gt;25,"Au-delà de 25 lignes : non imprimée","OK")))))))))))))</f>
        <v/>
      </c>
      <c r="O736" s="59" t="str">
        <f>IF(A736="","",COUNTIF($A$6:A736,A736))</f>
        <v/>
      </c>
      <c r="P736" s="62" t="str">
        <f>IF(A736="","",A736&amp;"|"&amp;O736)</f>
        <v/>
      </c>
    </row>
    <row r="737">
      <c r="A737" s="60" t="n"/>
      <c r="B737" s="63" t="n"/>
      <c r="C737" s="63" t="n"/>
      <c r="D737" s="67" t="n"/>
      <c r="E737" s="68" t="n"/>
      <c r="F737" s="69" t="n"/>
      <c r="G737" s="70" t="n"/>
      <c r="H737" s="62" t="str">
        <f>IF(COUNTA(A737:G737)=0,"",IF(C737&lt;&gt;"",C737,IF(B737="","",IFERROR(INDEX(pr_des,MATCH(B737,pr_code,0))&amp;"",""))))</f>
        <v/>
      </c>
      <c r="I737" s="59" t="str">
        <f>IF(B737="","",IFERROR(INDEX(pr_unit,MATCH(B737,pr_code,0))&amp;"",""))</f>
        <v/>
      </c>
      <c r="J737" s="65" t="str">
        <f>IF(COUNTA(A737:G737)=0,"",IF(E737&lt;&gt;"",E737,IF(B737="","",IFERROR(IF(INDEX(pr_price,MATCH(B737,pr_code,0))="","",INDEX(pr_price,MATCH(B737,pr_code,0))),""))))</f>
        <v/>
      </c>
      <c r="K737" s="71" t="str">
        <f>IF(COUNTA(A737:G737)=0,"",IF(G737&lt;&gt;"",G737,IF(B737="","",IFERROR(IF(INDEX(pr_rate,MATCH(B737,pr_code,0))="","",INDEX(pr_rate,MATCH(B737,pr_code,0))),""))))</f>
        <v/>
      </c>
      <c r="L737" s="65" t="str">
        <f>IF(COUNTA(A737:G737)=0,"",IF(AND(ISNUMBER(D737),ISNUMBER(J737)),ROUND(D737*J737*(1-N(F737)),2),0))</f>
        <v/>
      </c>
      <c r="M737" s="62" t="str">
        <f>IF(A737="","",IFERROR(INDEX(dv_cname,MATCH(A737,dv_num,0))&amp;"",""))</f>
        <v/>
      </c>
      <c r="N737" s="59" t="str">
        <f>IF(COUNTA(A737:G737)=0,"",IF(A737="","N° devis manquant",IF(ISNA(MATCH(A737,dv_num,0)),"Devis inconnu",IF(AND(B737&lt;&gt;"",ISNA(MATCH(B737,pr_code,0))),"Article inconnu",IF(H737="","Désignation manquante",IF(OR(NOT(ISNUMBER(D737)),N(D737)&lt;=0),"Quantité invalide",IF(J737="","Prix manquant",IF(OR(NOT(ISNUMBER(J737)),N(J737)&lt;0),"Prix invalide",IF(OR(AND(F737&lt;&gt;"",NOT(ISNUMBER(F737))),N(F737)&lt;0,N(F737)&gt;1),"Remise invalide",IF(K737="","Taux de TVA manquant",IF(NOT(ISNUMBER(K737)),"Taux de TVA invalide",IF(COUNTIF(p_rates,K737)=0,"Taux de TVA hors liste (Paramètres)",IF(N(O737)&gt;25,"Au-delà de 25 lignes : non imprimée","OK")))))))))))))</f>
        <v/>
      </c>
      <c r="O737" s="59" t="str">
        <f>IF(A737="","",COUNTIF($A$6:A737,A737))</f>
        <v/>
      </c>
      <c r="P737" s="62" t="str">
        <f>IF(A737="","",A737&amp;"|"&amp;O737)</f>
        <v/>
      </c>
    </row>
    <row r="738">
      <c r="A738" s="60" t="n"/>
      <c r="B738" s="63" t="n"/>
      <c r="C738" s="63" t="n"/>
      <c r="D738" s="67" t="n"/>
      <c r="E738" s="68" t="n"/>
      <c r="F738" s="69" t="n"/>
      <c r="G738" s="70" t="n"/>
      <c r="H738" s="62" t="str">
        <f>IF(COUNTA(A738:G738)=0,"",IF(C738&lt;&gt;"",C738,IF(B738="","",IFERROR(INDEX(pr_des,MATCH(B738,pr_code,0))&amp;"",""))))</f>
        <v/>
      </c>
      <c r="I738" s="59" t="str">
        <f>IF(B738="","",IFERROR(INDEX(pr_unit,MATCH(B738,pr_code,0))&amp;"",""))</f>
        <v/>
      </c>
      <c r="J738" s="65" t="str">
        <f>IF(COUNTA(A738:G738)=0,"",IF(E738&lt;&gt;"",E738,IF(B738="","",IFERROR(IF(INDEX(pr_price,MATCH(B738,pr_code,0))="","",INDEX(pr_price,MATCH(B738,pr_code,0))),""))))</f>
        <v/>
      </c>
      <c r="K738" s="71" t="str">
        <f>IF(COUNTA(A738:G738)=0,"",IF(G738&lt;&gt;"",G738,IF(B738="","",IFERROR(IF(INDEX(pr_rate,MATCH(B738,pr_code,0))="","",INDEX(pr_rate,MATCH(B738,pr_code,0))),""))))</f>
        <v/>
      </c>
      <c r="L738" s="65" t="str">
        <f>IF(COUNTA(A738:G738)=0,"",IF(AND(ISNUMBER(D738),ISNUMBER(J738)),ROUND(D738*J738*(1-N(F738)),2),0))</f>
        <v/>
      </c>
      <c r="M738" s="62" t="str">
        <f>IF(A738="","",IFERROR(INDEX(dv_cname,MATCH(A738,dv_num,0))&amp;"",""))</f>
        <v/>
      </c>
      <c r="N738" s="59" t="str">
        <f>IF(COUNTA(A738:G738)=0,"",IF(A738="","N° devis manquant",IF(ISNA(MATCH(A738,dv_num,0)),"Devis inconnu",IF(AND(B738&lt;&gt;"",ISNA(MATCH(B738,pr_code,0))),"Article inconnu",IF(H738="","Désignation manquante",IF(OR(NOT(ISNUMBER(D738)),N(D738)&lt;=0),"Quantité invalide",IF(J738="","Prix manquant",IF(OR(NOT(ISNUMBER(J738)),N(J738)&lt;0),"Prix invalide",IF(OR(AND(F738&lt;&gt;"",NOT(ISNUMBER(F738))),N(F738)&lt;0,N(F738)&gt;1),"Remise invalide",IF(K738="","Taux de TVA manquant",IF(NOT(ISNUMBER(K738)),"Taux de TVA invalide",IF(COUNTIF(p_rates,K738)=0,"Taux de TVA hors liste (Paramètres)",IF(N(O738)&gt;25,"Au-delà de 25 lignes : non imprimée","OK")))))))))))))</f>
        <v/>
      </c>
      <c r="O738" s="59" t="str">
        <f>IF(A738="","",COUNTIF($A$6:A738,A738))</f>
        <v/>
      </c>
      <c r="P738" s="62" t="str">
        <f>IF(A738="","",A738&amp;"|"&amp;O738)</f>
        <v/>
      </c>
    </row>
    <row r="739">
      <c r="A739" s="60" t="n"/>
      <c r="B739" s="63" t="n"/>
      <c r="C739" s="63" t="n"/>
      <c r="D739" s="67" t="n"/>
      <c r="E739" s="68" t="n"/>
      <c r="F739" s="69" t="n"/>
      <c r="G739" s="70" t="n"/>
      <c r="H739" s="62" t="str">
        <f>IF(COUNTA(A739:G739)=0,"",IF(C739&lt;&gt;"",C739,IF(B739="","",IFERROR(INDEX(pr_des,MATCH(B739,pr_code,0))&amp;"",""))))</f>
        <v/>
      </c>
      <c r="I739" s="59" t="str">
        <f>IF(B739="","",IFERROR(INDEX(pr_unit,MATCH(B739,pr_code,0))&amp;"",""))</f>
        <v/>
      </c>
      <c r="J739" s="65" t="str">
        <f>IF(COUNTA(A739:G739)=0,"",IF(E739&lt;&gt;"",E739,IF(B739="","",IFERROR(IF(INDEX(pr_price,MATCH(B739,pr_code,0))="","",INDEX(pr_price,MATCH(B739,pr_code,0))),""))))</f>
        <v/>
      </c>
      <c r="K739" s="71" t="str">
        <f>IF(COUNTA(A739:G739)=0,"",IF(G739&lt;&gt;"",G739,IF(B739="","",IFERROR(IF(INDEX(pr_rate,MATCH(B739,pr_code,0))="","",INDEX(pr_rate,MATCH(B739,pr_code,0))),""))))</f>
        <v/>
      </c>
      <c r="L739" s="65" t="str">
        <f>IF(COUNTA(A739:G739)=0,"",IF(AND(ISNUMBER(D739),ISNUMBER(J739)),ROUND(D739*J739*(1-N(F739)),2),0))</f>
        <v/>
      </c>
      <c r="M739" s="62" t="str">
        <f>IF(A739="","",IFERROR(INDEX(dv_cname,MATCH(A739,dv_num,0))&amp;"",""))</f>
        <v/>
      </c>
      <c r="N739" s="59" t="str">
        <f>IF(COUNTA(A739:G739)=0,"",IF(A739="","N° devis manquant",IF(ISNA(MATCH(A739,dv_num,0)),"Devis inconnu",IF(AND(B739&lt;&gt;"",ISNA(MATCH(B739,pr_code,0))),"Article inconnu",IF(H739="","Désignation manquante",IF(OR(NOT(ISNUMBER(D739)),N(D739)&lt;=0),"Quantité invalide",IF(J739="","Prix manquant",IF(OR(NOT(ISNUMBER(J739)),N(J739)&lt;0),"Prix invalide",IF(OR(AND(F739&lt;&gt;"",NOT(ISNUMBER(F739))),N(F739)&lt;0,N(F739)&gt;1),"Remise invalide",IF(K739="","Taux de TVA manquant",IF(NOT(ISNUMBER(K739)),"Taux de TVA invalide",IF(COUNTIF(p_rates,K739)=0,"Taux de TVA hors liste (Paramètres)",IF(N(O739)&gt;25,"Au-delà de 25 lignes : non imprimée","OK")))))))))))))</f>
        <v/>
      </c>
      <c r="O739" s="59" t="str">
        <f>IF(A739="","",COUNTIF($A$6:A739,A739))</f>
        <v/>
      </c>
      <c r="P739" s="62" t="str">
        <f>IF(A739="","",A739&amp;"|"&amp;O739)</f>
        <v/>
      </c>
    </row>
    <row r="740">
      <c r="A740" s="60" t="n"/>
      <c r="B740" s="63" t="n"/>
      <c r="C740" s="63" t="n"/>
      <c r="D740" s="67" t="n"/>
      <c r="E740" s="68" t="n"/>
      <c r="F740" s="69" t="n"/>
      <c r="G740" s="70" t="n"/>
      <c r="H740" s="62" t="str">
        <f>IF(COUNTA(A740:G740)=0,"",IF(C740&lt;&gt;"",C740,IF(B740="","",IFERROR(INDEX(pr_des,MATCH(B740,pr_code,0))&amp;"",""))))</f>
        <v/>
      </c>
      <c r="I740" s="59" t="str">
        <f>IF(B740="","",IFERROR(INDEX(pr_unit,MATCH(B740,pr_code,0))&amp;"",""))</f>
        <v/>
      </c>
      <c r="J740" s="65" t="str">
        <f>IF(COUNTA(A740:G740)=0,"",IF(E740&lt;&gt;"",E740,IF(B740="","",IFERROR(IF(INDEX(pr_price,MATCH(B740,pr_code,0))="","",INDEX(pr_price,MATCH(B740,pr_code,0))),""))))</f>
        <v/>
      </c>
      <c r="K740" s="71" t="str">
        <f>IF(COUNTA(A740:G740)=0,"",IF(G740&lt;&gt;"",G740,IF(B740="","",IFERROR(IF(INDEX(pr_rate,MATCH(B740,pr_code,0))="","",INDEX(pr_rate,MATCH(B740,pr_code,0))),""))))</f>
        <v/>
      </c>
      <c r="L740" s="65" t="str">
        <f>IF(COUNTA(A740:G740)=0,"",IF(AND(ISNUMBER(D740),ISNUMBER(J740)),ROUND(D740*J740*(1-N(F740)),2),0))</f>
        <v/>
      </c>
      <c r="M740" s="62" t="str">
        <f>IF(A740="","",IFERROR(INDEX(dv_cname,MATCH(A740,dv_num,0))&amp;"",""))</f>
        <v/>
      </c>
      <c r="N740" s="59" t="str">
        <f>IF(COUNTA(A740:G740)=0,"",IF(A740="","N° devis manquant",IF(ISNA(MATCH(A740,dv_num,0)),"Devis inconnu",IF(AND(B740&lt;&gt;"",ISNA(MATCH(B740,pr_code,0))),"Article inconnu",IF(H740="","Désignation manquante",IF(OR(NOT(ISNUMBER(D740)),N(D740)&lt;=0),"Quantité invalide",IF(J740="","Prix manquant",IF(OR(NOT(ISNUMBER(J740)),N(J740)&lt;0),"Prix invalide",IF(OR(AND(F740&lt;&gt;"",NOT(ISNUMBER(F740))),N(F740)&lt;0,N(F740)&gt;1),"Remise invalide",IF(K740="","Taux de TVA manquant",IF(NOT(ISNUMBER(K740)),"Taux de TVA invalide",IF(COUNTIF(p_rates,K740)=0,"Taux de TVA hors liste (Paramètres)",IF(N(O740)&gt;25,"Au-delà de 25 lignes : non imprimée","OK")))))))))))))</f>
        <v/>
      </c>
      <c r="O740" s="59" t="str">
        <f>IF(A740="","",COUNTIF($A$6:A740,A740))</f>
        <v/>
      </c>
      <c r="P740" s="62" t="str">
        <f>IF(A740="","",A740&amp;"|"&amp;O740)</f>
        <v/>
      </c>
    </row>
    <row r="741">
      <c r="A741" s="60" t="n"/>
      <c r="B741" s="63" t="n"/>
      <c r="C741" s="63" t="n"/>
      <c r="D741" s="67" t="n"/>
      <c r="E741" s="68" t="n"/>
      <c r="F741" s="69" t="n"/>
      <c r="G741" s="70" t="n"/>
      <c r="H741" s="62" t="str">
        <f>IF(COUNTA(A741:G741)=0,"",IF(C741&lt;&gt;"",C741,IF(B741="","",IFERROR(INDEX(pr_des,MATCH(B741,pr_code,0))&amp;"",""))))</f>
        <v/>
      </c>
      <c r="I741" s="59" t="str">
        <f>IF(B741="","",IFERROR(INDEX(pr_unit,MATCH(B741,pr_code,0))&amp;"",""))</f>
        <v/>
      </c>
      <c r="J741" s="65" t="str">
        <f>IF(COUNTA(A741:G741)=0,"",IF(E741&lt;&gt;"",E741,IF(B741="","",IFERROR(IF(INDEX(pr_price,MATCH(B741,pr_code,0))="","",INDEX(pr_price,MATCH(B741,pr_code,0))),""))))</f>
        <v/>
      </c>
      <c r="K741" s="71" t="str">
        <f>IF(COUNTA(A741:G741)=0,"",IF(G741&lt;&gt;"",G741,IF(B741="","",IFERROR(IF(INDEX(pr_rate,MATCH(B741,pr_code,0))="","",INDEX(pr_rate,MATCH(B741,pr_code,0))),""))))</f>
        <v/>
      </c>
      <c r="L741" s="65" t="str">
        <f>IF(COUNTA(A741:G741)=0,"",IF(AND(ISNUMBER(D741),ISNUMBER(J741)),ROUND(D741*J741*(1-N(F741)),2),0))</f>
        <v/>
      </c>
      <c r="M741" s="62" t="str">
        <f>IF(A741="","",IFERROR(INDEX(dv_cname,MATCH(A741,dv_num,0))&amp;"",""))</f>
        <v/>
      </c>
      <c r="N741" s="59" t="str">
        <f>IF(COUNTA(A741:G741)=0,"",IF(A741="","N° devis manquant",IF(ISNA(MATCH(A741,dv_num,0)),"Devis inconnu",IF(AND(B741&lt;&gt;"",ISNA(MATCH(B741,pr_code,0))),"Article inconnu",IF(H741="","Désignation manquante",IF(OR(NOT(ISNUMBER(D741)),N(D741)&lt;=0),"Quantité invalide",IF(J741="","Prix manquant",IF(OR(NOT(ISNUMBER(J741)),N(J741)&lt;0),"Prix invalide",IF(OR(AND(F741&lt;&gt;"",NOT(ISNUMBER(F741))),N(F741)&lt;0,N(F741)&gt;1),"Remise invalide",IF(K741="","Taux de TVA manquant",IF(NOT(ISNUMBER(K741)),"Taux de TVA invalide",IF(COUNTIF(p_rates,K741)=0,"Taux de TVA hors liste (Paramètres)",IF(N(O741)&gt;25,"Au-delà de 25 lignes : non imprimée","OK")))))))))))))</f>
        <v/>
      </c>
      <c r="O741" s="59" t="str">
        <f>IF(A741="","",COUNTIF($A$6:A741,A741))</f>
        <v/>
      </c>
      <c r="P741" s="62" t="str">
        <f>IF(A741="","",A741&amp;"|"&amp;O741)</f>
        <v/>
      </c>
    </row>
    <row r="742">
      <c r="A742" s="60" t="n"/>
      <c r="B742" s="63" t="n"/>
      <c r="C742" s="63" t="n"/>
      <c r="D742" s="67" t="n"/>
      <c r="E742" s="68" t="n"/>
      <c r="F742" s="69" t="n"/>
      <c r="G742" s="70" t="n"/>
      <c r="H742" s="62" t="str">
        <f>IF(COUNTA(A742:G742)=0,"",IF(C742&lt;&gt;"",C742,IF(B742="","",IFERROR(INDEX(pr_des,MATCH(B742,pr_code,0))&amp;"",""))))</f>
        <v/>
      </c>
      <c r="I742" s="59" t="str">
        <f>IF(B742="","",IFERROR(INDEX(pr_unit,MATCH(B742,pr_code,0))&amp;"",""))</f>
        <v/>
      </c>
      <c r="J742" s="65" t="str">
        <f>IF(COUNTA(A742:G742)=0,"",IF(E742&lt;&gt;"",E742,IF(B742="","",IFERROR(IF(INDEX(pr_price,MATCH(B742,pr_code,0))="","",INDEX(pr_price,MATCH(B742,pr_code,0))),""))))</f>
        <v/>
      </c>
      <c r="K742" s="71" t="str">
        <f>IF(COUNTA(A742:G742)=0,"",IF(G742&lt;&gt;"",G742,IF(B742="","",IFERROR(IF(INDEX(pr_rate,MATCH(B742,pr_code,0))="","",INDEX(pr_rate,MATCH(B742,pr_code,0))),""))))</f>
        <v/>
      </c>
      <c r="L742" s="65" t="str">
        <f>IF(COUNTA(A742:G742)=0,"",IF(AND(ISNUMBER(D742),ISNUMBER(J742)),ROUND(D742*J742*(1-N(F742)),2),0))</f>
        <v/>
      </c>
      <c r="M742" s="62" t="str">
        <f>IF(A742="","",IFERROR(INDEX(dv_cname,MATCH(A742,dv_num,0))&amp;"",""))</f>
        <v/>
      </c>
      <c r="N742" s="59" t="str">
        <f>IF(COUNTA(A742:G742)=0,"",IF(A742="","N° devis manquant",IF(ISNA(MATCH(A742,dv_num,0)),"Devis inconnu",IF(AND(B742&lt;&gt;"",ISNA(MATCH(B742,pr_code,0))),"Article inconnu",IF(H742="","Désignation manquante",IF(OR(NOT(ISNUMBER(D742)),N(D742)&lt;=0),"Quantité invalide",IF(J742="","Prix manquant",IF(OR(NOT(ISNUMBER(J742)),N(J742)&lt;0),"Prix invalide",IF(OR(AND(F742&lt;&gt;"",NOT(ISNUMBER(F742))),N(F742)&lt;0,N(F742)&gt;1),"Remise invalide",IF(K742="","Taux de TVA manquant",IF(NOT(ISNUMBER(K742)),"Taux de TVA invalide",IF(COUNTIF(p_rates,K742)=0,"Taux de TVA hors liste (Paramètres)",IF(N(O742)&gt;25,"Au-delà de 25 lignes : non imprimée","OK")))))))))))))</f>
        <v/>
      </c>
      <c r="O742" s="59" t="str">
        <f>IF(A742="","",COUNTIF($A$6:A742,A742))</f>
        <v/>
      </c>
      <c r="P742" s="62" t="str">
        <f>IF(A742="","",A742&amp;"|"&amp;O742)</f>
        <v/>
      </c>
    </row>
    <row r="743">
      <c r="A743" s="60" t="n"/>
      <c r="B743" s="63" t="n"/>
      <c r="C743" s="63" t="n"/>
      <c r="D743" s="67" t="n"/>
      <c r="E743" s="68" t="n"/>
      <c r="F743" s="69" t="n"/>
      <c r="G743" s="70" t="n"/>
      <c r="H743" s="62" t="str">
        <f>IF(COUNTA(A743:G743)=0,"",IF(C743&lt;&gt;"",C743,IF(B743="","",IFERROR(INDEX(pr_des,MATCH(B743,pr_code,0))&amp;"",""))))</f>
        <v/>
      </c>
      <c r="I743" s="59" t="str">
        <f>IF(B743="","",IFERROR(INDEX(pr_unit,MATCH(B743,pr_code,0))&amp;"",""))</f>
        <v/>
      </c>
      <c r="J743" s="65" t="str">
        <f>IF(COUNTA(A743:G743)=0,"",IF(E743&lt;&gt;"",E743,IF(B743="","",IFERROR(IF(INDEX(pr_price,MATCH(B743,pr_code,0))="","",INDEX(pr_price,MATCH(B743,pr_code,0))),""))))</f>
        <v/>
      </c>
      <c r="K743" s="71" t="str">
        <f>IF(COUNTA(A743:G743)=0,"",IF(G743&lt;&gt;"",G743,IF(B743="","",IFERROR(IF(INDEX(pr_rate,MATCH(B743,pr_code,0))="","",INDEX(pr_rate,MATCH(B743,pr_code,0))),""))))</f>
        <v/>
      </c>
      <c r="L743" s="65" t="str">
        <f>IF(COUNTA(A743:G743)=0,"",IF(AND(ISNUMBER(D743),ISNUMBER(J743)),ROUND(D743*J743*(1-N(F743)),2),0))</f>
        <v/>
      </c>
      <c r="M743" s="62" t="str">
        <f>IF(A743="","",IFERROR(INDEX(dv_cname,MATCH(A743,dv_num,0))&amp;"",""))</f>
        <v/>
      </c>
      <c r="N743" s="59" t="str">
        <f>IF(COUNTA(A743:G743)=0,"",IF(A743="","N° devis manquant",IF(ISNA(MATCH(A743,dv_num,0)),"Devis inconnu",IF(AND(B743&lt;&gt;"",ISNA(MATCH(B743,pr_code,0))),"Article inconnu",IF(H743="","Désignation manquante",IF(OR(NOT(ISNUMBER(D743)),N(D743)&lt;=0),"Quantité invalide",IF(J743="","Prix manquant",IF(OR(NOT(ISNUMBER(J743)),N(J743)&lt;0),"Prix invalide",IF(OR(AND(F743&lt;&gt;"",NOT(ISNUMBER(F743))),N(F743)&lt;0,N(F743)&gt;1),"Remise invalide",IF(K743="","Taux de TVA manquant",IF(NOT(ISNUMBER(K743)),"Taux de TVA invalide",IF(COUNTIF(p_rates,K743)=0,"Taux de TVA hors liste (Paramètres)",IF(N(O743)&gt;25,"Au-delà de 25 lignes : non imprimée","OK")))))))))))))</f>
        <v/>
      </c>
      <c r="O743" s="59" t="str">
        <f>IF(A743="","",COUNTIF($A$6:A743,A743))</f>
        <v/>
      </c>
      <c r="P743" s="62" t="str">
        <f>IF(A743="","",A743&amp;"|"&amp;O743)</f>
        <v/>
      </c>
    </row>
    <row r="744">
      <c r="A744" s="60" t="n"/>
      <c r="B744" s="63" t="n"/>
      <c r="C744" s="63" t="n"/>
      <c r="D744" s="67" t="n"/>
      <c r="E744" s="68" t="n"/>
      <c r="F744" s="69" t="n"/>
      <c r="G744" s="70" t="n"/>
      <c r="H744" s="62" t="str">
        <f>IF(COUNTA(A744:G744)=0,"",IF(C744&lt;&gt;"",C744,IF(B744="","",IFERROR(INDEX(pr_des,MATCH(B744,pr_code,0))&amp;"",""))))</f>
        <v/>
      </c>
      <c r="I744" s="59" t="str">
        <f>IF(B744="","",IFERROR(INDEX(pr_unit,MATCH(B744,pr_code,0))&amp;"",""))</f>
        <v/>
      </c>
      <c r="J744" s="65" t="str">
        <f>IF(COUNTA(A744:G744)=0,"",IF(E744&lt;&gt;"",E744,IF(B744="","",IFERROR(IF(INDEX(pr_price,MATCH(B744,pr_code,0))="","",INDEX(pr_price,MATCH(B744,pr_code,0))),""))))</f>
        <v/>
      </c>
      <c r="K744" s="71" t="str">
        <f>IF(COUNTA(A744:G744)=0,"",IF(G744&lt;&gt;"",G744,IF(B744="","",IFERROR(IF(INDEX(pr_rate,MATCH(B744,pr_code,0))="","",INDEX(pr_rate,MATCH(B744,pr_code,0))),""))))</f>
        <v/>
      </c>
      <c r="L744" s="65" t="str">
        <f>IF(COUNTA(A744:G744)=0,"",IF(AND(ISNUMBER(D744),ISNUMBER(J744)),ROUND(D744*J744*(1-N(F744)),2),0))</f>
        <v/>
      </c>
      <c r="M744" s="62" t="str">
        <f>IF(A744="","",IFERROR(INDEX(dv_cname,MATCH(A744,dv_num,0))&amp;"",""))</f>
        <v/>
      </c>
      <c r="N744" s="59" t="str">
        <f>IF(COUNTA(A744:G744)=0,"",IF(A744="","N° devis manquant",IF(ISNA(MATCH(A744,dv_num,0)),"Devis inconnu",IF(AND(B744&lt;&gt;"",ISNA(MATCH(B744,pr_code,0))),"Article inconnu",IF(H744="","Désignation manquante",IF(OR(NOT(ISNUMBER(D744)),N(D744)&lt;=0),"Quantité invalide",IF(J744="","Prix manquant",IF(OR(NOT(ISNUMBER(J744)),N(J744)&lt;0),"Prix invalide",IF(OR(AND(F744&lt;&gt;"",NOT(ISNUMBER(F744))),N(F744)&lt;0,N(F744)&gt;1),"Remise invalide",IF(K744="","Taux de TVA manquant",IF(NOT(ISNUMBER(K744)),"Taux de TVA invalide",IF(COUNTIF(p_rates,K744)=0,"Taux de TVA hors liste (Paramètres)",IF(N(O744)&gt;25,"Au-delà de 25 lignes : non imprimée","OK")))))))))))))</f>
        <v/>
      </c>
      <c r="O744" s="59" t="str">
        <f>IF(A744="","",COUNTIF($A$6:A744,A744))</f>
        <v/>
      </c>
      <c r="P744" s="62" t="str">
        <f>IF(A744="","",A744&amp;"|"&amp;O744)</f>
        <v/>
      </c>
    </row>
    <row r="745">
      <c r="A745" s="60" t="n"/>
      <c r="B745" s="63" t="n"/>
      <c r="C745" s="63" t="n"/>
      <c r="D745" s="67" t="n"/>
      <c r="E745" s="68" t="n"/>
      <c r="F745" s="69" t="n"/>
      <c r="G745" s="70" t="n"/>
      <c r="H745" s="62" t="str">
        <f>IF(COUNTA(A745:G745)=0,"",IF(C745&lt;&gt;"",C745,IF(B745="","",IFERROR(INDEX(pr_des,MATCH(B745,pr_code,0))&amp;"",""))))</f>
        <v/>
      </c>
      <c r="I745" s="59" t="str">
        <f>IF(B745="","",IFERROR(INDEX(pr_unit,MATCH(B745,pr_code,0))&amp;"",""))</f>
        <v/>
      </c>
      <c r="J745" s="65" t="str">
        <f>IF(COUNTA(A745:G745)=0,"",IF(E745&lt;&gt;"",E745,IF(B745="","",IFERROR(IF(INDEX(pr_price,MATCH(B745,pr_code,0))="","",INDEX(pr_price,MATCH(B745,pr_code,0))),""))))</f>
        <v/>
      </c>
      <c r="K745" s="71" t="str">
        <f>IF(COUNTA(A745:G745)=0,"",IF(G745&lt;&gt;"",G745,IF(B745="","",IFERROR(IF(INDEX(pr_rate,MATCH(B745,pr_code,0))="","",INDEX(pr_rate,MATCH(B745,pr_code,0))),""))))</f>
        <v/>
      </c>
      <c r="L745" s="65" t="str">
        <f>IF(COUNTA(A745:G745)=0,"",IF(AND(ISNUMBER(D745),ISNUMBER(J745)),ROUND(D745*J745*(1-N(F745)),2),0))</f>
        <v/>
      </c>
      <c r="M745" s="62" t="str">
        <f>IF(A745="","",IFERROR(INDEX(dv_cname,MATCH(A745,dv_num,0))&amp;"",""))</f>
        <v/>
      </c>
      <c r="N745" s="59" t="str">
        <f>IF(COUNTA(A745:G745)=0,"",IF(A745="","N° devis manquant",IF(ISNA(MATCH(A745,dv_num,0)),"Devis inconnu",IF(AND(B745&lt;&gt;"",ISNA(MATCH(B745,pr_code,0))),"Article inconnu",IF(H745="","Désignation manquante",IF(OR(NOT(ISNUMBER(D745)),N(D745)&lt;=0),"Quantité invalide",IF(J745="","Prix manquant",IF(OR(NOT(ISNUMBER(J745)),N(J745)&lt;0),"Prix invalide",IF(OR(AND(F745&lt;&gt;"",NOT(ISNUMBER(F745))),N(F745)&lt;0,N(F745)&gt;1),"Remise invalide",IF(K745="","Taux de TVA manquant",IF(NOT(ISNUMBER(K745)),"Taux de TVA invalide",IF(COUNTIF(p_rates,K745)=0,"Taux de TVA hors liste (Paramètres)",IF(N(O745)&gt;25,"Au-delà de 25 lignes : non imprimée","OK")))))))))))))</f>
        <v/>
      </c>
      <c r="O745" s="59" t="str">
        <f>IF(A745="","",COUNTIF($A$6:A745,A745))</f>
        <v/>
      </c>
      <c r="P745" s="62" t="str">
        <f>IF(A745="","",A745&amp;"|"&amp;O745)</f>
        <v/>
      </c>
    </row>
    <row r="746">
      <c r="A746" s="60" t="n"/>
      <c r="B746" s="63" t="n"/>
      <c r="C746" s="63" t="n"/>
      <c r="D746" s="67" t="n"/>
      <c r="E746" s="68" t="n"/>
      <c r="F746" s="69" t="n"/>
      <c r="G746" s="70" t="n"/>
      <c r="H746" s="62" t="str">
        <f>IF(COUNTA(A746:G746)=0,"",IF(C746&lt;&gt;"",C746,IF(B746="","",IFERROR(INDEX(pr_des,MATCH(B746,pr_code,0))&amp;"",""))))</f>
        <v/>
      </c>
      <c r="I746" s="59" t="str">
        <f>IF(B746="","",IFERROR(INDEX(pr_unit,MATCH(B746,pr_code,0))&amp;"",""))</f>
        <v/>
      </c>
      <c r="J746" s="65" t="str">
        <f>IF(COUNTA(A746:G746)=0,"",IF(E746&lt;&gt;"",E746,IF(B746="","",IFERROR(IF(INDEX(pr_price,MATCH(B746,pr_code,0))="","",INDEX(pr_price,MATCH(B746,pr_code,0))),""))))</f>
        <v/>
      </c>
      <c r="K746" s="71" t="str">
        <f>IF(COUNTA(A746:G746)=0,"",IF(G746&lt;&gt;"",G746,IF(B746="","",IFERROR(IF(INDEX(pr_rate,MATCH(B746,pr_code,0))="","",INDEX(pr_rate,MATCH(B746,pr_code,0))),""))))</f>
        <v/>
      </c>
      <c r="L746" s="65" t="str">
        <f>IF(COUNTA(A746:G746)=0,"",IF(AND(ISNUMBER(D746),ISNUMBER(J746)),ROUND(D746*J746*(1-N(F746)),2),0))</f>
        <v/>
      </c>
      <c r="M746" s="62" t="str">
        <f>IF(A746="","",IFERROR(INDEX(dv_cname,MATCH(A746,dv_num,0))&amp;"",""))</f>
        <v/>
      </c>
      <c r="N746" s="59" t="str">
        <f>IF(COUNTA(A746:G746)=0,"",IF(A746="","N° devis manquant",IF(ISNA(MATCH(A746,dv_num,0)),"Devis inconnu",IF(AND(B746&lt;&gt;"",ISNA(MATCH(B746,pr_code,0))),"Article inconnu",IF(H746="","Désignation manquante",IF(OR(NOT(ISNUMBER(D746)),N(D746)&lt;=0),"Quantité invalide",IF(J746="","Prix manquant",IF(OR(NOT(ISNUMBER(J746)),N(J746)&lt;0),"Prix invalide",IF(OR(AND(F746&lt;&gt;"",NOT(ISNUMBER(F746))),N(F746)&lt;0,N(F746)&gt;1),"Remise invalide",IF(K746="","Taux de TVA manquant",IF(NOT(ISNUMBER(K746)),"Taux de TVA invalide",IF(COUNTIF(p_rates,K746)=0,"Taux de TVA hors liste (Paramètres)",IF(N(O746)&gt;25,"Au-delà de 25 lignes : non imprimée","OK")))))))))))))</f>
        <v/>
      </c>
      <c r="O746" s="59" t="str">
        <f>IF(A746="","",COUNTIF($A$6:A746,A746))</f>
        <v/>
      </c>
      <c r="P746" s="62" t="str">
        <f>IF(A746="","",A746&amp;"|"&amp;O746)</f>
        <v/>
      </c>
    </row>
    <row r="747">
      <c r="A747" s="60" t="n"/>
      <c r="B747" s="63" t="n"/>
      <c r="C747" s="63" t="n"/>
      <c r="D747" s="67" t="n"/>
      <c r="E747" s="68" t="n"/>
      <c r="F747" s="69" t="n"/>
      <c r="G747" s="70" t="n"/>
      <c r="H747" s="62" t="str">
        <f>IF(COUNTA(A747:G747)=0,"",IF(C747&lt;&gt;"",C747,IF(B747="","",IFERROR(INDEX(pr_des,MATCH(B747,pr_code,0))&amp;"",""))))</f>
        <v/>
      </c>
      <c r="I747" s="59" t="str">
        <f>IF(B747="","",IFERROR(INDEX(pr_unit,MATCH(B747,pr_code,0))&amp;"",""))</f>
        <v/>
      </c>
      <c r="J747" s="65" t="str">
        <f>IF(COUNTA(A747:G747)=0,"",IF(E747&lt;&gt;"",E747,IF(B747="","",IFERROR(IF(INDEX(pr_price,MATCH(B747,pr_code,0))="","",INDEX(pr_price,MATCH(B747,pr_code,0))),""))))</f>
        <v/>
      </c>
      <c r="K747" s="71" t="str">
        <f>IF(COUNTA(A747:G747)=0,"",IF(G747&lt;&gt;"",G747,IF(B747="","",IFERROR(IF(INDEX(pr_rate,MATCH(B747,pr_code,0))="","",INDEX(pr_rate,MATCH(B747,pr_code,0))),""))))</f>
        <v/>
      </c>
      <c r="L747" s="65" t="str">
        <f>IF(COUNTA(A747:G747)=0,"",IF(AND(ISNUMBER(D747),ISNUMBER(J747)),ROUND(D747*J747*(1-N(F747)),2),0))</f>
        <v/>
      </c>
      <c r="M747" s="62" t="str">
        <f>IF(A747="","",IFERROR(INDEX(dv_cname,MATCH(A747,dv_num,0))&amp;"",""))</f>
        <v/>
      </c>
      <c r="N747" s="59" t="str">
        <f>IF(COUNTA(A747:G747)=0,"",IF(A747="","N° devis manquant",IF(ISNA(MATCH(A747,dv_num,0)),"Devis inconnu",IF(AND(B747&lt;&gt;"",ISNA(MATCH(B747,pr_code,0))),"Article inconnu",IF(H747="","Désignation manquante",IF(OR(NOT(ISNUMBER(D747)),N(D747)&lt;=0),"Quantité invalide",IF(J747="","Prix manquant",IF(OR(NOT(ISNUMBER(J747)),N(J747)&lt;0),"Prix invalide",IF(OR(AND(F747&lt;&gt;"",NOT(ISNUMBER(F747))),N(F747)&lt;0,N(F747)&gt;1),"Remise invalide",IF(K747="","Taux de TVA manquant",IF(NOT(ISNUMBER(K747)),"Taux de TVA invalide",IF(COUNTIF(p_rates,K747)=0,"Taux de TVA hors liste (Paramètres)",IF(N(O747)&gt;25,"Au-delà de 25 lignes : non imprimée","OK")))))))))))))</f>
        <v/>
      </c>
      <c r="O747" s="59" t="str">
        <f>IF(A747="","",COUNTIF($A$6:A747,A747))</f>
        <v/>
      </c>
      <c r="P747" s="62" t="str">
        <f>IF(A747="","",A747&amp;"|"&amp;O747)</f>
        <v/>
      </c>
    </row>
    <row r="748">
      <c r="A748" s="60" t="n"/>
      <c r="B748" s="63" t="n"/>
      <c r="C748" s="63" t="n"/>
      <c r="D748" s="67" t="n"/>
      <c r="E748" s="68" t="n"/>
      <c r="F748" s="69" t="n"/>
      <c r="G748" s="70" t="n"/>
      <c r="H748" s="62" t="str">
        <f>IF(COUNTA(A748:G748)=0,"",IF(C748&lt;&gt;"",C748,IF(B748="","",IFERROR(INDEX(pr_des,MATCH(B748,pr_code,0))&amp;"",""))))</f>
        <v/>
      </c>
      <c r="I748" s="59" t="str">
        <f>IF(B748="","",IFERROR(INDEX(pr_unit,MATCH(B748,pr_code,0))&amp;"",""))</f>
        <v/>
      </c>
      <c r="J748" s="65" t="str">
        <f>IF(COUNTA(A748:G748)=0,"",IF(E748&lt;&gt;"",E748,IF(B748="","",IFERROR(IF(INDEX(pr_price,MATCH(B748,pr_code,0))="","",INDEX(pr_price,MATCH(B748,pr_code,0))),""))))</f>
        <v/>
      </c>
      <c r="K748" s="71" t="str">
        <f>IF(COUNTA(A748:G748)=0,"",IF(G748&lt;&gt;"",G748,IF(B748="","",IFERROR(IF(INDEX(pr_rate,MATCH(B748,pr_code,0))="","",INDEX(pr_rate,MATCH(B748,pr_code,0))),""))))</f>
        <v/>
      </c>
      <c r="L748" s="65" t="str">
        <f>IF(COUNTA(A748:G748)=0,"",IF(AND(ISNUMBER(D748),ISNUMBER(J748)),ROUND(D748*J748*(1-N(F748)),2),0))</f>
        <v/>
      </c>
      <c r="M748" s="62" t="str">
        <f>IF(A748="","",IFERROR(INDEX(dv_cname,MATCH(A748,dv_num,0))&amp;"",""))</f>
        <v/>
      </c>
      <c r="N748" s="59" t="str">
        <f>IF(COUNTA(A748:G748)=0,"",IF(A748="","N° devis manquant",IF(ISNA(MATCH(A748,dv_num,0)),"Devis inconnu",IF(AND(B748&lt;&gt;"",ISNA(MATCH(B748,pr_code,0))),"Article inconnu",IF(H748="","Désignation manquante",IF(OR(NOT(ISNUMBER(D748)),N(D748)&lt;=0),"Quantité invalide",IF(J748="","Prix manquant",IF(OR(NOT(ISNUMBER(J748)),N(J748)&lt;0),"Prix invalide",IF(OR(AND(F748&lt;&gt;"",NOT(ISNUMBER(F748))),N(F748)&lt;0,N(F748)&gt;1),"Remise invalide",IF(K748="","Taux de TVA manquant",IF(NOT(ISNUMBER(K748)),"Taux de TVA invalide",IF(COUNTIF(p_rates,K748)=0,"Taux de TVA hors liste (Paramètres)",IF(N(O748)&gt;25,"Au-delà de 25 lignes : non imprimée","OK")))))))))))))</f>
        <v/>
      </c>
      <c r="O748" s="59" t="str">
        <f>IF(A748="","",COUNTIF($A$6:A748,A748))</f>
        <v/>
      </c>
      <c r="P748" s="62" t="str">
        <f>IF(A748="","",A748&amp;"|"&amp;O748)</f>
        <v/>
      </c>
    </row>
    <row r="749">
      <c r="A749" s="60" t="n"/>
      <c r="B749" s="63" t="n"/>
      <c r="C749" s="63" t="n"/>
      <c r="D749" s="67" t="n"/>
      <c r="E749" s="68" t="n"/>
      <c r="F749" s="69" t="n"/>
      <c r="G749" s="70" t="n"/>
      <c r="H749" s="62" t="str">
        <f>IF(COUNTA(A749:G749)=0,"",IF(C749&lt;&gt;"",C749,IF(B749="","",IFERROR(INDEX(pr_des,MATCH(B749,pr_code,0))&amp;"",""))))</f>
        <v/>
      </c>
      <c r="I749" s="59" t="str">
        <f>IF(B749="","",IFERROR(INDEX(pr_unit,MATCH(B749,pr_code,0))&amp;"",""))</f>
        <v/>
      </c>
      <c r="J749" s="65" t="str">
        <f>IF(COUNTA(A749:G749)=0,"",IF(E749&lt;&gt;"",E749,IF(B749="","",IFERROR(IF(INDEX(pr_price,MATCH(B749,pr_code,0))="","",INDEX(pr_price,MATCH(B749,pr_code,0))),""))))</f>
        <v/>
      </c>
      <c r="K749" s="71" t="str">
        <f>IF(COUNTA(A749:G749)=0,"",IF(G749&lt;&gt;"",G749,IF(B749="","",IFERROR(IF(INDEX(pr_rate,MATCH(B749,pr_code,0))="","",INDEX(pr_rate,MATCH(B749,pr_code,0))),""))))</f>
        <v/>
      </c>
      <c r="L749" s="65" t="str">
        <f>IF(COUNTA(A749:G749)=0,"",IF(AND(ISNUMBER(D749),ISNUMBER(J749)),ROUND(D749*J749*(1-N(F749)),2),0))</f>
        <v/>
      </c>
      <c r="M749" s="62" t="str">
        <f>IF(A749="","",IFERROR(INDEX(dv_cname,MATCH(A749,dv_num,0))&amp;"",""))</f>
        <v/>
      </c>
      <c r="N749" s="59" t="str">
        <f>IF(COUNTA(A749:G749)=0,"",IF(A749="","N° devis manquant",IF(ISNA(MATCH(A749,dv_num,0)),"Devis inconnu",IF(AND(B749&lt;&gt;"",ISNA(MATCH(B749,pr_code,0))),"Article inconnu",IF(H749="","Désignation manquante",IF(OR(NOT(ISNUMBER(D749)),N(D749)&lt;=0),"Quantité invalide",IF(J749="","Prix manquant",IF(OR(NOT(ISNUMBER(J749)),N(J749)&lt;0),"Prix invalide",IF(OR(AND(F749&lt;&gt;"",NOT(ISNUMBER(F749))),N(F749)&lt;0,N(F749)&gt;1),"Remise invalide",IF(K749="","Taux de TVA manquant",IF(NOT(ISNUMBER(K749)),"Taux de TVA invalide",IF(COUNTIF(p_rates,K749)=0,"Taux de TVA hors liste (Paramètres)",IF(N(O749)&gt;25,"Au-delà de 25 lignes : non imprimée","OK")))))))))))))</f>
        <v/>
      </c>
      <c r="O749" s="59" t="str">
        <f>IF(A749="","",COUNTIF($A$6:A749,A749))</f>
        <v/>
      </c>
      <c r="P749" s="62" t="str">
        <f>IF(A749="","",A749&amp;"|"&amp;O749)</f>
        <v/>
      </c>
    </row>
    <row r="750">
      <c r="A750" s="60" t="n"/>
      <c r="B750" s="63" t="n"/>
      <c r="C750" s="63" t="n"/>
      <c r="D750" s="67" t="n"/>
      <c r="E750" s="68" t="n"/>
      <c r="F750" s="69" t="n"/>
      <c r="G750" s="70" t="n"/>
      <c r="H750" s="62" t="str">
        <f>IF(COUNTA(A750:G750)=0,"",IF(C750&lt;&gt;"",C750,IF(B750="","",IFERROR(INDEX(pr_des,MATCH(B750,pr_code,0))&amp;"",""))))</f>
        <v/>
      </c>
      <c r="I750" s="59" t="str">
        <f>IF(B750="","",IFERROR(INDEX(pr_unit,MATCH(B750,pr_code,0))&amp;"",""))</f>
        <v/>
      </c>
      <c r="J750" s="65" t="str">
        <f>IF(COUNTA(A750:G750)=0,"",IF(E750&lt;&gt;"",E750,IF(B750="","",IFERROR(IF(INDEX(pr_price,MATCH(B750,pr_code,0))="","",INDEX(pr_price,MATCH(B750,pr_code,0))),""))))</f>
        <v/>
      </c>
      <c r="K750" s="71" t="str">
        <f>IF(COUNTA(A750:G750)=0,"",IF(G750&lt;&gt;"",G750,IF(B750="","",IFERROR(IF(INDEX(pr_rate,MATCH(B750,pr_code,0))="","",INDEX(pr_rate,MATCH(B750,pr_code,0))),""))))</f>
        <v/>
      </c>
      <c r="L750" s="65" t="str">
        <f>IF(COUNTA(A750:G750)=0,"",IF(AND(ISNUMBER(D750),ISNUMBER(J750)),ROUND(D750*J750*(1-N(F750)),2),0))</f>
        <v/>
      </c>
      <c r="M750" s="62" t="str">
        <f>IF(A750="","",IFERROR(INDEX(dv_cname,MATCH(A750,dv_num,0))&amp;"",""))</f>
        <v/>
      </c>
      <c r="N750" s="59" t="str">
        <f>IF(COUNTA(A750:G750)=0,"",IF(A750="","N° devis manquant",IF(ISNA(MATCH(A750,dv_num,0)),"Devis inconnu",IF(AND(B750&lt;&gt;"",ISNA(MATCH(B750,pr_code,0))),"Article inconnu",IF(H750="","Désignation manquante",IF(OR(NOT(ISNUMBER(D750)),N(D750)&lt;=0),"Quantité invalide",IF(J750="","Prix manquant",IF(OR(NOT(ISNUMBER(J750)),N(J750)&lt;0),"Prix invalide",IF(OR(AND(F750&lt;&gt;"",NOT(ISNUMBER(F750))),N(F750)&lt;0,N(F750)&gt;1),"Remise invalide",IF(K750="","Taux de TVA manquant",IF(NOT(ISNUMBER(K750)),"Taux de TVA invalide",IF(COUNTIF(p_rates,K750)=0,"Taux de TVA hors liste (Paramètres)",IF(N(O750)&gt;25,"Au-delà de 25 lignes : non imprimée","OK")))))))))))))</f>
        <v/>
      </c>
      <c r="O750" s="59" t="str">
        <f>IF(A750="","",COUNTIF($A$6:A750,A750))</f>
        <v/>
      </c>
      <c r="P750" s="62" t="str">
        <f>IF(A750="","",A750&amp;"|"&amp;O750)</f>
        <v/>
      </c>
    </row>
    <row r="751">
      <c r="A751" s="60" t="n"/>
      <c r="B751" s="63" t="n"/>
      <c r="C751" s="63" t="n"/>
      <c r="D751" s="67" t="n"/>
      <c r="E751" s="68" t="n"/>
      <c r="F751" s="69" t="n"/>
      <c r="G751" s="70" t="n"/>
      <c r="H751" s="62" t="str">
        <f>IF(COUNTA(A751:G751)=0,"",IF(C751&lt;&gt;"",C751,IF(B751="","",IFERROR(INDEX(pr_des,MATCH(B751,pr_code,0))&amp;"",""))))</f>
        <v/>
      </c>
      <c r="I751" s="59" t="str">
        <f>IF(B751="","",IFERROR(INDEX(pr_unit,MATCH(B751,pr_code,0))&amp;"",""))</f>
        <v/>
      </c>
      <c r="J751" s="65" t="str">
        <f>IF(COUNTA(A751:G751)=0,"",IF(E751&lt;&gt;"",E751,IF(B751="","",IFERROR(IF(INDEX(pr_price,MATCH(B751,pr_code,0))="","",INDEX(pr_price,MATCH(B751,pr_code,0))),""))))</f>
        <v/>
      </c>
      <c r="K751" s="71" t="str">
        <f>IF(COUNTA(A751:G751)=0,"",IF(G751&lt;&gt;"",G751,IF(B751="","",IFERROR(IF(INDEX(pr_rate,MATCH(B751,pr_code,0))="","",INDEX(pr_rate,MATCH(B751,pr_code,0))),""))))</f>
        <v/>
      </c>
      <c r="L751" s="65" t="str">
        <f>IF(COUNTA(A751:G751)=0,"",IF(AND(ISNUMBER(D751),ISNUMBER(J751)),ROUND(D751*J751*(1-N(F751)),2),0))</f>
        <v/>
      </c>
      <c r="M751" s="62" t="str">
        <f>IF(A751="","",IFERROR(INDEX(dv_cname,MATCH(A751,dv_num,0))&amp;"",""))</f>
        <v/>
      </c>
      <c r="N751" s="59" t="str">
        <f>IF(COUNTA(A751:G751)=0,"",IF(A751="","N° devis manquant",IF(ISNA(MATCH(A751,dv_num,0)),"Devis inconnu",IF(AND(B751&lt;&gt;"",ISNA(MATCH(B751,pr_code,0))),"Article inconnu",IF(H751="","Désignation manquante",IF(OR(NOT(ISNUMBER(D751)),N(D751)&lt;=0),"Quantité invalide",IF(J751="","Prix manquant",IF(OR(NOT(ISNUMBER(J751)),N(J751)&lt;0),"Prix invalide",IF(OR(AND(F751&lt;&gt;"",NOT(ISNUMBER(F751))),N(F751)&lt;0,N(F751)&gt;1),"Remise invalide",IF(K751="","Taux de TVA manquant",IF(NOT(ISNUMBER(K751)),"Taux de TVA invalide",IF(COUNTIF(p_rates,K751)=0,"Taux de TVA hors liste (Paramètres)",IF(N(O751)&gt;25,"Au-delà de 25 lignes : non imprimée","OK")))))))))))))</f>
        <v/>
      </c>
      <c r="O751" s="59" t="str">
        <f>IF(A751="","",COUNTIF($A$6:A751,A751))</f>
        <v/>
      </c>
      <c r="P751" s="62" t="str">
        <f>IF(A751="","",A751&amp;"|"&amp;O751)</f>
        <v/>
      </c>
    </row>
    <row r="752">
      <c r="A752" s="60" t="n"/>
      <c r="B752" s="63" t="n"/>
      <c r="C752" s="63" t="n"/>
      <c r="D752" s="67" t="n"/>
      <c r="E752" s="68" t="n"/>
      <c r="F752" s="69" t="n"/>
      <c r="G752" s="70" t="n"/>
      <c r="H752" s="62" t="str">
        <f>IF(COUNTA(A752:G752)=0,"",IF(C752&lt;&gt;"",C752,IF(B752="","",IFERROR(INDEX(pr_des,MATCH(B752,pr_code,0))&amp;"",""))))</f>
        <v/>
      </c>
      <c r="I752" s="59" t="str">
        <f>IF(B752="","",IFERROR(INDEX(pr_unit,MATCH(B752,pr_code,0))&amp;"",""))</f>
        <v/>
      </c>
      <c r="J752" s="65" t="str">
        <f>IF(COUNTA(A752:G752)=0,"",IF(E752&lt;&gt;"",E752,IF(B752="","",IFERROR(IF(INDEX(pr_price,MATCH(B752,pr_code,0))="","",INDEX(pr_price,MATCH(B752,pr_code,0))),""))))</f>
        <v/>
      </c>
      <c r="K752" s="71" t="str">
        <f>IF(COUNTA(A752:G752)=0,"",IF(G752&lt;&gt;"",G752,IF(B752="","",IFERROR(IF(INDEX(pr_rate,MATCH(B752,pr_code,0))="","",INDEX(pr_rate,MATCH(B752,pr_code,0))),""))))</f>
        <v/>
      </c>
      <c r="L752" s="65" t="str">
        <f>IF(COUNTA(A752:G752)=0,"",IF(AND(ISNUMBER(D752),ISNUMBER(J752)),ROUND(D752*J752*(1-N(F752)),2),0))</f>
        <v/>
      </c>
      <c r="M752" s="62" t="str">
        <f>IF(A752="","",IFERROR(INDEX(dv_cname,MATCH(A752,dv_num,0))&amp;"",""))</f>
        <v/>
      </c>
      <c r="N752" s="59" t="str">
        <f>IF(COUNTA(A752:G752)=0,"",IF(A752="","N° devis manquant",IF(ISNA(MATCH(A752,dv_num,0)),"Devis inconnu",IF(AND(B752&lt;&gt;"",ISNA(MATCH(B752,pr_code,0))),"Article inconnu",IF(H752="","Désignation manquante",IF(OR(NOT(ISNUMBER(D752)),N(D752)&lt;=0),"Quantité invalide",IF(J752="","Prix manquant",IF(OR(NOT(ISNUMBER(J752)),N(J752)&lt;0),"Prix invalide",IF(OR(AND(F752&lt;&gt;"",NOT(ISNUMBER(F752))),N(F752)&lt;0,N(F752)&gt;1),"Remise invalide",IF(K752="","Taux de TVA manquant",IF(NOT(ISNUMBER(K752)),"Taux de TVA invalide",IF(COUNTIF(p_rates,K752)=0,"Taux de TVA hors liste (Paramètres)",IF(N(O752)&gt;25,"Au-delà de 25 lignes : non imprimée","OK")))))))))))))</f>
        <v/>
      </c>
      <c r="O752" s="59" t="str">
        <f>IF(A752="","",COUNTIF($A$6:A752,A752))</f>
        <v/>
      </c>
      <c r="P752" s="62" t="str">
        <f>IF(A752="","",A752&amp;"|"&amp;O752)</f>
        <v/>
      </c>
    </row>
    <row r="753">
      <c r="A753" s="60" t="n"/>
      <c r="B753" s="63" t="n"/>
      <c r="C753" s="63" t="n"/>
      <c r="D753" s="67" t="n"/>
      <c r="E753" s="68" t="n"/>
      <c r="F753" s="69" t="n"/>
      <c r="G753" s="70" t="n"/>
      <c r="H753" s="62" t="str">
        <f>IF(COUNTA(A753:G753)=0,"",IF(C753&lt;&gt;"",C753,IF(B753="","",IFERROR(INDEX(pr_des,MATCH(B753,pr_code,0))&amp;"",""))))</f>
        <v/>
      </c>
      <c r="I753" s="59" t="str">
        <f>IF(B753="","",IFERROR(INDEX(pr_unit,MATCH(B753,pr_code,0))&amp;"",""))</f>
        <v/>
      </c>
      <c r="J753" s="65" t="str">
        <f>IF(COUNTA(A753:G753)=0,"",IF(E753&lt;&gt;"",E753,IF(B753="","",IFERROR(IF(INDEX(pr_price,MATCH(B753,pr_code,0))="","",INDEX(pr_price,MATCH(B753,pr_code,0))),""))))</f>
        <v/>
      </c>
      <c r="K753" s="71" t="str">
        <f>IF(COUNTA(A753:G753)=0,"",IF(G753&lt;&gt;"",G753,IF(B753="","",IFERROR(IF(INDEX(pr_rate,MATCH(B753,pr_code,0))="","",INDEX(pr_rate,MATCH(B753,pr_code,0))),""))))</f>
        <v/>
      </c>
      <c r="L753" s="65" t="str">
        <f>IF(COUNTA(A753:G753)=0,"",IF(AND(ISNUMBER(D753),ISNUMBER(J753)),ROUND(D753*J753*(1-N(F753)),2),0))</f>
        <v/>
      </c>
      <c r="M753" s="62" t="str">
        <f>IF(A753="","",IFERROR(INDEX(dv_cname,MATCH(A753,dv_num,0))&amp;"",""))</f>
        <v/>
      </c>
      <c r="N753" s="59" t="str">
        <f>IF(COUNTA(A753:G753)=0,"",IF(A753="","N° devis manquant",IF(ISNA(MATCH(A753,dv_num,0)),"Devis inconnu",IF(AND(B753&lt;&gt;"",ISNA(MATCH(B753,pr_code,0))),"Article inconnu",IF(H753="","Désignation manquante",IF(OR(NOT(ISNUMBER(D753)),N(D753)&lt;=0),"Quantité invalide",IF(J753="","Prix manquant",IF(OR(NOT(ISNUMBER(J753)),N(J753)&lt;0),"Prix invalide",IF(OR(AND(F753&lt;&gt;"",NOT(ISNUMBER(F753))),N(F753)&lt;0,N(F753)&gt;1),"Remise invalide",IF(K753="","Taux de TVA manquant",IF(NOT(ISNUMBER(K753)),"Taux de TVA invalide",IF(COUNTIF(p_rates,K753)=0,"Taux de TVA hors liste (Paramètres)",IF(N(O753)&gt;25,"Au-delà de 25 lignes : non imprimée","OK")))))))))))))</f>
        <v/>
      </c>
      <c r="O753" s="59" t="str">
        <f>IF(A753="","",COUNTIF($A$6:A753,A753))</f>
        <v/>
      </c>
      <c r="P753" s="62" t="str">
        <f>IF(A753="","",A753&amp;"|"&amp;O753)</f>
        <v/>
      </c>
    </row>
    <row r="754">
      <c r="A754" s="60" t="n"/>
      <c r="B754" s="63" t="n"/>
      <c r="C754" s="63" t="n"/>
      <c r="D754" s="67" t="n"/>
      <c r="E754" s="68" t="n"/>
      <c r="F754" s="69" t="n"/>
      <c r="G754" s="70" t="n"/>
      <c r="H754" s="62" t="str">
        <f>IF(COUNTA(A754:G754)=0,"",IF(C754&lt;&gt;"",C754,IF(B754="","",IFERROR(INDEX(pr_des,MATCH(B754,pr_code,0))&amp;"",""))))</f>
        <v/>
      </c>
      <c r="I754" s="59" t="str">
        <f>IF(B754="","",IFERROR(INDEX(pr_unit,MATCH(B754,pr_code,0))&amp;"",""))</f>
        <v/>
      </c>
      <c r="J754" s="65" t="str">
        <f>IF(COUNTA(A754:G754)=0,"",IF(E754&lt;&gt;"",E754,IF(B754="","",IFERROR(IF(INDEX(pr_price,MATCH(B754,pr_code,0))="","",INDEX(pr_price,MATCH(B754,pr_code,0))),""))))</f>
        <v/>
      </c>
      <c r="K754" s="71" t="str">
        <f>IF(COUNTA(A754:G754)=0,"",IF(G754&lt;&gt;"",G754,IF(B754="","",IFERROR(IF(INDEX(pr_rate,MATCH(B754,pr_code,0))="","",INDEX(pr_rate,MATCH(B754,pr_code,0))),""))))</f>
        <v/>
      </c>
      <c r="L754" s="65" t="str">
        <f>IF(COUNTA(A754:G754)=0,"",IF(AND(ISNUMBER(D754),ISNUMBER(J754)),ROUND(D754*J754*(1-N(F754)),2),0))</f>
        <v/>
      </c>
      <c r="M754" s="62" t="str">
        <f>IF(A754="","",IFERROR(INDEX(dv_cname,MATCH(A754,dv_num,0))&amp;"",""))</f>
        <v/>
      </c>
      <c r="N754" s="59" t="str">
        <f>IF(COUNTA(A754:G754)=0,"",IF(A754="","N° devis manquant",IF(ISNA(MATCH(A754,dv_num,0)),"Devis inconnu",IF(AND(B754&lt;&gt;"",ISNA(MATCH(B754,pr_code,0))),"Article inconnu",IF(H754="","Désignation manquante",IF(OR(NOT(ISNUMBER(D754)),N(D754)&lt;=0),"Quantité invalide",IF(J754="","Prix manquant",IF(OR(NOT(ISNUMBER(J754)),N(J754)&lt;0),"Prix invalide",IF(OR(AND(F754&lt;&gt;"",NOT(ISNUMBER(F754))),N(F754)&lt;0,N(F754)&gt;1),"Remise invalide",IF(K754="","Taux de TVA manquant",IF(NOT(ISNUMBER(K754)),"Taux de TVA invalide",IF(COUNTIF(p_rates,K754)=0,"Taux de TVA hors liste (Paramètres)",IF(N(O754)&gt;25,"Au-delà de 25 lignes : non imprimée","OK")))))))))))))</f>
        <v/>
      </c>
      <c r="O754" s="59" t="str">
        <f>IF(A754="","",COUNTIF($A$6:A754,A754))</f>
        <v/>
      </c>
      <c r="P754" s="62" t="str">
        <f>IF(A754="","",A754&amp;"|"&amp;O754)</f>
        <v/>
      </c>
    </row>
    <row r="755">
      <c r="A755" s="60" t="n"/>
      <c r="B755" s="63" t="n"/>
      <c r="C755" s="63" t="n"/>
      <c r="D755" s="67" t="n"/>
      <c r="E755" s="68" t="n"/>
      <c r="F755" s="69" t="n"/>
      <c r="G755" s="70" t="n"/>
      <c r="H755" s="62" t="str">
        <f>IF(COUNTA(A755:G755)=0,"",IF(C755&lt;&gt;"",C755,IF(B755="","",IFERROR(INDEX(pr_des,MATCH(B755,pr_code,0))&amp;"",""))))</f>
        <v/>
      </c>
      <c r="I755" s="59" t="str">
        <f>IF(B755="","",IFERROR(INDEX(pr_unit,MATCH(B755,pr_code,0))&amp;"",""))</f>
        <v/>
      </c>
      <c r="J755" s="65" t="str">
        <f>IF(COUNTA(A755:G755)=0,"",IF(E755&lt;&gt;"",E755,IF(B755="","",IFERROR(IF(INDEX(pr_price,MATCH(B755,pr_code,0))="","",INDEX(pr_price,MATCH(B755,pr_code,0))),""))))</f>
        <v/>
      </c>
      <c r="K755" s="71" t="str">
        <f>IF(COUNTA(A755:G755)=0,"",IF(G755&lt;&gt;"",G755,IF(B755="","",IFERROR(IF(INDEX(pr_rate,MATCH(B755,pr_code,0))="","",INDEX(pr_rate,MATCH(B755,pr_code,0))),""))))</f>
        <v/>
      </c>
      <c r="L755" s="65" t="str">
        <f>IF(COUNTA(A755:G755)=0,"",IF(AND(ISNUMBER(D755),ISNUMBER(J755)),ROUND(D755*J755*(1-N(F755)),2),0))</f>
        <v/>
      </c>
      <c r="M755" s="62" t="str">
        <f>IF(A755="","",IFERROR(INDEX(dv_cname,MATCH(A755,dv_num,0))&amp;"",""))</f>
        <v/>
      </c>
      <c r="N755" s="59" t="str">
        <f>IF(COUNTA(A755:G755)=0,"",IF(A755="","N° devis manquant",IF(ISNA(MATCH(A755,dv_num,0)),"Devis inconnu",IF(AND(B755&lt;&gt;"",ISNA(MATCH(B755,pr_code,0))),"Article inconnu",IF(H755="","Désignation manquante",IF(OR(NOT(ISNUMBER(D755)),N(D755)&lt;=0),"Quantité invalide",IF(J755="","Prix manquant",IF(OR(NOT(ISNUMBER(J755)),N(J755)&lt;0),"Prix invalide",IF(OR(AND(F755&lt;&gt;"",NOT(ISNUMBER(F755))),N(F755)&lt;0,N(F755)&gt;1),"Remise invalide",IF(K755="","Taux de TVA manquant",IF(NOT(ISNUMBER(K755)),"Taux de TVA invalide",IF(COUNTIF(p_rates,K755)=0,"Taux de TVA hors liste (Paramètres)",IF(N(O755)&gt;25,"Au-delà de 25 lignes : non imprimée","OK")))))))))))))</f>
        <v/>
      </c>
      <c r="O755" s="59" t="str">
        <f>IF(A755="","",COUNTIF($A$6:A755,A755))</f>
        <v/>
      </c>
      <c r="P755" s="62" t="str">
        <f>IF(A755="","",A755&amp;"|"&amp;O755)</f>
        <v/>
      </c>
    </row>
    <row r="756">
      <c r="A756" s="60" t="n"/>
      <c r="B756" s="63" t="n"/>
      <c r="C756" s="63" t="n"/>
      <c r="D756" s="67" t="n"/>
      <c r="E756" s="68" t="n"/>
      <c r="F756" s="69" t="n"/>
      <c r="G756" s="70" t="n"/>
      <c r="H756" s="62" t="str">
        <f>IF(COUNTA(A756:G756)=0,"",IF(C756&lt;&gt;"",C756,IF(B756="","",IFERROR(INDEX(pr_des,MATCH(B756,pr_code,0))&amp;"",""))))</f>
        <v/>
      </c>
      <c r="I756" s="59" t="str">
        <f>IF(B756="","",IFERROR(INDEX(pr_unit,MATCH(B756,pr_code,0))&amp;"",""))</f>
        <v/>
      </c>
      <c r="J756" s="65" t="str">
        <f>IF(COUNTA(A756:G756)=0,"",IF(E756&lt;&gt;"",E756,IF(B756="","",IFERROR(IF(INDEX(pr_price,MATCH(B756,pr_code,0))="","",INDEX(pr_price,MATCH(B756,pr_code,0))),""))))</f>
        <v/>
      </c>
      <c r="K756" s="71" t="str">
        <f>IF(COUNTA(A756:G756)=0,"",IF(G756&lt;&gt;"",G756,IF(B756="","",IFERROR(IF(INDEX(pr_rate,MATCH(B756,pr_code,0))="","",INDEX(pr_rate,MATCH(B756,pr_code,0))),""))))</f>
        <v/>
      </c>
      <c r="L756" s="65" t="str">
        <f>IF(COUNTA(A756:G756)=0,"",IF(AND(ISNUMBER(D756),ISNUMBER(J756)),ROUND(D756*J756*(1-N(F756)),2),0))</f>
        <v/>
      </c>
      <c r="M756" s="62" t="str">
        <f>IF(A756="","",IFERROR(INDEX(dv_cname,MATCH(A756,dv_num,0))&amp;"",""))</f>
        <v/>
      </c>
      <c r="N756" s="59" t="str">
        <f>IF(COUNTA(A756:G756)=0,"",IF(A756="","N° devis manquant",IF(ISNA(MATCH(A756,dv_num,0)),"Devis inconnu",IF(AND(B756&lt;&gt;"",ISNA(MATCH(B756,pr_code,0))),"Article inconnu",IF(H756="","Désignation manquante",IF(OR(NOT(ISNUMBER(D756)),N(D756)&lt;=0),"Quantité invalide",IF(J756="","Prix manquant",IF(OR(NOT(ISNUMBER(J756)),N(J756)&lt;0),"Prix invalide",IF(OR(AND(F756&lt;&gt;"",NOT(ISNUMBER(F756))),N(F756)&lt;0,N(F756)&gt;1),"Remise invalide",IF(K756="","Taux de TVA manquant",IF(NOT(ISNUMBER(K756)),"Taux de TVA invalide",IF(COUNTIF(p_rates,K756)=0,"Taux de TVA hors liste (Paramètres)",IF(N(O756)&gt;25,"Au-delà de 25 lignes : non imprimée","OK")))))))))))))</f>
        <v/>
      </c>
      <c r="O756" s="59" t="str">
        <f>IF(A756="","",COUNTIF($A$6:A756,A756))</f>
        <v/>
      </c>
      <c r="P756" s="62" t="str">
        <f>IF(A756="","",A756&amp;"|"&amp;O756)</f>
        <v/>
      </c>
    </row>
    <row r="757">
      <c r="A757" s="60" t="n"/>
      <c r="B757" s="63" t="n"/>
      <c r="C757" s="63" t="n"/>
      <c r="D757" s="67" t="n"/>
      <c r="E757" s="68" t="n"/>
      <c r="F757" s="69" t="n"/>
      <c r="G757" s="70" t="n"/>
      <c r="H757" s="62" t="str">
        <f>IF(COUNTA(A757:G757)=0,"",IF(C757&lt;&gt;"",C757,IF(B757="","",IFERROR(INDEX(pr_des,MATCH(B757,pr_code,0))&amp;"",""))))</f>
        <v/>
      </c>
      <c r="I757" s="59" t="str">
        <f>IF(B757="","",IFERROR(INDEX(pr_unit,MATCH(B757,pr_code,0))&amp;"",""))</f>
        <v/>
      </c>
      <c r="J757" s="65" t="str">
        <f>IF(COUNTA(A757:G757)=0,"",IF(E757&lt;&gt;"",E757,IF(B757="","",IFERROR(IF(INDEX(pr_price,MATCH(B757,pr_code,0))="","",INDEX(pr_price,MATCH(B757,pr_code,0))),""))))</f>
        <v/>
      </c>
      <c r="K757" s="71" t="str">
        <f>IF(COUNTA(A757:G757)=0,"",IF(G757&lt;&gt;"",G757,IF(B757="","",IFERROR(IF(INDEX(pr_rate,MATCH(B757,pr_code,0))="","",INDEX(pr_rate,MATCH(B757,pr_code,0))),""))))</f>
        <v/>
      </c>
      <c r="L757" s="65" t="str">
        <f>IF(COUNTA(A757:G757)=0,"",IF(AND(ISNUMBER(D757),ISNUMBER(J757)),ROUND(D757*J757*(1-N(F757)),2),0))</f>
        <v/>
      </c>
      <c r="M757" s="62" t="str">
        <f>IF(A757="","",IFERROR(INDEX(dv_cname,MATCH(A757,dv_num,0))&amp;"",""))</f>
        <v/>
      </c>
      <c r="N757" s="59" t="str">
        <f>IF(COUNTA(A757:G757)=0,"",IF(A757="","N° devis manquant",IF(ISNA(MATCH(A757,dv_num,0)),"Devis inconnu",IF(AND(B757&lt;&gt;"",ISNA(MATCH(B757,pr_code,0))),"Article inconnu",IF(H757="","Désignation manquante",IF(OR(NOT(ISNUMBER(D757)),N(D757)&lt;=0),"Quantité invalide",IF(J757="","Prix manquant",IF(OR(NOT(ISNUMBER(J757)),N(J757)&lt;0),"Prix invalide",IF(OR(AND(F757&lt;&gt;"",NOT(ISNUMBER(F757))),N(F757)&lt;0,N(F757)&gt;1),"Remise invalide",IF(K757="","Taux de TVA manquant",IF(NOT(ISNUMBER(K757)),"Taux de TVA invalide",IF(COUNTIF(p_rates,K757)=0,"Taux de TVA hors liste (Paramètres)",IF(N(O757)&gt;25,"Au-delà de 25 lignes : non imprimée","OK")))))))))))))</f>
        <v/>
      </c>
      <c r="O757" s="59" t="str">
        <f>IF(A757="","",COUNTIF($A$6:A757,A757))</f>
        <v/>
      </c>
      <c r="P757" s="62" t="str">
        <f>IF(A757="","",A757&amp;"|"&amp;O757)</f>
        <v/>
      </c>
    </row>
    <row r="758">
      <c r="A758" s="60" t="n"/>
      <c r="B758" s="63" t="n"/>
      <c r="C758" s="63" t="n"/>
      <c r="D758" s="67" t="n"/>
      <c r="E758" s="68" t="n"/>
      <c r="F758" s="69" t="n"/>
      <c r="G758" s="70" t="n"/>
      <c r="H758" s="62" t="str">
        <f>IF(COUNTA(A758:G758)=0,"",IF(C758&lt;&gt;"",C758,IF(B758="","",IFERROR(INDEX(pr_des,MATCH(B758,pr_code,0))&amp;"",""))))</f>
        <v/>
      </c>
      <c r="I758" s="59" t="str">
        <f>IF(B758="","",IFERROR(INDEX(pr_unit,MATCH(B758,pr_code,0))&amp;"",""))</f>
        <v/>
      </c>
      <c r="J758" s="65" t="str">
        <f>IF(COUNTA(A758:G758)=0,"",IF(E758&lt;&gt;"",E758,IF(B758="","",IFERROR(IF(INDEX(pr_price,MATCH(B758,pr_code,0))="","",INDEX(pr_price,MATCH(B758,pr_code,0))),""))))</f>
        <v/>
      </c>
      <c r="K758" s="71" t="str">
        <f>IF(COUNTA(A758:G758)=0,"",IF(G758&lt;&gt;"",G758,IF(B758="","",IFERROR(IF(INDEX(pr_rate,MATCH(B758,pr_code,0))="","",INDEX(pr_rate,MATCH(B758,pr_code,0))),""))))</f>
        <v/>
      </c>
      <c r="L758" s="65" t="str">
        <f>IF(COUNTA(A758:G758)=0,"",IF(AND(ISNUMBER(D758),ISNUMBER(J758)),ROUND(D758*J758*(1-N(F758)),2),0))</f>
        <v/>
      </c>
      <c r="M758" s="62" t="str">
        <f>IF(A758="","",IFERROR(INDEX(dv_cname,MATCH(A758,dv_num,0))&amp;"",""))</f>
        <v/>
      </c>
      <c r="N758" s="59" t="str">
        <f>IF(COUNTA(A758:G758)=0,"",IF(A758="","N° devis manquant",IF(ISNA(MATCH(A758,dv_num,0)),"Devis inconnu",IF(AND(B758&lt;&gt;"",ISNA(MATCH(B758,pr_code,0))),"Article inconnu",IF(H758="","Désignation manquante",IF(OR(NOT(ISNUMBER(D758)),N(D758)&lt;=0),"Quantité invalide",IF(J758="","Prix manquant",IF(OR(NOT(ISNUMBER(J758)),N(J758)&lt;0),"Prix invalide",IF(OR(AND(F758&lt;&gt;"",NOT(ISNUMBER(F758))),N(F758)&lt;0,N(F758)&gt;1),"Remise invalide",IF(K758="","Taux de TVA manquant",IF(NOT(ISNUMBER(K758)),"Taux de TVA invalide",IF(COUNTIF(p_rates,K758)=0,"Taux de TVA hors liste (Paramètres)",IF(N(O758)&gt;25,"Au-delà de 25 lignes : non imprimée","OK")))))))))))))</f>
        <v/>
      </c>
      <c r="O758" s="59" t="str">
        <f>IF(A758="","",COUNTIF($A$6:A758,A758))</f>
        <v/>
      </c>
      <c r="P758" s="62" t="str">
        <f>IF(A758="","",A758&amp;"|"&amp;O758)</f>
        <v/>
      </c>
    </row>
    <row r="759">
      <c r="A759" s="60" t="n"/>
      <c r="B759" s="63" t="n"/>
      <c r="C759" s="63" t="n"/>
      <c r="D759" s="67" t="n"/>
      <c r="E759" s="68" t="n"/>
      <c r="F759" s="69" t="n"/>
      <c r="G759" s="70" t="n"/>
      <c r="H759" s="62" t="str">
        <f>IF(COUNTA(A759:G759)=0,"",IF(C759&lt;&gt;"",C759,IF(B759="","",IFERROR(INDEX(pr_des,MATCH(B759,pr_code,0))&amp;"",""))))</f>
        <v/>
      </c>
      <c r="I759" s="59" t="str">
        <f>IF(B759="","",IFERROR(INDEX(pr_unit,MATCH(B759,pr_code,0))&amp;"",""))</f>
        <v/>
      </c>
      <c r="J759" s="65" t="str">
        <f>IF(COUNTA(A759:G759)=0,"",IF(E759&lt;&gt;"",E759,IF(B759="","",IFERROR(IF(INDEX(pr_price,MATCH(B759,pr_code,0))="","",INDEX(pr_price,MATCH(B759,pr_code,0))),""))))</f>
        <v/>
      </c>
      <c r="K759" s="71" t="str">
        <f>IF(COUNTA(A759:G759)=0,"",IF(G759&lt;&gt;"",G759,IF(B759="","",IFERROR(IF(INDEX(pr_rate,MATCH(B759,pr_code,0))="","",INDEX(pr_rate,MATCH(B759,pr_code,0))),""))))</f>
        <v/>
      </c>
      <c r="L759" s="65" t="str">
        <f>IF(COUNTA(A759:G759)=0,"",IF(AND(ISNUMBER(D759),ISNUMBER(J759)),ROUND(D759*J759*(1-N(F759)),2),0))</f>
        <v/>
      </c>
      <c r="M759" s="62" t="str">
        <f>IF(A759="","",IFERROR(INDEX(dv_cname,MATCH(A759,dv_num,0))&amp;"",""))</f>
        <v/>
      </c>
      <c r="N759" s="59" t="str">
        <f>IF(COUNTA(A759:G759)=0,"",IF(A759="","N° devis manquant",IF(ISNA(MATCH(A759,dv_num,0)),"Devis inconnu",IF(AND(B759&lt;&gt;"",ISNA(MATCH(B759,pr_code,0))),"Article inconnu",IF(H759="","Désignation manquante",IF(OR(NOT(ISNUMBER(D759)),N(D759)&lt;=0),"Quantité invalide",IF(J759="","Prix manquant",IF(OR(NOT(ISNUMBER(J759)),N(J759)&lt;0),"Prix invalide",IF(OR(AND(F759&lt;&gt;"",NOT(ISNUMBER(F759))),N(F759)&lt;0,N(F759)&gt;1),"Remise invalide",IF(K759="","Taux de TVA manquant",IF(NOT(ISNUMBER(K759)),"Taux de TVA invalide",IF(COUNTIF(p_rates,K759)=0,"Taux de TVA hors liste (Paramètres)",IF(N(O759)&gt;25,"Au-delà de 25 lignes : non imprimée","OK")))))))))))))</f>
        <v/>
      </c>
      <c r="O759" s="59" t="str">
        <f>IF(A759="","",COUNTIF($A$6:A759,A759))</f>
        <v/>
      </c>
      <c r="P759" s="62" t="str">
        <f>IF(A759="","",A759&amp;"|"&amp;O759)</f>
        <v/>
      </c>
    </row>
    <row r="760">
      <c r="A760" s="60" t="n"/>
      <c r="B760" s="63" t="n"/>
      <c r="C760" s="63" t="n"/>
      <c r="D760" s="67" t="n"/>
      <c r="E760" s="68" t="n"/>
      <c r="F760" s="69" t="n"/>
      <c r="G760" s="70" t="n"/>
      <c r="H760" s="62" t="str">
        <f>IF(COUNTA(A760:G760)=0,"",IF(C760&lt;&gt;"",C760,IF(B760="","",IFERROR(INDEX(pr_des,MATCH(B760,pr_code,0))&amp;"",""))))</f>
        <v/>
      </c>
      <c r="I760" s="59" t="str">
        <f>IF(B760="","",IFERROR(INDEX(pr_unit,MATCH(B760,pr_code,0))&amp;"",""))</f>
        <v/>
      </c>
      <c r="J760" s="65" t="str">
        <f>IF(COUNTA(A760:G760)=0,"",IF(E760&lt;&gt;"",E760,IF(B760="","",IFERROR(IF(INDEX(pr_price,MATCH(B760,pr_code,0))="","",INDEX(pr_price,MATCH(B760,pr_code,0))),""))))</f>
        <v/>
      </c>
      <c r="K760" s="71" t="str">
        <f>IF(COUNTA(A760:G760)=0,"",IF(G760&lt;&gt;"",G760,IF(B760="","",IFERROR(IF(INDEX(pr_rate,MATCH(B760,pr_code,0))="","",INDEX(pr_rate,MATCH(B760,pr_code,0))),""))))</f>
        <v/>
      </c>
      <c r="L760" s="65" t="str">
        <f>IF(COUNTA(A760:G760)=0,"",IF(AND(ISNUMBER(D760),ISNUMBER(J760)),ROUND(D760*J760*(1-N(F760)),2),0))</f>
        <v/>
      </c>
      <c r="M760" s="62" t="str">
        <f>IF(A760="","",IFERROR(INDEX(dv_cname,MATCH(A760,dv_num,0))&amp;"",""))</f>
        <v/>
      </c>
      <c r="N760" s="59" t="str">
        <f>IF(COUNTA(A760:G760)=0,"",IF(A760="","N° devis manquant",IF(ISNA(MATCH(A760,dv_num,0)),"Devis inconnu",IF(AND(B760&lt;&gt;"",ISNA(MATCH(B760,pr_code,0))),"Article inconnu",IF(H760="","Désignation manquante",IF(OR(NOT(ISNUMBER(D760)),N(D760)&lt;=0),"Quantité invalide",IF(J760="","Prix manquant",IF(OR(NOT(ISNUMBER(J760)),N(J760)&lt;0),"Prix invalide",IF(OR(AND(F760&lt;&gt;"",NOT(ISNUMBER(F760))),N(F760)&lt;0,N(F760)&gt;1),"Remise invalide",IF(K760="","Taux de TVA manquant",IF(NOT(ISNUMBER(K760)),"Taux de TVA invalide",IF(COUNTIF(p_rates,K760)=0,"Taux de TVA hors liste (Paramètres)",IF(N(O760)&gt;25,"Au-delà de 25 lignes : non imprimée","OK")))))))))))))</f>
        <v/>
      </c>
      <c r="O760" s="59" t="str">
        <f>IF(A760="","",COUNTIF($A$6:A760,A760))</f>
        <v/>
      </c>
      <c r="P760" s="62" t="str">
        <f>IF(A760="","",A760&amp;"|"&amp;O760)</f>
        <v/>
      </c>
    </row>
    <row r="761">
      <c r="A761" s="60" t="n"/>
      <c r="B761" s="63" t="n"/>
      <c r="C761" s="63" t="n"/>
      <c r="D761" s="67" t="n"/>
      <c r="E761" s="68" t="n"/>
      <c r="F761" s="69" t="n"/>
      <c r="G761" s="70" t="n"/>
      <c r="H761" s="62" t="str">
        <f>IF(COUNTA(A761:G761)=0,"",IF(C761&lt;&gt;"",C761,IF(B761="","",IFERROR(INDEX(pr_des,MATCH(B761,pr_code,0))&amp;"",""))))</f>
        <v/>
      </c>
      <c r="I761" s="59" t="str">
        <f>IF(B761="","",IFERROR(INDEX(pr_unit,MATCH(B761,pr_code,0))&amp;"",""))</f>
        <v/>
      </c>
      <c r="J761" s="65" t="str">
        <f>IF(COUNTA(A761:G761)=0,"",IF(E761&lt;&gt;"",E761,IF(B761="","",IFERROR(IF(INDEX(pr_price,MATCH(B761,pr_code,0))="","",INDEX(pr_price,MATCH(B761,pr_code,0))),""))))</f>
        <v/>
      </c>
      <c r="K761" s="71" t="str">
        <f>IF(COUNTA(A761:G761)=0,"",IF(G761&lt;&gt;"",G761,IF(B761="","",IFERROR(IF(INDEX(pr_rate,MATCH(B761,pr_code,0))="","",INDEX(pr_rate,MATCH(B761,pr_code,0))),""))))</f>
        <v/>
      </c>
      <c r="L761" s="65" t="str">
        <f>IF(COUNTA(A761:G761)=0,"",IF(AND(ISNUMBER(D761),ISNUMBER(J761)),ROUND(D761*J761*(1-N(F761)),2),0))</f>
        <v/>
      </c>
      <c r="M761" s="62" t="str">
        <f>IF(A761="","",IFERROR(INDEX(dv_cname,MATCH(A761,dv_num,0))&amp;"",""))</f>
        <v/>
      </c>
      <c r="N761" s="59" t="str">
        <f>IF(COUNTA(A761:G761)=0,"",IF(A761="","N° devis manquant",IF(ISNA(MATCH(A761,dv_num,0)),"Devis inconnu",IF(AND(B761&lt;&gt;"",ISNA(MATCH(B761,pr_code,0))),"Article inconnu",IF(H761="","Désignation manquante",IF(OR(NOT(ISNUMBER(D761)),N(D761)&lt;=0),"Quantité invalide",IF(J761="","Prix manquant",IF(OR(NOT(ISNUMBER(J761)),N(J761)&lt;0),"Prix invalide",IF(OR(AND(F761&lt;&gt;"",NOT(ISNUMBER(F761))),N(F761)&lt;0,N(F761)&gt;1),"Remise invalide",IF(K761="","Taux de TVA manquant",IF(NOT(ISNUMBER(K761)),"Taux de TVA invalide",IF(COUNTIF(p_rates,K761)=0,"Taux de TVA hors liste (Paramètres)",IF(N(O761)&gt;25,"Au-delà de 25 lignes : non imprimée","OK")))))))))))))</f>
        <v/>
      </c>
      <c r="O761" s="59" t="str">
        <f>IF(A761="","",COUNTIF($A$6:A761,A761))</f>
        <v/>
      </c>
      <c r="P761" s="62" t="str">
        <f>IF(A761="","",A761&amp;"|"&amp;O761)</f>
        <v/>
      </c>
    </row>
    <row r="762">
      <c r="A762" s="60" t="n"/>
      <c r="B762" s="63" t="n"/>
      <c r="C762" s="63" t="n"/>
      <c r="D762" s="67" t="n"/>
      <c r="E762" s="68" t="n"/>
      <c r="F762" s="69" t="n"/>
      <c r="G762" s="70" t="n"/>
      <c r="H762" s="62" t="str">
        <f>IF(COUNTA(A762:G762)=0,"",IF(C762&lt;&gt;"",C762,IF(B762="","",IFERROR(INDEX(pr_des,MATCH(B762,pr_code,0))&amp;"",""))))</f>
        <v/>
      </c>
      <c r="I762" s="59" t="str">
        <f>IF(B762="","",IFERROR(INDEX(pr_unit,MATCH(B762,pr_code,0))&amp;"",""))</f>
        <v/>
      </c>
      <c r="J762" s="65" t="str">
        <f>IF(COUNTA(A762:G762)=0,"",IF(E762&lt;&gt;"",E762,IF(B762="","",IFERROR(IF(INDEX(pr_price,MATCH(B762,pr_code,0))="","",INDEX(pr_price,MATCH(B762,pr_code,0))),""))))</f>
        <v/>
      </c>
      <c r="K762" s="71" t="str">
        <f>IF(COUNTA(A762:G762)=0,"",IF(G762&lt;&gt;"",G762,IF(B762="","",IFERROR(IF(INDEX(pr_rate,MATCH(B762,pr_code,0))="","",INDEX(pr_rate,MATCH(B762,pr_code,0))),""))))</f>
        <v/>
      </c>
      <c r="L762" s="65" t="str">
        <f>IF(COUNTA(A762:G762)=0,"",IF(AND(ISNUMBER(D762),ISNUMBER(J762)),ROUND(D762*J762*(1-N(F762)),2),0))</f>
        <v/>
      </c>
      <c r="M762" s="62" t="str">
        <f>IF(A762="","",IFERROR(INDEX(dv_cname,MATCH(A762,dv_num,0))&amp;"",""))</f>
        <v/>
      </c>
      <c r="N762" s="59" t="str">
        <f>IF(COUNTA(A762:G762)=0,"",IF(A762="","N° devis manquant",IF(ISNA(MATCH(A762,dv_num,0)),"Devis inconnu",IF(AND(B762&lt;&gt;"",ISNA(MATCH(B762,pr_code,0))),"Article inconnu",IF(H762="","Désignation manquante",IF(OR(NOT(ISNUMBER(D762)),N(D762)&lt;=0),"Quantité invalide",IF(J762="","Prix manquant",IF(OR(NOT(ISNUMBER(J762)),N(J762)&lt;0),"Prix invalide",IF(OR(AND(F762&lt;&gt;"",NOT(ISNUMBER(F762))),N(F762)&lt;0,N(F762)&gt;1),"Remise invalide",IF(K762="","Taux de TVA manquant",IF(NOT(ISNUMBER(K762)),"Taux de TVA invalide",IF(COUNTIF(p_rates,K762)=0,"Taux de TVA hors liste (Paramètres)",IF(N(O762)&gt;25,"Au-delà de 25 lignes : non imprimée","OK")))))))))))))</f>
        <v/>
      </c>
      <c r="O762" s="59" t="str">
        <f>IF(A762="","",COUNTIF($A$6:A762,A762))</f>
        <v/>
      </c>
      <c r="P762" s="62" t="str">
        <f>IF(A762="","",A762&amp;"|"&amp;O762)</f>
        <v/>
      </c>
    </row>
    <row r="763">
      <c r="A763" s="60" t="n"/>
      <c r="B763" s="63" t="n"/>
      <c r="C763" s="63" t="n"/>
      <c r="D763" s="67" t="n"/>
      <c r="E763" s="68" t="n"/>
      <c r="F763" s="69" t="n"/>
      <c r="G763" s="70" t="n"/>
      <c r="H763" s="62" t="str">
        <f>IF(COUNTA(A763:G763)=0,"",IF(C763&lt;&gt;"",C763,IF(B763="","",IFERROR(INDEX(pr_des,MATCH(B763,pr_code,0))&amp;"",""))))</f>
        <v/>
      </c>
      <c r="I763" s="59" t="str">
        <f>IF(B763="","",IFERROR(INDEX(pr_unit,MATCH(B763,pr_code,0))&amp;"",""))</f>
        <v/>
      </c>
      <c r="J763" s="65" t="str">
        <f>IF(COUNTA(A763:G763)=0,"",IF(E763&lt;&gt;"",E763,IF(B763="","",IFERROR(IF(INDEX(pr_price,MATCH(B763,pr_code,0))="","",INDEX(pr_price,MATCH(B763,pr_code,0))),""))))</f>
        <v/>
      </c>
      <c r="K763" s="71" t="str">
        <f>IF(COUNTA(A763:G763)=0,"",IF(G763&lt;&gt;"",G763,IF(B763="","",IFERROR(IF(INDEX(pr_rate,MATCH(B763,pr_code,0))="","",INDEX(pr_rate,MATCH(B763,pr_code,0))),""))))</f>
        <v/>
      </c>
      <c r="L763" s="65" t="str">
        <f>IF(COUNTA(A763:G763)=0,"",IF(AND(ISNUMBER(D763),ISNUMBER(J763)),ROUND(D763*J763*(1-N(F763)),2),0))</f>
        <v/>
      </c>
      <c r="M763" s="62" t="str">
        <f>IF(A763="","",IFERROR(INDEX(dv_cname,MATCH(A763,dv_num,0))&amp;"",""))</f>
        <v/>
      </c>
      <c r="N763" s="59" t="str">
        <f>IF(COUNTA(A763:G763)=0,"",IF(A763="","N° devis manquant",IF(ISNA(MATCH(A763,dv_num,0)),"Devis inconnu",IF(AND(B763&lt;&gt;"",ISNA(MATCH(B763,pr_code,0))),"Article inconnu",IF(H763="","Désignation manquante",IF(OR(NOT(ISNUMBER(D763)),N(D763)&lt;=0),"Quantité invalide",IF(J763="","Prix manquant",IF(OR(NOT(ISNUMBER(J763)),N(J763)&lt;0),"Prix invalide",IF(OR(AND(F763&lt;&gt;"",NOT(ISNUMBER(F763))),N(F763)&lt;0,N(F763)&gt;1),"Remise invalide",IF(K763="","Taux de TVA manquant",IF(NOT(ISNUMBER(K763)),"Taux de TVA invalide",IF(COUNTIF(p_rates,K763)=0,"Taux de TVA hors liste (Paramètres)",IF(N(O763)&gt;25,"Au-delà de 25 lignes : non imprimée","OK")))))))))))))</f>
        <v/>
      </c>
      <c r="O763" s="59" t="str">
        <f>IF(A763="","",COUNTIF($A$6:A763,A763))</f>
        <v/>
      </c>
      <c r="P763" s="62" t="str">
        <f>IF(A763="","",A763&amp;"|"&amp;O763)</f>
        <v/>
      </c>
    </row>
    <row r="764">
      <c r="A764" s="60" t="n"/>
      <c r="B764" s="63" t="n"/>
      <c r="C764" s="63" t="n"/>
      <c r="D764" s="67" t="n"/>
      <c r="E764" s="68" t="n"/>
      <c r="F764" s="69" t="n"/>
      <c r="G764" s="70" t="n"/>
      <c r="H764" s="62" t="str">
        <f>IF(COUNTA(A764:G764)=0,"",IF(C764&lt;&gt;"",C764,IF(B764="","",IFERROR(INDEX(pr_des,MATCH(B764,pr_code,0))&amp;"",""))))</f>
        <v/>
      </c>
      <c r="I764" s="59" t="str">
        <f>IF(B764="","",IFERROR(INDEX(pr_unit,MATCH(B764,pr_code,0))&amp;"",""))</f>
        <v/>
      </c>
      <c r="J764" s="65" t="str">
        <f>IF(COUNTA(A764:G764)=0,"",IF(E764&lt;&gt;"",E764,IF(B764="","",IFERROR(IF(INDEX(pr_price,MATCH(B764,pr_code,0))="","",INDEX(pr_price,MATCH(B764,pr_code,0))),""))))</f>
        <v/>
      </c>
      <c r="K764" s="71" t="str">
        <f>IF(COUNTA(A764:G764)=0,"",IF(G764&lt;&gt;"",G764,IF(B764="","",IFERROR(IF(INDEX(pr_rate,MATCH(B764,pr_code,0))="","",INDEX(pr_rate,MATCH(B764,pr_code,0))),""))))</f>
        <v/>
      </c>
      <c r="L764" s="65" t="str">
        <f>IF(COUNTA(A764:G764)=0,"",IF(AND(ISNUMBER(D764),ISNUMBER(J764)),ROUND(D764*J764*(1-N(F764)),2),0))</f>
        <v/>
      </c>
      <c r="M764" s="62" t="str">
        <f>IF(A764="","",IFERROR(INDEX(dv_cname,MATCH(A764,dv_num,0))&amp;"",""))</f>
        <v/>
      </c>
      <c r="N764" s="59" t="str">
        <f>IF(COUNTA(A764:G764)=0,"",IF(A764="","N° devis manquant",IF(ISNA(MATCH(A764,dv_num,0)),"Devis inconnu",IF(AND(B764&lt;&gt;"",ISNA(MATCH(B764,pr_code,0))),"Article inconnu",IF(H764="","Désignation manquante",IF(OR(NOT(ISNUMBER(D764)),N(D764)&lt;=0),"Quantité invalide",IF(J764="","Prix manquant",IF(OR(NOT(ISNUMBER(J764)),N(J764)&lt;0),"Prix invalide",IF(OR(AND(F764&lt;&gt;"",NOT(ISNUMBER(F764))),N(F764)&lt;0,N(F764)&gt;1),"Remise invalide",IF(K764="","Taux de TVA manquant",IF(NOT(ISNUMBER(K764)),"Taux de TVA invalide",IF(COUNTIF(p_rates,K764)=0,"Taux de TVA hors liste (Paramètres)",IF(N(O764)&gt;25,"Au-delà de 25 lignes : non imprimée","OK")))))))))))))</f>
        <v/>
      </c>
      <c r="O764" s="59" t="str">
        <f>IF(A764="","",COUNTIF($A$6:A764,A764))</f>
        <v/>
      </c>
      <c r="P764" s="62" t="str">
        <f>IF(A764="","",A764&amp;"|"&amp;O764)</f>
        <v/>
      </c>
    </row>
    <row r="765">
      <c r="A765" s="60" t="n"/>
      <c r="B765" s="63" t="n"/>
      <c r="C765" s="63" t="n"/>
      <c r="D765" s="67" t="n"/>
      <c r="E765" s="68" t="n"/>
      <c r="F765" s="69" t="n"/>
      <c r="G765" s="70" t="n"/>
      <c r="H765" s="62" t="str">
        <f>IF(COUNTA(A765:G765)=0,"",IF(C765&lt;&gt;"",C765,IF(B765="","",IFERROR(INDEX(pr_des,MATCH(B765,pr_code,0))&amp;"",""))))</f>
        <v/>
      </c>
      <c r="I765" s="59" t="str">
        <f>IF(B765="","",IFERROR(INDEX(pr_unit,MATCH(B765,pr_code,0))&amp;"",""))</f>
        <v/>
      </c>
      <c r="J765" s="65" t="str">
        <f>IF(COUNTA(A765:G765)=0,"",IF(E765&lt;&gt;"",E765,IF(B765="","",IFERROR(IF(INDEX(pr_price,MATCH(B765,pr_code,0))="","",INDEX(pr_price,MATCH(B765,pr_code,0))),""))))</f>
        <v/>
      </c>
      <c r="K765" s="71" t="str">
        <f>IF(COUNTA(A765:G765)=0,"",IF(G765&lt;&gt;"",G765,IF(B765="","",IFERROR(IF(INDEX(pr_rate,MATCH(B765,pr_code,0))="","",INDEX(pr_rate,MATCH(B765,pr_code,0))),""))))</f>
        <v/>
      </c>
      <c r="L765" s="65" t="str">
        <f>IF(COUNTA(A765:G765)=0,"",IF(AND(ISNUMBER(D765),ISNUMBER(J765)),ROUND(D765*J765*(1-N(F765)),2),0))</f>
        <v/>
      </c>
      <c r="M765" s="62" t="str">
        <f>IF(A765="","",IFERROR(INDEX(dv_cname,MATCH(A765,dv_num,0))&amp;"",""))</f>
        <v/>
      </c>
      <c r="N765" s="59" t="str">
        <f>IF(COUNTA(A765:G765)=0,"",IF(A765="","N° devis manquant",IF(ISNA(MATCH(A765,dv_num,0)),"Devis inconnu",IF(AND(B765&lt;&gt;"",ISNA(MATCH(B765,pr_code,0))),"Article inconnu",IF(H765="","Désignation manquante",IF(OR(NOT(ISNUMBER(D765)),N(D765)&lt;=0),"Quantité invalide",IF(J765="","Prix manquant",IF(OR(NOT(ISNUMBER(J765)),N(J765)&lt;0),"Prix invalide",IF(OR(AND(F765&lt;&gt;"",NOT(ISNUMBER(F765))),N(F765)&lt;0,N(F765)&gt;1),"Remise invalide",IF(K765="","Taux de TVA manquant",IF(NOT(ISNUMBER(K765)),"Taux de TVA invalide",IF(COUNTIF(p_rates,K765)=0,"Taux de TVA hors liste (Paramètres)",IF(N(O765)&gt;25,"Au-delà de 25 lignes : non imprimée","OK")))))))))))))</f>
        <v/>
      </c>
      <c r="O765" s="59" t="str">
        <f>IF(A765="","",COUNTIF($A$6:A765,A765))</f>
        <v/>
      </c>
      <c r="P765" s="62" t="str">
        <f>IF(A765="","",A765&amp;"|"&amp;O765)</f>
        <v/>
      </c>
    </row>
    <row r="766">
      <c r="A766" s="60" t="n"/>
      <c r="B766" s="63" t="n"/>
      <c r="C766" s="63" t="n"/>
      <c r="D766" s="67" t="n"/>
      <c r="E766" s="68" t="n"/>
      <c r="F766" s="69" t="n"/>
      <c r="G766" s="70" t="n"/>
      <c r="H766" s="62" t="str">
        <f>IF(COUNTA(A766:G766)=0,"",IF(C766&lt;&gt;"",C766,IF(B766="","",IFERROR(INDEX(pr_des,MATCH(B766,pr_code,0))&amp;"",""))))</f>
        <v/>
      </c>
      <c r="I766" s="59" t="str">
        <f>IF(B766="","",IFERROR(INDEX(pr_unit,MATCH(B766,pr_code,0))&amp;"",""))</f>
        <v/>
      </c>
      <c r="J766" s="65" t="str">
        <f>IF(COUNTA(A766:G766)=0,"",IF(E766&lt;&gt;"",E766,IF(B766="","",IFERROR(IF(INDEX(pr_price,MATCH(B766,pr_code,0))="","",INDEX(pr_price,MATCH(B766,pr_code,0))),""))))</f>
        <v/>
      </c>
      <c r="K766" s="71" t="str">
        <f>IF(COUNTA(A766:G766)=0,"",IF(G766&lt;&gt;"",G766,IF(B766="","",IFERROR(IF(INDEX(pr_rate,MATCH(B766,pr_code,0))="","",INDEX(pr_rate,MATCH(B766,pr_code,0))),""))))</f>
        <v/>
      </c>
      <c r="L766" s="65" t="str">
        <f>IF(COUNTA(A766:G766)=0,"",IF(AND(ISNUMBER(D766),ISNUMBER(J766)),ROUND(D766*J766*(1-N(F766)),2),0))</f>
        <v/>
      </c>
      <c r="M766" s="62" t="str">
        <f>IF(A766="","",IFERROR(INDEX(dv_cname,MATCH(A766,dv_num,0))&amp;"",""))</f>
        <v/>
      </c>
      <c r="N766" s="59" t="str">
        <f>IF(COUNTA(A766:G766)=0,"",IF(A766="","N° devis manquant",IF(ISNA(MATCH(A766,dv_num,0)),"Devis inconnu",IF(AND(B766&lt;&gt;"",ISNA(MATCH(B766,pr_code,0))),"Article inconnu",IF(H766="","Désignation manquante",IF(OR(NOT(ISNUMBER(D766)),N(D766)&lt;=0),"Quantité invalide",IF(J766="","Prix manquant",IF(OR(NOT(ISNUMBER(J766)),N(J766)&lt;0),"Prix invalide",IF(OR(AND(F766&lt;&gt;"",NOT(ISNUMBER(F766))),N(F766)&lt;0,N(F766)&gt;1),"Remise invalide",IF(K766="","Taux de TVA manquant",IF(NOT(ISNUMBER(K766)),"Taux de TVA invalide",IF(COUNTIF(p_rates,K766)=0,"Taux de TVA hors liste (Paramètres)",IF(N(O766)&gt;25,"Au-delà de 25 lignes : non imprimée","OK")))))))))))))</f>
        <v/>
      </c>
      <c r="O766" s="59" t="str">
        <f>IF(A766="","",COUNTIF($A$6:A766,A766))</f>
        <v/>
      </c>
      <c r="P766" s="62" t="str">
        <f>IF(A766="","",A766&amp;"|"&amp;O766)</f>
        <v/>
      </c>
    </row>
    <row r="767">
      <c r="A767" s="60" t="n"/>
      <c r="B767" s="63" t="n"/>
      <c r="C767" s="63" t="n"/>
      <c r="D767" s="67" t="n"/>
      <c r="E767" s="68" t="n"/>
      <c r="F767" s="69" t="n"/>
      <c r="G767" s="70" t="n"/>
      <c r="H767" s="62" t="str">
        <f>IF(COUNTA(A767:G767)=0,"",IF(C767&lt;&gt;"",C767,IF(B767="","",IFERROR(INDEX(pr_des,MATCH(B767,pr_code,0))&amp;"",""))))</f>
        <v/>
      </c>
      <c r="I767" s="59" t="str">
        <f>IF(B767="","",IFERROR(INDEX(pr_unit,MATCH(B767,pr_code,0))&amp;"",""))</f>
        <v/>
      </c>
      <c r="J767" s="65" t="str">
        <f>IF(COUNTA(A767:G767)=0,"",IF(E767&lt;&gt;"",E767,IF(B767="","",IFERROR(IF(INDEX(pr_price,MATCH(B767,pr_code,0))="","",INDEX(pr_price,MATCH(B767,pr_code,0))),""))))</f>
        <v/>
      </c>
      <c r="K767" s="71" t="str">
        <f>IF(COUNTA(A767:G767)=0,"",IF(G767&lt;&gt;"",G767,IF(B767="","",IFERROR(IF(INDEX(pr_rate,MATCH(B767,pr_code,0))="","",INDEX(pr_rate,MATCH(B767,pr_code,0))),""))))</f>
        <v/>
      </c>
      <c r="L767" s="65" t="str">
        <f>IF(COUNTA(A767:G767)=0,"",IF(AND(ISNUMBER(D767),ISNUMBER(J767)),ROUND(D767*J767*(1-N(F767)),2),0))</f>
        <v/>
      </c>
      <c r="M767" s="62" t="str">
        <f>IF(A767="","",IFERROR(INDEX(dv_cname,MATCH(A767,dv_num,0))&amp;"",""))</f>
        <v/>
      </c>
      <c r="N767" s="59" t="str">
        <f>IF(COUNTA(A767:G767)=0,"",IF(A767="","N° devis manquant",IF(ISNA(MATCH(A767,dv_num,0)),"Devis inconnu",IF(AND(B767&lt;&gt;"",ISNA(MATCH(B767,pr_code,0))),"Article inconnu",IF(H767="","Désignation manquante",IF(OR(NOT(ISNUMBER(D767)),N(D767)&lt;=0),"Quantité invalide",IF(J767="","Prix manquant",IF(OR(NOT(ISNUMBER(J767)),N(J767)&lt;0),"Prix invalide",IF(OR(AND(F767&lt;&gt;"",NOT(ISNUMBER(F767))),N(F767)&lt;0,N(F767)&gt;1),"Remise invalide",IF(K767="","Taux de TVA manquant",IF(NOT(ISNUMBER(K767)),"Taux de TVA invalide",IF(COUNTIF(p_rates,K767)=0,"Taux de TVA hors liste (Paramètres)",IF(N(O767)&gt;25,"Au-delà de 25 lignes : non imprimée","OK")))))))))))))</f>
        <v/>
      </c>
      <c r="O767" s="59" t="str">
        <f>IF(A767="","",COUNTIF($A$6:A767,A767))</f>
        <v/>
      </c>
      <c r="P767" s="62" t="str">
        <f>IF(A767="","",A767&amp;"|"&amp;O767)</f>
        <v/>
      </c>
    </row>
    <row r="768">
      <c r="A768" s="60" t="n"/>
      <c r="B768" s="63" t="n"/>
      <c r="C768" s="63" t="n"/>
      <c r="D768" s="67" t="n"/>
      <c r="E768" s="68" t="n"/>
      <c r="F768" s="69" t="n"/>
      <c r="G768" s="70" t="n"/>
      <c r="H768" s="62" t="str">
        <f>IF(COUNTA(A768:G768)=0,"",IF(C768&lt;&gt;"",C768,IF(B768="","",IFERROR(INDEX(pr_des,MATCH(B768,pr_code,0))&amp;"",""))))</f>
        <v/>
      </c>
      <c r="I768" s="59" t="str">
        <f>IF(B768="","",IFERROR(INDEX(pr_unit,MATCH(B768,pr_code,0))&amp;"",""))</f>
        <v/>
      </c>
      <c r="J768" s="65" t="str">
        <f>IF(COUNTA(A768:G768)=0,"",IF(E768&lt;&gt;"",E768,IF(B768="","",IFERROR(IF(INDEX(pr_price,MATCH(B768,pr_code,0))="","",INDEX(pr_price,MATCH(B768,pr_code,0))),""))))</f>
        <v/>
      </c>
      <c r="K768" s="71" t="str">
        <f>IF(COUNTA(A768:G768)=0,"",IF(G768&lt;&gt;"",G768,IF(B768="","",IFERROR(IF(INDEX(pr_rate,MATCH(B768,pr_code,0))="","",INDEX(pr_rate,MATCH(B768,pr_code,0))),""))))</f>
        <v/>
      </c>
      <c r="L768" s="65" t="str">
        <f>IF(COUNTA(A768:G768)=0,"",IF(AND(ISNUMBER(D768),ISNUMBER(J768)),ROUND(D768*J768*(1-N(F768)),2),0))</f>
        <v/>
      </c>
      <c r="M768" s="62" t="str">
        <f>IF(A768="","",IFERROR(INDEX(dv_cname,MATCH(A768,dv_num,0))&amp;"",""))</f>
        <v/>
      </c>
      <c r="N768" s="59" t="str">
        <f>IF(COUNTA(A768:G768)=0,"",IF(A768="","N° devis manquant",IF(ISNA(MATCH(A768,dv_num,0)),"Devis inconnu",IF(AND(B768&lt;&gt;"",ISNA(MATCH(B768,pr_code,0))),"Article inconnu",IF(H768="","Désignation manquante",IF(OR(NOT(ISNUMBER(D768)),N(D768)&lt;=0),"Quantité invalide",IF(J768="","Prix manquant",IF(OR(NOT(ISNUMBER(J768)),N(J768)&lt;0),"Prix invalide",IF(OR(AND(F768&lt;&gt;"",NOT(ISNUMBER(F768))),N(F768)&lt;0,N(F768)&gt;1),"Remise invalide",IF(K768="","Taux de TVA manquant",IF(NOT(ISNUMBER(K768)),"Taux de TVA invalide",IF(COUNTIF(p_rates,K768)=0,"Taux de TVA hors liste (Paramètres)",IF(N(O768)&gt;25,"Au-delà de 25 lignes : non imprimée","OK")))))))))))))</f>
        <v/>
      </c>
      <c r="O768" s="59" t="str">
        <f>IF(A768="","",COUNTIF($A$6:A768,A768))</f>
        <v/>
      </c>
      <c r="P768" s="62" t="str">
        <f>IF(A768="","",A768&amp;"|"&amp;O768)</f>
        <v/>
      </c>
    </row>
    <row r="769">
      <c r="A769" s="60" t="n"/>
      <c r="B769" s="63" t="n"/>
      <c r="C769" s="63" t="n"/>
      <c r="D769" s="67" t="n"/>
      <c r="E769" s="68" t="n"/>
      <c r="F769" s="69" t="n"/>
      <c r="G769" s="70" t="n"/>
      <c r="H769" s="62" t="str">
        <f>IF(COUNTA(A769:G769)=0,"",IF(C769&lt;&gt;"",C769,IF(B769="","",IFERROR(INDEX(pr_des,MATCH(B769,pr_code,0))&amp;"",""))))</f>
        <v/>
      </c>
      <c r="I769" s="59" t="str">
        <f>IF(B769="","",IFERROR(INDEX(pr_unit,MATCH(B769,pr_code,0))&amp;"",""))</f>
        <v/>
      </c>
      <c r="J769" s="65" t="str">
        <f>IF(COUNTA(A769:G769)=0,"",IF(E769&lt;&gt;"",E769,IF(B769="","",IFERROR(IF(INDEX(pr_price,MATCH(B769,pr_code,0))="","",INDEX(pr_price,MATCH(B769,pr_code,0))),""))))</f>
        <v/>
      </c>
      <c r="K769" s="71" t="str">
        <f>IF(COUNTA(A769:G769)=0,"",IF(G769&lt;&gt;"",G769,IF(B769="","",IFERROR(IF(INDEX(pr_rate,MATCH(B769,pr_code,0))="","",INDEX(pr_rate,MATCH(B769,pr_code,0))),""))))</f>
        <v/>
      </c>
      <c r="L769" s="65" t="str">
        <f>IF(COUNTA(A769:G769)=0,"",IF(AND(ISNUMBER(D769),ISNUMBER(J769)),ROUND(D769*J769*(1-N(F769)),2),0))</f>
        <v/>
      </c>
      <c r="M769" s="62" t="str">
        <f>IF(A769="","",IFERROR(INDEX(dv_cname,MATCH(A769,dv_num,0))&amp;"",""))</f>
        <v/>
      </c>
      <c r="N769" s="59" t="str">
        <f>IF(COUNTA(A769:G769)=0,"",IF(A769="","N° devis manquant",IF(ISNA(MATCH(A769,dv_num,0)),"Devis inconnu",IF(AND(B769&lt;&gt;"",ISNA(MATCH(B769,pr_code,0))),"Article inconnu",IF(H769="","Désignation manquante",IF(OR(NOT(ISNUMBER(D769)),N(D769)&lt;=0),"Quantité invalide",IF(J769="","Prix manquant",IF(OR(NOT(ISNUMBER(J769)),N(J769)&lt;0),"Prix invalide",IF(OR(AND(F769&lt;&gt;"",NOT(ISNUMBER(F769))),N(F769)&lt;0,N(F769)&gt;1),"Remise invalide",IF(K769="","Taux de TVA manquant",IF(NOT(ISNUMBER(K769)),"Taux de TVA invalide",IF(COUNTIF(p_rates,K769)=0,"Taux de TVA hors liste (Paramètres)",IF(N(O769)&gt;25,"Au-delà de 25 lignes : non imprimée","OK")))))))))))))</f>
        <v/>
      </c>
      <c r="O769" s="59" t="str">
        <f>IF(A769="","",COUNTIF($A$6:A769,A769))</f>
        <v/>
      </c>
      <c r="P769" s="62" t="str">
        <f>IF(A769="","",A769&amp;"|"&amp;O769)</f>
        <v/>
      </c>
    </row>
    <row r="770">
      <c r="A770" s="60" t="n"/>
      <c r="B770" s="63" t="n"/>
      <c r="C770" s="63" t="n"/>
      <c r="D770" s="67" t="n"/>
      <c r="E770" s="68" t="n"/>
      <c r="F770" s="69" t="n"/>
      <c r="G770" s="70" t="n"/>
      <c r="H770" s="62" t="str">
        <f>IF(COUNTA(A770:G770)=0,"",IF(C770&lt;&gt;"",C770,IF(B770="","",IFERROR(INDEX(pr_des,MATCH(B770,pr_code,0))&amp;"",""))))</f>
        <v/>
      </c>
      <c r="I770" s="59" t="str">
        <f>IF(B770="","",IFERROR(INDEX(pr_unit,MATCH(B770,pr_code,0))&amp;"",""))</f>
        <v/>
      </c>
      <c r="J770" s="65" t="str">
        <f>IF(COUNTA(A770:G770)=0,"",IF(E770&lt;&gt;"",E770,IF(B770="","",IFERROR(IF(INDEX(pr_price,MATCH(B770,pr_code,0))="","",INDEX(pr_price,MATCH(B770,pr_code,0))),""))))</f>
        <v/>
      </c>
      <c r="K770" s="71" t="str">
        <f>IF(COUNTA(A770:G770)=0,"",IF(G770&lt;&gt;"",G770,IF(B770="","",IFERROR(IF(INDEX(pr_rate,MATCH(B770,pr_code,0))="","",INDEX(pr_rate,MATCH(B770,pr_code,0))),""))))</f>
        <v/>
      </c>
      <c r="L770" s="65" t="str">
        <f>IF(COUNTA(A770:G770)=0,"",IF(AND(ISNUMBER(D770),ISNUMBER(J770)),ROUND(D770*J770*(1-N(F770)),2),0))</f>
        <v/>
      </c>
      <c r="M770" s="62" t="str">
        <f>IF(A770="","",IFERROR(INDEX(dv_cname,MATCH(A770,dv_num,0))&amp;"",""))</f>
        <v/>
      </c>
      <c r="N770" s="59" t="str">
        <f>IF(COUNTA(A770:G770)=0,"",IF(A770="","N° devis manquant",IF(ISNA(MATCH(A770,dv_num,0)),"Devis inconnu",IF(AND(B770&lt;&gt;"",ISNA(MATCH(B770,pr_code,0))),"Article inconnu",IF(H770="","Désignation manquante",IF(OR(NOT(ISNUMBER(D770)),N(D770)&lt;=0),"Quantité invalide",IF(J770="","Prix manquant",IF(OR(NOT(ISNUMBER(J770)),N(J770)&lt;0),"Prix invalide",IF(OR(AND(F770&lt;&gt;"",NOT(ISNUMBER(F770))),N(F770)&lt;0,N(F770)&gt;1),"Remise invalide",IF(K770="","Taux de TVA manquant",IF(NOT(ISNUMBER(K770)),"Taux de TVA invalide",IF(COUNTIF(p_rates,K770)=0,"Taux de TVA hors liste (Paramètres)",IF(N(O770)&gt;25,"Au-delà de 25 lignes : non imprimée","OK")))))))))))))</f>
        <v/>
      </c>
      <c r="O770" s="59" t="str">
        <f>IF(A770="","",COUNTIF($A$6:A770,A770))</f>
        <v/>
      </c>
      <c r="P770" s="62" t="str">
        <f>IF(A770="","",A770&amp;"|"&amp;O770)</f>
        <v/>
      </c>
    </row>
    <row r="771">
      <c r="A771" s="60" t="n"/>
      <c r="B771" s="63" t="n"/>
      <c r="C771" s="63" t="n"/>
      <c r="D771" s="67" t="n"/>
      <c r="E771" s="68" t="n"/>
      <c r="F771" s="69" t="n"/>
      <c r="G771" s="70" t="n"/>
      <c r="H771" s="62" t="str">
        <f>IF(COUNTA(A771:G771)=0,"",IF(C771&lt;&gt;"",C771,IF(B771="","",IFERROR(INDEX(pr_des,MATCH(B771,pr_code,0))&amp;"",""))))</f>
        <v/>
      </c>
      <c r="I771" s="59" t="str">
        <f>IF(B771="","",IFERROR(INDEX(pr_unit,MATCH(B771,pr_code,0))&amp;"",""))</f>
        <v/>
      </c>
      <c r="J771" s="65" t="str">
        <f>IF(COUNTA(A771:G771)=0,"",IF(E771&lt;&gt;"",E771,IF(B771="","",IFERROR(IF(INDEX(pr_price,MATCH(B771,pr_code,0))="","",INDEX(pr_price,MATCH(B771,pr_code,0))),""))))</f>
        <v/>
      </c>
      <c r="K771" s="71" t="str">
        <f>IF(COUNTA(A771:G771)=0,"",IF(G771&lt;&gt;"",G771,IF(B771="","",IFERROR(IF(INDEX(pr_rate,MATCH(B771,pr_code,0))="","",INDEX(pr_rate,MATCH(B771,pr_code,0))),""))))</f>
        <v/>
      </c>
      <c r="L771" s="65" t="str">
        <f>IF(COUNTA(A771:G771)=0,"",IF(AND(ISNUMBER(D771),ISNUMBER(J771)),ROUND(D771*J771*(1-N(F771)),2),0))</f>
        <v/>
      </c>
      <c r="M771" s="62" t="str">
        <f>IF(A771="","",IFERROR(INDEX(dv_cname,MATCH(A771,dv_num,0))&amp;"",""))</f>
        <v/>
      </c>
      <c r="N771" s="59" t="str">
        <f>IF(COUNTA(A771:G771)=0,"",IF(A771="","N° devis manquant",IF(ISNA(MATCH(A771,dv_num,0)),"Devis inconnu",IF(AND(B771&lt;&gt;"",ISNA(MATCH(B771,pr_code,0))),"Article inconnu",IF(H771="","Désignation manquante",IF(OR(NOT(ISNUMBER(D771)),N(D771)&lt;=0),"Quantité invalide",IF(J771="","Prix manquant",IF(OR(NOT(ISNUMBER(J771)),N(J771)&lt;0),"Prix invalide",IF(OR(AND(F771&lt;&gt;"",NOT(ISNUMBER(F771))),N(F771)&lt;0,N(F771)&gt;1),"Remise invalide",IF(K771="","Taux de TVA manquant",IF(NOT(ISNUMBER(K771)),"Taux de TVA invalide",IF(COUNTIF(p_rates,K771)=0,"Taux de TVA hors liste (Paramètres)",IF(N(O771)&gt;25,"Au-delà de 25 lignes : non imprimée","OK")))))))))))))</f>
        <v/>
      </c>
      <c r="O771" s="59" t="str">
        <f>IF(A771="","",COUNTIF($A$6:A771,A771))</f>
        <v/>
      </c>
      <c r="P771" s="62" t="str">
        <f>IF(A771="","",A771&amp;"|"&amp;O771)</f>
        <v/>
      </c>
    </row>
    <row r="772">
      <c r="A772" s="60" t="n"/>
      <c r="B772" s="63" t="n"/>
      <c r="C772" s="63" t="n"/>
      <c r="D772" s="67" t="n"/>
      <c r="E772" s="68" t="n"/>
      <c r="F772" s="69" t="n"/>
      <c r="G772" s="70" t="n"/>
      <c r="H772" s="62" t="str">
        <f>IF(COUNTA(A772:G772)=0,"",IF(C772&lt;&gt;"",C772,IF(B772="","",IFERROR(INDEX(pr_des,MATCH(B772,pr_code,0))&amp;"",""))))</f>
        <v/>
      </c>
      <c r="I772" s="59" t="str">
        <f>IF(B772="","",IFERROR(INDEX(pr_unit,MATCH(B772,pr_code,0))&amp;"",""))</f>
        <v/>
      </c>
      <c r="J772" s="65" t="str">
        <f>IF(COUNTA(A772:G772)=0,"",IF(E772&lt;&gt;"",E772,IF(B772="","",IFERROR(IF(INDEX(pr_price,MATCH(B772,pr_code,0))="","",INDEX(pr_price,MATCH(B772,pr_code,0))),""))))</f>
        <v/>
      </c>
      <c r="K772" s="71" t="str">
        <f>IF(COUNTA(A772:G772)=0,"",IF(G772&lt;&gt;"",G772,IF(B772="","",IFERROR(IF(INDEX(pr_rate,MATCH(B772,pr_code,0))="","",INDEX(pr_rate,MATCH(B772,pr_code,0))),""))))</f>
        <v/>
      </c>
      <c r="L772" s="65" t="str">
        <f>IF(COUNTA(A772:G772)=0,"",IF(AND(ISNUMBER(D772),ISNUMBER(J772)),ROUND(D772*J772*(1-N(F772)),2),0))</f>
        <v/>
      </c>
      <c r="M772" s="62" t="str">
        <f>IF(A772="","",IFERROR(INDEX(dv_cname,MATCH(A772,dv_num,0))&amp;"",""))</f>
        <v/>
      </c>
      <c r="N772" s="59" t="str">
        <f>IF(COUNTA(A772:G772)=0,"",IF(A772="","N° devis manquant",IF(ISNA(MATCH(A772,dv_num,0)),"Devis inconnu",IF(AND(B772&lt;&gt;"",ISNA(MATCH(B772,pr_code,0))),"Article inconnu",IF(H772="","Désignation manquante",IF(OR(NOT(ISNUMBER(D772)),N(D772)&lt;=0),"Quantité invalide",IF(J772="","Prix manquant",IF(OR(NOT(ISNUMBER(J772)),N(J772)&lt;0),"Prix invalide",IF(OR(AND(F772&lt;&gt;"",NOT(ISNUMBER(F772))),N(F772)&lt;0,N(F772)&gt;1),"Remise invalide",IF(K772="","Taux de TVA manquant",IF(NOT(ISNUMBER(K772)),"Taux de TVA invalide",IF(COUNTIF(p_rates,K772)=0,"Taux de TVA hors liste (Paramètres)",IF(N(O772)&gt;25,"Au-delà de 25 lignes : non imprimée","OK")))))))))))))</f>
        <v/>
      </c>
      <c r="O772" s="59" t="str">
        <f>IF(A772="","",COUNTIF($A$6:A772,A772))</f>
        <v/>
      </c>
      <c r="P772" s="62" t="str">
        <f>IF(A772="","",A772&amp;"|"&amp;O772)</f>
        <v/>
      </c>
    </row>
    <row r="773">
      <c r="A773" s="60" t="n"/>
      <c r="B773" s="63" t="n"/>
      <c r="C773" s="63" t="n"/>
      <c r="D773" s="67" t="n"/>
      <c r="E773" s="68" t="n"/>
      <c r="F773" s="69" t="n"/>
      <c r="G773" s="70" t="n"/>
      <c r="H773" s="62" t="str">
        <f>IF(COUNTA(A773:G773)=0,"",IF(C773&lt;&gt;"",C773,IF(B773="","",IFERROR(INDEX(pr_des,MATCH(B773,pr_code,0))&amp;"",""))))</f>
        <v/>
      </c>
      <c r="I773" s="59" t="str">
        <f>IF(B773="","",IFERROR(INDEX(pr_unit,MATCH(B773,pr_code,0))&amp;"",""))</f>
        <v/>
      </c>
      <c r="J773" s="65" t="str">
        <f>IF(COUNTA(A773:G773)=0,"",IF(E773&lt;&gt;"",E773,IF(B773="","",IFERROR(IF(INDEX(pr_price,MATCH(B773,pr_code,0))="","",INDEX(pr_price,MATCH(B773,pr_code,0))),""))))</f>
        <v/>
      </c>
      <c r="K773" s="71" t="str">
        <f>IF(COUNTA(A773:G773)=0,"",IF(G773&lt;&gt;"",G773,IF(B773="","",IFERROR(IF(INDEX(pr_rate,MATCH(B773,pr_code,0))="","",INDEX(pr_rate,MATCH(B773,pr_code,0))),""))))</f>
        <v/>
      </c>
      <c r="L773" s="65" t="str">
        <f>IF(COUNTA(A773:G773)=0,"",IF(AND(ISNUMBER(D773),ISNUMBER(J773)),ROUND(D773*J773*(1-N(F773)),2),0))</f>
        <v/>
      </c>
      <c r="M773" s="62" t="str">
        <f>IF(A773="","",IFERROR(INDEX(dv_cname,MATCH(A773,dv_num,0))&amp;"",""))</f>
        <v/>
      </c>
      <c r="N773" s="59" t="str">
        <f>IF(COUNTA(A773:G773)=0,"",IF(A773="","N° devis manquant",IF(ISNA(MATCH(A773,dv_num,0)),"Devis inconnu",IF(AND(B773&lt;&gt;"",ISNA(MATCH(B773,pr_code,0))),"Article inconnu",IF(H773="","Désignation manquante",IF(OR(NOT(ISNUMBER(D773)),N(D773)&lt;=0),"Quantité invalide",IF(J773="","Prix manquant",IF(OR(NOT(ISNUMBER(J773)),N(J773)&lt;0),"Prix invalide",IF(OR(AND(F773&lt;&gt;"",NOT(ISNUMBER(F773))),N(F773)&lt;0,N(F773)&gt;1),"Remise invalide",IF(K773="","Taux de TVA manquant",IF(NOT(ISNUMBER(K773)),"Taux de TVA invalide",IF(COUNTIF(p_rates,K773)=0,"Taux de TVA hors liste (Paramètres)",IF(N(O773)&gt;25,"Au-delà de 25 lignes : non imprimée","OK")))))))))))))</f>
        <v/>
      </c>
      <c r="O773" s="59" t="str">
        <f>IF(A773="","",COUNTIF($A$6:A773,A773))</f>
        <v/>
      </c>
      <c r="P773" s="62" t="str">
        <f>IF(A773="","",A773&amp;"|"&amp;O773)</f>
        <v/>
      </c>
    </row>
    <row r="774">
      <c r="A774" s="60" t="n"/>
      <c r="B774" s="63" t="n"/>
      <c r="C774" s="63" t="n"/>
      <c r="D774" s="67" t="n"/>
      <c r="E774" s="68" t="n"/>
      <c r="F774" s="69" t="n"/>
      <c r="G774" s="70" t="n"/>
      <c r="H774" s="62" t="str">
        <f>IF(COUNTA(A774:G774)=0,"",IF(C774&lt;&gt;"",C774,IF(B774="","",IFERROR(INDEX(pr_des,MATCH(B774,pr_code,0))&amp;"",""))))</f>
        <v/>
      </c>
      <c r="I774" s="59" t="str">
        <f>IF(B774="","",IFERROR(INDEX(pr_unit,MATCH(B774,pr_code,0))&amp;"",""))</f>
        <v/>
      </c>
      <c r="J774" s="65" t="str">
        <f>IF(COUNTA(A774:G774)=0,"",IF(E774&lt;&gt;"",E774,IF(B774="","",IFERROR(IF(INDEX(pr_price,MATCH(B774,pr_code,0))="","",INDEX(pr_price,MATCH(B774,pr_code,0))),""))))</f>
        <v/>
      </c>
      <c r="K774" s="71" t="str">
        <f>IF(COUNTA(A774:G774)=0,"",IF(G774&lt;&gt;"",G774,IF(B774="","",IFERROR(IF(INDEX(pr_rate,MATCH(B774,pr_code,0))="","",INDEX(pr_rate,MATCH(B774,pr_code,0))),""))))</f>
        <v/>
      </c>
      <c r="L774" s="65" t="str">
        <f>IF(COUNTA(A774:G774)=0,"",IF(AND(ISNUMBER(D774),ISNUMBER(J774)),ROUND(D774*J774*(1-N(F774)),2),0))</f>
        <v/>
      </c>
      <c r="M774" s="62" t="str">
        <f>IF(A774="","",IFERROR(INDEX(dv_cname,MATCH(A774,dv_num,0))&amp;"",""))</f>
        <v/>
      </c>
      <c r="N774" s="59" t="str">
        <f>IF(COUNTA(A774:G774)=0,"",IF(A774="","N° devis manquant",IF(ISNA(MATCH(A774,dv_num,0)),"Devis inconnu",IF(AND(B774&lt;&gt;"",ISNA(MATCH(B774,pr_code,0))),"Article inconnu",IF(H774="","Désignation manquante",IF(OR(NOT(ISNUMBER(D774)),N(D774)&lt;=0),"Quantité invalide",IF(J774="","Prix manquant",IF(OR(NOT(ISNUMBER(J774)),N(J774)&lt;0),"Prix invalide",IF(OR(AND(F774&lt;&gt;"",NOT(ISNUMBER(F774))),N(F774)&lt;0,N(F774)&gt;1),"Remise invalide",IF(K774="","Taux de TVA manquant",IF(NOT(ISNUMBER(K774)),"Taux de TVA invalide",IF(COUNTIF(p_rates,K774)=0,"Taux de TVA hors liste (Paramètres)",IF(N(O774)&gt;25,"Au-delà de 25 lignes : non imprimée","OK")))))))))))))</f>
        <v/>
      </c>
      <c r="O774" s="59" t="str">
        <f>IF(A774="","",COUNTIF($A$6:A774,A774))</f>
        <v/>
      </c>
      <c r="P774" s="62" t="str">
        <f>IF(A774="","",A774&amp;"|"&amp;O774)</f>
        <v/>
      </c>
    </row>
    <row r="775">
      <c r="A775" s="60" t="n"/>
      <c r="B775" s="63" t="n"/>
      <c r="C775" s="63" t="n"/>
      <c r="D775" s="67" t="n"/>
      <c r="E775" s="68" t="n"/>
      <c r="F775" s="69" t="n"/>
      <c r="G775" s="70" t="n"/>
      <c r="H775" s="62" t="str">
        <f>IF(COUNTA(A775:G775)=0,"",IF(C775&lt;&gt;"",C775,IF(B775="","",IFERROR(INDEX(pr_des,MATCH(B775,pr_code,0))&amp;"",""))))</f>
        <v/>
      </c>
      <c r="I775" s="59" t="str">
        <f>IF(B775="","",IFERROR(INDEX(pr_unit,MATCH(B775,pr_code,0))&amp;"",""))</f>
        <v/>
      </c>
      <c r="J775" s="65" t="str">
        <f>IF(COUNTA(A775:G775)=0,"",IF(E775&lt;&gt;"",E775,IF(B775="","",IFERROR(IF(INDEX(pr_price,MATCH(B775,pr_code,0))="","",INDEX(pr_price,MATCH(B775,pr_code,0))),""))))</f>
        <v/>
      </c>
      <c r="K775" s="71" t="str">
        <f>IF(COUNTA(A775:G775)=0,"",IF(G775&lt;&gt;"",G775,IF(B775="","",IFERROR(IF(INDEX(pr_rate,MATCH(B775,pr_code,0))="","",INDEX(pr_rate,MATCH(B775,pr_code,0))),""))))</f>
        <v/>
      </c>
      <c r="L775" s="65" t="str">
        <f>IF(COUNTA(A775:G775)=0,"",IF(AND(ISNUMBER(D775),ISNUMBER(J775)),ROUND(D775*J775*(1-N(F775)),2),0))</f>
        <v/>
      </c>
      <c r="M775" s="62" t="str">
        <f>IF(A775="","",IFERROR(INDEX(dv_cname,MATCH(A775,dv_num,0))&amp;"",""))</f>
        <v/>
      </c>
      <c r="N775" s="59" t="str">
        <f>IF(COUNTA(A775:G775)=0,"",IF(A775="","N° devis manquant",IF(ISNA(MATCH(A775,dv_num,0)),"Devis inconnu",IF(AND(B775&lt;&gt;"",ISNA(MATCH(B775,pr_code,0))),"Article inconnu",IF(H775="","Désignation manquante",IF(OR(NOT(ISNUMBER(D775)),N(D775)&lt;=0),"Quantité invalide",IF(J775="","Prix manquant",IF(OR(NOT(ISNUMBER(J775)),N(J775)&lt;0),"Prix invalide",IF(OR(AND(F775&lt;&gt;"",NOT(ISNUMBER(F775))),N(F775)&lt;0,N(F775)&gt;1),"Remise invalide",IF(K775="","Taux de TVA manquant",IF(NOT(ISNUMBER(K775)),"Taux de TVA invalide",IF(COUNTIF(p_rates,K775)=0,"Taux de TVA hors liste (Paramètres)",IF(N(O775)&gt;25,"Au-delà de 25 lignes : non imprimée","OK")))))))))))))</f>
        <v/>
      </c>
      <c r="O775" s="59" t="str">
        <f>IF(A775="","",COUNTIF($A$6:A775,A775))</f>
        <v/>
      </c>
      <c r="P775" s="62" t="str">
        <f>IF(A775="","",A775&amp;"|"&amp;O775)</f>
        <v/>
      </c>
    </row>
    <row r="776">
      <c r="A776" s="60" t="n"/>
      <c r="B776" s="63" t="n"/>
      <c r="C776" s="63" t="n"/>
      <c r="D776" s="67" t="n"/>
      <c r="E776" s="68" t="n"/>
      <c r="F776" s="69" t="n"/>
      <c r="G776" s="70" t="n"/>
      <c r="H776" s="62" t="str">
        <f>IF(COUNTA(A776:G776)=0,"",IF(C776&lt;&gt;"",C776,IF(B776="","",IFERROR(INDEX(pr_des,MATCH(B776,pr_code,0))&amp;"",""))))</f>
        <v/>
      </c>
      <c r="I776" s="59" t="str">
        <f>IF(B776="","",IFERROR(INDEX(pr_unit,MATCH(B776,pr_code,0))&amp;"",""))</f>
        <v/>
      </c>
      <c r="J776" s="65" t="str">
        <f>IF(COUNTA(A776:G776)=0,"",IF(E776&lt;&gt;"",E776,IF(B776="","",IFERROR(IF(INDEX(pr_price,MATCH(B776,pr_code,0))="","",INDEX(pr_price,MATCH(B776,pr_code,0))),""))))</f>
        <v/>
      </c>
      <c r="K776" s="71" t="str">
        <f>IF(COUNTA(A776:G776)=0,"",IF(G776&lt;&gt;"",G776,IF(B776="","",IFERROR(IF(INDEX(pr_rate,MATCH(B776,pr_code,0))="","",INDEX(pr_rate,MATCH(B776,pr_code,0))),""))))</f>
        <v/>
      </c>
      <c r="L776" s="65" t="str">
        <f>IF(COUNTA(A776:G776)=0,"",IF(AND(ISNUMBER(D776),ISNUMBER(J776)),ROUND(D776*J776*(1-N(F776)),2),0))</f>
        <v/>
      </c>
      <c r="M776" s="62" t="str">
        <f>IF(A776="","",IFERROR(INDEX(dv_cname,MATCH(A776,dv_num,0))&amp;"",""))</f>
        <v/>
      </c>
      <c r="N776" s="59" t="str">
        <f>IF(COUNTA(A776:G776)=0,"",IF(A776="","N° devis manquant",IF(ISNA(MATCH(A776,dv_num,0)),"Devis inconnu",IF(AND(B776&lt;&gt;"",ISNA(MATCH(B776,pr_code,0))),"Article inconnu",IF(H776="","Désignation manquante",IF(OR(NOT(ISNUMBER(D776)),N(D776)&lt;=0),"Quantité invalide",IF(J776="","Prix manquant",IF(OR(NOT(ISNUMBER(J776)),N(J776)&lt;0),"Prix invalide",IF(OR(AND(F776&lt;&gt;"",NOT(ISNUMBER(F776))),N(F776)&lt;0,N(F776)&gt;1),"Remise invalide",IF(K776="","Taux de TVA manquant",IF(NOT(ISNUMBER(K776)),"Taux de TVA invalide",IF(COUNTIF(p_rates,K776)=0,"Taux de TVA hors liste (Paramètres)",IF(N(O776)&gt;25,"Au-delà de 25 lignes : non imprimée","OK")))))))))))))</f>
        <v/>
      </c>
      <c r="O776" s="59" t="str">
        <f>IF(A776="","",COUNTIF($A$6:A776,A776))</f>
        <v/>
      </c>
      <c r="P776" s="62" t="str">
        <f>IF(A776="","",A776&amp;"|"&amp;O776)</f>
        <v/>
      </c>
    </row>
    <row r="777">
      <c r="A777" s="60" t="n"/>
      <c r="B777" s="63" t="n"/>
      <c r="C777" s="63" t="n"/>
      <c r="D777" s="67" t="n"/>
      <c r="E777" s="68" t="n"/>
      <c r="F777" s="69" t="n"/>
      <c r="G777" s="70" t="n"/>
      <c r="H777" s="62" t="str">
        <f>IF(COUNTA(A777:G777)=0,"",IF(C777&lt;&gt;"",C777,IF(B777="","",IFERROR(INDEX(pr_des,MATCH(B777,pr_code,0))&amp;"",""))))</f>
        <v/>
      </c>
      <c r="I777" s="59" t="str">
        <f>IF(B777="","",IFERROR(INDEX(pr_unit,MATCH(B777,pr_code,0))&amp;"",""))</f>
        <v/>
      </c>
      <c r="J777" s="65" t="str">
        <f>IF(COUNTA(A777:G777)=0,"",IF(E777&lt;&gt;"",E777,IF(B777="","",IFERROR(IF(INDEX(pr_price,MATCH(B777,pr_code,0))="","",INDEX(pr_price,MATCH(B777,pr_code,0))),""))))</f>
        <v/>
      </c>
      <c r="K777" s="71" t="str">
        <f>IF(COUNTA(A777:G777)=0,"",IF(G777&lt;&gt;"",G777,IF(B777="","",IFERROR(IF(INDEX(pr_rate,MATCH(B777,pr_code,0))="","",INDEX(pr_rate,MATCH(B777,pr_code,0))),""))))</f>
        <v/>
      </c>
      <c r="L777" s="65" t="str">
        <f>IF(COUNTA(A777:G777)=0,"",IF(AND(ISNUMBER(D777),ISNUMBER(J777)),ROUND(D777*J777*(1-N(F777)),2),0))</f>
        <v/>
      </c>
      <c r="M777" s="62" t="str">
        <f>IF(A777="","",IFERROR(INDEX(dv_cname,MATCH(A777,dv_num,0))&amp;"",""))</f>
        <v/>
      </c>
      <c r="N777" s="59" t="str">
        <f>IF(COUNTA(A777:G777)=0,"",IF(A777="","N° devis manquant",IF(ISNA(MATCH(A777,dv_num,0)),"Devis inconnu",IF(AND(B777&lt;&gt;"",ISNA(MATCH(B777,pr_code,0))),"Article inconnu",IF(H777="","Désignation manquante",IF(OR(NOT(ISNUMBER(D777)),N(D777)&lt;=0),"Quantité invalide",IF(J777="","Prix manquant",IF(OR(NOT(ISNUMBER(J777)),N(J777)&lt;0),"Prix invalide",IF(OR(AND(F777&lt;&gt;"",NOT(ISNUMBER(F777))),N(F777)&lt;0,N(F777)&gt;1),"Remise invalide",IF(K777="","Taux de TVA manquant",IF(NOT(ISNUMBER(K777)),"Taux de TVA invalide",IF(COUNTIF(p_rates,K777)=0,"Taux de TVA hors liste (Paramètres)",IF(N(O777)&gt;25,"Au-delà de 25 lignes : non imprimée","OK")))))))))))))</f>
        <v/>
      </c>
      <c r="O777" s="59" t="str">
        <f>IF(A777="","",COUNTIF($A$6:A777,A777))</f>
        <v/>
      </c>
      <c r="P777" s="62" t="str">
        <f>IF(A777="","",A777&amp;"|"&amp;O777)</f>
        <v/>
      </c>
    </row>
    <row r="778">
      <c r="A778" s="60" t="n"/>
      <c r="B778" s="63" t="n"/>
      <c r="C778" s="63" t="n"/>
      <c r="D778" s="67" t="n"/>
      <c r="E778" s="68" t="n"/>
      <c r="F778" s="69" t="n"/>
      <c r="G778" s="70" t="n"/>
      <c r="H778" s="62" t="str">
        <f>IF(COUNTA(A778:G778)=0,"",IF(C778&lt;&gt;"",C778,IF(B778="","",IFERROR(INDEX(pr_des,MATCH(B778,pr_code,0))&amp;"",""))))</f>
        <v/>
      </c>
      <c r="I778" s="59" t="str">
        <f>IF(B778="","",IFERROR(INDEX(pr_unit,MATCH(B778,pr_code,0))&amp;"",""))</f>
        <v/>
      </c>
      <c r="J778" s="65" t="str">
        <f>IF(COUNTA(A778:G778)=0,"",IF(E778&lt;&gt;"",E778,IF(B778="","",IFERROR(IF(INDEX(pr_price,MATCH(B778,pr_code,0))="","",INDEX(pr_price,MATCH(B778,pr_code,0))),""))))</f>
        <v/>
      </c>
      <c r="K778" s="71" t="str">
        <f>IF(COUNTA(A778:G778)=0,"",IF(G778&lt;&gt;"",G778,IF(B778="","",IFERROR(IF(INDEX(pr_rate,MATCH(B778,pr_code,0))="","",INDEX(pr_rate,MATCH(B778,pr_code,0))),""))))</f>
        <v/>
      </c>
      <c r="L778" s="65" t="str">
        <f>IF(COUNTA(A778:G778)=0,"",IF(AND(ISNUMBER(D778),ISNUMBER(J778)),ROUND(D778*J778*(1-N(F778)),2),0))</f>
        <v/>
      </c>
      <c r="M778" s="62" t="str">
        <f>IF(A778="","",IFERROR(INDEX(dv_cname,MATCH(A778,dv_num,0))&amp;"",""))</f>
        <v/>
      </c>
      <c r="N778" s="59" t="str">
        <f>IF(COUNTA(A778:G778)=0,"",IF(A778="","N° devis manquant",IF(ISNA(MATCH(A778,dv_num,0)),"Devis inconnu",IF(AND(B778&lt;&gt;"",ISNA(MATCH(B778,pr_code,0))),"Article inconnu",IF(H778="","Désignation manquante",IF(OR(NOT(ISNUMBER(D778)),N(D778)&lt;=0),"Quantité invalide",IF(J778="","Prix manquant",IF(OR(NOT(ISNUMBER(J778)),N(J778)&lt;0),"Prix invalide",IF(OR(AND(F778&lt;&gt;"",NOT(ISNUMBER(F778))),N(F778)&lt;0,N(F778)&gt;1),"Remise invalide",IF(K778="","Taux de TVA manquant",IF(NOT(ISNUMBER(K778)),"Taux de TVA invalide",IF(COUNTIF(p_rates,K778)=0,"Taux de TVA hors liste (Paramètres)",IF(N(O778)&gt;25,"Au-delà de 25 lignes : non imprimée","OK")))))))))))))</f>
        <v/>
      </c>
      <c r="O778" s="59" t="str">
        <f>IF(A778="","",COUNTIF($A$6:A778,A778))</f>
        <v/>
      </c>
      <c r="P778" s="62" t="str">
        <f>IF(A778="","",A778&amp;"|"&amp;O778)</f>
        <v/>
      </c>
    </row>
    <row r="779">
      <c r="A779" s="60" t="n"/>
      <c r="B779" s="63" t="n"/>
      <c r="C779" s="63" t="n"/>
      <c r="D779" s="67" t="n"/>
      <c r="E779" s="68" t="n"/>
      <c r="F779" s="69" t="n"/>
      <c r="G779" s="70" t="n"/>
      <c r="H779" s="62" t="str">
        <f>IF(COUNTA(A779:G779)=0,"",IF(C779&lt;&gt;"",C779,IF(B779="","",IFERROR(INDEX(pr_des,MATCH(B779,pr_code,0))&amp;"",""))))</f>
        <v/>
      </c>
      <c r="I779" s="59" t="str">
        <f>IF(B779="","",IFERROR(INDEX(pr_unit,MATCH(B779,pr_code,0))&amp;"",""))</f>
        <v/>
      </c>
      <c r="J779" s="65" t="str">
        <f>IF(COUNTA(A779:G779)=0,"",IF(E779&lt;&gt;"",E779,IF(B779="","",IFERROR(IF(INDEX(pr_price,MATCH(B779,pr_code,0))="","",INDEX(pr_price,MATCH(B779,pr_code,0))),""))))</f>
        <v/>
      </c>
      <c r="K779" s="71" t="str">
        <f>IF(COUNTA(A779:G779)=0,"",IF(G779&lt;&gt;"",G779,IF(B779="","",IFERROR(IF(INDEX(pr_rate,MATCH(B779,pr_code,0))="","",INDEX(pr_rate,MATCH(B779,pr_code,0))),""))))</f>
        <v/>
      </c>
      <c r="L779" s="65" t="str">
        <f>IF(COUNTA(A779:G779)=0,"",IF(AND(ISNUMBER(D779),ISNUMBER(J779)),ROUND(D779*J779*(1-N(F779)),2),0))</f>
        <v/>
      </c>
      <c r="M779" s="62" t="str">
        <f>IF(A779="","",IFERROR(INDEX(dv_cname,MATCH(A779,dv_num,0))&amp;"",""))</f>
        <v/>
      </c>
      <c r="N779" s="59" t="str">
        <f>IF(COUNTA(A779:G779)=0,"",IF(A779="","N° devis manquant",IF(ISNA(MATCH(A779,dv_num,0)),"Devis inconnu",IF(AND(B779&lt;&gt;"",ISNA(MATCH(B779,pr_code,0))),"Article inconnu",IF(H779="","Désignation manquante",IF(OR(NOT(ISNUMBER(D779)),N(D779)&lt;=0),"Quantité invalide",IF(J779="","Prix manquant",IF(OR(NOT(ISNUMBER(J779)),N(J779)&lt;0),"Prix invalide",IF(OR(AND(F779&lt;&gt;"",NOT(ISNUMBER(F779))),N(F779)&lt;0,N(F779)&gt;1),"Remise invalide",IF(K779="","Taux de TVA manquant",IF(NOT(ISNUMBER(K779)),"Taux de TVA invalide",IF(COUNTIF(p_rates,K779)=0,"Taux de TVA hors liste (Paramètres)",IF(N(O779)&gt;25,"Au-delà de 25 lignes : non imprimée","OK")))))))))))))</f>
        <v/>
      </c>
      <c r="O779" s="59" t="str">
        <f>IF(A779="","",COUNTIF($A$6:A779,A779))</f>
        <v/>
      </c>
      <c r="P779" s="62" t="str">
        <f>IF(A779="","",A779&amp;"|"&amp;O779)</f>
        <v/>
      </c>
    </row>
    <row r="780">
      <c r="A780" s="60" t="n"/>
      <c r="B780" s="63" t="n"/>
      <c r="C780" s="63" t="n"/>
      <c r="D780" s="67" t="n"/>
      <c r="E780" s="68" t="n"/>
      <c r="F780" s="69" t="n"/>
      <c r="G780" s="70" t="n"/>
      <c r="H780" s="62" t="str">
        <f>IF(COUNTA(A780:G780)=0,"",IF(C780&lt;&gt;"",C780,IF(B780="","",IFERROR(INDEX(pr_des,MATCH(B780,pr_code,0))&amp;"",""))))</f>
        <v/>
      </c>
      <c r="I780" s="59" t="str">
        <f>IF(B780="","",IFERROR(INDEX(pr_unit,MATCH(B780,pr_code,0))&amp;"",""))</f>
        <v/>
      </c>
      <c r="J780" s="65" t="str">
        <f>IF(COUNTA(A780:G780)=0,"",IF(E780&lt;&gt;"",E780,IF(B780="","",IFERROR(IF(INDEX(pr_price,MATCH(B780,pr_code,0))="","",INDEX(pr_price,MATCH(B780,pr_code,0))),""))))</f>
        <v/>
      </c>
      <c r="K780" s="71" t="str">
        <f>IF(COUNTA(A780:G780)=0,"",IF(G780&lt;&gt;"",G780,IF(B780="","",IFERROR(IF(INDEX(pr_rate,MATCH(B780,pr_code,0))="","",INDEX(pr_rate,MATCH(B780,pr_code,0))),""))))</f>
        <v/>
      </c>
      <c r="L780" s="65" t="str">
        <f>IF(COUNTA(A780:G780)=0,"",IF(AND(ISNUMBER(D780),ISNUMBER(J780)),ROUND(D780*J780*(1-N(F780)),2),0))</f>
        <v/>
      </c>
      <c r="M780" s="62" t="str">
        <f>IF(A780="","",IFERROR(INDEX(dv_cname,MATCH(A780,dv_num,0))&amp;"",""))</f>
        <v/>
      </c>
      <c r="N780" s="59" t="str">
        <f>IF(COUNTA(A780:G780)=0,"",IF(A780="","N° devis manquant",IF(ISNA(MATCH(A780,dv_num,0)),"Devis inconnu",IF(AND(B780&lt;&gt;"",ISNA(MATCH(B780,pr_code,0))),"Article inconnu",IF(H780="","Désignation manquante",IF(OR(NOT(ISNUMBER(D780)),N(D780)&lt;=0),"Quantité invalide",IF(J780="","Prix manquant",IF(OR(NOT(ISNUMBER(J780)),N(J780)&lt;0),"Prix invalide",IF(OR(AND(F780&lt;&gt;"",NOT(ISNUMBER(F780))),N(F780)&lt;0,N(F780)&gt;1),"Remise invalide",IF(K780="","Taux de TVA manquant",IF(NOT(ISNUMBER(K780)),"Taux de TVA invalide",IF(COUNTIF(p_rates,K780)=0,"Taux de TVA hors liste (Paramètres)",IF(N(O780)&gt;25,"Au-delà de 25 lignes : non imprimée","OK")))))))))))))</f>
        <v/>
      </c>
      <c r="O780" s="59" t="str">
        <f>IF(A780="","",COUNTIF($A$6:A780,A780))</f>
        <v/>
      </c>
      <c r="P780" s="62" t="str">
        <f>IF(A780="","",A780&amp;"|"&amp;O780)</f>
        <v/>
      </c>
    </row>
    <row r="781">
      <c r="A781" s="60" t="n"/>
      <c r="B781" s="63" t="n"/>
      <c r="C781" s="63" t="n"/>
      <c r="D781" s="67" t="n"/>
      <c r="E781" s="68" t="n"/>
      <c r="F781" s="69" t="n"/>
      <c r="G781" s="70" t="n"/>
      <c r="H781" s="62" t="str">
        <f>IF(COUNTA(A781:G781)=0,"",IF(C781&lt;&gt;"",C781,IF(B781="","",IFERROR(INDEX(pr_des,MATCH(B781,pr_code,0))&amp;"",""))))</f>
        <v/>
      </c>
      <c r="I781" s="59" t="str">
        <f>IF(B781="","",IFERROR(INDEX(pr_unit,MATCH(B781,pr_code,0))&amp;"",""))</f>
        <v/>
      </c>
      <c r="J781" s="65" t="str">
        <f>IF(COUNTA(A781:G781)=0,"",IF(E781&lt;&gt;"",E781,IF(B781="","",IFERROR(IF(INDEX(pr_price,MATCH(B781,pr_code,0))="","",INDEX(pr_price,MATCH(B781,pr_code,0))),""))))</f>
        <v/>
      </c>
      <c r="K781" s="71" t="str">
        <f>IF(COUNTA(A781:G781)=0,"",IF(G781&lt;&gt;"",G781,IF(B781="","",IFERROR(IF(INDEX(pr_rate,MATCH(B781,pr_code,0))="","",INDEX(pr_rate,MATCH(B781,pr_code,0))),""))))</f>
        <v/>
      </c>
      <c r="L781" s="65" t="str">
        <f>IF(COUNTA(A781:G781)=0,"",IF(AND(ISNUMBER(D781),ISNUMBER(J781)),ROUND(D781*J781*(1-N(F781)),2),0))</f>
        <v/>
      </c>
      <c r="M781" s="62" t="str">
        <f>IF(A781="","",IFERROR(INDEX(dv_cname,MATCH(A781,dv_num,0))&amp;"",""))</f>
        <v/>
      </c>
      <c r="N781" s="59" t="str">
        <f>IF(COUNTA(A781:G781)=0,"",IF(A781="","N° devis manquant",IF(ISNA(MATCH(A781,dv_num,0)),"Devis inconnu",IF(AND(B781&lt;&gt;"",ISNA(MATCH(B781,pr_code,0))),"Article inconnu",IF(H781="","Désignation manquante",IF(OR(NOT(ISNUMBER(D781)),N(D781)&lt;=0),"Quantité invalide",IF(J781="","Prix manquant",IF(OR(NOT(ISNUMBER(J781)),N(J781)&lt;0),"Prix invalide",IF(OR(AND(F781&lt;&gt;"",NOT(ISNUMBER(F781))),N(F781)&lt;0,N(F781)&gt;1),"Remise invalide",IF(K781="","Taux de TVA manquant",IF(NOT(ISNUMBER(K781)),"Taux de TVA invalide",IF(COUNTIF(p_rates,K781)=0,"Taux de TVA hors liste (Paramètres)",IF(N(O781)&gt;25,"Au-delà de 25 lignes : non imprimée","OK")))))))))))))</f>
        <v/>
      </c>
      <c r="O781" s="59" t="str">
        <f>IF(A781="","",COUNTIF($A$6:A781,A781))</f>
        <v/>
      </c>
      <c r="P781" s="62" t="str">
        <f>IF(A781="","",A781&amp;"|"&amp;O781)</f>
        <v/>
      </c>
    </row>
    <row r="782">
      <c r="A782" s="60" t="n"/>
      <c r="B782" s="63" t="n"/>
      <c r="C782" s="63" t="n"/>
      <c r="D782" s="67" t="n"/>
      <c r="E782" s="68" t="n"/>
      <c r="F782" s="69" t="n"/>
      <c r="G782" s="70" t="n"/>
      <c r="H782" s="62" t="str">
        <f>IF(COUNTA(A782:G782)=0,"",IF(C782&lt;&gt;"",C782,IF(B782="","",IFERROR(INDEX(pr_des,MATCH(B782,pr_code,0))&amp;"",""))))</f>
        <v/>
      </c>
      <c r="I782" s="59" t="str">
        <f>IF(B782="","",IFERROR(INDEX(pr_unit,MATCH(B782,pr_code,0))&amp;"",""))</f>
        <v/>
      </c>
      <c r="J782" s="65" t="str">
        <f>IF(COUNTA(A782:G782)=0,"",IF(E782&lt;&gt;"",E782,IF(B782="","",IFERROR(IF(INDEX(pr_price,MATCH(B782,pr_code,0))="","",INDEX(pr_price,MATCH(B782,pr_code,0))),""))))</f>
        <v/>
      </c>
      <c r="K782" s="71" t="str">
        <f>IF(COUNTA(A782:G782)=0,"",IF(G782&lt;&gt;"",G782,IF(B782="","",IFERROR(IF(INDEX(pr_rate,MATCH(B782,pr_code,0))="","",INDEX(pr_rate,MATCH(B782,pr_code,0))),""))))</f>
        <v/>
      </c>
      <c r="L782" s="65" t="str">
        <f>IF(COUNTA(A782:G782)=0,"",IF(AND(ISNUMBER(D782),ISNUMBER(J782)),ROUND(D782*J782*(1-N(F782)),2),0))</f>
        <v/>
      </c>
      <c r="M782" s="62" t="str">
        <f>IF(A782="","",IFERROR(INDEX(dv_cname,MATCH(A782,dv_num,0))&amp;"",""))</f>
        <v/>
      </c>
      <c r="N782" s="59" t="str">
        <f>IF(COUNTA(A782:G782)=0,"",IF(A782="","N° devis manquant",IF(ISNA(MATCH(A782,dv_num,0)),"Devis inconnu",IF(AND(B782&lt;&gt;"",ISNA(MATCH(B782,pr_code,0))),"Article inconnu",IF(H782="","Désignation manquante",IF(OR(NOT(ISNUMBER(D782)),N(D782)&lt;=0),"Quantité invalide",IF(J782="","Prix manquant",IF(OR(NOT(ISNUMBER(J782)),N(J782)&lt;0),"Prix invalide",IF(OR(AND(F782&lt;&gt;"",NOT(ISNUMBER(F782))),N(F782)&lt;0,N(F782)&gt;1),"Remise invalide",IF(K782="","Taux de TVA manquant",IF(NOT(ISNUMBER(K782)),"Taux de TVA invalide",IF(COUNTIF(p_rates,K782)=0,"Taux de TVA hors liste (Paramètres)",IF(N(O782)&gt;25,"Au-delà de 25 lignes : non imprimée","OK")))))))))))))</f>
        <v/>
      </c>
      <c r="O782" s="59" t="str">
        <f>IF(A782="","",COUNTIF($A$6:A782,A782))</f>
        <v/>
      </c>
      <c r="P782" s="62" t="str">
        <f>IF(A782="","",A782&amp;"|"&amp;O782)</f>
        <v/>
      </c>
    </row>
    <row r="783">
      <c r="A783" s="60" t="n"/>
      <c r="B783" s="63" t="n"/>
      <c r="C783" s="63" t="n"/>
      <c r="D783" s="67" t="n"/>
      <c r="E783" s="68" t="n"/>
      <c r="F783" s="69" t="n"/>
      <c r="G783" s="70" t="n"/>
      <c r="H783" s="62" t="str">
        <f>IF(COUNTA(A783:G783)=0,"",IF(C783&lt;&gt;"",C783,IF(B783="","",IFERROR(INDEX(pr_des,MATCH(B783,pr_code,0))&amp;"",""))))</f>
        <v/>
      </c>
      <c r="I783" s="59" t="str">
        <f>IF(B783="","",IFERROR(INDEX(pr_unit,MATCH(B783,pr_code,0))&amp;"",""))</f>
        <v/>
      </c>
      <c r="J783" s="65" t="str">
        <f>IF(COUNTA(A783:G783)=0,"",IF(E783&lt;&gt;"",E783,IF(B783="","",IFERROR(IF(INDEX(pr_price,MATCH(B783,pr_code,0))="","",INDEX(pr_price,MATCH(B783,pr_code,0))),""))))</f>
        <v/>
      </c>
      <c r="K783" s="71" t="str">
        <f>IF(COUNTA(A783:G783)=0,"",IF(G783&lt;&gt;"",G783,IF(B783="","",IFERROR(IF(INDEX(pr_rate,MATCH(B783,pr_code,0))="","",INDEX(pr_rate,MATCH(B783,pr_code,0))),""))))</f>
        <v/>
      </c>
      <c r="L783" s="65" t="str">
        <f>IF(COUNTA(A783:G783)=0,"",IF(AND(ISNUMBER(D783),ISNUMBER(J783)),ROUND(D783*J783*(1-N(F783)),2),0))</f>
        <v/>
      </c>
      <c r="M783" s="62" t="str">
        <f>IF(A783="","",IFERROR(INDEX(dv_cname,MATCH(A783,dv_num,0))&amp;"",""))</f>
        <v/>
      </c>
      <c r="N783" s="59" t="str">
        <f>IF(COUNTA(A783:G783)=0,"",IF(A783="","N° devis manquant",IF(ISNA(MATCH(A783,dv_num,0)),"Devis inconnu",IF(AND(B783&lt;&gt;"",ISNA(MATCH(B783,pr_code,0))),"Article inconnu",IF(H783="","Désignation manquante",IF(OR(NOT(ISNUMBER(D783)),N(D783)&lt;=0),"Quantité invalide",IF(J783="","Prix manquant",IF(OR(NOT(ISNUMBER(J783)),N(J783)&lt;0),"Prix invalide",IF(OR(AND(F783&lt;&gt;"",NOT(ISNUMBER(F783))),N(F783)&lt;0,N(F783)&gt;1),"Remise invalide",IF(K783="","Taux de TVA manquant",IF(NOT(ISNUMBER(K783)),"Taux de TVA invalide",IF(COUNTIF(p_rates,K783)=0,"Taux de TVA hors liste (Paramètres)",IF(N(O783)&gt;25,"Au-delà de 25 lignes : non imprimée","OK")))))))))))))</f>
        <v/>
      </c>
      <c r="O783" s="59" t="str">
        <f>IF(A783="","",COUNTIF($A$6:A783,A783))</f>
        <v/>
      </c>
      <c r="P783" s="62" t="str">
        <f>IF(A783="","",A783&amp;"|"&amp;O783)</f>
        <v/>
      </c>
    </row>
    <row r="784">
      <c r="A784" s="60" t="n"/>
      <c r="B784" s="63" t="n"/>
      <c r="C784" s="63" t="n"/>
      <c r="D784" s="67" t="n"/>
      <c r="E784" s="68" t="n"/>
      <c r="F784" s="69" t="n"/>
      <c r="G784" s="70" t="n"/>
      <c r="H784" s="62" t="str">
        <f>IF(COUNTA(A784:G784)=0,"",IF(C784&lt;&gt;"",C784,IF(B784="","",IFERROR(INDEX(pr_des,MATCH(B784,pr_code,0))&amp;"",""))))</f>
        <v/>
      </c>
      <c r="I784" s="59" t="str">
        <f>IF(B784="","",IFERROR(INDEX(pr_unit,MATCH(B784,pr_code,0))&amp;"",""))</f>
        <v/>
      </c>
      <c r="J784" s="65" t="str">
        <f>IF(COUNTA(A784:G784)=0,"",IF(E784&lt;&gt;"",E784,IF(B784="","",IFERROR(IF(INDEX(pr_price,MATCH(B784,pr_code,0))="","",INDEX(pr_price,MATCH(B784,pr_code,0))),""))))</f>
        <v/>
      </c>
      <c r="K784" s="71" t="str">
        <f>IF(COUNTA(A784:G784)=0,"",IF(G784&lt;&gt;"",G784,IF(B784="","",IFERROR(IF(INDEX(pr_rate,MATCH(B784,pr_code,0))="","",INDEX(pr_rate,MATCH(B784,pr_code,0))),""))))</f>
        <v/>
      </c>
      <c r="L784" s="65" t="str">
        <f>IF(COUNTA(A784:G784)=0,"",IF(AND(ISNUMBER(D784),ISNUMBER(J784)),ROUND(D784*J784*(1-N(F784)),2),0))</f>
        <v/>
      </c>
      <c r="M784" s="62" t="str">
        <f>IF(A784="","",IFERROR(INDEX(dv_cname,MATCH(A784,dv_num,0))&amp;"",""))</f>
        <v/>
      </c>
      <c r="N784" s="59" t="str">
        <f>IF(COUNTA(A784:G784)=0,"",IF(A784="","N° devis manquant",IF(ISNA(MATCH(A784,dv_num,0)),"Devis inconnu",IF(AND(B784&lt;&gt;"",ISNA(MATCH(B784,pr_code,0))),"Article inconnu",IF(H784="","Désignation manquante",IF(OR(NOT(ISNUMBER(D784)),N(D784)&lt;=0),"Quantité invalide",IF(J784="","Prix manquant",IF(OR(NOT(ISNUMBER(J784)),N(J784)&lt;0),"Prix invalide",IF(OR(AND(F784&lt;&gt;"",NOT(ISNUMBER(F784))),N(F784)&lt;0,N(F784)&gt;1),"Remise invalide",IF(K784="","Taux de TVA manquant",IF(NOT(ISNUMBER(K784)),"Taux de TVA invalide",IF(COUNTIF(p_rates,K784)=0,"Taux de TVA hors liste (Paramètres)",IF(N(O784)&gt;25,"Au-delà de 25 lignes : non imprimée","OK")))))))))))))</f>
        <v/>
      </c>
      <c r="O784" s="59" t="str">
        <f>IF(A784="","",COUNTIF($A$6:A784,A784))</f>
        <v/>
      </c>
      <c r="P784" s="62" t="str">
        <f>IF(A784="","",A784&amp;"|"&amp;O784)</f>
        <v/>
      </c>
    </row>
    <row r="785">
      <c r="A785" s="60" t="n"/>
      <c r="B785" s="63" t="n"/>
      <c r="C785" s="63" t="n"/>
      <c r="D785" s="67" t="n"/>
      <c r="E785" s="68" t="n"/>
      <c r="F785" s="69" t="n"/>
      <c r="G785" s="70" t="n"/>
      <c r="H785" s="62" t="str">
        <f>IF(COUNTA(A785:G785)=0,"",IF(C785&lt;&gt;"",C785,IF(B785="","",IFERROR(INDEX(pr_des,MATCH(B785,pr_code,0))&amp;"",""))))</f>
        <v/>
      </c>
      <c r="I785" s="59" t="str">
        <f>IF(B785="","",IFERROR(INDEX(pr_unit,MATCH(B785,pr_code,0))&amp;"",""))</f>
        <v/>
      </c>
      <c r="J785" s="65" t="str">
        <f>IF(COUNTA(A785:G785)=0,"",IF(E785&lt;&gt;"",E785,IF(B785="","",IFERROR(IF(INDEX(pr_price,MATCH(B785,pr_code,0))="","",INDEX(pr_price,MATCH(B785,pr_code,0))),""))))</f>
        <v/>
      </c>
      <c r="K785" s="71" t="str">
        <f>IF(COUNTA(A785:G785)=0,"",IF(G785&lt;&gt;"",G785,IF(B785="","",IFERROR(IF(INDEX(pr_rate,MATCH(B785,pr_code,0))="","",INDEX(pr_rate,MATCH(B785,pr_code,0))),""))))</f>
        <v/>
      </c>
      <c r="L785" s="65" t="str">
        <f>IF(COUNTA(A785:G785)=0,"",IF(AND(ISNUMBER(D785),ISNUMBER(J785)),ROUND(D785*J785*(1-N(F785)),2),0))</f>
        <v/>
      </c>
      <c r="M785" s="62" t="str">
        <f>IF(A785="","",IFERROR(INDEX(dv_cname,MATCH(A785,dv_num,0))&amp;"",""))</f>
        <v/>
      </c>
      <c r="N785" s="59" t="str">
        <f>IF(COUNTA(A785:G785)=0,"",IF(A785="","N° devis manquant",IF(ISNA(MATCH(A785,dv_num,0)),"Devis inconnu",IF(AND(B785&lt;&gt;"",ISNA(MATCH(B785,pr_code,0))),"Article inconnu",IF(H785="","Désignation manquante",IF(OR(NOT(ISNUMBER(D785)),N(D785)&lt;=0),"Quantité invalide",IF(J785="","Prix manquant",IF(OR(NOT(ISNUMBER(J785)),N(J785)&lt;0),"Prix invalide",IF(OR(AND(F785&lt;&gt;"",NOT(ISNUMBER(F785))),N(F785)&lt;0,N(F785)&gt;1),"Remise invalide",IF(K785="","Taux de TVA manquant",IF(NOT(ISNUMBER(K785)),"Taux de TVA invalide",IF(COUNTIF(p_rates,K785)=0,"Taux de TVA hors liste (Paramètres)",IF(N(O785)&gt;25,"Au-delà de 25 lignes : non imprimée","OK")))))))))))))</f>
        <v/>
      </c>
      <c r="O785" s="59" t="str">
        <f>IF(A785="","",COUNTIF($A$6:A785,A785))</f>
        <v/>
      </c>
      <c r="P785" s="62" t="str">
        <f>IF(A785="","",A785&amp;"|"&amp;O785)</f>
        <v/>
      </c>
    </row>
    <row r="786">
      <c r="A786" s="60" t="n"/>
      <c r="B786" s="63" t="n"/>
      <c r="C786" s="63" t="n"/>
      <c r="D786" s="67" t="n"/>
      <c r="E786" s="68" t="n"/>
      <c r="F786" s="69" t="n"/>
      <c r="G786" s="70" t="n"/>
      <c r="H786" s="62" t="str">
        <f>IF(COUNTA(A786:G786)=0,"",IF(C786&lt;&gt;"",C786,IF(B786="","",IFERROR(INDEX(pr_des,MATCH(B786,pr_code,0))&amp;"",""))))</f>
        <v/>
      </c>
      <c r="I786" s="59" t="str">
        <f>IF(B786="","",IFERROR(INDEX(pr_unit,MATCH(B786,pr_code,0))&amp;"",""))</f>
        <v/>
      </c>
      <c r="J786" s="65" t="str">
        <f>IF(COUNTA(A786:G786)=0,"",IF(E786&lt;&gt;"",E786,IF(B786="","",IFERROR(IF(INDEX(pr_price,MATCH(B786,pr_code,0))="","",INDEX(pr_price,MATCH(B786,pr_code,0))),""))))</f>
        <v/>
      </c>
      <c r="K786" s="71" t="str">
        <f>IF(COUNTA(A786:G786)=0,"",IF(G786&lt;&gt;"",G786,IF(B786="","",IFERROR(IF(INDEX(pr_rate,MATCH(B786,pr_code,0))="","",INDEX(pr_rate,MATCH(B786,pr_code,0))),""))))</f>
        <v/>
      </c>
      <c r="L786" s="65" t="str">
        <f>IF(COUNTA(A786:G786)=0,"",IF(AND(ISNUMBER(D786),ISNUMBER(J786)),ROUND(D786*J786*(1-N(F786)),2),0))</f>
        <v/>
      </c>
      <c r="M786" s="62" t="str">
        <f>IF(A786="","",IFERROR(INDEX(dv_cname,MATCH(A786,dv_num,0))&amp;"",""))</f>
        <v/>
      </c>
      <c r="N786" s="59" t="str">
        <f>IF(COUNTA(A786:G786)=0,"",IF(A786="","N° devis manquant",IF(ISNA(MATCH(A786,dv_num,0)),"Devis inconnu",IF(AND(B786&lt;&gt;"",ISNA(MATCH(B786,pr_code,0))),"Article inconnu",IF(H786="","Désignation manquante",IF(OR(NOT(ISNUMBER(D786)),N(D786)&lt;=0),"Quantité invalide",IF(J786="","Prix manquant",IF(OR(NOT(ISNUMBER(J786)),N(J786)&lt;0),"Prix invalide",IF(OR(AND(F786&lt;&gt;"",NOT(ISNUMBER(F786))),N(F786)&lt;0,N(F786)&gt;1),"Remise invalide",IF(K786="","Taux de TVA manquant",IF(NOT(ISNUMBER(K786)),"Taux de TVA invalide",IF(COUNTIF(p_rates,K786)=0,"Taux de TVA hors liste (Paramètres)",IF(N(O786)&gt;25,"Au-delà de 25 lignes : non imprimée","OK")))))))))))))</f>
        <v/>
      </c>
      <c r="O786" s="59" t="str">
        <f>IF(A786="","",COUNTIF($A$6:A786,A786))</f>
        <v/>
      </c>
      <c r="P786" s="62" t="str">
        <f>IF(A786="","",A786&amp;"|"&amp;O786)</f>
        <v/>
      </c>
    </row>
    <row r="787">
      <c r="A787" s="60" t="n"/>
      <c r="B787" s="63" t="n"/>
      <c r="C787" s="63" t="n"/>
      <c r="D787" s="67" t="n"/>
      <c r="E787" s="68" t="n"/>
      <c r="F787" s="69" t="n"/>
      <c r="G787" s="70" t="n"/>
      <c r="H787" s="62" t="str">
        <f>IF(COUNTA(A787:G787)=0,"",IF(C787&lt;&gt;"",C787,IF(B787="","",IFERROR(INDEX(pr_des,MATCH(B787,pr_code,0))&amp;"",""))))</f>
        <v/>
      </c>
      <c r="I787" s="59" t="str">
        <f>IF(B787="","",IFERROR(INDEX(pr_unit,MATCH(B787,pr_code,0))&amp;"",""))</f>
        <v/>
      </c>
      <c r="J787" s="65" t="str">
        <f>IF(COUNTA(A787:G787)=0,"",IF(E787&lt;&gt;"",E787,IF(B787="","",IFERROR(IF(INDEX(pr_price,MATCH(B787,pr_code,0))="","",INDEX(pr_price,MATCH(B787,pr_code,0))),""))))</f>
        <v/>
      </c>
      <c r="K787" s="71" t="str">
        <f>IF(COUNTA(A787:G787)=0,"",IF(G787&lt;&gt;"",G787,IF(B787="","",IFERROR(IF(INDEX(pr_rate,MATCH(B787,pr_code,0))="","",INDEX(pr_rate,MATCH(B787,pr_code,0))),""))))</f>
        <v/>
      </c>
      <c r="L787" s="65" t="str">
        <f>IF(COUNTA(A787:G787)=0,"",IF(AND(ISNUMBER(D787),ISNUMBER(J787)),ROUND(D787*J787*(1-N(F787)),2),0))</f>
        <v/>
      </c>
      <c r="M787" s="62" t="str">
        <f>IF(A787="","",IFERROR(INDEX(dv_cname,MATCH(A787,dv_num,0))&amp;"",""))</f>
        <v/>
      </c>
      <c r="N787" s="59" t="str">
        <f>IF(COUNTA(A787:G787)=0,"",IF(A787="","N° devis manquant",IF(ISNA(MATCH(A787,dv_num,0)),"Devis inconnu",IF(AND(B787&lt;&gt;"",ISNA(MATCH(B787,pr_code,0))),"Article inconnu",IF(H787="","Désignation manquante",IF(OR(NOT(ISNUMBER(D787)),N(D787)&lt;=0),"Quantité invalide",IF(J787="","Prix manquant",IF(OR(NOT(ISNUMBER(J787)),N(J787)&lt;0),"Prix invalide",IF(OR(AND(F787&lt;&gt;"",NOT(ISNUMBER(F787))),N(F787)&lt;0,N(F787)&gt;1),"Remise invalide",IF(K787="","Taux de TVA manquant",IF(NOT(ISNUMBER(K787)),"Taux de TVA invalide",IF(COUNTIF(p_rates,K787)=0,"Taux de TVA hors liste (Paramètres)",IF(N(O787)&gt;25,"Au-delà de 25 lignes : non imprimée","OK")))))))))))))</f>
        <v/>
      </c>
      <c r="O787" s="59" t="str">
        <f>IF(A787="","",COUNTIF($A$6:A787,A787))</f>
        <v/>
      </c>
      <c r="P787" s="62" t="str">
        <f>IF(A787="","",A787&amp;"|"&amp;O787)</f>
        <v/>
      </c>
    </row>
    <row r="788">
      <c r="A788" s="60" t="n"/>
      <c r="B788" s="63" t="n"/>
      <c r="C788" s="63" t="n"/>
      <c r="D788" s="67" t="n"/>
      <c r="E788" s="68" t="n"/>
      <c r="F788" s="69" t="n"/>
      <c r="G788" s="70" t="n"/>
      <c r="H788" s="62" t="str">
        <f>IF(COUNTA(A788:G788)=0,"",IF(C788&lt;&gt;"",C788,IF(B788="","",IFERROR(INDEX(pr_des,MATCH(B788,pr_code,0))&amp;"",""))))</f>
        <v/>
      </c>
      <c r="I788" s="59" t="str">
        <f>IF(B788="","",IFERROR(INDEX(pr_unit,MATCH(B788,pr_code,0))&amp;"",""))</f>
        <v/>
      </c>
      <c r="J788" s="65" t="str">
        <f>IF(COUNTA(A788:G788)=0,"",IF(E788&lt;&gt;"",E788,IF(B788="","",IFERROR(IF(INDEX(pr_price,MATCH(B788,pr_code,0))="","",INDEX(pr_price,MATCH(B788,pr_code,0))),""))))</f>
        <v/>
      </c>
      <c r="K788" s="71" t="str">
        <f>IF(COUNTA(A788:G788)=0,"",IF(G788&lt;&gt;"",G788,IF(B788="","",IFERROR(IF(INDEX(pr_rate,MATCH(B788,pr_code,0))="","",INDEX(pr_rate,MATCH(B788,pr_code,0))),""))))</f>
        <v/>
      </c>
      <c r="L788" s="65" t="str">
        <f>IF(COUNTA(A788:G788)=0,"",IF(AND(ISNUMBER(D788),ISNUMBER(J788)),ROUND(D788*J788*(1-N(F788)),2),0))</f>
        <v/>
      </c>
      <c r="M788" s="62" t="str">
        <f>IF(A788="","",IFERROR(INDEX(dv_cname,MATCH(A788,dv_num,0))&amp;"",""))</f>
        <v/>
      </c>
      <c r="N788" s="59" t="str">
        <f>IF(COUNTA(A788:G788)=0,"",IF(A788="","N° devis manquant",IF(ISNA(MATCH(A788,dv_num,0)),"Devis inconnu",IF(AND(B788&lt;&gt;"",ISNA(MATCH(B788,pr_code,0))),"Article inconnu",IF(H788="","Désignation manquante",IF(OR(NOT(ISNUMBER(D788)),N(D788)&lt;=0),"Quantité invalide",IF(J788="","Prix manquant",IF(OR(NOT(ISNUMBER(J788)),N(J788)&lt;0),"Prix invalide",IF(OR(AND(F788&lt;&gt;"",NOT(ISNUMBER(F788))),N(F788)&lt;0,N(F788)&gt;1),"Remise invalide",IF(K788="","Taux de TVA manquant",IF(NOT(ISNUMBER(K788)),"Taux de TVA invalide",IF(COUNTIF(p_rates,K788)=0,"Taux de TVA hors liste (Paramètres)",IF(N(O788)&gt;25,"Au-delà de 25 lignes : non imprimée","OK")))))))))))))</f>
        <v/>
      </c>
      <c r="O788" s="59" t="str">
        <f>IF(A788="","",COUNTIF($A$6:A788,A788))</f>
        <v/>
      </c>
      <c r="P788" s="62" t="str">
        <f>IF(A788="","",A788&amp;"|"&amp;O788)</f>
        <v/>
      </c>
    </row>
    <row r="789">
      <c r="A789" s="60" t="n"/>
      <c r="B789" s="63" t="n"/>
      <c r="C789" s="63" t="n"/>
      <c r="D789" s="67" t="n"/>
      <c r="E789" s="68" t="n"/>
      <c r="F789" s="69" t="n"/>
      <c r="G789" s="70" t="n"/>
      <c r="H789" s="62" t="str">
        <f>IF(COUNTA(A789:G789)=0,"",IF(C789&lt;&gt;"",C789,IF(B789="","",IFERROR(INDEX(pr_des,MATCH(B789,pr_code,0))&amp;"",""))))</f>
        <v/>
      </c>
      <c r="I789" s="59" t="str">
        <f>IF(B789="","",IFERROR(INDEX(pr_unit,MATCH(B789,pr_code,0))&amp;"",""))</f>
        <v/>
      </c>
      <c r="J789" s="65" t="str">
        <f>IF(COUNTA(A789:G789)=0,"",IF(E789&lt;&gt;"",E789,IF(B789="","",IFERROR(IF(INDEX(pr_price,MATCH(B789,pr_code,0))="","",INDEX(pr_price,MATCH(B789,pr_code,0))),""))))</f>
        <v/>
      </c>
      <c r="K789" s="71" t="str">
        <f>IF(COUNTA(A789:G789)=0,"",IF(G789&lt;&gt;"",G789,IF(B789="","",IFERROR(IF(INDEX(pr_rate,MATCH(B789,pr_code,0))="","",INDEX(pr_rate,MATCH(B789,pr_code,0))),""))))</f>
        <v/>
      </c>
      <c r="L789" s="65" t="str">
        <f>IF(COUNTA(A789:G789)=0,"",IF(AND(ISNUMBER(D789),ISNUMBER(J789)),ROUND(D789*J789*(1-N(F789)),2),0))</f>
        <v/>
      </c>
      <c r="M789" s="62" t="str">
        <f>IF(A789="","",IFERROR(INDEX(dv_cname,MATCH(A789,dv_num,0))&amp;"",""))</f>
        <v/>
      </c>
      <c r="N789" s="59" t="str">
        <f>IF(COUNTA(A789:G789)=0,"",IF(A789="","N° devis manquant",IF(ISNA(MATCH(A789,dv_num,0)),"Devis inconnu",IF(AND(B789&lt;&gt;"",ISNA(MATCH(B789,pr_code,0))),"Article inconnu",IF(H789="","Désignation manquante",IF(OR(NOT(ISNUMBER(D789)),N(D789)&lt;=0),"Quantité invalide",IF(J789="","Prix manquant",IF(OR(NOT(ISNUMBER(J789)),N(J789)&lt;0),"Prix invalide",IF(OR(AND(F789&lt;&gt;"",NOT(ISNUMBER(F789))),N(F789)&lt;0,N(F789)&gt;1),"Remise invalide",IF(K789="","Taux de TVA manquant",IF(NOT(ISNUMBER(K789)),"Taux de TVA invalide",IF(COUNTIF(p_rates,K789)=0,"Taux de TVA hors liste (Paramètres)",IF(N(O789)&gt;25,"Au-delà de 25 lignes : non imprimée","OK")))))))))))))</f>
        <v/>
      </c>
      <c r="O789" s="59" t="str">
        <f>IF(A789="","",COUNTIF($A$6:A789,A789))</f>
        <v/>
      </c>
      <c r="P789" s="62" t="str">
        <f>IF(A789="","",A789&amp;"|"&amp;O789)</f>
        <v/>
      </c>
    </row>
    <row r="790">
      <c r="A790" s="60" t="n"/>
      <c r="B790" s="63" t="n"/>
      <c r="C790" s="63" t="n"/>
      <c r="D790" s="67" t="n"/>
      <c r="E790" s="68" t="n"/>
      <c r="F790" s="69" t="n"/>
      <c r="G790" s="70" t="n"/>
      <c r="H790" s="62" t="str">
        <f>IF(COUNTA(A790:G790)=0,"",IF(C790&lt;&gt;"",C790,IF(B790="","",IFERROR(INDEX(pr_des,MATCH(B790,pr_code,0))&amp;"",""))))</f>
        <v/>
      </c>
      <c r="I790" s="59" t="str">
        <f>IF(B790="","",IFERROR(INDEX(pr_unit,MATCH(B790,pr_code,0))&amp;"",""))</f>
        <v/>
      </c>
      <c r="J790" s="65" t="str">
        <f>IF(COUNTA(A790:G790)=0,"",IF(E790&lt;&gt;"",E790,IF(B790="","",IFERROR(IF(INDEX(pr_price,MATCH(B790,pr_code,0))="","",INDEX(pr_price,MATCH(B790,pr_code,0))),""))))</f>
        <v/>
      </c>
      <c r="K790" s="71" t="str">
        <f>IF(COUNTA(A790:G790)=0,"",IF(G790&lt;&gt;"",G790,IF(B790="","",IFERROR(IF(INDEX(pr_rate,MATCH(B790,pr_code,0))="","",INDEX(pr_rate,MATCH(B790,pr_code,0))),""))))</f>
        <v/>
      </c>
      <c r="L790" s="65" t="str">
        <f>IF(COUNTA(A790:G790)=0,"",IF(AND(ISNUMBER(D790),ISNUMBER(J790)),ROUND(D790*J790*(1-N(F790)),2),0))</f>
        <v/>
      </c>
      <c r="M790" s="62" t="str">
        <f>IF(A790="","",IFERROR(INDEX(dv_cname,MATCH(A790,dv_num,0))&amp;"",""))</f>
        <v/>
      </c>
      <c r="N790" s="59" t="str">
        <f>IF(COUNTA(A790:G790)=0,"",IF(A790="","N° devis manquant",IF(ISNA(MATCH(A790,dv_num,0)),"Devis inconnu",IF(AND(B790&lt;&gt;"",ISNA(MATCH(B790,pr_code,0))),"Article inconnu",IF(H790="","Désignation manquante",IF(OR(NOT(ISNUMBER(D790)),N(D790)&lt;=0),"Quantité invalide",IF(J790="","Prix manquant",IF(OR(NOT(ISNUMBER(J790)),N(J790)&lt;0),"Prix invalide",IF(OR(AND(F790&lt;&gt;"",NOT(ISNUMBER(F790))),N(F790)&lt;0,N(F790)&gt;1),"Remise invalide",IF(K790="","Taux de TVA manquant",IF(NOT(ISNUMBER(K790)),"Taux de TVA invalide",IF(COUNTIF(p_rates,K790)=0,"Taux de TVA hors liste (Paramètres)",IF(N(O790)&gt;25,"Au-delà de 25 lignes : non imprimée","OK")))))))))))))</f>
        <v/>
      </c>
      <c r="O790" s="59" t="str">
        <f>IF(A790="","",COUNTIF($A$6:A790,A790))</f>
        <v/>
      </c>
      <c r="P790" s="62" t="str">
        <f>IF(A790="","",A790&amp;"|"&amp;O790)</f>
        <v/>
      </c>
    </row>
    <row r="791">
      <c r="A791" s="60" t="n"/>
      <c r="B791" s="63" t="n"/>
      <c r="C791" s="63" t="n"/>
      <c r="D791" s="67" t="n"/>
      <c r="E791" s="68" t="n"/>
      <c r="F791" s="69" t="n"/>
      <c r="G791" s="70" t="n"/>
      <c r="H791" s="62" t="str">
        <f>IF(COUNTA(A791:G791)=0,"",IF(C791&lt;&gt;"",C791,IF(B791="","",IFERROR(INDEX(pr_des,MATCH(B791,pr_code,0))&amp;"",""))))</f>
        <v/>
      </c>
      <c r="I791" s="59" t="str">
        <f>IF(B791="","",IFERROR(INDEX(pr_unit,MATCH(B791,pr_code,0))&amp;"",""))</f>
        <v/>
      </c>
      <c r="J791" s="65" t="str">
        <f>IF(COUNTA(A791:G791)=0,"",IF(E791&lt;&gt;"",E791,IF(B791="","",IFERROR(IF(INDEX(pr_price,MATCH(B791,pr_code,0))="","",INDEX(pr_price,MATCH(B791,pr_code,0))),""))))</f>
        <v/>
      </c>
      <c r="K791" s="71" t="str">
        <f>IF(COUNTA(A791:G791)=0,"",IF(G791&lt;&gt;"",G791,IF(B791="","",IFERROR(IF(INDEX(pr_rate,MATCH(B791,pr_code,0))="","",INDEX(pr_rate,MATCH(B791,pr_code,0))),""))))</f>
        <v/>
      </c>
      <c r="L791" s="65" t="str">
        <f>IF(COUNTA(A791:G791)=0,"",IF(AND(ISNUMBER(D791),ISNUMBER(J791)),ROUND(D791*J791*(1-N(F791)),2),0))</f>
        <v/>
      </c>
      <c r="M791" s="62" t="str">
        <f>IF(A791="","",IFERROR(INDEX(dv_cname,MATCH(A791,dv_num,0))&amp;"",""))</f>
        <v/>
      </c>
      <c r="N791" s="59" t="str">
        <f>IF(COUNTA(A791:G791)=0,"",IF(A791="","N° devis manquant",IF(ISNA(MATCH(A791,dv_num,0)),"Devis inconnu",IF(AND(B791&lt;&gt;"",ISNA(MATCH(B791,pr_code,0))),"Article inconnu",IF(H791="","Désignation manquante",IF(OR(NOT(ISNUMBER(D791)),N(D791)&lt;=0),"Quantité invalide",IF(J791="","Prix manquant",IF(OR(NOT(ISNUMBER(J791)),N(J791)&lt;0),"Prix invalide",IF(OR(AND(F791&lt;&gt;"",NOT(ISNUMBER(F791))),N(F791)&lt;0,N(F791)&gt;1),"Remise invalide",IF(K791="","Taux de TVA manquant",IF(NOT(ISNUMBER(K791)),"Taux de TVA invalide",IF(COUNTIF(p_rates,K791)=0,"Taux de TVA hors liste (Paramètres)",IF(N(O791)&gt;25,"Au-delà de 25 lignes : non imprimée","OK")))))))))))))</f>
        <v/>
      </c>
      <c r="O791" s="59" t="str">
        <f>IF(A791="","",COUNTIF($A$6:A791,A791))</f>
        <v/>
      </c>
      <c r="P791" s="62" t="str">
        <f>IF(A791="","",A791&amp;"|"&amp;O791)</f>
        <v/>
      </c>
    </row>
    <row r="792">
      <c r="A792" s="60" t="n"/>
      <c r="B792" s="63" t="n"/>
      <c r="C792" s="63" t="n"/>
      <c r="D792" s="67" t="n"/>
      <c r="E792" s="68" t="n"/>
      <c r="F792" s="69" t="n"/>
      <c r="G792" s="70" t="n"/>
      <c r="H792" s="62" t="str">
        <f>IF(COUNTA(A792:G792)=0,"",IF(C792&lt;&gt;"",C792,IF(B792="","",IFERROR(INDEX(pr_des,MATCH(B792,pr_code,0))&amp;"",""))))</f>
        <v/>
      </c>
      <c r="I792" s="59" t="str">
        <f>IF(B792="","",IFERROR(INDEX(pr_unit,MATCH(B792,pr_code,0))&amp;"",""))</f>
        <v/>
      </c>
      <c r="J792" s="65" t="str">
        <f>IF(COUNTA(A792:G792)=0,"",IF(E792&lt;&gt;"",E792,IF(B792="","",IFERROR(IF(INDEX(pr_price,MATCH(B792,pr_code,0))="","",INDEX(pr_price,MATCH(B792,pr_code,0))),""))))</f>
        <v/>
      </c>
      <c r="K792" s="71" t="str">
        <f>IF(COUNTA(A792:G792)=0,"",IF(G792&lt;&gt;"",G792,IF(B792="","",IFERROR(IF(INDEX(pr_rate,MATCH(B792,pr_code,0))="","",INDEX(pr_rate,MATCH(B792,pr_code,0))),""))))</f>
        <v/>
      </c>
      <c r="L792" s="65" t="str">
        <f>IF(COUNTA(A792:G792)=0,"",IF(AND(ISNUMBER(D792),ISNUMBER(J792)),ROUND(D792*J792*(1-N(F792)),2),0))</f>
        <v/>
      </c>
      <c r="M792" s="62" t="str">
        <f>IF(A792="","",IFERROR(INDEX(dv_cname,MATCH(A792,dv_num,0))&amp;"",""))</f>
        <v/>
      </c>
      <c r="N792" s="59" t="str">
        <f>IF(COUNTA(A792:G792)=0,"",IF(A792="","N° devis manquant",IF(ISNA(MATCH(A792,dv_num,0)),"Devis inconnu",IF(AND(B792&lt;&gt;"",ISNA(MATCH(B792,pr_code,0))),"Article inconnu",IF(H792="","Désignation manquante",IF(OR(NOT(ISNUMBER(D792)),N(D792)&lt;=0),"Quantité invalide",IF(J792="","Prix manquant",IF(OR(NOT(ISNUMBER(J792)),N(J792)&lt;0),"Prix invalide",IF(OR(AND(F792&lt;&gt;"",NOT(ISNUMBER(F792))),N(F792)&lt;0,N(F792)&gt;1),"Remise invalide",IF(K792="","Taux de TVA manquant",IF(NOT(ISNUMBER(K792)),"Taux de TVA invalide",IF(COUNTIF(p_rates,K792)=0,"Taux de TVA hors liste (Paramètres)",IF(N(O792)&gt;25,"Au-delà de 25 lignes : non imprimée","OK")))))))))))))</f>
        <v/>
      </c>
      <c r="O792" s="59" t="str">
        <f>IF(A792="","",COUNTIF($A$6:A792,A792))</f>
        <v/>
      </c>
      <c r="P792" s="62" t="str">
        <f>IF(A792="","",A792&amp;"|"&amp;O792)</f>
        <v/>
      </c>
    </row>
    <row r="793">
      <c r="A793" s="60" t="n"/>
      <c r="B793" s="63" t="n"/>
      <c r="C793" s="63" t="n"/>
      <c r="D793" s="67" t="n"/>
      <c r="E793" s="68" t="n"/>
      <c r="F793" s="69" t="n"/>
      <c r="G793" s="70" t="n"/>
      <c r="H793" s="62" t="str">
        <f>IF(COUNTA(A793:G793)=0,"",IF(C793&lt;&gt;"",C793,IF(B793="","",IFERROR(INDEX(pr_des,MATCH(B793,pr_code,0))&amp;"",""))))</f>
        <v/>
      </c>
      <c r="I793" s="59" t="str">
        <f>IF(B793="","",IFERROR(INDEX(pr_unit,MATCH(B793,pr_code,0))&amp;"",""))</f>
        <v/>
      </c>
      <c r="J793" s="65" t="str">
        <f>IF(COUNTA(A793:G793)=0,"",IF(E793&lt;&gt;"",E793,IF(B793="","",IFERROR(IF(INDEX(pr_price,MATCH(B793,pr_code,0))="","",INDEX(pr_price,MATCH(B793,pr_code,0))),""))))</f>
        <v/>
      </c>
      <c r="K793" s="71" t="str">
        <f>IF(COUNTA(A793:G793)=0,"",IF(G793&lt;&gt;"",G793,IF(B793="","",IFERROR(IF(INDEX(pr_rate,MATCH(B793,pr_code,0))="","",INDEX(pr_rate,MATCH(B793,pr_code,0))),""))))</f>
        <v/>
      </c>
      <c r="L793" s="65" t="str">
        <f>IF(COUNTA(A793:G793)=0,"",IF(AND(ISNUMBER(D793),ISNUMBER(J793)),ROUND(D793*J793*(1-N(F793)),2),0))</f>
        <v/>
      </c>
      <c r="M793" s="62" t="str">
        <f>IF(A793="","",IFERROR(INDEX(dv_cname,MATCH(A793,dv_num,0))&amp;"",""))</f>
        <v/>
      </c>
      <c r="N793" s="59" t="str">
        <f>IF(COUNTA(A793:G793)=0,"",IF(A793="","N° devis manquant",IF(ISNA(MATCH(A793,dv_num,0)),"Devis inconnu",IF(AND(B793&lt;&gt;"",ISNA(MATCH(B793,pr_code,0))),"Article inconnu",IF(H793="","Désignation manquante",IF(OR(NOT(ISNUMBER(D793)),N(D793)&lt;=0),"Quantité invalide",IF(J793="","Prix manquant",IF(OR(NOT(ISNUMBER(J793)),N(J793)&lt;0),"Prix invalide",IF(OR(AND(F793&lt;&gt;"",NOT(ISNUMBER(F793))),N(F793)&lt;0,N(F793)&gt;1),"Remise invalide",IF(K793="","Taux de TVA manquant",IF(NOT(ISNUMBER(K793)),"Taux de TVA invalide",IF(COUNTIF(p_rates,K793)=0,"Taux de TVA hors liste (Paramètres)",IF(N(O793)&gt;25,"Au-delà de 25 lignes : non imprimée","OK")))))))))))))</f>
        <v/>
      </c>
      <c r="O793" s="59" t="str">
        <f>IF(A793="","",COUNTIF($A$6:A793,A793))</f>
        <v/>
      </c>
      <c r="P793" s="62" t="str">
        <f>IF(A793="","",A793&amp;"|"&amp;O793)</f>
        <v/>
      </c>
    </row>
    <row r="794">
      <c r="A794" s="60" t="n"/>
      <c r="B794" s="63" t="n"/>
      <c r="C794" s="63" t="n"/>
      <c r="D794" s="67" t="n"/>
      <c r="E794" s="68" t="n"/>
      <c r="F794" s="69" t="n"/>
      <c r="G794" s="70" t="n"/>
      <c r="H794" s="62" t="str">
        <f>IF(COUNTA(A794:G794)=0,"",IF(C794&lt;&gt;"",C794,IF(B794="","",IFERROR(INDEX(pr_des,MATCH(B794,pr_code,0))&amp;"",""))))</f>
        <v/>
      </c>
      <c r="I794" s="59" t="str">
        <f>IF(B794="","",IFERROR(INDEX(pr_unit,MATCH(B794,pr_code,0))&amp;"",""))</f>
        <v/>
      </c>
      <c r="J794" s="65" t="str">
        <f>IF(COUNTA(A794:G794)=0,"",IF(E794&lt;&gt;"",E794,IF(B794="","",IFERROR(IF(INDEX(pr_price,MATCH(B794,pr_code,0))="","",INDEX(pr_price,MATCH(B794,pr_code,0))),""))))</f>
        <v/>
      </c>
      <c r="K794" s="71" t="str">
        <f>IF(COUNTA(A794:G794)=0,"",IF(G794&lt;&gt;"",G794,IF(B794="","",IFERROR(IF(INDEX(pr_rate,MATCH(B794,pr_code,0))="","",INDEX(pr_rate,MATCH(B794,pr_code,0))),""))))</f>
        <v/>
      </c>
      <c r="L794" s="65" t="str">
        <f>IF(COUNTA(A794:G794)=0,"",IF(AND(ISNUMBER(D794),ISNUMBER(J794)),ROUND(D794*J794*(1-N(F794)),2),0))</f>
        <v/>
      </c>
      <c r="M794" s="62" t="str">
        <f>IF(A794="","",IFERROR(INDEX(dv_cname,MATCH(A794,dv_num,0))&amp;"",""))</f>
        <v/>
      </c>
      <c r="N794" s="59" t="str">
        <f>IF(COUNTA(A794:G794)=0,"",IF(A794="","N° devis manquant",IF(ISNA(MATCH(A794,dv_num,0)),"Devis inconnu",IF(AND(B794&lt;&gt;"",ISNA(MATCH(B794,pr_code,0))),"Article inconnu",IF(H794="","Désignation manquante",IF(OR(NOT(ISNUMBER(D794)),N(D794)&lt;=0),"Quantité invalide",IF(J794="","Prix manquant",IF(OR(NOT(ISNUMBER(J794)),N(J794)&lt;0),"Prix invalide",IF(OR(AND(F794&lt;&gt;"",NOT(ISNUMBER(F794))),N(F794)&lt;0,N(F794)&gt;1),"Remise invalide",IF(K794="","Taux de TVA manquant",IF(NOT(ISNUMBER(K794)),"Taux de TVA invalide",IF(COUNTIF(p_rates,K794)=0,"Taux de TVA hors liste (Paramètres)",IF(N(O794)&gt;25,"Au-delà de 25 lignes : non imprimée","OK")))))))))))))</f>
        <v/>
      </c>
      <c r="O794" s="59" t="str">
        <f>IF(A794="","",COUNTIF($A$6:A794,A794))</f>
        <v/>
      </c>
      <c r="P794" s="62" t="str">
        <f>IF(A794="","",A794&amp;"|"&amp;O794)</f>
        <v/>
      </c>
    </row>
    <row r="795">
      <c r="A795" s="60" t="n"/>
      <c r="B795" s="63" t="n"/>
      <c r="C795" s="63" t="n"/>
      <c r="D795" s="67" t="n"/>
      <c r="E795" s="68" t="n"/>
      <c r="F795" s="69" t="n"/>
      <c r="G795" s="70" t="n"/>
      <c r="H795" s="62" t="str">
        <f>IF(COUNTA(A795:G795)=0,"",IF(C795&lt;&gt;"",C795,IF(B795="","",IFERROR(INDEX(pr_des,MATCH(B795,pr_code,0))&amp;"",""))))</f>
        <v/>
      </c>
      <c r="I795" s="59" t="str">
        <f>IF(B795="","",IFERROR(INDEX(pr_unit,MATCH(B795,pr_code,0))&amp;"",""))</f>
        <v/>
      </c>
      <c r="J795" s="65" t="str">
        <f>IF(COUNTA(A795:G795)=0,"",IF(E795&lt;&gt;"",E795,IF(B795="","",IFERROR(IF(INDEX(pr_price,MATCH(B795,pr_code,0))="","",INDEX(pr_price,MATCH(B795,pr_code,0))),""))))</f>
        <v/>
      </c>
      <c r="K795" s="71" t="str">
        <f>IF(COUNTA(A795:G795)=0,"",IF(G795&lt;&gt;"",G795,IF(B795="","",IFERROR(IF(INDEX(pr_rate,MATCH(B795,pr_code,0))="","",INDEX(pr_rate,MATCH(B795,pr_code,0))),""))))</f>
        <v/>
      </c>
      <c r="L795" s="65" t="str">
        <f>IF(COUNTA(A795:G795)=0,"",IF(AND(ISNUMBER(D795),ISNUMBER(J795)),ROUND(D795*J795*(1-N(F795)),2),0))</f>
        <v/>
      </c>
      <c r="M795" s="62" t="str">
        <f>IF(A795="","",IFERROR(INDEX(dv_cname,MATCH(A795,dv_num,0))&amp;"",""))</f>
        <v/>
      </c>
      <c r="N795" s="59" t="str">
        <f>IF(COUNTA(A795:G795)=0,"",IF(A795="","N° devis manquant",IF(ISNA(MATCH(A795,dv_num,0)),"Devis inconnu",IF(AND(B795&lt;&gt;"",ISNA(MATCH(B795,pr_code,0))),"Article inconnu",IF(H795="","Désignation manquante",IF(OR(NOT(ISNUMBER(D795)),N(D795)&lt;=0),"Quantité invalide",IF(J795="","Prix manquant",IF(OR(NOT(ISNUMBER(J795)),N(J795)&lt;0),"Prix invalide",IF(OR(AND(F795&lt;&gt;"",NOT(ISNUMBER(F795))),N(F795)&lt;0,N(F795)&gt;1),"Remise invalide",IF(K795="","Taux de TVA manquant",IF(NOT(ISNUMBER(K795)),"Taux de TVA invalide",IF(COUNTIF(p_rates,K795)=0,"Taux de TVA hors liste (Paramètres)",IF(N(O795)&gt;25,"Au-delà de 25 lignes : non imprimée","OK")))))))))))))</f>
        <v/>
      </c>
      <c r="O795" s="59" t="str">
        <f>IF(A795="","",COUNTIF($A$6:A795,A795))</f>
        <v/>
      </c>
      <c r="P795" s="62" t="str">
        <f>IF(A795="","",A795&amp;"|"&amp;O795)</f>
        <v/>
      </c>
    </row>
    <row r="796">
      <c r="A796" s="60" t="n"/>
      <c r="B796" s="63" t="n"/>
      <c r="C796" s="63" t="n"/>
      <c r="D796" s="67" t="n"/>
      <c r="E796" s="68" t="n"/>
      <c r="F796" s="69" t="n"/>
      <c r="G796" s="70" t="n"/>
      <c r="H796" s="62" t="str">
        <f>IF(COUNTA(A796:G796)=0,"",IF(C796&lt;&gt;"",C796,IF(B796="","",IFERROR(INDEX(pr_des,MATCH(B796,pr_code,0))&amp;"",""))))</f>
        <v/>
      </c>
      <c r="I796" s="59" t="str">
        <f>IF(B796="","",IFERROR(INDEX(pr_unit,MATCH(B796,pr_code,0))&amp;"",""))</f>
        <v/>
      </c>
      <c r="J796" s="65" t="str">
        <f>IF(COUNTA(A796:G796)=0,"",IF(E796&lt;&gt;"",E796,IF(B796="","",IFERROR(IF(INDEX(pr_price,MATCH(B796,pr_code,0))="","",INDEX(pr_price,MATCH(B796,pr_code,0))),""))))</f>
        <v/>
      </c>
      <c r="K796" s="71" t="str">
        <f>IF(COUNTA(A796:G796)=0,"",IF(G796&lt;&gt;"",G796,IF(B796="","",IFERROR(IF(INDEX(pr_rate,MATCH(B796,pr_code,0))="","",INDEX(pr_rate,MATCH(B796,pr_code,0))),""))))</f>
        <v/>
      </c>
      <c r="L796" s="65" t="str">
        <f>IF(COUNTA(A796:G796)=0,"",IF(AND(ISNUMBER(D796),ISNUMBER(J796)),ROUND(D796*J796*(1-N(F796)),2),0))</f>
        <v/>
      </c>
      <c r="M796" s="62" t="str">
        <f>IF(A796="","",IFERROR(INDEX(dv_cname,MATCH(A796,dv_num,0))&amp;"",""))</f>
        <v/>
      </c>
      <c r="N796" s="59" t="str">
        <f>IF(COUNTA(A796:G796)=0,"",IF(A796="","N° devis manquant",IF(ISNA(MATCH(A796,dv_num,0)),"Devis inconnu",IF(AND(B796&lt;&gt;"",ISNA(MATCH(B796,pr_code,0))),"Article inconnu",IF(H796="","Désignation manquante",IF(OR(NOT(ISNUMBER(D796)),N(D796)&lt;=0),"Quantité invalide",IF(J796="","Prix manquant",IF(OR(NOT(ISNUMBER(J796)),N(J796)&lt;0),"Prix invalide",IF(OR(AND(F796&lt;&gt;"",NOT(ISNUMBER(F796))),N(F796)&lt;0,N(F796)&gt;1),"Remise invalide",IF(K796="","Taux de TVA manquant",IF(NOT(ISNUMBER(K796)),"Taux de TVA invalide",IF(COUNTIF(p_rates,K796)=0,"Taux de TVA hors liste (Paramètres)",IF(N(O796)&gt;25,"Au-delà de 25 lignes : non imprimée","OK")))))))))))))</f>
        <v/>
      </c>
      <c r="O796" s="59" t="str">
        <f>IF(A796="","",COUNTIF($A$6:A796,A796))</f>
        <v/>
      </c>
      <c r="P796" s="62" t="str">
        <f>IF(A796="","",A796&amp;"|"&amp;O796)</f>
        <v/>
      </c>
    </row>
    <row r="797">
      <c r="A797" s="60" t="n"/>
      <c r="B797" s="63" t="n"/>
      <c r="C797" s="63" t="n"/>
      <c r="D797" s="67" t="n"/>
      <c r="E797" s="68" t="n"/>
      <c r="F797" s="69" t="n"/>
      <c r="G797" s="70" t="n"/>
      <c r="H797" s="62" t="str">
        <f>IF(COUNTA(A797:G797)=0,"",IF(C797&lt;&gt;"",C797,IF(B797="","",IFERROR(INDEX(pr_des,MATCH(B797,pr_code,0))&amp;"",""))))</f>
        <v/>
      </c>
      <c r="I797" s="59" t="str">
        <f>IF(B797="","",IFERROR(INDEX(pr_unit,MATCH(B797,pr_code,0))&amp;"",""))</f>
        <v/>
      </c>
      <c r="J797" s="65" t="str">
        <f>IF(COUNTA(A797:G797)=0,"",IF(E797&lt;&gt;"",E797,IF(B797="","",IFERROR(IF(INDEX(pr_price,MATCH(B797,pr_code,0))="","",INDEX(pr_price,MATCH(B797,pr_code,0))),""))))</f>
        <v/>
      </c>
      <c r="K797" s="71" t="str">
        <f>IF(COUNTA(A797:G797)=0,"",IF(G797&lt;&gt;"",G797,IF(B797="","",IFERROR(IF(INDEX(pr_rate,MATCH(B797,pr_code,0))="","",INDEX(pr_rate,MATCH(B797,pr_code,0))),""))))</f>
        <v/>
      </c>
      <c r="L797" s="65" t="str">
        <f>IF(COUNTA(A797:G797)=0,"",IF(AND(ISNUMBER(D797),ISNUMBER(J797)),ROUND(D797*J797*(1-N(F797)),2),0))</f>
        <v/>
      </c>
      <c r="M797" s="62" t="str">
        <f>IF(A797="","",IFERROR(INDEX(dv_cname,MATCH(A797,dv_num,0))&amp;"",""))</f>
        <v/>
      </c>
      <c r="N797" s="59" t="str">
        <f>IF(COUNTA(A797:G797)=0,"",IF(A797="","N° devis manquant",IF(ISNA(MATCH(A797,dv_num,0)),"Devis inconnu",IF(AND(B797&lt;&gt;"",ISNA(MATCH(B797,pr_code,0))),"Article inconnu",IF(H797="","Désignation manquante",IF(OR(NOT(ISNUMBER(D797)),N(D797)&lt;=0),"Quantité invalide",IF(J797="","Prix manquant",IF(OR(NOT(ISNUMBER(J797)),N(J797)&lt;0),"Prix invalide",IF(OR(AND(F797&lt;&gt;"",NOT(ISNUMBER(F797))),N(F797)&lt;0,N(F797)&gt;1),"Remise invalide",IF(K797="","Taux de TVA manquant",IF(NOT(ISNUMBER(K797)),"Taux de TVA invalide",IF(COUNTIF(p_rates,K797)=0,"Taux de TVA hors liste (Paramètres)",IF(N(O797)&gt;25,"Au-delà de 25 lignes : non imprimée","OK")))))))))))))</f>
        <v/>
      </c>
      <c r="O797" s="59" t="str">
        <f>IF(A797="","",COUNTIF($A$6:A797,A797))</f>
        <v/>
      </c>
      <c r="P797" s="62" t="str">
        <f>IF(A797="","",A797&amp;"|"&amp;O797)</f>
        <v/>
      </c>
    </row>
    <row r="798">
      <c r="A798" s="60" t="n"/>
      <c r="B798" s="63" t="n"/>
      <c r="C798" s="63" t="n"/>
      <c r="D798" s="67" t="n"/>
      <c r="E798" s="68" t="n"/>
      <c r="F798" s="69" t="n"/>
      <c r="G798" s="70" t="n"/>
      <c r="H798" s="62" t="str">
        <f>IF(COUNTA(A798:G798)=0,"",IF(C798&lt;&gt;"",C798,IF(B798="","",IFERROR(INDEX(pr_des,MATCH(B798,pr_code,0))&amp;"",""))))</f>
        <v/>
      </c>
      <c r="I798" s="59" t="str">
        <f>IF(B798="","",IFERROR(INDEX(pr_unit,MATCH(B798,pr_code,0))&amp;"",""))</f>
        <v/>
      </c>
      <c r="J798" s="65" t="str">
        <f>IF(COUNTA(A798:G798)=0,"",IF(E798&lt;&gt;"",E798,IF(B798="","",IFERROR(IF(INDEX(pr_price,MATCH(B798,pr_code,0))="","",INDEX(pr_price,MATCH(B798,pr_code,0))),""))))</f>
        <v/>
      </c>
      <c r="K798" s="71" t="str">
        <f>IF(COUNTA(A798:G798)=0,"",IF(G798&lt;&gt;"",G798,IF(B798="","",IFERROR(IF(INDEX(pr_rate,MATCH(B798,pr_code,0))="","",INDEX(pr_rate,MATCH(B798,pr_code,0))),""))))</f>
        <v/>
      </c>
      <c r="L798" s="65" t="str">
        <f>IF(COUNTA(A798:G798)=0,"",IF(AND(ISNUMBER(D798),ISNUMBER(J798)),ROUND(D798*J798*(1-N(F798)),2),0))</f>
        <v/>
      </c>
      <c r="M798" s="62" t="str">
        <f>IF(A798="","",IFERROR(INDEX(dv_cname,MATCH(A798,dv_num,0))&amp;"",""))</f>
        <v/>
      </c>
      <c r="N798" s="59" t="str">
        <f>IF(COUNTA(A798:G798)=0,"",IF(A798="","N° devis manquant",IF(ISNA(MATCH(A798,dv_num,0)),"Devis inconnu",IF(AND(B798&lt;&gt;"",ISNA(MATCH(B798,pr_code,0))),"Article inconnu",IF(H798="","Désignation manquante",IF(OR(NOT(ISNUMBER(D798)),N(D798)&lt;=0),"Quantité invalide",IF(J798="","Prix manquant",IF(OR(NOT(ISNUMBER(J798)),N(J798)&lt;0),"Prix invalide",IF(OR(AND(F798&lt;&gt;"",NOT(ISNUMBER(F798))),N(F798)&lt;0,N(F798)&gt;1),"Remise invalide",IF(K798="","Taux de TVA manquant",IF(NOT(ISNUMBER(K798)),"Taux de TVA invalide",IF(COUNTIF(p_rates,K798)=0,"Taux de TVA hors liste (Paramètres)",IF(N(O798)&gt;25,"Au-delà de 25 lignes : non imprimée","OK")))))))))))))</f>
        <v/>
      </c>
      <c r="O798" s="59" t="str">
        <f>IF(A798="","",COUNTIF($A$6:A798,A798))</f>
        <v/>
      </c>
      <c r="P798" s="62" t="str">
        <f>IF(A798="","",A798&amp;"|"&amp;O798)</f>
        <v/>
      </c>
    </row>
    <row r="799">
      <c r="A799" s="60" t="n"/>
      <c r="B799" s="63" t="n"/>
      <c r="C799" s="63" t="n"/>
      <c r="D799" s="67" t="n"/>
      <c r="E799" s="68" t="n"/>
      <c r="F799" s="69" t="n"/>
      <c r="G799" s="70" t="n"/>
      <c r="H799" s="62" t="str">
        <f>IF(COUNTA(A799:G799)=0,"",IF(C799&lt;&gt;"",C799,IF(B799="","",IFERROR(INDEX(pr_des,MATCH(B799,pr_code,0))&amp;"",""))))</f>
        <v/>
      </c>
      <c r="I799" s="59" t="str">
        <f>IF(B799="","",IFERROR(INDEX(pr_unit,MATCH(B799,pr_code,0))&amp;"",""))</f>
        <v/>
      </c>
      <c r="J799" s="65" t="str">
        <f>IF(COUNTA(A799:G799)=0,"",IF(E799&lt;&gt;"",E799,IF(B799="","",IFERROR(IF(INDEX(pr_price,MATCH(B799,pr_code,0))="","",INDEX(pr_price,MATCH(B799,pr_code,0))),""))))</f>
        <v/>
      </c>
      <c r="K799" s="71" t="str">
        <f>IF(COUNTA(A799:G799)=0,"",IF(G799&lt;&gt;"",G799,IF(B799="","",IFERROR(IF(INDEX(pr_rate,MATCH(B799,pr_code,0))="","",INDEX(pr_rate,MATCH(B799,pr_code,0))),""))))</f>
        <v/>
      </c>
      <c r="L799" s="65" t="str">
        <f>IF(COUNTA(A799:G799)=0,"",IF(AND(ISNUMBER(D799),ISNUMBER(J799)),ROUND(D799*J799*(1-N(F799)),2),0))</f>
        <v/>
      </c>
      <c r="M799" s="62" t="str">
        <f>IF(A799="","",IFERROR(INDEX(dv_cname,MATCH(A799,dv_num,0))&amp;"",""))</f>
        <v/>
      </c>
      <c r="N799" s="59" t="str">
        <f>IF(COUNTA(A799:G799)=0,"",IF(A799="","N° devis manquant",IF(ISNA(MATCH(A799,dv_num,0)),"Devis inconnu",IF(AND(B799&lt;&gt;"",ISNA(MATCH(B799,pr_code,0))),"Article inconnu",IF(H799="","Désignation manquante",IF(OR(NOT(ISNUMBER(D799)),N(D799)&lt;=0),"Quantité invalide",IF(J799="","Prix manquant",IF(OR(NOT(ISNUMBER(J799)),N(J799)&lt;0),"Prix invalide",IF(OR(AND(F799&lt;&gt;"",NOT(ISNUMBER(F799))),N(F799)&lt;0,N(F799)&gt;1),"Remise invalide",IF(K799="","Taux de TVA manquant",IF(NOT(ISNUMBER(K799)),"Taux de TVA invalide",IF(COUNTIF(p_rates,K799)=0,"Taux de TVA hors liste (Paramètres)",IF(N(O799)&gt;25,"Au-delà de 25 lignes : non imprimée","OK")))))))))))))</f>
        <v/>
      </c>
      <c r="O799" s="59" t="str">
        <f>IF(A799="","",COUNTIF($A$6:A799,A799))</f>
        <v/>
      </c>
      <c r="P799" s="62" t="str">
        <f>IF(A799="","",A799&amp;"|"&amp;O799)</f>
        <v/>
      </c>
    </row>
    <row r="800">
      <c r="A800" s="60" t="n"/>
      <c r="B800" s="63" t="n"/>
      <c r="C800" s="63" t="n"/>
      <c r="D800" s="67" t="n"/>
      <c r="E800" s="68" t="n"/>
      <c r="F800" s="69" t="n"/>
      <c r="G800" s="70" t="n"/>
      <c r="H800" s="62" t="str">
        <f>IF(COUNTA(A800:G800)=0,"",IF(C800&lt;&gt;"",C800,IF(B800="","",IFERROR(INDEX(pr_des,MATCH(B800,pr_code,0))&amp;"",""))))</f>
        <v/>
      </c>
      <c r="I800" s="59" t="str">
        <f>IF(B800="","",IFERROR(INDEX(pr_unit,MATCH(B800,pr_code,0))&amp;"",""))</f>
        <v/>
      </c>
      <c r="J800" s="65" t="str">
        <f>IF(COUNTA(A800:G800)=0,"",IF(E800&lt;&gt;"",E800,IF(B800="","",IFERROR(IF(INDEX(pr_price,MATCH(B800,pr_code,0))="","",INDEX(pr_price,MATCH(B800,pr_code,0))),""))))</f>
        <v/>
      </c>
      <c r="K800" s="71" t="str">
        <f>IF(COUNTA(A800:G800)=0,"",IF(G800&lt;&gt;"",G800,IF(B800="","",IFERROR(IF(INDEX(pr_rate,MATCH(B800,pr_code,0))="","",INDEX(pr_rate,MATCH(B800,pr_code,0))),""))))</f>
        <v/>
      </c>
      <c r="L800" s="65" t="str">
        <f>IF(COUNTA(A800:G800)=0,"",IF(AND(ISNUMBER(D800),ISNUMBER(J800)),ROUND(D800*J800*(1-N(F800)),2),0))</f>
        <v/>
      </c>
      <c r="M800" s="62" t="str">
        <f>IF(A800="","",IFERROR(INDEX(dv_cname,MATCH(A800,dv_num,0))&amp;"",""))</f>
        <v/>
      </c>
      <c r="N800" s="59" t="str">
        <f>IF(COUNTA(A800:G800)=0,"",IF(A800="","N° devis manquant",IF(ISNA(MATCH(A800,dv_num,0)),"Devis inconnu",IF(AND(B800&lt;&gt;"",ISNA(MATCH(B800,pr_code,0))),"Article inconnu",IF(H800="","Désignation manquante",IF(OR(NOT(ISNUMBER(D800)),N(D800)&lt;=0),"Quantité invalide",IF(J800="","Prix manquant",IF(OR(NOT(ISNUMBER(J800)),N(J800)&lt;0),"Prix invalide",IF(OR(AND(F800&lt;&gt;"",NOT(ISNUMBER(F800))),N(F800)&lt;0,N(F800)&gt;1),"Remise invalide",IF(K800="","Taux de TVA manquant",IF(NOT(ISNUMBER(K800)),"Taux de TVA invalide",IF(COUNTIF(p_rates,K800)=0,"Taux de TVA hors liste (Paramètres)",IF(N(O800)&gt;25,"Au-delà de 25 lignes : non imprimée","OK")))))))))))))</f>
        <v/>
      </c>
      <c r="O800" s="59" t="str">
        <f>IF(A800="","",COUNTIF($A$6:A800,A800))</f>
        <v/>
      </c>
      <c r="P800" s="62" t="str">
        <f>IF(A800="","",A800&amp;"|"&amp;O800)</f>
        <v/>
      </c>
    </row>
    <row r="801">
      <c r="A801" s="60" t="n"/>
      <c r="B801" s="63" t="n"/>
      <c r="C801" s="63" t="n"/>
      <c r="D801" s="67" t="n"/>
      <c r="E801" s="68" t="n"/>
      <c r="F801" s="69" t="n"/>
      <c r="G801" s="70" t="n"/>
      <c r="H801" s="62" t="str">
        <f>IF(COUNTA(A801:G801)=0,"",IF(C801&lt;&gt;"",C801,IF(B801="","",IFERROR(INDEX(pr_des,MATCH(B801,pr_code,0))&amp;"",""))))</f>
        <v/>
      </c>
      <c r="I801" s="59" t="str">
        <f>IF(B801="","",IFERROR(INDEX(pr_unit,MATCH(B801,pr_code,0))&amp;"",""))</f>
        <v/>
      </c>
      <c r="J801" s="65" t="str">
        <f>IF(COUNTA(A801:G801)=0,"",IF(E801&lt;&gt;"",E801,IF(B801="","",IFERROR(IF(INDEX(pr_price,MATCH(B801,pr_code,0))="","",INDEX(pr_price,MATCH(B801,pr_code,0))),""))))</f>
        <v/>
      </c>
      <c r="K801" s="71" t="str">
        <f>IF(COUNTA(A801:G801)=0,"",IF(G801&lt;&gt;"",G801,IF(B801="","",IFERROR(IF(INDEX(pr_rate,MATCH(B801,pr_code,0))="","",INDEX(pr_rate,MATCH(B801,pr_code,0))),""))))</f>
        <v/>
      </c>
      <c r="L801" s="65" t="str">
        <f>IF(COUNTA(A801:G801)=0,"",IF(AND(ISNUMBER(D801),ISNUMBER(J801)),ROUND(D801*J801*(1-N(F801)),2),0))</f>
        <v/>
      </c>
      <c r="M801" s="62" t="str">
        <f>IF(A801="","",IFERROR(INDEX(dv_cname,MATCH(A801,dv_num,0))&amp;"",""))</f>
        <v/>
      </c>
      <c r="N801" s="59" t="str">
        <f>IF(COUNTA(A801:G801)=0,"",IF(A801="","N° devis manquant",IF(ISNA(MATCH(A801,dv_num,0)),"Devis inconnu",IF(AND(B801&lt;&gt;"",ISNA(MATCH(B801,pr_code,0))),"Article inconnu",IF(H801="","Désignation manquante",IF(OR(NOT(ISNUMBER(D801)),N(D801)&lt;=0),"Quantité invalide",IF(J801="","Prix manquant",IF(OR(NOT(ISNUMBER(J801)),N(J801)&lt;0),"Prix invalide",IF(OR(AND(F801&lt;&gt;"",NOT(ISNUMBER(F801))),N(F801)&lt;0,N(F801)&gt;1),"Remise invalide",IF(K801="","Taux de TVA manquant",IF(NOT(ISNUMBER(K801)),"Taux de TVA invalide",IF(COUNTIF(p_rates,K801)=0,"Taux de TVA hors liste (Paramètres)",IF(N(O801)&gt;25,"Au-delà de 25 lignes : non imprimée","OK")))))))))))))</f>
        <v/>
      </c>
      <c r="O801" s="59" t="str">
        <f>IF(A801="","",COUNTIF($A$6:A801,A801))</f>
        <v/>
      </c>
      <c r="P801" s="62" t="str">
        <f>IF(A801="","",A801&amp;"|"&amp;O801)</f>
        <v/>
      </c>
    </row>
    <row r="802">
      <c r="A802" s="60" t="n"/>
      <c r="B802" s="63" t="n"/>
      <c r="C802" s="63" t="n"/>
      <c r="D802" s="67" t="n"/>
      <c r="E802" s="68" t="n"/>
      <c r="F802" s="69" t="n"/>
      <c r="G802" s="70" t="n"/>
      <c r="H802" s="62" t="str">
        <f>IF(COUNTA(A802:G802)=0,"",IF(C802&lt;&gt;"",C802,IF(B802="","",IFERROR(INDEX(pr_des,MATCH(B802,pr_code,0))&amp;"",""))))</f>
        <v/>
      </c>
      <c r="I802" s="59" t="str">
        <f>IF(B802="","",IFERROR(INDEX(pr_unit,MATCH(B802,pr_code,0))&amp;"",""))</f>
        <v/>
      </c>
      <c r="J802" s="65" t="str">
        <f>IF(COUNTA(A802:G802)=0,"",IF(E802&lt;&gt;"",E802,IF(B802="","",IFERROR(IF(INDEX(pr_price,MATCH(B802,pr_code,0))="","",INDEX(pr_price,MATCH(B802,pr_code,0))),""))))</f>
        <v/>
      </c>
      <c r="K802" s="71" t="str">
        <f>IF(COUNTA(A802:G802)=0,"",IF(G802&lt;&gt;"",G802,IF(B802="","",IFERROR(IF(INDEX(pr_rate,MATCH(B802,pr_code,0))="","",INDEX(pr_rate,MATCH(B802,pr_code,0))),""))))</f>
        <v/>
      </c>
      <c r="L802" s="65" t="str">
        <f>IF(COUNTA(A802:G802)=0,"",IF(AND(ISNUMBER(D802),ISNUMBER(J802)),ROUND(D802*J802*(1-N(F802)),2),0))</f>
        <v/>
      </c>
      <c r="M802" s="62" t="str">
        <f>IF(A802="","",IFERROR(INDEX(dv_cname,MATCH(A802,dv_num,0))&amp;"",""))</f>
        <v/>
      </c>
      <c r="N802" s="59" t="str">
        <f>IF(COUNTA(A802:G802)=0,"",IF(A802="","N° devis manquant",IF(ISNA(MATCH(A802,dv_num,0)),"Devis inconnu",IF(AND(B802&lt;&gt;"",ISNA(MATCH(B802,pr_code,0))),"Article inconnu",IF(H802="","Désignation manquante",IF(OR(NOT(ISNUMBER(D802)),N(D802)&lt;=0),"Quantité invalide",IF(J802="","Prix manquant",IF(OR(NOT(ISNUMBER(J802)),N(J802)&lt;0),"Prix invalide",IF(OR(AND(F802&lt;&gt;"",NOT(ISNUMBER(F802))),N(F802)&lt;0,N(F802)&gt;1),"Remise invalide",IF(K802="","Taux de TVA manquant",IF(NOT(ISNUMBER(K802)),"Taux de TVA invalide",IF(COUNTIF(p_rates,K802)=0,"Taux de TVA hors liste (Paramètres)",IF(N(O802)&gt;25,"Au-delà de 25 lignes : non imprimée","OK")))))))))))))</f>
        <v/>
      </c>
      <c r="O802" s="59" t="str">
        <f>IF(A802="","",COUNTIF($A$6:A802,A802))</f>
        <v/>
      </c>
      <c r="P802" s="62" t="str">
        <f>IF(A802="","",A802&amp;"|"&amp;O802)</f>
        <v/>
      </c>
    </row>
    <row r="803">
      <c r="A803" s="60" t="n"/>
      <c r="B803" s="63" t="n"/>
      <c r="C803" s="63" t="n"/>
      <c r="D803" s="67" t="n"/>
      <c r="E803" s="68" t="n"/>
      <c r="F803" s="69" t="n"/>
      <c r="G803" s="70" t="n"/>
      <c r="H803" s="62" t="str">
        <f>IF(COUNTA(A803:G803)=0,"",IF(C803&lt;&gt;"",C803,IF(B803="","",IFERROR(INDEX(pr_des,MATCH(B803,pr_code,0))&amp;"",""))))</f>
        <v/>
      </c>
      <c r="I803" s="59" t="str">
        <f>IF(B803="","",IFERROR(INDEX(pr_unit,MATCH(B803,pr_code,0))&amp;"",""))</f>
        <v/>
      </c>
      <c r="J803" s="65" t="str">
        <f>IF(COUNTA(A803:G803)=0,"",IF(E803&lt;&gt;"",E803,IF(B803="","",IFERROR(IF(INDEX(pr_price,MATCH(B803,pr_code,0))="","",INDEX(pr_price,MATCH(B803,pr_code,0))),""))))</f>
        <v/>
      </c>
      <c r="K803" s="71" t="str">
        <f>IF(COUNTA(A803:G803)=0,"",IF(G803&lt;&gt;"",G803,IF(B803="","",IFERROR(IF(INDEX(pr_rate,MATCH(B803,pr_code,0))="","",INDEX(pr_rate,MATCH(B803,pr_code,0))),""))))</f>
        <v/>
      </c>
      <c r="L803" s="65" t="str">
        <f>IF(COUNTA(A803:G803)=0,"",IF(AND(ISNUMBER(D803),ISNUMBER(J803)),ROUND(D803*J803*(1-N(F803)),2),0))</f>
        <v/>
      </c>
      <c r="M803" s="62" t="str">
        <f>IF(A803="","",IFERROR(INDEX(dv_cname,MATCH(A803,dv_num,0))&amp;"",""))</f>
        <v/>
      </c>
      <c r="N803" s="59" t="str">
        <f>IF(COUNTA(A803:G803)=0,"",IF(A803="","N° devis manquant",IF(ISNA(MATCH(A803,dv_num,0)),"Devis inconnu",IF(AND(B803&lt;&gt;"",ISNA(MATCH(B803,pr_code,0))),"Article inconnu",IF(H803="","Désignation manquante",IF(OR(NOT(ISNUMBER(D803)),N(D803)&lt;=0),"Quantité invalide",IF(J803="","Prix manquant",IF(OR(NOT(ISNUMBER(J803)),N(J803)&lt;0),"Prix invalide",IF(OR(AND(F803&lt;&gt;"",NOT(ISNUMBER(F803))),N(F803)&lt;0,N(F803)&gt;1),"Remise invalide",IF(K803="","Taux de TVA manquant",IF(NOT(ISNUMBER(K803)),"Taux de TVA invalide",IF(COUNTIF(p_rates,K803)=0,"Taux de TVA hors liste (Paramètres)",IF(N(O803)&gt;25,"Au-delà de 25 lignes : non imprimée","OK")))))))))))))</f>
        <v/>
      </c>
      <c r="O803" s="59" t="str">
        <f>IF(A803="","",COUNTIF($A$6:A803,A803))</f>
        <v/>
      </c>
      <c r="P803" s="62" t="str">
        <f>IF(A803="","",A803&amp;"|"&amp;O803)</f>
        <v/>
      </c>
    </row>
    <row r="804">
      <c r="A804" s="60" t="n"/>
      <c r="B804" s="63" t="n"/>
      <c r="C804" s="63" t="n"/>
      <c r="D804" s="67" t="n"/>
      <c r="E804" s="68" t="n"/>
      <c r="F804" s="69" t="n"/>
      <c r="G804" s="70" t="n"/>
      <c r="H804" s="62" t="str">
        <f>IF(COUNTA(A804:G804)=0,"",IF(C804&lt;&gt;"",C804,IF(B804="","",IFERROR(INDEX(pr_des,MATCH(B804,pr_code,0))&amp;"",""))))</f>
        <v/>
      </c>
      <c r="I804" s="59" t="str">
        <f>IF(B804="","",IFERROR(INDEX(pr_unit,MATCH(B804,pr_code,0))&amp;"",""))</f>
        <v/>
      </c>
      <c r="J804" s="65" t="str">
        <f>IF(COUNTA(A804:G804)=0,"",IF(E804&lt;&gt;"",E804,IF(B804="","",IFERROR(IF(INDEX(pr_price,MATCH(B804,pr_code,0))="","",INDEX(pr_price,MATCH(B804,pr_code,0))),""))))</f>
        <v/>
      </c>
      <c r="K804" s="71" t="str">
        <f>IF(COUNTA(A804:G804)=0,"",IF(G804&lt;&gt;"",G804,IF(B804="","",IFERROR(IF(INDEX(pr_rate,MATCH(B804,pr_code,0))="","",INDEX(pr_rate,MATCH(B804,pr_code,0))),""))))</f>
        <v/>
      </c>
      <c r="L804" s="65" t="str">
        <f>IF(COUNTA(A804:G804)=0,"",IF(AND(ISNUMBER(D804),ISNUMBER(J804)),ROUND(D804*J804*(1-N(F804)),2),0))</f>
        <v/>
      </c>
      <c r="M804" s="62" t="str">
        <f>IF(A804="","",IFERROR(INDEX(dv_cname,MATCH(A804,dv_num,0))&amp;"",""))</f>
        <v/>
      </c>
      <c r="N804" s="59" t="str">
        <f>IF(COUNTA(A804:G804)=0,"",IF(A804="","N° devis manquant",IF(ISNA(MATCH(A804,dv_num,0)),"Devis inconnu",IF(AND(B804&lt;&gt;"",ISNA(MATCH(B804,pr_code,0))),"Article inconnu",IF(H804="","Désignation manquante",IF(OR(NOT(ISNUMBER(D804)),N(D804)&lt;=0),"Quantité invalide",IF(J804="","Prix manquant",IF(OR(NOT(ISNUMBER(J804)),N(J804)&lt;0),"Prix invalide",IF(OR(AND(F804&lt;&gt;"",NOT(ISNUMBER(F804))),N(F804)&lt;0,N(F804)&gt;1),"Remise invalide",IF(K804="","Taux de TVA manquant",IF(NOT(ISNUMBER(K804)),"Taux de TVA invalide",IF(COUNTIF(p_rates,K804)=0,"Taux de TVA hors liste (Paramètres)",IF(N(O804)&gt;25,"Au-delà de 25 lignes : non imprimée","OK")))))))))))))</f>
        <v/>
      </c>
      <c r="O804" s="59" t="str">
        <f>IF(A804="","",COUNTIF($A$6:A804,A804))</f>
        <v/>
      </c>
      <c r="P804" s="62" t="str">
        <f>IF(A804="","",A804&amp;"|"&amp;O804)</f>
        <v/>
      </c>
    </row>
    <row r="805">
      <c r="A805" s="60" t="n"/>
      <c r="B805" s="63" t="n"/>
      <c r="C805" s="63" t="n"/>
      <c r="D805" s="67" t="n"/>
      <c r="E805" s="68" t="n"/>
      <c r="F805" s="69" t="n"/>
      <c r="G805" s="70" t="n"/>
      <c r="H805" s="62" t="str">
        <f>IF(COUNTA(A805:G805)=0,"",IF(C805&lt;&gt;"",C805,IF(B805="","",IFERROR(INDEX(pr_des,MATCH(B805,pr_code,0))&amp;"",""))))</f>
        <v/>
      </c>
      <c r="I805" s="59" t="str">
        <f>IF(B805="","",IFERROR(INDEX(pr_unit,MATCH(B805,pr_code,0))&amp;"",""))</f>
        <v/>
      </c>
      <c r="J805" s="65" t="str">
        <f>IF(COUNTA(A805:G805)=0,"",IF(E805&lt;&gt;"",E805,IF(B805="","",IFERROR(IF(INDEX(pr_price,MATCH(B805,pr_code,0))="","",INDEX(pr_price,MATCH(B805,pr_code,0))),""))))</f>
        <v/>
      </c>
      <c r="K805" s="71" t="str">
        <f>IF(COUNTA(A805:G805)=0,"",IF(G805&lt;&gt;"",G805,IF(B805="","",IFERROR(IF(INDEX(pr_rate,MATCH(B805,pr_code,0))="","",INDEX(pr_rate,MATCH(B805,pr_code,0))),""))))</f>
        <v/>
      </c>
      <c r="L805" s="65" t="str">
        <f>IF(COUNTA(A805:G805)=0,"",IF(AND(ISNUMBER(D805),ISNUMBER(J805)),ROUND(D805*J805*(1-N(F805)),2),0))</f>
        <v/>
      </c>
      <c r="M805" s="62" t="str">
        <f>IF(A805="","",IFERROR(INDEX(dv_cname,MATCH(A805,dv_num,0))&amp;"",""))</f>
        <v/>
      </c>
      <c r="N805" s="59" t="str">
        <f>IF(COUNTA(A805:G805)=0,"",IF(A805="","N° devis manquant",IF(ISNA(MATCH(A805,dv_num,0)),"Devis inconnu",IF(AND(B805&lt;&gt;"",ISNA(MATCH(B805,pr_code,0))),"Article inconnu",IF(H805="","Désignation manquante",IF(OR(NOT(ISNUMBER(D805)),N(D805)&lt;=0),"Quantité invalide",IF(J805="","Prix manquant",IF(OR(NOT(ISNUMBER(J805)),N(J805)&lt;0),"Prix invalide",IF(OR(AND(F805&lt;&gt;"",NOT(ISNUMBER(F805))),N(F805)&lt;0,N(F805)&gt;1),"Remise invalide",IF(K805="","Taux de TVA manquant",IF(NOT(ISNUMBER(K805)),"Taux de TVA invalide",IF(COUNTIF(p_rates,K805)=0,"Taux de TVA hors liste (Paramètres)",IF(N(O805)&gt;25,"Au-delà de 25 lignes : non imprimée","OK")))))))))))))</f>
        <v/>
      </c>
      <c r="O805" s="59" t="str">
        <f>IF(A805="","",COUNTIF($A$6:A805,A805))</f>
        <v/>
      </c>
      <c r="P805" s="62" t="str">
        <f>IF(A805="","",A805&amp;"|"&amp;O805)</f>
        <v/>
      </c>
    </row>
    <row r="806">
      <c r="A806" s="60" t="n"/>
      <c r="B806" s="63" t="n"/>
      <c r="C806" s="63" t="n"/>
      <c r="D806" s="67" t="n"/>
      <c r="E806" s="68" t="n"/>
      <c r="F806" s="69" t="n"/>
      <c r="G806" s="70" t="n"/>
      <c r="H806" s="62" t="str">
        <f>IF(COUNTA(A806:G806)=0,"",IF(C806&lt;&gt;"",C806,IF(B806="","",IFERROR(INDEX(pr_des,MATCH(B806,pr_code,0))&amp;"",""))))</f>
        <v/>
      </c>
      <c r="I806" s="59" t="str">
        <f>IF(B806="","",IFERROR(INDEX(pr_unit,MATCH(B806,pr_code,0))&amp;"",""))</f>
        <v/>
      </c>
      <c r="J806" s="65" t="str">
        <f>IF(COUNTA(A806:G806)=0,"",IF(E806&lt;&gt;"",E806,IF(B806="","",IFERROR(IF(INDEX(pr_price,MATCH(B806,pr_code,0))="","",INDEX(pr_price,MATCH(B806,pr_code,0))),""))))</f>
        <v/>
      </c>
      <c r="K806" s="71" t="str">
        <f>IF(COUNTA(A806:G806)=0,"",IF(G806&lt;&gt;"",G806,IF(B806="","",IFERROR(IF(INDEX(pr_rate,MATCH(B806,pr_code,0))="","",INDEX(pr_rate,MATCH(B806,pr_code,0))),""))))</f>
        <v/>
      </c>
      <c r="L806" s="65" t="str">
        <f>IF(COUNTA(A806:G806)=0,"",IF(AND(ISNUMBER(D806),ISNUMBER(J806)),ROUND(D806*J806*(1-N(F806)),2),0))</f>
        <v/>
      </c>
      <c r="M806" s="62" t="str">
        <f>IF(A806="","",IFERROR(INDEX(dv_cname,MATCH(A806,dv_num,0))&amp;"",""))</f>
        <v/>
      </c>
      <c r="N806" s="59" t="str">
        <f>IF(COUNTA(A806:G806)=0,"",IF(A806="","N° devis manquant",IF(ISNA(MATCH(A806,dv_num,0)),"Devis inconnu",IF(AND(B806&lt;&gt;"",ISNA(MATCH(B806,pr_code,0))),"Article inconnu",IF(H806="","Désignation manquante",IF(OR(NOT(ISNUMBER(D806)),N(D806)&lt;=0),"Quantité invalide",IF(J806="","Prix manquant",IF(OR(NOT(ISNUMBER(J806)),N(J806)&lt;0),"Prix invalide",IF(OR(AND(F806&lt;&gt;"",NOT(ISNUMBER(F806))),N(F806)&lt;0,N(F806)&gt;1),"Remise invalide",IF(K806="","Taux de TVA manquant",IF(NOT(ISNUMBER(K806)),"Taux de TVA invalide",IF(COUNTIF(p_rates,K806)=0,"Taux de TVA hors liste (Paramètres)",IF(N(O806)&gt;25,"Au-delà de 25 lignes : non imprimée","OK")))))))))))))</f>
        <v/>
      </c>
      <c r="O806" s="59" t="str">
        <f>IF(A806="","",COUNTIF($A$6:A806,A806))</f>
        <v/>
      </c>
      <c r="P806" s="62" t="str">
        <f>IF(A806="","",A806&amp;"|"&amp;O806)</f>
        <v/>
      </c>
    </row>
    <row r="807">
      <c r="A807" s="60" t="n"/>
      <c r="B807" s="63" t="n"/>
      <c r="C807" s="63" t="n"/>
      <c r="D807" s="67" t="n"/>
      <c r="E807" s="68" t="n"/>
      <c r="F807" s="69" t="n"/>
      <c r="G807" s="70" t="n"/>
      <c r="H807" s="62" t="str">
        <f>IF(COUNTA(A807:G807)=0,"",IF(C807&lt;&gt;"",C807,IF(B807="","",IFERROR(INDEX(pr_des,MATCH(B807,pr_code,0))&amp;"",""))))</f>
        <v/>
      </c>
      <c r="I807" s="59" t="str">
        <f>IF(B807="","",IFERROR(INDEX(pr_unit,MATCH(B807,pr_code,0))&amp;"",""))</f>
        <v/>
      </c>
      <c r="J807" s="65" t="str">
        <f>IF(COUNTA(A807:G807)=0,"",IF(E807&lt;&gt;"",E807,IF(B807="","",IFERROR(IF(INDEX(pr_price,MATCH(B807,pr_code,0))="","",INDEX(pr_price,MATCH(B807,pr_code,0))),""))))</f>
        <v/>
      </c>
      <c r="K807" s="71" t="str">
        <f>IF(COUNTA(A807:G807)=0,"",IF(G807&lt;&gt;"",G807,IF(B807="","",IFERROR(IF(INDEX(pr_rate,MATCH(B807,pr_code,0))="","",INDEX(pr_rate,MATCH(B807,pr_code,0))),""))))</f>
        <v/>
      </c>
      <c r="L807" s="65" t="str">
        <f>IF(COUNTA(A807:G807)=0,"",IF(AND(ISNUMBER(D807),ISNUMBER(J807)),ROUND(D807*J807*(1-N(F807)),2),0))</f>
        <v/>
      </c>
      <c r="M807" s="62" t="str">
        <f>IF(A807="","",IFERROR(INDEX(dv_cname,MATCH(A807,dv_num,0))&amp;"",""))</f>
        <v/>
      </c>
      <c r="N807" s="59" t="str">
        <f>IF(COUNTA(A807:G807)=0,"",IF(A807="","N° devis manquant",IF(ISNA(MATCH(A807,dv_num,0)),"Devis inconnu",IF(AND(B807&lt;&gt;"",ISNA(MATCH(B807,pr_code,0))),"Article inconnu",IF(H807="","Désignation manquante",IF(OR(NOT(ISNUMBER(D807)),N(D807)&lt;=0),"Quantité invalide",IF(J807="","Prix manquant",IF(OR(NOT(ISNUMBER(J807)),N(J807)&lt;0),"Prix invalide",IF(OR(AND(F807&lt;&gt;"",NOT(ISNUMBER(F807))),N(F807)&lt;0,N(F807)&gt;1),"Remise invalide",IF(K807="","Taux de TVA manquant",IF(NOT(ISNUMBER(K807)),"Taux de TVA invalide",IF(COUNTIF(p_rates,K807)=0,"Taux de TVA hors liste (Paramètres)",IF(N(O807)&gt;25,"Au-delà de 25 lignes : non imprimée","OK")))))))))))))</f>
        <v/>
      </c>
      <c r="O807" s="59" t="str">
        <f>IF(A807="","",COUNTIF($A$6:A807,A807))</f>
        <v/>
      </c>
      <c r="P807" s="62" t="str">
        <f>IF(A807="","",A807&amp;"|"&amp;O807)</f>
        <v/>
      </c>
    </row>
    <row r="808">
      <c r="A808" s="60" t="n"/>
      <c r="B808" s="63" t="n"/>
      <c r="C808" s="63" t="n"/>
      <c r="D808" s="67" t="n"/>
      <c r="E808" s="68" t="n"/>
      <c r="F808" s="69" t="n"/>
      <c r="G808" s="70" t="n"/>
      <c r="H808" s="62" t="str">
        <f>IF(COUNTA(A808:G808)=0,"",IF(C808&lt;&gt;"",C808,IF(B808="","",IFERROR(INDEX(pr_des,MATCH(B808,pr_code,0))&amp;"",""))))</f>
        <v/>
      </c>
      <c r="I808" s="59" t="str">
        <f>IF(B808="","",IFERROR(INDEX(pr_unit,MATCH(B808,pr_code,0))&amp;"",""))</f>
        <v/>
      </c>
      <c r="J808" s="65" t="str">
        <f>IF(COUNTA(A808:G808)=0,"",IF(E808&lt;&gt;"",E808,IF(B808="","",IFERROR(IF(INDEX(pr_price,MATCH(B808,pr_code,0))="","",INDEX(pr_price,MATCH(B808,pr_code,0))),""))))</f>
        <v/>
      </c>
      <c r="K808" s="71" t="str">
        <f>IF(COUNTA(A808:G808)=0,"",IF(G808&lt;&gt;"",G808,IF(B808="","",IFERROR(IF(INDEX(pr_rate,MATCH(B808,pr_code,0))="","",INDEX(pr_rate,MATCH(B808,pr_code,0))),""))))</f>
        <v/>
      </c>
      <c r="L808" s="65" t="str">
        <f>IF(COUNTA(A808:G808)=0,"",IF(AND(ISNUMBER(D808),ISNUMBER(J808)),ROUND(D808*J808*(1-N(F808)),2),0))</f>
        <v/>
      </c>
      <c r="M808" s="62" t="str">
        <f>IF(A808="","",IFERROR(INDEX(dv_cname,MATCH(A808,dv_num,0))&amp;"",""))</f>
        <v/>
      </c>
      <c r="N808" s="59" t="str">
        <f>IF(COUNTA(A808:G808)=0,"",IF(A808="","N° devis manquant",IF(ISNA(MATCH(A808,dv_num,0)),"Devis inconnu",IF(AND(B808&lt;&gt;"",ISNA(MATCH(B808,pr_code,0))),"Article inconnu",IF(H808="","Désignation manquante",IF(OR(NOT(ISNUMBER(D808)),N(D808)&lt;=0),"Quantité invalide",IF(J808="","Prix manquant",IF(OR(NOT(ISNUMBER(J808)),N(J808)&lt;0),"Prix invalide",IF(OR(AND(F808&lt;&gt;"",NOT(ISNUMBER(F808))),N(F808)&lt;0,N(F808)&gt;1),"Remise invalide",IF(K808="","Taux de TVA manquant",IF(NOT(ISNUMBER(K808)),"Taux de TVA invalide",IF(COUNTIF(p_rates,K808)=0,"Taux de TVA hors liste (Paramètres)",IF(N(O808)&gt;25,"Au-delà de 25 lignes : non imprimée","OK")))))))))))))</f>
        <v/>
      </c>
      <c r="O808" s="59" t="str">
        <f>IF(A808="","",COUNTIF($A$6:A808,A808))</f>
        <v/>
      </c>
      <c r="P808" s="62" t="str">
        <f>IF(A808="","",A808&amp;"|"&amp;O808)</f>
        <v/>
      </c>
    </row>
    <row r="809">
      <c r="A809" s="60" t="n"/>
      <c r="B809" s="63" t="n"/>
      <c r="C809" s="63" t="n"/>
      <c r="D809" s="67" t="n"/>
      <c r="E809" s="68" t="n"/>
      <c r="F809" s="69" t="n"/>
      <c r="G809" s="70" t="n"/>
      <c r="H809" s="62" t="str">
        <f>IF(COUNTA(A809:G809)=0,"",IF(C809&lt;&gt;"",C809,IF(B809="","",IFERROR(INDEX(pr_des,MATCH(B809,pr_code,0))&amp;"",""))))</f>
        <v/>
      </c>
      <c r="I809" s="59" t="str">
        <f>IF(B809="","",IFERROR(INDEX(pr_unit,MATCH(B809,pr_code,0))&amp;"",""))</f>
        <v/>
      </c>
      <c r="J809" s="65" t="str">
        <f>IF(COUNTA(A809:G809)=0,"",IF(E809&lt;&gt;"",E809,IF(B809="","",IFERROR(IF(INDEX(pr_price,MATCH(B809,pr_code,0))="","",INDEX(pr_price,MATCH(B809,pr_code,0))),""))))</f>
        <v/>
      </c>
      <c r="K809" s="71" t="str">
        <f>IF(COUNTA(A809:G809)=0,"",IF(G809&lt;&gt;"",G809,IF(B809="","",IFERROR(IF(INDEX(pr_rate,MATCH(B809,pr_code,0))="","",INDEX(pr_rate,MATCH(B809,pr_code,0))),""))))</f>
        <v/>
      </c>
      <c r="L809" s="65" t="str">
        <f>IF(COUNTA(A809:G809)=0,"",IF(AND(ISNUMBER(D809),ISNUMBER(J809)),ROUND(D809*J809*(1-N(F809)),2),0))</f>
        <v/>
      </c>
      <c r="M809" s="62" t="str">
        <f>IF(A809="","",IFERROR(INDEX(dv_cname,MATCH(A809,dv_num,0))&amp;"",""))</f>
        <v/>
      </c>
      <c r="N809" s="59" t="str">
        <f>IF(COUNTA(A809:G809)=0,"",IF(A809="","N° devis manquant",IF(ISNA(MATCH(A809,dv_num,0)),"Devis inconnu",IF(AND(B809&lt;&gt;"",ISNA(MATCH(B809,pr_code,0))),"Article inconnu",IF(H809="","Désignation manquante",IF(OR(NOT(ISNUMBER(D809)),N(D809)&lt;=0),"Quantité invalide",IF(J809="","Prix manquant",IF(OR(NOT(ISNUMBER(J809)),N(J809)&lt;0),"Prix invalide",IF(OR(AND(F809&lt;&gt;"",NOT(ISNUMBER(F809))),N(F809)&lt;0,N(F809)&gt;1),"Remise invalide",IF(K809="","Taux de TVA manquant",IF(NOT(ISNUMBER(K809)),"Taux de TVA invalide",IF(COUNTIF(p_rates,K809)=0,"Taux de TVA hors liste (Paramètres)",IF(N(O809)&gt;25,"Au-delà de 25 lignes : non imprimée","OK")))))))))))))</f>
        <v/>
      </c>
      <c r="O809" s="59" t="str">
        <f>IF(A809="","",COUNTIF($A$6:A809,A809))</f>
        <v/>
      </c>
      <c r="P809" s="62" t="str">
        <f>IF(A809="","",A809&amp;"|"&amp;O809)</f>
        <v/>
      </c>
    </row>
    <row r="810">
      <c r="A810" s="60" t="n"/>
      <c r="B810" s="63" t="n"/>
      <c r="C810" s="63" t="n"/>
      <c r="D810" s="67" t="n"/>
      <c r="E810" s="68" t="n"/>
      <c r="F810" s="69" t="n"/>
      <c r="G810" s="70" t="n"/>
      <c r="H810" s="62" t="str">
        <f>IF(COUNTA(A810:G810)=0,"",IF(C810&lt;&gt;"",C810,IF(B810="","",IFERROR(INDEX(pr_des,MATCH(B810,pr_code,0))&amp;"",""))))</f>
        <v/>
      </c>
      <c r="I810" s="59" t="str">
        <f>IF(B810="","",IFERROR(INDEX(pr_unit,MATCH(B810,pr_code,0))&amp;"",""))</f>
        <v/>
      </c>
      <c r="J810" s="65" t="str">
        <f>IF(COUNTA(A810:G810)=0,"",IF(E810&lt;&gt;"",E810,IF(B810="","",IFERROR(IF(INDEX(pr_price,MATCH(B810,pr_code,0))="","",INDEX(pr_price,MATCH(B810,pr_code,0))),""))))</f>
        <v/>
      </c>
      <c r="K810" s="71" t="str">
        <f>IF(COUNTA(A810:G810)=0,"",IF(G810&lt;&gt;"",G810,IF(B810="","",IFERROR(IF(INDEX(pr_rate,MATCH(B810,pr_code,0))="","",INDEX(pr_rate,MATCH(B810,pr_code,0))),""))))</f>
        <v/>
      </c>
      <c r="L810" s="65" t="str">
        <f>IF(COUNTA(A810:G810)=0,"",IF(AND(ISNUMBER(D810),ISNUMBER(J810)),ROUND(D810*J810*(1-N(F810)),2),0))</f>
        <v/>
      </c>
      <c r="M810" s="62" t="str">
        <f>IF(A810="","",IFERROR(INDEX(dv_cname,MATCH(A810,dv_num,0))&amp;"",""))</f>
        <v/>
      </c>
      <c r="N810" s="59" t="str">
        <f>IF(COUNTA(A810:G810)=0,"",IF(A810="","N° devis manquant",IF(ISNA(MATCH(A810,dv_num,0)),"Devis inconnu",IF(AND(B810&lt;&gt;"",ISNA(MATCH(B810,pr_code,0))),"Article inconnu",IF(H810="","Désignation manquante",IF(OR(NOT(ISNUMBER(D810)),N(D810)&lt;=0),"Quantité invalide",IF(J810="","Prix manquant",IF(OR(NOT(ISNUMBER(J810)),N(J810)&lt;0),"Prix invalide",IF(OR(AND(F810&lt;&gt;"",NOT(ISNUMBER(F810))),N(F810)&lt;0,N(F810)&gt;1),"Remise invalide",IF(K810="","Taux de TVA manquant",IF(NOT(ISNUMBER(K810)),"Taux de TVA invalide",IF(COUNTIF(p_rates,K810)=0,"Taux de TVA hors liste (Paramètres)",IF(N(O810)&gt;25,"Au-delà de 25 lignes : non imprimée","OK")))))))))))))</f>
        <v/>
      </c>
      <c r="O810" s="59" t="str">
        <f>IF(A810="","",COUNTIF($A$6:A810,A810))</f>
        <v/>
      </c>
      <c r="P810" s="62" t="str">
        <f>IF(A810="","",A810&amp;"|"&amp;O810)</f>
        <v/>
      </c>
    </row>
    <row r="811">
      <c r="A811" s="60" t="n"/>
      <c r="B811" s="63" t="n"/>
      <c r="C811" s="63" t="n"/>
      <c r="D811" s="67" t="n"/>
      <c r="E811" s="68" t="n"/>
      <c r="F811" s="69" t="n"/>
      <c r="G811" s="70" t="n"/>
      <c r="H811" s="62" t="str">
        <f>IF(COUNTA(A811:G811)=0,"",IF(C811&lt;&gt;"",C811,IF(B811="","",IFERROR(INDEX(pr_des,MATCH(B811,pr_code,0))&amp;"",""))))</f>
        <v/>
      </c>
      <c r="I811" s="59" t="str">
        <f>IF(B811="","",IFERROR(INDEX(pr_unit,MATCH(B811,pr_code,0))&amp;"",""))</f>
        <v/>
      </c>
      <c r="J811" s="65" t="str">
        <f>IF(COUNTA(A811:G811)=0,"",IF(E811&lt;&gt;"",E811,IF(B811="","",IFERROR(IF(INDEX(pr_price,MATCH(B811,pr_code,0))="","",INDEX(pr_price,MATCH(B811,pr_code,0))),""))))</f>
        <v/>
      </c>
      <c r="K811" s="71" t="str">
        <f>IF(COUNTA(A811:G811)=0,"",IF(G811&lt;&gt;"",G811,IF(B811="","",IFERROR(IF(INDEX(pr_rate,MATCH(B811,pr_code,0))="","",INDEX(pr_rate,MATCH(B811,pr_code,0))),""))))</f>
        <v/>
      </c>
      <c r="L811" s="65" t="str">
        <f>IF(COUNTA(A811:G811)=0,"",IF(AND(ISNUMBER(D811),ISNUMBER(J811)),ROUND(D811*J811*(1-N(F811)),2),0))</f>
        <v/>
      </c>
      <c r="M811" s="62" t="str">
        <f>IF(A811="","",IFERROR(INDEX(dv_cname,MATCH(A811,dv_num,0))&amp;"",""))</f>
        <v/>
      </c>
      <c r="N811" s="59" t="str">
        <f>IF(COUNTA(A811:G811)=0,"",IF(A811="","N° devis manquant",IF(ISNA(MATCH(A811,dv_num,0)),"Devis inconnu",IF(AND(B811&lt;&gt;"",ISNA(MATCH(B811,pr_code,0))),"Article inconnu",IF(H811="","Désignation manquante",IF(OR(NOT(ISNUMBER(D811)),N(D811)&lt;=0),"Quantité invalide",IF(J811="","Prix manquant",IF(OR(NOT(ISNUMBER(J811)),N(J811)&lt;0),"Prix invalide",IF(OR(AND(F811&lt;&gt;"",NOT(ISNUMBER(F811))),N(F811)&lt;0,N(F811)&gt;1),"Remise invalide",IF(K811="","Taux de TVA manquant",IF(NOT(ISNUMBER(K811)),"Taux de TVA invalide",IF(COUNTIF(p_rates,K811)=0,"Taux de TVA hors liste (Paramètres)",IF(N(O811)&gt;25,"Au-delà de 25 lignes : non imprimée","OK")))))))))))))</f>
        <v/>
      </c>
      <c r="O811" s="59" t="str">
        <f>IF(A811="","",COUNTIF($A$6:A811,A811))</f>
        <v/>
      </c>
      <c r="P811" s="62" t="str">
        <f>IF(A811="","",A811&amp;"|"&amp;O811)</f>
        <v/>
      </c>
    </row>
    <row r="812">
      <c r="A812" s="60" t="n"/>
      <c r="B812" s="63" t="n"/>
      <c r="C812" s="63" t="n"/>
      <c r="D812" s="67" t="n"/>
      <c r="E812" s="68" t="n"/>
      <c r="F812" s="69" t="n"/>
      <c r="G812" s="70" t="n"/>
      <c r="H812" s="62" t="str">
        <f>IF(COUNTA(A812:G812)=0,"",IF(C812&lt;&gt;"",C812,IF(B812="","",IFERROR(INDEX(pr_des,MATCH(B812,pr_code,0))&amp;"",""))))</f>
        <v/>
      </c>
      <c r="I812" s="59" t="str">
        <f>IF(B812="","",IFERROR(INDEX(pr_unit,MATCH(B812,pr_code,0))&amp;"",""))</f>
        <v/>
      </c>
      <c r="J812" s="65" t="str">
        <f>IF(COUNTA(A812:G812)=0,"",IF(E812&lt;&gt;"",E812,IF(B812="","",IFERROR(IF(INDEX(pr_price,MATCH(B812,pr_code,0))="","",INDEX(pr_price,MATCH(B812,pr_code,0))),""))))</f>
        <v/>
      </c>
      <c r="K812" s="71" t="str">
        <f>IF(COUNTA(A812:G812)=0,"",IF(G812&lt;&gt;"",G812,IF(B812="","",IFERROR(IF(INDEX(pr_rate,MATCH(B812,pr_code,0))="","",INDEX(pr_rate,MATCH(B812,pr_code,0))),""))))</f>
        <v/>
      </c>
      <c r="L812" s="65" t="str">
        <f>IF(COUNTA(A812:G812)=0,"",IF(AND(ISNUMBER(D812),ISNUMBER(J812)),ROUND(D812*J812*(1-N(F812)),2),0))</f>
        <v/>
      </c>
      <c r="M812" s="62" t="str">
        <f>IF(A812="","",IFERROR(INDEX(dv_cname,MATCH(A812,dv_num,0))&amp;"",""))</f>
        <v/>
      </c>
      <c r="N812" s="59" t="str">
        <f>IF(COUNTA(A812:G812)=0,"",IF(A812="","N° devis manquant",IF(ISNA(MATCH(A812,dv_num,0)),"Devis inconnu",IF(AND(B812&lt;&gt;"",ISNA(MATCH(B812,pr_code,0))),"Article inconnu",IF(H812="","Désignation manquante",IF(OR(NOT(ISNUMBER(D812)),N(D812)&lt;=0),"Quantité invalide",IF(J812="","Prix manquant",IF(OR(NOT(ISNUMBER(J812)),N(J812)&lt;0),"Prix invalide",IF(OR(AND(F812&lt;&gt;"",NOT(ISNUMBER(F812))),N(F812)&lt;0,N(F812)&gt;1),"Remise invalide",IF(K812="","Taux de TVA manquant",IF(NOT(ISNUMBER(K812)),"Taux de TVA invalide",IF(COUNTIF(p_rates,K812)=0,"Taux de TVA hors liste (Paramètres)",IF(N(O812)&gt;25,"Au-delà de 25 lignes : non imprimée","OK")))))))))))))</f>
        <v/>
      </c>
      <c r="O812" s="59" t="str">
        <f>IF(A812="","",COUNTIF($A$6:A812,A812))</f>
        <v/>
      </c>
      <c r="P812" s="62" t="str">
        <f>IF(A812="","",A812&amp;"|"&amp;O812)</f>
        <v/>
      </c>
    </row>
    <row r="813">
      <c r="A813" s="60" t="n"/>
      <c r="B813" s="63" t="n"/>
      <c r="C813" s="63" t="n"/>
      <c r="D813" s="67" t="n"/>
      <c r="E813" s="68" t="n"/>
      <c r="F813" s="69" t="n"/>
      <c r="G813" s="70" t="n"/>
      <c r="H813" s="62" t="str">
        <f>IF(COUNTA(A813:G813)=0,"",IF(C813&lt;&gt;"",C813,IF(B813="","",IFERROR(INDEX(pr_des,MATCH(B813,pr_code,0))&amp;"",""))))</f>
        <v/>
      </c>
      <c r="I813" s="59" t="str">
        <f>IF(B813="","",IFERROR(INDEX(pr_unit,MATCH(B813,pr_code,0))&amp;"",""))</f>
        <v/>
      </c>
      <c r="J813" s="65" t="str">
        <f>IF(COUNTA(A813:G813)=0,"",IF(E813&lt;&gt;"",E813,IF(B813="","",IFERROR(IF(INDEX(pr_price,MATCH(B813,pr_code,0))="","",INDEX(pr_price,MATCH(B813,pr_code,0))),""))))</f>
        <v/>
      </c>
      <c r="K813" s="71" t="str">
        <f>IF(COUNTA(A813:G813)=0,"",IF(G813&lt;&gt;"",G813,IF(B813="","",IFERROR(IF(INDEX(pr_rate,MATCH(B813,pr_code,0))="","",INDEX(pr_rate,MATCH(B813,pr_code,0))),""))))</f>
        <v/>
      </c>
      <c r="L813" s="65" t="str">
        <f>IF(COUNTA(A813:G813)=0,"",IF(AND(ISNUMBER(D813),ISNUMBER(J813)),ROUND(D813*J813*(1-N(F813)),2),0))</f>
        <v/>
      </c>
      <c r="M813" s="62" t="str">
        <f>IF(A813="","",IFERROR(INDEX(dv_cname,MATCH(A813,dv_num,0))&amp;"",""))</f>
        <v/>
      </c>
      <c r="N813" s="59" t="str">
        <f>IF(COUNTA(A813:G813)=0,"",IF(A813="","N° devis manquant",IF(ISNA(MATCH(A813,dv_num,0)),"Devis inconnu",IF(AND(B813&lt;&gt;"",ISNA(MATCH(B813,pr_code,0))),"Article inconnu",IF(H813="","Désignation manquante",IF(OR(NOT(ISNUMBER(D813)),N(D813)&lt;=0),"Quantité invalide",IF(J813="","Prix manquant",IF(OR(NOT(ISNUMBER(J813)),N(J813)&lt;0),"Prix invalide",IF(OR(AND(F813&lt;&gt;"",NOT(ISNUMBER(F813))),N(F813)&lt;0,N(F813)&gt;1),"Remise invalide",IF(K813="","Taux de TVA manquant",IF(NOT(ISNUMBER(K813)),"Taux de TVA invalide",IF(COUNTIF(p_rates,K813)=0,"Taux de TVA hors liste (Paramètres)",IF(N(O813)&gt;25,"Au-delà de 25 lignes : non imprimée","OK")))))))))))))</f>
        <v/>
      </c>
      <c r="O813" s="59" t="str">
        <f>IF(A813="","",COUNTIF($A$6:A813,A813))</f>
        <v/>
      </c>
      <c r="P813" s="62" t="str">
        <f>IF(A813="","",A813&amp;"|"&amp;O813)</f>
        <v/>
      </c>
    </row>
    <row r="814">
      <c r="A814" s="60" t="n"/>
      <c r="B814" s="63" t="n"/>
      <c r="C814" s="63" t="n"/>
      <c r="D814" s="67" t="n"/>
      <c r="E814" s="68" t="n"/>
      <c r="F814" s="69" t="n"/>
      <c r="G814" s="70" t="n"/>
      <c r="H814" s="62" t="str">
        <f>IF(COUNTA(A814:G814)=0,"",IF(C814&lt;&gt;"",C814,IF(B814="","",IFERROR(INDEX(pr_des,MATCH(B814,pr_code,0))&amp;"",""))))</f>
        <v/>
      </c>
      <c r="I814" s="59" t="str">
        <f>IF(B814="","",IFERROR(INDEX(pr_unit,MATCH(B814,pr_code,0))&amp;"",""))</f>
        <v/>
      </c>
      <c r="J814" s="65" t="str">
        <f>IF(COUNTA(A814:G814)=0,"",IF(E814&lt;&gt;"",E814,IF(B814="","",IFERROR(IF(INDEX(pr_price,MATCH(B814,pr_code,0))="","",INDEX(pr_price,MATCH(B814,pr_code,0))),""))))</f>
        <v/>
      </c>
      <c r="K814" s="71" t="str">
        <f>IF(COUNTA(A814:G814)=0,"",IF(G814&lt;&gt;"",G814,IF(B814="","",IFERROR(IF(INDEX(pr_rate,MATCH(B814,pr_code,0))="","",INDEX(pr_rate,MATCH(B814,pr_code,0))),""))))</f>
        <v/>
      </c>
      <c r="L814" s="65" t="str">
        <f>IF(COUNTA(A814:G814)=0,"",IF(AND(ISNUMBER(D814),ISNUMBER(J814)),ROUND(D814*J814*(1-N(F814)),2),0))</f>
        <v/>
      </c>
      <c r="M814" s="62" t="str">
        <f>IF(A814="","",IFERROR(INDEX(dv_cname,MATCH(A814,dv_num,0))&amp;"",""))</f>
        <v/>
      </c>
      <c r="N814" s="59" t="str">
        <f>IF(COUNTA(A814:G814)=0,"",IF(A814="","N° devis manquant",IF(ISNA(MATCH(A814,dv_num,0)),"Devis inconnu",IF(AND(B814&lt;&gt;"",ISNA(MATCH(B814,pr_code,0))),"Article inconnu",IF(H814="","Désignation manquante",IF(OR(NOT(ISNUMBER(D814)),N(D814)&lt;=0),"Quantité invalide",IF(J814="","Prix manquant",IF(OR(NOT(ISNUMBER(J814)),N(J814)&lt;0),"Prix invalide",IF(OR(AND(F814&lt;&gt;"",NOT(ISNUMBER(F814))),N(F814)&lt;0,N(F814)&gt;1),"Remise invalide",IF(K814="","Taux de TVA manquant",IF(NOT(ISNUMBER(K814)),"Taux de TVA invalide",IF(COUNTIF(p_rates,K814)=0,"Taux de TVA hors liste (Paramètres)",IF(N(O814)&gt;25,"Au-delà de 25 lignes : non imprimée","OK")))))))))))))</f>
        <v/>
      </c>
      <c r="O814" s="59" t="str">
        <f>IF(A814="","",COUNTIF($A$6:A814,A814))</f>
        <v/>
      </c>
      <c r="P814" s="62" t="str">
        <f>IF(A814="","",A814&amp;"|"&amp;O814)</f>
        <v/>
      </c>
    </row>
    <row r="815">
      <c r="A815" s="60" t="n"/>
      <c r="B815" s="63" t="n"/>
      <c r="C815" s="63" t="n"/>
      <c r="D815" s="67" t="n"/>
      <c r="E815" s="68" t="n"/>
      <c r="F815" s="69" t="n"/>
      <c r="G815" s="70" t="n"/>
      <c r="H815" s="62" t="str">
        <f>IF(COUNTA(A815:G815)=0,"",IF(C815&lt;&gt;"",C815,IF(B815="","",IFERROR(INDEX(pr_des,MATCH(B815,pr_code,0))&amp;"",""))))</f>
        <v/>
      </c>
      <c r="I815" s="59" t="str">
        <f>IF(B815="","",IFERROR(INDEX(pr_unit,MATCH(B815,pr_code,0))&amp;"",""))</f>
        <v/>
      </c>
      <c r="J815" s="65" t="str">
        <f>IF(COUNTA(A815:G815)=0,"",IF(E815&lt;&gt;"",E815,IF(B815="","",IFERROR(IF(INDEX(pr_price,MATCH(B815,pr_code,0))="","",INDEX(pr_price,MATCH(B815,pr_code,0))),""))))</f>
        <v/>
      </c>
      <c r="K815" s="71" t="str">
        <f>IF(COUNTA(A815:G815)=0,"",IF(G815&lt;&gt;"",G815,IF(B815="","",IFERROR(IF(INDEX(pr_rate,MATCH(B815,pr_code,0))="","",INDEX(pr_rate,MATCH(B815,pr_code,0))),""))))</f>
        <v/>
      </c>
      <c r="L815" s="65" t="str">
        <f>IF(COUNTA(A815:G815)=0,"",IF(AND(ISNUMBER(D815),ISNUMBER(J815)),ROUND(D815*J815*(1-N(F815)),2),0))</f>
        <v/>
      </c>
      <c r="M815" s="62" t="str">
        <f>IF(A815="","",IFERROR(INDEX(dv_cname,MATCH(A815,dv_num,0))&amp;"",""))</f>
        <v/>
      </c>
      <c r="N815" s="59" t="str">
        <f>IF(COUNTA(A815:G815)=0,"",IF(A815="","N° devis manquant",IF(ISNA(MATCH(A815,dv_num,0)),"Devis inconnu",IF(AND(B815&lt;&gt;"",ISNA(MATCH(B815,pr_code,0))),"Article inconnu",IF(H815="","Désignation manquante",IF(OR(NOT(ISNUMBER(D815)),N(D815)&lt;=0),"Quantité invalide",IF(J815="","Prix manquant",IF(OR(NOT(ISNUMBER(J815)),N(J815)&lt;0),"Prix invalide",IF(OR(AND(F815&lt;&gt;"",NOT(ISNUMBER(F815))),N(F815)&lt;0,N(F815)&gt;1),"Remise invalide",IF(K815="","Taux de TVA manquant",IF(NOT(ISNUMBER(K815)),"Taux de TVA invalide",IF(COUNTIF(p_rates,K815)=0,"Taux de TVA hors liste (Paramètres)",IF(N(O815)&gt;25,"Au-delà de 25 lignes : non imprimée","OK")))))))))))))</f>
        <v/>
      </c>
      <c r="O815" s="59" t="str">
        <f>IF(A815="","",COUNTIF($A$6:A815,A815))</f>
        <v/>
      </c>
      <c r="P815" s="62" t="str">
        <f>IF(A815="","",A815&amp;"|"&amp;O815)</f>
        <v/>
      </c>
    </row>
    <row r="816">
      <c r="A816" s="60" t="n"/>
      <c r="B816" s="63" t="n"/>
      <c r="C816" s="63" t="n"/>
      <c r="D816" s="67" t="n"/>
      <c r="E816" s="68" t="n"/>
      <c r="F816" s="69" t="n"/>
      <c r="G816" s="70" t="n"/>
      <c r="H816" s="62" t="str">
        <f>IF(COUNTA(A816:G816)=0,"",IF(C816&lt;&gt;"",C816,IF(B816="","",IFERROR(INDEX(pr_des,MATCH(B816,pr_code,0))&amp;"",""))))</f>
        <v/>
      </c>
      <c r="I816" s="59" t="str">
        <f>IF(B816="","",IFERROR(INDEX(pr_unit,MATCH(B816,pr_code,0))&amp;"",""))</f>
        <v/>
      </c>
      <c r="J816" s="65" t="str">
        <f>IF(COUNTA(A816:G816)=0,"",IF(E816&lt;&gt;"",E816,IF(B816="","",IFERROR(IF(INDEX(pr_price,MATCH(B816,pr_code,0))="","",INDEX(pr_price,MATCH(B816,pr_code,0))),""))))</f>
        <v/>
      </c>
      <c r="K816" s="71" t="str">
        <f>IF(COUNTA(A816:G816)=0,"",IF(G816&lt;&gt;"",G816,IF(B816="","",IFERROR(IF(INDEX(pr_rate,MATCH(B816,pr_code,0))="","",INDEX(pr_rate,MATCH(B816,pr_code,0))),""))))</f>
        <v/>
      </c>
      <c r="L816" s="65" t="str">
        <f>IF(COUNTA(A816:G816)=0,"",IF(AND(ISNUMBER(D816),ISNUMBER(J816)),ROUND(D816*J816*(1-N(F816)),2),0))</f>
        <v/>
      </c>
      <c r="M816" s="62" t="str">
        <f>IF(A816="","",IFERROR(INDEX(dv_cname,MATCH(A816,dv_num,0))&amp;"",""))</f>
        <v/>
      </c>
      <c r="N816" s="59" t="str">
        <f>IF(COUNTA(A816:G816)=0,"",IF(A816="","N° devis manquant",IF(ISNA(MATCH(A816,dv_num,0)),"Devis inconnu",IF(AND(B816&lt;&gt;"",ISNA(MATCH(B816,pr_code,0))),"Article inconnu",IF(H816="","Désignation manquante",IF(OR(NOT(ISNUMBER(D816)),N(D816)&lt;=0),"Quantité invalide",IF(J816="","Prix manquant",IF(OR(NOT(ISNUMBER(J816)),N(J816)&lt;0),"Prix invalide",IF(OR(AND(F816&lt;&gt;"",NOT(ISNUMBER(F816))),N(F816)&lt;0,N(F816)&gt;1),"Remise invalide",IF(K816="","Taux de TVA manquant",IF(NOT(ISNUMBER(K816)),"Taux de TVA invalide",IF(COUNTIF(p_rates,K816)=0,"Taux de TVA hors liste (Paramètres)",IF(N(O816)&gt;25,"Au-delà de 25 lignes : non imprimée","OK")))))))))))))</f>
        <v/>
      </c>
      <c r="O816" s="59" t="str">
        <f>IF(A816="","",COUNTIF($A$6:A816,A816))</f>
        <v/>
      </c>
      <c r="P816" s="62" t="str">
        <f>IF(A816="","",A816&amp;"|"&amp;O816)</f>
        <v/>
      </c>
    </row>
    <row r="817">
      <c r="A817" s="60" t="n"/>
      <c r="B817" s="63" t="n"/>
      <c r="C817" s="63" t="n"/>
      <c r="D817" s="67" t="n"/>
      <c r="E817" s="68" t="n"/>
      <c r="F817" s="69" t="n"/>
      <c r="G817" s="70" t="n"/>
      <c r="H817" s="62" t="str">
        <f>IF(COUNTA(A817:G817)=0,"",IF(C817&lt;&gt;"",C817,IF(B817="","",IFERROR(INDEX(pr_des,MATCH(B817,pr_code,0))&amp;"",""))))</f>
        <v/>
      </c>
      <c r="I817" s="59" t="str">
        <f>IF(B817="","",IFERROR(INDEX(pr_unit,MATCH(B817,pr_code,0))&amp;"",""))</f>
        <v/>
      </c>
      <c r="J817" s="65" t="str">
        <f>IF(COUNTA(A817:G817)=0,"",IF(E817&lt;&gt;"",E817,IF(B817="","",IFERROR(IF(INDEX(pr_price,MATCH(B817,pr_code,0))="","",INDEX(pr_price,MATCH(B817,pr_code,0))),""))))</f>
        <v/>
      </c>
      <c r="K817" s="71" t="str">
        <f>IF(COUNTA(A817:G817)=0,"",IF(G817&lt;&gt;"",G817,IF(B817="","",IFERROR(IF(INDEX(pr_rate,MATCH(B817,pr_code,0))="","",INDEX(pr_rate,MATCH(B817,pr_code,0))),""))))</f>
        <v/>
      </c>
      <c r="L817" s="65" t="str">
        <f>IF(COUNTA(A817:G817)=0,"",IF(AND(ISNUMBER(D817),ISNUMBER(J817)),ROUND(D817*J817*(1-N(F817)),2),0))</f>
        <v/>
      </c>
      <c r="M817" s="62" t="str">
        <f>IF(A817="","",IFERROR(INDEX(dv_cname,MATCH(A817,dv_num,0))&amp;"",""))</f>
        <v/>
      </c>
      <c r="N817" s="59" t="str">
        <f>IF(COUNTA(A817:G817)=0,"",IF(A817="","N° devis manquant",IF(ISNA(MATCH(A817,dv_num,0)),"Devis inconnu",IF(AND(B817&lt;&gt;"",ISNA(MATCH(B817,pr_code,0))),"Article inconnu",IF(H817="","Désignation manquante",IF(OR(NOT(ISNUMBER(D817)),N(D817)&lt;=0),"Quantité invalide",IF(J817="","Prix manquant",IF(OR(NOT(ISNUMBER(J817)),N(J817)&lt;0),"Prix invalide",IF(OR(AND(F817&lt;&gt;"",NOT(ISNUMBER(F817))),N(F817)&lt;0,N(F817)&gt;1),"Remise invalide",IF(K817="","Taux de TVA manquant",IF(NOT(ISNUMBER(K817)),"Taux de TVA invalide",IF(COUNTIF(p_rates,K817)=0,"Taux de TVA hors liste (Paramètres)",IF(N(O817)&gt;25,"Au-delà de 25 lignes : non imprimée","OK")))))))))))))</f>
        <v/>
      </c>
      <c r="O817" s="59" t="str">
        <f>IF(A817="","",COUNTIF($A$6:A817,A817))</f>
        <v/>
      </c>
      <c r="P817" s="62" t="str">
        <f>IF(A817="","",A817&amp;"|"&amp;O817)</f>
        <v/>
      </c>
    </row>
    <row r="818">
      <c r="A818" s="60" t="n"/>
      <c r="B818" s="63" t="n"/>
      <c r="C818" s="63" t="n"/>
      <c r="D818" s="67" t="n"/>
      <c r="E818" s="68" t="n"/>
      <c r="F818" s="69" t="n"/>
      <c r="G818" s="70" t="n"/>
      <c r="H818" s="62" t="str">
        <f>IF(COUNTA(A818:G818)=0,"",IF(C818&lt;&gt;"",C818,IF(B818="","",IFERROR(INDEX(pr_des,MATCH(B818,pr_code,0))&amp;"",""))))</f>
        <v/>
      </c>
      <c r="I818" s="59" t="str">
        <f>IF(B818="","",IFERROR(INDEX(pr_unit,MATCH(B818,pr_code,0))&amp;"",""))</f>
        <v/>
      </c>
      <c r="J818" s="65" t="str">
        <f>IF(COUNTA(A818:G818)=0,"",IF(E818&lt;&gt;"",E818,IF(B818="","",IFERROR(IF(INDEX(pr_price,MATCH(B818,pr_code,0))="","",INDEX(pr_price,MATCH(B818,pr_code,0))),""))))</f>
        <v/>
      </c>
      <c r="K818" s="71" t="str">
        <f>IF(COUNTA(A818:G818)=0,"",IF(G818&lt;&gt;"",G818,IF(B818="","",IFERROR(IF(INDEX(pr_rate,MATCH(B818,pr_code,0))="","",INDEX(pr_rate,MATCH(B818,pr_code,0))),""))))</f>
        <v/>
      </c>
      <c r="L818" s="65" t="str">
        <f>IF(COUNTA(A818:G818)=0,"",IF(AND(ISNUMBER(D818),ISNUMBER(J818)),ROUND(D818*J818*(1-N(F818)),2),0))</f>
        <v/>
      </c>
      <c r="M818" s="62" t="str">
        <f>IF(A818="","",IFERROR(INDEX(dv_cname,MATCH(A818,dv_num,0))&amp;"",""))</f>
        <v/>
      </c>
      <c r="N818" s="59" t="str">
        <f>IF(COUNTA(A818:G818)=0,"",IF(A818="","N° devis manquant",IF(ISNA(MATCH(A818,dv_num,0)),"Devis inconnu",IF(AND(B818&lt;&gt;"",ISNA(MATCH(B818,pr_code,0))),"Article inconnu",IF(H818="","Désignation manquante",IF(OR(NOT(ISNUMBER(D818)),N(D818)&lt;=0),"Quantité invalide",IF(J818="","Prix manquant",IF(OR(NOT(ISNUMBER(J818)),N(J818)&lt;0),"Prix invalide",IF(OR(AND(F818&lt;&gt;"",NOT(ISNUMBER(F818))),N(F818)&lt;0,N(F818)&gt;1),"Remise invalide",IF(K818="","Taux de TVA manquant",IF(NOT(ISNUMBER(K818)),"Taux de TVA invalide",IF(COUNTIF(p_rates,K818)=0,"Taux de TVA hors liste (Paramètres)",IF(N(O818)&gt;25,"Au-delà de 25 lignes : non imprimée","OK")))))))))))))</f>
        <v/>
      </c>
      <c r="O818" s="59" t="str">
        <f>IF(A818="","",COUNTIF($A$6:A818,A818))</f>
        <v/>
      </c>
      <c r="P818" s="62" t="str">
        <f>IF(A818="","",A818&amp;"|"&amp;O818)</f>
        <v/>
      </c>
    </row>
    <row r="819">
      <c r="A819" s="60" t="n"/>
      <c r="B819" s="63" t="n"/>
      <c r="C819" s="63" t="n"/>
      <c r="D819" s="67" t="n"/>
      <c r="E819" s="68" t="n"/>
      <c r="F819" s="69" t="n"/>
      <c r="G819" s="70" t="n"/>
      <c r="H819" s="62" t="str">
        <f>IF(COUNTA(A819:G819)=0,"",IF(C819&lt;&gt;"",C819,IF(B819="","",IFERROR(INDEX(pr_des,MATCH(B819,pr_code,0))&amp;"",""))))</f>
        <v/>
      </c>
      <c r="I819" s="59" t="str">
        <f>IF(B819="","",IFERROR(INDEX(pr_unit,MATCH(B819,pr_code,0))&amp;"",""))</f>
        <v/>
      </c>
      <c r="J819" s="65" t="str">
        <f>IF(COUNTA(A819:G819)=0,"",IF(E819&lt;&gt;"",E819,IF(B819="","",IFERROR(IF(INDEX(pr_price,MATCH(B819,pr_code,0))="","",INDEX(pr_price,MATCH(B819,pr_code,0))),""))))</f>
        <v/>
      </c>
      <c r="K819" s="71" t="str">
        <f>IF(COUNTA(A819:G819)=0,"",IF(G819&lt;&gt;"",G819,IF(B819="","",IFERROR(IF(INDEX(pr_rate,MATCH(B819,pr_code,0))="","",INDEX(pr_rate,MATCH(B819,pr_code,0))),""))))</f>
        <v/>
      </c>
      <c r="L819" s="65" t="str">
        <f>IF(COUNTA(A819:G819)=0,"",IF(AND(ISNUMBER(D819),ISNUMBER(J819)),ROUND(D819*J819*(1-N(F819)),2),0))</f>
        <v/>
      </c>
      <c r="M819" s="62" t="str">
        <f>IF(A819="","",IFERROR(INDEX(dv_cname,MATCH(A819,dv_num,0))&amp;"",""))</f>
        <v/>
      </c>
      <c r="N819" s="59" t="str">
        <f>IF(COUNTA(A819:G819)=0,"",IF(A819="","N° devis manquant",IF(ISNA(MATCH(A819,dv_num,0)),"Devis inconnu",IF(AND(B819&lt;&gt;"",ISNA(MATCH(B819,pr_code,0))),"Article inconnu",IF(H819="","Désignation manquante",IF(OR(NOT(ISNUMBER(D819)),N(D819)&lt;=0),"Quantité invalide",IF(J819="","Prix manquant",IF(OR(NOT(ISNUMBER(J819)),N(J819)&lt;0),"Prix invalide",IF(OR(AND(F819&lt;&gt;"",NOT(ISNUMBER(F819))),N(F819)&lt;0,N(F819)&gt;1),"Remise invalide",IF(K819="","Taux de TVA manquant",IF(NOT(ISNUMBER(K819)),"Taux de TVA invalide",IF(COUNTIF(p_rates,K819)=0,"Taux de TVA hors liste (Paramètres)",IF(N(O819)&gt;25,"Au-delà de 25 lignes : non imprimée","OK")))))))))))))</f>
        <v/>
      </c>
      <c r="O819" s="59" t="str">
        <f>IF(A819="","",COUNTIF($A$6:A819,A819))</f>
        <v/>
      </c>
      <c r="P819" s="62" t="str">
        <f>IF(A819="","",A819&amp;"|"&amp;O819)</f>
        <v/>
      </c>
    </row>
    <row r="820">
      <c r="A820" s="60" t="n"/>
      <c r="B820" s="63" t="n"/>
      <c r="C820" s="63" t="n"/>
      <c r="D820" s="67" t="n"/>
      <c r="E820" s="68" t="n"/>
      <c r="F820" s="69" t="n"/>
      <c r="G820" s="70" t="n"/>
      <c r="H820" s="62" t="str">
        <f>IF(COUNTA(A820:G820)=0,"",IF(C820&lt;&gt;"",C820,IF(B820="","",IFERROR(INDEX(pr_des,MATCH(B820,pr_code,0))&amp;"",""))))</f>
        <v/>
      </c>
      <c r="I820" s="59" t="str">
        <f>IF(B820="","",IFERROR(INDEX(pr_unit,MATCH(B820,pr_code,0))&amp;"",""))</f>
        <v/>
      </c>
      <c r="J820" s="65" t="str">
        <f>IF(COUNTA(A820:G820)=0,"",IF(E820&lt;&gt;"",E820,IF(B820="","",IFERROR(IF(INDEX(pr_price,MATCH(B820,pr_code,0))="","",INDEX(pr_price,MATCH(B820,pr_code,0))),""))))</f>
        <v/>
      </c>
      <c r="K820" s="71" t="str">
        <f>IF(COUNTA(A820:G820)=0,"",IF(G820&lt;&gt;"",G820,IF(B820="","",IFERROR(IF(INDEX(pr_rate,MATCH(B820,pr_code,0))="","",INDEX(pr_rate,MATCH(B820,pr_code,0))),""))))</f>
        <v/>
      </c>
      <c r="L820" s="65" t="str">
        <f>IF(COUNTA(A820:G820)=0,"",IF(AND(ISNUMBER(D820),ISNUMBER(J820)),ROUND(D820*J820*(1-N(F820)),2),0))</f>
        <v/>
      </c>
      <c r="M820" s="62" t="str">
        <f>IF(A820="","",IFERROR(INDEX(dv_cname,MATCH(A820,dv_num,0))&amp;"",""))</f>
        <v/>
      </c>
      <c r="N820" s="59" t="str">
        <f>IF(COUNTA(A820:G820)=0,"",IF(A820="","N° devis manquant",IF(ISNA(MATCH(A820,dv_num,0)),"Devis inconnu",IF(AND(B820&lt;&gt;"",ISNA(MATCH(B820,pr_code,0))),"Article inconnu",IF(H820="","Désignation manquante",IF(OR(NOT(ISNUMBER(D820)),N(D820)&lt;=0),"Quantité invalide",IF(J820="","Prix manquant",IF(OR(NOT(ISNUMBER(J820)),N(J820)&lt;0),"Prix invalide",IF(OR(AND(F820&lt;&gt;"",NOT(ISNUMBER(F820))),N(F820)&lt;0,N(F820)&gt;1),"Remise invalide",IF(K820="","Taux de TVA manquant",IF(NOT(ISNUMBER(K820)),"Taux de TVA invalide",IF(COUNTIF(p_rates,K820)=0,"Taux de TVA hors liste (Paramètres)",IF(N(O820)&gt;25,"Au-delà de 25 lignes : non imprimée","OK")))))))))))))</f>
        <v/>
      </c>
      <c r="O820" s="59" t="str">
        <f>IF(A820="","",COUNTIF($A$6:A820,A820))</f>
        <v/>
      </c>
      <c r="P820" s="62" t="str">
        <f>IF(A820="","",A820&amp;"|"&amp;O820)</f>
        <v/>
      </c>
    </row>
    <row r="821">
      <c r="A821" s="60" t="n"/>
      <c r="B821" s="63" t="n"/>
      <c r="C821" s="63" t="n"/>
      <c r="D821" s="67" t="n"/>
      <c r="E821" s="68" t="n"/>
      <c r="F821" s="69" t="n"/>
      <c r="G821" s="70" t="n"/>
      <c r="H821" s="62" t="str">
        <f>IF(COUNTA(A821:G821)=0,"",IF(C821&lt;&gt;"",C821,IF(B821="","",IFERROR(INDEX(pr_des,MATCH(B821,pr_code,0))&amp;"",""))))</f>
        <v/>
      </c>
      <c r="I821" s="59" t="str">
        <f>IF(B821="","",IFERROR(INDEX(pr_unit,MATCH(B821,pr_code,0))&amp;"",""))</f>
        <v/>
      </c>
      <c r="J821" s="65" t="str">
        <f>IF(COUNTA(A821:G821)=0,"",IF(E821&lt;&gt;"",E821,IF(B821="","",IFERROR(IF(INDEX(pr_price,MATCH(B821,pr_code,0))="","",INDEX(pr_price,MATCH(B821,pr_code,0))),""))))</f>
        <v/>
      </c>
      <c r="K821" s="71" t="str">
        <f>IF(COUNTA(A821:G821)=0,"",IF(G821&lt;&gt;"",G821,IF(B821="","",IFERROR(IF(INDEX(pr_rate,MATCH(B821,pr_code,0))="","",INDEX(pr_rate,MATCH(B821,pr_code,0))),""))))</f>
        <v/>
      </c>
      <c r="L821" s="65" t="str">
        <f>IF(COUNTA(A821:G821)=0,"",IF(AND(ISNUMBER(D821),ISNUMBER(J821)),ROUND(D821*J821*(1-N(F821)),2),0))</f>
        <v/>
      </c>
      <c r="M821" s="62" t="str">
        <f>IF(A821="","",IFERROR(INDEX(dv_cname,MATCH(A821,dv_num,0))&amp;"",""))</f>
        <v/>
      </c>
      <c r="N821" s="59" t="str">
        <f>IF(COUNTA(A821:G821)=0,"",IF(A821="","N° devis manquant",IF(ISNA(MATCH(A821,dv_num,0)),"Devis inconnu",IF(AND(B821&lt;&gt;"",ISNA(MATCH(B821,pr_code,0))),"Article inconnu",IF(H821="","Désignation manquante",IF(OR(NOT(ISNUMBER(D821)),N(D821)&lt;=0),"Quantité invalide",IF(J821="","Prix manquant",IF(OR(NOT(ISNUMBER(J821)),N(J821)&lt;0),"Prix invalide",IF(OR(AND(F821&lt;&gt;"",NOT(ISNUMBER(F821))),N(F821)&lt;0,N(F821)&gt;1),"Remise invalide",IF(K821="","Taux de TVA manquant",IF(NOT(ISNUMBER(K821)),"Taux de TVA invalide",IF(COUNTIF(p_rates,K821)=0,"Taux de TVA hors liste (Paramètres)",IF(N(O821)&gt;25,"Au-delà de 25 lignes : non imprimée","OK")))))))))))))</f>
        <v/>
      </c>
      <c r="O821" s="59" t="str">
        <f>IF(A821="","",COUNTIF($A$6:A821,A821))</f>
        <v/>
      </c>
      <c r="P821" s="62" t="str">
        <f>IF(A821="","",A821&amp;"|"&amp;O821)</f>
        <v/>
      </c>
    </row>
    <row r="822">
      <c r="A822" s="60" t="n"/>
      <c r="B822" s="63" t="n"/>
      <c r="C822" s="63" t="n"/>
      <c r="D822" s="67" t="n"/>
      <c r="E822" s="68" t="n"/>
      <c r="F822" s="69" t="n"/>
      <c r="G822" s="70" t="n"/>
      <c r="H822" s="62" t="str">
        <f>IF(COUNTA(A822:G822)=0,"",IF(C822&lt;&gt;"",C822,IF(B822="","",IFERROR(INDEX(pr_des,MATCH(B822,pr_code,0))&amp;"",""))))</f>
        <v/>
      </c>
      <c r="I822" s="59" t="str">
        <f>IF(B822="","",IFERROR(INDEX(pr_unit,MATCH(B822,pr_code,0))&amp;"",""))</f>
        <v/>
      </c>
      <c r="J822" s="65" t="str">
        <f>IF(COUNTA(A822:G822)=0,"",IF(E822&lt;&gt;"",E822,IF(B822="","",IFERROR(IF(INDEX(pr_price,MATCH(B822,pr_code,0))="","",INDEX(pr_price,MATCH(B822,pr_code,0))),""))))</f>
        <v/>
      </c>
      <c r="K822" s="71" t="str">
        <f>IF(COUNTA(A822:G822)=0,"",IF(G822&lt;&gt;"",G822,IF(B822="","",IFERROR(IF(INDEX(pr_rate,MATCH(B822,pr_code,0))="","",INDEX(pr_rate,MATCH(B822,pr_code,0))),""))))</f>
        <v/>
      </c>
      <c r="L822" s="65" t="str">
        <f>IF(COUNTA(A822:G822)=0,"",IF(AND(ISNUMBER(D822),ISNUMBER(J822)),ROUND(D822*J822*(1-N(F822)),2),0))</f>
        <v/>
      </c>
      <c r="M822" s="62" t="str">
        <f>IF(A822="","",IFERROR(INDEX(dv_cname,MATCH(A822,dv_num,0))&amp;"",""))</f>
        <v/>
      </c>
      <c r="N822" s="59" t="str">
        <f>IF(COUNTA(A822:G822)=0,"",IF(A822="","N° devis manquant",IF(ISNA(MATCH(A822,dv_num,0)),"Devis inconnu",IF(AND(B822&lt;&gt;"",ISNA(MATCH(B822,pr_code,0))),"Article inconnu",IF(H822="","Désignation manquante",IF(OR(NOT(ISNUMBER(D822)),N(D822)&lt;=0),"Quantité invalide",IF(J822="","Prix manquant",IF(OR(NOT(ISNUMBER(J822)),N(J822)&lt;0),"Prix invalide",IF(OR(AND(F822&lt;&gt;"",NOT(ISNUMBER(F822))),N(F822)&lt;0,N(F822)&gt;1),"Remise invalide",IF(K822="","Taux de TVA manquant",IF(NOT(ISNUMBER(K822)),"Taux de TVA invalide",IF(COUNTIF(p_rates,K822)=0,"Taux de TVA hors liste (Paramètres)",IF(N(O822)&gt;25,"Au-delà de 25 lignes : non imprimée","OK")))))))))))))</f>
        <v/>
      </c>
      <c r="O822" s="59" t="str">
        <f>IF(A822="","",COUNTIF($A$6:A822,A822))</f>
        <v/>
      </c>
      <c r="P822" s="62" t="str">
        <f>IF(A822="","",A822&amp;"|"&amp;O822)</f>
        <v/>
      </c>
    </row>
    <row r="823">
      <c r="A823" s="60" t="n"/>
      <c r="B823" s="63" t="n"/>
      <c r="C823" s="63" t="n"/>
      <c r="D823" s="67" t="n"/>
      <c r="E823" s="68" t="n"/>
      <c r="F823" s="69" t="n"/>
      <c r="G823" s="70" t="n"/>
      <c r="H823" s="62" t="str">
        <f>IF(COUNTA(A823:G823)=0,"",IF(C823&lt;&gt;"",C823,IF(B823="","",IFERROR(INDEX(pr_des,MATCH(B823,pr_code,0))&amp;"",""))))</f>
        <v/>
      </c>
      <c r="I823" s="59" t="str">
        <f>IF(B823="","",IFERROR(INDEX(pr_unit,MATCH(B823,pr_code,0))&amp;"",""))</f>
        <v/>
      </c>
      <c r="J823" s="65" t="str">
        <f>IF(COUNTA(A823:G823)=0,"",IF(E823&lt;&gt;"",E823,IF(B823="","",IFERROR(IF(INDEX(pr_price,MATCH(B823,pr_code,0))="","",INDEX(pr_price,MATCH(B823,pr_code,0))),""))))</f>
        <v/>
      </c>
      <c r="K823" s="71" t="str">
        <f>IF(COUNTA(A823:G823)=0,"",IF(G823&lt;&gt;"",G823,IF(B823="","",IFERROR(IF(INDEX(pr_rate,MATCH(B823,pr_code,0))="","",INDEX(pr_rate,MATCH(B823,pr_code,0))),""))))</f>
        <v/>
      </c>
      <c r="L823" s="65" t="str">
        <f>IF(COUNTA(A823:G823)=0,"",IF(AND(ISNUMBER(D823),ISNUMBER(J823)),ROUND(D823*J823*(1-N(F823)),2),0))</f>
        <v/>
      </c>
      <c r="M823" s="62" t="str">
        <f>IF(A823="","",IFERROR(INDEX(dv_cname,MATCH(A823,dv_num,0))&amp;"",""))</f>
        <v/>
      </c>
      <c r="N823" s="59" t="str">
        <f>IF(COUNTA(A823:G823)=0,"",IF(A823="","N° devis manquant",IF(ISNA(MATCH(A823,dv_num,0)),"Devis inconnu",IF(AND(B823&lt;&gt;"",ISNA(MATCH(B823,pr_code,0))),"Article inconnu",IF(H823="","Désignation manquante",IF(OR(NOT(ISNUMBER(D823)),N(D823)&lt;=0),"Quantité invalide",IF(J823="","Prix manquant",IF(OR(NOT(ISNUMBER(J823)),N(J823)&lt;0),"Prix invalide",IF(OR(AND(F823&lt;&gt;"",NOT(ISNUMBER(F823))),N(F823)&lt;0,N(F823)&gt;1),"Remise invalide",IF(K823="","Taux de TVA manquant",IF(NOT(ISNUMBER(K823)),"Taux de TVA invalide",IF(COUNTIF(p_rates,K823)=0,"Taux de TVA hors liste (Paramètres)",IF(N(O823)&gt;25,"Au-delà de 25 lignes : non imprimée","OK")))))))))))))</f>
        <v/>
      </c>
      <c r="O823" s="59" t="str">
        <f>IF(A823="","",COUNTIF($A$6:A823,A823))</f>
        <v/>
      </c>
      <c r="P823" s="62" t="str">
        <f>IF(A823="","",A823&amp;"|"&amp;O823)</f>
        <v/>
      </c>
    </row>
    <row r="824">
      <c r="A824" s="60" t="n"/>
      <c r="B824" s="63" t="n"/>
      <c r="C824" s="63" t="n"/>
      <c r="D824" s="67" t="n"/>
      <c r="E824" s="68" t="n"/>
      <c r="F824" s="69" t="n"/>
      <c r="G824" s="70" t="n"/>
      <c r="H824" s="62" t="str">
        <f>IF(COUNTA(A824:G824)=0,"",IF(C824&lt;&gt;"",C824,IF(B824="","",IFERROR(INDEX(pr_des,MATCH(B824,pr_code,0))&amp;"",""))))</f>
        <v/>
      </c>
      <c r="I824" s="59" t="str">
        <f>IF(B824="","",IFERROR(INDEX(pr_unit,MATCH(B824,pr_code,0))&amp;"",""))</f>
        <v/>
      </c>
      <c r="J824" s="65" t="str">
        <f>IF(COUNTA(A824:G824)=0,"",IF(E824&lt;&gt;"",E824,IF(B824="","",IFERROR(IF(INDEX(pr_price,MATCH(B824,pr_code,0))="","",INDEX(pr_price,MATCH(B824,pr_code,0))),""))))</f>
        <v/>
      </c>
      <c r="K824" s="71" t="str">
        <f>IF(COUNTA(A824:G824)=0,"",IF(G824&lt;&gt;"",G824,IF(B824="","",IFERROR(IF(INDEX(pr_rate,MATCH(B824,pr_code,0))="","",INDEX(pr_rate,MATCH(B824,pr_code,0))),""))))</f>
        <v/>
      </c>
      <c r="L824" s="65" t="str">
        <f>IF(COUNTA(A824:G824)=0,"",IF(AND(ISNUMBER(D824),ISNUMBER(J824)),ROUND(D824*J824*(1-N(F824)),2),0))</f>
        <v/>
      </c>
      <c r="M824" s="62" t="str">
        <f>IF(A824="","",IFERROR(INDEX(dv_cname,MATCH(A824,dv_num,0))&amp;"",""))</f>
        <v/>
      </c>
      <c r="N824" s="59" t="str">
        <f>IF(COUNTA(A824:G824)=0,"",IF(A824="","N° devis manquant",IF(ISNA(MATCH(A824,dv_num,0)),"Devis inconnu",IF(AND(B824&lt;&gt;"",ISNA(MATCH(B824,pr_code,0))),"Article inconnu",IF(H824="","Désignation manquante",IF(OR(NOT(ISNUMBER(D824)),N(D824)&lt;=0),"Quantité invalide",IF(J824="","Prix manquant",IF(OR(NOT(ISNUMBER(J824)),N(J824)&lt;0),"Prix invalide",IF(OR(AND(F824&lt;&gt;"",NOT(ISNUMBER(F824))),N(F824)&lt;0,N(F824)&gt;1),"Remise invalide",IF(K824="","Taux de TVA manquant",IF(NOT(ISNUMBER(K824)),"Taux de TVA invalide",IF(COUNTIF(p_rates,K824)=0,"Taux de TVA hors liste (Paramètres)",IF(N(O824)&gt;25,"Au-delà de 25 lignes : non imprimée","OK")))))))))))))</f>
        <v/>
      </c>
      <c r="O824" s="59" t="str">
        <f>IF(A824="","",COUNTIF($A$6:A824,A824))</f>
        <v/>
      </c>
      <c r="P824" s="62" t="str">
        <f>IF(A824="","",A824&amp;"|"&amp;O824)</f>
        <v/>
      </c>
    </row>
    <row r="825">
      <c r="A825" s="60" t="n"/>
      <c r="B825" s="63" t="n"/>
      <c r="C825" s="63" t="n"/>
      <c r="D825" s="67" t="n"/>
      <c r="E825" s="68" t="n"/>
      <c r="F825" s="69" t="n"/>
      <c r="G825" s="70" t="n"/>
      <c r="H825" s="62" t="str">
        <f>IF(COUNTA(A825:G825)=0,"",IF(C825&lt;&gt;"",C825,IF(B825="","",IFERROR(INDEX(pr_des,MATCH(B825,pr_code,0))&amp;"",""))))</f>
        <v/>
      </c>
      <c r="I825" s="59" t="str">
        <f>IF(B825="","",IFERROR(INDEX(pr_unit,MATCH(B825,pr_code,0))&amp;"",""))</f>
        <v/>
      </c>
      <c r="J825" s="65" t="str">
        <f>IF(COUNTA(A825:G825)=0,"",IF(E825&lt;&gt;"",E825,IF(B825="","",IFERROR(IF(INDEX(pr_price,MATCH(B825,pr_code,0))="","",INDEX(pr_price,MATCH(B825,pr_code,0))),""))))</f>
        <v/>
      </c>
      <c r="K825" s="71" t="str">
        <f>IF(COUNTA(A825:G825)=0,"",IF(G825&lt;&gt;"",G825,IF(B825="","",IFERROR(IF(INDEX(pr_rate,MATCH(B825,pr_code,0))="","",INDEX(pr_rate,MATCH(B825,pr_code,0))),""))))</f>
        <v/>
      </c>
      <c r="L825" s="65" t="str">
        <f>IF(COUNTA(A825:G825)=0,"",IF(AND(ISNUMBER(D825),ISNUMBER(J825)),ROUND(D825*J825*(1-N(F825)),2),0))</f>
        <v/>
      </c>
      <c r="M825" s="62" t="str">
        <f>IF(A825="","",IFERROR(INDEX(dv_cname,MATCH(A825,dv_num,0))&amp;"",""))</f>
        <v/>
      </c>
      <c r="N825" s="59" t="str">
        <f>IF(COUNTA(A825:G825)=0,"",IF(A825="","N° devis manquant",IF(ISNA(MATCH(A825,dv_num,0)),"Devis inconnu",IF(AND(B825&lt;&gt;"",ISNA(MATCH(B825,pr_code,0))),"Article inconnu",IF(H825="","Désignation manquante",IF(OR(NOT(ISNUMBER(D825)),N(D825)&lt;=0),"Quantité invalide",IF(J825="","Prix manquant",IF(OR(NOT(ISNUMBER(J825)),N(J825)&lt;0),"Prix invalide",IF(OR(AND(F825&lt;&gt;"",NOT(ISNUMBER(F825))),N(F825)&lt;0,N(F825)&gt;1),"Remise invalide",IF(K825="","Taux de TVA manquant",IF(NOT(ISNUMBER(K825)),"Taux de TVA invalide",IF(COUNTIF(p_rates,K825)=0,"Taux de TVA hors liste (Paramètres)",IF(N(O825)&gt;25,"Au-delà de 25 lignes : non imprimée","OK")))))))))))))</f>
        <v/>
      </c>
      <c r="O825" s="59" t="str">
        <f>IF(A825="","",COUNTIF($A$6:A825,A825))</f>
        <v/>
      </c>
      <c r="P825" s="62" t="str">
        <f>IF(A825="","",A825&amp;"|"&amp;O825)</f>
        <v/>
      </c>
    </row>
    <row r="826">
      <c r="A826" s="60" t="n"/>
      <c r="B826" s="63" t="n"/>
      <c r="C826" s="63" t="n"/>
      <c r="D826" s="67" t="n"/>
      <c r="E826" s="68" t="n"/>
      <c r="F826" s="69" t="n"/>
      <c r="G826" s="70" t="n"/>
      <c r="H826" s="62" t="str">
        <f>IF(COUNTA(A826:G826)=0,"",IF(C826&lt;&gt;"",C826,IF(B826="","",IFERROR(INDEX(pr_des,MATCH(B826,pr_code,0))&amp;"",""))))</f>
        <v/>
      </c>
      <c r="I826" s="59" t="str">
        <f>IF(B826="","",IFERROR(INDEX(pr_unit,MATCH(B826,pr_code,0))&amp;"",""))</f>
        <v/>
      </c>
      <c r="J826" s="65" t="str">
        <f>IF(COUNTA(A826:G826)=0,"",IF(E826&lt;&gt;"",E826,IF(B826="","",IFERROR(IF(INDEX(pr_price,MATCH(B826,pr_code,0))="","",INDEX(pr_price,MATCH(B826,pr_code,0))),""))))</f>
        <v/>
      </c>
      <c r="K826" s="71" t="str">
        <f>IF(COUNTA(A826:G826)=0,"",IF(G826&lt;&gt;"",G826,IF(B826="","",IFERROR(IF(INDEX(pr_rate,MATCH(B826,pr_code,0))="","",INDEX(pr_rate,MATCH(B826,pr_code,0))),""))))</f>
        <v/>
      </c>
      <c r="L826" s="65" t="str">
        <f>IF(COUNTA(A826:G826)=0,"",IF(AND(ISNUMBER(D826),ISNUMBER(J826)),ROUND(D826*J826*(1-N(F826)),2),0))</f>
        <v/>
      </c>
      <c r="M826" s="62" t="str">
        <f>IF(A826="","",IFERROR(INDEX(dv_cname,MATCH(A826,dv_num,0))&amp;"",""))</f>
        <v/>
      </c>
      <c r="N826" s="59" t="str">
        <f>IF(COUNTA(A826:G826)=0,"",IF(A826="","N° devis manquant",IF(ISNA(MATCH(A826,dv_num,0)),"Devis inconnu",IF(AND(B826&lt;&gt;"",ISNA(MATCH(B826,pr_code,0))),"Article inconnu",IF(H826="","Désignation manquante",IF(OR(NOT(ISNUMBER(D826)),N(D826)&lt;=0),"Quantité invalide",IF(J826="","Prix manquant",IF(OR(NOT(ISNUMBER(J826)),N(J826)&lt;0),"Prix invalide",IF(OR(AND(F826&lt;&gt;"",NOT(ISNUMBER(F826))),N(F826)&lt;0,N(F826)&gt;1),"Remise invalide",IF(K826="","Taux de TVA manquant",IF(NOT(ISNUMBER(K826)),"Taux de TVA invalide",IF(COUNTIF(p_rates,K826)=0,"Taux de TVA hors liste (Paramètres)",IF(N(O826)&gt;25,"Au-delà de 25 lignes : non imprimée","OK")))))))))))))</f>
        <v/>
      </c>
      <c r="O826" s="59" t="str">
        <f>IF(A826="","",COUNTIF($A$6:A826,A826))</f>
        <v/>
      </c>
      <c r="P826" s="62" t="str">
        <f>IF(A826="","",A826&amp;"|"&amp;O826)</f>
        <v/>
      </c>
    </row>
    <row r="827">
      <c r="A827" s="60" t="n"/>
      <c r="B827" s="63" t="n"/>
      <c r="C827" s="63" t="n"/>
      <c r="D827" s="67" t="n"/>
      <c r="E827" s="68" t="n"/>
      <c r="F827" s="69" t="n"/>
      <c r="G827" s="70" t="n"/>
      <c r="H827" s="62" t="str">
        <f>IF(COUNTA(A827:G827)=0,"",IF(C827&lt;&gt;"",C827,IF(B827="","",IFERROR(INDEX(pr_des,MATCH(B827,pr_code,0))&amp;"",""))))</f>
        <v/>
      </c>
      <c r="I827" s="59" t="str">
        <f>IF(B827="","",IFERROR(INDEX(pr_unit,MATCH(B827,pr_code,0))&amp;"",""))</f>
        <v/>
      </c>
      <c r="J827" s="65" t="str">
        <f>IF(COUNTA(A827:G827)=0,"",IF(E827&lt;&gt;"",E827,IF(B827="","",IFERROR(IF(INDEX(pr_price,MATCH(B827,pr_code,0))="","",INDEX(pr_price,MATCH(B827,pr_code,0))),""))))</f>
        <v/>
      </c>
      <c r="K827" s="71" t="str">
        <f>IF(COUNTA(A827:G827)=0,"",IF(G827&lt;&gt;"",G827,IF(B827="","",IFERROR(IF(INDEX(pr_rate,MATCH(B827,pr_code,0))="","",INDEX(pr_rate,MATCH(B827,pr_code,0))),""))))</f>
        <v/>
      </c>
      <c r="L827" s="65" t="str">
        <f>IF(COUNTA(A827:G827)=0,"",IF(AND(ISNUMBER(D827),ISNUMBER(J827)),ROUND(D827*J827*(1-N(F827)),2),0))</f>
        <v/>
      </c>
      <c r="M827" s="62" t="str">
        <f>IF(A827="","",IFERROR(INDEX(dv_cname,MATCH(A827,dv_num,0))&amp;"",""))</f>
        <v/>
      </c>
      <c r="N827" s="59" t="str">
        <f>IF(COUNTA(A827:G827)=0,"",IF(A827="","N° devis manquant",IF(ISNA(MATCH(A827,dv_num,0)),"Devis inconnu",IF(AND(B827&lt;&gt;"",ISNA(MATCH(B827,pr_code,0))),"Article inconnu",IF(H827="","Désignation manquante",IF(OR(NOT(ISNUMBER(D827)),N(D827)&lt;=0),"Quantité invalide",IF(J827="","Prix manquant",IF(OR(NOT(ISNUMBER(J827)),N(J827)&lt;0),"Prix invalide",IF(OR(AND(F827&lt;&gt;"",NOT(ISNUMBER(F827))),N(F827)&lt;0,N(F827)&gt;1),"Remise invalide",IF(K827="","Taux de TVA manquant",IF(NOT(ISNUMBER(K827)),"Taux de TVA invalide",IF(COUNTIF(p_rates,K827)=0,"Taux de TVA hors liste (Paramètres)",IF(N(O827)&gt;25,"Au-delà de 25 lignes : non imprimée","OK")))))))))))))</f>
        <v/>
      </c>
      <c r="O827" s="59" t="str">
        <f>IF(A827="","",COUNTIF($A$6:A827,A827))</f>
        <v/>
      </c>
      <c r="P827" s="62" t="str">
        <f>IF(A827="","",A827&amp;"|"&amp;O827)</f>
        <v/>
      </c>
    </row>
    <row r="828">
      <c r="A828" s="60" t="n"/>
      <c r="B828" s="63" t="n"/>
      <c r="C828" s="63" t="n"/>
      <c r="D828" s="67" t="n"/>
      <c r="E828" s="68" t="n"/>
      <c r="F828" s="69" t="n"/>
      <c r="G828" s="70" t="n"/>
      <c r="H828" s="62" t="str">
        <f>IF(COUNTA(A828:G828)=0,"",IF(C828&lt;&gt;"",C828,IF(B828="","",IFERROR(INDEX(pr_des,MATCH(B828,pr_code,0))&amp;"",""))))</f>
        <v/>
      </c>
      <c r="I828" s="59" t="str">
        <f>IF(B828="","",IFERROR(INDEX(pr_unit,MATCH(B828,pr_code,0))&amp;"",""))</f>
        <v/>
      </c>
      <c r="J828" s="65" t="str">
        <f>IF(COUNTA(A828:G828)=0,"",IF(E828&lt;&gt;"",E828,IF(B828="","",IFERROR(IF(INDEX(pr_price,MATCH(B828,pr_code,0))="","",INDEX(pr_price,MATCH(B828,pr_code,0))),""))))</f>
        <v/>
      </c>
      <c r="K828" s="71" t="str">
        <f>IF(COUNTA(A828:G828)=0,"",IF(G828&lt;&gt;"",G828,IF(B828="","",IFERROR(IF(INDEX(pr_rate,MATCH(B828,pr_code,0))="","",INDEX(pr_rate,MATCH(B828,pr_code,0))),""))))</f>
        <v/>
      </c>
      <c r="L828" s="65" t="str">
        <f>IF(COUNTA(A828:G828)=0,"",IF(AND(ISNUMBER(D828),ISNUMBER(J828)),ROUND(D828*J828*(1-N(F828)),2),0))</f>
        <v/>
      </c>
      <c r="M828" s="62" t="str">
        <f>IF(A828="","",IFERROR(INDEX(dv_cname,MATCH(A828,dv_num,0))&amp;"",""))</f>
        <v/>
      </c>
      <c r="N828" s="59" t="str">
        <f>IF(COUNTA(A828:G828)=0,"",IF(A828="","N° devis manquant",IF(ISNA(MATCH(A828,dv_num,0)),"Devis inconnu",IF(AND(B828&lt;&gt;"",ISNA(MATCH(B828,pr_code,0))),"Article inconnu",IF(H828="","Désignation manquante",IF(OR(NOT(ISNUMBER(D828)),N(D828)&lt;=0),"Quantité invalide",IF(J828="","Prix manquant",IF(OR(NOT(ISNUMBER(J828)),N(J828)&lt;0),"Prix invalide",IF(OR(AND(F828&lt;&gt;"",NOT(ISNUMBER(F828))),N(F828)&lt;0,N(F828)&gt;1),"Remise invalide",IF(K828="","Taux de TVA manquant",IF(NOT(ISNUMBER(K828)),"Taux de TVA invalide",IF(COUNTIF(p_rates,K828)=0,"Taux de TVA hors liste (Paramètres)",IF(N(O828)&gt;25,"Au-delà de 25 lignes : non imprimée","OK")))))))))))))</f>
        <v/>
      </c>
      <c r="O828" s="59" t="str">
        <f>IF(A828="","",COUNTIF($A$6:A828,A828))</f>
        <v/>
      </c>
      <c r="P828" s="62" t="str">
        <f>IF(A828="","",A828&amp;"|"&amp;O828)</f>
        <v/>
      </c>
    </row>
    <row r="829">
      <c r="A829" s="60" t="n"/>
      <c r="B829" s="63" t="n"/>
      <c r="C829" s="63" t="n"/>
      <c r="D829" s="67" t="n"/>
      <c r="E829" s="68" t="n"/>
      <c r="F829" s="69" t="n"/>
      <c r="G829" s="70" t="n"/>
      <c r="H829" s="62" t="str">
        <f>IF(COUNTA(A829:G829)=0,"",IF(C829&lt;&gt;"",C829,IF(B829="","",IFERROR(INDEX(pr_des,MATCH(B829,pr_code,0))&amp;"",""))))</f>
        <v/>
      </c>
      <c r="I829" s="59" t="str">
        <f>IF(B829="","",IFERROR(INDEX(pr_unit,MATCH(B829,pr_code,0))&amp;"",""))</f>
        <v/>
      </c>
      <c r="J829" s="65" t="str">
        <f>IF(COUNTA(A829:G829)=0,"",IF(E829&lt;&gt;"",E829,IF(B829="","",IFERROR(IF(INDEX(pr_price,MATCH(B829,pr_code,0))="","",INDEX(pr_price,MATCH(B829,pr_code,0))),""))))</f>
        <v/>
      </c>
      <c r="K829" s="71" t="str">
        <f>IF(COUNTA(A829:G829)=0,"",IF(G829&lt;&gt;"",G829,IF(B829="","",IFERROR(IF(INDEX(pr_rate,MATCH(B829,pr_code,0))="","",INDEX(pr_rate,MATCH(B829,pr_code,0))),""))))</f>
        <v/>
      </c>
      <c r="L829" s="65" t="str">
        <f>IF(COUNTA(A829:G829)=0,"",IF(AND(ISNUMBER(D829),ISNUMBER(J829)),ROUND(D829*J829*(1-N(F829)),2),0))</f>
        <v/>
      </c>
      <c r="M829" s="62" t="str">
        <f>IF(A829="","",IFERROR(INDEX(dv_cname,MATCH(A829,dv_num,0))&amp;"",""))</f>
        <v/>
      </c>
      <c r="N829" s="59" t="str">
        <f>IF(COUNTA(A829:G829)=0,"",IF(A829="","N° devis manquant",IF(ISNA(MATCH(A829,dv_num,0)),"Devis inconnu",IF(AND(B829&lt;&gt;"",ISNA(MATCH(B829,pr_code,0))),"Article inconnu",IF(H829="","Désignation manquante",IF(OR(NOT(ISNUMBER(D829)),N(D829)&lt;=0),"Quantité invalide",IF(J829="","Prix manquant",IF(OR(NOT(ISNUMBER(J829)),N(J829)&lt;0),"Prix invalide",IF(OR(AND(F829&lt;&gt;"",NOT(ISNUMBER(F829))),N(F829)&lt;0,N(F829)&gt;1),"Remise invalide",IF(K829="","Taux de TVA manquant",IF(NOT(ISNUMBER(K829)),"Taux de TVA invalide",IF(COUNTIF(p_rates,K829)=0,"Taux de TVA hors liste (Paramètres)",IF(N(O829)&gt;25,"Au-delà de 25 lignes : non imprimée","OK")))))))))))))</f>
        <v/>
      </c>
      <c r="O829" s="59" t="str">
        <f>IF(A829="","",COUNTIF($A$6:A829,A829))</f>
        <v/>
      </c>
      <c r="P829" s="62" t="str">
        <f>IF(A829="","",A829&amp;"|"&amp;O829)</f>
        <v/>
      </c>
    </row>
    <row r="830">
      <c r="A830" s="60" t="n"/>
      <c r="B830" s="63" t="n"/>
      <c r="C830" s="63" t="n"/>
      <c r="D830" s="67" t="n"/>
      <c r="E830" s="68" t="n"/>
      <c r="F830" s="69" t="n"/>
      <c r="G830" s="70" t="n"/>
      <c r="H830" s="62" t="str">
        <f>IF(COUNTA(A830:G830)=0,"",IF(C830&lt;&gt;"",C830,IF(B830="","",IFERROR(INDEX(pr_des,MATCH(B830,pr_code,0))&amp;"",""))))</f>
        <v/>
      </c>
      <c r="I830" s="59" t="str">
        <f>IF(B830="","",IFERROR(INDEX(pr_unit,MATCH(B830,pr_code,0))&amp;"",""))</f>
        <v/>
      </c>
      <c r="J830" s="65" t="str">
        <f>IF(COUNTA(A830:G830)=0,"",IF(E830&lt;&gt;"",E830,IF(B830="","",IFERROR(IF(INDEX(pr_price,MATCH(B830,pr_code,0))="","",INDEX(pr_price,MATCH(B830,pr_code,0))),""))))</f>
        <v/>
      </c>
      <c r="K830" s="71" t="str">
        <f>IF(COUNTA(A830:G830)=0,"",IF(G830&lt;&gt;"",G830,IF(B830="","",IFERROR(IF(INDEX(pr_rate,MATCH(B830,pr_code,0))="","",INDEX(pr_rate,MATCH(B830,pr_code,0))),""))))</f>
        <v/>
      </c>
      <c r="L830" s="65" t="str">
        <f>IF(COUNTA(A830:G830)=0,"",IF(AND(ISNUMBER(D830),ISNUMBER(J830)),ROUND(D830*J830*(1-N(F830)),2),0))</f>
        <v/>
      </c>
      <c r="M830" s="62" t="str">
        <f>IF(A830="","",IFERROR(INDEX(dv_cname,MATCH(A830,dv_num,0))&amp;"",""))</f>
        <v/>
      </c>
      <c r="N830" s="59" t="str">
        <f>IF(COUNTA(A830:G830)=0,"",IF(A830="","N° devis manquant",IF(ISNA(MATCH(A830,dv_num,0)),"Devis inconnu",IF(AND(B830&lt;&gt;"",ISNA(MATCH(B830,pr_code,0))),"Article inconnu",IF(H830="","Désignation manquante",IF(OR(NOT(ISNUMBER(D830)),N(D830)&lt;=0),"Quantité invalide",IF(J830="","Prix manquant",IF(OR(NOT(ISNUMBER(J830)),N(J830)&lt;0),"Prix invalide",IF(OR(AND(F830&lt;&gt;"",NOT(ISNUMBER(F830))),N(F830)&lt;0,N(F830)&gt;1),"Remise invalide",IF(K830="","Taux de TVA manquant",IF(NOT(ISNUMBER(K830)),"Taux de TVA invalide",IF(COUNTIF(p_rates,K830)=0,"Taux de TVA hors liste (Paramètres)",IF(N(O830)&gt;25,"Au-delà de 25 lignes : non imprimée","OK")))))))))))))</f>
        <v/>
      </c>
      <c r="O830" s="59" t="str">
        <f>IF(A830="","",COUNTIF($A$6:A830,A830))</f>
        <v/>
      </c>
      <c r="P830" s="62" t="str">
        <f>IF(A830="","",A830&amp;"|"&amp;O830)</f>
        <v/>
      </c>
    </row>
    <row r="831">
      <c r="A831" s="60" t="n"/>
      <c r="B831" s="63" t="n"/>
      <c r="C831" s="63" t="n"/>
      <c r="D831" s="67" t="n"/>
      <c r="E831" s="68" t="n"/>
      <c r="F831" s="69" t="n"/>
      <c r="G831" s="70" t="n"/>
      <c r="H831" s="62" t="str">
        <f>IF(COUNTA(A831:G831)=0,"",IF(C831&lt;&gt;"",C831,IF(B831="","",IFERROR(INDEX(pr_des,MATCH(B831,pr_code,0))&amp;"",""))))</f>
        <v/>
      </c>
      <c r="I831" s="59" t="str">
        <f>IF(B831="","",IFERROR(INDEX(pr_unit,MATCH(B831,pr_code,0))&amp;"",""))</f>
        <v/>
      </c>
      <c r="J831" s="65" t="str">
        <f>IF(COUNTA(A831:G831)=0,"",IF(E831&lt;&gt;"",E831,IF(B831="","",IFERROR(IF(INDEX(pr_price,MATCH(B831,pr_code,0))="","",INDEX(pr_price,MATCH(B831,pr_code,0))),""))))</f>
        <v/>
      </c>
      <c r="K831" s="71" t="str">
        <f>IF(COUNTA(A831:G831)=0,"",IF(G831&lt;&gt;"",G831,IF(B831="","",IFERROR(IF(INDEX(pr_rate,MATCH(B831,pr_code,0))="","",INDEX(pr_rate,MATCH(B831,pr_code,0))),""))))</f>
        <v/>
      </c>
      <c r="L831" s="65" t="str">
        <f>IF(COUNTA(A831:G831)=0,"",IF(AND(ISNUMBER(D831),ISNUMBER(J831)),ROUND(D831*J831*(1-N(F831)),2),0))</f>
        <v/>
      </c>
      <c r="M831" s="62" t="str">
        <f>IF(A831="","",IFERROR(INDEX(dv_cname,MATCH(A831,dv_num,0))&amp;"",""))</f>
        <v/>
      </c>
      <c r="N831" s="59" t="str">
        <f>IF(COUNTA(A831:G831)=0,"",IF(A831="","N° devis manquant",IF(ISNA(MATCH(A831,dv_num,0)),"Devis inconnu",IF(AND(B831&lt;&gt;"",ISNA(MATCH(B831,pr_code,0))),"Article inconnu",IF(H831="","Désignation manquante",IF(OR(NOT(ISNUMBER(D831)),N(D831)&lt;=0),"Quantité invalide",IF(J831="","Prix manquant",IF(OR(NOT(ISNUMBER(J831)),N(J831)&lt;0),"Prix invalide",IF(OR(AND(F831&lt;&gt;"",NOT(ISNUMBER(F831))),N(F831)&lt;0,N(F831)&gt;1),"Remise invalide",IF(K831="","Taux de TVA manquant",IF(NOT(ISNUMBER(K831)),"Taux de TVA invalide",IF(COUNTIF(p_rates,K831)=0,"Taux de TVA hors liste (Paramètres)",IF(N(O831)&gt;25,"Au-delà de 25 lignes : non imprimée","OK")))))))))))))</f>
        <v/>
      </c>
      <c r="O831" s="59" t="str">
        <f>IF(A831="","",COUNTIF($A$6:A831,A831))</f>
        <v/>
      </c>
      <c r="P831" s="62" t="str">
        <f>IF(A831="","",A831&amp;"|"&amp;O831)</f>
        <v/>
      </c>
    </row>
    <row r="832">
      <c r="A832" s="60" t="n"/>
      <c r="B832" s="63" t="n"/>
      <c r="C832" s="63" t="n"/>
      <c r="D832" s="67" t="n"/>
      <c r="E832" s="68" t="n"/>
      <c r="F832" s="69" t="n"/>
      <c r="G832" s="70" t="n"/>
      <c r="H832" s="62" t="str">
        <f>IF(COUNTA(A832:G832)=0,"",IF(C832&lt;&gt;"",C832,IF(B832="","",IFERROR(INDEX(pr_des,MATCH(B832,pr_code,0))&amp;"",""))))</f>
        <v/>
      </c>
      <c r="I832" s="59" t="str">
        <f>IF(B832="","",IFERROR(INDEX(pr_unit,MATCH(B832,pr_code,0))&amp;"",""))</f>
        <v/>
      </c>
      <c r="J832" s="65" t="str">
        <f>IF(COUNTA(A832:G832)=0,"",IF(E832&lt;&gt;"",E832,IF(B832="","",IFERROR(IF(INDEX(pr_price,MATCH(B832,pr_code,0))="","",INDEX(pr_price,MATCH(B832,pr_code,0))),""))))</f>
        <v/>
      </c>
      <c r="K832" s="71" t="str">
        <f>IF(COUNTA(A832:G832)=0,"",IF(G832&lt;&gt;"",G832,IF(B832="","",IFERROR(IF(INDEX(pr_rate,MATCH(B832,pr_code,0))="","",INDEX(pr_rate,MATCH(B832,pr_code,0))),""))))</f>
        <v/>
      </c>
      <c r="L832" s="65" t="str">
        <f>IF(COUNTA(A832:G832)=0,"",IF(AND(ISNUMBER(D832),ISNUMBER(J832)),ROUND(D832*J832*(1-N(F832)),2),0))</f>
        <v/>
      </c>
      <c r="M832" s="62" t="str">
        <f>IF(A832="","",IFERROR(INDEX(dv_cname,MATCH(A832,dv_num,0))&amp;"",""))</f>
        <v/>
      </c>
      <c r="N832" s="59" t="str">
        <f>IF(COUNTA(A832:G832)=0,"",IF(A832="","N° devis manquant",IF(ISNA(MATCH(A832,dv_num,0)),"Devis inconnu",IF(AND(B832&lt;&gt;"",ISNA(MATCH(B832,pr_code,0))),"Article inconnu",IF(H832="","Désignation manquante",IF(OR(NOT(ISNUMBER(D832)),N(D832)&lt;=0),"Quantité invalide",IF(J832="","Prix manquant",IF(OR(NOT(ISNUMBER(J832)),N(J832)&lt;0),"Prix invalide",IF(OR(AND(F832&lt;&gt;"",NOT(ISNUMBER(F832))),N(F832)&lt;0,N(F832)&gt;1),"Remise invalide",IF(K832="","Taux de TVA manquant",IF(NOT(ISNUMBER(K832)),"Taux de TVA invalide",IF(COUNTIF(p_rates,K832)=0,"Taux de TVA hors liste (Paramètres)",IF(N(O832)&gt;25,"Au-delà de 25 lignes : non imprimée","OK")))))))))))))</f>
        <v/>
      </c>
      <c r="O832" s="59" t="str">
        <f>IF(A832="","",COUNTIF($A$6:A832,A832))</f>
        <v/>
      </c>
      <c r="P832" s="62" t="str">
        <f>IF(A832="","",A832&amp;"|"&amp;O832)</f>
        <v/>
      </c>
    </row>
    <row r="833">
      <c r="A833" s="60" t="n"/>
      <c r="B833" s="63" t="n"/>
      <c r="C833" s="63" t="n"/>
      <c r="D833" s="67" t="n"/>
      <c r="E833" s="68" t="n"/>
      <c r="F833" s="69" t="n"/>
      <c r="G833" s="70" t="n"/>
      <c r="H833" s="62" t="str">
        <f>IF(COUNTA(A833:G833)=0,"",IF(C833&lt;&gt;"",C833,IF(B833="","",IFERROR(INDEX(pr_des,MATCH(B833,pr_code,0))&amp;"",""))))</f>
        <v/>
      </c>
      <c r="I833" s="59" t="str">
        <f>IF(B833="","",IFERROR(INDEX(pr_unit,MATCH(B833,pr_code,0))&amp;"",""))</f>
        <v/>
      </c>
      <c r="J833" s="65" t="str">
        <f>IF(COUNTA(A833:G833)=0,"",IF(E833&lt;&gt;"",E833,IF(B833="","",IFERROR(IF(INDEX(pr_price,MATCH(B833,pr_code,0))="","",INDEX(pr_price,MATCH(B833,pr_code,0))),""))))</f>
        <v/>
      </c>
      <c r="K833" s="71" t="str">
        <f>IF(COUNTA(A833:G833)=0,"",IF(G833&lt;&gt;"",G833,IF(B833="","",IFERROR(IF(INDEX(pr_rate,MATCH(B833,pr_code,0))="","",INDEX(pr_rate,MATCH(B833,pr_code,0))),""))))</f>
        <v/>
      </c>
      <c r="L833" s="65" t="str">
        <f>IF(COUNTA(A833:G833)=0,"",IF(AND(ISNUMBER(D833),ISNUMBER(J833)),ROUND(D833*J833*(1-N(F833)),2),0))</f>
        <v/>
      </c>
      <c r="M833" s="62" t="str">
        <f>IF(A833="","",IFERROR(INDEX(dv_cname,MATCH(A833,dv_num,0))&amp;"",""))</f>
        <v/>
      </c>
      <c r="N833" s="59" t="str">
        <f>IF(COUNTA(A833:G833)=0,"",IF(A833="","N° devis manquant",IF(ISNA(MATCH(A833,dv_num,0)),"Devis inconnu",IF(AND(B833&lt;&gt;"",ISNA(MATCH(B833,pr_code,0))),"Article inconnu",IF(H833="","Désignation manquante",IF(OR(NOT(ISNUMBER(D833)),N(D833)&lt;=0),"Quantité invalide",IF(J833="","Prix manquant",IF(OR(NOT(ISNUMBER(J833)),N(J833)&lt;0),"Prix invalide",IF(OR(AND(F833&lt;&gt;"",NOT(ISNUMBER(F833))),N(F833)&lt;0,N(F833)&gt;1),"Remise invalide",IF(K833="","Taux de TVA manquant",IF(NOT(ISNUMBER(K833)),"Taux de TVA invalide",IF(COUNTIF(p_rates,K833)=0,"Taux de TVA hors liste (Paramètres)",IF(N(O833)&gt;25,"Au-delà de 25 lignes : non imprimée","OK")))))))))))))</f>
        <v/>
      </c>
      <c r="O833" s="59" t="str">
        <f>IF(A833="","",COUNTIF($A$6:A833,A833))</f>
        <v/>
      </c>
      <c r="P833" s="62" t="str">
        <f>IF(A833="","",A833&amp;"|"&amp;O833)</f>
        <v/>
      </c>
    </row>
    <row r="834">
      <c r="A834" s="60" t="n"/>
      <c r="B834" s="63" t="n"/>
      <c r="C834" s="63" t="n"/>
      <c r="D834" s="67" t="n"/>
      <c r="E834" s="68" t="n"/>
      <c r="F834" s="69" t="n"/>
      <c r="G834" s="70" t="n"/>
      <c r="H834" s="62" t="str">
        <f>IF(COUNTA(A834:G834)=0,"",IF(C834&lt;&gt;"",C834,IF(B834="","",IFERROR(INDEX(pr_des,MATCH(B834,pr_code,0))&amp;"",""))))</f>
        <v/>
      </c>
      <c r="I834" s="59" t="str">
        <f>IF(B834="","",IFERROR(INDEX(pr_unit,MATCH(B834,pr_code,0))&amp;"",""))</f>
        <v/>
      </c>
      <c r="J834" s="65" t="str">
        <f>IF(COUNTA(A834:G834)=0,"",IF(E834&lt;&gt;"",E834,IF(B834="","",IFERROR(IF(INDEX(pr_price,MATCH(B834,pr_code,0))="","",INDEX(pr_price,MATCH(B834,pr_code,0))),""))))</f>
        <v/>
      </c>
      <c r="K834" s="71" t="str">
        <f>IF(COUNTA(A834:G834)=0,"",IF(G834&lt;&gt;"",G834,IF(B834="","",IFERROR(IF(INDEX(pr_rate,MATCH(B834,pr_code,0))="","",INDEX(pr_rate,MATCH(B834,pr_code,0))),""))))</f>
        <v/>
      </c>
      <c r="L834" s="65" t="str">
        <f>IF(COUNTA(A834:G834)=0,"",IF(AND(ISNUMBER(D834),ISNUMBER(J834)),ROUND(D834*J834*(1-N(F834)),2),0))</f>
        <v/>
      </c>
      <c r="M834" s="62" t="str">
        <f>IF(A834="","",IFERROR(INDEX(dv_cname,MATCH(A834,dv_num,0))&amp;"",""))</f>
        <v/>
      </c>
      <c r="N834" s="59" t="str">
        <f>IF(COUNTA(A834:G834)=0,"",IF(A834="","N° devis manquant",IF(ISNA(MATCH(A834,dv_num,0)),"Devis inconnu",IF(AND(B834&lt;&gt;"",ISNA(MATCH(B834,pr_code,0))),"Article inconnu",IF(H834="","Désignation manquante",IF(OR(NOT(ISNUMBER(D834)),N(D834)&lt;=0),"Quantité invalide",IF(J834="","Prix manquant",IF(OR(NOT(ISNUMBER(J834)),N(J834)&lt;0),"Prix invalide",IF(OR(AND(F834&lt;&gt;"",NOT(ISNUMBER(F834))),N(F834)&lt;0,N(F834)&gt;1),"Remise invalide",IF(K834="","Taux de TVA manquant",IF(NOT(ISNUMBER(K834)),"Taux de TVA invalide",IF(COUNTIF(p_rates,K834)=0,"Taux de TVA hors liste (Paramètres)",IF(N(O834)&gt;25,"Au-delà de 25 lignes : non imprimée","OK")))))))))))))</f>
        <v/>
      </c>
      <c r="O834" s="59" t="str">
        <f>IF(A834="","",COUNTIF($A$6:A834,A834))</f>
        <v/>
      </c>
      <c r="P834" s="62" t="str">
        <f>IF(A834="","",A834&amp;"|"&amp;O834)</f>
        <v/>
      </c>
    </row>
    <row r="835">
      <c r="A835" s="60" t="n"/>
      <c r="B835" s="63" t="n"/>
      <c r="C835" s="63" t="n"/>
      <c r="D835" s="67" t="n"/>
      <c r="E835" s="68" t="n"/>
      <c r="F835" s="69" t="n"/>
      <c r="G835" s="70" t="n"/>
      <c r="H835" s="62" t="str">
        <f>IF(COUNTA(A835:G835)=0,"",IF(C835&lt;&gt;"",C835,IF(B835="","",IFERROR(INDEX(pr_des,MATCH(B835,pr_code,0))&amp;"",""))))</f>
        <v/>
      </c>
      <c r="I835" s="59" t="str">
        <f>IF(B835="","",IFERROR(INDEX(pr_unit,MATCH(B835,pr_code,0))&amp;"",""))</f>
        <v/>
      </c>
      <c r="J835" s="65" t="str">
        <f>IF(COUNTA(A835:G835)=0,"",IF(E835&lt;&gt;"",E835,IF(B835="","",IFERROR(IF(INDEX(pr_price,MATCH(B835,pr_code,0))="","",INDEX(pr_price,MATCH(B835,pr_code,0))),""))))</f>
        <v/>
      </c>
      <c r="K835" s="71" t="str">
        <f>IF(COUNTA(A835:G835)=0,"",IF(G835&lt;&gt;"",G835,IF(B835="","",IFERROR(IF(INDEX(pr_rate,MATCH(B835,pr_code,0))="","",INDEX(pr_rate,MATCH(B835,pr_code,0))),""))))</f>
        <v/>
      </c>
      <c r="L835" s="65" t="str">
        <f>IF(COUNTA(A835:G835)=0,"",IF(AND(ISNUMBER(D835),ISNUMBER(J835)),ROUND(D835*J835*(1-N(F835)),2),0))</f>
        <v/>
      </c>
      <c r="M835" s="62" t="str">
        <f>IF(A835="","",IFERROR(INDEX(dv_cname,MATCH(A835,dv_num,0))&amp;"",""))</f>
        <v/>
      </c>
      <c r="N835" s="59" t="str">
        <f>IF(COUNTA(A835:G835)=0,"",IF(A835="","N° devis manquant",IF(ISNA(MATCH(A835,dv_num,0)),"Devis inconnu",IF(AND(B835&lt;&gt;"",ISNA(MATCH(B835,pr_code,0))),"Article inconnu",IF(H835="","Désignation manquante",IF(OR(NOT(ISNUMBER(D835)),N(D835)&lt;=0),"Quantité invalide",IF(J835="","Prix manquant",IF(OR(NOT(ISNUMBER(J835)),N(J835)&lt;0),"Prix invalide",IF(OR(AND(F835&lt;&gt;"",NOT(ISNUMBER(F835))),N(F835)&lt;0,N(F835)&gt;1),"Remise invalide",IF(K835="","Taux de TVA manquant",IF(NOT(ISNUMBER(K835)),"Taux de TVA invalide",IF(COUNTIF(p_rates,K835)=0,"Taux de TVA hors liste (Paramètres)",IF(N(O835)&gt;25,"Au-delà de 25 lignes : non imprimée","OK")))))))))))))</f>
        <v/>
      </c>
      <c r="O835" s="59" t="str">
        <f>IF(A835="","",COUNTIF($A$6:A835,A835))</f>
        <v/>
      </c>
      <c r="P835" s="62" t="str">
        <f>IF(A835="","",A835&amp;"|"&amp;O835)</f>
        <v/>
      </c>
    </row>
    <row r="836">
      <c r="A836" s="60" t="n"/>
      <c r="B836" s="63" t="n"/>
      <c r="C836" s="63" t="n"/>
      <c r="D836" s="67" t="n"/>
      <c r="E836" s="68" t="n"/>
      <c r="F836" s="69" t="n"/>
      <c r="G836" s="70" t="n"/>
      <c r="H836" s="62" t="str">
        <f>IF(COUNTA(A836:G836)=0,"",IF(C836&lt;&gt;"",C836,IF(B836="","",IFERROR(INDEX(pr_des,MATCH(B836,pr_code,0))&amp;"",""))))</f>
        <v/>
      </c>
      <c r="I836" s="59" t="str">
        <f>IF(B836="","",IFERROR(INDEX(pr_unit,MATCH(B836,pr_code,0))&amp;"",""))</f>
        <v/>
      </c>
      <c r="J836" s="65" t="str">
        <f>IF(COUNTA(A836:G836)=0,"",IF(E836&lt;&gt;"",E836,IF(B836="","",IFERROR(IF(INDEX(pr_price,MATCH(B836,pr_code,0))="","",INDEX(pr_price,MATCH(B836,pr_code,0))),""))))</f>
        <v/>
      </c>
      <c r="K836" s="71" t="str">
        <f>IF(COUNTA(A836:G836)=0,"",IF(G836&lt;&gt;"",G836,IF(B836="","",IFERROR(IF(INDEX(pr_rate,MATCH(B836,pr_code,0))="","",INDEX(pr_rate,MATCH(B836,pr_code,0))),""))))</f>
        <v/>
      </c>
      <c r="L836" s="65" t="str">
        <f>IF(COUNTA(A836:G836)=0,"",IF(AND(ISNUMBER(D836),ISNUMBER(J836)),ROUND(D836*J836*(1-N(F836)),2),0))</f>
        <v/>
      </c>
      <c r="M836" s="62" t="str">
        <f>IF(A836="","",IFERROR(INDEX(dv_cname,MATCH(A836,dv_num,0))&amp;"",""))</f>
        <v/>
      </c>
      <c r="N836" s="59" t="str">
        <f>IF(COUNTA(A836:G836)=0,"",IF(A836="","N° devis manquant",IF(ISNA(MATCH(A836,dv_num,0)),"Devis inconnu",IF(AND(B836&lt;&gt;"",ISNA(MATCH(B836,pr_code,0))),"Article inconnu",IF(H836="","Désignation manquante",IF(OR(NOT(ISNUMBER(D836)),N(D836)&lt;=0),"Quantité invalide",IF(J836="","Prix manquant",IF(OR(NOT(ISNUMBER(J836)),N(J836)&lt;0),"Prix invalide",IF(OR(AND(F836&lt;&gt;"",NOT(ISNUMBER(F836))),N(F836)&lt;0,N(F836)&gt;1),"Remise invalide",IF(K836="","Taux de TVA manquant",IF(NOT(ISNUMBER(K836)),"Taux de TVA invalide",IF(COUNTIF(p_rates,K836)=0,"Taux de TVA hors liste (Paramètres)",IF(N(O836)&gt;25,"Au-delà de 25 lignes : non imprimée","OK")))))))))))))</f>
        <v/>
      </c>
      <c r="O836" s="59" t="str">
        <f>IF(A836="","",COUNTIF($A$6:A836,A836))</f>
        <v/>
      </c>
      <c r="P836" s="62" t="str">
        <f>IF(A836="","",A836&amp;"|"&amp;O836)</f>
        <v/>
      </c>
    </row>
    <row r="837">
      <c r="A837" s="60" t="n"/>
      <c r="B837" s="63" t="n"/>
      <c r="C837" s="63" t="n"/>
      <c r="D837" s="67" t="n"/>
      <c r="E837" s="68" t="n"/>
      <c r="F837" s="69" t="n"/>
      <c r="G837" s="70" t="n"/>
      <c r="H837" s="62" t="str">
        <f>IF(COUNTA(A837:G837)=0,"",IF(C837&lt;&gt;"",C837,IF(B837="","",IFERROR(INDEX(pr_des,MATCH(B837,pr_code,0))&amp;"",""))))</f>
        <v/>
      </c>
      <c r="I837" s="59" t="str">
        <f>IF(B837="","",IFERROR(INDEX(pr_unit,MATCH(B837,pr_code,0))&amp;"",""))</f>
        <v/>
      </c>
      <c r="J837" s="65" t="str">
        <f>IF(COUNTA(A837:G837)=0,"",IF(E837&lt;&gt;"",E837,IF(B837="","",IFERROR(IF(INDEX(pr_price,MATCH(B837,pr_code,0))="","",INDEX(pr_price,MATCH(B837,pr_code,0))),""))))</f>
        <v/>
      </c>
      <c r="K837" s="71" t="str">
        <f>IF(COUNTA(A837:G837)=0,"",IF(G837&lt;&gt;"",G837,IF(B837="","",IFERROR(IF(INDEX(pr_rate,MATCH(B837,pr_code,0))="","",INDEX(pr_rate,MATCH(B837,pr_code,0))),""))))</f>
        <v/>
      </c>
      <c r="L837" s="65" t="str">
        <f>IF(COUNTA(A837:G837)=0,"",IF(AND(ISNUMBER(D837),ISNUMBER(J837)),ROUND(D837*J837*(1-N(F837)),2),0))</f>
        <v/>
      </c>
      <c r="M837" s="62" t="str">
        <f>IF(A837="","",IFERROR(INDEX(dv_cname,MATCH(A837,dv_num,0))&amp;"",""))</f>
        <v/>
      </c>
      <c r="N837" s="59" t="str">
        <f>IF(COUNTA(A837:G837)=0,"",IF(A837="","N° devis manquant",IF(ISNA(MATCH(A837,dv_num,0)),"Devis inconnu",IF(AND(B837&lt;&gt;"",ISNA(MATCH(B837,pr_code,0))),"Article inconnu",IF(H837="","Désignation manquante",IF(OR(NOT(ISNUMBER(D837)),N(D837)&lt;=0),"Quantité invalide",IF(J837="","Prix manquant",IF(OR(NOT(ISNUMBER(J837)),N(J837)&lt;0),"Prix invalide",IF(OR(AND(F837&lt;&gt;"",NOT(ISNUMBER(F837))),N(F837)&lt;0,N(F837)&gt;1),"Remise invalide",IF(K837="","Taux de TVA manquant",IF(NOT(ISNUMBER(K837)),"Taux de TVA invalide",IF(COUNTIF(p_rates,K837)=0,"Taux de TVA hors liste (Paramètres)",IF(N(O837)&gt;25,"Au-delà de 25 lignes : non imprimée","OK")))))))))))))</f>
        <v/>
      </c>
      <c r="O837" s="59" t="str">
        <f>IF(A837="","",COUNTIF($A$6:A837,A837))</f>
        <v/>
      </c>
      <c r="P837" s="62" t="str">
        <f>IF(A837="","",A837&amp;"|"&amp;O837)</f>
        <v/>
      </c>
    </row>
    <row r="838">
      <c r="A838" s="60" t="n"/>
      <c r="B838" s="63" t="n"/>
      <c r="C838" s="63" t="n"/>
      <c r="D838" s="67" t="n"/>
      <c r="E838" s="68" t="n"/>
      <c r="F838" s="69" t="n"/>
      <c r="G838" s="70" t="n"/>
      <c r="H838" s="62" t="str">
        <f>IF(COUNTA(A838:G838)=0,"",IF(C838&lt;&gt;"",C838,IF(B838="","",IFERROR(INDEX(pr_des,MATCH(B838,pr_code,0))&amp;"",""))))</f>
        <v/>
      </c>
      <c r="I838" s="59" t="str">
        <f>IF(B838="","",IFERROR(INDEX(pr_unit,MATCH(B838,pr_code,0))&amp;"",""))</f>
        <v/>
      </c>
      <c r="J838" s="65" t="str">
        <f>IF(COUNTA(A838:G838)=0,"",IF(E838&lt;&gt;"",E838,IF(B838="","",IFERROR(IF(INDEX(pr_price,MATCH(B838,pr_code,0))="","",INDEX(pr_price,MATCH(B838,pr_code,0))),""))))</f>
        <v/>
      </c>
      <c r="K838" s="71" t="str">
        <f>IF(COUNTA(A838:G838)=0,"",IF(G838&lt;&gt;"",G838,IF(B838="","",IFERROR(IF(INDEX(pr_rate,MATCH(B838,pr_code,0))="","",INDEX(pr_rate,MATCH(B838,pr_code,0))),""))))</f>
        <v/>
      </c>
      <c r="L838" s="65" t="str">
        <f>IF(COUNTA(A838:G838)=0,"",IF(AND(ISNUMBER(D838),ISNUMBER(J838)),ROUND(D838*J838*(1-N(F838)),2),0))</f>
        <v/>
      </c>
      <c r="M838" s="62" t="str">
        <f>IF(A838="","",IFERROR(INDEX(dv_cname,MATCH(A838,dv_num,0))&amp;"",""))</f>
        <v/>
      </c>
      <c r="N838" s="59" t="str">
        <f>IF(COUNTA(A838:G838)=0,"",IF(A838="","N° devis manquant",IF(ISNA(MATCH(A838,dv_num,0)),"Devis inconnu",IF(AND(B838&lt;&gt;"",ISNA(MATCH(B838,pr_code,0))),"Article inconnu",IF(H838="","Désignation manquante",IF(OR(NOT(ISNUMBER(D838)),N(D838)&lt;=0),"Quantité invalide",IF(J838="","Prix manquant",IF(OR(NOT(ISNUMBER(J838)),N(J838)&lt;0),"Prix invalide",IF(OR(AND(F838&lt;&gt;"",NOT(ISNUMBER(F838))),N(F838)&lt;0,N(F838)&gt;1),"Remise invalide",IF(K838="","Taux de TVA manquant",IF(NOT(ISNUMBER(K838)),"Taux de TVA invalide",IF(COUNTIF(p_rates,K838)=0,"Taux de TVA hors liste (Paramètres)",IF(N(O838)&gt;25,"Au-delà de 25 lignes : non imprimée","OK")))))))))))))</f>
        <v/>
      </c>
      <c r="O838" s="59" t="str">
        <f>IF(A838="","",COUNTIF($A$6:A838,A838))</f>
        <v/>
      </c>
      <c r="P838" s="62" t="str">
        <f>IF(A838="","",A838&amp;"|"&amp;O838)</f>
        <v/>
      </c>
    </row>
    <row r="839">
      <c r="A839" s="60" t="n"/>
      <c r="B839" s="63" t="n"/>
      <c r="C839" s="63" t="n"/>
      <c r="D839" s="67" t="n"/>
      <c r="E839" s="68" t="n"/>
      <c r="F839" s="69" t="n"/>
      <c r="G839" s="70" t="n"/>
      <c r="H839" s="62" t="str">
        <f>IF(COUNTA(A839:G839)=0,"",IF(C839&lt;&gt;"",C839,IF(B839="","",IFERROR(INDEX(pr_des,MATCH(B839,pr_code,0))&amp;"",""))))</f>
        <v/>
      </c>
      <c r="I839" s="59" t="str">
        <f>IF(B839="","",IFERROR(INDEX(pr_unit,MATCH(B839,pr_code,0))&amp;"",""))</f>
        <v/>
      </c>
      <c r="J839" s="65" t="str">
        <f>IF(COUNTA(A839:G839)=0,"",IF(E839&lt;&gt;"",E839,IF(B839="","",IFERROR(IF(INDEX(pr_price,MATCH(B839,pr_code,0))="","",INDEX(pr_price,MATCH(B839,pr_code,0))),""))))</f>
        <v/>
      </c>
      <c r="K839" s="71" t="str">
        <f>IF(COUNTA(A839:G839)=0,"",IF(G839&lt;&gt;"",G839,IF(B839="","",IFERROR(IF(INDEX(pr_rate,MATCH(B839,pr_code,0))="","",INDEX(pr_rate,MATCH(B839,pr_code,0))),""))))</f>
        <v/>
      </c>
      <c r="L839" s="65" t="str">
        <f>IF(COUNTA(A839:G839)=0,"",IF(AND(ISNUMBER(D839),ISNUMBER(J839)),ROUND(D839*J839*(1-N(F839)),2),0))</f>
        <v/>
      </c>
      <c r="M839" s="62" t="str">
        <f>IF(A839="","",IFERROR(INDEX(dv_cname,MATCH(A839,dv_num,0))&amp;"",""))</f>
        <v/>
      </c>
      <c r="N839" s="59" t="str">
        <f>IF(COUNTA(A839:G839)=0,"",IF(A839="","N° devis manquant",IF(ISNA(MATCH(A839,dv_num,0)),"Devis inconnu",IF(AND(B839&lt;&gt;"",ISNA(MATCH(B839,pr_code,0))),"Article inconnu",IF(H839="","Désignation manquante",IF(OR(NOT(ISNUMBER(D839)),N(D839)&lt;=0),"Quantité invalide",IF(J839="","Prix manquant",IF(OR(NOT(ISNUMBER(J839)),N(J839)&lt;0),"Prix invalide",IF(OR(AND(F839&lt;&gt;"",NOT(ISNUMBER(F839))),N(F839)&lt;0,N(F839)&gt;1),"Remise invalide",IF(K839="","Taux de TVA manquant",IF(NOT(ISNUMBER(K839)),"Taux de TVA invalide",IF(COUNTIF(p_rates,K839)=0,"Taux de TVA hors liste (Paramètres)",IF(N(O839)&gt;25,"Au-delà de 25 lignes : non imprimée","OK")))))))))))))</f>
        <v/>
      </c>
      <c r="O839" s="59" t="str">
        <f>IF(A839="","",COUNTIF($A$6:A839,A839))</f>
        <v/>
      </c>
      <c r="P839" s="62" t="str">
        <f>IF(A839="","",A839&amp;"|"&amp;O839)</f>
        <v/>
      </c>
    </row>
    <row r="840">
      <c r="A840" s="60" t="n"/>
      <c r="B840" s="63" t="n"/>
      <c r="C840" s="63" t="n"/>
      <c r="D840" s="67" t="n"/>
      <c r="E840" s="68" t="n"/>
      <c r="F840" s="69" t="n"/>
      <c r="G840" s="70" t="n"/>
      <c r="H840" s="62" t="str">
        <f>IF(COUNTA(A840:G840)=0,"",IF(C840&lt;&gt;"",C840,IF(B840="","",IFERROR(INDEX(pr_des,MATCH(B840,pr_code,0))&amp;"",""))))</f>
        <v/>
      </c>
      <c r="I840" s="59" t="str">
        <f>IF(B840="","",IFERROR(INDEX(pr_unit,MATCH(B840,pr_code,0))&amp;"",""))</f>
        <v/>
      </c>
      <c r="J840" s="65" t="str">
        <f>IF(COUNTA(A840:G840)=0,"",IF(E840&lt;&gt;"",E840,IF(B840="","",IFERROR(IF(INDEX(pr_price,MATCH(B840,pr_code,0))="","",INDEX(pr_price,MATCH(B840,pr_code,0))),""))))</f>
        <v/>
      </c>
      <c r="K840" s="71" t="str">
        <f>IF(COUNTA(A840:G840)=0,"",IF(G840&lt;&gt;"",G840,IF(B840="","",IFERROR(IF(INDEX(pr_rate,MATCH(B840,pr_code,0))="","",INDEX(pr_rate,MATCH(B840,pr_code,0))),""))))</f>
        <v/>
      </c>
      <c r="L840" s="65" t="str">
        <f>IF(COUNTA(A840:G840)=0,"",IF(AND(ISNUMBER(D840),ISNUMBER(J840)),ROUND(D840*J840*(1-N(F840)),2),0))</f>
        <v/>
      </c>
      <c r="M840" s="62" t="str">
        <f>IF(A840="","",IFERROR(INDEX(dv_cname,MATCH(A840,dv_num,0))&amp;"",""))</f>
        <v/>
      </c>
      <c r="N840" s="59" t="str">
        <f>IF(COUNTA(A840:G840)=0,"",IF(A840="","N° devis manquant",IF(ISNA(MATCH(A840,dv_num,0)),"Devis inconnu",IF(AND(B840&lt;&gt;"",ISNA(MATCH(B840,pr_code,0))),"Article inconnu",IF(H840="","Désignation manquante",IF(OR(NOT(ISNUMBER(D840)),N(D840)&lt;=0),"Quantité invalide",IF(J840="","Prix manquant",IF(OR(NOT(ISNUMBER(J840)),N(J840)&lt;0),"Prix invalide",IF(OR(AND(F840&lt;&gt;"",NOT(ISNUMBER(F840))),N(F840)&lt;0,N(F840)&gt;1),"Remise invalide",IF(K840="","Taux de TVA manquant",IF(NOT(ISNUMBER(K840)),"Taux de TVA invalide",IF(COUNTIF(p_rates,K840)=0,"Taux de TVA hors liste (Paramètres)",IF(N(O840)&gt;25,"Au-delà de 25 lignes : non imprimée","OK")))))))))))))</f>
        <v/>
      </c>
      <c r="O840" s="59" t="str">
        <f>IF(A840="","",COUNTIF($A$6:A840,A840))</f>
        <v/>
      </c>
      <c r="P840" s="62" t="str">
        <f>IF(A840="","",A840&amp;"|"&amp;O840)</f>
        <v/>
      </c>
    </row>
    <row r="841">
      <c r="A841" s="60" t="n"/>
      <c r="B841" s="63" t="n"/>
      <c r="C841" s="63" t="n"/>
      <c r="D841" s="67" t="n"/>
      <c r="E841" s="68" t="n"/>
      <c r="F841" s="69" t="n"/>
      <c r="G841" s="70" t="n"/>
      <c r="H841" s="62" t="str">
        <f>IF(COUNTA(A841:G841)=0,"",IF(C841&lt;&gt;"",C841,IF(B841="","",IFERROR(INDEX(pr_des,MATCH(B841,pr_code,0))&amp;"",""))))</f>
        <v/>
      </c>
      <c r="I841" s="59" t="str">
        <f>IF(B841="","",IFERROR(INDEX(pr_unit,MATCH(B841,pr_code,0))&amp;"",""))</f>
        <v/>
      </c>
      <c r="J841" s="65" t="str">
        <f>IF(COUNTA(A841:G841)=0,"",IF(E841&lt;&gt;"",E841,IF(B841="","",IFERROR(IF(INDEX(pr_price,MATCH(B841,pr_code,0))="","",INDEX(pr_price,MATCH(B841,pr_code,0))),""))))</f>
        <v/>
      </c>
      <c r="K841" s="71" t="str">
        <f>IF(COUNTA(A841:G841)=0,"",IF(G841&lt;&gt;"",G841,IF(B841="","",IFERROR(IF(INDEX(pr_rate,MATCH(B841,pr_code,0))="","",INDEX(pr_rate,MATCH(B841,pr_code,0))),""))))</f>
        <v/>
      </c>
      <c r="L841" s="65" t="str">
        <f>IF(COUNTA(A841:G841)=0,"",IF(AND(ISNUMBER(D841),ISNUMBER(J841)),ROUND(D841*J841*(1-N(F841)),2),0))</f>
        <v/>
      </c>
      <c r="M841" s="62" t="str">
        <f>IF(A841="","",IFERROR(INDEX(dv_cname,MATCH(A841,dv_num,0))&amp;"",""))</f>
        <v/>
      </c>
      <c r="N841" s="59" t="str">
        <f>IF(COUNTA(A841:G841)=0,"",IF(A841="","N° devis manquant",IF(ISNA(MATCH(A841,dv_num,0)),"Devis inconnu",IF(AND(B841&lt;&gt;"",ISNA(MATCH(B841,pr_code,0))),"Article inconnu",IF(H841="","Désignation manquante",IF(OR(NOT(ISNUMBER(D841)),N(D841)&lt;=0),"Quantité invalide",IF(J841="","Prix manquant",IF(OR(NOT(ISNUMBER(J841)),N(J841)&lt;0),"Prix invalide",IF(OR(AND(F841&lt;&gt;"",NOT(ISNUMBER(F841))),N(F841)&lt;0,N(F841)&gt;1),"Remise invalide",IF(K841="","Taux de TVA manquant",IF(NOT(ISNUMBER(K841)),"Taux de TVA invalide",IF(COUNTIF(p_rates,K841)=0,"Taux de TVA hors liste (Paramètres)",IF(N(O841)&gt;25,"Au-delà de 25 lignes : non imprimée","OK")))))))))))))</f>
        <v/>
      </c>
      <c r="O841" s="59" t="str">
        <f>IF(A841="","",COUNTIF($A$6:A841,A841))</f>
        <v/>
      </c>
      <c r="P841" s="62" t="str">
        <f>IF(A841="","",A841&amp;"|"&amp;O841)</f>
        <v/>
      </c>
    </row>
    <row r="842">
      <c r="A842" s="60" t="n"/>
      <c r="B842" s="63" t="n"/>
      <c r="C842" s="63" t="n"/>
      <c r="D842" s="67" t="n"/>
      <c r="E842" s="68" t="n"/>
      <c r="F842" s="69" t="n"/>
      <c r="G842" s="70" t="n"/>
      <c r="H842" s="62" t="str">
        <f>IF(COUNTA(A842:G842)=0,"",IF(C842&lt;&gt;"",C842,IF(B842="","",IFERROR(INDEX(pr_des,MATCH(B842,pr_code,0))&amp;"",""))))</f>
        <v/>
      </c>
      <c r="I842" s="59" t="str">
        <f>IF(B842="","",IFERROR(INDEX(pr_unit,MATCH(B842,pr_code,0))&amp;"",""))</f>
        <v/>
      </c>
      <c r="J842" s="65" t="str">
        <f>IF(COUNTA(A842:G842)=0,"",IF(E842&lt;&gt;"",E842,IF(B842="","",IFERROR(IF(INDEX(pr_price,MATCH(B842,pr_code,0))="","",INDEX(pr_price,MATCH(B842,pr_code,0))),""))))</f>
        <v/>
      </c>
      <c r="K842" s="71" t="str">
        <f>IF(COUNTA(A842:G842)=0,"",IF(G842&lt;&gt;"",G842,IF(B842="","",IFERROR(IF(INDEX(pr_rate,MATCH(B842,pr_code,0))="","",INDEX(pr_rate,MATCH(B842,pr_code,0))),""))))</f>
        <v/>
      </c>
      <c r="L842" s="65" t="str">
        <f>IF(COUNTA(A842:G842)=0,"",IF(AND(ISNUMBER(D842),ISNUMBER(J842)),ROUND(D842*J842*(1-N(F842)),2),0))</f>
        <v/>
      </c>
      <c r="M842" s="62" t="str">
        <f>IF(A842="","",IFERROR(INDEX(dv_cname,MATCH(A842,dv_num,0))&amp;"",""))</f>
        <v/>
      </c>
      <c r="N842" s="59" t="str">
        <f>IF(COUNTA(A842:G842)=0,"",IF(A842="","N° devis manquant",IF(ISNA(MATCH(A842,dv_num,0)),"Devis inconnu",IF(AND(B842&lt;&gt;"",ISNA(MATCH(B842,pr_code,0))),"Article inconnu",IF(H842="","Désignation manquante",IF(OR(NOT(ISNUMBER(D842)),N(D842)&lt;=0),"Quantité invalide",IF(J842="","Prix manquant",IF(OR(NOT(ISNUMBER(J842)),N(J842)&lt;0),"Prix invalide",IF(OR(AND(F842&lt;&gt;"",NOT(ISNUMBER(F842))),N(F842)&lt;0,N(F842)&gt;1),"Remise invalide",IF(K842="","Taux de TVA manquant",IF(NOT(ISNUMBER(K842)),"Taux de TVA invalide",IF(COUNTIF(p_rates,K842)=0,"Taux de TVA hors liste (Paramètres)",IF(N(O842)&gt;25,"Au-delà de 25 lignes : non imprimée","OK")))))))))))))</f>
        <v/>
      </c>
      <c r="O842" s="59" t="str">
        <f>IF(A842="","",COUNTIF($A$6:A842,A842))</f>
        <v/>
      </c>
      <c r="P842" s="62" t="str">
        <f>IF(A842="","",A842&amp;"|"&amp;O842)</f>
        <v/>
      </c>
    </row>
    <row r="843">
      <c r="A843" s="60" t="n"/>
      <c r="B843" s="63" t="n"/>
      <c r="C843" s="63" t="n"/>
      <c r="D843" s="67" t="n"/>
      <c r="E843" s="68" t="n"/>
      <c r="F843" s="69" t="n"/>
      <c r="G843" s="70" t="n"/>
      <c r="H843" s="62" t="str">
        <f>IF(COUNTA(A843:G843)=0,"",IF(C843&lt;&gt;"",C843,IF(B843="","",IFERROR(INDEX(pr_des,MATCH(B843,pr_code,0))&amp;"",""))))</f>
        <v/>
      </c>
      <c r="I843" s="59" t="str">
        <f>IF(B843="","",IFERROR(INDEX(pr_unit,MATCH(B843,pr_code,0))&amp;"",""))</f>
        <v/>
      </c>
      <c r="J843" s="65" t="str">
        <f>IF(COUNTA(A843:G843)=0,"",IF(E843&lt;&gt;"",E843,IF(B843="","",IFERROR(IF(INDEX(pr_price,MATCH(B843,pr_code,0))="","",INDEX(pr_price,MATCH(B843,pr_code,0))),""))))</f>
        <v/>
      </c>
      <c r="K843" s="71" t="str">
        <f>IF(COUNTA(A843:G843)=0,"",IF(G843&lt;&gt;"",G843,IF(B843="","",IFERROR(IF(INDEX(pr_rate,MATCH(B843,pr_code,0))="","",INDEX(pr_rate,MATCH(B843,pr_code,0))),""))))</f>
        <v/>
      </c>
      <c r="L843" s="65" t="str">
        <f>IF(COUNTA(A843:G843)=0,"",IF(AND(ISNUMBER(D843),ISNUMBER(J843)),ROUND(D843*J843*(1-N(F843)),2),0))</f>
        <v/>
      </c>
      <c r="M843" s="62" t="str">
        <f>IF(A843="","",IFERROR(INDEX(dv_cname,MATCH(A843,dv_num,0))&amp;"",""))</f>
        <v/>
      </c>
      <c r="N843" s="59" t="str">
        <f>IF(COUNTA(A843:G843)=0,"",IF(A843="","N° devis manquant",IF(ISNA(MATCH(A843,dv_num,0)),"Devis inconnu",IF(AND(B843&lt;&gt;"",ISNA(MATCH(B843,pr_code,0))),"Article inconnu",IF(H843="","Désignation manquante",IF(OR(NOT(ISNUMBER(D843)),N(D843)&lt;=0),"Quantité invalide",IF(J843="","Prix manquant",IF(OR(NOT(ISNUMBER(J843)),N(J843)&lt;0),"Prix invalide",IF(OR(AND(F843&lt;&gt;"",NOT(ISNUMBER(F843))),N(F843)&lt;0,N(F843)&gt;1),"Remise invalide",IF(K843="","Taux de TVA manquant",IF(NOT(ISNUMBER(K843)),"Taux de TVA invalide",IF(COUNTIF(p_rates,K843)=0,"Taux de TVA hors liste (Paramètres)",IF(N(O843)&gt;25,"Au-delà de 25 lignes : non imprimée","OK")))))))))))))</f>
        <v/>
      </c>
      <c r="O843" s="59" t="str">
        <f>IF(A843="","",COUNTIF($A$6:A843,A843))</f>
        <v/>
      </c>
      <c r="P843" s="62" t="str">
        <f>IF(A843="","",A843&amp;"|"&amp;O843)</f>
        <v/>
      </c>
    </row>
    <row r="844">
      <c r="A844" s="60" t="n"/>
      <c r="B844" s="63" t="n"/>
      <c r="C844" s="63" t="n"/>
      <c r="D844" s="67" t="n"/>
      <c r="E844" s="68" t="n"/>
      <c r="F844" s="69" t="n"/>
      <c r="G844" s="70" t="n"/>
      <c r="H844" s="62" t="str">
        <f>IF(COUNTA(A844:G844)=0,"",IF(C844&lt;&gt;"",C844,IF(B844="","",IFERROR(INDEX(pr_des,MATCH(B844,pr_code,0))&amp;"",""))))</f>
        <v/>
      </c>
      <c r="I844" s="59" t="str">
        <f>IF(B844="","",IFERROR(INDEX(pr_unit,MATCH(B844,pr_code,0))&amp;"",""))</f>
        <v/>
      </c>
      <c r="J844" s="65" t="str">
        <f>IF(COUNTA(A844:G844)=0,"",IF(E844&lt;&gt;"",E844,IF(B844="","",IFERROR(IF(INDEX(pr_price,MATCH(B844,pr_code,0))="","",INDEX(pr_price,MATCH(B844,pr_code,0))),""))))</f>
        <v/>
      </c>
      <c r="K844" s="71" t="str">
        <f>IF(COUNTA(A844:G844)=0,"",IF(G844&lt;&gt;"",G844,IF(B844="","",IFERROR(IF(INDEX(pr_rate,MATCH(B844,pr_code,0))="","",INDEX(pr_rate,MATCH(B844,pr_code,0))),""))))</f>
        <v/>
      </c>
      <c r="L844" s="65" t="str">
        <f>IF(COUNTA(A844:G844)=0,"",IF(AND(ISNUMBER(D844),ISNUMBER(J844)),ROUND(D844*J844*(1-N(F844)),2),0))</f>
        <v/>
      </c>
      <c r="M844" s="62" t="str">
        <f>IF(A844="","",IFERROR(INDEX(dv_cname,MATCH(A844,dv_num,0))&amp;"",""))</f>
        <v/>
      </c>
      <c r="N844" s="59" t="str">
        <f>IF(COUNTA(A844:G844)=0,"",IF(A844="","N° devis manquant",IF(ISNA(MATCH(A844,dv_num,0)),"Devis inconnu",IF(AND(B844&lt;&gt;"",ISNA(MATCH(B844,pr_code,0))),"Article inconnu",IF(H844="","Désignation manquante",IF(OR(NOT(ISNUMBER(D844)),N(D844)&lt;=0),"Quantité invalide",IF(J844="","Prix manquant",IF(OR(NOT(ISNUMBER(J844)),N(J844)&lt;0),"Prix invalide",IF(OR(AND(F844&lt;&gt;"",NOT(ISNUMBER(F844))),N(F844)&lt;0,N(F844)&gt;1),"Remise invalide",IF(K844="","Taux de TVA manquant",IF(NOT(ISNUMBER(K844)),"Taux de TVA invalide",IF(COUNTIF(p_rates,K844)=0,"Taux de TVA hors liste (Paramètres)",IF(N(O844)&gt;25,"Au-delà de 25 lignes : non imprimée","OK")))))))))))))</f>
        <v/>
      </c>
      <c r="O844" s="59" t="str">
        <f>IF(A844="","",COUNTIF($A$6:A844,A844))</f>
        <v/>
      </c>
      <c r="P844" s="62" t="str">
        <f>IF(A844="","",A844&amp;"|"&amp;O844)</f>
        <v/>
      </c>
    </row>
    <row r="845">
      <c r="A845" s="60" t="n"/>
      <c r="B845" s="63" t="n"/>
      <c r="C845" s="63" t="n"/>
      <c r="D845" s="67" t="n"/>
      <c r="E845" s="68" t="n"/>
      <c r="F845" s="69" t="n"/>
      <c r="G845" s="70" t="n"/>
      <c r="H845" s="62" t="str">
        <f>IF(COUNTA(A845:G845)=0,"",IF(C845&lt;&gt;"",C845,IF(B845="","",IFERROR(INDEX(pr_des,MATCH(B845,pr_code,0))&amp;"",""))))</f>
        <v/>
      </c>
      <c r="I845" s="59" t="str">
        <f>IF(B845="","",IFERROR(INDEX(pr_unit,MATCH(B845,pr_code,0))&amp;"",""))</f>
        <v/>
      </c>
      <c r="J845" s="65" t="str">
        <f>IF(COUNTA(A845:G845)=0,"",IF(E845&lt;&gt;"",E845,IF(B845="","",IFERROR(IF(INDEX(pr_price,MATCH(B845,pr_code,0))="","",INDEX(pr_price,MATCH(B845,pr_code,0))),""))))</f>
        <v/>
      </c>
      <c r="K845" s="71" t="str">
        <f>IF(COUNTA(A845:G845)=0,"",IF(G845&lt;&gt;"",G845,IF(B845="","",IFERROR(IF(INDEX(pr_rate,MATCH(B845,pr_code,0))="","",INDEX(pr_rate,MATCH(B845,pr_code,0))),""))))</f>
        <v/>
      </c>
      <c r="L845" s="65" t="str">
        <f>IF(COUNTA(A845:G845)=0,"",IF(AND(ISNUMBER(D845),ISNUMBER(J845)),ROUND(D845*J845*(1-N(F845)),2),0))</f>
        <v/>
      </c>
      <c r="M845" s="62" t="str">
        <f>IF(A845="","",IFERROR(INDEX(dv_cname,MATCH(A845,dv_num,0))&amp;"",""))</f>
        <v/>
      </c>
      <c r="N845" s="59" t="str">
        <f>IF(COUNTA(A845:G845)=0,"",IF(A845="","N° devis manquant",IF(ISNA(MATCH(A845,dv_num,0)),"Devis inconnu",IF(AND(B845&lt;&gt;"",ISNA(MATCH(B845,pr_code,0))),"Article inconnu",IF(H845="","Désignation manquante",IF(OR(NOT(ISNUMBER(D845)),N(D845)&lt;=0),"Quantité invalide",IF(J845="","Prix manquant",IF(OR(NOT(ISNUMBER(J845)),N(J845)&lt;0),"Prix invalide",IF(OR(AND(F845&lt;&gt;"",NOT(ISNUMBER(F845))),N(F845)&lt;0,N(F845)&gt;1),"Remise invalide",IF(K845="","Taux de TVA manquant",IF(NOT(ISNUMBER(K845)),"Taux de TVA invalide",IF(COUNTIF(p_rates,K845)=0,"Taux de TVA hors liste (Paramètres)",IF(N(O845)&gt;25,"Au-delà de 25 lignes : non imprimée","OK")))))))))))))</f>
        <v/>
      </c>
      <c r="O845" s="59" t="str">
        <f>IF(A845="","",COUNTIF($A$6:A845,A845))</f>
        <v/>
      </c>
      <c r="P845" s="62" t="str">
        <f>IF(A845="","",A845&amp;"|"&amp;O845)</f>
        <v/>
      </c>
    </row>
    <row r="846">
      <c r="A846" s="60" t="n"/>
      <c r="B846" s="63" t="n"/>
      <c r="C846" s="63" t="n"/>
      <c r="D846" s="67" t="n"/>
      <c r="E846" s="68" t="n"/>
      <c r="F846" s="69" t="n"/>
      <c r="G846" s="70" t="n"/>
      <c r="H846" s="62" t="str">
        <f>IF(COUNTA(A846:G846)=0,"",IF(C846&lt;&gt;"",C846,IF(B846="","",IFERROR(INDEX(pr_des,MATCH(B846,pr_code,0))&amp;"",""))))</f>
        <v/>
      </c>
      <c r="I846" s="59" t="str">
        <f>IF(B846="","",IFERROR(INDEX(pr_unit,MATCH(B846,pr_code,0))&amp;"",""))</f>
        <v/>
      </c>
      <c r="J846" s="65" t="str">
        <f>IF(COUNTA(A846:G846)=0,"",IF(E846&lt;&gt;"",E846,IF(B846="","",IFERROR(IF(INDEX(pr_price,MATCH(B846,pr_code,0))="","",INDEX(pr_price,MATCH(B846,pr_code,0))),""))))</f>
        <v/>
      </c>
      <c r="K846" s="71" t="str">
        <f>IF(COUNTA(A846:G846)=0,"",IF(G846&lt;&gt;"",G846,IF(B846="","",IFERROR(IF(INDEX(pr_rate,MATCH(B846,pr_code,0))="","",INDEX(pr_rate,MATCH(B846,pr_code,0))),""))))</f>
        <v/>
      </c>
      <c r="L846" s="65" t="str">
        <f>IF(COUNTA(A846:G846)=0,"",IF(AND(ISNUMBER(D846),ISNUMBER(J846)),ROUND(D846*J846*(1-N(F846)),2),0))</f>
        <v/>
      </c>
      <c r="M846" s="62" t="str">
        <f>IF(A846="","",IFERROR(INDEX(dv_cname,MATCH(A846,dv_num,0))&amp;"",""))</f>
        <v/>
      </c>
      <c r="N846" s="59" t="str">
        <f>IF(COUNTA(A846:G846)=0,"",IF(A846="","N° devis manquant",IF(ISNA(MATCH(A846,dv_num,0)),"Devis inconnu",IF(AND(B846&lt;&gt;"",ISNA(MATCH(B846,pr_code,0))),"Article inconnu",IF(H846="","Désignation manquante",IF(OR(NOT(ISNUMBER(D846)),N(D846)&lt;=0),"Quantité invalide",IF(J846="","Prix manquant",IF(OR(NOT(ISNUMBER(J846)),N(J846)&lt;0),"Prix invalide",IF(OR(AND(F846&lt;&gt;"",NOT(ISNUMBER(F846))),N(F846)&lt;0,N(F846)&gt;1),"Remise invalide",IF(K846="","Taux de TVA manquant",IF(NOT(ISNUMBER(K846)),"Taux de TVA invalide",IF(COUNTIF(p_rates,K846)=0,"Taux de TVA hors liste (Paramètres)",IF(N(O846)&gt;25,"Au-delà de 25 lignes : non imprimée","OK")))))))))))))</f>
        <v/>
      </c>
      <c r="O846" s="59" t="str">
        <f>IF(A846="","",COUNTIF($A$6:A846,A846))</f>
        <v/>
      </c>
      <c r="P846" s="62" t="str">
        <f>IF(A846="","",A846&amp;"|"&amp;O846)</f>
        <v/>
      </c>
    </row>
    <row r="847">
      <c r="A847" s="60" t="n"/>
      <c r="B847" s="63" t="n"/>
      <c r="C847" s="63" t="n"/>
      <c r="D847" s="67" t="n"/>
      <c r="E847" s="68" t="n"/>
      <c r="F847" s="69" t="n"/>
      <c r="G847" s="70" t="n"/>
      <c r="H847" s="62" t="str">
        <f>IF(COUNTA(A847:G847)=0,"",IF(C847&lt;&gt;"",C847,IF(B847="","",IFERROR(INDEX(pr_des,MATCH(B847,pr_code,0))&amp;"",""))))</f>
        <v/>
      </c>
      <c r="I847" s="59" t="str">
        <f>IF(B847="","",IFERROR(INDEX(pr_unit,MATCH(B847,pr_code,0))&amp;"",""))</f>
        <v/>
      </c>
      <c r="J847" s="65" t="str">
        <f>IF(COUNTA(A847:G847)=0,"",IF(E847&lt;&gt;"",E847,IF(B847="","",IFERROR(IF(INDEX(pr_price,MATCH(B847,pr_code,0))="","",INDEX(pr_price,MATCH(B847,pr_code,0))),""))))</f>
        <v/>
      </c>
      <c r="K847" s="71" t="str">
        <f>IF(COUNTA(A847:G847)=0,"",IF(G847&lt;&gt;"",G847,IF(B847="","",IFERROR(IF(INDEX(pr_rate,MATCH(B847,pr_code,0))="","",INDEX(pr_rate,MATCH(B847,pr_code,0))),""))))</f>
        <v/>
      </c>
      <c r="L847" s="65" t="str">
        <f>IF(COUNTA(A847:G847)=0,"",IF(AND(ISNUMBER(D847),ISNUMBER(J847)),ROUND(D847*J847*(1-N(F847)),2),0))</f>
        <v/>
      </c>
      <c r="M847" s="62" t="str">
        <f>IF(A847="","",IFERROR(INDEX(dv_cname,MATCH(A847,dv_num,0))&amp;"",""))</f>
        <v/>
      </c>
      <c r="N847" s="59" t="str">
        <f>IF(COUNTA(A847:G847)=0,"",IF(A847="","N° devis manquant",IF(ISNA(MATCH(A847,dv_num,0)),"Devis inconnu",IF(AND(B847&lt;&gt;"",ISNA(MATCH(B847,pr_code,0))),"Article inconnu",IF(H847="","Désignation manquante",IF(OR(NOT(ISNUMBER(D847)),N(D847)&lt;=0),"Quantité invalide",IF(J847="","Prix manquant",IF(OR(NOT(ISNUMBER(J847)),N(J847)&lt;0),"Prix invalide",IF(OR(AND(F847&lt;&gt;"",NOT(ISNUMBER(F847))),N(F847)&lt;0,N(F847)&gt;1),"Remise invalide",IF(K847="","Taux de TVA manquant",IF(NOT(ISNUMBER(K847)),"Taux de TVA invalide",IF(COUNTIF(p_rates,K847)=0,"Taux de TVA hors liste (Paramètres)",IF(N(O847)&gt;25,"Au-delà de 25 lignes : non imprimée","OK")))))))))))))</f>
        <v/>
      </c>
      <c r="O847" s="59" t="str">
        <f>IF(A847="","",COUNTIF($A$6:A847,A847))</f>
        <v/>
      </c>
      <c r="P847" s="62" t="str">
        <f>IF(A847="","",A847&amp;"|"&amp;O847)</f>
        <v/>
      </c>
    </row>
    <row r="848">
      <c r="A848" s="60" t="n"/>
      <c r="B848" s="63" t="n"/>
      <c r="C848" s="63" t="n"/>
      <c r="D848" s="67" t="n"/>
      <c r="E848" s="68" t="n"/>
      <c r="F848" s="69" t="n"/>
      <c r="G848" s="70" t="n"/>
      <c r="H848" s="62" t="str">
        <f>IF(COUNTA(A848:G848)=0,"",IF(C848&lt;&gt;"",C848,IF(B848="","",IFERROR(INDEX(pr_des,MATCH(B848,pr_code,0))&amp;"",""))))</f>
        <v/>
      </c>
      <c r="I848" s="59" t="str">
        <f>IF(B848="","",IFERROR(INDEX(pr_unit,MATCH(B848,pr_code,0))&amp;"",""))</f>
        <v/>
      </c>
      <c r="J848" s="65" t="str">
        <f>IF(COUNTA(A848:G848)=0,"",IF(E848&lt;&gt;"",E848,IF(B848="","",IFERROR(IF(INDEX(pr_price,MATCH(B848,pr_code,0))="","",INDEX(pr_price,MATCH(B848,pr_code,0))),""))))</f>
        <v/>
      </c>
      <c r="K848" s="71" t="str">
        <f>IF(COUNTA(A848:G848)=0,"",IF(G848&lt;&gt;"",G848,IF(B848="","",IFERROR(IF(INDEX(pr_rate,MATCH(B848,pr_code,0))="","",INDEX(pr_rate,MATCH(B848,pr_code,0))),""))))</f>
        <v/>
      </c>
      <c r="L848" s="65" t="str">
        <f>IF(COUNTA(A848:G848)=0,"",IF(AND(ISNUMBER(D848),ISNUMBER(J848)),ROUND(D848*J848*(1-N(F848)),2),0))</f>
        <v/>
      </c>
      <c r="M848" s="62" t="str">
        <f>IF(A848="","",IFERROR(INDEX(dv_cname,MATCH(A848,dv_num,0))&amp;"",""))</f>
        <v/>
      </c>
      <c r="N848" s="59" t="str">
        <f>IF(COUNTA(A848:G848)=0,"",IF(A848="","N° devis manquant",IF(ISNA(MATCH(A848,dv_num,0)),"Devis inconnu",IF(AND(B848&lt;&gt;"",ISNA(MATCH(B848,pr_code,0))),"Article inconnu",IF(H848="","Désignation manquante",IF(OR(NOT(ISNUMBER(D848)),N(D848)&lt;=0),"Quantité invalide",IF(J848="","Prix manquant",IF(OR(NOT(ISNUMBER(J848)),N(J848)&lt;0),"Prix invalide",IF(OR(AND(F848&lt;&gt;"",NOT(ISNUMBER(F848))),N(F848)&lt;0,N(F848)&gt;1),"Remise invalide",IF(K848="","Taux de TVA manquant",IF(NOT(ISNUMBER(K848)),"Taux de TVA invalide",IF(COUNTIF(p_rates,K848)=0,"Taux de TVA hors liste (Paramètres)",IF(N(O848)&gt;25,"Au-delà de 25 lignes : non imprimée","OK")))))))))))))</f>
        <v/>
      </c>
      <c r="O848" s="59" t="str">
        <f>IF(A848="","",COUNTIF($A$6:A848,A848))</f>
        <v/>
      </c>
      <c r="P848" s="62" t="str">
        <f>IF(A848="","",A848&amp;"|"&amp;O848)</f>
        <v/>
      </c>
    </row>
    <row r="849">
      <c r="A849" s="60" t="n"/>
      <c r="B849" s="63" t="n"/>
      <c r="C849" s="63" t="n"/>
      <c r="D849" s="67" t="n"/>
      <c r="E849" s="68" t="n"/>
      <c r="F849" s="69" t="n"/>
      <c r="G849" s="70" t="n"/>
      <c r="H849" s="62" t="str">
        <f>IF(COUNTA(A849:G849)=0,"",IF(C849&lt;&gt;"",C849,IF(B849="","",IFERROR(INDEX(pr_des,MATCH(B849,pr_code,0))&amp;"",""))))</f>
        <v/>
      </c>
      <c r="I849" s="59" t="str">
        <f>IF(B849="","",IFERROR(INDEX(pr_unit,MATCH(B849,pr_code,0))&amp;"",""))</f>
        <v/>
      </c>
      <c r="J849" s="65" t="str">
        <f>IF(COUNTA(A849:G849)=0,"",IF(E849&lt;&gt;"",E849,IF(B849="","",IFERROR(IF(INDEX(pr_price,MATCH(B849,pr_code,0))="","",INDEX(pr_price,MATCH(B849,pr_code,0))),""))))</f>
        <v/>
      </c>
      <c r="K849" s="71" t="str">
        <f>IF(COUNTA(A849:G849)=0,"",IF(G849&lt;&gt;"",G849,IF(B849="","",IFERROR(IF(INDEX(pr_rate,MATCH(B849,pr_code,0))="","",INDEX(pr_rate,MATCH(B849,pr_code,0))),""))))</f>
        <v/>
      </c>
      <c r="L849" s="65" t="str">
        <f>IF(COUNTA(A849:G849)=0,"",IF(AND(ISNUMBER(D849),ISNUMBER(J849)),ROUND(D849*J849*(1-N(F849)),2),0))</f>
        <v/>
      </c>
      <c r="M849" s="62" t="str">
        <f>IF(A849="","",IFERROR(INDEX(dv_cname,MATCH(A849,dv_num,0))&amp;"",""))</f>
        <v/>
      </c>
      <c r="N849" s="59" t="str">
        <f>IF(COUNTA(A849:G849)=0,"",IF(A849="","N° devis manquant",IF(ISNA(MATCH(A849,dv_num,0)),"Devis inconnu",IF(AND(B849&lt;&gt;"",ISNA(MATCH(B849,pr_code,0))),"Article inconnu",IF(H849="","Désignation manquante",IF(OR(NOT(ISNUMBER(D849)),N(D849)&lt;=0),"Quantité invalide",IF(J849="","Prix manquant",IF(OR(NOT(ISNUMBER(J849)),N(J849)&lt;0),"Prix invalide",IF(OR(AND(F849&lt;&gt;"",NOT(ISNUMBER(F849))),N(F849)&lt;0,N(F849)&gt;1),"Remise invalide",IF(K849="","Taux de TVA manquant",IF(NOT(ISNUMBER(K849)),"Taux de TVA invalide",IF(COUNTIF(p_rates,K849)=0,"Taux de TVA hors liste (Paramètres)",IF(N(O849)&gt;25,"Au-delà de 25 lignes : non imprimée","OK")))))))))))))</f>
        <v/>
      </c>
      <c r="O849" s="59" t="str">
        <f>IF(A849="","",COUNTIF($A$6:A849,A849))</f>
        <v/>
      </c>
      <c r="P849" s="62" t="str">
        <f>IF(A849="","",A849&amp;"|"&amp;O849)</f>
        <v/>
      </c>
    </row>
    <row r="850">
      <c r="A850" s="60" t="n"/>
      <c r="B850" s="63" t="n"/>
      <c r="C850" s="63" t="n"/>
      <c r="D850" s="67" t="n"/>
      <c r="E850" s="68" t="n"/>
      <c r="F850" s="69" t="n"/>
      <c r="G850" s="70" t="n"/>
      <c r="H850" s="62" t="str">
        <f>IF(COUNTA(A850:G850)=0,"",IF(C850&lt;&gt;"",C850,IF(B850="","",IFERROR(INDEX(pr_des,MATCH(B850,pr_code,0))&amp;"",""))))</f>
        <v/>
      </c>
      <c r="I850" s="59" t="str">
        <f>IF(B850="","",IFERROR(INDEX(pr_unit,MATCH(B850,pr_code,0))&amp;"",""))</f>
        <v/>
      </c>
      <c r="J850" s="65" t="str">
        <f>IF(COUNTA(A850:G850)=0,"",IF(E850&lt;&gt;"",E850,IF(B850="","",IFERROR(IF(INDEX(pr_price,MATCH(B850,pr_code,0))="","",INDEX(pr_price,MATCH(B850,pr_code,0))),""))))</f>
        <v/>
      </c>
      <c r="K850" s="71" t="str">
        <f>IF(COUNTA(A850:G850)=0,"",IF(G850&lt;&gt;"",G850,IF(B850="","",IFERROR(IF(INDEX(pr_rate,MATCH(B850,pr_code,0))="","",INDEX(pr_rate,MATCH(B850,pr_code,0))),""))))</f>
        <v/>
      </c>
      <c r="L850" s="65" t="str">
        <f>IF(COUNTA(A850:G850)=0,"",IF(AND(ISNUMBER(D850),ISNUMBER(J850)),ROUND(D850*J850*(1-N(F850)),2),0))</f>
        <v/>
      </c>
      <c r="M850" s="62" t="str">
        <f>IF(A850="","",IFERROR(INDEX(dv_cname,MATCH(A850,dv_num,0))&amp;"",""))</f>
        <v/>
      </c>
      <c r="N850" s="59" t="str">
        <f>IF(COUNTA(A850:G850)=0,"",IF(A850="","N° devis manquant",IF(ISNA(MATCH(A850,dv_num,0)),"Devis inconnu",IF(AND(B850&lt;&gt;"",ISNA(MATCH(B850,pr_code,0))),"Article inconnu",IF(H850="","Désignation manquante",IF(OR(NOT(ISNUMBER(D850)),N(D850)&lt;=0),"Quantité invalide",IF(J850="","Prix manquant",IF(OR(NOT(ISNUMBER(J850)),N(J850)&lt;0),"Prix invalide",IF(OR(AND(F850&lt;&gt;"",NOT(ISNUMBER(F850))),N(F850)&lt;0,N(F850)&gt;1),"Remise invalide",IF(K850="","Taux de TVA manquant",IF(NOT(ISNUMBER(K850)),"Taux de TVA invalide",IF(COUNTIF(p_rates,K850)=0,"Taux de TVA hors liste (Paramètres)",IF(N(O850)&gt;25,"Au-delà de 25 lignes : non imprimée","OK")))))))))))))</f>
        <v/>
      </c>
      <c r="O850" s="59" t="str">
        <f>IF(A850="","",COUNTIF($A$6:A850,A850))</f>
        <v/>
      </c>
      <c r="P850" s="62" t="str">
        <f>IF(A850="","",A850&amp;"|"&amp;O850)</f>
        <v/>
      </c>
    </row>
    <row r="851">
      <c r="A851" s="60" t="n"/>
      <c r="B851" s="63" t="n"/>
      <c r="C851" s="63" t="n"/>
      <c r="D851" s="67" t="n"/>
      <c r="E851" s="68" t="n"/>
      <c r="F851" s="69" t="n"/>
      <c r="G851" s="70" t="n"/>
      <c r="H851" s="62" t="str">
        <f>IF(COUNTA(A851:G851)=0,"",IF(C851&lt;&gt;"",C851,IF(B851="","",IFERROR(INDEX(pr_des,MATCH(B851,pr_code,0))&amp;"",""))))</f>
        <v/>
      </c>
      <c r="I851" s="59" t="str">
        <f>IF(B851="","",IFERROR(INDEX(pr_unit,MATCH(B851,pr_code,0))&amp;"",""))</f>
        <v/>
      </c>
      <c r="J851" s="65" t="str">
        <f>IF(COUNTA(A851:G851)=0,"",IF(E851&lt;&gt;"",E851,IF(B851="","",IFERROR(IF(INDEX(pr_price,MATCH(B851,pr_code,0))="","",INDEX(pr_price,MATCH(B851,pr_code,0))),""))))</f>
        <v/>
      </c>
      <c r="K851" s="71" t="str">
        <f>IF(COUNTA(A851:G851)=0,"",IF(G851&lt;&gt;"",G851,IF(B851="","",IFERROR(IF(INDEX(pr_rate,MATCH(B851,pr_code,0))="","",INDEX(pr_rate,MATCH(B851,pr_code,0))),""))))</f>
        <v/>
      </c>
      <c r="L851" s="65" t="str">
        <f>IF(COUNTA(A851:G851)=0,"",IF(AND(ISNUMBER(D851),ISNUMBER(J851)),ROUND(D851*J851*(1-N(F851)),2),0))</f>
        <v/>
      </c>
      <c r="M851" s="62" t="str">
        <f>IF(A851="","",IFERROR(INDEX(dv_cname,MATCH(A851,dv_num,0))&amp;"",""))</f>
        <v/>
      </c>
      <c r="N851" s="59" t="str">
        <f>IF(COUNTA(A851:G851)=0,"",IF(A851="","N° devis manquant",IF(ISNA(MATCH(A851,dv_num,0)),"Devis inconnu",IF(AND(B851&lt;&gt;"",ISNA(MATCH(B851,pr_code,0))),"Article inconnu",IF(H851="","Désignation manquante",IF(OR(NOT(ISNUMBER(D851)),N(D851)&lt;=0),"Quantité invalide",IF(J851="","Prix manquant",IF(OR(NOT(ISNUMBER(J851)),N(J851)&lt;0),"Prix invalide",IF(OR(AND(F851&lt;&gt;"",NOT(ISNUMBER(F851))),N(F851)&lt;0,N(F851)&gt;1),"Remise invalide",IF(K851="","Taux de TVA manquant",IF(NOT(ISNUMBER(K851)),"Taux de TVA invalide",IF(COUNTIF(p_rates,K851)=0,"Taux de TVA hors liste (Paramètres)",IF(N(O851)&gt;25,"Au-delà de 25 lignes : non imprimée","OK")))))))))))))</f>
        <v/>
      </c>
      <c r="O851" s="59" t="str">
        <f>IF(A851="","",COUNTIF($A$6:A851,A851))</f>
        <v/>
      </c>
      <c r="P851" s="62" t="str">
        <f>IF(A851="","",A851&amp;"|"&amp;O851)</f>
        <v/>
      </c>
    </row>
    <row r="852">
      <c r="A852" s="60" t="n"/>
      <c r="B852" s="63" t="n"/>
      <c r="C852" s="63" t="n"/>
      <c r="D852" s="67" t="n"/>
      <c r="E852" s="68" t="n"/>
      <c r="F852" s="69" t="n"/>
      <c r="G852" s="70" t="n"/>
      <c r="H852" s="62" t="str">
        <f>IF(COUNTA(A852:G852)=0,"",IF(C852&lt;&gt;"",C852,IF(B852="","",IFERROR(INDEX(pr_des,MATCH(B852,pr_code,0))&amp;"",""))))</f>
        <v/>
      </c>
      <c r="I852" s="59" t="str">
        <f>IF(B852="","",IFERROR(INDEX(pr_unit,MATCH(B852,pr_code,0))&amp;"",""))</f>
        <v/>
      </c>
      <c r="J852" s="65" t="str">
        <f>IF(COUNTA(A852:G852)=0,"",IF(E852&lt;&gt;"",E852,IF(B852="","",IFERROR(IF(INDEX(pr_price,MATCH(B852,pr_code,0))="","",INDEX(pr_price,MATCH(B852,pr_code,0))),""))))</f>
        <v/>
      </c>
      <c r="K852" s="71" t="str">
        <f>IF(COUNTA(A852:G852)=0,"",IF(G852&lt;&gt;"",G852,IF(B852="","",IFERROR(IF(INDEX(pr_rate,MATCH(B852,pr_code,0))="","",INDEX(pr_rate,MATCH(B852,pr_code,0))),""))))</f>
        <v/>
      </c>
      <c r="L852" s="65" t="str">
        <f>IF(COUNTA(A852:G852)=0,"",IF(AND(ISNUMBER(D852),ISNUMBER(J852)),ROUND(D852*J852*(1-N(F852)),2),0))</f>
        <v/>
      </c>
      <c r="M852" s="62" t="str">
        <f>IF(A852="","",IFERROR(INDEX(dv_cname,MATCH(A852,dv_num,0))&amp;"",""))</f>
        <v/>
      </c>
      <c r="N852" s="59" t="str">
        <f>IF(COUNTA(A852:G852)=0,"",IF(A852="","N° devis manquant",IF(ISNA(MATCH(A852,dv_num,0)),"Devis inconnu",IF(AND(B852&lt;&gt;"",ISNA(MATCH(B852,pr_code,0))),"Article inconnu",IF(H852="","Désignation manquante",IF(OR(NOT(ISNUMBER(D852)),N(D852)&lt;=0),"Quantité invalide",IF(J852="","Prix manquant",IF(OR(NOT(ISNUMBER(J852)),N(J852)&lt;0),"Prix invalide",IF(OR(AND(F852&lt;&gt;"",NOT(ISNUMBER(F852))),N(F852)&lt;0,N(F852)&gt;1),"Remise invalide",IF(K852="","Taux de TVA manquant",IF(NOT(ISNUMBER(K852)),"Taux de TVA invalide",IF(COUNTIF(p_rates,K852)=0,"Taux de TVA hors liste (Paramètres)",IF(N(O852)&gt;25,"Au-delà de 25 lignes : non imprimée","OK")))))))))))))</f>
        <v/>
      </c>
      <c r="O852" s="59" t="str">
        <f>IF(A852="","",COUNTIF($A$6:A852,A852))</f>
        <v/>
      </c>
      <c r="P852" s="62" t="str">
        <f>IF(A852="","",A852&amp;"|"&amp;O852)</f>
        <v/>
      </c>
    </row>
    <row r="853">
      <c r="A853" s="60" t="n"/>
      <c r="B853" s="63" t="n"/>
      <c r="C853" s="63" t="n"/>
      <c r="D853" s="67" t="n"/>
      <c r="E853" s="68" t="n"/>
      <c r="F853" s="69" t="n"/>
      <c r="G853" s="70" t="n"/>
      <c r="H853" s="62" t="str">
        <f>IF(COUNTA(A853:G853)=0,"",IF(C853&lt;&gt;"",C853,IF(B853="","",IFERROR(INDEX(pr_des,MATCH(B853,pr_code,0))&amp;"",""))))</f>
        <v/>
      </c>
      <c r="I853" s="59" t="str">
        <f>IF(B853="","",IFERROR(INDEX(pr_unit,MATCH(B853,pr_code,0))&amp;"",""))</f>
        <v/>
      </c>
      <c r="J853" s="65" t="str">
        <f>IF(COUNTA(A853:G853)=0,"",IF(E853&lt;&gt;"",E853,IF(B853="","",IFERROR(IF(INDEX(pr_price,MATCH(B853,pr_code,0))="","",INDEX(pr_price,MATCH(B853,pr_code,0))),""))))</f>
        <v/>
      </c>
      <c r="K853" s="71" t="str">
        <f>IF(COUNTA(A853:G853)=0,"",IF(G853&lt;&gt;"",G853,IF(B853="","",IFERROR(IF(INDEX(pr_rate,MATCH(B853,pr_code,0))="","",INDEX(pr_rate,MATCH(B853,pr_code,0))),""))))</f>
        <v/>
      </c>
      <c r="L853" s="65" t="str">
        <f>IF(COUNTA(A853:G853)=0,"",IF(AND(ISNUMBER(D853),ISNUMBER(J853)),ROUND(D853*J853*(1-N(F853)),2),0))</f>
        <v/>
      </c>
      <c r="M853" s="62" t="str">
        <f>IF(A853="","",IFERROR(INDEX(dv_cname,MATCH(A853,dv_num,0))&amp;"",""))</f>
        <v/>
      </c>
      <c r="N853" s="59" t="str">
        <f>IF(COUNTA(A853:G853)=0,"",IF(A853="","N° devis manquant",IF(ISNA(MATCH(A853,dv_num,0)),"Devis inconnu",IF(AND(B853&lt;&gt;"",ISNA(MATCH(B853,pr_code,0))),"Article inconnu",IF(H853="","Désignation manquante",IF(OR(NOT(ISNUMBER(D853)),N(D853)&lt;=0),"Quantité invalide",IF(J853="","Prix manquant",IF(OR(NOT(ISNUMBER(J853)),N(J853)&lt;0),"Prix invalide",IF(OR(AND(F853&lt;&gt;"",NOT(ISNUMBER(F853))),N(F853)&lt;0,N(F853)&gt;1),"Remise invalide",IF(K853="","Taux de TVA manquant",IF(NOT(ISNUMBER(K853)),"Taux de TVA invalide",IF(COUNTIF(p_rates,K853)=0,"Taux de TVA hors liste (Paramètres)",IF(N(O853)&gt;25,"Au-delà de 25 lignes : non imprimée","OK")))))))))))))</f>
        <v/>
      </c>
      <c r="O853" s="59" t="str">
        <f>IF(A853="","",COUNTIF($A$6:A853,A853))</f>
        <v/>
      </c>
      <c r="P853" s="62" t="str">
        <f>IF(A853="","",A853&amp;"|"&amp;O853)</f>
        <v/>
      </c>
    </row>
    <row r="854">
      <c r="A854" s="60" t="n"/>
      <c r="B854" s="63" t="n"/>
      <c r="C854" s="63" t="n"/>
      <c r="D854" s="67" t="n"/>
      <c r="E854" s="68" t="n"/>
      <c r="F854" s="69" t="n"/>
      <c r="G854" s="70" t="n"/>
      <c r="H854" s="62" t="str">
        <f>IF(COUNTA(A854:G854)=0,"",IF(C854&lt;&gt;"",C854,IF(B854="","",IFERROR(INDEX(pr_des,MATCH(B854,pr_code,0))&amp;"",""))))</f>
        <v/>
      </c>
      <c r="I854" s="59" t="str">
        <f>IF(B854="","",IFERROR(INDEX(pr_unit,MATCH(B854,pr_code,0))&amp;"",""))</f>
        <v/>
      </c>
      <c r="J854" s="65" t="str">
        <f>IF(COUNTA(A854:G854)=0,"",IF(E854&lt;&gt;"",E854,IF(B854="","",IFERROR(IF(INDEX(pr_price,MATCH(B854,pr_code,0))="","",INDEX(pr_price,MATCH(B854,pr_code,0))),""))))</f>
        <v/>
      </c>
      <c r="K854" s="71" t="str">
        <f>IF(COUNTA(A854:G854)=0,"",IF(G854&lt;&gt;"",G854,IF(B854="","",IFERROR(IF(INDEX(pr_rate,MATCH(B854,pr_code,0))="","",INDEX(pr_rate,MATCH(B854,pr_code,0))),""))))</f>
        <v/>
      </c>
      <c r="L854" s="65" t="str">
        <f>IF(COUNTA(A854:G854)=0,"",IF(AND(ISNUMBER(D854),ISNUMBER(J854)),ROUND(D854*J854*(1-N(F854)),2),0))</f>
        <v/>
      </c>
      <c r="M854" s="62" t="str">
        <f>IF(A854="","",IFERROR(INDEX(dv_cname,MATCH(A854,dv_num,0))&amp;"",""))</f>
        <v/>
      </c>
      <c r="N854" s="59" t="str">
        <f>IF(COUNTA(A854:G854)=0,"",IF(A854="","N° devis manquant",IF(ISNA(MATCH(A854,dv_num,0)),"Devis inconnu",IF(AND(B854&lt;&gt;"",ISNA(MATCH(B854,pr_code,0))),"Article inconnu",IF(H854="","Désignation manquante",IF(OR(NOT(ISNUMBER(D854)),N(D854)&lt;=0),"Quantité invalide",IF(J854="","Prix manquant",IF(OR(NOT(ISNUMBER(J854)),N(J854)&lt;0),"Prix invalide",IF(OR(AND(F854&lt;&gt;"",NOT(ISNUMBER(F854))),N(F854)&lt;0,N(F854)&gt;1),"Remise invalide",IF(K854="","Taux de TVA manquant",IF(NOT(ISNUMBER(K854)),"Taux de TVA invalide",IF(COUNTIF(p_rates,K854)=0,"Taux de TVA hors liste (Paramètres)",IF(N(O854)&gt;25,"Au-delà de 25 lignes : non imprimée","OK")))))))))))))</f>
        <v/>
      </c>
      <c r="O854" s="59" t="str">
        <f>IF(A854="","",COUNTIF($A$6:A854,A854))</f>
        <v/>
      </c>
      <c r="P854" s="62" t="str">
        <f>IF(A854="","",A854&amp;"|"&amp;O854)</f>
        <v/>
      </c>
    </row>
    <row r="855">
      <c r="A855" s="60" t="n"/>
      <c r="B855" s="63" t="n"/>
      <c r="C855" s="63" t="n"/>
      <c r="D855" s="67" t="n"/>
      <c r="E855" s="68" t="n"/>
      <c r="F855" s="69" t="n"/>
      <c r="G855" s="70" t="n"/>
      <c r="H855" s="62" t="str">
        <f>IF(COUNTA(A855:G855)=0,"",IF(C855&lt;&gt;"",C855,IF(B855="","",IFERROR(INDEX(pr_des,MATCH(B855,pr_code,0))&amp;"",""))))</f>
        <v/>
      </c>
      <c r="I855" s="59" t="str">
        <f>IF(B855="","",IFERROR(INDEX(pr_unit,MATCH(B855,pr_code,0))&amp;"",""))</f>
        <v/>
      </c>
      <c r="J855" s="65" t="str">
        <f>IF(COUNTA(A855:G855)=0,"",IF(E855&lt;&gt;"",E855,IF(B855="","",IFERROR(IF(INDEX(pr_price,MATCH(B855,pr_code,0))="","",INDEX(pr_price,MATCH(B855,pr_code,0))),""))))</f>
        <v/>
      </c>
      <c r="K855" s="71" t="str">
        <f>IF(COUNTA(A855:G855)=0,"",IF(G855&lt;&gt;"",G855,IF(B855="","",IFERROR(IF(INDEX(pr_rate,MATCH(B855,pr_code,0))="","",INDEX(pr_rate,MATCH(B855,pr_code,0))),""))))</f>
        <v/>
      </c>
      <c r="L855" s="65" t="str">
        <f>IF(COUNTA(A855:G855)=0,"",IF(AND(ISNUMBER(D855),ISNUMBER(J855)),ROUND(D855*J855*(1-N(F855)),2),0))</f>
        <v/>
      </c>
      <c r="M855" s="62" t="str">
        <f>IF(A855="","",IFERROR(INDEX(dv_cname,MATCH(A855,dv_num,0))&amp;"",""))</f>
        <v/>
      </c>
      <c r="N855" s="59" t="str">
        <f>IF(COUNTA(A855:G855)=0,"",IF(A855="","N° devis manquant",IF(ISNA(MATCH(A855,dv_num,0)),"Devis inconnu",IF(AND(B855&lt;&gt;"",ISNA(MATCH(B855,pr_code,0))),"Article inconnu",IF(H855="","Désignation manquante",IF(OR(NOT(ISNUMBER(D855)),N(D855)&lt;=0),"Quantité invalide",IF(J855="","Prix manquant",IF(OR(NOT(ISNUMBER(J855)),N(J855)&lt;0),"Prix invalide",IF(OR(AND(F855&lt;&gt;"",NOT(ISNUMBER(F855))),N(F855)&lt;0,N(F855)&gt;1),"Remise invalide",IF(K855="","Taux de TVA manquant",IF(NOT(ISNUMBER(K855)),"Taux de TVA invalide",IF(COUNTIF(p_rates,K855)=0,"Taux de TVA hors liste (Paramètres)",IF(N(O855)&gt;25,"Au-delà de 25 lignes : non imprimée","OK")))))))))))))</f>
        <v/>
      </c>
      <c r="O855" s="59" t="str">
        <f>IF(A855="","",COUNTIF($A$6:A855,A855))</f>
        <v/>
      </c>
      <c r="P855" s="62" t="str">
        <f>IF(A855="","",A855&amp;"|"&amp;O855)</f>
        <v/>
      </c>
    </row>
    <row r="856">
      <c r="A856" s="60" t="n"/>
      <c r="B856" s="63" t="n"/>
      <c r="C856" s="63" t="n"/>
      <c r="D856" s="67" t="n"/>
      <c r="E856" s="68" t="n"/>
      <c r="F856" s="69" t="n"/>
      <c r="G856" s="70" t="n"/>
      <c r="H856" s="62" t="str">
        <f>IF(COUNTA(A856:G856)=0,"",IF(C856&lt;&gt;"",C856,IF(B856="","",IFERROR(INDEX(pr_des,MATCH(B856,pr_code,0))&amp;"",""))))</f>
        <v/>
      </c>
      <c r="I856" s="59" t="str">
        <f>IF(B856="","",IFERROR(INDEX(pr_unit,MATCH(B856,pr_code,0))&amp;"",""))</f>
        <v/>
      </c>
      <c r="J856" s="65" t="str">
        <f>IF(COUNTA(A856:G856)=0,"",IF(E856&lt;&gt;"",E856,IF(B856="","",IFERROR(IF(INDEX(pr_price,MATCH(B856,pr_code,0))="","",INDEX(pr_price,MATCH(B856,pr_code,0))),""))))</f>
        <v/>
      </c>
      <c r="K856" s="71" t="str">
        <f>IF(COUNTA(A856:G856)=0,"",IF(G856&lt;&gt;"",G856,IF(B856="","",IFERROR(IF(INDEX(pr_rate,MATCH(B856,pr_code,0))="","",INDEX(pr_rate,MATCH(B856,pr_code,0))),""))))</f>
        <v/>
      </c>
      <c r="L856" s="65" t="str">
        <f>IF(COUNTA(A856:G856)=0,"",IF(AND(ISNUMBER(D856),ISNUMBER(J856)),ROUND(D856*J856*(1-N(F856)),2),0))</f>
        <v/>
      </c>
      <c r="M856" s="62" t="str">
        <f>IF(A856="","",IFERROR(INDEX(dv_cname,MATCH(A856,dv_num,0))&amp;"",""))</f>
        <v/>
      </c>
      <c r="N856" s="59" t="str">
        <f>IF(COUNTA(A856:G856)=0,"",IF(A856="","N° devis manquant",IF(ISNA(MATCH(A856,dv_num,0)),"Devis inconnu",IF(AND(B856&lt;&gt;"",ISNA(MATCH(B856,pr_code,0))),"Article inconnu",IF(H856="","Désignation manquante",IF(OR(NOT(ISNUMBER(D856)),N(D856)&lt;=0),"Quantité invalide",IF(J856="","Prix manquant",IF(OR(NOT(ISNUMBER(J856)),N(J856)&lt;0),"Prix invalide",IF(OR(AND(F856&lt;&gt;"",NOT(ISNUMBER(F856))),N(F856)&lt;0,N(F856)&gt;1),"Remise invalide",IF(K856="","Taux de TVA manquant",IF(NOT(ISNUMBER(K856)),"Taux de TVA invalide",IF(COUNTIF(p_rates,K856)=0,"Taux de TVA hors liste (Paramètres)",IF(N(O856)&gt;25,"Au-delà de 25 lignes : non imprimée","OK")))))))))))))</f>
        <v/>
      </c>
      <c r="O856" s="59" t="str">
        <f>IF(A856="","",COUNTIF($A$6:A856,A856))</f>
        <v/>
      </c>
      <c r="P856" s="62" t="str">
        <f>IF(A856="","",A856&amp;"|"&amp;O856)</f>
        <v/>
      </c>
    </row>
    <row r="857">
      <c r="A857" s="60" t="n"/>
      <c r="B857" s="63" t="n"/>
      <c r="C857" s="63" t="n"/>
      <c r="D857" s="67" t="n"/>
      <c r="E857" s="68" t="n"/>
      <c r="F857" s="69" t="n"/>
      <c r="G857" s="70" t="n"/>
      <c r="H857" s="62" t="str">
        <f>IF(COUNTA(A857:G857)=0,"",IF(C857&lt;&gt;"",C857,IF(B857="","",IFERROR(INDEX(pr_des,MATCH(B857,pr_code,0))&amp;"",""))))</f>
        <v/>
      </c>
      <c r="I857" s="59" t="str">
        <f>IF(B857="","",IFERROR(INDEX(pr_unit,MATCH(B857,pr_code,0))&amp;"",""))</f>
        <v/>
      </c>
      <c r="J857" s="65" t="str">
        <f>IF(COUNTA(A857:G857)=0,"",IF(E857&lt;&gt;"",E857,IF(B857="","",IFERROR(IF(INDEX(pr_price,MATCH(B857,pr_code,0))="","",INDEX(pr_price,MATCH(B857,pr_code,0))),""))))</f>
        <v/>
      </c>
      <c r="K857" s="71" t="str">
        <f>IF(COUNTA(A857:G857)=0,"",IF(G857&lt;&gt;"",G857,IF(B857="","",IFERROR(IF(INDEX(pr_rate,MATCH(B857,pr_code,0))="","",INDEX(pr_rate,MATCH(B857,pr_code,0))),""))))</f>
        <v/>
      </c>
      <c r="L857" s="65" t="str">
        <f>IF(COUNTA(A857:G857)=0,"",IF(AND(ISNUMBER(D857),ISNUMBER(J857)),ROUND(D857*J857*(1-N(F857)),2),0))</f>
        <v/>
      </c>
      <c r="M857" s="62" t="str">
        <f>IF(A857="","",IFERROR(INDEX(dv_cname,MATCH(A857,dv_num,0))&amp;"",""))</f>
        <v/>
      </c>
      <c r="N857" s="59" t="str">
        <f>IF(COUNTA(A857:G857)=0,"",IF(A857="","N° devis manquant",IF(ISNA(MATCH(A857,dv_num,0)),"Devis inconnu",IF(AND(B857&lt;&gt;"",ISNA(MATCH(B857,pr_code,0))),"Article inconnu",IF(H857="","Désignation manquante",IF(OR(NOT(ISNUMBER(D857)),N(D857)&lt;=0),"Quantité invalide",IF(J857="","Prix manquant",IF(OR(NOT(ISNUMBER(J857)),N(J857)&lt;0),"Prix invalide",IF(OR(AND(F857&lt;&gt;"",NOT(ISNUMBER(F857))),N(F857)&lt;0,N(F857)&gt;1),"Remise invalide",IF(K857="","Taux de TVA manquant",IF(NOT(ISNUMBER(K857)),"Taux de TVA invalide",IF(COUNTIF(p_rates,K857)=0,"Taux de TVA hors liste (Paramètres)",IF(N(O857)&gt;25,"Au-delà de 25 lignes : non imprimée","OK")))))))))))))</f>
        <v/>
      </c>
      <c r="O857" s="59" t="str">
        <f>IF(A857="","",COUNTIF($A$6:A857,A857))</f>
        <v/>
      </c>
      <c r="P857" s="62" t="str">
        <f>IF(A857="","",A857&amp;"|"&amp;O857)</f>
        <v/>
      </c>
    </row>
    <row r="858">
      <c r="A858" s="60" t="n"/>
      <c r="B858" s="63" t="n"/>
      <c r="C858" s="63" t="n"/>
      <c r="D858" s="67" t="n"/>
      <c r="E858" s="68" t="n"/>
      <c r="F858" s="69" t="n"/>
      <c r="G858" s="70" t="n"/>
      <c r="H858" s="62" t="str">
        <f>IF(COUNTA(A858:G858)=0,"",IF(C858&lt;&gt;"",C858,IF(B858="","",IFERROR(INDEX(pr_des,MATCH(B858,pr_code,0))&amp;"",""))))</f>
        <v/>
      </c>
      <c r="I858" s="59" t="str">
        <f>IF(B858="","",IFERROR(INDEX(pr_unit,MATCH(B858,pr_code,0))&amp;"",""))</f>
        <v/>
      </c>
      <c r="J858" s="65" t="str">
        <f>IF(COUNTA(A858:G858)=0,"",IF(E858&lt;&gt;"",E858,IF(B858="","",IFERROR(IF(INDEX(pr_price,MATCH(B858,pr_code,0))="","",INDEX(pr_price,MATCH(B858,pr_code,0))),""))))</f>
        <v/>
      </c>
      <c r="K858" s="71" t="str">
        <f>IF(COUNTA(A858:G858)=0,"",IF(G858&lt;&gt;"",G858,IF(B858="","",IFERROR(IF(INDEX(pr_rate,MATCH(B858,pr_code,0))="","",INDEX(pr_rate,MATCH(B858,pr_code,0))),""))))</f>
        <v/>
      </c>
      <c r="L858" s="65" t="str">
        <f>IF(COUNTA(A858:G858)=0,"",IF(AND(ISNUMBER(D858),ISNUMBER(J858)),ROUND(D858*J858*(1-N(F858)),2),0))</f>
        <v/>
      </c>
      <c r="M858" s="62" t="str">
        <f>IF(A858="","",IFERROR(INDEX(dv_cname,MATCH(A858,dv_num,0))&amp;"",""))</f>
        <v/>
      </c>
      <c r="N858" s="59" t="str">
        <f>IF(COUNTA(A858:G858)=0,"",IF(A858="","N° devis manquant",IF(ISNA(MATCH(A858,dv_num,0)),"Devis inconnu",IF(AND(B858&lt;&gt;"",ISNA(MATCH(B858,pr_code,0))),"Article inconnu",IF(H858="","Désignation manquante",IF(OR(NOT(ISNUMBER(D858)),N(D858)&lt;=0),"Quantité invalide",IF(J858="","Prix manquant",IF(OR(NOT(ISNUMBER(J858)),N(J858)&lt;0),"Prix invalide",IF(OR(AND(F858&lt;&gt;"",NOT(ISNUMBER(F858))),N(F858)&lt;0,N(F858)&gt;1),"Remise invalide",IF(K858="","Taux de TVA manquant",IF(NOT(ISNUMBER(K858)),"Taux de TVA invalide",IF(COUNTIF(p_rates,K858)=0,"Taux de TVA hors liste (Paramètres)",IF(N(O858)&gt;25,"Au-delà de 25 lignes : non imprimée","OK")))))))))))))</f>
        <v/>
      </c>
      <c r="O858" s="59" t="str">
        <f>IF(A858="","",COUNTIF($A$6:A858,A858))</f>
        <v/>
      </c>
      <c r="P858" s="62" t="str">
        <f>IF(A858="","",A858&amp;"|"&amp;O858)</f>
        <v/>
      </c>
    </row>
    <row r="859">
      <c r="A859" s="60" t="n"/>
      <c r="B859" s="63" t="n"/>
      <c r="C859" s="63" t="n"/>
      <c r="D859" s="67" t="n"/>
      <c r="E859" s="68" t="n"/>
      <c r="F859" s="69" t="n"/>
      <c r="G859" s="70" t="n"/>
      <c r="H859" s="62" t="str">
        <f>IF(COUNTA(A859:G859)=0,"",IF(C859&lt;&gt;"",C859,IF(B859="","",IFERROR(INDEX(pr_des,MATCH(B859,pr_code,0))&amp;"",""))))</f>
        <v/>
      </c>
      <c r="I859" s="59" t="str">
        <f>IF(B859="","",IFERROR(INDEX(pr_unit,MATCH(B859,pr_code,0))&amp;"",""))</f>
        <v/>
      </c>
      <c r="J859" s="65" t="str">
        <f>IF(COUNTA(A859:G859)=0,"",IF(E859&lt;&gt;"",E859,IF(B859="","",IFERROR(IF(INDEX(pr_price,MATCH(B859,pr_code,0))="","",INDEX(pr_price,MATCH(B859,pr_code,0))),""))))</f>
        <v/>
      </c>
      <c r="K859" s="71" t="str">
        <f>IF(COUNTA(A859:G859)=0,"",IF(G859&lt;&gt;"",G859,IF(B859="","",IFERROR(IF(INDEX(pr_rate,MATCH(B859,pr_code,0))="","",INDEX(pr_rate,MATCH(B859,pr_code,0))),""))))</f>
        <v/>
      </c>
      <c r="L859" s="65" t="str">
        <f>IF(COUNTA(A859:G859)=0,"",IF(AND(ISNUMBER(D859),ISNUMBER(J859)),ROUND(D859*J859*(1-N(F859)),2),0))</f>
        <v/>
      </c>
      <c r="M859" s="62" t="str">
        <f>IF(A859="","",IFERROR(INDEX(dv_cname,MATCH(A859,dv_num,0))&amp;"",""))</f>
        <v/>
      </c>
      <c r="N859" s="59" t="str">
        <f>IF(COUNTA(A859:G859)=0,"",IF(A859="","N° devis manquant",IF(ISNA(MATCH(A859,dv_num,0)),"Devis inconnu",IF(AND(B859&lt;&gt;"",ISNA(MATCH(B859,pr_code,0))),"Article inconnu",IF(H859="","Désignation manquante",IF(OR(NOT(ISNUMBER(D859)),N(D859)&lt;=0),"Quantité invalide",IF(J859="","Prix manquant",IF(OR(NOT(ISNUMBER(J859)),N(J859)&lt;0),"Prix invalide",IF(OR(AND(F859&lt;&gt;"",NOT(ISNUMBER(F859))),N(F859)&lt;0,N(F859)&gt;1),"Remise invalide",IF(K859="","Taux de TVA manquant",IF(NOT(ISNUMBER(K859)),"Taux de TVA invalide",IF(COUNTIF(p_rates,K859)=0,"Taux de TVA hors liste (Paramètres)",IF(N(O859)&gt;25,"Au-delà de 25 lignes : non imprimée","OK")))))))))))))</f>
        <v/>
      </c>
      <c r="O859" s="59" t="str">
        <f>IF(A859="","",COUNTIF($A$6:A859,A859))</f>
        <v/>
      </c>
      <c r="P859" s="62" t="str">
        <f>IF(A859="","",A859&amp;"|"&amp;O859)</f>
        <v/>
      </c>
    </row>
    <row r="860">
      <c r="A860" s="60" t="n"/>
      <c r="B860" s="63" t="n"/>
      <c r="C860" s="63" t="n"/>
      <c r="D860" s="67" t="n"/>
      <c r="E860" s="68" t="n"/>
      <c r="F860" s="69" t="n"/>
      <c r="G860" s="70" t="n"/>
      <c r="H860" s="62" t="str">
        <f>IF(COUNTA(A860:G860)=0,"",IF(C860&lt;&gt;"",C860,IF(B860="","",IFERROR(INDEX(pr_des,MATCH(B860,pr_code,0))&amp;"",""))))</f>
        <v/>
      </c>
      <c r="I860" s="59" t="str">
        <f>IF(B860="","",IFERROR(INDEX(pr_unit,MATCH(B860,pr_code,0))&amp;"",""))</f>
        <v/>
      </c>
      <c r="J860" s="65" t="str">
        <f>IF(COUNTA(A860:G860)=0,"",IF(E860&lt;&gt;"",E860,IF(B860="","",IFERROR(IF(INDEX(pr_price,MATCH(B860,pr_code,0))="","",INDEX(pr_price,MATCH(B860,pr_code,0))),""))))</f>
        <v/>
      </c>
      <c r="K860" s="71" t="str">
        <f>IF(COUNTA(A860:G860)=0,"",IF(G860&lt;&gt;"",G860,IF(B860="","",IFERROR(IF(INDEX(pr_rate,MATCH(B860,pr_code,0))="","",INDEX(pr_rate,MATCH(B860,pr_code,0))),""))))</f>
        <v/>
      </c>
      <c r="L860" s="65" t="str">
        <f>IF(COUNTA(A860:G860)=0,"",IF(AND(ISNUMBER(D860),ISNUMBER(J860)),ROUND(D860*J860*(1-N(F860)),2),0))</f>
        <v/>
      </c>
      <c r="M860" s="62" t="str">
        <f>IF(A860="","",IFERROR(INDEX(dv_cname,MATCH(A860,dv_num,0))&amp;"",""))</f>
        <v/>
      </c>
      <c r="N860" s="59" t="str">
        <f>IF(COUNTA(A860:G860)=0,"",IF(A860="","N° devis manquant",IF(ISNA(MATCH(A860,dv_num,0)),"Devis inconnu",IF(AND(B860&lt;&gt;"",ISNA(MATCH(B860,pr_code,0))),"Article inconnu",IF(H860="","Désignation manquante",IF(OR(NOT(ISNUMBER(D860)),N(D860)&lt;=0),"Quantité invalide",IF(J860="","Prix manquant",IF(OR(NOT(ISNUMBER(J860)),N(J860)&lt;0),"Prix invalide",IF(OR(AND(F860&lt;&gt;"",NOT(ISNUMBER(F860))),N(F860)&lt;0,N(F860)&gt;1),"Remise invalide",IF(K860="","Taux de TVA manquant",IF(NOT(ISNUMBER(K860)),"Taux de TVA invalide",IF(COUNTIF(p_rates,K860)=0,"Taux de TVA hors liste (Paramètres)",IF(N(O860)&gt;25,"Au-delà de 25 lignes : non imprimée","OK")))))))))))))</f>
        <v/>
      </c>
      <c r="O860" s="59" t="str">
        <f>IF(A860="","",COUNTIF($A$6:A860,A860))</f>
        <v/>
      </c>
      <c r="P860" s="62" t="str">
        <f>IF(A860="","",A860&amp;"|"&amp;O860)</f>
        <v/>
      </c>
    </row>
    <row r="861">
      <c r="A861" s="60" t="n"/>
      <c r="B861" s="63" t="n"/>
      <c r="C861" s="63" t="n"/>
      <c r="D861" s="67" t="n"/>
      <c r="E861" s="68" t="n"/>
      <c r="F861" s="69" t="n"/>
      <c r="G861" s="70" t="n"/>
      <c r="H861" s="62" t="str">
        <f>IF(COUNTA(A861:G861)=0,"",IF(C861&lt;&gt;"",C861,IF(B861="","",IFERROR(INDEX(pr_des,MATCH(B861,pr_code,0))&amp;"",""))))</f>
        <v/>
      </c>
      <c r="I861" s="59" t="str">
        <f>IF(B861="","",IFERROR(INDEX(pr_unit,MATCH(B861,pr_code,0))&amp;"",""))</f>
        <v/>
      </c>
      <c r="J861" s="65" t="str">
        <f>IF(COUNTA(A861:G861)=0,"",IF(E861&lt;&gt;"",E861,IF(B861="","",IFERROR(IF(INDEX(pr_price,MATCH(B861,pr_code,0))="","",INDEX(pr_price,MATCH(B861,pr_code,0))),""))))</f>
        <v/>
      </c>
      <c r="K861" s="71" t="str">
        <f>IF(COUNTA(A861:G861)=0,"",IF(G861&lt;&gt;"",G861,IF(B861="","",IFERROR(IF(INDEX(pr_rate,MATCH(B861,pr_code,0))="","",INDEX(pr_rate,MATCH(B861,pr_code,0))),""))))</f>
        <v/>
      </c>
      <c r="L861" s="65" t="str">
        <f>IF(COUNTA(A861:G861)=0,"",IF(AND(ISNUMBER(D861),ISNUMBER(J861)),ROUND(D861*J861*(1-N(F861)),2),0))</f>
        <v/>
      </c>
      <c r="M861" s="62" t="str">
        <f>IF(A861="","",IFERROR(INDEX(dv_cname,MATCH(A861,dv_num,0))&amp;"",""))</f>
        <v/>
      </c>
      <c r="N861" s="59" t="str">
        <f>IF(COUNTA(A861:G861)=0,"",IF(A861="","N° devis manquant",IF(ISNA(MATCH(A861,dv_num,0)),"Devis inconnu",IF(AND(B861&lt;&gt;"",ISNA(MATCH(B861,pr_code,0))),"Article inconnu",IF(H861="","Désignation manquante",IF(OR(NOT(ISNUMBER(D861)),N(D861)&lt;=0),"Quantité invalide",IF(J861="","Prix manquant",IF(OR(NOT(ISNUMBER(J861)),N(J861)&lt;0),"Prix invalide",IF(OR(AND(F861&lt;&gt;"",NOT(ISNUMBER(F861))),N(F861)&lt;0,N(F861)&gt;1),"Remise invalide",IF(K861="","Taux de TVA manquant",IF(NOT(ISNUMBER(K861)),"Taux de TVA invalide",IF(COUNTIF(p_rates,K861)=0,"Taux de TVA hors liste (Paramètres)",IF(N(O861)&gt;25,"Au-delà de 25 lignes : non imprimée","OK")))))))))))))</f>
        <v/>
      </c>
      <c r="O861" s="59" t="str">
        <f>IF(A861="","",COUNTIF($A$6:A861,A861))</f>
        <v/>
      </c>
      <c r="P861" s="62" t="str">
        <f>IF(A861="","",A861&amp;"|"&amp;O861)</f>
        <v/>
      </c>
    </row>
    <row r="862">
      <c r="A862" s="60" t="n"/>
      <c r="B862" s="63" t="n"/>
      <c r="C862" s="63" t="n"/>
      <c r="D862" s="67" t="n"/>
      <c r="E862" s="68" t="n"/>
      <c r="F862" s="69" t="n"/>
      <c r="G862" s="70" t="n"/>
      <c r="H862" s="62" t="str">
        <f>IF(COUNTA(A862:G862)=0,"",IF(C862&lt;&gt;"",C862,IF(B862="","",IFERROR(INDEX(pr_des,MATCH(B862,pr_code,0))&amp;"",""))))</f>
        <v/>
      </c>
      <c r="I862" s="59" t="str">
        <f>IF(B862="","",IFERROR(INDEX(pr_unit,MATCH(B862,pr_code,0))&amp;"",""))</f>
        <v/>
      </c>
      <c r="J862" s="65" t="str">
        <f>IF(COUNTA(A862:G862)=0,"",IF(E862&lt;&gt;"",E862,IF(B862="","",IFERROR(IF(INDEX(pr_price,MATCH(B862,pr_code,0))="","",INDEX(pr_price,MATCH(B862,pr_code,0))),""))))</f>
        <v/>
      </c>
      <c r="K862" s="71" t="str">
        <f>IF(COUNTA(A862:G862)=0,"",IF(G862&lt;&gt;"",G862,IF(B862="","",IFERROR(IF(INDEX(pr_rate,MATCH(B862,pr_code,0))="","",INDEX(pr_rate,MATCH(B862,pr_code,0))),""))))</f>
        <v/>
      </c>
      <c r="L862" s="65" t="str">
        <f>IF(COUNTA(A862:G862)=0,"",IF(AND(ISNUMBER(D862),ISNUMBER(J862)),ROUND(D862*J862*(1-N(F862)),2),0))</f>
        <v/>
      </c>
      <c r="M862" s="62" t="str">
        <f>IF(A862="","",IFERROR(INDEX(dv_cname,MATCH(A862,dv_num,0))&amp;"",""))</f>
        <v/>
      </c>
      <c r="N862" s="59" t="str">
        <f>IF(COUNTA(A862:G862)=0,"",IF(A862="","N° devis manquant",IF(ISNA(MATCH(A862,dv_num,0)),"Devis inconnu",IF(AND(B862&lt;&gt;"",ISNA(MATCH(B862,pr_code,0))),"Article inconnu",IF(H862="","Désignation manquante",IF(OR(NOT(ISNUMBER(D862)),N(D862)&lt;=0),"Quantité invalide",IF(J862="","Prix manquant",IF(OR(NOT(ISNUMBER(J862)),N(J862)&lt;0),"Prix invalide",IF(OR(AND(F862&lt;&gt;"",NOT(ISNUMBER(F862))),N(F862)&lt;0,N(F862)&gt;1),"Remise invalide",IF(K862="","Taux de TVA manquant",IF(NOT(ISNUMBER(K862)),"Taux de TVA invalide",IF(COUNTIF(p_rates,K862)=0,"Taux de TVA hors liste (Paramètres)",IF(N(O862)&gt;25,"Au-delà de 25 lignes : non imprimée","OK")))))))))))))</f>
        <v/>
      </c>
      <c r="O862" s="59" t="str">
        <f>IF(A862="","",COUNTIF($A$6:A862,A862))</f>
        <v/>
      </c>
      <c r="P862" s="62" t="str">
        <f>IF(A862="","",A862&amp;"|"&amp;O862)</f>
        <v/>
      </c>
    </row>
    <row r="863">
      <c r="A863" s="60" t="n"/>
      <c r="B863" s="63" t="n"/>
      <c r="C863" s="63" t="n"/>
      <c r="D863" s="67" t="n"/>
      <c r="E863" s="68" t="n"/>
      <c r="F863" s="69" t="n"/>
      <c r="G863" s="70" t="n"/>
      <c r="H863" s="62" t="str">
        <f>IF(COUNTA(A863:G863)=0,"",IF(C863&lt;&gt;"",C863,IF(B863="","",IFERROR(INDEX(pr_des,MATCH(B863,pr_code,0))&amp;"",""))))</f>
        <v/>
      </c>
      <c r="I863" s="59" t="str">
        <f>IF(B863="","",IFERROR(INDEX(pr_unit,MATCH(B863,pr_code,0))&amp;"",""))</f>
        <v/>
      </c>
      <c r="J863" s="65" t="str">
        <f>IF(COUNTA(A863:G863)=0,"",IF(E863&lt;&gt;"",E863,IF(B863="","",IFERROR(IF(INDEX(pr_price,MATCH(B863,pr_code,0))="","",INDEX(pr_price,MATCH(B863,pr_code,0))),""))))</f>
        <v/>
      </c>
      <c r="K863" s="71" t="str">
        <f>IF(COUNTA(A863:G863)=0,"",IF(G863&lt;&gt;"",G863,IF(B863="","",IFERROR(IF(INDEX(pr_rate,MATCH(B863,pr_code,0))="","",INDEX(pr_rate,MATCH(B863,pr_code,0))),""))))</f>
        <v/>
      </c>
      <c r="L863" s="65" t="str">
        <f>IF(COUNTA(A863:G863)=0,"",IF(AND(ISNUMBER(D863),ISNUMBER(J863)),ROUND(D863*J863*(1-N(F863)),2),0))</f>
        <v/>
      </c>
      <c r="M863" s="62" t="str">
        <f>IF(A863="","",IFERROR(INDEX(dv_cname,MATCH(A863,dv_num,0))&amp;"",""))</f>
        <v/>
      </c>
      <c r="N863" s="59" t="str">
        <f>IF(COUNTA(A863:G863)=0,"",IF(A863="","N° devis manquant",IF(ISNA(MATCH(A863,dv_num,0)),"Devis inconnu",IF(AND(B863&lt;&gt;"",ISNA(MATCH(B863,pr_code,0))),"Article inconnu",IF(H863="","Désignation manquante",IF(OR(NOT(ISNUMBER(D863)),N(D863)&lt;=0),"Quantité invalide",IF(J863="","Prix manquant",IF(OR(NOT(ISNUMBER(J863)),N(J863)&lt;0),"Prix invalide",IF(OR(AND(F863&lt;&gt;"",NOT(ISNUMBER(F863))),N(F863)&lt;0,N(F863)&gt;1),"Remise invalide",IF(K863="","Taux de TVA manquant",IF(NOT(ISNUMBER(K863)),"Taux de TVA invalide",IF(COUNTIF(p_rates,K863)=0,"Taux de TVA hors liste (Paramètres)",IF(N(O863)&gt;25,"Au-delà de 25 lignes : non imprimée","OK")))))))))))))</f>
        <v/>
      </c>
      <c r="O863" s="59" t="str">
        <f>IF(A863="","",COUNTIF($A$6:A863,A863))</f>
        <v/>
      </c>
      <c r="P863" s="62" t="str">
        <f>IF(A863="","",A863&amp;"|"&amp;O863)</f>
        <v/>
      </c>
    </row>
    <row r="864">
      <c r="A864" s="60" t="n"/>
      <c r="B864" s="63" t="n"/>
      <c r="C864" s="63" t="n"/>
      <c r="D864" s="67" t="n"/>
      <c r="E864" s="68" t="n"/>
      <c r="F864" s="69" t="n"/>
      <c r="G864" s="70" t="n"/>
      <c r="H864" s="62" t="str">
        <f>IF(COUNTA(A864:G864)=0,"",IF(C864&lt;&gt;"",C864,IF(B864="","",IFERROR(INDEX(pr_des,MATCH(B864,pr_code,0))&amp;"",""))))</f>
        <v/>
      </c>
      <c r="I864" s="59" t="str">
        <f>IF(B864="","",IFERROR(INDEX(pr_unit,MATCH(B864,pr_code,0))&amp;"",""))</f>
        <v/>
      </c>
      <c r="J864" s="65" t="str">
        <f>IF(COUNTA(A864:G864)=0,"",IF(E864&lt;&gt;"",E864,IF(B864="","",IFERROR(IF(INDEX(pr_price,MATCH(B864,pr_code,0))="","",INDEX(pr_price,MATCH(B864,pr_code,0))),""))))</f>
        <v/>
      </c>
      <c r="K864" s="71" t="str">
        <f>IF(COUNTA(A864:G864)=0,"",IF(G864&lt;&gt;"",G864,IF(B864="","",IFERROR(IF(INDEX(pr_rate,MATCH(B864,pr_code,0))="","",INDEX(pr_rate,MATCH(B864,pr_code,0))),""))))</f>
        <v/>
      </c>
      <c r="L864" s="65" t="str">
        <f>IF(COUNTA(A864:G864)=0,"",IF(AND(ISNUMBER(D864),ISNUMBER(J864)),ROUND(D864*J864*(1-N(F864)),2),0))</f>
        <v/>
      </c>
      <c r="M864" s="62" t="str">
        <f>IF(A864="","",IFERROR(INDEX(dv_cname,MATCH(A864,dv_num,0))&amp;"",""))</f>
        <v/>
      </c>
      <c r="N864" s="59" t="str">
        <f>IF(COUNTA(A864:G864)=0,"",IF(A864="","N° devis manquant",IF(ISNA(MATCH(A864,dv_num,0)),"Devis inconnu",IF(AND(B864&lt;&gt;"",ISNA(MATCH(B864,pr_code,0))),"Article inconnu",IF(H864="","Désignation manquante",IF(OR(NOT(ISNUMBER(D864)),N(D864)&lt;=0),"Quantité invalide",IF(J864="","Prix manquant",IF(OR(NOT(ISNUMBER(J864)),N(J864)&lt;0),"Prix invalide",IF(OR(AND(F864&lt;&gt;"",NOT(ISNUMBER(F864))),N(F864)&lt;0,N(F864)&gt;1),"Remise invalide",IF(K864="","Taux de TVA manquant",IF(NOT(ISNUMBER(K864)),"Taux de TVA invalide",IF(COUNTIF(p_rates,K864)=0,"Taux de TVA hors liste (Paramètres)",IF(N(O864)&gt;25,"Au-delà de 25 lignes : non imprimée","OK")))))))))))))</f>
        <v/>
      </c>
      <c r="O864" s="59" t="str">
        <f>IF(A864="","",COUNTIF($A$6:A864,A864))</f>
        <v/>
      </c>
      <c r="P864" s="62" t="str">
        <f>IF(A864="","",A864&amp;"|"&amp;O864)</f>
        <v/>
      </c>
    </row>
    <row r="865">
      <c r="A865" s="60" t="n"/>
      <c r="B865" s="63" t="n"/>
      <c r="C865" s="63" t="n"/>
      <c r="D865" s="67" t="n"/>
      <c r="E865" s="68" t="n"/>
      <c r="F865" s="69" t="n"/>
      <c r="G865" s="70" t="n"/>
      <c r="H865" s="62" t="str">
        <f>IF(COUNTA(A865:G865)=0,"",IF(C865&lt;&gt;"",C865,IF(B865="","",IFERROR(INDEX(pr_des,MATCH(B865,pr_code,0))&amp;"",""))))</f>
        <v/>
      </c>
      <c r="I865" s="59" t="str">
        <f>IF(B865="","",IFERROR(INDEX(pr_unit,MATCH(B865,pr_code,0))&amp;"",""))</f>
        <v/>
      </c>
      <c r="J865" s="65" t="str">
        <f>IF(COUNTA(A865:G865)=0,"",IF(E865&lt;&gt;"",E865,IF(B865="","",IFERROR(IF(INDEX(pr_price,MATCH(B865,pr_code,0))="","",INDEX(pr_price,MATCH(B865,pr_code,0))),""))))</f>
        <v/>
      </c>
      <c r="K865" s="71" t="str">
        <f>IF(COUNTA(A865:G865)=0,"",IF(G865&lt;&gt;"",G865,IF(B865="","",IFERROR(IF(INDEX(pr_rate,MATCH(B865,pr_code,0))="","",INDEX(pr_rate,MATCH(B865,pr_code,0))),""))))</f>
        <v/>
      </c>
      <c r="L865" s="65" t="str">
        <f>IF(COUNTA(A865:G865)=0,"",IF(AND(ISNUMBER(D865),ISNUMBER(J865)),ROUND(D865*J865*(1-N(F865)),2),0))</f>
        <v/>
      </c>
      <c r="M865" s="62" t="str">
        <f>IF(A865="","",IFERROR(INDEX(dv_cname,MATCH(A865,dv_num,0))&amp;"",""))</f>
        <v/>
      </c>
      <c r="N865" s="59" t="str">
        <f>IF(COUNTA(A865:G865)=0,"",IF(A865="","N° devis manquant",IF(ISNA(MATCH(A865,dv_num,0)),"Devis inconnu",IF(AND(B865&lt;&gt;"",ISNA(MATCH(B865,pr_code,0))),"Article inconnu",IF(H865="","Désignation manquante",IF(OR(NOT(ISNUMBER(D865)),N(D865)&lt;=0),"Quantité invalide",IF(J865="","Prix manquant",IF(OR(NOT(ISNUMBER(J865)),N(J865)&lt;0),"Prix invalide",IF(OR(AND(F865&lt;&gt;"",NOT(ISNUMBER(F865))),N(F865)&lt;0,N(F865)&gt;1),"Remise invalide",IF(K865="","Taux de TVA manquant",IF(NOT(ISNUMBER(K865)),"Taux de TVA invalide",IF(COUNTIF(p_rates,K865)=0,"Taux de TVA hors liste (Paramètres)",IF(N(O865)&gt;25,"Au-delà de 25 lignes : non imprimée","OK")))))))))))))</f>
        <v/>
      </c>
      <c r="O865" s="59" t="str">
        <f>IF(A865="","",COUNTIF($A$6:A865,A865))</f>
        <v/>
      </c>
      <c r="P865" s="62" t="str">
        <f>IF(A865="","",A865&amp;"|"&amp;O865)</f>
        <v/>
      </c>
    </row>
    <row r="866">
      <c r="A866" s="60" t="n"/>
      <c r="B866" s="63" t="n"/>
      <c r="C866" s="63" t="n"/>
      <c r="D866" s="67" t="n"/>
      <c r="E866" s="68" t="n"/>
      <c r="F866" s="69" t="n"/>
      <c r="G866" s="70" t="n"/>
      <c r="H866" s="62" t="str">
        <f>IF(COUNTA(A866:G866)=0,"",IF(C866&lt;&gt;"",C866,IF(B866="","",IFERROR(INDEX(pr_des,MATCH(B866,pr_code,0))&amp;"",""))))</f>
        <v/>
      </c>
      <c r="I866" s="59" t="str">
        <f>IF(B866="","",IFERROR(INDEX(pr_unit,MATCH(B866,pr_code,0))&amp;"",""))</f>
        <v/>
      </c>
      <c r="J866" s="65" t="str">
        <f>IF(COUNTA(A866:G866)=0,"",IF(E866&lt;&gt;"",E866,IF(B866="","",IFERROR(IF(INDEX(pr_price,MATCH(B866,pr_code,0))="","",INDEX(pr_price,MATCH(B866,pr_code,0))),""))))</f>
        <v/>
      </c>
      <c r="K866" s="71" t="str">
        <f>IF(COUNTA(A866:G866)=0,"",IF(G866&lt;&gt;"",G866,IF(B866="","",IFERROR(IF(INDEX(pr_rate,MATCH(B866,pr_code,0))="","",INDEX(pr_rate,MATCH(B866,pr_code,0))),""))))</f>
        <v/>
      </c>
      <c r="L866" s="65" t="str">
        <f>IF(COUNTA(A866:G866)=0,"",IF(AND(ISNUMBER(D866),ISNUMBER(J866)),ROUND(D866*J866*(1-N(F866)),2),0))</f>
        <v/>
      </c>
      <c r="M866" s="62" t="str">
        <f>IF(A866="","",IFERROR(INDEX(dv_cname,MATCH(A866,dv_num,0))&amp;"",""))</f>
        <v/>
      </c>
      <c r="N866" s="59" t="str">
        <f>IF(COUNTA(A866:G866)=0,"",IF(A866="","N° devis manquant",IF(ISNA(MATCH(A866,dv_num,0)),"Devis inconnu",IF(AND(B866&lt;&gt;"",ISNA(MATCH(B866,pr_code,0))),"Article inconnu",IF(H866="","Désignation manquante",IF(OR(NOT(ISNUMBER(D866)),N(D866)&lt;=0),"Quantité invalide",IF(J866="","Prix manquant",IF(OR(NOT(ISNUMBER(J866)),N(J866)&lt;0),"Prix invalide",IF(OR(AND(F866&lt;&gt;"",NOT(ISNUMBER(F866))),N(F866)&lt;0,N(F866)&gt;1),"Remise invalide",IF(K866="","Taux de TVA manquant",IF(NOT(ISNUMBER(K866)),"Taux de TVA invalide",IF(COUNTIF(p_rates,K866)=0,"Taux de TVA hors liste (Paramètres)",IF(N(O866)&gt;25,"Au-delà de 25 lignes : non imprimée","OK")))))))))))))</f>
        <v/>
      </c>
      <c r="O866" s="59" t="str">
        <f>IF(A866="","",COUNTIF($A$6:A866,A866))</f>
        <v/>
      </c>
      <c r="P866" s="62" t="str">
        <f>IF(A866="","",A866&amp;"|"&amp;O866)</f>
        <v/>
      </c>
    </row>
    <row r="867">
      <c r="A867" s="60" t="n"/>
      <c r="B867" s="63" t="n"/>
      <c r="C867" s="63" t="n"/>
      <c r="D867" s="67" t="n"/>
      <c r="E867" s="68" t="n"/>
      <c r="F867" s="69" t="n"/>
      <c r="G867" s="70" t="n"/>
      <c r="H867" s="62" t="str">
        <f>IF(COUNTA(A867:G867)=0,"",IF(C867&lt;&gt;"",C867,IF(B867="","",IFERROR(INDEX(pr_des,MATCH(B867,pr_code,0))&amp;"",""))))</f>
        <v/>
      </c>
      <c r="I867" s="59" t="str">
        <f>IF(B867="","",IFERROR(INDEX(pr_unit,MATCH(B867,pr_code,0))&amp;"",""))</f>
        <v/>
      </c>
      <c r="J867" s="65" t="str">
        <f>IF(COUNTA(A867:G867)=0,"",IF(E867&lt;&gt;"",E867,IF(B867="","",IFERROR(IF(INDEX(pr_price,MATCH(B867,pr_code,0))="","",INDEX(pr_price,MATCH(B867,pr_code,0))),""))))</f>
        <v/>
      </c>
      <c r="K867" s="71" t="str">
        <f>IF(COUNTA(A867:G867)=0,"",IF(G867&lt;&gt;"",G867,IF(B867="","",IFERROR(IF(INDEX(pr_rate,MATCH(B867,pr_code,0))="","",INDEX(pr_rate,MATCH(B867,pr_code,0))),""))))</f>
        <v/>
      </c>
      <c r="L867" s="65" t="str">
        <f>IF(COUNTA(A867:G867)=0,"",IF(AND(ISNUMBER(D867),ISNUMBER(J867)),ROUND(D867*J867*(1-N(F867)),2),0))</f>
        <v/>
      </c>
      <c r="M867" s="62" t="str">
        <f>IF(A867="","",IFERROR(INDEX(dv_cname,MATCH(A867,dv_num,0))&amp;"",""))</f>
        <v/>
      </c>
      <c r="N867" s="59" t="str">
        <f>IF(COUNTA(A867:G867)=0,"",IF(A867="","N° devis manquant",IF(ISNA(MATCH(A867,dv_num,0)),"Devis inconnu",IF(AND(B867&lt;&gt;"",ISNA(MATCH(B867,pr_code,0))),"Article inconnu",IF(H867="","Désignation manquante",IF(OR(NOT(ISNUMBER(D867)),N(D867)&lt;=0),"Quantité invalide",IF(J867="","Prix manquant",IF(OR(NOT(ISNUMBER(J867)),N(J867)&lt;0),"Prix invalide",IF(OR(AND(F867&lt;&gt;"",NOT(ISNUMBER(F867))),N(F867)&lt;0,N(F867)&gt;1),"Remise invalide",IF(K867="","Taux de TVA manquant",IF(NOT(ISNUMBER(K867)),"Taux de TVA invalide",IF(COUNTIF(p_rates,K867)=0,"Taux de TVA hors liste (Paramètres)",IF(N(O867)&gt;25,"Au-delà de 25 lignes : non imprimée","OK")))))))))))))</f>
        <v/>
      </c>
      <c r="O867" s="59" t="str">
        <f>IF(A867="","",COUNTIF($A$6:A867,A867))</f>
        <v/>
      </c>
      <c r="P867" s="62" t="str">
        <f>IF(A867="","",A867&amp;"|"&amp;O867)</f>
        <v/>
      </c>
    </row>
    <row r="868">
      <c r="A868" s="60" t="n"/>
      <c r="B868" s="63" t="n"/>
      <c r="C868" s="63" t="n"/>
      <c r="D868" s="67" t="n"/>
      <c r="E868" s="68" t="n"/>
      <c r="F868" s="69" t="n"/>
      <c r="G868" s="70" t="n"/>
      <c r="H868" s="62" t="str">
        <f>IF(COUNTA(A868:G868)=0,"",IF(C868&lt;&gt;"",C868,IF(B868="","",IFERROR(INDEX(pr_des,MATCH(B868,pr_code,0))&amp;"",""))))</f>
        <v/>
      </c>
      <c r="I868" s="59" t="str">
        <f>IF(B868="","",IFERROR(INDEX(pr_unit,MATCH(B868,pr_code,0))&amp;"",""))</f>
        <v/>
      </c>
      <c r="J868" s="65" t="str">
        <f>IF(COUNTA(A868:G868)=0,"",IF(E868&lt;&gt;"",E868,IF(B868="","",IFERROR(IF(INDEX(pr_price,MATCH(B868,pr_code,0))="","",INDEX(pr_price,MATCH(B868,pr_code,0))),""))))</f>
        <v/>
      </c>
      <c r="K868" s="71" t="str">
        <f>IF(COUNTA(A868:G868)=0,"",IF(G868&lt;&gt;"",G868,IF(B868="","",IFERROR(IF(INDEX(pr_rate,MATCH(B868,pr_code,0))="","",INDEX(pr_rate,MATCH(B868,pr_code,0))),""))))</f>
        <v/>
      </c>
      <c r="L868" s="65" t="str">
        <f>IF(COUNTA(A868:G868)=0,"",IF(AND(ISNUMBER(D868),ISNUMBER(J868)),ROUND(D868*J868*(1-N(F868)),2),0))</f>
        <v/>
      </c>
      <c r="M868" s="62" t="str">
        <f>IF(A868="","",IFERROR(INDEX(dv_cname,MATCH(A868,dv_num,0))&amp;"",""))</f>
        <v/>
      </c>
      <c r="N868" s="59" t="str">
        <f>IF(COUNTA(A868:G868)=0,"",IF(A868="","N° devis manquant",IF(ISNA(MATCH(A868,dv_num,0)),"Devis inconnu",IF(AND(B868&lt;&gt;"",ISNA(MATCH(B868,pr_code,0))),"Article inconnu",IF(H868="","Désignation manquante",IF(OR(NOT(ISNUMBER(D868)),N(D868)&lt;=0),"Quantité invalide",IF(J868="","Prix manquant",IF(OR(NOT(ISNUMBER(J868)),N(J868)&lt;0),"Prix invalide",IF(OR(AND(F868&lt;&gt;"",NOT(ISNUMBER(F868))),N(F868)&lt;0,N(F868)&gt;1),"Remise invalide",IF(K868="","Taux de TVA manquant",IF(NOT(ISNUMBER(K868)),"Taux de TVA invalide",IF(COUNTIF(p_rates,K868)=0,"Taux de TVA hors liste (Paramètres)",IF(N(O868)&gt;25,"Au-delà de 25 lignes : non imprimée","OK")))))))))))))</f>
        <v/>
      </c>
      <c r="O868" s="59" t="str">
        <f>IF(A868="","",COUNTIF($A$6:A868,A868))</f>
        <v/>
      </c>
      <c r="P868" s="62" t="str">
        <f>IF(A868="","",A868&amp;"|"&amp;O868)</f>
        <v/>
      </c>
    </row>
    <row r="869">
      <c r="A869" s="60" t="n"/>
      <c r="B869" s="63" t="n"/>
      <c r="C869" s="63" t="n"/>
      <c r="D869" s="67" t="n"/>
      <c r="E869" s="68" t="n"/>
      <c r="F869" s="69" t="n"/>
      <c r="G869" s="70" t="n"/>
      <c r="H869" s="62" t="str">
        <f>IF(COUNTA(A869:G869)=0,"",IF(C869&lt;&gt;"",C869,IF(B869="","",IFERROR(INDEX(pr_des,MATCH(B869,pr_code,0))&amp;"",""))))</f>
        <v/>
      </c>
      <c r="I869" s="59" t="str">
        <f>IF(B869="","",IFERROR(INDEX(pr_unit,MATCH(B869,pr_code,0))&amp;"",""))</f>
        <v/>
      </c>
      <c r="J869" s="65" t="str">
        <f>IF(COUNTA(A869:G869)=0,"",IF(E869&lt;&gt;"",E869,IF(B869="","",IFERROR(IF(INDEX(pr_price,MATCH(B869,pr_code,0))="","",INDEX(pr_price,MATCH(B869,pr_code,0))),""))))</f>
        <v/>
      </c>
      <c r="K869" s="71" t="str">
        <f>IF(COUNTA(A869:G869)=0,"",IF(G869&lt;&gt;"",G869,IF(B869="","",IFERROR(IF(INDEX(pr_rate,MATCH(B869,pr_code,0))="","",INDEX(pr_rate,MATCH(B869,pr_code,0))),""))))</f>
        <v/>
      </c>
      <c r="L869" s="65" t="str">
        <f>IF(COUNTA(A869:G869)=0,"",IF(AND(ISNUMBER(D869),ISNUMBER(J869)),ROUND(D869*J869*(1-N(F869)),2),0))</f>
        <v/>
      </c>
      <c r="M869" s="62" t="str">
        <f>IF(A869="","",IFERROR(INDEX(dv_cname,MATCH(A869,dv_num,0))&amp;"",""))</f>
        <v/>
      </c>
      <c r="N869" s="59" t="str">
        <f>IF(COUNTA(A869:G869)=0,"",IF(A869="","N° devis manquant",IF(ISNA(MATCH(A869,dv_num,0)),"Devis inconnu",IF(AND(B869&lt;&gt;"",ISNA(MATCH(B869,pr_code,0))),"Article inconnu",IF(H869="","Désignation manquante",IF(OR(NOT(ISNUMBER(D869)),N(D869)&lt;=0),"Quantité invalide",IF(J869="","Prix manquant",IF(OR(NOT(ISNUMBER(J869)),N(J869)&lt;0),"Prix invalide",IF(OR(AND(F869&lt;&gt;"",NOT(ISNUMBER(F869))),N(F869)&lt;0,N(F869)&gt;1),"Remise invalide",IF(K869="","Taux de TVA manquant",IF(NOT(ISNUMBER(K869)),"Taux de TVA invalide",IF(COUNTIF(p_rates,K869)=0,"Taux de TVA hors liste (Paramètres)",IF(N(O869)&gt;25,"Au-delà de 25 lignes : non imprimée","OK")))))))))))))</f>
        <v/>
      </c>
      <c r="O869" s="59" t="str">
        <f>IF(A869="","",COUNTIF($A$6:A869,A869))</f>
        <v/>
      </c>
      <c r="P869" s="62" t="str">
        <f>IF(A869="","",A869&amp;"|"&amp;O869)</f>
        <v/>
      </c>
    </row>
    <row r="870">
      <c r="A870" s="60" t="n"/>
      <c r="B870" s="63" t="n"/>
      <c r="C870" s="63" t="n"/>
      <c r="D870" s="67" t="n"/>
      <c r="E870" s="68" t="n"/>
      <c r="F870" s="69" t="n"/>
      <c r="G870" s="70" t="n"/>
      <c r="H870" s="62" t="str">
        <f>IF(COUNTA(A870:G870)=0,"",IF(C870&lt;&gt;"",C870,IF(B870="","",IFERROR(INDEX(pr_des,MATCH(B870,pr_code,0))&amp;"",""))))</f>
        <v/>
      </c>
      <c r="I870" s="59" t="str">
        <f>IF(B870="","",IFERROR(INDEX(pr_unit,MATCH(B870,pr_code,0))&amp;"",""))</f>
        <v/>
      </c>
      <c r="J870" s="65" t="str">
        <f>IF(COUNTA(A870:G870)=0,"",IF(E870&lt;&gt;"",E870,IF(B870="","",IFERROR(IF(INDEX(pr_price,MATCH(B870,pr_code,0))="","",INDEX(pr_price,MATCH(B870,pr_code,0))),""))))</f>
        <v/>
      </c>
      <c r="K870" s="71" t="str">
        <f>IF(COUNTA(A870:G870)=0,"",IF(G870&lt;&gt;"",G870,IF(B870="","",IFERROR(IF(INDEX(pr_rate,MATCH(B870,pr_code,0))="","",INDEX(pr_rate,MATCH(B870,pr_code,0))),""))))</f>
        <v/>
      </c>
      <c r="L870" s="65" t="str">
        <f>IF(COUNTA(A870:G870)=0,"",IF(AND(ISNUMBER(D870),ISNUMBER(J870)),ROUND(D870*J870*(1-N(F870)),2),0))</f>
        <v/>
      </c>
      <c r="M870" s="62" t="str">
        <f>IF(A870="","",IFERROR(INDEX(dv_cname,MATCH(A870,dv_num,0))&amp;"",""))</f>
        <v/>
      </c>
      <c r="N870" s="59" t="str">
        <f>IF(COUNTA(A870:G870)=0,"",IF(A870="","N° devis manquant",IF(ISNA(MATCH(A870,dv_num,0)),"Devis inconnu",IF(AND(B870&lt;&gt;"",ISNA(MATCH(B870,pr_code,0))),"Article inconnu",IF(H870="","Désignation manquante",IF(OR(NOT(ISNUMBER(D870)),N(D870)&lt;=0),"Quantité invalide",IF(J870="","Prix manquant",IF(OR(NOT(ISNUMBER(J870)),N(J870)&lt;0),"Prix invalide",IF(OR(AND(F870&lt;&gt;"",NOT(ISNUMBER(F870))),N(F870)&lt;0,N(F870)&gt;1),"Remise invalide",IF(K870="","Taux de TVA manquant",IF(NOT(ISNUMBER(K870)),"Taux de TVA invalide",IF(COUNTIF(p_rates,K870)=0,"Taux de TVA hors liste (Paramètres)",IF(N(O870)&gt;25,"Au-delà de 25 lignes : non imprimée","OK")))))))))))))</f>
        <v/>
      </c>
      <c r="O870" s="59" t="str">
        <f>IF(A870="","",COUNTIF($A$6:A870,A870))</f>
        <v/>
      </c>
      <c r="P870" s="62" t="str">
        <f>IF(A870="","",A870&amp;"|"&amp;O870)</f>
        <v/>
      </c>
    </row>
    <row r="871">
      <c r="A871" s="60" t="n"/>
      <c r="B871" s="63" t="n"/>
      <c r="C871" s="63" t="n"/>
      <c r="D871" s="67" t="n"/>
      <c r="E871" s="68" t="n"/>
      <c r="F871" s="69" t="n"/>
      <c r="G871" s="70" t="n"/>
      <c r="H871" s="62" t="str">
        <f>IF(COUNTA(A871:G871)=0,"",IF(C871&lt;&gt;"",C871,IF(B871="","",IFERROR(INDEX(pr_des,MATCH(B871,pr_code,0))&amp;"",""))))</f>
        <v/>
      </c>
      <c r="I871" s="59" t="str">
        <f>IF(B871="","",IFERROR(INDEX(pr_unit,MATCH(B871,pr_code,0))&amp;"",""))</f>
        <v/>
      </c>
      <c r="J871" s="65" t="str">
        <f>IF(COUNTA(A871:G871)=0,"",IF(E871&lt;&gt;"",E871,IF(B871="","",IFERROR(IF(INDEX(pr_price,MATCH(B871,pr_code,0))="","",INDEX(pr_price,MATCH(B871,pr_code,0))),""))))</f>
        <v/>
      </c>
      <c r="K871" s="71" t="str">
        <f>IF(COUNTA(A871:G871)=0,"",IF(G871&lt;&gt;"",G871,IF(B871="","",IFERROR(IF(INDEX(pr_rate,MATCH(B871,pr_code,0))="","",INDEX(pr_rate,MATCH(B871,pr_code,0))),""))))</f>
        <v/>
      </c>
      <c r="L871" s="65" t="str">
        <f>IF(COUNTA(A871:G871)=0,"",IF(AND(ISNUMBER(D871),ISNUMBER(J871)),ROUND(D871*J871*(1-N(F871)),2),0))</f>
        <v/>
      </c>
      <c r="M871" s="62" t="str">
        <f>IF(A871="","",IFERROR(INDEX(dv_cname,MATCH(A871,dv_num,0))&amp;"",""))</f>
        <v/>
      </c>
      <c r="N871" s="59" t="str">
        <f>IF(COUNTA(A871:G871)=0,"",IF(A871="","N° devis manquant",IF(ISNA(MATCH(A871,dv_num,0)),"Devis inconnu",IF(AND(B871&lt;&gt;"",ISNA(MATCH(B871,pr_code,0))),"Article inconnu",IF(H871="","Désignation manquante",IF(OR(NOT(ISNUMBER(D871)),N(D871)&lt;=0),"Quantité invalide",IF(J871="","Prix manquant",IF(OR(NOT(ISNUMBER(J871)),N(J871)&lt;0),"Prix invalide",IF(OR(AND(F871&lt;&gt;"",NOT(ISNUMBER(F871))),N(F871)&lt;0,N(F871)&gt;1),"Remise invalide",IF(K871="","Taux de TVA manquant",IF(NOT(ISNUMBER(K871)),"Taux de TVA invalide",IF(COUNTIF(p_rates,K871)=0,"Taux de TVA hors liste (Paramètres)",IF(N(O871)&gt;25,"Au-delà de 25 lignes : non imprimée","OK")))))))))))))</f>
        <v/>
      </c>
      <c r="O871" s="59" t="str">
        <f>IF(A871="","",COUNTIF($A$6:A871,A871))</f>
        <v/>
      </c>
      <c r="P871" s="62" t="str">
        <f>IF(A871="","",A871&amp;"|"&amp;O871)</f>
        <v/>
      </c>
    </row>
    <row r="872">
      <c r="A872" s="60" t="n"/>
      <c r="B872" s="63" t="n"/>
      <c r="C872" s="63" t="n"/>
      <c r="D872" s="67" t="n"/>
      <c r="E872" s="68" t="n"/>
      <c r="F872" s="69" t="n"/>
      <c r="G872" s="70" t="n"/>
      <c r="H872" s="62" t="str">
        <f>IF(COUNTA(A872:G872)=0,"",IF(C872&lt;&gt;"",C872,IF(B872="","",IFERROR(INDEX(pr_des,MATCH(B872,pr_code,0))&amp;"",""))))</f>
        <v/>
      </c>
      <c r="I872" s="59" t="str">
        <f>IF(B872="","",IFERROR(INDEX(pr_unit,MATCH(B872,pr_code,0))&amp;"",""))</f>
        <v/>
      </c>
      <c r="J872" s="65" t="str">
        <f>IF(COUNTA(A872:G872)=0,"",IF(E872&lt;&gt;"",E872,IF(B872="","",IFERROR(IF(INDEX(pr_price,MATCH(B872,pr_code,0))="","",INDEX(pr_price,MATCH(B872,pr_code,0))),""))))</f>
        <v/>
      </c>
      <c r="K872" s="71" t="str">
        <f>IF(COUNTA(A872:G872)=0,"",IF(G872&lt;&gt;"",G872,IF(B872="","",IFERROR(IF(INDEX(pr_rate,MATCH(B872,pr_code,0))="","",INDEX(pr_rate,MATCH(B872,pr_code,0))),""))))</f>
        <v/>
      </c>
      <c r="L872" s="65" t="str">
        <f>IF(COUNTA(A872:G872)=0,"",IF(AND(ISNUMBER(D872),ISNUMBER(J872)),ROUND(D872*J872*(1-N(F872)),2),0))</f>
        <v/>
      </c>
      <c r="M872" s="62" t="str">
        <f>IF(A872="","",IFERROR(INDEX(dv_cname,MATCH(A872,dv_num,0))&amp;"",""))</f>
        <v/>
      </c>
      <c r="N872" s="59" t="str">
        <f>IF(COUNTA(A872:G872)=0,"",IF(A872="","N° devis manquant",IF(ISNA(MATCH(A872,dv_num,0)),"Devis inconnu",IF(AND(B872&lt;&gt;"",ISNA(MATCH(B872,pr_code,0))),"Article inconnu",IF(H872="","Désignation manquante",IF(OR(NOT(ISNUMBER(D872)),N(D872)&lt;=0),"Quantité invalide",IF(J872="","Prix manquant",IF(OR(NOT(ISNUMBER(J872)),N(J872)&lt;0),"Prix invalide",IF(OR(AND(F872&lt;&gt;"",NOT(ISNUMBER(F872))),N(F872)&lt;0,N(F872)&gt;1),"Remise invalide",IF(K872="","Taux de TVA manquant",IF(NOT(ISNUMBER(K872)),"Taux de TVA invalide",IF(COUNTIF(p_rates,K872)=0,"Taux de TVA hors liste (Paramètres)",IF(N(O872)&gt;25,"Au-delà de 25 lignes : non imprimée","OK")))))))))))))</f>
        <v/>
      </c>
      <c r="O872" s="59" t="str">
        <f>IF(A872="","",COUNTIF($A$6:A872,A872))</f>
        <v/>
      </c>
      <c r="P872" s="62" t="str">
        <f>IF(A872="","",A872&amp;"|"&amp;O872)</f>
        <v/>
      </c>
    </row>
    <row r="873">
      <c r="A873" s="60" t="n"/>
      <c r="B873" s="63" t="n"/>
      <c r="C873" s="63" t="n"/>
      <c r="D873" s="67" t="n"/>
      <c r="E873" s="68" t="n"/>
      <c r="F873" s="69" t="n"/>
      <c r="G873" s="70" t="n"/>
      <c r="H873" s="62" t="str">
        <f>IF(COUNTA(A873:G873)=0,"",IF(C873&lt;&gt;"",C873,IF(B873="","",IFERROR(INDEX(pr_des,MATCH(B873,pr_code,0))&amp;"",""))))</f>
        <v/>
      </c>
      <c r="I873" s="59" t="str">
        <f>IF(B873="","",IFERROR(INDEX(pr_unit,MATCH(B873,pr_code,0))&amp;"",""))</f>
        <v/>
      </c>
      <c r="J873" s="65" t="str">
        <f>IF(COUNTA(A873:G873)=0,"",IF(E873&lt;&gt;"",E873,IF(B873="","",IFERROR(IF(INDEX(pr_price,MATCH(B873,pr_code,0))="","",INDEX(pr_price,MATCH(B873,pr_code,0))),""))))</f>
        <v/>
      </c>
      <c r="K873" s="71" t="str">
        <f>IF(COUNTA(A873:G873)=0,"",IF(G873&lt;&gt;"",G873,IF(B873="","",IFERROR(IF(INDEX(pr_rate,MATCH(B873,pr_code,0))="","",INDEX(pr_rate,MATCH(B873,pr_code,0))),""))))</f>
        <v/>
      </c>
      <c r="L873" s="65" t="str">
        <f>IF(COUNTA(A873:G873)=0,"",IF(AND(ISNUMBER(D873),ISNUMBER(J873)),ROUND(D873*J873*(1-N(F873)),2),0))</f>
        <v/>
      </c>
      <c r="M873" s="62" t="str">
        <f>IF(A873="","",IFERROR(INDEX(dv_cname,MATCH(A873,dv_num,0))&amp;"",""))</f>
        <v/>
      </c>
      <c r="N873" s="59" t="str">
        <f>IF(COUNTA(A873:G873)=0,"",IF(A873="","N° devis manquant",IF(ISNA(MATCH(A873,dv_num,0)),"Devis inconnu",IF(AND(B873&lt;&gt;"",ISNA(MATCH(B873,pr_code,0))),"Article inconnu",IF(H873="","Désignation manquante",IF(OR(NOT(ISNUMBER(D873)),N(D873)&lt;=0),"Quantité invalide",IF(J873="","Prix manquant",IF(OR(NOT(ISNUMBER(J873)),N(J873)&lt;0),"Prix invalide",IF(OR(AND(F873&lt;&gt;"",NOT(ISNUMBER(F873))),N(F873)&lt;0,N(F873)&gt;1),"Remise invalide",IF(K873="","Taux de TVA manquant",IF(NOT(ISNUMBER(K873)),"Taux de TVA invalide",IF(COUNTIF(p_rates,K873)=0,"Taux de TVA hors liste (Paramètres)",IF(N(O873)&gt;25,"Au-delà de 25 lignes : non imprimée","OK")))))))))))))</f>
        <v/>
      </c>
      <c r="O873" s="59" t="str">
        <f>IF(A873="","",COUNTIF($A$6:A873,A873))</f>
        <v/>
      </c>
      <c r="P873" s="62" t="str">
        <f>IF(A873="","",A873&amp;"|"&amp;O873)</f>
        <v/>
      </c>
    </row>
    <row r="874">
      <c r="A874" s="60" t="n"/>
      <c r="B874" s="63" t="n"/>
      <c r="C874" s="63" t="n"/>
      <c r="D874" s="67" t="n"/>
      <c r="E874" s="68" t="n"/>
      <c r="F874" s="69" t="n"/>
      <c r="G874" s="70" t="n"/>
      <c r="H874" s="62" t="str">
        <f>IF(COUNTA(A874:G874)=0,"",IF(C874&lt;&gt;"",C874,IF(B874="","",IFERROR(INDEX(pr_des,MATCH(B874,pr_code,0))&amp;"",""))))</f>
        <v/>
      </c>
      <c r="I874" s="59" t="str">
        <f>IF(B874="","",IFERROR(INDEX(pr_unit,MATCH(B874,pr_code,0))&amp;"",""))</f>
        <v/>
      </c>
      <c r="J874" s="65" t="str">
        <f>IF(COUNTA(A874:G874)=0,"",IF(E874&lt;&gt;"",E874,IF(B874="","",IFERROR(IF(INDEX(pr_price,MATCH(B874,pr_code,0))="","",INDEX(pr_price,MATCH(B874,pr_code,0))),""))))</f>
        <v/>
      </c>
      <c r="K874" s="71" t="str">
        <f>IF(COUNTA(A874:G874)=0,"",IF(G874&lt;&gt;"",G874,IF(B874="","",IFERROR(IF(INDEX(pr_rate,MATCH(B874,pr_code,0))="","",INDEX(pr_rate,MATCH(B874,pr_code,0))),""))))</f>
        <v/>
      </c>
      <c r="L874" s="65" t="str">
        <f>IF(COUNTA(A874:G874)=0,"",IF(AND(ISNUMBER(D874),ISNUMBER(J874)),ROUND(D874*J874*(1-N(F874)),2),0))</f>
        <v/>
      </c>
      <c r="M874" s="62" t="str">
        <f>IF(A874="","",IFERROR(INDEX(dv_cname,MATCH(A874,dv_num,0))&amp;"",""))</f>
        <v/>
      </c>
      <c r="N874" s="59" t="str">
        <f>IF(COUNTA(A874:G874)=0,"",IF(A874="","N° devis manquant",IF(ISNA(MATCH(A874,dv_num,0)),"Devis inconnu",IF(AND(B874&lt;&gt;"",ISNA(MATCH(B874,pr_code,0))),"Article inconnu",IF(H874="","Désignation manquante",IF(OR(NOT(ISNUMBER(D874)),N(D874)&lt;=0),"Quantité invalide",IF(J874="","Prix manquant",IF(OR(NOT(ISNUMBER(J874)),N(J874)&lt;0),"Prix invalide",IF(OR(AND(F874&lt;&gt;"",NOT(ISNUMBER(F874))),N(F874)&lt;0,N(F874)&gt;1),"Remise invalide",IF(K874="","Taux de TVA manquant",IF(NOT(ISNUMBER(K874)),"Taux de TVA invalide",IF(COUNTIF(p_rates,K874)=0,"Taux de TVA hors liste (Paramètres)",IF(N(O874)&gt;25,"Au-delà de 25 lignes : non imprimée","OK")))))))))))))</f>
        <v/>
      </c>
      <c r="O874" s="59" t="str">
        <f>IF(A874="","",COUNTIF($A$6:A874,A874))</f>
        <v/>
      </c>
      <c r="P874" s="62" t="str">
        <f>IF(A874="","",A874&amp;"|"&amp;O874)</f>
        <v/>
      </c>
    </row>
    <row r="875">
      <c r="A875" s="60" t="n"/>
      <c r="B875" s="63" t="n"/>
      <c r="C875" s="63" t="n"/>
      <c r="D875" s="67" t="n"/>
      <c r="E875" s="68" t="n"/>
      <c r="F875" s="69" t="n"/>
      <c r="G875" s="70" t="n"/>
      <c r="H875" s="62" t="str">
        <f>IF(COUNTA(A875:G875)=0,"",IF(C875&lt;&gt;"",C875,IF(B875="","",IFERROR(INDEX(pr_des,MATCH(B875,pr_code,0))&amp;"",""))))</f>
        <v/>
      </c>
      <c r="I875" s="59" t="str">
        <f>IF(B875="","",IFERROR(INDEX(pr_unit,MATCH(B875,pr_code,0))&amp;"",""))</f>
        <v/>
      </c>
      <c r="J875" s="65" t="str">
        <f>IF(COUNTA(A875:G875)=0,"",IF(E875&lt;&gt;"",E875,IF(B875="","",IFERROR(IF(INDEX(pr_price,MATCH(B875,pr_code,0))="","",INDEX(pr_price,MATCH(B875,pr_code,0))),""))))</f>
        <v/>
      </c>
      <c r="K875" s="71" t="str">
        <f>IF(COUNTA(A875:G875)=0,"",IF(G875&lt;&gt;"",G875,IF(B875="","",IFERROR(IF(INDEX(pr_rate,MATCH(B875,pr_code,0))="","",INDEX(pr_rate,MATCH(B875,pr_code,0))),""))))</f>
        <v/>
      </c>
      <c r="L875" s="65" t="str">
        <f>IF(COUNTA(A875:G875)=0,"",IF(AND(ISNUMBER(D875),ISNUMBER(J875)),ROUND(D875*J875*(1-N(F875)),2),0))</f>
        <v/>
      </c>
      <c r="M875" s="62" t="str">
        <f>IF(A875="","",IFERROR(INDEX(dv_cname,MATCH(A875,dv_num,0))&amp;"",""))</f>
        <v/>
      </c>
      <c r="N875" s="59" t="str">
        <f>IF(COUNTA(A875:G875)=0,"",IF(A875="","N° devis manquant",IF(ISNA(MATCH(A875,dv_num,0)),"Devis inconnu",IF(AND(B875&lt;&gt;"",ISNA(MATCH(B875,pr_code,0))),"Article inconnu",IF(H875="","Désignation manquante",IF(OR(NOT(ISNUMBER(D875)),N(D875)&lt;=0),"Quantité invalide",IF(J875="","Prix manquant",IF(OR(NOT(ISNUMBER(J875)),N(J875)&lt;0),"Prix invalide",IF(OR(AND(F875&lt;&gt;"",NOT(ISNUMBER(F875))),N(F875)&lt;0,N(F875)&gt;1),"Remise invalide",IF(K875="","Taux de TVA manquant",IF(NOT(ISNUMBER(K875)),"Taux de TVA invalide",IF(COUNTIF(p_rates,K875)=0,"Taux de TVA hors liste (Paramètres)",IF(N(O875)&gt;25,"Au-delà de 25 lignes : non imprimée","OK")))))))))))))</f>
        <v/>
      </c>
      <c r="O875" s="59" t="str">
        <f>IF(A875="","",COUNTIF($A$6:A875,A875))</f>
        <v/>
      </c>
      <c r="P875" s="62" t="str">
        <f>IF(A875="","",A875&amp;"|"&amp;O875)</f>
        <v/>
      </c>
    </row>
    <row r="876">
      <c r="A876" s="60" t="n"/>
      <c r="B876" s="63" t="n"/>
      <c r="C876" s="63" t="n"/>
      <c r="D876" s="67" t="n"/>
      <c r="E876" s="68" t="n"/>
      <c r="F876" s="69" t="n"/>
      <c r="G876" s="70" t="n"/>
      <c r="H876" s="62" t="str">
        <f>IF(COUNTA(A876:G876)=0,"",IF(C876&lt;&gt;"",C876,IF(B876="","",IFERROR(INDEX(pr_des,MATCH(B876,pr_code,0))&amp;"",""))))</f>
        <v/>
      </c>
      <c r="I876" s="59" t="str">
        <f>IF(B876="","",IFERROR(INDEX(pr_unit,MATCH(B876,pr_code,0))&amp;"",""))</f>
        <v/>
      </c>
      <c r="J876" s="65" t="str">
        <f>IF(COUNTA(A876:G876)=0,"",IF(E876&lt;&gt;"",E876,IF(B876="","",IFERROR(IF(INDEX(pr_price,MATCH(B876,pr_code,0))="","",INDEX(pr_price,MATCH(B876,pr_code,0))),""))))</f>
        <v/>
      </c>
      <c r="K876" s="71" t="str">
        <f>IF(COUNTA(A876:G876)=0,"",IF(G876&lt;&gt;"",G876,IF(B876="","",IFERROR(IF(INDEX(pr_rate,MATCH(B876,pr_code,0))="","",INDEX(pr_rate,MATCH(B876,pr_code,0))),""))))</f>
        <v/>
      </c>
      <c r="L876" s="65" t="str">
        <f>IF(COUNTA(A876:G876)=0,"",IF(AND(ISNUMBER(D876),ISNUMBER(J876)),ROUND(D876*J876*(1-N(F876)),2),0))</f>
        <v/>
      </c>
      <c r="M876" s="62" t="str">
        <f>IF(A876="","",IFERROR(INDEX(dv_cname,MATCH(A876,dv_num,0))&amp;"",""))</f>
        <v/>
      </c>
      <c r="N876" s="59" t="str">
        <f>IF(COUNTA(A876:G876)=0,"",IF(A876="","N° devis manquant",IF(ISNA(MATCH(A876,dv_num,0)),"Devis inconnu",IF(AND(B876&lt;&gt;"",ISNA(MATCH(B876,pr_code,0))),"Article inconnu",IF(H876="","Désignation manquante",IF(OR(NOT(ISNUMBER(D876)),N(D876)&lt;=0),"Quantité invalide",IF(J876="","Prix manquant",IF(OR(NOT(ISNUMBER(J876)),N(J876)&lt;0),"Prix invalide",IF(OR(AND(F876&lt;&gt;"",NOT(ISNUMBER(F876))),N(F876)&lt;0,N(F876)&gt;1),"Remise invalide",IF(K876="","Taux de TVA manquant",IF(NOT(ISNUMBER(K876)),"Taux de TVA invalide",IF(COUNTIF(p_rates,K876)=0,"Taux de TVA hors liste (Paramètres)",IF(N(O876)&gt;25,"Au-delà de 25 lignes : non imprimée","OK")))))))))))))</f>
        <v/>
      </c>
      <c r="O876" s="59" t="str">
        <f>IF(A876="","",COUNTIF($A$6:A876,A876))</f>
        <v/>
      </c>
      <c r="P876" s="62" t="str">
        <f>IF(A876="","",A876&amp;"|"&amp;O876)</f>
        <v/>
      </c>
    </row>
    <row r="877">
      <c r="A877" s="60" t="n"/>
      <c r="B877" s="63" t="n"/>
      <c r="C877" s="63" t="n"/>
      <c r="D877" s="67" t="n"/>
      <c r="E877" s="68" t="n"/>
      <c r="F877" s="69" t="n"/>
      <c r="G877" s="70" t="n"/>
      <c r="H877" s="62" t="str">
        <f>IF(COUNTA(A877:G877)=0,"",IF(C877&lt;&gt;"",C877,IF(B877="","",IFERROR(INDEX(pr_des,MATCH(B877,pr_code,0))&amp;"",""))))</f>
        <v/>
      </c>
      <c r="I877" s="59" t="str">
        <f>IF(B877="","",IFERROR(INDEX(pr_unit,MATCH(B877,pr_code,0))&amp;"",""))</f>
        <v/>
      </c>
      <c r="J877" s="65" t="str">
        <f>IF(COUNTA(A877:G877)=0,"",IF(E877&lt;&gt;"",E877,IF(B877="","",IFERROR(IF(INDEX(pr_price,MATCH(B877,pr_code,0))="","",INDEX(pr_price,MATCH(B877,pr_code,0))),""))))</f>
        <v/>
      </c>
      <c r="K877" s="71" t="str">
        <f>IF(COUNTA(A877:G877)=0,"",IF(G877&lt;&gt;"",G877,IF(B877="","",IFERROR(IF(INDEX(pr_rate,MATCH(B877,pr_code,0))="","",INDEX(pr_rate,MATCH(B877,pr_code,0))),""))))</f>
        <v/>
      </c>
      <c r="L877" s="65" t="str">
        <f>IF(COUNTA(A877:G877)=0,"",IF(AND(ISNUMBER(D877),ISNUMBER(J877)),ROUND(D877*J877*(1-N(F877)),2),0))</f>
        <v/>
      </c>
      <c r="M877" s="62" t="str">
        <f>IF(A877="","",IFERROR(INDEX(dv_cname,MATCH(A877,dv_num,0))&amp;"",""))</f>
        <v/>
      </c>
      <c r="N877" s="59" t="str">
        <f>IF(COUNTA(A877:G877)=0,"",IF(A877="","N° devis manquant",IF(ISNA(MATCH(A877,dv_num,0)),"Devis inconnu",IF(AND(B877&lt;&gt;"",ISNA(MATCH(B877,pr_code,0))),"Article inconnu",IF(H877="","Désignation manquante",IF(OR(NOT(ISNUMBER(D877)),N(D877)&lt;=0),"Quantité invalide",IF(J877="","Prix manquant",IF(OR(NOT(ISNUMBER(J877)),N(J877)&lt;0),"Prix invalide",IF(OR(AND(F877&lt;&gt;"",NOT(ISNUMBER(F877))),N(F877)&lt;0,N(F877)&gt;1),"Remise invalide",IF(K877="","Taux de TVA manquant",IF(NOT(ISNUMBER(K877)),"Taux de TVA invalide",IF(COUNTIF(p_rates,K877)=0,"Taux de TVA hors liste (Paramètres)",IF(N(O877)&gt;25,"Au-delà de 25 lignes : non imprimée","OK")))))))))))))</f>
        <v/>
      </c>
      <c r="O877" s="59" t="str">
        <f>IF(A877="","",COUNTIF($A$6:A877,A877))</f>
        <v/>
      </c>
      <c r="P877" s="62" t="str">
        <f>IF(A877="","",A877&amp;"|"&amp;O877)</f>
        <v/>
      </c>
    </row>
    <row r="878">
      <c r="A878" s="60" t="n"/>
      <c r="B878" s="63" t="n"/>
      <c r="C878" s="63" t="n"/>
      <c r="D878" s="67" t="n"/>
      <c r="E878" s="68" t="n"/>
      <c r="F878" s="69" t="n"/>
      <c r="G878" s="70" t="n"/>
      <c r="H878" s="62" t="str">
        <f>IF(COUNTA(A878:G878)=0,"",IF(C878&lt;&gt;"",C878,IF(B878="","",IFERROR(INDEX(pr_des,MATCH(B878,pr_code,0))&amp;"",""))))</f>
        <v/>
      </c>
      <c r="I878" s="59" t="str">
        <f>IF(B878="","",IFERROR(INDEX(pr_unit,MATCH(B878,pr_code,0))&amp;"",""))</f>
        <v/>
      </c>
      <c r="J878" s="65" t="str">
        <f>IF(COUNTA(A878:G878)=0,"",IF(E878&lt;&gt;"",E878,IF(B878="","",IFERROR(IF(INDEX(pr_price,MATCH(B878,pr_code,0))="","",INDEX(pr_price,MATCH(B878,pr_code,0))),""))))</f>
        <v/>
      </c>
      <c r="K878" s="71" t="str">
        <f>IF(COUNTA(A878:G878)=0,"",IF(G878&lt;&gt;"",G878,IF(B878="","",IFERROR(IF(INDEX(pr_rate,MATCH(B878,pr_code,0))="","",INDEX(pr_rate,MATCH(B878,pr_code,0))),""))))</f>
        <v/>
      </c>
      <c r="L878" s="65" t="str">
        <f>IF(COUNTA(A878:G878)=0,"",IF(AND(ISNUMBER(D878),ISNUMBER(J878)),ROUND(D878*J878*(1-N(F878)),2),0))</f>
        <v/>
      </c>
      <c r="M878" s="62" t="str">
        <f>IF(A878="","",IFERROR(INDEX(dv_cname,MATCH(A878,dv_num,0))&amp;"",""))</f>
        <v/>
      </c>
      <c r="N878" s="59" t="str">
        <f>IF(COUNTA(A878:G878)=0,"",IF(A878="","N° devis manquant",IF(ISNA(MATCH(A878,dv_num,0)),"Devis inconnu",IF(AND(B878&lt;&gt;"",ISNA(MATCH(B878,pr_code,0))),"Article inconnu",IF(H878="","Désignation manquante",IF(OR(NOT(ISNUMBER(D878)),N(D878)&lt;=0),"Quantité invalide",IF(J878="","Prix manquant",IF(OR(NOT(ISNUMBER(J878)),N(J878)&lt;0),"Prix invalide",IF(OR(AND(F878&lt;&gt;"",NOT(ISNUMBER(F878))),N(F878)&lt;0,N(F878)&gt;1),"Remise invalide",IF(K878="","Taux de TVA manquant",IF(NOT(ISNUMBER(K878)),"Taux de TVA invalide",IF(COUNTIF(p_rates,K878)=0,"Taux de TVA hors liste (Paramètres)",IF(N(O878)&gt;25,"Au-delà de 25 lignes : non imprimée","OK")))))))))))))</f>
        <v/>
      </c>
      <c r="O878" s="59" t="str">
        <f>IF(A878="","",COUNTIF($A$6:A878,A878))</f>
        <v/>
      </c>
      <c r="P878" s="62" t="str">
        <f>IF(A878="","",A878&amp;"|"&amp;O878)</f>
        <v/>
      </c>
    </row>
    <row r="879">
      <c r="A879" s="60" t="n"/>
      <c r="B879" s="63" t="n"/>
      <c r="C879" s="63" t="n"/>
      <c r="D879" s="67" t="n"/>
      <c r="E879" s="68" t="n"/>
      <c r="F879" s="69" t="n"/>
      <c r="G879" s="70" t="n"/>
      <c r="H879" s="62" t="str">
        <f>IF(COUNTA(A879:G879)=0,"",IF(C879&lt;&gt;"",C879,IF(B879="","",IFERROR(INDEX(pr_des,MATCH(B879,pr_code,0))&amp;"",""))))</f>
        <v/>
      </c>
      <c r="I879" s="59" t="str">
        <f>IF(B879="","",IFERROR(INDEX(pr_unit,MATCH(B879,pr_code,0))&amp;"",""))</f>
        <v/>
      </c>
      <c r="J879" s="65" t="str">
        <f>IF(COUNTA(A879:G879)=0,"",IF(E879&lt;&gt;"",E879,IF(B879="","",IFERROR(IF(INDEX(pr_price,MATCH(B879,pr_code,0))="","",INDEX(pr_price,MATCH(B879,pr_code,0))),""))))</f>
        <v/>
      </c>
      <c r="K879" s="71" t="str">
        <f>IF(COUNTA(A879:G879)=0,"",IF(G879&lt;&gt;"",G879,IF(B879="","",IFERROR(IF(INDEX(pr_rate,MATCH(B879,pr_code,0))="","",INDEX(pr_rate,MATCH(B879,pr_code,0))),""))))</f>
        <v/>
      </c>
      <c r="L879" s="65" t="str">
        <f>IF(COUNTA(A879:G879)=0,"",IF(AND(ISNUMBER(D879),ISNUMBER(J879)),ROUND(D879*J879*(1-N(F879)),2),0))</f>
        <v/>
      </c>
      <c r="M879" s="62" t="str">
        <f>IF(A879="","",IFERROR(INDEX(dv_cname,MATCH(A879,dv_num,0))&amp;"",""))</f>
        <v/>
      </c>
      <c r="N879" s="59" t="str">
        <f>IF(COUNTA(A879:G879)=0,"",IF(A879="","N° devis manquant",IF(ISNA(MATCH(A879,dv_num,0)),"Devis inconnu",IF(AND(B879&lt;&gt;"",ISNA(MATCH(B879,pr_code,0))),"Article inconnu",IF(H879="","Désignation manquante",IF(OR(NOT(ISNUMBER(D879)),N(D879)&lt;=0),"Quantité invalide",IF(J879="","Prix manquant",IF(OR(NOT(ISNUMBER(J879)),N(J879)&lt;0),"Prix invalide",IF(OR(AND(F879&lt;&gt;"",NOT(ISNUMBER(F879))),N(F879)&lt;0,N(F879)&gt;1),"Remise invalide",IF(K879="","Taux de TVA manquant",IF(NOT(ISNUMBER(K879)),"Taux de TVA invalide",IF(COUNTIF(p_rates,K879)=0,"Taux de TVA hors liste (Paramètres)",IF(N(O879)&gt;25,"Au-delà de 25 lignes : non imprimée","OK")))))))))))))</f>
        <v/>
      </c>
      <c r="O879" s="59" t="str">
        <f>IF(A879="","",COUNTIF($A$6:A879,A879))</f>
        <v/>
      </c>
      <c r="P879" s="62" t="str">
        <f>IF(A879="","",A879&amp;"|"&amp;O879)</f>
        <v/>
      </c>
    </row>
    <row r="880">
      <c r="A880" s="60" t="n"/>
      <c r="B880" s="63" t="n"/>
      <c r="C880" s="63" t="n"/>
      <c r="D880" s="67" t="n"/>
      <c r="E880" s="68" t="n"/>
      <c r="F880" s="69" t="n"/>
      <c r="G880" s="70" t="n"/>
      <c r="H880" s="62" t="str">
        <f>IF(COUNTA(A880:G880)=0,"",IF(C880&lt;&gt;"",C880,IF(B880="","",IFERROR(INDEX(pr_des,MATCH(B880,pr_code,0))&amp;"",""))))</f>
        <v/>
      </c>
      <c r="I880" s="59" t="str">
        <f>IF(B880="","",IFERROR(INDEX(pr_unit,MATCH(B880,pr_code,0))&amp;"",""))</f>
        <v/>
      </c>
      <c r="J880" s="65" t="str">
        <f>IF(COUNTA(A880:G880)=0,"",IF(E880&lt;&gt;"",E880,IF(B880="","",IFERROR(IF(INDEX(pr_price,MATCH(B880,pr_code,0))="","",INDEX(pr_price,MATCH(B880,pr_code,0))),""))))</f>
        <v/>
      </c>
      <c r="K880" s="71" t="str">
        <f>IF(COUNTA(A880:G880)=0,"",IF(G880&lt;&gt;"",G880,IF(B880="","",IFERROR(IF(INDEX(pr_rate,MATCH(B880,pr_code,0))="","",INDEX(pr_rate,MATCH(B880,pr_code,0))),""))))</f>
        <v/>
      </c>
      <c r="L880" s="65" t="str">
        <f>IF(COUNTA(A880:G880)=0,"",IF(AND(ISNUMBER(D880),ISNUMBER(J880)),ROUND(D880*J880*(1-N(F880)),2),0))</f>
        <v/>
      </c>
      <c r="M880" s="62" t="str">
        <f>IF(A880="","",IFERROR(INDEX(dv_cname,MATCH(A880,dv_num,0))&amp;"",""))</f>
        <v/>
      </c>
      <c r="N880" s="59" t="str">
        <f>IF(COUNTA(A880:G880)=0,"",IF(A880="","N° devis manquant",IF(ISNA(MATCH(A880,dv_num,0)),"Devis inconnu",IF(AND(B880&lt;&gt;"",ISNA(MATCH(B880,pr_code,0))),"Article inconnu",IF(H880="","Désignation manquante",IF(OR(NOT(ISNUMBER(D880)),N(D880)&lt;=0),"Quantité invalide",IF(J880="","Prix manquant",IF(OR(NOT(ISNUMBER(J880)),N(J880)&lt;0),"Prix invalide",IF(OR(AND(F880&lt;&gt;"",NOT(ISNUMBER(F880))),N(F880)&lt;0,N(F880)&gt;1),"Remise invalide",IF(K880="","Taux de TVA manquant",IF(NOT(ISNUMBER(K880)),"Taux de TVA invalide",IF(COUNTIF(p_rates,K880)=0,"Taux de TVA hors liste (Paramètres)",IF(N(O880)&gt;25,"Au-delà de 25 lignes : non imprimée","OK")))))))))))))</f>
        <v/>
      </c>
      <c r="O880" s="59" t="str">
        <f>IF(A880="","",COUNTIF($A$6:A880,A880))</f>
        <v/>
      </c>
      <c r="P880" s="62" t="str">
        <f>IF(A880="","",A880&amp;"|"&amp;O880)</f>
        <v/>
      </c>
    </row>
    <row r="881">
      <c r="A881" s="60" t="n"/>
      <c r="B881" s="63" t="n"/>
      <c r="C881" s="63" t="n"/>
      <c r="D881" s="67" t="n"/>
      <c r="E881" s="68" t="n"/>
      <c r="F881" s="69" t="n"/>
      <c r="G881" s="70" t="n"/>
      <c r="H881" s="62" t="str">
        <f>IF(COUNTA(A881:G881)=0,"",IF(C881&lt;&gt;"",C881,IF(B881="","",IFERROR(INDEX(pr_des,MATCH(B881,pr_code,0))&amp;"",""))))</f>
        <v/>
      </c>
      <c r="I881" s="59" t="str">
        <f>IF(B881="","",IFERROR(INDEX(pr_unit,MATCH(B881,pr_code,0))&amp;"",""))</f>
        <v/>
      </c>
      <c r="J881" s="65" t="str">
        <f>IF(COUNTA(A881:G881)=0,"",IF(E881&lt;&gt;"",E881,IF(B881="","",IFERROR(IF(INDEX(pr_price,MATCH(B881,pr_code,0))="","",INDEX(pr_price,MATCH(B881,pr_code,0))),""))))</f>
        <v/>
      </c>
      <c r="K881" s="71" t="str">
        <f>IF(COUNTA(A881:G881)=0,"",IF(G881&lt;&gt;"",G881,IF(B881="","",IFERROR(IF(INDEX(pr_rate,MATCH(B881,pr_code,0))="","",INDEX(pr_rate,MATCH(B881,pr_code,0))),""))))</f>
        <v/>
      </c>
      <c r="L881" s="65" t="str">
        <f>IF(COUNTA(A881:G881)=0,"",IF(AND(ISNUMBER(D881),ISNUMBER(J881)),ROUND(D881*J881*(1-N(F881)),2),0))</f>
        <v/>
      </c>
      <c r="M881" s="62" t="str">
        <f>IF(A881="","",IFERROR(INDEX(dv_cname,MATCH(A881,dv_num,0))&amp;"",""))</f>
        <v/>
      </c>
      <c r="N881" s="59" t="str">
        <f>IF(COUNTA(A881:G881)=0,"",IF(A881="","N° devis manquant",IF(ISNA(MATCH(A881,dv_num,0)),"Devis inconnu",IF(AND(B881&lt;&gt;"",ISNA(MATCH(B881,pr_code,0))),"Article inconnu",IF(H881="","Désignation manquante",IF(OR(NOT(ISNUMBER(D881)),N(D881)&lt;=0),"Quantité invalide",IF(J881="","Prix manquant",IF(OR(NOT(ISNUMBER(J881)),N(J881)&lt;0),"Prix invalide",IF(OR(AND(F881&lt;&gt;"",NOT(ISNUMBER(F881))),N(F881)&lt;0,N(F881)&gt;1),"Remise invalide",IF(K881="","Taux de TVA manquant",IF(NOT(ISNUMBER(K881)),"Taux de TVA invalide",IF(COUNTIF(p_rates,K881)=0,"Taux de TVA hors liste (Paramètres)",IF(N(O881)&gt;25,"Au-delà de 25 lignes : non imprimée","OK")))))))))))))</f>
        <v/>
      </c>
      <c r="O881" s="59" t="str">
        <f>IF(A881="","",COUNTIF($A$6:A881,A881))</f>
        <v/>
      </c>
      <c r="P881" s="62" t="str">
        <f>IF(A881="","",A881&amp;"|"&amp;O881)</f>
        <v/>
      </c>
    </row>
    <row r="882">
      <c r="A882" s="60" t="n"/>
      <c r="B882" s="63" t="n"/>
      <c r="C882" s="63" t="n"/>
      <c r="D882" s="67" t="n"/>
      <c r="E882" s="68" t="n"/>
      <c r="F882" s="69" t="n"/>
      <c r="G882" s="70" t="n"/>
      <c r="H882" s="62" t="str">
        <f>IF(COUNTA(A882:G882)=0,"",IF(C882&lt;&gt;"",C882,IF(B882="","",IFERROR(INDEX(pr_des,MATCH(B882,pr_code,0))&amp;"",""))))</f>
        <v/>
      </c>
      <c r="I882" s="59" t="str">
        <f>IF(B882="","",IFERROR(INDEX(pr_unit,MATCH(B882,pr_code,0))&amp;"",""))</f>
        <v/>
      </c>
      <c r="J882" s="65" t="str">
        <f>IF(COUNTA(A882:G882)=0,"",IF(E882&lt;&gt;"",E882,IF(B882="","",IFERROR(IF(INDEX(pr_price,MATCH(B882,pr_code,0))="","",INDEX(pr_price,MATCH(B882,pr_code,0))),""))))</f>
        <v/>
      </c>
      <c r="K882" s="71" t="str">
        <f>IF(COUNTA(A882:G882)=0,"",IF(G882&lt;&gt;"",G882,IF(B882="","",IFERROR(IF(INDEX(pr_rate,MATCH(B882,pr_code,0))="","",INDEX(pr_rate,MATCH(B882,pr_code,0))),""))))</f>
        <v/>
      </c>
      <c r="L882" s="65" t="str">
        <f>IF(COUNTA(A882:G882)=0,"",IF(AND(ISNUMBER(D882),ISNUMBER(J882)),ROUND(D882*J882*(1-N(F882)),2),0))</f>
        <v/>
      </c>
      <c r="M882" s="62" t="str">
        <f>IF(A882="","",IFERROR(INDEX(dv_cname,MATCH(A882,dv_num,0))&amp;"",""))</f>
        <v/>
      </c>
      <c r="N882" s="59" t="str">
        <f>IF(COUNTA(A882:G882)=0,"",IF(A882="","N° devis manquant",IF(ISNA(MATCH(A882,dv_num,0)),"Devis inconnu",IF(AND(B882&lt;&gt;"",ISNA(MATCH(B882,pr_code,0))),"Article inconnu",IF(H882="","Désignation manquante",IF(OR(NOT(ISNUMBER(D882)),N(D882)&lt;=0),"Quantité invalide",IF(J882="","Prix manquant",IF(OR(NOT(ISNUMBER(J882)),N(J882)&lt;0),"Prix invalide",IF(OR(AND(F882&lt;&gt;"",NOT(ISNUMBER(F882))),N(F882)&lt;0,N(F882)&gt;1),"Remise invalide",IF(K882="","Taux de TVA manquant",IF(NOT(ISNUMBER(K882)),"Taux de TVA invalide",IF(COUNTIF(p_rates,K882)=0,"Taux de TVA hors liste (Paramètres)",IF(N(O882)&gt;25,"Au-delà de 25 lignes : non imprimée","OK")))))))))))))</f>
        <v/>
      </c>
      <c r="O882" s="59" t="str">
        <f>IF(A882="","",COUNTIF($A$6:A882,A882))</f>
        <v/>
      </c>
      <c r="P882" s="62" t="str">
        <f>IF(A882="","",A882&amp;"|"&amp;O882)</f>
        <v/>
      </c>
    </row>
    <row r="883">
      <c r="A883" s="60" t="n"/>
      <c r="B883" s="63" t="n"/>
      <c r="C883" s="63" t="n"/>
      <c r="D883" s="67" t="n"/>
      <c r="E883" s="68" t="n"/>
      <c r="F883" s="69" t="n"/>
      <c r="G883" s="70" t="n"/>
      <c r="H883" s="62" t="str">
        <f>IF(COUNTA(A883:G883)=0,"",IF(C883&lt;&gt;"",C883,IF(B883="","",IFERROR(INDEX(pr_des,MATCH(B883,pr_code,0))&amp;"",""))))</f>
        <v/>
      </c>
      <c r="I883" s="59" t="str">
        <f>IF(B883="","",IFERROR(INDEX(pr_unit,MATCH(B883,pr_code,0))&amp;"",""))</f>
        <v/>
      </c>
      <c r="J883" s="65" t="str">
        <f>IF(COUNTA(A883:G883)=0,"",IF(E883&lt;&gt;"",E883,IF(B883="","",IFERROR(IF(INDEX(pr_price,MATCH(B883,pr_code,0))="","",INDEX(pr_price,MATCH(B883,pr_code,0))),""))))</f>
        <v/>
      </c>
      <c r="K883" s="71" t="str">
        <f>IF(COUNTA(A883:G883)=0,"",IF(G883&lt;&gt;"",G883,IF(B883="","",IFERROR(IF(INDEX(pr_rate,MATCH(B883,pr_code,0))="","",INDEX(pr_rate,MATCH(B883,pr_code,0))),""))))</f>
        <v/>
      </c>
      <c r="L883" s="65" t="str">
        <f>IF(COUNTA(A883:G883)=0,"",IF(AND(ISNUMBER(D883),ISNUMBER(J883)),ROUND(D883*J883*(1-N(F883)),2),0))</f>
        <v/>
      </c>
      <c r="M883" s="62" t="str">
        <f>IF(A883="","",IFERROR(INDEX(dv_cname,MATCH(A883,dv_num,0))&amp;"",""))</f>
        <v/>
      </c>
      <c r="N883" s="59" t="str">
        <f>IF(COUNTA(A883:G883)=0,"",IF(A883="","N° devis manquant",IF(ISNA(MATCH(A883,dv_num,0)),"Devis inconnu",IF(AND(B883&lt;&gt;"",ISNA(MATCH(B883,pr_code,0))),"Article inconnu",IF(H883="","Désignation manquante",IF(OR(NOT(ISNUMBER(D883)),N(D883)&lt;=0),"Quantité invalide",IF(J883="","Prix manquant",IF(OR(NOT(ISNUMBER(J883)),N(J883)&lt;0),"Prix invalide",IF(OR(AND(F883&lt;&gt;"",NOT(ISNUMBER(F883))),N(F883)&lt;0,N(F883)&gt;1),"Remise invalide",IF(K883="","Taux de TVA manquant",IF(NOT(ISNUMBER(K883)),"Taux de TVA invalide",IF(COUNTIF(p_rates,K883)=0,"Taux de TVA hors liste (Paramètres)",IF(N(O883)&gt;25,"Au-delà de 25 lignes : non imprimée","OK")))))))))))))</f>
        <v/>
      </c>
      <c r="O883" s="59" t="str">
        <f>IF(A883="","",COUNTIF($A$6:A883,A883))</f>
        <v/>
      </c>
      <c r="P883" s="62" t="str">
        <f>IF(A883="","",A883&amp;"|"&amp;O883)</f>
        <v/>
      </c>
    </row>
    <row r="884">
      <c r="A884" s="60" t="n"/>
      <c r="B884" s="63" t="n"/>
      <c r="C884" s="63" t="n"/>
      <c r="D884" s="67" t="n"/>
      <c r="E884" s="68" t="n"/>
      <c r="F884" s="69" t="n"/>
      <c r="G884" s="70" t="n"/>
      <c r="H884" s="62" t="str">
        <f>IF(COUNTA(A884:G884)=0,"",IF(C884&lt;&gt;"",C884,IF(B884="","",IFERROR(INDEX(pr_des,MATCH(B884,pr_code,0))&amp;"",""))))</f>
        <v/>
      </c>
      <c r="I884" s="59" t="str">
        <f>IF(B884="","",IFERROR(INDEX(pr_unit,MATCH(B884,pr_code,0))&amp;"",""))</f>
        <v/>
      </c>
      <c r="J884" s="65" t="str">
        <f>IF(COUNTA(A884:G884)=0,"",IF(E884&lt;&gt;"",E884,IF(B884="","",IFERROR(IF(INDEX(pr_price,MATCH(B884,pr_code,0))="","",INDEX(pr_price,MATCH(B884,pr_code,0))),""))))</f>
        <v/>
      </c>
      <c r="K884" s="71" t="str">
        <f>IF(COUNTA(A884:G884)=0,"",IF(G884&lt;&gt;"",G884,IF(B884="","",IFERROR(IF(INDEX(pr_rate,MATCH(B884,pr_code,0))="","",INDEX(pr_rate,MATCH(B884,pr_code,0))),""))))</f>
        <v/>
      </c>
      <c r="L884" s="65" t="str">
        <f>IF(COUNTA(A884:G884)=0,"",IF(AND(ISNUMBER(D884),ISNUMBER(J884)),ROUND(D884*J884*(1-N(F884)),2),0))</f>
        <v/>
      </c>
      <c r="M884" s="62" t="str">
        <f>IF(A884="","",IFERROR(INDEX(dv_cname,MATCH(A884,dv_num,0))&amp;"",""))</f>
        <v/>
      </c>
      <c r="N884" s="59" t="str">
        <f>IF(COUNTA(A884:G884)=0,"",IF(A884="","N° devis manquant",IF(ISNA(MATCH(A884,dv_num,0)),"Devis inconnu",IF(AND(B884&lt;&gt;"",ISNA(MATCH(B884,pr_code,0))),"Article inconnu",IF(H884="","Désignation manquante",IF(OR(NOT(ISNUMBER(D884)),N(D884)&lt;=0),"Quantité invalide",IF(J884="","Prix manquant",IF(OR(NOT(ISNUMBER(J884)),N(J884)&lt;0),"Prix invalide",IF(OR(AND(F884&lt;&gt;"",NOT(ISNUMBER(F884))),N(F884)&lt;0,N(F884)&gt;1),"Remise invalide",IF(K884="","Taux de TVA manquant",IF(NOT(ISNUMBER(K884)),"Taux de TVA invalide",IF(COUNTIF(p_rates,K884)=0,"Taux de TVA hors liste (Paramètres)",IF(N(O884)&gt;25,"Au-delà de 25 lignes : non imprimée","OK")))))))))))))</f>
        <v/>
      </c>
      <c r="O884" s="59" t="str">
        <f>IF(A884="","",COUNTIF($A$6:A884,A884))</f>
        <v/>
      </c>
      <c r="P884" s="62" t="str">
        <f>IF(A884="","",A884&amp;"|"&amp;O884)</f>
        <v/>
      </c>
    </row>
    <row r="885">
      <c r="A885" s="60" t="n"/>
      <c r="B885" s="63" t="n"/>
      <c r="C885" s="63" t="n"/>
      <c r="D885" s="67" t="n"/>
      <c r="E885" s="68" t="n"/>
      <c r="F885" s="69" t="n"/>
      <c r="G885" s="70" t="n"/>
      <c r="H885" s="62" t="str">
        <f>IF(COUNTA(A885:G885)=0,"",IF(C885&lt;&gt;"",C885,IF(B885="","",IFERROR(INDEX(pr_des,MATCH(B885,pr_code,0))&amp;"",""))))</f>
        <v/>
      </c>
      <c r="I885" s="59" t="str">
        <f>IF(B885="","",IFERROR(INDEX(pr_unit,MATCH(B885,pr_code,0))&amp;"",""))</f>
        <v/>
      </c>
      <c r="J885" s="65" t="str">
        <f>IF(COUNTA(A885:G885)=0,"",IF(E885&lt;&gt;"",E885,IF(B885="","",IFERROR(IF(INDEX(pr_price,MATCH(B885,pr_code,0))="","",INDEX(pr_price,MATCH(B885,pr_code,0))),""))))</f>
        <v/>
      </c>
      <c r="K885" s="71" t="str">
        <f>IF(COUNTA(A885:G885)=0,"",IF(G885&lt;&gt;"",G885,IF(B885="","",IFERROR(IF(INDEX(pr_rate,MATCH(B885,pr_code,0))="","",INDEX(pr_rate,MATCH(B885,pr_code,0))),""))))</f>
        <v/>
      </c>
      <c r="L885" s="65" t="str">
        <f>IF(COUNTA(A885:G885)=0,"",IF(AND(ISNUMBER(D885),ISNUMBER(J885)),ROUND(D885*J885*(1-N(F885)),2),0))</f>
        <v/>
      </c>
      <c r="M885" s="62" t="str">
        <f>IF(A885="","",IFERROR(INDEX(dv_cname,MATCH(A885,dv_num,0))&amp;"",""))</f>
        <v/>
      </c>
      <c r="N885" s="59" t="str">
        <f>IF(COUNTA(A885:G885)=0,"",IF(A885="","N° devis manquant",IF(ISNA(MATCH(A885,dv_num,0)),"Devis inconnu",IF(AND(B885&lt;&gt;"",ISNA(MATCH(B885,pr_code,0))),"Article inconnu",IF(H885="","Désignation manquante",IF(OR(NOT(ISNUMBER(D885)),N(D885)&lt;=0),"Quantité invalide",IF(J885="","Prix manquant",IF(OR(NOT(ISNUMBER(J885)),N(J885)&lt;0),"Prix invalide",IF(OR(AND(F885&lt;&gt;"",NOT(ISNUMBER(F885))),N(F885)&lt;0,N(F885)&gt;1),"Remise invalide",IF(K885="","Taux de TVA manquant",IF(NOT(ISNUMBER(K885)),"Taux de TVA invalide",IF(COUNTIF(p_rates,K885)=0,"Taux de TVA hors liste (Paramètres)",IF(N(O885)&gt;25,"Au-delà de 25 lignes : non imprimée","OK")))))))))))))</f>
        <v/>
      </c>
      <c r="O885" s="59" t="str">
        <f>IF(A885="","",COUNTIF($A$6:A885,A885))</f>
        <v/>
      </c>
      <c r="P885" s="62" t="str">
        <f>IF(A885="","",A885&amp;"|"&amp;O885)</f>
        <v/>
      </c>
    </row>
    <row r="886">
      <c r="A886" s="60" t="n"/>
      <c r="B886" s="63" t="n"/>
      <c r="C886" s="63" t="n"/>
      <c r="D886" s="67" t="n"/>
      <c r="E886" s="68" t="n"/>
      <c r="F886" s="69" t="n"/>
      <c r="G886" s="70" t="n"/>
      <c r="H886" s="62" t="str">
        <f>IF(COUNTA(A886:G886)=0,"",IF(C886&lt;&gt;"",C886,IF(B886="","",IFERROR(INDEX(pr_des,MATCH(B886,pr_code,0))&amp;"",""))))</f>
        <v/>
      </c>
      <c r="I886" s="59" t="str">
        <f>IF(B886="","",IFERROR(INDEX(pr_unit,MATCH(B886,pr_code,0))&amp;"",""))</f>
        <v/>
      </c>
      <c r="J886" s="65" t="str">
        <f>IF(COUNTA(A886:G886)=0,"",IF(E886&lt;&gt;"",E886,IF(B886="","",IFERROR(IF(INDEX(pr_price,MATCH(B886,pr_code,0))="","",INDEX(pr_price,MATCH(B886,pr_code,0))),""))))</f>
        <v/>
      </c>
      <c r="K886" s="71" t="str">
        <f>IF(COUNTA(A886:G886)=0,"",IF(G886&lt;&gt;"",G886,IF(B886="","",IFERROR(IF(INDEX(pr_rate,MATCH(B886,pr_code,0))="","",INDEX(pr_rate,MATCH(B886,pr_code,0))),""))))</f>
        <v/>
      </c>
      <c r="L886" s="65" t="str">
        <f>IF(COUNTA(A886:G886)=0,"",IF(AND(ISNUMBER(D886),ISNUMBER(J886)),ROUND(D886*J886*(1-N(F886)),2),0))</f>
        <v/>
      </c>
      <c r="M886" s="62" t="str">
        <f>IF(A886="","",IFERROR(INDEX(dv_cname,MATCH(A886,dv_num,0))&amp;"",""))</f>
        <v/>
      </c>
      <c r="N886" s="59" t="str">
        <f>IF(COUNTA(A886:G886)=0,"",IF(A886="","N° devis manquant",IF(ISNA(MATCH(A886,dv_num,0)),"Devis inconnu",IF(AND(B886&lt;&gt;"",ISNA(MATCH(B886,pr_code,0))),"Article inconnu",IF(H886="","Désignation manquante",IF(OR(NOT(ISNUMBER(D886)),N(D886)&lt;=0),"Quantité invalide",IF(J886="","Prix manquant",IF(OR(NOT(ISNUMBER(J886)),N(J886)&lt;0),"Prix invalide",IF(OR(AND(F886&lt;&gt;"",NOT(ISNUMBER(F886))),N(F886)&lt;0,N(F886)&gt;1),"Remise invalide",IF(K886="","Taux de TVA manquant",IF(NOT(ISNUMBER(K886)),"Taux de TVA invalide",IF(COUNTIF(p_rates,K886)=0,"Taux de TVA hors liste (Paramètres)",IF(N(O886)&gt;25,"Au-delà de 25 lignes : non imprimée","OK")))))))))))))</f>
        <v/>
      </c>
      <c r="O886" s="59" t="str">
        <f>IF(A886="","",COUNTIF($A$6:A886,A886))</f>
        <v/>
      </c>
      <c r="P886" s="62" t="str">
        <f>IF(A886="","",A886&amp;"|"&amp;O886)</f>
        <v/>
      </c>
    </row>
    <row r="887">
      <c r="A887" s="60" t="n"/>
      <c r="B887" s="63" t="n"/>
      <c r="C887" s="63" t="n"/>
      <c r="D887" s="67" t="n"/>
      <c r="E887" s="68" t="n"/>
      <c r="F887" s="69" t="n"/>
      <c r="G887" s="70" t="n"/>
      <c r="H887" s="62" t="str">
        <f>IF(COUNTA(A887:G887)=0,"",IF(C887&lt;&gt;"",C887,IF(B887="","",IFERROR(INDEX(pr_des,MATCH(B887,pr_code,0))&amp;"",""))))</f>
        <v/>
      </c>
      <c r="I887" s="59" t="str">
        <f>IF(B887="","",IFERROR(INDEX(pr_unit,MATCH(B887,pr_code,0))&amp;"",""))</f>
        <v/>
      </c>
      <c r="J887" s="65" t="str">
        <f>IF(COUNTA(A887:G887)=0,"",IF(E887&lt;&gt;"",E887,IF(B887="","",IFERROR(IF(INDEX(pr_price,MATCH(B887,pr_code,0))="","",INDEX(pr_price,MATCH(B887,pr_code,0))),""))))</f>
        <v/>
      </c>
      <c r="K887" s="71" t="str">
        <f>IF(COUNTA(A887:G887)=0,"",IF(G887&lt;&gt;"",G887,IF(B887="","",IFERROR(IF(INDEX(pr_rate,MATCH(B887,pr_code,0))="","",INDEX(pr_rate,MATCH(B887,pr_code,0))),""))))</f>
        <v/>
      </c>
      <c r="L887" s="65" t="str">
        <f>IF(COUNTA(A887:G887)=0,"",IF(AND(ISNUMBER(D887),ISNUMBER(J887)),ROUND(D887*J887*(1-N(F887)),2),0))</f>
        <v/>
      </c>
      <c r="M887" s="62" t="str">
        <f>IF(A887="","",IFERROR(INDEX(dv_cname,MATCH(A887,dv_num,0))&amp;"",""))</f>
        <v/>
      </c>
      <c r="N887" s="59" t="str">
        <f>IF(COUNTA(A887:G887)=0,"",IF(A887="","N° devis manquant",IF(ISNA(MATCH(A887,dv_num,0)),"Devis inconnu",IF(AND(B887&lt;&gt;"",ISNA(MATCH(B887,pr_code,0))),"Article inconnu",IF(H887="","Désignation manquante",IF(OR(NOT(ISNUMBER(D887)),N(D887)&lt;=0),"Quantité invalide",IF(J887="","Prix manquant",IF(OR(NOT(ISNUMBER(J887)),N(J887)&lt;0),"Prix invalide",IF(OR(AND(F887&lt;&gt;"",NOT(ISNUMBER(F887))),N(F887)&lt;0,N(F887)&gt;1),"Remise invalide",IF(K887="","Taux de TVA manquant",IF(NOT(ISNUMBER(K887)),"Taux de TVA invalide",IF(COUNTIF(p_rates,K887)=0,"Taux de TVA hors liste (Paramètres)",IF(N(O887)&gt;25,"Au-delà de 25 lignes : non imprimée","OK")))))))))))))</f>
        <v/>
      </c>
      <c r="O887" s="59" t="str">
        <f>IF(A887="","",COUNTIF($A$6:A887,A887))</f>
        <v/>
      </c>
      <c r="P887" s="62" t="str">
        <f>IF(A887="","",A887&amp;"|"&amp;O887)</f>
        <v/>
      </c>
    </row>
    <row r="888">
      <c r="A888" s="60" t="n"/>
      <c r="B888" s="63" t="n"/>
      <c r="C888" s="63" t="n"/>
      <c r="D888" s="67" t="n"/>
      <c r="E888" s="68" t="n"/>
      <c r="F888" s="69" t="n"/>
      <c r="G888" s="70" t="n"/>
      <c r="H888" s="62" t="str">
        <f>IF(COUNTA(A888:G888)=0,"",IF(C888&lt;&gt;"",C888,IF(B888="","",IFERROR(INDEX(pr_des,MATCH(B888,pr_code,0))&amp;"",""))))</f>
        <v/>
      </c>
      <c r="I888" s="59" t="str">
        <f>IF(B888="","",IFERROR(INDEX(pr_unit,MATCH(B888,pr_code,0))&amp;"",""))</f>
        <v/>
      </c>
      <c r="J888" s="65" t="str">
        <f>IF(COUNTA(A888:G888)=0,"",IF(E888&lt;&gt;"",E888,IF(B888="","",IFERROR(IF(INDEX(pr_price,MATCH(B888,pr_code,0))="","",INDEX(pr_price,MATCH(B888,pr_code,0))),""))))</f>
        <v/>
      </c>
      <c r="K888" s="71" t="str">
        <f>IF(COUNTA(A888:G888)=0,"",IF(G888&lt;&gt;"",G888,IF(B888="","",IFERROR(IF(INDEX(pr_rate,MATCH(B888,pr_code,0))="","",INDEX(pr_rate,MATCH(B888,pr_code,0))),""))))</f>
        <v/>
      </c>
      <c r="L888" s="65" t="str">
        <f>IF(COUNTA(A888:G888)=0,"",IF(AND(ISNUMBER(D888),ISNUMBER(J888)),ROUND(D888*J888*(1-N(F888)),2),0))</f>
        <v/>
      </c>
      <c r="M888" s="62" t="str">
        <f>IF(A888="","",IFERROR(INDEX(dv_cname,MATCH(A888,dv_num,0))&amp;"",""))</f>
        <v/>
      </c>
      <c r="N888" s="59" t="str">
        <f>IF(COUNTA(A888:G888)=0,"",IF(A888="","N° devis manquant",IF(ISNA(MATCH(A888,dv_num,0)),"Devis inconnu",IF(AND(B888&lt;&gt;"",ISNA(MATCH(B888,pr_code,0))),"Article inconnu",IF(H888="","Désignation manquante",IF(OR(NOT(ISNUMBER(D888)),N(D888)&lt;=0),"Quantité invalide",IF(J888="","Prix manquant",IF(OR(NOT(ISNUMBER(J888)),N(J888)&lt;0),"Prix invalide",IF(OR(AND(F888&lt;&gt;"",NOT(ISNUMBER(F888))),N(F888)&lt;0,N(F888)&gt;1),"Remise invalide",IF(K888="","Taux de TVA manquant",IF(NOT(ISNUMBER(K888)),"Taux de TVA invalide",IF(COUNTIF(p_rates,K888)=0,"Taux de TVA hors liste (Paramètres)",IF(N(O888)&gt;25,"Au-delà de 25 lignes : non imprimée","OK")))))))))))))</f>
        <v/>
      </c>
      <c r="O888" s="59" t="str">
        <f>IF(A888="","",COUNTIF($A$6:A888,A888))</f>
        <v/>
      </c>
      <c r="P888" s="62" t="str">
        <f>IF(A888="","",A888&amp;"|"&amp;O888)</f>
        <v/>
      </c>
    </row>
    <row r="889">
      <c r="A889" s="60" t="n"/>
      <c r="B889" s="63" t="n"/>
      <c r="C889" s="63" t="n"/>
      <c r="D889" s="67" t="n"/>
      <c r="E889" s="68" t="n"/>
      <c r="F889" s="69" t="n"/>
      <c r="G889" s="70" t="n"/>
      <c r="H889" s="62" t="str">
        <f>IF(COUNTA(A889:G889)=0,"",IF(C889&lt;&gt;"",C889,IF(B889="","",IFERROR(INDEX(pr_des,MATCH(B889,pr_code,0))&amp;"",""))))</f>
        <v/>
      </c>
      <c r="I889" s="59" t="str">
        <f>IF(B889="","",IFERROR(INDEX(pr_unit,MATCH(B889,pr_code,0))&amp;"",""))</f>
        <v/>
      </c>
      <c r="J889" s="65" t="str">
        <f>IF(COUNTA(A889:G889)=0,"",IF(E889&lt;&gt;"",E889,IF(B889="","",IFERROR(IF(INDEX(pr_price,MATCH(B889,pr_code,0))="","",INDEX(pr_price,MATCH(B889,pr_code,0))),""))))</f>
        <v/>
      </c>
      <c r="K889" s="71" t="str">
        <f>IF(COUNTA(A889:G889)=0,"",IF(G889&lt;&gt;"",G889,IF(B889="","",IFERROR(IF(INDEX(pr_rate,MATCH(B889,pr_code,0))="","",INDEX(pr_rate,MATCH(B889,pr_code,0))),""))))</f>
        <v/>
      </c>
      <c r="L889" s="65" t="str">
        <f>IF(COUNTA(A889:G889)=0,"",IF(AND(ISNUMBER(D889),ISNUMBER(J889)),ROUND(D889*J889*(1-N(F889)),2),0))</f>
        <v/>
      </c>
      <c r="M889" s="62" t="str">
        <f>IF(A889="","",IFERROR(INDEX(dv_cname,MATCH(A889,dv_num,0))&amp;"",""))</f>
        <v/>
      </c>
      <c r="N889" s="59" t="str">
        <f>IF(COUNTA(A889:G889)=0,"",IF(A889="","N° devis manquant",IF(ISNA(MATCH(A889,dv_num,0)),"Devis inconnu",IF(AND(B889&lt;&gt;"",ISNA(MATCH(B889,pr_code,0))),"Article inconnu",IF(H889="","Désignation manquante",IF(OR(NOT(ISNUMBER(D889)),N(D889)&lt;=0),"Quantité invalide",IF(J889="","Prix manquant",IF(OR(NOT(ISNUMBER(J889)),N(J889)&lt;0),"Prix invalide",IF(OR(AND(F889&lt;&gt;"",NOT(ISNUMBER(F889))),N(F889)&lt;0,N(F889)&gt;1),"Remise invalide",IF(K889="","Taux de TVA manquant",IF(NOT(ISNUMBER(K889)),"Taux de TVA invalide",IF(COUNTIF(p_rates,K889)=0,"Taux de TVA hors liste (Paramètres)",IF(N(O889)&gt;25,"Au-delà de 25 lignes : non imprimée","OK")))))))))))))</f>
        <v/>
      </c>
      <c r="O889" s="59" t="str">
        <f>IF(A889="","",COUNTIF($A$6:A889,A889))</f>
        <v/>
      </c>
      <c r="P889" s="62" t="str">
        <f>IF(A889="","",A889&amp;"|"&amp;O889)</f>
        <v/>
      </c>
    </row>
    <row r="890">
      <c r="A890" s="60" t="n"/>
      <c r="B890" s="63" t="n"/>
      <c r="C890" s="63" t="n"/>
      <c r="D890" s="67" t="n"/>
      <c r="E890" s="68" t="n"/>
      <c r="F890" s="69" t="n"/>
      <c r="G890" s="70" t="n"/>
      <c r="H890" s="62" t="str">
        <f>IF(COUNTA(A890:G890)=0,"",IF(C890&lt;&gt;"",C890,IF(B890="","",IFERROR(INDEX(pr_des,MATCH(B890,pr_code,0))&amp;"",""))))</f>
        <v/>
      </c>
      <c r="I890" s="59" t="str">
        <f>IF(B890="","",IFERROR(INDEX(pr_unit,MATCH(B890,pr_code,0))&amp;"",""))</f>
        <v/>
      </c>
      <c r="J890" s="65" t="str">
        <f>IF(COUNTA(A890:G890)=0,"",IF(E890&lt;&gt;"",E890,IF(B890="","",IFERROR(IF(INDEX(pr_price,MATCH(B890,pr_code,0))="","",INDEX(pr_price,MATCH(B890,pr_code,0))),""))))</f>
        <v/>
      </c>
      <c r="K890" s="71" t="str">
        <f>IF(COUNTA(A890:G890)=0,"",IF(G890&lt;&gt;"",G890,IF(B890="","",IFERROR(IF(INDEX(pr_rate,MATCH(B890,pr_code,0))="","",INDEX(pr_rate,MATCH(B890,pr_code,0))),""))))</f>
        <v/>
      </c>
      <c r="L890" s="65" t="str">
        <f>IF(COUNTA(A890:G890)=0,"",IF(AND(ISNUMBER(D890),ISNUMBER(J890)),ROUND(D890*J890*(1-N(F890)),2),0))</f>
        <v/>
      </c>
      <c r="M890" s="62" t="str">
        <f>IF(A890="","",IFERROR(INDEX(dv_cname,MATCH(A890,dv_num,0))&amp;"",""))</f>
        <v/>
      </c>
      <c r="N890" s="59" t="str">
        <f>IF(COUNTA(A890:G890)=0,"",IF(A890="","N° devis manquant",IF(ISNA(MATCH(A890,dv_num,0)),"Devis inconnu",IF(AND(B890&lt;&gt;"",ISNA(MATCH(B890,pr_code,0))),"Article inconnu",IF(H890="","Désignation manquante",IF(OR(NOT(ISNUMBER(D890)),N(D890)&lt;=0),"Quantité invalide",IF(J890="","Prix manquant",IF(OR(NOT(ISNUMBER(J890)),N(J890)&lt;0),"Prix invalide",IF(OR(AND(F890&lt;&gt;"",NOT(ISNUMBER(F890))),N(F890)&lt;0,N(F890)&gt;1),"Remise invalide",IF(K890="","Taux de TVA manquant",IF(NOT(ISNUMBER(K890)),"Taux de TVA invalide",IF(COUNTIF(p_rates,K890)=0,"Taux de TVA hors liste (Paramètres)",IF(N(O890)&gt;25,"Au-delà de 25 lignes : non imprimée","OK")))))))))))))</f>
        <v/>
      </c>
      <c r="O890" s="59" t="str">
        <f>IF(A890="","",COUNTIF($A$6:A890,A890))</f>
        <v/>
      </c>
      <c r="P890" s="62" t="str">
        <f>IF(A890="","",A890&amp;"|"&amp;O890)</f>
        <v/>
      </c>
    </row>
    <row r="891">
      <c r="A891" s="60" t="n"/>
      <c r="B891" s="63" t="n"/>
      <c r="C891" s="63" t="n"/>
      <c r="D891" s="67" t="n"/>
      <c r="E891" s="68" t="n"/>
      <c r="F891" s="69" t="n"/>
      <c r="G891" s="70" t="n"/>
      <c r="H891" s="62" t="str">
        <f>IF(COUNTA(A891:G891)=0,"",IF(C891&lt;&gt;"",C891,IF(B891="","",IFERROR(INDEX(pr_des,MATCH(B891,pr_code,0))&amp;"",""))))</f>
        <v/>
      </c>
      <c r="I891" s="59" t="str">
        <f>IF(B891="","",IFERROR(INDEX(pr_unit,MATCH(B891,pr_code,0))&amp;"",""))</f>
        <v/>
      </c>
      <c r="J891" s="65" t="str">
        <f>IF(COUNTA(A891:G891)=0,"",IF(E891&lt;&gt;"",E891,IF(B891="","",IFERROR(IF(INDEX(pr_price,MATCH(B891,pr_code,0))="","",INDEX(pr_price,MATCH(B891,pr_code,0))),""))))</f>
        <v/>
      </c>
      <c r="K891" s="71" t="str">
        <f>IF(COUNTA(A891:G891)=0,"",IF(G891&lt;&gt;"",G891,IF(B891="","",IFERROR(IF(INDEX(pr_rate,MATCH(B891,pr_code,0))="","",INDEX(pr_rate,MATCH(B891,pr_code,0))),""))))</f>
        <v/>
      </c>
      <c r="L891" s="65" t="str">
        <f>IF(COUNTA(A891:G891)=0,"",IF(AND(ISNUMBER(D891),ISNUMBER(J891)),ROUND(D891*J891*(1-N(F891)),2),0))</f>
        <v/>
      </c>
      <c r="M891" s="62" t="str">
        <f>IF(A891="","",IFERROR(INDEX(dv_cname,MATCH(A891,dv_num,0))&amp;"",""))</f>
        <v/>
      </c>
      <c r="N891" s="59" t="str">
        <f>IF(COUNTA(A891:G891)=0,"",IF(A891="","N° devis manquant",IF(ISNA(MATCH(A891,dv_num,0)),"Devis inconnu",IF(AND(B891&lt;&gt;"",ISNA(MATCH(B891,pr_code,0))),"Article inconnu",IF(H891="","Désignation manquante",IF(OR(NOT(ISNUMBER(D891)),N(D891)&lt;=0),"Quantité invalide",IF(J891="","Prix manquant",IF(OR(NOT(ISNUMBER(J891)),N(J891)&lt;0),"Prix invalide",IF(OR(AND(F891&lt;&gt;"",NOT(ISNUMBER(F891))),N(F891)&lt;0,N(F891)&gt;1),"Remise invalide",IF(K891="","Taux de TVA manquant",IF(NOT(ISNUMBER(K891)),"Taux de TVA invalide",IF(COUNTIF(p_rates,K891)=0,"Taux de TVA hors liste (Paramètres)",IF(N(O891)&gt;25,"Au-delà de 25 lignes : non imprimée","OK")))))))))))))</f>
        <v/>
      </c>
      <c r="O891" s="59" t="str">
        <f>IF(A891="","",COUNTIF($A$6:A891,A891))</f>
        <v/>
      </c>
      <c r="P891" s="62" t="str">
        <f>IF(A891="","",A891&amp;"|"&amp;O891)</f>
        <v/>
      </c>
    </row>
    <row r="892">
      <c r="A892" s="60" t="n"/>
      <c r="B892" s="63" t="n"/>
      <c r="C892" s="63" t="n"/>
      <c r="D892" s="67" t="n"/>
      <c r="E892" s="68" t="n"/>
      <c r="F892" s="69" t="n"/>
      <c r="G892" s="70" t="n"/>
      <c r="H892" s="62" t="str">
        <f>IF(COUNTA(A892:G892)=0,"",IF(C892&lt;&gt;"",C892,IF(B892="","",IFERROR(INDEX(pr_des,MATCH(B892,pr_code,0))&amp;"",""))))</f>
        <v/>
      </c>
      <c r="I892" s="59" t="str">
        <f>IF(B892="","",IFERROR(INDEX(pr_unit,MATCH(B892,pr_code,0))&amp;"",""))</f>
        <v/>
      </c>
      <c r="J892" s="65" t="str">
        <f>IF(COUNTA(A892:G892)=0,"",IF(E892&lt;&gt;"",E892,IF(B892="","",IFERROR(IF(INDEX(pr_price,MATCH(B892,pr_code,0))="","",INDEX(pr_price,MATCH(B892,pr_code,0))),""))))</f>
        <v/>
      </c>
      <c r="K892" s="71" t="str">
        <f>IF(COUNTA(A892:G892)=0,"",IF(G892&lt;&gt;"",G892,IF(B892="","",IFERROR(IF(INDEX(pr_rate,MATCH(B892,pr_code,0))="","",INDEX(pr_rate,MATCH(B892,pr_code,0))),""))))</f>
        <v/>
      </c>
      <c r="L892" s="65" t="str">
        <f>IF(COUNTA(A892:G892)=0,"",IF(AND(ISNUMBER(D892),ISNUMBER(J892)),ROUND(D892*J892*(1-N(F892)),2),0))</f>
        <v/>
      </c>
      <c r="M892" s="62" t="str">
        <f>IF(A892="","",IFERROR(INDEX(dv_cname,MATCH(A892,dv_num,0))&amp;"",""))</f>
        <v/>
      </c>
      <c r="N892" s="59" t="str">
        <f>IF(COUNTA(A892:G892)=0,"",IF(A892="","N° devis manquant",IF(ISNA(MATCH(A892,dv_num,0)),"Devis inconnu",IF(AND(B892&lt;&gt;"",ISNA(MATCH(B892,pr_code,0))),"Article inconnu",IF(H892="","Désignation manquante",IF(OR(NOT(ISNUMBER(D892)),N(D892)&lt;=0),"Quantité invalide",IF(J892="","Prix manquant",IF(OR(NOT(ISNUMBER(J892)),N(J892)&lt;0),"Prix invalide",IF(OR(AND(F892&lt;&gt;"",NOT(ISNUMBER(F892))),N(F892)&lt;0,N(F892)&gt;1),"Remise invalide",IF(K892="","Taux de TVA manquant",IF(NOT(ISNUMBER(K892)),"Taux de TVA invalide",IF(COUNTIF(p_rates,K892)=0,"Taux de TVA hors liste (Paramètres)",IF(N(O892)&gt;25,"Au-delà de 25 lignes : non imprimée","OK")))))))))))))</f>
        <v/>
      </c>
      <c r="O892" s="59" t="str">
        <f>IF(A892="","",COUNTIF($A$6:A892,A892))</f>
        <v/>
      </c>
      <c r="P892" s="62" t="str">
        <f>IF(A892="","",A892&amp;"|"&amp;O892)</f>
        <v/>
      </c>
    </row>
    <row r="893">
      <c r="A893" s="60" t="n"/>
      <c r="B893" s="63" t="n"/>
      <c r="C893" s="63" t="n"/>
      <c r="D893" s="67" t="n"/>
      <c r="E893" s="68" t="n"/>
      <c r="F893" s="69" t="n"/>
      <c r="G893" s="70" t="n"/>
      <c r="H893" s="62" t="str">
        <f>IF(COUNTA(A893:G893)=0,"",IF(C893&lt;&gt;"",C893,IF(B893="","",IFERROR(INDEX(pr_des,MATCH(B893,pr_code,0))&amp;"",""))))</f>
        <v/>
      </c>
      <c r="I893" s="59" t="str">
        <f>IF(B893="","",IFERROR(INDEX(pr_unit,MATCH(B893,pr_code,0))&amp;"",""))</f>
        <v/>
      </c>
      <c r="J893" s="65" t="str">
        <f>IF(COUNTA(A893:G893)=0,"",IF(E893&lt;&gt;"",E893,IF(B893="","",IFERROR(IF(INDEX(pr_price,MATCH(B893,pr_code,0))="","",INDEX(pr_price,MATCH(B893,pr_code,0))),""))))</f>
        <v/>
      </c>
      <c r="K893" s="71" t="str">
        <f>IF(COUNTA(A893:G893)=0,"",IF(G893&lt;&gt;"",G893,IF(B893="","",IFERROR(IF(INDEX(pr_rate,MATCH(B893,pr_code,0))="","",INDEX(pr_rate,MATCH(B893,pr_code,0))),""))))</f>
        <v/>
      </c>
      <c r="L893" s="65" t="str">
        <f>IF(COUNTA(A893:G893)=0,"",IF(AND(ISNUMBER(D893),ISNUMBER(J893)),ROUND(D893*J893*(1-N(F893)),2),0))</f>
        <v/>
      </c>
      <c r="M893" s="62" t="str">
        <f>IF(A893="","",IFERROR(INDEX(dv_cname,MATCH(A893,dv_num,0))&amp;"",""))</f>
        <v/>
      </c>
      <c r="N893" s="59" t="str">
        <f>IF(COUNTA(A893:G893)=0,"",IF(A893="","N° devis manquant",IF(ISNA(MATCH(A893,dv_num,0)),"Devis inconnu",IF(AND(B893&lt;&gt;"",ISNA(MATCH(B893,pr_code,0))),"Article inconnu",IF(H893="","Désignation manquante",IF(OR(NOT(ISNUMBER(D893)),N(D893)&lt;=0),"Quantité invalide",IF(J893="","Prix manquant",IF(OR(NOT(ISNUMBER(J893)),N(J893)&lt;0),"Prix invalide",IF(OR(AND(F893&lt;&gt;"",NOT(ISNUMBER(F893))),N(F893)&lt;0,N(F893)&gt;1),"Remise invalide",IF(K893="","Taux de TVA manquant",IF(NOT(ISNUMBER(K893)),"Taux de TVA invalide",IF(COUNTIF(p_rates,K893)=0,"Taux de TVA hors liste (Paramètres)",IF(N(O893)&gt;25,"Au-delà de 25 lignes : non imprimée","OK")))))))))))))</f>
        <v/>
      </c>
      <c r="O893" s="59" t="str">
        <f>IF(A893="","",COUNTIF($A$6:A893,A893))</f>
        <v/>
      </c>
      <c r="P893" s="62" t="str">
        <f>IF(A893="","",A893&amp;"|"&amp;O893)</f>
        <v/>
      </c>
    </row>
    <row r="894">
      <c r="A894" s="60" t="n"/>
      <c r="B894" s="63" t="n"/>
      <c r="C894" s="63" t="n"/>
      <c r="D894" s="67" t="n"/>
      <c r="E894" s="68" t="n"/>
      <c r="F894" s="69" t="n"/>
      <c r="G894" s="70" t="n"/>
      <c r="H894" s="62" t="str">
        <f>IF(COUNTA(A894:G894)=0,"",IF(C894&lt;&gt;"",C894,IF(B894="","",IFERROR(INDEX(pr_des,MATCH(B894,pr_code,0))&amp;"",""))))</f>
        <v/>
      </c>
      <c r="I894" s="59" t="str">
        <f>IF(B894="","",IFERROR(INDEX(pr_unit,MATCH(B894,pr_code,0))&amp;"",""))</f>
        <v/>
      </c>
      <c r="J894" s="65" t="str">
        <f>IF(COUNTA(A894:G894)=0,"",IF(E894&lt;&gt;"",E894,IF(B894="","",IFERROR(IF(INDEX(pr_price,MATCH(B894,pr_code,0))="","",INDEX(pr_price,MATCH(B894,pr_code,0))),""))))</f>
        <v/>
      </c>
      <c r="K894" s="71" t="str">
        <f>IF(COUNTA(A894:G894)=0,"",IF(G894&lt;&gt;"",G894,IF(B894="","",IFERROR(IF(INDEX(pr_rate,MATCH(B894,pr_code,0))="","",INDEX(pr_rate,MATCH(B894,pr_code,0))),""))))</f>
        <v/>
      </c>
      <c r="L894" s="65" t="str">
        <f>IF(COUNTA(A894:G894)=0,"",IF(AND(ISNUMBER(D894),ISNUMBER(J894)),ROUND(D894*J894*(1-N(F894)),2),0))</f>
        <v/>
      </c>
      <c r="M894" s="62" t="str">
        <f>IF(A894="","",IFERROR(INDEX(dv_cname,MATCH(A894,dv_num,0))&amp;"",""))</f>
        <v/>
      </c>
      <c r="N894" s="59" t="str">
        <f>IF(COUNTA(A894:G894)=0,"",IF(A894="","N° devis manquant",IF(ISNA(MATCH(A894,dv_num,0)),"Devis inconnu",IF(AND(B894&lt;&gt;"",ISNA(MATCH(B894,pr_code,0))),"Article inconnu",IF(H894="","Désignation manquante",IF(OR(NOT(ISNUMBER(D894)),N(D894)&lt;=0),"Quantité invalide",IF(J894="","Prix manquant",IF(OR(NOT(ISNUMBER(J894)),N(J894)&lt;0),"Prix invalide",IF(OR(AND(F894&lt;&gt;"",NOT(ISNUMBER(F894))),N(F894)&lt;0,N(F894)&gt;1),"Remise invalide",IF(K894="","Taux de TVA manquant",IF(NOT(ISNUMBER(K894)),"Taux de TVA invalide",IF(COUNTIF(p_rates,K894)=0,"Taux de TVA hors liste (Paramètres)",IF(N(O894)&gt;25,"Au-delà de 25 lignes : non imprimée","OK")))))))))))))</f>
        <v/>
      </c>
      <c r="O894" s="59" t="str">
        <f>IF(A894="","",COUNTIF($A$6:A894,A894))</f>
        <v/>
      </c>
      <c r="P894" s="62" t="str">
        <f>IF(A894="","",A894&amp;"|"&amp;O894)</f>
        <v/>
      </c>
    </row>
    <row r="895">
      <c r="A895" s="60" t="n"/>
      <c r="B895" s="63" t="n"/>
      <c r="C895" s="63" t="n"/>
      <c r="D895" s="67" t="n"/>
      <c r="E895" s="68" t="n"/>
      <c r="F895" s="69" t="n"/>
      <c r="G895" s="70" t="n"/>
      <c r="H895" s="62" t="str">
        <f>IF(COUNTA(A895:G895)=0,"",IF(C895&lt;&gt;"",C895,IF(B895="","",IFERROR(INDEX(pr_des,MATCH(B895,pr_code,0))&amp;"",""))))</f>
        <v/>
      </c>
      <c r="I895" s="59" t="str">
        <f>IF(B895="","",IFERROR(INDEX(pr_unit,MATCH(B895,pr_code,0))&amp;"",""))</f>
        <v/>
      </c>
      <c r="J895" s="65" t="str">
        <f>IF(COUNTA(A895:G895)=0,"",IF(E895&lt;&gt;"",E895,IF(B895="","",IFERROR(IF(INDEX(pr_price,MATCH(B895,pr_code,0))="","",INDEX(pr_price,MATCH(B895,pr_code,0))),""))))</f>
        <v/>
      </c>
      <c r="K895" s="71" t="str">
        <f>IF(COUNTA(A895:G895)=0,"",IF(G895&lt;&gt;"",G895,IF(B895="","",IFERROR(IF(INDEX(pr_rate,MATCH(B895,pr_code,0))="","",INDEX(pr_rate,MATCH(B895,pr_code,0))),""))))</f>
        <v/>
      </c>
      <c r="L895" s="65" t="str">
        <f>IF(COUNTA(A895:G895)=0,"",IF(AND(ISNUMBER(D895),ISNUMBER(J895)),ROUND(D895*J895*(1-N(F895)),2),0))</f>
        <v/>
      </c>
      <c r="M895" s="62" t="str">
        <f>IF(A895="","",IFERROR(INDEX(dv_cname,MATCH(A895,dv_num,0))&amp;"",""))</f>
        <v/>
      </c>
      <c r="N895" s="59" t="str">
        <f>IF(COUNTA(A895:G895)=0,"",IF(A895="","N° devis manquant",IF(ISNA(MATCH(A895,dv_num,0)),"Devis inconnu",IF(AND(B895&lt;&gt;"",ISNA(MATCH(B895,pr_code,0))),"Article inconnu",IF(H895="","Désignation manquante",IF(OR(NOT(ISNUMBER(D895)),N(D895)&lt;=0),"Quantité invalide",IF(J895="","Prix manquant",IF(OR(NOT(ISNUMBER(J895)),N(J895)&lt;0),"Prix invalide",IF(OR(AND(F895&lt;&gt;"",NOT(ISNUMBER(F895))),N(F895)&lt;0,N(F895)&gt;1),"Remise invalide",IF(K895="","Taux de TVA manquant",IF(NOT(ISNUMBER(K895)),"Taux de TVA invalide",IF(COUNTIF(p_rates,K895)=0,"Taux de TVA hors liste (Paramètres)",IF(N(O895)&gt;25,"Au-delà de 25 lignes : non imprimée","OK")))))))))))))</f>
        <v/>
      </c>
      <c r="O895" s="59" t="str">
        <f>IF(A895="","",COUNTIF($A$6:A895,A895))</f>
        <v/>
      </c>
      <c r="P895" s="62" t="str">
        <f>IF(A895="","",A895&amp;"|"&amp;O895)</f>
        <v/>
      </c>
    </row>
    <row r="896">
      <c r="A896" s="60" t="n"/>
      <c r="B896" s="63" t="n"/>
      <c r="C896" s="63" t="n"/>
      <c r="D896" s="67" t="n"/>
      <c r="E896" s="68" t="n"/>
      <c r="F896" s="69" t="n"/>
      <c r="G896" s="70" t="n"/>
      <c r="H896" s="62" t="str">
        <f>IF(COUNTA(A896:G896)=0,"",IF(C896&lt;&gt;"",C896,IF(B896="","",IFERROR(INDEX(pr_des,MATCH(B896,pr_code,0))&amp;"",""))))</f>
        <v/>
      </c>
      <c r="I896" s="59" t="str">
        <f>IF(B896="","",IFERROR(INDEX(pr_unit,MATCH(B896,pr_code,0))&amp;"",""))</f>
        <v/>
      </c>
      <c r="J896" s="65" t="str">
        <f>IF(COUNTA(A896:G896)=0,"",IF(E896&lt;&gt;"",E896,IF(B896="","",IFERROR(IF(INDEX(pr_price,MATCH(B896,pr_code,0))="","",INDEX(pr_price,MATCH(B896,pr_code,0))),""))))</f>
        <v/>
      </c>
      <c r="K896" s="71" t="str">
        <f>IF(COUNTA(A896:G896)=0,"",IF(G896&lt;&gt;"",G896,IF(B896="","",IFERROR(IF(INDEX(pr_rate,MATCH(B896,pr_code,0))="","",INDEX(pr_rate,MATCH(B896,pr_code,0))),""))))</f>
        <v/>
      </c>
      <c r="L896" s="65" t="str">
        <f>IF(COUNTA(A896:G896)=0,"",IF(AND(ISNUMBER(D896),ISNUMBER(J896)),ROUND(D896*J896*(1-N(F896)),2),0))</f>
        <v/>
      </c>
      <c r="M896" s="62" t="str">
        <f>IF(A896="","",IFERROR(INDEX(dv_cname,MATCH(A896,dv_num,0))&amp;"",""))</f>
        <v/>
      </c>
      <c r="N896" s="59" t="str">
        <f>IF(COUNTA(A896:G896)=0,"",IF(A896="","N° devis manquant",IF(ISNA(MATCH(A896,dv_num,0)),"Devis inconnu",IF(AND(B896&lt;&gt;"",ISNA(MATCH(B896,pr_code,0))),"Article inconnu",IF(H896="","Désignation manquante",IF(OR(NOT(ISNUMBER(D896)),N(D896)&lt;=0),"Quantité invalide",IF(J896="","Prix manquant",IF(OR(NOT(ISNUMBER(J896)),N(J896)&lt;0),"Prix invalide",IF(OR(AND(F896&lt;&gt;"",NOT(ISNUMBER(F896))),N(F896)&lt;0,N(F896)&gt;1),"Remise invalide",IF(K896="","Taux de TVA manquant",IF(NOT(ISNUMBER(K896)),"Taux de TVA invalide",IF(COUNTIF(p_rates,K896)=0,"Taux de TVA hors liste (Paramètres)",IF(N(O896)&gt;25,"Au-delà de 25 lignes : non imprimée","OK")))))))))))))</f>
        <v/>
      </c>
      <c r="O896" s="59" t="str">
        <f>IF(A896="","",COUNTIF($A$6:A896,A896))</f>
        <v/>
      </c>
      <c r="P896" s="62" t="str">
        <f>IF(A896="","",A896&amp;"|"&amp;O896)</f>
        <v/>
      </c>
    </row>
    <row r="897">
      <c r="A897" s="60" t="n"/>
      <c r="B897" s="63" t="n"/>
      <c r="C897" s="63" t="n"/>
      <c r="D897" s="67" t="n"/>
      <c r="E897" s="68" t="n"/>
      <c r="F897" s="69" t="n"/>
      <c r="G897" s="70" t="n"/>
      <c r="H897" s="62" t="str">
        <f>IF(COUNTA(A897:G897)=0,"",IF(C897&lt;&gt;"",C897,IF(B897="","",IFERROR(INDEX(pr_des,MATCH(B897,pr_code,0))&amp;"",""))))</f>
        <v/>
      </c>
      <c r="I897" s="59" t="str">
        <f>IF(B897="","",IFERROR(INDEX(pr_unit,MATCH(B897,pr_code,0))&amp;"",""))</f>
        <v/>
      </c>
      <c r="J897" s="65" t="str">
        <f>IF(COUNTA(A897:G897)=0,"",IF(E897&lt;&gt;"",E897,IF(B897="","",IFERROR(IF(INDEX(pr_price,MATCH(B897,pr_code,0))="","",INDEX(pr_price,MATCH(B897,pr_code,0))),""))))</f>
        <v/>
      </c>
      <c r="K897" s="71" t="str">
        <f>IF(COUNTA(A897:G897)=0,"",IF(G897&lt;&gt;"",G897,IF(B897="","",IFERROR(IF(INDEX(pr_rate,MATCH(B897,pr_code,0))="","",INDEX(pr_rate,MATCH(B897,pr_code,0))),""))))</f>
        <v/>
      </c>
      <c r="L897" s="65" t="str">
        <f>IF(COUNTA(A897:G897)=0,"",IF(AND(ISNUMBER(D897),ISNUMBER(J897)),ROUND(D897*J897*(1-N(F897)),2),0))</f>
        <v/>
      </c>
      <c r="M897" s="62" t="str">
        <f>IF(A897="","",IFERROR(INDEX(dv_cname,MATCH(A897,dv_num,0))&amp;"",""))</f>
        <v/>
      </c>
      <c r="N897" s="59" t="str">
        <f>IF(COUNTA(A897:G897)=0,"",IF(A897="","N° devis manquant",IF(ISNA(MATCH(A897,dv_num,0)),"Devis inconnu",IF(AND(B897&lt;&gt;"",ISNA(MATCH(B897,pr_code,0))),"Article inconnu",IF(H897="","Désignation manquante",IF(OR(NOT(ISNUMBER(D897)),N(D897)&lt;=0),"Quantité invalide",IF(J897="","Prix manquant",IF(OR(NOT(ISNUMBER(J897)),N(J897)&lt;0),"Prix invalide",IF(OR(AND(F897&lt;&gt;"",NOT(ISNUMBER(F897))),N(F897)&lt;0,N(F897)&gt;1),"Remise invalide",IF(K897="","Taux de TVA manquant",IF(NOT(ISNUMBER(K897)),"Taux de TVA invalide",IF(COUNTIF(p_rates,K897)=0,"Taux de TVA hors liste (Paramètres)",IF(N(O897)&gt;25,"Au-delà de 25 lignes : non imprimée","OK")))))))))))))</f>
        <v/>
      </c>
      <c r="O897" s="59" t="str">
        <f>IF(A897="","",COUNTIF($A$6:A897,A897))</f>
        <v/>
      </c>
      <c r="P897" s="62" t="str">
        <f>IF(A897="","",A897&amp;"|"&amp;O897)</f>
        <v/>
      </c>
    </row>
    <row r="898">
      <c r="A898" s="60" t="n"/>
      <c r="B898" s="63" t="n"/>
      <c r="C898" s="63" t="n"/>
      <c r="D898" s="67" t="n"/>
      <c r="E898" s="68" t="n"/>
      <c r="F898" s="69" t="n"/>
      <c r="G898" s="70" t="n"/>
      <c r="H898" s="62" t="str">
        <f>IF(COUNTA(A898:G898)=0,"",IF(C898&lt;&gt;"",C898,IF(B898="","",IFERROR(INDEX(pr_des,MATCH(B898,pr_code,0))&amp;"",""))))</f>
        <v/>
      </c>
      <c r="I898" s="59" t="str">
        <f>IF(B898="","",IFERROR(INDEX(pr_unit,MATCH(B898,pr_code,0))&amp;"",""))</f>
        <v/>
      </c>
      <c r="J898" s="65" t="str">
        <f>IF(COUNTA(A898:G898)=0,"",IF(E898&lt;&gt;"",E898,IF(B898="","",IFERROR(IF(INDEX(pr_price,MATCH(B898,pr_code,0))="","",INDEX(pr_price,MATCH(B898,pr_code,0))),""))))</f>
        <v/>
      </c>
      <c r="K898" s="71" t="str">
        <f>IF(COUNTA(A898:G898)=0,"",IF(G898&lt;&gt;"",G898,IF(B898="","",IFERROR(IF(INDEX(pr_rate,MATCH(B898,pr_code,0))="","",INDEX(pr_rate,MATCH(B898,pr_code,0))),""))))</f>
        <v/>
      </c>
      <c r="L898" s="65" t="str">
        <f>IF(COUNTA(A898:G898)=0,"",IF(AND(ISNUMBER(D898),ISNUMBER(J898)),ROUND(D898*J898*(1-N(F898)),2),0))</f>
        <v/>
      </c>
      <c r="M898" s="62" t="str">
        <f>IF(A898="","",IFERROR(INDEX(dv_cname,MATCH(A898,dv_num,0))&amp;"",""))</f>
        <v/>
      </c>
      <c r="N898" s="59" t="str">
        <f>IF(COUNTA(A898:G898)=0,"",IF(A898="","N° devis manquant",IF(ISNA(MATCH(A898,dv_num,0)),"Devis inconnu",IF(AND(B898&lt;&gt;"",ISNA(MATCH(B898,pr_code,0))),"Article inconnu",IF(H898="","Désignation manquante",IF(OR(NOT(ISNUMBER(D898)),N(D898)&lt;=0),"Quantité invalide",IF(J898="","Prix manquant",IF(OR(NOT(ISNUMBER(J898)),N(J898)&lt;0),"Prix invalide",IF(OR(AND(F898&lt;&gt;"",NOT(ISNUMBER(F898))),N(F898)&lt;0,N(F898)&gt;1),"Remise invalide",IF(K898="","Taux de TVA manquant",IF(NOT(ISNUMBER(K898)),"Taux de TVA invalide",IF(COUNTIF(p_rates,K898)=0,"Taux de TVA hors liste (Paramètres)",IF(N(O898)&gt;25,"Au-delà de 25 lignes : non imprimée","OK")))))))))))))</f>
        <v/>
      </c>
      <c r="O898" s="59" t="str">
        <f>IF(A898="","",COUNTIF($A$6:A898,A898))</f>
        <v/>
      </c>
      <c r="P898" s="62" t="str">
        <f>IF(A898="","",A898&amp;"|"&amp;O898)</f>
        <v/>
      </c>
    </row>
    <row r="899">
      <c r="A899" s="60" t="n"/>
      <c r="B899" s="63" t="n"/>
      <c r="C899" s="63" t="n"/>
      <c r="D899" s="67" t="n"/>
      <c r="E899" s="68" t="n"/>
      <c r="F899" s="69" t="n"/>
      <c r="G899" s="70" t="n"/>
      <c r="H899" s="62" t="str">
        <f>IF(COUNTA(A899:G899)=0,"",IF(C899&lt;&gt;"",C899,IF(B899="","",IFERROR(INDEX(pr_des,MATCH(B899,pr_code,0))&amp;"",""))))</f>
        <v/>
      </c>
      <c r="I899" s="59" t="str">
        <f>IF(B899="","",IFERROR(INDEX(pr_unit,MATCH(B899,pr_code,0))&amp;"",""))</f>
        <v/>
      </c>
      <c r="J899" s="65" t="str">
        <f>IF(COUNTA(A899:G899)=0,"",IF(E899&lt;&gt;"",E899,IF(B899="","",IFERROR(IF(INDEX(pr_price,MATCH(B899,pr_code,0))="","",INDEX(pr_price,MATCH(B899,pr_code,0))),""))))</f>
        <v/>
      </c>
      <c r="K899" s="71" t="str">
        <f>IF(COUNTA(A899:G899)=0,"",IF(G899&lt;&gt;"",G899,IF(B899="","",IFERROR(IF(INDEX(pr_rate,MATCH(B899,pr_code,0))="","",INDEX(pr_rate,MATCH(B899,pr_code,0))),""))))</f>
        <v/>
      </c>
      <c r="L899" s="65" t="str">
        <f>IF(COUNTA(A899:G899)=0,"",IF(AND(ISNUMBER(D899),ISNUMBER(J899)),ROUND(D899*J899*(1-N(F899)),2),0))</f>
        <v/>
      </c>
      <c r="M899" s="62" t="str">
        <f>IF(A899="","",IFERROR(INDEX(dv_cname,MATCH(A899,dv_num,0))&amp;"",""))</f>
        <v/>
      </c>
      <c r="N899" s="59" t="str">
        <f>IF(COUNTA(A899:G899)=0,"",IF(A899="","N° devis manquant",IF(ISNA(MATCH(A899,dv_num,0)),"Devis inconnu",IF(AND(B899&lt;&gt;"",ISNA(MATCH(B899,pr_code,0))),"Article inconnu",IF(H899="","Désignation manquante",IF(OR(NOT(ISNUMBER(D899)),N(D899)&lt;=0),"Quantité invalide",IF(J899="","Prix manquant",IF(OR(NOT(ISNUMBER(J899)),N(J899)&lt;0),"Prix invalide",IF(OR(AND(F899&lt;&gt;"",NOT(ISNUMBER(F899))),N(F899)&lt;0,N(F899)&gt;1),"Remise invalide",IF(K899="","Taux de TVA manquant",IF(NOT(ISNUMBER(K899)),"Taux de TVA invalide",IF(COUNTIF(p_rates,K899)=0,"Taux de TVA hors liste (Paramètres)",IF(N(O899)&gt;25,"Au-delà de 25 lignes : non imprimée","OK")))))))))))))</f>
        <v/>
      </c>
      <c r="O899" s="59" t="str">
        <f>IF(A899="","",COUNTIF($A$6:A899,A899))</f>
        <v/>
      </c>
      <c r="P899" s="62" t="str">
        <f>IF(A899="","",A899&amp;"|"&amp;O899)</f>
        <v/>
      </c>
    </row>
    <row r="900">
      <c r="A900" s="60" t="n"/>
      <c r="B900" s="63" t="n"/>
      <c r="C900" s="63" t="n"/>
      <c r="D900" s="67" t="n"/>
      <c r="E900" s="68" t="n"/>
      <c r="F900" s="69" t="n"/>
      <c r="G900" s="70" t="n"/>
      <c r="H900" s="62" t="str">
        <f>IF(COUNTA(A900:G900)=0,"",IF(C900&lt;&gt;"",C900,IF(B900="","",IFERROR(INDEX(pr_des,MATCH(B900,pr_code,0))&amp;"",""))))</f>
        <v/>
      </c>
      <c r="I900" s="59" t="str">
        <f>IF(B900="","",IFERROR(INDEX(pr_unit,MATCH(B900,pr_code,0))&amp;"",""))</f>
        <v/>
      </c>
      <c r="J900" s="65" t="str">
        <f>IF(COUNTA(A900:G900)=0,"",IF(E900&lt;&gt;"",E900,IF(B900="","",IFERROR(IF(INDEX(pr_price,MATCH(B900,pr_code,0))="","",INDEX(pr_price,MATCH(B900,pr_code,0))),""))))</f>
        <v/>
      </c>
      <c r="K900" s="71" t="str">
        <f>IF(COUNTA(A900:G900)=0,"",IF(G900&lt;&gt;"",G900,IF(B900="","",IFERROR(IF(INDEX(pr_rate,MATCH(B900,pr_code,0))="","",INDEX(pr_rate,MATCH(B900,pr_code,0))),""))))</f>
        <v/>
      </c>
      <c r="L900" s="65" t="str">
        <f>IF(COUNTA(A900:G900)=0,"",IF(AND(ISNUMBER(D900),ISNUMBER(J900)),ROUND(D900*J900*(1-N(F900)),2),0))</f>
        <v/>
      </c>
      <c r="M900" s="62" t="str">
        <f>IF(A900="","",IFERROR(INDEX(dv_cname,MATCH(A900,dv_num,0))&amp;"",""))</f>
        <v/>
      </c>
      <c r="N900" s="59" t="str">
        <f>IF(COUNTA(A900:G900)=0,"",IF(A900="","N° devis manquant",IF(ISNA(MATCH(A900,dv_num,0)),"Devis inconnu",IF(AND(B900&lt;&gt;"",ISNA(MATCH(B900,pr_code,0))),"Article inconnu",IF(H900="","Désignation manquante",IF(OR(NOT(ISNUMBER(D900)),N(D900)&lt;=0),"Quantité invalide",IF(J900="","Prix manquant",IF(OR(NOT(ISNUMBER(J900)),N(J900)&lt;0),"Prix invalide",IF(OR(AND(F900&lt;&gt;"",NOT(ISNUMBER(F900))),N(F900)&lt;0,N(F900)&gt;1),"Remise invalide",IF(K900="","Taux de TVA manquant",IF(NOT(ISNUMBER(K900)),"Taux de TVA invalide",IF(COUNTIF(p_rates,K900)=0,"Taux de TVA hors liste (Paramètres)",IF(N(O900)&gt;25,"Au-delà de 25 lignes : non imprimée","OK")))))))))))))</f>
        <v/>
      </c>
      <c r="O900" s="59" t="str">
        <f>IF(A900="","",COUNTIF($A$6:A900,A900))</f>
        <v/>
      </c>
      <c r="P900" s="62" t="str">
        <f>IF(A900="","",A900&amp;"|"&amp;O900)</f>
        <v/>
      </c>
    </row>
    <row r="901">
      <c r="A901" s="60" t="n"/>
      <c r="B901" s="63" t="n"/>
      <c r="C901" s="63" t="n"/>
      <c r="D901" s="67" t="n"/>
      <c r="E901" s="68" t="n"/>
      <c r="F901" s="69" t="n"/>
      <c r="G901" s="70" t="n"/>
      <c r="H901" s="62" t="str">
        <f>IF(COUNTA(A901:G901)=0,"",IF(C901&lt;&gt;"",C901,IF(B901="","",IFERROR(INDEX(pr_des,MATCH(B901,pr_code,0))&amp;"",""))))</f>
        <v/>
      </c>
      <c r="I901" s="59" t="str">
        <f>IF(B901="","",IFERROR(INDEX(pr_unit,MATCH(B901,pr_code,0))&amp;"",""))</f>
        <v/>
      </c>
      <c r="J901" s="65" t="str">
        <f>IF(COUNTA(A901:G901)=0,"",IF(E901&lt;&gt;"",E901,IF(B901="","",IFERROR(IF(INDEX(pr_price,MATCH(B901,pr_code,0))="","",INDEX(pr_price,MATCH(B901,pr_code,0))),""))))</f>
        <v/>
      </c>
      <c r="K901" s="71" t="str">
        <f>IF(COUNTA(A901:G901)=0,"",IF(G901&lt;&gt;"",G901,IF(B901="","",IFERROR(IF(INDEX(pr_rate,MATCH(B901,pr_code,0))="","",INDEX(pr_rate,MATCH(B901,pr_code,0))),""))))</f>
        <v/>
      </c>
      <c r="L901" s="65" t="str">
        <f>IF(COUNTA(A901:G901)=0,"",IF(AND(ISNUMBER(D901),ISNUMBER(J901)),ROUND(D901*J901*(1-N(F901)),2),0))</f>
        <v/>
      </c>
      <c r="M901" s="62" t="str">
        <f>IF(A901="","",IFERROR(INDEX(dv_cname,MATCH(A901,dv_num,0))&amp;"",""))</f>
        <v/>
      </c>
      <c r="N901" s="59" t="str">
        <f>IF(COUNTA(A901:G901)=0,"",IF(A901="","N° devis manquant",IF(ISNA(MATCH(A901,dv_num,0)),"Devis inconnu",IF(AND(B901&lt;&gt;"",ISNA(MATCH(B901,pr_code,0))),"Article inconnu",IF(H901="","Désignation manquante",IF(OR(NOT(ISNUMBER(D901)),N(D901)&lt;=0),"Quantité invalide",IF(J901="","Prix manquant",IF(OR(NOT(ISNUMBER(J901)),N(J901)&lt;0),"Prix invalide",IF(OR(AND(F901&lt;&gt;"",NOT(ISNUMBER(F901))),N(F901)&lt;0,N(F901)&gt;1),"Remise invalide",IF(K901="","Taux de TVA manquant",IF(NOT(ISNUMBER(K901)),"Taux de TVA invalide",IF(COUNTIF(p_rates,K901)=0,"Taux de TVA hors liste (Paramètres)",IF(N(O901)&gt;25,"Au-delà de 25 lignes : non imprimée","OK")))))))))))))</f>
        <v/>
      </c>
      <c r="O901" s="59" t="str">
        <f>IF(A901="","",COUNTIF($A$6:A901,A901))</f>
        <v/>
      </c>
      <c r="P901" s="62" t="str">
        <f>IF(A901="","",A901&amp;"|"&amp;O901)</f>
        <v/>
      </c>
    </row>
    <row r="902">
      <c r="A902" s="60" t="n"/>
      <c r="B902" s="63" t="n"/>
      <c r="C902" s="63" t="n"/>
      <c r="D902" s="67" t="n"/>
      <c r="E902" s="68" t="n"/>
      <c r="F902" s="69" t="n"/>
      <c r="G902" s="70" t="n"/>
      <c r="H902" s="62" t="str">
        <f>IF(COUNTA(A902:G902)=0,"",IF(C902&lt;&gt;"",C902,IF(B902="","",IFERROR(INDEX(pr_des,MATCH(B902,pr_code,0))&amp;"",""))))</f>
        <v/>
      </c>
      <c r="I902" s="59" t="str">
        <f>IF(B902="","",IFERROR(INDEX(pr_unit,MATCH(B902,pr_code,0))&amp;"",""))</f>
        <v/>
      </c>
      <c r="J902" s="65" t="str">
        <f>IF(COUNTA(A902:G902)=0,"",IF(E902&lt;&gt;"",E902,IF(B902="","",IFERROR(IF(INDEX(pr_price,MATCH(B902,pr_code,0))="","",INDEX(pr_price,MATCH(B902,pr_code,0))),""))))</f>
        <v/>
      </c>
      <c r="K902" s="71" t="str">
        <f>IF(COUNTA(A902:G902)=0,"",IF(G902&lt;&gt;"",G902,IF(B902="","",IFERROR(IF(INDEX(pr_rate,MATCH(B902,pr_code,0))="","",INDEX(pr_rate,MATCH(B902,pr_code,0))),""))))</f>
        <v/>
      </c>
      <c r="L902" s="65" t="str">
        <f>IF(COUNTA(A902:G902)=0,"",IF(AND(ISNUMBER(D902),ISNUMBER(J902)),ROUND(D902*J902*(1-N(F902)),2),0))</f>
        <v/>
      </c>
      <c r="M902" s="62" t="str">
        <f>IF(A902="","",IFERROR(INDEX(dv_cname,MATCH(A902,dv_num,0))&amp;"",""))</f>
        <v/>
      </c>
      <c r="N902" s="59" t="str">
        <f>IF(COUNTA(A902:G902)=0,"",IF(A902="","N° devis manquant",IF(ISNA(MATCH(A902,dv_num,0)),"Devis inconnu",IF(AND(B902&lt;&gt;"",ISNA(MATCH(B902,pr_code,0))),"Article inconnu",IF(H902="","Désignation manquante",IF(OR(NOT(ISNUMBER(D902)),N(D902)&lt;=0),"Quantité invalide",IF(J902="","Prix manquant",IF(OR(NOT(ISNUMBER(J902)),N(J902)&lt;0),"Prix invalide",IF(OR(AND(F902&lt;&gt;"",NOT(ISNUMBER(F902))),N(F902)&lt;0,N(F902)&gt;1),"Remise invalide",IF(K902="","Taux de TVA manquant",IF(NOT(ISNUMBER(K902)),"Taux de TVA invalide",IF(COUNTIF(p_rates,K902)=0,"Taux de TVA hors liste (Paramètres)",IF(N(O902)&gt;25,"Au-delà de 25 lignes : non imprimée","OK")))))))))))))</f>
        <v/>
      </c>
      <c r="O902" s="59" t="str">
        <f>IF(A902="","",COUNTIF($A$6:A902,A902))</f>
        <v/>
      </c>
      <c r="P902" s="62" t="str">
        <f>IF(A902="","",A902&amp;"|"&amp;O902)</f>
        <v/>
      </c>
    </row>
    <row r="903">
      <c r="A903" s="60" t="n"/>
      <c r="B903" s="63" t="n"/>
      <c r="C903" s="63" t="n"/>
      <c r="D903" s="67" t="n"/>
      <c r="E903" s="68" t="n"/>
      <c r="F903" s="69" t="n"/>
      <c r="G903" s="70" t="n"/>
      <c r="H903" s="62" t="str">
        <f>IF(COUNTA(A903:G903)=0,"",IF(C903&lt;&gt;"",C903,IF(B903="","",IFERROR(INDEX(pr_des,MATCH(B903,pr_code,0))&amp;"",""))))</f>
        <v/>
      </c>
      <c r="I903" s="59" t="str">
        <f>IF(B903="","",IFERROR(INDEX(pr_unit,MATCH(B903,pr_code,0))&amp;"",""))</f>
        <v/>
      </c>
      <c r="J903" s="65" t="str">
        <f>IF(COUNTA(A903:G903)=0,"",IF(E903&lt;&gt;"",E903,IF(B903="","",IFERROR(IF(INDEX(pr_price,MATCH(B903,pr_code,0))="","",INDEX(pr_price,MATCH(B903,pr_code,0))),""))))</f>
        <v/>
      </c>
      <c r="K903" s="71" t="str">
        <f>IF(COUNTA(A903:G903)=0,"",IF(G903&lt;&gt;"",G903,IF(B903="","",IFERROR(IF(INDEX(pr_rate,MATCH(B903,pr_code,0))="","",INDEX(pr_rate,MATCH(B903,pr_code,0))),""))))</f>
        <v/>
      </c>
      <c r="L903" s="65" t="str">
        <f>IF(COUNTA(A903:G903)=0,"",IF(AND(ISNUMBER(D903),ISNUMBER(J903)),ROUND(D903*J903*(1-N(F903)),2),0))</f>
        <v/>
      </c>
      <c r="M903" s="62" t="str">
        <f>IF(A903="","",IFERROR(INDEX(dv_cname,MATCH(A903,dv_num,0))&amp;"",""))</f>
        <v/>
      </c>
      <c r="N903" s="59" t="str">
        <f>IF(COUNTA(A903:G903)=0,"",IF(A903="","N° devis manquant",IF(ISNA(MATCH(A903,dv_num,0)),"Devis inconnu",IF(AND(B903&lt;&gt;"",ISNA(MATCH(B903,pr_code,0))),"Article inconnu",IF(H903="","Désignation manquante",IF(OR(NOT(ISNUMBER(D903)),N(D903)&lt;=0),"Quantité invalide",IF(J903="","Prix manquant",IF(OR(NOT(ISNUMBER(J903)),N(J903)&lt;0),"Prix invalide",IF(OR(AND(F903&lt;&gt;"",NOT(ISNUMBER(F903))),N(F903)&lt;0,N(F903)&gt;1),"Remise invalide",IF(K903="","Taux de TVA manquant",IF(NOT(ISNUMBER(K903)),"Taux de TVA invalide",IF(COUNTIF(p_rates,K903)=0,"Taux de TVA hors liste (Paramètres)",IF(N(O903)&gt;25,"Au-delà de 25 lignes : non imprimée","OK")))))))))))))</f>
        <v/>
      </c>
      <c r="O903" s="59" t="str">
        <f>IF(A903="","",COUNTIF($A$6:A903,A903))</f>
        <v/>
      </c>
      <c r="P903" s="62" t="str">
        <f>IF(A903="","",A903&amp;"|"&amp;O903)</f>
        <v/>
      </c>
    </row>
    <row r="904">
      <c r="A904" s="60" t="n"/>
      <c r="B904" s="63" t="n"/>
      <c r="C904" s="63" t="n"/>
      <c r="D904" s="67" t="n"/>
      <c r="E904" s="68" t="n"/>
      <c r="F904" s="69" t="n"/>
      <c r="G904" s="70" t="n"/>
      <c r="H904" s="62" t="str">
        <f>IF(COUNTA(A904:G904)=0,"",IF(C904&lt;&gt;"",C904,IF(B904="","",IFERROR(INDEX(pr_des,MATCH(B904,pr_code,0))&amp;"",""))))</f>
        <v/>
      </c>
      <c r="I904" s="59" t="str">
        <f>IF(B904="","",IFERROR(INDEX(pr_unit,MATCH(B904,pr_code,0))&amp;"",""))</f>
        <v/>
      </c>
      <c r="J904" s="65" t="str">
        <f>IF(COUNTA(A904:G904)=0,"",IF(E904&lt;&gt;"",E904,IF(B904="","",IFERROR(IF(INDEX(pr_price,MATCH(B904,pr_code,0))="","",INDEX(pr_price,MATCH(B904,pr_code,0))),""))))</f>
        <v/>
      </c>
      <c r="K904" s="71" t="str">
        <f>IF(COUNTA(A904:G904)=0,"",IF(G904&lt;&gt;"",G904,IF(B904="","",IFERROR(IF(INDEX(pr_rate,MATCH(B904,pr_code,0))="","",INDEX(pr_rate,MATCH(B904,pr_code,0))),""))))</f>
        <v/>
      </c>
      <c r="L904" s="65" t="str">
        <f>IF(COUNTA(A904:G904)=0,"",IF(AND(ISNUMBER(D904),ISNUMBER(J904)),ROUND(D904*J904*(1-N(F904)),2),0))</f>
        <v/>
      </c>
      <c r="M904" s="62" t="str">
        <f>IF(A904="","",IFERROR(INDEX(dv_cname,MATCH(A904,dv_num,0))&amp;"",""))</f>
        <v/>
      </c>
      <c r="N904" s="59" t="str">
        <f>IF(COUNTA(A904:G904)=0,"",IF(A904="","N° devis manquant",IF(ISNA(MATCH(A904,dv_num,0)),"Devis inconnu",IF(AND(B904&lt;&gt;"",ISNA(MATCH(B904,pr_code,0))),"Article inconnu",IF(H904="","Désignation manquante",IF(OR(NOT(ISNUMBER(D904)),N(D904)&lt;=0),"Quantité invalide",IF(J904="","Prix manquant",IF(OR(NOT(ISNUMBER(J904)),N(J904)&lt;0),"Prix invalide",IF(OR(AND(F904&lt;&gt;"",NOT(ISNUMBER(F904))),N(F904)&lt;0,N(F904)&gt;1),"Remise invalide",IF(K904="","Taux de TVA manquant",IF(NOT(ISNUMBER(K904)),"Taux de TVA invalide",IF(COUNTIF(p_rates,K904)=0,"Taux de TVA hors liste (Paramètres)",IF(N(O904)&gt;25,"Au-delà de 25 lignes : non imprimée","OK")))))))))))))</f>
        <v/>
      </c>
      <c r="O904" s="59" t="str">
        <f>IF(A904="","",COUNTIF($A$6:A904,A904))</f>
        <v/>
      </c>
      <c r="P904" s="62" t="str">
        <f>IF(A904="","",A904&amp;"|"&amp;O904)</f>
        <v/>
      </c>
    </row>
    <row r="905">
      <c r="A905" s="60" t="n"/>
      <c r="B905" s="63" t="n"/>
      <c r="C905" s="63" t="n"/>
      <c r="D905" s="67" t="n"/>
      <c r="E905" s="68" t="n"/>
      <c r="F905" s="69" t="n"/>
      <c r="G905" s="70" t="n"/>
      <c r="H905" s="62" t="str">
        <f>IF(COUNTA(A905:G905)=0,"",IF(C905&lt;&gt;"",C905,IF(B905="","",IFERROR(INDEX(pr_des,MATCH(B905,pr_code,0))&amp;"",""))))</f>
        <v/>
      </c>
      <c r="I905" s="59" t="str">
        <f>IF(B905="","",IFERROR(INDEX(pr_unit,MATCH(B905,pr_code,0))&amp;"",""))</f>
        <v/>
      </c>
      <c r="J905" s="65" t="str">
        <f>IF(COUNTA(A905:G905)=0,"",IF(E905&lt;&gt;"",E905,IF(B905="","",IFERROR(IF(INDEX(pr_price,MATCH(B905,pr_code,0))="","",INDEX(pr_price,MATCH(B905,pr_code,0))),""))))</f>
        <v/>
      </c>
      <c r="K905" s="71" t="str">
        <f>IF(COUNTA(A905:G905)=0,"",IF(G905&lt;&gt;"",G905,IF(B905="","",IFERROR(IF(INDEX(pr_rate,MATCH(B905,pr_code,0))="","",INDEX(pr_rate,MATCH(B905,pr_code,0))),""))))</f>
        <v/>
      </c>
      <c r="L905" s="65" t="str">
        <f>IF(COUNTA(A905:G905)=0,"",IF(AND(ISNUMBER(D905),ISNUMBER(J905)),ROUND(D905*J905*(1-N(F905)),2),0))</f>
        <v/>
      </c>
      <c r="M905" s="62" t="str">
        <f>IF(A905="","",IFERROR(INDEX(dv_cname,MATCH(A905,dv_num,0))&amp;"",""))</f>
        <v/>
      </c>
      <c r="N905" s="59" t="str">
        <f>IF(COUNTA(A905:G905)=0,"",IF(A905="","N° devis manquant",IF(ISNA(MATCH(A905,dv_num,0)),"Devis inconnu",IF(AND(B905&lt;&gt;"",ISNA(MATCH(B905,pr_code,0))),"Article inconnu",IF(H905="","Désignation manquante",IF(OR(NOT(ISNUMBER(D905)),N(D905)&lt;=0),"Quantité invalide",IF(J905="","Prix manquant",IF(OR(NOT(ISNUMBER(J905)),N(J905)&lt;0),"Prix invalide",IF(OR(AND(F905&lt;&gt;"",NOT(ISNUMBER(F905))),N(F905)&lt;0,N(F905)&gt;1),"Remise invalide",IF(K905="","Taux de TVA manquant",IF(NOT(ISNUMBER(K905)),"Taux de TVA invalide",IF(COUNTIF(p_rates,K905)=0,"Taux de TVA hors liste (Paramètres)",IF(N(O905)&gt;25,"Au-delà de 25 lignes : non imprimée","OK")))))))))))))</f>
        <v/>
      </c>
      <c r="O905" s="59" t="str">
        <f>IF(A905="","",COUNTIF($A$6:A905,A905))</f>
        <v/>
      </c>
      <c r="P905" s="62" t="str">
        <f>IF(A905="","",A905&amp;"|"&amp;O905)</f>
        <v/>
      </c>
    </row>
    <row r="906">
      <c r="A906" s="60" t="n"/>
      <c r="B906" s="63" t="n"/>
      <c r="C906" s="63" t="n"/>
      <c r="D906" s="67" t="n"/>
      <c r="E906" s="68" t="n"/>
      <c r="F906" s="69" t="n"/>
      <c r="G906" s="70" t="n"/>
      <c r="H906" s="62" t="str">
        <f>IF(COUNTA(A906:G906)=0,"",IF(C906&lt;&gt;"",C906,IF(B906="","",IFERROR(INDEX(pr_des,MATCH(B906,pr_code,0))&amp;"",""))))</f>
        <v/>
      </c>
      <c r="I906" s="59" t="str">
        <f>IF(B906="","",IFERROR(INDEX(pr_unit,MATCH(B906,pr_code,0))&amp;"",""))</f>
        <v/>
      </c>
      <c r="J906" s="65" t="str">
        <f>IF(COUNTA(A906:G906)=0,"",IF(E906&lt;&gt;"",E906,IF(B906="","",IFERROR(IF(INDEX(pr_price,MATCH(B906,pr_code,0))="","",INDEX(pr_price,MATCH(B906,pr_code,0))),""))))</f>
        <v/>
      </c>
      <c r="K906" s="71" t="str">
        <f>IF(COUNTA(A906:G906)=0,"",IF(G906&lt;&gt;"",G906,IF(B906="","",IFERROR(IF(INDEX(pr_rate,MATCH(B906,pr_code,0))="","",INDEX(pr_rate,MATCH(B906,pr_code,0))),""))))</f>
        <v/>
      </c>
      <c r="L906" s="65" t="str">
        <f>IF(COUNTA(A906:G906)=0,"",IF(AND(ISNUMBER(D906),ISNUMBER(J906)),ROUND(D906*J906*(1-N(F906)),2),0))</f>
        <v/>
      </c>
      <c r="M906" s="62" t="str">
        <f>IF(A906="","",IFERROR(INDEX(dv_cname,MATCH(A906,dv_num,0))&amp;"",""))</f>
        <v/>
      </c>
      <c r="N906" s="59" t="str">
        <f>IF(COUNTA(A906:G906)=0,"",IF(A906="","N° devis manquant",IF(ISNA(MATCH(A906,dv_num,0)),"Devis inconnu",IF(AND(B906&lt;&gt;"",ISNA(MATCH(B906,pr_code,0))),"Article inconnu",IF(H906="","Désignation manquante",IF(OR(NOT(ISNUMBER(D906)),N(D906)&lt;=0),"Quantité invalide",IF(J906="","Prix manquant",IF(OR(NOT(ISNUMBER(J906)),N(J906)&lt;0),"Prix invalide",IF(OR(AND(F906&lt;&gt;"",NOT(ISNUMBER(F906))),N(F906)&lt;0,N(F906)&gt;1),"Remise invalide",IF(K906="","Taux de TVA manquant",IF(NOT(ISNUMBER(K906)),"Taux de TVA invalide",IF(COUNTIF(p_rates,K906)=0,"Taux de TVA hors liste (Paramètres)",IF(N(O906)&gt;25,"Au-delà de 25 lignes : non imprimée","OK")))))))))))))</f>
        <v/>
      </c>
      <c r="O906" s="59" t="str">
        <f>IF(A906="","",COUNTIF($A$6:A906,A906))</f>
        <v/>
      </c>
      <c r="P906" s="62" t="str">
        <f>IF(A906="","",A906&amp;"|"&amp;O906)</f>
        <v/>
      </c>
    </row>
    <row r="907">
      <c r="A907" s="60" t="n"/>
      <c r="B907" s="63" t="n"/>
      <c r="C907" s="63" t="n"/>
      <c r="D907" s="67" t="n"/>
      <c r="E907" s="68" t="n"/>
      <c r="F907" s="69" t="n"/>
      <c r="G907" s="70" t="n"/>
      <c r="H907" s="62" t="str">
        <f>IF(COUNTA(A907:G907)=0,"",IF(C907&lt;&gt;"",C907,IF(B907="","",IFERROR(INDEX(pr_des,MATCH(B907,pr_code,0))&amp;"",""))))</f>
        <v/>
      </c>
      <c r="I907" s="59" t="str">
        <f>IF(B907="","",IFERROR(INDEX(pr_unit,MATCH(B907,pr_code,0))&amp;"",""))</f>
        <v/>
      </c>
      <c r="J907" s="65" t="str">
        <f>IF(COUNTA(A907:G907)=0,"",IF(E907&lt;&gt;"",E907,IF(B907="","",IFERROR(IF(INDEX(pr_price,MATCH(B907,pr_code,0))="","",INDEX(pr_price,MATCH(B907,pr_code,0))),""))))</f>
        <v/>
      </c>
      <c r="K907" s="71" t="str">
        <f>IF(COUNTA(A907:G907)=0,"",IF(G907&lt;&gt;"",G907,IF(B907="","",IFERROR(IF(INDEX(pr_rate,MATCH(B907,pr_code,0))="","",INDEX(pr_rate,MATCH(B907,pr_code,0))),""))))</f>
        <v/>
      </c>
      <c r="L907" s="65" t="str">
        <f>IF(COUNTA(A907:G907)=0,"",IF(AND(ISNUMBER(D907),ISNUMBER(J907)),ROUND(D907*J907*(1-N(F907)),2),0))</f>
        <v/>
      </c>
      <c r="M907" s="62" t="str">
        <f>IF(A907="","",IFERROR(INDEX(dv_cname,MATCH(A907,dv_num,0))&amp;"",""))</f>
        <v/>
      </c>
      <c r="N907" s="59" t="str">
        <f>IF(COUNTA(A907:G907)=0,"",IF(A907="","N° devis manquant",IF(ISNA(MATCH(A907,dv_num,0)),"Devis inconnu",IF(AND(B907&lt;&gt;"",ISNA(MATCH(B907,pr_code,0))),"Article inconnu",IF(H907="","Désignation manquante",IF(OR(NOT(ISNUMBER(D907)),N(D907)&lt;=0),"Quantité invalide",IF(J907="","Prix manquant",IF(OR(NOT(ISNUMBER(J907)),N(J907)&lt;0),"Prix invalide",IF(OR(AND(F907&lt;&gt;"",NOT(ISNUMBER(F907))),N(F907)&lt;0,N(F907)&gt;1),"Remise invalide",IF(K907="","Taux de TVA manquant",IF(NOT(ISNUMBER(K907)),"Taux de TVA invalide",IF(COUNTIF(p_rates,K907)=0,"Taux de TVA hors liste (Paramètres)",IF(N(O907)&gt;25,"Au-delà de 25 lignes : non imprimée","OK")))))))))))))</f>
        <v/>
      </c>
      <c r="O907" s="59" t="str">
        <f>IF(A907="","",COUNTIF($A$6:A907,A907))</f>
        <v/>
      </c>
      <c r="P907" s="62" t="str">
        <f>IF(A907="","",A907&amp;"|"&amp;O907)</f>
        <v/>
      </c>
    </row>
    <row r="908">
      <c r="A908" s="60" t="n"/>
      <c r="B908" s="63" t="n"/>
      <c r="C908" s="63" t="n"/>
      <c r="D908" s="67" t="n"/>
      <c r="E908" s="68" t="n"/>
      <c r="F908" s="69" t="n"/>
      <c r="G908" s="70" t="n"/>
      <c r="H908" s="62" t="str">
        <f>IF(COUNTA(A908:G908)=0,"",IF(C908&lt;&gt;"",C908,IF(B908="","",IFERROR(INDEX(pr_des,MATCH(B908,pr_code,0))&amp;"",""))))</f>
        <v/>
      </c>
      <c r="I908" s="59" t="str">
        <f>IF(B908="","",IFERROR(INDEX(pr_unit,MATCH(B908,pr_code,0))&amp;"",""))</f>
        <v/>
      </c>
      <c r="J908" s="65" t="str">
        <f>IF(COUNTA(A908:G908)=0,"",IF(E908&lt;&gt;"",E908,IF(B908="","",IFERROR(IF(INDEX(pr_price,MATCH(B908,pr_code,0))="","",INDEX(pr_price,MATCH(B908,pr_code,0))),""))))</f>
        <v/>
      </c>
      <c r="K908" s="71" t="str">
        <f>IF(COUNTA(A908:G908)=0,"",IF(G908&lt;&gt;"",G908,IF(B908="","",IFERROR(IF(INDEX(pr_rate,MATCH(B908,pr_code,0))="","",INDEX(pr_rate,MATCH(B908,pr_code,0))),""))))</f>
        <v/>
      </c>
      <c r="L908" s="65" t="str">
        <f>IF(COUNTA(A908:G908)=0,"",IF(AND(ISNUMBER(D908),ISNUMBER(J908)),ROUND(D908*J908*(1-N(F908)),2),0))</f>
        <v/>
      </c>
      <c r="M908" s="62" t="str">
        <f>IF(A908="","",IFERROR(INDEX(dv_cname,MATCH(A908,dv_num,0))&amp;"",""))</f>
        <v/>
      </c>
      <c r="N908" s="59" t="str">
        <f>IF(COUNTA(A908:G908)=0,"",IF(A908="","N° devis manquant",IF(ISNA(MATCH(A908,dv_num,0)),"Devis inconnu",IF(AND(B908&lt;&gt;"",ISNA(MATCH(B908,pr_code,0))),"Article inconnu",IF(H908="","Désignation manquante",IF(OR(NOT(ISNUMBER(D908)),N(D908)&lt;=0),"Quantité invalide",IF(J908="","Prix manquant",IF(OR(NOT(ISNUMBER(J908)),N(J908)&lt;0),"Prix invalide",IF(OR(AND(F908&lt;&gt;"",NOT(ISNUMBER(F908))),N(F908)&lt;0,N(F908)&gt;1),"Remise invalide",IF(K908="","Taux de TVA manquant",IF(NOT(ISNUMBER(K908)),"Taux de TVA invalide",IF(COUNTIF(p_rates,K908)=0,"Taux de TVA hors liste (Paramètres)",IF(N(O908)&gt;25,"Au-delà de 25 lignes : non imprimée","OK")))))))))))))</f>
        <v/>
      </c>
      <c r="O908" s="59" t="str">
        <f>IF(A908="","",COUNTIF($A$6:A908,A908))</f>
        <v/>
      </c>
      <c r="P908" s="62" t="str">
        <f>IF(A908="","",A908&amp;"|"&amp;O908)</f>
        <v/>
      </c>
    </row>
    <row r="909">
      <c r="A909" s="60" t="n"/>
      <c r="B909" s="63" t="n"/>
      <c r="C909" s="63" t="n"/>
      <c r="D909" s="67" t="n"/>
      <c r="E909" s="68" t="n"/>
      <c r="F909" s="69" t="n"/>
      <c r="G909" s="70" t="n"/>
      <c r="H909" s="62" t="str">
        <f>IF(COUNTA(A909:G909)=0,"",IF(C909&lt;&gt;"",C909,IF(B909="","",IFERROR(INDEX(pr_des,MATCH(B909,pr_code,0))&amp;"",""))))</f>
        <v/>
      </c>
      <c r="I909" s="59" t="str">
        <f>IF(B909="","",IFERROR(INDEX(pr_unit,MATCH(B909,pr_code,0))&amp;"",""))</f>
        <v/>
      </c>
      <c r="J909" s="65" t="str">
        <f>IF(COUNTA(A909:G909)=0,"",IF(E909&lt;&gt;"",E909,IF(B909="","",IFERROR(IF(INDEX(pr_price,MATCH(B909,pr_code,0))="","",INDEX(pr_price,MATCH(B909,pr_code,0))),""))))</f>
        <v/>
      </c>
      <c r="K909" s="71" t="str">
        <f>IF(COUNTA(A909:G909)=0,"",IF(G909&lt;&gt;"",G909,IF(B909="","",IFERROR(IF(INDEX(pr_rate,MATCH(B909,pr_code,0))="","",INDEX(pr_rate,MATCH(B909,pr_code,0))),""))))</f>
        <v/>
      </c>
      <c r="L909" s="65" t="str">
        <f>IF(COUNTA(A909:G909)=0,"",IF(AND(ISNUMBER(D909),ISNUMBER(J909)),ROUND(D909*J909*(1-N(F909)),2),0))</f>
        <v/>
      </c>
      <c r="M909" s="62" t="str">
        <f>IF(A909="","",IFERROR(INDEX(dv_cname,MATCH(A909,dv_num,0))&amp;"",""))</f>
        <v/>
      </c>
      <c r="N909" s="59" t="str">
        <f>IF(COUNTA(A909:G909)=0,"",IF(A909="","N° devis manquant",IF(ISNA(MATCH(A909,dv_num,0)),"Devis inconnu",IF(AND(B909&lt;&gt;"",ISNA(MATCH(B909,pr_code,0))),"Article inconnu",IF(H909="","Désignation manquante",IF(OR(NOT(ISNUMBER(D909)),N(D909)&lt;=0),"Quantité invalide",IF(J909="","Prix manquant",IF(OR(NOT(ISNUMBER(J909)),N(J909)&lt;0),"Prix invalide",IF(OR(AND(F909&lt;&gt;"",NOT(ISNUMBER(F909))),N(F909)&lt;0,N(F909)&gt;1),"Remise invalide",IF(K909="","Taux de TVA manquant",IF(NOT(ISNUMBER(K909)),"Taux de TVA invalide",IF(COUNTIF(p_rates,K909)=0,"Taux de TVA hors liste (Paramètres)",IF(N(O909)&gt;25,"Au-delà de 25 lignes : non imprimée","OK")))))))))))))</f>
        <v/>
      </c>
      <c r="O909" s="59" t="str">
        <f>IF(A909="","",COUNTIF($A$6:A909,A909))</f>
        <v/>
      </c>
      <c r="P909" s="62" t="str">
        <f>IF(A909="","",A909&amp;"|"&amp;O909)</f>
        <v/>
      </c>
    </row>
    <row r="910">
      <c r="A910" s="60" t="n"/>
      <c r="B910" s="63" t="n"/>
      <c r="C910" s="63" t="n"/>
      <c r="D910" s="67" t="n"/>
      <c r="E910" s="68" t="n"/>
      <c r="F910" s="69" t="n"/>
      <c r="G910" s="70" t="n"/>
      <c r="H910" s="62" t="str">
        <f>IF(COUNTA(A910:G910)=0,"",IF(C910&lt;&gt;"",C910,IF(B910="","",IFERROR(INDEX(pr_des,MATCH(B910,pr_code,0))&amp;"",""))))</f>
        <v/>
      </c>
      <c r="I910" s="59" t="str">
        <f>IF(B910="","",IFERROR(INDEX(pr_unit,MATCH(B910,pr_code,0))&amp;"",""))</f>
        <v/>
      </c>
      <c r="J910" s="65" t="str">
        <f>IF(COUNTA(A910:G910)=0,"",IF(E910&lt;&gt;"",E910,IF(B910="","",IFERROR(IF(INDEX(pr_price,MATCH(B910,pr_code,0))="","",INDEX(pr_price,MATCH(B910,pr_code,0))),""))))</f>
        <v/>
      </c>
      <c r="K910" s="71" t="str">
        <f>IF(COUNTA(A910:G910)=0,"",IF(G910&lt;&gt;"",G910,IF(B910="","",IFERROR(IF(INDEX(pr_rate,MATCH(B910,pr_code,0))="","",INDEX(pr_rate,MATCH(B910,pr_code,0))),""))))</f>
        <v/>
      </c>
      <c r="L910" s="65" t="str">
        <f>IF(COUNTA(A910:G910)=0,"",IF(AND(ISNUMBER(D910),ISNUMBER(J910)),ROUND(D910*J910*(1-N(F910)),2),0))</f>
        <v/>
      </c>
      <c r="M910" s="62" t="str">
        <f>IF(A910="","",IFERROR(INDEX(dv_cname,MATCH(A910,dv_num,0))&amp;"",""))</f>
        <v/>
      </c>
      <c r="N910" s="59" t="str">
        <f>IF(COUNTA(A910:G910)=0,"",IF(A910="","N° devis manquant",IF(ISNA(MATCH(A910,dv_num,0)),"Devis inconnu",IF(AND(B910&lt;&gt;"",ISNA(MATCH(B910,pr_code,0))),"Article inconnu",IF(H910="","Désignation manquante",IF(OR(NOT(ISNUMBER(D910)),N(D910)&lt;=0),"Quantité invalide",IF(J910="","Prix manquant",IF(OR(NOT(ISNUMBER(J910)),N(J910)&lt;0),"Prix invalide",IF(OR(AND(F910&lt;&gt;"",NOT(ISNUMBER(F910))),N(F910)&lt;0,N(F910)&gt;1),"Remise invalide",IF(K910="","Taux de TVA manquant",IF(NOT(ISNUMBER(K910)),"Taux de TVA invalide",IF(COUNTIF(p_rates,K910)=0,"Taux de TVA hors liste (Paramètres)",IF(N(O910)&gt;25,"Au-delà de 25 lignes : non imprimée","OK")))))))))))))</f>
        <v/>
      </c>
      <c r="O910" s="59" t="str">
        <f>IF(A910="","",COUNTIF($A$6:A910,A910))</f>
        <v/>
      </c>
      <c r="P910" s="62" t="str">
        <f>IF(A910="","",A910&amp;"|"&amp;O910)</f>
        <v/>
      </c>
    </row>
    <row r="911">
      <c r="A911" s="60" t="n"/>
      <c r="B911" s="63" t="n"/>
      <c r="C911" s="63" t="n"/>
      <c r="D911" s="67" t="n"/>
      <c r="E911" s="68" t="n"/>
      <c r="F911" s="69" t="n"/>
      <c r="G911" s="70" t="n"/>
      <c r="H911" s="62" t="str">
        <f>IF(COUNTA(A911:G911)=0,"",IF(C911&lt;&gt;"",C911,IF(B911="","",IFERROR(INDEX(pr_des,MATCH(B911,pr_code,0))&amp;"",""))))</f>
        <v/>
      </c>
      <c r="I911" s="59" t="str">
        <f>IF(B911="","",IFERROR(INDEX(pr_unit,MATCH(B911,pr_code,0))&amp;"",""))</f>
        <v/>
      </c>
      <c r="J911" s="65" t="str">
        <f>IF(COUNTA(A911:G911)=0,"",IF(E911&lt;&gt;"",E911,IF(B911="","",IFERROR(IF(INDEX(pr_price,MATCH(B911,pr_code,0))="","",INDEX(pr_price,MATCH(B911,pr_code,0))),""))))</f>
        <v/>
      </c>
      <c r="K911" s="71" t="str">
        <f>IF(COUNTA(A911:G911)=0,"",IF(G911&lt;&gt;"",G911,IF(B911="","",IFERROR(IF(INDEX(pr_rate,MATCH(B911,pr_code,0))="","",INDEX(pr_rate,MATCH(B911,pr_code,0))),""))))</f>
        <v/>
      </c>
      <c r="L911" s="65" t="str">
        <f>IF(COUNTA(A911:G911)=0,"",IF(AND(ISNUMBER(D911),ISNUMBER(J911)),ROUND(D911*J911*(1-N(F911)),2),0))</f>
        <v/>
      </c>
      <c r="M911" s="62" t="str">
        <f>IF(A911="","",IFERROR(INDEX(dv_cname,MATCH(A911,dv_num,0))&amp;"",""))</f>
        <v/>
      </c>
      <c r="N911" s="59" t="str">
        <f>IF(COUNTA(A911:G911)=0,"",IF(A911="","N° devis manquant",IF(ISNA(MATCH(A911,dv_num,0)),"Devis inconnu",IF(AND(B911&lt;&gt;"",ISNA(MATCH(B911,pr_code,0))),"Article inconnu",IF(H911="","Désignation manquante",IF(OR(NOT(ISNUMBER(D911)),N(D911)&lt;=0),"Quantité invalide",IF(J911="","Prix manquant",IF(OR(NOT(ISNUMBER(J911)),N(J911)&lt;0),"Prix invalide",IF(OR(AND(F911&lt;&gt;"",NOT(ISNUMBER(F911))),N(F911)&lt;0,N(F911)&gt;1),"Remise invalide",IF(K911="","Taux de TVA manquant",IF(NOT(ISNUMBER(K911)),"Taux de TVA invalide",IF(COUNTIF(p_rates,K911)=0,"Taux de TVA hors liste (Paramètres)",IF(N(O911)&gt;25,"Au-delà de 25 lignes : non imprimée","OK")))))))))))))</f>
        <v/>
      </c>
      <c r="O911" s="59" t="str">
        <f>IF(A911="","",COUNTIF($A$6:A911,A911))</f>
        <v/>
      </c>
      <c r="P911" s="62" t="str">
        <f>IF(A911="","",A911&amp;"|"&amp;O911)</f>
        <v/>
      </c>
    </row>
    <row r="912">
      <c r="A912" s="60" t="n"/>
      <c r="B912" s="63" t="n"/>
      <c r="C912" s="63" t="n"/>
      <c r="D912" s="67" t="n"/>
      <c r="E912" s="68" t="n"/>
      <c r="F912" s="69" t="n"/>
      <c r="G912" s="70" t="n"/>
      <c r="H912" s="62" t="str">
        <f>IF(COUNTA(A912:G912)=0,"",IF(C912&lt;&gt;"",C912,IF(B912="","",IFERROR(INDEX(pr_des,MATCH(B912,pr_code,0))&amp;"",""))))</f>
        <v/>
      </c>
      <c r="I912" s="59" t="str">
        <f>IF(B912="","",IFERROR(INDEX(pr_unit,MATCH(B912,pr_code,0))&amp;"",""))</f>
        <v/>
      </c>
      <c r="J912" s="65" t="str">
        <f>IF(COUNTA(A912:G912)=0,"",IF(E912&lt;&gt;"",E912,IF(B912="","",IFERROR(IF(INDEX(pr_price,MATCH(B912,pr_code,0))="","",INDEX(pr_price,MATCH(B912,pr_code,0))),""))))</f>
        <v/>
      </c>
      <c r="K912" s="71" t="str">
        <f>IF(COUNTA(A912:G912)=0,"",IF(G912&lt;&gt;"",G912,IF(B912="","",IFERROR(IF(INDEX(pr_rate,MATCH(B912,pr_code,0))="","",INDEX(pr_rate,MATCH(B912,pr_code,0))),""))))</f>
        <v/>
      </c>
      <c r="L912" s="65" t="str">
        <f>IF(COUNTA(A912:G912)=0,"",IF(AND(ISNUMBER(D912),ISNUMBER(J912)),ROUND(D912*J912*(1-N(F912)),2),0))</f>
        <v/>
      </c>
      <c r="M912" s="62" t="str">
        <f>IF(A912="","",IFERROR(INDEX(dv_cname,MATCH(A912,dv_num,0))&amp;"",""))</f>
        <v/>
      </c>
      <c r="N912" s="59" t="str">
        <f>IF(COUNTA(A912:G912)=0,"",IF(A912="","N° devis manquant",IF(ISNA(MATCH(A912,dv_num,0)),"Devis inconnu",IF(AND(B912&lt;&gt;"",ISNA(MATCH(B912,pr_code,0))),"Article inconnu",IF(H912="","Désignation manquante",IF(OR(NOT(ISNUMBER(D912)),N(D912)&lt;=0),"Quantité invalide",IF(J912="","Prix manquant",IF(OR(NOT(ISNUMBER(J912)),N(J912)&lt;0),"Prix invalide",IF(OR(AND(F912&lt;&gt;"",NOT(ISNUMBER(F912))),N(F912)&lt;0,N(F912)&gt;1),"Remise invalide",IF(K912="","Taux de TVA manquant",IF(NOT(ISNUMBER(K912)),"Taux de TVA invalide",IF(COUNTIF(p_rates,K912)=0,"Taux de TVA hors liste (Paramètres)",IF(N(O912)&gt;25,"Au-delà de 25 lignes : non imprimée","OK")))))))))))))</f>
        <v/>
      </c>
      <c r="O912" s="59" t="str">
        <f>IF(A912="","",COUNTIF($A$6:A912,A912))</f>
        <v/>
      </c>
      <c r="P912" s="62" t="str">
        <f>IF(A912="","",A912&amp;"|"&amp;O912)</f>
        <v/>
      </c>
    </row>
    <row r="913">
      <c r="A913" s="60" t="n"/>
      <c r="B913" s="63" t="n"/>
      <c r="C913" s="63" t="n"/>
      <c r="D913" s="67" t="n"/>
      <c r="E913" s="68" t="n"/>
      <c r="F913" s="69" t="n"/>
      <c r="G913" s="70" t="n"/>
      <c r="H913" s="62" t="str">
        <f>IF(COUNTA(A913:G913)=0,"",IF(C913&lt;&gt;"",C913,IF(B913="","",IFERROR(INDEX(pr_des,MATCH(B913,pr_code,0))&amp;"",""))))</f>
        <v/>
      </c>
      <c r="I913" s="59" t="str">
        <f>IF(B913="","",IFERROR(INDEX(pr_unit,MATCH(B913,pr_code,0))&amp;"",""))</f>
        <v/>
      </c>
      <c r="J913" s="65" t="str">
        <f>IF(COUNTA(A913:G913)=0,"",IF(E913&lt;&gt;"",E913,IF(B913="","",IFERROR(IF(INDEX(pr_price,MATCH(B913,pr_code,0))="","",INDEX(pr_price,MATCH(B913,pr_code,0))),""))))</f>
        <v/>
      </c>
      <c r="K913" s="71" t="str">
        <f>IF(COUNTA(A913:G913)=0,"",IF(G913&lt;&gt;"",G913,IF(B913="","",IFERROR(IF(INDEX(pr_rate,MATCH(B913,pr_code,0))="","",INDEX(pr_rate,MATCH(B913,pr_code,0))),""))))</f>
        <v/>
      </c>
      <c r="L913" s="65" t="str">
        <f>IF(COUNTA(A913:G913)=0,"",IF(AND(ISNUMBER(D913),ISNUMBER(J913)),ROUND(D913*J913*(1-N(F913)),2),0))</f>
        <v/>
      </c>
      <c r="M913" s="62" t="str">
        <f>IF(A913="","",IFERROR(INDEX(dv_cname,MATCH(A913,dv_num,0))&amp;"",""))</f>
        <v/>
      </c>
      <c r="N913" s="59" t="str">
        <f>IF(COUNTA(A913:G913)=0,"",IF(A913="","N° devis manquant",IF(ISNA(MATCH(A913,dv_num,0)),"Devis inconnu",IF(AND(B913&lt;&gt;"",ISNA(MATCH(B913,pr_code,0))),"Article inconnu",IF(H913="","Désignation manquante",IF(OR(NOT(ISNUMBER(D913)),N(D913)&lt;=0),"Quantité invalide",IF(J913="","Prix manquant",IF(OR(NOT(ISNUMBER(J913)),N(J913)&lt;0),"Prix invalide",IF(OR(AND(F913&lt;&gt;"",NOT(ISNUMBER(F913))),N(F913)&lt;0,N(F913)&gt;1),"Remise invalide",IF(K913="","Taux de TVA manquant",IF(NOT(ISNUMBER(K913)),"Taux de TVA invalide",IF(COUNTIF(p_rates,K913)=0,"Taux de TVA hors liste (Paramètres)",IF(N(O913)&gt;25,"Au-delà de 25 lignes : non imprimée","OK")))))))))))))</f>
        <v/>
      </c>
      <c r="O913" s="59" t="str">
        <f>IF(A913="","",COUNTIF($A$6:A913,A913))</f>
        <v/>
      </c>
      <c r="P913" s="62" t="str">
        <f>IF(A913="","",A913&amp;"|"&amp;O913)</f>
        <v/>
      </c>
    </row>
    <row r="914">
      <c r="A914" s="60" t="n"/>
      <c r="B914" s="63" t="n"/>
      <c r="C914" s="63" t="n"/>
      <c r="D914" s="67" t="n"/>
      <c r="E914" s="68" t="n"/>
      <c r="F914" s="69" t="n"/>
      <c r="G914" s="70" t="n"/>
      <c r="H914" s="62" t="str">
        <f>IF(COUNTA(A914:G914)=0,"",IF(C914&lt;&gt;"",C914,IF(B914="","",IFERROR(INDEX(pr_des,MATCH(B914,pr_code,0))&amp;"",""))))</f>
        <v/>
      </c>
      <c r="I914" s="59" t="str">
        <f>IF(B914="","",IFERROR(INDEX(pr_unit,MATCH(B914,pr_code,0))&amp;"",""))</f>
        <v/>
      </c>
      <c r="J914" s="65" t="str">
        <f>IF(COUNTA(A914:G914)=0,"",IF(E914&lt;&gt;"",E914,IF(B914="","",IFERROR(IF(INDEX(pr_price,MATCH(B914,pr_code,0))="","",INDEX(pr_price,MATCH(B914,pr_code,0))),""))))</f>
        <v/>
      </c>
      <c r="K914" s="71" t="str">
        <f>IF(COUNTA(A914:G914)=0,"",IF(G914&lt;&gt;"",G914,IF(B914="","",IFERROR(IF(INDEX(pr_rate,MATCH(B914,pr_code,0))="","",INDEX(pr_rate,MATCH(B914,pr_code,0))),""))))</f>
        <v/>
      </c>
      <c r="L914" s="65" t="str">
        <f>IF(COUNTA(A914:G914)=0,"",IF(AND(ISNUMBER(D914),ISNUMBER(J914)),ROUND(D914*J914*(1-N(F914)),2),0))</f>
        <v/>
      </c>
      <c r="M914" s="62" t="str">
        <f>IF(A914="","",IFERROR(INDEX(dv_cname,MATCH(A914,dv_num,0))&amp;"",""))</f>
        <v/>
      </c>
      <c r="N914" s="59" t="str">
        <f>IF(COUNTA(A914:G914)=0,"",IF(A914="","N° devis manquant",IF(ISNA(MATCH(A914,dv_num,0)),"Devis inconnu",IF(AND(B914&lt;&gt;"",ISNA(MATCH(B914,pr_code,0))),"Article inconnu",IF(H914="","Désignation manquante",IF(OR(NOT(ISNUMBER(D914)),N(D914)&lt;=0),"Quantité invalide",IF(J914="","Prix manquant",IF(OR(NOT(ISNUMBER(J914)),N(J914)&lt;0),"Prix invalide",IF(OR(AND(F914&lt;&gt;"",NOT(ISNUMBER(F914))),N(F914)&lt;0,N(F914)&gt;1),"Remise invalide",IF(K914="","Taux de TVA manquant",IF(NOT(ISNUMBER(K914)),"Taux de TVA invalide",IF(COUNTIF(p_rates,K914)=0,"Taux de TVA hors liste (Paramètres)",IF(N(O914)&gt;25,"Au-delà de 25 lignes : non imprimée","OK")))))))))))))</f>
        <v/>
      </c>
      <c r="O914" s="59" t="str">
        <f>IF(A914="","",COUNTIF($A$6:A914,A914))</f>
        <v/>
      </c>
      <c r="P914" s="62" t="str">
        <f>IF(A914="","",A914&amp;"|"&amp;O914)</f>
        <v/>
      </c>
    </row>
    <row r="915">
      <c r="A915" s="60" t="n"/>
      <c r="B915" s="63" t="n"/>
      <c r="C915" s="63" t="n"/>
      <c r="D915" s="67" t="n"/>
      <c r="E915" s="68" t="n"/>
      <c r="F915" s="69" t="n"/>
      <c r="G915" s="70" t="n"/>
      <c r="H915" s="62" t="str">
        <f>IF(COUNTA(A915:G915)=0,"",IF(C915&lt;&gt;"",C915,IF(B915="","",IFERROR(INDEX(pr_des,MATCH(B915,pr_code,0))&amp;"",""))))</f>
        <v/>
      </c>
      <c r="I915" s="59" t="str">
        <f>IF(B915="","",IFERROR(INDEX(pr_unit,MATCH(B915,pr_code,0))&amp;"",""))</f>
        <v/>
      </c>
      <c r="J915" s="65" t="str">
        <f>IF(COUNTA(A915:G915)=0,"",IF(E915&lt;&gt;"",E915,IF(B915="","",IFERROR(IF(INDEX(pr_price,MATCH(B915,pr_code,0))="","",INDEX(pr_price,MATCH(B915,pr_code,0))),""))))</f>
        <v/>
      </c>
      <c r="K915" s="71" t="str">
        <f>IF(COUNTA(A915:G915)=0,"",IF(G915&lt;&gt;"",G915,IF(B915="","",IFERROR(IF(INDEX(pr_rate,MATCH(B915,pr_code,0))="","",INDEX(pr_rate,MATCH(B915,pr_code,0))),""))))</f>
        <v/>
      </c>
      <c r="L915" s="65" t="str">
        <f>IF(COUNTA(A915:G915)=0,"",IF(AND(ISNUMBER(D915),ISNUMBER(J915)),ROUND(D915*J915*(1-N(F915)),2),0))</f>
        <v/>
      </c>
      <c r="M915" s="62" t="str">
        <f>IF(A915="","",IFERROR(INDEX(dv_cname,MATCH(A915,dv_num,0))&amp;"",""))</f>
        <v/>
      </c>
      <c r="N915" s="59" t="str">
        <f>IF(COUNTA(A915:G915)=0,"",IF(A915="","N° devis manquant",IF(ISNA(MATCH(A915,dv_num,0)),"Devis inconnu",IF(AND(B915&lt;&gt;"",ISNA(MATCH(B915,pr_code,0))),"Article inconnu",IF(H915="","Désignation manquante",IF(OR(NOT(ISNUMBER(D915)),N(D915)&lt;=0),"Quantité invalide",IF(J915="","Prix manquant",IF(OR(NOT(ISNUMBER(J915)),N(J915)&lt;0),"Prix invalide",IF(OR(AND(F915&lt;&gt;"",NOT(ISNUMBER(F915))),N(F915)&lt;0,N(F915)&gt;1),"Remise invalide",IF(K915="","Taux de TVA manquant",IF(NOT(ISNUMBER(K915)),"Taux de TVA invalide",IF(COUNTIF(p_rates,K915)=0,"Taux de TVA hors liste (Paramètres)",IF(N(O915)&gt;25,"Au-delà de 25 lignes : non imprimée","OK")))))))))))))</f>
        <v/>
      </c>
      <c r="O915" s="59" t="str">
        <f>IF(A915="","",COUNTIF($A$6:A915,A915))</f>
        <v/>
      </c>
      <c r="P915" s="62" t="str">
        <f>IF(A915="","",A915&amp;"|"&amp;O915)</f>
        <v/>
      </c>
    </row>
    <row r="916">
      <c r="A916" s="60" t="n"/>
      <c r="B916" s="63" t="n"/>
      <c r="C916" s="63" t="n"/>
      <c r="D916" s="67" t="n"/>
      <c r="E916" s="68" t="n"/>
      <c r="F916" s="69" t="n"/>
      <c r="G916" s="70" t="n"/>
      <c r="H916" s="62" t="str">
        <f>IF(COUNTA(A916:G916)=0,"",IF(C916&lt;&gt;"",C916,IF(B916="","",IFERROR(INDEX(pr_des,MATCH(B916,pr_code,0))&amp;"",""))))</f>
        <v/>
      </c>
      <c r="I916" s="59" t="str">
        <f>IF(B916="","",IFERROR(INDEX(pr_unit,MATCH(B916,pr_code,0))&amp;"",""))</f>
        <v/>
      </c>
      <c r="J916" s="65" t="str">
        <f>IF(COUNTA(A916:G916)=0,"",IF(E916&lt;&gt;"",E916,IF(B916="","",IFERROR(IF(INDEX(pr_price,MATCH(B916,pr_code,0))="","",INDEX(pr_price,MATCH(B916,pr_code,0))),""))))</f>
        <v/>
      </c>
      <c r="K916" s="71" t="str">
        <f>IF(COUNTA(A916:G916)=0,"",IF(G916&lt;&gt;"",G916,IF(B916="","",IFERROR(IF(INDEX(pr_rate,MATCH(B916,pr_code,0))="","",INDEX(pr_rate,MATCH(B916,pr_code,0))),""))))</f>
        <v/>
      </c>
      <c r="L916" s="65" t="str">
        <f>IF(COUNTA(A916:G916)=0,"",IF(AND(ISNUMBER(D916),ISNUMBER(J916)),ROUND(D916*J916*(1-N(F916)),2),0))</f>
        <v/>
      </c>
      <c r="M916" s="62" t="str">
        <f>IF(A916="","",IFERROR(INDEX(dv_cname,MATCH(A916,dv_num,0))&amp;"",""))</f>
        <v/>
      </c>
      <c r="N916" s="59" t="str">
        <f>IF(COUNTA(A916:G916)=0,"",IF(A916="","N° devis manquant",IF(ISNA(MATCH(A916,dv_num,0)),"Devis inconnu",IF(AND(B916&lt;&gt;"",ISNA(MATCH(B916,pr_code,0))),"Article inconnu",IF(H916="","Désignation manquante",IF(OR(NOT(ISNUMBER(D916)),N(D916)&lt;=0),"Quantité invalide",IF(J916="","Prix manquant",IF(OR(NOT(ISNUMBER(J916)),N(J916)&lt;0),"Prix invalide",IF(OR(AND(F916&lt;&gt;"",NOT(ISNUMBER(F916))),N(F916)&lt;0,N(F916)&gt;1),"Remise invalide",IF(K916="","Taux de TVA manquant",IF(NOT(ISNUMBER(K916)),"Taux de TVA invalide",IF(COUNTIF(p_rates,K916)=0,"Taux de TVA hors liste (Paramètres)",IF(N(O916)&gt;25,"Au-delà de 25 lignes : non imprimée","OK")))))))))))))</f>
        <v/>
      </c>
      <c r="O916" s="59" t="str">
        <f>IF(A916="","",COUNTIF($A$6:A916,A916))</f>
        <v/>
      </c>
      <c r="P916" s="62" t="str">
        <f>IF(A916="","",A916&amp;"|"&amp;O916)</f>
        <v/>
      </c>
    </row>
    <row r="917">
      <c r="A917" s="60" t="n"/>
      <c r="B917" s="63" t="n"/>
      <c r="C917" s="63" t="n"/>
      <c r="D917" s="67" t="n"/>
      <c r="E917" s="68" t="n"/>
      <c r="F917" s="69" t="n"/>
      <c r="G917" s="70" t="n"/>
      <c r="H917" s="62" t="str">
        <f>IF(COUNTA(A917:G917)=0,"",IF(C917&lt;&gt;"",C917,IF(B917="","",IFERROR(INDEX(pr_des,MATCH(B917,pr_code,0))&amp;"",""))))</f>
        <v/>
      </c>
      <c r="I917" s="59" t="str">
        <f>IF(B917="","",IFERROR(INDEX(pr_unit,MATCH(B917,pr_code,0))&amp;"",""))</f>
        <v/>
      </c>
      <c r="J917" s="65" t="str">
        <f>IF(COUNTA(A917:G917)=0,"",IF(E917&lt;&gt;"",E917,IF(B917="","",IFERROR(IF(INDEX(pr_price,MATCH(B917,pr_code,0))="","",INDEX(pr_price,MATCH(B917,pr_code,0))),""))))</f>
        <v/>
      </c>
      <c r="K917" s="71" t="str">
        <f>IF(COUNTA(A917:G917)=0,"",IF(G917&lt;&gt;"",G917,IF(B917="","",IFERROR(IF(INDEX(pr_rate,MATCH(B917,pr_code,0))="","",INDEX(pr_rate,MATCH(B917,pr_code,0))),""))))</f>
        <v/>
      </c>
      <c r="L917" s="65" t="str">
        <f>IF(COUNTA(A917:G917)=0,"",IF(AND(ISNUMBER(D917),ISNUMBER(J917)),ROUND(D917*J917*(1-N(F917)),2),0))</f>
        <v/>
      </c>
      <c r="M917" s="62" t="str">
        <f>IF(A917="","",IFERROR(INDEX(dv_cname,MATCH(A917,dv_num,0))&amp;"",""))</f>
        <v/>
      </c>
      <c r="N917" s="59" t="str">
        <f>IF(COUNTA(A917:G917)=0,"",IF(A917="","N° devis manquant",IF(ISNA(MATCH(A917,dv_num,0)),"Devis inconnu",IF(AND(B917&lt;&gt;"",ISNA(MATCH(B917,pr_code,0))),"Article inconnu",IF(H917="","Désignation manquante",IF(OR(NOT(ISNUMBER(D917)),N(D917)&lt;=0),"Quantité invalide",IF(J917="","Prix manquant",IF(OR(NOT(ISNUMBER(J917)),N(J917)&lt;0),"Prix invalide",IF(OR(AND(F917&lt;&gt;"",NOT(ISNUMBER(F917))),N(F917)&lt;0,N(F917)&gt;1),"Remise invalide",IF(K917="","Taux de TVA manquant",IF(NOT(ISNUMBER(K917)),"Taux de TVA invalide",IF(COUNTIF(p_rates,K917)=0,"Taux de TVA hors liste (Paramètres)",IF(N(O917)&gt;25,"Au-delà de 25 lignes : non imprimée","OK")))))))))))))</f>
        <v/>
      </c>
      <c r="O917" s="59" t="str">
        <f>IF(A917="","",COUNTIF($A$6:A917,A917))</f>
        <v/>
      </c>
      <c r="P917" s="62" t="str">
        <f>IF(A917="","",A917&amp;"|"&amp;O917)</f>
        <v/>
      </c>
    </row>
    <row r="918">
      <c r="A918" s="60" t="n"/>
      <c r="B918" s="63" t="n"/>
      <c r="C918" s="63" t="n"/>
      <c r="D918" s="67" t="n"/>
      <c r="E918" s="68" t="n"/>
      <c r="F918" s="69" t="n"/>
      <c r="G918" s="70" t="n"/>
      <c r="H918" s="62" t="str">
        <f>IF(COUNTA(A918:G918)=0,"",IF(C918&lt;&gt;"",C918,IF(B918="","",IFERROR(INDEX(pr_des,MATCH(B918,pr_code,0))&amp;"",""))))</f>
        <v/>
      </c>
      <c r="I918" s="59" t="str">
        <f>IF(B918="","",IFERROR(INDEX(pr_unit,MATCH(B918,pr_code,0))&amp;"",""))</f>
        <v/>
      </c>
      <c r="J918" s="65" t="str">
        <f>IF(COUNTA(A918:G918)=0,"",IF(E918&lt;&gt;"",E918,IF(B918="","",IFERROR(IF(INDEX(pr_price,MATCH(B918,pr_code,0))="","",INDEX(pr_price,MATCH(B918,pr_code,0))),""))))</f>
        <v/>
      </c>
      <c r="K918" s="71" t="str">
        <f>IF(COUNTA(A918:G918)=0,"",IF(G918&lt;&gt;"",G918,IF(B918="","",IFERROR(IF(INDEX(pr_rate,MATCH(B918,pr_code,0))="","",INDEX(pr_rate,MATCH(B918,pr_code,0))),""))))</f>
        <v/>
      </c>
      <c r="L918" s="65" t="str">
        <f>IF(COUNTA(A918:G918)=0,"",IF(AND(ISNUMBER(D918),ISNUMBER(J918)),ROUND(D918*J918*(1-N(F918)),2),0))</f>
        <v/>
      </c>
      <c r="M918" s="62" t="str">
        <f>IF(A918="","",IFERROR(INDEX(dv_cname,MATCH(A918,dv_num,0))&amp;"",""))</f>
        <v/>
      </c>
      <c r="N918" s="59" t="str">
        <f>IF(COUNTA(A918:G918)=0,"",IF(A918="","N° devis manquant",IF(ISNA(MATCH(A918,dv_num,0)),"Devis inconnu",IF(AND(B918&lt;&gt;"",ISNA(MATCH(B918,pr_code,0))),"Article inconnu",IF(H918="","Désignation manquante",IF(OR(NOT(ISNUMBER(D918)),N(D918)&lt;=0),"Quantité invalide",IF(J918="","Prix manquant",IF(OR(NOT(ISNUMBER(J918)),N(J918)&lt;0),"Prix invalide",IF(OR(AND(F918&lt;&gt;"",NOT(ISNUMBER(F918))),N(F918)&lt;0,N(F918)&gt;1),"Remise invalide",IF(K918="","Taux de TVA manquant",IF(NOT(ISNUMBER(K918)),"Taux de TVA invalide",IF(COUNTIF(p_rates,K918)=0,"Taux de TVA hors liste (Paramètres)",IF(N(O918)&gt;25,"Au-delà de 25 lignes : non imprimée","OK")))))))))))))</f>
        <v/>
      </c>
      <c r="O918" s="59" t="str">
        <f>IF(A918="","",COUNTIF($A$6:A918,A918))</f>
        <v/>
      </c>
      <c r="P918" s="62" t="str">
        <f>IF(A918="","",A918&amp;"|"&amp;O918)</f>
        <v/>
      </c>
    </row>
    <row r="919">
      <c r="A919" s="60" t="n"/>
      <c r="B919" s="63" t="n"/>
      <c r="C919" s="63" t="n"/>
      <c r="D919" s="67" t="n"/>
      <c r="E919" s="68" t="n"/>
      <c r="F919" s="69" t="n"/>
      <c r="G919" s="70" t="n"/>
      <c r="H919" s="62" t="str">
        <f>IF(COUNTA(A919:G919)=0,"",IF(C919&lt;&gt;"",C919,IF(B919="","",IFERROR(INDEX(pr_des,MATCH(B919,pr_code,0))&amp;"",""))))</f>
        <v/>
      </c>
      <c r="I919" s="59" t="str">
        <f>IF(B919="","",IFERROR(INDEX(pr_unit,MATCH(B919,pr_code,0))&amp;"",""))</f>
        <v/>
      </c>
      <c r="J919" s="65" t="str">
        <f>IF(COUNTA(A919:G919)=0,"",IF(E919&lt;&gt;"",E919,IF(B919="","",IFERROR(IF(INDEX(pr_price,MATCH(B919,pr_code,0))="","",INDEX(pr_price,MATCH(B919,pr_code,0))),""))))</f>
        <v/>
      </c>
      <c r="K919" s="71" t="str">
        <f>IF(COUNTA(A919:G919)=0,"",IF(G919&lt;&gt;"",G919,IF(B919="","",IFERROR(IF(INDEX(pr_rate,MATCH(B919,pr_code,0))="","",INDEX(pr_rate,MATCH(B919,pr_code,0))),""))))</f>
        <v/>
      </c>
      <c r="L919" s="65" t="str">
        <f>IF(COUNTA(A919:G919)=0,"",IF(AND(ISNUMBER(D919),ISNUMBER(J919)),ROUND(D919*J919*(1-N(F919)),2),0))</f>
        <v/>
      </c>
      <c r="M919" s="62" t="str">
        <f>IF(A919="","",IFERROR(INDEX(dv_cname,MATCH(A919,dv_num,0))&amp;"",""))</f>
        <v/>
      </c>
      <c r="N919" s="59" t="str">
        <f>IF(COUNTA(A919:G919)=0,"",IF(A919="","N° devis manquant",IF(ISNA(MATCH(A919,dv_num,0)),"Devis inconnu",IF(AND(B919&lt;&gt;"",ISNA(MATCH(B919,pr_code,0))),"Article inconnu",IF(H919="","Désignation manquante",IF(OR(NOT(ISNUMBER(D919)),N(D919)&lt;=0),"Quantité invalide",IF(J919="","Prix manquant",IF(OR(NOT(ISNUMBER(J919)),N(J919)&lt;0),"Prix invalide",IF(OR(AND(F919&lt;&gt;"",NOT(ISNUMBER(F919))),N(F919)&lt;0,N(F919)&gt;1),"Remise invalide",IF(K919="","Taux de TVA manquant",IF(NOT(ISNUMBER(K919)),"Taux de TVA invalide",IF(COUNTIF(p_rates,K919)=0,"Taux de TVA hors liste (Paramètres)",IF(N(O919)&gt;25,"Au-delà de 25 lignes : non imprimée","OK")))))))))))))</f>
        <v/>
      </c>
      <c r="O919" s="59" t="str">
        <f>IF(A919="","",COUNTIF($A$6:A919,A919))</f>
        <v/>
      </c>
      <c r="P919" s="62" t="str">
        <f>IF(A919="","",A919&amp;"|"&amp;O919)</f>
        <v/>
      </c>
    </row>
    <row r="920">
      <c r="A920" s="60" t="n"/>
      <c r="B920" s="63" t="n"/>
      <c r="C920" s="63" t="n"/>
      <c r="D920" s="67" t="n"/>
      <c r="E920" s="68" t="n"/>
      <c r="F920" s="69" t="n"/>
      <c r="G920" s="70" t="n"/>
      <c r="H920" s="62" t="str">
        <f>IF(COUNTA(A920:G920)=0,"",IF(C920&lt;&gt;"",C920,IF(B920="","",IFERROR(INDEX(pr_des,MATCH(B920,pr_code,0))&amp;"",""))))</f>
        <v/>
      </c>
      <c r="I920" s="59" t="str">
        <f>IF(B920="","",IFERROR(INDEX(pr_unit,MATCH(B920,pr_code,0))&amp;"",""))</f>
        <v/>
      </c>
      <c r="J920" s="65" t="str">
        <f>IF(COUNTA(A920:G920)=0,"",IF(E920&lt;&gt;"",E920,IF(B920="","",IFERROR(IF(INDEX(pr_price,MATCH(B920,pr_code,0))="","",INDEX(pr_price,MATCH(B920,pr_code,0))),""))))</f>
        <v/>
      </c>
      <c r="K920" s="71" t="str">
        <f>IF(COUNTA(A920:G920)=0,"",IF(G920&lt;&gt;"",G920,IF(B920="","",IFERROR(IF(INDEX(pr_rate,MATCH(B920,pr_code,0))="","",INDEX(pr_rate,MATCH(B920,pr_code,0))),""))))</f>
        <v/>
      </c>
      <c r="L920" s="65" t="str">
        <f>IF(COUNTA(A920:G920)=0,"",IF(AND(ISNUMBER(D920),ISNUMBER(J920)),ROUND(D920*J920*(1-N(F920)),2),0))</f>
        <v/>
      </c>
      <c r="M920" s="62" t="str">
        <f>IF(A920="","",IFERROR(INDEX(dv_cname,MATCH(A920,dv_num,0))&amp;"",""))</f>
        <v/>
      </c>
      <c r="N920" s="59" t="str">
        <f>IF(COUNTA(A920:G920)=0,"",IF(A920="","N° devis manquant",IF(ISNA(MATCH(A920,dv_num,0)),"Devis inconnu",IF(AND(B920&lt;&gt;"",ISNA(MATCH(B920,pr_code,0))),"Article inconnu",IF(H920="","Désignation manquante",IF(OR(NOT(ISNUMBER(D920)),N(D920)&lt;=0),"Quantité invalide",IF(J920="","Prix manquant",IF(OR(NOT(ISNUMBER(J920)),N(J920)&lt;0),"Prix invalide",IF(OR(AND(F920&lt;&gt;"",NOT(ISNUMBER(F920))),N(F920)&lt;0,N(F920)&gt;1),"Remise invalide",IF(K920="","Taux de TVA manquant",IF(NOT(ISNUMBER(K920)),"Taux de TVA invalide",IF(COUNTIF(p_rates,K920)=0,"Taux de TVA hors liste (Paramètres)",IF(N(O920)&gt;25,"Au-delà de 25 lignes : non imprimée","OK")))))))))))))</f>
        <v/>
      </c>
      <c r="O920" s="59" t="str">
        <f>IF(A920="","",COUNTIF($A$6:A920,A920))</f>
        <v/>
      </c>
      <c r="P920" s="62" t="str">
        <f>IF(A920="","",A920&amp;"|"&amp;O920)</f>
        <v/>
      </c>
    </row>
    <row r="921">
      <c r="A921" s="60" t="n"/>
      <c r="B921" s="63" t="n"/>
      <c r="C921" s="63" t="n"/>
      <c r="D921" s="67" t="n"/>
      <c r="E921" s="68" t="n"/>
      <c r="F921" s="69" t="n"/>
      <c r="G921" s="70" t="n"/>
      <c r="H921" s="62" t="str">
        <f>IF(COUNTA(A921:G921)=0,"",IF(C921&lt;&gt;"",C921,IF(B921="","",IFERROR(INDEX(pr_des,MATCH(B921,pr_code,0))&amp;"",""))))</f>
        <v/>
      </c>
      <c r="I921" s="59" t="str">
        <f>IF(B921="","",IFERROR(INDEX(pr_unit,MATCH(B921,pr_code,0))&amp;"",""))</f>
        <v/>
      </c>
      <c r="J921" s="65" t="str">
        <f>IF(COUNTA(A921:G921)=0,"",IF(E921&lt;&gt;"",E921,IF(B921="","",IFERROR(IF(INDEX(pr_price,MATCH(B921,pr_code,0))="","",INDEX(pr_price,MATCH(B921,pr_code,0))),""))))</f>
        <v/>
      </c>
      <c r="K921" s="71" t="str">
        <f>IF(COUNTA(A921:G921)=0,"",IF(G921&lt;&gt;"",G921,IF(B921="","",IFERROR(IF(INDEX(pr_rate,MATCH(B921,pr_code,0))="","",INDEX(pr_rate,MATCH(B921,pr_code,0))),""))))</f>
        <v/>
      </c>
      <c r="L921" s="65" t="str">
        <f>IF(COUNTA(A921:G921)=0,"",IF(AND(ISNUMBER(D921),ISNUMBER(J921)),ROUND(D921*J921*(1-N(F921)),2),0))</f>
        <v/>
      </c>
      <c r="M921" s="62" t="str">
        <f>IF(A921="","",IFERROR(INDEX(dv_cname,MATCH(A921,dv_num,0))&amp;"",""))</f>
        <v/>
      </c>
      <c r="N921" s="59" t="str">
        <f>IF(COUNTA(A921:G921)=0,"",IF(A921="","N° devis manquant",IF(ISNA(MATCH(A921,dv_num,0)),"Devis inconnu",IF(AND(B921&lt;&gt;"",ISNA(MATCH(B921,pr_code,0))),"Article inconnu",IF(H921="","Désignation manquante",IF(OR(NOT(ISNUMBER(D921)),N(D921)&lt;=0),"Quantité invalide",IF(J921="","Prix manquant",IF(OR(NOT(ISNUMBER(J921)),N(J921)&lt;0),"Prix invalide",IF(OR(AND(F921&lt;&gt;"",NOT(ISNUMBER(F921))),N(F921)&lt;0,N(F921)&gt;1),"Remise invalide",IF(K921="","Taux de TVA manquant",IF(NOT(ISNUMBER(K921)),"Taux de TVA invalide",IF(COUNTIF(p_rates,K921)=0,"Taux de TVA hors liste (Paramètres)",IF(N(O921)&gt;25,"Au-delà de 25 lignes : non imprimée","OK")))))))))))))</f>
        <v/>
      </c>
      <c r="O921" s="59" t="str">
        <f>IF(A921="","",COUNTIF($A$6:A921,A921))</f>
        <v/>
      </c>
      <c r="P921" s="62" t="str">
        <f>IF(A921="","",A921&amp;"|"&amp;O921)</f>
        <v/>
      </c>
    </row>
    <row r="922">
      <c r="A922" s="60" t="n"/>
      <c r="B922" s="63" t="n"/>
      <c r="C922" s="63" t="n"/>
      <c r="D922" s="67" t="n"/>
      <c r="E922" s="68" t="n"/>
      <c r="F922" s="69" t="n"/>
      <c r="G922" s="70" t="n"/>
      <c r="H922" s="62" t="str">
        <f>IF(COUNTA(A922:G922)=0,"",IF(C922&lt;&gt;"",C922,IF(B922="","",IFERROR(INDEX(pr_des,MATCH(B922,pr_code,0))&amp;"",""))))</f>
        <v/>
      </c>
      <c r="I922" s="59" t="str">
        <f>IF(B922="","",IFERROR(INDEX(pr_unit,MATCH(B922,pr_code,0))&amp;"",""))</f>
        <v/>
      </c>
      <c r="J922" s="65" t="str">
        <f>IF(COUNTA(A922:G922)=0,"",IF(E922&lt;&gt;"",E922,IF(B922="","",IFERROR(IF(INDEX(pr_price,MATCH(B922,pr_code,0))="","",INDEX(pr_price,MATCH(B922,pr_code,0))),""))))</f>
        <v/>
      </c>
      <c r="K922" s="71" t="str">
        <f>IF(COUNTA(A922:G922)=0,"",IF(G922&lt;&gt;"",G922,IF(B922="","",IFERROR(IF(INDEX(pr_rate,MATCH(B922,pr_code,0))="","",INDEX(pr_rate,MATCH(B922,pr_code,0))),""))))</f>
        <v/>
      </c>
      <c r="L922" s="65" t="str">
        <f>IF(COUNTA(A922:G922)=0,"",IF(AND(ISNUMBER(D922),ISNUMBER(J922)),ROUND(D922*J922*(1-N(F922)),2),0))</f>
        <v/>
      </c>
      <c r="M922" s="62" t="str">
        <f>IF(A922="","",IFERROR(INDEX(dv_cname,MATCH(A922,dv_num,0))&amp;"",""))</f>
        <v/>
      </c>
      <c r="N922" s="59" t="str">
        <f>IF(COUNTA(A922:G922)=0,"",IF(A922="","N° devis manquant",IF(ISNA(MATCH(A922,dv_num,0)),"Devis inconnu",IF(AND(B922&lt;&gt;"",ISNA(MATCH(B922,pr_code,0))),"Article inconnu",IF(H922="","Désignation manquante",IF(OR(NOT(ISNUMBER(D922)),N(D922)&lt;=0),"Quantité invalide",IF(J922="","Prix manquant",IF(OR(NOT(ISNUMBER(J922)),N(J922)&lt;0),"Prix invalide",IF(OR(AND(F922&lt;&gt;"",NOT(ISNUMBER(F922))),N(F922)&lt;0,N(F922)&gt;1),"Remise invalide",IF(K922="","Taux de TVA manquant",IF(NOT(ISNUMBER(K922)),"Taux de TVA invalide",IF(COUNTIF(p_rates,K922)=0,"Taux de TVA hors liste (Paramètres)",IF(N(O922)&gt;25,"Au-delà de 25 lignes : non imprimée","OK")))))))))))))</f>
        <v/>
      </c>
      <c r="O922" s="59" t="str">
        <f>IF(A922="","",COUNTIF($A$6:A922,A922))</f>
        <v/>
      </c>
      <c r="P922" s="62" t="str">
        <f>IF(A922="","",A922&amp;"|"&amp;O922)</f>
        <v/>
      </c>
    </row>
    <row r="923">
      <c r="A923" s="60" t="n"/>
      <c r="B923" s="63" t="n"/>
      <c r="C923" s="63" t="n"/>
      <c r="D923" s="67" t="n"/>
      <c r="E923" s="68" t="n"/>
      <c r="F923" s="69" t="n"/>
      <c r="G923" s="70" t="n"/>
      <c r="H923" s="62" t="str">
        <f>IF(COUNTA(A923:G923)=0,"",IF(C923&lt;&gt;"",C923,IF(B923="","",IFERROR(INDEX(pr_des,MATCH(B923,pr_code,0))&amp;"",""))))</f>
        <v/>
      </c>
      <c r="I923" s="59" t="str">
        <f>IF(B923="","",IFERROR(INDEX(pr_unit,MATCH(B923,pr_code,0))&amp;"",""))</f>
        <v/>
      </c>
      <c r="J923" s="65" t="str">
        <f>IF(COUNTA(A923:G923)=0,"",IF(E923&lt;&gt;"",E923,IF(B923="","",IFERROR(IF(INDEX(pr_price,MATCH(B923,pr_code,0))="","",INDEX(pr_price,MATCH(B923,pr_code,0))),""))))</f>
        <v/>
      </c>
      <c r="K923" s="71" t="str">
        <f>IF(COUNTA(A923:G923)=0,"",IF(G923&lt;&gt;"",G923,IF(B923="","",IFERROR(IF(INDEX(pr_rate,MATCH(B923,pr_code,0))="","",INDEX(pr_rate,MATCH(B923,pr_code,0))),""))))</f>
        <v/>
      </c>
      <c r="L923" s="65" t="str">
        <f>IF(COUNTA(A923:G923)=0,"",IF(AND(ISNUMBER(D923),ISNUMBER(J923)),ROUND(D923*J923*(1-N(F923)),2),0))</f>
        <v/>
      </c>
      <c r="M923" s="62" t="str">
        <f>IF(A923="","",IFERROR(INDEX(dv_cname,MATCH(A923,dv_num,0))&amp;"",""))</f>
        <v/>
      </c>
      <c r="N923" s="59" t="str">
        <f>IF(COUNTA(A923:G923)=0,"",IF(A923="","N° devis manquant",IF(ISNA(MATCH(A923,dv_num,0)),"Devis inconnu",IF(AND(B923&lt;&gt;"",ISNA(MATCH(B923,pr_code,0))),"Article inconnu",IF(H923="","Désignation manquante",IF(OR(NOT(ISNUMBER(D923)),N(D923)&lt;=0),"Quantité invalide",IF(J923="","Prix manquant",IF(OR(NOT(ISNUMBER(J923)),N(J923)&lt;0),"Prix invalide",IF(OR(AND(F923&lt;&gt;"",NOT(ISNUMBER(F923))),N(F923)&lt;0,N(F923)&gt;1),"Remise invalide",IF(K923="","Taux de TVA manquant",IF(NOT(ISNUMBER(K923)),"Taux de TVA invalide",IF(COUNTIF(p_rates,K923)=0,"Taux de TVA hors liste (Paramètres)",IF(N(O923)&gt;25,"Au-delà de 25 lignes : non imprimée","OK")))))))))))))</f>
        <v/>
      </c>
      <c r="O923" s="59" t="str">
        <f>IF(A923="","",COUNTIF($A$6:A923,A923))</f>
        <v/>
      </c>
      <c r="P923" s="62" t="str">
        <f>IF(A923="","",A923&amp;"|"&amp;O923)</f>
        <v/>
      </c>
    </row>
    <row r="924">
      <c r="A924" s="60" t="n"/>
      <c r="B924" s="63" t="n"/>
      <c r="C924" s="63" t="n"/>
      <c r="D924" s="67" t="n"/>
      <c r="E924" s="68" t="n"/>
      <c r="F924" s="69" t="n"/>
      <c r="G924" s="70" t="n"/>
      <c r="H924" s="62" t="str">
        <f>IF(COUNTA(A924:G924)=0,"",IF(C924&lt;&gt;"",C924,IF(B924="","",IFERROR(INDEX(pr_des,MATCH(B924,pr_code,0))&amp;"",""))))</f>
        <v/>
      </c>
      <c r="I924" s="59" t="str">
        <f>IF(B924="","",IFERROR(INDEX(pr_unit,MATCH(B924,pr_code,0))&amp;"",""))</f>
        <v/>
      </c>
      <c r="J924" s="65" t="str">
        <f>IF(COUNTA(A924:G924)=0,"",IF(E924&lt;&gt;"",E924,IF(B924="","",IFERROR(IF(INDEX(pr_price,MATCH(B924,pr_code,0))="","",INDEX(pr_price,MATCH(B924,pr_code,0))),""))))</f>
        <v/>
      </c>
      <c r="K924" s="71" t="str">
        <f>IF(COUNTA(A924:G924)=0,"",IF(G924&lt;&gt;"",G924,IF(B924="","",IFERROR(IF(INDEX(pr_rate,MATCH(B924,pr_code,0))="","",INDEX(pr_rate,MATCH(B924,pr_code,0))),""))))</f>
        <v/>
      </c>
      <c r="L924" s="65" t="str">
        <f>IF(COUNTA(A924:G924)=0,"",IF(AND(ISNUMBER(D924),ISNUMBER(J924)),ROUND(D924*J924*(1-N(F924)),2),0))</f>
        <v/>
      </c>
      <c r="M924" s="62" t="str">
        <f>IF(A924="","",IFERROR(INDEX(dv_cname,MATCH(A924,dv_num,0))&amp;"",""))</f>
        <v/>
      </c>
      <c r="N924" s="59" t="str">
        <f>IF(COUNTA(A924:G924)=0,"",IF(A924="","N° devis manquant",IF(ISNA(MATCH(A924,dv_num,0)),"Devis inconnu",IF(AND(B924&lt;&gt;"",ISNA(MATCH(B924,pr_code,0))),"Article inconnu",IF(H924="","Désignation manquante",IF(OR(NOT(ISNUMBER(D924)),N(D924)&lt;=0),"Quantité invalide",IF(J924="","Prix manquant",IF(OR(NOT(ISNUMBER(J924)),N(J924)&lt;0),"Prix invalide",IF(OR(AND(F924&lt;&gt;"",NOT(ISNUMBER(F924))),N(F924)&lt;0,N(F924)&gt;1),"Remise invalide",IF(K924="","Taux de TVA manquant",IF(NOT(ISNUMBER(K924)),"Taux de TVA invalide",IF(COUNTIF(p_rates,K924)=0,"Taux de TVA hors liste (Paramètres)",IF(N(O924)&gt;25,"Au-delà de 25 lignes : non imprimée","OK")))))))))))))</f>
        <v/>
      </c>
      <c r="O924" s="59" t="str">
        <f>IF(A924="","",COUNTIF($A$6:A924,A924))</f>
        <v/>
      </c>
      <c r="P924" s="62" t="str">
        <f>IF(A924="","",A924&amp;"|"&amp;O924)</f>
        <v/>
      </c>
    </row>
    <row r="925">
      <c r="A925" s="60" t="n"/>
      <c r="B925" s="63" t="n"/>
      <c r="C925" s="63" t="n"/>
      <c r="D925" s="67" t="n"/>
      <c r="E925" s="68" t="n"/>
      <c r="F925" s="69" t="n"/>
      <c r="G925" s="70" t="n"/>
      <c r="H925" s="62" t="str">
        <f>IF(COUNTA(A925:G925)=0,"",IF(C925&lt;&gt;"",C925,IF(B925="","",IFERROR(INDEX(pr_des,MATCH(B925,pr_code,0))&amp;"",""))))</f>
        <v/>
      </c>
      <c r="I925" s="59" t="str">
        <f>IF(B925="","",IFERROR(INDEX(pr_unit,MATCH(B925,pr_code,0))&amp;"",""))</f>
        <v/>
      </c>
      <c r="J925" s="65" t="str">
        <f>IF(COUNTA(A925:G925)=0,"",IF(E925&lt;&gt;"",E925,IF(B925="","",IFERROR(IF(INDEX(pr_price,MATCH(B925,pr_code,0))="","",INDEX(pr_price,MATCH(B925,pr_code,0))),""))))</f>
        <v/>
      </c>
      <c r="K925" s="71" t="str">
        <f>IF(COUNTA(A925:G925)=0,"",IF(G925&lt;&gt;"",G925,IF(B925="","",IFERROR(IF(INDEX(pr_rate,MATCH(B925,pr_code,0))="","",INDEX(pr_rate,MATCH(B925,pr_code,0))),""))))</f>
        <v/>
      </c>
      <c r="L925" s="65" t="str">
        <f>IF(COUNTA(A925:G925)=0,"",IF(AND(ISNUMBER(D925),ISNUMBER(J925)),ROUND(D925*J925*(1-N(F925)),2),0))</f>
        <v/>
      </c>
      <c r="M925" s="62" t="str">
        <f>IF(A925="","",IFERROR(INDEX(dv_cname,MATCH(A925,dv_num,0))&amp;"",""))</f>
        <v/>
      </c>
      <c r="N925" s="59" t="str">
        <f>IF(COUNTA(A925:G925)=0,"",IF(A925="","N° devis manquant",IF(ISNA(MATCH(A925,dv_num,0)),"Devis inconnu",IF(AND(B925&lt;&gt;"",ISNA(MATCH(B925,pr_code,0))),"Article inconnu",IF(H925="","Désignation manquante",IF(OR(NOT(ISNUMBER(D925)),N(D925)&lt;=0),"Quantité invalide",IF(J925="","Prix manquant",IF(OR(NOT(ISNUMBER(J925)),N(J925)&lt;0),"Prix invalide",IF(OR(AND(F925&lt;&gt;"",NOT(ISNUMBER(F925))),N(F925)&lt;0,N(F925)&gt;1),"Remise invalide",IF(K925="","Taux de TVA manquant",IF(NOT(ISNUMBER(K925)),"Taux de TVA invalide",IF(COUNTIF(p_rates,K925)=0,"Taux de TVA hors liste (Paramètres)",IF(N(O925)&gt;25,"Au-delà de 25 lignes : non imprimée","OK")))))))))))))</f>
        <v/>
      </c>
      <c r="O925" s="59" t="str">
        <f>IF(A925="","",COUNTIF($A$6:A925,A925))</f>
        <v/>
      </c>
      <c r="P925" s="62" t="str">
        <f>IF(A925="","",A925&amp;"|"&amp;O925)</f>
        <v/>
      </c>
    </row>
    <row r="926">
      <c r="A926" s="60" t="n"/>
      <c r="B926" s="63" t="n"/>
      <c r="C926" s="63" t="n"/>
      <c r="D926" s="67" t="n"/>
      <c r="E926" s="68" t="n"/>
      <c r="F926" s="69" t="n"/>
      <c r="G926" s="70" t="n"/>
      <c r="H926" s="62" t="str">
        <f>IF(COUNTA(A926:G926)=0,"",IF(C926&lt;&gt;"",C926,IF(B926="","",IFERROR(INDEX(pr_des,MATCH(B926,pr_code,0))&amp;"",""))))</f>
        <v/>
      </c>
      <c r="I926" s="59" t="str">
        <f>IF(B926="","",IFERROR(INDEX(pr_unit,MATCH(B926,pr_code,0))&amp;"",""))</f>
        <v/>
      </c>
      <c r="J926" s="65" t="str">
        <f>IF(COUNTA(A926:G926)=0,"",IF(E926&lt;&gt;"",E926,IF(B926="","",IFERROR(IF(INDEX(pr_price,MATCH(B926,pr_code,0))="","",INDEX(pr_price,MATCH(B926,pr_code,0))),""))))</f>
        <v/>
      </c>
      <c r="K926" s="71" t="str">
        <f>IF(COUNTA(A926:G926)=0,"",IF(G926&lt;&gt;"",G926,IF(B926="","",IFERROR(IF(INDEX(pr_rate,MATCH(B926,pr_code,0))="","",INDEX(pr_rate,MATCH(B926,pr_code,0))),""))))</f>
        <v/>
      </c>
      <c r="L926" s="65" t="str">
        <f>IF(COUNTA(A926:G926)=0,"",IF(AND(ISNUMBER(D926),ISNUMBER(J926)),ROUND(D926*J926*(1-N(F926)),2),0))</f>
        <v/>
      </c>
      <c r="M926" s="62" t="str">
        <f>IF(A926="","",IFERROR(INDEX(dv_cname,MATCH(A926,dv_num,0))&amp;"",""))</f>
        <v/>
      </c>
      <c r="N926" s="59" t="str">
        <f>IF(COUNTA(A926:G926)=0,"",IF(A926="","N° devis manquant",IF(ISNA(MATCH(A926,dv_num,0)),"Devis inconnu",IF(AND(B926&lt;&gt;"",ISNA(MATCH(B926,pr_code,0))),"Article inconnu",IF(H926="","Désignation manquante",IF(OR(NOT(ISNUMBER(D926)),N(D926)&lt;=0),"Quantité invalide",IF(J926="","Prix manquant",IF(OR(NOT(ISNUMBER(J926)),N(J926)&lt;0),"Prix invalide",IF(OR(AND(F926&lt;&gt;"",NOT(ISNUMBER(F926))),N(F926)&lt;0,N(F926)&gt;1),"Remise invalide",IF(K926="","Taux de TVA manquant",IF(NOT(ISNUMBER(K926)),"Taux de TVA invalide",IF(COUNTIF(p_rates,K926)=0,"Taux de TVA hors liste (Paramètres)",IF(N(O926)&gt;25,"Au-delà de 25 lignes : non imprimée","OK")))))))))))))</f>
        <v/>
      </c>
      <c r="O926" s="59" t="str">
        <f>IF(A926="","",COUNTIF($A$6:A926,A926))</f>
        <v/>
      </c>
      <c r="P926" s="62" t="str">
        <f>IF(A926="","",A926&amp;"|"&amp;O926)</f>
        <v/>
      </c>
    </row>
    <row r="927">
      <c r="A927" s="60" t="n"/>
      <c r="B927" s="63" t="n"/>
      <c r="C927" s="63" t="n"/>
      <c r="D927" s="67" t="n"/>
      <c r="E927" s="68" t="n"/>
      <c r="F927" s="69" t="n"/>
      <c r="G927" s="70" t="n"/>
      <c r="H927" s="62" t="str">
        <f>IF(COUNTA(A927:G927)=0,"",IF(C927&lt;&gt;"",C927,IF(B927="","",IFERROR(INDEX(pr_des,MATCH(B927,pr_code,0))&amp;"",""))))</f>
        <v/>
      </c>
      <c r="I927" s="59" t="str">
        <f>IF(B927="","",IFERROR(INDEX(pr_unit,MATCH(B927,pr_code,0))&amp;"",""))</f>
        <v/>
      </c>
      <c r="J927" s="65" t="str">
        <f>IF(COUNTA(A927:G927)=0,"",IF(E927&lt;&gt;"",E927,IF(B927="","",IFERROR(IF(INDEX(pr_price,MATCH(B927,pr_code,0))="","",INDEX(pr_price,MATCH(B927,pr_code,0))),""))))</f>
        <v/>
      </c>
      <c r="K927" s="71" t="str">
        <f>IF(COUNTA(A927:G927)=0,"",IF(G927&lt;&gt;"",G927,IF(B927="","",IFERROR(IF(INDEX(pr_rate,MATCH(B927,pr_code,0))="","",INDEX(pr_rate,MATCH(B927,pr_code,0))),""))))</f>
        <v/>
      </c>
      <c r="L927" s="65" t="str">
        <f>IF(COUNTA(A927:G927)=0,"",IF(AND(ISNUMBER(D927),ISNUMBER(J927)),ROUND(D927*J927*(1-N(F927)),2),0))</f>
        <v/>
      </c>
      <c r="M927" s="62" t="str">
        <f>IF(A927="","",IFERROR(INDEX(dv_cname,MATCH(A927,dv_num,0))&amp;"",""))</f>
        <v/>
      </c>
      <c r="N927" s="59" t="str">
        <f>IF(COUNTA(A927:G927)=0,"",IF(A927="","N° devis manquant",IF(ISNA(MATCH(A927,dv_num,0)),"Devis inconnu",IF(AND(B927&lt;&gt;"",ISNA(MATCH(B927,pr_code,0))),"Article inconnu",IF(H927="","Désignation manquante",IF(OR(NOT(ISNUMBER(D927)),N(D927)&lt;=0),"Quantité invalide",IF(J927="","Prix manquant",IF(OR(NOT(ISNUMBER(J927)),N(J927)&lt;0),"Prix invalide",IF(OR(AND(F927&lt;&gt;"",NOT(ISNUMBER(F927))),N(F927)&lt;0,N(F927)&gt;1),"Remise invalide",IF(K927="","Taux de TVA manquant",IF(NOT(ISNUMBER(K927)),"Taux de TVA invalide",IF(COUNTIF(p_rates,K927)=0,"Taux de TVA hors liste (Paramètres)",IF(N(O927)&gt;25,"Au-delà de 25 lignes : non imprimée","OK")))))))))))))</f>
        <v/>
      </c>
      <c r="O927" s="59" t="str">
        <f>IF(A927="","",COUNTIF($A$6:A927,A927))</f>
        <v/>
      </c>
      <c r="P927" s="62" t="str">
        <f>IF(A927="","",A927&amp;"|"&amp;O927)</f>
        <v/>
      </c>
    </row>
    <row r="928">
      <c r="A928" s="60" t="n"/>
      <c r="B928" s="63" t="n"/>
      <c r="C928" s="63" t="n"/>
      <c r="D928" s="67" t="n"/>
      <c r="E928" s="68" t="n"/>
      <c r="F928" s="69" t="n"/>
      <c r="G928" s="70" t="n"/>
      <c r="H928" s="62" t="str">
        <f>IF(COUNTA(A928:G928)=0,"",IF(C928&lt;&gt;"",C928,IF(B928="","",IFERROR(INDEX(pr_des,MATCH(B928,pr_code,0))&amp;"",""))))</f>
        <v/>
      </c>
      <c r="I928" s="59" t="str">
        <f>IF(B928="","",IFERROR(INDEX(pr_unit,MATCH(B928,pr_code,0))&amp;"",""))</f>
        <v/>
      </c>
      <c r="J928" s="65" t="str">
        <f>IF(COUNTA(A928:G928)=0,"",IF(E928&lt;&gt;"",E928,IF(B928="","",IFERROR(IF(INDEX(pr_price,MATCH(B928,pr_code,0))="","",INDEX(pr_price,MATCH(B928,pr_code,0))),""))))</f>
        <v/>
      </c>
      <c r="K928" s="71" t="str">
        <f>IF(COUNTA(A928:G928)=0,"",IF(G928&lt;&gt;"",G928,IF(B928="","",IFERROR(IF(INDEX(pr_rate,MATCH(B928,pr_code,0))="","",INDEX(pr_rate,MATCH(B928,pr_code,0))),""))))</f>
        <v/>
      </c>
      <c r="L928" s="65" t="str">
        <f>IF(COUNTA(A928:G928)=0,"",IF(AND(ISNUMBER(D928),ISNUMBER(J928)),ROUND(D928*J928*(1-N(F928)),2),0))</f>
        <v/>
      </c>
      <c r="M928" s="62" t="str">
        <f>IF(A928="","",IFERROR(INDEX(dv_cname,MATCH(A928,dv_num,0))&amp;"",""))</f>
        <v/>
      </c>
      <c r="N928" s="59" t="str">
        <f>IF(COUNTA(A928:G928)=0,"",IF(A928="","N° devis manquant",IF(ISNA(MATCH(A928,dv_num,0)),"Devis inconnu",IF(AND(B928&lt;&gt;"",ISNA(MATCH(B928,pr_code,0))),"Article inconnu",IF(H928="","Désignation manquante",IF(OR(NOT(ISNUMBER(D928)),N(D928)&lt;=0),"Quantité invalide",IF(J928="","Prix manquant",IF(OR(NOT(ISNUMBER(J928)),N(J928)&lt;0),"Prix invalide",IF(OR(AND(F928&lt;&gt;"",NOT(ISNUMBER(F928))),N(F928)&lt;0,N(F928)&gt;1),"Remise invalide",IF(K928="","Taux de TVA manquant",IF(NOT(ISNUMBER(K928)),"Taux de TVA invalide",IF(COUNTIF(p_rates,K928)=0,"Taux de TVA hors liste (Paramètres)",IF(N(O928)&gt;25,"Au-delà de 25 lignes : non imprimée","OK")))))))))))))</f>
        <v/>
      </c>
      <c r="O928" s="59" t="str">
        <f>IF(A928="","",COUNTIF($A$6:A928,A928))</f>
        <v/>
      </c>
      <c r="P928" s="62" t="str">
        <f>IF(A928="","",A928&amp;"|"&amp;O928)</f>
        <v/>
      </c>
    </row>
    <row r="929">
      <c r="A929" s="60" t="n"/>
      <c r="B929" s="63" t="n"/>
      <c r="C929" s="63" t="n"/>
      <c r="D929" s="67" t="n"/>
      <c r="E929" s="68" t="n"/>
      <c r="F929" s="69" t="n"/>
      <c r="G929" s="70" t="n"/>
      <c r="H929" s="62" t="str">
        <f>IF(COUNTA(A929:G929)=0,"",IF(C929&lt;&gt;"",C929,IF(B929="","",IFERROR(INDEX(pr_des,MATCH(B929,pr_code,0))&amp;"",""))))</f>
        <v/>
      </c>
      <c r="I929" s="59" t="str">
        <f>IF(B929="","",IFERROR(INDEX(pr_unit,MATCH(B929,pr_code,0))&amp;"",""))</f>
        <v/>
      </c>
      <c r="J929" s="65" t="str">
        <f>IF(COUNTA(A929:G929)=0,"",IF(E929&lt;&gt;"",E929,IF(B929="","",IFERROR(IF(INDEX(pr_price,MATCH(B929,pr_code,0))="","",INDEX(pr_price,MATCH(B929,pr_code,0))),""))))</f>
        <v/>
      </c>
      <c r="K929" s="71" t="str">
        <f>IF(COUNTA(A929:G929)=0,"",IF(G929&lt;&gt;"",G929,IF(B929="","",IFERROR(IF(INDEX(pr_rate,MATCH(B929,pr_code,0))="","",INDEX(pr_rate,MATCH(B929,pr_code,0))),""))))</f>
        <v/>
      </c>
      <c r="L929" s="65" t="str">
        <f>IF(COUNTA(A929:G929)=0,"",IF(AND(ISNUMBER(D929),ISNUMBER(J929)),ROUND(D929*J929*(1-N(F929)),2),0))</f>
        <v/>
      </c>
      <c r="M929" s="62" t="str">
        <f>IF(A929="","",IFERROR(INDEX(dv_cname,MATCH(A929,dv_num,0))&amp;"",""))</f>
        <v/>
      </c>
      <c r="N929" s="59" t="str">
        <f>IF(COUNTA(A929:G929)=0,"",IF(A929="","N° devis manquant",IF(ISNA(MATCH(A929,dv_num,0)),"Devis inconnu",IF(AND(B929&lt;&gt;"",ISNA(MATCH(B929,pr_code,0))),"Article inconnu",IF(H929="","Désignation manquante",IF(OR(NOT(ISNUMBER(D929)),N(D929)&lt;=0),"Quantité invalide",IF(J929="","Prix manquant",IF(OR(NOT(ISNUMBER(J929)),N(J929)&lt;0),"Prix invalide",IF(OR(AND(F929&lt;&gt;"",NOT(ISNUMBER(F929))),N(F929)&lt;0,N(F929)&gt;1),"Remise invalide",IF(K929="","Taux de TVA manquant",IF(NOT(ISNUMBER(K929)),"Taux de TVA invalide",IF(COUNTIF(p_rates,K929)=0,"Taux de TVA hors liste (Paramètres)",IF(N(O929)&gt;25,"Au-delà de 25 lignes : non imprimée","OK")))))))))))))</f>
        <v/>
      </c>
      <c r="O929" s="59" t="str">
        <f>IF(A929="","",COUNTIF($A$6:A929,A929))</f>
        <v/>
      </c>
      <c r="P929" s="62" t="str">
        <f>IF(A929="","",A929&amp;"|"&amp;O929)</f>
        <v/>
      </c>
    </row>
    <row r="930">
      <c r="A930" s="60" t="n"/>
      <c r="B930" s="63" t="n"/>
      <c r="C930" s="63" t="n"/>
      <c r="D930" s="67" t="n"/>
      <c r="E930" s="68" t="n"/>
      <c r="F930" s="69" t="n"/>
      <c r="G930" s="70" t="n"/>
      <c r="H930" s="62" t="str">
        <f>IF(COUNTA(A930:G930)=0,"",IF(C930&lt;&gt;"",C930,IF(B930="","",IFERROR(INDEX(pr_des,MATCH(B930,pr_code,0))&amp;"",""))))</f>
        <v/>
      </c>
      <c r="I930" s="59" t="str">
        <f>IF(B930="","",IFERROR(INDEX(pr_unit,MATCH(B930,pr_code,0))&amp;"",""))</f>
        <v/>
      </c>
      <c r="J930" s="65" t="str">
        <f>IF(COUNTA(A930:G930)=0,"",IF(E930&lt;&gt;"",E930,IF(B930="","",IFERROR(IF(INDEX(pr_price,MATCH(B930,pr_code,0))="","",INDEX(pr_price,MATCH(B930,pr_code,0))),""))))</f>
        <v/>
      </c>
      <c r="K930" s="71" t="str">
        <f>IF(COUNTA(A930:G930)=0,"",IF(G930&lt;&gt;"",G930,IF(B930="","",IFERROR(IF(INDEX(pr_rate,MATCH(B930,pr_code,0))="","",INDEX(pr_rate,MATCH(B930,pr_code,0))),""))))</f>
        <v/>
      </c>
      <c r="L930" s="65" t="str">
        <f>IF(COUNTA(A930:G930)=0,"",IF(AND(ISNUMBER(D930),ISNUMBER(J930)),ROUND(D930*J930*(1-N(F930)),2),0))</f>
        <v/>
      </c>
      <c r="M930" s="62" t="str">
        <f>IF(A930="","",IFERROR(INDEX(dv_cname,MATCH(A930,dv_num,0))&amp;"",""))</f>
        <v/>
      </c>
      <c r="N930" s="59" t="str">
        <f>IF(COUNTA(A930:G930)=0,"",IF(A930="","N° devis manquant",IF(ISNA(MATCH(A930,dv_num,0)),"Devis inconnu",IF(AND(B930&lt;&gt;"",ISNA(MATCH(B930,pr_code,0))),"Article inconnu",IF(H930="","Désignation manquante",IF(OR(NOT(ISNUMBER(D930)),N(D930)&lt;=0),"Quantité invalide",IF(J930="","Prix manquant",IF(OR(NOT(ISNUMBER(J930)),N(J930)&lt;0),"Prix invalide",IF(OR(AND(F930&lt;&gt;"",NOT(ISNUMBER(F930))),N(F930)&lt;0,N(F930)&gt;1),"Remise invalide",IF(K930="","Taux de TVA manquant",IF(NOT(ISNUMBER(K930)),"Taux de TVA invalide",IF(COUNTIF(p_rates,K930)=0,"Taux de TVA hors liste (Paramètres)",IF(N(O930)&gt;25,"Au-delà de 25 lignes : non imprimée","OK")))))))))))))</f>
        <v/>
      </c>
      <c r="O930" s="59" t="str">
        <f>IF(A930="","",COUNTIF($A$6:A930,A930))</f>
        <v/>
      </c>
      <c r="P930" s="62" t="str">
        <f>IF(A930="","",A930&amp;"|"&amp;O930)</f>
        <v/>
      </c>
    </row>
    <row r="931">
      <c r="A931" s="60" t="n"/>
      <c r="B931" s="63" t="n"/>
      <c r="C931" s="63" t="n"/>
      <c r="D931" s="67" t="n"/>
      <c r="E931" s="68" t="n"/>
      <c r="F931" s="69" t="n"/>
      <c r="G931" s="70" t="n"/>
      <c r="H931" s="62" t="str">
        <f>IF(COUNTA(A931:G931)=0,"",IF(C931&lt;&gt;"",C931,IF(B931="","",IFERROR(INDEX(pr_des,MATCH(B931,pr_code,0))&amp;"",""))))</f>
        <v/>
      </c>
      <c r="I931" s="59" t="str">
        <f>IF(B931="","",IFERROR(INDEX(pr_unit,MATCH(B931,pr_code,0))&amp;"",""))</f>
        <v/>
      </c>
      <c r="J931" s="65" t="str">
        <f>IF(COUNTA(A931:G931)=0,"",IF(E931&lt;&gt;"",E931,IF(B931="","",IFERROR(IF(INDEX(pr_price,MATCH(B931,pr_code,0))="","",INDEX(pr_price,MATCH(B931,pr_code,0))),""))))</f>
        <v/>
      </c>
      <c r="K931" s="71" t="str">
        <f>IF(COUNTA(A931:G931)=0,"",IF(G931&lt;&gt;"",G931,IF(B931="","",IFERROR(IF(INDEX(pr_rate,MATCH(B931,pr_code,0))="","",INDEX(pr_rate,MATCH(B931,pr_code,0))),""))))</f>
        <v/>
      </c>
      <c r="L931" s="65" t="str">
        <f>IF(COUNTA(A931:G931)=0,"",IF(AND(ISNUMBER(D931),ISNUMBER(J931)),ROUND(D931*J931*(1-N(F931)),2),0))</f>
        <v/>
      </c>
      <c r="M931" s="62" t="str">
        <f>IF(A931="","",IFERROR(INDEX(dv_cname,MATCH(A931,dv_num,0))&amp;"",""))</f>
        <v/>
      </c>
      <c r="N931" s="59" t="str">
        <f>IF(COUNTA(A931:G931)=0,"",IF(A931="","N° devis manquant",IF(ISNA(MATCH(A931,dv_num,0)),"Devis inconnu",IF(AND(B931&lt;&gt;"",ISNA(MATCH(B931,pr_code,0))),"Article inconnu",IF(H931="","Désignation manquante",IF(OR(NOT(ISNUMBER(D931)),N(D931)&lt;=0),"Quantité invalide",IF(J931="","Prix manquant",IF(OR(NOT(ISNUMBER(J931)),N(J931)&lt;0),"Prix invalide",IF(OR(AND(F931&lt;&gt;"",NOT(ISNUMBER(F931))),N(F931)&lt;0,N(F931)&gt;1),"Remise invalide",IF(K931="","Taux de TVA manquant",IF(NOT(ISNUMBER(K931)),"Taux de TVA invalide",IF(COUNTIF(p_rates,K931)=0,"Taux de TVA hors liste (Paramètres)",IF(N(O931)&gt;25,"Au-delà de 25 lignes : non imprimée","OK")))))))))))))</f>
        <v/>
      </c>
      <c r="O931" s="59" t="str">
        <f>IF(A931="","",COUNTIF($A$6:A931,A931))</f>
        <v/>
      </c>
      <c r="P931" s="62" t="str">
        <f>IF(A931="","",A931&amp;"|"&amp;O931)</f>
        <v/>
      </c>
    </row>
    <row r="932">
      <c r="A932" s="60" t="n"/>
      <c r="B932" s="63" t="n"/>
      <c r="C932" s="63" t="n"/>
      <c r="D932" s="67" t="n"/>
      <c r="E932" s="68" t="n"/>
      <c r="F932" s="69" t="n"/>
      <c r="G932" s="70" t="n"/>
      <c r="H932" s="62" t="str">
        <f>IF(COUNTA(A932:G932)=0,"",IF(C932&lt;&gt;"",C932,IF(B932="","",IFERROR(INDEX(pr_des,MATCH(B932,pr_code,0))&amp;"",""))))</f>
        <v/>
      </c>
      <c r="I932" s="59" t="str">
        <f>IF(B932="","",IFERROR(INDEX(pr_unit,MATCH(B932,pr_code,0))&amp;"",""))</f>
        <v/>
      </c>
      <c r="J932" s="65" t="str">
        <f>IF(COUNTA(A932:G932)=0,"",IF(E932&lt;&gt;"",E932,IF(B932="","",IFERROR(IF(INDEX(pr_price,MATCH(B932,pr_code,0))="","",INDEX(pr_price,MATCH(B932,pr_code,0))),""))))</f>
        <v/>
      </c>
      <c r="K932" s="71" t="str">
        <f>IF(COUNTA(A932:G932)=0,"",IF(G932&lt;&gt;"",G932,IF(B932="","",IFERROR(IF(INDEX(pr_rate,MATCH(B932,pr_code,0))="","",INDEX(pr_rate,MATCH(B932,pr_code,0))),""))))</f>
        <v/>
      </c>
      <c r="L932" s="65" t="str">
        <f>IF(COUNTA(A932:G932)=0,"",IF(AND(ISNUMBER(D932),ISNUMBER(J932)),ROUND(D932*J932*(1-N(F932)),2),0))</f>
        <v/>
      </c>
      <c r="M932" s="62" t="str">
        <f>IF(A932="","",IFERROR(INDEX(dv_cname,MATCH(A932,dv_num,0))&amp;"",""))</f>
        <v/>
      </c>
      <c r="N932" s="59" t="str">
        <f>IF(COUNTA(A932:G932)=0,"",IF(A932="","N° devis manquant",IF(ISNA(MATCH(A932,dv_num,0)),"Devis inconnu",IF(AND(B932&lt;&gt;"",ISNA(MATCH(B932,pr_code,0))),"Article inconnu",IF(H932="","Désignation manquante",IF(OR(NOT(ISNUMBER(D932)),N(D932)&lt;=0),"Quantité invalide",IF(J932="","Prix manquant",IF(OR(NOT(ISNUMBER(J932)),N(J932)&lt;0),"Prix invalide",IF(OR(AND(F932&lt;&gt;"",NOT(ISNUMBER(F932))),N(F932)&lt;0,N(F932)&gt;1),"Remise invalide",IF(K932="","Taux de TVA manquant",IF(NOT(ISNUMBER(K932)),"Taux de TVA invalide",IF(COUNTIF(p_rates,K932)=0,"Taux de TVA hors liste (Paramètres)",IF(N(O932)&gt;25,"Au-delà de 25 lignes : non imprimée","OK")))))))))))))</f>
        <v/>
      </c>
      <c r="O932" s="59" t="str">
        <f>IF(A932="","",COUNTIF($A$6:A932,A932))</f>
        <v/>
      </c>
      <c r="P932" s="62" t="str">
        <f>IF(A932="","",A932&amp;"|"&amp;O932)</f>
        <v/>
      </c>
    </row>
    <row r="933">
      <c r="A933" s="60" t="n"/>
      <c r="B933" s="63" t="n"/>
      <c r="C933" s="63" t="n"/>
      <c r="D933" s="67" t="n"/>
      <c r="E933" s="68" t="n"/>
      <c r="F933" s="69" t="n"/>
      <c r="G933" s="70" t="n"/>
      <c r="H933" s="62" t="str">
        <f>IF(COUNTA(A933:G933)=0,"",IF(C933&lt;&gt;"",C933,IF(B933="","",IFERROR(INDEX(pr_des,MATCH(B933,pr_code,0))&amp;"",""))))</f>
        <v/>
      </c>
      <c r="I933" s="59" t="str">
        <f>IF(B933="","",IFERROR(INDEX(pr_unit,MATCH(B933,pr_code,0))&amp;"",""))</f>
        <v/>
      </c>
      <c r="J933" s="65" t="str">
        <f>IF(COUNTA(A933:G933)=0,"",IF(E933&lt;&gt;"",E933,IF(B933="","",IFERROR(IF(INDEX(pr_price,MATCH(B933,pr_code,0))="","",INDEX(pr_price,MATCH(B933,pr_code,0))),""))))</f>
        <v/>
      </c>
      <c r="K933" s="71" t="str">
        <f>IF(COUNTA(A933:G933)=0,"",IF(G933&lt;&gt;"",G933,IF(B933="","",IFERROR(IF(INDEX(pr_rate,MATCH(B933,pr_code,0))="","",INDEX(pr_rate,MATCH(B933,pr_code,0))),""))))</f>
        <v/>
      </c>
      <c r="L933" s="65" t="str">
        <f>IF(COUNTA(A933:G933)=0,"",IF(AND(ISNUMBER(D933),ISNUMBER(J933)),ROUND(D933*J933*(1-N(F933)),2),0))</f>
        <v/>
      </c>
      <c r="M933" s="62" t="str">
        <f>IF(A933="","",IFERROR(INDEX(dv_cname,MATCH(A933,dv_num,0))&amp;"",""))</f>
        <v/>
      </c>
      <c r="N933" s="59" t="str">
        <f>IF(COUNTA(A933:G933)=0,"",IF(A933="","N° devis manquant",IF(ISNA(MATCH(A933,dv_num,0)),"Devis inconnu",IF(AND(B933&lt;&gt;"",ISNA(MATCH(B933,pr_code,0))),"Article inconnu",IF(H933="","Désignation manquante",IF(OR(NOT(ISNUMBER(D933)),N(D933)&lt;=0),"Quantité invalide",IF(J933="","Prix manquant",IF(OR(NOT(ISNUMBER(J933)),N(J933)&lt;0),"Prix invalide",IF(OR(AND(F933&lt;&gt;"",NOT(ISNUMBER(F933))),N(F933)&lt;0,N(F933)&gt;1),"Remise invalide",IF(K933="","Taux de TVA manquant",IF(NOT(ISNUMBER(K933)),"Taux de TVA invalide",IF(COUNTIF(p_rates,K933)=0,"Taux de TVA hors liste (Paramètres)",IF(N(O933)&gt;25,"Au-delà de 25 lignes : non imprimée","OK")))))))))))))</f>
        <v/>
      </c>
      <c r="O933" s="59" t="str">
        <f>IF(A933="","",COUNTIF($A$6:A933,A933))</f>
        <v/>
      </c>
      <c r="P933" s="62" t="str">
        <f>IF(A933="","",A933&amp;"|"&amp;O933)</f>
        <v/>
      </c>
    </row>
    <row r="934">
      <c r="A934" s="60" t="n"/>
      <c r="B934" s="63" t="n"/>
      <c r="C934" s="63" t="n"/>
      <c r="D934" s="67" t="n"/>
      <c r="E934" s="68" t="n"/>
      <c r="F934" s="69" t="n"/>
      <c r="G934" s="70" t="n"/>
      <c r="H934" s="62" t="str">
        <f>IF(COUNTA(A934:G934)=0,"",IF(C934&lt;&gt;"",C934,IF(B934="","",IFERROR(INDEX(pr_des,MATCH(B934,pr_code,0))&amp;"",""))))</f>
        <v/>
      </c>
      <c r="I934" s="59" t="str">
        <f>IF(B934="","",IFERROR(INDEX(pr_unit,MATCH(B934,pr_code,0))&amp;"",""))</f>
        <v/>
      </c>
      <c r="J934" s="65" t="str">
        <f>IF(COUNTA(A934:G934)=0,"",IF(E934&lt;&gt;"",E934,IF(B934="","",IFERROR(IF(INDEX(pr_price,MATCH(B934,pr_code,0))="","",INDEX(pr_price,MATCH(B934,pr_code,0))),""))))</f>
        <v/>
      </c>
      <c r="K934" s="71" t="str">
        <f>IF(COUNTA(A934:G934)=0,"",IF(G934&lt;&gt;"",G934,IF(B934="","",IFERROR(IF(INDEX(pr_rate,MATCH(B934,pr_code,0))="","",INDEX(pr_rate,MATCH(B934,pr_code,0))),""))))</f>
        <v/>
      </c>
      <c r="L934" s="65" t="str">
        <f>IF(COUNTA(A934:G934)=0,"",IF(AND(ISNUMBER(D934),ISNUMBER(J934)),ROUND(D934*J934*(1-N(F934)),2),0))</f>
        <v/>
      </c>
      <c r="M934" s="62" t="str">
        <f>IF(A934="","",IFERROR(INDEX(dv_cname,MATCH(A934,dv_num,0))&amp;"",""))</f>
        <v/>
      </c>
      <c r="N934" s="59" t="str">
        <f>IF(COUNTA(A934:G934)=0,"",IF(A934="","N° devis manquant",IF(ISNA(MATCH(A934,dv_num,0)),"Devis inconnu",IF(AND(B934&lt;&gt;"",ISNA(MATCH(B934,pr_code,0))),"Article inconnu",IF(H934="","Désignation manquante",IF(OR(NOT(ISNUMBER(D934)),N(D934)&lt;=0),"Quantité invalide",IF(J934="","Prix manquant",IF(OR(NOT(ISNUMBER(J934)),N(J934)&lt;0),"Prix invalide",IF(OR(AND(F934&lt;&gt;"",NOT(ISNUMBER(F934))),N(F934)&lt;0,N(F934)&gt;1),"Remise invalide",IF(K934="","Taux de TVA manquant",IF(NOT(ISNUMBER(K934)),"Taux de TVA invalide",IF(COUNTIF(p_rates,K934)=0,"Taux de TVA hors liste (Paramètres)",IF(N(O934)&gt;25,"Au-delà de 25 lignes : non imprimée","OK")))))))))))))</f>
        <v/>
      </c>
      <c r="O934" s="59" t="str">
        <f>IF(A934="","",COUNTIF($A$6:A934,A934))</f>
        <v/>
      </c>
      <c r="P934" s="62" t="str">
        <f>IF(A934="","",A934&amp;"|"&amp;O934)</f>
        <v/>
      </c>
    </row>
    <row r="935">
      <c r="A935" s="60" t="n"/>
      <c r="B935" s="63" t="n"/>
      <c r="C935" s="63" t="n"/>
      <c r="D935" s="67" t="n"/>
      <c r="E935" s="68" t="n"/>
      <c r="F935" s="69" t="n"/>
      <c r="G935" s="70" t="n"/>
      <c r="H935" s="62" t="str">
        <f>IF(COUNTA(A935:G935)=0,"",IF(C935&lt;&gt;"",C935,IF(B935="","",IFERROR(INDEX(pr_des,MATCH(B935,pr_code,0))&amp;"",""))))</f>
        <v/>
      </c>
      <c r="I935" s="59" t="str">
        <f>IF(B935="","",IFERROR(INDEX(pr_unit,MATCH(B935,pr_code,0))&amp;"",""))</f>
        <v/>
      </c>
      <c r="J935" s="65" t="str">
        <f>IF(COUNTA(A935:G935)=0,"",IF(E935&lt;&gt;"",E935,IF(B935="","",IFERROR(IF(INDEX(pr_price,MATCH(B935,pr_code,0))="","",INDEX(pr_price,MATCH(B935,pr_code,0))),""))))</f>
        <v/>
      </c>
      <c r="K935" s="71" t="str">
        <f>IF(COUNTA(A935:G935)=0,"",IF(G935&lt;&gt;"",G935,IF(B935="","",IFERROR(IF(INDEX(pr_rate,MATCH(B935,pr_code,0))="","",INDEX(pr_rate,MATCH(B935,pr_code,0))),""))))</f>
        <v/>
      </c>
      <c r="L935" s="65" t="str">
        <f>IF(COUNTA(A935:G935)=0,"",IF(AND(ISNUMBER(D935),ISNUMBER(J935)),ROUND(D935*J935*(1-N(F935)),2),0))</f>
        <v/>
      </c>
      <c r="M935" s="62" t="str">
        <f>IF(A935="","",IFERROR(INDEX(dv_cname,MATCH(A935,dv_num,0))&amp;"",""))</f>
        <v/>
      </c>
      <c r="N935" s="59" t="str">
        <f>IF(COUNTA(A935:G935)=0,"",IF(A935="","N° devis manquant",IF(ISNA(MATCH(A935,dv_num,0)),"Devis inconnu",IF(AND(B935&lt;&gt;"",ISNA(MATCH(B935,pr_code,0))),"Article inconnu",IF(H935="","Désignation manquante",IF(OR(NOT(ISNUMBER(D935)),N(D935)&lt;=0),"Quantité invalide",IF(J935="","Prix manquant",IF(OR(NOT(ISNUMBER(J935)),N(J935)&lt;0),"Prix invalide",IF(OR(AND(F935&lt;&gt;"",NOT(ISNUMBER(F935))),N(F935)&lt;0,N(F935)&gt;1),"Remise invalide",IF(K935="","Taux de TVA manquant",IF(NOT(ISNUMBER(K935)),"Taux de TVA invalide",IF(COUNTIF(p_rates,K935)=0,"Taux de TVA hors liste (Paramètres)",IF(N(O935)&gt;25,"Au-delà de 25 lignes : non imprimée","OK")))))))))))))</f>
        <v/>
      </c>
      <c r="O935" s="59" t="str">
        <f>IF(A935="","",COUNTIF($A$6:A935,A935))</f>
        <v/>
      </c>
      <c r="P935" s="62" t="str">
        <f>IF(A935="","",A935&amp;"|"&amp;O935)</f>
        <v/>
      </c>
    </row>
    <row r="936">
      <c r="A936" s="60" t="n"/>
      <c r="B936" s="63" t="n"/>
      <c r="C936" s="63" t="n"/>
      <c r="D936" s="67" t="n"/>
      <c r="E936" s="68" t="n"/>
      <c r="F936" s="69" t="n"/>
      <c r="G936" s="70" t="n"/>
      <c r="H936" s="62" t="str">
        <f>IF(COUNTA(A936:G936)=0,"",IF(C936&lt;&gt;"",C936,IF(B936="","",IFERROR(INDEX(pr_des,MATCH(B936,pr_code,0))&amp;"",""))))</f>
        <v/>
      </c>
      <c r="I936" s="59" t="str">
        <f>IF(B936="","",IFERROR(INDEX(pr_unit,MATCH(B936,pr_code,0))&amp;"",""))</f>
        <v/>
      </c>
      <c r="J936" s="65" t="str">
        <f>IF(COUNTA(A936:G936)=0,"",IF(E936&lt;&gt;"",E936,IF(B936="","",IFERROR(IF(INDEX(pr_price,MATCH(B936,pr_code,0))="","",INDEX(pr_price,MATCH(B936,pr_code,0))),""))))</f>
        <v/>
      </c>
      <c r="K936" s="71" t="str">
        <f>IF(COUNTA(A936:G936)=0,"",IF(G936&lt;&gt;"",G936,IF(B936="","",IFERROR(IF(INDEX(pr_rate,MATCH(B936,pr_code,0))="","",INDEX(pr_rate,MATCH(B936,pr_code,0))),""))))</f>
        <v/>
      </c>
      <c r="L936" s="65" t="str">
        <f>IF(COUNTA(A936:G936)=0,"",IF(AND(ISNUMBER(D936),ISNUMBER(J936)),ROUND(D936*J936*(1-N(F936)),2),0))</f>
        <v/>
      </c>
      <c r="M936" s="62" t="str">
        <f>IF(A936="","",IFERROR(INDEX(dv_cname,MATCH(A936,dv_num,0))&amp;"",""))</f>
        <v/>
      </c>
      <c r="N936" s="59" t="str">
        <f>IF(COUNTA(A936:G936)=0,"",IF(A936="","N° devis manquant",IF(ISNA(MATCH(A936,dv_num,0)),"Devis inconnu",IF(AND(B936&lt;&gt;"",ISNA(MATCH(B936,pr_code,0))),"Article inconnu",IF(H936="","Désignation manquante",IF(OR(NOT(ISNUMBER(D936)),N(D936)&lt;=0),"Quantité invalide",IF(J936="","Prix manquant",IF(OR(NOT(ISNUMBER(J936)),N(J936)&lt;0),"Prix invalide",IF(OR(AND(F936&lt;&gt;"",NOT(ISNUMBER(F936))),N(F936)&lt;0,N(F936)&gt;1),"Remise invalide",IF(K936="","Taux de TVA manquant",IF(NOT(ISNUMBER(K936)),"Taux de TVA invalide",IF(COUNTIF(p_rates,K936)=0,"Taux de TVA hors liste (Paramètres)",IF(N(O936)&gt;25,"Au-delà de 25 lignes : non imprimée","OK")))))))))))))</f>
        <v/>
      </c>
      <c r="O936" s="59" t="str">
        <f>IF(A936="","",COUNTIF($A$6:A936,A936))</f>
        <v/>
      </c>
      <c r="P936" s="62" t="str">
        <f>IF(A936="","",A936&amp;"|"&amp;O936)</f>
        <v/>
      </c>
    </row>
    <row r="937">
      <c r="A937" s="60" t="n"/>
      <c r="B937" s="63" t="n"/>
      <c r="C937" s="63" t="n"/>
      <c r="D937" s="67" t="n"/>
      <c r="E937" s="68" t="n"/>
      <c r="F937" s="69" t="n"/>
      <c r="G937" s="70" t="n"/>
      <c r="H937" s="62" t="str">
        <f>IF(COUNTA(A937:G937)=0,"",IF(C937&lt;&gt;"",C937,IF(B937="","",IFERROR(INDEX(pr_des,MATCH(B937,pr_code,0))&amp;"",""))))</f>
        <v/>
      </c>
      <c r="I937" s="59" t="str">
        <f>IF(B937="","",IFERROR(INDEX(pr_unit,MATCH(B937,pr_code,0))&amp;"",""))</f>
        <v/>
      </c>
      <c r="J937" s="65" t="str">
        <f>IF(COUNTA(A937:G937)=0,"",IF(E937&lt;&gt;"",E937,IF(B937="","",IFERROR(IF(INDEX(pr_price,MATCH(B937,pr_code,0))="","",INDEX(pr_price,MATCH(B937,pr_code,0))),""))))</f>
        <v/>
      </c>
      <c r="K937" s="71" t="str">
        <f>IF(COUNTA(A937:G937)=0,"",IF(G937&lt;&gt;"",G937,IF(B937="","",IFERROR(IF(INDEX(pr_rate,MATCH(B937,pr_code,0))="","",INDEX(pr_rate,MATCH(B937,pr_code,0))),""))))</f>
        <v/>
      </c>
      <c r="L937" s="65" t="str">
        <f>IF(COUNTA(A937:G937)=0,"",IF(AND(ISNUMBER(D937),ISNUMBER(J937)),ROUND(D937*J937*(1-N(F937)),2),0))</f>
        <v/>
      </c>
      <c r="M937" s="62" t="str">
        <f>IF(A937="","",IFERROR(INDEX(dv_cname,MATCH(A937,dv_num,0))&amp;"",""))</f>
        <v/>
      </c>
      <c r="N937" s="59" t="str">
        <f>IF(COUNTA(A937:G937)=0,"",IF(A937="","N° devis manquant",IF(ISNA(MATCH(A937,dv_num,0)),"Devis inconnu",IF(AND(B937&lt;&gt;"",ISNA(MATCH(B937,pr_code,0))),"Article inconnu",IF(H937="","Désignation manquante",IF(OR(NOT(ISNUMBER(D937)),N(D937)&lt;=0),"Quantité invalide",IF(J937="","Prix manquant",IF(OR(NOT(ISNUMBER(J937)),N(J937)&lt;0),"Prix invalide",IF(OR(AND(F937&lt;&gt;"",NOT(ISNUMBER(F937))),N(F937)&lt;0,N(F937)&gt;1),"Remise invalide",IF(K937="","Taux de TVA manquant",IF(NOT(ISNUMBER(K937)),"Taux de TVA invalide",IF(COUNTIF(p_rates,K937)=0,"Taux de TVA hors liste (Paramètres)",IF(N(O937)&gt;25,"Au-delà de 25 lignes : non imprimée","OK")))))))))))))</f>
        <v/>
      </c>
      <c r="O937" s="59" t="str">
        <f>IF(A937="","",COUNTIF($A$6:A937,A937))</f>
        <v/>
      </c>
      <c r="P937" s="62" t="str">
        <f>IF(A937="","",A937&amp;"|"&amp;O937)</f>
        <v/>
      </c>
    </row>
    <row r="938">
      <c r="A938" s="60" t="n"/>
      <c r="B938" s="63" t="n"/>
      <c r="C938" s="63" t="n"/>
      <c r="D938" s="67" t="n"/>
      <c r="E938" s="68" t="n"/>
      <c r="F938" s="69" t="n"/>
      <c r="G938" s="70" t="n"/>
      <c r="H938" s="62" t="str">
        <f>IF(COUNTA(A938:G938)=0,"",IF(C938&lt;&gt;"",C938,IF(B938="","",IFERROR(INDEX(pr_des,MATCH(B938,pr_code,0))&amp;"",""))))</f>
        <v/>
      </c>
      <c r="I938" s="59" t="str">
        <f>IF(B938="","",IFERROR(INDEX(pr_unit,MATCH(B938,pr_code,0))&amp;"",""))</f>
        <v/>
      </c>
      <c r="J938" s="65" t="str">
        <f>IF(COUNTA(A938:G938)=0,"",IF(E938&lt;&gt;"",E938,IF(B938="","",IFERROR(IF(INDEX(pr_price,MATCH(B938,pr_code,0))="","",INDEX(pr_price,MATCH(B938,pr_code,0))),""))))</f>
        <v/>
      </c>
      <c r="K938" s="71" t="str">
        <f>IF(COUNTA(A938:G938)=0,"",IF(G938&lt;&gt;"",G938,IF(B938="","",IFERROR(IF(INDEX(pr_rate,MATCH(B938,pr_code,0))="","",INDEX(pr_rate,MATCH(B938,pr_code,0))),""))))</f>
        <v/>
      </c>
      <c r="L938" s="65" t="str">
        <f>IF(COUNTA(A938:G938)=0,"",IF(AND(ISNUMBER(D938),ISNUMBER(J938)),ROUND(D938*J938*(1-N(F938)),2),0))</f>
        <v/>
      </c>
      <c r="M938" s="62" t="str">
        <f>IF(A938="","",IFERROR(INDEX(dv_cname,MATCH(A938,dv_num,0))&amp;"",""))</f>
        <v/>
      </c>
      <c r="N938" s="59" t="str">
        <f>IF(COUNTA(A938:G938)=0,"",IF(A938="","N° devis manquant",IF(ISNA(MATCH(A938,dv_num,0)),"Devis inconnu",IF(AND(B938&lt;&gt;"",ISNA(MATCH(B938,pr_code,0))),"Article inconnu",IF(H938="","Désignation manquante",IF(OR(NOT(ISNUMBER(D938)),N(D938)&lt;=0),"Quantité invalide",IF(J938="","Prix manquant",IF(OR(NOT(ISNUMBER(J938)),N(J938)&lt;0),"Prix invalide",IF(OR(AND(F938&lt;&gt;"",NOT(ISNUMBER(F938))),N(F938)&lt;0,N(F938)&gt;1),"Remise invalide",IF(K938="","Taux de TVA manquant",IF(NOT(ISNUMBER(K938)),"Taux de TVA invalide",IF(COUNTIF(p_rates,K938)=0,"Taux de TVA hors liste (Paramètres)",IF(N(O938)&gt;25,"Au-delà de 25 lignes : non imprimée","OK")))))))))))))</f>
        <v/>
      </c>
      <c r="O938" s="59" t="str">
        <f>IF(A938="","",COUNTIF($A$6:A938,A938))</f>
        <v/>
      </c>
      <c r="P938" s="62" t="str">
        <f>IF(A938="","",A938&amp;"|"&amp;O938)</f>
        <v/>
      </c>
    </row>
    <row r="939">
      <c r="A939" s="60" t="n"/>
      <c r="B939" s="63" t="n"/>
      <c r="C939" s="63" t="n"/>
      <c r="D939" s="67" t="n"/>
      <c r="E939" s="68" t="n"/>
      <c r="F939" s="69" t="n"/>
      <c r="G939" s="70" t="n"/>
      <c r="H939" s="62" t="str">
        <f>IF(COUNTA(A939:G939)=0,"",IF(C939&lt;&gt;"",C939,IF(B939="","",IFERROR(INDEX(pr_des,MATCH(B939,pr_code,0))&amp;"",""))))</f>
        <v/>
      </c>
      <c r="I939" s="59" t="str">
        <f>IF(B939="","",IFERROR(INDEX(pr_unit,MATCH(B939,pr_code,0))&amp;"",""))</f>
        <v/>
      </c>
      <c r="J939" s="65" t="str">
        <f>IF(COUNTA(A939:G939)=0,"",IF(E939&lt;&gt;"",E939,IF(B939="","",IFERROR(IF(INDEX(pr_price,MATCH(B939,pr_code,0))="","",INDEX(pr_price,MATCH(B939,pr_code,0))),""))))</f>
        <v/>
      </c>
      <c r="K939" s="71" t="str">
        <f>IF(COUNTA(A939:G939)=0,"",IF(G939&lt;&gt;"",G939,IF(B939="","",IFERROR(IF(INDEX(pr_rate,MATCH(B939,pr_code,0))="","",INDEX(pr_rate,MATCH(B939,pr_code,0))),""))))</f>
        <v/>
      </c>
      <c r="L939" s="65" t="str">
        <f>IF(COUNTA(A939:G939)=0,"",IF(AND(ISNUMBER(D939),ISNUMBER(J939)),ROUND(D939*J939*(1-N(F939)),2),0))</f>
        <v/>
      </c>
      <c r="M939" s="62" t="str">
        <f>IF(A939="","",IFERROR(INDEX(dv_cname,MATCH(A939,dv_num,0))&amp;"",""))</f>
        <v/>
      </c>
      <c r="N939" s="59" t="str">
        <f>IF(COUNTA(A939:G939)=0,"",IF(A939="","N° devis manquant",IF(ISNA(MATCH(A939,dv_num,0)),"Devis inconnu",IF(AND(B939&lt;&gt;"",ISNA(MATCH(B939,pr_code,0))),"Article inconnu",IF(H939="","Désignation manquante",IF(OR(NOT(ISNUMBER(D939)),N(D939)&lt;=0),"Quantité invalide",IF(J939="","Prix manquant",IF(OR(NOT(ISNUMBER(J939)),N(J939)&lt;0),"Prix invalide",IF(OR(AND(F939&lt;&gt;"",NOT(ISNUMBER(F939))),N(F939)&lt;0,N(F939)&gt;1),"Remise invalide",IF(K939="","Taux de TVA manquant",IF(NOT(ISNUMBER(K939)),"Taux de TVA invalide",IF(COUNTIF(p_rates,K939)=0,"Taux de TVA hors liste (Paramètres)",IF(N(O939)&gt;25,"Au-delà de 25 lignes : non imprimée","OK")))))))))))))</f>
        <v/>
      </c>
      <c r="O939" s="59" t="str">
        <f>IF(A939="","",COUNTIF($A$6:A939,A939))</f>
        <v/>
      </c>
      <c r="P939" s="62" t="str">
        <f>IF(A939="","",A939&amp;"|"&amp;O939)</f>
        <v/>
      </c>
    </row>
    <row r="940">
      <c r="A940" s="60" t="n"/>
      <c r="B940" s="63" t="n"/>
      <c r="C940" s="63" t="n"/>
      <c r="D940" s="67" t="n"/>
      <c r="E940" s="68" t="n"/>
      <c r="F940" s="69" t="n"/>
      <c r="G940" s="70" t="n"/>
      <c r="H940" s="62" t="str">
        <f>IF(COUNTA(A940:G940)=0,"",IF(C940&lt;&gt;"",C940,IF(B940="","",IFERROR(INDEX(pr_des,MATCH(B940,pr_code,0))&amp;"",""))))</f>
        <v/>
      </c>
      <c r="I940" s="59" t="str">
        <f>IF(B940="","",IFERROR(INDEX(pr_unit,MATCH(B940,pr_code,0))&amp;"",""))</f>
        <v/>
      </c>
      <c r="J940" s="65" t="str">
        <f>IF(COUNTA(A940:G940)=0,"",IF(E940&lt;&gt;"",E940,IF(B940="","",IFERROR(IF(INDEX(pr_price,MATCH(B940,pr_code,0))="","",INDEX(pr_price,MATCH(B940,pr_code,0))),""))))</f>
        <v/>
      </c>
      <c r="K940" s="71" t="str">
        <f>IF(COUNTA(A940:G940)=0,"",IF(G940&lt;&gt;"",G940,IF(B940="","",IFERROR(IF(INDEX(pr_rate,MATCH(B940,pr_code,0))="","",INDEX(pr_rate,MATCH(B940,pr_code,0))),""))))</f>
        <v/>
      </c>
      <c r="L940" s="65" t="str">
        <f>IF(COUNTA(A940:G940)=0,"",IF(AND(ISNUMBER(D940),ISNUMBER(J940)),ROUND(D940*J940*(1-N(F940)),2),0))</f>
        <v/>
      </c>
      <c r="M940" s="62" t="str">
        <f>IF(A940="","",IFERROR(INDEX(dv_cname,MATCH(A940,dv_num,0))&amp;"",""))</f>
        <v/>
      </c>
      <c r="N940" s="59" t="str">
        <f>IF(COUNTA(A940:G940)=0,"",IF(A940="","N° devis manquant",IF(ISNA(MATCH(A940,dv_num,0)),"Devis inconnu",IF(AND(B940&lt;&gt;"",ISNA(MATCH(B940,pr_code,0))),"Article inconnu",IF(H940="","Désignation manquante",IF(OR(NOT(ISNUMBER(D940)),N(D940)&lt;=0),"Quantité invalide",IF(J940="","Prix manquant",IF(OR(NOT(ISNUMBER(J940)),N(J940)&lt;0),"Prix invalide",IF(OR(AND(F940&lt;&gt;"",NOT(ISNUMBER(F940))),N(F940)&lt;0,N(F940)&gt;1),"Remise invalide",IF(K940="","Taux de TVA manquant",IF(NOT(ISNUMBER(K940)),"Taux de TVA invalide",IF(COUNTIF(p_rates,K940)=0,"Taux de TVA hors liste (Paramètres)",IF(N(O940)&gt;25,"Au-delà de 25 lignes : non imprimée","OK")))))))))))))</f>
        <v/>
      </c>
      <c r="O940" s="59" t="str">
        <f>IF(A940="","",COUNTIF($A$6:A940,A940))</f>
        <v/>
      </c>
      <c r="P940" s="62" t="str">
        <f>IF(A940="","",A940&amp;"|"&amp;O940)</f>
        <v/>
      </c>
    </row>
    <row r="941">
      <c r="A941" s="60" t="n"/>
      <c r="B941" s="63" t="n"/>
      <c r="C941" s="63" t="n"/>
      <c r="D941" s="67" t="n"/>
      <c r="E941" s="68" t="n"/>
      <c r="F941" s="69" t="n"/>
      <c r="G941" s="70" t="n"/>
      <c r="H941" s="62" t="str">
        <f>IF(COUNTA(A941:G941)=0,"",IF(C941&lt;&gt;"",C941,IF(B941="","",IFERROR(INDEX(pr_des,MATCH(B941,pr_code,0))&amp;"",""))))</f>
        <v/>
      </c>
      <c r="I941" s="59" t="str">
        <f>IF(B941="","",IFERROR(INDEX(pr_unit,MATCH(B941,pr_code,0))&amp;"",""))</f>
        <v/>
      </c>
      <c r="J941" s="65" t="str">
        <f>IF(COUNTA(A941:G941)=0,"",IF(E941&lt;&gt;"",E941,IF(B941="","",IFERROR(IF(INDEX(pr_price,MATCH(B941,pr_code,0))="","",INDEX(pr_price,MATCH(B941,pr_code,0))),""))))</f>
        <v/>
      </c>
      <c r="K941" s="71" t="str">
        <f>IF(COUNTA(A941:G941)=0,"",IF(G941&lt;&gt;"",G941,IF(B941="","",IFERROR(IF(INDEX(pr_rate,MATCH(B941,pr_code,0))="","",INDEX(pr_rate,MATCH(B941,pr_code,0))),""))))</f>
        <v/>
      </c>
      <c r="L941" s="65" t="str">
        <f>IF(COUNTA(A941:G941)=0,"",IF(AND(ISNUMBER(D941),ISNUMBER(J941)),ROUND(D941*J941*(1-N(F941)),2),0))</f>
        <v/>
      </c>
      <c r="M941" s="62" t="str">
        <f>IF(A941="","",IFERROR(INDEX(dv_cname,MATCH(A941,dv_num,0))&amp;"",""))</f>
        <v/>
      </c>
      <c r="N941" s="59" t="str">
        <f>IF(COUNTA(A941:G941)=0,"",IF(A941="","N° devis manquant",IF(ISNA(MATCH(A941,dv_num,0)),"Devis inconnu",IF(AND(B941&lt;&gt;"",ISNA(MATCH(B941,pr_code,0))),"Article inconnu",IF(H941="","Désignation manquante",IF(OR(NOT(ISNUMBER(D941)),N(D941)&lt;=0),"Quantité invalide",IF(J941="","Prix manquant",IF(OR(NOT(ISNUMBER(J941)),N(J941)&lt;0),"Prix invalide",IF(OR(AND(F941&lt;&gt;"",NOT(ISNUMBER(F941))),N(F941)&lt;0,N(F941)&gt;1),"Remise invalide",IF(K941="","Taux de TVA manquant",IF(NOT(ISNUMBER(K941)),"Taux de TVA invalide",IF(COUNTIF(p_rates,K941)=0,"Taux de TVA hors liste (Paramètres)",IF(N(O941)&gt;25,"Au-delà de 25 lignes : non imprimée","OK")))))))))))))</f>
        <v/>
      </c>
      <c r="O941" s="59" t="str">
        <f>IF(A941="","",COUNTIF($A$6:A941,A941))</f>
        <v/>
      </c>
      <c r="P941" s="62" t="str">
        <f>IF(A941="","",A941&amp;"|"&amp;O941)</f>
        <v/>
      </c>
    </row>
    <row r="942">
      <c r="A942" s="60" t="n"/>
      <c r="B942" s="63" t="n"/>
      <c r="C942" s="63" t="n"/>
      <c r="D942" s="67" t="n"/>
      <c r="E942" s="68" t="n"/>
      <c r="F942" s="69" t="n"/>
      <c r="G942" s="70" t="n"/>
      <c r="H942" s="62" t="str">
        <f>IF(COUNTA(A942:G942)=0,"",IF(C942&lt;&gt;"",C942,IF(B942="","",IFERROR(INDEX(pr_des,MATCH(B942,pr_code,0))&amp;"",""))))</f>
        <v/>
      </c>
      <c r="I942" s="59" t="str">
        <f>IF(B942="","",IFERROR(INDEX(pr_unit,MATCH(B942,pr_code,0))&amp;"",""))</f>
        <v/>
      </c>
      <c r="J942" s="65" t="str">
        <f>IF(COUNTA(A942:G942)=0,"",IF(E942&lt;&gt;"",E942,IF(B942="","",IFERROR(IF(INDEX(pr_price,MATCH(B942,pr_code,0))="","",INDEX(pr_price,MATCH(B942,pr_code,0))),""))))</f>
        <v/>
      </c>
      <c r="K942" s="71" t="str">
        <f>IF(COUNTA(A942:G942)=0,"",IF(G942&lt;&gt;"",G942,IF(B942="","",IFERROR(IF(INDEX(pr_rate,MATCH(B942,pr_code,0))="","",INDEX(pr_rate,MATCH(B942,pr_code,0))),""))))</f>
        <v/>
      </c>
      <c r="L942" s="65" t="str">
        <f>IF(COUNTA(A942:G942)=0,"",IF(AND(ISNUMBER(D942),ISNUMBER(J942)),ROUND(D942*J942*(1-N(F942)),2),0))</f>
        <v/>
      </c>
      <c r="M942" s="62" t="str">
        <f>IF(A942="","",IFERROR(INDEX(dv_cname,MATCH(A942,dv_num,0))&amp;"",""))</f>
        <v/>
      </c>
      <c r="N942" s="59" t="str">
        <f>IF(COUNTA(A942:G942)=0,"",IF(A942="","N° devis manquant",IF(ISNA(MATCH(A942,dv_num,0)),"Devis inconnu",IF(AND(B942&lt;&gt;"",ISNA(MATCH(B942,pr_code,0))),"Article inconnu",IF(H942="","Désignation manquante",IF(OR(NOT(ISNUMBER(D942)),N(D942)&lt;=0),"Quantité invalide",IF(J942="","Prix manquant",IF(OR(NOT(ISNUMBER(J942)),N(J942)&lt;0),"Prix invalide",IF(OR(AND(F942&lt;&gt;"",NOT(ISNUMBER(F942))),N(F942)&lt;0,N(F942)&gt;1),"Remise invalide",IF(K942="","Taux de TVA manquant",IF(NOT(ISNUMBER(K942)),"Taux de TVA invalide",IF(COUNTIF(p_rates,K942)=0,"Taux de TVA hors liste (Paramètres)",IF(N(O942)&gt;25,"Au-delà de 25 lignes : non imprimée","OK")))))))))))))</f>
        <v/>
      </c>
      <c r="O942" s="59" t="str">
        <f>IF(A942="","",COUNTIF($A$6:A942,A942))</f>
        <v/>
      </c>
      <c r="P942" s="62" t="str">
        <f>IF(A942="","",A942&amp;"|"&amp;O942)</f>
        <v/>
      </c>
    </row>
    <row r="943">
      <c r="A943" s="60" t="n"/>
      <c r="B943" s="63" t="n"/>
      <c r="C943" s="63" t="n"/>
      <c r="D943" s="67" t="n"/>
      <c r="E943" s="68" t="n"/>
      <c r="F943" s="69" t="n"/>
      <c r="G943" s="70" t="n"/>
      <c r="H943" s="62" t="str">
        <f>IF(COUNTA(A943:G943)=0,"",IF(C943&lt;&gt;"",C943,IF(B943="","",IFERROR(INDEX(pr_des,MATCH(B943,pr_code,0))&amp;"",""))))</f>
        <v/>
      </c>
      <c r="I943" s="59" t="str">
        <f>IF(B943="","",IFERROR(INDEX(pr_unit,MATCH(B943,pr_code,0))&amp;"",""))</f>
        <v/>
      </c>
      <c r="J943" s="65" t="str">
        <f>IF(COUNTA(A943:G943)=0,"",IF(E943&lt;&gt;"",E943,IF(B943="","",IFERROR(IF(INDEX(pr_price,MATCH(B943,pr_code,0))="","",INDEX(pr_price,MATCH(B943,pr_code,0))),""))))</f>
        <v/>
      </c>
      <c r="K943" s="71" t="str">
        <f>IF(COUNTA(A943:G943)=0,"",IF(G943&lt;&gt;"",G943,IF(B943="","",IFERROR(IF(INDEX(pr_rate,MATCH(B943,pr_code,0))="","",INDEX(pr_rate,MATCH(B943,pr_code,0))),""))))</f>
        <v/>
      </c>
      <c r="L943" s="65" t="str">
        <f>IF(COUNTA(A943:G943)=0,"",IF(AND(ISNUMBER(D943),ISNUMBER(J943)),ROUND(D943*J943*(1-N(F943)),2),0))</f>
        <v/>
      </c>
      <c r="M943" s="62" t="str">
        <f>IF(A943="","",IFERROR(INDEX(dv_cname,MATCH(A943,dv_num,0))&amp;"",""))</f>
        <v/>
      </c>
      <c r="N943" s="59" t="str">
        <f>IF(COUNTA(A943:G943)=0,"",IF(A943="","N° devis manquant",IF(ISNA(MATCH(A943,dv_num,0)),"Devis inconnu",IF(AND(B943&lt;&gt;"",ISNA(MATCH(B943,pr_code,0))),"Article inconnu",IF(H943="","Désignation manquante",IF(OR(NOT(ISNUMBER(D943)),N(D943)&lt;=0),"Quantité invalide",IF(J943="","Prix manquant",IF(OR(NOT(ISNUMBER(J943)),N(J943)&lt;0),"Prix invalide",IF(OR(AND(F943&lt;&gt;"",NOT(ISNUMBER(F943))),N(F943)&lt;0,N(F943)&gt;1),"Remise invalide",IF(K943="","Taux de TVA manquant",IF(NOT(ISNUMBER(K943)),"Taux de TVA invalide",IF(COUNTIF(p_rates,K943)=0,"Taux de TVA hors liste (Paramètres)",IF(N(O943)&gt;25,"Au-delà de 25 lignes : non imprimée","OK")))))))))))))</f>
        <v/>
      </c>
      <c r="O943" s="59" t="str">
        <f>IF(A943="","",COUNTIF($A$6:A943,A943))</f>
        <v/>
      </c>
      <c r="P943" s="62" t="str">
        <f>IF(A943="","",A943&amp;"|"&amp;O943)</f>
        <v/>
      </c>
    </row>
    <row r="944">
      <c r="A944" s="60" t="n"/>
      <c r="B944" s="63" t="n"/>
      <c r="C944" s="63" t="n"/>
      <c r="D944" s="67" t="n"/>
      <c r="E944" s="68" t="n"/>
      <c r="F944" s="69" t="n"/>
      <c r="G944" s="70" t="n"/>
      <c r="H944" s="62" t="str">
        <f>IF(COUNTA(A944:G944)=0,"",IF(C944&lt;&gt;"",C944,IF(B944="","",IFERROR(INDEX(pr_des,MATCH(B944,pr_code,0))&amp;"",""))))</f>
        <v/>
      </c>
      <c r="I944" s="59" t="str">
        <f>IF(B944="","",IFERROR(INDEX(pr_unit,MATCH(B944,pr_code,0))&amp;"",""))</f>
        <v/>
      </c>
      <c r="J944" s="65" t="str">
        <f>IF(COUNTA(A944:G944)=0,"",IF(E944&lt;&gt;"",E944,IF(B944="","",IFERROR(IF(INDEX(pr_price,MATCH(B944,pr_code,0))="","",INDEX(pr_price,MATCH(B944,pr_code,0))),""))))</f>
        <v/>
      </c>
      <c r="K944" s="71" t="str">
        <f>IF(COUNTA(A944:G944)=0,"",IF(G944&lt;&gt;"",G944,IF(B944="","",IFERROR(IF(INDEX(pr_rate,MATCH(B944,pr_code,0))="","",INDEX(pr_rate,MATCH(B944,pr_code,0))),""))))</f>
        <v/>
      </c>
      <c r="L944" s="65" t="str">
        <f>IF(COUNTA(A944:G944)=0,"",IF(AND(ISNUMBER(D944),ISNUMBER(J944)),ROUND(D944*J944*(1-N(F944)),2),0))</f>
        <v/>
      </c>
      <c r="M944" s="62" t="str">
        <f>IF(A944="","",IFERROR(INDEX(dv_cname,MATCH(A944,dv_num,0))&amp;"",""))</f>
        <v/>
      </c>
      <c r="N944" s="59" t="str">
        <f>IF(COUNTA(A944:G944)=0,"",IF(A944="","N° devis manquant",IF(ISNA(MATCH(A944,dv_num,0)),"Devis inconnu",IF(AND(B944&lt;&gt;"",ISNA(MATCH(B944,pr_code,0))),"Article inconnu",IF(H944="","Désignation manquante",IF(OR(NOT(ISNUMBER(D944)),N(D944)&lt;=0),"Quantité invalide",IF(J944="","Prix manquant",IF(OR(NOT(ISNUMBER(J944)),N(J944)&lt;0),"Prix invalide",IF(OR(AND(F944&lt;&gt;"",NOT(ISNUMBER(F944))),N(F944)&lt;0,N(F944)&gt;1),"Remise invalide",IF(K944="","Taux de TVA manquant",IF(NOT(ISNUMBER(K944)),"Taux de TVA invalide",IF(COUNTIF(p_rates,K944)=0,"Taux de TVA hors liste (Paramètres)",IF(N(O944)&gt;25,"Au-delà de 25 lignes : non imprimée","OK")))))))))))))</f>
        <v/>
      </c>
      <c r="O944" s="59" t="str">
        <f>IF(A944="","",COUNTIF($A$6:A944,A944))</f>
        <v/>
      </c>
      <c r="P944" s="62" t="str">
        <f>IF(A944="","",A944&amp;"|"&amp;O944)</f>
        <v/>
      </c>
    </row>
    <row r="945">
      <c r="A945" s="60" t="n"/>
      <c r="B945" s="63" t="n"/>
      <c r="C945" s="63" t="n"/>
      <c r="D945" s="67" t="n"/>
      <c r="E945" s="68" t="n"/>
      <c r="F945" s="69" t="n"/>
      <c r="G945" s="70" t="n"/>
      <c r="H945" s="62" t="str">
        <f>IF(COUNTA(A945:G945)=0,"",IF(C945&lt;&gt;"",C945,IF(B945="","",IFERROR(INDEX(pr_des,MATCH(B945,pr_code,0))&amp;"",""))))</f>
        <v/>
      </c>
      <c r="I945" s="59" t="str">
        <f>IF(B945="","",IFERROR(INDEX(pr_unit,MATCH(B945,pr_code,0))&amp;"",""))</f>
        <v/>
      </c>
      <c r="J945" s="65" t="str">
        <f>IF(COUNTA(A945:G945)=0,"",IF(E945&lt;&gt;"",E945,IF(B945="","",IFERROR(IF(INDEX(pr_price,MATCH(B945,pr_code,0))="","",INDEX(pr_price,MATCH(B945,pr_code,0))),""))))</f>
        <v/>
      </c>
      <c r="K945" s="71" t="str">
        <f>IF(COUNTA(A945:G945)=0,"",IF(G945&lt;&gt;"",G945,IF(B945="","",IFERROR(IF(INDEX(pr_rate,MATCH(B945,pr_code,0))="","",INDEX(pr_rate,MATCH(B945,pr_code,0))),""))))</f>
        <v/>
      </c>
      <c r="L945" s="65" t="str">
        <f>IF(COUNTA(A945:G945)=0,"",IF(AND(ISNUMBER(D945),ISNUMBER(J945)),ROUND(D945*J945*(1-N(F945)),2),0))</f>
        <v/>
      </c>
      <c r="M945" s="62" t="str">
        <f>IF(A945="","",IFERROR(INDEX(dv_cname,MATCH(A945,dv_num,0))&amp;"",""))</f>
        <v/>
      </c>
      <c r="N945" s="59" t="str">
        <f>IF(COUNTA(A945:G945)=0,"",IF(A945="","N° devis manquant",IF(ISNA(MATCH(A945,dv_num,0)),"Devis inconnu",IF(AND(B945&lt;&gt;"",ISNA(MATCH(B945,pr_code,0))),"Article inconnu",IF(H945="","Désignation manquante",IF(OR(NOT(ISNUMBER(D945)),N(D945)&lt;=0),"Quantité invalide",IF(J945="","Prix manquant",IF(OR(NOT(ISNUMBER(J945)),N(J945)&lt;0),"Prix invalide",IF(OR(AND(F945&lt;&gt;"",NOT(ISNUMBER(F945))),N(F945)&lt;0,N(F945)&gt;1),"Remise invalide",IF(K945="","Taux de TVA manquant",IF(NOT(ISNUMBER(K945)),"Taux de TVA invalide",IF(COUNTIF(p_rates,K945)=0,"Taux de TVA hors liste (Paramètres)",IF(N(O945)&gt;25,"Au-delà de 25 lignes : non imprimée","OK")))))))))))))</f>
        <v/>
      </c>
      <c r="O945" s="59" t="str">
        <f>IF(A945="","",COUNTIF($A$6:A945,A945))</f>
        <v/>
      </c>
      <c r="P945" s="62" t="str">
        <f>IF(A945="","",A945&amp;"|"&amp;O945)</f>
        <v/>
      </c>
    </row>
    <row r="946">
      <c r="A946" s="60" t="n"/>
      <c r="B946" s="63" t="n"/>
      <c r="C946" s="63" t="n"/>
      <c r="D946" s="67" t="n"/>
      <c r="E946" s="68" t="n"/>
      <c r="F946" s="69" t="n"/>
      <c r="G946" s="70" t="n"/>
      <c r="H946" s="62" t="str">
        <f>IF(COUNTA(A946:G946)=0,"",IF(C946&lt;&gt;"",C946,IF(B946="","",IFERROR(INDEX(pr_des,MATCH(B946,pr_code,0))&amp;"",""))))</f>
        <v/>
      </c>
      <c r="I946" s="59" t="str">
        <f>IF(B946="","",IFERROR(INDEX(pr_unit,MATCH(B946,pr_code,0))&amp;"",""))</f>
        <v/>
      </c>
      <c r="J946" s="65" t="str">
        <f>IF(COUNTA(A946:G946)=0,"",IF(E946&lt;&gt;"",E946,IF(B946="","",IFERROR(IF(INDEX(pr_price,MATCH(B946,pr_code,0))="","",INDEX(pr_price,MATCH(B946,pr_code,0))),""))))</f>
        <v/>
      </c>
      <c r="K946" s="71" t="str">
        <f>IF(COUNTA(A946:G946)=0,"",IF(G946&lt;&gt;"",G946,IF(B946="","",IFERROR(IF(INDEX(pr_rate,MATCH(B946,pr_code,0))="","",INDEX(pr_rate,MATCH(B946,pr_code,0))),""))))</f>
        <v/>
      </c>
      <c r="L946" s="65" t="str">
        <f>IF(COUNTA(A946:G946)=0,"",IF(AND(ISNUMBER(D946),ISNUMBER(J946)),ROUND(D946*J946*(1-N(F946)),2),0))</f>
        <v/>
      </c>
      <c r="M946" s="62" t="str">
        <f>IF(A946="","",IFERROR(INDEX(dv_cname,MATCH(A946,dv_num,0))&amp;"",""))</f>
        <v/>
      </c>
      <c r="N946" s="59" t="str">
        <f>IF(COUNTA(A946:G946)=0,"",IF(A946="","N° devis manquant",IF(ISNA(MATCH(A946,dv_num,0)),"Devis inconnu",IF(AND(B946&lt;&gt;"",ISNA(MATCH(B946,pr_code,0))),"Article inconnu",IF(H946="","Désignation manquante",IF(OR(NOT(ISNUMBER(D946)),N(D946)&lt;=0),"Quantité invalide",IF(J946="","Prix manquant",IF(OR(NOT(ISNUMBER(J946)),N(J946)&lt;0),"Prix invalide",IF(OR(AND(F946&lt;&gt;"",NOT(ISNUMBER(F946))),N(F946)&lt;0,N(F946)&gt;1),"Remise invalide",IF(K946="","Taux de TVA manquant",IF(NOT(ISNUMBER(K946)),"Taux de TVA invalide",IF(COUNTIF(p_rates,K946)=0,"Taux de TVA hors liste (Paramètres)",IF(N(O946)&gt;25,"Au-delà de 25 lignes : non imprimée","OK")))))))))))))</f>
        <v/>
      </c>
      <c r="O946" s="59" t="str">
        <f>IF(A946="","",COUNTIF($A$6:A946,A946))</f>
        <v/>
      </c>
      <c r="P946" s="62" t="str">
        <f>IF(A946="","",A946&amp;"|"&amp;O946)</f>
        <v/>
      </c>
    </row>
    <row r="947">
      <c r="A947" s="60" t="n"/>
      <c r="B947" s="63" t="n"/>
      <c r="C947" s="63" t="n"/>
      <c r="D947" s="67" t="n"/>
      <c r="E947" s="68" t="n"/>
      <c r="F947" s="69" t="n"/>
      <c r="G947" s="70" t="n"/>
      <c r="H947" s="62" t="str">
        <f>IF(COUNTA(A947:G947)=0,"",IF(C947&lt;&gt;"",C947,IF(B947="","",IFERROR(INDEX(pr_des,MATCH(B947,pr_code,0))&amp;"",""))))</f>
        <v/>
      </c>
      <c r="I947" s="59" t="str">
        <f>IF(B947="","",IFERROR(INDEX(pr_unit,MATCH(B947,pr_code,0))&amp;"",""))</f>
        <v/>
      </c>
      <c r="J947" s="65" t="str">
        <f>IF(COUNTA(A947:G947)=0,"",IF(E947&lt;&gt;"",E947,IF(B947="","",IFERROR(IF(INDEX(pr_price,MATCH(B947,pr_code,0))="","",INDEX(pr_price,MATCH(B947,pr_code,0))),""))))</f>
        <v/>
      </c>
      <c r="K947" s="71" t="str">
        <f>IF(COUNTA(A947:G947)=0,"",IF(G947&lt;&gt;"",G947,IF(B947="","",IFERROR(IF(INDEX(pr_rate,MATCH(B947,pr_code,0))="","",INDEX(pr_rate,MATCH(B947,pr_code,0))),""))))</f>
        <v/>
      </c>
      <c r="L947" s="65" t="str">
        <f>IF(COUNTA(A947:G947)=0,"",IF(AND(ISNUMBER(D947),ISNUMBER(J947)),ROUND(D947*J947*(1-N(F947)),2),0))</f>
        <v/>
      </c>
      <c r="M947" s="62" t="str">
        <f>IF(A947="","",IFERROR(INDEX(dv_cname,MATCH(A947,dv_num,0))&amp;"",""))</f>
        <v/>
      </c>
      <c r="N947" s="59" t="str">
        <f>IF(COUNTA(A947:G947)=0,"",IF(A947="","N° devis manquant",IF(ISNA(MATCH(A947,dv_num,0)),"Devis inconnu",IF(AND(B947&lt;&gt;"",ISNA(MATCH(B947,pr_code,0))),"Article inconnu",IF(H947="","Désignation manquante",IF(OR(NOT(ISNUMBER(D947)),N(D947)&lt;=0),"Quantité invalide",IF(J947="","Prix manquant",IF(OR(NOT(ISNUMBER(J947)),N(J947)&lt;0),"Prix invalide",IF(OR(AND(F947&lt;&gt;"",NOT(ISNUMBER(F947))),N(F947)&lt;0,N(F947)&gt;1),"Remise invalide",IF(K947="","Taux de TVA manquant",IF(NOT(ISNUMBER(K947)),"Taux de TVA invalide",IF(COUNTIF(p_rates,K947)=0,"Taux de TVA hors liste (Paramètres)",IF(N(O947)&gt;25,"Au-delà de 25 lignes : non imprimée","OK")))))))))))))</f>
        <v/>
      </c>
      <c r="O947" s="59" t="str">
        <f>IF(A947="","",COUNTIF($A$6:A947,A947))</f>
        <v/>
      </c>
      <c r="P947" s="62" t="str">
        <f>IF(A947="","",A947&amp;"|"&amp;O947)</f>
        <v/>
      </c>
    </row>
    <row r="948">
      <c r="A948" s="60" t="n"/>
      <c r="B948" s="63" t="n"/>
      <c r="C948" s="63" t="n"/>
      <c r="D948" s="67" t="n"/>
      <c r="E948" s="68" t="n"/>
      <c r="F948" s="69" t="n"/>
      <c r="G948" s="70" t="n"/>
      <c r="H948" s="62" t="str">
        <f>IF(COUNTA(A948:G948)=0,"",IF(C948&lt;&gt;"",C948,IF(B948="","",IFERROR(INDEX(pr_des,MATCH(B948,pr_code,0))&amp;"",""))))</f>
        <v/>
      </c>
      <c r="I948" s="59" t="str">
        <f>IF(B948="","",IFERROR(INDEX(pr_unit,MATCH(B948,pr_code,0))&amp;"",""))</f>
        <v/>
      </c>
      <c r="J948" s="65" t="str">
        <f>IF(COUNTA(A948:G948)=0,"",IF(E948&lt;&gt;"",E948,IF(B948="","",IFERROR(IF(INDEX(pr_price,MATCH(B948,pr_code,0))="","",INDEX(pr_price,MATCH(B948,pr_code,0))),""))))</f>
        <v/>
      </c>
      <c r="K948" s="71" t="str">
        <f>IF(COUNTA(A948:G948)=0,"",IF(G948&lt;&gt;"",G948,IF(B948="","",IFERROR(IF(INDEX(pr_rate,MATCH(B948,pr_code,0))="","",INDEX(pr_rate,MATCH(B948,pr_code,0))),""))))</f>
        <v/>
      </c>
      <c r="L948" s="65" t="str">
        <f>IF(COUNTA(A948:G948)=0,"",IF(AND(ISNUMBER(D948),ISNUMBER(J948)),ROUND(D948*J948*(1-N(F948)),2),0))</f>
        <v/>
      </c>
      <c r="M948" s="62" t="str">
        <f>IF(A948="","",IFERROR(INDEX(dv_cname,MATCH(A948,dv_num,0))&amp;"",""))</f>
        <v/>
      </c>
      <c r="N948" s="59" t="str">
        <f>IF(COUNTA(A948:G948)=0,"",IF(A948="","N° devis manquant",IF(ISNA(MATCH(A948,dv_num,0)),"Devis inconnu",IF(AND(B948&lt;&gt;"",ISNA(MATCH(B948,pr_code,0))),"Article inconnu",IF(H948="","Désignation manquante",IF(OR(NOT(ISNUMBER(D948)),N(D948)&lt;=0),"Quantité invalide",IF(J948="","Prix manquant",IF(OR(NOT(ISNUMBER(J948)),N(J948)&lt;0),"Prix invalide",IF(OR(AND(F948&lt;&gt;"",NOT(ISNUMBER(F948))),N(F948)&lt;0,N(F948)&gt;1),"Remise invalide",IF(K948="","Taux de TVA manquant",IF(NOT(ISNUMBER(K948)),"Taux de TVA invalide",IF(COUNTIF(p_rates,K948)=0,"Taux de TVA hors liste (Paramètres)",IF(N(O948)&gt;25,"Au-delà de 25 lignes : non imprimée","OK")))))))))))))</f>
        <v/>
      </c>
      <c r="O948" s="59" t="str">
        <f>IF(A948="","",COUNTIF($A$6:A948,A948))</f>
        <v/>
      </c>
      <c r="P948" s="62" t="str">
        <f>IF(A948="","",A948&amp;"|"&amp;O948)</f>
        <v/>
      </c>
    </row>
    <row r="949">
      <c r="A949" s="60" t="n"/>
      <c r="B949" s="63" t="n"/>
      <c r="C949" s="63" t="n"/>
      <c r="D949" s="67" t="n"/>
      <c r="E949" s="68" t="n"/>
      <c r="F949" s="69" t="n"/>
      <c r="G949" s="70" t="n"/>
      <c r="H949" s="62" t="str">
        <f>IF(COUNTA(A949:G949)=0,"",IF(C949&lt;&gt;"",C949,IF(B949="","",IFERROR(INDEX(pr_des,MATCH(B949,pr_code,0))&amp;"",""))))</f>
        <v/>
      </c>
      <c r="I949" s="59" t="str">
        <f>IF(B949="","",IFERROR(INDEX(pr_unit,MATCH(B949,pr_code,0))&amp;"",""))</f>
        <v/>
      </c>
      <c r="J949" s="65" t="str">
        <f>IF(COUNTA(A949:G949)=0,"",IF(E949&lt;&gt;"",E949,IF(B949="","",IFERROR(IF(INDEX(pr_price,MATCH(B949,pr_code,0))="","",INDEX(pr_price,MATCH(B949,pr_code,0))),""))))</f>
        <v/>
      </c>
      <c r="K949" s="71" t="str">
        <f>IF(COUNTA(A949:G949)=0,"",IF(G949&lt;&gt;"",G949,IF(B949="","",IFERROR(IF(INDEX(pr_rate,MATCH(B949,pr_code,0))="","",INDEX(pr_rate,MATCH(B949,pr_code,0))),""))))</f>
        <v/>
      </c>
      <c r="L949" s="65" t="str">
        <f>IF(COUNTA(A949:G949)=0,"",IF(AND(ISNUMBER(D949),ISNUMBER(J949)),ROUND(D949*J949*(1-N(F949)),2),0))</f>
        <v/>
      </c>
      <c r="M949" s="62" t="str">
        <f>IF(A949="","",IFERROR(INDEX(dv_cname,MATCH(A949,dv_num,0))&amp;"",""))</f>
        <v/>
      </c>
      <c r="N949" s="59" t="str">
        <f>IF(COUNTA(A949:G949)=0,"",IF(A949="","N° devis manquant",IF(ISNA(MATCH(A949,dv_num,0)),"Devis inconnu",IF(AND(B949&lt;&gt;"",ISNA(MATCH(B949,pr_code,0))),"Article inconnu",IF(H949="","Désignation manquante",IF(OR(NOT(ISNUMBER(D949)),N(D949)&lt;=0),"Quantité invalide",IF(J949="","Prix manquant",IF(OR(NOT(ISNUMBER(J949)),N(J949)&lt;0),"Prix invalide",IF(OR(AND(F949&lt;&gt;"",NOT(ISNUMBER(F949))),N(F949)&lt;0,N(F949)&gt;1),"Remise invalide",IF(K949="","Taux de TVA manquant",IF(NOT(ISNUMBER(K949)),"Taux de TVA invalide",IF(COUNTIF(p_rates,K949)=0,"Taux de TVA hors liste (Paramètres)",IF(N(O949)&gt;25,"Au-delà de 25 lignes : non imprimée","OK")))))))))))))</f>
        <v/>
      </c>
      <c r="O949" s="59" t="str">
        <f>IF(A949="","",COUNTIF($A$6:A949,A949))</f>
        <v/>
      </c>
      <c r="P949" s="62" t="str">
        <f>IF(A949="","",A949&amp;"|"&amp;O949)</f>
        <v/>
      </c>
    </row>
    <row r="950">
      <c r="A950" s="60" t="n"/>
      <c r="B950" s="63" t="n"/>
      <c r="C950" s="63" t="n"/>
      <c r="D950" s="67" t="n"/>
      <c r="E950" s="68" t="n"/>
      <c r="F950" s="69" t="n"/>
      <c r="G950" s="70" t="n"/>
      <c r="H950" s="62" t="str">
        <f>IF(COUNTA(A950:G950)=0,"",IF(C950&lt;&gt;"",C950,IF(B950="","",IFERROR(INDEX(pr_des,MATCH(B950,pr_code,0))&amp;"",""))))</f>
        <v/>
      </c>
      <c r="I950" s="59" t="str">
        <f>IF(B950="","",IFERROR(INDEX(pr_unit,MATCH(B950,pr_code,0))&amp;"",""))</f>
        <v/>
      </c>
      <c r="J950" s="65" t="str">
        <f>IF(COUNTA(A950:G950)=0,"",IF(E950&lt;&gt;"",E950,IF(B950="","",IFERROR(IF(INDEX(pr_price,MATCH(B950,pr_code,0))="","",INDEX(pr_price,MATCH(B950,pr_code,0))),""))))</f>
        <v/>
      </c>
      <c r="K950" s="71" t="str">
        <f>IF(COUNTA(A950:G950)=0,"",IF(G950&lt;&gt;"",G950,IF(B950="","",IFERROR(IF(INDEX(pr_rate,MATCH(B950,pr_code,0))="","",INDEX(pr_rate,MATCH(B950,pr_code,0))),""))))</f>
        <v/>
      </c>
      <c r="L950" s="65" t="str">
        <f>IF(COUNTA(A950:G950)=0,"",IF(AND(ISNUMBER(D950),ISNUMBER(J950)),ROUND(D950*J950*(1-N(F950)),2),0))</f>
        <v/>
      </c>
      <c r="M950" s="62" t="str">
        <f>IF(A950="","",IFERROR(INDEX(dv_cname,MATCH(A950,dv_num,0))&amp;"",""))</f>
        <v/>
      </c>
      <c r="N950" s="59" t="str">
        <f>IF(COUNTA(A950:G950)=0,"",IF(A950="","N° devis manquant",IF(ISNA(MATCH(A950,dv_num,0)),"Devis inconnu",IF(AND(B950&lt;&gt;"",ISNA(MATCH(B950,pr_code,0))),"Article inconnu",IF(H950="","Désignation manquante",IF(OR(NOT(ISNUMBER(D950)),N(D950)&lt;=0),"Quantité invalide",IF(J950="","Prix manquant",IF(OR(NOT(ISNUMBER(J950)),N(J950)&lt;0),"Prix invalide",IF(OR(AND(F950&lt;&gt;"",NOT(ISNUMBER(F950))),N(F950)&lt;0,N(F950)&gt;1),"Remise invalide",IF(K950="","Taux de TVA manquant",IF(NOT(ISNUMBER(K950)),"Taux de TVA invalide",IF(COUNTIF(p_rates,K950)=0,"Taux de TVA hors liste (Paramètres)",IF(N(O950)&gt;25,"Au-delà de 25 lignes : non imprimée","OK")))))))))))))</f>
        <v/>
      </c>
      <c r="O950" s="59" t="str">
        <f>IF(A950="","",COUNTIF($A$6:A950,A950))</f>
        <v/>
      </c>
      <c r="P950" s="62" t="str">
        <f>IF(A950="","",A950&amp;"|"&amp;O950)</f>
        <v/>
      </c>
    </row>
    <row r="951">
      <c r="A951" s="60" t="n"/>
      <c r="B951" s="63" t="n"/>
      <c r="C951" s="63" t="n"/>
      <c r="D951" s="67" t="n"/>
      <c r="E951" s="68" t="n"/>
      <c r="F951" s="69" t="n"/>
      <c r="G951" s="70" t="n"/>
      <c r="H951" s="62" t="str">
        <f>IF(COUNTA(A951:G951)=0,"",IF(C951&lt;&gt;"",C951,IF(B951="","",IFERROR(INDEX(pr_des,MATCH(B951,pr_code,0))&amp;"",""))))</f>
        <v/>
      </c>
      <c r="I951" s="59" t="str">
        <f>IF(B951="","",IFERROR(INDEX(pr_unit,MATCH(B951,pr_code,0))&amp;"",""))</f>
        <v/>
      </c>
      <c r="J951" s="65" t="str">
        <f>IF(COUNTA(A951:G951)=0,"",IF(E951&lt;&gt;"",E951,IF(B951="","",IFERROR(IF(INDEX(pr_price,MATCH(B951,pr_code,0))="","",INDEX(pr_price,MATCH(B951,pr_code,0))),""))))</f>
        <v/>
      </c>
      <c r="K951" s="71" t="str">
        <f>IF(COUNTA(A951:G951)=0,"",IF(G951&lt;&gt;"",G951,IF(B951="","",IFERROR(IF(INDEX(pr_rate,MATCH(B951,pr_code,0))="","",INDEX(pr_rate,MATCH(B951,pr_code,0))),""))))</f>
        <v/>
      </c>
      <c r="L951" s="65" t="str">
        <f>IF(COUNTA(A951:G951)=0,"",IF(AND(ISNUMBER(D951),ISNUMBER(J951)),ROUND(D951*J951*(1-N(F951)),2),0))</f>
        <v/>
      </c>
      <c r="M951" s="62" t="str">
        <f>IF(A951="","",IFERROR(INDEX(dv_cname,MATCH(A951,dv_num,0))&amp;"",""))</f>
        <v/>
      </c>
      <c r="N951" s="59" t="str">
        <f>IF(COUNTA(A951:G951)=0,"",IF(A951="","N° devis manquant",IF(ISNA(MATCH(A951,dv_num,0)),"Devis inconnu",IF(AND(B951&lt;&gt;"",ISNA(MATCH(B951,pr_code,0))),"Article inconnu",IF(H951="","Désignation manquante",IF(OR(NOT(ISNUMBER(D951)),N(D951)&lt;=0),"Quantité invalide",IF(J951="","Prix manquant",IF(OR(NOT(ISNUMBER(J951)),N(J951)&lt;0),"Prix invalide",IF(OR(AND(F951&lt;&gt;"",NOT(ISNUMBER(F951))),N(F951)&lt;0,N(F951)&gt;1),"Remise invalide",IF(K951="","Taux de TVA manquant",IF(NOT(ISNUMBER(K951)),"Taux de TVA invalide",IF(COUNTIF(p_rates,K951)=0,"Taux de TVA hors liste (Paramètres)",IF(N(O951)&gt;25,"Au-delà de 25 lignes : non imprimée","OK")))))))))))))</f>
        <v/>
      </c>
      <c r="O951" s="59" t="str">
        <f>IF(A951="","",COUNTIF($A$6:A951,A951))</f>
        <v/>
      </c>
      <c r="P951" s="62" t="str">
        <f>IF(A951="","",A951&amp;"|"&amp;O951)</f>
        <v/>
      </c>
    </row>
    <row r="952">
      <c r="A952" s="60" t="n"/>
      <c r="B952" s="63" t="n"/>
      <c r="C952" s="63" t="n"/>
      <c r="D952" s="67" t="n"/>
      <c r="E952" s="68" t="n"/>
      <c r="F952" s="69" t="n"/>
      <c r="G952" s="70" t="n"/>
      <c r="H952" s="62" t="str">
        <f>IF(COUNTA(A952:G952)=0,"",IF(C952&lt;&gt;"",C952,IF(B952="","",IFERROR(INDEX(pr_des,MATCH(B952,pr_code,0))&amp;"",""))))</f>
        <v/>
      </c>
      <c r="I952" s="59" t="str">
        <f>IF(B952="","",IFERROR(INDEX(pr_unit,MATCH(B952,pr_code,0))&amp;"",""))</f>
        <v/>
      </c>
      <c r="J952" s="65" t="str">
        <f>IF(COUNTA(A952:G952)=0,"",IF(E952&lt;&gt;"",E952,IF(B952="","",IFERROR(IF(INDEX(pr_price,MATCH(B952,pr_code,0))="","",INDEX(pr_price,MATCH(B952,pr_code,0))),""))))</f>
        <v/>
      </c>
      <c r="K952" s="71" t="str">
        <f>IF(COUNTA(A952:G952)=0,"",IF(G952&lt;&gt;"",G952,IF(B952="","",IFERROR(IF(INDEX(pr_rate,MATCH(B952,pr_code,0))="","",INDEX(pr_rate,MATCH(B952,pr_code,0))),""))))</f>
        <v/>
      </c>
      <c r="L952" s="65" t="str">
        <f>IF(COUNTA(A952:G952)=0,"",IF(AND(ISNUMBER(D952),ISNUMBER(J952)),ROUND(D952*J952*(1-N(F952)),2),0))</f>
        <v/>
      </c>
      <c r="M952" s="62" t="str">
        <f>IF(A952="","",IFERROR(INDEX(dv_cname,MATCH(A952,dv_num,0))&amp;"",""))</f>
        <v/>
      </c>
      <c r="N952" s="59" t="str">
        <f>IF(COUNTA(A952:G952)=0,"",IF(A952="","N° devis manquant",IF(ISNA(MATCH(A952,dv_num,0)),"Devis inconnu",IF(AND(B952&lt;&gt;"",ISNA(MATCH(B952,pr_code,0))),"Article inconnu",IF(H952="","Désignation manquante",IF(OR(NOT(ISNUMBER(D952)),N(D952)&lt;=0),"Quantité invalide",IF(J952="","Prix manquant",IF(OR(NOT(ISNUMBER(J952)),N(J952)&lt;0),"Prix invalide",IF(OR(AND(F952&lt;&gt;"",NOT(ISNUMBER(F952))),N(F952)&lt;0,N(F952)&gt;1),"Remise invalide",IF(K952="","Taux de TVA manquant",IF(NOT(ISNUMBER(K952)),"Taux de TVA invalide",IF(COUNTIF(p_rates,K952)=0,"Taux de TVA hors liste (Paramètres)",IF(N(O952)&gt;25,"Au-delà de 25 lignes : non imprimée","OK")))))))))))))</f>
        <v/>
      </c>
      <c r="O952" s="59" t="str">
        <f>IF(A952="","",COUNTIF($A$6:A952,A952))</f>
        <v/>
      </c>
      <c r="P952" s="62" t="str">
        <f>IF(A952="","",A952&amp;"|"&amp;O952)</f>
        <v/>
      </c>
    </row>
    <row r="953">
      <c r="A953" s="60" t="n"/>
      <c r="B953" s="63" t="n"/>
      <c r="C953" s="63" t="n"/>
      <c r="D953" s="67" t="n"/>
      <c r="E953" s="68" t="n"/>
      <c r="F953" s="69" t="n"/>
      <c r="G953" s="70" t="n"/>
      <c r="H953" s="62" t="str">
        <f>IF(COUNTA(A953:G953)=0,"",IF(C953&lt;&gt;"",C953,IF(B953="","",IFERROR(INDEX(pr_des,MATCH(B953,pr_code,0))&amp;"",""))))</f>
        <v/>
      </c>
      <c r="I953" s="59" t="str">
        <f>IF(B953="","",IFERROR(INDEX(pr_unit,MATCH(B953,pr_code,0))&amp;"",""))</f>
        <v/>
      </c>
      <c r="J953" s="65" t="str">
        <f>IF(COUNTA(A953:G953)=0,"",IF(E953&lt;&gt;"",E953,IF(B953="","",IFERROR(IF(INDEX(pr_price,MATCH(B953,pr_code,0))="","",INDEX(pr_price,MATCH(B953,pr_code,0))),""))))</f>
        <v/>
      </c>
      <c r="K953" s="71" t="str">
        <f>IF(COUNTA(A953:G953)=0,"",IF(G953&lt;&gt;"",G953,IF(B953="","",IFERROR(IF(INDEX(pr_rate,MATCH(B953,pr_code,0))="","",INDEX(pr_rate,MATCH(B953,pr_code,0))),""))))</f>
        <v/>
      </c>
      <c r="L953" s="65" t="str">
        <f>IF(COUNTA(A953:G953)=0,"",IF(AND(ISNUMBER(D953),ISNUMBER(J953)),ROUND(D953*J953*(1-N(F953)),2),0))</f>
        <v/>
      </c>
      <c r="M953" s="62" t="str">
        <f>IF(A953="","",IFERROR(INDEX(dv_cname,MATCH(A953,dv_num,0))&amp;"",""))</f>
        <v/>
      </c>
      <c r="N953" s="59" t="str">
        <f>IF(COUNTA(A953:G953)=0,"",IF(A953="","N° devis manquant",IF(ISNA(MATCH(A953,dv_num,0)),"Devis inconnu",IF(AND(B953&lt;&gt;"",ISNA(MATCH(B953,pr_code,0))),"Article inconnu",IF(H953="","Désignation manquante",IF(OR(NOT(ISNUMBER(D953)),N(D953)&lt;=0),"Quantité invalide",IF(J953="","Prix manquant",IF(OR(NOT(ISNUMBER(J953)),N(J953)&lt;0),"Prix invalide",IF(OR(AND(F953&lt;&gt;"",NOT(ISNUMBER(F953))),N(F953)&lt;0,N(F953)&gt;1),"Remise invalide",IF(K953="","Taux de TVA manquant",IF(NOT(ISNUMBER(K953)),"Taux de TVA invalide",IF(COUNTIF(p_rates,K953)=0,"Taux de TVA hors liste (Paramètres)",IF(N(O953)&gt;25,"Au-delà de 25 lignes : non imprimée","OK")))))))))))))</f>
        <v/>
      </c>
      <c r="O953" s="59" t="str">
        <f>IF(A953="","",COUNTIF($A$6:A953,A953))</f>
        <v/>
      </c>
      <c r="P953" s="62" t="str">
        <f>IF(A953="","",A953&amp;"|"&amp;O953)</f>
        <v/>
      </c>
    </row>
    <row r="954">
      <c r="A954" s="60" t="n"/>
      <c r="B954" s="63" t="n"/>
      <c r="C954" s="63" t="n"/>
      <c r="D954" s="67" t="n"/>
      <c r="E954" s="68" t="n"/>
      <c r="F954" s="69" t="n"/>
      <c r="G954" s="70" t="n"/>
      <c r="H954" s="62" t="str">
        <f>IF(COUNTA(A954:G954)=0,"",IF(C954&lt;&gt;"",C954,IF(B954="","",IFERROR(INDEX(pr_des,MATCH(B954,pr_code,0))&amp;"",""))))</f>
        <v/>
      </c>
      <c r="I954" s="59" t="str">
        <f>IF(B954="","",IFERROR(INDEX(pr_unit,MATCH(B954,pr_code,0))&amp;"",""))</f>
        <v/>
      </c>
      <c r="J954" s="65" t="str">
        <f>IF(COUNTA(A954:G954)=0,"",IF(E954&lt;&gt;"",E954,IF(B954="","",IFERROR(IF(INDEX(pr_price,MATCH(B954,pr_code,0))="","",INDEX(pr_price,MATCH(B954,pr_code,0))),""))))</f>
        <v/>
      </c>
      <c r="K954" s="71" t="str">
        <f>IF(COUNTA(A954:G954)=0,"",IF(G954&lt;&gt;"",G954,IF(B954="","",IFERROR(IF(INDEX(pr_rate,MATCH(B954,pr_code,0))="","",INDEX(pr_rate,MATCH(B954,pr_code,0))),""))))</f>
        <v/>
      </c>
      <c r="L954" s="65" t="str">
        <f>IF(COUNTA(A954:G954)=0,"",IF(AND(ISNUMBER(D954),ISNUMBER(J954)),ROUND(D954*J954*(1-N(F954)),2),0))</f>
        <v/>
      </c>
      <c r="M954" s="62" t="str">
        <f>IF(A954="","",IFERROR(INDEX(dv_cname,MATCH(A954,dv_num,0))&amp;"",""))</f>
        <v/>
      </c>
      <c r="N954" s="59" t="str">
        <f>IF(COUNTA(A954:G954)=0,"",IF(A954="","N° devis manquant",IF(ISNA(MATCH(A954,dv_num,0)),"Devis inconnu",IF(AND(B954&lt;&gt;"",ISNA(MATCH(B954,pr_code,0))),"Article inconnu",IF(H954="","Désignation manquante",IF(OR(NOT(ISNUMBER(D954)),N(D954)&lt;=0),"Quantité invalide",IF(J954="","Prix manquant",IF(OR(NOT(ISNUMBER(J954)),N(J954)&lt;0),"Prix invalide",IF(OR(AND(F954&lt;&gt;"",NOT(ISNUMBER(F954))),N(F954)&lt;0,N(F954)&gt;1),"Remise invalide",IF(K954="","Taux de TVA manquant",IF(NOT(ISNUMBER(K954)),"Taux de TVA invalide",IF(COUNTIF(p_rates,K954)=0,"Taux de TVA hors liste (Paramètres)",IF(N(O954)&gt;25,"Au-delà de 25 lignes : non imprimée","OK")))))))))))))</f>
        <v/>
      </c>
      <c r="O954" s="59" t="str">
        <f>IF(A954="","",COUNTIF($A$6:A954,A954))</f>
        <v/>
      </c>
      <c r="P954" s="62" t="str">
        <f>IF(A954="","",A954&amp;"|"&amp;O954)</f>
        <v/>
      </c>
    </row>
    <row r="955">
      <c r="A955" s="60" t="n"/>
      <c r="B955" s="63" t="n"/>
      <c r="C955" s="63" t="n"/>
      <c r="D955" s="67" t="n"/>
      <c r="E955" s="68" t="n"/>
      <c r="F955" s="69" t="n"/>
      <c r="G955" s="70" t="n"/>
      <c r="H955" s="62" t="str">
        <f>IF(COUNTA(A955:G955)=0,"",IF(C955&lt;&gt;"",C955,IF(B955="","",IFERROR(INDEX(pr_des,MATCH(B955,pr_code,0))&amp;"",""))))</f>
        <v/>
      </c>
      <c r="I955" s="59" t="str">
        <f>IF(B955="","",IFERROR(INDEX(pr_unit,MATCH(B955,pr_code,0))&amp;"",""))</f>
        <v/>
      </c>
      <c r="J955" s="65" t="str">
        <f>IF(COUNTA(A955:G955)=0,"",IF(E955&lt;&gt;"",E955,IF(B955="","",IFERROR(IF(INDEX(pr_price,MATCH(B955,pr_code,0))="","",INDEX(pr_price,MATCH(B955,pr_code,0))),""))))</f>
        <v/>
      </c>
      <c r="K955" s="71" t="str">
        <f>IF(COUNTA(A955:G955)=0,"",IF(G955&lt;&gt;"",G955,IF(B955="","",IFERROR(IF(INDEX(pr_rate,MATCH(B955,pr_code,0))="","",INDEX(pr_rate,MATCH(B955,pr_code,0))),""))))</f>
        <v/>
      </c>
      <c r="L955" s="65" t="str">
        <f>IF(COUNTA(A955:G955)=0,"",IF(AND(ISNUMBER(D955),ISNUMBER(J955)),ROUND(D955*J955*(1-N(F955)),2),0))</f>
        <v/>
      </c>
      <c r="M955" s="62" t="str">
        <f>IF(A955="","",IFERROR(INDEX(dv_cname,MATCH(A955,dv_num,0))&amp;"",""))</f>
        <v/>
      </c>
      <c r="N955" s="59" t="str">
        <f>IF(COUNTA(A955:G955)=0,"",IF(A955="","N° devis manquant",IF(ISNA(MATCH(A955,dv_num,0)),"Devis inconnu",IF(AND(B955&lt;&gt;"",ISNA(MATCH(B955,pr_code,0))),"Article inconnu",IF(H955="","Désignation manquante",IF(OR(NOT(ISNUMBER(D955)),N(D955)&lt;=0),"Quantité invalide",IF(J955="","Prix manquant",IF(OR(NOT(ISNUMBER(J955)),N(J955)&lt;0),"Prix invalide",IF(OR(AND(F955&lt;&gt;"",NOT(ISNUMBER(F955))),N(F955)&lt;0,N(F955)&gt;1),"Remise invalide",IF(K955="","Taux de TVA manquant",IF(NOT(ISNUMBER(K955)),"Taux de TVA invalide",IF(COUNTIF(p_rates,K955)=0,"Taux de TVA hors liste (Paramètres)",IF(N(O955)&gt;25,"Au-delà de 25 lignes : non imprimée","OK")))))))))))))</f>
        <v/>
      </c>
      <c r="O955" s="59" t="str">
        <f>IF(A955="","",COUNTIF($A$6:A955,A955))</f>
        <v/>
      </c>
      <c r="P955" s="62" t="str">
        <f>IF(A955="","",A955&amp;"|"&amp;O955)</f>
        <v/>
      </c>
    </row>
    <row r="956">
      <c r="A956" s="60" t="n"/>
      <c r="B956" s="63" t="n"/>
      <c r="C956" s="63" t="n"/>
      <c r="D956" s="67" t="n"/>
      <c r="E956" s="68" t="n"/>
      <c r="F956" s="69" t="n"/>
      <c r="G956" s="70" t="n"/>
      <c r="H956" s="62" t="str">
        <f>IF(COUNTA(A956:G956)=0,"",IF(C956&lt;&gt;"",C956,IF(B956="","",IFERROR(INDEX(pr_des,MATCH(B956,pr_code,0))&amp;"",""))))</f>
        <v/>
      </c>
      <c r="I956" s="59" t="str">
        <f>IF(B956="","",IFERROR(INDEX(pr_unit,MATCH(B956,pr_code,0))&amp;"",""))</f>
        <v/>
      </c>
      <c r="J956" s="65" t="str">
        <f>IF(COUNTA(A956:G956)=0,"",IF(E956&lt;&gt;"",E956,IF(B956="","",IFERROR(IF(INDEX(pr_price,MATCH(B956,pr_code,0))="","",INDEX(pr_price,MATCH(B956,pr_code,0))),""))))</f>
        <v/>
      </c>
      <c r="K956" s="71" t="str">
        <f>IF(COUNTA(A956:G956)=0,"",IF(G956&lt;&gt;"",G956,IF(B956="","",IFERROR(IF(INDEX(pr_rate,MATCH(B956,pr_code,0))="","",INDEX(pr_rate,MATCH(B956,pr_code,0))),""))))</f>
        <v/>
      </c>
      <c r="L956" s="65" t="str">
        <f>IF(COUNTA(A956:G956)=0,"",IF(AND(ISNUMBER(D956),ISNUMBER(J956)),ROUND(D956*J956*(1-N(F956)),2),0))</f>
        <v/>
      </c>
      <c r="M956" s="62" t="str">
        <f>IF(A956="","",IFERROR(INDEX(dv_cname,MATCH(A956,dv_num,0))&amp;"",""))</f>
        <v/>
      </c>
      <c r="N956" s="59" t="str">
        <f>IF(COUNTA(A956:G956)=0,"",IF(A956="","N° devis manquant",IF(ISNA(MATCH(A956,dv_num,0)),"Devis inconnu",IF(AND(B956&lt;&gt;"",ISNA(MATCH(B956,pr_code,0))),"Article inconnu",IF(H956="","Désignation manquante",IF(OR(NOT(ISNUMBER(D956)),N(D956)&lt;=0),"Quantité invalide",IF(J956="","Prix manquant",IF(OR(NOT(ISNUMBER(J956)),N(J956)&lt;0),"Prix invalide",IF(OR(AND(F956&lt;&gt;"",NOT(ISNUMBER(F956))),N(F956)&lt;0,N(F956)&gt;1),"Remise invalide",IF(K956="","Taux de TVA manquant",IF(NOT(ISNUMBER(K956)),"Taux de TVA invalide",IF(COUNTIF(p_rates,K956)=0,"Taux de TVA hors liste (Paramètres)",IF(N(O956)&gt;25,"Au-delà de 25 lignes : non imprimée","OK")))))))))))))</f>
        <v/>
      </c>
      <c r="O956" s="59" t="str">
        <f>IF(A956="","",COUNTIF($A$6:A956,A956))</f>
        <v/>
      </c>
      <c r="P956" s="62" t="str">
        <f>IF(A956="","",A956&amp;"|"&amp;O956)</f>
        <v/>
      </c>
    </row>
    <row r="957">
      <c r="A957" s="60" t="n"/>
      <c r="B957" s="63" t="n"/>
      <c r="C957" s="63" t="n"/>
      <c r="D957" s="67" t="n"/>
      <c r="E957" s="68" t="n"/>
      <c r="F957" s="69" t="n"/>
      <c r="G957" s="70" t="n"/>
      <c r="H957" s="62" t="str">
        <f>IF(COUNTA(A957:G957)=0,"",IF(C957&lt;&gt;"",C957,IF(B957="","",IFERROR(INDEX(pr_des,MATCH(B957,pr_code,0))&amp;"",""))))</f>
        <v/>
      </c>
      <c r="I957" s="59" t="str">
        <f>IF(B957="","",IFERROR(INDEX(pr_unit,MATCH(B957,pr_code,0))&amp;"",""))</f>
        <v/>
      </c>
      <c r="J957" s="65" t="str">
        <f>IF(COUNTA(A957:G957)=0,"",IF(E957&lt;&gt;"",E957,IF(B957="","",IFERROR(IF(INDEX(pr_price,MATCH(B957,pr_code,0))="","",INDEX(pr_price,MATCH(B957,pr_code,0))),""))))</f>
        <v/>
      </c>
      <c r="K957" s="71" t="str">
        <f>IF(COUNTA(A957:G957)=0,"",IF(G957&lt;&gt;"",G957,IF(B957="","",IFERROR(IF(INDEX(pr_rate,MATCH(B957,pr_code,0))="","",INDEX(pr_rate,MATCH(B957,pr_code,0))),""))))</f>
        <v/>
      </c>
      <c r="L957" s="65" t="str">
        <f>IF(COUNTA(A957:G957)=0,"",IF(AND(ISNUMBER(D957),ISNUMBER(J957)),ROUND(D957*J957*(1-N(F957)),2),0))</f>
        <v/>
      </c>
      <c r="M957" s="62" t="str">
        <f>IF(A957="","",IFERROR(INDEX(dv_cname,MATCH(A957,dv_num,0))&amp;"",""))</f>
        <v/>
      </c>
      <c r="N957" s="59" t="str">
        <f>IF(COUNTA(A957:G957)=0,"",IF(A957="","N° devis manquant",IF(ISNA(MATCH(A957,dv_num,0)),"Devis inconnu",IF(AND(B957&lt;&gt;"",ISNA(MATCH(B957,pr_code,0))),"Article inconnu",IF(H957="","Désignation manquante",IF(OR(NOT(ISNUMBER(D957)),N(D957)&lt;=0),"Quantité invalide",IF(J957="","Prix manquant",IF(OR(NOT(ISNUMBER(J957)),N(J957)&lt;0),"Prix invalide",IF(OR(AND(F957&lt;&gt;"",NOT(ISNUMBER(F957))),N(F957)&lt;0,N(F957)&gt;1),"Remise invalide",IF(K957="","Taux de TVA manquant",IF(NOT(ISNUMBER(K957)),"Taux de TVA invalide",IF(COUNTIF(p_rates,K957)=0,"Taux de TVA hors liste (Paramètres)",IF(N(O957)&gt;25,"Au-delà de 25 lignes : non imprimée","OK")))))))))))))</f>
        <v/>
      </c>
      <c r="O957" s="59" t="str">
        <f>IF(A957="","",COUNTIF($A$6:A957,A957))</f>
        <v/>
      </c>
      <c r="P957" s="62" t="str">
        <f>IF(A957="","",A957&amp;"|"&amp;O957)</f>
        <v/>
      </c>
    </row>
    <row r="958">
      <c r="A958" s="60" t="n"/>
      <c r="B958" s="63" t="n"/>
      <c r="C958" s="63" t="n"/>
      <c r="D958" s="67" t="n"/>
      <c r="E958" s="68" t="n"/>
      <c r="F958" s="69" t="n"/>
      <c r="G958" s="70" t="n"/>
      <c r="H958" s="62" t="str">
        <f>IF(COUNTA(A958:G958)=0,"",IF(C958&lt;&gt;"",C958,IF(B958="","",IFERROR(INDEX(pr_des,MATCH(B958,pr_code,0))&amp;"",""))))</f>
        <v/>
      </c>
      <c r="I958" s="59" t="str">
        <f>IF(B958="","",IFERROR(INDEX(pr_unit,MATCH(B958,pr_code,0))&amp;"",""))</f>
        <v/>
      </c>
      <c r="J958" s="65" t="str">
        <f>IF(COUNTA(A958:G958)=0,"",IF(E958&lt;&gt;"",E958,IF(B958="","",IFERROR(IF(INDEX(pr_price,MATCH(B958,pr_code,0))="","",INDEX(pr_price,MATCH(B958,pr_code,0))),""))))</f>
        <v/>
      </c>
      <c r="K958" s="71" t="str">
        <f>IF(COUNTA(A958:G958)=0,"",IF(G958&lt;&gt;"",G958,IF(B958="","",IFERROR(IF(INDEX(pr_rate,MATCH(B958,pr_code,0))="","",INDEX(pr_rate,MATCH(B958,pr_code,0))),""))))</f>
        <v/>
      </c>
      <c r="L958" s="65" t="str">
        <f>IF(COUNTA(A958:G958)=0,"",IF(AND(ISNUMBER(D958),ISNUMBER(J958)),ROUND(D958*J958*(1-N(F958)),2),0))</f>
        <v/>
      </c>
      <c r="M958" s="62" t="str">
        <f>IF(A958="","",IFERROR(INDEX(dv_cname,MATCH(A958,dv_num,0))&amp;"",""))</f>
        <v/>
      </c>
      <c r="N958" s="59" t="str">
        <f>IF(COUNTA(A958:G958)=0,"",IF(A958="","N° devis manquant",IF(ISNA(MATCH(A958,dv_num,0)),"Devis inconnu",IF(AND(B958&lt;&gt;"",ISNA(MATCH(B958,pr_code,0))),"Article inconnu",IF(H958="","Désignation manquante",IF(OR(NOT(ISNUMBER(D958)),N(D958)&lt;=0),"Quantité invalide",IF(J958="","Prix manquant",IF(OR(NOT(ISNUMBER(J958)),N(J958)&lt;0),"Prix invalide",IF(OR(AND(F958&lt;&gt;"",NOT(ISNUMBER(F958))),N(F958)&lt;0,N(F958)&gt;1),"Remise invalide",IF(K958="","Taux de TVA manquant",IF(NOT(ISNUMBER(K958)),"Taux de TVA invalide",IF(COUNTIF(p_rates,K958)=0,"Taux de TVA hors liste (Paramètres)",IF(N(O958)&gt;25,"Au-delà de 25 lignes : non imprimée","OK")))))))))))))</f>
        <v/>
      </c>
      <c r="O958" s="59" t="str">
        <f>IF(A958="","",COUNTIF($A$6:A958,A958))</f>
        <v/>
      </c>
      <c r="P958" s="62" t="str">
        <f>IF(A958="","",A958&amp;"|"&amp;O958)</f>
        <v/>
      </c>
    </row>
    <row r="959">
      <c r="A959" s="60" t="n"/>
      <c r="B959" s="63" t="n"/>
      <c r="C959" s="63" t="n"/>
      <c r="D959" s="67" t="n"/>
      <c r="E959" s="68" t="n"/>
      <c r="F959" s="69" t="n"/>
      <c r="G959" s="70" t="n"/>
      <c r="H959" s="62" t="str">
        <f>IF(COUNTA(A959:G959)=0,"",IF(C959&lt;&gt;"",C959,IF(B959="","",IFERROR(INDEX(pr_des,MATCH(B959,pr_code,0))&amp;"",""))))</f>
        <v/>
      </c>
      <c r="I959" s="59" t="str">
        <f>IF(B959="","",IFERROR(INDEX(pr_unit,MATCH(B959,pr_code,0))&amp;"",""))</f>
        <v/>
      </c>
      <c r="J959" s="65" t="str">
        <f>IF(COUNTA(A959:G959)=0,"",IF(E959&lt;&gt;"",E959,IF(B959="","",IFERROR(IF(INDEX(pr_price,MATCH(B959,pr_code,0))="","",INDEX(pr_price,MATCH(B959,pr_code,0))),""))))</f>
        <v/>
      </c>
      <c r="K959" s="71" t="str">
        <f>IF(COUNTA(A959:G959)=0,"",IF(G959&lt;&gt;"",G959,IF(B959="","",IFERROR(IF(INDEX(pr_rate,MATCH(B959,pr_code,0))="","",INDEX(pr_rate,MATCH(B959,pr_code,0))),""))))</f>
        <v/>
      </c>
      <c r="L959" s="65" t="str">
        <f>IF(COUNTA(A959:G959)=0,"",IF(AND(ISNUMBER(D959),ISNUMBER(J959)),ROUND(D959*J959*(1-N(F959)),2),0))</f>
        <v/>
      </c>
      <c r="M959" s="62" t="str">
        <f>IF(A959="","",IFERROR(INDEX(dv_cname,MATCH(A959,dv_num,0))&amp;"",""))</f>
        <v/>
      </c>
      <c r="N959" s="59" t="str">
        <f>IF(COUNTA(A959:G959)=0,"",IF(A959="","N° devis manquant",IF(ISNA(MATCH(A959,dv_num,0)),"Devis inconnu",IF(AND(B959&lt;&gt;"",ISNA(MATCH(B959,pr_code,0))),"Article inconnu",IF(H959="","Désignation manquante",IF(OR(NOT(ISNUMBER(D959)),N(D959)&lt;=0),"Quantité invalide",IF(J959="","Prix manquant",IF(OR(NOT(ISNUMBER(J959)),N(J959)&lt;0),"Prix invalide",IF(OR(AND(F959&lt;&gt;"",NOT(ISNUMBER(F959))),N(F959)&lt;0,N(F959)&gt;1),"Remise invalide",IF(K959="","Taux de TVA manquant",IF(NOT(ISNUMBER(K959)),"Taux de TVA invalide",IF(COUNTIF(p_rates,K959)=0,"Taux de TVA hors liste (Paramètres)",IF(N(O959)&gt;25,"Au-delà de 25 lignes : non imprimée","OK")))))))))))))</f>
        <v/>
      </c>
      <c r="O959" s="59" t="str">
        <f>IF(A959="","",COUNTIF($A$6:A959,A959))</f>
        <v/>
      </c>
      <c r="P959" s="62" t="str">
        <f>IF(A959="","",A959&amp;"|"&amp;O959)</f>
        <v/>
      </c>
    </row>
    <row r="960">
      <c r="A960" s="60" t="n"/>
      <c r="B960" s="63" t="n"/>
      <c r="C960" s="63" t="n"/>
      <c r="D960" s="67" t="n"/>
      <c r="E960" s="68" t="n"/>
      <c r="F960" s="69" t="n"/>
      <c r="G960" s="70" t="n"/>
      <c r="H960" s="62" t="str">
        <f>IF(COUNTA(A960:G960)=0,"",IF(C960&lt;&gt;"",C960,IF(B960="","",IFERROR(INDEX(pr_des,MATCH(B960,pr_code,0))&amp;"",""))))</f>
        <v/>
      </c>
      <c r="I960" s="59" t="str">
        <f>IF(B960="","",IFERROR(INDEX(pr_unit,MATCH(B960,pr_code,0))&amp;"",""))</f>
        <v/>
      </c>
      <c r="J960" s="65" t="str">
        <f>IF(COUNTA(A960:G960)=0,"",IF(E960&lt;&gt;"",E960,IF(B960="","",IFERROR(IF(INDEX(pr_price,MATCH(B960,pr_code,0))="","",INDEX(pr_price,MATCH(B960,pr_code,0))),""))))</f>
        <v/>
      </c>
      <c r="K960" s="71" t="str">
        <f>IF(COUNTA(A960:G960)=0,"",IF(G960&lt;&gt;"",G960,IF(B960="","",IFERROR(IF(INDEX(pr_rate,MATCH(B960,pr_code,0))="","",INDEX(pr_rate,MATCH(B960,pr_code,0))),""))))</f>
        <v/>
      </c>
      <c r="L960" s="65" t="str">
        <f>IF(COUNTA(A960:G960)=0,"",IF(AND(ISNUMBER(D960),ISNUMBER(J960)),ROUND(D960*J960*(1-N(F960)),2),0))</f>
        <v/>
      </c>
      <c r="M960" s="62" t="str">
        <f>IF(A960="","",IFERROR(INDEX(dv_cname,MATCH(A960,dv_num,0))&amp;"",""))</f>
        <v/>
      </c>
      <c r="N960" s="59" t="str">
        <f>IF(COUNTA(A960:G960)=0,"",IF(A960="","N° devis manquant",IF(ISNA(MATCH(A960,dv_num,0)),"Devis inconnu",IF(AND(B960&lt;&gt;"",ISNA(MATCH(B960,pr_code,0))),"Article inconnu",IF(H960="","Désignation manquante",IF(OR(NOT(ISNUMBER(D960)),N(D960)&lt;=0),"Quantité invalide",IF(J960="","Prix manquant",IF(OR(NOT(ISNUMBER(J960)),N(J960)&lt;0),"Prix invalide",IF(OR(AND(F960&lt;&gt;"",NOT(ISNUMBER(F960))),N(F960)&lt;0,N(F960)&gt;1),"Remise invalide",IF(K960="","Taux de TVA manquant",IF(NOT(ISNUMBER(K960)),"Taux de TVA invalide",IF(COUNTIF(p_rates,K960)=0,"Taux de TVA hors liste (Paramètres)",IF(N(O960)&gt;25,"Au-delà de 25 lignes : non imprimée","OK")))))))))))))</f>
        <v/>
      </c>
      <c r="O960" s="59" t="str">
        <f>IF(A960="","",COUNTIF($A$6:A960,A960))</f>
        <v/>
      </c>
      <c r="P960" s="62" t="str">
        <f>IF(A960="","",A960&amp;"|"&amp;O960)</f>
        <v/>
      </c>
    </row>
    <row r="961">
      <c r="A961" s="60" t="n"/>
      <c r="B961" s="63" t="n"/>
      <c r="C961" s="63" t="n"/>
      <c r="D961" s="67" t="n"/>
      <c r="E961" s="68" t="n"/>
      <c r="F961" s="69" t="n"/>
      <c r="G961" s="70" t="n"/>
      <c r="H961" s="62" t="str">
        <f>IF(COUNTA(A961:G961)=0,"",IF(C961&lt;&gt;"",C961,IF(B961="","",IFERROR(INDEX(pr_des,MATCH(B961,pr_code,0))&amp;"",""))))</f>
        <v/>
      </c>
      <c r="I961" s="59" t="str">
        <f>IF(B961="","",IFERROR(INDEX(pr_unit,MATCH(B961,pr_code,0))&amp;"",""))</f>
        <v/>
      </c>
      <c r="J961" s="65" t="str">
        <f>IF(COUNTA(A961:G961)=0,"",IF(E961&lt;&gt;"",E961,IF(B961="","",IFERROR(IF(INDEX(pr_price,MATCH(B961,pr_code,0))="","",INDEX(pr_price,MATCH(B961,pr_code,0))),""))))</f>
        <v/>
      </c>
      <c r="K961" s="71" t="str">
        <f>IF(COUNTA(A961:G961)=0,"",IF(G961&lt;&gt;"",G961,IF(B961="","",IFERROR(IF(INDEX(pr_rate,MATCH(B961,pr_code,0))="","",INDEX(pr_rate,MATCH(B961,pr_code,0))),""))))</f>
        <v/>
      </c>
      <c r="L961" s="65" t="str">
        <f>IF(COUNTA(A961:G961)=0,"",IF(AND(ISNUMBER(D961),ISNUMBER(J961)),ROUND(D961*J961*(1-N(F961)),2),0))</f>
        <v/>
      </c>
      <c r="M961" s="62" t="str">
        <f>IF(A961="","",IFERROR(INDEX(dv_cname,MATCH(A961,dv_num,0))&amp;"",""))</f>
        <v/>
      </c>
      <c r="N961" s="59" t="str">
        <f>IF(COUNTA(A961:G961)=0,"",IF(A961="","N° devis manquant",IF(ISNA(MATCH(A961,dv_num,0)),"Devis inconnu",IF(AND(B961&lt;&gt;"",ISNA(MATCH(B961,pr_code,0))),"Article inconnu",IF(H961="","Désignation manquante",IF(OR(NOT(ISNUMBER(D961)),N(D961)&lt;=0),"Quantité invalide",IF(J961="","Prix manquant",IF(OR(NOT(ISNUMBER(J961)),N(J961)&lt;0),"Prix invalide",IF(OR(AND(F961&lt;&gt;"",NOT(ISNUMBER(F961))),N(F961)&lt;0,N(F961)&gt;1),"Remise invalide",IF(K961="","Taux de TVA manquant",IF(NOT(ISNUMBER(K961)),"Taux de TVA invalide",IF(COUNTIF(p_rates,K961)=0,"Taux de TVA hors liste (Paramètres)",IF(N(O961)&gt;25,"Au-delà de 25 lignes : non imprimée","OK")))))))))))))</f>
        <v/>
      </c>
      <c r="O961" s="59" t="str">
        <f>IF(A961="","",COUNTIF($A$6:A961,A961))</f>
        <v/>
      </c>
      <c r="P961" s="62" t="str">
        <f>IF(A961="","",A961&amp;"|"&amp;O961)</f>
        <v/>
      </c>
    </row>
    <row r="962">
      <c r="A962" s="60" t="n"/>
      <c r="B962" s="63" t="n"/>
      <c r="C962" s="63" t="n"/>
      <c r="D962" s="67" t="n"/>
      <c r="E962" s="68" t="n"/>
      <c r="F962" s="69" t="n"/>
      <c r="G962" s="70" t="n"/>
      <c r="H962" s="62" t="str">
        <f>IF(COUNTA(A962:G962)=0,"",IF(C962&lt;&gt;"",C962,IF(B962="","",IFERROR(INDEX(pr_des,MATCH(B962,pr_code,0))&amp;"",""))))</f>
        <v/>
      </c>
      <c r="I962" s="59" t="str">
        <f>IF(B962="","",IFERROR(INDEX(pr_unit,MATCH(B962,pr_code,0))&amp;"",""))</f>
        <v/>
      </c>
      <c r="J962" s="65" t="str">
        <f>IF(COUNTA(A962:G962)=0,"",IF(E962&lt;&gt;"",E962,IF(B962="","",IFERROR(IF(INDEX(pr_price,MATCH(B962,pr_code,0))="","",INDEX(pr_price,MATCH(B962,pr_code,0))),""))))</f>
        <v/>
      </c>
      <c r="K962" s="71" t="str">
        <f>IF(COUNTA(A962:G962)=0,"",IF(G962&lt;&gt;"",G962,IF(B962="","",IFERROR(IF(INDEX(pr_rate,MATCH(B962,pr_code,0))="","",INDEX(pr_rate,MATCH(B962,pr_code,0))),""))))</f>
        <v/>
      </c>
      <c r="L962" s="65" t="str">
        <f>IF(COUNTA(A962:G962)=0,"",IF(AND(ISNUMBER(D962),ISNUMBER(J962)),ROUND(D962*J962*(1-N(F962)),2),0))</f>
        <v/>
      </c>
      <c r="M962" s="62" t="str">
        <f>IF(A962="","",IFERROR(INDEX(dv_cname,MATCH(A962,dv_num,0))&amp;"",""))</f>
        <v/>
      </c>
      <c r="N962" s="59" t="str">
        <f>IF(COUNTA(A962:G962)=0,"",IF(A962="","N° devis manquant",IF(ISNA(MATCH(A962,dv_num,0)),"Devis inconnu",IF(AND(B962&lt;&gt;"",ISNA(MATCH(B962,pr_code,0))),"Article inconnu",IF(H962="","Désignation manquante",IF(OR(NOT(ISNUMBER(D962)),N(D962)&lt;=0),"Quantité invalide",IF(J962="","Prix manquant",IF(OR(NOT(ISNUMBER(J962)),N(J962)&lt;0),"Prix invalide",IF(OR(AND(F962&lt;&gt;"",NOT(ISNUMBER(F962))),N(F962)&lt;0,N(F962)&gt;1),"Remise invalide",IF(K962="","Taux de TVA manquant",IF(NOT(ISNUMBER(K962)),"Taux de TVA invalide",IF(COUNTIF(p_rates,K962)=0,"Taux de TVA hors liste (Paramètres)",IF(N(O962)&gt;25,"Au-delà de 25 lignes : non imprimée","OK")))))))))))))</f>
        <v/>
      </c>
      <c r="O962" s="59" t="str">
        <f>IF(A962="","",COUNTIF($A$6:A962,A962))</f>
        <v/>
      </c>
      <c r="P962" s="62" t="str">
        <f>IF(A962="","",A962&amp;"|"&amp;O962)</f>
        <v/>
      </c>
    </row>
    <row r="963">
      <c r="A963" s="60" t="n"/>
      <c r="B963" s="63" t="n"/>
      <c r="C963" s="63" t="n"/>
      <c r="D963" s="67" t="n"/>
      <c r="E963" s="68" t="n"/>
      <c r="F963" s="69" t="n"/>
      <c r="G963" s="70" t="n"/>
      <c r="H963" s="62" t="str">
        <f>IF(COUNTA(A963:G963)=0,"",IF(C963&lt;&gt;"",C963,IF(B963="","",IFERROR(INDEX(pr_des,MATCH(B963,pr_code,0))&amp;"",""))))</f>
        <v/>
      </c>
      <c r="I963" s="59" t="str">
        <f>IF(B963="","",IFERROR(INDEX(pr_unit,MATCH(B963,pr_code,0))&amp;"",""))</f>
        <v/>
      </c>
      <c r="J963" s="65" t="str">
        <f>IF(COUNTA(A963:G963)=0,"",IF(E963&lt;&gt;"",E963,IF(B963="","",IFERROR(IF(INDEX(pr_price,MATCH(B963,pr_code,0))="","",INDEX(pr_price,MATCH(B963,pr_code,0))),""))))</f>
        <v/>
      </c>
      <c r="K963" s="71" t="str">
        <f>IF(COUNTA(A963:G963)=0,"",IF(G963&lt;&gt;"",G963,IF(B963="","",IFERROR(IF(INDEX(pr_rate,MATCH(B963,pr_code,0))="","",INDEX(pr_rate,MATCH(B963,pr_code,0))),""))))</f>
        <v/>
      </c>
      <c r="L963" s="65" t="str">
        <f>IF(COUNTA(A963:G963)=0,"",IF(AND(ISNUMBER(D963),ISNUMBER(J963)),ROUND(D963*J963*(1-N(F963)),2),0))</f>
        <v/>
      </c>
      <c r="M963" s="62" t="str">
        <f>IF(A963="","",IFERROR(INDEX(dv_cname,MATCH(A963,dv_num,0))&amp;"",""))</f>
        <v/>
      </c>
      <c r="N963" s="59" t="str">
        <f>IF(COUNTA(A963:G963)=0,"",IF(A963="","N° devis manquant",IF(ISNA(MATCH(A963,dv_num,0)),"Devis inconnu",IF(AND(B963&lt;&gt;"",ISNA(MATCH(B963,pr_code,0))),"Article inconnu",IF(H963="","Désignation manquante",IF(OR(NOT(ISNUMBER(D963)),N(D963)&lt;=0),"Quantité invalide",IF(J963="","Prix manquant",IF(OR(NOT(ISNUMBER(J963)),N(J963)&lt;0),"Prix invalide",IF(OR(AND(F963&lt;&gt;"",NOT(ISNUMBER(F963))),N(F963)&lt;0,N(F963)&gt;1),"Remise invalide",IF(K963="","Taux de TVA manquant",IF(NOT(ISNUMBER(K963)),"Taux de TVA invalide",IF(COUNTIF(p_rates,K963)=0,"Taux de TVA hors liste (Paramètres)",IF(N(O963)&gt;25,"Au-delà de 25 lignes : non imprimée","OK")))))))))))))</f>
        <v/>
      </c>
      <c r="O963" s="59" t="str">
        <f>IF(A963="","",COUNTIF($A$6:A963,A963))</f>
        <v/>
      </c>
      <c r="P963" s="62" t="str">
        <f>IF(A963="","",A963&amp;"|"&amp;O963)</f>
        <v/>
      </c>
    </row>
    <row r="964">
      <c r="A964" s="60" t="n"/>
      <c r="B964" s="63" t="n"/>
      <c r="C964" s="63" t="n"/>
      <c r="D964" s="67" t="n"/>
      <c r="E964" s="68" t="n"/>
      <c r="F964" s="69" t="n"/>
      <c r="G964" s="70" t="n"/>
      <c r="H964" s="62" t="str">
        <f>IF(COUNTA(A964:G964)=0,"",IF(C964&lt;&gt;"",C964,IF(B964="","",IFERROR(INDEX(pr_des,MATCH(B964,pr_code,0))&amp;"",""))))</f>
        <v/>
      </c>
      <c r="I964" s="59" t="str">
        <f>IF(B964="","",IFERROR(INDEX(pr_unit,MATCH(B964,pr_code,0))&amp;"",""))</f>
        <v/>
      </c>
      <c r="J964" s="65" t="str">
        <f>IF(COUNTA(A964:G964)=0,"",IF(E964&lt;&gt;"",E964,IF(B964="","",IFERROR(IF(INDEX(pr_price,MATCH(B964,pr_code,0))="","",INDEX(pr_price,MATCH(B964,pr_code,0))),""))))</f>
        <v/>
      </c>
      <c r="K964" s="71" t="str">
        <f>IF(COUNTA(A964:G964)=0,"",IF(G964&lt;&gt;"",G964,IF(B964="","",IFERROR(IF(INDEX(pr_rate,MATCH(B964,pr_code,0))="","",INDEX(pr_rate,MATCH(B964,pr_code,0))),""))))</f>
        <v/>
      </c>
      <c r="L964" s="65" t="str">
        <f>IF(COUNTA(A964:G964)=0,"",IF(AND(ISNUMBER(D964),ISNUMBER(J964)),ROUND(D964*J964*(1-N(F964)),2),0))</f>
        <v/>
      </c>
      <c r="M964" s="62" t="str">
        <f>IF(A964="","",IFERROR(INDEX(dv_cname,MATCH(A964,dv_num,0))&amp;"",""))</f>
        <v/>
      </c>
      <c r="N964" s="59" t="str">
        <f>IF(COUNTA(A964:G964)=0,"",IF(A964="","N° devis manquant",IF(ISNA(MATCH(A964,dv_num,0)),"Devis inconnu",IF(AND(B964&lt;&gt;"",ISNA(MATCH(B964,pr_code,0))),"Article inconnu",IF(H964="","Désignation manquante",IF(OR(NOT(ISNUMBER(D964)),N(D964)&lt;=0),"Quantité invalide",IF(J964="","Prix manquant",IF(OR(NOT(ISNUMBER(J964)),N(J964)&lt;0),"Prix invalide",IF(OR(AND(F964&lt;&gt;"",NOT(ISNUMBER(F964))),N(F964)&lt;0,N(F964)&gt;1),"Remise invalide",IF(K964="","Taux de TVA manquant",IF(NOT(ISNUMBER(K964)),"Taux de TVA invalide",IF(COUNTIF(p_rates,K964)=0,"Taux de TVA hors liste (Paramètres)",IF(N(O964)&gt;25,"Au-delà de 25 lignes : non imprimée","OK")))))))))))))</f>
        <v/>
      </c>
      <c r="O964" s="59" t="str">
        <f>IF(A964="","",COUNTIF($A$6:A964,A964))</f>
        <v/>
      </c>
      <c r="P964" s="62" t="str">
        <f>IF(A964="","",A964&amp;"|"&amp;O964)</f>
        <v/>
      </c>
    </row>
    <row r="965">
      <c r="A965" s="60" t="n"/>
      <c r="B965" s="63" t="n"/>
      <c r="C965" s="63" t="n"/>
      <c r="D965" s="67" t="n"/>
      <c r="E965" s="68" t="n"/>
      <c r="F965" s="69" t="n"/>
      <c r="G965" s="70" t="n"/>
      <c r="H965" s="62" t="str">
        <f>IF(COUNTA(A965:G965)=0,"",IF(C965&lt;&gt;"",C965,IF(B965="","",IFERROR(INDEX(pr_des,MATCH(B965,pr_code,0))&amp;"",""))))</f>
        <v/>
      </c>
      <c r="I965" s="59" t="str">
        <f>IF(B965="","",IFERROR(INDEX(pr_unit,MATCH(B965,pr_code,0))&amp;"",""))</f>
        <v/>
      </c>
      <c r="J965" s="65" t="str">
        <f>IF(COUNTA(A965:G965)=0,"",IF(E965&lt;&gt;"",E965,IF(B965="","",IFERROR(IF(INDEX(pr_price,MATCH(B965,pr_code,0))="","",INDEX(pr_price,MATCH(B965,pr_code,0))),""))))</f>
        <v/>
      </c>
      <c r="K965" s="71" t="str">
        <f>IF(COUNTA(A965:G965)=0,"",IF(G965&lt;&gt;"",G965,IF(B965="","",IFERROR(IF(INDEX(pr_rate,MATCH(B965,pr_code,0))="","",INDEX(pr_rate,MATCH(B965,pr_code,0))),""))))</f>
        <v/>
      </c>
      <c r="L965" s="65" t="str">
        <f>IF(COUNTA(A965:G965)=0,"",IF(AND(ISNUMBER(D965),ISNUMBER(J965)),ROUND(D965*J965*(1-N(F965)),2),0))</f>
        <v/>
      </c>
      <c r="M965" s="62" t="str">
        <f>IF(A965="","",IFERROR(INDEX(dv_cname,MATCH(A965,dv_num,0))&amp;"",""))</f>
        <v/>
      </c>
      <c r="N965" s="59" t="str">
        <f>IF(COUNTA(A965:G965)=0,"",IF(A965="","N° devis manquant",IF(ISNA(MATCH(A965,dv_num,0)),"Devis inconnu",IF(AND(B965&lt;&gt;"",ISNA(MATCH(B965,pr_code,0))),"Article inconnu",IF(H965="","Désignation manquante",IF(OR(NOT(ISNUMBER(D965)),N(D965)&lt;=0),"Quantité invalide",IF(J965="","Prix manquant",IF(OR(NOT(ISNUMBER(J965)),N(J965)&lt;0),"Prix invalide",IF(OR(AND(F965&lt;&gt;"",NOT(ISNUMBER(F965))),N(F965)&lt;0,N(F965)&gt;1),"Remise invalide",IF(K965="","Taux de TVA manquant",IF(NOT(ISNUMBER(K965)),"Taux de TVA invalide",IF(COUNTIF(p_rates,K965)=0,"Taux de TVA hors liste (Paramètres)",IF(N(O965)&gt;25,"Au-delà de 25 lignes : non imprimée","OK")))))))))))))</f>
        <v/>
      </c>
      <c r="O965" s="59" t="str">
        <f>IF(A965="","",COUNTIF($A$6:A965,A965))</f>
        <v/>
      </c>
      <c r="P965" s="62" t="str">
        <f>IF(A965="","",A965&amp;"|"&amp;O965)</f>
        <v/>
      </c>
    </row>
    <row r="966">
      <c r="A966" s="60" t="n"/>
      <c r="B966" s="63" t="n"/>
      <c r="C966" s="63" t="n"/>
      <c r="D966" s="67" t="n"/>
      <c r="E966" s="68" t="n"/>
      <c r="F966" s="69" t="n"/>
      <c r="G966" s="70" t="n"/>
      <c r="H966" s="62" t="str">
        <f>IF(COUNTA(A966:G966)=0,"",IF(C966&lt;&gt;"",C966,IF(B966="","",IFERROR(INDEX(pr_des,MATCH(B966,pr_code,0))&amp;"",""))))</f>
        <v/>
      </c>
      <c r="I966" s="59" t="str">
        <f>IF(B966="","",IFERROR(INDEX(pr_unit,MATCH(B966,pr_code,0))&amp;"",""))</f>
        <v/>
      </c>
      <c r="J966" s="65" t="str">
        <f>IF(COUNTA(A966:G966)=0,"",IF(E966&lt;&gt;"",E966,IF(B966="","",IFERROR(IF(INDEX(pr_price,MATCH(B966,pr_code,0))="","",INDEX(pr_price,MATCH(B966,pr_code,0))),""))))</f>
        <v/>
      </c>
      <c r="K966" s="71" t="str">
        <f>IF(COUNTA(A966:G966)=0,"",IF(G966&lt;&gt;"",G966,IF(B966="","",IFERROR(IF(INDEX(pr_rate,MATCH(B966,pr_code,0))="","",INDEX(pr_rate,MATCH(B966,pr_code,0))),""))))</f>
        <v/>
      </c>
      <c r="L966" s="65" t="str">
        <f>IF(COUNTA(A966:G966)=0,"",IF(AND(ISNUMBER(D966),ISNUMBER(J966)),ROUND(D966*J966*(1-N(F966)),2),0))</f>
        <v/>
      </c>
      <c r="M966" s="62" t="str">
        <f>IF(A966="","",IFERROR(INDEX(dv_cname,MATCH(A966,dv_num,0))&amp;"",""))</f>
        <v/>
      </c>
      <c r="N966" s="59" t="str">
        <f>IF(COUNTA(A966:G966)=0,"",IF(A966="","N° devis manquant",IF(ISNA(MATCH(A966,dv_num,0)),"Devis inconnu",IF(AND(B966&lt;&gt;"",ISNA(MATCH(B966,pr_code,0))),"Article inconnu",IF(H966="","Désignation manquante",IF(OR(NOT(ISNUMBER(D966)),N(D966)&lt;=0),"Quantité invalide",IF(J966="","Prix manquant",IF(OR(NOT(ISNUMBER(J966)),N(J966)&lt;0),"Prix invalide",IF(OR(AND(F966&lt;&gt;"",NOT(ISNUMBER(F966))),N(F966)&lt;0,N(F966)&gt;1),"Remise invalide",IF(K966="","Taux de TVA manquant",IF(NOT(ISNUMBER(K966)),"Taux de TVA invalide",IF(COUNTIF(p_rates,K966)=0,"Taux de TVA hors liste (Paramètres)",IF(N(O966)&gt;25,"Au-delà de 25 lignes : non imprimée","OK")))))))))))))</f>
        <v/>
      </c>
      <c r="O966" s="59" t="str">
        <f>IF(A966="","",COUNTIF($A$6:A966,A966))</f>
        <v/>
      </c>
      <c r="P966" s="62" t="str">
        <f>IF(A966="","",A966&amp;"|"&amp;O966)</f>
        <v/>
      </c>
    </row>
    <row r="967">
      <c r="A967" s="60" t="n"/>
      <c r="B967" s="63" t="n"/>
      <c r="C967" s="63" t="n"/>
      <c r="D967" s="67" t="n"/>
      <c r="E967" s="68" t="n"/>
      <c r="F967" s="69" t="n"/>
      <c r="G967" s="70" t="n"/>
      <c r="H967" s="62" t="str">
        <f>IF(COUNTA(A967:G967)=0,"",IF(C967&lt;&gt;"",C967,IF(B967="","",IFERROR(INDEX(pr_des,MATCH(B967,pr_code,0))&amp;"",""))))</f>
        <v/>
      </c>
      <c r="I967" s="59" t="str">
        <f>IF(B967="","",IFERROR(INDEX(pr_unit,MATCH(B967,pr_code,0))&amp;"",""))</f>
        <v/>
      </c>
      <c r="J967" s="65" t="str">
        <f>IF(COUNTA(A967:G967)=0,"",IF(E967&lt;&gt;"",E967,IF(B967="","",IFERROR(IF(INDEX(pr_price,MATCH(B967,pr_code,0))="","",INDEX(pr_price,MATCH(B967,pr_code,0))),""))))</f>
        <v/>
      </c>
      <c r="K967" s="71" t="str">
        <f>IF(COUNTA(A967:G967)=0,"",IF(G967&lt;&gt;"",G967,IF(B967="","",IFERROR(IF(INDEX(pr_rate,MATCH(B967,pr_code,0))="","",INDEX(pr_rate,MATCH(B967,pr_code,0))),""))))</f>
        <v/>
      </c>
      <c r="L967" s="65" t="str">
        <f>IF(COUNTA(A967:G967)=0,"",IF(AND(ISNUMBER(D967),ISNUMBER(J967)),ROUND(D967*J967*(1-N(F967)),2),0))</f>
        <v/>
      </c>
      <c r="M967" s="62" t="str">
        <f>IF(A967="","",IFERROR(INDEX(dv_cname,MATCH(A967,dv_num,0))&amp;"",""))</f>
        <v/>
      </c>
      <c r="N967" s="59" t="str">
        <f>IF(COUNTA(A967:G967)=0,"",IF(A967="","N° devis manquant",IF(ISNA(MATCH(A967,dv_num,0)),"Devis inconnu",IF(AND(B967&lt;&gt;"",ISNA(MATCH(B967,pr_code,0))),"Article inconnu",IF(H967="","Désignation manquante",IF(OR(NOT(ISNUMBER(D967)),N(D967)&lt;=0),"Quantité invalide",IF(J967="","Prix manquant",IF(OR(NOT(ISNUMBER(J967)),N(J967)&lt;0),"Prix invalide",IF(OR(AND(F967&lt;&gt;"",NOT(ISNUMBER(F967))),N(F967)&lt;0,N(F967)&gt;1),"Remise invalide",IF(K967="","Taux de TVA manquant",IF(NOT(ISNUMBER(K967)),"Taux de TVA invalide",IF(COUNTIF(p_rates,K967)=0,"Taux de TVA hors liste (Paramètres)",IF(N(O967)&gt;25,"Au-delà de 25 lignes : non imprimée","OK")))))))))))))</f>
        <v/>
      </c>
      <c r="O967" s="59" t="str">
        <f>IF(A967="","",COUNTIF($A$6:A967,A967))</f>
        <v/>
      </c>
      <c r="P967" s="62" t="str">
        <f>IF(A967="","",A967&amp;"|"&amp;O967)</f>
        <v/>
      </c>
    </row>
    <row r="968">
      <c r="A968" s="60" t="n"/>
      <c r="B968" s="63" t="n"/>
      <c r="C968" s="63" t="n"/>
      <c r="D968" s="67" t="n"/>
      <c r="E968" s="68" t="n"/>
      <c r="F968" s="69" t="n"/>
      <c r="G968" s="70" t="n"/>
      <c r="H968" s="62" t="str">
        <f>IF(COUNTA(A968:G968)=0,"",IF(C968&lt;&gt;"",C968,IF(B968="","",IFERROR(INDEX(pr_des,MATCH(B968,pr_code,0))&amp;"",""))))</f>
        <v/>
      </c>
      <c r="I968" s="59" t="str">
        <f>IF(B968="","",IFERROR(INDEX(pr_unit,MATCH(B968,pr_code,0))&amp;"",""))</f>
        <v/>
      </c>
      <c r="J968" s="65" t="str">
        <f>IF(COUNTA(A968:G968)=0,"",IF(E968&lt;&gt;"",E968,IF(B968="","",IFERROR(IF(INDEX(pr_price,MATCH(B968,pr_code,0))="","",INDEX(pr_price,MATCH(B968,pr_code,0))),""))))</f>
        <v/>
      </c>
      <c r="K968" s="71" t="str">
        <f>IF(COUNTA(A968:G968)=0,"",IF(G968&lt;&gt;"",G968,IF(B968="","",IFERROR(IF(INDEX(pr_rate,MATCH(B968,pr_code,0))="","",INDEX(pr_rate,MATCH(B968,pr_code,0))),""))))</f>
        <v/>
      </c>
      <c r="L968" s="65" t="str">
        <f>IF(COUNTA(A968:G968)=0,"",IF(AND(ISNUMBER(D968),ISNUMBER(J968)),ROUND(D968*J968*(1-N(F968)),2),0))</f>
        <v/>
      </c>
      <c r="M968" s="62" t="str">
        <f>IF(A968="","",IFERROR(INDEX(dv_cname,MATCH(A968,dv_num,0))&amp;"",""))</f>
        <v/>
      </c>
      <c r="N968" s="59" t="str">
        <f>IF(COUNTA(A968:G968)=0,"",IF(A968="","N° devis manquant",IF(ISNA(MATCH(A968,dv_num,0)),"Devis inconnu",IF(AND(B968&lt;&gt;"",ISNA(MATCH(B968,pr_code,0))),"Article inconnu",IF(H968="","Désignation manquante",IF(OR(NOT(ISNUMBER(D968)),N(D968)&lt;=0),"Quantité invalide",IF(J968="","Prix manquant",IF(OR(NOT(ISNUMBER(J968)),N(J968)&lt;0),"Prix invalide",IF(OR(AND(F968&lt;&gt;"",NOT(ISNUMBER(F968))),N(F968)&lt;0,N(F968)&gt;1),"Remise invalide",IF(K968="","Taux de TVA manquant",IF(NOT(ISNUMBER(K968)),"Taux de TVA invalide",IF(COUNTIF(p_rates,K968)=0,"Taux de TVA hors liste (Paramètres)",IF(N(O968)&gt;25,"Au-delà de 25 lignes : non imprimée","OK")))))))))))))</f>
        <v/>
      </c>
      <c r="O968" s="59" t="str">
        <f>IF(A968="","",COUNTIF($A$6:A968,A968))</f>
        <v/>
      </c>
      <c r="P968" s="62" t="str">
        <f>IF(A968="","",A968&amp;"|"&amp;O968)</f>
        <v/>
      </c>
    </row>
    <row r="969">
      <c r="A969" s="60" t="n"/>
      <c r="B969" s="63" t="n"/>
      <c r="C969" s="63" t="n"/>
      <c r="D969" s="67" t="n"/>
      <c r="E969" s="68" t="n"/>
      <c r="F969" s="69" t="n"/>
      <c r="G969" s="70" t="n"/>
      <c r="H969" s="62" t="str">
        <f>IF(COUNTA(A969:G969)=0,"",IF(C969&lt;&gt;"",C969,IF(B969="","",IFERROR(INDEX(pr_des,MATCH(B969,pr_code,0))&amp;"",""))))</f>
        <v/>
      </c>
      <c r="I969" s="59" t="str">
        <f>IF(B969="","",IFERROR(INDEX(pr_unit,MATCH(B969,pr_code,0))&amp;"",""))</f>
        <v/>
      </c>
      <c r="J969" s="65" t="str">
        <f>IF(COUNTA(A969:G969)=0,"",IF(E969&lt;&gt;"",E969,IF(B969="","",IFERROR(IF(INDEX(pr_price,MATCH(B969,pr_code,0))="","",INDEX(pr_price,MATCH(B969,pr_code,0))),""))))</f>
        <v/>
      </c>
      <c r="K969" s="71" t="str">
        <f>IF(COUNTA(A969:G969)=0,"",IF(G969&lt;&gt;"",G969,IF(B969="","",IFERROR(IF(INDEX(pr_rate,MATCH(B969,pr_code,0))="","",INDEX(pr_rate,MATCH(B969,pr_code,0))),""))))</f>
        <v/>
      </c>
      <c r="L969" s="65" t="str">
        <f>IF(COUNTA(A969:G969)=0,"",IF(AND(ISNUMBER(D969),ISNUMBER(J969)),ROUND(D969*J969*(1-N(F969)),2),0))</f>
        <v/>
      </c>
      <c r="M969" s="62" t="str">
        <f>IF(A969="","",IFERROR(INDEX(dv_cname,MATCH(A969,dv_num,0))&amp;"",""))</f>
        <v/>
      </c>
      <c r="N969" s="59" t="str">
        <f>IF(COUNTA(A969:G969)=0,"",IF(A969="","N° devis manquant",IF(ISNA(MATCH(A969,dv_num,0)),"Devis inconnu",IF(AND(B969&lt;&gt;"",ISNA(MATCH(B969,pr_code,0))),"Article inconnu",IF(H969="","Désignation manquante",IF(OR(NOT(ISNUMBER(D969)),N(D969)&lt;=0),"Quantité invalide",IF(J969="","Prix manquant",IF(OR(NOT(ISNUMBER(J969)),N(J969)&lt;0),"Prix invalide",IF(OR(AND(F969&lt;&gt;"",NOT(ISNUMBER(F969))),N(F969)&lt;0,N(F969)&gt;1),"Remise invalide",IF(K969="","Taux de TVA manquant",IF(NOT(ISNUMBER(K969)),"Taux de TVA invalide",IF(COUNTIF(p_rates,K969)=0,"Taux de TVA hors liste (Paramètres)",IF(N(O969)&gt;25,"Au-delà de 25 lignes : non imprimée","OK")))))))))))))</f>
        <v/>
      </c>
      <c r="O969" s="59" t="str">
        <f>IF(A969="","",COUNTIF($A$6:A969,A969))</f>
        <v/>
      </c>
      <c r="P969" s="62" t="str">
        <f>IF(A969="","",A969&amp;"|"&amp;O969)</f>
        <v/>
      </c>
    </row>
    <row r="970">
      <c r="A970" s="60" t="n"/>
      <c r="B970" s="63" t="n"/>
      <c r="C970" s="63" t="n"/>
      <c r="D970" s="67" t="n"/>
      <c r="E970" s="68" t="n"/>
      <c r="F970" s="69" t="n"/>
      <c r="G970" s="70" t="n"/>
      <c r="H970" s="62" t="str">
        <f>IF(COUNTA(A970:G970)=0,"",IF(C970&lt;&gt;"",C970,IF(B970="","",IFERROR(INDEX(pr_des,MATCH(B970,pr_code,0))&amp;"",""))))</f>
        <v/>
      </c>
      <c r="I970" s="59" t="str">
        <f>IF(B970="","",IFERROR(INDEX(pr_unit,MATCH(B970,pr_code,0))&amp;"",""))</f>
        <v/>
      </c>
      <c r="J970" s="65" t="str">
        <f>IF(COUNTA(A970:G970)=0,"",IF(E970&lt;&gt;"",E970,IF(B970="","",IFERROR(IF(INDEX(pr_price,MATCH(B970,pr_code,0))="","",INDEX(pr_price,MATCH(B970,pr_code,0))),""))))</f>
        <v/>
      </c>
      <c r="K970" s="71" t="str">
        <f>IF(COUNTA(A970:G970)=0,"",IF(G970&lt;&gt;"",G970,IF(B970="","",IFERROR(IF(INDEX(pr_rate,MATCH(B970,pr_code,0))="","",INDEX(pr_rate,MATCH(B970,pr_code,0))),""))))</f>
        <v/>
      </c>
      <c r="L970" s="65" t="str">
        <f>IF(COUNTA(A970:G970)=0,"",IF(AND(ISNUMBER(D970),ISNUMBER(J970)),ROUND(D970*J970*(1-N(F970)),2),0))</f>
        <v/>
      </c>
      <c r="M970" s="62" t="str">
        <f>IF(A970="","",IFERROR(INDEX(dv_cname,MATCH(A970,dv_num,0))&amp;"",""))</f>
        <v/>
      </c>
      <c r="N970" s="59" t="str">
        <f>IF(COUNTA(A970:G970)=0,"",IF(A970="","N° devis manquant",IF(ISNA(MATCH(A970,dv_num,0)),"Devis inconnu",IF(AND(B970&lt;&gt;"",ISNA(MATCH(B970,pr_code,0))),"Article inconnu",IF(H970="","Désignation manquante",IF(OR(NOT(ISNUMBER(D970)),N(D970)&lt;=0),"Quantité invalide",IF(J970="","Prix manquant",IF(OR(NOT(ISNUMBER(J970)),N(J970)&lt;0),"Prix invalide",IF(OR(AND(F970&lt;&gt;"",NOT(ISNUMBER(F970))),N(F970)&lt;0,N(F970)&gt;1),"Remise invalide",IF(K970="","Taux de TVA manquant",IF(NOT(ISNUMBER(K970)),"Taux de TVA invalide",IF(COUNTIF(p_rates,K970)=0,"Taux de TVA hors liste (Paramètres)",IF(N(O970)&gt;25,"Au-delà de 25 lignes : non imprimée","OK")))))))))))))</f>
        <v/>
      </c>
      <c r="O970" s="59" t="str">
        <f>IF(A970="","",COUNTIF($A$6:A970,A970))</f>
        <v/>
      </c>
      <c r="P970" s="62" t="str">
        <f>IF(A970="","",A970&amp;"|"&amp;O970)</f>
        <v/>
      </c>
    </row>
    <row r="971">
      <c r="A971" s="60" t="n"/>
      <c r="B971" s="63" t="n"/>
      <c r="C971" s="63" t="n"/>
      <c r="D971" s="67" t="n"/>
      <c r="E971" s="68" t="n"/>
      <c r="F971" s="69" t="n"/>
      <c r="G971" s="70" t="n"/>
      <c r="H971" s="62" t="str">
        <f>IF(COUNTA(A971:G971)=0,"",IF(C971&lt;&gt;"",C971,IF(B971="","",IFERROR(INDEX(pr_des,MATCH(B971,pr_code,0))&amp;"",""))))</f>
        <v/>
      </c>
      <c r="I971" s="59" t="str">
        <f>IF(B971="","",IFERROR(INDEX(pr_unit,MATCH(B971,pr_code,0))&amp;"",""))</f>
        <v/>
      </c>
      <c r="J971" s="65" t="str">
        <f>IF(COUNTA(A971:G971)=0,"",IF(E971&lt;&gt;"",E971,IF(B971="","",IFERROR(IF(INDEX(pr_price,MATCH(B971,pr_code,0))="","",INDEX(pr_price,MATCH(B971,pr_code,0))),""))))</f>
        <v/>
      </c>
      <c r="K971" s="71" t="str">
        <f>IF(COUNTA(A971:G971)=0,"",IF(G971&lt;&gt;"",G971,IF(B971="","",IFERROR(IF(INDEX(pr_rate,MATCH(B971,pr_code,0))="","",INDEX(pr_rate,MATCH(B971,pr_code,0))),""))))</f>
        <v/>
      </c>
      <c r="L971" s="65" t="str">
        <f>IF(COUNTA(A971:G971)=0,"",IF(AND(ISNUMBER(D971),ISNUMBER(J971)),ROUND(D971*J971*(1-N(F971)),2),0))</f>
        <v/>
      </c>
      <c r="M971" s="62" t="str">
        <f>IF(A971="","",IFERROR(INDEX(dv_cname,MATCH(A971,dv_num,0))&amp;"",""))</f>
        <v/>
      </c>
      <c r="N971" s="59" t="str">
        <f>IF(COUNTA(A971:G971)=0,"",IF(A971="","N° devis manquant",IF(ISNA(MATCH(A971,dv_num,0)),"Devis inconnu",IF(AND(B971&lt;&gt;"",ISNA(MATCH(B971,pr_code,0))),"Article inconnu",IF(H971="","Désignation manquante",IF(OR(NOT(ISNUMBER(D971)),N(D971)&lt;=0),"Quantité invalide",IF(J971="","Prix manquant",IF(OR(NOT(ISNUMBER(J971)),N(J971)&lt;0),"Prix invalide",IF(OR(AND(F971&lt;&gt;"",NOT(ISNUMBER(F971))),N(F971)&lt;0,N(F971)&gt;1),"Remise invalide",IF(K971="","Taux de TVA manquant",IF(NOT(ISNUMBER(K971)),"Taux de TVA invalide",IF(COUNTIF(p_rates,K971)=0,"Taux de TVA hors liste (Paramètres)",IF(N(O971)&gt;25,"Au-delà de 25 lignes : non imprimée","OK")))))))))))))</f>
        <v/>
      </c>
      <c r="O971" s="59" t="str">
        <f>IF(A971="","",COUNTIF($A$6:A971,A971))</f>
        <v/>
      </c>
      <c r="P971" s="62" t="str">
        <f>IF(A971="","",A971&amp;"|"&amp;O971)</f>
        <v/>
      </c>
    </row>
    <row r="972">
      <c r="A972" s="60" t="n"/>
      <c r="B972" s="63" t="n"/>
      <c r="C972" s="63" t="n"/>
      <c r="D972" s="67" t="n"/>
      <c r="E972" s="68" t="n"/>
      <c r="F972" s="69" t="n"/>
      <c r="G972" s="70" t="n"/>
      <c r="H972" s="62" t="str">
        <f>IF(COUNTA(A972:G972)=0,"",IF(C972&lt;&gt;"",C972,IF(B972="","",IFERROR(INDEX(pr_des,MATCH(B972,pr_code,0))&amp;"",""))))</f>
        <v/>
      </c>
      <c r="I972" s="59" t="str">
        <f>IF(B972="","",IFERROR(INDEX(pr_unit,MATCH(B972,pr_code,0))&amp;"",""))</f>
        <v/>
      </c>
      <c r="J972" s="65" t="str">
        <f>IF(COUNTA(A972:G972)=0,"",IF(E972&lt;&gt;"",E972,IF(B972="","",IFERROR(IF(INDEX(pr_price,MATCH(B972,pr_code,0))="","",INDEX(pr_price,MATCH(B972,pr_code,0))),""))))</f>
        <v/>
      </c>
      <c r="K972" s="71" t="str">
        <f>IF(COUNTA(A972:G972)=0,"",IF(G972&lt;&gt;"",G972,IF(B972="","",IFERROR(IF(INDEX(pr_rate,MATCH(B972,pr_code,0))="","",INDEX(pr_rate,MATCH(B972,pr_code,0))),""))))</f>
        <v/>
      </c>
      <c r="L972" s="65" t="str">
        <f>IF(COUNTA(A972:G972)=0,"",IF(AND(ISNUMBER(D972),ISNUMBER(J972)),ROUND(D972*J972*(1-N(F972)),2),0))</f>
        <v/>
      </c>
      <c r="M972" s="62" t="str">
        <f>IF(A972="","",IFERROR(INDEX(dv_cname,MATCH(A972,dv_num,0))&amp;"",""))</f>
        <v/>
      </c>
      <c r="N972" s="59" t="str">
        <f>IF(COUNTA(A972:G972)=0,"",IF(A972="","N° devis manquant",IF(ISNA(MATCH(A972,dv_num,0)),"Devis inconnu",IF(AND(B972&lt;&gt;"",ISNA(MATCH(B972,pr_code,0))),"Article inconnu",IF(H972="","Désignation manquante",IF(OR(NOT(ISNUMBER(D972)),N(D972)&lt;=0),"Quantité invalide",IF(J972="","Prix manquant",IF(OR(NOT(ISNUMBER(J972)),N(J972)&lt;0),"Prix invalide",IF(OR(AND(F972&lt;&gt;"",NOT(ISNUMBER(F972))),N(F972)&lt;0,N(F972)&gt;1),"Remise invalide",IF(K972="","Taux de TVA manquant",IF(NOT(ISNUMBER(K972)),"Taux de TVA invalide",IF(COUNTIF(p_rates,K972)=0,"Taux de TVA hors liste (Paramètres)",IF(N(O972)&gt;25,"Au-delà de 25 lignes : non imprimée","OK")))))))))))))</f>
        <v/>
      </c>
      <c r="O972" s="59" t="str">
        <f>IF(A972="","",COUNTIF($A$6:A972,A972))</f>
        <v/>
      </c>
      <c r="P972" s="62" t="str">
        <f>IF(A972="","",A972&amp;"|"&amp;O972)</f>
        <v/>
      </c>
    </row>
    <row r="973">
      <c r="A973" s="60" t="n"/>
      <c r="B973" s="63" t="n"/>
      <c r="C973" s="63" t="n"/>
      <c r="D973" s="67" t="n"/>
      <c r="E973" s="68" t="n"/>
      <c r="F973" s="69" t="n"/>
      <c r="G973" s="70" t="n"/>
      <c r="H973" s="62" t="str">
        <f>IF(COUNTA(A973:G973)=0,"",IF(C973&lt;&gt;"",C973,IF(B973="","",IFERROR(INDEX(pr_des,MATCH(B973,pr_code,0))&amp;"",""))))</f>
        <v/>
      </c>
      <c r="I973" s="59" t="str">
        <f>IF(B973="","",IFERROR(INDEX(pr_unit,MATCH(B973,pr_code,0))&amp;"",""))</f>
        <v/>
      </c>
      <c r="J973" s="65" t="str">
        <f>IF(COUNTA(A973:G973)=0,"",IF(E973&lt;&gt;"",E973,IF(B973="","",IFERROR(IF(INDEX(pr_price,MATCH(B973,pr_code,0))="","",INDEX(pr_price,MATCH(B973,pr_code,0))),""))))</f>
        <v/>
      </c>
      <c r="K973" s="71" t="str">
        <f>IF(COUNTA(A973:G973)=0,"",IF(G973&lt;&gt;"",G973,IF(B973="","",IFERROR(IF(INDEX(pr_rate,MATCH(B973,pr_code,0))="","",INDEX(pr_rate,MATCH(B973,pr_code,0))),""))))</f>
        <v/>
      </c>
      <c r="L973" s="65" t="str">
        <f>IF(COUNTA(A973:G973)=0,"",IF(AND(ISNUMBER(D973),ISNUMBER(J973)),ROUND(D973*J973*(1-N(F973)),2),0))</f>
        <v/>
      </c>
      <c r="M973" s="62" t="str">
        <f>IF(A973="","",IFERROR(INDEX(dv_cname,MATCH(A973,dv_num,0))&amp;"",""))</f>
        <v/>
      </c>
      <c r="N973" s="59" t="str">
        <f>IF(COUNTA(A973:G973)=0,"",IF(A973="","N° devis manquant",IF(ISNA(MATCH(A973,dv_num,0)),"Devis inconnu",IF(AND(B973&lt;&gt;"",ISNA(MATCH(B973,pr_code,0))),"Article inconnu",IF(H973="","Désignation manquante",IF(OR(NOT(ISNUMBER(D973)),N(D973)&lt;=0),"Quantité invalide",IF(J973="","Prix manquant",IF(OR(NOT(ISNUMBER(J973)),N(J973)&lt;0),"Prix invalide",IF(OR(AND(F973&lt;&gt;"",NOT(ISNUMBER(F973))),N(F973)&lt;0,N(F973)&gt;1),"Remise invalide",IF(K973="","Taux de TVA manquant",IF(NOT(ISNUMBER(K973)),"Taux de TVA invalide",IF(COUNTIF(p_rates,K973)=0,"Taux de TVA hors liste (Paramètres)",IF(N(O973)&gt;25,"Au-delà de 25 lignes : non imprimée","OK")))))))))))))</f>
        <v/>
      </c>
      <c r="O973" s="59" t="str">
        <f>IF(A973="","",COUNTIF($A$6:A973,A973))</f>
        <v/>
      </c>
      <c r="P973" s="62" t="str">
        <f>IF(A973="","",A973&amp;"|"&amp;O973)</f>
        <v/>
      </c>
    </row>
    <row r="974">
      <c r="A974" s="60" t="n"/>
      <c r="B974" s="63" t="n"/>
      <c r="C974" s="63" t="n"/>
      <c r="D974" s="67" t="n"/>
      <c r="E974" s="68" t="n"/>
      <c r="F974" s="69" t="n"/>
      <c r="G974" s="70" t="n"/>
      <c r="H974" s="62" t="str">
        <f>IF(COUNTA(A974:G974)=0,"",IF(C974&lt;&gt;"",C974,IF(B974="","",IFERROR(INDEX(pr_des,MATCH(B974,pr_code,0))&amp;"",""))))</f>
        <v/>
      </c>
      <c r="I974" s="59" t="str">
        <f>IF(B974="","",IFERROR(INDEX(pr_unit,MATCH(B974,pr_code,0))&amp;"",""))</f>
        <v/>
      </c>
      <c r="J974" s="65" t="str">
        <f>IF(COUNTA(A974:G974)=0,"",IF(E974&lt;&gt;"",E974,IF(B974="","",IFERROR(IF(INDEX(pr_price,MATCH(B974,pr_code,0))="","",INDEX(pr_price,MATCH(B974,pr_code,0))),""))))</f>
        <v/>
      </c>
      <c r="K974" s="71" t="str">
        <f>IF(COUNTA(A974:G974)=0,"",IF(G974&lt;&gt;"",G974,IF(B974="","",IFERROR(IF(INDEX(pr_rate,MATCH(B974,pr_code,0))="","",INDEX(pr_rate,MATCH(B974,pr_code,0))),""))))</f>
        <v/>
      </c>
      <c r="L974" s="65" t="str">
        <f>IF(COUNTA(A974:G974)=0,"",IF(AND(ISNUMBER(D974),ISNUMBER(J974)),ROUND(D974*J974*(1-N(F974)),2),0))</f>
        <v/>
      </c>
      <c r="M974" s="62" t="str">
        <f>IF(A974="","",IFERROR(INDEX(dv_cname,MATCH(A974,dv_num,0))&amp;"",""))</f>
        <v/>
      </c>
      <c r="N974" s="59" t="str">
        <f>IF(COUNTA(A974:G974)=0,"",IF(A974="","N° devis manquant",IF(ISNA(MATCH(A974,dv_num,0)),"Devis inconnu",IF(AND(B974&lt;&gt;"",ISNA(MATCH(B974,pr_code,0))),"Article inconnu",IF(H974="","Désignation manquante",IF(OR(NOT(ISNUMBER(D974)),N(D974)&lt;=0),"Quantité invalide",IF(J974="","Prix manquant",IF(OR(NOT(ISNUMBER(J974)),N(J974)&lt;0),"Prix invalide",IF(OR(AND(F974&lt;&gt;"",NOT(ISNUMBER(F974))),N(F974)&lt;0,N(F974)&gt;1),"Remise invalide",IF(K974="","Taux de TVA manquant",IF(NOT(ISNUMBER(K974)),"Taux de TVA invalide",IF(COUNTIF(p_rates,K974)=0,"Taux de TVA hors liste (Paramètres)",IF(N(O974)&gt;25,"Au-delà de 25 lignes : non imprimée","OK")))))))))))))</f>
        <v/>
      </c>
      <c r="O974" s="59" t="str">
        <f>IF(A974="","",COUNTIF($A$6:A974,A974))</f>
        <v/>
      </c>
      <c r="P974" s="62" t="str">
        <f>IF(A974="","",A974&amp;"|"&amp;O974)</f>
        <v/>
      </c>
    </row>
    <row r="975">
      <c r="A975" s="60" t="n"/>
      <c r="B975" s="63" t="n"/>
      <c r="C975" s="63" t="n"/>
      <c r="D975" s="67" t="n"/>
      <c r="E975" s="68" t="n"/>
      <c r="F975" s="69" t="n"/>
      <c r="G975" s="70" t="n"/>
      <c r="H975" s="62" t="str">
        <f>IF(COUNTA(A975:G975)=0,"",IF(C975&lt;&gt;"",C975,IF(B975="","",IFERROR(INDEX(pr_des,MATCH(B975,pr_code,0))&amp;"",""))))</f>
        <v/>
      </c>
      <c r="I975" s="59" t="str">
        <f>IF(B975="","",IFERROR(INDEX(pr_unit,MATCH(B975,pr_code,0))&amp;"",""))</f>
        <v/>
      </c>
      <c r="J975" s="65" t="str">
        <f>IF(COUNTA(A975:G975)=0,"",IF(E975&lt;&gt;"",E975,IF(B975="","",IFERROR(IF(INDEX(pr_price,MATCH(B975,pr_code,0))="","",INDEX(pr_price,MATCH(B975,pr_code,0))),""))))</f>
        <v/>
      </c>
      <c r="K975" s="71" t="str">
        <f>IF(COUNTA(A975:G975)=0,"",IF(G975&lt;&gt;"",G975,IF(B975="","",IFERROR(IF(INDEX(pr_rate,MATCH(B975,pr_code,0))="","",INDEX(pr_rate,MATCH(B975,pr_code,0))),""))))</f>
        <v/>
      </c>
      <c r="L975" s="65" t="str">
        <f>IF(COUNTA(A975:G975)=0,"",IF(AND(ISNUMBER(D975),ISNUMBER(J975)),ROUND(D975*J975*(1-N(F975)),2),0))</f>
        <v/>
      </c>
      <c r="M975" s="62" t="str">
        <f>IF(A975="","",IFERROR(INDEX(dv_cname,MATCH(A975,dv_num,0))&amp;"",""))</f>
        <v/>
      </c>
      <c r="N975" s="59" t="str">
        <f>IF(COUNTA(A975:G975)=0,"",IF(A975="","N° devis manquant",IF(ISNA(MATCH(A975,dv_num,0)),"Devis inconnu",IF(AND(B975&lt;&gt;"",ISNA(MATCH(B975,pr_code,0))),"Article inconnu",IF(H975="","Désignation manquante",IF(OR(NOT(ISNUMBER(D975)),N(D975)&lt;=0),"Quantité invalide",IF(J975="","Prix manquant",IF(OR(NOT(ISNUMBER(J975)),N(J975)&lt;0),"Prix invalide",IF(OR(AND(F975&lt;&gt;"",NOT(ISNUMBER(F975))),N(F975)&lt;0,N(F975)&gt;1),"Remise invalide",IF(K975="","Taux de TVA manquant",IF(NOT(ISNUMBER(K975)),"Taux de TVA invalide",IF(COUNTIF(p_rates,K975)=0,"Taux de TVA hors liste (Paramètres)",IF(N(O975)&gt;25,"Au-delà de 25 lignes : non imprimée","OK")))))))))))))</f>
        <v/>
      </c>
      <c r="O975" s="59" t="str">
        <f>IF(A975="","",COUNTIF($A$6:A975,A975))</f>
        <v/>
      </c>
      <c r="P975" s="62" t="str">
        <f>IF(A975="","",A975&amp;"|"&amp;O975)</f>
        <v/>
      </c>
    </row>
    <row r="976">
      <c r="A976" s="60" t="n"/>
      <c r="B976" s="63" t="n"/>
      <c r="C976" s="63" t="n"/>
      <c r="D976" s="67" t="n"/>
      <c r="E976" s="68" t="n"/>
      <c r="F976" s="69" t="n"/>
      <c r="G976" s="70" t="n"/>
      <c r="H976" s="62" t="str">
        <f>IF(COUNTA(A976:G976)=0,"",IF(C976&lt;&gt;"",C976,IF(B976="","",IFERROR(INDEX(pr_des,MATCH(B976,pr_code,0))&amp;"",""))))</f>
        <v/>
      </c>
      <c r="I976" s="59" t="str">
        <f>IF(B976="","",IFERROR(INDEX(pr_unit,MATCH(B976,pr_code,0))&amp;"",""))</f>
        <v/>
      </c>
      <c r="J976" s="65" t="str">
        <f>IF(COUNTA(A976:G976)=0,"",IF(E976&lt;&gt;"",E976,IF(B976="","",IFERROR(IF(INDEX(pr_price,MATCH(B976,pr_code,0))="","",INDEX(pr_price,MATCH(B976,pr_code,0))),""))))</f>
        <v/>
      </c>
      <c r="K976" s="71" t="str">
        <f>IF(COUNTA(A976:G976)=0,"",IF(G976&lt;&gt;"",G976,IF(B976="","",IFERROR(IF(INDEX(pr_rate,MATCH(B976,pr_code,0))="","",INDEX(pr_rate,MATCH(B976,pr_code,0))),""))))</f>
        <v/>
      </c>
      <c r="L976" s="65" t="str">
        <f>IF(COUNTA(A976:G976)=0,"",IF(AND(ISNUMBER(D976),ISNUMBER(J976)),ROUND(D976*J976*(1-N(F976)),2),0))</f>
        <v/>
      </c>
      <c r="M976" s="62" t="str">
        <f>IF(A976="","",IFERROR(INDEX(dv_cname,MATCH(A976,dv_num,0))&amp;"",""))</f>
        <v/>
      </c>
      <c r="N976" s="59" t="str">
        <f>IF(COUNTA(A976:G976)=0,"",IF(A976="","N° devis manquant",IF(ISNA(MATCH(A976,dv_num,0)),"Devis inconnu",IF(AND(B976&lt;&gt;"",ISNA(MATCH(B976,pr_code,0))),"Article inconnu",IF(H976="","Désignation manquante",IF(OR(NOT(ISNUMBER(D976)),N(D976)&lt;=0),"Quantité invalide",IF(J976="","Prix manquant",IF(OR(NOT(ISNUMBER(J976)),N(J976)&lt;0),"Prix invalide",IF(OR(AND(F976&lt;&gt;"",NOT(ISNUMBER(F976))),N(F976)&lt;0,N(F976)&gt;1),"Remise invalide",IF(K976="","Taux de TVA manquant",IF(NOT(ISNUMBER(K976)),"Taux de TVA invalide",IF(COUNTIF(p_rates,K976)=0,"Taux de TVA hors liste (Paramètres)",IF(N(O976)&gt;25,"Au-delà de 25 lignes : non imprimée","OK")))))))))))))</f>
        <v/>
      </c>
      <c r="O976" s="59" t="str">
        <f>IF(A976="","",COUNTIF($A$6:A976,A976))</f>
        <v/>
      </c>
      <c r="P976" s="62" t="str">
        <f>IF(A976="","",A976&amp;"|"&amp;O976)</f>
        <v/>
      </c>
    </row>
    <row r="977">
      <c r="A977" s="60" t="n"/>
      <c r="B977" s="63" t="n"/>
      <c r="C977" s="63" t="n"/>
      <c r="D977" s="67" t="n"/>
      <c r="E977" s="68" t="n"/>
      <c r="F977" s="69" t="n"/>
      <c r="G977" s="70" t="n"/>
      <c r="H977" s="62" t="str">
        <f>IF(COUNTA(A977:G977)=0,"",IF(C977&lt;&gt;"",C977,IF(B977="","",IFERROR(INDEX(pr_des,MATCH(B977,pr_code,0))&amp;"",""))))</f>
        <v/>
      </c>
      <c r="I977" s="59" t="str">
        <f>IF(B977="","",IFERROR(INDEX(pr_unit,MATCH(B977,pr_code,0))&amp;"",""))</f>
        <v/>
      </c>
      <c r="J977" s="65" t="str">
        <f>IF(COUNTA(A977:G977)=0,"",IF(E977&lt;&gt;"",E977,IF(B977="","",IFERROR(IF(INDEX(pr_price,MATCH(B977,pr_code,0))="","",INDEX(pr_price,MATCH(B977,pr_code,0))),""))))</f>
        <v/>
      </c>
      <c r="K977" s="71" t="str">
        <f>IF(COUNTA(A977:G977)=0,"",IF(G977&lt;&gt;"",G977,IF(B977="","",IFERROR(IF(INDEX(pr_rate,MATCH(B977,pr_code,0))="","",INDEX(pr_rate,MATCH(B977,pr_code,0))),""))))</f>
        <v/>
      </c>
      <c r="L977" s="65" t="str">
        <f>IF(COUNTA(A977:G977)=0,"",IF(AND(ISNUMBER(D977),ISNUMBER(J977)),ROUND(D977*J977*(1-N(F977)),2),0))</f>
        <v/>
      </c>
      <c r="M977" s="62" t="str">
        <f>IF(A977="","",IFERROR(INDEX(dv_cname,MATCH(A977,dv_num,0))&amp;"",""))</f>
        <v/>
      </c>
      <c r="N977" s="59" t="str">
        <f>IF(COUNTA(A977:G977)=0,"",IF(A977="","N° devis manquant",IF(ISNA(MATCH(A977,dv_num,0)),"Devis inconnu",IF(AND(B977&lt;&gt;"",ISNA(MATCH(B977,pr_code,0))),"Article inconnu",IF(H977="","Désignation manquante",IF(OR(NOT(ISNUMBER(D977)),N(D977)&lt;=0),"Quantité invalide",IF(J977="","Prix manquant",IF(OR(NOT(ISNUMBER(J977)),N(J977)&lt;0),"Prix invalide",IF(OR(AND(F977&lt;&gt;"",NOT(ISNUMBER(F977))),N(F977)&lt;0,N(F977)&gt;1),"Remise invalide",IF(K977="","Taux de TVA manquant",IF(NOT(ISNUMBER(K977)),"Taux de TVA invalide",IF(COUNTIF(p_rates,K977)=0,"Taux de TVA hors liste (Paramètres)",IF(N(O977)&gt;25,"Au-delà de 25 lignes : non imprimée","OK")))))))))))))</f>
        <v/>
      </c>
      <c r="O977" s="59" t="str">
        <f>IF(A977="","",COUNTIF($A$6:A977,A977))</f>
        <v/>
      </c>
      <c r="P977" s="62" t="str">
        <f>IF(A977="","",A977&amp;"|"&amp;O977)</f>
        <v/>
      </c>
    </row>
    <row r="978">
      <c r="A978" s="60" t="n"/>
      <c r="B978" s="63" t="n"/>
      <c r="C978" s="63" t="n"/>
      <c r="D978" s="67" t="n"/>
      <c r="E978" s="68" t="n"/>
      <c r="F978" s="69" t="n"/>
      <c r="G978" s="70" t="n"/>
      <c r="H978" s="62" t="str">
        <f>IF(COUNTA(A978:G978)=0,"",IF(C978&lt;&gt;"",C978,IF(B978="","",IFERROR(INDEX(pr_des,MATCH(B978,pr_code,0))&amp;"",""))))</f>
        <v/>
      </c>
      <c r="I978" s="59" t="str">
        <f>IF(B978="","",IFERROR(INDEX(pr_unit,MATCH(B978,pr_code,0))&amp;"",""))</f>
        <v/>
      </c>
      <c r="J978" s="65" t="str">
        <f>IF(COUNTA(A978:G978)=0,"",IF(E978&lt;&gt;"",E978,IF(B978="","",IFERROR(IF(INDEX(pr_price,MATCH(B978,pr_code,0))="","",INDEX(pr_price,MATCH(B978,pr_code,0))),""))))</f>
        <v/>
      </c>
      <c r="K978" s="71" t="str">
        <f>IF(COUNTA(A978:G978)=0,"",IF(G978&lt;&gt;"",G978,IF(B978="","",IFERROR(IF(INDEX(pr_rate,MATCH(B978,pr_code,0))="","",INDEX(pr_rate,MATCH(B978,pr_code,0))),""))))</f>
        <v/>
      </c>
      <c r="L978" s="65" t="str">
        <f>IF(COUNTA(A978:G978)=0,"",IF(AND(ISNUMBER(D978),ISNUMBER(J978)),ROUND(D978*J978*(1-N(F978)),2),0))</f>
        <v/>
      </c>
      <c r="M978" s="62" t="str">
        <f>IF(A978="","",IFERROR(INDEX(dv_cname,MATCH(A978,dv_num,0))&amp;"",""))</f>
        <v/>
      </c>
      <c r="N978" s="59" t="str">
        <f>IF(COUNTA(A978:G978)=0,"",IF(A978="","N° devis manquant",IF(ISNA(MATCH(A978,dv_num,0)),"Devis inconnu",IF(AND(B978&lt;&gt;"",ISNA(MATCH(B978,pr_code,0))),"Article inconnu",IF(H978="","Désignation manquante",IF(OR(NOT(ISNUMBER(D978)),N(D978)&lt;=0),"Quantité invalide",IF(J978="","Prix manquant",IF(OR(NOT(ISNUMBER(J978)),N(J978)&lt;0),"Prix invalide",IF(OR(AND(F978&lt;&gt;"",NOT(ISNUMBER(F978))),N(F978)&lt;0,N(F978)&gt;1),"Remise invalide",IF(K978="","Taux de TVA manquant",IF(NOT(ISNUMBER(K978)),"Taux de TVA invalide",IF(COUNTIF(p_rates,K978)=0,"Taux de TVA hors liste (Paramètres)",IF(N(O978)&gt;25,"Au-delà de 25 lignes : non imprimée","OK")))))))))))))</f>
        <v/>
      </c>
      <c r="O978" s="59" t="str">
        <f>IF(A978="","",COUNTIF($A$6:A978,A978))</f>
        <v/>
      </c>
      <c r="P978" s="62" t="str">
        <f>IF(A978="","",A978&amp;"|"&amp;O978)</f>
        <v/>
      </c>
    </row>
    <row r="979">
      <c r="A979" s="60" t="n"/>
      <c r="B979" s="63" t="n"/>
      <c r="C979" s="63" t="n"/>
      <c r="D979" s="67" t="n"/>
      <c r="E979" s="68" t="n"/>
      <c r="F979" s="69" t="n"/>
      <c r="G979" s="70" t="n"/>
      <c r="H979" s="62" t="str">
        <f>IF(COUNTA(A979:G979)=0,"",IF(C979&lt;&gt;"",C979,IF(B979="","",IFERROR(INDEX(pr_des,MATCH(B979,pr_code,0))&amp;"",""))))</f>
        <v/>
      </c>
      <c r="I979" s="59" t="str">
        <f>IF(B979="","",IFERROR(INDEX(pr_unit,MATCH(B979,pr_code,0))&amp;"",""))</f>
        <v/>
      </c>
      <c r="J979" s="65" t="str">
        <f>IF(COUNTA(A979:G979)=0,"",IF(E979&lt;&gt;"",E979,IF(B979="","",IFERROR(IF(INDEX(pr_price,MATCH(B979,pr_code,0))="","",INDEX(pr_price,MATCH(B979,pr_code,0))),""))))</f>
        <v/>
      </c>
      <c r="K979" s="71" t="str">
        <f>IF(COUNTA(A979:G979)=0,"",IF(G979&lt;&gt;"",G979,IF(B979="","",IFERROR(IF(INDEX(pr_rate,MATCH(B979,pr_code,0))="","",INDEX(pr_rate,MATCH(B979,pr_code,0))),""))))</f>
        <v/>
      </c>
      <c r="L979" s="65" t="str">
        <f>IF(COUNTA(A979:G979)=0,"",IF(AND(ISNUMBER(D979),ISNUMBER(J979)),ROUND(D979*J979*(1-N(F979)),2),0))</f>
        <v/>
      </c>
      <c r="M979" s="62" t="str">
        <f>IF(A979="","",IFERROR(INDEX(dv_cname,MATCH(A979,dv_num,0))&amp;"",""))</f>
        <v/>
      </c>
      <c r="N979" s="59" t="str">
        <f>IF(COUNTA(A979:G979)=0,"",IF(A979="","N° devis manquant",IF(ISNA(MATCH(A979,dv_num,0)),"Devis inconnu",IF(AND(B979&lt;&gt;"",ISNA(MATCH(B979,pr_code,0))),"Article inconnu",IF(H979="","Désignation manquante",IF(OR(NOT(ISNUMBER(D979)),N(D979)&lt;=0),"Quantité invalide",IF(J979="","Prix manquant",IF(OR(NOT(ISNUMBER(J979)),N(J979)&lt;0),"Prix invalide",IF(OR(AND(F979&lt;&gt;"",NOT(ISNUMBER(F979))),N(F979)&lt;0,N(F979)&gt;1),"Remise invalide",IF(K979="","Taux de TVA manquant",IF(NOT(ISNUMBER(K979)),"Taux de TVA invalide",IF(COUNTIF(p_rates,K979)=0,"Taux de TVA hors liste (Paramètres)",IF(N(O979)&gt;25,"Au-delà de 25 lignes : non imprimée","OK")))))))))))))</f>
        <v/>
      </c>
      <c r="O979" s="59" t="str">
        <f>IF(A979="","",COUNTIF($A$6:A979,A979))</f>
        <v/>
      </c>
      <c r="P979" s="62" t="str">
        <f>IF(A979="","",A979&amp;"|"&amp;O979)</f>
        <v/>
      </c>
    </row>
    <row r="980">
      <c r="A980" s="60" t="n"/>
      <c r="B980" s="63" t="n"/>
      <c r="C980" s="63" t="n"/>
      <c r="D980" s="67" t="n"/>
      <c r="E980" s="68" t="n"/>
      <c r="F980" s="69" t="n"/>
      <c r="G980" s="70" t="n"/>
      <c r="H980" s="62" t="str">
        <f>IF(COUNTA(A980:G980)=0,"",IF(C980&lt;&gt;"",C980,IF(B980="","",IFERROR(INDEX(pr_des,MATCH(B980,pr_code,0))&amp;"",""))))</f>
        <v/>
      </c>
      <c r="I980" s="59" t="str">
        <f>IF(B980="","",IFERROR(INDEX(pr_unit,MATCH(B980,pr_code,0))&amp;"",""))</f>
        <v/>
      </c>
      <c r="J980" s="65" t="str">
        <f>IF(COUNTA(A980:G980)=0,"",IF(E980&lt;&gt;"",E980,IF(B980="","",IFERROR(IF(INDEX(pr_price,MATCH(B980,pr_code,0))="","",INDEX(pr_price,MATCH(B980,pr_code,0))),""))))</f>
        <v/>
      </c>
      <c r="K980" s="71" t="str">
        <f>IF(COUNTA(A980:G980)=0,"",IF(G980&lt;&gt;"",G980,IF(B980="","",IFERROR(IF(INDEX(pr_rate,MATCH(B980,pr_code,0))="","",INDEX(pr_rate,MATCH(B980,pr_code,0))),""))))</f>
        <v/>
      </c>
      <c r="L980" s="65" t="str">
        <f>IF(COUNTA(A980:G980)=0,"",IF(AND(ISNUMBER(D980),ISNUMBER(J980)),ROUND(D980*J980*(1-N(F980)),2),0))</f>
        <v/>
      </c>
      <c r="M980" s="62" t="str">
        <f>IF(A980="","",IFERROR(INDEX(dv_cname,MATCH(A980,dv_num,0))&amp;"",""))</f>
        <v/>
      </c>
      <c r="N980" s="59" t="str">
        <f>IF(COUNTA(A980:G980)=0,"",IF(A980="","N° devis manquant",IF(ISNA(MATCH(A980,dv_num,0)),"Devis inconnu",IF(AND(B980&lt;&gt;"",ISNA(MATCH(B980,pr_code,0))),"Article inconnu",IF(H980="","Désignation manquante",IF(OR(NOT(ISNUMBER(D980)),N(D980)&lt;=0),"Quantité invalide",IF(J980="","Prix manquant",IF(OR(NOT(ISNUMBER(J980)),N(J980)&lt;0),"Prix invalide",IF(OR(AND(F980&lt;&gt;"",NOT(ISNUMBER(F980))),N(F980)&lt;0,N(F980)&gt;1),"Remise invalide",IF(K980="","Taux de TVA manquant",IF(NOT(ISNUMBER(K980)),"Taux de TVA invalide",IF(COUNTIF(p_rates,K980)=0,"Taux de TVA hors liste (Paramètres)",IF(N(O980)&gt;25,"Au-delà de 25 lignes : non imprimée","OK")))))))))))))</f>
        <v/>
      </c>
      <c r="O980" s="59" t="str">
        <f>IF(A980="","",COUNTIF($A$6:A980,A980))</f>
        <v/>
      </c>
      <c r="P980" s="62" t="str">
        <f>IF(A980="","",A980&amp;"|"&amp;O980)</f>
        <v/>
      </c>
    </row>
    <row r="981">
      <c r="A981" s="60" t="n"/>
      <c r="B981" s="63" t="n"/>
      <c r="C981" s="63" t="n"/>
      <c r="D981" s="67" t="n"/>
      <c r="E981" s="68" t="n"/>
      <c r="F981" s="69" t="n"/>
      <c r="G981" s="70" t="n"/>
      <c r="H981" s="62" t="str">
        <f>IF(COUNTA(A981:G981)=0,"",IF(C981&lt;&gt;"",C981,IF(B981="","",IFERROR(INDEX(pr_des,MATCH(B981,pr_code,0))&amp;"",""))))</f>
        <v/>
      </c>
      <c r="I981" s="59" t="str">
        <f>IF(B981="","",IFERROR(INDEX(pr_unit,MATCH(B981,pr_code,0))&amp;"",""))</f>
        <v/>
      </c>
      <c r="J981" s="65" t="str">
        <f>IF(COUNTA(A981:G981)=0,"",IF(E981&lt;&gt;"",E981,IF(B981="","",IFERROR(IF(INDEX(pr_price,MATCH(B981,pr_code,0))="","",INDEX(pr_price,MATCH(B981,pr_code,0))),""))))</f>
        <v/>
      </c>
      <c r="K981" s="71" t="str">
        <f>IF(COUNTA(A981:G981)=0,"",IF(G981&lt;&gt;"",G981,IF(B981="","",IFERROR(IF(INDEX(pr_rate,MATCH(B981,pr_code,0))="","",INDEX(pr_rate,MATCH(B981,pr_code,0))),""))))</f>
        <v/>
      </c>
      <c r="L981" s="65" t="str">
        <f>IF(COUNTA(A981:G981)=0,"",IF(AND(ISNUMBER(D981),ISNUMBER(J981)),ROUND(D981*J981*(1-N(F981)),2),0))</f>
        <v/>
      </c>
      <c r="M981" s="62" t="str">
        <f>IF(A981="","",IFERROR(INDEX(dv_cname,MATCH(A981,dv_num,0))&amp;"",""))</f>
        <v/>
      </c>
      <c r="N981" s="59" t="str">
        <f>IF(COUNTA(A981:G981)=0,"",IF(A981="","N° devis manquant",IF(ISNA(MATCH(A981,dv_num,0)),"Devis inconnu",IF(AND(B981&lt;&gt;"",ISNA(MATCH(B981,pr_code,0))),"Article inconnu",IF(H981="","Désignation manquante",IF(OR(NOT(ISNUMBER(D981)),N(D981)&lt;=0),"Quantité invalide",IF(J981="","Prix manquant",IF(OR(NOT(ISNUMBER(J981)),N(J981)&lt;0),"Prix invalide",IF(OR(AND(F981&lt;&gt;"",NOT(ISNUMBER(F981))),N(F981)&lt;0,N(F981)&gt;1),"Remise invalide",IF(K981="","Taux de TVA manquant",IF(NOT(ISNUMBER(K981)),"Taux de TVA invalide",IF(COUNTIF(p_rates,K981)=0,"Taux de TVA hors liste (Paramètres)",IF(N(O981)&gt;25,"Au-delà de 25 lignes : non imprimée","OK")))))))))))))</f>
        <v/>
      </c>
      <c r="O981" s="59" t="str">
        <f>IF(A981="","",COUNTIF($A$6:A981,A981))</f>
        <v/>
      </c>
      <c r="P981" s="62" t="str">
        <f>IF(A981="","",A981&amp;"|"&amp;O981)</f>
        <v/>
      </c>
    </row>
    <row r="982">
      <c r="A982" s="60" t="n"/>
      <c r="B982" s="63" t="n"/>
      <c r="C982" s="63" t="n"/>
      <c r="D982" s="67" t="n"/>
      <c r="E982" s="68" t="n"/>
      <c r="F982" s="69" t="n"/>
      <c r="G982" s="70" t="n"/>
      <c r="H982" s="62" t="str">
        <f>IF(COUNTA(A982:G982)=0,"",IF(C982&lt;&gt;"",C982,IF(B982="","",IFERROR(INDEX(pr_des,MATCH(B982,pr_code,0))&amp;"",""))))</f>
        <v/>
      </c>
      <c r="I982" s="59" t="str">
        <f>IF(B982="","",IFERROR(INDEX(pr_unit,MATCH(B982,pr_code,0))&amp;"",""))</f>
        <v/>
      </c>
      <c r="J982" s="65" t="str">
        <f>IF(COUNTA(A982:G982)=0,"",IF(E982&lt;&gt;"",E982,IF(B982="","",IFERROR(IF(INDEX(pr_price,MATCH(B982,pr_code,0))="","",INDEX(pr_price,MATCH(B982,pr_code,0))),""))))</f>
        <v/>
      </c>
      <c r="K982" s="71" t="str">
        <f>IF(COUNTA(A982:G982)=0,"",IF(G982&lt;&gt;"",G982,IF(B982="","",IFERROR(IF(INDEX(pr_rate,MATCH(B982,pr_code,0))="","",INDEX(pr_rate,MATCH(B982,pr_code,0))),""))))</f>
        <v/>
      </c>
      <c r="L982" s="65" t="str">
        <f>IF(COUNTA(A982:G982)=0,"",IF(AND(ISNUMBER(D982),ISNUMBER(J982)),ROUND(D982*J982*(1-N(F982)),2),0))</f>
        <v/>
      </c>
      <c r="M982" s="62" t="str">
        <f>IF(A982="","",IFERROR(INDEX(dv_cname,MATCH(A982,dv_num,0))&amp;"",""))</f>
        <v/>
      </c>
      <c r="N982" s="59" t="str">
        <f>IF(COUNTA(A982:G982)=0,"",IF(A982="","N° devis manquant",IF(ISNA(MATCH(A982,dv_num,0)),"Devis inconnu",IF(AND(B982&lt;&gt;"",ISNA(MATCH(B982,pr_code,0))),"Article inconnu",IF(H982="","Désignation manquante",IF(OR(NOT(ISNUMBER(D982)),N(D982)&lt;=0),"Quantité invalide",IF(J982="","Prix manquant",IF(OR(NOT(ISNUMBER(J982)),N(J982)&lt;0),"Prix invalide",IF(OR(AND(F982&lt;&gt;"",NOT(ISNUMBER(F982))),N(F982)&lt;0,N(F982)&gt;1),"Remise invalide",IF(K982="","Taux de TVA manquant",IF(NOT(ISNUMBER(K982)),"Taux de TVA invalide",IF(COUNTIF(p_rates,K982)=0,"Taux de TVA hors liste (Paramètres)",IF(N(O982)&gt;25,"Au-delà de 25 lignes : non imprimée","OK")))))))))))))</f>
        <v/>
      </c>
      <c r="O982" s="59" t="str">
        <f>IF(A982="","",COUNTIF($A$6:A982,A982))</f>
        <v/>
      </c>
      <c r="P982" s="62" t="str">
        <f>IF(A982="","",A982&amp;"|"&amp;O982)</f>
        <v/>
      </c>
    </row>
    <row r="983">
      <c r="A983" s="60" t="n"/>
      <c r="B983" s="63" t="n"/>
      <c r="C983" s="63" t="n"/>
      <c r="D983" s="67" t="n"/>
      <c r="E983" s="68" t="n"/>
      <c r="F983" s="69" t="n"/>
      <c r="G983" s="70" t="n"/>
      <c r="H983" s="62" t="str">
        <f>IF(COUNTA(A983:G983)=0,"",IF(C983&lt;&gt;"",C983,IF(B983="","",IFERROR(INDEX(pr_des,MATCH(B983,pr_code,0))&amp;"",""))))</f>
        <v/>
      </c>
      <c r="I983" s="59" t="str">
        <f>IF(B983="","",IFERROR(INDEX(pr_unit,MATCH(B983,pr_code,0))&amp;"",""))</f>
        <v/>
      </c>
      <c r="J983" s="65" t="str">
        <f>IF(COUNTA(A983:G983)=0,"",IF(E983&lt;&gt;"",E983,IF(B983="","",IFERROR(IF(INDEX(pr_price,MATCH(B983,pr_code,0))="","",INDEX(pr_price,MATCH(B983,pr_code,0))),""))))</f>
        <v/>
      </c>
      <c r="K983" s="71" t="str">
        <f>IF(COUNTA(A983:G983)=0,"",IF(G983&lt;&gt;"",G983,IF(B983="","",IFERROR(IF(INDEX(pr_rate,MATCH(B983,pr_code,0))="","",INDEX(pr_rate,MATCH(B983,pr_code,0))),""))))</f>
        <v/>
      </c>
      <c r="L983" s="65" t="str">
        <f>IF(COUNTA(A983:G983)=0,"",IF(AND(ISNUMBER(D983),ISNUMBER(J983)),ROUND(D983*J983*(1-N(F983)),2),0))</f>
        <v/>
      </c>
      <c r="M983" s="62" t="str">
        <f>IF(A983="","",IFERROR(INDEX(dv_cname,MATCH(A983,dv_num,0))&amp;"",""))</f>
        <v/>
      </c>
      <c r="N983" s="59" t="str">
        <f>IF(COUNTA(A983:G983)=0,"",IF(A983="","N° devis manquant",IF(ISNA(MATCH(A983,dv_num,0)),"Devis inconnu",IF(AND(B983&lt;&gt;"",ISNA(MATCH(B983,pr_code,0))),"Article inconnu",IF(H983="","Désignation manquante",IF(OR(NOT(ISNUMBER(D983)),N(D983)&lt;=0),"Quantité invalide",IF(J983="","Prix manquant",IF(OR(NOT(ISNUMBER(J983)),N(J983)&lt;0),"Prix invalide",IF(OR(AND(F983&lt;&gt;"",NOT(ISNUMBER(F983))),N(F983)&lt;0,N(F983)&gt;1),"Remise invalide",IF(K983="","Taux de TVA manquant",IF(NOT(ISNUMBER(K983)),"Taux de TVA invalide",IF(COUNTIF(p_rates,K983)=0,"Taux de TVA hors liste (Paramètres)",IF(N(O983)&gt;25,"Au-delà de 25 lignes : non imprimée","OK")))))))))))))</f>
        <v/>
      </c>
      <c r="O983" s="59" t="str">
        <f>IF(A983="","",COUNTIF($A$6:A983,A983))</f>
        <v/>
      </c>
      <c r="P983" s="62" t="str">
        <f>IF(A983="","",A983&amp;"|"&amp;O983)</f>
        <v/>
      </c>
    </row>
    <row r="984">
      <c r="A984" s="60" t="n"/>
      <c r="B984" s="63" t="n"/>
      <c r="C984" s="63" t="n"/>
      <c r="D984" s="67" t="n"/>
      <c r="E984" s="68" t="n"/>
      <c r="F984" s="69" t="n"/>
      <c r="G984" s="70" t="n"/>
      <c r="H984" s="62" t="str">
        <f>IF(COUNTA(A984:G984)=0,"",IF(C984&lt;&gt;"",C984,IF(B984="","",IFERROR(INDEX(pr_des,MATCH(B984,pr_code,0))&amp;"",""))))</f>
        <v/>
      </c>
      <c r="I984" s="59" t="str">
        <f>IF(B984="","",IFERROR(INDEX(pr_unit,MATCH(B984,pr_code,0))&amp;"",""))</f>
        <v/>
      </c>
      <c r="J984" s="65" t="str">
        <f>IF(COUNTA(A984:G984)=0,"",IF(E984&lt;&gt;"",E984,IF(B984="","",IFERROR(IF(INDEX(pr_price,MATCH(B984,pr_code,0))="","",INDEX(pr_price,MATCH(B984,pr_code,0))),""))))</f>
        <v/>
      </c>
      <c r="K984" s="71" t="str">
        <f>IF(COUNTA(A984:G984)=0,"",IF(G984&lt;&gt;"",G984,IF(B984="","",IFERROR(IF(INDEX(pr_rate,MATCH(B984,pr_code,0))="","",INDEX(pr_rate,MATCH(B984,pr_code,0))),""))))</f>
        <v/>
      </c>
      <c r="L984" s="65" t="str">
        <f>IF(COUNTA(A984:G984)=0,"",IF(AND(ISNUMBER(D984),ISNUMBER(J984)),ROUND(D984*J984*(1-N(F984)),2),0))</f>
        <v/>
      </c>
      <c r="M984" s="62" t="str">
        <f>IF(A984="","",IFERROR(INDEX(dv_cname,MATCH(A984,dv_num,0))&amp;"",""))</f>
        <v/>
      </c>
      <c r="N984" s="59" t="str">
        <f>IF(COUNTA(A984:G984)=0,"",IF(A984="","N° devis manquant",IF(ISNA(MATCH(A984,dv_num,0)),"Devis inconnu",IF(AND(B984&lt;&gt;"",ISNA(MATCH(B984,pr_code,0))),"Article inconnu",IF(H984="","Désignation manquante",IF(OR(NOT(ISNUMBER(D984)),N(D984)&lt;=0),"Quantité invalide",IF(J984="","Prix manquant",IF(OR(NOT(ISNUMBER(J984)),N(J984)&lt;0),"Prix invalide",IF(OR(AND(F984&lt;&gt;"",NOT(ISNUMBER(F984))),N(F984)&lt;0,N(F984)&gt;1),"Remise invalide",IF(K984="","Taux de TVA manquant",IF(NOT(ISNUMBER(K984)),"Taux de TVA invalide",IF(COUNTIF(p_rates,K984)=0,"Taux de TVA hors liste (Paramètres)",IF(N(O984)&gt;25,"Au-delà de 25 lignes : non imprimée","OK")))))))))))))</f>
        <v/>
      </c>
      <c r="O984" s="59" t="str">
        <f>IF(A984="","",COUNTIF($A$6:A984,A984))</f>
        <v/>
      </c>
      <c r="P984" s="62" t="str">
        <f>IF(A984="","",A984&amp;"|"&amp;O984)</f>
        <v/>
      </c>
    </row>
    <row r="985">
      <c r="A985" s="60" t="n"/>
      <c r="B985" s="63" t="n"/>
      <c r="C985" s="63" t="n"/>
      <c r="D985" s="67" t="n"/>
      <c r="E985" s="68" t="n"/>
      <c r="F985" s="69" t="n"/>
      <c r="G985" s="70" t="n"/>
      <c r="H985" s="62" t="str">
        <f>IF(COUNTA(A985:G985)=0,"",IF(C985&lt;&gt;"",C985,IF(B985="","",IFERROR(INDEX(pr_des,MATCH(B985,pr_code,0))&amp;"",""))))</f>
        <v/>
      </c>
      <c r="I985" s="59" t="str">
        <f>IF(B985="","",IFERROR(INDEX(pr_unit,MATCH(B985,pr_code,0))&amp;"",""))</f>
        <v/>
      </c>
      <c r="J985" s="65" t="str">
        <f>IF(COUNTA(A985:G985)=0,"",IF(E985&lt;&gt;"",E985,IF(B985="","",IFERROR(IF(INDEX(pr_price,MATCH(B985,pr_code,0))="","",INDEX(pr_price,MATCH(B985,pr_code,0))),""))))</f>
        <v/>
      </c>
      <c r="K985" s="71" t="str">
        <f>IF(COUNTA(A985:G985)=0,"",IF(G985&lt;&gt;"",G985,IF(B985="","",IFERROR(IF(INDEX(pr_rate,MATCH(B985,pr_code,0))="","",INDEX(pr_rate,MATCH(B985,pr_code,0))),""))))</f>
        <v/>
      </c>
      <c r="L985" s="65" t="str">
        <f>IF(COUNTA(A985:G985)=0,"",IF(AND(ISNUMBER(D985),ISNUMBER(J985)),ROUND(D985*J985*(1-N(F985)),2),0))</f>
        <v/>
      </c>
      <c r="M985" s="62" t="str">
        <f>IF(A985="","",IFERROR(INDEX(dv_cname,MATCH(A985,dv_num,0))&amp;"",""))</f>
        <v/>
      </c>
      <c r="N985" s="59" t="str">
        <f>IF(COUNTA(A985:G985)=0,"",IF(A985="","N° devis manquant",IF(ISNA(MATCH(A985,dv_num,0)),"Devis inconnu",IF(AND(B985&lt;&gt;"",ISNA(MATCH(B985,pr_code,0))),"Article inconnu",IF(H985="","Désignation manquante",IF(OR(NOT(ISNUMBER(D985)),N(D985)&lt;=0),"Quantité invalide",IF(J985="","Prix manquant",IF(OR(NOT(ISNUMBER(J985)),N(J985)&lt;0),"Prix invalide",IF(OR(AND(F985&lt;&gt;"",NOT(ISNUMBER(F985))),N(F985)&lt;0,N(F985)&gt;1),"Remise invalide",IF(K985="","Taux de TVA manquant",IF(NOT(ISNUMBER(K985)),"Taux de TVA invalide",IF(COUNTIF(p_rates,K985)=0,"Taux de TVA hors liste (Paramètres)",IF(N(O985)&gt;25,"Au-delà de 25 lignes : non imprimée","OK")))))))))))))</f>
        <v/>
      </c>
      <c r="O985" s="59" t="str">
        <f>IF(A985="","",COUNTIF($A$6:A985,A985))</f>
        <v/>
      </c>
      <c r="P985" s="62" t="str">
        <f>IF(A985="","",A985&amp;"|"&amp;O985)</f>
        <v/>
      </c>
    </row>
    <row r="986">
      <c r="A986" s="60" t="n"/>
      <c r="B986" s="63" t="n"/>
      <c r="C986" s="63" t="n"/>
      <c r="D986" s="67" t="n"/>
      <c r="E986" s="68" t="n"/>
      <c r="F986" s="69" t="n"/>
      <c r="G986" s="70" t="n"/>
      <c r="H986" s="62" t="str">
        <f>IF(COUNTA(A986:G986)=0,"",IF(C986&lt;&gt;"",C986,IF(B986="","",IFERROR(INDEX(pr_des,MATCH(B986,pr_code,0))&amp;"",""))))</f>
        <v/>
      </c>
      <c r="I986" s="59" t="str">
        <f>IF(B986="","",IFERROR(INDEX(pr_unit,MATCH(B986,pr_code,0))&amp;"",""))</f>
        <v/>
      </c>
      <c r="J986" s="65" t="str">
        <f>IF(COUNTA(A986:G986)=0,"",IF(E986&lt;&gt;"",E986,IF(B986="","",IFERROR(IF(INDEX(pr_price,MATCH(B986,pr_code,0))="","",INDEX(pr_price,MATCH(B986,pr_code,0))),""))))</f>
        <v/>
      </c>
      <c r="K986" s="71" t="str">
        <f>IF(COUNTA(A986:G986)=0,"",IF(G986&lt;&gt;"",G986,IF(B986="","",IFERROR(IF(INDEX(pr_rate,MATCH(B986,pr_code,0))="","",INDEX(pr_rate,MATCH(B986,pr_code,0))),""))))</f>
        <v/>
      </c>
      <c r="L986" s="65" t="str">
        <f>IF(COUNTA(A986:G986)=0,"",IF(AND(ISNUMBER(D986),ISNUMBER(J986)),ROUND(D986*J986*(1-N(F986)),2),0))</f>
        <v/>
      </c>
      <c r="M986" s="62" t="str">
        <f>IF(A986="","",IFERROR(INDEX(dv_cname,MATCH(A986,dv_num,0))&amp;"",""))</f>
        <v/>
      </c>
      <c r="N986" s="59" t="str">
        <f>IF(COUNTA(A986:G986)=0,"",IF(A986="","N° devis manquant",IF(ISNA(MATCH(A986,dv_num,0)),"Devis inconnu",IF(AND(B986&lt;&gt;"",ISNA(MATCH(B986,pr_code,0))),"Article inconnu",IF(H986="","Désignation manquante",IF(OR(NOT(ISNUMBER(D986)),N(D986)&lt;=0),"Quantité invalide",IF(J986="","Prix manquant",IF(OR(NOT(ISNUMBER(J986)),N(J986)&lt;0),"Prix invalide",IF(OR(AND(F986&lt;&gt;"",NOT(ISNUMBER(F986))),N(F986)&lt;0,N(F986)&gt;1),"Remise invalide",IF(K986="","Taux de TVA manquant",IF(NOT(ISNUMBER(K986)),"Taux de TVA invalide",IF(COUNTIF(p_rates,K986)=0,"Taux de TVA hors liste (Paramètres)",IF(N(O986)&gt;25,"Au-delà de 25 lignes : non imprimée","OK")))))))))))))</f>
        <v/>
      </c>
      <c r="O986" s="59" t="str">
        <f>IF(A986="","",COUNTIF($A$6:A986,A986))</f>
        <v/>
      </c>
      <c r="P986" s="62" t="str">
        <f>IF(A986="","",A986&amp;"|"&amp;O986)</f>
        <v/>
      </c>
    </row>
    <row r="987">
      <c r="A987" s="60" t="n"/>
      <c r="B987" s="63" t="n"/>
      <c r="C987" s="63" t="n"/>
      <c r="D987" s="67" t="n"/>
      <c r="E987" s="68" t="n"/>
      <c r="F987" s="69" t="n"/>
      <c r="G987" s="70" t="n"/>
      <c r="H987" s="62" t="str">
        <f>IF(COUNTA(A987:G987)=0,"",IF(C987&lt;&gt;"",C987,IF(B987="","",IFERROR(INDEX(pr_des,MATCH(B987,pr_code,0))&amp;"",""))))</f>
        <v/>
      </c>
      <c r="I987" s="59" t="str">
        <f>IF(B987="","",IFERROR(INDEX(pr_unit,MATCH(B987,pr_code,0))&amp;"",""))</f>
        <v/>
      </c>
      <c r="J987" s="65" t="str">
        <f>IF(COUNTA(A987:G987)=0,"",IF(E987&lt;&gt;"",E987,IF(B987="","",IFERROR(IF(INDEX(pr_price,MATCH(B987,pr_code,0))="","",INDEX(pr_price,MATCH(B987,pr_code,0))),""))))</f>
        <v/>
      </c>
      <c r="K987" s="71" t="str">
        <f>IF(COUNTA(A987:G987)=0,"",IF(G987&lt;&gt;"",G987,IF(B987="","",IFERROR(IF(INDEX(pr_rate,MATCH(B987,pr_code,0))="","",INDEX(pr_rate,MATCH(B987,pr_code,0))),""))))</f>
        <v/>
      </c>
      <c r="L987" s="65" t="str">
        <f>IF(COUNTA(A987:G987)=0,"",IF(AND(ISNUMBER(D987),ISNUMBER(J987)),ROUND(D987*J987*(1-N(F987)),2),0))</f>
        <v/>
      </c>
      <c r="M987" s="62" t="str">
        <f>IF(A987="","",IFERROR(INDEX(dv_cname,MATCH(A987,dv_num,0))&amp;"",""))</f>
        <v/>
      </c>
      <c r="N987" s="59" t="str">
        <f>IF(COUNTA(A987:G987)=0,"",IF(A987="","N° devis manquant",IF(ISNA(MATCH(A987,dv_num,0)),"Devis inconnu",IF(AND(B987&lt;&gt;"",ISNA(MATCH(B987,pr_code,0))),"Article inconnu",IF(H987="","Désignation manquante",IF(OR(NOT(ISNUMBER(D987)),N(D987)&lt;=0),"Quantité invalide",IF(J987="","Prix manquant",IF(OR(NOT(ISNUMBER(J987)),N(J987)&lt;0),"Prix invalide",IF(OR(AND(F987&lt;&gt;"",NOT(ISNUMBER(F987))),N(F987)&lt;0,N(F987)&gt;1),"Remise invalide",IF(K987="","Taux de TVA manquant",IF(NOT(ISNUMBER(K987)),"Taux de TVA invalide",IF(COUNTIF(p_rates,K987)=0,"Taux de TVA hors liste (Paramètres)",IF(N(O987)&gt;25,"Au-delà de 25 lignes : non imprimée","OK")))))))))))))</f>
        <v/>
      </c>
      <c r="O987" s="59" t="str">
        <f>IF(A987="","",COUNTIF($A$6:A987,A987))</f>
        <v/>
      </c>
      <c r="P987" s="62" t="str">
        <f>IF(A987="","",A987&amp;"|"&amp;O987)</f>
        <v/>
      </c>
    </row>
    <row r="988">
      <c r="A988" s="60" t="n"/>
      <c r="B988" s="63" t="n"/>
      <c r="C988" s="63" t="n"/>
      <c r="D988" s="67" t="n"/>
      <c r="E988" s="68" t="n"/>
      <c r="F988" s="69" t="n"/>
      <c r="G988" s="70" t="n"/>
      <c r="H988" s="62" t="str">
        <f>IF(COUNTA(A988:G988)=0,"",IF(C988&lt;&gt;"",C988,IF(B988="","",IFERROR(INDEX(pr_des,MATCH(B988,pr_code,0))&amp;"",""))))</f>
        <v/>
      </c>
      <c r="I988" s="59" t="str">
        <f>IF(B988="","",IFERROR(INDEX(pr_unit,MATCH(B988,pr_code,0))&amp;"",""))</f>
        <v/>
      </c>
      <c r="J988" s="65" t="str">
        <f>IF(COUNTA(A988:G988)=0,"",IF(E988&lt;&gt;"",E988,IF(B988="","",IFERROR(IF(INDEX(pr_price,MATCH(B988,pr_code,0))="","",INDEX(pr_price,MATCH(B988,pr_code,0))),""))))</f>
        <v/>
      </c>
      <c r="K988" s="71" t="str">
        <f>IF(COUNTA(A988:G988)=0,"",IF(G988&lt;&gt;"",G988,IF(B988="","",IFERROR(IF(INDEX(pr_rate,MATCH(B988,pr_code,0))="","",INDEX(pr_rate,MATCH(B988,pr_code,0))),""))))</f>
        <v/>
      </c>
      <c r="L988" s="65" t="str">
        <f>IF(COUNTA(A988:G988)=0,"",IF(AND(ISNUMBER(D988),ISNUMBER(J988)),ROUND(D988*J988*(1-N(F988)),2),0))</f>
        <v/>
      </c>
      <c r="M988" s="62" t="str">
        <f>IF(A988="","",IFERROR(INDEX(dv_cname,MATCH(A988,dv_num,0))&amp;"",""))</f>
        <v/>
      </c>
      <c r="N988" s="59" t="str">
        <f>IF(COUNTA(A988:G988)=0,"",IF(A988="","N° devis manquant",IF(ISNA(MATCH(A988,dv_num,0)),"Devis inconnu",IF(AND(B988&lt;&gt;"",ISNA(MATCH(B988,pr_code,0))),"Article inconnu",IF(H988="","Désignation manquante",IF(OR(NOT(ISNUMBER(D988)),N(D988)&lt;=0),"Quantité invalide",IF(J988="","Prix manquant",IF(OR(NOT(ISNUMBER(J988)),N(J988)&lt;0),"Prix invalide",IF(OR(AND(F988&lt;&gt;"",NOT(ISNUMBER(F988))),N(F988)&lt;0,N(F988)&gt;1),"Remise invalide",IF(K988="","Taux de TVA manquant",IF(NOT(ISNUMBER(K988)),"Taux de TVA invalide",IF(COUNTIF(p_rates,K988)=0,"Taux de TVA hors liste (Paramètres)",IF(N(O988)&gt;25,"Au-delà de 25 lignes : non imprimée","OK")))))))))))))</f>
        <v/>
      </c>
      <c r="O988" s="59" t="str">
        <f>IF(A988="","",COUNTIF($A$6:A988,A988))</f>
        <v/>
      </c>
      <c r="P988" s="62" t="str">
        <f>IF(A988="","",A988&amp;"|"&amp;O988)</f>
        <v/>
      </c>
    </row>
    <row r="989">
      <c r="A989" s="60" t="n"/>
      <c r="B989" s="63" t="n"/>
      <c r="C989" s="63" t="n"/>
      <c r="D989" s="67" t="n"/>
      <c r="E989" s="68" t="n"/>
      <c r="F989" s="69" t="n"/>
      <c r="G989" s="70" t="n"/>
      <c r="H989" s="62" t="str">
        <f>IF(COUNTA(A989:G989)=0,"",IF(C989&lt;&gt;"",C989,IF(B989="","",IFERROR(INDEX(pr_des,MATCH(B989,pr_code,0))&amp;"",""))))</f>
        <v/>
      </c>
      <c r="I989" s="59" t="str">
        <f>IF(B989="","",IFERROR(INDEX(pr_unit,MATCH(B989,pr_code,0))&amp;"",""))</f>
        <v/>
      </c>
      <c r="J989" s="65" t="str">
        <f>IF(COUNTA(A989:G989)=0,"",IF(E989&lt;&gt;"",E989,IF(B989="","",IFERROR(IF(INDEX(pr_price,MATCH(B989,pr_code,0))="","",INDEX(pr_price,MATCH(B989,pr_code,0))),""))))</f>
        <v/>
      </c>
      <c r="K989" s="71" t="str">
        <f>IF(COUNTA(A989:G989)=0,"",IF(G989&lt;&gt;"",G989,IF(B989="","",IFERROR(IF(INDEX(pr_rate,MATCH(B989,pr_code,0))="","",INDEX(pr_rate,MATCH(B989,pr_code,0))),""))))</f>
        <v/>
      </c>
      <c r="L989" s="65" t="str">
        <f>IF(COUNTA(A989:G989)=0,"",IF(AND(ISNUMBER(D989),ISNUMBER(J989)),ROUND(D989*J989*(1-N(F989)),2),0))</f>
        <v/>
      </c>
      <c r="M989" s="62" t="str">
        <f>IF(A989="","",IFERROR(INDEX(dv_cname,MATCH(A989,dv_num,0))&amp;"",""))</f>
        <v/>
      </c>
      <c r="N989" s="59" t="str">
        <f>IF(COUNTA(A989:G989)=0,"",IF(A989="","N° devis manquant",IF(ISNA(MATCH(A989,dv_num,0)),"Devis inconnu",IF(AND(B989&lt;&gt;"",ISNA(MATCH(B989,pr_code,0))),"Article inconnu",IF(H989="","Désignation manquante",IF(OR(NOT(ISNUMBER(D989)),N(D989)&lt;=0),"Quantité invalide",IF(J989="","Prix manquant",IF(OR(NOT(ISNUMBER(J989)),N(J989)&lt;0),"Prix invalide",IF(OR(AND(F989&lt;&gt;"",NOT(ISNUMBER(F989))),N(F989)&lt;0,N(F989)&gt;1),"Remise invalide",IF(K989="","Taux de TVA manquant",IF(NOT(ISNUMBER(K989)),"Taux de TVA invalide",IF(COUNTIF(p_rates,K989)=0,"Taux de TVA hors liste (Paramètres)",IF(N(O989)&gt;25,"Au-delà de 25 lignes : non imprimée","OK")))))))))))))</f>
        <v/>
      </c>
      <c r="O989" s="59" t="str">
        <f>IF(A989="","",COUNTIF($A$6:A989,A989))</f>
        <v/>
      </c>
      <c r="P989" s="62" t="str">
        <f>IF(A989="","",A989&amp;"|"&amp;O989)</f>
        <v/>
      </c>
    </row>
    <row r="990">
      <c r="A990" s="60" t="n"/>
      <c r="B990" s="63" t="n"/>
      <c r="C990" s="63" t="n"/>
      <c r="D990" s="67" t="n"/>
      <c r="E990" s="68" t="n"/>
      <c r="F990" s="69" t="n"/>
      <c r="G990" s="70" t="n"/>
      <c r="H990" s="62" t="str">
        <f>IF(COUNTA(A990:G990)=0,"",IF(C990&lt;&gt;"",C990,IF(B990="","",IFERROR(INDEX(pr_des,MATCH(B990,pr_code,0))&amp;"",""))))</f>
        <v/>
      </c>
      <c r="I990" s="59" t="str">
        <f>IF(B990="","",IFERROR(INDEX(pr_unit,MATCH(B990,pr_code,0))&amp;"",""))</f>
        <v/>
      </c>
      <c r="J990" s="65" t="str">
        <f>IF(COUNTA(A990:G990)=0,"",IF(E990&lt;&gt;"",E990,IF(B990="","",IFERROR(IF(INDEX(pr_price,MATCH(B990,pr_code,0))="","",INDEX(pr_price,MATCH(B990,pr_code,0))),""))))</f>
        <v/>
      </c>
      <c r="K990" s="71" t="str">
        <f>IF(COUNTA(A990:G990)=0,"",IF(G990&lt;&gt;"",G990,IF(B990="","",IFERROR(IF(INDEX(pr_rate,MATCH(B990,pr_code,0))="","",INDEX(pr_rate,MATCH(B990,pr_code,0))),""))))</f>
        <v/>
      </c>
      <c r="L990" s="65" t="str">
        <f>IF(COUNTA(A990:G990)=0,"",IF(AND(ISNUMBER(D990),ISNUMBER(J990)),ROUND(D990*J990*(1-N(F990)),2),0))</f>
        <v/>
      </c>
      <c r="M990" s="62" t="str">
        <f>IF(A990="","",IFERROR(INDEX(dv_cname,MATCH(A990,dv_num,0))&amp;"",""))</f>
        <v/>
      </c>
      <c r="N990" s="59" t="str">
        <f>IF(COUNTA(A990:G990)=0,"",IF(A990="","N° devis manquant",IF(ISNA(MATCH(A990,dv_num,0)),"Devis inconnu",IF(AND(B990&lt;&gt;"",ISNA(MATCH(B990,pr_code,0))),"Article inconnu",IF(H990="","Désignation manquante",IF(OR(NOT(ISNUMBER(D990)),N(D990)&lt;=0),"Quantité invalide",IF(J990="","Prix manquant",IF(OR(NOT(ISNUMBER(J990)),N(J990)&lt;0),"Prix invalide",IF(OR(AND(F990&lt;&gt;"",NOT(ISNUMBER(F990))),N(F990)&lt;0,N(F990)&gt;1),"Remise invalide",IF(K990="","Taux de TVA manquant",IF(NOT(ISNUMBER(K990)),"Taux de TVA invalide",IF(COUNTIF(p_rates,K990)=0,"Taux de TVA hors liste (Paramètres)",IF(N(O990)&gt;25,"Au-delà de 25 lignes : non imprimée","OK")))))))))))))</f>
        <v/>
      </c>
      <c r="O990" s="59" t="str">
        <f>IF(A990="","",COUNTIF($A$6:A990,A990))</f>
        <v/>
      </c>
      <c r="P990" s="62" t="str">
        <f>IF(A990="","",A990&amp;"|"&amp;O990)</f>
        <v/>
      </c>
    </row>
    <row r="991">
      <c r="A991" s="60" t="n"/>
      <c r="B991" s="63" t="n"/>
      <c r="C991" s="63" t="n"/>
      <c r="D991" s="67" t="n"/>
      <c r="E991" s="68" t="n"/>
      <c r="F991" s="69" t="n"/>
      <c r="G991" s="70" t="n"/>
      <c r="H991" s="62" t="str">
        <f>IF(COUNTA(A991:G991)=0,"",IF(C991&lt;&gt;"",C991,IF(B991="","",IFERROR(INDEX(pr_des,MATCH(B991,pr_code,0))&amp;"",""))))</f>
        <v/>
      </c>
      <c r="I991" s="59" t="str">
        <f>IF(B991="","",IFERROR(INDEX(pr_unit,MATCH(B991,pr_code,0))&amp;"",""))</f>
        <v/>
      </c>
      <c r="J991" s="65" t="str">
        <f>IF(COUNTA(A991:G991)=0,"",IF(E991&lt;&gt;"",E991,IF(B991="","",IFERROR(IF(INDEX(pr_price,MATCH(B991,pr_code,0))="","",INDEX(pr_price,MATCH(B991,pr_code,0))),""))))</f>
        <v/>
      </c>
      <c r="K991" s="71" t="str">
        <f>IF(COUNTA(A991:G991)=0,"",IF(G991&lt;&gt;"",G991,IF(B991="","",IFERROR(IF(INDEX(pr_rate,MATCH(B991,pr_code,0))="","",INDEX(pr_rate,MATCH(B991,pr_code,0))),""))))</f>
        <v/>
      </c>
      <c r="L991" s="65" t="str">
        <f>IF(COUNTA(A991:G991)=0,"",IF(AND(ISNUMBER(D991),ISNUMBER(J991)),ROUND(D991*J991*(1-N(F991)),2),0))</f>
        <v/>
      </c>
      <c r="M991" s="62" t="str">
        <f>IF(A991="","",IFERROR(INDEX(dv_cname,MATCH(A991,dv_num,0))&amp;"",""))</f>
        <v/>
      </c>
      <c r="N991" s="59" t="str">
        <f>IF(COUNTA(A991:G991)=0,"",IF(A991="","N° devis manquant",IF(ISNA(MATCH(A991,dv_num,0)),"Devis inconnu",IF(AND(B991&lt;&gt;"",ISNA(MATCH(B991,pr_code,0))),"Article inconnu",IF(H991="","Désignation manquante",IF(OR(NOT(ISNUMBER(D991)),N(D991)&lt;=0),"Quantité invalide",IF(J991="","Prix manquant",IF(OR(NOT(ISNUMBER(J991)),N(J991)&lt;0),"Prix invalide",IF(OR(AND(F991&lt;&gt;"",NOT(ISNUMBER(F991))),N(F991)&lt;0,N(F991)&gt;1),"Remise invalide",IF(K991="","Taux de TVA manquant",IF(NOT(ISNUMBER(K991)),"Taux de TVA invalide",IF(COUNTIF(p_rates,K991)=0,"Taux de TVA hors liste (Paramètres)",IF(N(O991)&gt;25,"Au-delà de 25 lignes : non imprimée","OK")))))))))))))</f>
        <v/>
      </c>
      <c r="O991" s="59" t="str">
        <f>IF(A991="","",COUNTIF($A$6:A991,A991))</f>
        <v/>
      </c>
      <c r="P991" s="62" t="str">
        <f>IF(A991="","",A991&amp;"|"&amp;O991)</f>
        <v/>
      </c>
    </row>
    <row r="992">
      <c r="A992" s="60" t="n"/>
      <c r="B992" s="63" t="n"/>
      <c r="C992" s="63" t="n"/>
      <c r="D992" s="67" t="n"/>
      <c r="E992" s="68" t="n"/>
      <c r="F992" s="69" t="n"/>
      <c r="G992" s="70" t="n"/>
      <c r="H992" s="62" t="str">
        <f>IF(COUNTA(A992:G992)=0,"",IF(C992&lt;&gt;"",C992,IF(B992="","",IFERROR(INDEX(pr_des,MATCH(B992,pr_code,0))&amp;"",""))))</f>
        <v/>
      </c>
      <c r="I992" s="59" t="str">
        <f>IF(B992="","",IFERROR(INDEX(pr_unit,MATCH(B992,pr_code,0))&amp;"",""))</f>
        <v/>
      </c>
      <c r="J992" s="65" t="str">
        <f>IF(COUNTA(A992:G992)=0,"",IF(E992&lt;&gt;"",E992,IF(B992="","",IFERROR(IF(INDEX(pr_price,MATCH(B992,pr_code,0))="","",INDEX(pr_price,MATCH(B992,pr_code,0))),""))))</f>
        <v/>
      </c>
      <c r="K992" s="71" t="str">
        <f>IF(COUNTA(A992:G992)=0,"",IF(G992&lt;&gt;"",G992,IF(B992="","",IFERROR(IF(INDEX(pr_rate,MATCH(B992,pr_code,0))="","",INDEX(pr_rate,MATCH(B992,pr_code,0))),""))))</f>
        <v/>
      </c>
      <c r="L992" s="65" t="str">
        <f>IF(COUNTA(A992:G992)=0,"",IF(AND(ISNUMBER(D992),ISNUMBER(J992)),ROUND(D992*J992*(1-N(F992)),2),0))</f>
        <v/>
      </c>
      <c r="M992" s="62" t="str">
        <f>IF(A992="","",IFERROR(INDEX(dv_cname,MATCH(A992,dv_num,0))&amp;"",""))</f>
        <v/>
      </c>
      <c r="N992" s="59" t="str">
        <f>IF(COUNTA(A992:G992)=0,"",IF(A992="","N° devis manquant",IF(ISNA(MATCH(A992,dv_num,0)),"Devis inconnu",IF(AND(B992&lt;&gt;"",ISNA(MATCH(B992,pr_code,0))),"Article inconnu",IF(H992="","Désignation manquante",IF(OR(NOT(ISNUMBER(D992)),N(D992)&lt;=0),"Quantité invalide",IF(J992="","Prix manquant",IF(OR(NOT(ISNUMBER(J992)),N(J992)&lt;0),"Prix invalide",IF(OR(AND(F992&lt;&gt;"",NOT(ISNUMBER(F992))),N(F992)&lt;0,N(F992)&gt;1),"Remise invalide",IF(K992="","Taux de TVA manquant",IF(NOT(ISNUMBER(K992)),"Taux de TVA invalide",IF(COUNTIF(p_rates,K992)=0,"Taux de TVA hors liste (Paramètres)",IF(N(O992)&gt;25,"Au-delà de 25 lignes : non imprimée","OK")))))))))))))</f>
        <v/>
      </c>
      <c r="O992" s="59" t="str">
        <f>IF(A992="","",COUNTIF($A$6:A992,A992))</f>
        <v/>
      </c>
      <c r="P992" s="62" t="str">
        <f>IF(A992="","",A992&amp;"|"&amp;O992)</f>
        <v/>
      </c>
    </row>
    <row r="993">
      <c r="A993" s="60" t="n"/>
      <c r="B993" s="63" t="n"/>
      <c r="C993" s="63" t="n"/>
      <c r="D993" s="67" t="n"/>
      <c r="E993" s="68" t="n"/>
      <c r="F993" s="69" t="n"/>
      <c r="G993" s="70" t="n"/>
      <c r="H993" s="62" t="str">
        <f>IF(COUNTA(A993:G993)=0,"",IF(C993&lt;&gt;"",C993,IF(B993="","",IFERROR(INDEX(pr_des,MATCH(B993,pr_code,0))&amp;"",""))))</f>
        <v/>
      </c>
      <c r="I993" s="59" t="str">
        <f>IF(B993="","",IFERROR(INDEX(pr_unit,MATCH(B993,pr_code,0))&amp;"",""))</f>
        <v/>
      </c>
      <c r="J993" s="65" t="str">
        <f>IF(COUNTA(A993:G993)=0,"",IF(E993&lt;&gt;"",E993,IF(B993="","",IFERROR(IF(INDEX(pr_price,MATCH(B993,pr_code,0))="","",INDEX(pr_price,MATCH(B993,pr_code,0))),""))))</f>
        <v/>
      </c>
      <c r="K993" s="71" t="str">
        <f>IF(COUNTA(A993:G993)=0,"",IF(G993&lt;&gt;"",G993,IF(B993="","",IFERROR(IF(INDEX(pr_rate,MATCH(B993,pr_code,0))="","",INDEX(pr_rate,MATCH(B993,pr_code,0))),""))))</f>
        <v/>
      </c>
      <c r="L993" s="65" t="str">
        <f>IF(COUNTA(A993:G993)=0,"",IF(AND(ISNUMBER(D993),ISNUMBER(J993)),ROUND(D993*J993*(1-N(F993)),2),0))</f>
        <v/>
      </c>
      <c r="M993" s="62" t="str">
        <f>IF(A993="","",IFERROR(INDEX(dv_cname,MATCH(A993,dv_num,0))&amp;"",""))</f>
        <v/>
      </c>
      <c r="N993" s="59" t="str">
        <f>IF(COUNTA(A993:G993)=0,"",IF(A993="","N° devis manquant",IF(ISNA(MATCH(A993,dv_num,0)),"Devis inconnu",IF(AND(B993&lt;&gt;"",ISNA(MATCH(B993,pr_code,0))),"Article inconnu",IF(H993="","Désignation manquante",IF(OR(NOT(ISNUMBER(D993)),N(D993)&lt;=0),"Quantité invalide",IF(J993="","Prix manquant",IF(OR(NOT(ISNUMBER(J993)),N(J993)&lt;0),"Prix invalide",IF(OR(AND(F993&lt;&gt;"",NOT(ISNUMBER(F993))),N(F993)&lt;0,N(F993)&gt;1),"Remise invalide",IF(K993="","Taux de TVA manquant",IF(NOT(ISNUMBER(K993)),"Taux de TVA invalide",IF(COUNTIF(p_rates,K993)=0,"Taux de TVA hors liste (Paramètres)",IF(N(O993)&gt;25,"Au-delà de 25 lignes : non imprimée","OK")))))))))))))</f>
        <v/>
      </c>
      <c r="O993" s="59" t="str">
        <f>IF(A993="","",COUNTIF($A$6:A993,A993))</f>
        <v/>
      </c>
      <c r="P993" s="62" t="str">
        <f>IF(A993="","",A993&amp;"|"&amp;O993)</f>
        <v/>
      </c>
    </row>
    <row r="994">
      <c r="A994" s="60" t="n"/>
      <c r="B994" s="63" t="n"/>
      <c r="C994" s="63" t="n"/>
      <c r="D994" s="67" t="n"/>
      <c r="E994" s="68" t="n"/>
      <c r="F994" s="69" t="n"/>
      <c r="G994" s="70" t="n"/>
      <c r="H994" s="62" t="str">
        <f>IF(COUNTA(A994:G994)=0,"",IF(C994&lt;&gt;"",C994,IF(B994="","",IFERROR(INDEX(pr_des,MATCH(B994,pr_code,0))&amp;"",""))))</f>
        <v/>
      </c>
      <c r="I994" s="59" t="str">
        <f>IF(B994="","",IFERROR(INDEX(pr_unit,MATCH(B994,pr_code,0))&amp;"",""))</f>
        <v/>
      </c>
      <c r="J994" s="65" t="str">
        <f>IF(COUNTA(A994:G994)=0,"",IF(E994&lt;&gt;"",E994,IF(B994="","",IFERROR(IF(INDEX(pr_price,MATCH(B994,pr_code,0))="","",INDEX(pr_price,MATCH(B994,pr_code,0))),""))))</f>
        <v/>
      </c>
      <c r="K994" s="71" t="str">
        <f>IF(COUNTA(A994:G994)=0,"",IF(G994&lt;&gt;"",G994,IF(B994="","",IFERROR(IF(INDEX(pr_rate,MATCH(B994,pr_code,0))="","",INDEX(pr_rate,MATCH(B994,pr_code,0))),""))))</f>
        <v/>
      </c>
      <c r="L994" s="65" t="str">
        <f>IF(COUNTA(A994:G994)=0,"",IF(AND(ISNUMBER(D994),ISNUMBER(J994)),ROUND(D994*J994*(1-N(F994)),2),0))</f>
        <v/>
      </c>
      <c r="M994" s="62" t="str">
        <f>IF(A994="","",IFERROR(INDEX(dv_cname,MATCH(A994,dv_num,0))&amp;"",""))</f>
        <v/>
      </c>
      <c r="N994" s="59" t="str">
        <f>IF(COUNTA(A994:G994)=0,"",IF(A994="","N° devis manquant",IF(ISNA(MATCH(A994,dv_num,0)),"Devis inconnu",IF(AND(B994&lt;&gt;"",ISNA(MATCH(B994,pr_code,0))),"Article inconnu",IF(H994="","Désignation manquante",IF(OR(NOT(ISNUMBER(D994)),N(D994)&lt;=0),"Quantité invalide",IF(J994="","Prix manquant",IF(OR(NOT(ISNUMBER(J994)),N(J994)&lt;0),"Prix invalide",IF(OR(AND(F994&lt;&gt;"",NOT(ISNUMBER(F994))),N(F994)&lt;0,N(F994)&gt;1),"Remise invalide",IF(K994="","Taux de TVA manquant",IF(NOT(ISNUMBER(K994)),"Taux de TVA invalide",IF(COUNTIF(p_rates,K994)=0,"Taux de TVA hors liste (Paramètres)",IF(N(O994)&gt;25,"Au-delà de 25 lignes : non imprimée","OK")))))))))))))</f>
        <v/>
      </c>
      <c r="O994" s="59" t="str">
        <f>IF(A994="","",COUNTIF($A$6:A994,A994))</f>
        <v/>
      </c>
      <c r="P994" s="62" t="str">
        <f>IF(A994="","",A994&amp;"|"&amp;O994)</f>
        <v/>
      </c>
    </row>
    <row r="995">
      <c r="A995" s="60" t="n"/>
      <c r="B995" s="63" t="n"/>
      <c r="C995" s="63" t="n"/>
      <c r="D995" s="67" t="n"/>
      <c r="E995" s="68" t="n"/>
      <c r="F995" s="69" t="n"/>
      <c r="G995" s="70" t="n"/>
      <c r="H995" s="62" t="str">
        <f>IF(COUNTA(A995:G995)=0,"",IF(C995&lt;&gt;"",C995,IF(B995="","",IFERROR(INDEX(pr_des,MATCH(B995,pr_code,0))&amp;"",""))))</f>
        <v/>
      </c>
      <c r="I995" s="59" t="str">
        <f>IF(B995="","",IFERROR(INDEX(pr_unit,MATCH(B995,pr_code,0))&amp;"",""))</f>
        <v/>
      </c>
      <c r="J995" s="65" t="str">
        <f>IF(COUNTA(A995:G995)=0,"",IF(E995&lt;&gt;"",E995,IF(B995="","",IFERROR(IF(INDEX(pr_price,MATCH(B995,pr_code,0))="","",INDEX(pr_price,MATCH(B995,pr_code,0))),""))))</f>
        <v/>
      </c>
      <c r="K995" s="71" t="str">
        <f>IF(COUNTA(A995:G995)=0,"",IF(G995&lt;&gt;"",G995,IF(B995="","",IFERROR(IF(INDEX(pr_rate,MATCH(B995,pr_code,0))="","",INDEX(pr_rate,MATCH(B995,pr_code,0))),""))))</f>
        <v/>
      </c>
      <c r="L995" s="65" t="str">
        <f>IF(COUNTA(A995:G995)=0,"",IF(AND(ISNUMBER(D995),ISNUMBER(J995)),ROUND(D995*J995*(1-N(F995)),2),0))</f>
        <v/>
      </c>
      <c r="M995" s="62" t="str">
        <f>IF(A995="","",IFERROR(INDEX(dv_cname,MATCH(A995,dv_num,0))&amp;"",""))</f>
        <v/>
      </c>
      <c r="N995" s="59" t="str">
        <f>IF(COUNTA(A995:G995)=0,"",IF(A995="","N° devis manquant",IF(ISNA(MATCH(A995,dv_num,0)),"Devis inconnu",IF(AND(B995&lt;&gt;"",ISNA(MATCH(B995,pr_code,0))),"Article inconnu",IF(H995="","Désignation manquante",IF(OR(NOT(ISNUMBER(D995)),N(D995)&lt;=0),"Quantité invalide",IF(J995="","Prix manquant",IF(OR(NOT(ISNUMBER(J995)),N(J995)&lt;0),"Prix invalide",IF(OR(AND(F995&lt;&gt;"",NOT(ISNUMBER(F995))),N(F995)&lt;0,N(F995)&gt;1),"Remise invalide",IF(K995="","Taux de TVA manquant",IF(NOT(ISNUMBER(K995)),"Taux de TVA invalide",IF(COUNTIF(p_rates,K995)=0,"Taux de TVA hors liste (Paramètres)",IF(N(O995)&gt;25,"Au-delà de 25 lignes : non imprimée","OK")))))))))))))</f>
        <v/>
      </c>
      <c r="O995" s="59" t="str">
        <f>IF(A995="","",COUNTIF($A$6:A995,A995))</f>
        <v/>
      </c>
      <c r="P995" s="62" t="str">
        <f>IF(A995="","",A995&amp;"|"&amp;O995)</f>
        <v/>
      </c>
    </row>
    <row r="996">
      <c r="A996" s="60" t="n"/>
      <c r="B996" s="63" t="n"/>
      <c r="C996" s="63" t="n"/>
      <c r="D996" s="67" t="n"/>
      <c r="E996" s="68" t="n"/>
      <c r="F996" s="69" t="n"/>
      <c r="G996" s="70" t="n"/>
      <c r="H996" s="62" t="str">
        <f>IF(COUNTA(A996:G996)=0,"",IF(C996&lt;&gt;"",C996,IF(B996="","",IFERROR(INDEX(pr_des,MATCH(B996,pr_code,0))&amp;"",""))))</f>
        <v/>
      </c>
      <c r="I996" s="59" t="str">
        <f>IF(B996="","",IFERROR(INDEX(pr_unit,MATCH(B996,pr_code,0))&amp;"",""))</f>
        <v/>
      </c>
      <c r="J996" s="65" t="str">
        <f>IF(COUNTA(A996:G996)=0,"",IF(E996&lt;&gt;"",E996,IF(B996="","",IFERROR(IF(INDEX(pr_price,MATCH(B996,pr_code,0))="","",INDEX(pr_price,MATCH(B996,pr_code,0))),""))))</f>
        <v/>
      </c>
      <c r="K996" s="71" t="str">
        <f>IF(COUNTA(A996:G996)=0,"",IF(G996&lt;&gt;"",G996,IF(B996="","",IFERROR(IF(INDEX(pr_rate,MATCH(B996,pr_code,0))="","",INDEX(pr_rate,MATCH(B996,pr_code,0))),""))))</f>
        <v/>
      </c>
      <c r="L996" s="65" t="str">
        <f>IF(COUNTA(A996:G996)=0,"",IF(AND(ISNUMBER(D996),ISNUMBER(J996)),ROUND(D996*J996*(1-N(F996)),2),0))</f>
        <v/>
      </c>
      <c r="M996" s="62" t="str">
        <f>IF(A996="","",IFERROR(INDEX(dv_cname,MATCH(A996,dv_num,0))&amp;"",""))</f>
        <v/>
      </c>
      <c r="N996" s="59" t="str">
        <f>IF(COUNTA(A996:G996)=0,"",IF(A996="","N° devis manquant",IF(ISNA(MATCH(A996,dv_num,0)),"Devis inconnu",IF(AND(B996&lt;&gt;"",ISNA(MATCH(B996,pr_code,0))),"Article inconnu",IF(H996="","Désignation manquante",IF(OR(NOT(ISNUMBER(D996)),N(D996)&lt;=0),"Quantité invalide",IF(J996="","Prix manquant",IF(OR(NOT(ISNUMBER(J996)),N(J996)&lt;0),"Prix invalide",IF(OR(AND(F996&lt;&gt;"",NOT(ISNUMBER(F996))),N(F996)&lt;0,N(F996)&gt;1),"Remise invalide",IF(K996="","Taux de TVA manquant",IF(NOT(ISNUMBER(K996)),"Taux de TVA invalide",IF(COUNTIF(p_rates,K996)=0,"Taux de TVA hors liste (Paramètres)",IF(N(O996)&gt;25,"Au-delà de 25 lignes : non imprimée","OK")))))))))))))</f>
        <v/>
      </c>
      <c r="O996" s="59" t="str">
        <f>IF(A996="","",COUNTIF($A$6:A996,A996))</f>
        <v/>
      </c>
      <c r="P996" s="62" t="str">
        <f>IF(A996="","",A996&amp;"|"&amp;O996)</f>
        <v/>
      </c>
    </row>
    <row r="997">
      <c r="A997" s="60" t="n"/>
      <c r="B997" s="63" t="n"/>
      <c r="C997" s="63" t="n"/>
      <c r="D997" s="67" t="n"/>
      <c r="E997" s="68" t="n"/>
      <c r="F997" s="69" t="n"/>
      <c r="G997" s="70" t="n"/>
      <c r="H997" s="62" t="str">
        <f>IF(COUNTA(A997:G997)=0,"",IF(C997&lt;&gt;"",C997,IF(B997="","",IFERROR(INDEX(pr_des,MATCH(B997,pr_code,0))&amp;"",""))))</f>
        <v/>
      </c>
      <c r="I997" s="59" t="str">
        <f>IF(B997="","",IFERROR(INDEX(pr_unit,MATCH(B997,pr_code,0))&amp;"",""))</f>
        <v/>
      </c>
      <c r="J997" s="65" t="str">
        <f>IF(COUNTA(A997:G997)=0,"",IF(E997&lt;&gt;"",E997,IF(B997="","",IFERROR(IF(INDEX(pr_price,MATCH(B997,pr_code,0))="","",INDEX(pr_price,MATCH(B997,pr_code,0))),""))))</f>
        <v/>
      </c>
      <c r="K997" s="71" t="str">
        <f>IF(COUNTA(A997:G997)=0,"",IF(G997&lt;&gt;"",G997,IF(B997="","",IFERROR(IF(INDEX(pr_rate,MATCH(B997,pr_code,0))="","",INDEX(pr_rate,MATCH(B997,pr_code,0))),""))))</f>
        <v/>
      </c>
      <c r="L997" s="65" t="str">
        <f>IF(COUNTA(A997:G997)=0,"",IF(AND(ISNUMBER(D997),ISNUMBER(J997)),ROUND(D997*J997*(1-N(F997)),2),0))</f>
        <v/>
      </c>
      <c r="M997" s="62" t="str">
        <f>IF(A997="","",IFERROR(INDEX(dv_cname,MATCH(A997,dv_num,0))&amp;"",""))</f>
        <v/>
      </c>
      <c r="N997" s="59" t="str">
        <f>IF(COUNTA(A997:G997)=0,"",IF(A997="","N° devis manquant",IF(ISNA(MATCH(A997,dv_num,0)),"Devis inconnu",IF(AND(B997&lt;&gt;"",ISNA(MATCH(B997,pr_code,0))),"Article inconnu",IF(H997="","Désignation manquante",IF(OR(NOT(ISNUMBER(D997)),N(D997)&lt;=0),"Quantité invalide",IF(J997="","Prix manquant",IF(OR(NOT(ISNUMBER(J997)),N(J997)&lt;0),"Prix invalide",IF(OR(AND(F997&lt;&gt;"",NOT(ISNUMBER(F997))),N(F997)&lt;0,N(F997)&gt;1),"Remise invalide",IF(K997="","Taux de TVA manquant",IF(NOT(ISNUMBER(K997)),"Taux de TVA invalide",IF(COUNTIF(p_rates,K997)=0,"Taux de TVA hors liste (Paramètres)",IF(N(O997)&gt;25,"Au-delà de 25 lignes : non imprimée","OK")))))))))))))</f>
        <v/>
      </c>
      <c r="O997" s="59" t="str">
        <f>IF(A997="","",COUNTIF($A$6:A997,A997))</f>
        <v/>
      </c>
      <c r="P997" s="62" t="str">
        <f>IF(A997="","",A997&amp;"|"&amp;O997)</f>
        <v/>
      </c>
    </row>
    <row r="998">
      <c r="A998" s="60" t="n"/>
      <c r="B998" s="63" t="n"/>
      <c r="C998" s="63" t="n"/>
      <c r="D998" s="67" t="n"/>
      <c r="E998" s="68" t="n"/>
      <c r="F998" s="69" t="n"/>
      <c r="G998" s="70" t="n"/>
      <c r="H998" s="62" t="str">
        <f>IF(COUNTA(A998:G998)=0,"",IF(C998&lt;&gt;"",C998,IF(B998="","",IFERROR(INDEX(pr_des,MATCH(B998,pr_code,0))&amp;"",""))))</f>
        <v/>
      </c>
      <c r="I998" s="59" t="str">
        <f>IF(B998="","",IFERROR(INDEX(pr_unit,MATCH(B998,pr_code,0))&amp;"",""))</f>
        <v/>
      </c>
      <c r="J998" s="65" t="str">
        <f>IF(COUNTA(A998:G998)=0,"",IF(E998&lt;&gt;"",E998,IF(B998="","",IFERROR(IF(INDEX(pr_price,MATCH(B998,pr_code,0))="","",INDEX(pr_price,MATCH(B998,pr_code,0))),""))))</f>
        <v/>
      </c>
      <c r="K998" s="71" t="str">
        <f>IF(COUNTA(A998:G998)=0,"",IF(G998&lt;&gt;"",G998,IF(B998="","",IFERROR(IF(INDEX(pr_rate,MATCH(B998,pr_code,0))="","",INDEX(pr_rate,MATCH(B998,pr_code,0))),""))))</f>
        <v/>
      </c>
      <c r="L998" s="65" t="str">
        <f>IF(COUNTA(A998:G998)=0,"",IF(AND(ISNUMBER(D998),ISNUMBER(J998)),ROUND(D998*J998*(1-N(F998)),2),0))</f>
        <v/>
      </c>
      <c r="M998" s="62" t="str">
        <f>IF(A998="","",IFERROR(INDEX(dv_cname,MATCH(A998,dv_num,0))&amp;"",""))</f>
        <v/>
      </c>
      <c r="N998" s="59" t="str">
        <f>IF(COUNTA(A998:G998)=0,"",IF(A998="","N° devis manquant",IF(ISNA(MATCH(A998,dv_num,0)),"Devis inconnu",IF(AND(B998&lt;&gt;"",ISNA(MATCH(B998,pr_code,0))),"Article inconnu",IF(H998="","Désignation manquante",IF(OR(NOT(ISNUMBER(D998)),N(D998)&lt;=0),"Quantité invalide",IF(J998="","Prix manquant",IF(OR(NOT(ISNUMBER(J998)),N(J998)&lt;0),"Prix invalide",IF(OR(AND(F998&lt;&gt;"",NOT(ISNUMBER(F998))),N(F998)&lt;0,N(F998)&gt;1),"Remise invalide",IF(K998="","Taux de TVA manquant",IF(NOT(ISNUMBER(K998)),"Taux de TVA invalide",IF(COUNTIF(p_rates,K998)=0,"Taux de TVA hors liste (Paramètres)",IF(N(O998)&gt;25,"Au-delà de 25 lignes : non imprimée","OK")))))))))))))</f>
        <v/>
      </c>
      <c r="O998" s="59" t="str">
        <f>IF(A998="","",COUNTIF($A$6:A998,A998))</f>
        <v/>
      </c>
      <c r="P998" s="62" t="str">
        <f>IF(A998="","",A998&amp;"|"&amp;O998)</f>
        <v/>
      </c>
    </row>
    <row r="999">
      <c r="A999" s="60" t="n"/>
      <c r="B999" s="63" t="n"/>
      <c r="C999" s="63" t="n"/>
      <c r="D999" s="67" t="n"/>
      <c r="E999" s="68" t="n"/>
      <c r="F999" s="69" t="n"/>
      <c r="G999" s="70" t="n"/>
      <c r="H999" s="62" t="str">
        <f>IF(COUNTA(A999:G999)=0,"",IF(C999&lt;&gt;"",C999,IF(B999="","",IFERROR(INDEX(pr_des,MATCH(B999,pr_code,0))&amp;"",""))))</f>
        <v/>
      </c>
      <c r="I999" s="59" t="str">
        <f>IF(B999="","",IFERROR(INDEX(pr_unit,MATCH(B999,pr_code,0))&amp;"",""))</f>
        <v/>
      </c>
      <c r="J999" s="65" t="str">
        <f>IF(COUNTA(A999:G999)=0,"",IF(E999&lt;&gt;"",E999,IF(B999="","",IFERROR(IF(INDEX(pr_price,MATCH(B999,pr_code,0))="","",INDEX(pr_price,MATCH(B999,pr_code,0))),""))))</f>
        <v/>
      </c>
      <c r="K999" s="71" t="str">
        <f>IF(COUNTA(A999:G999)=0,"",IF(G999&lt;&gt;"",G999,IF(B999="","",IFERROR(IF(INDEX(pr_rate,MATCH(B999,pr_code,0))="","",INDEX(pr_rate,MATCH(B999,pr_code,0))),""))))</f>
        <v/>
      </c>
      <c r="L999" s="65" t="str">
        <f>IF(COUNTA(A999:G999)=0,"",IF(AND(ISNUMBER(D999),ISNUMBER(J999)),ROUND(D999*J999*(1-N(F999)),2),0))</f>
        <v/>
      </c>
      <c r="M999" s="62" t="str">
        <f>IF(A999="","",IFERROR(INDEX(dv_cname,MATCH(A999,dv_num,0))&amp;"",""))</f>
        <v/>
      </c>
      <c r="N999" s="59" t="str">
        <f>IF(COUNTA(A999:G999)=0,"",IF(A999="","N° devis manquant",IF(ISNA(MATCH(A999,dv_num,0)),"Devis inconnu",IF(AND(B999&lt;&gt;"",ISNA(MATCH(B999,pr_code,0))),"Article inconnu",IF(H999="","Désignation manquante",IF(OR(NOT(ISNUMBER(D999)),N(D999)&lt;=0),"Quantité invalide",IF(J999="","Prix manquant",IF(OR(NOT(ISNUMBER(J999)),N(J999)&lt;0),"Prix invalide",IF(OR(AND(F999&lt;&gt;"",NOT(ISNUMBER(F999))),N(F999)&lt;0,N(F999)&gt;1),"Remise invalide",IF(K999="","Taux de TVA manquant",IF(NOT(ISNUMBER(K999)),"Taux de TVA invalide",IF(COUNTIF(p_rates,K999)=0,"Taux de TVA hors liste (Paramètres)",IF(N(O999)&gt;25,"Au-delà de 25 lignes : non imprimée","OK")))))))))))))</f>
        <v/>
      </c>
      <c r="O999" s="59" t="str">
        <f>IF(A999="","",COUNTIF($A$6:A999,A999))</f>
        <v/>
      </c>
      <c r="P999" s="62" t="str">
        <f>IF(A999="","",A999&amp;"|"&amp;O999)</f>
        <v/>
      </c>
    </row>
    <row r="1000">
      <c r="A1000" s="60" t="n"/>
      <c r="B1000" s="63" t="n"/>
      <c r="C1000" s="63" t="n"/>
      <c r="D1000" s="67" t="n"/>
      <c r="E1000" s="68" t="n"/>
      <c r="F1000" s="69" t="n"/>
      <c r="G1000" s="70" t="n"/>
      <c r="H1000" s="62" t="str">
        <f>IF(COUNTA(A1000:G1000)=0,"",IF(C1000&lt;&gt;"",C1000,IF(B1000="","",IFERROR(INDEX(pr_des,MATCH(B1000,pr_code,0))&amp;"",""))))</f>
        <v/>
      </c>
      <c r="I1000" s="59" t="str">
        <f>IF(B1000="","",IFERROR(INDEX(pr_unit,MATCH(B1000,pr_code,0))&amp;"",""))</f>
        <v/>
      </c>
      <c r="J1000" s="65" t="str">
        <f>IF(COUNTA(A1000:G1000)=0,"",IF(E1000&lt;&gt;"",E1000,IF(B1000="","",IFERROR(IF(INDEX(pr_price,MATCH(B1000,pr_code,0))="","",INDEX(pr_price,MATCH(B1000,pr_code,0))),""))))</f>
        <v/>
      </c>
      <c r="K1000" s="71" t="str">
        <f>IF(COUNTA(A1000:G1000)=0,"",IF(G1000&lt;&gt;"",G1000,IF(B1000="","",IFERROR(IF(INDEX(pr_rate,MATCH(B1000,pr_code,0))="","",INDEX(pr_rate,MATCH(B1000,pr_code,0))),""))))</f>
        <v/>
      </c>
      <c r="L1000" s="65" t="str">
        <f>IF(COUNTA(A1000:G1000)=0,"",IF(AND(ISNUMBER(D1000),ISNUMBER(J1000)),ROUND(D1000*J1000*(1-N(F1000)),2),0))</f>
        <v/>
      </c>
      <c r="M1000" s="62" t="str">
        <f>IF(A1000="","",IFERROR(INDEX(dv_cname,MATCH(A1000,dv_num,0))&amp;"",""))</f>
        <v/>
      </c>
      <c r="N1000" s="59" t="str">
        <f>IF(COUNTA(A1000:G1000)=0,"",IF(A1000="","N° devis manquant",IF(ISNA(MATCH(A1000,dv_num,0)),"Devis inconnu",IF(AND(B1000&lt;&gt;"",ISNA(MATCH(B1000,pr_code,0))),"Article inconnu",IF(H1000="","Désignation manquante",IF(OR(NOT(ISNUMBER(D1000)),N(D1000)&lt;=0),"Quantité invalide",IF(J1000="","Prix manquant",IF(OR(NOT(ISNUMBER(J1000)),N(J1000)&lt;0),"Prix invalide",IF(OR(AND(F1000&lt;&gt;"",NOT(ISNUMBER(F1000))),N(F1000)&lt;0,N(F1000)&gt;1),"Remise invalide",IF(K1000="","Taux de TVA manquant",IF(NOT(ISNUMBER(K1000)),"Taux de TVA invalide",IF(COUNTIF(p_rates,K1000)=0,"Taux de TVA hors liste (Paramètres)",IF(N(O1000)&gt;25,"Au-delà de 25 lignes : non imprimée","OK")))))))))))))</f>
        <v/>
      </c>
      <c r="O1000" s="59" t="str">
        <f>IF(A1000="","",COUNTIF($A$6:A1000,A1000))</f>
        <v/>
      </c>
      <c r="P1000" s="62" t="str">
        <f>IF(A1000="","",A1000&amp;"|"&amp;O1000)</f>
        <v/>
      </c>
    </row>
    <row r="1001">
      <c r="A1001" s="60" t="n"/>
      <c r="B1001" s="63" t="n"/>
      <c r="C1001" s="63" t="n"/>
      <c r="D1001" s="67" t="n"/>
      <c r="E1001" s="68" t="n"/>
      <c r="F1001" s="69" t="n"/>
      <c r="G1001" s="70" t="n"/>
      <c r="H1001" s="62" t="str">
        <f>IF(COUNTA(A1001:G1001)=0,"",IF(C1001&lt;&gt;"",C1001,IF(B1001="","",IFERROR(INDEX(pr_des,MATCH(B1001,pr_code,0))&amp;"",""))))</f>
        <v/>
      </c>
      <c r="I1001" s="59" t="str">
        <f>IF(B1001="","",IFERROR(INDEX(pr_unit,MATCH(B1001,pr_code,0))&amp;"",""))</f>
        <v/>
      </c>
      <c r="J1001" s="65" t="str">
        <f>IF(COUNTA(A1001:G1001)=0,"",IF(E1001&lt;&gt;"",E1001,IF(B1001="","",IFERROR(IF(INDEX(pr_price,MATCH(B1001,pr_code,0))="","",INDEX(pr_price,MATCH(B1001,pr_code,0))),""))))</f>
        <v/>
      </c>
      <c r="K1001" s="71" t="str">
        <f>IF(COUNTA(A1001:G1001)=0,"",IF(G1001&lt;&gt;"",G1001,IF(B1001="","",IFERROR(IF(INDEX(pr_rate,MATCH(B1001,pr_code,0))="","",INDEX(pr_rate,MATCH(B1001,pr_code,0))),""))))</f>
        <v/>
      </c>
      <c r="L1001" s="65" t="str">
        <f>IF(COUNTA(A1001:G1001)=0,"",IF(AND(ISNUMBER(D1001),ISNUMBER(J1001)),ROUND(D1001*J1001*(1-N(F1001)),2),0))</f>
        <v/>
      </c>
      <c r="M1001" s="62" t="str">
        <f>IF(A1001="","",IFERROR(INDEX(dv_cname,MATCH(A1001,dv_num,0))&amp;"",""))</f>
        <v/>
      </c>
      <c r="N1001" s="59" t="str">
        <f>IF(COUNTA(A1001:G1001)=0,"",IF(A1001="","N° devis manquant",IF(ISNA(MATCH(A1001,dv_num,0)),"Devis inconnu",IF(AND(B1001&lt;&gt;"",ISNA(MATCH(B1001,pr_code,0))),"Article inconnu",IF(H1001="","Désignation manquante",IF(OR(NOT(ISNUMBER(D1001)),N(D1001)&lt;=0),"Quantité invalide",IF(J1001="","Prix manquant",IF(OR(NOT(ISNUMBER(J1001)),N(J1001)&lt;0),"Prix invalide",IF(OR(AND(F1001&lt;&gt;"",NOT(ISNUMBER(F1001))),N(F1001)&lt;0,N(F1001)&gt;1),"Remise invalide",IF(K1001="","Taux de TVA manquant",IF(NOT(ISNUMBER(K1001)),"Taux de TVA invalide",IF(COUNTIF(p_rates,K1001)=0,"Taux de TVA hors liste (Paramètres)",IF(N(O1001)&gt;25,"Au-delà de 25 lignes : non imprimée","OK")))))))))))))</f>
        <v/>
      </c>
      <c r="O1001" s="59" t="str">
        <f>IF(A1001="","",COUNTIF($A$6:A1001,A1001))</f>
        <v/>
      </c>
      <c r="P1001" s="62" t="str">
        <f>IF(A1001="","",A1001&amp;"|"&amp;O1001)</f>
        <v/>
      </c>
    </row>
    <row r="1002">
      <c r="A1002" s="60" t="n"/>
      <c r="B1002" s="63" t="n"/>
      <c r="C1002" s="63" t="n"/>
      <c r="D1002" s="67" t="n"/>
      <c r="E1002" s="68" t="n"/>
      <c r="F1002" s="69" t="n"/>
      <c r="G1002" s="70" t="n"/>
      <c r="H1002" s="62" t="str">
        <f>IF(COUNTA(A1002:G1002)=0,"",IF(C1002&lt;&gt;"",C1002,IF(B1002="","",IFERROR(INDEX(pr_des,MATCH(B1002,pr_code,0))&amp;"",""))))</f>
        <v/>
      </c>
      <c r="I1002" s="59" t="str">
        <f>IF(B1002="","",IFERROR(INDEX(pr_unit,MATCH(B1002,pr_code,0))&amp;"",""))</f>
        <v/>
      </c>
      <c r="J1002" s="65" t="str">
        <f>IF(COUNTA(A1002:G1002)=0,"",IF(E1002&lt;&gt;"",E1002,IF(B1002="","",IFERROR(IF(INDEX(pr_price,MATCH(B1002,pr_code,0))="","",INDEX(pr_price,MATCH(B1002,pr_code,0))),""))))</f>
        <v/>
      </c>
      <c r="K1002" s="71" t="str">
        <f>IF(COUNTA(A1002:G1002)=0,"",IF(G1002&lt;&gt;"",G1002,IF(B1002="","",IFERROR(IF(INDEX(pr_rate,MATCH(B1002,pr_code,0))="","",INDEX(pr_rate,MATCH(B1002,pr_code,0))),""))))</f>
        <v/>
      </c>
      <c r="L1002" s="65" t="str">
        <f>IF(COUNTA(A1002:G1002)=0,"",IF(AND(ISNUMBER(D1002),ISNUMBER(J1002)),ROUND(D1002*J1002*(1-N(F1002)),2),0))</f>
        <v/>
      </c>
      <c r="M1002" s="62" t="str">
        <f>IF(A1002="","",IFERROR(INDEX(dv_cname,MATCH(A1002,dv_num,0))&amp;"",""))</f>
        <v/>
      </c>
      <c r="N1002" s="59" t="str">
        <f>IF(COUNTA(A1002:G1002)=0,"",IF(A1002="","N° devis manquant",IF(ISNA(MATCH(A1002,dv_num,0)),"Devis inconnu",IF(AND(B1002&lt;&gt;"",ISNA(MATCH(B1002,pr_code,0))),"Article inconnu",IF(H1002="","Désignation manquante",IF(OR(NOT(ISNUMBER(D1002)),N(D1002)&lt;=0),"Quantité invalide",IF(J1002="","Prix manquant",IF(OR(NOT(ISNUMBER(J1002)),N(J1002)&lt;0),"Prix invalide",IF(OR(AND(F1002&lt;&gt;"",NOT(ISNUMBER(F1002))),N(F1002)&lt;0,N(F1002)&gt;1),"Remise invalide",IF(K1002="","Taux de TVA manquant",IF(NOT(ISNUMBER(K1002)),"Taux de TVA invalide",IF(COUNTIF(p_rates,K1002)=0,"Taux de TVA hors liste (Paramètres)",IF(N(O1002)&gt;25,"Au-delà de 25 lignes : non imprimée","OK")))))))))))))</f>
        <v/>
      </c>
      <c r="O1002" s="59" t="str">
        <f>IF(A1002="","",COUNTIF($A$6:A1002,A1002))</f>
        <v/>
      </c>
      <c r="P1002" s="62" t="str">
        <f>IF(A1002="","",A1002&amp;"|"&amp;O1002)</f>
        <v/>
      </c>
    </row>
    <row r="1003">
      <c r="A1003" s="60" t="n"/>
      <c r="B1003" s="63" t="n"/>
      <c r="C1003" s="63" t="n"/>
      <c r="D1003" s="67" t="n"/>
      <c r="E1003" s="68" t="n"/>
      <c r="F1003" s="69" t="n"/>
      <c r="G1003" s="70" t="n"/>
      <c r="H1003" s="62" t="str">
        <f>IF(COUNTA(A1003:G1003)=0,"",IF(C1003&lt;&gt;"",C1003,IF(B1003="","",IFERROR(INDEX(pr_des,MATCH(B1003,pr_code,0))&amp;"",""))))</f>
        <v/>
      </c>
      <c r="I1003" s="59" t="str">
        <f>IF(B1003="","",IFERROR(INDEX(pr_unit,MATCH(B1003,pr_code,0))&amp;"",""))</f>
        <v/>
      </c>
      <c r="J1003" s="65" t="str">
        <f>IF(COUNTA(A1003:G1003)=0,"",IF(E1003&lt;&gt;"",E1003,IF(B1003="","",IFERROR(IF(INDEX(pr_price,MATCH(B1003,pr_code,0))="","",INDEX(pr_price,MATCH(B1003,pr_code,0))),""))))</f>
        <v/>
      </c>
      <c r="K1003" s="71" t="str">
        <f>IF(COUNTA(A1003:G1003)=0,"",IF(G1003&lt;&gt;"",G1003,IF(B1003="","",IFERROR(IF(INDEX(pr_rate,MATCH(B1003,pr_code,0))="","",INDEX(pr_rate,MATCH(B1003,pr_code,0))),""))))</f>
        <v/>
      </c>
      <c r="L1003" s="65" t="str">
        <f>IF(COUNTA(A1003:G1003)=0,"",IF(AND(ISNUMBER(D1003),ISNUMBER(J1003)),ROUND(D1003*J1003*(1-N(F1003)),2),0))</f>
        <v/>
      </c>
      <c r="M1003" s="62" t="str">
        <f>IF(A1003="","",IFERROR(INDEX(dv_cname,MATCH(A1003,dv_num,0))&amp;"",""))</f>
        <v/>
      </c>
      <c r="N1003" s="59" t="str">
        <f>IF(COUNTA(A1003:G1003)=0,"",IF(A1003="","N° devis manquant",IF(ISNA(MATCH(A1003,dv_num,0)),"Devis inconnu",IF(AND(B1003&lt;&gt;"",ISNA(MATCH(B1003,pr_code,0))),"Article inconnu",IF(H1003="","Désignation manquante",IF(OR(NOT(ISNUMBER(D1003)),N(D1003)&lt;=0),"Quantité invalide",IF(J1003="","Prix manquant",IF(OR(NOT(ISNUMBER(J1003)),N(J1003)&lt;0),"Prix invalide",IF(OR(AND(F1003&lt;&gt;"",NOT(ISNUMBER(F1003))),N(F1003)&lt;0,N(F1003)&gt;1),"Remise invalide",IF(K1003="","Taux de TVA manquant",IF(NOT(ISNUMBER(K1003)),"Taux de TVA invalide",IF(COUNTIF(p_rates,K1003)=0,"Taux de TVA hors liste (Paramètres)",IF(N(O1003)&gt;25,"Au-delà de 25 lignes : non imprimée","OK")))))))))))))</f>
        <v/>
      </c>
      <c r="O1003" s="59" t="str">
        <f>IF(A1003="","",COUNTIF($A$6:A1003,A1003))</f>
        <v/>
      </c>
      <c r="P1003" s="62" t="str">
        <f>IF(A1003="","",A1003&amp;"|"&amp;O1003)</f>
        <v/>
      </c>
    </row>
    <row r="1004">
      <c r="A1004" s="60" t="n"/>
      <c r="B1004" s="63" t="n"/>
      <c r="C1004" s="63" t="n"/>
      <c r="D1004" s="67" t="n"/>
      <c r="E1004" s="68" t="n"/>
      <c r="F1004" s="69" t="n"/>
      <c r="G1004" s="70" t="n"/>
      <c r="H1004" s="62" t="str">
        <f>IF(COUNTA(A1004:G1004)=0,"",IF(C1004&lt;&gt;"",C1004,IF(B1004="","",IFERROR(INDEX(pr_des,MATCH(B1004,pr_code,0))&amp;"",""))))</f>
        <v/>
      </c>
      <c r="I1004" s="59" t="str">
        <f>IF(B1004="","",IFERROR(INDEX(pr_unit,MATCH(B1004,pr_code,0))&amp;"",""))</f>
        <v/>
      </c>
      <c r="J1004" s="65" t="str">
        <f>IF(COUNTA(A1004:G1004)=0,"",IF(E1004&lt;&gt;"",E1004,IF(B1004="","",IFERROR(IF(INDEX(pr_price,MATCH(B1004,pr_code,0))="","",INDEX(pr_price,MATCH(B1004,pr_code,0))),""))))</f>
        <v/>
      </c>
      <c r="K1004" s="71" t="str">
        <f>IF(COUNTA(A1004:G1004)=0,"",IF(G1004&lt;&gt;"",G1004,IF(B1004="","",IFERROR(IF(INDEX(pr_rate,MATCH(B1004,pr_code,0))="","",INDEX(pr_rate,MATCH(B1004,pr_code,0))),""))))</f>
        <v/>
      </c>
      <c r="L1004" s="65" t="str">
        <f>IF(COUNTA(A1004:G1004)=0,"",IF(AND(ISNUMBER(D1004),ISNUMBER(J1004)),ROUND(D1004*J1004*(1-N(F1004)),2),0))</f>
        <v/>
      </c>
      <c r="M1004" s="62" t="str">
        <f>IF(A1004="","",IFERROR(INDEX(dv_cname,MATCH(A1004,dv_num,0))&amp;"",""))</f>
        <v/>
      </c>
      <c r="N1004" s="59" t="str">
        <f>IF(COUNTA(A1004:G1004)=0,"",IF(A1004="","N° devis manquant",IF(ISNA(MATCH(A1004,dv_num,0)),"Devis inconnu",IF(AND(B1004&lt;&gt;"",ISNA(MATCH(B1004,pr_code,0))),"Article inconnu",IF(H1004="","Désignation manquante",IF(OR(NOT(ISNUMBER(D1004)),N(D1004)&lt;=0),"Quantité invalide",IF(J1004="","Prix manquant",IF(OR(NOT(ISNUMBER(J1004)),N(J1004)&lt;0),"Prix invalide",IF(OR(AND(F1004&lt;&gt;"",NOT(ISNUMBER(F1004))),N(F1004)&lt;0,N(F1004)&gt;1),"Remise invalide",IF(K1004="","Taux de TVA manquant",IF(NOT(ISNUMBER(K1004)),"Taux de TVA invalide",IF(COUNTIF(p_rates,K1004)=0,"Taux de TVA hors liste (Paramètres)",IF(N(O1004)&gt;25,"Au-delà de 25 lignes : non imprimée","OK")))))))))))))</f>
        <v/>
      </c>
      <c r="O1004" s="59" t="str">
        <f>IF(A1004="","",COUNTIF($A$6:A1004,A1004))</f>
        <v/>
      </c>
      <c r="P1004" s="62" t="str">
        <f>IF(A1004="","",A1004&amp;"|"&amp;O1004)</f>
        <v/>
      </c>
    </row>
    <row r="1005">
      <c r="A1005" s="60" t="n"/>
      <c r="B1005" s="63" t="n"/>
      <c r="C1005" s="63" t="n"/>
      <c r="D1005" s="67" t="n"/>
      <c r="E1005" s="68" t="n"/>
      <c r="F1005" s="69" t="n"/>
      <c r="G1005" s="70" t="n"/>
      <c r="H1005" s="62" t="str">
        <f>IF(COUNTA(A1005:G1005)=0,"",IF(C1005&lt;&gt;"",C1005,IF(B1005="","",IFERROR(INDEX(pr_des,MATCH(B1005,pr_code,0))&amp;"",""))))</f>
        <v/>
      </c>
      <c r="I1005" s="59" t="str">
        <f>IF(B1005="","",IFERROR(INDEX(pr_unit,MATCH(B1005,pr_code,0))&amp;"",""))</f>
        <v/>
      </c>
      <c r="J1005" s="65" t="str">
        <f>IF(COUNTA(A1005:G1005)=0,"",IF(E1005&lt;&gt;"",E1005,IF(B1005="","",IFERROR(IF(INDEX(pr_price,MATCH(B1005,pr_code,0))="","",INDEX(pr_price,MATCH(B1005,pr_code,0))),""))))</f>
        <v/>
      </c>
      <c r="K1005" s="71" t="str">
        <f>IF(COUNTA(A1005:G1005)=0,"",IF(G1005&lt;&gt;"",G1005,IF(B1005="","",IFERROR(IF(INDEX(pr_rate,MATCH(B1005,pr_code,0))="","",INDEX(pr_rate,MATCH(B1005,pr_code,0))),""))))</f>
        <v/>
      </c>
      <c r="L1005" s="65" t="str">
        <f>IF(COUNTA(A1005:G1005)=0,"",IF(AND(ISNUMBER(D1005),ISNUMBER(J1005)),ROUND(D1005*J1005*(1-N(F1005)),2),0))</f>
        <v/>
      </c>
      <c r="M1005" s="62" t="str">
        <f>IF(A1005="","",IFERROR(INDEX(dv_cname,MATCH(A1005,dv_num,0))&amp;"",""))</f>
        <v/>
      </c>
      <c r="N1005" s="59" t="str">
        <f>IF(COUNTA(A1005:G1005)=0,"",IF(A1005="","N° devis manquant",IF(ISNA(MATCH(A1005,dv_num,0)),"Devis inconnu",IF(AND(B1005&lt;&gt;"",ISNA(MATCH(B1005,pr_code,0))),"Article inconnu",IF(H1005="","Désignation manquante",IF(OR(NOT(ISNUMBER(D1005)),N(D1005)&lt;=0),"Quantité invalide",IF(J1005="","Prix manquant",IF(OR(NOT(ISNUMBER(J1005)),N(J1005)&lt;0),"Prix invalide",IF(OR(AND(F1005&lt;&gt;"",NOT(ISNUMBER(F1005))),N(F1005)&lt;0,N(F1005)&gt;1),"Remise invalide",IF(K1005="","Taux de TVA manquant",IF(NOT(ISNUMBER(K1005)),"Taux de TVA invalide",IF(COUNTIF(p_rates,K1005)=0,"Taux de TVA hors liste (Paramètres)",IF(N(O1005)&gt;25,"Au-delà de 25 lignes : non imprimée","OK")))))))))))))</f>
        <v/>
      </c>
      <c r="O1005" s="59" t="str">
        <f>IF(A1005="","",COUNTIF($A$6:A1005,A1005))</f>
        <v/>
      </c>
      <c r="P1005" s="62" t="str">
        <f>IF(A1005="","",A1005&amp;"|"&amp;O1005)</f>
        <v/>
      </c>
    </row>
    <row r="1006">
      <c r="A1006" s="60" t="n"/>
      <c r="B1006" s="63" t="n"/>
      <c r="C1006" s="63" t="n"/>
      <c r="D1006" s="67" t="n"/>
      <c r="E1006" s="68" t="n"/>
      <c r="F1006" s="69" t="n"/>
      <c r="G1006" s="70" t="n"/>
      <c r="H1006" s="62" t="str">
        <f>IF(COUNTA(A1006:G1006)=0,"",IF(C1006&lt;&gt;"",C1006,IF(B1006="","",IFERROR(INDEX(pr_des,MATCH(B1006,pr_code,0))&amp;"",""))))</f>
        <v/>
      </c>
      <c r="I1006" s="59" t="str">
        <f>IF(B1006="","",IFERROR(INDEX(pr_unit,MATCH(B1006,pr_code,0))&amp;"",""))</f>
        <v/>
      </c>
      <c r="J1006" s="65" t="str">
        <f>IF(COUNTA(A1006:G1006)=0,"",IF(E1006&lt;&gt;"",E1006,IF(B1006="","",IFERROR(IF(INDEX(pr_price,MATCH(B1006,pr_code,0))="","",INDEX(pr_price,MATCH(B1006,pr_code,0))),""))))</f>
        <v/>
      </c>
      <c r="K1006" s="71" t="str">
        <f>IF(COUNTA(A1006:G1006)=0,"",IF(G1006&lt;&gt;"",G1006,IF(B1006="","",IFERROR(IF(INDEX(pr_rate,MATCH(B1006,pr_code,0))="","",INDEX(pr_rate,MATCH(B1006,pr_code,0))),""))))</f>
        <v/>
      </c>
      <c r="L1006" s="65" t="str">
        <f>IF(COUNTA(A1006:G1006)=0,"",IF(AND(ISNUMBER(D1006),ISNUMBER(J1006)),ROUND(D1006*J1006*(1-N(F1006)),2),0))</f>
        <v/>
      </c>
      <c r="M1006" s="62" t="str">
        <f>IF(A1006="","",IFERROR(INDEX(dv_cname,MATCH(A1006,dv_num,0))&amp;"",""))</f>
        <v/>
      </c>
      <c r="N1006" s="59" t="str">
        <f>IF(COUNTA(A1006:G1006)=0,"",IF(A1006="","N° devis manquant",IF(ISNA(MATCH(A1006,dv_num,0)),"Devis inconnu",IF(AND(B1006&lt;&gt;"",ISNA(MATCH(B1006,pr_code,0))),"Article inconnu",IF(H1006="","Désignation manquante",IF(OR(NOT(ISNUMBER(D1006)),N(D1006)&lt;=0),"Quantité invalide",IF(J1006="","Prix manquant",IF(OR(NOT(ISNUMBER(J1006)),N(J1006)&lt;0),"Prix invalide",IF(OR(AND(F1006&lt;&gt;"",NOT(ISNUMBER(F1006))),N(F1006)&lt;0,N(F1006)&gt;1),"Remise invalide",IF(K1006="","Taux de TVA manquant",IF(NOT(ISNUMBER(K1006)),"Taux de TVA invalide",IF(COUNTIF(p_rates,K1006)=0,"Taux de TVA hors liste (Paramètres)",IF(N(O1006)&gt;25,"Au-delà de 25 lignes : non imprimée","OK")))))))))))))</f>
        <v/>
      </c>
      <c r="O1006" s="59" t="str">
        <f>IF(A1006="","",COUNTIF($A$6:A1006,A1006))</f>
        <v/>
      </c>
      <c r="P1006" s="62" t="str">
        <f>IF(A1006="","",A1006&amp;"|"&amp;O1006)</f>
        <v/>
      </c>
    </row>
    <row r="1007">
      <c r="A1007" s="60" t="n"/>
      <c r="B1007" s="63" t="n"/>
      <c r="C1007" s="63" t="n"/>
      <c r="D1007" s="67" t="n"/>
      <c r="E1007" s="68" t="n"/>
      <c r="F1007" s="69" t="n"/>
      <c r="G1007" s="70" t="n"/>
      <c r="H1007" s="62" t="str">
        <f>IF(COUNTA(A1007:G1007)=0,"",IF(C1007&lt;&gt;"",C1007,IF(B1007="","",IFERROR(INDEX(pr_des,MATCH(B1007,pr_code,0))&amp;"",""))))</f>
        <v/>
      </c>
      <c r="I1007" s="59" t="str">
        <f>IF(B1007="","",IFERROR(INDEX(pr_unit,MATCH(B1007,pr_code,0))&amp;"",""))</f>
        <v/>
      </c>
      <c r="J1007" s="65" t="str">
        <f>IF(COUNTA(A1007:G1007)=0,"",IF(E1007&lt;&gt;"",E1007,IF(B1007="","",IFERROR(IF(INDEX(pr_price,MATCH(B1007,pr_code,0))="","",INDEX(pr_price,MATCH(B1007,pr_code,0))),""))))</f>
        <v/>
      </c>
      <c r="K1007" s="71" t="str">
        <f>IF(COUNTA(A1007:G1007)=0,"",IF(G1007&lt;&gt;"",G1007,IF(B1007="","",IFERROR(IF(INDEX(pr_rate,MATCH(B1007,pr_code,0))="","",INDEX(pr_rate,MATCH(B1007,pr_code,0))),""))))</f>
        <v/>
      </c>
      <c r="L1007" s="65" t="str">
        <f>IF(COUNTA(A1007:G1007)=0,"",IF(AND(ISNUMBER(D1007),ISNUMBER(J1007)),ROUND(D1007*J1007*(1-N(F1007)),2),0))</f>
        <v/>
      </c>
      <c r="M1007" s="62" t="str">
        <f>IF(A1007="","",IFERROR(INDEX(dv_cname,MATCH(A1007,dv_num,0))&amp;"",""))</f>
        <v/>
      </c>
      <c r="N1007" s="59" t="str">
        <f>IF(COUNTA(A1007:G1007)=0,"",IF(A1007="","N° devis manquant",IF(ISNA(MATCH(A1007,dv_num,0)),"Devis inconnu",IF(AND(B1007&lt;&gt;"",ISNA(MATCH(B1007,pr_code,0))),"Article inconnu",IF(H1007="","Désignation manquante",IF(OR(NOT(ISNUMBER(D1007)),N(D1007)&lt;=0),"Quantité invalide",IF(J1007="","Prix manquant",IF(OR(NOT(ISNUMBER(J1007)),N(J1007)&lt;0),"Prix invalide",IF(OR(AND(F1007&lt;&gt;"",NOT(ISNUMBER(F1007))),N(F1007)&lt;0,N(F1007)&gt;1),"Remise invalide",IF(K1007="","Taux de TVA manquant",IF(NOT(ISNUMBER(K1007)),"Taux de TVA invalide",IF(COUNTIF(p_rates,K1007)=0,"Taux de TVA hors liste (Paramètres)",IF(N(O1007)&gt;25,"Au-delà de 25 lignes : non imprimée","OK")))))))))))))</f>
        <v/>
      </c>
      <c r="O1007" s="59" t="str">
        <f>IF(A1007="","",COUNTIF($A$6:A1007,A1007))</f>
        <v/>
      </c>
      <c r="P1007" s="62" t="str">
        <f>IF(A1007="","",A1007&amp;"|"&amp;O1007)</f>
        <v/>
      </c>
    </row>
    <row r="1008">
      <c r="A1008" s="60" t="n"/>
      <c r="B1008" s="63" t="n"/>
      <c r="C1008" s="63" t="n"/>
      <c r="D1008" s="67" t="n"/>
      <c r="E1008" s="68" t="n"/>
      <c r="F1008" s="69" t="n"/>
      <c r="G1008" s="70" t="n"/>
      <c r="H1008" s="62" t="str">
        <f>IF(COUNTA(A1008:G1008)=0,"",IF(C1008&lt;&gt;"",C1008,IF(B1008="","",IFERROR(INDEX(pr_des,MATCH(B1008,pr_code,0))&amp;"",""))))</f>
        <v/>
      </c>
      <c r="I1008" s="59" t="str">
        <f>IF(B1008="","",IFERROR(INDEX(pr_unit,MATCH(B1008,pr_code,0))&amp;"",""))</f>
        <v/>
      </c>
      <c r="J1008" s="65" t="str">
        <f>IF(COUNTA(A1008:G1008)=0,"",IF(E1008&lt;&gt;"",E1008,IF(B1008="","",IFERROR(IF(INDEX(pr_price,MATCH(B1008,pr_code,0))="","",INDEX(pr_price,MATCH(B1008,pr_code,0))),""))))</f>
        <v/>
      </c>
      <c r="K1008" s="71" t="str">
        <f>IF(COUNTA(A1008:G1008)=0,"",IF(G1008&lt;&gt;"",G1008,IF(B1008="","",IFERROR(IF(INDEX(pr_rate,MATCH(B1008,pr_code,0))="","",INDEX(pr_rate,MATCH(B1008,pr_code,0))),""))))</f>
        <v/>
      </c>
      <c r="L1008" s="65" t="str">
        <f>IF(COUNTA(A1008:G1008)=0,"",IF(AND(ISNUMBER(D1008),ISNUMBER(J1008)),ROUND(D1008*J1008*(1-N(F1008)),2),0))</f>
        <v/>
      </c>
      <c r="M1008" s="62" t="str">
        <f>IF(A1008="","",IFERROR(INDEX(dv_cname,MATCH(A1008,dv_num,0))&amp;"",""))</f>
        <v/>
      </c>
      <c r="N1008" s="59" t="str">
        <f>IF(COUNTA(A1008:G1008)=0,"",IF(A1008="","N° devis manquant",IF(ISNA(MATCH(A1008,dv_num,0)),"Devis inconnu",IF(AND(B1008&lt;&gt;"",ISNA(MATCH(B1008,pr_code,0))),"Article inconnu",IF(H1008="","Désignation manquante",IF(OR(NOT(ISNUMBER(D1008)),N(D1008)&lt;=0),"Quantité invalide",IF(J1008="","Prix manquant",IF(OR(NOT(ISNUMBER(J1008)),N(J1008)&lt;0),"Prix invalide",IF(OR(AND(F1008&lt;&gt;"",NOT(ISNUMBER(F1008))),N(F1008)&lt;0,N(F1008)&gt;1),"Remise invalide",IF(K1008="","Taux de TVA manquant",IF(NOT(ISNUMBER(K1008)),"Taux de TVA invalide",IF(COUNTIF(p_rates,K1008)=0,"Taux de TVA hors liste (Paramètres)",IF(N(O1008)&gt;25,"Au-delà de 25 lignes : non imprimée","OK")))))))))))))</f>
        <v/>
      </c>
      <c r="O1008" s="59" t="str">
        <f>IF(A1008="","",COUNTIF($A$6:A1008,A1008))</f>
        <v/>
      </c>
      <c r="P1008" s="62" t="str">
        <f>IF(A1008="","",A1008&amp;"|"&amp;O1008)</f>
        <v/>
      </c>
    </row>
    <row r="1009">
      <c r="A1009" s="60" t="n"/>
      <c r="B1009" s="63" t="n"/>
      <c r="C1009" s="63" t="n"/>
      <c r="D1009" s="67" t="n"/>
      <c r="E1009" s="68" t="n"/>
      <c r="F1009" s="69" t="n"/>
      <c r="G1009" s="70" t="n"/>
      <c r="H1009" s="62" t="str">
        <f>IF(COUNTA(A1009:G1009)=0,"",IF(C1009&lt;&gt;"",C1009,IF(B1009="","",IFERROR(INDEX(pr_des,MATCH(B1009,pr_code,0))&amp;"",""))))</f>
        <v/>
      </c>
      <c r="I1009" s="59" t="str">
        <f>IF(B1009="","",IFERROR(INDEX(pr_unit,MATCH(B1009,pr_code,0))&amp;"",""))</f>
        <v/>
      </c>
      <c r="J1009" s="65" t="str">
        <f>IF(COUNTA(A1009:G1009)=0,"",IF(E1009&lt;&gt;"",E1009,IF(B1009="","",IFERROR(IF(INDEX(pr_price,MATCH(B1009,pr_code,0))="","",INDEX(pr_price,MATCH(B1009,pr_code,0))),""))))</f>
        <v/>
      </c>
      <c r="K1009" s="71" t="str">
        <f>IF(COUNTA(A1009:G1009)=0,"",IF(G1009&lt;&gt;"",G1009,IF(B1009="","",IFERROR(IF(INDEX(pr_rate,MATCH(B1009,pr_code,0))="","",INDEX(pr_rate,MATCH(B1009,pr_code,0))),""))))</f>
        <v/>
      </c>
      <c r="L1009" s="65" t="str">
        <f>IF(COUNTA(A1009:G1009)=0,"",IF(AND(ISNUMBER(D1009),ISNUMBER(J1009)),ROUND(D1009*J1009*(1-N(F1009)),2),0))</f>
        <v/>
      </c>
      <c r="M1009" s="62" t="str">
        <f>IF(A1009="","",IFERROR(INDEX(dv_cname,MATCH(A1009,dv_num,0))&amp;"",""))</f>
        <v/>
      </c>
      <c r="N1009" s="59" t="str">
        <f>IF(COUNTA(A1009:G1009)=0,"",IF(A1009="","N° devis manquant",IF(ISNA(MATCH(A1009,dv_num,0)),"Devis inconnu",IF(AND(B1009&lt;&gt;"",ISNA(MATCH(B1009,pr_code,0))),"Article inconnu",IF(H1009="","Désignation manquante",IF(OR(NOT(ISNUMBER(D1009)),N(D1009)&lt;=0),"Quantité invalide",IF(J1009="","Prix manquant",IF(OR(NOT(ISNUMBER(J1009)),N(J1009)&lt;0),"Prix invalide",IF(OR(AND(F1009&lt;&gt;"",NOT(ISNUMBER(F1009))),N(F1009)&lt;0,N(F1009)&gt;1),"Remise invalide",IF(K1009="","Taux de TVA manquant",IF(NOT(ISNUMBER(K1009)),"Taux de TVA invalide",IF(COUNTIF(p_rates,K1009)=0,"Taux de TVA hors liste (Paramètres)",IF(N(O1009)&gt;25,"Au-delà de 25 lignes : non imprimée","OK")))))))))))))</f>
        <v/>
      </c>
      <c r="O1009" s="59" t="str">
        <f>IF(A1009="","",COUNTIF($A$6:A1009,A1009))</f>
        <v/>
      </c>
      <c r="P1009" s="62" t="str">
        <f>IF(A1009="","",A1009&amp;"|"&amp;O1009)</f>
        <v/>
      </c>
    </row>
    <row r="1010">
      <c r="A1010" s="60" t="n"/>
      <c r="B1010" s="63" t="n"/>
      <c r="C1010" s="63" t="n"/>
      <c r="D1010" s="67" t="n"/>
      <c r="E1010" s="68" t="n"/>
      <c r="F1010" s="69" t="n"/>
      <c r="G1010" s="70" t="n"/>
      <c r="H1010" s="62" t="str">
        <f>IF(COUNTA(A1010:G1010)=0,"",IF(C1010&lt;&gt;"",C1010,IF(B1010="","",IFERROR(INDEX(pr_des,MATCH(B1010,pr_code,0))&amp;"",""))))</f>
        <v/>
      </c>
      <c r="I1010" s="59" t="str">
        <f>IF(B1010="","",IFERROR(INDEX(pr_unit,MATCH(B1010,pr_code,0))&amp;"",""))</f>
        <v/>
      </c>
      <c r="J1010" s="65" t="str">
        <f>IF(COUNTA(A1010:G1010)=0,"",IF(E1010&lt;&gt;"",E1010,IF(B1010="","",IFERROR(IF(INDEX(pr_price,MATCH(B1010,pr_code,0))="","",INDEX(pr_price,MATCH(B1010,pr_code,0))),""))))</f>
        <v/>
      </c>
      <c r="K1010" s="71" t="str">
        <f>IF(COUNTA(A1010:G1010)=0,"",IF(G1010&lt;&gt;"",G1010,IF(B1010="","",IFERROR(IF(INDEX(pr_rate,MATCH(B1010,pr_code,0))="","",INDEX(pr_rate,MATCH(B1010,pr_code,0))),""))))</f>
        <v/>
      </c>
      <c r="L1010" s="65" t="str">
        <f>IF(COUNTA(A1010:G1010)=0,"",IF(AND(ISNUMBER(D1010),ISNUMBER(J1010)),ROUND(D1010*J1010*(1-N(F1010)),2),0))</f>
        <v/>
      </c>
      <c r="M1010" s="62" t="str">
        <f>IF(A1010="","",IFERROR(INDEX(dv_cname,MATCH(A1010,dv_num,0))&amp;"",""))</f>
        <v/>
      </c>
      <c r="N1010" s="59" t="str">
        <f>IF(COUNTA(A1010:G1010)=0,"",IF(A1010="","N° devis manquant",IF(ISNA(MATCH(A1010,dv_num,0)),"Devis inconnu",IF(AND(B1010&lt;&gt;"",ISNA(MATCH(B1010,pr_code,0))),"Article inconnu",IF(H1010="","Désignation manquante",IF(OR(NOT(ISNUMBER(D1010)),N(D1010)&lt;=0),"Quantité invalide",IF(J1010="","Prix manquant",IF(OR(NOT(ISNUMBER(J1010)),N(J1010)&lt;0),"Prix invalide",IF(OR(AND(F1010&lt;&gt;"",NOT(ISNUMBER(F1010))),N(F1010)&lt;0,N(F1010)&gt;1),"Remise invalide",IF(K1010="","Taux de TVA manquant",IF(NOT(ISNUMBER(K1010)),"Taux de TVA invalide",IF(COUNTIF(p_rates,K1010)=0,"Taux de TVA hors liste (Paramètres)",IF(N(O1010)&gt;25,"Au-delà de 25 lignes : non imprimée","OK")))))))))))))</f>
        <v/>
      </c>
      <c r="O1010" s="59" t="str">
        <f>IF(A1010="","",COUNTIF($A$6:A1010,A1010))</f>
        <v/>
      </c>
      <c r="P1010" s="62" t="str">
        <f>IF(A1010="","",A1010&amp;"|"&amp;O1010)</f>
        <v/>
      </c>
    </row>
    <row r="1011">
      <c r="A1011" s="60" t="n"/>
      <c r="B1011" s="63" t="n"/>
      <c r="C1011" s="63" t="n"/>
      <c r="D1011" s="67" t="n"/>
      <c r="E1011" s="68" t="n"/>
      <c r="F1011" s="69" t="n"/>
      <c r="G1011" s="70" t="n"/>
      <c r="H1011" s="62" t="str">
        <f>IF(COUNTA(A1011:G1011)=0,"",IF(C1011&lt;&gt;"",C1011,IF(B1011="","",IFERROR(INDEX(pr_des,MATCH(B1011,pr_code,0))&amp;"",""))))</f>
        <v/>
      </c>
      <c r="I1011" s="59" t="str">
        <f>IF(B1011="","",IFERROR(INDEX(pr_unit,MATCH(B1011,pr_code,0))&amp;"",""))</f>
        <v/>
      </c>
      <c r="J1011" s="65" t="str">
        <f>IF(COUNTA(A1011:G1011)=0,"",IF(E1011&lt;&gt;"",E1011,IF(B1011="","",IFERROR(IF(INDEX(pr_price,MATCH(B1011,pr_code,0))="","",INDEX(pr_price,MATCH(B1011,pr_code,0))),""))))</f>
        <v/>
      </c>
      <c r="K1011" s="71" t="str">
        <f>IF(COUNTA(A1011:G1011)=0,"",IF(G1011&lt;&gt;"",G1011,IF(B1011="","",IFERROR(IF(INDEX(pr_rate,MATCH(B1011,pr_code,0))="","",INDEX(pr_rate,MATCH(B1011,pr_code,0))),""))))</f>
        <v/>
      </c>
      <c r="L1011" s="65" t="str">
        <f>IF(COUNTA(A1011:G1011)=0,"",IF(AND(ISNUMBER(D1011),ISNUMBER(J1011)),ROUND(D1011*J1011*(1-N(F1011)),2),0))</f>
        <v/>
      </c>
      <c r="M1011" s="62" t="str">
        <f>IF(A1011="","",IFERROR(INDEX(dv_cname,MATCH(A1011,dv_num,0))&amp;"",""))</f>
        <v/>
      </c>
      <c r="N1011" s="59" t="str">
        <f>IF(COUNTA(A1011:G1011)=0,"",IF(A1011="","N° devis manquant",IF(ISNA(MATCH(A1011,dv_num,0)),"Devis inconnu",IF(AND(B1011&lt;&gt;"",ISNA(MATCH(B1011,pr_code,0))),"Article inconnu",IF(H1011="","Désignation manquante",IF(OR(NOT(ISNUMBER(D1011)),N(D1011)&lt;=0),"Quantité invalide",IF(J1011="","Prix manquant",IF(OR(NOT(ISNUMBER(J1011)),N(J1011)&lt;0),"Prix invalide",IF(OR(AND(F1011&lt;&gt;"",NOT(ISNUMBER(F1011))),N(F1011)&lt;0,N(F1011)&gt;1),"Remise invalide",IF(K1011="","Taux de TVA manquant",IF(NOT(ISNUMBER(K1011)),"Taux de TVA invalide",IF(COUNTIF(p_rates,K1011)=0,"Taux de TVA hors liste (Paramètres)",IF(N(O1011)&gt;25,"Au-delà de 25 lignes : non imprimée","OK")))))))))))))</f>
        <v/>
      </c>
      <c r="O1011" s="59" t="str">
        <f>IF(A1011="","",COUNTIF($A$6:A1011,A1011))</f>
        <v/>
      </c>
      <c r="P1011" s="62" t="str">
        <f>IF(A1011="","",A1011&amp;"|"&amp;O1011)</f>
        <v/>
      </c>
    </row>
    <row r="1012">
      <c r="A1012" s="60" t="n"/>
      <c r="B1012" s="63" t="n"/>
      <c r="C1012" s="63" t="n"/>
      <c r="D1012" s="67" t="n"/>
      <c r="E1012" s="68" t="n"/>
      <c r="F1012" s="69" t="n"/>
      <c r="G1012" s="70" t="n"/>
      <c r="H1012" s="62" t="str">
        <f>IF(COUNTA(A1012:G1012)=0,"",IF(C1012&lt;&gt;"",C1012,IF(B1012="","",IFERROR(INDEX(pr_des,MATCH(B1012,pr_code,0))&amp;"",""))))</f>
        <v/>
      </c>
      <c r="I1012" s="59" t="str">
        <f>IF(B1012="","",IFERROR(INDEX(pr_unit,MATCH(B1012,pr_code,0))&amp;"",""))</f>
        <v/>
      </c>
      <c r="J1012" s="65" t="str">
        <f>IF(COUNTA(A1012:G1012)=0,"",IF(E1012&lt;&gt;"",E1012,IF(B1012="","",IFERROR(IF(INDEX(pr_price,MATCH(B1012,pr_code,0))="","",INDEX(pr_price,MATCH(B1012,pr_code,0))),""))))</f>
        <v/>
      </c>
      <c r="K1012" s="71" t="str">
        <f>IF(COUNTA(A1012:G1012)=0,"",IF(G1012&lt;&gt;"",G1012,IF(B1012="","",IFERROR(IF(INDEX(pr_rate,MATCH(B1012,pr_code,0))="","",INDEX(pr_rate,MATCH(B1012,pr_code,0))),""))))</f>
        <v/>
      </c>
      <c r="L1012" s="65" t="str">
        <f>IF(COUNTA(A1012:G1012)=0,"",IF(AND(ISNUMBER(D1012),ISNUMBER(J1012)),ROUND(D1012*J1012*(1-N(F1012)),2),0))</f>
        <v/>
      </c>
      <c r="M1012" s="62" t="str">
        <f>IF(A1012="","",IFERROR(INDEX(dv_cname,MATCH(A1012,dv_num,0))&amp;"",""))</f>
        <v/>
      </c>
      <c r="N1012" s="59" t="str">
        <f>IF(COUNTA(A1012:G1012)=0,"",IF(A1012="","N° devis manquant",IF(ISNA(MATCH(A1012,dv_num,0)),"Devis inconnu",IF(AND(B1012&lt;&gt;"",ISNA(MATCH(B1012,pr_code,0))),"Article inconnu",IF(H1012="","Désignation manquante",IF(OR(NOT(ISNUMBER(D1012)),N(D1012)&lt;=0),"Quantité invalide",IF(J1012="","Prix manquant",IF(OR(NOT(ISNUMBER(J1012)),N(J1012)&lt;0),"Prix invalide",IF(OR(AND(F1012&lt;&gt;"",NOT(ISNUMBER(F1012))),N(F1012)&lt;0,N(F1012)&gt;1),"Remise invalide",IF(K1012="","Taux de TVA manquant",IF(NOT(ISNUMBER(K1012)),"Taux de TVA invalide",IF(COUNTIF(p_rates,K1012)=0,"Taux de TVA hors liste (Paramètres)",IF(N(O1012)&gt;25,"Au-delà de 25 lignes : non imprimée","OK")))))))))))))</f>
        <v/>
      </c>
      <c r="O1012" s="59" t="str">
        <f>IF(A1012="","",COUNTIF($A$6:A1012,A1012))</f>
        <v/>
      </c>
      <c r="P1012" s="62" t="str">
        <f>IF(A1012="","",A1012&amp;"|"&amp;O1012)</f>
        <v/>
      </c>
    </row>
    <row r="1013">
      <c r="A1013" s="60" t="n"/>
      <c r="B1013" s="63" t="n"/>
      <c r="C1013" s="63" t="n"/>
      <c r="D1013" s="67" t="n"/>
      <c r="E1013" s="68" t="n"/>
      <c r="F1013" s="69" t="n"/>
      <c r="G1013" s="70" t="n"/>
      <c r="H1013" s="62" t="str">
        <f>IF(COUNTA(A1013:G1013)=0,"",IF(C1013&lt;&gt;"",C1013,IF(B1013="","",IFERROR(INDEX(pr_des,MATCH(B1013,pr_code,0))&amp;"",""))))</f>
        <v/>
      </c>
      <c r="I1013" s="59" t="str">
        <f>IF(B1013="","",IFERROR(INDEX(pr_unit,MATCH(B1013,pr_code,0))&amp;"",""))</f>
        <v/>
      </c>
      <c r="J1013" s="65" t="str">
        <f>IF(COUNTA(A1013:G1013)=0,"",IF(E1013&lt;&gt;"",E1013,IF(B1013="","",IFERROR(IF(INDEX(pr_price,MATCH(B1013,pr_code,0))="","",INDEX(pr_price,MATCH(B1013,pr_code,0))),""))))</f>
        <v/>
      </c>
      <c r="K1013" s="71" t="str">
        <f>IF(COUNTA(A1013:G1013)=0,"",IF(G1013&lt;&gt;"",G1013,IF(B1013="","",IFERROR(IF(INDEX(pr_rate,MATCH(B1013,pr_code,0))="","",INDEX(pr_rate,MATCH(B1013,pr_code,0))),""))))</f>
        <v/>
      </c>
      <c r="L1013" s="65" t="str">
        <f>IF(COUNTA(A1013:G1013)=0,"",IF(AND(ISNUMBER(D1013),ISNUMBER(J1013)),ROUND(D1013*J1013*(1-N(F1013)),2),0))</f>
        <v/>
      </c>
      <c r="M1013" s="62" t="str">
        <f>IF(A1013="","",IFERROR(INDEX(dv_cname,MATCH(A1013,dv_num,0))&amp;"",""))</f>
        <v/>
      </c>
      <c r="N1013" s="59" t="str">
        <f>IF(COUNTA(A1013:G1013)=0,"",IF(A1013="","N° devis manquant",IF(ISNA(MATCH(A1013,dv_num,0)),"Devis inconnu",IF(AND(B1013&lt;&gt;"",ISNA(MATCH(B1013,pr_code,0))),"Article inconnu",IF(H1013="","Désignation manquante",IF(OR(NOT(ISNUMBER(D1013)),N(D1013)&lt;=0),"Quantité invalide",IF(J1013="","Prix manquant",IF(OR(NOT(ISNUMBER(J1013)),N(J1013)&lt;0),"Prix invalide",IF(OR(AND(F1013&lt;&gt;"",NOT(ISNUMBER(F1013))),N(F1013)&lt;0,N(F1013)&gt;1),"Remise invalide",IF(K1013="","Taux de TVA manquant",IF(NOT(ISNUMBER(K1013)),"Taux de TVA invalide",IF(COUNTIF(p_rates,K1013)=0,"Taux de TVA hors liste (Paramètres)",IF(N(O1013)&gt;25,"Au-delà de 25 lignes : non imprimée","OK")))))))))))))</f>
        <v/>
      </c>
      <c r="O1013" s="59" t="str">
        <f>IF(A1013="","",COUNTIF($A$6:A1013,A1013))</f>
        <v/>
      </c>
      <c r="P1013" s="62" t="str">
        <f>IF(A1013="","",A1013&amp;"|"&amp;O1013)</f>
        <v/>
      </c>
    </row>
    <row r="1014">
      <c r="A1014" s="60" t="n"/>
      <c r="B1014" s="63" t="n"/>
      <c r="C1014" s="63" t="n"/>
      <c r="D1014" s="67" t="n"/>
      <c r="E1014" s="68" t="n"/>
      <c r="F1014" s="69" t="n"/>
      <c r="G1014" s="70" t="n"/>
      <c r="H1014" s="62" t="str">
        <f>IF(COUNTA(A1014:G1014)=0,"",IF(C1014&lt;&gt;"",C1014,IF(B1014="","",IFERROR(INDEX(pr_des,MATCH(B1014,pr_code,0))&amp;"",""))))</f>
        <v/>
      </c>
      <c r="I1014" s="59" t="str">
        <f>IF(B1014="","",IFERROR(INDEX(pr_unit,MATCH(B1014,pr_code,0))&amp;"",""))</f>
        <v/>
      </c>
      <c r="J1014" s="65" t="str">
        <f>IF(COUNTA(A1014:G1014)=0,"",IF(E1014&lt;&gt;"",E1014,IF(B1014="","",IFERROR(IF(INDEX(pr_price,MATCH(B1014,pr_code,0))="","",INDEX(pr_price,MATCH(B1014,pr_code,0))),""))))</f>
        <v/>
      </c>
      <c r="K1014" s="71" t="str">
        <f>IF(COUNTA(A1014:G1014)=0,"",IF(G1014&lt;&gt;"",G1014,IF(B1014="","",IFERROR(IF(INDEX(pr_rate,MATCH(B1014,pr_code,0))="","",INDEX(pr_rate,MATCH(B1014,pr_code,0))),""))))</f>
        <v/>
      </c>
      <c r="L1014" s="65" t="str">
        <f>IF(COUNTA(A1014:G1014)=0,"",IF(AND(ISNUMBER(D1014),ISNUMBER(J1014)),ROUND(D1014*J1014*(1-N(F1014)),2),0))</f>
        <v/>
      </c>
      <c r="M1014" s="62" t="str">
        <f>IF(A1014="","",IFERROR(INDEX(dv_cname,MATCH(A1014,dv_num,0))&amp;"",""))</f>
        <v/>
      </c>
      <c r="N1014" s="59" t="str">
        <f>IF(COUNTA(A1014:G1014)=0,"",IF(A1014="","N° devis manquant",IF(ISNA(MATCH(A1014,dv_num,0)),"Devis inconnu",IF(AND(B1014&lt;&gt;"",ISNA(MATCH(B1014,pr_code,0))),"Article inconnu",IF(H1014="","Désignation manquante",IF(OR(NOT(ISNUMBER(D1014)),N(D1014)&lt;=0),"Quantité invalide",IF(J1014="","Prix manquant",IF(OR(NOT(ISNUMBER(J1014)),N(J1014)&lt;0),"Prix invalide",IF(OR(AND(F1014&lt;&gt;"",NOT(ISNUMBER(F1014))),N(F1014)&lt;0,N(F1014)&gt;1),"Remise invalide",IF(K1014="","Taux de TVA manquant",IF(NOT(ISNUMBER(K1014)),"Taux de TVA invalide",IF(COUNTIF(p_rates,K1014)=0,"Taux de TVA hors liste (Paramètres)",IF(N(O1014)&gt;25,"Au-delà de 25 lignes : non imprimée","OK")))))))))))))</f>
        <v/>
      </c>
      <c r="O1014" s="59" t="str">
        <f>IF(A1014="","",COUNTIF($A$6:A1014,A1014))</f>
        <v/>
      </c>
      <c r="P1014" s="62" t="str">
        <f>IF(A1014="","",A1014&amp;"|"&amp;O1014)</f>
        <v/>
      </c>
    </row>
    <row r="1015">
      <c r="A1015" s="60" t="n"/>
      <c r="B1015" s="63" t="n"/>
      <c r="C1015" s="63" t="n"/>
      <c r="D1015" s="67" t="n"/>
      <c r="E1015" s="68" t="n"/>
      <c r="F1015" s="69" t="n"/>
      <c r="G1015" s="70" t="n"/>
      <c r="H1015" s="62" t="str">
        <f>IF(COUNTA(A1015:G1015)=0,"",IF(C1015&lt;&gt;"",C1015,IF(B1015="","",IFERROR(INDEX(pr_des,MATCH(B1015,pr_code,0))&amp;"",""))))</f>
        <v/>
      </c>
      <c r="I1015" s="59" t="str">
        <f>IF(B1015="","",IFERROR(INDEX(pr_unit,MATCH(B1015,pr_code,0))&amp;"",""))</f>
        <v/>
      </c>
      <c r="J1015" s="65" t="str">
        <f>IF(COUNTA(A1015:G1015)=0,"",IF(E1015&lt;&gt;"",E1015,IF(B1015="","",IFERROR(IF(INDEX(pr_price,MATCH(B1015,pr_code,0))="","",INDEX(pr_price,MATCH(B1015,pr_code,0))),""))))</f>
        <v/>
      </c>
      <c r="K1015" s="71" t="str">
        <f>IF(COUNTA(A1015:G1015)=0,"",IF(G1015&lt;&gt;"",G1015,IF(B1015="","",IFERROR(IF(INDEX(pr_rate,MATCH(B1015,pr_code,0))="","",INDEX(pr_rate,MATCH(B1015,pr_code,0))),""))))</f>
        <v/>
      </c>
      <c r="L1015" s="65" t="str">
        <f>IF(COUNTA(A1015:G1015)=0,"",IF(AND(ISNUMBER(D1015),ISNUMBER(J1015)),ROUND(D1015*J1015*(1-N(F1015)),2),0))</f>
        <v/>
      </c>
      <c r="M1015" s="62" t="str">
        <f>IF(A1015="","",IFERROR(INDEX(dv_cname,MATCH(A1015,dv_num,0))&amp;"",""))</f>
        <v/>
      </c>
      <c r="N1015" s="59" t="str">
        <f>IF(COUNTA(A1015:G1015)=0,"",IF(A1015="","N° devis manquant",IF(ISNA(MATCH(A1015,dv_num,0)),"Devis inconnu",IF(AND(B1015&lt;&gt;"",ISNA(MATCH(B1015,pr_code,0))),"Article inconnu",IF(H1015="","Désignation manquante",IF(OR(NOT(ISNUMBER(D1015)),N(D1015)&lt;=0),"Quantité invalide",IF(J1015="","Prix manquant",IF(OR(NOT(ISNUMBER(J1015)),N(J1015)&lt;0),"Prix invalide",IF(OR(AND(F1015&lt;&gt;"",NOT(ISNUMBER(F1015))),N(F1015)&lt;0,N(F1015)&gt;1),"Remise invalide",IF(K1015="","Taux de TVA manquant",IF(NOT(ISNUMBER(K1015)),"Taux de TVA invalide",IF(COUNTIF(p_rates,K1015)=0,"Taux de TVA hors liste (Paramètres)",IF(N(O1015)&gt;25,"Au-delà de 25 lignes : non imprimée","OK")))))))))))))</f>
        <v/>
      </c>
      <c r="O1015" s="59" t="str">
        <f>IF(A1015="","",COUNTIF($A$6:A1015,A1015))</f>
        <v/>
      </c>
      <c r="P1015" s="62" t="str">
        <f>IF(A1015="","",A1015&amp;"|"&amp;O1015)</f>
        <v/>
      </c>
    </row>
    <row r="1016">
      <c r="A1016" s="60" t="n"/>
      <c r="B1016" s="63" t="n"/>
      <c r="C1016" s="63" t="n"/>
      <c r="D1016" s="67" t="n"/>
      <c r="E1016" s="68" t="n"/>
      <c r="F1016" s="69" t="n"/>
      <c r="G1016" s="70" t="n"/>
      <c r="H1016" s="62" t="str">
        <f>IF(COUNTA(A1016:G1016)=0,"",IF(C1016&lt;&gt;"",C1016,IF(B1016="","",IFERROR(INDEX(pr_des,MATCH(B1016,pr_code,0))&amp;"",""))))</f>
        <v/>
      </c>
      <c r="I1016" s="59" t="str">
        <f>IF(B1016="","",IFERROR(INDEX(pr_unit,MATCH(B1016,pr_code,0))&amp;"",""))</f>
        <v/>
      </c>
      <c r="J1016" s="65" t="str">
        <f>IF(COUNTA(A1016:G1016)=0,"",IF(E1016&lt;&gt;"",E1016,IF(B1016="","",IFERROR(IF(INDEX(pr_price,MATCH(B1016,pr_code,0))="","",INDEX(pr_price,MATCH(B1016,pr_code,0))),""))))</f>
        <v/>
      </c>
      <c r="K1016" s="71" t="str">
        <f>IF(COUNTA(A1016:G1016)=0,"",IF(G1016&lt;&gt;"",G1016,IF(B1016="","",IFERROR(IF(INDEX(pr_rate,MATCH(B1016,pr_code,0))="","",INDEX(pr_rate,MATCH(B1016,pr_code,0))),""))))</f>
        <v/>
      </c>
      <c r="L1016" s="65" t="str">
        <f>IF(COUNTA(A1016:G1016)=0,"",IF(AND(ISNUMBER(D1016),ISNUMBER(J1016)),ROUND(D1016*J1016*(1-N(F1016)),2),0))</f>
        <v/>
      </c>
      <c r="M1016" s="62" t="str">
        <f>IF(A1016="","",IFERROR(INDEX(dv_cname,MATCH(A1016,dv_num,0))&amp;"",""))</f>
        <v/>
      </c>
      <c r="N1016" s="59" t="str">
        <f>IF(COUNTA(A1016:G1016)=0,"",IF(A1016="","N° devis manquant",IF(ISNA(MATCH(A1016,dv_num,0)),"Devis inconnu",IF(AND(B1016&lt;&gt;"",ISNA(MATCH(B1016,pr_code,0))),"Article inconnu",IF(H1016="","Désignation manquante",IF(OR(NOT(ISNUMBER(D1016)),N(D1016)&lt;=0),"Quantité invalide",IF(J1016="","Prix manquant",IF(OR(NOT(ISNUMBER(J1016)),N(J1016)&lt;0),"Prix invalide",IF(OR(AND(F1016&lt;&gt;"",NOT(ISNUMBER(F1016))),N(F1016)&lt;0,N(F1016)&gt;1),"Remise invalide",IF(K1016="","Taux de TVA manquant",IF(NOT(ISNUMBER(K1016)),"Taux de TVA invalide",IF(COUNTIF(p_rates,K1016)=0,"Taux de TVA hors liste (Paramètres)",IF(N(O1016)&gt;25,"Au-delà de 25 lignes : non imprimée","OK")))))))))))))</f>
        <v/>
      </c>
      <c r="O1016" s="59" t="str">
        <f>IF(A1016="","",COUNTIF($A$6:A1016,A1016))</f>
        <v/>
      </c>
      <c r="P1016" s="62" t="str">
        <f>IF(A1016="","",A1016&amp;"|"&amp;O1016)</f>
        <v/>
      </c>
    </row>
    <row r="1017">
      <c r="A1017" s="60" t="n"/>
      <c r="B1017" s="63" t="n"/>
      <c r="C1017" s="63" t="n"/>
      <c r="D1017" s="67" t="n"/>
      <c r="E1017" s="68" t="n"/>
      <c r="F1017" s="69" t="n"/>
      <c r="G1017" s="70" t="n"/>
      <c r="H1017" s="62" t="str">
        <f>IF(COUNTA(A1017:G1017)=0,"",IF(C1017&lt;&gt;"",C1017,IF(B1017="","",IFERROR(INDEX(pr_des,MATCH(B1017,pr_code,0))&amp;"",""))))</f>
        <v/>
      </c>
      <c r="I1017" s="59" t="str">
        <f>IF(B1017="","",IFERROR(INDEX(pr_unit,MATCH(B1017,pr_code,0))&amp;"",""))</f>
        <v/>
      </c>
      <c r="J1017" s="65" t="str">
        <f>IF(COUNTA(A1017:G1017)=0,"",IF(E1017&lt;&gt;"",E1017,IF(B1017="","",IFERROR(IF(INDEX(pr_price,MATCH(B1017,pr_code,0))="","",INDEX(pr_price,MATCH(B1017,pr_code,0))),""))))</f>
        <v/>
      </c>
      <c r="K1017" s="71" t="str">
        <f>IF(COUNTA(A1017:G1017)=0,"",IF(G1017&lt;&gt;"",G1017,IF(B1017="","",IFERROR(IF(INDEX(pr_rate,MATCH(B1017,pr_code,0))="","",INDEX(pr_rate,MATCH(B1017,pr_code,0))),""))))</f>
        <v/>
      </c>
      <c r="L1017" s="65" t="str">
        <f>IF(COUNTA(A1017:G1017)=0,"",IF(AND(ISNUMBER(D1017),ISNUMBER(J1017)),ROUND(D1017*J1017*(1-N(F1017)),2),0))</f>
        <v/>
      </c>
      <c r="M1017" s="62" t="str">
        <f>IF(A1017="","",IFERROR(INDEX(dv_cname,MATCH(A1017,dv_num,0))&amp;"",""))</f>
        <v/>
      </c>
      <c r="N1017" s="59" t="str">
        <f>IF(COUNTA(A1017:G1017)=0,"",IF(A1017="","N° devis manquant",IF(ISNA(MATCH(A1017,dv_num,0)),"Devis inconnu",IF(AND(B1017&lt;&gt;"",ISNA(MATCH(B1017,pr_code,0))),"Article inconnu",IF(H1017="","Désignation manquante",IF(OR(NOT(ISNUMBER(D1017)),N(D1017)&lt;=0),"Quantité invalide",IF(J1017="","Prix manquant",IF(OR(NOT(ISNUMBER(J1017)),N(J1017)&lt;0),"Prix invalide",IF(OR(AND(F1017&lt;&gt;"",NOT(ISNUMBER(F1017))),N(F1017)&lt;0,N(F1017)&gt;1),"Remise invalide",IF(K1017="","Taux de TVA manquant",IF(NOT(ISNUMBER(K1017)),"Taux de TVA invalide",IF(COUNTIF(p_rates,K1017)=0,"Taux de TVA hors liste (Paramètres)",IF(N(O1017)&gt;25,"Au-delà de 25 lignes : non imprimée","OK")))))))))))))</f>
        <v/>
      </c>
      <c r="O1017" s="59" t="str">
        <f>IF(A1017="","",COUNTIF($A$6:A1017,A1017))</f>
        <v/>
      </c>
      <c r="P1017" s="62" t="str">
        <f>IF(A1017="","",A1017&amp;"|"&amp;O1017)</f>
        <v/>
      </c>
    </row>
    <row r="1018">
      <c r="A1018" s="60" t="n"/>
      <c r="B1018" s="63" t="n"/>
      <c r="C1018" s="63" t="n"/>
      <c r="D1018" s="67" t="n"/>
      <c r="E1018" s="68" t="n"/>
      <c r="F1018" s="69" t="n"/>
      <c r="G1018" s="70" t="n"/>
      <c r="H1018" s="62" t="str">
        <f>IF(COUNTA(A1018:G1018)=0,"",IF(C1018&lt;&gt;"",C1018,IF(B1018="","",IFERROR(INDEX(pr_des,MATCH(B1018,pr_code,0))&amp;"",""))))</f>
        <v/>
      </c>
      <c r="I1018" s="59" t="str">
        <f>IF(B1018="","",IFERROR(INDEX(pr_unit,MATCH(B1018,pr_code,0))&amp;"",""))</f>
        <v/>
      </c>
      <c r="J1018" s="65" t="str">
        <f>IF(COUNTA(A1018:G1018)=0,"",IF(E1018&lt;&gt;"",E1018,IF(B1018="","",IFERROR(IF(INDEX(pr_price,MATCH(B1018,pr_code,0))="","",INDEX(pr_price,MATCH(B1018,pr_code,0))),""))))</f>
        <v/>
      </c>
      <c r="K1018" s="71" t="str">
        <f>IF(COUNTA(A1018:G1018)=0,"",IF(G1018&lt;&gt;"",G1018,IF(B1018="","",IFERROR(IF(INDEX(pr_rate,MATCH(B1018,pr_code,0))="","",INDEX(pr_rate,MATCH(B1018,pr_code,0))),""))))</f>
        <v/>
      </c>
      <c r="L1018" s="65" t="str">
        <f>IF(COUNTA(A1018:G1018)=0,"",IF(AND(ISNUMBER(D1018),ISNUMBER(J1018)),ROUND(D1018*J1018*(1-N(F1018)),2),0))</f>
        <v/>
      </c>
      <c r="M1018" s="62" t="str">
        <f>IF(A1018="","",IFERROR(INDEX(dv_cname,MATCH(A1018,dv_num,0))&amp;"",""))</f>
        <v/>
      </c>
      <c r="N1018" s="59" t="str">
        <f>IF(COUNTA(A1018:G1018)=0,"",IF(A1018="","N° devis manquant",IF(ISNA(MATCH(A1018,dv_num,0)),"Devis inconnu",IF(AND(B1018&lt;&gt;"",ISNA(MATCH(B1018,pr_code,0))),"Article inconnu",IF(H1018="","Désignation manquante",IF(OR(NOT(ISNUMBER(D1018)),N(D1018)&lt;=0),"Quantité invalide",IF(J1018="","Prix manquant",IF(OR(NOT(ISNUMBER(J1018)),N(J1018)&lt;0),"Prix invalide",IF(OR(AND(F1018&lt;&gt;"",NOT(ISNUMBER(F1018))),N(F1018)&lt;0,N(F1018)&gt;1),"Remise invalide",IF(K1018="","Taux de TVA manquant",IF(NOT(ISNUMBER(K1018)),"Taux de TVA invalide",IF(COUNTIF(p_rates,K1018)=0,"Taux de TVA hors liste (Paramètres)",IF(N(O1018)&gt;25,"Au-delà de 25 lignes : non imprimée","OK")))))))))))))</f>
        <v/>
      </c>
      <c r="O1018" s="59" t="str">
        <f>IF(A1018="","",COUNTIF($A$6:A1018,A1018))</f>
        <v/>
      </c>
      <c r="P1018" s="62" t="str">
        <f>IF(A1018="","",A1018&amp;"|"&amp;O1018)</f>
        <v/>
      </c>
    </row>
    <row r="1019">
      <c r="A1019" s="60" t="n"/>
      <c r="B1019" s="63" t="n"/>
      <c r="C1019" s="63" t="n"/>
      <c r="D1019" s="67" t="n"/>
      <c r="E1019" s="68" t="n"/>
      <c r="F1019" s="69" t="n"/>
      <c r="G1019" s="70" t="n"/>
      <c r="H1019" s="62" t="str">
        <f>IF(COUNTA(A1019:G1019)=0,"",IF(C1019&lt;&gt;"",C1019,IF(B1019="","",IFERROR(INDEX(pr_des,MATCH(B1019,pr_code,0))&amp;"",""))))</f>
        <v/>
      </c>
      <c r="I1019" s="59" t="str">
        <f>IF(B1019="","",IFERROR(INDEX(pr_unit,MATCH(B1019,pr_code,0))&amp;"",""))</f>
        <v/>
      </c>
      <c r="J1019" s="65" t="str">
        <f>IF(COUNTA(A1019:G1019)=0,"",IF(E1019&lt;&gt;"",E1019,IF(B1019="","",IFERROR(IF(INDEX(pr_price,MATCH(B1019,pr_code,0))="","",INDEX(pr_price,MATCH(B1019,pr_code,0))),""))))</f>
        <v/>
      </c>
      <c r="K1019" s="71" t="str">
        <f>IF(COUNTA(A1019:G1019)=0,"",IF(G1019&lt;&gt;"",G1019,IF(B1019="","",IFERROR(IF(INDEX(pr_rate,MATCH(B1019,pr_code,0))="","",INDEX(pr_rate,MATCH(B1019,pr_code,0))),""))))</f>
        <v/>
      </c>
      <c r="L1019" s="65" t="str">
        <f>IF(COUNTA(A1019:G1019)=0,"",IF(AND(ISNUMBER(D1019),ISNUMBER(J1019)),ROUND(D1019*J1019*(1-N(F1019)),2),0))</f>
        <v/>
      </c>
      <c r="M1019" s="62" t="str">
        <f>IF(A1019="","",IFERROR(INDEX(dv_cname,MATCH(A1019,dv_num,0))&amp;"",""))</f>
        <v/>
      </c>
      <c r="N1019" s="59" t="str">
        <f>IF(COUNTA(A1019:G1019)=0,"",IF(A1019="","N° devis manquant",IF(ISNA(MATCH(A1019,dv_num,0)),"Devis inconnu",IF(AND(B1019&lt;&gt;"",ISNA(MATCH(B1019,pr_code,0))),"Article inconnu",IF(H1019="","Désignation manquante",IF(OR(NOT(ISNUMBER(D1019)),N(D1019)&lt;=0),"Quantité invalide",IF(J1019="","Prix manquant",IF(OR(NOT(ISNUMBER(J1019)),N(J1019)&lt;0),"Prix invalide",IF(OR(AND(F1019&lt;&gt;"",NOT(ISNUMBER(F1019))),N(F1019)&lt;0,N(F1019)&gt;1),"Remise invalide",IF(K1019="","Taux de TVA manquant",IF(NOT(ISNUMBER(K1019)),"Taux de TVA invalide",IF(COUNTIF(p_rates,K1019)=0,"Taux de TVA hors liste (Paramètres)",IF(N(O1019)&gt;25,"Au-delà de 25 lignes : non imprimée","OK")))))))))))))</f>
        <v/>
      </c>
      <c r="O1019" s="59" t="str">
        <f>IF(A1019="","",COUNTIF($A$6:A1019,A1019))</f>
        <v/>
      </c>
      <c r="P1019" s="62" t="str">
        <f>IF(A1019="","",A1019&amp;"|"&amp;O1019)</f>
        <v/>
      </c>
    </row>
    <row r="1020">
      <c r="A1020" s="60" t="n"/>
      <c r="B1020" s="63" t="n"/>
      <c r="C1020" s="63" t="n"/>
      <c r="D1020" s="67" t="n"/>
      <c r="E1020" s="68" t="n"/>
      <c r="F1020" s="69" t="n"/>
      <c r="G1020" s="70" t="n"/>
      <c r="H1020" s="62" t="str">
        <f>IF(COUNTA(A1020:G1020)=0,"",IF(C1020&lt;&gt;"",C1020,IF(B1020="","",IFERROR(INDEX(pr_des,MATCH(B1020,pr_code,0))&amp;"",""))))</f>
        <v/>
      </c>
      <c r="I1020" s="59" t="str">
        <f>IF(B1020="","",IFERROR(INDEX(pr_unit,MATCH(B1020,pr_code,0))&amp;"",""))</f>
        <v/>
      </c>
      <c r="J1020" s="65" t="str">
        <f>IF(COUNTA(A1020:G1020)=0,"",IF(E1020&lt;&gt;"",E1020,IF(B1020="","",IFERROR(IF(INDEX(pr_price,MATCH(B1020,pr_code,0))="","",INDEX(pr_price,MATCH(B1020,pr_code,0))),""))))</f>
        <v/>
      </c>
      <c r="K1020" s="71" t="str">
        <f>IF(COUNTA(A1020:G1020)=0,"",IF(G1020&lt;&gt;"",G1020,IF(B1020="","",IFERROR(IF(INDEX(pr_rate,MATCH(B1020,pr_code,0))="","",INDEX(pr_rate,MATCH(B1020,pr_code,0))),""))))</f>
        <v/>
      </c>
      <c r="L1020" s="65" t="str">
        <f>IF(COUNTA(A1020:G1020)=0,"",IF(AND(ISNUMBER(D1020),ISNUMBER(J1020)),ROUND(D1020*J1020*(1-N(F1020)),2),0))</f>
        <v/>
      </c>
      <c r="M1020" s="62" t="str">
        <f>IF(A1020="","",IFERROR(INDEX(dv_cname,MATCH(A1020,dv_num,0))&amp;"",""))</f>
        <v/>
      </c>
      <c r="N1020" s="59" t="str">
        <f>IF(COUNTA(A1020:G1020)=0,"",IF(A1020="","N° devis manquant",IF(ISNA(MATCH(A1020,dv_num,0)),"Devis inconnu",IF(AND(B1020&lt;&gt;"",ISNA(MATCH(B1020,pr_code,0))),"Article inconnu",IF(H1020="","Désignation manquante",IF(OR(NOT(ISNUMBER(D1020)),N(D1020)&lt;=0),"Quantité invalide",IF(J1020="","Prix manquant",IF(OR(NOT(ISNUMBER(J1020)),N(J1020)&lt;0),"Prix invalide",IF(OR(AND(F1020&lt;&gt;"",NOT(ISNUMBER(F1020))),N(F1020)&lt;0,N(F1020)&gt;1),"Remise invalide",IF(K1020="","Taux de TVA manquant",IF(NOT(ISNUMBER(K1020)),"Taux de TVA invalide",IF(COUNTIF(p_rates,K1020)=0,"Taux de TVA hors liste (Paramètres)",IF(N(O1020)&gt;25,"Au-delà de 25 lignes : non imprimée","OK")))))))))))))</f>
        <v/>
      </c>
      <c r="O1020" s="59" t="str">
        <f>IF(A1020="","",COUNTIF($A$6:A1020,A1020))</f>
        <v/>
      </c>
      <c r="P1020" s="62" t="str">
        <f>IF(A1020="","",A1020&amp;"|"&amp;O1020)</f>
        <v/>
      </c>
    </row>
    <row r="1021">
      <c r="A1021" s="60" t="n"/>
      <c r="B1021" s="63" t="n"/>
      <c r="C1021" s="63" t="n"/>
      <c r="D1021" s="67" t="n"/>
      <c r="E1021" s="68" t="n"/>
      <c r="F1021" s="69" t="n"/>
      <c r="G1021" s="70" t="n"/>
      <c r="H1021" s="62" t="str">
        <f>IF(COUNTA(A1021:G1021)=0,"",IF(C1021&lt;&gt;"",C1021,IF(B1021="","",IFERROR(INDEX(pr_des,MATCH(B1021,pr_code,0))&amp;"",""))))</f>
        <v/>
      </c>
      <c r="I1021" s="59" t="str">
        <f>IF(B1021="","",IFERROR(INDEX(pr_unit,MATCH(B1021,pr_code,0))&amp;"",""))</f>
        <v/>
      </c>
      <c r="J1021" s="65" t="str">
        <f>IF(COUNTA(A1021:G1021)=0,"",IF(E1021&lt;&gt;"",E1021,IF(B1021="","",IFERROR(IF(INDEX(pr_price,MATCH(B1021,pr_code,0))="","",INDEX(pr_price,MATCH(B1021,pr_code,0))),""))))</f>
        <v/>
      </c>
      <c r="K1021" s="71" t="str">
        <f>IF(COUNTA(A1021:G1021)=0,"",IF(G1021&lt;&gt;"",G1021,IF(B1021="","",IFERROR(IF(INDEX(pr_rate,MATCH(B1021,pr_code,0))="","",INDEX(pr_rate,MATCH(B1021,pr_code,0))),""))))</f>
        <v/>
      </c>
      <c r="L1021" s="65" t="str">
        <f>IF(COUNTA(A1021:G1021)=0,"",IF(AND(ISNUMBER(D1021),ISNUMBER(J1021)),ROUND(D1021*J1021*(1-N(F1021)),2),0))</f>
        <v/>
      </c>
      <c r="M1021" s="62" t="str">
        <f>IF(A1021="","",IFERROR(INDEX(dv_cname,MATCH(A1021,dv_num,0))&amp;"",""))</f>
        <v/>
      </c>
      <c r="N1021" s="59" t="str">
        <f>IF(COUNTA(A1021:G1021)=0,"",IF(A1021="","N° devis manquant",IF(ISNA(MATCH(A1021,dv_num,0)),"Devis inconnu",IF(AND(B1021&lt;&gt;"",ISNA(MATCH(B1021,pr_code,0))),"Article inconnu",IF(H1021="","Désignation manquante",IF(OR(NOT(ISNUMBER(D1021)),N(D1021)&lt;=0),"Quantité invalide",IF(J1021="","Prix manquant",IF(OR(NOT(ISNUMBER(J1021)),N(J1021)&lt;0),"Prix invalide",IF(OR(AND(F1021&lt;&gt;"",NOT(ISNUMBER(F1021))),N(F1021)&lt;0,N(F1021)&gt;1),"Remise invalide",IF(K1021="","Taux de TVA manquant",IF(NOT(ISNUMBER(K1021)),"Taux de TVA invalide",IF(COUNTIF(p_rates,K1021)=0,"Taux de TVA hors liste (Paramètres)",IF(N(O1021)&gt;25,"Au-delà de 25 lignes : non imprimée","OK")))))))))))))</f>
        <v/>
      </c>
      <c r="O1021" s="59" t="str">
        <f>IF(A1021="","",COUNTIF($A$6:A1021,A1021))</f>
        <v/>
      </c>
      <c r="P1021" s="62" t="str">
        <f>IF(A1021="","",A1021&amp;"|"&amp;O1021)</f>
        <v/>
      </c>
    </row>
    <row r="1022">
      <c r="A1022" s="60" t="n"/>
      <c r="B1022" s="63" t="n"/>
      <c r="C1022" s="63" t="n"/>
      <c r="D1022" s="67" t="n"/>
      <c r="E1022" s="68" t="n"/>
      <c r="F1022" s="69" t="n"/>
      <c r="G1022" s="70" t="n"/>
      <c r="H1022" s="62" t="str">
        <f>IF(COUNTA(A1022:G1022)=0,"",IF(C1022&lt;&gt;"",C1022,IF(B1022="","",IFERROR(INDEX(pr_des,MATCH(B1022,pr_code,0))&amp;"",""))))</f>
        <v/>
      </c>
      <c r="I1022" s="59" t="str">
        <f>IF(B1022="","",IFERROR(INDEX(pr_unit,MATCH(B1022,pr_code,0))&amp;"",""))</f>
        <v/>
      </c>
      <c r="J1022" s="65" t="str">
        <f>IF(COUNTA(A1022:G1022)=0,"",IF(E1022&lt;&gt;"",E1022,IF(B1022="","",IFERROR(IF(INDEX(pr_price,MATCH(B1022,pr_code,0))="","",INDEX(pr_price,MATCH(B1022,pr_code,0))),""))))</f>
        <v/>
      </c>
      <c r="K1022" s="71" t="str">
        <f>IF(COUNTA(A1022:G1022)=0,"",IF(G1022&lt;&gt;"",G1022,IF(B1022="","",IFERROR(IF(INDEX(pr_rate,MATCH(B1022,pr_code,0))="","",INDEX(pr_rate,MATCH(B1022,pr_code,0))),""))))</f>
        <v/>
      </c>
      <c r="L1022" s="65" t="str">
        <f>IF(COUNTA(A1022:G1022)=0,"",IF(AND(ISNUMBER(D1022),ISNUMBER(J1022)),ROUND(D1022*J1022*(1-N(F1022)),2),0))</f>
        <v/>
      </c>
      <c r="M1022" s="62" t="str">
        <f>IF(A1022="","",IFERROR(INDEX(dv_cname,MATCH(A1022,dv_num,0))&amp;"",""))</f>
        <v/>
      </c>
      <c r="N1022" s="59" t="str">
        <f>IF(COUNTA(A1022:G1022)=0,"",IF(A1022="","N° devis manquant",IF(ISNA(MATCH(A1022,dv_num,0)),"Devis inconnu",IF(AND(B1022&lt;&gt;"",ISNA(MATCH(B1022,pr_code,0))),"Article inconnu",IF(H1022="","Désignation manquante",IF(OR(NOT(ISNUMBER(D1022)),N(D1022)&lt;=0),"Quantité invalide",IF(J1022="","Prix manquant",IF(OR(NOT(ISNUMBER(J1022)),N(J1022)&lt;0),"Prix invalide",IF(OR(AND(F1022&lt;&gt;"",NOT(ISNUMBER(F1022))),N(F1022)&lt;0,N(F1022)&gt;1),"Remise invalide",IF(K1022="","Taux de TVA manquant",IF(NOT(ISNUMBER(K1022)),"Taux de TVA invalide",IF(COUNTIF(p_rates,K1022)=0,"Taux de TVA hors liste (Paramètres)",IF(N(O1022)&gt;25,"Au-delà de 25 lignes : non imprimée","OK")))))))))))))</f>
        <v/>
      </c>
      <c r="O1022" s="59" t="str">
        <f>IF(A1022="","",COUNTIF($A$6:A1022,A1022))</f>
        <v/>
      </c>
      <c r="P1022" s="62" t="str">
        <f>IF(A1022="","",A1022&amp;"|"&amp;O1022)</f>
        <v/>
      </c>
    </row>
    <row r="1023">
      <c r="A1023" s="60" t="n"/>
      <c r="B1023" s="63" t="n"/>
      <c r="C1023" s="63" t="n"/>
      <c r="D1023" s="67" t="n"/>
      <c r="E1023" s="68" t="n"/>
      <c r="F1023" s="69" t="n"/>
      <c r="G1023" s="70" t="n"/>
      <c r="H1023" s="62" t="str">
        <f>IF(COUNTA(A1023:G1023)=0,"",IF(C1023&lt;&gt;"",C1023,IF(B1023="","",IFERROR(INDEX(pr_des,MATCH(B1023,pr_code,0))&amp;"",""))))</f>
        <v/>
      </c>
      <c r="I1023" s="59" t="str">
        <f>IF(B1023="","",IFERROR(INDEX(pr_unit,MATCH(B1023,pr_code,0))&amp;"",""))</f>
        <v/>
      </c>
      <c r="J1023" s="65" t="str">
        <f>IF(COUNTA(A1023:G1023)=0,"",IF(E1023&lt;&gt;"",E1023,IF(B1023="","",IFERROR(IF(INDEX(pr_price,MATCH(B1023,pr_code,0))="","",INDEX(pr_price,MATCH(B1023,pr_code,0))),""))))</f>
        <v/>
      </c>
      <c r="K1023" s="71" t="str">
        <f>IF(COUNTA(A1023:G1023)=0,"",IF(G1023&lt;&gt;"",G1023,IF(B1023="","",IFERROR(IF(INDEX(pr_rate,MATCH(B1023,pr_code,0))="","",INDEX(pr_rate,MATCH(B1023,pr_code,0))),""))))</f>
        <v/>
      </c>
      <c r="L1023" s="65" t="str">
        <f>IF(COUNTA(A1023:G1023)=0,"",IF(AND(ISNUMBER(D1023),ISNUMBER(J1023)),ROUND(D1023*J1023*(1-N(F1023)),2),0))</f>
        <v/>
      </c>
      <c r="M1023" s="62" t="str">
        <f>IF(A1023="","",IFERROR(INDEX(dv_cname,MATCH(A1023,dv_num,0))&amp;"",""))</f>
        <v/>
      </c>
      <c r="N1023" s="59" t="str">
        <f>IF(COUNTA(A1023:G1023)=0,"",IF(A1023="","N° devis manquant",IF(ISNA(MATCH(A1023,dv_num,0)),"Devis inconnu",IF(AND(B1023&lt;&gt;"",ISNA(MATCH(B1023,pr_code,0))),"Article inconnu",IF(H1023="","Désignation manquante",IF(OR(NOT(ISNUMBER(D1023)),N(D1023)&lt;=0),"Quantité invalide",IF(J1023="","Prix manquant",IF(OR(NOT(ISNUMBER(J1023)),N(J1023)&lt;0),"Prix invalide",IF(OR(AND(F1023&lt;&gt;"",NOT(ISNUMBER(F1023))),N(F1023)&lt;0,N(F1023)&gt;1),"Remise invalide",IF(K1023="","Taux de TVA manquant",IF(NOT(ISNUMBER(K1023)),"Taux de TVA invalide",IF(COUNTIF(p_rates,K1023)=0,"Taux de TVA hors liste (Paramètres)",IF(N(O1023)&gt;25,"Au-delà de 25 lignes : non imprimée","OK")))))))))))))</f>
        <v/>
      </c>
      <c r="O1023" s="59" t="str">
        <f>IF(A1023="","",COUNTIF($A$6:A1023,A1023))</f>
        <v/>
      </c>
      <c r="P1023" s="62" t="str">
        <f>IF(A1023="","",A1023&amp;"|"&amp;O1023)</f>
        <v/>
      </c>
    </row>
    <row r="1024">
      <c r="A1024" s="60" t="n"/>
      <c r="B1024" s="63" t="n"/>
      <c r="C1024" s="63" t="n"/>
      <c r="D1024" s="67" t="n"/>
      <c r="E1024" s="68" t="n"/>
      <c r="F1024" s="69" t="n"/>
      <c r="G1024" s="70" t="n"/>
      <c r="H1024" s="62" t="str">
        <f>IF(COUNTA(A1024:G1024)=0,"",IF(C1024&lt;&gt;"",C1024,IF(B1024="","",IFERROR(INDEX(pr_des,MATCH(B1024,pr_code,0))&amp;"",""))))</f>
        <v/>
      </c>
      <c r="I1024" s="59" t="str">
        <f>IF(B1024="","",IFERROR(INDEX(pr_unit,MATCH(B1024,pr_code,0))&amp;"",""))</f>
        <v/>
      </c>
      <c r="J1024" s="65" t="str">
        <f>IF(COUNTA(A1024:G1024)=0,"",IF(E1024&lt;&gt;"",E1024,IF(B1024="","",IFERROR(IF(INDEX(pr_price,MATCH(B1024,pr_code,0))="","",INDEX(pr_price,MATCH(B1024,pr_code,0))),""))))</f>
        <v/>
      </c>
      <c r="K1024" s="71" t="str">
        <f>IF(COUNTA(A1024:G1024)=0,"",IF(G1024&lt;&gt;"",G1024,IF(B1024="","",IFERROR(IF(INDEX(pr_rate,MATCH(B1024,pr_code,0))="","",INDEX(pr_rate,MATCH(B1024,pr_code,0))),""))))</f>
        <v/>
      </c>
      <c r="L1024" s="65" t="str">
        <f>IF(COUNTA(A1024:G1024)=0,"",IF(AND(ISNUMBER(D1024),ISNUMBER(J1024)),ROUND(D1024*J1024*(1-N(F1024)),2),0))</f>
        <v/>
      </c>
      <c r="M1024" s="62" t="str">
        <f>IF(A1024="","",IFERROR(INDEX(dv_cname,MATCH(A1024,dv_num,0))&amp;"",""))</f>
        <v/>
      </c>
      <c r="N1024" s="59" t="str">
        <f>IF(COUNTA(A1024:G1024)=0,"",IF(A1024="","N° devis manquant",IF(ISNA(MATCH(A1024,dv_num,0)),"Devis inconnu",IF(AND(B1024&lt;&gt;"",ISNA(MATCH(B1024,pr_code,0))),"Article inconnu",IF(H1024="","Désignation manquante",IF(OR(NOT(ISNUMBER(D1024)),N(D1024)&lt;=0),"Quantité invalide",IF(J1024="","Prix manquant",IF(OR(NOT(ISNUMBER(J1024)),N(J1024)&lt;0),"Prix invalide",IF(OR(AND(F1024&lt;&gt;"",NOT(ISNUMBER(F1024))),N(F1024)&lt;0,N(F1024)&gt;1),"Remise invalide",IF(K1024="","Taux de TVA manquant",IF(NOT(ISNUMBER(K1024)),"Taux de TVA invalide",IF(COUNTIF(p_rates,K1024)=0,"Taux de TVA hors liste (Paramètres)",IF(N(O1024)&gt;25,"Au-delà de 25 lignes : non imprimée","OK")))))))))))))</f>
        <v/>
      </c>
      <c r="O1024" s="59" t="str">
        <f>IF(A1024="","",COUNTIF($A$6:A1024,A1024))</f>
        <v/>
      </c>
      <c r="P1024" s="62" t="str">
        <f>IF(A1024="","",A1024&amp;"|"&amp;O1024)</f>
        <v/>
      </c>
    </row>
    <row r="1025">
      <c r="A1025" s="60" t="n"/>
      <c r="B1025" s="63" t="n"/>
      <c r="C1025" s="63" t="n"/>
      <c r="D1025" s="67" t="n"/>
      <c r="E1025" s="68" t="n"/>
      <c r="F1025" s="69" t="n"/>
      <c r="G1025" s="70" t="n"/>
      <c r="H1025" s="62" t="str">
        <f>IF(COUNTA(A1025:G1025)=0,"",IF(C1025&lt;&gt;"",C1025,IF(B1025="","",IFERROR(INDEX(pr_des,MATCH(B1025,pr_code,0))&amp;"",""))))</f>
        <v/>
      </c>
      <c r="I1025" s="59" t="str">
        <f>IF(B1025="","",IFERROR(INDEX(pr_unit,MATCH(B1025,pr_code,0))&amp;"",""))</f>
        <v/>
      </c>
      <c r="J1025" s="65" t="str">
        <f>IF(COUNTA(A1025:G1025)=0,"",IF(E1025&lt;&gt;"",E1025,IF(B1025="","",IFERROR(IF(INDEX(pr_price,MATCH(B1025,pr_code,0))="","",INDEX(pr_price,MATCH(B1025,pr_code,0))),""))))</f>
        <v/>
      </c>
      <c r="K1025" s="71" t="str">
        <f>IF(COUNTA(A1025:G1025)=0,"",IF(G1025&lt;&gt;"",G1025,IF(B1025="","",IFERROR(IF(INDEX(pr_rate,MATCH(B1025,pr_code,0))="","",INDEX(pr_rate,MATCH(B1025,pr_code,0))),""))))</f>
        <v/>
      </c>
      <c r="L1025" s="65" t="str">
        <f>IF(COUNTA(A1025:G1025)=0,"",IF(AND(ISNUMBER(D1025),ISNUMBER(J1025)),ROUND(D1025*J1025*(1-N(F1025)),2),0))</f>
        <v/>
      </c>
      <c r="M1025" s="62" t="str">
        <f>IF(A1025="","",IFERROR(INDEX(dv_cname,MATCH(A1025,dv_num,0))&amp;"",""))</f>
        <v/>
      </c>
      <c r="N1025" s="59" t="str">
        <f>IF(COUNTA(A1025:G1025)=0,"",IF(A1025="","N° devis manquant",IF(ISNA(MATCH(A1025,dv_num,0)),"Devis inconnu",IF(AND(B1025&lt;&gt;"",ISNA(MATCH(B1025,pr_code,0))),"Article inconnu",IF(H1025="","Désignation manquante",IF(OR(NOT(ISNUMBER(D1025)),N(D1025)&lt;=0),"Quantité invalide",IF(J1025="","Prix manquant",IF(OR(NOT(ISNUMBER(J1025)),N(J1025)&lt;0),"Prix invalide",IF(OR(AND(F1025&lt;&gt;"",NOT(ISNUMBER(F1025))),N(F1025)&lt;0,N(F1025)&gt;1),"Remise invalide",IF(K1025="","Taux de TVA manquant",IF(NOT(ISNUMBER(K1025)),"Taux de TVA invalide",IF(COUNTIF(p_rates,K1025)=0,"Taux de TVA hors liste (Paramètres)",IF(N(O1025)&gt;25,"Au-delà de 25 lignes : non imprimée","OK")))))))))))))</f>
        <v/>
      </c>
      <c r="O1025" s="59" t="str">
        <f>IF(A1025="","",COUNTIF($A$6:A1025,A1025))</f>
        <v/>
      </c>
      <c r="P1025" s="62" t="str">
        <f>IF(A1025="","",A1025&amp;"|"&amp;O1025)</f>
        <v/>
      </c>
    </row>
    <row r="1026">
      <c r="A1026" s="60" t="n"/>
      <c r="B1026" s="63" t="n"/>
      <c r="C1026" s="63" t="n"/>
      <c r="D1026" s="67" t="n"/>
      <c r="E1026" s="68" t="n"/>
      <c r="F1026" s="69" t="n"/>
      <c r="G1026" s="70" t="n"/>
      <c r="H1026" s="62" t="str">
        <f>IF(COUNTA(A1026:G1026)=0,"",IF(C1026&lt;&gt;"",C1026,IF(B1026="","",IFERROR(INDEX(pr_des,MATCH(B1026,pr_code,0))&amp;"",""))))</f>
        <v/>
      </c>
      <c r="I1026" s="59" t="str">
        <f>IF(B1026="","",IFERROR(INDEX(pr_unit,MATCH(B1026,pr_code,0))&amp;"",""))</f>
        <v/>
      </c>
      <c r="J1026" s="65" t="str">
        <f>IF(COUNTA(A1026:G1026)=0,"",IF(E1026&lt;&gt;"",E1026,IF(B1026="","",IFERROR(IF(INDEX(pr_price,MATCH(B1026,pr_code,0))="","",INDEX(pr_price,MATCH(B1026,pr_code,0))),""))))</f>
        <v/>
      </c>
      <c r="K1026" s="71" t="str">
        <f>IF(COUNTA(A1026:G1026)=0,"",IF(G1026&lt;&gt;"",G1026,IF(B1026="","",IFERROR(IF(INDEX(pr_rate,MATCH(B1026,pr_code,0))="","",INDEX(pr_rate,MATCH(B1026,pr_code,0))),""))))</f>
        <v/>
      </c>
      <c r="L1026" s="65" t="str">
        <f>IF(COUNTA(A1026:G1026)=0,"",IF(AND(ISNUMBER(D1026),ISNUMBER(J1026)),ROUND(D1026*J1026*(1-N(F1026)),2),0))</f>
        <v/>
      </c>
      <c r="M1026" s="62" t="str">
        <f>IF(A1026="","",IFERROR(INDEX(dv_cname,MATCH(A1026,dv_num,0))&amp;"",""))</f>
        <v/>
      </c>
      <c r="N1026" s="59" t="str">
        <f>IF(COUNTA(A1026:G1026)=0,"",IF(A1026="","N° devis manquant",IF(ISNA(MATCH(A1026,dv_num,0)),"Devis inconnu",IF(AND(B1026&lt;&gt;"",ISNA(MATCH(B1026,pr_code,0))),"Article inconnu",IF(H1026="","Désignation manquante",IF(OR(NOT(ISNUMBER(D1026)),N(D1026)&lt;=0),"Quantité invalide",IF(J1026="","Prix manquant",IF(OR(NOT(ISNUMBER(J1026)),N(J1026)&lt;0),"Prix invalide",IF(OR(AND(F1026&lt;&gt;"",NOT(ISNUMBER(F1026))),N(F1026)&lt;0,N(F1026)&gt;1),"Remise invalide",IF(K1026="","Taux de TVA manquant",IF(NOT(ISNUMBER(K1026)),"Taux de TVA invalide",IF(COUNTIF(p_rates,K1026)=0,"Taux de TVA hors liste (Paramètres)",IF(N(O1026)&gt;25,"Au-delà de 25 lignes : non imprimée","OK")))))))))))))</f>
        <v/>
      </c>
      <c r="O1026" s="59" t="str">
        <f>IF(A1026="","",COUNTIF($A$6:A1026,A1026))</f>
        <v/>
      </c>
      <c r="P1026" s="62" t="str">
        <f>IF(A1026="","",A1026&amp;"|"&amp;O1026)</f>
        <v/>
      </c>
    </row>
    <row r="1027">
      <c r="A1027" s="60" t="n"/>
      <c r="B1027" s="63" t="n"/>
      <c r="C1027" s="63" t="n"/>
      <c r="D1027" s="67" t="n"/>
      <c r="E1027" s="68" t="n"/>
      <c r="F1027" s="69" t="n"/>
      <c r="G1027" s="70" t="n"/>
      <c r="H1027" s="62" t="str">
        <f>IF(COUNTA(A1027:G1027)=0,"",IF(C1027&lt;&gt;"",C1027,IF(B1027="","",IFERROR(INDEX(pr_des,MATCH(B1027,pr_code,0))&amp;"",""))))</f>
        <v/>
      </c>
      <c r="I1027" s="59" t="str">
        <f>IF(B1027="","",IFERROR(INDEX(pr_unit,MATCH(B1027,pr_code,0))&amp;"",""))</f>
        <v/>
      </c>
      <c r="J1027" s="65" t="str">
        <f>IF(COUNTA(A1027:G1027)=0,"",IF(E1027&lt;&gt;"",E1027,IF(B1027="","",IFERROR(IF(INDEX(pr_price,MATCH(B1027,pr_code,0))="","",INDEX(pr_price,MATCH(B1027,pr_code,0))),""))))</f>
        <v/>
      </c>
      <c r="K1027" s="71" t="str">
        <f>IF(COUNTA(A1027:G1027)=0,"",IF(G1027&lt;&gt;"",G1027,IF(B1027="","",IFERROR(IF(INDEX(pr_rate,MATCH(B1027,pr_code,0))="","",INDEX(pr_rate,MATCH(B1027,pr_code,0))),""))))</f>
        <v/>
      </c>
      <c r="L1027" s="65" t="str">
        <f>IF(COUNTA(A1027:G1027)=0,"",IF(AND(ISNUMBER(D1027),ISNUMBER(J1027)),ROUND(D1027*J1027*(1-N(F1027)),2),0))</f>
        <v/>
      </c>
      <c r="M1027" s="62" t="str">
        <f>IF(A1027="","",IFERROR(INDEX(dv_cname,MATCH(A1027,dv_num,0))&amp;"",""))</f>
        <v/>
      </c>
      <c r="N1027" s="59" t="str">
        <f>IF(COUNTA(A1027:G1027)=0,"",IF(A1027="","N° devis manquant",IF(ISNA(MATCH(A1027,dv_num,0)),"Devis inconnu",IF(AND(B1027&lt;&gt;"",ISNA(MATCH(B1027,pr_code,0))),"Article inconnu",IF(H1027="","Désignation manquante",IF(OR(NOT(ISNUMBER(D1027)),N(D1027)&lt;=0),"Quantité invalide",IF(J1027="","Prix manquant",IF(OR(NOT(ISNUMBER(J1027)),N(J1027)&lt;0),"Prix invalide",IF(OR(AND(F1027&lt;&gt;"",NOT(ISNUMBER(F1027))),N(F1027)&lt;0,N(F1027)&gt;1),"Remise invalide",IF(K1027="","Taux de TVA manquant",IF(NOT(ISNUMBER(K1027)),"Taux de TVA invalide",IF(COUNTIF(p_rates,K1027)=0,"Taux de TVA hors liste (Paramètres)",IF(N(O1027)&gt;25,"Au-delà de 25 lignes : non imprimée","OK")))))))))))))</f>
        <v/>
      </c>
      <c r="O1027" s="59" t="str">
        <f>IF(A1027="","",COUNTIF($A$6:A1027,A1027))</f>
        <v/>
      </c>
      <c r="P1027" s="62" t="str">
        <f>IF(A1027="","",A1027&amp;"|"&amp;O1027)</f>
        <v/>
      </c>
    </row>
    <row r="1028">
      <c r="A1028" s="60" t="n"/>
      <c r="B1028" s="63" t="n"/>
      <c r="C1028" s="63" t="n"/>
      <c r="D1028" s="67" t="n"/>
      <c r="E1028" s="68" t="n"/>
      <c r="F1028" s="69" t="n"/>
      <c r="G1028" s="70" t="n"/>
      <c r="H1028" s="62" t="str">
        <f>IF(COUNTA(A1028:G1028)=0,"",IF(C1028&lt;&gt;"",C1028,IF(B1028="","",IFERROR(INDEX(pr_des,MATCH(B1028,pr_code,0))&amp;"",""))))</f>
        <v/>
      </c>
      <c r="I1028" s="59" t="str">
        <f>IF(B1028="","",IFERROR(INDEX(pr_unit,MATCH(B1028,pr_code,0))&amp;"",""))</f>
        <v/>
      </c>
      <c r="J1028" s="65" t="str">
        <f>IF(COUNTA(A1028:G1028)=0,"",IF(E1028&lt;&gt;"",E1028,IF(B1028="","",IFERROR(IF(INDEX(pr_price,MATCH(B1028,pr_code,0))="","",INDEX(pr_price,MATCH(B1028,pr_code,0))),""))))</f>
        <v/>
      </c>
      <c r="K1028" s="71" t="str">
        <f>IF(COUNTA(A1028:G1028)=0,"",IF(G1028&lt;&gt;"",G1028,IF(B1028="","",IFERROR(IF(INDEX(pr_rate,MATCH(B1028,pr_code,0))="","",INDEX(pr_rate,MATCH(B1028,pr_code,0))),""))))</f>
        <v/>
      </c>
      <c r="L1028" s="65" t="str">
        <f>IF(COUNTA(A1028:G1028)=0,"",IF(AND(ISNUMBER(D1028),ISNUMBER(J1028)),ROUND(D1028*J1028*(1-N(F1028)),2),0))</f>
        <v/>
      </c>
      <c r="M1028" s="62" t="str">
        <f>IF(A1028="","",IFERROR(INDEX(dv_cname,MATCH(A1028,dv_num,0))&amp;"",""))</f>
        <v/>
      </c>
      <c r="N1028" s="59" t="str">
        <f>IF(COUNTA(A1028:G1028)=0,"",IF(A1028="","N° devis manquant",IF(ISNA(MATCH(A1028,dv_num,0)),"Devis inconnu",IF(AND(B1028&lt;&gt;"",ISNA(MATCH(B1028,pr_code,0))),"Article inconnu",IF(H1028="","Désignation manquante",IF(OR(NOT(ISNUMBER(D1028)),N(D1028)&lt;=0),"Quantité invalide",IF(J1028="","Prix manquant",IF(OR(NOT(ISNUMBER(J1028)),N(J1028)&lt;0),"Prix invalide",IF(OR(AND(F1028&lt;&gt;"",NOT(ISNUMBER(F1028))),N(F1028)&lt;0,N(F1028)&gt;1),"Remise invalide",IF(K1028="","Taux de TVA manquant",IF(NOT(ISNUMBER(K1028)),"Taux de TVA invalide",IF(COUNTIF(p_rates,K1028)=0,"Taux de TVA hors liste (Paramètres)",IF(N(O1028)&gt;25,"Au-delà de 25 lignes : non imprimée","OK")))))))))))))</f>
        <v/>
      </c>
      <c r="O1028" s="59" t="str">
        <f>IF(A1028="","",COUNTIF($A$6:A1028,A1028))</f>
        <v/>
      </c>
      <c r="P1028" s="62" t="str">
        <f>IF(A1028="","",A1028&amp;"|"&amp;O1028)</f>
        <v/>
      </c>
    </row>
    <row r="1029">
      <c r="A1029" s="60" t="n"/>
      <c r="B1029" s="63" t="n"/>
      <c r="C1029" s="63" t="n"/>
      <c r="D1029" s="67" t="n"/>
      <c r="E1029" s="68" t="n"/>
      <c r="F1029" s="69" t="n"/>
      <c r="G1029" s="70" t="n"/>
      <c r="H1029" s="62" t="str">
        <f>IF(COUNTA(A1029:G1029)=0,"",IF(C1029&lt;&gt;"",C1029,IF(B1029="","",IFERROR(INDEX(pr_des,MATCH(B1029,pr_code,0))&amp;"",""))))</f>
        <v/>
      </c>
      <c r="I1029" s="59" t="str">
        <f>IF(B1029="","",IFERROR(INDEX(pr_unit,MATCH(B1029,pr_code,0))&amp;"",""))</f>
        <v/>
      </c>
      <c r="J1029" s="65" t="str">
        <f>IF(COUNTA(A1029:G1029)=0,"",IF(E1029&lt;&gt;"",E1029,IF(B1029="","",IFERROR(IF(INDEX(pr_price,MATCH(B1029,pr_code,0))="","",INDEX(pr_price,MATCH(B1029,pr_code,0))),""))))</f>
        <v/>
      </c>
      <c r="K1029" s="71" t="str">
        <f>IF(COUNTA(A1029:G1029)=0,"",IF(G1029&lt;&gt;"",G1029,IF(B1029="","",IFERROR(IF(INDEX(pr_rate,MATCH(B1029,pr_code,0))="","",INDEX(pr_rate,MATCH(B1029,pr_code,0))),""))))</f>
        <v/>
      </c>
      <c r="L1029" s="65" t="str">
        <f>IF(COUNTA(A1029:G1029)=0,"",IF(AND(ISNUMBER(D1029),ISNUMBER(J1029)),ROUND(D1029*J1029*(1-N(F1029)),2),0))</f>
        <v/>
      </c>
      <c r="M1029" s="62" t="str">
        <f>IF(A1029="","",IFERROR(INDEX(dv_cname,MATCH(A1029,dv_num,0))&amp;"",""))</f>
        <v/>
      </c>
      <c r="N1029" s="59" t="str">
        <f>IF(COUNTA(A1029:G1029)=0,"",IF(A1029="","N° devis manquant",IF(ISNA(MATCH(A1029,dv_num,0)),"Devis inconnu",IF(AND(B1029&lt;&gt;"",ISNA(MATCH(B1029,pr_code,0))),"Article inconnu",IF(H1029="","Désignation manquante",IF(OR(NOT(ISNUMBER(D1029)),N(D1029)&lt;=0),"Quantité invalide",IF(J1029="","Prix manquant",IF(OR(NOT(ISNUMBER(J1029)),N(J1029)&lt;0),"Prix invalide",IF(OR(AND(F1029&lt;&gt;"",NOT(ISNUMBER(F1029))),N(F1029)&lt;0,N(F1029)&gt;1),"Remise invalide",IF(K1029="","Taux de TVA manquant",IF(NOT(ISNUMBER(K1029)),"Taux de TVA invalide",IF(COUNTIF(p_rates,K1029)=0,"Taux de TVA hors liste (Paramètres)",IF(N(O1029)&gt;25,"Au-delà de 25 lignes : non imprimée","OK")))))))))))))</f>
        <v/>
      </c>
      <c r="O1029" s="59" t="str">
        <f>IF(A1029="","",COUNTIF($A$6:A1029,A1029))</f>
        <v/>
      </c>
      <c r="P1029" s="62" t="str">
        <f>IF(A1029="","",A1029&amp;"|"&amp;O1029)</f>
        <v/>
      </c>
    </row>
    <row r="1030">
      <c r="A1030" s="60" t="n"/>
      <c r="B1030" s="63" t="n"/>
      <c r="C1030" s="63" t="n"/>
      <c r="D1030" s="67" t="n"/>
      <c r="E1030" s="68" t="n"/>
      <c r="F1030" s="69" t="n"/>
      <c r="G1030" s="70" t="n"/>
      <c r="H1030" s="62" t="str">
        <f>IF(COUNTA(A1030:G1030)=0,"",IF(C1030&lt;&gt;"",C1030,IF(B1030="","",IFERROR(INDEX(pr_des,MATCH(B1030,pr_code,0))&amp;"",""))))</f>
        <v/>
      </c>
      <c r="I1030" s="59" t="str">
        <f>IF(B1030="","",IFERROR(INDEX(pr_unit,MATCH(B1030,pr_code,0))&amp;"",""))</f>
        <v/>
      </c>
      <c r="J1030" s="65" t="str">
        <f>IF(COUNTA(A1030:G1030)=0,"",IF(E1030&lt;&gt;"",E1030,IF(B1030="","",IFERROR(IF(INDEX(pr_price,MATCH(B1030,pr_code,0))="","",INDEX(pr_price,MATCH(B1030,pr_code,0))),""))))</f>
        <v/>
      </c>
      <c r="K1030" s="71" t="str">
        <f>IF(COUNTA(A1030:G1030)=0,"",IF(G1030&lt;&gt;"",G1030,IF(B1030="","",IFERROR(IF(INDEX(pr_rate,MATCH(B1030,pr_code,0))="","",INDEX(pr_rate,MATCH(B1030,pr_code,0))),""))))</f>
        <v/>
      </c>
      <c r="L1030" s="65" t="str">
        <f>IF(COUNTA(A1030:G1030)=0,"",IF(AND(ISNUMBER(D1030),ISNUMBER(J1030)),ROUND(D1030*J1030*(1-N(F1030)),2),0))</f>
        <v/>
      </c>
      <c r="M1030" s="62" t="str">
        <f>IF(A1030="","",IFERROR(INDEX(dv_cname,MATCH(A1030,dv_num,0))&amp;"",""))</f>
        <v/>
      </c>
      <c r="N1030" s="59" t="str">
        <f>IF(COUNTA(A1030:G1030)=0,"",IF(A1030="","N° devis manquant",IF(ISNA(MATCH(A1030,dv_num,0)),"Devis inconnu",IF(AND(B1030&lt;&gt;"",ISNA(MATCH(B1030,pr_code,0))),"Article inconnu",IF(H1030="","Désignation manquante",IF(OR(NOT(ISNUMBER(D1030)),N(D1030)&lt;=0),"Quantité invalide",IF(J1030="","Prix manquant",IF(OR(NOT(ISNUMBER(J1030)),N(J1030)&lt;0),"Prix invalide",IF(OR(AND(F1030&lt;&gt;"",NOT(ISNUMBER(F1030))),N(F1030)&lt;0,N(F1030)&gt;1),"Remise invalide",IF(K1030="","Taux de TVA manquant",IF(NOT(ISNUMBER(K1030)),"Taux de TVA invalide",IF(COUNTIF(p_rates,K1030)=0,"Taux de TVA hors liste (Paramètres)",IF(N(O1030)&gt;25,"Au-delà de 25 lignes : non imprimée","OK")))))))))))))</f>
        <v/>
      </c>
      <c r="O1030" s="59" t="str">
        <f>IF(A1030="","",COUNTIF($A$6:A1030,A1030))</f>
        <v/>
      </c>
      <c r="P1030" s="62" t="str">
        <f>IF(A1030="","",A1030&amp;"|"&amp;O1030)</f>
        <v/>
      </c>
    </row>
    <row r="1031">
      <c r="A1031" s="60" t="n"/>
      <c r="B1031" s="63" t="n"/>
      <c r="C1031" s="63" t="n"/>
      <c r="D1031" s="67" t="n"/>
      <c r="E1031" s="68" t="n"/>
      <c r="F1031" s="69" t="n"/>
      <c r="G1031" s="70" t="n"/>
      <c r="H1031" s="62" t="str">
        <f>IF(COUNTA(A1031:G1031)=0,"",IF(C1031&lt;&gt;"",C1031,IF(B1031="","",IFERROR(INDEX(pr_des,MATCH(B1031,pr_code,0))&amp;"",""))))</f>
        <v/>
      </c>
      <c r="I1031" s="59" t="str">
        <f>IF(B1031="","",IFERROR(INDEX(pr_unit,MATCH(B1031,pr_code,0))&amp;"",""))</f>
        <v/>
      </c>
      <c r="J1031" s="65" t="str">
        <f>IF(COUNTA(A1031:G1031)=0,"",IF(E1031&lt;&gt;"",E1031,IF(B1031="","",IFERROR(IF(INDEX(pr_price,MATCH(B1031,pr_code,0))="","",INDEX(pr_price,MATCH(B1031,pr_code,0))),""))))</f>
        <v/>
      </c>
      <c r="K1031" s="71" t="str">
        <f>IF(COUNTA(A1031:G1031)=0,"",IF(G1031&lt;&gt;"",G1031,IF(B1031="","",IFERROR(IF(INDEX(pr_rate,MATCH(B1031,pr_code,0))="","",INDEX(pr_rate,MATCH(B1031,pr_code,0))),""))))</f>
        <v/>
      </c>
      <c r="L1031" s="65" t="str">
        <f>IF(COUNTA(A1031:G1031)=0,"",IF(AND(ISNUMBER(D1031),ISNUMBER(J1031)),ROUND(D1031*J1031*(1-N(F1031)),2),0))</f>
        <v/>
      </c>
      <c r="M1031" s="62" t="str">
        <f>IF(A1031="","",IFERROR(INDEX(dv_cname,MATCH(A1031,dv_num,0))&amp;"",""))</f>
        <v/>
      </c>
      <c r="N1031" s="59" t="str">
        <f>IF(COUNTA(A1031:G1031)=0,"",IF(A1031="","N° devis manquant",IF(ISNA(MATCH(A1031,dv_num,0)),"Devis inconnu",IF(AND(B1031&lt;&gt;"",ISNA(MATCH(B1031,pr_code,0))),"Article inconnu",IF(H1031="","Désignation manquante",IF(OR(NOT(ISNUMBER(D1031)),N(D1031)&lt;=0),"Quantité invalide",IF(J1031="","Prix manquant",IF(OR(NOT(ISNUMBER(J1031)),N(J1031)&lt;0),"Prix invalide",IF(OR(AND(F1031&lt;&gt;"",NOT(ISNUMBER(F1031))),N(F1031)&lt;0,N(F1031)&gt;1),"Remise invalide",IF(K1031="","Taux de TVA manquant",IF(NOT(ISNUMBER(K1031)),"Taux de TVA invalide",IF(COUNTIF(p_rates,K1031)=0,"Taux de TVA hors liste (Paramètres)",IF(N(O1031)&gt;25,"Au-delà de 25 lignes : non imprimée","OK")))))))))))))</f>
        <v/>
      </c>
      <c r="O1031" s="59" t="str">
        <f>IF(A1031="","",COUNTIF($A$6:A1031,A1031))</f>
        <v/>
      </c>
      <c r="P1031" s="62" t="str">
        <f>IF(A1031="","",A1031&amp;"|"&amp;O1031)</f>
        <v/>
      </c>
    </row>
    <row r="1032">
      <c r="A1032" s="60" t="n"/>
      <c r="B1032" s="63" t="n"/>
      <c r="C1032" s="63" t="n"/>
      <c r="D1032" s="67" t="n"/>
      <c r="E1032" s="68" t="n"/>
      <c r="F1032" s="69" t="n"/>
      <c r="G1032" s="70" t="n"/>
      <c r="H1032" s="62" t="str">
        <f>IF(COUNTA(A1032:G1032)=0,"",IF(C1032&lt;&gt;"",C1032,IF(B1032="","",IFERROR(INDEX(pr_des,MATCH(B1032,pr_code,0))&amp;"",""))))</f>
        <v/>
      </c>
      <c r="I1032" s="59" t="str">
        <f>IF(B1032="","",IFERROR(INDEX(pr_unit,MATCH(B1032,pr_code,0))&amp;"",""))</f>
        <v/>
      </c>
      <c r="J1032" s="65" t="str">
        <f>IF(COUNTA(A1032:G1032)=0,"",IF(E1032&lt;&gt;"",E1032,IF(B1032="","",IFERROR(IF(INDEX(pr_price,MATCH(B1032,pr_code,0))="","",INDEX(pr_price,MATCH(B1032,pr_code,0))),""))))</f>
        <v/>
      </c>
      <c r="K1032" s="71" t="str">
        <f>IF(COUNTA(A1032:G1032)=0,"",IF(G1032&lt;&gt;"",G1032,IF(B1032="","",IFERROR(IF(INDEX(pr_rate,MATCH(B1032,pr_code,0))="","",INDEX(pr_rate,MATCH(B1032,pr_code,0))),""))))</f>
        <v/>
      </c>
      <c r="L1032" s="65" t="str">
        <f>IF(COUNTA(A1032:G1032)=0,"",IF(AND(ISNUMBER(D1032),ISNUMBER(J1032)),ROUND(D1032*J1032*(1-N(F1032)),2),0))</f>
        <v/>
      </c>
      <c r="M1032" s="62" t="str">
        <f>IF(A1032="","",IFERROR(INDEX(dv_cname,MATCH(A1032,dv_num,0))&amp;"",""))</f>
        <v/>
      </c>
      <c r="N1032" s="59" t="str">
        <f>IF(COUNTA(A1032:G1032)=0,"",IF(A1032="","N° devis manquant",IF(ISNA(MATCH(A1032,dv_num,0)),"Devis inconnu",IF(AND(B1032&lt;&gt;"",ISNA(MATCH(B1032,pr_code,0))),"Article inconnu",IF(H1032="","Désignation manquante",IF(OR(NOT(ISNUMBER(D1032)),N(D1032)&lt;=0),"Quantité invalide",IF(J1032="","Prix manquant",IF(OR(NOT(ISNUMBER(J1032)),N(J1032)&lt;0),"Prix invalide",IF(OR(AND(F1032&lt;&gt;"",NOT(ISNUMBER(F1032))),N(F1032)&lt;0,N(F1032)&gt;1),"Remise invalide",IF(K1032="","Taux de TVA manquant",IF(NOT(ISNUMBER(K1032)),"Taux de TVA invalide",IF(COUNTIF(p_rates,K1032)=0,"Taux de TVA hors liste (Paramètres)",IF(N(O1032)&gt;25,"Au-delà de 25 lignes : non imprimée","OK")))))))))))))</f>
        <v/>
      </c>
      <c r="O1032" s="59" t="str">
        <f>IF(A1032="","",COUNTIF($A$6:A1032,A1032))</f>
        <v/>
      </c>
      <c r="P1032" s="62" t="str">
        <f>IF(A1032="","",A1032&amp;"|"&amp;O1032)</f>
        <v/>
      </c>
    </row>
    <row r="1033">
      <c r="A1033" s="60" t="n"/>
      <c r="B1033" s="63" t="n"/>
      <c r="C1033" s="63" t="n"/>
      <c r="D1033" s="67" t="n"/>
      <c r="E1033" s="68" t="n"/>
      <c r="F1033" s="69" t="n"/>
      <c r="G1033" s="70" t="n"/>
      <c r="H1033" s="62" t="str">
        <f>IF(COUNTA(A1033:G1033)=0,"",IF(C1033&lt;&gt;"",C1033,IF(B1033="","",IFERROR(INDEX(pr_des,MATCH(B1033,pr_code,0))&amp;"",""))))</f>
        <v/>
      </c>
      <c r="I1033" s="59" t="str">
        <f>IF(B1033="","",IFERROR(INDEX(pr_unit,MATCH(B1033,pr_code,0))&amp;"",""))</f>
        <v/>
      </c>
      <c r="J1033" s="65" t="str">
        <f>IF(COUNTA(A1033:G1033)=0,"",IF(E1033&lt;&gt;"",E1033,IF(B1033="","",IFERROR(IF(INDEX(pr_price,MATCH(B1033,pr_code,0))="","",INDEX(pr_price,MATCH(B1033,pr_code,0))),""))))</f>
        <v/>
      </c>
      <c r="K1033" s="71" t="str">
        <f>IF(COUNTA(A1033:G1033)=0,"",IF(G1033&lt;&gt;"",G1033,IF(B1033="","",IFERROR(IF(INDEX(pr_rate,MATCH(B1033,pr_code,0))="","",INDEX(pr_rate,MATCH(B1033,pr_code,0))),""))))</f>
        <v/>
      </c>
      <c r="L1033" s="65" t="str">
        <f>IF(COUNTA(A1033:G1033)=0,"",IF(AND(ISNUMBER(D1033),ISNUMBER(J1033)),ROUND(D1033*J1033*(1-N(F1033)),2),0))</f>
        <v/>
      </c>
      <c r="M1033" s="62" t="str">
        <f>IF(A1033="","",IFERROR(INDEX(dv_cname,MATCH(A1033,dv_num,0))&amp;"",""))</f>
        <v/>
      </c>
      <c r="N1033" s="59" t="str">
        <f>IF(COUNTA(A1033:G1033)=0,"",IF(A1033="","N° devis manquant",IF(ISNA(MATCH(A1033,dv_num,0)),"Devis inconnu",IF(AND(B1033&lt;&gt;"",ISNA(MATCH(B1033,pr_code,0))),"Article inconnu",IF(H1033="","Désignation manquante",IF(OR(NOT(ISNUMBER(D1033)),N(D1033)&lt;=0),"Quantité invalide",IF(J1033="","Prix manquant",IF(OR(NOT(ISNUMBER(J1033)),N(J1033)&lt;0),"Prix invalide",IF(OR(AND(F1033&lt;&gt;"",NOT(ISNUMBER(F1033))),N(F1033)&lt;0,N(F1033)&gt;1),"Remise invalide",IF(K1033="","Taux de TVA manquant",IF(NOT(ISNUMBER(K1033)),"Taux de TVA invalide",IF(COUNTIF(p_rates,K1033)=0,"Taux de TVA hors liste (Paramètres)",IF(N(O1033)&gt;25,"Au-delà de 25 lignes : non imprimée","OK")))))))))))))</f>
        <v/>
      </c>
      <c r="O1033" s="59" t="str">
        <f>IF(A1033="","",COUNTIF($A$6:A1033,A1033))</f>
        <v/>
      </c>
      <c r="P1033" s="62" t="str">
        <f>IF(A1033="","",A1033&amp;"|"&amp;O1033)</f>
        <v/>
      </c>
    </row>
    <row r="1034">
      <c r="A1034" s="60" t="n"/>
      <c r="B1034" s="63" t="n"/>
      <c r="C1034" s="63" t="n"/>
      <c r="D1034" s="67" t="n"/>
      <c r="E1034" s="68" t="n"/>
      <c r="F1034" s="69" t="n"/>
      <c r="G1034" s="70" t="n"/>
      <c r="H1034" s="62" t="str">
        <f>IF(COUNTA(A1034:G1034)=0,"",IF(C1034&lt;&gt;"",C1034,IF(B1034="","",IFERROR(INDEX(pr_des,MATCH(B1034,pr_code,0))&amp;"",""))))</f>
        <v/>
      </c>
      <c r="I1034" s="59" t="str">
        <f>IF(B1034="","",IFERROR(INDEX(pr_unit,MATCH(B1034,pr_code,0))&amp;"",""))</f>
        <v/>
      </c>
      <c r="J1034" s="65" t="str">
        <f>IF(COUNTA(A1034:G1034)=0,"",IF(E1034&lt;&gt;"",E1034,IF(B1034="","",IFERROR(IF(INDEX(pr_price,MATCH(B1034,pr_code,0))="","",INDEX(pr_price,MATCH(B1034,pr_code,0))),""))))</f>
        <v/>
      </c>
      <c r="K1034" s="71" t="str">
        <f>IF(COUNTA(A1034:G1034)=0,"",IF(G1034&lt;&gt;"",G1034,IF(B1034="","",IFERROR(IF(INDEX(pr_rate,MATCH(B1034,pr_code,0))="","",INDEX(pr_rate,MATCH(B1034,pr_code,0))),""))))</f>
        <v/>
      </c>
      <c r="L1034" s="65" t="str">
        <f>IF(COUNTA(A1034:G1034)=0,"",IF(AND(ISNUMBER(D1034),ISNUMBER(J1034)),ROUND(D1034*J1034*(1-N(F1034)),2),0))</f>
        <v/>
      </c>
      <c r="M1034" s="62" t="str">
        <f>IF(A1034="","",IFERROR(INDEX(dv_cname,MATCH(A1034,dv_num,0))&amp;"",""))</f>
        <v/>
      </c>
      <c r="N1034" s="59" t="str">
        <f>IF(COUNTA(A1034:G1034)=0,"",IF(A1034="","N° devis manquant",IF(ISNA(MATCH(A1034,dv_num,0)),"Devis inconnu",IF(AND(B1034&lt;&gt;"",ISNA(MATCH(B1034,pr_code,0))),"Article inconnu",IF(H1034="","Désignation manquante",IF(OR(NOT(ISNUMBER(D1034)),N(D1034)&lt;=0),"Quantité invalide",IF(J1034="","Prix manquant",IF(OR(NOT(ISNUMBER(J1034)),N(J1034)&lt;0),"Prix invalide",IF(OR(AND(F1034&lt;&gt;"",NOT(ISNUMBER(F1034))),N(F1034)&lt;0,N(F1034)&gt;1),"Remise invalide",IF(K1034="","Taux de TVA manquant",IF(NOT(ISNUMBER(K1034)),"Taux de TVA invalide",IF(COUNTIF(p_rates,K1034)=0,"Taux de TVA hors liste (Paramètres)",IF(N(O1034)&gt;25,"Au-delà de 25 lignes : non imprimée","OK")))))))))))))</f>
        <v/>
      </c>
      <c r="O1034" s="59" t="str">
        <f>IF(A1034="","",COUNTIF($A$6:A1034,A1034))</f>
        <v/>
      </c>
      <c r="P1034" s="62" t="str">
        <f>IF(A1034="","",A1034&amp;"|"&amp;O1034)</f>
        <v/>
      </c>
    </row>
    <row r="1035">
      <c r="A1035" s="60" t="n"/>
      <c r="B1035" s="63" t="n"/>
      <c r="C1035" s="63" t="n"/>
      <c r="D1035" s="67" t="n"/>
      <c r="E1035" s="68" t="n"/>
      <c r="F1035" s="69" t="n"/>
      <c r="G1035" s="70" t="n"/>
      <c r="H1035" s="62" t="str">
        <f>IF(COUNTA(A1035:G1035)=0,"",IF(C1035&lt;&gt;"",C1035,IF(B1035="","",IFERROR(INDEX(pr_des,MATCH(B1035,pr_code,0))&amp;"",""))))</f>
        <v/>
      </c>
      <c r="I1035" s="59" t="str">
        <f>IF(B1035="","",IFERROR(INDEX(pr_unit,MATCH(B1035,pr_code,0))&amp;"",""))</f>
        <v/>
      </c>
      <c r="J1035" s="65" t="str">
        <f>IF(COUNTA(A1035:G1035)=0,"",IF(E1035&lt;&gt;"",E1035,IF(B1035="","",IFERROR(IF(INDEX(pr_price,MATCH(B1035,pr_code,0))="","",INDEX(pr_price,MATCH(B1035,pr_code,0))),""))))</f>
        <v/>
      </c>
      <c r="K1035" s="71" t="str">
        <f>IF(COUNTA(A1035:G1035)=0,"",IF(G1035&lt;&gt;"",G1035,IF(B1035="","",IFERROR(IF(INDEX(pr_rate,MATCH(B1035,pr_code,0))="","",INDEX(pr_rate,MATCH(B1035,pr_code,0))),""))))</f>
        <v/>
      </c>
      <c r="L1035" s="65" t="str">
        <f>IF(COUNTA(A1035:G1035)=0,"",IF(AND(ISNUMBER(D1035),ISNUMBER(J1035)),ROUND(D1035*J1035*(1-N(F1035)),2),0))</f>
        <v/>
      </c>
      <c r="M1035" s="62" t="str">
        <f>IF(A1035="","",IFERROR(INDEX(dv_cname,MATCH(A1035,dv_num,0))&amp;"",""))</f>
        <v/>
      </c>
      <c r="N1035" s="59" t="str">
        <f>IF(COUNTA(A1035:G1035)=0,"",IF(A1035="","N° devis manquant",IF(ISNA(MATCH(A1035,dv_num,0)),"Devis inconnu",IF(AND(B1035&lt;&gt;"",ISNA(MATCH(B1035,pr_code,0))),"Article inconnu",IF(H1035="","Désignation manquante",IF(OR(NOT(ISNUMBER(D1035)),N(D1035)&lt;=0),"Quantité invalide",IF(J1035="","Prix manquant",IF(OR(NOT(ISNUMBER(J1035)),N(J1035)&lt;0),"Prix invalide",IF(OR(AND(F1035&lt;&gt;"",NOT(ISNUMBER(F1035))),N(F1035)&lt;0,N(F1035)&gt;1),"Remise invalide",IF(K1035="","Taux de TVA manquant",IF(NOT(ISNUMBER(K1035)),"Taux de TVA invalide",IF(COUNTIF(p_rates,K1035)=0,"Taux de TVA hors liste (Paramètres)",IF(N(O1035)&gt;25,"Au-delà de 25 lignes : non imprimée","OK")))))))))))))</f>
        <v/>
      </c>
      <c r="O1035" s="59" t="str">
        <f>IF(A1035="","",COUNTIF($A$6:A1035,A1035))</f>
        <v/>
      </c>
      <c r="P1035" s="62" t="str">
        <f>IF(A1035="","",A1035&amp;"|"&amp;O1035)</f>
        <v/>
      </c>
    </row>
    <row r="1036">
      <c r="A1036" s="60" t="n"/>
      <c r="B1036" s="63" t="n"/>
      <c r="C1036" s="63" t="n"/>
      <c r="D1036" s="67" t="n"/>
      <c r="E1036" s="68" t="n"/>
      <c r="F1036" s="69" t="n"/>
      <c r="G1036" s="70" t="n"/>
      <c r="H1036" s="62" t="str">
        <f>IF(COUNTA(A1036:G1036)=0,"",IF(C1036&lt;&gt;"",C1036,IF(B1036="","",IFERROR(INDEX(pr_des,MATCH(B1036,pr_code,0))&amp;"",""))))</f>
        <v/>
      </c>
      <c r="I1036" s="59" t="str">
        <f>IF(B1036="","",IFERROR(INDEX(pr_unit,MATCH(B1036,pr_code,0))&amp;"",""))</f>
        <v/>
      </c>
      <c r="J1036" s="65" t="str">
        <f>IF(COUNTA(A1036:G1036)=0,"",IF(E1036&lt;&gt;"",E1036,IF(B1036="","",IFERROR(IF(INDEX(pr_price,MATCH(B1036,pr_code,0))="","",INDEX(pr_price,MATCH(B1036,pr_code,0))),""))))</f>
        <v/>
      </c>
      <c r="K1036" s="71" t="str">
        <f>IF(COUNTA(A1036:G1036)=0,"",IF(G1036&lt;&gt;"",G1036,IF(B1036="","",IFERROR(IF(INDEX(pr_rate,MATCH(B1036,pr_code,0))="","",INDEX(pr_rate,MATCH(B1036,pr_code,0))),""))))</f>
        <v/>
      </c>
      <c r="L1036" s="65" t="str">
        <f>IF(COUNTA(A1036:G1036)=0,"",IF(AND(ISNUMBER(D1036),ISNUMBER(J1036)),ROUND(D1036*J1036*(1-N(F1036)),2),0))</f>
        <v/>
      </c>
      <c r="M1036" s="62" t="str">
        <f>IF(A1036="","",IFERROR(INDEX(dv_cname,MATCH(A1036,dv_num,0))&amp;"",""))</f>
        <v/>
      </c>
      <c r="N1036" s="59" t="str">
        <f>IF(COUNTA(A1036:G1036)=0,"",IF(A1036="","N° devis manquant",IF(ISNA(MATCH(A1036,dv_num,0)),"Devis inconnu",IF(AND(B1036&lt;&gt;"",ISNA(MATCH(B1036,pr_code,0))),"Article inconnu",IF(H1036="","Désignation manquante",IF(OR(NOT(ISNUMBER(D1036)),N(D1036)&lt;=0),"Quantité invalide",IF(J1036="","Prix manquant",IF(OR(NOT(ISNUMBER(J1036)),N(J1036)&lt;0),"Prix invalide",IF(OR(AND(F1036&lt;&gt;"",NOT(ISNUMBER(F1036))),N(F1036)&lt;0,N(F1036)&gt;1),"Remise invalide",IF(K1036="","Taux de TVA manquant",IF(NOT(ISNUMBER(K1036)),"Taux de TVA invalide",IF(COUNTIF(p_rates,K1036)=0,"Taux de TVA hors liste (Paramètres)",IF(N(O1036)&gt;25,"Au-delà de 25 lignes : non imprimée","OK")))))))))))))</f>
        <v/>
      </c>
      <c r="O1036" s="59" t="str">
        <f>IF(A1036="","",COUNTIF($A$6:A1036,A1036))</f>
        <v/>
      </c>
      <c r="P1036" s="62" t="str">
        <f>IF(A1036="","",A1036&amp;"|"&amp;O1036)</f>
        <v/>
      </c>
    </row>
    <row r="1037">
      <c r="A1037" s="60" t="n"/>
      <c r="B1037" s="63" t="n"/>
      <c r="C1037" s="63" t="n"/>
      <c r="D1037" s="67" t="n"/>
      <c r="E1037" s="68" t="n"/>
      <c r="F1037" s="69" t="n"/>
      <c r="G1037" s="70" t="n"/>
      <c r="H1037" s="62" t="str">
        <f>IF(COUNTA(A1037:G1037)=0,"",IF(C1037&lt;&gt;"",C1037,IF(B1037="","",IFERROR(INDEX(pr_des,MATCH(B1037,pr_code,0))&amp;"",""))))</f>
        <v/>
      </c>
      <c r="I1037" s="59" t="str">
        <f>IF(B1037="","",IFERROR(INDEX(pr_unit,MATCH(B1037,pr_code,0))&amp;"",""))</f>
        <v/>
      </c>
      <c r="J1037" s="65" t="str">
        <f>IF(COUNTA(A1037:G1037)=0,"",IF(E1037&lt;&gt;"",E1037,IF(B1037="","",IFERROR(IF(INDEX(pr_price,MATCH(B1037,pr_code,0))="","",INDEX(pr_price,MATCH(B1037,pr_code,0))),""))))</f>
        <v/>
      </c>
      <c r="K1037" s="71" t="str">
        <f>IF(COUNTA(A1037:G1037)=0,"",IF(G1037&lt;&gt;"",G1037,IF(B1037="","",IFERROR(IF(INDEX(pr_rate,MATCH(B1037,pr_code,0))="","",INDEX(pr_rate,MATCH(B1037,pr_code,0))),""))))</f>
        <v/>
      </c>
      <c r="L1037" s="65" t="str">
        <f>IF(COUNTA(A1037:G1037)=0,"",IF(AND(ISNUMBER(D1037),ISNUMBER(J1037)),ROUND(D1037*J1037*(1-N(F1037)),2),0))</f>
        <v/>
      </c>
      <c r="M1037" s="62" t="str">
        <f>IF(A1037="","",IFERROR(INDEX(dv_cname,MATCH(A1037,dv_num,0))&amp;"",""))</f>
        <v/>
      </c>
      <c r="N1037" s="59" t="str">
        <f>IF(COUNTA(A1037:G1037)=0,"",IF(A1037="","N° devis manquant",IF(ISNA(MATCH(A1037,dv_num,0)),"Devis inconnu",IF(AND(B1037&lt;&gt;"",ISNA(MATCH(B1037,pr_code,0))),"Article inconnu",IF(H1037="","Désignation manquante",IF(OR(NOT(ISNUMBER(D1037)),N(D1037)&lt;=0),"Quantité invalide",IF(J1037="","Prix manquant",IF(OR(NOT(ISNUMBER(J1037)),N(J1037)&lt;0),"Prix invalide",IF(OR(AND(F1037&lt;&gt;"",NOT(ISNUMBER(F1037))),N(F1037)&lt;0,N(F1037)&gt;1),"Remise invalide",IF(K1037="","Taux de TVA manquant",IF(NOT(ISNUMBER(K1037)),"Taux de TVA invalide",IF(COUNTIF(p_rates,K1037)=0,"Taux de TVA hors liste (Paramètres)",IF(N(O1037)&gt;25,"Au-delà de 25 lignes : non imprimée","OK")))))))))))))</f>
        <v/>
      </c>
      <c r="O1037" s="59" t="str">
        <f>IF(A1037="","",COUNTIF($A$6:A1037,A1037))</f>
        <v/>
      </c>
      <c r="P1037" s="62" t="str">
        <f>IF(A1037="","",A1037&amp;"|"&amp;O1037)</f>
        <v/>
      </c>
    </row>
    <row r="1038">
      <c r="A1038" s="60" t="n"/>
      <c r="B1038" s="63" t="n"/>
      <c r="C1038" s="63" t="n"/>
      <c r="D1038" s="67" t="n"/>
      <c r="E1038" s="68" t="n"/>
      <c r="F1038" s="69" t="n"/>
      <c r="G1038" s="70" t="n"/>
      <c r="H1038" s="62" t="str">
        <f>IF(COUNTA(A1038:G1038)=0,"",IF(C1038&lt;&gt;"",C1038,IF(B1038="","",IFERROR(INDEX(pr_des,MATCH(B1038,pr_code,0))&amp;"",""))))</f>
        <v/>
      </c>
      <c r="I1038" s="59" t="str">
        <f>IF(B1038="","",IFERROR(INDEX(pr_unit,MATCH(B1038,pr_code,0))&amp;"",""))</f>
        <v/>
      </c>
      <c r="J1038" s="65" t="str">
        <f>IF(COUNTA(A1038:G1038)=0,"",IF(E1038&lt;&gt;"",E1038,IF(B1038="","",IFERROR(IF(INDEX(pr_price,MATCH(B1038,pr_code,0))="","",INDEX(pr_price,MATCH(B1038,pr_code,0))),""))))</f>
        <v/>
      </c>
      <c r="K1038" s="71" t="str">
        <f>IF(COUNTA(A1038:G1038)=0,"",IF(G1038&lt;&gt;"",G1038,IF(B1038="","",IFERROR(IF(INDEX(pr_rate,MATCH(B1038,pr_code,0))="","",INDEX(pr_rate,MATCH(B1038,pr_code,0))),""))))</f>
        <v/>
      </c>
      <c r="L1038" s="65" t="str">
        <f>IF(COUNTA(A1038:G1038)=0,"",IF(AND(ISNUMBER(D1038),ISNUMBER(J1038)),ROUND(D1038*J1038*(1-N(F1038)),2),0))</f>
        <v/>
      </c>
      <c r="M1038" s="62" t="str">
        <f>IF(A1038="","",IFERROR(INDEX(dv_cname,MATCH(A1038,dv_num,0))&amp;"",""))</f>
        <v/>
      </c>
      <c r="N1038" s="59" t="str">
        <f>IF(COUNTA(A1038:G1038)=0,"",IF(A1038="","N° devis manquant",IF(ISNA(MATCH(A1038,dv_num,0)),"Devis inconnu",IF(AND(B1038&lt;&gt;"",ISNA(MATCH(B1038,pr_code,0))),"Article inconnu",IF(H1038="","Désignation manquante",IF(OR(NOT(ISNUMBER(D1038)),N(D1038)&lt;=0),"Quantité invalide",IF(J1038="","Prix manquant",IF(OR(NOT(ISNUMBER(J1038)),N(J1038)&lt;0),"Prix invalide",IF(OR(AND(F1038&lt;&gt;"",NOT(ISNUMBER(F1038))),N(F1038)&lt;0,N(F1038)&gt;1),"Remise invalide",IF(K1038="","Taux de TVA manquant",IF(NOT(ISNUMBER(K1038)),"Taux de TVA invalide",IF(COUNTIF(p_rates,K1038)=0,"Taux de TVA hors liste (Paramètres)",IF(N(O1038)&gt;25,"Au-delà de 25 lignes : non imprimée","OK")))))))))))))</f>
        <v/>
      </c>
      <c r="O1038" s="59" t="str">
        <f>IF(A1038="","",COUNTIF($A$6:A1038,A1038))</f>
        <v/>
      </c>
      <c r="P1038" s="62" t="str">
        <f>IF(A1038="","",A1038&amp;"|"&amp;O1038)</f>
        <v/>
      </c>
    </row>
    <row r="1039">
      <c r="A1039" s="60" t="n"/>
      <c r="B1039" s="63" t="n"/>
      <c r="C1039" s="63" t="n"/>
      <c r="D1039" s="67" t="n"/>
      <c r="E1039" s="68" t="n"/>
      <c r="F1039" s="69" t="n"/>
      <c r="G1039" s="70" t="n"/>
      <c r="H1039" s="62" t="str">
        <f>IF(COUNTA(A1039:G1039)=0,"",IF(C1039&lt;&gt;"",C1039,IF(B1039="","",IFERROR(INDEX(pr_des,MATCH(B1039,pr_code,0))&amp;"",""))))</f>
        <v/>
      </c>
      <c r="I1039" s="59" t="str">
        <f>IF(B1039="","",IFERROR(INDEX(pr_unit,MATCH(B1039,pr_code,0))&amp;"",""))</f>
        <v/>
      </c>
      <c r="J1039" s="65" t="str">
        <f>IF(COUNTA(A1039:G1039)=0,"",IF(E1039&lt;&gt;"",E1039,IF(B1039="","",IFERROR(IF(INDEX(pr_price,MATCH(B1039,pr_code,0))="","",INDEX(pr_price,MATCH(B1039,pr_code,0))),""))))</f>
        <v/>
      </c>
      <c r="K1039" s="71" t="str">
        <f>IF(COUNTA(A1039:G1039)=0,"",IF(G1039&lt;&gt;"",G1039,IF(B1039="","",IFERROR(IF(INDEX(pr_rate,MATCH(B1039,pr_code,0))="","",INDEX(pr_rate,MATCH(B1039,pr_code,0))),""))))</f>
        <v/>
      </c>
      <c r="L1039" s="65" t="str">
        <f>IF(COUNTA(A1039:G1039)=0,"",IF(AND(ISNUMBER(D1039),ISNUMBER(J1039)),ROUND(D1039*J1039*(1-N(F1039)),2),0))</f>
        <v/>
      </c>
      <c r="M1039" s="62" t="str">
        <f>IF(A1039="","",IFERROR(INDEX(dv_cname,MATCH(A1039,dv_num,0))&amp;"",""))</f>
        <v/>
      </c>
      <c r="N1039" s="59" t="str">
        <f>IF(COUNTA(A1039:G1039)=0,"",IF(A1039="","N° devis manquant",IF(ISNA(MATCH(A1039,dv_num,0)),"Devis inconnu",IF(AND(B1039&lt;&gt;"",ISNA(MATCH(B1039,pr_code,0))),"Article inconnu",IF(H1039="","Désignation manquante",IF(OR(NOT(ISNUMBER(D1039)),N(D1039)&lt;=0),"Quantité invalide",IF(J1039="","Prix manquant",IF(OR(NOT(ISNUMBER(J1039)),N(J1039)&lt;0),"Prix invalide",IF(OR(AND(F1039&lt;&gt;"",NOT(ISNUMBER(F1039))),N(F1039)&lt;0,N(F1039)&gt;1),"Remise invalide",IF(K1039="","Taux de TVA manquant",IF(NOT(ISNUMBER(K1039)),"Taux de TVA invalide",IF(COUNTIF(p_rates,K1039)=0,"Taux de TVA hors liste (Paramètres)",IF(N(O1039)&gt;25,"Au-delà de 25 lignes : non imprimée","OK")))))))))))))</f>
        <v/>
      </c>
      <c r="O1039" s="59" t="str">
        <f>IF(A1039="","",COUNTIF($A$6:A1039,A1039))</f>
        <v/>
      </c>
      <c r="P1039" s="62" t="str">
        <f>IF(A1039="","",A1039&amp;"|"&amp;O1039)</f>
        <v/>
      </c>
    </row>
    <row r="1040">
      <c r="A1040" s="60" t="n"/>
      <c r="B1040" s="63" t="n"/>
      <c r="C1040" s="63" t="n"/>
      <c r="D1040" s="67" t="n"/>
      <c r="E1040" s="68" t="n"/>
      <c r="F1040" s="69" t="n"/>
      <c r="G1040" s="70" t="n"/>
      <c r="H1040" s="62" t="str">
        <f>IF(COUNTA(A1040:G1040)=0,"",IF(C1040&lt;&gt;"",C1040,IF(B1040="","",IFERROR(INDEX(pr_des,MATCH(B1040,pr_code,0))&amp;"",""))))</f>
        <v/>
      </c>
      <c r="I1040" s="59" t="str">
        <f>IF(B1040="","",IFERROR(INDEX(pr_unit,MATCH(B1040,pr_code,0))&amp;"",""))</f>
        <v/>
      </c>
      <c r="J1040" s="65" t="str">
        <f>IF(COUNTA(A1040:G1040)=0,"",IF(E1040&lt;&gt;"",E1040,IF(B1040="","",IFERROR(IF(INDEX(pr_price,MATCH(B1040,pr_code,0))="","",INDEX(pr_price,MATCH(B1040,pr_code,0))),""))))</f>
        <v/>
      </c>
      <c r="K1040" s="71" t="str">
        <f>IF(COUNTA(A1040:G1040)=0,"",IF(G1040&lt;&gt;"",G1040,IF(B1040="","",IFERROR(IF(INDEX(pr_rate,MATCH(B1040,pr_code,0))="","",INDEX(pr_rate,MATCH(B1040,pr_code,0))),""))))</f>
        <v/>
      </c>
      <c r="L1040" s="65" t="str">
        <f>IF(COUNTA(A1040:G1040)=0,"",IF(AND(ISNUMBER(D1040),ISNUMBER(J1040)),ROUND(D1040*J1040*(1-N(F1040)),2),0))</f>
        <v/>
      </c>
      <c r="M1040" s="62" t="str">
        <f>IF(A1040="","",IFERROR(INDEX(dv_cname,MATCH(A1040,dv_num,0))&amp;"",""))</f>
        <v/>
      </c>
      <c r="N1040" s="59" t="str">
        <f>IF(COUNTA(A1040:G1040)=0,"",IF(A1040="","N° devis manquant",IF(ISNA(MATCH(A1040,dv_num,0)),"Devis inconnu",IF(AND(B1040&lt;&gt;"",ISNA(MATCH(B1040,pr_code,0))),"Article inconnu",IF(H1040="","Désignation manquante",IF(OR(NOT(ISNUMBER(D1040)),N(D1040)&lt;=0),"Quantité invalide",IF(J1040="","Prix manquant",IF(OR(NOT(ISNUMBER(J1040)),N(J1040)&lt;0),"Prix invalide",IF(OR(AND(F1040&lt;&gt;"",NOT(ISNUMBER(F1040))),N(F1040)&lt;0,N(F1040)&gt;1),"Remise invalide",IF(K1040="","Taux de TVA manquant",IF(NOT(ISNUMBER(K1040)),"Taux de TVA invalide",IF(COUNTIF(p_rates,K1040)=0,"Taux de TVA hors liste (Paramètres)",IF(N(O1040)&gt;25,"Au-delà de 25 lignes : non imprimée","OK")))))))))))))</f>
        <v/>
      </c>
      <c r="O1040" s="59" t="str">
        <f>IF(A1040="","",COUNTIF($A$6:A1040,A1040))</f>
        <v/>
      </c>
      <c r="P1040" s="62" t="str">
        <f>IF(A1040="","",A1040&amp;"|"&amp;O1040)</f>
        <v/>
      </c>
    </row>
    <row r="1041">
      <c r="A1041" s="60" t="n"/>
      <c r="B1041" s="63" t="n"/>
      <c r="C1041" s="63" t="n"/>
      <c r="D1041" s="67" t="n"/>
      <c r="E1041" s="68" t="n"/>
      <c r="F1041" s="69" t="n"/>
      <c r="G1041" s="70" t="n"/>
      <c r="H1041" s="62" t="str">
        <f>IF(COUNTA(A1041:G1041)=0,"",IF(C1041&lt;&gt;"",C1041,IF(B1041="","",IFERROR(INDEX(pr_des,MATCH(B1041,pr_code,0))&amp;"",""))))</f>
        <v/>
      </c>
      <c r="I1041" s="59" t="str">
        <f>IF(B1041="","",IFERROR(INDEX(pr_unit,MATCH(B1041,pr_code,0))&amp;"",""))</f>
        <v/>
      </c>
      <c r="J1041" s="65" t="str">
        <f>IF(COUNTA(A1041:G1041)=0,"",IF(E1041&lt;&gt;"",E1041,IF(B1041="","",IFERROR(IF(INDEX(pr_price,MATCH(B1041,pr_code,0))="","",INDEX(pr_price,MATCH(B1041,pr_code,0))),""))))</f>
        <v/>
      </c>
      <c r="K1041" s="71" t="str">
        <f>IF(COUNTA(A1041:G1041)=0,"",IF(G1041&lt;&gt;"",G1041,IF(B1041="","",IFERROR(IF(INDEX(pr_rate,MATCH(B1041,pr_code,0))="","",INDEX(pr_rate,MATCH(B1041,pr_code,0))),""))))</f>
        <v/>
      </c>
      <c r="L1041" s="65" t="str">
        <f>IF(COUNTA(A1041:G1041)=0,"",IF(AND(ISNUMBER(D1041),ISNUMBER(J1041)),ROUND(D1041*J1041*(1-N(F1041)),2),0))</f>
        <v/>
      </c>
      <c r="M1041" s="62" t="str">
        <f>IF(A1041="","",IFERROR(INDEX(dv_cname,MATCH(A1041,dv_num,0))&amp;"",""))</f>
        <v/>
      </c>
      <c r="N1041" s="59" t="str">
        <f>IF(COUNTA(A1041:G1041)=0,"",IF(A1041="","N° devis manquant",IF(ISNA(MATCH(A1041,dv_num,0)),"Devis inconnu",IF(AND(B1041&lt;&gt;"",ISNA(MATCH(B1041,pr_code,0))),"Article inconnu",IF(H1041="","Désignation manquante",IF(OR(NOT(ISNUMBER(D1041)),N(D1041)&lt;=0),"Quantité invalide",IF(J1041="","Prix manquant",IF(OR(NOT(ISNUMBER(J1041)),N(J1041)&lt;0),"Prix invalide",IF(OR(AND(F1041&lt;&gt;"",NOT(ISNUMBER(F1041))),N(F1041)&lt;0,N(F1041)&gt;1),"Remise invalide",IF(K1041="","Taux de TVA manquant",IF(NOT(ISNUMBER(K1041)),"Taux de TVA invalide",IF(COUNTIF(p_rates,K1041)=0,"Taux de TVA hors liste (Paramètres)",IF(N(O1041)&gt;25,"Au-delà de 25 lignes : non imprimée","OK")))))))))))))</f>
        <v/>
      </c>
      <c r="O1041" s="59" t="str">
        <f>IF(A1041="","",COUNTIF($A$6:A1041,A1041))</f>
        <v/>
      </c>
      <c r="P1041" s="62" t="str">
        <f>IF(A1041="","",A1041&amp;"|"&amp;O1041)</f>
        <v/>
      </c>
    </row>
    <row r="1042">
      <c r="A1042" s="60" t="n"/>
      <c r="B1042" s="63" t="n"/>
      <c r="C1042" s="63" t="n"/>
      <c r="D1042" s="67" t="n"/>
      <c r="E1042" s="68" t="n"/>
      <c r="F1042" s="69" t="n"/>
      <c r="G1042" s="70" t="n"/>
      <c r="H1042" s="62" t="str">
        <f>IF(COUNTA(A1042:G1042)=0,"",IF(C1042&lt;&gt;"",C1042,IF(B1042="","",IFERROR(INDEX(pr_des,MATCH(B1042,pr_code,0))&amp;"",""))))</f>
        <v/>
      </c>
      <c r="I1042" s="59" t="str">
        <f>IF(B1042="","",IFERROR(INDEX(pr_unit,MATCH(B1042,pr_code,0))&amp;"",""))</f>
        <v/>
      </c>
      <c r="J1042" s="65" t="str">
        <f>IF(COUNTA(A1042:G1042)=0,"",IF(E1042&lt;&gt;"",E1042,IF(B1042="","",IFERROR(IF(INDEX(pr_price,MATCH(B1042,pr_code,0))="","",INDEX(pr_price,MATCH(B1042,pr_code,0))),""))))</f>
        <v/>
      </c>
      <c r="K1042" s="71" t="str">
        <f>IF(COUNTA(A1042:G1042)=0,"",IF(G1042&lt;&gt;"",G1042,IF(B1042="","",IFERROR(IF(INDEX(pr_rate,MATCH(B1042,pr_code,0))="","",INDEX(pr_rate,MATCH(B1042,pr_code,0))),""))))</f>
        <v/>
      </c>
      <c r="L1042" s="65" t="str">
        <f>IF(COUNTA(A1042:G1042)=0,"",IF(AND(ISNUMBER(D1042),ISNUMBER(J1042)),ROUND(D1042*J1042*(1-N(F1042)),2),0))</f>
        <v/>
      </c>
      <c r="M1042" s="62" t="str">
        <f>IF(A1042="","",IFERROR(INDEX(dv_cname,MATCH(A1042,dv_num,0))&amp;"",""))</f>
        <v/>
      </c>
      <c r="N1042" s="59" t="str">
        <f>IF(COUNTA(A1042:G1042)=0,"",IF(A1042="","N° devis manquant",IF(ISNA(MATCH(A1042,dv_num,0)),"Devis inconnu",IF(AND(B1042&lt;&gt;"",ISNA(MATCH(B1042,pr_code,0))),"Article inconnu",IF(H1042="","Désignation manquante",IF(OR(NOT(ISNUMBER(D1042)),N(D1042)&lt;=0),"Quantité invalide",IF(J1042="","Prix manquant",IF(OR(NOT(ISNUMBER(J1042)),N(J1042)&lt;0),"Prix invalide",IF(OR(AND(F1042&lt;&gt;"",NOT(ISNUMBER(F1042))),N(F1042)&lt;0,N(F1042)&gt;1),"Remise invalide",IF(K1042="","Taux de TVA manquant",IF(NOT(ISNUMBER(K1042)),"Taux de TVA invalide",IF(COUNTIF(p_rates,K1042)=0,"Taux de TVA hors liste (Paramètres)",IF(N(O1042)&gt;25,"Au-delà de 25 lignes : non imprimée","OK")))))))))))))</f>
        <v/>
      </c>
      <c r="O1042" s="59" t="str">
        <f>IF(A1042="","",COUNTIF($A$6:A1042,A1042))</f>
        <v/>
      </c>
      <c r="P1042" s="62" t="str">
        <f>IF(A1042="","",A1042&amp;"|"&amp;O1042)</f>
        <v/>
      </c>
    </row>
    <row r="1043">
      <c r="A1043" s="60" t="n"/>
      <c r="B1043" s="63" t="n"/>
      <c r="C1043" s="63" t="n"/>
      <c r="D1043" s="67" t="n"/>
      <c r="E1043" s="68" t="n"/>
      <c r="F1043" s="69" t="n"/>
      <c r="G1043" s="70" t="n"/>
      <c r="H1043" s="62" t="str">
        <f>IF(COUNTA(A1043:G1043)=0,"",IF(C1043&lt;&gt;"",C1043,IF(B1043="","",IFERROR(INDEX(pr_des,MATCH(B1043,pr_code,0))&amp;"",""))))</f>
        <v/>
      </c>
      <c r="I1043" s="59" t="str">
        <f>IF(B1043="","",IFERROR(INDEX(pr_unit,MATCH(B1043,pr_code,0))&amp;"",""))</f>
        <v/>
      </c>
      <c r="J1043" s="65" t="str">
        <f>IF(COUNTA(A1043:G1043)=0,"",IF(E1043&lt;&gt;"",E1043,IF(B1043="","",IFERROR(IF(INDEX(pr_price,MATCH(B1043,pr_code,0))="","",INDEX(pr_price,MATCH(B1043,pr_code,0))),""))))</f>
        <v/>
      </c>
      <c r="K1043" s="71" t="str">
        <f>IF(COUNTA(A1043:G1043)=0,"",IF(G1043&lt;&gt;"",G1043,IF(B1043="","",IFERROR(IF(INDEX(pr_rate,MATCH(B1043,pr_code,0))="","",INDEX(pr_rate,MATCH(B1043,pr_code,0))),""))))</f>
        <v/>
      </c>
      <c r="L1043" s="65" t="str">
        <f>IF(COUNTA(A1043:G1043)=0,"",IF(AND(ISNUMBER(D1043),ISNUMBER(J1043)),ROUND(D1043*J1043*(1-N(F1043)),2),0))</f>
        <v/>
      </c>
      <c r="M1043" s="62" t="str">
        <f>IF(A1043="","",IFERROR(INDEX(dv_cname,MATCH(A1043,dv_num,0))&amp;"",""))</f>
        <v/>
      </c>
      <c r="N1043" s="59" t="str">
        <f>IF(COUNTA(A1043:G1043)=0,"",IF(A1043="","N° devis manquant",IF(ISNA(MATCH(A1043,dv_num,0)),"Devis inconnu",IF(AND(B1043&lt;&gt;"",ISNA(MATCH(B1043,pr_code,0))),"Article inconnu",IF(H1043="","Désignation manquante",IF(OR(NOT(ISNUMBER(D1043)),N(D1043)&lt;=0),"Quantité invalide",IF(J1043="","Prix manquant",IF(OR(NOT(ISNUMBER(J1043)),N(J1043)&lt;0),"Prix invalide",IF(OR(AND(F1043&lt;&gt;"",NOT(ISNUMBER(F1043))),N(F1043)&lt;0,N(F1043)&gt;1),"Remise invalide",IF(K1043="","Taux de TVA manquant",IF(NOT(ISNUMBER(K1043)),"Taux de TVA invalide",IF(COUNTIF(p_rates,K1043)=0,"Taux de TVA hors liste (Paramètres)",IF(N(O1043)&gt;25,"Au-delà de 25 lignes : non imprimée","OK")))))))))))))</f>
        <v/>
      </c>
      <c r="O1043" s="59" t="str">
        <f>IF(A1043="","",COUNTIF($A$6:A1043,A1043))</f>
        <v/>
      </c>
      <c r="P1043" s="62" t="str">
        <f>IF(A1043="","",A1043&amp;"|"&amp;O1043)</f>
        <v/>
      </c>
    </row>
    <row r="1044">
      <c r="A1044" s="60" t="n"/>
      <c r="B1044" s="63" t="n"/>
      <c r="C1044" s="63" t="n"/>
      <c r="D1044" s="67" t="n"/>
      <c r="E1044" s="68" t="n"/>
      <c r="F1044" s="69" t="n"/>
      <c r="G1044" s="70" t="n"/>
      <c r="H1044" s="62" t="str">
        <f>IF(COUNTA(A1044:G1044)=0,"",IF(C1044&lt;&gt;"",C1044,IF(B1044="","",IFERROR(INDEX(pr_des,MATCH(B1044,pr_code,0))&amp;"",""))))</f>
        <v/>
      </c>
      <c r="I1044" s="59" t="str">
        <f>IF(B1044="","",IFERROR(INDEX(pr_unit,MATCH(B1044,pr_code,0))&amp;"",""))</f>
        <v/>
      </c>
      <c r="J1044" s="65" t="str">
        <f>IF(COUNTA(A1044:G1044)=0,"",IF(E1044&lt;&gt;"",E1044,IF(B1044="","",IFERROR(IF(INDEX(pr_price,MATCH(B1044,pr_code,0))="","",INDEX(pr_price,MATCH(B1044,pr_code,0))),""))))</f>
        <v/>
      </c>
      <c r="K1044" s="71" t="str">
        <f>IF(COUNTA(A1044:G1044)=0,"",IF(G1044&lt;&gt;"",G1044,IF(B1044="","",IFERROR(IF(INDEX(pr_rate,MATCH(B1044,pr_code,0))="","",INDEX(pr_rate,MATCH(B1044,pr_code,0))),""))))</f>
        <v/>
      </c>
      <c r="L1044" s="65" t="str">
        <f>IF(COUNTA(A1044:G1044)=0,"",IF(AND(ISNUMBER(D1044),ISNUMBER(J1044)),ROUND(D1044*J1044*(1-N(F1044)),2),0))</f>
        <v/>
      </c>
      <c r="M1044" s="62" t="str">
        <f>IF(A1044="","",IFERROR(INDEX(dv_cname,MATCH(A1044,dv_num,0))&amp;"",""))</f>
        <v/>
      </c>
      <c r="N1044" s="59" t="str">
        <f>IF(COUNTA(A1044:G1044)=0,"",IF(A1044="","N° devis manquant",IF(ISNA(MATCH(A1044,dv_num,0)),"Devis inconnu",IF(AND(B1044&lt;&gt;"",ISNA(MATCH(B1044,pr_code,0))),"Article inconnu",IF(H1044="","Désignation manquante",IF(OR(NOT(ISNUMBER(D1044)),N(D1044)&lt;=0),"Quantité invalide",IF(J1044="","Prix manquant",IF(OR(NOT(ISNUMBER(J1044)),N(J1044)&lt;0),"Prix invalide",IF(OR(AND(F1044&lt;&gt;"",NOT(ISNUMBER(F1044))),N(F1044)&lt;0,N(F1044)&gt;1),"Remise invalide",IF(K1044="","Taux de TVA manquant",IF(NOT(ISNUMBER(K1044)),"Taux de TVA invalide",IF(COUNTIF(p_rates,K1044)=0,"Taux de TVA hors liste (Paramètres)",IF(N(O1044)&gt;25,"Au-delà de 25 lignes : non imprimée","OK")))))))))))))</f>
        <v/>
      </c>
      <c r="O1044" s="59" t="str">
        <f>IF(A1044="","",COUNTIF($A$6:A1044,A1044))</f>
        <v/>
      </c>
      <c r="P1044" s="62" t="str">
        <f>IF(A1044="","",A1044&amp;"|"&amp;O1044)</f>
        <v/>
      </c>
    </row>
    <row r="1045">
      <c r="A1045" s="60" t="n"/>
      <c r="B1045" s="63" t="n"/>
      <c r="C1045" s="63" t="n"/>
      <c r="D1045" s="67" t="n"/>
      <c r="E1045" s="68" t="n"/>
      <c r="F1045" s="69" t="n"/>
      <c r="G1045" s="70" t="n"/>
      <c r="H1045" s="62" t="str">
        <f>IF(COUNTA(A1045:G1045)=0,"",IF(C1045&lt;&gt;"",C1045,IF(B1045="","",IFERROR(INDEX(pr_des,MATCH(B1045,pr_code,0))&amp;"",""))))</f>
        <v/>
      </c>
      <c r="I1045" s="59" t="str">
        <f>IF(B1045="","",IFERROR(INDEX(pr_unit,MATCH(B1045,pr_code,0))&amp;"",""))</f>
        <v/>
      </c>
      <c r="J1045" s="65" t="str">
        <f>IF(COUNTA(A1045:G1045)=0,"",IF(E1045&lt;&gt;"",E1045,IF(B1045="","",IFERROR(IF(INDEX(pr_price,MATCH(B1045,pr_code,0))="","",INDEX(pr_price,MATCH(B1045,pr_code,0))),""))))</f>
        <v/>
      </c>
      <c r="K1045" s="71" t="str">
        <f>IF(COUNTA(A1045:G1045)=0,"",IF(G1045&lt;&gt;"",G1045,IF(B1045="","",IFERROR(IF(INDEX(pr_rate,MATCH(B1045,pr_code,0))="","",INDEX(pr_rate,MATCH(B1045,pr_code,0))),""))))</f>
        <v/>
      </c>
      <c r="L1045" s="65" t="str">
        <f>IF(COUNTA(A1045:G1045)=0,"",IF(AND(ISNUMBER(D1045),ISNUMBER(J1045)),ROUND(D1045*J1045*(1-N(F1045)),2),0))</f>
        <v/>
      </c>
      <c r="M1045" s="62" t="str">
        <f>IF(A1045="","",IFERROR(INDEX(dv_cname,MATCH(A1045,dv_num,0))&amp;"",""))</f>
        <v/>
      </c>
      <c r="N1045" s="59" t="str">
        <f>IF(COUNTA(A1045:G1045)=0,"",IF(A1045="","N° devis manquant",IF(ISNA(MATCH(A1045,dv_num,0)),"Devis inconnu",IF(AND(B1045&lt;&gt;"",ISNA(MATCH(B1045,pr_code,0))),"Article inconnu",IF(H1045="","Désignation manquante",IF(OR(NOT(ISNUMBER(D1045)),N(D1045)&lt;=0),"Quantité invalide",IF(J1045="","Prix manquant",IF(OR(NOT(ISNUMBER(J1045)),N(J1045)&lt;0),"Prix invalide",IF(OR(AND(F1045&lt;&gt;"",NOT(ISNUMBER(F1045))),N(F1045)&lt;0,N(F1045)&gt;1),"Remise invalide",IF(K1045="","Taux de TVA manquant",IF(NOT(ISNUMBER(K1045)),"Taux de TVA invalide",IF(COUNTIF(p_rates,K1045)=0,"Taux de TVA hors liste (Paramètres)",IF(N(O1045)&gt;25,"Au-delà de 25 lignes : non imprimée","OK")))))))))))))</f>
        <v/>
      </c>
      <c r="O1045" s="59" t="str">
        <f>IF(A1045="","",COUNTIF($A$6:A1045,A1045))</f>
        <v/>
      </c>
      <c r="P1045" s="62" t="str">
        <f>IF(A1045="","",A1045&amp;"|"&amp;O1045)</f>
        <v/>
      </c>
    </row>
    <row r="1046">
      <c r="A1046" s="60" t="n"/>
      <c r="B1046" s="63" t="n"/>
      <c r="C1046" s="63" t="n"/>
      <c r="D1046" s="67" t="n"/>
      <c r="E1046" s="68" t="n"/>
      <c r="F1046" s="69" t="n"/>
      <c r="G1046" s="70" t="n"/>
      <c r="H1046" s="62" t="str">
        <f>IF(COUNTA(A1046:G1046)=0,"",IF(C1046&lt;&gt;"",C1046,IF(B1046="","",IFERROR(INDEX(pr_des,MATCH(B1046,pr_code,0))&amp;"",""))))</f>
        <v/>
      </c>
      <c r="I1046" s="59" t="str">
        <f>IF(B1046="","",IFERROR(INDEX(pr_unit,MATCH(B1046,pr_code,0))&amp;"",""))</f>
        <v/>
      </c>
      <c r="J1046" s="65" t="str">
        <f>IF(COUNTA(A1046:G1046)=0,"",IF(E1046&lt;&gt;"",E1046,IF(B1046="","",IFERROR(IF(INDEX(pr_price,MATCH(B1046,pr_code,0))="","",INDEX(pr_price,MATCH(B1046,pr_code,0))),""))))</f>
        <v/>
      </c>
      <c r="K1046" s="71" t="str">
        <f>IF(COUNTA(A1046:G1046)=0,"",IF(G1046&lt;&gt;"",G1046,IF(B1046="","",IFERROR(IF(INDEX(pr_rate,MATCH(B1046,pr_code,0))="","",INDEX(pr_rate,MATCH(B1046,pr_code,0))),""))))</f>
        <v/>
      </c>
      <c r="L1046" s="65" t="str">
        <f>IF(COUNTA(A1046:G1046)=0,"",IF(AND(ISNUMBER(D1046),ISNUMBER(J1046)),ROUND(D1046*J1046*(1-N(F1046)),2),0))</f>
        <v/>
      </c>
      <c r="M1046" s="62" t="str">
        <f>IF(A1046="","",IFERROR(INDEX(dv_cname,MATCH(A1046,dv_num,0))&amp;"",""))</f>
        <v/>
      </c>
      <c r="N1046" s="59" t="str">
        <f>IF(COUNTA(A1046:G1046)=0,"",IF(A1046="","N° devis manquant",IF(ISNA(MATCH(A1046,dv_num,0)),"Devis inconnu",IF(AND(B1046&lt;&gt;"",ISNA(MATCH(B1046,pr_code,0))),"Article inconnu",IF(H1046="","Désignation manquante",IF(OR(NOT(ISNUMBER(D1046)),N(D1046)&lt;=0),"Quantité invalide",IF(J1046="","Prix manquant",IF(OR(NOT(ISNUMBER(J1046)),N(J1046)&lt;0),"Prix invalide",IF(OR(AND(F1046&lt;&gt;"",NOT(ISNUMBER(F1046))),N(F1046)&lt;0,N(F1046)&gt;1),"Remise invalide",IF(K1046="","Taux de TVA manquant",IF(NOT(ISNUMBER(K1046)),"Taux de TVA invalide",IF(COUNTIF(p_rates,K1046)=0,"Taux de TVA hors liste (Paramètres)",IF(N(O1046)&gt;25,"Au-delà de 25 lignes : non imprimée","OK")))))))))))))</f>
        <v/>
      </c>
      <c r="O1046" s="59" t="str">
        <f>IF(A1046="","",COUNTIF($A$6:A1046,A1046))</f>
        <v/>
      </c>
      <c r="P1046" s="62" t="str">
        <f>IF(A1046="","",A1046&amp;"|"&amp;O1046)</f>
        <v/>
      </c>
    </row>
    <row r="1047">
      <c r="A1047" s="60" t="n"/>
      <c r="B1047" s="63" t="n"/>
      <c r="C1047" s="63" t="n"/>
      <c r="D1047" s="67" t="n"/>
      <c r="E1047" s="68" t="n"/>
      <c r="F1047" s="69" t="n"/>
      <c r="G1047" s="70" t="n"/>
      <c r="H1047" s="62" t="str">
        <f>IF(COUNTA(A1047:G1047)=0,"",IF(C1047&lt;&gt;"",C1047,IF(B1047="","",IFERROR(INDEX(pr_des,MATCH(B1047,pr_code,0))&amp;"",""))))</f>
        <v/>
      </c>
      <c r="I1047" s="59" t="str">
        <f>IF(B1047="","",IFERROR(INDEX(pr_unit,MATCH(B1047,pr_code,0))&amp;"",""))</f>
        <v/>
      </c>
      <c r="J1047" s="65" t="str">
        <f>IF(COUNTA(A1047:G1047)=0,"",IF(E1047&lt;&gt;"",E1047,IF(B1047="","",IFERROR(IF(INDEX(pr_price,MATCH(B1047,pr_code,0))="","",INDEX(pr_price,MATCH(B1047,pr_code,0))),""))))</f>
        <v/>
      </c>
      <c r="K1047" s="71" t="str">
        <f>IF(COUNTA(A1047:G1047)=0,"",IF(G1047&lt;&gt;"",G1047,IF(B1047="","",IFERROR(IF(INDEX(pr_rate,MATCH(B1047,pr_code,0))="","",INDEX(pr_rate,MATCH(B1047,pr_code,0))),""))))</f>
        <v/>
      </c>
      <c r="L1047" s="65" t="str">
        <f>IF(COUNTA(A1047:G1047)=0,"",IF(AND(ISNUMBER(D1047),ISNUMBER(J1047)),ROUND(D1047*J1047*(1-N(F1047)),2),0))</f>
        <v/>
      </c>
      <c r="M1047" s="62" t="str">
        <f>IF(A1047="","",IFERROR(INDEX(dv_cname,MATCH(A1047,dv_num,0))&amp;"",""))</f>
        <v/>
      </c>
      <c r="N1047" s="59" t="str">
        <f>IF(COUNTA(A1047:G1047)=0,"",IF(A1047="","N° devis manquant",IF(ISNA(MATCH(A1047,dv_num,0)),"Devis inconnu",IF(AND(B1047&lt;&gt;"",ISNA(MATCH(B1047,pr_code,0))),"Article inconnu",IF(H1047="","Désignation manquante",IF(OR(NOT(ISNUMBER(D1047)),N(D1047)&lt;=0),"Quantité invalide",IF(J1047="","Prix manquant",IF(OR(NOT(ISNUMBER(J1047)),N(J1047)&lt;0),"Prix invalide",IF(OR(AND(F1047&lt;&gt;"",NOT(ISNUMBER(F1047))),N(F1047)&lt;0,N(F1047)&gt;1),"Remise invalide",IF(K1047="","Taux de TVA manquant",IF(NOT(ISNUMBER(K1047)),"Taux de TVA invalide",IF(COUNTIF(p_rates,K1047)=0,"Taux de TVA hors liste (Paramètres)",IF(N(O1047)&gt;25,"Au-delà de 25 lignes : non imprimée","OK")))))))))))))</f>
        <v/>
      </c>
      <c r="O1047" s="59" t="str">
        <f>IF(A1047="","",COUNTIF($A$6:A1047,A1047))</f>
        <v/>
      </c>
      <c r="P1047" s="62" t="str">
        <f>IF(A1047="","",A1047&amp;"|"&amp;O1047)</f>
        <v/>
      </c>
    </row>
    <row r="1048">
      <c r="A1048" s="60" t="n"/>
      <c r="B1048" s="63" t="n"/>
      <c r="C1048" s="63" t="n"/>
      <c r="D1048" s="67" t="n"/>
      <c r="E1048" s="68" t="n"/>
      <c r="F1048" s="69" t="n"/>
      <c r="G1048" s="70" t="n"/>
      <c r="H1048" s="62" t="str">
        <f>IF(COUNTA(A1048:G1048)=0,"",IF(C1048&lt;&gt;"",C1048,IF(B1048="","",IFERROR(INDEX(pr_des,MATCH(B1048,pr_code,0))&amp;"",""))))</f>
        <v/>
      </c>
      <c r="I1048" s="59" t="str">
        <f>IF(B1048="","",IFERROR(INDEX(pr_unit,MATCH(B1048,pr_code,0))&amp;"",""))</f>
        <v/>
      </c>
      <c r="J1048" s="65" t="str">
        <f>IF(COUNTA(A1048:G1048)=0,"",IF(E1048&lt;&gt;"",E1048,IF(B1048="","",IFERROR(IF(INDEX(pr_price,MATCH(B1048,pr_code,0))="","",INDEX(pr_price,MATCH(B1048,pr_code,0))),""))))</f>
        <v/>
      </c>
      <c r="K1048" s="71" t="str">
        <f>IF(COUNTA(A1048:G1048)=0,"",IF(G1048&lt;&gt;"",G1048,IF(B1048="","",IFERROR(IF(INDEX(pr_rate,MATCH(B1048,pr_code,0))="","",INDEX(pr_rate,MATCH(B1048,pr_code,0))),""))))</f>
        <v/>
      </c>
      <c r="L1048" s="65" t="str">
        <f>IF(COUNTA(A1048:G1048)=0,"",IF(AND(ISNUMBER(D1048),ISNUMBER(J1048)),ROUND(D1048*J1048*(1-N(F1048)),2),0))</f>
        <v/>
      </c>
      <c r="M1048" s="62" t="str">
        <f>IF(A1048="","",IFERROR(INDEX(dv_cname,MATCH(A1048,dv_num,0))&amp;"",""))</f>
        <v/>
      </c>
      <c r="N1048" s="59" t="str">
        <f>IF(COUNTA(A1048:G1048)=0,"",IF(A1048="","N° devis manquant",IF(ISNA(MATCH(A1048,dv_num,0)),"Devis inconnu",IF(AND(B1048&lt;&gt;"",ISNA(MATCH(B1048,pr_code,0))),"Article inconnu",IF(H1048="","Désignation manquante",IF(OR(NOT(ISNUMBER(D1048)),N(D1048)&lt;=0),"Quantité invalide",IF(J1048="","Prix manquant",IF(OR(NOT(ISNUMBER(J1048)),N(J1048)&lt;0),"Prix invalide",IF(OR(AND(F1048&lt;&gt;"",NOT(ISNUMBER(F1048))),N(F1048)&lt;0,N(F1048)&gt;1),"Remise invalide",IF(K1048="","Taux de TVA manquant",IF(NOT(ISNUMBER(K1048)),"Taux de TVA invalide",IF(COUNTIF(p_rates,K1048)=0,"Taux de TVA hors liste (Paramètres)",IF(N(O1048)&gt;25,"Au-delà de 25 lignes : non imprimée","OK")))))))))))))</f>
        <v/>
      </c>
      <c r="O1048" s="59" t="str">
        <f>IF(A1048="","",COUNTIF($A$6:A1048,A1048))</f>
        <v/>
      </c>
      <c r="P1048" s="62" t="str">
        <f>IF(A1048="","",A1048&amp;"|"&amp;O1048)</f>
        <v/>
      </c>
    </row>
    <row r="1049">
      <c r="A1049" s="60" t="n"/>
      <c r="B1049" s="63" t="n"/>
      <c r="C1049" s="63" t="n"/>
      <c r="D1049" s="67" t="n"/>
      <c r="E1049" s="68" t="n"/>
      <c r="F1049" s="69" t="n"/>
      <c r="G1049" s="70" t="n"/>
      <c r="H1049" s="62" t="str">
        <f>IF(COUNTA(A1049:G1049)=0,"",IF(C1049&lt;&gt;"",C1049,IF(B1049="","",IFERROR(INDEX(pr_des,MATCH(B1049,pr_code,0))&amp;"",""))))</f>
        <v/>
      </c>
      <c r="I1049" s="59" t="str">
        <f>IF(B1049="","",IFERROR(INDEX(pr_unit,MATCH(B1049,pr_code,0))&amp;"",""))</f>
        <v/>
      </c>
      <c r="J1049" s="65" t="str">
        <f>IF(COUNTA(A1049:G1049)=0,"",IF(E1049&lt;&gt;"",E1049,IF(B1049="","",IFERROR(IF(INDEX(pr_price,MATCH(B1049,pr_code,0))="","",INDEX(pr_price,MATCH(B1049,pr_code,0))),""))))</f>
        <v/>
      </c>
      <c r="K1049" s="71" t="str">
        <f>IF(COUNTA(A1049:G1049)=0,"",IF(G1049&lt;&gt;"",G1049,IF(B1049="","",IFERROR(IF(INDEX(pr_rate,MATCH(B1049,pr_code,0))="","",INDEX(pr_rate,MATCH(B1049,pr_code,0))),""))))</f>
        <v/>
      </c>
      <c r="L1049" s="65" t="str">
        <f>IF(COUNTA(A1049:G1049)=0,"",IF(AND(ISNUMBER(D1049),ISNUMBER(J1049)),ROUND(D1049*J1049*(1-N(F1049)),2),0))</f>
        <v/>
      </c>
      <c r="M1049" s="62" t="str">
        <f>IF(A1049="","",IFERROR(INDEX(dv_cname,MATCH(A1049,dv_num,0))&amp;"",""))</f>
        <v/>
      </c>
      <c r="N1049" s="59" t="str">
        <f>IF(COUNTA(A1049:G1049)=0,"",IF(A1049="","N° devis manquant",IF(ISNA(MATCH(A1049,dv_num,0)),"Devis inconnu",IF(AND(B1049&lt;&gt;"",ISNA(MATCH(B1049,pr_code,0))),"Article inconnu",IF(H1049="","Désignation manquante",IF(OR(NOT(ISNUMBER(D1049)),N(D1049)&lt;=0),"Quantité invalide",IF(J1049="","Prix manquant",IF(OR(NOT(ISNUMBER(J1049)),N(J1049)&lt;0),"Prix invalide",IF(OR(AND(F1049&lt;&gt;"",NOT(ISNUMBER(F1049))),N(F1049)&lt;0,N(F1049)&gt;1),"Remise invalide",IF(K1049="","Taux de TVA manquant",IF(NOT(ISNUMBER(K1049)),"Taux de TVA invalide",IF(COUNTIF(p_rates,K1049)=0,"Taux de TVA hors liste (Paramètres)",IF(N(O1049)&gt;25,"Au-delà de 25 lignes : non imprimée","OK")))))))))))))</f>
        <v/>
      </c>
      <c r="O1049" s="59" t="str">
        <f>IF(A1049="","",COUNTIF($A$6:A1049,A1049))</f>
        <v/>
      </c>
      <c r="P1049" s="62" t="str">
        <f>IF(A1049="","",A1049&amp;"|"&amp;O1049)</f>
        <v/>
      </c>
    </row>
    <row r="1050">
      <c r="A1050" s="60" t="n"/>
      <c r="B1050" s="63" t="n"/>
      <c r="C1050" s="63" t="n"/>
      <c r="D1050" s="67" t="n"/>
      <c r="E1050" s="68" t="n"/>
      <c r="F1050" s="69" t="n"/>
      <c r="G1050" s="70" t="n"/>
      <c r="H1050" s="62" t="str">
        <f>IF(COUNTA(A1050:G1050)=0,"",IF(C1050&lt;&gt;"",C1050,IF(B1050="","",IFERROR(INDEX(pr_des,MATCH(B1050,pr_code,0))&amp;"",""))))</f>
        <v/>
      </c>
      <c r="I1050" s="59" t="str">
        <f>IF(B1050="","",IFERROR(INDEX(pr_unit,MATCH(B1050,pr_code,0))&amp;"",""))</f>
        <v/>
      </c>
      <c r="J1050" s="65" t="str">
        <f>IF(COUNTA(A1050:G1050)=0,"",IF(E1050&lt;&gt;"",E1050,IF(B1050="","",IFERROR(IF(INDEX(pr_price,MATCH(B1050,pr_code,0))="","",INDEX(pr_price,MATCH(B1050,pr_code,0))),""))))</f>
        <v/>
      </c>
      <c r="K1050" s="71" t="str">
        <f>IF(COUNTA(A1050:G1050)=0,"",IF(G1050&lt;&gt;"",G1050,IF(B1050="","",IFERROR(IF(INDEX(pr_rate,MATCH(B1050,pr_code,0))="","",INDEX(pr_rate,MATCH(B1050,pr_code,0))),""))))</f>
        <v/>
      </c>
      <c r="L1050" s="65" t="str">
        <f>IF(COUNTA(A1050:G1050)=0,"",IF(AND(ISNUMBER(D1050),ISNUMBER(J1050)),ROUND(D1050*J1050*(1-N(F1050)),2),0))</f>
        <v/>
      </c>
      <c r="M1050" s="62" t="str">
        <f>IF(A1050="","",IFERROR(INDEX(dv_cname,MATCH(A1050,dv_num,0))&amp;"",""))</f>
        <v/>
      </c>
      <c r="N1050" s="59" t="str">
        <f>IF(COUNTA(A1050:G1050)=0,"",IF(A1050="","N° devis manquant",IF(ISNA(MATCH(A1050,dv_num,0)),"Devis inconnu",IF(AND(B1050&lt;&gt;"",ISNA(MATCH(B1050,pr_code,0))),"Article inconnu",IF(H1050="","Désignation manquante",IF(OR(NOT(ISNUMBER(D1050)),N(D1050)&lt;=0),"Quantité invalide",IF(J1050="","Prix manquant",IF(OR(NOT(ISNUMBER(J1050)),N(J1050)&lt;0),"Prix invalide",IF(OR(AND(F1050&lt;&gt;"",NOT(ISNUMBER(F1050))),N(F1050)&lt;0,N(F1050)&gt;1),"Remise invalide",IF(K1050="","Taux de TVA manquant",IF(NOT(ISNUMBER(K1050)),"Taux de TVA invalide",IF(COUNTIF(p_rates,K1050)=0,"Taux de TVA hors liste (Paramètres)",IF(N(O1050)&gt;25,"Au-delà de 25 lignes : non imprimée","OK")))))))))))))</f>
        <v/>
      </c>
      <c r="O1050" s="59" t="str">
        <f>IF(A1050="","",COUNTIF($A$6:A1050,A1050))</f>
        <v/>
      </c>
      <c r="P1050" s="62" t="str">
        <f>IF(A1050="","",A1050&amp;"|"&amp;O1050)</f>
        <v/>
      </c>
    </row>
    <row r="1051">
      <c r="A1051" s="60" t="n"/>
      <c r="B1051" s="63" t="n"/>
      <c r="C1051" s="63" t="n"/>
      <c r="D1051" s="67" t="n"/>
      <c r="E1051" s="68" t="n"/>
      <c r="F1051" s="69" t="n"/>
      <c r="G1051" s="70" t="n"/>
      <c r="H1051" s="62" t="str">
        <f>IF(COUNTA(A1051:G1051)=0,"",IF(C1051&lt;&gt;"",C1051,IF(B1051="","",IFERROR(INDEX(pr_des,MATCH(B1051,pr_code,0))&amp;"",""))))</f>
        <v/>
      </c>
      <c r="I1051" s="59" t="str">
        <f>IF(B1051="","",IFERROR(INDEX(pr_unit,MATCH(B1051,pr_code,0))&amp;"",""))</f>
        <v/>
      </c>
      <c r="J1051" s="65" t="str">
        <f>IF(COUNTA(A1051:G1051)=0,"",IF(E1051&lt;&gt;"",E1051,IF(B1051="","",IFERROR(IF(INDEX(pr_price,MATCH(B1051,pr_code,0))="","",INDEX(pr_price,MATCH(B1051,pr_code,0))),""))))</f>
        <v/>
      </c>
      <c r="K1051" s="71" t="str">
        <f>IF(COUNTA(A1051:G1051)=0,"",IF(G1051&lt;&gt;"",G1051,IF(B1051="","",IFERROR(IF(INDEX(pr_rate,MATCH(B1051,pr_code,0))="","",INDEX(pr_rate,MATCH(B1051,pr_code,0))),""))))</f>
        <v/>
      </c>
      <c r="L1051" s="65" t="str">
        <f>IF(COUNTA(A1051:G1051)=0,"",IF(AND(ISNUMBER(D1051),ISNUMBER(J1051)),ROUND(D1051*J1051*(1-N(F1051)),2),0))</f>
        <v/>
      </c>
      <c r="M1051" s="62" t="str">
        <f>IF(A1051="","",IFERROR(INDEX(dv_cname,MATCH(A1051,dv_num,0))&amp;"",""))</f>
        <v/>
      </c>
      <c r="N1051" s="59" t="str">
        <f>IF(COUNTA(A1051:G1051)=0,"",IF(A1051="","N° devis manquant",IF(ISNA(MATCH(A1051,dv_num,0)),"Devis inconnu",IF(AND(B1051&lt;&gt;"",ISNA(MATCH(B1051,pr_code,0))),"Article inconnu",IF(H1051="","Désignation manquante",IF(OR(NOT(ISNUMBER(D1051)),N(D1051)&lt;=0),"Quantité invalide",IF(J1051="","Prix manquant",IF(OR(NOT(ISNUMBER(J1051)),N(J1051)&lt;0),"Prix invalide",IF(OR(AND(F1051&lt;&gt;"",NOT(ISNUMBER(F1051))),N(F1051)&lt;0,N(F1051)&gt;1),"Remise invalide",IF(K1051="","Taux de TVA manquant",IF(NOT(ISNUMBER(K1051)),"Taux de TVA invalide",IF(COUNTIF(p_rates,K1051)=0,"Taux de TVA hors liste (Paramètres)",IF(N(O1051)&gt;25,"Au-delà de 25 lignes : non imprimée","OK")))))))))))))</f>
        <v/>
      </c>
      <c r="O1051" s="59" t="str">
        <f>IF(A1051="","",COUNTIF($A$6:A1051,A1051))</f>
        <v/>
      </c>
      <c r="P1051" s="62" t="str">
        <f>IF(A1051="","",A1051&amp;"|"&amp;O1051)</f>
        <v/>
      </c>
    </row>
    <row r="1052">
      <c r="A1052" s="60" t="n"/>
      <c r="B1052" s="63" t="n"/>
      <c r="C1052" s="63" t="n"/>
      <c r="D1052" s="67" t="n"/>
      <c r="E1052" s="68" t="n"/>
      <c r="F1052" s="69" t="n"/>
      <c r="G1052" s="70" t="n"/>
      <c r="H1052" s="62" t="str">
        <f>IF(COUNTA(A1052:G1052)=0,"",IF(C1052&lt;&gt;"",C1052,IF(B1052="","",IFERROR(INDEX(pr_des,MATCH(B1052,pr_code,0))&amp;"",""))))</f>
        <v/>
      </c>
      <c r="I1052" s="59" t="str">
        <f>IF(B1052="","",IFERROR(INDEX(pr_unit,MATCH(B1052,pr_code,0))&amp;"",""))</f>
        <v/>
      </c>
      <c r="J1052" s="65" t="str">
        <f>IF(COUNTA(A1052:G1052)=0,"",IF(E1052&lt;&gt;"",E1052,IF(B1052="","",IFERROR(IF(INDEX(pr_price,MATCH(B1052,pr_code,0))="","",INDEX(pr_price,MATCH(B1052,pr_code,0))),""))))</f>
        <v/>
      </c>
      <c r="K1052" s="71" t="str">
        <f>IF(COUNTA(A1052:G1052)=0,"",IF(G1052&lt;&gt;"",G1052,IF(B1052="","",IFERROR(IF(INDEX(pr_rate,MATCH(B1052,pr_code,0))="","",INDEX(pr_rate,MATCH(B1052,pr_code,0))),""))))</f>
        <v/>
      </c>
      <c r="L1052" s="65" t="str">
        <f>IF(COUNTA(A1052:G1052)=0,"",IF(AND(ISNUMBER(D1052),ISNUMBER(J1052)),ROUND(D1052*J1052*(1-N(F1052)),2),0))</f>
        <v/>
      </c>
      <c r="M1052" s="62" t="str">
        <f>IF(A1052="","",IFERROR(INDEX(dv_cname,MATCH(A1052,dv_num,0))&amp;"",""))</f>
        <v/>
      </c>
      <c r="N1052" s="59" t="str">
        <f>IF(COUNTA(A1052:G1052)=0,"",IF(A1052="","N° devis manquant",IF(ISNA(MATCH(A1052,dv_num,0)),"Devis inconnu",IF(AND(B1052&lt;&gt;"",ISNA(MATCH(B1052,pr_code,0))),"Article inconnu",IF(H1052="","Désignation manquante",IF(OR(NOT(ISNUMBER(D1052)),N(D1052)&lt;=0),"Quantité invalide",IF(J1052="","Prix manquant",IF(OR(NOT(ISNUMBER(J1052)),N(J1052)&lt;0),"Prix invalide",IF(OR(AND(F1052&lt;&gt;"",NOT(ISNUMBER(F1052))),N(F1052)&lt;0,N(F1052)&gt;1),"Remise invalide",IF(K1052="","Taux de TVA manquant",IF(NOT(ISNUMBER(K1052)),"Taux de TVA invalide",IF(COUNTIF(p_rates,K1052)=0,"Taux de TVA hors liste (Paramètres)",IF(N(O1052)&gt;25,"Au-delà de 25 lignes : non imprimée","OK")))))))))))))</f>
        <v/>
      </c>
      <c r="O1052" s="59" t="str">
        <f>IF(A1052="","",COUNTIF($A$6:A1052,A1052))</f>
        <v/>
      </c>
      <c r="P1052" s="62" t="str">
        <f>IF(A1052="","",A1052&amp;"|"&amp;O1052)</f>
        <v/>
      </c>
    </row>
    <row r="1053">
      <c r="A1053" s="60" t="n"/>
      <c r="B1053" s="63" t="n"/>
      <c r="C1053" s="63" t="n"/>
      <c r="D1053" s="67" t="n"/>
      <c r="E1053" s="68" t="n"/>
      <c r="F1053" s="69" t="n"/>
      <c r="G1053" s="70" t="n"/>
      <c r="H1053" s="62" t="str">
        <f>IF(COUNTA(A1053:G1053)=0,"",IF(C1053&lt;&gt;"",C1053,IF(B1053="","",IFERROR(INDEX(pr_des,MATCH(B1053,pr_code,0))&amp;"",""))))</f>
        <v/>
      </c>
      <c r="I1053" s="59" t="str">
        <f>IF(B1053="","",IFERROR(INDEX(pr_unit,MATCH(B1053,pr_code,0))&amp;"",""))</f>
        <v/>
      </c>
      <c r="J1053" s="65" t="str">
        <f>IF(COUNTA(A1053:G1053)=0,"",IF(E1053&lt;&gt;"",E1053,IF(B1053="","",IFERROR(IF(INDEX(pr_price,MATCH(B1053,pr_code,0))="","",INDEX(pr_price,MATCH(B1053,pr_code,0))),""))))</f>
        <v/>
      </c>
      <c r="K1053" s="71" t="str">
        <f>IF(COUNTA(A1053:G1053)=0,"",IF(G1053&lt;&gt;"",G1053,IF(B1053="","",IFERROR(IF(INDEX(pr_rate,MATCH(B1053,pr_code,0))="","",INDEX(pr_rate,MATCH(B1053,pr_code,0))),""))))</f>
        <v/>
      </c>
      <c r="L1053" s="65" t="str">
        <f>IF(COUNTA(A1053:G1053)=0,"",IF(AND(ISNUMBER(D1053),ISNUMBER(J1053)),ROUND(D1053*J1053*(1-N(F1053)),2),0))</f>
        <v/>
      </c>
      <c r="M1053" s="62" t="str">
        <f>IF(A1053="","",IFERROR(INDEX(dv_cname,MATCH(A1053,dv_num,0))&amp;"",""))</f>
        <v/>
      </c>
      <c r="N1053" s="59" t="str">
        <f>IF(COUNTA(A1053:G1053)=0,"",IF(A1053="","N° devis manquant",IF(ISNA(MATCH(A1053,dv_num,0)),"Devis inconnu",IF(AND(B1053&lt;&gt;"",ISNA(MATCH(B1053,pr_code,0))),"Article inconnu",IF(H1053="","Désignation manquante",IF(OR(NOT(ISNUMBER(D1053)),N(D1053)&lt;=0),"Quantité invalide",IF(J1053="","Prix manquant",IF(OR(NOT(ISNUMBER(J1053)),N(J1053)&lt;0),"Prix invalide",IF(OR(AND(F1053&lt;&gt;"",NOT(ISNUMBER(F1053))),N(F1053)&lt;0,N(F1053)&gt;1),"Remise invalide",IF(K1053="","Taux de TVA manquant",IF(NOT(ISNUMBER(K1053)),"Taux de TVA invalide",IF(COUNTIF(p_rates,K1053)=0,"Taux de TVA hors liste (Paramètres)",IF(N(O1053)&gt;25,"Au-delà de 25 lignes : non imprimée","OK")))))))))))))</f>
        <v/>
      </c>
      <c r="O1053" s="59" t="str">
        <f>IF(A1053="","",COUNTIF($A$6:A1053,A1053))</f>
        <v/>
      </c>
      <c r="P1053" s="62" t="str">
        <f>IF(A1053="","",A1053&amp;"|"&amp;O1053)</f>
        <v/>
      </c>
    </row>
    <row r="1054">
      <c r="A1054" s="60" t="n"/>
      <c r="B1054" s="63" t="n"/>
      <c r="C1054" s="63" t="n"/>
      <c r="D1054" s="67" t="n"/>
      <c r="E1054" s="68" t="n"/>
      <c r="F1054" s="69" t="n"/>
      <c r="G1054" s="70" t="n"/>
      <c r="H1054" s="62" t="str">
        <f>IF(COUNTA(A1054:G1054)=0,"",IF(C1054&lt;&gt;"",C1054,IF(B1054="","",IFERROR(INDEX(pr_des,MATCH(B1054,pr_code,0))&amp;"",""))))</f>
        <v/>
      </c>
      <c r="I1054" s="59" t="str">
        <f>IF(B1054="","",IFERROR(INDEX(pr_unit,MATCH(B1054,pr_code,0))&amp;"",""))</f>
        <v/>
      </c>
      <c r="J1054" s="65" t="str">
        <f>IF(COUNTA(A1054:G1054)=0,"",IF(E1054&lt;&gt;"",E1054,IF(B1054="","",IFERROR(IF(INDEX(pr_price,MATCH(B1054,pr_code,0))="","",INDEX(pr_price,MATCH(B1054,pr_code,0))),""))))</f>
        <v/>
      </c>
      <c r="K1054" s="71" t="str">
        <f>IF(COUNTA(A1054:G1054)=0,"",IF(G1054&lt;&gt;"",G1054,IF(B1054="","",IFERROR(IF(INDEX(pr_rate,MATCH(B1054,pr_code,0))="","",INDEX(pr_rate,MATCH(B1054,pr_code,0))),""))))</f>
        <v/>
      </c>
      <c r="L1054" s="65" t="str">
        <f>IF(COUNTA(A1054:G1054)=0,"",IF(AND(ISNUMBER(D1054),ISNUMBER(J1054)),ROUND(D1054*J1054*(1-N(F1054)),2),0))</f>
        <v/>
      </c>
      <c r="M1054" s="62" t="str">
        <f>IF(A1054="","",IFERROR(INDEX(dv_cname,MATCH(A1054,dv_num,0))&amp;"",""))</f>
        <v/>
      </c>
      <c r="N1054" s="59" t="str">
        <f>IF(COUNTA(A1054:G1054)=0,"",IF(A1054="","N° devis manquant",IF(ISNA(MATCH(A1054,dv_num,0)),"Devis inconnu",IF(AND(B1054&lt;&gt;"",ISNA(MATCH(B1054,pr_code,0))),"Article inconnu",IF(H1054="","Désignation manquante",IF(OR(NOT(ISNUMBER(D1054)),N(D1054)&lt;=0),"Quantité invalide",IF(J1054="","Prix manquant",IF(OR(NOT(ISNUMBER(J1054)),N(J1054)&lt;0),"Prix invalide",IF(OR(AND(F1054&lt;&gt;"",NOT(ISNUMBER(F1054))),N(F1054)&lt;0,N(F1054)&gt;1),"Remise invalide",IF(K1054="","Taux de TVA manquant",IF(NOT(ISNUMBER(K1054)),"Taux de TVA invalide",IF(COUNTIF(p_rates,K1054)=0,"Taux de TVA hors liste (Paramètres)",IF(N(O1054)&gt;25,"Au-delà de 25 lignes : non imprimée","OK")))))))))))))</f>
        <v/>
      </c>
      <c r="O1054" s="59" t="str">
        <f>IF(A1054="","",COUNTIF($A$6:A1054,A1054))</f>
        <v/>
      </c>
      <c r="P1054" s="62" t="str">
        <f>IF(A1054="","",A1054&amp;"|"&amp;O1054)</f>
        <v/>
      </c>
    </row>
    <row r="1055">
      <c r="A1055" s="60" t="n"/>
      <c r="B1055" s="63" t="n"/>
      <c r="C1055" s="63" t="n"/>
      <c r="D1055" s="67" t="n"/>
      <c r="E1055" s="68" t="n"/>
      <c r="F1055" s="69" t="n"/>
      <c r="G1055" s="70" t="n"/>
      <c r="H1055" s="62" t="str">
        <f>IF(COUNTA(A1055:G1055)=0,"",IF(C1055&lt;&gt;"",C1055,IF(B1055="","",IFERROR(INDEX(pr_des,MATCH(B1055,pr_code,0))&amp;"",""))))</f>
        <v/>
      </c>
      <c r="I1055" s="59" t="str">
        <f>IF(B1055="","",IFERROR(INDEX(pr_unit,MATCH(B1055,pr_code,0))&amp;"",""))</f>
        <v/>
      </c>
      <c r="J1055" s="65" t="str">
        <f>IF(COUNTA(A1055:G1055)=0,"",IF(E1055&lt;&gt;"",E1055,IF(B1055="","",IFERROR(IF(INDEX(pr_price,MATCH(B1055,pr_code,0))="","",INDEX(pr_price,MATCH(B1055,pr_code,0))),""))))</f>
        <v/>
      </c>
      <c r="K1055" s="71" t="str">
        <f>IF(COUNTA(A1055:G1055)=0,"",IF(G1055&lt;&gt;"",G1055,IF(B1055="","",IFERROR(IF(INDEX(pr_rate,MATCH(B1055,pr_code,0))="","",INDEX(pr_rate,MATCH(B1055,pr_code,0))),""))))</f>
        <v/>
      </c>
      <c r="L1055" s="65" t="str">
        <f>IF(COUNTA(A1055:G1055)=0,"",IF(AND(ISNUMBER(D1055),ISNUMBER(J1055)),ROUND(D1055*J1055*(1-N(F1055)),2),0))</f>
        <v/>
      </c>
      <c r="M1055" s="62" t="str">
        <f>IF(A1055="","",IFERROR(INDEX(dv_cname,MATCH(A1055,dv_num,0))&amp;"",""))</f>
        <v/>
      </c>
      <c r="N1055" s="59" t="str">
        <f>IF(COUNTA(A1055:G1055)=0,"",IF(A1055="","N° devis manquant",IF(ISNA(MATCH(A1055,dv_num,0)),"Devis inconnu",IF(AND(B1055&lt;&gt;"",ISNA(MATCH(B1055,pr_code,0))),"Article inconnu",IF(H1055="","Désignation manquante",IF(OR(NOT(ISNUMBER(D1055)),N(D1055)&lt;=0),"Quantité invalide",IF(J1055="","Prix manquant",IF(OR(NOT(ISNUMBER(J1055)),N(J1055)&lt;0),"Prix invalide",IF(OR(AND(F1055&lt;&gt;"",NOT(ISNUMBER(F1055))),N(F1055)&lt;0,N(F1055)&gt;1),"Remise invalide",IF(K1055="","Taux de TVA manquant",IF(NOT(ISNUMBER(K1055)),"Taux de TVA invalide",IF(COUNTIF(p_rates,K1055)=0,"Taux de TVA hors liste (Paramètres)",IF(N(O1055)&gt;25,"Au-delà de 25 lignes : non imprimée","OK")))))))))))))</f>
        <v/>
      </c>
      <c r="O1055" s="59" t="str">
        <f>IF(A1055="","",COUNTIF($A$6:A1055,A1055))</f>
        <v/>
      </c>
      <c r="P1055" s="62" t="str">
        <f>IF(A1055="","",A1055&amp;"|"&amp;O1055)</f>
        <v/>
      </c>
    </row>
    <row r="1056">
      <c r="A1056" s="60" t="n"/>
      <c r="B1056" s="63" t="n"/>
      <c r="C1056" s="63" t="n"/>
      <c r="D1056" s="67" t="n"/>
      <c r="E1056" s="68" t="n"/>
      <c r="F1056" s="69" t="n"/>
      <c r="G1056" s="70" t="n"/>
      <c r="H1056" s="62" t="str">
        <f>IF(COUNTA(A1056:G1056)=0,"",IF(C1056&lt;&gt;"",C1056,IF(B1056="","",IFERROR(INDEX(pr_des,MATCH(B1056,pr_code,0))&amp;"",""))))</f>
        <v/>
      </c>
      <c r="I1056" s="59" t="str">
        <f>IF(B1056="","",IFERROR(INDEX(pr_unit,MATCH(B1056,pr_code,0))&amp;"",""))</f>
        <v/>
      </c>
      <c r="J1056" s="65" t="str">
        <f>IF(COUNTA(A1056:G1056)=0,"",IF(E1056&lt;&gt;"",E1056,IF(B1056="","",IFERROR(IF(INDEX(pr_price,MATCH(B1056,pr_code,0))="","",INDEX(pr_price,MATCH(B1056,pr_code,0))),""))))</f>
        <v/>
      </c>
      <c r="K1056" s="71" t="str">
        <f>IF(COUNTA(A1056:G1056)=0,"",IF(G1056&lt;&gt;"",G1056,IF(B1056="","",IFERROR(IF(INDEX(pr_rate,MATCH(B1056,pr_code,0))="","",INDEX(pr_rate,MATCH(B1056,pr_code,0))),""))))</f>
        <v/>
      </c>
      <c r="L1056" s="65" t="str">
        <f>IF(COUNTA(A1056:G1056)=0,"",IF(AND(ISNUMBER(D1056),ISNUMBER(J1056)),ROUND(D1056*J1056*(1-N(F1056)),2),0))</f>
        <v/>
      </c>
      <c r="M1056" s="62" t="str">
        <f>IF(A1056="","",IFERROR(INDEX(dv_cname,MATCH(A1056,dv_num,0))&amp;"",""))</f>
        <v/>
      </c>
      <c r="N1056" s="59" t="str">
        <f>IF(COUNTA(A1056:G1056)=0,"",IF(A1056="","N° devis manquant",IF(ISNA(MATCH(A1056,dv_num,0)),"Devis inconnu",IF(AND(B1056&lt;&gt;"",ISNA(MATCH(B1056,pr_code,0))),"Article inconnu",IF(H1056="","Désignation manquante",IF(OR(NOT(ISNUMBER(D1056)),N(D1056)&lt;=0),"Quantité invalide",IF(J1056="","Prix manquant",IF(OR(NOT(ISNUMBER(J1056)),N(J1056)&lt;0),"Prix invalide",IF(OR(AND(F1056&lt;&gt;"",NOT(ISNUMBER(F1056))),N(F1056)&lt;0,N(F1056)&gt;1),"Remise invalide",IF(K1056="","Taux de TVA manquant",IF(NOT(ISNUMBER(K1056)),"Taux de TVA invalide",IF(COUNTIF(p_rates,K1056)=0,"Taux de TVA hors liste (Paramètres)",IF(N(O1056)&gt;25,"Au-delà de 25 lignes : non imprimée","OK")))))))))))))</f>
        <v/>
      </c>
      <c r="O1056" s="59" t="str">
        <f>IF(A1056="","",COUNTIF($A$6:A1056,A1056))</f>
        <v/>
      </c>
      <c r="P1056" s="62" t="str">
        <f>IF(A1056="","",A1056&amp;"|"&amp;O1056)</f>
        <v/>
      </c>
    </row>
    <row r="1057">
      <c r="A1057" s="60" t="n"/>
      <c r="B1057" s="63" t="n"/>
      <c r="C1057" s="63" t="n"/>
      <c r="D1057" s="67" t="n"/>
      <c r="E1057" s="68" t="n"/>
      <c r="F1057" s="69" t="n"/>
      <c r="G1057" s="70" t="n"/>
      <c r="H1057" s="62" t="str">
        <f>IF(COUNTA(A1057:G1057)=0,"",IF(C1057&lt;&gt;"",C1057,IF(B1057="","",IFERROR(INDEX(pr_des,MATCH(B1057,pr_code,0))&amp;"",""))))</f>
        <v/>
      </c>
      <c r="I1057" s="59" t="str">
        <f>IF(B1057="","",IFERROR(INDEX(pr_unit,MATCH(B1057,pr_code,0))&amp;"",""))</f>
        <v/>
      </c>
      <c r="J1057" s="65" t="str">
        <f>IF(COUNTA(A1057:G1057)=0,"",IF(E1057&lt;&gt;"",E1057,IF(B1057="","",IFERROR(IF(INDEX(pr_price,MATCH(B1057,pr_code,0))="","",INDEX(pr_price,MATCH(B1057,pr_code,0))),""))))</f>
        <v/>
      </c>
      <c r="K1057" s="71" t="str">
        <f>IF(COUNTA(A1057:G1057)=0,"",IF(G1057&lt;&gt;"",G1057,IF(B1057="","",IFERROR(IF(INDEX(pr_rate,MATCH(B1057,pr_code,0))="","",INDEX(pr_rate,MATCH(B1057,pr_code,0))),""))))</f>
        <v/>
      </c>
      <c r="L1057" s="65" t="str">
        <f>IF(COUNTA(A1057:G1057)=0,"",IF(AND(ISNUMBER(D1057),ISNUMBER(J1057)),ROUND(D1057*J1057*(1-N(F1057)),2),0))</f>
        <v/>
      </c>
      <c r="M1057" s="62" t="str">
        <f>IF(A1057="","",IFERROR(INDEX(dv_cname,MATCH(A1057,dv_num,0))&amp;"",""))</f>
        <v/>
      </c>
      <c r="N1057" s="59" t="str">
        <f>IF(COUNTA(A1057:G1057)=0,"",IF(A1057="","N° devis manquant",IF(ISNA(MATCH(A1057,dv_num,0)),"Devis inconnu",IF(AND(B1057&lt;&gt;"",ISNA(MATCH(B1057,pr_code,0))),"Article inconnu",IF(H1057="","Désignation manquante",IF(OR(NOT(ISNUMBER(D1057)),N(D1057)&lt;=0),"Quantité invalide",IF(J1057="","Prix manquant",IF(OR(NOT(ISNUMBER(J1057)),N(J1057)&lt;0),"Prix invalide",IF(OR(AND(F1057&lt;&gt;"",NOT(ISNUMBER(F1057))),N(F1057)&lt;0,N(F1057)&gt;1),"Remise invalide",IF(K1057="","Taux de TVA manquant",IF(NOT(ISNUMBER(K1057)),"Taux de TVA invalide",IF(COUNTIF(p_rates,K1057)=0,"Taux de TVA hors liste (Paramètres)",IF(N(O1057)&gt;25,"Au-delà de 25 lignes : non imprimée","OK")))))))))))))</f>
        <v/>
      </c>
      <c r="O1057" s="59" t="str">
        <f>IF(A1057="","",COUNTIF($A$6:A1057,A1057))</f>
        <v/>
      </c>
      <c r="P1057" s="62" t="str">
        <f>IF(A1057="","",A1057&amp;"|"&amp;O1057)</f>
        <v/>
      </c>
    </row>
    <row r="1058">
      <c r="A1058" s="60" t="n"/>
      <c r="B1058" s="63" t="n"/>
      <c r="C1058" s="63" t="n"/>
      <c r="D1058" s="67" t="n"/>
      <c r="E1058" s="68" t="n"/>
      <c r="F1058" s="69" t="n"/>
      <c r="G1058" s="70" t="n"/>
      <c r="H1058" s="62" t="str">
        <f>IF(COUNTA(A1058:G1058)=0,"",IF(C1058&lt;&gt;"",C1058,IF(B1058="","",IFERROR(INDEX(pr_des,MATCH(B1058,pr_code,0))&amp;"",""))))</f>
        <v/>
      </c>
      <c r="I1058" s="59" t="str">
        <f>IF(B1058="","",IFERROR(INDEX(pr_unit,MATCH(B1058,pr_code,0))&amp;"",""))</f>
        <v/>
      </c>
      <c r="J1058" s="65" t="str">
        <f>IF(COUNTA(A1058:G1058)=0,"",IF(E1058&lt;&gt;"",E1058,IF(B1058="","",IFERROR(IF(INDEX(pr_price,MATCH(B1058,pr_code,0))="","",INDEX(pr_price,MATCH(B1058,pr_code,0))),""))))</f>
        <v/>
      </c>
      <c r="K1058" s="71" t="str">
        <f>IF(COUNTA(A1058:G1058)=0,"",IF(G1058&lt;&gt;"",G1058,IF(B1058="","",IFERROR(IF(INDEX(pr_rate,MATCH(B1058,pr_code,0))="","",INDEX(pr_rate,MATCH(B1058,pr_code,0))),""))))</f>
        <v/>
      </c>
      <c r="L1058" s="65" t="str">
        <f>IF(COUNTA(A1058:G1058)=0,"",IF(AND(ISNUMBER(D1058),ISNUMBER(J1058)),ROUND(D1058*J1058*(1-N(F1058)),2),0))</f>
        <v/>
      </c>
      <c r="M1058" s="62" t="str">
        <f>IF(A1058="","",IFERROR(INDEX(dv_cname,MATCH(A1058,dv_num,0))&amp;"",""))</f>
        <v/>
      </c>
      <c r="N1058" s="59" t="str">
        <f>IF(COUNTA(A1058:G1058)=0,"",IF(A1058="","N° devis manquant",IF(ISNA(MATCH(A1058,dv_num,0)),"Devis inconnu",IF(AND(B1058&lt;&gt;"",ISNA(MATCH(B1058,pr_code,0))),"Article inconnu",IF(H1058="","Désignation manquante",IF(OR(NOT(ISNUMBER(D1058)),N(D1058)&lt;=0),"Quantité invalide",IF(J1058="","Prix manquant",IF(OR(NOT(ISNUMBER(J1058)),N(J1058)&lt;0),"Prix invalide",IF(OR(AND(F1058&lt;&gt;"",NOT(ISNUMBER(F1058))),N(F1058)&lt;0,N(F1058)&gt;1),"Remise invalide",IF(K1058="","Taux de TVA manquant",IF(NOT(ISNUMBER(K1058)),"Taux de TVA invalide",IF(COUNTIF(p_rates,K1058)=0,"Taux de TVA hors liste (Paramètres)",IF(N(O1058)&gt;25,"Au-delà de 25 lignes : non imprimée","OK")))))))))))))</f>
        <v/>
      </c>
      <c r="O1058" s="59" t="str">
        <f>IF(A1058="","",COUNTIF($A$6:A1058,A1058))</f>
        <v/>
      </c>
      <c r="P1058" s="62" t="str">
        <f>IF(A1058="","",A1058&amp;"|"&amp;O1058)</f>
        <v/>
      </c>
    </row>
    <row r="1059">
      <c r="A1059" s="60" t="n"/>
      <c r="B1059" s="63" t="n"/>
      <c r="C1059" s="63" t="n"/>
      <c r="D1059" s="67" t="n"/>
      <c r="E1059" s="68" t="n"/>
      <c r="F1059" s="69" t="n"/>
      <c r="G1059" s="70" t="n"/>
      <c r="H1059" s="62" t="str">
        <f>IF(COUNTA(A1059:G1059)=0,"",IF(C1059&lt;&gt;"",C1059,IF(B1059="","",IFERROR(INDEX(pr_des,MATCH(B1059,pr_code,0))&amp;"",""))))</f>
        <v/>
      </c>
      <c r="I1059" s="59" t="str">
        <f>IF(B1059="","",IFERROR(INDEX(pr_unit,MATCH(B1059,pr_code,0))&amp;"",""))</f>
        <v/>
      </c>
      <c r="J1059" s="65" t="str">
        <f>IF(COUNTA(A1059:G1059)=0,"",IF(E1059&lt;&gt;"",E1059,IF(B1059="","",IFERROR(IF(INDEX(pr_price,MATCH(B1059,pr_code,0))="","",INDEX(pr_price,MATCH(B1059,pr_code,0))),""))))</f>
        <v/>
      </c>
      <c r="K1059" s="71" t="str">
        <f>IF(COUNTA(A1059:G1059)=0,"",IF(G1059&lt;&gt;"",G1059,IF(B1059="","",IFERROR(IF(INDEX(pr_rate,MATCH(B1059,pr_code,0))="","",INDEX(pr_rate,MATCH(B1059,pr_code,0))),""))))</f>
        <v/>
      </c>
      <c r="L1059" s="65" t="str">
        <f>IF(COUNTA(A1059:G1059)=0,"",IF(AND(ISNUMBER(D1059),ISNUMBER(J1059)),ROUND(D1059*J1059*(1-N(F1059)),2),0))</f>
        <v/>
      </c>
      <c r="M1059" s="62" t="str">
        <f>IF(A1059="","",IFERROR(INDEX(dv_cname,MATCH(A1059,dv_num,0))&amp;"",""))</f>
        <v/>
      </c>
      <c r="N1059" s="59" t="str">
        <f>IF(COUNTA(A1059:G1059)=0,"",IF(A1059="","N° devis manquant",IF(ISNA(MATCH(A1059,dv_num,0)),"Devis inconnu",IF(AND(B1059&lt;&gt;"",ISNA(MATCH(B1059,pr_code,0))),"Article inconnu",IF(H1059="","Désignation manquante",IF(OR(NOT(ISNUMBER(D1059)),N(D1059)&lt;=0),"Quantité invalide",IF(J1059="","Prix manquant",IF(OR(NOT(ISNUMBER(J1059)),N(J1059)&lt;0),"Prix invalide",IF(OR(AND(F1059&lt;&gt;"",NOT(ISNUMBER(F1059))),N(F1059)&lt;0,N(F1059)&gt;1),"Remise invalide",IF(K1059="","Taux de TVA manquant",IF(NOT(ISNUMBER(K1059)),"Taux de TVA invalide",IF(COUNTIF(p_rates,K1059)=0,"Taux de TVA hors liste (Paramètres)",IF(N(O1059)&gt;25,"Au-delà de 25 lignes : non imprimée","OK")))))))))))))</f>
        <v/>
      </c>
      <c r="O1059" s="59" t="str">
        <f>IF(A1059="","",COUNTIF($A$6:A1059,A1059))</f>
        <v/>
      </c>
      <c r="P1059" s="62" t="str">
        <f>IF(A1059="","",A1059&amp;"|"&amp;O1059)</f>
        <v/>
      </c>
    </row>
    <row r="1060">
      <c r="A1060" s="60" t="n"/>
      <c r="B1060" s="63" t="n"/>
      <c r="C1060" s="63" t="n"/>
      <c r="D1060" s="67" t="n"/>
      <c r="E1060" s="68" t="n"/>
      <c r="F1060" s="69" t="n"/>
      <c r="G1060" s="70" t="n"/>
      <c r="H1060" s="62" t="str">
        <f>IF(COUNTA(A1060:G1060)=0,"",IF(C1060&lt;&gt;"",C1060,IF(B1060="","",IFERROR(INDEX(pr_des,MATCH(B1060,pr_code,0))&amp;"",""))))</f>
        <v/>
      </c>
      <c r="I1060" s="59" t="str">
        <f>IF(B1060="","",IFERROR(INDEX(pr_unit,MATCH(B1060,pr_code,0))&amp;"",""))</f>
        <v/>
      </c>
      <c r="J1060" s="65" t="str">
        <f>IF(COUNTA(A1060:G1060)=0,"",IF(E1060&lt;&gt;"",E1060,IF(B1060="","",IFERROR(IF(INDEX(pr_price,MATCH(B1060,pr_code,0))="","",INDEX(pr_price,MATCH(B1060,pr_code,0))),""))))</f>
        <v/>
      </c>
      <c r="K1060" s="71" t="str">
        <f>IF(COUNTA(A1060:G1060)=0,"",IF(G1060&lt;&gt;"",G1060,IF(B1060="","",IFERROR(IF(INDEX(pr_rate,MATCH(B1060,pr_code,0))="","",INDEX(pr_rate,MATCH(B1060,pr_code,0))),""))))</f>
        <v/>
      </c>
      <c r="L1060" s="65" t="str">
        <f>IF(COUNTA(A1060:G1060)=0,"",IF(AND(ISNUMBER(D1060),ISNUMBER(J1060)),ROUND(D1060*J1060*(1-N(F1060)),2),0))</f>
        <v/>
      </c>
      <c r="M1060" s="62" t="str">
        <f>IF(A1060="","",IFERROR(INDEX(dv_cname,MATCH(A1060,dv_num,0))&amp;"",""))</f>
        <v/>
      </c>
      <c r="N1060" s="59" t="str">
        <f>IF(COUNTA(A1060:G1060)=0,"",IF(A1060="","N° devis manquant",IF(ISNA(MATCH(A1060,dv_num,0)),"Devis inconnu",IF(AND(B1060&lt;&gt;"",ISNA(MATCH(B1060,pr_code,0))),"Article inconnu",IF(H1060="","Désignation manquante",IF(OR(NOT(ISNUMBER(D1060)),N(D1060)&lt;=0),"Quantité invalide",IF(J1060="","Prix manquant",IF(OR(NOT(ISNUMBER(J1060)),N(J1060)&lt;0),"Prix invalide",IF(OR(AND(F1060&lt;&gt;"",NOT(ISNUMBER(F1060))),N(F1060)&lt;0,N(F1060)&gt;1),"Remise invalide",IF(K1060="","Taux de TVA manquant",IF(NOT(ISNUMBER(K1060)),"Taux de TVA invalide",IF(COUNTIF(p_rates,K1060)=0,"Taux de TVA hors liste (Paramètres)",IF(N(O1060)&gt;25,"Au-delà de 25 lignes : non imprimée","OK")))))))))))))</f>
        <v/>
      </c>
      <c r="O1060" s="59" t="str">
        <f>IF(A1060="","",COUNTIF($A$6:A1060,A1060))</f>
        <v/>
      </c>
      <c r="P1060" s="62" t="str">
        <f>IF(A1060="","",A1060&amp;"|"&amp;O1060)</f>
        <v/>
      </c>
    </row>
    <row r="1061">
      <c r="A1061" s="60" t="n"/>
      <c r="B1061" s="63" t="n"/>
      <c r="C1061" s="63" t="n"/>
      <c r="D1061" s="67" t="n"/>
      <c r="E1061" s="68" t="n"/>
      <c r="F1061" s="69" t="n"/>
      <c r="G1061" s="70" t="n"/>
      <c r="H1061" s="62" t="str">
        <f>IF(COUNTA(A1061:G1061)=0,"",IF(C1061&lt;&gt;"",C1061,IF(B1061="","",IFERROR(INDEX(pr_des,MATCH(B1061,pr_code,0))&amp;"",""))))</f>
        <v/>
      </c>
      <c r="I1061" s="59" t="str">
        <f>IF(B1061="","",IFERROR(INDEX(pr_unit,MATCH(B1061,pr_code,0))&amp;"",""))</f>
        <v/>
      </c>
      <c r="J1061" s="65" t="str">
        <f>IF(COUNTA(A1061:G1061)=0,"",IF(E1061&lt;&gt;"",E1061,IF(B1061="","",IFERROR(IF(INDEX(pr_price,MATCH(B1061,pr_code,0))="","",INDEX(pr_price,MATCH(B1061,pr_code,0))),""))))</f>
        <v/>
      </c>
      <c r="K1061" s="71" t="str">
        <f>IF(COUNTA(A1061:G1061)=0,"",IF(G1061&lt;&gt;"",G1061,IF(B1061="","",IFERROR(IF(INDEX(pr_rate,MATCH(B1061,pr_code,0))="","",INDEX(pr_rate,MATCH(B1061,pr_code,0))),""))))</f>
        <v/>
      </c>
      <c r="L1061" s="65" t="str">
        <f>IF(COUNTA(A1061:G1061)=0,"",IF(AND(ISNUMBER(D1061),ISNUMBER(J1061)),ROUND(D1061*J1061*(1-N(F1061)),2),0))</f>
        <v/>
      </c>
      <c r="M1061" s="62" t="str">
        <f>IF(A1061="","",IFERROR(INDEX(dv_cname,MATCH(A1061,dv_num,0))&amp;"",""))</f>
        <v/>
      </c>
      <c r="N1061" s="59" t="str">
        <f>IF(COUNTA(A1061:G1061)=0,"",IF(A1061="","N° devis manquant",IF(ISNA(MATCH(A1061,dv_num,0)),"Devis inconnu",IF(AND(B1061&lt;&gt;"",ISNA(MATCH(B1061,pr_code,0))),"Article inconnu",IF(H1061="","Désignation manquante",IF(OR(NOT(ISNUMBER(D1061)),N(D1061)&lt;=0),"Quantité invalide",IF(J1061="","Prix manquant",IF(OR(NOT(ISNUMBER(J1061)),N(J1061)&lt;0),"Prix invalide",IF(OR(AND(F1061&lt;&gt;"",NOT(ISNUMBER(F1061))),N(F1061)&lt;0,N(F1061)&gt;1),"Remise invalide",IF(K1061="","Taux de TVA manquant",IF(NOT(ISNUMBER(K1061)),"Taux de TVA invalide",IF(COUNTIF(p_rates,K1061)=0,"Taux de TVA hors liste (Paramètres)",IF(N(O1061)&gt;25,"Au-delà de 25 lignes : non imprimée","OK")))))))))))))</f>
        <v/>
      </c>
      <c r="O1061" s="59" t="str">
        <f>IF(A1061="","",COUNTIF($A$6:A1061,A1061))</f>
        <v/>
      </c>
      <c r="P1061" s="62" t="str">
        <f>IF(A1061="","",A1061&amp;"|"&amp;O1061)</f>
        <v/>
      </c>
    </row>
    <row r="1062">
      <c r="A1062" s="60" t="n"/>
      <c r="B1062" s="63" t="n"/>
      <c r="C1062" s="63" t="n"/>
      <c r="D1062" s="67" t="n"/>
      <c r="E1062" s="68" t="n"/>
      <c r="F1062" s="69" t="n"/>
      <c r="G1062" s="70" t="n"/>
      <c r="H1062" s="62" t="str">
        <f>IF(COUNTA(A1062:G1062)=0,"",IF(C1062&lt;&gt;"",C1062,IF(B1062="","",IFERROR(INDEX(pr_des,MATCH(B1062,pr_code,0))&amp;"",""))))</f>
        <v/>
      </c>
      <c r="I1062" s="59" t="str">
        <f>IF(B1062="","",IFERROR(INDEX(pr_unit,MATCH(B1062,pr_code,0))&amp;"",""))</f>
        <v/>
      </c>
      <c r="J1062" s="65" t="str">
        <f>IF(COUNTA(A1062:G1062)=0,"",IF(E1062&lt;&gt;"",E1062,IF(B1062="","",IFERROR(IF(INDEX(pr_price,MATCH(B1062,pr_code,0))="","",INDEX(pr_price,MATCH(B1062,pr_code,0))),""))))</f>
        <v/>
      </c>
      <c r="K1062" s="71" t="str">
        <f>IF(COUNTA(A1062:G1062)=0,"",IF(G1062&lt;&gt;"",G1062,IF(B1062="","",IFERROR(IF(INDEX(pr_rate,MATCH(B1062,pr_code,0))="","",INDEX(pr_rate,MATCH(B1062,pr_code,0))),""))))</f>
        <v/>
      </c>
      <c r="L1062" s="65" t="str">
        <f>IF(COUNTA(A1062:G1062)=0,"",IF(AND(ISNUMBER(D1062),ISNUMBER(J1062)),ROUND(D1062*J1062*(1-N(F1062)),2),0))</f>
        <v/>
      </c>
      <c r="M1062" s="62" t="str">
        <f>IF(A1062="","",IFERROR(INDEX(dv_cname,MATCH(A1062,dv_num,0))&amp;"",""))</f>
        <v/>
      </c>
      <c r="N1062" s="59" t="str">
        <f>IF(COUNTA(A1062:G1062)=0,"",IF(A1062="","N° devis manquant",IF(ISNA(MATCH(A1062,dv_num,0)),"Devis inconnu",IF(AND(B1062&lt;&gt;"",ISNA(MATCH(B1062,pr_code,0))),"Article inconnu",IF(H1062="","Désignation manquante",IF(OR(NOT(ISNUMBER(D1062)),N(D1062)&lt;=0),"Quantité invalide",IF(J1062="","Prix manquant",IF(OR(NOT(ISNUMBER(J1062)),N(J1062)&lt;0),"Prix invalide",IF(OR(AND(F1062&lt;&gt;"",NOT(ISNUMBER(F1062))),N(F1062)&lt;0,N(F1062)&gt;1),"Remise invalide",IF(K1062="","Taux de TVA manquant",IF(NOT(ISNUMBER(K1062)),"Taux de TVA invalide",IF(COUNTIF(p_rates,K1062)=0,"Taux de TVA hors liste (Paramètres)",IF(N(O1062)&gt;25,"Au-delà de 25 lignes : non imprimée","OK")))))))))))))</f>
        <v/>
      </c>
      <c r="O1062" s="59" t="str">
        <f>IF(A1062="","",COUNTIF($A$6:A1062,A1062))</f>
        <v/>
      </c>
      <c r="P1062" s="62" t="str">
        <f>IF(A1062="","",A1062&amp;"|"&amp;O1062)</f>
        <v/>
      </c>
    </row>
    <row r="1063">
      <c r="A1063" s="60" t="n"/>
      <c r="B1063" s="63" t="n"/>
      <c r="C1063" s="63" t="n"/>
      <c r="D1063" s="67" t="n"/>
      <c r="E1063" s="68" t="n"/>
      <c r="F1063" s="69" t="n"/>
      <c r="G1063" s="70" t="n"/>
      <c r="H1063" s="62" t="str">
        <f>IF(COUNTA(A1063:G1063)=0,"",IF(C1063&lt;&gt;"",C1063,IF(B1063="","",IFERROR(INDEX(pr_des,MATCH(B1063,pr_code,0))&amp;"",""))))</f>
        <v/>
      </c>
      <c r="I1063" s="59" t="str">
        <f>IF(B1063="","",IFERROR(INDEX(pr_unit,MATCH(B1063,pr_code,0))&amp;"",""))</f>
        <v/>
      </c>
      <c r="J1063" s="65" t="str">
        <f>IF(COUNTA(A1063:G1063)=0,"",IF(E1063&lt;&gt;"",E1063,IF(B1063="","",IFERROR(IF(INDEX(pr_price,MATCH(B1063,pr_code,0))="","",INDEX(pr_price,MATCH(B1063,pr_code,0))),""))))</f>
        <v/>
      </c>
      <c r="K1063" s="71" t="str">
        <f>IF(COUNTA(A1063:G1063)=0,"",IF(G1063&lt;&gt;"",G1063,IF(B1063="","",IFERROR(IF(INDEX(pr_rate,MATCH(B1063,pr_code,0))="","",INDEX(pr_rate,MATCH(B1063,pr_code,0))),""))))</f>
        <v/>
      </c>
      <c r="L1063" s="65" t="str">
        <f>IF(COUNTA(A1063:G1063)=0,"",IF(AND(ISNUMBER(D1063),ISNUMBER(J1063)),ROUND(D1063*J1063*(1-N(F1063)),2),0))</f>
        <v/>
      </c>
      <c r="M1063" s="62" t="str">
        <f>IF(A1063="","",IFERROR(INDEX(dv_cname,MATCH(A1063,dv_num,0))&amp;"",""))</f>
        <v/>
      </c>
      <c r="N1063" s="59" t="str">
        <f>IF(COUNTA(A1063:G1063)=0,"",IF(A1063="","N° devis manquant",IF(ISNA(MATCH(A1063,dv_num,0)),"Devis inconnu",IF(AND(B1063&lt;&gt;"",ISNA(MATCH(B1063,pr_code,0))),"Article inconnu",IF(H1063="","Désignation manquante",IF(OR(NOT(ISNUMBER(D1063)),N(D1063)&lt;=0),"Quantité invalide",IF(J1063="","Prix manquant",IF(OR(NOT(ISNUMBER(J1063)),N(J1063)&lt;0),"Prix invalide",IF(OR(AND(F1063&lt;&gt;"",NOT(ISNUMBER(F1063))),N(F1063)&lt;0,N(F1063)&gt;1),"Remise invalide",IF(K1063="","Taux de TVA manquant",IF(NOT(ISNUMBER(K1063)),"Taux de TVA invalide",IF(COUNTIF(p_rates,K1063)=0,"Taux de TVA hors liste (Paramètres)",IF(N(O1063)&gt;25,"Au-delà de 25 lignes : non imprimée","OK")))))))))))))</f>
        <v/>
      </c>
      <c r="O1063" s="59" t="str">
        <f>IF(A1063="","",COUNTIF($A$6:A1063,A1063))</f>
        <v/>
      </c>
      <c r="P1063" s="62" t="str">
        <f>IF(A1063="","",A1063&amp;"|"&amp;O1063)</f>
        <v/>
      </c>
    </row>
    <row r="1064">
      <c r="A1064" s="60" t="n"/>
      <c r="B1064" s="63" t="n"/>
      <c r="C1064" s="63" t="n"/>
      <c r="D1064" s="67" t="n"/>
      <c r="E1064" s="68" t="n"/>
      <c r="F1064" s="69" t="n"/>
      <c r="G1064" s="70" t="n"/>
      <c r="H1064" s="62" t="str">
        <f>IF(COUNTA(A1064:G1064)=0,"",IF(C1064&lt;&gt;"",C1064,IF(B1064="","",IFERROR(INDEX(pr_des,MATCH(B1064,pr_code,0))&amp;"",""))))</f>
        <v/>
      </c>
      <c r="I1064" s="59" t="str">
        <f>IF(B1064="","",IFERROR(INDEX(pr_unit,MATCH(B1064,pr_code,0))&amp;"",""))</f>
        <v/>
      </c>
      <c r="J1064" s="65" t="str">
        <f>IF(COUNTA(A1064:G1064)=0,"",IF(E1064&lt;&gt;"",E1064,IF(B1064="","",IFERROR(IF(INDEX(pr_price,MATCH(B1064,pr_code,0))="","",INDEX(pr_price,MATCH(B1064,pr_code,0))),""))))</f>
        <v/>
      </c>
      <c r="K1064" s="71" t="str">
        <f>IF(COUNTA(A1064:G1064)=0,"",IF(G1064&lt;&gt;"",G1064,IF(B1064="","",IFERROR(IF(INDEX(pr_rate,MATCH(B1064,pr_code,0))="","",INDEX(pr_rate,MATCH(B1064,pr_code,0))),""))))</f>
        <v/>
      </c>
      <c r="L1064" s="65" t="str">
        <f>IF(COUNTA(A1064:G1064)=0,"",IF(AND(ISNUMBER(D1064),ISNUMBER(J1064)),ROUND(D1064*J1064*(1-N(F1064)),2),0))</f>
        <v/>
      </c>
      <c r="M1064" s="62" t="str">
        <f>IF(A1064="","",IFERROR(INDEX(dv_cname,MATCH(A1064,dv_num,0))&amp;"",""))</f>
        <v/>
      </c>
      <c r="N1064" s="59" t="str">
        <f>IF(COUNTA(A1064:G1064)=0,"",IF(A1064="","N° devis manquant",IF(ISNA(MATCH(A1064,dv_num,0)),"Devis inconnu",IF(AND(B1064&lt;&gt;"",ISNA(MATCH(B1064,pr_code,0))),"Article inconnu",IF(H1064="","Désignation manquante",IF(OR(NOT(ISNUMBER(D1064)),N(D1064)&lt;=0),"Quantité invalide",IF(J1064="","Prix manquant",IF(OR(NOT(ISNUMBER(J1064)),N(J1064)&lt;0),"Prix invalide",IF(OR(AND(F1064&lt;&gt;"",NOT(ISNUMBER(F1064))),N(F1064)&lt;0,N(F1064)&gt;1),"Remise invalide",IF(K1064="","Taux de TVA manquant",IF(NOT(ISNUMBER(K1064)),"Taux de TVA invalide",IF(COUNTIF(p_rates,K1064)=0,"Taux de TVA hors liste (Paramètres)",IF(N(O1064)&gt;25,"Au-delà de 25 lignes : non imprimée","OK")))))))))))))</f>
        <v/>
      </c>
      <c r="O1064" s="59" t="str">
        <f>IF(A1064="","",COUNTIF($A$6:A1064,A1064))</f>
        <v/>
      </c>
      <c r="P1064" s="62" t="str">
        <f>IF(A1064="","",A1064&amp;"|"&amp;O1064)</f>
        <v/>
      </c>
    </row>
    <row r="1065">
      <c r="A1065" s="60" t="n"/>
      <c r="B1065" s="63" t="n"/>
      <c r="C1065" s="63" t="n"/>
      <c r="D1065" s="67" t="n"/>
      <c r="E1065" s="68" t="n"/>
      <c r="F1065" s="69" t="n"/>
      <c r="G1065" s="70" t="n"/>
      <c r="H1065" s="62" t="str">
        <f>IF(COUNTA(A1065:G1065)=0,"",IF(C1065&lt;&gt;"",C1065,IF(B1065="","",IFERROR(INDEX(pr_des,MATCH(B1065,pr_code,0))&amp;"",""))))</f>
        <v/>
      </c>
      <c r="I1065" s="59" t="str">
        <f>IF(B1065="","",IFERROR(INDEX(pr_unit,MATCH(B1065,pr_code,0))&amp;"",""))</f>
        <v/>
      </c>
      <c r="J1065" s="65" t="str">
        <f>IF(COUNTA(A1065:G1065)=0,"",IF(E1065&lt;&gt;"",E1065,IF(B1065="","",IFERROR(IF(INDEX(pr_price,MATCH(B1065,pr_code,0))="","",INDEX(pr_price,MATCH(B1065,pr_code,0))),""))))</f>
        <v/>
      </c>
      <c r="K1065" s="71" t="str">
        <f>IF(COUNTA(A1065:G1065)=0,"",IF(G1065&lt;&gt;"",G1065,IF(B1065="","",IFERROR(IF(INDEX(pr_rate,MATCH(B1065,pr_code,0))="","",INDEX(pr_rate,MATCH(B1065,pr_code,0))),""))))</f>
        <v/>
      </c>
      <c r="L1065" s="65" t="str">
        <f>IF(COUNTA(A1065:G1065)=0,"",IF(AND(ISNUMBER(D1065),ISNUMBER(J1065)),ROUND(D1065*J1065*(1-N(F1065)),2),0))</f>
        <v/>
      </c>
      <c r="M1065" s="62" t="str">
        <f>IF(A1065="","",IFERROR(INDEX(dv_cname,MATCH(A1065,dv_num,0))&amp;"",""))</f>
        <v/>
      </c>
      <c r="N1065" s="59" t="str">
        <f>IF(COUNTA(A1065:G1065)=0,"",IF(A1065="","N° devis manquant",IF(ISNA(MATCH(A1065,dv_num,0)),"Devis inconnu",IF(AND(B1065&lt;&gt;"",ISNA(MATCH(B1065,pr_code,0))),"Article inconnu",IF(H1065="","Désignation manquante",IF(OR(NOT(ISNUMBER(D1065)),N(D1065)&lt;=0),"Quantité invalide",IF(J1065="","Prix manquant",IF(OR(NOT(ISNUMBER(J1065)),N(J1065)&lt;0),"Prix invalide",IF(OR(AND(F1065&lt;&gt;"",NOT(ISNUMBER(F1065))),N(F1065)&lt;0,N(F1065)&gt;1),"Remise invalide",IF(K1065="","Taux de TVA manquant",IF(NOT(ISNUMBER(K1065)),"Taux de TVA invalide",IF(COUNTIF(p_rates,K1065)=0,"Taux de TVA hors liste (Paramètres)",IF(N(O1065)&gt;25,"Au-delà de 25 lignes : non imprimée","OK")))))))))))))</f>
        <v/>
      </c>
      <c r="O1065" s="59" t="str">
        <f>IF(A1065="","",COUNTIF($A$6:A1065,A1065))</f>
        <v/>
      </c>
      <c r="P1065" s="62" t="str">
        <f>IF(A1065="","",A1065&amp;"|"&amp;O1065)</f>
        <v/>
      </c>
    </row>
    <row r="1066">
      <c r="A1066" s="60" t="n"/>
      <c r="B1066" s="63" t="n"/>
      <c r="C1066" s="63" t="n"/>
      <c r="D1066" s="67" t="n"/>
      <c r="E1066" s="68" t="n"/>
      <c r="F1066" s="69" t="n"/>
      <c r="G1066" s="70" t="n"/>
      <c r="H1066" s="62" t="str">
        <f>IF(COUNTA(A1066:G1066)=0,"",IF(C1066&lt;&gt;"",C1066,IF(B1066="","",IFERROR(INDEX(pr_des,MATCH(B1066,pr_code,0))&amp;"",""))))</f>
        <v/>
      </c>
      <c r="I1066" s="59" t="str">
        <f>IF(B1066="","",IFERROR(INDEX(pr_unit,MATCH(B1066,pr_code,0))&amp;"",""))</f>
        <v/>
      </c>
      <c r="J1066" s="65" t="str">
        <f>IF(COUNTA(A1066:G1066)=0,"",IF(E1066&lt;&gt;"",E1066,IF(B1066="","",IFERROR(IF(INDEX(pr_price,MATCH(B1066,pr_code,0))="","",INDEX(pr_price,MATCH(B1066,pr_code,0))),""))))</f>
        <v/>
      </c>
      <c r="K1066" s="71" t="str">
        <f>IF(COUNTA(A1066:G1066)=0,"",IF(G1066&lt;&gt;"",G1066,IF(B1066="","",IFERROR(IF(INDEX(pr_rate,MATCH(B1066,pr_code,0))="","",INDEX(pr_rate,MATCH(B1066,pr_code,0))),""))))</f>
        <v/>
      </c>
      <c r="L1066" s="65" t="str">
        <f>IF(COUNTA(A1066:G1066)=0,"",IF(AND(ISNUMBER(D1066),ISNUMBER(J1066)),ROUND(D1066*J1066*(1-N(F1066)),2),0))</f>
        <v/>
      </c>
      <c r="M1066" s="62" t="str">
        <f>IF(A1066="","",IFERROR(INDEX(dv_cname,MATCH(A1066,dv_num,0))&amp;"",""))</f>
        <v/>
      </c>
      <c r="N1066" s="59" t="str">
        <f>IF(COUNTA(A1066:G1066)=0,"",IF(A1066="","N° devis manquant",IF(ISNA(MATCH(A1066,dv_num,0)),"Devis inconnu",IF(AND(B1066&lt;&gt;"",ISNA(MATCH(B1066,pr_code,0))),"Article inconnu",IF(H1066="","Désignation manquante",IF(OR(NOT(ISNUMBER(D1066)),N(D1066)&lt;=0),"Quantité invalide",IF(J1066="","Prix manquant",IF(OR(NOT(ISNUMBER(J1066)),N(J1066)&lt;0),"Prix invalide",IF(OR(AND(F1066&lt;&gt;"",NOT(ISNUMBER(F1066))),N(F1066)&lt;0,N(F1066)&gt;1),"Remise invalide",IF(K1066="","Taux de TVA manquant",IF(NOT(ISNUMBER(K1066)),"Taux de TVA invalide",IF(COUNTIF(p_rates,K1066)=0,"Taux de TVA hors liste (Paramètres)",IF(N(O1066)&gt;25,"Au-delà de 25 lignes : non imprimée","OK")))))))))))))</f>
        <v/>
      </c>
      <c r="O1066" s="59" t="str">
        <f>IF(A1066="","",COUNTIF($A$6:A1066,A1066))</f>
        <v/>
      </c>
      <c r="P1066" s="62" t="str">
        <f>IF(A1066="","",A1066&amp;"|"&amp;O1066)</f>
        <v/>
      </c>
    </row>
    <row r="1067">
      <c r="A1067" s="60" t="n"/>
      <c r="B1067" s="63" t="n"/>
      <c r="C1067" s="63" t="n"/>
      <c r="D1067" s="67" t="n"/>
      <c r="E1067" s="68" t="n"/>
      <c r="F1067" s="69" t="n"/>
      <c r="G1067" s="70" t="n"/>
      <c r="H1067" s="62" t="str">
        <f>IF(COUNTA(A1067:G1067)=0,"",IF(C1067&lt;&gt;"",C1067,IF(B1067="","",IFERROR(INDEX(pr_des,MATCH(B1067,pr_code,0))&amp;"",""))))</f>
        <v/>
      </c>
      <c r="I1067" s="59" t="str">
        <f>IF(B1067="","",IFERROR(INDEX(pr_unit,MATCH(B1067,pr_code,0))&amp;"",""))</f>
        <v/>
      </c>
      <c r="J1067" s="65" t="str">
        <f>IF(COUNTA(A1067:G1067)=0,"",IF(E1067&lt;&gt;"",E1067,IF(B1067="","",IFERROR(IF(INDEX(pr_price,MATCH(B1067,pr_code,0))="","",INDEX(pr_price,MATCH(B1067,pr_code,0))),""))))</f>
        <v/>
      </c>
      <c r="K1067" s="71" t="str">
        <f>IF(COUNTA(A1067:G1067)=0,"",IF(G1067&lt;&gt;"",G1067,IF(B1067="","",IFERROR(IF(INDEX(pr_rate,MATCH(B1067,pr_code,0))="","",INDEX(pr_rate,MATCH(B1067,pr_code,0))),""))))</f>
        <v/>
      </c>
      <c r="L1067" s="65" t="str">
        <f>IF(COUNTA(A1067:G1067)=0,"",IF(AND(ISNUMBER(D1067),ISNUMBER(J1067)),ROUND(D1067*J1067*(1-N(F1067)),2),0))</f>
        <v/>
      </c>
      <c r="M1067" s="62" t="str">
        <f>IF(A1067="","",IFERROR(INDEX(dv_cname,MATCH(A1067,dv_num,0))&amp;"",""))</f>
        <v/>
      </c>
      <c r="N1067" s="59" t="str">
        <f>IF(COUNTA(A1067:G1067)=0,"",IF(A1067="","N° devis manquant",IF(ISNA(MATCH(A1067,dv_num,0)),"Devis inconnu",IF(AND(B1067&lt;&gt;"",ISNA(MATCH(B1067,pr_code,0))),"Article inconnu",IF(H1067="","Désignation manquante",IF(OR(NOT(ISNUMBER(D1067)),N(D1067)&lt;=0),"Quantité invalide",IF(J1067="","Prix manquant",IF(OR(NOT(ISNUMBER(J1067)),N(J1067)&lt;0),"Prix invalide",IF(OR(AND(F1067&lt;&gt;"",NOT(ISNUMBER(F1067))),N(F1067)&lt;0,N(F1067)&gt;1),"Remise invalide",IF(K1067="","Taux de TVA manquant",IF(NOT(ISNUMBER(K1067)),"Taux de TVA invalide",IF(COUNTIF(p_rates,K1067)=0,"Taux de TVA hors liste (Paramètres)",IF(N(O1067)&gt;25,"Au-delà de 25 lignes : non imprimée","OK")))))))))))))</f>
        <v/>
      </c>
      <c r="O1067" s="59" t="str">
        <f>IF(A1067="","",COUNTIF($A$6:A1067,A1067))</f>
        <v/>
      </c>
      <c r="P1067" s="62" t="str">
        <f>IF(A1067="","",A1067&amp;"|"&amp;O1067)</f>
        <v/>
      </c>
    </row>
    <row r="1068">
      <c r="A1068" s="60" t="n"/>
      <c r="B1068" s="63" t="n"/>
      <c r="C1068" s="63" t="n"/>
      <c r="D1068" s="67" t="n"/>
      <c r="E1068" s="68" t="n"/>
      <c r="F1068" s="69" t="n"/>
      <c r="G1068" s="70" t="n"/>
      <c r="H1068" s="62" t="str">
        <f>IF(COUNTA(A1068:G1068)=0,"",IF(C1068&lt;&gt;"",C1068,IF(B1068="","",IFERROR(INDEX(pr_des,MATCH(B1068,pr_code,0))&amp;"",""))))</f>
        <v/>
      </c>
      <c r="I1068" s="59" t="str">
        <f>IF(B1068="","",IFERROR(INDEX(pr_unit,MATCH(B1068,pr_code,0))&amp;"",""))</f>
        <v/>
      </c>
      <c r="J1068" s="65" t="str">
        <f>IF(COUNTA(A1068:G1068)=0,"",IF(E1068&lt;&gt;"",E1068,IF(B1068="","",IFERROR(IF(INDEX(pr_price,MATCH(B1068,pr_code,0))="","",INDEX(pr_price,MATCH(B1068,pr_code,0))),""))))</f>
        <v/>
      </c>
      <c r="K1068" s="71" t="str">
        <f>IF(COUNTA(A1068:G1068)=0,"",IF(G1068&lt;&gt;"",G1068,IF(B1068="","",IFERROR(IF(INDEX(pr_rate,MATCH(B1068,pr_code,0))="","",INDEX(pr_rate,MATCH(B1068,pr_code,0))),""))))</f>
        <v/>
      </c>
      <c r="L1068" s="65" t="str">
        <f>IF(COUNTA(A1068:G1068)=0,"",IF(AND(ISNUMBER(D1068),ISNUMBER(J1068)),ROUND(D1068*J1068*(1-N(F1068)),2),0))</f>
        <v/>
      </c>
      <c r="M1068" s="62" t="str">
        <f>IF(A1068="","",IFERROR(INDEX(dv_cname,MATCH(A1068,dv_num,0))&amp;"",""))</f>
        <v/>
      </c>
      <c r="N1068" s="59" t="str">
        <f>IF(COUNTA(A1068:G1068)=0,"",IF(A1068="","N° devis manquant",IF(ISNA(MATCH(A1068,dv_num,0)),"Devis inconnu",IF(AND(B1068&lt;&gt;"",ISNA(MATCH(B1068,pr_code,0))),"Article inconnu",IF(H1068="","Désignation manquante",IF(OR(NOT(ISNUMBER(D1068)),N(D1068)&lt;=0),"Quantité invalide",IF(J1068="","Prix manquant",IF(OR(NOT(ISNUMBER(J1068)),N(J1068)&lt;0),"Prix invalide",IF(OR(AND(F1068&lt;&gt;"",NOT(ISNUMBER(F1068))),N(F1068)&lt;0,N(F1068)&gt;1),"Remise invalide",IF(K1068="","Taux de TVA manquant",IF(NOT(ISNUMBER(K1068)),"Taux de TVA invalide",IF(COUNTIF(p_rates,K1068)=0,"Taux de TVA hors liste (Paramètres)",IF(N(O1068)&gt;25,"Au-delà de 25 lignes : non imprimée","OK")))))))))))))</f>
        <v/>
      </c>
      <c r="O1068" s="59" t="str">
        <f>IF(A1068="","",COUNTIF($A$6:A1068,A1068))</f>
        <v/>
      </c>
      <c r="P1068" s="62" t="str">
        <f>IF(A1068="","",A1068&amp;"|"&amp;O1068)</f>
        <v/>
      </c>
    </row>
    <row r="1069">
      <c r="A1069" s="60" t="n"/>
      <c r="B1069" s="63" t="n"/>
      <c r="C1069" s="63" t="n"/>
      <c r="D1069" s="67" t="n"/>
      <c r="E1069" s="68" t="n"/>
      <c r="F1069" s="69" t="n"/>
      <c r="G1069" s="70" t="n"/>
      <c r="H1069" s="62" t="str">
        <f>IF(COUNTA(A1069:G1069)=0,"",IF(C1069&lt;&gt;"",C1069,IF(B1069="","",IFERROR(INDEX(pr_des,MATCH(B1069,pr_code,0))&amp;"",""))))</f>
        <v/>
      </c>
      <c r="I1069" s="59" t="str">
        <f>IF(B1069="","",IFERROR(INDEX(pr_unit,MATCH(B1069,pr_code,0))&amp;"",""))</f>
        <v/>
      </c>
      <c r="J1069" s="65" t="str">
        <f>IF(COUNTA(A1069:G1069)=0,"",IF(E1069&lt;&gt;"",E1069,IF(B1069="","",IFERROR(IF(INDEX(pr_price,MATCH(B1069,pr_code,0))="","",INDEX(pr_price,MATCH(B1069,pr_code,0))),""))))</f>
        <v/>
      </c>
      <c r="K1069" s="71" t="str">
        <f>IF(COUNTA(A1069:G1069)=0,"",IF(G1069&lt;&gt;"",G1069,IF(B1069="","",IFERROR(IF(INDEX(pr_rate,MATCH(B1069,pr_code,0))="","",INDEX(pr_rate,MATCH(B1069,pr_code,0))),""))))</f>
        <v/>
      </c>
      <c r="L1069" s="65" t="str">
        <f>IF(COUNTA(A1069:G1069)=0,"",IF(AND(ISNUMBER(D1069),ISNUMBER(J1069)),ROUND(D1069*J1069*(1-N(F1069)),2),0))</f>
        <v/>
      </c>
      <c r="M1069" s="62" t="str">
        <f>IF(A1069="","",IFERROR(INDEX(dv_cname,MATCH(A1069,dv_num,0))&amp;"",""))</f>
        <v/>
      </c>
      <c r="N1069" s="59" t="str">
        <f>IF(COUNTA(A1069:G1069)=0,"",IF(A1069="","N° devis manquant",IF(ISNA(MATCH(A1069,dv_num,0)),"Devis inconnu",IF(AND(B1069&lt;&gt;"",ISNA(MATCH(B1069,pr_code,0))),"Article inconnu",IF(H1069="","Désignation manquante",IF(OR(NOT(ISNUMBER(D1069)),N(D1069)&lt;=0),"Quantité invalide",IF(J1069="","Prix manquant",IF(OR(NOT(ISNUMBER(J1069)),N(J1069)&lt;0),"Prix invalide",IF(OR(AND(F1069&lt;&gt;"",NOT(ISNUMBER(F1069))),N(F1069)&lt;0,N(F1069)&gt;1),"Remise invalide",IF(K1069="","Taux de TVA manquant",IF(NOT(ISNUMBER(K1069)),"Taux de TVA invalide",IF(COUNTIF(p_rates,K1069)=0,"Taux de TVA hors liste (Paramètres)",IF(N(O1069)&gt;25,"Au-delà de 25 lignes : non imprimée","OK")))))))))))))</f>
        <v/>
      </c>
      <c r="O1069" s="59" t="str">
        <f>IF(A1069="","",COUNTIF($A$6:A1069,A1069))</f>
        <v/>
      </c>
      <c r="P1069" s="62" t="str">
        <f>IF(A1069="","",A1069&amp;"|"&amp;O1069)</f>
        <v/>
      </c>
    </row>
    <row r="1070">
      <c r="A1070" s="60" t="n"/>
      <c r="B1070" s="63" t="n"/>
      <c r="C1070" s="63" t="n"/>
      <c r="D1070" s="67" t="n"/>
      <c r="E1070" s="68" t="n"/>
      <c r="F1070" s="69" t="n"/>
      <c r="G1070" s="70" t="n"/>
      <c r="H1070" s="62" t="str">
        <f>IF(COUNTA(A1070:G1070)=0,"",IF(C1070&lt;&gt;"",C1070,IF(B1070="","",IFERROR(INDEX(pr_des,MATCH(B1070,pr_code,0))&amp;"",""))))</f>
        <v/>
      </c>
      <c r="I1070" s="59" t="str">
        <f>IF(B1070="","",IFERROR(INDEX(pr_unit,MATCH(B1070,pr_code,0))&amp;"",""))</f>
        <v/>
      </c>
      <c r="J1070" s="65" t="str">
        <f>IF(COUNTA(A1070:G1070)=0,"",IF(E1070&lt;&gt;"",E1070,IF(B1070="","",IFERROR(IF(INDEX(pr_price,MATCH(B1070,pr_code,0))="","",INDEX(pr_price,MATCH(B1070,pr_code,0))),""))))</f>
        <v/>
      </c>
      <c r="K1070" s="71" t="str">
        <f>IF(COUNTA(A1070:G1070)=0,"",IF(G1070&lt;&gt;"",G1070,IF(B1070="","",IFERROR(IF(INDEX(pr_rate,MATCH(B1070,pr_code,0))="","",INDEX(pr_rate,MATCH(B1070,pr_code,0))),""))))</f>
        <v/>
      </c>
      <c r="L1070" s="65" t="str">
        <f>IF(COUNTA(A1070:G1070)=0,"",IF(AND(ISNUMBER(D1070),ISNUMBER(J1070)),ROUND(D1070*J1070*(1-N(F1070)),2),0))</f>
        <v/>
      </c>
      <c r="M1070" s="62" t="str">
        <f>IF(A1070="","",IFERROR(INDEX(dv_cname,MATCH(A1070,dv_num,0))&amp;"",""))</f>
        <v/>
      </c>
      <c r="N1070" s="59" t="str">
        <f>IF(COUNTA(A1070:G1070)=0,"",IF(A1070="","N° devis manquant",IF(ISNA(MATCH(A1070,dv_num,0)),"Devis inconnu",IF(AND(B1070&lt;&gt;"",ISNA(MATCH(B1070,pr_code,0))),"Article inconnu",IF(H1070="","Désignation manquante",IF(OR(NOT(ISNUMBER(D1070)),N(D1070)&lt;=0),"Quantité invalide",IF(J1070="","Prix manquant",IF(OR(NOT(ISNUMBER(J1070)),N(J1070)&lt;0),"Prix invalide",IF(OR(AND(F1070&lt;&gt;"",NOT(ISNUMBER(F1070))),N(F1070)&lt;0,N(F1070)&gt;1),"Remise invalide",IF(K1070="","Taux de TVA manquant",IF(NOT(ISNUMBER(K1070)),"Taux de TVA invalide",IF(COUNTIF(p_rates,K1070)=0,"Taux de TVA hors liste (Paramètres)",IF(N(O1070)&gt;25,"Au-delà de 25 lignes : non imprimée","OK")))))))))))))</f>
        <v/>
      </c>
      <c r="O1070" s="59" t="str">
        <f>IF(A1070="","",COUNTIF($A$6:A1070,A1070))</f>
        <v/>
      </c>
      <c r="P1070" s="62" t="str">
        <f>IF(A1070="","",A1070&amp;"|"&amp;O1070)</f>
        <v/>
      </c>
    </row>
    <row r="1071">
      <c r="A1071" s="60" t="n"/>
      <c r="B1071" s="63" t="n"/>
      <c r="C1071" s="63" t="n"/>
      <c r="D1071" s="67" t="n"/>
      <c r="E1071" s="68" t="n"/>
      <c r="F1071" s="69" t="n"/>
      <c r="G1071" s="70" t="n"/>
      <c r="H1071" s="62" t="str">
        <f>IF(COUNTA(A1071:G1071)=0,"",IF(C1071&lt;&gt;"",C1071,IF(B1071="","",IFERROR(INDEX(pr_des,MATCH(B1071,pr_code,0))&amp;"",""))))</f>
        <v/>
      </c>
      <c r="I1071" s="59" t="str">
        <f>IF(B1071="","",IFERROR(INDEX(pr_unit,MATCH(B1071,pr_code,0))&amp;"",""))</f>
        <v/>
      </c>
      <c r="J1071" s="65" t="str">
        <f>IF(COUNTA(A1071:G1071)=0,"",IF(E1071&lt;&gt;"",E1071,IF(B1071="","",IFERROR(IF(INDEX(pr_price,MATCH(B1071,pr_code,0))="","",INDEX(pr_price,MATCH(B1071,pr_code,0))),""))))</f>
        <v/>
      </c>
      <c r="K1071" s="71" t="str">
        <f>IF(COUNTA(A1071:G1071)=0,"",IF(G1071&lt;&gt;"",G1071,IF(B1071="","",IFERROR(IF(INDEX(pr_rate,MATCH(B1071,pr_code,0))="","",INDEX(pr_rate,MATCH(B1071,pr_code,0))),""))))</f>
        <v/>
      </c>
      <c r="L1071" s="65" t="str">
        <f>IF(COUNTA(A1071:G1071)=0,"",IF(AND(ISNUMBER(D1071),ISNUMBER(J1071)),ROUND(D1071*J1071*(1-N(F1071)),2),0))</f>
        <v/>
      </c>
      <c r="M1071" s="62" t="str">
        <f>IF(A1071="","",IFERROR(INDEX(dv_cname,MATCH(A1071,dv_num,0))&amp;"",""))</f>
        <v/>
      </c>
      <c r="N1071" s="59" t="str">
        <f>IF(COUNTA(A1071:G1071)=0,"",IF(A1071="","N° devis manquant",IF(ISNA(MATCH(A1071,dv_num,0)),"Devis inconnu",IF(AND(B1071&lt;&gt;"",ISNA(MATCH(B1071,pr_code,0))),"Article inconnu",IF(H1071="","Désignation manquante",IF(OR(NOT(ISNUMBER(D1071)),N(D1071)&lt;=0),"Quantité invalide",IF(J1071="","Prix manquant",IF(OR(NOT(ISNUMBER(J1071)),N(J1071)&lt;0),"Prix invalide",IF(OR(AND(F1071&lt;&gt;"",NOT(ISNUMBER(F1071))),N(F1071)&lt;0,N(F1071)&gt;1),"Remise invalide",IF(K1071="","Taux de TVA manquant",IF(NOT(ISNUMBER(K1071)),"Taux de TVA invalide",IF(COUNTIF(p_rates,K1071)=0,"Taux de TVA hors liste (Paramètres)",IF(N(O1071)&gt;25,"Au-delà de 25 lignes : non imprimée","OK")))))))))))))</f>
        <v/>
      </c>
      <c r="O1071" s="59" t="str">
        <f>IF(A1071="","",COUNTIF($A$6:A1071,A1071))</f>
        <v/>
      </c>
      <c r="P1071" s="62" t="str">
        <f>IF(A1071="","",A1071&amp;"|"&amp;O1071)</f>
        <v/>
      </c>
    </row>
    <row r="1072">
      <c r="A1072" s="60" t="n"/>
      <c r="B1072" s="63" t="n"/>
      <c r="C1072" s="63" t="n"/>
      <c r="D1072" s="67" t="n"/>
      <c r="E1072" s="68" t="n"/>
      <c r="F1072" s="69" t="n"/>
      <c r="G1072" s="70" t="n"/>
      <c r="H1072" s="62" t="str">
        <f>IF(COUNTA(A1072:G1072)=0,"",IF(C1072&lt;&gt;"",C1072,IF(B1072="","",IFERROR(INDEX(pr_des,MATCH(B1072,pr_code,0))&amp;"",""))))</f>
        <v/>
      </c>
      <c r="I1072" s="59" t="str">
        <f>IF(B1072="","",IFERROR(INDEX(pr_unit,MATCH(B1072,pr_code,0))&amp;"",""))</f>
        <v/>
      </c>
      <c r="J1072" s="65" t="str">
        <f>IF(COUNTA(A1072:G1072)=0,"",IF(E1072&lt;&gt;"",E1072,IF(B1072="","",IFERROR(IF(INDEX(pr_price,MATCH(B1072,pr_code,0))="","",INDEX(pr_price,MATCH(B1072,pr_code,0))),""))))</f>
        <v/>
      </c>
      <c r="K1072" s="71" t="str">
        <f>IF(COUNTA(A1072:G1072)=0,"",IF(G1072&lt;&gt;"",G1072,IF(B1072="","",IFERROR(IF(INDEX(pr_rate,MATCH(B1072,pr_code,0))="","",INDEX(pr_rate,MATCH(B1072,pr_code,0))),""))))</f>
        <v/>
      </c>
      <c r="L1072" s="65" t="str">
        <f>IF(COUNTA(A1072:G1072)=0,"",IF(AND(ISNUMBER(D1072),ISNUMBER(J1072)),ROUND(D1072*J1072*(1-N(F1072)),2),0))</f>
        <v/>
      </c>
      <c r="M1072" s="62" t="str">
        <f>IF(A1072="","",IFERROR(INDEX(dv_cname,MATCH(A1072,dv_num,0))&amp;"",""))</f>
        <v/>
      </c>
      <c r="N1072" s="59" t="str">
        <f>IF(COUNTA(A1072:G1072)=0,"",IF(A1072="","N° devis manquant",IF(ISNA(MATCH(A1072,dv_num,0)),"Devis inconnu",IF(AND(B1072&lt;&gt;"",ISNA(MATCH(B1072,pr_code,0))),"Article inconnu",IF(H1072="","Désignation manquante",IF(OR(NOT(ISNUMBER(D1072)),N(D1072)&lt;=0),"Quantité invalide",IF(J1072="","Prix manquant",IF(OR(NOT(ISNUMBER(J1072)),N(J1072)&lt;0),"Prix invalide",IF(OR(AND(F1072&lt;&gt;"",NOT(ISNUMBER(F1072))),N(F1072)&lt;0,N(F1072)&gt;1),"Remise invalide",IF(K1072="","Taux de TVA manquant",IF(NOT(ISNUMBER(K1072)),"Taux de TVA invalide",IF(COUNTIF(p_rates,K1072)=0,"Taux de TVA hors liste (Paramètres)",IF(N(O1072)&gt;25,"Au-delà de 25 lignes : non imprimée","OK")))))))))))))</f>
        <v/>
      </c>
      <c r="O1072" s="59" t="str">
        <f>IF(A1072="","",COUNTIF($A$6:A1072,A1072))</f>
        <v/>
      </c>
      <c r="P1072" s="62" t="str">
        <f>IF(A1072="","",A1072&amp;"|"&amp;O1072)</f>
        <v/>
      </c>
    </row>
    <row r="1073">
      <c r="A1073" s="60" t="n"/>
      <c r="B1073" s="63" t="n"/>
      <c r="C1073" s="63" t="n"/>
      <c r="D1073" s="67" t="n"/>
      <c r="E1073" s="68" t="n"/>
      <c r="F1073" s="69" t="n"/>
      <c r="G1073" s="70" t="n"/>
      <c r="H1073" s="62" t="str">
        <f>IF(COUNTA(A1073:G1073)=0,"",IF(C1073&lt;&gt;"",C1073,IF(B1073="","",IFERROR(INDEX(pr_des,MATCH(B1073,pr_code,0))&amp;"",""))))</f>
        <v/>
      </c>
      <c r="I1073" s="59" t="str">
        <f>IF(B1073="","",IFERROR(INDEX(pr_unit,MATCH(B1073,pr_code,0))&amp;"",""))</f>
        <v/>
      </c>
      <c r="J1073" s="65" t="str">
        <f>IF(COUNTA(A1073:G1073)=0,"",IF(E1073&lt;&gt;"",E1073,IF(B1073="","",IFERROR(IF(INDEX(pr_price,MATCH(B1073,pr_code,0))="","",INDEX(pr_price,MATCH(B1073,pr_code,0))),""))))</f>
        <v/>
      </c>
      <c r="K1073" s="71" t="str">
        <f>IF(COUNTA(A1073:G1073)=0,"",IF(G1073&lt;&gt;"",G1073,IF(B1073="","",IFERROR(IF(INDEX(pr_rate,MATCH(B1073,pr_code,0))="","",INDEX(pr_rate,MATCH(B1073,pr_code,0))),""))))</f>
        <v/>
      </c>
      <c r="L1073" s="65" t="str">
        <f>IF(COUNTA(A1073:G1073)=0,"",IF(AND(ISNUMBER(D1073),ISNUMBER(J1073)),ROUND(D1073*J1073*(1-N(F1073)),2),0))</f>
        <v/>
      </c>
      <c r="M1073" s="62" t="str">
        <f>IF(A1073="","",IFERROR(INDEX(dv_cname,MATCH(A1073,dv_num,0))&amp;"",""))</f>
        <v/>
      </c>
      <c r="N1073" s="59" t="str">
        <f>IF(COUNTA(A1073:G1073)=0,"",IF(A1073="","N° devis manquant",IF(ISNA(MATCH(A1073,dv_num,0)),"Devis inconnu",IF(AND(B1073&lt;&gt;"",ISNA(MATCH(B1073,pr_code,0))),"Article inconnu",IF(H1073="","Désignation manquante",IF(OR(NOT(ISNUMBER(D1073)),N(D1073)&lt;=0),"Quantité invalide",IF(J1073="","Prix manquant",IF(OR(NOT(ISNUMBER(J1073)),N(J1073)&lt;0),"Prix invalide",IF(OR(AND(F1073&lt;&gt;"",NOT(ISNUMBER(F1073))),N(F1073)&lt;0,N(F1073)&gt;1),"Remise invalide",IF(K1073="","Taux de TVA manquant",IF(NOT(ISNUMBER(K1073)),"Taux de TVA invalide",IF(COUNTIF(p_rates,K1073)=0,"Taux de TVA hors liste (Paramètres)",IF(N(O1073)&gt;25,"Au-delà de 25 lignes : non imprimée","OK")))))))))))))</f>
        <v/>
      </c>
      <c r="O1073" s="59" t="str">
        <f>IF(A1073="","",COUNTIF($A$6:A1073,A1073))</f>
        <v/>
      </c>
      <c r="P1073" s="62" t="str">
        <f>IF(A1073="","",A1073&amp;"|"&amp;O1073)</f>
        <v/>
      </c>
    </row>
    <row r="1074">
      <c r="A1074" s="60" t="n"/>
      <c r="B1074" s="63" t="n"/>
      <c r="C1074" s="63" t="n"/>
      <c r="D1074" s="67" t="n"/>
      <c r="E1074" s="68" t="n"/>
      <c r="F1074" s="69" t="n"/>
      <c r="G1074" s="70" t="n"/>
      <c r="H1074" s="62" t="str">
        <f>IF(COUNTA(A1074:G1074)=0,"",IF(C1074&lt;&gt;"",C1074,IF(B1074="","",IFERROR(INDEX(pr_des,MATCH(B1074,pr_code,0))&amp;"",""))))</f>
        <v/>
      </c>
      <c r="I1074" s="59" t="str">
        <f>IF(B1074="","",IFERROR(INDEX(pr_unit,MATCH(B1074,pr_code,0))&amp;"",""))</f>
        <v/>
      </c>
      <c r="J1074" s="65" t="str">
        <f>IF(COUNTA(A1074:G1074)=0,"",IF(E1074&lt;&gt;"",E1074,IF(B1074="","",IFERROR(IF(INDEX(pr_price,MATCH(B1074,pr_code,0))="","",INDEX(pr_price,MATCH(B1074,pr_code,0))),""))))</f>
        <v/>
      </c>
      <c r="K1074" s="71" t="str">
        <f>IF(COUNTA(A1074:G1074)=0,"",IF(G1074&lt;&gt;"",G1074,IF(B1074="","",IFERROR(IF(INDEX(pr_rate,MATCH(B1074,pr_code,0))="","",INDEX(pr_rate,MATCH(B1074,pr_code,0))),""))))</f>
        <v/>
      </c>
      <c r="L1074" s="65" t="str">
        <f>IF(COUNTA(A1074:G1074)=0,"",IF(AND(ISNUMBER(D1074),ISNUMBER(J1074)),ROUND(D1074*J1074*(1-N(F1074)),2),0))</f>
        <v/>
      </c>
      <c r="M1074" s="62" t="str">
        <f>IF(A1074="","",IFERROR(INDEX(dv_cname,MATCH(A1074,dv_num,0))&amp;"",""))</f>
        <v/>
      </c>
      <c r="N1074" s="59" t="str">
        <f>IF(COUNTA(A1074:G1074)=0,"",IF(A1074="","N° devis manquant",IF(ISNA(MATCH(A1074,dv_num,0)),"Devis inconnu",IF(AND(B1074&lt;&gt;"",ISNA(MATCH(B1074,pr_code,0))),"Article inconnu",IF(H1074="","Désignation manquante",IF(OR(NOT(ISNUMBER(D1074)),N(D1074)&lt;=0),"Quantité invalide",IF(J1074="","Prix manquant",IF(OR(NOT(ISNUMBER(J1074)),N(J1074)&lt;0),"Prix invalide",IF(OR(AND(F1074&lt;&gt;"",NOT(ISNUMBER(F1074))),N(F1074)&lt;0,N(F1074)&gt;1),"Remise invalide",IF(K1074="","Taux de TVA manquant",IF(NOT(ISNUMBER(K1074)),"Taux de TVA invalide",IF(COUNTIF(p_rates,K1074)=0,"Taux de TVA hors liste (Paramètres)",IF(N(O1074)&gt;25,"Au-delà de 25 lignes : non imprimée","OK")))))))))))))</f>
        <v/>
      </c>
      <c r="O1074" s="59" t="str">
        <f>IF(A1074="","",COUNTIF($A$6:A1074,A1074))</f>
        <v/>
      </c>
      <c r="P1074" s="62" t="str">
        <f>IF(A1074="","",A1074&amp;"|"&amp;O1074)</f>
        <v/>
      </c>
    </row>
    <row r="1075">
      <c r="A1075" s="60" t="n"/>
      <c r="B1075" s="63" t="n"/>
      <c r="C1075" s="63" t="n"/>
      <c r="D1075" s="67" t="n"/>
      <c r="E1075" s="68" t="n"/>
      <c r="F1075" s="69" t="n"/>
      <c r="G1075" s="70" t="n"/>
      <c r="H1075" s="62" t="str">
        <f>IF(COUNTA(A1075:G1075)=0,"",IF(C1075&lt;&gt;"",C1075,IF(B1075="","",IFERROR(INDEX(pr_des,MATCH(B1075,pr_code,0))&amp;"",""))))</f>
        <v/>
      </c>
      <c r="I1075" s="59" t="str">
        <f>IF(B1075="","",IFERROR(INDEX(pr_unit,MATCH(B1075,pr_code,0))&amp;"",""))</f>
        <v/>
      </c>
      <c r="J1075" s="65" t="str">
        <f>IF(COUNTA(A1075:G1075)=0,"",IF(E1075&lt;&gt;"",E1075,IF(B1075="","",IFERROR(IF(INDEX(pr_price,MATCH(B1075,pr_code,0))="","",INDEX(pr_price,MATCH(B1075,pr_code,0))),""))))</f>
        <v/>
      </c>
      <c r="K1075" s="71" t="str">
        <f>IF(COUNTA(A1075:G1075)=0,"",IF(G1075&lt;&gt;"",G1075,IF(B1075="","",IFERROR(IF(INDEX(pr_rate,MATCH(B1075,pr_code,0))="","",INDEX(pr_rate,MATCH(B1075,pr_code,0))),""))))</f>
        <v/>
      </c>
      <c r="L1075" s="65" t="str">
        <f>IF(COUNTA(A1075:G1075)=0,"",IF(AND(ISNUMBER(D1075),ISNUMBER(J1075)),ROUND(D1075*J1075*(1-N(F1075)),2),0))</f>
        <v/>
      </c>
      <c r="M1075" s="62" t="str">
        <f>IF(A1075="","",IFERROR(INDEX(dv_cname,MATCH(A1075,dv_num,0))&amp;"",""))</f>
        <v/>
      </c>
      <c r="N1075" s="59" t="str">
        <f>IF(COUNTA(A1075:G1075)=0,"",IF(A1075="","N° devis manquant",IF(ISNA(MATCH(A1075,dv_num,0)),"Devis inconnu",IF(AND(B1075&lt;&gt;"",ISNA(MATCH(B1075,pr_code,0))),"Article inconnu",IF(H1075="","Désignation manquante",IF(OR(NOT(ISNUMBER(D1075)),N(D1075)&lt;=0),"Quantité invalide",IF(J1075="","Prix manquant",IF(OR(NOT(ISNUMBER(J1075)),N(J1075)&lt;0),"Prix invalide",IF(OR(AND(F1075&lt;&gt;"",NOT(ISNUMBER(F1075))),N(F1075)&lt;0,N(F1075)&gt;1),"Remise invalide",IF(K1075="","Taux de TVA manquant",IF(NOT(ISNUMBER(K1075)),"Taux de TVA invalide",IF(COUNTIF(p_rates,K1075)=0,"Taux de TVA hors liste (Paramètres)",IF(N(O1075)&gt;25,"Au-delà de 25 lignes : non imprimée","OK")))))))))))))</f>
        <v/>
      </c>
      <c r="O1075" s="59" t="str">
        <f>IF(A1075="","",COUNTIF($A$6:A1075,A1075))</f>
        <v/>
      </c>
      <c r="P1075" s="62" t="str">
        <f>IF(A1075="","",A1075&amp;"|"&amp;O1075)</f>
        <v/>
      </c>
    </row>
    <row r="1076">
      <c r="A1076" s="60" t="n"/>
      <c r="B1076" s="63" t="n"/>
      <c r="C1076" s="63" t="n"/>
      <c r="D1076" s="67" t="n"/>
      <c r="E1076" s="68" t="n"/>
      <c r="F1076" s="69" t="n"/>
      <c r="G1076" s="70" t="n"/>
      <c r="H1076" s="62" t="str">
        <f>IF(COUNTA(A1076:G1076)=0,"",IF(C1076&lt;&gt;"",C1076,IF(B1076="","",IFERROR(INDEX(pr_des,MATCH(B1076,pr_code,0))&amp;"",""))))</f>
        <v/>
      </c>
      <c r="I1076" s="59" t="str">
        <f>IF(B1076="","",IFERROR(INDEX(pr_unit,MATCH(B1076,pr_code,0))&amp;"",""))</f>
        <v/>
      </c>
      <c r="J1076" s="65" t="str">
        <f>IF(COUNTA(A1076:G1076)=0,"",IF(E1076&lt;&gt;"",E1076,IF(B1076="","",IFERROR(IF(INDEX(pr_price,MATCH(B1076,pr_code,0))="","",INDEX(pr_price,MATCH(B1076,pr_code,0))),""))))</f>
        <v/>
      </c>
      <c r="K1076" s="71" t="str">
        <f>IF(COUNTA(A1076:G1076)=0,"",IF(G1076&lt;&gt;"",G1076,IF(B1076="","",IFERROR(IF(INDEX(pr_rate,MATCH(B1076,pr_code,0))="","",INDEX(pr_rate,MATCH(B1076,pr_code,0))),""))))</f>
        <v/>
      </c>
      <c r="L1076" s="65" t="str">
        <f>IF(COUNTA(A1076:G1076)=0,"",IF(AND(ISNUMBER(D1076),ISNUMBER(J1076)),ROUND(D1076*J1076*(1-N(F1076)),2),0))</f>
        <v/>
      </c>
      <c r="M1076" s="62" t="str">
        <f>IF(A1076="","",IFERROR(INDEX(dv_cname,MATCH(A1076,dv_num,0))&amp;"",""))</f>
        <v/>
      </c>
      <c r="N1076" s="59" t="str">
        <f>IF(COUNTA(A1076:G1076)=0,"",IF(A1076="","N° devis manquant",IF(ISNA(MATCH(A1076,dv_num,0)),"Devis inconnu",IF(AND(B1076&lt;&gt;"",ISNA(MATCH(B1076,pr_code,0))),"Article inconnu",IF(H1076="","Désignation manquante",IF(OR(NOT(ISNUMBER(D1076)),N(D1076)&lt;=0),"Quantité invalide",IF(J1076="","Prix manquant",IF(OR(NOT(ISNUMBER(J1076)),N(J1076)&lt;0),"Prix invalide",IF(OR(AND(F1076&lt;&gt;"",NOT(ISNUMBER(F1076))),N(F1076)&lt;0,N(F1076)&gt;1),"Remise invalide",IF(K1076="","Taux de TVA manquant",IF(NOT(ISNUMBER(K1076)),"Taux de TVA invalide",IF(COUNTIF(p_rates,K1076)=0,"Taux de TVA hors liste (Paramètres)",IF(N(O1076)&gt;25,"Au-delà de 25 lignes : non imprimée","OK")))))))))))))</f>
        <v/>
      </c>
      <c r="O1076" s="59" t="str">
        <f>IF(A1076="","",COUNTIF($A$6:A1076,A1076))</f>
        <v/>
      </c>
      <c r="P1076" s="62" t="str">
        <f>IF(A1076="","",A1076&amp;"|"&amp;O1076)</f>
        <v/>
      </c>
    </row>
    <row r="1077">
      <c r="A1077" s="60" t="n"/>
      <c r="B1077" s="63" t="n"/>
      <c r="C1077" s="63" t="n"/>
      <c r="D1077" s="67" t="n"/>
      <c r="E1077" s="68" t="n"/>
      <c r="F1077" s="69" t="n"/>
      <c r="G1077" s="70" t="n"/>
      <c r="H1077" s="62" t="str">
        <f>IF(COUNTA(A1077:G1077)=0,"",IF(C1077&lt;&gt;"",C1077,IF(B1077="","",IFERROR(INDEX(pr_des,MATCH(B1077,pr_code,0))&amp;"",""))))</f>
        <v/>
      </c>
      <c r="I1077" s="59" t="str">
        <f>IF(B1077="","",IFERROR(INDEX(pr_unit,MATCH(B1077,pr_code,0))&amp;"",""))</f>
        <v/>
      </c>
      <c r="J1077" s="65" t="str">
        <f>IF(COUNTA(A1077:G1077)=0,"",IF(E1077&lt;&gt;"",E1077,IF(B1077="","",IFERROR(IF(INDEX(pr_price,MATCH(B1077,pr_code,0))="","",INDEX(pr_price,MATCH(B1077,pr_code,0))),""))))</f>
        <v/>
      </c>
      <c r="K1077" s="71" t="str">
        <f>IF(COUNTA(A1077:G1077)=0,"",IF(G1077&lt;&gt;"",G1077,IF(B1077="","",IFERROR(IF(INDEX(pr_rate,MATCH(B1077,pr_code,0))="","",INDEX(pr_rate,MATCH(B1077,pr_code,0))),""))))</f>
        <v/>
      </c>
      <c r="L1077" s="65" t="str">
        <f>IF(COUNTA(A1077:G1077)=0,"",IF(AND(ISNUMBER(D1077),ISNUMBER(J1077)),ROUND(D1077*J1077*(1-N(F1077)),2),0))</f>
        <v/>
      </c>
      <c r="M1077" s="62" t="str">
        <f>IF(A1077="","",IFERROR(INDEX(dv_cname,MATCH(A1077,dv_num,0))&amp;"",""))</f>
        <v/>
      </c>
      <c r="N1077" s="59" t="str">
        <f>IF(COUNTA(A1077:G1077)=0,"",IF(A1077="","N° devis manquant",IF(ISNA(MATCH(A1077,dv_num,0)),"Devis inconnu",IF(AND(B1077&lt;&gt;"",ISNA(MATCH(B1077,pr_code,0))),"Article inconnu",IF(H1077="","Désignation manquante",IF(OR(NOT(ISNUMBER(D1077)),N(D1077)&lt;=0),"Quantité invalide",IF(J1077="","Prix manquant",IF(OR(NOT(ISNUMBER(J1077)),N(J1077)&lt;0),"Prix invalide",IF(OR(AND(F1077&lt;&gt;"",NOT(ISNUMBER(F1077))),N(F1077)&lt;0,N(F1077)&gt;1),"Remise invalide",IF(K1077="","Taux de TVA manquant",IF(NOT(ISNUMBER(K1077)),"Taux de TVA invalide",IF(COUNTIF(p_rates,K1077)=0,"Taux de TVA hors liste (Paramètres)",IF(N(O1077)&gt;25,"Au-delà de 25 lignes : non imprimée","OK")))))))))))))</f>
        <v/>
      </c>
      <c r="O1077" s="59" t="str">
        <f>IF(A1077="","",COUNTIF($A$6:A1077,A1077))</f>
        <v/>
      </c>
      <c r="P1077" s="62" t="str">
        <f>IF(A1077="","",A1077&amp;"|"&amp;O1077)</f>
        <v/>
      </c>
    </row>
    <row r="1078">
      <c r="A1078" s="60" t="n"/>
      <c r="B1078" s="63" t="n"/>
      <c r="C1078" s="63" t="n"/>
      <c r="D1078" s="67" t="n"/>
      <c r="E1078" s="68" t="n"/>
      <c r="F1078" s="69" t="n"/>
      <c r="G1078" s="70" t="n"/>
      <c r="H1078" s="62" t="str">
        <f>IF(COUNTA(A1078:G1078)=0,"",IF(C1078&lt;&gt;"",C1078,IF(B1078="","",IFERROR(INDEX(pr_des,MATCH(B1078,pr_code,0))&amp;"",""))))</f>
        <v/>
      </c>
      <c r="I1078" s="59" t="str">
        <f>IF(B1078="","",IFERROR(INDEX(pr_unit,MATCH(B1078,pr_code,0))&amp;"",""))</f>
        <v/>
      </c>
      <c r="J1078" s="65" t="str">
        <f>IF(COUNTA(A1078:G1078)=0,"",IF(E1078&lt;&gt;"",E1078,IF(B1078="","",IFERROR(IF(INDEX(pr_price,MATCH(B1078,pr_code,0))="","",INDEX(pr_price,MATCH(B1078,pr_code,0))),""))))</f>
        <v/>
      </c>
      <c r="K1078" s="71" t="str">
        <f>IF(COUNTA(A1078:G1078)=0,"",IF(G1078&lt;&gt;"",G1078,IF(B1078="","",IFERROR(IF(INDEX(pr_rate,MATCH(B1078,pr_code,0))="","",INDEX(pr_rate,MATCH(B1078,pr_code,0))),""))))</f>
        <v/>
      </c>
      <c r="L1078" s="65" t="str">
        <f>IF(COUNTA(A1078:G1078)=0,"",IF(AND(ISNUMBER(D1078),ISNUMBER(J1078)),ROUND(D1078*J1078*(1-N(F1078)),2),0))</f>
        <v/>
      </c>
      <c r="M1078" s="62" t="str">
        <f>IF(A1078="","",IFERROR(INDEX(dv_cname,MATCH(A1078,dv_num,0))&amp;"",""))</f>
        <v/>
      </c>
      <c r="N1078" s="59" t="str">
        <f>IF(COUNTA(A1078:G1078)=0,"",IF(A1078="","N° devis manquant",IF(ISNA(MATCH(A1078,dv_num,0)),"Devis inconnu",IF(AND(B1078&lt;&gt;"",ISNA(MATCH(B1078,pr_code,0))),"Article inconnu",IF(H1078="","Désignation manquante",IF(OR(NOT(ISNUMBER(D1078)),N(D1078)&lt;=0),"Quantité invalide",IF(J1078="","Prix manquant",IF(OR(NOT(ISNUMBER(J1078)),N(J1078)&lt;0),"Prix invalide",IF(OR(AND(F1078&lt;&gt;"",NOT(ISNUMBER(F1078))),N(F1078)&lt;0,N(F1078)&gt;1),"Remise invalide",IF(K1078="","Taux de TVA manquant",IF(NOT(ISNUMBER(K1078)),"Taux de TVA invalide",IF(COUNTIF(p_rates,K1078)=0,"Taux de TVA hors liste (Paramètres)",IF(N(O1078)&gt;25,"Au-delà de 25 lignes : non imprimée","OK")))))))))))))</f>
        <v/>
      </c>
      <c r="O1078" s="59" t="str">
        <f>IF(A1078="","",COUNTIF($A$6:A1078,A1078))</f>
        <v/>
      </c>
      <c r="P1078" s="62" t="str">
        <f>IF(A1078="","",A1078&amp;"|"&amp;O1078)</f>
        <v/>
      </c>
    </row>
    <row r="1079">
      <c r="A1079" s="60" t="n"/>
      <c r="B1079" s="63" t="n"/>
      <c r="C1079" s="63" t="n"/>
      <c r="D1079" s="67" t="n"/>
      <c r="E1079" s="68" t="n"/>
      <c r="F1079" s="69" t="n"/>
      <c r="G1079" s="70" t="n"/>
      <c r="H1079" s="62" t="str">
        <f>IF(COUNTA(A1079:G1079)=0,"",IF(C1079&lt;&gt;"",C1079,IF(B1079="","",IFERROR(INDEX(pr_des,MATCH(B1079,pr_code,0))&amp;"",""))))</f>
        <v/>
      </c>
      <c r="I1079" s="59" t="str">
        <f>IF(B1079="","",IFERROR(INDEX(pr_unit,MATCH(B1079,pr_code,0))&amp;"",""))</f>
        <v/>
      </c>
      <c r="J1079" s="65" t="str">
        <f>IF(COUNTA(A1079:G1079)=0,"",IF(E1079&lt;&gt;"",E1079,IF(B1079="","",IFERROR(IF(INDEX(pr_price,MATCH(B1079,pr_code,0))="","",INDEX(pr_price,MATCH(B1079,pr_code,0))),""))))</f>
        <v/>
      </c>
      <c r="K1079" s="71" t="str">
        <f>IF(COUNTA(A1079:G1079)=0,"",IF(G1079&lt;&gt;"",G1079,IF(B1079="","",IFERROR(IF(INDEX(pr_rate,MATCH(B1079,pr_code,0))="","",INDEX(pr_rate,MATCH(B1079,pr_code,0))),""))))</f>
        <v/>
      </c>
      <c r="L1079" s="65" t="str">
        <f>IF(COUNTA(A1079:G1079)=0,"",IF(AND(ISNUMBER(D1079),ISNUMBER(J1079)),ROUND(D1079*J1079*(1-N(F1079)),2),0))</f>
        <v/>
      </c>
      <c r="M1079" s="62" t="str">
        <f>IF(A1079="","",IFERROR(INDEX(dv_cname,MATCH(A1079,dv_num,0))&amp;"",""))</f>
        <v/>
      </c>
      <c r="N1079" s="59" t="str">
        <f>IF(COUNTA(A1079:G1079)=0,"",IF(A1079="","N° devis manquant",IF(ISNA(MATCH(A1079,dv_num,0)),"Devis inconnu",IF(AND(B1079&lt;&gt;"",ISNA(MATCH(B1079,pr_code,0))),"Article inconnu",IF(H1079="","Désignation manquante",IF(OR(NOT(ISNUMBER(D1079)),N(D1079)&lt;=0),"Quantité invalide",IF(J1079="","Prix manquant",IF(OR(NOT(ISNUMBER(J1079)),N(J1079)&lt;0),"Prix invalide",IF(OR(AND(F1079&lt;&gt;"",NOT(ISNUMBER(F1079))),N(F1079)&lt;0,N(F1079)&gt;1),"Remise invalide",IF(K1079="","Taux de TVA manquant",IF(NOT(ISNUMBER(K1079)),"Taux de TVA invalide",IF(COUNTIF(p_rates,K1079)=0,"Taux de TVA hors liste (Paramètres)",IF(N(O1079)&gt;25,"Au-delà de 25 lignes : non imprimée","OK")))))))))))))</f>
        <v/>
      </c>
      <c r="O1079" s="59" t="str">
        <f>IF(A1079="","",COUNTIF($A$6:A1079,A1079))</f>
        <v/>
      </c>
      <c r="P1079" s="62" t="str">
        <f>IF(A1079="","",A1079&amp;"|"&amp;O1079)</f>
        <v/>
      </c>
    </row>
    <row r="1080">
      <c r="A1080" s="60" t="n"/>
      <c r="B1080" s="63" t="n"/>
      <c r="C1080" s="63" t="n"/>
      <c r="D1080" s="67" t="n"/>
      <c r="E1080" s="68" t="n"/>
      <c r="F1080" s="69" t="n"/>
      <c r="G1080" s="70" t="n"/>
      <c r="H1080" s="62" t="str">
        <f>IF(COUNTA(A1080:G1080)=0,"",IF(C1080&lt;&gt;"",C1080,IF(B1080="","",IFERROR(INDEX(pr_des,MATCH(B1080,pr_code,0))&amp;"",""))))</f>
        <v/>
      </c>
      <c r="I1080" s="59" t="str">
        <f>IF(B1080="","",IFERROR(INDEX(pr_unit,MATCH(B1080,pr_code,0))&amp;"",""))</f>
        <v/>
      </c>
      <c r="J1080" s="65" t="str">
        <f>IF(COUNTA(A1080:G1080)=0,"",IF(E1080&lt;&gt;"",E1080,IF(B1080="","",IFERROR(IF(INDEX(pr_price,MATCH(B1080,pr_code,0))="","",INDEX(pr_price,MATCH(B1080,pr_code,0))),""))))</f>
        <v/>
      </c>
      <c r="K1080" s="71" t="str">
        <f>IF(COUNTA(A1080:G1080)=0,"",IF(G1080&lt;&gt;"",G1080,IF(B1080="","",IFERROR(IF(INDEX(pr_rate,MATCH(B1080,pr_code,0))="","",INDEX(pr_rate,MATCH(B1080,pr_code,0))),""))))</f>
        <v/>
      </c>
      <c r="L1080" s="65" t="str">
        <f>IF(COUNTA(A1080:G1080)=0,"",IF(AND(ISNUMBER(D1080),ISNUMBER(J1080)),ROUND(D1080*J1080*(1-N(F1080)),2),0))</f>
        <v/>
      </c>
      <c r="M1080" s="62" t="str">
        <f>IF(A1080="","",IFERROR(INDEX(dv_cname,MATCH(A1080,dv_num,0))&amp;"",""))</f>
        <v/>
      </c>
      <c r="N1080" s="59" t="str">
        <f>IF(COUNTA(A1080:G1080)=0,"",IF(A1080="","N° devis manquant",IF(ISNA(MATCH(A1080,dv_num,0)),"Devis inconnu",IF(AND(B1080&lt;&gt;"",ISNA(MATCH(B1080,pr_code,0))),"Article inconnu",IF(H1080="","Désignation manquante",IF(OR(NOT(ISNUMBER(D1080)),N(D1080)&lt;=0),"Quantité invalide",IF(J1080="","Prix manquant",IF(OR(NOT(ISNUMBER(J1080)),N(J1080)&lt;0),"Prix invalide",IF(OR(AND(F1080&lt;&gt;"",NOT(ISNUMBER(F1080))),N(F1080)&lt;0,N(F1080)&gt;1),"Remise invalide",IF(K1080="","Taux de TVA manquant",IF(NOT(ISNUMBER(K1080)),"Taux de TVA invalide",IF(COUNTIF(p_rates,K1080)=0,"Taux de TVA hors liste (Paramètres)",IF(N(O1080)&gt;25,"Au-delà de 25 lignes : non imprimée","OK")))))))))))))</f>
        <v/>
      </c>
      <c r="O1080" s="59" t="str">
        <f>IF(A1080="","",COUNTIF($A$6:A1080,A1080))</f>
        <v/>
      </c>
      <c r="P1080" s="62" t="str">
        <f>IF(A1080="","",A1080&amp;"|"&amp;O1080)</f>
        <v/>
      </c>
    </row>
    <row r="1081">
      <c r="A1081" s="60" t="n"/>
      <c r="B1081" s="63" t="n"/>
      <c r="C1081" s="63" t="n"/>
      <c r="D1081" s="67" t="n"/>
      <c r="E1081" s="68" t="n"/>
      <c r="F1081" s="69" t="n"/>
      <c r="G1081" s="70" t="n"/>
      <c r="H1081" s="62" t="str">
        <f>IF(COUNTA(A1081:G1081)=0,"",IF(C1081&lt;&gt;"",C1081,IF(B1081="","",IFERROR(INDEX(pr_des,MATCH(B1081,pr_code,0))&amp;"",""))))</f>
        <v/>
      </c>
      <c r="I1081" s="59" t="str">
        <f>IF(B1081="","",IFERROR(INDEX(pr_unit,MATCH(B1081,pr_code,0))&amp;"",""))</f>
        <v/>
      </c>
      <c r="J1081" s="65" t="str">
        <f>IF(COUNTA(A1081:G1081)=0,"",IF(E1081&lt;&gt;"",E1081,IF(B1081="","",IFERROR(IF(INDEX(pr_price,MATCH(B1081,pr_code,0))="","",INDEX(pr_price,MATCH(B1081,pr_code,0))),""))))</f>
        <v/>
      </c>
      <c r="K1081" s="71" t="str">
        <f>IF(COUNTA(A1081:G1081)=0,"",IF(G1081&lt;&gt;"",G1081,IF(B1081="","",IFERROR(IF(INDEX(pr_rate,MATCH(B1081,pr_code,0))="","",INDEX(pr_rate,MATCH(B1081,pr_code,0))),""))))</f>
        <v/>
      </c>
      <c r="L1081" s="65" t="str">
        <f>IF(COUNTA(A1081:G1081)=0,"",IF(AND(ISNUMBER(D1081),ISNUMBER(J1081)),ROUND(D1081*J1081*(1-N(F1081)),2),0))</f>
        <v/>
      </c>
      <c r="M1081" s="62" t="str">
        <f>IF(A1081="","",IFERROR(INDEX(dv_cname,MATCH(A1081,dv_num,0))&amp;"",""))</f>
        <v/>
      </c>
      <c r="N1081" s="59" t="str">
        <f>IF(COUNTA(A1081:G1081)=0,"",IF(A1081="","N° devis manquant",IF(ISNA(MATCH(A1081,dv_num,0)),"Devis inconnu",IF(AND(B1081&lt;&gt;"",ISNA(MATCH(B1081,pr_code,0))),"Article inconnu",IF(H1081="","Désignation manquante",IF(OR(NOT(ISNUMBER(D1081)),N(D1081)&lt;=0),"Quantité invalide",IF(J1081="","Prix manquant",IF(OR(NOT(ISNUMBER(J1081)),N(J1081)&lt;0),"Prix invalide",IF(OR(AND(F1081&lt;&gt;"",NOT(ISNUMBER(F1081))),N(F1081)&lt;0,N(F1081)&gt;1),"Remise invalide",IF(K1081="","Taux de TVA manquant",IF(NOT(ISNUMBER(K1081)),"Taux de TVA invalide",IF(COUNTIF(p_rates,K1081)=0,"Taux de TVA hors liste (Paramètres)",IF(N(O1081)&gt;25,"Au-delà de 25 lignes : non imprimée","OK")))))))))))))</f>
        <v/>
      </c>
      <c r="O1081" s="59" t="str">
        <f>IF(A1081="","",COUNTIF($A$6:A1081,A1081))</f>
        <v/>
      </c>
      <c r="P1081" s="62" t="str">
        <f>IF(A1081="","",A1081&amp;"|"&amp;O1081)</f>
        <v/>
      </c>
    </row>
    <row r="1082">
      <c r="A1082" s="60" t="n"/>
      <c r="B1082" s="63" t="n"/>
      <c r="C1082" s="63" t="n"/>
      <c r="D1082" s="67" t="n"/>
      <c r="E1082" s="68" t="n"/>
      <c r="F1082" s="69" t="n"/>
      <c r="G1082" s="70" t="n"/>
      <c r="H1082" s="62" t="str">
        <f>IF(COUNTA(A1082:G1082)=0,"",IF(C1082&lt;&gt;"",C1082,IF(B1082="","",IFERROR(INDEX(pr_des,MATCH(B1082,pr_code,0))&amp;"",""))))</f>
        <v/>
      </c>
      <c r="I1082" s="59" t="str">
        <f>IF(B1082="","",IFERROR(INDEX(pr_unit,MATCH(B1082,pr_code,0))&amp;"",""))</f>
        <v/>
      </c>
      <c r="J1082" s="65" t="str">
        <f>IF(COUNTA(A1082:G1082)=0,"",IF(E1082&lt;&gt;"",E1082,IF(B1082="","",IFERROR(IF(INDEX(pr_price,MATCH(B1082,pr_code,0))="","",INDEX(pr_price,MATCH(B1082,pr_code,0))),""))))</f>
        <v/>
      </c>
      <c r="K1082" s="71" t="str">
        <f>IF(COUNTA(A1082:G1082)=0,"",IF(G1082&lt;&gt;"",G1082,IF(B1082="","",IFERROR(IF(INDEX(pr_rate,MATCH(B1082,pr_code,0))="","",INDEX(pr_rate,MATCH(B1082,pr_code,0))),""))))</f>
        <v/>
      </c>
      <c r="L1082" s="65" t="str">
        <f>IF(COUNTA(A1082:G1082)=0,"",IF(AND(ISNUMBER(D1082),ISNUMBER(J1082)),ROUND(D1082*J1082*(1-N(F1082)),2),0))</f>
        <v/>
      </c>
      <c r="M1082" s="62" t="str">
        <f>IF(A1082="","",IFERROR(INDEX(dv_cname,MATCH(A1082,dv_num,0))&amp;"",""))</f>
        <v/>
      </c>
      <c r="N1082" s="59" t="str">
        <f>IF(COUNTA(A1082:G1082)=0,"",IF(A1082="","N° devis manquant",IF(ISNA(MATCH(A1082,dv_num,0)),"Devis inconnu",IF(AND(B1082&lt;&gt;"",ISNA(MATCH(B1082,pr_code,0))),"Article inconnu",IF(H1082="","Désignation manquante",IF(OR(NOT(ISNUMBER(D1082)),N(D1082)&lt;=0),"Quantité invalide",IF(J1082="","Prix manquant",IF(OR(NOT(ISNUMBER(J1082)),N(J1082)&lt;0),"Prix invalide",IF(OR(AND(F1082&lt;&gt;"",NOT(ISNUMBER(F1082))),N(F1082)&lt;0,N(F1082)&gt;1),"Remise invalide",IF(K1082="","Taux de TVA manquant",IF(NOT(ISNUMBER(K1082)),"Taux de TVA invalide",IF(COUNTIF(p_rates,K1082)=0,"Taux de TVA hors liste (Paramètres)",IF(N(O1082)&gt;25,"Au-delà de 25 lignes : non imprimée","OK")))))))))))))</f>
        <v/>
      </c>
      <c r="O1082" s="59" t="str">
        <f>IF(A1082="","",COUNTIF($A$6:A1082,A1082))</f>
        <v/>
      </c>
      <c r="P1082" s="62" t="str">
        <f>IF(A1082="","",A1082&amp;"|"&amp;O1082)</f>
        <v/>
      </c>
    </row>
    <row r="1083">
      <c r="A1083" s="60" t="n"/>
      <c r="B1083" s="63" t="n"/>
      <c r="C1083" s="63" t="n"/>
      <c r="D1083" s="67" t="n"/>
      <c r="E1083" s="68" t="n"/>
      <c r="F1083" s="69" t="n"/>
      <c r="G1083" s="70" t="n"/>
      <c r="H1083" s="62" t="str">
        <f>IF(COUNTA(A1083:G1083)=0,"",IF(C1083&lt;&gt;"",C1083,IF(B1083="","",IFERROR(INDEX(pr_des,MATCH(B1083,pr_code,0))&amp;"",""))))</f>
        <v/>
      </c>
      <c r="I1083" s="59" t="str">
        <f>IF(B1083="","",IFERROR(INDEX(pr_unit,MATCH(B1083,pr_code,0))&amp;"",""))</f>
        <v/>
      </c>
      <c r="J1083" s="65" t="str">
        <f>IF(COUNTA(A1083:G1083)=0,"",IF(E1083&lt;&gt;"",E1083,IF(B1083="","",IFERROR(IF(INDEX(pr_price,MATCH(B1083,pr_code,0))="","",INDEX(pr_price,MATCH(B1083,pr_code,0))),""))))</f>
        <v/>
      </c>
      <c r="K1083" s="71" t="str">
        <f>IF(COUNTA(A1083:G1083)=0,"",IF(G1083&lt;&gt;"",G1083,IF(B1083="","",IFERROR(IF(INDEX(pr_rate,MATCH(B1083,pr_code,0))="","",INDEX(pr_rate,MATCH(B1083,pr_code,0))),""))))</f>
        <v/>
      </c>
      <c r="L1083" s="65" t="str">
        <f>IF(COUNTA(A1083:G1083)=0,"",IF(AND(ISNUMBER(D1083),ISNUMBER(J1083)),ROUND(D1083*J1083*(1-N(F1083)),2),0))</f>
        <v/>
      </c>
      <c r="M1083" s="62" t="str">
        <f>IF(A1083="","",IFERROR(INDEX(dv_cname,MATCH(A1083,dv_num,0))&amp;"",""))</f>
        <v/>
      </c>
      <c r="N1083" s="59" t="str">
        <f>IF(COUNTA(A1083:G1083)=0,"",IF(A1083="","N° devis manquant",IF(ISNA(MATCH(A1083,dv_num,0)),"Devis inconnu",IF(AND(B1083&lt;&gt;"",ISNA(MATCH(B1083,pr_code,0))),"Article inconnu",IF(H1083="","Désignation manquante",IF(OR(NOT(ISNUMBER(D1083)),N(D1083)&lt;=0),"Quantité invalide",IF(J1083="","Prix manquant",IF(OR(NOT(ISNUMBER(J1083)),N(J1083)&lt;0),"Prix invalide",IF(OR(AND(F1083&lt;&gt;"",NOT(ISNUMBER(F1083))),N(F1083)&lt;0,N(F1083)&gt;1),"Remise invalide",IF(K1083="","Taux de TVA manquant",IF(NOT(ISNUMBER(K1083)),"Taux de TVA invalide",IF(COUNTIF(p_rates,K1083)=0,"Taux de TVA hors liste (Paramètres)",IF(N(O1083)&gt;25,"Au-delà de 25 lignes : non imprimée","OK")))))))))))))</f>
        <v/>
      </c>
      <c r="O1083" s="59" t="str">
        <f>IF(A1083="","",COUNTIF($A$6:A1083,A1083))</f>
        <v/>
      </c>
      <c r="P1083" s="62" t="str">
        <f>IF(A1083="","",A1083&amp;"|"&amp;O1083)</f>
        <v/>
      </c>
    </row>
    <row r="1084">
      <c r="A1084" s="60" t="n"/>
      <c r="B1084" s="63" t="n"/>
      <c r="C1084" s="63" t="n"/>
      <c r="D1084" s="67" t="n"/>
      <c r="E1084" s="68" t="n"/>
      <c r="F1084" s="69" t="n"/>
      <c r="G1084" s="70" t="n"/>
      <c r="H1084" s="62" t="str">
        <f>IF(COUNTA(A1084:G1084)=0,"",IF(C1084&lt;&gt;"",C1084,IF(B1084="","",IFERROR(INDEX(pr_des,MATCH(B1084,pr_code,0))&amp;"",""))))</f>
        <v/>
      </c>
      <c r="I1084" s="59" t="str">
        <f>IF(B1084="","",IFERROR(INDEX(pr_unit,MATCH(B1084,pr_code,0))&amp;"",""))</f>
        <v/>
      </c>
      <c r="J1084" s="65" t="str">
        <f>IF(COUNTA(A1084:G1084)=0,"",IF(E1084&lt;&gt;"",E1084,IF(B1084="","",IFERROR(IF(INDEX(pr_price,MATCH(B1084,pr_code,0))="","",INDEX(pr_price,MATCH(B1084,pr_code,0))),""))))</f>
        <v/>
      </c>
      <c r="K1084" s="71" t="str">
        <f>IF(COUNTA(A1084:G1084)=0,"",IF(G1084&lt;&gt;"",G1084,IF(B1084="","",IFERROR(IF(INDEX(pr_rate,MATCH(B1084,pr_code,0))="","",INDEX(pr_rate,MATCH(B1084,pr_code,0))),""))))</f>
        <v/>
      </c>
      <c r="L1084" s="65" t="str">
        <f>IF(COUNTA(A1084:G1084)=0,"",IF(AND(ISNUMBER(D1084),ISNUMBER(J1084)),ROUND(D1084*J1084*(1-N(F1084)),2),0))</f>
        <v/>
      </c>
      <c r="M1084" s="62" t="str">
        <f>IF(A1084="","",IFERROR(INDEX(dv_cname,MATCH(A1084,dv_num,0))&amp;"",""))</f>
        <v/>
      </c>
      <c r="N1084" s="59" t="str">
        <f>IF(COUNTA(A1084:G1084)=0,"",IF(A1084="","N° devis manquant",IF(ISNA(MATCH(A1084,dv_num,0)),"Devis inconnu",IF(AND(B1084&lt;&gt;"",ISNA(MATCH(B1084,pr_code,0))),"Article inconnu",IF(H1084="","Désignation manquante",IF(OR(NOT(ISNUMBER(D1084)),N(D1084)&lt;=0),"Quantité invalide",IF(J1084="","Prix manquant",IF(OR(NOT(ISNUMBER(J1084)),N(J1084)&lt;0),"Prix invalide",IF(OR(AND(F1084&lt;&gt;"",NOT(ISNUMBER(F1084))),N(F1084)&lt;0,N(F1084)&gt;1),"Remise invalide",IF(K1084="","Taux de TVA manquant",IF(NOT(ISNUMBER(K1084)),"Taux de TVA invalide",IF(COUNTIF(p_rates,K1084)=0,"Taux de TVA hors liste (Paramètres)",IF(N(O1084)&gt;25,"Au-delà de 25 lignes : non imprimée","OK")))))))))))))</f>
        <v/>
      </c>
      <c r="O1084" s="59" t="str">
        <f>IF(A1084="","",COUNTIF($A$6:A1084,A1084))</f>
        <v/>
      </c>
      <c r="P1084" s="62" t="str">
        <f>IF(A1084="","",A1084&amp;"|"&amp;O1084)</f>
        <v/>
      </c>
    </row>
    <row r="1085">
      <c r="A1085" s="60" t="n"/>
      <c r="B1085" s="63" t="n"/>
      <c r="C1085" s="63" t="n"/>
      <c r="D1085" s="67" t="n"/>
      <c r="E1085" s="68" t="n"/>
      <c r="F1085" s="69" t="n"/>
      <c r="G1085" s="70" t="n"/>
      <c r="H1085" s="62" t="str">
        <f>IF(COUNTA(A1085:G1085)=0,"",IF(C1085&lt;&gt;"",C1085,IF(B1085="","",IFERROR(INDEX(pr_des,MATCH(B1085,pr_code,0))&amp;"",""))))</f>
        <v/>
      </c>
      <c r="I1085" s="59" t="str">
        <f>IF(B1085="","",IFERROR(INDEX(pr_unit,MATCH(B1085,pr_code,0))&amp;"",""))</f>
        <v/>
      </c>
      <c r="J1085" s="65" t="str">
        <f>IF(COUNTA(A1085:G1085)=0,"",IF(E1085&lt;&gt;"",E1085,IF(B1085="","",IFERROR(IF(INDEX(pr_price,MATCH(B1085,pr_code,0))="","",INDEX(pr_price,MATCH(B1085,pr_code,0))),""))))</f>
        <v/>
      </c>
      <c r="K1085" s="71" t="str">
        <f>IF(COUNTA(A1085:G1085)=0,"",IF(G1085&lt;&gt;"",G1085,IF(B1085="","",IFERROR(IF(INDEX(pr_rate,MATCH(B1085,pr_code,0))="","",INDEX(pr_rate,MATCH(B1085,pr_code,0))),""))))</f>
        <v/>
      </c>
      <c r="L1085" s="65" t="str">
        <f>IF(COUNTA(A1085:G1085)=0,"",IF(AND(ISNUMBER(D1085),ISNUMBER(J1085)),ROUND(D1085*J1085*(1-N(F1085)),2),0))</f>
        <v/>
      </c>
      <c r="M1085" s="62" t="str">
        <f>IF(A1085="","",IFERROR(INDEX(dv_cname,MATCH(A1085,dv_num,0))&amp;"",""))</f>
        <v/>
      </c>
      <c r="N1085" s="59" t="str">
        <f>IF(COUNTA(A1085:G1085)=0,"",IF(A1085="","N° devis manquant",IF(ISNA(MATCH(A1085,dv_num,0)),"Devis inconnu",IF(AND(B1085&lt;&gt;"",ISNA(MATCH(B1085,pr_code,0))),"Article inconnu",IF(H1085="","Désignation manquante",IF(OR(NOT(ISNUMBER(D1085)),N(D1085)&lt;=0),"Quantité invalide",IF(J1085="","Prix manquant",IF(OR(NOT(ISNUMBER(J1085)),N(J1085)&lt;0),"Prix invalide",IF(OR(AND(F1085&lt;&gt;"",NOT(ISNUMBER(F1085))),N(F1085)&lt;0,N(F1085)&gt;1),"Remise invalide",IF(K1085="","Taux de TVA manquant",IF(NOT(ISNUMBER(K1085)),"Taux de TVA invalide",IF(COUNTIF(p_rates,K1085)=0,"Taux de TVA hors liste (Paramètres)",IF(N(O1085)&gt;25,"Au-delà de 25 lignes : non imprimée","OK")))))))))))))</f>
        <v/>
      </c>
      <c r="O1085" s="59" t="str">
        <f>IF(A1085="","",COUNTIF($A$6:A1085,A1085))</f>
        <v/>
      </c>
      <c r="P1085" s="62" t="str">
        <f>IF(A1085="","",A1085&amp;"|"&amp;O1085)</f>
        <v/>
      </c>
    </row>
    <row r="1086">
      <c r="A1086" s="60" t="n"/>
      <c r="B1086" s="63" t="n"/>
      <c r="C1086" s="63" t="n"/>
      <c r="D1086" s="67" t="n"/>
      <c r="E1086" s="68" t="n"/>
      <c r="F1086" s="69" t="n"/>
      <c r="G1086" s="70" t="n"/>
      <c r="H1086" s="62" t="str">
        <f>IF(COUNTA(A1086:G1086)=0,"",IF(C1086&lt;&gt;"",C1086,IF(B1086="","",IFERROR(INDEX(pr_des,MATCH(B1086,pr_code,0))&amp;"",""))))</f>
        <v/>
      </c>
      <c r="I1086" s="59" t="str">
        <f>IF(B1086="","",IFERROR(INDEX(pr_unit,MATCH(B1086,pr_code,0))&amp;"",""))</f>
        <v/>
      </c>
      <c r="J1086" s="65" t="str">
        <f>IF(COUNTA(A1086:G1086)=0,"",IF(E1086&lt;&gt;"",E1086,IF(B1086="","",IFERROR(IF(INDEX(pr_price,MATCH(B1086,pr_code,0))="","",INDEX(pr_price,MATCH(B1086,pr_code,0))),""))))</f>
        <v/>
      </c>
      <c r="K1086" s="71" t="str">
        <f>IF(COUNTA(A1086:G1086)=0,"",IF(G1086&lt;&gt;"",G1086,IF(B1086="","",IFERROR(IF(INDEX(pr_rate,MATCH(B1086,pr_code,0))="","",INDEX(pr_rate,MATCH(B1086,pr_code,0))),""))))</f>
        <v/>
      </c>
      <c r="L1086" s="65" t="str">
        <f>IF(COUNTA(A1086:G1086)=0,"",IF(AND(ISNUMBER(D1086),ISNUMBER(J1086)),ROUND(D1086*J1086*(1-N(F1086)),2),0))</f>
        <v/>
      </c>
      <c r="M1086" s="62" t="str">
        <f>IF(A1086="","",IFERROR(INDEX(dv_cname,MATCH(A1086,dv_num,0))&amp;"",""))</f>
        <v/>
      </c>
      <c r="N1086" s="59" t="str">
        <f>IF(COUNTA(A1086:G1086)=0,"",IF(A1086="","N° devis manquant",IF(ISNA(MATCH(A1086,dv_num,0)),"Devis inconnu",IF(AND(B1086&lt;&gt;"",ISNA(MATCH(B1086,pr_code,0))),"Article inconnu",IF(H1086="","Désignation manquante",IF(OR(NOT(ISNUMBER(D1086)),N(D1086)&lt;=0),"Quantité invalide",IF(J1086="","Prix manquant",IF(OR(NOT(ISNUMBER(J1086)),N(J1086)&lt;0),"Prix invalide",IF(OR(AND(F1086&lt;&gt;"",NOT(ISNUMBER(F1086))),N(F1086)&lt;0,N(F1086)&gt;1),"Remise invalide",IF(K1086="","Taux de TVA manquant",IF(NOT(ISNUMBER(K1086)),"Taux de TVA invalide",IF(COUNTIF(p_rates,K1086)=0,"Taux de TVA hors liste (Paramètres)",IF(N(O1086)&gt;25,"Au-delà de 25 lignes : non imprimée","OK")))))))))))))</f>
        <v/>
      </c>
      <c r="O1086" s="59" t="str">
        <f>IF(A1086="","",COUNTIF($A$6:A1086,A1086))</f>
        <v/>
      </c>
      <c r="P1086" s="62" t="str">
        <f>IF(A1086="","",A1086&amp;"|"&amp;O1086)</f>
        <v/>
      </c>
    </row>
    <row r="1087">
      <c r="A1087" s="60" t="n"/>
      <c r="B1087" s="63" t="n"/>
      <c r="C1087" s="63" t="n"/>
      <c r="D1087" s="67" t="n"/>
      <c r="E1087" s="68" t="n"/>
      <c r="F1087" s="69" t="n"/>
      <c r="G1087" s="70" t="n"/>
      <c r="H1087" s="62" t="str">
        <f>IF(COUNTA(A1087:G1087)=0,"",IF(C1087&lt;&gt;"",C1087,IF(B1087="","",IFERROR(INDEX(pr_des,MATCH(B1087,pr_code,0))&amp;"",""))))</f>
        <v/>
      </c>
      <c r="I1087" s="59" t="str">
        <f>IF(B1087="","",IFERROR(INDEX(pr_unit,MATCH(B1087,pr_code,0))&amp;"",""))</f>
        <v/>
      </c>
      <c r="J1087" s="65" t="str">
        <f>IF(COUNTA(A1087:G1087)=0,"",IF(E1087&lt;&gt;"",E1087,IF(B1087="","",IFERROR(IF(INDEX(pr_price,MATCH(B1087,pr_code,0))="","",INDEX(pr_price,MATCH(B1087,pr_code,0))),""))))</f>
        <v/>
      </c>
      <c r="K1087" s="71" t="str">
        <f>IF(COUNTA(A1087:G1087)=0,"",IF(G1087&lt;&gt;"",G1087,IF(B1087="","",IFERROR(IF(INDEX(pr_rate,MATCH(B1087,pr_code,0))="","",INDEX(pr_rate,MATCH(B1087,pr_code,0))),""))))</f>
        <v/>
      </c>
      <c r="L1087" s="65" t="str">
        <f>IF(COUNTA(A1087:G1087)=0,"",IF(AND(ISNUMBER(D1087),ISNUMBER(J1087)),ROUND(D1087*J1087*(1-N(F1087)),2),0))</f>
        <v/>
      </c>
      <c r="M1087" s="62" t="str">
        <f>IF(A1087="","",IFERROR(INDEX(dv_cname,MATCH(A1087,dv_num,0))&amp;"",""))</f>
        <v/>
      </c>
      <c r="N1087" s="59" t="str">
        <f>IF(COUNTA(A1087:G1087)=0,"",IF(A1087="","N° devis manquant",IF(ISNA(MATCH(A1087,dv_num,0)),"Devis inconnu",IF(AND(B1087&lt;&gt;"",ISNA(MATCH(B1087,pr_code,0))),"Article inconnu",IF(H1087="","Désignation manquante",IF(OR(NOT(ISNUMBER(D1087)),N(D1087)&lt;=0),"Quantité invalide",IF(J1087="","Prix manquant",IF(OR(NOT(ISNUMBER(J1087)),N(J1087)&lt;0),"Prix invalide",IF(OR(AND(F1087&lt;&gt;"",NOT(ISNUMBER(F1087))),N(F1087)&lt;0,N(F1087)&gt;1),"Remise invalide",IF(K1087="","Taux de TVA manquant",IF(NOT(ISNUMBER(K1087)),"Taux de TVA invalide",IF(COUNTIF(p_rates,K1087)=0,"Taux de TVA hors liste (Paramètres)",IF(N(O1087)&gt;25,"Au-delà de 25 lignes : non imprimée","OK")))))))))))))</f>
        <v/>
      </c>
      <c r="O1087" s="59" t="str">
        <f>IF(A1087="","",COUNTIF($A$6:A1087,A1087))</f>
        <v/>
      </c>
      <c r="P1087" s="62" t="str">
        <f>IF(A1087="","",A1087&amp;"|"&amp;O1087)</f>
        <v/>
      </c>
    </row>
    <row r="1088">
      <c r="A1088" s="60" t="n"/>
      <c r="B1088" s="63" t="n"/>
      <c r="C1088" s="63" t="n"/>
      <c r="D1088" s="67" t="n"/>
      <c r="E1088" s="68" t="n"/>
      <c r="F1088" s="69" t="n"/>
      <c r="G1088" s="70" t="n"/>
      <c r="H1088" s="62" t="str">
        <f>IF(COUNTA(A1088:G1088)=0,"",IF(C1088&lt;&gt;"",C1088,IF(B1088="","",IFERROR(INDEX(pr_des,MATCH(B1088,pr_code,0))&amp;"",""))))</f>
        <v/>
      </c>
      <c r="I1088" s="59" t="str">
        <f>IF(B1088="","",IFERROR(INDEX(pr_unit,MATCH(B1088,pr_code,0))&amp;"",""))</f>
        <v/>
      </c>
      <c r="J1088" s="65" t="str">
        <f>IF(COUNTA(A1088:G1088)=0,"",IF(E1088&lt;&gt;"",E1088,IF(B1088="","",IFERROR(IF(INDEX(pr_price,MATCH(B1088,pr_code,0))="","",INDEX(pr_price,MATCH(B1088,pr_code,0))),""))))</f>
        <v/>
      </c>
      <c r="K1088" s="71" t="str">
        <f>IF(COUNTA(A1088:G1088)=0,"",IF(G1088&lt;&gt;"",G1088,IF(B1088="","",IFERROR(IF(INDEX(pr_rate,MATCH(B1088,pr_code,0))="","",INDEX(pr_rate,MATCH(B1088,pr_code,0))),""))))</f>
        <v/>
      </c>
      <c r="L1088" s="65" t="str">
        <f>IF(COUNTA(A1088:G1088)=0,"",IF(AND(ISNUMBER(D1088),ISNUMBER(J1088)),ROUND(D1088*J1088*(1-N(F1088)),2),0))</f>
        <v/>
      </c>
      <c r="M1088" s="62" t="str">
        <f>IF(A1088="","",IFERROR(INDEX(dv_cname,MATCH(A1088,dv_num,0))&amp;"",""))</f>
        <v/>
      </c>
      <c r="N1088" s="59" t="str">
        <f>IF(COUNTA(A1088:G1088)=0,"",IF(A1088="","N° devis manquant",IF(ISNA(MATCH(A1088,dv_num,0)),"Devis inconnu",IF(AND(B1088&lt;&gt;"",ISNA(MATCH(B1088,pr_code,0))),"Article inconnu",IF(H1088="","Désignation manquante",IF(OR(NOT(ISNUMBER(D1088)),N(D1088)&lt;=0),"Quantité invalide",IF(J1088="","Prix manquant",IF(OR(NOT(ISNUMBER(J1088)),N(J1088)&lt;0),"Prix invalide",IF(OR(AND(F1088&lt;&gt;"",NOT(ISNUMBER(F1088))),N(F1088)&lt;0,N(F1088)&gt;1),"Remise invalide",IF(K1088="","Taux de TVA manquant",IF(NOT(ISNUMBER(K1088)),"Taux de TVA invalide",IF(COUNTIF(p_rates,K1088)=0,"Taux de TVA hors liste (Paramètres)",IF(N(O1088)&gt;25,"Au-delà de 25 lignes : non imprimée","OK")))))))))))))</f>
        <v/>
      </c>
      <c r="O1088" s="59" t="str">
        <f>IF(A1088="","",COUNTIF($A$6:A1088,A1088))</f>
        <v/>
      </c>
      <c r="P1088" s="62" t="str">
        <f>IF(A1088="","",A1088&amp;"|"&amp;O1088)</f>
        <v/>
      </c>
    </row>
    <row r="1089">
      <c r="A1089" s="60" t="n"/>
      <c r="B1089" s="63" t="n"/>
      <c r="C1089" s="63" t="n"/>
      <c r="D1089" s="67" t="n"/>
      <c r="E1089" s="68" t="n"/>
      <c r="F1089" s="69" t="n"/>
      <c r="G1089" s="70" t="n"/>
      <c r="H1089" s="62" t="str">
        <f>IF(COUNTA(A1089:G1089)=0,"",IF(C1089&lt;&gt;"",C1089,IF(B1089="","",IFERROR(INDEX(pr_des,MATCH(B1089,pr_code,0))&amp;"",""))))</f>
        <v/>
      </c>
      <c r="I1089" s="59" t="str">
        <f>IF(B1089="","",IFERROR(INDEX(pr_unit,MATCH(B1089,pr_code,0))&amp;"",""))</f>
        <v/>
      </c>
      <c r="J1089" s="65" t="str">
        <f>IF(COUNTA(A1089:G1089)=0,"",IF(E1089&lt;&gt;"",E1089,IF(B1089="","",IFERROR(IF(INDEX(pr_price,MATCH(B1089,pr_code,0))="","",INDEX(pr_price,MATCH(B1089,pr_code,0))),""))))</f>
        <v/>
      </c>
      <c r="K1089" s="71" t="str">
        <f>IF(COUNTA(A1089:G1089)=0,"",IF(G1089&lt;&gt;"",G1089,IF(B1089="","",IFERROR(IF(INDEX(pr_rate,MATCH(B1089,pr_code,0))="","",INDEX(pr_rate,MATCH(B1089,pr_code,0))),""))))</f>
        <v/>
      </c>
      <c r="L1089" s="65" t="str">
        <f>IF(COUNTA(A1089:G1089)=0,"",IF(AND(ISNUMBER(D1089),ISNUMBER(J1089)),ROUND(D1089*J1089*(1-N(F1089)),2),0))</f>
        <v/>
      </c>
      <c r="M1089" s="62" t="str">
        <f>IF(A1089="","",IFERROR(INDEX(dv_cname,MATCH(A1089,dv_num,0))&amp;"",""))</f>
        <v/>
      </c>
      <c r="N1089" s="59" t="str">
        <f>IF(COUNTA(A1089:G1089)=0,"",IF(A1089="","N° devis manquant",IF(ISNA(MATCH(A1089,dv_num,0)),"Devis inconnu",IF(AND(B1089&lt;&gt;"",ISNA(MATCH(B1089,pr_code,0))),"Article inconnu",IF(H1089="","Désignation manquante",IF(OR(NOT(ISNUMBER(D1089)),N(D1089)&lt;=0),"Quantité invalide",IF(J1089="","Prix manquant",IF(OR(NOT(ISNUMBER(J1089)),N(J1089)&lt;0),"Prix invalide",IF(OR(AND(F1089&lt;&gt;"",NOT(ISNUMBER(F1089))),N(F1089)&lt;0,N(F1089)&gt;1),"Remise invalide",IF(K1089="","Taux de TVA manquant",IF(NOT(ISNUMBER(K1089)),"Taux de TVA invalide",IF(COUNTIF(p_rates,K1089)=0,"Taux de TVA hors liste (Paramètres)",IF(N(O1089)&gt;25,"Au-delà de 25 lignes : non imprimée","OK")))))))))))))</f>
        <v/>
      </c>
      <c r="O1089" s="59" t="str">
        <f>IF(A1089="","",COUNTIF($A$6:A1089,A1089))</f>
        <v/>
      </c>
      <c r="P1089" s="62" t="str">
        <f>IF(A1089="","",A1089&amp;"|"&amp;O1089)</f>
        <v/>
      </c>
    </row>
    <row r="1090">
      <c r="A1090" s="60" t="n"/>
      <c r="B1090" s="63" t="n"/>
      <c r="C1090" s="63" t="n"/>
      <c r="D1090" s="67" t="n"/>
      <c r="E1090" s="68" t="n"/>
      <c r="F1090" s="69" t="n"/>
      <c r="G1090" s="70" t="n"/>
      <c r="H1090" s="62" t="str">
        <f>IF(COUNTA(A1090:G1090)=0,"",IF(C1090&lt;&gt;"",C1090,IF(B1090="","",IFERROR(INDEX(pr_des,MATCH(B1090,pr_code,0))&amp;"",""))))</f>
        <v/>
      </c>
      <c r="I1090" s="59" t="str">
        <f>IF(B1090="","",IFERROR(INDEX(pr_unit,MATCH(B1090,pr_code,0))&amp;"",""))</f>
        <v/>
      </c>
      <c r="J1090" s="65" t="str">
        <f>IF(COUNTA(A1090:G1090)=0,"",IF(E1090&lt;&gt;"",E1090,IF(B1090="","",IFERROR(IF(INDEX(pr_price,MATCH(B1090,pr_code,0))="","",INDEX(pr_price,MATCH(B1090,pr_code,0))),""))))</f>
        <v/>
      </c>
      <c r="K1090" s="71" t="str">
        <f>IF(COUNTA(A1090:G1090)=0,"",IF(G1090&lt;&gt;"",G1090,IF(B1090="","",IFERROR(IF(INDEX(pr_rate,MATCH(B1090,pr_code,0))="","",INDEX(pr_rate,MATCH(B1090,pr_code,0))),""))))</f>
        <v/>
      </c>
      <c r="L1090" s="65" t="str">
        <f>IF(COUNTA(A1090:G1090)=0,"",IF(AND(ISNUMBER(D1090),ISNUMBER(J1090)),ROUND(D1090*J1090*(1-N(F1090)),2),0))</f>
        <v/>
      </c>
      <c r="M1090" s="62" t="str">
        <f>IF(A1090="","",IFERROR(INDEX(dv_cname,MATCH(A1090,dv_num,0))&amp;"",""))</f>
        <v/>
      </c>
      <c r="N1090" s="59" t="str">
        <f>IF(COUNTA(A1090:G1090)=0,"",IF(A1090="","N° devis manquant",IF(ISNA(MATCH(A1090,dv_num,0)),"Devis inconnu",IF(AND(B1090&lt;&gt;"",ISNA(MATCH(B1090,pr_code,0))),"Article inconnu",IF(H1090="","Désignation manquante",IF(OR(NOT(ISNUMBER(D1090)),N(D1090)&lt;=0),"Quantité invalide",IF(J1090="","Prix manquant",IF(OR(NOT(ISNUMBER(J1090)),N(J1090)&lt;0),"Prix invalide",IF(OR(AND(F1090&lt;&gt;"",NOT(ISNUMBER(F1090))),N(F1090)&lt;0,N(F1090)&gt;1),"Remise invalide",IF(K1090="","Taux de TVA manquant",IF(NOT(ISNUMBER(K1090)),"Taux de TVA invalide",IF(COUNTIF(p_rates,K1090)=0,"Taux de TVA hors liste (Paramètres)",IF(N(O1090)&gt;25,"Au-delà de 25 lignes : non imprimée","OK")))))))))))))</f>
        <v/>
      </c>
      <c r="O1090" s="59" t="str">
        <f>IF(A1090="","",COUNTIF($A$6:A1090,A1090))</f>
        <v/>
      </c>
      <c r="P1090" s="62" t="str">
        <f>IF(A1090="","",A1090&amp;"|"&amp;O1090)</f>
        <v/>
      </c>
    </row>
    <row r="1091">
      <c r="A1091" s="60" t="n"/>
      <c r="B1091" s="63" t="n"/>
      <c r="C1091" s="63" t="n"/>
      <c r="D1091" s="67" t="n"/>
      <c r="E1091" s="68" t="n"/>
      <c r="F1091" s="69" t="n"/>
      <c r="G1091" s="70" t="n"/>
      <c r="H1091" s="62" t="str">
        <f>IF(COUNTA(A1091:G1091)=0,"",IF(C1091&lt;&gt;"",C1091,IF(B1091="","",IFERROR(INDEX(pr_des,MATCH(B1091,pr_code,0))&amp;"",""))))</f>
        <v/>
      </c>
      <c r="I1091" s="59" t="str">
        <f>IF(B1091="","",IFERROR(INDEX(pr_unit,MATCH(B1091,pr_code,0))&amp;"",""))</f>
        <v/>
      </c>
      <c r="J1091" s="65" t="str">
        <f>IF(COUNTA(A1091:G1091)=0,"",IF(E1091&lt;&gt;"",E1091,IF(B1091="","",IFERROR(IF(INDEX(pr_price,MATCH(B1091,pr_code,0))="","",INDEX(pr_price,MATCH(B1091,pr_code,0))),""))))</f>
        <v/>
      </c>
      <c r="K1091" s="71" t="str">
        <f>IF(COUNTA(A1091:G1091)=0,"",IF(G1091&lt;&gt;"",G1091,IF(B1091="","",IFERROR(IF(INDEX(pr_rate,MATCH(B1091,pr_code,0))="","",INDEX(pr_rate,MATCH(B1091,pr_code,0))),""))))</f>
        <v/>
      </c>
      <c r="L1091" s="65" t="str">
        <f>IF(COUNTA(A1091:G1091)=0,"",IF(AND(ISNUMBER(D1091),ISNUMBER(J1091)),ROUND(D1091*J1091*(1-N(F1091)),2),0))</f>
        <v/>
      </c>
      <c r="M1091" s="62" t="str">
        <f>IF(A1091="","",IFERROR(INDEX(dv_cname,MATCH(A1091,dv_num,0))&amp;"",""))</f>
        <v/>
      </c>
      <c r="N1091" s="59" t="str">
        <f>IF(COUNTA(A1091:G1091)=0,"",IF(A1091="","N° devis manquant",IF(ISNA(MATCH(A1091,dv_num,0)),"Devis inconnu",IF(AND(B1091&lt;&gt;"",ISNA(MATCH(B1091,pr_code,0))),"Article inconnu",IF(H1091="","Désignation manquante",IF(OR(NOT(ISNUMBER(D1091)),N(D1091)&lt;=0),"Quantité invalide",IF(J1091="","Prix manquant",IF(OR(NOT(ISNUMBER(J1091)),N(J1091)&lt;0),"Prix invalide",IF(OR(AND(F1091&lt;&gt;"",NOT(ISNUMBER(F1091))),N(F1091)&lt;0,N(F1091)&gt;1),"Remise invalide",IF(K1091="","Taux de TVA manquant",IF(NOT(ISNUMBER(K1091)),"Taux de TVA invalide",IF(COUNTIF(p_rates,K1091)=0,"Taux de TVA hors liste (Paramètres)",IF(N(O1091)&gt;25,"Au-delà de 25 lignes : non imprimée","OK")))))))))))))</f>
        <v/>
      </c>
      <c r="O1091" s="59" t="str">
        <f>IF(A1091="","",COUNTIF($A$6:A1091,A1091))</f>
        <v/>
      </c>
      <c r="P1091" s="62" t="str">
        <f>IF(A1091="","",A1091&amp;"|"&amp;O1091)</f>
        <v/>
      </c>
    </row>
    <row r="1092">
      <c r="A1092" s="60" t="n"/>
      <c r="B1092" s="63" t="n"/>
      <c r="C1092" s="63" t="n"/>
      <c r="D1092" s="67" t="n"/>
      <c r="E1092" s="68" t="n"/>
      <c r="F1092" s="69" t="n"/>
      <c r="G1092" s="70" t="n"/>
      <c r="H1092" s="62" t="str">
        <f>IF(COUNTA(A1092:G1092)=0,"",IF(C1092&lt;&gt;"",C1092,IF(B1092="","",IFERROR(INDEX(pr_des,MATCH(B1092,pr_code,0))&amp;"",""))))</f>
        <v/>
      </c>
      <c r="I1092" s="59" t="str">
        <f>IF(B1092="","",IFERROR(INDEX(pr_unit,MATCH(B1092,pr_code,0))&amp;"",""))</f>
        <v/>
      </c>
      <c r="J1092" s="65" t="str">
        <f>IF(COUNTA(A1092:G1092)=0,"",IF(E1092&lt;&gt;"",E1092,IF(B1092="","",IFERROR(IF(INDEX(pr_price,MATCH(B1092,pr_code,0))="","",INDEX(pr_price,MATCH(B1092,pr_code,0))),""))))</f>
        <v/>
      </c>
      <c r="K1092" s="71" t="str">
        <f>IF(COUNTA(A1092:G1092)=0,"",IF(G1092&lt;&gt;"",G1092,IF(B1092="","",IFERROR(IF(INDEX(pr_rate,MATCH(B1092,pr_code,0))="","",INDEX(pr_rate,MATCH(B1092,pr_code,0))),""))))</f>
        <v/>
      </c>
      <c r="L1092" s="65" t="str">
        <f>IF(COUNTA(A1092:G1092)=0,"",IF(AND(ISNUMBER(D1092),ISNUMBER(J1092)),ROUND(D1092*J1092*(1-N(F1092)),2),0))</f>
        <v/>
      </c>
      <c r="M1092" s="62" t="str">
        <f>IF(A1092="","",IFERROR(INDEX(dv_cname,MATCH(A1092,dv_num,0))&amp;"",""))</f>
        <v/>
      </c>
      <c r="N1092" s="59" t="str">
        <f>IF(COUNTA(A1092:G1092)=0,"",IF(A1092="","N° devis manquant",IF(ISNA(MATCH(A1092,dv_num,0)),"Devis inconnu",IF(AND(B1092&lt;&gt;"",ISNA(MATCH(B1092,pr_code,0))),"Article inconnu",IF(H1092="","Désignation manquante",IF(OR(NOT(ISNUMBER(D1092)),N(D1092)&lt;=0),"Quantité invalide",IF(J1092="","Prix manquant",IF(OR(NOT(ISNUMBER(J1092)),N(J1092)&lt;0),"Prix invalide",IF(OR(AND(F1092&lt;&gt;"",NOT(ISNUMBER(F1092))),N(F1092)&lt;0,N(F1092)&gt;1),"Remise invalide",IF(K1092="","Taux de TVA manquant",IF(NOT(ISNUMBER(K1092)),"Taux de TVA invalide",IF(COUNTIF(p_rates,K1092)=0,"Taux de TVA hors liste (Paramètres)",IF(N(O1092)&gt;25,"Au-delà de 25 lignes : non imprimée","OK")))))))))))))</f>
        <v/>
      </c>
      <c r="O1092" s="59" t="str">
        <f>IF(A1092="","",COUNTIF($A$6:A1092,A1092))</f>
        <v/>
      </c>
      <c r="P1092" s="62" t="str">
        <f>IF(A1092="","",A1092&amp;"|"&amp;O1092)</f>
        <v/>
      </c>
    </row>
    <row r="1093">
      <c r="A1093" s="60" t="n"/>
      <c r="B1093" s="63" t="n"/>
      <c r="C1093" s="63" t="n"/>
      <c r="D1093" s="67" t="n"/>
      <c r="E1093" s="68" t="n"/>
      <c r="F1093" s="69" t="n"/>
      <c r="G1093" s="70" t="n"/>
      <c r="H1093" s="62" t="str">
        <f>IF(COUNTA(A1093:G1093)=0,"",IF(C1093&lt;&gt;"",C1093,IF(B1093="","",IFERROR(INDEX(pr_des,MATCH(B1093,pr_code,0))&amp;"",""))))</f>
        <v/>
      </c>
      <c r="I1093" s="59" t="str">
        <f>IF(B1093="","",IFERROR(INDEX(pr_unit,MATCH(B1093,pr_code,0))&amp;"",""))</f>
        <v/>
      </c>
      <c r="J1093" s="65" t="str">
        <f>IF(COUNTA(A1093:G1093)=0,"",IF(E1093&lt;&gt;"",E1093,IF(B1093="","",IFERROR(IF(INDEX(pr_price,MATCH(B1093,pr_code,0))="","",INDEX(pr_price,MATCH(B1093,pr_code,0))),""))))</f>
        <v/>
      </c>
      <c r="K1093" s="71" t="str">
        <f>IF(COUNTA(A1093:G1093)=0,"",IF(G1093&lt;&gt;"",G1093,IF(B1093="","",IFERROR(IF(INDEX(pr_rate,MATCH(B1093,pr_code,0))="","",INDEX(pr_rate,MATCH(B1093,pr_code,0))),""))))</f>
        <v/>
      </c>
      <c r="L1093" s="65" t="str">
        <f>IF(COUNTA(A1093:G1093)=0,"",IF(AND(ISNUMBER(D1093),ISNUMBER(J1093)),ROUND(D1093*J1093*(1-N(F1093)),2),0))</f>
        <v/>
      </c>
      <c r="M1093" s="62" t="str">
        <f>IF(A1093="","",IFERROR(INDEX(dv_cname,MATCH(A1093,dv_num,0))&amp;"",""))</f>
        <v/>
      </c>
      <c r="N1093" s="59" t="str">
        <f>IF(COUNTA(A1093:G1093)=0,"",IF(A1093="","N° devis manquant",IF(ISNA(MATCH(A1093,dv_num,0)),"Devis inconnu",IF(AND(B1093&lt;&gt;"",ISNA(MATCH(B1093,pr_code,0))),"Article inconnu",IF(H1093="","Désignation manquante",IF(OR(NOT(ISNUMBER(D1093)),N(D1093)&lt;=0),"Quantité invalide",IF(J1093="","Prix manquant",IF(OR(NOT(ISNUMBER(J1093)),N(J1093)&lt;0),"Prix invalide",IF(OR(AND(F1093&lt;&gt;"",NOT(ISNUMBER(F1093))),N(F1093)&lt;0,N(F1093)&gt;1),"Remise invalide",IF(K1093="","Taux de TVA manquant",IF(NOT(ISNUMBER(K1093)),"Taux de TVA invalide",IF(COUNTIF(p_rates,K1093)=0,"Taux de TVA hors liste (Paramètres)",IF(N(O1093)&gt;25,"Au-delà de 25 lignes : non imprimée","OK")))))))))))))</f>
        <v/>
      </c>
      <c r="O1093" s="59" t="str">
        <f>IF(A1093="","",COUNTIF($A$6:A1093,A1093))</f>
        <v/>
      </c>
      <c r="P1093" s="62" t="str">
        <f>IF(A1093="","",A1093&amp;"|"&amp;O1093)</f>
        <v/>
      </c>
    </row>
    <row r="1094">
      <c r="A1094" s="60" t="n"/>
      <c r="B1094" s="63" t="n"/>
      <c r="C1094" s="63" t="n"/>
      <c r="D1094" s="67" t="n"/>
      <c r="E1094" s="68" t="n"/>
      <c r="F1094" s="69" t="n"/>
      <c r="G1094" s="70" t="n"/>
      <c r="H1094" s="62" t="str">
        <f>IF(COUNTA(A1094:G1094)=0,"",IF(C1094&lt;&gt;"",C1094,IF(B1094="","",IFERROR(INDEX(pr_des,MATCH(B1094,pr_code,0))&amp;"",""))))</f>
        <v/>
      </c>
      <c r="I1094" s="59" t="str">
        <f>IF(B1094="","",IFERROR(INDEX(pr_unit,MATCH(B1094,pr_code,0))&amp;"",""))</f>
        <v/>
      </c>
      <c r="J1094" s="65" t="str">
        <f>IF(COUNTA(A1094:G1094)=0,"",IF(E1094&lt;&gt;"",E1094,IF(B1094="","",IFERROR(IF(INDEX(pr_price,MATCH(B1094,pr_code,0))="","",INDEX(pr_price,MATCH(B1094,pr_code,0))),""))))</f>
        <v/>
      </c>
      <c r="K1094" s="71" t="str">
        <f>IF(COUNTA(A1094:G1094)=0,"",IF(G1094&lt;&gt;"",G1094,IF(B1094="","",IFERROR(IF(INDEX(pr_rate,MATCH(B1094,pr_code,0))="","",INDEX(pr_rate,MATCH(B1094,pr_code,0))),""))))</f>
        <v/>
      </c>
      <c r="L1094" s="65" t="str">
        <f>IF(COUNTA(A1094:G1094)=0,"",IF(AND(ISNUMBER(D1094),ISNUMBER(J1094)),ROUND(D1094*J1094*(1-N(F1094)),2),0))</f>
        <v/>
      </c>
      <c r="M1094" s="62" t="str">
        <f>IF(A1094="","",IFERROR(INDEX(dv_cname,MATCH(A1094,dv_num,0))&amp;"",""))</f>
        <v/>
      </c>
      <c r="N1094" s="59" t="str">
        <f>IF(COUNTA(A1094:G1094)=0,"",IF(A1094="","N° devis manquant",IF(ISNA(MATCH(A1094,dv_num,0)),"Devis inconnu",IF(AND(B1094&lt;&gt;"",ISNA(MATCH(B1094,pr_code,0))),"Article inconnu",IF(H1094="","Désignation manquante",IF(OR(NOT(ISNUMBER(D1094)),N(D1094)&lt;=0),"Quantité invalide",IF(J1094="","Prix manquant",IF(OR(NOT(ISNUMBER(J1094)),N(J1094)&lt;0),"Prix invalide",IF(OR(AND(F1094&lt;&gt;"",NOT(ISNUMBER(F1094))),N(F1094)&lt;0,N(F1094)&gt;1),"Remise invalide",IF(K1094="","Taux de TVA manquant",IF(NOT(ISNUMBER(K1094)),"Taux de TVA invalide",IF(COUNTIF(p_rates,K1094)=0,"Taux de TVA hors liste (Paramètres)",IF(N(O1094)&gt;25,"Au-delà de 25 lignes : non imprimée","OK")))))))))))))</f>
        <v/>
      </c>
      <c r="O1094" s="59" t="str">
        <f>IF(A1094="","",COUNTIF($A$6:A1094,A1094))</f>
        <v/>
      </c>
      <c r="P1094" s="62" t="str">
        <f>IF(A1094="","",A1094&amp;"|"&amp;O1094)</f>
        <v/>
      </c>
    </row>
    <row r="1095">
      <c r="A1095" s="60" t="n"/>
      <c r="B1095" s="63" t="n"/>
      <c r="C1095" s="63" t="n"/>
      <c r="D1095" s="67" t="n"/>
      <c r="E1095" s="68" t="n"/>
      <c r="F1095" s="69" t="n"/>
      <c r="G1095" s="70" t="n"/>
      <c r="H1095" s="62" t="str">
        <f>IF(COUNTA(A1095:G1095)=0,"",IF(C1095&lt;&gt;"",C1095,IF(B1095="","",IFERROR(INDEX(pr_des,MATCH(B1095,pr_code,0))&amp;"",""))))</f>
        <v/>
      </c>
      <c r="I1095" s="59" t="str">
        <f>IF(B1095="","",IFERROR(INDEX(pr_unit,MATCH(B1095,pr_code,0))&amp;"",""))</f>
        <v/>
      </c>
      <c r="J1095" s="65" t="str">
        <f>IF(COUNTA(A1095:G1095)=0,"",IF(E1095&lt;&gt;"",E1095,IF(B1095="","",IFERROR(IF(INDEX(pr_price,MATCH(B1095,pr_code,0))="","",INDEX(pr_price,MATCH(B1095,pr_code,0))),""))))</f>
        <v/>
      </c>
      <c r="K1095" s="71" t="str">
        <f>IF(COUNTA(A1095:G1095)=0,"",IF(G1095&lt;&gt;"",G1095,IF(B1095="","",IFERROR(IF(INDEX(pr_rate,MATCH(B1095,pr_code,0))="","",INDEX(pr_rate,MATCH(B1095,pr_code,0))),""))))</f>
        <v/>
      </c>
      <c r="L1095" s="65" t="str">
        <f>IF(COUNTA(A1095:G1095)=0,"",IF(AND(ISNUMBER(D1095),ISNUMBER(J1095)),ROUND(D1095*J1095*(1-N(F1095)),2),0))</f>
        <v/>
      </c>
      <c r="M1095" s="62" t="str">
        <f>IF(A1095="","",IFERROR(INDEX(dv_cname,MATCH(A1095,dv_num,0))&amp;"",""))</f>
        <v/>
      </c>
      <c r="N1095" s="59" t="str">
        <f>IF(COUNTA(A1095:G1095)=0,"",IF(A1095="","N° devis manquant",IF(ISNA(MATCH(A1095,dv_num,0)),"Devis inconnu",IF(AND(B1095&lt;&gt;"",ISNA(MATCH(B1095,pr_code,0))),"Article inconnu",IF(H1095="","Désignation manquante",IF(OR(NOT(ISNUMBER(D1095)),N(D1095)&lt;=0),"Quantité invalide",IF(J1095="","Prix manquant",IF(OR(NOT(ISNUMBER(J1095)),N(J1095)&lt;0),"Prix invalide",IF(OR(AND(F1095&lt;&gt;"",NOT(ISNUMBER(F1095))),N(F1095)&lt;0,N(F1095)&gt;1),"Remise invalide",IF(K1095="","Taux de TVA manquant",IF(NOT(ISNUMBER(K1095)),"Taux de TVA invalide",IF(COUNTIF(p_rates,K1095)=0,"Taux de TVA hors liste (Paramètres)",IF(N(O1095)&gt;25,"Au-delà de 25 lignes : non imprimée","OK")))))))))))))</f>
        <v/>
      </c>
      <c r="O1095" s="59" t="str">
        <f>IF(A1095="","",COUNTIF($A$6:A1095,A1095))</f>
        <v/>
      </c>
      <c r="P1095" s="62" t="str">
        <f>IF(A1095="","",A1095&amp;"|"&amp;O1095)</f>
        <v/>
      </c>
    </row>
    <row r="1096">
      <c r="A1096" s="60" t="n"/>
      <c r="B1096" s="63" t="n"/>
      <c r="C1096" s="63" t="n"/>
      <c r="D1096" s="67" t="n"/>
      <c r="E1096" s="68" t="n"/>
      <c r="F1096" s="69" t="n"/>
      <c r="G1096" s="70" t="n"/>
      <c r="H1096" s="62" t="str">
        <f>IF(COUNTA(A1096:G1096)=0,"",IF(C1096&lt;&gt;"",C1096,IF(B1096="","",IFERROR(INDEX(pr_des,MATCH(B1096,pr_code,0))&amp;"",""))))</f>
        <v/>
      </c>
      <c r="I1096" s="59" t="str">
        <f>IF(B1096="","",IFERROR(INDEX(pr_unit,MATCH(B1096,pr_code,0))&amp;"",""))</f>
        <v/>
      </c>
      <c r="J1096" s="65" t="str">
        <f>IF(COUNTA(A1096:G1096)=0,"",IF(E1096&lt;&gt;"",E1096,IF(B1096="","",IFERROR(IF(INDEX(pr_price,MATCH(B1096,pr_code,0))="","",INDEX(pr_price,MATCH(B1096,pr_code,0))),""))))</f>
        <v/>
      </c>
      <c r="K1096" s="71" t="str">
        <f>IF(COUNTA(A1096:G1096)=0,"",IF(G1096&lt;&gt;"",G1096,IF(B1096="","",IFERROR(IF(INDEX(pr_rate,MATCH(B1096,pr_code,0))="","",INDEX(pr_rate,MATCH(B1096,pr_code,0))),""))))</f>
        <v/>
      </c>
      <c r="L1096" s="65" t="str">
        <f>IF(COUNTA(A1096:G1096)=0,"",IF(AND(ISNUMBER(D1096),ISNUMBER(J1096)),ROUND(D1096*J1096*(1-N(F1096)),2),0))</f>
        <v/>
      </c>
      <c r="M1096" s="62" t="str">
        <f>IF(A1096="","",IFERROR(INDEX(dv_cname,MATCH(A1096,dv_num,0))&amp;"",""))</f>
        <v/>
      </c>
      <c r="N1096" s="59" t="str">
        <f>IF(COUNTA(A1096:G1096)=0,"",IF(A1096="","N° devis manquant",IF(ISNA(MATCH(A1096,dv_num,0)),"Devis inconnu",IF(AND(B1096&lt;&gt;"",ISNA(MATCH(B1096,pr_code,0))),"Article inconnu",IF(H1096="","Désignation manquante",IF(OR(NOT(ISNUMBER(D1096)),N(D1096)&lt;=0),"Quantité invalide",IF(J1096="","Prix manquant",IF(OR(NOT(ISNUMBER(J1096)),N(J1096)&lt;0),"Prix invalide",IF(OR(AND(F1096&lt;&gt;"",NOT(ISNUMBER(F1096))),N(F1096)&lt;0,N(F1096)&gt;1),"Remise invalide",IF(K1096="","Taux de TVA manquant",IF(NOT(ISNUMBER(K1096)),"Taux de TVA invalide",IF(COUNTIF(p_rates,K1096)=0,"Taux de TVA hors liste (Paramètres)",IF(N(O1096)&gt;25,"Au-delà de 25 lignes : non imprimée","OK")))))))))))))</f>
        <v/>
      </c>
      <c r="O1096" s="59" t="str">
        <f>IF(A1096="","",COUNTIF($A$6:A1096,A1096))</f>
        <v/>
      </c>
      <c r="P1096" s="62" t="str">
        <f>IF(A1096="","",A1096&amp;"|"&amp;O1096)</f>
        <v/>
      </c>
    </row>
    <row r="1097">
      <c r="A1097" s="60" t="n"/>
      <c r="B1097" s="63" t="n"/>
      <c r="C1097" s="63" t="n"/>
      <c r="D1097" s="67" t="n"/>
      <c r="E1097" s="68" t="n"/>
      <c r="F1097" s="69" t="n"/>
      <c r="G1097" s="70" t="n"/>
      <c r="H1097" s="62" t="str">
        <f>IF(COUNTA(A1097:G1097)=0,"",IF(C1097&lt;&gt;"",C1097,IF(B1097="","",IFERROR(INDEX(pr_des,MATCH(B1097,pr_code,0))&amp;"",""))))</f>
        <v/>
      </c>
      <c r="I1097" s="59" t="str">
        <f>IF(B1097="","",IFERROR(INDEX(pr_unit,MATCH(B1097,pr_code,0))&amp;"",""))</f>
        <v/>
      </c>
      <c r="J1097" s="65" t="str">
        <f>IF(COUNTA(A1097:G1097)=0,"",IF(E1097&lt;&gt;"",E1097,IF(B1097="","",IFERROR(IF(INDEX(pr_price,MATCH(B1097,pr_code,0))="","",INDEX(pr_price,MATCH(B1097,pr_code,0))),""))))</f>
        <v/>
      </c>
      <c r="K1097" s="71" t="str">
        <f>IF(COUNTA(A1097:G1097)=0,"",IF(G1097&lt;&gt;"",G1097,IF(B1097="","",IFERROR(IF(INDEX(pr_rate,MATCH(B1097,pr_code,0))="","",INDEX(pr_rate,MATCH(B1097,pr_code,0))),""))))</f>
        <v/>
      </c>
      <c r="L1097" s="65" t="str">
        <f>IF(COUNTA(A1097:G1097)=0,"",IF(AND(ISNUMBER(D1097),ISNUMBER(J1097)),ROUND(D1097*J1097*(1-N(F1097)),2),0))</f>
        <v/>
      </c>
      <c r="M1097" s="62" t="str">
        <f>IF(A1097="","",IFERROR(INDEX(dv_cname,MATCH(A1097,dv_num,0))&amp;"",""))</f>
        <v/>
      </c>
      <c r="N1097" s="59" t="str">
        <f>IF(COUNTA(A1097:G1097)=0,"",IF(A1097="","N° devis manquant",IF(ISNA(MATCH(A1097,dv_num,0)),"Devis inconnu",IF(AND(B1097&lt;&gt;"",ISNA(MATCH(B1097,pr_code,0))),"Article inconnu",IF(H1097="","Désignation manquante",IF(OR(NOT(ISNUMBER(D1097)),N(D1097)&lt;=0),"Quantité invalide",IF(J1097="","Prix manquant",IF(OR(NOT(ISNUMBER(J1097)),N(J1097)&lt;0),"Prix invalide",IF(OR(AND(F1097&lt;&gt;"",NOT(ISNUMBER(F1097))),N(F1097)&lt;0,N(F1097)&gt;1),"Remise invalide",IF(K1097="","Taux de TVA manquant",IF(NOT(ISNUMBER(K1097)),"Taux de TVA invalide",IF(COUNTIF(p_rates,K1097)=0,"Taux de TVA hors liste (Paramètres)",IF(N(O1097)&gt;25,"Au-delà de 25 lignes : non imprimée","OK")))))))))))))</f>
        <v/>
      </c>
      <c r="O1097" s="59" t="str">
        <f>IF(A1097="","",COUNTIF($A$6:A1097,A1097))</f>
        <v/>
      </c>
      <c r="P1097" s="62" t="str">
        <f>IF(A1097="","",A1097&amp;"|"&amp;O1097)</f>
        <v/>
      </c>
    </row>
    <row r="1098">
      <c r="A1098" s="60" t="n"/>
      <c r="B1098" s="63" t="n"/>
      <c r="C1098" s="63" t="n"/>
      <c r="D1098" s="67" t="n"/>
      <c r="E1098" s="68" t="n"/>
      <c r="F1098" s="69" t="n"/>
      <c r="G1098" s="70" t="n"/>
      <c r="H1098" s="62" t="str">
        <f>IF(COUNTA(A1098:G1098)=0,"",IF(C1098&lt;&gt;"",C1098,IF(B1098="","",IFERROR(INDEX(pr_des,MATCH(B1098,pr_code,0))&amp;"",""))))</f>
        <v/>
      </c>
      <c r="I1098" s="59" t="str">
        <f>IF(B1098="","",IFERROR(INDEX(pr_unit,MATCH(B1098,pr_code,0))&amp;"",""))</f>
        <v/>
      </c>
      <c r="J1098" s="65" t="str">
        <f>IF(COUNTA(A1098:G1098)=0,"",IF(E1098&lt;&gt;"",E1098,IF(B1098="","",IFERROR(IF(INDEX(pr_price,MATCH(B1098,pr_code,0))="","",INDEX(pr_price,MATCH(B1098,pr_code,0))),""))))</f>
        <v/>
      </c>
      <c r="K1098" s="71" t="str">
        <f>IF(COUNTA(A1098:G1098)=0,"",IF(G1098&lt;&gt;"",G1098,IF(B1098="","",IFERROR(IF(INDEX(pr_rate,MATCH(B1098,pr_code,0))="","",INDEX(pr_rate,MATCH(B1098,pr_code,0))),""))))</f>
        <v/>
      </c>
      <c r="L1098" s="65" t="str">
        <f>IF(COUNTA(A1098:G1098)=0,"",IF(AND(ISNUMBER(D1098),ISNUMBER(J1098)),ROUND(D1098*J1098*(1-N(F1098)),2),0))</f>
        <v/>
      </c>
      <c r="M1098" s="62" t="str">
        <f>IF(A1098="","",IFERROR(INDEX(dv_cname,MATCH(A1098,dv_num,0))&amp;"",""))</f>
        <v/>
      </c>
      <c r="N1098" s="59" t="str">
        <f>IF(COUNTA(A1098:G1098)=0,"",IF(A1098="","N° devis manquant",IF(ISNA(MATCH(A1098,dv_num,0)),"Devis inconnu",IF(AND(B1098&lt;&gt;"",ISNA(MATCH(B1098,pr_code,0))),"Article inconnu",IF(H1098="","Désignation manquante",IF(OR(NOT(ISNUMBER(D1098)),N(D1098)&lt;=0),"Quantité invalide",IF(J1098="","Prix manquant",IF(OR(NOT(ISNUMBER(J1098)),N(J1098)&lt;0),"Prix invalide",IF(OR(AND(F1098&lt;&gt;"",NOT(ISNUMBER(F1098))),N(F1098)&lt;0,N(F1098)&gt;1),"Remise invalide",IF(K1098="","Taux de TVA manquant",IF(NOT(ISNUMBER(K1098)),"Taux de TVA invalide",IF(COUNTIF(p_rates,K1098)=0,"Taux de TVA hors liste (Paramètres)",IF(N(O1098)&gt;25,"Au-delà de 25 lignes : non imprimée","OK")))))))))))))</f>
        <v/>
      </c>
      <c r="O1098" s="59" t="str">
        <f>IF(A1098="","",COUNTIF($A$6:A1098,A1098))</f>
        <v/>
      </c>
      <c r="P1098" s="62" t="str">
        <f>IF(A1098="","",A1098&amp;"|"&amp;O1098)</f>
        <v/>
      </c>
    </row>
    <row r="1099">
      <c r="A1099" s="60" t="n"/>
      <c r="B1099" s="63" t="n"/>
      <c r="C1099" s="63" t="n"/>
      <c r="D1099" s="67" t="n"/>
      <c r="E1099" s="68" t="n"/>
      <c r="F1099" s="69" t="n"/>
      <c r="G1099" s="70" t="n"/>
      <c r="H1099" s="62" t="str">
        <f>IF(COUNTA(A1099:G1099)=0,"",IF(C1099&lt;&gt;"",C1099,IF(B1099="","",IFERROR(INDEX(pr_des,MATCH(B1099,pr_code,0))&amp;"",""))))</f>
        <v/>
      </c>
      <c r="I1099" s="59" t="str">
        <f>IF(B1099="","",IFERROR(INDEX(pr_unit,MATCH(B1099,pr_code,0))&amp;"",""))</f>
        <v/>
      </c>
      <c r="J1099" s="65" t="str">
        <f>IF(COUNTA(A1099:G1099)=0,"",IF(E1099&lt;&gt;"",E1099,IF(B1099="","",IFERROR(IF(INDEX(pr_price,MATCH(B1099,pr_code,0))="","",INDEX(pr_price,MATCH(B1099,pr_code,0))),""))))</f>
        <v/>
      </c>
      <c r="K1099" s="71" t="str">
        <f>IF(COUNTA(A1099:G1099)=0,"",IF(G1099&lt;&gt;"",G1099,IF(B1099="","",IFERROR(IF(INDEX(pr_rate,MATCH(B1099,pr_code,0))="","",INDEX(pr_rate,MATCH(B1099,pr_code,0))),""))))</f>
        <v/>
      </c>
      <c r="L1099" s="65" t="str">
        <f>IF(COUNTA(A1099:G1099)=0,"",IF(AND(ISNUMBER(D1099),ISNUMBER(J1099)),ROUND(D1099*J1099*(1-N(F1099)),2),0))</f>
        <v/>
      </c>
      <c r="M1099" s="62" t="str">
        <f>IF(A1099="","",IFERROR(INDEX(dv_cname,MATCH(A1099,dv_num,0))&amp;"",""))</f>
        <v/>
      </c>
      <c r="N1099" s="59" t="str">
        <f>IF(COUNTA(A1099:G1099)=0,"",IF(A1099="","N° devis manquant",IF(ISNA(MATCH(A1099,dv_num,0)),"Devis inconnu",IF(AND(B1099&lt;&gt;"",ISNA(MATCH(B1099,pr_code,0))),"Article inconnu",IF(H1099="","Désignation manquante",IF(OR(NOT(ISNUMBER(D1099)),N(D1099)&lt;=0),"Quantité invalide",IF(J1099="","Prix manquant",IF(OR(NOT(ISNUMBER(J1099)),N(J1099)&lt;0),"Prix invalide",IF(OR(AND(F1099&lt;&gt;"",NOT(ISNUMBER(F1099))),N(F1099)&lt;0,N(F1099)&gt;1),"Remise invalide",IF(K1099="","Taux de TVA manquant",IF(NOT(ISNUMBER(K1099)),"Taux de TVA invalide",IF(COUNTIF(p_rates,K1099)=0,"Taux de TVA hors liste (Paramètres)",IF(N(O1099)&gt;25,"Au-delà de 25 lignes : non imprimée","OK")))))))))))))</f>
        <v/>
      </c>
      <c r="O1099" s="59" t="str">
        <f>IF(A1099="","",COUNTIF($A$6:A1099,A1099))</f>
        <v/>
      </c>
      <c r="P1099" s="62" t="str">
        <f>IF(A1099="","",A1099&amp;"|"&amp;O1099)</f>
        <v/>
      </c>
    </row>
    <row r="1100">
      <c r="A1100" s="60" t="n"/>
      <c r="B1100" s="63" t="n"/>
      <c r="C1100" s="63" t="n"/>
      <c r="D1100" s="67" t="n"/>
      <c r="E1100" s="68" t="n"/>
      <c r="F1100" s="69" t="n"/>
      <c r="G1100" s="70" t="n"/>
      <c r="H1100" s="62" t="str">
        <f>IF(COUNTA(A1100:G1100)=0,"",IF(C1100&lt;&gt;"",C1100,IF(B1100="","",IFERROR(INDEX(pr_des,MATCH(B1100,pr_code,0))&amp;"",""))))</f>
        <v/>
      </c>
      <c r="I1100" s="59" t="str">
        <f>IF(B1100="","",IFERROR(INDEX(pr_unit,MATCH(B1100,pr_code,0))&amp;"",""))</f>
        <v/>
      </c>
      <c r="J1100" s="65" t="str">
        <f>IF(COUNTA(A1100:G1100)=0,"",IF(E1100&lt;&gt;"",E1100,IF(B1100="","",IFERROR(IF(INDEX(pr_price,MATCH(B1100,pr_code,0))="","",INDEX(pr_price,MATCH(B1100,pr_code,0))),""))))</f>
        <v/>
      </c>
      <c r="K1100" s="71" t="str">
        <f>IF(COUNTA(A1100:G1100)=0,"",IF(G1100&lt;&gt;"",G1100,IF(B1100="","",IFERROR(IF(INDEX(pr_rate,MATCH(B1100,pr_code,0))="","",INDEX(pr_rate,MATCH(B1100,pr_code,0))),""))))</f>
        <v/>
      </c>
      <c r="L1100" s="65" t="str">
        <f>IF(COUNTA(A1100:G1100)=0,"",IF(AND(ISNUMBER(D1100),ISNUMBER(J1100)),ROUND(D1100*J1100*(1-N(F1100)),2),0))</f>
        <v/>
      </c>
      <c r="M1100" s="62" t="str">
        <f>IF(A1100="","",IFERROR(INDEX(dv_cname,MATCH(A1100,dv_num,0))&amp;"",""))</f>
        <v/>
      </c>
      <c r="N1100" s="59" t="str">
        <f>IF(COUNTA(A1100:G1100)=0,"",IF(A1100="","N° devis manquant",IF(ISNA(MATCH(A1100,dv_num,0)),"Devis inconnu",IF(AND(B1100&lt;&gt;"",ISNA(MATCH(B1100,pr_code,0))),"Article inconnu",IF(H1100="","Désignation manquante",IF(OR(NOT(ISNUMBER(D1100)),N(D1100)&lt;=0),"Quantité invalide",IF(J1100="","Prix manquant",IF(OR(NOT(ISNUMBER(J1100)),N(J1100)&lt;0),"Prix invalide",IF(OR(AND(F1100&lt;&gt;"",NOT(ISNUMBER(F1100))),N(F1100)&lt;0,N(F1100)&gt;1),"Remise invalide",IF(K1100="","Taux de TVA manquant",IF(NOT(ISNUMBER(K1100)),"Taux de TVA invalide",IF(COUNTIF(p_rates,K1100)=0,"Taux de TVA hors liste (Paramètres)",IF(N(O1100)&gt;25,"Au-delà de 25 lignes : non imprimée","OK")))))))))))))</f>
        <v/>
      </c>
      <c r="O1100" s="59" t="str">
        <f>IF(A1100="","",COUNTIF($A$6:A1100,A1100))</f>
        <v/>
      </c>
      <c r="P1100" s="62" t="str">
        <f>IF(A1100="","",A1100&amp;"|"&amp;O1100)</f>
        <v/>
      </c>
    </row>
    <row r="1101">
      <c r="A1101" s="60" t="n"/>
      <c r="B1101" s="63" t="n"/>
      <c r="C1101" s="63" t="n"/>
      <c r="D1101" s="67" t="n"/>
      <c r="E1101" s="68" t="n"/>
      <c r="F1101" s="69" t="n"/>
      <c r="G1101" s="70" t="n"/>
      <c r="H1101" s="62" t="str">
        <f>IF(COUNTA(A1101:G1101)=0,"",IF(C1101&lt;&gt;"",C1101,IF(B1101="","",IFERROR(INDEX(pr_des,MATCH(B1101,pr_code,0))&amp;"",""))))</f>
        <v/>
      </c>
      <c r="I1101" s="59" t="str">
        <f>IF(B1101="","",IFERROR(INDEX(pr_unit,MATCH(B1101,pr_code,0))&amp;"",""))</f>
        <v/>
      </c>
      <c r="J1101" s="65" t="str">
        <f>IF(COUNTA(A1101:G1101)=0,"",IF(E1101&lt;&gt;"",E1101,IF(B1101="","",IFERROR(IF(INDEX(pr_price,MATCH(B1101,pr_code,0))="","",INDEX(pr_price,MATCH(B1101,pr_code,0))),""))))</f>
        <v/>
      </c>
      <c r="K1101" s="71" t="str">
        <f>IF(COUNTA(A1101:G1101)=0,"",IF(G1101&lt;&gt;"",G1101,IF(B1101="","",IFERROR(IF(INDEX(pr_rate,MATCH(B1101,pr_code,0))="","",INDEX(pr_rate,MATCH(B1101,pr_code,0))),""))))</f>
        <v/>
      </c>
      <c r="L1101" s="65" t="str">
        <f>IF(COUNTA(A1101:G1101)=0,"",IF(AND(ISNUMBER(D1101),ISNUMBER(J1101)),ROUND(D1101*J1101*(1-N(F1101)),2),0))</f>
        <v/>
      </c>
      <c r="M1101" s="62" t="str">
        <f>IF(A1101="","",IFERROR(INDEX(dv_cname,MATCH(A1101,dv_num,0))&amp;"",""))</f>
        <v/>
      </c>
      <c r="N1101" s="59" t="str">
        <f>IF(COUNTA(A1101:G1101)=0,"",IF(A1101="","N° devis manquant",IF(ISNA(MATCH(A1101,dv_num,0)),"Devis inconnu",IF(AND(B1101&lt;&gt;"",ISNA(MATCH(B1101,pr_code,0))),"Article inconnu",IF(H1101="","Désignation manquante",IF(OR(NOT(ISNUMBER(D1101)),N(D1101)&lt;=0),"Quantité invalide",IF(J1101="","Prix manquant",IF(OR(NOT(ISNUMBER(J1101)),N(J1101)&lt;0),"Prix invalide",IF(OR(AND(F1101&lt;&gt;"",NOT(ISNUMBER(F1101))),N(F1101)&lt;0,N(F1101)&gt;1),"Remise invalide",IF(K1101="","Taux de TVA manquant",IF(NOT(ISNUMBER(K1101)),"Taux de TVA invalide",IF(COUNTIF(p_rates,K1101)=0,"Taux de TVA hors liste (Paramètres)",IF(N(O1101)&gt;25,"Au-delà de 25 lignes : non imprimée","OK")))))))))))))</f>
        <v/>
      </c>
      <c r="O1101" s="59" t="str">
        <f>IF(A1101="","",COUNTIF($A$6:A1101,A1101))</f>
        <v/>
      </c>
      <c r="P1101" s="62" t="str">
        <f>IF(A1101="","",A1101&amp;"|"&amp;O1101)</f>
        <v/>
      </c>
    </row>
    <row r="1102">
      <c r="A1102" s="60" t="n"/>
      <c r="B1102" s="63" t="n"/>
      <c r="C1102" s="63" t="n"/>
      <c r="D1102" s="67" t="n"/>
      <c r="E1102" s="68" t="n"/>
      <c r="F1102" s="69" t="n"/>
      <c r="G1102" s="70" t="n"/>
      <c r="H1102" s="62" t="str">
        <f>IF(COUNTA(A1102:G1102)=0,"",IF(C1102&lt;&gt;"",C1102,IF(B1102="","",IFERROR(INDEX(pr_des,MATCH(B1102,pr_code,0))&amp;"",""))))</f>
        <v/>
      </c>
      <c r="I1102" s="59" t="str">
        <f>IF(B1102="","",IFERROR(INDEX(pr_unit,MATCH(B1102,pr_code,0))&amp;"",""))</f>
        <v/>
      </c>
      <c r="J1102" s="65" t="str">
        <f>IF(COUNTA(A1102:G1102)=0,"",IF(E1102&lt;&gt;"",E1102,IF(B1102="","",IFERROR(IF(INDEX(pr_price,MATCH(B1102,pr_code,0))="","",INDEX(pr_price,MATCH(B1102,pr_code,0))),""))))</f>
        <v/>
      </c>
      <c r="K1102" s="71" t="str">
        <f>IF(COUNTA(A1102:G1102)=0,"",IF(G1102&lt;&gt;"",G1102,IF(B1102="","",IFERROR(IF(INDEX(pr_rate,MATCH(B1102,pr_code,0))="","",INDEX(pr_rate,MATCH(B1102,pr_code,0))),""))))</f>
        <v/>
      </c>
      <c r="L1102" s="65" t="str">
        <f>IF(COUNTA(A1102:G1102)=0,"",IF(AND(ISNUMBER(D1102),ISNUMBER(J1102)),ROUND(D1102*J1102*(1-N(F1102)),2),0))</f>
        <v/>
      </c>
      <c r="M1102" s="62" t="str">
        <f>IF(A1102="","",IFERROR(INDEX(dv_cname,MATCH(A1102,dv_num,0))&amp;"",""))</f>
        <v/>
      </c>
      <c r="N1102" s="59" t="str">
        <f>IF(COUNTA(A1102:G1102)=0,"",IF(A1102="","N° devis manquant",IF(ISNA(MATCH(A1102,dv_num,0)),"Devis inconnu",IF(AND(B1102&lt;&gt;"",ISNA(MATCH(B1102,pr_code,0))),"Article inconnu",IF(H1102="","Désignation manquante",IF(OR(NOT(ISNUMBER(D1102)),N(D1102)&lt;=0),"Quantité invalide",IF(J1102="","Prix manquant",IF(OR(NOT(ISNUMBER(J1102)),N(J1102)&lt;0),"Prix invalide",IF(OR(AND(F1102&lt;&gt;"",NOT(ISNUMBER(F1102))),N(F1102)&lt;0,N(F1102)&gt;1),"Remise invalide",IF(K1102="","Taux de TVA manquant",IF(NOT(ISNUMBER(K1102)),"Taux de TVA invalide",IF(COUNTIF(p_rates,K1102)=0,"Taux de TVA hors liste (Paramètres)",IF(N(O1102)&gt;25,"Au-delà de 25 lignes : non imprimée","OK")))))))))))))</f>
        <v/>
      </c>
      <c r="O1102" s="59" t="str">
        <f>IF(A1102="","",COUNTIF($A$6:A1102,A1102))</f>
        <v/>
      </c>
      <c r="P1102" s="62" t="str">
        <f>IF(A1102="","",A1102&amp;"|"&amp;O1102)</f>
        <v/>
      </c>
    </row>
    <row r="1103">
      <c r="A1103" s="60" t="n"/>
      <c r="B1103" s="63" t="n"/>
      <c r="C1103" s="63" t="n"/>
      <c r="D1103" s="67" t="n"/>
      <c r="E1103" s="68" t="n"/>
      <c r="F1103" s="69" t="n"/>
      <c r="G1103" s="70" t="n"/>
      <c r="H1103" s="62" t="str">
        <f>IF(COUNTA(A1103:G1103)=0,"",IF(C1103&lt;&gt;"",C1103,IF(B1103="","",IFERROR(INDEX(pr_des,MATCH(B1103,pr_code,0))&amp;"",""))))</f>
        <v/>
      </c>
      <c r="I1103" s="59" t="str">
        <f>IF(B1103="","",IFERROR(INDEX(pr_unit,MATCH(B1103,pr_code,0))&amp;"",""))</f>
        <v/>
      </c>
      <c r="J1103" s="65" t="str">
        <f>IF(COUNTA(A1103:G1103)=0,"",IF(E1103&lt;&gt;"",E1103,IF(B1103="","",IFERROR(IF(INDEX(pr_price,MATCH(B1103,pr_code,0))="","",INDEX(pr_price,MATCH(B1103,pr_code,0))),""))))</f>
        <v/>
      </c>
      <c r="K1103" s="71" t="str">
        <f>IF(COUNTA(A1103:G1103)=0,"",IF(G1103&lt;&gt;"",G1103,IF(B1103="","",IFERROR(IF(INDEX(pr_rate,MATCH(B1103,pr_code,0))="","",INDEX(pr_rate,MATCH(B1103,pr_code,0))),""))))</f>
        <v/>
      </c>
      <c r="L1103" s="65" t="str">
        <f>IF(COUNTA(A1103:G1103)=0,"",IF(AND(ISNUMBER(D1103),ISNUMBER(J1103)),ROUND(D1103*J1103*(1-N(F1103)),2),0))</f>
        <v/>
      </c>
      <c r="M1103" s="62" t="str">
        <f>IF(A1103="","",IFERROR(INDEX(dv_cname,MATCH(A1103,dv_num,0))&amp;"",""))</f>
        <v/>
      </c>
      <c r="N1103" s="59" t="str">
        <f>IF(COUNTA(A1103:G1103)=0,"",IF(A1103="","N° devis manquant",IF(ISNA(MATCH(A1103,dv_num,0)),"Devis inconnu",IF(AND(B1103&lt;&gt;"",ISNA(MATCH(B1103,pr_code,0))),"Article inconnu",IF(H1103="","Désignation manquante",IF(OR(NOT(ISNUMBER(D1103)),N(D1103)&lt;=0),"Quantité invalide",IF(J1103="","Prix manquant",IF(OR(NOT(ISNUMBER(J1103)),N(J1103)&lt;0),"Prix invalide",IF(OR(AND(F1103&lt;&gt;"",NOT(ISNUMBER(F1103))),N(F1103)&lt;0,N(F1103)&gt;1),"Remise invalide",IF(K1103="","Taux de TVA manquant",IF(NOT(ISNUMBER(K1103)),"Taux de TVA invalide",IF(COUNTIF(p_rates,K1103)=0,"Taux de TVA hors liste (Paramètres)",IF(N(O1103)&gt;25,"Au-delà de 25 lignes : non imprimée","OK")))))))))))))</f>
        <v/>
      </c>
      <c r="O1103" s="59" t="str">
        <f>IF(A1103="","",COUNTIF($A$6:A1103,A1103))</f>
        <v/>
      </c>
      <c r="P1103" s="62" t="str">
        <f>IF(A1103="","",A1103&amp;"|"&amp;O1103)</f>
        <v/>
      </c>
    </row>
    <row r="1104">
      <c r="A1104" s="60" t="n"/>
      <c r="B1104" s="63" t="n"/>
      <c r="C1104" s="63" t="n"/>
      <c r="D1104" s="67" t="n"/>
      <c r="E1104" s="68" t="n"/>
      <c r="F1104" s="69" t="n"/>
      <c r="G1104" s="70" t="n"/>
      <c r="H1104" s="62" t="str">
        <f>IF(COUNTA(A1104:G1104)=0,"",IF(C1104&lt;&gt;"",C1104,IF(B1104="","",IFERROR(INDEX(pr_des,MATCH(B1104,pr_code,0))&amp;"",""))))</f>
        <v/>
      </c>
      <c r="I1104" s="59" t="str">
        <f>IF(B1104="","",IFERROR(INDEX(pr_unit,MATCH(B1104,pr_code,0))&amp;"",""))</f>
        <v/>
      </c>
      <c r="J1104" s="65" t="str">
        <f>IF(COUNTA(A1104:G1104)=0,"",IF(E1104&lt;&gt;"",E1104,IF(B1104="","",IFERROR(IF(INDEX(pr_price,MATCH(B1104,pr_code,0))="","",INDEX(pr_price,MATCH(B1104,pr_code,0))),""))))</f>
        <v/>
      </c>
      <c r="K1104" s="71" t="str">
        <f>IF(COUNTA(A1104:G1104)=0,"",IF(G1104&lt;&gt;"",G1104,IF(B1104="","",IFERROR(IF(INDEX(pr_rate,MATCH(B1104,pr_code,0))="","",INDEX(pr_rate,MATCH(B1104,pr_code,0))),""))))</f>
        <v/>
      </c>
      <c r="L1104" s="65" t="str">
        <f>IF(COUNTA(A1104:G1104)=0,"",IF(AND(ISNUMBER(D1104),ISNUMBER(J1104)),ROUND(D1104*J1104*(1-N(F1104)),2),0))</f>
        <v/>
      </c>
      <c r="M1104" s="62" t="str">
        <f>IF(A1104="","",IFERROR(INDEX(dv_cname,MATCH(A1104,dv_num,0))&amp;"",""))</f>
        <v/>
      </c>
      <c r="N1104" s="59" t="str">
        <f>IF(COUNTA(A1104:G1104)=0,"",IF(A1104="","N° devis manquant",IF(ISNA(MATCH(A1104,dv_num,0)),"Devis inconnu",IF(AND(B1104&lt;&gt;"",ISNA(MATCH(B1104,pr_code,0))),"Article inconnu",IF(H1104="","Désignation manquante",IF(OR(NOT(ISNUMBER(D1104)),N(D1104)&lt;=0),"Quantité invalide",IF(J1104="","Prix manquant",IF(OR(NOT(ISNUMBER(J1104)),N(J1104)&lt;0),"Prix invalide",IF(OR(AND(F1104&lt;&gt;"",NOT(ISNUMBER(F1104))),N(F1104)&lt;0,N(F1104)&gt;1),"Remise invalide",IF(K1104="","Taux de TVA manquant",IF(NOT(ISNUMBER(K1104)),"Taux de TVA invalide",IF(COUNTIF(p_rates,K1104)=0,"Taux de TVA hors liste (Paramètres)",IF(N(O1104)&gt;25,"Au-delà de 25 lignes : non imprimée","OK")))))))))))))</f>
        <v/>
      </c>
      <c r="O1104" s="59" t="str">
        <f>IF(A1104="","",COUNTIF($A$6:A1104,A1104))</f>
        <v/>
      </c>
      <c r="P1104" s="62" t="str">
        <f>IF(A1104="","",A1104&amp;"|"&amp;O1104)</f>
        <v/>
      </c>
    </row>
    <row r="1105">
      <c r="A1105" s="60" t="n"/>
      <c r="B1105" s="63" t="n"/>
      <c r="C1105" s="63" t="n"/>
      <c r="D1105" s="67" t="n"/>
      <c r="E1105" s="68" t="n"/>
      <c r="F1105" s="69" t="n"/>
      <c r="G1105" s="70" t="n"/>
      <c r="H1105" s="62" t="str">
        <f>IF(COUNTA(A1105:G1105)=0,"",IF(C1105&lt;&gt;"",C1105,IF(B1105="","",IFERROR(INDEX(pr_des,MATCH(B1105,pr_code,0))&amp;"",""))))</f>
        <v/>
      </c>
      <c r="I1105" s="59" t="str">
        <f>IF(B1105="","",IFERROR(INDEX(pr_unit,MATCH(B1105,pr_code,0))&amp;"",""))</f>
        <v/>
      </c>
      <c r="J1105" s="65" t="str">
        <f>IF(COUNTA(A1105:G1105)=0,"",IF(E1105&lt;&gt;"",E1105,IF(B1105="","",IFERROR(IF(INDEX(pr_price,MATCH(B1105,pr_code,0))="","",INDEX(pr_price,MATCH(B1105,pr_code,0))),""))))</f>
        <v/>
      </c>
      <c r="K1105" s="71" t="str">
        <f>IF(COUNTA(A1105:G1105)=0,"",IF(G1105&lt;&gt;"",G1105,IF(B1105="","",IFERROR(IF(INDEX(pr_rate,MATCH(B1105,pr_code,0))="","",INDEX(pr_rate,MATCH(B1105,pr_code,0))),""))))</f>
        <v/>
      </c>
      <c r="L1105" s="65" t="str">
        <f>IF(COUNTA(A1105:G1105)=0,"",IF(AND(ISNUMBER(D1105),ISNUMBER(J1105)),ROUND(D1105*J1105*(1-N(F1105)),2),0))</f>
        <v/>
      </c>
      <c r="M1105" s="62" t="str">
        <f>IF(A1105="","",IFERROR(INDEX(dv_cname,MATCH(A1105,dv_num,0))&amp;"",""))</f>
        <v/>
      </c>
      <c r="N1105" s="59" t="str">
        <f>IF(COUNTA(A1105:G1105)=0,"",IF(A1105="","N° devis manquant",IF(ISNA(MATCH(A1105,dv_num,0)),"Devis inconnu",IF(AND(B1105&lt;&gt;"",ISNA(MATCH(B1105,pr_code,0))),"Article inconnu",IF(H1105="","Désignation manquante",IF(OR(NOT(ISNUMBER(D1105)),N(D1105)&lt;=0),"Quantité invalide",IF(J1105="","Prix manquant",IF(OR(NOT(ISNUMBER(J1105)),N(J1105)&lt;0),"Prix invalide",IF(OR(AND(F1105&lt;&gt;"",NOT(ISNUMBER(F1105))),N(F1105)&lt;0,N(F1105)&gt;1),"Remise invalide",IF(K1105="","Taux de TVA manquant",IF(NOT(ISNUMBER(K1105)),"Taux de TVA invalide",IF(COUNTIF(p_rates,K1105)=0,"Taux de TVA hors liste (Paramètres)",IF(N(O1105)&gt;25,"Au-delà de 25 lignes : non imprimée","OK")))))))))))))</f>
        <v/>
      </c>
      <c r="O1105" s="59" t="str">
        <f>IF(A1105="","",COUNTIF($A$6:A1105,A1105))</f>
        <v/>
      </c>
      <c r="P1105" s="62" t="str">
        <f>IF(A1105="","",A1105&amp;"|"&amp;O1105)</f>
        <v/>
      </c>
    </row>
    <row r="1106">
      <c r="A1106" s="60" t="n"/>
      <c r="B1106" s="63" t="n"/>
      <c r="C1106" s="63" t="n"/>
      <c r="D1106" s="67" t="n"/>
      <c r="E1106" s="68" t="n"/>
      <c r="F1106" s="69" t="n"/>
      <c r="G1106" s="70" t="n"/>
      <c r="H1106" s="62" t="str">
        <f>IF(COUNTA(A1106:G1106)=0,"",IF(C1106&lt;&gt;"",C1106,IF(B1106="","",IFERROR(INDEX(pr_des,MATCH(B1106,pr_code,0))&amp;"",""))))</f>
        <v/>
      </c>
      <c r="I1106" s="59" t="str">
        <f>IF(B1106="","",IFERROR(INDEX(pr_unit,MATCH(B1106,pr_code,0))&amp;"",""))</f>
        <v/>
      </c>
      <c r="J1106" s="65" t="str">
        <f>IF(COUNTA(A1106:G1106)=0,"",IF(E1106&lt;&gt;"",E1106,IF(B1106="","",IFERROR(IF(INDEX(pr_price,MATCH(B1106,pr_code,0))="","",INDEX(pr_price,MATCH(B1106,pr_code,0))),""))))</f>
        <v/>
      </c>
      <c r="K1106" s="71" t="str">
        <f>IF(COUNTA(A1106:G1106)=0,"",IF(G1106&lt;&gt;"",G1106,IF(B1106="","",IFERROR(IF(INDEX(pr_rate,MATCH(B1106,pr_code,0))="","",INDEX(pr_rate,MATCH(B1106,pr_code,0))),""))))</f>
        <v/>
      </c>
      <c r="L1106" s="65" t="str">
        <f>IF(COUNTA(A1106:G1106)=0,"",IF(AND(ISNUMBER(D1106),ISNUMBER(J1106)),ROUND(D1106*J1106*(1-N(F1106)),2),0))</f>
        <v/>
      </c>
      <c r="M1106" s="62" t="str">
        <f>IF(A1106="","",IFERROR(INDEX(dv_cname,MATCH(A1106,dv_num,0))&amp;"",""))</f>
        <v/>
      </c>
      <c r="N1106" s="59" t="str">
        <f>IF(COUNTA(A1106:G1106)=0,"",IF(A1106="","N° devis manquant",IF(ISNA(MATCH(A1106,dv_num,0)),"Devis inconnu",IF(AND(B1106&lt;&gt;"",ISNA(MATCH(B1106,pr_code,0))),"Article inconnu",IF(H1106="","Désignation manquante",IF(OR(NOT(ISNUMBER(D1106)),N(D1106)&lt;=0),"Quantité invalide",IF(J1106="","Prix manquant",IF(OR(NOT(ISNUMBER(J1106)),N(J1106)&lt;0),"Prix invalide",IF(OR(AND(F1106&lt;&gt;"",NOT(ISNUMBER(F1106))),N(F1106)&lt;0,N(F1106)&gt;1),"Remise invalide",IF(K1106="","Taux de TVA manquant",IF(NOT(ISNUMBER(K1106)),"Taux de TVA invalide",IF(COUNTIF(p_rates,K1106)=0,"Taux de TVA hors liste (Paramètres)",IF(N(O1106)&gt;25,"Au-delà de 25 lignes : non imprimée","OK")))))))))))))</f>
        <v/>
      </c>
      <c r="O1106" s="59" t="str">
        <f>IF(A1106="","",COUNTIF($A$6:A1106,A1106))</f>
        <v/>
      </c>
      <c r="P1106" s="62" t="str">
        <f>IF(A1106="","",A1106&amp;"|"&amp;O1106)</f>
        <v/>
      </c>
    </row>
    <row r="1107">
      <c r="A1107" s="60" t="n"/>
      <c r="B1107" s="63" t="n"/>
      <c r="C1107" s="63" t="n"/>
      <c r="D1107" s="67" t="n"/>
      <c r="E1107" s="68" t="n"/>
      <c r="F1107" s="69" t="n"/>
      <c r="G1107" s="70" t="n"/>
      <c r="H1107" s="62" t="str">
        <f>IF(COUNTA(A1107:G1107)=0,"",IF(C1107&lt;&gt;"",C1107,IF(B1107="","",IFERROR(INDEX(pr_des,MATCH(B1107,pr_code,0))&amp;"",""))))</f>
        <v/>
      </c>
      <c r="I1107" s="59" t="str">
        <f>IF(B1107="","",IFERROR(INDEX(pr_unit,MATCH(B1107,pr_code,0))&amp;"",""))</f>
        <v/>
      </c>
      <c r="J1107" s="65" t="str">
        <f>IF(COUNTA(A1107:G1107)=0,"",IF(E1107&lt;&gt;"",E1107,IF(B1107="","",IFERROR(IF(INDEX(pr_price,MATCH(B1107,pr_code,0))="","",INDEX(pr_price,MATCH(B1107,pr_code,0))),""))))</f>
        <v/>
      </c>
      <c r="K1107" s="71" t="str">
        <f>IF(COUNTA(A1107:G1107)=0,"",IF(G1107&lt;&gt;"",G1107,IF(B1107="","",IFERROR(IF(INDEX(pr_rate,MATCH(B1107,pr_code,0))="","",INDEX(pr_rate,MATCH(B1107,pr_code,0))),""))))</f>
        <v/>
      </c>
      <c r="L1107" s="65" t="str">
        <f>IF(COUNTA(A1107:G1107)=0,"",IF(AND(ISNUMBER(D1107),ISNUMBER(J1107)),ROUND(D1107*J1107*(1-N(F1107)),2),0))</f>
        <v/>
      </c>
      <c r="M1107" s="62" t="str">
        <f>IF(A1107="","",IFERROR(INDEX(dv_cname,MATCH(A1107,dv_num,0))&amp;"",""))</f>
        <v/>
      </c>
      <c r="N1107" s="59" t="str">
        <f>IF(COUNTA(A1107:G1107)=0,"",IF(A1107="","N° devis manquant",IF(ISNA(MATCH(A1107,dv_num,0)),"Devis inconnu",IF(AND(B1107&lt;&gt;"",ISNA(MATCH(B1107,pr_code,0))),"Article inconnu",IF(H1107="","Désignation manquante",IF(OR(NOT(ISNUMBER(D1107)),N(D1107)&lt;=0),"Quantité invalide",IF(J1107="","Prix manquant",IF(OR(NOT(ISNUMBER(J1107)),N(J1107)&lt;0),"Prix invalide",IF(OR(AND(F1107&lt;&gt;"",NOT(ISNUMBER(F1107))),N(F1107)&lt;0,N(F1107)&gt;1),"Remise invalide",IF(K1107="","Taux de TVA manquant",IF(NOT(ISNUMBER(K1107)),"Taux de TVA invalide",IF(COUNTIF(p_rates,K1107)=0,"Taux de TVA hors liste (Paramètres)",IF(N(O1107)&gt;25,"Au-delà de 25 lignes : non imprimée","OK")))))))))))))</f>
        <v/>
      </c>
      <c r="O1107" s="59" t="str">
        <f>IF(A1107="","",COUNTIF($A$6:A1107,A1107))</f>
        <v/>
      </c>
      <c r="P1107" s="62" t="str">
        <f>IF(A1107="","",A1107&amp;"|"&amp;O1107)</f>
        <v/>
      </c>
    </row>
    <row r="1108">
      <c r="A1108" s="60" t="n"/>
      <c r="B1108" s="63" t="n"/>
      <c r="C1108" s="63" t="n"/>
      <c r="D1108" s="67" t="n"/>
      <c r="E1108" s="68" t="n"/>
      <c r="F1108" s="69" t="n"/>
      <c r="G1108" s="70" t="n"/>
      <c r="H1108" s="62" t="str">
        <f>IF(COUNTA(A1108:G1108)=0,"",IF(C1108&lt;&gt;"",C1108,IF(B1108="","",IFERROR(INDEX(pr_des,MATCH(B1108,pr_code,0))&amp;"",""))))</f>
        <v/>
      </c>
      <c r="I1108" s="59" t="str">
        <f>IF(B1108="","",IFERROR(INDEX(pr_unit,MATCH(B1108,pr_code,0))&amp;"",""))</f>
        <v/>
      </c>
      <c r="J1108" s="65" t="str">
        <f>IF(COUNTA(A1108:G1108)=0,"",IF(E1108&lt;&gt;"",E1108,IF(B1108="","",IFERROR(IF(INDEX(pr_price,MATCH(B1108,pr_code,0))="","",INDEX(pr_price,MATCH(B1108,pr_code,0))),""))))</f>
        <v/>
      </c>
      <c r="K1108" s="71" t="str">
        <f>IF(COUNTA(A1108:G1108)=0,"",IF(G1108&lt;&gt;"",G1108,IF(B1108="","",IFERROR(IF(INDEX(pr_rate,MATCH(B1108,pr_code,0))="","",INDEX(pr_rate,MATCH(B1108,pr_code,0))),""))))</f>
        <v/>
      </c>
      <c r="L1108" s="65" t="str">
        <f>IF(COUNTA(A1108:G1108)=0,"",IF(AND(ISNUMBER(D1108),ISNUMBER(J1108)),ROUND(D1108*J1108*(1-N(F1108)),2),0))</f>
        <v/>
      </c>
      <c r="M1108" s="62" t="str">
        <f>IF(A1108="","",IFERROR(INDEX(dv_cname,MATCH(A1108,dv_num,0))&amp;"",""))</f>
        <v/>
      </c>
      <c r="N1108" s="59" t="str">
        <f>IF(COUNTA(A1108:G1108)=0,"",IF(A1108="","N° devis manquant",IF(ISNA(MATCH(A1108,dv_num,0)),"Devis inconnu",IF(AND(B1108&lt;&gt;"",ISNA(MATCH(B1108,pr_code,0))),"Article inconnu",IF(H1108="","Désignation manquante",IF(OR(NOT(ISNUMBER(D1108)),N(D1108)&lt;=0),"Quantité invalide",IF(J1108="","Prix manquant",IF(OR(NOT(ISNUMBER(J1108)),N(J1108)&lt;0),"Prix invalide",IF(OR(AND(F1108&lt;&gt;"",NOT(ISNUMBER(F1108))),N(F1108)&lt;0,N(F1108)&gt;1),"Remise invalide",IF(K1108="","Taux de TVA manquant",IF(NOT(ISNUMBER(K1108)),"Taux de TVA invalide",IF(COUNTIF(p_rates,K1108)=0,"Taux de TVA hors liste (Paramètres)",IF(N(O1108)&gt;25,"Au-delà de 25 lignes : non imprimée","OK")))))))))))))</f>
        <v/>
      </c>
      <c r="O1108" s="59" t="str">
        <f>IF(A1108="","",COUNTIF($A$6:A1108,A1108))</f>
        <v/>
      </c>
      <c r="P1108" s="62" t="str">
        <f>IF(A1108="","",A1108&amp;"|"&amp;O1108)</f>
        <v/>
      </c>
    </row>
    <row r="1109">
      <c r="A1109" s="60" t="n"/>
      <c r="B1109" s="63" t="n"/>
      <c r="C1109" s="63" t="n"/>
      <c r="D1109" s="67" t="n"/>
      <c r="E1109" s="68" t="n"/>
      <c r="F1109" s="69" t="n"/>
      <c r="G1109" s="70" t="n"/>
      <c r="H1109" s="62" t="str">
        <f>IF(COUNTA(A1109:G1109)=0,"",IF(C1109&lt;&gt;"",C1109,IF(B1109="","",IFERROR(INDEX(pr_des,MATCH(B1109,pr_code,0))&amp;"",""))))</f>
        <v/>
      </c>
      <c r="I1109" s="59" t="str">
        <f>IF(B1109="","",IFERROR(INDEX(pr_unit,MATCH(B1109,pr_code,0))&amp;"",""))</f>
        <v/>
      </c>
      <c r="J1109" s="65" t="str">
        <f>IF(COUNTA(A1109:G1109)=0,"",IF(E1109&lt;&gt;"",E1109,IF(B1109="","",IFERROR(IF(INDEX(pr_price,MATCH(B1109,pr_code,0))="","",INDEX(pr_price,MATCH(B1109,pr_code,0))),""))))</f>
        <v/>
      </c>
      <c r="K1109" s="71" t="str">
        <f>IF(COUNTA(A1109:G1109)=0,"",IF(G1109&lt;&gt;"",G1109,IF(B1109="","",IFERROR(IF(INDEX(pr_rate,MATCH(B1109,pr_code,0))="","",INDEX(pr_rate,MATCH(B1109,pr_code,0))),""))))</f>
        <v/>
      </c>
      <c r="L1109" s="65" t="str">
        <f>IF(COUNTA(A1109:G1109)=0,"",IF(AND(ISNUMBER(D1109),ISNUMBER(J1109)),ROUND(D1109*J1109*(1-N(F1109)),2),0))</f>
        <v/>
      </c>
      <c r="M1109" s="62" t="str">
        <f>IF(A1109="","",IFERROR(INDEX(dv_cname,MATCH(A1109,dv_num,0))&amp;"",""))</f>
        <v/>
      </c>
      <c r="N1109" s="59" t="str">
        <f>IF(COUNTA(A1109:G1109)=0,"",IF(A1109="","N° devis manquant",IF(ISNA(MATCH(A1109,dv_num,0)),"Devis inconnu",IF(AND(B1109&lt;&gt;"",ISNA(MATCH(B1109,pr_code,0))),"Article inconnu",IF(H1109="","Désignation manquante",IF(OR(NOT(ISNUMBER(D1109)),N(D1109)&lt;=0),"Quantité invalide",IF(J1109="","Prix manquant",IF(OR(NOT(ISNUMBER(J1109)),N(J1109)&lt;0),"Prix invalide",IF(OR(AND(F1109&lt;&gt;"",NOT(ISNUMBER(F1109))),N(F1109)&lt;0,N(F1109)&gt;1),"Remise invalide",IF(K1109="","Taux de TVA manquant",IF(NOT(ISNUMBER(K1109)),"Taux de TVA invalide",IF(COUNTIF(p_rates,K1109)=0,"Taux de TVA hors liste (Paramètres)",IF(N(O1109)&gt;25,"Au-delà de 25 lignes : non imprimée","OK")))))))))))))</f>
        <v/>
      </c>
      <c r="O1109" s="59" t="str">
        <f>IF(A1109="","",COUNTIF($A$6:A1109,A1109))</f>
        <v/>
      </c>
      <c r="P1109" s="62" t="str">
        <f>IF(A1109="","",A1109&amp;"|"&amp;O1109)</f>
        <v/>
      </c>
    </row>
    <row r="1110">
      <c r="A1110" s="60" t="n"/>
      <c r="B1110" s="63" t="n"/>
      <c r="C1110" s="63" t="n"/>
      <c r="D1110" s="67" t="n"/>
      <c r="E1110" s="68" t="n"/>
      <c r="F1110" s="69" t="n"/>
      <c r="G1110" s="70" t="n"/>
      <c r="H1110" s="62" t="str">
        <f>IF(COUNTA(A1110:G1110)=0,"",IF(C1110&lt;&gt;"",C1110,IF(B1110="","",IFERROR(INDEX(pr_des,MATCH(B1110,pr_code,0))&amp;"",""))))</f>
        <v/>
      </c>
      <c r="I1110" s="59" t="str">
        <f>IF(B1110="","",IFERROR(INDEX(pr_unit,MATCH(B1110,pr_code,0))&amp;"",""))</f>
        <v/>
      </c>
      <c r="J1110" s="65" t="str">
        <f>IF(COUNTA(A1110:G1110)=0,"",IF(E1110&lt;&gt;"",E1110,IF(B1110="","",IFERROR(IF(INDEX(pr_price,MATCH(B1110,pr_code,0))="","",INDEX(pr_price,MATCH(B1110,pr_code,0))),""))))</f>
        <v/>
      </c>
      <c r="K1110" s="71" t="str">
        <f>IF(COUNTA(A1110:G1110)=0,"",IF(G1110&lt;&gt;"",G1110,IF(B1110="","",IFERROR(IF(INDEX(pr_rate,MATCH(B1110,pr_code,0))="","",INDEX(pr_rate,MATCH(B1110,pr_code,0))),""))))</f>
        <v/>
      </c>
      <c r="L1110" s="65" t="str">
        <f>IF(COUNTA(A1110:G1110)=0,"",IF(AND(ISNUMBER(D1110),ISNUMBER(J1110)),ROUND(D1110*J1110*(1-N(F1110)),2),0))</f>
        <v/>
      </c>
      <c r="M1110" s="62" t="str">
        <f>IF(A1110="","",IFERROR(INDEX(dv_cname,MATCH(A1110,dv_num,0))&amp;"",""))</f>
        <v/>
      </c>
      <c r="N1110" s="59" t="str">
        <f>IF(COUNTA(A1110:G1110)=0,"",IF(A1110="","N° devis manquant",IF(ISNA(MATCH(A1110,dv_num,0)),"Devis inconnu",IF(AND(B1110&lt;&gt;"",ISNA(MATCH(B1110,pr_code,0))),"Article inconnu",IF(H1110="","Désignation manquante",IF(OR(NOT(ISNUMBER(D1110)),N(D1110)&lt;=0),"Quantité invalide",IF(J1110="","Prix manquant",IF(OR(NOT(ISNUMBER(J1110)),N(J1110)&lt;0),"Prix invalide",IF(OR(AND(F1110&lt;&gt;"",NOT(ISNUMBER(F1110))),N(F1110)&lt;0,N(F1110)&gt;1),"Remise invalide",IF(K1110="","Taux de TVA manquant",IF(NOT(ISNUMBER(K1110)),"Taux de TVA invalide",IF(COUNTIF(p_rates,K1110)=0,"Taux de TVA hors liste (Paramètres)",IF(N(O1110)&gt;25,"Au-delà de 25 lignes : non imprimée","OK")))))))))))))</f>
        <v/>
      </c>
      <c r="O1110" s="59" t="str">
        <f>IF(A1110="","",COUNTIF($A$6:A1110,A1110))</f>
        <v/>
      </c>
      <c r="P1110" s="62" t="str">
        <f>IF(A1110="","",A1110&amp;"|"&amp;O1110)</f>
        <v/>
      </c>
    </row>
    <row r="1111">
      <c r="A1111" s="60" t="n"/>
      <c r="B1111" s="63" t="n"/>
      <c r="C1111" s="63" t="n"/>
      <c r="D1111" s="67" t="n"/>
      <c r="E1111" s="68" t="n"/>
      <c r="F1111" s="69" t="n"/>
      <c r="G1111" s="70" t="n"/>
      <c r="H1111" s="62" t="str">
        <f>IF(COUNTA(A1111:G1111)=0,"",IF(C1111&lt;&gt;"",C1111,IF(B1111="","",IFERROR(INDEX(pr_des,MATCH(B1111,pr_code,0))&amp;"",""))))</f>
        <v/>
      </c>
      <c r="I1111" s="59" t="str">
        <f>IF(B1111="","",IFERROR(INDEX(pr_unit,MATCH(B1111,pr_code,0))&amp;"",""))</f>
        <v/>
      </c>
      <c r="J1111" s="65" t="str">
        <f>IF(COUNTA(A1111:G1111)=0,"",IF(E1111&lt;&gt;"",E1111,IF(B1111="","",IFERROR(IF(INDEX(pr_price,MATCH(B1111,pr_code,0))="","",INDEX(pr_price,MATCH(B1111,pr_code,0))),""))))</f>
        <v/>
      </c>
      <c r="K1111" s="71" t="str">
        <f>IF(COUNTA(A1111:G1111)=0,"",IF(G1111&lt;&gt;"",G1111,IF(B1111="","",IFERROR(IF(INDEX(pr_rate,MATCH(B1111,pr_code,0))="","",INDEX(pr_rate,MATCH(B1111,pr_code,0))),""))))</f>
        <v/>
      </c>
      <c r="L1111" s="65" t="str">
        <f>IF(COUNTA(A1111:G1111)=0,"",IF(AND(ISNUMBER(D1111),ISNUMBER(J1111)),ROUND(D1111*J1111*(1-N(F1111)),2),0))</f>
        <v/>
      </c>
      <c r="M1111" s="62" t="str">
        <f>IF(A1111="","",IFERROR(INDEX(dv_cname,MATCH(A1111,dv_num,0))&amp;"",""))</f>
        <v/>
      </c>
      <c r="N1111" s="59" t="str">
        <f>IF(COUNTA(A1111:G1111)=0,"",IF(A1111="","N° devis manquant",IF(ISNA(MATCH(A1111,dv_num,0)),"Devis inconnu",IF(AND(B1111&lt;&gt;"",ISNA(MATCH(B1111,pr_code,0))),"Article inconnu",IF(H1111="","Désignation manquante",IF(OR(NOT(ISNUMBER(D1111)),N(D1111)&lt;=0),"Quantité invalide",IF(J1111="","Prix manquant",IF(OR(NOT(ISNUMBER(J1111)),N(J1111)&lt;0),"Prix invalide",IF(OR(AND(F1111&lt;&gt;"",NOT(ISNUMBER(F1111))),N(F1111)&lt;0,N(F1111)&gt;1),"Remise invalide",IF(K1111="","Taux de TVA manquant",IF(NOT(ISNUMBER(K1111)),"Taux de TVA invalide",IF(COUNTIF(p_rates,K1111)=0,"Taux de TVA hors liste (Paramètres)",IF(N(O1111)&gt;25,"Au-delà de 25 lignes : non imprimée","OK")))))))))))))</f>
        <v/>
      </c>
      <c r="O1111" s="59" t="str">
        <f>IF(A1111="","",COUNTIF($A$6:A1111,A1111))</f>
        <v/>
      </c>
      <c r="P1111" s="62" t="str">
        <f>IF(A1111="","",A1111&amp;"|"&amp;O1111)</f>
        <v/>
      </c>
    </row>
    <row r="1112">
      <c r="A1112" s="60" t="n"/>
      <c r="B1112" s="63" t="n"/>
      <c r="C1112" s="63" t="n"/>
      <c r="D1112" s="67" t="n"/>
      <c r="E1112" s="68" t="n"/>
      <c r="F1112" s="69" t="n"/>
      <c r="G1112" s="70" t="n"/>
      <c r="H1112" s="62" t="str">
        <f>IF(COUNTA(A1112:G1112)=0,"",IF(C1112&lt;&gt;"",C1112,IF(B1112="","",IFERROR(INDEX(pr_des,MATCH(B1112,pr_code,0))&amp;"",""))))</f>
        <v/>
      </c>
      <c r="I1112" s="59" t="str">
        <f>IF(B1112="","",IFERROR(INDEX(pr_unit,MATCH(B1112,pr_code,0))&amp;"",""))</f>
        <v/>
      </c>
      <c r="J1112" s="65" t="str">
        <f>IF(COUNTA(A1112:G1112)=0,"",IF(E1112&lt;&gt;"",E1112,IF(B1112="","",IFERROR(IF(INDEX(pr_price,MATCH(B1112,pr_code,0))="","",INDEX(pr_price,MATCH(B1112,pr_code,0))),""))))</f>
        <v/>
      </c>
      <c r="K1112" s="71" t="str">
        <f>IF(COUNTA(A1112:G1112)=0,"",IF(G1112&lt;&gt;"",G1112,IF(B1112="","",IFERROR(IF(INDEX(pr_rate,MATCH(B1112,pr_code,0))="","",INDEX(pr_rate,MATCH(B1112,pr_code,0))),""))))</f>
        <v/>
      </c>
      <c r="L1112" s="65" t="str">
        <f>IF(COUNTA(A1112:G1112)=0,"",IF(AND(ISNUMBER(D1112),ISNUMBER(J1112)),ROUND(D1112*J1112*(1-N(F1112)),2),0))</f>
        <v/>
      </c>
      <c r="M1112" s="62" t="str">
        <f>IF(A1112="","",IFERROR(INDEX(dv_cname,MATCH(A1112,dv_num,0))&amp;"",""))</f>
        <v/>
      </c>
      <c r="N1112" s="59" t="str">
        <f>IF(COUNTA(A1112:G1112)=0,"",IF(A1112="","N° devis manquant",IF(ISNA(MATCH(A1112,dv_num,0)),"Devis inconnu",IF(AND(B1112&lt;&gt;"",ISNA(MATCH(B1112,pr_code,0))),"Article inconnu",IF(H1112="","Désignation manquante",IF(OR(NOT(ISNUMBER(D1112)),N(D1112)&lt;=0),"Quantité invalide",IF(J1112="","Prix manquant",IF(OR(NOT(ISNUMBER(J1112)),N(J1112)&lt;0),"Prix invalide",IF(OR(AND(F1112&lt;&gt;"",NOT(ISNUMBER(F1112))),N(F1112)&lt;0,N(F1112)&gt;1),"Remise invalide",IF(K1112="","Taux de TVA manquant",IF(NOT(ISNUMBER(K1112)),"Taux de TVA invalide",IF(COUNTIF(p_rates,K1112)=0,"Taux de TVA hors liste (Paramètres)",IF(N(O1112)&gt;25,"Au-delà de 25 lignes : non imprimée","OK")))))))))))))</f>
        <v/>
      </c>
      <c r="O1112" s="59" t="str">
        <f>IF(A1112="","",COUNTIF($A$6:A1112,A1112))</f>
        <v/>
      </c>
      <c r="P1112" s="62" t="str">
        <f>IF(A1112="","",A1112&amp;"|"&amp;O1112)</f>
        <v/>
      </c>
    </row>
    <row r="1113">
      <c r="A1113" s="60" t="n"/>
      <c r="B1113" s="63" t="n"/>
      <c r="C1113" s="63" t="n"/>
      <c r="D1113" s="67" t="n"/>
      <c r="E1113" s="68" t="n"/>
      <c r="F1113" s="69" t="n"/>
      <c r="G1113" s="70" t="n"/>
      <c r="H1113" s="62" t="str">
        <f>IF(COUNTA(A1113:G1113)=0,"",IF(C1113&lt;&gt;"",C1113,IF(B1113="","",IFERROR(INDEX(pr_des,MATCH(B1113,pr_code,0))&amp;"",""))))</f>
        <v/>
      </c>
      <c r="I1113" s="59" t="str">
        <f>IF(B1113="","",IFERROR(INDEX(pr_unit,MATCH(B1113,pr_code,0))&amp;"",""))</f>
        <v/>
      </c>
      <c r="J1113" s="65" t="str">
        <f>IF(COUNTA(A1113:G1113)=0,"",IF(E1113&lt;&gt;"",E1113,IF(B1113="","",IFERROR(IF(INDEX(pr_price,MATCH(B1113,pr_code,0))="","",INDEX(pr_price,MATCH(B1113,pr_code,0))),""))))</f>
        <v/>
      </c>
      <c r="K1113" s="71" t="str">
        <f>IF(COUNTA(A1113:G1113)=0,"",IF(G1113&lt;&gt;"",G1113,IF(B1113="","",IFERROR(IF(INDEX(pr_rate,MATCH(B1113,pr_code,0))="","",INDEX(pr_rate,MATCH(B1113,pr_code,0))),""))))</f>
        <v/>
      </c>
      <c r="L1113" s="65" t="str">
        <f>IF(COUNTA(A1113:G1113)=0,"",IF(AND(ISNUMBER(D1113),ISNUMBER(J1113)),ROUND(D1113*J1113*(1-N(F1113)),2),0))</f>
        <v/>
      </c>
      <c r="M1113" s="62" t="str">
        <f>IF(A1113="","",IFERROR(INDEX(dv_cname,MATCH(A1113,dv_num,0))&amp;"",""))</f>
        <v/>
      </c>
      <c r="N1113" s="59" t="str">
        <f>IF(COUNTA(A1113:G1113)=0,"",IF(A1113="","N° devis manquant",IF(ISNA(MATCH(A1113,dv_num,0)),"Devis inconnu",IF(AND(B1113&lt;&gt;"",ISNA(MATCH(B1113,pr_code,0))),"Article inconnu",IF(H1113="","Désignation manquante",IF(OR(NOT(ISNUMBER(D1113)),N(D1113)&lt;=0),"Quantité invalide",IF(J1113="","Prix manquant",IF(OR(NOT(ISNUMBER(J1113)),N(J1113)&lt;0),"Prix invalide",IF(OR(AND(F1113&lt;&gt;"",NOT(ISNUMBER(F1113))),N(F1113)&lt;0,N(F1113)&gt;1),"Remise invalide",IF(K1113="","Taux de TVA manquant",IF(NOT(ISNUMBER(K1113)),"Taux de TVA invalide",IF(COUNTIF(p_rates,K1113)=0,"Taux de TVA hors liste (Paramètres)",IF(N(O1113)&gt;25,"Au-delà de 25 lignes : non imprimée","OK")))))))))))))</f>
        <v/>
      </c>
      <c r="O1113" s="59" t="str">
        <f>IF(A1113="","",COUNTIF($A$6:A1113,A1113))</f>
        <v/>
      </c>
      <c r="P1113" s="62" t="str">
        <f>IF(A1113="","",A1113&amp;"|"&amp;O1113)</f>
        <v/>
      </c>
    </row>
    <row r="1114">
      <c r="A1114" s="60" t="n"/>
      <c r="B1114" s="63" t="n"/>
      <c r="C1114" s="63" t="n"/>
      <c r="D1114" s="67" t="n"/>
      <c r="E1114" s="68" t="n"/>
      <c r="F1114" s="69" t="n"/>
      <c r="G1114" s="70" t="n"/>
      <c r="H1114" s="62" t="str">
        <f>IF(COUNTA(A1114:G1114)=0,"",IF(C1114&lt;&gt;"",C1114,IF(B1114="","",IFERROR(INDEX(pr_des,MATCH(B1114,pr_code,0))&amp;"",""))))</f>
        <v/>
      </c>
      <c r="I1114" s="59" t="str">
        <f>IF(B1114="","",IFERROR(INDEX(pr_unit,MATCH(B1114,pr_code,0))&amp;"",""))</f>
        <v/>
      </c>
      <c r="J1114" s="65" t="str">
        <f>IF(COUNTA(A1114:G1114)=0,"",IF(E1114&lt;&gt;"",E1114,IF(B1114="","",IFERROR(IF(INDEX(pr_price,MATCH(B1114,pr_code,0))="","",INDEX(pr_price,MATCH(B1114,pr_code,0))),""))))</f>
        <v/>
      </c>
      <c r="K1114" s="71" t="str">
        <f>IF(COUNTA(A1114:G1114)=0,"",IF(G1114&lt;&gt;"",G1114,IF(B1114="","",IFERROR(IF(INDEX(pr_rate,MATCH(B1114,pr_code,0))="","",INDEX(pr_rate,MATCH(B1114,pr_code,0))),""))))</f>
        <v/>
      </c>
      <c r="L1114" s="65" t="str">
        <f>IF(COUNTA(A1114:G1114)=0,"",IF(AND(ISNUMBER(D1114),ISNUMBER(J1114)),ROUND(D1114*J1114*(1-N(F1114)),2),0))</f>
        <v/>
      </c>
      <c r="M1114" s="62" t="str">
        <f>IF(A1114="","",IFERROR(INDEX(dv_cname,MATCH(A1114,dv_num,0))&amp;"",""))</f>
        <v/>
      </c>
      <c r="N1114" s="59" t="str">
        <f>IF(COUNTA(A1114:G1114)=0,"",IF(A1114="","N° devis manquant",IF(ISNA(MATCH(A1114,dv_num,0)),"Devis inconnu",IF(AND(B1114&lt;&gt;"",ISNA(MATCH(B1114,pr_code,0))),"Article inconnu",IF(H1114="","Désignation manquante",IF(OR(NOT(ISNUMBER(D1114)),N(D1114)&lt;=0),"Quantité invalide",IF(J1114="","Prix manquant",IF(OR(NOT(ISNUMBER(J1114)),N(J1114)&lt;0),"Prix invalide",IF(OR(AND(F1114&lt;&gt;"",NOT(ISNUMBER(F1114))),N(F1114)&lt;0,N(F1114)&gt;1),"Remise invalide",IF(K1114="","Taux de TVA manquant",IF(NOT(ISNUMBER(K1114)),"Taux de TVA invalide",IF(COUNTIF(p_rates,K1114)=0,"Taux de TVA hors liste (Paramètres)",IF(N(O1114)&gt;25,"Au-delà de 25 lignes : non imprimée","OK")))))))))))))</f>
        <v/>
      </c>
      <c r="O1114" s="59" t="str">
        <f>IF(A1114="","",COUNTIF($A$6:A1114,A1114))</f>
        <v/>
      </c>
      <c r="P1114" s="62" t="str">
        <f>IF(A1114="","",A1114&amp;"|"&amp;O1114)</f>
        <v/>
      </c>
    </row>
    <row r="1115">
      <c r="A1115" s="60" t="n"/>
      <c r="B1115" s="63" t="n"/>
      <c r="C1115" s="63" t="n"/>
      <c r="D1115" s="67" t="n"/>
      <c r="E1115" s="68" t="n"/>
      <c r="F1115" s="69" t="n"/>
      <c r="G1115" s="70" t="n"/>
      <c r="H1115" s="62" t="str">
        <f>IF(COUNTA(A1115:G1115)=0,"",IF(C1115&lt;&gt;"",C1115,IF(B1115="","",IFERROR(INDEX(pr_des,MATCH(B1115,pr_code,0))&amp;"",""))))</f>
        <v/>
      </c>
      <c r="I1115" s="59" t="str">
        <f>IF(B1115="","",IFERROR(INDEX(pr_unit,MATCH(B1115,pr_code,0))&amp;"",""))</f>
        <v/>
      </c>
      <c r="J1115" s="65" t="str">
        <f>IF(COUNTA(A1115:G1115)=0,"",IF(E1115&lt;&gt;"",E1115,IF(B1115="","",IFERROR(IF(INDEX(pr_price,MATCH(B1115,pr_code,0))="","",INDEX(pr_price,MATCH(B1115,pr_code,0))),""))))</f>
        <v/>
      </c>
      <c r="K1115" s="71" t="str">
        <f>IF(COUNTA(A1115:G1115)=0,"",IF(G1115&lt;&gt;"",G1115,IF(B1115="","",IFERROR(IF(INDEX(pr_rate,MATCH(B1115,pr_code,0))="","",INDEX(pr_rate,MATCH(B1115,pr_code,0))),""))))</f>
        <v/>
      </c>
      <c r="L1115" s="65" t="str">
        <f>IF(COUNTA(A1115:G1115)=0,"",IF(AND(ISNUMBER(D1115),ISNUMBER(J1115)),ROUND(D1115*J1115*(1-N(F1115)),2),0))</f>
        <v/>
      </c>
      <c r="M1115" s="62" t="str">
        <f>IF(A1115="","",IFERROR(INDEX(dv_cname,MATCH(A1115,dv_num,0))&amp;"",""))</f>
        <v/>
      </c>
      <c r="N1115" s="59" t="str">
        <f>IF(COUNTA(A1115:G1115)=0,"",IF(A1115="","N° devis manquant",IF(ISNA(MATCH(A1115,dv_num,0)),"Devis inconnu",IF(AND(B1115&lt;&gt;"",ISNA(MATCH(B1115,pr_code,0))),"Article inconnu",IF(H1115="","Désignation manquante",IF(OR(NOT(ISNUMBER(D1115)),N(D1115)&lt;=0),"Quantité invalide",IF(J1115="","Prix manquant",IF(OR(NOT(ISNUMBER(J1115)),N(J1115)&lt;0),"Prix invalide",IF(OR(AND(F1115&lt;&gt;"",NOT(ISNUMBER(F1115))),N(F1115)&lt;0,N(F1115)&gt;1),"Remise invalide",IF(K1115="","Taux de TVA manquant",IF(NOT(ISNUMBER(K1115)),"Taux de TVA invalide",IF(COUNTIF(p_rates,K1115)=0,"Taux de TVA hors liste (Paramètres)",IF(N(O1115)&gt;25,"Au-delà de 25 lignes : non imprimée","OK")))))))))))))</f>
        <v/>
      </c>
      <c r="O1115" s="59" t="str">
        <f>IF(A1115="","",COUNTIF($A$6:A1115,A1115))</f>
        <v/>
      </c>
      <c r="P1115" s="62" t="str">
        <f>IF(A1115="","",A1115&amp;"|"&amp;O1115)</f>
        <v/>
      </c>
    </row>
    <row r="1116">
      <c r="A1116" s="60" t="n"/>
      <c r="B1116" s="63" t="n"/>
      <c r="C1116" s="63" t="n"/>
      <c r="D1116" s="67" t="n"/>
      <c r="E1116" s="68" t="n"/>
      <c r="F1116" s="69" t="n"/>
      <c r="G1116" s="70" t="n"/>
      <c r="H1116" s="62" t="str">
        <f>IF(COUNTA(A1116:G1116)=0,"",IF(C1116&lt;&gt;"",C1116,IF(B1116="","",IFERROR(INDEX(pr_des,MATCH(B1116,pr_code,0))&amp;"",""))))</f>
        <v/>
      </c>
      <c r="I1116" s="59" t="str">
        <f>IF(B1116="","",IFERROR(INDEX(pr_unit,MATCH(B1116,pr_code,0))&amp;"",""))</f>
        <v/>
      </c>
      <c r="J1116" s="65" t="str">
        <f>IF(COUNTA(A1116:G1116)=0,"",IF(E1116&lt;&gt;"",E1116,IF(B1116="","",IFERROR(IF(INDEX(pr_price,MATCH(B1116,pr_code,0))="","",INDEX(pr_price,MATCH(B1116,pr_code,0))),""))))</f>
        <v/>
      </c>
      <c r="K1116" s="71" t="str">
        <f>IF(COUNTA(A1116:G1116)=0,"",IF(G1116&lt;&gt;"",G1116,IF(B1116="","",IFERROR(IF(INDEX(pr_rate,MATCH(B1116,pr_code,0))="","",INDEX(pr_rate,MATCH(B1116,pr_code,0))),""))))</f>
        <v/>
      </c>
      <c r="L1116" s="65" t="str">
        <f>IF(COUNTA(A1116:G1116)=0,"",IF(AND(ISNUMBER(D1116),ISNUMBER(J1116)),ROUND(D1116*J1116*(1-N(F1116)),2),0))</f>
        <v/>
      </c>
      <c r="M1116" s="62" t="str">
        <f>IF(A1116="","",IFERROR(INDEX(dv_cname,MATCH(A1116,dv_num,0))&amp;"",""))</f>
        <v/>
      </c>
      <c r="N1116" s="59" t="str">
        <f>IF(COUNTA(A1116:G1116)=0,"",IF(A1116="","N° devis manquant",IF(ISNA(MATCH(A1116,dv_num,0)),"Devis inconnu",IF(AND(B1116&lt;&gt;"",ISNA(MATCH(B1116,pr_code,0))),"Article inconnu",IF(H1116="","Désignation manquante",IF(OR(NOT(ISNUMBER(D1116)),N(D1116)&lt;=0),"Quantité invalide",IF(J1116="","Prix manquant",IF(OR(NOT(ISNUMBER(J1116)),N(J1116)&lt;0),"Prix invalide",IF(OR(AND(F1116&lt;&gt;"",NOT(ISNUMBER(F1116))),N(F1116)&lt;0,N(F1116)&gt;1),"Remise invalide",IF(K1116="","Taux de TVA manquant",IF(NOT(ISNUMBER(K1116)),"Taux de TVA invalide",IF(COUNTIF(p_rates,K1116)=0,"Taux de TVA hors liste (Paramètres)",IF(N(O1116)&gt;25,"Au-delà de 25 lignes : non imprimée","OK")))))))))))))</f>
        <v/>
      </c>
      <c r="O1116" s="59" t="str">
        <f>IF(A1116="","",COUNTIF($A$6:A1116,A1116))</f>
        <v/>
      </c>
      <c r="P1116" s="62" t="str">
        <f>IF(A1116="","",A1116&amp;"|"&amp;O1116)</f>
        <v/>
      </c>
    </row>
    <row r="1117">
      <c r="A1117" s="60" t="n"/>
      <c r="B1117" s="63" t="n"/>
      <c r="C1117" s="63" t="n"/>
      <c r="D1117" s="67" t="n"/>
      <c r="E1117" s="68" t="n"/>
      <c r="F1117" s="69" t="n"/>
      <c r="G1117" s="70" t="n"/>
      <c r="H1117" s="62" t="str">
        <f>IF(COUNTA(A1117:G1117)=0,"",IF(C1117&lt;&gt;"",C1117,IF(B1117="","",IFERROR(INDEX(pr_des,MATCH(B1117,pr_code,0))&amp;"",""))))</f>
        <v/>
      </c>
      <c r="I1117" s="59" t="str">
        <f>IF(B1117="","",IFERROR(INDEX(pr_unit,MATCH(B1117,pr_code,0))&amp;"",""))</f>
        <v/>
      </c>
      <c r="J1117" s="65" t="str">
        <f>IF(COUNTA(A1117:G1117)=0,"",IF(E1117&lt;&gt;"",E1117,IF(B1117="","",IFERROR(IF(INDEX(pr_price,MATCH(B1117,pr_code,0))="","",INDEX(pr_price,MATCH(B1117,pr_code,0))),""))))</f>
        <v/>
      </c>
      <c r="K1117" s="71" t="str">
        <f>IF(COUNTA(A1117:G1117)=0,"",IF(G1117&lt;&gt;"",G1117,IF(B1117="","",IFERROR(IF(INDEX(pr_rate,MATCH(B1117,pr_code,0))="","",INDEX(pr_rate,MATCH(B1117,pr_code,0))),""))))</f>
        <v/>
      </c>
      <c r="L1117" s="65" t="str">
        <f>IF(COUNTA(A1117:G1117)=0,"",IF(AND(ISNUMBER(D1117),ISNUMBER(J1117)),ROUND(D1117*J1117*(1-N(F1117)),2),0))</f>
        <v/>
      </c>
      <c r="M1117" s="62" t="str">
        <f>IF(A1117="","",IFERROR(INDEX(dv_cname,MATCH(A1117,dv_num,0))&amp;"",""))</f>
        <v/>
      </c>
      <c r="N1117" s="59" t="str">
        <f>IF(COUNTA(A1117:G1117)=0,"",IF(A1117="","N° devis manquant",IF(ISNA(MATCH(A1117,dv_num,0)),"Devis inconnu",IF(AND(B1117&lt;&gt;"",ISNA(MATCH(B1117,pr_code,0))),"Article inconnu",IF(H1117="","Désignation manquante",IF(OR(NOT(ISNUMBER(D1117)),N(D1117)&lt;=0),"Quantité invalide",IF(J1117="","Prix manquant",IF(OR(NOT(ISNUMBER(J1117)),N(J1117)&lt;0),"Prix invalide",IF(OR(AND(F1117&lt;&gt;"",NOT(ISNUMBER(F1117))),N(F1117)&lt;0,N(F1117)&gt;1),"Remise invalide",IF(K1117="","Taux de TVA manquant",IF(NOT(ISNUMBER(K1117)),"Taux de TVA invalide",IF(COUNTIF(p_rates,K1117)=0,"Taux de TVA hors liste (Paramètres)",IF(N(O1117)&gt;25,"Au-delà de 25 lignes : non imprimée","OK")))))))))))))</f>
        <v/>
      </c>
      <c r="O1117" s="59" t="str">
        <f>IF(A1117="","",COUNTIF($A$6:A1117,A1117))</f>
        <v/>
      </c>
      <c r="P1117" s="62" t="str">
        <f>IF(A1117="","",A1117&amp;"|"&amp;O1117)</f>
        <v/>
      </c>
    </row>
    <row r="1118">
      <c r="A1118" s="60" t="n"/>
      <c r="B1118" s="63" t="n"/>
      <c r="C1118" s="63" t="n"/>
      <c r="D1118" s="67" t="n"/>
      <c r="E1118" s="68" t="n"/>
      <c r="F1118" s="69" t="n"/>
      <c r="G1118" s="70" t="n"/>
      <c r="H1118" s="62" t="str">
        <f>IF(COUNTA(A1118:G1118)=0,"",IF(C1118&lt;&gt;"",C1118,IF(B1118="","",IFERROR(INDEX(pr_des,MATCH(B1118,pr_code,0))&amp;"",""))))</f>
        <v/>
      </c>
      <c r="I1118" s="59" t="str">
        <f>IF(B1118="","",IFERROR(INDEX(pr_unit,MATCH(B1118,pr_code,0))&amp;"",""))</f>
        <v/>
      </c>
      <c r="J1118" s="65" t="str">
        <f>IF(COUNTA(A1118:G1118)=0,"",IF(E1118&lt;&gt;"",E1118,IF(B1118="","",IFERROR(IF(INDEX(pr_price,MATCH(B1118,pr_code,0))="","",INDEX(pr_price,MATCH(B1118,pr_code,0))),""))))</f>
        <v/>
      </c>
      <c r="K1118" s="71" t="str">
        <f>IF(COUNTA(A1118:G1118)=0,"",IF(G1118&lt;&gt;"",G1118,IF(B1118="","",IFERROR(IF(INDEX(pr_rate,MATCH(B1118,pr_code,0))="","",INDEX(pr_rate,MATCH(B1118,pr_code,0))),""))))</f>
        <v/>
      </c>
      <c r="L1118" s="65" t="str">
        <f>IF(COUNTA(A1118:G1118)=0,"",IF(AND(ISNUMBER(D1118),ISNUMBER(J1118)),ROUND(D1118*J1118*(1-N(F1118)),2),0))</f>
        <v/>
      </c>
      <c r="M1118" s="62" t="str">
        <f>IF(A1118="","",IFERROR(INDEX(dv_cname,MATCH(A1118,dv_num,0))&amp;"",""))</f>
        <v/>
      </c>
      <c r="N1118" s="59" t="str">
        <f>IF(COUNTA(A1118:G1118)=0,"",IF(A1118="","N° devis manquant",IF(ISNA(MATCH(A1118,dv_num,0)),"Devis inconnu",IF(AND(B1118&lt;&gt;"",ISNA(MATCH(B1118,pr_code,0))),"Article inconnu",IF(H1118="","Désignation manquante",IF(OR(NOT(ISNUMBER(D1118)),N(D1118)&lt;=0),"Quantité invalide",IF(J1118="","Prix manquant",IF(OR(NOT(ISNUMBER(J1118)),N(J1118)&lt;0),"Prix invalide",IF(OR(AND(F1118&lt;&gt;"",NOT(ISNUMBER(F1118))),N(F1118)&lt;0,N(F1118)&gt;1),"Remise invalide",IF(K1118="","Taux de TVA manquant",IF(NOT(ISNUMBER(K1118)),"Taux de TVA invalide",IF(COUNTIF(p_rates,K1118)=0,"Taux de TVA hors liste (Paramètres)",IF(N(O1118)&gt;25,"Au-delà de 25 lignes : non imprimée","OK")))))))))))))</f>
        <v/>
      </c>
      <c r="O1118" s="59" t="str">
        <f>IF(A1118="","",COUNTIF($A$6:A1118,A1118))</f>
        <v/>
      </c>
      <c r="P1118" s="62" t="str">
        <f>IF(A1118="","",A1118&amp;"|"&amp;O1118)</f>
        <v/>
      </c>
    </row>
    <row r="1119">
      <c r="A1119" s="60" t="n"/>
      <c r="B1119" s="63" t="n"/>
      <c r="C1119" s="63" t="n"/>
      <c r="D1119" s="67" t="n"/>
      <c r="E1119" s="68" t="n"/>
      <c r="F1119" s="69" t="n"/>
      <c r="G1119" s="70" t="n"/>
      <c r="H1119" s="62" t="str">
        <f>IF(COUNTA(A1119:G1119)=0,"",IF(C1119&lt;&gt;"",C1119,IF(B1119="","",IFERROR(INDEX(pr_des,MATCH(B1119,pr_code,0))&amp;"",""))))</f>
        <v/>
      </c>
      <c r="I1119" s="59" t="str">
        <f>IF(B1119="","",IFERROR(INDEX(pr_unit,MATCH(B1119,pr_code,0))&amp;"",""))</f>
        <v/>
      </c>
      <c r="J1119" s="65" t="str">
        <f>IF(COUNTA(A1119:G1119)=0,"",IF(E1119&lt;&gt;"",E1119,IF(B1119="","",IFERROR(IF(INDEX(pr_price,MATCH(B1119,pr_code,0))="","",INDEX(pr_price,MATCH(B1119,pr_code,0))),""))))</f>
        <v/>
      </c>
      <c r="K1119" s="71" t="str">
        <f>IF(COUNTA(A1119:G1119)=0,"",IF(G1119&lt;&gt;"",G1119,IF(B1119="","",IFERROR(IF(INDEX(pr_rate,MATCH(B1119,pr_code,0))="","",INDEX(pr_rate,MATCH(B1119,pr_code,0))),""))))</f>
        <v/>
      </c>
      <c r="L1119" s="65" t="str">
        <f>IF(COUNTA(A1119:G1119)=0,"",IF(AND(ISNUMBER(D1119),ISNUMBER(J1119)),ROUND(D1119*J1119*(1-N(F1119)),2),0))</f>
        <v/>
      </c>
      <c r="M1119" s="62" t="str">
        <f>IF(A1119="","",IFERROR(INDEX(dv_cname,MATCH(A1119,dv_num,0))&amp;"",""))</f>
        <v/>
      </c>
      <c r="N1119" s="59" t="str">
        <f>IF(COUNTA(A1119:G1119)=0,"",IF(A1119="","N° devis manquant",IF(ISNA(MATCH(A1119,dv_num,0)),"Devis inconnu",IF(AND(B1119&lt;&gt;"",ISNA(MATCH(B1119,pr_code,0))),"Article inconnu",IF(H1119="","Désignation manquante",IF(OR(NOT(ISNUMBER(D1119)),N(D1119)&lt;=0),"Quantité invalide",IF(J1119="","Prix manquant",IF(OR(NOT(ISNUMBER(J1119)),N(J1119)&lt;0),"Prix invalide",IF(OR(AND(F1119&lt;&gt;"",NOT(ISNUMBER(F1119))),N(F1119)&lt;0,N(F1119)&gt;1),"Remise invalide",IF(K1119="","Taux de TVA manquant",IF(NOT(ISNUMBER(K1119)),"Taux de TVA invalide",IF(COUNTIF(p_rates,K1119)=0,"Taux de TVA hors liste (Paramètres)",IF(N(O1119)&gt;25,"Au-delà de 25 lignes : non imprimée","OK")))))))))))))</f>
        <v/>
      </c>
      <c r="O1119" s="59" t="str">
        <f>IF(A1119="","",COUNTIF($A$6:A1119,A1119))</f>
        <v/>
      </c>
      <c r="P1119" s="62" t="str">
        <f>IF(A1119="","",A1119&amp;"|"&amp;O1119)</f>
        <v/>
      </c>
    </row>
    <row r="1120">
      <c r="A1120" s="60" t="n"/>
      <c r="B1120" s="63" t="n"/>
      <c r="C1120" s="63" t="n"/>
      <c r="D1120" s="67" t="n"/>
      <c r="E1120" s="68" t="n"/>
      <c r="F1120" s="69" t="n"/>
      <c r="G1120" s="70" t="n"/>
      <c r="H1120" s="62" t="str">
        <f>IF(COUNTA(A1120:G1120)=0,"",IF(C1120&lt;&gt;"",C1120,IF(B1120="","",IFERROR(INDEX(pr_des,MATCH(B1120,pr_code,0))&amp;"",""))))</f>
        <v/>
      </c>
      <c r="I1120" s="59" t="str">
        <f>IF(B1120="","",IFERROR(INDEX(pr_unit,MATCH(B1120,pr_code,0))&amp;"",""))</f>
        <v/>
      </c>
      <c r="J1120" s="65" t="str">
        <f>IF(COUNTA(A1120:G1120)=0,"",IF(E1120&lt;&gt;"",E1120,IF(B1120="","",IFERROR(IF(INDEX(pr_price,MATCH(B1120,pr_code,0))="","",INDEX(pr_price,MATCH(B1120,pr_code,0))),""))))</f>
        <v/>
      </c>
      <c r="K1120" s="71" t="str">
        <f>IF(COUNTA(A1120:G1120)=0,"",IF(G1120&lt;&gt;"",G1120,IF(B1120="","",IFERROR(IF(INDEX(pr_rate,MATCH(B1120,pr_code,0))="","",INDEX(pr_rate,MATCH(B1120,pr_code,0))),""))))</f>
        <v/>
      </c>
      <c r="L1120" s="65" t="str">
        <f>IF(COUNTA(A1120:G1120)=0,"",IF(AND(ISNUMBER(D1120),ISNUMBER(J1120)),ROUND(D1120*J1120*(1-N(F1120)),2),0))</f>
        <v/>
      </c>
      <c r="M1120" s="62" t="str">
        <f>IF(A1120="","",IFERROR(INDEX(dv_cname,MATCH(A1120,dv_num,0))&amp;"",""))</f>
        <v/>
      </c>
      <c r="N1120" s="59" t="str">
        <f>IF(COUNTA(A1120:G1120)=0,"",IF(A1120="","N° devis manquant",IF(ISNA(MATCH(A1120,dv_num,0)),"Devis inconnu",IF(AND(B1120&lt;&gt;"",ISNA(MATCH(B1120,pr_code,0))),"Article inconnu",IF(H1120="","Désignation manquante",IF(OR(NOT(ISNUMBER(D1120)),N(D1120)&lt;=0),"Quantité invalide",IF(J1120="","Prix manquant",IF(OR(NOT(ISNUMBER(J1120)),N(J1120)&lt;0),"Prix invalide",IF(OR(AND(F1120&lt;&gt;"",NOT(ISNUMBER(F1120))),N(F1120)&lt;0,N(F1120)&gt;1),"Remise invalide",IF(K1120="","Taux de TVA manquant",IF(NOT(ISNUMBER(K1120)),"Taux de TVA invalide",IF(COUNTIF(p_rates,K1120)=0,"Taux de TVA hors liste (Paramètres)",IF(N(O1120)&gt;25,"Au-delà de 25 lignes : non imprimée","OK")))))))))))))</f>
        <v/>
      </c>
      <c r="O1120" s="59" t="str">
        <f>IF(A1120="","",COUNTIF($A$6:A1120,A1120))</f>
        <v/>
      </c>
      <c r="P1120" s="62" t="str">
        <f>IF(A1120="","",A1120&amp;"|"&amp;O1120)</f>
        <v/>
      </c>
    </row>
    <row r="1121">
      <c r="A1121" s="60" t="n"/>
      <c r="B1121" s="63" t="n"/>
      <c r="C1121" s="63" t="n"/>
      <c r="D1121" s="67" t="n"/>
      <c r="E1121" s="68" t="n"/>
      <c r="F1121" s="69" t="n"/>
      <c r="G1121" s="70" t="n"/>
      <c r="H1121" s="62" t="str">
        <f>IF(COUNTA(A1121:G1121)=0,"",IF(C1121&lt;&gt;"",C1121,IF(B1121="","",IFERROR(INDEX(pr_des,MATCH(B1121,pr_code,0))&amp;"",""))))</f>
        <v/>
      </c>
      <c r="I1121" s="59" t="str">
        <f>IF(B1121="","",IFERROR(INDEX(pr_unit,MATCH(B1121,pr_code,0))&amp;"",""))</f>
        <v/>
      </c>
      <c r="J1121" s="65" t="str">
        <f>IF(COUNTA(A1121:G1121)=0,"",IF(E1121&lt;&gt;"",E1121,IF(B1121="","",IFERROR(IF(INDEX(pr_price,MATCH(B1121,pr_code,0))="","",INDEX(pr_price,MATCH(B1121,pr_code,0))),""))))</f>
        <v/>
      </c>
      <c r="K1121" s="71" t="str">
        <f>IF(COUNTA(A1121:G1121)=0,"",IF(G1121&lt;&gt;"",G1121,IF(B1121="","",IFERROR(IF(INDEX(pr_rate,MATCH(B1121,pr_code,0))="","",INDEX(pr_rate,MATCH(B1121,pr_code,0))),""))))</f>
        <v/>
      </c>
      <c r="L1121" s="65" t="str">
        <f>IF(COUNTA(A1121:G1121)=0,"",IF(AND(ISNUMBER(D1121),ISNUMBER(J1121)),ROUND(D1121*J1121*(1-N(F1121)),2),0))</f>
        <v/>
      </c>
      <c r="M1121" s="62" t="str">
        <f>IF(A1121="","",IFERROR(INDEX(dv_cname,MATCH(A1121,dv_num,0))&amp;"",""))</f>
        <v/>
      </c>
      <c r="N1121" s="59" t="str">
        <f>IF(COUNTA(A1121:G1121)=0,"",IF(A1121="","N° devis manquant",IF(ISNA(MATCH(A1121,dv_num,0)),"Devis inconnu",IF(AND(B1121&lt;&gt;"",ISNA(MATCH(B1121,pr_code,0))),"Article inconnu",IF(H1121="","Désignation manquante",IF(OR(NOT(ISNUMBER(D1121)),N(D1121)&lt;=0),"Quantité invalide",IF(J1121="","Prix manquant",IF(OR(NOT(ISNUMBER(J1121)),N(J1121)&lt;0),"Prix invalide",IF(OR(AND(F1121&lt;&gt;"",NOT(ISNUMBER(F1121))),N(F1121)&lt;0,N(F1121)&gt;1),"Remise invalide",IF(K1121="","Taux de TVA manquant",IF(NOT(ISNUMBER(K1121)),"Taux de TVA invalide",IF(COUNTIF(p_rates,K1121)=0,"Taux de TVA hors liste (Paramètres)",IF(N(O1121)&gt;25,"Au-delà de 25 lignes : non imprimée","OK")))))))))))))</f>
        <v/>
      </c>
      <c r="O1121" s="59" t="str">
        <f>IF(A1121="","",COUNTIF($A$6:A1121,A1121))</f>
        <v/>
      </c>
      <c r="P1121" s="62" t="str">
        <f>IF(A1121="","",A1121&amp;"|"&amp;O1121)</f>
        <v/>
      </c>
    </row>
    <row r="1122">
      <c r="A1122" s="60" t="n"/>
      <c r="B1122" s="63" t="n"/>
      <c r="C1122" s="63" t="n"/>
      <c r="D1122" s="67" t="n"/>
      <c r="E1122" s="68" t="n"/>
      <c r="F1122" s="69" t="n"/>
      <c r="G1122" s="70" t="n"/>
      <c r="H1122" s="62" t="str">
        <f>IF(COUNTA(A1122:G1122)=0,"",IF(C1122&lt;&gt;"",C1122,IF(B1122="","",IFERROR(INDEX(pr_des,MATCH(B1122,pr_code,0))&amp;"",""))))</f>
        <v/>
      </c>
      <c r="I1122" s="59" t="str">
        <f>IF(B1122="","",IFERROR(INDEX(pr_unit,MATCH(B1122,pr_code,0))&amp;"",""))</f>
        <v/>
      </c>
      <c r="J1122" s="65" t="str">
        <f>IF(COUNTA(A1122:G1122)=0,"",IF(E1122&lt;&gt;"",E1122,IF(B1122="","",IFERROR(IF(INDEX(pr_price,MATCH(B1122,pr_code,0))="","",INDEX(pr_price,MATCH(B1122,pr_code,0))),""))))</f>
        <v/>
      </c>
      <c r="K1122" s="71" t="str">
        <f>IF(COUNTA(A1122:G1122)=0,"",IF(G1122&lt;&gt;"",G1122,IF(B1122="","",IFERROR(IF(INDEX(pr_rate,MATCH(B1122,pr_code,0))="","",INDEX(pr_rate,MATCH(B1122,pr_code,0))),""))))</f>
        <v/>
      </c>
      <c r="L1122" s="65" t="str">
        <f>IF(COUNTA(A1122:G1122)=0,"",IF(AND(ISNUMBER(D1122),ISNUMBER(J1122)),ROUND(D1122*J1122*(1-N(F1122)),2),0))</f>
        <v/>
      </c>
      <c r="M1122" s="62" t="str">
        <f>IF(A1122="","",IFERROR(INDEX(dv_cname,MATCH(A1122,dv_num,0))&amp;"",""))</f>
        <v/>
      </c>
      <c r="N1122" s="59" t="str">
        <f>IF(COUNTA(A1122:G1122)=0,"",IF(A1122="","N° devis manquant",IF(ISNA(MATCH(A1122,dv_num,0)),"Devis inconnu",IF(AND(B1122&lt;&gt;"",ISNA(MATCH(B1122,pr_code,0))),"Article inconnu",IF(H1122="","Désignation manquante",IF(OR(NOT(ISNUMBER(D1122)),N(D1122)&lt;=0),"Quantité invalide",IF(J1122="","Prix manquant",IF(OR(NOT(ISNUMBER(J1122)),N(J1122)&lt;0),"Prix invalide",IF(OR(AND(F1122&lt;&gt;"",NOT(ISNUMBER(F1122))),N(F1122)&lt;0,N(F1122)&gt;1),"Remise invalide",IF(K1122="","Taux de TVA manquant",IF(NOT(ISNUMBER(K1122)),"Taux de TVA invalide",IF(COUNTIF(p_rates,K1122)=0,"Taux de TVA hors liste (Paramètres)",IF(N(O1122)&gt;25,"Au-delà de 25 lignes : non imprimée","OK")))))))))))))</f>
        <v/>
      </c>
      <c r="O1122" s="59" t="str">
        <f>IF(A1122="","",COUNTIF($A$6:A1122,A1122))</f>
        <v/>
      </c>
      <c r="P1122" s="62" t="str">
        <f>IF(A1122="","",A1122&amp;"|"&amp;O1122)</f>
        <v/>
      </c>
    </row>
    <row r="1123">
      <c r="A1123" s="60" t="n"/>
      <c r="B1123" s="63" t="n"/>
      <c r="C1123" s="63" t="n"/>
      <c r="D1123" s="67" t="n"/>
      <c r="E1123" s="68" t="n"/>
      <c r="F1123" s="69" t="n"/>
      <c r="G1123" s="70" t="n"/>
      <c r="H1123" s="62" t="str">
        <f>IF(COUNTA(A1123:G1123)=0,"",IF(C1123&lt;&gt;"",C1123,IF(B1123="","",IFERROR(INDEX(pr_des,MATCH(B1123,pr_code,0))&amp;"",""))))</f>
        <v/>
      </c>
      <c r="I1123" s="59" t="str">
        <f>IF(B1123="","",IFERROR(INDEX(pr_unit,MATCH(B1123,pr_code,0))&amp;"",""))</f>
        <v/>
      </c>
      <c r="J1123" s="65" t="str">
        <f>IF(COUNTA(A1123:G1123)=0,"",IF(E1123&lt;&gt;"",E1123,IF(B1123="","",IFERROR(IF(INDEX(pr_price,MATCH(B1123,pr_code,0))="","",INDEX(pr_price,MATCH(B1123,pr_code,0))),""))))</f>
        <v/>
      </c>
      <c r="K1123" s="71" t="str">
        <f>IF(COUNTA(A1123:G1123)=0,"",IF(G1123&lt;&gt;"",G1123,IF(B1123="","",IFERROR(IF(INDEX(pr_rate,MATCH(B1123,pr_code,0))="","",INDEX(pr_rate,MATCH(B1123,pr_code,0))),""))))</f>
        <v/>
      </c>
      <c r="L1123" s="65" t="str">
        <f>IF(COUNTA(A1123:G1123)=0,"",IF(AND(ISNUMBER(D1123),ISNUMBER(J1123)),ROUND(D1123*J1123*(1-N(F1123)),2),0))</f>
        <v/>
      </c>
      <c r="M1123" s="62" t="str">
        <f>IF(A1123="","",IFERROR(INDEX(dv_cname,MATCH(A1123,dv_num,0))&amp;"",""))</f>
        <v/>
      </c>
      <c r="N1123" s="59" t="str">
        <f>IF(COUNTA(A1123:G1123)=0,"",IF(A1123="","N° devis manquant",IF(ISNA(MATCH(A1123,dv_num,0)),"Devis inconnu",IF(AND(B1123&lt;&gt;"",ISNA(MATCH(B1123,pr_code,0))),"Article inconnu",IF(H1123="","Désignation manquante",IF(OR(NOT(ISNUMBER(D1123)),N(D1123)&lt;=0),"Quantité invalide",IF(J1123="","Prix manquant",IF(OR(NOT(ISNUMBER(J1123)),N(J1123)&lt;0),"Prix invalide",IF(OR(AND(F1123&lt;&gt;"",NOT(ISNUMBER(F1123))),N(F1123)&lt;0,N(F1123)&gt;1),"Remise invalide",IF(K1123="","Taux de TVA manquant",IF(NOT(ISNUMBER(K1123)),"Taux de TVA invalide",IF(COUNTIF(p_rates,K1123)=0,"Taux de TVA hors liste (Paramètres)",IF(N(O1123)&gt;25,"Au-delà de 25 lignes : non imprimée","OK")))))))))))))</f>
        <v/>
      </c>
      <c r="O1123" s="59" t="str">
        <f>IF(A1123="","",COUNTIF($A$6:A1123,A1123))</f>
        <v/>
      </c>
      <c r="P1123" s="62" t="str">
        <f>IF(A1123="","",A1123&amp;"|"&amp;O1123)</f>
        <v/>
      </c>
    </row>
    <row r="1124">
      <c r="A1124" s="60" t="n"/>
      <c r="B1124" s="63" t="n"/>
      <c r="C1124" s="63" t="n"/>
      <c r="D1124" s="67" t="n"/>
      <c r="E1124" s="68" t="n"/>
      <c r="F1124" s="69" t="n"/>
      <c r="G1124" s="70" t="n"/>
      <c r="H1124" s="62" t="str">
        <f>IF(COUNTA(A1124:G1124)=0,"",IF(C1124&lt;&gt;"",C1124,IF(B1124="","",IFERROR(INDEX(pr_des,MATCH(B1124,pr_code,0))&amp;"",""))))</f>
        <v/>
      </c>
      <c r="I1124" s="59" t="str">
        <f>IF(B1124="","",IFERROR(INDEX(pr_unit,MATCH(B1124,pr_code,0))&amp;"",""))</f>
        <v/>
      </c>
      <c r="J1124" s="65" t="str">
        <f>IF(COUNTA(A1124:G1124)=0,"",IF(E1124&lt;&gt;"",E1124,IF(B1124="","",IFERROR(IF(INDEX(pr_price,MATCH(B1124,pr_code,0))="","",INDEX(pr_price,MATCH(B1124,pr_code,0))),""))))</f>
        <v/>
      </c>
      <c r="K1124" s="71" t="str">
        <f>IF(COUNTA(A1124:G1124)=0,"",IF(G1124&lt;&gt;"",G1124,IF(B1124="","",IFERROR(IF(INDEX(pr_rate,MATCH(B1124,pr_code,0))="","",INDEX(pr_rate,MATCH(B1124,pr_code,0))),""))))</f>
        <v/>
      </c>
      <c r="L1124" s="65" t="str">
        <f>IF(COUNTA(A1124:G1124)=0,"",IF(AND(ISNUMBER(D1124),ISNUMBER(J1124)),ROUND(D1124*J1124*(1-N(F1124)),2),0))</f>
        <v/>
      </c>
      <c r="M1124" s="62" t="str">
        <f>IF(A1124="","",IFERROR(INDEX(dv_cname,MATCH(A1124,dv_num,0))&amp;"",""))</f>
        <v/>
      </c>
      <c r="N1124" s="59" t="str">
        <f>IF(COUNTA(A1124:G1124)=0,"",IF(A1124="","N° devis manquant",IF(ISNA(MATCH(A1124,dv_num,0)),"Devis inconnu",IF(AND(B1124&lt;&gt;"",ISNA(MATCH(B1124,pr_code,0))),"Article inconnu",IF(H1124="","Désignation manquante",IF(OR(NOT(ISNUMBER(D1124)),N(D1124)&lt;=0),"Quantité invalide",IF(J1124="","Prix manquant",IF(OR(NOT(ISNUMBER(J1124)),N(J1124)&lt;0),"Prix invalide",IF(OR(AND(F1124&lt;&gt;"",NOT(ISNUMBER(F1124))),N(F1124)&lt;0,N(F1124)&gt;1),"Remise invalide",IF(K1124="","Taux de TVA manquant",IF(NOT(ISNUMBER(K1124)),"Taux de TVA invalide",IF(COUNTIF(p_rates,K1124)=0,"Taux de TVA hors liste (Paramètres)",IF(N(O1124)&gt;25,"Au-delà de 25 lignes : non imprimée","OK")))))))))))))</f>
        <v/>
      </c>
      <c r="O1124" s="59" t="str">
        <f>IF(A1124="","",COUNTIF($A$6:A1124,A1124))</f>
        <v/>
      </c>
      <c r="P1124" s="62" t="str">
        <f>IF(A1124="","",A1124&amp;"|"&amp;O1124)</f>
        <v/>
      </c>
    </row>
    <row r="1125">
      <c r="A1125" s="60" t="n"/>
      <c r="B1125" s="63" t="n"/>
      <c r="C1125" s="63" t="n"/>
      <c r="D1125" s="67" t="n"/>
      <c r="E1125" s="68" t="n"/>
      <c r="F1125" s="69" t="n"/>
      <c r="G1125" s="70" t="n"/>
      <c r="H1125" s="62" t="str">
        <f>IF(COUNTA(A1125:G1125)=0,"",IF(C1125&lt;&gt;"",C1125,IF(B1125="","",IFERROR(INDEX(pr_des,MATCH(B1125,pr_code,0))&amp;"",""))))</f>
        <v/>
      </c>
      <c r="I1125" s="59" t="str">
        <f>IF(B1125="","",IFERROR(INDEX(pr_unit,MATCH(B1125,pr_code,0))&amp;"",""))</f>
        <v/>
      </c>
      <c r="J1125" s="65" t="str">
        <f>IF(COUNTA(A1125:G1125)=0,"",IF(E1125&lt;&gt;"",E1125,IF(B1125="","",IFERROR(IF(INDEX(pr_price,MATCH(B1125,pr_code,0))="","",INDEX(pr_price,MATCH(B1125,pr_code,0))),""))))</f>
        <v/>
      </c>
      <c r="K1125" s="71" t="str">
        <f>IF(COUNTA(A1125:G1125)=0,"",IF(G1125&lt;&gt;"",G1125,IF(B1125="","",IFERROR(IF(INDEX(pr_rate,MATCH(B1125,pr_code,0))="","",INDEX(pr_rate,MATCH(B1125,pr_code,0))),""))))</f>
        <v/>
      </c>
      <c r="L1125" s="65" t="str">
        <f>IF(COUNTA(A1125:G1125)=0,"",IF(AND(ISNUMBER(D1125),ISNUMBER(J1125)),ROUND(D1125*J1125*(1-N(F1125)),2),0))</f>
        <v/>
      </c>
      <c r="M1125" s="62" t="str">
        <f>IF(A1125="","",IFERROR(INDEX(dv_cname,MATCH(A1125,dv_num,0))&amp;"",""))</f>
        <v/>
      </c>
      <c r="N1125" s="59" t="str">
        <f>IF(COUNTA(A1125:G1125)=0,"",IF(A1125="","N° devis manquant",IF(ISNA(MATCH(A1125,dv_num,0)),"Devis inconnu",IF(AND(B1125&lt;&gt;"",ISNA(MATCH(B1125,pr_code,0))),"Article inconnu",IF(H1125="","Désignation manquante",IF(OR(NOT(ISNUMBER(D1125)),N(D1125)&lt;=0),"Quantité invalide",IF(J1125="","Prix manquant",IF(OR(NOT(ISNUMBER(J1125)),N(J1125)&lt;0),"Prix invalide",IF(OR(AND(F1125&lt;&gt;"",NOT(ISNUMBER(F1125))),N(F1125)&lt;0,N(F1125)&gt;1),"Remise invalide",IF(K1125="","Taux de TVA manquant",IF(NOT(ISNUMBER(K1125)),"Taux de TVA invalide",IF(COUNTIF(p_rates,K1125)=0,"Taux de TVA hors liste (Paramètres)",IF(N(O1125)&gt;25,"Au-delà de 25 lignes : non imprimée","OK")))))))))))))</f>
        <v/>
      </c>
      <c r="O1125" s="59" t="str">
        <f>IF(A1125="","",COUNTIF($A$6:A1125,A1125))</f>
        <v/>
      </c>
      <c r="P1125" s="62" t="str">
        <f>IF(A1125="","",A1125&amp;"|"&amp;O1125)</f>
        <v/>
      </c>
    </row>
    <row r="1126">
      <c r="A1126" s="60" t="n"/>
      <c r="B1126" s="63" t="n"/>
      <c r="C1126" s="63" t="n"/>
      <c r="D1126" s="67" t="n"/>
      <c r="E1126" s="68" t="n"/>
      <c r="F1126" s="69" t="n"/>
      <c r="G1126" s="70" t="n"/>
      <c r="H1126" s="62" t="str">
        <f>IF(COUNTA(A1126:G1126)=0,"",IF(C1126&lt;&gt;"",C1126,IF(B1126="","",IFERROR(INDEX(pr_des,MATCH(B1126,pr_code,0))&amp;"",""))))</f>
        <v/>
      </c>
      <c r="I1126" s="59" t="str">
        <f>IF(B1126="","",IFERROR(INDEX(pr_unit,MATCH(B1126,pr_code,0))&amp;"",""))</f>
        <v/>
      </c>
      <c r="J1126" s="65" t="str">
        <f>IF(COUNTA(A1126:G1126)=0,"",IF(E1126&lt;&gt;"",E1126,IF(B1126="","",IFERROR(IF(INDEX(pr_price,MATCH(B1126,pr_code,0))="","",INDEX(pr_price,MATCH(B1126,pr_code,0))),""))))</f>
        <v/>
      </c>
      <c r="K1126" s="71" t="str">
        <f>IF(COUNTA(A1126:G1126)=0,"",IF(G1126&lt;&gt;"",G1126,IF(B1126="","",IFERROR(IF(INDEX(pr_rate,MATCH(B1126,pr_code,0))="","",INDEX(pr_rate,MATCH(B1126,pr_code,0))),""))))</f>
        <v/>
      </c>
      <c r="L1126" s="65" t="str">
        <f>IF(COUNTA(A1126:G1126)=0,"",IF(AND(ISNUMBER(D1126),ISNUMBER(J1126)),ROUND(D1126*J1126*(1-N(F1126)),2),0))</f>
        <v/>
      </c>
      <c r="M1126" s="62" t="str">
        <f>IF(A1126="","",IFERROR(INDEX(dv_cname,MATCH(A1126,dv_num,0))&amp;"",""))</f>
        <v/>
      </c>
      <c r="N1126" s="59" t="str">
        <f>IF(COUNTA(A1126:G1126)=0,"",IF(A1126="","N° devis manquant",IF(ISNA(MATCH(A1126,dv_num,0)),"Devis inconnu",IF(AND(B1126&lt;&gt;"",ISNA(MATCH(B1126,pr_code,0))),"Article inconnu",IF(H1126="","Désignation manquante",IF(OR(NOT(ISNUMBER(D1126)),N(D1126)&lt;=0),"Quantité invalide",IF(J1126="","Prix manquant",IF(OR(NOT(ISNUMBER(J1126)),N(J1126)&lt;0),"Prix invalide",IF(OR(AND(F1126&lt;&gt;"",NOT(ISNUMBER(F1126))),N(F1126)&lt;0,N(F1126)&gt;1),"Remise invalide",IF(K1126="","Taux de TVA manquant",IF(NOT(ISNUMBER(K1126)),"Taux de TVA invalide",IF(COUNTIF(p_rates,K1126)=0,"Taux de TVA hors liste (Paramètres)",IF(N(O1126)&gt;25,"Au-delà de 25 lignes : non imprimée","OK")))))))))))))</f>
        <v/>
      </c>
      <c r="O1126" s="59" t="str">
        <f>IF(A1126="","",COUNTIF($A$6:A1126,A1126))</f>
        <v/>
      </c>
      <c r="P1126" s="62" t="str">
        <f>IF(A1126="","",A1126&amp;"|"&amp;O1126)</f>
        <v/>
      </c>
    </row>
    <row r="1127">
      <c r="A1127" s="60" t="n"/>
      <c r="B1127" s="63" t="n"/>
      <c r="C1127" s="63" t="n"/>
      <c r="D1127" s="67" t="n"/>
      <c r="E1127" s="68" t="n"/>
      <c r="F1127" s="69" t="n"/>
      <c r="G1127" s="70" t="n"/>
      <c r="H1127" s="62" t="str">
        <f>IF(COUNTA(A1127:G1127)=0,"",IF(C1127&lt;&gt;"",C1127,IF(B1127="","",IFERROR(INDEX(pr_des,MATCH(B1127,pr_code,0))&amp;"",""))))</f>
        <v/>
      </c>
      <c r="I1127" s="59" t="str">
        <f>IF(B1127="","",IFERROR(INDEX(pr_unit,MATCH(B1127,pr_code,0))&amp;"",""))</f>
        <v/>
      </c>
      <c r="J1127" s="65" t="str">
        <f>IF(COUNTA(A1127:G1127)=0,"",IF(E1127&lt;&gt;"",E1127,IF(B1127="","",IFERROR(IF(INDEX(pr_price,MATCH(B1127,pr_code,0))="","",INDEX(pr_price,MATCH(B1127,pr_code,0))),""))))</f>
        <v/>
      </c>
      <c r="K1127" s="71" t="str">
        <f>IF(COUNTA(A1127:G1127)=0,"",IF(G1127&lt;&gt;"",G1127,IF(B1127="","",IFERROR(IF(INDEX(pr_rate,MATCH(B1127,pr_code,0))="","",INDEX(pr_rate,MATCH(B1127,pr_code,0))),""))))</f>
        <v/>
      </c>
      <c r="L1127" s="65" t="str">
        <f>IF(COUNTA(A1127:G1127)=0,"",IF(AND(ISNUMBER(D1127),ISNUMBER(J1127)),ROUND(D1127*J1127*(1-N(F1127)),2),0))</f>
        <v/>
      </c>
      <c r="M1127" s="62" t="str">
        <f>IF(A1127="","",IFERROR(INDEX(dv_cname,MATCH(A1127,dv_num,0))&amp;"",""))</f>
        <v/>
      </c>
      <c r="N1127" s="59" t="str">
        <f>IF(COUNTA(A1127:G1127)=0,"",IF(A1127="","N° devis manquant",IF(ISNA(MATCH(A1127,dv_num,0)),"Devis inconnu",IF(AND(B1127&lt;&gt;"",ISNA(MATCH(B1127,pr_code,0))),"Article inconnu",IF(H1127="","Désignation manquante",IF(OR(NOT(ISNUMBER(D1127)),N(D1127)&lt;=0),"Quantité invalide",IF(J1127="","Prix manquant",IF(OR(NOT(ISNUMBER(J1127)),N(J1127)&lt;0),"Prix invalide",IF(OR(AND(F1127&lt;&gt;"",NOT(ISNUMBER(F1127))),N(F1127)&lt;0,N(F1127)&gt;1),"Remise invalide",IF(K1127="","Taux de TVA manquant",IF(NOT(ISNUMBER(K1127)),"Taux de TVA invalide",IF(COUNTIF(p_rates,K1127)=0,"Taux de TVA hors liste (Paramètres)",IF(N(O1127)&gt;25,"Au-delà de 25 lignes : non imprimée","OK")))))))))))))</f>
        <v/>
      </c>
      <c r="O1127" s="59" t="str">
        <f>IF(A1127="","",COUNTIF($A$6:A1127,A1127))</f>
        <v/>
      </c>
      <c r="P1127" s="62" t="str">
        <f>IF(A1127="","",A1127&amp;"|"&amp;O1127)</f>
        <v/>
      </c>
    </row>
    <row r="1128">
      <c r="A1128" s="60" t="n"/>
      <c r="B1128" s="63" t="n"/>
      <c r="C1128" s="63" t="n"/>
      <c r="D1128" s="67" t="n"/>
      <c r="E1128" s="68" t="n"/>
      <c r="F1128" s="69" t="n"/>
      <c r="G1128" s="70" t="n"/>
      <c r="H1128" s="62" t="str">
        <f>IF(COUNTA(A1128:G1128)=0,"",IF(C1128&lt;&gt;"",C1128,IF(B1128="","",IFERROR(INDEX(pr_des,MATCH(B1128,pr_code,0))&amp;"",""))))</f>
        <v/>
      </c>
      <c r="I1128" s="59" t="str">
        <f>IF(B1128="","",IFERROR(INDEX(pr_unit,MATCH(B1128,pr_code,0))&amp;"",""))</f>
        <v/>
      </c>
      <c r="J1128" s="65" t="str">
        <f>IF(COUNTA(A1128:G1128)=0,"",IF(E1128&lt;&gt;"",E1128,IF(B1128="","",IFERROR(IF(INDEX(pr_price,MATCH(B1128,pr_code,0))="","",INDEX(pr_price,MATCH(B1128,pr_code,0))),""))))</f>
        <v/>
      </c>
      <c r="K1128" s="71" t="str">
        <f>IF(COUNTA(A1128:G1128)=0,"",IF(G1128&lt;&gt;"",G1128,IF(B1128="","",IFERROR(IF(INDEX(pr_rate,MATCH(B1128,pr_code,0))="","",INDEX(pr_rate,MATCH(B1128,pr_code,0))),""))))</f>
        <v/>
      </c>
      <c r="L1128" s="65" t="str">
        <f>IF(COUNTA(A1128:G1128)=0,"",IF(AND(ISNUMBER(D1128),ISNUMBER(J1128)),ROUND(D1128*J1128*(1-N(F1128)),2),0))</f>
        <v/>
      </c>
      <c r="M1128" s="62" t="str">
        <f>IF(A1128="","",IFERROR(INDEX(dv_cname,MATCH(A1128,dv_num,0))&amp;"",""))</f>
        <v/>
      </c>
      <c r="N1128" s="59" t="str">
        <f>IF(COUNTA(A1128:G1128)=0,"",IF(A1128="","N° devis manquant",IF(ISNA(MATCH(A1128,dv_num,0)),"Devis inconnu",IF(AND(B1128&lt;&gt;"",ISNA(MATCH(B1128,pr_code,0))),"Article inconnu",IF(H1128="","Désignation manquante",IF(OR(NOT(ISNUMBER(D1128)),N(D1128)&lt;=0),"Quantité invalide",IF(J1128="","Prix manquant",IF(OR(NOT(ISNUMBER(J1128)),N(J1128)&lt;0),"Prix invalide",IF(OR(AND(F1128&lt;&gt;"",NOT(ISNUMBER(F1128))),N(F1128)&lt;0,N(F1128)&gt;1),"Remise invalide",IF(K1128="","Taux de TVA manquant",IF(NOT(ISNUMBER(K1128)),"Taux de TVA invalide",IF(COUNTIF(p_rates,K1128)=0,"Taux de TVA hors liste (Paramètres)",IF(N(O1128)&gt;25,"Au-delà de 25 lignes : non imprimée","OK")))))))))))))</f>
        <v/>
      </c>
      <c r="O1128" s="59" t="str">
        <f>IF(A1128="","",COUNTIF($A$6:A1128,A1128))</f>
        <v/>
      </c>
      <c r="P1128" s="62" t="str">
        <f>IF(A1128="","",A1128&amp;"|"&amp;O1128)</f>
        <v/>
      </c>
    </row>
    <row r="1129">
      <c r="A1129" s="60" t="n"/>
      <c r="B1129" s="63" t="n"/>
      <c r="C1129" s="63" t="n"/>
      <c r="D1129" s="67" t="n"/>
      <c r="E1129" s="68" t="n"/>
      <c r="F1129" s="69" t="n"/>
      <c r="G1129" s="70" t="n"/>
      <c r="H1129" s="62" t="str">
        <f>IF(COUNTA(A1129:G1129)=0,"",IF(C1129&lt;&gt;"",C1129,IF(B1129="","",IFERROR(INDEX(pr_des,MATCH(B1129,pr_code,0))&amp;"",""))))</f>
        <v/>
      </c>
      <c r="I1129" s="59" t="str">
        <f>IF(B1129="","",IFERROR(INDEX(pr_unit,MATCH(B1129,pr_code,0))&amp;"",""))</f>
        <v/>
      </c>
      <c r="J1129" s="65" t="str">
        <f>IF(COUNTA(A1129:G1129)=0,"",IF(E1129&lt;&gt;"",E1129,IF(B1129="","",IFERROR(IF(INDEX(pr_price,MATCH(B1129,pr_code,0))="","",INDEX(pr_price,MATCH(B1129,pr_code,0))),""))))</f>
        <v/>
      </c>
      <c r="K1129" s="71" t="str">
        <f>IF(COUNTA(A1129:G1129)=0,"",IF(G1129&lt;&gt;"",G1129,IF(B1129="","",IFERROR(IF(INDEX(pr_rate,MATCH(B1129,pr_code,0))="","",INDEX(pr_rate,MATCH(B1129,pr_code,0))),""))))</f>
        <v/>
      </c>
      <c r="L1129" s="65" t="str">
        <f>IF(COUNTA(A1129:G1129)=0,"",IF(AND(ISNUMBER(D1129),ISNUMBER(J1129)),ROUND(D1129*J1129*(1-N(F1129)),2),0))</f>
        <v/>
      </c>
      <c r="M1129" s="62" t="str">
        <f>IF(A1129="","",IFERROR(INDEX(dv_cname,MATCH(A1129,dv_num,0))&amp;"",""))</f>
        <v/>
      </c>
      <c r="N1129" s="59" t="str">
        <f>IF(COUNTA(A1129:G1129)=0,"",IF(A1129="","N° devis manquant",IF(ISNA(MATCH(A1129,dv_num,0)),"Devis inconnu",IF(AND(B1129&lt;&gt;"",ISNA(MATCH(B1129,pr_code,0))),"Article inconnu",IF(H1129="","Désignation manquante",IF(OR(NOT(ISNUMBER(D1129)),N(D1129)&lt;=0),"Quantité invalide",IF(J1129="","Prix manquant",IF(OR(NOT(ISNUMBER(J1129)),N(J1129)&lt;0),"Prix invalide",IF(OR(AND(F1129&lt;&gt;"",NOT(ISNUMBER(F1129))),N(F1129)&lt;0,N(F1129)&gt;1),"Remise invalide",IF(K1129="","Taux de TVA manquant",IF(NOT(ISNUMBER(K1129)),"Taux de TVA invalide",IF(COUNTIF(p_rates,K1129)=0,"Taux de TVA hors liste (Paramètres)",IF(N(O1129)&gt;25,"Au-delà de 25 lignes : non imprimée","OK")))))))))))))</f>
        <v/>
      </c>
      <c r="O1129" s="59" t="str">
        <f>IF(A1129="","",COUNTIF($A$6:A1129,A1129))</f>
        <v/>
      </c>
      <c r="P1129" s="62" t="str">
        <f>IF(A1129="","",A1129&amp;"|"&amp;O1129)</f>
        <v/>
      </c>
    </row>
    <row r="1130">
      <c r="A1130" s="60" t="n"/>
      <c r="B1130" s="63" t="n"/>
      <c r="C1130" s="63" t="n"/>
      <c r="D1130" s="67" t="n"/>
      <c r="E1130" s="68" t="n"/>
      <c r="F1130" s="69" t="n"/>
      <c r="G1130" s="70" t="n"/>
      <c r="H1130" s="62" t="str">
        <f>IF(COUNTA(A1130:G1130)=0,"",IF(C1130&lt;&gt;"",C1130,IF(B1130="","",IFERROR(INDEX(pr_des,MATCH(B1130,pr_code,0))&amp;"",""))))</f>
        <v/>
      </c>
      <c r="I1130" s="59" t="str">
        <f>IF(B1130="","",IFERROR(INDEX(pr_unit,MATCH(B1130,pr_code,0))&amp;"",""))</f>
        <v/>
      </c>
      <c r="J1130" s="65" t="str">
        <f>IF(COUNTA(A1130:G1130)=0,"",IF(E1130&lt;&gt;"",E1130,IF(B1130="","",IFERROR(IF(INDEX(pr_price,MATCH(B1130,pr_code,0))="","",INDEX(pr_price,MATCH(B1130,pr_code,0))),""))))</f>
        <v/>
      </c>
      <c r="K1130" s="71" t="str">
        <f>IF(COUNTA(A1130:G1130)=0,"",IF(G1130&lt;&gt;"",G1130,IF(B1130="","",IFERROR(IF(INDEX(pr_rate,MATCH(B1130,pr_code,0))="","",INDEX(pr_rate,MATCH(B1130,pr_code,0))),""))))</f>
        <v/>
      </c>
      <c r="L1130" s="65" t="str">
        <f>IF(COUNTA(A1130:G1130)=0,"",IF(AND(ISNUMBER(D1130),ISNUMBER(J1130)),ROUND(D1130*J1130*(1-N(F1130)),2),0))</f>
        <v/>
      </c>
      <c r="M1130" s="62" t="str">
        <f>IF(A1130="","",IFERROR(INDEX(dv_cname,MATCH(A1130,dv_num,0))&amp;"",""))</f>
        <v/>
      </c>
      <c r="N1130" s="59" t="str">
        <f>IF(COUNTA(A1130:G1130)=0,"",IF(A1130="","N° devis manquant",IF(ISNA(MATCH(A1130,dv_num,0)),"Devis inconnu",IF(AND(B1130&lt;&gt;"",ISNA(MATCH(B1130,pr_code,0))),"Article inconnu",IF(H1130="","Désignation manquante",IF(OR(NOT(ISNUMBER(D1130)),N(D1130)&lt;=0),"Quantité invalide",IF(J1130="","Prix manquant",IF(OR(NOT(ISNUMBER(J1130)),N(J1130)&lt;0),"Prix invalide",IF(OR(AND(F1130&lt;&gt;"",NOT(ISNUMBER(F1130))),N(F1130)&lt;0,N(F1130)&gt;1),"Remise invalide",IF(K1130="","Taux de TVA manquant",IF(NOT(ISNUMBER(K1130)),"Taux de TVA invalide",IF(COUNTIF(p_rates,K1130)=0,"Taux de TVA hors liste (Paramètres)",IF(N(O1130)&gt;25,"Au-delà de 25 lignes : non imprimée","OK")))))))))))))</f>
        <v/>
      </c>
      <c r="O1130" s="59" t="str">
        <f>IF(A1130="","",COUNTIF($A$6:A1130,A1130))</f>
        <v/>
      </c>
      <c r="P1130" s="62" t="str">
        <f>IF(A1130="","",A1130&amp;"|"&amp;O1130)</f>
        <v/>
      </c>
    </row>
    <row r="1131">
      <c r="A1131" s="60" t="n"/>
      <c r="B1131" s="63" t="n"/>
      <c r="C1131" s="63" t="n"/>
      <c r="D1131" s="67" t="n"/>
      <c r="E1131" s="68" t="n"/>
      <c r="F1131" s="69" t="n"/>
      <c r="G1131" s="70" t="n"/>
      <c r="H1131" s="62" t="str">
        <f>IF(COUNTA(A1131:G1131)=0,"",IF(C1131&lt;&gt;"",C1131,IF(B1131="","",IFERROR(INDEX(pr_des,MATCH(B1131,pr_code,0))&amp;"",""))))</f>
        <v/>
      </c>
      <c r="I1131" s="59" t="str">
        <f>IF(B1131="","",IFERROR(INDEX(pr_unit,MATCH(B1131,pr_code,0))&amp;"",""))</f>
        <v/>
      </c>
      <c r="J1131" s="65" t="str">
        <f>IF(COUNTA(A1131:G1131)=0,"",IF(E1131&lt;&gt;"",E1131,IF(B1131="","",IFERROR(IF(INDEX(pr_price,MATCH(B1131,pr_code,0))="","",INDEX(pr_price,MATCH(B1131,pr_code,0))),""))))</f>
        <v/>
      </c>
      <c r="K1131" s="71" t="str">
        <f>IF(COUNTA(A1131:G1131)=0,"",IF(G1131&lt;&gt;"",G1131,IF(B1131="","",IFERROR(IF(INDEX(pr_rate,MATCH(B1131,pr_code,0))="","",INDEX(pr_rate,MATCH(B1131,pr_code,0))),""))))</f>
        <v/>
      </c>
      <c r="L1131" s="65" t="str">
        <f>IF(COUNTA(A1131:G1131)=0,"",IF(AND(ISNUMBER(D1131),ISNUMBER(J1131)),ROUND(D1131*J1131*(1-N(F1131)),2),0))</f>
        <v/>
      </c>
      <c r="M1131" s="62" t="str">
        <f>IF(A1131="","",IFERROR(INDEX(dv_cname,MATCH(A1131,dv_num,0))&amp;"",""))</f>
        <v/>
      </c>
      <c r="N1131" s="59" t="str">
        <f>IF(COUNTA(A1131:G1131)=0,"",IF(A1131="","N° devis manquant",IF(ISNA(MATCH(A1131,dv_num,0)),"Devis inconnu",IF(AND(B1131&lt;&gt;"",ISNA(MATCH(B1131,pr_code,0))),"Article inconnu",IF(H1131="","Désignation manquante",IF(OR(NOT(ISNUMBER(D1131)),N(D1131)&lt;=0),"Quantité invalide",IF(J1131="","Prix manquant",IF(OR(NOT(ISNUMBER(J1131)),N(J1131)&lt;0),"Prix invalide",IF(OR(AND(F1131&lt;&gt;"",NOT(ISNUMBER(F1131))),N(F1131)&lt;0,N(F1131)&gt;1),"Remise invalide",IF(K1131="","Taux de TVA manquant",IF(NOT(ISNUMBER(K1131)),"Taux de TVA invalide",IF(COUNTIF(p_rates,K1131)=0,"Taux de TVA hors liste (Paramètres)",IF(N(O1131)&gt;25,"Au-delà de 25 lignes : non imprimée","OK")))))))))))))</f>
        <v/>
      </c>
      <c r="O1131" s="59" t="str">
        <f>IF(A1131="","",COUNTIF($A$6:A1131,A1131))</f>
        <v/>
      </c>
      <c r="P1131" s="62" t="str">
        <f>IF(A1131="","",A1131&amp;"|"&amp;O1131)</f>
        <v/>
      </c>
    </row>
    <row r="1132">
      <c r="A1132" s="60" t="n"/>
      <c r="B1132" s="63" t="n"/>
      <c r="C1132" s="63" t="n"/>
      <c r="D1132" s="67" t="n"/>
      <c r="E1132" s="68" t="n"/>
      <c r="F1132" s="69" t="n"/>
      <c r="G1132" s="70" t="n"/>
      <c r="H1132" s="62" t="str">
        <f>IF(COUNTA(A1132:G1132)=0,"",IF(C1132&lt;&gt;"",C1132,IF(B1132="","",IFERROR(INDEX(pr_des,MATCH(B1132,pr_code,0))&amp;"",""))))</f>
        <v/>
      </c>
      <c r="I1132" s="59" t="str">
        <f>IF(B1132="","",IFERROR(INDEX(pr_unit,MATCH(B1132,pr_code,0))&amp;"",""))</f>
        <v/>
      </c>
      <c r="J1132" s="65" t="str">
        <f>IF(COUNTA(A1132:G1132)=0,"",IF(E1132&lt;&gt;"",E1132,IF(B1132="","",IFERROR(IF(INDEX(pr_price,MATCH(B1132,pr_code,0))="","",INDEX(pr_price,MATCH(B1132,pr_code,0))),""))))</f>
        <v/>
      </c>
      <c r="K1132" s="71" t="str">
        <f>IF(COUNTA(A1132:G1132)=0,"",IF(G1132&lt;&gt;"",G1132,IF(B1132="","",IFERROR(IF(INDEX(pr_rate,MATCH(B1132,pr_code,0))="","",INDEX(pr_rate,MATCH(B1132,pr_code,0))),""))))</f>
        <v/>
      </c>
      <c r="L1132" s="65" t="str">
        <f>IF(COUNTA(A1132:G1132)=0,"",IF(AND(ISNUMBER(D1132),ISNUMBER(J1132)),ROUND(D1132*J1132*(1-N(F1132)),2),0))</f>
        <v/>
      </c>
      <c r="M1132" s="62" t="str">
        <f>IF(A1132="","",IFERROR(INDEX(dv_cname,MATCH(A1132,dv_num,0))&amp;"",""))</f>
        <v/>
      </c>
      <c r="N1132" s="59" t="str">
        <f>IF(COUNTA(A1132:G1132)=0,"",IF(A1132="","N° devis manquant",IF(ISNA(MATCH(A1132,dv_num,0)),"Devis inconnu",IF(AND(B1132&lt;&gt;"",ISNA(MATCH(B1132,pr_code,0))),"Article inconnu",IF(H1132="","Désignation manquante",IF(OR(NOT(ISNUMBER(D1132)),N(D1132)&lt;=0),"Quantité invalide",IF(J1132="","Prix manquant",IF(OR(NOT(ISNUMBER(J1132)),N(J1132)&lt;0),"Prix invalide",IF(OR(AND(F1132&lt;&gt;"",NOT(ISNUMBER(F1132))),N(F1132)&lt;0,N(F1132)&gt;1),"Remise invalide",IF(K1132="","Taux de TVA manquant",IF(NOT(ISNUMBER(K1132)),"Taux de TVA invalide",IF(COUNTIF(p_rates,K1132)=0,"Taux de TVA hors liste (Paramètres)",IF(N(O1132)&gt;25,"Au-delà de 25 lignes : non imprimée","OK")))))))))))))</f>
        <v/>
      </c>
      <c r="O1132" s="59" t="str">
        <f>IF(A1132="","",COUNTIF($A$6:A1132,A1132))</f>
        <v/>
      </c>
      <c r="P1132" s="62" t="str">
        <f>IF(A1132="","",A1132&amp;"|"&amp;O1132)</f>
        <v/>
      </c>
    </row>
    <row r="1133">
      <c r="A1133" s="60" t="n"/>
      <c r="B1133" s="63" t="n"/>
      <c r="C1133" s="63" t="n"/>
      <c r="D1133" s="67" t="n"/>
      <c r="E1133" s="68" t="n"/>
      <c r="F1133" s="69" t="n"/>
      <c r="G1133" s="70" t="n"/>
      <c r="H1133" s="62" t="str">
        <f>IF(COUNTA(A1133:G1133)=0,"",IF(C1133&lt;&gt;"",C1133,IF(B1133="","",IFERROR(INDEX(pr_des,MATCH(B1133,pr_code,0))&amp;"",""))))</f>
        <v/>
      </c>
      <c r="I1133" s="59" t="str">
        <f>IF(B1133="","",IFERROR(INDEX(pr_unit,MATCH(B1133,pr_code,0))&amp;"",""))</f>
        <v/>
      </c>
      <c r="J1133" s="65" t="str">
        <f>IF(COUNTA(A1133:G1133)=0,"",IF(E1133&lt;&gt;"",E1133,IF(B1133="","",IFERROR(IF(INDEX(pr_price,MATCH(B1133,pr_code,0))="","",INDEX(pr_price,MATCH(B1133,pr_code,0))),""))))</f>
        <v/>
      </c>
      <c r="K1133" s="71" t="str">
        <f>IF(COUNTA(A1133:G1133)=0,"",IF(G1133&lt;&gt;"",G1133,IF(B1133="","",IFERROR(IF(INDEX(pr_rate,MATCH(B1133,pr_code,0))="","",INDEX(pr_rate,MATCH(B1133,pr_code,0))),""))))</f>
        <v/>
      </c>
      <c r="L1133" s="65" t="str">
        <f>IF(COUNTA(A1133:G1133)=0,"",IF(AND(ISNUMBER(D1133),ISNUMBER(J1133)),ROUND(D1133*J1133*(1-N(F1133)),2),0))</f>
        <v/>
      </c>
      <c r="M1133" s="62" t="str">
        <f>IF(A1133="","",IFERROR(INDEX(dv_cname,MATCH(A1133,dv_num,0))&amp;"",""))</f>
        <v/>
      </c>
      <c r="N1133" s="59" t="str">
        <f>IF(COUNTA(A1133:G1133)=0,"",IF(A1133="","N° devis manquant",IF(ISNA(MATCH(A1133,dv_num,0)),"Devis inconnu",IF(AND(B1133&lt;&gt;"",ISNA(MATCH(B1133,pr_code,0))),"Article inconnu",IF(H1133="","Désignation manquante",IF(OR(NOT(ISNUMBER(D1133)),N(D1133)&lt;=0),"Quantité invalide",IF(J1133="","Prix manquant",IF(OR(NOT(ISNUMBER(J1133)),N(J1133)&lt;0),"Prix invalide",IF(OR(AND(F1133&lt;&gt;"",NOT(ISNUMBER(F1133))),N(F1133)&lt;0,N(F1133)&gt;1),"Remise invalide",IF(K1133="","Taux de TVA manquant",IF(NOT(ISNUMBER(K1133)),"Taux de TVA invalide",IF(COUNTIF(p_rates,K1133)=0,"Taux de TVA hors liste (Paramètres)",IF(N(O1133)&gt;25,"Au-delà de 25 lignes : non imprimée","OK")))))))))))))</f>
        <v/>
      </c>
      <c r="O1133" s="59" t="str">
        <f>IF(A1133="","",COUNTIF($A$6:A1133,A1133))</f>
        <v/>
      </c>
      <c r="P1133" s="62" t="str">
        <f>IF(A1133="","",A1133&amp;"|"&amp;O1133)</f>
        <v/>
      </c>
    </row>
    <row r="1134">
      <c r="A1134" s="60" t="n"/>
      <c r="B1134" s="63" t="n"/>
      <c r="C1134" s="63" t="n"/>
      <c r="D1134" s="67" t="n"/>
      <c r="E1134" s="68" t="n"/>
      <c r="F1134" s="69" t="n"/>
      <c r="G1134" s="70" t="n"/>
      <c r="H1134" s="62" t="str">
        <f>IF(COUNTA(A1134:G1134)=0,"",IF(C1134&lt;&gt;"",C1134,IF(B1134="","",IFERROR(INDEX(pr_des,MATCH(B1134,pr_code,0))&amp;"",""))))</f>
        <v/>
      </c>
      <c r="I1134" s="59" t="str">
        <f>IF(B1134="","",IFERROR(INDEX(pr_unit,MATCH(B1134,pr_code,0))&amp;"",""))</f>
        <v/>
      </c>
      <c r="J1134" s="65" t="str">
        <f>IF(COUNTA(A1134:G1134)=0,"",IF(E1134&lt;&gt;"",E1134,IF(B1134="","",IFERROR(IF(INDEX(pr_price,MATCH(B1134,pr_code,0))="","",INDEX(pr_price,MATCH(B1134,pr_code,0))),""))))</f>
        <v/>
      </c>
      <c r="K1134" s="71" t="str">
        <f>IF(COUNTA(A1134:G1134)=0,"",IF(G1134&lt;&gt;"",G1134,IF(B1134="","",IFERROR(IF(INDEX(pr_rate,MATCH(B1134,pr_code,0))="","",INDEX(pr_rate,MATCH(B1134,pr_code,0))),""))))</f>
        <v/>
      </c>
      <c r="L1134" s="65" t="str">
        <f>IF(COUNTA(A1134:G1134)=0,"",IF(AND(ISNUMBER(D1134),ISNUMBER(J1134)),ROUND(D1134*J1134*(1-N(F1134)),2),0))</f>
        <v/>
      </c>
      <c r="M1134" s="62" t="str">
        <f>IF(A1134="","",IFERROR(INDEX(dv_cname,MATCH(A1134,dv_num,0))&amp;"",""))</f>
        <v/>
      </c>
      <c r="N1134" s="59" t="str">
        <f>IF(COUNTA(A1134:G1134)=0,"",IF(A1134="","N° devis manquant",IF(ISNA(MATCH(A1134,dv_num,0)),"Devis inconnu",IF(AND(B1134&lt;&gt;"",ISNA(MATCH(B1134,pr_code,0))),"Article inconnu",IF(H1134="","Désignation manquante",IF(OR(NOT(ISNUMBER(D1134)),N(D1134)&lt;=0),"Quantité invalide",IF(J1134="","Prix manquant",IF(OR(NOT(ISNUMBER(J1134)),N(J1134)&lt;0),"Prix invalide",IF(OR(AND(F1134&lt;&gt;"",NOT(ISNUMBER(F1134))),N(F1134)&lt;0,N(F1134)&gt;1),"Remise invalide",IF(K1134="","Taux de TVA manquant",IF(NOT(ISNUMBER(K1134)),"Taux de TVA invalide",IF(COUNTIF(p_rates,K1134)=0,"Taux de TVA hors liste (Paramètres)",IF(N(O1134)&gt;25,"Au-delà de 25 lignes : non imprimée","OK")))))))))))))</f>
        <v/>
      </c>
      <c r="O1134" s="59" t="str">
        <f>IF(A1134="","",COUNTIF($A$6:A1134,A1134))</f>
        <v/>
      </c>
      <c r="P1134" s="62" t="str">
        <f>IF(A1134="","",A1134&amp;"|"&amp;O1134)</f>
        <v/>
      </c>
    </row>
    <row r="1135">
      <c r="A1135" s="60" t="n"/>
      <c r="B1135" s="63" t="n"/>
      <c r="C1135" s="63" t="n"/>
      <c r="D1135" s="67" t="n"/>
      <c r="E1135" s="68" t="n"/>
      <c r="F1135" s="69" t="n"/>
      <c r="G1135" s="70" t="n"/>
      <c r="H1135" s="62" t="str">
        <f>IF(COUNTA(A1135:G1135)=0,"",IF(C1135&lt;&gt;"",C1135,IF(B1135="","",IFERROR(INDEX(pr_des,MATCH(B1135,pr_code,0))&amp;"",""))))</f>
        <v/>
      </c>
      <c r="I1135" s="59" t="str">
        <f>IF(B1135="","",IFERROR(INDEX(pr_unit,MATCH(B1135,pr_code,0))&amp;"",""))</f>
        <v/>
      </c>
      <c r="J1135" s="65" t="str">
        <f>IF(COUNTA(A1135:G1135)=0,"",IF(E1135&lt;&gt;"",E1135,IF(B1135="","",IFERROR(IF(INDEX(pr_price,MATCH(B1135,pr_code,0))="","",INDEX(pr_price,MATCH(B1135,pr_code,0))),""))))</f>
        <v/>
      </c>
      <c r="K1135" s="71" t="str">
        <f>IF(COUNTA(A1135:G1135)=0,"",IF(G1135&lt;&gt;"",G1135,IF(B1135="","",IFERROR(IF(INDEX(pr_rate,MATCH(B1135,pr_code,0))="","",INDEX(pr_rate,MATCH(B1135,pr_code,0))),""))))</f>
        <v/>
      </c>
      <c r="L1135" s="65" t="str">
        <f>IF(COUNTA(A1135:G1135)=0,"",IF(AND(ISNUMBER(D1135),ISNUMBER(J1135)),ROUND(D1135*J1135*(1-N(F1135)),2),0))</f>
        <v/>
      </c>
      <c r="M1135" s="62" t="str">
        <f>IF(A1135="","",IFERROR(INDEX(dv_cname,MATCH(A1135,dv_num,0))&amp;"",""))</f>
        <v/>
      </c>
      <c r="N1135" s="59" t="str">
        <f>IF(COUNTA(A1135:G1135)=0,"",IF(A1135="","N° devis manquant",IF(ISNA(MATCH(A1135,dv_num,0)),"Devis inconnu",IF(AND(B1135&lt;&gt;"",ISNA(MATCH(B1135,pr_code,0))),"Article inconnu",IF(H1135="","Désignation manquante",IF(OR(NOT(ISNUMBER(D1135)),N(D1135)&lt;=0),"Quantité invalide",IF(J1135="","Prix manquant",IF(OR(NOT(ISNUMBER(J1135)),N(J1135)&lt;0),"Prix invalide",IF(OR(AND(F1135&lt;&gt;"",NOT(ISNUMBER(F1135))),N(F1135)&lt;0,N(F1135)&gt;1),"Remise invalide",IF(K1135="","Taux de TVA manquant",IF(NOT(ISNUMBER(K1135)),"Taux de TVA invalide",IF(COUNTIF(p_rates,K1135)=0,"Taux de TVA hors liste (Paramètres)",IF(N(O1135)&gt;25,"Au-delà de 25 lignes : non imprimée","OK")))))))))))))</f>
        <v/>
      </c>
      <c r="O1135" s="59" t="str">
        <f>IF(A1135="","",COUNTIF($A$6:A1135,A1135))</f>
        <v/>
      </c>
      <c r="P1135" s="62" t="str">
        <f>IF(A1135="","",A1135&amp;"|"&amp;O1135)</f>
        <v/>
      </c>
    </row>
    <row r="1136">
      <c r="A1136" s="60" t="n"/>
      <c r="B1136" s="63" t="n"/>
      <c r="C1136" s="63" t="n"/>
      <c r="D1136" s="67" t="n"/>
      <c r="E1136" s="68" t="n"/>
      <c r="F1136" s="69" t="n"/>
      <c r="G1136" s="70" t="n"/>
      <c r="H1136" s="62" t="str">
        <f>IF(COUNTA(A1136:G1136)=0,"",IF(C1136&lt;&gt;"",C1136,IF(B1136="","",IFERROR(INDEX(pr_des,MATCH(B1136,pr_code,0))&amp;"",""))))</f>
        <v/>
      </c>
      <c r="I1136" s="59" t="str">
        <f>IF(B1136="","",IFERROR(INDEX(pr_unit,MATCH(B1136,pr_code,0))&amp;"",""))</f>
        <v/>
      </c>
      <c r="J1136" s="65" t="str">
        <f>IF(COUNTA(A1136:G1136)=0,"",IF(E1136&lt;&gt;"",E1136,IF(B1136="","",IFERROR(IF(INDEX(pr_price,MATCH(B1136,pr_code,0))="","",INDEX(pr_price,MATCH(B1136,pr_code,0))),""))))</f>
        <v/>
      </c>
      <c r="K1136" s="71" t="str">
        <f>IF(COUNTA(A1136:G1136)=0,"",IF(G1136&lt;&gt;"",G1136,IF(B1136="","",IFERROR(IF(INDEX(pr_rate,MATCH(B1136,pr_code,0))="","",INDEX(pr_rate,MATCH(B1136,pr_code,0))),""))))</f>
        <v/>
      </c>
      <c r="L1136" s="65" t="str">
        <f>IF(COUNTA(A1136:G1136)=0,"",IF(AND(ISNUMBER(D1136),ISNUMBER(J1136)),ROUND(D1136*J1136*(1-N(F1136)),2),0))</f>
        <v/>
      </c>
      <c r="M1136" s="62" t="str">
        <f>IF(A1136="","",IFERROR(INDEX(dv_cname,MATCH(A1136,dv_num,0))&amp;"",""))</f>
        <v/>
      </c>
      <c r="N1136" s="59" t="str">
        <f>IF(COUNTA(A1136:G1136)=0,"",IF(A1136="","N° devis manquant",IF(ISNA(MATCH(A1136,dv_num,0)),"Devis inconnu",IF(AND(B1136&lt;&gt;"",ISNA(MATCH(B1136,pr_code,0))),"Article inconnu",IF(H1136="","Désignation manquante",IF(OR(NOT(ISNUMBER(D1136)),N(D1136)&lt;=0),"Quantité invalide",IF(J1136="","Prix manquant",IF(OR(NOT(ISNUMBER(J1136)),N(J1136)&lt;0),"Prix invalide",IF(OR(AND(F1136&lt;&gt;"",NOT(ISNUMBER(F1136))),N(F1136)&lt;0,N(F1136)&gt;1),"Remise invalide",IF(K1136="","Taux de TVA manquant",IF(NOT(ISNUMBER(K1136)),"Taux de TVA invalide",IF(COUNTIF(p_rates,K1136)=0,"Taux de TVA hors liste (Paramètres)",IF(N(O1136)&gt;25,"Au-delà de 25 lignes : non imprimée","OK")))))))))))))</f>
        <v/>
      </c>
      <c r="O1136" s="59" t="str">
        <f>IF(A1136="","",COUNTIF($A$6:A1136,A1136))</f>
        <v/>
      </c>
      <c r="P1136" s="62" t="str">
        <f>IF(A1136="","",A1136&amp;"|"&amp;O1136)</f>
        <v/>
      </c>
    </row>
    <row r="1137">
      <c r="A1137" s="60" t="n"/>
      <c r="B1137" s="63" t="n"/>
      <c r="C1137" s="63" t="n"/>
      <c r="D1137" s="67" t="n"/>
      <c r="E1137" s="68" t="n"/>
      <c r="F1137" s="69" t="n"/>
      <c r="G1137" s="70" t="n"/>
      <c r="H1137" s="62" t="str">
        <f>IF(COUNTA(A1137:G1137)=0,"",IF(C1137&lt;&gt;"",C1137,IF(B1137="","",IFERROR(INDEX(pr_des,MATCH(B1137,pr_code,0))&amp;"",""))))</f>
        <v/>
      </c>
      <c r="I1137" s="59" t="str">
        <f>IF(B1137="","",IFERROR(INDEX(pr_unit,MATCH(B1137,pr_code,0))&amp;"",""))</f>
        <v/>
      </c>
      <c r="J1137" s="65" t="str">
        <f>IF(COUNTA(A1137:G1137)=0,"",IF(E1137&lt;&gt;"",E1137,IF(B1137="","",IFERROR(IF(INDEX(pr_price,MATCH(B1137,pr_code,0))="","",INDEX(pr_price,MATCH(B1137,pr_code,0))),""))))</f>
        <v/>
      </c>
      <c r="K1137" s="71" t="str">
        <f>IF(COUNTA(A1137:G1137)=0,"",IF(G1137&lt;&gt;"",G1137,IF(B1137="","",IFERROR(IF(INDEX(pr_rate,MATCH(B1137,pr_code,0))="","",INDEX(pr_rate,MATCH(B1137,pr_code,0))),""))))</f>
        <v/>
      </c>
      <c r="L1137" s="65" t="str">
        <f>IF(COUNTA(A1137:G1137)=0,"",IF(AND(ISNUMBER(D1137),ISNUMBER(J1137)),ROUND(D1137*J1137*(1-N(F1137)),2),0))</f>
        <v/>
      </c>
      <c r="M1137" s="62" t="str">
        <f>IF(A1137="","",IFERROR(INDEX(dv_cname,MATCH(A1137,dv_num,0))&amp;"",""))</f>
        <v/>
      </c>
      <c r="N1137" s="59" t="str">
        <f>IF(COUNTA(A1137:G1137)=0,"",IF(A1137="","N° devis manquant",IF(ISNA(MATCH(A1137,dv_num,0)),"Devis inconnu",IF(AND(B1137&lt;&gt;"",ISNA(MATCH(B1137,pr_code,0))),"Article inconnu",IF(H1137="","Désignation manquante",IF(OR(NOT(ISNUMBER(D1137)),N(D1137)&lt;=0),"Quantité invalide",IF(J1137="","Prix manquant",IF(OR(NOT(ISNUMBER(J1137)),N(J1137)&lt;0),"Prix invalide",IF(OR(AND(F1137&lt;&gt;"",NOT(ISNUMBER(F1137))),N(F1137)&lt;0,N(F1137)&gt;1),"Remise invalide",IF(K1137="","Taux de TVA manquant",IF(NOT(ISNUMBER(K1137)),"Taux de TVA invalide",IF(COUNTIF(p_rates,K1137)=0,"Taux de TVA hors liste (Paramètres)",IF(N(O1137)&gt;25,"Au-delà de 25 lignes : non imprimée","OK")))))))))))))</f>
        <v/>
      </c>
      <c r="O1137" s="59" t="str">
        <f>IF(A1137="","",COUNTIF($A$6:A1137,A1137))</f>
        <v/>
      </c>
      <c r="P1137" s="62" t="str">
        <f>IF(A1137="","",A1137&amp;"|"&amp;O1137)</f>
        <v/>
      </c>
    </row>
    <row r="1138">
      <c r="A1138" s="60" t="n"/>
      <c r="B1138" s="63" t="n"/>
      <c r="C1138" s="63" t="n"/>
      <c r="D1138" s="67" t="n"/>
      <c r="E1138" s="68" t="n"/>
      <c r="F1138" s="69" t="n"/>
      <c r="G1138" s="70" t="n"/>
      <c r="H1138" s="62" t="str">
        <f>IF(COUNTA(A1138:G1138)=0,"",IF(C1138&lt;&gt;"",C1138,IF(B1138="","",IFERROR(INDEX(pr_des,MATCH(B1138,pr_code,0))&amp;"",""))))</f>
        <v/>
      </c>
      <c r="I1138" s="59" t="str">
        <f>IF(B1138="","",IFERROR(INDEX(pr_unit,MATCH(B1138,pr_code,0))&amp;"",""))</f>
        <v/>
      </c>
      <c r="J1138" s="65" t="str">
        <f>IF(COUNTA(A1138:G1138)=0,"",IF(E1138&lt;&gt;"",E1138,IF(B1138="","",IFERROR(IF(INDEX(pr_price,MATCH(B1138,pr_code,0))="","",INDEX(pr_price,MATCH(B1138,pr_code,0))),""))))</f>
        <v/>
      </c>
      <c r="K1138" s="71" t="str">
        <f>IF(COUNTA(A1138:G1138)=0,"",IF(G1138&lt;&gt;"",G1138,IF(B1138="","",IFERROR(IF(INDEX(pr_rate,MATCH(B1138,pr_code,0))="","",INDEX(pr_rate,MATCH(B1138,pr_code,0))),""))))</f>
        <v/>
      </c>
      <c r="L1138" s="65" t="str">
        <f>IF(COUNTA(A1138:G1138)=0,"",IF(AND(ISNUMBER(D1138),ISNUMBER(J1138)),ROUND(D1138*J1138*(1-N(F1138)),2),0))</f>
        <v/>
      </c>
      <c r="M1138" s="62" t="str">
        <f>IF(A1138="","",IFERROR(INDEX(dv_cname,MATCH(A1138,dv_num,0))&amp;"",""))</f>
        <v/>
      </c>
      <c r="N1138" s="59" t="str">
        <f>IF(COUNTA(A1138:G1138)=0,"",IF(A1138="","N° devis manquant",IF(ISNA(MATCH(A1138,dv_num,0)),"Devis inconnu",IF(AND(B1138&lt;&gt;"",ISNA(MATCH(B1138,pr_code,0))),"Article inconnu",IF(H1138="","Désignation manquante",IF(OR(NOT(ISNUMBER(D1138)),N(D1138)&lt;=0),"Quantité invalide",IF(J1138="","Prix manquant",IF(OR(NOT(ISNUMBER(J1138)),N(J1138)&lt;0),"Prix invalide",IF(OR(AND(F1138&lt;&gt;"",NOT(ISNUMBER(F1138))),N(F1138)&lt;0,N(F1138)&gt;1),"Remise invalide",IF(K1138="","Taux de TVA manquant",IF(NOT(ISNUMBER(K1138)),"Taux de TVA invalide",IF(COUNTIF(p_rates,K1138)=0,"Taux de TVA hors liste (Paramètres)",IF(N(O1138)&gt;25,"Au-delà de 25 lignes : non imprimée","OK")))))))))))))</f>
        <v/>
      </c>
      <c r="O1138" s="59" t="str">
        <f>IF(A1138="","",COUNTIF($A$6:A1138,A1138))</f>
        <v/>
      </c>
      <c r="P1138" s="62" t="str">
        <f>IF(A1138="","",A1138&amp;"|"&amp;O1138)</f>
        <v/>
      </c>
    </row>
    <row r="1139">
      <c r="A1139" s="60" t="n"/>
      <c r="B1139" s="63" t="n"/>
      <c r="C1139" s="63" t="n"/>
      <c r="D1139" s="67" t="n"/>
      <c r="E1139" s="68" t="n"/>
      <c r="F1139" s="69" t="n"/>
      <c r="G1139" s="70" t="n"/>
      <c r="H1139" s="62" t="str">
        <f>IF(COUNTA(A1139:G1139)=0,"",IF(C1139&lt;&gt;"",C1139,IF(B1139="","",IFERROR(INDEX(pr_des,MATCH(B1139,pr_code,0))&amp;"",""))))</f>
        <v/>
      </c>
      <c r="I1139" s="59" t="str">
        <f>IF(B1139="","",IFERROR(INDEX(pr_unit,MATCH(B1139,pr_code,0))&amp;"",""))</f>
        <v/>
      </c>
      <c r="J1139" s="65" t="str">
        <f>IF(COUNTA(A1139:G1139)=0,"",IF(E1139&lt;&gt;"",E1139,IF(B1139="","",IFERROR(IF(INDEX(pr_price,MATCH(B1139,pr_code,0))="","",INDEX(pr_price,MATCH(B1139,pr_code,0))),""))))</f>
        <v/>
      </c>
      <c r="K1139" s="71" t="str">
        <f>IF(COUNTA(A1139:G1139)=0,"",IF(G1139&lt;&gt;"",G1139,IF(B1139="","",IFERROR(IF(INDEX(pr_rate,MATCH(B1139,pr_code,0))="","",INDEX(pr_rate,MATCH(B1139,pr_code,0))),""))))</f>
        <v/>
      </c>
      <c r="L1139" s="65" t="str">
        <f>IF(COUNTA(A1139:G1139)=0,"",IF(AND(ISNUMBER(D1139),ISNUMBER(J1139)),ROUND(D1139*J1139*(1-N(F1139)),2),0))</f>
        <v/>
      </c>
      <c r="M1139" s="62" t="str">
        <f>IF(A1139="","",IFERROR(INDEX(dv_cname,MATCH(A1139,dv_num,0))&amp;"",""))</f>
        <v/>
      </c>
      <c r="N1139" s="59" t="str">
        <f>IF(COUNTA(A1139:G1139)=0,"",IF(A1139="","N° devis manquant",IF(ISNA(MATCH(A1139,dv_num,0)),"Devis inconnu",IF(AND(B1139&lt;&gt;"",ISNA(MATCH(B1139,pr_code,0))),"Article inconnu",IF(H1139="","Désignation manquante",IF(OR(NOT(ISNUMBER(D1139)),N(D1139)&lt;=0),"Quantité invalide",IF(J1139="","Prix manquant",IF(OR(NOT(ISNUMBER(J1139)),N(J1139)&lt;0),"Prix invalide",IF(OR(AND(F1139&lt;&gt;"",NOT(ISNUMBER(F1139))),N(F1139)&lt;0,N(F1139)&gt;1),"Remise invalide",IF(K1139="","Taux de TVA manquant",IF(NOT(ISNUMBER(K1139)),"Taux de TVA invalide",IF(COUNTIF(p_rates,K1139)=0,"Taux de TVA hors liste (Paramètres)",IF(N(O1139)&gt;25,"Au-delà de 25 lignes : non imprimée","OK")))))))))))))</f>
        <v/>
      </c>
      <c r="O1139" s="59" t="str">
        <f>IF(A1139="","",COUNTIF($A$6:A1139,A1139))</f>
        <v/>
      </c>
      <c r="P1139" s="62" t="str">
        <f>IF(A1139="","",A1139&amp;"|"&amp;O1139)</f>
        <v/>
      </c>
    </row>
    <row r="1140">
      <c r="A1140" s="60" t="n"/>
      <c r="B1140" s="63" t="n"/>
      <c r="C1140" s="63" t="n"/>
      <c r="D1140" s="67" t="n"/>
      <c r="E1140" s="68" t="n"/>
      <c r="F1140" s="69" t="n"/>
      <c r="G1140" s="70" t="n"/>
      <c r="H1140" s="62" t="str">
        <f>IF(COUNTA(A1140:G1140)=0,"",IF(C1140&lt;&gt;"",C1140,IF(B1140="","",IFERROR(INDEX(pr_des,MATCH(B1140,pr_code,0))&amp;"",""))))</f>
        <v/>
      </c>
      <c r="I1140" s="59" t="str">
        <f>IF(B1140="","",IFERROR(INDEX(pr_unit,MATCH(B1140,pr_code,0))&amp;"",""))</f>
        <v/>
      </c>
      <c r="J1140" s="65" t="str">
        <f>IF(COUNTA(A1140:G1140)=0,"",IF(E1140&lt;&gt;"",E1140,IF(B1140="","",IFERROR(IF(INDEX(pr_price,MATCH(B1140,pr_code,0))="","",INDEX(pr_price,MATCH(B1140,pr_code,0))),""))))</f>
        <v/>
      </c>
      <c r="K1140" s="71" t="str">
        <f>IF(COUNTA(A1140:G1140)=0,"",IF(G1140&lt;&gt;"",G1140,IF(B1140="","",IFERROR(IF(INDEX(pr_rate,MATCH(B1140,pr_code,0))="","",INDEX(pr_rate,MATCH(B1140,pr_code,0))),""))))</f>
        <v/>
      </c>
      <c r="L1140" s="65" t="str">
        <f>IF(COUNTA(A1140:G1140)=0,"",IF(AND(ISNUMBER(D1140),ISNUMBER(J1140)),ROUND(D1140*J1140*(1-N(F1140)),2),0))</f>
        <v/>
      </c>
      <c r="M1140" s="62" t="str">
        <f>IF(A1140="","",IFERROR(INDEX(dv_cname,MATCH(A1140,dv_num,0))&amp;"",""))</f>
        <v/>
      </c>
      <c r="N1140" s="59" t="str">
        <f>IF(COUNTA(A1140:G1140)=0,"",IF(A1140="","N° devis manquant",IF(ISNA(MATCH(A1140,dv_num,0)),"Devis inconnu",IF(AND(B1140&lt;&gt;"",ISNA(MATCH(B1140,pr_code,0))),"Article inconnu",IF(H1140="","Désignation manquante",IF(OR(NOT(ISNUMBER(D1140)),N(D1140)&lt;=0),"Quantité invalide",IF(J1140="","Prix manquant",IF(OR(NOT(ISNUMBER(J1140)),N(J1140)&lt;0),"Prix invalide",IF(OR(AND(F1140&lt;&gt;"",NOT(ISNUMBER(F1140))),N(F1140)&lt;0,N(F1140)&gt;1),"Remise invalide",IF(K1140="","Taux de TVA manquant",IF(NOT(ISNUMBER(K1140)),"Taux de TVA invalide",IF(COUNTIF(p_rates,K1140)=0,"Taux de TVA hors liste (Paramètres)",IF(N(O1140)&gt;25,"Au-delà de 25 lignes : non imprimée","OK")))))))))))))</f>
        <v/>
      </c>
      <c r="O1140" s="59" t="str">
        <f>IF(A1140="","",COUNTIF($A$6:A1140,A1140))</f>
        <v/>
      </c>
      <c r="P1140" s="62" t="str">
        <f>IF(A1140="","",A1140&amp;"|"&amp;O1140)</f>
        <v/>
      </c>
    </row>
    <row r="1141">
      <c r="A1141" s="60" t="n"/>
      <c r="B1141" s="63" t="n"/>
      <c r="C1141" s="63" t="n"/>
      <c r="D1141" s="67" t="n"/>
      <c r="E1141" s="68" t="n"/>
      <c r="F1141" s="69" t="n"/>
      <c r="G1141" s="70" t="n"/>
      <c r="H1141" s="62" t="str">
        <f>IF(COUNTA(A1141:G1141)=0,"",IF(C1141&lt;&gt;"",C1141,IF(B1141="","",IFERROR(INDEX(pr_des,MATCH(B1141,pr_code,0))&amp;"",""))))</f>
        <v/>
      </c>
      <c r="I1141" s="59" t="str">
        <f>IF(B1141="","",IFERROR(INDEX(pr_unit,MATCH(B1141,pr_code,0))&amp;"",""))</f>
        <v/>
      </c>
      <c r="J1141" s="65" t="str">
        <f>IF(COUNTA(A1141:G1141)=0,"",IF(E1141&lt;&gt;"",E1141,IF(B1141="","",IFERROR(IF(INDEX(pr_price,MATCH(B1141,pr_code,0))="","",INDEX(pr_price,MATCH(B1141,pr_code,0))),""))))</f>
        <v/>
      </c>
      <c r="K1141" s="71" t="str">
        <f>IF(COUNTA(A1141:G1141)=0,"",IF(G1141&lt;&gt;"",G1141,IF(B1141="","",IFERROR(IF(INDEX(pr_rate,MATCH(B1141,pr_code,0))="","",INDEX(pr_rate,MATCH(B1141,pr_code,0))),""))))</f>
        <v/>
      </c>
      <c r="L1141" s="65" t="str">
        <f>IF(COUNTA(A1141:G1141)=0,"",IF(AND(ISNUMBER(D1141),ISNUMBER(J1141)),ROUND(D1141*J1141*(1-N(F1141)),2),0))</f>
        <v/>
      </c>
      <c r="M1141" s="62" t="str">
        <f>IF(A1141="","",IFERROR(INDEX(dv_cname,MATCH(A1141,dv_num,0))&amp;"",""))</f>
        <v/>
      </c>
      <c r="N1141" s="59" t="str">
        <f>IF(COUNTA(A1141:G1141)=0,"",IF(A1141="","N° devis manquant",IF(ISNA(MATCH(A1141,dv_num,0)),"Devis inconnu",IF(AND(B1141&lt;&gt;"",ISNA(MATCH(B1141,pr_code,0))),"Article inconnu",IF(H1141="","Désignation manquante",IF(OR(NOT(ISNUMBER(D1141)),N(D1141)&lt;=0),"Quantité invalide",IF(J1141="","Prix manquant",IF(OR(NOT(ISNUMBER(J1141)),N(J1141)&lt;0),"Prix invalide",IF(OR(AND(F1141&lt;&gt;"",NOT(ISNUMBER(F1141))),N(F1141)&lt;0,N(F1141)&gt;1),"Remise invalide",IF(K1141="","Taux de TVA manquant",IF(NOT(ISNUMBER(K1141)),"Taux de TVA invalide",IF(COUNTIF(p_rates,K1141)=0,"Taux de TVA hors liste (Paramètres)",IF(N(O1141)&gt;25,"Au-delà de 25 lignes : non imprimée","OK")))))))))))))</f>
        <v/>
      </c>
      <c r="O1141" s="59" t="str">
        <f>IF(A1141="","",COUNTIF($A$6:A1141,A1141))</f>
        <v/>
      </c>
      <c r="P1141" s="62" t="str">
        <f>IF(A1141="","",A1141&amp;"|"&amp;O1141)</f>
        <v/>
      </c>
    </row>
    <row r="1142">
      <c r="A1142" s="60" t="n"/>
      <c r="B1142" s="63" t="n"/>
      <c r="C1142" s="63" t="n"/>
      <c r="D1142" s="67" t="n"/>
      <c r="E1142" s="68" t="n"/>
      <c r="F1142" s="69" t="n"/>
      <c r="G1142" s="70" t="n"/>
      <c r="H1142" s="62" t="str">
        <f>IF(COUNTA(A1142:G1142)=0,"",IF(C1142&lt;&gt;"",C1142,IF(B1142="","",IFERROR(INDEX(pr_des,MATCH(B1142,pr_code,0))&amp;"",""))))</f>
        <v/>
      </c>
      <c r="I1142" s="59" t="str">
        <f>IF(B1142="","",IFERROR(INDEX(pr_unit,MATCH(B1142,pr_code,0))&amp;"",""))</f>
        <v/>
      </c>
      <c r="J1142" s="65" t="str">
        <f>IF(COUNTA(A1142:G1142)=0,"",IF(E1142&lt;&gt;"",E1142,IF(B1142="","",IFERROR(IF(INDEX(pr_price,MATCH(B1142,pr_code,0))="","",INDEX(pr_price,MATCH(B1142,pr_code,0))),""))))</f>
        <v/>
      </c>
      <c r="K1142" s="71" t="str">
        <f>IF(COUNTA(A1142:G1142)=0,"",IF(G1142&lt;&gt;"",G1142,IF(B1142="","",IFERROR(IF(INDEX(pr_rate,MATCH(B1142,pr_code,0))="","",INDEX(pr_rate,MATCH(B1142,pr_code,0))),""))))</f>
        <v/>
      </c>
      <c r="L1142" s="65" t="str">
        <f>IF(COUNTA(A1142:G1142)=0,"",IF(AND(ISNUMBER(D1142),ISNUMBER(J1142)),ROUND(D1142*J1142*(1-N(F1142)),2),0))</f>
        <v/>
      </c>
      <c r="M1142" s="62" t="str">
        <f>IF(A1142="","",IFERROR(INDEX(dv_cname,MATCH(A1142,dv_num,0))&amp;"",""))</f>
        <v/>
      </c>
      <c r="N1142" s="59" t="str">
        <f>IF(COUNTA(A1142:G1142)=0,"",IF(A1142="","N° devis manquant",IF(ISNA(MATCH(A1142,dv_num,0)),"Devis inconnu",IF(AND(B1142&lt;&gt;"",ISNA(MATCH(B1142,pr_code,0))),"Article inconnu",IF(H1142="","Désignation manquante",IF(OR(NOT(ISNUMBER(D1142)),N(D1142)&lt;=0),"Quantité invalide",IF(J1142="","Prix manquant",IF(OR(NOT(ISNUMBER(J1142)),N(J1142)&lt;0),"Prix invalide",IF(OR(AND(F1142&lt;&gt;"",NOT(ISNUMBER(F1142))),N(F1142)&lt;0,N(F1142)&gt;1),"Remise invalide",IF(K1142="","Taux de TVA manquant",IF(NOT(ISNUMBER(K1142)),"Taux de TVA invalide",IF(COUNTIF(p_rates,K1142)=0,"Taux de TVA hors liste (Paramètres)",IF(N(O1142)&gt;25,"Au-delà de 25 lignes : non imprimée","OK")))))))))))))</f>
        <v/>
      </c>
      <c r="O1142" s="59" t="str">
        <f>IF(A1142="","",COUNTIF($A$6:A1142,A1142))</f>
        <v/>
      </c>
      <c r="P1142" s="62" t="str">
        <f>IF(A1142="","",A1142&amp;"|"&amp;O1142)</f>
        <v/>
      </c>
    </row>
    <row r="1143">
      <c r="A1143" s="60" t="n"/>
      <c r="B1143" s="63" t="n"/>
      <c r="C1143" s="63" t="n"/>
      <c r="D1143" s="67" t="n"/>
      <c r="E1143" s="68" t="n"/>
      <c r="F1143" s="69" t="n"/>
      <c r="G1143" s="70" t="n"/>
      <c r="H1143" s="62" t="str">
        <f>IF(COUNTA(A1143:G1143)=0,"",IF(C1143&lt;&gt;"",C1143,IF(B1143="","",IFERROR(INDEX(pr_des,MATCH(B1143,pr_code,0))&amp;"",""))))</f>
        <v/>
      </c>
      <c r="I1143" s="59" t="str">
        <f>IF(B1143="","",IFERROR(INDEX(pr_unit,MATCH(B1143,pr_code,0))&amp;"",""))</f>
        <v/>
      </c>
      <c r="J1143" s="65" t="str">
        <f>IF(COUNTA(A1143:G1143)=0,"",IF(E1143&lt;&gt;"",E1143,IF(B1143="","",IFERROR(IF(INDEX(pr_price,MATCH(B1143,pr_code,0))="","",INDEX(pr_price,MATCH(B1143,pr_code,0))),""))))</f>
        <v/>
      </c>
      <c r="K1143" s="71" t="str">
        <f>IF(COUNTA(A1143:G1143)=0,"",IF(G1143&lt;&gt;"",G1143,IF(B1143="","",IFERROR(IF(INDEX(pr_rate,MATCH(B1143,pr_code,0))="","",INDEX(pr_rate,MATCH(B1143,pr_code,0))),""))))</f>
        <v/>
      </c>
      <c r="L1143" s="65" t="str">
        <f>IF(COUNTA(A1143:G1143)=0,"",IF(AND(ISNUMBER(D1143),ISNUMBER(J1143)),ROUND(D1143*J1143*(1-N(F1143)),2),0))</f>
        <v/>
      </c>
      <c r="M1143" s="62" t="str">
        <f>IF(A1143="","",IFERROR(INDEX(dv_cname,MATCH(A1143,dv_num,0))&amp;"",""))</f>
        <v/>
      </c>
      <c r="N1143" s="59" t="str">
        <f>IF(COUNTA(A1143:G1143)=0,"",IF(A1143="","N° devis manquant",IF(ISNA(MATCH(A1143,dv_num,0)),"Devis inconnu",IF(AND(B1143&lt;&gt;"",ISNA(MATCH(B1143,pr_code,0))),"Article inconnu",IF(H1143="","Désignation manquante",IF(OR(NOT(ISNUMBER(D1143)),N(D1143)&lt;=0),"Quantité invalide",IF(J1143="","Prix manquant",IF(OR(NOT(ISNUMBER(J1143)),N(J1143)&lt;0),"Prix invalide",IF(OR(AND(F1143&lt;&gt;"",NOT(ISNUMBER(F1143))),N(F1143)&lt;0,N(F1143)&gt;1),"Remise invalide",IF(K1143="","Taux de TVA manquant",IF(NOT(ISNUMBER(K1143)),"Taux de TVA invalide",IF(COUNTIF(p_rates,K1143)=0,"Taux de TVA hors liste (Paramètres)",IF(N(O1143)&gt;25,"Au-delà de 25 lignes : non imprimée","OK")))))))))))))</f>
        <v/>
      </c>
      <c r="O1143" s="59" t="str">
        <f>IF(A1143="","",COUNTIF($A$6:A1143,A1143))</f>
        <v/>
      </c>
      <c r="P1143" s="62" t="str">
        <f>IF(A1143="","",A1143&amp;"|"&amp;O1143)</f>
        <v/>
      </c>
    </row>
    <row r="1144">
      <c r="A1144" s="60" t="n"/>
      <c r="B1144" s="63" t="n"/>
      <c r="C1144" s="63" t="n"/>
      <c r="D1144" s="67" t="n"/>
      <c r="E1144" s="68" t="n"/>
      <c r="F1144" s="69" t="n"/>
      <c r="G1144" s="70" t="n"/>
      <c r="H1144" s="62" t="str">
        <f>IF(COUNTA(A1144:G1144)=0,"",IF(C1144&lt;&gt;"",C1144,IF(B1144="","",IFERROR(INDEX(pr_des,MATCH(B1144,pr_code,0))&amp;"",""))))</f>
        <v/>
      </c>
      <c r="I1144" s="59" t="str">
        <f>IF(B1144="","",IFERROR(INDEX(pr_unit,MATCH(B1144,pr_code,0))&amp;"",""))</f>
        <v/>
      </c>
      <c r="J1144" s="65" t="str">
        <f>IF(COUNTA(A1144:G1144)=0,"",IF(E1144&lt;&gt;"",E1144,IF(B1144="","",IFERROR(IF(INDEX(pr_price,MATCH(B1144,pr_code,0))="","",INDEX(pr_price,MATCH(B1144,pr_code,0))),""))))</f>
        <v/>
      </c>
      <c r="K1144" s="71" t="str">
        <f>IF(COUNTA(A1144:G1144)=0,"",IF(G1144&lt;&gt;"",G1144,IF(B1144="","",IFERROR(IF(INDEX(pr_rate,MATCH(B1144,pr_code,0))="","",INDEX(pr_rate,MATCH(B1144,pr_code,0))),""))))</f>
        <v/>
      </c>
      <c r="L1144" s="65" t="str">
        <f>IF(COUNTA(A1144:G1144)=0,"",IF(AND(ISNUMBER(D1144),ISNUMBER(J1144)),ROUND(D1144*J1144*(1-N(F1144)),2),0))</f>
        <v/>
      </c>
      <c r="M1144" s="62" t="str">
        <f>IF(A1144="","",IFERROR(INDEX(dv_cname,MATCH(A1144,dv_num,0))&amp;"",""))</f>
        <v/>
      </c>
      <c r="N1144" s="59" t="str">
        <f>IF(COUNTA(A1144:G1144)=0,"",IF(A1144="","N° devis manquant",IF(ISNA(MATCH(A1144,dv_num,0)),"Devis inconnu",IF(AND(B1144&lt;&gt;"",ISNA(MATCH(B1144,pr_code,0))),"Article inconnu",IF(H1144="","Désignation manquante",IF(OR(NOT(ISNUMBER(D1144)),N(D1144)&lt;=0),"Quantité invalide",IF(J1144="","Prix manquant",IF(OR(NOT(ISNUMBER(J1144)),N(J1144)&lt;0),"Prix invalide",IF(OR(AND(F1144&lt;&gt;"",NOT(ISNUMBER(F1144))),N(F1144)&lt;0,N(F1144)&gt;1),"Remise invalide",IF(K1144="","Taux de TVA manquant",IF(NOT(ISNUMBER(K1144)),"Taux de TVA invalide",IF(COUNTIF(p_rates,K1144)=0,"Taux de TVA hors liste (Paramètres)",IF(N(O1144)&gt;25,"Au-delà de 25 lignes : non imprimée","OK")))))))))))))</f>
        <v/>
      </c>
      <c r="O1144" s="59" t="str">
        <f>IF(A1144="","",COUNTIF($A$6:A1144,A1144))</f>
        <v/>
      </c>
      <c r="P1144" s="62" t="str">
        <f>IF(A1144="","",A1144&amp;"|"&amp;O1144)</f>
        <v/>
      </c>
    </row>
    <row r="1145">
      <c r="A1145" s="60" t="n"/>
      <c r="B1145" s="63" t="n"/>
      <c r="C1145" s="63" t="n"/>
      <c r="D1145" s="67" t="n"/>
      <c r="E1145" s="68" t="n"/>
      <c r="F1145" s="69" t="n"/>
      <c r="G1145" s="70" t="n"/>
      <c r="H1145" s="62" t="str">
        <f>IF(COUNTA(A1145:G1145)=0,"",IF(C1145&lt;&gt;"",C1145,IF(B1145="","",IFERROR(INDEX(pr_des,MATCH(B1145,pr_code,0))&amp;"",""))))</f>
        <v/>
      </c>
      <c r="I1145" s="59" t="str">
        <f>IF(B1145="","",IFERROR(INDEX(pr_unit,MATCH(B1145,pr_code,0))&amp;"",""))</f>
        <v/>
      </c>
      <c r="J1145" s="65" t="str">
        <f>IF(COUNTA(A1145:G1145)=0,"",IF(E1145&lt;&gt;"",E1145,IF(B1145="","",IFERROR(IF(INDEX(pr_price,MATCH(B1145,pr_code,0))="","",INDEX(pr_price,MATCH(B1145,pr_code,0))),""))))</f>
        <v/>
      </c>
      <c r="K1145" s="71" t="str">
        <f>IF(COUNTA(A1145:G1145)=0,"",IF(G1145&lt;&gt;"",G1145,IF(B1145="","",IFERROR(IF(INDEX(pr_rate,MATCH(B1145,pr_code,0))="","",INDEX(pr_rate,MATCH(B1145,pr_code,0))),""))))</f>
        <v/>
      </c>
      <c r="L1145" s="65" t="str">
        <f>IF(COUNTA(A1145:G1145)=0,"",IF(AND(ISNUMBER(D1145),ISNUMBER(J1145)),ROUND(D1145*J1145*(1-N(F1145)),2),0))</f>
        <v/>
      </c>
      <c r="M1145" s="62" t="str">
        <f>IF(A1145="","",IFERROR(INDEX(dv_cname,MATCH(A1145,dv_num,0))&amp;"",""))</f>
        <v/>
      </c>
      <c r="N1145" s="59" t="str">
        <f>IF(COUNTA(A1145:G1145)=0,"",IF(A1145="","N° devis manquant",IF(ISNA(MATCH(A1145,dv_num,0)),"Devis inconnu",IF(AND(B1145&lt;&gt;"",ISNA(MATCH(B1145,pr_code,0))),"Article inconnu",IF(H1145="","Désignation manquante",IF(OR(NOT(ISNUMBER(D1145)),N(D1145)&lt;=0),"Quantité invalide",IF(J1145="","Prix manquant",IF(OR(NOT(ISNUMBER(J1145)),N(J1145)&lt;0),"Prix invalide",IF(OR(AND(F1145&lt;&gt;"",NOT(ISNUMBER(F1145))),N(F1145)&lt;0,N(F1145)&gt;1),"Remise invalide",IF(K1145="","Taux de TVA manquant",IF(NOT(ISNUMBER(K1145)),"Taux de TVA invalide",IF(COUNTIF(p_rates,K1145)=0,"Taux de TVA hors liste (Paramètres)",IF(N(O1145)&gt;25,"Au-delà de 25 lignes : non imprimée","OK")))))))))))))</f>
        <v/>
      </c>
      <c r="O1145" s="59" t="str">
        <f>IF(A1145="","",COUNTIF($A$6:A1145,A1145))</f>
        <v/>
      </c>
      <c r="P1145" s="62" t="str">
        <f>IF(A1145="","",A1145&amp;"|"&amp;O1145)</f>
        <v/>
      </c>
    </row>
    <row r="1146">
      <c r="A1146" s="60" t="n"/>
      <c r="B1146" s="63" t="n"/>
      <c r="C1146" s="63" t="n"/>
      <c r="D1146" s="67" t="n"/>
      <c r="E1146" s="68" t="n"/>
      <c r="F1146" s="69" t="n"/>
      <c r="G1146" s="70" t="n"/>
      <c r="H1146" s="62" t="str">
        <f>IF(COUNTA(A1146:G1146)=0,"",IF(C1146&lt;&gt;"",C1146,IF(B1146="","",IFERROR(INDEX(pr_des,MATCH(B1146,pr_code,0))&amp;"",""))))</f>
        <v/>
      </c>
      <c r="I1146" s="59" t="str">
        <f>IF(B1146="","",IFERROR(INDEX(pr_unit,MATCH(B1146,pr_code,0))&amp;"",""))</f>
        <v/>
      </c>
      <c r="J1146" s="65" t="str">
        <f>IF(COUNTA(A1146:G1146)=0,"",IF(E1146&lt;&gt;"",E1146,IF(B1146="","",IFERROR(IF(INDEX(pr_price,MATCH(B1146,pr_code,0))="","",INDEX(pr_price,MATCH(B1146,pr_code,0))),""))))</f>
        <v/>
      </c>
      <c r="K1146" s="71" t="str">
        <f>IF(COUNTA(A1146:G1146)=0,"",IF(G1146&lt;&gt;"",G1146,IF(B1146="","",IFERROR(IF(INDEX(pr_rate,MATCH(B1146,pr_code,0))="","",INDEX(pr_rate,MATCH(B1146,pr_code,0))),""))))</f>
        <v/>
      </c>
      <c r="L1146" s="65" t="str">
        <f>IF(COUNTA(A1146:G1146)=0,"",IF(AND(ISNUMBER(D1146),ISNUMBER(J1146)),ROUND(D1146*J1146*(1-N(F1146)),2),0))</f>
        <v/>
      </c>
      <c r="M1146" s="62" t="str">
        <f>IF(A1146="","",IFERROR(INDEX(dv_cname,MATCH(A1146,dv_num,0))&amp;"",""))</f>
        <v/>
      </c>
      <c r="N1146" s="59" t="str">
        <f>IF(COUNTA(A1146:G1146)=0,"",IF(A1146="","N° devis manquant",IF(ISNA(MATCH(A1146,dv_num,0)),"Devis inconnu",IF(AND(B1146&lt;&gt;"",ISNA(MATCH(B1146,pr_code,0))),"Article inconnu",IF(H1146="","Désignation manquante",IF(OR(NOT(ISNUMBER(D1146)),N(D1146)&lt;=0),"Quantité invalide",IF(J1146="","Prix manquant",IF(OR(NOT(ISNUMBER(J1146)),N(J1146)&lt;0),"Prix invalide",IF(OR(AND(F1146&lt;&gt;"",NOT(ISNUMBER(F1146))),N(F1146)&lt;0,N(F1146)&gt;1),"Remise invalide",IF(K1146="","Taux de TVA manquant",IF(NOT(ISNUMBER(K1146)),"Taux de TVA invalide",IF(COUNTIF(p_rates,K1146)=0,"Taux de TVA hors liste (Paramètres)",IF(N(O1146)&gt;25,"Au-delà de 25 lignes : non imprimée","OK")))))))))))))</f>
        <v/>
      </c>
      <c r="O1146" s="59" t="str">
        <f>IF(A1146="","",COUNTIF($A$6:A1146,A1146))</f>
        <v/>
      </c>
      <c r="P1146" s="62" t="str">
        <f>IF(A1146="","",A1146&amp;"|"&amp;O1146)</f>
        <v/>
      </c>
    </row>
    <row r="1147">
      <c r="A1147" s="60" t="n"/>
      <c r="B1147" s="63" t="n"/>
      <c r="C1147" s="63" t="n"/>
      <c r="D1147" s="67" t="n"/>
      <c r="E1147" s="68" t="n"/>
      <c r="F1147" s="69" t="n"/>
      <c r="G1147" s="70" t="n"/>
      <c r="H1147" s="62" t="str">
        <f>IF(COUNTA(A1147:G1147)=0,"",IF(C1147&lt;&gt;"",C1147,IF(B1147="","",IFERROR(INDEX(pr_des,MATCH(B1147,pr_code,0))&amp;"",""))))</f>
        <v/>
      </c>
      <c r="I1147" s="59" t="str">
        <f>IF(B1147="","",IFERROR(INDEX(pr_unit,MATCH(B1147,pr_code,0))&amp;"",""))</f>
        <v/>
      </c>
      <c r="J1147" s="65" t="str">
        <f>IF(COUNTA(A1147:G1147)=0,"",IF(E1147&lt;&gt;"",E1147,IF(B1147="","",IFERROR(IF(INDEX(pr_price,MATCH(B1147,pr_code,0))="","",INDEX(pr_price,MATCH(B1147,pr_code,0))),""))))</f>
        <v/>
      </c>
      <c r="K1147" s="71" t="str">
        <f>IF(COUNTA(A1147:G1147)=0,"",IF(G1147&lt;&gt;"",G1147,IF(B1147="","",IFERROR(IF(INDEX(pr_rate,MATCH(B1147,pr_code,0))="","",INDEX(pr_rate,MATCH(B1147,pr_code,0))),""))))</f>
        <v/>
      </c>
      <c r="L1147" s="65" t="str">
        <f>IF(COUNTA(A1147:G1147)=0,"",IF(AND(ISNUMBER(D1147),ISNUMBER(J1147)),ROUND(D1147*J1147*(1-N(F1147)),2),0))</f>
        <v/>
      </c>
      <c r="M1147" s="62" t="str">
        <f>IF(A1147="","",IFERROR(INDEX(dv_cname,MATCH(A1147,dv_num,0))&amp;"",""))</f>
        <v/>
      </c>
      <c r="N1147" s="59" t="str">
        <f>IF(COUNTA(A1147:G1147)=0,"",IF(A1147="","N° devis manquant",IF(ISNA(MATCH(A1147,dv_num,0)),"Devis inconnu",IF(AND(B1147&lt;&gt;"",ISNA(MATCH(B1147,pr_code,0))),"Article inconnu",IF(H1147="","Désignation manquante",IF(OR(NOT(ISNUMBER(D1147)),N(D1147)&lt;=0),"Quantité invalide",IF(J1147="","Prix manquant",IF(OR(NOT(ISNUMBER(J1147)),N(J1147)&lt;0),"Prix invalide",IF(OR(AND(F1147&lt;&gt;"",NOT(ISNUMBER(F1147))),N(F1147)&lt;0,N(F1147)&gt;1),"Remise invalide",IF(K1147="","Taux de TVA manquant",IF(NOT(ISNUMBER(K1147)),"Taux de TVA invalide",IF(COUNTIF(p_rates,K1147)=0,"Taux de TVA hors liste (Paramètres)",IF(N(O1147)&gt;25,"Au-delà de 25 lignes : non imprimée","OK")))))))))))))</f>
        <v/>
      </c>
      <c r="O1147" s="59" t="str">
        <f>IF(A1147="","",COUNTIF($A$6:A1147,A1147))</f>
        <v/>
      </c>
      <c r="P1147" s="62" t="str">
        <f>IF(A1147="","",A1147&amp;"|"&amp;O1147)</f>
        <v/>
      </c>
    </row>
    <row r="1148">
      <c r="A1148" s="60" t="n"/>
      <c r="B1148" s="63" t="n"/>
      <c r="C1148" s="63" t="n"/>
      <c r="D1148" s="67" t="n"/>
      <c r="E1148" s="68" t="n"/>
      <c r="F1148" s="69" t="n"/>
      <c r="G1148" s="70" t="n"/>
      <c r="H1148" s="62" t="str">
        <f>IF(COUNTA(A1148:G1148)=0,"",IF(C1148&lt;&gt;"",C1148,IF(B1148="","",IFERROR(INDEX(pr_des,MATCH(B1148,pr_code,0))&amp;"",""))))</f>
        <v/>
      </c>
      <c r="I1148" s="59" t="str">
        <f>IF(B1148="","",IFERROR(INDEX(pr_unit,MATCH(B1148,pr_code,0))&amp;"",""))</f>
        <v/>
      </c>
      <c r="J1148" s="65" t="str">
        <f>IF(COUNTA(A1148:G1148)=0,"",IF(E1148&lt;&gt;"",E1148,IF(B1148="","",IFERROR(IF(INDEX(pr_price,MATCH(B1148,pr_code,0))="","",INDEX(pr_price,MATCH(B1148,pr_code,0))),""))))</f>
        <v/>
      </c>
      <c r="K1148" s="71" t="str">
        <f>IF(COUNTA(A1148:G1148)=0,"",IF(G1148&lt;&gt;"",G1148,IF(B1148="","",IFERROR(IF(INDEX(pr_rate,MATCH(B1148,pr_code,0))="","",INDEX(pr_rate,MATCH(B1148,pr_code,0))),""))))</f>
        <v/>
      </c>
      <c r="L1148" s="65" t="str">
        <f>IF(COUNTA(A1148:G1148)=0,"",IF(AND(ISNUMBER(D1148),ISNUMBER(J1148)),ROUND(D1148*J1148*(1-N(F1148)),2),0))</f>
        <v/>
      </c>
      <c r="M1148" s="62" t="str">
        <f>IF(A1148="","",IFERROR(INDEX(dv_cname,MATCH(A1148,dv_num,0))&amp;"",""))</f>
        <v/>
      </c>
      <c r="N1148" s="59" t="str">
        <f>IF(COUNTA(A1148:G1148)=0,"",IF(A1148="","N° devis manquant",IF(ISNA(MATCH(A1148,dv_num,0)),"Devis inconnu",IF(AND(B1148&lt;&gt;"",ISNA(MATCH(B1148,pr_code,0))),"Article inconnu",IF(H1148="","Désignation manquante",IF(OR(NOT(ISNUMBER(D1148)),N(D1148)&lt;=0),"Quantité invalide",IF(J1148="","Prix manquant",IF(OR(NOT(ISNUMBER(J1148)),N(J1148)&lt;0),"Prix invalide",IF(OR(AND(F1148&lt;&gt;"",NOT(ISNUMBER(F1148))),N(F1148)&lt;0,N(F1148)&gt;1),"Remise invalide",IF(K1148="","Taux de TVA manquant",IF(NOT(ISNUMBER(K1148)),"Taux de TVA invalide",IF(COUNTIF(p_rates,K1148)=0,"Taux de TVA hors liste (Paramètres)",IF(N(O1148)&gt;25,"Au-delà de 25 lignes : non imprimée","OK")))))))))))))</f>
        <v/>
      </c>
      <c r="O1148" s="59" t="str">
        <f>IF(A1148="","",COUNTIF($A$6:A1148,A1148))</f>
        <v/>
      </c>
      <c r="P1148" s="62" t="str">
        <f>IF(A1148="","",A1148&amp;"|"&amp;O1148)</f>
        <v/>
      </c>
    </row>
    <row r="1149">
      <c r="A1149" s="60" t="n"/>
      <c r="B1149" s="63" t="n"/>
      <c r="C1149" s="63" t="n"/>
      <c r="D1149" s="67" t="n"/>
      <c r="E1149" s="68" t="n"/>
      <c r="F1149" s="69" t="n"/>
      <c r="G1149" s="70" t="n"/>
      <c r="H1149" s="62" t="str">
        <f>IF(COUNTA(A1149:G1149)=0,"",IF(C1149&lt;&gt;"",C1149,IF(B1149="","",IFERROR(INDEX(pr_des,MATCH(B1149,pr_code,0))&amp;"",""))))</f>
        <v/>
      </c>
      <c r="I1149" s="59" t="str">
        <f>IF(B1149="","",IFERROR(INDEX(pr_unit,MATCH(B1149,pr_code,0))&amp;"",""))</f>
        <v/>
      </c>
      <c r="J1149" s="65" t="str">
        <f>IF(COUNTA(A1149:G1149)=0,"",IF(E1149&lt;&gt;"",E1149,IF(B1149="","",IFERROR(IF(INDEX(pr_price,MATCH(B1149,pr_code,0))="","",INDEX(pr_price,MATCH(B1149,pr_code,0))),""))))</f>
        <v/>
      </c>
      <c r="K1149" s="71" t="str">
        <f>IF(COUNTA(A1149:G1149)=0,"",IF(G1149&lt;&gt;"",G1149,IF(B1149="","",IFERROR(IF(INDEX(pr_rate,MATCH(B1149,pr_code,0))="","",INDEX(pr_rate,MATCH(B1149,pr_code,0))),""))))</f>
        <v/>
      </c>
      <c r="L1149" s="65" t="str">
        <f>IF(COUNTA(A1149:G1149)=0,"",IF(AND(ISNUMBER(D1149),ISNUMBER(J1149)),ROUND(D1149*J1149*(1-N(F1149)),2),0))</f>
        <v/>
      </c>
      <c r="M1149" s="62" t="str">
        <f>IF(A1149="","",IFERROR(INDEX(dv_cname,MATCH(A1149,dv_num,0))&amp;"",""))</f>
        <v/>
      </c>
      <c r="N1149" s="59" t="str">
        <f>IF(COUNTA(A1149:G1149)=0,"",IF(A1149="","N° devis manquant",IF(ISNA(MATCH(A1149,dv_num,0)),"Devis inconnu",IF(AND(B1149&lt;&gt;"",ISNA(MATCH(B1149,pr_code,0))),"Article inconnu",IF(H1149="","Désignation manquante",IF(OR(NOT(ISNUMBER(D1149)),N(D1149)&lt;=0),"Quantité invalide",IF(J1149="","Prix manquant",IF(OR(NOT(ISNUMBER(J1149)),N(J1149)&lt;0),"Prix invalide",IF(OR(AND(F1149&lt;&gt;"",NOT(ISNUMBER(F1149))),N(F1149)&lt;0,N(F1149)&gt;1),"Remise invalide",IF(K1149="","Taux de TVA manquant",IF(NOT(ISNUMBER(K1149)),"Taux de TVA invalide",IF(COUNTIF(p_rates,K1149)=0,"Taux de TVA hors liste (Paramètres)",IF(N(O1149)&gt;25,"Au-delà de 25 lignes : non imprimée","OK")))))))))))))</f>
        <v/>
      </c>
      <c r="O1149" s="59" t="str">
        <f>IF(A1149="","",COUNTIF($A$6:A1149,A1149))</f>
        <v/>
      </c>
      <c r="P1149" s="62" t="str">
        <f>IF(A1149="","",A1149&amp;"|"&amp;O1149)</f>
        <v/>
      </c>
    </row>
    <row r="1150">
      <c r="A1150" s="60" t="n"/>
      <c r="B1150" s="63" t="n"/>
      <c r="C1150" s="63" t="n"/>
      <c r="D1150" s="67" t="n"/>
      <c r="E1150" s="68" t="n"/>
      <c r="F1150" s="69" t="n"/>
      <c r="G1150" s="70" t="n"/>
      <c r="H1150" s="62" t="str">
        <f>IF(COUNTA(A1150:G1150)=0,"",IF(C1150&lt;&gt;"",C1150,IF(B1150="","",IFERROR(INDEX(pr_des,MATCH(B1150,pr_code,0))&amp;"",""))))</f>
        <v/>
      </c>
      <c r="I1150" s="59" t="str">
        <f>IF(B1150="","",IFERROR(INDEX(pr_unit,MATCH(B1150,pr_code,0))&amp;"",""))</f>
        <v/>
      </c>
      <c r="J1150" s="65" t="str">
        <f>IF(COUNTA(A1150:G1150)=0,"",IF(E1150&lt;&gt;"",E1150,IF(B1150="","",IFERROR(IF(INDEX(pr_price,MATCH(B1150,pr_code,0))="","",INDEX(pr_price,MATCH(B1150,pr_code,0))),""))))</f>
        <v/>
      </c>
      <c r="K1150" s="71" t="str">
        <f>IF(COUNTA(A1150:G1150)=0,"",IF(G1150&lt;&gt;"",G1150,IF(B1150="","",IFERROR(IF(INDEX(pr_rate,MATCH(B1150,pr_code,0))="","",INDEX(pr_rate,MATCH(B1150,pr_code,0))),""))))</f>
        <v/>
      </c>
      <c r="L1150" s="65" t="str">
        <f>IF(COUNTA(A1150:G1150)=0,"",IF(AND(ISNUMBER(D1150),ISNUMBER(J1150)),ROUND(D1150*J1150*(1-N(F1150)),2),0))</f>
        <v/>
      </c>
      <c r="M1150" s="62" t="str">
        <f>IF(A1150="","",IFERROR(INDEX(dv_cname,MATCH(A1150,dv_num,0))&amp;"",""))</f>
        <v/>
      </c>
      <c r="N1150" s="59" t="str">
        <f>IF(COUNTA(A1150:G1150)=0,"",IF(A1150="","N° devis manquant",IF(ISNA(MATCH(A1150,dv_num,0)),"Devis inconnu",IF(AND(B1150&lt;&gt;"",ISNA(MATCH(B1150,pr_code,0))),"Article inconnu",IF(H1150="","Désignation manquante",IF(OR(NOT(ISNUMBER(D1150)),N(D1150)&lt;=0),"Quantité invalide",IF(J1150="","Prix manquant",IF(OR(NOT(ISNUMBER(J1150)),N(J1150)&lt;0),"Prix invalide",IF(OR(AND(F1150&lt;&gt;"",NOT(ISNUMBER(F1150))),N(F1150)&lt;0,N(F1150)&gt;1),"Remise invalide",IF(K1150="","Taux de TVA manquant",IF(NOT(ISNUMBER(K1150)),"Taux de TVA invalide",IF(COUNTIF(p_rates,K1150)=0,"Taux de TVA hors liste (Paramètres)",IF(N(O1150)&gt;25,"Au-delà de 25 lignes : non imprimée","OK")))))))))))))</f>
        <v/>
      </c>
      <c r="O1150" s="59" t="str">
        <f>IF(A1150="","",COUNTIF($A$6:A1150,A1150))</f>
        <v/>
      </c>
      <c r="P1150" s="62" t="str">
        <f>IF(A1150="","",A1150&amp;"|"&amp;O1150)</f>
        <v/>
      </c>
    </row>
    <row r="1151">
      <c r="A1151" s="60" t="n"/>
      <c r="B1151" s="63" t="n"/>
      <c r="C1151" s="63" t="n"/>
      <c r="D1151" s="67" t="n"/>
      <c r="E1151" s="68" t="n"/>
      <c r="F1151" s="69" t="n"/>
      <c r="G1151" s="70" t="n"/>
      <c r="H1151" s="62" t="str">
        <f>IF(COUNTA(A1151:G1151)=0,"",IF(C1151&lt;&gt;"",C1151,IF(B1151="","",IFERROR(INDEX(pr_des,MATCH(B1151,pr_code,0))&amp;"",""))))</f>
        <v/>
      </c>
      <c r="I1151" s="59" t="str">
        <f>IF(B1151="","",IFERROR(INDEX(pr_unit,MATCH(B1151,pr_code,0))&amp;"",""))</f>
        <v/>
      </c>
      <c r="J1151" s="65" t="str">
        <f>IF(COUNTA(A1151:G1151)=0,"",IF(E1151&lt;&gt;"",E1151,IF(B1151="","",IFERROR(IF(INDEX(pr_price,MATCH(B1151,pr_code,0))="","",INDEX(pr_price,MATCH(B1151,pr_code,0))),""))))</f>
        <v/>
      </c>
      <c r="K1151" s="71" t="str">
        <f>IF(COUNTA(A1151:G1151)=0,"",IF(G1151&lt;&gt;"",G1151,IF(B1151="","",IFERROR(IF(INDEX(pr_rate,MATCH(B1151,pr_code,0))="","",INDEX(pr_rate,MATCH(B1151,pr_code,0))),""))))</f>
        <v/>
      </c>
      <c r="L1151" s="65" t="str">
        <f>IF(COUNTA(A1151:G1151)=0,"",IF(AND(ISNUMBER(D1151),ISNUMBER(J1151)),ROUND(D1151*J1151*(1-N(F1151)),2),0))</f>
        <v/>
      </c>
      <c r="M1151" s="62" t="str">
        <f>IF(A1151="","",IFERROR(INDEX(dv_cname,MATCH(A1151,dv_num,0))&amp;"",""))</f>
        <v/>
      </c>
      <c r="N1151" s="59" t="str">
        <f>IF(COUNTA(A1151:G1151)=0,"",IF(A1151="","N° devis manquant",IF(ISNA(MATCH(A1151,dv_num,0)),"Devis inconnu",IF(AND(B1151&lt;&gt;"",ISNA(MATCH(B1151,pr_code,0))),"Article inconnu",IF(H1151="","Désignation manquante",IF(OR(NOT(ISNUMBER(D1151)),N(D1151)&lt;=0),"Quantité invalide",IF(J1151="","Prix manquant",IF(OR(NOT(ISNUMBER(J1151)),N(J1151)&lt;0),"Prix invalide",IF(OR(AND(F1151&lt;&gt;"",NOT(ISNUMBER(F1151))),N(F1151)&lt;0,N(F1151)&gt;1),"Remise invalide",IF(K1151="","Taux de TVA manquant",IF(NOT(ISNUMBER(K1151)),"Taux de TVA invalide",IF(COUNTIF(p_rates,K1151)=0,"Taux de TVA hors liste (Paramètres)",IF(N(O1151)&gt;25,"Au-delà de 25 lignes : non imprimée","OK")))))))))))))</f>
        <v/>
      </c>
      <c r="O1151" s="59" t="str">
        <f>IF(A1151="","",COUNTIF($A$6:A1151,A1151))</f>
        <v/>
      </c>
      <c r="P1151" s="62" t="str">
        <f>IF(A1151="","",A1151&amp;"|"&amp;O1151)</f>
        <v/>
      </c>
    </row>
    <row r="1152">
      <c r="A1152" s="60" t="n"/>
      <c r="B1152" s="63" t="n"/>
      <c r="C1152" s="63" t="n"/>
      <c r="D1152" s="67" t="n"/>
      <c r="E1152" s="68" t="n"/>
      <c r="F1152" s="69" t="n"/>
      <c r="G1152" s="70" t="n"/>
      <c r="H1152" s="62" t="str">
        <f>IF(COUNTA(A1152:G1152)=0,"",IF(C1152&lt;&gt;"",C1152,IF(B1152="","",IFERROR(INDEX(pr_des,MATCH(B1152,pr_code,0))&amp;"",""))))</f>
        <v/>
      </c>
      <c r="I1152" s="59" t="str">
        <f>IF(B1152="","",IFERROR(INDEX(pr_unit,MATCH(B1152,pr_code,0))&amp;"",""))</f>
        <v/>
      </c>
      <c r="J1152" s="65" t="str">
        <f>IF(COUNTA(A1152:G1152)=0,"",IF(E1152&lt;&gt;"",E1152,IF(B1152="","",IFERROR(IF(INDEX(pr_price,MATCH(B1152,pr_code,0))="","",INDEX(pr_price,MATCH(B1152,pr_code,0))),""))))</f>
        <v/>
      </c>
      <c r="K1152" s="71" t="str">
        <f>IF(COUNTA(A1152:G1152)=0,"",IF(G1152&lt;&gt;"",G1152,IF(B1152="","",IFERROR(IF(INDEX(pr_rate,MATCH(B1152,pr_code,0))="","",INDEX(pr_rate,MATCH(B1152,pr_code,0))),""))))</f>
        <v/>
      </c>
      <c r="L1152" s="65" t="str">
        <f>IF(COUNTA(A1152:G1152)=0,"",IF(AND(ISNUMBER(D1152),ISNUMBER(J1152)),ROUND(D1152*J1152*(1-N(F1152)),2),0))</f>
        <v/>
      </c>
      <c r="M1152" s="62" t="str">
        <f>IF(A1152="","",IFERROR(INDEX(dv_cname,MATCH(A1152,dv_num,0))&amp;"",""))</f>
        <v/>
      </c>
      <c r="N1152" s="59" t="str">
        <f>IF(COUNTA(A1152:G1152)=0,"",IF(A1152="","N° devis manquant",IF(ISNA(MATCH(A1152,dv_num,0)),"Devis inconnu",IF(AND(B1152&lt;&gt;"",ISNA(MATCH(B1152,pr_code,0))),"Article inconnu",IF(H1152="","Désignation manquante",IF(OR(NOT(ISNUMBER(D1152)),N(D1152)&lt;=0),"Quantité invalide",IF(J1152="","Prix manquant",IF(OR(NOT(ISNUMBER(J1152)),N(J1152)&lt;0),"Prix invalide",IF(OR(AND(F1152&lt;&gt;"",NOT(ISNUMBER(F1152))),N(F1152)&lt;0,N(F1152)&gt;1),"Remise invalide",IF(K1152="","Taux de TVA manquant",IF(NOT(ISNUMBER(K1152)),"Taux de TVA invalide",IF(COUNTIF(p_rates,K1152)=0,"Taux de TVA hors liste (Paramètres)",IF(N(O1152)&gt;25,"Au-delà de 25 lignes : non imprimée","OK")))))))))))))</f>
        <v/>
      </c>
      <c r="O1152" s="59" t="str">
        <f>IF(A1152="","",COUNTIF($A$6:A1152,A1152))</f>
        <v/>
      </c>
      <c r="P1152" s="62" t="str">
        <f>IF(A1152="","",A1152&amp;"|"&amp;O1152)</f>
        <v/>
      </c>
    </row>
    <row r="1153">
      <c r="A1153" s="60" t="n"/>
      <c r="B1153" s="63" t="n"/>
      <c r="C1153" s="63" t="n"/>
      <c r="D1153" s="67" t="n"/>
      <c r="E1153" s="68" t="n"/>
      <c r="F1153" s="69" t="n"/>
      <c r="G1153" s="70" t="n"/>
      <c r="H1153" s="62" t="str">
        <f>IF(COUNTA(A1153:G1153)=0,"",IF(C1153&lt;&gt;"",C1153,IF(B1153="","",IFERROR(INDEX(pr_des,MATCH(B1153,pr_code,0))&amp;"",""))))</f>
        <v/>
      </c>
      <c r="I1153" s="59" t="str">
        <f>IF(B1153="","",IFERROR(INDEX(pr_unit,MATCH(B1153,pr_code,0))&amp;"",""))</f>
        <v/>
      </c>
      <c r="J1153" s="65" t="str">
        <f>IF(COUNTA(A1153:G1153)=0,"",IF(E1153&lt;&gt;"",E1153,IF(B1153="","",IFERROR(IF(INDEX(pr_price,MATCH(B1153,pr_code,0))="","",INDEX(pr_price,MATCH(B1153,pr_code,0))),""))))</f>
        <v/>
      </c>
      <c r="K1153" s="71" t="str">
        <f>IF(COUNTA(A1153:G1153)=0,"",IF(G1153&lt;&gt;"",G1153,IF(B1153="","",IFERROR(IF(INDEX(pr_rate,MATCH(B1153,pr_code,0))="","",INDEX(pr_rate,MATCH(B1153,pr_code,0))),""))))</f>
        <v/>
      </c>
      <c r="L1153" s="65" t="str">
        <f>IF(COUNTA(A1153:G1153)=0,"",IF(AND(ISNUMBER(D1153),ISNUMBER(J1153)),ROUND(D1153*J1153*(1-N(F1153)),2),0))</f>
        <v/>
      </c>
      <c r="M1153" s="62" t="str">
        <f>IF(A1153="","",IFERROR(INDEX(dv_cname,MATCH(A1153,dv_num,0))&amp;"",""))</f>
        <v/>
      </c>
      <c r="N1153" s="59" t="str">
        <f>IF(COUNTA(A1153:G1153)=0,"",IF(A1153="","N° devis manquant",IF(ISNA(MATCH(A1153,dv_num,0)),"Devis inconnu",IF(AND(B1153&lt;&gt;"",ISNA(MATCH(B1153,pr_code,0))),"Article inconnu",IF(H1153="","Désignation manquante",IF(OR(NOT(ISNUMBER(D1153)),N(D1153)&lt;=0),"Quantité invalide",IF(J1153="","Prix manquant",IF(OR(NOT(ISNUMBER(J1153)),N(J1153)&lt;0),"Prix invalide",IF(OR(AND(F1153&lt;&gt;"",NOT(ISNUMBER(F1153))),N(F1153)&lt;0,N(F1153)&gt;1),"Remise invalide",IF(K1153="","Taux de TVA manquant",IF(NOT(ISNUMBER(K1153)),"Taux de TVA invalide",IF(COUNTIF(p_rates,K1153)=0,"Taux de TVA hors liste (Paramètres)",IF(N(O1153)&gt;25,"Au-delà de 25 lignes : non imprimée","OK")))))))))))))</f>
        <v/>
      </c>
      <c r="O1153" s="59" t="str">
        <f>IF(A1153="","",COUNTIF($A$6:A1153,A1153))</f>
        <v/>
      </c>
      <c r="P1153" s="62" t="str">
        <f>IF(A1153="","",A1153&amp;"|"&amp;O1153)</f>
        <v/>
      </c>
    </row>
    <row r="1154">
      <c r="A1154" s="60" t="n"/>
      <c r="B1154" s="63" t="n"/>
      <c r="C1154" s="63" t="n"/>
      <c r="D1154" s="67" t="n"/>
      <c r="E1154" s="68" t="n"/>
      <c r="F1154" s="69" t="n"/>
      <c r="G1154" s="70" t="n"/>
      <c r="H1154" s="62" t="str">
        <f>IF(COUNTA(A1154:G1154)=0,"",IF(C1154&lt;&gt;"",C1154,IF(B1154="","",IFERROR(INDEX(pr_des,MATCH(B1154,pr_code,0))&amp;"",""))))</f>
        <v/>
      </c>
      <c r="I1154" s="59" t="str">
        <f>IF(B1154="","",IFERROR(INDEX(pr_unit,MATCH(B1154,pr_code,0))&amp;"",""))</f>
        <v/>
      </c>
      <c r="J1154" s="65" t="str">
        <f>IF(COUNTA(A1154:G1154)=0,"",IF(E1154&lt;&gt;"",E1154,IF(B1154="","",IFERROR(IF(INDEX(pr_price,MATCH(B1154,pr_code,0))="","",INDEX(pr_price,MATCH(B1154,pr_code,0))),""))))</f>
        <v/>
      </c>
      <c r="K1154" s="71" t="str">
        <f>IF(COUNTA(A1154:G1154)=0,"",IF(G1154&lt;&gt;"",G1154,IF(B1154="","",IFERROR(IF(INDEX(pr_rate,MATCH(B1154,pr_code,0))="","",INDEX(pr_rate,MATCH(B1154,pr_code,0))),""))))</f>
        <v/>
      </c>
      <c r="L1154" s="65" t="str">
        <f>IF(COUNTA(A1154:G1154)=0,"",IF(AND(ISNUMBER(D1154),ISNUMBER(J1154)),ROUND(D1154*J1154*(1-N(F1154)),2),0))</f>
        <v/>
      </c>
      <c r="M1154" s="62" t="str">
        <f>IF(A1154="","",IFERROR(INDEX(dv_cname,MATCH(A1154,dv_num,0))&amp;"",""))</f>
        <v/>
      </c>
      <c r="N1154" s="59" t="str">
        <f>IF(COUNTA(A1154:G1154)=0,"",IF(A1154="","N° devis manquant",IF(ISNA(MATCH(A1154,dv_num,0)),"Devis inconnu",IF(AND(B1154&lt;&gt;"",ISNA(MATCH(B1154,pr_code,0))),"Article inconnu",IF(H1154="","Désignation manquante",IF(OR(NOT(ISNUMBER(D1154)),N(D1154)&lt;=0),"Quantité invalide",IF(J1154="","Prix manquant",IF(OR(NOT(ISNUMBER(J1154)),N(J1154)&lt;0),"Prix invalide",IF(OR(AND(F1154&lt;&gt;"",NOT(ISNUMBER(F1154))),N(F1154)&lt;0,N(F1154)&gt;1),"Remise invalide",IF(K1154="","Taux de TVA manquant",IF(NOT(ISNUMBER(K1154)),"Taux de TVA invalide",IF(COUNTIF(p_rates,K1154)=0,"Taux de TVA hors liste (Paramètres)",IF(N(O1154)&gt;25,"Au-delà de 25 lignes : non imprimée","OK")))))))))))))</f>
        <v/>
      </c>
      <c r="O1154" s="59" t="str">
        <f>IF(A1154="","",COUNTIF($A$6:A1154,A1154))</f>
        <v/>
      </c>
      <c r="P1154" s="62" t="str">
        <f>IF(A1154="","",A1154&amp;"|"&amp;O1154)</f>
        <v/>
      </c>
    </row>
    <row r="1155">
      <c r="A1155" s="60" t="n"/>
      <c r="B1155" s="63" t="n"/>
      <c r="C1155" s="63" t="n"/>
      <c r="D1155" s="67" t="n"/>
      <c r="E1155" s="68" t="n"/>
      <c r="F1155" s="69" t="n"/>
      <c r="G1155" s="70" t="n"/>
      <c r="H1155" s="62" t="str">
        <f>IF(COUNTA(A1155:G1155)=0,"",IF(C1155&lt;&gt;"",C1155,IF(B1155="","",IFERROR(INDEX(pr_des,MATCH(B1155,pr_code,0))&amp;"",""))))</f>
        <v/>
      </c>
      <c r="I1155" s="59" t="str">
        <f>IF(B1155="","",IFERROR(INDEX(pr_unit,MATCH(B1155,pr_code,0))&amp;"",""))</f>
        <v/>
      </c>
      <c r="J1155" s="65" t="str">
        <f>IF(COUNTA(A1155:G1155)=0,"",IF(E1155&lt;&gt;"",E1155,IF(B1155="","",IFERROR(IF(INDEX(pr_price,MATCH(B1155,pr_code,0))="","",INDEX(pr_price,MATCH(B1155,pr_code,0))),""))))</f>
        <v/>
      </c>
      <c r="K1155" s="71" t="str">
        <f>IF(COUNTA(A1155:G1155)=0,"",IF(G1155&lt;&gt;"",G1155,IF(B1155="","",IFERROR(IF(INDEX(pr_rate,MATCH(B1155,pr_code,0))="","",INDEX(pr_rate,MATCH(B1155,pr_code,0))),""))))</f>
        <v/>
      </c>
      <c r="L1155" s="65" t="str">
        <f>IF(COUNTA(A1155:G1155)=0,"",IF(AND(ISNUMBER(D1155),ISNUMBER(J1155)),ROUND(D1155*J1155*(1-N(F1155)),2),0))</f>
        <v/>
      </c>
      <c r="M1155" s="62" t="str">
        <f>IF(A1155="","",IFERROR(INDEX(dv_cname,MATCH(A1155,dv_num,0))&amp;"",""))</f>
        <v/>
      </c>
      <c r="N1155" s="59" t="str">
        <f>IF(COUNTA(A1155:G1155)=0,"",IF(A1155="","N° devis manquant",IF(ISNA(MATCH(A1155,dv_num,0)),"Devis inconnu",IF(AND(B1155&lt;&gt;"",ISNA(MATCH(B1155,pr_code,0))),"Article inconnu",IF(H1155="","Désignation manquante",IF(OR(NOT(ISNUMBER(D1155)),N(D1155)&lt;=0),"Quantité invalide",IF(J1155="","Prix manquant",IF(OR(NOT(ISNUMBER(J1155)),N(J1155)&lt;0),"Prix invalide",IF(OR(AND(F1155&lt;&gt;"",NOT(ISNUMBER(F1155))),N(F1155)&lt;0,N(F1155)&gt;1),"Remise invalide",IF(K1155="","Taux de TVA manquant",IF(NOT(ISNUMBER(K1155)),"Taux de TVA invalide",IF(COUNTIF(p_rates,K1155)=0,"Taux de TVA hors liste (Paramètres)",IF(N(O1155)&gt;25,"Au-delà de 25 lignes : non imprimée","OK")))))))))))))</f>
        <v/>
      </c>
      <c r="O1155" s="59" t="str">
        <f>IF(A1155="","",COUNTIF($A$6:A1155,A1155))</f>
        <v/>
      </c>
      <c r="P1155" s="62" t="str">
        <f>IF(A1155="","",A1155&amp;"|"&amp;O1155)</f>
        <v/>
      </c>
    </row>
    <row r="1156">
      <c r="A1156" s="60" t="n"/>
      <c r="B1156" s="63" t="n"/>
      <c r="C1156" s="63" t="n"/>
      <c r="D1156" s="67" t="n"/>
      <c r="E1156" s="68" t="n"/>
      <c r="F1156" s="69" t="n"/>
      <c r="G1156" s="70" t="n"/>
      <c r="H1156" s="62" t="str">
        <f>IF(COUNTA(A1156:G1156)=0,"",IF(C1156&lt;&gt;"",C1156,IF(B1156="","",IFERROR(INDEX(pr_des,MATCH(B1156,pr_code,0))&amp;"",""))))</f>
        <v/>
      </c>
      <c r="I1156" s="59" t="str">
        <f>IF(B1156="","",IFERROR(INDEX(pr_unit,MATCH(B1156,pr_code,0))&amp;"",""))</f>
        <v/>
      </c>
      <c r="J1156" s="65" t="str">
        <f>IF(COUNTA(A1156:G1156)=0,"",IF(E1156&lt;&gt;"",E1156,IF(B1156="","",IFERROR(IF(INDEX(pr_price,MATCH(B1156,pr_code,0))="","",INDEX(pr_price,MATCH(B1156,pr_code,0))),""))))</f>
        <v/>
      </c>
      <c r="K1156" s="71" t="str">
        <f>IF(COUNTA(A1156:G1156)=0,"",IF(G1156&lt;&gt;"",G1156,IF(B1156="","",IFERROR(IF(INDEX(pr_rate,MATCH(B1156,pr_code,0))="","",INDEX(pr_rate,MATCH(B1156,pr_code,0))),""))))</f>
        <v/>
      </c>
      <c r="L1156" s="65" t="str">
        <f>IF(COUNTA(A1156:G1156)=0,"",IF(AND(ISNUMBER(D1156),ISNUMBER(J1156)),ROUND(D1156*J1156*(1-N(F1156)),2),0))</f>
        <v/>
      </c>
      <c r="M1156" s="62" t="str">
        <f>IF(A1156="","",IFERROR(INDEX(dv_cname,MATCH(A1156,dv_num,0))&amp;"",""))</f>
        <v/>
      </c>
      <c r="N1156" s="59" t="str">
        <f>IF(COUNTA(A1156:G1156)=0,"",IF(A1156="","N° devis manquant",IF(ISNA(MATCH(A1156,dv_num,0)),"Devis inconnu",IF(AND(B1156&lt;&gt;"",ISNA(MATCH(B1156,pr_code,0))),"Article inconnu",IF(H1156="","Désignation manquante",IF(OR(NOT(ISNUMBER(D1156)),N(D1156)&lt;=0),"Quantité invalide",IF(J1156="","Prix manquant",IF(OR(NOT(ISNUMBER(J1156)),N(J1156)&lt;0),"Prix invalide",IF(OR(AND(F1156&lt;&gt;"",NOT(ISNUMBER(F1156))),N(F1156)&lt;0,N(F1156)&gt;1),"Remise invalide",IF(K1156="","Taux de TVA manquant",IF(NOT(ISNUMBER(K1156)),"Taux de TVA invalide",IF(COUNTIF(p_rates,K1156)=0,"Taux de TVA hors liste (Paramètres)",IF(N(O1156)&gt;25,"Au-delà de 25 lignes : non imprimée","OK")))))))))))))</f>
        <v/>
      </c>
      <c r="O1156" s="59" t="str">
        <f>IF(A1156="","",COUNTIF($A$6:A1156,A1156))</f>
        <v/>
      </c>
      <c r="P1156" s="62" t="str">
        <f>IF(A1156="","",A1156&amp;"|"&amp;O1156)</f>
        <v/>
      </c>
    </row>
    <row r="1157">
      <c r="A1157" s="60" t="n"/>
      <c r="B1157" s="63" t="n"/>
      <c r="C1157" s="63" t="n"/>
      <c r="D1157" s="67" t="n"/>
      <c r="E1157" s="68" t="n"/>
      <c r="F1157" s="69" t="n"/>
      <c r="G1157" s="70" t="n"/>
      <c r="H1157" s="62" t="str">
        <f>IF(COUNTA(A1157:G1157)=0,"",IF(C1157&lt;&gt;"",C1157,IF(B1157="","",IFERROR(INDEX(pr_des,MATCH(B1157,pr_code,0))&amp;"",""))))</f>
        <v/>
      </c>
      <c r="I1157" s="59" t="str">
        <f>IF(B1157="","",IFERROR(INDEX(pr_unit,MATCH(B1157,pr_code,0))&amp;"",""))</f>
        <v/>
      </c>
      <c r="J1157" s="65" t="str">
        <f>IF(COUNTA(A1157:G1157)=0,"",IF(E1157&lt;&gt;"",E1157,IF(B1157="","",IFERROR(IF(INDEX(pr_price,MATCH(B1157,pr_code,0))="","",INDEX(pr_price,MATCH(B1157,pr_code,0))),""))))</f>
        <v/>
      </c>
      <c r="K1157" s="71" t="str">
        <f>IF(COUNTA(A1157:G1157)=0,"",IF(G1157&lt;&gt;"",G1157,IF(B1157="","",IFERROR(IF(INDEX(pr_rate,MATCH(B1157,pr_code,0))="","",INDEX(pr_rate,MATCH(B1157,pr_code,0))),""))))</f>
        <v/>
      </c>
      <c r="L1157" s="65" t="str">
        <f>IF(COUNTA(A1157:G1157)=0,"",IF(AND(ISNUMBER(D1157),ISNUMBER(J1157)),ROUND(D1157*J1157*(1-N(F1157)),2),0))</f>
        <v/>
      </c>
      <c r="M1157" s="62" t="str">
        <f>IF(A1157="","",IFERROR(INDEX(dv_cname,MATCH(A1157,dv_num,0))&amp;"",""))</f>
        <v/>
      </c>
      <c r="N1157" s="59" t="str">
        <f>IF(COUNTA(A1157:G1157)=0,"",IF(A1157="","N° devis manquant",IF(ISNA(MATCH(A1157,dv_num,0)),"Devis inconnu",IF(AND(B1157&lt;&gt;"",ISNA(MATCH(B1157,pr_code,0))),"Article inconnu",IF(H1157="","Désignation manquante",IF(OR(NOT(ISNUMBER(D1157)),N(D1157)&lt;=0),"Quantité invalide",IF(J1157="","Prix manquant",IF(OR(NOT(ISNUMBER(J1157)),N(J1157)&lt;0),"Prix invalide",IF(OR(AND(F1157&lt;&gt;"",NOT(ISNUMBER(F1157))),N(F1157)&lt;0,N(F1157)&gt;1),"Remise invalide",IF(K1157="","Taux de TVA manquant",IF(NOT(ISNUMBER(K1157)),"Taux de TVA invalide",IF(COUNTIF(p_rates,K1157)=0,"Taux de TVA hors liste (Paramètres)",IF(N(O1157)&gt;25,"Au-delà de 25 lignes : non imprimée","OK")))))))))))))</f>
        <v/>
      </c>
      <c r="O1157" s="59" t="str">
        <f>IF(A1157="","",COUNTIF($A$6:A1157,A1157))</f>
        <v/>
      </c>
      <c r="P1157" s="62" t="str">
        <f>IF(A1157="","",A1157&amp;"|"&amp;O1157)</f>
        <v/>
      </c>
    </row>
    <row r="1158">
      <c r="A1158" s="60" t="n"/>
      <c r="B1158" s="63" t="n"/>
      <c r="C1158" s="63" t="n"/>
      <c r="D1158" s="67" t="n"/>
      <c r="E1158" s="68" t="n"/>
      <c r="F1158" s="69" t="n"/>
      <c r="G1158" s="70" t="n"/>
      <c r="H1158" s="62" t="str">
        <f>IF(COUNTA(A1158:G1158)=0,"",IF(C1158&lt;&gt;"",C1158,IF(B1158="","",IFERROR(INDEX(pr_des,MATCH(B1158,pr_code,0))&amp;"",""))))</f>
        <v/>
      </c>
      <c r="I1158" s="59" t="str">
        <f>IF(B1158="","",IFERROR(INDEX(pr_unit,MATCH(B1158,pr_code,0))&amp;"",""))</f>
        <v/>
      </c>
      <c r="J1158" s="65" t="str">
        <f>IF(COUNTA(A1158:G1158)=0,"",IF(E1158&lt;&gt;"",E1158,IF(B1158="","",IFERROR(IF(INDEX(pr_price,MATCH(B1158,pr_code,0))="","",INDEX(pr_price,MATCH(B1158,pr_code,0))),""))))</f>
        <v/>
      </c>
      <c r="K1158" s="71" t="str">
        <f>IF(COUNTA(A1158:G1158)=0,"",IF(G1158&lt;&gt;"",G1158,IF(B1158="","",IFERROR(IF(INDEX(pr_rate,MATCH(B1158,pr_code,0))="","",INDEX(pr_rate,MATCH(B1158,pr_code,0))),""))))</f>
        <v/>
      </c>
      <c r="L1158" s="65" t="str">
        <f>IF(COUNTA(A1158:G1158)=0,"",IF(AND(ISNUMBER(D1158),ISNUMBER(J1158)),ROUND(D1158*J1158*(1-N(F1158)),2),0))</f>
        <v/>
      </c>
      <c r="M1158" s="62" t="str">
        <f>IF(A1158="","",IFERROR(INDEX(dv_cname,MATCH(A1158,dv_num,0))&amp;"",""))</f>
        <v/>
      </c>
      <c r="N1158" s="59" t="str">
        <f>IF(COUNTA(A1158:G1158)=0,"",IF(A1158="","N° devis manquant",IF(ISNA(MATCH(A1158,dv_num,0)),"Devis inconnu",IF(AND(B1158&lt;&gt;"",ISNA(MATCH(B1158,pr_code,0))),"Article inconnu",IF(H1158="","Désignation manquante",IF(OR(NOT(ISNUMBER(D1158)),N(D1158)&lt;=0),"Quantité invalide",IF(J1158="","Prix manquant",IF(OR(NOT(ISNUMBER(J1158)),N(J1158)&lt;0),"Prix invalide",IF(OR(AND(F1158&lt;&gt;"",NOT(ISNUMBER(F1158))),N(F1158)&lt;0,N(F1158)&gt;1),"Remise invalide",IF(K1158="","Taux de TVA manquant",IF(NOT(ISNUMBER(K1158)),"Taux de TVA invalide",IF(COUNTIF(p_rates,K1158)=0,"Taux de TVA hors liste (Paramètres)",IF(N(O1158)&gt;25,"Au-delà de 25 lignes : non imprimée","OK")))))))))))))</f>
        <v/>
      </c>
      <c r="O1158" s="59" t="str">
        <f>IF(A1158="","",COUNTIF($A$6:A1158,A1158))</f>
        <v/>
      </c>
      <c r="P1158" s="62" t="str">
        <f>IF(A1158="","",A1158&amp;"|"&amp;O1158)</f>
        <v/>
      </c>
    </row>
    <row r="1159">
      <c r="A1159" s="60" t="n"/>
      <c r="B1159" s="63" t="n"/>
      <c r="C1159" s="63" t="n"/>
      <c r="D1159" s="67" t="n"/>
      <c r="E1159" s="68" t="n"/>
      <c r="F1159" s="69" t="n"/>
      <c r="G1159" s="70" t="n"/>
      <c r="H1159" s="62" t="str">
        <f>IF(COUNTA(A1159:G1159)=0,"",IF(C1159&lt;&gt;"",C1159,IF(B1159="","",IFERROR(INDEX(pr_des,MATCH(B1159,pr_code,0))&amp;"",""))))</f>
        <v/>
      </c>
      <c r="I1159" s="59" t="str">
        <f>IF(B1159="","",IFERROR(INDEX(pr_unit,MATCH(B1159,pr_code,0))&amp;"",""))</f>
        <v/>
      </c>
      <c r="J1159" s="65" t="str">
        <f>IF(COUNTA(A1159:G1159)=0,"",IF(E1159&lt;&gt;"",E1159,IF(B1159="","",IFERROR(IF(INDEX(pr_price,MATCH(B1159,pr_code,0))="","",INDEX(pr_price,MATCH(B1159,pr_code,0))),""))))</f>
        <v/>
      </c>
      <c r="K1159" s="71" t="str">
        <f>IF(COUNTA(A1159:G1159)=0,"",IF(G1159&lt;&gt;"",G1159,IF(B1159="","",IFERROR(IF(INDEX(pr_rate,MATCH(B1159,pr_code,0))="","",INDEX(pr_rate,MATCH(B1159,pr_code,0))),""))))</f>
        <v/>
      </c>
      <c r="L1159" s="65" t="str">
        <f>IF(COUNTA(A1159:G1159)=0,"",IF(AND(ISNUMBER(D1159),ISNUMBER(J1159)),ROUND(D1159*J1159*(1-N(F1159)),2),0))</f>
        <v/>
      </c>
      <c r="M1159" s="62" t="str">
        <f>IF(A1159="","",IFERROR(INDEX(dv_cname,MATCH(A1159,dv_num,0))&amp;"",""))</f>
        <v/>
      </c>
      <c r="N1159" s="59" t="str">
        <f>IF(COUNTA(A1159:G1159)=0,"",IF(A1159="","N° devis manquant",IF(ISNA(MATCH(A1159,dv_num,0)),"Devis inconnu",IF(AND(B1159&lt;&gt;"",ISNA(MATCH(B1159,pr_code,0))),"Article inconnu",IF(H1159="","Désignation manquante",IF(OR(NOT(ISNUMBER(D1159)),N(D1159)&lt;=0),"Quantité invalide",IF(J1159="","Prix manquant",IF(OR(NOT(ISNUMBER(J1159)),N(J1159)&lt;0),"Prix invalide",IF(OR(AND(F1159&lt;&gt;"",NOT(ISNUMBER(F1159))),N(F1159)&lt;0,N(F1159)&gt;1),"Remise invalide",IF(K1159="","Taux de TVA manquant",IF(NOT(ISNUMBER(K1159)),"Taux de TVA invalide",IF(COUNTIF(p_rates,K1159)=0,"Taux de TVA hors liste (Paramètres)",IF(N(O1159)&gt;25,"Au-delà de 25 lignes : non imprimée","OK")))))))))))))</f>
        <v/>
      </c>
      <c r="O1159" s="59" t="str">
        <f>IF(A1159="","",COUNTIF($A$6:A1159,A1159))</f>
        <v/>
      </c>
      <c r="P1159" s="62" t="str">
        <f>IF(A1159="","",A1159&amp;"|"&amp;O1159)</f>
        <v/>
      </c>
    </row>
    <row r="1160">
      <c r="A1160" s="60" t="n"/>
      <c r="B1160" s="63" t="n"/>
      <c r="C1160" s="63" t="n"/>
      <c r="D1160" s="67" t="n"/>
      <c r="E1160" s="68" t="n"/>
      <c r="F1160" s="69" t="n"/>
      <c r="G1160" s="70" t="n"/>
      <c r="H1160" s="62" t="str">
        <f>IF(COUNTA(A1160:G1160)=0,"",IF(C1160&lt;&gt;"",C1160,IF(B1160="","",IFERROR(INDEX(pr_des,MATCH(B1160,pr_code,0))&amp;"",""))))</f>
        <v/>
      </c>
      <c r="I1160" s="59" t="str">
        <f>IF(B1160="","",IFERROR(INDEX(pr_unit,MATCH(B1160,pr_code,0))&amp;"",""))</f>
        <v/>
      </c>
      <c r="J1160" s="65" t="str">
        <f>IF(COUNTA(A1160:G1160)=0,"",IF(E1160&lt;&gt;"",E1160,IF(B1160="","",IFERROR(IF(INDEX(pr_price,MATCH(B1160,pr_code,0))="","",INDEX(pr_price,MATCH(B1160,pr_code,0))),""))))</f>
        <v/>
      </c>
      <c r="K1160" s="71" t="str">
        <f>IF(COUNTA(A1160:G1160)=0,"",IF(G1160&lt;&gt;"",G1160,IF(B1160="","",IFERROR(IF(INDEX(pr_rate,MATCH(B1160,pr_code,0))="","",INDEX(pr_rate,MATCH(B1160,pr_code,0))),""))))</f>
        <v/>
      </c>
      <c r="L1160" s="65" t="str">
        <f>IF(COUNTA(A1160:G1160)=0,"",IF(AND(ISNUMBER(D1160),ISNUMBER(J1160)),ROUND(D1160*J1160*(1-N(F1160)),2),0))</f>
        <v/>
      </c>
      <c r="M1160" s="62" t="str">
        <f>IF(A1160="","",IFERROR(INDEX(dv_cname,MATCH(A1160,dv_num,0))&amp;"",""))</f>
        <v/>
      </c>
      <c r="N1160" s="59" t="str">
        <f>IF(COUNTA(A1160:G1160)=0,"",IF(A1160="","N° devis manquant",IF(ISNA(MATCH(A1160,dv_num,0)),"Devis inconnu",IF(AND(B1160&lt;&gt;"",ISNA(MATCH(B1160,pr_code,0))),"Article inconnu",IF(H1160="","Désignation manquante",IF(OR(NOT(ISNUMBER(D1160)),N(D1160)&lt;=0),"Quantité invalide",IF(J1160="","Prix manquant",IF(OR(NOT(ISNUMBER(J1160)),N(J1160)&lt;0),"Prix invalide",IF(OR(AND(F1160&lt;&gt;"",NOT(ISNUMBER(F1160))),N(F1160)&lt;0,N(F1160)&gt;1),"Remise invalide",IF(K1160="","Taux de TVA manquant",IF(NOT(ISNUMBER(K1160)),"Taux de TVA invalide",IF(COUNTIF(p_rates,K1160)=0,"Taux de TVA hors liste (Paramètres)",IF(N(O1160)&gt;25,"Au-delà de 25 lignes : non imprimée","OK")))))))))))))</f>
        <v/>
      </c>
      <c r="O1160" s="59" t="str">
        <f>IF(A1160="","",COUNTIF($A$6:A1160,A1160))</f>
        <v/>
      </c>
      <c r="P1160" s="62" t="str">
        <f>IF(A1160="","",A1160&amp;"|"&amp;O1160)</f>
        <v/>
      </c>
    </row>
    <row r="1161">
      <c r="A1161" s="60" t="n"/>
      <c r="B1161" s="63" t="n"/>
      <c r="C1161" s="63" t="n"/>
      <c r="D1161" s="67" t="n"/>
      <c r="E1161" s="68" t="n"/>
      <c r="F1161" s="69" t="n"/>
      <c r="G1161" s="70" t="n"/>
      <c r="H1161" s="62" t="str">
        <f>IF(COUNTA(A1161:G1161)=0,"",IF(C1161&lt;&gt;"",C1161,IF(B1161="","",IFERROR(INDEX(pr_des,MATCH(B1161,pr_code,0))&amp;"",""))))</f>
        <v/>
      </c>
      <c r="I1161" s="59" t="str">
        <f>IF(B1161="","",IFERROR(INDEX(pr_unit,MATCH(B1161,pr_code,0))&amp;"",""))</f>
        <v/>
      </c>
      <c r="J1161" s="65" t="str">
        <f>IF(COUNTA(A1161:G1161)=0,"",IF(E1161&lt;&gt;"",E1161,IF(B1161="","",IFERROR(IF(INDEX(pr_price,MATCH(B1161,pr_code,0))="","",INDEX(pr_price,MATCH(B1161,pr_code,0))),""))))</f>
        <v/>
      </c>
      <c r="K1161" s="71" t="str">
        <f>IF(COUNTA(A1161:G1161)=0,"",IF(G1161&lt;&gt;"",G1161,IF(B1161="","",IFERROR(IF(INDEX(pr_rate,MATCH(B1161,pr_code,0))="","",INDEX(pr_rate,MATCH(B1161,pr_code,0))),""))))</f>
        <v/>
      </c>
      <c r="L1161" s="65" t="str">
        <f>IF(COUNTA(A1161:G1161)=0,"",IF(AND(ISNUMBER(D1161),ISNUMBER(J1161)),ROUND(D1161*J1161*(1-N(F1161)),2),0))</f>
        <v/>
      </c>
      <c r="M1161" s="62" t="str">
        <f>IF(A1161="","",IFERROR(INDEX(dv_cname,MATCH(A1161,dv_num,0))&amp;"",""))</f>
        <v/>
      </c>
      <c r="N1161" s="59" t="str">
        <f>IF(COUNTA(A1161:G1161)=0,"",IF(A1161="","N° devis manquant",IF(ISNA(MATCH(A1161,dv_num,0)),"Devis inconnu",IF(AND(B1161&lt;&gt;"",ISNA(MATCH(B1161,pr_code,0))),"Article inconnu",IF(H1161="","Désignation manquante",IF(OR(NOT(ISNUMBER(D1161)),N(D1161)&lt;=0),"Quantité invalide",IF(J1161="","Prix manquant",IF(OR(NOT(ISNUMBER(J1161)),N(J1161)&lt;0),"Prix invalide",IF(OR(AND(F1161&lt;&gt;"",NOT(ISNUMBER(F1161))),N(F1161)&lt;0,N(F1161)&gt;1),"Remise invalide",IF(K1161="","Taux de TVA manquant",IF(NOT(ISNUMBER(K1161)),"Taux de TVA invalide",IF(COUNTIF(p_rates,K1161)=0,"Taux de TVA hors liste (Paramètres)",IF(N(O1161)&gt;25,"Au-delà de 25 lignes : non imprimée","OK")))))))))))))</f>
        <v/>
      </c>
      <c r="O1161" s="59" t="str">
        <f>IF(A1161="","",COUNTIF($A$6:A1161,A1161))</f>
        <v/>
      </c>
      <c r="P1161" s="62" t="str">
        <f>IF(A1161="","",A1161&amp;"|"&amp;O1161)</f>
        <v/>
      </c>
    </row>
    <row r="1162">
      <c r="A1162" s="60" t="n"/>
      <c r="B1162" s="63" t="n"/>
      <c r="C1162" s="63" t="n"/>
      <c r="D1162" s="67" t="n"/>
      <c r="E1162" s="68" t="n"/>
      <c r="F1162" s="69" t="n"/>
      <c r="G1162" s="70" t="n"/>
      <c r="H1162" s="62" t="str">
        <f>IF(COUNTA(A1162:G1162)=0,"",IF(C1162&lt;&gt;"",C1162,IF(B1162="","",IFERROR(INDEX(pr_des,MATCH(B1162,pr_code,0))&amp;"",""))))</f>
        <v/>
      </c>
      <c r="I1162" s="59" t="str">
        <f>IF(B1162="","",IFERROR(INDEX(pr_unit,MATCH(B1162,pr_code,0))&amp;"",""))</f>
        <v/>
      </c>
      <c r="J1162" s="65" t="str">
        <f>IF(COUNTA(A1162:G1162)=0,"",IF(E1162&lt;&gt;"",E1162,IF(B1162="","",IFERROR(IF(INDEX(pr_price,MATCH(B1162,pr_code,0))="","",INDEX(pr_price,MATCH(B1162,pr_code,0))),""))))</f>
        <v/>
      </c>
      <c r="K1162" s="71" t="str">
        <f>IF(COUNTA(A1162:G1162)=0,"",IF(G1162&lt;&gt;"",G1162,IF(B1162="","",IFERROR(IF(INDEX(pr_rate,MATCH(B1162,pr_code,0))="","",INDEX(pr_rate,MATCH(B1162,pr_code,0))),""))))</f>
        <v/>
      </c>
      <c r="L1162" s="65" t="str">
        <f>IF(COUNTA(A1162:G1162)=0,"",IF(AND(ISNUMBER(D1162),ISNUMBER(J1162)),ROUND(D1162*J1162*(1-N(F1162)),2),0))</f>
        <v/>
      </c>
      <c r="M1162" s="62" t="str">
        <f>IF(A1162="","",IFERROR(INDEX(dv_cname,MATCH(A1162,dv_num,0))&amp;"",""))</f>
        <v/>
      </c>
      <c r="N1162" s="59" t="str">
        <f>IF(COUNTA(A1162:G1162)=0,"",IF(A1162="","N° devis manquant",IF(ISNA(MATCH(A1162,dv_num,0)),"Devis inconnu",IF(AND(B1162&lt;&gt;"",ISNA(MATCH(B1162,pr_code,0))),"Article inconnu",IF(H1162="","Désignation manquante",IF(OR(NOT(ISNUMBER(D1162)),N(D1162)&lt;=0),"Quantité invalide",IF(J1162="","Prix manquant",IF(OR(NOT(ISNUMBER(J1162)),N(J1162)&lt;0),"Prix invalide",IF(OR(AND(F1162&lt;&gt;"",NOT(ISNUMBER(F1162))),N(F1162)&lt;0,N(F1162)&gt;1),"Remise invalide",IF(K1162="","Taux de TVA manquant",IF(NOT(ISNUMBER(K1162)),"Taux de TVA invalide",IF(COUNTIF(p_rates,K1162)=0,"Taux de TVA hors liste (Paramètres)",IF(N(O1162)&gt;25,"Au-delà de 25 lignes : non imprimée","OK")))))))))))))</f>
        <v/>
      </c>
      <c r="O1162" s="59" t="str">
        <f>IF(A1162="","",COUNTIF($A$6:A1162,A1162))</f>
        <v/>
      </c>
      <c r="P1162" s="62" t="str">
        <f>IF(A1162="","",A1162&amp;"|"&amp;O1162)</f>
        <v/>
      </c>
    </row>
    <row r="1163">
      <c r="A1163" s="60" t="n"/>
      <c r="B1163" s="63" t="n"/>
      <c r="C1163" s="63" t="n"/>
      <c r="D1163" s="67" t="n"/>
      <c r="E1163" s="68" t="n"/>
      <c r="F1163" s="69" t="n"/>
      <c r="G1163" s="70" t="n"/>
      <c r="H1163" s="62" t="str">
        <f>IF(COUNTA(A1163:G1163)=0,"",IF(C1163&lt;&gt;"",C1163,IF(B1163="","",IFERROR(INDEX(pr_des,MATCH(B1163,pr_code,0))&amp;"",""))))</f>
        <v/>
      </c>
      <c r="I1163" s="59" t="str">
        <f>IF(B1163="","",IFERROR(INDEX(pr_unit,MATCH(B1163,pr_code,0))&amp;"",""))</f>
        <v/>
      </c>
      <c r="J1163" s="65" t="str">
        <f>IF(COUNTA(A1163:G1163)=0,"",IF(E1163&lt;&gt;"",E1163,IF(B1163="","",IFERROR(IF(INDEX(pr_price,MATCH(B1163,pr_code,0))="","",INDEX(pr_price,MATCH(B1163,pr_code,0))),""))))</f>
        <v/>
      </c>
      <c r="K1163" s="71" t="str">
        <f>IF(COUNTA(A1163:G1163)=0,"",IF(G1163&lt;&gt;"",G1163,IF(B1163="","",IFERROR(IF(INDEX(pr_rate,MATCH(B1163,pr_code,0))="","",INDEX(pr_rate,MATCH(B1163,pr_code,0))),""))))</f>
        <v/>
      </c>
      <c r="L1163" s="65" t="str">
        <f>IF(COUNTA(A1163:G1163)=0,"",IF(AND(ISNUMBER(D1163),ISNUMBER(J1163)),ROUND(D1163*J1163*(1-N(F1163)),2),0))</f>
        <v/>
      </c>
      <c r="M1163" s="62" t="str">
        <f>IF(A1163="","",IFERROR(INDEX(dv_cname,MATCH(A1163,dv_num,0))&amp;"",""))</f>
        <v/>
      </c>
      <c r="N1163" s="59" t="str">
        <f>IF(COUNTA(A1163:G1163)=0,"",IF(A1163="","N° devis manquant",IF(ISNA(MATCH(A1163,dv_num,0)),"Devis inconnu",IF(AND(B1163&lt;&gt;"",ISNA(MATCH(B1163,pr_code,0))),"Article inconnu",IF(H1163="","Désignation manquante",IF(OR(NOT(ISNUMBER(D1163)),N(D1163)&lt;=0),"Quantité invalide",IF(J1163="","Prix manquant",IF(OR(NOT(ISNUMBER(J1163)),N(J1163)&lt;0),"Prix invalide",IF(OR(AND(F1163&lt;&gt;"",NOT(ISNUMBER(F1163))),N(F1163)&lt;0,N(F1163)&gt;1),"Remise invalide",IF(K1163="","Taux de TVA manquant",IF(NOT(ISNUMBER(K1163)),"Taux de TVA invalide",IF(COUNTIF(p_rates,K1163)=0,"Taux de TVA hors liste (Paramètres)",IF(N(O1163)&gt;25,"Au-delà de 25 lignes : non imprimée","OK")))))))))))))</f>
        <v/>
      </c>
      <c r="O1163" s="59" t="str">
        <f>IF(A1163="","",COUNTIF($A$6:A1163,A1163))</f>
        <v/>
      </c>
      <c r="P1163" s="62" t="str">
        <f>IF(A1163="","",A1163&amp;"|"&amp;O1163)</f>
        <v/>
      </c>
    </row>
    <row r="1164">
      <c r="A1164" s="60" t="n"/>
      <c r="B1164" s="63" t="n"/>
      <c r="C1164" s="63" t="n"/>
      <c r="D1164" s="67" t="n"/>
      <c r="E1164" s="68" t="n"/>
      <c r="F1164" s="69" t="n"/>
      <c r="G1164" s="70" t="n"/>
      <c r="H1164" s="62" t="str">
        <f>IF(COUNTA(A1164:G1164)=0,"",IF(C1164&lt;&gt;"",C1164,IF(B1164="","",IFERROR(INDEX(pr_des,MATCH(B1164,pr_code,0))&amp;"",""))))</f>
        <v/>
      </c>
      <c r="I1164" s="59" t="str">
        <f>IF(B1164="","",IFERROR(INDEX(pr_unit,MATCH(B1164,pr_code,0))&amp;"",""))</f>
        <v/>
      </c>
      <c r="J1164" s="65" t="str">
        <f>IF(COUNTA(A1164:G1164)=0,"",IF(E1164&lt;&gt;"",E1164,IF(B1164="","",IFERROR(IF(INDEX(pr_price,MATCH(B1164,pr_code,0))="","",INDEX(pr_price,MATCH(B1164,pr_code,0))),""))))</f>
        <v/>
      </c>
      <c r="K1164" s="71" t="str">
        <f>IF(COUNTA(A1164:G1164)=0,"",IF(G1164&lt;&gt;"",G1164,IF(B1164="","",IFERROR(IF(INDEX(pr_rate,MATCH(B1164,pr_code,0))="","",INDEX(pr_rate,MATCH(B1164,pr_code,0))),""))))</f>
        <v/>
      </c>
      <c r="L1164" s="65" t="str">
        <f>IF(COUNTA(A1164:G1164)=0,"",IF(AND(ISNUMBER(D1164),ISNUMBER(J1164)),ROUND(D1164*J1164*(1-N(F1164)),2),0))</f>
        <v/>
      </c>
      <c r="M1164" s="62" t="str">
        <f>IF(A1164="","",IFERROR(INDEX(dv_cname,MATCH(A1164,dv_num,0))&amp;"",""))</f>
        <v/>
      </c>
      <c r="N1164" s="59" t="str">
        <f>IF(COUNTA(A1164:G1164)=0,"",IF(A1164="","N° devis manquant",IF(ISNA(MATCH(A1164,dv_num,0)),"Devis inconnu",IF(AND(B1164&lt;&gt;"",ISNA(MATCH(B1164,pr_code,0))),"Article inconnu",IF(H1164="","Désignation manquante",IF(OR(NOT(ISNUMBER(D1164)),N(D1164)&lt;=0),"Quantité invalide",IF(J1164="","Prix manquant",IF(OR(NOT(ISNUMBER(J1164)),N(J1164)&lt;0),"Prix invalide",IF(OR(AND(F1164&lt;&gt;"",NOT(ISNUMBER(F1164))),N(F1164)&lt;0,N(F1164)&gt;1),"Remise invalide",IF(K1164="","Taux de TVA manquant",IF(NOT(ISNUMBER(K1164)),"Taux de TVA invalide",IF(COUNTIF(p_rates,K1164)=0,"Taux de TVA hors liste (Paramètres)",IF(N(O1164)&gt;25,"Au-delà de 25 lignes : non imprimée","OK")))))))))))))</f>
        <v/>
      </c>
      <c r="O1164" s="59" t="str">
        <f>IF(A1164="","",COUNTIF($A$6:A1164,A1164))</f>
        <v/>
      </c>
      <c r="P1164" s="62" t="str">
        <f>IF(A1164="","",A1164&amp;"|"&amp;O1164)</f>
        <v/>
      </c>
    </row>
    <row r="1165">
      <c r="A1165" s="60" t="n"/>
      <c r="B1165" s="63" t="n"/>
      <c r="C1165" s="63" t="n"/>
      <c r="D1165" s="67" t="n"/>
      <c r="E1165" s="68" t="n"/>
      <c r="F1165" s="69" t="n"/>
      <c r="G1165" s="70" t="n"/>
      <c r="H1165" s="62" t="str">
        <f>IF(COUNTA(A1165:G1165)=0,"",IF(C1165&lt;&gt;"",C1165,IF(B1165="","",IFERROR(INDEX(pr_des,MATCH(B1165,pr_code,0))&amp;"",""))))</f>
        <v/>
      </c>
      <c r="I1165" s="59" t="str">
        <f>IF(B1165="","",IFERROR(INDEX(pr_unit,MATCH(B1165,pr_code,0))&amp;"",""))</f>
        <v/>
      </c>
      <c r="J1165" s="65" t="str">
        <f>IF(COUNTA(A1165:G1165)=0,"",IF(E1165&lt;&gt;"",E1165,IF(B1165="","",IFERROR(IF(INDEX(pr_price,MATCH(B1165,pr_code,0))="","",INDEX(pr_price,MATCH(B1165,pr_code,0))),""))))</f>
        <v/>
      </c>
      <c r="K1165" s="71" t="str">
        <f>IF(COUNTA(A1165:G1165)=0,"",IF(G1165&lt;&gt;"",G1165,IF(B1165="","",IFERROR(IF(INDEX(pr_rate,MATCH(B1165,pr_code,0))="","",INDEX(pr_rate,MATCH(B1165,pr_code,0))),""))))</f>
        <v/>
      </c>
      <c r="L1165" s="65" t="str">
        <f>IF(COUNTA(A1165:G1165)=0,"",IF(AND(ISNUMBER(D1165),ISNUMBER(J1165)),ROUND(D1165*J1165*(1-N(F1165)),2),0))</f>
        <v/>
      </c>
      <c r="M1165" s="62" t="str">
        <f>IF(A1165="","",IFERROR(INDEX(dv_cname,MATCH(A1165,dv_num,0))&amp;"",""))</f>
        <v/>
      </c>
      <c r="N1165" s="59" t="str">
        <f>IF(COUNTA(A1165:G1165)=0,"",IF(A1165="","N° devis manquant",IF(ISNA(MATCH(A1165,dv_num,0)),"Devis inconnu",IF(AND(B1165&lt;&gt;"",ISNA(MATCH(B1165,pr_code,0))),"Article inconnu",IF(H1165="","Désignation manquante",IF(OR(NOT(ISNUMBER(D1165)),N(D1165)&lt;=0),"Quantité invalide",IF(J1165="","Prix manquant",IF(OR(NOT(ISNUMBER(J1165)),N(J1165)&lt;0),"Prix invalide",IF(OR(AND(F1165&lt;&gt;"",NOT(ISNUMBER(F1165))),N(F1165)&lt;0,N(F1165)&gt;1),"Remise invalide",IF(K1165="","Taux de TVA manquant",IF(NOT(ISNUMBER(K1165)),"Taux de TVA invalide",IF(COUNTIF(p_rates,K1165)=0,"Taux de TVA hors liste (Paramètres)",IF(N(O1165)&gt;25,"Au-delà de 25 lignes : non imprimée","OK")))))))))))))</f>
        <v/>
      </c>
      <c r="O1165" s="59" t="str">
        <f>IF(A1165="","",COUNTIF($A$6:A1165,A1165))</f>
        <v/>
      </c>
      <c r="P1165" s="62" t="str">
        <f>IF(A1165="","",A1165&amp;"|"&amp;O1165)</f>
        <v/>
      </c>
    </row>
    <row r="1166">
      <c r="A1166" s="60" t="n"/>
      <c r="B1166" s="63" t="n"/>
      <c r="C1166" s="63" t="n"/>
      <c r="D1166" s="67" t="n"/>
      <c r="E1166" s="68" t="n"/>
      <c r="F1166" s="69" t="n"/>
      <c r="G1166" s="70" t="n"/>
      <c r="H1166" s="62" t="str">
        <f>IF(COUNTA(A1166:G1166)=0,"",IF(C1166&lt;&gt;"",C1166,IF(B1166="","",IFERROR(INDEX(pr_des,MATCH(B1166,pr_code,0))&amp;"",""))))</f>
        <v/>
      </c>
      <c r="I1166" s="59" t="str">
        <f>IF(B1166="","",IFERROR(INDEX(pr_unit,MATCH(B1166,pr_code,0))&amp;"",""))</f>
        <v/>
      </c>
      <c r="J1166" s="65" t="str">
        <f>IF(COUNTA(A1166:G1166)=0,"",IF(E1166&lt;&gt;"",E1166,IF(B1166="","",IFERROR(IF(INDEX(pr_price,MATCH(B1166,pr_code,0))="","",INDEX(pr_price,MATCH(B1166,pr_code,0))),""))))</f>
        <v/>
      </c>
      <c r="K1166" s="71" t="str">
        <f>IF(COUNTA(A1166:G1166)=0,"",IF(G1166&lt;&gt;"",G1166,IF(B1166="","",IFERROR(IF(INDEX(pr_rate,MATCH(B1166,pr_code,0))="","",INDEX(pr_rate,MATCH(B1166,pr_code,0))),""))))</f>
        <v/>
      </c>
      <c r="L1166" s="65" t="str">
        <f>IF(COUNTA(A1166:G1166)=0,"",IF(AND(ISNUMBER(D1166),ISNUMBER(J1166)),ROUND(D1166*J1166*(1-N(F1166)),2),0))</f>
        <v/>
      </c>
      <c r="M1166" s="62" t="str">
        <f>IF(A1166="","",IFERROR(INDEX(dv_cname,MATCH(A1166,dv_num,0))&amp;"",""))</f>
        <v/>
      </c>
      <c r="N1166" s="59" t="str">
        <f>IF(COUNTA(A1166:G1166)=0,"",IF(A1166="","N° devis manquant",IF(ISNA(MATCH(A1166,dv_num,0)),"Devis inconnu",IF(AND(B1166&lt;&gt;"",ISNA(MATCH(B1166,pr_code,0))),"Article inconnu",IF(H1166="","Désignation manquante",IF(OR(NOT(ISNUMBER(D1166)),N(D1166)&lt;=0),"Quantité invalide",IF(J1166="","Prix manquant",IF(OR(NOT(ISNUMBER(J1166)),N(J1166)&lt;0),"Prix invalide",IF(OR(AND(F1166&lt;&gt;"",NOT(ISNUMBER(F1166))),N(F1166)&lt;0,N(F1166)&gt;1),"Remise invalide",IF(K1166="","Taux de TVA manquant",IF(NOT(ISNUMBER(K1166)),"Taux de TVA invalide",IF(COUNTIF(p_rates,K1166)=0,"Taux de TVA hors liste (Paramètres)",IF(N(O1166)&gt;25,"Au-delà de 25 lignes : non imprimée","OK")))))))))))))</f>
        <v/>
      </c>
      <c r="O1166" s="59" t="str">
        <f>IF(A1166="","",COUNTIF($A$6:A1166,A1166))</f>
        <v/>
      </c>
      <c r="P1166" s="62" t="str">
        <f>IF(A1166="","",A1166&amp;"|"&amp;O1166)</f>
        <v/>
      </c>
    </row>
    <row r="1167">
      <c r="A1167" s="60" t="n"/>
      <c r="B1167" s="63" t="n"/>
      <c r="C1167" s="63" t="n"/>
      <c r="D1167" s="67" t="n"/>
      <c r="E1167" s="68" t="n"/>
      <c r="F1167" s="69" t="n"/>
      <c r="G1167" s="70" t="n"/>
      <c r="H1167" s="62" t="str">
        <f>IF(COUNTA(A1167:G1167)=0,"",IF(C1167&lt;&gt;"",C1167,IF(B1167="","",IFERROR(INDEX(pr_des,MATCH(B1167,pr_code,0))&amp;"",""))))</f>
        <v/>
      </c>
      <c r="I1167" s="59" t="str">
        <f>IF(B1167="","",IFERROR(INDEX(pr_unit,MATCH(B1167,pr_code,0))&amp;"",""))</f>
        <v/>
      </c>
      <c r="J1167" s="65" t="str">
        <f>IF(COUNTA(A1167:G1167)=0,"",IF(E1167&lt;&gt;"",E1167,IF(B1167="","",IFERROR(IF(INDEX(pr_price,MATCH(B1167,pr_code,0))="","",INDEX(pr_price,MATCH(B1167,pr_code,0))),""))))</f>
        <v/>
      </c>
      <c r="K1167" s="71" t="str">
        <f>IF(COUNTA(A1167:G1167)=0,"",IF(G1167&lt;&gt;"",G1167,IF(B1167="","",IFERROR(IF(INDEX(pr_rate,MATCH(B1167,pr_code,0))="","",INDEX(pr_rate,MATCH(B1167,pr_code,0))),""))))</f>
        <v/>
      </c>
      <c r="L1167" s="65" t="str">
        <f>IF(COUNTA(A1167:G1167)=0,"",IF(AND(ISNUMBER(D1167),ISNUMBER(J1167)),ROUND(D1167*J1167*(1-N(F1167)),2),0))</f>
        <v/>
      </c>
      <c r="M1167" s="62" t="str">
        <f>IF(A1167="","",IFERROR(INDEX(dv_cname,MATCH(A1167,dv_num,0))&amp;"",""))</f>
        <v/>
      </c>
      <c r="N1167" s="59" t="str">
        <f>IF(COUNTA(A1167:G1167)=0,"",IF(A1167="","N° devis manquant",IF(ISNA(MATCH(A1167,dv_num,0)),"Devis inconnu",IF(AND(B1167&lt;&gt;"",ISNA(MATCH(B1167,pr_code,0))),"Article inconnu",IF(H1167="","Désignation manquante",IF(OR(NOT(ISNUMBER(D1167)),N(D1167)&lt;=0),"Quantité invalide",IF(J1167="","Prix manquant",IF(OR(NOT(ISNUMBER(J1167)),N(J1167)&lt;0),"Prix invalide",IF(OR(AND(F1167&lt;&gt;"",NOT(ISNUMBER(F1167))),N(F1167)&lt;0,N(F1167)&gt;1),"Remise invalide",IF(K1167="","Taux de TVA manquant",IF(NOT(ISNUMBER(K1167)),"Taux de TVA invalide",IF(COUNTIF(p_rates,K1167)=0,"Taux de TVA hors liste (Paramètres)",IF(N(O1167)&gt;25,"Au-delà de 25 lignes : non imprimée","OK")))))))))))))</f>
        <v/>
      </c>
      <c r="O1167" s="59" t="str">
        <f>IF(A1167="","",COUNTIF($A$6:A1167,A1167))</f>
        <v/>
      </c>
      <c r="P1167" s="62" t="str">
        <f>IF(A1167="","",A1167&amp;"|"&amp;O1167)</f>
        <v/>
      </c>
    </row>
    <row r="1168">
      <c r="A1168" s="60" t="n"/>
      <c r="B1168" s="63" t="n"/>
      <c r="C1168" s="63" t="n"/>
      <c r="D1168" s="67" t="n"/>
      <c r="E1168" s="68" t="n"/>
      <c r="F1168" s="69" t="n"/>
      <c r="G1168" s="70" t="n"/>
      <c r="H1168" s="62" t="str">
        <f>IF(COUNTA(A1168:G1168)=0,"",IF(C1168&lt;&gt;"",C1168,IF(B1168="","",IFERROR(INDEX(pr_des,MATCH(B1168,pr_code,0))&amp;"",""))))</f>
        <v/>
      </c>
      <c r="I1168" s="59" t="str">
        <f>IF(B1168="","",IFERROR(INDEX(pr_unit,MATCH(B1168,pr_code,0))&amp;"",""))</f>
        <v/>
      </c>
      <c r="J1168" s="65" t="str">
        <f>IF(COUNTA(A1168:G1168)=0,"",IF(E1168&lt;&gt;"",E1168,IF(B1168="","",IFERROR(IF(INDEX(pr_price,MATCH(B1168,pr_code,0))="","",INDEX(pr_price,MATCH(B1168,pr_code,0))),""))))</f>
        <v/>
      </c>
      <c r="K1168" s="71" t="str">
        <f>IF(COUNTA(A1168:G1168)=0,"",IF(G1168&lt;&gt;"",G1168,IF(B1168="","",IFERROR(IF(INDEX(pr_rate,MATCH(B1168,pr_code,0))="","",INDEX(pr_rate,MATCH(B1168,pr_code,0))),""))))</f>
        <v/>
      </c>
      <c r="L1168" s="65" t="str">
        <f>IF(COUNTA(A1168:G1168)=0,"",IF(AND(ISNUMBER(D1168),ISNUMBER(J1168)),ROUND(D1168*J1168*(1-N(F1168)),2),0))</f>
        <v/>
      </c>
      <c r="M1168" s="62" t="str">
        <f>IF(A1168="","",IFERROR(INDEX(dv_cname,MATCH(A1168,dv_num,0))&amp;"",""))</f>
        <v/>
      </c>
      <c r="N1168" s="59" t="str">
        <f>IF(COUNTA(A1168:G1168)=0,"",IF(A1168="","N° devis manquant",IF(ISNA(MATCH(A1168,dv_num,0)),"Devis inconnu",IF(AND(B1168&lt;&gt;"",ISNA(MATCH(B1168,pr_code,0))),"Article inconnu",IF(H1168="","Désignation manquante",IF(OR(NOT(ISNUMBER(D1168)),N(D1168)&lt;=0),"Quantité invalide",IF(J1168="","Prix manquant",IF(OR(NOT(ISNUMBER(J1168)),N(J1168)&lt;0),"Prix invalide",IF(OR(AND(F1168&lt;&gt;"",NOT(ISNUMBER(F1168))),N(F1168)&lt;0,N(F1168)&gt;1),"Remise invalide",IF(K1168="","Taux de TVA manquant",IF(NOT(ISNUMBER(K1168)),"Taux de TVA invalide",IF(COUNTIF(p_rates,K1168)=0,"Taux de TVA hors liste (Paramètres)",IF(N(O1168)&gt;25,"Au-delà de 25 lignes : non imprimée","OK")))))))))))))</f>
        <v/>
      </c>
      <c r="O1168" s="59" t="str">
        <f>IF(A1168="","",COUNTIF($A$6:A1168,A1168))</f>
        <v/>
      </c>
      <c r="P1168" s="62" t="str">
        <f>IF(A1168="","",A1168&amp;"|"&amp;O1168)</f>
        <v/>
      </c>
    </row>
    <row r="1169">
      <c r="A1169" s="60" t="n"/>
      <c r="B1169" s="63" t="n"/>
      <c r="C1169" s="63" t="n"/>
      <c r="D1169" s="67" t="n"/>
      <c r="E1169" s="68" t="n"/>
      <c r="F1169" s="69" t="n"/>
      <c r="G1169" s="70" t="n"/>
      <c r="H1169" s="62" t="str">
        <f>IF(COUNTA(A1169:G1169)=0,"",IF(C1169&lt;&gt;"",C1169,IF(B1169="","",IFERROR(INDEX(pr_des,MATCH(B1169,pr_code,0))&amp;"",""))))</f>
        <v/>
      </c>
      <c r="I1169" s="59" t="str">
        <f>IF(B1169="","",IFERROR(INDEX(pr_unit,MATCH(B1169,pr_code,0))&amp;"",""))</f>
        <v/>
      </c>
      <c r="J1169" s="65" t="str">
        <f>IF(COUNTA(A1169:G1169)=0,"",IF(E1169&lt;&gt;"",E1169,IF(B1169="","",IFERROR(IF(INDEX(pr_price,MATCH(B1169,pr_code,0))="","",INDEX(pr_price,MATCH(B1169,pr_code,0))),""))))</f>
        <v/>
      </c>
      <c r="K1169" s="71" t="str">
        <f>IF(COUNTA(A1169:G1169)=0,"",IF(G1169&lt;&gt;"",G1169,IF(B1169="","",IFERROR(IF(INDEX(pr_rate,MATCH(B1169,pr_code,0))="","",INDEX(pr_rate,MATCH(B1169,pr_code,0))),""))))</f>
        <v/>
      </c>
      <c r="L1169" s="65" t="str">
        <f>IF(COUNTA(A1169:G1169)=0,"",IF(AND(ISNUMBER(D1169),ISNUMBER(J1169)),ROUND(D1169*J1169*(1-N(F1169)),2),0))</f>
        <v/>
      </c>
      <c r="M1169" s="62" t="str">
        <f>IF(A1169="","",IFERROR(INDEX(dv_cname,MATCH(A1169,dv_num,0))&amp;"",""))</f>
        <v/>
      </c>
      <c r="N1169" s="59" t="str">
        <f>IF(COUNTA(A1169:G1169)=0,"",IF(A1169="","N° devis manquant",IF(ISNA(MATCH(A1169,dv_num,0)),"Devis inconnu",IF(AND(B1169&lt;&gt;"",ISNA(MATCH(B1169,pr_code,0))),"Article inconnu",IF(H1169="","Désignation manquante",IF(OR(NOT(ISNUMBER(D1169)),N(D1169)&lt;=0),"Quantité invalide",IF(J1169="","Prix manquant",IF(OR(NOT(ISNUMBER(J1169)),N(J1169)&lt;0),"Prix invalide",IF(OR(AND(F1169&lt;&gt;"",NOT(ISNUMBER(F1169))),N(F1169)&lt;0,N(F1169)&gt;1),"Remise invalide",IF(K1169="","Taux de TVA manquant",IF(NOT(ISNUMBER(K1169)),"Taux de TVA invalide",IF(COUNTIF(p_rates,K1169)=0,"Taux de TVA hors liste (Paramètres)",IF(N(O1169)&gt;25,"Au-delà de 25 lignes : non imprimée","OK")))))))))))))</f>
        <v/>
      </c>
      <c r="O1169" s="59" t="str">
        <f>IF(A1169="","",COUNTIF($A$6:A1169,A1169))</f>
        <v/>
      </c>
      <c r="P1169" s="62" t="str">
        <f>IF(A1169="","",A1169&amp;"|"&amp;O1169)</f>
        <v/>
      </c>
    </row>
    <row r="1170">
      <c r="A1170" s="60" t="n"/>
      <c r="B1170" s="63" t="n"/>
      <c r="C1170" s="63" t="n"/>
      <c r="D1170" s="67" t="n"/>
      <c r="E1170" s="68" t="n"/>
      <c r="F1170" s="69" t="n"/>
      <c r="G1170" s="70" t="n"/>
      <c r="H1170" s="62" t="str">
        <f>IF(COUNTA(A1170:G1170)=0,"",IF(C1170&lt;&gt;"",C1170,IF(B1170="","",IFERROR(INDEX(pr_des,MATCH(B1170,pr_code,0))&amp;"",""))))</f>
        <v/>
      </c>
      <c r="I1170" s="59" t="str">
        <f>IF(B1170="","",IFERROR(INDEX(pr_unit,MATCH(B1170,pr_code,0))&amp;"",""))</f>
        <v/>
      </c>
      <c r="J1170" s="65" t="str">
        <f>IF(COUNTA(A1170:G1170)=0,"",IF(E1170&lt;&gt;"",E1170,IF(B1170="","",IFERROR(IF(INDEX(pr_price,MATCH(B1170,pr_code,0))="","",INDEX(pr_price,MATCH(B1170,pr_code,0))),""))))</f>
        <v/>
      </c>
      <c r="K1170" s="71" t="str">
        <f>IF(COUNTA(A1170:G1170)=0,"",IF(G1170&lt;&gt;"",G1170,IF(B1170="","",IFERROR(IF(INDEX(pr_rate,MATCH(B1170,pr_code,0))="","",INDEX(pr_rate,MATCH(B1170,pr_code,0))),""))))</f>
        <v/>
      </c>
      <c r="L1170" s="65" t="str">
        <f>IF(COUNTA(A1170:G1170)=0,"",IF(AND(ISNUMBER(D1170),ISNUMBER(J1170)),ROUND(D1170*J1170*(1-N(F1170)),2),0))</f>
        <v/>
      </c>
      <c r="M1170" s="62" t="str">
        <f>IF(A1170="","",IFERROR(INDEX(dv_cname,MATCH(A1170,dv_num,0))&amp;"",""))</f>
        <v/>
      </c>
      <c r="N1170" s="59" t="str">
        <f>IF(COUNTA(A1170:G1170)=0,"",IF(A1170="","N° devis manquant",IF(ISNA(MATCH(A1170,dv_num,0)),"Devis inconnu",IF(AND(B1170&lt;&gt;"",ISNA(MATCH(B1170,pr_code,0))),"Article inconnu",IF(H1170="","Désignation manquante",IF(OR(NOT(ISNUMBER(D1170)),N(D1170)&lt;=0),"Quantité invalide",IF(J1170="","Prix manquant",IF(OR(NOT(ISNUMBER(J1170)),N(J1170)&lt;0),"Prix invalide",IF(OR(AND(F1170&lt;&gt;"",NOT(ISNUMBER(F1170))),N(F1170)&lt;0,N(F1170)&gt;1),"Remise invalide",IF(K1170="","Taux de TVA manquant",IF(NOT(ISNUMBER(K1170)),"Taux de TVA invalide",IF(COUNTIF(p_rates,K1170)=0,"Taux de TVA hors liste (Paramètres)",IF(N(O1170)&gt;25,"Au-delà de 25 lignes : non imprimée","OK")))))))))))))</f>
        <v/>
      </c>
      <c r="O1170" s="59" t="str">
        <f>IF(A1170="","",COUNTIF($A$6:A1170,A1170))</f>
        <v/>
      </c>
      <c r="P1170" s="62" t="str">
        <f>IF(A1170="","",A1170&amp;"|"&amp;O1170)</f>
        <v/>
      </c>
    </row>
    <row r="1171">
      <c r="A1171" s="60" t="n"/>
      <c r="B1171" s="63" t="n"/>
      <c r="C1171" s="63" t="n"/>
      <c r="D1171" s="67" t="n"/>
      <c r="E1171" s="68" t="n"/>
      <c r="F1171" s="69" t="n"/>
      <c r="G1171" s="70" t="n"/>
      <c r="H1171" s="62" t="str">
        <f>IF(COUNTA(A1171:G1171)=0,"",IF(C1171&lt;&gt;"",C1171,IF(B1171="","",IFERROR(INDEX(pr_des,MATCH(B1171,pr_code,0))&amp;"",""))))</f>
        <v/>
      </c>
      <c r="I1171" s="59" t="str">
        <f>IF(B1171="","",IFERROR(INDEX(pr_unit,MATCH(B1171,pr_code,0))&amp;"",""))</f>
        <v/>
      </c>
      <c r="J1171" s="65" t="str">
        <f>IF(COUNTA(A1171:G1171)=0,"",IF(E1171&lt;&gt;"",E1171,IF(B1171="","",IFERROR(IF(INDEX(pr_price,MATCH(B1171,pr_code,0))="","",INDEX(pr_price,MATCH(B1171,pr_code,0))),""))))</f>
        <v/>
      </c>
      <c r="K1171" s="71" t="str">
        <f>IF(COUNTA(A1171:G1171)=0,"",IF(G1171&lt;&gt;"",G1171,IF(B1171="","",IFERROR(IF(INDEX(pr_rate,MATCH(B1171,pr_code,0))="","",INDEX(pr_rate,MATCH(B1171,pr_code,0))),""))))</f>
        <v/>
      </c>
      <c r="L1171" s="65" t="str">
        <f>IF(COUNTA(A1171:G1171)=0,"",IF(AND(ISNUMBER(D1171),ISNUMBER(J1171)),ROUND(D1171*J1171*(1-N(F1171)),2),0))</f>
        <v/>
      </c>
      <c r="M1171" s="62" t="str">
        <f>IF(A1171="","",IFERROR(INDEX(dv_cname,MATCH(A1171,dv_num,0))&amp;"",""))</f>
        <v/>
      </c>
      <c r="N1171" s="59" t="str">
        <f>IF(COUNTA(A1171:G1171)=0,"",IF(A1171="","N° devis manquant",IF(ISNA(MATCH(A1171,dv_num,0)),"Devis inconnu",IF(AND(B1171&lt;&gt;"",ISNA(MATCH(B1171,pr_code,0))),"Article inconnu",IF(H1171="","Désignation manquante",IF(OR(NOT(ISNUMBER(D1171)),N(D1171)&lt;=0),"Quantité invalide",IF(J1171="","Prix manquant",IF(OR(NOT(ISNUMBER(J1171)),N(J1171)&lt;0),"Prix invalide",IF(OR(AND(F1171&lt;&gt;"",NOT(ISNUMBER(F1171))),N(F1171)&lt;0,N(F1171)&gt;1),"Remise invalide",IF(K1171="","Taux de TVA manquant",IF(NOT(ISNUMBER(K1171)),"Taux de TVA invalide",IF(COUNTIF(p_rates,K1171)=0,"Taux de TVA hors liste (Paramètres)",IF(N(O1171)&gt;25,"Au-delà de 25 lignes : non imprimée","OK")))))))))))))</f>
        <v/>
      </c>
      <c r="O1171" s="59" t="str">
        <f>IF(A1171="","",COUNTIF($A$6:A1171,A1171))</f>
        <v/>
      </c>
      <c r="P1171" s="62" t="str">
        <f>IF(A1171="","",A1171&amp;"|"&amp;O1171)</f>
        <v/>
      </c>
    </row>
    <row r="1172">
      <c r="A1172" s="60" t="n"/>
      <c r="B1172" s="63" t="n"/>
      <c r="C1172" s="63" t="n"/>
      <c r="D1172" s="67" t="n"/>
      <c r="E1172" s="68" t="n"/>
      <c r="F1172" s="69" t="n"/>
      <c r="G1172" s="70" t="n"/>
      <c r="H1172" s="62" t="str">
        <f>IF(COUNTA(A1172:G1172)=0,"",IF(C1172&lt;&gt;"",C1172,IF(B1172="","",IFERROR(INDEX(pr_des,MATCH(B1172,pr_code,0))&amp;"",""))))</f>
        <v/>
      </c>
      <c r="I1172" s="59" t="str">
        <f>IF(B1172="","",IFERROR(INDEX(pr_unit,MATCH(B1172,pr_code,0))&amp;"",""))</f>
        <v/>
      </c>
      <c r="J1172" s="65" t="str">
        <f>IF(COUNTA(A1172:G1172)=0,"",IF(E1172&lt;&gt;"",E1172,IF(B1172="","",IFERROR(IF(INDEX(pr_price,MATCH(B1172,pr_code,0))="","",INDEX(pr_price,MATCH(B1172,pr_code,0))),""))))</f>
        <v/>
      </c>
      <c r="K1172" s="71" t="str">
        <f>IF(COUNTA(A1172:G1172)=0,"",IF(G1172&lt;&gt;"",G1172,IF(B1172="","",IFERROR(IF(INDEX(pr_rate,MATCH(B1172,pr_code,0))="","",INDEX(pr_rate,MATCH(B1172,pr_code,0))),""))))</f>
        <v/>
      </c>
      <c r="L1172" s="65" t="str">
        <f>IF(COUNTA(A1172:G1172)=0,"",IF(AND(ISNUMBER(D1172),ISNUMBER(J1172)),ROUND(D1172*J1172*(1-N(F1172)),2),0))</f>
        <v/>
      </c>
      <c r="M1172" s="62" t="str">
        <f>IF(A1172="","",IFERROR(INDEX(dv_cname,MATCH(A1172,dv_num,0))&amp;"",""))</f>
        <v/>
      </c>
      <c r="N1172" s="59" t="str">
        <f>IF(COUNTA(A1172:G1172)=0,"",IF(A1172="","N° devis manquant",IF(ISNA(MATCH(A1172,dv_num,0)),"Devis inconnu",IF(AND(B1172&lt;&gt;"",ISNA(MATCH(B1172,pr_code,0))),"Article inconnu",IF(H1172="","Désignation manquante",IF(OR(NOT(ISNUMBER(D1172)),N(D1172)&lt;=0),"Quantité invalide",IF(J1172="","Prix manquant",IF(OR(NOT(ISNUMBER(J1172)),N(J1172)&lt;0),"Prix invalide",IF(OR(AND(F1172&lt;&gt;"",NOT(ISNUMBER(F1172))),N(F1172)&lt;0,N(F1172)&gt;1),"Remise invalide",IF(K1172="","Taux de TVA manquant",IF(NOT(ISNUMBER(K1172)),"Taux de TVA invalide",IF(COUNTIF(p_rates,K1172)=0,"Taux de TVA hors liste (Paramètres)",IF(N(O1172)&gt;25,"Au-delà de 25 lignes : non imprimée","OK")))))))))))))</f>
        <v/>
      </c>
      <c r="O1172" s="59" t="str">
        <f>IF(A1172="","",COUNTIF($A$6:A1172,A1172))</f>
        <v/>
      </c>
      <c r="P1172" s="62" t="str">
        <f>IF(A1172="","",A1172&amp;"|"&amp;O1172)</f>
        <v/>
      </c>
    </row>
    <row r="1173">
      <c r="A1173" s="60" t="n"/>
      <c r="B1173" s="63" t="n"/>
      <c r="C1173" s="63" t="n"/>
      <c r="D1173" s="67" t="n"/>
      <c r="E1173" s="68" t="n"/>
      <c r="F1173" s="69" t="n"/>
      <c r="G1173" s="70" t="n"/>
      <c r="H1173" s="62" t="str">
        <f>IF(COUNTA(A1173:G1173)=0,"",IF(C1173&lt;&gt;"",C1173,IF(B1173="","",IFERROR(INDEX(pr_des,MATCH(B1173,pr_code,0))&amp;"",""))))</f>
        <v/>
      </c>
      <c r="I1173" s="59" t="str">
        <f>IF(B1173="","",IFERROR(INDEX(pr_unit,MATCH(B1173,pr_code,0))&amp;"",""))</f>
        <v/>
      </c>
      <c r="J1173" s="65" t="str">
        <f>IF(COUNTA(A1173:G1173)=0,"",IF(E1173&lt;&gt;"",E1173,IF(B1173="","",IFERROR(IF(INDEX(pr_price,MATCH(B1173,pr_code,0))="","",INDEX(pr_price,MATCH(B1173,pr_code,0))),""))))</f>
        <v/>
      </c>
      <c r="K1173" s="71" t="str">
        <f>IF(COUNTA(A1173:G1173)=0,"",IF(G1173&lt;&gt;"",G1173,IF(B1173="","",IFERROR(IF(INDEX(pr_rate,MATCH(B1173,pr_code,0))="","",INDEX(pr_rate,MATCH(B1173,pr_code,0))),""))))</f>
        <v/>
      </c>
      <c r="L1173" s="65" t="str">
        <f>IF(COUNTA(A1173:G1173)=0,"",IF(AND(ISNUMBER(D1173),ISNUMBER(J1173)),ROUND(D1173*J1173*(1-N(F1173)),2),0))</f>
        <v/>
      </c>
      <c r="M1173" s="62" t="str">
        <f>IF(A1173="","",IFERROR(INDEX(dv_cname,MATCH(A1173,dv_num,0))&amp;"",""))</f>
        <v/>
      </c>
      <c r="N1173" s="59" t="str">
        <f>IF(COUNTA(A1173:G1173)=0,"",IF(A1173="","N° devis manquant",IF(ISNA(MATCH(A1173,dv_num,0)),"Devis inconnu",IF(AND(B1173&lt;&gt;"",ISNA(MATCH(B1173,pr_code,0))),"Article inconnu",IF(H1173="","Désignation manquante",IF(OR(NOT(ISNUMBER(D1173)),N(D1173)&lt;=0),"Quantité invalide",IF(J1173="","Prix manquant",IF(OR(NOT(ISNUMBER(J1173)),N(J1173)&lt;0),"Prix invalide",IF(OR(AND(F1173&lt;&gt;"",NOT(ISNUMBER(F1173))),N(F1173)&lt;0,N(F1173)&gt;1),"Remise invalide",IF(K1173="","Taux de TVA manquant",IF(NOT(ISNUMBER(K1173)),"Taux de TVA invalide",IF(COUNTIF(p_rates,K1173)=0,"Taux de TVA hors liste (Paramètres)",IF(N(O1173)&gt;25,"Au-delà de 25 lignes : non imprimée","OK")))))))))))))</f>
        <v/>
      </c>
      <c r="O1173" s="59" t="str">
        <f>IF(A1173="","",COUNTIF($A$6:A1173,A1173))</f>
        <v/>
      </c>
      <c r="P1173" s="62" t="str">
        <f>IF(A1173="","",A1173&amp;"|"&amp;O1173)</f>
        <v/>
      </c>
    </row>
    <row r="1174">
      <c r="A1174" s="60" t="n"/>
      <c r="B1174" s="63" t="n"/>
      <c r="C1174" s="63" t="n"/>
      <c r="D1174" s="67" t="n"/>
      <c r="E1174" s="68" t="n"/>
      <c r="F1174" s="69" t="n"/>
      <c r="G1174" s="70" t="n"/>
      <c r="H1174" s="62" t="str">
        <f>IF(COUNTA(A1174:G1174)=0,"",IF(C1174&lt;&gt;"",C1174,IF(B1174="","",IFERROR(INDEX(pr_des,MATCH(B1174,pr_code,0))&amp;"",""))))</f>
        <v/>
      </c>
      <c r="I1174" s="59" t="str">
        <f>IF(B1174="","",IFERROR(INDEX(pr_unit,MATCH(B1174,pr_code,0))&amp;"",""))</f>
        <v/>
      </c>
      <c r="J1174" s="65" t="str">
        <f>IF(COUNTA(A1174:G1174)=0,"",IF(E1174&lt;&gt;"",E1174,IF(B1174="","",IFERROR(IF(INDEX(pr_price,MATCH(B1174,pr_code,0))="","",INDEX(pr_price,MATCH(B1174,pr_code,0))),""))))</f>
        <v/>
      </c>
      <c r="K1174" s="71" t="str">
        <f>IF(COUNTA(A1174:G1174)=0,"",IF(G1174&lt;&gt;"",G1174,IF(B1174="","",IFERROR(IF(INDEX(pr_rate,MATCH(B1174,pr_code,0))="","",INDEX(pr_rate,MATCH(B1174,pr_code,0))),""))))</f>
        <v/>
      </c>
      <c r="L1174" s="65" t="str">
        <f>IF(COUNTA(A1174:G1174)=0,"",IF(AND(ISNUMBER(D1174),ISNUMBER(J1174)),ROUND(D1174*J1174*(1-N(F1174)),2),0))</f>
        <v/>
      </c>
      <c r="M1174" s="62" t="str">
        <f>IF(A1174="","",IFERROR(INDEX(dv_cname,MATCH(A1174,dv_num,0))&amp;"",""))</f>
        <v/>
      </c>
      <c r="N1174" s="59" t="str">
        <f>IF(COUNTA(A1174:G1174)=0,"",IF(A1174="","N° devis manquant",IF(ISNA(MATCH(A1174,dv_num,0)),"Devis inconnu",IF(AND(B1174&lt;&gt;"",ISNA(MATCH(B1174,pr_code,0))),"Article inconnu",IF(H1174="","Désignation manquante",IF(OR(NOT(ISNUMBER(D1174)),N(D1174)&lt;=0),"Quantité invalide",IF(J1174="","Prix manquant",IF(OR(NOT(ISNUMBER(J1174)),N(J1174)&lt;0),"Prix invalide",IF(OR(AND(F1174&lt;&gt;"",NOT(ISNUMBER(F1174))),N(F1174)&lt;0,N(F1174)&gt;1),"Remise invalide",IF(K1174="","Taux de TVA manquant",IF(NOT(ISNUMBER(K1174)),"Taux de TVA invalide",IF(COUNTIF(p_rates,K1174)=0,"Taux de TVA hors liste (Paramètres)",IF(N(O1174)&gt;25,"Au-delà de 25 lignes : non imprimée","OK")))))))))))))</f>
        <v/>
      </c>
      <c r="O1174" s="59" t="str">
        <f>IF(A1174="","",COUNTIF($A$6:A1174,A1174))</f>
        <v/>
      </c>
      <c r="P1174" s="62" t="str">
        <f>IF(A1174="","",A1174&amp;"|"&amp;O1174)</f>
        <v/>
      </c>
    </row>
    <row r="1175">
      <c r="A1175" s="60" t="n"/>
      <c r="B1175" s="63" t="n"/>
      <c r="C1175" s="63" t="n"/>
      <c r="D1175" s="67" t="n"/>
      <c r="E1175" s="68" t="n"/>
      <c r="F1175" s="69" t="n"/>
      <c r="G1175" s="70" t="n"/>
      <c r="H1175" s="62" t="str">
        <f>IF(COUNTA(A1175:G1175)=0,"",IF(C1175&lt;&gt;"",C1175,IF(B1175="","",IFERROR(INDEX(pr_des,MATCH(B1175,pr_code,0))&amp;"",""))))</f>
        <v/>
      </c>
      <c r="I1175" s="59" t="str">
        <f>IF(B1175="","",IFERROR(INDEX(pr_unit,MATCH(B1175,pr_code,0))&amp;"",""))</f>
        <v/>
      </c>
      <c r="J1175" s="65" t="str">
        <f>IF(COUNTA(A1175:G1175)=0,"",IF(E1175&lt;&gt;"",E1175,IF(B1175="","",IFERROR(IF(INDEX(pr_price,MATCH(B1175,pr_code,0))="","",INDEX(pr_price,MATCH(B1175,pr_code,0))),""))))</f>
        <v/>
      </c>
      <c r="K1175" s="71" t="str">
        <f>IF(COUNTA(A1175:G1175)=0,"",IF(G1175&lt;&gt;"",G1175,IF(B1175="","",IFERROR(IF(INDEX(pr_rate,MATCH(B1175,pr_code,0))="","",INDEX(pr_rate,MATCH(B1175,pr_code,0))),""))))</f>
        <v/>
      </c>
      <c r="L1175" s="65" t="str">
        <f>IF(COUNTA(A1175:G1175)=0,"",IF(AND(ISNUMBER(D1175),ISNUMBER(J1175)),ROUND(D1175*J1175*(1-N(F1175)),2),0))</f>
        <v/>
      </c>
      <c r="M1175" s="62" t="str">
        <f>IF(A1175="","",IFERROR(INDEX(dv_cname,MATCH(A1175,dv_num,0))&amp;"",""))</f>
        <v/>
      </c>
      <c r="N1175" s="59" t="str">
        <f>IF(COUNTA(A1175:G1175)=0,"",IF(A1175="","N° devis manquant",IF(ISNA(MATCH(A1175,dv_num,0)),"Devis inconnu",IF(AND(B1175&lt;&gt;"",ISNA(MATCH(B1175,pr_code,0))),"Article inconnu",IF(H1175="","Désignation manquante",IF(OR(NOT(ISNUMBER(D1175)),N(D1175)&lt;=0),"Quantité invalide",IF(J1175="","Prix manquant",IF(OR(NOT(ISNUMBER(J1175)),N(J1175)&lt;0),"Prix invalide",IF(OR(AND(F1175&lt;&gt;"",NOT(ISNUMBER(F1175))),N(F1175)&lt;0,N(F1175)&gt;1),"Remise invalide",IF(K1175="","Taux de TVA manquant",IF(NOT(ISNUMBER(K1175)),"Taux de TVA invalide",IF(COUNTIF(p_rates,K1175)=0,"Taux de TVA hors liste (Paramètres)",IF(N(O1175)&gt;25,"Au-delà de 25 lignes : non imprimée","OK")))))))))))))</f>
        <v/>
      </c>
      <c r="O1175" s="59" t="str">
        <f>IF(A1175="","",COUNTIF($A$6:A1175,A1175))</f>
        <v/>
      </c>
      <c r="P1175" s="62" t="str">
        <f>IF(A1175="","",A1175&amp;"|"&amp;O1175)</f>
        <v/>
      </c>
    </row>
    <row r="1176">
      <c r="A1176" s="60" t="n"/>
      <c r="B1176" s="63" t="n"/>
      <c r="C1176" s="63" t="n"/>
      <c r="D1176" s="67" t="n"/>
      <c r="E1176" s="68" t="n"/>
      <c r="F1176" s="69" t="n"/>
      <c r="G1176" s="70" t="n"/>
      <c r="H1176" s="62" t="str">
        <f>IF(COUNTA(A1176:G1176)=0,"",IF(C1176&lt;&gt;"",C1176,IF(B1176="","",IFERROR(INDEX(pr_des,MATCH(B1176,pr_code,0))&amp;"",""))))</f>
        <v/>
      </c>
      <c r="I1176" s="59" t="str">
        <f>IF(B1176="","",IFERROR(INDEX(pr_unit,MATCH(B1176,pr_code,0))&amp;"",""))</f>
        <v/>
      </c>
      <c r="J1176" s="65" t="str">
        <f>IF(COUNTA(A1176:G1176)=0,"",IF(E1176&lt;&gt;"",E1176,IF(B1176="","",IFERROR(IF(INDEX(pr_price,MATCH(B1176,pr_code,0))="","",INDEX(pr_price,MATCH(B1176,pr_code,0))),""))))</f>
        <v/>
      </c>
      <c r="K1176" s="71" t="str">
        <f>IF(COUNTA(A1176:G1176)=0,"",IF(G1176&lt;&gt;"",G1176,IF(B1176="","",IFERROR(IF(INDEX(pr_rate,MATCH(B1176,pr_code,0))="","",INDEX(pr_rate,MATCH(B1176,pr_code,0))),""))))</f>
        <v/>
      </c>
      <c r="L1176" s="65" t="str">
        <f>IF(COUNTA(A1176:G1176)=0,"",IF(AND(ISNUMBER(D1176),ISNUMBER(J1176)),ROUND(D1176*J1176*(1-N(F1176)),2),0))</f>
        <v/>
      </c>
      <c r="M1176" s="62" t="str">
        <f>IF(A1176="","",IFERROR(INDEX(dv_cname,MATCH(A1176,dv_num,0))&amp;"",""))</f>
        <v/>
      </c>
      <c r="N1176" s="59" t="str">
        <f>IF(COUNTA(A1176:G1176)=0,"",IF(A1176="","N° devis manquant",IF(ISNA(MATCH(A1176,dv_num,0)),"Devis inconnu",IF(AND(B1176&lt;&gt;"",ISNA(MATCH(B1176,pr_code,0))),"Article inconnu",IF(H1176="","Désignation manquante",IF(OR(NOT(ISNUMBER(D1176)),N(D1176)&lt;=0),"Quantité invalide",IF(J1176="","Prix manquant",IF(OR(NOT(ISNUMBER(J1176)),N(J1176)&lt;0),"Prix invalide",IF(OR(AND(F1176&lt;&gt;"",NOT(ISNUMBER(F1176))),N(F1176)&lt;0,N(F1176)&gt;1),"Remise invalide",IF(K1176="","Taux de TVA manquant",IF(NOT(ISNUMBER(K1176)),"Taux de TVA invalide",IF(COUNTIF(p_rates,K1176)=0,"Taux de TVA hors liste (Paramètres)",IF(N(O1176)&gt;25,"Au-delà de 25 lignes : non imprimée","OK")))))))))))))</f>
        <v/>
      </c>
      <c r="O1176" s="59" t="str">
        <f>IF(A1176="","",COUNTIF($A$6:A1176,A1176))</f>
        <v/>
      </c>
      <c r="P1176" s="62" t="str">
        <f>IF(A1176="","",A1176&amp;"|"&amp;O1176)</f>
        <v/>
      </c>
    </row>
    <row r="1177">
      <c r="A1177" s="60" t="n"/>
      <c r="B1177" s="63" t="n"/>
      <c r="C1177" s="63" t="n"/>
      <c r="D1177" s="67" t="n"/>
      <c r="E1177" s="68" t="n"/>
      <c r="F1177" s="69" t="n"/>
      <c r="G1177" s="70" t="n"/>
      <c r="H1177" s="62" t="str">
        <f>IF(COUNTA(A1177:G1177)=0,"",IF(C1177&lt;&gt;"",C1177,IF(B1177="","",IFERROR(INDEX(pr_des,MATCH(B1177,pr_code,0))&amp;"",""))))</f>
        <v/>
      </c>
      <c r="I1177" s="59" t="str">
        <f>IF(B1177="","",IFERROR(INDEX(pr_unit,MATCH(B1177,pr_code,0))&amp;"",""))</f>
        <v/>
      </c>
      <c r="J1177" s="65" t="str">
        <f>IF(COUNTA(A1177:G1177)=0,"",IF(E1177&lt;&gt;"",E1177,IF(B1177="","",IFERROR(IF(INDEX(pr_price,MATCH(B1177,pr_code,0))="","",INDEX(pr_price,MATCH(B1177,pr_code,0))),""))))</f>
        <v/>
      </c>
      <c r="K1177" s="71" t="str">
        <f>IF(COUNTA(A1177:G1177)=0,"",IF(G1177&lt;&gt;"",G1177,IF(B1177="","",IFERROR(IF(INDEX(pr_rate,MATCH(B1177,pr_code,0))="","",INDEX(pr_rate,MATCH(B1177,pr_code,0))),""))))</f>
        <v/>
      </c>
      <c r="L1177" s="65" t="str">
        <f>IF(COUNTA(A1177:G1177)=0,"",IF(AND(ISNUMBER(D1177),ISNUMBER(J1177)),ROUND(D1177*J1177*(1-N(F1177)),2),0))</f>
        <v/>
      </c>
      <c r="M1177" s="62" t="str">
        <f>IF(A1177="","",IFERROR(INDEX(dv_cname,MATCH(A1177,dv_num,0))&amp;"",""))</f>
        <v/>
      </c>
      <c r="N1177" s="59" t="str">
        <f>IF(COUNTA(A1177:G1177)=0,"",IF(A1177="","N° devis manquant",IF(ISNA(MATCH(A1177,dv_num,0)),"Devis inconnu",IF(AND(B1177&lt;&gt;"",ISNA(MATCH(B1177,pr_code,0))),"Article inconnu",IF(H1177="","Désignation manquante",IF(OR(NOT(ISNUMBER(D1177)),N(D1177)&lt;=0),"Quantité invalide",IF(J1177="","Prix manquant",IF(OR(NOT(ISNUMBER(J1177)),N(J1177)&lt;0),"Prix invalide",IF(OR(AND(F1177&lt;&gt;"",NOT(ISNUMBER(F1177))),N(F1177)&lt;0,N(F1177)&gt;1),"Remise invalide",IF(K1177="","Taux de TVA manquant",IF(NOT(ISNUMBER(K1177)),"Taux de TVA invalide",IF(COUNTIF(p_rates,K1177)=0,"Taux de TVA hors liste (Paramètres)",IF(N(O1177)&gt;25,"Au-delà de 25 lignes : non imprimée","OK")))))))))))))</f>
        <v/>
      </c>
      <c r="O1177" s="59" t="str">
        <f>IF(A1177="","",COUNTIF($A$6:A1177,A1177))</f>
        <v/>
      </c>
      <c r="P1177" s="62" t="str">
        <f>IF(A1177="","",A1177&amp;"|"&amp;O1177)</f>
        <v/>
      </c>
    </row>
    <row r="1178">
      <c r="A1178" s="60" t="n"/>
      <c r="B1178" s="63" t="n"/>
      <c r="C1178" s="63" t="n"/>
      <c r="D1178" s="67" t="n"/>
      <c r="E1178" s="68" t="n"/>
      <c r="F1178" s="69" t="n"/>
      <c r="G1178" s="70" t="n"/>
      <c r="H1178" s="62" t="str">
        <f>IF(COUNTA(A1178:G1178)=0,"",IF(C1178&lt;&gt;"",C1178,IF(B1178="","",IFERROR(INDEX(pr_des,MATCH(B1178,pr_code,0))&amp;"",""))))</f>
        <v/>
      </c>
      <c r="I1178" s="59" t="str">
        <f>IF(B1178="","",IFERROR(INDEX(pr_unit,MATCH(B1178,pr_code,0))&amp;"",""))</f>
        <v/>
      </c>
      <c r="J1178" s="65" t="str">
        <f>IF(COUNTA(A1178:G1178)=0,"",IF(E1178&lt;&gt;"",E1178,IF(B1178="","",IFERROR(IF(INDEX(pr_price,MATCH(B1178,pr_code,0))="","",INDEX(pr_price,MATCH(B1178,pr_code,0))),""))))</f>
        <v/>
      </c>
      <c r="K1178" s="71" t="str">
        <f>IF(COUNTA(A1178:G1178)=0,"",IF(G1178&lt;&gt;"",G1178,IF(B1178="","",IFERROR(IF(INDEX(pr_rate,MATCH(B1178,pr_code,0))="","",INDEX(pr_rate,MATCH(B1178,pr_code,0))),""))))</f>
        <v/>
      </c>
      <c r="L1178" s="65" t="str">
        <f>IF(COUNTA(A1178:G1178)=0,"",IF(AND(ISNUMBER(D1178),ISNUMBER(J1178)),ROUND(D1178*J1178*(1-N(F1178)),2),0))</f>
        <v/>
      </c>
      <c r="M1178" s="62" t="str">
        <f>IF(A1178="","",IFERROR(INDEX(dv_cname,MATCH(A1178,dv_num,0))&amp;"",""))</f>
        <v/>
      </c>
      <c r="N1178" s="59" t="str">
        <f>IF(COUNTA(A1178:G1178)=0,"",IF(A1178="","N° devis manquant",IF(ISNA(MATCH(A1178,dv_num,0)),"Devis inconnu",IF(AND(B1178&lt;&gt;"",ISNA(MATCH(B1178,pr_code,0))),"Article inconnu",IF(H1178="","Désignation manquante",IF(OR(NOT(ISNUMBER(D1178)),N(D1178)&lt;=0),"Quantité invalide",IF(J1178="","Prix manquant",IF(OR(NOT(ISNUMBER(J1178)),N(J1178)&lt;0),"Prix invalide",IF(OR(AND(F1178&lt;&gt;"",NOT(ISNUMBER(F1178))),N(F1178)&lt;0,N(F1178)&gt;1),"Remise invalide",IF(K1178="","Taux de TVA manquant",IF(NOT(ISNUMBER(K1178)),"Taux de TVA invalide",IF(COUNTIF(p_rates,K1178)=0,"Taux de TVA hors liste (Paramètres)",IF(N(O1178)&gt;25,"Au-delà de 25 lignes : non imprimée","OK")))))))))))))</f>
        <v/>
      </c>
      <c r="O1178" s="59" t="str">
        <f>IF(A1178="","",COUNTIF($A$6:A1178,A1178))</f>
        <v/>
      </c>
      <c r="P1178" s="62" t="str">
        <f>IF(A1178="","",A1178&amp;"|"&amp;O1178)</f>
        <v/>
      </c>
    </row>
    <row r="1179">
      <c r="A1179" s="60" t="n"/>
      <c r="B1179" s="63" t="n"/>
      <c r="C1179" s="63" t="n"/>
      <c r="D1179" s="67" t="n"/>
      <c r="E1179" s="68" t="n"/>
      <c r="F1179" s="69" t="n"/>
      <c r="G1179" s="70" t="n"/>
      <c r="H1179" s="62" t="str">
        <f>IF(COUNTA(A1179:G1179)=0,"",IF(C1179&lt;&gt;"",C1179,IF(B1179="","",IFERROR(INDEX(pr_des,MATCH(B1179,pr_code,0))&amp;"",""))))</f>
        <v/>
      </c>
      <c r="I1179" s="59" t="str">
        <f>IF(B1179="","",IFERROR(INDEX(pr_unit,MATCH(B1179,pr_code,0))&amp;"",""))</f>
        <v/>
      </c>
      <c r="J1179" s="65" t="str">
        <f>IF(COUNTA(A1179:G1179)=0,"",IF(E1179&lt;&gt;"",E1179,IF(B1179="","",IFERROR(IF(INDEX(pr_price,MATCH(B1179,pr_code,0))="","",INDEX(pr_price,MATCH(B1179,pr_code,0))),""))))</f>
        <v/>
      </c>
      <c r="K1179" s="71" t="str">
        <f>IF(COUNTA(A1179:G1179)=0,"",IF(G1179&lt;&gt;"",G1179,IF(B1179="","",IFERROR(IF(INDEX(pr_rate,MATCH(B1179,pr_code,0))="","",INDEX(pr_rate,MATCH(B1179,pr_code,0))),""))))</f>
        <v/>
      </c>
      <c r="L1179" s="65" t="str">
        <f>IF(COUNTA(A1179:G1179)=0,"",IF(AND(ISNUMBER(D1179),ISNUMBER(J1179)),ROUND(D1179*J1179*(1-N(F1179)),2),0))</f>
        <v/>
      </c>
      <c r="M1179" s="62" t="str">
        <f>IF(A1179="","",IFERROR(INDEX(dv_cname,MATCH(A1179,dv_num,0))&amp;"",""))</f>
        <v/>
      </c>
      <c r="N1179" s="59" t="str">
        <f>IF(COUNTA(A1179:G1179)=0,"",IF(A1179="","N° devis manquant",IF(ISNA(MATCH(A1179,dv_num,0)),"Devis inconnu",IF(AND(B1179&lt;&gt;"",ISNA(MATCH(B1179,pr_code,0))),"Article inconnu",IF(H1179="","Désignation manquante",IF(OR(NOT(ISNUMBER(D1179)),N(D1179)&lt;=0),"Quantité invalide",IF(J1179="","Prix manquant",IF(OR(NOT(ISNUMBER(J1179)),N(J1179)&lt;0),"Prix invalide",IF(OR(AND(F1179&lt;&gt;"",NOT(ISNUMBER(F1179))),N(F1179)&lt;0,N(F1179)&gt;1),"Remise invalide",IF(K1179="","Taux de TVA manquant",IF(NOT(ISNUMBER(K1179)),"Taux de TVA invalide",IF(COUNTIF(p_rates,K1179)=0,"Taux de TVA hors liste (Paramètres)",IF(N(O1179)&gt;25,"Au-delà de 25 lignes : non imprimée","OK")))))))))))))</f>
        <v/>
      </c>
      <c r="O1179" s="59" t="str">
        <f>IF(A1179="","",COUNTIF($A$6:A1179,A1179))</f>
        <v/>
      </c>
      <c r="P1179" s="62" t="str">
        <f>IF(A1179="","",A1179&amp;"|"&amp;O1179)</f>
        <v/>
      </c>
    </row>
    <row r="1180">
      <c r="A1180" s="60" t="n"/>
      <c r="B1180" s="63" t="n"/>
      <c r="C1180" s="63" t="n"/>
      <c r="D1180" s="67" t="n"/>
      <c r="E1180" s="68" t="n"/>
      <c r="F1180" s="69" t="n"/>
      <c r="G1180" s="70" t="n"/>
      <c r="H1180" s="62" t="str">
        <f>IF(COUNTA(A1180:G1180)=0,"",IF(C1180&lt;&gt;"",C1180,IF(B1180="","",IFERROR(INDEX(pr_des,MATCH(B1180,pr_code,0))&amp;"",""))))</f>
        <v/>
      </c>
      <c r="I1180" s="59" t="str">
        <f>IF(B1180="","",IFERROR(INDEX(pr_unit,MATCH(B1180,pr_code,0))&amp;"",""))</f>
        <v/>
      </c>
      <c r="J1180" s="65" t="str">
        <f>IF(COUNTA(A1180:G1180)=0,"",IF(E1180&lt;&gt;"",E1180,IF(B1180="","",IFERROR(IF(INDEX(pr_price,MATCH(B1180,pr_code,0))="","",INDEX(pr_price,MATCH(B1180,pr_code,0))),""))))</f>
        <v/>
      </c>
      <c r="K1180" s="71" t="str">
        <f>IF(COUNTA(A1180:G1180)=0,"",IF(G1180&lt;&gt;"",G1180,IF(B1180="","",IFERROR(IF(INDEX(pr_rate,MATCH(B1180,pr_code,0))="","",INDEX(pr_rate,MATCH(B1180,pr_code,0))),""))))</f>
        <v/>
      </c>
      <c r="L1180" s="65" t="str">
        <f>IF(COUNTA(A1180:G1180)=0,"",IF(AND(ISNUMBER(D1180),ISNUMBER(J1180)),ROUND(D1180*J1180*(1-N(F1180)),2),0))</f>
        <v/>
      </c>
      <c r="M1180" s="62" t="str">
        <f>IF(A1180="","",IFERROR(INDEX(dv_cname,MATCH(A1180,dv_num,0))&amp;"",""))</f>
        <v/>
      </c>
      <c r="N1180" s="59" t="str">
        <f>IF(COUNTA(A1180:G1180)=0,"",IF(A1180="","N° devis manquant",IF(ISNA(MATCH(A1180,dv_num,0)),"Devis inconnu",IF(AND(B1180&lt;&gt;"",ISNA(MATCH(B1180,pr_code,0))),"Article inconnu",IF(H1180="","Désignation manquante",IF(OR(NOT(ISNUMBER(D1180)),N(D1180)&lt;=0),"Quantité invalide",IF(J1180="","Prix manquant",IF(OR(NOT(ISNUMBER(J1180)),N(J1180)&lt;0),"Prix invalide",IF(OR(AND(F1180&lt;&gt;"",NOT(ISNUMBER(F1180))),N(F1180)&lt;0,N(F1180)&gt;1),"Remise invalide",IF(K1180="","Taux de TVA manquant",IF(NOT(ISNUMBER(K1180)),"Taux de TVA invalide",IF(COUNTIF(p_rates,K1180)=0,"Taux de TVA hors liste (Paramètres)",IF(N(O1180)&gt;25,"Au-delà de 25 lignes : non imprimée","OK")))))))))))))</f>
        <v/>
      </c>
      <c r="O1180" s="59" t="str">
        <f>IF(A1180="","",COUNTIF($A$6:A1180,A1180))</f>
        <v/>
      </c>
      <c r="P1180" s="62" t="str">
        <f>IF(A1180="","",A1180&amp;"|"&amp;O1180)</f>
        <v/>
      </c>
    </row>
    <row r="1181">
      <c r="A1181" s="60" t="n"/>
      <c r="B1181" s="63" t="n"/>
      <c r="C1181" s="63" t="n"/>
      <c r="D1181" s="67" t="n"/>
      <c r="E1181" s="68" t="n"/>
      <c r="F1181" s="69" t="n"/>
      <c r="G1181" s="70" t="n"/>
      <c r="H1181" s="62" t="str">
        <f>IF(COUNTA(A1181:G1181)=0,"",IF(C1181&lt;&gt;"",C1181,IF(B1181="","",IFERROR(INDEX(pr_des,MATCH(B1181,pr_code,0))&amp;"",""))))</f>
        <v/>
      </c>
      <c r="I1181" s="59" t="str">
        <f>IF(B1181="","",IFERROR(INDEX(pr_unit,MATCH(B1181,pr_code,0))&amp;"",""))</f>
        <v/>
      </c>
      <c r="J1181" s="65" t="str">
        <f>IF(COUNTA(A1181:G1181)=0,"",IF(E1181&lt;&gt;"",E1181,IF(B1181="","",IFERROR(IF(INDEX(pr_price,MATCH(B1181,pr_code,0))="","",INDEX(pr_price,MATCH(B1181,pr_code,0))),""))))</f>
        <v/>
      </c>
      <c r="K1181" s="71" t="str">
        <f>IF(COUNTA(A1181:G1181)=0,"",IF(G1181&lt;&gt;"",G1181,IF(B1181="","",IFERROR(IF(INDEX(pr_rate,MATCH(B1181,pr_code,0))="","",INDEX(pr_rate,MATCH(B1181,pr_code,0))),""))))</f>
        <v/>
      </c>
      <c r="L1181" s="65" t="str">
        <f>IF(COUNTA(A1181:G1181)=0,"",IF(AND(ISNUMBER(D1181),ISNUMBER(J1181)),ROUND(D1181*J1181*(1-N(F1181)),2),0))</f>
        <v/>
      </c>
      <c r="M1181" s="62" t="str">
        <f>IF(A1181="","",IFERROR(INDEX(dv_cname,MATCH(A1181,dv_num,0))&amp;"",""))</f>
        <v/>
      </c>
      <c r="N1181" s="59" t="str">
        <f>IF(COUNTA(A1181:G1181)=0,"",IF(A1181="","N° devis manquant",IF(ISNA(MATCH(A1181,dv_num,0)),"Devis inconnu",IF(AND(B1181&lt;&gt;"",ISNA(MATCH(B1181,pr_code,0))),"Article inconnu",IF(H1181="","Désignation manquante",IF(OR(NOT(ISNUMBER(D1181)),N(D1181)&lt;=0),"Quantité invalide",IF(J1181="","Prix manquant",IF(OR(NOT(ISNUMBER(J1181)),N(J1181)&lt;0),"Prix invalide",IF(OR(AND(F1181&lt;&gt;"",NOT(ISNUMBER(F1181))),N(F1181)&lt;0,N(F1181)&gt;1),"Remise invalide",IF(K1181="","Taux de TVA manquant",IF(NOT(ISNUMBER(K1181)),"Taux de TVA invalide",IF(COUNTIF(p_rates,K1181)=0,"Taux de TVA hors liste (Paramètres)",IF(N(O1181)&gt;25,"Au-delà de 25 lignes : non imprimée","OK")))))))))))))</f>
        <v/>
      </c>
      <c r="O1181" s="59" t="str">
        <f>IF(A1181="","",COUNTIF($A$6:A1181,A1181))</f>
        <v/>
      </c>
      <c r="P1181" s="62" t="str">
        <f>IF(A1181="","",A1181&amp;"|"&amp;O1181)</f>
        <v/>
      </c>
    </row>
    <row r="1182">
      <c r="A1182" s="60" t="n"/>
      <c r="B1182" s="63" t="n"/>
      <c r="C1182" s="63" t="n"/>
      <c r="D1182" s="67" t="n"/>
      <c r="E1182" s="68" t="n"/>
      <c r="F1182" s="69" t="n"/>
      <c r="G1182" s="70" t="n"/>
      <c r="H1182" s="62" t="str">
        <f>IF(COUNTA(A1182:G1182)=0,"",IF(C1182&lt;&gt;"",C1182,IF(B1182="","",IFERROR(INDEX(pr_des,MATCH(B1182,pr_code,0))&amp;"",""))))</f>
        <v/>
      </c>
      <c r="I1182" s="59" t="str">
        <f>IF(B1182="","",IFERROR(INDEX(pr_unit,MATCH(B1182,pr_code,0))&amp;"",""))</f>
        <v/>
      </c>
      <c r="J1182" s="65" t="str">
        <f>IF(COUNTA(A1182:G1182)=0,"",IF(E1182&lt;&gt;"",E1182,IF(B1182="","",IFERROR(IF(INDEX(pr_price,MATCH(B1182,pr_code,0))="","",INDEX(pr_price,MATCH(B1182,pr_code,0))),""))))</f>
        <v/>
      </c>
      <c r="K1182" s="71" t="str">
        <f>IF(COUNTA(A1182:G1182)=0,"",IF(G1182&lt;&gt;"",G1182,IF(B1182="","",IFERROR(IF(INDEX(pr_rate,MATCH(B1182,pr_code,0))="","",INDEX(pr_rate,MATCH(B1182,pr_code,0))),""))))</f>
        <v/>
      </c>
      <c r="L1182" s="65" t="str">
        <f>IF(COUNTA(A1182:G1182)=0,"",IF(AND(ISNUMBER(D1182),ISNUMBER(J1182)),ROUND(D1182*J1182*(1-N(F1182)),2),0))</f>
        <v/>
      </c>
      <c r="M1182" s="62" t="str">
        <f>IF(A1182="","",IFERROR(INDEX(dv_cname,MATCH(A1182,dv_num,0))&amp;"",""))</f>
        <v/>
      </c>
      <c r="N1182" s="59" t="str">
        <f>IF(COUNTA(A1182:G1182)=0,"",IF(A1182="","N° devis manquant",IF(ISNA(MATCH(A1182,dv_num,0)),"Devis inconnu",IF(AND(B1182&lt;&gt;"",ISNA(MATCH(B1182,pr_code,0))),"Article inconnu",IF(H1182="","Désignation manquante",IF(OR(NOT(ISNUMBER(D1182)),N(D1182)&lt;=0),"Quantité invalide",IF(J1182="","Prix manquant",IF(OR(NOT(ISNUMBER(J1182)),N(J1182)&lt;0),"Prix invalide",IF(OR(AND(F1182&lt;&gt;"",NOT(ISNUMBER(F1182))),N(F1182)&lt;0,N(F1182)&gt;1),"Remise invalide",IF(K1182="","Taux de TVA manquant",IF(NOT(ISNUMBER(K1182)),"Taux de TVA invalide",IF(COUNTIF(p_rates,K1182)=0,"Taux de TVA hors liste (Paramètres)",IF(N(O1182)&gt;25,"Au-delà de 25 lignes : non imprimée","OK")))))))))))))</f>
        <v/>
      </c>
      <c r="O1182" s="59" t="str">
        <f>IF(A1182="","",COUNTIF($A$6:A1182,A1182))</f>
        <v/>
      </c>
      <c r="P1182" s="62" t="str">
        <f>IF(A1182="","",A1182&amp;"|"&amp;O1182)</f>
        <v/>
      </c>
    </row>
    <row r="1183">
      <c r="A1183" s="60" t="n"/>
      <c r="B1183" s="63" t="n"/>
      <c r="C1183" s="63" t="n"/>
      <c r="D1183" s="67" t="n"/>
      <c r="E1183" s="68" t="n"/>
      <c r="F1183" s="69" t="n"/>
      <c r="G1183" s="70" t="n"/>
      <c r="H1183" s="62" t="str">
        <f>IF(COUNTA(A1183:G1183)=0,"",IF(C1183&lt;&gt;"",C1183,IF(B1183="","",IFERROR(INDEX(pr_des,MATCH(B1183,pr_code,0))&amp;"",""))))</f>
        <v/>
      </c>
      <c r="I1183" s="59" t="str">
        <f>IF(B1183="","",IFERROR(INDEX(pr_unit,MATCH(B1183,pr_code,0))&amp;"",""))</f>
        <v/>
      </c>
      <c r="J1183" s="65" t="str">
        <f>IF(COUNTA(A1183:G1183)=0,"",IF(E1183&lt;&gt;"",E1183,IF(B1183="","",IFERROR(IF(INDEX(pr_price,MATCH(B1183,pr_code,0))="","",INDEX(pr_price,MATCH(B1183,pr_code,0))),""))))</f>
        <v/>
      </c>
      <c r="K1183" s="71" t="str">
        <f>IF(COUNTA(A1183:G1183)=0,"",IF(G1183&lt;&gt;"",G1183,IF(B1183="","",IFERROR(IF(INDEX(pr_rate,MATCH(B1183,pr_code,0))="","",INDEX(pr_rate,MATCH(B1183,pr_code,0))),""))))</f>
        <v/>
      </c>
      <c r="L1183" s="65" t="str">
        <f>IF(COUNTA(A1183:G1183)=0,"",IF(AND(ISNUMBER(D1183),ISNUMBER(J1183)),ROUND(D1183*J1183*(1-N(F1183)),2),0))</f>
        <v/>
      </c>
      <c r="M1183" s="62" t="str">
        <f>IF(A1183="","",IFERROR(INDEX(dv_cname,MATCH(A1183,dv_num,0))&amp;"",""))</f>
        <v/>
      </c>
      <c r="N1183" s="59" t="str">
        <f>IF(COUNTA(A1183:G1183)=0,"",IF(A1183="","N° devis manquant",IF(ISNA(MATCH(A1183,dv_num,0)),"Devis inconnu",IF(AND(B1183&lt;&gt;"",ISNA(MATCH(B1183,pr_code,0))),"Article inconnu",IF(H1183="","Désignation manquante",IF(OR(NOT(ISNUMBER(D1183)),N(D1183)&lt;=0),"Quantité invalide",IF(J1183="","Prix manquant",IF(OR(NOT(ISNUMBER(J1183)),N(J1183)&lt;0),"Prix invalide",IF(OR(AND(F1183&lt;&gt;"",NOT(ISNUMBER(F1183))),N(F1183)&lt;0,N(F1183)&gt;1),"Remise invalide",IF(K1183="","Taux de TVA manquant",IF(NOT(ISNUMBER(K1183)),"Taux de TVA invalide",IF(COUNTIF(p_rates,K1183)=0,"Taux de TVA hors liste (Paramètres)",IF(N(O1183)&gt;25,"Au-delà de 25 lignes : non imprimée","OK")))))))))))))</f>
        <v/>
      </c>
      <c r="O1183" s="59" t="str">
        <f>IF(A1183="","",COUNTIF($A$6:A1183,A1183))</f>
        <v/>
      </c>
      <c r="P1183" s="62" t="str">
        <f>IF(A1183="","",A1183&amp;"|"&amp;O1183)</f>
        <v/>
      </c>
    </row>
    <row r="1184">
      <c r="A1184" s="60" t="n"/>
      <c r="B1184" s="63" t="n"/>
      <c r="C1184" s="63" t="n"/>
      <c r="D1184" s="67" t="n"/>
      <c r="E1184" s="68" t="n"/>
      <c r="F1184" s="69" t="n"/>
      <c r="G1184" s="70" t="n"/>
      <c r="H1184" s="62" t="str">
        <f>IF(COUNTA(A1184:G1184)=0,"",IF(C1184&lt;&gt;"",C1184,IF(B1184="","",IFERROR(INDEX(pr_des,MATCH(B1184,pr_code,0))&amp;"",""))))</f>
        <v/>
      </c>
      <c r="I1184" s="59" t="str">
        <f>IF(B1184="","",IFERROR(INDEX(pr_unit,MATCH(B1184,pr_code,0))&amp;"",""))</f>
        <v/>
      </c>
      <c r="J1184" s="65" t="str">
        <f>IF(COUNTA(A1184:G1184)=0,"",IF(E1184&lt;&gt;"",E1184,IF(B1184="","",IFERROR(IF(INDEX(pr_price,MATCH(B1184,pr_code,0))="","",INDEX(pr_price,MATCH(B1184,pr_code,0))),""))))</f>
        <v/>
      </c>
      <c r="K1184" s="71" t="str">
        <f>IF(COUNTA(A1184:G1184)=0,"",IF(G1184&lt;&gt;"",G1184,IF(B1184="","",IFERROR(IF(INDEX(pr_rate,MATCH(B1184,pr_code,0))="","",INDEX(pr_rate,MATCH(B1184,pr_code,0))),""))))</f>
        <v/>
      </c>
      <c r="L1184" s="65" t="str">
        <f>IF(COUNTA(A1184:G1184)=0,"",IF(AND(ISNUMBER(D1184),ISNUMBER(J1184)),ROUND(D1184*J1184*(1-N(F1184)),2),0))</f>
        <v/>
      </c>
      <c r="M1184" s="62" t="str">
        <f>IF(A1184="","",IFERROR(INDEX(dv_cname,MATCH(A1184,dv_num,0))&amp;"",""))</f>
        <v/>
      </c>
      <c r="N1184" s="59" t="str">
        <f>IF(COUNTA(A1184:G1184)=0,"",IF(A1184="","N° devis manquant",IF(ISNA(MATCH(A1184,dv_num,0)),"Devis inconnu",IF(AND(B1184&lt;&gt;"",ISNA(MATCH(B1184,pr_code,0))),"Article inconnu",IF(H1184="","Désignation manquante",IF(OR(NOT(ISNUMBER(D1184)),N(D1184)&lt;=0),"Quantité invalide",IF(J1184="","Prix manquant",IF(OR(NOT(ISNUMBER(J1184)),N(J1184)&lt;0),"Prix invalide",IF(OR(AND(F1184&lt;&gt;"",NOT(ISNUMBER(F1184))),N(F1184)&lt;0,N(F1184)&gt;1),"Remise invalide",IF(K1184="","Taux de TVA manquant",IF(NOT(ISNUMBER(K1184)),"Taux de TVA invalide",IF(COUNTIF(p_rates,K1184)=0,"Taux de TVA hors liste (Paramètres)",IF(N(O1184)&gt;25,"Au-delà de 25 lignes : non imprimée","OK")))))))))))))</f>
        <v/>
      </c>
      <c r="O1184" s="59" t="str">
        <f>IF(A1184="","",COUNTIF($A$6:A1184,A1184))</f>
        <v/>
      </c>
      <c r="P1184" s="62" t="str">
        <f>IF(A1184="","",A1184&amp;"|"&amp;O1184)</f>
        <v/>
      </c>
    </row>
    <row r="1185">
      <c r="A1185" s="60" t="n"/>
      <c r="B1185" s="63" t="n"/>
      <c r="C1185" s="63" t="n"/>
      <c r="D1185" s="67" t="n"/>
      <c r="E1185" s="68" t="n"/>
      <c r="F1185" s="69" t="n"/>
      <c r="G1185" s="70" t="n"/>
      <c r="H1185" s="62" t="str">
        <f>IF(COUNTA(A1185:G1185)=0,"",IF(C1185&lt;&gt;"",C1185,IF(B1185="","",IFERROR(INDEX(pr_des,MATCH(B1185,pr_code,0))&amp;"",""))))</f>
        <v/>
      </c>
      <c r="I1185" s="59" t="str">
        <f>IF(B1185="","",IFERROR(INDEX(pr_unit,MATCH(B1185,pr_code,0))&amp;"",""))</f>
        <v/>
      </c>
      <c r="J1185" s="65" t="str">
        <f>IF(COUNTA(A1185:G1185)=0,"",IF(E1185&lt;&gt;"",E1185,IF(B1185="","",IFERROR(IF(INDEX(pr_price,MATCH(B1185,pr_code,0))="","",INDEX(pr_price,MATCH(B1185,pr_code,0))),""))))</f>
        <v/>
      </c>
      <c r="K1185" s="71" t="str">
        <f>IF(COUNTA(A1185:G1185)=0,"",IF(G1185&lt;&gt;"",G1185,IF(B1185="","",IFERROR(IF(INDEX(pr_rate,MATCH(B1185,pr_code,0))="","",INDEX(pr_rate,MATCH(B1185,pr_code,0))),""))))</f>
        <v/>
      </c>
      <c r="L1185" s="65" t="str">
        <f>IF(COUNTA(A1185:G1185)=0,"",IF(AND(ISNUMBER(D1185),ISNUMBER(J1185)),ROUND(D1185*J1185*(1-N(F1185)),2),0))</f>
        <v/>
      </c>
      <c r="M1185" s="62" t="str">
        <f>IF(A1185="","",IFERROR(INDEX(dv_cname,MATCH(A1185,dv_num,0))&amp;"",""))</f>
        <v/>
      </c>
      <c r="N1185" s="59" t="str">
        <f>IF(COUNTA(A1185:G1185)=0,"",IF(A1185="","N° devis manquant",IF(ISNA(MATCH(A1185,dv_num,0)),"Devis inconnu",IF(AND(B1185&lt;&gt;"",ISNA(MATCH(B1185,pr_code,0))),"Article inconnu",IF(H1185="","Désignation manquante",IF(OR(NOT(ISNUMBER(D1185)),N(D1185)&lt;=0),"Quantité invalide",IF(J1185="","Prix manquant",IF(OR(NOT(ISNUMBER(J1185)),N(J1185)&lt;0),"Prix invalide",IF(OR(AND(F1185&lt;&gt;"",NOT(ISNUMBER(F1185))),N(F1185)&lt;0,N(F1185)&gt;1),"Remise invalide",IF(K1185="","Taux de TVA manquant",IF(NOT(ISNUMBER(K1185)),"Taux de TVA invalide",IF(COUNTIF(p_rates,K1185)=0,"Taux de TVA hors liste (Paramètres)",IF(N(O1185)&gt;25,"Au-delà de 25 lignes : non imprimée","OK")))))))))))))</f>
        <v/>
      </c>
      <c r="O1185" s="59" t="str">
        <f>IF(A1185="","",COUNTIF($A$6:A1185,A1185))</f>
        <v/>
      </c>
      <c r="P1185" s="62" t="str">
        <f>IF(A1185="","",A1185&amp;"|"&amp;O1185)</f>
        <v/>
      </c>
    </row>
    <row r="1186">
      <c r="A1186" s="60" t="n"/>
      <c r="B1186" s="63" t="n"/>
      <c r="C1186" s="63" t="n"/>
      <c r="D1186" s="67" t="n"/>
      <c r="E1186" s="68" t="n"/>
      <c r="F1186" s="69" t="n"/>
      <c r="G1186" s="70" t="n"/>
      <c r="H1186" s="62" t="str">
        <f>IF(COUNTA(A1186:G1186)=0,"",IF(C1186&lt;&gt;"",C1186,IF(B1186="","",IFERROR(INDEX(pr_des,MATCH(B1186,pr_code,0))&amp;"",""))))</f>
        <v/>
      </c>
      <c r="I1186" s="59" t="str">
        <f>IF(B1186="","",IFERROR(INDEX(pr_unit,MATCH(B1186,pr_code,0))&amp;"",""))</f>
        <v/>
      </c>
      <c r="J1186" s="65" t="str">
        <f>IF(COUNTA(A1186:G1186)=0,"",IF(E1186&lt;&gt;"",E1186,IF(B1186="","",IFERROR(IF(INDEX(pr_price,MATCH(B1186,pr_code,0))="","",INDEX(pr_price,MATCH(B1186,pr_code,0))),""))))</f>
        <v/>
      </c>
      <c r="K1186" s="71" t="str">
        <f>IF(COUNTA(A1186:G1186)=0,"",IF(G1186&lt;&gt;"",G1186,IF(B1186="","",IFERROR(IF(INDEX(pr_rate,MATCH(B1186,pr_code,0))="","",INDEX(pr_rate,MATCH(B1186,pr_code,0))),""))))</f>
        <v/>
      </c>
      <c r="L1186" s="65" t="str">
        <f>IF(COUNTA(A1186:G1186)=0,"",IF(AND(ISNUMBER(D1186),ISNUMBER(J1186)),ROUND(D1186*J1186*(1-N(F1186)),2),0))</f>
        <v/>
      </c>
      <c r="M1186" s="62" t="str">
        <f>IF(A1186="","",IFERROR(INDEX(dv_cname,MATCH(A1186,dv_num,0))&amp;"",""))</f>
        <v/>
      </c>
      <c r="N1186" s="59" t="str">
        <f>IF(COUNTA(A1186:G1186)=0,"",IF(A1186="","N° devis manquant",IF(ISNA(MATCH(A1186,dv_num,0)),"Devis inconnu",IF(AND(B1186&lt;&gt;"",ISNA(MATCH(B1186,pr_code,0))),"Article inconnu",IF(H1186="","Désignation manquante",IF(OR(NOT(ISNUMBER(D1186)),N(D1186)&lt;=0),"Quantité invalide",IF(J1186="","Prix manquant",IF(OR(NOT(ISNUMBER(J1186)),N(J1186)&lt;0),"Prix invalide",IF(OR(AND(F1186&lt;&gt;"",NOT(ISNUMBER(F1186))),N(F1186)&lt;0,N(F1186)&gt;1),"Remise invalide",IF(K1186="","Taux de TVA manquant",IF(NOT(ISNUMBER(K1186)),"Taux de TVA invalide",IF(COUNTIF(p_rates,K1186)=0,"Taux de TVA hors liste (Paramètres)",IF(N(O1186)&gt;25,"Au-delà de 25 lignes : non imprimée","OK")))))))))))))</f>
        <v/>
      </c>
      <c r="O1186" s="59" t="str">
        <f>IF(A1186="","",COUNTIF($A$6:A1186,A1186))</f>
        <v/>
      </c>
      <c r="P1186" s="62" t="str">
        <f>IF(A1186="","",A1186&amp;"|"&amp;O1186)</f>
        <v/>
      </c>
    </row>
    <row r="1187">
      <c r="A1187" s="60" t="n"/>
      <c r="B1187" s="63" t="n"/>
      <c r="C1187" s="63" t="n"/>
      <c r="D1187" s="67" t="n"/>
      <c r="E1187" s="68" t="n"/>
      <c r="F1187" s="69" t="n"/>
      <c r="G1187" s="70" t="n"/>
      <c r="H1187" s="62" t="str">
        <f>IF(COUNTA(A1187:G1187)=0,"",IF(C1187&lt;&gt;"",C1187,IF(B1187="","",IFERROR(INDEX(pr_des,MATCH(B1187,pr_code,0))&amp;"",""))))</f>
        <v/>
      </c>
      <c r="I1187" s="59" t="str">
        <f>IF(B1187="","",IFERROR(INDEX(pr_unit,MATCH(B1187,pr_code,0))&amp;"",""))</f>
        <v/>
      </c>
      <c r="J1187" s="65" t="str">
        <f>IF(COUNTA(A1187:G1187)=0,"",IF(E1187&lt;&gt;"",E1187,IF(B1187="","",IFERROR(IF(INDEX(pr_price,MATCH(B1187,pr_code,0))="","",INDEX(pr_price,MATCH(B1187,pr_code,0))),""))))</f>
        <v/>
      </c>
      <c r="K1187" s="71" t="str">
        <f>IF(COUNTA(A1187:G1187)=0,"",IF(G1187&lt;&gt;"",G1187,IF(B1187="","",IFERROR(IF(INDEX(pr_rate,MATCH(B1187,pr_code,0))="","",INDEX(pr_rate,MATCH(B1187,pr_code,0))),""))))</f>
        <v/>
      </c>
      <c r="L1187" s="65" t="str">
        <f>IF(COUNTA(A1187:G1187)=0,"",IF(AND(ISNUMBER(D1187),ISNUMBER(J1187)),ROUND(D1187*J1187*(1-N(F1187)),2),0))</f>
        <v/>
      </c>
      <c r="M1187" s="62" t="str">
        <f>IF(A1187="","",IFERROR(INDEX(dv_cname,MATCH(A1187,dv_num,0))&amp;"",""))</f>
        <v/>
      </c>
      <c r="N1187" s="59" t="str">
        <f>IF(COUNTA(A1187:G1187)=0,"",IF(A1187="","N° devis manquant",IF(ISNA(MATCH(A1187,dv_num,0)),"Devis inconnu",IF(AND(B1187&lt;&gt;"",ISNA(MATCH(B1187,pr_code,0))),"Article inconnu",IF(H1187="","Désignation manquante",IF(OR(NOT(ISNUMBER(D1187)),N(D1187)&lt;=0),"Quantité invalide",IF(J1187="","Prix manquant",IF(OR(NOT(ISNUMBER(J1187)),N(J1187)&lt;0),"Prix invalide",IF(OR(AND(F1187&lt;&gt;"",NOT(ISNUMBER(F1187))),N(F1187)&lt;0,N(F1187)&gt;1),"Remise invalide",IF(K1187="","Taux de TVA manquant",IF(NOT(ISNUMBER(K1187)),"Taux de TVA invalide",IF(COUNTIF(p_rates,K1187)=0,"Taux de TVA hors liste (Paramètres)",IF(N(O1187)&gt;25,"Au-delà de 25 lignes : non imprimée","OK")))))))))))))</f>
        <v/>
      </c>
      <c r="O1187" s="59" t="str">
        <f>IF(A1187="","",COUNTIF($A$6:A1187,A1187))</f>
        <v/>
      </c>
      <c r="P1187" s="62" t="str">
        <f>IF(A1187="","",A1187&amp;"|"&amp;O1187)</f>
        <v/>
      </c>
    </row>
    <row r="1188">
      <c r="A1188" s="60" t="n"/>
      <c r="B1188" s="63" t="n"/>
      <c r="C1188" s="63" t="n"/>
      <c r="D1188" s="67" t="n"/>
      <c r="E1188" s="68" t="n"/>
      <c r="F1188" s="69" t="n"/>
      <c r="G1188" s="70" t="n"/>
      <c r="H1188" s="62" t="str">
        <f>IF(COUNTA(A1188:G1188)=0,"",IF(C1188&lt;&gt;"",C1188,IF(B1188="","",IFERROR(INDEX(pr_des,MATCH(B1188,pr_code,0))&amp;"",""))))</f>
        <v/>
      </c>
      <c r="I1188" s="59" t="str">
        <f>IF(B1188="","",IFERROR(INDEX(pr_unit,MATCH(B1188,pr_code,0))&amp;"",""))</f>
        <v/>
      </c>
      <c r="J1188" s="65" t="str">
        <f>IF(COUNTA(A1188:G1188)=0,"",IF(E1188&lt;&gt;"",E1188,IF(B1188="","",IFERROR(IF(INDEX(pr_price,MATCH(B1188,pr_code,0))="","",INDEX(pr_price,MATCH(B1188,pr_code,0))),""))))</f>
        <v/>
      </c>
      <c r="K1188" s="71" t="str">
        <f>IF(COUNTA(A1188:G1188)=0,"",IF(G1188&lt;&gt;"",G1188,IF(B1188="","",IFERROR(IF(INDEX(pr_rate,MATCH(B1188,pr_code,0))="","",INDEX(pr_rate,MATCH(B1188,pr_code,0))),""))))</f>
        <v/>
      </c>
      <c r="L1188" s="65" t="str">
        <f>IF(COUNTA(A1188:G1188)=0,"",IF(AND(ISNUMBER(D1188),ISNUMBER(J1188)),ROUND(D1188*J1188*(1-N(F1188)),2),0))</f>
        <v/>
      </c>
      <c r="M1188" s="62" t="str">
        <f>IF(A1188="","",IFERROR(INDEX(dv_cname,MATCH(A1188,dv_num,0))&amp;"",""))</f>
        <v/>
      </c>
      <c r="N1188" s="59" t="str">
        <f>IF(COUNTA(A1188:G1188)=0,"",IF(A1188="","N° devis manquant",IF(ISNA(MATCH(A1188,dv_num,0)),"Devis inconnu",IF(AND(B1188&lt;&gt;"",ISNA(MATCH(B1188,pr_code,0))),"Article inconnu",IF(H1188="","Désignation manquante",IF(OR(NOT(ISNUMBER(D1188)),N(D1188)&lt;=0),"Quantité invalide",IF(J1188="","Prix manquant",IF(OR(NOT(ISNUMBER(J1188)),N(J1188)&lt;0),"Prix invalide",IF(OR(AND(F1188&lt;&gt;"",NOT(ISNUMBER(F1188))),N(F1188)&lt;0,N(F1188)&gt;1),"Remise invalide",IF(K1188="","Taux de TVA manquant",IF(NOT(ISNUMBER(K1188)),"Taux de TVA invalide",IF(COUNTIF(p_rates,K1188)=0,"Taux de TVA hors liste (Paramètres)",IF(N(O1188)&gt;25,"Au-delà de 25 lignes : non imprimée","OK")))))))))))))</f>
        <v/>
      </c>
      <c r="O1188" s="59" t="str">
        <f>IF(A1188="","",COUNTIF($A$6:A1188,A1188))</f>
        <v/>
      </c>
      <c r="P1188" s="62" t="str">
        <f>IF(A1188="","",A1188&amp;"|"&amp;O1188)</f>
        <v/>
      </c>
    </row>
    <row r="1189">
      <c r="A1189" s="60" t="n"/>
      <c r="B1189" s="63" t="n"/>
      <c r="C1189" s="63" t="n"/>
      <c r="D1189" s="67" t="n"/>
      <c r="E1189" s="68" t="n"/>
      <c r="F1189" s="69" t="n"/>
      <c r="G1189" s="70" t="n"/>
      <c r="H1189" s="62" t="str">
        <f>IF(COUNTA(A1189:G1189)=0,"",IF(C1189&lt;&gt;"",C1189,IF(B1189="","",IFERROR(INDEX(pr_des,MATCH(B1189,pr_code,0))&amp;"",""))))</f>
        <v/>
      </c>
      <c r="I1189" s="59" t="str">
        <f>IF(B1189="","",IFERROR(INDEX(pr_unit,MATCH(B1189,pr_code,0))&amp;"",""))</f>
        <v/>
      </c>
      <c r="J1189" s="65" t="str">
        <f>IF(COUNTA(A1189:G1189)=0,"",IF(E1189&lt;&gt;"",E1189,IF(B1189="","",IFERROR(IF(INDEX(pr_price,MATCH(B1189,pr_code,0))="","",INDEX(pr_price,MATCH(B1189,pr_code,0))),""))))</f>
        <v/>
      </c>
      <c r="K1189" s="71" t="str">
        <f>IF(COUNTA(A1189:G1189)=0,"",IF(G1189&lt;&gt;"",G1189,IF(B1189="","",IFERROR(IF(INDEX(pr_rate,MATCH(B1189,pr_code,0))="","",INDEX(pr_rate,MATCH(B1189,pr_code,0))),""))))</f>
        <v/>
      </c>
      <c r="L1189" s="65" t="str">
        <f>IF(COUNTA(A1189:G1189)=0,"",IF(AND(ISNUMBER(D1189),ISNUMBER(J1189)),ROUND(D1189*J1189*(1-N(F1189)),2),0))</f>
        <v/>
      </c>
      <c r="M1189" s="62" t="str">
        <f>IF(A1189="","",IFERROR(INDEX(dv_cname,MATCH(A1189,dv_num,0))&amp;"",""))</f>
        <v/>
      </c>
      <c r="N1189" s="59" t="str">
        <f>IF(COUNTA(A1189:G1189)=0,"",IF(A1189="","N° devis manquant",IF(ISNA(MATCH(A1189,dv_num,0)),"Devis inconnu",IF(AND(B1189&lt;&gt;"",ISNA(MATCH(B1189,pr_code,0))),"Article inconnu",IF(H1189="","Désignation manquante",IF(OR(NOT(ISNUMBER(D1189)),N(D1189)&lt;=0),"Quantité invalide",IF(J1189="","Prix manquant",IF(OR(NOT(ISNUMBER(J1189)),N(J1189)&lt;0),"Prix invalide",IF(OR(AND(F1189&lt;&gt;"",NOT(ISNUMBER(F1189))),N(F1189)&lt;0,N(F1189)&gt;1),"Remise invalide",IF(K1189="","Taux de TVA manquant",IF(NOT(ISNUMBER(K1189)),"Taux de TVA invalide",IF(COUNTIF(p_rates,K1189)=0,"Taux de TVA hors liste (Paramètres)",IF(N(O1189)&gt;25,"Au-delà de 25 lignes : non imprimée","OK")))))))))))))</f>
        <v/>
      </c>
      <c r="O1189" s="59" t="str">
        <f>IF(A1189="","",COUNTIF($A$6:A1189,A1189))</f>
        <v/>
      </c>
      <c r="P1189" s="62" t="str">
        <f>IF(A1189="","",A1189&amp;"|"&amp;O1189)</f>
        <v/>
      </c>
    </row>
    <row r="1190">
      <c r="A1190" s="60" t="n"/>
      <c r="B1190" s="63" t="n"/>
      <c r="C1190" s="63" t="n"/>
      <c r="D1190" s="67" t="n"/>
      <c r="E1190" s="68" t="n"/>
      <c r="F1190" s="69" t="n"/>
      <c r="G1190" s="70" t="n"/>
      <c r="H1190" s="62" t="str">
        <f>IF(COUNTA(A1190:G1190)=0,"",IF(C1190&lt;&gt;"",C1190,IF(B1190="","",IFERROR(INDEX(pr_des,MATCH(B1190,pr_code,0))&amp;"",""))))</f>
        <v/>
      </c>
      <c r="I1190" s="59" t="str">
        <f>IF(B1190="","",IFERROR(INDEX(pr_unit,MATCH(B1190,pr_code,0))&amp;"",""))</f>
        <v/>
      </c>
      <c r="J1190" s="65" t="str">
        <f>IF(COUNTA(A1190:G1190)=0,"",IF(E1190&lt;&gt;"",E1190,IF(B1190="","",IFERROR(IF(INDEX(pr_price,MATCH(B1190,pr_code,0))="","",INDEX(pr_price,MATCH(B1190,pr_code,0))),""))))</f>
        <v/>
      </c>
      <c r="K1190" s="71" t="str">
        <f>IF(COUNTA(A1190:G1190)=0,"",IF(G1190&lt;&gt;"",G1190,IF(B1190="","",IFERROR(IF(INDEX(pr_rate,MATCH(B1190,pr_code,0))="","",INDEX(pr_rate,MATCH(B1190,pr_code,0))),""))))</f>
        <v/>
      </c>
      <c r="L1190" s="65" t="str">
        <f>IF(COUNTA(A1190:G1190)=0,"",IF(AND(ISNUMBER(D1190),ISNUMBER(J1190)),ROUND(D1190*J1190*(1-N(F1190)),2),0))</f>
        <v/>
      </c>
      <c r="M1190" s="62" t="str">
        <f>IF(A1190="","",IFERROR(INDEX(dv_cname,MATCH(A1190,dv_num,0))&amp;"",""))</f>
        <v/>
      </c>
      <c r="N1190" s="59" t="str">
        <f>IF(COUNTA(A1190:G1190)=0,"",IF(A1190="","N° devis manquant",IF(ISNA(MATCH(A1190,dv_num,0)),"Devis inconnu",IF(AND(B1190&lt;&gt;"",ISNA(MATCH(B1190,pr_code,0))),"Article inconnu",IF(H1190="","Désignation manquante",IF(OR(NOT(ISNUMBER(D1190)),N(D1190)&lt;=0),"Quantité invalide",IF(J1190="","Prix manquant",IF(OR(NOT(ISNUMBER(J1190)),N(J1190)&lt;0),"Prix invalide",IF(OR(AND(F1190&lt;&gt;"",NOT(ISNUMBER(F1190))),N(F1190)&lt;0,N(F1190)&gt;1),"Remise invalide",IF(K1190="","Taux de TVA manquant",IF(NOT(ISNUMBER(K1190)),"Taux de TVA invalide",IF(COUNTIF(p_rates,K1190)=0,"Taux de TVA hors liste (Paramètres)",IF(N(O1190)&gt;25,"Au-delà de 25 lignes : non imprimée","OK")))))))))))))</f>
        <v/>
      </c>
      <c r="O1190" s="59" t="str">
        <f>IF(A1190="","",COUNTIF($A$6:A1190,A1190))</f>
        <v/>
      </c>
      <c r="P1190" s="62" t="str">
        <f>IF(A1190="","",A1190&amp;"|"&amp;O1190)</f>
        <v/>
      </c>
    </row>
    <row r="1191">
      <c r="A1191" s="60" t="n"/>
      <c r="B1191" s="63" t="n"/>
      <c r="C1191" s="63" t="n"/>
      <c r="D1191" s="67" t="n"/>
      <c r="E1191" s="68" t="n"/>
      <c r="F1191" s="69" t="n"/>
      <c r="G1191" s="70" t="n"/>
      <c r="H1191" s="62" t="str">
        <f>IF(COUNTA(A1191:G1191)=0,"",IF(C1191&lt;&gt;"",C1191,IF(B1191="","",IFERROR(INDEX(pr_des,MATCH(B1191,pr_code,0))&amp;"",""))))</f>
        <v/>
      </c>
      <c r="I1191" s="59" t="str">
        <f>IF(B1191="","",IFERROR(INDEX(pr_unit,MATCH(B1191,pr_code,0))&amp;"",""))</f>
        <v/>
      </c>
      <c r="J1191" s="65" t="str">
        <f>IF(COUNTA(A1191:G1191)=0,"",IF(E1191&lt;&gt;"",E1191,IF(B1191="","",IFERROR(IF(INDEX(pr_price,MATCH(B1191,pr_code,0))="","",INDEX(pr_price,MATCH(B1191,pr_code,0))),""))))</f>
        <v/>
      </c>
      <c r="K1191" s="71" t="str">
        <f>IF(COUNTA(A1191:G1191)=0,"",IF(G1191&lt;&gt;"",G1191,IF(B1191="","",IFERROR(IF(INDEX(pr_rate,MATCH(B1191,pr_code,0))="","",INDEX(pr_rate,MATCH(B1191,pr_code,0))),""))))</f>
        <v/>
      </c>
      <c r="L1191" s="65" t="str">
        <f>IF(COUNTA(A1191:G1191)=0,"",IF(AND(ISNUMBER(D1191),ISNUMBER(J1191)),ROUND(D1191*J1191*(1-N(F1191)),2),0))</f>
        <v/>
      </c>
      <c r="M1191" s="62" t="str">
        <f>IF(A1191="","",IFERROR(INDEX(dv_cname,MATCH(A1191,dv_num,0))&amp;"",""))</f>
        <v/>
      </c>
      <c r="N1191" s="59" t="str">
        <f>IF(COUNTA(A1191:G1191)=0,"",IF(A1191="","N° devis manquant",IF(ISNA(MATCH(A1191,dv_num,0)),"Devis inconnu",IF(AND(B1191&lt;&gt;"",ISNA(MATCH(B1191,pr_code,0))),"Article inconnu",IF(H1191="","Désignation manquante",IF(OR(NOT(ISNUMBER(D1191)),N(D1191)&lt;=0),"Quantité invalide",IF(J1191="","Prix manquant",IF(OR(NOT(ISNUMBER(J1191)),N(J1191)&lt;0),"Prix invalide",IF(OR(AND(F1191&lt;&gt;"",NOT(ISNUMBER(F1191))),N(F1191)&lt;0,N(F1191)&gt;1),"Remise invalide",IF(K1191="","Taux de TVA manquant",IF(NOT(ISNUMBER(K1191)),"Taux de TVA invalide",IF(COUNTIF(p_rates,K1191)=0,"Taux de TVA hors liste (Paramètres)",IF(N(O1191)&gt;25,"Au-delà de 25 lignes : non imprimée","OK")))))))))))))</f>
        <v/>
      </c>
      <c r="O1191" s="59" t="str">
        <f>IF(A1191="","",COUNTIF($A$6:A1191,A1191))</f>
        <v/>
      </c>
      <c r="P1191" s="62" t="str">
        <f>IF(A1191="","",A1191&amp;"|"&amp;O1191)</f>
        <v/>
      </c>
    </row>
    <row r="1192">
      <c r="A1192" s="60" t="n"/>
      <c r="B1192" s="63" t="n"/>
      <c r="C1192" s="63" t="n"/>
      <c r="D1192" s="67" t="n"/>
      <c r="E1192" s="68" t="n"/>
      <c r="F1192" s="69" t="n"/>
      <c r="G1192" s="70" t="n"/>
      <c r="H1192" s="62" t="str">
        <f>IF(COUNTA(A1192:G1192)=0,"",IF(C1192&lt;&gt;"",C1192,IF(B1192="","",IFERROR(INDEX(pr_des,MATCH(B1192,pr_code,0))&amp;"",""))))</f>
        <v/>
      </c>
      <c r="I1192" s="59" t="str">
        <f>IF(B1192="","",IFERROR(INDEX(pr_unit,MATCH(B1192,pr_code,0))&amp;"",""))</f>
        <v/>
      </c>
      <c r="J1192" s="65" t="str">
        <f>IF(COUNTA(A1192:G1192)=0,"",IF(E1192&lt;&gt;"",E1192,IF(B1192="","",IFERROR(IF(INDEX(pr_price,MATCH(B1192,pr_code,0))="","",INDEX(pr_price,MATCH(B1192,pr_code,0))),""))))</f>
        <v/>
      </c>
      <c r="K1192" s="71" t="str">
        <f>IF(COUNTA(A1192:G1192)=0,"",IF(G1192&lt;&gt;"",G1192,IF(B1192="","",IFERROR(IF(INDEX(pr_rate,MATCH(B1192,pr_code,0))="","",INDEX(pr_rate,MATCH(B1192,pr_code,0))),""))))</f>
        <v/>
      </c>
      <c r="L1192" s="65" t="str">
        <f>IF(COUNTA(A1192:G1192)=0,"",IF(AND(ISNUMBER(D1192),ISNUMBER(J1192)),ROUND(D1192*J1192*(1-N(F1192)),2),0))</f>
        <v/>
      </c>
      <c r="M1192" s="62" t="str">
        <f>IF(A1192="","",IFERROR(INDEX(dv_cname,MATCH(A1192,dv_num,0))&amp;"",""))</f>
        <v/>
      </c>
      <c r="N1192" s="59" t="str">
        <f>IF(COUNTA(A1192:G1192)=0,"",IF(A1192="","N° devis manquant",IF(ISNA(MATCH(A1192,dv_num,0)),"Devis inconnu",IF(AND(B1192&lt;&gt;"",ISNA(MATCH(B1192,pr_code,0))),"Article inconnu",IF(H1192="","Désignation manquante",IF(OR(NOT(ISNUMBER(D1192)),N(D1192)&lt;=0),"Quantité invalide",IF(J1192="","Prix manquant",IF(OR(NOT(ISNUMBER(J1192)),N(J1192)&lt;0),"Prix invalide",IF(OR(AND(F1192&lt;&gt;"",NOT(ISNUMBER(F1192))),N(F1192)&lt;0,N(F1192)&gt;1),"Remise invalide",IF(K1192="","Taux de TVA manquant",IF(NOT(ISNUMBER(K1192)),"Taux de TVA invalide",IF(COUNTIF(p_rates,K1192)=0,"Taux de TVA hors liste (Paramètres)",IF(N(O1192)&gt;25,"Au-delà de 25 lignes : non imprimée","OK")))))))))))))</f>
        <v/>
      </c>
      <c r="O1192" s="59" t="str">
        <f>IF(A1192="","",COUNTIF($A$6:A1192,A1192))</f>
        <v/>
      </c>
      <c r="P1192" s="62" t="str">
        <f>IF(A1192="","",A1192&amp;"|"&amp;O1192)</f>
        <v/>
      </c>
    </row>
    <row r="1193">
      <c r="A1193" s="60" t="n"/>
      <c r="B1193" s="63" t="n"/>
      <c r="C1193" s="63" t="n"/>
      <c r="D1193" s="67" t="n"/>
      <c r="E1193" s="68" t="n"/>
      <c r="F1193" s="69" t="n"/>
      <c r="G1193" s="70" t="n"/>
      <c r="H1193" s="62" t="str">
        <f>IF(COUNTA(A1193:G1193)=0,"",IF(C1193&lt;&gt;"",C1193,IF(B1193="","",IFERROR(INDEX(pr_des,MATCH(B1193,pr_code,0))&amp;"",""))))</f>
        <v/>
      </c>
      <c r="I1193" s="59" t="str">
        <f>IF(B1193="","",IFERROR(INDEX(pr_unit,MATCH(B1193,pr_code,0))&amp;"",""))</f>
        <v/>
      </c>
      <c r="J1193" s="65" t="str">
        <f>IF(COUNTA(A1193:G1193)=0,"",IF(E1193&lt;&gt;"",E1193,IF(B1193="","",IFERROR(IF(INDEX(pr_price,MATCH(B1193,pr_code,0))="","",INDEX(pr_price,MATCH(B1193,pr_code,0))),""))))</f>
        <v/>
      </c>
      <c r="K1193" s="71" t="str">
        <f>IF(COUNTA(A1193:G1193)=0,"",IF(G1193&lt;&gt;"",G1193,IF(B1193="","",IFERROR(IF(INDEX(pr_rate,MATCH(B1193,pr_code,0))="","",INDEX(pr_rate,MATCH(B1193,pr_code,0))),""))))</f>
        <v/>
      </c>
      <c r="L1193" s="65" t="str">
        <f>IF(COUNTA(A1193:G1193)=0,"",IF(AND(ISNUMBER(D1193),ISNUMBER(J1193)),ROUND(D1193*J1193*(1-N(F1193)),2),0))</f>
        <v/>
      </c>
      <c r="M1193" s="62" t="str">
        <f>IF(A1193="","",IFERROR(INDEX(dv_cname,MATCH(A1193,dv_num,0))&amp;"",""))</f>
        <v/>
      </c>
      <c r="N1193" s="59" t="str">
        <f>IF(COUNTA(A1193:G1193)=0,"",IF(A1193="","N° devis manquant",IF(ISNA(MATCH(A1193,dv_num,0)),"Devis inconnu",IF(AND(B1193&lt;&gt;"",ISNA(MATCH(B1193,pr_code,0))),"Article inconnu",IF(H1193="","Désignation manquante",IF(OR(NOT(ISNUMBER(D1193)),N(D1193)&lt;=0),"Quantité invalide",IF(J1193="","Prix manquant",IF(OR(NOT(ISNUMBER(J1193)),N(J1193)&lt;0),"Prix invalide",IF(OR(AND(F1193&lt;&gt;"",NOT(ISNUMBER(F1193))),N(F1193)&lt;0,N(F1193)&gt;1),"Remise invalide",IF(K1193="","Taux de TVA manquant",IF(NOT(ISNUMBER(K1193)),"Taux de TVA invalide",IF(COUNTIF(p_rates,K1193)=0,"Taux de TVA hors liste (Paramètres)",IF(N(O1193)&gt;25,"Au-delà de 25 lignes : non imprimée","OK")))))))))))))</f>
        <v/>
      </c>
      <c r="O1193" s="59" t="str">
        <f>IF(A1193="","",COUNTIF($A$6:A1193,A1193))</f>
        <v/>
      </c>
      <c r="P1193" s="62" t="str">
        <f>IF(A1193="","",A1193&amp;"|"&amp;O1193)</f>
        <v/>
      </c>
    </row>
    <row r="1194">
      <c r="A1194" s="60" t="n"/>
      <c r="B1194" s="63" t="n"/>
      <c r="C1194" s="63" t="n"/>
      <c r="D1194" s="67" t="n"/>
      <c r="E1194" s="68" t="n"/>
      <c r="F1194" s="69" t="n"/>
      <c r="G1194" s="70" t="n"/>
      <c r="H1194" s="62" t="str">
        <f>IF(COUNTA(A1194:G1194)=0,"",IF(C1194&lt;&gt;"",C1194,IF(B1194="","",IFERROR(INDEX(pr_des,MATCH(B1194,pr_code,0))&amp;"",""))))</f>
        <v/>
      </c>
      <c r="I1194" s="59" t="str">
        <f>IF(B1194="","",IFERROR(INDEX(pr_unit,MATCH(B1194,pr_code,0))&amp;"",""))</f>
        <v/>
      </c>
      <c r="J1194" s="65" t="str">
        <f>IF(COUNTA(A1194:G1194)=0,"",IF(E1194&lt;&gt;"",E1194,IF(B1194="","",IFERROR(IF(INDEX(pr_price,MATCH(B1194,pr_code,0))="","",INDEX(pr_price,MATCH(B1194,pr_code,0))),""))))</f>
        <v/>
      </c>
      <c r="K1194" s="71" t="str">
        <f>IF(COUNTA(A1194:G1194)=0,"",IF(G1194&lt;&gt;"",G1194,IF(B1194="","",IFERROR(IF(INDEX(pr_rate,MATCH(B1194,pr_code,0))="","",INDEX(pr_rate,MATCH(B1194,pr_code,0))),""))))</f>
        <v/>
      </c>
      <c r="L1194" s="65" t="str">
        <f>IF(COUNTA(A1194:G1194)=0,"",IF(AND(ISNUMBER(D1194),ISNUMBER(J1194)),ROUND(D1194*J1194*(1-N(F1194)),2),0))</f>
        <v/>
      </c>
      <c r="M1194" s="62" t="str">
        <f>IF(A1194="","",IFERROR(INDEX(dv_cname,MATCH(A1194,dv_num,0))&amp;"",""))</f>
        <v/>
      </c>
      <c r="N1194" s="59" t="str">
        <f>IF(COUNTA(A1194:G1194)=0,"",IF(A1194="","N° devis manquant",IF(ISNA(MATCH(A1194,dv_num,0)),"Devis inconnu",IF(AND(B1194&lt;&gt;"",ISNA(MATCH(B1194,pr_code,0))),"Article inconnu",IF(H1194="","Désignation manquante",IF(OR(NOT(ISNUMBER(D1194)),N(D1194)&lt;=0),"Quantité invalide",IF(J1194="","Prix manquant",IF(OR(NOT(ISNUMBER(J1194)),N(J1194)&lt;0),"Prix invalide",IF(OR(AND(F1194&lt;&gt;"",NOT(ISNUMBER(F1194))),N(F1194)&lt;0,N(F1194)&gt;1),"Remise invalide",IF(K1194="","Taux de TVA manquant",IF(NOT(ISNUMBER(K1194)),"Taux de TVA invalide",IF(COUNTIF(p_rates,K1194)=0,"Taux de TVA hors liste (Paramètres)",IF(N(O1194)&gt;25,"Au-delà de 25 lignes : non imprimée","OK")))))))))))))</f>
        <v/>
      </c>
      <c r="O1194" s="59" t="str">
        <f>IF(A1194="","",COUNTIF($A$6:A1194,A1194))</f>
        <v/>
      </c>
      <c r="P1194" s="62" t="str">
        <f>IF(A1194="","",A1194&amp;"|"&amp;O1194)</f>
        <v/>
      </c>
    </row>
    <row r="1195">
      <c r="A1195" s="60" t="n"/>
      <c r="B1195" s="63" t="n"/>
      <c r="C1195" s="63" t="n"/>
      <c r="D1195" s="67" t="n"/>
      <c r="E1195" s="68" t="n"/>
      <c r="F1195" s="69" t="n"/>
      <c r="G1195" s="70" t="n"/>
      <c r="H1195" s="62" t="str">
        <f>IF(COUNTA(A1195:G1195)=0,"",IF(C1195&lt;&gt;"",C1195,IF(B1195="","",IFERROR(INDEX(pr_des,MATCH(B1195,pr_code,0))&amp;"",""))))</f>
        <v/>
      </c>
      <c r="I1195" s="59" t="str">
        <f>IF(B1195="","",IFERROR(INDEX(pr_unit,MATCH(B1195,pr_code,0))&amp;"",""))</f>
        <v/>
      </c>
      <c r="J1195" s="65" t="str">
        <f>IF(COUNTA(A1195:G1195)=0,"",IF(E1195&lt;&gt;"",E1195,IF(B1195="","",IFERROR(IF(INDEX(pr_price,MATCH(B1195,pr_code,0))="","",INDEX(pr_price,MATCH(B1195,pr_code,0))),""))))</f>
        <v/>
      </c>
      <c r="K1195" s="71" t="str">
        <f>IF(COUNTA(A1195:G1195)=0,"",IF(G1195&lt;&gt;"",G1195,IF(B1195="","",IFERROR(IF(INDEX(pr_rate,MATCH(B1195,pr_code,0))="","",INDEX(pr_rate,MATCH(B1195,pr_code,0))),""))))</f>
        <v/>
      </c>
      <c r="L1195" s="65" t="str">
        <f>IF(COUNTA(A1195:G1195)=0,"",IF(AND(ISNUMBER(D1195),ISNUMBER(J1195)),ROUND(D1195*J1195*(1-N(F1195)),2),0))</f>
        <v/>
      </c>
      <c r="M1195" s="62" t="str">
        <f>IF(A1195="","",IFERROR(INDEX(dv_cname,MATCH(A1195,dv_num,0))&amp;"",""))</f>
        <v/>
      </c>
      <c r="N1195" s="59" t="str">
        <f>IF(COUNTA(A1195:G1195)=0,"",IF(A1195="","N° devis manquant",IF(ISNA(MATCH(A1195,dv_num,0)),"Devis inconnu",IF(AND(B1195&lt;&gt;"",ISNA(MATCH(B1195,pr_code,0))),"Article inconnu",IF(H1195="","Désignation manquante",IF(OR(NOT(ISNUMBER(D1195)),N(D1195)&lt;=0),"Quantité invalide",IF(J1195="","Prix manquant",IF(OR(NOT(ISNUMBER(J1195)),N(J1195)&lt;0),"Prix invalide",IF(OR(AND(F1195&lt;&gt;"",NOT(ISNUMBER(F1195))),N(F1195)&lt;0,N(F1195)&gt;1),"Remise invalide",IF(K1195="","Taux de TVA manquant",IF(NOT(ISNUMBER(K1195)),"Taux de TVA invalide",IF(COUNTIF(p_rates,K1195)=0,"Taux de TVA hors liste (Paramètres)",IF(N(O1195)&gt;25,"Au-delà de 25 lignes : non imprimée","OK")))))))))))))</f>
        <v/>
      </c>
      <c r="O1195" s="59" t="str">
        <f>IF(A1195="","",COUNTIF($A$6:A1195,A1195))</f>
        <v/>
      </c>
      <c r="P1195" s="62" t="str">
        <f>IF(A1195="","",A1195&amp;"|"&amp;O1195)</f>
        <v/>
      </c>
    </row>
    <row r="1196">
      <c r="A1196" s="60" t="n"/>
      <c r="B1196" s="63" t="n"/>
      <c r="C1196" s="63" t="n"/>
      <c r="D1196" s="67" t="n"/>
      <c r="E1196" s="68" t="n"/>
      <c r="F1196" s="69" t="n"/>
      <c r="G1196" s="70" t="n"/>
      <c r="H1196" s="62" t="str">
        <f>IF(COUNTA(A1196:G1196)=0,"",IF(C1196&lt;&gt;"",C1196,IF(B1196="","",IFERROR(INDEX(pr_des,MATCH(B1196,pr_code,0))&amp;"",""))))</f>
        <v/>
      </c>
      <c r="I1196" s="59" t="str">
        <f>IF(B1196="","",IFERROR(INDEX(pr_unit,MATCH(B1196,pr_code,0))&amp;"",""))</f>
        <v/>
      </c>
      <c r="J1196" s="65" t="str">
        <f>IF(COUNTA(A1196:G1196)=0,"",IF(E1196&lt;&gt;"",E1196,IF(B1196="","",IFERROR(IF(INDEX(pr_price,MATCH(B1196,pr_code,0))="","",INDEX(pr_price,MATCH(B1196,pr_code,0))),""))))</f>
        <v/>
      </c>
      <c r="K1196" s="71" t="str">
        <f>IF(COUNTA(A1196:G1196)=0,"",IF(G1196&lt;&gt;"",G1196,IF(B1196="","",IFERROR(IF(INDEX(pr_rate,MATCH(B1196,pr_code,0))="","",INDEX(pr_rate,MATCH(B1196,pr_code,0))),""))))</f>
        <v/>
      </c>
      <c r="L1196" s="65" t="str">
        <f>IF(COUNTA(A1196:G1196)=0,"",IF(AND(ISNUMBER(D1196),ISNUMBER(J1196)),ROUND(D1196*J1196*(1-N(F1196)),2),0))</f>
        <v/>
      </c>
      <c r="M1196" s="62" t="str">
        <f>IF(A1196="","",IFERROR(INDEX(dv_cname,MATCH(A1196,dv_num,0))&amp;"",""))</f>
        <v/>
      </c>
      <c r="N1196" s="59" t="str">
        <f>IF(COUNTA(A1196:G1196)=0,"",IF(A1196="","N° devis manquant",IF(ISNA(MATCH(A1196,dv_num,0)),"Devis inconnu",IF(AND(B1196&lt;&gt;"",ISNA(MATCH(B1196,pr_code,0))),"Article inconnu",IF(H1196="","Désignation manquante",IF(OR(NOT(ISNUMBER(D1196)),N(D1196)&lt;=0),"Quantité invalide",IF(J1196="","Prix manquant",IF(OR(NOT(ISNUMBER(J1196)),N(J1196)&lt;0),"Prix invalide",IF(OR(AND(F1196&lt;&gt;"",NOT(ISNUMBER(F1196))),N(F1196)&lt;0,N(F1196)&gt;1),"Remise invalide",IF(K1196="","Taux de TVA manquant",IF(NOT(ISNUMBER(K1196)),"Taux de TVA invalide",IF(COUNTIF(p_rates,K1196)=0,"Taux de TVA hors liste (Paramètres)",IF(N(O1196)&gt;25,"Au-delà de 25 lignes : non imprimée","OK")))))))))))))</f>
        <v/>
      </c>
      <c r="O1196" s="59" t="str">
        <f>IF(A1196="","",COUNTIF($A$6:A1196,A1196))</f>
        <v/>
      </c>
      <c r="P1196" s="62" t="str">
        <f>IF(A1196="","",A1196&amp;"|"&amp;O1196)</f>
        <v/>
      </c>
    </row>
    <row r="1197">
      <c r="A1197" s="60" t="n"/>
      <c r="B1197" s="63" t="n"/>
      <c r="C1197" s="63" t="n"/>
      <c r="D1197" s="67" t="n"/>
      <c r="E1197" s="68" t="n"/>
      <c r="F1197" s="69" t="n"/>
      <c r="G1197" s="70" t="n"/>
      <c r="H1197" s="62" t="str">
        <f>IF(COUNTA(A1197:G1197)=0,"",IF(C1197&lt;&gt;"",C1197,IF(B1197="","",IFERROR(INDEX(pr_des,MATCH(B1197,pr_code,0))&amp;"",""))))</f>
        <v/>
      </c>
      <c r="I1197" s="59" t="str">
        <f>IF(B1197="","",IFERROR(INDEX(pr_unit,MATCH(B1197,pr_code,0))&amp;"",""))</f>
        <v/>
      </c>
      <c r="J1197" s="65" t="str">
        <f>IF(COUNTA(A1197:G1197)=0,"",IF(E1197&lt;&gt;"",E1197,IF(B1197="","",IFERROR(IF(INDEX(pr_price,MATCH(B1197,pr_code,0))="","",INDEX(pr_price,MATCH(B1197,pr_code,0))),""))))</f>
        <v/>
      </c>
      <c r="K1197" s="71" t="str">
        <f>IF(COUNTA(A1197:G1197)=0,"",IF(G1197&lt;&gt;"",G1197,IF(B1197="","",IFERROR(IF(INDEX(pr_rate,MATCH(B1197,pr_code,0))="","",INDEX(pr_rate,MATCH(B1197,pr_code,0))),""))))</f>
        <v/>
      </c>
      <c r="L1197" s="65" t="str">
        <f>IF(COUNTA(A1197:G1197)=0,"",IF(AND(ISNUMBER(D1197),ISNUMBER(J1197)),ROUND(D1197*J1197*(1-N(F1197)),2),0))</f>
        <v/>
      </c>
      <c r="M1197" s="62" t="str">
        <f>IF(A1197="","",IFERROR(INDEX(dv_cname,MATCH(A1197,dv_num,0))&amp;"",""))</f>
        <v/>
      </c>
      <c r="N1197" s="59" t="str">
        <f>IF(COUNTA(A1197:G1197)=0,"",IF(A1197="","N° devis manquant",IF(ISNA(MATCH(A1197,dv_num,0)),"Devis inconnu",IF(AND(B1197&lt;&gt;"",ISNA(MATCH(B1197,pr_code,0))),"Article inconnu",IF(H1197="","Désignation manquante",IF(OR(NOT(ISNUMBER(D1197)),N(D1197)&lt;=0),"Quantité invalide",IF(J1197="","Prix manquant",IF(OR(NOT(ISNUMBER(J1197)),N(J1197)&lt;0),"Prix invalide",IF(OR(AND(F1197&lt;&gt;"",NOT(ISNUMBER(F1197))),N(F1197)&lt;0,N(F1197)&gt;1),"Remise invalide",IF(K1197="","Taux de TVA manquant",IF(NOT(ISNUMBER(K1197)),"Taux de TVA invalide",IF(COUNTIF(p_rates,K1197)=0,"Taux de TVA hors liste (Paramètres)",IF(N(O1197)&gt;25,"Au-delà de 25 lignes : non imprimée","OK")))))))))))))</f>
        <v/>
      </c>
      <c r="O1197" s="59" t="str">
        <f>IF(A1197="","",COUNTIF($A$6:A1197,A1197))</f>
        <v/>
      </c>
      <c r="P1197" s="62" t="str">
        <f>IF(A1197="","",A1197&amp;"|"&amp;O1197)</f>
        <v/>
      </c>
    </row>
    <row r="1198">
      <c r="A1198" s="60" t="n"/>
      <c r="B1198" s="63" t="n"/>
      <c r="C1198" s="63" t="n"/>
      <c r="D1198" s="67" t="n"/>
      <c r="E1198" s="68" t="n"/>
      <c r="F1198" s="69" t="n"/>
      <c r="G1198" s="70" t="n"/>
      <c r="H1198" s="62" t="str">
        <f>IF(COUNTA(A1198:G1198)=0,"",IF(C1198&lt;&gt;"",C1198,IF(B1198="","",IFERROR(INDEX(pr_des,MATCH(B1198,pr_code,0))&amp;"",""))))</f>
        <v/>
      </c>
      <c r="I1198" s="59" t="str">
        <f>IF(B1198="","",IFERROR(INDEX(pr_unit,MATCH(B1198,pr_code,0))&amp;"",""))</f>
        <v/>
      </c>
      <c r="J1198" s="65" t="str">
        <f>IF(COUNTA(A1198:G1198)=0,"",IF(E1198&lt;&gt;"",E1198,IF(B1198="","",IFERROR(IF(INDEX(pr_price,MATCH(B1198,pr_code,0))="","",INDEX(pr_price,MATCH(B1198,pr_code,0))),""))))</f>
        <v/>
      </c>
      <c r="K1198" s="71" t="str">
        <f>IF(COUNTA(A1198:G1198)=0,"",IF(G1198&lt;&gt;"",G1198,IF(B1198="","",IFERROR(IF(INDEX(pr_rate,MATCH(B1198,pr_code,0))="","",INDEX(pr_rate,MATCH(B1198,pr_code,0))),""))))</f>
        <v/>
      </c>
      <c r="L1198" s="65" t="str">
        <f>IF(COUNTA(A1198:G1198)=0,"",IF(AND(ISNUMBER(D1198),ISNUMBER(J1198)),ROUND(D1198*J1198*(1-N(F1198)),2),0))</f>
        <v/>
      </c>
      <c r="M1198" s="62" t="str">
        <f>IF(A1198="","",IFERROR(INDEX(dv_cname,MATCH(A1198,dv_num,0))&amp;"",""))</f>
        <v/>
      </c>
      <c r="N1198" s="59" t="str">
        <f>IF(COUNTA(A1198:G1198)=0,"",IF(A1198="","N° devis manquant",IF(ISNA(MATCH(A1198,dv_num,0)),"Devis inconnu",IF(AND(B1198&lt;&gt;"",ISNA(MATCH(B1198,pr_code,0))),"Article inconnu",IF(H1198="","Désignation manquante",IF(OR(NOT(ISNUMBER(D1198)),N(D1198)&lt;=0),"Quantité invalide",IF(J1198="","Prix manquant",IF(OR(NOT(ISNUMBER(J1198)),N(J1198)&lt;0),"Prix invalide",IF(OR(AND(F1198&lt;&gt;"",NOT(ISNUMBER(F1198))),N(F1198)&lt;0,N(F1198)&gt;1),"Remise invalide",IF(K1198="","Taux de TVA manquant",IF(NOT(ISNUMBER(K1198)),"Taux de TVA invalide",IF(COUNTIF(p_rates,K1198)=0,"Taux de TVA hors liste (Paramètres)",IF(N(O1198)&gt;25,"Au-delà de 25 lignes : non imprimée","OK")))))))))))))</f>
        <v/>
      </c>
      <c r="O1198" s="59" t="str">
        <f>IF(A1198="","",COUNTIF($A$6:A1198,A1198))</f>
        <v/>
      </c>
      <c r="P1198" s="62" t="str">
        <f>IF(A1198="","",A1198&amp;"|"&amp;O1198)</f>
        <v/>
      </c>
    </row>
    <row r="1199">
      <c r="A1199" s="60" t="n"/>
      <c r="B1199" s="63" t="n"/>
      <c r="C1199" s="63" t="n"/>
      <c r="D1199" s="67" t="n"/>
      <c r="E1199" s="68" t="n"/>
      <c r="F1199" s="69" t="n"/>
      <c r="G1199" s="70" t="n"/>
      <c r="H1199" s="62" t="str">
        <f>IF(COUNTA(A1199:G1199)=0,"",IF(C1199&lt;&gt;"",C1199,IF(B1199="","",IFERROR(INDEX(pr_des,MATCH(B1199,pr_code,0))&amp;"",""))))</f>
        <v/>
      </c>
      <c r="I1199" s="59" t="str">
        <f>IF(B1199="","",IFERROR(INDEX(pr_unit,MATCH(B1199,pr_code,0))&amp;"",""))</f>
        <v/>
      </c>
      <c r="J1199" s="65" t="str">
        <f>IF(COUNTA(A1199:G1199)=0,"",IF(E1199&lt;&gt;"",E1199,IF(B1199="","",IFERROR(IF(INDEX(pr_price,MATCH(B1199,pr_code,0))="","",INDEX(pr_price,MATCH(B1199,pr_code,0))),""))))</f>
        <v/>
      </c>
      <c r="K1199" s="71" t="str">
        <f>IF(COUNTA(A1199:G1199)=0,"",IF(G1199&lt;&gt;"",G1199,IF(B1199="","",IFERROR(IF(INDEX(pr_rate,MATCH(B1199,pr_code,0))="","",INDEX(pr_rate,MATCH(B1199,pr_code,0))),""))))</f>
        <v/>
      </c>
      <c r="L1199" s="65" t="str">
        <f>IF(COUNTA(A1199:G1199)=0,"",IF(AND(ISNUMBER(D1199),ISNUMBER(J1199)),ROUND(D1199*J1199*(1-N(F1199)),2),0))</f>
        <v/>
      </c>
      <c r="M1199" s="62" t="str">
        <f>IF(A1199="","",IFERROR(INDEX(dv_cname,MATCH(A1199,dv_num,0))&amp;"",""))</f>
        <v/>
      </c>
      <c r="N1199" s="59" t="str">
        <f>IF(COUNTA(A1199:G1199)=0,"",IF(A1199="","N° devis manquant",IF(ISNA(MATCH(A1199,dv_num,0)),"Devis inconnu",IF(AND(B1199&lt;&gt;"",ISNA(MATCH(B1199,pr_code,0))),"Article inconnu",IF(H1199="","Désignation manquante",IF(OR(NOT(ISNUMBER(D1199)),N(D1199)&lt;=0),"Quantité invalide",IF(J1199="","Prix manquant",IF(OR(NOT(ISNUMBER(J1199)),N(J1199)&lt;0),"Prix invalide",IF(OR(AND(F1199&lt;&gt;"",NOT(ISNUMBER(F1199))),N(F1199)&lt;0,N(F1199)&gt;1),"Remise invalide",IF(K1199="","Taux de TVA manquant",IF(NOT(ISNUMBER(K1199)),"Taux de TVA invalide",IF(COUNTIF(p_rates,K1199)=0,"Taux de TVA hors liste (Paramètres)",IF(N(O1199)&gt;25,"Au-delà de 25 lignes : non imprimée","OK")))))))))))))</f>
        <v/>
      </c>
      <c r="O1199" s="59" t="str">
        <f>IF(A1199="","",COUNTIF($A$6:A1199,A1199))</f>
        <v/>
      </c>
      <c r="P1199" s="62" t="str">
        <f>IF(A1199="","",A1199&amp;"|"&amp;O1199)</f>
        <v/>
      </c>
    </row>
    <row r="1200">
      <c r="A1200" s="60" t="n"/>
      <c r="B1200" s="63" t="n"/>
      <c r="C1200" s="63" t="n"/>
      <c r="D1200" s="67" t="n"/>
      <c r="E1200" s="68" t="n"/>
      <c r="F1200" s="69" t="n"/>
      <c r="G1200" s="70" t="n"/>
      <c r="H1200" s="62" t="str">
        <f>IF(COUNTA(A1200:G1200)=0,"",IF(C1200&lt;&gt;"",C1200,IF(B1200="","",IFERROR(INDEX(pr_des,MATCH(B1200,pr_code,0))&amp;"",""))))</f>
        <v/>
      </c>
      <c r="I1200" s="59" t="str">
        <f>IF(B1200="","",IFERROR(INDEX(pr_unit,MATCH(B1200,pr_code,0))&amp;"",""))</f>
        <v/>
      </c>
      <c r="J1200" s="65" t="str">
        <f>IF(COUNTA(A1200:G1200)=0,"",IF(E1200&lt;&gt;"",E1200,IF(B1200="","",IFERROR(IF(INDEX(pr_price,MATCH(B1200,pr_code,0))="","",INDEX(pr_price,MATCH(B1200,pr_code,0))),""))))</f>
        <v/>
      </c>
      <c r="K1200" s="71" t="str">
        <f>IF(COUNTA(A1200:G1200)=0,"",IF(G1200&lt;&gt;"",G1200,IF(B1200="","",IFERROR(IF(INDEX(pr_rate,MATCH(B1200,pr_code,0))="","",INDEX(pr_rate,MATCH(B1200,pr_code,0))),""))))</f>
        <v/>
      </c>
      <c r="L1200" s="65" t="str">
        <f>IF(COUNTA(A1200:G1200)=0,"",IF(AND(ISNUMBER(D1200),ISNUMBER(J1200)),ROUND(D1200*J1200*(1-N(F1200)),2),0))</f>
        <v/>
      </c>
      <c r="M1200" s="62" t="str">
        <f>IF(A1200="","",IFERROR(INDEX(dv_cname,MATCH(A1200,dv_num,0))&amp;"",""))</f>
        <v/>
      </c>
      <c r="N1200" s="59" t="str">
        <f>IF(COUNTA(A1200:G1200)=0,"",IF(A1200="","N° devis manquant",IF(ISNA(MATCH(A1200,dv_num,0)),"Devis inconnu",IF(AND(B1200&lt;&gt;"",ISNA(MATCH(B1200,pr_code,0))),"Article inconnu",IF(H1200="","Désignation manquante",IF(OR(NOT(ISNUMBER(D1200)),N(D1200)&lt;=0),"Quantité invalide",IF(J1200="","Prix manquant",IF(OR(NOT(ISNUMBER(J1200)),N(J1200)&lt;0),"Prix invalide",IF(OR(AND(F1200&lt;&gt;"",NOT(ISNUMBER(F1200))),N(F1200)&lt;0,N(F1200)&gt;1),"Remise invalide",IF(K1200="","Taux de TVA manquant",IF(NOT(ISNUMBER(K1200)),"Taux de TVA invalide",IF(COUNTIF(p_rates,K1200)=0,"Taux de TVA hors liste (Paramètres)",IF(N(O1200)&gt;25,"Au-delà de 25 lignes : non imprimée","OK")))))))))))))</f>
        <v/>
      </c>
      <c r="O1200" s="59" t="str">
        <f>IF(A1200="","",COUNTIF($A$6:A1200,A1200))</f>
        <v/>
      </c>
      <c r="P1200" s="62" t="str">
        <f>IF(A1200="","",A1200&amp;"|"&amp;O1200)</f>
        <v/>
      </c>
    </row>
    <row r="1201">
      <c r="A1201" s="60" t="n"/>
      <c r="B1201" s="63" t="n"/>
      <c r="C1201" s="63" t="n"/>
      <c r="D1201" s="67" t="n"/>
      <c r="E1201" s="68" t="n"/>
      <c r="F1201" s="69" t="n"/>
      <c r="G1201" s="70" t="n"/>
      <c r="H1201" s="62" t="str">
        <f>IF(COUNTA(A1201:G1201)=0,"",IF(C1201&lt;&gt;"",C1201,IF(B1201="","",IFERROR(INDEX(pr_des,MATCH(B1201,pr_code,0))&amp;"",""))))</f>
        <v/>
      </c>
      <c r="I1201" s="59" t="str">
        <f>IF(B1201="","",IFERROR(INDEX(pr_unit,MATCH(B1201,pr_code,0))&amp;"",""))</f>
        <v/>
      </c>
      <c r="J1201" s="65" t="str">
        <f>IF(COUNTA(A1201:G1201)=0,"",IF(E1201&lt;&gt;"",E1201,IF(B1201="","",IFERROR(IF(INDEX(pr_price,MATCH(B1201,pr_code,0))="","",INDEX(pr_price,MATCH(B1201,pr_code,0))),""))))</f>
        <v/>
      </c>
      <c r="K1201" s="71" t="str">
        <f>IF(COUNTA(A1201:G1201)=0,"",IF(G1201&lt;&gt;"",G1201,IF(B1201="","",IFERROR(IF(INDEX(pr_rate,MATCH(B1201,pr_code,0))="","",INDEX(pr_rate,MATCH(B1201,pr_code,0))),""))))</f>
        <v/>
      </c>
      <c r="L1201" s="65" t="str">
        <f>IF(COUNTA(A1201:G1201)=0,"",IF(AND(ISNUMBER(D1201),ISNUMBER(J1201)),ROUND(D1201*J1201*(1-N(F1201)),2),0))</f>
        <v/>
      </c>
      <c r="M1201" s="62" t="str">
        <f>IF(A1201="","",IFERROR(INDEX(dv_cname,MATCH(A1201,dv_num,0))&amp;"",""))</f>
        <v/>
      </c>
      <c r="N1201" s="59" t="str">
        <f>IF(COUNTA(A1201:G1201)=0,"",IF(A1201="","N° devis manquant",IF(ISNA(MATCH(A1201,dv_num,0)),"Devis inconnu",IF(AND(B1201&lt;&gt;"",ISNA(MATCH(B1201,pr_code,0))),"Article inconnu",IF(H1201="","Désignation manquante",IF(OR(NOT(ISNUMBER(D1201)),N(D1201)&lt;=0),"Quantité invalide",IF(J1201="","Prix manquant",IF(OR(NOT(ISNUMBER(J1201)),N(J1201)&lt;0),"Prix invalide",IF(OR(AND(F1201&lt;&gt;"",NOT(ISNUMBER(F1201))),N(F1201)&lt;0,N(F1201)&gt;1),"Remise invalide",IF(K1201="","Taux de TVA manquant",IF(NOT(ISNUMBER(K1201)),"Taux de TVA invalide",IF(COUNTIF(p_rates,K1201)=0,"Taux de TVA hors liste (Paramètres)",IF(N(O1201)&gt;25,"Au-delà de 25 lignes : non imprimée","OK")))))))))))))</f>
        <v/>
      </c>
      <c r="O1201" s="59" t="str">
        <f>IF(A1201="","",COUNTIF($A$6:A1201,A1201))</f>
        <v/>
      </c>
      <c r="P1201" s="62" t="str">
        <f>IF(A1201="","",A1201&amp;"|"&amp;O1201)</f>
        <v/>
      </c>
    </row>
    <row r="1202">
      <c r="A1202" s="60" t="n"/>
      <c r="B1202" s="63" t="n"/>
      <c r="C1202" s="63" t="n"/>
      <c r="D1202" s="67" t="n"/>
      <c r="E1202" s="68" t="n"/>
      <c r="F1202" s="69" t="n"/>
      <c r="G1202" s="70" t="n"/>
      <c r="H1202" s="62" t="str">
        <f>IF(COUNTA(A1202:G1202)=0,"",IF(C1202&lt;&gt;"",C1202,IF(B1202="","",IFERROR(INDEX(pr_des,MATCH(B1202,pr_code,0))&amp;"",""))))</f>
        <v/>
      </c>
      <c r="I1202" s="59" t="str">
        <f>IF(B1202="","",IFERROR(INDEX(pr_unit,MATCH(B1202,pr_code,0))&amp;"",""))</f>
        <v/>
      </c>
      <c r="J1202" s="65" t="str">
        <f>IF(COUNTA(A1202:G1202)=0,"",IF(E1202&lt;&gt;"",E1202,IF(B1202="","",IFERROR(IF(INDEX(pr_price,MATCH(B1202,pr_code,0))="","",INDEX(pr_price,MATCH(B1202,pr_code,0))),""))))</f>
        <v/>
      </c>
      <c r="K1202" s="71" t="str">
        <f>IF(COUNTA(A1202:G1202)=0,"",IF(G1202&lt;&gt;"",G1202,IF(B1202="","",IFERROR(IF(INDEX(pr_rate,MATCH(B1202,pr_code,0))="","",INDEX(pr_rate,MATCH(B1202,pr_code,0))),""))))</f>
        <v/>
      </c>
      <c r="L1202" s="65" t="str">
        <f>IF(COUNTA(A1202:G1202)=0,"",IF(AND(ISNUMBER(D1202),ISNUMBER(J1202)),ROUND(D1202*J1202*(1-N(F1202)),2),0))</f>
        <v/>
      </c>
      <c r="M1202" s="62" t="str">
        <f>IF(A1202="","",IFERROR(INDEX(dv_cname,MATCH(A1202,dv_num,0))&amp;"",""))</f>
        <v/>
      </c>
      <c r="N1202" s="59" t="str">
        <f>IF(COUNTA(A1202:G1202)=0,"",IF(A1202="","N° devis manquant",IF(ISNA(MATCH(A1202,dv_num,0)),"Devis inconnu",IF(AND(B1202&lt;&gt;"",ISNA(MATCH(B1202,pr_code,0))),"Article inconnu",IF(H1202="","Désignation manquante",IF(OR(NOT(ISNUMBER(D1202)),N(D1202)&lt;=0),"Quantité invalide",IF(J1202="","Prix manquant",IF(OR(NOT(ISNUMBER(J1202)),N(J1202)&lt;0),"Prix invalide",IF(OR(AND(F1202&lt;&gt;"",NOT(ISNUMBER(F1202))),N(F1202)&lt;0,N(F1202)&gt;1),"Remise invalide",IF(K1202="","Taux de TVA manquant",IF(NOT(ISNUMBER(K1202)),"Taux de TVA invalide",IF(COUNTIF(p_rates,K1202)=0,"Taux de TVA hors liste (Paramètres)",IF(N(O1202)&gt;25,"Au-delà de 25 lignes : non imprimée","OK")))))))))))))</f>
        <v/>
      </c>
      <c r="O1202" s="59" t="str">
        <f>IF(A1202="","",COUNTIF($A$6:A1202,A1202))</f>
        <v/>
      </c>
      <c r="P1202" s="62" t="str">
        <f>IF(A1202="","",A1202&amp;"|"&amp;O1202)</f>
        <v/>
      </c>
    </row>
    <row r="1203">
      <c r="A1203" s="60" t="n"/>
      <c r="B1203" s="63" t="n"/>
      <c r="C1203" s="63" t="n"/>
      <c r="D1203" s="67" t="n"/>
      <c r="E1203" s="68" t="n"/>
      <c r="F1203" s="69" t="n"/>
      <c r="G1203" s="70" t="n"/>
      <c r="H1203" s="62" t="str">
        <f>IF(COUNTA(A1203:G1203)=0,"",IF(C1203&lt;&gt;"",C1203,IF(B1203="","",IFERROR(INDEX(pr_des,MATCH(B1203,pr_code,0))&amp;"",""))))</f>
        <v/>
      </c>
      <c r="I1203" s="59" t="str">
        <f>IF(B1203="","",IFERROR(INDEX(pr_unit,MATCH(B1203,pr_code,0))&amp;"",""))</f>
        <v/>
      </c>
      <c r="J1203" s="65" t="str">
        <f>IF(COUNTA(A1203:G1203)=0,"",IF(E1203&lt;&gt;"",E1203,IF(B1203="","",IFERROR(IF(INDEX(pr_price,MATCH(B1203,pr_code,0))="","",INDEX(pr_price,MATCH(B1203,pr_code,0))),""))))</f>
        <v/>
      </c>
      <c r="K1203" s="71" t="str">
        <f>IF(COUNTA(A1203:G1203)=0,"",IF(G1203&lt;&gt;"",G1203,IF(B1203="","",IFERROR(IF(INDEX(pr_rate,MATCH(B1203,pr_code,0))="","",INDEX(pr_rate,MATCH(B1203,pr_code,0))),""))))</f>
        <v/>
      </c>
      <c r="L1203" s="65" t="str">
        <f>IF(COUNTA(A1203:G1203)=0,"",IF(AND(ISNUMBER(D1203),ISNUMBER(J1203)),ROUND(D1203*J1203*(1-N(F1203)),2),0))</f>
        <v/>
      </c>
      <c r="M1203" s="62" t="str">
        <f>IF(A1203="","",IFERROR(INDEX(dv_cname,MATCH(A1203,dv_num,0))&amp;"",""))</f>
        <v/>
      </c>
      <c r="N1203" s="59" t="str">
        <f>IF(COUNTA(A1203:G1203)=0,"",IF(A1203="","N° devis manquant",IF(ISNA(MATCH(A1203,dv_num,0)),"Devis inconnu",IF(AND(B1203&lt;&gt;"",ISNA(MATCH(B1203,pr_code,0))),"Article inconnu",IF(H1203="","Désignation manquante",IF(OR(NOT(ISNUMBER(D1203)),N(D1203)&lt;=0),"Quantité invalide",IF(J1203="","Prix manquant",IF(OR(NOT(ISNUMBER(J1203)),N(J1203)&lt;0),"Prix invalide",IF(OR(AND(F1203&lt;&gt;"",NOT(ISNUMBER(F1203))),N(F1203)&lt;0,N(F1203)&gt;1),"Remise invalide",IF(K1203="","Taux de TVA manquant",IF(NOT(ISNUMBER(K1203)),"Taux de TVA invalide",IF(COUNTIF(p_rates,K1203)=0,"Taux de TVA hors liste (Paramètres)",IF(N(O1203)&gt;25,"Au-delà de 25 lignes : non imprimée","OK")))))))))))))</f>
        <v/>
      </c>
      <c r="O1203" s="59" t="str">
        <f>IF(A1203="","",COUNTIF($A$6:A1203,A1203))</f>
        <v/>
      </c>
      <c r="P1203" s="62" t="str">
        <f>IF(A1203="","",A1203&amp;"|"&amp;O1203)</f>
        <v/>
      </c>
    </row>
    <row r="1204">
      <c r="A1204" s="60" t="n"/>
      <c r="B1204" s="63" t="n"/>
      <c r="C1204" s="63" t="n"/>
      <c r="D1204" s="67" t="n"/>
      <c r="E1204" s="68" t="n"/>
      <c r="F1204" s="69" t="n"/>
      <c r="G1204" s="70" t="n"/>
      <c r="H1204" s="62" t="str">
        <f>IF(COUNTA(A1204:G1204)=0,"",IF(C1204&lt;&gt;"",C1204,IF(B1204="","",IFERROR(INDEX(pr_des,MATCH(B1204,pr_code,0))&amp;"",""))))</f>
        <v/>
      </c>
      <c r="I1204" s="59" t="str">
        <f>IF(B1204="","",IFERROR(INDEX(pr_unit,MATCH(B1204,pr_code,0))&amp;"",""))</f>
        <v/>
      </c>
      <c r="J1204" s="65" t="str">
        <f>IF(COUNTA(A1204:G1204)=0,"",IF(E1204&lt;&gt;"",E1204,IF(B1204="","",IFERROR(IF(INDEX(pr_price,MATCH(B1204,pr_code,0))="","",INDEX(pr_price,MATCH(B1204,pr_code,0))),""))))</f>
        <v/>
      </c>
      <c r="K1204" s="71" t="str">
        <f>IF(COUNTA(A1204:G1204)=0,"",IF(G1204&lt;&gt;"",G1204,IF(B1204="","",IFERROR(IF(INDEX(pr_rate,MATCH(B1204,pr_code,0))="","",INDEX(pr_rate,MATCH(B1204,pr_code,0))),""))))</f>
        <v/>
      </c>
      <c r="L1204" s="65" t="str">
        <f>IF(COUNTA(A1204:G1204)=0,"",IF(AND(ISNUMBER(D1204),ISNUMBER(J1204)),ROUND(D1204*J1204*(1-N(F1204)),2),0))</f>
        <v/>
      </c>
      <c r="M1204" s="62" t="str">
        <f>IF(A1204="","",IFERROR(INDEX(dv_cname,MATCH(A1204,dv_num,0))&amp;"",""))</f>
        <v/>
      </c>
      <c r="N1204" s="59" t="str">
        <f>IF(COUNTA(A1204:G1204)=0,"",IF(A1204="","N° devis manquant",IF(ISNA(MATCH(A1204,dv_num,0)),"Devis inconnu",IF(AND(B1204&lt;&gt;"",ISNA(MATCH(B1204,pr_code,0))),"Article inconnu",IF(H1204="","Désignation manquante",IF(OR(NOT(ISNUMBER(D1204)),N(D1204)&lt;=0),"Quantité invalide",IF(J1204="","Prix manquant",IF(OR(NOT(ISNUMBER(J1204)),N(J1204)&lt;0),"Prix invalide",IF(OR(AND(F1204&lt;&gt;"",NOT(ISNUMBER(F1204))),N(F1204)&lt;0,N(F1204)&gt;1),"Remise invalide",IF(K1204="","Taux de TVA manquant",IF(NOT(ISNUMBER(K1204)),"Taux de TVA invalide",IF(COUNTIF(p_rates,K1204)=0,"Taux de TVA hors liste (Paramètres)",IF(N(O1204)&gt;25,"Au-delà de 25 lignes : non imprimée","OK")))))))))))))</f>
        <v/>
      </c>
      <c r="O1204" s="59" t="str">
        <f>IF(A1204="","",COUNTIF($A$6:A1204,A1204))</f>
        <v/>
      </c>
      <c r="P1204" s="62" t="str">
        <f>IF(A1204="","",A1204&amp;"|"&amp;O1204)</f>
        <v/>
      </c>
    </row>
    <row r="1205">
      <c r="A1205" s="60" t="n"/>
      <c r="B1205" s="63" t="n"/>
      <c r="C1205" s="63" t="n"/>
      <c r="D1205" s="67" t="n"/>
      <c r="E1205" s="68" t="n"/>
      <c r="F1205" s="69" t="n"/>
      <c r="G1205" s="70" t="n"/>
      <c r="H1205" s="62" t="str">
        <f>IF(COUNTA(A1205:G1205)=0,"",IF(C1205&lt;&gt;"",C1205,IF(B1205="","",IFERROR(INDEX(pr_des,MATCH(B1205,pr_code,0))&amp;"",""))))</f>
        <v/>
      </c>
      <c r="I1205" s="59" t="str">
        <f>IF(B1205="","",IFERROR(INDEX(pr_unit,MATCH(B1205,pr_code,0))&amp;"",""))</f>
        <v/>
      </c>
      <c r="J1205" s="65" t="str">
        <f>IF(COUNTA(A1205:G1205)=0,"",IF(E1205&lt;&gt;"",E1205,IF(B1205="","",IFERROR(IF(INDEX(pr_price,MATCH(B1205,pr_code,0))="","",INDEX(pr_price,MATCH(B1205,pr_code,0))),""))))</f>
        <v/>
      </c>
      <c r="K1205" s="71" t="str">
        <f>IF(COUNTA(A1205:G1205)=0,"",IF(G1205&lt;&gt;"",G1205,IF(B1205="","",IFERROR(IF(INDEX(pr_rate,MATCH(B1205,pr_code,0))="","",INDEX(pr_rate,MATCH(B1205,pr_code,0))),""))))</f>
        <v/>
      </c>
      <c r="L1205" s="65" t="str">
        <f>IF(COUNTA(A1205:G1205)=0,"",IF(AND(ISNUMBER(D1205),ISNUMBER(J1205)),ROUND(D1205*J1205*(1-N(F1205)),2),0))</f>
        <v/>
      </c>
      <c r="M1205" s="62" t="str">
        <f>IF(A1205="","",IFERROR(INDEX(dv_cname,MATCH(A1205,dv_num,0))&amp;"",""))</f>
        <v/>
      </c>
      <c r="N1205" s="59" t="str">
        <f>IF(COUNTA(A1205:G1205)=0,"",IF(A1205="","N° devis manquant",IF(ISNA(MATCH(A1205,dv_num,0)),"Devis inconnu",IF(AND(B1205&lt;&gt;"",ISNA(MATCH(B1205,pr_code,0))),"Article inconnu",IF(H1205="","Désignation manquante",IF(OR(NOT(ISNUMBER(D1205)),N(D1205)&lt;=0),"Quantité invalide",IF(J1205="","Prix manquant",IF(OR(NOT(ISNUMBER(J1205)),N(J1205)&lt;0),"Prix invalide",IF(OR(AND(F1205&lt;&gt;"",NOT(ISNUMBER(F1205))),N(F1205)&lt;0,N(F1205)&gt;1),"Remise invalide",IF(K1205="","Taux de TVA manquant",IF(NOT(ISNUMBER(K1205)),"Taux de TVA invalide",IF(COUNTIF(p_rates,K1205)=0,"Taux de TVA hors liste (Paramètres)",IF(N(O1205)&gt;25,"Au-delà de 25 lignes : non imprimée","OK")))))))))))))</f>
        <v/>
      </c>
      <c r="O1205" s="59" t="str">
        <f>IF(A1205="","",COUNTIF($A$6:A1205,A1205))</f>
        <v/>
      </c>
      <c r="P1205" s="62" t="str">
        <f>IF(A1205="","",A1205&amp;"|"&amp;O1205)</f>
        <v/>
      </c>
    </row>
    <row r="1206">
      <c r="A1206" s="60" t="n"/>
      <c r="B1206" s="63" t="n"/>
      <c r="C1206" s="63" t="n"/>
      <c r="D1206" s="67" t="n"/>
      <c r="E1206" s="68" t="n"/>
      <c r="F1206" s="69" t="n"/>
      <c r="G1206" s="70" t="n"/>
      <c r="H1206" s="62" t="str">
        <f>IF(COUNTA(A1206:G1206)=0,"",IF(C1206&lt;&gt;"",C1206,IF(B1206="","",IFERROR(INDEX(pr_des,MATCH(B1206,pr_code,0))&amp;"",""))))</f>
        <v/>
      </c>
      <c r="I1206" s="59" t="str">
        <f>IF(B1206="","",IFERROR(INDEX(pr_unit,MATCH(B1206,pr_code,0))&amp;"",""))</f>
        <v/>
      </c>
      <c r="J1206" s="65" t="str">
        <f>IF(COUNTA(A1206:G1206)=0,"",IF(E1206&lt;&gt;"",E1206,IF(B1206="","",IFERROR(IF(INDEX(pr_price,MATCH(B1206,pr_code,0))="","",INDEX(pr_price,MATCH(B1206,pr_code,0))),""))))</f>
        <v/>
      </c>
      <c r="K1206" s="71" t="str">
        <f>IF(COUNTA(A1206:G1206)=0,"",IF(G1206&lt;&gt;"",G1206,IF(B1206="","",IFERROR(IF(INDEX(pr_rate,MATCH(B1206,pr_code,0))="","",INDEX(pr_rate,MATCH(B1206,pr_code,0))),""))))</f>
        <v/>
      </c>
      <c r="L1206" s="65" t="str">
        <f>IF(COUNTA(A1206:G1206)=0,"",IF(AND(ISNUMBER(D1206),ISNUMBER(J1206)),ROUND(D1206*J1206*(1-N(F1206)),2),0))</f>
        <v/>
      </c>
      <c r="M1206" s="62" t="str">
        <f>IF(A1206="","",IFERROR(INDEX(dv_cname,MATCH(A1206,dv_num,0))&amp;"",""))</f>
        <v/>
      </c>
      <c r="N1206" s="59" t="str">
        <f>IF(COUNTA(A1206:G1206)=0,"",IF(A1206="","N° devis manquant",IF(ISNA(MATCH(A1206,dv_num,0)),"Devis inconnu",IF(AND(B1206&lt;&gt;"",ISNA(MATCH(B1206,pr_code,0))),"Article inconnu",IF(H1206="","Désignation manquante",IF(OR(NOT(ISNUMBER(D1206)),N(D1206)&lt;=0),"Quantité invalide",IF(J1206="","Prix manquant",IF(OR(NOT(ISNUMBER(J1206)),N(J1206)&lt;0),"Prix invalide",IF(OR(AND(F1206&lt;&gt;"",NOT(ISNUMBER(F1206))),N(F1206)&lt;0,N(F1206)&gt;1),"Remise invalide",IF(K1206="","Taux de TVA manquant",IF(NOT(ISNUMBER(K1206)),"Taux de TVA invalide",IF(COUNTIF(p_rates,K1206)=0,"Taux de TVA hors liste (Paramètres)",IF(N(O1206)&gt;25,"Au-delà de 25 lignes : non imprimée","OK")))))))))))))</f>
        <v/>
      </c>
      <c r="O1206" s="59" t="str">
        <f>IF(A1206="","",COUNTIF($A$6:A1206,A1206))</f>
        <v/>
      </c>
      <c r="P1206" s="62" t="str">
        <f>IF(A1206="","",A1206&amp;"|"&amp;O1206)</f>
        <v/>
      </c>
    </row>
    <row r="1207">
      <c r="A1207" s="60" t="n"/>
      <c r="B1207" s="63" t="n"/>
      <c r="C1207" s="63" t="n"/>
      <c r="D1207" s="67" t="n"/>
      <c r="E1207" s="68" t="n"/>
      <c r="F1207" s="69" t="n"/>
      <c r="G1207" s="70" t="n"/>
      <c r="H1207" s="62" t="str">
        <f>IF(COUNTA(A1207:G1207)=0,"",IF(C1207&lt;&gt;"",C1207,IF(B1207="","",IFERROR(INDEX(pr_des,MATCH(B1207,pr_code,0))&amp;"",""))))</f>
        <v/>
      </c>
      <c r="I1207" s="59" t="str">
        <f>IF(B1207="","",IFERROR(INDEX(pr_unit,MATCH(B1207,pr_code,0))&amp;"",""))</f>
        <v/>
      </c>
      <c r="J1207" s="65" t="str">
        <f>IF(COUNTA(A1207:G1207)=0,"",IF(E1207&lt;&gt;"",E1207,IF(B1207="","",IFERROR(IF(INDEX(pr_price,MATCH(B1207,pr_code,0))="","",INDEX(pr_price,MATCH(B1207,pr_code,0))),""))))</f>
        <v/>
      </c>
      <c r="K1207" s="71" t="str">
        <f>IF(COUNTA(A1207:G1207)=0,"",IF(G1207&lt;&gt;"",G1207,IF(B1207="","",IFERROR(IF(INDEX(pr_rate,MATCH(B1207,pr_code,0))="","",INDEX(pr_rate,MATCH(B1207,pr_code,0))),""))))</f>
        <v/>
      </c>
      <c r="L1207" s="65" t="str">
        <f>IF(COUNTA(A1207:G1207)=0,"",IF(AND(ISNUMBER(D1207),ISNUMBER(J1207)),ROUND(D1207*J1207*(1-N(F1207)),2),0))</f>
        <v/>
      </c>
      <c r="M1207" s="62" t="str">
        <f>IF(A1207="","",IFERROR(INDEX(dv_cname,MATCH(A1207,dv_num,0))&amp;"",""))</f>
        <v/>
      </c>
      <c r="N1207" s="59" t="str">
        <f>IF(COUNTA(A1207:G1207)=0,"",IF(A1207="","N° devis manquant",IF(ISNA(MATCH(A1207,dv_num,0)),"Devis inconnu",IF(AND(B1207&lt;&gt;"",ISNA(MATCH(B1207,pr_code,0))),"Article inconnu",IF(H1207="","Désignation manquante",IF(OR(NOT(ISNUMBER(D1207)),N(D1207)&lt;=0),"Quantité invalide",IF(J1207="","Prix manquant",IF(OR(NOT(ISNUMBER(J1207)),N(J1207)&lt;0),"Prix invalide",IF(OR(AND(F1207&lt;&gt;"",NOT(ISNUMBER(F1207))),N(F1207)&lt;0,N(F1207)&gt;1),"Remise invalide",IF(K1207="","Taux de TVA manquant",IF(NOT(ISNUMBER(K1207)),"Taux de TVA invalide",IF(COUNTIF(p_rates,K1207)=0,"Taux de TVA hors liste (Paramètres)",IF(N(O1207)&gt;25,"Au-delà de 25 lignes : non imprimée","OK")))))))))))))</f>
        <v/>
      </c>
      <c r="O1207" s="59" t="str">
        <f>IF(A1207="","",COUNTIF($A$6:A1207,A1207))</f>
        <v/>
      </c>
      <c r="P1207" s="62" t="str">
        <f>IF(A1207="","",A1207&amp;"|"&amp;O1207)</f>
        <v/>
      </c>
    </row>
    <row r="1208">
      <c r="A1208" s="60" t="n"/>
      <c r="B1208" s="63" t="n"/>
      <c r="C1208" s="63" t="n"/>
      <c r="D1208" s="67" t="n"/>
      <c r="E1208" s="68" t="n"/>
      <c r="F1208" s="69" t="n"/>
      <c r="G1208" s="70" t="n"/>
      <c r="H1208" s="62" t="str">
        <f>IF(COUNTA(A1208:G1208)=0,"",IF(C1208&lt;&gt;"",C1208,IF(B1208="","",IFERROR(INDEX(pr_des,MATCH(B1208,pr_code,0))&amp;"",""))))</f>
        <v/>
      </c>
      <c r="I1208" s="59" t="str">
        <f>IF(B1208="","",IFERROR(INDEX(pr_unit,MATCH(B1208,pr_code,0))&amp;"",""))</f>
        <v/>
      </c>
      <c r="J1208" s="65" t="str">
        <f>IF(COUNTA(A1208:G1208)=0,"",IF(E1208&lt;&gt;"",E1208,IF(B1208="","",IFERROR(IF(INDEX(pr_price,MATCH(B1208,pr_code,0))="","",INDEX(pr_price,MATCH(B1208,pr_code,0))),""))))</f>
        <v/>
      </c>
      <c r="K1208" s="71" t="str">
        <f>IF(COUNTA(A1208:G1208)=0,"",IF(G1208&lt;&gt;"",G1208,IF(B1208="","",IFERROR(IF(INDEX(pr_rate,MATCH(B1208,pr_code,0))="","",INDEX(pr_rate,MATCH(B1208,pr_code,0))),""))))</f>
        <v/>
      </c>
      <c r="L1208" s="65" t="str">
        <f>IF(COUNTA(A1208:G1208)=0,"",IF(AND(ISNUMBER(D1208),ISNUMBER(J1208)),ROUND(D1208*J1208*(1-N(F1208)),2),0))</f>
        <v/>
      </c>
      <c r="M1208" s="62" t="str">
        <f>IF(A1208="","",IFERROR(INDEX(dv_cname,MATCH(A1208,dv_num,0))&amp;"",""))</f>
        <v/>
      </c>
      <c r="N1208" s="59" t="str">
        <f>IF(COUNTA(A1208:G1208)=0,"",IF(A1208="","N° devis manquant",IF(ISNA(MATCH(A1208,dv_num,0)),"Devis inconnu",IF(AND(B1208&lt;&gt;"",ISNA(MATCH(B1208,pr_code,0))),"Article inconnu",IF(H1208="","Désignation manquante",IF(OR(NOT(ISNUMBER(D1208)),N(D1208)&lt;=0),"Quantité invalide",IF(J1208="","Prix manquant",IF(OR(NOT(ISNUMBER(J1208)),N(J1208)&lt;0),"Prix invalide",IF(OR(AND(F1208&lt;&gt;"",NOT(ISNUMBER(F1208))),N(F1208)&lt;0,N(F1208)&gt;1),"Remise invalide",IF(K1208="","Taux de TVA manquant",IF(NOT(ISNUMBER(K1208)),"Taux de TVA invalide",IF(COUNTIF(p_rates,K1208)=0,"Taux de TVA hors liste (Paramètres)",IF(N(O1208)&gt;25,"Au-delà de 25 lignes : non imprimée","OK")))))))))))))</f>
        <v/>
      </c>
      <c r="O1208" s="59" t="str">
        <f>IF(A1208="","",COUNTIF($A$6:A1208,A1208))</f>
        <v/>
      </c>
      <c r="P1208" s="62" t="str">
        <f>IF(A1208="","",A1208&amp;"|"&amp;O1208)</f>
        <v/>
      </c>
    </row>
    <row r="1209">
      <c r="A1209" s="60" t="n"/>
      <c r="B1209" s="63" t="n"/>
      <c r="C1209" s="63" t="n"/>
      <c r="D1209" s="67" t="n"/>
      <c r="E1209" s="68" t="n"/>
      <c r="F1209" s="69" t="n"/>
      <c r="G1209" s="70" t="n"/>
      <c r="H1209" s="62" t="str">
        <f>IF(COUNTA(A1209:G1209)=0,"",IF(C1209&lt;&gt;"",C1209,IF(B1209="","",IFERROR(INDEX(pr_des,MATCH(B1209,pr_code,0))&amp;"",""))))</f>
        <v/>
      </c>
      <c r="I1209" s="59" t="str">
        <f>IF(B1209="","",IFERROR(INDEX(pr_unit,MATCH(B1209,pr_code,0))&amp;"",""))</f>
        <v/>
      </c>
      <c r="J1209" s="65" t="str">
        <f>IF(COUNTA(A1209:G1209)=0,"",IF(E1209&lt;&gt;"",E1209,IF(B1209="","",IFERROR(IF(INDEX(pr_price,MATCH(B1209,pr_code,0))="","",INDEX(pr_price,MATCH(B1209,pr_code,0))),""))))</f>
        <v/>
      </c>
      <c r="K1209" s="71" t="str">
        <f>IF(COUNTA(A1209:G1209)=0,"",IF(G1209&lt;&gt;"",G1209,IF(B1209="","",IFERROR(IF(INDEX(pr_rate,MATCH(B1209,pr_code,0))="","",INDEX(pr_rate,MATCH(B1209,pr_code,0))),""))))</f>
        <v/>
      </c>
      <c r="L1209" s="65" t="str">
        <f>IF(COUNTA(A1209:G1209)=0,"",IF(AND(ISNUMBER(D1209),ISNUMBER(J1209)),ROUND(D1209*J1209*(1-N(F1209)),2),0))</f>
        <v/>
      </c>
      <c r="M1209" s="62" t="str">
        <f>IF(A1209="","",IFERROR(INDEX(dv_cname,MATCH(A1209,dv_num,0))&amp;"",""))</f>
        <v/>
      </c>
      <c r="N1209" s="59" t="str">
        <f>IF(COUNTA(A1209:G1209)=0,"",IF(A1209="","N° devis manquant",IF(ISNA(MATCH(A1209,dv_num,0)),"Devis inconnu",IF(AND(B1209&lt;&gt;"",ISNA(MATCH(B1209,pr_code,0))),"Article inconnu",IF(H1209="","Désignation manquante",IF(OR(NOT(ISNUMBER(D1209)),N(D1209)&lt;=0),"Quantité invalide",IF(J1209="","Prix manquant",IF(OR(NOT(ISNUMBER(J1209)),N(J1209)&lt;0),"Prix invalide",IF(OR(AND(F1209&lt;&gt;"",NOT(ISNUMBER(F1209))),N(F1209)&lt;0,N(F1209)&gt;1),"Remise invalide",IF(K1209="","Taux de TVA manquant",IF(NOT(ISNUMBER(K1209)),"Taux de TVA invalide",IF(COUNTIF(p_rates,K1209)=0,"Taux de TVA hors liste (Paramètres)",IF(N(O1209)&gt;25,"Au-delà de 25 lignes : non imprimée","OK")))))))))))))</f>
        <v/>
      </c>
      <c r="O1209" s="59" t="str">
        <f>IF(A1209="","",COUNTIF($A$6:A1209,A1209))</f>
        <v/>
      </c>
      <c r="P1209" s="62" t="str">
        <f>IF(A1209="","",A1209&amp;"|"&amp;O1209)</f>
        <v/>
      </c>
    </row>
    <row r="1210">
      <c r="A1210" s="60" t="n"/>
      <c r="B1210" s="63" t="n"/>
      <c r="C1210" s="63" t="n"/>
      <c r="D1210" s="67" t="n"/>
      <c r="E1210" s="68" t="n"/>
      <c r="F1210" s="69" t="n"/>
      <c r="G1210" s="70" t="n"/>
      <c r="H1210" s="62" t="str">
        <f>IF(COUNTA(A1210:G1210)=0,"",IF(C1210&lt;&gt;"",C1210,IF(B1210="","",IFERROR(INDEX(pr_des,MATCH(B1210,pr_code,0))&amp;"",""))))</f>
        <v/>
      </c>
      <c r="I1210" s="59" t="str">
        <f>IF(B1210="","",IFERROR(INDEX(pr_unit,MATCH(B1210,pr_code,0))&amp;"",""))</f>
        <v/>
      </c>
      <c r="J1210" s="65" t="str">
        <f>IF(COUNTA(A1210:G1210)=0,"",IF(E1210&lt;&gt;"",E1210,IF(B1210="","",IFERROR(IF(INDEX(pr_price,MATCH(B1210,pr_code,0))="","",INDEX(pr_price,MATCH(B1210,pr_code,0))),""))))</f>
        <v/>
      </c>
      <c r="K1210" s="71" t="str">
        <f>IF(COUNTA(A1210:G1210)=0,"",IF(G1210&lt;&gt;"",G1210,IF(B1210="","",IFERROR(IF(INDEX(pr_rate,MATCH(B1210,pr_code,0))="","",INDEX(pr_rate,MATCH(B1210,pr_code,0))),""))))</f>
        <v/>
      </c>
      <c r="L1210" s="65" t="str">
        <f>IF(COUNTA(A1210:G1210)=0,"",IF(AND(ISNUMBER(D1210),ISNUMBER(J1210)),ROUND(D1210*J1210*(1-N(F1210)),2),0))</f>
        <v/>
      </c>
      <c r="M1210" s="62" t="str">
        <f>IF(A1210="","",IFERROR(INDEX(dv_cname,MATCH(A1210,dv_num,0))&amp;"",""))</f>
        <v/>
      </c>
      <c r="N1210" s="59" t="str">
        <f>IF(COUNTA(A1210:G1210)=0,"",IF(A1210="","N° devis manquant",IF(ISNA(MATCH(A1210,dv_num,0)),"Devis inconnu",IF(AND(B1210&lt;&gt;"",ISNA(MATCH(B1210,pr_code,0))),"Article inconnu",IF(H1210="","Désignation manquante",IF(OR(NOT(ISNUMBER(D1210)),N(D1210)&lt;=0),"Quantité invalide",IF(J1210="","Prix manquant",IF(OR(NOT(ISNUMBER(J1210)),N(J1210)&lt;0),"Prix invalide",IF(OR(AND(F1210&lt;&gt;"",NOT(ISNUMBER(F1210))),N(F1210)&lt;0,N(F1210)&gt;1),"Remise invalide",IF(K1210="","Taux de TVA manquant",IF(NOT(ISNUMBER(K1210)),"Taux de TVA invalide",IF(COUNTIF(p_rates,K1210)=0,"Taux de TVA hors liste (Paramètres)",IF(N(O1210)&gt;25,"Au-delà de 25 lignes : non imprimée","OK")))))))))))))</f>
        <v/>
      </c>
      <c r="O1210" s="59" t="str">
        <f>IF(A1210="","",COUNTIF($A$6:A1210,A1210))</f>
        <v/>
      </c>
      <c r="P1210" s="62" t="str">
        <f>IF(A1210="","",A1210&amp;"|"&amp;O1210)</f>
        <v/>
      </c>
    </row>
    <row r="1211">
      <c r="A1211" s="60" t="n"/>
      <c r="B1211" s="63" t="n"/>
      <c r="C1211" s="63" t="n"/>
      <c r="D1211" s="67" t="n"/>
      <c r="E1211" s="68" t="n"/>
      <c r="F1211" s="69" t="n"/>
      <c r="G1211" s="70" t="n"/>
      <c r="H1211" s="62" t="str">
        <f>IF(COUNTA(A1211:G1211)=0,"",IF(C1211&lt;&gt;"",C1211,IF(B1211="","",IFERROR(INDEX(pr_des,MATCH(B1211,pr_code,0))&amp;"",""))))</f>
        <v/>
      </c>
      <c r="I1211" s="59" t="str">
        <f>IF(B1211="","",IFERROR(INDEX(pr_unit,MATCH(B1211,pr_code,0))&amp;"",""))</f>
        <v/>
      </c>
      <c r="J1211" s="65" t="str">
        <f>IF(COUNTA(A1211:G1211)=0,"",IF(E1211&lt;&gt;"",E1211,IF(B1211="","",IFERROR(IF(INDEX(pr_price,MATCH(B1211,pr_code,0))="","",INDEX(pr_price,MATCH(B1211,pr_code,0))),""))))</f>
        <v/>
      </c>
      <c r="K1211" s="71" t="str">
        <f>IF(COUNTA(A1211:G1211)=0,"",IF(G1211&lt;&gt;"",G1211,IF(B1211="","",IFERROR(IF(INDEX(pr_rate,MATCH(B1211,pr_code,0))="","",INDEX(pr_rate,MATCH(B1211,pr_code,0))),""))))</f>
        <v/>
      </c>
      <c r="L1211" s="65" t="str">
        <f>IF(COUNTA(A1211:G1211)=0,"",IF(AND(ISNUMBER(D1211),ISNUMBER(J1211)),ROUND(D1211*J1211*(1-N(F1211)),2),0))</f>
        <v/>
      </c>
      <c r="M1211" s="62" t="str">
        <f>IF(A1211="","",IFERROR(INDEX(dv_cname,MATCH(A1211,dv_num,0))&amp;"",""))</f>
        <v/>
      </c>
      <c r="N1211" s="59" t="str">
        <f>IF(COUNTA(A1211:G1211)=0,"",IF(A1211="","N° devis manquant",IF(ISNA(MATCH(A1211,dv_num,0)),"Devis inconnu",IF(AND(B1211&lt;&gt;"",ISNA(MATCH(B1211,pr_code,0))),"Article inconnu",IF(H1211="","Désignation manquante",IF(OR(NOT(ISNUMBER(D1211)),N(D1211)&lt;=0),"Quantité invalide",IF(J1211="","Prix manquant",IF(OR(NOT(ISNUMBER(J1211)),N(J1211)&lt;0),"Prix invalide",IF(OR(AND(F1211&lt;&gt;"",NOT(ISNUMBER(F1211))),N(F1211)&lt;0,N(F1211)&gt;1),"Remise invalide",IF(K1211="","Taux de TVA manquant",IF(NOT(ISNUMBER(K1211)),"Taux de TVA invalide",IF(COUNTIF(p_rates,K1211)=0,"Taux de TVA hors liste (Paramètres)",IF(N(O1211)&gt;25,"Au-delà de 25 lignes : non imprimée","OK")))))))))))))</f>
        <v/>
      </c>
      <c r="O1211" s="59" t="str">
        <f>IF(A1211="","",COUNTIF($A$6:A1211,A1211))</f>
        <v/>
      </c>
      <c r="P1211" s="62" t="str">
        <f>IF(A1211="","",A1211&amp;"|"&amp;O1211)</f>
        <v/>
      </c>
    </row>
    <row r="1212">
      <c r="A1212" s="60" t="n"/>
      <c r="B1212" s="63" t="n"/>
      <c r="C1212" s="63" t="n"/>
      <c r="D1212" s="67" t="n"/>
      <c r="E1212" s="68" t="n"/>
      <c r="F1212" s="69" t="n"/>
      <c r="G1212" s="70" t="n"/>
      <c r="H1212" s="62" t="str">
        <f>IF(COUNTA(A1212:G1212)=0,"",IF(C1212&lt;&gt;"",C1212,IF(B1212="","",IFERROR(INDEX(pr_des,MATCH(B1212,pr_code,0))&amp;"",""))))</f>
        <v/>
      </c>
      <c r="I1212" s="59" t="str">
        <f>IF(B1212="","",IFERROR(INDEX(pr_unit,MATCH(B1212,pr_code,0))&amp;"",""))</f>
        <v/>
      </c>
      <c r="J1212" s="65" t="str">
        <f>IF(COUNTA(A1212:G1212)=0,"",IF(E1212&lt;&gt;"",E1212,IF(B1212="","",IFERROR(IF(INDEX(pr_price,MATCH(B1212,pr_code,0))="","",INDEX(pr_price,MATCH(B1212,pr_code,0))),""))))</f>
        <v/>
      </c>
      <c r="K1212" s="71" t="str">
        <f>IF(COUNTA(A1212:G1212)=0,"",IF(G1212&lt;&gt;"",G1212,IF(B1212="","",IFERROR(IF(INDEX(pr_rate,MATCH(B1212,pr_code,0))="","",INDEX(pr_rate,MATCH(B1212,pr_code,0))),""))))</f>
        <v/>
      </c>
      <c r="L1212" s="65" t="str">
        <f>IF(COUNTA(A1212:G1212)=0,"",IF(AND(ISNUMBER(D1212),ISNUMBER(J1212)),ROUND(D1212*J1212*(1-N(F1212)),2),0))</f>
        <v/>
      </c>
      <c r="M1212" s="62" t="str">
        <f>IF(A1212="","",IFERROR(INDEX(dv_cname,MATCH(A1212,dv_num,0))&amp;"",""))</f>
        <v/>
      </c>
      <c r="N1212" s="59" t="str">
        <f>IF(COUNTA(A1212:G1212)=0,"",IF(A1212="","N° devis manquant",IF(ISNA(MATCH(A1212,dv_num,0)),"Devis inconnu",IF(AND(B1212&lt;&gt;"",ISNA(MATCH(B1212,pr_code,0))),"Article inconnu",IF(H1212="","Désignation manquante",IF(OR(NOT(ISNUMBER(D1212)),N(D1212)&lt;=0),"Quantité invalide",IF(J1212="","Prix manquant",IF(OR(NOT(ISNUMBER(J1212)),N(J1212)&lt;0),"Prix invalide",IF(OR(AND(F1212&lt;&gt;"",NOT(ISNUMBER(F1212))),N(F1212)&lt;0,N(F1212)&gt;1),"Remise invalide",IF(K1212="","Taux de TVA manquant",IF(NOT(ISNUMBER(K1212)),"Taux de TVA invalide",IF(COUNTIF(p_rates,K1212)=0,"Taux de TVA hors liste (Paramètres)",IF(N(O1212)&gt;25,"Au-delà de 25 lignes : non imprimée","OK")))))))))))))</f>
        <v/>
      </c>
      <c r="O1212" s="59" t="str">
        <f>IF(A1212="","",COUNTIF($A$6:A1212,A1212))</f>
        <v/>
      </c>
      <c r="P1212" s="62" t="str">
        <f>IF(A1212="","",A1212&amp;"|"&amp;O1212)</f>
        <v/>
      </c>
    </row>
    <row r="1213">
      <c r="A1213" s="60" t="n"/>
      <c r="B1213" s="63" t="n"/>
      <c r="C1213" s="63" t="n"/>
      <c r="D1213" s="67" t="n"/>
      <c r="E1213" s="68" t="n"/>
      <c r="F1213" s="69" t="n"/>
      <c r="G1213" s="70" t="n"/>
      <c r="H1213" s="62" t="str">
        <f>IF(COUNTA(A1213:G1213)=0,"",IF(C1213&lt;&gt;"",C1213,IF(B1213="","",IFERROR(INDEX(pr_des,MATCH(B1213,pr_code,0))&amp;"",""))))</f>
        <v/>
      </c>
      <c r="I1213" s="59" t="str">
        <f>IF(B1213="","",IFERROR(INDEX(pr_unit,MATCH(B1213,pr_code,0))&amp;"",""))</f>
        <v/>
      </c>
      <c r="J1213" s="65" t="str">
        <f>IF(COUNTA(A1213:G1213)=0,"",IF(E1213&lt;&gt;"",E1213,IF(B1213="","",IFERROR(IF(INDEX(pr_price,MATCH(B1213,pr_code,0))="","",INDEX(pr_price,MATCH(B1213,pr_code,0))),""))))</f>
        <v/>
      </c>
      <c r="K1213" s="71" t="str">
        <f>IF(COUNTA(A1213:G1213)=0,"",IF(G1213&lt;&gt;"",G1213,IF(B1213="","",IFERROR(IF(INDEX(pr_rate,MATCH(B1213,pr_code,0))="","",INDEX(pr_rate,MATCH(B1213,pr_code,0))),""))))</f>
        <v/>
      </c>
      <c r="L1213" s="65" t="str">
        <f>IF(COUNTA(A1213:G1213)=0,"",IF(AND(ISNUMBER(D1213),ISNUMBER(J1213)),ROUND(D1213*J1213*(1-N(F1213)),2),0))</f>
        <v/>
      </c>
      <c r="M1213" s="62" t="str">
        <f>IF(A1213="","",IFERROR(INDEX(dv_cname,MATCH(A1213,dv_num,0))&amp;"",""))</f>
        <v/>
      </c>
      <c r="N1213" s="59" t="str">
        <f>IF(COUNTA(A1213:G1213)=0,"",IF(A1213="","N° devis manquant",IF(ISNA(MATCH(A1213,dv_num,0)),"Devis inconnu",IF(AND(B1213&lt;&gt;"",ISNA(MATCH(B1213,pr_code,0))),"Article inconnu",IF(H1213="","Désignation manquante",IF(OR(NOT(ISNUMBER(D1213)),N(D1213)&lt;=0),"Quantité invalide",IF(J1213="","Prix manquant",IF(OR(NOT(ISNUMBER(J1213)),N(J1213)&lt;0),"Prix invalide",IF(OR(AND(F1213&lt;&gt;"",NOT(ISNUMBER(F1213))),N(F1213)&lt;0,N(F1213)&gt;1),"Remise invalide",IF(K1213="","Taux de TVA manquant",IF(NOT(ISNUMBER(K1213)),"Taux de TVA invalide",IF(COUNTIF(p_rates,K1213)=0,"Taux de TVA hors liste (Paramètres)",IF(N(O1213)&gt;25,"Au-delà de 25 lignes : non imprimée","OK")))))))))))))</f>
        <v/>
      </c>
      <c r="O1213" s="59" t="str">
        <f>IF(A1213="","",COUNTIF($A$6:A1213,A1213))</f>
        <v/>
      </c>
      <c r="P1213" s="62" t="str">
        <f>IF(A1213="","",A1213&amp;"|"&amp;O1213)</f>
        <v/>
      </c>
    </row>
    <row r="1214">
      <c r="A1214" s="60" t="n"/>
      <c r="B1214" s="63" t="n"/>
      <c r="C1214" s="63" t="n"/>
      <c r="D1214" s="67" t="n"/>
      <c r="E1214" s="68" t="n"/>
      <c r="F1214" s="69" t="n"/>
      <c r="G1214" s="70" t="n"/>
      <c r="H1214" s="62" t="str">
        <f>IF(COUNTA(A1214:G1214)=0,"",IF(C1214&lt;&gt;"",C1214,IF(B1214="","",IFERROR(INDEX(pr_des,MATCH(B1214,pr_code,0))&amp;"",""))))</f>
        <v/>
      </c>
      <c r="I1214" s="59" t="str">
        <f>IF(B1214="","",IFERROR(INDEX(pr_unit,MATCH(B1214,pr_code,0))&amp;"",""))</f>
        <v/>
      </c>
      <c r="J1214" s="65" t="str">
        <f>IF(COUNTA(A1214:G1214)=0,"",IF(E1214&lt;&gt;"",E1214,IF(B1214="","",IFERROR(IF(INDEX(pr_price,MATCH(B1214,pr_code,0))="","",INDEX(pr_price,MATCH(B1214,pr_code,0))),""))))</f>
        <v/>
      </c>
      <c r="K1214" s="71" t="str">
        <f>IF(COUNTA(A1214:G1214)=0,"",IF(G1214&lt;&gt;"",G1214,IF(B1214="","",IFERROR(IF(INDEX(pr_rate,MATCH(B1214,pr_code,0))="","",INDEX(pr_rate,MATCH(B1214,pr_code,0))),""))))</f>
        <v/>
      </c>
      <c r="L1214" s="65" t="str">
        <f>IF(COUNTA(A1214:G1214)=0,"",IF(AND(ISNUMBER(D1214),ISNUMBER(J1214)),ROUND(D1214*J1214*(1-N(F1214)),2),0))</f>
        <v/>
      </c>
      <c r="M1214" s="62" t="str">
        <f>IF(A1214="","",IFERROR(INDEX(dv_cname,MATCH(A1214,dv_num,0))&amp;"",""))</f>
        <v/>
      </c>
      <c r="N1214" s="59" t="str">
        <f>IF(COUNTA(A1214:G1214)=0,"",IF(A1214="","N° devis manquant",IF(ISNA(MATCH(A1214,dv_num,0)),"Devis inconnu",IF(AND(B1214&lt;&gt;"",ISNA(MATCH(B1214,pr_code,0))),"Article inconnu",IF(H1214="","Désignation manquante",IF(OR(NOT(ISNUMBER(D1214)),N(D1214)&lt;=0),"Quantité invalide",IF(J1214="","Prix manquant",IF(OR(NOT(ISNUMBER(J1214)),N(J1214)&lt;0),"Prix invalide",IF(OR(AND(F1214&lt;&gt;"",NOT(ISNUMBER(F1214))),N(F1214)&lt;0,N(F1214)&gt;1),"Remise invalide",IF(K1214="","Taux de TVA manquant",IF(NOT(ISNUMBER(K1214)),"Taux de TVA invalide",IF(COUNTIF(p_rates,K1214)=0,"Taux de TVA hors liste (Paramètres)",IF(N(O1214)&gt;25,"Au-delà de 25 lignes : non imprimée","OK")))))))))))))</f>
        <v/>
      </c>
      <c r="O1214" s="59" t="str">
        <f>IF(A1214="","",COUNTIF($A$6:A1214,A1214))</f>
        <v/>
      </c>
      <c r="P1214" s="62" t="str">
        <f>IF(A1214="","",A1214&amp;"|"&amp;O1214)</f>
        <v/>
      </c>
    </row>
    <row r="1215">
      <c r="A1215" s="60" t="n"/>
      <c r="B1215" s="63" t="n"/>
      <c r="C1215" s="63" t="n"/>
      <c r="D1215" s="67" t="n"/>
      <c r="E1215" s="68" t="n"/>
      <c r="F1215" s="69" t="n"/>
      <c r="G1215" s="70" t="n"/>
      <c r="H1215" s="62" t="str">
        <f>IF(COUNTA(A1215:G1215)=0,"",IF(C1215&lt;&gt;"",C1215,IF(B1215="","",IFERROR(INDEX(pr_des,MATCH(B1215,pr_code,0))&amp;"",""))))</f>
        <v/>
      </c>
      <c r="I1215" s="59" t="str">
        <f>IF(B1215="","",IFERROR(INDEX(pr_unit,MATCH(B1215,pr_code,0))&amp;"",""))</f>
        <v/>
      </c>
      <c r="J1215" s="65" t="str">
        <f>IF(COUNTA(A1215:G1215)=0,"",IF(E1215&lt;&gt;"",E1215,IF(B1215="","",IFERROR(IF(INDEX(pr_price,MATCH(B1215,pr_code,0))="","",INDEX(pr_price,MATCH(B1215,pr_code,0))),""))))</f>
        <v/>
      </c>
      <c r="K1215" s="71" t="str">
        <f>IF(COUNTA(A1215:G1215)=0,"",IF(G1215&lt;&gt;"",G1215,IF(B1215="","",IFERROR(IF(INDEX(pr_rate,MATCH(B1215,pr_code,0))="","",INDEX(pr_rate,MATCH(B1215,pr_code,0))),""))))</f>
        <v/>
      </c>
      <c r="L1215" s="65" t="str">
        <f>IF(COUNTA(A1215:G1215)=0,"",IF(AND(ISNUMBER(D1215),ISNUMBER(J1215)),ROUND(D1215*J1215*(1-N(F1215)),2),0))</f>
        <v/>
      </c>
      <c r="M1215" s="62" t="str">
        <f>IF(A1215="","",IFERROR(INDEX(dv_cname,MATCH(A1215,dv_num,0))&amp;"",""))</f>
        <v/>
      </c>
      <c r="N1215" s="59" t="str">
        <f>IF(COUNTA(A1215:G1215)=0,"",IF(A1215="","N° devis manquant",IF(ISNA(MATCH(A1215,dv_num,0)),"Devis inconnu",IF(AND(B1215&lt;&gt;"",ISNA(MATCH(B1215,pr_code,0))),"Article inconnu",IF(H1215="","Désignation manquante",IF(OR(NOT(ISNUMBER(D1215)),N(D1215)&lt;=0),"Quantité invalide",IF(J1215="","Prix manquant",IF(OR(NOT(ISNUMBER(J1215)),N(J1215)&lt;0),"Prix invalide",IF(OR(AND(F1215&lt;&gt;"",NOT(ISNUMBER(F1215))),N(F1215)&lt;0,N(F1215)&gt;1),"Remise invalide",IF(K1215="","Taux de TVA manquant",IF(NOT(ISNUMBER(K1215)),"Taux de TVA invalide",IF(COUNTIF(p_rates,K1215)=0,"Taux de TVA hors liste (Paramètres)",IF(N(O1215)&gt;25,"Au-delà de 25 lignes : non imprimée","OK")))))))))))))</f>
        <v/>
      </c>
      <c r="O1215" s="59" t="str">
        <f>IF(A1215="","",COUNTIF($A$6:A1215,A1215))</f>
        <v/>
      </c>
      <c r="P1215" s="62" t="str">
        <f>IF(A1215="","",A1215&amp;"|"&amp;O1215)</f>
        <v/>
      </c>
    </row>
    <row r="1216">
      <c r="A1216" s="60" t="n"/>
      <c r="B1216" s="63" t="n"/>
      <c r="C1216" s="63" t="n"/>
      <c r="D1216" s="67" t="n"/>
      <c r="E1216" s="68" t="n"/>
      <c r="F1216" s="69" t="n"/>
      <c r="G1216" s="70" t="n"/>
      <c r="H1216" s="62" t="str">
        <f>IF(COUNTA(A1216:G1216)=0,"",IF(C1216&lt;&gt;"",C1216,IF(B1216="","",IFERROR(INDEX(pr_des,MATCH(B1216,pr_code,0))&amp;"",""))))</f>
        <v/>
      </c>
      <c r="I1216" s="59" t="str">
        <f>IF(B1216="","",IFERROR(INDEX(pr_unit,MATCH(B1216,pr_code,0))&amp;"",""))</f>
        <v/>
      </c>
      <c r="J1216" s="65" t="str">
        <f>IF(COUNTA(A1216:G1216)=0,"",IF(E1216&lt;&gt;"",E1216,IF(B1216="","",IFERROR(IF(INDEX(pr_price,MATCH(B1216,pr_code,0))="","",INDEX(pr_price,MATCH(B1216,pr_code,0))),""))))</f>
        <v/>
      </c>
      <c r="K1216" s="71" t="str">
        <f>IF(COUNTA(A1216:G1216)=0,"",IF(G1216&lt;&gt;"",G1216,IF(B1216="","",IFERROR(IF(INDEX(pr_rate,MATCH(B1216,pr_code,0))="","",INDEX(pr_rate,MATCH(B1216,pr_code,0))),""))))</f>
        <v/>
      </c>
      <c r="L1216" s="65" t="str">
        <f>IF(COUNTA(A1216:G1216)=0,"",IF(AND(ISNUMBER(D1216),ISNUMBER(J1216)),ROUND(D1216*J1216*(1-N(F1216)),2),0))</f>
        <v/>
      </c>
      <c r="M1216" s="62" t="str">
        <f>IF(A1216="","",IFERROR(INDEX(dv_cname,MATCH(A1216,dv_num,0))&amp;"",""))</f>
        <v/>
      </c>
      <c r="N1216" s="59" t="str">
        <f>IF(COUNTA(A1216:G1216)=0,"",IF(A1216="","N° devis manquant",IF(ISNA(MATCH(A1216,dv_num,0)),"Devis inconnu",IF(AND(B1216&lt;&gt;"",ISNA(MATCH(B1216,pr_code,0))),"Article inconnu",IF(H1216="","Désignation manquante",IF(OR(NOT(ISNUMBER(D1216)),N(D1216)&lt;=0),"Quantité invalide",IF(J1216="","Prix manquant",IF(OR(NOT(ISNUMBER(J1216)),N(J1216)&lt;0),"Prix invalide",IF(OR(AND(F1216&lt;&gt;"",NOT(ISNUMBER(F1216))),N(F1216)&lt;0,N(F1216)&gt;1),"Remise invalide",IF(K1216="","Taux de TVA manquant",IF(NOT(ISNUMBER(K1216)),"Taux de TVA invalide",IF(COUNTIF(p_rates,K1216)=0,"Taux de TVA hors liste (Paramètres)",IF(N(O1216)&gt;25,"Au-delà de 25 lignes : non imprimée","OK")))))))))))))</f>
        <v/>
      </c>
      <c r="O1216" s="59" t="str">
        <f>IF(A1216="","",COUNTIF($A$6:A1216,A1216))</f>
        <v/>
      </c>
      <c r="P1216" s="62" t="str">
        <f>IF(A1216="","",A1216&amp;"|"&amp;O1216)</f>
        <v/>
      </c>
    </row>
    <row r="1217">
      <c r="A1217" s="60" t="n"/>
      <c r="B1217" s="63" t="n"/>
      <c r="C1217" s="63" t="n"/>
      <c r="D1217" s="67" t="n"/>
      <c r="E1217" s="68" t="n"/>
      <c r="F1217" s="69" t="n"/>
      <c r="G1217" s="70" t="n"/>
      <c r="H1217" s="62" t="str">
        <f>IF(COUNTA(A1217:G1217)=0,"",IF(C1217&lt;&gt;"",C1217,IF(B1217="","",IFERROR(INDEX(pr_des,MATCH(B1217,pr_code,0))&amp;"",""))))</f>
        <v/>
      </c>
      <c r="I1217" s="59" t="str">
        <f>IF(B1217="","",IFERROR(INDEX(pr_unit,MATCH(B1217,pr_code,0))&amp;"",""))</f>
        <v/>
      </c>
      <c r="J1217" s="65" t="str">
        <f>IF(COUNTA(A1217:G1217)=0,"",IF(E1217&lt;&gt;"",E1217,IF(B1217="","",IFERROR(IF(INDEX(pr_price,MATCH(B1217,pr_code,0))="","",INDEX(pr_price,MATCH(B1217,pr_code,0))),""))))</f>
        <v/>
      </c>
      <c r="K1217" s="71" t="str">
        <f>IF(COUNTA(A1217:G1217)=0,"",IF(G1217&lt;&gt;"",G1217,IF(B1217="","",IFERROR(IF(INDEX(pr_rate,MATCH(B1217,pr_code,0))="","",INDEX(pr_rate,MATCH(B1217,pr_code,0))),""))))</f>
        <v/>
      </c>
      <c r="L1217" s="65" t="str">
        <f>IF(COUNTA(A1217:G1217)=0,"",IF(AND(ISNUMBER(D1217),ISNUMBER(J1217)),ROUND(D1217*J1217*(1-N(F1217)),2),0))</f>
        <v/>
      </c>
      <c r="M1217" s="62" t="str">
        <f>IF(A1217="","",IFERROR(INDEX(dv_cname,MATCH(A1217,dv_num,0))&amp;"",""))</f>
        <v/>
      </c>
      <c r="N1217" s="59" t="str">
        <f>IF(COUNTA(A1217:G1217)=0,"",IF(A1217="","N° devis manquant",IF(ISNA(MATCH(A1217,dv_num,0)),"Devis inconnu",IF(AND(B1217&lt;&gt;"",ISNA(MATCH(B1217,pr_code,0))),"Article inconnu",IF(H1217="","Désignation manquante",IF(OR(NOT(ISNUMBER(D1217)),N(D1217)&lt;=0),"Quantité invalide",IF(J1217="","Prix manquant",IF(OR(NOT(ISNUMBER(J1217)),N(J1217)&lt;0),"Prix invalide",IF(OR(AND(F1217&lt;&gt;"",NOT(ISNUMBER(F1217))),N(F1217)&lt;0,N(F1217)&gt;1),"Remise invalide",IF(K1217="","Taux de TVA manquant",IF(NOT(ISNUMBER(K1217)),"Taux de TVA invalide",IF(COUNTIF(p_rates,K1217)=0,"Taux de TVA hors liste (Paramètres)",IF(N(O1217)&gt;25,"Au-delà de 25 lignes : non imprimée","OK")))))))))))))</f>
        <v/>
      </c>
      <c r="O1217" s="59" t="str">
        <f>IF(A1217="","",COUNTIF($A$6:A1217,A1217))</f>
        <v/>
      </c>
      <c r="P1217" s="62" t="str">
        <f>IF(A1217="","",A1217&amp;"|"&amp;O1217)</f>
        <v/>
      </c>
    </row>
    <row r="1218">
      <c r="A1218" s="60" t="n"/>
      <c r="B1218" s="63" t="n"/>
      <c r="C1218" s="63" t="n"/>
      <c r="D1218" s="67" t="n"/>
      <c r="E1218" s="68" t="n"/>
      <c r="F1218" s="69" t="n"/>
      <c r="G1218" s="70" t="n"/>
      <c r="H1218" s="62" t="str">
        <f>IF(COUNTA(A1218:G1218)=0,"",IF(C1218&lt;&gt;"",C1218,IF(B1218="","",IFERROR(INDEX(pr_des,MATCH(B1218,pr_code,0))&amp;"",""))))</f>
        <v/>
      </c>
      <c r="I1218" s="59" t="str">
        <f>IF(B1218="","",IFERROR(INDEX(pr_unit,MATCH(B1218,pr_code,0))&amp;"",""))</f>
        <v/>
      </c>
      <c r="J1218" s="65" t="str">
        <f>IF(COUNTA(A1218:G1218)=0,"",IF(E1218&lt;&gt;"",E1218,IF(B1218="","",IFERROR(IF(INDEX(pr_price,MATCH(B1218,pr_code,0))="","",INDEX(pr_price,MATCH(B1218,pr_code,0))),""))))</f>
        <v/>
      </c>
      <c r="K1218" s="71" t="str">
        <f>IF(COUNTA(A1218:G1218)=0,"",IF(G1218&lt;&gt;"",G1218,IF(B1218="","",IFERROR(IF(INDEX(pr_rate,MATCH(B1218,pr_code,0))="","",INDEX(pr_rate,MATCH(B1218,pr_code,0))),""))))</f>
        <v/>
      </c>
      <c r="L1218" s="65" t="str">
        <f>IF(COUNTA(A1218:G1218)=0,"",IF(AND(ISNUMBER(D1218),ISNUMBER(J1218)),ROUND(D1218*J1218*(1-N(F1218)),2),0))</f>
        <v/>
      </c>
      <c r="M1218" s="62" t="str">
        <f>IF(A1218="","",IFERROR(INDEX(dv_cname,MATCH(A1218,dv_num,0))&amp;"",""))</f>
        <v/>
      </c>
      <c r="N1218" s="59" t="str">
        <f>IF(COUNTA(A1218:G1218)=0,"",IF(A1218="","N° devis manquant",IF(ISNA(MATCH(A1218,dv_num,0)),"Devis inconnu",IF(AND(B1218&lt;&gt;"",ISNA(MATCH(B1218,pr_code,0))),"Article inconnu",IF(H1218="","Désignation manquante",IF(OR(NOT(ISNUMBER(D1218)),N(D1218)&lt;=0),"Quantité invalide",IF(J1218="","Prix manquant",IF(OR(NOT(ISNUMBER(J1218)),N(J1218)&lt;0),"Prix invalide",IF(OR(AND(F1218&lt;&gt;"",NOT(ISNUMBER(F1218))),N(F1218)&lt;0,N(F1218)&gt;1),"Remise invalide",IF(K1218="","Taux de TVA manquant",IF(NOT(ISNUMBER(K1218)),"Taux de TVA invalide",IF(COUNTIF(p_rates,K1218)=0,"Taux de TVA hors liste (Paramètres)",IF(N(O1218)&gt;25,"Au-delà de 25 lignes : non imprimée","OK")))))))))))))</f>
        <v/>
      </c>
      <c r="O1218" s="59" t="str">
        <f>IF(A1218="","",COUNTIF($A$6:A1218,A1218))</f>
        <v/>
      </c>
      <c r="P1218" s="62" t="str">
        <f>IF(A1218="","",A1218&amp;"|"&amp;O1218)</f>
        <v/>
      </c>
    </row>
    <row r="1219">
      <c r="A1219" s="60" t="n"/>
      <c r="B1219" s="63" t="n"/>
      <c r="C1219" s="63" t="n"/>
      <c r="D1219" s="67" t="n"/>
      <c r="E1219" s="68" t="n"/>
      <c r="F1219" s="69" t="n"/>
      <c r="G1219" s="70" t="n"/>
      <c r="H1219" s="62" t="str">
        <f>IF(COUNTA(A1219:G1219)=0,"",IF(C1219&lt;&gt;"",C1219,IF(B1219="","",IFERROR(INDEX(pr_des,MATCH(B1219,pr_code,0))&amp;"",""))))</f>
        <v/>
      </c>
      <c r="I1219" s="59" t="str">
        <f>IF(B1219="","",IFERROR(INDEX(pr_unit,MATCH(B1219,pr_code,0))&amp;"",""))</f>
        <v/>
      </c>
      <c r="J1219" s="65" t="str">
        <f>IF(COUNTA(A1219:G1219)=0,"",IF(E1219&lt;&gt;"",E1219,IF(B1219="","",IFERROR(IF(INDEX(pr_price,MATCH(B1219,pr_code,0))="","",INDEX(pr_price,MATCH(B1219,pr_code,0))),""))))</f>
        <v/>
      </c>
      <c r="K1219" s="71" t="str">
        <f>IF(COUNTA(A1219:G1219)=0,"",IF(G1219&lt;&gt;"",G1219,IF(B1219="","",IFERROR(IF(INDEX(pr_rate,MATCH(B1219,pr_code,0))="","",INDEX(pr_rate,MATCH(B1219,pr_code,0))),""))))</f>
        <v/>
      </c>
      <c r="L1219" s="65" t="str">
        <f>IF(COUNTA(A1219:G1219)=0,"",IF(AND(ISNUMBER(D1219),ISNUMBER(J1219)),ROUND(D1219*J1219*(1-N(F1219)),2),0))</f>
        <v/>
      </c>
      <c r="M1219" s="62" t="str">
        <f>IF(A1219="","",IFERROR(INDEX(dv_cname,MATCH(A1219,dv_num,0))&amp;"",""))</f>
        <v/>
      </c>
      <c r="N1219" s="59" t="str">
        <f>IF(COUNTA(A1219:G1219)=0,"",IF(A1219="","N° devis manquant",IF(ISNA(MATCH(A1219,dv_num,0)),"Devis inconnu",IF(AND(B1219&lt;&gt;"",ISNA(MATCH(B1219,pr_code,0))),"Article inconnu",IF(H1219="","Désignation manquante",IF(OR(NOT(ISNUMBER(D1219)),N(D1219)&lt;=0),"Quantité invalide",IF(J1219="","Prix manquant",IF(OR(NOT(ISNUMBER(J1219)),N(J1219)&lt;0),"Prix invalide",IF(OR(AND(F1219&lt;&gt;"",NOT(ISNUMBER(F1219))),N(F1219)&lt;0,N(F1219)&gt;1),"Remise invalide",IF(K1219="","Taux de TVA manquant",IF(NOT(ISNUMBER(K1219)),"Taux de TVA invalide",IF(COUNTIF(p_rates,K1219)=0,"Taux de TVA hors liste (Paramètres)",IF(N(O1219)&gt;25,"Au-delà de 25 lignes : non imprimée","OK")))))))))))))</f>
        <v/>
      </c>
      <c r="O1219" s="59" t="str">
        <f>IF(A1219="","",COUNTIF($A$6:A1219,A1219))</f>
        <v/>
      </c>
      <c r="P1219" s="62" t="str">
        <f>IF(A1219="","",A1219&amp;"|"&amp;O1219)</f>
        <v/>
      </c>
    </row>
    <row r="1220">
      <c r="A1220" s="60" t="n"/>
      <c r="B1220" s="63" t="n"/>
      <c r="C1220" s="63" t="n"/>
      <c r="D1220" s="67" t="n"/>
      <c r="E1220" s="68" t="n"/>
      <c r="F1220" s="69" t="n"/>
      <c r="G1220" s="70" t="n"/>
      <c r="H1220" s="62" t="str">
        <f>IF(COUNTA(A1220:G1220)=0,"",IF(C1220&lt;&gt;"",C1220,IF(B1220="","",IFERROR(INDEX(pr_des,MATCH(B1220,pr_code,0))&amp;"",""))))</f>
        <v/>
      </c>
      <c r="I1220" s="59" t="str">
        <f>IF(B1220="","",IFERROR(INDEX(pr_unit,MATCH(B1220,pr_code,0))&amp;"",""))</f>
        <v/>
      </c>
      <c r="J1220" s="65" t="str">
        <f>IF(COUNTA(A1220:G1220)=0,"",IF(E1220&lt;&gt;"",E1220,IF(B1220="","",IFERROR(IF(INDEX(pr_price,MATCH(B1220,pr_code,0))="","",INDEX(pr_price,MATCH(B1220,pr_code,0))),""))))</f>
        <v/>
      </c>
      <c r="K1220" s="71" t="str">
        <f>IF(COUNTA(A1220:G1220)=0,"",IF(G1220&lt;&gt;"",G1220,IF(B1220="","",IFERROR(IF(INDEX(pr_rate,MATCH(B1220,pr_code,0))="","",INDEX(pr_rate,MATCH(B1220,pr_code,0))),""))))</f>
        <v/>
      </c>
      <c r="L1220" s="65" t="str">
        <f>IF(COUNTA(A1220:G1220)=0,"",IF(AND(ISNUMBER(D1220),ISNUMBER(J1220)),ROUND(D1220*J1220*(1-N(F1220)),2),0))</f>
        <v/>
      </c>
      <c r="M1220" s="62" t="str">
        <f>IF(A1220="","",IFERROR(INDEX(dv_cname,MATCH(A1220,dv_num,0))&amp;"",""))</f>
        <v/>
      </c>
      <c r="N1220" s="59" t="str">
        <f>IF(COUNTA(A1220:G1220)=0,"",IF(A1220="","N° devis manquant",IF(ISNA(MATCH(A1220,dv_num,0)),"Devis inconnu",IF(AND(B1220&lt;&gt;"",ISNA(MATCH(B1220,pr_code,0))),"Article inconnu",IF(H1220="","Désignation manquante",IF(OR(NOT(ISNUMBER(D1220)),N(D1220)&lt;=0),"Quantité invalide",IF(J1220="","Prix manquant",IF(OR(NOT(ISNUMBER(J1220)),N(J1220)&lt;0),"Prix invalide",IF(OR(AND(F1220&lt;&gt;"",NOT(ISNUMBER(F1220))),N(F1220)&lt;0,N(F1220)&gt;1),"Remise invalide",IF(K1220="","Taux de TVA manquant",IF(NOT(ISNUMBER(K1220)),"Taux de TVA invalide",IF(COUNTIF(p_rates,K1220)=0,"Taux de TVA hors liste (Paramètres)",IF(N(O1220)&gt;25,"Au-delà de 25 lignes : non imprimée","OK")))))))))))))</f>
        <v/>
      </c>
      <c r="O1220" s="59" t="str">
        <f>IF(A1220="","",COUNTIF($A$6:A1220,A1220))</f>
        <v/>
      </c>
      <c r="P1220" s="62" t="str">
        <f>IF(A1220="","",A1220&amp;"|"&amp;O1220)</f>
        <v/>
      </c>
    </row>
    <row r="1221">
      <c r="A1221" s="60" t="n"/>
      <c r="B1221" s="63" t="n"/>
      <c r="C1221" s="63" t="n"/>
      <c r="D1221" s="67" t="n"/>
      <c r="E1221" s="68" t="n"/>
      <c r="F1221" s="69" t="n"/>
      <c r="G1221" s="70" t="n"/>
      <c r="H1221" s="62" t="str">
        <f>IF(COUNTA(A1221:G1221)=0,"",IF(C1221&lt;&gt;"",C1221,IF(B1221="","",IFERROR(INDEX(pr_des,MATCH(B1221,pr_code,0))&amp;"",""))))</f>
        <v/>
      </c>
      <c r="I1221" s="59" t="str">
        <f>IF(B1221="","",IFERROR(INDEX(pr_unit,MATCH(B1221,pr_code,0))&amp;"",""))</f>
        <v/>
      </c>
      <c r="J1221" s="65" t="str">
        <f>IF(COUNTA(A1221:G1221)=0,"",IF(E1221&lt;&gt;"",E1221,IF(B1221="","",IFERROR(IF(INDEX(pr_price,MATCH(B1221,pr_code,0))="","",INDEX(pr_price,MATCH(B1221,pr_code,0))),""))))</f>
        <v/>
      </c>
      <c r="K1221" s="71" t="str">
        <f>IF(COUNTA(A1221:G1221)=0,"",IF(G1221&lt;&gt;"",G1221,IF(B1221="","",IFERROR(IF(INDEX(pr_rate,MATCH(B1221,pr_code,0))="","",INDEX(pr_rate,MATCH(B1221,pr_code,0))),""))))</f>
        <v/>
      </c>
      <c r="L1221" s="65" t="str">
        <f>IF(COUNTA(A1221:G1221)=0,"",IF(AND(ISNUMBER(D1221),ISNUMBER(J1221)),ROUND(D1221*J1221*(1-N(F1221)),2),0))</f>
        <v/>
      </c>
      <c r="M1221" s="62" t="str">
        <f>IF(A1221="","",IFERROR(INDEX(dv_cname,MATCH(A1221,dv_num,0))&amp;"",""))</f>
        <v/>
      </c>
      <c r="N1221" s="59" t="str">
        <f>IF(COUNTA(A1221:G1221)=0,"",IF(A1221="","N° devis manquant",IF(ISNA(MATCH(A1221,dv_num,0)),"Devis inconnu",IF(AND(B1221&lt;&gt;"",ISNA(MATCH(B1221,pr_code,0))),"Article inconnu",IF(H1221="","Désignation manquante",IF(OR(NOT(ISNUMBER(D1221)),N(D1221)&lt;=0),"Quantité invalide",IF(J1221="","Prix manquant",IF(OR(NOT(ISNUMBER(J1221)),N(J1221)&lt;0),"Prix invalide",IF(OR(AND(F1221&lt;&gt;"",NOT(ISNUMBER(F1221))),N(F1221)&lt;0,N(F1221)&gt;1),"Remise invalide",IF(K1221="","Taux de TVA manquant",IF(NOT(ISNUMBER(K1221)),"Taux de TVA invalide",IF(COUNTIF(p_rates,K1221)=0,"Taux de TVA hors liste (Paramètres)",IF(N(O1221)&gt;25,"Au-delà de 25 lignes : non imprimée","OK")))))))))))))</f>
        <v/>
      </c>
      <c r="O1221" s="59" t="str">
        <f>IF(A1221="","",COUNTIF($A$6:A1221,A1221))</f>
        <v/>
      </c>
      <c r="P1221" s="62" t="str">
        <f>IF(A1221="","",A1221&amp;"|"&amp;O1221)</f>
        <v/>
      </c>
    </row>
    <row r="1222">
      <c r="A1222" s="60" t="n"/>
      <c r="B1222" s="63" t="n"/>
      <c r="C1222" s="63" t="n"/>
      <c r="D1222" s="67" t="n"/>
      <c r="E1222" s="68" t="n"/>
      <c r="F1222" s="69" t="n"/>
      <c r="G1222" s="70" t="n"/>
      <c r="H1222" s="62" t="str">
        <f>IF(COUNTA(A1222:G1222)=0,"",IF(C1222&lt;&gt;"",C1222,IF(B1222="","",IFERROR(INDEX(pr_des,MATCH(B1222,pr_code,0))&amp;"",""))))</f>
        <v/>
      </c>
      <c r="I1222" s="59" t="str">
        <f>IF(B1222="","",IFERROR(INDEX(pr_unit,MATCH(B1222,pr_code,0))&amp;"",""))</f>
        <v/>
      </c>
      <c r="J1222" s="65" t="str">
        <f>IF(COUNTA(A1222:G1222)=0,"",IF(E1222&lt;&gt;"",E1222,IF(B1222="","",IFERROR(IF(INDEX(pr_price,MATCH(B1222,pr_code,0))="","",INDEX(pr_price,MATCH(B1222,pr_code,0))),""))))</f>
        <v/>
      </c>
      <c r="K1222" s="71" t="str">
        <f>IF(COUNTA(A1222:G1222)=0,"",IF(G1222&lt;&gt;"",G1222,IF(B1222="","",IFERROR(IF(INDEX(pr_rate,MATCH(B1222,pr_code,0))="","",INDEX(pr_rate,MATCH(B1222,pr_code,0))),""))))</f>
        <v/>
      </c>
      <c r="L1222" s="65" t="str">
        <f>IF(COUNTA(A1222:G1222)=0,"",IF(AND(ISNUMBER(D1222),ISNUMBER(J1222)),ROUND(D1222*J1222*(1-N(F1222)),2),0))</f>
        <v/>
      </c>
      <c r="M1222" s="62" t="str">
        <f>IF(A1222="","",IFERROR(INDEX(dv_cname,MATCH(A1222,dv_num,0))&amp;"",""))</f>
        <v/>
      </c>
      <c r="N1222" s="59" t="str">
        <f>IF(COUNTA(A1222:G1222)=0,"",IF(A1222="","N° devis manquant",IF(ISNA(MATCH(A1222,dv_num,0)),"Devis inconnu",IF(AND(B1222&lt;&gt;"",ISNA(MATCH(B1222,pr_code,0))),"Article inconnu",IF(H1222="","Désignation manquante",IF(OR(NOT(ISNUMBER(D1222)),N(D1222)&lt;=0),"Quantité invalide",IF(J1222="","Prix manquant",IF(OR(NOT(ISNUMBER(J1222)),N(J1222)&lt;0),"Prix invalide",IF(OR(AND(F1222&lt;&gt;"",NOT(ISNUMBER(F1222))),N(F1222)&lt;0,N(F1222)&gt;1),"Remise invalide",IF(K1222="","Taux de TVA manquant",IF(NOT(ISNUMBER(K1222)),"Taux de TVA invalide",IF(COUNTIF(p_rates,K1222)=0,"Taux de TVA hors liste (Paramètres)",IF(N(O1222)&gt;25,"Au-delà de 25 lignes : non imprimée","OK")))))))))))))</f>
        <v/>
      </c>
      <c r="O1222" s="59" t="str">
        <f>IF(A1222="","",COUNTIF($A$6:A1222,A1222))</f>
        <v/>
      </c>
      <c r="P1222" s="62" t="str">
        <f>IF(A1222="","",A1222&amp;"|"&amp;O1222)</f>
        <v/>
      </c>
    </row>
    <row r="1223">
      <c r="A1223" s="60" t="n"/>
      <c r="B1223" s="63" t="n"/>
      <c r="C1223" s="63" t="n"/>
      <c r="D1223" s="67" t="n"/>
      <c r="E1223" s="68" t="n"/>
      <c r="F1223" s="69" t="n"/>
      <c r="G1223" s="70" t="n"/>
      <c r="H1223" s="62" t="str">
        <f>IF(COUNTA(A1223:G1223)=0,"",IF(C1223&lt;&gt;"",C1223,IF(B1223="","",IFERROR(INDEX(pr_des,MATCH(B1223,pr_code,0))&amp;"",""))))</f>
        <v/>
      </c>
      <c r="I1223" s="59" t="str">
        <f>IF(B1223="","",IFERROR(INDEX(pr_unit,MATCH(B1223,pr_code,0))&amp;"",""))</f>
        <v/>
      </c>
      <c r="J1223" s="65" t="str">
        <f>IF(COUNTA(A1223:G1223)=0,"",IF(E1223&lt;&gt;"",E1223,IF(B1223="","",IFERROR(IF(INDEX(pr_price,MATCH(B1223,pr_code,0))="","",INDEX(pr_price,MATCH(B1223,pr_code,0))),""))))</f>
        <v/>
      </c>
      <c r="K1223" s="71" t="str">
        <f>IF(COUNTA(A1223:G1223)=0,"",IF(G1223&lt;&gt;"",G1223,IF(B1223="","",IFERROR(IF(INDEX(pr_rate,MATCH(B1223,pr_code,0))="","",INDEX(pr_rate,MATCH(B1223,pr_code,0))),""))))</f>
        <v/>
      </c>
      <c r="L1223" s="65" t="str">
        <f>IF(COUNTA(A1223:G1223)=0,"",IF(AND(ISNUMBER(D1223),ISNUMBER(J1223)),ROUND(D1223*J1223*(1-N(F1223)),2),0))</f>
        <v/>
      </c>
      <c r="M1223" s="62" t="str">
        <f>IF(A1223="","",IFERROR(INDEX(dv_cname,MATCH(A1223,dv_num,0))&amp;"",""))</f>
        <v/>
      </c>
      <c r="N1223" s="59" t="str">
        <f>IF(COUNTA(A1223:G1223)=0,"",IF(A1223="","N° devis manquant",IF(ISNA(MATCH(A1223,dv_num,0)),"Devis inconnu",IF(AND(B1223&lt;&gt;"",ISNA(MATCH(B1223,pr_code,0))),"Article inconnu",IF(H1223="","Désignation manquante",IF(OR(NOT(ISNUMBER(D1223)),N(D1223)&lt;=0),"Quantité invalide",IF(J1223="","Prix manquant",IF(OR(NOT(ISNUMBER(J1223)),N(J1223)&lt;0),"Prix invalide",IF(OR(AND(F1223&lt;&gt;"",NOT(ISNUMBER(F1223))),N(F1223)&lt;0,N(F1223)&gt;1),"Remise invalide",IF(K1223="","Taux de TVA manquant",IF(NOT(ISNUMBER(K1223)),"Taux de TVA invalide",IF(COUNTIF(p_rates,K1223)=0,"Taux de TVA hors liste (Paramètres)",IF(N(O1223)&gt;25,"Au-delà de 25 lignes : non imprimée","OK")))))))))))))</f>
        <v/>
      </c>
      <c r="O1223" s="59" t="str">
        <f>IF(A1223="","",COUNTIF($A$6:A1223,A1223))</f>
        <v/>
      </c>
      <c r="P1223" s="62" t="str">
        <f>IF(A1223="","",A1223&amp;"|"&amp;O1223)</f>
        <v/>
      </c>
    </row>
    <row r="1224">
      <c r="A1224" s="60" t="n"/>
      <c r="B1224" s="63" t="n"/>
      <c r="C1224" s="63" t="n"/>
      <c r="D1224" s="67" t="n"/>
      <c r="E1224" s="68" t="n"/>
      <c r="F1224" s="69" t="n"/>
      <c r="G1224" s="70" t="n"/>
      <c r="H1224" s="62" t="str">
        <f>IF(COUNTA(A1224:G1224)=0,"",IF(C1224&lt;&gt;"",C1224,IF(B1224="","",IFERROR(INDEX(pr_des,MATCH(B1224,pr_code,0))&amp;"",""))))</f>
        <v/>
      </c>
      <c r="I1224" s="59" t="str">
        <f>IF(B1224="","",IFERROR(INDEX(pr_unit,MATCH(B1224,pr_code,0))&amp;"",""))</f>
        <v/>
      </c>
      <c r="J1224" s="65" t="str">
        <f>IF(COUNTA(A1224:G1224)=0,"",IF(E1224&lt;&gt;"",E1224,IF(B1224="","",IFERROR(IF(INDEX(pr_price,MATCH(B1224,pr_code,0))="","",INDEX(pr_price,MATCH(B1224,pr_code,0))),""))))</f>
        <v/>
      </c>
      <c r="K1224" s="71" t="str">
        <f>IF(COUNTA(A1224:G1224)=0,"",IF(G1224&lt;&gt;"",G1224,IF(B1224="","",IFERROR(IF(INDEX(pr_rate,MATCH(B1224,pr_code,0))="","",INDEX(pr_rate,MATCH(B1224,pr_code,0))),""))))</f>
        <v/>
      </c>
      <c r="L1224" s="65" t="str">
        <f>IF(COUNTA(A1224:G1224)=0,"",IF(AND(ISNUMBER(D1224),ISNUMBER(J1224)),ROUND(D1224*J1224*(1-N(F1224)),2),0))</f>
        <v/>
      </c>
      <c r="M1224" s="62" t="str">
        <f>IF(A1224="","",IFERROR(INDEX(dv_cname,MATCH(A1224,dv_num,0))&amp;"",""))</f>
        <v/>
      </c>
      <c r="N1224" s="59" t="str">
        <f>IF(COUNTA(A1224:G1224)=0,"",IF(A1224="","N° devis manquant",IF(ISNA(MATCH(A1224,dv_num,0)),"Devis inconnu",IF(AND(B1224&lt;&gt;"",ISNA(MATCH(B1224,pr_code,0))),"Article inconnu",IF(H1224="","Désignation manquante",IF(OR(NOT(ISNUMBER(D1224)),N(D1224)&lt;=0),"Quantité invalide",IF(J1224="","Prix manquant",IF(OR(NOT(ISNUMBER(J1224)),N(J1224)&lt;0),"Prix invalide",IF(OR(AND(F1224&lt;&gt;"",NOT(ISNUMBER(F1224))),N(F1224)&lt;0,N(F1224)&gt;1),"Remise invalide",IF(K1224="","Taux de TVA manquant",IF(NOT(ISNUMBER(K1224)),"Taux de TVA invalide",IF(COUNTIF(p_rates,K1224)=0,"Taux de TVA hors liste (Paramètres)",IF(N(O1224)&gt;25,"Au-delà de 25 lignes : non imprimée","OK")))))))))))))</f>
        <v/>
      </c>
      <c r="O1224" s="59" t="str">
        <f>IF(A1224="","",COUNTIF($A$6:A1224,A1224))</f>
        <v/>
      </c>
      <c r="P1224" s="62" t="str">
        <f>IF(A1224="","",A1224&amp;"|"&amp;O1224)</f>
        <v/>
      </c>
    </row>
    <row r="1225">
      <c r="A1225" s="60" t="n"/>
      <c r="B1225" s="63" t="n"/>
      <c r="C1225" s="63" t="n"/>
      <c r="D1225" s="67" t="n"/>
      <c r="E1225" s="68" t="n"/>
      <c r="F1225" s="69" t="n"/>
      <c r="G1225" s="70" t="n"/>
      <c r="H1225" s="62" t="str">
        <f>IF(COUNTA(A1225:G1225)=0,"",IF(C1225&lt;&gt;"",C1225,IF(B1225="","",IFERROR(INDEX(pr_des,MATCH(B1225,pr_code,0))&amp;"",""))))</f>
        <v/>
      </c>
      <c r="I1225" s="59" t="str">
        <f>IF(B1225="","",IFERROR(INDEX(pr_unit,MATCH(B1225,pr_code,0))&amp;"",""))</f>
        <v/>
      </c>
      <c r="J1225" s="65" t="str">
        <f>IF(COUNTA(A1225:G1225)=0,"",IF(E1225&lt;&gt;"",E1225,IF(B1225="","",IFERROR(IF(INDEX(pr_price,MATCH(B1225,pr_code,0))="","",INDEX(pr_price,MATCH(B1225,pr_code,0))),""))))</f>
        <v/>
      </c>
      <c r="K1225" s="71" t="str">
        <f>IF(COUNTA(A1225:G1225)=0,"",IF(G1225&lt;&gt;"",G1225,IF(B1225="","",IFERROR(IF(INDEX(pr_rate,MATCH(B1225,pr_code,0))="","",INDEX(pr_rate,MATCH(B1225,pr_code,0))),""))))</f>
        <v/>
      </c>
      <c r="L1225" s="65" t="str">
        <f>IF(COUNTA(A1225:G1225)=0,"",IF(AND(ISNUMBER(D1225),ISNUMBER(J1225)),ROUND(D1225*J1225*(1-N(F1225)),2),0))</f>
        <v/>
      </c>
      <c r="M1225" s="62" t="str">
        <f>IF(A1225="","",IFERROR(INDEX(dv_cname,MATCH(A1225,dv_num,0))&amp;"",""))</f>
        <v/>
      </c>
      <c r="N1225" s="59" t="str">
        <f>IF(COUNTA(A1225:G1225)=0,"",IF(A1225="","N° devis manquant",IF(ISNA(MATCH(A1225,dv_num,0)),"Devis inconnu",IF(AND(B1225&lt;&gt;"",ISNA(MATCH(B1225,pr_code,0))),"Article inconnu",IF(H1225="","Désignation manquante",IF(OR(NOT(ISNUMBER(D1225)),N(D1225)&lt;=0),"Quantité invalide",IF(J1225="","Prix manquant",IF(OR(NOT(ISNUMBER(J1225)),N(J1225)&lt;0),"Prix invalide",IF(OR(AND(F1225&lt;&gt;"",NOT(ISNUMBER(F1225))),N(F1225)&lt;0,N(F1225)&gt;1),"Remise invalide",IF(K1225="","Taux de TVA manquant",IF(NOT(ISNUMBER(K1225)),"Taux de TVA invalide",IF(COUNTIF(p_rates,K1225)=0,"Taux de TVA hors liste (Paramètres)",IF(N(O1225)&gt;25,"Au-delà de 25 lignes : non imprimée","OK")))))))))))))</f>
        <v/>
      </c>
      <c r="O1225" s="59" t="str">
        <f>IF(A1225="","",COUNTIF($A$6:A1225,A1225))</f>
        <v/>
      </c>
      <c r="P1225" s="62" t="str">
        <f>IF(A1225="","",A1225&amp;"|"&amp;O1225)</f>
        <v/>
      </c>
    </row>
    <row r="1226">
      <c r="A1226" s="60" t="n"/>
      <c r="B1226" s="63" t="n"/>
      <c r="C1226" s="63" t="n"/>
      <c r="D1226" s="67" t="n"/>
      <c r="E1226" s="68" t="n"/>
      <c r="F1226" s="69" t="n"/>
      <c r="G1226" s="70" t="n"/>
      <c r="H1226" s="62" t="str">
        <f>IF(COUNTA(A1226:G1226)=0,"",IF(C1226&lt;&gt;"",C1226,IF(B1226="","",IFERROR(INDEX(pr_des,MATCH(B1226,pr_code,0))&amp;"",""))))</f>
        <v/>
      </c>
      <c r="I1226" s="59" t="str">
        <f>IF(B1226="","",IFERROR(INDEX(pr_unit,MATCH(B1226,pr_code,0))&amp;"",""))</f>
        <v/>
      </c>
      <c r="J1226" s="65" t="str">
        <f>IF(COUNTA(A1226:G1226)=0,"",IF(E1226&lt;&gt;"",E1226,IF(B1226="","",IFERROR(IF(INDEX(pr_price,MATCH(B1226,pr_code,0))="","",INDEX(pr_price,MATCH(B1226,pr_code,0))),""))))</f>
        <v/>
      </c>
      <c r="K1226" s="71" t="str">
        <f>IF(COUNTA(A1226:G1226)=0,"",IF(G1226&lt;&gt;"",G1226,IF(B1226="","",IFERROR(IF(INDEX(pr_rate,MATCH(B1226,pr_code,0))="","",INDEX(pr_rate,MATCH(B1226,pr_code,0))),""))))</f>
        <v/>
      </c>
      <c r="L1226" s="65" t="str">
        <f>IF(COUNTA(A1226:G1226)=0,"",IF(AND(ISNUMBER(D1226),ISNUMBER(J1226)),ROUND(D1226*J1226*(1-N(F1226)),2),0))</f>
        <v/>
      </c>
      <c r="M1226" s="62" t="str">
        <f>IF(A1226="","",IFERROR(INDEX(dv_cname,MATCH(A1226,dv_num,0))&amp;"",""))</f>
        <v/>
      </c>
      <c r="N1226" s="59" t="str">
        <f>IF(COUNTA(A1226:G1226)=0,"",IF(A1226="","N° devis manquant",IF(ISNA(MATCH(A1226,dv_num,0)),"Devis inconnu",IF(AND(B1226&lt;&gt;"",ISNA(MATCH(B1226,pr_code,0))),"Article inconnu",IF(H1226="","Désignation manquante",IF(OR(NOT(ISNUMBER(D1226)),N(D1226)&lt;=0),"Quantité invalide",IF(J1226="","Prix manquant",IF(OR(NOT(ISNUMBER(J1226)),N(J1226)&lt;0),"Prix invalide",IF(OR(AND(F1226&lt;&gt;"",NOT(ISNUMBER(F1226))),N(F1226)&lt;0,N(F1226)&gt;1),"Remise invalide",IF(K1226="","Taux de TVA manquant",IF(NOT(ISNUMBER(K1226)),"Taux de TVA invalide",IF(COUNTIF(p_rates,K1226)=0,"Taux de TVA hors liste (Paramètres)",IF(N(O1226)&gt;25,"Au-delà de 25 lignes : non imprimée","OK")))))))))))))</f>
        <v/>
      </c>
      <c r="O1226" s="59" t="str">
        <f>IF(A1226="","",COUNTIF($A$6:A1226,A1226))</f>
        <v/>
      </c>
      <c r="P1226" s="62" t="str">
        <f>IF(A1226="","",A1226&amp;"|"&amp;O1226)</f>
        <v/>
      </c>
    </row>
    <row r="1227">
      <c r="A1227" s="60" t="n"/>
      <c r="B1227" s="63" t="n"/>
      <c r="C1227" s="63" t="n"/>
      <c r="D1227" s="67" t="n"/>
      <c r="E1227" s="68" t="n"/>
      <c r="F1227" s="69" t="n"/>
      <c r="G1227" s="70" t="n"/>
      <c r="H1227" s="62" t="str">
        <f>IF(COUNTA(A1227:G1227)=0,"",IF(C1227&lt;&gt;"",C1227,IF(B1227="","",IFERROR(INDEX(pr_des,MATCH(B1227,pr_code,0))&amp;"",""))))</f>
        <v/>
      </c>
      <c r="I1227" s="59" t="str">
        <f>IF(B1227="","",IFERROR(INDEX(pr_unit,MATCH(B1227,pr_code,0))&amp;"",""))</f>
        <v/>
      </c>
      <c r="J1227" s="65" t="str">
        <f>IF(COUNTA(A1227:G1227)=0,"",IF(E1227&lt;&gt;"",E1227,IF(B1227="","",IFERROR(IF(INDEX(pr_price,MATCH(B1227,pr_code,0))="","",INDEX(pr_price,MATCH(B1227,pr_code,0))),""))))</f>
        <v/>
      </c>
      <c r="K1227" s="71" t="str">
        <f>IF(COUNTA(A1227:G1227)=0,"",IF(G1227&lt;&gt;"",G1227,IF(B1227="","",IFERROR(IF(INDEX(pr_rate,MATCH(B1227,pr_code,0))="","",INDEX(pr_rate,MATCH(B1227,pr_code,0))),""))))</f>
        <v/>
      </c>
      <c r="L1227" s="65" t="str">
        <f>IF(COUNTA(A1227:G1227)=0,"",IF(AND(ISNUMBER(D1227),ISNUMBER(J1227)),ROUND(D1227*J1227*(1-N(F1227)),2),0))</f>
        <v/>
      </c>
      <c r="M1227" s="62" t="str">
        <f>IF(A1227="","",IFERROR(INDEX(dv_cname,MATCH(A1227,dv_num,0))&amp;"",""))</f>
        <v/>
      </c>
      <c r="N1227" s="59" t="str">
        <f>IF(COUNTA(A1227:G1227)=0,"",IF(A1227="","N° devis manquant",IF(ISNA(MATCH(A1227,dv_num,0)),"Devis inconnu",IF(AND(B1227&lt;&gt;"",ISNA(MATCH(B1227,pr_code,0))),"Article inconnu",IF(H1227="","Désignation manquante",IF(OR(NOT(ISNUMBER(D1227)),N(D1227)&lt;=0),"Quantité invalide",IF(J1227="","Prix manquant",IF(OR(NOT(ISNUMBER(J1227)),N(J1227)&lt;0),"Prix invalide",IF(OR(AND(F1227&lt;&gt;"",NOT(ISNUMBER(F1227))),N(F1227)&lt;0,N(F1227)&gt;1),"Remise invalide",IF(K1227="","Taux de TVA manquant",IF(NOT(ISNUMBER(K1227)),"Taux de TVA invalide",IF(COUNTIF(p_rates,K1227)=0,"Taux de TVA hors liste (Paramètres)",IF(N(O1227)&gt;25,"Au-delà de 25 lignes : non imprimée","OK")))))))))))))</f>
        <v/>
      </c>
      <c r="O1227" s="59" t="str">
        <f>IF(A1227="","",COUNTIF($A$6:A1227,A1227))</f>
        <v/>
      </c>
      <c r="P1227" s="62" t="str">
        <f>IF(A1227="","",A1227&amp;"|"&amp;O1227)</f>
        <v/>
      </c>
    </row>
    <row r="1228">
      <c r="A1228" s="60" t="n"/>
      <c r="B1228" s="63" t="n"/>
      <c r="C1228" s="63" t="n"/>
      <c r="D1228" s="67" t="n"/>
      <c r="E1228" s="68" t="n"/>
      <c r="F1228" s="69" t="n"/>
      <c r="G1228" s="70" t="n"/>
      <c r="H1228" s="62" t="str">
        <f>IF(COUNTA(A1228:G1228)=0,"",IF(C1228&lt;&gt;"",C1228,IF(B1228="","",IFERROR(INDEX(pr_des,MATCH(B1228,pr_code,0))&amp;"",""))))</f>
        <v/>
      </c>
      <c r="I1228" s="59" t="str">
        <f>IF(B1228="","",IFERROR(INDEX(pr_unit,MATCH(B1228,pr_code,0))&amp;"",""))</f>
        <v/>
      </c>
      <c r="J1228" s="65" t="str">
        <f>IF(COUNTA(A1228:G1228)=0,"",IF(E1228&lt;&gt;"",E1228,IF(B1228="","",IFERROR(IF(INDEX(pr_price,MATCH(B1228,pr_code,0))="","",INDEX(pr_price,MATCH(B1228,pr_code,0))),""))))</f>
        <v/>
      </c>
      <c r="K1228" s="71" t="str">
        <f>IF(COUNTA(A1228:G1228)=0,"",IF(G1228&lt;&gt;"",G1228,IF(B1228="","",IFERROR(IF(INDEX(pr_rate,MATCH(B1228,pr_code,0))="","",INDEX(pr_rate,MATCH(B1228,pr_code,0))),""))))</f>
        <v/>
      </c>
      <c r="L1228" s="65" t="str">
        <f>IF(COUNTA(A1228:G1228)=0,"",IF(AND(ISNUMBER(D1228),ISNUMBER(J1228)),ROUND(D1228*J1228*(1-N(F1228)),2),0))</f>
        <v/>
      </c>
      <c r="M1228" s="62" t="str">
        <f>IF(A1228="","",IFERROR(INDEX(dv_cname,MATCH(A1228,dv_num,0))&amp;"",""))</f>
        <v/>
      </c>
      <c r="N1228" s="59" t="str">
        <f>IF(COUNTA(A1228:G1228)=0,"",IF(A1228="","N° devis manquant",IF(ISNA(MATCH(A1228,dv_num,0)),"Devis inconnu",IF(AND(B1228&lt;&gt;"",ISNA(MATCH(B1228,pr_code,0))),"Article inconnu",IF(H1228="","Désignation manquante",IF(OR(NOT(ISNUMBER(D1228)),N(D1228)&lt;=0),"Quantité invalide",IF(J1228="","Prix manquant",IF(OR(NOT(ISNUMBER(J1228)),N(J1228)&lt;0),"Prix invalide",IF(OR(AND(F1228&lt;&gt;"",NOT(ISNUMBER(F1228))),N(F1228)&lt;0,N(F1228)&gt;1),"Remise invalide",IF(K1228="","Taux de TVA manquant",IF(NOT(ISNUMBER(K1228)),"Taux de TVA invalide",IF(COUNTIF(p_rates,K1228)=0,"Taux de TVA hors liste (Paramètres)",IF(N(O1228)&gt;25,"Au-delà de 25 lignes : non imprimée","OK")))))))))))))</f>
        <v/>
      </c>
      <c r="O1228" s="59" t="str">
        <f>IF(A1228="","",COUNTIF($A$6:A1228,A1228))</f>
        <v/>
      </c>
      <c r="P1228" s="62" t="str">
        <f>IF(A1228="","",A1228&amp;"|"&amp;O1228)</f>
        <v/>
      </c>
    </row>
    <row r="1229">
      <c r="A1229" s="60" t="n"/>
      <c r="B1229" s="63" t="n"/>
      <c r="C1229" s="63" t="n"/>
      <c r="D1229" s="67" t="n"/>
      <c r="E1229" s="68" t="n"/>
      <c r="F1229" s="69" t="n"/>
      <c r="G1229" s="70" t="n"/>
      <c r="H1229" s="62" t="str">
        <f>IF(COUNTA(A1229:G1229)=0,"",IF(C1229&lt;&gt;"",C1229,IF(B1229="","",IFERROR(INDEX(pr_des,MATCH(B1229,pr_code,0))&amp;"",""))))</f>
        <v/>
      </c>
      <c r="I1229" s="59" t="str">
        <f>IF(B1229="","",IFERROR(INDEX(pr_unit,MATCH(B1229,pr_code,0))&amp;"",""))</f>
        <v/>
      </c>
      <c r="J1229" s="65" t="str">
        <f>IF(COUNTA(A1229:G1229)=0,"",IF(E1229&lt;&gt;"",E1229,IF(B1229="","",IFERROR(IF(INDEX(pr_price,MATCH(B1229,pr_code,0))="","",INDEX(pr_price,MATCH(B1229,pr_code,0))),""))))</f>
        <v/>
      </c>
      <c r="K1229" s="71" t="str">
        <f>IF(COUNTA(A1229:G1229)=0,"",IF(G1229&lt;&gt;"",G1229,IF(B1229="","",IFERROR(IF(INDEX(pr_rate,MATCH(B1229,pr_code,0))="","",INDEX(pr_rate,MATCH(B1229,pr_code,0))),""))))</f>
        <v/>
      </c>
      <c r="L1229" s="65" t="str">
        <f>IF(COUNTA(A1229:G1229)=0,"",IF(AND(ISNUMBER(D1229),ISNUMBER(J1229)),ROUND(D1229*J1229*(1-N(F1229)),2),0))</f>
        <v/>
      </c>
      <c r="M1229" s="62" t="str">
        <f>IF(A1229="","",IFERROR(INDEX(dv_cname,MATCH(A1229,dv_num,0))&amp;"",""))</f>
        <v/>
      </c>
      <c r="N1229" s="59" t="str">
        <f>IF(COUNTA(A1229:G1229)=0,"",IF(A1229="","N° devis manquant",IF(ISNA(MATCH(A1229,dv_num,0)),"Devis inconnu",IF(AND(B1229&lt;&gt;"",ISNA(MATCH(B1229,pr_code,0))),"Article inconnu",IF(H1229="","Désignation manquante",IF(OR(NOT(ISNUMBER(D1229)),N(D1229)&lt;=0),"Quantité invalide",IF(J1229="","Prix manquant",IF(OR(NOT(ISNUMBER(J1229)),N(J1229)&lt;0),"Prix invalide",IF(OR(AND(F1229&lt;&gt;"",NOT(ISNUMBER(F1229))),N(F1229)&lt;0,N(F1229)&gt;1),"Remise invalide",IF(K1229="","Taux de TVA manquant",IF(NOT(ISNUMBER(K1229)),"Taux de TVA invalide",IF(COUNTIF(p_rates,K1229)=0,"Taux de TVA hors liste (Paramètres)",IF(N(O1229)&gt;25,"Au-delà de 25 lignes : non imprimée","OK")))))))))))))</f>
        <v/>
      </c>
      <c r="O1229" s="59" t="str">
        <f>IF(A1229="","",COUNTIF($A$6:A1229,A1229))</f>
        <v/>
      </c>
      <c r="P1229" s="62" t="str">
        <f>IF(A1229="","",A1229&amp;"|"&amp;O1229)</f>
        <v/>
      </c>
    </row>
    <row r="1230">
      <c r="A1230" s="60" t="n"/>
      <c r="B1230" s="63" t="n"/>
      <c r="C1230" s="63" t="n"/>
      <c r="D1230" s="67" t="n"/>
      <c r="E1230" s="68" t="n"/>
      <c r="F1230" s="69" t="n"/>
      <c r="G1230" s="70" t="n"/>
      <c r="H1230" s="62" t="str">
        <f>IF(COUNTA(A1230:G1230)=0,"",IF(C1230&lt;&gt;"",C1230,IF(B1230="","",IFERROR(INDEX(pr_des,MATCH(B1230,pr_code,0))&amp;"",""))))</f>
        <v/>
      </c>
      <c r="I1230" s="59" t="str">
        <f>IF(B1230="","",IFERROR(INDEX(pr_unit,MATCH(B1230,pr_code,0))&amp;"",""))</f>
        <v/>
      </c>
      <c r="J1230" s="65" t="str">
        <f>IF(COUNTA(A1230:G1230)=0,"",IF(E1230&lt;&gt;"",E1230,IF(B1230="","",IFERROR(IF(INDEX(pr_price,MATCH(B1230,pr_code,0))="","",INDEX(pr_price,MATCH(B1230,pr_code,0))),""))))</f>
        <v/>
      </c>
      <c r="K1230" s="71" t="str">
        <f>IF(COUNTA(A1230:G1230)=0,"",IF(G1230&lt;&gt;"",G1230,IF(B1230="","",IFERROR(IF(INDEX(pr_rate,MATCH(B1230,pr_code,0))="","",INDEX(pr_rate,MATCH(B1230,pr_code,0))),""))))</f>
        <v/>
      </c>
      <c r="L1230" s="65" t="str">
        <f>IF(COUNTA(A1230:G1230)=0,"",IF(AND(ISNUMBER(D1230),ISNUMBER(J1230)),ROUND(D1230*J1230*(1-N(F1230)),2),0))</f>
        <v/>
      </c>
      <c r="M1230" s="62" t="str">
        <f>IF(A1230="","",IFERROR(INDEX(dv_cname,MATCH(A1230,dv_num,0))&amp;"",""))</f>
        <v/>
      </c>
      <c r="N1230" s="59" t="str">
        <f>IF(COUNTA(A1230:G1230)=0,"",IF(A1230="","N° devis manquant",IF(ISNA(MATCH(A1230,dv_num,0)),"Devis inconnu",IF(AND(B1230&lt;&gt;"",ISNA(MATCH(B1230,pr_code,0))),"Article inconnu",IF(H1230="","Désignation manquante",IF(OR(NOT(ISNUMBER(D1230)),N(D1230)&lt;=0),"Quantité invalide",IF(J1230="","Prix manquant",IF(OR(NOT(ISNUMBER(J1230)),N(J1230)&lt;0),"Prix invalide",IF(OR(AND(F1230&lt;&gt;"",NOT(ISNUMBER(F1230))),N(F1230)&lt;0,N(F1230)&gt;1),"Remise invalide",IF(K1230="","Taux de TVA manquant",IF(NOT(ISNUMBER(K1230)),"Taux de TVA invalide",IF(COUNTIF(p_rates,K1230)=0,"Taux de TVA hors liste (Paramètres)",IF(N(O1230)&gt;25,"Au-delà de 25 lignes : non imprimée","OK")))))))))))))</f>
        <v/>
      </c>
      <c r="O1230" s="59" t="str">
        <f>IF(A1230="","",COUNTIF($A$6:A1230,A1230))</f>
        <v/>
      </c>
      <c r="P1230" s="62" t="str">
        <f>IF(A1230="","",A1230&amp;"|"&amp;O1230)</f>
        <v/>
      </c>
    </row>
    <row r="1231">
      <c r="A1231" s="60" t="n"/>
      <c r="B1231" s="63" t="n"/>
      <c r="C1231" s="63" t="n"/>
      <c r="D1231" s="67" t="n"/>
      <c r="E1231" s="68" t="n"/>
      <c r="F1231" s="69" t="n"/>
      <c r="G1231" s="70" t="n"/>
      <c r="H1231" s="62" t="str">
        <f>IF(COUNTA(A1231:G1231)=0,"",IF(C1231&lt;&gt;"",C1231,IF(B1231="","",IFERROR(INDEX(pr_des,MATCH(B1231,pr_code,0))&amp;"",""))))</f>
        <v/>
      </c>
      <c r="I1231" s="59" t="str">
        <f>IF(B1231="","",IFERROR(INDEX(pr_unit,MATCH(B1231,pr_code,0))&amp;"",""))</f>
        <v/>
      </c>
      <c r="J1231" s="65" t="str">
        <f>IF(COUNTA(A1231:G1231)=0,"",IF(E1231&lt;&gt;"",E1231,IF(B1231="","",IFERROR(IF(INDEX(pr_price,MATCH(B1231,pr_code,0))="","",INDEX(pr_price,MATCH(B1231,pr_code,0))),""))))</f>
        <v/>
      </c>
      <c r="K1231" s="71" t="str">
        <f>IF(COUNTA(A1231:G1231)=0,"",IF(G1231&lt;&gt;"",G1231,IF(B1231="","",IFERROR(IF(INDEX(pr_rate,MATCH(B1231,pr_code,0))="","",INDEX(pr_rate,MATCH(B1231,pr_code,0))),""))))</f>
        <v/>
      </c>
      <c r="L1231" s="65" t="str">
        <f>IF(COUNTA(A1231:G1231)=0,"",IF(AND(ISNUMBER(D1231),ISNUMBER(J1231)),ROUND(D1231*J1231*(1-N(F1231)),2),0))</f>
        <v/>
      </c>
      <c r="M1231" s="62" t="str">
        <f>IF(A1231="","",IFERROR(INDEX(dv_cname,MATCH(A1231,dv_num,0))&amp;"",""))</f>
        <v/>
      </c>
      <c r="N1231" s="59" t="str">
        <f>IF(COUNTA(A1231:G1231)=0,"",IF(A1231="","N° devis manquant",IF(ISNA(MATCH(A1231,dv_num,0)),"Devis inconnu",IF(AND(B1231&lt;&gt;"",ISNA(MATCH(B1231,pr_code,0))),"Article inconnu",IF(H1231="","Désignation manquante",IF(OR(NOT(ISNUMBER(D1231)),N(D1231)&lt;=0),"Quantité invalide",IF(J1231="","Prix manquant",IF(OR(NOT(ISNUMBER(J1231)),N(J1231)&lt;0),"Prix invalide",IF(OR(AND(F1231&lt;&gt;"",NOT(ISNUMBER(F1231))),N(F1231)&lt;0,N(F1231)&gt;1),"Remise invalide",IF(K1231="","Taux de TVA manquant",IF(NOT(ISNUMBER(K1231)),"Taux de TVA invalide",IF(COUNTIF(p_rates,K1231)=0,"Taux de TVA hors liste (Paramètres)",IF(N(O1231)&gt;25,"Au-delà de 25 lignes : non imprimée","OK")))))))))))))</f>
        <v/>
      </c>
      <c r="O1231" s="59" t="str">
        <f>IF(A1231="","",COUNTIF($A$6:A1231,A1231))</f>
        <v/>
      </c>
      <c r="P1231" s="62" t="str">
        <f>IF(A1231="","",A1231&amp;"|"&amp;O1231)</f>
        <v/>
      </c>
    </row>
    <row r="1232">
      <c r="A1232" s="60" t="n"/>
      <c r="B1232" s="63" t="n"/>
      <c r="C1232" s="63" t="n"/>
      <c r="D1232" s="67" t="n"/>
      <c r="E1232" s="68" t="n"/>
      <c r="F1232" s="69" t="n"/>
      <c r="G1232" s="70" t="n"/>
      <c r="H1232" s="62" t="str">
        <f>IF(COUNTA(A1232:G1232)=0,"",IF(C1232&lt;&gt;"",C1232,IF(B1232="","",IFERROR(INDEX(pr_des,MATCH(B1232,pr_code,0))&amp;"",""))))</f>
        <v/>
      </c>
      <c r="I1232" s="59" t="str">
        <f>IF(B1232="","",IFERROR(INDEX(pr_unit,MATCH(B1232,pr_code,0))&amp;"",""))</f>
        <v/>
      </c>
      <c r="J1232" s="65" t="str">
        <f>IF(COUNTA(A1232:G1232)=0,"",IF(E1232&lt;&gt;"",E1232,IF(B1232="","",IFERROR(IF(INDEX(pr_price,MATCH(B1232,pr_code,0))="","",INDEX(pr_price,MATCH(B1232,pr_code,0))),""))))</f>
        <v/>
      </c>
      <c r="K1232" s="71" t="str">
        <f>IF(COUNTA(A1232:G1232)=0,"",IF(G1232&lt;&gt;"",G1232,IF(B1232="","",IFERROR(IF(INDEX(pr_rate,MATCH(B1232,pr_code,0))="","",INDEX(pr_rate,MATCH(B1232,pr_code,0))),""))))</f>
        <v/>
      </c>
      <c r="L1232" s="65" t="str">
        <f>IF(COUNTA(A1232:G1232)=0,"",IF(AND(ISNUMBER(D1232),ISNUMBER(J1232)),ROUND(D1232*J1232*(1-N(F1232)),2),0))</f>
        <v/>
      </c>
      <c r="M1232" s="62" t="str">
        <f>IF(A1232="","",IFERROR(INDEX(dv_cname,MATCH(A1232,dv_num,0))&amp;"",""))</f>
        <v/>
      </c>
      <c r="N1232" s="59" t="str">
        <f>IF(COUNTA(A1232:G1232)=0,"",IF(A1232="","N° devis manquant",IF(ISNA(MATCH(A1232,dv_num,0)),"Devis inconnu",IF(AND(B1232&lt;&gt;"",ISNA(MATCH(B1232,pr_code,0))),"Article inconnu",IF(H1232="","Désignation manquante",IF(OR(NOT(ISNUMBER(D1232)),N(D1232)&lt;=0),"Quantité invalide",IF(J1232="","Prix manquant",IF(OR(NOT(ISNUMBER(J1232)),N(J1232)&lt;0),"Prix invalide",IF(OR(AND(F1232&lt;&gt;"",NOT(ISNUMBER(F1232))),N(F1232)&lt;0,N(F1232)&gt;1),"Remise invalide",IF(K1232="","Taux de TVA manquant",IF(NOT(ISNUMBER(K1232)),"Taux de TVA invalide",IF(COUNTIF(p_rates,K1232)=0,"Taux de TVA hors liste (Paramètres)",IF(N(O1232)&gt;25,"Au-delà de 25 lignes : non imprimée","OK")))))))))))))</f>
        <v/>
      </c>
      <c r="O1232" s="59" t="str">
        <f>IF(A1232="","",COUNTIF($A$6:A1232,A1232))</f>
        <v/>
      </c>
      <c r="P1232" s="62" t="str">
        <f>IF(A1232="","",A1232&amp;"|"&amp;O1232)</f>
        <v/>
      </c>
    </row>
    <row r="1233">
      <c r="A1233" s="60" t="n"/>
      <c r="B1233" s="63" t="n"/>
      <c r="C1233" s="63" t="n"/>
      <c r="D1233" s="67" t="n"/>
      <c r="E1233" s="68" t="n"/>
      <c r="F1233" s="69" t="n"/>
      <c r="G1233" s="70" t="n"/>
      <c r="H1233" s="62" t="str">
        <f>IF(COUNTA(A1233:G1233)=0,"",IF(C1233&lt;&gt;"",C1233,IF(B1233="","",IFERROR(INDEX(pr_des,MATCH(B1233,pr_code,0))&amp;"",""))))</f>
        <v/>
      </c>
      <c r="I1233" s="59" t="str">
        <f>IF(B1233="","",IFERROR(INDEX(pr_unit,MATCH(B1233,pr_code,0))&amp;"",""))</f>
        <v/>
      </c>
      <c r="J1233" s="65" t="str">
        <f>IF(COUNTA(A1233:G1233)=0,"",IF(E1233&lt;&gt;"",E1233,IF(B1233="","",IFERROR(IF(INDEX(pr_price,MATCH(B1233,pr_code,0))="","",INDEX(pr_price,MATCH(B1233,pr_code,0))),""))))</f>
        <v/>
      </c>
      <c r="K1233" s="71" t="str">
        <f>IF(COUNTA(A1233:G1233)=0,"",IF(G1233&lt;&gt;"",G1233,IF(B1233="","",IFERROR(IF(INDEX(pr_rate,MATCH(B1233,pr_code,0))="","",INDEX(pr_rate,MATCH(B1233,pr_code,0))),""))))</f>
        <v/>
      </c>
      <c r="L1233" s="65" t="str">
        <f>IF(COUNTA(A1233:G1233)=0,"",IF(AND(ISNUMBER(D1233),ISNUMBER(J1233)),ROUND(D1233*J1233*(1-N(F1233)),2),0))</f>
        <v/>
      </c>
      <c r="M1233" s="62" t="str">
        <f>IF(A1233="","",IFERROR(INDEX(dv_cname,MATCH(A1233,dv_num,0))&amp;"",""))</f>
        <v/>
      </c>
      <c r="N1233" s="59" t="str">
        <f>IF(COUNTA(A1233:G1233)=0,"",IF(A1233="","N° devis manquant",IF(ISNA(MATCH(A1233,dv_num,0)),"Devis inconnu",IF(AND(B1233&lt;&gt;"",ISNA(MATCH(B1233,pr_code,0))),"Article inconnu",IF(H1233="","Désignation manquante",IF(OR(NOT(ISNUMBER(D1233)),N(D1233)&lt;=0),"Quantité invalide",IF(J1233="","Prix manquant",IF(OR(NOT(ISNUMBER(J1233)),N(J1233)&lt;0),"Prix invalide",IF(OR(AND(F1233&lt;&gt;"",NOT(ISNUMBER(F1233))),N(F1233)&lt;0,N(F1233)&gt;1),"Remise invalide",IF(K1233="","Taux de TVA manquant",IF(NOT(ISNUMBER(K1233)),"Taux de TVA invalide",IF(COUNTIF(p_rates,K1233)=0,"Taux de TVA hors liste (Paramètres)",IF(N(O1233)&gt;25,"Au-delà de 25 lignes : non imprimée","OK")))))))))))))</f>
        <v/>
      </c>
      <c r="O1233" s="59" t="str">
        <f>IF(A1233="","",COUNTIF($A$6:A1233,A1233))</f>
        <v/>
      </c>
      <c r="P1233" s="62" t="str">
        <f>IF(A1233="","",A1233&amp;"|"&amp;O1233)</f>
        <v/>
      </c>
    </row>
    <row r="1234">
      <c r="A1234" s="60" t="n"/>
      <c r="B1234" s="63" t="n"/>
      <c r="C1234" s="63" t="n"/>
      <c r="D1234" s="67" t="n"/>
      <c r="E1234" s="68" t="n"/>
      <c r="F1234" s="69" t="n"/>
      <c r="G1234" s="70" t="n"/>
      <c r="H1234" s="62" t="str">
        <f>IF(COUNTA(A1234:G1234)=0,"",IF(C1234&lt;&gt;"",C1234,IF(B1234="","",IFERROR(INDEX(pr_des,MATCH(B1234,pr_code,0))&amp;"",""))))</f>
        <v/>
      </c>
      <c r="I1234" s="59" t="str">
        <f>IF(B1234="","",IFERROR(INDEX(pr_unit,MATCH(B1234,pr_code,0))&amp;"",""))</f>
        <v/>
      </c>
      <c r="J1234" s="65" t="str">
        <f>IF(COUNTA(A1234:G1234)=0,"",IF(E1234&lt;&gt;"",E1234,IF(B1234="","",IFERROR(IF(INDEX(pr_price,MATCH(B1234,pr_code,0))="","",INDEX(pr_price,MATCH(B1234,pr_code,0))),""))))</f>
        <v/>
      </c>
      <c r="K1234" s="71" t="str">
        <f>IF(COUNTA(A1234:G1234)=0,"",IF(G1234&lt;&gt;"",G1234,IF(B1234="","",IFERROR(IF(INDEX(pr_rate,MATCH(B1234,pr_code,0))="","",INDEX(pr_rate,MATCH(B1234,pr_code,0))),""))))</f>
        <v/>
      </c>
      <c r="L1234" s="65" t="str">
        <f>IF(COUNTA(A1234:G1234)=0,"",IF(AND(ISNUMBER(D1234),ISNUMBER(J1234)),ROUND(D1234*J1234*(1-N(F1234)),2),0))</f>
        <v/>
      </c>
      <c r="M1234" s="62" t="str">
        <f>IF(A1234="","",IFERROR(INDEX(dv_cname,MATCH(A1234,dv_num,0))&amp;"",""))</f>
        <v/>
      </c>
      <c r="N1234" s="59" t="str">
        <f>IF(COUNTA(A1234:G1234)=0,"",IF(A1234="","N° devis manquant",IF(ISNA(MATCH(A1234,dv_num,0)),"Devis inconnu",IF(AND(B1234&lt;&gt;"",ISNA(MATCH(B1234,pr_code,0))),"Article inconnu",IF(H1234="","Désignation manquante",IF(OR(NOT(ISNUMBER(D1234)),N(D1234)&lt;=0),"Quantité invalide",IF(J1234="","Prix manquant",IF(OR(NOT(ISNUMBER(J1234)),N(J1234)&lt;0),"Prix invalide",IF(OR(AND(F1234&lt;&gt;"",NOT(ISNUMBER(F1234))),N(F1234)&lt;0,N(F1234)&gt;1),"Remise invalide",IF(K1234="","Taux de TVA manquant",IF(NOT(ISNUMBER(K1234)),"Taux de TVA invalide",IF(COUNTIF(p_rates,K1234)=0,"Taux de TVA hors liste (Paramètres)",IF(N(O1234)&gt;25,"Au-delà de 25 lignes : non imprimée","OK")))))))))))))</f>
        <v/>
      </c>
      <c r="O1234" s="59" t="str">
        <f>IF(A1234="","",COUNTIF($A$6:A1234,A1234))</f>
        <v/>
      </c>
      <c r="P1234" s="62" t="str">
        <f>IF(A1234="","",A1234&amp;"|"&amp;O1234)</f>
        <v/>
      </c>
    </row>
    <row r="1235">
      <c r="A1235" s="60" t="n"/>
      <c r="B1235" s="63" t="n"/>
      <c r="C1235" s="63" t="n"/>
      <c r="D1235" s="67" t="n"/>
      <c r="E1235" s="68" t="n"/>
      <c r="F1235" s="69" t="n"/>
      <c r="G1235" s="70" t="n"/>
      <c r="H1235" s="62" t="str">
        <f>IF(COUNTA(A1235:G1235)=0,"",IF(C1235&lt;&gt;"",C1235,IF(B1235="","",IFERROR(INDEX(pr_des,MATCH(B1235,pr_code,0))&amp;"",""))))</f>
        <v/>
      </c>
      <c r="I1235" s="59" t="str">
        <f>IF(B1235="","",IFERROR(INDEX(pr_unit,MATCH(B1235,pr_code,0))&amp;"",""))</f>
        <v/>
      </c>
      <c r="J1235" s="65" t="str">
        <f>IF(COUNTA(A1235:G1235)=0,"",IF(E1235&lt;&gt;"",E1235,IF(B1235="","",IFERROR(IF(INDEX(pr_price,MATCH(B1235,pr_code,0))="","",INDEX(pr_price,MATCH(B1235,pr_code,0))),""))))</f>
        <v/>
      </c>
      <c r="K1235" s="71" t="str">
        <f>IF(COUNTA(A1235:G1235)=0,"",IF(G1235&lt;&gt;"",G1235,IF(B1235="","",IFERROR(IF(INDEX(pr_rate,MATCH(B1235,pr_code,0))="","",INDEX(pr_rate,MATCH(B1235,pr_code,0))),""))))</f>
        <v/>
      </c>
      <c r="L1235" s="65" t="str">
        <f>IF(COUNTA(A1235:G1235)=0,"",IF(AND(ISNUMBER(D1235),ISNUMBER(J1235)),ROUND(D1235*J1235*(1-N(F1235)),2),0))</f>
        <v/>
      </c>
      <c r="M1235" s="62" t="str">
        <f>IF(A1235="","",IFERROR(INDEX(dv_cname,MATCH(A1235,dv_num,0))&amp;"",""))</f>
        <v/>
      </c>
      <c r="N1235" s="59" t="str">
        <f>IF(COUNTA(A1235:G1235)=0,"",IF(A1235="","N° devis manquant",IF(ISNA(MATCH(A1235,dv_num,0)),"Devis inconnu",IF(AND(B1235&lt;&gt;"",ISNA(MATCH(B1235,pr_code,0))),"Article inconnu",IF(H1235="","Désignation manquante",IF(OR(NOT(ISNUMBER(D1235)),N(D1235)&lt;=0),"Quantité invalide",IF(J1235="","Prix manquant",IF(OR(NOT(ISNUMBER(J1235)),N(J1235)&lt;0),"Prix invalide",IF(OR(AND(F1235&lt;&gt;"",NOT(ISNUMBER(F1235))),N(F1235)&lt;0,N(F1235)&gt;1),"Remise invalide",IF(K1235="","Taux de TVA manquant",IF(NOT(ISNUMBER(K1235)),"Taux de TVA invalide",IF(COUNTIF(p_rates,K1235)=0,"Taux de TVA hors liste (Paramètres)",IF(N(O1235)&gt;25,"Au-delà de 25 lignes : non imprimée","OK")))))))))))))</f>
        <v/>
      </c>
      <c r="O1235" s="59" t="str">
        <f>IF(A1235="","",COUNTIF($A$6:A1235,A1235))</f>
        <v/>
      </c>
      <c r="P1235" s="62" t="str">
        <f>IF(A1235="","",A1235&amp;"|"&amp;O1235)</f>
        <v/>
      </c>
    </row>
    <row r="1236">
      <c r="A1236" s="60" t="n"/>
      <c r="B1236" s="63" t="n"/>
      <c r="C1236" s="63" t="n"/>
      <c r="D1236" s="67" t="n"/>
      <c r="E1236" s="68" t="n"/>
      <c r="F1236" s="69" t="n"/>
      <c r="G1236" s="70" t="n"/>
      <c r="H1236" s="62" t="str">
        <f>IF(COUNTA(A1236:G1236)=0,"",IF(C1236&lt;&gt;"",C1236,IF(B1236="","",IFERROR(INDEX(pr_des,MATCH(B1236,pr_code,0))&amp;"",""))))</f>
        <v/>
      </c>
      <c r="I1236" s="59" t="str">
        <f>IF(B1236="","",IFERROR(INDEX(pr_unit,MATCH(B1236,pr_code,0))&amp;"",""))</f>
        <v/>
      </c>
      <c r="J1236" s="65" t="str">
        <f>IF(COUNTA(A1236:G1236)=0,"",IF(E1236&lt;&gt;"",E1236,IF(B1236="","",IFERROR(IF(INDEX(pr_price,MATCH(B1236,pr_code,0))="","",INDEX(pr_price,MATCH(B1236,pr_code,0))),""))))</f>
        <v/>
      </c>
      <c r="K1236" s="71" t="str">
        <f>IF(COUNTA(A1236:G1236)=0,"",IF(G1236&lt;&gt;"",G1236,IF(B1236="","",IFERROR(IF(INDEX(pr_rate,MATCH(B1236,pr_code,0))="","",INDEX(pr_rate,MATCH(B1236,pr_code,0))),""))))</f>
        <v/>
      </c>
      <c r="L1236" s="65" t="str">
        <f>IF(COUNTA(A1236:G1236)=0,"",IF(AND(ISNUMBER(D1236),ISNUMBER(J1236)),ROUND(D1236*J1236*(1-N(F1236)),2),0))</f>
        <v/>
      </c>
      <c r="M1236" s="62" t="str">
        <f>IF(A1236="","",IFERROR(INDEX(dv_cname,MATCH(A1236,dv_num,0))&amp;"",""))</f>
        <v/>
      </c>
      <c r="N1236" s="59" t="str">
        <f>IF(COUNTA(A1236:G1236)=0,"",IF(A1236="","N° devis manquant",IF(ISNA(MATCH(A1236,dv_num,0)),"Devis inconnu",IF(AND(B1236&lt;&gt;"",ISNA(MATCH(B1236,pr_code,0))),"Article inconnu",IF(H1236="","Désignation manquante",IF(OR(NOT(ISNUMBER(D1236)),N(D1236)&lt;=0),"Quantité invalide",IF(J1236="","Prix manquant",IF(OR(NOT(ISNUMBER(J1236)),N(J1236)&lt;0),"Prix invalide",IF(OR(AND(F1236&lt;&gt;"",NOT(ISNUMBER(F1236))),N(F1236)&lt;0,N(F1236)&gt;1),"Remise invalide",IF(K1236="","Taux de TVA manquant",IF(NOT(ISNUMBER(K1236)),"Taux de TVA invalide",IF(COUNTIF(p_rates,K1236)=0,"Taux de TVA hors liste (Paramètres)",IF(N(O1236)&gt;25,"Au-delà de 25 lignes : non imprimée","OK")))))))))))))</f>
        <v/>
      </c>
      <c r="O1236" s="59" t="str">
        <f>IF(A1236="","",COUNTIF($A$6:A1236,A1236))</f>
        <v/>
      </c>
      <c r="P1236" s="62" t="str">
        <f>IF(A1236="","",A1236&amp;"|"&amp;O1236)</f>
        <v/>
      </c>
    </row>
    <row r="1237">
      <c r="A1237" s="60" t="n"/>
      <c r="B1237" s="63" t="n"/>
      <c r="C1237" s="63" t="n"/>
      <c r="D1237" s="67" t="n"/>
      <c r="E1237" s="68" t="n"/>
      <c r="F1237" s="69" t="n"/>
      <c r="G1237" s="70" t="n"/>
      <c r="H1237" s="62" t="str">
        <f>IF(COUNTA(A1237:G1237)=0,"",IF(C1237&lt;&gt;"",C1237,IF(B1237="","",IFERROR(INDEX(pr_des,MATCH(B1237,pr_code,0))&amp;"",""))))</f>
        <v/>
      </c>
      <c r="I1237" s="59" t="str">
        <f>IF(B1237="","",IFERROR(INDEX(pr_unit,MATCH(B1237,pr_code,0))&amp;"",""))</f>
        <v/>
      </c>
      <c r="J1237" s="65" t="str">
        <f>IF(COUNTA(A1237:G1237)=0,"",IF(E1237&lt;&gt;"",E1237,IF(B1237="","",IFERROR(IF(INDEX(pr_price,MATCH(B1237,pr_code,0))="","",INDEX(pr_price,MATCH(B1237,pr_code,0))),""))))</f>
        <v/>
      </c>
      <c r="K1237" s="71" t="str">
        <f>IF(COUNTA(A1237:G1237)=0,"",IF(G1237&lt;&gt;"",G1237,IF(B1237="","",IFERROR(IF(INDEX(pr_rate,MATCH(B1237,pr_code,0))="","",INDEX(pr_rate,MATCH(B1237,pr_code,0))),""))))</f>
        <v/>
      </c>
      <c r="L1237" s="65" t="str">
        <f>IF(COUNTA(A1237:G1237)=0,"",IF(AND(ISNUMBER(D1237),ISNUMBER(J1237)),ROUND(D1237*J1237*(1-N(F1237)),2),0))</f>
        <v/>
      </c>
      <c r="M1237" s="62" t="str">
        <f>IF(A1237="","",IFERROR(INDEX(dv_cname,MATCH(A1237,dv_num,0))&amp;"",""))</f>
        <v/>
      </c>
      <c r="N1237" s="59" t="str">
        <f>IF(COUNTA(A1237:G1237)=0,"",IF(A1237="","N° devis manquant",IF(ISNA(MATCH(A1237,dv_num,0)),"Devis inconnu",IF(AND(B1237&lt;&gt;"",ISNA(MATCH(B1237,pr_code,0))),"Article inconnu",IF(H1237="","Désignation manquante",IF(OR(NOT(ISNUMBER(D1237)),N(D1237)&lt;=0),"Quantité invalide",IF(J1237="","Prix manquant",IF(OR(NOT(ISNUMBER(J1237)),N(J1237)&lt;0),"Prix invalide",IF(OR(AND(F1237&lt;&gt;"",NOT(ISNUMBER(F1237))),N(F1237)&lt;0,N(F1237)&gt;1),"Remise invalide",IF(K1237="","Taux de TVA manquant",IF(NOT(ISNUMBER(K1237)),"Taux de TVA invalide",IF(COUNTIF(p_rates,K1237)=0,"Taux de TVA hors liste (Paramètres)",IF(N(O1237)&gt;25,"Au-delà de 25 lignes : non imprimée","OK")))))))))))))</f>
        <v/>
      </c>
      <c r="O1237" s="59" t="str">
        <f>IF(A1237="","",COUNTIF($A$6:A1237,A1237))</f>
        <v/>
      </c>
      <c r="P1237" s="62" t="str">
        <f>IF(A1237="","",A1237&amp;"|"&amp;O1237)</f>
        <v/>
      </c>
    </row>
    <row r="1238">
      <c r="A1238" s="60" t="n"/>
      <c r="B1238" s="63" t="n"/>
      <c r="C1238" s="63" t="n"/>
      <c r="D1238" s="67" t="n"/>
      <c r="E1238" s="68" t="n"/>
      <c r="F1238" s="69" t="n"/>
      <c r="G1238" s="70" t="n"/>
      <c r="H1238" s="62" t="str">
        <f>IF(COUNTA(A1238:G1238)=0,"",IF(C1238&lt;&gt;"",C1238,IF(B1238="","",IFERROR(INDEX(pr_des,MATCH(B1238,pr_code,0))&amp;"",""))))</f>
        <v/>
      </c>
      <c r="I1238" s="59" t="str">
        <f>IF(B1238="","",IFERROR(INDEX(pr_unit,MATCH(B1238,pr_code,0))&amp;"",""))</f>
        <v/>
      </c>
      <c r="J1238" s="65" t="str">
        <f>IF(COUNTA(A1238:G1238)=0,"",IF(E1238&lt;&gt;"",E1238,IF(B1238="","",IFERROR(IF(INDEX(pr_price,MATCH(B1238,pr_code,0))="","",INDEX(pr_price,MATCH(B1238,pr_code,0))),""))))</f>
        <v/>
      </c>
      <c r="K1238" s="71" t="str">
        <f>IF(COUNTA(A1238:G1238)=0,"",IF(G1238&lt;&gt;"",G1238,IF(B1238="","",IFERROR(IF(INDEX(pr_rate,MATCH(B1238,pr_code,0))="","",INDEX(pr_rate,MATCH(B1238,pr_code,0))),""))))</f>
        <v/>
      </c>
      <c r="L1238" s="65" t="str">
        <f>IF(COUNTA(A1238:G1238)=0,"",IF(AND(ISNUMBER(D1238),ISNUMBER(J1238)),ROUND(D1238*J1238*(1-N(F1238)),2),0))</f>
        <v/>
      </c>
      <c r="M1238" s="62" t="str">
        <f>IF(A1238="","",IFERROR(INDEX(dv_cname,MATCH(A1238,dv_num,0))&amp;"",""))</f>
        <v/>
      </c>
      <c r="N1238" s="59" t="str">
        <f>IF(COUNTA(A1238:G1238)=0,"",IF(A1238="","N° devis manquant",IF(ISNA(MATCH(A1238,dv_num,0)),"Devis inconnu",IF(AND(B1238&lt;&gt;"",ISNA(MATCH(B1238,pr_code,0))),"Article inconnu",IF(H1238="","Désignation manquante",IF(OR(NOT(ISNUMBER(D1238)),N(D1238)&lt;=0),"Quantité invalide",IF(J1238="","Prix manquant",IF(OR(NOT(ISNUMBER(J1238)),N(J1238)&lt;0),"Prix invalide",IF(OR(AND(F1238&lt;&gt;"",NOT(ISNUMBER(F1238))),N(F1238)&lt;0,N(F1238)&gt;1),"Remise invalide",IF(K1238="","Taux de TVA manquant",IF(NOT(ISNUMBER(K1238)),"Taux de TVA invalide",IF(COUNTIF(p_rates,K1238)=0,"Taux de TVA hors liste (Paramètres)",IF(N(O1238)&gt;25,"Au-delà de 25 lignes : non imprimée","OK")))))))))))))</f>
        <v/>
      </c>
      <c r="O1238" s="59" t="str">
        <f>IF(A1238="","",COUNTIF($A$6:A1238,A1238))</f>
        <v/>
      </c>
      <c r="P1238" s="62" t="str">
        <f>IF(A1238="","",A1238&amp;"|"&amp;O1238)</f>
        <v/>
      </c>
    </row>
    <row r="1239">
      <c r="A1239" s="60" t="n"/>
      <c r="B1239" s="63" t="n"/>
      <c r="C1239" s="63" t="n"/>
      <c r="D1239" s="67" t="n"/>
      <c r="E1239" s="68" t="n"/>
      <c r="F1239" s="69" t="n"/>
      <c r="G1239" s="70" t="n"/>
      <c r="H1239" s="62" t="str">
        <f>IF(COUNTA(A1239:G1239)=0,"",IF(C1239&lt;&gt;"",C1239,IF(B1239="","",IFERROR(INDEX(pr_des,MATCH(B1239,pr_code,0))&amp;"",""))))</f>
        <v/>
      </c>
      <c r="I1239" s="59" t="str">
        <f>IF(B1239="","",IFERROR(INDEX(pr_unit,MATCH(B1239,pr_code,0))&amp;"",""))</f>
        <v/>
      </c>
      <c r="J1239" s="65" t="str">
        <f>IF(COUNTA(A1239:G1239)=0,"",IF(E1239&lt;&gt;"",E1239,IF(B1239="","",IFERROR(IF(INDEX(pr_price,MATCH(B1239,pr_code,0))="","",INDEX(pr_price,MATCH(B1239,pr_code,0))),""))))</f>
        <v/>
      </c>
      <c r="K1239" s="71" t="str">
        <f>IF(COUNTA(A1239:G1239)=0,"",IF(G1239&lt;&gt;"",G1239,IF(B1239="","",IFERROR(IF(INDEX(pr_rate,MATCH(B1239,pr_code,0))="","",INDEX(pr_rate,MATCH(B1239,pr_code,0))),""))))</f>
        <v/>
      </c>
      <c r="L1239" s="65" t="str">
        <f>IF(COUNTA(A1239:G1239)=0,"",IF(AND(ISNUMBER(D1239),ISNUMBER(J1239)),ROUND(D1239*J1239*(1-N(F1239)),2),0))</f>
        <v/>
      </c>
      <c r="M1239" s="62" t="str">
        <f>IF(A1239="","",IFERROR(INDEX(dv_cname,MATCH(A1239,dv_num,0))&amp;"",""))</f>
        <v/>
      </c>
      <c r="N1239" s="59" t="str">
        <f>IF(COUNTA(A1239:G1239)=0,"",IF(A1239="","N° devis manquant",IF(ISNA(MATCH(A1239,dv_num,0)),"Devis inconnu",IF(AND(B1239&lt;&gt;"",ISNA(MATCH(B1239,pr_code,0))),"Article inconnu",IF(H1239="","Désignation manquante",IF(OR(NOT(ISNUMBER(D1239)),N(D1239)&lt;=0),"Quantité invalide",IF(J1239="","Prix manquant",IF(OR(NOT(ISNUMBER(J1239)),N(J1239)&lt;0),"Prix invalide",IF(OR(AND(F1239&lt;&gt;"",NOT(ISNUMBER(F1239))),N(F1239)&lt;0,N(F1239)&gt;1),"Remise invalide",IF(K1239="","Taux de TVA manquant",IF(NOT(ISNUMBER(K1239)),"Taux de TVA invalide",IF(COUNTIF(p_rates,K1239)=0,"Taux de TVA hors liste (Paramètres)",IF(N(O1239)&gt;25,"Au-delà de 25 lignes : non imprimée","OK")))))))))))))</f>
        <v/>
      </c>
      <c r="O1239" s="59" t="str">
        <f>IF(A1239="","",COUNTIF($A$6:A1239,A1239))</f>
        <v/>
      </c>
      <c r="P1239" s="62" t="str">
        <f>IF(A1239="","",A1239&amp;"|"&amp;O1239)</f>
        <v/>
      </c>
    </row>
    <row r="1240">
      <c r="A1240" s="60" t="n"/>
      <c r="B1240" s="63" t="n"/>
      <c r="C1240" s="63" t="n"/>
      <c r="D1240" s="67" t="n"/>
      <c r="E1240" s="68" t="n"/>
      <c r="F1240" s="69" t="n"/>
      <c r="G1240" s="70" t="n"/>
      <c r="H1240" s="62" t="str">
        <f>IF(COUNTA(A1240:G1240)=0,"",IF(C1240&lt;&gt;"",C1240,IF(B1240="","",IFERROR(INDEX(pr_des,MATCH(B1240,pr_code,0))&amp;"",""))))</f>
        <v/>
      </c>
      <c r="I1240" s="59" t="str">
        <f>IF(B1240="","",IFERROR(INDEX(pr_unit,MATCH(B1240,pr_code,0))&amp;"",""))</f>
        <v/>
      </c>
      <c r="J1240" s="65" t="str">
        <f>IF(COUNTA(A1240:G1240)=0,"",IF(E1240&lt;&gt;"",E1240,IF(B1240="","",IFERROR(IF(INDEX(pr_price,MATCH(B1240,pr_code,0))="","",INDEX(pr_price,MATCH(B1240,pr_code,0))),""))))</f>
        <v/>
      </c>
      <c r="K1240" s="71" t="str">
        <f>IF(COUNTA(A1240:G1240)=0,"",IF(G1240&lt;&gt;"",G1240,IF(B1240="","",IFERROR(IF(INDEX(pr_rate,MATCH(B1240,pr_code,0))="","",INDEX(pr_rate,MATCH(B1240,pr_code,0))),""))))</f>
        <v/>
      </c>
      <c r="L1240" s="65" t="str">
        <f>IF(COUNTA(A1240:G1240)=0,"",IF(AND(ISNUMBER(D1240),ISNUMBER(J1240)),ROUND(D1240*J1240*(1-N(F1240)),2),0))</f>
        <v/>
      </c>
      <c r="M1240" s="62" t="str">
        <f>IF(A1240="","",IFERROR(INDEX(dv_cname,MATCH(A1240,dv_num,0))&amp;"",""))</f>
        <v/>
      </c>
      <c r="N1240" s="59" t="str">
        <f>IF(COUNTA(A1240:G1240)=0,"",IF(A1240="","N° devis manquant",IF(ISNA(MATCH(A1240,dv_num,0)),"Devis inconnu",IF(AND(B1240&lt;&gt;"",ISNA(MATCH(B1240,pr_code,0))),"Article inconnu",IF(H1240="","Désignation manquante",IF(OR(NOT(ISNUMBER(D1240)),N(D1240)&lt;=0),"Quantité invalide",IF(J1240="","Prix manquant",IF(OR(NOT(ISNUMBER(J1240)),N(J1240)&lt;0),"Prix invalide",IF(OR(AND(F1240&lt;&gt;"",NOT(ISNUMBER(F1240))),N(F1240)&lt;0,N(F1240)&gt;1),"Remise invalide",IF(K1240="","Taux de TVA manquant",IF(NOT(ISNUMBER(K1240)),"Taux de TVA invalide",IF(COUNTIF(p_rates,K1240)=0,"Taux de TVA hors liste (Paramètres)",IF(N(O1240)&gt;25,"Au-delà de 25 lignes : non imprimée","OK")))))))))))))</f>
        <v/>
      </c>
      <c r="O1240" s="59" t="str">
        <f>IF(A1240="","",COUNTIF($A$6:A1240,A1240))</f>
        <v/>
      </c>
      <c r="P1240" s="62" t="str">
        <f>IF(A1240="","",A1240&amp;"|"&amp;O1240)</f>
        <v/>
      </c>
    </row>
    <row r="1241">
      <c r="A1241" s="60" t="n"/>
      <c r="B1241" s="63" t="n"/>
      <c r="C1241" s="63" t="n"/>
      <c r="D1241" s="67" t="n"/>
      <c r="E1241" s="68" t="n"/>
      <c r="F1241" s="69" t="n"/>
      <c r="G1241" s="70" t="n"/>
      <c r="H1241" s="62" t="str">
        <f>IF(COUNTA(A1241:G1241)=0,"",IF(C1241&lt;&gt;"",C1241,IF(B1241="","",IFERROR(INDEX(pr_des,MATCH(B1241,pr_code,0))&amp;"",""))))</f>
        <v/>
      </c>
      <c r="I1241" s="59" t="str">
        <f>IF(B1241="","",IFERROR(INDEX(pr_unit,MATCH(B1241,pr_code,0))&amp;"",""))</f>
        <v/>
      </c>
      <c r="J1241" s="65" t="str">
        <f>IF(COUNTA(A1241:G1241)=0,"",IF(E1241&lt;&gt;"",E1241,IF(B1241="","",IFERROR(IF(INDEX(pr_price,MATCH(B1241,pr_code,0))="","",INDEX(pr_price,MATCH(B1241,pr_code,0))),""))))</f>
        <v/>
      </c>
      <c r="K1241" s="71" t="str">
        <f>IF(COUNTA(A1241:G1241)=0,"",IF(G1241&lt;&gt;"",G1241,IF(B1241="","",IFERROR(IF(INDEX(pr_rate,MATCH(B1241,pr_code,0))="","",INDEX(pr_rate,MATCH(B1241,pr_code,0))),""))))</f>
        <v/>
      </c>
      <c r="L1241" s="65" t="str">
        <f>IF(COUNTA(A1241:G1241)=0,"",IF(AND(ISNUMBER(D1241),ISNUMBER(J1241)),ROUND(D1241*J1241*(1-N(F1241)),2),0))</f>
        <v/>
      </c>
      <c r="M1241" s="62" t="str">
        <f>IF(A1241="","",IFERROR(INDEX(dv_cname,MATCH(A1241,dv_num,0))&amp;"",""))</f>
        <v/>
      </c>
      <c r="N1241" s="59" t="str">
        <f>IF(COUNTA(A1241:G1241)=0,"",IF(A1241="","N° devis manquant",IF(ISNA(MATCH(A1241,dv_num,0)),"Devis inconnu",IF(AND(B1241&lt;&gt;"",ISNA(MATCH(B1241,pr_code,0))),"Article inconnu",IF(H1241="","Désignation manquante",IF(OR(NOT(ISNUMBER(D1241)),N(D1241)&lt;=0),"Quantité invalide",IF(J1241="","Prix manquant",IF(OR(NOT(ISNUMBER(J1241)),N(J1241)&lt;0),"Prix invalide",IF(OR(AND(F1241&lt;&gt;"",NOT(ISNUMBER(F1241))),N(F1241)&lt;0,N(F1241)&gt;1),"Remise invalide",IF(K1241="","Taux de TVA manquant",IF(NOT(ISNUMBER(K1241)),"Taux de TVA invalide",IF(COUNTIF(p_rates,K1241)=0,"Taux de TVA hors liste (Paramètres)",IF(N(O1241)&gt;25,"Au-delà de 25 lignes : non imprimée","OK")))))))))))))</f>
        <v/>
      </c>
      <c r="O1241" s="59" t="str">
        <f>IF(A1241="","",COUNTIF($A$6:A1241,A1241))</f>
        <v/>
      </c>
      <c r="P1241" s="62" t="str">
        <f>IF(A1241="","",A1241&amp;"|"&amp;O1241)</f>
        <v/>
      </c>
    </row>
    <row r="1242">
      <c r="A1242" s="60" t="n"/>
      <c r="B1242" s="63" t="n"/>
      <c r="C1242" s="63" t="n"/>
      <c r="D1242" s="67" t="n"/>
      <c r="E1242" s="68" t="n"/>
      <c r="F1242" s="69" t="n"/>
      <c r="G1242" s="70" t="n"/>
      <c r="H1242" s="62" t="str">
        <f>IF(COUNTA(A1242:G1242)=0,"",IF(C1242&lt;&gt;"",C1242,IF(B1242="","",IFERROR(INDEX(pr_des,MATCH(B1242,pr_code,0))&amp;"",""))))</f>
        <v/>
      </c>
      <c r="I1242" s="59" t="str">
        <f>IF(B1242="","",IFERROR(INDEX(pr_unit,MATCH(B1242,pr_code,0))&amp;"",""))</f>
        <v/>
      </c>
      <c r="J1242" s="65" t="str">
        <f>IF(COUNTA(A1242:G1242)=0,"",IF(E1242&lt;&gt;"",E1242,IF(B1242="","",IFERROR(IF(INDEX(pr_price,MATCH(B1242,pr_code,0))="","",INDEX(pr_price,MATCH(B1242,pr_code,0))),""))))</f>
        <v/>
      </c>
      <c r="K1242" s="71" t="str">
        <f>IF(COUNTA(A1242:G1242)=0,"",IF(G1242&lt;&gt;"",G1242,IF(B1242="","",IFERROR(IF(INDEX(pr_rate,MATCH(B1242,pr_code,0))="","",INDEX(pr_rate,MATCH(B1242,pr_code,0))),""))))</f>
        <v/>
      </c>
      <c r="L1242" s="65" t="str">
        <f>IF(COUNTA(A1242:G1242)=0,"",IF(AND(ISNUMBER(D1242),ISNUMBER(J1242)),ROUND(D1242*J1242*(1-N(F1242)),2),0))</f>
        <v/>
      </c>
      <c r="M1242" s="62" t="str">
        <f>IF(A1242="","",IFERROR(INDEX(dv_cname,MATCH(A1242,dv_num,0))&amp;"",""))</f>
        <v/>
      </c>
      <c r="N1242" s="59" t="str">
        <f>IF(COUNTA(A1242:G1242)=0,"",IF(A1242="","N° devis manquant",IF(ISNA(MATCH(A1242,dv_num,0)),"Devis inconnu",IF(AND(B1242&lt;&gt;"",ISNA(MATCH(B1242,pr_code,0))),"Article inconnu",IF(H1242="","Désignation manquante",IF(OR(NOT(ISNUMBER(D1242)),N(D1242)&lt;=0),"Quantité invalide",IF(J1242="","Prix manquant",IF(OR(NOT(ISNUMBER(J1242)),N(J1242)&lt;0),"Prix invalide",IF(OR(AND(F1242&lt;&gt;"",NOT(ISNUMBER(F1242))),N(F1242)&lt;0,N(F1242)&gt;1),"Remise invalide",IF(K1242="","Taux de TVA manquant",IF(NOT(ISNUMBER(K1242)),"Taux de TVA invalide",IF(COUNTIF(p_rates,K1242)=0,"Taux de TVA hors liste (Paramètres)",IF(N(O1242)&gt;25,"Au-delà de 25 lignes : non imprimée","OK")))))))))))))</f>
        <v/>
      </c>
      <c r="O1242" s="59" t="str">
        <f>IF(A1242="","",COUNTIF($A$6:A1242,A1242))</f>
        <v/>
      </c>
      <c r="P1242" s="62" t="str">
        <f>IF(A1242="","",A1242&amp;"|"&amp;O1242)</f>
        <v/>
      </c>
    </row>
    <row r="1243">
      <c r="A1243" s="60" t="n"/>
      <c r="B1243" s="63" t="n"/>
      <c r="C1243" s="63" t="n"/>
      <c r="D1243" s="67" t="n"/>
      <c r="E1243" s="68" t="n"/>
      <c r="F1243" s="69" t="n"/>
      <c r="G1243" s="70" t="n"/>
      <c r="H1243" s="62" t="str">
        <f>IF(COUNTA(A1243:G1243)=0,"",IF(C1243&lt;&gt;"",C1243,IF(B1243="","",IFERROR(INDEX(pr_des,MATCH(B1243,pr_code,0))&amp;"",""))))</f>
        <v/>
      </c>
      <c r="I1243" s="59" t="str">
        <f>IF(B1243="","",IFERROR(INDEX(pr_unit,MATCH(B1243,pr_code,0))&amp;"",""))</f>
        <v/>
      </c>
      <c r="J1243" s="65" t="str">
        <f>IF(COUNTA(A1243:G1243)=0,"",IF(E1243&lt;&gt;"",E1243,IF(B1243="","",IFERROR(IF(INDEX(pr_price,MATCH(B1243,pr_code,0))="","",INDEX(pr_price,MATCH(B1243,pr_code,0))),""))))</f>
        <v/>
      </c>
      <c r="K1243" s="71" t="str">
        <f>IF(COUNTA(A1243:G1243)=0,"",IF(G1243&lt;&gt;"",G1243,IF(B1243="","",IFERROR(IF(INDEX(pr_rate,MATCH(B1243,pr_code,0))="","",INDEX(pr_rate,MATCH(B1243,pr_code,0))),""))))</f>
        <v/>
      </c>
      <c r="L1243" s="65" t="str">
        <f>IF(COUNTA(A1243:G1243)=0,"",IF(AND(ISNUMBER(D1243),ISNUMBER(J1243)),ROUND(D1243*J1243*(1-N(F1243)),2),0))</f>
        <v/>
      </c>
      <c r="M1243" s="62" t="str">
        <f>IF(A1243="","",IFERROR(INDEX(dv_cname,MATCH(A1243,dv_num,0))&amp;"",""))</f>
        <v/>
      </c>
      <c r="N1243" s="59" t="str">
        <f>IF(COUNTA(A1243:G1243)=0,"",IF(A1243="","N° devis manquant",IF(ISNA(MATCH(A1243,dv_num,0)),"Devis inconnu",IF(AND(B1243&lt;&gt;"",ISNA(MATCH(B1243,pr_code,0))),"Article inconnu",IF(H1243="","Désignation manquante",IF(OR(NOT(ISNUMBER(D1243)),N(D1243)&lt;=0),"Quantité invalide",IF(J1243="","Prix manquant",IF(OR(NOT(ISNUMBER(J1243)),N(J1243)&lt;0),"Prix invalide",IF(OR(AND(F1243&lt;&gt;"",NOT(ISNUMBER(F1243))),N(F1243)&lt;0,N(F1243)&gt;1),"Remise invalide",IF(K1243="","Taux de TVA manquant",IF(NOT(ISNUMBER(K1243)),"Taux de TVA invalide",IF(COUNTIF(p_rates,K1243)=0,"Taux de TVA hors liste (Paramètres)",IF(N(O1243)&gt;25,"Au-delà de 25 lignes : non imprimée","OK")))))))))))))</f>
        <v/>
      </c>
      <c r="O1243" s="59" t="str">
        <f>IF(A1243="","",COUNTIF($A$6:A1243,A1243))</f>
        <v/>
      </c>
      <c r="P1243" s="62" t="str">
        <f>IF(A1243="","",A1243&amp;"|"&amp;O1243)</f>
        <v/>
      </c>
    </row>
    <row r="1244">
      <c r="A1244" s="60" t="n"/>
      <c r="B1244" s="63" t="n"/>
      <c r="C1244" s="63" t="n"/>
      <c r="D1244" s="67" t="n"/>
      <c r="E1244" s="68" t="n"/>
      <c r="F1244" s="69" t="n"/>
      <c r="G1244" s="70" t="n"/>
      <c r="H1244" s="62" t="str">
        <f>IF(COUNTA(A1244:G1244)=0,"",IF(C1244&lt;&gt;"",C1244,IF(B1244="","",IFERROR(INDEX(pr_des,MATCH(B1244,pr_code,0))&amp;"",""))))</f>
        <v/>
      </c>
      <c r="I1244" s="59" t="str">
        <f>IF(B1244="","",IFERROR(INDEX(pr_unit,MATCH(B1244,pr_code,0))&amp;"",""))</f>
        <v/>
      </c>
      <c r="J1244" s="65" t="str">
        <f>IF(COUNTA(A1244:G1244)=0,"",IF(E1244&lt;&gt;"",E1244,IF(B1244="","",IFERROR(IF(INDEX(pr_price,MATCH(B1244,pr_code,0))="","",INDEX(pr_price,MATCH(B1244,pr_code,0))),""))))</f>
        <v/>
      </c>
      <c r="K1244" s="71" t="str">
        <f>IF(COUNTA(A1244:G1244)=0,"",IF(G1244&lt;&gt;"",G1244,IF(B1244="","",IFERROR(IF(INDEX(pr_rate,MATCH(B1244,pr_code,0))="","",INDEX(pr_rate,MATCH(B1244,pr_code,0))),""))))</f>
        <v/>
      </c>
      <c r="L1244" s="65" t="str">
        <f>IF(COUNTA(A1244:G1244)=0,"",IF(AND(ISNUMBER(D1244),ISNUMBER(J1244)),ROUND(D1244*J1244*(1-N(F1244)),2),0))</f>
        <v/>
      </c>
      <c r="M1244" s="62" t="str">
        <f>IF(A1244="","",IFERROR(INDEX(dv_cname,MATCH(A1244,dv_num,0))&amp;"",""))</f>
        <v/>
      </c>
      <c r="N1244" s="59" t="str">
        <f>IF(COUNTA(A1244:G1244)=0,"",IF(A1244="","N° devis manquant",IF(ISNA(MATCH(A1244,dv_num,0)),"Devis inconnu",IF(AND(B1244&lt;&gt;"",ISNA(MATCH(B1244,pr_code,0))),"Article inconnu",IF(H1244="","Désignation manquante",IF(OR(NOT(ISNUMBER(D1244)),N(D1244)&lt;=0),"Quantité invalide",IF(J1244="","Prix manquant",IF(OR(NOT(ISNUMBER(J1244)),N(J1244)&lt;0),"Prix invalide",IF(OR(AND(F1244&lt;&gt;"",NOT(ISNUMBER(F1244))),N(F1244)&lt;0,N(F1244)&gt;1),"Remise invalide",IF(K1244="","Taux de TVA manquant",IF(NOT(ISNUMBER(K1244)),"Taux de TVA invalide",IF(COUNTIF(p_rates,K1244)=0,"Taux de TVA hors liste (Paramètres)",IF(N(O1244)&gt;25,"Au-delà de 25 lignes : non imprimée","OK")))))))))))))</f>
        <v/>
      </c>
      <c r="O1244" s="59" t="str">
        <f>IF(A1244="","",COUNTIF($A$6:A1244,A1244))</f>
        <v/>
      </c>
      <c r="P1244" s="62" t="str">
        <f>IF(A1244="","",A1244&amp;"|"&amp;O1244)</f>
        <v/>
      </c>
    </row>
    <row r="1245">
      <c r="A1245" s="60" t="n"/>
      <c r="B1245" s="63" t="n"/>
      <c r="C1245" s="63" t="n"/>
      <c r="D1245" s="67" t="n"/>
      <c r="E1245" s="68" t="n"/>
      <c r="F1245" s="69" t="n"/>
      <c r="G1245" s="70" t="n"/>
      <c r="H1245" s="62" t="str">
        <f>IF(COUNTA(A1245:G1245)=0,"",IF(C1245&lt;&gt;"",C1245,IF(B1245="","",IFERROR(INDEX(pr_des,MATCH(B1245,pr_code,0))&amp;"",""))))</f>
        <v/>
      </c>
      <c r="I1245" s="59" t="str">
        <f>IF(B1245="","",IFERROR(INDEX(pr_unit,MATCH(B1245,pr_code,0))&amp;"",""))</f>
        <v/>
      </c>
      <c r="J1245" s="65" t="str">
        <f>IF(COUNTA(A1245:G1245)=0,"",IF(E1245&lt;&gt;"",E1245,IF(B1245="","",IFERROR(IF(INDEX(pr_price,MATCH(B1245,pr_code,0))="","",INDEX(pr_price,MATCH(B1245,pr_code,0))),""))))</f>
        <v/>
      </c>
      <c r="K1245" s="71" t="str">
        <f>IF(COUNTA(A1245:G1245)=0,"",IF(G1245&lt;&gt;"",G1245,IF(B1245="","",IFERROR(IF(INDEX(pr_rate,MATCH(B1245,pr_code,0))="","",INDEX(pr_rate,MATCH(B1245,pr_code,0))),""))))</f>
        <v/>
      </c>
      <c r="L1245" s="65" t="str">
        <f>IF(COUNTA(A1245:G1245)=0,"",IF(AND(ISNUMBER(D1245),ISNUMBER(J1245)),ROUND(D1245*J1245*(1-N(F1245)),2),0))</f>
        <v/>
      </c>
      <c r="M1245" s="62" t="str">
        <f>IF(A1245="","",IFERROR(INDEX(dv_cname,MATCH(A1245,dv_num,0))&amp;"",""))</f>
        <v/>
      </c>
      <c r="N1245" s="59" t="str">
        <f>IF(COUNTA(A1245:G1245)=0,"",IF(A1245="","N° devis manquant",IF(ISNA(MATCH(A1245,dv_num,0)),"Devis inconnu",IF(AND(B1245&lt;&gt;"",ISNA(MATCH(B1245,pr_code,0))),"Article inconnu",IF(H1245="","Désignation manquante",IF(OR(NOT(ISNUMBER(D1245)),N(D1245)&lt;=0),"Quantité invalide",IF(J1245="","Prix manquant",IF(OR(NOT(ISNUMBER(J1245)),N(J1245)&lt;0),"Prix invalide",IF(OR(AND(F1245&lt;&gt;"",NOT(ISNUMBER(F1245))),N(F1245)&lt;0,N(F1245)&gt;1),"Remise invalide",IF(K1245="","Taux de TVA manquant",IF(NOT(ISNUMBER(K1245)),"Taux de TVA invalide",IF(COUNTIF(p_rates,K1245)=0,"Taux de TVA hors liste (Paramètres)",IF(N(O1245)&gt;25,"Au-delà de 25 lignes : non imprimée","OK")))))))))))))</f>
        <v/>
      </c>
      <c r="O1245" s="59" t="str">
        <f>IF(A1245="","",COUNTIF($A$6:A1245,A1245))</f>
        <v/>
      </c>
      <c r="P1245" s="62" t="str">
        <f>IF(A1245="","",A1245&amp;"|"&amp;O1245)</f>
        <v/>
      </c>
    </row>
    <row r="1246">
      <c r="A1246" s="60" t="n"/>
      <c r="B1246" s="63" t="n"/>
      <c r="C1246" s="63" t="n"/>
      <c r="D1246" s="67" t="n"/>
      <c r="E1246" s="68" t="n"/>
      <c r="F1246" s="69" t="n"/>
      <c r="G1246" s="70" t="n"/>
      <c r="H1246" s="62" t="str">
        <f>IF(COUNTA(A1246:G1246)=0,"",IF(C1246&lt;&gt;"",C1246,IF(B1246="","",IFERROR(INDEX(pr_des,MATCH(B1246,pr_code,0))&amp;"",""))))</f>
        <v/>
      </c>
      <c r="I1246" s="59" t="str">
        <f>IF(B1246="","",IFERROR(INDEX(pr_unit,MATCH(B1246,pr_code,0))&amp;"",""))</f>
        <v/>
      </c>
      <c r="J1246" s="65" t="str">
        <f>IF(COUNTA(A1246:G1246)=0,"",IF(E1246&lt;&gt;"",E1246,IF(B1246="","",IFERROR(IF(INDEX(pr_price,MATCH(B1246,pr_code,0))="","",INDEX(pr_price,MATCH(B1246,pr_code,0))),""))))</f>
        <v/>
      </c>
      <c r="K1246" s="71" t="str">
        <f>IF(COUNTA(A1246:G1246)=0,"",IF(G1246&lt;&gt;"",G1246,IF(B1246="","",IFERROR(IF(INDEX(pr_rate,MATCH(B1246,pr_code,0))="","",INDEX(pr_rate,MATCH(B1246,pr_code,0))),""))))</f>
        <v/>
      </c>
      <c r="L1246" s="65" t="str">
        <f>IF(COUNTA(A1246:G1246)=0,"",IF(AND(ISNUMBER(D1246),ISNUMBER(J1246)),ROUND(D1246*J1246*(1-N(F1246)),2),0))</f>
        <v/>
      </c>
      <c r="M1246" s="62" t="str">
        <f>IF(A1246="","",IFERROR(INDEX(dv_cname,MATCH(A1246,dv_num,0))&amp;"",""))</f>
        <v/>
      </c>
      <c r="N1246" s="59" t="str">
        <f>IF(COUNTA(A1246:G1246)=0,"",IF(A1246="","N° devis manquant",IF(ISNA(MATCH(A1246,dv_num,0)),"Devis inconnu",IF(AND(B1246&lt;&gt;"",ISNA(MATCH(B1246,pr_code,0))),"Article inconnu",IF(H1246="","Désignation manquante",IF(OR(NOT(ISNUMBER(D1246)),N(D1246)&lt;=0),"Quantité invalide",IF(J1246="","Prix manquant",IF(OR(NOT(ISNUMBER(J1246)),N(J1246)&lt;0),"Prix invalide",IF(OR(AND(F1246&lt;&gt;"",NOT(ISNUMBER(F1246))),N(F1246)&lt;0,N(F1246)&gt;1),"Remise invalide",IF(K1246="","Taux de TVA manquant",IF(NOT(ISNUMBER(K1246)),"Taux de TVA invalide",IF(COUNTIF(p_rates,K1246)=0,"Taux de TVA hors liste (Paramètres)",IF(N(O1246)&gt;25,"Au-delà de 25 lignes : non imprimée","OK")))))))))))))</f>
        <v/>
      </c>
      <c r="O1246" s="59" t="str">
        <f>IF(A1246="","",COUNTIF($A$6:A1246,A1246))</f>
        <v/>
      </c>
      <c r="P1246" s="62" t="str">
        <f>IF(A1246="","",A1246&amp;"|"&amp;O1246)</f>
        <v/>
      </c>
    </row>
    <row r="1247">
      <c r="A1247" s="60" t="n"/>
      <c r="B1247" s="63" t="n"/>
      <c r="C1247" s="63" t="n"/>
      <c r="D1247" s="67" t="n"/>
      <c r="E1247" s="68" t="n"/>
      <c r="F1247" s="69" t="n"/>
      <c r="G1247" s="70" t="n"/>
      <c r="H1247" s="62" t="str">
        <f>IF(COUNTA(A1247:G1247)=0,"",IF(C1247&lt;&gt;"",C1247,IF(B1247="","",IFERROR(INDEX(pr_des,MATCH(B1247,pr_code,0))&amp;"",""))))</f>
        <v/>
      </c>
      <c r="I1247" s="59" t="str">
        <f>IF(B1247="","",IFERROR(INDEX(pr_unit,MATCH(B1247,pr_code,0))&amp;"",""))</f>
        <v/>
      </c>
      <c r="J1247" s="65" t="str">
        <f>IF(COUNTA(A1247:G1247)=0,"",IF(E1247&lt;&gt;"",E1247,IF(B1247="","",IFERROR(IF(INDEX(pr_price,MATCH(B1247,pr_code,0))="","",INDEX(pr_price,MATCH(B1247,pr_code,0))),""))))</f>
        <v/>
      </c>
      <c r="K1247" s="71" t="str">
        <f>IF(COUNTA(A1247:G1247)=0,"",IF(G1247&lt;&gt;"",G1247,IF(B1247="","",IFERROR(IF(INDEX(pr_rate,MATCH(B1247,pr_code,0))="","",INDEX(pr_rate,MATCH(B1247,pr_code,0))),""))))</f>
        <v/>
      </c>
      <c r="L1247" s="65" t="str">
        <f>IF(COUNTA(A1247:G1247)=0,"",IF(AND(ISNUMBER(D1247),ISNUMBER(J1247)),ROUND(D1247*J1247*(1-N(F1247)),2),0))</f>
        <v/>
      </c>
      <c r="M1247" s="62" t="str">
        <f>IF(A1247="","",IFERROR(INDEX(dv_cname,MATCH(A1247,dv_num,0))&amp;"",""))</f>
        <v/>
      </c>
      <c r="N1247" s="59" t="str">
        <f>IF(COUNTA(A1247:G1247)=0,"",IF(A1247="","N° devis manquant",IF(ISNA(MATCH(A1247,dv_num,0)),"Devis inconnu",IF(AND(B1247&lt;&gt;"",ISNA(MATCH(B1247,pr_code,0))),"Article inconnu",IF(H1247="","Désignation manquante",IF(OR(NOT(ISNUMBER(D1247)),N(D1247)&lt;=0),"Quantité invalide",IF(J1247="","Prix manquant",IF(OR(NOT(ISNUMBER(J1247)),N(J1247)&lt;0),"Prix invalide",IF(OR(AND(F1247&lt;&gt;"",NOT(ISNUMBER(F1247))),N(F1247)&lt;0,N(F1247)&gt;1),"Remise invalide",IF(K1247="","Taux de TVA manquant",IF(NOT(ISNUMBER(K1247)),"Taux de TVA invalide",IF(COUNTIF(p_rates,K1247)=0,"Taux de TVA hors liste (Paramètres)",IF(N(O1247)&gt;25,"Au-delà de 25 lignes : non imprimée","OK")))))))))))))</f>
        <v/>
      </c>
      <c r="O1247" s="59" t="str">
        <f>IF(A1247="","",COUNTIF($A$6:A1247,A1247))</f>
        <v/>
      </c>
      <c r="P1247" s="62" t="str">
        <f>IF(A1247="","",A1247&amp;"|"&amp;O1247)</f>
        <v/>
      </c>
    </row>
    <row r="1248">
      <c r="A1248" s="60" t="n"/>
      <c r="B1248" s="63" t="n"/>
      <c r="C1248" s="63" t="n"/>
      <c r="D1248" s="67" t="n"/>
      <c r="E1248" s="68" t="n"/>
      <c r="F1248" s="69" t="n"/>
      <c r="G1248" s="70" t="n"/>
      <c r="H1248" s="62" t="str">
        <f>IF(COUNTA(A1248:G1248)=0,"",IF(C1248&lt;&gt;"",C1248,IF(B1248="","",IFERROR(INDEX(pr_des,MATCH(B1248,pr_code,0))&amp;"",""))))</f>
        <v/>
      </c>
      <c r="I1248" s="59" t="str">
        <f>IF(B1248="","",IFERROR(INDEX(pr_unit,MATCH(B1248,pr_code,0))&amp;"",""))</f>
        <v/>
      </c>
      <c r="J1248" s="65" t="str">
        <f>IF(COUNTA(A1248:G1248)=0,"",IF(E1248&lt;&gt;"",E1248,IF(B1248="","",IFERROR(IF(INDEX(pr_price,MATCH(B1248,pr_code,0))="","",INDEX(pr_price,MATCH(B1248,pr_code,0))),""))))</f>
        <v/>
      </c>
      <c r="K1248" s="71" t="str">
        <f>IF(COUNTA(A1248:G1248)=0,"",IF(G1248&lt;&gt;"",G1248,IF(B1248="","",IFERROR(IF(INDEX(pr_rate,MATCH(B1248,pr_code,0))="","",INDEX(pr_rate,MATCH(B1248,pr_code,0))),""))))</f>
        <v/>
      </c>
      <c r="L1248" s="65" t="str">
        <f>IF(COUNTA(A1248:G1248)=0,"",IF(AND(ISNUMBER(D1248),ISNUMBER(J1248)),ROUND(D1248*J1248*(1-N(F1248)),2),0))</f>
        <v/>
      </c>
      <c r="M1248" s="62" t="str">
        <f>IF(A1248="","",IFERROR(INDEX(dv_cname,MATCH(A1248,dv_num,0))&amp;"",""))</f>
        <v/>
      </c>
      <c r="N1248" s="59" t="str">
        <f>IF(COUNTA(A1248:G1248)=0,"",IF(A1248="","N° devis manquant",IF(ISNA(MATCH(A1248,dv_num,0)),"Devis inconnu",IF(AND(B1248&lt;&gt;"",ISNA(MATCH(B1248,pr_code,0))),"Article inconnu",IF(H1248="","Désignation manquante",IF(OR(NOT(ISNUMBER(D1248)),N(D1248)&lt;=0),"Quantité invalide",IF(J1248="","Prix manquant",IF(OR(NOT(ISNUMBER(J1248)),N(J1248)&lt;0),"Prix invalide",IF(OR(AND(F1248&lt;&gt;"",NOT(ISNUMBER(F1248))),N(F1248)&lt;0,N(F1248)&gt;1),"Remise invalide",IF(K1248="","Taux de TVA manquant",IF(NOT(ISNUMBER(K1248)),"Taux de TVA invalide",IF(COUNTIF(p_rates,K1248)=0,"Taux de TVA hors liste (Paramètres)",IF(N(O1248)&gt;25,"Au-delà de 25 lignes : non imprimée","OK")))))))))))))</f>
        <v/>
      </c>
      <c r="O1248" s="59" t="str">
        <f>IF(A1248="","",COUNTIF($A$6:A1248,A1248))</f>
        <v/>
      </c>
      <c r="P1248" s="62" t="str">
        <f>IF(A1248="","",A1248&amp;"|"&amp;O1248)</f>
        <v/>
      </c>
    </row>
    <row r="1249">
      <c r="A1249" s="60" t="n"/>
      <c r="B1249" s="63" t="n"/>
      <c r="C1249" s="63" t="n"/>
      <c r="D1249" s="67" t="n"/>
      <c r="E1249" s="68" t="n"/>
      <c r="F1249" s="69" t="n"/>
      <c r="G1249" s="70" t="n"/>
      <c r="H1249" s="62" t="str">
        <f>IF(COUNTA(A1249:G1249)=0,"",IF(C1249&lt;&gt;"",C1249,IF(B1249="","",IFERROR(INDEX(pr_des,MATCH(B1249,pr_code,0))&amp;"",""))))</f>
        <v/>
      </c>
      <c r="I1249" s="59" t="str">
        <f>IF(B1249="","",IFERROR(INDEX(pr_unit,MATCH(B1249,pr_code,0))&amp;"",""))</f>
        <v/>
      </c>
      <c r="J1249" s="65" t="str">
        <f>IF(COUNTA(A1249:G1249)=0,"",IF(E1249&lt;&gt;"",E1249,IF(B1249="","",IFERROR(IF(INDEX(pr_price,MATCH(B1249,pr_code,0))="","",INDEX(pr_price,MATCH(B1249,pr_code,0))),""))))</f>
        <v/>
      </c>
      <c r="K1249" s="71" t="str">
        <f>IF(COUNTA(A1249:G1249)=0,"",IF(G1249&lt;&gt;"",G1249,IF(B1249="","",IFERROR(IF(INDEX(pr_rate,MATCH(B1249,pr_code,0))="","",INDEX(pr_rate,MATCH(B1249,pr_code,0))),""))))</f>
        <v/>
      </c>
      <c r="L1249" s="65" t="str">
        <f>IF(COUNTA(A1249:G1249)=0,"",IF(AND(ISNUMBER(D1249),ISNUMBER(J1249)),ROUND(D1249*J1249*(1-N(F1249)),2),0))</f>
        <v/>
      </c>
      <c r="M1249" s="62" t="str">
        <f>IF(A1249="","",IFERROR(INDEX(dv_cname,MATCH(A1249,dv_num,0))&amp;"",""))</f>
        <v/>
      </c>
      <c r="N1249" s="59" t="str">
        <f>IF(COUNTA(A1249:G1249)=0,"",IF(A1249="","N° devis manquant",IF(ISNA(MATCH(A1249,dv_num,0)),"Devis inconnu",IF(AND(B1249&lt;&gt;"",ISNA(MATCH(B1249,pr_code,0))),"Article inconnu",IF(H1249="","Désignation manquante",IF(OR(NOT(ISNUMBER(D1249)),N(D1249)&lt;=0),"Quantité invalide",IF(J1249="","Prix manquant",IF(OR(NOT(ISNUMBER(J1249)),N(J1249)&lt;0),"Prix invalide",IF(OR(AND(F1249&lt;&gt;"",NOT(ISNUMBER(F1249))),N(F1249)&lt;0,N(F1249)&gt;1),"Remise invalide",IF(K1249="","Taux de TVA manquant",IF(NOT(ISNUMBER(K1249)),"Taux de TVA invalide",IF(COUNTIF(p_rates,K1249)=0,"Taux de TVA hors liste (Paramètres)",IF(N(O1249)&gt;25,"Au-delà de 25 lignes : non imprimée","OK")))))))))))))</f>
        <v/>
      </c>
      <c r="O1249" s="59" t="str">
        <f>IF(A1249="","",COUNTIF($A$6:A1249,A1249))</f>
        <v/>
      </c>
      <c r="P1249" s="62" t="str">
        <f>IF(A1249="","",A1249&amp;"|"&amp;O1249)</f>
        <v/>
      </c>
    </row>
    <row r="1250">
      <c r="A1250" s="60" t="n"/>
      <c r="B1250" s="63" t="n"/>
      <c r="C1250" s="63" t="n"/>
      <c r="D1250" s="67" t="n"/>
      <c r="E1250" s="68" t="n"/>
      <c r="F1250" s="69" t="n"/>
      <c r="G1250" s="70" t="n"/>
      <c r="H1250" s="62" t="str">
        <f>IF(COUNTA(A1250:G1250)=0,"",IF(C1250&lt;&gt;"",C1250,IF(B1250="","",IFERROR(INDEX(pr_des,MATCH(B1250,pr_code,0))&amp;"",""))))</f>
        <v/>
      </c>
      <c r="I1250" s="59" t="str">
        <f>IF(B1250="","",IFERROR(INDEX(pr_unit,MATCH(B1250,pr_code,0))&amp;"",""))</f>
        <v/>
      </c>
      <c r="J1250" s="65" t="str">
        <f>IF(COUNTA(A1250:G1250)=0,"",IF(E1250&lt;&gt;"",E1250,IF(B1250="","",IFERROR(IF(INDEX(pr_price,MATCH(B1250,pr_code,0))="","",INDEX(pr_price,MATCH(B1250,pr_code,0))),""))))</f>
        <v/>
      </c>
      <c r="K1250" s="71" t="str">
        <f>IF(COUNTA(A1250:G1250)=0,"",IF(G1250&lt;&gt;"",G1250,IF(B1250="","",IFERROR(IF(INDEX(pr_rate,MATCH(B1250,pr_code,0))="","",INDEX(pr_rate,MATCH(B1250,pr_code,0))),""))))</f>
        <v/>
      </c>
      <c r="L1250" s="65" t="str">
        <f>IF(COUNTA(A1250:G1250)=0,"",IF(AND(ISNUMBER(D1250),ISNUMBER(J1250)),ROUND(D1250*J1250*(1-N(F1250)),2),0))</f>
        <v/>
      </c>
      <c r="M1250" s="62" t="str">
        <f>IF(A1250="","",IFERROR(INDEX(dv_cname,MATCH(A1250,dv_num,0))&amp;"",""))</f>
        <v/>
      </c>
      <c r="N1250" s="59" t="str">
        <f>IF(COUNTA(A1250:G1250)=0,"",IF(A1250="","N° devis manquant",IF(ISNA(MATCH(A1250,dv_num,0)),"Devis inconnu",IF(AND(B1250&lt;&gt;"",ISNA(MATCH(B1250,pr_code,0))),"Article inconnu",IF(H1250="","Désignation manquante",IF(OR(NOT(ISNUMBER(D1250)),N(D1250)&lt;=0),"Quantité invalide",IF(J1250="","Prix manquant",IF(OR(NOT(ISNUMBER(J1250)),N(J1250)&lt;0),"Prix invalide",IF(OR(AND(F1250&lt;&gt;"",NOT(ISNUMBER(F1250))),N(F1250)&lt;0,N(F1250)&gt;1),"Remise invalide",IF(K1250="","Taux de TVA manquant",IF(NOT(ISNUMBER(K1250)),"Taux de TVA invalide",IF(COUNTIF(p_rates,K1250)=0,"Taux de TVA hors liste (Paramètres)",IF(N(O1250)&gt;25,"Au-delà de 25 lignes : non imprimée","OK")))))))))))))</f>
        <v/>
      </c>
      <c r="O1250" s="59" t="str">
        <f>IF(A1250="","",COUNTIF($A$6:A1250,A1250))</f>
        <v/>
      </c>
      <c r="P1250" s="62" t="str">
        <f>IF(A1250="","",A1250&amp;"|"&amp;O1250)</f>
        <v/>
      </c>
    </row>
    <row r="1251">
      <c r="A1251" s="60" t="n"/>
      <c r="B1251" s="63" t="n"/>
      <c r="C1251" s="63" t="n"/>
      <c r="D1251" s="67" t="n"/>
      <c r="E1251" s="68" t="n"/>
      <c r="F1251" s="69" t="n"/>
      <c r="G1251" s="70" t="n"/>
      <c r="H1251" s="62" t="str">
        <f>IF(COUNTA(A1251:G1251)=0,"",IF(C1251&lt;&gt;"",C1251,IF(B1251="","",IFERROR(INDEX(pr_des,MATCH(B1251,pr_code,0))&amp;"",""))))</f>
        <v/>
      </c>
      <c r="I1251" s="59" t="str">
        <f>IF(B1251="","",IFERROR(INDEX(pr_unit,MATCH(B1251,pr_code,0))&amp;"",""))</f>
        <v/>
      </c>
      <c r="J1251" s="65" t="str">
        <f>IF(COUNTA(A1251:G1251)=0,"",IF(E1251&lt;&gt;"",E1251,IF(B1251="","",IFERROR(IF(INDEX(pr_price,MATCH(B1251,pr_code,0))="","",INDEX(pr_price,MATCH(B1251,pr_code,0))),""))))</f>
        <v/>
      </c>
      <c r="K1251" s="71" t="str">
        <f>IF(COUNTA(A1251:G1251)=0,"",IF(G1251&lt;&gt;"",G1251,IF(B1251="","",IFERROR(IF(INDEX(pr_rate,MATCH(B1251,pr_code,0))="","",INDEX(pr_rate,MATCH(B1251,pr_code,0))),""))))</f>
        <v/>
      </c>
      <c r="L1251" s="65" t="str">
        <f>IF(COUNTA(A1251:G1251)=0,"",IF(AND(ISNUMBER(D1251),ISNUMBER(J1251)),ROUND(D1251*J1251*(1-N(F1251)),2),0))</f>
        <v/>
      </c>
      <c r="M1251" s="62" t="str">
        <f>IF(A1251="","",IFERROR(INDEX(dv_cname,MATCH(A1251,dv_num,0))&amp;"",""))</f>
        <v/>
      </c>
      <c r="N1251" s="59" t="str">
        <f>IF(COUNTA(A1251:G1251)=0,"",IF(A1251="","N° devis manquant",IF(ISNA(MATCH(A1251,dv_num,0)),"Devis inconnu",IF(AND(B1251&lt;&gt;"",ISNA(MATCH(B1251,pr_code,0))),"Article inconnu",IF(H1251="","Désignation manquante",IF(OR(NOT(ISNUMBER(D1251)),N(D1251)&lt;=0),"Quantité invalide",IF(J1251="","Prix manquant",IF(OR(NOT(ISNUMBER(J1251)),N(J1251)&lt;0),"Prix invalide",IF(OR(AND(F1251&lt;&gt;"",NOT(ISNUMBER(F1251))),N(F1251)&lt;0,N(F1251)&gt;1),"Remise invalide",IF(K1251="","Taux de TVA manquant",IF(NOT(ISNUMBER(K1251)),"Taux de TVA invalide",IF(COUNTIF(p_rates,K1251)=0,"Taux de TVA hors liste (Paramètres)",IF(N(O1251)&gt;25,"Au-delà de 25 lignes : non imprimée","OK")))))))))))))</f>
        <v/>
      </c>
      <c r="O1251" s="59" t="str">
        <f>IF(A1251="","",COUNTIF($A$6:A1251,A1251))</f>
        <v/>
      </c>
      <c r="P1251" s="62" t="str">
        <f>IF(A1251="","",A1251&amp;"|"&amp;O1251)</f>
        <v/>
      </c>
    </row>
    <row r="1252">
      <c r="A1252" s="60" t="n"/>
      <c r="B1252" s="63" t="n"/>
      <c r="C1252" s="63" t="n"/>
      <c r="D1252" s="67" t="n"/>
      <c r="E1252" s="68" t="n"/>
      <c r="F1252" s="69" t="n"/>
      <c r="G1252" s="70" t="n"/>
      <c r="H1252" s="62" t="str">
        <f>IF(COUNTA(A1252:G1252)=0,"",IF(C1252&lt;&gt;"",C1252,IF(B1252="","",IFERROR(INDEX(pr_des,MATCH(B1252,pr_code,0))&amp;"",""))))</f>
        <v/>
      </c>
      <c r="I1252" s="59" t="str">
        <f>IF(B1252="","",IFERROR(INDEX(pr_unit,MATCH(B1252,pr_code,0))&amp;"",""))</f>
        <v/>
      </c>
      <c r="J1252" s="65" t="str">
        <f>IF(COUNTA(A1252:G1252)=0,"",IF(E1252&lt;&gt;"",E1252,IF(B1252="","",IFERROR(IF(INDEX(pr_price,MATCH(B1252,pr_code,0))="","",INDEX(pr_price,MATCH(B1252,pr_code,0))),""))))</f>
        <v/>
      </c>
      <c r="K1252" s="71" t="str">
        <f>IF(COUNTA(A1252:G1252)=0,"",IF(G1252&lt;&gt;"",G1252,IF(B1252="","",IFERROR(IF(INDEX(pr_rate,MATCH(B1252,pr_code,0))="","",INDEX(pr_rate,MATCH(B1252,pr_code,0))),""))))</f>
        <v/>
      </c>
      <c r="L1252" s="65" t="str">
        <f>IF(COUNTA(A1252:G1252)=0,"",IF(AND(ISNUMBER(D1252),ISNUMBER(J1252)),ROUND(D1252*J1252*(1-N(F1252)),2),0))</f>
        <v/>
      </c>
      <c r="M1252" s="62" t="str">
        <f>IF(A1252="","",IFERROR(INDEX(dv_cname,MATCH(A1252,dv_num,0))&amp;"",""))</f>
        <v/>
      </c>
      <c r="N1252" s="59" t="str">
        <f>IF(COUNTA(A1252:G1252)=0,"",IF(A1252="","N° devis manquant",IF(ISNA(MATCH(A1252,dv_num,0)),"Devis inconnu",IF(AND(B1252&lt;&gt;"",ISNA(MATCH(B1252,pr_code,0))),"Article inconnu",IF(H1252="","Désignation manquante",IF(OR(NOT(ISNUMBER(D1252)),N(D1252)&lt;=0),"Quantité invalide",IF(J1252="","Prix manquant",IF(OR(NOT(ISNUMBER(J1252)),N(J1252)&lt;0),"Prix invalide",IF(OR(AND(F1252&lt;&gt;"",NOT(ISNUMBER(F1252))),N(F1252)&lt;0,N(F1252)&gt;1),"Remise invalide",IF(K1252="","Taux de TVA manquant",IF(NOT(ISNUMBER(K1252)),"Taux de TVA invalide",IF(COUNTIF(p_rates,K1252)=0,"Taux de TVA hors liste (Paramètres)",IF(N(O1252)&gt;25,"Au-delà de 25 lignes : non imprimée","OK")))))))))))))</f>
        <v/>
      </c>
      <c r="O1252" s="59" t="str">
        <f>IF(A1252="","",COUNTIF($A$6:A1252,A1252))</f>
        <v/>
      </c>
      <c r="P1252" s="62" t="str">
        <f>IF(A1252="","",A1252&amp;"|"&amp;O1252)</f>
        <v/>
      </c>
    </row>
    <row r="1253">
      <c r="A1253" s="60" t="n"/>
      <c r="B1253" s="63" t="n"/>
      <c r="C1253" s="63" t="n"/>
      <c r="D1253" s="67" t="n"/>
      <c r="E1253" s="68" t="n"/>
      <c r="F1253" s="69" t="n"/>
      <c r="G1253" s="70" t="n"/>
      <c r="H1253" s="62" t="str">
        <f>IF(COUNTA(A1253:G1253)=0,"",IF(C1253&lt;&gt;"",C1253,IF(B1253="","",IFERROR(INDEX(pr_des,MATCH(B1253,pr_code,0))&amp;"",""))))</f>
        <v/>
      </c>
      <c r="I1253" s="59" t="str">
        <f>IF(B1253="","",IFERROR(INDEX(pr_unit,MATCH(B1253,pr_code,0))&amp;"",""))</f>
        <v/>
      </c>
      <c r="J1253" s="65" t="str">
        <f>IF(COUNTA(A1253:G1253)=0,"",IF(E1253&lt;&gt;"",E1253,IF(B1253="","",IFERROR(IF(INDEX(pr_price,MATCH(B1253,pr_code,0))="","",INDEX(pr_price,MATCH(B1253,pr_code,0))),""))))</f>
        <v/>
      </c>
      <c r="K1253" s="71" t="str">
        <f>IF(COUNTA(A1253:G1253)=0,"",IF(G1253&lt;&gt;"",G1253,IF(B1253="","",IFERROR(IF(INDEX(pr_rate,MATCH(B1253,pr_code,0))="","",INDEX(pr_rate,MATCH(B1253,pr_code,0))),""))))</f>
        <v/>
      </c>
      <c r="L1253" s="65" t="str">
        <f>IF(COUNTA(A1253:G1253)=0,"",IF(AND(ISNUMBER(D1253),ISNUMBER(J1253)),ROUND(D1253*J1253*(1-N(F1253)),2),0))</f>
        <v/>
      </c>
      <c r="M1253" s="62" t="str">
        <f>IF(A1253="","",IFERROR(INDEX(dv_cname,MATCH(A1253,dv_num,0))&amp;"",""))</f>
        <v/>
      </c>
      <c r="N1253" s="59" t="str">
        <f>IF(COUNTA(A1253:G1253)=0,"",IF(A1253="","N° devis manquant",IF(ISNA(MATCH(A1253,dv_num,0)),"Devis inconnu",IF(AND(B1253&lt;&gt;"",ISNA(MATCH(B1253,pr_code,0))),"Article inconnu",IF(H1253="","Désignation manquante",IF(OR(NOT(ISNUMBER(D1253)),N(D1253)&lt;=0),"Quantité invalide",IF(J1253="","Prix manquant",IF(OR(NOT(ISNUMBER(J1253)),N(J1253)&lt;0),"Prix invalide",IF(OR(AND(F1253&lt;&gt;"",NOT(ISNUMBER(F1253))),N(F1253)&lt;0,N(F1253)&gt;1),"Remise invalide",IF(K1253="","Taux de TVA manquant",IF(NOT(ISNUMBER(K1253)),"Taux de TVA invalide",IF(COUNTIF(p_rates,K1253)=0,"Taux de TVA hors liste (Paramètres)",IF(N(O1253)&gt;25,"Au-delà de 25 lignes : non imprimée","OK")))))))))))))</f>
        <v/>
      </c>
      <c r="O1253" s="59" t="str">
        <f>IF(A1253="","",COUNTIF($A$6:A1253,A1253))</f>
        <v/>
      </c>
      <c r="P1253" s="62" t="str">
        <f>IF(A1253="","",A1253&amp;"|"&amp;O1253)</f>
        <v/>
      </c>
    </row>
    <row r="1254">
      <c r="A1254" s="60" t="n"/>
      <c r="B1254" s="63" t="n"/>
      <c r="C1254" s="63" t="n"/>
      <c r="D1254" s="67" t="n"/>
      <c r="E1254" s="68" t="n"/>
      <c r="F1254" s="69" t="n"/>
      <c r="G1254" s="70" t="n"/>
      <c r="H1254" s="62" t="str">
        <f>IF(COUNTA(A1254:G1254)=0,"",IF(C1254&lt;&gt;"",C1254,IF(B1254="","",IFERROR(INDEX(pr_des,MATCH(B1254,pr_code,0))&amp;"",""))))</f>
        <v/>
      </c>
      <c r="I1254" s="59" t="str">
        <f>IF(B1254="","",IFERROR(INDEX(pr_unit,MATCH(B1254,pr_code,0))&amp;"",""))</f>
        <v/>
      </c>
      <c r="J1254" s="65" t="str">
        <f>IF(COUNTA(A1254:G1254)=0,"",IF(E1254&lt;&gt;"",E1254,IF(B1254="","",IFERROR(IF(INDEX(pr_price,MATCH(B1254,pr_code,0))="","",INDEX(pr_price,MATCH(B1254,pr_code,0))),""))))</f>
        <v/>
      </c>
      <c r="K1254" s="71" t="str">
        <f>IF(COUNTA(A1254:G1254)=0,"",IF(G1254&lt;&gt;"",G1254,IF(B1254="","",IFERROR(IF(INDEX(pr_rate,MATCH(B1254,pr_code,0))="","",INDEX(pr_rate,MATCH(B1254,pr_code,0))),""))))</f>
        <v/>
      </c>
      <c r="L1254" s="65" t="str">
        <f>IF(COUNTA(A1254:G1254)=0,"",IF(AND(ISNUMBER(D1254),ISNUMBER(J1254)),ROUND(D1254*J1254*(1-N(F1254)),2),0))</f>
        <v/>
      </c>
      <c r="M1254" s="62" t="str">
        <f>IF(A1254="","",IFERROR(INDEX(dv_cname,MATCH(A1254,dv_num,0))&amp;"",""))</f>
        <v/>
      </c>
      <c r="N1254" s="59" t="str">
        <f>IF(COUNTA(A1254:G1254)=0,"",IF(A1254="","N° devis manquant",IF(ISNA(MATCH(A1254,dv_num,0)),"Devis inconnu",IF(AND(B1254&lt;&gt;"",ISNA(MATCH(B1254,pr_code,0))),"Article inconnu",IF(H1254="","Désignation manquante",IF(OR(NOT(ISNUMBER(D1254)),N(D1254)&lt;=0),"Quantité invalide",IF(J1254="","Prix manquant",IF(OR(NOT(ISNUMBER(J1254)),N(J1254)&lt;0),"Prix invalide",IF(OR(AND(F1254&lt;&gt;"",NOT(ISNUMBER(F1254))),N(F1254)&lt;0,N(F1254)&gt;1),"Remise invalide",IF(K1254="","Taux de TVA manquant",IF(NOT(ISNUMBER(K1254)),"Taux de TVA invalide",IF(COUNTIF(p_rates,K1254)=0,"Taux de TVA hors liste (Paramètres)",IF(N(O1254)&gt;25,"Au-delà de 25 lignes : non imprimée","OK")))))))))))))</f>
        <v/>
      </c>
      <c r="O1254" s="59" t="str">
        <f>IF(A1254="","",COUNTIF($A$6:A1254,A1254))</f>
        <v/>
      </c>
      <c r="P1254" s="62" t="str">
        <f>IF(A1254="","",A1254&amp;"|"&amp;O1254)</f>
        <v/>
      </c>
    </row>
    <row r="1255">
      <c r="A1255" s="60" t="n"/>
      <c r="B1255" s="63" t="n"/>
      <c r="C1255" s="63" t="n"/>
      <c r="D1255" s="67" t="n"/>
      <c r="E1255" s="68" t="n"/>
      <c r="F1255" s="69" t="n"/>
      <c r="G1255" s="70" t="n"/>
      <c r="H1255" s="62" t="str">
        <f>IF(COUNTA(A1255:G1255)=0,"",IF(C1255&lt;&gt;"",C1255,IF(B1255="","",IFERROR(INDEX(pr_des,MATCH(B1255,pr_code,0))&amp;"",""))))</f>
        <v/>
      </c>
      <c r="I1255" s="59" t="str">
        <f>IF(B1255="","",IFERROR(INDEX(pr_unit,MATCH(B1255,pr_code,0))&amp;"",""))</f>
        <v/>
      </c>
      <c r="J1255" s="65" t="str">
        <f>IF(COUNTA(A1255:G1255)=0,"",IF(E1255&lt;&gt;"",E1255,IF(B1255="","",IFERROR(IF(INDEX(pr_price,MATCH(B1255,pr_code,0))="","",INDEX(pr_price,MATCH(B1255,pr_code,0))),""))))</f>
        <v/>
      </c>
      <c r="K1255" s="71" t="str">
        <f>IF(COUNTA(A1255:G1255)=0,"",IF(G1255&lt;&gt;"",G1255,IF(B1255="","",IFERROR(IF(INDEX(pr_rate,MATCH(B1255,pr_code,0))="","",INDEX(pr_rate,MATCH(B1255,pr_code,0))),""))))</f>
        <v/>
      </c>
      <c r="L1255" s="65" t="str">
        <f>IF(COUNTA(A1255:G1255)=0,"",IF(AND(ISNUMBER(D1255),ISNUMBER(J1255)),ROUND(D1255*J1255*(1-N(F1255)),2),0))</f>
        <v/>
      </c>
      <c r="M1255" s="62" t="str">
        <f>IF(A1255="","",IFERROR(INDEX(dv_cname,MATCH(A1255,dv_num,0))&amp;"",""))</f>
        <v/>
      </c>
      <c r="N1255" s="59" t="str">
        <f>IF(COUNTA(A1255:G1255)=0,"",IF(A1255="","N° devis manquant",IF(ISNA(MATCH(A1255,dv_num,0)),"Devis inconnu",IF(AND(B1255&lt;&gt;"",ISNA(MATCH(B1255,pr_code,0))),"Article inconnu",IF(H1255="","Désignation manquante",IF(OR(NOT(ISNUMBER(D1255)),N(D1255)&lt;=0),"Quantité invalide",IF(J1255="","Prix manquant",IF(OR(NOT(ISNUMBER(J1255)),N(J1255)&lt;0),"Prix invalide",IF(OR(AND(F1255&lt;&gt;"",NOT(ISNUMBER(F1255))),N(F1255)&lt;0,N(F1255)&gt;1),"Remise invalide",IF(K1255="","Taux de TVA manquant",IF(NOT(ISNUMBER(K1255)),"Taux de TVA invalide",IF(COUNTIF(p_rates,K1255)=0,"Taux de TVA hors liste (Paramètres)",IF(N(O1255)&gt;25,"Au-delà de 25 lignes : non imprimée","OK")))))))))))))</f>
        <v/>
      </c>
      <c r="O1255" s="59" t="str">
        <f>IF(A1255="","",COUNTIF($A$6:A1255,A1255))</f>
        <v/>
      </c>
      <c r="P1255" s="62" t="str">
        <f>IF(A1255="","",A1255&amp;"|"&amp;O1255)</f>
        <v/>
      </c>
    </row>
    <row r="1256">
      <c r="A1256" s="60" t="n"/>
      <c r="B1256" s="63" t="n"/>
      <c r="C1256" s="63" t="n"/>
      <c r="D1256" s="67" t="n"/>
      <c r="E1256" s="68" t="n"/>
      <c r="F1256" s="69" t="n"/>
      <c r="G1256" s="70" t="n"/>
      <c r="H1256" s="62" t="str">
        <f>IF(COUNTA(A1256:G1256)=0,"",IF(C1256&lt;&gt;"",C1256,IF(B1256="","",IFERROR(INDEX(pr_des,MATCH(B1256,pr_code,0))&amp;"",""))))</f>
        <v/>
      </c>
      <c r="I1256" s="59" t="str">
        <f>IF(B1256="","",IFERROR(INDEX(pr_unit,MATCH(B1256,pr_code,0))&amp;"",""))</f>
        <v/>
      </c>
      <c r="J1256" s="65" t="str">
        <f>IF(COUNTA(A1256:G1256)=0,"",IF(E1256&lt;&gt;"",E1256,IF(B1256="","",IFERROR(IF(INDEX(pr_price,MATCH(B1256,pr_code,0))="","",INDEX(pr_price,MATCH(B1256,pr_code,0))),""))))</f>
        <v/>
      </c>
      <c r="K1256" s="71" t="str">
        <f>IF(COUNTA(A1256:G1256)=0,"",IF(G1256&lt;&gt;"",G1256,IF(B1256="","",IFERROR(IF(INDEX(pr_rate,MATCH(B1256,pr_code,0))="","",INDEX(pr_rate,MATCH(B1256,pr_code,0))),""))))</f>
        <v/>
      </c>
      <c r="L1256" s="65" t="str">
        <f>IF(COUNTA(A1256:G1256)=0,"",IF(AND(ISNUMBER(D1256),ISNUMBER(J1256)),ROUND(D1256*J1256*(1-N(F1256)),2),0))</f>
        <v/>
      </c>
      <c r="M1256" s="62" t="str">
        <f>IF(A1256="","",IFERROR(INDEX(dv_cname,MATCH(A1256,dv_num,0))&amp;"",""))</f>
        <v/>
      </c>
      <c r="N1256" s="59" t="str">
        <f>IF(COUNTA(A1256:G1256)=0,"",IF(A1256="","N° devis manquant",IF(ISNA(MATCH(A1256,dv_num,0)),"Devis inconnu",IF(AND(B1256&lt;&gt;"",ISNA(MATCH(B1256,pr_code,0))),"Article inconnu",IF(H1256="","Désignation manquante",IF(OR(NOT(ISNUMBER(D1256)),N(D1256)&lt;=0),"Quantité invalide",IF(J1256="","Prix manquant",IF(OR(NOT(ISNUMBER(J1256)),N(J1256)&lt;0),"Prix invalide",IF(OR(AND(F1256&lt;&gt;"",NOT(ISNUMBER(F1256))),N(F1256)&lt;0,N(F1256)&gt;1),"Remise invalide",IF(K1256="","Taux de TVA manquant",IF(NOT(ISNUMBER(K1256)),"Taux de TVA invalide",IF(COUNTIF(p_rates,K1256)=0,"Taux de TVA hors liste (Paramètres)",IF(N(O1256)&gt;25,"Au-delà de 25 lignes : non imprimée","OK")))))))))))))</f>
        <v/>
      </c>
      <c r="O1256" s="59" t="str">
        <f>IF(A1256="","",COUNTIF($A$6:A1256,A1256))</f>
        <v/>
      </c>
      <c r="P1256" s="62" t="str">
        <f>IF(A1256="","",A1256&amp;"|"&amp;O1256)</f>
        <v/>
      </c>
    </row>
    <row r="1257">
      <c r="A1257" s="60" t="n"/>
      <c r="B1257" s="63" t="n"/>
      <c r="C1257" s="63" t="n"/>
      <c r="D1257" s="67" t="n"/>
      <c r="E1257" s="68" t="n"/>
      <c r="F1257" s="69" t="n"/>
      <c r="G1257" s="70" t="n"/>
      <c r="H1257" s="62" t="str">
        <f>IF(COUNTA(A1257:G1257)=0,"",IF(C1257&lt;&gt;"",C1257,IF(B1257="","",IFERROR(INDEX(pr_des,MATCH(B1257,pr_code,0))&amp;"",""))))</f>
        <v/>
      </c>
      <c r="I1257" s="59" t="str">
        <f>IF(B1257="","",IFERROR(INDEX(pr_unit,MATCH(B1257,pr_code,0))&amp;"",""))</f>
        <v/>
      </c>
      <c r="J1257" s="65" t="str">
        <f>IF(COUNTA(A1257:G1257)=0,"",IF(E1257&lt;&gt;"",E1257,IF(B1257="","",IFERROR(IF(INDEX(pr_price,MATCH(B1257,pr_code,0))="","",INDEX(pr_price,MATCH(B1257,pr_code,0))),""))))</f>
        <v/>
      </c>
      <c r="K1257" s="71" t="str">
        <f>IF(COUNTA(A1257:G1257)=0,"",IF(G1257&lt;&gt;"",G1257,IF(B1257="","",IFERROR(IF(INDEX(pr_rate,MATCH(B1257,pr_code,0))="","",INDEX(pr_rate,MATCH(B1257,pr_code,0))),""))))</f>
        <v/>
      </c>
      <c r="L1257" s="65" t="str">
        <f>IF(COUNTA(A1257:G1257)=0,"",IF(AND(ISNUMBER(D1257),ISNUMBER(J1257)),ROUND(D1257*J1257*(1-N(F1257)),2),0))</f>
        <v/>
      </c>
      <c r="M1257" s="62" t="str">
        <f>IF(A1257="","",IFERROR(INDEX(dv_cname,MATCH(A1257,dv_num,0))&amp;"",""))</f>
        <v/>
      </c>
      <c r="N1257" s="59" t="str">
        <f>IF(COUNTA(A1257:G1257)=0,"",IF(A1257="","N° devis manquant",IF(ISNA(MATCH(A1257,dv_num,0)),"Devis inconnu",IF(AND(B1257&lt;&gt;"",ISNA(MATCH(B1257,pr_code,0))),"Article inconnu",IF(H1257="","Désignation manquante",IF(OR(NOT(ISNUMBER(D1257)),N(D1257)&lt;=0),"Quantité invalide",IF(J1257="","Prix manquant",IF(OR(NOT(ISNUMBER(J1257)),N(J1257)&lt;0),"Prix invalide",IF(OR(AND(F1257&lt;&gt;"",NOT(ISNUMBER(F1257))),N(F1257)&lt;0,N(F1257)&gt;1),"Remise invalide",IF(K1257="","Taux de TVA manquant",IF(NOT(ISNUMBER(K1257)),"Taux de TVA invalide",IF(COUNTIF(p_rates,K1257)=0,"Taux de TVA hors liste (Paramètres)",IF(N(O1257)&gt;25,"Au-delà de 25 lignes : non imprimée","OK")))))))))))))</f>
        <v/>
      </c>
      <c r="O1257" s="59" t="str">
        <f>IF(A1257="","",COUNTIF($A$6:A1257,A1257))</f>
        <v/>
      </c>
      <c r="P1257" s="62" t="str">
        <f>IF(A1257="","",A1257&amp;"|"&amp;O1257)</f>
        <v/>
      </c>
    </row>
    <row r="1258">
      <c r="A1258" s="60" t="n"/>
      <c r="B1258" s="63" t="n"/>
      <c r="C1258" s="63" t="n"/>
      <c r="D1258" s="67" t="n"/>
      <c r="E1258" s="68" t="n"/>
      <c r="F1258" s="69" t="n"/>
      <c r="G1258" s="70" t="n"/>
      <c r="H1258" s="62" t="str">
        <f>IF(COUNTA(A1258:G1258)=0,"",IF(C1258&lt;&gt;"",C1258,IF(B1258="","",IFERROR(INDEX(pr_des,MATCH(B1258,pr_code,0))&amp;"",""))))</f>
        <v/>
      </c>
      <c r="I1258" s="59" t="str">
        <f>IF(B1258="","",IFERROR(INDEX(pr_unit,MATCH(B1258,pr_code,0))&amp;"",""))</f>
        <v/>
      </c>
      <c r="J1258" s="65" t="str">
        <f>IF(COUNTA(A1258:G1258)=0,"",IF(E1258&lt;&gt;"",E1258,IF(B1258="","",IFERROR(IF(INDEX(pr_price,MATCH(B1258,pr_code,0))="","",INDEX(pr_price,MATCH(B1258,pr_code,0))),""))))</f>
        <v/>
      </c>
      <c r="K1258" s="71" t="str">
        <f>IF(COUNTA(A1258:G1258)=0,"",IF(G1258&lt;&gt;"",G1258,IF(B1258="","",IFERROR(IF(INDEX(pr_rate,MATCH(B1258,pr_code,0))="","",INDEX(pr_rate,MATCH(B1258,pr_code,0))),""))))</f>
        <v/>
      </c>
      <c r="L1258" s="65" t="str">
        <f>IF(COUNTA(A1258:G1258)=0,"",IF(AND(ISNUMBER(D1258),ISNUMBER(J1258)),ROUND(D1258*J1258*(1-N(F1258)),2),0))</f>
        <v/>
      </c>
      <c r="M1258" s="62" t="str">
        <f>IF(A1258="","",IFERROR(INDEX(dv_cname,MATCH(A1258,dv_num,0))&amp;"",""))</f>
        <v/>
      </c>
      <c r="N1258" s="59" t="str">
        <f>IF(COUNTA(A1258:G1258)=0,"",IF(A1258="","N° devis manquant",IF(ISNA(MATCH(A1258,dv_num,0)),"Devis inconnu",IF(AND(B1258&lt;&gt;"",ISNA(MATCH(B1258,pr_code,0))),"Article inconnu",IF(H1258="","Désignation manquante",IF(OR(NOT(ISNUMBER(D1258)),N(D1258)&lt;=0),"Quantité invalide",IF(J1258="","Prix manquant",IF(OR(NOT(ISNUMBER(J1258)),N(J1258)&lt;0),"Prix invalide",IF(OR(AND(F1258&lt;&gt;"",NOT(ISNUMBER(F1258))),N(F1258)&lt;0,N(F1258)&gt;1),"Remise invalide",IF(K1258="","Taux de TVA manquant",IF(NOT(ISNUMBER(K1258)),"Taux de TVA invalide",IF(COUNTIF(p_rates,K1258)=0,"Taux de TVA hors liste (Paramètres)",IF(N(O1258)&gt;25,"Au-delà de 25 lignes : non imprimée","OK")))))))))))))</f>
        <v/>
      </c>
      <c r="O1258" s="59" t="str">
        <f>IF(A1258="","",COUNTIF($A$6:A1258,A1258))</f>
        <v/>
      </c>
      <c r="P1258" s="62" t="str">
        <f>IF(A1258="","",A1258&amp;"|"&amp;O1258)</f>
        <v/>
      </c>
    </row>
    <row r="1259">
      <c r="A1259" s="60" t="n"/>
      <c r="B1259" s="63" t="n"/>
      <c r="C1259" s="63" t="n"/>
      <c r="D1259" s="67" t="n"/>
      <c r="E1259" s="68" t="n"/>
      <c r="F1259" s="69" t="n"/>
      <c r="G1259" s="70" t="n"/>
      <c r="H1259" s="62" t="str">
        <f>IF(COUNTA(A1259:G1259)=0,"",IF(C1259&lt;&gt;"",C1259,IF(B1259="","",IFERROR(INDEX(pr_des,MATCH(B1259,pr_code,0))&amp;"",""))))</f>
        <v/>
      </c>
      <c r="I1259" s="59" t="str">
        <f>IF(B1259="","",IFERROR(INDEX(pr_unit,MATCH(B1259,pr_code,0))&amp;"",""))</f>
        <v/>
      </c>
      <c r="J1259" s="65" t="str">
        <f>IF(COUNTA(A1259:G1259)=0,"",IF(E1259&lt;&gt;"",E1259,IF(B1259="","",IFERROR(IF(INDEX(pr_price,MATCH(B1259,pr_code,0))="","",INDEX(pr_price,MATCH(B1259,pr_code,0))),""))))</f>
        <v/>
      </c>
      <c r="K1259" s="71" t="str">
        <f>IF(COUNTA(A1259:G1259)=0,"",IF(G1259&lt;&gt;"",G1259,IF(B1259="","",IFERROR(IF(INDEX(pr_rate,MATCH(B1259,pr_code,0))="","",INDEX(pr_rate,MATCH(B1259,pr_code,0))),""))))</f>
        <v/>
      </c>
      <c r="L1259" s="65" t="str">
        <f>IF(COUNTA(A1259:G1259)=0,"",IF(AND(ISNUMBER(D1259),ISNUMBER(J1259)),ROUND(D1259*J1259*(1-N(F1259)),2),0))</f>
        <v/>
      </c>
      <c r="M1259" s="62" t="str">
        <f>IF(A1259="","",IFERROR(INDEX(dv_cname,MATCH(A1259,dv_num,0))&amp;"",""))</f>
        <v/>
      </c>
      <c r="N1259" s="59" t="str">
        <f>IF(COUNTA(A1259:G1259)=0,"",IF(A1259="","N° devis manquant",IF(ISNA(MATCH(A1259,dv_num,0)),"Devis inconnu",IF(AND(B1259&lt;&gt;"",ISNA(MATCH(B1259,pr_code,0))),"Article inconnu",IF(H1259="","Désignation manquante",IF(OR(NOT(ISNUMBER(D1259)),N(D1259)&lt;=0),"Quantité invalide",IF(J1259="","Prix manquant",IF(OR(NOT(ISNUMBER(J1259)),N(J1259)&lt;0),"Prix invalide",IF(OR(AND(F1259&lt;&gt;"",NOT(ISNUMBER(F1259))),N(F1259)&lt;0,N(F1259)&gt;1),"Remise invalide",IF(K1259="","Taux de TVA manquant",IF(NOT(ISNUMBER(K1259)),"Taux de TVA invalide",IF(COUNTIF(p_rates,K1259)=0,"Taux de TVA hors liste (Paramètres)",IF(N(O1259)&gt;25,"Au-delà de 25 lignes : non imprimée","OK")))))))))))))</f>
        <v/>
      </c>
      <c r="O1259" s="59" t="str">
        <f>IF(A1259="","",COUNTIF($A$6:A1259,A1259))</f>
        <v/>
      </c>
      <c r="P1259" s="62" t="str">
        <f>IF(A1259="","",A1259&amp;"|"&amp;O1259)</f>
        <v/>
      </c>
    </row>
    <row r="1260">
      <c r="A1260" s="60" t="n"/>
      <c r="B1260" s="63" t="n"/>
      <c r="C1260" s="63" t="n"/>
      <c r="D1260" s="67" t="n"/>
      <c r="E1260" s="68" t="n"/>
      <c r="F1260" s="69" t="n"/>
      <c r="G1260" s="70" t="n"/>
      <c r="H1260" s="62" t="str">
        <f>IF(COUNTA(A1260:G1260)=0,"",IF(C1260&lt;&gt;"",C1260,IF(B1260="","",IFERROR(INDEX(pr_des,MATCH(B1260,pr_code,0))&amp;"",""))))</f>
        <v/>
      </c>
      <c r="I1260" s="59" t="str">
        <f>IF(B1260="","",IFERROR(INDEX(pr_unit,MATCH(B1260,pr_code,0))&amp;"",""))</f>
        <v/>
      </c>
      <c r="J1260" s="65" t="str">
        <f>IF(COUNTA(A1260:G1260)=0,"",IF(E1260&lt;&gt;"",E1260,IF(B1260="","",IFERROR(IF(INDEX(pr_price,MATCH(B1260,pr_code,0))="","",INDEX(pr_price,MATCH(B1260,pr_code,0))),""))))</f>
        <v/>
      </c>
      <c r="K1260" s="71" t="str">
        <f>IF(COUNTA(A1260:G1260)=0,"",IF(G1260&lt;&gt;"",G1260,IF(B1260="","",IFERROR(IF(INDEX(pr_rate,MATCH(B1260,pr_code,0))="","",INDEX(pr_rate,MATCH(B1260,pr_code,0))),""))))</f>
        <v/>
      </c>
      <c r="L1260" s="65" t="str">
        <f>IF(COUNTA(A1260:G1260)=0,"",IF(AND(ISNUMBER(D1260),ISNUMBER(J1260)),ROUND(D1260*J1260*(1-N(F1260)),2),0))</f>
        <v/>
      </c>
      <c r="M1260" s="62" t="str">
        <f>IF(A1260="","",IFERROR(INDEX(dv_cname,MATCH(A1260,dv_num,0))&amp;"",""))</f>
        <v/>
      </c>
      <c r="N1260" s="59" t="str">
        <f>IF(COUNTA(A1260:G1260)=0,"",IF(A1260="","N° devis manquant",IF(ISNA(MATCH(A1260,dv_num,0)),"Devis inconnu",IF(AND(B1260&lt;&gt;"",ISNA(MATCH(B1260,pr_code,0))),"Article inconnu",IF(H1260="","Désignation manquante",IF(OR(NOT(ISNUMBER(D1260)),N(D1260)&lt;=0),"Quantité invalide",IF(J1260="","Prix manquant",IF(OR(NOT(ISNUMBER(J1260)),N(J1260)&lt;0),"Prix invalide",IF(OR(AND(F1260&lt;&gt;"",NOT(ISNUMBER(F1260))),N(F1260)&lt;0,N(F1260)&gt;1),"Remise invalide",IF(K1260="","Taux de TVA manquant",IF(NOT(ISNUMBER(K1260)),"Taux de TVA invalide",IF(COUNTIF(p_rates,K1260)=0,"Taux de TVA hors liste (Paramètres)",IF(N(O1260)&gt;25,"Au-delà de 25 lignes : non imprimée","OK")))))))))))))</f>
        <v/>
      </c>
      <c r="O1260" s="59" t="str">
        <f>IF(A1260="","",COUNTIF($A$6:A1260,A1260))</f>
        <v/>
      </c>
      <c r="P1260" s="62" t="str">
        <f>IF(A1260="","",A1260&amp;"|"&amp;O1260)</f>
        <v/>
      </c>
    </row>
    <row r="1261">
      <c r="A1261" s="60" t="n"/>
      <c r="B1261" s="63" t="n"/>
      <c r="C1261" s="63" t="n"/>
      <c r="D1261" s="67" t="n"/>
      <c r="E1261" s="68" t="n"/>
      <c r="F1261" s="69" t="n"/>
      <c r="G1261" s="70" t="n"/>
      <c r="H1261" s="62" t="str">
        <f>IF(COUNTA(A1261:G1261)=0,"",IF(C1261&lt;&gt;"",C1261,IF(B1261="","",IFERROR(INDEX(pr_des,MATCH(B1261,pr_code,0))&amp;"",""))))</f>
        <v/>
      </c>
      <c r="I1261" s="59" t="str">
        <f>IF(B1261="","",IFERROR(INDEX(pr_unit,MATCH(B1261,pr_code,0))&amp;"",""))</f>
        <v/>
      </c>
      <c r="J1261" s="65" t="str">
        <f>IF(COUNTA(A1261:G1261)=0,"",IF(E1261&lt;&gt;"",E1261,IF(B1261="","",IFERROR(IF(INDEX(pr_price,MATCH(B1261,pr_code,0))="","",INDEX(pr_price,MATCH(B1261,pr_code,0))),""))))</f>
        <v/>
      </c>
      <c r="K1261" s="71" t="str">
        <f>IF(COUNTA(A1261:G1261)=0,"",IF(G1261&lt;&gt;"",G1261,IF(B1261="","",IFERROR(IF(INDEX(pr_rate,MATCH(B1261,pr_code,0))="","",INDEX(pr_rate,MATCH(B1261,pr_code,0))),""))))</f>
        <v/>
      </c>
      <c r="L1261" s="65" t="str">
        <f>IF(COUNTA(A1261:G1261)=0,"",IF(AND(ISNUMBER(D1261),ISNUMBER(J1261)),ROUND(D1261*J1261*(1-N(F1261)),2),0))</f>
        <v/>
      </c>
      <c r="M1261" s="62" t="str">
        <f>IF(A1261="","",IFERROR(INDEX(dv_cname,MATCH(A1261,dv_num,0))&amp;"",""))</f>
        <v/>
      </c>
      <c r="N1261" s="59" t="str">
        <f>IF(COUNTA(A1261:G1261)=0,"",IF(A1261="","N° devis manquant",IF(ISNA(MATCH(A1261,dv_num,0)),"Devis inconnu",IF(AND(B1261&lt;&gt;"",ISNA(MATCH(B1261,pr_code,0))),"Article inconnu",IF(H1261="","Désignation manquante",IF(OR(NOT(ISNUMBER(D1261)),N(D1261)&lt;=0),"Quantité invalide",IF(J1261="","Prix manquant",IF(OR(NOT(ISNUMBER(J1261)),N(J1261)&lt;0),"Prix invalide",IF(OR(AND(F1261&lt;&gt;"",NOT(ISNUMBER(F1261))),N(F1261)&lt;0,N(F1261)&gt;1),"Remise invalide",IF(K1261="","Taux de TVA manquant",IF(NOT(ISNUMBER(K1261)),"Taux de TVA invalide",IF(COUNTIF(p_rates,K1261)=0,"Taux de TVA hors liste (Paramètres)",IF(N(O1261)&gt;25,"Au-delà de 25 lignes : non imprimée","OK")))))))))))))</f>
        <v/>
      </c>
      <c r="O1261" s="59" t="str">
        <f>IF(A1261="","",COUNTIF($A$6:A1261,A1261))</f>
        <v/>
      </c>
      <c r="P1261" s="62" t="str">
        <f>IF(A1261="","",A1261&amp;"|"&amp;O1261)</f>
        <v/>
      </c>
    </row>
    <row r="1262">
      <c r="A1262" s="60" t="n"/>
      <c r="B1262" s="63" t="n"/>
      <c r="C1262" s="63" t="n"/>
      <c r="D1262" s="67" t="n"/>
      <c r="E1262" s="68" t="n"/>
      <c r="F1262" s="69" t="n"/>
      <c r="G1262" s="70" t="n"/>
      <c r="H1262" s="62" t="str">
        <f>IF(COUNTA(A1262:G1262)=0,"",IF(C1262&lt;&gt;"",C1262,IF(B1262="","",IFERROR(INDEX(pr_des,MATCH(B1262,pr_code,0))&amp;"",""))))</f>
        <v/>
      </c>
      <c r="I1262" s="59" t="str">
        <f>IF(B1262="","",IFERROR(INDEX(pr_unit,MATCH(B1262,pr_code,0))&amp;"",""))</f>
        <v/>
      </c>
      <c r="J1262" s="65" t="str">
        <f>IF(COUNTA(A1262:G1262)=0,"",IF(E1262&lt;&gt;"",E1262,IF(B1262="","",IFERROR(IF(INDEX(pr_price,MATCH(B1262,pr_code,0))="","",INDEX(pr_price,MATCH(B1262,pr_code,0))),""))))</f>
        <v/>
      </c>
      <c r="K1262" s="71" t="str">
        <f>IF(COUNTA(A1262:G1262)=0,"",IF(G1262&lt;&gt;"",G1262,IF(B1262="","",IFERROR(IF(INDEX(pr_rate,MATCH(B1262,pr_code,0))="","",INDEX(pr_rate,MATCH(B1262,pr_code,0))),""))))</f>
        <v/>
      </c>
      <c r="L1262" s="65" t="str">
        <f>IF(COUNTA(A1262:G1262)=0,"",IF(AND(ISNUMBER(D1262),ISNUMBER(J1262)),ROUND(D1262*J1262*(1-N(F1262)),2),0))</f>
        <v/>
      </c>
      <c r="M1262" s="62" t="str">
        <f>IF(A1262="","",IFERROR(INDEX(dv_cname,MATCH(A1262,dv_num,0))&amp;"",""))</f>
        <v/>
      </c>
      <c r="N1262" s="59" t="str">
        <f>IF(COUNTA(A1262:G1262)=0,"",IF(A1262="","N° devis manquant",IF(ISNA(MATCH(A1262,dv_num,0)),"Devis inconnu",IF(AND(B1262&lt;&gt;"",ISNA(MATCH(B1262,pr_code,0))),"Article inconnu",IF(H1262="","Désignation manquante",IF(OR(NOT(ISNUMBER(D1262)),N(D1262)&lt;=0),"Quantité invalide",IF(J1262="","Prix manquant",IF(OR(NOT(ISNUMBER(J1262)),N(J1262)&lt;0),"Prix invalide",IF(OR(AND(F1262&lt;&gt;"",NOT(ISNUMBER(F1262))),N(F1262)&lt;0,N(F1262)&gt;1),"Remise invalide",IF(K1262="","Taux de TVA manquant",IF(NOT(ISNUMBER(K1262)),"Taux de TVA invalide",IF(COUNTIF(p_rates,K1262)=0,"Taux de TVA hors liste (Paramètres)",IF(N(O1262)&gt;25,"Au-delà de 25 lignes : non imprimée","OK")))))))))))))</f>
        <v/>
      </c>
      <c r="O1262" s="59" t="str">
        <f>IF(A1262="","",COUNTIF($A$6:A1262,A1262))</f>
        <v/>
      </c>
      <c r="P1262" s="62" t="str">
        <f>IF(A1262="","",A1262&amp;"|"&amp;O1262)</f>
        <v/>
      </c>
    </row>
    <row r="1263">
      <c r="A1263" s="60" t="n"/>
      <c r="B1263" s="63" t="n"/>
      <c r="C1263" s="63" t="n"/>
      <c r="D1263" s="67" t="n"/>
      <c r="E1263" s="68" t="n"/>
      <c r="F1263" s="69" t="n"/>
      <c r="G1263" s="70" t="n"/>
      <c r="H1263" s="62" t="str">
        <f>IF(COUNTA(A1263:G1263)=0,"",IF(C1263&lt;&gt;"",C1263,IF(B1263="","",IFERROR(INDEX(pr_des,MATCH(B1263,pr_code,0))&amp;"",""))))</f>
        <v/>
      </c>
      <c r="I1263" s="59" t="str">
        <f>IF(B1263="","",IFERROR(INDEX(pr_unit,MATCH(B1263,pr_code,0))&amp;"",""))</f>
        <v/>
      </c>
      <c r="J1263" s="65" t="str">
        <f>IF(COUNTA(A1263:G1263)=0,"",IF(E1263&lt;&gt;"",E1263,IF(B1263="","",IFERROR(IF(INDEX(pr_price,MATCH(B1263,pr_code,0))="","",INDEX(pr_price,MATCH(B1263,pr_code,0))),""))))</f>
        <v/>
      </c>
      <c r="K1263" s="71" t="str">
        <f>IF(COUNTA(A1263:G1263)=0,"",IF(G1263&lt;&gt;"",G1263,IF(B1263="","",IFERROR(IF(INDEX(pr_rate,MATCH(B1263,pr_code,0))="","",INDEX(pr_rate,MATCH(B1263,pr_code,0))),""))))</f>
        <v/>
      </c>
      <c r="L1263" s="65" t="str">
        <f>IF(COUNTA(A1263:G1263)=0,"",IF(AND(ISNUMBER(D1263),ISNUMBER(J1263)),ROUND(D1263*J1263*(1-N(F1263)),2),0))</f>
        <v/>
      </c>
      <c r="M1263" s="62" t="str">
        <f>IF(A1263="","",IFERROR(INDEX(dv_cname,MATCH(A1263,dv_num,0))&amp;"",""))</f>
        <v/>
      </c>
      <c r="N1263" s="59" t="str">
        <f>IF(COUNTA(A1263:G1263)=0,"",IF(A1263="","N° devis manquant",IF(ISNA(MATCH(A1263,dv_num,0)),"Devis inconnu",IF(AND(B1263&lt;&gt;"",ISNA(MATCH(B1263,pr_code,0))),"Article inconnu",IF(H1263="","Désignation manquante",IF(OR(NOT(ISNUMBER(D1263)),N(D1263)&lt;=0),"Quantité invalide",IF(J1263="","Prix manquant",IF(OR(NOT(ISNUMBER(J1263)),N(J1263)&lt;0),"Prix invalide",IF(OR(AND(F1263&lt;&gt;"",NOT(ISNUMBER(F1263))),N(F1263)&lt;0,N(F1263)&gt;1),"Remise invalide",IF(K1263="","Taux de TVA manquant",IF(NOT(ISNUMBER(K1263)),"Taux de TVA invalide",IF(COUNTIF(p_rates,K1263)=0,"Taux de TVA hors liste (Paramètres)",IF(N(O1263)&gt;25,"Au-delà de 25 lignes : non imprimée","OK")))))))))))))</f>
        <v/>
      </c>
      <c r="O1263" s="59" t="str">
        <f>IF(A1263="","",COUNTIF($A$6:A1263,A1263))</f>
        <v/>
      </c>
      <c r="P1263" s="62" t="str">
        <f>IF(A1263="","",A1263&amp;"|"&amp;O1263)</f>
        <v/>
      </c>
    </row>
    <row r="1264">
      <c r="A1264" s="60" t="n"/>
      <c r="B1264" s="63" t="n"/>
      <c r="C1264" s="63" t="n"/>
      <c r="D1264" s="67" t="n"/>
      <c r="E1264" s="68" t="n"/>
      <c r="F1264" s="69" t="n"/>
      <c r="G1264" s="70" t="n"/>
      <c r="H1264" s="62" t="str">
        <f>IF(COUNTA(A1264:G1264)=0,"",IF(C1264&lt;&gt;"",C1264,IF(B1264="","",IFERROR(INDEX(pr_des,MATCH(B1264,pr_code,0))&amp;"",""))))</f>
        <v/>
      </c>
      <c r="I1264" s="59" t="str">
        <f>IF(B1264="","",IFERROR(INDEX(pr_unit,MATCH(B1264,pr_code,0))&amp;"",""))</f>
        <v/>
      </c>
      <c r="J1264" s="65" t="str">
        <f>IF(COUNTA(A1264:G1264)=0,"",IF(E1264&lt;&gt;"",E1264,IF(B1264="","",IFERROR(IF(INDEX(pr_price,MATCH(B1264,pr_code,0))="","",INDEX(pr_price,MATCH(B1264,pr_code,0))),""))))</f>
        <v/>
      </c>
      <c r="K1264" s="71" t="str">
        <f>IF(COUNTA(A1264:G1264)=0,"",IF(G1264&lt;&gt;"",G1264,IF(B1264="","",IFERROR(IF(INDEX(pr_rate,MATCH(B1264,pr_code,0))="","",INDEX(pr_rate,MATCH(B1264,pr_code,0))),""))))</f>
        <v/>
      </c>
      <c r="L1264" s="65" t="str">
        <f>IF(COUNTA(A1264:G1264)=0,"",IF(AND(ISNUMBER(D1264),ISNUMBER(J1264)),ROUND(D1264*J1264*(1-N(F1264)),2),0))</f>
        <v/>
      </c>
      <c r="M1264" s="62" t="str">
        <f>IF(A1264="","",IFERROR(INDEX(dv_cname,MATCH(A1264,dv_num,0))&amp;"",""))</f>
        <v/>
      </c>
      <c r="N1264" s="59" t="str">
        <f>IF(COUNTA(A1264:G1264)=0,"",IF(A1264="","N° devis manquant",IF(ISNA(MATCH(A1264,dv_num,0)),"Devis inconnu",IF(AND(B1264&lt;&gt;"",ISNA(MATCH(B1264,pr_code,0))),"Article inconnu",IF(H1264="","Désignation manquante",IF(OR(NOT(ISNUMBER(D1264)),N(D1264)&lt;=0),"Quantité invalide",IF(J1264="","Prix manquant",IF(OR(NOT(ISNUMBER(J1264)),N(J1264)&lt;0),"Prix invalide",IF(OR(AND(F1264&lt;&gt;"",NOT(ISNUMBER(F1264))),N(F1264)&lt;0,N(F1264)&gt;1),"Remise invalide",IF(K1264="","Taux de TVA manquant",IF(NOT(ISNUMBER(K1264)),"Taux de TVA invalide",IF(COUNTIF(p_rates,K1264)=0,"Taux de TVA hors liste (Paramètres)",IF(N(O1264)&gt;25,"Au-delà de 25 lignes : non imprimée","OK")))))))))))))</f>
        <v/>
      </c>
      <c r="O1264" s="59" t="str">
        <f>IF(A1264="","",COUNTIF($A$6:A1264,A1264))</f>
        <v/>
      </c>
      <c r="P1264" s="62" t="str">
        <f>IF(A1264="","",A1264&amp;"|"&amp;O1264)</f>
        <v/>
      </c>
    </row>
    <row r="1265">
      <c r="A1265" s="60" t="n"/>
      <c r="B1265" s="63" t="n"/>
      <c r="C1265" s="63" t="n"/>
      <c r="D1265" s="67" t="n"/>
      <c r="E1265" s="68" t="n"/>
      <c r="F1265" s="69" t="n"/>
      <c r="G1265" s="70" t="n"/>
      <c r="H1265" s="62" t="str">
        <f>IF(COUNTA(A1265:G1265)=0,"",IF(C1265&lt;&gt;"",C1265,IF(B1265="","",IFERROR(INDEX(pr_des,MATCH(B1265,pr_code,0))&amp;"",""))))</f>
        <v/>
      </c>
      <c r="I1265" s="59" t="str">
        <f>IF(B1265="","",IFERROR(INDEX(pr_unit,MATCH(B1265,pr_code,0))&amp;"",""))</f>
        <v/>
      </c>
      <c r="J1265" s="65" t="str">
        <f>IF(COUNTA(A1265:G1265)=0,"",IF(E1265&lt;&gt;"",E1265,IF(B1265="","",IFERROR(IF(INDEX(pr_price,MATCH(B1265,pr_code,0))="","",INDEX(pr_price,MATCH(B1265,pr_code,0))),""))))</f>
        <v/>
      </c>
      <c r="K1265" s="71" t="str">
        <f>IF(COUNTA(A1265:G1265)=0,"",IF(G1265&lt;&gt;"",G1265,IF(B1265="","",IFERROR(IF(INDEX(pr_rate,MATCH(B1265,pr_code,0))="","",INDEX(pr_rate,MATCH(B1265,pr_code,0))),""))))</f>
        <v/>
      </c>
      <c r="L1265" s="65" t="str">
        <f>IF(COUNTA(A1265:G1265)=0,"",IF(AND(ISNUMBER(D1265),ISNUMBER(J1265)),ROUND(D1265*J1265*(1-N(F1265)),2),0))</f>
        <v/>
      </c>
      <c r="M1265" s="62" t="str">
        <f>IF(A1265="","",IFERROR(INDEX(dv_cname,MATCH(A1265,dv_num,0))&amp;"",""))</f>
        <v/>
      </c>
      <c r="N1265" s="59" t="str">
        <f>IF(COUNTA(A1265:G1265)=0,"",IF(A1265="","N° devis manquant",IF(ISNA(MATCH(A1265,dv_num,0)),"Devis inconnu",IF(AND(B1265&lt;&gt;"",ISNA(MATCH(B1265,pr_code,0))),"Article inconnu",IF(H1265="","Désignation manquante",IF(OR(NOT(ISNUMBER(D1265)),N(D1265)&lt;=0),"Quantité invalide",IF(J1265="","Prix manquant",IF(OR(NOT(ISNUMBER(J1265)),N(J1265)&lt;0),"Prix invalide",IF(OR(AND(F1265&lt;&gt;"",NOT(ISNUMBER(F1265))),N(F1265)&lt;0,N(F1265)&gt;1),"Remise invalide",IF(K1265="","Taux de TVA manquant",IF(NOT(ISNUMBER(K1265)),"Taux de TVA invalide",IF(COUNTIF(p_rates,K1265)=0,"Taux de TVA hors liste (Paramètres)",IF(N(O1265)&gt;25,"Au-delà de 25 lignes : non imprimée","OK")))))))))))))</f>
        <v/>
      </c>
      <c r="O1265" s="59" t="str">
        <f>IF(A1265="","",COUNTIF($A$6:A1265,A1265))</f>
        <v/>
      </c>
      <c r="P1265" s="62" t="str">
        <f>IF(A1265="","",A1265&amp;"|"&amp;O1265)</f>
        <v/>
      </c>
    </row>
    <row r="1266">
      <c r="A1266" s="60" t="n"/>
      <c r="B1266" s="63" t="n"/>
      <c r="C1266" s="63" t="n"/>
      <c r="D1266" s="67" t="n"/>
      <c r="E1266" s="68" t="n"/>
      <c r="F1266" s="69" t="n"/>
      <c r="G1266" s="70" t="n"/>
      <c r="H1266" s="62" t="str">
        <f>IF(COUNTA(A1266:G1266)=0,"",IF(C1266&lt;&gt;"",C1266,IF(B1266="","",IFERROR(INDEX(pr_des,MATCH(B1266,pr_code,0))&amp;"",""))))</f>
        <v/>
      </c>
      <c r="I1266" s="59" t="str">
        <f>IF(B1266="","",IFERROR(INDEX(pr_unit,MATCH(B1266,pr_code,0))&amp;"",""))</f>
        <v/>
      </c>
      <c r="J1266" s="65" t="str">
        <f>IF(COUNTA(A1266:G1266)=0,"",IF(E1266&lt;&gt;"",E1266,IF(B1266="","",IFERROR(IF(INDEX(pr_price,MATCH(B1266,pr_code,0))="","",INDEX(pr_price,MATCH(B1266,pr_code,0))),""))))</f>
        <v/>
      </c>
      <c r="K1266" s="71" t="str">
        <f>IF(COUNTA(A1266:G1266)=0,"",IF(G1266&lt;&gt;"",G1266,IF(B1266="","",IFERROR(IF(INDEX(pr_rate,MATCH(B1266,pr_code,0))="","",INDEX(pr_rate,MATCH(B1266,pr_code,0))),""))))</f>
        <v/>
      </c>
      <c r="L1266" s="65" t="str">
        <f>IF(COUNTA(A1266:G1266)=0,"",IF(AND(ISNUMBER(D1266),ISNUMBER(J1266)),ROUND(D1266*J1266*(1-N(F1266)),2),0))</f>
        <v/>
      </c>
      <c r="M1266" s="62" t="str">
        <f>IF(A1266="","",IFERROR(INDEX(dv_cname,MATCH(A1266,dv_num,0))&amp;"",""))</f>
        <v/>
      </c>
      <c r="N1266" s="59" t="str">
        <f>IF(COUNTA(A1266:G1266)=0,"",IF(A1266="","N° devis manquant",IF(ISNA(MATCH(A1266,dv_num,0)),"Devis inconnu",IF(AND(B1266&lt;&gt;"",ISNA(MATCH(B1266,pr_code,0))),"Article inconnu",IF(H1266="","Désignation manquante",IF(OR(NOT(ISNUMBER(D1266)),N(D1266)&lt;=0),"Quantité invalide",IF(J1266="","Prix manquant",IF(OR(NOT(ISNUMBER(J1266)),N(J1266)&lt;0),"Prix invalide",IF(OR(AND(F1266&lt;&gt;"",NOT(ISNUMBER(F1266))),N(F1266)&lt;0,N(F1266)&gt;1),"Remise invalide",IF(K1266="","Taux de TVA manquant",IF(NOT(ISNUMBER(K1266)),"Taux de TVA invalide",IF(COUNTIF(p_rates,K1266)=0,"Taux de TVA hors liste (Paramètres)",IF(N(O1266)&gt;25,"Au-delà de 25 lignes : non imprimée","OK")))))))))))))</f>
        <v/>
      </c>
      <c r="O1266" s="59" t="str">
        <f>IF(A1266="","",COUNTIF($A$6:A1266,A1266))</f>
        <v/>
      </c>
      <c r="P1266" s="62" t="str">
        <f>IF(A1266="","",A1266&amp;"|"&amp;O1266)</f>
        <v/>
      </c>
    </row>
    <row r="1267">
      <c r="A1267" s="60" t="n"/>
      <c r="B1267" s="63" t="n"/>
      <c r="C1267" s="63" t="n"/>
      <c r="D1267" s="67" t="n"/>
      <c r="E1267" s="68" t="n"/>
      <c r="F1267" s="69" t="n"/>
      <c r="G1267" s="70" t="n"/>
      <c r="H1267" s="62" t="str">
        <f>IF(COUNTA(A1267:G1267)=0,"",IF(C1267&lt;&gt;"",C1267,IF(B1267="","",IFERROR(INDEX(pr_des,MATCH(B1267,pr_code,0))&amp;"",""))))</f>
        <v/>
      </c>
      <c r="I1267" s="59" t="str">
        <f>IF(B1267="","",IFERROR(INDEX(pr_unit,MATCH(B1267,pr_code,0))&amp;"",""))</f>
        <v/>
      </c>
      <c r="J1267" s="65" t="str">
        <f>IF(COUNTA(A1267:G1267)=0,"",IF(E1267&lt;&gt;"",E1267,IF(B1267="","",IFERROR(IF(INDEX(pr_price,MATCH(B1267,pr_code,0))="","",INDEX(pr_price,MATCH(B1267,pr_code,0))),""))))</f>
        <v/>
      </c>
      <c r="K1267" s="71" t="str">
        <f>IF(COUNTA(A1267:G1267)=0,"",IF(G1267&lt;&gt;"",G1267,IF(B1267="","",IFERROR(IF(INDEX(pr_rate,MATCH(B1267,pr_code,0))="","",INDEX(pr_rate,MATCH(B1267,pr_code,0))),""))))</f>
        <v/>
      </c>
      <c r="L1267" s="65" t="str">
        <f>IF(COUNTA(A1267:G1267)=0,"",IF(AND(ISNUMBER(D1267),ISNUMBER(J1267)),ROUND(D1267*J1267*(1-N(F1267)),2),0))</f>
        <v/>
      </c>
      <c r="M1267" s="62" t="str">
        <f>IF(A1267="","",IFERROR(INDEX(dv_cname,MATCH(A1267,dv_num,0))&amp;"",""))</f>
        <v/>
      </c>
      <c r="N1267" s="59" t="str">
        <f>IF(COUNTA(A1267:G1267)=0,"",IF(A1267="","N° devis manquant",IF(ISNA(MATCH(A1267,dv_num,0)),"Devis inconnu",IF(AND(B1267&lt;&gt;"",ISNA(MATCH(B1267,pr_code,0))),"Article inconnu",IF(H1267="","Désignation manquante",IF(OR(NOT(ISNUMBER(D1267)),N(D1267)&lt;=0),"Quantité invalide",IF(J1267="","Prix manquant",IF(OR(NOT(ISNUMBER(J1267)),N(J1267)&lt;0),"Prix invalide",IF(OR(AND(F1267&lt;&gt;"",NOT(ISNUMBER(F1267))),N(F1267)&lt;0,N(F1267)&gt;1),"Remise invalide",IF(K1267="","Taux de TVA manquant",IF(NOT(ISNUMBER(K1267)),"Taux de TVA invalide",IF(COUNTIF(p_rates,K1267)=0,"Taux de TVA hors liste (Paramètres)",IF(N(O1267)&gt;25,"Au-delà de 25 lignes : non imprimée","OK")))))))))))))</f>
        <v/>
      </c>
      <c r="O1267" s="59" t="str">
        <f>IF(A1267="","",COUNTIF($A$6:A1267,A1267))</f>
        <v/>
      </c>
      <c r="P1267" s="62" t="str">
        <f>IF(A1267="","",A1267&amp;"|"&amp;O1267)</f>
        <v/>
      </c>
    </row>
    <row r="1268">
      <c r="A1268" s="60" t="n"/>
      <c r="B1268" s="63" t="n"/>
      <c r="C1268" s="63" t="n"/>
      <c r="D1268" s="67" t="n"/>
      <c r="E1268" s="68" t="n"/>
      <c r="F1268" s="69" t="n"/>
      <c r="G1268" s="70" t="n"/>
      <c r="H1268" s="62" t="str">
        <f>IF(COUNTA(A1268:G1268)=0,"",IF(C1268&lt;&gt;"",C1268,IF(B1268="","",IFERROR(INDEX(pr_des,MATCH(B1268,pr_code,0))&amp;"",""))))</f>
        <v/>
      </c>
      <c r="I1268" s="59" t="str">
        <f>IF(B1268="","",IFERROR(INDEX(pr_unit,MATCH(B1268,pr_code,0))&amp;"",""))</f>
        <v/>
      </c>
      <c r="J1268" s="65" t="str">
        <f>IF(COUNTA(A1268:G1268)=0,"",IF(E1268&lt;&gt;"",E1268,IF(B1268="","",IFERROR(IF(INDEX(pr_price,MATCH(B1268,pr_code,0))="","",INDEX(pr_price,MATCH(B1268,pr_code,0))),""))))</f>
        <v/>
      </c>
      <c r="K1268" s="71" t="str">
        <f>IF(COUNTA(A1268:G1268)=0,"",IF(G1268&lt;&gt;"",G1268,IF(B1268="","",IFERROR(IF(INDEX(pr_rate,MATCH(B1268,pr_code,0))="","",INDEX(pr_rate,MATCH(B1268,pr_code,0))),""))))</f>
        <v/>
      </c>
      <c r="L1268" s="65" t="str">
        <f>IF(COUNTA(A1268:G1268)=0,"",IF(AND(ISNUMBER(D1268),ISNUMBER(J1268)),ROUND(D1268*J1268*(1-N(F1268)),2),0))</f>
        <v/>
      </c>
      <c r="M1268" s="62" t="str">
        <f>IF(A1268="","",IFERROR(INDEX(dv_cname,MATCH(A1268,dv_num,0))&amp;"",""))</f>
        <v/>
      </c>
      <c r="N1268" s="59" t="str">
        <f>IF(COUNTA(A1268:G1268)=0,"",IF(A1268="","N° devis manquant",IF(ISNA(MATCH(A1268,dv_num,0)),"Devis inconnu",IF(AND(B1268&lt;&gt;"",ISNA(MATCH(B1268,pr_code,0))),"Article inconnu",IF(H1268="","Désignation manquante",IF(OR(NOT(ISNUMBER(D1268)),N(D1268)&lt;=0),"Quantité invalide",IF(J1268="","Prix manquant",IF(OR(NOT(ISNUMBER(J1268)),N(J1268)&lt;0),"Prix invalide",IF(OR(AND(F1268&lt;&gt;"",NOT(ISNUMBER(F1268))),N(F1268)&lt;0,N(F1268)&gt;1),"Remise invalide",IF(K1268="","Taux de TVA manquant",IF(NOT(ISNUMBER(K1268)),"Taux de TVA invalide",IF(COUNTIF(p_rates,K1268)=0,"Taux de TVA hors liste (Paramètres)",IF(N(O1268)&gt;25,"Au-delà de 25 lignes : non imprimée","OK")))))))))))))</f>
        <v/>
      </c>
      <c r="O1268" s="59" t="str">
        <f>IF(A1268="","",COUNTIF($A$6:A1268,A1268))</f>
        <v/>
      </c>
      <c r="P1268" s="62" t="str">
        <f>IF(A1268="","",A1268&amp;"|"&amp;O1268)</f>
        <v/>
      </c>
    </row>
    <row r="1269">
      <c r="A1269" s="60" t="n"/>
      <c r="B1269" s="63" t="n"/>
      <c r="C1269" s="63" t="n"/>
      <c r="D1269" s="67" t="n"/>
      <c r="E1269" s="68" t="n"/>
      <c r="F1269" s="69" t="n"/>
      <c r="G1269" s="70" t="n"/>
      <c r="H1269" s="62" t="str">
        <f>IF(COUNTA(A1269:G1269)=0,"",IF(C1269&lt;&gt;"",C1269,IF(B1269="","",IFERROR(INDEX(pr_des,MATCH(B1269,pr_code,0))&amp;"",""))))</f>
        <v/>
      </c>
      <c r="I1269" s="59" t="str">
        <f>IF(B1269="","",IFERROR(INDEX(pr_unit,MATCH(B1269,pr_code,0))&amp;"",""))</f>
        <v/>
      </c>
      <c r="J1269" s="65" t="str">
        <f>IF(COUNTA(A1269:G1269)=0,"",IF(E1269&lt;&gt;"",E1269,IF(B1269="","",IFERROR(IF(INDEX(pr_price,MATCH(B1269,pr_code,0))="","",INDEX(pr_price,MATCH(B1269,pr_code,0))),""))))</f>
        <v/>
      </c>
      <c r="K1269" s="71" t="str">
        <f>IF(COUNTA(A1269:G1269)=0,"",IF(G1269&lt;&gt;"",G1269,IF(B1269="","",IFERROR(IF(INDEX(pr_rate,MATCH(B1269,pr_code,0))="","",INDEX(pr_rate,MATCH(B1269,pr_code,0))),""))))</f>
        <v/>
      </c>
      <c r="L1269" s="65" t="str">
        <f>IF(COUNTA(A1269:G1269)=0,"",IF(AND(ISNUMBER(D1269),ISNUMBER(J1269)),ROUND(D1269*J1269*(1-N(F1269)),2),0))</f>
        <v/>
      </c>
      <c r="M1269" s="62" t="str">
        <f>IF(A1269="","",IFERROR(INDEX(dv_cname,MATCH(A1269,dv_num,0))&amp;"",""))</f>
        <v/>
      </c>
      <c r="N1269" s="59" t="str">
        <f>IF(COUNTA(A1269:G1269)=0,"",IF(A1269="","N° devis manquant",IF(ISNA(MATCH(A1269,dv_num,0)),"Devis inconnu",IF(AND(B1269&lt;&gt;"",ISNA(MATCH(B1269,pr_code,0))),"Article inconnu",IF(H1269="","Désignation manquante",IF(OR(NOT(ISNUMBER(D1269)),N(D1269)&lt;=0),"Quantité invalide",IF(J1269="","Prix manquant",IF(OR(NOT(ISNUMBER(J1269)),N(J1269)&lt;0),"Prix invalide",IF(OR(AND(F1269&lt;&gt;"",NOT(ISNUMBER(F1269))),N(F1269)&lt;0,N(F1269)&gt;1),"Remise invalide",IF(K1269="","Taux de TVA manquant",IF(NOT(ISNUMBER(K1269)),"Taux de TVA invalide",IF(COUNTIF(p_rates,K1269)=0,"Taux de TVA hors liste (Paramètres)",IF(N(O1269)&gt;25,"Au-delà de 25 lignes : non imprimée","OK")))))))))))))</f>
        <v/>
      </c>
      <c r="O1269" s="59" t="str">
        <f>IF(A1269="","",COUNTIF($A$6:A1269,A1269))</f>
        <v/>
      </c>
      <c r="P1269" s="62" t="str">
        <f>IF(A1269="","",A1269&amp;"|"&amp;O1269)</f>
        <v/>
      </c>
    </row>
    <row r="1270">
      <c r="A1270" s="60" t="n"/>
      <c r="B1270" s="63" t="n"/>
      <c r="C1270" s="63" t="n"/>
      <c r="D1270" s="67" t="n"/>
      <c r="E1270" s="68" t="n"/>
      <c r="F1270" s="69" t="n"/>
      <c r="G1270" s="70" t="n"/>
      <c r="H1270" s="62" t="str">
        <f>IF(COUNTA(A1270:G1270)=0,"",IF(C1270&lt;&gt;"",C1270,IF(B1270="","",IFERROR(INDEX(pr_des,MATCH(B1270,pr_code,0))&amp;"",""))))</f>
        <v/>
      </c>
      <c r="I1270" s="59" t="str">
        <f>IF(B1270="","",IFERROR(INDEX(pr_unit,MATCH(B1270,pr_code,0))&amp;"",""))</f>
        <v/>
      </c>
      <c r="J1270" s="65" t="str">
        <f>IF(COUNTA(A1270:G1270)=0,"",IF(E1270&lt;&gt;"",E1270,IF(B1270="","",IFERROR(IF(INDEX(pr_price,MATCH(B1270,pr_code,0))="","",INDEX(pr_price,MATCH(B1270,pr_code,0))),""))))</f>
        <v/>
      </c>
      <c r="K1270" s="71" t="str">
        <f>IF(COUNTA(A1270:G1270)=0,"",IF(G1270&lt;&gt;"",G1270,IF(B1270="","",IFERROR(IF(INDEX(pr_rate,MATCH(B1270,pr_code,0))="","",INDEX(pr_rate,MATCH(B1270,pr_code,0))),""))))</f>
        <v/>
      </c>
      <c r="L1270" s="65" t="str">
        <f>IF(COUNTA(A1270:G1270)=0,"",IF(AND(ISNUMBER(D1270),ISNUMBER(J1270)),ROUND(D1270*J1270*(1-N(F1270)),2),0))</f>
        <v/>
      </c>
      <c r="M1270" s="62" t="str">
        <f>IF(A1270="","",IFERROR(INDEX(dv_cname,MATCH(A1270,dv_num,0))&amp;"",""))</f>
        <v/>
      </c>
      <c r="N1270" s="59" t="str">
        <f>IF(COUNTA(A1270:G1270)=0,"",IF(A1270="","N° devis manquant",IF(ISNA(MATCH(A1270,dv_num,0)),"Devis inconnu",IF(AND(B1270&lt;&gt;"",ISNA(MATCH(B1270,pr_code,0))),"Article inconnu",IF(H1270="","Désignation manquante",IF(OR(NOT(ISNUMBER(D1270)),N(D1270)&lt;=0),"Quantité invalide",IF(J1270="","Prix manquant",IF(OR(NOT(ISNUMBER(J1270)),N(J1270)&lt;0),"Prix invalide",IF(OR(AND(F1270&lt;&gt;"",NOT(ISNUMBER(F1270))),N(F1270)&lt;0,N(F1270)&gt;1),"Remise invalide",IF(K1270="","Taux de TVA manquant",IF(NOT(ISNUMBER(K1270)),"Taux de TVA invalide",IF(COUNTIF(p_rates,K1270)=0,"Taux de TVA hors liste (Paramètres)",IF(N(O1270)&gt;25,"Au-delà de 25 lignes : non imprimée","OK")))))))))))))</f>
        <v/>
      </c>
      <c r="O1270" s="59" t="str">
        <f>IF(A1270="","",COUNTIF($A$6:A1270,A1270))</f>
        <v/>
      </c>
      <c r="P1270" s="62" t="str">
        <f>IF(A1270="","",A1270&amp;"|"&amp;O1270)</f>
        <v/>
      </c>
    </row>
    <row r="1271">
      <c r="A1271" s="60" t="n"/>
      <c r="B1271" s="63" t="n"/>
      <c r="C1271" s="63" t="n"/>
      <c r="D1271" s="67" t="n"/>
      <c r="E1271" s="68" t="n"/>
      <c r="F1271" s="69" t="n"/>
      <c r="G1271" s="70" t="n"/>
      <c r="H1271" s="62" t="str">
        <f>IF(COUNTA(A1271:G1271)=0,"",IF(C1271&lt;&gt;"",C1271,IF(B1271="","",IFERROR(INDEX(pr_des,MATCH(B1271,pr_code,0))&amp;"",""))))</f>
        <v/>
      </c>
      <c r="I1271" s="59" t="str">
        <f>IF(B1271="","",IFERROR(INDEX(pr_unit,MATCH(B1271,pr_code,0))&amp;"",""))</f>
        <v/>
      </c>
      <c r="J1271" s="65" t="str">
        <f>IF(COUNTA(A1271:G1271)=0,"",IF(E1271&lt;&gt;"",E1271,IF(B1271="","",IFERROR(IF(INDEX(pr_price,MATCH(B1271,pr_code,0))="","",INDEX(pr_price,MATCH(B1271,pr_code,0))),""))))</f>
        <v/>
      </c>
      <c r="K1271" s="71" t="str">
        <f>IF(COUNTA(A1271:G1271)=0,"",IF(G1271&lt;&gt;"",G1271,IF(B1271="","",IFERROR(IF(INDEX(pr_rate,MATCH(B1271,pr_code,0))="","",INDEX(pr_rate,MATCH(B1271,pr_code,0))),""))))</f>
        <v/>
      </c>
      <c r="L1271" s="65" t="str">
        <f>IF(COUNTA(A1271:G1271)=0,"",IF(AND(ISNUMBER(D1271),ISNUMBER(J1271)),ROUND(D1271*J1271*(1-N(F1271)),2),0))</f>
        <v/>
      </c>
      <c r="M1271" s="62" t="str">
        <f>IF(A1271="","",IFERROR(INDEX(dv_cname,MATCH(A1271,dv_num,0))&amp;"",""))</f>
        <v/>
      </c>
      <c r="N1271" s="59" t="str">
        <f>IF(COUNTA(A1271:G1271)=0,"",IF(A1271="","N° devis manquant",IF(ISNA(MATCH(A1271,dv_num,0)),"Devis inconnu",IF(AND(B1271&lt;&gt;"",ISNA(MATCH(B1271,pr_code,0))),"Article inconnu",IF(H1271="","Désignation manquante",IF(OR(NOT(ISNUMBER(D1271)),N(D1271)&lt;=0),"Quantité invalide",IF(J1271="","Prix manquant",IF(OR(NOT(ISNUMBER(J1271)),N(J1271)&lt;0),"Prix invalide",IF(OR(AND(F1271&lt;&gt;"",NOT(ISNUMBER(F1271))),N(F1271)&lt;0,N(F1271)&gt;1),"Remise invalide",IF(K1271="","Taux de TVA manquant",IF(NOT(ISNUMBER(K1271)),"Taux de TVA invalide",IF(COUNTIF(p_rates,K1271)=0,"Taux de TVA hors liste (Paramètres)",IF(N(O1271)&gt;25,"Au-delà de 25 lignes : non imprimée","OK")))))))))))))</f>
        <v/>
      </c>
      <c r="O1271" s="59" t="str">
        <f>IF(A1271="","",COUNTIF($A$6:A1271,A1271))</f>
        <v/>
      </c>
      <c r="P1271" s="62" t="str">
        <f>IF(A1271="","",A1271&amp;"|"&amp;O1271)</f>
        <v/>
      </c>
    </row>
    <row r="1272">
      <c r="A1272" s="60" t="n"/>
      <c r="B1272" s="63" t="n"/>
      <c r="C1272" s="63" t="n"/>
      <c r="D1272" s="67" t="n"/>
      <c r="E1272" s="68" t="n"/>
      <c r="F1272" s="69" t="n"/>
      <c r="G1272" s="70" t="n"/>
      <c r="H1272" s="62" t="str">
        <f>IF(COUNTA(A1272:G1272)=0,"",IF(C1272&lt;&gt;"",C1272,IF(B1272="","",IFERROR(INDEX(pr_des,MATCH(B1272,pr_code,0))&amp;"",""))))</f>
        <v/>
      </c>
      <c r="I1272" s="59" t="str">
        <f>IF(B1272="","",IFERROR(INDEX(pr_unit,MATCH(B1272,pr_code,0))&amp;"",""))</f>
        <v/>
      </c>
      <c r="J1272" s="65" t="str">
        <f>IF(COUNTA(A1272:G1272)=0,"",IF(E1272&lt;&gt;"",E1272,IF(B1272="","",IFERROR(IF(INDEX(pr_price,MATCH(B1272,pr_code,0))="","",INDEX(pr_price,MATCH(B1272,pr_code,0))),""))))</f>
        <v/>
      </c>
      <c r="K1272" s="71" t="str">
        <f>IF(COUNTA(A1272:G1272)=0,"",IF(G1272&lt;&gt;"",G1272,IF(B1272="","",IFERROR(IF(INDEX(pr_rate,MATCH(B1272,pr_code,0))="","",INDEX(pr_rate,MATCH(B1272,pr_code,0))),""))))</f>
        <v/>
      </c>
      <c r="L1272" s="65" t="str">
        <f>IF(COUNTA(A1272:G1272)=0,"",IF(AND(ISNUMBER(D1272),ISNUMBER(J1272)),ROUND(D1272*J1272*(1-N(F1272)),2),0))</f>
        <v/>
      </c>
      <c r="M1272" s="62" t="str">
        <f>IF(A1272="","",IFERROR(INDEX(dv_cname,MATCH(A1272,dv_num,0))&amp;"",""))</f>
        <v/>
      </c>
      <c r="N1272" s="59" t="str">
        <f>IF(COUNTA(A1272:G1272)=0,"",IF(A1272="","N° devis manquant",IF(ISNA(MATCH(A1272,dv_num,0)),"Devis inconnu",IF(AND(B1272&lt;&gt;"",ISNA(MATCH(B1272,pr_code,0))),"Article inconnu",IF(H1272="","Désignation manquante",IF(OR(NOT(ISNUMBER(D1272)),N(D1272)&lt;=0),"Quantité invalide",IF(J1272="","Prix manquant",IF(OR(NOT(ISNUMBER(J1272)),N(J1272)&lt;0),"Prix invalide",IF(OR(AND(F1272&lt;&gt;"",NOT(ISNUMBER(F1272))),N(F1272)&lt;0,N(F1272)&gt;1),"Remise invalide",IF(K1272="","Taux de TVA manquant",IF(NOT(ISNUMBER(K1272)),"Taux de TVA invalide",IF(COUNTIF(p_rates,K1272)=0,"Taux de TVA hors liste (Paramètres)",IF(N(O1272)&gt;25,"Au-delà de 25 lignes : non imprimée","OK")))))))))))))</f>
        <v/>
      </c>
      <c r="O1272" s="59" t="str">
        <f>IF(A1272="","",COUNTIF($A$6:A1272,A1272))</f>
        <v/>
      </c>
      <c r="P1272" s="62" t="str">
        <f>IF(A1272="","",A1272&amp;"|"&amp;O1272)</f>
        <v/>
      </c>
    </row>
    <row r="1273">
      <c r="A1273" s="60" t="n"/>
      <c r="B1273" s="63" t="n"/>
      <c r="C1273" s="63" t="n"/>
      <c r="D1273" s="67" t="n"/>
      <c r="E1273" s="68" t="n"/>
      <c r="F1273" s="69" t="n"/>
      <c r="G1273" s="70" t="n"/>
      <c r="H1273" s="62" t="str">
        <f>IF(COUNTA(A1273:G1273)=0,"",IF(C1273&lt;&gt;"",C1273,IF(B1273="","",IFERROR(INDEX(pr_des,MATCH(B1273,pr_code,0))&amp;"",""))))</f>
        <v/>
      </c>
      <c r="I1273" s="59" t="str">
        <f>IF(B1273="","",IFERROR(INDEX(pr_unit,MATCH(B1273,pr_code,0))&amp;"",""))</f>
        <v/>
      </c>
      <c r="J1273" s="65" t="str">
        <f>IF(COUNTA(A1273:G1273)=0,"",IF(E1273&lt;&gt;"",E1273,IF(B1273="","",IFERROR(IF(INDEX(pr_price,MATCH(B1273,pr_code,0))="","",INDEX(pr_price,MATCH(B1273,pr_code,0))),""))))</f>
        <v/>
      </c>
      <c r="K1273" s="71" t="str">
        <f>IF(COUNTA(A1273:G1273)=0,"",IF(G1273&lt;&gt;"",G1273,IF(B1273="","",IFERROR(IF(INDEX(pr_rate,MATCH(B1273,pr_code,0))="","",INDEX(pr_rate,MATCH(B1273,pr_code,0))),""))))</f>
        <v/>
      </c>
      <c r="L1273" s="65" t="str">
        <f>IF(COUNTA(A1273:G1273)=0,"",IF(AND(ISNUMBER(D1273),ISNUMBER(J1273)),ROUND(D1273*J1273*(1-N(F1273)),2),0))</f>
        <v/>
      </c>
      <c r="M1273" s="62" t="str">
        <f>IF(A1273="","",IFERROR(INDEX(dv_cname,MATCH(A1273,dv_num,0))&amp;"",""))</f>
        <v/>
      </c>
      <c r="N1273" s="59" t="str">
        <f>IF(COUNTA(A1273:G1273)=0,"",IF(A1273="","N° devis manquant",IF(ISNA(MATCH(A1273,dv_num,0)),"Devis inconnu",IF(AND(B1273&lt;&gt;"",ISNA(MATCH(B1273,pr_code,0))),"Article inconnu",IF(H1273="","Désignation manquante",IF(OR(NOT(ISNUMBER(D1273)),N(D1273)&lt;=0),"Quantité invalide",IF(J1273="","Prix manquant",IF(OR(NOT(ISNUMBER(J1273)),N(J1273)&lt;0),"Prix invalide",IF(OR(AND(F1273&lt;&gt;"",NOT(ISNUMBER(F1273))),N(F1273)&lt;0,N(F1273)&gt;1),"Remise invalide",IF(K1273="","Taux de TVA manquant",IF(NOT(ISNUMBER(K1273)),"Taux de TVA invalide",IF(COUNTIF(p_rates,K1273)=0,"Taux de TVA hors liste (Paramètres)",IF(N(O1273)&gt;25,"Au-delà de 25 lignes : non imprimée","OK")))))))))))))</f>
        <v/>
      </c>
      <c r="O1273" s="59" t="str">
        <f>IF(A1273="","",COUNTIF($A$6:A1273,A1273))</f>
        <v/>
      </c>
      <c r="P1273" s="62" t="str">
        <f>IF(A1273="","",A1273&amp;"|"&amp;O1273)</f>
        <v/>
      </c>
    </row>
    <row r="1274">
      <c r="A1274" s="60" t="n"/>
      <c r="B1274" s="63" t="n"/>
      <c r="C1274" s="63" t="n"/>
      <c r="D1274" s="67" t="n"/>
      <c r="E1274" s="68" t="n"/>
      <c r="F1274" s="69" t="n"/>
      <c r="G1274" s="70" t="n"/>
      <c r="H1274" s="62" t="str">
        <f>IF(COUNTA(A1274:G1274)=0,"",IF(C1274&lt;&gt;"",C1274,IF(B1274="","",IFERROR(INDEX(pr_des,MATCH(B1274,pr_code,0))&amp;"",""))))</f>
        <v/>
      </c>
      <c r="I1274" s="59" t="str">
        <f>IF(B1274="","",IFERROR(INDEX(pr_unit,MATCH(B1274,pr_code,0))&amp;"",""))</f>
        <v/>
      </c>
      <c r="J1274" s="65" t="str">
        <f>IF(COUNTA(A1274:G1274)=0,"",IF(E1274&lt;&gt;"",E1274,IF(B1274="","",IFERROR(IF(INDEX(pr_price,MATCH(B1274,pr_code,0))="","",INDEX(pr_price,MATCH(B1274,pr_code,0))),""))))</f>
        <v/>
      </c>
      <c r="K1274" s="71" t="str">
        <f>IF(COUNTA(A1274:G1274)=0,"",IF(G1274&lt;&gt;"",G1274,IF(B1274="","",IFERROR(IF(INDEX(pr_rate,MATCH(B1274,pr_code,0))="","",INDEX(pr_rate,MATCH(B1274,pr_code,0))),""))))</f>
        <v/>
      </c>
      <c r="L1274" s="65" t="str">
        <f>IF(COUNTA(A1274:G1274)=0,"",IF(AND(ISNUMBER(D1274),ISNUMBER(J1274)),ROUND(D1274*J1274*(1-N(F1274)),2),0))</f>
        <v/>
      </c>
      <c r="M1274" s="62" t="str">
        <f>IF(A1274="","",IFERROR(INDEX(dv_cname,MATCH(A1274,dv_num,0))&amp;"",""))</f>
        <v/>
      </c>
      <c r="N1274" s="59" t="str">
        <f>IF(COUNTA(A1274:G1274)=0,"",IF(A1274="","N° devis manquant",IF(ISNA(MATCH(A1274,dv_num,0)),"Devis inconnu",IF(AND(B1274&lt;&gt;"",ISNA(MATCH(B1274,pr_code,0))),"Article inconnu",IF(H1274="","Désignation manquante",IF(OR(NOT(ISNUMBER(D1274)),N(D1274)&lt;=0),"Quantité invalide",IF(J1274="","Prix manquant",IF(OR(NOT(ISNUMBER(J1274)),N(J1274)&lt;0),"Prix invalide",IF(OR(AND(F1274&lt;&gt;"",NOT(ISNUMBER(F1274))),N(F1274)&lt;0,N(F1274)&gt;1),"Remise invalide",IF(K1274="","Taux de TVA manquant",IF(NOT(ISNUMBER(K1274)),"Taux de TVA invalide",IF(COUNTIF(p_rates,K1274)=0,"Taux de TVA hors liste (Paramètres)",IF(N(O1274)&gt;25,"Au-delà de 25 lignes : non imprimée","OK")))))))))))))</f>
        <v/>
      </c>
      <c r="O1274" s="59" t="str">
        <f>IF(A1274="","",COUNTIF($A$6:A1274,A1274))</f>
        <v/>
      </c>
      <c r="P1274" s="62" t="str">
        <f>IF(A1274="","",A1274&amp;"|"&amp;O1274)</f>
        <v/>
      </c>
    </row>
    <row r="1275">
      <c r="A1275" s="60" t="n"/>
      <c r="B1275" s="63" t="n"/>
      <c r="C1275" s="63" t="n"/>
      <c r="D1275" s="67" t="n"/>
      <c r="E1275" s="68" t="n"/>
      <c r="F1275" s="69" t="n"/>
      <c r="G1275" s="70" t="n"/>
      <c r="H1275" s="62" t="str">
        <f>IF(COUNTA(A1275:G1275)=0,"",IF(C1275&lt;&gt;"",C1275,IF(B1275="","",IFERROR(INDEX(pr_des,MATCH(B1275,pr_code,0))&amp;"",""))))</f>
        <v/>
      </c>
      <c r="I1275" s="59" t="str">
        <f>IF(B1275="","",IFERROR(INDEX(pr_unit,MATCH(B1275,pr_code,0))&amp;"",""))</f>
        <v/>
      </c>
      <c r="J1275" s="65" t="str">
        <f>IF(COUNTA(A1275:G1275)=0,"",IF(E1275&lt;&gt;"",E1275,IF(B1275="","",IFERROR(IF(INDEX(pr_price,MATCH(B1275,pr_code,0))="","",INDEX(pr_price,MATCH(B1275,pr_code,0))),""))))</f>
        <v/>
      </c>
      <c r="K1275" s="71" t="str">
        <f>IF(COUNTA(A1275:G1275)=0,"",IF(G1275&lt;&gt;"",G1275,IF(B1275="","",IFERROR(IF(INDEX(pr_rate,MATCH(B1275,pr_code,0))="","",INDEX(pr_rate,MATCH(B1275,pr_code,0))),""))))</f>
        <v/>
      </c>
      <c r="L1275" s="65" t="str">
        <f>IF(COUNTA(A1275:G1275)=0,"",IF(AND(ISNUMBER(D1275),ISNUMBER(J1275)),ROUND(D1275*J1275*(1-N(F1275)),2),0))</f>
        <v/>
      </c>
      <c r="M1275" s="62" t="str">
        <f>IF(A1275="","",IFERROR(INDEX(dv_cname,MATCH(A1275,dv_num,0))&amp;"",""))</f>
        <v/>
      </c>
      <c r="N1275" s="59" t="str">
        <f>IF(COUNTA(A1275:G1275)=0,"",IF(A1275="","N° devis manquant",IF(ISNA(MATCH(A1275,dv_num,0)),"Devis inconnu",IF(AND(B1275&lt;&gt;"",ISNA(MATCH(B1275,pr_code,0))),"Article inconnu",IF(H1275="","Désignation manquante",IF(OR(NOT(ISNUMBER(D1275)),N(D1275)&lt;=0),"Quantité invalide",IF(J1275="","Prix manquant",IF(OR(NOT(ISNUMBER(J1275)),N(J1275)&lt;0),"Prix invalide",IF(OR(AND(F1275&lt;&gt;"",NOT(ISNUMBER(F1275))),N(F1275)&lt;0,N(F1275)&gt;1),"Remise invalide",IF(K1275="","Taux de TVA manquant",IF(NOT(ISNUMBER(K1275)),"Taux de TVA invalide",IF(COUNTIF(p_rates,K1275)=0,"Taux de TVA hors liste (Paramètres)",IF(N(O1275)&gt;25,"Au-delà de 25 lignes : non imprimée","OK")))))))))))))</f>
        <v/>
      </c>
      <c r="O1275" s="59" t="str">
        <f>IF(A1275="","",COUNTIF($A$6:A1275,A1275))</f>
        <v/>
      </c>
      <c r="P1275" s="62" t="str">
        <f>IF(A1275="","",A1275&amp;"|"&amp;O1275)</f>
        <v/>
      </c>
    </row>
    <row r="1276">
      <c r="A1276" s="60" t="n"/>
      <c r="B1276" s="63" t="n"/>
      <c r="C1276" s="63" t="n"/>
      <c r="D1276" s="67" t="n"/>
      <c r="E1276" s="68" t="n"/>
      <c r="F1276" s="69" t="n"/>
      <c r="G1276" s="70" t="n"/>
      <c r="H1276" s="62" t="str">
        <f>IF(COUNTA(A1276:G1276)=0,"",IF(C1276&lt;&gt;"",C1276,IF(B1276="","",IFERROR(INDEX(pr_des,MATCH(B1276,pr_code,0))&amp;"",""))))</f>
        <v/>
      </c>
      <c r="I1276" s="59" t="str">
        <f>IF(B1276="","",IFERROR(INDEX(pr_unit,MATCH(B1276,pr_code,0))&amp;"",""))</f>
        <v/>
      </c>
      <c r="J1276" s="65" t="str">
        <f>IF(COUNTA(A1276:G1276)=0,"",IF(E1276&lt;&gt;"",E1276,IF(B1276="","",IFERROR(IF(INDEX(pr_price,MATCH(B1276,pr_code,0))="","",INDEX(pr_price,MATCH(B1276,pr_code,0))),""))))</f>
        <v/>
      </c>
      <c r="K1276" s="71" t="str">
        <f>IF(COUNTA(A1276:G1276)=0,"",IF(G1276&lt;&gt;"",G1276,IF(B1276="","",IFERROR(IF(INDEX(pr_rate,MATCH(B1276,pr_code,0))="","",INDEX(pr_rate,MATCH(B1276,pr_code,0))),""))))</f>
        <v/>
      </c>
      <c r="L1276" s="65" t="str">
        <f>IF(COUNTA(A1276:G1276)=0,"",IF(AND(ISNUMBER(D1276),ISNUMBER(J1276)),ROUND(D1276*J1276*(1-N(F1276)),2),0))</f>
        <v/>
      </c>
      <c r="M1276" s="62" t="str">
        <f>IF(A1276="","",IFERROR(INDEX(dv_cname,MATCH(A1276,dv_num,0))&amp;"",""))</f>
        <v/>
      </c>
      <c r="N1276" s="59" t="str">
        <f>IF(COUNTA(A1276:G1276)=0,"",IF(A1276="","N° devis manquant",IF(ISNA(MATCH(A1276,dv_num,0)),"Devis inconnu",IF(AND(B1276&lt;&gt;"",ISNA(MATCH(B1276,pr_code,0))),"Article inconnu",IF(H1276="","Désignation manquante",IF(OR(NOT(ISNUMBER(D1276)),N(D1276)&lt;=0),"Quantité invalide",IF(J1276="","Prix manquant",IF(OR(NOT(ISNUMBER(J1276)),N(J1276)&lt;0),"Prix invalide",IF(OR(AND(F1276&lt;&gt;"",NOT(ISNUMBER(F1276))),N(F1276)&lt;0,N(F1276)&gt;1),"Remise invalide",IF(K1276="","Taux de TVA manquant",IF(NOT(ISNUMBER(K1276)),"Taux de TVA invalide",IF(COUNTIF(p_rates,K1276)=0,"Taux de TVA hors liste (Paramètres)",IF(N(O1276)&gt;25,"Au-delà de 25 lignes : non imprimée","OK")))))))))))))</f>
        <v/>
      </c>
      <c r="O1276" s="59" t="str">
        <f>IF(A1276="","",COUNTIF($A$6:A1276,A1276))</f>
        <v/>
      </c>
      <c r="P1276" s="62" t="str">
        <f>IF(A1276="","",A1276&amp;"|"&amp;O1276)</f>
        <v/>
      </c>
    </row>
    <row r="1277">
      <c r="A1277" s="60" t="n"/>
      <c r="B1277" s="63" t="n"/>
      <c r="C1277" s="63" t="n"/>
      <c r="D1277" s="67" t="n"/>
      <c r="E1277" s="68" t="n"/>
      <c r="F1277" s="69" t="n"/>
      <c r="G1277" s="70" t="n"/>
      <c r="H1277" s="62" t="str">
        <f>IF(COUNTA(A1277:G1277)=0,"",IF(C1277&lt;&gt;"",C1277,IF(B1277="","",IFERROR(INDEX(pr_des,MATCH(B1277,pr_code,0))&amp;"",""))))</f>
        <v/>
      </c>
      <c r="I1277" s="59" t="str">
        <f>IF(B1277="","",IFERROR(INDEX(pr_unit,MATCH(B1277,pr_code,0))&amp;"",""))</f>
        <v/>
      </c>
      <c r="J1277" s="65" t="str">
        <f>IF(COUNTA(A1277:G1277)=0,"",IF(E1277&lt;&gt;"",E1277,IF(B1277="","",IFERROR(IF(INDEX(pr_price,MATCH(B1277,pr_code,0))="","",INDEX(pr_price,MATCH(B1277,pr_code,0))),""))))</f>
        <v/>
      </c>
      <c r="K1277" s="71" t="str">
        <f>IF(COUNTA(A1277:G1277)=0,"",IF(G1277&lt;&gt;"",G1277,IF(B1277="","",IFERROR(IF(INDEX(pr_rate,MATCH(B1277,pr_code,0))="","",INDEX(pr_rate,MATCH(B1277,pr_code,0))),""))))</f>
        <v/>
      </c>
      <c r="L1277" s="65" t="str">
        <f>IF(COUNTA(A1277:G1277)=0,"",IF(AND(ISNUMBER(D1277),ISNUMBER(J1277)),ROUND(D1277*J1277*(1-N(F1277)),2),0))</f>
        <v/>
      </c>
      <c r="M1277" s="62" t="str">
        <f>IF(A1277="","",IFERROR(INDEX(dv_cname,MATCH(A1277,dv_num,0))&amp;"",""))</f>
        <v/>
      </c>
      <c r="N1277" s="59" t="str">
        <f>IF(COUNTA(A1277:G1277)=0,"",IF(A1277="","N° devis manquant",IF(ISNA(MATCH(A1277,dv_num,0)),"Devis inconnu",IF(AND(B1277&lt;&gt;"",ISNA(MATCH(B1277,pr_code,0))),"Article inconnu",IF(H1277="","Désignation manquante",IF(OR(NOT(ISNUMBER(D1277)),N(D1277)&lt;=0),"Quantité invalide",IF(J1277="","Prix manquant",IF(OR(NOT(ISNUMBER(J1277)),N(J1277)&lt;0),"Prix invalide",IF(OR(AND(F1277&lt;&gt;"",NOT(ISNUMBER(F1277))),N(F1277)&lt;0,N(F1277)&gt;1),"Remise invalide",IF(K1277="","Taux de TVA manquant",IF(NOT(ISNUMBER(K1277)),"Taux de TVA invalide",IF(COUNTIF(p_rates,K1277)=0,"Taux de TVA hors liste (Paramètres)",IF(N(O1277)&gt;25,"Au-delà de 25 lignes : non imprimée","OK")))))))))))))</f>
        <v/>
      </c>
      <c r="O1277" s="59" t="str">
        <f>IF(A1277="","",COUNTIF($A$6:A1277,A1277))</f>
        <v/>
      </c>
      <c r="P1277" s="62" t="str">
        <f>IF(A1277="","",A1277&amp;"|"&amp;O1277)</f>
        <v/>
      </c>
    </row>
    <row r="1278">
      <c r="A1278" s="60" t="n"/>
      <c r="B1278" s="63" t="n"/>
      <c r="C1278" s="63" t="n"/>
      <c r="D1278" s="67" t="n"/>
      <c r="E1278" s="68" t="n"/>
      <c r="F1278" s="69" t="n"/>
      <c r="G1278" s="70" t="n"/>
      <c r="H1278" s="62" t="str">
        <f>IF(COUNTA(A1278:G1278)=0,"",IF(C1278&lt;&gt;"",C1278,IF(B1278="","",IFERROR(INDEX(pr_des,MATCH(B1278,pr_code,0))&amp;"",""))))</f>
        <v/>
      </c>
      <c r="I1278" s="59" t="str">
        <f>IF(B1278="","",IFERROR(INDEX(pr_unit,MATCH(B1278,pr_code,0))&amp;"",""))</f>
        <v/>
      </c>
      <c r="J1278" s="65" t="str">
        <f>IF(COUNTA(A1278:G1278)=0,"",IF(E1278&lt;&gt;"",E1278,IF(B1278="","",IFERROR(IF(INDEX(pr_price,MATCH(B1278,pr_code,0))="","",INDEX(pr_price,MATCH(B1278,pr_code,0))),""))))</f>
        <v/>
      </c>
      <c r="K1278" s="71" t="str">
        <f>IF(COUNTA(A1278:G1278)=0,"",IF(G1278&lt;&gt;"",G1278,IF(B1278="","",IFERROR(IF(INDEX(pr_rate,MATCH(B1278,pr_code,0))="","",INDEX(pr_rate,MATCH(B1278,pr_code,0))),""))))</f>
        <v/>
      </c>
      <c r="L1278" s="65" t="str">
        <f>IF(COUNTA(A1278:G1278)=0,"",IF(AND(ISNUMBER(D1278),ISNUMBER(J1278)),ROUND(D1278*J1278*(1-N(F1278)),2),0))</f>
        <v/>
      </c>
      <c r="M1278" s="62" t="str">
        <f>IF(A1278="","",IFERROR(INDEX(dv_cname,MATCH(A1278,dv_num,0))&amp;"",""))</f>
        <v/>
      </c>
      <c r="N1278" s="59" t="str">
        <f>IF(COUNTA(A1278:G1278)=0,"",IF(A1278="","N° devis manquant",IF(ISNA(MATCH(A1278,dv_num,0)),"Devis inconnu",IF(AND(B1278&lt;&gt;"",ISNA(MATCH(B1278,pr_code,0))),"Article inconnu",IF(H1278="","Désignation manquante",IF(OR(NOT(ISNUMBER(D1278)),N(D1278)&lt;=0),"Quantité invalide",IF(J1278="","Prix manquant",IF(OR(NOT(ISNUMBER(J1278)),N(J1278)&lt;0),"Prix invalide",IF(OR(AND(F1278&lt;&gt;"",NOT(ISNUMBER(F1278))),N(F1278)&lt;0,N(F1278)&gt;1),"Remise invalide",IF(K1278="","Taux de TVA manquant",IF(NOT(ISNUMBER(K1278)),"Taux de TVA invalide",IF(COUNTIF(p_rates,K1278)=0,"Taux de TVA hors liste (Paramètres)",IF(N(O1278)&gt;25,"Au-delà de 25 lignes : non imprimée","OK")))))))))))))</f>
        <v/>
      </c>
      <c r="O1278" s="59" t="str">
        <f>IF(A1278="","",COUNTIF($A$6:A1278,A1278))</f>
        <v/>
      </c>
      <c r="P1278" s="62" t="str">
        <f>IF(A1278="","",A1278&amp;"|"&amp;O1278)</f>
        <v/>
      </c>
    </row>
    <row r="1279">
      <c r="A1279" s="60" t="n"/>
      <c r="B1279" s="63" t="n"/>
      <c r="C1279" s="63" t="n"/>
      <c r="D1279" s="67" t="n"/>
      <c r="E1279" s="68" t="n"/>
      <c r="F1279" s="69" t="n"/>
      <c r="G1279" s="70" t="n"/>
      <c r="H1279" s="62" t="str">
        <f>IF(COUNTA(A1279:G1279)=0,"",IF(C1279&lt;&gt;"",C1279,IF(B1279="","",IFERROR(INDEX(pr_des,MATCH(B1279,pr_code,0))&amp;"",""))))</f>
        <v/>
      </c>
      <c r="I1279" s="59" t="str">
        <f>IF(B1279="","",IFERROR(INDEX(pr_unit,MATCH(B1279,pr_code,0))&amp;"",""))</f>
        <v/>
      </c>
      <c r="J1279" s="65" t="str">
        <f>IF(COUNTA(A1279:G1279)=0,"",IF(E1279&lt;&gt;"",E1279,IF(B1279="","",IFERROR(IF(INDEX(pr_price,MATCH(B1279,pr_code,0))="","",INDEX(pr_price,MATCH(B1279,pr_code,0))),""))))</f>
        <v/>
      </c>
      <c r="K1279" s="71" t="str">
        <f>IF(COUNTA(A1279:G1279)=0,"",IF(G1279&lt;&gt;"",G1279,IF(B1279="","",IFERROR(IF(INDEX(pr_rate,MATCH(B1279,pr_code,0))="","",INDEX(pr_rate,MATCH(B1279,pr_code,0))),""))))</f>
        <v/>
      </c>
      <c r="L1279" s="65" t="str">
        <f>IF(COUNTA(A1279:G1279)=0,"",IF(AND(ISNUMBER(D1279),ISNUMBER(J1279)),ROUND(D1279*J1279*(1-N(F1279)),2),0))</f>
        <v/>
      </c>
      <c r="M1279" s="62" t="str">
        <f>IF(A1279="","",IFERROR(INDEX(dv_cname,MATCH(A1279,dv_num,0))&amp;"",""))</f>
        <v/>
      </c>
      <c r="N1279" s="59" t="str">
        <f>IF(COUNTA(A1279:G1279)=0,"",IF(A1279="","N° devis manquant",IF(ISNA(MATCH(A1279,dv_num,0)),"Devis inconnu",IF(AND(B1279&lt;&gt;"",ISNA(MATCH(B1279,pr_code,0))),"Article inconnu",IF(H1279="","Désignation manquante",IF(OR(NOT(ISNUMBER(D1279)),N(D1279)&lt;=0),"Quantité invalide",IF(J1279="","Prix manquant",IF(OR(NOT(ISNUMBER(J1279)),N(J1279)&lt;0),"Prix invalide",IF(OR(AND(F1279&lt;&gt;"",NOT(ISNUMBER(F1279))),N(F1279)&lt;0,N(F1279)&gt;1),"Remise invalide",IF(K1279="","Taux de TVA manquant",IF(NOT(ISNUMBER(K1279)),"Taux de TVA invalide",IF(COUNTIF(p_rates,K1279)=0,"Taux de TVA hors liste (Paramètres)",IF(N(O1279)&gt;25,"Au-delà de 25 lignes : non imprimée","OK")))))))))))))</f>
        <v/>
      </c>
      <c r="O1279" s="59" t="str">
        <f>IF(A1279="","",COUNTIF($A$6:A1279,A1279))</f>
        <v/>
      </c>
      <c r="P1279" s="62" t="str">
        <f>IF(A1279="","",A1279&amp;"|"&amp;O1279)</f>
        <v/>
      </c>
    </row>
    <row r="1280">
      <c r="A1280" s="60" t="n"/>
      <c r="B1280" s="63" t="n"/>
      <c r="C1280" s="63" t="n"/>
      <c r="D1280" s="67" t="n"/>
      <c r="E1280" s="68" t="n"/>
      <c r="F1280" s="69" t="n"/>
      <c r="G1280" s="70" t="n"/>
      <c r="H1280" s="62" t="str">
        <f>IF(COUNTA(A1280:G1280)=0,"",IF(C1280&lt;&gt;"",C1280,IF(B1280="","",IFERROR(INDEX(pr_des,MATCH(B1280,pr_code,0))&amp;"",""))))</f>
        <v/>
      </c>
      <c r="I1280" s="59" t="str">
        <f>IF(B1280="","",IFERROR(INDEX(pr_unit,MATCH(B1280,pr_code,0))&amp;"",""))</f>
        <v/>
      </c>
      <c r="J1280" s="65" t="str">
        <f>IF(COUNTA(A1280:G1280)=0,"",IF(E1280&lt;&gt;"",E1280,IF(B1280="","",IFERROR(IF(INDEX(pr_price,MATCH(B1280,pr_code,0))="","",INDEX(pr_price,MATCH(B1280,pr_code,0))),""))))</f>
        <v/>
      </c>
      <c r="K1280" s="71" t="str">
        <f>IF(COUNTA(A1280:G1280)=0,"",IF(G1280&lt;&gt;"",G1280,IF(B1280="","",IFERROR(IF(INDEX(pr_rate,MATCH(B1280,pr_code,0))="","",INDEX(pr_rate,MATCH(B1280,pr_code,0))),""))))</f>
        <v/>
      </c>
      <c r="L1280" s="65" t="str">
        <f>IF(COUNTA(A1280:G1280)=0,"",IF(AND(ISNUMBER(D1280),ISNUMBER(J1280)),ROUND(D1280*J1280*(1-N(F1280)),2),0))</f>
        <v/>
      </c>
      <c r="M1280" s="62" t="str">
        <f>IF(A1280="","",IFERROR(INDEX(dv_cname,MATCH(A1280,dv_num,0))&amp;"",""))</f>
        <v/>
      </c>
      <c r="N1280" s="59" t="str">
        <f>IF(COUNTA(A1280:G1280)=0,"",IF(A1280="","N° devis manquant",IF(ISNA(MATCH(A1280,dv_num,0)),"Devis inconnu",IF(AND(B1280&lt;&gt;"",ISNA(MATCH(B1280,pr_code,0))),"Article inconnu",IF(H1280="","Désignation manquante",IF(OR(NOT(ISNUMBER(D1280)),N(D1280)&lt;=0),"Quantité invalide",IF(J1280="","Prix manquant",IF(OR(NOT(ISNUMBER(J1280)),N(J1280)&lt;0),"Prix invalide",IF(OR(AND(F1280&lt;&gt;"",NOT(ISNUMBER(F1280))),N(F1280)&lt;0,N(F1280)&gt;1),"Remise invalide",IF(K1280="","Taux de TVA manquant",IF(NOT(ISNUMBER(K1280)),"Taux de TVA invalide",IF(COUNTIF(p_rates,K1280)=0,"Taux de TVA hors liste (Paramètres)",IF(N(O1280)&gt;25,"Au-delà de 25 lignes : non imprimée","OK")))))))))))))</f>
        <v/>
      </c>
      <c r="O1280" s="59" t="str">
        <f>IF(A1280="","",COUNTIF($A$6:A1280,A1280))</f>
        <v/>
      </c>
      <c r="P1280" s="62" t="str">
        <f>IF(A1280="","",A1280&amp;"|"&amp;O1280)</f>
        <v/>
      </c>
    </row>
    <row r="1281">
      <c r="A1281" s="60" t="n"/>
      <c r="B1281" s="63" t="n"/>
      <c r="C1281" s="63" t="n"/>
      <c r="D1281" s="67" t="n"/>
      <c r="E1281" s="68" t="n"/>
      <c r="F1281" s="69" t="n"/>
      <c r="G1281" s="70" t="n"/>
      <c r="H1281" s="62" t="str">
        <f>IF(COUNTA(A1281:G1281)=0,"",IF(C1281&lt;&gt;"",C1281,IF(B1281="","",IFERROR(INDEX(pr_des,MATCH(B1281,pr_code,0))&amp;"",""))))</f>
        <v/>
      </c>
      <c r="I1281" s="59" t="str">
        <f>IF(B1281="","",IFERROR(INDEX(pr_unit,MATCH(B1281,pr_code,0))&amp;"",""))</f>
        <v/>
      </c>
      <c r="J1281" s="65" t="str">
        <f>IF(COUNTA(A1281:G1281)=0,"",IF(E1281&lt;&gt;"",E1281,IF(B1281="","",IFERROR(IF(INDEX(pr_price,MATCH(B1281,pr_code,0))="","",INDEX(pr_price,MATCH(B1281,pr_code,0))),""))))</f>
        <v/>
      </c>
      <c r="K1281" s="71" t="str">
        <f>IF(COUNTA(A1281:G1281)=0,"",IF(G1281&lt;&gt;"",G1281,IF(B1281="","",IFERROR(IF(INDEX(pr_rate,MATCH(B1281,pr_code,0))="","",INDEX(pr_rate,MATCH(B1281,pr_code,0))),""))))</f>
        <v/>
      </c>
      <c r="L1281" s="65" t="str">
        <f>IF(COUNTA(A1281:G1281)=0,"",IF(AND(ISNUMBER(D1281),ISNUMBER(J1281)),ROUND(D1281*J1281*(1-N(F1281)),2),0))</f>
        <v/>
      </c>
      <c r="M1281" s="62" t="str">
        <f>IF(A1281="","",IFERROR(INDEX(dv_cname,MATCH(A1281,dv_num,0))&amp;"",""))</f>
        <v/>
      </c>
      <c r="N1281" s="59" t="str">
        <f>IF(COUNTA(A1281:G1281)=0,"",IF(A1281="","N° devis manquant",IF(ISNA(MATCH(A1281,dv_num,0)),"Devis inconnu",IF(AND(B1281&lt;&gt;"",ISNA(MATCH(B1281,pr_code,0))),"Article inconnu",IF(H1281="","Désignation manquante",IF(OR(NOT(ISNUMBER(D1281)),N(D1281)&lt;=0),"Quantité invalide",IF(J1281="","Prix manquant",IF(OR(NOT(ISNUMBER(J1281)),N(J1281)&lt;0),"Prix invalide",IF(OR(AND(F1281&lt;&gt;"",NOT(ISNUMBER(F1281))),N(F1281)&lt;0,N(F1281)&gt;1),"Remise invalide",IF(K1281="","Taux de TVA manquant",IF(NOT(ISNUMBER(K1281)),"Taux de TVA invalide",IF(COUNTIF(p_rates,K1281)=0,"Taux de TVA hors liste (Paramètres)",IF(N(O1281)&gt;25,"Au-delà de 25 lignes : non imprimée","OK")))))))))))))</f>
        <v/>
      </c>
      <c r="O1281" s="59" t="str">
        <f>IF(A1281="","",COUNTIF($A$6:A1281,A1281))</f>
        <v/>
      </c>
      <c r="P1281" s="62" t="str">
        <f>IF(A1281="","",A1281&amp;"|"&amp;O1281)</f>
        <v/>
      </c>
    </row>
    <row r="1282">
      <c r="A1282" s="60" t="n"/>
      <c r="B1282" s="63" t="n"/>
      <c r="C1282" s="63" t="n"/>
      <c r="D1282" s="67" t="n"/>
      <c r="E1282" s="68" t="n"/>
      <c r="F1282" s="69" t="n"/>
      <c r="G1282" s="70" t="n"/>
      <c r="H1282" s="62" t="str">
        <f>IF(COUNTA(A1282:G1282)=0,"",IF(C1282&lt;&gt;"",C1282,IF(B1282="","",IFERROR(INDEX(pr_des,MATCH(B1282,pr_code,0))&amp;"",""))))</f>
        <v/>
      </c>
      <c r="I1282" s="59" t="str">
        <f>IF(B1282="","",IFERROR(INDEX(pr_unit,MATCH(B1282,pr_code,0))&amp;"",""))</f>
        <v/>
      </c>
      <c r="J1282" s="65" t="str">
        <f>IF(COUNTA(A1282:G1282)=0,"",IF(E1282&lt;&gt;"",E1282,IF(B1282="","",IFERROR(IF(INDEX(pr_price,MATCH(B1282,pr_code,0))="","",INDEX(pr_price,MATCH(B1282,pr_code,0))),""))))</f>
        <v/>
      </c>
      <c r="K1282" s="71" t="str">
        <f>IF(COUNTA(A1282:G1282)=0,"",IF(G1282&lt;&gt;"",G1282,IF(B1282="","",IFERROR(IF(INDEX(pr_rate,MATCH(B1282,pr_code,0))="","",INDEX(pr_rate,MATCH(B1282,pr_code,0))),""))))</f>
        <v/>
      </c>
      <c r="L1282" s="65" t="str">
        <f>IF(COUNTA(A1282:G1282)=0,"",IF(AND(ISNUMBER(D1282),ISNUMBER(J1282)),ROUND(D1282*J1282*(1-N(F1282)),2),0))</f>
        <v/>
      </c>
      <c r="M1282" s="62" t="str">
        <f>IF(A1282="","",IFERROR(INDEX(dv_cname,MATCH(A1282,dv_num,0))&amp;"",""))</f>
        <v/>
      </c>
      <c r="N1282" s="59" t="str">
        <f>IF(COUNTA(A1282:G1282)=0,"",IF(A1282="","N° devis manquant",IF(ISNA(MATCH(A1282,dv_num,0)),"Devis inconnu",IF(AND(B1282&lt;&gt;"",ISNA(MATCH(B1282,pr_code,0))),"Article inconnu",IF(H1282="","Désignation manquante",IF(OR(NOT(ISNUMBER(D1282)),N(D1282)&lt;=0),"Quantité invalide",IF(J1282="","Prix manquant",IF(OR(NOT(ISNUMBER(J1282)),N(J1282)&lt;0),"Prix invalide",IF(OR(AND(F1282&lt;&gt;"",NOT(ISNUMBER(F1282))),N(F1282)&lt;0,N(F1282)&gt;1),"Remise invalide",IF(K1282="","Taux de TVA manquant",IF(NOT(ISNUMBER(K1282)),"Taux de TVA invalide",IF(COUNTIF(p_rates,K1282)=0,"Taux de TVA hors liste (Paramètres)",IF(N(O1282)&gt;25,"Au-delà de 25 lignes : non imprimée","OK")))))))))))))</f>
        <v/>
      </c>
      <c r="O1282" s="59" t="str">
        <f>IF(A1282="","",COUNTIF($A$6:A1282,A1282))</f>
        <v/>
      </c>
      <c r="P1282" s="62" t="str">
        <f>IF(A1282="","",A1282&amp;"|"&amp;O1282)</f>
        <v/>
      </c>
    </row>
    <row r="1283">
      <c r="A1283" s="60" t="n"/>
      <c r="B1283" s="63" t="n"/>
      <c r="C1283" s="63" t="n"/>
      <c r="D1283" s="67" t="n"/>
      <c r="E1283" s="68" t="n"/>
      <c r="F1283" s="69" t="n"/>
      <c r="G1283" s="70" t="n"/>
      <c r="H1283" s="62" t="str">
        <f>IF(COUNTA(A1283:G1283)=0,"",IF(C1283&lt;&gt;"",C1283,IF(B1283="","",IFERROR(INDEX(pr_des,MATCH(B1283,pr_code,0))&amp;"",""))))</f>
        <v/>
      </c>
      <c r="I1283" s="59" t="str">
        <f>IF(B1283="","",IFERROR(INDEX(pr_unit,MATCH(B1283,pr_code,0))&amp;"",""))</f>
        <v/>
      </c>
      <c r="J1283" s="65" t="str">
        <f>IF(COUNTA(A1283:G1283)=0,"",IF(E1283&lt;&gt;"",E1283,IF(B1283="","",IFERROR(IF(INDEX(pr_price,MATCH(B1283,pr_code,0))="","",INDEX(pr_price,MATCH(B1283,pr_code,0))),""))))</f>
        <v/>
      </c>
      <c r="K1283" s="71" t="str">
        <f>IF(COUNTA(A1283:G1283)=0,"",IF(G1283&lt;&gt;"",G1283,IF(B1283="","",IFERROR(IF(INDEX(pr_rate,MATCH(B1283,pr_code,0))="","",INDEX(pr_rate,MATCH(B1283,pr_code,0))),""))))</f>
        <v/>
      </c>
      <c r="L1283" s="65" t="str">
        <f>IF(COUNTA(A1283:G1283)=0,"",IF(AND(ISNUMBER(D1283),ISNUMBER(J1283)),ROUND(D1283*J1283*(1-N(F1283)),2),0))</f>
        <v/>
      </c>
      <c r="M1283" s="62" t="str">
        <f>IF(A1283="","",IFERROR(INDEX(dv_cname,MATCH(A1283,dv_num,0))&amp;"",""))</f>
        <v/>
      </c>
      <c r="N1283" s="59" t="str">
        <f>IF(COUNTA(A1283:G1283)=0,"",IF(A1283="","N° devis manquant",IF(ISNA(MATCH(A1283,dv_num,0)),"Devis inconnu",IF(AND(B1283&lt;&gt;"",ISNA(MATCH(B1283,pr_code,0))),"Article inconnu",IF(H1283="","Désignation manquante",IF(OR(NOT(ISNUMBER(D1283)),N(D1283)&lt;=0),"Quantité invalide",IF(J1283="","Prix manquant",IF(OR(NOT(ISNUMBER(J1283)),N(J1283)&lt;0),"Prix invalide",IF(OR(AND(F1283&lt;&gt;"",NOT(ISNUMBER(F1283))),N(F1283)&lt;0,N(F1283)&gt;1),"Remise invalide",IF(K1283="","Taux de TVA manquant",IF(NOT(ISNUMBER(K1283)),"Taux de TVA invalide",IF(COUNTIF(p_rates,K1283)=0,"Taux de TVA hors liste (Paramètres)",IF(N(O1283)&gt;25,"Au-delà de 25 lignes : non imprimée","OK")))))))))))))</f>
        <v/>
      </c>
      <c r="O1283" s="59" t="str">
        <f>IF(A1283="","",COUNTIF($A$6:A1283,A1283))</f>
        <v/>
      </c>
      <c r="P1283" s="62" t="str">
        <f>IF(A1283="","",A1283&amp;"|"&amp;O1283)</f>
        <v/>
      </c>
    </row>
    <row r="1284">
      <c r="A1284" s="60" t="n"/>
      <c r="B1284" s="63" t="n"/>
      <c r="C1284" s="63" t="n"/>
      <c r="D1284" s="67" t="n"/>
      <c r="E1284" s="68" t="n"/>
      <c r="F1284" s="69" t="n"/>
      <c r="G1284" s="70" t="n"/>
      <c r="H1284" s="62" t="str">
        <f>IF(COUNTA(A1284:G1284)=0,"",IF(C1284&lt;&gt;"",C1284,IF(B1284="","",IFERROR(INDEX(pr_des,MATCH(B1284,pr_code,0))&amp;"",""))))</f>
        <v/>
      </c>
      <c r="I1284" s="59" t="str">
        <f>IF(B1284="","",IFERROR(INDEX(pr_unit,MATCH(B1284,pr_code,0))&amp;"",""))</f>
        <v/>
      </c>
      <c r="J1284" s="65" t="str">
        <f>IF(COUNTA(A1284:G1284)=0,"",IF(E1284&lt;&gt;"",E1284,IF(B1284="","",IFERROR(IF(INDEX(pr_price,MATCH(B1284,pr_code,0))="","",INDEX(pr_price,MATCH(B1284,pr_code,0))),""))))</f>
        <v/>
      </c>
      <c r="K1284" s="71" t="str">
        <f>IF(COUNTA(A1284:G1284)=0,"",IF(G1284&lt;&gt;"",G1284,IF(B1284="","",IFERROR(IF(INDEX(pr_rate,MATCH(B1284,pr_code,0))="","",INDEX(pr_rate,MATCH(B1284,pr_code,0))),""))))</f>
        <v/>
      </c>
      <c r="L1284" s="65" t="str">
        <f>IF(COUNTA(A1284:G1284)=0,"",IF(AND(ISNUMBER(D1284),ISNUMBER(J1284)),ROUND(D1284*J1284*(1-N(F1284)),2),0))</f>
        <v/>
      </c>
      <c r="M1284" s="62" t="str">
        <f>IF(A1284="","",IFERROR(INDEX(dv_cname,MATCH(A1284,dv_num,0))&amp;"",""))</f>
        <v/>
      </c>
      <c r="N1284" s="59" t="str">
        <f>IF(COUNTA(A1284:G1284)=0,"",IF(A1284="","N° devis manquant",IF(ISNA(MATCH(A1284,dv_num,0)),"Devis inconnu",IF(AND(B1284&lt;&gt;"",ISNA(MATCH(B1284,pr_code,0))),"Article inconnu",IF(H1284="","Désignation manquante",IF(OR(NOT(ISNUMBER(D1284)),N(D1284)&lt;=0),"Quantité invalide",IF(J1284="","Prix manquant",IF(OR(NOT(ISNUMBER(J1284)),N(J1284)&lt;0),"Prix invalide",IF(OR(AND(F1284&lt;&gt;"",NOT(ISNUMBER(F1284))),N(F1284)&lt;0,N(F1284)&gt;1),"Remise invalide",IF(K1284="","Taux de TVA manquant",IF(NOT(ISNUMBER(K1284)),"Taux de TVA invalide",IF(COUNTIF(p_rates,K1284)=0,"Taux de TVA hors liste (Paramètres)",IF(N(O1284)&gt;25,"Au-delà de 25 lignes : non imprimée","OK")))))))))))))</f>
        <v/>
      </c>
      <c r="O1284" s="59" t="str">
        <f>IF(A1284="","",COUNTIF($A$6:A1284,A1284))</f>
        <v/>
      </c>
      <c r="P1284" s="62" t="str">
        <f>IF(A1284="","",A1284&amp;"|"&amp;O1284)</f>
        <v/>
      </c>
    </row>
    <row r="1285">
      <c r="A1285" s="60" t="n"/>
      <c r="B1285" s="63" t="n"/>
      <c r="C1285" s="63" t="n"/>
      <c r="D1285" s="67" t="n"/>
      <c r="E1285" s="68" t="n"/>
      <c r="F1285" s="69" t="n"/>
      <c r="G1285" s="70" t="n"/>
      <c r="H1285" s="62" t="str">
        <f>IF(COUNTA(A1285:G1285)=0,"",IF(C1285&lt;&gt;"",C1285,IF(B1285="","",IFERROR(INDEX(pr_des,MATCH(B1285,pr_code,0))&amp;"",""))))</f>
        <v/>
      </c>
      <c r="I1285" s="59" t="str">
        <f>IF(B1285="","",IFERROR(INDEX(pr_unit,MATCH(B1285,pr_code,0))&amp;"",""))</f>
        <v/>
      </c>
      <c r="J1285" s="65" t="str">
        <f>IF(COUNTA(A1285:G1285)=0,"",IF(E1285&lt;&gt;"",E1285,IF(B1285="","",IFERROR(IF(INDEX(pr_price,MATCH(B1285,pr_code,0))="","",INDEX(pr_price,MATCH(B1285,pr_code,0))),""))))</f>
        <v/>
      </c>
      <c r="K1285" s="71" t="str">
        <f>IF(COUNTA(A1285:G1285)=0,"",IF(G1285&lt;&gt;"",G1285,IF(B1285="","",IFERROR(IF(INDEX(pr_rate,MATCH(B1285,pr_code,0))="","",INDEX(pr_rate,MATCH(B1285,pr_code,0))),""))))</f>
        <v/>
      </c>
      <c r="L1285" s="65" t="str">
        <f>IF(COUNTA(A1285:G1285)=0,"",IF(AND(ISNUMBER(D1285),ISNUMBER(J1285)),ROUND(D1285*J1285*(1-N(F1285)),2),0))</f>
        <v/>
      </c>
      <c r="M1285" s="62" t="str">
        <f>IF(A1285="","",IFERROR(INDEX(dv_cname,MATCH(A1285,dv_num,0))&amp;"",""))</f>
        <v/>
      </c>
      <c r="N1285" s="59" t="str">
        <f>IF(COUNTA(A1285:G1285)=0,"",IF(A1285="","N° devis manquant",IF(ISNA(MATCH(A1285,dv_num,0)),"Devis inconnu",IF(AND(B1285&lt;&gt;"",ISNA(MATCH(B1285,pr_code,0))),"Article inconnu",IF(H1285="","Désignation manquante",IF(OR(NOT(ISNUMBER(D1285)),N(D1285)&lt;=0),"Quantité invalide",IF(J1285="","Prix manquant",IF(OR(NOT(ISNUMBER(J1285)),N(J1285)&lt;0),"Prix invalide",IF(OR(AND(F1285&lt;&gt;"",NOT(ISNUMBER(F1285))),N(F1285)&lt;0,N(F1285)&gt;1),"Remise invalide",IF(K1285="","Taux de TVA manquant",IF(NOT(ISNUMBER(K1285)),"Taux de TVA invalide",IF(COUNTIF(p_rates,K1285)=0,"Taux de TVA hors liste (Paramètres)",IF(N(O1285)&gt;25,"Au-delà de 25 lignes : non imprimée","OK")))))))))))))</f>
        <v/>
      </c>
      <c r="O1285" s="59" t="str">
        <f>IF(A1285="","",COUNTIF($A$6:A1285,A1285))</f>
        <v/>
      </c>
      <c r="P1285" s="62" t="str">
        <f>IF(A1285="","",A1285&amp;"|"&amp;O1285)</f>
        <v/>
      </c>
    </row>
    <row r="1286">
      <c r="A1286" s="60" t="n"/>
      <c r="B1286" s="63" t="n"/>
      <c r="C1286" s="63" t="n"/>
      <c r="D1286" s="67" t="n"/>
      <c r="E1286" s="68" t="n"/>
      <c r="F1286" s="69" t="n"/>
      <c r="G1286" s="70" t="n"/>
      <c r="H1286" s="62" t="str">
        <f>IF(COUNTA(A1286:G1286)=0,"",IF(C1286&lt;&gt;"",C1286,IF(B1286="","",IFERROR(INDEX(pr_des,MATCH(B1286,pr_code,0))&amp;"",""))))</f>
        <v/>
      </c>
      <c r="I1286" s="59" t="str">
        <f>IF(B1286="","",IFERROR(INDEX(pr_unit,MATCH(B1286,pr_code,0))&amp;"",""))</f>
        <v/>
      </c>
      <c r="J1286" s="65" t="str">
        <f>IF(COUNTA(A1286:G1286)=0,"",IF(E1286&lt;&gt;"",E1286,IF(B1286="","",IFERROR(IF(INDEX(pr_price,MATCH(B1286,pr_code,0))="","",INDEX(pr_price,MATCH(B1286,pr_code,0))),""))))</f>
        <v/>
      </c>
      <c r="K1286" s="71" t="str">
        <f>IF(COUNTA(A1286:G1286)=0,"",IF(G1286&lt;&gt;"",G1286,IF(B1286="","",IFERROR(IF(INDEX(pr_rate,MATCH(B1286,pr_code,0))="","",INDEX(pr_rate,MATCH(B1286,pr_code,0))),""))))</f>
        <v/>
      </c>
      <c r="L1286" s="65" t="str">
        <f>IF(COUNTA(A1286:G1286)=0,"",IF(AND(ISNUMBER(D1286),ISNUMBER(J1286)),ROUND(D1286*J1286*(1-N(F1286)),2),0))</f>
        <v/>
      </c>
      <c r="M1286" s="62" t="str">
        <f>IF(A1286="","",IFERROR(INDEX(dv_cname,MATCH(A1286,dv_num,0))&amp;"",""))</f>
        <v/>
      </c>
      <c r="N1286" s="59" t="str">
        <f>IF(COUNTA(A1286:G1286)=0,"",IF(A1286="","N° devis manquant",IF(ISNA(MATCH(A1286,dv_num,0)),"Devis inconnu",IF(AND(B1286&lt;&gt;"",ISNA(MATCH(B1286,pr_code,0))),"Article inconnu",IF(H1286="","Désignation manquante",IF(OR(NOT(ISNUMBER(D1286)),N(D1286)&lt;=0),"Quantité invalide",IF(J1286="","Prix manquant",IF(OR(NOT(ISNUMBER(J1286)),N(J1286)&lt;0),"Prix invalide",IF(OR(AND(F1286&lt;&gt;"",NOT(ISNUMBER(F1286))),N(F1286)&lt;0,N(F1286)&gt;1),"Remise invalide",IF(K1286="","Taux de TVA manquant",IF(NOT(ISNUMBER(K1286)),"Taux de TVA invalide",IF(COUNTIF(p_rates,K1286)=0,"Taux de TVA hors liste (Paramètres)",IF(N(O1286)&gt;25,"Au-delà de 25 lignes : non imprimée","OK")))))))))))))</f>
        <v/>
      </c>
      <c r="O1286" s="59" t="str">
        <f>IF(A1286="","",COUNTIF($A$6:A1286,A1286))</f>
        <v/>
      </c>
      <c r="P1286" s="62" t="str">
        <f>IF(A1286="","",A1286&amp;"|"&amp;O1286)</f>
        <v/>
      </c>
    </row>
    <row r="1287">
      <c r="A1287" s="60" t="n"/>
      <c r="B1287" s="63" t="n"/>
      <c r="C1287" s="63" t="n"/>
      <c r="D1287" s="67" t="n"/>
      <c r="E1287" s="68" t="n"/>
      <c r="F1287" s="69" t="n"/>
      <c r="G1287" s="70" t="n"/>
      <c r="H1287" s="62" t="str">
        <f>IF(COUNTA(A1287:G1287)=0,"",IF(C1287&lt;&gt;"",C1287,IF(B1287="","",IFERROR(INDEX(pr_des,MATCH(B1287,pr_code,0))&amp;"",""))))</f>
        <v/>
      </c>
      <c r="I1287" s="59" t="str">
        <f>IF(B1287="","",IFERROR(INDEX(pr_unit,MATCH(B1287,pr_code,0))&amp;"",""))</f>
        <v/>
      </c>
      <c r="J1287" s="65" t="str">
        <f>IF(COUNTA(A1287:G1287)=0,"",IF(E1287&lt;&gt;"",E1287,IF(B1287="","",IFERROR(IF(INDEX(pr_price,MATCH(B1287,pr_code,0))="","",INDEX(pr_price,MATCH(B1287,pr_code,0))),""))))</f>
        <v/>
      </c>
      <c r="K1287" s="71" t="str">
        <f>IF(COUNTA(A1287:G1287)=0,"",IF(G1287&lt;&gt;"",G1287,IF(B1287="","",IFERROR(IF(INDEX(pr_rate,MATCH(B1287,pr_code,0))="","",INDEX(pr_rate,MATCH(B1287,pr_code,0))),""))))</f>
        <v/>
      </c>
      <c r="L1287" s="65" t="str">
        <f>IF(COUNTA(A1287:G1287)=0,"",IF(AND(ISNUMBER(D1287),ISNUMBER(J1287)),ROUND(D1287*J1287*(1-N(F1287)),2),0))</f>
        <v/>
      </c>
      <c r="M1287" s="62" t="str">
        <f>IF(A1287="","",IFERROR(INDEX(dv_cname,MATCH(A1287,dv_num,0))&amp;"",""))</f>
        <v/>
      </c>
      <c r="N1287" s="59" t="str">
        <f>IF(COUNTA(A1287:G1287)=0,"",IF(A1287="","N° devis manquant",IF(ISNA(MATCH(A1287,dv_num,0)),"Devis inconnu",IF(AND(B1287&lt;&gt;"",ISNA(MATCH(B1287,pr_code,0))),"Article inconnu",IF(H1287="","Désignation manquante",IF(OR(NOT(ISNUMBER(D1287)),N(D1287)&lt;=0),"Quantité invalide",IF(J1287="","Prix manquant",IF(OR(NOT(ISNUMBER(J1287)),N(J1287)&lt;0),"Prix invalide",IF(OR(AND(F1287&lt;&gt;"",NOT(ISNUMBER(F1287))),N(F1287)&lt;0,N(F1287)&gt;1),"Remise invalide",IF(K1287="","Taux de TVA manquant",IF(NOT(ISNUMBER(K1287)),"Taux de TVA invalide",IF(COUNTIF(p_rates,K1287)=0,"Taux de TVA hors liste (Paramètres)",IF(N(O1287)&gt;25,"Au-delà de 25 lignes : non imprimée","OK")))))))))))))</f>
        <v/>
      </c>
      <c r="O1287" s="59" t="str">
        <f>IF(A1287="","",COUNTIF($A$6:A1287,A1287))</f>
        <v/>
      </c>
      <c r="P1287" s="62" t="str">
        <f>IF(A1287="","",A1287&amp;"|"&amp;O1287)</f>
        <v/>
      </c>
    </row>
    <row r="1288">
      <c r="A1288" s="60" t="n"/>
      <c r="B1288" s="63" t="n"/>
      <c r="C1288" s="63" t="n"/>
      <c r="D1288" s="67" t="n"/>
      <c r="E1288" s="68" t="n"/>
      <c r="F1288" s="69" t="n"/>
      <c r="G1288" s="70" t="n"/>
      <c r="H1288" s="62" t="str">
        <f>IF(COUNTA(A1288:G1288)=0,"",IF(C1288&lt;&gt;"",C1288,IF(B1288="","",IFERROR(INDEX(pr_des,MATCH(B1288,pr_code,0))&amp;"",""))))</f>
        <v/>
      </c>
      <c r="I1288" s="59" t="str">
        <f>IF(B1288="","",IFERROR(INDEX(pr_unit,MATCH(B1288,pr_code,0))&amp;"",""))</f>
        <v/>
      </c>
      <c r="J1288" s="65" t="str">
        <f>IF(COUNTA(A1288:G1288)=0,"",IF(E1288&lt;&gt;"",E1288,IF(B1288="","",IFERROR(IF(INDEX(pr_price,MATCH(B1288,pr_code,0))="","",INDEX(pr_price,MATCH(B1288,pr_code,0))),""))))</f>
        <v/>
      </c>
      <c r="K1288" s="71" t="str">
        <f>IF(COUNTA(A1288:G1288)=0,"",IF(G1288&lt;&gt;"",G1288,IF(B1288="","",IFERROR(IF(INDEX(pr_rate,MATCH(B1288,pr_code,0))="","",INDEX(pr_rate,MATCH(B1288,pr_code,0))),""))))</f>
        <v/>
      </c>
      <c r="L1288" s="65" t="str">
        <f>IF(COUNTA(A1288:G1288)=0,"",IF(AND(ISNUMBER(D1288),ISNUMBER(J1288)),ROUND(D1288*J1288*(1-N(F1288)),2),0))</f>
        <v/>
      </c>
      <c r="M1288" s="62" t="str">
        <f>IF(A1288="","",IFERROR(INDEX(dv_cname,MATCH(A1288,dv_num,0))&amp;"",""))</f>
        <v/>
      </c>
      <c r="N1288" s="59" t="str">
        <f>IF(COUNTA(A1288:G1288)=0,"",IF(A1288="","N° devis manquant",IF(ISNA(MATCH(A1288,dv_num,0)),"Devis inconnu",IF(AND(B1288&lt;&gt;"",ISNA(MATCH(B1288,pr_code,0))),"Article inconnu",IF(H1288="","Désignation manquante",IF(OR(NOT(ISNUMBER(D1288)),N(D1288)&lt;=0),"Quantité invalide",IF(J1288="","Prix manquant",IF(OR(NOT(ISNUMBER(J1288)),N(J1288)&lt;0),"Prix invalide",IF(OR(AND(F1288&lt;&gt;"",NOT(ISNUMBER(F1288))),N(F1288)&lt;0,N(F1288)&gt;1),"Remise invalide",IF(K1288="","Taux de TVA manquant",IF(NOT(ISNUMBER(K1288)),"Taux de TVA invalide",IF(COUNTIF(p_rates,K1288)=0,"Taux de TVA hors liste (Paramètres)",IF(N(O1288)&gt;25,"Au-delà de 25 lignes : non imprimée","OK")))))))))))))</f>
        <v/>
      </c>
      <c r="O1288" s="59" t="str">
        <f>IF(A1288="","",COUNTIF($A$6:A1288,A1288))</f>
        <v/>
      </c>
      <c r="P1288" s="62" t="str">
        <f>IF(A1288="","",A1288&amp;"|"&amp;O1288)</f>
        <v/>
      </c>
    </row>
    <row r="1289">
      <c r="A1289" s="60" t="n"/>
      <c r="B1289" s="63" t="n"/>
      <c r="C1289" s="63" t="n"/>
      <c r="D1289" s="67" t="n"/>
      <c r="E1289" s="68" t="n"/>
      <c r="F1289" s="69" t="n"/>
      <c r="G1289" s="70" t="n"/>
      <c r="H1289" s="62" t="str">
        <f>IF(COUNTA(A1289:G1289)=0,"",IF(C1289&lt;&gt;"",C1289,IF(B1289="","",IFERROR(INDEX(pr_des,MATCH(B1289,pr_code,0))&amp;"",""))))</f>
        <v/>
      </c>
      <c r="I1289" s="59" t="str">
        <f>IF(B1289="","",IFERROR(INDEX(pr_unit,MATCH(B1289,pr_code,0))&amp;"",""))</f>
        <v/>
      </c>
      <c r="J1289" s="65" t="str">
        <f>IF(COUNTA(A1289:G1289)=0,"",IF(E1289&lt;&gt;"",E1289,IF(B1289="","",IFERROR(IF(INDEX(pr_price,MATCH(B1289,pr_code,0))="","",INDEX(pr_price,MATCH(B1289,pr_code,0))),""))))</f>
        <v/>
      </c>
      <c r="K1289" s="71" t="str">
        <f>IF(COUNTA(A1289:G1289)=0,"",IF(G1289&lt;&gt;"",G1289,IF(B1289="","",IFERROR(IF(INDEX(pr_rate,MATCH(B1289,pr_code,0))="","",INDEX(pr_rate,MATCH(B1289,pr_code,0))),""))))</f>
        <v/>
      </c>
      <c r="L1289" s="65" t="str">
        <f>IF(COUNTA(A1289:G1289)=0,"",IF(AND(ISNUMBER(D1289),ISNUMBER(J1289)),ROUND(D1289*J1289*(1-N(F1289)),2),0))</f>
        <v/>
      </c>
      <c r="M1289" s="62" t="str">
        <f>IF(A1289="","",IFERROR(INDEX(dv_cname,MATCH(A1289,dv_num,0))&amp;"",""))</f>
        <v/>
      </c>
      <c r="N1289" s="59" t="str">
        <f>IF(COUNTA(A1289:G1289)=0,"",IF(A1289="","N° devis manquant",IF(ISNA(MATCH(A1289,dv_num,0)),"Devis inconnu",IF(AND(B1289&lt;&gt;"",ISNA(MATCH(B1289,pr_code,0))),"Article inconnu",IF(H1289="","Désignation manquante",IF(OR(NOT(ISNUMBER(D1289)),N(D1289)&lt;=0),"Quantité invalide",IF(J1289="","Prix manquant",IF(OR(NOT(ISNUMBER(J1289)),N(J1289)&lt;0),"Prix invalide",IF(OR(AND(F1289&lt;&gt;"",NOT(ISNUMBER(F1289))),N(F1289)&lt;0,N(F1289)&gt;1),"Remise invalide",IF(K1289="","Taux de TVA manquant",IF(NOT(ISNUMBER(K1289)),"Taux de TVA invalide",IF(COUNTIF(p_rates,K1289)=0,"Taux de TVA hors liste (Paramètres)",IF(N(O1289)&gt;25,"Au-delà de 25 lignes : non imprimée","OK")))))))))))))</f>
        <v/>
      </c>
      <c r="O1289" s="59" t="str">
        <f>IF(A1289="","",COUNTIF($A$6:A1289,A1289))</f>
        <v/>
      </c>
      <c r="P1289" s="62" t="str">
        <f>IF(A1289="","",A1289&amp;"|"&amp;O1289)</f>
        <v/>
      </c>
    </row>
    <row r="1290">
      <c r="A1290" s="60" t="n"/>
      <c r="B1290" s="63" t="n"/>
      <c r="C1290" s="63" t="n"/>
      <c r="D1290" s="67" t="n"/>
      <c r="E1290" s="68" t="n"/>
      <c r="F1290" s="69" t="n"/>
      <c r="G1290" s="70" t="n"/>
      <c r="H1290" s="62" t="str">
        <f>IF(COUNTA(A1290:G1290)=0,"",IF(C1290&lt;&gt;"",C1290,IF(B1290="","",IFERROR(INDEX(pr_des,MATCH(B1290,pr_code,0))&amp;"",""))))</f>
        <v/>
      </c>
      <c r="I1290" s="59" t="str">
        <f>IF(B1290="","",IFERROR(INDEX(pr_unit,MATCH(B1290,pr_code,0))&amp;"",""))</f>
        <v/>
      </c>
      <c r="J1290" s="65" t="str">
        <f>IF(COUNTA(A1290:G1290)=0,"",IF(E1290&lt;&gt;"",E1290,IF(B1290="","",IFERROR(IF(INDEX(pr_price,MATCH(B1290,pr_code,0))="","",INDEX(pr_price,MATCH(B1290,pr_code,0))),""))))</f>
        <v/>
      </c>
      <c r="K1290" s="71" t="str">
        <f>IF(COUNTA(A1290:G1290)=0,"",IF(G1290&lt;&gt;"",G1290,IF(B1290="","",IFERROR(IF(INDEX(pr_rate,MATCH(B1290,pr_code,0))="","",INDEX(pr_rate,MATCH(B1290,pr_code,0))),""))))</f>
        <v/>
      </c>
      <c r="L1290" s="65" t="str">
        <f>IF(COUNTA(A1290:G1290)=0,"",IF(AND(ISNUMBER(D1290),ISNUMBER(J1290)),ROUND(D1290*J1290*(1-N(F1290)),2),0))</f>
        <v/>
      </c>
      <c r="M1290" s="62" t="str">
        <f>IF(A1290="","",IFERROR(INDEX(dv_cname,MATCH(A1290,dv_num,0))&amp;"",""))</f>
        <v/>
      </c>
      <c r="N1290" s="59" t="str">
        <f>IF(COUNTA(A1290:G1290)=0,"",IF(A1290="","N° devis manquant",IF(ISNA(MATCH(A1290,dv_num,0)),"Devis inconnu",IF(AND(B1290&lt;&gt;"",ISNA(MATCH(B1290,pr_code,0))),"Article inconnu",IF(H1290="","Désignation manquante",IF(OR(NOT(ISNUMBER(D1290)),N(D1290)&lt;=0),"Quantité invalide",IF(J1290="","Prix manquant",IF(OR(NOT(ISNUMBER(J1290)),N(J1290)&lt;0),"Prix invalide",IF(OR(AND(F1290&lt;&gt;"",NOT(ISNUMBER(F1290))),N(F1290)&lt;0,N(F1290)&gt;1),"Remise invalide",IF(K1290="","Taux de TVA manquant",IF(NOT(ISNUMBER(K1290)),"Taux de TVA invalide",IF(COUNTIF(p_rates,K1290)=0,"Taux de TVA hors liste (Paramètres)",IF(N(O1290)&gt;25,"Au-delà de 25 lignes : non imprimée","OK")))))))))))))</f>
        <v/>
      </c>
      <c r="O1290" s="59" t="str">
        <f>IF(A1290="","",COUNTIF($A$6:A1290,A1290))</f>
        <v/>
      </c>
      <c r="P1290" s="62" t="str">
        <f>IF(A1290="","",A1290&amp;"|"&amp;O1290)</f>
        <v/>
      </c>
    </row>
    <row r="1291">
      <c r="A1291" s="60" t="n"/>
      <c r="B1291" s="63" t="n"/>
      <c r="C1291" s="63" t="n"/>
      <c r="D1291" s="67" t="n"/>
      <c r="E1291" s="68" t="n"/>
      <c r="F1291" s="69" t="n"/>
      <c r="G1291" s="70" t="n"/>
      <c r="H1291" s="62" t="str">
        <f>IF(COUNTA(A1291:G1291)=0,"",IF(C1291&lt;&gt;"",C1291,IF(B1291="","",IFERROR(INDEX(pr_des,MATCH(B1291,pr_code,0))&amp;"",""))))</f>
        <v/>
      </c>
      <c r="I1291" s="59" t="str">
        <f>IF(B1291="","",IFERROR(INDEX(pr_unit,MATCH(B1291,pr_code,0))&amp;"",""))</f>
        <v/>
      </c>
      <c r="J1291" s="65" t="str">
        <f>IF(COUNTA(A1291:G1291)=0,"",IF(E1291&lt;&gt;"",E1291,IF(B1291="","",IFERROR(IF(INDEX(pr_price,MATCH(B1291,pr_code,0))="","",INDEX(pr_price,MATCH(B1291,pr_code,0))),""))))</f>
        <v/>
      </c>
      <c r="K1291" s="71" t="str">
        <f>IF(COUNTA(A1291:G1291)=0,"",IF(G1291&lt;&gt;"",G1291,IF(B1291="","",IFERROR(IF(INDEX(pr_rate,MATCH(B1291,pr_code,0))="","",INDEX(pr_rate,MATCH(B1291,pr_code,0))),""))))</f>
        <v/>
      </c>
      <c r="L1291" s="65" t="str">
        <f>IF(COUNTA(A1291:G1291)=0,"",IF(AND(ISNUMBER(D1291),ISNUMBER(J1291)),ROUND(D1291*J1291*(1-N(F1291)),2),0))</f>
        <v/>
      </c>
      <c r="M1291" s="62" t="str">
        <f>IF(A1291="","",IFERROR(INDEX(dv_cname,MATCH(A1291,dv_num,0))&amp;"",""))</f>
        <v/>
      </c>
      <c r="N1291" s="59" t="str">
        <f>IF(COUNTA(A1291:G1291)=0,"",IF(A1291="","N° devis manquant",IF(ISNA(MATCH(A1291,dv_num,0)),"Devis inconnu",IF(AND(B1291&lt;&gt;"",ISNA(MATCH(B1291,pr_code,0))),"Article inconnu",IF(H1291="","Désignation manquante",IF(OR(NOT(ISNUMBER(D1291)),N(D1291)&lt;=0),"Quantité invalide",IF(J1291="","Prix manquant",IF(OR(NOT(ISNUMBER(J1291)),N(J1291)&lt;0),"Prix invalide",IF(OR(AND(F1291&lt;&gt;"",NOT(ISNUMBER(F1291))),N(F1291)&lt;0,N(F1291)&gt;1),"Remise invalide",IF(K1291="","Taux de TVA manquant",IF(NOT(ISNUMBER(K1291)),"Taux de TVA invalide",IF(COUNTIF(p_rates,K1291)=0,"Taux de TVA hors liste (Paramètres)",IF(N(O1291)&gt;25,"Au-delà de 25 lignes : non imprimée","OK")))))))))))))</f>
        <v/>
      </c>
      <c r="O1291" s="59" t="str">
        <f>IF(A1291="","",COUNTIF($A$6:A1291,A1291))</f>
        <v/>
      </c>
      <c r="P1291" s="62" t="str">
        <f>IF(A1291="","",A1291&amp;"|"&amp;O1291)</f>
        <v/>
      </c>
    </row>
    <row r="1292">
      <c r="A1292" s="60" t="n"/>
      <c r="B1292" s="63" t="n"/>
      <c r="C1292" s="63" t="n"/>
      <c r="D1292" s="67" t="n"/>
      <c r="E1292" s="68" t="n"/>
      <c r="F1292" s="69" t="n"/>
      <c r="G1292" s="70" t="n"/>
      <c r="H1292" s="62" t="str">
        <f>IF(COUNTA(A1292:G1292)=0,"",IF(C1292&lt;&gt;"",C1292,IF(B1292="","",IFERROR(INDEX(pr_des,MATCH(B1292,pr_code,0))&amp;"",""))))</f>
        <v/>
      </c>
      <c r="I1292" s="59" t="str">
        <f>IF(B1292="","",IFERROR(INDEX(pr_unit,MATCH(B1292,pr_code,0))&amp;"",""))</f>
        <v/>
      </c>
      <c r="J1292" s="65" t="str">
        <f>IF(COUNTA(A1292:G1292)=0,"",IF(E1292&lt;&gt;"",E1292,IF(B1292="","",IFERROR(IF(INDEX(pr_price,MATCH(B1292,pr_code,0))="","",INDEX(pr_price,MATCH(B1292,pr_code,0))),""))))</f>
        <v/>
      </c>
      <c r="K1292" s="71" t="str">
        <f>IF(COUNTA(A1292:G1292)=0,"",IF(G1292&lt;&gt;"",G1292,IF(B1292="","",IFERROR(IF(INDEX(pr_rate,MATCH(B1292,pr_code,0))="","",INDEX(pr_rate,MATCH(B1292,pr_code,0))),""))))</f>
        <v/>
      </c>
      <c r="L1292" s="65" t="str">
        <f>IF(COUNTA(A1292:G1292)=0,"",IF(AND(ISNUMBER(D1292),ISNUMBER(J1292)),ROUND(D1292*J1292*(1-N(F1292)),2),0))</f>
        <v/>
      </c>
      <c r="M1292" s="62" t="str">
        <f>IF(A1292="","",IFERROR(INDEX(dv_cname,MATCH(A1292,dv_num,0))&amp;"",""))</f>
        <v/>
      </c>
      <c r="N1292" s="59" t="str">
        <f>IF(COUNTA(A1292:G1292)=0,"",IF(A1292="","N° devis manquant",IF(ISNA(MATCH(A1292,dv_num,0)),"Devis inconnu",IF(AND(B1292&lt;&gt;"",ISNA(MATCH(B1292,pr_code,0))),"Article inconnu",IF(H1292="","Désignation manquante",IF(OR(NOT(ISNUMBER(D1292)),N(D1292)&lt;=0),"Quantité invalide",IF(J1292="","Prix manquant",IF(OR(NOT(ISNUMBER(J1292)),N(J1292)&lt;0),"Prix invalide",IF(OR(AND(F1292&lt;&gt;"",NOT(ISNUMBER(F1292))),N(F1292)&lt;0,N(F1292)&gt;1),"Remise invalide",IF(K1292="","Taux de TVA manquant",IF(NOT(ISNUMBER(K1292)),"Taux de TVA invalide",IF(COUNTIF(p_rates,K1292)=0,"Taux de TVA hors liste (Paramètres)",IF(N(O1292)&gt;25,"Au-delà de 25 lignes : non imprimée","OK")))))))))))))</f>
        <v/>
      </c>
      <c r="O1292" s="59" t="str">
        <f>IF(A1292="","",COUNTIF($A$6:A1292,A1292))</f>
        <v/>
      </c>
      <c r="P1292" s="62" t="str">
        <f>IF(A1292="","",A1292&amp;"|"&amp;O1292)</f>
        <v/>
      </c>
    </row>
    <row r="1293">
      <c r="A1293" s="60" t="n"/>
      <c r="B1293" s="63" t="n"/>
      <c r="C1293" s="63" t="n"/>
      <c r="D1293" s="67" t="n"/>
      <c r="E1293" s="68" t="n"/>
      <c r="F1293" s="69" t="n"/>
      <c r="G1293" s="70" t="n"/>
      <c r="H1293" s="62" t="str">
        <f>IF(COUNTA(A1293:G1293)=0,"",IF(C1293&lt;&gt;"",C1293,IF(B1293="","",IFERROR(INDEX(pr_des,MATCH(B1293,pr_code,0))&amp;"",""))))</f>
        <v/>
      </c>
      <c r="I1293" s="59" t="str">
        <f>IF(B1293="","",IFERROR(INDEX(pr_unit,MATCH(B1293,pr_code,0))&amp;"",""))</f>
        <v/>
      </c>
      <c r="J1293" s="65" t="str">
        <f>IF(COUNTA(A1293:G1293)=0,"",IF(E1293&lt;&gt;"",E1293,IF(B1293="","",IFERROR(IF(INDEX(pr_price,MATCH(B1293,pr_code,0))="","",INDEX(pr_price,MATCH(B1293,pr_code,0))),""))))</f>
        <v/>
      </c>
      <c r="K1293" s="71" t="str">
        <f>IF(COUNTA(A1293:G1293)=0,"",IF(G1293&lt;&gt;"",G1293,IF(B1293="","",IFERROR(IF(INDEX(pr_rate,MATCH(B1293,pr_code,0))="","",INDEX(pr_rate,MATCH(B1293,pr_code,0))),""))))</f>
        <v/>
      </c>
      <c r="L1293" s="65" t="str">
        <f>IF(COUNTA(A1293:G1293)=0,"",IF(AND(ISNUMBER(D1293),ISNUMBER(J1293)),ROUND(D1293*J1293*(1-N(F1293)),2),0))</f>
        <v/>
      </c>
      <c r="M1293" s="62" t="str">
        <f>IF(A1293="","",IFERROR(INDEX(dv_cname,MATCH(A1293,dv_num,0))&amp;"",""))</f>
        <v/>
      </c>
      <c r="N1293" s="59" t="str">
        <f>IF(COUNTA(A1293:G1293)=0,"",IF(A1293="","N° devis manquant",IF(ISNA(MATCH(A1293,dv_num,0)),"Devis inconnu",IF(AND(B1293&lt;&gt;"",ISNA(MATCH(B1293,pr_code,0))),"Article inconnu",IF(H1293="","Désignation manquante",IF(OR(NOT(ISNUMBER(D1293)),N(D1293)&lt;=0),"Quantité invalide",IF(J1293="","Prix manquant",IF(OR(NOT(ISNUMBER(J1293)),N(J1293)&lt;0),"Prix invalide",IF(OR(AND(F1293&lt;&gt;"",NOT(ISNUMBER(F1293))),N(F1293)&lt;0,N(F1293)&gt;1),"Remise invalide",IF(K1293="","Taux de TVA manquant",IF(NOT(ISNUMBER(K1293)),"Taux de TVA invalide",IF(COUNTIF(p_rates,K1293)=0,"Taux de TVA hors liste (Paramètres)",IF(N(O1293)&gt;25,"Au-delà de 25 lignes : non imprimée","OK")))))))))))))</f>
        <v/>
      </c>
      <c r="O1293" s="59" t="str">
        <f>IF(A1293="","",COUNTIF($A$6:A1293,A1293))</f>
        <v/>
      </c>
      <c r="P1293" s="62" t="str">
        <f>IF(A1293="","",A1293&amp;"|"&amp;O1293)</f>
        <v/>
      </c>
    </row>
    <row r="1294">
      <c r="A1294" s="60" t="n"/>
      <c r="B1294" s="63" t="n"/>
      <c r="C1294" s="63" t="n"/>
      <c r="D1294" s="67" t="n"/>
      <c r="E1294" s="68" t="n"/>
      <c r="F1294" s="69" t="n"/>
      <c r="G1294" s="70" t="n"/>
      <c r="H1294" s="62" t="str">
        <f>IF(COUNTA(A1294:G1294)=0,"",IF(C1294&lt;&gt;"",C1294,IF(B1294="","",IFERROR(INDEX(pr_des,MATCH(B1294,pr_code,0))&amp;"",""))))</f>
        <v/>
      </c>
      <c r="I1294" s="59" t="str">
        <f>IF(B1294="","",IFERROR(INDEX(pr_unit,MATCH(B1294,pr_code,0))&amp;"",""))</f>
        <v/>
      </c>
      <c r="J1294" s="65" t="str">
        <f>IF(COUNTA(A1294:G1294)=0,"",IF(E1294&lt;&gt;"",E1294,IF(B1294="","",IFERROR(IF(INDEX(pr_price,MATCH(B1294,pr_code,0))="","",INDEX(pr_price,MATCH(B1294,pr_code,0))),""))))</f>
        <v/>
      </c>
      <c r="K1294" s="71" t="str">
        <f>IF(COUNTA(A1294:G1294)=0,"",IF(G1294&lt;&gt;"",G1294,IF(B1294="","",IFERROR(IF(INDEX(pr_rate,MATCH(B1294,pr_code,0))="","",INDEX(pr_rate,MATCH(B1294,pr_code,0))),""))))</f>
        <v/>
      </c>
      <c r="L1294" s="65" t="str">
        <f>IF(COUNTA(A1294:G1294)=0,"",IF(AND(ISNUMBER(D1294),ISNUMBER(J1294)),ROUND(D1294*J1294*(1-N(F1294)),2),0))</f>
        <v/>
      </c>
      <c r="M1294" s="62" t="str">
        <f>IF(A1294="","",IFERROR(INDEX(dv_cname,MATCH(A1294,dv_num,0))&amp;"",""))</f>
        <v/>
      </c>
      <c r="N1294" s="59" t="str">
        <f>IF(COUNTA(A1294:G1294)=0,"",IF(A1294="","N° devis manquant",IF(ISNA(MATCH(A1294,dv_num,0)),"Devis inconnu",IF(AND(B1294&lt;&gt;"",ISNA(MATCH(B1294,pr_code,0))),"Article inconnu",IF(H1294="","Désignation manquante",IF(OR(NOT(ISNUMBER(D1294)),N(D1294)&lt;=0),"Quantité invalide",IF(J1294="","Prix manquant",IF(OR(NOT(ISNUMBER(J1294)),N(J1294)&lt;0),"Prix invalide",IF(OR(AND(F1294&lt;&gt;"",NOT(ISNUMBER(F1294))),N(F1294)&lt;0,N(F1294)&gt;1),"Remise invalide",IF(K1294="","Taux de TVA manquant",IF(NOT(ISNUMBER(K1294)),"Taux de TVA invalide",IF(COUNTIF(p_rates,K1294)=0,"Taux de TVA hors liste (Paramètres)",IF(N(O1294)&gt;25,"Au-delà de 25 lignes : non imprimée","OK")))))))))))))</f>
        <v/>
      </c>
      <c r="O1294" s="59" t="str">
        <f>IF(A1294="","",COUNTIF($A$6:A1294,A1294))</f>
        <v/>
      </c>
      <c r="P1294" s="62" t="str">
        <f>IF(A1294="","",A1294&amp;"|"&amp;O1294)</f>
        <v/>
      </c>
    </row>
    <row r="1295">
      <c r="A1295" s="60" t="n"/>
      <c r="B1295" s="63" t="n"/>
      <c r="C1295" s="63" t="n"/>
      <c r="D1295" s="67" t="n"/>
      <c r="E1295" s="68" t="n"/>
      <c r="F1295" s="69" t="n"/>
      <c r="G1295" s="70" t="n"/>
      <c r="H1295" s="62" t="str">
        <f>IF(COUNTA(A1295:G1295)=0,"",IF(C1295&lt;&gt;"",C1295,IF(B1295="","",IFERROR(INDEX(pr_des,MATCH(B1295,pr_code,0))&amp;"",""))))</f>
        <v/>
      </c>
      <c r="I1295" s="59" t="str">
        <f>IF(B1295="","",IFERROR(INDEX(pr_unit,MATCH(B1295,pr_code,0))&amp;"",""))</f>
        <v/>
      </c>
      <c r="J1295" s="65" t="str">
        <f>IF(COUNTA(A1295:G1295)=0,"",IF(E1295&lt;&gt;"",E1295,IF(B1295="","",IFERROR(IF(INDEX(pr_price,MATCH(B1295,pr_code,0))="","",INDEX(pr_price,MATCH(B1295,pr_code,0))),""))))</f>
        <v/>
      </c>
      <c r="K1295" s="71" t="str">
        <f>IF(COUNTA(A1295:G1295)=0,"",IF(G1295&lt;&gt;"",G1295,IF(B1295="","",IFERROR(IF(INDEX(pr_rate,MATCH(B1295,pr_code,0))="","",INDEX(pr_rate,MATCH(B1295,pr_code,0))),""))))</f>
        <v/>
      </c>
      <c r="L1295" s="65" t="str">
        <f>IF(COUNTA(A1295:G1295)=0,"",IF(AND(ISNUMBER(D1295),ISNUMBER(J1295)),ROUND(D1295*J1295*(1-N(F1295)),2),0))</f>
        <v/>
      </c>
      <c r="M1295" s="62" t="str">
        <f>IF(A1295="","",IFERROR(INDEX(dv_cname,MATCH(A1295,dv_num,0))&amp;"",""))</f>
        <v/>
      </c>
      <c r="N1295" s="59" t="str">
        <f>IF(COUNTA(A1295:G1295)=0,"",IF(A1295="","N° devis manquant",IF(ISNA(MATCH(A1295,dv_num,0)),"Devis inconnu",IF(AND(B1295&lt;&gt;"",ISNA(MATCH(B1295,pr_code,0))),"Article inconnu",IF(H1295="","Désignation manquante",IF(OR(NOT(ISNUMBER(D1295)),N(D1295)&lt;=0),"Quantité invalide",IF(J1295="","Prix manquant",IF(OR(NOT(ISNUMBER(J1295)),N(J1295)&lt;0),"Prix invalide",IF(OR(AND(F1295&lt;&gt;"",NOT(ISNUMBER(F1295))),N(F1295)&lt;0,N(F1295)&gt;1),"Remise invalide",IF(K1295="","Taux de TVA manquant",IF(NOT(ISNUMBER(K1295)),"Taux de TVA invalide",IF(COUNTIF(p_rates,K1295)=0,"Taux de TVA hors liste (Paramètres)",IF(N(O1295)&gt;25,"Au-delà de 25 lignes : non imprimée","OK")))))))))))))</f>
        <v/>
      </c>
      <c r="O1295" s="59" t="str">
        <f>IF(A1295="","",COUNTIF($A$6:A1295,A1295))</f>
        <v/>
      </c>
      <c r="P1295" s="62" t="str">
        <f>IF(A1295="","",A1295&amp;"|"&amp;O1295)</f>
        <v/>
      </c>
    </row>
    <row r="1296">
      <c r="A1296" s="60" t="n"/>
      <c r="B1296" s="63" t="n"/>
      <c r="C1296" s="63" t="n"/>
      <c r="D1296" s="67" t="n"/>
      <c r="E1296" s="68" t="n"/>
      <c r="F1296" s="69" t="n"/>
      <c r="G1296" s="70" t="n"/>
      <c r="H1296" s="62" t="str">
        <f>IF(COUNTA(A1296:G1296)=0,"",IF(C1296&lt;&gt;"",C1296,IF(B1296="","",IFERROR(INDEX(pr_des,MATCH(B1296,pr_code,0))&amp;"",""))))</f>
        <v/>
      </c>
      <c r="I1296" s="59" t="str">
        <f>IF(B1296="","",IFERROR(INDEX(pr_unit,MATCH(B1296,pr_code,0))&amp;"",""))</f>
        <v/>
      </c>
      <c r="J1296" s="65" t="str">
        <f>IF(COUNTA(A1296:G1296)=0,"",IF(E1296&lt;&gt;"",E1296,IF(B1296="","",IFERROR(IF(INDEX(pr_price,MATCH(B1296,pr_code,0))="","",INDEX(pr_price,MATCH(B1296,pr_code,0))),""))))</f>
        <v/>
      </c>
      <c r="K1296" s="71" t="str">
        <f>IF(COUNTA(A1296:G1296)=0,"",IF(G1296&lt;&gt;"",G1296,IF(B1296="","",IFERROR(IF(INDEX(pr_rate,MATCH(B1296,pr_code,0))="","",INDEX(pr_rate,MATCH(B1296,pr_code,0))),""))))</f>
        <v/>
      </c>
      <c r="L1296" s="65" t="str">
        <f>IF(COUNTA(A1296:G1296)=0,"",IF(AND(ISNUMBER(D1296),ISNUMBER(J1296)),ROUND(D1296*J1296*(1-N(F1296)),2),0))</f>
        <v/>
      </c>
      <c r="M1296" s="62" t="str">
        <f>IF(A1296="","",IFERROR(INDEX(dv_cname,MATCH(A1296,dv_num,0))&amp;"",""))</f>
        <v/>
      </c>
      <c r="N1296" s="59" t="str">
        <f>IF(COUNTA(A1296:G1296)=0,"",IF(A1296="","N° devis manquant",IF(ISNA(MATCH(A1296,dv_num,0)),"Devis inconnu",IF(AND(B1296&lt;&gt;"",ISNA(MATCH(B1296,pr_code,0))),"Article inconnu",IF(H1296="","Désignation manquante",IF(OR(NOT(ISNUMBER(D1296)),N(D1296)&lt;=0),"Quantité invalide",IF(J1296="","Prix manquant",IF(OR(NOT(ISNUMBER(J1296)),N(J1296)&lt;0),"Prix invalide",IF(OR(AND(F1296&lt;&gt;"",NOT(ISNUMBER(F1296))),N(F1296)&lt;0,N(F1296)&gt;1),"Remise invalide",IF(K1296="","Taux de TVA manquant",IF(NOT(ISNUMBER(K1296)),"Taux de TVA invalide",IF(COUNTIF(p_rates,K1296)=0,"Taux de TVA hors liste (Paramètres)",IF(N(O1296)&gt;25,"Au-delà de 25 lignes : non imprimée","OK")))))))))))))</f>
        <v/>
      </c>
      <c r="O1296" s="59" t="str">
        <f>IF(A1296="","",COUNTIF($A$6:A1296,A1296))</f>
        <v/>
      </c>
      <c r="P1296" s="62" t="str">
        <f>IF(A1296="","",A1296&amp;"|"&amp;O1296)</f>
        <v/>
      </c>
    </row>
    <row r="1297">
      <c r="A1297" s="60" t="n"/>
      <c r="B1297" s="63" t="n"/>
      <c r="C1297" s="63" t="n"/>
      <c r="D1297" s="67" t="n"/>
      <c r="E1297" s="68" t="n"/>
      <c r="F1297" s="69" t="n"/>
      <c r="G1297" s="70" t="n"/>
      <c r="H1297" s="62" t="str">
        <f>IF(COUNTA(A1297:G1297)=0,"",IF(C1297&lt;&gt;"",C1297,IF(B1297="","",IFERROR(INDEX(pr_des,MATCH(B1297,pr_code,0))&amp;"",""))))</f>
        <v/>
      </c>
      <c r="I1297" s="59" t="str">
        <f>IF(B1297="","",IFERROR(INDEX(pr_unit,MATCH(B1297,pr_code,0))&amp;"",""))</f>
        <v/>
      </c>
      <c r="J1297" s="65" t="str">
        <f>IF(COUNTA(A1297:G1297)=0,"",IF(E1297&lt;&gt;"",E1297,IF(B1297="","",IFERROR(IF(INDEX(pr_price,MATCH(B1297,pr_code,0))="","",INDEX(pr_price,MATCH(B1297,pr_code,0))),""))))</f>
        <v/>
      </c>
      <c r="K1297" s="71" t="str">
        <f>IF(COUNTA(A1297:G1297)=0,"",IF(G1297&lt;&gt;"",G1297,IF(B1297="","",IFERROR(IF(INDEX(pr_rate,MATCH(B1297,pr_code,0))="","",INDEX(pr_rate,MATCH(B1297,pr_code,0))),""))))</f>
        <v/>
      </c>
      <c r="L1297" s="65" t="str">
        <f>IF(COUNTA(A1297:G1297)=0,"",IF(AND(ISNUMBER(D1297),ISNUMBER(J1297)),ROUND(D1297*J1297*(1-N(F1297)),2),0))</f>
        <v/>
      </c>
      <c r="M1297" s="62" t="str">
        <f>IF(A1297="","",IFERROR(INDEX(dv_cname,MATCH(A1297,dv_num,0))&amp;"",""))</f>
        <v/>
      </c>
      <c r="N1297" s="59" t="str">
        <f>IF(COUNTA(A1297:G1297)=0,"",IF(A1297="","N° devis manquant",IF(ISNA(MATCH(A1297,dv_num,0)),"Devis inconnu",IF(AND(B1297&lt;&gt;"",ISNA(MATCH(B1297,pr_code,0))),"Article inconnu",IF(H1297="","Désignation manquante",IF(OR(NOT(ISNUMBER(D1297)),N(D1297)&lt;=0),"Quantité invalide",IF(J1297="","Prix manquant",IF(OR(NOT(ISNUMBER(J1297)),N(J1297)&lt;0),"Prix invalide",IF(OR(AND(F1297&lt;&gt;"",NOT(ISNUMBER(F1297))),N(F1297)&lt;0,N(F1297)&gt;1),"Remise invalide",IF(K1297="","Taux de TVA manquant",IF(NOT(ISNUMBER(K1297)),"Taux de TVA invalide",IF(COUNTIF(p_rates,K1297)=0,"Taux de TVA hors liste (Paramètres)",IF(N(O1297)&gt;25,"Au-delà de 25 lignes : non imprimée","OK")))))))))))))</f>
        <v/>
      </c>
      <c r="O1297" s="59" t="str">
        <f>IF(A1297="","",COUNTIF($A$6:A1297,A1297))</f>
        <v/>
      </c>
      <c r="P1297" s="62" t="str">
        <f>IF(A1297="","",A1297&amp;"|"&amp;O1297)</f>
        <v/>
      </c>
    </row>
    <row r="1298">
      <c r="A1298" s="60" t="n"/>
      <c r="B1298" s="63" t="n"/>
      <c r="C1298" s="63" t="n"/>
      <c r="D1298" s="67" t="n"/>
      <c r="E1298" s="68" t="n"/>
      <c r="F1298" s="69" t="n"/>
      <c r="G1298" s="70" t="n"/>
      <c r="H1298" s="62" t="str">
        <f>IF(COUNTA(A1298:G1298)=0,"",IF(C1298&lt;&gt;"",C1298,IF(B1298="","",IFERROR(INDEX(pr_des,MATCH(B1298,pr_code,0))&amp;"",""))))</f>
        <v/>
      </c>
      <c r="I1298" s="59" t="str">
        <f>IF(B1298="","",IFERROR(INDEX(pr_unit,MATCH(B1298,pr_code,0))&amp;"",""))</f>
        <v/>
      </c>
      <c r="J1298" s="65" t="str">
        <f>IF(COUNTA(A1298:G1298)=0,"",IF(E1298&lt;&gt;"",E1298,IF(B1298="","",IFERROR(IF(INDEX(pr_price,MATCH(B1298,pr_code,0))="","",INDEX(pr_price,MATCH(B1298,pr_code,0))),""))))</f>
        <v/>
      </c>
      <c r="K1298" s="71" t="str">
        <f>IF(COUNTA(A1298:G1298)=0,"",IF(G1298&lt;&gt;"",G1298,IF(B1298="","",IFERROR(IF(INDEX(pr_rate,MATCH(B1298,pr_code,0))="","",INDEX(pr_rate,MATCH(B1298,pr_code,0))),""))))</f>
        <v/>
      </c>
      <c r="L1298" s="65" t="str">
        <f>IF(COUNTA(A1298:G1298)=0,"",IF(AND(ISNUMBER(D1298),ISNUMBER(J1298)),ROUND(D1298*J1298*(1-N(F1298)),2),0))</f>
        <v/>
      </c>
      <c r="M1298" s="62" t="str">
        <f>IF(A1298="","",IFERROR(INDEX(dv_cname,MATCH(A1298,dv_num,0))&amp;"",""))</f>
        <v/>
      </c>
      <c r="N1298" s="59" t="str">
        <f>IF(COUNTA(A1298:G1298)=0,"",IF(A1298="","N° devis manquant",IF(ISNA(MATCH(A1298,dv_num,0)),"Devis inconnu",IF(AND(B1298&lt;&gt;"",ISNA(MATCH(B1298,pr_code,0))),"Article inconnu",IF(H1298="","Désignation manquante",IF(OR(NOT(ISNUMBER(D1298)),N(D1298)&lt;=0),"Quantité invalide",IF(J1298="","Prix manquant",IF(OR(NOT(ISNUMBER(J1298)),N(J1298)&lt;0),"Prix invalide",IF(OR(AND(F1298&lt;&gt;"",NOT(ISNUMBER(F1298))),N(F1298)&lt;0,N(F1298)&gt;1),"Remise invalide",IF(K1298="","Taux de TVA manquant",IF(NOT(ISNUMBER(K1298)),"Taux de TVA invalide",IF(COUNTIF(p_rates,K1298)=0,"Taux de TVA hors liste (Paramètres)",IF(N(O1298)&gt;25,"Au-delà de 25 lignes : non imprimée","OK")))))))))))))</f>
        <v/>
      </c>
      <c r="O1298" s="59" t="str">
        <f>IF(A1298="","",COUNTIF($A$6:A1298,A1298))</f>
        <v/>
      </c>
      <c r="P1298" s="62" t="str">
        <f>IF(A1298="","",A1298&amp;"|"&amp;O1298)</f>
        <v/>
      </c>
    </row>
    <row r="1299">
      <c r="A1299" s="60" t="n"/>
      <c r="B1299" s="63" t="n"/>
      <c r="C1299" s="63" t="n"/>
      <c r="D1299" s="67" t="n"/>
      <c r="E1299" s="68" t="n"/>
      <c r="F1299" s="69" t="n"/>
      <c r="G1299" s="70" t="n"/>
      <c r="H1299" s="62" t="str">
        <f>IF(COUNTA(A1299:G1299)=0,"",IF(C1299&lt;&gt;"",C1299,IF(B1299="","",IFERROR(INDEX(pr_des,MATCH(B1299,pr_code,0))&amp;"",""))))</f>
        <v/>
      </c>
      <c r="I1299" s="59" t="str">
        <f>IF(B1299="","",IFERROR(INDEX(pr_unit,MATCH(B1299,pr_code,0))&amp;"",""))</f>
        <v/>
      </c>
      <c r="J1299" s="65" t="str">
        <f>IF(COUNTA(A1299:G1299)=0,"",IF(E1299&lt;&gt;"",E1299,IF(B1299="","",IFERROR(IF(INDEX(pr_price,MATCH(B1299,pr_code,0))="","",INDEX(pr_price,MATCH(B1299,pr_code,0))),""))))</f>
        <v/>
      </c>
      <c r="K1299" s="71" t="str">
        <f>IF(COUNTA(A1299:G1299)=0,"",IF(G1299&lt;&gt;"",G1299,IF(B1299="","",IFERROR(IF(INDEX(pr_rate,MATCH(B1299,pr_code,0))="","",INDEX(pr_rate,MATCH(B1299,pr_code,0))),""))))</f>
        <v/>
      </c>
      <c r="L1299" s="65" t="str">
        <f>IF(COUNTA(A1299:G1299)=0,"",IF(AND(ISNUMBER(D1299),ISNUMBER(J1299)),ROUND(D1299*J1299*(1-N(F1299)),2),0))</f>
        <v/>
      </c>
      <c r="M1299" s="62" t="str">
        <f>IF(A1299="","",IFERROR(INDEX(dv_cname,MATCH(A1299,dv_num,0))&amp;"",""))</f>
        <v/>
      </c>
      <c r="N1299" s="59" t="str">
        <f>IF(COUNTA(A1299:G1299)=0,"",IF(A1299="","N° devis manquant",IF(ISNA(MATCH(A1299,dv_num,0)),"Devis inconnu",IF(AND(B1299&lt;&gt;"",ISNA(MATCH(B1299,pr_code,0))),"Article inconnu",IF(H1299="","Désignation manquante",IF(OR(NOT(ISNUMBER(D1299)),N(D1299)&lt;=0),"Quantité invalide",IF(J1299="","Prix manquant",IF(OR(NOT(ISNUMBER(J1299)),N(J1299)&lt;0),"Prix invalide",IF(OR(AND(F1299&lt;&gt;"",NOT(ISNUMBER(F1299))),N(F1299)&lt;0,N(F1299)&gt;1),"Remise invalide",IF(K1299="","Taux de TVA manquant",IF(NOT(ISNUMBER(K1299)),"Taux de TVA invalide",IF(COUNTIF(p_rates,K1299)=0,"Taux de TVA hors liste (Paramètres)",IF(N(O1299)&gt;25,"Au-delà de 25 lignes : non imprimée","OK")))))))))))))</f>
        <v/>
      </c>
      <c r="O1299" s="59" t="str">
        <f>IF(A1299="","",COUNTIF($A$6:A1299,A1299))</f>
        <v/>
      </c>
      <c r="P1299" s="62" t="str">
        <f>IF(A1299="","",A1299&amp;"|"&amp;O1299)</f>
        <v/>
      </c>
    </row>
    <row r="1300">
      <c r="A1300" s="60" t="n"/>
      <c r="B1300" s="63" t="n"/>
      <c r="C1300" s="63" t="n"/>
      <c r="D1300" s="67" t="n"/>
      <c r="E1300" s="68" t="n"/>
      <c r="F1300" s="69" t="n"/>
      <c r="G1300" s="70" t="n"/>
      <c r="H1300" s="62" t="str">
        <f>IF(COUNTA(A1300:G1300)=0,"",IF(C1300&lt;&gt;"",C1300,IF(B1300="","",IFERROR(INDEX(pr_des,MATCH(B1300,pr_code,0))&amp;"",""))))</f>
        <v/>
      </c>
      <c r="I1300" s="59" t="str">
        <f>IF(B1300="","",IFERROR(INDEX(pr_unit,MATCH(B1300,pr_code,0))&amp;"",""))</f>
        <v/>
      </c>
      <c r="J1300" s="65" t="str">
        <f>IF(COUNTA(A1300:G1300)=0,"",IF(E1300&lt;&gt;"",E1300,IF(B1300="","",IFERROR(IF(INDEX(pr_price,MATCH(B1300,pr_code,0))="","",INDEX(pr_price,MATCH(B1300,pr_code,0))),""))))</f>
        <v/>
      </c>
      <c r="K1300" s="71" t="str">
        <f>IF(COUNTA(A1300:G1300)=0,"",IF(G1300&lt;&gt;"",G1300,IF(B1300="","",IFERROR(IF(INDEX(pr_rate,MATCH(B1300,pr_code,0))="","",INDEX(pr_rate,MATCH(B1300,pr_code,0))),""))))</f>
        <v/>
      </c>
      <c r="L1300" s="65" t="str">
        <f>IF(COUNTA(A1300:G1300)=0,"",IF(AND(ISNUMBER(D1300),ISNUMBER(J1300)),ROUND(D1300*J1300*(1-N(F1300)),2),0))</f>
        <v/>
      </c>
      <c r="M1300" s="62" t="str">
        <f>IF(A1300="","",IFERROR(INDEX(dv_cname,MATCH(A1300,dv_num,0))&amp;"",""))</f>
        <v/>
      </c>
      <c r="N1300" s="59" t="str">
        <f>IF(COUNTA(A1300:G1300)=0,"",IF(A1300="","N° devis manquant",IF(ISNA(MATCH(A1300,dv_num,0)),"Devis inconnu",IF(AND(B1300&lt;&gt;"",ISNA(MATCH(B1300,pr_code,0))),"Article inconnu",IF(H1300="","Désignation manquante",IF(OR(NOT(ISNUMBER(D1300)),N(D1300)&lt;=0),"Quantité invalide",IF(J1300="","Prix manquant",IF(OR(NOT(ISNUMBER(J1300)),N(J1300)&lt;0),"Prix invalide",IF(OR(AND(F1300&lt;&gt;"",NOT(ISNUMBER(F1300))),N(F1300)&lt;0,N(F1300)&gt;1),"Remise invalide",IF(K1300="","Taux de TVA manquant",IF(NOT(ISNUMBER(K1300)),"Taux de TVA invalide",IF(COUNTIF(p_rates,K1300)=0,"Taux de TVA hors liste (Paramètres)",IF(N(O1300)&gt;25,"Au-delà de 25 lignes : non imprimée","OK")))))))))))))</f>
        <v/>
      </c>
      <c r="O1300" s="59" t="str">
        <f>IF(A1300="","",COUNTIF($A$6:A1300,A1300))</f>
        <v/>
      </c>
      <c r="P1300" s="62" t="str">
        <f>IF(A1300="","",A1300&amp;"|"&amp;O1300)</f>
        <v/>
      </c>
    </row>
    <row r="1301">
      <c r="A1301" s="60" t="n"/>
      <c r="B1301" s="63" t="n"/>
      <c r="C1301" s="63" t="n"/>
      <c r="D1301" s="67" t="n"/>
      <c r="E1301" s="68" t="n"/>
      <c r="F1301" s="69" t="n"/>
      <c r="G1301" s="70" t="n"/>
      <c r="H1301" s="62" t="str">
        <f>IF(COUNTA(A1301:G1301)=0,"",IF(C1301&lt;&gt;"",C1301,IF(B1301="","",IFERROR(INDEX(pr_des,MATCH(B1301,pr_code,0))&amp;"",""))))</f>
        <v/>
      </c>
      <c r="I1301" s="59" t="str">
        <f>IF(B1301="","",IFERROR(INDEX(pr_unit,MATCH(B1301,pr_code,0))&amp;"",""))</f>
        <v/>
      </c>
      <c r="J1301" s="65" t="str">
        <f>IF(COUNTA(A1301:G1301)=0,"",IF(E1301&lt;&gt;"",E1301,IF(B1301="","",IFERROR(IF(INDEX(pr_price,MATCH(B1301,pr_code,0))="","",INDEX(pr_price,MATCH(B1301,pr_code,0))),""))))</f>
        <v/>
      </c>
      <c r="K1301" s="71" t="str">
        <f>IF(COUNTA(A1301:G1301)=0,"",IF(G1301&lt;&gt;"",G1301,IF(B1301="","",IFERROR(IF(INDEX(pr_rate,MATCH(B1301,pr_code,0))="","",INDEX(pr_rate,MATCH(B1301,pr_code,0))),""))))</f>
        <v/>
      </c>
      <c r="L1301" s="65" t="str">
        <f>IF(COUNTA(A1301:G1301)=0,"",IF(AND(ISNUMBER(D1301),ISNUMBER(J1301)),ROUND(D1301*J1301*(1-N(F1301)),2),0))</f>
        <v/>
      </c>
      <c r="M1301" s="62" t="str">
        <f>IF(A1301="","",IFERROR(INDEX(dv_cname,MATCH(A1301,dv_num,0))&amp;"",""))</f>
        <v/>
      </c>
      <c r="N1301" s="59" t="str">
        <f>IF(COUNTA(A1301:G1301)=0,"",IF(A1301="","N° devis manquant",IF(ISNA(MATCH(A1301,dv_num,0)),"Devis inconnu",IF(AND(B1301&lt;&gt;"",ISNA(MATCH(B1301,pr_code,0))),"Article inconnu",IF(H1301="","Désignation manquante",IF(OR(NOT(ISNUMBER(D1301)),N(D1301)&lt;=0),"Quantité invalide",IF(J1301="","Prix manquant",IF(OR(NOT(ISNUMBER(J1301)),N(J1301)&lt;0),"Prix invalide",IF(OR(AND(F1301&lt;&gt;"",NOT(ISNUMBER(F1301))),N(F1301)&lt;0,N(F1301)&gt;1),"Remise invalide",IF(K1301="","Taux de TVA manquant",IF(NOT(ISNUMBER(K1301)),"Taux de TVA invalide",IF(COUNTIF(p_rates,K1301)=0,"Taux de TVA hors liste (Paramètres)",IF(N(O1301)&gt;25,"Au-delà de 25 lignes : non imprimée","OK")))))))))))))</f>
        <v/>
      </c>
      <c r="O1301" s="59" t="str">
        <f>IF(A1301="","",COUNTIF($A$6:A1301,A1301))</f>
        <v/>
      </c>
      <c r="P1301" s="62" t="str">
        <f>IF(A1301="","",A1301&amp;"|"&amp;O1301)</f>
        <v/>
      </c>
    </row>
    <row r="1302">
      <c r="A1302" s="60" t="n"/>
      <c r="B1302" s="63" t="n"/>
      <c r="C1302" s="63" t="n"/>
      <c r="D1302" s="67" t="n"/>
      <c r="E1302" s="68" t="n"/>
      <c r="F1302" s="69" t="n"/>
      <c r="G1302" s="70" t="n"/>
      <c r="H1302" s="62" t="str">
        <f>IF(COUNTA(A1302:G1302)=0,"",IF(C1302&lt;&gt;"",C1302,IF(B1302="","",IFERROR(INDEX(pr_des,MATCH(B1302,pr_code,0))&amp;"",""))))</f>
        <v/>
      </c>
      <c r="I1302" s="59" t="str">
        <f>IF(B1302="","",IFERROR(INDEX(pr_unit,MATCH(B1302,pr_code,0))&amp;"",""))</f>
        <v/>
      </c>
      <c r="J1302" s="65" t="str">
        <f>IF(COUNTA(A1302:G1302)=0,"",IF(E1302&lt;&gt;"",E1302,IF(B1302="","",IFERROR(IF(INDEX(pr_price,MATCH(B1302,pr_code,0))="","",INDEX(pr_price,MATCH(B1302,pr_code,0))),""))))</f>
        <v/>
      </c>
      <c r="K1302" s="71" t="str">
        <f>IF(COUNTA(A1302:G1302)=0,"",IF(G1302&lt;&gt;"",G1302,IF(B1302="","",IFERROR(IF(INDEX(pr_rate,MATCH(B1302,pr_code,0))="","",INDEX(pr_rate,MATCH(B1302,pr_code,0))),""))))</f>
        <v/>
      </c>
      <c r="L1302" s="65" t="str">
        <f>IF(COUNTA(A1302:G1302)=0,"",IF(AND(ISNUMBER(D1302),ISNUMBER(J1302)),ROUND(D1302*J1302*(1-N(F1302)),2),0))</f>
        <v/>
      </c>
      <c r="M1302" s="62" t="str">
        <f>IF(A1302="","",IFERROR(INDEX(dv_cname,MATCH(A1302,dv_num,0))&amp;"",""))</f>
        <v/>
      </c>
      <c r="N1302" s="59" t="str">
        <f>IF(COUNTA(A1302:G1302)=0,"",IF(A1302="","N° devis manquant",IF(ISNA(MATCH(A1302,dv_num,0)),"Devis inconnu",IF(AND(B1302&lt;&gt;"",ISNA(MATCH(B1302,pr_code,0))),"Article inconnu",IF(H1302="","Désignation manquante",IF(OR(NOT(ISNUMBER(D1302)),N(D1302)&lt;=0),"Quantité invalide",IF(J1302="","Prix manquant",IF(OR(NOT(ISNUMBER(J1302)),N(J1302)&lt;0),"Prix invalide",IF(OR(AND(F1302&lt;&gt;"",NOT(ISNUMBER(F1302))),N(F1302)&lt;0,N(F1302)&gt;1),"Remise invalide",IF(K1302="","Taux de TVA manquant",IF(NOT(ISNUMBER(K1302)),"Taux de TVA invalide",IF(COUNTIF(p_rates,K1302)=0,"Taux de TVA hors liste (Paramètres)",IF(N(O1302)&gt;25,"Au-delà de 25 lignes : non imprimée","OK")))))))))))))</f>
        <v/>
      </c>
      <c r="O1302" s="59" t="str">
        <f>IF(A1302="","",COUNTIF($A$6:A1302,A1302))</f>
        <v/>
      </c>
      <c r="P1302" s="62" t="str">
        <f>IF(A1302="","",A1302&amp;"|"&amp;O1302)</f>
        <v/>
      </c>
    </row>
    <row r="1303">
      <c r="A1303" s="60" t="n"/>
      <c r="B1303" s="63" t="n"/>
      <c r="C1303" s="63" t="n"/>
      <c r="D1303" s="67" t="n"/>
      <c r="E1303" s="68" t="n"/>
      <c r="F1303" s="69" t="n"/>
      <c r="G1303" s="70" t="n"/>
      <c r="H1303" s="62" t="str">
        <f>IF(COUNTA(A1303:G1303)=0,"",IF(C1303&lt;&gt;"",C1303,IF(B1303="","",IFERROR(INDEX(pr_des,MATCH(B1303,pr_code,0))&amp;"",""))))</f>
        <v/>
      </c>
      <c r="I1303" s="59" t="str">
        <f>IF(B1303="","",IFERROR(INDEX(pr_unit,MATCH(B1303,pr_code,0))&amp;"",""))</f>
        <v/>
      </c>
      <c r="J1303" s="65" t="str">
        <f>IF(COUNTA(A1303:G1303)=0,"",IF(E1303&lt;&gt;"",E1303,IF(B1303="","",IFERROR(IF(INDEX(pr_price,MATCH(B1303,pr_code,0))="","",INDEX(pr_price,MATCH(B1303,pr_code,0))),""))))</f>
        <v/>
      </c>
      <c r="K1303" s="71" t="str">
        <f>IF(COUNTA(A1303:G1303)=0,"",IF(G1303&lt;&gt;"",G1303,IF(B1303="","",IFERROR(IF(INDEX(pr_rate,MATCH(B1303,pr_code,0))="","",INDEX(pr_rate,MATCH(B1303,pr_code,0))),""))))</f>
        <v/>
      </c>
      <c r="L1303" s="65" t="str">
        <f>IF(COUNTA(A1303:G1303)=0,"",IF(AND(ISNUMBER(D1303),ISNUMBER(J1303)),ROUND(D1303*J1303*(1-N(F1303)),2),0))</f>
        <v/>
      </c>
      <c r="M1303" s="62" t="str">
        <f>IF(A1303="","",IFERROR(INDEX(dv_cname,MATCH(A1303,dv_num,0))&amp;"",""))</f>
        <v/>
      </c>
      <c r="N1303" s="59" t="str">
        <f>IF(COUNTA(A1303:G1303)=0,"",IF(A1303="","N° devis manquant",IF(ISNA(MATCH(A1303,dv_num,0)),"Devis inconnu",IF(AND(B1303&lt;&gt;"",ISNA(MATCH(B1303,pr_code,0))),"Article inconnu",IF(H1303="","Désignation manquante",IF(OR(NOT(ISNUMBER(D1303)),N(D1303)&lt;=0),"Quantité invalide",IF(J1303="","Prix manquant",IF(OR(NOT(ISNUMBER(J1303)),N(J1303)&lt;0),"Prix invalide",IF(OR(AND(F1303&lt;&gt;"",NOT(ISNUMBER(F1303))),N(F1303)&lt;0,N(F1303)&gt;1),"Remise invalide",IF(K1303="","Taux de TVA manquant",IF(NOT(ISNUMBER(K1303)),"Taux de TVA invalide",IF(COUNTIF(p_rates,K1303)=0,"Taux de TVA hors liste (Paramètres)",IF(N(O1303)&gt;25,"Au-delà de 25 lignes : non imprimée","OK")))))))))))))</f>
        <v/>
      </c>
      <c r="O1303" s="59" t="str">
        <f>IF(A1303="","",COUNTIF($A$6:A1303,A1303))</f>
        <v/>
      </c>
      <c r="P1303" s="62" t="str">
        <f>IF(A1303="","",A1303&amp;"|"&amp;O1303)</f>
        <v/>
      </c>
    </row>
    <row r="1304">
      <c r="A1304" s="60" t="n"/>
      <c r="B1304" s="63" t="n"/>
      <c r="C1304" s="63" t="n"/>
      <c r="D1304" s="67" t="n"/>
      <c r="E1304" s="68" t="n"/>
      <c r="F1304" s="69" t="n"/>
      <c r="G1304" s="70" t="n"/>
      <c r="H1304" s="62" t="str">
        <f>IF(COUNTA(A1304:G1304)=0,"",IF(C1304&lt;&gt;"",C1304,IF(B1304="","",IFERROR(INDEX(pr_des,MATCH(B1304,pr_code,0))&amp;"",""))))</f>
        <v/>
      </c>
      <c r="I1304" s="59" t="str">
        <f>IF(B1304="","",IFERROR(INDEX(pr_unit,MATCH(B1304,pr_code,0))&amp;"",""))</f>
        <v/>
      </c>
      <c r="J1304" s="65" t="str">
        <f>IF(COUNTA(A1304:G1304)=0,"",IF(E1304&lt;&gt;"",E1304,IF(B1304="","",IFERROR(IF(INDEX(pr_price,MATCH(B1304,pr_code,0))="","",INDEX(pr_price,MATCH(B1304,pr_code,0))),""))))</f>
        <v/>
      </c>
      <c r="K1304" s="71" t="str">
        <f>IF(COUNTA(A1304:G1304)=0,"",IF(G1304&lt;&gt;"",G1304,IF(B1304="","",IFERROR(IF(INDEX(pr_rate,MATCH(B1304,pr_code,0))="","",INDEX(pr_rate,MATCH(B1304,pr_code,0))),""))))</f>
        <v/>
      </c>
      <c r="L1304" s="65" t="str">
        <f>IF(COUNTA(A1304:G1304)=0,"",IF(AND(ISNUMBER(D1304),ISNUMBER(J1304)),ROUND(D1304*J1304*(1-N(F1304)),2),0))</f>
        <v/>
      </c>
      <c r="M1304" s="62" t="str">
        <f>IF(A1304="","",IFERROR(INDEX(dv_cname,MATCH(A1304,dv_num,0))&amp;"",""))</f>
        <v/>
      </c>
      <c r="N1304" s="59" t="str">
        <f>IF(COUNTA(A1304:G1304)=0,"",IF(A1304="","N° devis manquant",IF(ISNA(MATCH(A1304,dv_num,0)),"Devis inconnu",IF(AND(B1304&lt;&gt;"",ISNA(MATCH(B1304,pr_code,0))),"Article inconnu",IF(H1304="","Désignation manquante",IF(OR(NOT(ISNUMBER(D1304)),N(D1304)&lt;=0),"Quantité invalide",IF(J1304="","Prix manquant",IF(OR(NOT(ISNUMBER(J1304)),N(J1304)&lt;0),"Prix invalide",IF(OR(AND(F1304&lt;&gt;"",NOT(ISNUMBER(F1304))),N(F1304)&lt;0,N(F1304)&gt;1),"Remise invalide",IF(K1304="","Taux de TVA manquant",IF(NOT(ISNUMBER(K1304)),"Taux de TVA invalide",IF(COUNTIF(p_rates,K1304)=0,"Taux de TVA hors liste (Paramètres)",IF(N(O1304)&gt;25,"Au-delà de 25 lignes : non imprimée","OK")))))))))))))</f>
        <v/>
      </c>
      <c r="O1304" s="59" t="str">
        <f>IF(A1304="","",COUNTIF($A$6:A1304,A1304))</f>
        <v/>
      </c>
      <c r="P1304" s="62" t="str">
        <f>IF(A1304="","",A1304&amp;"|"&amp;O1304)</f>
        <v/>
      </c>
    </row>
    <row r="1305">
      <c r="A1305" s="60" t="n"/>
      <c r="B1305" s="63" t="n"/>
      <c r="C1305" s="63" t="n"/>
      <c r="D1305" s="67" t="n"/>
      <c r="E1305" s="68" t="n"/>
      <c r="F1305" s="69" t="n"/>
      <c r="G1305" s="70" t="n"/>
      <c r="H1305" s="62" t="str">
        <f>IF(COUNTA(A1305:G1305)=0,"",IF(C1305&lt;&gt;"",C1305,IF(B1305="","",IFERROR(INDEX(pr_des,MATCH(B1305,pr_code,0))&amp;"",""))))</f>
        <v/>
      </c>
      <c r="I1305" s="59" t="str">
        <f>IF(B1305="","",IFERROR(INDEX(pr_unit,MATCH(B1305,pr_code,0))&amp;"",""))</f>
        <v/>
      </c>
      <c r="J1305" s="65" t="str">
        <f>IF(COUNTA(A1305:G1305)=0,"",IF(E1305&lt;&gt;"",E1305,IF(B1305="","",IFERROR(IF(INDEX(pr_price,MATCH(B1305,pr_code,0))="","",INDEX(pr_price,MATCH(B1305,pr_code,0))),""))))</f>
        <v/>
      </c>
      <c r="K1305" s="71" t="str">
        <f>IF(COUNTA(A1305:G1305)=0,"",IF(G1305&lt;&gt;"",G1305,IF(B1305="","",IFERROR(IF(INDEX(pr_rate,MATCH(B1305,pr_code,0))="","",INDEX(pr_rate,MATCH(B1305,pr_code,0))),""))))</f>
        <v/>
      </c>
      <c r="L1305" s="65" t="str">
        <f>IF(COUNTA(A1305:G1305)=0,"",IF(AND(ISNUMBER(D1305),ISNUMBER(J1305)),ROUND(D1305*J1305*(1-N(F1305)),2),0))</f>
        <v/>
      </c>
      <c r="M1305" s="62" t="str">
        <f>IF(A1305="","",IFERROR(INDEX(dv_cname,MATCH(A1305,dv_num,0))&amp;"",""))</f>
        <v/>
      </c>
      <c r="N1305" s="59" t="str">
        <f>IF(COUNTA(A1305:G1305)=0,"",IF(A1305="","N° devis manquant",IF(ISNA(MATCH(A1305,dv_num,0)),"Devis inconnu",IF(AND(B1305&lt;&gt;"",ISNA(MATCH(B1305,pr_code,0))),"Article inconnu",IF(H1305="","Désignation manquante",IF(OR(NOT(ISNUMBER(D1305)),N(D1305)&lt;=0),"Quantité invalide",IF(J1305="","Prix manquant",IF(OR(NOT(ISNUMBER(J1305)),N(J1305)&lt;0),"Prix invalide",IF(OR(AND(F1305&lt;&gt;"",NOT(ISNUMBER(F1305))),N(F1305)&lt;0,N(F1305)&gt;1),"Remise invalide",IF(K1305="","Taux de TVA manquant",IF(NOT(ISNUMBER(K1305)),"Taux de TVA invalide",IF(COUNTIF(p_rates,K1305)=0,"Taux de TVA hors liste (Paramètres)",IF(N(O1305)&gt;25,"Au-delà de 25 lignes : non imprimée","OK")))))))))))))</f>
        <v/>
      </c>
      <c r="O1305" s="59" t="str">
        <f>IF(A1305="","",COUNTIF($A$6:A1305,A1305))</f>
        <v/>
      </c>
      <c r="P1305" s="62" t="str">
        <f>IF(A1305="","",A1305&amp;"|"&amp;O1305)</f>
        <v/>
      </c>
    </row>
    <row r="1306">
      <c r="A1306" s="60" t="n"/>
      <c r="B1306" s="63" t="n"/>
      <c r="C1306" s="63" t="n"/>
      <c r="D1306" s="67" t="n"/>
      <c r="E1306" s="68" t="n"/>
      <c r="F1306" s="69" t="n"/>
      <c r="G1306" s="70" t="n"/>
      <c r="H1306" s="62" t="str">
        <f>IF(COUNTA(A1306:G1306)=0,"",IF(C1306&lt;&gt;"",C1306,IF(B1306="","",IFERROR(INDEX(pr_des,MATCH(B1306,pr_code,0))&amp;"",""))))</f>
        <v/>
      </c>
      <c r="I1306" s="59" t="str">
        <f>IF(B1306="","",IFERROR(INDEX(pr_unit,MATCH(B1306,pr_code,0))&amp;"",""))</f>
        <v/>
      </c>
      <c r="J1306" s="65" t="str">
        <f>IF(COUNTA(A1306:G1306)=0,"",IF(E1306&lt;&gt;"",E1306,IF(B1306="","",IFERROR(IF(INDEX(pr_price,MATCH(B1306,pr_code,0))="","",INDEX(pr_price,MATCH(B1306,pr_code,0))),""))))</f>
        <v/>
      </c>
      <c r="K1306" s="71" t="str">
        <f>IF(COUNTA(A1306:G1306)=0,"",IF(G1306&lt;&gt;"",G1306,IF(B1306="","",IFERROR(IF(INDEX(pr_rate,MATCH(B1306,pr_code,0))="","",INDEX(pr_rate,MATCH(B1306,pr_code,0))),""))))</f>
        <v/>
      </c>
      <c r="L1306" s="65" t="str">
        <f>IF(COUNTA(A1306:G1306)=0,"",IF(AND(ISNUMBER(D1306),ISNUMBER(J1306)),ROUND(D1306*J1306*(1-N(F1306)),2),0))</f>
        <v/>
      </c>
      <c r="M1306" s="62" t="str">
        <f>IF(A1306="","",IFERROR(INDEX(dv_cname,MATCH(A1306,dv_num,0))&amp;"",""))</f>
        <v/>
      </c>
      <c r="N1306" s="59" t="str">
        <f>IF(COUNTA(A1306:G1306)=0,"",IF(A1306="","N° devis manquant",IF(ISNA(MATCH(A1306,dv_num,0)),"Devis inconnu",IF(AND(B1306&lt;&gt;"",ISNA(MATCH(B1306,pr_code,0))),"Article inconnu",IF(H1306="","Désignation manquante",IF(OR(NOT(ISNUMBER(D1306)),N(D1306)&lt;=0),"Quantité invalide",IF(J1306="","Prix manquant",IF(OR(NOT(ISNUMBER(J1306)),N(J1306)&lt;0),"Prix invalide",IF(OR(AND(F1306&lt;&gt;"",NOT(ISNUMBER(F1306))),N(F1306)&lt;0,N(F1306)&gt;1),"Remise invalide",IF(K1306="","Taux de TVA manquant",IF(NOT(ISNUMBER(K1306)),"Taux de TVA invalide",IF(COUNTIF(p_rates,K1306)=0,"Taux de TVA hors liste (Paramètres)",IF(N(O1306)&gt;25,"Au-delà de 25 lignes : non imprimée","OK")))))))))))))</f>
        <v/>
      </c>
      <c r="O1306" s="59" t="str">
        <f>IF(A1306="","",COUNTIF($A$6:A1306,A1306))</f>
        <v/>
      </c>
      <c r="P1306" s="62" t="str">
        <f>IF(A1306="","",A1306&amp;"|"&amp;O1306)</f>
        <v/>
      </c>
    </row>
    <row r="1307">
      <c r="A1307" s="60" t="n"/>
      <c r="B1307" s="63" t="n"/>
      <c r="C1307" s="63" t="n"/>
      <c r="D1307" s="67" t="n"/>
      <c r="E1307" s="68" t="n"/>
      <c r="F1307" s="69" t="n"/>
      <c r="G1307" s="70" t="n"/>
      <c r="H1307" s="62" t="str">
        <f>IF(COUNTA(A1307:G1307)=0,"",IF(C1307&lt;&gt;"",C1307,IF(B1307="","",IFERROR(INDEX(pr_des,MATCH(B1307,pr_code,0))&amp;"",""))))</f>
        <v/>
      </c>
      <c r="I1307" s="59" t="str">
        <f>IF(B1307="","",IFERROR(INDEX(pr_unit,MATCH(B1307,pr_code,0))&amp;"",""))</f>
        <v/>
      </c>
      <c r="J1307" s="65" t="str">
        <f>IF(COUNTA(A1307:G1307)=0,"",IF(E1307&lt;&gt;"",E1307,IF(B1307="","",IFERROR(IF(INDEX(pr_price,MATCH(B1307,pr_code,0))="","",INDEX(pr_price,MATCH(B1307,pr_code,0))),""))))</f>
        <v/>
      </c>
      <c r="K1307" s="71" t="str">
        <f>IF(COUNTA(A1307:G1307)=0,"",IF(G1307&lt;&gt;"",G1307,IF(B1307="","",IFERROR(IF(INDEX(pr_rate,MATCH(B1307,pr_code,0))="","",INDEX(pr_rate,MATCH(B1307,pr_code,0))),""))))</f>
        <v/>
      </c>
      <c r="L1307" s="65" t="str">
        <f>IF(COUNTA(A1307:G1307)=0,"",IF(AND(ISNUMBER(D1307),ISNUMBER(J1307)),ROUND(D1307*J1307*(1-N(F1307)),2),0))</f>
        <v/>
      </c>
      <c r="M1307" s="62" t="str">
        <f>IF(A1307="","",IFERROR(INDEX(dv_cname,MATCH(A1307,dv_num,0))&amp;"",""))</f>
        <v/>
      </c>
      <c r="N1307" s="59" t="str">
        <f>IF(COUNTA(A1307:G1307)=0,"",IF(A1307="","N° devis manquant",IF(ISNA(MATCH(A1307,dv_num,0)),"Devis inconnu",IF(AND(B1307&lt;&gt;"",ISNA(MATCH(B1307,pr_code,0))),"Article inconnu",IF(H1307="","Désignation manquante",IF(OR(NOT(ISNUMBER(D1307)),N(D1307)&lt;=0),"Quantité invalide",IF(J1307="","Prix manquant",IF(OR(NOT(ISNUMBER(J1307)),N(J1307)&lt;0),"Prix invalide",IF(OR(AND(F1307&lt;&gt;"",NOT(ISNUMBER(F1307))),N(F1307)&lt;0,N(F1307)&gt;1),"Remise invalide",IF(K1307="","Taux de TVA manquant",IF(NOT(ISNUMBER(K1307)),"Taux de TVA invalide",IF(COUNTIF(p_rates,K1307)=0,"Taux de TVA hors liste (Paramètres)",IF(N(O1307)&gt;25,"Au-delà de 25 lignes : non imprimée","OK")))))))))))))</f>
        <v/>
      </c>
      <c r="O1307" s="59" t="str">
        <f>IF(A1307="","",COUNTIF($A$6:A1307,A1307))</f>
        <v/>
      </c>
      <c r="P1307" s="62" t="str">
        <f>IF(A1307="","",A1307&amp;"|"&amp;O1307)</f>
        <v/>
      </c>
    </row>
    <row r="1308">
      <c r="A1308" s="60" t="n"/>
      <c r="B1308" s="63" t="n"/>
      <c r="C1308" s="63" t="n"/>
      <c r="D1308" s="67" t="n"/>
      <c r="E1308" s="68" t="n"/>
      <c r="F1308" s="69" t="n"/>
      <c r="G1308" s="70" t="n"/>
      <c r="H1308" s="62" t="str">
        <f>IF(COUNTA(A1308:G1308)=0,"",IF(C1308&lt;&gt;"",C1308,IF(B1308="","",IFERROR(INDEX(pr_des,MATCH(B1308,pr_code,0))&amp;"",""))))</f>
        <v/>
      </c>
      <c r="I1308" s="59" t="str">
        <f>IF(B1308="","",IFERROR(INDEX(pr_unit,MATCH(B1308,pr_code,0))&amp;"",""))</f>
        <v/>
      </c>
      <c r="J1308" s="65" t="str">
        <f>IF(COUNTA(A1308:G1308)=0,"",IF(E1308&lt;&gt;"",E1308,IF(B1308="","",IFERROR(IF(INDEX(pr_price,MATCH(B1308,pr_code,0))="","",INDEX(pr_price,MATCH(B1308,pr_code,0))),""))))</f>
        <v/>
      </c>
      <c r="K1308" s="71" t="str">
        <f>IF(COUNTA(A1308:G1308)=0,"",IF(G1308&lt;&gt;"",G1308,IF(B1308="","",IFERROR(IF(INDEX(pr_rate,MATCH(B1308,pr_code,0))="","",INDEX(pr_rate,MATCH(B1308,pr_code,0))),""))))</f>
        <v/>
      </c>
      <c r="L1308" s="65" t="str">
        <f>IF(COUNTA(A1308:G1308)=0,"",IF(AND(ISNUMBER(D1308),ISNUMBER(J1308)),ROUND(D1308*J1308*(1-N(F1308)),2),0))</f>
        <v/>
      </c>
      <c r="M1308" s="62" t="str">
        <f>IF(A1308="","",IFERROR(INDEX(dv_cname,MATCH(A1308,dv_num,0))&amp;"",""))</f>
        <v/>
      </c>
      <c r="N1308" s="59" t="str">
        <f>IF(COUNTA(A1308:G1308)=0,"",IF(A1308="","N° devis manquant",IF(ISNA(MATCH(A1308,dv_num,0)),"Devis inconnu",IF(AND(B1308&lt;&gt;"",ISNA(MATCH(B1308,pr_code,0))),"Article inconnu",IF(H1308="","Désignation manquante",IF(OR(NOT(ISNUMBER(D1308)),N(D1308)&lt;=0),"Quantité invalide",IF(J1308="","Prix manquant",IF(OR(NOT(ISNUMBER(J1308)),N(J1308)&lt;0),"Prix invalide",IF(OR(AND(F1308&lt;&gt;"",NOT(ISNUMBER(F1308))),N(F1308)&lt;0,N(F1308)&gt;1),"Remise invalide",IF(K1308="","Taux de TVA manquant",IF(NOT(ISNUMBER(K1308)),"Taux de TVA invalide",IF(COUNTIF(p_rates,K1308)=0,"Taux de TVA hors liste (Paramètres)",IF(N(O1308)&gt;25,"Au-delà de 25 lignes : non imprimée","OK")))))))))))))</f>
        <v/>
      </c>
      <c r="O1308" s="59" t="str">
        <f>IF(A1308="","",COUNTIF($A$6:A1308,A1308))</f>
        <v/>
      </c>
      <c r="P1308" s="62" t="str">
        <f>IF(A1308="","",A1308&amp;"|"&amp;O1308)</f>
        <v/>
      </c>
    </row>
    <row r="1309">
      <c r="A1309" s="60" t="n"/>
      <c r="B1309" s="63" t="n"/>
      <c r="C1309" s="63" t="n"/>
      <c r="D1309" s="67" t="n"/>
      <c r="E1309" s="68" t="n"/>
      <c r="F1309" s="69" t="n"/>
      <c r="G1309" s="70" t="n"/>
      <c r="H1309" s="62" t="str">
        <f>IF(COUNTA(A1309:G1309)=0,"",IF(C1309&lt;&gt;"",C1309,IF(B1309="","",IFERROR(INDEX(pr_des,MATCH(B1309,pr_code,0))&amp;"",""))))</f>
        <v/>
      </c>
      <c r="I1309" s="59" t="str">
        <f>IF(B1309="","",IFERROR(INDEX(pr_unit,MATCH(B1309,pr_code,0))&amp;"",""))</f>
        <v/>
      </c>
      <c r="J1309" s="65" t="str">
        <f>IF(COUNTA(A1309:G1309)=0,"",IF(E1309&lt;&gt;"",E1309,IF(B1309="","",IFERROR(IF(INDEX(pr_price,MATCH(B1309,pr_code,0))="","",INDEX(pr_price,MATCH(B1309,pr_code,0))),""))))</f>
        <v/>
      </c>
      <c r="K1309" s="71" t="str">
        <f>IF(COUNTA(A1309:G1309)=0,"",IF(G1309&lt;&gt;"",G1309,IF(B1309="","",IFERROR(IF(INDEX(pr_rate,MATCH(B1309,pr_code,0))="","",INDEX(pr_rate,MATCH(B1309,pr_code,0))),""))))</f>
        <v/>
      </c>
      <c r="L1309" s="65" t="str">
        <f>IF(COUNTA(A1309:G1309)=0,"",IF(AND(ISNUMBER(D1309),ISNUMBER(J1309)),ROUND(D1309*J1309*(1-N(F1309)),2),0))</f>
        <v/>
      </c>
      <c r="M1309" s="62" t="str">
        <f>IF(A1309="","",IFERROR(INDEX(dv_cname,MATCH(A1309,dv_num,0))&amp;"",""))</f>
        <v/>
      </c>
      <c r="N1309" s="59" t="str">
        <f>IF(COUNTA(A1309:G1309)=0,"",IF(A1309="","N° devis manquant",IF(ISNA(MATCH(A1309,dv_num,0)),"Devis inconnu",IF(AND(B1309&lt;&gt;"",ISNA(MATCH(B1309,pr_code,0))),"Article inconnu",IF(H1309="","Désignation manquante",IF(OR(NOT(ISNUMBER(D1309)),N(D1309)&lt;=0),"Quantité invalide",IF(J1309="","Prix manquant",IF(OR(NOT(ISNUMBER(J1309)),N(J1309)&lt;0),"Prix invalide",IF(OR(AND(F1309&lt;&gt;"",NOT(ISNUMBER(F1309))),N(F1309)&lt;0,N(F1309)&gt;1),"Remise invalide",IF(K1309="","Taux de TVA manquant",IF(NOT(ISNUMBER(K1309)),"Taux de TVA invalide",IF(COUNTIF(p_rates,K1309)=0,"Taux de TVA hors liste (Paramètres)",IF(N(O1309)&gt;25,"Au-delà de 25 lignes : non imprimée","OK")))))))))))))</f>
        <v/>
      </c>
      <c r="O1309" s="59" t="str">
        <f>IF(A1309="","",COUNTIF($A$6:A1309,A1309))</f>
        <v/>
      </c>
      <c r="P1309" s="62" t="str">
        <f>IF(A1309="","",A1309&amp;"|"&amp;O1309)</f>
        <v/>
      </c>
    </row>
    <row r="1310">
      <c r="A1310" s="60" t="n"/>
      <c r="B1310" s="63" t="n"/>
      <c r="C1310" s="63" t="n"/>
      <c r="D1310" s="67" t="n"/>
      <c r="E1310" s="68" t="n"/>
      <c r="F1310" s="69" t="n"/>
      <c r="G1310" s="70" t="n"/>
      <c r="H1310" s="62" t="str">
        <f>IF(COUNTA(A1310:G1310)=0,"",IF(C1310&lt;&gt;"",C1310,IF(B1310="","",IFERROR(INDEX(pr_des,MATCH(B1310,pr_code,0))&amp;"",""))))</f>
        <v/>
      </c>
      <c r="I1310" s="59" t="str">
        <f>IF(B1310="","",IFERROR(INDEX(pr_unit,MATCH(B1310,pr_code,0))&amp;"",""))</f>
        <v/>
      </c>
      <c r="J1310" s="65" t="str">
        <f>IF(COUNTA(A1310:G1310)=0,"",IF(E1310&lt;&gt;"",E1310,IF(B1310="","",IFERROR(IF(INDEX(pr_price,MATCH(B1310,pr_code,0))="","",INDEX(pr_price,MATCH(B1310,pr_code,0))),""))))</f>
        <v/>
      </c>
      <c r="K1310" s="71" t="str">
        <f>IF(COUNTA(A1310:G1310)=0,"",IF(G1310&lt;&gt;"",G1310,IF(B1310="","",IFERROR(IF(INDEX(pr_rate,MATCH(B1310,pr_code,0))="","",INDEX(pr_rate,MATCH(B1310,pr_code,0))),""))))</f>
        <v/>
      </c>
      <c r="L1310" s="65" t="str">
        <f>IF(COUNTA(A1310:G1310)=0,"",IF(AND(ISNUMBER(D1310),ISNUMBER(J1310)),ROUND(D1310*J1310*(1-N(F1310)),2),0))</f>
        <v/>
      </c>
      <c r="M1310" s="62" t="str">
        <f>IF(A1310="","",IFERROR(INDEX(dv_cname,MATCH(A1310,dv_num,0))&amp;"",""))</f>
        <v/>
      </c>
      <c r="N1310" s="59" t="str">
        <f>IF(COUNTA(A1310:G1310)=0,"",IF(A1310="","N° devis manquant",IF(ISNA(MATCH(A1310,dv_num,0)),"Devis inconnu",IF(AND(B1310&lt;&gt;"",ISNA(MATCH(B1310,pr_code,0))),"Article inconnu",IF(H1310="","Désignation manquante",IF(OR(NOT(ISNUMBER(D1310)),N(D1310)&lt;=0),"Quantité invalide",IF(J1310="","Prix manquant",IF(OR(NOT(ISNUMBER(J1310)),N(J1310)&lt;0),"Prix invalide",IF(OR(AND(F1310&lt;&gt;"",NOT(ISNUMBER(F1310))),N(F1310)&lt;0,N(F1310)&gt;1),"Remise invalide",IF(K1310="","Taux de TVA manquant",IF(NOT(ISNUMBER(K1310)),"Taux de TVA invalide",IF(COUNTIF(p_rates,K1310)=0,"Taux de TVA hors liste (Paramètres)",IF(N(O1310)&gt;25,"Au-delà de 25 lignes : non imprimée","OK")))))))))))))</f>
        <v/>
      </c>
      <c r="O1310" s="59" t="str">
        <f>IF(A1310="","",COUNTIF($A$6:A1310,A1310))</f>
        <v/>
      </c>
      <c r="P1310" s="62" t="str">
        <f>IF(A1310="","",A1310&amp;"|"&amp;O1310)</f>
        <v/>
      </c>
    </row>
    <row r="1311">
      <c r="A1311" s="60" t="n"/>
      <c r="B1311" s="63" t="n"/>
      <c r="C1311" s="63" t="n"/>
      <c r="D1311" s="67" t="n"/>
      <c r="E1311" s="68" t="n"/>
      <c r="F1311" s="69" t="n"/>
      <c r="G1311" s="70" t="n"/>
      <c r="H1311" s="62" t="str">
        <f>IF(COUNTA(A1311:G1311)=0,"",IF(C1311&lt;&gt;"",C1311,IF(B1311="","",IFERROR(INDEX(pr_des,MATCH(B1311,pr_code,0))&amp;"",""))))</f>
        <v/>
      </c>
      <c r="I1311" s="59" t="str">
        <f>IF(B1311="","",IFERROR(INDEX(pr_unit,MATCH(B1311,pr_code,0))&amp;"",""))</f>
        <v/>
      </c>
      <c r="J1311" s="65" t="str">
        <f>IF(COUNTA(A1311:G1311)=0,"",IF(E1311&lt;&gt;"",E1311,IF(B1311="","",IFERROR(IF(INDEX(pr_price,MATCH(B1311,pr_code,0))="","",INDEX(pr_price,MATCH(B1311,pr_code,0))),""))))</f>
        <v/>
      </c>
      <c r="K1311" s="71" t="str">
        <f>IF(COUNTA(A1311:G1311)=0,"",IF(G1311&lt;&gt;"",G1311,IF(B1311="","",IFERROR(IF(INDEX(pr_rate,MATCH(B1311,pr_code,0))="","",INDEX(pr_rate,MATCH(B1311,pr_code,0))),""))))</f>
        <v/>
      </c>
      <c r="L1311" s="65" t="str">
        <f>IF(COUNTA(A1311:G1311)=0,"",IF(AND(ISNUMBER(D1311),ISNUMBER(J1311)),ROUND(D1311*J1311*(1-N(F1311)),2),0))</f>
        <v/>
      </c>
      <c r="M1311" s="62" t="str">
        <f>IF(A1311="","",IFERROR(INDEX(dv_cname,MATCH(A1311,dv_num,0))&amp;"",""))</f>
        <v/>
      </c>
      <c r="N1311" s="59" t="str">
        <f>IF(COUNTA(A1311:G1311)=0,"",IF(A1311="","N° devis manquant",IF(ISNA(MATCH(A1311,dv_num,0)),"Devis inconnu",IF(AND(B1311&lt;&gt;"",ISNA(MATCH(B1311,pr_code,0))),"Article inconnu",IF(H1311="","Désignation manquante",IF(OR(NOT(ISNUMBER(D1311)),N(D1311)&lt;=0),"Quantité invalide",IF(J1311="","Prix manquant",IF(OR(NOT(ISNUMBER(J1311)),N(J1311)&lt;0),"Prix invalide",IF(OR(AND(F1311&lt;&gt;"",NOT(ISNUMBER(F1311))),N(F1311)&lt;0,N(F1311)&gt;1),"Remise invalide",IF(K1311="","Taux de TVA manquant",IF(NOT(ISNUMBER(K1311)),"Taux de TVA invalide",IF(COUNTIF(p_rates,K1311)=0,"Taux de TVA hors liste (Paramètres)",IF(N(O1311)&gt;25,"Au-delà de 25 lignes : non imprimée","OK")))))))))))))</f>
        <v/>
      </c>
      <c r="O1311" s="59" t="str">
        <f>IF(A1311="","",COUNTIF($A$6:A1311,A1311))</f>
        <v/>
      </c>
      <c r="P1311" s="62" t="str">
        <f>IF(A1311="","",A1311&amp;"|"&amp;O1311)</f>
        <v/>
      </c>
    </row>
    <row r="1312">
      <c r="A1312" s="60" t="n"/>
      <c r="B1312" s="63" t="n"/>
      <c r="C1312" s="63" t="n"/>
      <c r="D1312" s="67" t="n"/>
      <c r="E1312" s="68" t="n"/>
      <c r="F1312" s="69" t="n"/>
      <c r="G1312" s="70" t="n"/>
      <c r="H1312" s="62" t="str">
        <f>IF(COUNTA(A1312:G1312)=0,"",IF(C1312&lt;&gt;"",C1312,IF(B1312="","",IFERROR(INDEX(pr_des,MATCH(B1312,pr_code,0))&amp;"",""))))</f>
        <v/>
      </c>
      <c r="I1312" s="59" t="str">
        <f>IF(B1312="","",IFERROR(INDEX(pr_unit,MATCH(B1312,pr_code,0))&amp;"",""))</f>
        <v/>
      </c>
      <c r="J1312" s="65" t="str">
        <f>IF(COUNTA(A1312:G1312)=0,"",IF(E1312&lt;&gt;"",E1312,IF(B1312="","",IFERROR(IF(INDEX(pr_price,MATCH(B1312,pr_code,0))="","",INDEX(pr_price,MATCH(B1312,pr_code,0))),""))))</f>
        <v/>
      </c>
      <c r="K1312" s="71" t="str">
        <f>IF(COUNTA(A1312:G1312)=0,"",IF(G1312&lt;&gt;"",G1312,IF(B1312="","",IFERROR(IF(INDEX(pr_rate,MATCH(B1312,pr_code,0))="","",INDEX(pr_rate,MATCH(B1312,pr_code,0))),""))))</f>
        <v/>
      </c>
      <c r="L1312" s="65" t="str">
        <f>IF(COUNTA(A1312:G1312)=0,"",IF(AND(ISNUMBER(D1312),ISNUMBER(J1312)),ROUND(D1312*J1312*(1-N(F1312)),2),0))</f>
        <v/>
      </c>
      <c r="M1312" s="62" t="str">
        <f>IF(A1312="","",IFERROR(INDEX(dv_cname,MATCH(A1312,dv_num,0))&amp;"",""))</f>
        <v/>
      </c>
      <c r="N1312" s="59" t="str">
        <f>IF(COUNTA(A1312:G1312)=0,"",IF(A1312="","N° devis manquant",IF(ISNA(MATCH(A1312,dv_num,0)),"Devis inconnu",IF(AND(B1312&lt;&gt;"",ISNA(MATCH(B1312,pr_code,0))),"Article inconnu",IF(H1312="","Désignation manquante",IF(OR(NOT(ISNUMBER(D1312)),N(D1312)&lt;=0),"Quantité invalide",IF(J1312="","Prix manquant",IF(OR(NOT(ISNUMBER(J1312)),N(J1312)&lt;0),"Prix invalide",IF(OR(AND(F1312&lt;&gt;"",NOT(ISNUMBER(F1312))),N(F1312)&lt;0,N(F1312)&gt;1),"Remise invalide",IF(K1312="","Taux de TVA manquant",IF(NOT(ISNUMBER(K1312)),"Taux de TVA invalide",IF(COUNTIF(p_rates,K1312)=0,"Taux de TVA hors liste (Paramètres)",IF(N(O1312)&gt;25,"Au-delà de 25 lignes : non imprimée","OK")))))))))))))</f>
        <v/>
      </c>
      <c r="O1312" s="59" t="str">
        <f>IF(A1312="","",COUNTIF($A$6:A1312,A1312))</f>
        <v/>
      </c>
      <c r="P1312" s="62" t="str">
        <f>IF(A1312="","",A1312&amp;"|"&amp;O1312)</f>
        <v/>
      </c>
    </row>
    <row r="1313">
      <c r="A1313" s="60" t="n"/>
      <c r="B1313" s="63" t="n"/>
      <c r="C1313" s="63" t="n"/>
      <c r="D1313" s="67" t="n"/>
      <c r="E1313" s="68" t="n"/>
      <c r="F1313" s="69" t="n"/>
      <c r="G1313" s="70" t="n"/>
      <c r="H1313" s="62" t="str">
        <f>IF(COUNTA(A1313:G1313)=0,"",IF(C1313&lt;&gt;"",C1313,IF(B1313="","",IFERROR(INDEX(pr_des,MATCH(B1313,pr_code,0))&amp;"",""))))</f>
        <v/>
      </c>
      <c r="I1313" s="59" t="str">
        <f>IF(B1313="","",IFERROR(INDEX(pr_unit,MATCH(B1313,pr_code,0))&amp;"",""))</f>
        <v/>
      </c>
      <c r="J1313" s="65" t="str">
        <f>IF(COUNTA(A1313:G1313)=0,"",IF(E1313&lt;&gt;"",E1313,IF(B1313="","",IFERROR(IF(INDEX(pr_price,MATCH(B1313,pr_code,0))="","",INDEX(pr_price,MATCH(B1313,pr_code,0))),""))))</f>
        <v/>
      </c>
      <c r="K1313" s="71" t="str">
        <f>IF(COUNTA(A1313:G1313)=0,"",IF(G1313&lt;&gt;"",G1313,IF(B1313="","",IFERROR(IF(INDEX(pr_rate,MATCH(B1313,pr_code,0))="","",INDEX(pr_rate,MATCH(B1313,pr_code,0))),""))))</f>
        <v/>
      </c>
      <c r="L1313" s="65" t="str">
        <f>IF(COUNTA(A1313:G1313)=0,"",IF(AND(ISNUMBER(D1313),ISNUMBER(J1313)),ROUND(D1313*J1313*(1-N(F1313)),2),0))</f>
        <v/>
      </c>
      <c r="M1313" s="62" t="str">
        <f>IF(A1313="","",IFERROR(INDEX(dv_cname,MATCH(A1313,dv_num,0))&amp;"",""))</f>
        <v/>
      </c>
      <c r="N1313" s="59" t="str">
        <f>IF(COUNTA(A1313:G1313)=0,"",IF(A1313="","N° devis manquant",IF(ISNA(MATCH(A1313,dv_num,0)),"Devis inconnu",IF(AND(B1313&lt;&gt;"",ISNA(MATCH(B1313,pr_code,0))),"Article inconnu",IF(H1313="","Désignation manquante",IF(OR(NOT(ISNUMBER(D1313)),N(D1313)&lt;=0),"Quantité invalide",IF(J1313="","Prix manquant",IF(OR(NOT(ISNUMBER(J1313)),N(J1313)&lt;0),"Prix invalide",IF(OR(AND(F1313&lt;&gt;"",NOT(ISNUMBER(F1313))),N(F1313)&lt;0,N(F1313)&gt;1),"Remise invalide",IF(K1313="","Taux de TVA manquant",IF(NOT(ISNUMBER(K1313)),"Taux de TVA invalide",IF(COUNTIF(p_rates,K1313)=0,"Taux de TVA hors liste (Paramètres)",IF(N(O1313)&gt;25,"Au-delà de 25 lignes : non imprimée","OK")))))))))))))</f>
        <v/>
      </c>
      <c r="O1313" s="59" t="str">
        <f>IF(A1313="","",COUNTIF($A$6:A1313,A1313))</f>
        <v/>
      </c>
      <c r="P1313" s="62" t="str">
        <f>IF(A1313="","",A1313&amp;"|"&amp;O1313)</f>
        <v/>
      </c>
    </row>
    <row r="1314">
      <c r="A1314" s="60" t="n"/>
      <c r="B1314" s="63" t="n"/>
      <c r="C1314" s="63" t="n"/>
      <c r="D1314" s="67" t="n"/>
      <c r="E1314" s="68" t="n"/>
      <c r="F1314" s="69" t="n"/>
      <c r="G1314" s="70" t="n"/>
      <c r="H1314" s="62" t="str">
        <f>IF(COUNTA(A1314:G1314)=0,"",IF(C1314&lt;&gt;"",C1314,IF(B1314="","",IFERROR(INDEX(pr_des,MATCH(B1314,pr_code,0))&amp;"",""))))</f>
        <v/>
      </c>
      <c r="I1314" s="59" t="str">
        <f>IF(B1314="","",IFERROR(INDEX(pr_unit,MATCH(B1314,pr_code,0))&amp;"",""))</f>
        <v/>
      </c>
      <c r="J1314" s="65" t="str">
        <f>IF(COUNTA(A1314:G1314)=0,"",IF(E1314&lt;&gt;"",E1314,IF(B1314="","",IFERROR(IF(INDEX(pr_price,MATCH(B1314,pr_code,0))="","",INDEX(pr_price,MATCH(B1314,pr_code,0))),""))))</f>
        <v/>
      </c>
      <c r="K1314" s="71" t="str">
        <f>IF(COUNTA(A1314:G1314)=0,"",IF(G1314&lt;&gt;"",G1314,IF(B1314="","",IFERROR(IF(INDEX(pr_rate,MATCH(B1314,pr_code,0))="","",INDEX(pr_rate,MATCH(B1314,pr_code,0))),""))))</f>
        <v/>
      </c>
      <c r="L1314" s="65" t="str">
        <f>IF(COUNTA(A1314:G1314)=0,"",IF(AND(ISNUMBER(D1314),ISNUMBER(J1314)),ROUND(D1314*J1314*(1-N(F1314)),2),0))</f>
        <v/>
      </c>
      <c r="M1314" s="62" t="str">
        <f>IF(A1314="","",IFERROR(INDEX(dv_cname,MATCH(A1314,dv_num,0))&amp;"",""))</f>
        <v/>
      </c>
      <c r="N1314" s="59" t="str">
        <f>IF(COUNTA(A1314:G1314)=0,"",IF(A1314="","N° devis manquant",IF(ISNA(MATCH(A1314,dv_num,0)),"Devis inconnu",IF(AND(B1314&lt;&gt;"",ISNA(MATCH(B1314,pr_code,0))),"Article inconnu",IF(H1314="","Désignation manquante",IF(OR(NOT(ISNUMBER(D1314)),N(D1314)&lt;=0),"Quantité invalide",IF(J1314="","Prix manquant",IF(OR(NOT(ISNUMBER(J1314)),N(J1314)&lt;0),"Prix invalide",IF(OR(AND(F1314&lt;&gt;"",NOT(ISNUMBER(F1314))),N(F1314)&lt;0,N(F1314)&gt;1),"Remise invalide",IF(K1314="","Taux de TVA manquant",IF(NOT(ISNUMBER(K1314)),"Taux de TVA invalide",IF(COUNTIF(p_rates,K1314)=0,"Taux de TVA hors liste (Paramètres)",IF(N(O1314)&gt;25,"Au-delà de 25 lignes : non imprimée","OK")))))))))))))</f>
        <v/>
      </c>
      <c r="O1314" s="59" t="str">
        <f>IF(A1314="","",COUNTIF($A$6:A1314,A1314))</f>
        <v/>
      </c>
      <c r="P1314" s="62" t="str">
        <f>IF(A1314="","",A1314&amp;"|"&amp;O1314)</f>
        <v/>
      </c>
    </row>
    <row r="1315">
      <c r="A1315" s="60" t="n"/>
      <c r="B1315" s="63" t="n"/>
      <c r="C1315" s="63" t="n"/>
      <c r="D1315" s="67" t="n"/>
      <c r="E1315" s="68" t="n"/>
      <c r="F1315" s="69" t="n"/>
      <c r="G1315" s="70" t="n"/>
      <c r="H1315" s="62" t="str">
        <f>IF(COUNTA(A1315:G1315)=0,"",IF(C1315&lt;&gt;"",C1315,IF(B1315="","",IFERROR(INDEX(pr_des,MATCH(B1315,pr_code,0))&amp;"",""))))</f>
        <v/>
      </c>
      <c r="I1315" s="59" t="str">
        <f>IF(B1315="","",IFERROR(INDEX(pr_unit,MATCH(B1315,pr_code,0))&amp;"",""))</f>
        <v/>
      </c>
      <c r="J1315" s="65" t="str">
        <f>IF(COUNTA(A1315:G1315)=0,"",IF(E1315&lt;&gt;"",E1315,IF(B1315="","",IFERROR(IF(INDEX(pr_price,MATCH(B1315,pr_code,0))="","",INDEX(pr_price,MATCH(B1315,pr_code,0))),""))))</f>
        <v/>
      </c>
      <c r="K1315" s="71" t="str">
        <f>IF(COUNTA(A1315:G1315)=0,"",IF(G1315&lt;&gt;"",G1315,IF(B1315="","",IFERROR(IF(INDEX(pr_rate,MATCH(B1315,pr_code,0))="","",INDEX(pr_rate,MATCH(B1315,pr_code,0))),""))))</f>
        <v/>
      </c>
      <c r="L1315" s="65" t="str">
        <f>IF(COUNTA(A1315:G1315)=0,"",IF(AND(ISNUMBER(D1315),ISNUMBER(J1315)),ROUND(D1315*J1315*(1-N(F1315)),2),0))</f>
        <v/>
      </c>
      <c r="M1315" s="62" t="str">
        <f>IF(A1315="","",IFERROR(INDEX(dv_cname,MATCH(A1315,dv_num,0))&amp;"",""))</f>
        <v/>
      </c>
      <c r="N1315" s="59" t="str">
        <f>IF(COUNTA(A1315:G1315)=0,"",IF(A1315="","N° devis manquant",IF(ISNA(MATCH(A1315,dv_num,0)),"Devis inconnu",IF(AND(B1315&lt;&gt;"",ISNA(MATCH(B1315,pr_code,0))),"Article inconnu",IF(H1315="","Désignation manquante",IF(OR(NOT(ISNUMBER(D1315)),N(D1315)&lt;=0),"Quantité invalide",IF(J1315="","Prix manquant",IF(OR(NOT(ISNUMBER(J1315)),N(J1315)&lt;0),"Prix invalide",IF(OR(AND(F1315&lt;&gt;"",NOT(ISNUMBER(F1315))),N(F1315)&lt;0,N(F1315)&gt;1),"Remise invalide",IF(K1315="","Taux de TVA manquant",IF(NOT(ISNUMBER(K1315)),"Taux de TVA invalide",IF(COUNTIF(p_rates,K1315)=0,"Taux de TVA hors liste (Paramètres)",IF(N(O1315)&gt;25,"Au-delà de 25 lignes : non imprimée","OK")))))))))))))</f>
        <v/>
      </c>
      <c r="O1315" s="59" t="str">
        <f>IF(A1315="","",COUNTIF($A$6:A1315,A1315))</f>
        <v/>
      </c>
      <c r="P1315" s="62" t="str">
        <f>IF(A1315="","",A1315&amp;"|"&amp;O1315)</f>
        <v/>
      </c>
    </row>
    <row r="1316">
      <c r="A1316" s="60" t="n"/>
      <c r="B1316" s="63" t="n"/>
      <c r="C1316" s="63" t="n"/>
      <c r="D1316" s="67" t="n"/>
      <c r="E1316" s="68" t="n"/>
      <c r="F1316" s="69" t="n"/>
      <c r="G1316" s="70" t="n"/>
      <c r="H1316" s="62" t="str">
        <f>IF(COUNTA(A1316:G1316)=0,"",IF(C1316&lt;&gt;"",C1316,IF(B1316="","",IFERROR(INDEX(pr_des,MATCH(B1316,pr_code,0))&amp;"",""))))</f>
        <v/>
      </c>
      <c r="I1316" s="59" t="str">
        <f>IF(B1316="","",IFERROR(INDEX(pr_unit,MATCH(B1316,pr_code,0))&amp;"",""))</f>
        <v/>
      </c>
      <c r="J1316" s="65" t="str">
        <f>IF(COUNTA(A1316:G1316)=0,"",IF(E1316&lt;&gt;"",E1316,IF(B1316="","",IFERROR(IF(INDEX(pr_price,MATCH(B1316,pr_code,0))="","",INDEX(pr_price,MATCH(B1316,pr_code,0))),""))))</f>
        <v/>
      </c>
      <c r="K1316" s="71" t="str">
        <f>IF(COUNTA(A1316:G1316)=0,"",IF(G1316&lt;&gt;"",G1316,IF(B1316="","",IFERROR(IF(INDEX(pr_rate,MATCH(B1316,pr_code,0))="","",INDEX(pr_rate,MATCH(B1316,pr_code,0))),""))))</f>
        <v/>
      </c>
      <c r="L1316" s="65" t="str">
        <f>IF(COUNTA(A1316:G1316)=0,"",IF(AND(ISNUMBER(D1316),ISNUMBER(J1316)),ROUND(D1316*J1316*(1-N(F1316)),2),0))</f>
        <v/>
      </c>
      <c r="M1316" s="62" t="str">
        <f>IF(A1316="","",IFERROR(INDEX(dv_cname,MATCH(A1316,dv_num,0))&amp;"",""))</f>
        <v/>
      </c>
      <c r="N1316" s="59" t="str">
        <f>IF(COUNTA(A1316:G1316)=0,"",IF(A1316="","N° devis manquant",IF(ISNA(MATCH(A1316,dv_num,0)),"Devis inconnu",IF(AND(B1316&lt;&gt;"",ISNA(MATCH(B1316,pr_code,0))),"Article inconnu",IF(H1316="","Désignation manquante",IF(OR(NOT(ISNUMBER(D1316)),N(D1316)&lt;=0),"Quantité invalide",IF(J1316="","Prix manquant",IF(OR(NOT(ISNUMBER(J1316)),N(J1316)&lt;0),"Prix invalide",IF(OR(AND(F1316&lt;&gt;"",NOT(ISNUMBER(F1316))),N(F1316)&lt;0,N(F1316)&gt;1),"Remise invalide",IF(K1316="","Taux de TVA manquant",IF(NOT(ISNUMBER(K1316)),"Taux de TVA invalide",IF(COUNTIF(p_rates,K1316)=0,"Taux de TVA hors liste (Paramètres)",IF(N(O1316)&gt;25,"Au-delà de 25 lignes : non imprimée","OK")))))))))))))</f>
        <v/>
      </c>
      <c r="O1316" s="59" t="str">
        <f>IF(A1316="","",COUNTIF($A$6:A1316,A1316))</f>
        <v/>
      </c>
      <c r="P1316" s="62" t="str">
        <f>IF(A1316="","",A1316&amp;"|"&amp;O1316)</f>
        <v/>
      </c>
    </row>
    <row r="1317">
      <c r="A1317" s="60" t="n"/>
      <c r="B1317" s="63" t="n"/>
      <c r="C1317" s="63" t="n"/>
      <c r="D1317" s="67" t="n"/>
      <c r="E1317" s="68" t="n"/>
      <c r="F1317" s="69" t="n"/>
      <c r="G1317" s="70" t="n"/>
      <c r="H1317" s="62" t="str">
        <f>IF(COUNTA(A1317:G1317)=0,"",IF(C1317&lt;&gt;"",C1317,IF(B1317="","",IFERROR(INDEX(pr_des,MATCH(B1317,pr_code,0))&amp;"",""))))</f>
        <v/>
      </c>
      <c r="I1317" s="59" t="str">
        <f>IF(B1317="","",IFERROR(INDEX(pr_unit,MATCH(B1317,pr_code,0))&amp;"",""))</f>
        <v/>
      </c>
      <c r="J1317" s="65" t="str">
        <f>IF(COUNTA(A1317:G1317)=0,"",IF(E1317&lt;&gt;"",E1317,IF(B1317="","",IFERROR(IF(INDEX(pr_price,MATCH(B1317,pr_code,0))="","",INDEX(pr_price,MATCH(B1317,pr_code,0))),""))))</f>
        <v/>
      </c>
      <c r="K1317" s="71" t="str">
        <f>IF(COUNTA(A1317:G1317)=0,"",IF(G1317&lt;&gt;"",G1317,IF(B1317="","",IFERROR(IF(INDEX(pr_rate,MATCH(B1317,pr_code,0))="","",INDEX(pr_rate,MATCH(B1317,pr_code,0))),""))))</f>
        <v/>
      </c>
      <c r="L1317" s="65" t="str">
        <f>IF(COUNTA(A1317:G1317)=0,"",IF(AND(ISNUMBER(D1317),ISNUMBER(J1317)),ROUND(D1317*J1317*(1-N(F1317)),2),0))</f>
        <v/>
      </c>
      <c r="M1317" s="62" t="str">
        <f>IF(A1317="","",IFERROR(INDEX(dv_cname,MATCH(A1317,dv_num,0))&amp;"",""))</f>
        <v/>
      </c>
      <c r="N1317" s="59" t="str">
        <f>IF(COUNTA(A1317:G1317)=0,"",IF(A1317="","N° devis manquant",IF(ISNA(MATCH(A1317,dv_num,0)),"Devis inconnu",IF(AND(B1317&lt;&gt;"",ISNA(MATCH(B1317,pr_code,0))),"Article inconnu",IF(H1317="","Désignation manquante",IF(OR(NOT(ISNUMBER(D1317)),N(D1317)&lt;=0),"Quantité invalide",IF(J1317="","Prix manquant",IF(OR(NOT(ISNUMBER(J1317)),N(J1317)&lt;0),"Prix invalide",IF(OR(AND(F1317&lt;&gt;"",NOT(ISNUMBER(F1317))),N(F1317)&lt;0,N(F1317)&gt;1),"Remise invalide",IF(K1317="","Taux de TVA manquant",IF(NOT(ISNUMBER(K1317)),"Taux de TVA invalide",IF(COUNTIF(p_rates,K1317)=0,"Taux de TVA hors liste (Paramètres)",IF(N(O1317)&gt;25,"Au-delà de 25 lignes : non imprimée","OK")))))))))))))</f>
        <v/>
      </c>
      <c r="O1317" s="59" t="str">
        <f>IF(A1317="","",COUNTIF($A$6:A1317,A1317))</f>
        <v/>
      </c>
      <c r="P1317" s="62" t="str">
        <f>IF(A1317="","",A1317&amp;"|"&amp;O1317)</f>
        <v/>
      </c>
    </row>
    <row r="1318">
      <c r="A1318" s="60" t="n"/>
      <c r="B1318" s="63" t="n"/>
      <c r="C1318" s="63" t="n"/>
      <c r="D1318" s="67" t="n"/>
      <c r="E1318" s="68" t="n"/>
      <c r="F1318" s="69" t="n"/>
      <c r="G1318" s="70" t="n"/>
      <c r="H1318" s="62" t="str">
        <f>IF(COUNTA(A1318:G1318)=0,"",IF(C1318&lt;&gt;"",C1318,IF(B1318="","",IFERROR(INDEX(pr_des,MATCH(B1318,pr_code,0))&amp;"",""))))</f>
        <v/>
      </c>
      <c r="I1318" s="59" t="str">
        <f>IF(B1318="","",IFERROR(INDEX(pr_unit,MATCH(B1318,pr_code,0))&amp;"",""))</f>
        <v/>
      </c>
      <c r="J1318" s="65" t="str">
        <f>IF(COUNTA(A1318:G1318)=0,"",IF(E1318&lt;&gt;"",E1318,IF(B1318="","",IFERROR(IF(INDEX(pr_price,MATCH(B1318,pr_code,0))="","",INDEX(pr_price,MATCH(B1318,pr_code,0))),""))))</f>
        <v/>
      </c>
      <c r="K1318" s="71" t="str">
        <f>IF(COUNTA(A1318:G1318)=0,"",IF(G1318&lt;&gt;"",G1318,IF(B1318="","",IFERROR(IF(INDEX(pr_rate,MATCH(B1318,pr_code,0))="","",INDEX(pr_rate,MATCH(B1318,pr_code,0))),""))))</f>
        <v/>
      </c>
      <c r="L1318" s="65" t="str">
        <f>IF(COUNTA(A1318:G1318)=0,"",IF(AND(ISNUMBER(D1318),ISNUMBER(J1318)),ROUND(D1318*J1318*(1-N(F1318)),2),0))</f>
        <v/>
      </c>
      <c r="M1318" s="62" t="str">
        <f>IF(A1318="","",IFERROR(INDEX(dv_cname,MATCH(A1318,dv_num,0))&amp;"",""))</f>
        <v/>
      </c>
      <c r="N1318" s="59" t="str">
        <f>IF(COUNTA(A1318:G1318)=0,"",IF(A1318="","N° devis manquant",IF(ISNA(MATCH(A1318,dv_num,0)),"Devis inconnu",IF(AND(B1318&lt;&gt;"",ISNA(MATCH(B1318,pr_code,0))),"Article inconnu",IF(H1318="","Désignation manquante",IF(OR(NOT(ISNUMBER(D1318)),N(D1318)&lt;=0),"Quantité invalide",IF(J1318="","Prix manquant",IF(OR(NOT(ISNUMBER(J1318)),N(J1318)&lt;0),"Prix invalide",IF(OR(AND(F1318&lt;&gt;"",NOT(ISNUMBER(F1318))),N(F1318)&lt;0,N(F1318)&gt;1),"Remise invalide",IF(K1318="","Taux de TVA manquant",IF(NOT(ISNUMBER(K1318)),"Taux de TVA invalide",IF(COUNTIF(p_rates,K1318)=0,"Taux de TVA hors liste (Paramètres)",IF(N(O1318)&gt;25,"Au-delà de 25 lignes : non imprimée","OK")))))))))))))</f>
        <v/>
      </c>
      <c r="O1318" s="59" t="str">
        <f>IF(A1318="","",COUNTIF($A$6:A1318,A1318))</f>
        <v/>
      </c>
      <c r="P1318" s="62" t="str">
        <f>IF(A1318="","",A1318&amp;"|"&amp;O1318)</f>
        <v/>
      </c>
    </row>
    <row r="1319">
      <c r="A1319" s="60" t="n"/>
      <c r="B1319" s="63" t="n"/>
      <c r="C1319" s="63" t="n"/>
      <c r="D1319" s="67" t="n"/>
      <c r="E1319" s="68" t="n"/>
      <c r="F1319" s="69" t="n"/>
      <c r="G1319" s="70" t="n"/>
      <c r="H1319" s="62" t="str">
        <f>IF(COUNTA(A1319:G1319)=0,"",IF(C1319&lt;&gt;"",C1319,IF(B1319="","",IFERROR(INDEX(pr_des,MATCH(B1319,pr_code,0))&amp;"",""))))</f>
        <v/>
      </c>
      <c r="I1319" s="59" t="str">
        <f>IF(B1319="","",IFERROR(INDEX(pr_unit,MATCH(B1319,pr_code,0))&amp;"",""))</f>
        <v/>
      </c>
      <c r="J1319" s="65" t="str">
        <f>IF(COUNTA(A1319:G1319)=0,"",IF(E1319&lt;&gt;"",E1319,IF(B1319="","",IFERROR(IF(INDEX(pr_price,MATCH(B1319,pr_code,0))="","",INDEX(pr_price,MATCH(B1319,pr_code,0))),""))))</f>
        <v/>
      </c>
      <c r="K1319" s="71" t="str">
        <f>IF(COUNTA(A1319:G1319)=0,"",IF(G1319&lt;&gt;"",G1319,IF(B1319="","",IFERROR(IF(INDEX(pr_rate,MATCH(B1319,pr_code,0))="","",INDEX(pr_rate,MATCH(B1319,pr_code,0))),""))))</f>
        <v/>
      </c>
      <c r="L1319" s="65" t="str">
        <f>IF(COUNTA(A1319:G1319)=0,"",IF(AND(ISNUMBER(D1319),ISNUMBER(J1319)),ROUND(D1319*J1319*(1-N(F1319)),2),0))</f>
        <v/>
      </c>
      <c r="M1319" s="62" t="str">
        <f>IF(A1319="","",IFERROR(INDEX(dv_cname,MATCH(A1319,dv_num,0))&amp;"",""))</f>
        <v/>
      </c>
      <c r="N1319" s="59" t="str">
        <f>IF(COUNTA(A1319:G1319)=0,"",IF(A1319="","N° devis manquant",IF(ISNA(MATCH(A1319,dv_num,0)),"Devis inconnu",IF(AND(B1319&lt;&gt;"",ISNA(MATCH(B1319,pr_code,0))),"Article inconnu",IF(H1319="","Désignation manquante",IF(OR(NOT(ISNUMBER(D1319)),N(D1319)&lt;=0),"Quantité invalide",IF(J1319="","Prix manquant",IF(OR(NOT(ISNUMBER(J1319)),N(J1319)&lt;0),"Prix invalide",IF(OR(AND(F1319&lt;&gt;"",NOT(ISNUMBER(F1319))),N(F1319)&lt;0,N(F1319)&gt;1),"Remise invalide",IF(K1319="","Taux de TVA manquant",IF(NOT(ISNUMBER(K1319)),"Taux de TVA invalide",IF(COUNTIF(p_rates,K1319)=0,"Taux de TVA hors liste (Paramètres)",IF(N(O1319)&gt;25,"Au-delà de 25 lignes : non imprimée","OK")))))))))))))</f>
        <v/>
      </c>
      <c r="O1319" s="59" t="str">
        <f>IF(A1319="","",COUNTIF($A$6:A1319,A1319))</f>
        <v/>
      </c>
      <c r="P1319" s="62" t="str">
        <f>IF(A1319="","",A1319&amp;"|"&amp;O1319)</f>
        <v/>
      </c>
    </row>
    <row r="1320">
      <c r="A1320" s="60" t="n"/>
      <c r="B1320" s="63" t="n"/>
      <c r="C1320" s="63" t="n"/>
      <c r="D1320" s="67" t="n"/>
      <c r="E1320" s="68" t="n"/>
      <c r="F1320" s="69" t="n"/>
      <c r="G1320" s="70" t="n"/>
      <c r="H1320" s="62" t="str">
        <f>IF(COUNTA(A1320:G1320)=0,"",IF(C1320&lt;&gt;"",C1320,IF(B1320="","",IFERROR(INDEX(pr_des,MATCH(B1320,pr_code,0))&amp;"",""))))</f>
        <v/>
      </c>
      <c r="I1320" s="59" t="str">
        <f>IF(B1320="","",IFERROR(INDEX(pr_unit,MATCH(B1320,pr_code,0))&amp;"",""))</f>
        <v/>
      </c>
      <c r="J1320" s="65" t="str">
        <f>IF(COUNTA(A1320:G1320)=0,"",IF(E1320&lt;&gt;"",E1320,IF(B1320="","",IFERROR(IF(INDEX(pr_price,MATCH(B1320,pr_code,0))="","",INDEX(pr_price,MATCH(B1320,pr_code,0))),""))))</f>
        <v/>
      </c>
      <c r="K1320" s="71" t="str">
        <f>IF(COUNTA(A1320:G1320)=0,"",IF(G1320&lt;&gt;"",G1320,IF(B1320="","",IFERROR(IF(INDEX(pr_rate,MATCH(B1320,pr_code,0))="","",INDEX(pr_rate,MATCH(B1320,pr_code,0))),""))))</f>
        <v/>
      </c>
      <c r="L1320" s="65" t="str">
        <f>IF(COUNTA(A1320:G1320)=0,"",IF(AND(ISNUMBER(D1320),ISNUMBER(J1320)),ROUND(D1320*J1320*(1-N(F1320)),2),0))</f>
        <v/>
      </c>
      <c r="M1320" s="62" t="str">
        <f>IF(A1320="","",IFERROR(INDEX(dv_cname,MATCH(A1320,dv_num,0))&amp;"",""))</f>
        <v/>
      </c>
      <c r="N1320" s="59" t="str">
        <f>IF(COUNTA(A1320:G1320)=0,"",IF(A1320="","N° devis manquant",IF(ISNA(MATCH(A1320,dv_num,0)),"Devis inconnu",IF(AND(B1320&lt;&gt;"",ISNA(MATCH(B1320,pr_code,0))),"Article inconnu",IF(H1320="","Désignation manquante",IF(OR(NOT(ISNUMBER(D1320)),N(D1320)&lt;=0),"Quantité invalide",IF(J1320="","Prix manquant",IF(OR(NOT(ISNUMBER(J1320)),N(J1320)&lt;0),"Prix invalide",IF(OR(AND(F1320&lt;&gt;"",NOT(ISNUMBER(F1320))),N(F1320)&lt;0,N(F1320)&gt;1),"Remise invalide",IF(K1320="","Taux de TVA manquant",IF(NOT(ISNUMBER(K1320)),"Taux de TVA invalide",IF(COUNTIF(p_rates,K1320)=0,"Taux de TVA hors liste (Paramètres)",IF(N(O1320)&gt;25,"Au-delà de 25 lignes : non imprimée","OK")))))))))))))</f>
        <v/>
      </c>
      <c r="O1320" s="59" t="str">
        <f>IF(A1320="","",COUNTIF($A$6:A1320,A1320))</f>
        <v/>
      </c>
      <c r="P1320" s="62" t="str">
        <f>IF(A1320="","",A1320&amp;"|"&amp;O1320)</f>
        <v/>
      </c>
    </row>
    <row r="1321">
      <c r="A1321" s="60" t="n"/>
      <c r="B1321" s="63" t="n"/>
      <c r="C1321" s="63" t="n"/>
      <c r="D1321" s="67" t="n"/>
      <c r="E1321" s="68" t="n"/>
      <c r="F1321" s="69" t="n"/>
      <c r="G1321" s="70" t="n"/>
      <c r="H1321" s="62" t="str">
        <f>IF(COUNTA(A1321:G1321)=0,"",IF(C1321&lt;&gt;"",C1321,IF(B1321="","",IFERROR(INDEX(pr_des,MATCH(B1321,pr_code,0))&amp;"",""))))</f>
        <v/>
      </c>
      <c r="I1321" s="59" t="str">
        <f>IF(B1321="","",IFERROR(INDEX(pr_unit,MATCH(B1321,pr_code,0))&amp;"",""))</f>
        <v/>
      </c>
      <c r="J1321" s="65" t="str">
        <f>IF(COUNTA(A1321:G1321)=0,"",IF(E1321&lt;&gt;"",E1321,IF(B1321="","",IFERROR(IF(INDEX(pr_price,MATCH(B1321,pr_code,0))="","",INDEX(pr_price,MATCH(B1321,pr_code,0))),""))))</f>
        <v/>
      </c>
      <c r="K1321" s="71" t="str">
        <f>IF(COUNTA(A1321:G1321)=0,"",IF(G1321&lt;&gt;"",G1321,IF(B1321="","",IFERROR(IF(INDEX(pr_rate,MATCH(B1321,pr_code,0))="","",INDEX(pr_rate,MATCH(B1321,pr_code,0))),""))))</f>
        <v/>
      </c>
      <c r="L1321" s="65" t="str">
        <f>IF(COUNTA(A1321:G1321)=0,"",IF(AND(ISNUMBER(D1321),ISNUMBER(J1321)),ROUND(D1321*J1321*(1-N(F1321)),2),0))</f>
        <v/>
      </c>
      <c r="M1321" s="62" t="str">
        <f>IF(A1321="","",IFERROR(INDEX(dv_cname,MATCH(A1321,dv_num,0))&amp;"",""))</f>
        <v/>
      </c>
      <c r="N1321" s="59" t="str">
        <f>IF(COUNTA(A1321:G1321)=0,"",IF(A1321="","N° devis manquant",IF(ISNA(MATCH(A1321,dv_num,0)),"Devis inconnu",IF(AND(B1321&lt;&gt;"",ISNA(MATCH(B1321,pr_code,0))),"Article inconnu",IF(H1321="","Désignation manquante",IF(OR(NOT(ISNUMBER(D1321)),N(D1321)&lt;=0),"Quantité invalide",IF(J1321="","Prix manquant",IF(OR(NOT(ISNUMBER(J1321)),N(J1321)&lt;0),"Prix invalide",IF(OR(AND(F1321&lt;&gt;"",NOT(ISNUMBER(F1321))),N(F1321)&lt;0,N(F1321)&gt;1),"Remise invalide",IF(K1321="","Taux de TVA manquant",IF(NOT(ISNUMBER(K1321)),"Taux de TVA invalide",IF(COUNTIF(p_rates,K1321)=0,"Taux de TVA hors liste (Paramètres)",IF(N(O1321)&gt;25,"Au-delà de 25 lignes : non imprimée","OK")))))))))))))</f>
        <v/>
      </c>
      <c r="O1321" s="59" t="str">
        <f>IF(A1321="","",COUNTIF($A$6:A1321,A1321))</f>
        <v/>
      </c>
      <c r="P1321" s="62" t="str">
        <f>IF(A1321="","",A1321&amp;"|"&amp;O1321)</f>
        <v/>
      </c>
    </row>
    <row r="1322">
      <c r="A1322" s="60" t="n"/>
      <c r="B1322" s="63" t="n"/>
      <c r="C1322" s="63" t="n"/>
      <c r="D1322" s="67" t="n"/>
      <c r="E1322" s="68" t="n"/>
      <c r="F1322" s="69" t="n"/>
      <c r="G1322" s="70" t="n"/>
      <c r="H1322" s="62" t="str">
        <f>IF(COUNTA(A1322:G1322)=0,"",IF(C1322&lt;&gt;"",C1322,IF(B1322="","",IFERROR(INDEX(pr_des,MATCH(B1322,pr_code,0))&amp;"",""))))</f>
        <v/>
      </c>
      <c r="I1322" s="59" t="str">
        <f>IF(B1322="","",IFERROR(INDEX(pr_unit,MATCH(B1322,pr_code,0))&amp;"",""))</f>
        <v/>
      </c>
      <c r="J1322" s="65" t="str">
        <f>IF(COUNTA(A1322:G1322)=0,"",IF(E1322&lt;&gt;"",E1322,IF(B1322="","",IFERROR(IF(INDEX(pr_price,MATCH(B1322,pr_code,0))="","",INDEX(pr_price,MATCH(B1322,pr_code,0))),""))))</f>
        <v/>
      </c>
      <c r="K1322" s="71" t="str">
        <f>IF(COUNTA(A1322:G1322)=0,"",IF(G1322&lt;&gt;"",G1322,IF(B1322="","",IFERROR(IF(INDEX(pr_rate,MATCH(B1322,pr_code,0))="","",INDEX(pr_rate,MATCH(B1322,pr_code,0))),""))))</f>
        <v/>
      </c>
      <c r="L1322" s="65" t="str">
        <f>IF(COUNTA(A1322:G1322)=0,"",IF(AND(ISNUMBER(D1322),ISNUMBER(J1322)),ROUND(D1322*J1322*(1-N(F1322)),2),0))</f>
        <v/>
      </c>
      <c r="M1322" s="62" t="str">
        <f>IF(A1322="","",IFERROR(INDEX(dv_cname,MATCH(A1322,dv_num,0))&amp;"",""))</f>
        <v/>
      </c>
      <c r="N1322" s="59" t="str">
        <f>IF(COUNTA(A1322:G1322)=0,"",IF(A1322="","N° devis manquant",IF(ISNA(MATCH(A1322,dv_num,0)),"Devis inconnu",IF(AND(B1322&lt;&gt;"",ISNA(MATCH(B1322,pr_code,0))),"Article inconnu",IF(H1322="","Désignation manquante",IF(OR(NOT(ISNUMBER(D1322)),N(D1322)&lt;=0),"Quantité invalide",IF(J1322="","Prix manquant",IF(OR(NOT(ISNUMBER(J1322)),N(J1322)&lt;0),"Prix invalide",IF(OR(AND(F1322&lt;&gt;"",NOT(ISNUMBER(F1322))),N(F1322)&lt;0,N(F1322)&gt;1),"Remise invalide",IF(K1322="","Taux de TVA manquant",IF(NOT(ISNUMBER(K1322)),"Taux de TVA invalide",IF(COUNTIF(p_rates,K1322)=0,"Taux de TVA hors liste (Paramètres)",IF(N(O1322)&gt;25,"Au-delà de 25 lignes : non imprimée","OK")))))))))))))</f>
        <v/>
      </c>
      <c r="O1322" s="59" t="str">
        <f>IF(A1322="","",COUNTIF($A$6:A1322,A1322))</f>
        <v/>
      </c>
      <c r="P1322" s="62" t="str">
        <f>IF(A1322="","",A1322&amp;"|"&amp;O1322)</f>
        <v/>
      </c>
    </row>
    <row r="1323">
      <c r="A1323" s="60" t="n"/>
      <c r="B1323" s="63" t="n"/>
      <c r="C1323" s="63" t="n"/>
      <c r="D1323" s="67" t="n"/>
      <c r="E1323" s="68" t="n"/>
      <c r="F1323" s="69" t="n"/>
      <c r="G1323" s="70" t="n"/>
      <c r="H1323" s="62" t="str">
        <f>IF(COUNTA(A1323:G1323)=0,"",IF(C1323&lt;&gt;"",C1323,IF(B1323="","",IFERROR(INDEX(pr_des,MATCH(B1323,pr_code,0))&amp;"",""))))</f>
        <v/>
      </c>
      <c r="I1323" s="59" t="str">
        <f>IF(B1323="","",IFERROR(INDEX(pr_unit,MATCH(B1323,pr_code,0))&amp;"",""))</f>
        <v/>
      </c>
      <c r="J1323" s="65" t="str">
        <f>IF(COUNTA(A1323:G1323)=0,"",IF(E1323&lt;&gt;"",E1323,IF(B1323="","",IFERROR(IF(INDEX(pr_price,MATCH(B1323,pr_code,0))="","",INDEX(pr_price,MATCH(B1323,pr_code,0))),""))))</f>
        <v/>
      </c>
      <c r="K1323" s="71" t="str">
        <f>IF(COUNTA(A1323:G1323)=0,"",IF(G1323&lt;&gt;"",G1323,IF(B1323="","",IFERROR(IF(INDEX(pr_rate,MATCH(B1323,pr_code,0))="","",INDEX(pr_rate,MATCH(B1323,pr_code,0))),""))))</f>
        <v/>
      </c>
      <c r="L1323" s="65" t="str">
        <f>IF(COUNTA(A1323:G1323)=0,"",IF(AND(ISNUMBER(D1323),ISNUMBER(J1323)),ROUND(D1323*J1323*(1-N(F1323)),2),0))</f>
        <v/>
      </c>
      <c r="M1323" s="62" t="str">
        <f>IF(A1323="","",IFERROR(INDEX(dv_cname,MATCH(A1323,dv_num,0))&amp;"",""))</f>
        <v/>
      </c>
      <c r="N1323" s="59" t="str">
        <f>IF(COUNTA(A1323:G1323)=0,"",IF(A1323="","N° devis manquant",IF(ISNA(MATCH(A1323,dv_num,0)),"Devis inconnu",IF(AND(B1323&lt;&gt;"",ISNA(MATCH(B1323,pr_code,0))),"Article inconnu",IF(H1323="","Désignation manquante",IF(OR(NOT(ISNUMBER(D1323)),N(D1323)&lt;=0),"Quantité invalide",IF(J1323="","Prix manquant",IF(OR(NOT(ISNUMBER(J1323)),N(J1323)&lt;0),"Prix invalide",IF(OR(AND(F1323&lt;&gt;"",NOT(ISNUMBER(F1323))),N(F1323)&lt;0,N(F1323)&gt;1),"Remise invalide",IF(K1323="","Taux de TVA manquant",IF(NOT(ISNUMBER(K1323)),"Taux de TVA invalide",IF(COUNTIF(p_rates,K1323)=0,"Taux de TVA hors liste (Paramètres)",IF(N(O1323)&gt;25,"Au-delà de 25 lignes : non imprimée","OK")))))))))))))</f>
        <v/>
      </c>
      <c r="O1323" s="59" t="str">
        <f>IF(A1323="","",COUNTIF($A$6:A1323,A1323))</f>
        <v/>
      </c>
      <c r="P1323" s="62" t="str">
        <f>IF(A1323="","",A1323&amp;"|"&amp;O1323)</f>
        <v/>
      </c>
    </row>
    <row r="1324">
      <c r="A1324" s="60" t="n"/>
      <c r="B1324" s="63" t="n"/>
      <c r="C1324" s="63" t="n"/>
      <c r="D1324" s="67" t="n"/>
      <c r="E1324" s="68" t="n"/>
      <c r="F1324" s="69" t="n"/>
      <c r="G1324" s="70" t="n"/>
      <c r="H1324" s="62" t="str">
        <f>IF(COUNTA(A1324:G1324)=0,"",IF(C1324&lt;&gt;"",C1324,IF(B1324="","",IFERROR(INDEX(pr_des,MATCH(B1324,pr_code,0))&amp;"",""))))</f>
        <v/>
      </c>
      <c r="I1324" s="59" t="str">
        <f>IF(B1324="","",IFERROR(INDEX(pr_unit,MATCH(B1324,pr_code,0))&amp;"",""))</f>
        <v/>
      </c>
      <c r="J1324" s="65" t="str">
        <f>IF(COUNTA(A1324:G1324)=0,"",IF(E1324&lt;&gt;"",E1324,IF(B1324="","",IFERROR(IF(INDEX(pr_price,MATCH(B1324,pr_code,0))="","",INDEX(pr_price,MATCH(B1324,pr_code,0))),""))))</f>
        <v/>
      </c>
      <c r="K1324" s="71" t="str">
        <f>IF(COUNTA(A1324:G1324)=0,"",IF(G1324&lt;&gt;"",G1324,IF(B1324="","",IFERROR(IF(INDEX(pr_rate,MATCH(B1324,pr_code,0))="","",INDEX(pr_rate,MATCH(B1324,pr_code,0))),""))))</f>
        <v/>
      </c>
      <c r="L1324" s="65" t="str">
        <f>IF(COUNTA(A1324:G1324)=0,"",IF(AND(ISNUMBER(D1324),ISNUMBER(J1324)),ROUND(D1324*J1324*(1-N(F1324)),2),0))</f>
        <v/>
      </c>
      <c r="M1324" s="62" t="str">
        <f>IF(A1324="","",IFERROR(INDEX(dv_cname,MATCH(A1324,dv_num,0))&amp;"",""))</f>
        <v/>
      </c>
      <c r="N1324" s="59" t="str">
        <f>IF(COUNTA(A1324:G1324)=0,"",IF(A1324="","N° devis manquant",IF(ISNA(MATCH(A1324,dv_num,0)),"Devis inconnu",IF(AND(B1324&lt;&gt;"",ISNA(MATCH(B1324,pr_code,0))),"Article inconnu",IF(H1324="","Désignation manquante",IF(OR(NOT(ISNUMBER(D1324)),N(D1324)&lt;=0),"Quantité invalide",IF(J1324="","Prix manquant",IF(OR(NOT(ISNUMBER(J1324)),N(J1324)&lt;0),"Prix invalide",IF(OR(AND(F1324&lt;&gt;"",NOT(ISNUMBER(F1324))),N(F1324)&lt;0,N(F1324)&gt;1),"Remise invalide",IF(K1324="","Taux de TVA manquant",IF(NOT(ISNUMBER(K1324)),"Taux de TVA invalide",IF(COUNTIF(p_rates,K1324)=0,"Taux de TVA hors liste (Paramètres)",IF(N(O1324)&gt;25,"Au-delà de 25 lignes : non imprimée","OK")))))))))))))</f>
        <v/>
      </c>
      <c r="O1324" s="59" t="str">
        <f>IF(A1324="","",COUNTIF($A$6:A1324,A1324))</f>
        <v/>
      </c>
      <c r="P1324" s="62" t="str">
        <f>IF(A1324="","",A1324&amp;"|"&amp;O1324)</f>
        <v/>
      </c>
    </row>
    <row r="1325">
      <c r="A1325" s="60" t="n"/>
      <c r="B1325" s="63" t="n"/>
      <c r="C1325" s="63" t="n"/>
      <c r="D1325" s="67" t="n"/>
      <c r="E1325" s="68" t="n"/>
      <c r="F1325" s="69" t="n"/>
      <c r="G1325" s="70" t="n"/>
      <c r="H1325" s="62" t="str">
        <f>IF(COUNTA(A1325:G1325)=0,"",IF(C1325&lt;&gt;"",C1325,IF(B1325="","",IFERROR(INDEX(pr_des,MATCH(B1325,pr_code,0))&amp;"",""))))</f>
        <v/>
      </c>
      <c r="I1325" s="59" t="str">
        <f>IF(B1325="","",IFERROR(INDEX(pr_unit,MATCH(B1325,pr_code,0))&amp;"",""))</f>
        <v/>
      </c>
      <c r="J1325" s="65" t="str">
        <f>IF(COUNTA(A1325:G1325)=0,"",IF(E1325&lt;&gt;"",E1325,IF(B1325="","",IFERROR(IF(INDEX(pr_price,MATCH(B1325,pr_code,0))="","",INDEX(pr_price,MATCH(B1325,pr_code,0))),""))))</f>
        <v/>
      </c>
      <c r="K1325" s="71" t="str">
        <f>IF(COUNTA(A1325:G1325)=0,"",IF(G1325&lt;&gt;"",G1325,IF(B1325="","",IFERROR(IF(INDEX(pr_rate,MATCH(B1325,pr_code,0))="","",INDEX(pr_rate,MATCH(B1325,pr_code,0))),""))))</f>
        <v/>
      </c>
      <c r="L1325" s="65" t="str">
        <f>IF(COUNTA(A1325:G1325)=0,"",IF(AND(ISNUMBER(D1325),ISNUMBER(J1325)),ROUND(D1325*J1325*(1-N(F1325)),2),0))</f>
        <v/>
      </c>
      <c r="M1325" s="62" t="str">
        <f>IF(A1325="","",IFERROR(INDEX(dv_cname,MATCH(A1325,dv_num,0))&amp;"",""))</f>
        <v/>
      </c>
      <c r="N1325" s="59" t="str">
        <f>IF(COUNTA(A1325:G1325)=0,"",IF(A1325="","N° devis manquant",IF(ISNA(MATCH(A1325,dv_num,0)),"Devis inconnu",IF(AND(B1325&lt;&gt;"",ISNA(MATCH(B1325,pr_code,0))),"Article inconnu",IF(H1325="","Désignation manquante",IF(OR(NOT(ISNUMBER(D1325)),N(D1325)&lt;=0),"Quantité invalide",IF(J1325="","Prix manquant",IF(OR(NOT(ISNUMBER(J1325)),N(J1325)&lt;0),"Prix invalide",IF(OR(AND(F1325&lt;&gt;"",NOT(ISNUMBER(F1325))),N(F1325)&lt;0,N(F1325)&gt;1),"Remise invalide",IF(K1325="","Taux de TVA manquant",IF(NOT(ISNUMBER(K1325)),"Taux de TVA invalide",IF(COUNTIF(p_rates,K1325)=0,"Taux de TVA hors liste (Paramètres)",IF(N(O1325)&gt;25,"Au-delà de 25 lignes : non imprimée","OK")))))))))))))</f>
        <v/>
      </c>
      <c r="O1325" s="59" t="str">
        <f>IF(A1325="","",COUNTIF($A$6:A1325,A1325))</f>
        <v/>
      </c>
      <c r="P1325" s="62" t="str">
        <f>IF(A1325="","",A1325&amp;"|"&amp;O1325)</f>
        <v/>
      </c>
    </row>
    <row r="1326">
      <c r="A1326" s="60" t="n"/>
      <c r="B1326" s="63" t="n"/>
      <c r="C1326" s="63" t="n"/>
      <c r="D1326" s="67" t="n"/>
      <c r="E1326" s="68" t="n"/>
      <c r="F1326" s="69" t="n"/>
      <c r="G1326" s="70" t="n"/>
      <c r="H1326" s="62" t="str">
        <f>IF(COUNTA(A1326:G1326)=0,"",IF(C1326&lt;&gt;"",C1326,IF(B1326="","",IFERROR(INDEX(pr_des,MATCH(B1326,pr_code,0))&amp;"",""))))</f>
        <v/>
      </c>
      <c r="I1326" s="59" t="str">
        <f>IF(B1326="","",IFERROR(INDEX(pr_unit,MATCH(B1326,pr_code,0))&amp;"",""))</f>
        <v/>
      </c>
      <c r="J1326" s="65" t="str">
        <f>IF(COUNTA(A1326:G1326)=0,"",IF(E1326&lt;&gt;"",E1326,IF(B1326="","",IFERROR(IF(INDEX(pr_price,MATCH(B1326,pr_code,0))="","",INDEX(pr_price,MATCH(B1326,pr_code,0))),""))))</f>
        <v/>
      </c>
      <c r="K1326" s="71" t="str">
        <f>IF(COUNTA(A1326:G1326)=0,"",IF(G1326&lt;&gt;"",G1326,IF(B1326="","",IFERROR(IF(INDEX(pr_rate,MATCH(B1326,pr_code,0))="","",INDEX(pr_rate,MATCH(B1326,pr_code,0))),""))))</f>
        <v/>
      </c>
      <c r="L1326" s="65" t="str">
        <f>IF(COUNTA(A1326:G1326)=0,"",IF(AND(ISNUMBER(D1326),ISNUMBER(J1326)),ROUND(D1326*J1326*(1-N(F1326)),2),0))</f>
        <v/>
      </c>
      <c r="M1326" s="62" t="str">
        <f>IF(A1326="","",IFERROR(INDEX(dv_cname,MATCH(A1326,dv_num,0))&amp;"",""))</f>
        <v/>
      </c>
      <c r="N1326" s="59" t="str">
        <f>IF(COUNTA(A1326:G1326)=0,"",IF(A1326="","N° devis manquant",IF(ISNA(MATCH(A1326,dv_num,0)),"Devis inconnu",IF(AND(B1326&lt;&gt;"",ISNA(MATCH(B1326,pr_code,0))),"Article inconnu",IF(H1326="","Désignation manquante",IF(OR(NOT(ISNUMBER(D1326)),N(D1326)&lt;=0),"Quantité invalide",IF(J1326="","Prix manquant",IF(OR(NOT(ISNUMBER(J1326)),N(J1326)&lt;0),"Prix invalide",IF(OR(AND(F1326&lt;&gt;"",NOT(ISNUMBER(F1326))),N(F1326)&lt;0,N(F1326)&gt;1),"Remise invalide",IF(K1326="","Taux de TVA manquant",IF(NOT(ISNUMBER(K1326)),"Taux de TVA invalide",IF(COUNTIF(p_rates,K1326)=0,"Taux de TVA hors liste (Paramètres)",IF(N(O1326)&gt;25,"Au-delà de 25 lignes : non imprimée","OK")))))))))))))</f>
        <v/>
      </c>
      <c r="O1326" s="59" t="str">
        <f>IF(A1326="","",COUNTIF($A$6:A1326,A1326))</f>
        <v/>
      </c>
      <c r="P1326" s="62" t="str">
        <f>IF(A1326="","",A1326&amp;"|"&amp;O1326)</f>
        <v/>
      </c>
    </row>
    <row r="1327">
      <c r="A1327" s="60" t="n"/>
      <c r="B1327" s="63" t="n"/>
      <c r="C1327" s="63" t="n"/>
      <c r="D1327" s="67" t="n"/>
      <c r="E1327" s="68" t="n"/>
      <c r="F1327" s="69" t="n"/>
      <c r="G1327" s="70" t="n"/>
      <c r="H1327" s="62" t="str">
        <f>IF(COUNTA(A1327:G1327)=0,"",IF(C1327&lt;&gt;"",C1327,IF(B1327="","",IFERROR(INDEX(pr_des,MATCH(B1327,pr_code,0))&amp;"",""))))</f>
        <v/>
      </c>
      <c r="I1327" s="59" t="str">
        <f>IF(B1327="","",IFERROR(INDEX(pr_unit,MATCH(B1327,pr_code,0))&amp;"",""))</f>
        <v/>
      </c>
      <c r="J1327" s="65" t="str">
        <f>IF(COUNTA(A1327:G1327)=0,"",IF(E1327&lt;&gt;"",E1327,IF(B1327="","",IFERROR(IF(INDEX(pr_price,MATCH(B1327,pr_code,0))="","",INDEX(pr_price,MATCH(B1327,pr_code,0))),""))))</f>
        <v/>
      </c>
      <c r="K1327" s="71" t="str">
        <f>IF(COUNTA(A1327:G1327)=0,"",IF(G1327&lt;&gt;"",G1327,IF(B1327="","",IFERROR(IF(INDEX(pr_rate,MATCH(B1327,pr_code,0))="","",INDEX(pr_rate,MATCH(B1327,pr_code,0))),""))))</f>
        <v/>
      </c>
      <c r="L1327" s="65" t="str">
        <f>IF(COUNTA(A1327:G1327)=0,"",IF(AND(ISNUMBER(D1327),ISNUMBER(J1327)),ROUND(D1327*J1327*(1-N(F1327)),2),0))</f>
        <v/>
      </c>
      <c r="M1327" s="62" t="str">
        <f>IF(A1327="","",IFERROR(INDEX(dv_cname,MATCH(A1327,dv_num,0))&amp;"",""))</f>
        <v/>
      </c>
      <c r="N1327" s="59" t="str">
        <f>IF(COUNTA(A1327:G1327)=0,"",IF(A1327="","N° devis manquant",IF(ISNA(MATCH(A1327,dv_num,0)),"Devis inconnu",IF(AND(B1327&lt;&gt;"",ISNA(MATCH(B1327,pr_code,0))),"Article inconnu",IF(H1327="","Désignation manquante",IF(OR(NOT(ISNUMBER(D1327)),N(D1327)&lt;=0),"Quantité invalide",IF(J1327="","Prix manquant",IF(OR(NOT(ISNUMBER(J1327)),N(J1327)&lt;0),"Prix invalide",IF(OR(AND(F1327&lt;&gt;"",NOT(ISNUMBER(F1327))),N(F1327)&lt;0,N(F1327)&gt;1),"Remise invalide",IF(K1327="","Taux de TVA manquant",IF(NOT(ISNUMBER(K1327)),"Taux de TVA invalide",IF(COUNTIF(p_rates,K1327)=0,"Taux de TVA hors liste (Paramètres)",IF(N(O1327)&gt;25,"Au-delà de 25 lignes : non imprimée","OK")))))))))))))</f>
        <v/>
      </c>
      <c r="O1327" s="59" t="str">
        <f>IF(A1327="","",COUNTIF($A$6:A1327,A1327))</f>
        <v/>
      </c>
      <c r="P1327" s="62" t="str">
        <f>IF(A1327="","",A1327&amp;"|"&amp;O1327)</f>
        <v/>
      </c>
    </row>
    <row r="1328">
      <c r="A1328" s="60" t="n"/>
      <c r="B1328" s="63" t="n"/>
      <c r="C1328" s="63" t="n"/>
      <c r="D1328" s="67" t="n"/>
      <c r="E1328" s="68" t="n"/>
      <c r="F1328" s="69" t="n"/>
      <c r="G1328" s="70" t="n"/>
      <c r="H1328" s="62" t="str">
        <f>IF(COUNTA(A1328:G1328)=0,"",IF(C1328&lt;&gt;"",C1328,IF(B1328="","",IFERROR(INDEX(pr_des,MATCH(B1328,pr_code,0))&amp;"",""))))</f>
        <v/>
      </c>
      <c r="I1328" s="59" t="str">
        <f>IF(B1328="","",IFERROR(INDEX(pr_unit,MATCH(B1328,pr_code,0))&amp;"",""))</f>
        <v/>
      </c>
      <c r="J1328" s="65" t="str">
        <f>IF(COUNTA(A1328:G1328)=0,"",IF(E1328&lt;&gt;"",E1328,IF(B1328="","",IFERROR(IF(INDEX(pr_price,MATCH(B1328,pr_code,0))="","",INDEX(pr_price,MATCH(B1328,pr_code,0))),""))))</f>
        <v/>
      </c>
      <c r="K1328" s="71" t="str">
        <f>IF(COUNTA(A1328:G1328)=0,"",IF(G1328&lt;&gt;"",G1328,IF(B1328="","",IFERROR(IF(INDEX(pr_rate,MATCH(B1328,pr_code,0))="","",INDEX(pr_rate,MATCH(B1328,pr_code,0))),""))))</f>
        <v/>
      </c>
      <c r="L1328" s="65" t="str">
        <f>IF(COUNTA(A1328:G1328)=0,"",IF(AND(ISNUMBER(D1328),ISNUMBER(J1328)),ROUND(D1328*J1328*(1-N(F1328)),2),0))</f>
        <v/>
      </c>
      <c r="M1328" s="62" t="str">
        <f>IF(A1328="","",IFERROR(INDEX(dv_cname,MATCH(A1328,dv_num,0))&amp;"",""))</f>
        <v/>
      </c>
      <c r="N1328" s="59" t="str">
        <f>IF(COUNTA(A1328:G1328)=0,"",IF(A1328="","N° devis manquant",IF(ISNA(MATCH(A1328,dv_num,0)),"Devis inconnu",IF(AND(B1328&lt;&gt;"",ISNA(MATCH(B1328,pr_code,0))),"Article inconnu",IF(H1328="","Désignation manquante",IF(OR(NOT(ISNUMBER(D1328)),N(D1328)&lt;=0),"Quantité invalide",IF(J1328="","Prix manquant",IF(OR(NOT(ISNUMBER(J1328)),N(J1328)&lt;0),"Prix invalide",IF(OR(AND(F1328&lt;&gt;"",NOT(ISNUMBER(F1328))),N(F1328)&lt;0,N(F1328)&gt;1),"Remise invalide",IF(K1328="","Taux de TVA manquant",IF(NOT(ISNUMBER(K1328)),"Taux de TVA invalide",IF(COUNTIF(p_rates,K1328)=0,"Taux de TVA hors liste (Paramètres)",IF(N(O1328)&gt;25,"Au-delà de 25 lignes : non imprimée","OK")))))))))))))</f>
        <v/>
      </c>
      <c r="O1328" s="59" t="str">
        <f>IF(A1328="","",COUNTIF($A$6:A1328,A1328))</f>
        <v/>
      </c>
      <c r="P1328" s="62" t="str">
        <f>IF(A1328="","",A1328&amp;"|"&amp;O1328)</f>
        <v/>
      </c>
    </row>
    <row r="1329">
      <c r="A1329" s="60" t="n"/>
      <c r="B1329" s="63" t="n"/>
      <c r="C1329" s="63" t="n"/>
      <c r="D1329" s="67" t="n"/>
      <c r="E1329" s="68" t="n"/>
      <c r="F1329" s="69" t="n"/>
      <c r="G1329" s="70" t="n"/>
      <c r="H1329" s="62" t="str">
        <f>IF(COUNTA(A1329:G1329)=0,"",IF(C1329&lt;&gt;"",C1329,IF(B1329="","",IFERROR(INDEX(pr_des,MATCH(B1329,pr_code,0))&amp;"",""))))</f>
        <v/>
      </c>
      <c r="I1329" s="59" t="str">
        <f>IF(B1329="","",IFERROR(INDEX(pr_unit,MATCH(B1329,pr_code,0))&amp;"",""))</f>
        <v/>
      </c>
      <c r="J1329" s="65" t="str">
        <f>IF(COUNTA(A1329:G1329)=0,"",IF(E1329&lt;&gt;"",E1329,IF(B1329="","",IFERROR(IF(INDEX(pr_price,MATCH(B1329,pr_code,0))="","",INDEX(pr_price,MATCH(B1329,pr_code,0))),""))))</f>
        <v/>
      </c>
      <c r="K1329" s="71" t="str">
        <f>IF(COUNTA(A1329:G1329)=0,"",IF(G1329&lt;&gt;"",G1329,IF(B1329="","",IFERROR(IF(INDEX(pr_rate,MATCH(B1329,pr_code,0))="","",INDEX(pr_rate,MATCH(B1329,pr_code,0))),""))))</f>
        <v/>
      </c>
      <c r="L1329" s="65" t="str">
        <f>IF(COUNTA(A1329:G1329)=0,"",IF(AND(ISNUMBER(D1329),ISNUMBER(J1329)),ROUND(D1329*J1329*(1-N(F1329)),2),0))</f>
        <v/>
      </c>
      <c r="M1329" s="62" t="str">
        <f>IF(A1329="","",IFERROR(INDEX(dv_cname,MATCH(A1329,dv_num,0))&amp;"",""))</f>
        <v/>
      </c>
      <c r="N1329" s="59" t="str">
        <f>IF(COUNTA(A1329:G1329)=0,"",IF(A1329="","N° devis manquant",IF(ISNA(MATCH(A1329,dv_num,0)),"Devis inconnu",IF(AND(B1329&lt;&gt;"",ISNA(MATCH(B1329,pr_code,0))),"Article inconnu",IF(H1329="","Désignation manquante",IF(OR(NOT(ISNUMBER(D1329)),N(D1329)&lt;=0),"Quantité invalide",IF(J1329="","Prix manquant",IF(OR(NOT(ISNUMBER(J1329)),N(J1329)&lt;0),"Prix invalide",IF(OR(AND(F1329&lt;&gt;"",NOT(ISNUMBER(F1329))),N(F1329)&lt;0,N(F1329)&gt;1),"Remise invalide",IF(K1329="","Taux de TVA manquant",IF(NOT(ISNUMBER(K1329)),"Taux de TVA invalide",IF(COUNTIF(p_rates,K1329)=0,"Taux de TVA hors liste (Paramètres)",IF(N(O1329)&gt;25,"Au-delà de 25 lignes : non imprimée","OK")))))))))))))</f>
        <v/>
      </c>
      <c r="O1329" s="59" t="str">
        <f>IF(A1329="","",COUNTIF($A$6:A1329,A1329))</f>
        <v/>
      </c>
      <c r="P1329" s="62" t="str">
        <f>IF(A1329="","",A1329&amp;"|"&amp;O1329)</f>
        <v/>
      </c>
    </row>
    <row r="1330">
      <c r="A1330" s="60" t="n"/>
      <c r="B1330" s="63" t="n"/>
      <c r="C1330" s="63" t="n"/>
      <c r="D1330" s="67" t="n"/>
      <c r="E1330" s="68" t="n"/>
      <c r="F1330" s="69" t="n"/>
      <c r="G1330" s="70" t="n"/>
      <c r="H1330" s="62" t="str">
        <f>IF(COUNTA(A1330:G1330)=0,"",IF(C1330&lt;&gt;"",C1330,IF(B1330="","",IFERROR(INDEX(pr_des,MATCH(B1330,pr_code,0))&amp;"",""))))</f>
        <v/>
      </c>
      <c r="I1330" s="59" t="str">
        <f>IF(B1330="","",IFERROR(INDEX(pr_unit,MATCH(B1330,pr_code,0))&amp;"",""))</f>
        <v/>
      </c>
      <c r="J1330" s="65" t="str">
        <f>IF(COUNTA(A1330:G1330)=0,"",IF(E1330&lt;&gt;"",E1330,IF(B1330="","",IFERROR(IF(INDEX(pr_price,MATCH(B1330,pr_code,0))="","",INDEX(pr_price,MATCH(B1330,pr_code,0))),""))))</f>
        <v/>
      </c>
      <c r="K1330" s="71" t="str">
        <f>IF(COUNTA(A1330:G1330)=0,"",IF(G1330&lt;&gt;"",G1330,IF(B1330="","",IFERROR(IF(INDEX(pr_rate,MATCH(B1330,pr_code,0))="","",INDEX(pr_rate,MATCH(B1330,pr_code,0))),""))))</f>
        <v/>
      </c>
      <c r="L1330" s="65" t="str">
        <f>IF(COUNTA(A1330:G1330)=0,"",IF(AND(ISNUMBER(D1330),ISNUMBER(J1330)),ROUND(D1330*J1330*(1-N(F1330)),2),0))</f>
        <v/>
      </c>
      <c r="M1330" s="62" t="str">
        <f>IF(A1330="","",IFERROR(INDEX(dv_cname,MATCH(A1330,dv_num,0))&amp;"",""))</f>
        <v/>
      </c>
      <c r="N1330" s="59" t="str">
        <f>IF(COUNTA(A1330:G1330)=0,"",IF(A1330="","N° devis manquant",IF(ISNA(MATCH(A1330,dv_num,0)),"Devis inconnu",IF(AND(B1330&lt;&gt;"",ISNA(MATCH(B1330,pr_code,0))),"Article inconnu",IF(H1330="","Désignation manquante",IF(OR(NOT(ISNUMBER(D1330)),N(D1330)&lt;=0),"Quantité invalide",IF(J1330="","Prix manquant",IF(OR(NOT(ISNUMBER(J1330)),N(J1330)&lt;0),"Prix invalide",IF(OR(AND(F1330&lt;&gt;"",NOT(ISNUMBER(F1330))),N(F1330)&lt;0,N(F1330)&gt;1),"Remise invalide",IF(K1330="","Taux de TVA manquant",IF(NOT(ISNUMBER(K1330)),"Taux de TVA invalide",IF(COUNTIF(p_rates,K1330)=0,"Taux de TVA hors liste (Paramètres)",IF(N(O1330)&gt;25,"Au-delà de 25 lignes : non imprimée","OK")))))))))))))</f>
        <v/>
      </c>
      <c r="O1330" s="59" t="str">
        <f>IF(A1330="","",COUNTIF($A$6:A1330,A1330))</f>
        <v/>
      </c>
      <c r="P1330" s="62" t="str">
        <f>IF(A1330="","",A1330&amp;"|"&amp;O1330)</f>
        <v/>
      </c>
    </row>
    <row r="1331">
      <c r="A1331" s="60" t="n"/>
      <c r="B1331" s="63" t="n"/>
      <c r="C1331" s="63" t="n"/>
      <c r="D1331" s="67" t="n"/>
      <c r="E1331" s="68" t="n"/>
      <c r="F1331" s="69" t="n"/>
      <c r="G1331" s="70" t="n"/>
      <c r="H1331" s="62" t="str">
        <f>IF(COUNTA(A1331:G1331)=0,"",IF(C1331&lt;&gt;"",C1331,IF(B1331="","",IFERROR(INDEX(pr_des,MATCH(B1331,pr_code,0))&amp;"",""))))</f>
        <v/>
      </c>
      <c r="I1331" s="59" t="str">
        <f>IF(B1331="","",IFERROR(INDEX(pr_unit,MATCH(B1331,pr_code,0))&amp;"",""))</f>
        <v/>
      </c>
      <c r="J1331" s="65" t="str">
        <f>IF(COUNTA(A1331:G1331)=0,"",IF(E1331&lt;&gt;"",E1331,IF(B1331="","",IFERROR(IF(INDEX(pr_price,MATCH(B1331,pr_code,0))="","",INDEX(pr_price,MATCH(B1331,pr_code,0))),""))))</f>
        <v/>
      </c>
      <c r="K1331" s="71" t="str">
        <f>IF(COUNTA(A1331:G1331)=0,"",IF(G1331&lt;&gt;"",G1331,IF(B1331="","",IFERROR(IF(INDEX(pr_rate,MATCH(B1331,pr_code,0))="","",INDEX(pr_rate,MATCH(B1331,pr_code,0))),""))))</f>
        <v/>
      </c>
      <c r="L1331" s="65" t="str">
        <f>IF(COUNTA(A1331:G1331)=0,"",IF(AND(ISNUMBER(D1331),ISNUMBER(J1331)),ROUND(D1331*J1331*(1-N(F1331)),2),0))</f>
        <v/>
      </c>
      <c r="M1331" s="62" t="str">
        <f>IF(A1331="","",IFERROR(INDEX(dv_cname,MATCH(A1331,dv_num,0))&amp;"",""))</f>
        <v/>
      </c>
      <c r="N1331" s="59" t="str">
        <f>IF(COUNTA(A1331:G1331)=0,"",IF(A1331="","N° devis manquant",IF(ISNA(MATCH(A1331,dv_num,0)),"Devis inconnu",IF(AND(B1331&lt;&gt;"",ISNA(MATCH(B1331,pr_code,0))),"Article inconnu",IF(H1331="","Désignation manquante",IF(OR(NOT(ISNUMBER(D1331)),N(D1331)&lt;=0),"Quantité invalide",IF(J1331="","Prix manquant",IF(OR(NOT(ISNUMBER(J1331)),N(J1331)&lt;0),"Prix invalide",IF(OR(AND(F1331&lt;&gt;"",NOT(ISNUMBER(F1331))),N(F1331)&lt;0,N(F1331)&gt;1),"Remise invalide",IF(K1331="","Taux de TVA manquant",IF(NOT(ISNUMBER(K1331)),"Taux de TVA invalide",IF(COUNTIF(p_rates,K1331)=0,"Taux de TVA hors liste (Paramètres)",IF(N(O1331)&gt;25,"Au-delà de 25 lignes : non imprimée","OK")))))))))))))</f>
        <v/>
      </c>
      <c r="O1331" s="59" t="str">
        <f>IF(A1331="","",COUNTIF($A$6:A1331,A1331))</f>
        <v/>
      </c>
      <c r="P1331" s="62" t="str">
        <f>IF(A1331="","",A1331&amp;"|"&amp;O1331)</f>
        <v/>
      </c>
    </row>
    <row r="1332">
      <c r="A1332" s="60" t="n"/>
      <c r="B1332" s="63" t="n"/>
      <c r="C1332" s="63" t="n"/>
      <c r="D1332" s="67" t="n"/>
      <c r="E1332" s="68" t="n"/>
      <c r="F1332" s="69" t="n"/>
      <c r="G1332" s="70" t="n"/>
      <c r="H1332" s="62" t="str">
        <f>IF(COUNTA(A1332:G1332)=0,"",IF(C1332&lt;&gt;"",C1332,IF(B1332="","",IFERROR(INDEX(pr_des,MATCH(B1332,pr_code,0))&amp;"",""))))</f>
        <v/>
      </c>
      <c r="I1332" s="59" t="str">
        <f>IF(B1332="","",IFERROR(INDEX(pr_unit,MATCH(B1332,pr_code,0))&amp;"",""))</f>
        <v/>
      </c>
      <c r="J1332" s="65" t="str">
        <f>IF(COUNTA(A1332:G1332)=0,"",IF(E1332&lt;&gt;"",E1332,IF(B1332="","",IFERROR(IF(INDEX(pr_price,MATCH(B1332,pr_code,0))="","",INDEX(pr_price,MATCH(B1332,pr_code,0))),""))))</f>
        <v/>
      </c>
      <c r="K1332" s="71" t="str">
        <f>IF(COUNTA(A1332:G1332)=0,"",IF(G1332&lt;&gt;"",G1332,IF(B1332="","",IFERROR(IF(INDEX(pr_rate,MATCH(B1332,pr_code,0))="","",INDEX(pr_rate,MATCH(B1332,pr_code,0))),""))))</f>
        <v/>
      </c>
      <c r="L1332" s="65" t="str">
        <f>IF(COUNTA(A1332:G1332)=0,"",IF(AND(ISNUMBER(D1332),ISNUMBER(J1332)),ROUND(D1332*J1332*(1-N(F1332)),2),0))</f>
        <v/>
      </c>
      <c r="M1332" s="62" t="str">
        <f>IF(A1332="","",IFERROR(INDEX(dv_cname,MATCH(A1332,dv_num,0))&amp;"",""))</f>
        <v/>
      </c>
      <c r="N1332" s="59" t="str">
        <f>IF(COUNTA(A1332:G1332)=0,"",IF(A1332="","N° devis manquant",IF(ISNA(MATCH(A1332,dv_num,0)),"Devis inconnu",IF(AND(B1332&lt;&gt;"",ISNA(MATCH(B1332,pr_code,0))),"Article inconnu",IF(H1332="","Désignation manquante",IF(OR(NOT(ISNUMBER(D1332)),N(D1332)&lt;=0),"Quantité invalide",IF(J1332="","Prix manquant",IF(OR(NOT(ISNUMBER(J1332)),N(J1332)&lt;0),"Prix invalide",IF(OR(AND(F1332&lt;&gt;"",NOT(ISNUMBER(F1332))),N(F1332)&lt;0,N(F1332)&gt;1),"Remise invalide",IF(K1332="","Taux de TVA manquant",IF(NOT(ISNUMBER(K1332)),"Taux de TVA invalide",IF(COUNTIF(p_rates,K1332)=0,"Taux de TVA hors liste (Paramètres)",IF(N(O1332)&gt;25,"Au-delà de 25 lignes : non imprimée","OK")))))))))))))</f>
        <v/>
      </c>
      <c r="O1332" s="59" t="str">
        <f>IF(A1332="","",COUNTIF($A$6:A1332,A1332))</f>
        <v/>
      </c>
      <c r="P1332" s="62" t="str">
        <f>IF(A1332="","",A1332&amp;"|"&amp;O1332)</f>
        <v/>
      </c>
    </row>
    <row r="1333">
      <c r="A1333" s="60" t="n"/>
      <c r="B1333" s="63" t="n"/>
      <c r="C1333" s="63" t="n"/>
      <c r="D1333" s="67" t="n"/>
      <c r="E1333" s="68" t="n"/>
      <c r="F1333" s="69" t="n"/>
      <c r="G1333" s="70" t="n"/>
      <c r="H1333" s="62" t="str">
        <f>IF(COUNTA(A1333:G1333)=0,"",IF(C1333&lt;&gt;"",C1333,IF(B1333="","",IFERROR(INDEX(pr_des,MATCH(B1333,pr_code,0))&amp;"",""))))</f>
        <v/>
      </c>
      <c r="I1333" s="59" t="str">
        <f>IF(B1333="","",IFERROR(INDEX(pr_unit,MATCH(B1333,pr_code,0))&amp;"",""))</f>
        <v/>
      </c>
      <c r="J1333" s="65" t="str">
        <f>IF(COUNTA(A1333:G1333)=0,"",IF(E1333&lt;&gt;"",E1333,IF(B1333="","",IFERROR(IF(INDEX(pr_price,MATCH(B1333,pr_code,0))="","",INDEX(pr_price,MATCH(B1333,pr_code,0))),""))))</f>
        <v/>
      </c>
      <c r="K1333" s="71" t="str">
        <f>IF(COUNTA(A1333:G1333)=0,"",IF(G1333&lt;&gt;"",G1333,IF(B1333="","",IFERROR(IF(INDEX(pr_rate,MATCH(B1333,pr_code,0))="","",INDEX(pr_rate,MATCH(B1333,pr_code,0))),""))))</f>
        <v/>
      </c>
      <c r="L1333" s="65" t="str">
        <f>IF(COUNTA(A1333:G1333)=0,"",IF(AND(ISNUMBER(D1333),ISNUMBER(J1333)),ROUND(D1333*J1333*(1-N(F1333)),2),0))</f>
        <v/>
      </c>
      <c r="M1333" s="62" t="str">
        <f>IF(A1333="","",IFERROR(INDEX(dv_cname,MATCH(A1333,dv_num,0))&amp;"",""))</f>
        <v/>
      </c>
      <c r="N1333" s="59" t="str">
        <f>IF(COUNTA(A1333:G1333)=0,"",IF(A1333="","N° devis manquant",IF(ISNA(MATCH(A1333,dv_num,0)),"Devis inconnu",IF(AND(B1333&lt;&gt;"",ISNA(MATCH(B1333,pr_code,0))),"Article inconnu",IF(H1333="","Désignation manquante",IF(OR(NOT(ISNUMBER(D1333)),N(D1333)&lt;=0),"Quantité invalide",IF(J1333="","Prix manquant",IF(OR(NOT(ISNUMBER(J1333)),N(J1333)&lt;0),"Prix invalide",IF(OR(AND(F1333&lt;&gt;"",NOT(ISNUMBER(F1333))),N(F1333)&lt;0,N(F1333)&gt;1),"Remise invalide",IF(K1333="","Taux de TVA manquant",IF(NOT(ISNUMBER(K1333)),"Taux de TVA invalide",IF(COUNTIF(p_rates,K1333)=0,"Taux de TVA hors liste (Paramètres)",IF(N(O1333)&gt;25,"Au-delà de 25 lignes : non imprimée","OK")))))))))))))</f>
        <v/>
      </c>
      <c r="O1333" s="59" t="str">
        <f>IF(A1333="","",COUNTIF($A$6:A1333,A1333))</f>
        <v/>
      </c>
      <c r="P1333" s="62" t="str">
        <f>IF(A1333="","",A1333&amp;"|"&amp;O1333)</f>
        <v/>
      </c>
    </row>
    <row r="1334">
      <c r="A1334" s="60" t="n"/>
      <c r="B1334" s="63" t="n"/>
      <c r="C1334" s="63" t="n"/>
      <c r="D1334" s="67" t="n"/>
      <c r="E1334" s="68" t="n"/>
      <c r="F1334" s="69" t="n"/>
      <c r="G1334" s="70" t="n"/>
      <c r="H1334" s="62" t="str">
        <f>IF(COUNTA(A1334:G1334)=0,"",IF(C1334&lt;&gt;"",C1334,IF(B1334="","",IFERROR(INDEX(pr_des,MATCH(B1334,pr_code,0))&amp;"",""))))</f>
        <v/>
      </c>
      <c r="I1334" s="59" t="str">
        <f>IF(B1334="","",IFERROR(INDEX(pr_unit,MATCH(B1334,pr_code,0))&amp;"",""))</f>
        <v/>
      </c>
      <c r="J1334" s="65" t="str">
        <f>IF(COUNTA(A1334:G1334)=0,"",IF(E1334&lt;&gt;"",E1334,IF(B1334="","",IFERROR(IF(INDEX(pr_price,MATCH(B1334,pr_code,0))="","",INDEX(pr_price,MATCH(B1334,pr_code,0))),""))))</f>
        <v/>
      </c>
      <c r="K1334" s="71" t="str">
        <f>IF(COUNTA(A1334:G1334)=0,"",IF(G1334&lt;&gt;"",G1334,IF(B1334="","",IFERROR(IF(INDEX(pr_rate,MATCH(B1334,pr_code,0))="","",INDEX(pr_rate,MATCH(B1334,pr_code,0))),""))))</f>
        <v/>
      </c>
      <c r="L1334" s="65" t="str">
        <f>IF(COUNTA(A1334:G1334)=0,"",IF(AND(ISNUMBER(D1334),ISNUMBER(J1334)),ROUND(D1334*J1334*(1-N(F1334)),2),0))</f>
        <v/>
      </c>
      <c r="M1334" s="62" t="str">
        <f>IF(A1334="","",IFERROR(INDEX(dv_cname,MATCH(A1334,dv_num,0))&amp;"",""))</f>
        <v/>
      </c>
      <c r="N1334" s="59" t="str">
        <f>IF(COUNTA(A1334:G1334)=0,"",IF(A1334="","N° devis manquant",IF(ISNA(MATCH(A1334,dv_num,0)),"Devis inconnu",IF(AND(B1334&lt;&gt;"",ISNA(MATCH(B1334,pr_code,0))),"Article inconnu",IF(H1334="","Désignation manquante",IF(OR(NOT(ISNUMBER(D1334)),N(D1334)&lt;=0),"Quantité invalide",IF(J1334="","Prix manquant",IF(OR(NOT(ISNUMBER(J1334)),N(J1334)&lt;0),"Prix invalide",IF(OR(AND(F1334&lt;&gt;"",NOT(ISNUMBER(F1334))),N(F1334)&lt;0,N(F1334)&gt;1),"Remise invalide",IF(K1334="","Taux de TVA manquant",IF(NOT(ISNUMBER(K1334)),"Taux de TVA invalide",IF(COUNTIF(p_rates,K1334)=0,"Taux de TVA hors liste (Paramètres)",IF(N(O1334)&gt;25,"Au-delà de 25 lignes : non imprimée","OK")))))))))))))</f>
        <v/>
      </c>
      <c r="O1334" s="59" t="str">
        <f>IF(A1334="","",COUNTIF($A$6:A1334,A1334))</f>
        <v/>
      </c>
      <c r="P1334" s="62" t="str">
        <f>IF(A1334="","",A1334&amp;"|"&amp;O1334)</f>
        <v/>
      </c>
    </row>
    <row r="1335">
      <c r="A1335" s="60" t="n"/>
      <c r="B1335" s="63" t="n"/>
      <c r="C1335" s="63" t="n"/>
      <c r="D1335" s="67" t="n"/>
      <c r="E1335" s="68" t="n"/>
      <c r="F1335" s="69" t="n"/>
      <c r="G1335" s="70" t="n"/>
      <c r="H1335" s="62" t="str">
        <f>IF(COUNTA(A1335:G1335)=0,"",IF(C1335&lt;&gt;"",C1335,IF(B1335="","",IFERROR(INDEX(pr_des,MATCH(B1335,pr_code,0))&amp;"",""))))</f>
        <v/>
      </c>
      <c r="I1335" s="59" t="str">
        <f>IF(B1335="","",IFERROR(INDEX(pr_unit,MATCH(B1335,pr_code,0))&amp;"",""))</f>
        <v/>
      </c>
      <c r="J1335" s="65" t="str">
        <f>IF(COUNTA(A1335:G1335)=0,"",IF(E1335&lt;&gt;"",E1335,IF(B1335="","",IFERROR(IF(INDEX(pr_price,MATCH(B1335,pr_code,0))="","",INDEX(pr_price,MATCH(B1335,pr_code,0))),""))))</f>
        <v/>
      </c>
      <c r="K1335" s="71" t="str">
        <f>IF(COUNTA(A1335:G1335)=0,"",IF(G1335&lt;&gt;"",G1335,IF(B1335="","",IFERROR(IF(INDEX(pr_rate,MATCH(B1335,pr_code,0))="","",INDEX(pr_rate,MATCH(B1335,pr_code,0))),""))))</f>
        <v/>
      </c>
      <c r="L1335" s="65" t="str">
        <f>IF(COUNTA(A1335:G1335)=0,"",IF(AND(ISNUMBER(D1335),ISNUMBER(J1335)),ROUND(D1335*J1335*(1-N(F1335)),2),0))</f>
        <v/>
      </c>
      <c r="M1335" s="62" t="str">
        <f>IF(A1335="","",IFERROR(INDEX(dv_cname,MATCH(A1335,dv_num,0))&amp;"",""))</f>
        <v/>
      </c>
      <c r="N1335" s="59" t="str">
        <f>IF(COUNTA(A1335:G1335)=0,"",IF(A1335="","N° devis manquant",IF(ISNA(MATCH(A1335,dv_num,0)),"Devis inconnu",IF(AND(B1335&lt;&gt;"",ISNA(MATCH(B1335,pr_code,0))),"Article inconnu",IF(H1335="","Désignation manquante",IF(OR(NOT(ISNUMBER(D1335)),N(D1335)&lt;=0),"Quantité invalide",IF(J1335="","Prix manquant",IF(OR(NOT(ISNUMBER(J1335)),N(J1335)&lt;0),"Prix invalide",IF(OR(AND(F1335&lt;&gt;"",NOT(ISNUMBER(F1335))),N(F1335)&lt;0,N(F1335)&gt;1),"Remise invalide",IF(K1335="","Taux de TVA manquant",IF(NOT(ISNUMBER(K1335)),"Taux de TVA invalide",IF(COUNTIF(p_rates,K1335)=0,"Taux de TVA hors liste (Paramètres)",IF(N(O1335)&gt;25,"Au-delà de 25 lignes : non imprimée","OK")))))))))))))</f>
        <v/>
      </c>
      <c r="O1335" s="59" t="str">
        <f>IF(A1335="","",COUNTIF($A$6:A1335,A1335))</f>
        <v/>
      </c>
      <c r="P1335" s="62" t="str">
        <f>IF(A1335="","",A1335&amp;"|"&amp;O1335)</f>
        <v/>
      </c>
    </row>
    <row r="1336">
      <c r="A1336" s="60" t="n"/>
      <c r="B1336" s="63" t="n"/>
      <c r="C1336" s="63" t="n"/>
      <c r="D1336" s="67" t="n"/>
      <c r="E1336" s="68" t="n"/>
      <c r="F1336" s="69" t="n"/>
      <c r="G1336" s="70" t="n"/>
      <c r="H1336" s="62" t="str">
        <f>IF(COUNTA(A1336:G1336)=0,"",IF(C1336&lt;&gt;"",C1336,IF(B1336="","",IFERROR(INDEX(pr_des,MATCH(B1336,pr_code,0))&amp;"",""))))</f>
        <v/>
      </c>
      <c r="I1336" s="59" t="str">
        <f>IF(B1336="","",IFERROR(INDEX(pr_unit,MATCH(B1336,pr_code,0))&amp;"",""))</f>
        <v/>
      </c>
      <c r="J1336" s="65" t="str">
        <f>IF(COUNTA(A1336:G1336)=0,"",IF(E1336&lt;&gt;"",E1336,IF(B1336="","",IFERROR(IF(INDEX(pr_price,MATCH(B1336,pr_code,0))="","",INDEX(pr_price,MATCH(B1336,pr_code,0))),""))))</f>
        <v/>
      </c>
      <c r="K1336" s="71" t="str">
        <f>IF(COUNTA(A1336:G1336)=0,"",IF(G1336&lt;&gt;"",G1336,IF(B1336="","",IFERROR(IF(INDEX(pr_rate,MATCH(B1336,pr_code,0))="","",INDEX(pr_rate,MATCH(B1336,pr_code,0))),""))))</f>
        <v/>
      </c>
      <c r="L1336" s="65" t="str">
        <f>IF(COUNTA(A1336:G1336)=0,"",IF(AND(ISNUMBER(D1336),ISNUMBER(J1336)),ROUND(D1336*J1336*(1-N(F1336)),2),0))</f>
        <v/>
      </c>
      <c r="M1336" s="62" t="str">
        <f>IF(A1336="","",IFERROR(INDEX(dv_cname,MATCH(A1336,dv_num,0))&amp;"",""))</f>
        <v/>
      </c>
      <c r="N1336" s="59" t="str">
        <f>IF(COUNTA(A1336:G1336)=0,"",IF(A1336="","N° devis manquant",IF(ISNA(MATCH(A1336,dv_num,0)),"Devis inconnu",IF(AND(B1336&lt;&gt;"",ISNA(MATCH(B1336,pr_code,0))),"Article inconnu",IF(H1336="","Désignation manquante",IF(OR(NOT(ISNUMBER(D1336)),N(D1336)&lt;=0),"Quantité invalide",IF(J1336="","Prix manquant",IF(OR(NOT(ISNUMBER(J1336)),N(J1336)&lt;0),"Prix invalide",IF(OR(AND(F1336&lt;&gt;"",NOT(ISNUMBER(F1336))),N(F1336)&lt;0,N(F1336)&gt;1),"Remise invalide",IF(K1336="","Taux de TVA manquant",IF(NOT(ISNUMBER(K1336)),"Taux de TVA invalide",IF(COUNTIF(p_rates,K1336)=0,"Taux de TVA hors liste (Paramètres)",IF(N(O1336)&gt;25,"Au-delà de 25 lignes : non imprimée","OK")))))))))))))</f>
        <v/>
      </c>
      <c r="O1336" s="59" t="str">
        <f>IF(A1336="","",COUNTIF($A$6:A1336,A1336))</f>
        <v/>
      </c>
      <c r="P1336" s="62" t="str">
        <f>IF(A1336="","",A1336&amp;"|"&amp;O1336)</f>
        <v/>
      </c>
    </row>
    <row r="1337">
      <c r="A1337" s="60" t="n"/>
      <c r="B1337" s="63" t="n"/>
      <c r="C1337" s="63" t="n"/>
      <c r="D1337" s="67" t="n"/>
      <c r="E1337" s="68" t="n"/>
      <c r="F1337" s="69" t="n"/>
      <c r="G1337" s="70" t="n"/>
      <c r="H1337" s="62" t="str">
        <f>IF(COUNTA(A1337:G1337)=0,"",IF(C1337&lt;&gt;"",C1337,IF(B1337="","",IFERROR(INDEX(pr_des,MATCH(B1337,pr_code,0))&amp;"",""))))</f>
        <v/>
      </c>
      <c r="I1337" s="59" t="str">
        <f>IF(B1337="","",IFERROR(INDEX(pr_unit,MATCH(B1337,pr_code,0))&amp;"",""))</f>
        <v/>
      </c>
      <c r="J1337" s="65" t="str">
        <f>IF(COUNTA(A1337:G1337)=0,"",IF(E1337&lt;&gt;"",E1337,IF(B1337="","",IFERROR(IF(INDEX(pr_price,MATCH(B1337,pr_code,0))="","",INDEX(pr_price,MATCH(B1337,pr_code,0))),""))))</f>
        <v/>
      </c>
      <c r="K1337" s="71" t="str">
        <f>IF(COUNTA(A1337:G1337)=0,"",IF(G1337&lt;&gt;"",G1337,IF(B1337="","",IFERROR(IF(INDEX(pr_rate,MATCH(B1337,pr_code,0))="","",INDEX(pr_rate,MATCH(B1337,pr_code,0))),""))))</f>
        <v/>
      </c>
      <c r="L1337" s="65" t="str">
        <f>IF(COUNTA(A1337:G1337)=0,"",IF(AND(ISNUMBER(D1337),ISNUMBER(J1337)),ROUND(D1337*J1337*(1-N(F1337)),2),0))</f>
        <v/>
      </c>
      <c r="M1337" s="62" t="str">
        <f>IF(A1337="","",IFERROR(INDEX(dv_cname,MATCH(A1337,dv_num,0))&amp;"",""))</f>
        <v/>
      </c>
      <c r="N1337" s="59" t="str">
        <f>IF(COUNTA(A1337:G1337)=0,"",IF(A1337="","N° devis manquant",IF(ISNA(MATCH(A1337,dv_num,0)),"Devis inconnu",IF(AND(B1337&lt;&gt;"",ISNA(MATCH(B1337,pr_code,0))),"Article inconnu",IF(H1337="","Désignation manquante",IF(OR(NOT(ISNUMBER(D1337)),N(D1337)&lt;=0),"Quantité invalide",IF(J1337="","Prix manquant",IF(OR(NOT(ISNUMBER(J1337)),N(J1337)&lt;0),"Prix invalide",IF(OR(AND(F1337&lt;&gt;"",NOT(ISNUMBER(F1337))),N(F1337)&lt;0,N(F1337)&gt;1),"Remise invalide",IF(K1337="","Taux de TVA manquant",IF(NOT(ISNUMBER(K1337)),"Taux de TVA invalide",IF(COUNTIF(p_rates,K1337)=0,"Taux de TVA hors liste (Paramètres)",IF(N(O1337)&gt;25,"Au-delà de 25 lignes : non imprimée","OK")))))))))))))</f>
        <v/>
      </c>
      <c r="O1337" s="59" t="str">
        <f>IF(A1337="","",COUNTIF($A$6:A1337,A1337))</f>
        <v/>
      </c>
      <c r="P1337" s="62" t="str">
        <f>IF(A1337="","",A1337&amp;"|"&amp;O1337)</f>
        <v/>
      </c>
    </row>
    <row r="1338">
      <c r="A1338" s="60" t="n"/>
      <c r="B1338" s="63" t="n"/>
      <c r="C1338" s="63" t="n"/>
      <c r="D1338" s="67" t="n"/>
      <c r="E1338" s="68" t="n"/>
      <c r="F1338" s="69" t="n"/>
      <c r="G1338" s="70" t="n"/>
      <c r="H1338" s="62" t="str">
        <f>IF(COUNTA(A1338:G1338)=0,"",IF(C1338&lt;&gt;"",C1338,IF(B1338="","",IFERROR(INDEX(pr_des,MATCH(B1338,pr_code,0))&amp;"",""))))</f>
        <v/>
      </c>
      <c r="I1338" s="59" t="str">
        <f>IF(B1338="","",IFERROR(INDEX(pr_unit,MATCH(B1338,pr_code,0))&amp;"",""))</f>
        <v/>
      </c>
      <c r="J1338" s="65" t="str">
        <f>IF(COUNTA(A1338:G1338)=0,"",IF(E1338&lt;&gt;"",E1338,IF(B1338="","",IFERROR(IF(INDEX(pr_price,MATCH(B1338,pr_code,0))="","",INDEX(pr_price,MATCH(B1338,pr_code,0))),""))))</f>
        <v/>
      </c>
      <c r="K1338" s="71" t="str">
        <f>IF(COUNTA(A1338:G1338)=0,"",IF(G1338&lt;&gt;"",G1338,IF(B1338="","",IFERROR(IF(INDEX(pr_rate,MATCH(B1338,pr_code,0))="","",INDEX(pr_rate,MATCH(B1338,pr_code,0))),""))))</f>
        <v/>
      </c>
      <c r="L1338" s="65" t="str">
        <f>IF(COUNTA(A1338:G1338)=0,"",IF(AND(ISNUMBER(D1338),ISNUMBER(J1338)),ROUND(D1338*J1338*(1-N(F1338)),2),0))</f>
        <v/>
      </c>
      <c r="M1338" s="62" t="str">
        <f>IF(A1338="","",IFERROR(INDEX(dv_cname,MATCH(A1338,dv_num,0))&amp;"",""))</f>
        <v/>
      </c>
      <c r="N1338" s="59" t="str">
        <f>IF(COUNTA(A1338:G1338)=0,"",IF(A1338="","N° devis manquant",IF(ISNA(MATCH(A1338,dv_num,0)),"Devis inconnu",IF(AND(B1338&lt;&gt;"",ISNA(MATCH(B1338,pr_code,0))),"Article inconnu",IF(H1338="","Désignation manquante",IF(OR(NOT(ISNUMBER(D1338)),N(D1338)&lt;=0),"Quantité invalide",IF(J1338="","Prix manquant",IF(OR(NOT(ISNUMBER(J1338)),N(J1338)&lt;0),"Prix invalide",IF(OR(AND(F1338&lt;&gt;"",NOT(ISNUMBER(F1338))),N(F1338)&lt;0,N(F1338)&gt;1),"Remise invalide",IF(K1338="","Taux de TVA manquant",IF(NOT(ISNUMBER(K1338)),"Taux de TVA invalide",IF(COUNTIF(p_rates,K1338)=0,"Taux de TVA hors liste (Paramètres)",IF(N(O1338)&gt;25,"Au-delà de 25 lignes : non imprimée","OK")))))))))))))</f>
        <v/>
      </c>
      <c r="O1338" s="59" t="str">
        <f>IF(A1338="","",COUNTIF($A$6:A1338,A1338))</f>
        <v/>
      </c>
      <c r="P1338" s="62" t="str">
        <f>IF(A1338="","",A1338&amp;"|"&amp;O1338)</f>
        <v/>
      </c>
    </row>
    <row r="1339">
      <c r="A1339" s="60" t="n"/>
      <c r="B1339" s="63" t="n"/>
      <c r="C1339" s="63" t="n"/>
      <c r="D1339" s="67" t="n"/>
      <c r="E1339" s="68" t="n"/>
      <c r="F1339" s="69" t="n"/>
      <c r="G1339" s="70" t="n"/>
      <c r="H1339" s="62" t="str">
        <f>IF(COUNTA(A1339:G1339)=0,"",IF(C1339&lt;&gt;"",C1339,IF(B1339="","",IFERROR(INDEX(pr_des,MATCH(B1339,pr_code,0))&amp;"",""))))</f>
        <v/>
      </c>
      <c r="I1339" s="59" t="str">
        <f>IF(B1339="","",IFERROR(INDEX(pr_unit,MATCH(B1339,pr_code,0))&amp;"",""))</f>
        <v/>
      </c>
      <c r="J1339" s="65" t="str">
        <f>IF(COUNTA(A1339:G1339)=0,"",IF(E1339&lt;&gt;"",E1339,IF(B1339="","",IFERROR(IF(INDEX(pr_price,MATCH(B1339,pr_code,0))="","",INDEX(pr_price,MATCH(B1339,pr_code,0))),""))))</f>
        <v/>
      </c>
      <c r="K1339" s="71" t="str">
        <f>IF(COUNTA(A1339:G1339)=0,"",IF(G1339&lt;&gt;"",G1339,IF(B1339="","",IFERROR(IF(INDEX(pr_rate,MATCH(B1339,pr_code,0))="","",INDEX(pr_rate,MATCH(B1339,pr_code,0))),""))))</f>
        <v/>
      </c>
      <c r="L1339" s="65" t="str">
        <f>IF(COUNTA(A1339:G1339)=0,"",IF(AND(ISNUMBER(D1339),ISNUMBER(J1339)),ROUND(D1339*J1339*(1-N(F1339)),2),0))</f>
        <v/>
      </c>
      <c r="M1339" s="62" t="str">
        <f>IF(A1339="","",IFERROR(INDEX(dv_cname,MATCH(A1339,dv_num,0))&amp;"",""))</f>
        <v/>
      </c>
      <c r="N1339" s="59" t="str">
        <f>IF(COUNTA(A1339:G1339)=0,"",IF(A1339="","N° devis manquant",IF(ISNA(MATCH(A1339,dv_num,0)),"Devis inconnu",IF(AND(B1339&lt;&gt;"",ISNA(MATCH(B1339,pr_code,0))),"Article inconnu",IF(H1339="","Désignation manquante",IF(OR(NOT(ISNUMBER(D1339)),N(D1339)&lt;=0),"Quantité invalide",IF(J1339="","Prix manquant",IF(OR(NOT(ISNUMBER(J1339)),N(J1339)&lt;0),"Prix invalide",IF(OR(AND(F1339&lt;&gt;"",NOT(ISNUMBER(F1339))),N(F1339)&lt;0,N(F1339)&gt;1),"Remise invalide",IF(K1339="","Taux de TVA manquant",IF(NOT(ISNUMBER(K1339)),"Taux de TVA invalide",IF(COUNTIF(p_rates,K1339)=0,"Taux de TVA hors liste (Paramètres)",IF(N(O1339)&gt;25,"Au-delà de 25 lignes : non imprimée","OK")))))))))))))</f>
        <v/>
      </c>
      <c r="O1339" s="59" t="str">
        <f>IF(A1339="","",COUNTIF($A$6:A1339,A1339))</f>
        <v/>
      </c>
      <c r="P1339" s="62" t="str">
        <f>IF(A1339="","",A1339&amp;"|"&amp;O1339)</f>
        <v/>
      </c>
    </row>
    <row r="1340">
      <c r="A1340" s="60" t="n"/>
      <c r="B1340" s="63" t="n"/>
      <c r="C1340" s="63" t="n"/>
      <c r="D1340" s="67" t="n"/>
      <c r="E1340" s="68" t="n"/>
      <c r="F1340" s="69" t="n"/>
      <c r="G1340" s="70" t="n"/>
      <c r="H1340" s="62" t="str">
        <f>IF(COUNTA(A1340:G1340)=0,"",IF(C1340&lt;&gt;"",C1340,IF(B1340="","",IFERROR(INDEX(pr_des,MATCH(B1340,pr_code,0))&amp;"",""))))</f>
        <v/>
      </c>
      <c r="I1340" s="59" t="str">
        <f>IF(B1340="","",IFERROR(INDEX(pr_unit,MATCH(B1340,pr_code,0))&amp;"",""))</f>
        <v/>
      </c>
      <c r="J1340" s="65" t="str">
        <f>IF(COUNTA(A1340:G1340)=0,"",IF(E1340&lt;&gt;"",E1340,IF(B1340="","",IFERROR(IF(INDEX(pr_price,MATCH(B1340,pr_code,0))="","",INDEX(pr_price,MATCH(B1340,pr_code,0))),""))))</f>
        <v/>
      </c>
      <c r="K1340" s="71" t="str">
        <f>IF(COUNTA(A1340:G1340)=0,"",IF(G1340&lt;&gt;"",G1340,IF(B1340="","",IFERROR(IF(INDEX(pr_rate,MATCH(B1340,pr_code,0))="","",INDEX(pr_rate,MATCH(B1340,pr_code,0))),""))))</f>
        <v/>
      </c>
      <c r="L1340" s="65" t="str">
        <f>IF(COUNTA(A1340:G1340)=0,"",IF(AND(ISNUMBER(D1340),ISNUMBER(J1340)),ROUND(D1340*J1340*(1-N(F1340)),2),0))</f>
        <v/>
      </c>
      <c r="M1340" s="62" t="str">
        <f>IF(A1340="","",IFERROR(INDEX(dv_cname,MATCH(A1340,dv_num,0))&amp;"",""))</f>
        <v/>
      </c>
      <c r="N1340" s="59" t="str">
        <f>IF(COUNTA(A1340:G1340)=0,"",IF(A1340="","N° devis manquant",IF(ISNA(MATCH(A1340,dv_num,0)),"Devis inconnu",IF(AND(B1340&lt;&gt;"",ISNA(MATCH(B1340,pr_code,0))),"Article inconnu",IF(H1340="","Désignation manquante",IF(OR(NOT(ISNUMBER(D1340)),N(D1340)&lt;=0),"Quantité invalide",IF(J1340="","Prix manquant",IF(OR(NOT(ISNUMBER(J1340)),N(J1340)&lt;0),"Prix invalide",IF(OR(AND(F1340&lt;&gt;"",NOT(ISNUMBER(F1340))),N(F1340)&lt;0,N(F1340)&gt;1),"Remise invalide",IF(K1340="","Taux de TVA manquant",IF(NOT(ISNUMBER(K1340)),"Taux de TVA invalide",IF(COUNTIF(p_rates,K1340)=0,"Taux de TVA hors liste (Paramètres)",IF(N(O1340)&gt;25,"Au-delà de 25 lignes : non imprimée","OK")))))))))))))</f>
        <v/>
      </c>
      <c r="O1340" s="59" t="str">
        <f>IF(A1340="","",COUNTIF($A$6:A1340,A1340))</f>
        <v/>
      </c>
      <c r="P1340" s="62" t="str">
        <f>IF(A1340="","",A1340&amp;"|"&amp;O1340)</f>
        <v/>
      </c>
    </row>
    <row r="1341">
      <c r="A1341" s="60" t="n"/>
      <c r="B1341" s="63" t="n"/>
      <c r="C1341" s="63" t="n"/>
      <c r="D1341" s="67" t="n"/>
      <c r="E1341" s="68" t="n"/>
      <c r="F1341" s="69" t="n"/>
      <c r="G1341" s="70" t="n"/>
      <c r="H1341" s="62" t="str">
        <f>IF(COUNTA(A1341:G1341)=0,"",IF(C1341&lt;&gt;"",C1341,IF(B1341="","",IFERROR(INDEX(pr_des,MATCH(B1341,pr_code,0))&amp;"",""))))</f>
        <v/>
      </c>
      <c r="I1341" s="59" t="str">
        <f>IF(B1341="","",IFERROR(INDEX(pr_unit,MATCH(B1341,pr_code,0))&amp;"",""))</f>
        <v/>
      </c>
      <c r="J1341" s="65" t="str">
        <f>IF(COUNTA(A1341:G1341)=0,"",IF(E1341&lt;&gt;"",E1341,IF(B1341="","",IFERROR(IF(INDEX(pr_price,MATCH(B1341,pr_code,0))="","",INDEX(pr_price,MATCH(B1341,pr_code,0))),""))))</f>
        <v/>
      </c>
      <c r="K1341" s="71" t="str">
        <f>IF(COUNTA(A1341:G1341)=0,"",IF(G1341&lt;&gt;"",G1341,IF(B1341="","",IFERROR(IF(INDEX(pr_rate,MATCH(B1341,pr_code,0))="","",INDEX(pr_rate,MATCH(B1341,pr_code,0))),""))))</f>
        <v/>
      </c>
      <c r="L1341" s="65" t="str">
        <f>IF(COUNTA(A1341:G1341)=0,"",IF(AND(ISNUMBER(D1341),ISNUMBER(J1341)),ROUND(D1341*J1341*(1-N(F1341)),2),0))</f>
        <v/>
      </c>
      <c r="M1341" s="62" t="str">
        <f>IF(A1341="","",IFERROR(INDEX(dv_cname,MATCH(A1341,dv_num,0))&amp;"",""))</f>
        <v/>
      </c>
      <c r="N1341" s="59" t="str">
        <f>IF(COUNTA(A1341:G1341)=0,"",IF(A1341="","N° devis manquant",IF(ISNA(MATCH(A1341,dv_num,0)),"Devis inconnu",IF(AND(B1341&lt;&gt;"",ISNA(MATCH(B1341,pr_code,0))),"Article inconnu",IF(H1341="","Désignation manquante",IF(OR(NOT(ISNUMBER(D1341)),N(D1341)&lt;=0),"Quantité invalide",IF(J1341="","Prix manquant",IF(OR(NOT(ISNUMBER(J1341)),N(J1341)&lt;0),"Prix invalide",IF(OR(AND(F1341&lt;&gt;"",NOT(ISNUMBER(F1341))),N(F1341)&lt;0,N(F1341)&gt;1),"Remise invalide",IF(K1341="","Taux de TVA manquant",IF(NOT(ISNUMBER(K1341)),"Taux de TVA invalide",IF(COUNTIF(p_rates,K1341)=0,"Taux de TVA hors liste (Paramètres)",IF(N(O1341)&gt;25,"Au-delà de 25 lignes : non imprimée","OK")))))))))))))</f>
        <v/>
      </c>
      <c r="O1341" s="59" t="str">
        <f>IF(A1341="","",COUNTIF($A$6:A1341,A1341))</f>
        <v/>
      </c>
      <c r="P1341" s="62" t="str">
        <f>IF(A1341="","",A1341&amp;"|"&amp;O1341)</f>
        <v/>
      </c>
    </row>
    <row r="1342">
      <c r="A1342" s="60" t="n"/>
      <c r="B1342" s="63" t="n"/>
      <c r="C1342" s="63" t="n"/>
      <c r="D1342" s="67" t="n"/>
      <c r="E1342" s="68" t="n"/>
      <c r="F1342" s="69" t="n"/>
      <c r="G1342" s="70" t="n"/>
      <c r="H1342" s="62" t="str">
        <f>IF(COUNTA(A1342:G1342)=0,"",IF(C1342&lt;&gt;"",C1342,IF(B1342="","",IFERROR(INDEX(pr_des,MATCH(B1342,pr_code,0))&amp;"",""))))</f>
        <v/>
      </c>
      <c r="I1342" s="59" t="str">
        <f>IF(B1342="","",IFERROR(INDEX(pr_unit,MATCH(B1342,pr_code,0))&amp;"",""))</f>
        <v/>
      </c>
      <c r="J1342" s="65" t="str">
        <f>IF(COUNTA(A1342:G1342)=0,"",IF(E1342&lt;&gt;"",E1342,IF(B1342="","",IFERROR(IF(INDEX(pr_price,MATCH(B1342,pr_code,0))="","",INDEX(pr_price,MATCH(B1342,pr_code,0))),""))))</f>
        <v/>
      </c>
      <c r="K1342" s="71" t="str">
        <f>IF(COUNTA(A1342:G1342)=0,"",IF(G1342&lt;&gt;"",G1342,IF(B1342="","",IFERROR(IF(INDEX(pr_rate,MATCH(B1342,pr_code,0))="","",INDEX(pr_rate,MATCH(B1342,pr_code,0))),""))))</f>
        <v/>
      </c>
      <c r="L1342" s="65" t="str">
        <f>IF(COUNTA(A1342:G1342)=0,"",IF(AND(ISNUMBER(D1342),ISNUMBER(J1342)),ROUND(D1342*J1342*(1-N(F1342)),2),0))</f>
        <v/>
      </c>
      <c r="M1342" s="62" t="str">
        <f>IF(A1342="","",IFERROR(INDEX(dv_cname,MATCH(A1342,dv_num,0))&amp;"",""))</f>
        <v/>
      </c>
      <c r="N1342" s="59" t="str">
        <f>IF(COUNTA(A1342:G1342)=0,"",IF(A1342="","N° devis manquant",IF(ISNA(MATCH(A1342,dv_num,0)),"Devis inconnu",IF(AND(B1342&lt;&gt;"",ISNA(MATCH(B1342,pr_code,0))),"Article inconnu",IF(H1342="","Désignation manquante",IF(OR(NOT(ISNUMBER(D1342)),N(D1342)&lt;=0),"Quantité invalide",IF(J1342="","Prix manquant",IF(OR(NOT(ISNUMBER(J1342)),N(J1342)&lt;0),"Prix invalide",IF(OR(AND(F1342&lt;&gt;"",NOT(ISNUMBER(F1342))),N(F1342)&lt;0,N(F1342)&gt;1),"Remise invalide",IF(K1342="","Taux de TVA manquant",IF(NOT(ISNUMBER(K1342)),"Taux de TVA invalide",IF(COUNTIF(p_rates,K1342)=0,"Taux de TVA hors liste (Paramètres)",IF(N(O1342)&gt;25,"Au-delà de 25 lignes : non imprimée","OK")))))))))))))</f>
        <v/>
      </c>
      <c r="O1342" s="59" t="str">
        <f>IF(A1342="","",COUNTIF($A$6:A1342,A1342))</f>
        <v/>
      </c>
      <c r="P1342" s="62" t="str">
        <f>IF(A1342="","",A1342&amp;"|"&amp;O1342)</f>
        <v/>
      </c>
    </row>
    <row r="1343">
      <c r="A1343" s="60" t="n"/>
      <c r="B1343" s="63" t="n"/>
      <c r="C1343" s="63" t="n"/>
      <c r="D1343" s="67" t="n"/>
      <c r="E1343" s="68" t="n"/>
      <c r="F1343" s="69" t="n"/>
      <c r="G1343" s="70" t="n"/>
      <c r="H1343" s="62" t="str">
        <f>IF(COUNTA(A1343:G1343)=0,"",IF(C1343&lt;&gt;"",C1343,IF(B1343="","",IFERROR(INDEX(pr_des,MATCH(B1343,pr_code,0))&amp;"",""))))</f>
        <v/>
      </c>
      <c r="I1343" s="59" t="str">
        <f>IF(B1343="","",IFERROR(INDEX(pr_unit,MATCH(B1343,pr_code,0))&amp;"",""))</f>
        <v/>
      </c>
      <c r="J1343" s="65" t="str">
        <f>IF(COUNTA(A1343:G1343)=0,"",IF(E1343&lt;&gt;"",E1343,IF(B1343="","",IFERROR(IF(INDEX(pr_price,MATCH(B1343,pr_code,0))="","",INDEX(pr_price,MATCH(B1343,pr_code,0))),""))))</f>
        <v/>
      </c>
      <c r="K1343" s="71" t="str">
        <f>IF(COUNTA(A1343:G1343)=0,"",IF(G1343&lt;&gt;"",G1343,IF(B1343="","",IFERROR(IF(INDEX(pr_rate,MATCH(B1343,pr_code,0))="","",INDEX(pr_rate,MATCH(B1343,pr_code,0))),""))))</f>
        <v/>
      </c>
      <c r="L1343" s="65" t="str">
        <f>IF(COUNTA(A1343:G1343)=0,"",IF(AND(ISNUMBER(D1343),ISNUMBER(J1343)),ROUND(D1343*J1343*(1-N(F1343)),2),0))</f>
        <v/>
      </c>
      <c r="M1343" s="62" t="str">
        <f>IF(A1343="","",IFERROR(INDEX(dv_cname,MATCH(A1343,dv_num,0))&amp;"",""))</f>
        <v/>
      </c>
      <c r="N1343" s="59" t="str">
        <f>IF(COUNTA(A1343:G1343)=0,"",IF(A1343="","N° devis manquant",IF(ISNA(MATCH(A1343,dv_num,0)),"Devis inconnu",IF(AND(B1343&lt;&gt;"",ISNA(MATCH(B1343,pr_code,0))),"Article inconnu",IF(H1343="","Désignation manquante",IF(OR(NOT(ISNUMBER(D1343)),N(D1343)&lt;=0),"Quantité invalide",IF(J1343="","Prix manquant",IF(OR(NOT(ISNUMBER(J1343)),N(J1343)&lt;0),"Prix invalide",IF(OR(AND(F1343&lt;&gt;"",NOT(ISNUMBER(F1343))),N(F1343)&lt;0,N(F1343)&gt;1),"Remise invalide",IF(K1343="","Taux de TVA manquant",IF(NOT(ISNUMBER(K1343)),"Taux de TVA invalide",IF(COUNTIF(p_rates,K1343)=0,"Taux de TVA hors liste (Paramètres)",IF(N(O1343)&gt;25,"Au-delà de 25 lignes : non imprimée","OK")))))))))))))</f>
        <v/>
      </c>
      <c r="O1343" s="59" t="str">
        <f>IF(A1343="","",COUNTIF($A$6:A1343,A1343))</f>
        <v/>
      </c>
      <c r="P1343" s="62" t="str">
        <f>IF(A1343="","",A1343&amp;"|"&amp;O1343)</f>
        <v/>
      </c>
    </row>
    <row r="1344">
      <c r="A1344" s="60" t="n"/>
      <c r="B1344" s="63" t="n"/>
      <c r="C1344" s="63" t="n"/>
      <c r="D1344" s="67" t="n"/>
      <c r="E1344" s="68" t="n"/>
      <c r="F1344" s="69" t="n"/>
      <c r="G1344" s="70" t="n"/>
      <c r="H1344" s="62" t="str">
        <f>IF(COUNTA(A1344:G1344)=0,"",IF(C1344&lt;&gt;"",C1344,IF(B1344="","",IFERROR(INDEX(pr_des,MATCH(B1344,pr_code,0))&amp;"",""))))</f>
        <v/>
      </c>
      <c r="I1344" s="59" t="str">
        <f>IF(B1344="","",IFERROR(INDEX(pr_unit,MATCH(B1344,pr_code,0))&amp;"",""))</f>
        <v/>
      </c>
      <c r="J1344" s="65" t="str">
        <f>IF(COUNTA(A1344:G1344)=0,"",IF(E1344&lt;&gt;"",E1344,IF(B1344="","",IFERROR(IF(INDEX(pr_price,MATCH(B1344,pr_code,0))="","",INDEX(pr_price,MATCH(B1344,pr_code,0))),""))))</f>
        <v/>
      </c>
      <c r="K1344" s="71" t="str">
        <f>IF(COUNTA(A1344:G1344)=0,"",IF(G1344&lt;&gt;"",G1344,IF(B1344="","",IFERROR(IF(INDEX(pr_rate,MATCH(B1344,pr_code,0))="","",INDEX(pr_rate,MATCH(B1344,pr_code,0))),""))))</f>
        <v/>
      </c>
      <c r="L1344" s="65" t="str">
        <f>IF(COUNTA(A1344:G1344)=0,"",IF(AND(ISNUMBER(D1344),ISNUMBER(J1344)),ROUND(D1344*J1344*(1-N(F1344)),2),0))</f>
        <v/>
      </c>
      <c r="M1344" s="62" t="str">
        <f>IF(A1344="","",IFERROR(INDEX(dv_cname,MATCH(A1344,dv_num,0))&amp;"",""))</f>
        <v/>
      </c>
      <c r="N1344" s="59" t="str">
        <f>IF(COUNTA(A1344:G1344)=0,"",IF(A1344="","N° devis manquant",IF(ISNA(MATCH(A1344,dv_num,0)),"Devis inconnu",IF(AND(B1344&lt;&gt;"",ISNA(MATCH(B1344,pr_code,0))),"Article inconnu",IF(H1344="","Désignation manquante",IF(OR(NOT(ISNUMBER(D1344)),N(D1344)&lt;=0),"Quantité invalide",IF(J1344="","Prix manquant",IF(OR(NOT(ISNUMBER(J1344)),N(J1344)&lt;0),"Prix invalide",IF(OR(AND(F1344&lt;&gt;"",NOT(ISNUMBER(F1344))),N(F1344)&lt;0,N(F1344)&gt;1),"Remise invalide",IF(K1344="","Taux de TVA manquant",IF(NOT(ISNUMBER(K1344)),"Taux de TVA invalide",IF(COUNTIF(p_rates,K1344)=0,"Taux de TVA hors liste (Paramètres)",IF(N(O1344)&gt;25,"Au-delà de 25 lignes : non imprimée","OK")))))))))))))</f>
        <v/>
      </c>
      <c r="O1344" s="59" t="str">
        <f>IF(A1344="","",COUNTIF($A$6:A1344,A1344))</f>
        <v/>
      </c>
      <c r="P1344" s="62" t="str">
        <f>IF(A1344="","",A1344&amp;"|"&amp;O1344)</f>
        <v/>
      </c>
    </row>
    <row r="1345">
      <c r="A1345" s="60" t="n"/>
      <c r="B1345" s="63" t="n"/>
      <c r="C1345" s="63" t="n"/>
      <c r="D1345" s="67" t="n"/>
      <c r="E1345" s="68" t="n"/>
      <c r="F1345" s="69" t="n"/>
      <c r="G1345" s="70" t="n"/>
      <c r="H1345" s="62" t="str">
        <f>IF(COUNTA(A1345:G1345)=0,"",IF(C1345&lt;&gt;"",C1345,IF(B1345="","",IFERROR(INDEX(pr_des,MATCH(B1345,pr_code,0))&amp;"",""))))</f>
        <v/>
      </c>
      <c r="I1345" s="59" t="str">
        <f>IF(B1345="","",IFERROR(INDEX(pr_unit,MATCH(B1345,pr_code,0))&amp;"",""))</f>
        <v/>
      </c>
      <c r="J1345" s="65" t="str">
        <f>IF(COUNTA(A1345:G1345)=0,"",IF(E1345&lt;&gt;"",E1345,IF(B1345="","",IFERROR(IF(INDEX(pr_price,MATCH(B1345,pr_code,0))="","",INDEX(pr_price,MATCH(B1345,pr_code,0))),""))))</f>
        <v/>
      </c>
      <c r="K1345" s="71" t="str">
        <f>IF(COUNTA(A1345:G1345)=0,"",IF(G1345&lt;&gt;"",G1345,IF(B1345="","",IFERROR(IF(INDEX(pr_rate,MATCH(B1345,pr_code,0))="","",INDEX(pr_rate,MATCH(B1345,pr_code,0))),""))))</f>
        <v/>
      </c>
      <c r="L1345" s="65" t="str">
        <f>IF(COUNTA(A1345:G1345)=0,"",IF(AND(ISNUMBER(D1345),ISNUMBER(J1345)),ROUND(D1345*J1345*(1-N(F1345)),2),0))</f>
        <v/>
      </c>
      <c r="M1345" s="62" t="str">
        <f>IF(A1345="","",IFERROR(INDEX(dv_cname,MATCH(A1345,dv_num,0))&amp;"",""))</f>
        <v/>
      </c>
      <c r="N1345" s="59" t="str">
        <f>IF(COUNTA(A1345:G1345)=0,"",IF(A1345="","N° devis manquant",IF(ISNA(MATCH(A1345,dv_num,0)),"Devis inconnu",IF(AND(B1345&lt;&gt;"",ISNA(MATCH(B1345,pr_code,0))),"Article inconnu",IF(H1345="","Désignation manquante",IF(OR(NOT(ISNUMBER(D1345)),N(D1345)&lt;=0),"Quantité invalide",IF(J1345="","Prix manquant",IF(OR(NOT(ISNUMBER(J1345)),N(J1345)&lt;0),"Prix invalide",IF(OR(AND(F1345&lt;&gt;"",NOT(ISNUMBER(F1345))),N(F1345)&lt;0,N(F1345)&gt;1),"Remise invalide",IF(K1345="","Taux de TVA manquant",IF(NOT(ISNUMBER(K1345)),"Taux de TVA invalide",IF(COUNTIF(p_rates,K1345)=0,"Taux de TVA hors liste (Paramètres)",IF(N(O1345)&gt;25,"Au-delà de 25 lignes : non imprimée","OK")))))))))))))</f>
        <v/>
      </c>
      <c r="O1345" s="59" t="str">
        <f>IF(A1345="","",COUNTIF($A$6:A1345,A1345))</f>
        <v/>
      </c>
      <c r="P1345" s="62" t="str">
        <f>IF(A1345="","",A1345&amp;"|"&amp;O1345)</f>
        <v/>
      </c>
    </row>
    <row r="1346">
      <c r="A1346" s="60" t="n"/>
      <c r="B1346" s="63" t="n"/>
      <c r="C1346" s="63" t="n"/>
      <c r="D1346" s="67" t="n"/>
      <c r="E1346" s="68" t="n"/>
      <c r="F1346" s="69" t="n"/>
      <c r="G1346" s="70" t="n"/>
      <c r="H1346" s="62" t="str">
        <f>IF(COUNTA(A1346:G1346)=0,"",IF(C1346&lt;&gt;"",C1346,IF(B1346="","",IFERROR(INDEX(pr_des,MATCH(B1346,pr_code,0))&amp;"",""))))</f>
        <v/>
      </c>
      <c r="I1346" s="59" t="str">
        <f>IF(B1346="","",IFERROR(INDEX(pr_unit,MATCH(B1346,pr_code,0))&amp;"",""))</f>
        <v/>
      </c>
      <c r="J1346" s="65" t="str">
        <f>IF(COUNTA(A1346:G1346)=0,"",IF(E1346&lt;&gt;"",E1346,IF(B1346="","",IFERROR(IF(INDEX(pr_price,MATCH(B1346,pr_code,0))="","",INDEX(pr_price,MATCH(B1346,pr_code,0))),""))))</f>
        <v/>
      </c>
      <c r="K1346" s="71" t="str">
        <f>IF(COUNTA(A1346:G1346)=0,"",IF(G1346&lt;&gt;"",G1346,IF(B1346="","",IFERROR(IF(INDEX(pr_rate,MATCH(B1346,pr_code,0))="","",INDEX(pr_rate,MATCH(B1346,pr_code,0))),""))))</f>
        <v/>
      </c>
      <c r="L1346" s="65" t="str">
        <f>IF(COUNTA(A1346:G1346)=0,"",IF(AND(ISNUMBER(D1346),ISNUMBER(J1346)),ROUND(D1346*J1346*(1-N(F1346)),2),0))</f>
        <v/>
      </c>
      <c r="M1346" s="62" t="str">
        <f>IF(A1346="","",IFERROR(INDEX(dv_cname,MATCH(A1346,dv_num,0))&amp;"",""))</f>
        <v/>
      </c>
      <c r="N1346" s="59" t="str">
        <f>IF(COUNTA(A1346:G1346)=0,"",IF(A1346="","N° devis manquant",IF(ISNA(MATCH(A1346,dv_num,0)),"Devis inconnu",IF(AND(B1346&lt;&gt;"",ISNA(MATCH(B1346,pr_code,0))),"Article inconnu",IF(H1346="","Désignation manquante",IF(OR(NOT(ISNUMBER(D1346)),N(D1346)&lt;=0),"Quantité invalide",IF(J1346="","Prix manquant",IF(OR(NOT(ISNUMBER(J1346)),N(J1346)&lt;0),"Prix invalide",IF(OR(AND(F1346&lt;&gt;"",NOT(ISNUMBER(F1346))),N(F1346)&lt;0,N(F1346)&gt;1),"Remise invalide",IF(K1346="","Taux de TVA manquant",IF(NOT(ISNUMBER(K1346)),"Taux de TVA invalide",IF(COUNTIF(p_rates,K1346)=0,"Taux de TVA hors liste (Paramètres)",IF(N(O1346)&gt;25,"Au-delà de 25 lignes : non imprimée","OK")))))))))))))</f>
        <v/>
      </c>
      <c r="O1346" s="59" t="str">
        <f>IF(A1346="","",COUNTIF($A$6:A1346,A1346))</f>
        <v/>
      </c>
      <c r="P1346" s="62" t="str">
        <f>IF(A1346="","",A1346&amp;"|"&amp;O1346)</f>
        <v/>
      </c>
    </row>
    <row r="1347">
      <c r="A1347" s="60" t="n"/>
      <c r="B1347" s="63" t="n"/>
      <c r="C1347" s="63" t="n"/>
      <c r="D1347" s="67" t="n"/>
      <c r="E1347" s="68" t="n"/>
      <c r="F1347" s="69" t="n"/>
      <c r="G1347" s="70" t="n"/>
      <c r="H1347" s="62" t="str">
        <f>IF(COUNTA(A1347:G1347)=0,"",IF(C1347&lt;&gt;"",C1347,IF(B1347="","",IFERROR(INDEX(pr_des,MATCH(B1347,pr_code,0))&amp;"",""))))</f>
        <v/>
      </c>
      <c r="I1347" s="59" t="str">
        <f>IF(B1347="","",IFERROR(INDEX(pr_unit,MATCH(B1347,pr_code,0))&amp;"",""))</f>
        <v/>
      </c>
      <c r="J1347" s="65" t="str">
        <f>IF(COUNTA(A1347:G1347)=0,"",IF(E1347&lt;&gt;"",E1347,IF(B1347="","",IFERROR(IF(INDEX(pr_price,MATCH(B1347,pr_code,0))="","",INDEX(pr_price,MATCH(B1347,pr_code,0))),""))))</f>
        <v/>
      </c>
      <c r="K1347" s="71" t="str">
        <f>IF(COUNTA(A1347:G1347)=0,"",IF(G1347&lt;&gt;"",G1347,IF(B1347="","",IFERROR(IF(INDEX(pr_rate,MATCH(B1347,pr_code,0))="","",INDEX(pr_rate,MATCH(B1347,pr_code,0))),""))))</f>
        <v/>
      </c>
      <c r="L1347" s="65" t="str">
        <f>IF(COUNTA(A1347:G1347)=0,"",IF(AND(ISNUMBER(D1347),ISNUMBER(J1347)),ROUND(D1347*J1347*(1-N(F1347)),2),0))</f>
        <v/>
      </c>
      <c r="M1347" s="62" t="str">
        <f>IF(A1347="","",IFERROR(INDEX(dv_cname,MATCH(A1347,dv_num,0))&amp;"",""))</f>
        <v/>
      </c>
      <c r="N1347" s="59" t="str">
        <f>IF(COUNTA(A1347:G1347)=0,"",IF(A1347="","N° devis manquant",IF(ISNA(MATCH(A1347,dv_num,0)),"Devis inconnu",IF(AND(B1347&lt;&gt;"",ISNA(MATCH(B1347,pr_code,0))),"Article inconnu",IF(H1347="","Désignation manquante",IF(OR(NOT(ISNUMBER(D1347)),N(D1347)&lt;=0),"Quantité invalide",IF(J1347="","Prix manquant",IF(OR(NOT(ISNUMBER(J1347)),N(J1347)&lt;0),"Prix invalide",IF(OR(AND(F1347&lt;&gt;"",NOT(ISNUMBER(F1347))),N(F1347)&lt;0,N(F1347)&gt;1),"Remise invalide",IF(K1347="","Taux de TVA manquant",IF(NOT(ISNUMBER(K1347)),"Taux de TVA invalide",IF(COUNTIF(p_rates,K1347)=0,"Taux de TVA hors liste (Paramètres)",IF(N(O1347)&gt;25,"Au-delà de 25 lignes : non imprimée","OK")))))))))))))</f>
        <v/>
      </c>
      <c r="O1347" s="59" t="str">
        <f>IF(A1347="","",COUNTIF($A$6:A1347,A1347))</f>
        <v/>
      </c>
      <c r="P1347" s="62" t="str">
        <f>IF(A1347="","",A1347&amp;"|"&amp;O1347)</f>
        <v/>
      </c>
    </row>
    <row r="1348">
      <c r="A1348" s="60" t="n"/>
      <c r="B1348" s="63" t="n"/>
      <c r="C1348" s="63" t="n"/>
      <c r="D1348" s="67" t="n"/>
      <c r="E1348" s="68" t="n"/>
      <c r="F1348" s="69" t="n"/>
      <c r="G1348" s="70" t="n"/>
      <c r="H1348" s="62" t="str">
        <f>IF(COUNTA(A1348:G1348)=0,"",IF(C1348&lt;&gt;"",C1348,IF(B1348="","",IFERROR(INDEX(pr_des,MATCH(B1348,pr_code,0))&amp;"",""))))</f>
        <v/>
      </c>
      <c r="I1348" s="59" t="str">
        <f>IF(B1348="","",IFERROR(INDEX(pr_unit,MATCH(B1348,pr_code,0))&amp;"",""))</f>
        <v/>
      </c>
      <c r="J1348" s="65" t="str">
        <f>IF(COUNTA(A1348:G1348)=0,"",IF(E1348&lt;&gt;"",E1348,IF(B1348="","",IFERROR(IF(INDEX(pr_price,MATCH(B1348,pr_code,0))="","",INDEX(pr_price,MATCH(B1348,pr_code,0))),""))))</f>
        <v/>
      </c>
      <c r="K1348" s="71" t="str">
        <f>IF(COUNTA(A1348:G1348)=0,"",IF(G1348&lt;&gt;"",G1348,IF(B1348="","",IFERROR(IF(INDEX(pr_rate,MATCH(B1348,pr_code,0))="","",INDEX(pr_rate,MATCH(B1348,pr_code,0))),""))))</f>
        <v/>
      </c>
      <c r="L1348" s="65" t="str">
        <f>IF(COUNTA(A1348:G1348)=0,"",IF(AND(ISNUMBER(D1348),ISNUMBER(J1348)),ROUND(D1348*J1348*(1-N(F1348)),2),0))</f>
        <v/>
      </c>
      <c r="M1348" s="62" t="str">
        <f>IF(A1348="","",IFERROR(INDEX(dv_cname,MATCH(A1348,dv_num,0))&amp;"",""))</f>
        <v/>
      </c>
      <c r="N1348" s="59" t="str">
        <f>IF(COUNTA(A1348:G1348)=0,"",IF(A1348="","N° devis manquant",IF(ISNA(MATCH(A1348,dv_num,0)),"Devis inconnu",IF(AND(B1348&lt;&gt;"",ISNA(MATCH(B1348,pr_code,0))),"Article inconnu",IF(H1348="","Désignation manquante",IF(OR(NOT(ISNUMBER(D1348)),N(D1348)&lt;=0),"Quantité invalide",IF(J1348="","Prix manquant",IF(OR(NOT(ISNUMBER(J1348)),N(J1348)&lt;0),"Prix invalide",IF(OR(AND(F1348&lt;&gt;"",NOT(ISNUMBER(F1348))),N(F1348)&lt;0,N(F1348)&gt;1),"Remise invalide",IF(K1348="","Taux de TVA manquant",IF(NOT(ISNUMBER(K1348)),"Taux de TVA invalide",IF(COUNTIF(p_rates,K1348)=0,"Taux de TVA hors liste (Paramètres)",IF(N(O1348)&gt;25,"Au-delà de 25 lignes : non imprimée","OK")))))))))))))</f>
        <v/>
      </c>
      <c r="O1348" s="59" t="str">
        <f>IF(A1348="","",COUNTIF($A$6:A1348,A1348))</f>
        <v/>
      </c>
      <c r="P1348" s="62" t="str">
        <f>IF(A1348="","",A1348&amp;"|"&amp;O1348)</f>
        <v/>
      </c>
    </row>
    <row r="1349">
      <c r="A1349" s="60" t="n"/>
      <c r="B1349" s="63" t="n"/>
      <c r="C1349" s="63" t="n"/>
      <c r="D1349" s="67" t="n"/>
      <c r="E1349" s="68" t="n"/>
      <c r="F1349" s="69" t="n"/>
      <c r="G1349" s="70" t="n"/>
      <c r="H1349" s="62" t="str">
        <f>IF(COUNTA(A1349:G1349)=0,"",IF(C1349&lt;&gt;"",C1349,IF(B1349="","",IFERROR(INDEX(pr_des,MATCH(B1349,pr_code,0))&amp;"",""))))</f>
        <v/>
      </c>
      <c r="I1349" s="59" t="str">
        <f>IF(B1349="","",IFERROR(INDEX(pr_unit,MATCH(B1349,pr_code,0))&amp;"",""))</f>
        <v/>
      </c>
      <c r="J1349" s="65" t="str">
        <f>IF(COUNTA(A1349:G1349)=0,"",IF(E1349&lt;&gt;"",E1349,IF(B1349="","",IFERROR(IF(INDEX(pr_price,MATCH(B1349,pr_code,0))="","",INDEX(pr_price,MATCH(B1349,pr_code,0))),""))))</f>
        <v/>
      </c>
      <c r="K1349" s="71" t="str">
        <f>IF(COUNTA(A1349:G1349)=0,"",IF(G1349&lt;&gt;"",G1349,IF(B1349="","",IFERROR(IF(INDEX(pr_rate,MATCH(B1349,pr_code,0))="","",INDEX(pr_rate,MATCH(B1349,pr_code,0))),""))))</f>
        <v/>
      </c>
      <c r="L1349" s="65" t="str">
        <f>IF(COUNTA(A1349:G1349)=0,"",IF(AND(ISNUMBER(D1349),ISNUMBER(J1349)),ROUND(D1349*J1349*(1-N(F1349)),2),0))</f>
        <v/>
      </c>
      <c r="M1349" s="62" t="str">
        <f>IF(A1349="","",IFERROR(INDEX(dv_cname,MATCH(A1349,dv_num,0))&amp;"",""))</f>
        <v/>
      </c>
      <c r="N1349" s="59" t="str">
        <f>IF(COUNTA(A1349:G1349)=0,"",IF(A1349="","N° devis manquant",IF(ISNA(MATCH(A1349,dv_num,0)),"Devis inconnu",IF(AND(B1349&lt;&gt;"",ISNA(MATCH(B1349,pr_code,0))),"Article inconnu",IF(H1349="","Désignation manquante",IF(OR(NOT(ISNUMBER(D1349)),N(D1349)&lt;=0),"Quantité invalide",IF(J1349="","Prix manquant",IF(OR(NOT(ISNUMBER(J1349)),N(J1349)&lt;0),"Prix invalide",IF(OR(AND(F1349&lt;&gt;"",NOT(ISNUMBER(F1349))),N(F1349)&lt;0,N(F1349)&gt;1),"Remise invalide",IF(K1349="","Taux de TVA manquant",IF(NOT(ISNUMBER(K1349)),"Taux de TVA invalide",IF(COUNTIF(p_rates,K1349)=0,"Taux de TVA hors liste (Paramètres)",IF(N(O1349)&gt;25,"Au-delà de 25 lignes : non imprimée","OK")))))))))))))</f>
        <v/>
      </c>
      <c r="O1349" s="59" t="str">
        <f>IF(A1349="","",COUNTIF($A$6:A1349,A1349))</f>
        <v/>
      </c>
      <c r="P1349" s="62" t="str">
        <f>IF(A1349="","",A1349&amp;"|"&amp;O1349)</f>
        <v/>
      </c>
    </row>
    <row r="1350">
      <c r="A1350" s="60" t="n"/>
      <c r="B1350" s="63" t="n"/>
      <c r="C1350" s="63" t="n"/>
      <c r="D1350" s="67" t="n"/>
      <c r="E1350" s="68" t="n"/>
      <c r="F1350" s="69" t="n"/>
      <c r="G1350" s="70" t="n"/>
      <c r="H1350" s="62" t="str">
        <f>IF(COUNTA(A1350:G1350)=0,"",IF(C1350&lt;&gt;"",C1350,IF(B1350="","",IFERROR(INDEX(pr_des,MATCH(B1350,pr_code,0))&amp;"",""))))</f>
        <v/>
      </c>
      <c r="I1350" s="59" t="str">
        <f>IF(B1350="","",IFERROR(INDEX(pr_unit,MATCH(B1350,pr_code,0))&amp;"",""))</f>
        <v/>
      </c>
      <c r="J1350" s="65" t="str">
        <f>IF(COUNTA(A1350:G1350)=0,"",IF(E1350&lt;&gt;"",E1350,IF(B1350="","",IFERROR(IF(INDEX(pr_price,MATCH(B1350,pr_code,0))="","",INDEX(pr_price,MATCH(B1350,pr_code,0))),""))))</f>
        <v/>
      </c>
      <c r="K1350" s="71" t="str">
        <f>IF(COUNTA(A1350:G1350)=0,"",IF(G1350&lt;&gt;"",G1350,IF(B1350="","",IFERROR(IF(INDEX(pr_rate,MATCH(B1350,pr_code,0))="","",INDEX(pr_rate,MATCH(B1350,pr_code,0))),""))))</f>
        <v/>
      </c>
      <c r="L1350" s="65" t="str">
        <f>IF(COUNTA(A1350:G1350)=0,"",IF(AND(ISNUMBER(D1350),ISNUMBER(J1350)),ROUND(D1350*J1350*(1-N(F1350)),2),0))</f>
        <v/>
      </c>
      <c r="M1350" s="62" t="str">
        <f>IF(A1350="","",IFERROR(INDEX(dv_cname,MATCH(A1350,dv_num,0))&amp;"",""))</f>
        <v/>
      </c>
      <c r="N1350" s="59" t="str">
        <f>IF(COUNTA(A1350:G1350)=0,"",IF(A1350="","N° devis manquant",IF(ISNA(MATCH(A1350,dv_num,0)),"Devis inconnu",IF(AND(B1350&lt;&gt;"",ISNA(MATCH(B1350,pr_code,0))),"Article inconnu",IF(H1350="","Désignation manquante",IF(OR(NOT(ISNUMBER(D1350)),N(D1350)&lt;=0),"Quantité invalide",IF(J1350="","Prix manquant",IF(OR(NOT(ISNUMBER(J1350)),N(J1350)&lt;0),"Prix invalide",IF(OR(AND(F1350&lt;&gt;"",NOT(ISNUMBER(F1350))),N(F1350)&lt;0,N(F1350)&gt;1),"Remise invalide",IF(K1350="","Taux de TVA manquant",IF(NOT(ISNUMBER(K1350)),"Taux de TVA invalide",IF(COUNTIF(p_rates,K1350)=0,"Taux de TVA hors liste (Paramètres)",IF(N(O1350)&gt;25,"Au-delà de 25 lignes : non imprimée","OK")))))))))))))</f>
        <v/>
      </c>
      <c r="O1350" s="59" t="str">
        <f>IF(A1350="","",COUNTIF($A$6:A1350,A1350))</f>
        <v/>
      </c>
      <c r="P1350" s="62" t="str">
        <f>IF(A1350="","",A1350&amp;"|"&amp;O1350)</f>
        <v/>
      </c>
    </row>
    <row r="1351">
      <c r="A1351" s="60" t="n"/>
      <c r="B1351" s="63" t="n"/>
      <c r="C1351" s="63" t="n"/>
      <c r="D1351" s="67" t="n"/>
      <c r="E1351" s="68" t="n"/>
      <c r="F1351" s="69" t="n"/>
      <c r="G1351" s="70" t="n"/>
      <c r="H1351" s="62" t="str">
        <f>IF(COUNTA(A1351:G1351)=0,"",IF(C1351&lt;&gt;"",C1351,IF(B1351="","",IFERROR(INDEX(pr_des,MATCH(B1351,pr_code,0))&amp;"",""))))</f>
        <v/>
      </c>
      <c r="I1351" s="59" t="str">
        <f>IF(B1351="","",IFERROR(INDEX(pr_unit,MATCH(B1351,pr_code,0))&amp;"",""))</f>
        <v/>
      </c>
      <c r="J1351" s="65" t="str">
        <f>IF(COUNTA(A1351:G1351)=0,"",IF(E1351&lt;&gt;"",E1351,IF(B1351="","",IFERROR(IF(INDEX(pr_price,MATCH(B1351,pr_code,0))="","",INDEX(pr_price,MATCH(B1351,pr_code,0))),""))))</f>
        <v/>
      </c>
      <c r="K1351" s="71" t="str">
        <f>IF(COUNTA(A1351:G1351)=0,"",IF(G1351&lt;&gt;"",G1351,IF(B1351="","",IFERROR(IF(INDEX(pr_rate,MATCH(B1351,pr_code,0))="","",INDEX(pr_rate,MATCH(B1351,pr_code,0))),""))))</f>
        <v/>
      </c>
      <c r="L1351" s="65" t="str">
        <f>IF(COUNTA(A1351:G1351)=0,"",IF(AND(ISNUMBER(D1351),ISNUMBER(J1351)),ROUND(D1351*J1351*(1-N(F1351)),2),0))</f>
        <v/>
      </c>
      <c r="M1351" s="62" t="str">
        <f>IF(A1351="","",IFERROR(INDEX(dv_cname,MATCH(A1351,dv_num,0))&amp;"",""))</f>
        <v/>
      </c>
      <c r="N1351" s="59" t="str">
        <f>IF(COUNTA(A1351:G1351)=0,"",IF(A1351="","N° devis manquant",IF(ISNA(MATCH(A1351,dv_num,0)),"Devis inconnu",IF(AND(B1351&lt;&gt;"",ISNA(MATCH(B1351,pr_code,0))),"Article inconnu",IF(H1351="","Désignation manquante",IF(OR(NOT(ISNUMBER(D1351)),N(D1351)&lt;=0),"Quantité invalide",IF(J1351="","Prix manquant",IF(OR(NOT(ISNUMBER(J1351)),N(J1351)&lt;0),"Prix invalide",IF(OR(AND(F1351&lt;&gt;"",NOT(ISNUMBER(F1351))),N(F1351)&lt;0,N(F1351)&gt;1),"Remise invalide",IF(K1351="","Taux de TVA manquant",IF(NOT(ISNUMBER(K1351)),"Taux de TVA invalide",IF(COUNTIF(p_rates,K1351)=0,"Taux de TVA hors liste (Paramètres)",IF(N(O1351)&gt;25,"Au-delà de 25 lignes : non imprimée","OK")))))))))))))</f>
        <v/>
      </c>
      <c r="O1351" s="59" t="str">
        <f>IF(A1351="","",COUNTIF($A$6:A1351,A1351))</f>
        <v/>
      </c>
      <c r="P1351" s="62" t="str">
        <f>IF(A1351="","",A1351&amp;"|"&amp;O1351)</f>
        <v/>
      </c>
    </row>
    <row r="1352">
      <c r="A1352" s="60" t="n"/>
      <c r="B1352" s="63" t="n"/>
      <c r="C1352" s="63" t="n"/>
      <c r="D1352" s="67" t="n"/>
      <c r="E1352" s="68" t="n"/>
      <c r="F1352" s="69" t="n"/>
      <c r="G1352" s="70" t="n"/>
      <c r="H1352" s="62" t="str">
        <f>IF(COUNTA(A1352:G1352)=0,"",IF(C1352&lt;&gt;"",C1352,IF(B1352="","",IFERROR(INDEX(pr_des,MATCH(B1352,pr_code,0))&amp;"",""))))</f>
        <v/>
      </c>
      <c r="I1352" s="59" t="str">
        <f>IF(B1352="","",IFERROR(INDEX(pr_unit,MATCH(B1352,pr_code,0))&amp;"",""))</f>
        <v/>
      </c>
      <c r="J1352" s="65" t="str">
        <f>IF(COUNTA(A1352:G1352)=0,"",IF(E1352&lt;&gt;"",E1352,IF(B1352="","",IFERROR(IF(INDEX(pr_price,MATCH(B1352,pr_code,0))="","",INDEX(pr_price,MATCH(B1352,pr_code,0))),""))))</f>
        <v/>
      </c>
      <c r="K1352" s="71" t="str">
        <f>IF(COUNTA(A1352:G1352)=0,"",IF(G1352&lt;&gt;"",G1352,IF(B1352="","",IFERROR(IF(INDEX(pr_rate,MATCH(B1352,pr_code,0))="","",INDEX(pr_rate,MATCH(B1352,pr_code,0))),""))))</f>
        <v/>
      </c>
      <c r="L1352" s="65" t="str">
        <f>IF(COUNTA(A1352:G1352)=0,"",IF(AND(ISNUMBER(D1352),ISNUMBER(J1352)),ROUND(D1352*J1352*(1-N(F1352)),2),0))</f>
        <v/>
      </c>
      <c r="M1352" s="62" t="str">
        <f>IF(A1352="","",IFERROR(INDEX(dv_cname,MATCH(A1352,dv_num,0))&amp;"",""))</f>
        <v/>
      </c>
      <c r="N1352" s="59" t="str">
        <f>IF(COUNTA(A1352:G1352)=0,"",IF(A1352="","N° devis manquant",IF(ISNA(MATCH(A1352,dv_num,0)),"Devis inconnu",IF(AND(B1352&lt;&gt;"",ISNA(MATCH(B1352,pr_code,0))),"Article inconnu",IF(H1352="","Désignation manquante",IF(OR(NOT(ISNUMBER(D1352)),N(D1352)&lt;=0),"Quantité invalide",IF(J1352="","Prix manquant",IF(OR(NOT(ISNUMBER(J1352)),N(J1352)&lt;0),"Prix invalide",IF(OR(AND(F1352&lt;&gt;"",NOT(ISNUMBER(F1352))),N(F1352)&lt;0,N(F1352)&gt;1),"Remise invalide",IF(K1352="","Taux de TVA manquant",IF(NOT(ISNUMBER(K1352)),"Taux de TVA invalide",IF(COUNTIF(p_rates,K1352)=0,"Taux de TVA hors liste (Paramètres)",IF(N(O1352)&gt;25,"Au-delà de 25 lignes : non imprimée","OK")))))))))))))</f>
        <v/>
      </c>
      <c r="O1352" s="59" t="str">
        <f>IF(A1352="","",COUNTIF($A$6:A1352,A1352))</f>
        <v/>
      </c>
      <c r="P1352" s="62" t="str">
        <f>IF(A1352="","",A1352&amp;"|"&amp;O1352)</f>
        <v/>
      </c>
    </row>
    <row r="1353">
      <c r="A1353" s="60" t="n"/>
      <c r="B1353" s="63" t="n"/>
      <c r="C1353" s="63" t="n"/>
      <c r="D1353" s="67" t="n"/>
      <c r="E1353" s="68" t="n"/>
      <c r="F1353" s="69" t="n"/>
      <c r="G1353" s="70" t="n"/>
      <c r="H1353" s="62" t="str">
        <f>IF(COUNTA(A1353:G1353)=0,"",IF(C1353&lt;&gt;"",C1353,IF(B1353="","",IFERROR(INDEX(pr_des,MATCH(B1353,pr_code,0))&amp;"",""))))</f>
        <v/>
      </c>
      <c r="I1353" s="59" t="str">
        <f>IF(B1353="","",IFERROR(INDEX(pr_unit,MATCH(B1353,pr_code,0))&amp;"",""))</f>
        <v/>
      </c>
      <c r="J1353" s="65" t="str">
        <f>IF(COUNTA(A1353:G1353)=0,"",IF(E1353&lt;&gt;"",E1353,IF(B1353="","",IFERROR(IF(INDEX(pr_price,MATCH(B1353,pr_code,0))="","",INDEX(pr_price,MATCH(B1353,pr_code,0))),""))))</f>
        <v/>
      </c>
      <c r="K1353" s="71" t="str">
        <f>IF(COUNTA(A1353:G1353)=0,"",IF(G1353&lt;&gt;"",G1353,IF(B1353="","",IFERROR(IF(INDEX(pr_rate,MATCH(B1353,pr_code,0))="","",INDEX(pr_rate,MATCH(B1353,pr_code,0))),""))))</f>
        <v/>
      </c>
      <c r="L1353" s="65" t="str">
        <f>IF(COUNTA(A1353:G1353)=0,"",IF(AND(ISNUMBER(D1353),ISNUMBER(J1353)),ROUND(D1353*J1353*(1-N(F1353)),2),0))</f>
        <v/>
      </c>
      <c r="M1353" s="62" t="str">
        <f>IF(A1353="","",IFERROR(INDEX(dv_cname,MATCH(A1353,dv_num,0))&amp;"",""))</f>
        <v/>
      </c>
      <c r="N1353" s="59" t="str">
        <f>IF(COUNTA(A1353:G1353)=0,"",IF(A1353="","N° devis manquant",IF(ISNA(MATCH(A1353,dv_num,0)),"Devis inconnu",IF(AND(B1353&lt;&gt;"",ISNA(MATCH(B1353,pr_code,0))),"Article inconnu",IF(H1353="","Désignation manquante",IF(OR(NOT(ISNUMBER(D1353)),N(D1353)&lt;=0),"Quantité invalide",IF(J1353="","Prix manquant",IF(OR(NOT(ISNUMBER(J1353)),N(J1353)&lt;0),"Prix invalide",IF(OR(AND(F1353&lt;&gt;"",NOT(ISNUMBER(F1353))),N(F1353)&lt;0,N(F1353)&gt;1),"Remise invalide",IF(K1353="","Taux de TVA manquant",IF(NOT(ISNUMBER(K1353)),"Taux de TVA invalide",IF(COUNTIF(p_rates,K1353)=0,"Taux de TVA hors liste (Paramètres)",IF(N(O1353)&gt;25,"Au-delà de 25 lignes : non imprimée","OK")))))))))))))</f>
        <v/>
      </c>
      <c r="O1353" s="59" t="str">
        <f>IF(A1353="","",COUNTIF($A$6:A1353,A1353))</f>
        <v/>
      </c>
      <c r="P1353" s="62" t="str">
        <f>IF(A1353="","",A1353&amp;"|"&amp;O1353)</f>
        <v/>
      </c>
    </row>
    <row r="1354">
      <c r="A1354" s="60" t="n"/>
      <c r="B1354" s="63" t="n"/>
      <c r="C1354" s="63" t="n"/>
      <c r="D1354" s="67" t="n"/>
      <c r="E1354" s="68" t="n"/>
      <c r="F1354" s="69" t="n"/>
      <c r="G1354" s="70" t="n"/>
      <c r="H1354" s="62" t="str">
        <f>IF(COUNTA(A1354:G1354)=0,"",IF(C1354&lt;&gt;"",C1354,IF(B1354="","",IFERROR(INDEX(pr_des,MATCH(B1354,pr_code,0))&amp;"",""))))</f>
        <v/>
      </c>
      <c r="I1354" s="59" t="str">
        <f>IF(B1354="","",IFERROR(INDEX(pr_unit,MATCH(B1354,pr_code,0))&amp;"",""))</f>
        <v/>
      </c>
      <c r="J1354" s="65" t="str">
        <f>IF(COUNTA(A1354:G1354)=0,"",IF(E1354&lt;&gt;"",E1354,IF(B1354="","",IFERROR(IF(INDEX(pr_price,MATCH(B1354,pr_code,0))="","",INDEX(pr_price,MATCH(B1354,pr_code,0))),""))))</f>
        <v/>
      </c>
      <c r="K1354" s="71" t="str">
        <f>IF(COUNTA(A1354:G1354)=0,"",IF(G1354&lt;&gt;"",G1354,IF(B1354="","",IFERROR(IF(INDEX(pr_rate,MATCH(B1354,pr_code,0))="","",INDEX(pr_rate,MATCH(B1354,pr_code,0))),""))))</f>
        <v/>
      </c>
      <c r="L1354" s="65" t="str">
        <f>IF(COUNTA(A1354:G1354)=0,"",IF(AND(ISNUMBER(D1354),ISNUMBER(J1354)),ROUND(D1354*J1354*(1-N(F1354)),2),0))</f>
        <v/>
      </c>
      <c r="M1354" s="62" t="str">
        <f>IF(A1354="","",IFERROR(INDEX(dv_cname,MATCH(A1354,dv_num,0))&amp;"",""))</f>
        <v/>
      </c>
      <c r="N1354" s="59" t="str">
        <f>IF(COUNTA(A1354:G1354)=0,"",IF(A1354="","N° devis manquant",IF(ISNA(MATCH(A1354,dv_num,0)),"Devis inconnu",IF(AND(B1354&lt;&gt;"",ISNA(MATCH(B1354,pr_code,0))),"Article inconnu",IF(H1354="","Désignation manquante",IF(OR(NOT(ISNUMBER(D1354)),N(D1354)&lt;=0),"Quantité invalide",IF(J1354="","Prix manquant",IF(OR(NOT(ISNUMBER(J1354)),N(J1354)&lt;0),"Prix invalide",IF(OR(AND(F1354&lt;&gt;"",NOT(ISNUMBER(F1354))),N(F1354)&lt;0,N(F1354)&gt;1),"Remise invalide",IF(K1354="","Taux de TVA manquant",IF(NOT(ISNUMBER(K1354)),"Taux de TVA invalide",IF(COUNTIF(p_rates,K1354)=0,"Taux de TVA hors liste (Paramètres)",IF(N(O1354)&gt;25,"Au-delà de 25 lignes : non imprimée","OK")))))))))))))</f>
        <v/>
      </c>
      <c r="O1354" s="59" t="str">
        <f>IF(A1354="","",COUNTIF($A$6:A1354,A1354))</f>
        <v/>
      </c>
      <c r="P1354" s="62" t="str">
        <f>IF(A1354="","",A1354&amp;"|"&amp;O1354)</f>
        <v/>
      </c>
    </row>
    <row r="1355">
      <c r="A1355" s="60" t="n"/>
      <c r="B1355" s="63" t="n"/>
      <c r="C1355" s="63" t="n"/>
      <c r="D1355" s="67" t="n"/>
      <c r="E1355" s="68" t="n"/>
      <c r="F1355" s="69" t="n"/>
      <c r="G1355" s="70" t="n"/>
      <c r="H1355" s="62" t="str">
        <f>IF(COUNTA(A1355:G1355)=0,"",IF(C1355&lt;&gt;"",C1355,IF(B1355="","",IFERROR(INDEX(pr_des,MATCH(B1355,pr_code,0))&amp;"",""))))</f>
        <v/>
      </c>
      <c r="I1355" s="59" t="str">
        <f>IF(B1355="","",IFERROR(INDEX(pr_unit,MATCH(B1355,pr_code,0))&amp;"",""))</f>
        <v/>
      </c>
      <c r="J1355" s="65" t="str">
        <f>IF(COUNTA(A1355:G1355)=0,"",IF(E1355&lt;&gt;"",E1355,IF(B1355="","",IFERROR(IF(INDEX(pr_price,MATCH(B1355,pr_code,0))="","",INDEX(pr_price,MATCH(B1355,pr_code,0))),""))))</f>
        <v/>
      </c>
      <c r="K1355" s="71" t="str">
        <f>IF(COUNTA(A1355:G1355)=0,"",IF(G1355&lt;&gt;"",G1355,IF(B1355="","",IFERROR(IF(INDEX(pr_rate,MATCH(B1355,pr_code,0))="","",INDEX(pr_rate,MATCH(B1355,pr_code,0))),""))))</f>
        <v/>
      </c>
      <c r="L1355" s="65" t="str">
        <f>IF(COUNTA(A1355:G1355)=0,"",IF(AND(ISNUMBER(D1355),ISNUMBER(J1355)),ROUND(D1355*J1355*(1-N(F1355)),2),0))</f>
        <v/>
      </c>
      <c r="M1355" s="62" t="str">
        <f>IF(A1355="","",IFERROR(INDEX(dv_cname,MATCH(A1355,dv_num,0))&amp;"",""))</f>
        <v/>
      </c>
      <c r="N1355" s="59" t="str">
        <f>IF(COUNTA(A1355:G1355)=0,"",IF(A1355="","N° devis manquant",IF(ISNA(MATCH(A1355,dv_num,0)),"Devis inconnu",IF(AND(B1355&lt;&gt;"",ISNA(MATCH(B1355,pr_code,0))),"Article inconnu",IF(H1355="","Désignation manquante",IF(OR(NOT(ISNUMBER(D1355)),N(D1355)&lt;=0),"Quantité invalide",IF(J1355="","Prix manquant",IF(OR(NOT(ISNUMBER(J1355)),N(J1355)&lt;0),"Prix invalide",IF(OR(AND(F1355&lt;&gt;"",NOT(ISNUMBER(F1355))),N(F1355)&lt;0,N(F1355)&gt;1),"Remise invalide",IF(K1355="","Taux de TVA manquant",IF(NOT(ISNUMBER(K1355)),"Taux de TVA invalide",IF(COUNTIF(p_rates,K1355)=0,"Taux de TVA hors liste (Paramètres)",IF(N(O1355)&gt;25,"Au-delà de 25 lignes : non imprimée","OK")))))))))))))</f>
        <v/>
      </c>
      <c r="O1355" s="59" t="str">
        <f>IF(A1355="","",COUNTIF($A$6:A1355,A1355))</f>
        <v/>
      </c>
      <c r="P1355" s="62" t="str">
        <f>IF(A1355="","",A1355&amp;"|"&amp;O1355)</f>
        <v/>
      </c>
    </row>
    <row r="1356">
      <c r="A1356" s="60" t="n"/>
      <c r="B1356" s="63" t="n"/>
      <c r="C1356" s="63" t="n"/>
      <c r="D1356" s="67" t="n"/>
      <c r="E1356" s="68" t="n"/>
      <c r="F1356" s="69" t="n"/>
      <c r="G1356" s="70" t="n"/>
      <c r="H1356" s="62" t="str">
        <f>IF(COUNTA(A1356:G1356)=0,"",IF(C1356&lt;&gt;"",C1356,IF(B1356="","",IFERROR(INDEX(pr_des,MATCH(B1356,pr_code,0))&amp;"",""))))</f>
        <v/>
      </c>
      <c r="I1356" s="59" t="str">
        <f>IF(B1356="","",IFERROR(INDEX(pr_unit,MATCH(B1356,pr_code,0))&amp;"",""))</f>
        <v/>
      </c>
      <c r="J1356" s="65" t="str">
        <f>IF(COUNTA(A1356:G1356)=0,"",IF(E1356&lt;&gt;"",E1356,IF(B1356="","",IFERROR(IF(INDEX(pr_price,MATCH(B1356,pr_code,0))="","",INDEX(pr_price,MATCH(B1356,pr_code,0))),""))))</f>
        <v/>
      </c>
      <c r="K1356" s="71" t="str">
        <f>IF(COUNTA(A1356:G1356)=0,"",IF(G1356&lt;&gt;"",G1356,IF(B1356="","",IFERROR(IF(INDEX(pr_rate,MATCH(B1356,pr_code,0))="","",INDEX(pr_rate,MATCH(B1356,pr_code,0))),""))))</f>
        <v/>
      </c>
      <c r="L1356" s="65" t="str">
        <f>IF(COUNTA(A1356:G1356)=0,"",IF(AND(ISNUMBER(D1356),ISNUMBER(J1356)),ROUND(D1356*J1356*(1-N(F1356)),2),0))</f>
        <v/>
      </c>
      <c r="M1356" s="62" t="str">
        <f>IF(A1356="","",IFERROR(INDEX(dv_cname,MATCH(A1356,dv_num,0))&amp;"",""))</f>
        <v/>
      </c>
      <c r="N1356" s="59" t="str">
        <f>IF(COUNTA(A1356:G1356)=0,"",IF(A1356="","N° devis manquant",IF(ISNA(MATCH(A1356,dv_num,0)),"Devis inconnu",IF(AND(B1356&lt;&gt;"",ISNA(MATCH(B1356,pr_code,0))),"Article inconnu",IF(H1356="","Désignation manquante",IF(OR(NOT(ISNUMBER(D1356)),N(D1356)&lt;=0),"Quantité invalide",IF(J1356="","Prix manquant",IF(OR(NOT(ISNUMBER(J1356)),N(J1356)&lt;0),"Prix invalide",IF(OR(AND(F1356&lt;&gt;"",NOT(ISNUMBER(F1356))),N(F1356)&lt;0,N(F1356)&gt;1),"Remise invalide",IF(K1356="","Taux de TVA manquant",IF(NOT(ISNUMBER(K1356)),"Taux de TVA invalide",IF(COUNTIF(p_rates,K1356)=0,"Taux de TVA hors liste (Paramètres)",IF(N(O1356)&gt;25,"Au-delà de 25 lignes : non imprimée","OK")))))))))))))</f>
        <v/>
      </c>
      <c r="O1356" s="59" t="str">
        <f>IF(A1356="","",COUNTIF($A$6:A1356,A1356))</f>
        <v/>
      </c>
      <c r="P1356" s="62" t="str">
        <f>IF(A1356="","",A1356&amp;"|"&amp;O1356)</f>
        <v/>
      </c>
    </row>
    <row r="1357">
      <c r="A1357" s="60" t="n"/>
      <c r="B1357" s="63" t="n"/>
      <c r="C1357" s="63" t="n"/>
      <c r="D1357" s="67" t="n"/>
      <c r="E1357" s="68" t="n"/>
      <c r="F1357" s="69" t="n"/>
      <c r="G1357" s="70" t="n"/>
      <c r="H1357" s="62" t="str">
        <f>IF(COUNTA(A1357:G1357)=0,"",IF(C1357&lt;&gt;"",C1357,IF(B1357="","",IFERROR(INDEX(pr_des,MATCH(B1357,pr_code,0))&amp;"",""))))</f>
        <v/>
      </c>
      <c r="I1357" s="59" t="str">
        <f>IF(B1357="","",IFERROR(INDEX(pr_unit,MATCH(B1357,pr_code,0))&amp;"",""))</f>
        <v/>
      </c>
      <c r="J1357" s="65" t="str">
        <f>IF(COUNTA(A1357:G1357)=0,"",IF(E1357&lt;&gt;"",E1357,IF(B1357="","",IFERROR(IF(INDEX(pr_price,MATCH(B1357,pr_code,0))="","",INDEX(pr_price,MATCH(B1357,pr_code,0))),""))))</f>
        <v/>
      </c>
      <c r="K1357" s="71" t="str">
        <f>IF(COUNTA(A1357:G1357)=0,"",IF(G1357&lt;&gt;"",G1357,IF(B1357="","",IFERROR(IF(INDEX(pr_rate,MATCH(B1357,pr_code,0))="","",INDEX(pr_rate,MATCH(B1357,pr_code,0))),""))))</f>
        <v/>
      </c>
      <c r="L1357" s="65" t="str">
        <f>IF(COUNTA(A1357:G1357)=0,"",IF(AND(ISNUMBER(D1357),ISNUMBER(J1357)),ROUND(D1357*J1357*(1-N(F1357)),2),0))</f>
        <v/>
      </c>
      <c r="M1357" s="62" t="str">
        <f>IF(A1357="","",IFERROR(INDEX(dv_cname,MATCH(A1357,dv_num,0))&amp;"",""))</f>
        <v/>
      </c>
      <c r="N1357" s="59" t="str">
        <f>IF(COUNTA(A1357:G1357)=0,"",IF(A1357="","N° devis manquant",IF(ISNA(MATCH(A1357,dv_num,0)),"Devis inconnu",IF(AND(B1357&lt;&gt;"",ISNA(MATCH(B1357,pr_code,0))),"Article inconnu",IF(H1357="","Désignation manquante",IF(OR(NOT(ISNUMBER(D1357)),N(D1357)&lt;=0),"Quantité invalide",IF(J1357="","Prix manquant",IF(OR(NOT(ISNUMBER(J1357)),N(J1357)&lt;0),"Prix invalide",IF(OR(AND(F1357&lt;&gt;"",NOT(ISNUMBER(F1357))),N(F1357)&lt;0,N(F1357)&gt;1),"Remise invalide",IF(K1357="","Taux de TVA manquant",IF(NOT(ISNUMBER(K1357)),"Taux de TVA invalide",IF(COUNTIF(p_rates,K1357)=0,"Taux de TVA hors liste (Paramètres)",IF(N(O1357)&gt;25,"Au-delà de 25 lignes : non imprimée","OK")))))))))))))</f>
        <v/>
      </c>
      <c r="O1357" s="59" t="str">
        <f>IF(A1357="","",COUNTIF($A$6:A1357,A1357))</f>
        <v/>
      </c>
      <c r="P1357" s="62" t="str">
        <f>IF(A1357="","",A1357&amp;"|"&amp;O1357)</f>
        <v/>
      </c>
    </row>
    <row r="1358">
      <c r="A1358" s="60" t="n"/>
      <c r="B1358" s="63" t="n"/>
      <c r="C1358" s="63" t="n"/>
      <c r="D1358" s="67" t="n"/>
      <c r="E1358" s="68" t="n"/>
      <c r="F1358" s="69" t="n"/>
      <c r="G1358" s="70" t="n"/>
      <c r="H1358" s="62" t="str">
        <f>IF(COUNTA(A1358:G1358)=0,"",IF(C1358&lt;&gt;"",C1358,IF(B1358="","",IFERROR(INDEX(pr_des,MATCH(B1358,pr_code,0))&amp;"",""))))</f>
        <v/>
      </c>
      <c r="I1358" s="59" t="str">
        <f>IF(B1358="","",IFERROR(INDEX(pr_unit,MATCH(B1358,pr_code,0))&amp;"",""))</f>
        <v/>
      </c>
      <c r="J1358" s="65" t="str">
        <f>IF(COUNTA(A1358:G1358)=0,"",IF(E1358&lt;&gt;"",E1358,IF(B1358="","",IFERROR(IF(INDEX(pr_price,MATCH(B1358,pr_code,0))="","",INDEX(pr_price,MATCH(B1358,pr_code,0))),""))))</f>
        <v/>
      </c>
      <c r="K1358" s="71" t="str">
        <f>IF(COUNTA(A1358:G1358)=0,"",IF(G1358&lt;&gt;"",G1358,IF(B1358="","",IFERROR(IF(INDEX(pr_rate,MATCH(B1358,pr_code,0))="","",INDEX(pr_rate,MATCH(B1358,pr_code,0))),""))))</f>
        <v/>
      </c>
      <c r="L1358" s="65" t="str">
        <f>IF(COUNTA(A1358:G1358)=0,"",IF(AND(ISNUMBER(D1358),ISNUMBER(J1358)),ROUND(D1358*J1358*(1-N(F1358)),2),0))</f>
        <v/>
      </c>
      <c r="M1358" s="62" t="str">
        <f>IF(A1358="","",IFERROR(INDEX(dv_cname,MATCH(A1358,dv_num,0))&amp;"",""))</f>
        <v/>
      </c>
      <c r="N1358" s="59" t="str">
        <f>IF(COUNTA(A1358:G1358)=0,"",IF(A1358="","N° devis manquant",IF(ISNA(MATCH(A1358,dv_num,0)),"Devis inconnu",IF(AND(B1358&lt;&gt;"",ISNA(MATCH(B1358,pr_code,0))),"Article inconnu",IF(H1358="","Désignation manquante",IF(OR(NOT(ISNUMBER(D1358)),N(D1358)&lt;=0),"Quantité invalide",IF(J1358="","Prix manquant",IF(OR(NOT(ISNUMBER(J1358)),N(J1358)&lt;0),"Prix invalide",IF(OR(AND(F1358&lt;&gt;"",NOT(ISNUMBER(F1358))),N(F1358)&lt;0,N(F1358)&gt;1),"Remise invalide",IF(K1358="","Taux de TVA manquant",IF(NOT(ISNUMBER(K1358)),"Taux de TVA invalide",IF(COUNTIF(p_rates,K1358)=0,"Taux de TVA hors liste (Paramètres)",IF(N(O1358)&gt;25,"Au-delà de 25 lignes : non imprimée","OK")))))))))))))</f>
        <v/>
      </c>
      <c r="O1358" s="59" t="str">
        <f>IF(A1358="","",COUNTIF($A$6:A1358,A1358))</f>
        <v/>
      </c>
      <c r="P1358" s="62" t="str">
        <f>IF(A1358="","",A1358&amp;"|"&amp;O1358)</f>
        <v/>
      </c>
    </row>
    <row r="1359">
      <c r="A1359" s="60" t="n"/>
      <c r="B1359" s="63" t="n"/>
      <c r="C1359" s="63" t="n"/>
      <c r="D1359" s="67" t="n"/>
      <c r="E1359" s="68" t="n"/>
      <c r="F1359" s="69" t="n"/>
      <c r="G1359" s="70" t="n"/>
      <c r="H1359" s="62" t="str">
        <f>IF(COUNTA(A1359:G1359)=0,"",IF(C1359&lt;&gt;"",C1359,IF(B1359="","",IFERROR(INDEX(pr_des,MATCH(B1359,pr_code,0))&amp;"",""))))</f>
        <v/>
      </c>
      <c r="I1359" s="59" t="str">
        <f>IF(B1359="","",IFERROR(INDEX(pr_unit,MATCH(B1359,pr_code,0))&amp;"",""))</f>
        <v/>
      </c>
      <c r="J1359" s="65" t="str">
        <f>IF(COUNTA(A1359:G1359)=0,"",IF(E1359&lt;&gt;"",E1359,IF(B1359="","",IFERROR(IF(INDEX(pr_price,MATCH(B1359,pr_code,0))="","",INDEX(pr_price,MATCH(B1359,pr_code,0))),""))))</f>
        <v/>
      </c>
      <c r="K1359" s="71" t="str">
        <f>IF(COUNTA(A1359:G1359)=0,"",IF(G1359&lt;&gt;"",G1359,IF(B1359="","",IFERROR(IF(INDEX(pr_rate,MATCH(B1359,pr_code,0))="","",INDEX(pr_rate,MATCH(B1359,pr_code,0))),""))))</f>
        <v/>
      </c>
      <c r="L1359" s="65" t="str">
        <f>IF(COUNTA(A1359:G1359)=0,"",IF(AND(ISNUMBER(D1359),ISNUMBER(J1359)),ROUND(D1359*J1359*(1-N(F1359)),2),0))</f>
        <v/>
      </c>
      <c r="M1359" s="62" t="str">
        <f>IF(A1359="","",IFERROR(INDEX(dv_cname,MATCH(A1359,dv_num,0))&amp;"",""))</f>
        <v/>
      </c>
      <c r="N1359" s="59" t="str">
        <f>IF(COUNTA(A1359:G1359)=0,"",IF(A1359="","N° devis manquant",IF(ISNA(MATCH(A1359,dv_num,0)),"Devis inconnu",IF(AND(B1359&lt;&gt;"",ISNA(MATCH(B1359,pr_code,0))),"Article inconnu",IF(H1359="","Désignation manquante",IF(OR(NOT(ISNUMBER(D1359)),N(D1359)&lt;=0),"Quantité invalide",IF(J1359="","Prix manquant",IF(OR(NOT(ISNUMBER(J1359)),N(J1359)&lt;0),"Prix invalide",IF(OR(AND(F1359&lt;&gt;"",NOT(ISNUMBER(F1359))),N(F1359)&lt;0,N(F1359)&gt;1),"Remise invalide",IF(K1359="","Taux de TVA manquant",IF(NOT(ISNUMBER(K1359)),"Taux de TVA invalide",IF(COUNTIF(p_rates,K1359)=0,"Taux de TVA hors liste (Paramètres)",IF(N(O1359)&gt;25,"Au-delà de 25 lignes : non imprimée","OK")))))))))))))</f>
        <v/>
      </c>
      <c r="O1359" s="59" t="str">
        <f>IF(A1359="","",COUNTIF($A$6:A1359,A1359))</f>
        <v/>
      </c>
      <c r="P1359" s="62" t="str">
        <f>IF(A1359="","",A1359&amp;"|"&amp;O1359)</f>
        <v/>
      </c>
    </row>
    <row r="1360">
      <c r="A1360" s="60" t="n"/>
      <c r="B1360" s="63" t="n"/>
      <c r="C1360" s="63" t="n"/>
      <c r="D1360" s="67" t="n"/>
      <c r="E1360" s="68" t="n"/>
      <c r="F1360" s="69" t="n"/>
      <c r="G1360" s="70" t="n"/>
      <c r="H1360" s="62" t="str">
        <f>IF(COUNTA(A1360:G1360)=0,"",IF(C1360&lt;&gt;"",C1360,IF(B1360="","",IFERROR(INDEX(pr_des,MATCH(B1360,pr_code,0))&amp;"",""))))</f>
        <v/>
      </c>
      <c r="I1360" s="59" t="str">
        <f>IF(B1360="","",IFERROR(INDEX(pr_unit,MATCH(B1360,pr_code,0))&amp;"",""))</f>
        <v/>
      </c>
      <c r="J1360" s="65" t="str">
        <f>IF(COUNTA(A1360:G1360)=0,"",IF(E1360&lt;&gt;"",E1360,IF(B1360="","",IFERROR(IF(INDEX(pr_price,MATCH(B1360,pr_code,0))="","",INDEX(pr_price,MATCH(B1360,pr_code,0))),""))))</f>
        <v/>
      </c>
      <c r="K1360" s="71" t="str">
        <f>IF(COUNTA(A1360:G1360)=0,"",IF(G1360&lt;&gt;"",G1360,IF(B1360="","",IFERROR(IF(INDEX(pr_rate,MATCH(B1360,pr_code,0))="","",INDEX(pr_rate,MATCH(B1360,pr_code,0))),""))))</f>
        <v/>
      </c>
      <c r="L1360" s="65" t="str">
        <f>IF(COUNTA(A1360:G1360)=0,"",IF(AND(ISNUMBER(D1360),ISNUMBER(J1360)),ROUND(D1360*J1360*(1-N(F1360)),2),0))</f>
        <v/>
      </c>
      <c r="M1360" s="62" t="str">
        <f>IF(A1360="","",IFERROR(INDEX(dv_cname,MATCH(A1360,dv_num,0))&amp;"",""))</f>
        <v/>
      </c>
      <c r="N1360" s="59" t="str">
        <f>IF(COUNTA(A1360:G1360)=0,"",IF(A1360="","N° devis manquant",IF(ISNA(MATCH(A1360,dv_num,0)),"Devis inconnu",IF(AND(B1360&lt;&gt;"",ISNA(MATCH(B1360,pr_code,0))),"Article inconnu",IF(H1360="","Désignation manquante",IF(OR(NOT(ISNUMBER(D1360)),N(D1360)&lt;=0),"Quantité invalide",IF(J1360="","Prix manquant",IF(OR(NOT(ISNUMBER(J1360)),N(J1360)&lt;0),"Prix invalide",IF(OR(AND(F1360&lt;&gt;"",NOT(ISNUMBER(F1360))),N(F1360)&lt;0,N(F1360)&gt;1),"Remise invalide",IF(K1360="","Taux de TVA manquant",IF(NOT(ISNUMBER(K1360)),"Taux de TVA invalide",IF(COUNTIF(p_rates,K1360)=0,"Taux de TVA hors liste (Paramètres)",IF(N(O1360)&gt;25,"Au-delà de 25 lignes : non imprimée","OK")))))))))))))</f>
        <v/>
      </c>
      <c r="O1360" s="59" t="str">
        <f>IF(A1360="","",COUNTIF($A$6:A1360,A1360))</f>
        <v/>
      </c>
      <c r="P1360" s="62" t="str">
        <f>IF(A1360="","",A1360&amp;"|"&amp;O1360)</f>
        <v/>
      </c>
    </row>
    <row r="1361">
      <c r="A1361" s="60" t="n"/>
      <c r="B1361" s="63" t="n"/>
      <c r="C1361" s="63" t="n"/>
      <c r="D1361" s="67" t="n"/>
      <c r="E1361" s="68" t="n"/>
      <c r="F1361" s="69" t="n"/>
      <c r="G1361" s="70" t="n"/>
      <c r="H1361" s="62" t="str">
        <f>IF(COUNTA(A1361:G1361)=0,"",IF(C1361&lt;&gt;"",C1361,IF(B1361="","",IFERROR(INDEX(pr_des,MATCH(B1361,pr_code,0))&amp;"",""))))</f>
        <v/>
      </c>
      <c r="I1361" s="59" t="str">
        <f>IF(B1361="","",IFERROR(INDEX(pr_unit,MATCH(B1361,pr_code,0))&amp;"",""))</f>
        <v/>
      </c>
      <c r="J1361" s="65" t="str">
        <f>IF(COUNTA(A1361:G1361)=0,"",IF(E1361&lt;&gt;"",E1361,IF(B1361="","",IFERROR(IF(INDEX(pr_price,MATCH(B1361,pr_code,0))="","",INDEX(pr_price,MATCH(B1361,pr_code,0))),""))))</f>
        <v/>
      </c>
      <c r="K1361" s="71" t="str">
        <f>IF(COUNTA(A1361:G1361)=0,"",IF(G1361&lt;&gt;"",G1361,IF(B1361="","",IFERROR(IF(INDEX(pr_rate,MATCH(B1361,pr_code,0))="","",INDEX(pr_rate,MATCH(B1361,pr_code,0))),""))))</f>
        <v/>
      </c>
      <c r="L1361" s="65" t="str">
        <f>IF(COUNTA(A1361:G1361)=0,"",IF(AND(ISNUMBER(D1361),ISNUMBER(J1361)),ROUND(D1361*J1361*(1-N(F1361)),2),0))</f>
        <v/>
      </c>
      <c r="M1361" s="62" t="str">
        <f>IF(A1361="","",IFERROR(INDEX(dv_cname,MATCH(A1361,dv_num,0))&amp;"",""))</f>
        <v/>
      </c>
      <c r="N1361" s="59" t="str">
        <f>IF(COUNTA(A1361:G1361)=0,"",IF(A1361="","N° devis manquant",IF(ISNA(MATCH(A1361,dv_num,0)),"Devis inconnu",IF(AND(B1361&lt;&gt;"",ISNA(MATCH(B1361,pr_code,0))),"Article inconnu",IF(H1361="","Désignation manquante",IF(OR(NOT(ISNUMBER(D1361)),N(D1361)&lt;=0),"Quantité invalide",IF(J1361="","Prix manquant",IF(OR(NOT(ISNUMBER(J1361)),N(J1361)&lt;0),"Prix invalide",IF(OR(AND(F1361&lt;&gt;"",NOT(ISNUMBER(F1361))),N(F1361)&lt;0,N(F1361)&gt;1),"Remise invalide",IF(K1361="","Taux de TVA manquant",IF(NOT(ISNUMBER(K1361)),"Taux de TVA invalide",IF(COUNTIF(p_rates,K1361)=0,"Taux de TVA hors liste (Paramètres)",IF(N(O1361)&gt;25,"Au-delà de 25 lignes : non imprimée","OK")))))))))))))</f>
        <v/>
      </c>
      <c r="O1361" s="59" t="str">
        <f>IF(A1361="","",COUNTIF($A$6:A1361,A1361))</f>
        <v/>
      </c>
      <c r="P1361" s="62" t="str">
        <f>IF(A1361="","",A1361&amp;"|"&amp;O1361)</f>
        <v/>
      </c>
    </row>
    <row r="1362">
      <c r="A1362" s="60" t="n"/>
      <c r="B1362" s="63" t="n"/>
      <c r="C1362" s="63" t="n"/>
      <c r="D1362" s="67" t="n"/>
      <c r="E1362" s="68" t="n"/>
      <c r="F1362" s="69" t="n"/>
      <c r="G1362" s="70" t="n"/>
      <c r="H1362" s="62" t="str">
        <f>IF(COUNTA(A1362:G1362)=0,"",IF(C1362&lt;&gt;"",C1362,IF(B1362="","",IFERROR(INDEX(pr_des,MATCH(B1362,pr_code,0))&amp;"",""))))</f>
        <v/>
      </c>
      <c r="I1362" s="59" t="str">
        <f>IF(B1362="","",IFERROR(INDEX(pr_unit,MATCH(B1362,pr_code,0))&amp;"",""))</f>
        <v/>
      </c>
      <c r="J1362" s="65" t="str">
        <f>IF(COUNTA(A1362:G1362)=0,"",IF(E1362&lt;&gt;"",E1362,IF(B1362="","",IFERROR(IF(INDEX(pr_price,MATCH(B1362,pr_code,0))="","",INDEX(pr_price,MATCH(B1362,pr_code,0))),""))))</f>
        <v/>
      </c>
      <c r="K1362" s="71" t="str">
        <f>IF(COUNTA(A1362:G1362)=0,"",IF(G1362&lt;&gt;"",G1362,IF(B1362="","",IFERROR(IF(INDEX(pr_rate,MATCH(B1362,pr_code,0))="","",INDEX(pr_rate,MATCH(B1362,pr_code,0))),""))))</f>
        <v/>
      </c>
      <c r="L1362" s="65" t="str">
        <f>IF(COUNTA(A1362:G1362)=0,"",IF(AND(ISNUMBER(D1362),ISNUMBER(J1362)),ROUND(D1362*J1362*(1-N(F1362)),2),0))</f>
        <v/>
      </c>
      <c r="M1362" s="62" t="str">
        <f>IF(A1362="","",IFERROR(INDEX(dv_cname,MATCH(A1362,dv_num,0))&amp;"",""))</f>
        <v/>
      </c>
      <c r="N1362" s="59" t="str">
        <f>IF(COUNTA(A1362:G1362)=0,"",IF(A1362="","N° devis manquant",IF(ISNA(MATCH(A1362,dv_num,0)),"Devis inconnu",IF(AND(B1362&lt;&gt;"",ISNA(MATCH(B1362,pr_code,0))),"Article inconnu",IF(H1362="","Désignation manquante",IF(OR(NOT(ISNUMBER(D1362)),N(D1362)&lt;=0),"Quantité invalide",IF(J1362="","Prix manquant",IF(OR(NOT(ISNUMBER(J1362)),N(J1362)&lt;0),"Prix invalide",IF(OR(AND(F1362&lt;&gt;"",NOT(ISNUMBER(F1362))),N(F1362)&lt;0,N(F1362)&gt;1),"Remise invalide",IF(K1362="","Taux de TVA manquant",IF(NOT(ISNUMBER(K1362)),"Taux de TVA invalide",IF(COUNTIF(p_rates,K1362)=0,"Taux de TVA hors liste (Paramètres)",IF(N(O1362)&gt;25,"Au-delà de 25 lignes : non imprimée","OK")))))))))))))</f>
        <v/>
      </c>
      <c r="O1362" s="59" t="str">
        <f>IF(A1362="","",COUNTIF($A$6:A1362,A1362))</f>
        <v/>
      </c>
      <c r="P1362" s="62" t="str">
        <f>IF(A1362="","",A1362&amp;"|"&amp;O1362)</f>
        <v/>
      </c>
    </row>
    <row r="1363">
      <c r="A1363" s="60" t="n"/>
      <c r="B1363" s="63" t="n"/>
      <c r="C1363" s="63" t="n"/>
      <c r="D1363" s="67" t="n"/>
      <c r="E1363" s="68" t="n"/>
      <c r="F1363" s="69" t="n"/>
      <c r="G1363" s="70" t="n"/>
      <c r="H1363" s="62" t="str">
        <f>IF(COUNTA(A1363:G1363)=0,"",IF(C1363&lt;&gt;"",C1363,IF(B1363="","",IFERROR(INDEX(pr_des,MATCH(B1363,pr_code,0))&amp;"",""))))</f>
        <v/>
      </c>
      <c r="I1363" s="59" t="str">
        <f>IF(B1363="","",IFERROR(INDEX(pr_unit,MATCH(B1363,pr_code,0))&amp;"",""))</f>
        <v/>
      </c>
      <c r="J1363" s="65" t="str">
        <f>IF(COUNTA(A1363:G1363)=0,"",IF(E1363&lt;&gt;"",E1363,IF(B1363="","",IFERROR(IF(INDEX(pr_price,MATCH(B1363,pr_code,0))="","",INDEX(pr_price,MATCH(B1363,pr_code,0))),""))))</f>
        <v/>
      </c>
      <c r="K1363" s="71" t="str">
        <f>IF(COUNTA(A1363:G1363)=0,"",IF(G1363&lt;&gt;"",G1363,IF(B1363="","",IFERROR(IF(INDEX(pr_rate,MATCH(B1363,pr_code,0))="","",INDEX(pr_rate,MATCH(B1363,pr_code,0))),""))))</f>
        <v/>
      </c>
      <c r="L1363" s="65" t="str">
        <f>IF(COUNTA(A1363:G1363)=0,"",IF(AND(ISNUMBER(D1363),ISNUMBER(J1363)),ROUND(D1363*J1363*(1-N(F1363)),2),0))</f>
        <v/>
      </c>
      <c r="M1363" s="62" t="str">
        <f>IF(A1363="","",IFERROR(INDEX(dv_cname,MATCH(A1363,dv_num,0))&amp;"",""))</f>
        <v/>
      </c>
      <c r="N1363" s="59" t="str">
        <f>IF(COUNTA(A1363:G1363)=0,"",IF(A1363="","N° devis manquant",IF(ISNA(MATCH(A1363,dv_num,0)),"Devis inconnu",IF(AND(B1363&lt;&gt;"",ISNA(MATCH(B1363,pr_code,0))),"Article inconnu",IF(H1363="","Désignation manquante",IF(OR(NOT(ISNUMBER(D1363)),N(D1363)&lt;=0),"Quantité invalide",IF(J1363="","Prix manquant",IF(OR(NOT(ISNUMBER(J1363)),N(J1363)&lt;0),"Prix invalide",IF(OR(AND(F1363&lt;&gt;"",NOT(ISNUMBER(F1363))),N(F1363)&lt;0,N(F1363)&gt;1),"Remise invalide",IF(K1363="","Taux de TVA manquant",IF(NOT(ISNUMBER(K1363)),"Taux de TVA invalide",IF(COUNTIF(p_rates,K1363)=0,"Taux de TVA hors liste (Paramètres)",IF(N(O1363)&gt;25,"Au-delà de 25 lignes : non imprimée","OK")))))))))))))</f>
        <v/>
      </c>
      <c r="O1363" s="59" t="str">
        <f>IF(A1363="","",COUNTIF($A$6:A1363,A1363))</f>
        <v/>
      </c>
      <c r="P1363" s="62" t="str">
        <f>IF(A1363="","",A1363&amp;"|"&amp;O1363)</f>
        <v/>
      </c>
    </row>
    <row r="1364">
      <c r="A1364" s="60" t="n"/>
      <c r="B1364" s="63" t="n"/>
      <c r="C1364" s="63" t="n"/>
      <c r="D1364" s="67" t="n"/>
      <c r="E1364" s="68" t="n"/>
      <c r="F1364" s="69" t="n"/>
      <c r="G1364" s="70" t="n"/>
      <c r="H1364" s="62" t="str">
        <f>IF(COUNTA(A1364:G1364)=0,"",IF(C1364&lt;&gt;"",C1364,IF(B1364="","",IFERROR(INDEX(pr_des,MATCH(B1364,pr_code,0))&amp;"",""))))</f>
        <v/>
      </c>
      <c r="I1364" s="59" t="str">
        <f>IF(B1364="","",IFERROR(INDEX(pr_unit,MATCH(B1364,pr_code,0))&amp;"",""))</f>
        <v/>
      </c>
      <c r="J1364" s="65" t="str">
        <f>IF(COUNTA(A1364:G1364)=0,"",IF(E1364&lt;&gt;"",E1364,IF(B1364="","",IFERROR(IF(INDEX(pr_price,MATCH(B1364,pr_code,0))="","",INDEX(pr_price,MATCH(B1364,pr_code,0))),""))))</f>
        <v/>
      </c>
      <c r="K1364" s="71" t="str">
        <f>IF(COUNTA(A1364:G1364)=0,"",IF(G1364&lt;&gt;"",G1364,IF(B1364="","",IFERROR(IF(INDEX(pr_rate,MATCH(B1364,pr_code,0))="","",INDEX(pr_rate,MATCH(B1364,pr_code,0))),""))))</f>
        <v/>
      </c>
      <c r="L1364" s="65" t="str">
        <f>IF(COUNTA(A1364:G1364)=0,"",IF(AND(ISNUMBER(D1364),ISNUMBER(J1364)),ROUND(D1364*J1364*(1-N(F1364)),2),0))</f>
        <v/>
      </c>
      <c r="M1364" s="62" t="str">
        <f>IF(A1364="","",IFERROR(INDEX(dv_cname,MATCH(A1364,dv_num,0))&amp;"",""))</f>
        <v/>
      </c>
      <c r="N1364" s="59" t="str">
        <f>IF(COUNTA(A1364:G1364)=0,"",IF(A1364="","N° devis manquant",IF(ISNA(MATCH(A1364,dv_num,0)),"Devis inconnu",IF(AND(B1364&lt;&gt;"",ISNA(MATCH(B1364,pr_code,0))),"Article inconnu",IF(H1364="","Désignation manquante",IF(OR(NOT(ISNUMBER(D1364)),N(D1364)&lt;=0),"Quantité invalide",IF(J1364="","Prix manquant",IF(OR(NOT(ISNUMBER(J1364)),N(J1364)&lt;0),"Prix invalide",IF(OR(AND(F1364&lt;&gt;"",NOT(ISNUMBER(F1364))),N(F1364)&lt;0,N(F1364)&gt;1),"Remise invalide",IF(K1364="","Taux de TVA manquant",IF(NOT(ISNUMBER(K1364)),"Taux de TVA invalide",IF(COUNTIF(p_rates,K1364)=0,"Taux de TVA hors liste (Paramètres)",IF(N(O1364)&gt;25,"Au-delà de 25 lignes : non imprimée","OK")))))))))))))</f>
        <v/>
      </c>
      <c r="O1364" s="59" t="str">
        <f>IF(A1364="","",COUNTIF($A$6:A1364,A1364))</f>
        <v/>
      </c>
      <c r="P1364" s="62" t="str">
        <f>IF(A1364="","",A1364&amp;"|"&amp;O1364)</f>
        <v/>
      </c>
    </row>
    <row r="1365">
      <c r="A1365" s="60" t="n"/>
      <c r="B1365" s="63" t="n"/>
      <c r="C1365" s="63" t="n"/>
      <c r="D1365" s="67" t="n"/>
      <c r="E1365" s="68" t="n"/>
      <c r="F1365" s="69" t="n"/>
      <c r="G1365" s="70" t="n"/>
      <c r="H1365" s="62" t="str">
        <f>IF(COUNTA(A1365:G1365)=0,"",IF(C1365&lt;&gt;"",C1365,IF(B1365="","",IFERROR(INDEX(pr_des,MATCH(B1365,pr_code,0))&amp;"",""))))</f>
        <v/>
      </c>
      <c r="I1365" s="59" t="str">
        <f>IF(B1365="","",IFERROR(INDEX(pr_unit,MATCH(B1365,pr_code,0))&amp;"",""))</f>
        <v/>
      </c>
      <c r="J1365" s="65" t="str">
        <f>IF(COUNTA(A1365:G1365)=0,"",IF(E1365&lt;&gt;"",E1365,IF(B1365="","",IFERROR(IF(INDEX(pr_price,MATCH(B1365,pr_code,0))="","",INDEX(pr_price,MATCH(B1365,pr_code,0))),""))))</f>
        <v/>
      </c>
      <c r="K1365" s="71" t="str">
        <f>IF(COUNTA(A1365:G1365)=0,"",IF(G1365&lt;&gt;"",G1365,IF(B1365="","",IFERROR(IF(INDEX(pr_rate,MATCH(B1365,pr_code,0))="","",INDEX(pr_rate,MATCH(B1365,pr_code,0))),""))))</f>
        <v/>
      </c>
      <c r="L1365" s="65" t="str">
        <f>IF(COUNTA(A1365:G1365)=0,"",IF(AND(ISNUMBER(D1365),ISNUMBER(J1365)),ROUND(D1365*J1365*(1-N(F1365)),2),0))</f>
        <v/>
      </c>
      <c r="M1365" s="62" t="str">
        <f>IF(A1365="","",IFERROR(INDEX(dv_cname,MATCH(A1365,dv_num,0))&amp;"",""))</f>
        <v/>
      </c>
      <c r="N1365" s="59" t="str">
        <f>IF(COUNTA(A1365:G1365)=0,"",IF(A1365="","N° devis manquant",IF(ISNA(MATCH(A1365,dv_num,0)),"Devis inconnu",IF(AND(B1365&lt;&gt;"",ISNA(MATCH(B1365,pr_code,0))),"Article inconnu",IF(H1365="","Désignation manquante",IF(OR(NOT(ISNUMBER(D1365)),N(D1365)&lt;=0),"Quantité invalide",IF(J1365="","Prix manquant",IF(OR(NOT(ISNUMBER(J1365)),N(J1365)&lt;0),"Prix invalide",IF(OR(AND(F1365&lt;&gt;"",NOT(ISNUMBER(F1365))),N(F1365)&lt;0,N(F1365)&gt;1),"Remise invalide",IF(K1365="","Taux de TVA manquant",IF(NOT(ISNUMBER(K1365)),"Taux de TVA invalide",IF(COUNTIF(p_rates,K1365)=0,"Taux de TVA hors liste (Paramètres)",IF(N(O1365)&gt;25,"Au-delà de 25 lignes : non imprimée","OK")))))))))))))</f>
        <v/>
      </c>
      <c r="O1365" s="59" t="str">
        <f>IF(A1365="","",COUNTIF($A$6:A1365,A1365))</f>
        <v/>
      </c>
      <c r="P1365" s="62" t="str">
        <f>IF(A1365="","",A1365&amp;"|"&amp;O1365)</f>
        <v/>
      </c>
    </row>
    <row r="1366">
      <c r="A1366" s="60" t="n"/>
      <c r="B1366" s="63" t="n"/>
      <c r="C1366" s="63" t="n"/>
      <c r="D1366" s="67" t="n"/>
      <c r="E1366" s="68" t="n"/>
      <c r="F1366" s="69" t="n"/>
      <c r="G1366" s="70" t="n"/>
      <c r="H1366" s="62" t="str">
        <f>IF(COUNTA(A1366:G1366)=0,"",IF(C1366&lt;&gt;"",C1366,IF(B1366="","",IFERROR(INDEX(pr_des,MATCH(B1366,pr_code,0))&amp;"",""))))</f>
        <v/>
      </c>
      <c r="I1366" s="59" t="str">
        <f>IF(B1366="","",IFERROR(INDEX(pr_unit,MATCH(B1366,pr_code,0))&amp;"",""))</f>
        <v/>
      </c>
      <c r="J1366" s="65" t="str">
        <f>IF(COUNTA(A1366:G1366)=0,"",IF(E1366&lt;&gt;"",E1366,IF(B1366="","",IFERROR(IF(INDEX(pr_price,MATCH(B1366,pr_code,0))="","",INDEX(pr_price,MATCH(B1366,pr_code,0))),""))))</f>
        <v/>
      </c>
      <c r="K1366" s="71" t="str">
        <f>IF(COUNTA(A1366:G1366)=0,"",IF(G1366&lt;&gt;"",G1366,IF(B1366="","",IFERROR(IF(INDEX(pr_rate,MATCH(B1366,pr_code,0))="","",INDEX(pr_rate,MATCH(B1366,pr_code,0))),""))))</f>
        <v/>
      </c>
      <c r="L1366" s="65" t="str">
        <f>IF(COUNTA(A1366:G1366)=0,"",IF(AND(ISNUMBER(D1366),ISNUMBER(J1366)),ROUND(D1366*J1366*(1-N(F1366)),2),0))</f>
        <v/>
      </c>
      <c r="M1366" s="62" t="str">
        <f>IF(A1366="","",IFERROR(INDEX(dv_cname,MATCH(A1366,dv_num,0))&amp;"",""))</f>
        <v/>
      </c>
      <c r="N1366" s="59" t="str">
        <f>IF(COUNTA(A1366:G1366)=0,"",IF(A1366="","N° devis manquant",IF(ISNA(MATCH(A1366,dv_num,0)),"Devis inconnu",IF(AND(B1366&lt;&gt;"",ISNA(MATCH(B1366,pr_code,0))),"Article inconnu",IF(H1366="","Désignation manquante",IF(OR(NOT(ISNUMBER(D1366)),N(D1366)&lt;=0),"Quantité invalide",IF(J1366="","Prix manquant",IF(OR(NOT(ISNUMBER(J1366)),N(J1366)&lt;0),"Prix invalide",IF(OR(AND(F1366&lt;&gt;"",NOT(ISNUMBER(F1366))),N(F1366)&lt;0,N(F1366)&gt;1),"Remise invalide",IF(K1366="","Taux de TVA manquant",IF(NOT(ISNUMBER(K1366)),"Taux de TVA invalide",IF(COUNTIF(p_rates,K1366)=0,"Taux de TVA hors liste (Paramètres)",IF(N(O1366)&gt;25,"Au-delà de 25 lignes : non imprimée","OK")))))))))))))</f>
        <v/>
      </c>
      <c r="O1366" s="59" t="str">
        <f>IF(A1366="","",COUNTIF($A$6:A1366,A1366))</f>
        <v/>
      </c>
      <c r="P1366" s="62" t="str">
        <f>IF(A1366="","",A1366&amp;"|"&amp;O1366)</f>
        <v/>
      </c>
    </row>
    <row r="1367">
      <c r="A1367" s="60" t="n"/>
      <c r="B1367" s="63" t="n"/>
      <c r="C1367" s="63" t="n"/>
      <c r="D1367" s="67" t="n"/>
      <c r="E1367" s="68" t="n"/>
      <c r="F1367" s="69" t="n"/>
      <c r="G1367" s="70" t="n"/>
      <c r="H1367" s="62" t="str">
        <f>IF(COUNTA(A1367:G1367)=0,"",IF(C1367&lt;&gt;"",C1367,IF(B1367="","",IFERROR(INDEX(pr_des,MATCH(B1367,pr_code,0))&amp;"",""))))</f>
        <v/>
      </c>
      <c r="I1367" s="59" t="str">
        <f>IF(B1367="","",IFERROR(INDEX(pr_unit,MATCH(B1367,pr_code,0))&amp;"",""))</f>
        <v/>
      </c>
      <c r="J1367" s="65" t="str">
        <f>IF(COUNTA(A1367:G1367)=0,"",IF(E1367&lt;&gt;"",E1367,IF(B1367="","",IFERROR(IF(INDEX(pr_price,MATCH(B1367,pr_code,0))="","",INDEX(pr_price,MATCH(B1367,pr_code,0))),""))))</f>
        <v/>
      </c>
      <c r="K1367" s="71" t="str">
        <f>IF(COUNTA(A1367:G1367)=0,"",IF(G1367&lt;&gt;"",G1367,IF(B1367="","",IFERROR(IF(INDEX(pr_rate,MATCH(B1367,pr_code,0))="","",INDEX(pr_rate,MATCH(B1367,pr_code,0))),""))))</f>
        <v/>
      </c>
      <c r="L1367" s="65" t="str">
        <f>IF(COUNTA(A1367:G1367)=0,"",IF(AND(ISNUMBER(D1367),ISNUMBER(J1367)),ROUND(D1367*J1367*(1-N(F1367)),2),0))</f>
        <v/>
      </c>
      <c r="M1367" s="62" t="str">
        <f>IF(A1367="","",IFERROR(INDEX(dv_cname,MATCH(A1367,dv_num,0))&amp;"",""))</f>
        <v/>
      </c>
      <c r="N1367" s="59" t="str">
        <f>IF(COUNTA(A1367:G1367)=0,"",IF(A1367="","N° devis manquant",IF(ISNA(MATCH(A1367,dv_num,0)),"Devis inconnu",IF(AND(B1367&lt;&gt;"",ISNA(MATCH(B1367,pr_code,0))),"Article inconnu",IF(H1367="","Désignation manquante",IF(OR(NOT(ISNUMBER(D1367)),N(D1367)&lt;=0),"Quantité invalide",IF(J1367="","Prix manquant",IF(OR(NOT(ISNUMBER(J1367)),N(J1367)&lt;0),"Prix invalide",IF(OR(AND(F1367&lt;&gt;"",NOT(ISNUMBER(F1367))),N(F1367)&lt;0,N(F1367)&gt;1),"Remise invalide",IF(K1367="","Taux de TVA manquant",IF(NOT(ISNUMBER(K1367)),"Taux de TVA invalide",IF(COUNTIF(p_rates,K1367)=0,"Taux de TVA hors liste (Paramètres)",IF(N(O1367)&gt;25,"Au-delà de 25 lignes : non imprimée","OK")))))))))))))</f>
        <v/>
      </c>
      <c r="O1367" s="59" t="str">
        <f>IF(A1367="","",COUNTIF($A$6:A1367,A1367))</f>
        <v/>
      </c>
      <c r="P1367" s="62" t="str">
        <f>IF(A1367="","",A1367&amp;"|"&amp;O1367)</f>
        <v/>
      </c>
    </row>
    <row r="1368">
      <c r="A1368" s="60" t="n"/>
      <c r="B1368" s="63" t="n"/>
      <c r="C1368" s="63" t="n"/>
      <c r="D1368" s="67" t="n"/>
      <c r="E1368" s="68" t="n"/>
      <c r="F1368" s="69" t="n"/>
      <c r="G1368" s="70" t="n"/>
      <c r="H1368" s="62" t="str">
        <f>IF(COUNTA(A1368:G1368)=0,"",IF(C1368&lt;&gt;"",C1368,IF(B1368="","",IFERROR(INDEX(pr_des,MATCH(B1368,pr_code,0))&amp;"",""))))</f>
        <v/>
      </c>
      <c r="I1368" s="59" t="str">
        <f>IF(B1368="","",IFERROR(INDEX(pr_unit,MATCH(B1368,pr_code,0))&amp;"",""))</f>
        <v/>
      </c>
      <c r="J1368" s="65" t="str">
        <f>IF(COUNTA(A1368:G1368)=0,"",IF(E1368&lt;&gt;"",E1368,IF(B1368="","",IFERROR(IF(INDEX(pr_price,MATCH(B1368,pr_code,0))="","",INDEX(pr_price,MATCH(B1368,pr_code,0))),""))))</f>
        <v/>
      </c>
      <c r="K1368" s="71" t="str">
        <f>IF(COUNTA(A1368:G1368)=0,"",IF(G1368&lt;&gt;"",G1368,IF(B1368="","",IFERROR(IF(INDEX(pr_rate,MATCH(B1368,pr_code,0))="","",INDEX(pr_rate,MATCH(B1368,pr_code,0))),""))))</f>
        <v/>
      </c>
      <c r="L1368" s="65" t="str">
        <f>IF(COUNTA(A1368:G1368)=0,"",IF(AND(ISNUMBER(D1368),ISNUMBER(J1368)),ROUND(D1368*J1368*(1-N(F1368)),2),0))</f>
        <v/>
      </c>
      <c r="M1368" s="62" t="str">
        <f>IF(A1368="","",IFERROR(INDEX(dv_cname,MATCH(A1368,dv_num,0))&amp;"",""))</f>
        <v/>
      </c>
      <c r="N1368" s="59" t="str">
        <f>IF(COUNTA(A1368:G1368)=0,"",IF(A1368="","N° devis manquant",IF(ISNA(MATCH(A1368,dv_num,0)),"Devis inconnu",IF(AND(B1368&lt;&gt;"",ISNA(MATCH(B1368,pr_code,0))),"Article inconnu",IF(H1368="","Désignation manquante",IF(OR(NOT(ISNUMBER(D1368)),N(D1368)&lt;=0),"Quantité invalide",IF(J1368="","Prix manquant",IF(OR(NOT(ISNUMBER(J1368)),N(J1368)&lt;0),"Prix invalide",IF(OR(AND(F1368&lt;&gt;"",NOT(ISNUMBER(F1368))),N(F1368)&lt;0,N(F1368)&gt;1),"Remise invalide",IF(K1368="","Taux de TVA manquant",IF(NOT(ISNUMBER(K1368)),"Taux de TVA invalide",IF(COUNTIF(p_rates,K1368)=0,"Taux de TVA hors liste (Paramètres)",IF(N(O1368)&gt;25,"Au-delà de 25 lignes : non imprimée","OK")))))))))))))</f>
        <v/>
      </c>
      <c r="O1368" s="59" t="str">
        <f>IF(A1368="","",COUNTIF($A$6:A1368,A1368))</f>
        <v/>
      </c>
      <c r="P1368" s="62" t="str">
        <f>IF(A1368="","",A1368&amp;"|"&amp;O1368)</f>
        <v/>
      </c>
    </row>
    <row r="1369">
      <c r="A1369" s="60" t="n"/>
      <c r="B1369" s="63" t="n"/>
      <c r="C1369" s="63" t="n"/>
      <c r="D1369" s="67" t="n"/>
      <c r="E1369" s="68" t="n"/>
      <c r="F1369" s="69" t="n"/>
      <c r="G1369" s="70" t="n"/>
      <c r="H1369" s="62" t="str">
        <f>IF(COUNTA(A1369:G1369)=0,"",IF(C1369&lt;&gt;"",C1369,IF(B1369="","",IFERROR(INDEX(pr_des,MATCH(B1369,pr_code,0))&amp;"",""))))</f>
        <v/>
      </c>
      <c r="I1369" s="59" t="str">
        <f>IF(B1369="","",IFERROR(INDEX(pr_unit,MATCH(B1369,pr_code,0))&amp;"",""))</f>
        <v/>
      </c>
      <c r="J1369" s="65" t="str">
        <f>IF(COUNTA(A1369:G1369)=0,"",IF(E1369&lt;&gt;"",E1369,IF(B1369="","",IFERROR(IF(INDEX(pr_price,MATCH(B1369,pr_code,0))="","",INDEX(pr_price,MATCH(B1369,pr_code,0))),""))))</f>
        <v/>
      </c>
      <c r="K1369" s="71" t="str">
        <f>IF(COUNTA(A1369:G1369)=0,"",IF(G1369&lt;&gt;"",G1369,IF(B1369="","",IFERROR(IF(INDEX(pr_rate,MATCH(B1369,pr_code,0))="","",INDEX(pr_rate,MATCH(B1369,pr_code,0))),""))))</f>
        <v/>
      </c>
      <c r="L1369" s="65" t="str">
        <f>IF(COUNTA(A1369:G1369)=0,"",IF(AND(ISNUMBER(D1369),ISNUMBER(J1369)),ROUND(D1369*J1369*(1-N(F1369)),2),0))</f>
        <v/>
      </c>
      <c r="M1369" s="62" t="str">
        <f>IF(A1369="","",IFERROR(INDEX(dv_cname,MATCH(A1369,dv_num,0))&amp;"",""))</f>
        <v/>
      </c>
      <c r="N1369" s="59" t="str">
        <f>IF(COUNTA(A1369:G1369)=0,"",IF(A1369="","N° devis manquant",IF(ISNA(MATCH(A1369,dv_num,0)),"Devis inconnu",IF(AND(B1369&lt;&gt;"",ISNA(MATCH(B1369,pr_code,0))),"Article inconnu",IF(H1369="","Désignation manquante",IF(OR(NOT(ISNUMBER(D1369)),N(D1369)&lt;=0),"Quantité invalide",IF(J1369="","Prix manquant",IF(OR(NOT(ISNUMBER(J1369)),N(J1369)&lt;0),"Prix invalide",IF(OR(AND(F1369&lt;&gt;"",NOT(ISNUMBER(F1369))),N(F1369)&lt;0,N(F1369)&gt;1),"Remise invalide",IF(K1369="","Taux de TVA manquant",IF(NOT(ISNUMBER(K1369)),"Taux de TVA invalide",IF(COUNTIF(p_rates,K1369)=0,"Taux de TVA hors liste (Paramètres)",IF(N(O1369)&gt;25,"Au-delà de 25 lignes : non imprimée","OK")))))))))))))</f>
        <v/>
      </c>
      <c r="O1369" s="59" t="str">
        <f>IF(A1369="","",COUNTIF($A$6:A1369,A1369))</f>
        <v/>
      </c>
      <c r="P1369" s="62" t="str">
        <f>IF(A1369="","",A1369&amp;"|"&amp;O1369)</f>
        <v/>
      </c>
    </row>
    <row r="1370">
      <c r="A1370" s="60" t="n"/>
      <c r="B1370" s="63" t="n"/>
      <c r="C1370" s="63" t="n"/>
      <c r="D1370" s="67" t="n"/>
      <c r="E1370" s="68" t="n"/>
      <c r="F1370" s="69" t="n"/>
      <c r="G1370" s="70" t="n"/>
      <c r="H1370" s="62" t="str">
        <f>IF(COUNTA(A1370:G1370)=0,"",IF(C1370&lt;&gt;"",C1370,IF(B1370="","",IFERROR(INDEX(pr_des,MATCH(B1370,pr_code,0))&amp;"",""))))</f>
        <v/>
      </c>
      <c r="I1370" s="59" t="str">
        <f>IF(B1370="","",IFERROR(INDEX(pr_unit,MATCH(B1370,pr_code,0))&amp;"",""))</f>
        <v/>
      </c>
      <c r="J1370" s="65" t="str">
        <f>IF(COUNTA(A1370:G1370)=0,"",IF(E1370&lt;&gt;"",E1370,IF(B1370="","",IFERROR(IF(INDEX(pr_price,MATCH(B1370,pr_code,0))="","",INDEX(pr_price,MATCH(B1370,pr_code,0))),""))))</f>
        <v/>
      </c>
      <c r="K1370" s="71" t="str">
        <f>IF(COUNTA(A1370:G1370)=0,"",IF(G1370&lt;&gt;"",G1370,IF(B1370="","",IFERROR(IF(INDEX(pr_rate,MATCH(B1370,pr_code,0))="","",INDEX(pr_rate,MATCH(B1370,pr_code,0))),""))))</f>
        <v/>
      </c>
      <c r="L1370" s="65" t="str">
        <f>IF(COUNTA(A1370:G1370)=0,"",IF(AND(ISNUMBER(D1370),ISNUMBER(J1370)),ROUND(D1370*J1370*(1-N(F1370)),2),0))</f>
        <v/>
      </c>
      <c r="M1370" s="62" t="str">
        <f>IF(A1370="","",IFERROR(INDEX(dv_cname,MATCH(A1370,dv_num,0))&amp;"",""))</f>
        <v/>
      </c>
      <c r="N1370" s="59" t="str">
        <f>IF(COUNTA(A1370:G1370)=0,"",IF(A1370="","N° devis manquant",IF(ISNA(MATCH(A1370,dv_num,0)),"Devis inconnu",IF(AND(B1370&lt;&gt;"",ISNA(MATCH(B1370,pr_code,0))),"Article inconnu",IF(H1370="","Désignation manquante",IF(OR(NOT(ISNUMBER(D1370)),N(D1370)&lt;=0),"Quantité invalide",IF(J1370="","Prix manquant",IF(OR(NOT(ISNUMBER(J1370)),N(J1370)&lt;0),"Prix invalide",IF(OR(AND(F1370&lt;&gt;"",NOT(ISNUMBER(F1370))),N(F1370)&lt;0,N(F1370)&gt;1),"Remise invalide",IF(K1370="","Taux de TVA manquant",IF(NOT(ISNUMBER(K1370)),"Taux de TVA invalide",IF(COUNTIF(p_rates,K1370)=0,"Taux de TVA hors liste (Paramètres)",IF(N(O1370)&gt;25,"Au-delà de 25 lignes : non imprimée","OK")))))))))))))</f>
        <v/>
      </c>
      <c r="O1370" s="59" t="str">
        <f>IF(A1370="","",COUNTIF($A$6:A1370,A1370))</f>
        <v/>
      </c>
      <c r="P1370" s="62" t="str">
        <f>IF(A1370="","",A1370&amp;"|"&amp;O1370)</f>
        <v/>
      </c>
    </row>
    <row r="1371">
      <c r="A1371" s="60" t="n"/>
      <c r="B1371" s="63" t="n"/>
      <c r="C1371" s="63" t="n"/>
      <c r="D1371" s="67" t="n"/>
      <c r="E1371" s="68" t="n"/>
      <c r="F1371" s="69" t="n"/>
      <c r="G1371" s="70" t="n"/>
      <c r="H1371" s="62" t="str">
        <f>IF(COUNTA(A1371:G1371)=0,"",IF(C1371&lt;&gt;"",C1371,IF(B1371="","",IFERROR(INDEX(pr_des,MATCH(B1371,pr_code,0))&amp;"",""))))</f>
        <v/>
      </c>
      <c r="I1371" s="59" t="str">
        <f>IF(B1371="","",IFERROR(INDEX(pr_unit,MATCH(B1371,pr_code,0))&amp;"",""))</f>
        <v/>
      </c>
      <c r="J1371" s="65" t="str">
        <f>IF(COUNTA(A1371:G1371)=0,"",IF(E1371&lt;&gt;"",E1371,IF(B1371="","",IFERROR(IF(INDEX(pr_price,MATCH(B1371,pr_code,0))="","",INDEX(pr_price,MATCH(B1371,pr_code,0))),""))))</f>
        <v/>
      </c>
      <c r="K1371" s="71" t="str">
        <f>IF(COUNTA(A1371:G1371)=0,"",IF(G1371&lt;&gt;"",G1371,IF(B1371="","",IFERROR(IF(INDEX(pr_rate,MATCH(B1371,pr_code,0))="","",INDEX(pr_rate,MATCH(B1371,pr_code,0))),""))))</f>
        <v/>
      </c>
      <c r="L1371" s="65" t="str">
        <f>IF(COUNTA(A1371:G1371)=0,"",IF(AND(ISNUMBER(D1371),ISNUMBER(J1371)),ROUND(D1371*J1371*(1-N(F1371)),2),0))</f>
        <v/>
      </c>
      <c r="M1371" s="62" t="str">
        <f>IF(A1371="","",IFERROR(INDEX(dv_cname,MATCH(A1371,dv_num,0))&amp;"",""))</f>
        <v/>
      </c>
      <c r="N1371" s="59" t="str">
        <f>IF(COUNTA(A1371:G1371)=0,"",IF(A1371="","N° devis manquant",IF(ISNA(MATCH(A1371,dv_num,0)),"Devis inconnu",IF(AND(B1371&lt;&gt;"",ISNA(MATCH(B1371,pr_code,0))),"Article inconnu",IF(H1371="","Désignation manquante",IF(OR(NOT(ISNUMBER(D1371)),N(D1371)&lt;=0),"Quantité invalide",IF(J1371="","Prix manquant",IF(OR(NOT(ISNUMBER(J1371)),N(J1371)&lt;0),"Prix invalide",IF(OR(AND(F1371&lt;&gt;"",NOT(ISNUMBER(F1371))),N(F1371)&lt;0,N(F1371)&gt;1),"Remise invalide",IF(K1371="","Taux de TVA manquant",IF(NOT(ISNUMBER(K1371)),"Taux de TVA invalide",IF(COUNTIF(p_rates,K1371)=0,"Taux de TVA hors liste (Paramètres)",IF(N(O1371)&gt;25,"Au-delà de 25 lignes : non imprimée","OK")))))))))))))</f>
        <v/>
      </c>
      <c r="O1371" s="59" t="str">
        <f>IF(A1371="","",COUNTIF($A$6:A1371,A1371))</f>
        <v/>
      </c>
      <c r="P1371" s="62" t="str">
        <f>IF(A1371="","",A1371&amp;"|"&amp;O1371)</f>
        <v/>
      </c>
    </row>
    <row r="1372">
      <c r="A1372" s="60" t="n"/>
      <c r="B1372" s="63" t="n"/>
      <c r="C1372" s="63" t="n"/>
      <c r="D1372" s="67" t="n"/>
      <c r="E1372" s="68" t="n"/>
      <c r="F1372" s="69" t="n"/>
      <c r="G1372" s="70" t="n"/>
      <c r="H1372" s="62" t="str">
        <f>IF(COUNTA(A1372:G1372)=0,"",IF(C1372&lt;&gt;"",C1372,IF(B1372="","",IFERROR(INDEX(pr_des,MATCH(B1372,pr_code,0))&amp;"",""))))</f>
        <v/>
      </c>
      <c r="I1372" s="59" t="str">
        <f>IF(B1372="","",IFERROR(INDEX(pr_unit,MATCH(B1372,pr_code,0))&amp;"",""))</f>
        <v/>
      </c>
      <c r="J1372" s="65" t="str">
        <f>IF(COUNTA(A1372:G1372)=0,"",IF(E1372&lt;&gt;"",E1372,IF(B1372="","",IFERROR(IF(INDEX(pr_price,MATCH(B1372,pr_code,0))="","",INDEX(pr_price,MATCH(B1372,pr_code,0))),""))))</f>
        <v/>
      </c>
      <c r="K1372" s="71" t="str">
        <f>IF(COUNTA(A1372:G1372)=0,"",IF(G1372&lt;&gt;"",G1372,IF(B1372="","",IFERROR(IF(INDEX(pr_rate,MATCH(B1372,pr_code,0))="","",INDEX(pr_rate,MATCH(B1372,pr_code,0))),""))))</f>
        <v/>
      </c>
      <c r="L1372" s="65" t="str">
        <f>IF(COUNTA(A1372:G1372)=0,"",IF(AND(ISNUMBER(D1372),ISNUMBER(J1372)),ROUND(D1372*J1372*(1-N(F1372)),2),0))</f>
        <v/>
      </c>
      <c r="M1372" s="62" t="str">
        <f>IF(A1372="","",IFERROR(INDEX(dv_cname,MATCH(A1372,dv_num,0))&amp;"",""))</f>
        <v/>
      </c>
      <c r="N1372" s="59" t="str">
        <f>IF(COUNTA(A1372:G1372)=0,"",IF(A1372="","N° devis manquant",IF(ISNA(MATCH(A1372,dv_num,0)),"Devis inconnu",IF(AND(B1372&lt;&gt;"",ISNA(MATCH(B1372,pr_code,0))),"Article inconnu",IF(H1372="","Désignation manquante",IF(OR(NOT(ISNUMBER(D1372)),N(D1372)&lt;=0),"Quantité invalide",IF(J1372="","Prix manquant",IF(OR(NOT(ISNUMBER(J1372)),N(J1372)&lt;0),"Prix invalide",IF(OR(AND(F1372&lt;&gt;"",NOT(ISNUMBER(F1372))),N(F1372)&lt;0,N(F1372)&gt;1),"Remise invalide",IF(K1372="","Taux de TVA manquant",IF(NOT(ISNUMBER(K1372)),"Taux de TVA invalide",IF(COUNTIF(p_rates,K1372)=0,"Taux de TVA hors liste (Paramètres)",IF(N(O1372)&gt;25,"Au-delà de 25 lignes : non imprimée","OK")))))))))))))</f>
        <v/>
      </c>
      <c r="O1372" s="59" t="str">
        <f>IF(A1372="","",COUNTIF($A$6:A1372,A1372))</f>
        <v/>
      </c>
      <c r="P1372" s="62" t="str">
        <f>IF(A1372="","",A1372&amp;"|"&amp;O1372)</f>
        <v/>
      </c>
    </row>
    <row r="1373">
      <c r="A1373" s="60" t="n"/>
      <c r="B1373" s="63" t="n"/>
      <c r="C1373" s="63" t="n"/>
      <c r="D1373" s="67" t="n"/>
      <c r="E1373" s="68" t="n"/>
      <c r="F1373" s="69" t="n"/>
      <c r="G1373" s="70" t="n"/>
      <c r="H1373" s="62" t="str">
        <f>IF(COUNTA(A1373:G1373)=0,"",IF(C1373&lt;&gt;"",C1373,IF(B1373="","",IFERROR(INDEX(pr_des,MATCH(B1373,pr_code,0))&amp;"",""))))</f>
        <v/>
      </c>
      <c r="I1373" s="59" t="str">
        <f>IF(B1373="","",IFERROR(INDEX(pr_unit,MATCH(B1373,pr_code,0))&amp;"",""))</f>
        <v/>
      </c>
      <c r="J1373" s="65" t="str">
        <f>IF(COUNTA(A1373:G1373)=0,"",IF(E1373&lt;&gt;"",E1373,IF(B1373="","",IFERROR(IF(INDEX(pr_price,MATCH(B1373,pr_code,0))="","",INDEX(pr_price,MATCH(B1373,pr_code,0))),""))))</f>
        <v/>
      </c>
      <c r="K1373" s="71" t="str">
        <f>IF(COUNTA(A1373:G1373)=0,"",IF(G1373&lt;&gt;"",G1373,IF(B1373="","",IFERROR(IF(INDEX(pr_rate,MATCH(B1373,pr_code,0))="","",INDEX(pr_rate,MATCH(B1373,pr_code,0))),""))))</f>
        <v/>
      </c>
      <c r="L1373" s="65" t="str">
        <f>IF(COUNTA(A1373:G1373)=0,"",IF(AND(ISNUMBER(D1373),ISNUMBER(J1373)),ROUND(D1373*J1373*(1-N(F1373)),2),0))</f>
        <v/>
      </c>
      <c r="M1373" s="62" t="str">
        <f>IF(A1373="","",IFERROR(INDEX(dv_cname,MATCH(A1373,dv_num,0))&amp;"",""))</f>
        <v/>
      </c>
      <c r="N1373" s="59" t="str">
        <f>IF(COUNTA(A1373:G1373)=0,"",IF(A1373="","N° devis manquant",IF(ISNA(MATCH(A1373,dv_num,0)),"Devis inconnu",IF(AND(B1373&lt;&gt;"",ISNA(MATCH(B1373,pr_code,0))),"Article inconnu",IF(H1373="","Désignation manquante",IF(OR(NOT(ISNUMBER(D1373)),N(D1373)&lt;=0),"Quantité invalide",IF(J1373="","Prix manquant",IF(OR(NOT(ISNUMBER(J1373)),N(J1373)&lt;0),"Prix invalide",IF(OR(AND(F1373&lt;&gt;"",NOT(ISNUMBER(F1373))),N(F1373)&lt;0,N(F1373)&gt;1),"Remise invalide",IF(K1373="","Taux de TVA manquant",IF(NOT(ISNUMBER(K1373)),"Taux de TVA invalide",IF(COUNTIF(p_rates,K1373)=0,"Taux de TVA hors liste (Paramètres)",IF(N(O1373)&gt;25,"Au-delà de 25 lignes : non imprimée","OK")))))))))))))</f>
        <v/>
      </c>
      <c r="O1373" s="59" t="str">
        <f>IF(A1373="","",COUNTIF($A$6:A1373,A1373))</f>
        <v/>
      </c>
      <c r="P1373" s="62" t="str">
        <f>IF(A1373="","",A1373&amp;"|"&amp;O1373)</f>
        <v/>
      </c>
    </row>
    <row r="1374">
      <c r="A1374" s="60" t="n"/>
      <c r="B1374" s="63" t="n"/>
      <c r="C1374" s="63" t="n"/>
      <c r="D1374" s="67" t="n"/>
      <c r="E1374" s="68" t="n"/>
      <c r="F1374" s="69" t="n"/>
      <c r="G1374" s="70" t="n"/>
      <c r="H1374" s="62" t="str">
        <f>IF(COUNTA(A1374:G1374)=0,"",IF(C1374&lt;&gt;"",C1374,IF(B1374="","",IFERROR(INDEX(pr_des,MATCH(B1374,pr_code,0))&amp;"",""))))</f>
        <v/>
      </c>
      <c r="I1374" s="59" t="str">
        <f>IF(B1374="","",IFERROR(INDEX(pr_unit,MATCH(B1374,pr_code,0))&amp;"",""))</f>
        <v/>
      </c>
      <c r="J1374" s="65" t="str">
        <f>IF(COUNTA(A1374:G1374)=0,"",IF(E1374&lt;&gt;"",E1374,IF(B1374="","",IFERROR(IF(INDEX(pr_price,MATCH(B1374,pr_code,0))="","",INDEX(pr_price,MATCH(B1374,pr_code,0))),""))))</f>
        <v/>
      </c>
      <c r="K1374" s="71" t="str">
        <f>IF(COUNTA(A1374:G1374)=0,"",IF(G1374&lt;&gt;"",G1374,IF(B1374="","",IFERROR(IF(INDEX(pr_rate,MATCH(B1374,pr_code,0))="","",INDEX(pr_rate,MATCH(B1374,pr_code,0))),""))))</f>
        <v/>
      </c>
      <c r="L1374" s="65" t="str">
        <f>IF(COUNTA(A1374:G1374)=0,"",IF(AND(ISNUMBER(D1374),ISNUMBER(J1374)),ROUND(D1374*J1374*(1-N(F1374)),2),0))</f>
        <v/>
      </c>
      <c r="M1374" s="62" t="str">
        <f>IF(A1374="","",IFERROR(INDEX(dv_cname,MATCH(A1374,dv_num,0))&amp;"",""))</f>
        <v/>
      </c>
      <c r="N1374" s="59" t="str">
        <f>IF(COUNTA(A1374:G1374)=0,"",IF(A1374="","N° devis manquant",IF(ISNA(MATCH(A1374,dv_num,0)),"Devis inconnu",IF(AND(B1374&lt;&gt;"",ISNA(MATCH(B1374,pr_code,0))),"Article inconnu",IF(H1374="","Désignation manquante",IF(OR(NOT(ISNUMBER(D1374)),N(D1374)&lt;=0),"Quantité invalide",IF(J1374="","Prix manquant",IF(OR(NOT(ISNUMBER(J1374)),N(J1374)&lt;0),"Prix invalide",IF(OR(AND(F1374&lt;&gt;"",NOT(ISNUMBER(F1374))),N(F1374)&lt;0,N(F1374)&gt;1),"Remise invalide",IF(K1374="","Taux de TVA manquant",IF(NOT(ISNUMBER(K1374)),"Taux de TVA invalide",IF(COUNTIF(p_rates,K1374)=0,"Taux de TVA hors liste (Paramètres)",IF(N(O1374)&gt;25,"Au-delà de 25 lignes : non imprimée","OK")))))))))))))</f>
        <v/>
      </c>
      <c r="O1374" s="59" t="str">
        <f>IF(A1374="","",COUNTIF($A$6:A1374,A1374))</f>
        <v/>
      </c>
      <c r="P1374" s="62" t="str">
        <f>IF(A1374="","",A1374&amp;"|"&amp;O1374)</f>
        <v/>
      </c>
    </row>
    <row r="1375">
      <c r="A1375" s="60" t="n"/>
      <c r="B1375" s="63" t="n"/>
      <c r="C1375" s="63" t="n"/>
      <c r="D1375" s="67" t="n"/>
      <c r="E1375" s="68" t="n"/>
      <c r="F1375" s="69" t="n"/>
      <c r="G1375" s="70" t="n"/>
      <c r="H1375" s="62" t="str">
        <f>IF(COUNTA(A1375:G1375)=0,"",IF(C1375&lt;&gt;"",C1375,IF(B1375="","",IFERROR(INDEX(pr_des,MATCH(B1375,pr_code,0))&amp;"",""))))</f>
        <v/>
      </c>
      <c r="I1375" s="59" t="str">
        <f>IF(B1375="","",IFERROR(INDEX(pr_unit,MATCH(B1375,pr_code,0))&amp;"",""))</f>
        <v/>
      </c>
      <c r="J1375" s="65" t="str">
        <f>IF(COUNTA(A1375:G1375)=0,"",IF(E1375&lt;&gt;"",E1375,IF(B1375="","",IFERROR(IF(INDEX(pr_price,MATCH(B1375,pr_code,0))="","",INDEX(pr_price,MATCH(B1375,pr_code,0))),""))))</f>
        <v/>
      </c>
      <c r="K1375" s="71" t="str">
        <f>IF(COUNTA(A1375:G1375)=0,"",IF(G1375&lt;&gt;"",G1375,IF(B1375="","",IFERROR(IF(INDEX(pr_rate,MATCH(B1375,pr_code,0))="","",INDEX(pr_rate,MATCH(B1375,pr_code,0))),""))))</f>
        <v/>
      </c>
      <c r="L1375" s="65" t="str">
        <f>IF(COUNTA(A1375:G1375)=0,"",IF(AND(ISNUMBER(D1375),ISNUMBER(J1375)),ROUND(D1375*J1375*(1-N(F1375)),2),0))</f>
        <v/>
      </c>
      <c r="M1375" s="62" t="str">
        <f>IF(A1375="","",IFERROR(INDEX(dv_cname,MATCH(A1375,dv_num,0))&amp;"",""))</f>
        <v/>
      </c>
      <c r="N1375" s="59" t="str">
        <f>IF(COUNTA(A1375:G1375)=0,"",IF(A1375="","N° devis manquant",IF(ISNA(MATCH(A1375,dv_num,0)),"Devis inconnu",IF(AND(B1375&lt;&gt;"",ISNA(MATCH(B1375,pr_code,0))),"Article inconnu",IF(H1375="","Désignation manquante",IF(OR(NOT(ISNUMBER(D1375)),N(D1375)&lt;=0),"Quantité invalide",IF(J1375="","Prix manquant",IF(OR(NOT(ISNUMBER(J1375)),N(J1375)&lt;0),"Prix invalide",IF(OR(AND(F1375&lt;&gt;"",NOT(ISNUMBER(F1375))),N(F1375)&lt;0,N(F1375)&gt;1),"Remise invalide",IF(K1375="","Taux de TVA manquant",IF(NOT(ISNUMBER(K1375)),"Taux de TVA invalide",IF(COUNTIF(p_rates,K1375)=0,"Taux de TVA hors liste (Paramètres)",IF(N(O1375)&gt;25,"Au-delà de 25 lignes : non imprimée","OK")))))))))))))</f>
        <v/>
      </c>
      <c r="O1375" s="59" t="str">
        <f>IF(A1375="","",COUNTIF($A$6:A1375,A1375))</f>
        <v/>
      </c>
      <c r="P1375" s="62" t="str">
        <f>IF(A1375="","",A1375&amp;"|"&amp;O1375)</f>
        <v/>
      </c>
    </row>
    <row r="1376">
      <c r="A1376" s="60" t="n"/>
      <c r="B1376" s="63" t="n"/>
      <c r="C1376" s="63" t="n"/>
      <c r="D1376" s="67" t="n"/>
      <c r="E1376" s="68" t="n"/>
      <c r="F1376" s="69" t="n"/>
      <c r="G1376" s="70" t="n"/>
      <c r="H1376" s="62" t="str">
        <f>IF(COUNTA(A1376:G1376)=0,"",IF(C1376&lt;&gt;"",C1376,IF(B1376="","",IFERROR(INDEX(pr_des,MATCH(B1376,pr_code,0))&amp;"",""))))</f>
        <v/>
      </c>
      <c r="I1376" s="59" t="str">
        <f>IF(B1376="","",IFERROR(INDEX(pr_unit,MATCH(B1376,pr_code,0))&amp;"",""))</f>
        <v/>
      </c>
      <c r="J1376" s="65" t="str">
        <f>IF(COUNTA(A1376:G1376)=0,"",IF(E1376&lt;&gt;"",E1376,IF(B1376="","",IFERROR(IF(INDEX(pr_price,MATCH(B1376,pr_code,0))="","",INDEX(pr_price,MATCH(B1376,pr_code,0))),""))))</f>
        <v/>
      </c>
      <c r="K1376" s="71" t="str">
        <f>IF(COUNTA(A1376:G1376)=0,"",IF(G1376&lt;&gt;"",G1376,IF(B1376="","",IFERROR(IF(INDEX(pr_rate,MATCH(B1376,pr_code,0))="","",INDEX(pr_rate,MATCH(B1376,pr_code,0))),""))))</f>
        <v/>
      </c>
      <c r="L1376" s="65" t="str">
        <f>IF(COUNTA(A1376:G1376)=0,"",IF(AND(ISNUMBER(D1376),ISNUMBER(J1376)),ROUND(D1376*J1376*(1-N(F1376)),2),0))</f>
        <v/>
      </c>
      <c r="M1376" s="62" t="str">
        <f>IF(A1376="","",IFERROR(INDEX(dv_cname,MATCH(A1376,dv_num,0))&amp;"",""))</f>
        <v/>
      </c>
      <c r="N1376" s="59" t="str">
        <f>IF(COUNTA(A1376:G1376)=0,"",IF(A1376="","N° devis manquant",IF(ISNA(MATCH(A1376,dv_num,0)),"Devis inconnu",IF(AND(B1376&lt;&gt;"",ISNA(MATCH(B1376,pr_code,0))),"Article inconnu",IF(H1376="","Désignation manquante",IF(OR(NOT(ISNUMBER(D1376)),N(D1376)&lt;=0),"Quantité invalide",IF(J1376="","Prix manquant",IF(OR(NOT(ISNUMBER(J1376)),N(J1376)&lt;0),"Prix invalide",IF(OR(AND(F1376&lt;&gt;"",NOT(ISNUMBER(F1376))),N(F1376)&lt;0,N(F1376)&gt;1),"Remise invalide",IF(K1376="","Taux de TVA manquant",IF(NOT(ISNUMBER(K1376)),"Taux de TVA invalide",IF(COUNTIF(p_rates,K1376)=0,"Taux de TVA hors liste (Paramètres)",IF(N(O1376)&gt;25,"Au-delà de 25 lignes : non imprimée","OK")))))))))))))</f>
        <v/>
      </c>
      <c r="O1376" s="59" t="str">
        <f>IF(A1376="","",COUNTIF($A$6:A1376,A1376))</f>
        <v/>
      </c>
      <c r="P1376" s="62" t="str">
        <f>IF(A1376="","",A1376&amp;"|"&amp;O1376)</f>
        <v/>
      </c>
    </row>
    <row r="1377">
      <c r="A1377" s="60" t="n"/>
      <c r="B1377" s="63" t="n"/>
      <c r="C1377" s="63" t="n"/>
      <c r="D1377" s="67" t="n"/>
      <c r="E1377" s="68" t="n"/>
      <c r="F1377" s="69" t="n"/>
      <c r="G1377" s="70" t="n"/>
      <c r="H1377" s="62" t="str">
        <f>IF(COUNTA(A1377:G1377)=0,"",IF(C1377&lt;&gt;"",C1377,IF(B1377="","",IFERROR(INDEX(pr_des,MATCH(B1377,pr_code,0))&amp;"",""))))</f>
        <v/>
      </c>
      <c r="I1377" s="59" t="str">
        <f>IF(B1377="","",IFERROR(INDEX(pr_unit,MATCH(B1377,pr_code,0))&amp;"",""))</f>
        <v/>
      </c>
      <c r="J1377" s="65" t="str">
        <f>IF(COUNTA(A1377:G1377)=0,"",IF(E1377&lt;&gt;"",E1377,IF(B1377="","",IFERROR(IF(INDEX(pr_price,MATCH(B1377,pr_code,0))="","",INDEX(pr_price,MATCH(B1377,pr_code,0))),""))))</f>
        <v/>
      </c>
      <c r="K1377" s="71" t="str">
        <f>IF(COUNTA(A1377:G1377)=0,"",IF(G1377&lt;&gt;"",G1377,IF(B1377="","",IFERROR(IF(INDEX(pr_rate,MATCH(B1377,pr_code,0))="","",INDEX(pr_rate,MATCH(B1377,pr_code,0))),""))))</f>
        <v/>
      </c>
      <c r="L1377" s="65" t="str">
        <f>IF(COUNTA(A1377:G1377)=0,"",IF(AND(ISNUMBER(D1377),ISNUMBER(J1377)),ROUND(D1377*J1377*(1-N(F1377)),2),0))</f>
        <v/>
      </c>
      <c r="M1377" s="62" t="str">
        <f>IF(A1377="","",IFERROR(INDEX(dv_cname,MATCH(A1377,dv_num,0))&amp;"",""))</f>
        <v/>
      </c>
      <c r="N1377" s="59" t="str">
        <f>IF(COUNTA(A1377:G1377)=0,"",IF(A1377="","N° devis manquant",IF(ISNA(MATCH(A1377,dv_num,0)),"Devis inconnu",IF(AND(B1377&lt;&gt;"",ISNA(MATCH(B1377,pr_code,0))),"Article inconnu",IF(H1377="","Désignation manquante",IF(OR(NOT(ISNUMBER(D1377)),N(D1377)&lt;=0),"Quantité invalide",IF(J1377="","Prix manquant",IF(OR(NOT(ISNUMBER(J1377)),N(J1377)&lt;0),"Prix invalide",IF(OR(AND(F1377&lt;&gt;"",NOT(ISNUMBER(F1377))),N(F1377)&lt;0,N(F1377)&gt;1),"Remise invalide",IF(K1377="","Taux de TVA manquant",IF(NOT(ISNUMBER(K1377)),"Taux de TVA invalide",IF(COUNTIF(p_rates,K1377)=0,"Taux de TVA hors liste (Paramètres)",IF(N(O1377)&gt;25,"Au-delà de 25 lignes : non imprimée","OK")))))))))))))</f>
        <v/>
      </c>
      <c r="O1377" s="59" t="str">
        <f>IF(A1377="","",COUNTIF($A$6:A1377,A1377))</f>
        <v/>
      </c>
      <c r="P1377" s="62" t="str">
        <f>IF(A1377="","",A1377&amp;"|"&amp;O1377)</f>
        <v/>
      </c>
    </row>
    <row r="1378">
      <c r="A1378" s="60" t="n"/>
      <c r="B1378" s="63" t="n"/>
      <c r="C1378" s="63" t="n"/>
      <c r="D1378" s="67" t="n"/>
      <c r="E1378" s="68" t="n"/>
      <c r="F1378" s="69" t="n"/>
      <c r="G1378" s="70" t="n"/>
      <c r="H1378" s="62" t="str">
        <f>IF(COUNTA(A1378:G1378)=0,"",IF(C1378&lt;&gt;"",C1378,IF(B1378="","",IFERROR(INDEX(pr_des,MATCH(B1378,pr_code,0))&amp;"",""))))</f>
        <v/>
      </c>
      <c r="I1378" s="59" t="str">
        <f>IF(B1378="","",IFERROR(INDEX(pr_unit,MATCH(B1378,pr_code,0))&amp;"",""))</f>
        <v/>
      </c>
      <c r="J1378" s="65" t="str">
        <f>IF(COUNTA(A1378:G1378)=0,"",IF(E1378&lt;&gt;"",E1378,IF(B1378="","",IFERROR(IF(INDEX(pr_price,MATCH(B1378,pr_code,0))="","",INDEX(pr_price,MATCH(B1378,pr_code,0))),""))))</f>
        <v/>
      </c>
      <c r="K1378" s="71" t="str">
        <f>IF(COUNTA(A1378:G1378)=0,"",IF(G1378&lt;&gt;"",G1378,IF(B1378="","",IFERROR(IF(INDEX(pr_rate,MATCH(B1378,pr_code,0))="","",INDEX(pr_rate,MATCH(B1378,pr_code,0))),""))))</f>
        <v/>
      </c>
      <c r="L1378" s="65" t="str">
        <f>IF(COUNTA(A1378:G1378)=0,"",IF(AND(ISNUMBER(D1378),ISNUMBER(J1378)),ROUND(D1378*J1378*(1-N(F1378)),2),0))</f>
        <v/>
      </c>
      <c r="M1378" s="62" t="str">
        <f>IF(A1378="","",IFERROR(INDEX(dv_cname,MATCH(A1378,dv_num,0))&amp;"",""))</f>
        <v/>
      </c>
      <c r="N1378" s="59" t="str">
        <f>IF(COUNTA(A1378:G1378)=0,"",IF(A1378="","N° devis manquant",IF(ISNA(MATCH(A1378,dv_num,0)),"Devis inconnu",IF(AND(B1378&lt;&gt;"",ISNA(MATCH(B1378,pr_code,0))),"Article inconnu",IF(H1378="","Désignation manquante",IF(OR(NOT(ISNUMBER(D1378)),N(D1378)&lt;=0),"Quantité invalide",IF(J1378="","Prix manquant",IF(OR(NOT(ISNUMBER(J1378)),N(J1378)&lt;0),"Prix invalide",IF(OR(AND(F1378&lt;&gt;"",NOT(ISNUMBER(F1378))),N(F1378)&lt;0,N(F1378)&gt;1),"Remise invalide",IF(K1378="","Taux de TVA manquant",IF(NOT(ISNUMBER(K1378)),"Taux de TVA invalide",IF(COUNTIF(p_rates,K1378)=0,"Taux de TVA hors liste (Paramètres)",IF(N(O1378)&gt;25,"Au-delà de 25 lignes : non imprimée","OK")))))))))))))</f>
        <v/>
      </c>
      <c r="O1378" s="59" t="str">
        <f>IF(A1378="","",COUNTIF($A$6:A1378,A1378))</f>
        <v/>
      </c>
      <c r="P1378" s="62" t="str">
        <f>IF(A1378="","",A1378&amp;"|"&amp;O1378)</f>
        <v/>
      </c>
    </row>
    <row r="1379">
      <c r="A1379" s="60" t="n"/>
      <c r="B1379" s="63" t="n"/>
      <c r="C1379" s="63" t="n"/>
      <c r="D1379" s="67" t="n"/>
      <c r="E1379" s="68" t="n"/>
      <c r="F1379" s="69" t="n"/>
      <c r="G1379" s="70" t="n"/>
      <c r="H1379" s="62" t="str">
        <f>IF(COUNTA(A1379:G1379)=0,"",IF(C1379&lt;&gt;"",C1379,IF(B1379="","",IFERROR(INDEX(pr_des,MATCH(B1379,pr_code,0))&amp;"",""))))</f>
        <v/>
      </c>
      <c r="I1379" s="59" t="str">
        <f>IF(B1379="","",IFERROR(INDEX(pr_unit,MATCH(B1379,pr_code,0))&amp;"",""))</f>
        <v/>
      </c>
      <c r="J1379" s="65" t="str">
        <f>IF(COUNTA(A1379:G1379)=0,"",IF(E1379&lt;&gt;"",E1379,IF(B1379="","",IFERROR(IF(INDEX(pr_price,MATCH(B1379,pr_code,0))="","",INDEX(pr_price,MATCH(B1379,pr_code,0))),""))))</f>
        <v/>
      </c>
      <c r="K1379" s="71" t="str">
        <f>IF(COUNTA(A1379:G1379)=0,"",IF(G1379&lt;&gt;"",G1379,IF(B1379="","",IFERROR(IF(INDEX(pr_rate,MATCH(B1379,pr_code,0))="","",INDEX(pr_rate,MATCH(B1379,pr_code,0))),""))))</f>
        <v/>
      </c>
      <c r="L1379" s="65" t="str">
        <f>IF(COUNTA(A1379:G1379)=0,"",IF(AND(ISNUMBER(D1379),ISNUMBER(J1379)),ROUND(D1379*J1379*(1-N(F1379)),2),0))</f>
        <v/>
      </c>
      <c r="M1379" s="62" t="str">
        <f>IF(A1379="","",IFERROR(INDEX(dv_cname,MATCH(A1379,dv_num,0))&amp;"",""))</f>
        <v/>
      </c>
      <c r="N1379" s="59" t="str">
        <f>IF(COUNTA(A1379:G1379)=0,"",IF(A1379="","N° devis manquant",IF(ISNA(MATCH(A1379,dv_num,0)),"Devis inconnu",IF(AND(B1379&lt;&gt;"",ISNA(MATCH(B1379,pr_code,0))),"Article inconnu",IF(H1379="","Désignation manquante",IF(OR(NOT(ISNUMBER(D1379)),N(D1379)&lt;=0),"Quantité invalide",IF(J1379="","Prix manquant",IF(OR(NOT(ISNUMBER(J1379)),N(J1379)&lt;0),"Prix invalide",IF(OR(AND(F1379&lt;&gt;"",NOT(ISNUMBER(F1379))),N(F1379)&lt;0,N(F1379)&gt;1),"Remise invalide",IF(K1379="","Taux de TVA manquant",IF(NOT(ISNUMBER(K1379)),"Taux de TVA invalide",IF(COUNTIF(p_rates,K1379)=0,"Taux de TVA hors liste (Paramètres)",IF(N(O1379)&gt;25,"Au-delà de 25 lignes : non imprimée","OK")))))))))))))</f>
        <v/>
      </c>
      <c r="O1379" s="59" t="str">
        <f>IF(A1379="","",COUNTIF($A$6:A1379,A1379))</f>
        <v/>
      </c>
      <c r="P1379" s="62" t="str">
        <f>IF(A1379="","",A1379&amp;"|"&amp;O1379)</f>
        <v/>
      </c>
    </row>
    <row r="1380">
      <c r="A1380" s="60" t="n"/>
      <c r="B1380" s="63" t="n"/>
      <c r="C1380" s="63" t="n"/>
      <c r="D1380" s="67" t="n"/>
      <c r="E1380" s="68" t="n"/>
      <c r="F1380" s="69" t="n"/>
      <c r="G1380" s="70" t="n"/>
      <c r="H1380" s="62" t="str">
        <f>IF(COUNTA(A1380:G1380)=0,"",IF(C1380&lt;&gt;"",C1380,IF(B1380="","",IFERROR(INDEX(pr_des,MATCH(B1380,pr_code,0))&amp;"",""))))</f>
        <v/>
      </c>
      <c r="I1380" s="59" t="str">
        <f>IF(B1380="","",IFERROR(INDEX(pr_unit,MATCH(B1380,pr_code,0))&amp;"",""))</f>
        <v/>
      </c>
      <c r="J1380" s="65" t="str">
        <f>IF(COUNTA(A1380:G1380)=0,"",IF(E1380&lt;&gt;"",E1380,IF(B1380="","",IFERROR(IF(INDEX(pr_price,MATCH(B1380,pr_code,0))="","",INDEX(pr_price,MATCH(B1380,pr_code,0))),""))))</f>
        <v/>
      </c>
      <c r="K1380" s="71" t="str">
        <f>IF(COUNTA(A1380:G1380)=0,"",IF(G1380&lt;&gt;"",G1380,IF(B1380="","",IFERROR(IF(INDEX(pr_rate,MATCH(B1380,pr_code,0))="","",INDEX(pr_rate,MATCH(B1380,pr_code,0))),""))))</f>
        <v/>
      </c>
      <c r="L1380" s="65" t="str">
        <f>IF(COUNTA(A1380:G1380)=0,"",IF(AND(ISNUMBER(D1380),ISNUMBER(J1380)),ROUND(D1380*J1380*(1-N(F1380)),2),0))</f>
        <v/>
      </c>
      <c r="M1380" s="62" t="str">
        <f>IF(A1380="","",IFERROR(INDEX(dv_cname,MATCH(A1380,dv_num,0))&amp;"",""))</f>
        <v/>
      </c>
      <c r="N1380" s="59" t="str">
        <f>IF(COUNTA(A1380:G1380)=0,"",IF(A1380="","N° devis manquant",IF(ISNA(MATCH(A1380,dv_num,0)),"Devis inconnu",IF(AND(B1380&lt;&gt;"",ISNA(MATCH(B1380,pr_code,0))),"Article inconnu",IF(H1380="","Désignation manquante",IF(OR(NOT(ISNUMBER(D1380)),N(D1380)&lt;=0),"Quantité invalide",IF(J1380="","Prix manquant",IF(OR(NOT(ISNUMBER(J1380)),N(J1380)&lt;0),"Prix invalide",IF(OR(AND(F1380&lt;&gt;"",NOT(ISNUMBER(F1380))),N(F1380)&lt;0,N(F1380)&gt;1),"Remise invalide",IF(K1380="","Taux de TVA manquant",IF(NOT(ISNUMBER(K1380)),"Taux de TVA invalide",IF(COUNTIF(p_rates,K1380)=0,"Taux de TVA hors liste (Paramètres)",IF(N(O1380)&gt;25,"Au-delà de 25 lignes : non imprimée","OK")))))))))))))</f>
        <v/>
      </c>
      <c r="O1380" s="59" t="str">
        <f>IF(A1380="","",COUNTIF($A$6:A1380,A1380))</f>
        <v/>
      </c>
      <c r="P1380" s="62" t="str">
        <f>IF(A1380="","",A1380&amp;"|"&amp;O1380)</f>
        <v/>
      </c>
    </row>
    <row r="1381">
      <c r="A1381" s="60" t="n"/>
      <c r="B1381" s="63" t="n"/>
      <c r="C1381" s="63" t="n"/>
      <c r="D1381" s="67" t="n"/>
      <c r="E1381" s="68" t="n"/>
      <c r="F1381" s="69" t="n"/>
      <c r="G1381" s="70" t="n"/>
      <c r="H1381" s="62" t="str">
        <f>IF(COUNTA(A1381:G1381)=0,"",IF(C1381&lt;&gt;"",C1381,IF(B1381="","",IFERROR(INDEX(pr_des,MATCH(B1381,pr_code,0))&amp;"",""))))</f>
        <v/>
      </c>
      <c r="I1381" s="59" t="str">
        <f>IF(B1381="","",IFERROR(INDEX(pr_unit,MATCH(B1381,pr_code,0))&amp;"",""))</f>
        <v/>
      </c>
      <c r="J1381" s="65" t="str">
        <f>IF(COUNTA(A1381:G1381)=0,"",IF(E1381&lt;&gt;"",E1381,IF(B1381="","",IFERROR(IF(INDEX(pr_price,MATCH(B1381,pr_code,0))="","",INDEX(pr_price,MATCH(B1381,pr_code,0))),""))))</f>
        <v/>
      </c>
      <c r="K1381" s="71" t="str">
        <f>IF(COUNTA(A1381:G1381)=0,"",IF(G1381&lt;&gt;"",G1381,IF(B1381="","",IFERROR(IF(INDEX(pr_rate,MATCH(B1381,pr_code,0))="","",INDEX(pr_rate,MATCH(B1381,pr_code,0))),""))))</f>
        <v/>
      </c>
      <c r="L1381" s="65" t="str">
        <f>IF(COUNTA(A1381:G1381)=0,"",IF(AND(ISNUMBER(D1381),ISNUMBER(J1381)),ROUND(D1381*J1381*(1-N(F1381)),2),0))</f>
        <v/>
      </c>
      <c r="M1381" s="62" t="str">
        <f>IF(A1381="","",IFERROR(INDEX(dv_cname,MATCH(A1381,dv_num,0))&amp;"",""))</f>
        <v/>
      </c>
      <c r="N1381" s="59" t="str">
        <f>IF(COUNTA(A1381:G1381)=0,"",IF(A1381="","N° devis manquant",IF(ISNA(MATCH(A1381,dv_num,0)),"Devis inconnu",IF(AND(B1381&lt;&gt;"",ISNA(MATCH(B1381,pr_code,0))),"Article inconnu",IF(H1381="","Désignation manquante",IF(OR(NOT(ISNUMBER(D1381)),N(D1381)&lt;=0),"Quantité invalide",IF(J1381="","Prix manquant",IF(OR(NOT(ISNUMBER(J1381)),N(J1381)&lt;0),"Prix invalide",IF(OR(AND(F1381&lt;&gt;"",NOT(ISNUMBER(F1381))),N(F1381)&lt;0,N(F1381)&gt;1),"Remise invalide",IF(K1381="","Taux de TVA manquant",IF(NOT(ISNUMBER(K1381)),"Taux de TVA invalide",IF(COUNTIF(p_rates,K1381)=0,"Taux de TVA hors liste (Paramètres)",IF(N(O1381)&gt;25,"Au-delà de 25 lignes : non imprimée","OK")))))))))))))</f>
        <v/>
      </c>
      <c r="O1381" s="59" t="str">
        <f>IF(A1381="","",COUNTIF($A$6:A1381,A1381))</f>
        <v/>
      </c>
      <c r="P1381" s="62" t="str">
        <f>IF(A1381="","",A1381&amp;"|"&amp;O1381)</f>
        <v/>
      </c>
    </row>
    <row r="1382">
      <c r="A1382" s="60" t="n"/>
      <c r="B1382" s="63" t="n"/>
      <c r="C1382" s="63" t="n"/>
      <c r="D1382" s="67" t="n"/>
      <c r="E1382" s="68" t="n"/>
      <c r="F1382" s="69" t="n"/>
      <c r="G1382" s="70" t="n"/>
      <c r="H1382" s="62" t="str">
        <f>IF(COUNTA(A1382:G1382)=0,"",IF(C1382&lt;&gt;"",C1382,IF(B1382="","",IFERROR(INDEX(pr_des,MATCH(B1382,pr_code,0))&amp;"",""))))</f>
        <v/>
      </c>
      <c r="I1382" s="59" t="str">
        <f>IF(B1382="","",IFERROR(INDEX(pr_unit,MATCH(B1382,pr_code,0))&amp;"",""))</f>
        <v/>
      </c>
      <c r="J1382" s="65" t="str">
        <f>IF(COUNTA(A1382:G1382)=0,"",IF(E1382&lt;&gt;"",E1382,IF(B1382="","",IFERROR(IF(INDEX(pr_price,MATCH(B1382,pr_code,0))="","",INDEX(pr_price,MATCH(B1382,pr_code,0))),""))))</f>
        <v/>
      </c>
      <c r="K1382" s="71" t="str">
        <f>IF(COUNTA(A1382:G1382)=0,"",IF(G1382&lt;&gt;"",G1382,IF(B1382="","",IFERROR(IF(INDEX(pr_rate,MATCH(B1382,pr_code,0))="","",INDEX(pr_rate,MATCH(B1382,pr_code,0))),""))))</f>
        <v/>
      </c>
      <c r="L1382" s="65" t="str">
        <f>IF(COUNTA(A1382:G1382)=0,"",IF(AND(ISNUMBER(D1382),ISNUMBER(J1382)),ROUND(D1382*J1382*(1-N(F1382)),2),0))</f>
        <v/>
      </c>
      <c r="M1382" s="62" t="str">
        <f>IF(A1382="","",IFERROR(INDEX(dv_cname,MATCH(A1382,dv_num,0))&amp;"",""))</f>
        <v/>
      </c>
      <c r="N1382" s="59" t="str">
        <f>IF(COUNTA(A1382:G1382)=0,"",IF(A1382="","N° devis manquant",IF(ISNA(MATCH(A1382,dv_num,0)),"Devis inconnu",IF(AND(B1382&lt;&gt;"",ISNA(MATCH(B1382,pr_code,0))),"Article inconnu",IF(H1382="","Désignation manquante",IF(OR(NOT(ISNUMBER(D1382)),N(D1382)&lt;=0),"Quantité invalide",IF(J1382="","Prix manquant",IF(OR(NOT(ISNUMBER(J1382)),N(J1382)&lt;0),"Prix invalide",IF(OR(AND(F1382&lt;&gt;"",NOT(ISNUMBER(F1382))),N(F1382)&lt;0,N(F1382)&gt;1),"Remise invalide",IF(K1382="","Taux de TVA manquant",IF(NOT(ISNUMBER(K1382)),"Taux de TVA invalide",IF(COUNTIF(p_rates,K1382)=0,"Taux de TVA hors liste (Paramètres)",IF(N(O1382)&gt;25,"Au-delà de 25 lignes : non imprimée","OK")))))))))))))</f>
        <v/>
      </c>
      <c r="O1382" s="59" t="str">
        <f>IF(A1382="","",COUNTIF($A$6:A1382,A1382))</f>
        <v/>
      </c>
      <c r="P1382" s="62" t="str">
        <f>IF(A1382="","",A1382&amp;"|"&amp;O1382)</f>
        <v/>
      </c>
    </row>
    <row r="1383">
      <c r="A1383" s="60" t="n"/>
      <c r="B1383" s="63" t="n"/>
      <c r="C1383" s="63" t="n"/>
      <c r="D1383" s="67" t="n"/>
      <c r="E1383" s="68" t="n"/>
      <c r="F1383" s="69" t="n"/>
      <c r="G1383" s="70" t="n"/>
      <c r="H1383" s="62" t="str">
        <f>IF(COUNTA(A1383:G1383)=0,"",IF(C1383&lt;&gt;"",C1383,IF(B1383="","",IFERROR(INDEX(pr_des,MATCH(B1383,pr_code,0))&amp;"",""))))</f>
        <v/>
      </c>
      <c r="I1383" s="59" t="str">
        <f>IF(B1383="","",IFERROR(INDEX(pr_unit,MATCH(B1383,pr_code,0))&amp;"",""))</f>
        <v/>
      </c>
      <c r="J1383" s="65" t="str">
        <f>IF(COUNTA(A1383:G1383)=0,"",IF(E1383&lt;&gt;"",E1383,IF(B1383="","",IFERROR(IF(INDEX(pr_price,MATCH(B1383,pr_code,0))="","",INDEX(pr_price,MATCH(B1383,pr_code,0))),""))))</f>
        <v/>
      </c>
      <c r="K1383" s="71" t="str">
        <f>IF(COUNTA(A1383:G1383)=0,"",IF(G1383&lt;&gt;"",G1383,IF(B1383="","",IFERROR(IF(INDEX(pr_rate,MATCH(B1383,pr_code,0))="","",INDEX(pr_rate,MATCH(B1383,pr_code,0))),""))))</f>
        <v/>
      </c>
      <c r="L1383" s="65" t="str">
        <f>IF(COUNTA(A1383:G1383)=0,"",IF(AND(ISNUMBER(D1383),ISNUMBER(J1383)),ROUND(D1383*J1383*(1-N(F1383)),2),0))</f>
        <v/>
      </c>
      <c r="M1383" s="62" t="str">
        <f>IF(A1383="","",IFERROR(INDEX(dv_cname,MATCH(A1383,dv_num,0))&amp;"",""))</f>
        <v/>
      </c>
      <c r="N1383" s="59" t="str">
        <f>IF(COUNTA(A1383:G1383)=0,"",IF(A1383="","N° devis manquant",IF(ISNA(MATCH(A1383,dv_num,0)),"Devis inconnu",IF(AND(B1383&lt;&gt;"",ISNA(MATCH(B1383,pr_code,0))),"Article inconnu",IF(H1383="","Désignation manquante",IF(OR(NOT(ISNUMBER(D1383)),N(D1383)&lt;=0),"Quantité invalide",IF(J1383="","Prix manquant",IF(OR(NOT(ISNUMBER(J1383)),N(J1383)&lt;0),"Prix invalide",IF(OR(AND(F1383&lt;&gt;"",NOT(ISNUMBER(F1383))),N(F1383)&lt;0,N(F1383)&gt;1),"Remise invalide",IF(K1383="","Taux de TVA manquant",IF(NOT(ISNUMBER(K1383)),"Taux de TVA invalide",IF(COUNTIF(p_rates,K1383)=0,"Taux de TVA hors liste (Paramètres)",IF(N(O1383)&gt;25,"Au-delà de 25 lignes : non imprimée","OK")))))))))))))</f>
        <v/>
      </c>
      <c r="O1383" s="59" t="str">
        <f>IF(A1383="","",COUNTIF($A$6:A1383,A1383))</f>
        <v/>
      </c>
      <c r="P1383" s="62" t="str">
        <f>IF(A1383="","",A1383&amp;"|"&amp;O1383)</f>
        <v/>
      </c>
    </row>
    <row r="1384">
      <c r="A1384" s="60" t="n"/>
      <c r="B1384" s="63" t="n"/>
      <c r="C1384" s="63" t="n"/>
      <c r="D1384" s="67" t="n"/>
      <c r="E1384" s="68" t="n"/>
      <c r="F1384" s="69" t="n"/>
      <c r="G1384" s="70" t="n"/>
      <c r="H1384" s="62" t="str">
        <f>IF(COUNTA(A1384:G1384)=0,"",IF(C1384&lt;&gt;"",C1384,IF(B1384="","",IFERROR(INDEX(pr_des,MATCH(B1384,pr_code,0))&amp;"",""))))</f>
        <v/>
      </c>
      <c r="I1384" s="59" t="str">
        <f>IF(B1384="","",IFERROR(INDEX(pr_unit,MATCH(B1384,pr_code,0))&amp;"",""))</f>
        <v/>
      </c>
      <c r="J1384" s="65" t="str">
        <f>IF(COUNTA(A1384:G1384)=0,"",IF(E1384&lt;&gt;"",E1384,IF(B1384="","",IFERROR(IF(INDEX(pr_price,MATCH(B1384,pr_code,0))="","",INDEX(pr_price,MATCH(B1384,pr_code,0))),""))))</f>
        <v/>
      </c>
      <c r="K1384" s="71" t="str">
        <f>IF(COUNTA(A1384:G1384)=0,"",IF(G1384&lt;&gt;"",G1384,IF(B1384="","",IFERROR(IF(INDEX(pr_rate,MATCH(B1384,pr_code,0))="","",INDEX(pr_rate,MATCH(B1384,pr_code,0))),""))))</f>
        <v/>
      </c>
      <c r="L1384" s="65" t="str">
        <f>IF(COUNTA(A1384:G1384)=0,"",IF(AND(ISNUMBER(D1384),ISNUMBER(J1384)),ROUND(D1384*J1384*(1-N(F1384)),2),0))</f>
        <v/>
      </c>
      <c r="M1384" s="62" t="str">
        <f>IF(A1384="","",IFERROR(INDEX(dv_cname,MATCH(A1384,dv_num,0))&amp;"",""))</f>
        <v/>
      </c>
      <c r="N1384" s="59" t="str">
        <f>IF(COUNTA(A1384:G1384)=0,"",IF(A1384="","N° devis manquant",IF(ISNA(MATCH(A1384,dv_num,0)),"Devis inconnu",IF(AND(B1384&lt;&gt;"",ISNA(MATCH(B1384,pr_code,0))),"Article inconnu",IF(H1384="","Désignation manquante",IF(OR(NOT(ISNUMBER(D1384)),N(D1384)&lt;=0),"Quantité invalide",IF(J1384="","Prix manquant",IF(OR(NOT(ISNUMBER(J1384)),N(J1384)&lt;0),"Prix invalide",IF(OR(AND(F1384&lt;&gt;"",NOT(ISNUMBER(F1384))),N(F1384)&lt;0,N(F1384)&gt;1),"Remise invalide",IF(K1384="","Taux de TVA manquant",IF(NOT(ISNUMBER(K1384)),"Taux de TVA invalide",IF(COUNTIF(p_rates,K1384)=0,"Taux de TVA hors liste (Paramètres)",IF(N(O1384)&gt;25,"Au-delà de 25 lignes : non imprimée","OK")))))))))))))</f>
        <v/>
      </c>
      <c r="O1384" s="59" t="str">
        <f>IF(A1384="","",COUNTIF($A$6:A1384,A1384))</f>
        <v/>
      </c>
      <c r="P1384" s="62" t="str">
        <f>IF(A1384="","",A1384&amp;"|"&amp;O1384)</f>
        <v/>
      </c>
    </row>
    <row r="1385">
      <c r="A1385" s="60" t="n"/>
      <c r="B1385" s="63" t="n"/>
      <c r="C1385" s="63" t="n"/>
      <c r="D1385" s="67" t="n"/>
      <c r="E1385" s="68" t="n"/>
      <c r="F1385" s="69" t="n"/>
      <c r="G1385" s="70" t="n"/>
      <c r="H1385" s="62" t="str">
        <f>IF(COUNTA(A1385:G1385)=0,"",IF(C1385&lt;&gt;"",C1385,IF(B1385="","",IFERROR(INDEX(pr_des,MATCH(B1385,pr_code,0))&amp;"",""))))</f>
        <v/>
      </c>
      <c r="I1385" s="59" t="str">
        <f>IF(B1385="","",IFERROR(INDEX(pr_unit,MATCH(B1385,pr_code,0))&amp;"",""))</f>
        <v/>
      </c>
      <c r="J1385" s="65" t="str">
        <f>IF(COUNTA(A1385:G1385)=0,"",IF(E1385&lt;&gt;"",E1385,IF(B1385="","",IFERROR(IF(INDEX(pr_price,MATCH(B1385,pr_code,0))="","",INDEX(pr_price,MATCH(B1385,pr_code,0))),""))))</f>
        <v/>
      </c>
      <c r="K1385" s="71" t="str">
        <f>IF(COUNTA(A1385:G1385)=0,"",IF(G1385&lt;&gt;"",G1385,IF(B1385="","",IFERROR(IF(INDEX(pr_rate,MATCH(B1385,pr_code,0))="","",INDEX(pr_rate,MATCH(B1385,pr_code,0))),""))))</f>
        <v/>
      </c>
      <c r="L1385" s="65" t="str">
        <f>IF(COUNTA(A1385:G1385)=0,"",IF(AND(ISNUMBER(D1385),ISNUMBER(J1385)),ROUND(D1385*J1385*(1-N(F1385)),2),0))</f>
        <v/>
      </c>
      <c r="M1385" s="62" t="str">
        <f>IF(A1385="","",IFERROR(INDEX(dv_cname,MATCH(A1385,dv_num,0))&amp;"",""))</f>
        <v/>
      </c>
      <c r="N1385" s="59" t="str">
        <f>IF(COUNTA(A1385:G1385)=0,"",IF(A1385="","N° devis manquant",IF(ISNA(MATCH(A1385,dv_num,0)),"Devis inconnu",IF(AND(B1385&lt;&gt;"",ISNA(MATCH(B1385,pr_code,0))),"Article inconnu",IF(H1385="","Désignation manquante",IF(OR(NOT(ISNUMBER(D1385)),N(D1385)&lt;=0),"Quantité invalide",IF(J1385="","Prix manquant",IF(OR(NOT(ISNUMBER(J1385)),N(J1385)&lt;0),"Prix invalide",IF(OR(AND(F1385&lt;&gt;"",NOT(ISNUMBER(F1385))),N(F1385)&lt;0,N(F1385)&gt;1),"Remise invalide",IF(K1385="","Taux de TVA manquant",IF(NOT(ISNUMBER(K1385)),"Taux de TVA invalide",IF(COUNTIF(p_rates,K1385)=0,"Taux de TVA hors liste (Paramètres)",IF(N(O1385)&gt;25,"Au-delà de 25 lignes : non imprimée","OK")))))))))))))</f>
        <v/>
      </c>
      <c r="O1385" s="59" t="str">
        <f>IF(A1385="","",COUNTIF($A$6:A1385,A1385))</f>
        <v/>
      </c>
      <c r="P1385" s="62" t="str">
        <f>IF(A1385="","",A1385&amp;"|"&amp;O1385)</f>
        <v/>
      </c>
    </row>
    <row r="1386">
      <c r="A1386" s="60" t="n"/>
      <c r="B1386" s="63" t="n"/>
      <c r="C1386" s="63" t="n"/>
      <c r="D1386" s="67" t="n"/>
      <c r="E1386" s="68" t="n"/>
      <c r="F1386" s="69" t="n"/>
      <c r="G1386" s="70" t="n"/>
      <c r="H1386" s="62" t="str">
        <f>IF(COUNTA(A1386:G1386)=0,"",IF(C1386&lt;&gt;"",C1386,IF(B1386="","",IFERROR(INDEX(pr_des,MATCH(B1386,pr_code,0))&amp;"",""))))</f>
        <v/>
      </c>
      <c r="I1386" s="59" t="str">
        <f>IF(B1386="","",IFERROR(INDEX(pr_unit,MATCH(B1386,pr_code,0))&amp;"",""))</f>
        <v/>
      </c>
      <c r="J1386" s="65" t="str">
        <f>IF(COUNTA(A1386:G1386)=0,"",IF(E1386&lt;&gt;"",E1386,IF(B1386="","",IFERROR(IF(INDEX(pr_price,MATCH(B1386,pr_code,0))="","",INDEX(pr_price,MATCH(B1386,pr_code,0))),""))))</f>
        <v/>
      </c>
      <c r="K1386" s="71" t="str">
        <f>IF(COUNTA(A1386:G1386)=0,"",IF(G1386&lt;&gt;"",G1386,IF(B1386="","",IFERROR(IF(INDEX(pr_rate,MATCH(B1386,pr_code,0))="","",INDEX(pr_rate,MATCH(B1386,pr_code,0))),""))))</f>
        <v/>
      </c>
      <c r="L1386" s="65" t="str">
        <f>IF(COUNTA(A1386:G1386)=0,"",IF(AND(ISNUMBER(D1386),ISNUMBER(J1386)),ROUND(D1386*J1386*(1-N(F1386)),2),0))</f>
        <v/>
      </c>
      <c r="M1386" s="62" t="str">
        <f>IF(A1386="","",IFERROR(INDEX(dv_cname,MATCH(A1386,dv_num,0))&amp;"",""))</f>
        <v/>
      </c>
      <c r="N1386" s="59" t="str">
        <f>IF(COUNTA(A1386:G1386)=0,"",IF(A1386="","N° devis manquant",IF(ISNA(MATCH(A1386,dv_num,0)),"Devis inconnu",IF(AND(B1386&lt;&gt;"",ISNA(MATCH(B1386,pr_code,0))),"Article inconnu",IF(H1386="","Désignation manquante",IF(OR(NOT(ISNUMBER(D1386)),N(D1386)&lt;=0),"Quantité invalide",IF(J1386="","Prix manquant",IF(OR(NOT(ISNUMBER(J1386)),N(J1386)&lt;0),"Prix invalide",IF(OR(AND(F1386&lt;&gt;"",NOT(ISNUMBER(F1386))),N(F1386)&lt;0,N(F1386)&gt;1),"Remise invalide",IF(K1386="","Taux de TVA manquant",IF(NOT(ISNUMBER(K1386)),"Taux de TVA invalide",IF(COUNTIF(p_rates,K1386)=0,"Taux de TVA hors liste (Paramètres)",IF(N(O1386)&gt;25,"Au-delà de 25 lignes : non imprimée","OK")))))))))))))</f>
        <v/>
      </c>
      <c r="O1386" s="59" t="str">
        <f>IF(A1386="","",COUNTIF($A$6:A1386,A1386))</f>
        <v/>
      </c>
      <c r="P1386" s="62" t="str">
        <f>IF(A1386="","",A1386&amp;"|"&amp;O1386)</f>
        <v/>
      </c>
    </row>
    <row r="1387">
      <c r="A1387" s="60" t="n"/>
      <c r="B1387" s="63" t="n"/>
      <c r="C1387" s="63" t="n"/>
      <c r="D1387" s="67" t="n"/>
      <c r="E1387" s="68" t="n"/>
      <c r="F1387" s="69" t="n"/>
      <c r="G1387" s="70" t="n"/>
      <c r="H1387" s="62" t="str">
        <f>IF(COUNTA(A1387:G1387)=0,"",IF(C1387&lt;&gt;"",C1387,IF(B1387="","",IFERROR(INDEX(pr_des,MATCH(B1387,pr_code,0))&amp;"",""))))</f>
        <v/>
      </c>
      <c r="I1387" s="59" t="str">
        <f>IF(B1387="","",IFERROR(INDEX(pr_unit,MATCH(B1387,pr_code,0))&amp;"",""))</f>
        <v/>
      </c>
      <c r="J1387" s="65" t="str">
        <f>IF(COUNTA(A1387:G1387)=0,"",IF(E1387&lt;&gt;"",E1387,IF(B1387="","",IFERROR(IF(INDEX(pr_price,MATCH(B1387,pr_code,0))="","",INDEX(pr_price,MATCH(B1387,pr_code,0))),""))))</f>
        <v/>
      </c>
      <c r="K1387" s="71" t="str">
        <f>IF(COUNTA(A1387:G1387)=0,"",IF(G1387&lt;&gt;"",G1387,IF(B1387="","",IFERROR(IF(INDEX(pr_rate,MATCH(B1387,pr_code,0))="","",INDEX(pr_rate,MATCH(B1387,pr_code,0))),""))))</f>
        <v/>
      </c>
      <c r="L1387" s="65" t="str">
        <f>IF(COUNTA(A1387:G1387)=0,"",IF(AND(ISNUMBER(D1387),ISNUMBER(J1387)),ROUND(D1387*J1387*(1-N(F1387)),2),0))</f>
        <v/>
      </c>
      <c r="M1387" s="62" t="str">
        <f>IF(A1387="","",IFERROR(INDEX(dv_cname,MATCH(A1387,dv_num,0))&amp;"",""))</f>
        <v/>
      </c>
      <c r="N1387" s="59" t="str">
        <f>IF(COUNTA(A1387:G1387)=0,"",IF(A1387="","N° devis manquant",IF(ISNA(MATCH(A1387,dv_num,0)),"Devis inconnu",IF(AND(B1387&lt;&gt;"",ISNA(MATCH(B1387,pr_code,0))),"Article inconnu",IF(H1387="","Désignation manquante",IF(OR(NOT(ISNUMBER(D1387)),N(D1387)&lt;=0),"Quantité invalide",IF(J1387="","Prix manquant",IF(OR(NOT(ISNUMBER(J1387)),N(J1387)&lt;0),"Prix invalide",IF(OR(AND(F1387&lt;&gt;"",NOT(ISNUMBER(F1387))),N(F1387)&lt;0,N(F1387)&gt;1),"Remise invalide",IF(K1387="","Taux de TVA manquant",IF(NOT(ISNUMBER(K1387)),"Taux de TVA invalide",IF(COUNTIF(p_rates,K1387)=0,"Taux de TVA hors liste (Paramètres)",IF(N(O1387)&gt;25,"Au-delà de 25 lignes : non imprimée","OK")))))))))))))</f>
        <v/>
      </c>
      <c r="O1387" s="59" t="str">
        <f>IF(A1387="","",COUNTIF($A$6:A1387,A1387))</f>
        <v/>
      </c>
      <c r="P1387" s="62" t="str">
        <f>IF(A1387="","",A1387&amp;"|"&amp;O1387)</f>
        <v/>
      </c>
    </row>
    <row r="1388">
      <c r="A1388" s="60" t="n"/>
      <c r="B1388" s="63" t="n"/>
      <c r="C1388" s="63" t="n"/>
      <c r="D1388" s="67" t="n"/>
      <c r="E1388" s="68" t="n"/>
      <c r="F1388" s="69" t="n"/>
      <c r="G1388" s="70" t="n"/>
      <c r="H1388" s="62" t="str">
        <f>IF(COUNTA(A1388:G1388)=0,"",IF(C1388&lt;&gt;"",C1388,IF(B1388="","",IFERROR(INDEX(pr_des,MATCH(B1388,pr_code,0))&amp;"",""))))</f>
        <v/>
      </c>
      <c r="I1388" s="59" t="str">
        <f>IF(B1388="","",IFERROR(INDEX(pr_unit,MATCH(B1388,pr_code,0))&amp;"",""))</f>
        <v/>
      </c>
      <c r="J1388" s="65" t="str">
        <f>IF(COUNTA(A1388:G1388)=0,"",IF(E1388&lt;&gt;"",E1388,IF(B1388="","",IFERROR(IF(INDEX(pr_price,MATCH(B1388,pr_code,0))="","",INDEX(pr_price,MATCH(B1388,pr_code,0))),""))))</f>
        <v/>
      </c>
      <c r="K1388" s="71" t="str">
        <f>IF(COUNTA(A1388:G1388)=0,"",IF(G1388&lt;&gt;"",G1388,IF(B1388="","",IFERROR(IF(INDEX(pr_rate,MATCH(B1388,pr_code,0))="","",INDEX(pr_rate,MATCH(B1388,pr_code,0))),""))))</f>
        <v/>
      </c>
      <c r="L1388" s="65" t="str">
        <f>IF(COUNTA(A1388:G1388)=0,"",IF(AND(ISNUMBER(D1388),ISNUMBER(J1388)),ROUND(D1388*J1388*(1-N(F1388)),2),0))</f>
        <v/>
      </c>
      <c r="M1388" s="62" t="str">
        <f>IF(A1388="","",IFERROR(INDEX(dv_cname,MATCH(A1388,dv_num,0))&amp;"",""))</f>
        <v/>
      </c>
      <c r="N1388" s="59" t="str">
        <f>IF(COUNTA(A1388:G1388)=0,"",IF(A1388="","N° devis manquant",IF(ISNA(MATCH(A1388,dv_num,0)),"Devis inconnu",IF(AND(B1388&lt;&gt;"",ISNA(MATCH(B1388,pr_code,0))),"Article inconnu",IF(H1388="","Désignation manquante",IF(OR(NOT(ISNUMBER(D1388)),N(D1388)&lt;=0),"Quantité invalide",IF(J1388="","Prix manquant",IF(OR(NOT(ISNUMBER(J1388)),N(J1388)&lt;0),"Prix invalide",IF(OR(AND(F1388&lt;&gt;"",NOT(ISNUMBER(F1388))),N(F1388)&lt;0,N(F1388)&gt;1),"Remise invalide",IF(K1388="","Taux de TVA manquant",IF(NOT(ISNUMBER(K1388)),"Taux de TVA invalide",IF(COUNTIF(p_rates,K1388)=0,"Taux de TVA hors liste (Paramètres)",IF(N(O1388)&gt;25,"Au-delà de 25 lignes : non imprimée","OK")))))))))))))</f>
        <v/>
      </c>
      <c r="O1388" s="59" t="str">
        <f>IF(A1388="","",COUNTIF($A$6:A1388,A1388))</f>
        <v/>
      </c>
      <c r="P1388" s="62" t="str">
        <f>IF(A1388="","",A1388&amp;"|"&amp;O1388)</f>
        <v/>
      </c>
    </row>
    <row r="1389">
      <c r="A1389" s="60" t="n"/>
      <c r="B1389" s="63" t="n"/>
      <c r="C1389" s="63" t="n"/>
      <c r="D1389" s="67" t="n"/>
      <c r="E1389" s="68" t="n"/>
      <c r="F1389" s="69" t="n"/>
      <c r="G1389" s="70" t="n"/>
      <c r="H1389" s="62" t="str">
        <f>IF(COUNTA(A1389:G1389)=0,"",IF(C1389&lt;&gt;"",C1389,IF(B1389="","",IFERROR(INDEX(pr_des,MATCH(B1389,pr_code,0))&amp;"",""))))</f>
        <v/>
      </c>
      <c r="I1389" s="59" t="str">
        <f>IF(B1389="","",IFERROR(INDEX(pr_unit,MATCH(B1389,pr_code,0))&amp;"",""))</f>
        <v/>
      </c>
      <c r="J1389" s="65" t="str">
        <f>IF(COUNTA(A1389:G1389)=0,"",IF(E1389&lt;&gt;"",E1389,IF(B1389="","",IFERROR(IF(INDEX(pr_price,MATCH(B1389,pr_code,0))="","",INDEX(pr_price,MATCH(B1389,pr_code,0))),""))))</f>
        <v/>
      </c>
      <c r="K1389" s="71" t="str">
        <f>IF(COUNTA(A1389:G1389)=0,"",IF(G1389&lt;&gt;"",G1389,IF(B1389="","",IFERROR(IF(INDEX(pr_rate,MATCH(B1389,pr_code,0))="","",INDEX(pr_rate,MATCH(B1389,pr_code,0))),""))))</f>
        <v/>
      </c>
      <c r="L1389" s="65" t="str">
        <f>IF(COUNTA(A1389:G1389)=0,"",IF(AND(ISNUMBER(D1389),ISNUMBER(J1389)),ROUND(D1389*J1389*(1-N(F1389)),2),0))</f>
        <v/>
      </c>
      <c r="M1389" s="62" t="str">
        <f>IF(A1389="","",IFERROR(INDEX(dv_cname,MATCH(A1389,dv_num,0))&amp;"",""))</f>
        <v/>
      </c>
      <c r="N1389" s="59" t="str">
        <f>IF(COUNTA(A1389:G1389)=0,"",IF(A1389="","N° devis manquant",IF(ISNA(MATCH(A1389,dv_num,0)),"Devis inconnu",IF(AND(B1389&lt;&gt;"",ISNA(MATCH(B1389,pr_code,0))),"Article inconnu",IF(H1389="","Désignation manquante",IF(OR(NOT(ISNUMBER(D1389)),N(D1389)&lt;=0),"Quantité invalide",IF(J1389="","Prix manquant",IF(OR(NOT(ISNUMBER(J1389)),N(J1389)&lt;0),"Prix invalide",IF(OR(AND(F1389&lt;&gt;"",NOT(ISNUMBER(F1389))),N(F1389)&lt;0,N(F1389)&gt;1),"Remise invalide",IF(K1389="","Taux de TVA manquant",IF(NOT(ISNUMBER(K1389)),"Taux de TVA invalide",IF(COUNTIF(p_rates,K1389)=0,"Taux de TVA hors liste (Paramètres)",IF(N(O1389)&gt;25,"Au-delà de 25 lignes : non imprimée","OK")))))))))))))</f>
        <v/>
      </c>
      <c r="O1389" s="59" t="str">
        <f>IF(A1389="","",COUNTIF($A$6:A1389,A1389))</f>
        <v/>
      </c>
      <c r="P1389" s="62" t="str">
        <f>IF(A1389="","",A1389&amp;"|"&amp;O1389)</f>
        <v/>
      </c>
    </row>
    <row r="1390">
      <c r="A1390" s="60" t="n"/>
      <c r="B1390" s="63" t="n"/>
      <c r="C1390" s="63" t="n"/>
      <c r="D1390" s="67" t="n"/>
      <c r="E1390" s="68" t="n"/>
      <c r="F1390" s="69" t="n"/>
      <c r="G1390" s="70" t="n"/>
      <c r="H1390" s="62" t="str">
        <f>IF(COUNTA(A1390:G1390)=0,"",IF(C1390&lt;&gt;"",C1390,IF(B1390="","",IFERROR(INDEX(pr_des,MATCH(B1390,pr_code,0))&amp;"",""))))</f>
        <v/>
      </c>
      <c r="I1390" s="59" t="str">
        <f>IF(B1390="","",IFERROR(INDEX(pr_unit,MATCH(B1390,pr_code,0))&amp;"",""))</f>
        <v/>
      </c>
      <c r="J1390" s="65" t="str">
        <f>IF(COUNTA(A1390:G1390)=0,"",IF(E1390&lt;&gt;"",E1390,IF(B1390="","",IFERROR(IF(INDEX(pr_price,MATCH(B1390,pr_code,0))="","",INDEX(pr_price,MATCH(B1390,pr_code,0))),""))))</f>
        <v/>
      </c>
      <c r="K1390" s="71" t="str">
        <f>IF(COUNTA(A1390:G1390)=0,"",IF(G1390&lt;&gt;"",G1390,IF(B1390="","",IFERROR(IF(INDEX(pr_rate,MATCH(B1390,pr_code,0))="","",INDEX(pr_rate,MATCH(B1390,pr_code,0))),""))))</f>
        <v/>
      </c>
      <c r="L1390" s="65" t="str">
        <f>IF(COUNTA(A1390:G1390)=0,"",IF(AND(ISNUMBER(D1390),ISNUMBER(J1390)),ROUND(D1390*J1390*(1-N(F1390)),2),0))</f>
        <v/>
      </c>
      <c r="M1390" s="62" t="str">
        <f>IF(A1390="","",IFERROR(INDEX(dv_cname,MATCH(A1390,dv_num,0))&amp;"",""))</f>
        <v/>
      </c>
      <c r="N1390" s="59" t="str">
        <f>IF(COUNTA(A1390:G1390)=0,"",IF(A1390="","N° devis manquant",IF(ISNA(MATCH(A1390,dv_num,0)),"Devis inconnu",IF(AND(B1390&lt;&gt;"",ISNA(MATCH(B1390,pr_code,0))),"Article inconnu",IF(H1390="","Désignation manquante",IF(OR(NOT(ISNUMBER(D1390)),N(D1390)&lt;=0),"Quantité invalide",IF(J1390="","Prix manquant",IF(OR(NOT(ISNUMBER(J1390)),N(J1390)&lt;0),"Prix invalide",IF(OR(AND(F1390&lt;&gt;"",NOT(ISNUMBER(F1390))),N(F1390)&lt;0,N(F1390)&gt;1),"Remise invalide",IF(K1390="","Taux de TVA manquant",IF(NOT(ISNUMBER(K1390)),"Taux de TVA invalide",IF(COUNTIF(p_rates,K1390)=0,"Taux de TVA hors liste (Paramètres)",IF(N(O1390)&gt;25,"Au-delà de 25 lignes : non imprimée","OK")))))))))))))</f>
        <v/>
      </c>
      <c r="O1390" s="59" t="str">
        <f>IF(A1390="","",COUNTIF($A$6:A1390,A1390))</f>
        <v/>
      </c>
      <c r="P1390" s="62" t="str">
        <f>IF(A1390="","",A1390&amp;"|"&amp;O1390)</f>
        <v/>
      </c>
    </row>
    <row r="1391">
      <c r="A1391" s="60" t="n"/>
      <c r="B1391" s="63" t="n"/>
      <c r="C1391" s="63" t="n"/>
      <c r="D1391" s="67" t="n"/>
      <c r="E1391" s="68" t="n"/>
      <c r="F1391" s="69" t="n"/>
      <c r="G1391" s="70" t="n"/>
      <c r="H1391" s="62" t="str">
        <f>IF(COUNTA(A1391:G1391)=0,"",IF(C1391&lt;&gt;"",C1391,IF(B1391="","",IFERROR(INDEX(pr_des,MATCH(B1391,pr_code,0))&amp;"",""))))</f>
        <v/>
      </c>
      <c r="I1391" s="59" t="str">
        <f>IF(B1391="","",IFERROR(INDEX(pr_unit,MATCH(B1391,pr_code,0))&amp;"",""))</f>
        <v/>
      </c>
      <c r="J1391" s="65" t="str">
        <f>IF(COUNTA(A1391:G1391)=0,"",IF(E1391&lt;&gt;"",E1391,IF(B1391="","",IFERROR(IF(INDEX(pr_price,MATCH(B1391,pr_code,0))="","",INDEX(pr_price,MATCH(B1391,pr_code,0))),""))))</f>
        <v/>
      </c>
      <c r="K1391" s="71" t="str">
        <f>IF(COUNTA(A1391:G1391)=0,"",IF(G1391&lt;&gt;"",G1391,IF(B1391="","",IFERROR(IF(INDEX(pr_rate,MATCH(B1391,pr_code,0))="","",INDEX(pr_rate,MATCH(B1391,pr_code,0))),""))))</f>
        <v/>
      </c>
      <c r="L1391" s="65" t="str">
        <f>IF(COUNTA(A1391:G1391)=0,"",IF(AND(ISNUMBER(D1391),ISNUMBER(J1391)),ROUND(D1391*J1391*(1-N(F1391)),2),0))</f>
        <v/>
      </c>
      <c r="M1391" s="62" t="str">
        <f>IF(A1391="","",IFERROR(INDEX(dv_cname,MATCH(A1391,dv_num,0))&amp;"",""))</f>
        <v/>
      </c>
      <c r="N1391" s="59" t="str">
        <f>IF(COUNTA(A1391:G1391)=0,"",IF(A1391="","N° devis manquant",IF(ISNA(MATCH(A1391,dv_num,0)),"Devis inconnu",IF(AND(B1391&lt;&gt;"",ISNA(MATCH(B1391,pr_code,0))),"Article inconnu",IF(H1391="","Désignation manquante",IF(OR(NOT(ISNUMBER(D1391)),N(D1391)&lt;=0),"Quantité invalide",IF(J1391="","Prix manquant",IF(OR(NOT(ISNUMBER(J1391)),N(J1391)&lt;0),"Prix invalide",IF(OR(AND(F1391&lt;&gt;"",NOT(ISNUMBER(F1391))),N(F1391)&lt;0,N(F1391)&gt;1),"Remise invalide",IF(K1391="","Taux de TVA manquant",IF(NOT(ISNUMBER(K1391)),"Taux de TVA invalide",IF(COUNTIF(p_rates,K1391)=0,"Taux de TVA hors liste (Paramètres)",IF(N(O1391)&gt;25,"Au-delà de 25 lignes : non imprimée","OK")))))))))))))</f>
        <v/>
      </c>
      <c r="O1391" s="59" t="str">
        <f>IF(A1391="","",COUNTIF($A$6:A1391,A1391))</f>
        <v/>
      </c>
      <c r="P1391" s="62" t="str">
        <f>IF(A1391="","",A1391&amp;"|"&amp;O1391)</f>
        <v/>
      </c>
    </row>
    <row r="1392">
      <c r="A1392" s="60" t="n"/>
      <c r="B1392" s="63" t="n"/>
      <c r="C1392" s="63" t="n"/>
      <c r="D1392" s="67" t="n"/>
      <c r="E1392" s="68" t="n"/>
      <c r="F1392" s="69" t="n"/>
      <c r="G1392" s="70" t="n"/>
      <c r="H1392" s="62" t="str">
        <f>IF(COUNTA(A1392:G1392)=0,"",IF(C1392&lt;&gt;"",C1392,IF(B1392="","",IFERROR(INDEX(pr_des,MATCH(B1392,pr_code,0))&amp;"",""))))</f>
        <v/>
      </c>
      <c r="I1392" s="59" t="str">
        <f>IF(B1392="","",IFERROR(INDEX(pr_unit,MATCH(B1392,pr_code,0))&amp;"",""))</f>
        <v/>
      </c>
      <c r="J1392" s="65" t="str">
        <f>IF(COUNTA(A1392:G1392)=0,"",IF(E1392&lt;&gt;"",E1392,IF(B1392="","",IFERROR(IF(INDEX(pr_price,MATCH(B1392,pr_code,0))="","",INDEX(pr_price,MATCH(B1392,pr_code,0))),""))))</f>
        <v/>
      </c>
      <c r="K1392" s="71" t="str">
        <f>IF(COUNTA(A1392:G1392)=0,"",IF(G1392&lt;&gt;"",G1392,IF(B1392="","",IFERROR(IF(INDEX(pr_rate,MATCH(B1392,pr_code,0))="","",INDEX(pr_rate,MATCH(B1392,pr_code,0))),""))))</f>
        <v/>
      </c>
      <c r="L1392" s="65" t="str">
        <f>IF(COUNTA(A1392:G1392)=0,"",IF(AND(ISNUMBER(D1392),ISNUMBER(J1392)),ROUND(D1392*J1392*(1-N(F1392)),2),0))</f>
        <v/>
      </c>
      <c r="M1392" s="62" t="str">
        <f>IF(A1392="","",IFERROR(INDEX(dv_cname,MATCH(A1392,dv_num,0))&amp;"",""))</f>
        <v/>
      </c>
      <c r="N1392" s="59" t="str">
        <f>IF(COUNTA(A1392:G1392)=0,"",IF(A1392="","N° devis manquant",IF(ISNA(MATCH(A1392,dv_num,0)),"Devis inconnu",IF(AND(B1392&lt;&gt;"",ISNA(MATCH(B1392,pr_code,0))),"Article inconnu",IF(H1392="","Désignation manquante",IF(OR(NOT(ISNUMBER(D1392)),N(D1392)&lt;=0),"Quantité invalide",IF(J1392="","Prix manquant",IF(OR(NOT(ISNUMBER(J1392)),N(J1392)&lt;0),"Prix invalide",IF(OR(AND(F1392&lt;&gt;"",NOT(ISNUMBER(F1392))),N(F1392)&lt;0,N(F1392)&gt;1),"Remise invalide",IF(K1392="","Taux de TVA manquant",IF(NOT(ISNUMBER(K1392)),"Taux de TVA invalide",IF(COUNTIF(p_rates,K1392)=0,"Taux de TVA hors liste (Paramètres)",IF(N(O1392)&gt;25,"Au-delà de 25 lignes : non imprimée","OK")))))))))))))</f>
        <v/>
      </c>
      <c r="O1392" s="59" t="str">
        <f>IF(A1392="","",COUNTIF($A$6:A1392,A1392))</f>
        <v/>
      </c>
      <c r="P1392" s="62" t="str">
        <f>IF(A1392="","",A1392&amp;"|"&amp;O1392)</f>
        <v/>
      </c>
    </row>
    <row r="1393">
      <c r="A1393" s="60" t="n"/>
      <c r="B1393" s="63" t="n"/>
      <c r="C1393" s="63" t="n"/>
      <c r="D1393" s="67" t="n"/>
      <c r="E1393" s="68" t="n"/>
      <c r="F1393" s="69" t="n"/>
      <c r="G1393" s="70" t="n"/>
      <c r="H1393" s="62" t="str">
        <f>IF(COUNTA(A1393:G1393)=0,"",IF(C1393&lt;&gt;"",C1393,IF(B1393="","",IFERROR(INDEX(pr_des,MATCH(B1393,pr_code,0))&amp;"",""))))</f>
        <v/>
      </c>
      <c r="I1393" s="59" t="str">
        <f>IF(B1393="","",IFERROR(INDEX(pr_unit,MATCH(B1393,pr_code,0))&amp;"",""))</f>
        <v/>
      </c>
      <c r="J1393" s="65" t="str">
        <f>IF(COUNTA(A1393:G1393)=0,"",IF(E1393&lt;&gt;"",E1393,IF(B1393="","",IFERROR(IF(INDEX(pr_price,MATCH(B1393,pr_code,0))="","",INDEX(pr_price,MATCH(B1393,pr_code,0))),""))))</f>
        <v/>
      </c>
      <c r="K1393" s="71" t="str">
        <f>IF(COUNTA(A1393:G1393)=0,"",IF(G1393&lt;&gt;"",G1393,IF(B1393="","",IFERROR(IF(INDEX(pr_rate,MATCH(B1393,pr_code,0))="","",INDEX(pr_rate,MATCH(B1393,pr_code,0))),""))))</f>
        <v/>
      </c>
      <c r="L1393" s="65" t="str">
        <f>IF(COUNTA(A1393:G1393)=0,"",IF(AND(ISNUMBER(D1393),ISNUMBER(J1393)),ROUND(D1393*J1393*(1-N(F1393)),2),0))</f>
        <v/>
      </c>
      <c r="M1393" s="62" t="str">
        <f>IF(A1393="","",IFERROR(INDEX(dv_cname,MATCH(A1393,dv_num,0))&amp;"",""))</f>
        <v/>
      </c>
      <c r="N1393" s="59" t="str">
        <f>IF(COUNTA(A1393:G1393)=0,"",IF(A1393="","N° devis manquant",IF(ISNA(MATCH(A1393,dv_num,0)),"Devis inconnu",IF(AND(B1393&lt;&gt;"",ISNA(MATCH(B1393,pr_code,0))),"Article inconnu",IF(H1393="","Désignation manquante",IF(OR(NOT(ISNUMBER(D1393)),N(D1393)&lt;=0),"Quantité invalide",IF(J1393="","Prix manquant",IF(OR(NOT(ISNUMBER(J1393)),N(J1393)&lt;0),"Prix invalide",IF(OR(AND(F1393&lt;&gt;"",NOT(ISNUMBER(F1393))),N(F1393)&lt;0,N(F1393)&gt;1),"Remise invalide",IF(K1393="","Taux de TVA manquant",IF(NOT(ISNUMBER(K1393)),"Taux de TVA invalide",IF(COUNTIF(p_rates,K1393)=0,"Taux de TVA hors liste (Paramètres)",IF(N(O1393)&gt;25,"Au-delà de 25 lignes : non imprimée","OK")))))))))))))</f>
        <v/>
      </c>
      <c r="O1393" s="59" t="str">
        <f>IF(A1393="","",COUNTIF($A$6:A1393,A1393))</f>
        <v/>
      </c>
      <c r="P1393" s="62" t="str">
        <f>IF(A1393="","",A1393&amp;"|"&amp;O1393)</f>
        <v/>
      </c>
    </row>
    <row r="1394">
      <c r="A1394" s="60" t="n"/>
      <c r="B1394" s="63" t="n"/>
      <c r="C1394" s="63" t="n"/>
      <c r="D1394" s="67" t="n"/>
      <c r="E1394" s="68" t="n"/>
      <c r="F1394" s="69" t="n"/>
      <c r="G1394" s="70" t="n"/>
      <c r="H1394" s="62" t="str">
        <f>IF(COUNTA(A1394:G1394)=0,"",IF(C1394&lt;&gt;"",C1394,IF(B1394="","",IFERROR(INDEX(pr_des,MATCH(B1394,pr_code,0))&amp;"",""))))</f>
        <v/>
      </c>
      <c r="I1394" s="59" t="str">
        <f>IF(B1394="","",IFERROR(INDEX(pr_unit,MATCH(B1394,pr_code,0))&amp;"",""))</f>
        <v/>
      </c>
      <c r="J1394" s="65" t="str">
        <f>IF(COUNTA(A1394:G1394)=0,"",IF(E1394&lt;&gt;"",E1394,IF(B1394="","",IFERROR(IF(INDEX(pr_price,MATCH(B1394,pr_code,0))="","",INDEX(pr_price,MATCH(B1394,pr_code,0))),""))))</f>
        <v/>
      </c>
      <c r="K1394" s="71" t="str">
        <f>IF(COUNTA(A1394:G1394)=0,"",IF(G1394&lt;&gt;"",G1394,IF(B1394="","",IFERROR(IF(INDEX(pr_rate,MATCH(B1394,pr_code,0))="","",INDEX(pr_rate,MATCH(B1394,pr_code,0))),""))))</f>
        <v/>
      </c>
      <c r="L1394" s="65" t="str">
        <f>IF(COUNTA(A1394:G1394)=0,"",IF(AND(ISNUMBER(D1394),ISNUMBER(J1394)),ROUND(D1394*J1394*(1-N(F1394)),2),0))</f>
        <v/>
      </c>
      <c r="M1394" s="62" t="str">
        <f>IF(A1394="","",IFERROR(INDEX(dv_cname,MATCH(A1394,dv_num,0))&amp;"",""))</f>
        <v/>
      </c>
      <c r="N1394" s="59" t="str">
        <f>IF(COUNTA(A1394:G1394)=0,"",IF(A1394="","N° devis manquant",IF(ISNA(MATCH(A1394,dv_num,0)),"Devis inconnu",IF(AND(B1394&lt;&gt;"",ISNA(MATCH(B1394,pr_code,0))),"Article inconnu",IF(H1394="","Désignation manquante",IF(OR(NOT(ISNUMBER(D1394)),N(D1394)&lt;=0),"Quantité invalide",IF(J1394="","Prix manquant",IF(OR(NOT(ISNUMBER(J1394)),N(J1394)&lt;0),"Prix invalide",IF(OR(AND(F1394&lt;&gt;"",NOT(ISNUMBER(F1394))),N(F1394)&lt;0,N(F1394)&gt;1),"Remise invalide",IF(K1394="","Taux de TVA manquant",IF(NOT(ISNUMBER(K1394)),"Taux de TVA invalide",IF(COUNTIF(p_rates,K1394)=0,"Taux de TVA hors liste (Paramètres)",IF(N(O1394)&gt;25,"Au-delà de 25 lignes : non imprimée","OK")))))))))))))</f>
        <v/>
      </c>
      <c r="O1394" s="59" t="str">
        <f>IF(A1394="","",COUNTIF($A$6:A1394,A1394))</f>
        <v/>
      </c>
      <c r="P1394" s="62" t="str">
        <f>IF(A1394="","",A1394&amp;"|"&amp;O1394)</f>
        <v/>
      </c>
    </row>
    <row r="1395">
      <c r="A1395" s="60" t="n"/>
      <c r="B1395" s="63" t="n"/>
      <c r="C1395" s="63" t="n"/>
      <c r="D1395" s="67" t="n"/>
      <c r="E1395" s="68" t="n"/>
      <c r="F1395" s="69" t="n"/>
      <c r="G1395" s="70" t="n"/>
      <c r="H1395" s="62" t="str">
        <f>IF(COUNTA(A1395:G1395)=0,"",IF(C1395&lt;&gt;"",C1395,IF(B1395="","",IFERROR(INDEX(pr_des,MATCH(B1395,pr_code,0))&amp;"",""))))</f>
        <v/>
      </c>
      <c r="I1395" s="59" t="str">
        <f>IF(B1395="","",IFERROR(INDEX(pr_unit,MATCH(B1395,pr_code,0))&amp;"",""))</f>
        <v/>
      </c>
      <c r="J1395" s="65" t="str">
        <f>IF(COUNTA(A1395:G1395)=0,"",IF(E1395&lt;&gt;"",E1395,IF(B1395="","",IFERROR(IF(INDEX(pr_price,MATCH(B1395,pr_code,0))="","",INDEX(pr_price,MATCH(B1395,pr_code,0))),""))))</f>
        <v/>
      </c>
      <c r="K1395" s="71" t="str">
        <f>IF(COUNTA(A1395:G1395)=0,"",IF(G1395&lt;&gt;"",G1395,IF(B1395="","",IFERROR(IF(INDEX(pr_rate,MATCH(B1395,pr_code,0))="","",INDEX(pr_rate,MATCH(B1395,pr_code,0))),""))))</f>
        <v/>
      </c>
      <c r="L1395" s="65" t="str">
        <f>IF(COUNTA(A1395:G1395)=0,"",IF(AND(ISNUMBER(D1395),ISNUMBER(J1395)),ROUND(D1395*J1395*(1-N(F1395)),2),0))</f>
        <v/>
      </c>
      <c r="M1395" s="62" t="str">
        <f>IF(A1395="","",IFERROR(INDEX(dv_cname,MATCH(A1395,dv_num,0))&amp;"",""))</f>
        <v/>
      </c>
      <c r="N1395" s="59" t="str">
        <f>IF(COUNTA(A1395:G1395)=0,"",IF(A1395="","N° devis manquant",IF(ISNA(MATCH(A1395,dv_num,0)),"Devis inconnu",IF(AND(B1395&lt;&gt;"",ISNA(MATCH(B1395,pr_code,0))),"Article inconnu",IF(H1395="","Désignation manquante",IF(OR(NOT(ISNUMBER(D1395)),N(D1395)&lt;=0),"Quantité invalide",IF(J1395="","Prix manquant",IF(OR(NOT(ISNUMBER(J1395)),N(J1395)&lt;0),"Prix invalide",IF(OR(AND(F1395&lt;&gt;"",NOT(ISNUMBER(F1395))),N(F1395)&lt;0,N(F1395)&gt;1),"Remise invalide",IF(K1395="","Taux de TVA manquant",IF(NOT(ISNUMBER(K1395)),"Taux de TVA invalide",IF(COUNTIF(p_rates,K1395)=0,"Taux de TVA hors liste (Paramètres)",IF(N(O1395)&gt;25,"Au-delà de 25 lignes : non imprimée","OK")))))))))))))</f>
        <v/>
      </c>
      <c r="O1395" s="59" t="str">
        <f>IF(A1395="","",COUNTIF($A$6:A1395,A1395))</f>
        <v/>
      </c>
      <c r="P1395" s="62" t="str">
        <f>IF(A1395="","",A1395&amp;"|"&amp;O1395)</f>
        <v/>
      </c>
    </row>
    <row r="1396">
      <c r="A1396" s="60" t="n"/>
      <c r="B1396" s="63" t="n"/>
      <c r="C1396" s="63" t="n"/>
      <c r="D1396" s="67" t="n"/>
      <c r="E1396" s="68" t="n"/>
      <c r="F1396" s="69" t="n"/>
      <c r="G1396" s="70" t="n"/>
      <c r="H1396" s="62" t="str">
        <f>IF(COUNTA(A1396:G1396)=0,"",IF(C1396&lt;&gt;"",C1396,IF(B1396="","",IFERROR(INDEX(pr_des,MATCH(B1396,pr_code,0))&amp;"",""))))</f>
        <v/>
      </c>
      <c r="I1396" s="59" t="str">
        <f>IF(B1396="","",IFERROR(INDEX(pr_unit,MATCH(B1396,pr_code,0))&amp;"",""))</f>
        <v/>
      </c>
      <c r="J1396" s="65" t="str">
        <f>IF(COUNTA(A1396:G1396)=0,"",IF(E1396&lt;&gt;"",E1396,IF(B1396="","",IFERROR(IF(INDEX(pr_price,MATCH(B1396,pr_code,0))="","",INDEX(pr_price,MATCH(B1396,pr_code,0))),""))))</f>
        <v/>
      </c>
      <c r="K1396" s="71" t="str">
        <f>IF(COUNTA(A1396:G1396)=0,"",IF(G1396&lt;&gt;"",G1396,IF(B1396="","",IFERROR(IF(INDEX(pr_rate,MATCH(B1396,pr_code,0))="","",INDEX(pr_rate,MATCH(B1396,pr_code,0))),""))))</f>
        <v/>
      </c>
      <c r="L1396" s="65" t="str">
        <f>IF(COUNTA(A1396:G1396)=0,"",IF(AND(ISNUMBER(D1396),ISNUMBER(J1396)),ROUND(D1396*J1396*(1-N(F1396)),2),0))</f>
        <v/>
      </c>
      <c r="M1396" s="62" t="str">
        <f>IF(A1396="","",IFERROR(INDEX(dv_cname,MATCH(A1396,dv_num,0))&amp;"",""))</f>
        <v/>
      </c>
      <c r="N1396" s="59" t="str">
        <f>IF(COUNTA(A1396:G1396)=0,"",IF(A1396="","N° devis manquant",IF(ISNA(MATCH(A1396,dv_num,0)),"Devis inconnu",IF(AND(B1396&lt;&gt;"",ISNA(MATCH(B1396,pr_code,0))),"Article inconnu",IF(H1396="","Désignation manquante",IF(OR(NOT(ISNUMBER(D1396)),N(D1396)&lt;=0),"Quantité invalide",IF(J1396="","Prix manquant",IF(OR(NOT(ISNUMBER(J1396)),N(J1396)&lt;0),"Prix invalide",IF(OR(AND(F1396&lt;&gt;"",NOT(ISNUMBER(F1396))),N(F1396)&lt;0,N(F1396)&gt;1),"Remise invalide",IF(K1396="","Taux de TVA manquant",IF(NOT(ISNUMBER(K1396)),"Taux de TVA invalide",IF(COUNTIF(p_rates,K1396)=0,"Taux de TVA hors liste (Paramètres)",IF(N(O1396)&gt;25,"Au-delà de 25 lignes : non imprimée","OK")))))))))))))</f>
        <v/>
      </c>
      <c r="O1396" s="59" t="str">
        <f>IF(A1396="","",COUNTIF($A$6:A1396,A1396))</f>
        <v/>
      </c>
      <c r="P1396" s="62" t="str">
        <f>IF(A1396="","",A1396&amp;"|"&amp;O1396)</f>
        <v/>
      </c>
    </row>
    <row r="1397">
      <c r="A1397" s="60" t="n"/>
      <c r="B1397" s="63" t="n"/>
      <c r="C1397" s="63" t="n"/>
      <c r="D1397" s="67" t="n"/>
      <c r="E1397" s="68" t="n"/>
      <c r="F1397" s="69" t="n"/>
      <c r="G1397" s="70" t="n"/>
      <c r="H1397" s="62" t="str">
        <f>IF(COUNTA(A1397:G1397)=0,"",IF(C1397&lt;&gt;"",C1397,IF(B1397="","",IFERROR(INDEX(pr_des,MATCH(B1397,pr_code,0))&amp;"",""))))</f>
        <v/>
      </c>
      <c r="I1397" s="59" t="str">
        <f>IF(B1397="","",IFERROR(INDEX(pr_unit,MATCH(B1397,pr_code,0))&amp;"",""))</f>
        <v/>
      </c>
      <c r="J1397" s="65" t="str">
        <f>IF(COUNTA(A1397:G1397)=0,"",IF(E1397&lt;&gt;"",E1397,IF(B1397="","",IFERROR(IF(INDEX(pr_price,MATCH(B1397,pr_code,0))="","",INDEX(pr_price,MATCH(B1397,pr_code,0))),""))))</f>
        <v/>
      </c>
      <c r="K1397" s="71" t="str">
        <f>IF(COUNTA(A1397:G1397)=0,"",IF(G1397&lt;&gt;"",G1397,IF(B1397="","",IFERROR(IF(INDEX(pr_rate,MATCH(B1397,pr_code,0))="","",INDEX(pr_rate,MATCH(B1397,pr_code,0))),""))))</f>
        <v/>
      </c>
      <c r="L1397" s="65" t="str">
        <f>IF(COUNTA(A1397:G1397)=0,"",IF(AND(ISNUMBER(D1397),ISNUMBER(J1397)),ROUND(D1397*J1397*(1-N(F1397)),2),0))</f>
        <v/>
      </c>
      <c r="M1397" s="62" t="str">
        <f>IF(A1397="","",IFERROR(INDEX(dv_cname,MATCH(A1397,dv_num,0))&amp;"",""))</f>
        <v/>
      </c>
      <c r="N1397" s="59" t="str">
        <f>IF(COUNTA(A1397:G1397)=0,"",IF(A1397="","N° devis manquant",IF(ISNA(MATCH(A1397,dv_num,0)),"Devis inconnu",IF(AND(B1397&lt;&gt;"",ISNA(MATCH(B1397,pr_code,0))),"Article inconnu",IF(H1397="","Désignation manquante",IF(OR(NOT(ISNUMBER(D1397)),N(D1397)&lt;=0),"Quantité invalide",IF(J1397="","Prix manquant",IF(OR(NOT(ISNUMBER(J1397)),N(J1397)&lt;0),"Prix invalide",IF(OR(AND(F1397&lt;&gt;"",NOT(ISNUMBER(F1397))),N(F1397)&lt;0,N(F1397)&gt;1),"Remise invalide",IF(K1397="","Taux de TVA manquant",IF(NOT(ISNUMBER(K1397)),"Taux de TVA invalide",IF(COUNTIF(p_rates,K1397)=0,"Taux de TVA hors liste (Paramètres)",IF(N(O1397)&gt;25,"Au-delà de 25 lignes : non imprimée","OK")))))))))))))</f>
        <v/>
      </c>
      <c r="O1397" s="59" t="str">
        <f>IF(A1397="","",COUNTIF($A$6:A1397,A1397))</f>
        <v/>
      </c>
      <c r="P1397" s="62" t="str">
        <f>IF(A1397="","",A1397&amp;"|"&amp;O1397)</f>
        <v/>
      </c>
    </row>
    <row r="1398">
      <c r="A1398" s="60" t="n"/>
      <c r="B1398" s="63" t="n"/>
      <c r="C1398" s="63" t="n"/>
      <c r="D1398" s="67" t="n"/>
      <c r="E1398" s="68" t="n"/>
      <c r="F1398" s="69" t="n"/>
      <c r="G1398" s="70" t="n"/>
      <c r="H1398" s="62" t="str">
        <f>IF(COUNTA(A1398:G1398)=0,"",IF(C1398&lt;&gt;"",C1398,IF(B1398="","",IFERROR(INDEX(pr_des,MATCH(B1398,pr_code,0))&amp;"",""))))</f>
        <v/>
      </c>
      <c r="I1398" s="59" t="str">
        <f>IF(B1398="","",IFERROR(INDEX(pr_unit,MATCH(B1398,pr_code,0))&amp;"",""))</f>
        <v/>
      </c>
      <c r="J1398" s="65" t="str">
        <f>IF(COUNTA(A1398:G1398)=0,"",IF(E1398&lt;&gt;"",E1398,IF(B1398="","",IFERROR(IF(INDEX(pr_price,MATCH(B1398,pr_code,0))="","",INDEX(pr_price,MATCH(B1398,pr_code,0))),""))))</f>
        <v/>
      </c>
      <c r="K1398" s="71" t="str">
        <f>IF(COUNTA(A1398:G1398)=0,"",IF(G1398&lt;&gt;"",G1398,IF(B1398="","",IFERROR(IF(INDEX(pr_rate,MATCH(B1398,pr_code,0))="","",INDEX(pr_rate,MATCH(B1398,pr_code,0))),""))))</f>
        <v/>
      </c>
      <c r="L1398" s="65" t="str">
        <f>IF(COUNTA(A1398:G1398)=0,"",IF(AND(ISNUMBER(D1398),ISNUMBER(J1398)),ROUND(D1398*J1398*(1-N(F1398)),2),0))</f>
        <v/>
      </c>
      <c r="M1398" s="62" t="str">
        <f>IF(A1398="","",IFERROR(INDEX(dv_cname,MATCH(A1398,dv_num,0))&amp;"",""))</f>
        <v/>
      </c>
      <c r="N1398" s="59" t="str">
        <f>IF(COUNTA(A1398:G1398)=0,"",IF(A1398="","N° devis manquant",IF(ISNA(MATCH(A1398,dv_num,0)),"Devis inconnu",IF(AND(B1398&lt;&gt;"",ISNA(MATCH(B1398,pr_code,0))),"Article inconnu",IF(H1398="","Désignation manquante",IF(OR(NOT(ISNUMBER(D1398)),N(D1398)&lt;=0),"Quantité invalide",IF(J1398="","Prix manquant",IF(OR(NOT(ISNUMBER(J1398)),N(J1398)&lt;0),"Prix invalide",IF(OR(AND(F1398&lt;&gt;"",NOT(ISNUMBER(F1398))),N(F1398)&lt;0,N(F1398)&gt;1),"Remise invalide",IF(K1398="","Taux de TVA manquant",IF(NOT(ISNUMBER(K1398)),"Taux de TVA invalide",IF(COUNTIF(p_rates,K1398)=0,"Taux de TVA hors liste (Paramètres)",IF(N(O1398)&gt;25,"Au-delà de 25 lignes : non imprimée","OK")))))))))))))</f>
        <v/>
      </c>
      <c r="O1398" s="59" t="str">
        <f>IF(A1398="","",COUNTIF($A$6:A1398,A1398))</f>
        <v/>
      </c>
      <c r="P1398" s="62" t="str">
        <f>IF(A1398="","",A1398&amp;"|"&amp;O1398)</f>
        <v/>
      </c>
    </row>
    <row r="1399">
      <c r="A1399" s="60" t="n"/>
      <c r="B1399" s="63" t="n"/>
      <c r="C1399" s="63" t="n"/>
      <c r="D1399" s="67" t="n"/>
      <c r="E1399" s="68" t="n"/>
      <c r="F1399" s="69" t="n"/>
      <c r="G1399" s="70" t="n"/>
      <c r="H1399" s="62" t="str">
        <f>IF(COUNTA(A1399:G1399)=0,"",IF(C1399&lt;&gt;"",C1399,IF(B1399="","",IFERROR(INDEX(pr_des,MATCH(B1399,pr_code,0))&amp;"",""))))</f>
        <v/>
      </c>
      <c r="I1399" s="59" t="str">
        <f>IF(B1399="","",IFERROR(INDEX(pr_unit,MATCH(B1399,pr_code,0))&amp;"",""))</f>
        <v/>
      </c>
      <c r="J1399" s="65" t="str">
        <f>IF(COUNTA(A1399:G1399)=0,"",IF(E1399&lt;&gt;"",E1399,IF(B1399="","",IFERROR(IF(INDEX(pr_price,MATCH(B1399,pr_code,0))="","",INDEX(pr_price,MATCH(B1399,pr_code,0))),""))))</f>
        <v/>
      </c>
      <c r="K1399" s="71" t="str">
        <f>IF(COUNTA(A1399:G1399)=0,"",IF(G1399&lt;&gt;"",G1399,IF(B1399="","",IFERROR(IF(INDEX(pr_rate,MATCH(B1399,pr_code,0))="","",INDEX(pr_rate,MATCH(B1399,pr_code,0))),""))))</f>
        <v/>
      </c>
      <c r="L1399" s="65" t="str">
        <f>IF(COUNTA(A1399:G1399)=0,"",IF(AND(ISNUMBER(D1399),ISNUMBER(J1399)),ROUND(D1399*J1399*(1-N(F1399)),2),0))</f>
        <v/>
      </c>
      <c r="M1399" s="62" t="str">
        <f>IF(A1399="","",IFERROR(INDEX(dv_cname,MATCH(A1399,dv_num,0))&amp;"",""))</f>
        <v/>
      </c>
      <c r="N1399" s="59" t="str">
        <f>IF(COUNTA(A1399:G1399)=0,"",IF(A1399="","N° devis manquant",IF(ISNA(MATCH(A1399,dv_num,0)),"Devis inconnu",IF(AND(B1399&lt;&gt;"",ISNA(MATCH(B1399,pr_code,0))),"Article inconnu",IF(H1399="","Désignation manquante",IF(OR(NOT(ISNUMBER(D1399)),N(D1399)&lt;=0),"Quantité invalide",IF(J1399="","Prix manquant",IF(OR(NOT(ISNUMBER(J1399)),N(J1399)&lt;0),"Prix invalide",IF(OR(AND(F1399&lt;&gt;"",NOT(ISNUMBER(F1399))),N(F1399)&lt;0,N(F1399)&gt;1),"Remise invalide",IF(K1399="","Taux de TVA manquant",IF(NOT(ISNUMBER(K1399)),"Taux de TVA invalide",IF(COUNTIF(p_rates,K1399)=0,"Taux de TVA hors liste (Paramètres)",IF(N(O1399)&gt;25,"Au-delà de 25 lignes : non imprimée","OK")))))))))))))</f>
        <v/>
      </c>
      <c r="O1399" s="59" t="str">
        <f>IF(A1399="","",COUNTIF($A$6:A1399,A1399))</f>
        <v/>
      </c>
      <c r="P1399" s="62" t="str">
        <f>IF(A1399="","",A1399&amp;"|"&amp;O1399)</f>
        <v/>
      </c>
    </row>
    <row r="1400">
      <c r="A1400" s="60" t="n"/>
      <c r="B1400" s="63" t="n"/>
      <c r="C1400" s="63" t="n"/>
      <c r="D1400" s="67" t="n"/>
      <c r="E1400" s="68" t="n"/>
      <c r="F1400" s="69" t="n"/>
      <c r="G1400" s="70" t="n"/>
      <c r="H1400" s="62" t="str">
        <f>IF(COUNTA(A1400:G1400)=0,"",IF(C1400&lt;&gt;"",C1400,IF(B1400="","",IFERROR(INDEX(pr_des,MATCH(B1400,pr_code,0))&amp;"",""))))</f>
        <v/>
      </c>
      <c r="I1400" s="59" t="str">
        <f>IF(B1400="","",IFERROR(INDEX(pr_unit,MATCH(B1400,pr_code,0))&amp;"",""))</f>
        <v/>
      </c>
      <c r="J1400" s="65" t="str">
        <f>IF(COUNTA(A1400:G1400)=0,"",IF(E1400&lt;&gt;"",E1400,IF(B1400="","",IFERROR(IF(INDEX(pr_price,MATCH(B1400,pr_code,0))="","",INDEX(pr_price,MATCH(B1400,pr_code,0))),""))))</f>
        <v/>
      </c>
      <c r="K1400" s="71" t="str">
        <f>IF(COUNTA(A1400:G1400)=0,"",IF(G1400&lt;&gt;"",G1400,IF(B1400="","",IFERROR(IF(INDEX(pr_rate,MATCH(B1400,pr_code,0))="","",INDEX(pr_rate,MATCH(B1400,pr_code,0))),""))))</f>
        <v/>
      </c>
      <c r="L1400" s="65" t="str">
        <f>IF(COUNTA(A1400:G1400)=0,"",IF(AND(ISNUMBER(D1400),ISNUMBER(J1400)),ROUND(D1400*J1400*(1-N(F1400)),2),0))</f>
        <v/>
      </c>
      <c r="M1400" s="62" t="str">
        <f>IF(A1400="","",IFERROR(INDEX(dv_cname,MATCH(A1400,dv_num,0))&amp;"",""))</f>
        <v/>
      </c>
      <c r="N1400" s="59" t="str">
        <f>IF(COUNTA(A1400:G1400)=0,"",IF(A1400="","N° devis manquant",IF(ISNA(MATCH(A1400,dv_num,0)),"Devis inconnu",IF(AND(B1400&lt;&gt;"",ISNA(MATCH(B1400,pr_code,0))),"Article inconnu",IF(H1400="","Désignation manquante",IF(OR(NOT(ISNUMBER(D1400)),N(D1400)&lt;=0),"Quantité invalide",IF(J1400="","Prix manquant",IF(OR(NOT(ISNUMBER(J1400)),N(J1400)&lt;0),"Prix invalide",IF(OR(AND(F1400&lt;&gt;"",NOT(ISNUMBER(F1400))),N(F1400)&lt;0,N(F1400)&gt;1),"Remise invalide",IF(K1400="","Taux de TVA manquant",IF(NOT(ISNUMBER(K1400)),"Taux de TVA invalide",IF(COUNTIF(p_rates,K1400)=0,"Taux de TVA hors liste (Paramètres)",IF(N(O1400)&gt;25,"Au-delà de 25 lignes : non imprimée","OK")))))))))))))</f>
        <v/>
      </c>
      <c r="O1400" s="59" t="str">
        <f>IF(A1400="","",COUNTIF($A$6:A1400,A1400))</f>
        <v/>
      </c>
      <c r="P1400" s="62" t="str">
        <f>IF(A1400="","",A1400&amp;"|"&amp;O1400)</f>
        <v/>
      </c>
    </row>
    <row r="1401">
      <c r="A1401" s="60" t="n"/>
      <c r="B1401" s="63" t="n"/>
      <c r="C1401" s="63" t="n"/>
      <c r="D1401" s="67" t="n"/>
      <c r="E1401" s="68" t="n"/>
      <c r="F1401" s="69" t="n"/>
      <c r="G1401" s="70" t="n"/>
      <c r="H1401" s="62" t="str">
        <f>IF(COUNTA(A1401:G1401)=0,"",IF(C1401&lt;&gt;"",C1401,IF(B1401="","",IFERROR(INDEX(pr_des,MATCH(B1401,pr_code,0))&amp;"",""))))</f>
        <v/>
      </c>
      <c r="I1401" s="59" t="str">
        <f>IF(B1401="","",IFERROR(INDEX(pr_unit,MATCH(B1401,pr_code,0))&amp;"",""))</f>
        <v/>
      </c>
      <c r="J1401" s="65" t="str">
        <f>IF(COUNTA(A1401:G1401)=0,"",IF(E1401&lt;&gt;"",E1401,IF(B1401="","",IFERROR(IF(INDEX(pr_price,MATCH(B1401,pr_code,0))="","",INDEX(pr_price,MATCH(B1401,pr_code,0))),""))))</f>
        <v/>
      </c>
      <c r="K1401" s="71" t="str">
        <f>IF(COUNTA(A1401:G1401)=0,"",IF(G1401&lt;&gt;"",G1401,IF(B1401="","",IFERROR(IF(INDEX(pr_rate,MATCH(B1401,pr_code,0))="","",INDEX(pr_rate,MATCH(B1401,pr_code,0))),""))))</f>
        <v/>
      </c>
      <c r="L1401" s="65" t="str">
        <f>IF(COUNTA(A1401:G1401)=0,"",IF(AND(ISNUMBER(D1401),ISNUMBER(J1401)),ROUND(D1401*J1401*(1-N(F1401)),2),0))</f>
        <v/>
      </c>
      <c r="M1401" s="62" t="str">
        <f>IF(A1401="","",IFERROR(INDEX(dv_cname,MATCH(A1401,dv_num,0))&amp;"",""))</f>
        <v/>
      </c>
      <c r="N1401" s="59" t="str">
        <f>IF(COUNTA(A1401:G1401)=0,"",IF(A1401="","N° devis manquant",IF(ISNA(MATCH(A1401,dv_num,0)),"Devis inconnu",IF(AND(B1401&lt;&gt;"",ISNA(MATCH(B1401,pr_code,0))),"Article inconnu",IF(H1401="","Désignation manquante",IF(OR(NOT(ISNUMBER(D1401)),N(D1401)&lt;=0),"Quantité invalide",IF(J1401="","Prix manquant",IF(OR(NOT(ISNUMBER(J1401)),N(J1401)&lt;0),"Prix invalide",IF(OR(AND(F1401&lt;&gt;"",NOT(ISNUMBER(F1401))),N(F1401)&lt;0,N(F1401)&gt;1),"Remise invalide",IF(K1401="","Taux de TVA manquant",IF(NOT(ISNUMBER(K1401)),"Taux de TVA invalide",IF(COUNTIF(p_rates,K1401)=0,"Taux de TVA hors liste (Paramètres)",IF(N(O1401)&gt;25,"Au-delà de 25 lignes : non imprimée","OK")))))))))))))</f>
        <v/>
      </c>
      <c r="O1401" s="59" t="str">
        <f>IF(A1401="","",COUNTIF($A$6:A1401,A1401))</f>
        <v/>
      </c>
      <c r="P1401" s="62" t="str">
        <f>IF(A1401="","",A1401&amp;"|"&amp;O1401)</f>
        <v/>
      </c>
    </row>
    <row r="1402">
      <c r="A1402" s="60" t="n"/>
      <c r="B1402" s="63" t="n"/>
      <c r="C1402" s="63" t="n"/>
      <c r="D1402" s="67" t="n"/>
      <c r="E1402" s="68" t="n"/>
      <c r="F1402" s="69" t="n"/>
      <c r="G1402" s="70" t="n"/>
      <c r="H1402" s="62" t="str">
        <f>IF(COUNTA(A1402:G1402)=0,"",IF(C1402&lt;&gt;"",C1402,IF(B1402="","",IFERROR(INDEX(pr_des,MATCH(B1402,pr_code,0))&amp;"",""))))</f>
        <v/>
      </c>
      <c r="I1402" s="59" t="str">
        <f>IF(B1402="","",IFERROR(INDEX(pr_unit,MATCH(B1402,pr_code,0))&amp;"",""))</f>
        <v/>
      </c>
      <c r="J1402" s="65" t="str">
        <f>IF(COUNTA(A1402:G1402)=0,"",IF(E1402&lt;&gt;"",E1402,IF(B1402="","",IFERROR(IF(INDEX(pr_price,MATCH(B1402,pr_code,0))="","",INDEX(pr_price,MATCH(B1402,pr_code,0))),""))))</f>
        <v/>
      </c>
      <c r="K1402" s="71" t="str">
        <f>IF(COUNTA(A1402:G1402)=0,"",IF(G1402&lt;&gt;"",G1402,IF(B1402="","",IFERROR(IF(INDEX(pr_rate,MATCH(B1402,pr_code,0))="","",INDEX(pr_rate,MATCH(B1402,pr_code,0))),""))))</f>
        <v/>
      </c>
      <c r="L1402" s="65" t="str">
        <f>IF(COUNTA(A1402:G1402)=0,"",IF(AND(ISNUMBER(D1402),ISNUMBER(J1402)),ROUND(D1402*J1402*(1-N(F1402)),2),0))</f>
        <v/>
      </c>
      <c r="M1402" s="62" t="str">
        <f>IF(A1402="","",IFERROR(INDEX(dv_cname,MATCH(A1402,dv_num,0))&amp;"",""))</f>
        <v/>
      </c>
      <c r="N1402" s="59" t="str">
        <f>IF(COUNTA(A1402:G1402)=0,"",IF(A1402="","N° devis manquant",IF(ISNA(MATCH(A1402,dv_num,0)),"Devis inconnu",IF(AND(B1402&lt;&gt;"",ISNA(MATCH(B1402,pr_code,0))),"Article inconnu",IF(H1402="","Désignation manquante",IF(OR(NOT(ISNUMBER(D1402)),N(D1402)&lt;=0),"Quantité invalide",IF(J1402="","Prix manquant",IF(OR(NOT(ISNUMBER(J1402)),N(J1402)&lt;0),"Prix invalide",IF(OR(AND(F1402&lt;&gt;"",NOT(ISNUMBER(F1402))),N(F1402)&lt;0,N(F1402)&gt;1),"Remise invalide",IF(K1402="","Taux de TVA manquant",IF(NOT(ISNUMBER(K1402)),"Taux de TVA invalide",IF(COUNTIF(p_rates,K1402)=0,"Taux de TVA hors liste (Paramètres)",IF(N(O1402)&gt;25,"Au-delà de 25 lignes : non imprimée","OK")))))))))))))</f>
        <v/>
      </c>
      <c r="O1402" s="59" t="str">
        <f>IF(A1402="","",COUNTIF($A$6:A1402,A1402))</f>
        <v/>
      </c>
      <c r="P1402" s="62" t="str">
        <f>IF(A1402="","",A1402&amp;"|"&amp;O1402)</f>
        <v/>
      </c>
    </row>
    <row r="1403">
      <c r="A1403" s="60" t="n"/>
      <c r="B1403" s="63" t="n"/>
      <c r="C1403" s="63" t="n"/>
      <c r="D1403" s="67" t="n"/>
      <c r="E1403" s="68" t="n"/>
      <c r="F1403" s="69" t="n"/>
      <c r="G1403" s="70" t="n"/>
      <c r="H1403" s="62" t="str">
        <f>IF(COUNTA(A1403:G1403)=0,"",IF(C1403&lt;&gt;"",C1403,IF(B1403="","",IFERROR(INDEX(pr_des,MATCH(B1403,pr_code,0))&amp;"",""))))</f>
        <v/>
      </c>
      <c r="I1403" s="59" t="str">
        <f>IF(B1403="","",IFERROR(INDEX(pr_unit,MATCH(B1403,pr_code,0))&amp;"",""))</f>
        <v/>
      </c>
      <c r="J1403" s="65" t="str">
        <f>IF(COUNTA(A1403:G1403)=0,"",IF(E1403&lt;&gt;"",E1403,IF(B1403="","",IFERROR(IF(INDEX(pr_price,MATCH(B1403,pr_code,0))="","",INDEX(pr_price,MATCH(B1403,pr_code,0))),""))))</f>
        <v/>
      </c>
      <c r="K1403" s="71" t="str">
        <f>IF(COUNTA(A1403:G1403)=0,"",IF(G1403&lt;&gt;"",G1403,IF(B1403="","",IFERROR(IF(INDEX(pr_rate,MATCH(B1403,pr_code,0))="","",INDEX(pr_rate,MATCH(B1403,pr_code,0))),""))))</f>
        <v/>
      </c>
      <c r="L1403" s="65" t="str">
        <f>IF(COUNTA(A1403:G1403)=0,"",IF(AND(ISNUMBER(D1403),ISNUMBER(J1403)),ROUND(D1403*J1403*(1-N(F1403)),2),0))</f>
        <v/>
      </c>
      <c r="M1403" s="62" t="str">
        <f>IF(A1403="","",IFERROR(INDEX(dv_cname,MATCH(A1403,dv_num,0))&amp;"",""))</f>
        <v/>
      </c>
      <c r="N1403" s="59" t="str">
        <f>IF(COUNTA(A1403:G1403)=0,"",IF(A1403="","N° devis manquant",IF(ISNA(MATCH(A1403,dv_num,0)),"Devis inconnu",IF(AND(B1403&lt;&gt;"",ISNA(MATCH(B1403,pr_code,0))),"Article inconnu",IF(H1403="","Désignation manquante",IF(OR(NOT(ISNUMBER(D1403)),N(D1403)&lt;=0),"Quantité invalide",IF(J1403="","Prix manquant",IF(OR(NOT(ISNUMBER(J1403)),N(J1403)&lt;0),"Prix invalide",IF(OR(AND(F1403&lt;&gt;"",NOT(ISNUMBER(F1403))),N(F1403)&lt;0,N(F1403)&gt;1),"Remise invalide",IF(K1403="","Taux de TVA manquant",IF(NOT(ISNUMBER(K1403)),"Taux de TVA invalide",IF(COUNTIF(p_rates,K1403)=0,"Taux de TVA hors liste (Paramètres)",IF(N(O1403)&gt;25,"Au-delà de 25 lignes : non imprimée","OK")))))))))))))</f>
        <v/>
      </c>
      <c r="O1403" s="59" t="str">
        <f>IF(A1403="","",COUNTIF($A$6:A1403,A1403))</f>
        <v/>
      </c>
      <c r="P1403" s="62" t="str">
        <f>IF(A1403="","",A1403&amp;"|"&amp;O1403)</f>
        <v/>
      </c>
    </row>
    <row r="1404">
      <c r="A1404" s="60" t="n"/>
      <c r="B1404" s="63" t="n"/>
      <c r="C1404" s="63" t="n"/>
      <c r="D1404" s="67" t="n"/>
      <c r="E1404" s="68" t="n"/>
      <c r="F1404" s="69" t="n"/>
      <c r="G1404" s="70" t="n"/>
      <c r="H1404" s="62" t="str">
        <f>IF(COUNTA(A1404:G1404)=0,"",IF(C1404&lt;&gt;"",C1404,IF(B1404="","",IFERROR(INDEX(pr_des,MATCH(B1404,pr_code,0))&amp;"",""))))</f>
        <v/>
      </c>
      <c r="I1404" s="59" t="str">
        <f>IF(B1404="","",IFERROR(INDEX(pr_unit,MATCH(B1404,pr_code,0))&amp;"",""))</f>
        <v/>
      </c>
      <c r="J1404" s="65" t="str">
        <f>IF(COUNTA(A1404:G1404)=0,"",IF(E1404&lt;&gt;"",E1404,IF(B1404="","",IFERROR(IF(INDEX(pr_price,MATCH(B1404,pr_code,0))="","",INDEX(pr_price,MATCH(B1404,pr_code,0))),""))))</f>
        <v/>
      </c>
      <c r="K1404" s="71" t="str">
        <f>IF(COUNTA(A1404:G1404)=0,"",IF(G1404&lt;&gt;"",G1404,IF(B1404="","",IFERROR(IF(INDEX(pr_rate,MATCH(B1404,pr_code,0))="","",INDEX(pr_rate,MATCH(B1404,pr_code,0))),""))))</f>
        <v/>
      </c>
      <c r="L1404" s="65" t="str">
        <f>IF(COUNTA(A1404:G1404)=0,"",IF(AND(ISNUMBER(D1404),ISNUMBER(J1404)),ROUND(D1404*J1404*(1-N(F1404)),2),0))</f>
        <v/>
      </c>
      <c r="M1404" s="62" t="str">
        <f>IF(A1404="","",IFERROR(INDEX(dv_cname,MATCH(A1404,dv_num,0))&amp;"",""))</f>
        <v/>
      </c>
      <c r="N1404" s="59" t="str">
        <f>IF(COUNTA(A1404:G1404)=0,"",IF(A1404="","N° devis manquant",IF(ISNA(MATCH(A1404,dv_num,0)),"Devis inconnu",IF(AND(B1404&lt;&gt;"",ISNA(MATCH(B1404,pr_code,0))),"Article inconnu",IF(H1404="","Désignation manquante",IF(OR(NOT(ISNUMBER(D1404)),N(D1404)&lt;=0),"Quantité invalide",IF(J1404="","Prix manquant",IF(OR(NOT(ISNUMBER(J1404)),N(J1404)&lt;0),"Prix invalide",IF(OR(AND(F1404&lt;&gt;"",NOT(ISNUMBER(F1404))),N(F1404)&lt;0,N(F1404)&gt;1),"Remise invalide",IF(K1404="","Taux de TVA manquant",IF(NOT(ISNUMBER(K1404)),"Taux de TVA invalide",IF(COUNTIF(p_rates,K1404)=0,"Taux de TVA hors liste (Paramètres)",IF(N(O1404)&gt;25,"Au-delà de 25 lignes : non imprimée","OK")))))))))))))</f>
        <v/>
      </c>
      <c r="O1404" s="59" t="str">
        <f>IF(A1404="","",COUNTIF($A$6:A1404,A1404))</f>
        <v/>
      </c>
      <c r="P1404" s="62" t="str">
        <f>IF(A1404="","",A1404&amp;"|"&amp;O1404)</f>
        <v/>
      </c>
    </row>
    <row r="1405">
      <c r="A1405" s="60" t="n"/>
      <c r="B1405" s="63" t="n"/>
      <c r="C1405" s="63" t="n"/>
      <c r="D1405" s="67" t="n"/>
      <c r="E1405" s="68" t="n"/>
      <c r="F1405" s="69" t="n"/>
      <c r="G1405" s="70" t="n"/>
      <c r="H1405" s="62" t="str">
        <f>IF(COUNTA(A1405:G1405)=0,"",IF(C1405&lt;&gt;"",C1405,IF(B1405="","",IFERROR(INDEX(pr_des,MATCH(B1405,pr_code,0))&amp;"",""))))</f>
        <v/>
      </c>
      <c r="I1405" s="59" t="str">
        <f>IF(B1405="","",IFERROR(INDEX(pr_unit,MATCH(B1405,pr_code,0))&amp;"",""))</f>
        <v/>
      </c>
      <c r="J1405" s="65" t="str">
        <f>IF(COUNTA(A1405:G1405)=0,"",IF(E1405&lt;&gt;"",E1405,IF(B1405="","",IFERROR(IF(INDEX(pr_price,MATCH(B1405,pr_code,0))="","",INDEX(pr_price,MATCH(B1405,pr_code,0))),""))))</f>
        <v/>
      </c>
      <c r="K1405" s="71" t="str">
        <f>IF(COUNTA(A1405:G1405)=0,"",IF(G1405&lt;&gt;"",G1405,IF(B1405="","",IFERROR(IF(INDEX(pr_rate,MATCH(B1405,pr_code,0))="","",INDEX(pr_rate,MATCH(B1405,pr_code,0))),""))))</f>
        <v/>
      </c>
      <c r="L1405" s="65" t="str">
        <f>IF(COUNTA(A1405:G1405)=0,"",IF(AND(ISNUMBER(D1405),ISNUMBER(J1405)),ROUND(D1405*J1405*(1-N(F1405)),2),0))</f>
        <v/>
      </c>
      <c r="M1405" s="62" t="str">
        <f>IF(A1405="","",IFERROR(INDEX(dv_cname,MATCH(A1405,dv_num,0))&amp;"",""))</f>
        <v/>
      </c>
      <c r="N1405" s="59" t="str">
        <f>IF(COUNTA(A1405:G1405)=0,"",IF(A1405="","N° devis manquant",IF(ISNA(MATCH(A1405,dv_num,0)),"Devis inconnu",IF(AND(B1405&lt;&gt;"",ISNA(MATCH(B1405,pr_code,0))),"Article inconnu",IF(H1405="","Désignation manquante",IF(OR(NOT(ISNUMBER(D1405)),N(D1405)&lt;=0),"Quantité invalide",IF(J1405="","Prix manquant",IF(OR(NOT(ISNUMBER(J1405)),N(J1405)&lt;0),"Prix invalide",IF(OR(AND(F1405&lt;&gt;"",NOT(ISNUMBER(F1405))),N(F1405)&lt;0,N(F1405)&gt;1),"Remise invalide",IF(K1405="","Taux de TVA manquant",IF(NOT(ISNUMBER(K1405)),"Taux de TVA invalide",IF(COUNTIF(p_rates,K1405)=0,"Taux de TVA hors liste (Paramètres)",IF(N(O1405)&gt;25,"Au-delà de 25 lignes : non imprimée","OK")))))))))))))</f>
        <v/>
      </c>
      <c r="O1405" s="59" t="str">
        <f>IF(A1405="","",COUNTIF($A$6:A1405,A1405))</f>
        <v/>
      </c>
      <c r="P1405" s="62" t="str">
        <f>IF(A1405="","",A1405&amp;"|"&amp;O1405)</f>
        <v/>
      </c>
    </row>
    <row r="1406">
      <c r="A1406" s="60" t="n"/>
      <c r="B1406" s="63" t="n"/>
      <c r="C1406" s="63" t="n"/>
      <c r="D1406" s="67" t="n"/>
      <c r="E1406" s="68" t="n"/>
      <c r="F1406" s="69" t="n"/>
      <c r="G1406" s="70" t="n"/>
      <c r="H1406" s="62" t="str">
        <f>IF(COUNTA(A1406:G1406)=0,"",IF(C1406&lt;&gt;"",C1406,IF(B1406="","",IFERROR(INDEX(pr_des,MATCH(B1406,pr_code,0))&amp;"",""))))</f>
        <v/>
      </c>
      <c r="I1406" s="59" t="str">
        <f>IF(B1406="","",IFERROR(INDEX(pr_unit,MATCH(B1406,pr_code,0))&amp;"",""))</f>
        <v/>
      </c>
      <c r="J1406" s="65" t="str">
        <f>IF(COUNTA(A1406:G1406)=0,"",IF(E1406&lt;&gt;"",E1406,IF(B1406="","",IFERROR(IF(INDEX(pr_price,MATCH(B1406,pr_code,0))="","",INDEX(pr_price,MATCH(B1406,pr_code,0))),""))))</f>
        <v/>
      </c>
      <c r="K1406" s="71" t="str">
        <f>IF(COUNTA(A1406:G1406)=0,"",IF(G1406&lt;&gt;"",G1406,IF(B1406="","",IFERROR(IF(INDEX(pr_rate,MATCH(B1406,pr_code,0))="","",INDEX(pr_rate,MATCH(B1406,pr_code,0))),""))))</f>
        <v/>
      </c>
      <c r="L1406" s="65" t="str">
        <f>IF(COUNTA(A1406:G1406)=0,"",IF(AND(ISNUMBER(D1406),ISNUMBER(J1406)),ROUND(D1406*J1406*(1-N(F1406)),2),0))</f>
        <v/>
      </c>
      <c r="M1406" s="62" t="str">
        <f>IF(A1406="","",IFERROR(INDEX(dv_cname,MATCH(A1406,dv_num,0))&amp;"",""))</f>
        <v/>
      </c>
      <c r="N1406" s="59" t="str">
        <f>IF(COUNTA(A1406:G1406)=0,"",IF(A1406="","N° devis manquant",IF(ISNA(MATCH(A1406,dv_num,0)),"Devis inconnu",IF(AND(B1406&lt;&gt;"",ISNA(MATCH(B1406,pr_code,0))),"Article inconnu",IF(H1406="","Désignation manquante",IF(OR(NOT(ISNUMBER(D1406)),N(D1406)&lt;=0),"Quantité invalide",IF(J1406="","Prix manquant",IF(OR(NOT(ISNUMBER(J1406)),N(J1406)&lt;0),"Prix invalide",IF(OR(AND(F1406&lt;&gt;"",NOT(ISNUMBER(F1406))),N(F1406)&lt;0,N(F1406)&gt;1),"Remise invalide",IF(K1406="","Taux de TVA manquant",IF(NOT(ISNUMBER(K1406)),"Taux de TVA invalide",IF(COUNTIF(p_rates,K1406)=0,"Taux de TVA hors liste (Paramètres)",IF(N(O1406)&gt;25,"Au-delà de 25 lignes : non imprimée","OK")))))))))))))</f>
        <v/>
      </c>
      <c r="O1406" s="59" t="str">
        <f>IF(A1406="","",COUNTIF($A$6:A1406,A1406))</f>
        <v/>
      </c>
      <c r="P1406" s="62" t="str">
        <f>IF(A1406="","",A1406&amp;"|"&amp;O1406)</f>
        <v/>
      </c>
    </row>
    <row r="1407">
      <c r="A1407" s="60" t="n"/>
      <c r="B1407" s="63" t="n"/>
      <c r="C1407" s="63" t="n"/>
      <c r="D1407" s="67" t="n"/>
      <c r="E1407" s="68" t="n"/>
      <c r="F1407" s="69" t="n"/>
      <c r="G1407" s="70" t="n"/>
      <c r="H1407" s="62" t="str">
        <f>IF(COUNTA(A1407:G1407)=0,"",IF(C1407&lt;&gt;"",C1407,IF(B1407="","",IFERROR(INDEX(pr_des,MATCH(B1407,pr_code,0))&amp;"",""))))</f>
        <v/>
      </c>
      <c r="I1407" s="59" t="str">
        <f>IF(B1407="","",IFERROR(INDEX(pr_unit,MATCH(B1407,pr_code,0))&amp;"",""))</f>
        <v/>
      </c>
      <c r="J1407" s="65" t="str">
        <f>IF(COUNTA(A1407:G1407)=0,"",IF(E1407&lt;&gt;"",E1407,IF(B1407="","",IFERROR(IF(INDEX(pr_price,MATCH(B1407,pr_code,0))="","",INDEX(pr_price,MATCH(B1407,pr_code,0))),""))))</f>
        <v/>
      </c>
      <c r="K1407" s="71" t="str">
        <f>IF(COUNTA(A1407:G1407)=0,"",IF(G1407&lt;&gt;"",G1407,IF(B1407="","",IFERROR(IF(INDEX(pr_rate,MATCH(B1407,pr_code,0))="","",INDEX(pr_rate,MATCH(B1407,pr_code,0))),""))))</f>
        <v/>
      </c>
      <c r="L1407" s="65" t="str">
        <f>IF(COUNTA(A1407:G1407)=0,"",IF(AND(ISNUMBER(D1407),ISNUMBER(J1407)),ROUND(D1407*J1407*(1-N(F1407)),2),0))</f>
        <v/>
      </c>
      <c r="M1407" s="62" t="str">
        <f>IF(A1407="","",IFERROR(INDEX(dv_cname,MATCH(A1407,dv_num,0))&amp;"",""))</f>
        <v/>
      </c>
      <c r="N1407" s="59" t="str">
        <f>IF(COUNTA(A1407:G1407)=0,"",IF(A1407="","N° devis manquant",IF(ISNA(MATCH(A1407,dv_num,0)),"Devis inconnu",IF(AND(B1407&lt;&gt;"",ISNA(MATCH(B1407,pr_code,0))),"Article inconnu",IF(H1407="","Désignation manquante",IF(OR(NOT(ISNUMBER(D1407)),N(D1407)&lt;=0),"Quantité invalide",IF(J1407="","Prix manquant",IF(OR(NOT(ISNUMBER(J1407)),N(J1407)&lt;0),"Prix invalide",IF(OR(AND(F1407&lt;&gt;"",NOT(ISNUMBER(F1407))),N(F1407)&lt;0,N(F1407)&gt;1),"Remise invalide",IF(K1407="","Taux de TVA manquant",IF(NOT(ISNUMBER(K1407)),"Taux de TVA invalide",IF(COUNTIF(p_rates,K1407)=0,"Taux de TVA hors liste (Paramètres)",IF(N(O1407)&gt;25,"Au-delà de 25 lignes : non imprimée","OK")))))))))))))</f>
        <v/>
      </c>
      <c r="O1407" s="59" t="str">
        <f>IF(A1407="","",COUNTIF($A$6:A1407,A1407))</f>
        <v/>
      </c>
      <c r="P1407" s="62" t="str">
        <f>IF(A1407="","",A1407&amp;"|"&amp;O1407)</f>
        <v/>
      </c>
    </row>
    <row r="1408">
      <c r="A1408" s="60" t="n"/>
      <c r="B1408" s="63" t="n"/>
      <c r="C1408" s="63" t="n"/>
      <c r="D1408" s="67" t="n"/>
      <c r="E1408" s="68" t="n"/>
      <c r="F1408" s="69" t="n"/>
      <c r="G1408" s="70" t="n"/>
      <c r="H1408" s="62" t="str">
        <f>IF(COUNTA(A1408:G1408)=0,"",IF(C1408&lt;&gt;"",C1408,IF(B1408="","",IFERROR(INDEX(pr_des,MATCH(B1408,pr_code,0))&amp;"",""))))</f>
        <v/>
      </c>
      <c r="I1408" s="59" t="str">
        <f>IF(B1408="","",IFERROR(INDEX(pr_unit,MATCH(B1408,pr_code,0))&amp;"",""))</f>
        <v/>
      </c>
      <c r="J1408" s="65" t="str">
        <f>IF(COUNTA(A1408:G1408)=0,"",IF(E1408&lt;&gt;"",E1408,IF(B1408="","",IFERROR(IF(INDEX(pr_price,MATCH(B1408,pr_code,0))="","",INDEX(pr_price,MATCH(B1408,pr_code,0))),""))))</f>
        <v/>
      </c>
      <c r="K1408" s="71" t="str">
        <f>IF(COUNTA(A1408:G1408)=0,"",IF(G1408&lt;&gt;"",G1408,IF(B1408="","",IFERROR(IF(INDEX(pr_rate,MATCH(B1408,pr_code,0))="","",INDEX(pr_rate,MATCH(B1408,pr_code,0))),""))))</f>
        <v/>
      </c>
      <c r="L1408" s="65" t="str">
        <f>IF(COUNTA(A1408:G1408)=0,"",IF(AND(ISNUMBER(D1408),ISNUMBER(J1408)),ROUND(D1408*J1408*(1-N(F1408)),2),0))</f>
        <v/>
      </c>
      <c r="M1408" s="62" t="str">
        <f>IF(A1408="","",IFERROR(INDEX(dv_cname,MATCH(A1408,dv_num,0))&amp;"",""))</f>
        <v/>
      </c>
      <c r="N1408" s="59" t="str">
        <f>IF(COUNTA(A1408:G1408)=0,"",IF(A1408="","N° devis manquant",IF(ISNA(MATCH(A1408,dv_num,0)),"Devis inconnu",IF(AND(B1408&lt;&gt;"",ISNA(MATCH(B1408,pr_code,0))),"Article inconnu",IF(H1408="","Désignation manquante",IF(OR(NOT(ISNUMBER(D1408)),N(D1408)&lt;=0),"Quantité invalide",IF(J1408="","Prix manquant",IF(OR(NOT(ISNUMBER(J1408)),N(J1408)&lt;0),"Prix invalide",IF(OR(AND(F1408&lt;&gt;"",NOT(ISNUMBER(F1408))),N(F1408)&lt;0,N(F1408)&gt;1),"Remise invalide",IF(K1408="","Taux de TVA manquant",IF(NOT(ISNUMBER(K1408)),"Taux de TVA invalide",IF(COUNTIF(p_rates,K1408)=0,"Taux de TVA hors liste (Paramètres)",IF(N(O1408)&gt;25,"Au-delà de 25 lignes : non imprimée","OK")))))))))))))</f>
        <v/>
      </c>
      <c r="O1408" s="59" t="str">
        <f>IF(A1408="","",COUNTIF($A$6:A1408,A1408))</f>
        <v/>
      </c>
      <c r="P1408" s="62" t="str">
        <f>IF(A1408="","",A1408&amp;"|"&amp;O1408)</f>
        <v/>
      </c>
    </row>
    <row r="1409">
      <c r="A1409" s="60" t="n"/>
      <c r="B1409" s="63" t="n"/>
      <c r="C1409" s="63" t="n"/>
      <c r="D1409" s="67" t="n"/>
      <c r="E1409" s="68" t="n"/>
      <c r="F1409" s="69" t="n"/>
      <c r="G1409" s="70" t="n"/>
      <c r="H1409" s="62" t="str">
        <f>IF(COUNTA(A1409:G1409)=0,"",IF(C1409&lt;&gt;"",C1409,IF(B1409="","",IFERROR(INDEX(pr_des,MATCH(B1409,pr_code,0))&amp;"",""))))</f>
        <v/>
      </c>
      <c r="I1409" s="59" t="str">
        <f>IF(B1409="","",IFERROR(INDEX(pr_unit,MATCH(B1409,pr_code,0))&amp;"",""))</f>
        <v/>
      </c>
      <c r="J1409" s="65" t="str">
        <f>IF(COUNTA(A1409:G1409)=0,"",IF(E1409&lt;&gt;"",E1409,IF(B1409="","",IFERROR(IF(INDEX(pr_price,MATCH(B1409,pr_code,0))="","",INDEX(pr_price,MATCH(B1409,pr_code,0))),""))))</f>
        <v/>
      </c>
      <c r="K1409" s="71" t="str">
        <f>IF(COUNTA(A1409:G1409)=0,"",IF(G1409&lt;&gt;"",G1409,IF(B1409="","",IFERROR(IF(INDEX(pr_rate,MATCH(B1409,pr_code,0))="","",INDEX(pr_rate,MATCH(B1409,pr_code,0))),""))))</f>
        <v/>
      </c>
      <c r="L1409" s="65" t="str">
        <f>IF(COUNTA(A1409:G1409)=0,"",IF(AND(ISNUMBER(D1409),ISNUMBER(J1409)),ROUND(D1409*J1409*(1-N(F1409)),2),0))</f>
        <v/>
      </c>
      <c r="M1409" s="62" t="str">
        <f>IF(A1409="","",IFERROR(INDEX(dv_cname,MATCH(A1409,dv_num,0))&amp;"",""))</f>
        <v/>
      </c>
      <c r="N1409" s="59" t="str">
        <f>IF(COUNTA(A1409:G1409)=0,"",IF(A1409="","N° devis manquant",IF(ISNA(MATCH(A1409,dv_num,0)),"Devis inconnu",IF(AND(B1409&lt;&gt;"",ISNA(MATCH(B1409,pr_code,0))),"Article inconnu",IF(H1409="","Désignation manquante",IF(OR(NOT(ISNUMBER(D1409)),N(D1409)&lt;=0),"Quantité invalide",IF(J1409="","Prix manquant",IF(OR(NOT(ISNUMBER(J1409)),N(J1409)&lt;0),"Prix invalide",IF(OR(AND(F1409&lt;&gt;"",NOT(ISNUMBER(F1409))),N(F1409)&lt;0,N(F1409)&gt;1),"Remise invalide",IF(K1409="","Taux de TVA manquant",IF(NOT(ISNUMBER(K1409)),"Taux de TVA invalide",IF(COUNTIF(p_rates,K1409)=0,"Taux de TVA hors liste (Paramètres)",IF(N(O1409)&gt;25,"Au-delà de 25 lignes : non imprimée","OK")))))))))))))</f>
        <v/>
      </c>
      <c r="O1409" s="59" t="str">
        <f>IF(A1409="","",COUNTIF($A$6:A1409,A1409))</f>
        <v/>
      </c>
      <c r="P1409" s="62" t="str">
        <f>IF(A1409="","",A1409&amp;"|"&amp;O1409)</f>
        <v/>
      </c>
    </row>
    <row r="1410">
      <c r="A1410" s="60" t="n"/>
      <c r="B1410" s="63" t="n"/>
      <c r="C1410" s="63" t="n"/>
      <c r="D1410" s="67" t="n"/>
      <c r="E1410" s="68" t="n"/>
      <c r="F1410" s="69" t="n"/>
      <c r="G1410" s="70" t="n"/>
      <c r="H1410" s="62" t="str">
        <f>IF(COUNTA(A1410:G1410)=0,"",IF(C1410&lt;&gt;"",C1410,IF(B1410="","",IFERROR(INDEX(pr_des,MATCH(B1410,pr_code,0))&amp;"",""))))</f>
        <v/>
      </c>
      <c r="I1410" s="59" t="str">
        <f>IF(B1410="","",IFERROR(INDEX(pr_unit,MATCH(B1410,pr_code,0))&amp;"",""))</f>
        <v/>
      </c>
      <c r="J1410" s="65" t="str">
        <f>IF(COUNTA(A1410:G1410)=0,"",IF(E1410&lt;&gt;"",E1410,IF(B1410="","",IFERROR(IF(INDEX(pr_price,MATCH(B1410,pr_code,0))="","",INDEX(pr_price,MATCH(B1410,pr_code,0))),""))))</f>
        <v/>
      </c>
      <c r="K1410" s="71" t="str">
        <f>IF(COUNTA(A1410:G1410)=0,"",IF(G1410&lt;&gt;"",G1410,IF(B1410="","",IFERROR(IF(INDEX(pr_rate,MATCH(B1410,pr_code,0))="","",INDEX(pr_rate,MATCH(B1410,pr_code,0))),""))))</f>
        <v/>
      </c>
      <c r="L1410" s="65" t="str">
        <f>IF(COUNTA(A1410:G1410)=0,"",IF(AND(ISNUMBER(D1410),ISNUMBER(J1410)),ROUND(D1410*J1410*(1-N(F1410)),2),0))</f>
        <v/>
      </c>
      <c r="M1410" s="62" t="str">
        <f>IF(A1410="","",IFERROR(INDEX(dv_cname,MATCH(A1410,dv_num,0))&amp;"",""))</f>
        <v/>
      </c>
      <c r="N1410" s="59" t="str">
        <f>IF(COUNTA(A1410:G1410)=0,"",IF(A1410="","N° devis manquant",IF(ISNA(MATCH(A1410,dv_num,0)),"Devis inconnu",IF(AND(B1410&lt;&gt;"",ISNA(MATCH(B1410,pr_code,0))),"Article inconnu",IF(H1410="","Désignation manquante",IF(OR(NOT(ISNUMBER(D1410)),N(D1410)&lt;=0),"Quantité invalide",IF(J1410="","Prix manquant",IF(OR(NOT(ISNUMBER(J1410)),N(J1410)&lt;0),"Prix invalide",IF(OR(AND(F1410&lt;&gt;"",NOT(ISNUMBER(F1410))),N(F1410)&lt;0,N(F1410)&gt;1),"Remise invalide",IF(K1410="","Taux de TVA manquant",IF(NOT(ISNUMBER(K1410)),"Taux de TVA invalide",IF(COUNTIF(p_rates,K1410)=0,"Taux de TVA hors liste (Paramètres)",IF(N(O1410)&gt;25,"Au-delà de 25 lignes : non imprimée","OK")))))))))))))</f>
        <v/>
      </c>
      <c r="O1410" s="59" t="str">
        <f>IF(A1410="","",COUNTIF($A$6:A1410,A1410))</f>
        <v/>
      </c>
      <c r="P1410" s="62" t="str">
        <f>IF(A1410="","",A1410&amp;"|"&amp;O1410)</f>
        <v/>
      </c>
    </row>
    <row r="1411">
      <c r="A1411" s="60" t="n"/>
      <c r="B1411" s="63" t="n"/>
      <c r="C1411" s="63" t="n"/>
      <c r="D1411" s="67" t="n"/>
      <c r="E1411" s="68" t="n"/>
      <c r="F1411" s="69" t="n"/>
      <c r="G1411" s="70" t="n"/>
      <c r="H1411" s="62" t="str">
        <f>IF(COUNTA(A1411:G1411)=0,"",IF(C1411&lt;&gt;"",C1411,IF(B1411="","",IFERROR(INDEX(pr_des,MATCH(B1411,pr_code,0))&amp;"",""))))</f>
        <v/>
      </c>
      <c r="I1411" s="59" t="str">
        <f>IF(B1411="","",IFERROR(INDEX(pr_unit,MATCH(B1411,pr_code,0))&amp;"",""))</f>
        <v/>
      </c>
      <c r="J1411" s="65" t="str">
        <f>IF(COUNTA(A1411:G1411)=0,"",IF(E1411&lt;&gt;"",E1411,IF(B1411="","",IFERROR(IF(INDEX(pr_price,MATCH(B1411,pr_code,0))="","",INDEX(pr_price,MATCH(B1411,pr_code,0))),""))))</f>
        <v/>
      </c>
      <c r="K1411" s="71" t="str">
        <f>IF(COUNTA(A1411:G1411)=0,"",IF(G1411&lt;&gt;"",G1411,IF(B1411="","",IFERROR(IF(INDEX(pr_rate,MATCH(B1411,pr_code,0))="","",INDEX(pr_rate,MATCH(B1411,pr_code,0))),""))))</f>
        <v/>
      </c>
      <c r="L1411" s="65" t="str">
        <f>IF(COUNTA(A1411:G1411)=0,"",IF(AND(ISNUMBER(D1411),ISNUMBER(J1411)),ROUND(D1411*J1411*(1-N(F1411)),2),0))</f>
        <v/>
      </c>
      <c r="M1411" s="62" t="str">
        <f>IF(A1411="","",IFERROR(INDEX(dv_cname,MATCH(A1411,dv_num,0))&amp;"",""))</f>
        <v/>
      </c>
      <c r="N1411" s="59" t="str">
        <f>IF(COUNTA(A1411:G1411)=0,"",IF(A1411="","N° devis manquant",IF(ISNA(MATCH(A1411,dv_num,0)),"Devis inconnu",IF(AND(B1411&lt;&gt;"",ISNA(MATCH(B1411,pr_code,0))),"Article inconnu",IF(H1411="","Désignation manquante",IF(OR(NOT(ISNUMBER(D1411)),N(D1411)&lt;=0),"Quantité invalide",IF(J1411="","Prix manquant",IF(OR(NOT(ISNUMBER(J1411)),N(J1411)&lt;0),"Prix invalide",IF(OR(AND(F1411&lt;&gt;"",NOT(ISNUMBER(F1411))),N(F1411)&lt;0,N(F1411)&gt;1),"Remise invalide",IF(K1411="","Taux de TVA manquant",IF(NOT(ISNUMBER(K1411)),"Taux de TVA invalide",IF(COUNTIF(p_rates,K1411)=0,"Taux de TVA hors liste (Paramètres)",IF(N(O1411)&gt;25,"Au-delà de 25 lignes : non imprimée","OK")))))))))))))</f>
        <v/>
      </c>
      <c r="O1411" s="59" t="str">
        <f>IF(A1411="","",COUNTIF($A$6:A1411,A1411))</f>
        <v/>
      </c>
      <c r="P1411" s="62" t="str">
        <f>IF(A1411="","",A1411&amp;"|"&amp;O1411)</f>
        <v/>
      </c>
    </row>
    <row r="1412">
      <c r="A1412" s="60" t="n"/>
      <c r="B1412" s="63" t="n"/>
      <c r="C1412" s="63" t="n"/>
      <c r="D1412" s="67" t="n"/>
      <c r="E1412" s="68" t="n"/>
      <c r="F1412" s="69" t="n"/>
      <c r="G1412" s="70" t="n"/>
      <c r="H1412" s="62" t="str">
        <f>IF(COUNTA(A1412:G1412)=0,"",IF(C1412&lt;&gt;"",C1412,IF(B1412="","",IFERROR(INDEX(pr_des,MATCH(B1412,pr_code,0))&amp;"",""))))</f>
        <v/>
      </c>
      <c r="I1412" s="59" t="str">
        <f>IF(B1412="","",IFERROR(INDEX(pr_unit,MATCH(B1412,pr_code,0))&amp;"",""))</f>
        <v/>
      </c>
      <c r="J1412" s="65" t="str">
        <f>IF(COUNTA(A1412:G1412)=0,"",IF(E1412&lt;&gt;"",E1412,IF(B1412="","",IFERROR(IF(INDEX(pr_price,MATCH(B1412,pr_code,0))="","",INDEX(pr_price,MATCH(B1412,pr_code,0))),""))))</f>
        <v/>
      </c>
      <c r="K1412" s="71" t="str">
        <f>IF(COUNTA(A1412:G1412)=0,"",IF(G1412&lt;&gt;"",G1412,IF(B1412="","",IFERROR(IF(INDEX(pr_rate,MATCH(B1412,pr_code,0))="","",INDEX(pr_rate,MATCH(B1412,pr_code,0))),""))))</f>
        <v/>
      </c>
      <c r="L1412" s="65" t="str">
        <f>IF(COUNTA(A1412:G1412)=0,"",IF(AND(ISNUMBER(D1412),ISNUMBER(J1412)),ROUND(D1412*J1412*(1-N(F1412)),2),0))</f>
        <v/>
      </c>
      <c r="M1412" s="62" t="str">
        <f>IF(A1412="","",IFERROR(INDEX(dv_cname,MATCH(A1412,dv_num,0))&amp;"",""))</f>
        <v/>
      </c>
      <c r="N1412" s="59" t="str">
        <f>IF(COUNTA(A1412:G1412)=0,"",IF(A1412="","N° devis manquant",IF(ISNA(MATCH(A1412,dv_num,0)),"Devis inconnu",IF(AND(B1412&lt;&gt;"",ISNA(MATCH(B1412,pr_code,0))),"Article inconnu",IF(H1412="","Désignation manquante",IF(OR(NOT(ISNUMBER(D1412)),N(D1412)&lt;=0),"Quantité invalide",IF(J1412="","Prix manquant",IF(OR(NOT(ISNUMBER(J1412)),N(J1412)&lt;0),"Prix invalide",IF(OR(AND(F1412&lt;&gt;"",NOT(ISNUMBER(F1412))),N(F1412)&lt;0,N(F1412)&gt;1),"Remise invalide",IF(K1412="","Taux de TVA manquant",IF(NOT(ISNUMBER(K1412)),"Taux de TVA invalide",IF(COUNTIF(p_rates,K1412)=0,"Taux de TVA hors liste (Paramètres)",IF(N(O1412)&gt;25,"Au-delà de 25 lignes : non imprimée","OK")))))))))))))</f>
        <v/>
      </c>
      <c r="O1412" s="59" t="str">
        <f>IF(A1412="","",COUNTIF($A$6:A1412,A1412))</f>
        <v/>
      </c>
      <c r="P1412" s="62" t="str">
        <f>IF(A1412="","",A1412&amp;"|"&amp;O1412)</f>
        <v/>
      </c>
    </row>
    <row r="1413">
      <c r="A1413" s="60" t="n"/>
      <c r="B1413" s="63" t="n"/>
      <c r="C1413" s="63" t="n"/>
      <c r="D1413" s="67" t="n"/>
      <c r="E1413" s="68" t="n"/>
      <c r="F1413" s="69" t="n"/>
      <c r="G1413" s="70" t="n"/>
      <c r="H1413" s="62" t="str">
        <f>IF(COUNTA(A1413:G1413)=0,"",IF(C1413&lt;&gt;"",C1413,IF(B1413="","",IFERROR(INDEX(pr_des,MATCH(B1413,pr_code,0))&amp;"",""))))</f>
        <v/>
      </c>
      <c r="I1413" s="59" t="str">
        <f>IF(B1413="","",IFERROR(INDEX(pr_unit,MATCH(B1413,pr_code,0))&amp;"",""))</f>
        <v/>
      </c>
      <c r="J1413" s="65" t="str">
        <f>IF(COUNTA(A1413:G1413)=0,"",IF(E1413&lt;&gt;"",E1413,IF(B1413="","",IFERROR(IF(INDEX(pr_price,MATCH(B1413,pr_code,0))="","",INDEX(pr_price,MATCH(B1413,pr_code,0))),""))))</f>
        <v/>
      </c>
      <c r="K1413" s="71" t="str">
        <f>IF(COUNTA(A1413:G1413)=0,"",IF(G1413&lt;&gt;"",G1413,IF(B1413="","",IFERROR(IF(INDEX(pr_rate,MATCH(B1413,pr_code,0))="","",INDEX(pr_rate,MATCH(B1413,pr_code,0))),""))))</f>
        <v/>
      </c>
      <c r="L1413" s="65" t="str">
        <f>IF(COUNTA(A1413:G1413)=0,"",IF(AND(ISNUMBER(D1413),ISNUMBER(J1413)),ROUND(D1413*J1413*(1-N(F1413)),2),0))</f>
        <v/>
      </c>
      <c r="M1413" s="62" t="str">
        <f>IF(A1413="","",IFERROR(INDEX(dv_cname,MATCH(A1413,dv_num,0))&amp;"",""))</f>
        <v/>
      </c>
      <c r="N1413" s="59" t="str">
        <f>IF(COUNTA(A1413:G1413)=0,"",IF(A1413="","N° devis manquant",IF(ISNA(MATCH(A1413,dv_num,0)),"Devis inconnu",IF(AND(B1413&lt;&gt;"",ISNA(MATCH(B1413,pr_code,0))),"Article inconnu",IF(H1413="","Désignation manquante",IF(OR(NOT(ISNUMBER(D1413)),N(D1413)&lt;=0),"Quantité invalide",IF(J1413="","Prix manquant",IF(OR(NOT(ISNUMBER(J1413)),N(J1413)&lt;0),"Prix invalide",IF(OR(AND(F1413&lt;&gt;"",NOT(ISNUMBER(F1413))),N(F1413)&lt;0,N(F1413)&gt;1),"Remise invalide",IF(K1413="","Taux de TVA manquant",IF(NOT(ISNUMBER(K1413)),"Taux de TVA invalide",IF(COUNTIF(p_rates,K1413)=0,"Taux de TVA hors liste (Paramètres)",IF(N(O1413)&gt;25,"Au-delà de 25 lignes : non imprimée","OK")))))))))))))</f>
        <v/>
      </c>
      <c r="O1413" s="59" t="str">
        <f>IF(A1413="","",COUNTIF($A$6:A1413,A1413))</f>
        <v/>
      </c>
      <c r="P1413" s="62" t="str">
        <f>IF(A1413="","",A1413&amp;"|"&amp;O1413)</f>
        <v/>
      </c>
    </row>
    <row r="1414">
      <c r="A1414" s="60" t="n"/>
      <c r="B1414" s="63" t="n"/>
      <c r="C1414" s="63" t="n"/>
      <c r="D1414" s="67" t="n"/>
      <c r="E1414" s="68" t="n"/>
      <c r="F1414" s="69" t="n"/>
      <c r="G1414" s="70" t="n"/>
      <c r="H1414" s="62" t="str">
        <f>IF(COUNTA(A1414:G1414)=0,"",IF(C1414&lt;&gt;"",C1414,IF(B1414="","",IFERROR(INDEX(pr_des,MATCH(B1414,pr_code,0))&amp;"",""))))</f>
        <v/>
      </c>
      <c r="I1414" s="59" t="str">
        <f>IF(B1414="","",IFERROR(INDEX(pr_unit,MATCH(B1414,pr_code,0))&amp;"",""))</f>
        <v/>
      </c>
      <c r="J1414" s="65" t="str">
        <f>IF(COUNTA(A1414:G1414)=0,"",IF(E1414&lt;&gt;"",E1414,IF(B1414="","",IFERROR(IF(INDEX(pr_price,MATCH(B1414,pr_code,0))="","",INDEX(pr_price,MATCH(B1414,pr_code,0))),""))))</f>
        <v/>
      </c>
      <c r="K1414" s="71" t="str">
        <f>IF(COUNTA(A1414:G1414)=0,"",IF(G1414&lt;&gt;"",G1414,IF(B1414="","",IFERROR(IF(INDEX(pr_rate,MATCH(B1414,pr_code,0))="","",INDEX(pr_rate,MATCH(B1414,pr_code,0))),""))))</f>
        <v/>
      </c>
      <c r="L1414" s="65" t="str">
        <f>IF(COUNTA(A1414:G1414)=0,"",IF(AND(ISNUMBER(D1414),ISNUMBER(J1414)),ROUND(D1414*J1414*(1-N(F1414)),2),0))</f>
        <v/>
      </c>
      <c r="M1414" s="62" t="str">
        <f>IF(A1414="","",IFERROR(INDEX(dv_cname,MATCH(A1414,dv_num,0))&amp;"",""))</f>
        <v/>
      </c>
      <c r="N1414" s="59" t="str">
        <f>IF(COUNTA(A1414:G1414)=0,"",IF(A1414="","N° devis manquant",IF(ISNA(MATCH(A1414,dv_num,0)),"Devis inconnu",IF(AND(B1414&lt;&gt;"",ISNA(MATCH(B1414,pr_code,0))),"Article inconnu",IF(H1414="","Désignation manquante",IF(OR(NOT(ISNUMBER(D1414)),N(D1414)&lt;=0),"Quantité invalide",IF(J1414="","Prix manquant",IF(OR(NOT(ISNUMBER(J1414)),N(J1414)&lt;0),"Prix invalide",IF(OR(AND(F1414&lt;&gt;"",NOT(ISNUMBER(F1414))),N(F1414)&lt;0,N(F1414)&gt;1),"Remise invalide",IF(K1414="","Taux de TVA manquant",IF(NOT(ISNUMBER(K1414)),"Taux de TVA invalide",IF(COUNTIF(p_rates,K1414)=0,"Taux de TVA hors liste (Paramètres)",IF(N(O1414)&gt;25,"Au-delà de 25 lignes : non imprimée","OK")))))))))))))</f>
        <v/>
      </c>
      <c r="O1414" s="59" t="str">
        <f>IF(A1414="","",COUNTIF($A$6:A1414,A1414))</f>
        <v/>
      </c>
      <c r="P1414" s="62" t="str">
        <f>IF(A1414="","",A1414&amp;"|"&amp;O1414)</f>
        <v/>
      </c>
    </row>
    <row r="1415">
      <c r="A1415" s="60" t="n"/>
      <c r="B1415" s="63" t="n"/>
      <c r="C1415" s="63" t="n"/>
      <c r="D1415" s="67" t="n"/>
      <c r="E1415" s="68" t="n"/>
      <c r="F1415" s="69" t="n"/>
      <c r="G1415" s="70" t="n"/>
      <c r="H1415" s="62" t="str">
        <f>IF(COUNTA(A1415:G1415)=0,"",IF(C1415&lt;&gt;"",C1415,IF(B1415="","",IFERROR(INDEX(pr_des,MATCH(B1415,pr_code,0))&amp;"",""))))</f>
        <v/>
      </c>
      <c r="I1415" s="59" t="str">
        <f>IF(B1415="","",IFERROR(INDEX(pr_unit,MATCH(B1415,pr_code,0))&amp;"",""))</f>
        <v/>
      </c>
      <c r="J1415" s="65" t="str">
        <f>IF(COUNTA(A1415:G1415)=0,"",IF(E1415&lt;&gt;"",E1415,IF(B1415="","",IFERROR(IF(INDEX(pr_price,MATCH(B1415,pr_code,0))="","",INDEX(pr_price,MATCH(B1415,pr_code,0))),""))))</f>
        <v/>
      </c>
      <c r="K1415" s="71" t="str">
        <f>IF(COUNTA(A1415:G1415)=0,"",IF(G1415&lt;&gt;"",G1415,IF(B1415="","",IFERROR(IF(INDEX(pr_rate,MATCH(B1415,pr_code,0))="","",INDEX(pr_rate,MATCH(B1415,pr_code,0))),""))))</f>
        <v/>
      </c>
      <c r="L1415" s="65" t="str">
        <f>IF(COUNTA(A1415:G1415)=0,"",IF(AND(ISNUMBER(D1415),ISNUMBER(J1415)),ROUND(D1415*J1415*(1-N(F1415)),2),0))</f>
        <v/>
      </c>
      <c r="M1415" s="62" t="str">
        <f>IF(A1415="","",IFERROR(INDEX(dv_cname,MATCH(A1415,dv_num,0))&amp;"",""))</f>
        <v/>
      </c>
      <c r="N1415" s="59" t="str">
        <f>IF(COUNTA(A1415:G1415)=0,"",IF(A1415="","N° devis manquant",IF(ISNA(MATCH(A1415,dv_num,0)),"Devis inconnu",IF(AND(B1415&lt;&gt;"",ISNA(MATCH(B1415,pr_code,0))),"Article inconnu",IF(H1415="","Désignation manquante",IF(OR(NOT(ISNUMBER(D1415)),N(D1415)&lt;=0),"Quantité invalide",IF(J1415="","Prix manquant",IF(OR(NOT(ISNUMBER(J1415)),N(J1415)&lt;0),"Prix invalide",IF(OR(AND(F1415&lt;&gt;"",NOT(ISNUMBER(F1415))),N(F1415)&lt;0,N(F1415)&gt;1),"Remise invalide",IF(K1415="","Taux de TVA manquant",IF(NOT(ISNUMBER(K1415)),"Taux de TVA invalide",IF(COUNTIF(p_rates,K1415)=0,"Taux de TVA hors liste (Paramètres)",IF(N(O1415)&gt;25,"Au-delà de 25 lignes : non imprimée","OK")))))))))))))</f>
        <v/>
      </c>
      <c r="O1415" s="59" t="str">
        <f>IF(A1415="","",COUNTIF($A$6:A1415,A1415))</f>
        <v/>
      </c>
      <c r="P1415" s="62" t="str">
        <f>IF(A1415="","",A1415&amp;"|"&amp;O1415)</f>
        <v/>
      </c>
    </row>
    <row r="1416">
      <c r="A1416" s="60" t="n"/>
      <c r="B1416" s="63" t="n"/>
      <c r="C1416" s="63" t="n"/>
      <c r="D1416" s="67" t="n"/>
      <c r="E1416" s="68" t="n"/>
      <c r="F1416" s="69" t="n"/>
      <c r="G1416" s="70" t="n"/>
      <c r="H1416" s="62" t="str">
        <f>IF(COUNTA(A1416:G1416)=0,"",IF(C1416&lt;&gt;"",C1416,IF(B1416="","",IFERROR(INDEX(pr_des,MATCH(B1416,pr_code,0))&amp;"",""))))</f>
        <v/>
      </c>
      <c r="I1416" s="59" t="str">
        <f>IF(B1416="","",IFERROR(INDEX(pr_unit,MATCH(B1416,pr_code,0))&amp;"",""))</f>
        <v/>
      </c>
      <c r="J1416" s="65" t="str">
        <f>IF(COUNTA(A1416:G1416)=0,"",IF(E1416&lt;&gt;"",E1416,IF(B1416="","",IFERROR(IF(INDEX(pr_price,MATCH(B1416,pr_code,0))="","",INDEX(pr_price,MATCH(B1416,pr_code,0))),""))))</f>
        <v/>
      </c>
      <c r="K1416" s="71" t="str">
        <f>IF(COUNTA(A1416:G1416)=0,"",IF(G1416&lt;&gt;"",G1416,IF(B1416="","",IFERROR(IF(INDEX(pr_rate,MATCH(B1416,pr_code,0))="","",INDEX(pr_rate,MATCH(B1416,pr_code,0))),""))))</f>
        <v/>
      </c>
      <c r="L1416" s="65" t="str">
        <f>IF(COUNTA(A1416:G1416)=0,"",IF(AND(ISNUMBER(D1416),ISNUMBER(J1416)),ROUND(D1416*J1416*(1-N(F1416)),2),0))</f>
        <v/>
      </c>
      <c r="M1416" s="62" t="str">
        <f>IF(A1416="","",IFERROR(INDEX(dv_cname,MATCH(A1416,dv_num,0))&amp;"",""))</f>
        <v/>
      </c>
      <c r="N1416" s="59" t="str">
        <f>IF(COUNTA(A1416:G1416)=0,"",IF(A1416="","N° devis manquant",IF(ISNA(MATCH(A1416,dv_num,0)),"Devis inconnu",IF(AND(B1416&lt;&gt;"",ISNA(MATCH(B1416,pr_code,0))),"Article inconnu",IF(H1416="","Désignation manquante",IF(OR(NOT(ISNUMBER(D1416)),N(D1416)&lt;=0),"Quantité invalide",IF(J1416="","Prix manquant",IF(OR(NOT(ISNUMBER(J1416)),N(J1416)&lt;0),"Prix invalide",IF(OR(AND(F1416&lt;&gt;"",NOT(ISNUMBER(F1416))),N(F1416)&lt;0,N(F1416)&gt;1),"Remise invalide",IF(K1416="","Taux de TVA manquant",IF(NOT(ISNUMBER(K1416)),"Taux de TVA invalide",IF(COUNTIF(p_rates,K1416)=0,"Taux de TVA hors liste (Paramètres)",IF(N(O1416)&gt;25,"Au-delà de 25 lignes : non imprimée","OK")))))))))))))</f>
        <v/>
      </c>
      <c r="O1416" s="59" t="str">
        <f>IF(A1416="","",COUNTIF($A$6:A1416,A1416))</f>
        <v/>
      </c>
      <c r="P1416" s="62" t="str">
        <f>IF(A1416="","",A1416&amp;"|"&amp;O1416)</f>
        <v/>
      </c>
    </row>
    <row r="1417">
      <c r="A1417" s="60" t="n"/>
      <c r="B1417" s="63" t="n"/>
      <c r="C1417" s="63" t="n"/>
      <c r="D1417" s="67" t="n"/>
      <c r="E1417" s="68" t="n"/>
      <c r="F1417" s="69" t="n"/>
      <c r="G1417" s="70" t="n"/>
      <c r="H1417" s="62" t="str">
        <f>IF(COUNTA(A1417:G1417)=0,"",IF(C1417&lt;&gt;"",C1417,IF(B1417="","",IFERROR(INDEX(pr_des,MATCH(B1417,pr_code,0))&amp;"",""))))</f>
        <v/>
      </c>
      <c r="I1417" s="59" t="str">
        <f>IF(B1417="","",IFERROR(INDEX(pr_unit,MATCH(B1417,pr_code,0))&amp;"",""))</f>
        <v/>
      </c>
      <c r="J1417" s="65" t="str">
        <f>IF(COUNTA(A1417:G1417)=0,"",IF(E1417&lt;&gt;"",E1417,IF(B1417="","",IFERROR(IF(INDEX(pr_price,MATCH(B1417,pr_code,0))="","",INDEX(pr_price,MATCH(B1417,pr_code,0))),""))))</f>
        <v/>
      </c>
      <c r="K1417" s="71" t="str">
        <f>IF(COUNTA(A1417:G1417)=0,"",IF(G1417&lt;&gt;"",G1417,IF(B1417="","",IFERROR(IF(INDEX(pr_rate,MATCH(B1417,pr_code,0))="","",INDEX(pr_rate,MATCH(B1417,pr_code,0))),""))))</f>
        <v/>
      </c>
      <c r="L1417" s="65" t="str">
        <f>IF(COUNTA(A1417:G1417)=0,"",IF(AND(ISNUMBER(D1417),ISNUMBER(J1417)),ROUND(D1417*J1417*(1-N(F1417)),2),0))</f>
        <v/>
      </c>
      <c r="M1417" s="62" t="str">
        <f>IF(A1417="","",IFERROR(INDEX(dv_cname,MATCH(A1417,dv_num,0))&amp;"",""))</f>
        <v/>
      </c>
      <c r="N1417" s="59" t="str">
        <f>IF(COUNTA(A1417:G1417)=0,"",IF(A1417="","N° devis manquant",IF(ISNA(MATCH(A1417,dv_num,0)),"Devis inconnu",IF(AND(B1417&lt;&gt;"",ISNA(MATCH(B1417,pr_code,0))),"Article inconnu",IF(H1417="","Désignation manquante",IF(OR(NOT(ISNUMBER(D1417)),N(D1417)&lt;=0),"Quantité invalide",IF(J1417="","Prix manquant",IF(OR(NOT(ISNUMBER(J1417)),N(J1417)&lt;0),"Prix invalide",IF(OR(AND(F1417&lt;&gt;"",NOT(ISNUMBER(F1417))),N(F1417)&lt;0,N(F1417)&gt;1),"Remise invalide",IF(K1417="","Taux de TVA manquant",IF(NOT(ISNUMBER(K1417)),"Taux de TVA invalide",IF(COUNTIF(p_rates,K1417)=0,"Taux de TVA hors liste (Paramètres)",IF(N(O1417)&gt;25,"Au-delà de 25 lignes : non imprimée","OK")))))))))))))</f>
        <v/>
      </c>
      <c r="O1417" s="59" t="str">
        <f>IF(A1417="","",COUNTIF($A$6:A1417,A1417))</f>
        <v/>
      </c>
      <c r="P1417" s="62" t="str">
        <f>IF(A1417="","",A1417&amp;"|"&amp;O1417)</f>
        <v/>
      </c>
    </row>
    <row r="1418">
      <c r="A1418" s="60" t="n"/>
      <c r="B1418" s="63" t="n"/>
      <c r="C1418" s="63" t="n"/>
      <c r="D1418" s="67" t="n"/>
      <c r="E1418" s="68" t="n"/>
      <c r="F1418" s="69" t="n"/>
      <c r="G1418" s="70" t="n"/>
      <c r="H1418" s="62" t="str">
        <f>IF(COUNTA(A1418:G1418)=0,"",IF(C1418&lt;&gt;"",C1418,IF(B1418="","",IFERROR(INDEX(pr_des,MATCH(B1418,pr_code,0))&amp;"",""))))</f>
        <v/>
      </c>
      <c r="I1418" s="59" t="str">
        <f>IF(B1418="","",IFERROR(INDEX(pr_unit,MATCH(B1418,pr_code,0))&amp;"",""))</f>
        <v/>
      </c>
      <c r="J1418" s="65" t="str">
        <f>IF(COUNTA(A1418:G1418)=0,"",IF(E1418&lt;&gt;"",E1418,IF(B1418="","",IFERROR(IF(INDEX(pr_price,MATCH(B1418,pr_code,0))="","",INDEX(pr_price,MATCH(B1418,pr_code,0))),""))))</f>
        <v/>
      </c>
      <c r="K1418" s="71" t="str">
        <f>IF(COUNTA(A1418:G1418)=0,"",IF(G1418&lt;&gt;"",G1418,IF(B1418="","",IFERROR(IF(INDEX(pr_rate,MATCH(B1418,pr_code,0))="","",INDEX(pr_rate,MATCH(B1418,pr_code,0))),""))))</f>
        <v/>
      </c>
      <c r="L1418" s="65" t="str">
        <f>IF(COUNTA(A1418:G1418)=0,"",IF(AND(ISNUMBER(D1418),ISNUMBER(J1418)),ROUND(D1418*J1418*(1-N(F1418)),2),0))</f>
        <v/>
      </c>
      <c r="M1418" s="62" t="str">
        <f>IF(A1418="","",IFERROR(INDEX(dv_cname,MATCH(A1418,dv_num,0))&amp;"",""))</f>
        <v/>
      </c>
      <c r="N1418" s="59" t="str">
        <f>IF(COUNTA(A1418:G1418)=0,"",IF(A1418="","N° devis manquant",IF(ISNA(MATCH(A1418,dv_num,0)),"Devis inconnu",IF(AND(B1418&lt;&gt;"",ISNA(MATCH(B1418,pr_code,0))),"Article inconnu",IF(H1418="","Désignation manquante",IF(OR(NOT(ISNUMBER(D1418)),N(D1418)&lt;=0),"Quantité invalide",IF(J1418="","Prix manquant",IF(OR(NOT(ISNUMBER(J1418)),N(J1418)&lt;0),"Prix invalide",IF(OR(AND(F1418&lt;&gt;"",NOT(ISNUMBER(F1418))),N(F1418)&lt;0,N(F1418)&gt;1),"Remise invalide",IF(K1418="","Taux de TVA manquant",IF(NOT(ISNUMBER(K1418)),"Taux de TVA invalide",IF(COUNTIF(p_rates,K1418)=0,"Taux de TVA hors liste (Paramètres)",IF(N(O1418)&gt;25,"Au-delà de 25 lignes : non imprimée","OK")))))))))))))</f>
        <v/>
      </c>
      <c r="O1418" s="59" t="str">
        <f>IF(A1418="","",COUNTIF($A$6:A1418,A1418))</f>
        <v/>
      </c>
      <c r="P1418" s="62" t="str">
        <f>IF(A1418="","",A1418&amp;"|"&amp;O1418)</f>
        <v/>
      </c>
    </row>
    <row r="1419">
      <c r="A1419" s="60" t="n"/>
      <c r="B1419" s="63" t="n"/>
      <c r="C1419" s="63" t="n"/>
      <c r="D1419" s="67" t="n"/>
      <c r="E1419" s="68" t="n"/>
      <c r="F1419" s="69" t="n"/>
      <c r="G1419" s="70" t="n"/>
      <c r="H1419" s="62" t="str">
        <f>IF(COUNTA(A1419:G1419)=0,"",IF(C1419&lt;&gt;"",C1419,IF(B1419="","",IFERROR(INDEX(pr_des,MATCH(B1419,pr_code,0))&amp;"",""))))</f>
        <v/>
      </c>
      <c r="I1419" s="59" t="str">
        <f>IF(B1419="","",IFERROR(INDEX(pr_unit,MATCH(B1419,pr_code,0))&amp;"",""))</f>
        <v/>
      </c>
      <c r="J1419" s="65" t="str">
        <f>IF(COUNTA(A1419:G1419)=0,"",IF(E1419&lt;&gt;"",E1419,IF(B1419="","",IFERROR(IF(INDEX(pr_price,MATCH(B1419,pr_code,0))="","",INDEX(pr_price,MATCH(B1419,pr_code,0))),""))))</f>
        <v/>
      </c>
      <c r="K1419" s="71" t="str">
        <f>IF(COUNTA(A1419:G1419)=0,"",IF(G1419&lt;&gt;"",G1419,IF(B1419="","",IFERROR(IF(INDEX(pr_rate,MATCH(B1419,pr_code,0))="","",INDEX(pr_rate,MATCH(B1419,pr_code,0))),""))))</f>
        <v/>
      </c>
      <c r="L1419" s="65" t="str">
        <f>IF(COUNTA(A1419:G1419)=0,"",IF(AND(ISNUMBER(D1419),ISNUMBER(J1419)),ROUND(D1419*J1419*(1-N(F1419)),2),0))</f>
        <v/>
      </c>
      <c r="M1419" s="62" t="str">
        <f>IF(A1419="","",IFERROR(INDEX(dv_cname,MATCH(A1419,dv_num,0))&amp;"",""))</f>
        <v/>
      </c>
      <c r="N1419" s="59" t="str">
        <f>IF(COUNTA(A1419:G1419)=0,"",IF(A1419="","N° devis manquant",IF(ISNA(MATCH(A1419,dv_num,0)),"Devis inconnu",IF(AND(B1419&lt;&gt;"",ISNA(MATCH(B1419,pr_code,0))),"Article inconnu",IF(H1419="","Désignation manquante",IF(OR(NOT(ISNUMBER(D1419)),N(D1419)&lt;=0),"Quantité invalide",IF(J1419="","Prix manquant",IF(OR(NOT(ISNUMBER(J1419)),N(J1419)&lt;0),"Prix invalide",IF(OR(AND(F1419&lt;&gt;"",NOT(ISNUMBER(F1419))),N(F1419)&lt;0,N(F1419)&gt;1),"Remise invalide",IF(K1419="","Taux de TVA manquant",IF(NOT(ISNUMBER(K1419)),"Taux de TVA invalide",IF(COUNTIF(p_rates,K1419)=0,"Taux de TVA hors liste (Paramètres)",IF(N(O1419)&gt;25,"Au-delà de 25 lignes : non imprimée","OK")))))))))))))</f>
        <v/>
      </c>
      <c r="O1419" s="59" t="str">
        <f>IF(A1419="","",COUNTIF($A$6:A1419,A1419))</f>
        <v/>
      </c>
      <c r="P1419" s="62" t="str">
        <f>IF(A1419="","",A1419&amp;"|"&amp;O1419)</f>
        <v/>
      </c>
    </row>
    <row r="1420">
      <c r="A1420" s="60" t="n"/>
      <c r="B1420" s="63" t="n"/>
      <c r="C1420" s="63" t="n"/>
      <c r="D1420" s="67" t="n"/>
      <c r="E1420" s="68" t="n"/>
      <c r="F1420" s="69" t="n"/>
      <c r="G1420" s="70" t="n"/>
      <c r="H1420" s="62" t="str">
        <f>IF(COUNTA(A1420:G1420)=0,"",IF(C1420&lt;&gt;"",C1420,IF(B1420="","",IFERROR(INDEX(pr_des,MATCH(B1420,pr_code,0))&amp;"",""))))</f>
        <v/>
      </c>
      <c r="I1420" s="59" t="str">
        <f>IF(B1420="","",IFERROR(INDEX(pr_unit,MATCH(B1420,pr_code,0))&amp;"",""))</f>
        <v/>
      </c>
      <c r="J1420" s="65" t="str">
        <f>IF(COUNTA(A1420:G1420)=0,"",IF(E1420&lt;&gt;"",E1420,IF(B1420="","",IFERROR(IF(INDEX(pr_price,MATCH(B1420,pr_code,0))="","",INDEX(pr_price,MATCH(B1420,pr_code,0))),""))))</f>
        <v/>
      </c>
      <c r="K1420" s="71" t="str">
        <f>IF(COUNTA(A1420:G1420)=0,"",IF(G1420&lt;&gt;"",G1420,IF(B1420="","",IFERROR(IF(INDEX(pr_rate,MATCH(B1420,pr_code,0))="","",INDEX(pr_rate,MATCH(B1420,pr_code,0))),""))))</f>
        <v/>
      </c>
      <c r="L1420" s="65" t="str">
        <f>IF(COUNTA(A1420:G1420)=0,"",IF(AND(ISNUMBER(D1420),ISNUMBER(J1420)),ROUND(D1420*J1420*(1-N(F1420)),2),0))</f>
        <v/>
      </c>
      <c r="M1420" s="62" t="str">
        <f>IF(A1420="","",IFERROR(INDEX(dv_cname,MATCH(A1420,dv_num,0))&amp;"",""))</f>
        <v/>
      </c>
      <c r="N1420" s="59" t="str">
        <f>IF(COUNTA(A1420:G1420)=0,"",IF(A1420="","N° devis manquant",IF(ISNA(MATCH(A1420,dv_num,0)),"Devis inconnu",IF(AND(B1420&lt;&gt;"",ISNA(MATCH(B1420,pr_code,0))),"Article inconnu",IF(H1420="","Désignation manquante",IF(OR(NOT(ISNUMBER(D1420)),N(D1420)&lt;=0),"Quantité invalide",IF(J1420="","Prix manquant",IF(OR(NOT(ISNUMBER(J1420)),N(J1420)&lt;0),"Prix invalide",IF(OR(AND(F1420&lt;&gt;"",NOT(ISNUMBER(F1420))),N(F1420)&lt;0,N(F1420)&gt;1),"Remise invalide",IF(K1420="","Taux de TVA manquant",IF(NOT(ISNUMBER(K1420)),"Taux de TVA invalide",IF(COUNTIF(p_rates,K1420)=0,"Taux de TVA hors liste (Paramètres)",IF(N(O1420)&gt;25,"Au-delà de 25 lignes : non imprimée","OK")))))))))))))</f>
        <v/>
      </c>
      <c r="O1420" s="59" t="str">
        <f>IF(A1420="","",COUNTIF($A$6:A1420,A1420))</f>
        <v/>
      </c>
      <c r="P1420" s="62" t="str">
        <f>IF(A1420="","",A1420&amp;"|"&amp;O1420)</f>
        <v/>
      </c>
    </row>
    <row r="1421">
      <c r="A1421" s="60" t="n"/>
      <c r="B1421" s="63" t="n"/>
      <c r="C1421" s="63" t="n"/>
      <c r="D1421" s="67" t="n"/>
      <c r="E1421" s="68" t="n"/>
      <c r="F1421" s="69" t="n"/>
      <c r="G1421" s="70" t="n"/>
      <c r="H1421" s="62" t="str">
        <f>IF(COUNTA(A1421:G1421)=0,"",IF(C1421&lt;&gt;"",C1421,IF(B1421="","",IFERROR(INDEX(pr_des,MATCH(B1421,pr_code,0))&amp;"",""))))</f>
        <v/>
      </c>
      <c r="I1421" s="59" t="str">
        <f>IF(B1421="","",IFERROR(INDEX(pr_unit,MATCH(B1421,pr_code,0))&amp;"",""))</f>
        <v/>
      </c>
      <c r="J1421" s="65" t="str">
        <f>IF(COUNTA(A1421:G1421)=0,"",IF(E1421&lt;&gt;"",E1421,IF(B1421="","",IFERROR(IF(INDEX(pr_price,MATCH(B1421,pr_code,0))="","",INDEX(pr_price,MATCH(B1421,pr_code,0))),""))))</f>
        <v/>
      </c>
      <c r="K1421" s="71" t="str">
        <f>IF(COUNTA(A1421:G1421)=0,"",IF(G1421&lt;&gt;"",G1421,IF(B1421="","",IFERROR(IF(INDEX(pr_rate,MATCH(B1421,pr_code,0))="","",INDEX(pr_rate,MATCH(B1421,pr_code,0))),""))))</f>
        <v/>
      </c>
      <c r="L1421" s="65" t="str">
        <f>IF(COUNTA(A1421:G1421)=0,"",IF(AND(ISNUMBER(D1421),ISNUMBER(J1421)),ROUND(D1421*J1421*(1-N(F1421)),2),0))</f>
        <v/>
      </c>
      <c r="M1421" s="62" t="str">
        <f>IF(A1421="","",IFERROR(INDEX(dv_cname,MATCH(A1421,dv_num,0))&amp;"",""))</f>
        <v/>
      </c>
      <c r="N1421" s="59" t="str">
        <f>IF(COUNTA(A1421:G1421)=0,"",IF(A1421="","N° devis manquant",IF(ISNA(MATCH(A1421,dv_num,0)),"Devis inconnu",IF(AND(B1421&lt;&gt;"",ISNA(MATCH(B1421,pr_code,0))),"Article inconnu",IF(H1421="","Désignation manquante",IF(OR(NOT(ISNUMBER(D1421)),N(D1421)&lt;=0),"Quantité invalide",IF(J1421="","Prix manquant",IF(OR(NOT(ISNUMBER(J1421)),N(J1421)&lt;0),"Prix invalide",IF(OR(AND(F1421&lt;&gt;"",NOT(ISNUMBER(F1421))),N(F1421)&lt;0,N(F1421)&gt;1),"Remise invalide",IF(K1421="","Taux de TVA manquant",IF(NOT(ISNUMBER(K1421)),"Taux de TVA invalide",IF(COUNTIF(p_rates,K1421)=0,"Taux de TVA hors liste (Paramètres)",IF(N(O1421)&gt;25,"Au-delà de 25 lignes : non imprimée","OK")))))))))))))</f>
        <v/>
      </c>
      <c r="O1421" s="59" t="str">
        <f>IF(A1421="","",COUNTIF($A$6:A1421,A1421))</f>
        <v/>
      </c>
      <c r="P1421" s="62" t="str">
        <f>IF(A1421="","",A1421&amp;"|"&amp;O1421)</f>
        <v/>
      </c>
    </row>
    <row r="1422">
      <c r="A1422" s="60" t="n"/>
      <c r="B1422" s="63" t="n"/>
      <c r="C1422" s="63" t="n"/>
      <c r="D1422" s="67" t="n"/>
      <c r="E1422" s="68" t="n"/>
      <c r="F1422" s="69" t="n"/>
      <c r="G1422" s="70" t="n"/>
      <c r="H1422" s="62" t="str">
        <f>IF(COUNTA(A1422:G1422)=0,"",IF(C1422&lt;&gt;"",C1422,IF(B1422="","",IFERROR(INDEX(pr_des,MATCH(B1422,pr_code,0))&amp;"",""))))</f>
        <v/>
      </c>
      <c r="I1422" s="59" t="str">
        <f>IF(B1422="","",IFERROR(INDEX(pr_unit,MATCH(B1422,pr_code,0))&amp;"",""))</f>
        <v/>
      </c>
      <c r="J1422" s="65" t="str">
        <f>IF(COUNTA(A1422:G1422)=0,"",IF(E1422&lt;&gt;"",E1422,IF(B1422="","",IFERROR(IF(INDEX(pr_price,MATCH(B1422,pr_code,0))="","",INDEX(pr_price,MATCH(B1422,pr_code,0))),""))))</f>
        <v/>
      </c>
      <c r="K1422" s="71" t="str">
        <f>IF(COUNTA(A1422:G1422)=0,"",IF(G1422&lt;&gt;"",G1422,IF(B1422="","",IFERROR(IF(INDEX(pr_rate,MATCH(B1422,pr_code,0))="","",INDEX(pr_rate,MATCH(B1422,pr_code,0))),""))))</f>
        <v/>
      </c>
      <c r="L1422" s="65" t="str">
        <f>IF(COUNTA(A1422:G1422)=0,"",IF(AND(ISNUMBER(D1422),ISNUMBER(J1422)),ROUND(D1422*J1422*(1-N(F1422)),2),0))</f>
        <v/>
      </c>
      <c r="M1422" s="62" t="str">
        <f>IF(A1422="","",IFERROR(INDEX(dv_cname,MATCH(A1422,dv_num,0))&amp;"",""))</f>
        <v/>
      </c>
      <c r="N1422" s="59" t="str">
        <f>IF(COUNTA(A1422:G1422)=0,"",IF(A1422="","N° devis manquant",IF(ISNA(MATCH(A1422,dv_num,0)),"Devis inconnu",IF(AND(B1422&lt;&gt;"",ISNA(MATCH(B1422,pr_code,0))),"Article inconnu",IF(H1422="","Désignation manquante",IF(OR(NOT(ISNUMBER(D1422)),N(D1422)&lt;=0),"Quantité invalide",IF(J1422="","Prix manquant",IF(OR(NOT(ISNUMBER(J1422)),N(J1422)&lt;0),"Prix invalide",IF(OR(AND(F1422&lt;&gt;"",NOT(ISNUMBER(F1422))),N(F1422)&lt;0,N(F1422)&gt;1),"Remise invalide",IF(K1422="","Taux de TVA manquant",IF(NOT(ISNUMBER(K1422)),"Taux de TVA invalide",IF(COUNTIF(p_rates,K1422)=0,"Taux de TVA hors liste (Paramètres)",IF(N(O1422)&gt;25,"Au-delà de 25 lignes : non imprimée","OK")))))))))))))</f>
        <v/>
      </c>
      <c r="O1422" s="59" t="str">
        <f>IF(A1422="","",COUNTIF($A$6:A1422,A1422))</f>
        <v/>
      </c>
      <c r="P1422" s="62" t="str">
        <f>IF(A1422="","",A1422&amp;"|"&amp;O1422)</f>
        <v/>
      </c>
    </row>
    <row r="1423">
      <c r="A1423" s="60" t="n"/>
      <c r="B1423" s="63" t="n"/>
      <c r="C1423" s="63" t="n"/>
      <c r="D1423" s="67" t="n"/>
      <c r="E1423" s="68" t="n"/>
      <c r="F1423" s="69" t="n"/>
      <c r="G1423" s="70" t="n"/>
      <c r="H1423" s="62" t="str">
        <f>IF(COUNTA(A1423:G1423)=0,"",IF(C1423&lt;&gt;"",C1423,IF(B1423="","",IFERROR(INDEX(pr_des,MATCH(B1423,pr_code,0))&amp;"",""))))</f>
        <v/>
      </c>
      <c r="I1423" s="59" t="str">
        <f>IF(B1423="","",IFERROR(INDEX(pr_unit,MATCH(B1423,pr_code,0))&amp;"",""))</f>
        <v/>
      </c>
      <c r="J1423" s="65" t="str">
        <f>IF(COUNTA(A1423:G1423)=0,"",IF(E1423&lt;&gt;"",E1423,IF(B1423="","",IFERROR(IF(INDEX(pr_price,MATCH(B1423,pr_code,0))="","",INDEX(pr_price,MATCH(B1423,pr_code,0))),""))))</f>
        <v/>
      </c>
      <c r="K1423" s="71" t="str">
        <f>IF(COUNTA(A1423:G1423)=0,"",IF(G1423&lt;&gt;"",G1423,IF(B1423="","",IFERROR(IF(INDEX(pr_rate,MATCH(B1423,pr_code,0))="","",INDEX(pr_rate,MATCH(B1423,pr_code,0))),""))))</f>
        <v/>
      </c>
      <c r="L1423" s="65" t="str">
        <f>IF(COUNTA(A1423:G1423)=0,"",IF(AND(ISNUMBER(D1423),ISNUMBER(J1423)),ROUND(D1423*J1423*(1-N(F1423)),2),0))</f>
        <v/>
      </c>
      <c r="M1423" s="62" t="str">
        <f>IF(A1423="","",IFERROR(INDEX(dv_cname,MATCH(A1423,dv_num,0))&amp;"",""))</f>
        <v/>
      </c>
      <c r="N1423" s="59" t="str">
        <f>IF(COUNTA(A1423:G1423)=0,"",IF(A1423="","N° devis manquant",IF(ISNA(MATCH(A1423,dv_num,0)),"Devis inconnu",IF(AND(B1423&lt;&gt;"",ISNA(MATCH(B1423,pr_code,0))),"Article inconnu",IF(H1423="","Désignation manquante",IF(OR(NOT(ISNUMBER(D1423)),N(D1423)&lt;=0),"Quantité invalide",IF(J1423="","Prix manquant",IF(OR(NOT(ISNUMBER(J1423)),N(J1423)&lt;0),"Prix invalide",IF(OR(AND(F1423&lt;&gt;"",NOT(ISNUMBER(F1423))),N(F1423)&lt;0,N(F1423)&gt;1),"Remise invalide",IF(K1423="","Taux de TVA manquant",IF(NOT(ISNUMBER(K1423)),"Taux de TVA invalide",IF(COUNTIF(p_rates,K1423)=0,"Taux de TVA hors liste (Paramètres)",IF(N(O1423)&gt;25,"Au-delà de 25 lignes : non imprimée","OK")))))))))))))</f>
        <v/>
      </c>
      <c r="O1423" s="59" t="str">
        <f>IF(A1423="","",COUNTIF($A$6:A1423,A1423))</f>
        <v/>
      </c>
      <c r="P1423" s="62" t="str">
        <f>IF(A1423="","",A1423&amp;"|"&amp;O1423)</f>
        <v/>
      </c>
    </row>
    <row r="1424">
      <c r="A1424" s="60" t="n"/>
      <c r="B1424" s="63" t="n"/>
      <c r="C1424" s="63" t="n"/>
      <c r="D1424" s="67" t="n"/>
      <c r="E1424" s="68" t="n"/>
      <c r="F1424" s="69" t="n"/>
      <c r="G1424" s="70" t="n"/>
      <c r="H1424" s="62" t="str">
        <f>IF(COUNTA(A1424:G1424)=0,"",IF(C1424&lt;&gt;"",C1424,IF(B1424="","",IFERROR(INDEX(pr_des,MATCH(B1424,pr_code,0))&amp;"",""))))</f>
        <v/>
      </c>
      <c r="I1424" s="59" t="str">
        <f>IF(B1424="","",IFERROR(INDEX(pr_unit,MATCH(B1424,pr_code,0))&amp;"",""))</f>
        <v/>
      </c>
      <c r="J1424" s="65" t="str">
        <f>IF(COUNTA(A1424:G1424)=0,"",IF(E1424&lt;&gt;"",E1424,IF(B1424="","",IFERROR(IF(INDEX(pr_price,MATCH(B1424,pr_code,0))="","",INDEX(pr_price,MATCH(B1424,pr_code,0))),""))))</f>
        <v/>
      </c>
      <c r="K1424" s="71" t="str">
        <f>IF(COUNTA(A1424:G1424)=0,"",IF(G1424&lt;&gt;"",G1424,IF(B1424="","",IFERROR(IF(INDEX(pr_rate,MATCH(B1424,pr_code,0))="","",INDEX(pr_rate,MATCH(B1424,pr_code,0))),""))))</f>
        <v/>
      </c>
      <c r="L1424" s="65" t="str">
        <f>IF(COUNTA(A1424:G1424)=0,"",IF(AND(ISNUMBER(D1424),ISNUMBER(J1424)),ROUND(D1424*J1424*(1-N(F1424)),2),0))</f>
        <v/>
      </c>
      <c r="M1424" s="62" t="str">
        <f>IF(A1424="","",IFERROR(INDEX(dv_cname,MATCH(A1424,dv_num,0))&amp;"",""))</f>
        <v/>
      </c>
      <c r="N1424" s="59" t="str">
        <f>IF(COUNTA(A1424:G1424)=0,"",IF(A1424="","N° devis manquant",IF(ISNA(MATCH(A1424,dv_num,0)),"Devis inconnu",IF(AND(B1424&lt;&gt;"",ISNA(MATCH(B1424,pr_code,0))),"Article inconnu",IF(H1424="","Désignation manquante",IF(OR(NOT(ISNUMBER(D1424)),N(D1424)&lt;=0),"Quantité invalide",IF(J1424="","Prix manquant",IF(OR(NOT(ISNUMBER(J1424)),N(J1424)&lt;0),"Prix invalide",IF(OR(AND(F1424&lt;&gt;"",NOT(ISNUMBER(F1424))),N(F1424)&lt;0,N(F1424)&gt;1),"Remise invalide",IF(K1424="","Taux de TVA manquant",IF(NOT(ISNUMBER(K1424)),"Taux de TVA invalide",IF(COUNTIF(p_rates,K1424)=0,"Taux de TVA hors liste (Paramètres)",IF(N(O1424)&gt;25,"Au-delà de 25 lignes : non imprimée","OK")))))))))))))</f>
        <v/>
      </c>
      <c r="O1424" s="59" t="str">
        <f>IF(A1424="","",COUNTIF($A$6:A1424,A1424))</f>
        <v/>
      </c>
      <c r="P1424" s="62" t="str">
        <f>IF(A1424="","",A1424&amp;"|"&amp;O1424)</f>
        <v/>
      </c>
    </row>
    <row r="1425">
      <c r="A1425" s="60" t="n"/>
      <c r="B1425" s="63" t="n"/>
      <c r="C1425" s="63" t="n"/>
      <c r="D1425" s="67" t="n"/>
      <c r="E1425" s="68" t="n"/>
      <c r="F1425" s="69" t="n"/>
      <c r="G1425" s="70" t="n"/>
      <c r="H1425" s="62" t="str">
        <f>IF(COUNTA(A1425:G1425)=0,"",IF(C1425&lt;&gt;"",C1425,IF(B1425="","",IFERROR(INDEX(pr_des,MATCH(B1425,pr_code,0))&amp;"",""))))</f>
        <v/>
      </c>
      <c r="I1425" s="59" t="str">
        <f>IF(B1425="","",IFERROR(INDEX(pr_unit,MATCH(B1425,pr_code,0))&amp;"",""))</f>
        <v/>
      </c>
      <c r="J1425" s="65" t="str">
        <f>IF(COUNTA(A1425:G1425)=0,"",IF(E1425&lt;&gt;"",E1425,IF(B1425="","",IFERROR(IF(INDEX(pr_price,MATCH(B1425,pr_code,0))="","",INDEX(pr_price,MATCH(B1425,pr_code,0))),""))))</f>
        <v/>
      </c>
      <c r="K1425" s="71" t="str">
        <f>IF(COUNTA(A1425:G1425)=0,"",IF(G1425&lt;&gt;"",G1425,IF(B1425="","",IFERROR(IF(INDEX(pr_rate,MATCH(B1425,pr_code,0))="","",INDEX(pr_rate,MATCH(B1425,pr_code,0))),""))))</f>
        <v/>
      </c>
      <c r="L1425" s="65" t="str">
        <f>IF(COUNTA(A1425:G1425)=0,"",IF(AND(ISNUMBER(D1425),ISNUMBER(J1425)),ROUND(D1425*J1425*(1-N(F1425)),2),0))</f>
        <v/>
      </c>
      <c r="M1425" s="62" t="str">
        <f>IF(A1425="","",IFERROR(INDEX(dv_cname,MATCH(A1425,dv_num,0))&amp;"",""))</f>
        <v/>
      </c>
      <c r="N1425" s="59" t="str">
        <f>IF(COUNTA(A1425:G1425)=0,"",IF(A1425="","N° devis manquant",IF(ISNA(MATCH(A1425,dv_num,0)),"Devis inconnu",IF(AND(B1425&lt;&gt;"",ISNA(MATCH(B1425,pr_code,0))),"Article inconnu",IF(H1425="","Désignation manquante",IF(OR(NOT(ISNUMBER(D1425)),N(D1425)&lt;=0),"Quantité invalide",IF(J1425="","Prix manquant",IF(OR(NOT(ISNUMBER(J1425)),N(J1425)&lt;0),"Prix invalide",IF(OR(AND(F1425&lt;&gt;"",NOT(ISNUMBER(F1425))),N(F1425)&lt;0,N(F1425)&gt;1),"Remise invalide",IF(K1425="","Taux de TVA manquant",IF(NOT(ISNUMBER(K1425)),"Taux de TVA invalide",IF(COUNTIF(p_rates,K1425)=0,"Taux de TVA hors liste (Paramètres)",IF(N(O1425)&gt;25,"Au-delà de 25 lignes : non imprimée","OK")))))))))))))</f>
        <v/>
      </c>
      <c r="O1425" s="59" t="str">
        <f>IF(A1425="","",COUNTIF($A$6:A1425,A1425))</f>
        <v/>
      </c>
      <c r="P1425" s="62" t="str">
        <f>IF(A1425="","",A1425&amp;"|"&amp;O1425)</f>
        <v/>
      </c>
    </row>
    <row r="1426">
      <c r="A1426" s="60" t="n"/>
      <c r="B1426" s="63" t="n"/>
      <c r="C1426" s="63" t="n"/>
      <c r="D1426" s="67" t="n"/>
      <c r="E1426" s="68" t="n"/>
      <c r="F1426" s="69" t="n"/>
      <c r="G1426" s="70" t="n"/>
      <c r="H1426" s="62" t="str">
        <f>IF(COUNTA(A1426:G1426)=0,"",IF(C1426&lt;&gt;"",C1426,IF(B1426="","",IFERROR(INDEX(pr_des,MATCH(B1426,pr_code,0))&amp;"",""))))</f>
        <v/>
      </c>
      <c r="I1426" s="59" t="str">
        <f>IF(B1426="","",IFERROR(INDEX(pr_unit,MATCH(B1426,pr_code,0))&amp;"",""))</f>
        <v/>
      </c>
      <c r="J1426" s="65" t="str">
        <f>IF(COUNTA(A1426:G1426)=0,"",IF(E1426&lt;&gt;"",E1426,IF(B1426="","",IFERROR(IF(INDEX(pr_price,MATCH(B1426,pr_code,0))="","",INDEX(pr_price,MATCH(B1426,pr_code,0))),""))))</f>
        <v/>
      </c>
      <c r="K1426" s="71" t="str">
        <f>IF(COUNTA(A1426:G1426)=0,"",IF(G1426&lt;&gt;"",G1426,IF(B1426="","",IFERROR(IF(INDEX(pr_rate,MATCH(B1426,pr_code,0))="","",INDEX(pr_rate,MATCH(B1426,pr_code,0))),""))))</f>
        <v/>
      </c>
      <c r="L1426" s="65" t="str">
        <f>IF(COUNTA(A1426:G1426)=0,"",IF(AND(ISNUMBER(D1426),ISNUMBER(J1426)),ROUND(D1426*J1426*(1-N(F1426)),2),0))</f>
        <v/>
      </c>
      <c r="M1426" s="62" t="str">
        <f>IF(A1426="","",IFERROR(INDEX(dv_cname,MATCH(A1426,dv_num,0))&amp;"",""))</f>
        <v/>
      </c>
      <c r="N1426" s="59" t="str">
        <f>IF(COUNTA(A1426:G1426)=0,"",IF(A1426="","N° devis manquant",IF(ISNA(MATCH(A1426,dv_num,0)),"Devis inconnu",IF(AND(B1426&lt;&gt;"",ISNA(MATCH(B1426,pr_code,0))),"Article inconnu",IF(H1426="","Désignation manquante",IF(OR(NOT(ISNUMBER(D1426)),N(D1426)&lt;=0),"Quantité invalide",IF(J1426="","Prix manquant",IF(OR(NOT(ISNUMBER(J1426)),N(J1426)&lt;0),"Prix invalide",IF(OR(AND(F1426&lt;&gt;"",NOT(ISNUMBER(F1426))),N(F1426)&lt;0,N(F1426)&gt;1),"Remise invalide",IF(K1426="","Taux de TVA manquant",IF(NOT(ISNUMBER(K1426)),"Taux de TVA invalide",IF(COUNTIF(p_rates,K1426)=0,"Taux de TVA hors liste (Paramètres)",IF(N(O1426)&gt;25,"Au-delà de 25 lignes : non imprimée","OK")))))))))))))</f>
        <v/>
      </c>
      <c r="O1426" s="59" t="str">
        <f>IF(A1426="","",COUNTIF($A$6:A1426,A1426))</f>
        <v/>
      </c>
      <c r="P1426" s="62" t="str">
        <f>IF(A1426="","",A1426&amp;"|"&amp;O1426)</f>
        <v/>
      </c>
    </row>
    <row r="1427">
      <c r="A1427" s="60" t="n"/>
      <c r="B1427" s="63" t="n"/>
      <c r="C1427" s="63" t="n"/>
      <c r="D1427" s="67" t="n"/>
      <c r="E1427" s="68" t="n"/>
      <c r="F1427" s="69" t="n"/>
      <c r="G1427" s="70" t="n"/>
      <c r="H1427" s="62" t="str">
        <f>IF(COUNTA(A1427:G1427)=0,"",IF(C1427&lt;&gt;"",C1427,IF(B1427="","",IFERROR(INDEX(pr_des,MATCH(B1427,pr_code,0))&amp;"",""))))</f>
        <v/>
      </c>
      <c r="I1427" s="59" t="str">
        <f>IF(B1427="","",IFERROR(INDEX(pr_unit,MATCH(B1427,pr_code,0))&amp;"",""))</f>
        <v/>
      </c>
      <c r="J1427" s="65" t="str">
        <f>IF(COUNTA(A1427:G1427)=0,"",IF(E1427&lt;&gt;"",E1427,IF(B1427="","",IFERROR(IF(INDEX(pr_price,MATCH(B1427,pr_code,0))="","",INDEX(pr_price,MATCH(B1427,pr_code,0))),""))))</f>
        <v/>
      </c>
      <c r="K1427" s="71" t="str">
        <f>IF(COUNTA(A1427:G1427)=0,"",IF(G1427&lt;&gt;"",G1427,IF(B1427="","",IFERROR(IF(INDEX(pr_rate,MATCH(B1427,pr_code,0))="","",INDEX(pr_rate,MATCH(B1427,pr_code,0))),""))))</f>
        <v/>
      </c>
      <c r="L1427" s="65" t="str">
        <f>IF(COUNTA(A1427:G1427)=0,"",IF(AND(ISNUMBER(D1427),ISNUMBER(J1427)),ROUND(D1427*J1427*(1-N(F1427)),2),0))</f>
        <v/>
      </c>
      <c r="M1427" s="62" t="str">
        <f>IF(A1427="","",IFERROR(INDEX(dv_cname,MATCH(A1427,dv_num,0))&amp;"",""))</f>
        <v/>
      </c>
      <c r="N1427" s="59" t="str">
        <f>IF(COUNTA(A1427:G1427)=0,"",IF(A1427="","N° devis manquant",IF(ISNA(MATCH(A1427,dv_num,0)),"Devis inconnu",IF(AND(B1427&lt;&gt;"",ISNA(MATCH(B1427,pr_code,0))),"Article inconnu",IF(H1427="","Désignation manquante",IF(OR(NOT(ISNUMBER(D1427)),N(D1427)&lt;=0),"Quantité invalide",IF(J1427="","Prix manquant",IF(OR(NOT(ISNUMBER(J1427)),N(J1427)&lt;0),"Prix invalide",IF(OR(AND(F1427&lt;&gt;"",NOT(ISNUMBER(F1427))),N(F1427)&lt;0,N(F1427)&gt;1),"Remise invalide",IF(K1427="","Taux de TVA manquant",IF(NOT(ISNUMBER(K1427)),"Taux de TVA invalide",IF(COUNTIF(p_rates,K1427)=0,"Taux de TVA hors liste (Paramètres)",IF(N(O1427)&gt;25,"Au-delà de 25 lignes : non imprimée","OK")))))))))))))</f>
        <v/>
      </c>
      <c r="O1427" s="59" t="str">
        <f>IF(A1427="","",COUNTIF($A$6:A1427,A1427))</f>
        <v/>
      </c>
      <c r="P1427" s="62" t="str">
        <f>IF(A1427="","",A1427&amp;"|"&amp;O1427)</f>
        <v/>
      </c>
    </row>
    <row r="1428">
      <c r="A1428" s="60" t="n"/>
      <c r="B1428" s="63" t="n"/>
      <c r="C1428" s="63" t="n"/>
      <c r="D1428" s="67" t="n"/>
      <c r="E1428" s="68" t="n"/>
      <c r="F1428" s="69" t="n"/>
      <c r="G1428" s="70" t="n"/>
      <c r="H1428" s="62" t="str">
        <f>IF(COUNTA(A1428:G1428)=0,"",IF(C1428&lt;&gt;"",C1428,IF(B1428="","",IFERROR(INDEX(pr_des,MATCH(B1428,pr_code,0))&amp;"",""))))</f>
        <v/>
      </c>
      <c r="I1428" s="59" t="str">
        <f>IF(B1428="","",IFERROR(INDEX(pr_unit,MATCH(B1428,pr_code,0))&amp;"",""))</f>
        <v/>
      </c>
      <c r="J1428" s="65" t="str">
        <f>IF(COUNTA(A1428:G1428)=0,"",IF(E1428&lt;&gt;"",E1428,IF(B1428="","",IFERROR(IF(INDEX(pr_price,MATCH(B1428,pr_code,0))="","",INDEX(pr_price,MATCH(B1428,pr_code,0))),""))))</f>
        <v/>
      </c>
      <c r="K1428" s="71" t="str">
        <f>IF(COUNTA(A1428:G1428)=0,"",IF(G1428&lt;&gt;"",G1428,IF(B1428="","",IFERROR(IF(INDEX(pr_rate,MATCH(B1428,pr_code,0))="","",INDEX(pr_rate,MATCH(B1428,pr_code,0))),""))))</f>
        <v/>
      </c>
      <c r="L1428" s="65" t="str">
        <f>IF(COUNTA(A1428:G1428)=0,"",IF(AND(ISNUMBER(D1428),ISNUMBER(J1428)),ROUND(D1428*J1428*(1-N(F1428)),2),0))</f>
        <v/>
      </c>
      <c r="M1428" s="62" t="str">
        <f>IF(A1428="","",IFERROR(INDEX(dv_cname,MATCH(A1428,dv_num,0))&amp;"",""))</f>
        <v/>
      </c>
      <c r="N1428" s="59" t="str">
        <f>IF(COUNTA(A1428:G1428)=0,"",IF(A1428="","N° devis manquant",IF(ISNA(MATCH(A1428,dv_num,0)),"Devis inconnu",IF(AND(B1428&lt;&gt;"",ISNA(MATCH(B1428,pr_code,0))),"Article inconnu",IF(H1428="","Désignation manquante",IF(OR(NOT(ISNUMBER(D1428)),N(D1428)&lt;=0),"Quantité invalide",IF(J1428="","Prix manquant",IF(OR(NOT(ISNUMBER(J1428)),N(J1428)&lt;0),"Prix invalide",IF(OR(AND(F1428&lt;&gt;"",NOT(ISNUMBER(F1428))),N(F1428)&lt;0,N(F1428)&gt;1),"Remise invalide",IF(K1428="","Taux de TVA manquant",IF(NOT(ISNUMBER(K1428)),"Taux de TVA invalide",IF(COUNTIF(p_rates,K1428)=0,"Taux de TVA hors liste (Paramètres)",IF(N(O1428)&gt;25,"Au-delà de 25 lignes : non imprimée","OK")))))))))))))</f>
        <v/>
      </c>
      <c r="O1428" s="59" t="str">
        <f>IF(A1428="","",COUNTIF($A$6:A1428,A1428))</f>
        <v/>
      </c>
      <c r="P1428" s="62" t="str">
        <f>IF(A1428="","",A1428&amp;"|"&amp;O1428)</f>
        <v/>
      </c>
    </row>
    <row r="1429">
      <c r="A1429" s="60" t="n"/>
      <c r="B1429" s="63" t="n"/>
      <c r="C1429" s="63" t="n"/>
      <c r="D1429" s="67" t="n"/>
      <c r="E1429" s="68" t="n"/>
      <c r="F1429" s="69" t="n"/>
      <c r="G1429" s="70" t="n"/>
      <c r="H1429" s="62" t="str">
        <f>IF(COUNTA(A1429:G1429)=0,"",IF(C1429&lt;&gt;"",C1429,IF(B1429="","",IFERROR(INDEX(pr_des,MATCH(B1429,pr_code,0))&amp;"",""))))</f>
        <v/>
      </c>
      <c r="I1429" s="59" t="str">
        <f>IF(B1429="","",IFERROR(INDEX(pr_unit,MATCH(B1429,pr_code,0))&amp;"",""))</f>
        <v/>
      </c>
      <c r="J1429" s="65" t="str">
        <f>IF(COUNTA(A1429:G1429)=0,"",IF(E1429&lt;&gt;"",E1429,IF(B1429="","",IFERROR(IF(INDEX(pr_price,MATCH(B1429,pr_code,0))="","",INDEX(pr_price,MATCH(B1429,pr_code,0))),""))))</f>
        <v/>
      </c>
      <c r="K1429" s="71" t="str">
        <f>IF(COUNTA(A1429:G1429)=0,"",IF(G1429&lt;&gt;"",G1429,IF(B1429="","",IFERROR(IF(INDEX(pr_rate,MATCH(B1429,pr_code,0))="","",INDEX(pr_rate,MATCH(B1429,pr_code,0))),""))))</f>
        <v/>
      </c>
      <c r="L1429" s="65" t="str">
        <f>IF(COUNTA(A1429:G1429)=0,"",IF(AND(ISNUMBER(D1429),ISNUMBER(J1429)),ROUND(D1429*J1429*(1-N(F1429)),2),0))</f>
        <v/>
      </c>
      <c r="M1429" s="62" t="str">
        <f>IF(A1429="","",IFERROR(INDEX(dv_cname,MATCH(A1429,dv_num,0))&amp;"",""))</f>
        <v/>
      </c>
      <c r="N1429" s="59" t="str">
        <f>IF(COUNTA(A1429:G1429)=0,"",IF(A1429="","N° devis manquant",IF(ISNA(MATCH(A1429,dv_num,0)),"Devis inconnu",IF(AND(B1429&lt;&gt;"",ISNA(MATCH(B1429,pr_code,0))),"Article inconnu",IF(H1429="","Désignation manquante",IF(OR(NOT(ISNUMBER(D1429)),N(D1429)&lt;=0),"Quantité invalide",IF(J1429="","Prix manquant",IF(OR(NOT(ISNUMBER(J1429)),N(J1429)&lt;0),"Prix invalide",IF(OR(AND(F1429&lt;&gt;"",NOT(ISNUMBER(F1429))),N(F1429)&lt;0,N(F1429)&gt;1),"Remise invalide",IF(K1429="","Taux de TVA manquant",IF(NOT(ISNUMBER(K1429)),"Taux de TVA invalide",IF(COUNTIF(p_rates,K1429)=0,"Taux de TVA hors liste (Paramètres)",IF(N(O1429)&gt;25,"Au-delà de 25 lignes : non imprimée","OK")))))))))))))</f>
        <v/>
      </c>
      <c r="O1429" s="59" t="str">
        <f>IF(A1429="","",COUNTIF($A$6:A1429,A1429))</f>
        <v/>
      </c>
      <c r="P1429" s="62" t="str">
        <f>IF(A1429="","",A1429&amp;"|"&amp;O1429)</f>
        <v/>
      </c>
    </row>
    <row r="1430">
      <c r="A1430" s="60" t="n"/>
      <c r="B1430" s="63" t="n"/>
      <c r="C1430" s="63" t="n"/>
      <c r="D1430" s="67" t="n"/>
      <c r="E1430" s="68" t="n"/>
      <c r="F1430" s="69" t="n"/>
      <c r="G1430" s="70" t="n"/>
      <c r="H1430" s="62" t="str">
        <f>IF(COUNTA(A1430:G1430)=0,"",IF(C1430&lt;&gt;"",C1430,IF(B1430="","",IFERROR(INDEX(pr_des,MATCH(B1430,pr_code,0))&amp;"",""))))</f>
        <v/>
      </c>
      <c r="I1430" s="59" t="str">
        <f>IF(B1430="","",IFERROR(INDEX(pr_unit,MATCH(B1430,pr_code,0))&amp;"",""))</f>
        <v/>
      </c>
      <c r="J1430" s="65" t="str">
        <f>IF(COUNTA(A1430:G1430)=0,"",IF(E1430&lt;&gt;"",E1430,IF(B1430="","",IFERROR(IF(INDEX(pr_price,MATCH(B1430,pr_code,0))="","",INDEX(pr_price,MATCH(B1430,pr_code,0))),""))))</f>
        <v/>
      </c>
      <c r="K1430" s="71" t="str">
        <f>IF(COUNTA(A1430:G1430)=0,"",IF(G1430&lt;&gt;"",G1430,IF(B1430="","",IFERROR(IF(INDEX(pr_rate,MATCH(B1430,pr_code,0))="","",INDEX(pr_rate,MATCH(B1430,pr_code,0))),""))))</f>
        <v/>
      </c>
      <c r="L1430" s="65" t="str">
        <f>IF(COUNTA(A1430:G1430)=0,"",IF(AND(ISNUMBER(D1430),ISNUMBER(J1430)),ROUND(D1430*J1430*(1-N(F1430)),2),0))</f>
        <v/>
      </c>
      <c r="M1430" s="62" t="str">
        <f>IF(A1430="","",IFERROR(INDEX(dv_cname,MATCH(A1430,dv_num,0))&amp;"",""))</f>
        <v/>
      </c>
      <c r="N1430" s="59" t="str">
        <f>IF(COUNTA(A1430:G1430)=0,"",IF(A1430="","N° devis manquant",IF(ISNA(MATCH(A1430,dv_num,0)),"Devis inconnu",IF(AND(B1430&lt;&gt;"",ISNA(MATCH(B1430,pr_code,0))),"Article inconnu",IF(H1430="","Désignation manquante",IF(OR(NOT(ISNUMBER(D1430)),N(D1430)&lt;=0),"Quantité invalide",IF(J1430="","Prix manquant",IF(OR(NOT(ISNUMBER(J1430)),N(J1430)&lt;0),"Prix invalide",IF(OR(AND(F1430&lt;&gt;"",NOT(ISNUMBER(F1430))),N(F1430)&lt;0,N(F1430)&gt;1),"Remise invalide",IF(K1430="","Taux de TVA manquant",IF(NOT(ISNUMBER(K1430)),"Taux de TVA invalide",IF(COUNTIF(p_rates,K1430)=0,"Taux de TVA hors liste (Paramètres)",IF(N(O1430)&gt;25,"Au-delà de 25 lignes : non imprimée","OK")))))))))))))</f>
        <v/>
      </c>
      <c r="O1430" s="59" t="str">
        <f>IF(A1430="","",COUNTIF($A$6:A1430,A1430))</f>
        <v/>
      </c>
      <c r="P1430" s="62" t="str">
        <f>IF(A1430="","",A1430&amp;"|"&amp;O1430)</f>
        <v/>
      </c>
    </row>
    <row r="1431">
      <c r="A1431" s="60" t="n"/>
      <c r="B1431" s="63" t="n"/>
      <c r="C1431" s="63" t="n"/>
      <c r="D1431" s="67" t="n"/>
      <c r="E1431" s="68" t="n"/>
      <c r="F1431" s="69" t="n"/>
      <c r="G1431" s="70" t="n"/>
      <c r="H1431" s="62" t="str">
        <f>IF(COUNTA(A1431:G1431)=0,"",IF(C1431&lt;&gt;"",C1431,IF(B1431="","",IFERROR(INDEX(pr_des,MATCH(B1431,pr_code,0))&amp;"",""))))</f>
        <v/>
      </c>
      <c r="I1431" s="59" t="str">
        <f>IF(B1431="","",IFERROR(INDEX(pr_unit,MATCH(B1431,pr_code,0))&amp;"",""))</f>
        <v/>
      </c>
      <c r="J1431" s="65" t="str">
        <f>IF(COUNTA(A1431:G1431)=0,"",IF(E1431&lt;&gt;"",E1431,IF(B1431="","",IFERROR(IF(INDEX(pr_price,MATCH(B1431,pr_code,0))="","",INDEX(pr_price,MATCH(B1431,pr_code,0))),""))))</f>
        <v/>
      </c>
      <c r="K1431" s="71" t="str">
        <f>IF(COUNTA(A1431:G1431)=0,"",IF(G1431&lt;&gt;"",G1431,IF(B1431="","",IFERROR(IF(INDEX(pr_rate,MATCH(B1431,pr_code,0))="","",INDEX(pr_rate,MATCH(B1431,pr_code,0))),""))))</f>
        <v/>
      </c>
      <c r="L1431" s="65" t="str">
        <f>IF(COUNTA(A1431:G1431)=0,"",IF(AND(ISNUMBER(D1431),ISNUMBER(J1431)),ROUND(D1431*J1431*(1-N(F1431)),2),0))</f>
        <v/>
      </c>
      <c r="M1431" s="62" t="str">
        <f>IF(A1431="","",IFERROR(INDEX(dv_cname,MATCH(A1431,dv_num,0))&amp;"",""))</f>
        <v/>
      </c>
      <c r="N1431" s="59" t="str">
        <f>IF(COUNTA(A1431:G1431)=0,"",IF(A1431="","N° devis manquant",IF(ISNA(MATCH(A1431,dv_num,0)),"Devis inconnu",IF(AND(B1431&lt;&gt;"",ISNA(MATCH(B1431,pr_code,0))),"Article inconnu",IF(H1431="","Désignation manquante",IF(OR(NOT(ISNUMBER(D1431)),N(D1431)&lt;=0),"Quantité invalide",IF(J1431="","Prix manquant",IF(OR(NOT(ISNUMBER(J1431)),N(J1431)&lt;0),"Prix invalide",IF(OR(AND(F1431&lt;&gt;"",NOT(ISNUMBER(F1431))),N(F1431)&lt;0,N(F1431)&gt;1),"Remise invalide",IF(K1431="","Taux de TVA manquant",IF(NOT(ISNUMBER(K1431)),"Taux de TVA invalide",IF(COUNTIF(p_rates,K1431)=0,"Taux de TVA hors liste (Paramètres)",IF(N(O1431)&gt;25,"Au-delà de 25 lignes : non imprimée","OK")))))))))))))</f>
        <v/>
      </c>
      <c r="O1431" s="59" t="str">
        <f>IF(A1431="","",COUNTIF($A$6:A1431,A1431))</f>
        <v/>
      </c>
      <c r="P1431" s="62" t="str">
        <f>IF(A1431="","",A1431&amp;"|"&amp;O1431)</f>
        <v/>
      </c>
    </row>
    <row r="1432">
      <c r="A1432" s="60" t="n"/>
      <c r="B1432" s="63" t="n"/>
      <c r="C1432" s="63" t="n"/>
      <c r="D1432" s="67" t="n"/>
      <c r="E1432" s="68" t="n"/>
      <c r="F1432" s="69" t="n"/>
      <c r="G1432" s="70" t="n"/>
      <c r="H1432" s="62" t="str">
        <f>IF(COUNTA(A1432:G1432)=0,"",IF(C1432&lt;&gt;"",C1432,IF(B1432="","",IFERROR(INDEX(pr_des,MATCH(B1432,pr_code,0))&amp;"",""))))</f>
        <v/>
      </c>
      <c r="I1432" s="59" t="str">
        <f>IF(B1432="","",IFERROR(INDEX(pr_unit,MATCH(B1432,pr_code,0))&amp;"",""))</f>
        <v/>
      </c>
      <c r="J1432" s="65" t="str">
        <f>IF(COUNTA(A1432:G1432)=0,"",IF(E1432&lt;&gt;"",E1432,IF(B1432="","",IFERROR(IF(INDEX(pr_price,MATCH(B1432,pr_code,0))="","",INDEX(pr_price,MATCH(B1432,pr_code,0))),""))))</f>
        <v/>
      </c>
      <c r="K1432" s="71" t="str">
        <f>IF(COUNTA(A1432:G1432)=0,"",IF(G1432&lt;&gt;"",G1432,IF(B1432="","",IFERROR(IF(INDEX(pr_rate,MATCH(B1432,pr_code,0))="","",INDEX(pr_rate,MATCH(B1432,pr_code,0))),""))))</f>
        <v/>
      </c>
      <c r="L1432" s="65" t="str">
        <f>IF(COUNTA(A1432:G1432)=0,"",IF(AND(ISNUMBER(D1432),ISNUMBER(J1432)),ROUND(D1432*J1432*(1-N(F1432)),2),0))</f>
        <v/>
      </c>
      <c r="M1432" s="62" t="str">
        <f>IF(A1432="","",IFERROR(INDEX(dv_cname,MATCH(A1432,dv_num,0))&amp;"",""))</f>
        <v/>
      </c>
      <c r="N1432" s="59" t="str">
        <f>IF(COUNTA(A1432:G1432)=0,"",IF(A1432="","N° devis manquant",IF(ISNA(MATCH(A1432,dv_num,0)),"Devis inconnu",IF(AND(B1432&lt;&gt;"",ISNA(MATCH(B1432,pr_code,0))),"Article inconnu",IF(H1432="","Désignation manquante",IF(OR(NOT(ISNUMBER(D1432)),N(D1432)&lt;=0),"Quantité invalide",IF(J1432="","Prix manquant",IF(OR(NOT(ISNUMBER(J1432)),N(J1432)&lt;0),"Prix invalide",IF(OR(AND(F1432&lt;&gt;"",NOT(ISNUMBER(F1432))),N(F1432)&lt;0,N(F1432)&gt;1),"Remise invalide",IF(K1432="","Taux de TVA manquant",IF(NOT(ISNUMBER(K1432)),"Taux de TVA invalide",IF(COUNTIF(p_rates,K1432)=0,"Taux de TVA hors liste (Paramètres)",IF(N(O1432)&gt;25,"Au-delà de 25 lignes : non imprimée","OK")))))))))))))</f>
        <v/>
      </c>
      <c r="O1432" s="59" t="str">
        <f>IF(A1432="","",COUNTIF($A$6:A1432,A1432))</f>
        <v/>
      </c>
      <c r="P1432" s="62" t="str">
        <f>IF(A1432="","",A1432&amp;"|"&amp;O1432)</f>
        <v/>
      </c>
    </row>
    <row r="1433">
      <c r="A1433" s="60" t="n"/>
      <c r="B1433" s="63" t="n"/>
      <c r="C1433" s="63" t="n"/>
      <c r="D1433" s="67" t="n"/>
      <c r="E1433" s="68" t="n"/>
      <c r="F1433" s="69" t="n"/>
      <c r="G1433" s="70" t="n"/>
      <c r="H1433" s="62" t="str">
        <f>IF(COUNTA(A1433:G1433)=0,"",IF(C1433&lt;&gt;"",C1433,IF(B1433="","",IFERROR(INDEX(pr_des,MATCH(B1433,pr_code,0))&amp;"",""))))</f>
        <v/>
      </c>
      <c r="I1433" s="59" t="str">
        <f>IF(B1433="","",IFERROR(INDEX(pr_unit,MATCH(B1433,pr_code,0))&amp;"",""))</f>
        <v/>
      </c>
      <c r="J1433" s="65" t="str">
        <f>IF(COUNTA(A1433:G1433)=0,"",IF(E1433&lt;&gt;"",E1433,IF(B1433="","",IFERROR(IF(INDEX(pr_price,MATCH(B1433,pr_code,0))="","",INDEX(pr_price,MATCH(B1433,pr_code,0))),""))))</f>
        <v/>
      </c>
      <c r="K1433" s="71" t="str">
        <f>IF(COUNTA(A1433:G1433)=0,"",IF(G1433&lt;&gt;"",G1433,IF(B1433="","",IFERROR(IF(INDEX(pr_rate,MATCH(B1433,pr_code,0))="","",INDEX(pr_rate,MATCH(B1433,pr_code,0))),""))))</f>
        <v/>
      </c>
      <c r="L1433" s="65" t="str">
        <f>IF(COUNTA(A1433:G1433)=0,"",IF(AND(ISNUMBER(D1433),ISNUMBER(J1433)),ROUND(D1433*J1433*(1-N(F1433)),2),0))</f>
        <v/>
      </c>
      <c r="M1433" s="62" t="str">
        <f>IF(A1433="","",IFERROR(INDEX(dv_cname,MATCH(A1433,dv_num,0))&amp;"",""))</f>
        <v/>
      </c>
      <c r="N1433" s="59" t="str">
        <f>IF(COUNTA(A1433:G1433)=0,"",IF(A1433="","N° devis manquant",IF(ISNA(MATCH(A1433,dv_num,0)),"Devis inconnu",IF(AND(B1433&lt;&gt;"",ISNA(MATCH(B1433,pr_code,0))),"Article inconnu",IF(H1433="","Désignation manquante",IF(OR(NOT(ISNUMBER(D1433)),N(D1433)&lt;=0),"Quantité invalide",IF(J1433="","Prix manquant",IF(OR(NOT(ISNUMBER(J1433)),N(J1433)&lt;0),"Prix invalide",IF(OR(AND(F1433&lt;&gt;"",NOT(ISNUMBER(F1433))),N(F1433)&lt;0,N(F1433)&gt;1),"Remise invalide",IF(K1433="","Taux de TVA manquant",IF(NOT(ISNUMBER(K1433)),"Taux de TVA invalide",IF(COUNTIF(p_rates,K1433)=0,"Taux de TVA hors liste (Paramètres)",IF(N(O1433)&gt;25,"Au-delà de 25 lignes : non imprimée","OK")))))))))))))</f>
        <v/>
      </c>
      <c r="O1433" s="59" t="str">
        <f>IF(A1433="","",COUNTIF($A$6:A1433,A1433))</f>
        <v/>
      </c>
      <c r="P1433" s="62" t="str">
        <f>IF(A1433="","",A1433&amp;"|"&amp;O1433)</f>
        <v/>
      </c>
    </row>
    <row r="1434">
      <c r="A1434" s="60" t="n"/>
      <c r="B1434" s="63" t="n"/>
      <c r="C1434" s="63" t="n"/>
      <c r="D1434" s="67" t="n"/>
      <c r="E1434" s="68" t="n"/>
      <c r="F1434" s="69" t="n"/>
      <c r="G1434" s="70" t="n"/>
      <c r="H1434" s="62" t="str">
        <f>IF(COUNTA(A1434:G1434)=0,"",IF(C1434&lt;&gt;"",C1434,IF(B1434="","",IFERROR(INDEX(pr_des,MATCH(B1434,pr_code,0))&amp;"",""))))</f>
        <v/>
      </c>
      <c r="I1434" s="59" t="str">
        <f>IF(B1434="","",IFERROR(INDEX(pr_unit,MATCH(B1434,pr_code,0))&amp;"",""))</f>
        <v/>
      </c>
      <c r="J1434" s="65" t="str">
        <f>IF(COUNTA(A1434:G1434)=0,"",IF(E1434&lt;&gt;"",E1434,IF(B1434="","",IFERROR(IF(INDEX(pr_price,MATCH(B1434,pr_code,0))="","",INDEX(pr_price,MATCH(B1434,pr_code,0))),""))))</f>
        <v/>
      </c>
      <c r="K1434" s="71" t="str">
        <f>IF(COUNTA(A1434:G1434)=0,"",IF(G1434&lt;&gt;"",G1434,IF(B1434="","",IFERROR(IF(INDEX(pr_rate,MATCH(B1434,pr_code,0))="","",INDEX(pr_rate,MATCH(B1434,pr_code,0))),""))))</f>
        <v/>
      </c>
      <c r="L1434" s="65" t="str">
        <f>IF(COUNTA(A1434:G1434)=0,"",IF(AND(ISNUMBER(D1434),ISNUMBER(J1434)),ROUND(D1434*J1434*(1-N(F1434)),2),0))</f>
        <v/>
      </c>
      <c r="M1434" s="62" t="str">
        <f>IF(A1434="","",IFERROR(INDEX(dv_cname,MATCH(A1434,dv_num,0))&amp;"",""))</f>
        <v/>
      </c>
      <c r="N1434" s="59" t="str">
        <f>IF(COUNTA(A1434:G1434)=0,"",IF(A1434="","N° devis manquant",IF(ISNA(MATCH(A1434,dv_num,0)),"Devis inconnu",IF(AND(B1434&lt;&gt;"",ISNA(MATCH(B1434,pr_code,0))),"Article inconnu",IF(H1434="","Désignation manquante",IF(OR(NOT(ISNUMBER(D1434)),N(D1434)&lt;=0),"Quantité invalide",IF(J1434="","Prix manquant",IF(OR(NOT(ISNUMBER(J1434)),N(J1434)&lt;0),"Prix invalide",IF(OR(AND(F1434&lt;&gt;"",NOT(ISNUMBER(F1434))),N(F1434)&lt;0,N(F1434)&gt;1),"Remise invalide",IF(K1434="","Taux de TVA manquant",IF(NOT(ISNUMBER(K1434)),"Taux de TVA invalide",IF(COUNTIF(p_rates,K1434)=0,"Taux de TVA hors liste (Paramètres)",IF(N(O1434)&gt;25,"Au-delà de 25 lignes : non imprimée","OK")))))))))))))</f>
        <v/>
      </c>
      <c r="O1434" s="59" t="str">
        <f>IF(A1434="","",COUNTIF($A$6:A1434,A1434))</f>
        <v/>
      </c>
      <c r="P1434" s="62" t="str">
        <f>IF(A1434="","",A1434&amp;"|"&amp;O1434)</f>
        <v/>
      </c>
    </row>
    <row r="1435">
      <c r="A1435" s="60" t="n"/>
      <c r="B1435" s="63" t="n"/>
      <c r="C1435" s="63" t="n"/>
      <c r="D1435" s="67" t="n"/>
      <c r="E1435" s="68" t="n"/>
      <c r="F1435" s="69" t="n"/>
      <c r="G1435" s="70" t="n"/>
      <c r="H1435" s="62" t="str">
        <f>IF(COUNTA(A1435:G1435)=0,"",IF(C1435&lt;&gt;"",C1435,IF(B1435="","",IFERROR(INDEX(pr_des,MATCH(B1435,pr_code,0))&amp;"",""))))</f>
        <v/>
      </c>
      <c r="I1435" s="59" t="str">
        <f>IF(B1435="","",IFERROR(INDEX(pr_unit,MATCH(B1435,pr_code,0))&amp;"",""))</f>
        <v/>
      </c>
      <c r="J1435" s="65" t="str">
        <f>IF(COUNTA(A1435:G1435)=0,"",IF(E1435&lt;&gt;"",E1435,IF(B1435="","",IFERROR(IF(INDEX(pr_price,MATCH(B1435,pr_code,0))="","",INDEX(pr_price,MATCH(B1435,pr_code,0))),""))))</f>
        <v/>
      </c>
      <c r="K1435" s="71" t="str">
        <f>IF(COUNTA(A1435:G1435)=0,"",IF(G1435&lt;&gt;"",G1435,IF(B1435="","",IFERROR(IF(INDEX(pr_rate,MATCH(B1435,pr_code,0))="","",INDEX(pr_rate,MATCH(B1435,pr_code,0))),""))))</f>
        <v/>
      </c>
      <c r="L1435" s="65" t="str">
        <f>IF(COUNTA(A1435:G1435)=0,"",IF(AND(ISNUMBER(D1435),ISNUMBER(J1435)),ROUND(D1435*J1435*(1-N(F1435)),2),0))</f>
        <v/>
      </c>
      <c r="M1435" s="62" t="str">
        <f>IF(A1435="","",IFERROR(INDEX(dv_cname,MATCH(A1435,dv_num,0))&amp;"",""))</f>
        <v/>
      </c>
      <c r="N1435" s="59" t="str">
        <f>IF(COUNTA(A1435:G1435)=0,"",IF(A1435="","N° devis manquant",IF(ISNA(MATCH(A1435,dv_num,0)),"Devis inconnu",IF(AND(B1435&lt;&gt;"",ISNA(MATCH(B1435,pr_code,0))),"Article inconnu",IF(H1435="","Désignation manquante",IF(OR(NOT(ISNUMBER(D1435)),N(D1435)&lt;=0),"Quantité invalide",IF(J1435="","Prix manquant",IF(OR(NOT(ISNUMBER(J1435)),N(J1435)&lt;0),"Prix invalide",IF(OR(AND(F1435&lt;&gt;"",NOT(ISNUMBER(F1435))),N(F1435)&lt;0,N(F1435)&gt;1),"Remise invalide",IF(K1435="","Taux de TVA manquant",IF(NOT(ISNUMBER(K1435)),"Taux de TVA invalide",IF(COUNTIF(p_rates,K1435)=0,"Taux de TVA hors liste (Paramètres)",IF(N(O1435)&gt;25,"Au-delà de 25 lignes : non imprimée","OK")))))))))))))</f>
        <v/>
      </c>
      <c r="O1435" s="59" t="str">
        <f>IF(A1435="","",COUNTIF($A$6:A1435,A1435))</f>
        <v/>
      </c>
      <c r="P1435" s="62" t="str">
        <f>IF(A1435="","",A1435&amp;"|"&amp;O1435)</f>
        <v/>
      </c>
    </row>
    <row r="1436">
      <c r="A1436" s="60" t="n"/>
      <c r="B1436" s="63" t="n"/>
      <c r="C1436" s="63" t="n"/>
      <c r="D1436" s="67" t="n"/>
      <c r="E1436" s="68" t="n"/>
      <c r="F1436" s="69" t="n"/>
      <c r="G1436" s="70" t="n"/>
      <c r="H1436" s="62" t="str">
        <f>IF(COUNTA(A1436:G1436)=0,"",IF(C1436&lt;&gt;"",C1436,IF(B1436="","",IFERROR(INDEX(pr_des,MATCH(B1436,pr_code,0))&amp;"",""))))</f>
        <v/>
      </c>
      <c r="I1436" s="59" t="str">
        <f>IF(B1436="","",IFERROR(INDEX(pr_unit,MATCH(B1436,pr_code,0))&amp;"",""))</f>
        <v/>
      </c>
      <c r="J1436" s="65" t="str">
        <f>IF(COUNTA(A1436:G1436)=0,"",IF(E1436&lt;&gt;"",E1436,IF(B1436="","",IFERROR(IF(INDEX(pr_price,MATCH(B1436,pr_code,0))="","",INDEX(pr_price,MATCH(B1436,pr_code,0))),""))))</f>
        <v/>
      </c>
      <c r="K1436" s="71" t="str">
        <f>IF(COUNTA(A1436:G1436)=0,"",IF(G1436&lt;&gt;"",G1436,IF(B1436="","",IFERROR(IF(INDEX(pr_rate,MATCH(B1436,pr_code,0))="","",INDEX(pr_rate,MATCH(B1436,pr_code,0))),""))))</f>
        <v/>
      </c>
      <c r="L1436" s="65" t="str">
        <f>IF(COUNTA(A1436:G1436)=0,"",IF(AND(ISNUMBER(D1436),ISNUMBER(J1436)),ROUND(D1436*J1436*(1-N(F1436)),2),0))</f>
        <v/>
      </c>
      <c r="M1436" s="62" t="str">
        <f>IF(A1436="","",IFERROR(INDEX(dv_cname,MATCH(A1436,dv_num,0))&amp;"",""))</f>
        <v/>
      </c>
      <c r="N1436" s="59" t="str">
        <f>IF(COUNTA(A1436:G1436)=0,"",IF(A1436="","N° devis manquant",IF(ISNA(MATCH(A1436,dv_num,0)),"Devis inconnu",IF(AND(B1436&lt;&gt;"",ISNA(MATCH(B1436,pr_code,0))),"Article inconnu",IF(H1436="","Désignation manquante",IF(OR(NOT(ISNUMBER(D1436)),N(D1436)&lt;=0),"Quantité invalide",IF(J1436="","Prix manquant",IF(OR(NOT(ISNUMBER(J1436)),N(J1436)&lt;0),"Prix invalide",IF(OR(AND(F1436&lt;&gt;"",NOT(ISNUMBER(F1436))),N(F1436)&lt;0,N(F1436)&gt;1),"Remise invalide",IF(K1436="","Taux de TVA manquant",IF(NOT(ISNUMBER(K1436)),"Taux de TVA invalide",IF(COUNTIF(p_rates,K1436)=0,"Taux de TVA hors liste (Paramètres)",IF(N(O1436)&gt;25,"Au-delà de 25 lignes : non imprimée","OK")))))))))))))</f>
        <v/>
      </c>
      <c r="O1436" s="59" t="str">
        <f>IF(A1436="","",COUNTIF($A$6:A1436,A1436))</f>
        <v/>
      </c>
      <c r="P1436" s="62" t="str">
        <f>IF(A1436="","",A1436&amp;"|"&amp;O1436)</f>
        <v/>
      </c>
    </row>
    <row r="1437">
      <c r="A1437" s="60" t="n"/>
      <c r="B1437" s="63" t="n"/>
      <c r="C1437" s="63" t="n"/>
      <c r="D1437" s="67" t="n"/>
      <c r="E1437" s="68" t="n"/>
      <c r="F1437" s="69" t="n"/>
      <c r="G1437" s="70" t="n"/>
      <c r="H1437" s="62" t="str">
        <f>IF(COUNTA(A1437:G1437)=0,"",IF(C1437&lt;&gt;"",C1437,IF(B1437="","",IFERROR(INDEX(pr_des,MATCH(B1437,pr_code,0))&amp;"",""))))</f>
        <v/>
      </c>
      <c r="I1437" s="59" t="str">
        <f>IF(B1437="","",IFERROR(INDEX(pr_unit,MATCH(B1437,pr_code,0))&amp;"",""))</f>
        <v/>
      </c>
      <c r="J1437" s="65" t="str">
        <f>IF(COUNTA(A1437:G1437)=0,"",IF(E1437&lt;&gt;"",E1437,IF(B1437="","",IFERROR(IF(INDEX(pr_price,MATCH(B1437,pr_code,0))="","",INDEX(pr_price,MATCH(B1437,pr_code,0))),""))))</f>
        <v/>
      </c>
      <c r="K1437" s="71" t="str">
        <f>IF(COUNTA(A1437:G1437)=0,"",IF(G1437&lt;&gt;"",G1437,IF(B1437="","",IFERROR(IF(INDEX(pr_rate,MATCH(B1437,pr_code,0))="","",INDEX(pr_rate,MATCH(B1437,pr_code,0))),""))))</f>
        <v/>
      </c>
      <c r="L1437" s="65" t="str">
        <f>IF(COUNTA(A1437:G1437)=0,"",IF(AND(ISNUMBER(D1437),ISNUMBER(J1437)),ROUND(D1437*J1437*(1-N(F1437)),2),0))</f>
        <v/>
      </c>
      <c r="M1437" s="62" t="str">
        <f>IF(A1437="","",IFERROR(INDEX(dv_cname,MATCH(A1437,dv_num,0))&amp;"",""))</f>
        <v/>
      </c>
      <c r="N1437" s="59" t="str">
        <f>IF(COUNTA(A1437:G1437)=0,"",IF(A1437="","N° devis manquant",IF(ISNA(MATCH(A1437,dv_num,0)),"Devis inconnu",IF(AND(B1437&lt;&gt;"",ISNA(MATCH(B1437,pr_code,0))),"Article inconnu",IF(H1437="","Désignation manquante",IF(OR(NOT(ISNUMBER(D1437)),N(D1437)&lt;=0),"Quantité invalide",IF(J1437="","Prix manquant",IF(OR(NOT(ISNUMBER(J1437)),N(J1437)&lt;0),"Prix invalide",IF(OR(AND(F1437&lt;&gt;"",NOT(ISNUMBER(F1437))),N(F1437)&lt;0,N(F1437)&gt;1),"Remise invalide",IF(K1437="","Taux de TVA manquant",IF(NOT(ISNUMBER(K1437)),"Taux de TVA invalide",IF(COUNTIF(p_rates,K1437)=0,"Taux de TVA hors liste (Paramètres)",IF(N(O1437)&gt;25,"Au-delà de 25 lignes : non imprimée","OK")))))))))))))</f>
        <v/>
      </c>
      <c r="O1437" s="59" t="str">
        <f>IF(A1437="","",COUNTIF($A$6:A1437,A1437))</f>
        <v/>
      </c>
      <c r="P1437" s="62" t="str">
        <f>IF(A1437="","",A1437&amp;"|"&amp;O1437)</f>
        <v/>
      </c>
    </row>
    <row r="1438">
      <c r="A1438" s="60" t="n"/>
      <c r="B1438" s="63" t="n"/>
      <c r="C1438" s="63" t="n"/>
      <c r="D1438" s="67" t="n"/>
      <c r="E1438" s="68" t="n"/>
      <c r="F1438" s="69" t="n"/>
      <c r="G1438" s="70" t="n"/>
      <c r="H1438" s="62" t="str">
        <f>IF(COUNTA(A1438:G1438)=0,"",IF(C1438&lt;&gt;"",C1438,IF(B1438="","",IFERROR(INDEX(pr_des,MATCH(B1438,pr_code,0))&amp;"",""))))</f>
        <v/>
      </c>
      <c r="I1438" s="59" t="str">
        <f>IF(B1438="","",IFERROR(INDEX(pr_unit,MATCH(B1438,pr_code,0))&amp;"",""))</f>
        <v/>
      </c>
      <c r="J1438" s="65" t="str">
        <f>IF(COUNTA(A1438:G1438)=0,"",IF(E1438&lt;&gt;"",E1438,IF(B1438="","",IFERROR(IF(INDEX(pr_price,MATCH(B1438,pr_code,0))="","",INDEX(pr_price,MATCH(B1438,pr_code,0))),""))))</f>
        <v/>
      </c>
      <c r="K1438" s="71" t="str">
        <f>IF(COUNTA(A1438:G1438)=0,"",IF(G1438&lt;&gt;"",G1438,IF(B1438="","",IFERROR(IF(INDEX(pr_rate,MATCH(B1438,pr_code,0))="","",INDEX(pr_rate,MATCH(B1438,pr_code,0))),""))))</f>
        <v/>
      </c>
      <c r="L1438" s="65" t="str">
        <f>IF(COUNTA(A1438:G1438)=0,"",IF(AND(ISNUMBER(D1438),ISNUMBER(J1438)),ROUND(D1438*J1438*(1-N(F1438)),2),0))</f>
        <v/>
      </c>
      <c r="M1438" s="62" t="str">
        <f>IF(A1438="","",IFERROR(INDEX(dv_cname,MATCH(A1438,dv_num,0))&amp;"",""))</f>
        <v/>
      </c>
      <c r="N1438" s="59" t="str">
        <f>IF(COUNTA(A1438:G1438)=0,"",IF(A1438="","N° devis manquant",IF(ISNA(MATCH(A1438,dv_num,0)),"Devis inconnu",IF(AND(B1438&lt;&gt;"",ISNA(MATCH(B1438,pr_code,0))),"Article inconnu",IF(H1438="","Désignation manquante",IF(OR(NOT(ISNUMBER(D1438)),N(D1438)&lt;=0),"Quantité invalide",IF(J1438="","Prix manquant",IF(OR(NOT(ISNUMBER(J1438)),N(J1438)&lt;0),"Prix invalide",IF(OR(AND(F1438&lt;&gt;"",NOT(ISNUMBER(F1438))),N(F1438)&lt;0,N(F1438)&gt;1),"Remise invalide",IF(K1438="","Taux de TVA manquant",IF(NOT(ISNUMBER(K1438)),"Taux de TVA invalide",IF(COUNTIF(p_rates,K1438)=0,"Taux de TVA hors liste (Paramètres)",IF(N(O1438)&gt;25,"Au-delà de 25 lignes : non imprimée","OK")))))))))))))</f>
        <v/>
      </c>
      <c r="O1438" s="59" t="str">
        <f>IF(A1438="","",COUNTIF($A$6:A1438,A1438))</f>
        <v/>
      </c>
      <c r="P1438" s="62" t="str">
        <f>IF(A1438="","",A1438&amp;"|"&amp;O1438)</f>
        <v/>
      </c>
    </row>
    <row r="1439">
      <c r="A1439" s="60" t="n"/>
      <c r="B1439" s="63" t="n"/>
      <c r="C1439" s="63" t="n"/>
      <c r="D1439" s="67" t="n"/>
      <c r="E1439" s="68" t="n"/>
      <c r="F1439" s="69" t="n"/>
      <c r="G1439" s="70" t="n"/>
      <c r="H1439" s="62" t="str">
        <f>IF(COUNTA(A1439:G1439)=0,"",IF(C1439&lt;&gt;"",C1439,IF(B1439="","",IFERROR(INDEX(pr_des,MATCH(B1439,pr_code,0))&amp;"",""))))</f>
        <v/>
      </c>
      <c r="I1439" s="59" t="str">
        <f>IF(B1439="","",IFERROR(INDEX(pr_unit,MATCH(B1439,pr_code,0))&amp;"",""))</f>
        <v/>
      </c>
      <c r="J1439" s="65" t="str">
        <f>IF(COUNTA(A1439:G1439)=0,"",IF(E1439&lt;&gt;"",E1439,IF(B1439="","",IFERROR(IF(INDEX(pr_price,MATCH(B1439,pr_code,0))="","",INDEX(pr_price,MATCH(B1439,pr_code,0))),""))))</f>
        <v/>
      </c>
      <c r="K1439" s="71" t="str">
        <f>IF(COUNTA(A1439:G1439)=0,"",IF(G1439&lt;&gt;"",G1439,IF(B1439="","",IFERROR(IF(INDEX(pr_rate,MATCH(B1439,pr_code,0))="","",INDEX(pr_rate,MATCH(B1439,pr_code,0))),""))))</f>
        <v/>
      </c>
      <c r="L1439" s="65" t="str">
        <f>IF(COUNTA(A1439:G1439)=0,"",IF(AND(ISNUMBER(D1439),ISNUMBER(J1439)),ROUND(D1439*J1439*(1-N(F1439)),2),0))</f>
        <v/>
      </c>
      <c r="M1439" s="62" t="str">
        <f>IF(A1439="","",IFERROR(INDEX(dv_cname,MATCH(A1439,dv_num,0))&amp;"",""))</f>
        <v/>
      </c>
      <c r="N1439" s="59" t="str">
        <f>IF(COUNTA(A1439:G1439)=0,"",IF(A1439="","N° devis manquant",IF(ISNA(MATCH(A1439,dv_num,0)),"Devis inconnu",IF(AND(B1439&lt;&gt;"",ISNA(MATCH(B1439,pr_code,0))),"Article inconnu",IF(H1439="","Désignation manquante",IF(OR(NOT(ISNUMBER(D1439)),N(D1439)&lt;=0),"Quantité invalide",IF(J1439="","Prix manquant",IF(OR(NOT(ISNUMBER(J1439)),N(J1439)&lt;0),"Prix invalide",IF(OR(AND(F1439&lt;&gt;"",NOT(ISNUMBER(F1439))),N(F1439)&lt;0,N(F1439)&gt;1),"Remise invalide",IF(K1439="","Taux de TVA manquant",IF(NOT(ISNUMBER(K1439)),"Taux de TVA invalide",IF(COUNTIF(p_rates,K1439)=0,"Taux de TVA hors liste (Paramètres)",IF(N(O1439)&gt;25,"Au-delà de 25 lignes : non imprimée","OK")))))))))))))</f>
        <v/>
      </c>
      <c r="O1439" s="59" t="str">
        <f>IF(A1439="","",COUNTIF($A$6:A1439,A1439))</f>
        <v/>
      </c>
      <c r="P1439" s="62" t="str">
        <f>IF(A1439="","",A1439&amp;"|"&amp;O1439)</f>
        <v/>
      </c>
    </row>
    <row r="1440">
      <c r="A1440" s="60" t="n"/>
      <c r="B1440" s="63" t="n"/>
      <c r="C1440" s="63" t="n"/>
      <c r="D1440" s="67" t="n"/>
      <c r="E1440" s="68" t="n"/>
      <c r="F1440" s="69" t="n"/>
      <c r="G1440" s="70" t="n"/>
      <c r="H1440" s="62" t="str">
        <f>IF(COUNTA(A1440:G1440)=0,"",IF(C1440&lt;&gt;"",C1440,IF(B1440="","",IFERROR(INDEX(pr_des,MATCH(B1440,pr_code,0))&amp;"",""))))</f>
        <v/>
      </c>
      <c r="I1440" s="59" t="str">
        <f>IF(B1440="","",IFERROR(INDEX(pr_unit,MATCH(B1440,pr_code,0))&amp;"",""))</f>
        <v/>
      </c>
      <c r="J1440" s="65" t="str">
        <f>IF(COUNTA(A1440:G1440)=0,"",IF(E1440&lt;&gt;"",E1440,IF(B1440="","",IFERROR(IF(INDEX(pr_price,MATCH(B1440,pr_code,0))="","",INDEX(pr_price,MATCH(B1440,pr_code,0))),""))))</f>
        <v/>
      </c>
      <c r="K1440" s="71" t="str">
        <f>IF(COUNTA(A1440:G1440)=0,"",IF(G1440&lt;&gt;"",G1440,IF(B1440="","",IFERROR(IF(INDEX(pr_rate,MATCH(B1440,pr_code,0))="","",INDEX(pr_rate,MATCH(B1440,pr_code,0))),""))))</f>
        <v/>
      </c>
      <c r="L1440" s="65" t="str">
        <f>IF(COUNTA(A1440:G1440)=0,"",IF(AND(ISNUMBER(D1440),ISNUMBER(J1440)),ROUND(D1440*J1440*(1-N(F1440)),2),0))</f>
        <v/>
      </c>
      <c r="M1440" s="62" t="str">
        <f>IF(A1440="","",IFERROR(INDEX(dv_cname,MATCH(A1440,dv_num,0))&amp;"",""))</f>
        <v/>
      </c>
      <c r="N1440" s="59" t="str">
        <f>IF(COUNTA(A1440:G1440)=0,"",IF(A1440="","N° devis manquant",IF(ISNA(MATCH(A1440,dv_num,0)),"Devis inconnu",IF(AND(B1440&lt;&gt;"",ISNA(MATCH(B1440,pr_code,0))),"Article inconnu",IF(H1440="","Désignation manquante",IF(OR(NOT(ISNUMBER(D1440)),N(D1440)&lt;=0),"Quantité invalide",IF(J1440="","Prix manquant",IF(OR(NOT(ISNUMBER(J1440)),N(J1440)&lt;0),"Prix invalide",IF(OR(AND(F1440&lt;&gt;"",NOT(ISNUMBER(F1440))),N(F1440)&lt;0,N(F1440)&gt;1),"Remise invalide",IF(K1440="","Taux de TVA manquant",IF(NOT(ISNUMBER(K1440)),"Taux de TVA invalide",IF(COUNTIF(p_rates,K1440)=0,"Taux de TVA hors liste (Paramètres)",IF(N(O1440)&gt;25,"Au-delà de 25 lignes : non imprimée","OK")))))))))))))</f>
        <v/>
      </c>
      <c r="O1440" s="59" t="str">
        <f>IF(A1440="","",COUNTIF($A$6:A1440,A1440))</f>
        <v/>
      </c>
      <c r="P1440" s="62" t="str">
        <f>IF(A1440="","",A1440&amp;"|"&amp;O1440)</f>
        <v/>
      </c>
    </row>
    <row r="1441">
      <c r="A1441" s="60" t="n"/>
      <c r="B1441" s="63" t="n"/>
      <c r="C1441" s="63" t="n"/>
      <c r="D1441" s="67" t="n"/>
      <c r="E1441" s="68" t="n"/>
      <c r="F1441" s="69" t="n"/>
      <c r="G1441" s="70" t="n"/>
      <c r="H1441" s="62" t="str">
        <f>IF(COUNTA(A1441:G1441)=0,"",IF(C1441&lt;&gt;"",C1441,IF(B1441="","",IFERROR(INDEX(pr_des,MATCH(B1441,pr_code,0))&amp;"",""))))</f>
        <v/>
      </c>
      <c r="I1441" s="59" t="str">
        <f>IF(B1441="","",IFERROR(INDEX(pr_unit,MATCH(B1441,pr_code,0))&amp;"",""))</f>
        <v/>
      </c>
      <c r="J1441" s="65" t="str">
        <f>IF(COUNTA(A1441:G1441)=0,"",IF(E1441&lt;&gt;"",E1441,IF(B1441="","",IFERROR(IF(INDEX(pr_price,MATCH(B1441,pr_code,0))="","",INDEX(pr_price,MATCH(B1441,pr_code,0))),""))))</f>
        <v/>
      </c>
      <c r="K1441" s="71" t="str">
        <f>IF(COUNTA(A1441:G1441)=0,"",IF(G1441&lt;&gt;"",G1441,IF(B1441="","",IFERROR(IF(INDEX(pr_rate,MATCH(B1441,pr_code,0))="","",INDEX(pr_rate,MATCH(B1441,pr_code,0))),""))))</f>
        <v/>
      </c>
      <c r="L1441" s="65" t="str">
        <f>IF(COUNTA(A1441:G1441)=0,"",IF(AND(ISNUMBER(D1441),ISNUMBER(J1441)),ROUND(D1441*J1441*(1-N(F1441)),2),0))</f>
        <v/>
      </c>
      <c r="M1441" s="62" t="str">
        <f>IF(A1441="","",IFERROR(INDEX(dv_cname,MATCH(A1441,dv_num,0))&amp;"",""))</f>
        <v/>
      </c>
      <c r="N1441" s="59" t="str">
        <f>IF(COUNTA(A1441:G1441)=0,"",IF(A1441="","N° devis manquant",IF(ISNA(MATCH(A1441,dv_num,0)),"Devis inconnu",IF(AND(B1441&lt;&gt;"",ISNA(MATCH(B1441,pr_code,0))),"Article inconnu",IF(H1441="","Désignation manquante",IF(OR(NOT(ISNUMBER(D1441)),N(D1441)&lt;=0),"Quantité invalide",IF(J1441="","Prix manquant",IF(OR(NOT(ISNUMBER(J1441)),N(J1441)&lt;0),"Prix invalide",IF(OR(AND(F1441&lt;&gt;"",NOT(ISNUMBER(F1441))),N(F1441)&lt;0,N(F1441)&gt;1),"Remise invalide",IF(K1441="","Taux de TVA manquant",IF(NOT(ISNUMBER(K1441)),"Taux de TVA invalide",IF(COUNTIF(p_rates,K1441)=0,"Taux de TVA hors liste (Paramètres)",IF(N(O1441)&gt;25,"Au-delà de 25 lignes : non imprimée","OK")))))))))))))</f>
        <v/>
      </c>
      <c r="O1441" s="59" t="str">
        <f>IF(A1441="","",COUNTIF($A$6:A1441,A1441))</f>
        <v/>
      </c>
      <c r="P1441" s="62" t="str">
        <f>IF(A1441="","",A1441&amp;"|"&amp;O1441)</f>
        <v/>
      </c>
    </row>
    <row r="1442">
      <c r="A1442" s="60" t="n"/>
      <c r="B1442" s="63" t="n"/>
      <c r="C1442" s="63" t="n"/>
      <c r="D1442" s="67" t="n"/>
      <c r="E1442" s="68" t="n"/>
      <c r="F1442" s="69" t="n"/>
      <c r="G1442" s="70" t="n"/>
      <c r="H1442" s="62" t="str">
        <f>IF(COUNTA(A1442:G1442)=0,"",IF(C1442&lt;&gt;"",C1442,IF(B1442="","",IFERROR(INDEX(pr_des,MATCH(B1442,pr_code,0))&amp;"",""))))</f>
        <v/>
      </c>
      <c r="I1442" s="59" t="str">
        <f>IF(B1442="","",IFERROR(INDEX(pr_unit,MATCH(B1442,pr_code,0))&amp;"",""))</f>
        <v/>
      </c>
      <c r="J1442" s="65" t="str">
        <f>IF(COUNTA(A1442:G1442)=0,"",IF(E1442&lt;&gt;"",E1442,IF(B1442="","",IFERROR(IF(INDEX(pr_price,MATCH(B1442,pr_code,0))="","",INDEX(pr_price,MATCH(B1442,pr_code,0))),""))))</f>
        <v/>
      </c>
      <c r="K1442" s="71" t="str">
        <f>IF(COUNTA(A1442:G1442)=0,"",IF(G1442&lt;&gt;"",G1442,IF(B1442="","",IFERROR(IF(INDEX(pr_rate,MATCH(B1442,pr_code,0))="","",INDEX(pr_rate,MATCH(B1442,pr_code,0))),""))))</f>
        <v/>
      </c>
      <c r="L1442" s="65" t="str">
        <f>IF(COUNTA(A1442:G1442)=0,"",IF(AND(ISNUMBER(D1442),ISNUMBER(J1442)),ROUND(D1442*J1442*(1-N(F1442)),2),0))</f>
        <v/>
      </c>
      <c r="M1442" s="62" t="str">
        <f>IF(A1442="","",IFERROR(INDEX(dv_cname,MATCH(A1442,dv_num,0))&amp;"",""))</f>
        <v/>
      </c>
      <c r="N1442" s="59" t="str">
        <f>IF(COUNTA(A1442:G1442)=0,"",IF(A1442="","N° devis manquant",IF(ISNA(MATCH(A1442,dv_num,0)),"Devis inconnu",IF(AND(B1442&lt;&gt;"",ISNA(MATCH(B1442,pr_code,0))),"Article inconnu",IF(H1442="","Désignation manquante",IF(OR(NOT(ISNUMBER(D1442)),N(D1442)&lt;=0),"Quantité invalide",IF(J1442="","Prix manquant",IF(OR(NOT(ISNUMBER(J1442)),N(J1442)&lt;0),"Prix invalide",IF(OR(AND(F1442&lt;&gt;"",NOT(ISNUMBER(F1442))),N(F1442)&lt;0,N(F1442)&gt;1),"Remise invalide",IF(K1442="","Taux de TVA manquant",IF(NOT(ISNUMBER(K1442)),"Taux de TVA invalide",IF(COUNTIF(p_rates,K1442)=0,"Taux de TVA hors liste (Paramètres)",IF(N(O1442)&gt;25,"Au-delà de 25 lignes : non imprimée","OK")))))))))))))</f>
        <v/>
      </c>
      <c r="O1442" s="59" t="str">
        <f>IF(A1442="","",COUNTIF($A$6:A1442,A1442))</f>
        <v/>
      </c>
      <c r="P1442" s="62" t="str">
        <f>IF(A1442="","",A1442&amp;"|"&amp;O1442)</f>
        <v/>
      </c>
    </row>
    <row r="1443">
      <c r="A1443" s="60" t="n"/>
      <c r="B1443" s="63" t="n"/>
      <c r="C1443" s="63" t="n"/>
      <c r="D1443" s="67" t="n"/>
      <c r="E1443" s="68" t="n"/>
      <c r="F1443" s="69" t="n"/>
      <c r="G1443" s="70" t="n"/>
      <c r="H1443" s="62" t="str">
        <f>IF(COUNTA(A1443:G1443)=0,"",IF(C1443&lt;&gt;"",C1443,IF(B1443="","",IFERROR(INDEX(pr_des,MATCH(B1443,pr_code,0))&amp;"",""))))</f>
        <v/>
      </c>
      <c r="I1443" s="59" t="str">
        <f>IF(B1443="","",IFERROR(INDEX(pr_unit,MATCH(B1443,pr_code,0))&amp;"",""))</f>
        <v/>
      </c>
      <c r="J1443" s="65" t="str">
        <f>IF(COUNTA(A1443:G1443)=0,"",IF(E1443&lt;&gt;"",E1443,IF(B1443="","",IFERROR(IF(INDEX(pr_price,MATCH(B1443,pr_code,0))="","",INDEX(pr_price,MATCH(B1443,pr_code,0))),""))))</f>
        <v/>
      </c>
      <c r="K1443" s="71" t="str">
        <f>IF(COUNTA(A1443:G1443)=0,"",IF(G1443&lt;&gt;"",G1443,IF(B1443="","",IFERROR(IF(INDEX(pr_rate,MATCH(B1443,pr_code,0))="","",INDEX(pr_rate,MATCH(B1443,pr_code,0))),""))))</f>
        <v/>
      </c>
      <c r="L1443" s="65" t="str">
        <f>IF(COUNTA(A1443:G1443)=0,"",IF(AND(ISNUMBER(D1443),ISNUMBER(J1443)),ROUND(D1443*J1443*(1-N(F1443)),2),0))</f>
        <v/>
      </c>
      <c r="M1443" s="62" t="str">
        <f>IF(A1443="","",IFERROR(INDEX(dv_cname,MATCH(A1443,dv_num,0))&amp;"",""))</f>
        <v/>
      </c>
      <c r="N1443" s="59" t="str">
        <f>IF(COUNTA(A1443:G1443)=0,"",IF(A1443="","N° devis manquant",IF(ISNA(MATCH(A1443,dv_num,0)),"Devis inconnu",IF(AND(B1443&lt;&gt;"",ISNA(MATCH(B1443,pr_code,0))),"Article inconnu",IF(H1443="","Désignation manquante",IF(OR(NOT(ISNUMBER(D1443)),N(D1443)&lt;=0),"Quantité invalide",IF(J1443="","Prix manquant",IF(OR(NOT(ISNUMBER(J1443)),N(J1443)&lt;0),"Prix invalide",IF(OR(AND(F1443&lt;&gt;"",NOT(ISNUMBER(F1443))),N(F1443)&lt;0,N(F1443)&gt;1),"Remise invalide",IF(K1443="","Taux de TVA manquant",IF(NOT(ISNUMBER(K1443)),"Taux de TVA invalide",IF(COUNTIF(p_rates,K1443)=0,"Taux de TVA hors liste (Paramètres)",IF(N(O1443)&gt;25,"Au-delà de 25 lignes : non imprimée","OK")))))))))))))</f>
        <v/>
      </c>
      <c r="O1443" s="59" t="str">
        <f>IF(A1443="","",COUNTIF($A$6:A1443,A1443))</f>
        <v/>
      </c>
      <c r="P1443" s="62" t="str">
        <f>IF(A1443="","",A1443&amp;"|"&amp;O1443)</f>
        <v/>
      </c>
    </row>
    <row r="1444">
      <c r="A1444" s="60" t="n"/>
      <c r="B1444" s="63" t="n"/>
      <c r="C1444" s="63" t="n"/>
      <c r="D1444" s="67" t="n"/>
      <c r="E1444" s="68" t="n"/>
      <c r="F1444" s="69" t="n"/>
      <c r="G1444" s="70" t="n"/>
      <c r="H1444" s="62" t="str">
        <f>IF(COUNTA(A1444:G1444)=0,"",IF(C1444&lt;&gt;"",C1444,IF(B1444="","",IFERROR(INDEX(pr_des,MATCH(B1444,pr_code,0))&amp;"",""))))</f>
        <v/>
      </c>
      <c r="I1444" s="59" t="str">
        <f>IF(B1444="","",IFERROR(INDEX(pr_unit,MATCH(B1444,pr_code,0))&amp;"",""))</f>
        <v/>
      </c>
      <c r="J1444" s="65" t="str">
        <f>IF(COUNTA(A1444:G1444)=0,"",IF(E1444&lt;&gt;"",E1444,IF(B1444="","",IFERROR(IF(INDEX(pr_price,MATCH(B1444,pr_code,0))="","",INDEX(pr_price,MATCH(B1444,pr_code,0))),""))))</f>
        <v/>
      </c>
      <c r="K1444" s="71" t="str">
        <f>IF(COUNTA(A1444:G1444)=0,"",IF(G1444&lt;&gt;"",G1444,IF(B1444="","",IFERROR(IF(INDEX(pr_rate,MATCH(B1444,pr_code,0))="","",INDEX(pr_rate,MATCH(B1444,pr_code,0))),""))))</f>
        <v/>
      </c>
      <c r="L1444" s="65" t="str">
        <f>IF(COUNTA(A1444:G1444)=0,"",IF(AND(ISNUMBER(D1444),ISNUMBER(J1444)),ROUND(D1444*J1444*(1-N(F1444)),2),0))</f>
        <v/>
      </c>
      <c r="M1444" s="62" t="str">
        <f>IF(A1444="","",IFERROR(INDEX(dv_cname,MATCH(A1444,dv_num,0))&amp;"",""))</f>
        <v/>
      </c>
      <c r="N1444" s="59" t="str">
        <f>IF(COUNTA(A1444:G1444)=0,"",IF(A1444="","N° devis manquant",IF(ISNA(MATCH(A1444,dv_num,0)),"Devis inconnu",IF(AND(B1444&lt;&gt;"",ISNA(MATCH(B1444,pr_code,0))),"Article inconnu",IF(H1444="","Désignation manquante",IF(OR(NOT(ISNUMBER(D1444)),N(D1444)&lt;=0),"Quantité invalide",IF(J1444="","Prix manquant",IF(OR(NOT(ISNUMBER(J1444)),N(J1444)&lt;0),"Prix invalide",IF(OR(AND(F1444&lt;&gt;"",NOT(ISNUMBER(F1444))),N(F1444)&lt;0,N(F1444)&gt;1),"Remise invalide",IF(K1444="","Taux de TVA manquant",IF(NOT(ISNUMBER(K1444)),"Taux de TVA invalide",IF(COUNTIF(p_rates,K1444)=0,"Taux de TVA hors liste (Paramètres)",IF(N(O1444)&gt;25,"Au-delà de 25 lignes : non imprimée","OK")))))))))))))</f>
        <v/>
      </c>
      <c r="O1444" s="59" t="str">
        <f>IF(A1444="","",COUNTIF($A$6:A1444,A1444))</f>
        <v/>
      </c>
      <c r="P1444" s="62" t="str">
        <f>IF(A1444="","",A1444&amp;"|"&amp;O1444)</f>
        <v/>
      </c>
    </row>
    <row r="1445">
      <c r="A1445" s="60" t="n"/>
      <c r="B1445" s="63" t="n"/>
      <c r="C1445" s="63" t="n"/>
      <c r="D1445" s="67" t="n"/>
      <c r="E1445" s="68" t="n"/>
      <c r="F1445" s="69" t="n"/>
      <c r="G1445" s="70" t="n"/>
      <c r="H1445" s="62" t="str">
        <f>IF(COUNTA(A1445:G1445)=0,"",IF(C1445&lt;&gt;"",C1445,IF(B1445="","",IFERROR(INDEX(pr_des,MATCH(B1445,pr_code,0))&amp;"",""))))</f>
        <v/>
      </c>
      <c r="I1445" s="59" t="str">
        <f>IF(B1445="","",IFERROR(INDEX(pr_unit,MATCH(B1445,pr_code,0))&amp;"",""))</f>
        <v/>
      </c>
      <c r="J1445" s="65" t="str">
        <f>IF(COUNTA(A1445:G1445)=0,"",IF(E1445&lt;&gt;"",E1445,IF(B1445="","",IFERROR(IF(INDEX(pr_price,MATCH(B1445,pr_code,0))="","",INDEX(pr_price,MATCH(B1445,pr_code,0))),""))))</f>
        <v/>
      </c>
      <c r="K1445" s="71" t="str">
        <f>IF(COUNTA(A1445:G1445)=0,"",IF(G1445&lt;&gt;"",G1445,IF(B1445="","",IFERROR(IF(INDEX(pr_rate,MATCH(B1445,pr_code,0))="","",INDEX(pr_rate,MATCH(B1445,pr_code,0))),""))))</f>
        <v/>
      </c>
      <c r="L1445" s="65" t="str">
        <f>IF(COUNTA(A1445:G1445)=0,"",IF(AND(ISNUMBER(D1445),ISNUMBER(J1445)),ROUND(D1445*J1445*(1-N(F1445)),2),0))</f>
        <v/>
      </c>
      <c r="M1445" s="62" t="str">
        <f>IF(A1445="","",IFERROR(INDEX(dv_cname,MATCH(A1445,dv_num,0))&amp;"",""))</f>
        <v/>
      </c>
      <c r="N1445" s="59" t="str">
        <f>IF(COUNTA(A1445:G1445)=0,"",IF(A1445="","N° devis manquant",IF(ISNA(MATCH(A1445,dv_num,0)),"Devis inconnu",IF(AND(B1445&lt;&gt;"",ISNA(MATCH(B1445,pr_code,0))),"Article inconnu",IF(H1445="","Désignation manquante",IF(OR(NOT(ISNUMBER(D1445)),N(D1445)&lt;=0),"Quantité invalide",IF(J1445="","Prix manquant",IF(OR(NOT(ISNUMBER(J1445)),N(J1445)&lt;0),"Prix invalide",IF(OR(AND(F1445&lt;&gt;"",NOT(ISNUMBER(F1445))),N(F1445)&lt;0,N(F1445)&gt;1),"Remise invalide",IF(K1445="","Taux de TVA manquant",IF(NOT(ISNUMBER(K1445)),"Taux de TVA invalide",IF(COUNTIF(p_rates,K1445)=0,"Taux de TVA hors liste (Paramètres)",IF(N(O1445)&gt;25,"Au-delà de 25 lignes : non imprimée","OK")))))))))))))</f>
        <v/>
      </c>
      <c r="O1445" s="59" t="str">
        <f>IF(A1445="","",COUNTIF($A$6:A1445,A1445))</f>
        <v/>
      </c>
      <c r="P1445" s="62" t="str">
        <f>IF(A1445="","",A1445&amp;"|"&amp;O1445)</f>
        <v/>
      </c>
    </row>
    <row r="1446">
      <c r="A1446" s="60" t="n"/>
      <c r="B1446" s="63" t="n"/>
      <c r="C1446" s="63" t="n"/>
      <c r="D1446" s="67" t="n"/>
      <c r="E1446" s="68" t="n"/>
      <c r="F1446" s="69" t="n"/>
      <c r="G1446" s="70" t="n"/>
      <c r="H1446" s="62" t="str">
        <f>IF(COUNTA(A1446:G1446)=0,"",IF(C1446&lt;&gt;"",C1446,IF(B1446="","",IFERROR(INDEX(pr_des,MATCH(B1446,pr_code,0))&amp;"",""))))</f>
        <v/>
      </c>
      <c r="I1446" s="59" t="str">
        <f>IF(B1446="","",IFERROR(INDEX(pr_unit,MATCH(B1446,pr_code,0))&amp;"",""))</f>
        <v/>
      </c>
      <c r="J1446" s="65" t="str">
        <f>IF(COUNTA(A1446:G1446)=0,"",IF(E1446&lt;&gt;"",E1446,IF(B1446="","",IFERROR(IF(INDEX(pr_price,MATCH(B1446,pr_code,0))="","",INDEX(pr_price,MATCH(B1446,pr_code,0))),""))))</f>
        <v/>
      </c>
      <c r="K1446" s="71" t="str">
        <f>IF(COUNTA(A1446:G1446)=0,"",IF(G1446&lt;&gt;"",G1446,IF(B1446="","",IFERROR(IF(INDEX(pr_rate,MATCH(B1446,pr_code,0))="","",INDEX(pr_rate,MATCH(B1446,pr_code,0))),""))))</f>
        <v/>
      </c>
      <c r="L1446" s="65" t="str">
        <f>IF(COUNTA(A1446:G1446)=0,"",IF(AND(ISNUMBER(D1446),ISNUMBER(J1446)),ROUND(D1446*J1446*(1-N(F1446)),2),0))</f>
        <v/>
      </c>
      <c r="M1446" s="62" t="str">
        <f>IF(A1446="","",IFERROR(INDEX(dv_cname,MATCH(A1446,dv_num,0))&amp;"",""))</f>
        <v/>
      </c>
      <c r="N1446" s="59" t="str">
        <f>IF(COUNTA(A1446:G1446)=0,"",IF(A1446="","N° devis manquant",IF(ISNA(MATCH(A1446,dv_num,0)),"Devis inconnu",IF(AND(B1446&lt;&gt;"",ISNA(MATCH(B1446,pr_code,0))),"Article inconnu",IF(H1446="","Désignation manquante",IF(OR(NOT(ISNUMBER(D1446)),N(D1446)&lt;=0),"Quantité invalide",IF(J1446="","Prix manquant",IF(OR(NOT(ISNUMBER(J1446)),N(J1446)&lt;0),"Prix invalide",IF(OR(AND(F1446&lt;&gt;"",NOT(ISNUMBER(F1446))),N(F1446)&lt;0,N(F1446)&gt;1),"Remise invalide",IF(K1446="","Taux de TVA manquant",IF(NOT(ISNUMBER(K1446)),"Taux de TVA invalide",IF(COUNTIF(p_rates,K1446)=0,"Taux de TVA hors liste (Paramètres)",IF(N(O1446)&gt;25,"Au-delà de 25 lignes : non imprimée","OK")))))))))))))</f>
        <v/>
      </c>
      <c r="O1446" s="59" t="str">
        <f>IF(A1446="","",COUNTIF($A$6:A1446,A1446))</f>
        <v/>
      </c>
      <c r="P1446" s="62" t="str">
        <f>IF(A1446="","",A1446&amp;"|"&amp;O1446)</f>
        <v/>
      </c>
    </row>
    <row r="1447">
      <c r="A1447" s="60" t="n"/>
      <c r="B1447" s="63" t="n"/>
      <c r="C1447" s="63" t="n"/>
      <c r="D1447" s="67" t="n"/>
      <c r="E1447" s="68" t="n"/>
      <c r="F1447" s="69" t="n"/>
      <c r="G1447" s="70" t="n"/>
      <c r="H1447" s="62" t="str">
        <f>IF(COUNTA(A1447:G1447)=0,"",IF(C1447&lt;&gt;"",C1447,IF(B1447="","",IFERROR(INDEX(pr_des,MATCH(B1447,pr_code,0))&amp;"",""))))</f>
        <v/>
      </c>
      <c r="I1447" s="59" t="str">
        <f>IF(B1447="","",IFERROR(INDEX(pr_unit,MATCH(B1447,pr_code,0))&amp;"",""))</f>
        <v/>
      </c>
      <c r="J1447" s="65" t="str">
        <f>IF(COUNTA(A1447:G1447)=0,"",IF(E1447&lt;&gt;"",E1447,IF(B1447="","",IFERROR(IF(INDEX(pr_price,MATCH(B1447,pr_code,0))="","",INDEX(pr_price,MATCH(B1447,pr_code,0))),""))))</f>
        <v/>
      </c>
      <c r="K1447" s="71" t="str">
        <f>IF(COUNTA(A1447:G1447)=0,"",IF(G1447&lt;&gt;"",G1447,IF(B1447="","",IFERROR(IF(INDEX(pr_rate,MATCH(B1447,pr_code,0))="","",INDEX(pr_rate,MATCH(B1447,pr_code,0))),""))))</f>
        <v/>
      </c>
      <c r="L1447" s="65" t="str">
        <f>IF(COUNTA(A1447:G1447)=0,"",IF(AND(ISNUMBER(D1447),ISNUMBER(J1447)),ROUND(D1447*J1447*(1-N(F1447)),2),0))</f>
        <v/>
      </c>
      <c r="M1447" s="62" t="str">
        <f>IF(A1447="","",IFERROR(INDEX(dv_cname,MATCH(A1447,dv_num,0))&amp;"",""))</f>
        <v/>
      </c>
      <c r="N1447" s="59" t="str">
        <f>IF(COUNTA(A1447:G1447)=0,"",IF(A1447="","N° devis manquant",IF(ISNA(MATCH(A1447,dv_num,0)),"Devis inconnu",IF(AND(B1447&lt;&gt;"",ISNA(MATCH(B1447,pr_code,0))),"Article inconnu",IF(H1447="","Désignation manquante",IF(OR(NOT(ISNUMBER(D1447)),N(D1447)&lt;=0),"Quantité invalide",IF(J1447="","Prix manquant",IF(OR(NOT(ISNUMBER(J1447)),N(J1447)&lt;0),"Prix invalide",IF(OR(AND(F1447&lt;&gt;"",NOT(ISNUMBER(F1447))),N(F1447)&lt;0,N(F1447)&gt;1),"Remise invalide",IF(K1447="","Taux de TVA manquant",IF(NOT(ISNUMBER(K1447)),"Taux de TVA invalide",IF(COUNTIF(p_rates,K1447)=0,"Taux de TVA hors liste (Paramètres)",IF(N(O1447)&gt;25,"Au-delà de 25 lignes : non imprimée","OK")))))))))))))</f>
        <v/>
      </c>
      <c r="O1447" s="59" t="str">
        <f>IF(A1447="","",COUNTIF($A$6:A1447,A1447))</f>
        <v/>
      </c>
      <c r="P1447" s="62" t="str">
        <f>IF(A1447="","",A1447&amp;"|"&amp;O1447)</f>
        <v/>
      </c>
    </row>
    <row r="1448">
      <c r="A1448" s="60" t="n"/>
      <c r="B1448" s="63" t="n"/>
      <c r="C1448" s="63" t="n"/>
      <c r="D1448" s="67" t="n"/>
      <c r="E1448" s="68" t="n"/>
      <c r="F1448" s="69" t="n"/>
      <c r="G1448" s="70" t="n"/>
      <c r="H1448" s="62" t="str">
        <f>IF(COUNTA(A1448:G1448)=0,"",IF(C1448&lt;&gt;"",C1448,IF(B1448="","",IFERROR(INDEX(pr_des,MATCH(B1448,pr_code,0))&amp;"",""))))</f>
        <v/>
      </c>
      <c r="I1448" s="59" t="str">
        <f>IF(B1448="","",IFERROR(INDEX(pr_unit,MATCH(B1448,pr_code,0))&amp;"",""))</f>
        <v/>
      </c>
      <c r="J1448" s="65" t="str">
        <f>IF(COUNTA(A1448:G1448)=0,"",IF(E1448&lt;&gt;"",E1448,IF(B1448="","",IFERROR(IF(INDEX(pr_price,MATCH(B1448,pr_code,0))="","",INDEX(pr_price,MATCH(B1448,pr_code,0))),""))))</f>
        <v/>
      </c>
      <c r="K1448" s="71" t="str">
        <f>IF(COUNTA(A1448:G1448)=0,"",IF(G1448&lt;&gt;"",G1448,IF(B1448="","",IFERROR(IF(INDEX(pr_rate,MATCH(B1448,pr_code,0))="","",INDEX(pr_rate,MATCH(B1448,pr_code,0))),""))))</f>
        <v/>
      </c>
      <c r="L1448" s="65" t="str">
        <f>IF(COUNTA(A1448:G1448)=0,"",IF(AND(ISNUMBER(D1448),ISNUMBER(J1448)),ROUND(D1448*J1448*(1-N(F1448)),2),0))</f>
        <v/>
      </c>
      <c r="M1448" s="62" t="str">
        <f>IF(A1448="","",IFERROR(INDEX(dv_cname,MATCH(A1448,dv_num,0))&amp;"",""))</f>
        <v/>
      </c>
      <c r="N1448" s="59" t="str">
        <f>IF(COUNTA(A1448:G1448)=0,"",IF(A1448="","N° devis manquant",IF(ISNA(MATCH(A1448,dv_num,0)),"Devis inconnu",IF(AND(B1448&lt;&gt;"",ISNA(MATCH(B1448,pr_code,0))),"Article inconnu",IF(H1448="","Désignation manquante",IF(OR(NOT(ISNUMBER(D1448)),N(D1448)&lt;=0),"Quantité invalide",IF(J1448="","Prix manquant",IF(OR(NOT(ISNUMBER(J1448)),N(J1448)&lt;0),"Prix invalide",IF(OR(AND(F1448&lt;&gt;"",NOT(ISNUMBER(F1448))),N(F1448)&lt;0,N(F1448)&gt;1),"Remise invalide",IF(K1448="","Taux de TVA manquant",IF(NOT(ISNUMBER(K1448)),"Taux de TVA invalide",IF(COUNTIF(p_rates,K1448)=0,"Taux de TVA hors liste (Paramètres)",IF(N(O1448)&gt;25,"Au-delà de 25 lignes : non imprimée","OK")))))))))))))</f>
        <v/>
      </c>
      <c r="O1448" s="59" t="str">
        <f>IF(A1448="","",COUNTIF($A$6:A1448,A1448))</f>
        <v/>
      </c>
      <c r="P1448" s="62" t="str">
        <f>IF(A1448="","",A1448&amp;"|"&amp;O1448)</f>
        <v/>
      </c>
    </row>
    <row r="1449">
      <c r="A1449" s="60" t="n"/>
      <c r="B1449" s="63" t="n"/>
      <c r="C1449" s="63" t="n"/>
      <c r="D1449" s="67" t="n"/>
      <c r="E1449" s="68" t="n"/>
      <c r="F1449" s="69" t="n"/>
      <c r="G1449" s="70" t="n"/>
      <c r="H1449" s="62" t="str">
        <f>IF(COUNTA(A1449:G1449)=0,"",IF(C1449&lt;&gt;"",C1449,IF(B1449="","",IFERROR(INDEX(pr_des,MATCH(B1449,pr_code,0))&amp;"",""))))</f>
        <v/>
      </c>
      <c r="I1449" s="59" t="str">
        <f>IF(B1449="","",IFERROR(INDEX(pr_unit,MATCH(B1449,pr_code,0))&amp;"",""))</f>
        <v/>
      </c>
      <c r="J1449" s="65" t="str">
        <f>IF(COUNTA(A1449:G1449)=0,"",IF(E1449&lt;&gt;"",E1449,IF(B1449="","",IFERROR(IF(INDEX(pr_price,MATCH(B1449,pr_code,0))="","",INDEX(pr_price,MATCH(B1449,pr_code,0))),""))))</f>
        <v/>
      </c>
      <c r="K1449" s="71" t="str">
        <f>IF(COUNTA(A1449:G1449)=0,"",IF(G1449&lt;&gt;"",G1449,IF(B1449="","",IFERROR(IF(INDEX(pr_rate,MATCH(B1449,pr_code,0))="","",INDEX(pr_rate,MATCH(B1449,pr_code,0))),""))))</f>
        <v/>
      </c>
      <c r="L1449" s="65" t="str">
        <f>IF(COUNTA(A1449:G1449)=0,"",IF(AND(ISNUMBER(D1449),ISNUMBER(J1449)),ROUND(D1449*J1449*(1-N(F1449)),2),0))</f>
        <v/>
      </c>
      <c r="M1449" s="62" t="str">
        <f>IF(A1449="","",IFERROR(INDEX(dv_cname,MATCH(A1449,dv_num,0))&amp;"",""))</f>
        <v/>
      </c>
      <c r="N1449" s="59" t="str">
        <f>IF(COUNTA(A1449:G1449)=0,"",IF(A1449="","N° devis manquant",IF(ISNA(MATCH(A1449,dv_num,0)),"Devis inconnu",IF(AND(B1449&lt;&gt;"",ISNA(MATCH(B1449,pr_code,0))),"Article inconnu",IF(H1449="","Désignation manquante",IF(OR(NOT(ISNUMBER(D1449)),N(D1449)&lt;=0),"Quantité invalide",IF(J1449="","Prix manquant",IF(OR(NOT(ISNUMBER(J1449)),N(J1449)&lt;0),"Prix invalide",IF(OR(AND(F1449&lt;&gt;"",NOT(ISNUMBER(F1449))),N(F1449)&lt;0,N(F1449)&gt;1),"Remise invalide",IF(K1449="","Taux de TVA manquant",IF(NOT(ISNUMBER(K1449)),"Taux de TVA invalide",IF(COUNTIF(p_rates,K1449)=0,"Taux de TVA hors liste (Paramètres)",IF(N(O1449)&gt;25,"Au-delà de 25 lignes : non imprimée","OK")))))))))))))</f>
        <v/>
      </c>
      <c r="O1449" s="59" t="str">
        <f>IF(A1449="","",COUNTIF($A$6:A1449,A1449))</f>
        <v/>
      </c>
      <c r="P1449" s="62" t="str">
        <f>IF(A1449="","",A1449&amp;"|"&amp;O1449)</f>
        <v/>
      </c>
    </row>
    <row r="1450">
      <c r="A1450" s="60" t="n"/>
      <c r="B1450" s="63" t="n"/>
      <c r="C1450" s="63" t="n"/>
      <c r="D1450" s="67" t="n"/>
      <c r="E1450" s="68" t="n"/>
      <c r="F1450" s="69" t="n"/>
      <c r="G1450" s="70" t="n"/>
      <c r="H1450" s="62" t="str">
        <f>IF(COUNTA(A1450:G1450)=0,"",IF(C1450&lt;&gt;"",C1450,IF(B1450="","",IFERROR(INDEX(pr_des,MATCH(B1450,pr_code,0))&amp;"",""))))</f>
        <v/>
      </c>
      <c r="I1450" s="59" t="str">
        <f>IF(B1450="","",IFERROR(INDEX(pr_unit,MATCH(B1450,pr_code,0))&amp;"",""))</f>
        <v/>
      </c>
      <c r="J1450" s="65" t="str">
        <f>IF(COUNTA(A1450:G1450)=0,"",IF(E1450&lt;&gt;"",E1450,IF(B1450="","",IFERROR(IF(INDEX(pr_price,MATCH(B1450,pr_code,0))="","",INDEX(pr_price,MATCH(B1450,pr_code,0))),""))))</f>
        <v/>
      </c>
      <c r="K1450" s="71" t="str">
        <f>IF(COUNTA(A1450:G1450)=0,"",IF(G1450&lt;&gt;"",G1450,IF(B1450="","",IFERROR(IF(INDEX(pr_rate,MATCH(B1450,pr_code,0))="","",INDEX(pr_rate,MATCH(B1450,pr_code,0))),""))))</f>
        <v/>
      </c>
      <c r="L1450" s="65" t="str">
        <f>IF(COUNTA(A1450:G1450)=0,"",IF(AND(ISNUMBER(D1450),ISNUMBER(J1450)),ROUND(D1450*J1450*(1-N(F1450)),2),0))</f>
        <v/>
      </c>
      <c r="M1450" s="62" t="str">
        <f>IF(A1450="","",IFERROR(INDEX(dv_cname,MATCH(A1450,dv_num,0))&amp;"",""))</f>
        <v/>
      </c>
      <c r="N1450" s="59" t="str">
        <f>IF(COUNTA(A1450:G1450)=0,"",IF(A1450="","N° devis manquant",IF(ISNA(MATCH(A1450,dv_num,0)),"Devis inconnu",IF(AND(B1450&lt;&gt;"",ISNA(MATCH(B1450,pr_code,0))),"Article inconnu",IF(H1450="","Désignation manquante",IF(OR(NOT(ISNUMBER(D1450)),N(D1450)&lt;=0),"Quantité invalide",IF(J1450="","Prix manquant",IF(OR(NOT(ISNUMBER(J1450)),N(J1450)&lt;0),"Prix invalide",IF(OR(AND(F1450&lt;&gt;"",NOT(ISNUMBER(F1450))),N(F1450)&lt;0,N(F1450)&gt;1),"Remise invalide",IF(K1450="","Taux de TVA manquant",IF(NOT(ISNUMBER(K1450)),"Taux de TVA invalide",IF(COUNTIF(p_rates,K1450)=0,"Taux de TVA hors liste (Paramètres)",IF(N(O1450)&gt;25,"Au-delà de 25 lignes : non imprimée","OK")))))))))))))</f>
        <v/>
      </c>
      <c r="O1450" s="59" t="str">
        <f>IF(A1450="","",COUNTIF($A$6:A1450,A1450))</f>
        <v/>
      </c>
      <c r="P1450" s="62" t="str">
        <f>IF(A1450="","",A1450&amp;"|"&amp;O1450)</f>
        <v/>
      </c>
    </row>
    <row r="1451">
      <c r="A1451" s="60" t="n"/>
      <c r="B1451" s="63" t="n"/>
      <c r="C1451" s="63" t="n"/>
      <c r="D1451" s="67" t="n"/>
      <c r="E1451" s="68" t="n"/>
      <c r="F1451" s="69" t="n"/>
      <c r="G1451" s="70" t="n"/>
      <c r="H1451" s="62" t="str">
        <f>IF(COUNTA(A1451:G1451)=0,"",IF(C1451&lt;&gt;"",C1451,IF(B1451="","",IFERROR(INDEX(pr_des,MATCH(B1451,pr_code,0))&amp;"",""))))</f>
        <v/>
      </c>
      <c r="I1451" s="59" t="str">
        <f>IF(B1451="","",IFERROR(INDEX(pr_unit,MATCH(B1451,pr_code,0))&amp;"",""))</f>
        <v/>
      </c>
      <c r="J1451" s="65" t="str">
        <f>IF(COUNTA(A1451:G1451)=0,"",IF(E1451&lt;&gt;"",E1451,IF(B1451="","",IFERROR(IF(INDEX(pr_price,MATCH(B1451,pr_code,0))="","",INDEX(pr_price,MATCH(B1451,pr_code,0))),""))))</f>
        <v/>
      </c>
      <c r="K1451" s="71" t="str">
        <f>IF(COUNTA(A1451:G1451)=0,"",IF(G1451&lt;&gt;"",G1451,IF(B1451="","",IFERROR(IF(INDEX(pr_rate,MATCH(B1451,pr_code,0))="","",INDEX(pr_rate,MATCH(B1451,pr_code,0))),""))))</f>
        <v/>
      </c>
      <c r="L1451" s="65" t="str">
        <f>IF(COUNTA(A1451:G1451)=0,"",IF(AND(ISNUMBER(D1451),ISNUMBER(J1451)),ROUND(D1451*J1451*(1-N(F1451)),2),0))</f>
        <v/>
      </c>
      <c r="M1451" s="62" t="str">
        <f>IF(A1451="","",IFERROR(INDEX(dv_cname,MATCH(A1451,dv_num,0))&amp;"",""))</f>
        <v/>
      </c>
      <c r="N1451" s="59" t="str">
        <f>IF(COUNTA(A1451:G1451)=0,"",IF(A1451="","N° devis manquant",IF(ISNA(MATCH(A1451,dv_num,0)),"Devis inconnu",IF(AND(B1451&lt;&gt;"",ISNA(MATCH(B1451,pr_code,0))),"Article inconnu",IF(H1451="","Désignation manquante",IF(OR(NOT(ISNUMBER(D1451)),N(D1451)&lt;=0),"Quantité invalide",IF(J1451="","Prix manquant",IF(OR(NOT(ISNUMBER(J1451)),N(J1451)&lt;0),"Prix invalide",IF(OR(AND(F1451&lt;&gt;"",NOT(ISNUMBER(F1451))),N(F1451)&lt;0,N(F1451)&gt;1),"Remise invalide",IF(K1451="","Taux de TVA manquant",IF(NOT(ISNUMBER(K1451)),"Taux de TVA invalide",IF(COUNTIF(p_rates,K1451)=0,"Taux de TVA hors liste (Paramètres)",IF(N(O1451)&gt;25,"Au-delà de 25 lignes : non imprimée","OK")))))))))))))</f>
        <v/>
      </c>
      <c r="O1451" s="59" t="str">
        <f>IF(A1451="","",COUNTIF($A$6:A1451,A1451))</f>
        <v/>
      </c>
      <c r="P1451" s="62" t="str">
        <f>IF(A1451="","",A1451&amp;"|"&amp;O1451)</f>
        <v/>
      </c>
    </row>
    <row r="1452">
      <c r="A1452" s="60" t="n"/>
      <c r="B1452" s="63" t="n"/>
      <c r="C1452" s="63" t="n"/>
      <c r="D1452" s="67" t="n"/>
      <c r="E1452" s="68" t="n"/>
      <c r="F1452" s="69" t="n"/>
      <c r="G1452" s="70" t="n"/>
      <c r="H1452" s="62" t="str">
        <f>IF(COUNTA(A1452:G1452)=0,"",IF(C1452&lt;&gt;"",C1452,IF(B1452="","",IFERROR(INDEX(pr_des,MATCH(B1452,pr_code,0))&amp;"",""))))</f>
        <v/>
      </c>
      <c r="I1452" s="59" t="str">
        <f>IF(B1452="","",IFERROR(INDEX(pr_unit,MATCH(B1452,pr_code,0))&amp;"",""))</f>
        <v/>
      </c>
      <c r="J1452" s="65" t="str">
        <f>IF(COUNTA(A1452:G1452)=0,"",IF(E1452&lt;&gt;"",E1452,IF(B1452="","",IFERROR(IF(INDEX(pr_price,MATCH(B1452,pr_code,0))="","",INDEX(pr_price,MATCH(B1452,pr_code,0))),""))))</f>
        <v/>
      </c>
      <c r="K1452" s="71" t="str">
        <f>IF(COUNTA(A1452:G1452)=0,"",IF(G1452&lt;&gt;"",G1452,IF(B1452="","",IFERROR(IF(INDEX(pr_rate,MATCH(B1452,pr_code,0))="","",INDEX(pr_rate,MATCH(B1452,pr_code,0))),""))))</f>
        <v/>
      </c>
      <c r="L1452" s="65" t="str">
        <f>IF(COUNTA(A1452:G1452)=0,"",IF(AND(ISNUMBER(D1452),ISNUMBER(J1452)),ROUND(D1452*J1452*(1-N(F1452)),2),0))</f>
        <v/>
      </c>
      <c r="M1452" s="62" t="str">
        <f>IF(A1452="","",IFERROR(INDEX(dv_cname,MATCH(A1452,dv_num,0))&amp;"",""))</f>
        <v/>
      </c>
      <c r="N1452" s="59" t="str">
        <f>IF(COUNTA(A1452:G1452)=0,"",IF(A1452="","N° devis manquant",IF(ISNA(MATCH(A1452,dv_num,0)),"Devis inconnu",IF(AND(B1452&lt;&gt;"",ISNA(MATCH(B1452,pr_code,0))),"Article inconnu",IF(H1452="","Désignation manquante",IF(OR(NOT(ISNUMBER(D1452)),N(D1452)&lt;=0),"Quantité invalide",IF(J1452="","Prix manquant",IF(OR(NOT(ISNUMBER(J1452)),N(J1452)&lt;0),"Prix invalide",IF(OR(AND(F1452&lt;&gt;"",NOT(ISNUMBER(F1452))),N(F1452)&lt;0,N(F1452)&gt;1),"Remise invalide",IF(K1452="","Taux de TVA manquant",IF(NOT(ISNUMBER(K1452)),"Taux de TVA invalide",IF(COUNTIF(p_rates,K1452)=0,"Taux de TVA hors liste (Paramètres)",IF(N(O1452)&gt;25,"Au-delà de 25 lignes : non imprimée","OK")))))))))))))</f>
        <v/>
      </c>
      <c r="O1452" s="59" t="str">
        <f>IF(A1452="","",COUNTIF($A$6:A1452,A1452))</f>
        <v/>
      </c>
      <c r="P1452" s="62" t="str">
        <f>IF(A1452="","",A1452&amp;"|"&amp;O1452)</f>
        <v/>
      </c>
    </row>
    <row r="1453">
      <c r="A1453" s="60" t="n"/>
      <c r="B1453" s="63" t="n"/>
      <c r="C1453" s="63" t="n"/>
      <c r="D1453" s="67" t="n"/>
      <c r="E1453" s="68" t="n"/>
      <c r="F1453" s="69" t="n"/>
      <c r="G1453" s="70" t="n"/>
      <c r="H1453" s="62" t="str">
        <f>IF(COUNTA(A1453:G1453)=0,"",IF(C1453&lt;&gt;"",C1453,IF(B1453="","",IFERROR(INDEX(pr_des,MATCH(B1453,pr_code,0))&amp;"",""))))</f>
        <v/>
      </c>
      <c r="I1453" s="59" t="str">
        <f>IF(B1453="","",IFERROR(INDEX(pr_unit,MATCH(B1453,pr_code,0))&amp;"",""))</f>
        <v/>
      </c>
      <c r="J1453" s="65" t="str">
        <f>IF(COUNTA(A1453:G1453)=0,"",IF(E1453&lt;&gt;"",E1453,IF(B1453="","",IFERROR(IF(INDEX(pr_price,MATCH(B1453,pr_code,0))="","",INDEX(pr_price,MATCH(B1453,pr_code,0))),""))))</f>
        <v/>
      </c>
      <c r="K1453" s="71" t="str">
        <f>IF(COUNTA(A1453:G1453)=0,"",IF(G1453&lt;&gt;"",G1453,IF(B1453="","",IFERROR(IF(INDEX(pr_rate,MATCH(B1453,pr_code,0))="","",INDEX(pr_rate,MATCH(B1453,pr_code,0))),""))))</f>
        <v/>
      </c>
      <c r="L1453" s="65" t="str">
        <f>IF(COUNTA(A1453:G1453)=0,"",IF(AND(ISNUMBER(D1453),ISNUMBER(J1453)),ROUND(D1453*J1453*(1-N(F1453)),2),0))</f>
        <v/>
      </c>
      <c r="M1453" s="62" t="str">
        <f>IF(A1453="","",IFERROR(INDEX(dv_cname,MATCH(A1453,dv_num,0))&amp;"",""))</f>
        <v/>
      </c>
      <c r="N1453" s="59" t="str">
        <f>IF(COUNTA(A1453:G1453)=0,"",IF(A1453="","N° devis manquant",IF(ISNA(MATCH(A1453,dv_num,0)),"Devis inconnu",IF(AND(B1453&lt;&gt;"",ISNA(MATCH(B1453,pr_code,0))),"Article inconnu",IF(H1453="","Désignation manquante",IF(OR(NOT(ISNUMBER(D1453)),N(D1453)&lt;=0),"Quantité invalide",IF(J1453="","Prix manquant",IF(OR(NOT(ISNUMBER(J1453)),N(J1453)&lt;0),"Prix invalide",IF(OR(AND(F1453&lt;&gt;"",NOT(ISNUMBER(F1453))),N(F1453)&lt;0,N(F1453)&gt;1),"Remise invalide",IF(K1453="","Taux de TVA manquant",IF(NOT(ISNUMBER(K1453)),"Taux de TVA invalide",IF(COUNTIF(p_rates,K1453)=0,"Taux de TVA hors liste (Paramètres)",IF(N(O1453)&gt;25,"Au-delà de 25 lignes : non imprimée","OK")))))))))))))</f>
        <v/>
      </c>
      <c r="O1453" s="59" t="str">
        <f>IF(A1453="","",COUNTIF($A$6:A1453,A1453))</f>
        <v/>
      </c>
      <c r="P1453" s="62" t="str">
        <f>IF(A1453="","",A1453&amp;"|"&amp;O1453)</f>
        <v/>
      </c>
    </row>
    <row r="1454">
      <c r="A1454" s="60" t="n"/>
      <c r="B1454" s="63" t="n"/>
      <c r="C1454" s="63" t="n"/>
      <c r="D1454" s="67" t="n"/>
      <c r="E1454" s="68" t="n"/>
      <c r="F1454" s="69" t="n"/>
      <c r="G1454" s="70" t="n"/>
      <c r="H1454" s="62" t="str">
        <f>IF(COUNTA(A1454:G1454)=0,"",IF(C1454&lt;&gt;"",C1454,IF(B1454="","",IFERROR(INDEX(pr_des,MATCH(B1454,pr_code,0))&amp;"",""))))</f>
        <v/>
      </c>
      <c r="I1454" s="59" t="str">
        <f>IF(B1454="","",IFERROR(INDEX(pr_unit,MATCH(B1454,pr_code,0))&amp;"",""))</f>
        <v/>
      </c>
      <c r="J1454" s="65" t="str">
        <f>IF(COUNTA(A1454:G1454)=0,"",IF(E1454&lt;&gt;"",E1454,IF(B1454="","",IFERROR(IF(INDEX(pr_price,MATCH(B1454,pr_code,0))="","",INDEX(pr_price,MATCH(B1454,pr_code,0))),""))))</f>
        <v/>
      </c>
      <c r="K1454" s="71" t="str">
        <f>IF(COUNTA(A1454:G1454)=0,"",IF(G1454&lt;&gt;"",G1454,IF(B1454="","",IFERROR(IF(INDEX(pr_rate,MATCH(B1454,pr_code,0))="","",INDEX(pr_rate,MATCH(B1454,pr_code,0))),""))))</f>
        <v/>
      </c>
      <c r="L1454" s="65" t="str">
        <f>IF(COUNTA(A1454:G1454)=0,"",IF(AND(ISNUMBER(D1454),ISNUMBER(J1454)),ROUND(D1454*J1454*(1-N(F1454)),2),0))</f>
        <v/>
      </c>
      <c r="M1454" s="62" t="str">
        <f>IF(A1454="","",IFERROR(INDEX(dv_cname,MATCH(A1454,dv_num,0))&amp;"",""))</f>
        <v/>
      </c>
      <c r="N1454" s="59" t="str">
        <f>IF(COUNTA(A1454:G1454)=0,"",IF(A1454="","N° devis manquant",IF(ISNA(MATCH(A1454,dv_num,0)),"Devis inconnu",IF(AND(B1454&lt;&gt;"",ISNA(MATCH(B1454,pr_code,0))),"Article inconnu",IF(H1454="","Désignation manquante",IF(OR(NOT(ISNUMBER(D1454)),N(D1454)&lt;=0),"Quantité invalide",IF(J1454="","Prix manquant",IF(OR(NOT(ISNUMBER(J1454)),N(J1454)&lt;0),"Prix invalide",IF(OR(AND(F1454&lt;&gt;"",NOT(ISNUMBER(F1454))),N(F1454)&lt;0,N(F1454)&gt;1),"Remise invalide",IF(K1454="","Taux de TVA manquant",IF(NOT(ISNUMBER(K1454)),"Taux de TVA invalide",IF(COUNTIF(p_rates,K1454)=0,"Taux de TVA hors liste (Paramètres)",IF(N(O1454)&gt;25,"Au-delà de 25 lignes : non imprimée","OK")))))))))))))</f>
        <v/>
      </c>
      <c r="O1454" s="59" t="str">
        <f>IF(A1454="","",COUNTIF($A$6:A1454,A1454))</f>
        <v/>
      </c>
      <c r="P1454" s="62" t="str">
        <f>IF(A1454="","",A1454&amp;"|"&amp;O1454)</f>
        <v/>
      </c>
    </row>
    <row r="1455">
      <c r="A1455" s="60" t="n"/>
      <c r="B1455" s="63" t="n"/>
      <c r="C1455" s="63" t="n"/>
      <c r="D1455" s="67" t="n"/>
      <c r="E1455" s="68" t="n"/>
      <c r="F1455" s="69" t="n"/>
      <c r="G1455" s="70" t="n"/>
      <c r="H1455" s="62" t="str">
        <f>IF(COUNTA(A1455:G1455)=0,"",IF(C1455&lt;&gt;"",C1455,IF(B1455="","",IFERROR(INDEX(pr_des,MATCH(B1455,pr_code,0))&amp;"",""))))</f>
        <v/>
      </c>
      <c r="I1455" s="59" t="str">
        <f>IF(B1455="","",IFERROR(INDEX(pr_unit,MATCH(B1455,pr_code,0))&amp;"",""))</f>
        <v/>
      </c>
      <c r="J1455" s="65" t="str">
        <f>IF(COUNTA(A1455:G1455)=0,"",IF(E1455&lt;&gt;"",E1455,IF(B1455="","",IFERROR(IF(INDEX(pr_price,MATCH(B1455,pr_code,0))="","",INDEX(pr_price,MATCH(B1455,pr_code,0))),""))))</f>
        <v/>
      </c>
      <c r="K1455" s="71" t="str">
        <f>IF(COUNTA(A1455:G1455)=0,"",IF(G1455&lt;&gt;"",G1455,IF(B1455="","",IFERROR(IF(INDEX(pr_rate,MATCH(B1455,pr_code,0))="","",INDEX(pr_rate,MATCH(B1455,pr_code,0))),""))))</f>
        <v/>
      </c>
      <c r="L1455" s="65" t="str">
        <f>IF(COUNTA(A1455:G1455)=0,"",IF(AND(ISNUMBER(D1455),ISNUMBER(J1455)),ROUND(D1455*J1455*(1-N(F1455)),2),0))</f>
        <v/>
      </c>
      <c r="M1455" s="62" t="str">
        <f>IF(A1455="","",IFERROR(INDEX(dv_cname,MATCH(A1455,dv_num,0))&amp;"",""))</f>
        <v/>
      </c>
      <c r="N1455" s="59" t="str">
        <f>IF(COUNTA(A1455:G1455)=0,"",IF(A1455="","N° devis manquant",IF(ISNA(MATCH(A1455,dv_num,0)),"Devis inconnu",IF(AND(B1455&lt;&gt;"",ISNA(MATCH(B1455,pr_code,0))),"Article inconnu",IF(H1455="","Désignation manquante",IF(OR(NOT(ISNUMBER(D1455)),N(D1455)&lt;=0),"Quantité invalide",IF(J1455="","Prix manquant",IF(OR(NOT(ISNUMBER(J1455)),N(J1455)&lt;0),"Prix invalide",IF(OR(AND(F1455&lt;&gt;"",NOT(ISNUMBER(F1455))),N(F1455)&lt;0,N(F1455)&gt;1),"Remise invalide",IF(K1455="","Taux de TVA manquant",IF(NOT(ISNUMBER(K1455)),"Taux de TVA invalide",IF(COUNTIF(p_rates,K1455)=0,"Taux de TVA hors liste (Paramètres)",IF(N(O1455)&gt;25,"Au-delà de 25 lignes : non imprimée","OK")))))))))))))</f>
        <v/>
      </c>
      <c r="O1455" s="59" t="str">
        <f>IF(A1455="","",COUNTIF($A$6:A1455,A1455))</f>
        <v/>
      </c>
      <c r="P1455" s="62" t="str">
        <f>IF(A1455="","",A1455&amp;"|"&amp;O1455)</f>
        <v/>
      </c>
    </row>
    <row r="1456">
      <c r="A1456" s="60" t="n"/>
      <c r="B1456" s="63" t="n"/>
      <c r="C1456" s="63" t="n"/>
      <c r="D1456" s="67" t="n"/>
      <c r="E1456" s="68" t="n"/>
      <c r="F1456" s="69" t="n"/>
      <c r="G1456" s="70" t="n"/>
      <c r="H1456" s="62" t="str">
        <f>IF(COUNTA(A1456:G1456)=0,"",IF(C1456&lt;&gt;"",C1456,IF(B1456="","",IFERROR(INDEX(pr_des,MATCH(B1456,pr_code,0))&amp;"",""))))</f>
        <v/>
      </c>
      <c r="I1456" s="59" t="str">
        <f>IF(B1456="","",IFERROR(INDEX(pr_unit,MATCH(B1456,pr_code,0))&amp;"",""))</f>
        <v/>
      </c>
      <c r="J1456" s="65" t="str">
        <f>IF(COUNTA(A1456:G1456)=0,"",IF(E1456&lt;&gt;"",E1456,IF(B1456="","",IFERROR(IF(INDEX(pr_price,MATCH(B1456,pr_code,0))="","",INDEX(pr_price,MATCH(B1456,pr_code,0))),""))))</f>
        <v/>
      </c>
      <c r="K1456" s="71" t="str">
        <f>IF(COUNTA(A1456:G1456)=0,"",IF(G1456&lt;&gt;"",G1456,IF(B1456="","",IFERROR(IF(INDEX(pr_rate,MATCH(B1456,pr_code,0))="","",INDEX(pr_rate,MATCH(B1456,pr_code,0))),""))))</f>
        <v/>
      </c>
      <c r="L1456" s="65" t="str">
        <f>IF(COUNTA(A1456:G1456)=0,"",IF(AND(ISNUMBER(D1456),ISNUMBER(J1456)),ROUND(D1456*J1456*(1-N(F1456)),2),0))</f>
        <v/>
      </c>
      <c r="M1456" s="62" t="str">
        <f>IF(A1456="","",IFERROR(INDEX(dv_cname,MATCH(A1456,dv_num,0))&amp;"",""))</f>
        <v/>
      </c>
      <c r="N1456" s="59" t="str">
        <f>IF(COUNTA(A1456:G1456)=0,"",IF(A1456="","N° devis manquant",IF(ISNA(MATCH(A1456,dv_num,0)),"Devis inconnu",IF(AND(B1456&lt;&gt;"",ISNA(MATCH(B1456,pr_code,0))),"Article inconnu",IF(H1456="","Désignation manquante",IF(OR(NOT(ISNUMBER(D1456)),N(D1456)&lt;=0),"Quantité invalide",IF(J1456="","Prix manquant",IF(OR(NOT(ISNUMBER(J1456)),N(J1456)&lt;0),"Prix invalide",IF(OR(AND(F1456&lt;&gt;"",NOT(ISNUMBER(F1456))),N(F1456)&lt;0,N(F1456)&gt;1),"Remise invalide",IF(K1456="","Taux de TVA manquant",IF(NOT(ISNUMBER(K1456)),"Taux de TVA invalide",IF(COUNTIF(p_rates,K1456)=0,"Taux de TVA hors liste (Paramètres)",IF(N(O1456)&gt;25,"Au-delà de 25 lignes : non imprimée","OK")))))))))))))</f>
        <v/>
      </c>
      <c r="O1456" s="59" t="str">
        <f>IF(A1456="","",COUNTIF($A$6:A1456,A1456))</f>
        <v/>
      </c>
      <c r="P1456" s="62" t="str">
        <f>IF(A1456="","",A1456&amp;"|"&amp;O1456)</f>
        <v/>
      </c>
    </row>
    <row r="1457">
      <c r="A1457" s="60" t="n"/>
      <c r="B1457" s="63" t="n"/>
      <c r="C1457" s="63" t="n"/>
      <c r="D1457" s="67" t="n"/>
      <c r="E1457" s="68" t="n"/>
      <c r="F1457" s="69" t="n"/>
      <c r="G1457" s="70" t="n"/>
      <c r="H1457" s="62" t="str">
        <f>IF(COUNTA(A1457:G1457)=0,"",IF(C1457&lt;&gt;"",C1457,IF(B1457="","",IFERROR(INDEX(pr_des,MATCH(B1457,pr_code,0))&amp;"",""))))</f>
        <v/>
      </c>
      <c r="I1457" s="59" t="str">
        <f>IF(B1457="","",IFERROR(INDEX(pr_unit,MATCH(B1457,pr_code,0))&amp;"",""))</f>
        <v/>
      </c>
      <c r="J1457" s="65" t="str">
        <f>IF(COUNTA(A1457:G1457)=0,"",IF(E1457&lt;&gt;"",E1457,IF(B1457="","",IFERROR(IF(INDEX(pr_price,MATCH(B1457,pr_code,0))="","",INDEX(pr_price,MATCH(B1457,pr_code,0))),""))))</f>
        <v/>
      </c>
      <c r="K1457" s="71" t="str">
        <f>IF(COUNTA(A1457:G1457)=0,"",IF(G1457&lt;&gt;"",G1457,IF(B1457="","",IFERROR(IF(INDEX(pr_rate,MATCH(B1457,pr_code,0))="","",INDEX(pr_rate,MATCH(B1457,pr_code,0))),""))))</f>
        <v/>
      </c>
      <c r="L1457" s="65" t="str">
        <f>IF(COUNTA(A1457:G1457)=0,"",IF(AND(ISNUMBER(D1457),ISNUMBER(J1457)),ROUND(D1457*J1457*(1-N(F1457)),2),0))</f>
        <v/>
      </c>
      <c r="M1457" s="62" t="str">
        <f>IF(A1457="","",IFERROR(INDEX(dv_cname,MATCH(A1457,dv_num,0))&amp;"",""))</f>
        <v/>
      </c>
      <c r="N1457" s="59" t="str">
        <f>IF(COUNTA(A1457:G1457)=0,"",IF(A1457="","N° devis manquant",IF(ISNA(MATCH(A1457,dv_num,0)),"Devis inconnu",IF(AND(B1457&lt;&gt;"",ISNA(MATCH(B1457,pr_code,0))),"Article inconnu",IF(H1457="","Désignation manquante",IF(OR(NOT(ISNUMBER(D1457)),N(D1457)&lt;=0),"Quantité invalide",IF(J1457="","Prix manquant",IF(OR(NOT(ISNUMBER(J1457)),N(J1457)&lt;0),"Prix invalide",IF(OR(AND(F1457&lt;&gt;"",NOT(ISNUMBER(F1457))),N(F1457)&lt;0,N(F1457)&gt;1),"Remise invalide",IF(K1457="","Taux de TVA manquant",IF(NOT(ISNUMBER(K1457)),"Taux de TVA invalide",IF(COUNTIF(p_rates,K1457)=0,"Taux de TVA hors liste (Paramètres)",IF(N(O1457)&gt;25,"Au-delà de 25 lignes : non imprimée","OK")))))))))))))</f>
        <v/>
      </c>
      <c r="O1457" s="59" t="str">
        <f>IF(A1457="","",COUNTIF($A$6:A1457,A1457))</f>
        <v/>
      </c>
      <c r="P1457" s="62" t="str">
        <f>IF(A1457="","",A1457&amp;"|"&amp;O1457)</f>
        <v/>
      </c>
    </row>
    <row r="1458">
      <c r="A1458" s="60" t="n"/>
      <c r="B1458" s="63" t="n"/>
      <c r="C1458" s="63" t="n"/>
      <c r="D1458" s="67" t="n"/>
      <c r="E1458" s="68" t="n"/>
      <c r="F1458" s="69" t="n"/>
      <c r="G1458" s="70" t="n"/>
      <c r="H1458" s="62" t="str">
        <f>IF(COUNTA(A1458:G1458)=0,"",IF(C1458&lt;&gt;"",C1458,IF(B1458="","",IFERROR(INDEX(pr_des,MATCH(B1458,pr_code,0))&amp;"",""))))</f>
        <v/>
      </c>
      <c r="I1458" s="59" t="str">
        <f>IF(B1458="","",IFERROR(INDEX(pr_unit,MATCH(B1458,pr_code,0))&amp;"",""))</f>
        <v/>
      </c>
      <c r="J1458" s="65" t="str">
        <f>IF(COUNTA(A1458:G1458)=0,"",IF(E1458&lt;&gt;"",E1458,IF(B1458="","",IFERROR(IF(INDEX(pr_price,MATCH(B1458,pr_code,0))="","",INDEX(pr_price,MATCH(B1458,pr_code,0))),""))))</f>
        <v/>
      </c>
      <c r="K1458" s="71" t="str">
        <f>IF(COUNTA(A1458:G1458)=0,"",IF(G1458&lt;&gt;"",G1458,IF(B1458="","",IFERROR(IF(INDEX(pr_rate,MATCH(B1458,pr_code,0))="","",INDEX(pr_rate,MATCH(B1458,pr_code,0))),""))))</f>
        <v/>
      </c>
      <c r="L1458" s="65" t="str">
        <f>IF(COUNTA(A1458:G1458)=0,"",IF(AND(ISNUMBER(D1458),ISNUMBER(J1458)),ROUND(D1458*J1458*(1-N(F1458)),2),0))</f>
        <v/>
      </c>
      <c r="M1458" s="62" t="str">
        <f>IF(A1458="","",IFERROR(INDEX(dv_cname,MATCH(A1458,dv_num,0))&amp;"",""))</f>
        <v/>
      </c>
      <c r="N1458" s="59" t="str">
        <f>IF(COUNTA(A1458:G1458)=0,"",IF(A1458="","N° devis manquant",IF(ISNA(MATCH(A1458,dv_num,0)),"Devis inconnu",IF(AND(B1458&lt;&gt;"",ISNA(MATCH(B1458,pr_code,0))),"Article inconnu",IF(H1458="","Désignation manquante",IF(OR(NOT(ISNUMBER(D1458)),N(D1458)&lt;=0),"Quantité invalide",IF(J1458="","Prix manquant",IF(OR(NOT(ISNUMBER(J1458)),N(J1458)&lt;0),"Prix invalide",IF(OR(AND(F1458&lt;&gt;"",NOT(ISNUMBER(F1458))),N(F1458)&lt;0,N(F1458)&gt;1),"Remise invalide",IF(K1458="","Taux de TVA manquant",IF(NOT(ISNUMBER(K1458)),"Taux de TVA invalide",IF(COUNTIF(p_rates,K1458)=0,"Taux de TVA hors liste (Paramètres)",IF(N(O1458)&gt;25,"Au-delà de 25 lignes : non imprimée","OK")))))))))))))</f>
        <v/>
      </c>
      <c r="O1458" s="59" t="str">
        <f>IF(A1458="","",COUNTIF($A$6:A1458,A1458))</f>
        <v/>
      </c>
      <c r="P1458" s="62" t="str">
        <f>IF(A1458="","",A1458&amp;"|"&amp;O1458)</f>
        <v/>
      </c>
    </row>
    <row r="1459">
      <c r="A1459" s="60" t="n"/>
      <c r="B1459" s="63" t="n"/>
      <c r="C1459" s="63" t="n"/>
      <c r="D1459" s="67" t="n"/>
      <c r="E1459" s="68" t="n"/>
      <c r="F1459" s="69" t="n"/>
      <c r="G1459" s="70" t="n"/>
      <c r="H1459" s="62" t="str">
        <f>IF(COUNTA(A1459:G1459)=0,"",IF(C1459&lt;&gt;"",C1459,IF(B1459="","",IFERROR(INDEX(pr_des,MATCH(B1459,pr_code,0))&amp;"",""))))</f>
        <v/>
      </c>
      <c r="I1459" s="59" t="str">
        <f>IF(B1459="","",IFERROR(INDEX(pr_unit,MATCH(B1459,pr_code,0))&amp;"",""))</f>
        <v/>
      </c>
      <c r="J1459" s="65" t="str">
        <f>IF(COUNTA(A1459:G1459)=0,"",IF(E1459&lt;&gt;"",E1459,IF(B1459="","",IFERROR(IF(INDEX(pr_price,MATCH(B1459,pr_code,0))="","",INDEX(pr_price,MATCH(B1459,pr_code,0))),""))))</f>
        <v/>
      </c>
      <c r="K1459" s="71" t="str">
        <f>IF(COUNTA(A1459:G1459)=0,"",IF(G1459&lt;&gt;"",G1459,IF(B1459="","",IFERROR(IF(INDEX(pr_rate,MATCH(B1459,pr_code,0))="","",INDEX(pr_rate,MATCH(B1459,pr_code,0))),""))))</f>
        <v/>
      </c>
      <c r="L1459" s="65" t="str">
        <f>IF(COUNTA(A1459:G1459)=0,"",IF(AND(ISNUMBER(D1459),ISNUMBER(J1459)),ROUND(D1459*J1459*(1-N(F1459)),2),0))</f>
        <v/>
      </c>
      <c r="M1459" s="62" t="str">
        <f>IF(A1459="","",IFERROR(INDEX(dv_cname,MATCH(A1459,dv_num,0))&amp;"",""))</f>
        <v/>
      </c>
      <c r="N1459" s="59" t="str">
        <f>IF(COUNTA(A1459:G1459)=0,"",IF(A1459="","N° devis manquant",IF(ISNA(MATCH(A1459,dv_num,0)),"Devis inconnu",IF(AND(B1459&lt;&gt;"",ISNA(MATCH(B1459,pr_code,0))),"Article inconnu",IF(H1459="","Désignation manquante",IF(OR(NOT(ISNUMBER(D1459)),N(D1459)&lt;=0),"Quantité invalide",IF(J1459="","Prix manquant",IF(OR(NOT(ISNUMBER(J1459)),N(J1459)&lt;0),"Prix invalide",IF(OR(AND(F1459&lt;&gt;"",NOT(ISNUMBER(F1459))),N(F1459)&lt;0,N(F1459)&gt;1),"Remise invalide",IF(K1459="","Taux de TVA manquant",IF(NOT(ISNUMBER(K1459)),"Taux de TVA invalide",IF(COUNTIF(p_rates,K1459)=0,"Taux de TVA hors liste (Paramètres)",IF(N(O1459)&gt;25,"Au-delà de 25 lignes : non imprimée","OK")))))))))))))</f>
        <v/>
      </c>
      <c r="O1459" s="59" t="str">
        <f>IF(A1459="","",COUNTIF($A$6:A1459,A1459))</f>
        <v/>
      </c>
      <c r="P1459" s="62" t="str">
        <f>IF(A1459="","",A1459&amp;"|"&amp;O1459)</f>
        <v/>
      </c>
    </row>
    <row r="1460">
      <c r="A1460" s="60" t="n"/>
      <c r="B1460" s="63" t="n"/>
      <c r="C1460" s="63" t="n"/>
      <c r="D1460" s="67" t="n"/>
      <c r="E1460" s="68" t="n"/>
      <c r="F1460" s="69" t="n"/>
      <c r="G1460" s="70" t="n"/>
      <c r="H1460" s="62" t="str">
        <f>IF(COUNTA(A1460:G1460)=0,"",IF(C1460&lt;&gt;"",C1460,IF(B1460="","",IFERROR(INDEX(pr_des,MATCH(B1460,pr_code,0))&amp;"",""))))</f>
        <v/>
      </c>
      <c r="I1460" s="59" t="str">
        <f>IF(B1460="","",IFERROR(INDEX(pr_unit,MATCH(B1460,pr_code,0))&amp;"",""))</f>
        <v/>
      </c>
      <c r="J1460" s="65" t="str">
        <f>IF(COUNTA(A1460:G1460)=0,"",IF(E1460&lt;&gt;"",E1460,IF(B1460="","",IFERROR(IF(INDEX(pr_price,MATCH(B1460,pr_code,0))="","",INDEX(pr_price,MATCH(B1460,pr_code,0))),""))))</f>
        <v/>
      </c>
      <c r="K1460" s="71" t="str">
        <f>IF(COUNTA(A1460:G1460)=0,"",IF(G1460&lt;&gt;"",G1460,IF(B1460="","",IFERROR(IF(INDEX(pr_rate,MATCH(B1460,pr_code,0))="","",INDEX(pr_rate,MATCH(B1460,pr_code,0))),""))))</f>
        <v/>
      </c>
      <c r="L1460" s="65" t="str">
        <f>IF(COUNTA(A1460:G1460)=0,"",IF(AND(ISNUMBER(D1460),ISNUMBER(J1460)),ROUND(D1460*J1460*(1-N(F1460)),2),0))</f>
        <v/>
      </c>
      <c r="M1460" s="62" t="str">
        <f>IF(A1460="","",IFERROR(INDEX(dv_cname,MATCH(A1460,dv_num,0))&amp;"",""))</f>
        <v/>
      </c>
      <c r="N1460" s="59" t="str">
        <f>IF(COUNTA(A1460:G1460)=0,"",IF(A1460="","N° devis manquant",IF(ISNA(MATCH(A1460,dv_num,0)),"Devis inconnu",IF(AND(B1460&lt;&gt;"",ISNA(MATCH(B1460,pr_code,0))),"Article inconnu",IF(H1460="","Désignation manquante",IF(OR(NOT(ISNUMBER(D1460)),N(D1460)&lt;=0),"Quantité invalide",IF(J1460="","Prix manquant",IF(OR(NOT(ISNUMBER(J1460)),N(J1460)&lt;0),"Prix invalide",IF(OR(AND(F1460&lt;&gt;"",NOT(ISNUMBER(F1460))),N(F1460)&lt;0,N(F1460)&gt;1),"Remise invalide",IF(K1460="","Taux de TVA manquant",IF(NOT(ISNUMBER(K1460)),"Taux de TVA invalide",IF(COUNTIF(p_rates,K1460)=0,"Taux de TVA hors liste (Paramètres)",IF(N(O1460)&gt;25,"Au-delà de 25 lignes : non imprimée","OK")))))))))))))</f>
        <v/>
      </c>
      <c r="O1460" s="59" t="str">
        <f>IF(A1460="","",COUNTIF($A$6:A1460,A1460))</f>
        <v/>
      </c>
      <c r="P1460" s="62" t="str">
        <f>IF(A1460="","",A1460&amp;"|"&amp;O1460)</f>
        <v/>
      </c>
    </row>
    <row r="1461">
      <c r="A1461" s="60" t="n"/>
      <c r="B1461" s="63" t="n"/>
      <c r="C1461" s="63" t="n"/>
      <c r="D1461" s="67" t="n"/>
      <c r="E1461" s="68" t="n"/>
      <c r="F1461" s="69" t="n"/>
      <c r="G1461" s="70" t="n"/>
      <c r="H1461" s="62" t="str">
        <f>IF(COUNTA(A1461:G1461)=0,"",IF(C1461&lt;&gt;"",C1461,IF(B1461="","",IFERROR(INDEX(pr_des,MATCH(B1461,pr_code,0))&amp;"",""))))</f>
        <v/>
      </c>
      <c r="I1461" s="59" t="str">
        <f>IF(B1461="","",IFERROR(INDEX(pr_unit,MATCH(B1461,pr_code,0))&amp;"",""))</f>
        <v/>
      </c>
      <c r="J1461" s="65" t="str">
        <f>IF(COUNTA(A1461:G1461)=0,"",IF(E1461&lt;&gt;"",E1461,IF(B1461="","",IFERROR(IF(INDEX(pr_price,MATCH(B1461,pr_code,0))="","",INDEX(pr_price,MATCH(B1461,pr_code,0))),""))))</f>
        <v/>
      </c>
      <c r="K1461" s="71" t="str">
        <f>IF(COUNTA(A1461:G1461)=0,"",IF(G1461&lt;&gt;"",G1461,IF(B1461="","",IFERROR(IF(INDEX(pr_rate,MATCH(B1461,pr_code,0))="","",INDEX(pr_rate,MATCH(B1461,pr_code,0))),""))))</f>
        <v/>
      </c>
      <c r="L1461" s="65" t="str">
        <f>IF(COUNTA(A1461:G1461)=0,"",IF(AND(ISNUMBER(D1461),ISNUMBER(J1461)),ROUND(D1461*J1461*(1-N(F1461)),2),0))</f>
        <v/>
      </c>
      <c r="M1461" s="62" t="str">
        <f>IF(A1461="","",IFERROR(INDEX(dv_cname,MATCH(A1461,dv_num,0))&amp;"",""))</f>
        <v/>
      </c>
      <c r="N1461" s="59" t="str">
        <f>IF(COUNTA(A1461:G1461)=0,"",IF(A1461="","N° devis manquant",IF(ISNA(MATCH(A1461,dv_num,0)),"Devis inconnu",IF(AND(B1461&lt;&gt;"",ISNA(MATCH(B1461,pr_code,0))),"Article inconnu",IF(H1461="","Désignation manquante",IF(OR(NOT(ISNUMBER(D1461)),N(D1461)&lt;=0),"Quantité invalide",IF(J1461="","Prix manquant",IF(OR(NOT(ISNUMBER(J1461)),N(J1461)&lt;0),"Prix invalide",IF(OR(AND(F1461&lt;&gt;"",NOT(ISNUMBER(F1461))),N(F1461)&lt;0,N(F1461)&gt;1),"Remise invalide",IF(K1461="","Taux de TVA manquant",IF(NOT(ISNUMBER(K1461)),"Taux de TVA invalide",IF(COUNTIF(p_rates,K1461)=0,"Taux de TVA hors liste (Paramètres)",IF(N(O1461)&gt;25,"Au-delà de 25 lignes : non imprimée","OK")))))))))))))</f>
        <v/>
      </c>
      <c r="O1461" s="59" t="str">
        <f>IF(A1461="","",COUNTIF($A$6:A1461,A1461))</f>
        <v/>
      </c>
      <c r="P1461" s="62" t="str">
        <f>IF(A1461="","",A1461&amp;"|"&amp;O1461)</f>
        <v/>
      </c>
    </row>
    <row r="1462">
      <c r="A1462" s="60" t="n"/>
      <c r="B1462" s="63" t="n"/>
      <c r="C1462" s="63" t="n"/>
      <c r="D1462" s="67" t="n"/>
      <c r="E1462" s="68" t="n"/>
      <c r="F1462" s="69" t="n"/>
      <c r="G1462" s="70" t="n"/>
      <c r="H1462" s="62" t="str">
        <f>IF(COUNTA(A1462:G1462)=0,"",IF(C1462&lt;&gt;"",C1462,IF(B1462="","",IFERROR(INDEX(pr_des,MATCH(B1462,pr_code,0))&amp;"",""))))</f>
        <v/>
      </c>
      <c r="I1462" s="59" t="str">
        <f>IF(B1462="","",IFERROR(INDEX(pr_unit,MATCH(B1462,pr_code,0))&amp;"",""))</f>
        <v/>
      </c>
      <c r="J1462" s="65" t="str">
        <f>IF(COUNTA(A1462:G1462)=0,"",IF(E1462&lt;&gt;"",E1462,IF(B1462="","",IFERROR(IF(INDEX(pr_price,MATCH(B1462,pr_code,0))="","",INDEX(pr_price,MATCH(B1462,pr_code,0))),""))))</f>
        <v/>
      </c>
      <c r="K1462" s="71" t="str">
        <f>IF(COUNTA(A1462:G1462)=0,"",IF(G1462&lt;&gt;"",G1462,IF(B1462="","",IFERROR(IF(INDEX(pr_rate,MATCH(B1462,pr_code,0))="","",INDEX(pr_rate,MATCH(B1462,pr_code,0))),""))))</f>
        <v/>
      </c>
      <c r="L1462" s="65" t="str">
        <f>IF(COUNTA(A1462:G1462)=0,"",IF(AND(ISNUMBER(D1462),ISNUMBER(J1462)),ROUND(D1462*J1462*(1-N(F1462)),2),0))</f>
        <v/>
      </c>
      <c r="M1462" s="62" t="str">
        <f>IF(A1462="","",IFERROR(INDEX(dv_cname,MATCH(A1462,dv_num,0))&amp;"",""))</f>
        <v/>
      </c>
      <c r="N1462" s="59" t="str">
        <f>IF(COUNTA(A1462:G1462)=0,"",IF(A1462="","N° devis manquant",IF(ISNA(MATCH(A1462,dv_num,0)),"Devis inconnu",IF(AND(B1462&lt;&gt;"",ISNA(MATCH(B1462,pr_code,0))),"Article inconnu",IF(H1462="","Désignation manquante",IF(OR(NOT(ISNUMBER(D1462)),N(D1462)&lt;=0),"Quantité invalide",IF(J1462="","Prix manquant",IF(OR(NOT(ISNUMBER(J1462)),N(J1462)&lt;0),"Prix invalide",IF(OR(AND(F1462&lt;&gt;"",NOT(ISNUMBER(F1462))),N(F1462)&lt;0,N(F1462)&gt;1),"Remise invalide",IF(K1462="","Taux de TVA manquant",IF(NOT(ISNUMBER(K1462)),"Taux de TVA invalide",IF(COUNTIF(p_rates,K1462)=0,"Taux de TVA hors liste (Paramètres)",IF(N(O1462)&gt;25,"Au-delà de 25 lignes : non imprimée","OK")))))))))))))</f>
        <v/>
      </c>
      <c r="O1462" s="59" t="str">
        <f>IF(A1462="","",COUNTIF($A$6:A1462,A1462))</f>
        <v/>
      </c>
      <c r="P1462" s="62" t="str">
        <f>IF(A1462="","",A1462&amp;"|"&amp;O1462)</f>
        <v/>
      </c>
    </row>
    <row r="1463">
      <c r="A1463" s="60" t="n"/>
      <c r="B1463" s="63" t="n"/>
      <c r="C1463" s="63" t="n"/>
      <c r="D1463" s="67" t="n"/>
      <c r="E1463" s="68" t="n"/>
      <c r="F1463" s="69" t="n"/>
      <c r="G1463" s="70" t="n"/>
      <c r="H1463" s="62" t="str">
        <f>IF(COUNTA(A1463:G1463)=0,"",IF(C1463&lt;&gt;"",C1463,IF(B1463="","",IFERROR(INDEX(pr_des,MATCH(B1463,pr_code,0))&amp;"",""))))</f>
        <v/>
      </c>
      <c r="I1463" s="59" t="str">
        <f>IF(B1463="","",IFERROR(INDEX(pr_unit,MATCH(B1463,pr_code,0))&amp;"",""))</f>
        <v/>
      </c>
      <c r="J1463" s="65" t="str">
        <f>IF(COUNTA(A1463:G1463)=0,"",IF(E1463&lt;&gt;"",E1463,IF(B1463="","",IFERROR(IF(INDEX(pr_price,MATCH(B1463,pr_code,0))="","",INDEX(pr_price,MATCH(B1463,pr_code,0))),""))))</f>
        <v/>
      </c>
      <c r="K1463" s="71" t="str">
        <f>IF(COUNTA(A1463:G1463)=0,"",IF(G1463&lt;&gt;"",G1463,IF(B1463="","",IFERROR(IF(INDEX(pr_rate,MATCH(B1463,pr_code,0))="","",INDEX(pr_rate,MATCH(B1463,pr_code,0))),""))))</f>
        <v/>
      </c>
      <c r="L1463" s="65" t="str">
        <f>IF(COUNTA(A1463:G1463)=0,"",IF(AND(ISNUMBER(D1463),ISNUMBER(J1463)),ROUND(D1463*J1463*(1-N(F1463)),2),0))</f>
        <v/>
      </c>
      <c r="M1463" s="62" t="str">
        <f>IF(A1463="","",IFERROR(INDEX(dv_cname,MATCH(A1463,dv_num,0))&amp;"",""))</f>
        <v/>
      </c>
      <c r="N1463" s="59" t="str">
        <f>IF(COUNTA(A1463:G1463)=0,"",IF(A1463="","N° devis manquant",IF(ISNA(MATCH(A1463,dv_num,0)),"Devis inconnu",IF(AND(B1463&lt;&gt;"",ISNA(MATCH(B1463,pr_code,0))),"Article inconnu",IF(H1463="","Désignation manquante",IF(OR(NOT(ISNUMBER(D1463)),N(D1463)&lt;=0),"Quantité invalide",IF(J1463="","Prix manquant",IF(OR(NOT(ISNUMBER(J1463)),N(J1463)&lt;0),"Prix invalide",IF(OR(AND(F1463&lt;&gt;"",NOT(ISNUMBER(F1463))),N(F1463)&lt;0,N(F1463)&gt;1),"Remise invalide",IF(K1463="","Taux de TVA manquant",IF(NOT(ISNUMBER(K1463)),"Taux de TVA invalide",IF(COUNTIF(p_rates,K1463)=0,"Taux de TVA hors liste (Paramètres)",IF(N(O1463)&gt;25,"Au-delà de 25 lignes : non imprimée","OK")))))))))))))</f>
        <v/>
      </c>
      <c r="O1463" s="59" t="str">
        <f>IF(A1463="","",COUNTIF($A$6:A1463,A1463))</f>
        <v/>
      </c>
      <c r="P1463" s="62" t="str">
        <f>IF(A1463="","",A1463&amp;"|"&amp;O1463)</f>
        <v/>
      </c>
    </row>
    <row r="1464">
      <c r="A1464" s="60" t="n"/>
      <c r="B1464" s="63" t="n"/>
      <c r="C1464" s="63" t="n"/>
      <c r="D1464" s="67" t="n"/>
      <c r="E1464" s="68" t="n"/>
      <c r="F1464" s="69" t="n"/>
      <c r="G1464" s="70" t="n"/>
      <c r="H1464" s="62" t="str">
        <f>IF(COUNTA(A1464:G1464)=0,"",IF(C1464&lt;&gt;"",C1464,IF(B1464="","",IFERROR(INDEX(pr_des,MATCH(B1464,pr_code,0))&amp;"",""))))</f>
        <v/>
      </c>
      <c r="I1464" s="59" t="str">
        <f>IF(B1464="","",IFERROR(INDEX(pr_unit,MATCH(B1464,pr_code,0))&amp;"",""))</f>
        <v/>
      </c>
      <c r="J1464" s="65" t="str">
        <f>IF(COUNTA(A1464:G1464)=0,"",IF(E1464&lt;&gt;"",E1464,IF(B1464="","",IFERROR(IF(INDEX(pr_price,MATCH(B1464,pr_code,0))="","",INDEX(pr_price,MATCH(B1464,pr_code,0))),""))))</f>
        <v/>
      </c>
      <c r="K1464" s="71" t="str">
        <f>IF(COUNTA(A1464:G1464)=0,"",IF(G1464&lt;&gt;"",G1464,IF(B1464="","",IFERROR(IF(INDEX(pr_rate,MATCH(B1464,pr_code,0))="","",INDEX(pr_rate,MATCH(B1464,pr_code,0))),""))))</f>
        <v/>
      </c>
      <c r="L1464" s="65" t="str">
        <f>IF(COUNTA(A1464:G1464)=0,"",IF(AND(ISNUMBER(D1464),ISNUMBER(J1464)),ROUND(D1464*J1464*(1-N(F1464)),2),0))</f>
        <v/>
      </c>
      <c r="M1464" s="62" t="str">
        <f>IF(A1464="","",IFERROR(INDEX(dv_cname,MATCH(A1464,dv_num,0))&amp;"",""))</f>
        <v/>
      </c>
      <c r="N1464" s="59" t="str">
        <f>IF(COUNTA(A1464:G1464)=0,"",IF(A1464="","N° devis manquant",IF(ISNA(MATCH(A1464,dv_num,0)),"Devis inconnu",IF(AND(B1464&lt;&gt;"",ISNA(MATCH(B1464,pr_code,0))),"Article inconnu",IF(H1464="","Désignation manquante",IF(OR(NOT(ISNUMBER(D1464)),N(D1464)&lt;=0),"Quantité invalide",IF(J1464="","Prix manquant",IF(OR(NOT(ISNUMBER(J1464)),N(J1464)&lt;0),"Prix invalide",IF(OR(AND(F1464&lt;&gt;"",NOT(ISNUMBER(F1464))),N(F1464)&lt;0,N(F1464)&gt;1),"Remise invalide",IF(K1464="","Taux de TVA manquant",IF(NOT(ISNUMBER(K1464)),"Taux de TVA invalide",IF(COUNTIF(p_rates,K1464)=0,"Taux de TVA hors liste (Paramètres)",IF(N(O1464)&gt;25,"Au-delà de 25 lignes : non imprimée","OK")))))))))))))</f>
        <v/>
      </c>
      <c r="O1464" s="59" t="str">
        <f>IF(A1464="","",COUNTIF($A$6:A1464,A1464))</f>
        <v/>
      </c>
      <c r="P1464" s="62" t="str">
        <f>IF(A1464="","",A1464&amp;"|"&amp;O1464)</f>
        <v/>
      </c>
    </row>
    <row r="1465">
      <c r="A1465" s="60" t="n"/>
      <c r="B1465" s="63" t="n"/>
      <c r="C1465" s="63" t="n"/>
      <c r="D1465" s="67" t="n"/>
      <c r="E1465" s="68" t="n"/>
      <c r="F1465" s="69" t="n"/>
      <c r="G1465" s="70" t="n"/>
      <c r="H1465" s="62" t="str">
        <f>IF(COUNTA(A1465:G1465)=0,"",IF(C1465&lt;&gt;"",C1465,IF(B1465="","",IFERROR(INDEX(pr_des,MATCH(B1465,pr_code,0))&amp;"",""))))</f>
        <v/>
      </c>
      <c r="I1465" s="59" t="str">
        <f>IF(B1465="","",IFERROR(INDEX(pr_unit,MATCH(B1465,pr_code,0))&amp;"",""))</f>
        <v/>
      </c>
      <c r="J1465" s="65" t="str">
        <f>IF(COUNTA(A1465:G1465)=0,"",IF(E1465&lt;&gt;"",E1465,IF(B1465="","",IFERROR(IF(INDEX(pr_price,MATCH(B1465,pr_code,0))="","",INDEX(pr_price,MATCH(B1465,pr_code,0))),""))))</f>
        <v/>
      </c>
      <c r="K1465" s="71" t="str">
        <f>IF(COUNTA(A1465:G1465)=0,"",IF(G1465&lt;&gt;"",G1465,IF(B1465="","",IFERROR(IF(INDEX(pr_rate,MATCH(B1465,pr_code,0))="","",INDEX(pr_rate,MATCH(B1465,pr_code,0))),""))))</f>
        <v/>
      </c>
      <c r="L1465" s="65" t="str">
        <f>IF(COUNTA(A1465:G1465)=0,"",IF(AND(ISNUMBER(D1465),ISNUMBER(J1465)),ROUND(D1465*J1465*(1-N(F1465)),2),0))</f>
        <v/>
      </c>
      <c r="M1465" s="62" t="str">
        <f>IF(A1465="","",IFERROR(INDEX(dv_cname,MATCH(A1465,dv_num,0))&amp;"",""))</f>
        <v/>
      </c>
      <c r="N1465" s="59" t="str">
        <f>IF(COUNTA(A1465:G1465)=0,"",IF(A1465="","N° devis manquant",IF(ISNA(MATCH(A1465,dv_num,0)),"Devis inconnu",IF(AND(B1465&lt;&gt;"",ISNA(MATCH(B1465,pr_code,0))),"Article inconnu",IF(H1465="","Désignation manquante",IF(OR(NOT(ISNUMBER(D1465)),N(D1465)&lt;=0),"Quantité invalide",IF(J1465="","Prix manquant",IF(OR(NOT(ISNUMBER(J1465)),N(J1465)&lt;0),"Prix invalide",IF(OR(AND(F1465&lt;&gt;"",NOT(ISNUMBER(F1465))),N(F1465)&lt;0,N(F1465)&gt;1),"Remise invalide",IF(K1465="","Taux de TVA manquant",IF(NOT(ISNUMBER(K1465)),"Taux de TVA invalide",IF(COUNTIF(p_rates,K1465)=0,"Taux de TVA hors liste (Paramètres)",IF(N(O1465)&gt;25,"Au-delà de 25 lignes : non imprimée","OK")))))))))))))</f>
        <v/>
      </c>
      <c r="O1465" s="59" t="str">
        <f>IF(A1465="","",COUNTIF($A$6:A1465,A1465))</f>
        <v/>
      </c>
      <c r="P1465" s="62" t="str">
        <f>IF(A1465="","",A1465&amp;"|"&amp;O1465)</f>
        <v/>
      </c>
    </row>
    <row r="1466">
      <c r="A1466" s="60" t="n"/>
      <c r="B1466" s="63" t="n"/>
      <c r="C1466" s="63" t="n"/>
      <c r="D1466" s="67" t="n"/>
      <c r="E1466" s="68" t="n"/>
      <c r="F1466" s="69" t="n"/>
      <c r="G1466" s="70" t="n"/>
      <c r="H1466" s="62" t="str">
        <f>IF(COUNTA(A1466:G1466)=0,"",IF(C1466&lt;&gt;"",C1466,IF(B1466="","",IFERROR(INDEX(pr_des,MATCH(B1466,pr_code,0))&amp;"",""))))</f>
        <v/>
      </c>
      <c r="I1466" s="59" t="str">
        <f>IF(B1466="","",IFERROR(INDEX(pr_unit,MATCH(B1466,pr_code,0))&amp;"",""))</f>
        <v/>
      </c>
      <c r="J1466" s="65" t="str">
        <f>IF(COUNTA(A1466:G1466)=0,"",IF(E1466&lt;&gt;"",E1466,IF(B1466="","",IFERROR(IF(INDEX(pr_price,MATCH(B1466,pr_code,0))="","",INDEX(pr_price,MATCH(B1466,pr_code,0))),""))))</f>
        <v/>
      </c>
      <c r="K1466" s="71" t="str">
        <f>IF(COUNTA(A1466:G1466)=0,"",IF(G1466&lt;&gt;"",G1466,IF(B1466="","",IFERROR(IF(INDEX(pr_rate,MATCH(B1466,pr_code,0))="","",INDEX(pr_rate,MATCH(B1466,pr_code,0))),""))))</f>
        <v/>
      </c>
      <c r="L1466" s="65" t="str">
        <f>IF(COUNTA(A1466:G1466)=0,"",IF(AND(ISNUMBER(D1466),ISNUMBER(J1466)),ROUND(D1466*J1466*(1-N(F1466)),2),0))</f>
        <v/>
      </c>
      <c r="M1466" s="62" t="str">
        <f>IF(A1466="","",IFERROR(INDEX(dv_cname,MATCH(A1466,dv_num,0))&amp;"",""))</f>
        <v/>
      </c>
      <c r="N1466" s="59" t="str">
        <f>IF(COUNTA(A1466:G1466)=0,"",IF(A1466="","N° devis manquant",IF(ISNA(MATCH(A1466,dv_num,0)),"Devis inconnu",IF(AND(B1466&lt;&gt;"",ISNA(MATCH(B1466,pr_code,0))),"Article inconnu",IF(H1466="","Désignation manquante",IF(OR(NOT(ISNUMBER(D1466)),N(D1466)&lt;=0),"Quantité invalide",IF(J1466="","Prix manquant",IF(OR(NOT(ISNUMBER(J1466)),N(J1466)&lt;0),"Prix invalide",IF(OR(AND(F1466&lt;&gt;"",NOT(ISNUMBER(F1466))),N(F1466)&lt;0,N(F1466)&gt;1),"Remise invalide",IF(K1466="","Taux de TVA manquant",IF(NOT(ISNUMBER(K1466)),"Taux de TVA invalide",IF(COUNTIF(p_rates,K1466)=0,"Taux de TVA hors liste (Paramètres)",IF(N(O1466)&gt;25,"Au-delà de 25 lignes : non imprimée","OK")))))))))))))</f>
        <v/>
      </c>
      <c r="O1466" s="59" t="str">
        <f>IF(A1466="","",COUNTIF($A$6:A1466,A1466))</f>
        <v/>
      </c>
      <c r="P1466" s="62" t="str">
        <f>IF(A1466="","",A1466&amp;"|"&amp;O1466)</f>
        <v/>
      </c>
    </row>
    <row r="1467">
      <c r="A1467" s="60" t="n"/>
      <c r="B1467" s="63" t="n"/>
      <c r="C1467" s="63" t="n"/>
      <c r="D1467" s="67" t="n"/>
      <c r="E1467" s="68" t="n"/>
      <c r="F1467" s="69" t="n"/>
      <c r="G1467" s="70" t="n"/>
      <c r="H1467" s="62" t="str">
        <f>IF(COUNTA(A1467:G1467)=0,"",IF(C1467&lt;&gt;"",C1467,IF(B1467="","",IFERROR(INDEX(pr_des,MATCH(B1467,pr_code,0))&amp;"",""))))</f>
        <v/>
      </c>
      <c r="I1467" s="59" t="str">
        <f>IF(B1467="","",IFERROR(INDEX(pr_unit,MATCH(B1467,pr_code,0))&amp;"",""))</f>
        <v/>
      </c>
      <c r="J1467" s="65" t="str">
        <f>IF(COUNTA(A1467:G1467)=0,"",IF(E1467&lt;&gt;"",E1467,IF(B1467="","",IFERROR(IF(INDEX(pr_price,MATCH(B1467,pr_code,0))="","",INDEX(pr_price,MATCH(B1467,pr_code,0))),""))))</f>
        <v/>
      </c>
      <c r="K1467" s="71" t="str">
        <f>IF(COUNTA(A1467:G1467)=0,"",IF(G1467&lt;&gt;"",G1467,IF(B1467="","",IFERROR(IF(INDEX(pr_rate,MATCH(B1467,pr_code,0))="","",INDEX(pr_rate,MATCH(B1467,pr_code,0))),""))))</f>
        <v/>
      </c>
      <c r="L1467" s="65" t="str">
        <f>IF(COUNTA(A1467:G1467)=0,"",IF(AND(ISNUMBER(D1467),ISNUMBER(J1467)),ROUND(D1467*J1467*(1-N(F1467)),2),0))</f>
        <v/>
      </c>
      <c r="M1467" s="62" t="str">
        <f>IF(A1467="","",IFERROR(INDEX(dv_cname,MATCH(A1467,dv_num,0))&amp;"",""))</f>
        <v/>
      </c>
      <c r="N1467" s="59" t="str">
        <f>IF(COUNTA(A1467:G1467)=0,"",IF(A1467="","N° devis manquant",IF(ISNA(MATCH(A1467,dv_num,0)),"Devis inconnu",IF(AND(B1467&lt;&gt;"",ISNA(MATCH(B1467,pr_code,0))),"Article inconnu",IF(H1467="","Désignation manquante",IF(OR(NOT(ISNUMBER(D1467)),N(D1467)&lt;=0),"Quantité invalide",IF(J1467="","Prix manquant",IF(OR(NOT(ISNUMBER(J1467)),N(J1467)&lt;0),"Prix invalide",IF(OR(AND(F1467&lt;&gt;"",NOT(ISNUMBER(F1467))),N(F1467)&lt;0,N(F1467)&gt;1),"Remise invalide",IF(K1467="","Taux de TVA manquant",IF(NOT(ISNUMBER(K1467)),"Taux de TVA invalide",IF(COUNTIF(p_rates,K1467)=0,"Taux de TVA hors liste (Paramètres)",IF(N(O1467)&gt;25,"Au-delà de 25 lignes : non imprimée","OK")))))))))))))</f>
        <v/>
      </c>
      <c r="O1467" s="59" t="str">
        <f>IF(A1467="","",COUNTIF($A$6:A1467,A1467))</f>
        <v/>
      </c>
      <c r="P1467" s="62" t="str">
        <f>IF(A1467="","",A1467&amp;"|"&amp;O1467)</f>
        <v/>
      </c>
    </row>
    <row r="1468">
      <c r="A1468" s="60" t="n"/>
      <c r="B1468" s="63" t="n"/>
      <c r="C1468" s="63" t="n"/>
      <c r="D1468" s="67" t="n"/>
      <c r="E1468" s="68" t="n"/>
      <c r="F1468" s="69" t="n"/>
      <c r="G1468" s="70" t="n"/>
      <c r="H1468" s="62" t="str">
        <f>IF(COUNTA(A1468:G1468)=0,"",IF(C1468&lt;&gt;"",C1468,IF(B1468="","",IFERROR(INDEX(pr_des,MATCH(B1468,pr_code,0))&amp;"",""))))</f>
        <v/>
      </c>
      <c r="I1468" s="59" t="str">
        <f>IF(B1468="","",IFERROR(INDEX(pr_unit,MATCH(B1468,pr_code,0))&amp;"",""))</f>
        <v/>
      </c>
      <c r="J1468" s="65" t="str">
        <f>IF(COUNTA(A1468:G1468)=0,"",IF(E1468&lt;&gt;"",E1468,IF(B1468="","",IFERROR(IF(INDEX(pr_price,MATCH(B1468,pr_code,0))="","",INDEX(pr_price,MATCH(B1468,pr_code,0))),""))))</f>
        <v/>
      </c>
      <c r="K1468" s="71" t="str">
        <f>IF(COUNTA(A1468:G1468)=0,"",IF(G1468&lt;&gt;"",G1468,IF(B1468="","",IFERROR(IF(INDEX(pr_rate,MATCH(B1468,pr_code,0))="","",INDEX(pr_rate,MATCH(B1468,pr_code,0))),""))))</f>
        <v/>
      </c>
      <c r="L1468" s="65" t="str">
        <f>IF(COUNTA(A1468:G1468)=0,"",IF(AND(ISNUMBER(D1468),ISNUMBER(J1468)),ROUND(D1468*J1468*(1-N(F1468)),2),0))</f>
        <v/>
      </c>
      <c r="M1468" s="62" t="str">
        <f>IF(A1468="","",IFERROR(INDEX(dv_cname,MATCH(A1468,dv_num,0))&amp;"",""))</f>
        <v/>
      </c>
      <c r="N1468" s="59" t="str">
        <f>IF(COUNTA(A1468:G1468)=0,"",IF(A1468="","N° devis manquant",IF(ISNA(MATCH(A1468,dv_num,0)),"Devis inconnu",IF(AND(B1468&lt;&gt;"",ISNA(MATCH(B1468,pr_code,0))),"Article inconnu",IF(H1468="","Désignation manquante",IF(OR(NOT(ISNUMBER(D1468)),N(D1468)&lt;=0),"Quantité invalide",IF(J1468="","Prix manquant",IF(OR(NOT(ISNUMBER(J1468)),N(J1468)&lt;0),"Prix invalide",IF(OR(AND(F1468&lt;&gt;"",NOT(ISNUMBER(F1468))),N(F1468)&lt;0,N(F1468)&gt;1),"Remise invalide",IF(K1468="","Taux de TVA manquant",IF(NOT(ISNUMBER(K1468)),"Taux de TVA invalide",IF(COUNTIF(p_rates,K1468)=0,"Taux de TVA hors liste (Paramètres)",IF(N(O1468)&gt;25,"Au-delà de 25 lignes : non imprimée","OK")))))))))))))</f>
        <v/>
      </c>
      <c r="O1468" s="59" t="str">
        <f>IF(A1468="","",COUNTIF($A$6:A1468,A1468))</f>
        <v/>
      </c>
      <c r="P1468" s="62" t="str">
        <f>IF(A1468="","",A1468&amp;"|"&amp;O1468)</f>
        <v/>
      </c>
    </row>
    <row r="1469">
      <c r="A1469" s="60" t="n"/>
      <c r="B1469" s="63" t="n"/>
      <c r="C1469" s="63" t="n"/>
      <c r="D1469" s="67" t="n"/>
      <c r="E1469" s="68" t="n"/>
      <c r="F1469" s="69" t="n"/>
      <c r="G1469" s="70" t="n"/>
      <c r="H1469" s="62" t="str">
        <f>IF(COUNTA(A1469:G1469)=0,"",IF(C1469&lt;&gt;"",C1469,IF(B1469="","",IFERROR(INDEX(pr_des,MATCH(B1469,pr_code,0))&amp;"",""))))</f>
        <v/>
      </c>
      <c r="I1469" s="59" t="str">
        <f>IF(B1469="","",IFERROR(INDEX(pr_unit,MATCH(B1469,pr_code,0))&amp;"",""))</f>
        <v/>
      </c>
      <c r="J1469" s="65" t="str">
        <f>IF(COUNTA(A1469:G1469)=0,"",IF(E1469&lt;&gt;"",E1469,IF(B1469="","",IFERROR(IF(INDEX(pr_price,MATCH(B1469,pr_code,0))="","",INDEX(pr_price,MATCH(B1469,pr_code,0))),""))))</f>
        <v/>
      </c>
      <c r="K1469" s="71" t="str">
        <f>IF(COUNTA(A1469:G1469)=0,"",IF(G1469&lt;&gt;"",G1469,IF(B1469="","",IFERROR(IF(INDEX(pr_rate,MATCH(B1469,pr_code,0))="","",INDEX(pr_rate,MATCH(B1469,pr_code,0))),""))))</f>
        <v/>
      </c>
      <c r="L1469" s="65" t="str">
        <f>IF(COUNTA(A1469:G1469)=0,"",IF(AND(ISNUMBER(D1469),ISNUMBER(J1469)),ROUND(D1469*J1469*(1-N(F1469)),2),0))</f>
        <v/>
      </c>
      <c r="M1469" s="62" t="str">
        <f>IF(A1469="","",IFERROR(INDEX(dv_cname,MATCH(A1469,dv_num,0))&amp;"",""))</f>
        <v/>
      </c>
      <c r="N1469" s="59" t="str">
        <f>IF(COUNTA(A1469:G1469)=0,"",IF(A1469="","N° devis manquant",IF(ISNA(MATCH(A1469,dv_num,0)),"Devis inconnu",IF(AND(B1469&lt;&gt;"",ISNA(MATCH(B1469,pr_code,0))),"Article inconnu",IF(H1469="","Désignation manquante",IF(OR(NOT(ISNUMBER(D1469)),N(D1469)&lt;=0),"Quantité invalide",IF(J1469="","Prix manquant",IF(OR(NOT(ISNUMBER(J1469)),N(J1469)&lt;0),"Prix invalide",IF(OR(AND(F1469&lt;&gt;"",NOT(ISNUMBER(F1469))),N(F1469)&lt;0,N(F1469)&gt;1),"Remise invalide",IF(K1469="","Taux de TVA manquant",IF(NOT(ISNUMBER(K1469)),"Taux de TVA invalide",IF(COUNTIF(p_rates,K1469)=0,"Taux de TVA hors liste (Paramètres)",IF(N(O1469)&gt;25,"Au-delà de 25 lignes : non imprimée","OK")))))))))))))</f>
        <v/>
      </c>
      <c r="O1469" s="59" t="str">
        <f>IF(A1469="","",COUNTIF($A$6:A1469,A1469))</f>
        <v/>
      </c>
      <c r="P1469" s="62" t="str">
        <f>IF(A1469="","",A1469&amp;"|"&amp;O1469)</f>
        <v/>
      </c>
    </row>
    <row r="1470">
      <c r="A1470" s="60" t="n"/>
      <c r="B1470" s="63" t="n"/>
      <c r="C1470" s="63" t="n"/>
      <c r="D1470" s="67" t="n"/>
      <c r="E1470" s="68" t="n"/>
      <c r="F1470" s="69" t="n"/>
      <c r="G1470" s="70" t="n"/>
      <c r="H1470" s="62" t="str">
        <f>IF(COUNTA(A1470:G1470)=0,"",IF(C1470&lt;&gt;"",C1470,IF(B1470="","",IFERROR(INDEX(pr_des,MATCH(B1470,pr_code,0))&amp;"",""))))</f>
        <v/>
      </c>
      <c r="I1470" s="59" t="str">
        <f>IF(B1470="","",IFERROR(INDEX(pr_unit,MATCH(B1470,pr_code,0))&amp;"",""))</f>
        <v/>
      </c>
      <c r="J1470" s="65" t="str">
        <f>IF(COUNTA(A1470:G1470)=0,"",IF(E1470&lt;&gt;"",E1470,IF(B1470="","",IFERROR(IF(INDEX(pr_price,MATCH(B1470,pr_code,0))="","",INDEX(pr_price,MATCH(B1470,pr_code,0))),""))))</f>
        <v/>
      </c>
      <c r="K1470" s="71" t="str">
        <f>IF(COUNTA(A1470:G1470)=0,"",IF(G1470&lt;&gt;"",G1470,IF(B1470="","",IFERROR(IF(INDEX(pr_rate,MATCH(B1470,pr_code,0))="","",INDEX(pr_rate,MATCH(B1470,pr_code,0))),""))))</f>
        <v/>
      </c>
      <c r="L1470" s="65" t="str">
        <f>IF(COUNTA(A1470:G1470)=0,"",IF(AND(ISNUMBER(D1470),ISNUMBER(J1470)),ROUND(D1470*J1470*(1-N(F1470)),2),0))</f>
        <v/>
      </c>
      <c r="M1470" s="62" t="str">
        <f>IF(A1470="","",IFERROR(INDEX(dv_cname,MATCH(A1470,dv_num,0))&amp;"",""))</f>
        <v/>
      </c>
      <c r="N1470" s="59" t="str">
        <f>IF(COUNTA(A1470:G1470)=0,"",IF(A1470="","N° devis manquant",IF(ISNA(MATCH(A1470,dv_num,0)),"Devis inconnu",IF(AND(B1470&lt;&gt;"",ISNA(MATCH(B1470,pr_code,0))),"Article inconnu",IF(H1470="","Désignation manquante",IF(OR(NOT(ISNUMBER(D1470)),N(D1470)&lt;=0),"Quantité invalide",IF(J1470="","Prix manquant",IF(OR(NOT(ISNUMBER(J1470)),N(J1470)&lt;0),"Prix invalide",IF(OR(AND(F1470&lt;&gt;"",NOT(ISNUMBER(F1470))),N(F1470)&lt;0,N(F1470)&gt;1),"Remise invalide",IF(K1470="","Taux de TVA manquant",IF(NOT(ISNUMBER(K1470)),"Taux de TVA invalide",IF(COUNTIF(p_rates,K1470)=0,"Taux de TVA hors liste (Paramètres)",IF(N(O1470)&gt;25,"Au-delà de 25 lignes : non imprimée","OK")))))))))))))</f>
        <v/>
      </c>
      <c r="O1470" s="59" t="str">
        <f>IF(A1470="","",COUNTIF($A$6:A1470,A1470))</f>
        <v/>
      </c>
      <c r="P1470" s="62" t="str">
        <f>IF(A1470="","",A1470&amp;"|"&amp;O1470)</f>
        <v/>
      </c>
    </row>
    <row r="1471">
      <c r="A1471" s="60" t="n"/>
      <c r="B1471" s="63" t="n"/>
      <c r="C1471" s="63" t="n"/>
      <c r="D1471" s="67" t="n"/>
      <c r="E1471" s="68" t="n"/>
      <c r="F1471" s="69" t="n"/>
      <c r="G1471" s="70" t="n"/>
      <c r="H1471" s="62" t="str">
        <f>IF(COUNTA(A1471:G1471)=0,"",IF(C1471&lt;&gt;"",C1471,IF(B1471="","",IFERROR(INDEX(pr_des,MATCH(B1471,pr_code,0))&amp;"",""))))</f>
        <v/>
      </c>
      <c r="I1471" s="59" t="str">
        <f>IF(B1471="","",IFERROR(INDEX(pr_unit,MATCH(B1471,pr_code,0))&amp;"",""))</f>
        <v/>
      </c>
      <c r="J1471" s="65" t="str">
        <f>IF(COUNTA(A1471:G1471)=0,"",IF(E1471&lt;&gt;"",E1471,IF(B1471="","",IFERROR(IF(INDEX(pr_price,MATCH(B1471,pr_code,0))="","",INDEX(pr_price,MATCH(B1471,pr_code,0))),""))))</f>
        <v/>
      </c>
      <c r="K1471" s="71" t="str">
        <f>IF(COUNTA(A1471:G1471)=0,"",IF(G1471&lt;&gt;"",G1471,IF(B1471="","",IFERROR(IF(INDEX(pr_rate,MATCH(B1471,pr_code,0))="","",INDEX(pr_rate,MATCH(B1471,pr_code,0))),""))))</f>
        <v/>
      </c>
      <c r="L1471" s="65" t="str">
        <f>IF(COUNTA(A1471:G1471)=0,"",IF(AND(ISNUMBER(D1471),ISNUMBER(J1471)),ROUND(D1471*J1471*(1-N(F1471)),2),0))</f>
        <v/>
      </c>
      <c r="M1471" s="62" t="str">
        <f>IF(A1471="","",IFERROR(INDEX(dv_cname,MATCH(A1471,dv_num,0))&amp;"",""))</f>
        <v/>
      </c>
      <c r="N1471" s="59" t="str">
        <f>IF(COUNTA(A1471:G1471)=0,"",IF(A1471="","N° devis manquant",IF(ISNA(MATCH(A1471,dv_num,0)),"Devis inconnu",IF(AND(B1471&lt;&gt;"",ISNA(MATCH(B1471,pr_code,0))),"Article inconnu",IF(H1471="","Désignation manquante",IF(OR(NOT(ISNUMBER(D1471)),N(D1471)&lt;=0),"Quantité invalide",IF(J1471="","Prix manquant",IF(OR(NOT(ISNUMBER(J1471)),N(J1471)&lt;0),"Prix invalide",IF(OR(AND(F1471&lt;&gt;"",NOT(ISNUMBER(F1471))),N(F1471)&lt;0,N(F1471)&gt;1),"Remise invalide",IF(K1471="","Taux de TVA manquant",IF(NOT(ISNUMBER(K1471)),"Taux de TVA invalide",IF(COUNTIF(p_rates,K1471)=0,"Taux de TVA hors liste (Paramètres)",IF(N(O1471)&gt;25,"Au-delà de 25 lignes : non imprimée","OK")))))))))))))</f>
        <v/>
      </c>
      <c r="O1471" s="59" t="str">
        <f>IF(A1471="","",COUNTIF($A$6:A1471,A1471))</f>
        <v/>
      </c>
      <c r="P1471" s="62" t="str">
        <f>IF(A1471="","",A1471&amp;"|"&amp;O1471)</f>
        <v/>
      </c>
    </row>
    <row r="1472">
      <c r="A1472" s="60" t="n"/>
      <c r="B1472" s="63" t="n"/>
      <c r="C1472" s="63" t="n"/>
      <c r="D1472" s="67" t="n"/>
      <c r="E1472" s="68" t="n"/>
      <c r="F1472" s="69" t="n"/>
      <c r="G1472" s="70" t="n"/>
      <c r="H1472" s="62" t="str">
        <f>IF(COUNTA(A1472:G1472)=0,"",IF(C1472&lt;&gt;"",C1472,IF(B1472="","",IFERROR(INDEX(pr_des,MATCH(B1472,pr_code,0))&amp;"",""))))</f>
        <v/>
      </c>
      <c r="I1472" s="59" t="str">
        <f>IF(B1472="","",IFERROR(INDEX(pr_unit,MATCH(B1472,pr_code,0))&amp;"",""))</f>
        <v/>
      </c>
      <c r="J1472" s="65" t="str">
        <f>IF(COUNTA(A1472:G1472)=0,"",IF(E1472&lt;&gt;"",E1472,IF(B1472="","",IFERROR(IF(INDEX(pr_price,MATCH(B1472,pr_code,0))="","",INDEX(pr_price,MATCH(B1472,pr_code,0))),""))))</f>
        <v/>
      </c>
      <c r="K1472" s="71" t="str">
        <f>IF(COUNTA(A1472:G1472)=0,"",IF(G1472&lt;&gt;"",G1472,IF(B1472="","",IFERROR(IF(INDEX(pr_rate,MATCH(B1472,pr_code,0))="","",INDEX(pr_rate,MATCH(B1472,pr_code,0))),""))))</f>
        <v/>
      </c>
      <c r="L1472" s="65" t="str">
        <f>IF(COUNTA(A1472:G1472)=0,"",IF(AND(ISNUMBER(D1472),ISNUMBER(J1472)),ROUND(D1472*J1472*(1-N(F1472)),2),0))</f>
        <v/>
      </c>
      <c r="M1472" s="62" t="str">
        <f>IF(A1472="","",IFERROR(INDEX(dv_cname,MATCH(A1472,dv_num,0))&amp;"",""))</f>
        <v/>
      </c>
      <c r="N1472" s="59" t="str">
        <f>IF(COUNTA(A1472:G1472)=0,"",IF(A1472="","N° devis manquant",IF(ISNA(MATCH(A1472,dv_num,0)),"Devis inconnu",IF(AND(B1472&lt;&gt;"",ISNA(MATCH(B1472,pr_code,0))),"Article inconnu",IF(H1472="","Désignation manquante",IF(OR(NOT(ISNUMBER(D1472)),N(D1472)&lt;=0),"Quantité invalide",IF(J1472="","Prix manquant",IF(OR(NOT(ISNUMBER(J1472)),N(J1472)&lt;0),"Prix invalide",IF(OR(AND(F1472&lt;&gt;"",NOT(ISNUMBER(F1472))),N(F1472)&lt;0,N(F1472)&gt;1),"Remise invalide",IF(K1472="","Taux de TVA manquant",IF(NOT(ISNUMBER(K1472)),"Taux de TVA invalide",IF(COUNTIF(p_rates,K1472)=0,"Taux de TVA hors liste (Paramètres)",IF(N(O1472)&gt;25,"Au-delà de 25 lignes : non imprimée","OK")))))))))))))</f>
        <v/>
      </c>
      <c r="O1472" s="59" t="str">
        <f>IF(A1472="","",COUNTIF($A$6:A1472,A1472))</f>
        <v/>
      </c>
      <c r="P1472" s="62" t="str">
        <f>IF(A1472="","",A1472&amp;"|"&amp;O1472)</f>
        <v/>
      </c>
    </row>
    <row r="1473">
      <c r="A1473" s="60" t="n"/>
      <c r="B1473" s="63" t="n"/>
      <c r="C1473" s="63" t="n"/>
      <c r="D1473" s="67" t="n"/>
      <c r="E1473" s="68" t="n"/>
      <c r="F1473" s="69" t="n"/>
      <c r="G1473" s="70" t="n"/>
      <c r="H1473" s="62" t="str">
        <f>IF(COUNTA(A1473:G1473)=0,"",IF(C1473&lt;&gt;"",C1473,IF(B1473="","",IFERROR(INDEX(pr_des,MATCH(B1473,pr_code,0))&amp;"",""))))</f>
        <v/>
      </c>
      <c r="I1473" s="59" t="str">
        <f>IF(B1473="","",IFERROR(INDEX(pr_unit,MATCH(B1473,pr_code,0))&amp;"",""))</f>
        <v/>
      </c>
      <c r="J1473" s="65" t="str">
        <f>IF(COUNTA(A1473:G1473)=0,"",IF(E1473&lt;&gt;"",E1473,IF(B1473="","",IFERROR(IF(INDEX(pr_price,MATCH(B1473,pr_code,0))="","",INDEX(pr_price,MATCH(B1473,pr_code,0))),""))))</f>
        <v/>
      </c>
      <c r="K1473" s="71" t="str">
        <f>IF(COUNTA(A1473:G1473)=0,"",IF(G1473&lt;&gt;"",G1473,IF(B1473="","",IFERROR(IF(INDEX(pr_rate,MATCH(B1473,pr_code,0))="","",INDEX(pr_rate,MATCH(B1473,pr_code,0))),""))))</f>
        <v/>
      </c>
      <c r="L1473" s="65" t="str">
        <f>IF(COUNTA(A1473:G1473)=0,"",IF(AND(ISNUMBER(D1473),ISNUMBER(J1473)),ROUND(D1473*J1473*(1-N(F1473)),2),0))</f>
        <v/>
      </c>
      <c r="M1473" s="62" t="str">
        <f>IF(A1473="","",IFERROR(INDEX(dv_cname,MATCH(A1473,dv_num,0))&amp;"",""))</f>
        <v/>
      </c>
      <c r="N1473" s="59" t="str">
        <f>IF(COUNTA(A1473:G1473)=0,"",IF(A1473="","N° devis manquant",IF(ISNA(MATCH(A1473,dv_num,0)),"Devis inconnu",IF(AND(B1473&lt;&gt;"",ISNA(MATCH(B1473,pr_code,0))),"Article inconnu",IF(H1473="","Désignation manquante",IF(OR(NOT(ISNUMBER(D1473)),N(D1473)&lt;=0),"Quantité invalide",IF(J1473="","Prix manquant",IF(OR(NOT(ISNUMBER(J1473)),N(J1473)&lt;0),"Prix invalide",IF(OR(AND(F1473&lt;&gt;"",NOT(ISNUMBER(F1473))),N(F1473)&lt;0,N(F1473)&gt;1),"Remise invalide",IF(K1473="","Taux de TVA manquant",IF(NOT(ISNUMBER(K1473)),"Taux de TVA invalide",IF(COUNTIF(p_rates,K1473)=0,"Taux de TVA hors liste (Paramètres)",IF(N(O1473)&gt;25,"Au-delà de 25 lignes : non imprimée","OK")))))))))))))</f>
        <v/>
      </c>
      <c r="O1473" s="59" t="str">
        <f>IF(A1473="","",COUNTIF($A$6:A1473,A1473))</f>
        <v/>
      </c>
      <c r="P1473" s="62" t="str">
        <f>IF(A1473="","",A1473&amp;"|"&amp;O1473)</f>
        <v/>
      </c>
    </row>
    <row r="1474">
      <c r="A1474" s="60" t="n"/>
      <c r="B1474" s="63" t="n"/>
      <c r="C1474" s="63" t="n"/>
      <c r="D1474" s="67" t="n"/>
      <c r="E1474" s="68" t="n"/>
      <c r="F1474" s="69" t="n"/>
      <c r="G1474" s="70" t="n"/>
      <c r="H1474" s="62" t="str">
        <f>IF(COUNTA(A1474:G1474)=0,"",IF(C1474&lt;&gt;"",C1474,IF(B1474="","",IFERROR(INDEX(pr_des,MATCH(B1474,pr_code,0))&amp;"",""))))</f>
        <v/>
      </c>
      <c r="I1474" s="59" t="str">
        <f>IF(B1474="","",IFERROR(INDEX(pr_unit,MATCH(B1474,pr_code,0))&amp;"",""))</f>
        <v/>
      </c>
      <c r="J1474" s="65" t="str">
        <f>IF(COUNTA(A1474:G1474)=0,"",IF(E1474&lt;&gt;"",E1474,IF(B1474="","",IFERROR(IF(INDEX(pr_price,MATCH(B1474,pr_code,0))="","",INDEX(pr_price,MATCH(B1474,pr_code,0))),""))))</f>
        <v/>
      </c>
      <c r="K1474" s="71" t="str">
        <f>IF(COUNTA(A1474:G1474)=0,"",IF(G1474&lt;&gt;"",G1474,IF(B1474="","",IFERROR(IF(INDEX(pr_rate,MATCH(B1474,pr_code,0))="","",INDEX(pr_rate,MATCH(B1474,pr_code,0))),""))))</f>
        <v/>
      </c>
      <c r="L1474" s="65" t="str">
        <f>IF(COUNTA(A1474:G1474)=0,"",IF(AND(ISNUMBER(D1474),ISNUMBER(J1474)),ROUND(D1474*J1474*(1-N(F1474)),2),0))</f>
        <v/>
      </c>
      <c r="M1474" s="62" t="str">
        <f>IF(A1474="","",IFERROR(INDEX(dv_cname,MATCH(A1474,dv_num,0))&amp;"",""))</f>
        <v/>
      </c>
      <c r="N1474" s="59" t="str">
        <f>IF(COUNTA(A1474:G1474)=0,"",IF(A1474="","N° devis manquant",IF(ISNA(MATCH(A1474,dv_num,0)),"Devis inconnu",IF(AND(B1474&lt;&gt;"",ISNA(MATCH(B1474,pr_code,0))),"Article inconnu",IF(H1474="","Désignation manquante",IF(OR(NOT(ISNUMBER(D1474)),N(D1474)&lt;=0),"Quantité invalide",IF(J1474="","Prix manquant",IF(OR(NOT(ISNUMBER(J1474)),N(J1474)&lt;0),"Prix invalide",IF(OR(AND(F1474&lt;&gt;"",NOT(ISNUMBER(F1474))),N(F1474)&lt;0,N(F1474)&gt;1),"Remise invalide",IF(K1474="","Taux de TVA manquant",IF(NOT(ISNUMBER(K1474)),"Taux de TVA invalide",IF(COUNTIF(p_rates,K1474)=0,"Taux de TVA hors liste (Paramètres)",IF(N(O1474)&gt;25,"Au-delà de 25 lignes : non imprimée","OK")))))))))))))</f>
        <v/>
      </c>
      <c r="O1474" s="59" t="str">
        <f>IF(A1474="","",COUNTIF($A$6:A1474,A1474))</f>
        <v/>
      </c>
      <c r="P1474" s="62" t="str">
        <f>IF(A1474="","",A1474&amp;"|"&amp;O1474)</f>
        <v/>
      </c>
    </row>
    <row r="1475">
      <c r="A1475" s="60" t="n"/>
      <c r="B1475" s="63" t="n"/>
      <c r="C1475" s="63" t="n"/>
      <c r="D1475" s="67" t="n"/>
      <c r="E1475" s="68" t="n"/>
      <c r="F1475" s="69" t="n"/>
      <c r="G1475" s="70" t="n"/>
      <c r="H1475" s="62" t="str">
        <f>IF(COUNTA(A1475:G1475)=0,"",IF(C1475&lt;&gt;"",C1475,IF(B1475="","",IFERROR(INDEX(pr_des,MATCH(B1475,pr_code,0))&amp;"",""))))</f>
        <v/>
      </c>
      <c r="I1475" s="59" t="str">
        <f>IF(B1475="","",IFERROR(INDEX(pr_unit,MATCH(B1475,pr_code,0))&amp;"",""))</f>
        <v/>
      </c>
      <c r="J1475" s="65" t="str">
        <f>IF(COUNTA(A1475:G1475)=0,"",IF(E1475&lt;&gt;"",E1475,IF(B1475="","",IFERROR(IF(INDEX(pr_price,MATCH(B1475,pr_code,0))="","",INDEX(pr_price,MATCH(B1475,pr_code,0))),""))))</f>
        <v/>
      </c>
      <c r="K1475" s="71" t="str">
        <f>IF(COUNTA(A1475:G1475)=0,"",IF(G1475&lt;&gt;"",G1475,IF(B1475="","",IFERROR(IF(INDEX(pr_rate,MATCH(B1475,pr_code,0))="","",INDEX(pr_rate,MATCH(B1475,pr_code,0))),""))))</f>
        <v/>
      </c>
      <c r="L1475" s="65" t="str">
        <f>IF(COUNTA(A1475:G1475)=0,"",IF(AND(ISNUMBER(D1475),ISNUMBER(J1475)),ROUND(D1475*J1475*(1-N(F1475)),2),0))</f>
        <v/>
      </c>
      <c r="M1475" s="62" t="str">
        <f>IF(A1475="","",IFERROR(INDEX(dv_cname,MATCH(A1475,dv_num,0))&amp;"",""))</f>
        <v/>
      </c>
      <c r="N1475" s="59" t="str">
        <f>IF(COUNTA(A1475:G1475)=0,"",IF(A1475="","N° devis manquant",IF(ISNA(MATCH(A1475,dv_num,0)),"Devis inconnu",IF(AND(B1475&lt;&gt;"",ISNA(MATCH(B1475,pr_code,0))),"Article inconnu",IF(H1475="","Désignation manquante",IF(OR(NOT(ISNUMBER(D1475)),N(D1475)&lt;=0),"Quantité invalide",IF(J1475="","Prix manquant",IF(OR(NOT(ISNUMBER(J1475)),N(J1475)&lt;0),"Prix invalide",IF(OR(AND(F1475&lt;&gt;"",NOT(ISNUMBER(F1475))),N(F1475)&lt;0,N(F1475)&gt;1),"Remise invalide",IF(K1475="","Taux de TVA manquant",IF(NOT(ISNUMBER(K1475)),"Taux de TVA invalide",IF(COUNTIF(p_rates,K1475)=0,"Taux de TVA hors liste (Paramètres)",IF(N(O1475)&gt;25,"Au-delà de 25 lignes : non imprimée","OK")))))))))))))</f>
        <v/>
      </c>
      <c r="O1475" s="59" t="str">
        <f>IF(A1475="","",COUNTIF($A$6:A1475,A1475))</f>
        <v/>
      </c>
      <c r="P1475" s="62" t="str">
        <f>IF(A1475="","",A1475&amp;"|"&amp;O1475)</f>
        <v/>
      </c>
    </row>
    <row r="1476">
      <c r="A1476" s="60" t="n"/>
      <c r="B1476" s="63" t="n"/>
      <c r="C1476" s="63" t="n"/>
      <c r="D1476" s="67" t="n"/>
      <c r="E1476" s="68" t="n"/>
      <c r="F1476" s="69" t="n"/>
      <c r="G1476" s="70" t="n"/>
      <c r="H1476" s="62" t="str">
        <f>IF(COUNTA(A1476:G1476)=0,"",IF(C1476&lt;&gt;"",C1476,IF(B1476="","",IFERROR(INDEX(pr_des,MATCH(B1476,pr_code,0))&amp;"",""))))</f>
        <v/>
      </c>
      <c r="I1476" s="59" t="str">
        <f>IF(B1476="","",IFERROR(INDEX(pr_unit,MATCH(B1476,pr_code,0))&amp;"",""))</f>
        <v/>
      </c>
      <c r="J1476" s="65" t="str">
        <f>IF(COUNTA(A1476:G1476)=0,"",IF(E1476&lt;&gt;"",E1476,IF(B1476="","",IFERROR(IF(INDEX(pr_price,MATCH(B1476,pr_code,0))="","",INDEX(pr_price,MATCH(B1476,pr_code,0))),""))))</f>
        <v/>
      </c>
      <c r="K1476" s="71" t="str">
        <f>IF(COUNTA(A1476:G1476)=0,"",IF(G1476&lt;&gt;"",G1476,IF(B1476="","",IFERROR(IF(INDEX(pr_rate,MATCH(B1476,pr_code,0))="","",INDEX(pr_rate,MATCH(B1476,pr_code,0))),""))))</f>
        <v/>
      </c>
      <c r="L1476" s="65" t="str">
        <f>IF(COUNTA(A1476:G1476)=0,"",IF(AND(ISNUMBER(D1476),ISNUMBER(J1476)),ROUND(D1476*J1476*(1-N(F1476)),2),0))</f>
        <v/>
      </c>
      <c r="M1476" s="62" t="str">
        <f>IF(A1476="","",IFERROR(INDEX(dv_cname,MATCH(A1476,dv_num,0))&amp;"",""))</f>
        <v/>
      </c>
      <c r="N1476" s="59" t="str">
        <f>IF(COUNTA(A1476:G1476)=0,"",IF(A1476="","N° devis manquant",IF(ISNA(MATCH(A1476,dv_num,0)),"Devis inconnu",IF(AND(B1476&lt;&gt;"",ISNA(MATCH(B1476,pr_code,0))),"Article inconnu",IF(H1476="","Désignation manquante",IF(OR(NOT(ISNUMBER(D1476)),N(D1476)&lt;=0),"Quantité invalide",IF(J1476="","Prix manquant",IF(OR(NOT(ISNUMBER(J1476)),N(J1476)&lt;0),"Prix invalide",IF(OR(AND(F1476&lt;&gt;"",NOT(ISNUMBER(F1476))),N(F1476)&lt;0,N(F1476)&gt;1),"Remise invalide",IF(K1476="","Taux de TVA manquant",IF(NOT(ISNUMBER(K1476)),"Taux de TVA invalide",IF(COUNTIF(p_rates,K1476)=0,"Taux de TVA hors liste (Paramètres)",IF(N(O1476)&gt;25,"Au-delà de 25 lignes : non imprimée","OK")))))))))))))</f>
        <v/>
      </c>
      <c r="O1476" s="59" t="str">
        <f>IF(A1476="","",COUNTIF($A$6:A1476,A1476))</f>
        <v/>
      </c>
      <c r="P1476" s="62" t="str">
        <f>IF(A1476="","",A1476&amp;"|"&amp;O1476)</f>
        <v/>
      </c>
    </row>
    <row r="1477">
      <c r="A1477" s="60" t="n"/>
      <c r="B1477" s="63" t="n"/>
      <c r="C1477" s="63" t="n"/>
      <c r="D1477" s="67" t="n"/>
      <c r="E1477" s="68" t="n"/>
      <c r="F1477" s="69" t="n"/>
      <c r="G1477" s="70" t="n"/>
      <c r="H1477" s="62" t="str">
        <f>IF(COUNTA(A1477:G1477)=0,"",IF(C1477&lt;&gt;"",C1477,IF(B1477="","",IFERROR(INDEX(pr_des,MATCH(B1477,pr_code,0))&amp;"",""))))</f>
        <v/>
      </c>
      <c r="I1477" s="59" t="str">
        <f>IF(B1477="","",IFERROR(INDEX(pr_unit,MATCH(B1477,pr_code,0))&amp;"",""))</f>
        <v/>
      </c>
      <c r="J1477" s="65" t="str">
        <f>IF(COUNTA(A1477:G1477)=0,"",IF(E1477&lt;&gt;"",E1477,IF(B1477="","",IFERROR(IF(INDEX(pr_price,MATCH(B1477,pr_code,0))="","",INDEX(pr_price,MATCH(B1477,pr_code,0))),""))))</f>
        <v/>
      </c>
      <c r="K1477" s="71" t="str">
        <f>IF(COUNTA(A1477:G1477)=0,"",IF(G1477&lt;&gt;"",G1477,IF(B1477="","",IFERROR(IF(INDEX(pr_rate,MATCH(B1477,pr_code,0))="","",INDEX(pr_rate,MATCH(B1477,pr_code,0))),""))))</f>
        <v/>
      </c>
      <c r="L1477" s="65" t="str">
        <f>IF(COUNTA(A1477:G1477)=0,"",IF(AND(ISNUMBER(D1477),ISNUMBER(J1477)),ROUND(D1477*J1477*(1-N(F1477)),2),0))</f>
        <v/>
      </c>
      <c r="M1477" s="62" t="str">
        <f>IF(A1477="","",IFERROR(INDEX(dv_cname,MATCH(A1477,dv_num,0))&amp;"",""))</f>
        <v/>
      </c>
      <c r="N1477" s="59" t="str">
        <f>IF(COUNTA(A1477:G1477)=0,"",IF(A1477="","N° devis manquant",IF(ISNA(MATCH(A1477,dv_num,0)),"Devis inconnu",IF(AND(B1477&lt;&gt;"",ISNA(MATCH(B1477,pr_code,0))),"Article inconnu",IF(H1477="","Désignation manquante",IF(OR(NOT(ISNUMBER(D1477)),N(D1477)&lt;=0),"Quantité invalide",IF(J1477="","Prix manquant",IF(OR(NOT(ISNUMBER(J1477)),N(J1477)&lt;0),"Prix invalide",IF(OR(AND(F1477&lt;&gt;"",NOT(ISNUMBER(F1477))),N(F1477)&lt;0,N(F1477)&gt;1),"Remise invalide",IF(K1477="","Taux de TVA manquant",IF(NOT(ISNUMBER(K1477)),"Taux de TVA invalide",IF(COUNTIF(p_rates,K1477)=0,"Taux de TVA hors liste (Paramètres)",IF(N(O1477)&gt;25,"Au-delà de 25 lignes : non imprimée","OK")))))))))))))</f>
        <v/>
      </c>
      <c r="O1477" s="59" t="str">
        <f>IF(A1477="","",COUNTIF($A$6:A1477,A1477))</f>
        <v/>
      </c>
      <c r="P1477" s="62" t="str">
        <f>IF(A1477="","",A1477&amp;"|"&amp;O1477)</f>
        <v/>
      </c>
    </row>
    <row r="1478">
      <c r="A1478" s="60" t="n"/>
      <c r="B1478" s="63" t="n"/>
      <c r="C1478" s="63" t="n"/>
      <c r="D1478" s="67" t="n"/>
      <c r="E1478" s="68" t="n"/>
      <c r="F1478" s="69" t="n"/>
      <c r="G1478" s="70" t="n"/>
      <c r="H1478" s="62" t="str">
        <f>IF(COUNTA(A1478:G1478)=0,"",IF(C1478&lt;&gt;"",C1478,IF(B1478="","",IFERROR(INDEX(pr_des,MATCH(B1478,pr_code,0))&amp;"",""))))</f>
        <v/>
      </c>
      <c r="I1478" s="59" t="str">
        <f>IF(B1478="","",IFERROR(INDEX(pr_unit,MATCH(B1478,pr_code,0))&amp;"",""))</f>
        <v/>
      </c>
      <c r="J1478" s="65" t="str">
        <f>IF(COUNTA(A1478:G1478)=0,"",IF(E1478&lt;&gt;"",E1478,IF(B1478="","",IFERROR(IF(INDEX(pr_price,MATCH(B1478,pr_code,0))="","",INDEX(pr_price,MATCH(B1478,pr_code,0))),""))))</f>
        <v/>
      </c>
      <c r="K1478" s="71" t="str">
        <f>IF(COUNTA(A1478:G1478)=0,"",IF(G1478&lt;&gt;"",G1478,IF(B1478="","",IFERROR(IF(INDEX(pr_rate,MATCH(B1478,pr_code,0))="","",INDEX(pr_rate,MATCH(B1478,pr_code,0))),""))))</f>
        <v/>
      </c>
      <c r="L1478" s="65" t="str">
        <f>IF(COUNTA(A1478:G1478)=0,"",IF(AND(ISNUMBER(D1478),ISNUMBER(J1478)),ROUND(D1478*J1478*(1-N(F1478)),2),0))</f>
        <v/>
      </c>
      <c r="M1478" s="62" t="str">
        <f>IF(A1478="","",IFERROR(INDEX(dv_cname,MATCH(A1478,dv_num,0))&amp;"",""))</f>
        <v/>
      </c>
      <c r="N1478" s="59" t="str">
        <f>IF(COUNTA(A1478:G1478)=0,"",IF(A1478="","N° devis manquant",IF(ISNA(MATCH(A1478,dv_num,0)),"Devis inconnu",IF(AND(B1478&lt;&gt;"",ISNA(MATCH(B1478,pr_code,0))),"Article inconnu",IF(H1478="","Désignation manquante",IF(OR(NOT(ISNUMBER(D1478)),N(D1478)&lt;=0),"Quantité invalide",IF(J1478="","Prix manquant",IF(OR(NOT(ISNUMBER(J1478)),N(J1478)&lt;0),"Prix invalide",IF(OR(AND(F1478&lt;&gt;"",NOT(ISNUMBER(F1478))),N(F1478)&lt;0,N(F1478)&gt;1),"Remise invalide",IF(K1478="","Taux de TVA manquant",IF(NOT(ISNUMBER(K1478)),"Taux de TVA invalide",IF(COUNTIF(p_rates,K1478)=0,"Taux de TVA hors liste (Paramètres)",IF(N(O1478)&gt;25,"Au-delà de 25 lignes : non imprimée","OK")))))))))))))</f>
        <v/>
      </c>
      <c r="O1478" s="59" t="str">
        <f>IF(A1478="","",COUNTIF($A$6:A1478,A1478))</f>
        <v/>
      </c>
      <c r="P1478" s="62" t="str">
        <f>IF(A1478="","",A1478&amp;"|"&amp;O1478)</f>
        <v/>
      </c>
    </row>
    <row r="1479">
      <c r="A1479" s="60" t="n"/>
      <c r="B1479" s="63" t="n"/>
      <c r="C1479" s="63" t="n"/>
      <c r="D1479" s="67" t="n"/>
      <c r="E1479" s="68" t="n"/>
      <c r="F1479" s="69" t="n"/>
      <c r="G1479" s="70" t="n"/>
      <c r="H1479" s="62" t="str">
        <f>IF(COUNTA(A1479:G1479)=0,"",IF(C1479&lt;&gt;"",C1479,IF(B1479="","",IFERROR(INDEX(pr_des,MATCH(B1479,pr_code,0))&amp;"",""))))</f>
        <v/>
      </c>
      <c r="I1479" s="59" t="str">
        <f>IF(B1479="","",IFERROR(INDEX(pr_unit,MATCH(B1479,pr_code,0))&amp;"",""))</f>
        <v/>
      </c>
      <c r="J1479" s="65" t="str">
        <f>IF(COUNTA(A1479:G1479)=0,"",IF(E1479&lt;&gt;"",E1479,IF(B1479="","",IFERROR(IF(INDEX(pr_price,MATCH(B1479,pr_code,0))="","",INDEX(pr_price,MATCH(B1479,pr_code,0))),""))))</f>
        <v/>
      </c>
      <c r="K1479" s="71" t="str">
        <f>IF(COUNTA(A1479:G1479)=0,"",IF(G1479&lt;&gt;"",G1479,IF(B1479="","",IFERROR(IF(INDEX(pr_rate,MATCH(B1479,pr_code,0))="","",INDEX(pr_rate,MATCH(B1479,pr_code,0))),""))))</f>
        <v/>
      </c>
      <c r="L1479" s="65" t="str">
        <f>IF(COUNTA(A1479:G1479)=0,"",IF(AND(ISNUMBER(D1479),ISNUMBER(J1479)),ROUND(D1479*J1479*(1-N(F1479)),2),0))</f>
        <v/>
      </c>
      <c r="M1479" s="62" t="str">
        <f>IF(A1479="","",IFERROR(INDEX(dv_cname,MATCH(A1479,dv_num,0))&amp;"",""))</f>
        <v/>
      </c>
      <c r="N1479" s="59" t="str">
        <f>IF(COUNTA(A1479:G1479)=0,"",IF(A1479="","N° devis manquant",IF(ISNA(MATCH(A1479,dv_num,0)),"Devis inconnu",IF(AND(B1479&lt;&gt;"",ISNA(MATCH(B1479,pr_code,0))),"Article inconnu",IF(H1479="","Désignation manquante",IF(OR(NOT(ISNUMBER(D1479)),N(D1479)&lt;=0),"Quantité invalide",IF(J1479="","Prix manquant",IF(OR(NOT(ISNUMBER(J1479)),N(J1479)&lt;0),"Prix invalide",IF(OR(AND(F1479&lt;&gt;"",NOT(ISNUMBER(F1479))),N(F1479)&lt;0,N(F1479)&gt;1),"Remise invalide",IF(K1479="","Taux de TVA manquant",IF(NOT(ISNUMBER(K1479)),"Taux de TVA invalide",IF(COUNTIF(p_rates,K1479)=0,"Taux de TVA hors liste (Paramètres)",IF(N(O1479)&gt;25,"Au-delà de 25 lignes : non imprimée","OK")))))))))))))</f>
        <v/>
      </c>
      <c r="O1479" s="59" t="str">
        <f>IF(A1479="","",COUNTIF($A$6:A1479,A1479))</f>
        <v/>
      </c>
      <c r="P1479" s="62" t="str">
        <f>IF(A1479="","",A1479&amp;"|"&amp;O1479)</f>
        <v/>
      </c>
    </row>
    <row r="1480">
      <c r="A1480" s="60" t="n"/>
      <c r="B1480" s="63" t="n"/>
      <c r="C1480" s="63" t="n"/>
      <c r="D1480" s="67" t="n"/>
      <c r="E1480" s="68" t="n"/>
      <c r="F1480" s="69" t="n"/>
      <c r="G1480" s="70" t="n"/>
      <c r="H1480" s="62" t="str">
        <f>IF(COUNTA(A1480:G1480)=0,"",IF(C1480&lt;&gt;"",C1480,IF(B1480="","",IFERROR(INDEX(pr_des,MATCH(B1480,pr_code,0))&amp;"",""))))</f>
        <v/>
      </c>
      <c r="I1480" s="59" t="str">
        <f>IF(B1480="","",IFERROR(INDEX(pr_unit,MATCH(B1480,pr_code,0))&amp;"",""))</f>
        <v/>
      </c>
      <c r="J1480" s="65" t="str">
        <f>IF(COUNTA(A1480:G1480)=0,"",IF(E1480&lt;&gt;"",E1480,IF(B1480="","",IFERROR(IF(INDEX(pr_price,MATCH(B1480,pr_code,0))="","",INDEX(pr_price,MATCH(B1480,pr_code,0))),""))))</f>
        <v/>
      </c>
      <c r="K1480" s="71" t="str">
        <f>IF(COUNTA(A1480:G1480)=0,"",IF(G1480&lt;&gt;"",G1480,IF(B1480="","",IFERROR(IF(INDEX(pr_rate,MATCH(B1480,pr_code,0))="","",INDEX(pr_rate,MATCH(B1480,pr_code,0))),""))))</f>
        <v/>
      </c>
      <c r="L1480" s="65" t="str">
        <f>IF(COUNTA(A1480:G1480)=0,"",IF(AND(ISNUMBER(D1480),ISNUMBER(J1480)),ROUND(D1480*J1480*(1-N(F1480)),2),0))</f>
        <v/>
      </c>
      <c r="M1480" s="62" t="str">
        <f>IF(A1480="","",IFERROR(INDEX(dv_cname,MATCH(A1480,dv_num,0))&amp;"",""))</f>
        <v/>
      </c>
      <c r="N1480" s="59" t="str">
        <f>IF(COUNTA(A1480:G1480)=0,"",IF(A1480="","N° devis manquant",IF(ISNA(MATCH(A1480,dv_num,0)),"Devis inconnu",IF(AND(B1480&lt;&gt;"",ISNA(MATCH(B1480,pr_code,0))),"Article inconnu",IF(H1480="","Désignation manquante",IF(OR(NOT(ISNUMBER(D1480)),N(D1480)&lt;=0),"Quantité invalide",IF(J1480="","Prix manquant",IF(OR(NOT(ISNUMBER(J1480)),N(J1480)&lt;0),"Prix invalide",IF(OR(AND(F1480&lt;&gt;"",NOT(ISNUMBER(F1480))),N(F1480)&lt;0,N(F1480)&gt;1),"Remise invalide",IF(K1480="","Taux de TVA manquant",IF(NOT(ISNUMBER(K1480)),"Taux de TVA invalide",IF(COUNTIF(p_rates,K1480)=0,"Taux de TVA hors liste (Paramètres)",IF(N(O1480)&gt;25,"Au-delà de 25 lignes : non imprimée","OK")))))))))))))</f>
        <v/>
      </c>
      <c r="O1480" s="59" t="str">
        <f>IF(A1480="","",COUNTIF($A$6:A1480,A1480))</f>
        <v/>
      </c>
      <c r="P1480" s="62" t="str">
        <f>IF(A1480="","",A1480&amp;"|"&amp;O1480)</f>
        <v/>
      </c>
    </row>
    <row r="1481">
      <c r="A1481" s="60" t="n"/>
      <c r="B1481" s="63" t="n"/>
      <c r="C1481" s="63" t="n"/>
      <c r="D1481" s="67" t="n"/>
      <c r="E1481" s="68" t="n"/>
      <c r="F1481" s="69" t="n"/>
      <c r="G1481" s="70" t="n"/>
      <c r="H1481" s="62" t="str">
        <f>IF(COUNTA(A1481:G1481)=0,"",IF(C1481&lt;&gt;"",C1481,IF(B1481="","",IFERROR(INDEX(pr_des,MATCH(B1481,pr_code,0))&amp;"",""))))</f>
        <v/>
      </c>
      <c r="I1481" s="59" t="str">
        <f>IF(B1481="","",IFERROR(INDEX(pr_unit,MATCH(B1481,pr_code,0))&amp;"",""))</f>
        <v/>
      </c>
      <c r="J1481" s="65" t="str">
        <f>IF(COUNTA(A1481:G1481)=0,"",IF(E1481&lt;&gt;"",E1481,IF(B1481="","",IFERROR(IF(INDEX(pr_price,MATCH(B1481,pr_code,0))="","",INDEX(pr_price,MATCH(B1481,pr_code,0))),""))))</f>
        <v/>
      </c>
      <c r="K1481" s="71" t="str">
        <f>IF(COUNTA(A1481:G1481)=0,"",IF(G1481&lt;&gt;"",G1481,IF(B1481="","",IFERROR(IF(INDEX(pr_rate,MATCH(B1481,pr_code,0))="","",INDEX(pr_rate,MATCH(B1481,pr_code,0))),""))))</f>
        <v/>
      </c>
      <c r="L1481" s="65" t="str">
        <f>IF(COUNTA(A1481:G1481)=0,"",IF(AND(ISNUMBER(D1481),ISNUMBER(J1481)),ROUND(D1481*J1481*(1-N(F1481)),2),0))</f>
        <v/>
      </c>
      <c r="M1481" s="62" t="str">
        <f>IF(A1481="","",IFERROR(INDEX(dv_cname,MATCH(A1481,dv_num,0))&amp;"",""))</f>
        <v/>
      </c>
      <c r="N1481" s="59" t="str">
        <f>IF(COUNTA(A1481:G1481)=0,"",IF(A1481="","N° devis manquant",IF(ISNA(MATCH(A1481,dv_num,0)),"Devis inconnu",IF(AND(B1481&lt;&gt;"",ISNA(MATCH(B1481,pr_code,0))),"Article inconnu",IF(H1481="","Désignation manquante",IF(OR(NOT(ISNUMBER(D1481)),N(D1481)&lt;=0),"Quantité invalide",IF(J1481="","Prix manquant",IF(OR(NOT(ISNUMBER(J1481)),N(J1481)&lt;0),"Prix invalide",IF(OR(AND(F1481&lt;&gt;"",NOT(ISNUMBER(F1481))),N(F1481)&lt;0,N(F1481)&gt;1),"Remise invalide",IF(K1481="","Taux de TVA manquant",IF(NOT(ISNUMBER(K1481)),"Taux de TVA invalide",IF(COUNTIF(p_rates,K1481)=0,"Taux de TVA hors liste (Paramètres)",IF(N(O1481)&gt;25,"Au-delà de 25 lignes : non imprimée","OK")))))))))))))</f>
        <v/>
      </c>
      <c r="O1481" s="59" t="str">
        <f>IF(A1481="","",COUNTIF($A$6:A1481,A1481))</f>
        <v/>
      </c>
      <c r="P1481" s="62" t="str">
        <f>IF(A1481="","",A1481&amp;"|"&amp;O1481)</f>
        <v/>
      </c>
    </row>
    <row r="1482">
      <c r="A1482" s="60" t="n"/>
      <c r="B1482" s="63" t="n"/>
      <c r="C1482" s="63" t="n"/>
      <c r="D1482" s="67" t="n"/>
      <c r="E1482" s="68" t="n"/>
      <c r="F1482" s="69" t="n"/>
      <c r="G1482" s="70" t="n"/>
      <c r="H1482" s="62" t="str">
        <f>IF(COUNTA(A1482:G1482)=0,"",IF(C1482&lt;&gt;"",C1482,IF(B1482="","",IFERROR(INDEX(pr_des,MATCH(B1482,pr_code,0))&amp;"",""))))</f>
        <v/>
      </c>
      <c r="I1482" s="59" t="str">
        <f>IF(B1482="","",IFERROR(INDEX(pr_unit,MATCH(B1482,pr_code,0))&amp;"",""))</f>
        <v/>
      </c>
      <c r="J1482" s="65" t="str">
        <f>IF(COUNTA(A1482:G1482)=0,"",IF(E1482&lt;&gt;"",E1482,IF(B1482="","",IFERROR(IF(INDEX(pr_price,MATCH(B1482,pr_code,0))="","",INDEX(pr_price,MATCH(B1482,pr_code,0))),""))))</f>
        <v/>
      </c>
      <c r="K1482" s="71" t="str">
        <f>IF(COUNTA(A1482:G1482)=0,"",IF(G1482&lt;&gt;"",G1482,IF(B1482="","",IFERROR(IF(INDEX(pr_rate,MATCH(B1482,pr_code,0))="","",INDEX(pr_rate,MATCH(B1482,pr_code,0))),""))))</f>
        <v/>
      </c>
      <c r="L1482" s="65" t="str">
        <f>IF(COUNTA(A1482:G1482)=0,"",IF(AND(ISNUMBER(D1482),ISNUMBER(J1482)),ROUND(D1482*J1482*(1-N(F1482)),2),0))</f>
        <v/>
      </c>
      <c r="M1482" s="62" t="str">
        <f>IF(A1482="","",IFERROR(INDEX(dv_cname,MATCH(A1482,dv_num,0))&amp;"",""))</f>
        <v/>
      </c>
      <c r="N1482" s="59" t="str">
        <f>IF(COUNTA(A1482:G1482)=0,"",IF(A1482="","N° devis manquant",IF(ISNA(MATCH(A1482,dv_num,0)),"Devis inconnu",IF(AND(B1482&lt;&gt;"",ISNA(MATCH(B1482,pr_code,0))),"Article inconnu",IF(H1482="","Désignation manquante",IF(OR(NOT(ISNUMBER(D1482)),N(D1482)&lt;=0),"Quantité invalide",IF(J1482="","Prix manquant",IF(OR(NOT(ISNUMBER(J1482)),N(J1482)&lt;0),"Prix invalide",IF(OR(AND(F1482&lt;&gt;"",NOT(ISNUMBER(F1482))),N(F1482)&lt;0,N(F1482)&gt;1),"Remise invalide",IF(K1482="","Taux de TVA manquant",IF(NOT(ISNUMBER(K1482)),"Taux de TVA invalide",IF(COUNTIF(p_rates,K1482)=0,"Taux de TVA hors liste (Paramètres)",IF(N(O1482)&gt;25,"Au-delà de 25 lignes : non imprimée","OK")))))))))))))</f>
        <v/>
      </c>
      <c r="O1482" s="59" t="str">
        <f>IF(A1482="","",COUNTIF($A$6:A1482,A1482))</f>
        <v/>
      </c>
      <c r="P1482" s="62" t="str">
        <f>IF(A1482="","",A1482&amp;"|"&amp;O1482)</f>
        <v/>
      </c>
    </row>
    <row r="1483">
      <c r="A1483" s="60" t="n"/>
      <c r="B1483" s="63" t="n"/>
      <c r="C1483" s="63" t="n"/>
      <c r="D1483" s="67" t="n"/>
      <c r="E1483" s="68" t="n"/>
      <c r="F1483" s="69" t="n"/>
      <c r="G1483" s="70" t="n"/>
      <c r="H1483" s="62" t="str">
        <f>IF(COUNTA(A1483:G1483)=0,"",IF(C1483&lt;&gt;"",C1483,IF(B1483="","",IFERROR(INDEX(pr_des,MATCH(B1483,pr_code,0))&amp;"",""))))</f>
        <v/>
      </c>
      <c r="I1483" s="59" t="str">
        <f>IF(B1483="","",IFERROR(INDEX(pr_unit,MATCH(B1483,pr_code,0))&amp;"",""))</f>
        <v/>
      </c>
      <c r="J1483" s="65" t="str">
        <f>IF(COUNTA(A1483:G1483)=0,"",IF(E1483&lt;&gt;"",E1483,IF(B1483="","",IFERROR(IF(INDEX(pr_price,MATCH(B1483,pr_code,0))="","",INDEX(pr_price,MATCH(B1483,pr_code,0))),""))))</f>
        <v/>
      </c>
      <c r="K1483" s="71" t="str">
        <f>IF(COUNTA(A1483:G1483)=0,"",IF(G1483&lt;&gt;"",G1483,IF(B1483="","",IFERROR(IF(INDEX(pr_rate,MATCH(B1483,pr_code,0))="","",INDEX(pr_rate,MATCH(B1483,pr_code,0))),""))))</f>
        <v/>
      </c>
      <c r="L1483" s="65" t="str">
        <f>IF(COUNTA(A1483:G1483)=0,"",IF(AND(ISNUMBER(D1483),ISNUMBER(J1483)),ROUND(D1483*J1483*(1-N(F1483)),2),0))</f>
        <v/>
      </c>
      <c r="M1483" s="62" t="str">
        <f>IF(A1483="","",IFERROR(INDEX(dv_cname,MATCH(A1483,dv_num,0))&amp;"",""))</f>
        <v/>
      </c>
      <c r="N1483" s="59" t="str">
        <f>IF(COUNTA(A1483:G1483)=0,"",IF(A1483="","N° devis manquant",IF(ISNA(MATCH(A1483,dv_num,0)),"Devis inconnu",IF(AND(B1483&lt;&gt;"",ISNA(MATCH(B1483,pr_code,0))),"Article inconnu",IF(H1483="","Désignation manquante",IF(OR(NOT(ISNUMBER(D1483)),N(D1483)&lt;=0),"Quantité invalide",IF(J1483="","Prix manquant",IF(OR(NOT(ISNUMBER(J1483)),N(J1483)&lt;0),"Prix invalide",IF(OR(AND(F1483&lt;&gt;"",NOT(ISNUMBER(F1483))),N(F1483)&lt;0,N(F1483)&gt;1),"Remise invalide",IF(K1483="","Taux de TVA manquant",IF(NOT(ISNUMBER(K1483)),"Taux de TVA invalide",IF(COUNTIF(p_rates,K1483)=0,"Taux de TVA hors liste (Paramètres)",IF(N(O1483)&gt;25,"Au-delà de 25 lignes : non imprimée","OK")))))))))))))</f>
        <v/>
      </c>
      <c r="O1483" s="59" t="str">
        <f>IF(A1483="","",COUNTIF($A$6:A1483,A1483))</f>
        <v/>
      </c>
      <c r="P1483" s="62" t="str">
        <f>IF(A1483="","",A1483&amp;"|"&amp;O1483)</f>
        <v/>
      </c>
    </row>
    <row r="1484">
      <c r="A1484" s="60" t="n"/>
      <c r="B1484" s="63" t="n"/>
      <c r="C1484" s="63" t="n"/>
      <c r="D1484" s="67" t="n"/>
      <c r="E1484" s="68" t="n"/>
      <c r="F1484" s="69" t="n"/>
      <c r="G1484" s="70" t="n"/>
      <c r="H1484" s="62" t="str">
        <f>IF(COUNTA(A1484:G1484)=0,"",IF(C1484&lt;&gt;"",C1484,IF(B1484="","",IFERROR(INDEX(pr_des,MATCH(B1484,pr_code,0))&amp;"",""))))</f>
        <v/>
      </c>
      <c r="I1484" s="59" t="str">
        <f>IF(B1484="","",IFERROR(INDEX(pr_unit,MATCH(B1484,pr_code,0))&amp;"",""))</f>
        <v/>
      </c>
      <c r="J1484" s="65" t="str">
        <f>IF(COUNTA(A1484:G1484)=0,"",IF(E1484&lt;&gt;"",E1484,IF(B1484="","",IFERROR(IF(INDEX(pr_price,MATCH(B1484,pr_code,0))="","",INDEX(pr_price,MATCH(B1484,pr_code,0))),""))))</f>
        <v/>
      </c>
      <c r="K1484" s="71" t="str">
        <f>IF(COUNTA(A1484:G1484)=0,"",IF(G1484&lt;&gt;"",G1484,IF(B1484="","",IFERROR(IF(INDEX(pr_rate,MATCH(B1484,pr_code,0))="","",INDEX(pr_rate,MATCH(B1484,pr_code,0))),""))))</f>
        <v/>
      </c>
      <c r="L1484" s="65" t="str">
        <f>IF(COUNTA(A1484:G1484)=0,"",IF(AND(ISNUMBER(D1484),ISNUMBER(J1484)),ROUND(D1484*J1484*(1-N(F1484)),2),0))</f>
        <v/>
      </c>
      <c r="M1484" s="62" t="str">
        <f>IF(A1484="","",IFERROR(INDEX(dv_cname,MATCH(A1484,dv_num,0))&amp;"",""))</f>
        <v/>
      </c>
      <c r="N1484" s="59" t="str">
        <f>IF(COUNTA(A1484:G1484)=0,"",IF(A1484="","N° devis manquant",IF(ISNA(MATCH(A1484,dv_num,0)),"Devis inconnu",IF(AND(B1484&lt;&gt;"",ISNA(MATCH(B1484,pr_code,0))),"Article inconnu",IF(H1484="","Désignation manquante",IF(OR(NOT(ISNUMBER(D1484)),N(D1484)&lt;=0),"Quantité invalide",IF(J1484="","Prix manquant",IF(OR(NOT(ISNUMBER(J1484)),N(J1484)&lt;0),"Prix invalide",IF(OR(AND(F1484&lt;&gt;"",NOT(ISNUMBER(F1484))),N(F1484)&lt;0,N(F1484)&gt;1),"Remise invalide",IF(K1484="","Taux de TVA manquant",IF(NOT(ISNUMBER(K1484)),"Taux de TVA invalide",IF(COUNTIF(p_rates,K1484)=0,"Taux de TVA hors liste (Paramètres)",IF(N(O1484)&gt;25,"Au-delà de 25 lignes : non imprimée","OK")))))))))))))</f>
        <v/>
      </c>
      <c r="O1484" s="59" t="str">
        <f>IF(A1484="","",COUNTIF($A$6:A1484,A1484))</f>
        <v/>
      </c>
      <c r="P1484" s="62" t="str">
        <f>IF(A1484="","",A1484&amp;"|"&amp;O1484)</f>
        <v/>
      </c>
    </row>
    <row r="1485">
      <c r="A1485" s="60" t="n"/>
      <c r="B1485" s="63" t="n"/>
      <c r="C1485" s="63" t="n"/>
      <c r="D1485" s="67" t="n"/>
      <c r="E1485" s="68" t="n"/>
      <c r="F1485" s="69" t="n"/>
      <c r="G1485" s="70" t="n"/>
      <c r="H1485" s="62" t="str">
        <f>IF(COUNTA(A1485:G1485)=0,"",IF(C1485&lt;&gt;"",C1485,IF(B1485="","",IFERROR(INDEX(pr_des,MATCH(B1485,pr_code,0))&amp;"",""))))</f>
        <v/>
      </c>
      <c r="I1485" s="59" t="str">
        <f>IF(B1485="","",IFERROR(INDEX(pr_unit,MATCH(B1485,pr_code,0))&amp;"",""))</f>
        <v/>
      </c>
      <c r="J1485" s="65" t="str">
        <f>IF(COUNTA(A1485:G1485)=0,"",IF(E1485&lt;&gt;"",E1485,IF(B1485="","",IFERROR(IF(INDEX(pr_price,MATCH(B1485,pr_code,0))="","",INDEX(pr_price,MATCH(B1485,pr_code,0))),""))))</f>
        <v/>
      </c>
      <c r="K1485" s="71" t="str">
        <f>IF(COUNTA(A1485:G1485)=0,"",IF(G1485&lt;&gt;"",G1485,IF(B1485="","",IFERROR(IF(INDEX(pr_rate,MATCH(B1485,pr_code,0))="","",INDEX(pr_rate,MATCH(B1485,pr_code,0))),""))))</f>
        <v/>
      </c>
      <c r="L1485" s="65" t="str">
        <f>IF(COUNTA(A1485:G1485)=0,"",IF(AND(ISNUMBER(D1485),ISNUMBER(J1485)),ROUND(D1485*J1485*(1-N(F1485)),2),0))</f>
        <v/>
      </c>
      <c r="M1485" s="62" t="str">
        <f>IF(A1485="","",IFERROR(INDEX(dv_cname,MATCH(A1485,dv_num,0))&amp;"",""))</f>
        <v/>
      </c>
      <c r="N1485" s="59" t="str">
        <f>IF(COUNTA(A1485:G1485)=0,"",IF(A1485="","N° devis manquant",IF(ISNA(MATCH(A1485,dv_num,0)),"Devis inconnu",IF(AND(B1485&lt;&gt;"",ISNA(MATCH(B1485,pr_code,0))),"Article inconnu",IF(H1485="","Désignation manquante",IF(OR(NOT(ISNUMBER(D1485)),N(D1485)&lt;=0),"Quantité invalide",IF(J1485="","Prix manquant",IF(OR(NOT(ISNUMBER(J1485)),N(J1485)&lt;0),"Prix invalide",IF(OR(AND(F1485&lt;&gt;"",NOT(ISNUMBER(F1485))),N(F1485)&lt;0,N(F1485)&gt;1),"Remise invalide",IF(K1485="","Taux de TVA manquant",IF(NOT(ISNUMBER(K1485)),"Taux de TVA invalide",IF(COUNTIF(p_rates,K1485)=0,"Taux de TVA hors liste (Paramètres)",IF(N(O1485)&gt;25,"Au-delà de 25 lignes : non imprimée","OK")))))))))))))</f>
        <v/>
      </c>
      <c r="O1485" s="59" t="str">
        <f>IF(A1485="","",COUNTIF($A$6:A1485,A1485))</f>
        <v/>
      </c>
      <c r="P1485" s="62" t="str">
        <f>IF(A1485="","",A1485&amp;"|"&amp;O1485)</f>
        <v/>
      </c>
    </row>
    <row r="1486">
      <c r="A1486" s="60" t="n"/>
      <c r="B1486" s="63" t="n"/>
      <c r="C1486" s="63" t="n"/>
      <c r="D1486" s="67" t="n"/>
      <c r="E1486" s="68" t="n"/>
      <c r="F1486" s="69" t="n"/>
      <c r="G1486" s="70" t="n"/>
      <c r="H1486" s="62" t="str">
        <f>IF(COUNTA(A1486:G1486)=0,"",IF(C1486&lt;&gt;"",C1486,IF(B1486="","",IFERROR(INDEX(pr_des,MATCH(B1486,pr_code,0))&amp;"",""))))</f>
        <v/>
      </c>
      <c r="I1486" s="59" t="str">
        <f>IF(B1486="","",IFERROR(INDEX(pr_unit,MATCH(B1486,pr_code,0))&amp;"",""))</f>
        <v/>
      </c>
      <c r="J1486" s="65" t="str">
        <f>IF(COUNTA(A1486:G1486)=0,"",IF(E1486&lt;&gt;"",E1486,IF(B1486="","",IFERROR(IF(INDEX(pr_price,MATCH(B1486,pr_code,0))="","",INDEX(pr_price,MATCH(B1486,pr_code,0))),""))))</f>
        <v/>
      </c>
      <c r="K1486" s="71" t="str">
        <f>IF(COUNTA(A1486:G1486)=0,"",IF(G1486&lt;&gt;"",G1486,IF(B1486="","",IFERROR(IF(INDEX(pr_rate,MATCH(B1486,pr_code,0))="","",INDEX(pr_rate,MATCH(B1486,pr_code,0))),""))))</f>
        <v/>
      </c>
      <c r="L1486" s="65" t="str">
        <f>IF(COUNTA(A1486:G1486)=0,"",IF(AND(ISNUMBER(D1486),ISNUMBER(J1486)),ROUND(D1486*J1486*(1-N(F1486)),2),0))</f>
        <v/>
      </c>
      <c r="M1486" s="62" t="str">
        <f>IF(A1486="","",IFERROR(INDEX(dv_cname,MATCH(A1486,dv_num,0))&amp;"",""))</f>
        <v/>
      </c>
      <c r="N1486" s="59" t="str">
        <f>IF(COUNTA(A1486:G1486)=0,"",IF(A1486="","N° devis manquant",IF(ISNA(MATCH(A1486,dv_num,0)),"Devis inconnu",IF(AND(B1486&lt;&gt;"",ISNA(MATCH(B1486,pr_code,0))),"Article inconnu",IF(H1486="","Désignation manquante",IF(OR(NOT(ISNUMBER(D1486)),N(D1486)&lt;=0),"Quantité invalide",IF(J1486="","Prix manquant",IF(OR(NOT(ISNUMBER(J1486)),N(J1486)&lt;0),"Prix invalide",IF(OR(AND(F1486&lt;&gt;"",NOT(ISNUMBER(F1486))),N(F1486)&lt;0,N(F1486)&gt;1),"Remise invalide",IF(K1486="","Taux de TVA manquant",IF(NOT(ISNUMBER(K1486)),"Taux de TVA invalide",IF(COUNTIF(p_rates,K1486)=0,"Taux de TVA hors liste (Paramètres)",IF(N(O1486)&gt;25,"Au-delà de 25 lignes : non imprimée","OK")))))))))))))</f>
        <v/>
      </c>
      <c r="O1486" s="59" t="str">
        <f>IF(A1486="","",COUNTIF($A$6:A1486,A1486))</f>
        <v/>
      </c>
      <c r="P1486" s="62" t="str">
        <f>IF(A1486="","",A1486&amp;"|"&amp;O1486)</f>
        <v/>
      </c>
    </row>
    <row r="1487">
      <c r="A1487" s="60" t="n"/>
      <c r="B1487" s="63" t="n"/>
      <c r="C1487" s="63" t="n"/>
      <c r="D1487" s="67" t="n"/>
      <c r="E1487" s="68" t="n"/>
      <c r="F1487" s="69" t="n"/>
      <c r="G1487" s="70" t="n"/>
      <c r="H1487" s="62" t="str">
        <f>IF(COUNTA(A1487:G1487)=0,"",IF(C1487&lt;&gt;"",C1487,IF(B1487="","",IFERROR(INDEX(pr_des,MATCH(B1487,pr_code,0))&amp;"",""))))</f>
        <v/>
      </c>
      <c r="I1487" s="59" t="str">
        <f>IF(B1487="","",IFERROR(INDEX(pr_unit,MATCH(B1487,pr_code,0))&amp;"",""))</f>
        <v/>
      </c>
      <c r="J1487" s="65" t="str">
        <f>IF(COUNTA(A1487:G1487)=0,"",IF(E1487&lt;&gt;"",E1487,IF(B1487="","",IFERROR(IF(INDEX(pr_price,MATCH(B1487,pr_code,0))="","",INDEX(pr_price,MATCH(B1487,pr_code,0))),""))))</f>
        <v/>
      </c>
      <c r="K1487" s="71" t="str">
        <f>IF(COUNTA(A1487:G1487)=0,"",IF(G1487&lt;&gt;"",G1487,IF(B1487="","",IFERROR(IF(INDEX(pr_rate,MATCH(B1487,pr_code,0))="","",INDEX(pr_rate,MATCH(B1487,pr_code,0))),""))))</f>
        <v/>
      </c>
      <c r="L1487" s="65" t="str">
        <f>IF(COUNTA(A1487:G1487)=0,"",IF(AND(ISNUMBER(D1487),ISNUMBER(J1487)),ROUND(D1487*J1487*(1-N(F1487)),2),0))</f>
        <v/>
      </c>
      <c r="M1487" s="62" t="str">
        <f>IF(A1487="","",IFERROR(INDEX(dv_cname,MATCH(A1487,dv_num,0))&amp;"",""))</f>
        <v/>
      </c>
      <c r="N1487" s="59" t="str">
        <f>IF(COUNTA(A1487:G1487)=0,"",IF(A1487="","N° devis manquant",IF(ISNA(MATCH(A1487,dv_num,0)),"Devis inconnu",IF(AND(B1487&lt;&gt;"",ISNA(MATCH(B1487,pr_code,0))),"Article inconnu",IF(H1487="","Désignation manquante",IF(OR(NOT(ISNUMBER(D1487)),N(D1487)&lt;=0),"Quantité invalide",IF(J1487="","Prix manquant",IF(OR(NOT(ISNUMBER(J1487)),N(J1487)&lt;0),"Prix invalide",IF(OR(AND(F1487&lt;&gt;"",NOT(ISNUMBER(F1487))),N(F1487)&lt;0,N(F1487)&gt;1),"Remise invalide",IF(K1487="","Taux de TVA manquant",IF(NOT(ISNUMBER(K1487)),"Taux de TVA invalide",IF(COUNTIF(p_rates,K1487)=0,"Taux de TVA hors liste (Paramètres)",IF(N(O1487)&gt;25,"Au-delà de 25 lignes : non imprimée","OK")))))))))))))</f>
        <v/>
      </c>
      <c r="O1487" s="59" t="str">
        <f>IF(A1487="","",COUNTIF($A$6:A1487,A1487))</f>
        <v/>
      </c>
      <c r="P1487" s="62" t="str">
        <f>IF(A1487="","",A1487&amp;"|"&amp;O1487)</f>
        <v/>
      </c>
    </row>
    <row r="1488">
      <c r="A1488" s="60" t="n"/>
      <c r="B1488" s="63" t="n"/>
      <c r="C1488" s="63" t="n"/>
      <c r="D1488" s="67" t="n"/>
      <c r="E1488" s="68" t="n"/>
      <c r="F1488" s="69" t="n"/>
      <c r="G1488" s="70" t="n"/>
      <c r="H1488" s="62" t="str">
        <f>IF(COUNTA(A1488:G1488)=0,"",IF(C1488&lt;&gt;"",C1488,IF(B1488="","",IFERROR(INDEX(pr_des,MATCH(B1488,pr_code,0))&amp;"",""))))</f>
        <v/>
      </c>
      <c r="I1488" s="59" t="str">
        <f>IF(B1488="","",IFERROR(INDEX(pr_unit,MATCH(B1488,pr_code,0))&amp;"",""))</f>
        <v/>
      </c>
      <c r="J1488" s="65" t="str">
        <f>IF(COUNTA(A1488:G1488)=0,"",IF(E1488&lt;&gt;"",E1488,IF(B1488="","",IFERROR(IF(INDEX(pr_price,MATCH(B1488,pr_code,0))="","",INDEX(pr_price,MATCH(B1488,pr_code,0))),""))))</f>
        <v/>
      </c>
      <c r="K1488" s="71" t="str">
        <f>IF(COUNTA(A1488:G1488)=0,"",IF(G1488&lt;&gt;"",G1488,IF(B1488="","",IFERROR(IF(INDEX(pr_rate,MATCH(B1488,pr_code,0))="","",INDEX(pr_rate,MATCH(B1488,pr_code,0))),""))))</f>
        <v/>
      </c>
      <c r="L1488" s="65" t="str">
        <f>IF(COUNTA(A1488:G1488)=0,"",IF(AND(ISNUMBER(D1488),ISNUMBER(J1488)),ROUND(D1488*J1488*(1-N(F1488)),2),0))</f>
        <v/>
      </c>
      <c r="M1488" s="62" t="str">
        <f>IF(A1488="","",IFERROR(INDEX(dv_cname,MATCH(A1488,dv_num,0))&amp;"",""))</f>
        <v/>
      </c>
      <c r="N1488" s="59" t="str">
        <f>IF(COUNTA(A1488:G1488)=0,"",IF(A1488="","N° devis manquant",IF(ISNA(MATCH(A1488,dv_num,0)),"Devis inconnu",IF(AND(B1488&lt;&gt;"",ISNA(MATCH(B1488,pr_code,0))),"Article inconnu",IF(H1488="","Désignation manquante",IF(OR(NOT(ISNUMBER(D1488)),N(D1488)&lt;=0),"Quantité invalide",IF(J1488="","Prix manquant",IF(OR(NOT(ISNUMBER(J1488)),N(J1488)&lt;0),"Prix invalide",IF(OR(AND(F1488&lt;&gt;"",NOT(ISNUMBER(F1488))),N(F1488)&lt;0,N(F1488)&gt;1),"Remise invalide",IF(K1488="","Taux de TVA manquant",IF(NOT(ISNUMBER(K1488)),"Taux de TVA invalide",IF(COUNTIF(p_rates,K1488)=0,"Taux de TVA hors liste (Paramètres)",IF(N(O1488)&gt;25,"Au-delà de 25 lignes : non imprimée","OK")))))))))))))</f>
        <v/>
      </c>
      <c r="O1488" s="59" t="str">
        <f>IF(A1488="","",COUNTIF($A$6:A1488,A1488))</f>
        <v/>
      </c>
      <c r="P1488" s="62" t="str">
        <f>IF(A1488="","",A1488&amp;"|"&amp;O1488)</f>
        <v/>
      </c>
    </row>
    <row r="1489">
      <c r="A1489" s="60" t="n"/>
      <c r="B1489" s="63" t="n"/>
      <c r="C1489" s="63" t="n"/>
      <c r="D1489" s="67" t="n"/>
      <c r="E1489" s="68" t="n"/>
      <c r="F1489" s="69" t="n"/>
      <c r="G1489" s="70" t="n"/>
      <c r="H1489" s="62" t="str">
        <f>IF(COUNTA(A1489:G1489)=0,"",IF(C1489&lt;&gt;"",C1489,IF(B1489="","",IFERROR(INDEX(pr_des,MATCH(B1489,pr_code,0))&amp;"",""))))</f>
        <v/>
      </c>
      <c r="I1489" s="59" t="str">
        <f>IF(B1489="","",IFERROR(INDEX(pr_unit,MATCH(B1489,pr_code,0))&amp;"",""))</f>
        <v/>
      </c>
      <c r="J1489" s="65" t="str">
        <f>IF(COUNTA(A1489:G1489)=0,"",IF(E1489&lt;&gt;"",E1489,IF(B1489="","",IFERROR(IF(INDEX(pr_price,MATCH(B1489,pr_code,0))="","",INDEX(pr_price,MATCH(B1489,pr_code,0))),""))))</f>
        <v/>
      </c>
      <c r="K1489" s="71" t="str">
        <f>IF(COUNTA(A1489:G1489)=0,"",IF(G1489&lt;&gt;"",G1489,IF(B1489="","",IFERROR(IF(INDEX(pr_rate,MATCH(B1489,pr_code,0))="","",INDEX(pr_rate,MATCH(B1489,pr_code,0))),""))))</f>
        <v/>
      </c>
      <c r="L1489" s="65" t="str">
        <f>IF(COUNTA(A1489:G1489)=0,"",IF(AND(ISNUMBER(D1489),ISNUMBER(J1489)),ROUND(D1489*J1489*(1-N(F1489)),2),0))</f>
        <v/>
      </c>
      <c r="M1489" s="62" t="str">
        <f>IF(A1489="","",IFERROR(INDEX(dv_cname,MATCH(A1489,dv_num,0))&amp;"",""))</f>
        <v/>
      </c>
      <c r="N1489" s="59" t="str">
        <f>IF(COUNTA(A1489:G1489)=0,"",IF(A1489="","N° devis manquant",IF(ISNA(MATCH(A1489,dv_num,0)),"Devis inconnu",IF(AND(B1489&lt;&gt;"",ISNA(MATCH(B1489,pr_code,0))),"Article inconnu",IF(H1489="","Désignation manquante",IF(OR(NOT(ISNUMBER(D1489)),N(D1489)&lt;=0),"Quantité invalide",IF(J1489="","Prix manquant",IF(OR(NOT(ISNUMBER(J1489)),N(J1489)&lt;0),"Prix invalide",IF(OR(AND(F1489&lt;&gt;"",NOT(ISNUMBER(F1489))),N(F1489)&lt;0,N(F1489)&gt;1),"Remise invalide",IF(K1489="","Taux de TVA manquant",IF(NOT(ISNUMBER(K1489)),"Taux de TVA invalide",IF(COUNTIF(p_rates,K1489)=0,"Taux de TVA hors liste (Paramètres)",IF(N(O1489)&gt;25,"Au-delà de 25 lignes : non imprimée","OK")))))))))))))</f>
        <v/>
      </c>
      <c r="O1489" s="59" t="str">
        <f>IF(A1489="","",COUNTIF($A$6:A1489,A1489))</f>
        <v/>
      </c>
      <c r="P1489" s="62" t="str">
        <f>IF(A1489="","",A1489&amp;"|"&amp;O1489)</f>
        <v/>
      </c>
    </row>
    <row r="1490">
      <c r="A1490" s="60" t="n"/>
      <c r="B1490" s="63" t="n"/>
      <c r="C1490" s="63" t="n"/>
      <c r="D1490" s="67" t="n"/>
      <c r="E1490" s="68" t="n"/>
      <c r="F1490" s="69" t="n"/>
      <c r="G1490" s="70" t="n"/>
      <c r="H1490" s="62" t="str">
        <f>IF(COUNTA(A1490:G1490)=0,"",IF(C1490&lt;&gt;"",C1490,IF(B1490="","",IFERROR(INDEX(pr_des,MATCH(B1490,pr_code,0))&amp;"",""))))</f>
        <v/>
      </c>
      <c r="I1490" s="59" t="str">
        <f>IF(B1490="","",IFERROR(INDEX(pr_unit,MATCH(B1490,pr_code,0))&amp;"",""))</f>
        <v/>
      </c>
      <c r="J1490" s="65" t="str">
        <f>IF(COUNTA(A1490:G1490)=0,"",IF(E1490&lt;&gt;"",E1490,IF(B1490="","",IFERROR(IF(INDEX(pr_price,MATCH(B1490,pr_code,0))="","",INDEX(pr_price,MATCH(B1490,pr_code,0))),""))))</f>
        <v/>
      </c>
      <c r="K1490" s="71" t="str">
        <f>IF(COUNTA(A1490:G1490)=0,"",IF(G1490&lt;&gt;"",G1490,IF(B1490="","",IFERROR(IF(INDEX(pr_rate,MATCH(B1490,pr_code,0))="","",INDEX(pr_rate,MATCH(B1490,pr_code,0))),""))))</f>
        <v/>
      </c>
      <c r="L1490" s="65" t="str">
        <f>IF(COUNTA(A1490:G1490)=0,"",IF(AND(ISNUMBER(D1490),ISNUMBER(J1490)),ROUND(D1490*J1490*(1-N(F1490)),2),0))</f>
        <v/>
      </c>
      <c r="M1490" s="62" t="str">
        <f>IF(A1490="","",IFERROR(INDEX(dv_cname,MATCH(A1490,dv_num,0))&amp;"",""))</f>
        <v/>
      </c>
      <c r="N1490" s="59" t="str">
        <f>IF(COUNTA(A1490:G1490)=0,"",IF(A1490="","N° devis manquant",IF(ISNA(MATCH(A1490,dv_num,0)),"Devis inconnu",IF(AND(B1490&lt;&gt;"",ISNA(MATCH(B1490,pr_code,0))),"Article inconnu",IF(H1490="","Désignation manquante",IF(OR(NOT(ISNUMBER(D1490)),N(D1490)&lt;=0),"Quantité invalide",IF(J1490="","Prix manquant",IF(OR(NOT(ISNUMBER(J1490)),N(J1490)&lt;0),"Prix invalide",IF(OR(AND(F1490&lt;&gt;"",NOT(ISNUMBER(F1490))),N(F1490)&lt;0,N(F1490)&gt;1),"Remise invalide",IF(K1490="","Taux de TVA manquant",IF(NOT(ISNUMBER(K1490)),"Taux de TVA invalide",IF(COUNTIF(p_rates,K1490)=0,"Taux de TVA hors liste (Paramètres)",IF(N(O1490)&gt;25,"Au-delà de 25 lignes : non imprimée","OK")))))))))))))</f>
        <v/>
      </c>
      <c r="O1490" s="59" t="str">
        <f>IF(A1490="","",COUNTIF($A$6:A1490,A1490))</f>
        <v/>
      </c>
      <c r="P1490" s="62" t="str">
        <f>IF(A1490="","",A1490&amp;"|"&amp;O1490)</f>
        <v/>
      </c>
    </row>
    <row r="1491">
      <c r="A1491" s="60" t="n"/>
      <c r="B1491" s="63" t="n"/>
      <c r="C1491" s="63" t="n"/>
      <c r="D1491" s="67" t="n"/>
      <c r="E1491" s="68" t="n"/>
      <c r="F1491" s="69" t="n"/>
      <c r="G1491" s="70" t="n"/>
      <c r="H1491" s="62" t="str">
        <f>IF(COUNTA(A1491:G1491)=0,"",IF(C1491&lt;&gt;"",C1491,IF(B1491="","",IFERROR(INDEX(pr_des,MATCH(B1491,pr_code,0))&amp;"",""))))</f>
        <v/>
      </c>
      <c r="I1491" s="59" t="str">
        <f>IF(B1491="","",IFERROR(INDEX(pr_unit,MATCH(B1491,pr_code,0))&amp;"",""))</f>
        <v/>
      </c>
      <c r="J1491" s="65" t="str">
        <f>IF(COUNTA(A1491:G1491)=0,"",IF(E1491&lt;&gt;"",E1491,IF(B1491="","",IFERROR(IF(INDEX(pr_price,MATCH(B1491,pr_code,0))="","",INDEX(pr_price,MATCH(B1491,pr_code,0))),""))))</f>
        <v/>
      </c>
      <c r="K1491" s="71" t="str">
        <f>IF(COUNTA(A1491:G1491)=0,"",IF(G1491&lt;&gt;"",G1491,IF(B1491="","",IFERROR(IF(INDEX(pr_rate,MATCH(B1491,pr_code,0))="","",INDEX(pr_rate,MATCH(B1491,pr_code,0))),""))))</f>
        <v/>
      </c>
      <c r="L1491" s="65" t="str">
        <f>IF(COUNTA(A1491:G1491)=0,"",IF(AND(ISNUMBER(D1491),ISNUMBER(J1491)),ROUND(D1491*J1491*(1-N(F1491)),2),0))</f>
        <v/>
      </c>
      <c r="M1491" s="62" t="str">
        <f>IF(A1491="","",IFERROR(INDEX(dv_cname,MATCH(A1491,dv_num,0))&amp;"",""))</f>
        <v/>
      </c>
      <c r="N1491" s="59" t="str">
        <f>IF(COUNTA(A1491:G1491)=0,"",IF(A1491="","N° devis manquant",IF(ISNA(MATCH(A1491,dv_num,0)),"Devis inconnu",IF(AND(B1491&lt;&gt;"",ISNA(MATCH(B1491,pr_code,0))),"Article inconnu",IF(H1491="","Désignation manquante",IF(OR(NOT(ISNUMBER(D1491)),N(D1491)&lt;=0),"Quantité invalide",IF(J1491="","Prix manquant",IF(OR(NOT(ISNUMBER(J1491)),N(J1491)&lt;0),"Prix invalide",IF(OR(AND(F1491&lt;&gt;"",NOT(ISNUMBER(F1491))),N(F1491)&lt;0,N(F1491)&gt;1),"Remise invalide",IF(K1491="","Taux de TVA manquant",IF(NOT(ISNUMBER(K1491)),"Taux de TVA invalide",IF(COUNTIF(p_rates,K1491)=0,"Taux de TVA hors liste (Paramètres)",IF(N(O1491)&gt;25,"Au-delà de 25 lignes : non imprimée","OK")))))))))))))</f>
        <v/>
      </c>
      <c r="O1491" s="59" t="str">
        <f>IF(A1491="","",COUNTIF($A$6:A1491,A1491))</f>
        <v/>
      </c>
      <c r="P1491" s="62" t="str">
        <f>IF(A1491="","",A1491&amp;"|"&amp;O1491)</f>
        <v/>
      </c>
    </row>
    <row r="1492">
      <c r="A1492" s="60" t="n"/>
      <c r="B1492" s="63" t="n"/>
      <c r="C1492" s="63" t="n"/>
      <c r="D1492" s="67" t="n"/>
      <c r="E1492" s="68" t="n"/>
      <c r="F1492" s="69" t="n"/>
      <c r="G1492" s="70" t="n"/>
      <c r="H1492" s="62" t="str">
        <f>IF(COUNTA(A1492:G1492)=0,"",IF(C1492&lt;&gt;"",C1492,IF(B1492="","",IFERROR(INDEX(pr_des,MATCH(B1492,pr_code,0))&amp;"",""))))</f>
        <v/>
      </c>
      <c r="I1492" s="59" t="str">
        <f>IF(B1492="","",IFERROR(INDEX(pr_unit,MATCH(B1492,pr_code,0))&amp;"",""))</f>
        <v/>
      </c>
      <c r="J1492" s="65" t="str">
        <f>IF(COUNTA(A1492:G1492)=0,"",IF(E1492&lt;&gt;"",E1492,IF(B1492="","",IFERROR(IF(INDEX(pr_price,MATCH(B1492,pr_code,0))="","",INDEX(pr_price,MATCH(B1492,pr_code,0))),""))))</f>
        <v/>
      </c>
      <c r="K1492" s="71" t="str">
        <f>IF(COUNTA(A1492:G1492)=0,"",IF(G1492&lt;&gt;"",G1492,IF(B1492="","",IFERROR(IF(INDEX(pr_rate,MATCH(B1492,pr_code,0))="","",INDEX(pr_rate,MATCH(B1492,pr_code,0))),""))))</f>
        <v/>
      </c>
      <c r="L1492" s="65" t="str">
        <f>IF(COUNTA(A1492:G1492)=0,"",IF(AND(ISNUMBER(D1492),ISNUMBER(J1492)),ROUND(D1492*J1492*(1-N(F1492)),2),0))</f>
        <v/>
      </c>
      <c r="M1492" s="62" t="str">
        <f>IF(A1492="","",IFERROR(INDEX(dv_cname,MATCH(A1492,dv_num,0))&amp;"",""))</f>
        <v/>
      </c>
      <c r="N1492" s="59" t="str">
        <f>IF(COUNTA(A1492:G1492)=0,"",IF(A1492="","N° devis manquant",IF(ISNA(MATCH(A1492,dv_num,0)),"Devis inconnu",IF(AND(B1492&lt;&gt;"",ISNA(MATCH(B1492,pr_code,0))),"Article inconnu",IF(H1492="","Désignation manquante",IF(OR(NOT(ISNUMBER(D1492)),N(D1492)&lt;=0),"Quantité invalide",IF(J1492="","Prix manquant",IF(OR(NOT(ISNUMBER(J1492)),N(J1492)&lt;0),"Prix invalide",IF(OR(AND(F1492&lt;&gt;"",NOT(ISNUMBER(F1492))),N(F1492)&lt;0,N(F1492)&gt;1),"Remise invalide",IF(K1492="","Taux de TVA manquant",IF(NOT(ISNUMBER(K1492)),"Taux de TVA invalide",IF(COUNTIF(p_rates,K1492)=0,"Taux de TVA hors liste (Paramètres)",IF(N(O1492)&gt;25,"Au-delà de 25 lignes : non imprimée","OK")))))))))))))</f>
        <v/>
      </c>
      <c r="O1492" s="59" t="str">
        <f>IF(A1492="","",COUNTIF($A$6:A1492,A1492))</f>
        <v/>
      </c>
      <c r="P1492" s="62" t="str">
        <f>IF(A1492="","",A1492&amp;"|"&amp;O1492)</f>
        <v/>
      </c>
    </row>
    <row r="1493">
      <c r="A1493" s="60" t="n"/>
      <c r="B1493" s="63" t="n"/>
      <c r="C1493" s="63" t="n"/>
      <c r="D1493" s="67" t="n"/>
      <c r="E1493" s="68" t="n"/>
      <c r="F1493" s="69" t="n"/>
      <c r="G1493" s="70" t="n"/>
      <c r="H1493" s="62" t="str">
        <f>IF(COUNTA(A1493:G1493)=0,"",IF(C1493&lt;&gt;"",C1493,IF(B1493="","",IFERROR(INDEX(pr_des,MATCH(B1493,pr_code,0))&amp;"",""))))</f>
        <v/>
      </c>
      <c r="I1493" s="59" t="str">
        <f>IF(B1493="","",IFERROR(INDEX(pr_unit,MATCH(B1493,pr_code,0))&amp;"",""))</f>
        <v/>
      </c>
      <c r="J1493" s="65" t="str">
        <f>IF(COUNTA(A1493:G1493)=0,"",IF(E1493&lt;&gt;"",E1493,IF(B1493="","",IFERROR(IF(INDEX(pr_price,MATCH(B1493,pr_code,0))="","",INDEX(pr_price,MATCH(B1493,pr_code,0))),""))))</f>
        <v/>
      </c>
      <c r="K1493" s="71" t="str">
        <f>IF(COUNTA(A1493:G1493)=0,"",IF(G1493&lt;&gt;"",G1493,IF(B1493="","",IFERROR(IF(INDEX(pr_rate,MATCH(B1493,pr_code,0))="","",INDEX(pr_rate,MATCH(B1493,pr_code,0))),""))))</f>
        <v/>
      </c>
      <c r="L1493" s="65" t="str">
        <f>IF(COUNTA(A1493:G1493)=0,"",IF(AND(ISNUMBER(D1493),ISNUMBER(J1493)),ROUND(D1493*J1493*(1-N(F1493)),2),0))</f>
        <v/>
      </c>
      <c r="M1493" s="62" t="str">
        <f>IF(A1493="","",IFERROR(INDEX(dv_cname,MATCH(A1493,dv_num,0))&amp;"",""))</f>
        <v/>
      </c>
      <c r="N1493" s="59" t="str">
        <f>IF(COUNTA(A1493:G1493)=0,"",IF(A1493="","N° devis manquant",IF(ISNA(MATCH(A1493,dv_num,0)),"Devis inconnu",IF(AND(B1493&lt;&gt;"",ISNA(MATCH(B1493,pr_code,0))),"Article inconnu",IF(H1493="","Désignation manquante",IF(OR(NOT(ISNUMBER(D1493)),N(D1493)&lt;=0),"Quantité invalide",IF(J1493="","Prix manquant",IF(OR(NOT(ISNUMBER(J1493)),N(J1493)&lt;0),"Prix invalide",IF(OR(AND(F1493&lt;&gt;"",NOT(ISNUMBER(F1493))),N(F1493)&lt;0,N(F1493)&gt;1),"Remise invalide",IF(K1493="","Taux de TVA manquant",IF(NOT(ISNUMBER(K1493)),"Taux de TVA invalide",IF(COUNTIF(p_rates,K1493)=0,"Taux de TVA hors liste (Paramètres)",IF(N(O1493)&gt;25,"Au-delà de 25 lignes : non imprimée","OK")))))))))))))</f>
        <v/>
      </c>
      <c r="O1493" s="59" t="str">
        <f>IF(A1493="","",COUNTIF($A$6:A1493,A1493))</f>
        <v/>
      </c>
      <c r="P1493" s="62" t="str">
        <f>IF(A1493="","",A1493&amp;"|"&amp;O1493)</f>
        <v/>
      </c>
    </row>
    <row r="1494">
      <c r="A1494" s="60" t="n"/>
      <c r="B1494" s="63" t="n"/>
      <c r="C1494" s="63" t="n"/>
      <c r="D1494" s="67" t="n"/>
      <c r="E1494" s="68" t="n"/>
      <c r="F1494" s="69" t="n"/>
      <c r="G1494" s="70" t="n"/>
      <c r="H1494" s="62" t="str">
        <f>IF(COUNTA(A1494:G1494)=0,"",IF(C1494&lt;&gt;"",C1494,IF(B1494="","",IFERROR(INDEX(pr_des,MATCH(B1494,pr_code,0))&amp;"",""))))</f>
        <v/>
      </c>
      <c r="I1494" s="59" t="str">
        <f>IF(B1494="","",IFERROR(INDEX(pr_unit,MATCH(B1494,pr_code,0))&amp;"",""))</f>
        <v/>
      </c>
      <c r="J1494" s="65" t="str">
        <f>IF(COUNTA(A1494:G1494)=0,"",IF(E1494&lt;&gt;"",E1494,IF(B1494="","",IFERROR(IF(INDEX(pr_price,MATCH(B1494,pr_code,0))="","",INDEX(pr_price,MATCH(B1494,pr_code,0))),""))))</f>
        <v/>
      </c>
      <c r="K1494" s="71" t="str">
        <f>IF(COUNTA(A1494:G1494)=0,"",IF(G1494&lt;&gt;"",G1494,IF(B1494="","",IFERROR(IF(INDEX(pr_rate,MATCH(B1494,pr_code,0))="","",INDEX(pr_rate,MATCH(B1494,pr_code,0))),""))))</f>
        <v/>
      </c>
      <c r="L1494" s="65" t="str">
        <f>IF(COUNTA(A1494:G1494)=0,"",IF(AND(ISNUMBER(D1494),ISNUMBER(J1494)),ROUND(D1494*J1494*(1-N(F1494)),2),0))</f>
        <v/>
      </c>
      <c r="M1494" s="62" t="str">
        <f>IF(A1494="","",IFERROR(INDEX(dv_cname,MATCH(A1494,dv_num,0))&amp;"",""))</f>
        <v/>
      </c>
      <c r="N1494" s="59" t="str">
        <f>IF(COUNTA(A1494:G1494)=0,"",IF(A1494="","N° devis manquant",IF(ISNA(MATCH(A1494,dv_num,0)),"Devis inconnu",IF(AND(B1494&lt;&gt;"",ISNA(MATCH(B1494,pr_code,0))),"Article inconnu",IF(H1494="","Désignation manquante",IF(OR(NOT(ISNUMBER(D1494)),N(D1494)&lt;=0),"Quantité invalide",IF(J1494="","Prix manquant",IF(OR(NOT(ISNUMBER(J1494)),N(J1494)&lt;0),"Prix invalide",IF(OR(AND(F1494&lt;&gt;"",NOT(ISNUMBER(F1494))),N(F1494)&lt;0,N(F1494)&gt;1),"Remise invalide",IF(K1494="","Taux de TVA manquant",IF(NOT(ISNUMBER(K1494)),"Taux de TVA invalide",IF(COUNTIF(p_rates,K1494)=0,"Taux de TVA hors liste (Paramètres)",IF(N(O1494)&gt;25,"Au-delà de 25 lignes : non imprimée","OK")))))))))))))</f>
        <v/>
      </c>
      <c r="O1494" s="59" t="str">
        <f>IF(A1494="","",COUNTIF($A$6:A1494,A1494))</f>
        <v/>
      </c>
      <c r="P1494" s="62" t="str">
        <f>IF(A1494="","",A1494&amp;"|"&amp;O1494)</f>
        <v/>
      </c>
    </row>
    <row r="1495">
      <c r="A1495" s="60" t="n"/>
      <c r="B1495" s="63" t="n"/>
      <c r="C1495" s="63" t="n"/>
      <c r="D1495" s="67" t="n"/>
      <c r="E1495" s="68" t="n"/>
      <c r="F1495" s="69" t="n"/>
      <c r="G1495" s="70" t="n"/>
      <c r="H1495" s="62" t="str">
        <f>IF(COUNTA(A1495:G1495)=0,"",IF(C1495&lt;&gt;"",C1495,IF(B1495="","",IFERROR(INDEX(pr_des,MATCH(B1495,pr_code,0))&amp;"",""))))</f>
        <v/>
      </c>
      <c r="I1495" s="59" t="str">
        <f>IF(B1495="","",IFERROR(INDEX(pr_unit,MATCH(B1495,pr_code,0))&amp;"",""))</f>
        <v/>
      </c>
      <c r="J1495" s="65" t="str">
        <f>IF(COUNTA(A1495:G1495)=0,"",IF(E1495&lt;&gt;"",E1495,IF(B1495="","",IFERROR(IF(INDEX(pr_price,MATCH(B1495,pr_code,0))="","",INDEX(pr_price,MATCH(B1495,pr_code,0))),""))))</f>
        <v/>
      </c>
      <c r="K1495" s="71" t="str">
        <f>IF(COUNTA(A1495:G1495)=0,"",IF(G1495&lt;&gt;"",G1495,IF(B1495="","",IFERROR(IF(INDEX(pr_rate,MATCH(B1495,pr_code,0))="","",INDEX(pr_rate,MATCH(B1495,pr_code,0))),""))))</f>
        <v/>
      </c>
      <c r="L1495" s="65" t="str">
        <f>IF(COUNTA(A1495:G1495)=0,"",IF(AND(ISNUMBER(D1495),ISNUMBER(J1495)),ROUND(D1495*J1495*(1-N(F1495)),2),0))</f>
        <v/>
      </c>
      <c r="M1495" s="62" t="str">
        <f>IF(A1495="","",IFERROR(INDEX(dv_cname,MATCH(A1495,dv_num,0))&amp;"",""))</f>
        <v/>
      </c>
      <c r="N1495" s="59" t="str">
        <f>IF(COUNTA(A1495:G1495)=0,"",IF(A1495="","N° devis manquant",IF(ISNA(MATCH(A1495,dv_num,0)),"Devis inconnu",IF(AND(B1495&lt;&gt;"",ISNA(MATCH(B1495,pr_code,0))),"Article inconnu",IF(H1495="","Désignation manquante",IF(OR(NOT(ISNUMBER(D1495)),N(D1495)&lt;=0),"Quantité invalide",IF(J1495="","Prix manquant",IF(OR(NOT(ISNUMBER(J1495)),N(J1495)&lt;0),"Prix invalide",IF(OR(AND(F1495&lt;&gt;"",NOT(ISNUMBER(F1495))),N(F1495)&lt;0,N(F1495)&gt;1),"Remise invalide",IF(K1495="","Taux de TVA manquant",IF(NOT(ISNUMBER(K1495)),"Taux de TVA invalide",IF(COUNTIF(p_rates,K1495)=0,"Taux de TVA hors liste (Paramètres)",IF(N(O1495)&gt;25,"Au-delà de 25 lignes : non imprimée","OK")))))))))))))</f>
        <v/>
      </c>
      <c r="O1495" s="59" t="str">
        <f>IF(A1495="","",COUNTIF($A$6:A1495,A1495))</f>
        <v/>
      </c>
      <c r="P1495" s="62" t="str">
        <f>IF(A1495="","",A1495&amp;"|"&amp;O1495)</f>
        <v/>
      </c>
    </row>
    <row r="1496">
      <c r="A1496" s="60" t="n"/>
      <c r="B1496" s="63" t="n"/>
      <c r="C1496" s="63" t="n"/>
      <c r="D1496" s="67" t="n"/>
      <c r="E1496" s="68" t="n"/>
      <c r="F1496" s="69" t="n"/>
      <c r="G1496" s="70" t="n"/>
      <c r="H1496" s="62" t="str">
        <f>IF(COUNTA(A1496:G1496)=0,"",IF(C1496&lt;&gt;"",C1496,IF(B1496="","",IFERROR(INDEX(pr_des,MATCH(B1496,pr_code,0))&amp;"",""))))</f>
        <v/>
      </c>
      <c r="I1496" s="59" t="str">
        <f>IF(B1496="","",IFERROR(INDEX(pr_unit,MATCH(B1496,pr_code,0))&amp;"",""))</f>
        <v/>
      </c>
      <c r="J1496" s="65" t="str">
        <f>IF(COUNTA(A1496:G1496)=0,"",IF(E1496&lt;&gt;"",E1496,IF(B1496="","",IFERROR(IF(INDEX(pr_price,MATCH(B1496,pr_code,0))="","",INDEX(pr_price,MATCH(B1496,pr_code,0))),""))))</f>
        <v/>
      </c>
      <c r="K1496" s="71" t="str">
        <f>IF(COUNTA(A1496:G1496)=0,"",IF(G1496&lt;&gt;"",G1496,IF(B1496="","",IFERROR(IF(INDEX(pr_rate,MATCH(B1496,pr_code,0))="","",INDEX(pr_rate,MATCH(B1496,pr_code,0))),""))))</f>
        <v/>
      </c>
      <c r="L1496" s="65" t="str">
        <f>IF(COUNTA(A1496:G1496)=0,"",IF(AND(ISNUMBER(D1496),ISNUMBER(J1496)),ROUND(D1496*J1496*(1-N(F1496)),2),0))</f>
        <v/>
      </c>
      <c r="M1496" s="62" t="str">
        <f>IF(A1496="","",IFERROR(INDEX(dv_cname,MATCH(A1496,dv_num,0))&amp;"",""))</f>
        <v/>
      </c>
      <c r="N1496" s="59" t="str">
        <f>IF(COUNTA(A1496:G1496)=0,"",IF(A1496="","N° devis manquant",IF(ISNA(MATCH(A1496,dv_num,0)),"Devis inconnu",IF(AND(B1496&lt;&gt;"",ISNA(MATCH(B1496,pr_code,0))),"Article inconnu",IF(H1496="","Désignation manquante",IF(OR(NOT(ISNUMBER(D1496)),N(D1496)&lt;=0),"Quantité invalide",IF(J1496="","Prix manquant",IF(OR(NOT(ISNUMBER(J1496)),N(J1496)&lt;0),"Prix invalide",IF(OR(AND(F1496&lt;&gt;"",NOT(ISNUMBER(F1496))),N(F1496)&lt;0,N(F1496)&gt;1),"Remise invalide",IF(K1496="","Taux de TVA manquant",IF(NOT(ISNUMBER(K1496)),"Taux de TVA invalide",IF(COUNTIF(p_rates,K1496)=0,"Taux de TVA hors liste (Paramètres)",IF(N(O1496)&gt;25,"Au-delà de 25 lignes : non imprimée","OK")))))))))))))</f>
        <v/>
      </c>
      <c r="O1496" s="59" t="str">
        <f>IF(A1496="","",COUNTIF($A$6:A1496,A1496))</f>
        <v/>
      </c>
      <c r="P1496" s="62" t="str">
        <f>IF(A1496="","",A1496&amp;"|"&amp;O1496)</f>
        <v/>
      </c>
    </row>
    <row r="1497">
      <c r="A1497" s="60" t="n"/>
      <c r="B1497" s="63" t="n"/>
      <c r="C1497" s="63" t="n"/>
      <c r="D1497" s="67" t="n"/>
      <c r="E1497" s="68" t="n"/>
      <c r="F1497" s="69" t="n"/>
      <c r="G1497" s="70" t="n"/>
      <c r="H1497" s="62" t="str">
        <f>IF(COUNTA(A1497:G1497)=0,"",IF(C1497&lt;&gt;"",C1497,IF(B1497="","",IFERROR(INDEX(pr_des,MATCH(B1497,pr_code,0))&amp;"",""))))</f>
        <v/>
      </c>
      <c r="I1497" s="59" t="str">
        <f>IF(B1497="","",IFERROR(INDEX(pr_unit,MATCH(B1497,pr_code,0))&amp;"",""))</f>
        <v/>
      </c>
      <c r="J1497" s="65" t="str">
        <f>IF(COUNTA(A1497:G1497)=0,"",IF(E1497&lt;&gt;"",E1497,IF(B1497="","",IFERROR(IF(INDEX(pr_price,MATCH(B1497,pr_code,0))="","",INDEX(pr_price,MATCH(B1497,pr_code,0))),""))))</f>
        <v/>
      </c>
      <c r="K1497" s="71" t="str">
        <f>IF(COUNTA(A1497:G1497)=0,"",IF(G1497&lt;&gt;"",G1497,IF(B1497="","",IFERROR(IF(INDEX(pr_rate,MATCH(B1497,pr_code,0))="","",INDEX(pr_rate,MATCH(B1497,pr_code,0))),""))))</f>
        <v/>
      </c>
      <c r="L1497" s="65" t="str">
        <f>IF(COUNTA(A1497:G1497)=0,"",IF(AND(ISNUMBER(D1497),ISNUMBER(J1497)),ROUND(D1497*J1497*(1-N(F1497)),2),0))</f>
        <v/>
      </c>
      <c r="M1497" s="62" t="str">
        <f>IF(A1497="","",IFERROR(INDEX(dv_cname,MATCH(A1497,dv_num,0))&amp;"",""))</f>
        <v/>
      </c>
      <c r="N1497" s="59" t="str">
        <f>IF(COUNTA(A1497:G1497)=0,"",IF(A1497="","N° devis manquant",IF(ISNA(MATCH(A1497,dv_num,0)),"Devis inconnu",IF(AND(B1497&lt;&gt;"",ISNA(MATCH(B1497,pr_code,0))),"Article inconnu",IF(H1497="","Désignation manquante",IF(OR(NOT(ISNUMBER(D1497)),N(D1497)&lt;=0),"Quantité invalide",IF(J1497="","Prix manquant",IF(OR(NOT(ISNUMBER(J1497)),N(J1497)&lt;0),"Prix invalide",IF(OR(AND(F1497&lt;&gt;"",NOT(ISNUMBER(F1497))),N(F1497)&lt;0,N(F1497)&gt;1),"Remise invalide",IF(K1497="","Taux de TVA manquant",IF(NOT(ISNUMBER(K1497)),"Taux de TVA invalide",IF(COUNTIF(p_rates,K1497)=0,"Taux de TVA hors liste (Paramètres)",IF(N(O1497)&gt;25,"Au-delà de 25 lignes : non imprimée","OK")))))))))))))</f>
        <v/>
      </c>
      <c r="O1497" s="59" t="str">
        <f>IF(A1497="","",COUNTIF($A$6:A1497,A1497))</f>
        <v/>
      </c>
      <c r="P1497" s="62" t="str">
        <f>IF(A1497="","",A1497&amp;"|"&amp;O1497)</f>
        <v/>
      </c>
    </row>
    <row r="1498">
      <c r="A1498" s="60" t="n"/>
      <c r="B1498" s="63" t="n"/>
      <c r="C1498" s="63" t="n"/>
      <c r="D1498" s="67" t="n"/>
      <c r="E1498" s="68" t="n"/>
      <c r="F1498" s="69" t="n"/>
      <c r="G1498" s="70" t="n"/>
      <c r="H1498" s="62" t="str">
        <f>IF(COUNTA(A1498:G1498)=0,"",IF(C1498&lt;&gt;"",C1498,IF(B1498="","",IFERROR(INDEX(pr_des,MATCH(B1498,pr_code,0))&amp;"",""))))</f>
        <v/>
      </c>
      <c r="I1498" s="59" t="str">
        <f>IF(B1498="","",IFERROR(INDEX(pr_unit,MATCH(B1498,pr_code,0))&amp;"",""))</f>
        <v/>
      </c>
      <c r="J1498" s="65" t="str">
        <f>IF(COUNTA(A1498:G1498)=0,"",IF(E1498&lt;&gt;"",E1498,IF(B1498="","",IFERROR(IF(INDEX(pr_price,MATCH(B1498,pr_code,0))="","",INDEX(pr_price,MATCH(B1498,pr_code,0))),""))))</f>
        <v/>
      </c>
      <c r="K1498" s="71" t="str">
        <f>IF(COUNTA(A1498:G1498)=0,"",IF(G1498&lt;&gt;"",G1498,IF(B1498="","",IFERROR(IF(INDEX(pr_rate,MATCH(B1498,pr_code,0))="","",INDEX(pr_rate,MATCH(B1498,pr_code,0))),""))))</f>
        <v/>
      </c>
      <c r="L1498" s="65" t="str">
        <f>IF(COUNTA(A1498:G1498)=0,"",IF(AND(ISNUMBER(D1498),ISNUMBER(J1498)),ROUND(D1498*J1498*(1-N(F1498)),2),0))</f>
        <v/>
      </c>
      <c r="M1498" s="62" t="str">
        <f>IF(A1498="","",IFERROR(INDEX(dv_cname,MATCH(A1498,dv_num,0))&amp;"",""))</f>
        <v/>
      </c>
      <c r="N1498" s="59" t="str">
        <f>IF(COUNTA(A1498:G1498)=0,"",IF(A1498="","N° devis manquant",IF(ISNA(MATCH(A1498,dv_num,0)),"Devis inconnu",IF(AND(B1498&lt;&gt;"",ISNA(MATCH(B1498,pr_code,0))),"Article inconnu",IF(H1498="","Désignation manquante",IF(OR(NOT(ISNUMBER(D1498)),N(D1498)&lt;=0),"Quantité invalide",IF(J1498="","Prix manquant",IF(OR(NOT(ISNUMBER(J1498)),N(J1498)&lt;0),"Prix invalide",IF(OR(AND(F1498&lt;&gt;"",NOT(ISNUMBER(F1498))),N(F1498)&lt;0,N(F1498)&gt;1),"Remise invalide",IF(K1498="","Taux de TVA manquant",IF(NOT(ISNUMBER(K1498)),"Taux de TVA invalide",IF(COUNTIF(p_rates,K1498)=0,"Taux de TVA hors liste (Paramètres)",IF(N(O1498)&gt;25,"Au-delà de 25 lignes : non imprimée","OK")))))))))))))</f>
        <v/>
      </c>
      <c r="O1498" s="59" t="str">
        <f>IF(A1498="","",COUNTIF($A$6:A1498,A1498))</f>
        <v/>
      </c>
      <c r="P1498" s="62" t="str">
        <f>IF(A1498="","",A1498&amp;"|"&amp;O1498)</f>
        <v/>
      </c>
    </row>
    <row r="1499">
      <c r="A1499" s="60" t="n"/>
      <c r="B1499" s="63" t="n"/>
      <c r="C1499" s="63" t="n"/>
      <c r="D1499" s="67" t="n"/>
      <c r="E1499" s="68" t="n"/>
      <c r="F1499" s="69" t="n"/>
      <c r="G1499" s="70" t="n"/>
      <c r="H1499" s="62" t="str">
        <f>IF(COUNTA(A1499:G1499)=0,"",IF(C1499&lt;&gt;"",C1499,IF(B1499="","",IFERROR(INDEX(pr_des,MATCH(B1499,pr_code,0))&amp;"",""))))</f>
        <v/>
      </c>
      <c r="I1499" s="59" t="str">
        <f>IF(B1499="","",IFERROR(INDEX(pr_unit,MATCH(B1499,pr_code,0))&amp;"",""))</f>
        <v/>
      </c>
      <c r="J1499" s="65" t="str">
        <f>IF(COUNTA(A1499:G1499)=0,"",IF(E1499&lt;&gt;"",E1499,IF(B1499="","",IFERROR(IF(INDEX(pr_price,MATCH(B1499,pr_code,0))="","",INDEX(pr_price,MATCH(B1499,pr_code,0))),""))))</f>
        <v/>
      </c>
      <c r="K1499" s="71" t="str">
        <f>IF(COUNTA(A1499:G1499)=0,"",IF(G1499&lt;&gt;"",G1499,IF(B1499="","",IFERROR(IF(INDEX(pr_rate,MATCH(B1499,pr_code,0))="","",INDEX(pr_rate,MATCH(B1499,pr_code,0))),""))))</f>
        <v/>
      </c>
      <c r="L1499" s="65" t="str">
        <f>IF(COUNTA(A1499:G1499)=0,"",IF(AND(ISNUMBER(D1499),ISNUMBER(J1499)),ROUND(D1499*J1499*(1-N(F1499)),2),0))</f>
        <v/>
      </c>
      <c r="M1499" s="62" t="str">
        <f>IF(A1499="","",IFERROR(INDEX(dv_cname,MATCH(A1499,dv_num,0))&amp;"",""))</f>
        <v/>
      </c>
      <c r="N1499" s="59" t="str">
        <f>IF(COUNTA(A1499:G1499)=0,"",IF(A1499="","N° devis manquant",IF(ISNA(MATCH(A1499,dv_num,0)),"Devis inconnu",IF(AND(B1499&lt;&gt;"",ISNA(MATCH(B1499,pr_code,0))),"Article inconnu",IF(H1499="","Désignation manquante",IF(OR(NOT(ISNUMBER(D1499)),N(D1499)&lt;=0),"Quantité invalide",IF(J1499="","Prix manquant",IF(OR(NOT(ISNUMBER(J1499)),N(J1499)&lt;0),"Prix invalide",IF(OR(AND(F1499&lt;&gt;"",NOT(ISNUMBER(F1499))),N(F1499)&lt;0,N(F1499)&gt;1),"Remise invalide",IF(K1499="","Taux de TVA manquant",IF(NOT(ISNUMBER(K1499)),"Taux de TVA invalide",IF(COUNTIF(p_rates,K1499)=0,"Taux de TVA hors liste (Paramètres)",IF(N(O1499)&gt;25,"Au-delà de 25 lignes : non imprimée","OK")))))))))))))</f>
        <v/>
      </c>
      <c r="O1499" s="59" t="str">
        <f>IF(A1499="","",COUNTIF($A$6:A1499,A1499))</f>
        <v/>
      </c>
      <c r="P1499" s="62" t="str">
        <f>IF(A1499="","",A1499&amp;"|"&amp;O1499)</f>
        <v/>
      </c>
    </row>
    <row r="1500">
      <c r="A1500" s="60" t="n"/>
      <c r="B1500" s="63" t="n"/>
      <c r="C1500" s="63" t="n"/>
      <c r="D1500" s="67" t="n"/>
      <c r="E1500" s="68" t="n"/>
      <c r="F1500" s="69" t="n"/>
      <c r="G1500" s="70" t="n"/>
      <c r="H1500" s="62" t="str">
        <f>IF(COUNTA(A1500:G1500)=0,"",IF(C1500&lt;&gt;"",C1500,IF(B1500="","",IFERROR(INDEX(pr_des,MATCH(B1500,pr_code,0))&amp;"",""))))</f>
        <v/>
      </c>
      <c r="I1500" s="59" t="str">
        <f>IF(B1500="","",IFERROR(INDEX(pr_unit,MATCH(B1500,pr_code,0))&amp;"",""))</f>
        <v/>
      </c>
      <c r="J1500" s="65" t="str">
        <f>IF(COUNTA(A1500:G1500)=0,"",IF(E1500&lt;&gt;"",E1500,IF(B1500="","",IFERROR(IF(INDEX(pr_price,MATCH(B1500,pr_code,0))="","",INDEX(pr_price,MATCH(B1500,pr_code,0))),""))))</f>
        <v/>
      </c>
      <c r="K1500" s="71" t="str">
        <f>IF(COUNTA(A1500:G1500)=0,"",IF(G1500&lt;&gt;"",G1500,IF(B1500="","",IFERROR(IF(INDEX(pr_rate,MATCH(B1500,pr_code,0))="","",INDEX(pr_rate,MATCH(B1500,pr_code,0))),""))))</f>
        <v/>
      </c>
      <c r="L1500" s="65" t="str">
        <f>IF(COUNTA(A1500:G1500)=0,"",IF(AND(ISNUMBER(D1500),ISNUMBER(J1500)),ROUND(D1500*J1500*(1-N(F1500)),2),0))</f>
        <v/>
      </c>
      <c r="M1500" s="62" t="str">
        <f>IF(A1500="","",IFERROR(INDEX(dv_cname,MATCH(A1500,dv_num,0))&amp;"",""))</f>
        <v/>
      </c>
      <c r="N1500" s="59" t="str">
        <f>IF(COUNTA(A1500:G1500)=0,"",IF(A1500="","N° devis manquant",IF(ISNA(MATCH(A1500,dv_num,0)),"Devis inconnu",IF(AND(B1500&lt;&gt;"",ISNA(MATCH(B1500,pr_code,0))),"Article inconnu",IF(H1500="","Désignation manquante",IF(OR(NOT(ISNUMBER(D1500)),N(D1500)&lt;=0),"Quantité invalide",IF(J1500="","Prix manquant",IF(OR(NOT(ISNUMBER(J1500)),N(J1500)&lt;0),"Prix invalide",IF(OR(AND(F1500&lt;&gt;"",NOT(ISNUMBER(F1500))),N(F1500)&lt;0,N(F1500)&gt;1),"Remise invalide",IF(K1500="","Taux de TVA manquant",IF(NOT(ISNUMBER(K1500)),"Taux de TVA invalide",IF(COUNTIF(p_rates,K1500)=0,"Taux de TVA hors liste (Paramètres)",IF(N(O1500)&gt;25,"Au-delà de 25 lignes : non imprimée","OK")))))))))))))</f>
        <v/>
      </c>
      <c r="O1500" s="59" t="str">
        <f>IF(A1500="","",COUNTIF($A$6:A1500,A1500))</f>
        <v/>
      </c>
      <c r="P1500" s="62" t="str">
        <f>IF(A1500="","",A1500&amp;"|"&amp;O1500)</f>
        <v/>
      </c>
    </row>
    <row r="1501">
      <c r="A1501" s="60" t="n"/>
      <c r="B1501" s="63" t="n"/>
      <c r="C1501" s="63" t="n"/>
      <c r="D1501" s="67" t="n"/>
      <c r="E1501" s="68" t="n"/>
      <c r="F1501" s="69" t="n"/>
      <c r="G1501" s="70" t="n"/>
      <c r="H1501" s="62" t="str">
        <f>IF(COUNTA(A1501:G1501)=0,"",IF(C1501&lt;&gt;"",C1501,IF(B1501="","",IFERROR(INDEX(pr_des,MATCH(B1501,pr_code,0))&amp;"",""))))</f>
        <v/>
      </c>
      <c r="I1501" s="59" t="str">
        <f>IF(B1501="","",IFERROR(INDEX(pr_unit,MATCH(B1501,pr_code,0))&amp;"",""))</f>
        <v/>
      </c>
      <c r="J1501" s="65" t="str">
        <f>IF(COUNTA(A1501:G1501)=0,"",IF(E1501&lt;&gt;"",E1501,IF(B1501="","",IFERROR(IF(INDEX(pr_price,MATCH(B1501,pr_code,0))="","",INDEX(pr_price,MATCH(B1501,pr_code,0))),""))))</f>
        <v/>
      </c>
      <c r="K1501" s="71" t="str">
        <f>IF(COUNTA(A1501:G1501)=0,"",IF(G1501&lt;&gt;"",G1501,IF(B1501="","",IFERROR(IF(INDEX(pr_rate,MATCH(B1501,pr_code,0))="","",INDEX(pr_rate,MATCH(B1501,pr_code,0))),""))))</f>
        <v/>
      </c>
      <c r="L1501" s="65" t="str">
        <f>IF(COUNTA(A1501:G1501)=0,"",IF(AND(ISNUMBER(D1501),ISNUMBER(J1501)),ROUND(D1501*J1501*(1-N(F1501)),2),0))</f>
        <v/>
      </c>
      <c r="M1501" s="62" t="str">
        <f>IF(A1501="","",IFERROR(INDEX(dv_cname,MATCH(A1501,dv_num,0))&amp;"",""))</f>
        <v/>
      </c>
      <c r="N1501" s="59" t="str">
        <f>IF(COUNTA(A1501:G1501)=0,"",IF(A1501="","N° devis manquant",IF(ISNA(MATCH(A1501,dv_num,0)),"Devis inconnu",IF(AND(B1501&lt;&gt;"",ISNA(MATCH(B1501,pr_code,0))),"Article inconnu",IF(H1501="","Désignation manquante",IF(OR(NOT(ISNUMBER(D1501)),N(D1501)&lt;=0),"Quantité invalide",IF(J1501="","Prix manquant",IF(OR(NOT(ISNUMBER(J1501)),N(J1501)&lt;0),"Prix invalide",IF(OR(AND(F1501&lt;&gt;"",NOT(ISNUMBER(F1501))),N(F1501)&lt;0,N(F1501)&gt;1),"Remise invalide",IF(K1501="","Taux de TVA manquant",IF(NOT(ISNUMBER(K1501)),"Taux de TVA invalide",IF(COUNTIF(p_rates,K1501)=0,"Taux de TVA hors liste (Paramètres)",IF(N(O1501)&gt;25,"Au-delà de 25 lignes : non imprimée","OK")))))))))))))</f>
        <v/>
      </c>
      <c r="O1501" s="59" t="str">
        <f>IF(A1501="","",COUNTIF($A$6:A1501,A1501))</f>
        <v/>
      </c>
      <c r="P1501" s="62" t="str">
        <f>IF(A1501="","",A1501&amp;"|"&amp;O1501)</f>
        <v/>
      </c>
    </row>
    <row r="1502">
      <c r="A1502" s="60" t="n"/>
      <c r="B1502" s="63" t="n"/>
      <c r="C1502" s="63" t="n"/>
      <c r="D1502" s="67" t="n"/>
      <c r="E1502" s="68" t="n"/>
      <c r="F1502" s="69" t="n"/>
      <c r="G1502" s="70" t="n"/>
      <c r="H1502" s="62" t="str">
        <f>IF(COUNTA(A1502:G1502)=0,"",IF(C1502&lt;&gt;"",C1502,IF(B1502="","",IFERROR(INDEX(pr_des,MATCH(B1502,pr_code,0))&amp;"",""))))</f>
        <v/>
      </c>
      <c r="I1502" s="59" t="str">
        <f>IF(B1502="","",IFERROR(INDEX(pr_unit,MATCH(B1502,pr_code,0))&amp;"",""))</f>
        <v/>
      </c>
      <c r="J1502" s="65" t="str">
        <f>IF(COUNTA(A1502:G1502)=0,"",IF(E1502&lt;&gt;"",E1502,IF(B1502="","",IFERROR(IF(INDEX(pr_price,MATCH(B1502,pr_code,0))="","",INDEX(pr_price,MATCH(B1502,pr_code,0))),""))))</f>
        <v/>
      </c>
      <c r="K1502" s="71" t="str">
        <f>IF(COUNTA(A1502:G1502)=0,"",IF(G1502&lt;&gt;"",G1502,IF(B1502="","",IFERROR(IF(INDEX(pr_rate,MATCH(B1502,pr_code,0))="","",INDEX(pr_rate,MATCH(B1502,pr_code,0))),""))))</f>
        <v/>
      </c>
      <c r="L1502" s="65" t="str">
        <f>IF(COUNTA(A1502:G1502)=0,"",IF(AND(ISNUMBER(D1502),ISNUMBER(J1502)),ROUND(D1502*J1502*(1-N(F1502)),2),0))</f>
        <v/>
      </c>
      <c r="M1502" s="62" t="str">
        <f>IF(A1502="","",IFERROR(INDEX(dv_cname,MATCH(A1502,dv_num,0))&amp;"",""))</f>
        <v/>
      </c>
      <c r="N1502" s="59" t="str">
        <f>IF(COUNTA(A1502:G1502)=0,"",IF(A1502="","N° devis manquant",IF(ISNA(MATCH(A1502,dv_num,0)),"Devis inconnu",IF(AND(B1502&lt;&gt;"",ISNA(MATCH(B1502,pr_code,0))),"Article inconnu",IF(H1502="","Désignation manquante",IF(OR(NOT(ISNUMBER(D1502)),N(D1502)&lt;=0),"Quantité invalide",IF(J1502="","Prix manquant",IF(OR(NOT(ISNUMBER(J1502)),N(J1502)&lt;0),"Prix invalide",IF(OR(AND(F1502&lt;&gt;"",NOT(ISNUMBER(F1502))),N(F1502)&lt;0,N(F1502)&gt;1),"Remise invalide",IF(K1502="","Taux de TVA manquant",IF(NOT(ISNUMBER(K1502)),"Taux de TVA invalide",IF(COUNTIF(p_rates,K1502)=0,"Taux de TVA hors liste (Paramètres)",IF(N(O1502)&gt;25,"Au-delà de 25 lignes : non imprimée","OK")))))))))))))</f>
        <v/>
      </c>
      <c r="O1502" s="59" t="str">
        <f>IF(A1502="","",COUNTIF($A$6:A1502,A1502))</f>
        <v/>
      </c>
      <c r="P1502" s="62" t="str">
        <f>IF(A1502="","",A1502&amp;"|"&amp;O1502)</f>
        <v/>
      </c>
    </row>
    <row r="1503">
      <c r="A1503" s="60" t="n"/>
      <c r="B1503" s="63" t="n"/>
      <c r="C1503" s="63" t="n"/>
      <c r="D1503" s="67" t="n"/>
      <c r="E1503" s="68" t="n"/>
      <c r="F1503" s="69" t="n"/>
      <c r="G1503" s="70" t="n"/>
      <c r="H1503" s="62" t="str">
        <f>IF(COUNTA(A1503:G1503)=0,"",IF(C1503&lt;&gt;"",C1503,IF(B1503="","",IFERROR(INDEX(pr_des,MATCH(B1503,pr_code,0))&amp;"",""))))</f>
        <v/>
      </c>
      <c r="I1503" s="59" t="str">
        <f>IF(B1503="","",IFERROR(INDEX(pr_unit,MATCH(B1503,pr_code,0))&amp;"",""))</f>
        <v/>
      </c>
      <c r="J1503" s="65" t="str">
        <f>IF(COUNTA(A1503:G1503)=0,"",IF(E1503&lt;&gt;"",E1503,IF(B1503="","",IFERROR(IF(INDEX(pr_price,MATCH(B1503,pr_code,0))="","",INDEX(pr_price,MATCH(B1503,pr_code,0))),""))))</f>
        <v/>
      </c>
      <c r="K1503" s="71" t="str">
        <f>IF(COUNTA(A1503:G1503)=0,"",IF(G1503&lt;&gt;"",G1503,IF(B1503="","",IFERROR(IF(INDEX(pr_rate,MATCH(B1503,pr_code,0))="","",INDEX(pr_rate,MATCH(B1503,pr_code,0))),""))))</f>
        <v/>
      </c>
      <c r="L1503" s="65" t="str">
        <f>IF(COUNTA(A1503:G1503)=0,"",IF(AND(ISNUMBER(D1503),ISNUMBER(J1503)),ROUND(D1503*J1503*(1-N(F1503)),2),0))</f>
        <v/>
      </c>
      <c r="M1503" s="62" t="str">
        <f>IF(A1503="","",IFERROR(INDEX(dv_cname,MATCH(A1503,dv_num,0))&amp;"",""))</f>
        <v/>
      </c>
      <c r="N1503" s="59" t="str">
        <f>IF(COUNTA(A1503:G1503)=0,"",IF(A1503="","N° devis manquant",IF(ISNA(MATCH(A1503,dv_num,0)),"Devis inconnu",IF(AND(B1503&lt;&gt;"",ISNA(MATCH(B1503,pr_code,0))),"Article inconnu",IF(H1503="","Désignation manquante",IF(OR(NOT(ISNUMBER(D1503)),N(D1503)&lt;=0),"Quantité invalide",IF(J1503="","Prix manquant",IF(OR(NOT(ISNUMBER(J1503)),N(J1503)&lt;0),"Prix invalide",IF(OR(AND(F1503&lt;&gt;"",NOT(ISNUMBER(F1503))),N(F1503)&lt;0,N(F1503)&gt;1),"Remise invalide",IF(K1503="","Taux de TVA manquant",IF(NOT(ISNUMBER(K1503)),"Taux de TVA invalide",IF(COUNTIF(p_rates,K1503)=0,"Taux de TVA hors liste (Paramètres)",IF(N(O1503)&gt;25,"Au-delà de 25 lignes : non imprimée","OK")))))))))))))</f>
        <v/>
      </c>
      <c r="O1503" s="59" t="str">
        <f>IF(A1503="","",COUNTIF($A$6:A1503,A1503))</f>
        <v/>
      </c>
      <c r="P1503" s="62" t="str">
        <f>IF(A1503="","",A1503&amp;"|"&amp;O1503)</f>
        <v/>
      </c>
    </row>
    <row r="1504">
      <c r="A1504" s="60" t="n"/>
      <c r="B1504" s="63" t="n"/>
      <c r="C1504" s="63" t="n"/>
      <c r="D1504" s="67" t="n"/>
      <c r="E1504" s="68" t="n"/>
      <c r="F1504" s="69" t="n"/>
      <c r="G1504" s="70" t="n"/>
      <c r="H1504" s="62" t="str">
        <f>IF(COUNTA(A1504:G1504)=0,"",IF(C1504&lt;&gt;"",C1504,IF(B1504="","",IFERROR(INDEX(pr_des,MATCH(B1504,pr_code,0))&amp;"",""))))</f>
        <v/>
      </c>
      <c r="I1504" s="59" t="str">
        <f>IF(B1504="","",IFERROR(INDEX(pr_unit,MATCH(B1504,pr_code,0))&amp;"",""))</f>
        <v/>
      </c>
      <c r="J1504" s="65" t="str">
        <f>IF(COUNTA(A1504:G1504)=0,"",IF(E1504&lt;&gt;"",E1504,IF(B1504="","",IFERROR(IF(INDEX(pr_price,MATCH(B1504,pr_code,0))="","",INDEX(pr_price,MATCH(B1504,pr_code,0))),""))))</f>
        <v/>
      </c>
      <c r="K1504" s="71" t="str">
        <f>IF(COUNTA(A1504:G1504)=0,"",IF(G1504&lt;&gt;"",G1504,IF(B1504="","",IFERROR(IF(INDEX(pr_rate,MATCH(B1504,pr_code,0))="","",INDEX(pr_rate,MATCH(B1504,pr_code,0))),""))))</f>
        <v/>
      </c>
      <c r="L1504" s="65" t="str">
        <f>IF(COUNTA(A1504:G1504)=0,"",IF(AND(ISNUMBER(D1504),ISNUMBER(J1504)),ROUND(D1504*J1504*(1-N(F1504)),2),0))</f>
        <v/>
      </c>
      <c r="M1504" s="62" t="str">
        <f>IF(A1504="","",IFERROR(INDEX(dv_cname,MATCH(A1504,dv_num,0))&amp;"",""))</f>
        <v/>
      </c>
      <c r="N1504" s="59" t="str">
        <f>IF(COUNTA(A1504:G1504)=0,"",IF(A1504="","N° devis manquant",IF(ISNA(MATCH(A1504,dv_num,0)),"Devis inconnu",IF(AND(B1504&lt;&gt;"",ISNA(MATCH(B1504,pr_code,0))),"Article inconnu",IF(H1504="","Désignation manquante",IF(OR(NOT(ISNUMBER(D1504)),N(D1504)&lt;=0),"Quantité invalide",IF(J1504="","Prix manquant",IF(OR(NOT(ISNUMBER(J1504)),N(J1504)&lt;0),"Prix invalide",IF(OR(AND(F1504&lt;&gt;"",NOT(ISNUMBER(F1504))),N(F1504)&lt;0,N(F1504)&gt;1),"Remise invalide",IF(K1504="","Taux de TVA manquant",IF(NOT(ISNUMBER(K1504)),"Taux de TVA invalide",IF(COUNTIF(p_rates,K1504)=0,"Taux de TVA hors liste (Paramètres)",IF(N(O1504)&gt;25,"Au-delà de 25 lignes : non imprimée","OK")))))))))))))</f>
        <v/>
      </c>
      <c r="O1504" s="59" t="str">
        <f>IF(A1504="","",COUNTIF($A$6:A1504,A1504))</f>
        <v/>
      </c>
      <c r="P1504" s="62" t="str">
        <f>IF(A1504="","",A1504&amp;"|"&amp;O1504)</f>
        <v/>
      </c>
    </row>
    <row r="1505">
      <c r="A1505" s="60" t="n"/>
      <c r="B1505" s="63" t="n"/>
      <c r="C1505" s="63" t="n"/>
      <c r="D1505" s="67" t="n"/>
      <c r="E1505" s="68" t="n"/>
      <c r="F1505" s="69" t="n"/>
      <c r="G1505" s="70" t="n"/>
      <c r="H1505" s="62" t="str">
        <f>IF(COUNTA(A1505:G1505)=0,"",IF(C1505&lt;&gt;"",C1505,IF(B1505="","",IFERROR(INDEX(pr_des,MATCH(B1505,pr_code,0))&amp;"",""))))</f>
        <v/>
      </c>
      <c r="I1505" s="59" t="str">
        <f>IF(B1505="","",IFERROR(INDEX(pr_unit,MATCH(B1505,pr_code,0))&amp;"",""))</f>
        <v/>
      </c>
      <c r="J1505" s="65" t="str">
        <f>IF(COUNTA(A1505:G1505)=0,"",IF(E1505&lt;&gt;"",E1505,IF(B1505="","",IFERROR(IF(INDEX(pr_price,MATCH(B1505,pr_code,0))="","",INDEX(pr_price,MATCH(B1505,pr_code,0))),""))))</f>
        <v/>
      </c>
      <c r="K1505" s="71" t="str">
        <f>IF(COUNTA(A1505:G1505)=0,"",IF(G1505&lt;&gt;"",G1505,IF(B1505="","",IFERROR(IF(INDEX(pr_rate,MATCH(B1505,pr_code,0))="","",INDEX(pr_rate,MATCH(B1505,pr_code,0))),""))))</f>
        <v/>
      </c>
      <c r="L1505" s="65" t="str">
        <f>IF(COUNTA(A1505:G1505)=0,"",IF(AND(ISNUMBER(D1505),ISNUMBER(J1505)),ROUND(D1505*J1505*(1-N(F1505)),2),0))</f>
        <v/>
      </c>
      <c r="M1505" s="62" t="str">
        <f>IF(A1505="","",IFERROR(INDEX(dv_cname,MATCH(A1505,dv_num,0))&amp;"",""))</f>
        <v/>
      </c>
      <c r="N1505" s="59" t="str">
        <f>IF(COUNTA(A1505:G1505)=0,"",IF(A1505="","N° devis manquant",IF(ISNA(MATCH(A1505,dv_num,0)),"Devis inconnu",IF(AND(B1505&lt;&gt;"",ISNA(MATCH(B1505,pr_code,0))),"Article inconnu",IF(H1505="","Désignation manquante",IF(OR(NOT(ISNUMBER(D1505)),N(D1505)&lt;=0),"Quantité invalide",IF(J1505="","Prix manquant",IF(OR(NOT(ISNUMBER(J1505)),N(J1505)&lt;0),"Prix invalide",IF(OR(AND(F1505&lt;&gt;"",NOT(ISNUMBER(F1505))),N(F1505)&lt;0,N(F1505)&gt;1),"Remise invalide",IF(K1505="","Taux de TVA manquant",IF(NOT(ISNUMBER(K1505)),"Taux de TVA invalide",IF(COUNTIF(p_rates,K1505)=0,"Taux de TVA hors liste (Paramètres)",IF(N(O1505)&gt;25,"Au-delà de 25 lignes : non imprimée","OK")))))))))))))</f>
        <v/>
      </c>
      <c r="O1505" s="59" t="str">
        <f>IF(A1505="","",COUNTIF($A$6:A1505,A1505))</f>
        <v/>
      </c>
      <c r="P1505" s="62" t="str">
        <f>IF(A1505="","",A1505&amp;"|"&amp;O1505)</f>
        <v/>
      </c>
    </row>
    <row r="1506">
      <c r="A1506" s="60" t="n"/>
      <c r="B1506" s="63" t="n"/>
      <c r="C1506" s="63" t="n"/>
      <c r="D1506" s="67" t="n"/>
      <c r="E1506" s="68" t="n"/>
      <c r="F1506" s="69" t="n"/>
      <c r="G1506" s="70" t="n"/>
      <c r="H1506" s="62" t="str">
        <f>IF(COUNTA(A1506:G1506)=0,"",IF(C1506&lt;&gt;"",C1506,IF(B1506="","",IFERROR(INDEX(pr_des,MATCH(B1506,pr_code,0))&amp;"",""))))</f>
        <v/>
      </c>
      <c r="I1506" s="59" t="str">
        <f>IF(B1506="","",IFERROR(INDEX(pr_unit,MATCH(B1506,pr_code,0))&amp;"",""))</f>
        <v/>
      </c>
      <c r="J1506" s="65" t="str">
        <f>IF(COUNTA(A1506:G1506)=0,"",IF(E1506&lt;&gt;"",E1506,IF(B1506="","",IFERROR(IF(INDEX(pr_price,MATCH(B1506,pr_code,0))="","",INDEX(pr_price,MATCH(B1506,pr_code,0))),""))))</f>
        <v/>
      </c>
      <c r="K1506" s="71" t="str">
        <f>IF(COUNTA(A1506:G1506)=0,"",IF(G1506&lt;&gt;"",G1506,IF(B1506="","",IFERROR(IF(INDEX(pr_rate,MATCH(B1506,pr_code,0))="","",INDEX(pr_rate,MATCH(B1506,pr_code,0))),""))))</f>
        <v/>
      </c>
      <c r="L1506" s="65" t="str">
        <f>IF(COUNTA(A1506:G1506)=0,"",IF(AND(ISNUMBER(D1506),ISNUMBER(J1506)),ROUND(D1506*J1506*(1-N(F1506)),2),0))</f>
        <v/>
      </c>
      <c r="M1506" s="62" t="str">
        <f>IF(A1506="","",IFERROR(INDEX(dv_cname,MATCH(A1506,dv_num,0))&amp;"",""))</f>
        <v/>
      </c>
      <c r="N1506" s="59" t="str">
        <f>IF(COUNTA(A1506:G1506)=0,"",IF(A1506="","N° devis manquant",IF(ISNA(MATCH(A1506,dv_num,0)),"Devis inconnu",IF(AND(B1506&lt;&gt;"",ISNA(MATCH(B1506,pr_code,0))),"Article inconnu",IF(H1506="","Désignation manquante",IF(OR(NOT(ISNUMBER(D1506)),N(D1506)&lt;=0),"Quantité invalide",IF(J1506="","Prix manquant",IF(OR(NOT(ISNUMBER(J1506)),N(J1506)&lt;0),"Prix invalide",IF(OR(AND(F1506&lt;&gt;"",NOT(ISNUMBER(F1506))),N(F1506)&lt;0,N(F1506)&gt;1),"Remise invalide",IF(K1506="","Taux de TVA manquant",IF(NOT(ISNUMBER(K1506)),"Taux de TVA invalide",IF(COUNTIF(p_rates,K1506)=0,"Taux de TVA hors liste (Paramètres)",IF(N(O1506)&gt;25,"Au-delà de 25 lignes : non imprimée","OK")))))))))))))</f>
        <v/>
      </c>
      <c r="O1506" s="59" t="str">
        <f>IF(A1506="","",COUNTIF($A$6:A1506,A1506))</f>
        <v/>
      </c>
      <c r="P1506" s="62" t="str">
        <f>IF(A1506="","",A1506&amp;"|"&amp;O1506)</f>
        <v/>
      </c>
    </row>
    <row r="1507">
      <c r="A1507" s="60" t="n"/>
      <c r="B1507" s="63" t="n"/>
      <c r="C1507" s="63" t="n"/>
      <c r="D1507" s="67" t="n"/>
      <c r="E1507" s="68" t="n"/>
      <c r="F1507" s="69" t="n"/>
      <c r="G1507" s="70" t="n"/>
      <c r="H1507" s="62" t="str">
        <f>IF(COUNTA(A1507:G1507)=0,"",IF(C1507&lt;&gt;"",C1507,IF(B1507="","",IFERROR(INDEX(pr_des,MATCH(B1507,pr_code,0))&amp;"",""))))</f>
        <v/>
      </c>
      <c r="I1507" s="59" t="str">
        <f>IF(B1507="","",IFERROR(INDEX(pr_unit,MATCH(B1507,pr_code,0))&amp;"",""))</f>
        <v/>
      </c>
      <c r="J1507" s="65" t="str">
        <f>IF(COUNTA(A1507:G1507)=0,"",IF(E1507&lt;&gt;"",E1507,IF(B1507="","",IFERROR(IF(INDEX(pr_price,MATCH(B1507,pr_code,0))="","",INDEX(pr_price,MATCH(B1507,pr_code,0))),""))))</f>
        <v/>
      </c>
      <c r="K1507" s="71" t="str">
        <f>IF(COUNTA(A1507:G1507)=0,"",IF(G1507&lt;&gt;"",G1507,IF(B1507="","",IFERROR(IF(INDEX(pr_rate,MATCH(B1507,pr_code,0))="","",INDEX(pr_rate,MATCH(B1507,pr_code,0))),""))))</f>
        <v/>
      </c>
      <c r="L1507" s="65" t="str">
        <f>IF(COUNTA(A1507:G1507)=0,"",IF(AND(ISNUMBER(D1507),ISNUMBER(J1507)),ROUND(D1507*J1507*(1-N(F1507)),2),0))</f>
        <v/>
      </c>
      <c r="M1507" s="62" t="str">
        <f>IF(A1507="","",IFERROR(INDEX(dv_cname,MATCH(A1507,dv_num,0))&amp;"",""))</f>
        <v/>
      </c>
      <c r="N1507" s="59" t="str">
        <f>IF(COUNTA(A1507:G1507)=0,"",IF(A1507="","N° devis manquant",IF(ISNA(MATCH(A1507,dv_num,0)),"Devis inconnu",IF(AND(B1507&lt;&gt;"",ISNA(MATCH(B1507,pr_code,0))),"Article inconnu",IF(H1507="","Désignation manquante",IF(OR(NOT(ISNUMBER(D1507)),N(D1507)&lt;=0),"Quantité invalide",IF(J1507="","Prix manquant",IF(OR(NOT(ISNUMBER(J1507)),N(J1507)&lt;0),"Prix invalide",IF(OR(AND(F1507&lt;&gt;"",NOT(ISNUMBER(F1507))),N(F1507)&lt;0,N(F1507)&gt;1),"Remise invalide",IF(K1507="","Taux de TVA manquant",IF(NOT(ISNUMBER(K1507)),"Taux de TVA invalide",IF(COUNTIF(p_rates,K1507)=0,"Taux de TVA hors liste (Paramètres)",IF(N(O1507)&gt;25,"Au-delà de 25 lignes : non imprimée","OK")))))))))))))</f>
        <v/>
      </c>
      <c r="O1507" s="59" t="str">
        <f>IF(A1507="","",COUNTIF($A$6:A1507,A1507))</f>
        <v/>
      </c>
      <c r="P1507" s="62" t="str">
        <f>IF(A1507="","",A1507&amp;"|"&amp;O1507)</f>
        <v/>
      </c>
    </row>
    <row r="1508">
      <c r="A1508" s="60" t="n"/>
      <c r="B1508" s="63" t="n"/>
      <c r="C1508" s="63" t="n"/>
      <c r="D1508" s="67" t="n"/>
      <c r="E1508" s="68" t="n"/>
      <c r="F1508" s="69" t="n"/>
      <c r="G1508" s="70" t="n"/>
      <c r="H1508" s="62" t="str">
        <f>IF(COUNTA(A1508:G1508)=0,"",IF(C1508&lt;&gt;"",C1508,IF(B1508="","",IFERROR(INDEX(pr_des,MATCH(B1508,pr_code,0))&amp;"",""))))</f>
        <v/>
      </c>
      <c r="I1508" s="59" t="str">
        <f>IF(B1508="","",IFERROR(INDEX(pr_unit,MATCH(B1508,pr_code,0))&amp;"",""))</f>
        <v/>
      </c>
      <c r="J1508" s="65" t="str">
        <f>IF(COUNTA(A1508:G1508)=0,"",IF(E1508&lt;&gt;"",E1508,IF(B1508="","",IFERROR(IF(INDEX(pr_price,MATCH(B1508,pr_code,0))="","",INDEX(pr_price,MATCH(B1508,pr_code,0))),""))))</f>
        <v/>
      </c>
      <c r="K1508" s="71" t="str">
        <f>IF(COUNTA(A1508:G1508)=0,"",IF(G1508&lt;&gt;"",G1508,IF(B1508="","",IFERROR(IF(INDEX(pr_rate,MATCH(B1508,pr_code,0))="","",INDEX(pr_rate,MATCH(B1508,pr_code,0))),""))))</f>
        <v/>
      </c>
      <c r="L1508" s="65" t="str">
        <f>IF(COUNTA(A1508:G1508)=0,"",IF(AND(ISNUMBER(D1508),ISNUMBER(J1508)),ROUND(D1508*J1508*(1-N(F1508)),2),0))</f>
        <v/>
      </c>
      <c r="M1508" s="62" t="str">
        <f>IF(A1508="","",IFERROR(INDEX(dv_cname,MATCH(A1508,dv_num,0))&amp;"",""))</f>
        <v/>
      </c>
      <c r="N1508" s="59" t="str">
        <f>IF(COUNTA(A1508:G1508)=0,"",IF(A1508="","N° devis manquant",IF(ISNA(MATCH(A1508,dv_num,0)),"Devis inconnu",IF(AND(B1508&lt;&gt;"",ISNA(MATCH(B1508,pr_code,0))),"Article inconnu",IF(H1508="","Désignation manquante",IF(OR(NOT(ISNUMBER(D1508)),N(D1508)&lt;=0),"Quantité invalide",IF(J1508="","Prix manquant",IF(OR(NOT(ISNUMBER(J1508)),N(J1508)&lt;0),"Prix invalide",IF(OR(AND(F1508&lt;&gt;"",NOT(ISNUMBER(F1508))),N(F1508)&lt;0,N(F1508)&gt;1),"Remise invalide",IF(K1508="","Taux de TVA manquant",IF(NOT(ISNUMBER(K1508)),"Taux de TVA invalide",IF(COUNTIF(p_rates,K1508)=0,"Taux de TVA hors liste (Paramètres)",IF(N(O1508)&gt;25,"Au-delà de 25 lignes : non imprimée","OK")))))))))))))</f>
        <v/>
      </c>
      <c r="O1508" s="59" t="str">
        <f>IF(A1508="","",COUNTIF($A$6:A1508,A1508))</f>
        <v/>
      </c>
      <c r="P1508" s="62" t="str">
        <f>IF(A1508="","",A1508&amp;"|"&amp;O1508)</f>
        <v/>
      </c>
    </row>
    <row r="1509">
      <c r="A1509" s="60" t="n"/>
      <c r="B1509" s="63" t="n"/>
      <c r="C1509" s="63" t="n"/>
      <c r="D1509" s="67" t="n"/>
      <c r="E1509" s="68" t="n"/>
      <c r="F1509" s="69" t="n"/>
      <c r="G1509" s="70" t="n"/>
      <c r="H1509" s="62" t="str">
        <f>IF(COUNTA(A1509:G1509)=0,"",IF(C1509&lt;&gt;"",C1509,IF(B1509="","",IFERROR(INDEX(pr_des,MATCH(B1509,pr_code,0))&amp;"",""))))</f>
        <v/>
      </c>
      <c r="I1509" s="59" t="str">
        <f>IF(B1509="","",IFERROR(INDEX(pr_unit,MATCH(B1509,pr_code,0))&amp;"",""))</f>
        <v/>
      </c>
      <c r="J1509" s="65" t="str">
        <f>IF(COUNTA(A1509:G1509)=0,"",IF(E1509&lt;&gt;"",E1509,IF(B1509="","",IFERROR(IF(INDEX(pr_price,MATCH(B1509,pr_code,0))="","",INDEX(pr_price,MATCH(B1509,pr_code,0))),""))))</f>
        <v/>
      </c>
      <c r="K1509" s="71" t="str">
        <f>IF(COUNTA(A1509:G1509)=0,"",IF(G1509&lt;&gt;"",G1509,IF(B1509="","",IFERROR(IF(INDEX(pr_rate,MATCH(B1509,pr_code,0))="","",INDEX(pr_rate,MATCH(B1509,pr_code,0))),""))))</f>
        <v/>
      </c>
      <c r="L1509" s="65" t="str">
        <f>IF(COUNTA(A1509:G1509)=0,"",IF(AND(ISNUMBER(D1509),ISNUMBER(J1509)),ROUND(D1509*J1509*(1-N(F1509)),2),0))</f>
        <v/>
      </c>
      <c r="M1509" s="62" t="str">
        <f>IF(A1509="","",IFERROR(INDEX(dv_cname,MATCH(A1509,dv_num,0))&amp;"",""))</f>
        <v/>
      </c>
      <c r="N1509" s="59" t="str">
        <f>IF(COUNTA(A1509:G1509)=0,"",IF(A1509="","N° devis manquant",IF(ISNA(MATCH(A1509,dv_num,0)),"Devis inconnu",IF(AND(B1509&lt;&gt;"",ISNA(MATCH(B1509,pr_code,0))),"Article inconnu",IF(H1509="","Désignation manquante",IF(OR(NOT(ISNUMBER(D1509)),N(D1509)&lt;=0),"Quantité invalide",IF(J1509="","Prix manquant",IF(OR(NOT(ISNUMBER(J1509)),N(J1509)&lt;0),"Prix invalide",IF(OR(AND(F1509&lt;&gt;"",NOT(ISNUMBER(F1509))),N(F1509)&lt;0,N(F1509)&gt;1),"Remise invalide",IF(K1509="","Taux de TVA manquant",IF(NOT(ISNUMBER(K1509)),"Taux de TVA invalide",IF(COUNTIF(p_rates,K1509)=0,"Taux de TVA hors liste (Paramètres)",IF(N(O1509)&gt;25,"Au-delà de 25 lignes : non imprimée","OK")))))))))))))</f>
        <v/>
      </c>
      <c r="O1509" s="59" t="str">
        <f>IF(A1509="","",COUNTIF($A$6:A1509,A1509))</f>
        <v/>
      </c>
      <c r="P1509" s="62" t="str">
        <f>IF(A1509="","",A1509&amp;"|"&amp;O1509)</f>
        <v/>
      </c>
    </row>
    <row r="1510">
      <c r="A1510" s="60" t="n"/>
      <c r="B1510" s="63" t="n"/>
      <c r="C1510" s="63" t="n"/>
      <c r="D1510" s="67" t="n"/>
      <c r="E1510" s="68" t="n"/>
      <c r="F1510" s="69" t="n"/>
      <c r="G1510" s="70" t="n"/>
      <c r="H1510" s="62" t="str">
        <f>IF(COUNTA(A1510:G1510)=0,"",IF(C1510&lt;&gt;"",C1510,IF(B1510="","",IFERROR(INDEX(pr_des,MATCH(B1510,pr_code,0))&amp;"",""))))</f>
        <v/>
      </c>
      <c r="I1510" s="59" t="str">
        <f>IF(B1510="","",IFERROR(INDEX(pr_unit,MATCH(B1510,pr_code,0))&amp;"",""))</f>
        <v/>
      </c>
      <c r="J1510" s="65" t="str">
        <f>IF(COUNTA(A1510:G1510)=0,"",IF(E1510&lt;&gt;"",E1510,IF(B1510="","",IFERROR(IF(INDEX(pr_price,MATCH(B1510,pr_code,0))="","",INDEX(pr_price,MATCH(B1510,pr_code,0))),""))))</f>
        <v/>
      </c>
      <c r="K1510" s="71" t="str">
        <f>IF(COUNTA(A1510:G1510)=0,"",IF(G1510&lt;&gt;"",G1510,IF(B1510="","",IFERROR(IF(INDEX(pr_rate,MATCH(B1510,pr_code,0))="","",INDEX(pr_rate,MATCH(B1510,pr_code,0))),""))))</f>
        <v/>
      </c>
      <c r="L1510" s="65" t="str">
        <f>IF(COUNTA(A1510:G1510)=0,"",IF(AND(ISNUMBER(D1510),ISNUMBER(J1510)),ROUND(D1510*J1510*(1-N(F1510)),2),0))</f>
        <v/>
      </c>
      <c r="M1510" s="62" t="str">
        <f>IF(A1510="","",IFERROR(INDEX(dv_cname,MATCH(A1510,dv_num,0))&amp;"",""))</f>
        <v/>
      </c>
      <c r="N1510" s="59" t="str">
        <f>IF(COUNTA(A1510:G1510)=0,"",IF(A1510="","N° devis manquant",IF(ISNA(MATCH(A1510,dv_num,0)),"Devis inconnu",IF(AND(B1510&lt;&gt;"",ISNA(MATCH(B1510,pr_code,0))),"Article inconnu",IF(H1510="","Désignation manquante",IF(OR(NOT(ISNUMBER(D1510)),N(D1510)&lt;=0),"Quantité invalide",IF(J1510="","Prix manquant",IF(OR(NOT(ISNUMBER(J1510)),N(J1510)&lt;0),"Prix invalide",IF(OR(AND(F1510&lt;&gt;"",NOT(ISNUMBER(F1510))),N(F1510)&lt;0,N(F1510)&gt;1),"Remise invalide",IF(K1510="","Taux de TVA manquant",IF(NOT(ISNUMBER(K1510)),"Taux de TVA invalide",IF(COUNTIF(p_rates,K1510)=0,"Taux de TVA hors liste (Paramètres)",IF(N(O1510)&gt;25,"Au-delà de 25 lignes : non imprimée","OK")))))))))))))</f>
        <v/>
      </c>
      <c r="O1510" s="59" t="str">
        <f>IF(A1510="","",COUNTIF($A$6:A1510,A1510))</f>
        <v/>
      </c>
      <c r="P1510" s="62" t="str">
        <f>IF(A1510="","",A1510&amp;"|"&amp;O1510)</f>
        <v/>
      </c>
    </row>
    <row r="1511">
      <c r="A1511" s="60" t="n"/>
      <c r="B1511" s="63" t="n"/>
      <c r="C1511" s="63" t="n"/>
      <c r="D1511" s="67" t="n"/>
      <c r="E1511" s="68" t="n"/>
      <c r="F1511" s="69" t="n"/>
      <c r="G1511" s="70" t="n"/>
      <c r="H1511" s="62" t="str">
        <f>IF(COUNTA(A1511:G1511)=0,"",IF(C1511&lt;&gt;"",C1511,IF(B1511="","",IFERROR(INDEX(pr_des,MATCH(B1511,pr_code,0))&amp;"",""))))</f>
        <v/>
      </c>
      <c r="I1511" s="59" t="str">
        <f>IF(B1511="","",IFERROR(INDEX(pr_unit,MATCH(B1511,pr_code,0))&amp;"",""))</f>
        <v/>
      </c>
      <c r="J1511" s="65" t="str">
        <f>IF(COUNTA(A1511:G1511)=0,"",IF(E1511&lt;&gt;"",E1511,IF(B1511="","",IFERROR(IF(INDEX(pr_price,MATCH(B1511,pr_code,0))="","",INDEX(pr_price,MATCH(B1511,pr_code,0))),""))))</f>
        <v/>
      </c>
      <c r="K1511" s="71" t="str">
        <f>IF(COUNTA(A1511:G1511)=0,"",IF(G1511&lt;&gt;"",G1511,IF(B1511="","",IFERROR(IF(INDEX(pr_rate,MATCH(B1511,pr_code,0))="","",INDEX(pr_rate,MATCH(B1511,pr_code,0))),""))))</f>
        <v/>
      </c>
      <c r="L1511" s="65" t="str">
        <f>IF(COUNTA(A1511:G1511)=0,"",IF(AND(ISNUMBER(D1511),ISNUMBER(J1511)),ROUND(D1511*J1511*(1-N(F1511)),2),0))</f>
        <v/>
      </c>
      <c r="M1511" s="62" t="str">
        <f>IF(A1511="","",IFERROR(INDEX(dv_cname,MATCH(A1511,dv_num,0))&amp;"",""))</f>
        <v/>
      </c>
      <c r="N1511" s="59" t="str">
        <f>IF(COUNTA(A1511:G1511)=0,"",IF(A1511="","N° devis manquant",IF(ISNA(MATCH(A1511,dv_num,0)),"Devis inconnu",IF(AND(B1511&lt;&gt;"",ISNA(MATCH(B1511,pr_code,0))),"Article inconnu",IF(H1511="","Désignation manquante",IF(OR(NOT(ISNUMBER(D1511)),N(D1511)&lt;=0),"Quantité invalide",IF(J1511="","Prix manquant",IF(OR(NOT(ISNUMBER(J1511)),N(J1511)&lt;0),"Prix invalide",IF(OR(AND(F1511&lt;&gt;"",NOT(ISNUMBER(F1511))),N(F1511)&lt;0,N(F1511)&gt;1),"Remise invalide",IF(K1511="","Taux de TVA manquant",IF(NOT(ISNUMBER(K1511)),"Taux de TVA invalide",IF(COUNTIF(p_rates,K1511)=0,"Taux de TVA hors liste (Paramètres)",IF(N(O1511)&gt;25,"Au-delà de 25 lignes : non imprimée","OK")))))))))))))</f>
        <v/>
      </c>
      <c r="O1511" s="59" t="str">
        <f>IF(A1511="","",COUNTIF($A$6:A1511,A1511))</f>
        <v/>
      </c>
      <c r="P1511" s="62" t="str">
        <f>IF(A1511="","",A1511&amp;"|"&amp;O1511)</f>
        <v/>
      </c>
    </row>
    <row r="1512">
      <c r="A1512" s="60" t="n"/>
      <c r="B1512" s="63" t="n"/>
      <c r="C1512" s="63" t="n"/>
      <c r="D1512" s="67" t="n"/>
      <c r="E1512" s="68" t="n"/>
      <c r="F1512" s="69" t="n"/>
      <c r="G1512" s="70" t="n"/>
      <c r="H1512" s="62" t="str">
        <f>IF(COUNTA(A1512:G1512)=0,"",IF(C1512&lt;&gt;"",C1512,IF(B1512="","",IFERROR(INDEX(pr_des,MATCH(B1512,pr_code,0))&amp;"",""))))</f>
        <v/>
      </c>
      <c r="I1512" s="59" t="str">
        <f>IF(B1512="","",IFERROR(INDEX(pr_unit,MATCH(B1512,pr_code,0))&amp;"",""))</f>
        <v/>
      </c>
      <c r="J1512" s="65" t="str">
        <f>IF(COUNTA(A1512:G1512)=0,"",IF(E1512&lt;&gt;"",E1512,IF(B1512="","",IFERROR(IF(INDEX(pr_price,MATCH(B1512,pr_code,0))="","",INDEX(pr_price,MATCH(B1512,pr_code,0))),""))))</f>
        <v/>
      </c>
      <c r="K1512" s="71" t="str">
        <f>IF(COUNTA(A1512:G1512)=0,"",IF(G1512&lt;&gt;"",G1512,IF(B1512="","",IFERROR(IF(INDEX(pr_rate,MATCH(B1512,pr_code,0))="","",INDEX(pr_rate,MATCH(B1512,pr_code,0))),""))))</f>
        <v/>
      </c>
      <c r="L1512" s="65" t="str">
        <f>IF(COUNTA(A1512:G1512)=0,"",IF(AND(ISNUMBER(D1512),ISNUMBER(J1512)),ROUND(D1512*J1512*(1-N(F1512)),2),0))</f>
        <v/>
      </c>
      <c r="M1512" s="62" t="str">
        <f>IF(A1512="","",IFERROR(INDEX(dv_cname,MATCH(A1512,dv_num,0))&amp;"",""))</f>
        <v/>
      </c>
      <c r="N1512" s="59" t="str">
        <f>IF(COUNTA(A1512:G1512)=0,"",IF(A1512="","N° devis manquant",IF(ISNA(MATCH(A1512,dv_num,0)),"Devis inconnu",IF(AND(B1512&lt;&gt;"",ISNA(MATCH(B1512,pr_code,0))),"Article inconnu",IF(H1512="","Désignation manquante",IF(OR(NOT(ISNUMBER(D1512)),N(D1512)&lt;=0),"Quantité invalide",IF(J1512="","Prix manquant",IF(OR(NOT(ISNUMBER(J1512)),N(J1512)&lt;0),"Prix invalide",IF(OR(AND(F1512&lt;&gt;"",NOT(ISNUMBER(F1512))),N(F1512)&lt;0,N(F1512)&gt;1),"Remise invalide",IF(K1512="","Taux de TVA manquant",IF(NOT(ISNUMBER(K1512)),"Taux de TVA invalide",IF(COUNTIF(p_rates,K1512)=0,"Taux de TVA hors liste (Paramètres)",IF(N(O1512)&gt;25,"Au-delà de 25 lignes : non imprimée","OK")))))))))))))</f>
        <v/>
      </c>
      <c r="O1512" s="59" t="str">
        <f>IF(A1512="","",COUNTIF($A$6:A1512,A1512))</f>
        <v/>
      </c>
      <c r="P1512" s="62" t="str">
        <f>IF(A1512="","",A1512&amp;"|"&amp;O1512)</f>
        <v/>
      </c>
    </row>
    <row r="1513">
      <c r="A1513" s="60" t="n"/>
      <c r="B1513" s="63" t="n"/>
      <c r="C1513" s="63" t="n"/>
      <c r="D1513" s="67" t="n"/>
      <c r="E1513" s="68" t="n"/>
      <c r="F1513" s="69" t="n"/>
      <c r="G1513" s="70" t="n"/>
      <c r="H1513" s="62" t="str">
        <f>IF(COUNTA(A1513:G1513)=0,"",IF(C1513&lt;&gt;"",C1513,IF(B1513="","",IFERROR(INDEX(pr_des,MATCH(B1513,pr_code,0))&amp;"",""))))</f>
        <v/>
      </c>
      <c r="I1513" s="59" t="str">
        <f>IF(B1513="","",IFERROR(INDEX(pr_unit,MATCH(B1513,pr_code,0))&amp;"",""))</f>
        <v/>
      </c>
      <c r="J1513" s="65" t="str">
        <f>IF(COUNTA(A1513:G1513)=0,"",IF(E1513&lt;&gt;"",E1513,IF(B1513="","",IFERROR(IF(INDEX(pr_price,MATCH(B1513,pr_code,0))="","",INDEX(pr_price,MATCH(B1513,pr_code,0))),""))))</f>
        <v/>
      </c>
      <c r="K1513" s="71" t="str">
        <f>IF(COUNTA(A1513:G1513)=0,"",IF(G1513&lt;&gt;"",G1513,IF(B1513="","",IFERROR(IF(INDEX(pr_rate,MATCH(B1513,pr_code,0))="","",INDEX(pr_rate,MATCH(B1513,pr_code,0))),""))))</f>
        <v/>
      </c>
      <c r="L1513" s="65" t="str">
        <f>IF(COUNTA(A1513:G1513)=0,"",IF(AND(ISNUMBER(D1513),ISNUMBER(J1513)),ROUND(D1513*J1513*(1-N(F1513)),2),0))</f>
        <v/>
      </c>
      <c r="M1513" s="62" t="str">
        <f>IF(A1513="","",IFERROR(INDEX(dv_cname,MATCH(A1513,dv_num,0))&amp;"",""))</f>
        <v/>
      </c>
      <c r="N1513" s="59" t="str">
        <f>IF(COUNTA(A1513:G1513)=0,"",IF(A1513="","N° devis manquant",IF(ISNA(MATCH(A1513,dv_num,0)),"Devis inconnu",IF(AND(B1513&lt;&gt;"",ISNA(MATCH(B1513,pr_code,0))),"Article inconnu",IF(H1513="","Désignation manquante",IF(OR(NOT(ISNUMBER(D1513)),N(D1513)&lt;=0),"Quantité invalide",IF(J1513="","Prix manquant",IF(OR(NOT(ISNUMBER(J1513)),N(J1513)&lt;0),"Prix invalide",IF(OR(AND(F1513&lt;&gt;"",NOT(ISNUMBER(F1513))),N(F1513)&lt;0,N(F1513)&gt;1),"Remise invalide",IF(K1513="","Taux de TVA manquant",IF(NOT(ISNUMBER(K1513)),"Taux de TVA invalide",IF(COUNTIF(p_rates,K1513)=0,"Taux de TVA hors liste (Paramètres)",IF(N(O1513)&gt;25,"Au-delà de 25 lignes : non imprimée","OK")))))))))))))</f>
        <v/>
      </c>
      <c r="O1513" s="59" t="str">
        <f>IF(A1513="","",COUNTIF($A$6:A1513,A1513))</f>
        <v/>
      </c>
      <c r="P1513" s="62" t="str">
        <f>IF(A1513="","",A1513&amp;"|"&amp;O1513)</f>
        <v/>
      </c>
    </row>
    <row r="1514">
      <c r="A1514" s="60" t="n"/>
      <c r="B1514" s="63" t="n"/>
      <c r="C1514" s="63" t="n"/>
      <c r="D1514" s="67" t="n"/>
      <c r="E1514" s="68" t="n"/>
      <c r="F1514" s="69" t="n"/>
      <c r="G1514" s="70" t="n"/>
      <c r="H1514" s="62" t="str">
        <f>IF(COUNTA(A1514:G1514)=0,"",IF(C1514&lt;&gt;"",C1514,IF(B1514="","",IFERROR(INDEX(pr_des,MATCH(B1514,pr_code,0))&amp;"",""))))</f>
        <v/>
      </c>
      <c r="I1514" s="59" t="str">
        <f>IF(B1514="","",IFERROR(INDEX(pr_unit,MATCH(B1514,pr_code,0))&amp;"",""))</f>
        <v/>
      </c>
      <c r="J1514" s="65" t="str">
        <f>IF(COUNTA(A1514:G1514)=0,"",IF(E1514&lt;&gt;"",E1514,IF(B1514="","",IFERROR(IF(INDEX(pr_price,MATCH(B1514,pr_code,0))="","",INDEX(pr_price,MATCH(B1514,pr_code,0))),""))))</f>
        <v/>
      </c>
      <c r="K1514" s="71" t="str">
        <f>IF(COUNTA(A1514:G1514)=0,"",IF(G1514&lt;&gt;"",G1514,IF(B1514="","",IFERROR(IF(INDEX(pr_rate,MATCH(B1514,pr_code,0))="","",INDEX(pr_rate,MATCH(B1514,pr_code,0))),""))))</f>
        <v/>
      </c>
      <c r="L1514" s="65" t="str">
        <f>IF(COUNTA(A1514:G1514)=0,"",IF(AND(ISNUMBER(D1514),ISNUMBER(J1514)),ROUND(D1514*J1514*(1-N(F1514)),2),0))</f>
        <v/>
      </c>
      <c r="M1514" s="62" t="str">
        <f>IF(A1514="","",IFERROR(INDEX(dv_cname,MATCH(A1514,dv_num,0))&amp;"",""))</f>
        <v/>
      </c>
      <c r="N1514" s="59" t="str">
        <f>IF(COUNTA(A1514:G1514)=0,"",IF(A1514="","N° devis manquant",IF(ISNA(MATCH(A1514,dv_num,0)),"Devis inconnu",IF(AND(B1514&lt;&gt;"",ISNA(MATCH(B1514,pr_code,0))),"Article inconnu",IF(H1514="","Désignation manquante",IF(OR(NOT(ISNUMBER(D1514)),N(D1514)&lt;=0),"Quantité invalide",IF(J1514="","Prix manquant",IF(OR(NOT(ISNUMBER(J1514)),N(J1514)&lt;0),"Prix invalide",IF(OR(AND(F1514&lt;&gt;"",NOT(ISNUMBER(F1514))),N(F1514)&lt;0,N(F1514)&gt;1),"Remise invalide",IF(K1514="","Taux de TVA manquant",IF(NOT(ISNUMBER(K1514)),"Taux de TVA invalide",IF(COUNTIF(p_rates,K1514)=0,"Taux de TVA hors liste (Paramètres)",IF(N(O1514)&gt;25,"Au-delà de 25 lignes : non imprimée","OK")))))))))))))</f>
        <v/>
      </c>
      <c r="O1514" s="59" t="str">
        <f>IF(A1514="","",COUNTIF($A$6:A1514,A1514))</f>
        <v/>
      </c>
      <c r="P1514" s="62" t="str">
        <f>IF(A1514="","",A1514&amp;"|"&amp;O1514)</f>
        <v/>
      </c>
    </row>
    <row r="1515">
      <c r="A1515" s="60" t="n"/>
      <c r="B1515" s="63" t="n"/>
      <c r="C1515" s="63" t="n"/>
      <c r="D1515" s="67" t="n"/>
      <c r="E1515" s="68" t="n"/>
      <c r="F1515" s="69" t="n"/>
      <c r="G1515" s="70" t="n"/>
      <c r="H1515" s="62" t="str">
        <f>IF(COUNTA(A1515:G1515)=0,"",IF(C1515&lt;&gt;"",C1515,IF(B1515="","",IFERROR(INDEX(pr_des,MATCH(B1515,pr_code,0))&amp;"",""))))</f>
        <v/>
      </c>
      <c r="I1515" s="59" t="str">
        <f>IF(B1515="","",IFERROR(INDEX(pr_unit,MATCH(B1515,pr_code,0))&amp;"",""))</f>
        <v/>
      </c>
      <c r="J1515" s="65" t="str">
        <f>IF(COUNTA(A1515:G1515)=0,"",IF(E1515&lt;&gt;"",E1515,IF(B1515="","",IFERROR(IF(INDEX(pr_price,MATCH(B1515,pr_code,0))="","",INDEX(pr_price,MATCH(B1515,pr_code,0))),""))))</f>
        <v/>
      </c>
      <c r="K1515" s="71" t="str">
        <f>IF(COUNTA(A1515:G1515)=0,"",IF(G1515&lt;&gt;"",G1515,IF(B1515="","",IFERROR(IF(INDEX(pr_rate,MATCH(B1515,pr_code,0))="","",INDEX(pr_rate,MATCH(B1515,pr_code,0))),""))))</f>
        <v/>
      </c>
      <c r="L1515" s="65" t="str">
        <f>IF(COUNTA(A1515:G1515)=0,"",IF(AND(ISNUMBER(D1515),ISNUMBER(J1515)),ROUND(D1515*J1515*(1-N(F1515)),2),0))</f>
        <v/>
      </c>
      <c r="M1515" s="62" t="str">
        <f>IF(A1515="","",IFERROR(INDEX(dv_cname,MATCH(A1515,dv_num,0))&amp;"",""))</f>
        <v/>
      </c>
      <c r="N1515" s="59" t="str">
        <f>IF(COUNTA(A1515:G1515)=0,"",IF(A1515="","N° devis manquant",IF(ISNA(MATCH(A1515,dv_num,0)),"Devis inconnu",IF(AND(B1515&lt;&gt;"",ISNA(MATCH(B1515,pr_code,0))),"Article inconnu",IF(H1515="","Désignation manquante",IF(OR(NOT(ISNUMBER(D1515)),N(D1515)&lt;=0),"Quantité invalide",IF(J1515="","Prix manquant",IF(OR(NOT(ISNUMBER(J1515)),N(J1515)&lt;0),"Prix invalide",IF(OR(AND(F1515&lt;&gt;"",NOT(ISNUMBER(F1515))),N(F1515)&lt;0,N(F1515)&gt;1),"Remise invalide",IF(K1515="","Taux de TVA manquant",IF(NOT(ISNUMBER(K1515)),"Taux de TVA invalide",IF(COUNTIF(p_rates,K1515)=0,"Taux de TVA hors liste (Paramètres)",IF(N(O1515)&gt;25,"Au-delà de 25 lignes : non imprimée","OK")))))))))))))</f>
        <v/>
      </c>
      <c r="O1515" s="59" t="str">
        <f>IF(A1515="","",COUNTIF($A$6:A1515,A1515))</f>
        <v/>
      </c>
      <c r="P1515" s="62" t="str">
        <f>IF(A1515="","",A1515&amp;"|"&amp;O1515)</f>
        <v/>
      </c>
    </row>
    <row r="1516">
      <c r="A1516" s="60" t="n"/>
      <c r="B1516" s="63" t="n"/>
      <c r="C1516" s="63" t="n"/>
      <c r="D1516" s="67" t="n"/>
      <c r="E1516" s="68" t="n"/>
      <c r="F1516" s="69" t="n"/>
      <c r="G1516" s="70" t="n"/>
      <c r="H1516" s="62" t="str">
        <f>IF(COUNTA(A1516:G1516)=0,"",IF(C1516&lt;&gt;"",C1516,IF(B1516="","",IFERROR(INDEX(pr_des,MATCH(B1516,pr_code,0))&amp;"",""))))</f>
        <v/>
      </c>
      <c r="I1516" s="59" t="str">
        <f>IF(B1516="","",IFERROR(INDEX(pr_unit,MATCH(B1516,pr_code,0))&amp;"",""))</f>
        <v/>
      </c>
      <c r="J1516" s="65" t="str">
        <f>IF(COUNTA(A1516:G1516)=0,"",IF(E1516&lt;&gt;"",E1516,IF(B1516="","",IFERROR(IF(INDEX(pr_price,MATCH(B1516,pr_code,0))="","",INDEX(pr_price,MATCH(B1516,pr_code,0))),""))))</f>
        <v/>
      </c>
      <c r="K1516" s="71" t="str">
        <f>IF(COUNTA(A1516:G1516)=0,"",IF(G1516&lt;&gt;"",G1516,IF(B1516="","",IFERROR(IF(INDEX(pr_rate,MATCH(B1516,pr_code,0))="","",INDEX(pr_rate,MATCH(B1516,pr_code,0))),""))))</f>
        <v/>
      </c>
      <c r="L1516" s="65" t="str">
        <f>IF(COUNTA(A1516:G1516)=0,"",IF(AND(ISNUMBER(D1516),ISNUMBER(J1516)),ROUND(D1516*J1516*(1-N(F1516)),2),0))</f>
        <v/>
      </c>
      <c r="M1516" s="62" t="str">
        <f>IF(A1516="","",IFERROR(INDEX(dv_cname,MATCH(A1516,dv_num,0))&amp;"",""))</f>
        <v/>
      </c>
      <c r="N1516" s="59" t="str">
        <f>IF(COUNTA(A1516:G1516)=0,"",IF(A1516="","N° devis manquant",IF(ISNA(MATCH(A1516,dv_num,0)),"Devis inconnu",IF(AND(B1516&lt;&gt;"",ISNA(MATCH(B1516,pr_code,0))),"Article inconnu",IF(H1516="","Désignation manquante",IF(OR(NOT(ISNUMBER(D1516)),N(D1516)&lt;=0),"Quantité invalide",IF(J1516="","Prix manquant",IF(OR(NOT(ISNUMBER(J1516)),N(J1516)&lt;0),"Prix invalide",IF(OR(AND(F1516&lt;&gt;"",NOT(ISNUMBER(F1516))),N(F1516)&lt;0,N(F1516)&gt;1),"Remise invalide",IF(K1516="","Taux de TVA manquant",IF(NOT(ISNUMBER(K1516)),"Taux de TVA invalide",IF(COUNTIF(p_rates,K1516)=0,"Taux de TVA hors liste (Paramètres)",IF(N(O1516)&gt;25,"Au-delà de 25 lignes : non imprimée","OK")))))))))))))</f>
        <v/>
      </c>
      <c r="O1516" s="59" t="str">
        <f>IF(A1516="","",COUNTIF($A$6:A1516,A1516))</f>
        <v/>
      </c>
      <c r="P1516" s="62" t="str">
        <f>IF(A1516="","",A1516&amp;"|"&amp;O1516)</f>
        <v/>
      </c>
    </row>
    <row r="1517">
      <c r="A1517" s="60" t="n"/>
      <c r="B1517" s="63" t="n"/>
      <c r="C1517" s="63" t="n"/>
      <c r="D1517" s="67" t="n"/>
      <c r="E1517" s="68" t="n"/>
      <c r="F1517" s="69" t="n"/>
      <c r="G1517" s="70" t="n"/>
      <c r="H1517" s="62" t="str">
        <f>IF(COUNTA(A1517:G1517)=0,"",IF(C1517&lt;&gt;"",C1517,IF(B1517="","",IFERROR(INDEX(pr_des,MATCH(B1517,pr_code,0))&amp;"",""))))</f>
        <v/>
      </c>
      <c r="I1517" s="59" t="str">
        <f>IF(B1517="","",IFERROR(INDEX(pr_unit,MATCH(B1517,pr_code,0))&amp;"",""))</f>
        <v/>
      </c>
      <c r="J1517" s="65" t="str">
        <f>IF(COUNTA(A1517:G1517)=0,"",IF(E1517&lt;&gt;"",E1517,IF(B1517="","",IFERROR(IF(INDEX(pr_price,MATCH(B1517,pr_code,0))="","",INDEX(pr_price,MATCH(B1517,pr_code,0))),""))))</f>
        <v/>
      </c>
      <c r="K1517" s="71" t="str">
        <f>IF(COUNTA(A1517:G1517)=0,"",IF(G1517&lt;&gt;"",G1517,IF(B1517="","",IFERROR(IF(INDEX(pr_rate,MATCH(B1517,pr_code,0))="","",INDEX(pr_rate,MATCH(B1517,pr_code,0))),""))))</f>
        <v/>
      </c>
      <c r="L1517" s="65" t="str">
        <f>IF(COUNTA(A1517:G1517)=0,"",IF(AND(ISNUMBER(D1517),ISNUMBER(J1517)),ROUND(D1517*J1517*(1-N(F1517)),2),0))</f>
        <v/>
      </c>
      <c r="M1517" s="62" t="str">
        <f>IF(A1517="","",IFERROR(INDEX(dv_cname,MATCH(A1517,dv_num,0))&amp;"",""))</f>
        <v/>
      </c>
      <c r="N1517" s="59" t="str">
        <f>IF(COUNTA(A1517:G1517)=0,"",IF(A1517="","N° devis manquant",IF(ISNA(MATCH(A1517,dv_num,0)),"Devis inconnu",IF(AND(B1517&lt;&gt;"",ISNA(MATCH(B1517,pr_code,0))),"Article inconnu",IF(H1517="","Désignation manquante",IF(OR(NOT(ISNUMBER(D1517)),N(D1517)&lt;=0),"Quantité invalide",IF(J1517="","Prix manquant",IF(OR(NOT(ISNUMBER(J1517)),N(J1517)&lt;0),"Prix invalide",IF(OR(AND(F1517&lt;&gt;"",NOT(ISNUMBER(F1517))),N(F1517)&lt;0,N(F1517)&gt;1),"Remise invalide",IF(K1517="","Taux de TVA manquant",IF(NOT(ISNUMBER(K1517)),"Taux de TVA invalide",IF(COUNTIF(p_rates,K1517)=0,"Taux de TVA hors liste (Paramètres)",IF(N(O1517)&gt;25,"Au-delà de 25 lignes : non imprimée","OK")))))))))))))</f>
        <v/>
      </c>
      <c r="O1517" s="59" t="str">
        <f>IF(A1517="","",COUNTIF($A$6:A1517,A1517))</f>
        <v/>
      </c>
      <c r="P1517" s="62" t="str">
        <f>IF(A1517="","",A1517&amp;"|"&amp;O1517)</f>
        <v/>
      </c>
    </row>
    <row r="1518">
      <c r="A1518" s="60" t="n"/>
      <c r="B1518" s="63" t="n"/>
      <c r="C1518" s="63" t="n"/>
      <c r="D1518" s="67" t="n"/>
      <c r="E1518" s="68" t="n"/>
      <c r="F1518" s="69" t="n"/>
      <c r="G1518" s="70" t="n"/>
      <c r="H1518" s="62" t="str">
        <f>IF(COUNTA(A1518:G1518)=0,"",IF(C1518&lt;&gt;"",C1518,IF(B1518="","",IFERROR(INDEX(pr_des,MATCH(B1518,pr_code,0))&amp;"",""))))</f>
        <v/>
      </c>
      <c r="I1518" s="59" t="str">
        <f>IF(B1518="","",IFERROR(INDEX(pr_unit,MATCH(B1518,pr_code,0))&amp;"",""))</f>
        <v/>
      </c>
      <c r="J1518" s="65" t="str">
        <f>IF(COUNTA(A1518:G1518)=0,"",IF(E1518&lt;&gt;"",E1518,IF(B1518="","",IFERROR(IF(INDEX(pr_price,MATCH(B1518,pr_code,0))="","",INDEX(pr_price,MATCH(B1518,pr_code,0))),""))))</f>
        <v/>
      </c>
      <c r="K1518" s="71" t="str">
        <f>IF(COUNTA(A1518:G1518)=0,"",IF(G1518&lt;&gt;"",G1518,IF(B1518="","",IFERROR(IF(INDEX(pr_rate,MATCH(B1518,pr_code,0))="","",INDEX(pr_rate,MATCH(B1518,pr_code,0))),""))))</f>
        <v/>
      </c>
      <c r="L1518" s="65" t="str">
        <f>IF(COUNTA(A1518:G1518)=0,"",IF(AND(ISNUMBER(D1518),ISNUMBER(J1518)),ROUND(D1518*J1518*(1-N(F1518)),2),0))</f>
        <v/>
      </c>
      <c r="M1518" s="62" t="str">
        <f>IF(A1518="","",IFERROR(INDEX(dv_cname,MATCH(A1518,dv_num,0))&amp;"",""))</f>
        <v/>
      </c>
      <c r="N1518" s="59" t="str">
        <f>IF(COUNTA(A1518:G1518)=0,"",IF(A1518="","N° devis manquant",IF(ISNA(MATCH(A1518,dv_num,0)),"Devis inconnu",IF(AND(B1518&lt;&gt;"",ISNA(MATCH(B1518,pr_code,0))),"Article inconnu",IF(H1518="","Désignation manquante",IF(OR(NOT(ISNUMBER(D1518)),N(D1518)&lt;=0),"Quantité invalide",IF(J1518="","Prix manquant",IF(OR(NOT(ISNUMBER(J1518)),N(J1518)&lt;0),"Prix invalide",IF(OR(AND(F1518&lt;&gt;"",NOT(ISNUMBER(F1518))),N(F1518)&lt;0,N(F1518)&gt;1),"Remise invalide",IF(K1518="","Taux de TVA manquant",IF(NOT(ISNUMBER(K1518)),"Taux de TVA invalide",IF(COUNTIF(p_rates,K1518)=0,"Taux de TVA hors liste (Paramètres)",IF(N(O1518)&gt;25,"Au-delà de 25 lignes : non imprimée","OK")))))))))))))</f>
        <v/>
      </c>
      <c r="O1518" s="59" t="str">
        <f>IF(A1518="","",COUNTIF($A$6:A1518,A1518))</f>
        <v/>
      </c>
      <c r="P1518" s="62" t="str">
        <f>IF(A1518="","",A1518&amp;"|"&amp;O1518)</f>
        <v/>
      </c>
    </row>
    <row r="1519">
      <c r="A1519" s="60" t="n"/>
      <c r="B1519" s="63" t="n"/>
      <c r="C1519" s="63" t="n"/>
      <c r="D1519" s="67" t="n"/>
      <c r="E1519" s="68" t="n"/>
      <c r="F1519" s="69" t="n"/>
      <c r="G1519" s="70" t="n"/>
      <c r="H1519" s="62" t="str">
        <f>IF(COUNTA(A1519:G1519)=0,"",IF(C1519&lt;&gt;"",C1519,IF(B1519="","",IFERROR(INDEX(pr_des,MATCH(B1519,pr_code,0))&amp;"",""))))</f>
        <v/>
      </c>
      <c r="I1519" s="59" t="str">
        <f>IF(B1519="","",IFERROR(INDEX(pr_unit,MATCH(B1519,pr_code,0))&amp;"",""))</f>
        <v/>
      </c>
      <c r="J1519" s="65" t="str">
        <f>IF(COUNTA(A1519:G1519)=0,"",IF(E1519&lt;&gt;"",E1519,IF(B1519="","",IFERROR(IF(INDEX(pr_price,MATCH(B1519,pr_code,0))="","",INDEX(pr_price,MATCH(B1519,pr_code,0))),""))))</f>
        <v/>
      </c>
      <c r="K1519" s="71" t="str">
        <f>IF(COUNTA(A1519:G1519)=0,"",IF(G1519&lt;&gt;"",G1519,IF(B1519="","",IFERROR(IF(INDEX(pr_rate,MATCH(B1519,pr_code,0))="","",INDEX(pr_rate,MATCH(B1519,pr_code,0))),""))))</f>
        <v/>
      </c>
      <c r="L1519" s="65" t="str">
        <f>IF(COUNTA(A1519:G1519)=0,"",IF(AND(ISNUMBER(D1519),ISNUMBER(J1519)),ROUND(D1519*J1519*(1-N(F1519)),2),0))</f>
        <v/>
      </c>
      <c r="M1519" s="62" t="str">
        <f>IF(A1519="","",IFERROR(INDEX(dv_cname,MATCH(A1519,dv_num,0))&amp;"",""))</f>
        <v/>
      </c>
      <c r="N1519" s="59" t="str">
        <f>IF(COUNTA(A1519:G1519)=0,"",IF(A1519="","N° devis manquant",IF(ISNA(MATCH(A1519,dv_num,0)),"Devis inconnu",IF(AND(B1519&lt;&gt;"",ISNA(MATCH(B1519,pr_code,0))),"Article inconnu",IF(H1519="","Désignation manquante",IF(OR(NOT(ISNUMBER(D1519)),N(D1519)&lt;=0),"Quantité invalide",IF(J1519="","Prix manquant",IF(OR(NOT(ISNUMBER(J1519)),N(J1519)&lt;0),"Prix invalide",IF(OR(AND(F1519&lt;&gt;"",NOT(ISNUMBER(F1519))),N(F1519)&lt;0,N(F1519)&gt;1),"Remise invalide",IF(K1519="","Taux de TVA manquant",IF(NOT(ISNUMBER(K1519)),"Taux de TVA invalide",IF(COUNTIF(p_rates,K1519)=0,"Taux de TVA hors liste (Paramètres)",IF(N(O1519)&gt;25,"Au-delà de 25 lignes : non imprimée","OK")))))))))))))</f>
        <v/>
      </c>
      <c r="O1519" s="59" t="str">
        <f>IF(A1519="","",COUNTIF($A$6:A1519,A1519))</f>
        <v/>
      </c>
      <c r="P1519" s="62" t="str">
        <f>IF(A1519="","",A1519&amp;"|"&amp;O1519)</f>
        <v/>
      </c>
    </row>
    <row r="1520">
      <c r="A1520" s="60" t="n"/>
      <c r="B1520" s="63" t="n"/>
      <c r="C1520" s="63" t="n"/>
      <c r="D1520" s="67" t="n"/>
      <c r="E1520" s="68" t="n"/>
      <c r="F1520" s="69" t="n"/>
      <c r="G1520" s="70" t="n"/>
      <c r="H1520" s="62" t="str">
        <f>IF(COUNTA(A1520:G1520)=0,"",IF(C1520&lt;&gt;"",C1520,IF(B1520="","",IFERROR(INDEX(pr_des,MATCH(B1520,pr_code,0))&amp;"",""))))</f>
        <v/>
      </c>
      <c r="I1520" s="59" t="str">
        <f>IF(B1520="","",IFERROR(INDEX(pr_unit,MATCH(B1520,pr_code,0))&amp;"",""))</f>
        <v/>
      </c>
      <c r="J1520" s="65" t="str">
        <f>IF(COUNTA(A1520:G1520)=0,"",IF(E1520&lt;&gt;"",E1520,IF(B1520="","",IFERROR(IF(INDEX(pr_price,MATCH(B1520,pr_code,0))="","",INDEX(pr_price,MATCH(B1520,pr_code,0))),""))))</f>
        <v/>
      </c>
      <c r="K1520" s="71" t="str">
        <f>IF(COUNTA(A1520:G1520)=0,"",IF(G1520&lt;&gt;"",G1520,IF(B1520="","",IFERROR(IF(INDEX(pr_rate,MATCH(B1520,pr_code,0))="","",INDEX(pr_rate,MATCH(B1520,pr_code,0))),""))))</f>
        <v/>
      </c>
      <c r="L1520" s="65" t="str">
        <f>IF(COUNTA(A1520:G1520)=0,"",IF(AND(ISNUMBER(D1520),ISNUMBER(J1520)),ROUND(D1520*J1520*(1-N(F1520)),2),0))</f>
        <v/>
      </c>
      <c r="M1520" s="62" t="str">
        <f>IF(A1520="","",IFERROR(INDEX(dv_cname,MATCH(A1520,dv_num,0))&amp;"",""))</f>
        <v/>
      </c>
      <c r="N1520" s="59" t="str">
        <f>IF(COUNTA(A1520:G1520)=0,"",IF(A1520="","N° devis manquant",IF(ISNA(MATCH(A1520,dv_num,0)),"Devis inconnu",IF(AND(B1520&lt;&gt;"",ISNA(MATCH(B1520,pr_code,0))),"Article inconnu",IF(H1520="","Désignation manquante",IF(OR(NOT(ISNUMBER(D1520)),N(D1520)&lt;=0),"Quantité invalide",IF(J1520="","Prix manquant",IF(OR(NOT(ISNUMBER(J1520)),N(J1520)&lt;0),"Prix invalide",IF(OR(AND(F1520&lt;&gt;"",NOT(ISNUMBER(F1520))),N(F1520)&lt;0,N(F1520)&gt;1),"Remise invalide",IF(K1520="","Taux de TVA manquant",IF(NOT(ISNUMBER(K1520)),"Taux de TVA invalide",IF(COUNTIF(p_rates,K1520)=0,"Taux de TVA hors liste (Paramètres)",IF(N(O1520)&gt;25,"Au-delà de 25 lignes : non imprimée","OK")))))))))))))</f>
        <v/>
      </c>
      <c r="O1520" s="59" t="str">
        <f>IF(A1520="","",COUNTIF($A$6:A1520,A1520))</f>
        <v/>
      </c>
      <c r="P1520" s="62" t="str">
        <f>IF(A1520="","",A1520&amp;"|"&amp;O1520)</f>
        <v/>
      </c>
    </row>
    <row r="1521">
      <c r="A1521" s="60" t="n"/>
      <c r="B1521" s="63" t="n"/>
      <c r="C1521" s="63" t="n"/>
      <c r="D1521" s="67" t="n"/>
      <c r="E1521" s="68" t="n"/>
      <c r="F1521" s="69" t="n"/>
      <c r="G1521" s="70" t="n"/>
      <c r="H1521" s="62" t="str">
        <f>IF(COUNTA(A1521:G1521)=0,"",IF(C1521&lt;&gt;"",C1521,IF(B1521="","",IFERROR(INDEX(pr_des,MATCH(B1521,pr_code,0))&amp;"",""))))</f>
        <v/>
      </c>
      <c r="I1521" s="59" t="str">
        <f>IF(B1521="","",IFERROR(INDEX(pr_unit,MATCH(B1521,pr_code,0))&amp;"",""))</f>
        <v/>
      </c>
      <c r="J1521" s="65" t="str">
        <f>IF(COUNTA(A1521:G1521)=0,"",IF(E1521&lt;&gt;"",E1521,IF(B1521="","",IFERROR(IF(INDEX(pr_price,MATCH(B1521,pr_code,0))="","",INDEX(pr_price,MATCH(B1521,pr_code,0))),""))))</f>
        <v/>
      </c>
      <c r="K1521" s="71" t="str">
        <f>IF(COUNTA(A1521:G1521)=0,"",IF(G1521&lt;&gt;"",G1521,IF(B1521="","",IFERROR(IF(INDEX(pr_rate,MATCH(B1521,pr_code,0))="","",INDEX(pr_rate,MATCH(B1521,pr_code,0))),""))))</f>
        <v/>
      </c>
      <c r="L1521" s="65" t="str">
        <f>IF(COUNTA(A1521:G1521)=0,"",IF(AND(ISNUMBER(D1521),ISNUMBER(J1521)),ROUND(D1521*J1521*(1-N(F1521)),2),0))</f>
        <v/>
      </c>
      <c r="M1521" s="62" t="str">
        <f>IF(A1521="","",IFERROR(INDEX(dv_cname,MATCH(A1521,dv_num,0))&amp;"",""))</f>
        <v/>
      </c>
      <c r="N1521" s="59" t="str">
        <f>IF(COUNTA(A1521:G1521)=0,"",IF(A1521="","N° devis manquant",IF(ISNA(MATCH(A1521,dv_num,0)),"Devis inconnu",IF(AND(B1521&lt;&gt;"",ISNA(MATCH(B1521,pr_code,0))),"Article inconnu",IF(H1521="","Désignation manquante",IF(OR(NOT(ISNUMBER(D1521)),N(D1521)&lt;=0),"Quantité invalide",IF(J1521="","Prix manquant",IF(OR(NOT(ISNUMBER(J1521)),N(J1521)&lt;0),"Prix invalide",IF(OR(AND(F1521&lt;&gt;"",NOT(ISNUMBER(F1521))),N(F1521)&lt;0,N(F1521)&gt;1),"Remise invalide",IF(K1521="","Taux de TVA manquant",IF(NOT(ISNUMBER(K1521)),"Taux de TVA invalide",IF(COUNTIF(p_rates,K1521)=0,"Taux de TVA hors liste (Paramètres)",IF(N(O1521)&gt;25,"Au-delà de 25 lignes : non imprimée","OK")))))))))))))</f>
        <v/>
      </c>
      <c r="O1521" s="59" t="str">
        <f>IF(A1521="","",COUNTIF($A$6:A1521,A1521))</f>
        <v/>
      </c>
      <c r="P1521" s="62" t="str">
        <f>IF(A1521="","",A1521&amp;"|"&amp;O1521)</f>
        <v/>
      </c>
    </row>
    <row r="1522">
      <c r="A1522" s="60" t="n"/>
      <c r="B1522" s="63" t="n"/>
      <c r="C1522" s="63" t="n"/>
      <c r="D1522" s="67" t="n"/>
      <c r="E1522" s="68" t="n"/>
      <c r="F1522" s="69" t="n"/>
      <c r="G1522" s="70" t="n"/>
      <c r="H1522" s="62" t="str">
        <f>IF(COUNTA(A1522:G1522)=0,"",IF(C1522&lt;&gt;"",C1522,IF(B1522="","",IFERROR(INDEX(pr_des,MATCH(B1522,pr_code,0))&amp;"",""))))</f>
        <v/>
      </c>
      <c r="I1522" s="59" t="str">
        <f>IF(B1522="","",IFERROR(INDEX(pr_unit,MATCH(B1522,pr_code,0))&amp;"",""))</f>
        <v/>
      </c>
      <c r="J1522" s="65" t="str">
        <f>IF(COUNTA(A1522:G1522)=0,"",IF(E1522&lt;&gt;"",E1522,IF(B1522="","",IFERROR(IF(INDEX(pr_price,MATCH(B1522,pr_code,0))="","",INDEX(pr_price,MATCH(B1522,pr_code,0))),""))))</f>
        <v/>
      </c>
      <c r="K1522" s="71" t="str">
        <f>IF(COUNTA(A1522:G1522)=0,"",IF(G1522&lt;&gt;"",G1522,IF(B1522="","",IFERROR(IF(INDEX(pr_rate,MATCH(B1522,pr_code,0))="","",INDEX(pr_rate,MATCH(B1522,pr_code,0))),""))))</f>
        <v/>
      </c>
      <c r="L1522" s="65" t="str">
        <f>IF(COUNTA(A1522:G1522)=0,"",IF(AND(ISNUMBER(D1522),ISNUMBER(J1522)),ROUND(D1522*J1522*(1-N(F1522)),2),0))</f>
        <v/>
      </c>
      <c r="M1522" s="62" t="str">
        <f>IF(A1522="","",IFERROR(INDEX(dv_cname,MATCH(A1522,dv_num,0))&amp;"",""))</f>
        <v/>
      </c>
      <c r="N1522" s="59" t="str">
        <f>IF(COUNTA(A1522:G1522)=0,"",IF(A1522="","N° devis manquant",IF(ISNA(MATCH(A1522,dv_num,0)),"Devis inconnu",IF(AND(B1522&lt;&gt;"",ISNA(MATCH(B1522,pr_code,0))),"Article inconnu",IF(H1522="","Désignation manquante",IF(OR(NOT(ISNUMBER(D1522)),N(D1522)&lt;=0),"Quantité invalide",IF(J1522="","Prix manquant",IF(OR(NOT(ISNUMBER(J1522)),N(J1522)&lt;0),"Prix invalide",IF(OR(AND(F1522&lt;&gt;"",NOT(ISNUMBER(F1522))),N(F1522)&lt;0,N(F1522)&gt;1),"Remise invalide",IF(K1522="","Taux de TVA manquant",IF(NOT(ISNUMBER(K1522)),"Taux de TVA invalide",IF(COUNTIF(p_rates,K1522)=0,"Taux de TVA hors liste (Paramètres)",IF(N(O1522)&gt;25,"Au-delà de 25 lignes : non imprimée","OK")))))))))))))</f>
        <v/>
      </c>
      <c r="O1522" s="59" t="str">
        <f>IF(A1522="","",COUNTIF($A$6:A1522,A1522))</f>
        <v/>
      </c>
      <c r="P1522" s="62" t="str">
        <f>IF(A1522="","",A1522&amp;"|"&amp;O1522)</f>
        <v/>
      </c>
    </row>
    <row r="1523">
      <c r="A1523" s="60" t="n"/>
      <c r="B1523" s="63" t="n"/>
      <c r="C1523" s="63" t="n"/>
      <c r="D1523" s="67" t="n"/>
      <c r="E1523" s="68" t="n"/>
      <c r="F1523" s="69" t="n"/>
      <c r="G1523" s="70" t="n"/>
      <c r="H1523" s="62" t="str">
        <f>IF(COUNTA(A1523:G1523)=0,"",IF(C1523&lt;&gt;"",C1523,IF(B1523="","",IFERROR(INDEX(pr_des,MATCH(B1523,pr_code,0))&amp;"",""))))</f>
        <v/>
      </c>
      <c r="I1523" s="59" t="str">
        <f>IF(B1523="","",IFERROR(INDEX(pr_unit,MATCH(B1523,pr_code,0))&amp;"",""))</f>
        <v/>
      </c>
      <c r="J1523" s="65" t="str">
        <f>IF(COUNTA(A1523:G1523)=0,"",IF(E1523&lt;&gt;"",E1523,IF(B1523="","",IFERROR(IF(INDEX(pr_price,MATCH(B1523,pr_code,0))="","",INDEX(pr_price,MATCH(B1523,pr_code,0))),""))))</f>
        <v/>
      </c>
      <c r="K1523" s="71" t="str">
        <f>IF(COUNTA(A1523:G1523)=0,"",IF(G1523&lt;&gt;"",G1523,IF(B1523="","",IFERROR(IF(INDEX(pr_rate,MATCH(B1523,pr_code,0))="","",INDEX(pr_rate,MATCH(B1523,pr_code,0))),""))))</f>
        <v/>
      </c>
      <c r="L1523" s="65" t="str">
        <f>IF(COUNTA(A1523:G1523)=0,"",IF(AND(ISNUMBER(D1523),ISNUMBER(J1523)),ROUND(D1523*J1523*(1-N(F1523)),2),0))</f>
        <v/>
      </c>
      <c r="M1523" s="62" t="str">
        <f>IF(A1523="","",IFERROR(INDEX(dv_cname,MATCH(A1523,dv_num,0))&amp;"",""))</f>
        <v/>
      </c>
      <c r="N1523" s="59" t="str">
        <f>IF(COUNTA(A1523:G1523)=0,"",IF(A1523="","N° devis manquant",IF(ISNA(MATCH(A1523,dv_num,0)),"Devis inconnu",IF(AND(B1523&lt;&gt;"",ISNA(MATCH(B1523,pr_code,0))),"Article inconnu",IF(H1523="","Désignation manquante",IF(OR(NOT(ISNUMBER(D1523)),N(D1523)&lt;=0),"Quantité invalide",IF(J1523="","Prix manquant",IF(OR(NOT(ISNUMBER(J1523)),N(J1523)&lt;0),"Prix invalide",IF(OR(AND(F1523&lt;&gt;"",NOT(ISNUMBER(F1523))),N(F1523)&lt;0,N(F1523)&gt;1),"Remise invalide",IF(K1523="","Taux de TVA manquant",IF(NOT(ISNUMBER(K1523)),"Taux de TVA invalide",IF(COUNTIF(p_rates,K1523)=0,"Taux de TVA hors liste (Paramètres)",IF(N(O1523)&gt;25,"Au-delà de 25 lignes : non imprimée","OK")))))))))))))</f>
        <v/>
      </c>
      <c r="O1523" s="59" t="str">
        <f>IF(A1523="","",COUNTIF($A$6:A1523,A1523))</f>
        <v/>
      </c>
      <c r="P1523" s="62" t="str">
        <f>IF(A1523="","",A1523&amp;"|"&amp;O1523)</f>
        <v/>
      </c>
    </row>
    <row r="1524">
      <c r="A1524" s="60" t="n"/>
      <c r="B1524" s="63" t="n"/>
      <c r="C1524" s="63" t="n"/>
      <c r="D1524" s="67" t="n"/>
      <c r="E1524" s="68" t="n"/>
      <c r="F1524" s="69" t="n"/>
      <c r="G1524" s="70" t="n"/>
      <c r="H1524" s="62" t="str">
        <f>IF(COUNTA(A1524:G1524)=0,"",IF(C1524&lt;&gt;"",C1524,IF(B1524="","",IFERROR(INDEX(pr_des,MATCH(B1524,pr_code,0))&amp;"",""))))</f>
        <v/>
      </c>
      <c r="I1524" s="59" t="str">
        <f>IF(B1524="","",IFERROR(INDEX(pr_unit,MATCH(B1524,pr_code,0))&amp;"",""))</f>
        <v/>
      </c>
      <c r="J1524" s="65" t="str">
        <f>IF(COUNTA(A1524:G1524)=0,"",IF(E1524&lt;&gt;"",E1524,IF(B1524="","",IFERROR(IF(INDEX(pr_price,MATCH(B1524,pr_code,0))="","",INDEX(pr_price,MATCH(B1524,pr_code,0))),""))))</f>
        <v/>
      </c>
      <c r="K1524" s="71" t="str">
        <f>IF(COUNTA(A1524:G1524)=0,"",IF(G1524&lt;&gt;"",G1524,IF(B1524="","",IFERROR(IF(INDEX(pr_rate,MATCH(B1524,pr_code,0))="","",INDEX(pr_rate,MATCH(B1524,pr_code,0))),""))))</f>
        <v/>
      </c>
      <c r="L1524" s="65" t="str">
        <f>IF(COUNTA(A1524:G1524)=0,"",IF(AND(ISNUMBER(D1524),ISNUMBER(J1524)),ROUND(D1524*J1524*(1-N(F1524)),2),0))</f>
        <v/>
      </c>
      <c r="M1524" s="62" t="str">
        <f>IF(A1524="","",IFERROR(INDEX(dv_cname,MATCH(A1524,dv_num,0))&amp;"",""))</f>
        <v/>
      </c>
      <c r="N1524" s="59" t="str">
        <f>IF(COUNTA(A1524:G1524)=0,"",IF(A1524="","N° devis manquant",IF(ISNA(MATCH(A1524,dv_num,0)),"Devis inconnu",IF(AND(B1524&lt;&gt;"",ISNA(MATCH(B1524,pr_code,0))),"Article inconnu",IF(H1524="","Désignation manquante",IF(OR(NOT(ISNUMBER(D1524)),N(D1524)&lt;=0),"Quantité invalide",IF(J1524="","Prix manquant",IF(OR(NOT(ISNUMBER(J1524)),N(J1524)&lt;0),"Prix invalide",IF(OR(AND(F1524&lt;&gt;"",NOT(ISNUMBER(F1524))),N(F1524)&lt;0,N(F1524)&gt;1),"Remise invalide",IF(K1524="","Taux de TVA manquant",IF(NOT(ISNUMBER(K1524)),"Taux de TVA invalide",IF(COUNTIF(p_rates,K1524)=0,"Taux de TVA hors liste (Paramètres)",IF(N(O1524)&gt;25,"Au-delà de 25 lignes : non imprimée","OK")))))))))))))</f>
        <v/>
      </c>
      <c r="O1524" s="59" t="str">
        <f>IF(A1524="","",COUNTIF($A$6:A1524,A1524))</f>
        <v/>
      </c>
      <c r="P1524" s="62" t="str">
        <f>IF(A1524="","",A1524&amp;"|"&amp;O1524)</f>
        <v/>
      </c>
    </row>
    <row r="1525">
      <c r="A1525" s="60" t="n"/>
      <c r="B1525" s="63" t="n"/>
      <c r="C1525" s="63" t="n"/>
      <c r="D1525" s="67" t="n"/>
      <c r="E1525" s="68" t="n"/>
      <c r="F1525" s="69" t="n"/>
      <c r="G1525" s="70" t="n"/>
      <c r="H1525" s="62" t="str">
        <f>IF(COUNTA(A1525:G1525)=0,"",IF(C1525&lt;&gt;"",C1525,IF(B1525="","",IFERROR(INDEX(pr_des,MATCH(B1525,pr_code,0))&amp;"",""))))</f>
        <v/>
      </c>
      <c r="I1525" s="59" t="str">
        <f>IF(B1525="","",IFERROR(INDEX(pr_unit,MATCH(B1525,pr_code,0))&amp;"",""))</f>
        <v/>
      </c>
      <c r="J1525" s="65" t="str">
        <f>IF(COUNTA(A1525:G1525)=0,"",IF(E1525&lt;&gt;"",E1525,IF(B1525="","",IFERROR(IF(INDEX(pr_price,MATCH(B1525,pr_code,0))="","",INDEX(pr_price,MATCH(B1525,pr_code,0))),""))))</f>
        <v/>
      </c>
      <c r="K1525" s="71" t="str">
        <f>IF(COUNTA(A1525:G1525)=0,"",IF(G1525&lt;&gt;"",G1525,IF(B1525="","",IFERROR(IF(INDEX(pr_rate,MATCH(B1525,pr_code,0))="","",INDEX(pr_rate,MATCH(B1525,pr_code,0))),""))))</f>
        <v/>
      </c>
      <c r="L1525" s="65" t="str">
        <f>IF(COUNTA(A1525:G1525)=0,"",IF(AND(ISNUMBER(D1525),ISNUMBER(J1525)),ROUND(D1525*J1525*(1-N(F1525)),2),0))</f>
        <v/>
      </c>
      <c r="M1525" s="62" t="str">
        <f>IF(A1525="","",IFERROR(INDEX(dv_cname,MATCH(A1525,dv_num,0))&amp;"",""))</f>
        <v/>
      </c>
      <c r="N1525" s="59" t="str">
        <f>IF(COUNTA(A1525:G1525)=0,"",IF(A1525="","N° devis manquant",IF(ISNA(MATCH(A1525,dv_num,0)),"Devis inconnu",IF(AND(B1525&lt;&gt;"",ISNA(MATCH(B1525,pr_code,0))),"Article inconnu",IF(H1525="","Désignation manquante",IF(OR(NOT(ISNUMBER(D1525)),N(D1525)&lt;=0),"Quantité invalide",IF(J1525="","Prix manquant",IF(OR(NOT(ISNUMBER(J1525)),N(J1525)&lt;0),"Prix invalide",IF(OR(AND(F1525&lt;&gt;"",NOT(ISNUMBER(F1525))),N(F1525)&lt;0,N(F1525)&gt;1),"Remise invalide",IF(K1525="","Taux de TVA manquant",IF(NOT(ISNUMBER(K1525)),"Taux de TVA invalide",IF(COUNTIF(p_rates,K1525)=0,"Taux de TVA hors liste (Paramètres)",IF(N(O1525)&gt;25,"Au-delà de 25 lignes : non imprimée","OK")))))))))))))</f>
        <v/>
      </c>
      <c r="O1525" s="59" t="str">
        <f>IF(A1525="","",COUNTIF($A$6:A1525,A1525))</f>
        <v/>
      </c>
      <c r="P1525" s="62" t="str">
        <f>IF(A1525="","",A1525&amp;"|"&amp;O1525)</f>
        <v/>
      </c>
    </row>
    <row r="1526">
      <c r="A1526" s="60" t="n"/>
      <c r="B1526" s="63" t="n"/>
      <c r="C1526" s="63" t="n"/>
      <c r="D1526" s="67" t="n"/>
      <c r="E1526" s="68" t="n"/>
      <c r="F1526" s="69" t="n"/>
      <c r="G1526" s="70" t="n"/>
      <c r="H1526" s="62" t="str">
        <f>IF(COUNTA(A1526:G1526)=0,"",IF(C1526&lt;&gt;"",C1526,IF(B1526="","",IFERROR(INDEX(pr_des,MATCH(B1526,pr_code,0))&amp;"",""))))</f>
        <v/>
      </c>
      <c r="I1526" s="59" t="str">
        <f>IF(B1526="","",IFERROR(INDEX(pr_unit,MATCH(B1526,pr_code,0))&amp;"",""))</f>
        <v/>
      </c>
      <c r="J1526" s="65" t="str">
        <f>IF(COUNTA(A1526:G1526)=0,"",IF(E1526&lt;&gt;"",E1526,IF(B1526="","",IFERROR(IF(INDEX(pr_price,MATCH(B1526,pr_code,0))="","",INDEX(pr_price,MATCH(B1526,pr_code,0))),""))))</f>
        <v/>
      </c>
      <c r="K1526" s="71" t="str">
        <f>IF(COUNTA(A1526:G1526)=0,"",IF(G1526&lt;&gt;"",G1526,IF(B1526="","",IFERROR(IF(INDEX(pr_rate,MATCH(B1526,pr_code,0))="","",INDEX(pr_rate,MATCH(B1526,pr_code,0))),""))))</f>
        <v/>
      </c>
      <c r="L1526" s="65" t="str">
        <f>IF(COUNTA(A1526:G1526)=0,"",IF(AND(ISNUMBER(D1526),ISNUMBER(J1526)),ROUND(D1526*J1526*(1-N(F1526)),2),0))</f>
        <v/>
      </c>
      <c r="M1526" s="62" t="str">
        <f>IF(A1526="","",IFERROR(INDEX(dv_cname,MATCH(A1526,dv_num,0))&amp;"",""))</f>
        <v/>
      </c>
      <c r="N1526" s="59" t="str">
        <f>IF(COUNTA(A1526:G1526)=0,"",IF(A1526="","N° devis manquant",IF(ISNA(MATCH(A1526,dv_num,0)),"Devis inconnu",IF(AND(B1526&lt;&gt;"",ISNA(MATCH(B1526,pr_code,0))),"Article inconnu",IF(H1526="","Désignation manquante",IF(OR(NOT(ISNUMBER(D1526)),N(D1526)&lt;=0),"Quantité invalide",IF(J1526="","Prix manquant",IF(OR(NOT(ISNUMBER(J1526)),N(J1526)&lt;0),"Prix invalide",IF(OR(AND(F1526&lt;&gt;"",NOT(ISNUMBER(F1526))),N(F1526)&lt;0,N(F1526)&gt;1),"Remise invalide",IF(K1526="","Taux de TVA manquant",IF(NOT(ISNUMBER(K1526)),"Taux de TVA invalide",IF(COUNTIF(p_rates,K1526)=0,"Taux de TVA hors liste (Paramètres)",IF(N(O1526)&gt;25,"Au-delà de 25 lignes : non imprimée","OK")))))))))))))</f>
        <v/>
      </c>
      <c r="O1526" s="59" t="str">
        <f>IF(A1526="","",COUNTIF($A$6:A1526,A1526))</f>
        <v/>
      </c>
      <c r="P1526" s="62" t="str">
        <f>IF(A1526="","",A1526&amp;"|"&amp;O1526)</f>
        <v/>
      </c>
    </row>
    <row r="1527">
      <c r="A1527" s="60" t="n"/>
      <c r="B1527" s="63" t="n"/>
      <c r="C1527" s="63" t="n"/>
      <c r="D1527" s="67" t="n"/>
      <c r="E1527" s="68" t="n"/>
      <c r="F1527" s="69" t="n"/>
      <c r="G1527" s="70" t="n"/>
      <c r="H1527" s="62" t="str">
        <f>IF(COUNTA(A1527:G1527)=0,"",IF(C1527&lt;&gt;"",C1527,IF(B1527="","",IFERROR(INDEX(pr_des,MATCH(B1527,pr_code,0))&amp;"",""))))</f>
        <v/>
      </c>
      <c r="I1527" s="59" t="str">
        <f>IF(B1527="","",IFERROR(INDEX(pr_unit,MATCH(B1527,pr_code,0))&amp;"",""))</f>
        <v/>
      </c>
      <c r="J1527" s="65" t="str">
        <f>IF(COUNTA(A1527:G1527)=0,"",IF(E1527&lt;&gt;"",E1527,IF(B1527="","",IFERROR(IF(INDEX(pr_price,MATCH(B1527,pr_code,0))="","",INDEX(pr_price,MATCH(B1527,pr_code,0))),""))))</f>
        <v/>
      </c>
      <c r="K1527" s="71" t="str">
        <f>IF(COUNTA(A1527:G1527)=0,"",IF(G1527&lt;&gt;"",G1527,IF(B1527="","",IFERROR(IF(INDEX(pr_rate,MATCH(B1527,pr_code,0))="","",INDEX(pr_rate,MATCH(B1527,pr_code,0))),""))))</f>
        <v/>
      </c>
      <c r="L1527" s="65" t="str">
        <f>IF(COUNTA(A1527:G1527)=0,"",IF(AND(ISNUMBER(D1527),ISNUMBER(J1527)),ROUND(D1527*J1527*(1-N(F1527)),2),0))</f>
        <v/>
      </c>
      <c r="M1527" s="62" t="str">
        <f>IF(A1527="","",IFERROR(INDEX(dv_cname,MATCH(A1527,dv_num,0))&amp;"",""))</f>
        <v/>
      </c>
      <c r="N1527" s="59" t="str">
        <f>IF(COUNTA(A1527:G1527)=0,"",IF(A1527="","N° devis manquant",IF(ISNA(MATCH(A1527,dv_num,0)),"Devis inconnu",IF(AND(B1527&lt;&gt;"",ISNA(MATCH(B1527,pr_code,0))),"Article inconnu",IF(H1527="","Désignation manquante",IF(OR(NOT(ISNUMBER(D1527)),N(D1527)&lt;=0),"Quantité invalide",IF(J1527="","Prix manquant",IF(OR(NOT(ISNUMBER(J1527)),N(J1527)&lt;0),"Prix invalide",IF(OR(AND(F1527&lt;&gt;"",NOT(ISNUMBER(F1527))),N(F1527)&lt;0,N(F1527)&gt;1),"Remise invalide",IF(K1527="","Taux de TVA manquant",IF(NOT(ISNUMBER(K1527)),"Taux de TVA invalide",IF(COUNTIF(p_rates,K1527)=0,"Taux de TVA hors liste (Paramètres)",IF(N(O1527)&gt;25,"Au-delà de 25 lignes : non imprimée","OK")))))))))))))</f>
        <v/>
      </c>
      <c r="O1527" s="59" t="str">
        <f>IF(A1527="","",COUNTIF($A$6:A1527,A1527))</f>
        <v/>
      </c>
      <c r="P1527" s="62" t="str">
        <f>IF(A1527="","",A1527&amp;"|"&amp;O1527)</f>
        <v/>
      </c>
    </row>
    <row r="1528">
      <c r="A1528" s="60" t="n"/>
      <c r="B1528" s="63" t="n"/>
      <c r="C1528" s="63" t="n"/>
      <c r="D1528" s="67" t="n"/>
      <c r="E1528" s="68" t="n"/>
      <c r="F1528" s="69" t="n"/>
      <c r="G1528" s="70" t="n"/>
      <c r="H1528" s="62" t="str">
        <f>IF(COUNTA(A1528:G1528)=0,"",IF(C1528&lt;&gt;"",C1528,IF(B1528="","",IFERROR(INDEX(pr_des,MATCH(B1528,pr_code,0))&amp;"",""))))</f>
        <v/>
      </c>
      <c r="I1528" s="59" t="str">
        <f>IF(B1528="","",IFERROR(INDEX(pr_unit,MATCH(B1528,pr_code,0))&amp;"",""))</f>
        <v/>
      </c>
      <c r="J1528" s="65" t="str">
        <f>IF(COUNTA(A1528:G1528)=0,"",IF(E1528&lt;&gt;"",E1528,IF(B1528="","",IFERROR(IF(INDEX(pr_price,MATCH(B1528,pr_code,0))="","",INDEX(pr_price,MATCH(B1528,pr_code,0))),""))))</f>
        <v/>
      </c>
      <c r="K1528" s="71" t="str">
        <f>IF(COUNTA(A1528:G1528)=0,"",IF(G1528&lt;&gt;"",G1528,IF(B1528="","",IFERROR(IF(INDEX(pr_rate,MATCH(B1528,pr_code,0))="","",INDEX(pr_rate,MATCH(B1528,pr_code,0))),""))))</f>
        <v/>
      </c>
      <c r="L1528" s="65" t="str">
        <f>IF(COUNTA(A1528:G1528)=0,"",IF(AND(ISNUMBER(D1528),ISNUMBER(J1528)),ROUND(D1528*J1528*(1-N(F1528)),2),0))</f>
        <v/>
      </c>
      <c r="M1528" s="62" t="str">
        <f>IF(A1528="","",IFERROR(INDEX(dv_cname,MATCH(A1528,dv_num,0))&amp;"",""))</f>
        <v/>
      </c>
      <c r="N1528" s="59" t="str">
        <f>IF(COUNTA(A1528:G1528)=0,"",IF(A1528="","N° devis manquant",IF(ISNA(MATCH(A1528,dv_num,0)),"Devis inconnu",IF(AND(B1528&lt;&gt;"",ISNA(MATCH(B1528,pr_code,0))),"Article inconnu",IF(H1528="","Désignation manquante",IF(OR(NOT(ISNUMBER(D1528)),N(D1528)&lt;=0),"Quantité invalide",IF(J1528="","Prix manquant",IF(OR(NOT(ISNUMBER(J1528)),N(J1528)&lt;0),"Prix invalide",IF(OR(AND(F1528&lt;&gt;"",NOT(ISNUMBER(F1528))),N(F1528)&lt;0,N(F1528)&gt;1),"Remise invalide",IF(K1528="","Taux de TVA manquant",IF(NOT(ISNUMBER(K1528)),"Taux de TVA invalide",IF(COUNTIF(p_rates,K1528)=0,"Taux de TVA hors liste (Paramètres)",IF(N(O1528)&gt;25,"Au-delà de 25 lignes : non imprimée","OK")))))))))))))</f>
        <v/>
      </c>
      <c r="O1528" s="59" t="str">
        <f>IF(A1528="","",COUNTIF($A$6:A1528,A1528))</f>
        <v/>
      </c>
      <c r="P1528" s="62" t="str">
        <f>IF(A1528="","",A1528&amp;"|"&amp;O1528)</f>
        <v/>
      </c>
    </row>
    <row r="1529">
      <c r="A1529" s="60" t="n"/>
      <c r="B1529" s="63" t="n"/>
      <c r="C1529" s="63" t="n"/>
      <c r="D1529" s="67" t="n"/>
      <c r="E1529" s="68" t="n"/>
      <c r="F1529" s="69" t="n"/>
      <c r="G1529" s="70" t="n"/>
      <c r="H1529" s="62" t="str">
        <f>IF(COUNTA(A1529:G1529)=0,"",IF(C1529&lt;&gt;"",C1529,IF(B1529="","",IFERROR(INDEX(pr_des,MATCH(B1529,pr_code,0))&amp;"",""))))</f>
        <v/>
      </c>
      <c r="I1529" s="59" t="str">
        <f>IF(B1529="","",IFERROR(INDEX(pr_unit,MATCH(B1529,pr_code,0))&amp;"",""))</f>
        <v/>
      </c>
      <c r="J1529" s="65" t="str">
        <f>IF(COUNTA(A1529:G1529)=0,"",IF(E1529&lt;&gt;"",E1529,IF(B1529="","",IFERROR(IF(INDEX(pr_price,MATCH(B1529,pr_code,0))="","",INDEX(pr_price,MATCH(B1529,pr_code,0))),""))))</f>
        <v/>
      </c>
      <c r="K1529" s="71" t="str">
        <f>IF(COUNTA(A1529:G1529)=0,"",IF(G1529&lt;&gt;"",G1529,IF(B1529="","",IFERROR(IF(INDEX(pr_rate,MATCH(B1529,pr_code,0))="","",INDEX(pr_rate,MATCH(B1529,pr_code,0))),""))))</f>
        <v/>
      </c>
      <c r="L1529" s="65" t="str">
        <f>IF(COUNTA(A1529:G1529)=0,"",IF(AND(ISNUMBER(D1529),ISNUMBER(J1529)),ROUND(D1529*J1529*(1-N(F1529)),2),0))</f>
        <v/>
      </c>
      <c r="M1529" s="62" t="str">
        <f>IF(A1529="","",IFERROR(INDEX(dv_cname,MATCH(A1529,dv_num,0))&amp;"",""))</f>
        <v/>
      </c>
      <c r="N1529" s="59" t="str">
        <f>IF(COUNTA(A1529:G1529)=0,"",IF(A1529="","N° devis manquant",IF(ISNA(MATCH(A1529,dv_num,0)),"Devis inconnu",IF(AND(B1529&lt;&gt;"",ISNA(MATCH(B1529,pr_code,0))),"Article inconnu",IF(H1529="","Désignation manquante",IF(OR(NOT(ISNUMBER(D1529)),N(D1529)&lt;=0),"Quantité invalide",IF(J1529="","Prix manquant",IF(OR(NOT(ISNUMBER(J1529)),N(J1529)&lt;0),"Prix invalide",IF(OR(AND(F1529&lt;&gt;"",NOT(ISNUMBER(F1529))),N(F1529)&lt;0,N(F1529)&gt;1),"Remise invalide",IF(K1529="","Taux de TVA manquant",IF(NOT(ISNUMBER(K1529)),"Taux de TVA invalide",IF(COUNTIF(p_rates,K1529)=0,"Taux de TVA hors liste (Paramètres)",IF(N(O1529)&gt;25,"Au-delà de 25 lignes : non imprimée","OK")))))))))))))</f>
        <v/>
      </c>
      <c r="O1529" s="59" t="str">
        <f>IF(A1529="","",COUNTIF($A$6:A1529,A1529))</f>
        <v/>
      </c>
      <c r="P1529" s="62" t="str">
        <f>IF(A1529="","",A1529&amp;"|"&amp;O1529)</f>
        <v/>
      </c>
    </row>
    <row r="1530">
      <c r="A1530" s="60" t="n"/>
      <c r="B1530" s="63" t="n"/>
      <c r="C1530" s="63" t="n"/>
      <c r="D1530" s="67" t="n"/>
      <c r="E1530" s="68" t="n"/>
      <c r="F1530" s="69" t="n"/>
      <c r="G1530" s="70" t="n"/>
      <c r="H1530" s="62" t="str">
        <f>IF(COUNTA(A1530:G1530)=0,"",IF(C1530&lt;&gt;"",C1530,IF(B1530="","",IFERROR(INDEX(pr_des,MATCH(B1530,pr_code,0))&amp;"",""))))</f>
        <v/>
      </c>
      <c r="I1530" s="59" t="str">
        <f>IF(B1530="","",IFERROR(INDEX(pr_unit,MATCH(B1530,pr_code,0))&amp;"",""))</f>
        <v/>
      </c>
      <c r="J1530" s="65" t="str">
        <f>IF(COUNTA(A1530:G1530)=0,"",IF(E1530&lt;&gt;"",E1530,IF(B1530="","",IFERROR(IF(INDEX(pr_price,MATCH(B1530,pr_code,0))="","",INDEX(pr_price,MATCH(B1530,pr_code,0))),""))))</f>
        <v/>
      </c>
      <c r="K1530" s="71" t="str">
        <f>IF(COUNTA(A1530:G1530)=0,"",IF(G1530&lt;&gt;"",G1530,IF(B1530="","",IFERROR(IF(INDEX(pr_rate,MATCH(B1530,pr_code,0))="","",INDEX(pr_rate,MATCH(B1530,pr_code,0))),""))))</f>
        <v/>
      </c>
      <c r="L1530" s="65" t="str">
        <f>IF(COUNTA(A1530:G1530)=0,"",IF(AND(ISNUMBER(D1530),ISNUMBER(J1530)),ROUND(D1530*J1530*(1-N(F1530)),2),0))</f>
        <v/>
      </c>
      <c r="M1530" s="62" t="str">
        <f>IF(A1530="","",IFERROR(INDEX(dv_cname,MATCH(A1530,dv_num,0))&amp;"",""))</f>
        <v/>
      </c>
      <c r="N1530" s="59" t="str">
        <f>IF(COUNTA(A1530:G1530)=0,"",IF(A1530="","N° devis manquant",IF(ISNA(MATCH(A1530,dv_num,0)),"Devis inconnu",IF(AND(B1530&lt;&gt;"",ISNA(MATCH(B1530,pr_code,0))),"Article inconnu",IF(H1530="","Désignation manquante",IF(OR(NOT(ISNUMBER(D1530)),N(D1530)&lt;=0),"Quantité invalide",IF(J1530="","Prix manquant",IF(OR(NOT(ISNUMBER(J1530)),N(J1530)&lt;0),"Prix invalide",IF(OR(AND(F1530&lt;&gt;"",NOT(ISNUMBER(F1530))),N(F1530)&lt;0,N(F1530)&gt;1),"Remise invalide",IF(K1530="","Taux de TVA manquant",IF(NOT(ISNUMBER(K1530)),"Taux de TVA invalide",IF(COUNTIF(p_rates,K1530)=0,"Taux de TVA hors liste (Paramètres)",IF(N(O1530)&gt;25,"Au-delà de 25 lignes : non imprimée","OK")))))))))))))</f>
        <v/>
      </c>
      <c r="O1530" s="59" t="str">
        <f>IF(A1530="","",COUNTIF($A$6:A1530,A1530))</f>
        <v/>
      </c>
      <c r="P1530" s="62" t="str">
        <f>IF(A1530="","",A1530&amp;"|"&amp;O1530)</f>
        <v/>
      </c>
    </row>
    <row r="1531">
      <c r="A1531" s="60" t="n"/>
      <c r="B1531" s="63" t="n"/>
      <c r="C1531" s="63" t="n"/>
      <c r="D1531" s="67" t="n"/>
      <c r="E1531" s="68" t="n"/>
      <c r="F1531" s="69" t="n"/>
      <c r="G1531" s="70" t="n"/>
      <c r="H1531" s="62" t="str">
        <f>IF(COUNTA(A1531:G1531)=0,"",IF(C1531&lt;&gt;"",C1531,IF(B1531="","",IFERROR(INDEX(pr_des,MATCH(B1531,pr_code,0))&amp;"",""))))</f>
        <v/>
      </c>
      <c r="I1531" s="59" t="str">
        <f>IF(B1531="","",IFERROR(INDEX(pr_unit,MATCH(B1531,pr_code,0))&amp;"",""))</f>
        <v/>
      </c>
      <c r="J1531" s="65" t="str">
        <f>IF(COUNTA(A1531:G1531)=0,"",IF(E1531&lt;&gt;"",E1531,IF(B1531="","",IFERROR(IF(INDEX(pr_price,MATCH(B1531,pr_code,0))="","",INDEX(pr_price,MATCH(B1531,pr_code,0))),""))))</f>
        <v/>
      </c>
      <c r="K1531" s="71" t="str">
        <f>IF(COUNTA(A1531:G1531)=0,"",IF(G1531&lt;&gt;"",G1531,IF(B1531="","",IFERROR(IF(INDEX(pr_rate,MATCH(B1531,pr_code,0))="","",INDEX(pr_rate,MATCH(B1531,pr_code,0))),""))))</f>
        <v/>
      </c>
      <c r="L1531" s="65" t="str">
        <f>IF(COUNTA(A1531:G1531)=0,"",IF(AND(ISNUMBER(D1531),ISNUMBER(J1531)),ROUND(D1531*J1531*(1-N(F1531)),2),0))</f>
        <v/>
      </c>
      <c r="M1531" s="62" t="str">
        <f>IF(A1531="","",IFERROR(INDEX(dv_cname,MATCH(A1531,dv_num,0))&amp;"",""))</f>
        <v/>
      </c>
      <c r="N1531" s="59" t="str">
        <f>IF(COUNTA(A1531:G1531)=0,"",IF(A1531="","N° devis manquant",IF(ISNA(MATCH(A1531,dv_num,0)),"Devis inconnu",IF(AND(B1531&lt;&gt;"",ISNA(MATCH(B1531,pr_code,0))),"Article inconnu",IF(H1531="","Désignation manquante",IF(OR(NOT(ISNUMBER(D1531)),N(D1531)&lt;=0),"Quantité invalide",IF(J1531="","Prix manquant",IF(OR(NOT(ISNUMBER(J1531)),N(J1531)&lt;0),"Prix invalide",IF(OR(AND(F1531&lt;&gt;"",NOT(ISNUMBER(F1531))),N(F1531)&lt;0,N(F1531)&gt;1),"Remise invalide",IF(K1531="","Taux de TVA manquant",IF(NOT(ISNUMBER(K1531)),"Taux de TVA invalide",IF(COUNTIF(p_rates,K1531)=0,"Taux de TVA hors liste (Paramètres)",IF(N(O1531)&gt;25,"Au-delà de 25 lignes : non imprimée","OK")))))))))))))</f>
        <v/>
      </c>
      <c r="O1531" s="59" t="str">
        <f>IF(A1531="","",COUNTIF($A$6:A1531,A1531))</f>
        <v/>
      </c>
      <c r="P1531" s="62" t="str">
        <f>IF(A1531="","",A1531&amp;"|"&amp;O1531)</f>
        <v/>
      </c>
    </row>
    <row r="1532">
      <c r="A1532" s="60" t="n"/>
      <c r="B1532" s="63" t="n"/>
      <c r="C1532" s="63" t="n"/>
      <c r="D1532" s="67" t="n"/>
      <c r="E1532" s="68" t="n"/>
      <c r="F1532" s="69" t="n"/>
      <c r="G1532" s="70" t="n"/>
      <c r="H1532" s="62" t="str">
        <f>IF(COUNTA(A1532:G1532)=0,"",IF(C1532&lt;&gt;"",C1532,IF(B1532="","",IFERROR(INDEX(pr_des,MATCH(B1532,pr_code,0))&amp;"",""))))</f>
        <v/>
      </c>
      <c r="I1532" s="59" t="str">
        <f>IF(B1532="","",IFERROR(INDEX(pr_unit,MATCH(B1532,pr_code,0))&amp;"",""))</f>
        <v/>
      </c>
      <c r="J1532" s="65" t="str">
        <f>IF(COUNTA(A1532:G1532)=0,"",IF(E1532&lt;&gt;"",E1532,IF(B1532="","",IFERROR(IF(INDEX(pr_price,MATCH(B1532,pr_code,0))="","",INDEX(pr_price,MATCH(B1532,pr_code,0))),""))))</f>
        <v/>
      </c>
      <c r="K1532" s="71" t="str">
        <f>IF(COUNTA(A1532:G1532)=0,"",IF(G1532&lt;&gt;"",G1532,IF(B1532="","",IFERROR(IF(INDEX(pr_rate,MATCH(B1532,pr_code,0))="","",INDEX(pr_rate,MATCH(B1532,pr_code,0))),""))))</f>
        <v/>
      </c>
      <c r="L1532" s="65" t="str">
        <f>IF(COUNTA(A1532:G1532)=0,"",IF(AND(ISNUMBER(D1532),ISNUMBER(J1532)),ROUND(D1532*J1532*(1-N(F1532)),2),0))</f>
        <v/>
      </c>
      <c r="M1532" s="62" t="str">
        <f>IF(A1532="","",IFERROR(INDEX(dv_cname,MATCH(A1532,dv_num,0))&amp;"",""))</f>
        <v/>
      </c>
      <c r="N1532" s="59" t="str">
        <f>IF(COUNTA(A1532:G1532)=0,"",IF(A1532="","N° devis manquant",IF(ISNA(MATCH(A1532,dv_num,0)),"Devis inconnu",IF(AND(B1532&lt;&gt;"",ISNA(MATCH(B1532,pr_code,0))),"Article inconnu",IF(H1532="","Désignation manquante",IF(OR(NOT(ISNUMBER(D1532)),N(D1532)&lt;=0),"Quantité invalide",IF(J1532="","Prix manquant",IF(OR(NOT(ISNUMBER(J1532)),N(J1532)&lt;0),"Prix invalide",IF(OR(AND(F1532&lt;&gt;"",NOT(ISNUMBER(F1532))),N(F1532)&lt;0,N(F1532)&gt;1),"Remise invalide",IF(K1532="","Taux de TVA manquant",IF(NOT(ISNUMBER(K1532)),"Taux de TVA invalide",IF(COUNTIF(p_rates,K1532)=0,"Taux de TVA hors liste (Paramètres)",IF(N(O1532)&gt;25,"Au-delà de 25 lignes : non imprimée","OK")))))))))))))</f>
        <v/>
      </c>
      <c r="O1532" s="59" t="str">
        <f>IF(A1532="","",COUNTIF($A$6:A1532,A1532))</f>
        <v/>
      </c>
      <c r="P1532" s="62" t="str">
        <f>IF(A1532="","",A1532&amp;"|"&amp;O1532)</f>
        <v/>
      </c>
    </row>
    <row r="1533">
      <c r="A1533" s="60" t="n"/>
      <c r="B1533" s="63" t="n"/>
      <c r="C1533" s="63" t="n"/>
      <c r="D1533" s="67" t="n"/>
      <c r="E1533" s="68" t="n"/>
      <c r="F1533" s="69" t="n"/>
      <c r="G1533" s="70" t="n"/>
      <c r="H1533" s="62" t="str">
        <f>IF(COUNTA(A1533:G1533)=0,"",IF(C1533&lt;&gt;"",C1533,IF(B1533="","",IFERROR(INDEX(pr_des,MATCH(B1533,pr_code,0))&amp;"",""))))</f>
        <v/>
      </c>
      <c r="I1533" s="59" t="str">
        <f>IF(B1533="","",IFERROR(INDEX(pr_unit,MATCH(B1533,pr_code,0))&amp;"",""))</f>
        <v/>
      </c>
      <c r="J1533" s="65" t="str">
        <f>IF(COUNTA(A1533:G1533)=0,"",IF(E1533&lt;&gt;"",E1533,IF(B1533="","",IFERROR(IF(INDEX(pr_price,MATCH(B1533,pr_code,0))="","",INDEX(pr_price,MATCH(B1533,pr_code,0))),""))))</f>
        <v/>
      </c>
      <c r="K1533" s="71" t="str">
        <f>IF(COUNTA(A1533:G1533)=0,"",IF(G1533&lt;&gt;"",G1533,IF(B1533="","",IFERROR(IF(INDEX(pr_rate,MATCH(B1533,pr_code,0))="","",INDEX(pr_rate,MATCH(B1533,pr_code,0))),""))))</f>
        <v/>
      </c>
      <c r="L1533" s="65" t="str">
        <f>IF(COUNTA(A1533:G1533)=0,"",IF(AND(ISNUMBER(D1533),ISNUMBER(J1533)),ROUND(D1533*J1533*(1-N(F1533)),2),0))</f>
        <v/>
      </c>
      <c r="M1533" s="62" t="str">
        <f>IF(A1533="","",IFERROR(INDEX(dv_cname,MATCH(A1533,dv_num,0))&amp;"",""))</f>
        <v/>
      </c>
      <c r="N1533" s="59" t="str">
        <f>IF(COUNTA(A1533:G1533)=0,"",IF(A1533="","N° devis manquant",IF(ISNA(MATCH(A1533,dv_num,0)),"Devis inconnu",IF(AND(B1533&lt;&gt;"",ISNA(MATCH(B1533,pr_code,0))),"Article inconnu",IF(H1533="","Désignation manquante",IF(OR(NOT(ISNUMBER(D1533)),N(D1533)&lt;=0),"Quantité invalide",IF(J1533="","Prix manquant",IF(OR(NOT(ISNUMBER(J1533)),N(J1533)&lt;0),"Prix invalide",IF(OR(AND(F1533&lt;&gt;"",NOT(ISNUMBER(F1533))),N(F1533)&lt;0,N(F1533)&gt;1),"Remise invalide",IF(K1533="","Taux de TVA manquant",IF(NOT(ISNUMBER(K1533)),"Taux de TVA invalide",IF(COUNTIF(p_rates,K1533)=0,"Taux de TVA hors liste (Paramètres)",IF(N(O1533)&gt;25,"Au-delà de 25 lignes : non imprimée","OK")))))))))))))</f>
        <v/>
      </c>
      <c r="O1533" s="59" t="str">
        <f>IF(A1533="","",COUNTIF($A$6:A1533,A1533))</f>
        <v/>
      </c>
      <c r="P1533" s="62" t="str">
        <f>IF(A1533="","",A1533&amp;"|"&amp;O1533)</f>
        <v/>
      </c>
    </row>
    <row r="1534">
      <c r="A1534" s="60" t="n"/>
      <c r="B1534" s="63" t="n"/>
      <c r="C1534" s="63" t="n"/>
      <c r="D1534" s="67" t="n"/>
      <c r="E1534" s="68" t="n"/>
      <c r="F1534" s="69" t="n"/>
      <c r="G1534" s="70" t="n"/>
      <c r="H1534" s="62" t="str">
        <f>IF(COUNTA(A1534:G1534)=0,"",IF(C1534&lt;&gt;"",C1534,IF(B1534="","",IFERROR(INDEX(pr_des,MATCH(B1534,pr_code,0))&amp;"",""))))</f>
        <v/>
      </c>
      <c r="I1534" s="59" t="str">
        <f>IF(B1534="","",IFERROR(INDEX(pr_unit,MATCH(B1534,pr_code,0))&amp;"",""))</f>
        <v/>
      </c>
      <c r="J1534" s="65" t="str">
        <f>IF(COUNTA(A1534:G1534)=0,"",IF(E1534&lt;&gt;"",E1534,IF(B1534="","",IFERROR(IF(INDEX(pr_price,MATCH(B1534,pr_code,0))="","",INDEX(pr_price,MATCH(B1534,pr_code,0))),""))))</f>
        <v/>
      </c>
      <c r="K1534" s="71" t="str">
        <f>IF(COUNTA(A1534:G1534)=0,"",IF(G1534&lt;&gt;"",G1534,IF(B1534="","",IFERROR(IF(INDEX(pr_rate,MATCH(B1534,pr_code,0))="","",INDEX(pr_rate,MATCH(B1534,pr_code,0))),""))))</f>
        <v/>
      </c>
      <c r="L1534" s="65" t="str">
        <f>IF(COUNTA(A1534:G1534)=0,"",IF(AND(ISNUMBER(D1534),ISNUMBER(J1534)),ROUND(D1534*J1534*(1-N(F1534)),2),0))</f>
        <v/>
      </c>
      <c r="M1534" s="62" t="str">
        <f>IF(A1534="","",IFERROR(INDEX(dv_cname,MATCH(A1534,dv_num,0))&amp;"",""))</f>
        <v/>
      </c>
      <c r="N1534" s="59" t="str">
        <f>IF(COUNTA(A1534:G1534)=0,"",IF(A1534="","N° devis manquant",IF(ISNA(MATCH(A1534,dv_num,0)),"Devis inconnu",IF(AND(B1534&lt;&gt;"",ISNA(MATCH(B1534,pr_code,0))),"Article inconnu",IF(H1534="","Désignation manquante",IF(OR(NOT(ISNUMBER(D1534)),N(D1534)&lt;=0),"Quantité invalide",IF(J1534="","Prix manquant",IF(OR(NOT(ISNUMBER(J1534)),N(J1534)&lt;0),"Prix invalide",IF(OR(AND(F1534&lt;&gt;"",NOT(ISNUMBER(F1534))),N(F1534)&lt;0,N(F1534)&gt;1),"Remise invalide",IF(K1534="","Taux de TVA manquant",IF(NOT(ISNUMBER(K1534)),"Taux de TVA invalide",IF(COUNTIF(p_rates,K1534)=0,"Taux de TVA hors liste (Paramètres)",IF(N(O1534)&gt;25,"Au-delà de 25 lignes : non imprimée","OK")))))))))))))</f>
        <v/>
      </c>
      <c r="O1534" s="59" t="str">
        <f>IF(A1534="","",COUNTIF($A$6:A1534,A1534))</f>
        <v/>
      </c>
      <c r="P1534" s="62" t="str">
        <f>IF(A1534="","",A1534&amp;"|"&amp;O1534)</f>
        <v/>
      </c>
    </row>
    <row r="1535">
      <c r="A1535" s="60" t="n"/>
      <c r="B1535" s="63" t="n"/>
      <c r="C1535" s="63" t="n"/>
      <c r="D1535" s="67" t="n"/>
      <c r="E1535" s="68" t="n"/>
      <c r="F1535" s="69" t="n"/>
      <c r="G1535" s="70" t="n"/>
      <c r="H1535" s="62" t="str">
        <f>IF(COUNTA(A1535:G1535)=0,"",IF(C1535&lt;&gt;"",C1535,IF(B1535="","",IFERROR(INDEX(pr_des,MATCH(B1535,pr_code,0))&amp;"",""))))</f>
        <v/>
      </c>
      <c r="I1535" s="59" t="str">
        <f>IF(B1535="","",IFERROR(INDEX(pr_unit,MATCH(B1535,pr_code,0))&amp;"",""))</f>
        <v/>
      </c>
      <c r="J1535" s="65" t="str">
        <f>IF(COUNTA(A1535:G1535)=0,"",IF(E1535&lt;&gt;"",E1535,IF(B1535="","",IFERROR(IF(INDEX(pr_price,MATCH(B1535,pr_code,0))="","",INDEX(pr_price,MATCH(B1535,pr_code,0))),""))))</f>
        <v/>
      </c>
      <c r="K1535" s="71" t="str">
        <f>IF(COUNTA(A1535:G1535)=0,"",IF(G1535&lt;&gt;"",G1535,IF(B1535="","",IFERROR(IF(INDEX(pr_rate,MATCH(B1535,pr_code,0))="","",INDEX(pr_rate,MATCH(B1535,pr_code,0))),""))))</f>
        <v/>
      </c>
      <c r="L1535" s="65" t="str">
        <f>IF(COUNTA(A1535:G1535)=0,"",IF(AND(ISNUMBER(D1535),ISNUMBER(J1535)),ROUND(D1535*J1535*(1-N(F1535)),2),0))</f>
        <v/>
      </c>
      <c r="M1535" s="62" t="str">
        <f>IF(A1535="","",IFERROR(INDEX(dv_cname,MATCH(A1535,dv_num,0))&amp;"",""))</f>
        <v/>
      </c>
      <c r="N1535" s="59" t="str">
        <f>IF(COUNTA(A1535:G1535)=0,"",IF(A1535="","N° devis manquant",IF(ISNA(MATCH(A1535,dv_num,0)),"Devis inconnu",IF(AND(B1535&lt;&gt;"",ISNA(MATCH(B1535,pr_code,0))),"Article inconnu",IF(H1535="","Désignation manquante",IF(OR(NOT(ISNUMBER(D1535)),N(D1535)&lt;=0),"Quantité invalide",IF(J1535="","Prix manquant",IF(OR(NOT(ISNUMBER(J1535)),N(J1535)&lt;0),"Prix invalide",IF(OR(AND(F1535&lt;&gt;"",NOT(ISNUMBER(F1535))),N(F1535)&lt;0,N(F1535)&gt;1),"Remise invalide",IF(K1535="","Taux de TVA manquant",IF(NOT(ISNUMBER(K1535)),"Taux de TVA invalide",IF(COUNTIF(p_rates,K1535)=0,"Taux de TVA hors liste (Paramètres)",IF(N(O1535)&gt;25,"Au-delà de 25 lignes : non imprimée","OK")))))))))))))</f>
        <v/>
      </c>
      <c r="O1535" s="59" t="str">
        <f>IF(A1535="","",COUNTIF($A$6:A1535,A1535))</f>
        <v/>
      </c>
      <c r="P1535" s="62" t="str">
        <f>IF(A1535="","",A1535&amp;"|"&amp;O1535)</f>
        <v/>
      </c>
    </row>
    <row r="1536">
      <c r="A1536" s="60" t="n"/>
      <c r="B1536" s="63" t="n"/>
      <c r="C1536" s="63" t="n"/>
      <c r="D1536" s="67" t="n"/>
      <c r="E1536" s="68" t="n"/>
      <c r="F1536" s="69" t="n"/>
      <c r="G1536" s="70" t="n"/>
      <c r="H1536" s="62" t="str">
        <f>IF(COUNTA(A1536:G1536)=0,"",IF(C1536&lt;&gt;"",C1536,IF(B1536="","",IFERROR(INDEX(pr_des,MATCH(B1536,pr_code,0))&amp;"",""))))</f>
        <v/>
      </c>
      <c r="I1536" s="59" t="str">
        <f>IF(B1536="","",IFERROR(INDEX(pr_unit,MATCH(B1536,pr_code,0))&amp;"",""))</f>
        <v/>
      </c>
      <c r="J1536" s="65" t="str">
        <f>IF(COUNTA(A1536:G1536)=0,"",IF(E1536&lt;&gt;"",E1536,IF(B1536="","",IFERROR(IF(INDEX(pr_price,MATCH(B1536,pr_code,0))="","",INDEX(pr_price,MATCH(B1536,pr_code,0))),""))))</f>
        <v/>
      </c>
      <c r="K1536" s="71" t="str">
        <f>IF(COUNTA(A1536:G1536)=0,"",IF(G1536&lt;&gt;"",G1536,IF(B1536="","",IFERROR(IF(INDEX(pr_rate,MATCH(B1536,pr_code,0))="","",INDEX(pr_rate,MATCH(B1536,pr_code,0))),""))))</f>
        <v/>
      </c>
      <c r="L1536" s="65" t="str">
        <f>IF(COUNTA(A1536:G1536)=0,"",IF(AND(ISNUMBER(D1536),ISNUMBER(J1536)),ROUND(D1536*J1536*(1-N(F1536)),2),0))</f>
        <v/>
      </c>
      <c r="M1536" s="62" t="str">
        <f>IF(A1536="","",IFERROR(INDEX(dv_cname,MATCH(A1536,dv_num,0))&amp;"",""))</f>
        <v/>
      </c>
      <c r="N1536" s="59" t="str">
        <f>IF(COUNTA(A1536:G1536)=0,"",IF(A1536="","N° devis manquant",IF(ISNA(MATCH(A1536,dv_num,0)),"Devis inconnu",IF(AND(B1536&lt;&gt;"",ISNA(MATCH(B1536,pr_code,0))),"Article inconnu",IF(H1536="","Désignation manquante",IF(OR(NOT(ISNUMBER(D1536)),N(D1536)&lt;=0),"Quantité invalide",IF(J1536="","Prix manquant",IF(OR(NOT(ISNUMBER(J1536)),N(J1536)&lt;0),"Prix invalide",IF(OR(AND(F1536&lt;&gt;"",NOT(ISNUMBER(F1536))),N(F1536)&lt;0,N(F1536)&gt;1),"Remise invalide",IF(K1536="","Taux de TVA manquant",IF(NOT(ISNUMBER(K1536)),"Taux de TVA invalide",IF(COUNTIF(p_rates,K1536)=0,"Taux de TVA hors liste (Paramètres)",IF(N(O1536)&gt;25,"Au-delà de 25 lignes : non imprimée","OK")))))))))))))</f>
        <v/>
      </c>
      <c r="O1536" s="59" t="str">
        <f>IF(A1536="","",COUNTIF($A$6:A1536,A1536))</f>
        <v/>
      </c>
      <c r="P1536" s="62" t="str">
        <f>IF(A1536="","",A1536&amp;"|"&amp;O1536)</f>
        <v/>
      </c>
    </row>
    <row r="1537">
      <c r="A1537" s="60" t="n"/>
      <c r="B1537" s="63" t="n"/>
      <c r="C1537" s="63" t="n"/>
      <c r="D1537" s="67" t="n"/>
      <c r="E1537" s="68" t="n"/>
      <c r="F1537" s="69" t="n"/>
      <c r="G1537" s="70" t="n"/>
      <c r="H1537" s="62" t="str">
        <f>IF(COUNTA(A1537:G1537)=0,"",IF(C1537&lt;&gt;"",C1537,IF(B1537="","",IFERROR(INDEX(pr_des,MATCH(B1537,pr_code,0))&amp;"",""))))</f>
        <v/>
      </c>
      <c r="I1537" s="59" t="str">
        <f>IF(B1537="","",IFERROR(INDEX(pr_unit,MATCH(B1537,pr_code,0))&amp;"",""))</f>
        <v/>
      </c>
      <c r="J1537" s="65" t="str">
        <f>IF(COUNTA(A1537:G1537)=0,"",IF(E1537&lt;&gt;"",E1537,IF(B1537="","",IFERROR(IF(INDEX(pr_price,MATCH(B1537,pr_code,0))="","",INDEX(pr_price,MATCH(B1537,pr_code,0))),""))))</f>
        <v/>
      </c>
      <c r="K1537" s="71" t="str">
        <f>IF(COUNTA(A1537:G1537)=0,"",IF(G1537&lt;&gt;"",G1537,IF(B1537="","",IFERROR(IF(INDEX(pr_rate,MATCH(B1537,pr_code,0))="","",INDEX(pr_rate,MATCH(B1537,pr_code,0))),""))))</f>
        <v/>
      </c>
      <c r="L1537" s="65" t="str">
        <f>IF(COUNTA(A1537:G1537)=0,"",IF(AND(ISNUMBER(D1537),ISNUMBER(J1537)),ROUND(D1537*J1537*(1-N(F1537)),2),0))</f>
        <v/>
      </c>
      <c r="M1537" s="62" t="str">
        <f>IF(A1537="","",IFERROR(INDEX(dv_cname,MATCH(A1537,dv_num,0))&amp;"",""))</f>
        <v/>
      </c>
      <c r="N1537" s="59" t="str">
        <f>IF(COUNTA(A1537:G1537)=0,"",IF(A1537="","N° devis manquant",IF(ISNA(MATCH(A1537,dv_num,0)),"Devis inconnu",IF(AND(B1537&lt;&gt;"",ISNA(MATCH(B1537,pr_code,0))),"Article inconnu",IF(H1537="","Désignation manquante",IF(OR(NOT(ISNUMBER(D1537)),N(D1537)&lt;=0),"Quantité invalide",IF(J1537="","Prix manquant",IF(OR(NOT(ISNUMBER(J1537)),N(J1537)&lt;0),"Prix invalide",IF(OR(AND(F1537&lt;&gt;"",NOT(ISNUMBER(F1537))),N(F1537)&lt;0,N(F1537)&gt;1),"Remise invalide",IF(K1537="","Taux de TVA manquant",IF(NOT(ISNUMBER(K1537)),"Taux de TVA invalide",IF(COUNTIF(p_rates,K1537)=0,"Taux de TVA hors liste (Paramètres)",IF(N(O1537)&gt;25,"Au-delà de 25 lignes : non imprimée","OK")))))))))))))</f>
        <v/>
      </c>
      <c r="O1537" s="59" t="str">
        <f>IF(A1537="","",COUNTIF($A$6:A1537,A1537))</f>
        <v/>
      </c>
      <c r="P1537" s="62" t="str">
        <f>IF(A1537="","",A1537&amp;"|"&amp;O1537)</f>
        <v/>
      </c>
    </row>
    <row r="1538">
      <c r="A1538" s="60" t="n"/>
      <c r="B1538" s="63" t="n"/>
      <c r="C1538" s="63" t="n"/>
      <c r="D1538" s="67" t="n"/>
      <c r="E1538" s="68" t="n"/>
      <c r="F1538" s="69" t="n"/>
      <c r="G1538" s="70" t="n"/>
      <c r="H1538" s="62" t="str">
        <f>IF(COUNTA(A1538:G1538)=0,"",IF(C1538&lt;&gt;"",C1538,IF(B1538="","",IFERROR(INDEX(pr_des,MATCH(B1538,pr_code,0))&amp;"",""))))</f>
        <v/>
      </c>
      <c r="I1538" s="59" t="str">
        <f>IF(B1538="","",IFERROR(INDEX(pr_unit,MATCH(B1538,pr_code,0))&amp;"",""))</f>
        <v/>
      </c>
      <c r="J1538" s="65" t="str">
        <f>IF(COUNTA(A1538:G1538)=0,"",IF(E1538&lt;&gt;"",E1538,IF(B1538="","",IFERROR(IF(INDEX(pr_price,MATCH(B1538,pr_code,0))="","",INDEX(pr_price,MATCH(B1538,pr_code,0))),""))))</f>
        <v/>
      </c>
      <c r="K1538" s="71" t="str">
        <f>IF(COUNTA(A1538:G1538)=0,"",IF(G1538&lt;&gt;"",G1538,IF(B1538="","",IFERROR(IF(INDEX(pr_rate,MATCH(B1538,pr_code,0))="","",INDEX(pr_rate,MATCH(B1538,pr_code,0))),""))))</f>
        <v/>
      </c>
      <c r="L1538" s="65" t="str">
        <f>IF(COUNTA(A1538:G1538)=0,"",IF(AND(ISNUMBER(D1538),ISNUMBER(J1538)),ROUND(D1538*J1538*(1-N(F1538)),2),0))</f>
        <v/>
      </c>
      <c r="M1538" s="62" t="str">
        <f>IF(A1538="","",IFERROR(INDEX(dv_cname,MATCH(A1538,dv_num,0))&amp;"",""))</f>
        <v/>
      </c>
      <c r="N1538" s="59" t="str">
        <f>IF(COUNTA(A1538:G1538)=0,"",IF(A1538="","N° devis manquant",IF(ISNA(MATCH(A1538,dv_num,0)),"Devis inconnu",IF(AND(B1538&lt;&gt;"",ISNA(MATCH(B1538,pr_code,0))),"Article inconnu",IF(H1538="","Désignation manquante",IF(OR(NOT(ISNUMBER(D1538)),N(D1538)&lt;=0),"Quantité invalide",IF(J1538="","Prix manquant",IF(OR(NOT(ISNUMBER(J1538)),N(J1538)&lt;0),"Prix invalide",IF(OR(AND(F1538&lt;&gt;"",NOT(ISNUMBER(F1538))),N(F1538)&lt;0,N(F1538)&gt;1),"Remise invalide",IF(K1538="","Taux de TVA manquant",IF(NOT(ISNUMBER(K1538)),"Taux de TVA invalide",IF(COUNTIF(p_rates,K1538)=0,"Taux de TVA hors liste (Paramètres)",IF(N(O1538)&gt;25,"Au-delà de 25 lignes : non imprimée","OK")))))))))))))</f>
        <v/>
      </c>
      <c r="O1538" s="59" t="str">
        <f>IF(A1538="","",COUNTIF($A$6:A1538,A1538))</f>
        <v/>
      </c>
      <c r="P1538" s="62" t="str">
        <f>IF(A1538="","",A1538&amp;"|"&amp;O1538)</f>
        <v/>
      </c>
    </row>
    <row r="1539">
      <c r="A1539" s="60" t="n"/>
      <c r="B1539" s="63" t="n"/>
      <c r="C1539" s="63" t="n"/>
      <c r="D1539" s="67" t="n"/>
      <c r="E1539" s="68" t="n"/>
      <c r="F1539" s="69" t="n"/>
      <c r="G1539" s="70" t="n"/>
      <c r="H1539" s="62" t="str">
        <f>IF(COUNTA(A1539:G1539)=0,"",IF(C1539&lt;&gt;"",C1539,IF(B1539="","",IFERROR(INDEX(pr_des,MATCH(B1539,pr_code,0))&amp;"",""))))</f>
        <v/>
      </c>
      <c r="I1539" s="59" t="str">
        <f>IF(B1539="","",IFERROR(INDEX(pr_unit,MATCH(B1539,pr_code,0))&amp;"",""))</f>
        <v/>
      </c>
      <c r="J1539" s="65" t="str">
        <f>IF(COUNTA(A1539:G1539)=0,"",IF(E1539&lt;&gt;"",E1539,IF(B1539="","",IFERROR(IF(INDEX(pr_price,MATCH(B1539,pr_code,0))="","",INDEX(pr_price,MATCH(B1539,pr_code,0))),""))))</f>
        <v/>
      </c>
      <c r="K1539" s="71" t="str">
        <f>IF(COUNTA(A1539:G1539)=0,"",IF(G1539&lt;&gt;"",G1539,IF(B1539="","",IFERROR(IF(INDEX(pr_rate,MATCH(B1539,pr_code,0))="","",INDEX(pr_rate,MATCH(B1539,pr_code,0))),""))))</f>
        <v/>
      </c>
      <c r="L1539" s="65" t="str">
        <f>IF(COUNTA(A1539:G1539)=0,"",IF(AND(ISNUMBER(D1539),ISNUMBER(J1539)),ROUND(D1539*J1539*(1-N(F1539)),2),0))</f>
        <v/>
      </c>
      <c r="M1539" s="62" t="str">
        <f>IF(A1539="","",IFERROR(INDEX(dv_cname,MATCH(A1539,dv_num,0))&amp;"",""))</f>
        <v/>
      </c>
      <c r="N1539" s="59" t="str">
        <f>IF(COUNTA(A1539:G1539)=0,"",IF(A1539="","N° devis manquant",IF(ISNA(MATCH(A1539,dv_num,0)),"Devis inconnu",IF(AND(B1539&lt;&gt;"",ISNA(MATCH(B1539,pr_code,0))),"Article inconnu",IF(H1539="","Désignation manquante",IF(OR(NOT(ISNUMBER(D1539)),N(D1539)&lt;=0),"Quantité invalide",IF(J1539="","Prix manquant",IF(OR(NOT(ISNUMBER(J1539)),N(J1539)&lt;0),"Prix invalide",IF(OR(AND(F1539&lt;&gt;"",NOT(ISNUMBER(F1539))),N(F1539)&lt;0,N(F1539)&gt;1),"Remise invalide",IF(K1539="","Taux de TVA manquant",IF(NOT(ISNUMBER(K1539)),"Taux de TVA invalide",IF(COUNTIF(p_rates,K1539)=0,"Taux de TVA hors liste (Paramètres)",IF(N(O1539)&gt;25,"Au-delà de 25 lignes : non imprimée","OK")))))))))))))</f>
        <v/>
      </c>
      <c r="O1539" s="59" t="str">
        <f>IF(A1539="","",COUNTIF($A$6:A1539,A1539))</f>
        <v/>
      </c>
      <c r="P1539" s="62" t="str">
        <f>IF(A1539="","",A1539&amp;"|"&amp;O1539)</f>
        <v/>
      </c>
    </row>
    <row r="1540">
      <c r="A1540" s="60" t="n"/>
      <c r="B1540" s="63" t="n"/>
      <c r="C1540" s="63" t="n"/>
      <c r="D1540" s="67" t="n"/>
      <c r="E1540" s="68" t="n"/>
      <c r="F1540" s="69" t="n"/>
      <c r="G1540" s="70" t="n"/>
      <c r="H1540" s="62" t="str">
        <f>IF(COUNTA(A1540:G1540)=0,"",IF(C1540&lt;&gt;"",C1540,IF(B1540="","",IFERROR(INDEX(pr_des,MATCH(B1540,pr_code,0))&amp;"",""))))</f>
        <v/>
      </c>
      <c r="I1540" s="59" t="str">
        <f>IF(B1540="","",IFERROR(INDEX(pr_unit,MATCH(B1540,pr_code,0))&amp;"",""))</f>
        <v/>
      </c>
      <c r="J1540" s="65" t="str">
        <f>IF(COUNTA(A1540:G1540)=0,"",IF(E1540&lt;&gt;"",E1540,IF(B1540="","",IFERROR(IF(INDEX(pr_price,MATCH(B1540,pr_code,0))="","",INDEX(pr_price,MATCH(B1540,pr_code,0))),""))))</f>
        <v/>
      </c>
      <c r="K1540" s="71" t="str">
        <f>IF(COUNTA(A1540:G1540)=0,"",IF(G1540&lt;&gt;"",G1540,IF(B1540="","",IFERROR(IF(INDEX(pr_rate,MATCH(B1540,pr_code,0))="","",INDEX(pr_rate,MATCH(B1540,pr_code,0))),""))))</f>
        <v/>
      </c>
      <c r="L1540" s="65" t="str">
        <f>IF(COUNTA(A1540:G1540)=0,"",IF(AND(ISNUMBER(D1540),ISNUMBER(J1540)),ROUND(D1540*J1540*(1-N(F1540)),2),0))</f>
        <v/>
      </c>
      <c r="M1540" s="62" t="str">
        <f>IF(A1540="","",IFERROR(INDEX(dv_cname,MATCH(A1540,dv_num,0))&amp;"",""))</f>
        <v/>
      </c>
      <c r="N1540" s="59" t="str">
        <f>IF(COUNTA(A1540:G1540)=0,"",IF(A1540="","N° devis manquant",IF(ISNA(MATCH(A1540,dv_num,0)),"Devis inconnu",IF(AND(B1540&lt;&gt;"",ISNA(MATCH(B1540,pr_code,0))),"Article inconnu",IF(H1540="","Désignation manquante",IF(OR(NOT(ISNUMBER(D1540)),N(D1540)&lt;=0),"Quantité invalide",IF(J1540="","Prix manquant",IF(OR(NOT(ISNUMBER(J1540)),N(J1540)&lt;0),"Prix invalide",IF(OR(AND(F1540&lt;&gt;"",NOT(ISNUMBER(F1540))),N(F1540)&lt;0,N(F1540)&gt;1),"Remise invalide",IF(K1540="","Taux de TVA manquant",IF(NOT(ISNUMBER(K1540)),"Taux de TVA invalide",IF(COUNTIF(p_rates,K1540)=0,"Taux de TVA hors liste (Paramètres)",IF(N(O1540)&gt;25,"Au-delà de 25 lignes : non imprimée","OK")))))))))))))</f>
        <v/>
      </c>
      <c r="O1540" s="59" t="str">
        <f>IF(A1540="","",COUNTIF($A$6:A1540,A1540))</f>
        <v/>
      </c>
      <c r="P1540" s="62" t="str">
        <f>IF(A1540="","",A1540&amp;"|"&amp;O1540)</f>
        <v/>
      </c>
    </row>
    <row r="1541">
      <c r="A1541" s="60" t="n"/>
      <c r="B1541" s="63" t="n"/>
      <c r="C1541" s="63" t="n"/>
      <c r="D1541" s="67" t="n"/>
      <c r="E1541" s="68" t="n"/>
      <c r="F1541" s="69" t="n"/>
      <c r="G1541" s="70" t="n"/>
      <c r="H1541" s="62" t="str">
        <f>IF(COUNTA(A1541:G1541)=0,"",IF(C1541&lt;&gt;"",C1541,IF(B1541="","",IFERROR(INDEX(pr_des,MATCH(B1541,pr_code,0))&amp;"",""))))</f>
        <v/>
      </c>
      <c r="I1541" s="59" t="str">
        <f>IF(B1541="","",IFERROR(INDEX(pr_unit,MATCH(B1541,pr_code,0))&amp;"",""))</f>
        <v/>
      </c>
      <c r="J1541" s="65" t="str">
        <f>IF(COUNTA(A1541:G1541)=0,"",IF(E1541&lt;&gt;"",E1541,IF(B1541="","",IFERROR(IF(INDEX(pr_price,MATCH(B1541,pr_code,0))="","",INDEX(pr_price,MATCH(B1541,pr_code,0))),""))))</f>
        <v/>
      </c>
      <c r="K1541" s="71" t="str">
        <f>IF(COUNTA(A1541:G1541)=0,"",IF(G1541&lt;&gt;"",G1541,IF(B1541="","",IFERROR(IF(INDEX(pr_rate,MATCH(B1541,pr_code,0))="","",INDEX(pr_rate,MATCH(B1541,pr_code,0))),""))))</f>
        <v/>
      </c>
      <c r="L1541" s="65" t="str">
        <f>IF(COUNTA(A1541:G1541)=0,"",IF(AND(ISNUMBER(D1541),ISNUMBER(J1541)),ROUND(D1541*J1541*(1-N(F1541)),2),0))</f>
        <v/>
      </c>
      <c r="M1541" s="62" t="str">
        <f>IF(A1541="","",IFERROR(INDEX(dv_cname,MATCH(A1541,dv_num,0))&amp;"",""))</f>
        <v/>
      </c>
      <c r="N1541" s="59" t="str">
        <f>IF(COUNTA(A1541:G1541)=0,"",IF(A1541="","N° devis manquant",IF(ISNA(MATCH(A1541,dv_num,0)),"Devis inconnu",IF(AND(B1541&lt;&gt;"",ISNA(MATCH(B1541,pr_code,0))),"Article inconnu",IF(H1541="","Désignation manquante",IF(OR(NOT(ISNUMBER(D1541)),N(D1541)&lt;=0),"Quantité invalide",IF(J1541="","Prix manquant",IF(OR(NOT(ISNUMBER(J1541)),N(J1541)&lt;0),"Prix invalide",IF(OR(AND(F1541&lt;&gt;"",NOT(ISNUMBER(F1541))),N(F1541)&lt;0,N(F1541)&gt;1),"Remise invalide",IF(K1541="","Taux de TVA manquant",IF(NOT(ISNUMBER(K1541)),"Taux de TVA invalide",IF(COUNTIF(p_rates,K1541)=0,"Taux de TVA hors liste (Paramètres)",IF(N(O1541)&gt;25,"Au-delà de 25 lignes : non imprimée","OK")))))))))))))</f>
        <v/>
      </c>
      <c r="O1541" s="59" t="str">
        <f>IF(A1541="","",COUNTIF($A$6:A1541,A1541))</f>
        <v/>
      </c>
      <c r="P1541" s="62" t="str">
        <f>IF(A1541="","",A1541&amp;"|"&amp;O1541)</f>
        <v/>
      </c>
    </row>
    <row r="1542">
      <c r="A1542" s="60" t="n"/>
      <c r="B1542" s="63" t="n"/>
      <c r="C1542" s="63" t="n"/>
      <c r="D1542" s="67" t="n"/>
      <c r="E1542" s="68" t="n"/>
      <c r="F1542" s="69" t="n"/>
      <c r="G1542" s="70" t="n"/>
      <c r="H1542" s="62" t="str">
        <f>IF(COUNTA(A1542:G1542)=0,"",IF(C1542&lt;&gt;"",C1542,IF(B1542="","",IFERROR(INDEX(pr_des,MATCH(B1542,pr_code,0))&amp;"",""))))</f>
        <v/>
      </c>
      <c r="I1542" s="59" t="str">
        <f>IF(B1542="","",IFERROR(INDEX(pr_unit,MATCH(B1542,pr_code,0))&amp;"",""))</f>
        <v/>
      </c>
      <c r="J1542" s="65" t="str">
        <f>IF(COUNTA(A1542:G1542)=0,"",IF(E1542&lt;&gt;"",E1542,IF(B1542="","",IFERROR(IF(INDEX(pr_price,MATCH(B1542,pr_code,0))="","",INDEX(pr_price,MATCH(B1542,pr_code,0))),""))))</f>
        <v/>
      </c>
      <c r="K1542" s="71" t="str">
        <f>IF(COUNTA(A1542:G1542)=0,"",IF(G1542&lt;&gt;"",G1542,IF(B1542="","",IFERROR(IF(INDEX(pr_rate,MATCH(B1542,pr_code,0))="","",INDEX(pr_rate,MATCH(B1542,pr_code,0))),""))))</f>
        <v/>
      </c>
      <c r="L1542" s="65" t="str">
        <f>IF(COUNTA(A1542:G1542)=0,"",IF(AND(ISNUMBER(D1542),ISNUMBER(J1542)),ROUND(D1542*J1542*(1-N(F1542)),2),0))</f>
        <v/>
      </c>
      <c r="M1542" s="62" t="str">
        <f>IF(A1542="","",IFERROR(INDEX(dv_cname,MATCH(A1542,dv_num,0))&amp;"",""))</f>
        <v/>
      </c>
      <c r="N1542" s="59" t="str">
        <f>IF(COUNTA(A1542:G1542)=0,"",IF(A1542="","N° devis manquant",IF(ISNA(MATCH(A1542,dv_num,0)),"Devis inconnu",IF(AND(B1542&lt;&gt;"",ISNA(MATCH(B1542,pr_code,0))),"Article inconnu",IF(H1542="","Désignation manquante",IF(OR(NOT(ISNUMBER(D1542)),N(D1542)&lt;=0),"Quantité invalide",IF(J1542="","Prix manquant",IF(OR(NOT(ISNUMBER(J1542)),N(J1542)&lt;0),"Prix invalide",IF(OR(AND(F1542&lt;&gt;"",NOT(ISNUMBER(F1542))),N(F1542)&lt;0,N(F1542)&gt;1),"Remise invalide",IF(K1542="","Taux de TVA manquant",IF(NOT(ISNUMBER(K1542)),"Taux de TVA invalide",IF(COUNTIF(p_rates,K1542)=0,"Taux de TVA hors liste (Paramètres)",IF(N(O1542)&gt;25,"Au-delà de 25 lignes : non imprimée","OK")))))))))))))</f>
        <v/>
      </c>
      <c r="O1542" s="59" t="str">
        <f>IF(A1542="","",COUNTIF($A$6:A1542,A1542))</f>
        <v/>
      </c>
      <c r="P1542" s="62" t="str">
        <f>IF(A1542="","",A1542&amp;"|"&amp;O1542)</f>
        <v/>
      </c>
    </row>
    <row r="1543">
      <c r="A1543" s="60" t="n"/>
      <c r="B1543" s="63" t="n"/>
      <c r="C1543" s="63" t="n"/>
      <c r="D1543" s="67" t="n"/>
      <c r="E1543" s="68" t="n"/>
      <c r="F1543" s="69" t="n"/>
      <c r="G1543" s="70" t="n"/>
      <c r="H1543" s="62" t="str">
        <f>IF(COUNTA(A1543:G1543)=0,"",IF(C1543&lt;&gt;"",C1543,IF(B1543="","",IFERROR(INDEX(pr_des,MATCH(B1543,pr_code,0))&amp;"",""))))</f>
        <v/>
      </c>
      <c r="I1543" s="59" t="str">
        <f>IF(B1543="","",IFERROR(INDEX(pr_unit,MATCH(B1543,pr_code,0))&amp;"",""))</f>
        <v/>
      </c>
      <c r="J1543" s="65" t="str">
        <f>IF(COUNTA(A1543:G1543)=0,"",IF(E1543&lt;&gt;"",E1543,IF(B1543="","",IFERROR(IF(INDEX(pr_price,MATCH(B1543,pr_code,0))="","",INDEX(pr_price,MATCH(B1543,pr_code,0))),""))))</f>
        <v/>
      </c>
      <c r="K1543" s="71" t="str">
        <f>IF(COUNTA(A1543:G1543)=0,"",IF(G1543&lt;&gt;"",G1543,IF(B1543="","",IFERROR(IF(INDEX(pr_rate,MATCH(B1543,pr_code,0))="","",INDEX(pr_rate,MATCH(B1543,pr_code,0))),""))))</f>
        <v/>
      </c>
      <c r="L1543" s="65" t="str">
        <f>IF(COUNTA(A1543:G1543)=0,"",IF(AND(ISNUMBER(D1543),ISNUMBER(J1543)),ROUND(D1543*J1543*(1-N(F1543)),2),0))</f>
        <v/>
      </c>
      <c r="M1543" s="62" t="str">
        <f>IF(A1543="","",IFERROR(INDEX(dv_cname,MATCH(A1543,dv_num,0))&amp;"",""))</f>
        <v/>
      </c>
      <c r="N1543" s="59" t="str">
        <f>IF(COUNTA(A1543:G1543)=0,"",IF(A1543="","N° devis manquant",IF(ISNA(MATCH(A1543,dv_num,0)),"Devis inconnu",IF(AND(B1543&lt;&gt;"",ISNA(MATCH(B1543,pr_code,0))),"Article inconnu",IF(H1543="","Désignation manquante",IF(OR(NOT(ISNUMBER(D1543)),N(D1543)&lt;=0),"Quantité invalide",IF(J1543="","Prix manquant",IF(OR(NOT(ISNUMBER(J1543)),N(J1543)&lt;0),"Prix invalide",IF(OR(AND(F1543&lt;&gt;"",NOT(ISNUMBER(F1543))),N(F1543)&lt;0,N(F1543)&gt;1),"Remise invalide",IF(K1543="","Taux de TVA manquant",IF(NOT(ISNUMBER(K1543)),"Taux de TVA invalide",IF(COUNTIF(p_rates,K1543)=0,"Taux de TVA hors liste (Paramètres)",IF(N(O1543)&gt;25,"Au-delà de 25 lignes : non imprimée","OK")))))))))))))</f>
        <v/>
      </c>
      <c r="O1543" s="59" t="str">
        <f>IF(A1543="","",COUNTIF($A$6:A1543,A1543))</f>
        <v/>
      </c>
      <c r="P1543" s="62" t="str">
        <f>IF(A1543="","",A1543&amp;"|"&amp;O1543)</f>
        <v/>
      </c>
    </row>
    <row r="1544">
      <c r="A1544" s="60" t="n"/>
      <c r="B1544" s="63" t="n"/>
      <c r="C1544" s="63" t="n"/>
      <c r="D1544" s="67" t="n"/>
      <c r="E1544" s="68" t="n"/>
      <c r="F1544" s="69" t="n"/>
      <c r="G1544" s="70" t="n"/>
      <c r="H1544" s="62" t="str">
        <f>IF(COUNTA(A1544:G1544)=0,"",IF(C1544&lt;&gt;"",C1544,IF(B1544="","",IFERROR(INDEX(pr_des,MATCH(B1544,pr_code,0))&amp;"",""))))</f>
        <v/>
      </c>
      <c r="I1544" s="59" t="str">
        <f>IF(B1544="","",IFERROR(INDEX(pr_unit,MATCH(B1544,pr_code,0))&amp;"",""))</f>
        <v/>
      </c>
      <c r="J1544" s="65" t="str">
        <f>IF(COUNTA(A1544:G1544)=0,"",IF(E1544&lt;&gt;"",E1544,IF(B1544="","",IFERROR(IF(INDEX(pr_price,MATCH(B1544,pr_code,0))="","",INDEX(pr_price,MATCH(B1544,pr_code,0))),""))))</f>
        <v/>
      </c>
      <c r="K1544" s="71" t="str">
        <f>IF(COUNTA(A1544:G1544)=0,"",IF(G1544&lt;&gt;"",G1544,IF(B1544="","",IFERROR(IF(INDEX(pr_rate,MATCH(B1544,pr_code,0))="","",INDEX(pr_rate,MATCH(B1544,pr_code,0))),""))))</f>
        <v/>
      </c>
      <c r="L1544" s="65" t="str">
        <f>IF(COUNTA(A1544:G1544)=0,"",IF(AND(ISNUMBER(D1544),ISNUMBER(J1544)),ROUND(D1544*J1544*(1-N(F1544)),2),0))</f>
        <v/>
      </c>
      <c r="M1544" s="62" t="str">
        <f>IF(A1544="","",IFERROR(INDEX(dv_cname,MATCH(A1544,dv_num,0))&amp;"",""))</f>
        <v/>
      </c>
      <c r="N1544" s="59" t="str">
        <f>IF(COUNTA(A1544:G1544)=0,"",IF(A1544="","N° devis manquant",IF(ISNA(MATCH(A1544,dv_num,0)),"Devis inconnu",IF(AND(B1544&lt;&gt;"",ISNA(MATCH(B1544,pr_code,0))),"Article inconnu",IF(H1544="","Désignation manquante",IF(OR(NOT(ISNUMBER(D1544)),N(D1544)&lt;=0),"Quantité invalide",IF(J1544="","Prix manquant",IF(OR(NOT(ISNUMBER(J1544)),N(J1544)&lt;0),"Prix invalide",IF(OR(AND(F1544&lt;&gt;"",NOT(ISNUMBER(F1544))),N(F1544)&lt;0,N(F1544)&gt;1),"Remise invalide",IF(K1544="","Taux de TVA manquant",IF(NOT(ISNUMBER(K1544)),"Taux de TVA invalide",IF(COUNTIF(p_rates,K1544)=0,"Taux de TVA hors liste (Paramètres)",IF(N(O1544)&gt;25,"Au-delà de 25 lignes : non imprimée","OK")))))))))))))</f>
        <v/>
      </c>
      <c r="O1544" s="59" t="str">
        <f>IF(A1544="","",COUNTIF($A$6:A1544,A1544))</f>
        <v/>
      </c>
      <c r="P1544" s="62" t="str">
        <f>IF(A1544="","",A1544&amp;"|"&amp;O1544)</f>
        <v/>
      </c>
    </row>
    <row r="1545">
      <c r="A1545" s="60" t="n"/>
      <c r="B1545" s="63" t="n"/>
      <c r="C1545" s="63" t="n"/>
      <c r="D1545" s="67" t="n"/>
      <c r="E1545" s="68" t="n"/>
      <c r="F1545" s="69" t="n"/>
      <c r="G1545" s="70" t="n"/>
      <c r="H1545" s="62" t="str">
        <f>IF(COUNTA(A1545:G1545)=0,"",IF(C1545&lt;&gt;"",C1545,IF(B1545="","",IFERROR(INDEX(pr_des,MATCH(B1545,pr_code,0))&amp;"",""))))</f>
        <v/>
      </c>
      <c r="I1545" s="59" t="str">
        <f>IF(B1545="","",IFERROR(INDEX(pr_unit,MATCH(B1545,pr_code,0))&amp;"",""))</f>
        <v/>
      </c>
      <c r="J1545" s="65" t="str">
        <f>IF(COUNTA(A1545:G1545)=0,"",IF(E1545&lt;&gt;"",E1545,IF(B1545="","",IFERROR(IF(INDEX(pr_price,MATCH(B1545,pr_code,0))="","",INDEX(pr_price,MATCH(B1545,pr_code,0))),""))))</f>
        <v/>
      </c>
      <c r="K1545" s="71" t="str">
        <f>IF(COUNTA(A1545:G1545)=0,"",IF(G1545&lt;&gt;"",G1545,IF(B1545="","",IFERROR(IF(INDEX(pr_rate,MATCH(B1545,pr_code,0))="","",INDEX(pr_rate,MATCH(B1545,pr_code,0))),""))))</f>
        <v/>
      </c>
      <c r="L1545" s="65" t="str">
        <f>IF(COUNTA(A1545:G1545)=0,"",IF(AND(ISNUMBER(D1545),ISNUMBER(J1545)),ROUND(D1545*J1545*(1-N(F1545)),2),0))</f>
        <v/>
      </c>
      <c r="M1545" s="62" t="str">
        <f>IF(A1545="","",IFERROR(INDEX(dv_cname,MATCH(A1545,dv_num,0))&amp;"",""))</f>
        <v/>
      </c>
      <c r="N1545" s="59" t="str">
        <f>IF(COUNTA(A1545:G1545)=0,"",IF(A1545="","N° devis manquant",IF(ISNA(MATCH(A1545,dv_num,0)),"Devis inconnu",IF(AND(B1545&lt;&gt;"",ISNA(MATCH(B1545,pr_code,0))),"Article inconnu",IF(H1545="","Désignation manquante",IF(OR(NOT(ISNUMBER(D1545)),N(D1545)&lt;=0),"Quantité invalide",IF(J1545="","Prix manquant",IF(OR(NOT(ISNUMBER(J1545)),N(J1545)&lt;0),"Prix invalide",IF(OR(AND(F1545&lt;&gt;"",NOT(ISNUMBER(F1545))),N(F1545)&lt;0,N(F1545)&gt;1),"Remise invalide",IF(K1545="","Taux de TVA manquant",IF(NOT(ISNUMBER(K1545)),"Taux de TVA invalide",IF(COUNTIF(p_rates,K1545)=0,"Taux de TVA hors liste (Paramètres)",IF(N(O1545)&gt;25,"Au-delà de 25 lignes : non imprimée","OK")))))))))))))</f>
        <v/>
      </c>
      <c r="O1545" s="59" t="str">
        <f>IF(A1545="","",COUNTIF($A$6:A1545,A1545))</f>
        <v/>
      </c>
      <c r="P1545" s="62" t="str">
        <f>IF(A1545="","",A1545&amp;"|"&amp;O1545)</f>
        <v/>
      </c>
    </row>
    <row r="1546">
      <c r="A1546" s="60" t="n"/>
      <c r="B1546" s="63" t="n"/>
      <c r="C1546" s="63" t="n"/>
      <c r="D1546" s="67" t="n"/>
      <c r="E1546" s="68" t="n"/>
      <c r="F1546" s="69" t="n"/>
      <c r="G1546" s="70" t="n"/>
      <c r="H1546" s="62" t="str">
        <f>IF(COUNTA(A1546:G1546)=0,"",IF(C1546&lt;&gt;"",C1546,IF(B1546="","",IFERROR(INDEX(pr_des,MATCH(B1546,pr_code,0))&amp;"",""))))</f>
        <v/>
      </c>
      <c r="I1546" s="59" t="str">
        <f>IF(B1546="","",IFERROR(INDEX(pr_unit,MATCH(B1546,pr_code,0))&amp;"",""))</f>
        <v/>
      </c>
      <c r="J1546" s="65" t="str">
        <f>IF(COUNTA(A1546:G1546)=0,"",IF(E1546&lt;&gt;"",E1546,IF(B1546="","",IFERROR(IF(INDEX(pr_price,MATCH(B1546,pr_code,0))="","",INDEX(pr_price,MATCH(B1546,pr_code,0))),""))))</f>
        <v/>
      </c>
      <c r="K1546" s="71" t="str">
        <f>IF(COUNTA(A1546:G1546)=0,"",IF(G1546&lt;&gt;"",G1546,IF(B1546="","",IFERROR(IF(INDEX(pr_rate,MATCH(B1546,pr_code,0))="","",INDEX(pr_rate,MATCH(B1546,pr_code,0))),""))))</f>
        <v/>
      </c>
      <c r="L1546" s="65" t="str">
        <f>IF(COUNTA(A1546:G1546)=0,"",IF(AND(ISNUMBER(D1546),ISNUMBER(J1546)),ROUND(D1546*J1546*(1-N(F1546)),2),0))</f>
        <v/>
      </c>
      <c r="M1546" s="62" t="str">
        <f>IF(A1546="","",IFERROR(INDEX(dv_cname,MATCH(A1546,dv_num,0))&amp;"",""))</f>
        <v/>
      </c>
      <c r="N1546" s="59" t="str">
        <f>IF(COUNTA(A1546:G1546)=0,"",IF(A1546="","N° devis manquant",IF(ISNA(MATCH(A1546,dv_num,0)),"Devis inconnu",IF(AND(B1546&lt;&gt;"",ISNA(MATCH(B1546,pr_code,0))),"Article inconnu",IF(H1546="","Désignation manquante",IF(OR(NOT(ISNUMBER(D1546)),N(D1546)&lt;=0),"Quantité invalide",IF(J1546="","Prix manquant",IF(OR(NOT(ISNUMBER(J1546)),N(J1546)&lt;0),"Prix invalide",IF(OR(AND(F1546&lt;&gt;"",NOT(ISNUMBER(F1546))),N(F1546)&lt;0,N(F1546)&gt;1),"Remise invalide",IF(K1546="","Taux de TVA manquant",IF(NOT(ISNUMBER(K1546)),"Taux de TVA invalide",IF(COUNTIF(p_rates,K1546)=0,"Taux de TVA hors liste (Paramètres)",IF(N(O1546)&gt;25,"Au-delà de 25 lignes : non imprimée","OK")))))))))))))</f>
        <v/>
      </c>
      <c r="O1546" s="59" t="str">
        <f>IF(A1546="","",COUNTIF($A$6:A1546,A1546))</f>
        <v/>
      </c>
      <c r="P1546" s="62" t="str">
        <f>IF(A1546="","",A1546&amp;"|"&amp;O1546)</f>
        <v/>
      </c>
    </row>
    <row r="1547">
      <c r="A1547" s="60" t="n"/>
      <c r="B1547" s="63" t="n"/>
      <c r="C1547" s="63" t="n"/>
      <c r="D1547" s="67" t="n"/>
      <c r="E1547" s="68" t="n"/>
      <c r="F1547" s="69" t="n"/>
      <c r="G1547" s="70" t="n"/>
      <c r="H1547" s="62" t="str">
        <f>IF(COUNTA(A1547:G1547)=0,"",IF(C1547&lt;&gt;"",C1547,IF(B1547="","",IFERROR(INDEX(pr_des,MATCH(B1547,pr_code,0))&amp;"",""))))</f>
        <v/>
      </c>
      <c r="I1547" s="59" t="str">
        <f>IF(B1547="","",IFERROR(INDEX(pr_unit,MATCH(B1547,pr_code,0))&amp;"",""))</f>
        <v/>
      </c>
      <c r="J1547" s="65" t="str">
        <f>IF(COUNTA(A1547:G1547)=0,"",IF(E1547&lt;&gt;"",E1547,IF(B1547="","",IFERROR(IF(INDEX(pr_price,MATCH(B1547,pr_code,0))="","",INDEX(pr_price,MATCH(B1547,pr_code,0))),""))))</f>
        <v/>
      </c>
      <c r="K1547" s="71" t="str">
        <f>IF(COUNTA(A1547:G1547)=0,"",IF(G1547&lt;&gt;"",G1547,IF(B1547="","",IFERROR(IF(INDEX(pr_rate,MATCH(B1547,pr_code,0))="","",INDEX(pr_rate,MATCH(B1547,pr_code,0))),""))))</f>
        <v/>
      </c>
      <c r="L1547" s="65" t="str">
        <f>IF(COUNTA(A1547:G1547)=0,"",IF(AND(ISNUMBER(D1547),ISNUMBER(J1547)),ROUND(D1547*J1547*(1-N(F1547)),2),0))</f>
        <v/>
      </c>
      <c r="M1547" s="62" t="str">
        <f>IF(A1547="","",IFERROR(INDEX(dv_cname,MATCH(A1547,dv_num,0))&amp;"",""))</f>
        <v/>
      </c>
      <c r="N1547" s="59" t="str">
        <f>IF(COUNTA(A1547:G1547)=0,"",IF(A1547="","N° devis manquant",IF(ISNA(MATCH(A1547,dv_num,0)),"Devis inconnu",IF(AND(B1547&lt;&gt;"",ISNA(MATCH(B1547,pr_code,0))),"Article inconnu",IF(H1547="","Désignation manquante",IF(OR(NOT(ISNUMBER(D1547)),N(D1547)&lt;=0),"Quantité invalide",IF(J1547="","Prix manquant",IF(OR(NOT(ISNUMBER(J1547)),N(J1547)&lt;0),"Prix invalide",IF(OR(AND(F1547&lt;&gt;"",NOT(ISNUMBER(F1547))),N(F1547)&lt;0,N(F1547)&gt;1),"Remise invalide",IF(K1547="","Taux de TVA manquant",IF(NOT(ISNUMBER(K1547)),"Taux de TVA invalide",IF(COUNTIF(p_rates,K1547)=0,"Taux de TVA hors liste (Paramètres)",IF(N(O1547)&gt;25,"Au-delà de 25 lignes : non imprimée","OK")))))))))))))</f>
        <v/>
      </c>
      <c r="O1547" s="59" t="str">
        <f>IF(A1547="","",COUNTIF($A$6:A1547,A1547))</f>
        <v/>
      </c>
      <c r="P1547" s="62" t="str">
        <f>IF(A1547="","",A1547&amp;"|"&amp;O1547)</f>
        <v/>
      </c>
    </row>
    <row r="1548">
      <c r="A1548" s="60" t="n"/>
      <c r="B1548" s="63" t="n"/>
      <c r="C1548" s="63" t="n"/>
      <c r="D1548" s="67" t="n"/>
      <c r="E1548" s="68" t="n"/>
      <c r="F1548" s="69" t="n"/>
      <c r="G1548" s="70" t="n"/>
      <c r="H1548" s="62" t="str">
        <f>IF(COUNTA(A1548:G1548)=0,"",IF(C1548&lt;&gt;"",C1548,IF(B1548="","",IFERROR(INDEX(pr_des,MATCH(B1548,pr_code,0))&amp;"",""))))</f>
        <v/>
      </c>
      <c r="I1548" s="59" t="str">
        <f>IF(B1548="","",IFERROR(INDEX(pr_unit,MATCH(B1548,pr_code,0))&amp;"",""))</f>
        <v/>
      </c>
      <c r="J1548" s="65" t="str">
        <f>IF(COUNTA(A1548:G1548)=0,"",IF(E1548&lt;&gt;"",E1548,IF(B1548="","",IFERROR(IF(INDEX(pr_price,MATCH(B1548,pr_code,0))="","",INDEX(pr_price,MATCH(B1548,pr_code,0))),""))))</f>
        <v/>
      </c>
      <c r="K1548" s="71" t="str">
        <f>IF(COUNTA(A1548:G1548)=0,"",IF(G1548&lt;&gt;"",G1548,IF(B1548="","",IFERROR(IF(INDEX(pr_rate,MATCH(B1548,pr_code,0))="","",INDEX(pr_rate,MATCH(B1548,pr_code,0))),""))))</f>
        <v/>
      </c>
      <c r="L1548" s="65" t="str">
        <f>IF(COUNTA(A1548:G1548)=0,"",IF(AND(ISNUMBER(D1548),ISNUMBER(J1548)),ROUND(D1548*J1548*(1-N(F1548)),2),0))</f>
        <v/>
      </c>
      <c r="M1548" s="62" t="str">
        <f>IF(A1548="","",IFERROR(INDEX(dv_cname,MATCH(A1548,dv_num,0))&amp;"",""))</f>
        <v/>
      </c>
      <c r="N1548" s="59" t="str">
        <f>IF(COUNTA(A1548:G1548)=0,"",IF(A1548="","N° devis manquant",IF(ISNA(MATCH(A1548,dv_num,0)),"Devis inconnu",IF(AND(B1548&lt;&gt;"",ISNA(MATCH(B1548,pr_code,0))),"Article inconnu",IF(H1548="","Désignation manquante",IF(OR(NOT(ISNUMBER(D1548)),N(D1548)&lt;=0),"Quantité invalide",IF(J1548="","Prix manquant",IF(OR(NOT(ISNUMBER(J1548)),N(J1548)&lt;0),"Prix invalide",IF(OR(AND(F1548&lt;&gt;"",NOT(ISNUMBER(F1548))),N(F1548)&lt;0,N(F1548)&gt;1),"Remise invalide",IF(K1548="","Taux de TVA manquant",IF(NOT(ISNUMBER(K1548)),"Taux de TVA invalide",IF(COUNTIF(p_rates,K1548)=0,"Taux de TVA hors liste (Paramètres)",IF(N(O1548)&gt;25,"Au-delà de 25 lignes : non imprimée","OK")))))))))))))</f>
        <v/>
      </c>
      <c r="O1548" s="59" t="str">
        <f>IF(A1548="","",COUNTIF($A$6:A1548,A1548))</f>
        <v/>
      </c>
      <c r="P1548" s="62" t="str">
        <f>IF(A1548="","",A1548&amp;"|"&amp;O1548)</f>
        <v/>
      </c>
    </row>
    <row r="1549">
      <c r="A1549" s="60" t="n"/>
      <c r="B1549" s="63" t="n"/>
      <c r="C1549" s="63" t="n"/>
      <c r="D1549" s="67" t="n"/>
      <c r="E1549" s="68" t="n"/>
      <c r="F1549" s="69" t="n"/>
      <c r="G1549" s="70" t="n"/>
      <c r="H1549" s="62" t="str">
        <f>IF(COUNTA(A1549:G1549)=0,"",IF(C1549&lt;&gt;"",C1549,IF(B1549="","",IFERROR(INDEX(pr_des,MATCH(B1549,pr_code,0))&amp;"",""))))</f>
        <v/>
      </c>
      <c r="I1549" s="59" t="str">
        <f>IF(B1549="","",IFERROR(INDEX(pr_unit,MATCH(B1549,pr_code,0))&amp;"",""))</f>
        <v/>
      </c>
      <c r="J1549" s="65" t="str">
        <f>IF(COUNTA(A1549:G1549)=0,"",IF(E1549&lt;&gt;"",E1549,IF(B1549="","",IFERROR(IF(INDEX(pr_price,MATCH(B1549,pr_code,0))="","",INDEX(pr_price,MATCH(B1549,pr_code,0))),""))))</f>
        <v/>
      </c>
      <c r="K1549" s="71" t="str">
        <f>IF(COUNTA(A1549:G1549)=0,"",IF(G1549&lt;&gt;"",G1549,IF(B1549="","",IFERROR(IF(INDEX(pr_rate,MATCH(B1549,pr_code,0))="","",INDEX(pr_rate,MATCH(B1549,pr_code,0))),""))))</f>
        <v/>
      </c>
      <c r="L1549" s="65" t="str">
        <f>IF(COUNTA(A1549:G1549)=0,"",IF(AND(ISNUMBER(D1549),ISNUMBER(J1549)),ROUND(D1549*J1549*(1-N(F1549)),2),0))</f>
        <v/>
      </c>
      <c r="M1549" s="62" t="str">
        <f>IF(A1549="","",IFERROR(INDEX(dv_cname,MATCH(A1549,dv_num,0))&amp;"",""))</f>
        <v/>
      </c>
      <c r="N1549" s="59" t="str">
        <f>IF(COUNTA(A1549:G1549)=0,"",IF(A1549="","N° devis manquant",IF(ISNA(MATCH(A1549,dv_num,0)),"Devis inconnu",IF(AND(B1549&lt;&gt;"",ISNA(MATCH(B1549,pr_code,0))),"Article inconnu",IF(H1549="","Désignation manquante",IF(OR(NOT(ISNUMBER(D1549)),N(D1549)&lt;=0),"Quantité invalide",IF(J1549="","Prix manquant",IF(OR(NOT(ISNUMBER(J1549)),N(J1549)&lt;0),"Prix invalide",IF(OR(AND(F1549&lt;&gt;"",NOT(ISNUMBER(F1549))),N(F1549)&lt;0,N(F1549)&gt;1),"Remise invalide",IF(K1549="","Taux de TVA manquant",IF(NOT(ISNUMBER(K1549)),"Taux de TVA invalide",IF(COUNTIF(p_rates,K1549)=0,"Taux de TVA hors liste (Paramètres)",IF(N(O1549)&gt;25,"Au-delà de 25 lignes : non imprimée","OK")))))))))))))</f>
        <v/>
      </c>
      <c r="O1549" s="59" t="str">
        <f>IF(A1549="","",COUNTIF($A$6:A1549,A1549))</f>
        <v/>
      </c>
      <c r="P1549" s="62" t="str">
        <f>IF(A1549="","",A1549&amp;"|"&amp;O1549)</f>
        <v/>
      </c>
    </row>
    <row r="1550">
      <c r="A1550" s="60" t="n"/>
      <c r="B1550" s="63" t="n"/>
      <c r="C1550" s="63" t="n"/>
      <c r="D1550" s="67" t="n"/>
      <c r="E1550" s="68" t="n"/>
      <c r="F1550" s="69" t="n"/>
      <c r="G1550" s="70" t="n"/>
      <c r="H1550" s="62" t="str">
        <f>IF(COUNTA(A1550:G1550)=0,"",IF(C1550&lt;&gt;"",C1550,IF(B1550="","",IFERROR(INDEX(pr_des,MATCH(B1550,pr_code,0))&amp;"",""))))</f>
        <v/>
      </c>
      <c r="I1550" s="59" t="str">
        <f>IF(B1550="","",IFERROR(INDEX(pr_unit,MATCH(B1550,pr_code,0))&amp;"",""))</f>
        <v/>
      </c>
      <c r="J1550" s="65" t="str">
        <f>IF(COUNTA(A1550:G1550)=0,"",IF(E1550&lt;&gt;"",E1550,IF(B1550="","",IFERROR(IF(INDEX(pr_price,MATCH(B1550,pr_code,0))="","",INDEX(pr_price,MATCH(B1550,pr_code,0))),""))))</f>
        <v/>
      </c>
      <c r="K1550" s="71" t="str">
        <f>IF(COUNTA(A1550:G1550)=0,"",IF(G1550&lt;&gt;"",G1550,IF(B1550="","",IFERROR(IF(INDEX(pr_rate,MATCH(B1550,pr_code,0))="","",INDEX(pr_rate,MATCH(B1550,pr_code,0))),""))))</f>
        <v/>
      </c>
      <c r="L1550" s="65" t="str">
        <f>IF(COUNTA(A1550:G1550)=0,"",IF(AND(ISNUMBER(D1550),ISNUMBER(J1550)),ROUND(D1550*J1550*(1-N(F1550)),2),0))</f>
        <v/>
      </c>
      <c r="M1550" s="62" t="str">
        <f>IF(A1550="","",IFERROR(INDEX(dv_cname,MATCH(A1550,dv_num,0))&amp;"",""))</f>
        <v/>
      </c>
      <c r="N1550" s="59" t="str">
        <f>IF(COUNTA(A1550:G1550)=0,"",IF(A1550="","N° devis manquant",IF(ISNA(MATCH(A1550,dv_num,0)),"Devis inconnu",IF(AND(B1550&lt;&gt;"",ISNA(MATCH(B1550,pr_code,0))),"Article inconnu",IF(H1550="","Désignation manquante",IF(OR(NOT(ISNUMBER(D1550)),N(D1550)&lt;=0),"Quantité invalide",IF(J1550="","Prix manquant",IF(OR(NOT(ISNUMBER(J1550)),N(J1550)&lt;0),"Prix invalide",IF(OR(AND(F1550&lt;&gt;"",NOT(ISNUMBER(F1550))),N(F1550)&lt;0,N(F1550)&gt;1),"Remise invalide",IF(K1550="","Taux de TVA manquant",IF(NOT(ISNUMBER(K1550)),"Taux de TVA invalide",IF(COUNTIF(p_rates,K1550)=0,"Taux de TVA hors liste (Paramètres)",IF(N(O1550)&gt;25,"Au-delà de 25 lignes : non imprimée","OK")))))))))))))</f>
        <v/>
      </c>
      <c r="O1550" s="59" t="str">
        <f>IF(A1550="","",COUNTIF($A$6:A1550,A1550))</f>
        <v/>
      </c>
      <c r="P1550" s="62" t="str">
        <f>IF(A1550="","",A1550&amp;"|"&amp;O1550)</f>
        <v/>
      </c>
    </row>
    <row r="1551">
      <c r="A1551" s="60" t="n"/>
      <c r="B1551" s="63" t="n"/>
      <c r="C1551" s="63" t="n"/>
      <c r="D1551" s="67" t="n"/>
      <c r="E1551" s="68" t="n"/>
      <c r="F1551" s="69" t="n"/>
      <c r="G1551" s="70" t="n"/>
      <c r="H1551" s="62" t="str">
        <f>IF(COUNTA(A1551:G1551)=0,"",IF(C1551&lt;&gt;"",C1551,IF(B1551="","",IFERROR(INDEX(pr_des,MATCH(B1551,pr_code,0))&amp;"",""))))</f>
        <v/>
      </c>
      <c r="I1551" s="59" t="str">
        <f>IF(B1551="","",IFERROR(INDEX(pr_unit,MATCH(B1551,pr_code,0))&amp;"",""))</f>
        <v/>
      </c>
      <c r="J1551" s="65" t="str">
        <f>IF(COUNTA(A1551:G1551)=0,"",IF(E1551&lt;&gt;"",E1551,IF(B1551="","",IFERROR(IF(INDEX(pr_price,MATCH(B1551,pr_code,0))="","",INDEX(pr_price,MATCH(B1551,pr_code,0))),""))))</f>
        <v/>
      </c>
      <c r="K1551" s="71" t="str">
        <f>IF(COUNTA(A1551:G1551)=0,"",IF(G1551&lt;&gt;"",G1551,IF(B1551="","",IFERROR(IF(INDEX(pr_rate,MATCH(B1551,pr_code,0))="","",INDEX(pr_rate,MATCH(B1551,pr_code,0))),""))))</f>
        <v/>
      </c>
      <c r="L1551" s="65" t="str">
        <f>IF(COUNTA(A1551:G1551)=0,"",IF(AND(ISNUMBER(D1551),ISNUMBER(J1551)),ROUND(D1551*J1551*(1-N(F1551)),2),0))</f>
        <v/>
      </c>
      <c r="M1551" s="62" t="str">
        <f>IF(A1551="","",IFERROR(INDEX(dv_cname,MATCH(A1551,dv_num,0))&amp;"",""))</f>
        <v/>
      </c>
      <c r="N1551" s="59" t="str">
        <f>IF(COUNTA(A1551:G1551)=0,"",IF(A1551="","N° devis manquant",IF(ISNA(MATCH(A1551,dv_num,0)),"Devis inconnu",IF(AND(B1551&lt;&gt;"",ISNA(MATCH(B1551,pr_code,0))),"Article inconnu",IF(H1551="","Désignation manquante",IF(OR(NOT(ISNUMBER(D1551)),N(D1551)&lt;=0),"Quantité invalide",IF(J1551="","Prix manquant",IF(OR(NOT(ISNUMBER(J1551)),N(J1551)&lt;0),"Prix invalide",IF(OR(AND(F1551&lt;&gt;"",NOT(ISNUMBER(F1551))),N(F1551)&lt;0,N(F1551)&gt;1),"Remise invalide",IF(K1551="","Taux de TVA manquant",IF(NOT(ISNUMBER(K1551)),"Taux de TVA invalide",IF(COUNTIF(p_rates,K1551)=0,"Taux de TVA hors liste (Paramètres)",IF(N(O1551)&gt;25,"Au-delà de 25 lignes : non imprimée","OK")))))))))))))</f>
        <v/>
      </c>
      <c r="O1551" s="59" t="str">
        <f>IF(A1551="","",COUNTIF($A$6:A1551,A1551))</f>
        <v/>
      </c>
      <c r="P1551" s="62" t="str">
        <f>IF(A1551="","",A1551&amp;"|"&amp;O1551)</f>
        <v/>
      </c>
    </row>
    <row r="1552">
      <c r="A1552" s="60" t="n"/>
      <c r="B1552" s="63" t="n"/>
      <c r="C1552" s="63" t="n"/>
      <c r="D1552" s="67" t="n"/>
      <c r="E1552" s="68" t="n"/>
      <c r="F1552" s="69" t="n"/>
      <c r="G1552" s="70" t="n"/>
      <c r="H1552" s="62" t="str">
        <f>IF(COUNTA(A1552:G1552)=0,"",IF(C1552&lt;&gt;"",C1552,IF(B1552="","",IFERROR(INDEX(pr_des,MATCH(B1552,pr_code,0))&amp;"",""))))</f>
        <v/>
      </c>
      <c r="I1552" s="59" t="str">
        <f>IF(B1552="","",IFERROR(INDEX(pr_unit,MATCH(B1552,pr_code,0))&amp;"",""))</f>
        <v/>
      </c>
      <c r="J1552" s="65" t="str">
        <f>IF(COUNTA(A1552:G1552)=0,"",IF(E1552&lt;&gt;"",E1552,IF(B1552="","",IFERROR(IF(INDEX(pr_price,MATCH(B1552,pr_code,0))="","",INDEX(pr_price,MATCH(B1552,pr_code,0))),""))))</f>
        <v/>
      </c>
      <c r="K1552" s="71" t="str">
        <f>IF(COUNTA(A1552:G1552)=0,"",IF(G1552&lt;&gt;"",G1552,IF(B1552="","",IFERROR(IF(INDEX(pr_rate,MATCH(B1552,pr_code,0))="","",INDEX(pr_rate,MATCH(B1552,pr_code,0))),""))))</f>
        <v/>
      </c>
      <c r="L1552" s="65" t="str">
        <f>IF(COUNTA(A1552:G1552)=0,"",IF(AND(ISNUMBER(D1552),ISNUMBER(J1552)),ROUND(D1552*J1552*(1-N(F1552)),2),0))</f>
        <v/>
      </c>
      <c r="M1552" s="62" t="str">
        <f>IF(A1552="","",IFERROR(INDEX(dv_cname,MATCH(A1552,dv_num,0))&amp;"",""))</f>
        <v/>
      </c>
      <c r="N1552" s="59" t="str">
        <f>IF(COUNTA(A1552:G1552)=0,"",IF(A1552="","N° devis manquant",IF(ISNA(MATCH(A1552,dv_num,0)),"Devis inconnu",IF(AND(B1552&lt;&gt;"",ISNA(MATCH(B1552,pr_code,0))),"Article inconnu",IF(H1552="","Désignation manquante",IF(OR(NOT(ISNUMBER(D1552)),N(D1552)&lt;=0),"Quantité invalide",IF(J1552="","Prix manquant",IF(OR(NOT(ISNUMBER(J1552)),N(J1552)&lt;0),"Prix invalide",IF(OR(AND(F1552&lt;&gt;"",NOT(ISNUMBER(F1552))),N(F1552)&lt;0,N(F1552)&gt;1),"Remise invalide",IF(K1552="","Taux de TVA manquant",IF(NOT(ISNUMBER(K1552)),"Taux de TVA invalide",IF(COUNTIF(p_rates,K1552)=0,"Taux de TVA hors liste (Paramètres)",IF(N(O1552)&gt;25,"Au-delà de 25 lignes : non imprimée","OK")))))))))))))</f>
        <v/>
      </c>
      <c r="O1552" s="59" t="str">
        <f>IF(A1552="","",COUNTIF($A$6:A1552,A1552))</f>
        <v/>
      </c>
      <c r="P1552" s="62" t="str">
        <f>IF(A1552="","",A1552&amp;"|"&amp;O1552)</f>
        <v/>
      </c>
    </row>
    <row r="1553">
      <c r="A1553" s="60" t="n"/>
      <c r="B1553" s="63" t="n"/>
      <c r="C1553" s="63" t="n"/>
      <c r="D1553" s="67" t="n"/>
      <c r="E1553" s="68" t="n"/>
      <c r="F1553" s="69" t="n"/>
      <c r="G1553" s="70" t="n"/>
      <c r="H1553" s="62" t="str">
        <f>IF(COUNTA(A1553:G1553)=0,"",IF(C1553&lt;&gt;"",C1553,IF(B1553="","",IFERROR(INDEX(pr_des,MATCH(B1553,pr_code,0))&amp;"",""))))</f>
        <v/>
      </c>
      <c r="I1553" s="59" t="str">
        <f>IF(B1553="","",IFERROR(INDEX(pr_unit,MATCH(B1553,pr_code,0))&amp;"",""))</f>
        <v/>
      </c>
      <c r="J1553" s="65" t="str">
        <f>IF(COUNTA(A1553:G1553)=0,"",IF(E1553&lt;&gt;"",E1553,IF(B1553="","",IFERROR(IF(INDEX(pr_price,MATCH(B1553,pr_code,0))="","",INDEX(pr_price,MATCH(B1553,pr_code,0))),""))))</f>
        <v/>
      </c>
      <c r="K1553" s="71" t="str">
        <f>IF(COUNTA(A1553:G1553)=0,"",IF(G1553&lt;&gt;"",G1553,IF(B1553="","",IFERROR(IF(INDEX(pr_rate,MATCH(B1553,pr_code,0))="","",INDEX(pr_rate,MATCH(B1553,pr_code,0))),""))))</f>
        <v/>
      </c>
      <c r="L1553" s="65" t="str">
        <f>IF(COUNTA(A1553:G1553)=0,"",IF(AND(ISNUMBER(D1553),ISNUMBER(J1553)),ROUND(D1553*J1553*(1-N(F1553)),2),0))</f>
        <v/>
      </c>
      <c r="M1553" s="62" t="str">
        <f>IF(A1553="","",IFERROR(INDEX(dv_cname,MATCH(A1553,dv_num,0))&amp;"",""))</f>
        <v/>
      </c>
      <c r="N1553" s="59" t="str">
        <f>IF(COUNTA(A1553:G1553)=0,"",IF(A1553="","N° devis manquant",IF(ISNA(MATCH(A1553,dv_num,0)),"Devis inconnu",IF(AND(B1553&lt;&gt;"",ISNA(MATCH(B1553,pr_code,0))),"Article inconnu",IF(H1553="","Désignation manquante",IF(OR(NOT(ISNUMBER(D1553)),N(D1553)&lt;=0),"Quantité invalide",IF(J1553="","Prix manquant",IF(OR(NOT(ISNUMBER(J1553)),N(J1553)&lt;0),"Prix invalide",IF(OR(AND(F1553&lt;&gt;"",NOT(ISNUMBER(F1553))),N(F1553)&lt;0,N(F1553)&gt;1),"Remise invalide",IF(K1553="","Taux de TVA manquant",IF(NOT(ISNUMBER(K1553)),"Taux de TVA invalide",IF(COUNTIF(p_rates,K1553)=0,"Taux de TVA hors liste (Paramètres)",IF(N(O1553)&gt;25,"Au-delà de 25 lignes : non imprimée","OK")))))))))))))</f>
        <v/>
      </c>
      <c r="O1553" s="59" t="str">
        <f>IF(A1553="","",COUNTIF($A$6:A1553,A1553))</f>
        <v/>
      </c>
      <c r="P1553" s="62" t="str">
        <f>IF(A1553="","",A1553&amp;"|"&amp;O1553)</f>
        <v/>
      </c>
    </row>
    <row r="1554">
      <c r="A1554" s="60" t="n"/>
      <c r="B1554" s="63" t="n"/>
      <c r="C1554" s="63" t="n"/>
      <c r="D1554" s="67" t="n"/>
      <c r="E1554" s="68" t="n"/>
      <c r="F1554" s="69" t="n"/>
      <c r="G1554" s="70" t="n"/>
      <c r="H1554" s="62" t="str">
        <f>IF(COUNTA(A1554:G1554)=0,"",IF(C1554&lt;&gt;"",C1554,IF(B1554="","",IFERROR(INDEX(pr_des,MATCH(B1554,pr_code,0))&amp;"",""))))</f>
        <v/>
      </c>
      <c r="I1554" s="59" t="str">
        <f>IF(B1554="","",IFERROR(INDEX(pr_unit,MATCH(B1554,pr_code,0))&amp;"",""))</f>
        <v/>
      </c>
      <c r="J1554" s="65" t="str">
        <f>IF(COUNTA(A1554:G1554)=0,"",IF(E1554&lt;&gt;"",E1554,IF(B1554="","",IFERROR(IF(INDEX(pr_price,MATCH(B1554,pr_code,0))="","",INDEX(pr_price,MATCH(B1554,pr_code,0))),""))))</f>
        <v/>
      </c>
      <c r="K1554" s="71" t="str">
        <f>IF(COUNTA(A1554:G1554)=0,"",IF(G1554&lt;&gt;"",G1554,IF(B1554="","",IFERROR(IF(INDEX(pr_rate,MATCH(B1554,pr_code,0))="","",INDEX(pr_rate,MATCH(B1554,pr_code,0))),""))))</f>
        <v/>
      </c>
      <c r="L1554" s="65" t="str">
        <f>IF(COUNTA(A1554:G1554)=0,"",IF(AND(ISNUMBER(D1554),ISNUMBER(J1554)),ROUND(D1554*J1554*(1-N(F1554)),2),0))</f>
        <v/>
      </c>
      <c r="M1554" s="62" t="str">
        <f>IF(A1554="","",IFERROR(INDEX(dv_cname,MATCH(A1554,dv_num,0))&amp;"",""))</f>
        <v/>
      </c>
      <c r="N1554" s="59" t="str">
        <f>IF(COUNTA(A1554:G1554)=0,"",IF(A1554="","N° devis manquant",IF(ISNA(MATCH(A1554,dv_num,0)),"Devis inconnu",IF(AND(B1554&lt;&gt;"",ISNA(MATCH(B1554,pr_code,0))),"Article inconnu",IF(H1554="","Désignation manquante",IF(OR(NOT(ISNUMBER(D1554)),N(D1554)&lt;=0),"Quantité invalide",IF(J1554="","Prix manquant",IF(OR(NOT(ISNUMBER(J1554)),N(J1554)&lt;0),"Prix invalide",IF(OR(AND(F1554&lt;&gt;"",NOT(ISNUMBER(F1554))),N(F1554)&lt;0,N(F1554)&gt;1),"Remise invalide",IF(K1554="","Taux de TVA manquant",IF(NOT(ISNUMBER(K1554)),"Taux de TVA invalide",IF(COUNTIF(p_rates,K1554)=0,"Taux de TVA hors liste (Paramètres)",IF(N(O1554)&gt;25,"Au-delà de 25 lignes : non imprimée","OK")))))))))))))</f>
        <v/>
      </c>
      <c r="O1554" s="59" t="str">
        <f>IF(A1554="","",COUNTIF($A$6:A1554,A1554))</f>
        <v/>
      </c>
      <c r="P1554" s="62" t="str">
        <f>IF(A1554="","",A1554&amp;"|"&amp;O1554)</f>
        <v/>
      </c>
    </row>
    <row r="1555">
      <c r="A1555" s="60" t="n"/>
      <c r="B1555" s="63" t="n"/>
      <c r="C1555" s="63" t="n"/>
      <c r="D1555" s="67" t="n"/>
      <c r="E1555" s="68" t="n"/>
      <c r="F1555" s="69" t="n"/>
      <c r="G1555" s="70" t="n"/>
      <c r="H1555" s="62" t="str">
        <f>IF(COUNTA(A1555:G1555)=0,"",IF(C1555&lt;&gt;"",C1555,IF(B1555="","",IFERROR(INDEX(pr_des,MATCH(B1555,pr_code,0))&amp;"",""))))</f>
        <v/>
      </c>
      <c r="I1555" s="59" t="str">
        <f>IF(B1555="","",IFERROR(INDEX(pr_unit,MATCH(B1555,pr_code,0))&amp;"",""))</f>
        <v/>
      </c>
      <c r="J1555" s="65" t="str">
        <f>IF(COUNTA(A1555:G1555)=0,"",IF(E1555&lt;&gt;"",E1555,IF(B1555="","",IFERROR(IF(INDEX(pr_price,MATCH(B1555,pr_code,0))="","",INDEX(pr_price,MATCH(B1555,pr_code,0))),""))))</f>
        <v/>
      </c>
      <c r="K1555" s="71" t="str">
        <f>IF(COUNTA(A1555:G1555)=0,"",IF(G1555&lt;&gt;"",G1555,IF(B1555="","",IFERROR(IF(INDEX(pr_rate,MATCH(B1555,pr_code,0))="","",INDEX(pr_rate,MATCH(B1555,pr_code,0))),""))))</f>
        <v/>
      </c>
      <c r="L1555" s="65" t="str">
        <f>IF(COUNTA(A1555:G1555)=0,"",IF(AND(ISNUMBER(D1555),ISNUMBER(J1555)),ROUND(D1555*J1555*(1-N(F1555)),2),0))</f>
        <v/>
      </c>
      <c r="M1555" s="62" t="str">
        <f>IF(A1555="","",IFERROR(INDEX(dv_cname,MATCH(A1555,dv_num,0))&amp;"",""))</f>
        <v/>
      </c>
      <c r="N1555" s="59" t="str">
        <f>IF(COUNTA(A1555:G1555)=0,"",IF(A1555="","N° devis manquant",IF(ISNA(MATCH(A1555,dv_num,0)),"Devis inconnu",IF(AND(B1555&lt;&gt;"",ISNA(MATCH(B1555,pr_code,0))),"Article inconnu",IF(H1555="","Désignation manquante",IF(OR(NOT(ISNUMBER(D1555)),N(D1555)&lt;=0),"Quantité invalide",IF(J1555="","Prix manquant",IF(OR(NOT(ISNUMBER(J1555)),N(J1555)&lt;0),"Prix invalide",IF(OR(AND(F1555&lt;&gt;"",NOT(ISNUMBER(F1555))),N(F1555)&lt;0,N(F1555)&gt;1),"Remise invalide",IF(K1555="","Taux de TVA manquant",IF(NOT(ISNUMBER(K1555)),"Taux de TVA invalide",IF(COUNTIF(p_rates,K1555)=0,"Taux de TVA hors liste (Paramètres)",IF(N(O1555)&gt;25,"Au-delà de 25 lignes : non imprimée","OK")))))))))))))</f>
        <v/>
      </c>
      <c r="O1555" s="59" t="str">
        <f>IF(A1555="","",COUNTIF($A$6:A1555,A1555))</f>
        <v/>
      </c>
      <c r="P1555" s="62" t="str">
        <f>IF(A1555="","",A1555&amp;"|"&amp;O1555)</f>
        <v/>
      </c>
    </row>
    <row r="1556">
      <c r="A1556" s="60" t="n"/>
      <c r="B1556" s="63" t="n"/>
      <c r="C1556" s="63" t="n"/>
      <c r="D1556" s="67" t="n"/>
      <c r="E1556" s="68" t="n"/>
      <c r="F1556" s="69" t="n"/>
      <c r="G1556" s="70" t="n"/>
      <c r="H1556" s="62" t="str">
        <f>IF(COUNTA(A1556:G1556)=0,"",IF(C1556&lt;&gt;"",C1556,IF(B1556="","",IFERROR(INDEX(pr_des,MATCH(B1556,pr_code,0))&amp;"",""))))</f>
        <v/>
      </c>
      <c r="I1556" s="59" t="str">
        <f>IF(B1556="","",IFERROR(INDEX(pr_unit,MATCH(B1556,pr_code,0))&amp;"",""))</f>
        <v/>
      </c>
      <c r="J1556" s="65" t="str">
        <f>IF(COUNTA(A1556:G1556)=0,"",IF(E1556&lt;&gt;"",E1556,IF(B1556="","",IFERROR(IF(INDEX(pr_price,MATCH(B1556,pr_code,0))="","",INDEX(pr_price,MATCH(B1556,pr_code,0))),""))))</f>
        <v/>
      </c>
      <c r="K1556" s="71" t="str">
        <f>IF(COUNTA(A1556:G1556)=0,"",IF(G1556&lt;&gt;"",G1556,IF(B1556="","",IFERROR(IF(INDEX(pr_rate,MATCH(B1556,pr_code,0))="","",INDEX(pr_rate,MATCH(B1556,pr_code,0))),""))))</f>
        <v/>
      </c>
      <c r="L1556" s="65" t="str">
        <f>IF(COUNTA(A1556:G1556)=0,"",IF(AND(ISNUMBER(D1556),ISNUMBER(J1556)),ROUND(D1556*J1556*(1-N(F1556)),2),0))</f>
        <v/>
      </c>
      <c r="M1556" s="62" t="str">
        <f>IF(A1556="","",IFERROR(INDEX(dv_cname,MATCH(A1556,dv_num,0))&amp;"",""))</f>
        <v/>
      </c>
      <c r="N1556" s="59" t="str">
        <f>IF(COUNTA(A1556:G1556)=0,"",IF(A1556="","N° devis manquant",IF(ISNA(MATCH(A1556,dv_num,0)),"Devis inconnu",IF(AND(B1556&lt;&gt;"",ISNA(MATCH(B1556,pr_code,0))),"Article inconnu",IF(H1556="","Désignation manquante",IF(OR(NOT(ISNUMBER(D1556)),N(D1556)&lt;=0),"Quantité invalide",IF(J1556="","Prix manquant",IF(OR(NOT(ISNUMBER(J1556)),N(J1556)&lt;0),"Prix invalide",IF(OR(AND(F1556&lt;&gt;"",NOT(ISNUMBER(F1556))),N(F1556)&lt;0,N(F1556)&gt;1),"Remise invalide",IF(K1556="","Taux de TVA manquant",IF(NOT(ISNUMBER(K1556)),"Taux de TVA invalide",IF(COUNTIF(p_rates,K1556)=0,"Taux de TVA hors liste (Paramètres)",IF(N(O1556)&gt;25,"Au-delà de 25 lignes : non imprimée","OK")))))))))))))</f>
        <v/>
      </c>
      <c r="O1556" s="59" t="str">
        <f>IF(A1556="","",COUNTIF($A$6:A1556,A1556))</f>
        <v/>
      </c>
      <c r="P1556" s="62" t="str">
        <f>IF(A1556="","",A1556&amp;"|"&amp;O1556)</f>
        <v/>
      </c>
    </row>
    <row r="1557">
      <c r="A1557" s="60" t="n"/>
      <c r="B1557" s="63" t="n"/>
      <c r="C1557" s="63" t="n"/>
      <c r="D1557" s="67" t="n"/>
      <c r="E1557" s="68" t="n"/>
      <c r="F1557" s="69" t="n"/>
      <c r="G1557" s="70" t="n"/>
      <c r="H1557" s="62" t="str">
        <f>IF(COUNTA(A1557:G1557)=0,"",IF(C1557&lt;&gt;"",C1557,IF(B1557="","",IFERROR(INDEX(pr_des,MATCH(B1557,pr_code,0))&amp;"",""))))</f>
        <v/>
      </c>
      <c r="I1557" s="59" t="str">
        <f>IF(B1557="","",IFERROR(INDEX(pr_unit,MATCH(B1557,pr_code,0))&amp;"",""))</f>
        <v/>
      </c>
      <c r="J1557" s="65" t="str">
        <f>IF(COUNTA(A1557:G1557)=0,"",IF(E1557&lt;&gt;"",E1557,IF(B1557="","",IFERROR(IF(INDEX(pr_price,MATCH(B1557,pr_code,0))="","",INDEX(pr_price,MATCH(B1557,pr_code,0))),""))))</f>
        <v/>
      </c>
      <c r="K1557" s="71" t="str">
        <f>IF(COUNTA(A1557:G1557)=0,"",IF(G1557&lt;&gt;"",G1557,IF(B1557="","",IFERROR(IF(INDEX(pr_rate,MATCH(B1557,pr_code,0))="","",INDEX(pr_rate,MATCH(B1557,pr_code,0))),""))))</f>
        <v/>
      </c>
      <c r="L1557" s="65" t="str">
        <f>IF(COUNTA(A1557:G1557)=0,"",IF(AND(ISNUMBER(D1557),ISNUMBER(J1557)),ROUND(D1557*J1557*(1-N(F1557)),2),0))</f>
        <v/>
      </c>
      <c r="M1557" s="62" t="str">
        <f>IF(A1557="","",IFERROR(INDEX(dv_cname,MATCH(A1557,dv_num,0))&amp;"",""))</f>
        <v/>
      </c>
      <c r="N1557" s="59" t="str">
        <f>IF(COUNTA(A1557:G1557)=0,"",IF(A1557="","N° devis manquant",IF(ISNA(MATCH(A1557,dv_num,0)),"Devis inconnu",IF(AND(B1557&lt;&gt;"",ISNA(MATCH(B1557,pr_code,0))),"Article inconnu",IF(H1557="","Désignation manquante",IF(OR(NOT(ISNUMBER(D1557)),N(D1557)&lt;=0),"Quantité invalide",IF(J1557="","Prix manquant",IF(OR(NOT(ISNUMBER(J1557)),N(J1557)&lt;0),"Prix invalide",IF(OR(AND(F1557&lt;&gt;"",NOT(ISNUMBER(F1557))),N(F1557)&lt;0,N(F1557)&gt;1),"Remise invalide",IF(K1557="","Taux de TVA manquant",IF(NOT(ISNUMBER(K1557)),"Taux de TVA invalide",IF(COUNTIF(p_rates,K1557)=0,"Taux de TVA hors liste (Paramètres)",IF(N(O1557)&gt;25,"Au-delà de 25 lignes : non imprimée","OK")))))))))))))</f>
        <v/>
      </c>
      <c r="O1557" s="59" t="str">
        <f>IF(A1557="","",COUNTIF($A$6:A1557,A1557))</f>
        <v/>
      </c>
      <c r="P1557" s="62" t="str">
        <f>IF(A1557="","",A1557&amp;"|"&amp;O1557)</f>
        <v/>
      </c>
    </row>
    <row r="1558">
      <c r="A1558" s="60" t="n"/>
      <c r="B1558" s="63" t="n"/>
      <c r="C1558" s="63" t="n"/>
      <c r="D1558" s="67" t="n"/>
      <c r="E1558" s="68" t="n"/>
      <c r="F1558" s="69" t="n"/>
      <c r="G1558" s="70" t="n"/>
      <c r="H1558" s="62" t="str">
        <f>IF(COUNTA(A1558:G1558)=0,"",IF(C1558&lt;&gt;"",C1558,IF(B1558="","",IFERROR(INDEX(pr_des,MATCH(B1558,pr_code,0))&amp;"",""))))</f>
        <v/>
      </c>
      <c r="I1558" s="59" t="str">
        <f>IF(B1558="","",IFERROR(INDEX(pr_unit,MATCH(B1558,pr_code,0))&amp;"",""))</f>
        <v/>
      </c>
      <c r="J1558" s="65" t="str">
        <f>IF(COUNTA(A1558:G1558)=0,"",IF(E1558&lt;&gt;"",E1558,IF(B1558="","",IFERROR(IF(INDEX(pr_price,MATCH(B1558,pr_code,0))="","",INDEX(pr_price,MATCH(B1558,pr_code,0))),""))))</f>
        <v/>
      </c>
      <c r="K1558" s="71" t="str">
        <f>IF(COUNTA(A1558:G1558)=0,"",IF(G1558&lt;&gt;"",G1558,IF(B1558="","",IFERROR(IF(INDEX(pr_rate,MATCH(B1558,pr_code,0))="","",INDEX(pr_rate,MATCH(B1558,pr_code,0))),""))))</f>
        <v/>
      </c>
      <c r="L1558" s="65" t="str">
        <f>IF(COUNTA(A1558:G1558)=0,"",IF(AND(ISNUMBER(D1558),ISNUMBER(J1558)),ROUND(D1558*J1558*(1-N(F1558)),2),0))</f>
        <v/>
      </c>
      <c r="M1558" s="62" t="str">
        <f>IF(A1558="","",IFERROR(INDEX(dv_cname,MATCH(A1558,dv_num,0))&amp;"",""))</f>
        <v/>
      </c>
      <c r="N1558" s="59" t="str">
        <f>IF(COUNTA(A1558:G1558)=0,"",IF(A1558="","N° devis manquant",IF(ISNA(MATCH(A1558,dv_num,0)),"Devis inconnu",IF(AND(B1558&lt;&gt;"",ISNA(MATCH(B1558,pr_code,0))),"Article inconnu",IF(H1558="","Désignation manquante",IF(OR(NOT(ISNUMBER(D1558)),N(D1558)&lt;=0),"Quantité invalide",IF(J1558="","Prix manquant",IF(OR(NOT(ISNUMBER(J1558)),N(J1558)&lt;0),"Prix invalide",IF(OR(AND(F1558&lt;&gt;"",NOT(ISNUMBER(F1558))),N(F1558)&lt;0,N(F1558)&gt;1),"Remise invalide",IF(K1558="","Taux de TVA manquant",IF(NOT(ISNUMBER(K1558)),"Taux de TVA invalide",IF(COUNTIF(p_rates,K1558)=0,"Taux de TVA hors liste (Paramètres)",IF(N(O1558)&gt;25,"Au-delà de 25 lignes : non imprimée","OK")))))))))))))</f>
        <v/>
      </c>
      <c r="O1558" s="59" t="str">
        <f>IF(A1558="","",COUNTIF($A$6:A1558,A1558))</f>
        <v/>
      </c>
      <c r="P1558" s="62" t="str">
        <f>IF(A1558="","",A1558&amp;"|"&amp;O1558)</f>
        <v/>
      </c>
    </row>
    <row r="1559">
      <c r="A1559" s="60" t="n"/>
      <c r="B1559" s="63" t="n"/>
      <c r="C1559" s="63" t="n"/>
      <c r="D1559" s="67" t="n"/>
      <c r="E1559" s="68" t="n"/>
      <c r="F1559" s="69" t="n"/>
      <c r="G1559" s="70" t="n"/>
      <c r="H1559" s="62" t="str">
        <f>IF(COUNTA(A1559:G1559)=0,"",IF(C1559&lt;&gt;"",C1559,IF(B1559="","",IFERROR(INDEX(pr_des,MATCH(B1559,pr_code,0))&amp;"",""))))</f>
        <v/>
      </c>
      <c r="I1559" s="59" t="str">
        <f>IF(B1559="","",IFERROR(INDEX(pr_unit,MATCH(B1559,pr_code,0))&amp;"",""))</f>
        <v/>
      </c>
      <c r="J1559" s="65" t="str">
        <f>IF(COUNTA(A1559:G1559)=0,"",IF(E1559&lt;&gt;"",E1559,IF(B1559="","",IFERROR(IF(INDEX(pr_price,MATCH(B1559,pr_code,0))="","",INDEX(pr_price,MATCH(B1559,pr_code,0))),""))))</f>
        <v/>
      </c>
      <c r="K1559" s="71" t="str">
        <f>IF(COUNTA(A1559:G1559)=0,"",IF(G1559&lt;&gt;"",G1559,IF(B1559="","",IFERROR(IF(INDEX(pr_rate,MATCH(B1559,pr_code,0))="","",INDEX(pr_rate,MATCH(B1559,pr_code,0))),""))))</f>
        <v/>
      </c>
      <c r="L1559" s="65" t="str">
        <f>IF(COUNTA(A1559:G1559)=0,"",IF(AND(ISNUMBER(D1559),ISNUMBER(J1559)),ROUND(D1559*J1559*(1-N(F1559)),2),0))</f>
        <v/>
      </c>
      <c r="M1559" s="62" t="str">
        <f>IF(A1559="","",IFERROR(INDEX(dv_cname,MATCH(A1559,dv_num,0))&amp;"",""))</f>
        <v/>
      </c>
      <c r="N1559" s="59" t="str">
        <f>IF(COUNTA(A1559:G1559)=0,"",IF(A1559="","N° devis manquant",IF(ISNA(MATCH(A1559,dv_num,0)),"Devis inconnu",IF(AND(B1559&lt;&gt;"",ISNA(MATCH(B1559,pr_code,0))),"Article inconnu",IF(H1559="","Désignation manquante",IF(OR(NOT(ISNUMBER(D1559)),N(D1559)&lt;=0),"Quantité invalide",IF(J1559="","Prix manquant",IF(OR(NOT(ISNUMBER(J1559)),N(J1559)&lt;0),"Prix invalide",IF(OR(AND(F1559&lt;&gt;"",NOT(ISNUMBER(F1559))),N(F1559)&lt;0,N(F1559)&gt;1),"Remise invalide",IF(K1559="","Taux de TVA manquant",IF(NOT(ISNUMBER(K1559)),"Taux de TVA invalide",IF(COUNTIF(p_rates,K1559)=0,"Taux de TVA hors liste (Paramètres)",IF(N(O1559)&gt;25,"Au-delà de 25 lignes : non imprimée","OK")))))))))))))</f>
        <v/>
      </c>
      <c r="O1559" s="59" t="str">
        <f>IF(A1559="","",COUNTIF($A$6:A1559,A1559))</f>
        <v/>
      </c>
      <c r="P1559" s="62" t="str">
        <f>IF(A1559="","",A1559&amp;"|"&amp;O1559)</f>
        <v/>
      </c>
    </row>
    <row r="1560">
      <c r="A1560" s="60" t="n"/>
      <c r="B1560" s="63" t="n"/>
      <c r="C1560" s="63" t="n"/>
      <c r="D1560" s="67" t="n"/>
      <c r="E1560" s="68" t="n"/>
      <c r="F1560" s="69" t="n"/>
      <c r="G1560" s="70" t="n"/>
      <c r="H1560" s="62" t="str">
        <f>IF(COUNTA(A1560:G1560)=0,"",IF(C1560&lt;&gt;"",C1560,IF(B1560="","",IFERROR(INDEX(pr_des,MATCH(B1560,pr_code,0))&amp;"",""))))</f>
        <v/>
      </c>
      <c r="I1560" s="59" t="str">
        <f>IF(B1560="","",IFERROR(INDEX(pr_unit,MATCH(B1560,pr_code,0))&amp;"",""))</f>
        <v/>
      </c>
      <c r="J1560" s="65" t="str">
        <f>IF(COUNTA(A1560:G1560)=0,"",IF(E1560&lt;&gt;"",E1560,IF(B1560="","",IFERROR(IF(INDEX(pr_price,MATCH(B1560,pr_code,0))="","",INDEX(pr_price,MATCH(B1560,pr_code,0))),""))))</f>
        <v/>
      </c>
      <c r="K1560" s="71" t="str">
        <f>IF(COUNTA(A1560:G1560)=0,"",IF(G1560&lt;&gt;"",G1560,IF(B1560="","",IFERROR(IF(INDEX(pr_rate,MATCH(B1560,pr_code,0))="","",INDEX(pr_rate,MATCH(B1560,pr_code,0))),""))))</f>
        <v/>
      </c>
      <c r="L1560" s="65" t="str">
        <f>IF(COUNTA(A1560:G1560)=0,"",IF(AND(ISNUMBER(D1560),ISNUMBER(J1560)),ROUND(D1560*J1560*(1-N(F1560)),2),0))</f>
        <v/>
      </c>
      <c r="M1560" s="62" t="str">
        <f>IF(A1560="","",IFERROR(INDEX(dv_cname,MATCH(A1560,dv_num,0))&amp;"",""))</f>
        <v/>
      </c>
      <c r="N1560" s="59" t="str">
        <f>IF(COUNTA(A1560:G1560)=0,"",IF(A1560="","N° devis manquant",IF(ISNA(MATCH(A1560,dv_num,0)),"Devis inconnu",IF(AND(B1560&lt;&gt;"",ISNA(MATCH(B1560,pr_code,0))),"Article inconnu",IF(H1560="","Désignation manquante",IF(OR(NOT(ISNUMBER(D1560)),N(D1560)&lt;=0),"Quantité invalide",IF(J1560="","Prix manquant",IF(OR(NOT(ISNUMBER(J1560)),N(J1560)&lt;0),"Prix invalide",IF(OR(AND(F1560&lt;&gt;"",NOT(ISNUMBER(F1560))),N(F1560)&lt;0,N(F1560)&gt;1),"Remise invalide",IF(K1560="","Taux de TVA manquant",IF(NOT(ISNUMBER(K1560)),"Taux de TVA invalide",IF(COUNTIF(p_rates,K1560)=0,"Taux de TVA hors liste (Paramètres)",IF(N(O1560)&gt;25,"Au-delà de 25 lignes : non imprimée","OK")))))))))))))</f>
        <v/>
      </c>
      <c r="O1560" s="59" t="str">
        <f>IF(A1560="","",COUNTIF($A$6:A1560,A1560))</f>
        <v/>
      </c>
      <c r="P1560" s="62" t="str">
        <f>IF(A1560="","",A1560&amp;"|"&amp;O1560)</f>
        <v/>
      </c>
    </row>
    <row r="1561">
      <c r="A1561" s="60" t="n"/>
      <c r="B1561" s="63" t="n"/>
      <c r="C1561" s="63" t="n"/>
      <c r="D1561" s="67" t="n"/>
      <c r="E1561" s="68" t="n"/>
      <c r="F1561" s="69" t="n"/>
      <c r="G1561" s="70" t="n"/>
      <c r="H1561" s="62" t="str">
        <f>IF(COUNTA(A1561:G1561)=0,"",IF(C1561&lt;&gt;"",C1561,IF(B1561="","",IFERROR(INDEX(pr_des,MATCH(B1561,pr_code,0))&amp;"",""))))</f>
        <v/>
      </c>
      <c r="I1561" s="59" t="str">
        <f>IF(B1561="","",IFERROR(INDEX(pr_unit,MATCH(B1561,pr_code,0))&amp;"",""))</f>
        <v/>
      </c>
      <c r="J1561" s="65" t="str">
        <f>IF(COUNTA(A1561:G1561)=0,"",IF(E1561&lt;&gt;"",E1561,IF(B1561="","",IFERROR(IF(INDEX(pr_price,MATCH(B1561,pr_code,0))="","",INDEX(pr_price,MATCH(B1561,pr_code,0))),""))))</f>
        <v/>
      </c>
      <c r="K1561" s="71" t="str">
        <f>IF(COUNTA(A1561:G1561)=0,"",IF(G1561&lt;&gt;"",G1561,IF(B1561="","",IFERROR(IF(INDEX(pr_rate,MATCH(B1561,pr_code,0))="","",INDEX(pr_rate,MATCH(B1561,pr_code,0))),""))))</f>
        <v/>
      </c>
      <c r="L1561" s="65" t="str">
        <f>IF(COUNTA(A1561:G1561)=0,"",IF(AND(ISNUMBER(D1561),ISNUMBER(J1561)),ROUND(D1561*J1561*(1-N(F1561)),2),0))</f>
        <v/>
      </c>
      <c r="M1561" s="62" t="str">
        <f>IF(A1561="","",IFERROR(INDEX(dv_cname,MATCH(A1561,dv_num,0))&amp;"",""))</f>
        <v/>
      </c>
      <c r="N1561" s="59" t="str">
        <f>IF(COUNTA(A1561:G1561)=0,"",IF(A1561="","N° devis manquant",IF(ISNA(MATCH(A1561,dv_num,0)),"Devis inconnu",IF(AND(B1561&lt;&gt;"",ISNA(MATCH(B1561,pr_code,0))),"Article inconnu",IF(H1561="","Désignation manquante",IF(OR(NOT(ISNUMBER(D1561)),N(D1561)&lt;=0),"Quantité invalide",IF(J1561="","Prix manquant",IF(OR(NOT(ISNUMBER(J1561)),N(J1561)&lt;0),"Prix invalide",IF(OR(AND(F1561&lt;&gt;"",NOT(ISNUMBER(F1561))),N(F1561)&lt;0,N(F1561)&gt;1),"Remise invalide",IF(K1561="","Taux de TVA manquant",IF(NOT(ISNUMBER(K1561)),"Taux de TVA invalide",IF(COUNTIF(p_rates,K1561)=0,"Taux de TVA hors liste (Paramètres)",IF(N(O1561)&gt;25,"Au-delà de 25 lignes : non imprimée","OK")))))))))))))</f>
        <v/>
      </c>
      <c r="O1561" s="59" t="str">
        <f>IF(A1561="","",COUNTIF($A$6:A1561,A1561))</f>
        <v/>
      </c>
      <c r="P1561" s="62" t="str">
        <f>IF(A1561="","",A1561&amp;"|"&amp;O1561)</f>
        <v/>
      </c>
    </row>
    <row r="1562">
      <c r="A1562" s="60" t="n"/>
      <c r="B1562" s="63" t="n"/>
      <c r="C1562" s="63" t="n"/>
      <c r="D1562" s="67" t="n"/>
      <c r="E1562" s="68" t="n"/>
      <c r="F1562" s="69" t="n"/>
      <c r="G1562" s="70" t="n"/>
      <c r="H1562" s="62" t="str">
        <f>IF(COUNTA(A1562:G1562)=0,"",IF(C1562&lt;&gt;"",C1562,IF(B1562="","",IFERROR(INDEX(pr_des,MATCH(B1562,pr_code,0))&amp;"",""))))</f>
        <v/>
      </c>
      <c r="I1562" s="59" t="str">
        <f>IF(B1562="","",IFERROR(INDEX(pr_unit,MATCH(B1562,pr_code,0))&amp;"",""))</f>
        <v/>
      </c>
      <c r="J1562" s="65" t="str">
        <f>IF(COUNTA(A1562:G1562)=0,"",IF(E1562&lt;&gt;"",E1562,IF(B1562="","",IFERROR(IF(INDEX(pr_price,MATCH(B1562,pr_code,0))="","",INDEX(pr_price,MATCH(B1562,pr_code,0))),""))))</f>
        <v/>
      </c>
      <c r="K1562" s="71" t="str">
        <f>IF(COUNTA(A1562:G1562)=0,"",IF(G1562&lt;&gt;"",G1562,IF(B1562="","",IFERROR(IF(INDEX(pr_rate,MATCH(B1562,pr_code,0))="","",INDEX(pr_rate,MATCH(B1562,pr_code,0))),""))))</f>
        <v/>
      </c>
      <c r="L1562" s="65" t="str">
        <f>IF(COUNTA(A1562:G1562)=0,"",IF(AND(ISNUMBER(D1562),ISNUMBER(J1562)),ROUND(D1562*J1562*(1-N(F1562)),2),0))</f>
        <v/>
      </c>
      <c r="M1562" s="62" t="str">
        <f>IF(A1562="","",IFERROR(INDEX(dv_cname,MATCH(A1562,dv_num,0))&amp;"",""))</f>
        <v/>
      </c>
      <c r="N1562" s="59" t="str">
        <f>IF(COUNTA(A1562:G1562)=0,"",IF(A1562="","N° devis manquant",IF(ISNA(MATCH(A1562,dv_num,0)),"Devis inconnu",IF(AND(B1562&lt;&gt;"",ISNA(MATCH(B1562,pr_code,0))),"Article inconnu",IF(H1562="","Désignation manquante",IF(OR(NOT(ISNUMBER(D1562)),N(D1562)&lt;=0),"Quantité invalide",IF(J1562="","Prix manquant",IF(OR(NOT(ISNUMBER(J1562)),N(J1562)&lt;0),"Prix invalide",IF(OR(AND(F1562&lt;&gt;"",NOT(ISNUMBER(F1562))),N(F1562)&lt;0,N(F1562)&gt;1),"Remise invalide",IF(K1562="","Taux de TVA manquant",IF(NOT(ISNUMBER(K1562)),"Taux de TVA invalide",IF(COUNTIF(p_rates,K1562)=0,"Taux de TVA hors liste (Paramètres)",IF(N(O1562)&gt;25,"Au-delà de 25 lignes : non imprimée","OK")))))))))))))</f>
        <v/>
      </c>
      <c r="O1562" s="59" t="str">
        <f>IF(A1562="","",COUNTIF($A$6:A1562,A1562))</f>
        <v/>
      </c>
      <c r="P1562" s="62" t="str">
        <f>IF(A1562="","",A1562&amp;"|"&amp;O1562)</f>
        <v/>
      </c>
    </row>
    <row r="1563">
      <c r="A1563" s="60" t="n"/>
      <c r="B1563" s="63" t="n"/>
      <c r="C1563" s="63" t="n"/>
      <c r="D1563" s="67" t="n"/>
      <c r="E1563" s="68" t="n"/>
      <c r="F1563" s="69" t="n"/>
      <c r="G1563" s="70" t="n"/>
      <c r="H1563" s="62" t="str">
        <f>IF(COUNTA(A1563:G1563)=0,"",IF(C1563&lt;&gt;"",C1563,IF(B1563="","",IFERROR(INDEX(pr_des,MATCH(B1563,pr_code,0))&amp;"",""))))</f>
        <v/>
      </c>
      <c r="I1563" s="59" t="str">
        <f>IF(B1563="","",IFERROR(INDEX(pr_unit,MATCH(B1563,pr_code,0))&amp;"",""))</f>
        <v/>
      </c>
      <c r="J1563" s="65" t="str">
        <f>IF(COUNTA(A1563:G1563)=0,"",IF(E1563&lt;&gt;"",E1563,IF(B1563="","",IFERROR(IF(INDEX(pr_price,MATCH(B1563,pr_code,0))="","",INDEX(pr_price,MATCH(B1563,pr_code,0))),""))))</f>
        <v/>
      </c>
      <c r="K1563" s="71" t="str">
        <f>IF(COUNTA(A1563:G1563)=0,"",IF(G1563&lt;&gt;"",G1563,IF(B1563="","",IFERROR(IF(INDEX(pr_rate,MATCH(B1563,pr_code,0))="","",INDEX(pr_rate,MATCH(B1563,pr_code,0))),""))))</f>
        <v/>
      </c>
      <c r="L1563" s="65" t="str">
        <f>IF(COUNTA(A1563:G1563)=0,"",IF(AND(ISNUMBER(D1563),ISNUMBER(J1563)),ROUND(D1563*J1563*(1-N(F1563)),2),0))</f>
        <v/>
      </c>
      <c r="M1563" s="62" t="str">
        <f>IF(A1563="","",IFERROR(INDEX(dv_cname,MATCH(A1563,dv_num,0))&amp;"",""))</f>
        <v/>
      </c>
      <c r="N1563" s="59" t="str">
        <f>IF(COUNTA(A1563:G1563)=0,"",IF(A1563="","N° devis manquant",IF(ISNA(MATCH(A1563,dv_num,0)),"Devis inconnu",IF(AND(B1563&lt;&gt;"",ISNA(MATCH(B1563,pr_code,0))),"Article inconnu",IF(H1563="","Désignation manquante",IF(OR(NOT(ISNUMBER(D1563)),N(D1563)&lt;=0),"Quantité invalide",IF(J1563="","Prix manquant",IF(OR(NOT(ISNUMBER(J1563)),N(J1563)&lt;0),"Prix invalide",IF(OR(AND(F1563&lt;&gt;"",NOT(ISNUMBER(F1563))),N(F1563)&lt;0,N(F1563)&gt;1),"Remise invalide",IF(K1563="","Taux de TVA manquant",IF(NOT(ISNUMBER(K1563)),"Taux de TVA invalide",IF(COUNTIF(p_rates,K1563)=0,"Taux de TVA hors liste (Paramètres)",IF(N(O1563)&gt;25,"Au-delà de 25 lignes : non imprimée","OK")))))))))))))</f>
        <v/>
      </c>
      <c r="O1563" s="59" t="str">
        <f>IF(A1563="","",COUNTIF($A$6:A1563,A1563))</f>
        <v/>
      </c>
      <c r="P1563" s="62" t="str">
        <f>IF(A1563="","",A1563&amp;"|"&amp;O1563)</f>
        <v/>
      </c>
    </row>
    <row r="1564">
      <c r="A1564" s="60" t="n"/>
      <c r="B1564" s="63" t="n"/>
      <c r="C1564" s="63" t="n"/>
      <c r="D1564" s="67" t="n"/>
      <c r="E1564" s="68" t="n"/>
      <c r="F1564" s="69" t="n"/>
      <c r="G1564" s="70" t="n"/>
      <c r="H1564" s="62" t="str">
        <f>IF(COUNTA(A1564:G1564)=0,"",IF(C1564&lt;&gt;"",C1564,IF(B1564="","",IFERROR(INDEX(pr_des,MATCH(B1564,pr_code,0))&amp;"",""))))</f>
        <v/>
      </c>
      <c r="I1564" s="59" t="str">
        <f>IF(B1564="","",IFERROR(INDEX(pr_unit,MATCH(B1564,pr_code,0))&amp;"",""))</f>
        <v/>
      </c>
      <c r="J1564" s="65" t="str">
        <f>IF(COUNTA(A1564:G1564)=0,"",IF(E1564&lt;&gt;"",E1564,IF(B1564="","",IFERROR(IF(INDEX(pr_price,MATCH(B1564,pr_code,0))="","",INDEX(pr_price,MATCH(B1564,pr_code,0))),""))))</f>
        <v/>
      </c>
      <c r="K1564" s="71" t="str">
        <f>IF(COUNTA(A1564:G1564)=0,"",IF(G1564&lt;&gt;"",G1564,IF(B1564="","",IFERROR(IF(INDEX(pr_rate,MATCH(B1564,pr_code,0))="","",INDEX(pr_rate,MATCH(B1564,pr_code,0))),""))))</f>
        <v/>
      </c>
      <c r="L1564" s="65" t="str">
        <f>IF(COUNTA(A1564:G1564)=0,"",IF(AND(ISNUMBER(D1564),ISNUMBER(J1564)),ROUND(D1564*J1564*(1-N(F1564)),2),0))</f>
        <v/>
      </c>
      <c r="M1564" s="62" t="str">
        <f>IF(A1564="","",IFERROR(INDEX(dv_cname,MATCH(A1564,dv_num,0))&amp;"",""))</f>
        <v/>
      </c>
      <c r="N1564" s="59" t="str">
        <f>IF(COUNTA(A1564:G1564)=0,"",IF(A1564="","N° devis manquant",IF(ISNA(MATCH(A1564,dv_num,0)),"Devis inconnu",IF(AND(B1564&lt;&gt;"",ISNA(MATCH(B1564,pr_code,0))),"Article inconnu",IF(H1564="","Désignation manquante",IF(OR(NOT(ISNUMBER(D1564)),N(D1564)&lt;=0),"Quantité invalide",IF(J1564="","Prix manquant",IF(OR(NOT(ISNUMBER(J1564)),N(J1564)&lt;0),"Prix invalide",IF(OR(AND(F1564&lt;&gt;"",NOT(ISNUMBER(F1564))),N(F1564)&lt;0,N(F1564)&gt;1),"Remise invalide",IF(K1564="","Taux de TVA manquant",IF(NOT(ISNUMBER(K1564)),"Taux de TVA invalide",IF(COUNTIF(p_rates,K1564)=0,"Taux de TVA hors liste (Paramètres)",IF(N(O1564)&gt;25,"Au-delà de 25 lignes : non imprimée","OK")))))))))))))</f>
        <v/>
      </c>
      <c r="O1564" s="59" t="str">
        <f>IF(A1564="","",COUNTIF($A$6:A1564,A1564))</f>
        <v/>
      </c>
      <c r="P1564" s="62" t="str">
        <f>IF(A1564="","",A1564&amp;"|"&amp;O1564)</f>
        <v/>
      </c>
    </row>
    <row r="1565">
      <c r="A1565" s="60" t="n"/>
      <c r="B1565" s="63" t="n"/>
      <c r="C1565" s="63" t="n"/>
      <c r="D1565" s="67" t="n"/>
      <c r="E1565" s="68" t="n"/>
      <c r="F1565" s="69" t="n"/>
      <c r="G1565" s="70" t="n"/>
      <c r="H1565" s="62" t="str">
        <f>IF(COUNTA(A1565:G1565)=0,"",IF(C1565&lt;&gt;"",C1565,IF(B1565="","",IFERROR(INDEX(pr_des,MATCH(B1565,pr_code,0))&amp;"",""))))</f>
        <v/>
      </c>
      <c r="I1565" s="59" t="str">
        <f>IF(B1565="","",IFERROR(INDEX(pr_unit,MATCH(B1565,pr_code,0))&amp;"",""))</f>
        <v/>
      </c>
      <c r="J1565" s="65" t="str">
        <f>IF(COUNTA(A1565:G1565)=0,"",IF(E1565&lt;&gt;"",E1565,IF(B1565="","",IFERROR(IF(INDEX(pr_price,MATCH(B1565,pr_code,0))="","",INDEX(pr_price,MATCH(B1565,pr_code,0))),""))))</f>
        <v/>
      </c>
      <c r="K1565" s="71" t="str">
        <f>IF(COUNTA(A1565:G1565)=0,"",IF(G1565&lt;&gt;"",G1565,IF(B1565="","",IFERROR(IF(INDEX(pr_rate,MATCH(B1565,pr_code,0))="","",INDEX(pr_rate,MATCH(B1565,pr_code,0))),""))))</f>
        <v/>
      </c>
      <c r="L1565" s="65" t="str">
        <f>IF(COUNTA(A1565:G1565)=0,"",IF(AND(ISNUMBER(D1565),ISNUMBER(J1565)),ROUND(D1565*J1565*(1-N(F1565)),2),0))</f>
        <v/>
      </c>
      <c r="M1565" s="62" t="str">
        <f>IF(A1565="","",IFERROR(INDEX(dv_cname,MATCH(A1565,dv_num,0))&amp;"",""))</f>
        <v/>
      </c>
      <c r="N1565" s="59" t="str">
        <f>IF(COUNTA(A1565:G1565)=0,"",IF(A1565="","N° devis manquant",IF(ISNA(MATCH(A1565,dv_num,0)),"Devis inconnu",IF(AND(B1565&lt;&gt;"",ISNA(MATCH(B1565,pr_code,0))),"Article inconnu",IF(H1565="","Désignation manquante",IF(OR(NOT(ISNUMBER(D1565)),N(D1565)&lt;=0),"Quantité invalide",IF(J1565="","Prix manquant",IF(OR(NOT(ISNUMBER(J1565)),N(J1565)&lt;0),"Prix invalide",IF(OR(AND(F1565&lt;&gt;"",NOT(ISNUMBER(F1565))),N(F1565)&lt;0,N(F1565)&gt;1),"Remise invalide",IF(K1565="","Taux de TVA manquant",IF(NOT(ISNUMBER(K1565)),"Taux de TVA invalide",IF(COUNTIF(p_rates,K1565)=0,"Taux de TVA hors liste (Paramètres)",IF(N(O1565)&gt;25,"Au-delà de 25 lignes : non imprimée","OK")))))))))))))</f>
        <v/>
      </c>
      <c r="O1565" s="59" t="str">
        <f>IF(A1565="","",COUNTIF($A$6:A1565,A1565))</f>
        <v/>
      </c>
      <c r="P1565" s="62" t="str">
        <f>IF(A1565="","",A1565&amp;"|"&amp;O1565)</f>
        <v/>
      </c>
    </row>
    <row r="1566">
      <c r="A1566" s="60" t="n"/>
      <c r="B1566" s="63" t="n"/>
      <c r="C1566" s="63" t="n"/>
      <c r="D1566" s="67" t="n"/>
      <c r="E1566" s="68" t="n"/>
      <c r="F1566" s="69" t="n"/>
      <c r="G1566" s="70" t="n"/>
      <c r="H1566" s="62" t="str">
        <f>IF(COUNTA(A1566:G1566)=0,"",IF(C1566&lt;&gt;"",C1566,IF(B1566="","",IFERROR(INDEX(pr_des,MATCH(B1566,pr_code,0))&amp;"",""))))</f>
        <v/>
      </c>
      <c r="I1566" s="59" t="str">
        <f>IF(B1566="","",IFERROR(INDEX(pr_unit,MATCH(B1566,pr_code,0))&amp;"",""))</f>
        <v/>
      </c>
      <c r="J1566" s="65" t="str">
        <f>IF(COUNTA(A1566:G1566)=0,"",IF(E1566&lt;&gt;"",E1566,IF(B1566="","",IFERROR(IF(INDEX(pr_price,MATCH(B1566,pr_code,0))="","",INDEX(pr_price,MATCH(B1566,pr_code,0))),""))))</f>
        <v/>
      </c>
      <c r="K1566" s="71" t="str">
        <f>IF(COUNTA(A1566:G1566)=0,"",IF(G1566&lt;&gt;"",G1566,IF(B1566="","",IFERROR(IF(INDEX(pr_rate,MATCH(B1566,pr_code,0))="","",INDEX(pr_rate,MATCH(B1566,pr_code,0))),""))))</f>
        <v/>
      </c>
      <c r="L1566" s="65" t="str">
        <f>IF(COUNTA(A1566:G1566)=0,"",IF(AND(ISNUMBER(D1566),ISNUMBER(J1566)),ROUND(D1566*J1566*(1-N(F1566)),2),0))</f>
        <v/>
      </c>
      <c r="M1566" s="62" t="str">
        <f>IF(A1566="","",IFERROR(INDEX(dv_cname,MATCH(A1566,dv_num,0))&amp;"",""))</f>
        <v/>
      </c>
      <c r="N1566" s="59" t="str">
        <f>IF(COUNTA(A1566:G1566)=0,"",IF(A1566="","N° devis manquant",IF(ISNA(MATCH(A1566,dv_num,0)),"Devis inconnu",IF(AND(B1566&lt;&gt;"",ISNA(MATCH(B1566,pr_code,0))),"Article inconnu",IF(H1566="","Désignation manquante",IF(OR(NOT(ISNUMBER(D1566)),N(D1566)&lt;=0),"Quantité invalide",IF(J1566="","Prix manquant",IF(OR(NOT(ISNUMBER(J1566)),N(J1566)&lt;0),"Prix invalide",IF(OR(AND(F1566&lt;&gt;"",NOT(ISNUMBER(F1566))),N(F1566)&lt;0,N(F1566)&gt;1),"Remise invalide",IF(K1566="","Taux de TVA manquant",IF(NOT(ISNUMBER(K1566)),"Taux de TVA invalide",IF(COUNTIF(p_rates,K1566)=0,"Taux de TVA hors liste (Paramètres)",IF(N(O1566)&gt;25,"Au-delà de 25 lignes : non imprimée","OK")))))))))))))</f>
        <v/>
      </c>
      <c r="O1566" s="59" t="str">
        <f>IF(A1566="","",COUNTIF($A$6:A1566,A1566))</f>
        <v/>
      </c>
      <c r="P1566" s="62" t="str">
        <f>IF(A1566="","",A1566&amp;"|"&amp;O1566)</f>
        <v/>
      </c>
    </row>
    <row r="1567">
      <c r="A1567" s="60" t="n"/>
      <c r="B1567" s="63" t="n"/>
      <c r="C1567" s="63" t="n"/>
      <c r="D1567" s="67" t="n"/>
      <c r="E1567" s="68" t="n"/>
      <c r="F1567" s="69" t="n"/>
      <c r="G1567" s="70" t="n"/>
      <c r="H1567" s="62" t="str">
        <f>IF(COUNTA(A1567:G1567)=0,"",IF(C1567&lt;&gt;"",C1567,IF(B1567="","",IFERROR(INDEX(pr_des,MATCH(B1567,pr_code,0))&amp;"",""))))</f>
        <v/>
      </c>
      <c r="I1567" s="59" t="str">
        <f>IF(B1567="","",IFERROR(INDEX(pr_unit,MATCH(B1567,pr_code,0))&amp;"",""))</f>
        <v/>
      </c>
      <c r="J1567" s="65" t="str">
        <f>IF(COUNTA(A1567:G1567)=0,"",IF(E1567&lt;&gt;"",E1567,IF(B1567="","",IFERROR(IF(INDEX(pr_price,MATCH(B1567,pr_code,0))="","",INDEX(pr_price,MATCH(B1567,pr_code,0))),""))))</f>
        <v/>
      </c>
      <c r="K1567" s="71" t="str">
        <f>IF(COUNTA(A1567:G1567)=0,"",IF(G1567&lt;&gt;"",G1567,IF(B1567="","",IFERROR(IF(INDEX(pr_rate,MATCH(B1567,pr_code,0))="","",INDEX(pr_rate,MATCH(B1567,pr_code,0))),""))))</f>
        <v/>
      </c>
      <c r="L1567" s="65" t="str">
        <f>IF(COUNTA(A1567:G1567)=0,"",IF(AND(ISNUMBER(D1567),ISNUMBER(J1567)),ROUND(D1567*J1567*(1-N(F1567)),2),0))</f>
        <v/>
      </c>
      <c r="M1567" s="62" t="str">
        <f>IF(A1567="","",IFERROR(INDEX(dv_cname,MATCH(A1567,dv_num,0))&amp;"",""))</f>
        <v/>
      </c>
      <c r="N1567" s="59" t="str">
        <f>IF(COUNTA(A1567:G1567)=0,"",IF(A1567="","N° devis manquant",IF(ISNA(MATCH(A1567,dv_num,0)),"Devis inconnu",IF(AND(B1567&lt;&gt;"",ISNA(MATCH(B1567,pr_code,0))),"Article inconnu",IF(H1567="","Désignation manquante",IF(OR(NOT(ISNUMBER(D1567)),N(D1567)&lt;=0),"Quantité invalide",IF(J1567="","Prix manquant",IF(OR(NOT(ISNUMBER(J1567)),N(J1567)&lt;0),"Prix invalide",IF(OR(AND(F1567&lt;&gt;"",NOT(ISNUMBER(F1567))),N(F1567)&lt;0,N(F1567)&gt;1),"Remise invalide",IF(K1567="","Taux de TVA manquant",IF(NOT(ISNUMBER(K1567)),"Taux de TVA invalide",IF(COUNTIF(p_rates,K1567)=0,"Taux de TVA hors liste (Paramètres)",IF(N(O1567)&gt;25,"Au-delà de 25 lignes : non imprimée","OK")))))))))))))</f>
        <v/>
      </c>
      <c r="O1567" s="59" t="str">
        <f>IF(A1567="","",COUNTIF($A$6:A1567,A1567))</f>
        <v/>
      </c>
      <c r="P1567" s="62" t="str">
        <f>IF(A1567="","",A1567&amp;"|"&amp;O1567)</f>
        <v/>
      </c>
    </row>
    <row r="1568">
      <c r="A1568" s="60" t="n"/>
      <c r="B1568" s="63" t="n"/>
      <c r="C1568" s="63" t="n"/>
      <c r="D1568" s="67" t="n"/>
      <c r="E1568" s="68" t="n"/>
      <c r="F1568" s="69" t="n"/>
      <c r="G1568" s="70" t="n"/>
      <c r="H1568" s="62" t="str">
        <f>IF(COUNTA(A1568:G1568)=0,"",IF(C1568&lt;&gt;"",C1568,IF(B1568="","",IFERROR(INDEX(pr_des,MATCH(B1568,pr_code,0))&amp;"",""))))</f>
        <v/>
      </c>
      <c r="I1568" s="59" t="str">
        <f>IF(B1568="","",IFERROR(INDEX(pr_unit,MATCH(B1568,pr_code,0))&amp;"",""))</f>
        <v/>
      </c>
      <c r="J1568" s="65" t="str">
        <f>IF(COUNTA(A1568:G1568)=0,"",IF(E1568&lt;&gt;"",E1568,IF(B1568="","",IFERROR(IF(INDEX(pr_price,MATCH(B1568,pr_code,0))="","",INDEX(pr_price,MATCH(B1568,pr_code,0))),""))))</f>
        <v/>
      </c>
      <c r="K1568" s="71" t="str">
        <f>IF(COUNTA(A1568:G1568)=0,"",IF(G1568&lt;&gt;"",G1568,IF(B1568="","",IFERROR(IF(INDEX(pr_rate,MATCH(B1568,pr_code,0))="","",INDEX(pr_rate,MATCH(B1568,pr_code,0))),""))))</f>
        <v/>
      </c>
      <c r="L1568" s="65" t="str">
        <f>IF(COUNTA(A1568:G1568)=0,"",IF(AND(ISNUMBER(D1568),ISNUMBER(J1568)),ROUND(D1568*J1568*(1-N(F1568)),2),0))</f>
        <v/>
      </c>
      <c r="M1568" s="62" t="str">
        <f>IF(A1568="","",IFERROR(INDEX(dv_cname,MATCH(A1568,dv_num,0))&amp;"",""))</f>
        <v/>
      </c>
      <c r="N1568" s="59" t="str">
        <f>IF(COUNTA(A1568:G1568)=0,"",IF(A1568="","N° devis manquant",IF(ISNA(MATCH(A1568,dv_num,0)),"Devis inconnu",IF(AND(B1568&lt;&gt;"",ISNA(MATCH(B1568,pr_code,0))),"Article inconnu",IF(H1568="","Désignation manquante",IF(OR(NOT(ISNUMBER(D1568)),N(D1568)&lt;=0),"Quantité invalide",IF(J1568="","Prix manquant",IF(OR(NOT(ISNUMBER(J1568)),N(J1568)&lt;0),"Prix invalide",IF(OR(AND(F1568&lt;&gt;"",NOT(ISNUMBER(F1568))),N(F1568)&lt;0,N(F1568)&gt;1),"Remise invalide",IF(K1568="","Taux de TVA manquant",IF(NOT(ISNUMBER(K1568)),"Taux de TVA invalide",IF(COUNTIF(p_rates,K1568)=0,"Taux de TVA hors liste (Paramètres)",IF(N(O1568)&gt;25,"Au-delà de 25 lignes : non imprimée","OK")))))))))))))</f>
        <v/>
      </c>
      <c r="O1568" s="59" t="str">
        <f>IF(A1568="","",COUNTIF($A$6:A1568,A1568))</f>
        <v/>
      </c>
      <c r="P1568" s="62" t="str">
        <f>IF(A1568="","",A1568&amp;"|"&amp;O1568)</f>
        <v/>
      </c>
    </row>
    <row r="1569">
      <c r="A1569" s="60" t="n"/>
      <c r="B1569" s="63" t="n"/>
      <c r="C1569" s="63" t="n"/>
      <c r="D1569" s="67" t="n"/>
      <c r="E1569" s="68" t="n"/>
      <c r="F1569" s="69" t="n"/>
      <c r="G1569" s="70" t="n"/>
      <c r="H1569" s="62" t="str">
        <f>IF(COUNTA(A1569:G1569)=0,"",IF(C1569&lt;&gt;"",C1569,IF(B1569="","",IFERROR(INDEX(pr_des,MATCH(B1569,pr_code,0))&amp;"",""))))</f>
        <v/>
      </c>
      <c r="I1569" s="59" t="str">
        <f>IF(B1569="","",IFERROR(INDEX(pr_unit,MATCH(B1569,pr_code,0))&amp;"",""))</f>
        <v/>
      </c>
      <c r="J1569" s="65" t="str">
        <f>IF(COUNTA(A1569:G1569)=0,"",IF(E1569&lt;&gt;"",E1569,IF(B1569="","",IFERROR(IF(INDEX(pr_price,MATCH(B1569,pr_code,0))="","",INDEX(pr_price,MATCH(B1569,pr_code,0))),""))))</f>
        <v/>
      </c>
      <c r="K1569" s="71" t="str">
        <f>IF(COUNTA(A1569:G1569)=0,"",IF(G1569&lt;&gt;"",G1569,IF(B1569="","",IFERROR(IF(INDEX(pr_rate,MATCH(B1569,pr_code,0))="","",INDEX(pr_rate,MATCH(B1569,pr_code,0))),""))))</f>
        <v/>
      </c>
      <c r="L1569" s="65" t="str">
        <f>IF(COUNTA(A1569:G1569)=0,"",IF(AND(ISNUMBER(D1569),ISNUMBER(J1569)),ROUND(D1569*J1569*(1-N(F1569)),2),0))</f>
        <v/>
      </c>
      <c r="M1569" s="62" t="str">
        <f>IF(A1569="","",IFERROR(INDEX(dv_cname,MATCH(A1569,dv_num,0))&amp;"",""))</f>
        <v/>
      </c>
      <c r="N1569" s="59" t="str">
        <f>IF(COUNTA(A1569:G1569)=0,"",IF(A1569="","N° devis manquant",IF(ISNA(MATCH(A1569,dv_num,0)),"Devis inconnu",IF(AND(B1569&lt;&gt;"",ISNA(MATCH(B1569,pr_code,0))),"Article inconnu",IF(H1569="","Désignation manquante",IF(OR(NOT(ISNUMBER(D1569)),N(D1569)&lt;=0),"Quantité invalide",IF(J1569="","Prix manquant",IF(OR(NOT(ISNUMBER(J1569)),N(J1569)&lt;0),"Prix invalide",IF(OR(AND(F1569&lt;&gt;"",NOT(ISNUMBER(F1569))),N(F1569)&lt;0,N(F1569)&gt;1),"Remise invalide",IF(K1569="","Taux de TVA manquant",IF(NOT(ISNUMBER(K1569)),"Taux de TVA invalide",IF(COUNTIF(p_rates,K1569)=0,"Taux de TVA hors liste (Paramètres)",IF(N(O1569)&gt;25,"Au-delà de 25 lignes : non imprimée","OK")))))))))))))</f>
        <v/>
      </c>
      <c r="O1569" s="59" t="str">
        <f>IF(A1569="","",COUNTIF($A$6:A1569,A1569))</f>
        <v/>
      </c>
      <c r="P1569" s="62" t="str">
        <f>IF(A1569="","",A1569&amp;"|"&amp;O1569)</f>
        <v/>
      </c>
    </row>
    <row r="1570">
      <c r="A1570" s="60" t="n"/>
      <c r="B1570" s="63" t="n"/>
      <c r="C1570" s="63" t="n"/>
      <c r="D1570" s="67" t="n"/>
      <c r="E1570" s="68" t="n"/>
      <c r="F1570" s="69" t="n"/>
      <c r="G1570" s="70" t="n"/>
      <c r="H1570" s="62" t="str">
        <f>IF(COUNTA(A1570:G1570)=0,"",IF(C1570&lt;&gt;"",C1570,IF(B1570="","",IFERROR(INDEX(pr_des,MATCH(B1570,pr_code,0))&amp;"",""))))</f>
        <v/>
      </c>
      <c r="I1570" s="59" t="str">
        <f>IF(B1570="","",IFERROR(INDEX(pr_unit,MATCH(B1570,pr_code,0))&amp;"",""))</f>
        <v/>
      </c>
      <c r="J1570" s="65" t="str">
        <f>IF(COUNTA(A1570:G1570)=0,"",IF(E1570&lt;&gt;"",E1570,IF(B1570="","",IFERROR(IF(INDEX(pr_price,MATCH(B1570,pr_code,0))="","",INDEX(pr_price,MATCH(B1570,pr_code,0))),""))))</f>
        <v/>
      </c>
      <c r="K1570" s="71" t="str">
        <f>IF(COUNTA(A1570:G1570)=0,"",IF(G1570&lt;&gt;"",G1570,IF(B1570="","",IFERROR(IF(INDEX(pr_rate,MATCH(B1570,pr_code,0))="","",INDEX(pr_rate,MATCH(B1570,pr_code,0))),""))))</f>
        <v/>
      </c>
      <c r="L1570" s="65" t="str">
        <f>IF(COUNTA(A1570:G1570)=0,"",IF(AND(ISNUMBER(D1570),ISNUMBER(J1570)),ROUND(D1570*J1570*(1-N(F1570)),2),0))</f>
        <v/>
      </c>
      <c r="M1570" s="62" t="str">
        <f>IF(A1570="","",IFERROR(INDEX(dv_cname,MATCH(A1570,dv_num,0))&amp;"",""))</f>
        <v/>
      </c>
      <c r="N1570" s="59" t="str">
        <f>IF(COUNTA(A1570:G1570)=0,"",IF(A1570="","N° devis manquant",IF(ISNA(MATCH(A1570,dv_num,0)),"Devis inconnu",IF(AND(B1570&lt;&gt;"",ISNA(MATCH(B1570,pr_code,0))),"Article inconnu",IF(H1570="","Désignation manquante",IF(OR(NOT(ISNUMBER(D1570)),N(D1570)&lt;=0),"Quantité invalide",IF(J1570="","Prix manquant",IF(OR(NOT(ISNUMBER(J1570)),N(J1570)&lt;0),"Prix invalide",IF(OR(AND(F1570&lt;&gt;"",NOT(ISNUMBER(F1570))),N(F1570)&lt;0,N(F1570)&gt;1),"Remise invalide",IF(K1570="","Taux de TVA manquant",IF(NOT(ISNUMBER(K1570)),"Taux de TVA invalide",IF(COUNTIF(p_rates,K1570)=0,"Taux de TVA hors liste (Paramètres)",IF(N(O1570)&gt;25,"Au-delà de 25 lignes : non imprimée","OK")))))))))))))</f>
        <v/>
      </c>
      <c r="O1570" s="59" t="str">
        <f>IF(A1570="","",COUNTIF($A$6:A1570,A1570))</f>
        <v/>
      </c>
      <c r="P1570" s="62" t="str">
        <f>IF(A1570="","",A1570&amp;"|"&amp;O1570)</f>
        <v/>
      </c>
    </row>
    <row r="1571">
      <c r="A1571" s="60" t="n"/>
      <c r="B1571" s="63" t="n"/>
      <c r="C1571" s="63" t="n"/>
      <c r="D1571" s="67" t="n"/>
      <c r="E1571" s="68" t="n"/>
      <c r="F1571" s="69" t="n"/>
      <c r="G1571" s="70" t="n"/>
      <c r="H1571" s="62" t="str">
        <f>IF(COUNTA(A1571:G1571)=0,"",IF(C1571&lt;&gt;"",C1571,IF(B1571="","",IFERROR(INDEX(pr_des,MATCH(B1571,pr_code,0))&amp;"",""))))</f>
        <v/>
      </c>
      <c r="I1571" s="59" t="str">
        <f>IF(B1571="","",IFERROR(INDEX(pr_unit,MATCH(B1571,pr_code,0))&amp;"",""))</f>
        <v/>
      </c>
      <c r="J1571" s="65" t="str">
        <f>IF(COUNTA(A1571:G1571)=0,"",IF(E1571&lt;&gt;"",E1571,IF(B1571="","",IFERROR(IF(INDEX(pr_price,MATCH(B1571,pr_code,0))="","",INDEX(pr_price,MATCH(B1571,pr_code,0))),""))))</f>
        <v/>
      </c>
      <c r="K1571" s="71" t="str">
        <f>IF(COUNTA(A1571:G1571)=0,"",IF(G1571&lt;&gt;"",G1571,IF(B1571="","",IFERROR(IF(INDEX(pr_rate,MATCH(B1571,pr_code,0))="","",INDEX(pr_rate,MATCH(B1571,pr_code,0))),""))))</f>
        <v/>
      </c>
      <c r="L1571" s="65" t="str">
        <f>IF(COUNTA(A1571:G1571)=0,"",IF(AND(ISNUMBER(D1571),ISNUMBER(J1571)),ROUND(D1571*J1571*(1-N(F1571)),2),0))</f>
        <v/>
      </c>
      <c r="M1571" s="62" t="str">
        <f>IF(A1571="","",IFERROR(INDEX(dv_cname,MATCH(A1571,dv_num,0))&amp;"",""))</f>
        <v/>
      </c>
      <c r="N1571" s="59" t="str">
        <f>IF(COUNTA(A1571:G1571)=0,"",IF(A1571="","N° devis manquant",IF(ISNA(MATCH(A1571,dv_num,0)),"Devis inconnu",IF(AND(B1571&lt;&gt;"",ISNA(MATCH(B1571,pr_code,0))),"Article inconnu",IF(H1571="","Désignation manquante",IF(OR(NOT(ISNUMBER(D1571)),N(D1571)&lt;=0),"Quantité invalide",IF(J1571="","Prix manquant",IF(OR(NOT(ISNUMBER(J1571)),N(J1571)&lt;0),"Prix invalide",IF(OR(AND(F1571&lt;&gt;"",NOT(ISNUMBER(F1571))),N(F1571)&lt;0,N(F1571)&gt;1),"Remise invalide",IF(K1571="","Taux de TVA manquant",IF(NOT(ISNUMBER(K1571)),"Taux de TVA invalide",IF(COUNTIF(p_rates,K1571)=0,"Taux de TVA hors liste (Paramètres)",IF(N(O1571)&gt;25,"Au-delà de 25 lignes : non imprimée","OK")))))))))))))</f>
        <v/>
      </c>
      <c r="O1571" s="59" t="str">
        <f>IF(A1571="","",COUNTIF($A$6:A1571,A1571))</f>
        <v/>
      </c>
      <c r="P1571" s="62" t="str">
        <f>IF(A1571="","",A1571&amp;"|"&amp;O1571)</f>
        <v/>
      </c>
    </row>
    <row r="1572">
      <c r="A1572" s="60" t="n"/>
      <c r="B1572" s="63" t="n"/>
      <c r="C1572" s="63" t="n"/>
      <c r="D1572" s="67" t="n"/>
      <c r="E1572" s="68" t="n"/>
      <c r="F1572" s="69" t="n"/>
      <c r="G1572" s="70" t="n"/>
      <c r="H1572" s="62" t="str">
        <f>IF(COUNTA(A1572:G1572)=0,"",IF(C1572&lt;&gt;"",C1572,IF(B1572="","",IFERROR(INDEX(pr_des,MATCH(B1572,pr_code,0))&amp;"",""))))</f>
        <v/>
      </c>
      <c r="I1572" s="59" t="str">
        <f>IF(B1572="","",IFERROR(INDEX(pr_unit,MATCH(B1572,pr_code,0))&amp;"",""))</f>
        <v/>
      </c>
      <c r="J1572" s="65" t="str">
        <f>IF(COUNTA(A1572:G1572)=0,"",IF(E1572&lt;&gt;"",E1572,IF(B1572="","",IFERROR(IF(INDEX(pr_price,MATCH(B1572,pr_code,0))="","",INDEX(pr_price,MATCH(B1572,pr_code,0))),""))))</f>
        <v/>
      </c>
      <c r="K1572" s="71" t="str">
        <f>IF(COUNTA(A1572:G1572)=0,"",IF(G1572&lt;&gt;"",G1572,IF(B1572="","",IFERROR(IF(INDEX(pr_rate,MATCH(B1572,pr_code,0))="","",INDEX(pr_rate,MATCH(B1572,pr_code,0))),""))))</f>
        <v/>
      </c>
      <c r="L1572" s="65" t="str">
        <f>IF(COUNTA(A1572:G1572)=0,"",IF(AND(ISNUMBER(D1572),ISNUMBER(J1572)),ROUND(D1572*J1572*(1-N(F1572)),2),0))</f>
        <v/>
      </c>
      <c r="M1572" s="62" t="str">
        <f>IF(A1572="","",IFERROR(INDEX(dv_cname,MATCH(A1572,dv_num,0))&amp;"",""))</f>
        <v/>
      </c>
      <c r="N1572" s="59" t="str">
        <f>IF(COUNTA(A1572:G1572)=0,"",IF(A1572="","N° devis manquant",IF(ISNA(MATCH(A1572,dv_num,0)),"Devis inconnu",IF(AND(B1572&lt;&gt;"",ISNA(MATCH(B1572,pr_code,0))),"Article inconnu",IF(H1572="","Désignation manquante",IF(OR(NOT(ISNUMBER(D1572)),N(D1572)&lt;=0),"Quantité invalide",IF(J1572="","Prix manquant",IF(OR(NOT(ISNUMBER(J1572)),N(J1572)&lt;0),"Prix invalide",IF(OR(AND(F1572&lt;&gt;"",NOT(ISNUMBER(F1572))),N(F1572)&lt;0,N(F1572)&gt;1),"Remise invalide",IF(K1572="","Taux de TVA manquant",IF(NOT(ISNUMBER(K1572)),"Taux de TVA invalide",IF(COUNTIF(p_rates,K1572)=0,"Taux de TVA hors liste (Paramètres)",IF(N(O1572)&gt;25,"Au-delà de 25 lignes : non imprimée","OK")))))))))))))</f>
        <v/>
      </c>
      <c r="O1572" s="59" t="str">
        <f>IF(A1572="","",COUNTIF($A$6:A1572,A1572))</f>
        <v/>
      </c>
      <c r="P1572" s="62" t="str">
        <f>IF(A1572="","",A1572&amp;"|"&amp;O1572)</f>
        <v/>
      </c>
    </row>
    <row r="1573">
      <c r="A1573" s="60" t="n"/>
      <c r="B1573" s="63" t="n"/>
      <c r="C1573" s="63" t="n"/>
      <c r="D1573" s="67" t="n"/>
      <c r="E1573" s="68" t="n"/>
      <c r="F1573" s="69" t="n"/>
      <c r="G1573" s="70" t="n"/>
      <c r="H1573" s="62" t="str">
        <f>IF(COUNTA(A1573:G1573)=0,"",IF(C1573&lt;&gt;"",C1573,IF(B1573="","",IFERROR(INDEX(pr_des,MATCH(B1573,pr_code,0))&amp;"",""))))</f>
        <v/>
      </c>
      <c r="I1573" s="59" t="str">
        <f>IF(B1573="","",IFERROR(INDEX(pr_unit,MATCH(B1573,pr_code,0))&amp;"",""))</f>
        <v/>
      </c>
      <c r="J1573" s="65" t="str">
        <f>IF(COUNTA(A1573:G1573)=0,"",IF(E1573&lt;&gt;"",E1573,IF(B1573="","",IFERROR(IF(INDEX(pr_price,MATCH(B1573,pr_code,0))="","",INDEX(pr_price,MATCH(B1573,pr_code,0))),""))))</f>
        <v/>
      </c>
      <c r="K1573" s="71" t="str">
        <f>IF(COUNTA(A1573:G1573)=0,"",IF(G1573&lt;&gt;"",G1573,IF(B1573="","",IFERROR(IF(INDEX(pr_rate,MATCH(B1573,pr_code,0))="","",INDEX(pr_rate,MATCH(B1573,pr_code,0))),""))))</f>
        <v/>
      </c>
      <c r="L1573" s="65" t="str">
        <f>IF(COUNTA(A1573:G1573)=0,"",IF(AND(ISNUMBER(D1573),ISNUMBER(J1573)),ROUND(D1573*J1573*(1-N(F1573)),2),0))</f>
        <v/>
      </c>
      <c r="M1573" s="62" t="str">
        <f>IF(A1573="","",IFERROR(INDEX(dv_cname,MATCH(A1573,dv_num,0))&amp;"",""))</f>
        <v/>
      </c>
      <c r="N1573" s="59" t="str">
        <f>IF(COUNTA(A1573:G1573)=0,"",IF(A1573="","N° devis manquant",IF(ISNA(MATCH(A1573,dv_num,0)),"Devis inconnu",IF(AND(B1573&lt;&gt;"",ISNA(MATCH(B1573,pr_code,0))),"Article inconnu",IF(H1573="","Désignation manquante",IF(OR(NOT(ISNUMBER(D1573)),N(D1573)&lt;=0),"Quantité invalide",IF(J1573="","Prix manquant",IF(OR(NOT(ISNUMBER(J1573)),N(J1573)&lt;0),"Prix invalide",IF(OR(AND(F1573&lt;&gt;"",NOT(ISNUMBER(F1573))),N(F1573)&lt;0,N(F1573)&gt;1),"Remise invalide",IF(K1573="","Taux de TVA manquant",IF(NOT(ISNUMBER(K1573)),"Taux de TVA invalide",IF(COUNTIF(p_rates,K1573)=0,"Taux de TVA hors liste (Paramètres)",IF(N(O1573)&gt;25,"Au-delà de 25 lignes : non imprimée","OK")))))))))))))</f>
        <v/>
      </c>
      <c r="O1573" s="59" t="str">
        <f>IF(A1573="","",COUNTIF($A$6:A1573,A1573))</f>
        <v/>
      </c>
      <c r="P1573" s="62" t="str">
        <f>IF(A1573="","",A1573&amp;"|"&amp;O1573)</f>
        <v/>
      </c>
    </row>
    <row r="1574">
      <c r="A1574" s="60" t="n"/>
      <c r="B1574" s="63" t="n"/>
      <c r="C1574" s="63" t="n"/>
      <c r="D1574" s="67" t="n"/>
      <c r="E1574" s="68" t="n"/>
      <c r="F1574" s="69" t="n"/>
      <c r="G1574" s="70" t="n"/>
      <c r="H1574" s="62" t="str">
        <f>IF(COUNTA(A1574:G1574)=0,"",IF(C1574&lt;&gt;"",C1574,IF(B1574="","",IFERROR(INDEX(pr_des,MATCH(B1574,pr_code,0))&amp;"",""))))</f>
        <v/>
      </c>
      <c r="I1574" s="59" t="str">
        <f>IF(B1574="","",IFERROR(INDEX(pr_unit,MATCH(B1574,pr_code,0))&amp;"",""))</f>
        <v/>
      </c>
      <c r="J1574" s="65" t="str">
        <f>IF(COUNTA(A1574:G1574)=0,"",IF(E1574&lt;&gt;"",E1574,IF(B1574="","",IFERROR(IF(INDEX(pr_price,MATCH(B1574,pr_code,0))="","",INDEX(pr_price,MATCH(B1574,pr_code,0))),""))))</f>
        <v/>
      </c>
      <c r="K1574" s="71" t="str">
        <f>IF(COUNTA(A1574:G1574)=0,"",IF(G1574&lt;&gt;"",G1574,IF(B1574="","",IFERROR(IF(INDEX(pr_rate,MATCH(B1574,pr_code,0))="","",INDEX(pr_rate,MATCH(B1574,pr_code,0))),""))))</f>
        <v/>
      </c>
      <c r="L1574" s="65" t="str">
        <f>IF(COUNTA(A1574:G1574)=0,"",IF(AND(ISNUMBER(D1574),ISNUMBER(J1574)),ROUND(D1574*J1574*(1-N(F1574)),2),0))</f>
        <v/>
      </c>
      <c r="M1574" s="62" t="str">
        <f>IF(A1574="","",IFERROR(INDEX(dv_cname,MATCH(A1574,dv_num,0))&amp;"",""))</f>
        <v/>
      </c>
      <c r="N1574" s="59" t="str">
        <f>IF(COUNTA(A1574:G1574)=0,"",IF(A1574="","N° devis manquant",IF(ISNA(MATCH(A1574,dv_num,0)),"Devis inconnu",IF(AND(B1574&lt;&gt;"",ISNA(MATCH(B1574,pr_code,0))),"Article inconnu",IF(H1574="","Désignation manquante",IF(OR(NOT(ISNUMBER(D1574)),N(D1574)&lt;=0),"Quantité invalide",IF(J1574="","Prix manquant",IF(OR(NOT(ISNUMBER(J1574)),N(J1574)&lt;0),"Prix invalide",IF(OR(AND(F1574&lt;&gt;"",NOT(ISNUMBER(F1574))),N(F1574)&lt;0,N(F1574)&gt;1),"Remise invalide",IF(K1574="","Taux de TVA manquant",IF(NOT(ISNUMBER(K1574)),"Taux de TVA invalide",IF(COUNTIF(p_rates,K1574)=0,"Taux de TVA hors liste (Paramètres)",IF(N(O1574)&gt;25,"Au-delà de 25 lignes : non imprimée","OK")))))))))))))</f>
        <v/>
      </c>
      <c r="O1574" s="59" t="str">
        <f>IF(A1574="","",COUNTIF($A$6:A1574,A1574))</f>
        <v/>
      </c>
      <c r="P1574" s="62" t="str">
        <f>IF(A1574="","",A1574&amp;"|"&amp;O1574)</f>
        <v/>
      </c>
    </row>
    <row r="1575">
      <c r="A1575" s="60" t="n"/>
      <c r="B1575" s="63" t="n"/>
      <c r="C1575" s="63" t="n"/>
      <c r="D1575" s="67" t="n"/>
      <c r="E1575" s="68" t="n"/>
      <c r="F1575" s="69" t="n"/>
      <c r="G1575" s="70" t="n"/>
      <c r="H1575" s="62" t="str">
        <f>IF(COUNTA(A1575:G1575)=0,"",IF(C1575&lt;&gt;"",C1575,IF(B1575="","",IFERROR(INDEX(pr_des,MATCH(B1575,pr_code,0))&amp;"",""))))</f>
        <v/>
      </c>
      <c r="I1575" s="59" t="str">
        <f>IF(B1575="","",IFERROR(INDEX(pr_unit,MATCH(B1575,pr_code,0))&amp;"",""))</f>
        <v/>
      </c>
      <c r="J1575" s="65" t="str">
        <f>IF(COUNTA(A1575:G1575)=0,"",IF(E1575&lt;&gt;"",E1575,IF(B1575="","",IFERROR(IF(INDEX(pr_price,MATCH(B1575,pr_code,0))="","",INDEX(pr_price,MATCH(B1575,pr_code,0))),""))))</f>
        <v/>
      </c>
      <c r="K1575" s="71" t="str">
        <f>IF(COUNTA(A1575:G1575)=0,"",IF(G1575&lt;&gt;"",G1575,IF(B1575="","",IFERROR(IF(INDEX(pr_rate,MATCH(B1575,pr_code,0))="","",INDEX(pr_rate,MATCH(B1575,pr_code,0))),""))))</f>
        <v/>
      </c>
      <c r="L1575" s="65" t="str">
        <f>IF(COUNTA(A1575:G1575)=0,"",IF(AND(ISNUMBER(D1575),ISNUMBER(J1575)),ROUND(D1575*J1575*(1-N(F1575)),2),0))</f>
        <v/>
      </c>
      <c r="M1575" s="62" t="str">
        <f>IF(A1575="","",IFERROR(INDEX(dv_cname,MATCH(A1575,dv_num,0))&amp;"",""))</f>
        <v/>
      </c>
      <c r="N1575" s="59" t="str">
        <f>IF(COUNTA(A1575:G1575)=0,"",IF(A1575="","N° devis manquant",IF(ISNA(MATCH(A1575,dv_num,0)),"Devis inconnu",IF(AND(B1575&lt;&gt;"",ISNA(MATCH(B1575,pr_code,0))),"Article inconnu",IF(H1575="","Désignation manquante",IF(OR(NOT(ISNUMBER(D1575)),N(D1575)&lt;=0),"Quantité invalide",IF(J1575="","Prix manquant",IF(OR(NOT(ISNUMBER(J1575)),N(J1575)&lt;0),"Prix invalide",IF(OR(AND(F1575&lt;&gt;"",NOT(ISNUMBER(F1575))),N(F1575)&lt;0,N(F1575)&gt;1),"Remise invalide",IF(K1575="","Taux de TVA manquant",IF(NOT(ISNUMBER(K1575)),"Taux de TVA invalide",IF(COUNTIF(p_rates,K1575)=0,"Taux de TVA hors liste (Paramètres)",IF(N(O1575)&gt;25,"Au-delà de 25 lignes : non imprimée","OK")))))))))))))</f>
        <v/>
      </c>
      <c r="O1575" s="59" t="str">
        <f>IF(A1575="","",COUNTIF($A$6:A1575,A1575))</f>
        <v/>
      </c>
      <c r="P1575" s="62" t="str">
        <f>IF(A1575="","",A1575&amp;"|"&amp;O1575)</f>
        <v/>
      </c>
    </row>
    <row r="1576">
      <c r="A1576" s="60" t="n"/>
      <c r="B1576" s="63" t="n"/>
      <c r="C1576" s="63" t="n"/>
      <c r="D1576" s="67" t="n"/>
      <c r="E1576" s="68" t="n"/>
      <c r="F1576" s="69" t="n"/>
      <c r="G1576" s="70" t="n"/>
      <c r="H1576" s="62" t="str">
        <f>IF(COUNTA(A1576:G1576)=0,"",IF(C1576&lt;&gt;"",C1576,IF(B1576="","",IFERROR(INDEX(pr_des,MATCH(B1576,pr_code,0))&amp;"",""))))</f>
        <v/>
      </c>
      <c r="I1576" s="59" t="str">
        <f>IF(B1576="","",IFERROR(INDEX(pr_unit,MATCH(B1576,pr_code,0))&amp;"",""))</f>
        <v/>
      </c>
      <c r="J1576" s="65" t="str">
        <f>IF(COUNTA(A1576:G1576)=0,"",IF(E1576&lt;&gt;"",E1576,IF(B1576="","",IFERROR(IF(INDEX(pr_price,MATCH(B1576,pr_code,0))="","",INDEX(pr_price,MATCH(B1576,pr_code,0))),""))))</f>
        <v/>
      </c>
      <c r="K1576" s="71" t="str">
        <f>IF(COUNTA(A1576:G1576)=0,"",IF(G1576&lt;&gt;"",G1576,IF(B1576="","",IFERROR(IF(INDEX(pr_rate,MATCH(B1576,pr_code,0))="","",INDEX(pr_rate,MATCH(B1576,pr_code,0))),""))))</f>
        <v/>
      </c>
      <c r="L1576" s="65" t="str">
        <f>IF(COUNTA(A1576:G1576)=0,"",IF(AND(ISNUMBER(D1576),ISNUMBER(J1576)),ROUND(D1576*J1576*(1-N(F1576)),2),0))</f>
        <v/>
      </c>
      <c r="M1576" s="62" t="str">
        <f>IF(A1576="","",IFERROR(INDEX(dv_cname,MATCH(A1576,dv_num,0))&amp;"",""))</f>
        <v/>
      </c>
      <c r="N1576" s="59" t="str">
        <f>IF(COUNTA(A1576:G1576)=0,"",IF(A1576="","N° devis manquant",IF(ISNA(MATCH(A1576,dv_num,0)),"Devis inconnu",IF(AND(B1576&lt;&gt;"",ISNA(MATCH(B1576,pr_code,0))),"Article inconnu",IF(H1576="","Désignation manquante",IF(OR(NOT(ISNUMBER(D1576)),N(D1576)&lt;=0),"Quantité invalide",IF(J1576="","Prix manquant",IF(OR(NOT(ISNUMBER(J1576)),N(J1576)&lt;0),"Prix invalide",IF(OR(AND(F1576&lt;&gt;"",NOT(ISNUMBER(F1576))),N(F1576)&lt;0,N(F1576)&gt;1),"Remise invalide",IF(K1576="","Taux de TVA manquant",IF(NOT(ISNUMBER(K1576)),"Taux de TVA invalide",IF(COUNTIF(p_rates,K1576)=0,"Taux de TVA hors liste (Paramètres)",IF(N(O1576)&gt;25,"Au-delà de 25 lignes : non imprimée","OK")))))))))))))</f>
        <v/>
      </c>
      <c r="O1576" s="59" t="str">
        <f>IF(A1576="","",COUNTIF($A$6:A1576,A1576))</f>
        <v/>
      </c>
      <c r="P1576" s="62" t="str">
        <f>IF(A1576="","",A1576&amp;"|"&amp;O1576)</f>
        <v/>
      </c>
    </row>
    <row r="1577">
      <c r="A1577" s="60" t="n"/>
      <c r="B1577" s="63" t="n"/>
      <c r="C1577" s="63" t="n"/>
      <c r="D1577" s="67" t="n"/>
      <c r="E1577" s="68" t="n"/>
      <c r="F1577" s="69" t="n"/>
      <c r="G1577" s="70" t="n"/>
      <c r="H1577" s="62" t="str">
        <f>IF(COUNTA(A1577:G1577)=0,"",IF(C1577&lt;&gt;"",C1577,IF(B1577="","",IFERROR(INDEX(pr_des,MATCH(B1577,pr_code,0))&amp;"",""))))</f>
        <v/>
      </c>
      <c r="I1577" s="59" t="str">
        <f>IF(B1577="","",IFERROR(INDEX(pr_unit,MATCH(B1577,pr_code,0))&amp;"",""))</f>
        <v/>
      </c>
      <c r="J1577" s="65" t="str">
        <f>IF(COUNTA(A1577:G1577)=0,"",IF(E1577&lt;&gt;"",E1577,IF(B1577="","",IFERROR(IF(INDEX(pr_price,MATCH(B1577,pr_code,0))="","",INDEX(pr_price,MATCH(B1577,pr_code,0))),""))))</f>
        <v/>
      </c>
      <c r="K1577" s="71" t="str">
        <f>IF(COUNTA(A1577:G1577)=0,"",IF(G1577&lt;&gt;"",G1577,IF(B1577="","",IFERROR(IF(INDEX(pr_rate,MATCH(B1577,pr_code,0))="","",INDEX(pr_rate,MATCH(B1577,pr_code,0))),""))))</f>
        <v/>
      </c>
      <c r="L1577" s="65" t="str">
        <f>IF(COUNTA(A1577:G1577)=0,"",IF(AND(ISNUMBER(D1577),ISNUMBER(J1577)),ROUND(D1577*J1577*(1-N(F1577)),2),0))</f>
        <v/>
      </c>
      <c r="M1577" s="62" t="str">
        <f>IF(A1577="","",IFERROR(INDEX(dv_cname,MATCH(A1577,dv_num,0))&amp;"",""))</f>
        <v/>
      </c>
      <c r="N1577" s="59" t="str">
        <f>IF(COUNTA(A1577:G1577)=0,"",IF(A1577="","N° devis manquant",IF(ISNA(MATCH(A1577,dv_num,0)),"Devis inconnu",IF(AND(B1577&lt;&gt;"",ISNA(MATCH(B1577,pr_code,0))),"Article inconnu",IF(H1577="","Désignation manquante",IF(OR(NOT(ISNUMBER(D1577)),N(D1577)&lt;=0),"Quantité invalide",IF(J1577="","Prix manquant",IF(OR(NOT(ISNUMBER(J1577)),N(J1577)&lt;0),"Prix invalide",IF(OR(AND(F1577&lt;&gt;"",NOT(ISNUMBER(F1577))),N(F1577)&lt;0,N(F1577)&gt;1),"Remise invalide",IF(K1577="","Taux de TVA manquant",IF(NOT(ISNUMBER(K1577)),"Taux de TVA invalide",IF(COUNTIF(p_rates,K1577)=0,"Taux de TVA hors liste (Paramètres)",IF(N(O1577)&gt;25,"Au-delà de 25 lignes : non imprimée","OK")))))))))))))</f>
        <v/>
      </c>
      <c r="O1577" s="59" t="str">
        <f>IF(A1577="","",COUNTIF($A$6:A1577,A1577))</f>
        <v/>
      </c>
      <c r="P1577" s="62" t="str">
        <f>IF(A1577="","",A1577&amp;"|"&amp;O1577)</f>
        <v/>
      </c>
    </row>
    <row r="1578">
      <c r="A1578" s="60" t="n"/>
      <c r="B1578" s="63" t="n"/>
      <c r="C1578" s="63" t="n"/>
      <c r="D1578" s="67" t="n"/>
      <c r="E1578" s="68" t="n"/>
      <c r="F1578" s="69" t="n"/>
      <c r="G1578" s="70" t="n"/>
      <c r="H1578" s="62" t="str">
        <f>IF(COUNTA(A1578:G1578)=0,"",IF(C1578&lt;&gt;"",C1578,IF(B1578="","",IFERROR(INDEX(pr_des,MATCH(B1578,pr_code,0))&amp;"",""))))</f>
        <v/>
      </c>
      <c r="I1578" s="59" t="str">
        <f>IF(B1578="","",IFERROR(INDEX(pr_unit,MATCH(B1578,pr_code,0))&amp;"",""))</f>
        <v/>
      </c>
      <c r="J1578" s="65" t="str">
        <f>IF(COUNTA(A1578:G1578)=0,"",IF(E1578&lt;&gt;"",E1578,IF(B1578="","",IFERROR(IF(INDEX(pr_price,MATCH(B1578,pr_code,0))="","",INDEX(pr_price,MATCH(B1578,pr_code,0))),""))))</f>
        <v/>
      </c>
      <c r="K1578" s="71" t="str">
        <f>IF(COUNTA(A1578:G1578)=0,"",IF(G1578&lt;&gt;"",G1578,IF(B1578="","",IFERROR(IF(INDEX(pr_rate,MATCH(B1578,pr_code,0))="","",INDEX(pr_rate,MATCH(B1578,pr_code,0))),""))))</f>
        <v/>
      </c>
      <c r="L1578" s="65" t="str">
        <f>IF(COUNTA(A1578:G1578)=0,"",IF(AND(ISNUMBER(D1578),ISNUMBER(J1578)),ROUND(D1578*J1578*(1-N(F1578)),2),0))</f>
        <v/>
      </c>
      <c r="M1578" s="62" t="str">
        <f>IF(A1578="","",IFERROR(INDEX(dv_cname,MATCH(A1578,dv_num,0))&amp;"",""))</f>
        <v/>
      </c>
      <c r="N1578" s="59" t="str">
        <f>IF(COUNTA(A1578:G1578)=0,"",IF(A1578="","N° devis manquant",IF(ISNA(MATCH(A1578,dv_num,0)),"Devis inconnu",IF(AND(B1578&lt;&gt;"",ISNA(MATCH(B1578,pr_code,0))),"Article inconnu",IF(H1578="","Désignation manquante",IF(OR(NOT(ISNUMBER(D1578)),N(D1578)&lt;=0),"Quantité invalide",IF(J1578="","Prix manquant",IF(OR(NOT(ISNUMBER(J1578)),N(J1578)&lt;0),"Prix invalide",IF(OR(AND(F1578&lt;&gt;"",NOT(ISNUMBER(F1578))),N(F1578)&lt;0,N(F1578)&gt;1),"Remise invalide",IF(K1578="","Taux de TVA manquant",IF(NOT(ISNUMBER(K1578)),"Taux de TVA invalide",IF(COUNTIF(p_rates,K1578)=0,"Taux de TVA hors liste (Paramètres)",IF(N(O1578)&gt;25,"Au-delà de 25 lignes : non imprimée","OK")))))))))))))</f>
        <v/>
      </c>
      <c r="O1578" s="59" t="str">
        <f>IF(A1578="","",COUNTIF($A$6:A1578,A1578))</f>
        <v/>
      </c>
      <c r="P1578" s="62" t="str">
        <f>IF(A1578="","",A1578&amp;"|"&amp;O1578)</f>
        <v/>
      </c>
    </row>
    <row r="1579">
      <c r="A1579" s="60" t="n"/>
      <c r="B1579" s="63" t="n"/>
      <c r="C1579" s="63" t="n"/>
      <c r="D1579" s="67" t="n"/>
      <c r="E1579" s="68" t="n"/>
      <c r="F1579" s="69" t="n"/>
      <c r="G1579" s="70" t="n"/>
      <c r="H1579" s="62" t="str">
        <f>IF(COUNTA(A1579:G1579)=0,"",IF(C1579&lt;&gt;"",C1579,IF(B1579="","",IFERROR(INDEX(pr_des,MATCH(B1579,pr_code,0))&amp;"",""))))</f>
        <v/>
      </c>
      <c r="I1579" s="59" t="str">
        <f>IF(B1579="","",IFERROR(INDEX(pr_unit,MATCH(B1579,pr_code,0))&amp;"",""))</f>
        <v/>
      </c>
      <c r="J1579" s="65" t="str">
        <f>IF(COUNTA(A1579:G1579)=0,"",IF(E1579&lt;&gt;"",E1579,IF(B1579="","",IFERROR(IF(INDEX(pr_price,MATCH(B1579,pr_code,0))="","",INDEX(pr_price,MATCH(B1579,pr_code,0))),""))))</f>
        <v/>
      </c>
      <c r="K1579" s="71" t="str">
        <f>IF(COUNTA(A1579:G1579)=0,"",IF(G1579&lt;&gt;"",G1579,IF(B1579="","",IFERROR(IF(INDEX(pr_rate,MATCH(B1579,pr_code,0))="","",INDEX(pr_rate,MATCH(B1579,pr_code,0))),""))))</f>
        <v/>
      </c>
      <c r="L1579" s="65" t="str">
        <f>IF(COUNTA(A1579:G1579)=0,"",IF(AND(ISNUMBER(D1579),ISNUMBER(J1579)),ROUND(D1579*J1579*(1-N(F1579)),2),0))</f>
        <v/>
      </c>
      <c r="M1579" s="62" t="str">
        <f>IF(A1579="","",IFERROR(INDEX(dv_cname,MATCH(A1579,dv_num,0))&amp;"",""))</f>
        <v/>
      </c>
      <c r="N1579" s="59" t="str">
        <f>IF(COUNTA(A1579:G1579)=0,"",IF(A1579="","N° devis manquant",IF(ISNA(MATCH(A1579,dv_num,0)),"Devis inconnu",IF(AND(B1579&lt;&gt;"",ISNA(MATCH(B1579,pr_code,0))),"Article inconnu",IF(H1579="","Désignation manquante",IF(OR(NOT(ISNUMBER(D1579)),N(D1579)&lt;=0),"Quantité invalide",IF(J1579="","Prix manquant",IF(OR(NOT(ISNUMBER(J1579)),N(J1579)&lt;0),"Prix invalide",IF(OR(AND(F1579&lt;&gt;"",NOT(ISNUMBER(F1579))),N(F1579)&lt;0,N(F1579)&gt;1),"Remise invalide",IF(K1579="","Taux de TVA manquant",IF(NOT(ISNUMBER(K1579)),"Taux de TVA invalide",IF(COUNTIF(p_rates,K1579)=0,"Taux de TVA hors liste (Paramètres)",IF(N(O1579)&gt;25,"Au-delà de 25 lignes : non imprimée","OK")))))))))))))</f>
        <v/>
      </c>
      <c r="O1579" s="59" t="str">
        <f>IF(A1579="","",COUNTIF($A$6:A1579,A1579))</f>
        <v/>
      </c>
      <c r="P1579" s="62" t="str">
        <f>IF(A1579="","",A1579&amp;"|"&amp;O1579)</f>
        <v/>
      </c>
    </row>
    <row r="1580">
      <c r="A1580" s="60" t="n"/>
      <c r="B1580" s="63" t="n"/>
      <c r="C1580" s="63" t="n"/>
      <c r="D1580" s="67" t="n"/>
      <c r="E1580" s="68" t="n"/>
      <c r="F1580" s="69" t="n"/>
      <c r="G1580" s="70" t="n"/>
      <c r="H1580" s="62" t="str">
        <f>IF(COUNTA(A1580:G1580)=0,"",IF(C1580&lt;&gt;"",C1580,IF(B1580="","",IFERROR(INDEX(pr_des,MATCH(B1580,pr_code,0))&amp;"",""))))</f>
        <v/>
      </c>
      <c r="I1580" s="59" t="str">
        <f>IF(B1580="","",IFERROR(INDEX(pr_unit,MATCH(B1580,pr_code,0))&amp;"",""))</f>
        <v/>
      </c>
      <c r="J1580" s="65" t="str">
        <f>IF(COUNTA(A1580:G1580)=0,"",IF(E1580&lt;&gt;"",E1580,IF(B1580="","",IFERROR(IF(INDEX(pr_price,MATCH(B1580,pr_code,0))="","",INDEX(pr_price,MATCH(B1580,pr_code,0))),""))))</f>
        <v/>
      </c>
      <c r="K1580" s="71" t="str">
        <f>IF(COUNTA(A1580:G1580)=0,"",IF(G1580&lt;&gt;"",G1580,IF(B1580="","",IFERROR(IF(INDEX(pr_rate,MATCH(B1580,pr_code,0))="","",INDEX(pr_rate,MATCH(B1580,pr_code,0))),""))))</f>
        <v/>
      </c>
      <c r="L1580" s="65" t="str">
        <f>IF(COUNTA(A1580:G1580)=0,"",IF(AND(ISNUMBER(D1580),ISNUMBER(J1580)),ROUND(D1580*J1580*(1-N(F1580)),2),0))</f>
        <v/>
      </c>
      <c r="M1580" s="62" t="str">
        <f>IF(A1580="","",IFERROR(INDEX(dv_cname,MATCH(A1580,dv_num,0))&amp;"",""))</f>
        <v/>
      </c>
      <c r="N1580" s="59" t="str">
        <f>IF(COUNTA(A1580:G1580)=0,"",IF(A1580="","N° devis manquant",IF(ISNA(MATCH(A1580,dv_num,0)),"Devis inconnu",IF(AND(B1580&lt;&gt;"",ISNA(MATCH(B1580,pr_code,0))),"Article inconnu",IF(H1580="","Désignation manquante",IF(OR(NOT(ISNUMBER(D1580)),N(D1580)&lt;=0),"Quantité invalide",IF(J1580="","Prix manquant",IF(OR(NOT(ISNUMBER(J1580)),N(J1580)&lt;0),"Prix invalide",IF(OR(AND(F1580&lt;&gt;"",NOT(ISNUMBER(F1580))),N(F1580)&lt;0,N(F1580)&gt;1),"Remise invalide",IF(K1580="","Taux de TVA manquant",IF(NOT(ISNUMBER(K1580)),"Taux de TVA invalide",IF(COUNTIF(p_rates,K1580)=0,"Taux de TVA hors liste (Paramètres)",IF(N(O1580)&gt;25,"Au-delà de 25 lignes : non imprimée","OK")))))))))))))</f>
        <v/>
      </c>
      <c r="O1580" s="59" t="str">
        <f>IF(A1580="","",COUNTIF($A$6:A1580,A1580))</f>
        <v/>
      </c>
      <c r="P1580" s="62" t="str">
        <f>IF(A1580="","",A1580&amp;"|"&amp;O1580)</f>
        <v/>
      </c>
    </row>
    <row r="1581">
      <c r="A1581" s="60" t="n"/>
      <c r="B1581" s="63" t="n"/>
      <c r="C1581" s="63" t="n"/>
      <c r="D1581" s="67" t="n"/>
      <c r="E1581" s="68" t="n"/>
      <c r="F1581" s="69" t="n"/>
      <c r="G1581" s="70" t="n"/>
      <c r="H1581" s="62" t="str">
        <f>IF(COUNTA(A1581:G1581)=0,"",IF(C1581&lt;&gt;"",C1581,IF(B1581="","",IFERROR(INDEX(pr_des,MATCH(B1581,pr_code,0))&amp;"",""))))</f>
        <v/>
      </c>
      <c r="I1581" s="59" t="str">
        <f>IF(B1581="","",IFERROR(INDEX(pr_unit,MATCH(B1581,pr_code,0))&amp;"",""))</f>
        <v/>
      </c>
      <c r="J1581" s="65" t="str">
        <f>IF(COUNTA(A1581:G1581)=0,"",IF(E1581&lt;&gt;"",E1581,IF(B1581="","",IFERROR(IF(INDEX(pr_price,MATCH(B1581,pr_code,0))="","",INDEX(pr_price,MATCH(B1581,pr_code,0))),""))))</f>
        <v/>
      </c>
      <c r="K1581" s="71" t="str">
        <f>IF(COUNTA(A1581:G1581)=0,"",IF(G1581&lt;&gt;"",G1581,IF(B1581="","",IFERROR(IF(INDEX(pr_rate,MATCH(B1581,pr_code,0))="","",INDEX(pr_rate,MATCH(B1581,pr_code,0))),""))))</f>
        <v/>
      </c>
      <c r="L1581" s="65" t="str">
        <f>IF(COUNTA(A1581:G1581)=0,"",IF(AND(ISNUMBER(D1581),ISNUMBER(J1581)),ROUND(D1581*J1581*(1-N(F1581)),2),0))</f>
        <v/>
      </c>
      <c r="M1581" s="62" t="str">
        <f>IF(A1581="","",IFERROR(INDEX(dv_cname,MATCH(A1581,dv_num,0))&amp;"",""))</f>
        <v/>
      </c>
      <c r="N1581" s="59" t="str">
        <f>IF(COUNTA(A1581:G1581)=0,"",IF(A1581="","N° devis manquant",IF(ISNA(MATCH(A1581,dv_num,0)),"Devis inconnu",IF(AND(B1581&lt;&gt;"",ISNA(MATCH(B1581,pr_code,0))),"Article inconnu",IF(H1581="","Désignation manquante",IF(OR(NOT(ISNUMBER(D1581)),N(D1581)&lt;=0),"Quantité invalide",IF(J1581="","Prix manquant",IF(OR(NOT(ISNUMBER(J1581)),N(J1581)&lt;0),"Prix invalide",IF(OR(AND(F1581&lt;&gt;"",NOT(ISNUMBER(F1581))),N(F1581)&lt;0,N(F1581)&gt;1),"Remise invalide",IF(K1581="","Taux de TVA manquant",IF(NOT(ISNUMBER(K1581)),"Taux de TVA invalide",IF(COUNTIF(p_rates,K1581)=0,"Taux de TVA hors liste (Paramètres)",IF(N(O1581)&gt;25,"Au-delà de 25 lignes : non imprimée","OK")))))))))))))</f>
        <v/>
      </c>
      <c r="O1581" s="59" t="str">
        <f>IF(A1581="","",COUNTIF($A$6:A1581,A1581))</f>
        <v/>
      </c>
      <c r="P1581" s="62" t="str">
        <f>IF(A1581="","",A1581&amp;"|"&amp;O1581)</f>
        <v/>
      </c>
    </row>
    <row r="1582">
      <c r="A1582" s="60" t="n"/>
      <c r="B1582" s="63" t="n"/>
      <c r="C1582" s="63" t="n"/>
      <c r="D1582" s="67" t="n"/>
      <c r="E1582" s="68" t="n"/>
      <c r="F1582" s="69" t="n"/>
      <c r="G1582" s="70" t="n"/>
      <c r="H1582" s="62" t="str">
        <f>IF(COUNTA(A1582:G1582)=0,"",IF(C1582&lt;&gt;"",C1582,IF(B1582="","",IFERROR(INDEX(pr_des,MATCH(B1582,pr_code,0))&amp;"",""))))</f>
        <v/>
      </c>
      <c r="I1582" s="59" t="str">
        <f>IF(B1582="","",IFERROR(INDEX(pr_unit,MATCH(B1582,pr_code,0))&amp;"",""))</f>
        <v/>
      </c>
      <c r="J1582" s="65" t="str">
        <f>IF(COUNTA(A1582:G1582)=0,"",IF(E1582&lt;&gt;"",E1582,IF(B1582="","",IFERROR(IF(INDEX(pr_price,MATCH(B1582,pr_code,0))="","",INDEX(pr_price,MATCH(B1582,pr_code,0))),""))))</f>
        <v/>
      </c>
      <c r="K1582" s="71" t="str">
        <f>IF(COUNTA(A1582:G1582)=0,"",IF(G1582&lt;&gt;"",G1582,IF(B1582="","",IFERROR(IF(INDEX(pr_rate,MATCH(B1582,pr_code,0))="","",INDEX(pr_rate,MATCH(B1582,pr_code,0))),""))))</f>
        <v/>
      </c>
      <c r="L1582" s="65" t="str">
        <f>IF(COUNTA(A1582:G1582)=0,"",IF(AND(ISNUMBER(D1582),ISNUMBER(J1582)),ROUND(D1582*J1582*(1-N(F1582)),2),0))</f>
        <v/>
      </c>
      <c r="M1582" s="62" t="str">
        <f>IF(A1582="","",IFERROR(INDEX(dv_cname,MATCH(A1582,dv_num,0))&amp;"",""))</f>
        <v/>
      </c>
      <c r="N1582" s="59" t="str">
        <f>IF(COUNTA(A1582:G1582)=0,"",IF(A1582="","N° devis manquant",IF(ISNA(MATCH(A1582,dv_num,0)),"Devis inconnu",IF(AND(B1582&lt;&gt;"",ISNA(MATCH(B1582,pr_code,0))),"Article inconnu",IF(H1582="","Désignation manquante",IF(OR(NOT(ISNUMBER(D1582)),N(D1582)&lt;=0),"Quantité invalide",IF(J1582="","Prix manquant",IF(OR(NOT(ISNUMBER(J1582)),N(J1582)&lt;0),"Prix invalide",IF(OR(AND(F1582&lt;&gt;"",NOT(ISNUMBER(F1582))),N(F1582)&lt;0,N(F1582)&gt;1),"Remise invalide",IF(K1582="","Taux de TVA manquant",IF(NOT(ISNUMBER(K1582)),"Taux de TVA invalide",IF(COUNTIF(p_rates,K1582)=0,"Taux de TVA hors liste (Paramètres)",IF(N(O1582)&gt;25,"Au-delà de 25 lignes : non imprimée","OK")))))))))))))</f>
        <v/>
      </c>
      <c r="O1582" s="59" t="str">
        <f>IF(A1582="","",COUNTIF($A$6:A1582,A1582))</f>
        <v/>
      </c>
      <c r="P1582" s="62" t="str">
        <f>IF(A1582="","",A1582&amp;"|"&amp;O1582)</f>
        <v/>
      </c>
    </row>
    <row r="1583">
      <c r="A1583" s="60" t="n"/>
      <c r="B1583" s="63" t="n"/>
      <c r="C1583" s="63" t="n"/>
      <c r="D1583" s="67" t="n"/>
      <c r="E1583" s="68" t="n"/>
      <c r="F1583" s="69" t="n"/>
      <c r="G1583" s="70" t="n"/>
      <c r="H1583" s="62" t="str">
        <f>IF(COUNTA(A1583:G1583)=0,"",IF(C1583&lt;&gt;"",C1583,IF(B1583="","",IFERROR(INDEX(pr_des,MATCH(B1583,pr_code,0))&amp;"",""))))</f>
        <v/>
      </c>
      <c r="I1583" s="59" t="str">
        <f>IF(B1583="","",IFERROR(INDEX(pr_unit,MATCH(B1583,pr_code,0))&amp;"",""))</f>
        <v/>
      </c>
      <c r="J1583" s="65" t="str">
        <f>IF(COUNTA(A1583:G1583)=0,"",IF(E1583&lt;&gt;"",E1583,IF(B1583="","",IFERROR(IF(INDEX(pr_price,MATCH(B1583,pr_code,0))="","",INDEX(pr_price,MATCH(B1583,pr_code,0))),""))))</f>
        <v/>
      </c>
      <c r="K1583" s="71" t="str">
        <f>IF(COUNTA(A1583:G1583)=0,"",IF(G1583&lt;&gt;"",G1583,IF(B1583="","",IFERROR(IF(INDEX(pr_rate,MATCH(B1583,pr_code,0))="","",INDEX(pr_rate,MATCH(B1583,pr_code,0))),""))))</f>
        <v/>
      </c>
      <c r="L1583" s="65" t="str">
        <f>IF(COUNTA(A1583:G1583)=0,"",IF(AND(ISNUMBER(D1583),ISNUMBER(J1583)),ROUND(D1583*J1583*(1-N(F1583)),2),0))</f>
        <v/>
      </c>
      <c r="M1583" s="62" t="str">
        <f>IF(A1583="","",IFERROR(INDEX(dv_cname,MATCH(A1583,dv_num,0))&amp;"",""))</f>
        <v/>
      </c>
      <c r="N1583" s="59" t="str">
        <f>IF(COUNTA(A1583:G1583)=0,"",IF(A1583="","N° devis manquant",IF(ISNA(MATCH(A1583,dv_num,0)),"Devis inconnu",IF(AND(B1583&lt;&gt;"",ISNA(MATCH(B1583,pr_code,0))),"Article inconnu",IF(H1583="","Désignation manquante",IF(OR(NOT(ISNUMBER(D1583)),N(D1583)&lt;=0),"Quantité invalide",IF(J1583="","Prix manquant",IF(OR(NOT(ISNUMBER(J1583)),N(J1583)&lt;0),"Prix invalide",IF(OR(AND(F1583&lt;&gt;"",NOT(ISNUMBER(F1583))),N(F1583)&lt;0,N(F1583)&gt;1),"Remise invalide",IF(K1583="","Taux de TVA manquant",IF(NOT(ISNUMBER(K1583)),"Taux de TVA invalide",IF(COUNTIF(p_rates,K1583)=0,"Taux de TVA hors liste (Paramètres)",IF(N(O1583)&gt;25,"Au-delà de 25 lignes : non imprimée","OK")))))))))))))</f>
        <v/>
      </c>
      <c r="O1583" s="59" t="str">
        <f>IF(A1583="","",COUNTIF($A$6:A1583,A1583))</f>
        <v/>
      </c>
      <c r="P1583" s="62" t="str">
        <f>IF(A1583="","",A1583&amp;"|"&amp;O1583)</f>
        <v/>
      </c>
    </row>
    <row r="1584">
      <c r="A1584" s="60" t="n"/>
      <c r="B1584" s="63" t="n"/>
      <c r="C1584" s="63" t="n"/>
      <c r="D1584" s="67" t="n"/>
      <c r="E1584" s="68" t="n"/>
      <c r="F1584" s="69" t="n"/>
      <c r="G1584" s="70" t="n"/>
      <c r="H1584" s="62" t="str">
        <f>IF(COUNTA(A1584:G1584)=0,"",IF(C1584&lt;&gt;"",C1584,IF(B1584="","",IFERROR(INDEX(pr_des,MATCH(B1584,pr_code,0))&amp;"",""))))</f>
        <v/>
      </c>
      <c r="I1584" s="59" t="str">
        <f>IF(B1584="","",IFERROR(INDEX(pr_unit,MATCH(B1584,pr_code,0))&amp;"",""))</f>
        <v/>
      </c>
      <c r="J1584" s="65" t="str">
        <f>IF(COUNTA(A1584:G1584)=0,"",IF(E1584&lt;&gt;"",E1584,IF(B1584="","",IFERROR(IF(INDEX(pr_price,MATCH(B1584,pr_code,0))="","",INDEX(pr_price,MATCH(B1584,pr_code,0))),""))))</f>
        <v/>
      </c>
      <c r="K1584" s="71" t="str">
        <f>IF(COUNTA(A1584:G1584)=0,"",IF(G1584&lt;&gt;"",G1584,IF(B1584="","",IFERROR(IF(INDEX(pr_rate,MATCH(B1584,pr_code,0))="","",INDEX(pr_rate,MATCH(B1584,pr_code,0))),""))))</f>
        <v/>
      </c>
      <c r="L1584" s="65" t="str">
        <f>IF(COUNTA(A1584:G1584)=0,"",IF(AND(ISNUMBER(D1584),ISNUMBER(J1584)),ROUND(D1584*J1584*(1-N(F1584)),2),0))</f>
        <v/>
      </c>
      <c r="M1584" s="62" t="str">
        <f>IF(A1584="","",IFERROR(INDEX(dv_cname,MATCH(A1584,dv_num,0))&amp;"",""))</f>
        <v/>
      </c>
      <c r="N1584" s="59" t="str">
        <f>IF(COUNTA(A1584:G1584)=0,"",IF(A1584="","N° devis manquant",IF(ISNA(MATCH(A1584,dv_num,0)),"Devis inconnu",IF(AND(B1584&lt;&gt;"",ISNA(MATCH(B1584,pr_code,0))),"Article inconnu",IF(H1584="","Désignation manquante",IF(OR(NOT(ISNUMBER(D1584)),N(D1584)&lt;=0),"Quantité invalide",IF(J1584="","Prix manquant",IF(OR(NOT(ISNUMBER(J1584)),N(J1584)&lt;0),"Prix invalide",IF(OR(AND(F1584&lt;&gt;"",NOT(ISNUMBER(F1584))),N(F1584)&lt;0,N(F1584)&gt;1),"Remise invalide",IF(K1584="","Taux de TVA manquant",IF(NOT(ISNUMBER(K1584)),"Taux de TVA invalide",IF(COUNTIF(p_rates,K1584)=0,"Taux de TVA hors liste (Paramètres)",IF(N(O1584)&gt;25,"Au-delà de 25 lignes : non imprimée","OK")))))))))))))</f>
        <v/>
      </c>
      <c r="O1584" s="59" t="str">
        <f>IF(A1584="","",COUNTIF($A$6:A1584,A1584))</f>
        <v/>
      </c>
      <c r="P1584" s="62" t="str">
        <f>IF(A1584="","",A1584&amp;"|"&amp;O1584)</f>
        <v/>
      </c>
    </row>
    <row r="1585">
      <c r="A1585" s="60" t="n"/>
      <c r="B1585" s="63" t="n"/>
      <c r="C1585" s="63" t="n"/>
      <c r="D1585" s="67" t="n"/>
      <c r="E1585" s="68" t="n"/>
      <c r="F1585" s="69" t="n"/>
      <c r="G1585" s="70" t="n"/>
      <c r="H1585" s="62" t="str">
        <f>IF(COUNTA(A1585:G1585)=0,"",IF(C1585&lt;&gt;"",C1585,IF(B1585="","",IFERROR(INDEX(pr_des,MATCH(B1585,pr_code,0))&amp;"",""))))</f>
        <v/>
      </c>
      <c r="I1585" s="59" t="str">
        <f>IF(B1585="","",IFERROR(INDEX(pr_unit,MATCH(B1585,pr_code,0))&amp;"",""))</f>
        <v/>
      </c>
      <c r="J1585" s="65" t="str">
        <f>IF(COUNTA(A1585:G1585)=0,"",IF(E1585&lt;&gt;"",E1585,IF(B1585="","",IFERROR(IF(INDEX(pr_price,MATCH(B1585,pr_code,0))="","",INDEX(pr_price,MATCH(B1585,pr_code,0))),""))))</f>
        <v/>
      </c>
      <c r="K1585" s="71" t="str">
        <f>IF(COUNTA(A1585:G1585)=0,"",IF(G1585&lt;&gt;"",G1585,IF(B1585="","",IFERROR(IF(INDEX(pr_rate,MATCH(B1585,pr_code,0))="","",INDEX(pr_rate,MATCH(B1585,pr_code,0))),""))))</f>
        <v/>
      </c>
      <c r="L1585" s="65" t="str">
        <f>IF(COUNTA(A1585:G1585)=0,"",IF(AND(ISNUMBER(D1585),ISNUMBER(J1585)),ROUND(D1585*J1585*(1-N(F1585)),2),0))</f>
        <v/>
      </c>
      <c r="M1585" s="62" t="str">
        <f>IF(A1585="","",IFERROR(INDEX(dv_cname,MATCH(A1585,dv_num,0))&amp;"",""))</f>
        <v/>
      </c>
      <c r="N1585" s="59" t="str">
        <f>IF(COUNTA(A1585:G1585)=0,"",IF(A1585="","N° devis manquant",IF(ISNA(MATCH(A1585,dv_num,0)),"Devis inconnu",IF(AND(B1585&lt;&gt;"",ISNA(MATCH(B1585,pr_code,0))),"Article inconnu",IF(H1585="","Désignation manquante",IF(OR(NOT(ISNUMBER(D1585)),N(D1585)&lt;=0),"Quantité invalide",IF(J1585="","Prix manquant",IF(OR(NOT(ISNUMBER(J1585)),N(J1585)&lt;0),"Prix invalide",IF(OR(AND(F1585&lt;&gt;"",NOT(ISNUMBER(F1585))),N(F1585)&lt;0,N(F1585)&gt;1),"Remise invalide",IF(K1585="","Taux de TVA manquant",IF(NOT(ISNUMBER(K1585)),"Taux de TVA invalide",IF(COUNTIF(p_rates,K1585)=0,"Taux de TVA hors liste (Paramètres)",IF(N(O1585)&gt;25,"Au-delà de 25 lignes : non imprimée","OK")))))))))))))</f>
        <v/>
      </c>
      <c r="O1585" s="59" t="str">
        <f>IF(A1585="","",COUNTIF($A$6:A1585,A1585))</f>
        <v/>
      </c>
      <c r="P1585" s="62" t="str">
        <f>IF(A1585="","",A1585&amp;"|"&amp;O1585)</f>
        <v/>
      </c>
    </row>
    <row r="1586">
      <c r="A1586" s="60" t="n"/>
      <c r="B1586" s="63" t="n"/>
      <c r="C1586" s="63" t="n"/>
      <c r="D1586" s="67" t="n"/>
      <c r="E1586" s="68" t="n"/>
      <c r="F1586" s="69" t="n"/>
      <c r="G1586" s="70" t="n"/>
      <c r="H1586" s="62" t="str">
        <f>IF(COUNTA(A1586:G1586)=0,"",IF(C1586&lt;&gt;"",C1586,IF(B1586="","",IFERROR(INDEX(pr_des,MATCH(B1586,pr_code,0))&amp;"",""))))</f>
        <v/>
      </c>
      <c r="I1586" s="59" t="str">
        <f>IF(B1586="","",IFERROR(INDEX(pr_unit,MATCH(B1586,pr_code,0))&amp;"",""))</f>
        <v/>
      </c>
      <c r="J1586" s="65" t="str">
        <f>IF(COUNTA(A1586:G1586)=0,"",IF(E1586&lt;&gt;"",E1586,IF(B1586="","",IFERROR(IF(INDEX(pr_price,MATCH(B1586,pr_code,0))="","",INDEX(pr_price,MATCH(B1586,pr_code,0))),""))))</f>
        <v/>
      </c>
      <c r="K1586" s="71" t="str">
        <f>IF(COUNTA(A1586:G1586)=0,"",IF(G1586&lt;&gt;"",G1586,IF(B1586="","",IFERROR(IF(INDEX(pr_rate,MATCH(B1586,pr_code,0))="","",INDEX(pr_rate,MATCH(B1586,pr_code,0))),""))))</f>
        <v/>
      </c>
      <c r="L1586" s="65" t="str">
        <f>IF(COUNTA(A1586:G1586)=0,"",IF(AND(ISNUMBER(D1586),ISNUMBER(J1586)),ROUND(D1586*J1586*(1-N(F1586)),2),0))</f>
        <v/>
      </c>
      <c r="M1586" s="62" t="str">
        <f>IF(A1586="","",IFERROR(INDEX(dv_cname,MATCH(A1586,dv_num,0))&amp;"",""))</f>
        <v/>
      </c>
      <c r="N1586" s="59" t="str">
        <f>IF(COUNTA(A1586:G1586)=0,"",IF(A1586="","N° devis manquant",IF(ISNA(MATCH(A1586,dv_num,0)),"Devis inconnu",IF(AND(B1586&lt;&gt;"",ISNA(MATCH(B1586,pr_code,0))),"Article inconnu",IF(H1586="","Désignation manquante",IF(OR(NOT(ISNUMBER(D1586)),N(D1586)&lt;=0),"Quantité invalide",IF(J1586="","Prix manquant",IF(OR(NOT(ISNUMBER(J1586)),N(J1586)&lt;0),"Prix invalide",IF(OR(AND(F1586&lt;&gt;"",NOT(ISNUMBER(F1586))),N(F1586)&lt;0,N(F1586)&gt;1),"Remise invalide",IF(K1586="","Taux de TVA manquant",IF(NOT(ISNUMBER(K1586)),"Taux de TVA invalide",IF(COUNTIF(p_rates,K1586)=0,"Taux de TVA hors liste (Paramètres)",IF(N(O1586)&gt;25,"Au-delà de 25 lignes : non imprimée","OK")))))))))))))</f>
        <v/>
      </c>
      <c r="O1586" s="59" t="str">
        <f>IF(A1586="","",COUNTIF($A$6:A1586,A1586))</f>
        <v/>
      </c>
      <c r="P1586" s="62" t="str">
        <f>IF(A1586="","",A1586&amp;"|"&amp;O1586)</f>
        <v/>
      </c>
    </row>
    <row r="1587">
      <c r="A1587" s="60" t="n"/>
      <c r="B1587" s="63" t="n"/>
      <c r="C1587" s="63" t="n"/>
      <c r="D1587" s="67" t="n"/>
      <c r="E1587" s="68" t="n"/>
      <c r="F1587" s="69" t="n"/>
      <c r="G1587" s="70" t="n"/>
      <c r="H1587" s="62" t="str">
        <f>IF(COUNTA(A1587:G1587)=0,"",IF(C1587&lt;&gt;"",C1587,IF(B1587="","",IFERROR(INDEX(pr_des,MATCH(B1587,pr_code,0))&amp;"",""))))</f>
        <v/>
      </c>
      <c r="I1587" s="59" t="str">
        <f>IF(B1587="","",IFERROR(INDEX(pr_unit,MATCH(B1587,pr_code,0))&amp;"",""))</f>
        <v/>
      </c>
      <c r="J1587" s="65" t="str">
        <f>IF(COUNTA(A1587:G1587)=0,"",IF(E1587&lt;&gt;"",E1587,IF(B1587="","",IFERROR(IF(INDEX(pr_price,MATCH(B1587,pr_code,0))="","",INDEX(pr_price,MATCH(B1587,pr_code,0))),""))))</f>
        <v/>
      </c>
      <c r="K1587" s="71" t="str">
        <f>IF(COUNTA(A1587:G1587)=0,"",IF(G1587&lt;&gt;"",G1587,IF(B1587="","",IFERROR(IF(INDEX(pr_rate,MATCH(B1587,pr_code,0))="","",INDEX(pr_rate,MATCH(B1587,pr_code,0))),""))))</f>
        <v/>
      </c>
      <c r="L1587" s="65" t="str">
        <f>IF(COUNTA(A1587:G1587)=0,"",IF(AND(ISNUMBER(D1587),ISNUMBER(J1587)),ROUND(D1587*J1587*(1-N(F1587)),2),0))</f>
        <v/>
      </c>
      <c r="M1587" s="62" t="str">
        <f>IF(A1587="","",IFERROR(INDEX(dv_cname,MATCH(A1587,dv_num,0))&amp;"",""))</f>
        <v/>
      </c>
      <c r="N1587" s="59" t="str">
        <f>IF(COUNTA(A1587:G1587)=0,"",IF(A1587="","N° devis manquant",IF(ISNA(MATCH(A1587,dv_num,0)),"Devis inconnu",IF(AND(B1587&lt;&gt;"",ISNA(MATCH(B1587,pr_code,0))),"Article inconnu",IF(H1587="","Désignation manquante",IF(OR(NOT(ISNUMBER(D1587)),N(D1587)&lt;=0),"Quantité invalide",IF(J1587="","Prix manquant",IF(OR(NOT(ISNUMBER(J1587)),N(J1587)&lt;0),"Prix invalide",IF(OR(AND(F1587&lt;&gt;"",NOT(ISNUMBER(F1587))),N(F1587)&lt;0,N(F1587)&gt;1),"Remise invalide",IF(K1587="","Taux de TVA manquant",IF(NOT(ISNUMBER(K1587)),"Taux de TVA invalide",IF(COUNTIF(p_rates,K1587)=0,"Taux de TVA hors liste (Paramètres)",IF(N(O1587)&gt;25,"Au-delà de 25 lignes : non imprimée","OK")))))))))))))</f>
        <v/>
      </c>
      <c r="O1587" s="59" t="str">
        <f>IF(A1587="","",COUNTIF($A$6:A1587,A1587))</f>
        <v/>
      </c>
      <c r="P1587" s="62" t="str">
        <f>IF(A1587="","",A1587&amp;"|"&amp;O1587)</f>
        <v/>
      </c>
    </row>
    <row r="1588">
      <c r="A1588" s="60" t="n"/>
      <c r="B1588" s="63" t="n"/>
      <c r="C1588" s="63" t="n"/>
      <c r="D1588" s="67" t="n"/>
      <c r="E1588" s="68" t="n"/>
      <c r="F1588" s="69" t="n"/>
      <c r="G1588" s="70" t="n"/>
      <c r="H1588" s="62" t="str">
        <f>IF(COUNTA(A1588:G1588)=0,"",IF(C1588&lt;&gt;"",C1588,IF(B1588="","",IFERROR(INDEX(pr_des,MATCH(B1588,pr_code,0))&amp;"",""))))</f>
        <v/>
      </c>
      <c r="I1588" s="59" t="str">
        <f>IF(B1588="","",IFERROR(INDEX(pr_unit,MATCH(B1588,pr_code,0))&amp;"",""))</f>
        <v/>
      </c>
      <c r="J1588" s="65" t="str">
        <f>IF(COUNTA(A1588:G1588)=0,"",IF(E1588&lt;&gt;"",E1588,IF(B1588="","",IFERROR(IF(INDEX(pr_price,MATCH(B1588,pr_code,0))="","",INDEX(pr_price,MATCH(B1588,pr_code,0))),""))))</f>
        <v/>
      </c>
      <c r="K1588" s="71" t="str">
        <f>IF(COUNTA(A1588:G1588)=0,"",IF(G1588&lt;&gt;"",G1588,IF(B1588="","",IFERROR(IF(INDEX(pr_rate,MATCH(B1588,pr_code,0))="","",INDEX(pr_rate,MATCH(B1588,pr_code,0))),""))))</f>
        <v/>
      </c>
      <c r="L1588" s="65" t="str">
        <f>IF(COUNTA(A1588:G1588)=0,"",IF(AND(ISNUMBER(D1588),ISNUMBER(J1588)),ROUND(D1588*J1588*(1-N(F1588)),2),0))</f>
        <v/>
      </c>
      <c r="M1588" s="62" t="str">
        <f>IF(A1588="","",IFERROR(INDEX(dv_cname,MATCH(A1588,dv_num,0))&amp;"",""))</f>
        <v/>
      </c>
      <c r="N1588" s="59" t="str">
        <f>IF(COUNTA(A1588:G1588)=0,"",IF(A1588="","N° devis manquant",IF(ISNA(MATCH(A1588,dv_num,0)),"Devis inconnu",IF(AND(B1588&lt;&gt;"",ISNA(MATCH(B1588,pr_code,0))),"Article inconnu",IF(H1588="","Désignation manquante",IF(OR(NOT(ISNUMBER(D1588)),N(D1588)&lt;=0),"Quantité invalide",IF(J1588="","Prix manquant",IF(OR(NOT(ISNUMBER(J1588)),N(J1588)&lt;0),"Prix invalide",IF(OR(AND(F1588&lt;&gt;"",NOT(ISNUMBER(F1588))),N(F1588)&lt;0,N(F1588)&gt;1),"Remise invalide",IF(K1588="","Taux de TVA manquant",IF(NOT(ISNUMBER(K1588)),"Taux de TVA invalide",IF(COUNTIF(p_rates,K1588)=0,"Taux de TVA hors liste (Paramètres)",IF(N(O1588)&gt;25,"Au-delà de 25 lignes : non imprimée","OK")))))))))))))</f>
        <v/>
      </c>
      <c r="O1588" s="59" t="str">
        <f>IF(A1588="","",COUNTIF($A$6:A1588,A1588))</f>
        <v/>
      </c>
      <c r="P1588" s="62" t="str">
        <f>IF(A1588="","",A1588&amp;"|"&amp;O1588)</f>
        <v/>
      </c>
    </row>
    <row r="1589">
      <c r="A1589" s="60" t="n"/>
      <c r="B1589" s="63" t="n"/>
      <c r="C1589" s="63" t="n"/>
      <c r="D1589" s="67" t="n"/>
      <c r="E1589" s="68" t="n"/>
      <c r="F1589" s="69" t="n"/>
      <c r="G1589" s="70" t="n"/>
      <c r="H1589" s="62" t="str">
        <f>IF(COUNTA(A1589:G1589)=0,"",IF(C1589&lt;&gt;"",C1589,IF(B1589="","",IFERROR(INDEX(pr_des,MATCH(B1589,pr_code,0))&amp;"",""))))</f>
        <v/>
      </c>
      <c r="I1589" s="59" t="str">
        <f>IF(B1589="","",IFERROR(INDEX(pr_unit,MATCH(B1589,pr_code,0))&amp;"",""))</f>
        <v/>
      </c>
      <c r="J1589" s="65" t="str">
        <f>IF(COUNTA(A1589:G1589)=0,"",IF(E1589&lt;&gt;"",E1589,IF(B1589="","",IFERROR(IF(INDEX(pr_price,MATCH(B1589,pr_code,0))="","",INDEX(pr_price,MATCH(B1589,pr_code,0))),""))))</f>
        <v/>
      </c>
      <c r="K1589" s="71" t="str">
        <f>IF(COUNTA(A1589:G1589)=0,"",IF(G1589&lt;&gt;"",G1589,IF(B1589="","",IFERROR(IF(INDEX(pr_rate,MATCH(B1589,pr_code,0))="","",INDEX(pr_rate,MATCH(B1589,pr_code,0))),""))))</f>
        <v/>
      </c>
      <c r="L1589" s="65" t="str">
        <f>IF(COUNTA(A1589:G1589)=0,"",IF(AND(ISNUMBER(D1589),ISNUMBER(J1589)),ROUND(D1589*J1589*(1-N(F1589)),2),0))</f>
        <v/>
      </c>
      <c r="M1589" s="62" t="str">
        <f>IF(A1589="","",IFERROR(INDEX(dv_cname,MATCH(A1589,dv_num,0))&amp;"",""))</f>
        <v/>
      </c>
      <c r="N1589" s="59" t="str">
        <f>IF(COUNTA(A1589:G1589)=0,"",IF(A1589="","N° devis manquant",IF(ISNA(MATCH(A1589,dv_num,0)),"Devis inconnu",IF(AND(B1589&lt;&gt;"",ISNA(MATCH(B1589,pr_code,0))),"Article inconnu",IF(H1589="","Désignation manquante",IF(OR(NOT(ISNUMBER(D1589)),N(D1589)&lt;=0),"Quantité invalide",IF(J1589="","Prix manquant",IF(OR(NOT(ISNUMBER(J1589)),N(J1589)&lt;0),"Prix invalide",IF(OR(AND(F1589&lt;&gt;"",NOT(ISNUMBER(F1589))),N(F1589)&lt;0,N(F1589)&gt;1),"Remise invalide",IF(K1589="","Taux de TVA manquant",IF(NOT(ISNUMBER(K1589)),"Taux de TVA invalide",IF(COUNTIF(p_rates,K1589)=0,"Taux de TVA hors liste (Paramètres)",IF(N(O1589)&gt;25,"Au-delà de 25 lignes : non imprimée","OK")))))))))))))</f>
        <v/>
      </c>
      <c r="O1589" s="59" t="str">
        <f>IF(A1589="","",COUNTIF($A$6:A1589,A1589))</f>
        <v/>
      </c>
      <c r="P1589" s="62" t="str">
        <f>IF(A1589="","",A1589&amp;"|"&amp;O1589)</f>
        <v/>
      </c>
    </row>
    <row r="1590">
      <c r="A1590" s="60" t="n"/>
      <c r="B1590" s="63" t="n"/>
      <c r="C1590" s="63" t="n"/>
      <c r="D1590" s="67" t="n"/>
      <c r="E1590" s="68" t="n"/>
      <c r="F1590" s="69" t="n"/>
      <c r="G1590" s="70" t="n"/>
      <c r="H1590" s="62" t="str">
        <f>IF(COUNTA(A1590:G1590)=0,"",IF(C1590&lt;&gt;"",C1590,IF(B1590="","",IFERROR(INDEX(pr_des,MATCH(B1590,pr_code,0))&amp;"",""))))</f>
        <v/>
      </c>
      <c r="I1590" s="59" t="str">
        <f>IF(B1590="","",IFERROR(INDEX(pr_unit,MATCH(B1590,pr_code,0))&amp;"",""))</f>
        <v/>
      </c>
      <c r="J1590" s="65" t="str">
        <f>IF(COUNTA(A1590:G1590)=0,"",IF(E1590&lt;&gt;"",E1590,IF(B1590="","",IFERROR(IF(INDEX(pr_price,MATCH(B1590,pr_code,0))="","",INDEX(pr_price,MATCH(B1590,pr_code,0))),""))))</f>
        <v/>
      </c>
      <c r="K1590" s="71" t="str">
        <f>IF(COUNTA(A1590:G1590)=0,"",IF(G1590&lt;&gt;"",G1590,IF(B1590="","",IFERROR(IF(INDEX(pr_rate,MATCH(B1590,pr_code,0))="","",INDEX(pr_rate,MATCH(B1590,pr_code,0))),""))))</f>
        <v/>
      </c>
      <c r="L1590" s="65" t="str">
        <f>IF(COUNTA(A1590:G1590)=0,"",IF(AND(ISNUMBER(D1590),ISNUMBER(J1590)),ROUND(D1590*J1590*(1-N(F1590)),2),0))</f>
        <v/>
      </c>
      <c r="M1590" s="62" t="str">
        <f>IF(A1590="","",IFERROR(INDEX(dv_cname,MATCH(A1590,dv_num,0))&amp;"",""))</f>
        <v/>
      </c>
      <c r="N1590" s="59" t="str">
        <f>IF(COUNTA(A1590:G1590)=0,"",IF(A1590="","N° devis manquant",IF(ISNA(MATCH(A1590,dv_num,0)),"Devis inconnu",IF(AND(B1590&lt;&gt;"",ISNA(MATCH(B1590,pr_code,0))),"Article inconnu",IF(H1590="","Désignation manquante",IF(OR(NOT(ISNUMBER(D1590)),N(D1590)&lt;=0),"Quantité invalide",IF(J1590="","Prix manquant",IF(OR(NOT(ISNUMBER(J1590)),N(J1590)&lt;0),"Prix invalide",IF(OR(AND(F1590&lt;&gt;"",NOT(ISNUMBER(F1590))),N(F1590)&lt;0,N(F1590)&gt;1),"Remise invalide",IF(K1590="","Taux de TVA manquant",IF(NOT(ISNUMBER(K1590)),"Taux de TVA invalide",IF(COUNTIF(p_rates,K1590)=0,"Taux de TVA hors liste (Paramètres)",IF(N(O1590)&gt;25,"Au-delà de 25 lignes : non imprimée","OK")))))))))))))</f>
        <v/>
      </c>
      <c r="O1590" s="59" t="str">
        <f>IF(A1590="","",COUNTIF($A$6:A1590,A1590))</f>
        <v/>
      </c>
      <c r="P1590" s="62" t="str">
        <f>IF(A1590="","",A1590&amp;"|"&amp;O1590)</f>
        <v/>
      </c>
    </row>
    <row r="1591">
      <c r="A1591" s="60" t="n"/>
      <c r="B1591" s="63" t="n"/>
      <c r="C1591" s="63" t="n"/>
      <c r="D1591" s="67" t="n"/>
      <c r="E1591" s="68" t="n"/>
      <c r="F1591" s="69" t="n"/>
      <c r="G1591" s="70" t="n"/>
      <c r="H1591" s="62" t="str">
        <f>IF(COUNTA(A1591:G1591)=0,"",IF(C1591&lt;&gt;"",C1591,IF(B1591="","",IFERROR(INDEX(pr_des,MATCH(B1591,pr_code,0))&amp;"",""))))</f>
        <v/>
      </c>
      <c r="I1591" s="59" t="str">
        <f>IF(B1591="","",IFERROR(INDEX(pr_unit,MATCH(B1591,pr_code,0))&amp;"",""))</f>
        <v/>
      </c>
      <c r="J1591" s="65" t="str">
        <f>IF(COUNTA(A1591:G1591)=0,"",IF(E1591&lt;&gt;"",E1591,IF(B1591="","",IFERROR(IF(INDEX(pr_price,MATCH(B1591,pr_code,0))="","",INDEX(pr_price,MATCH(B1591,pr_code,0))),""))))</f>
        <v/>
      </c>
      <c r="K1591" s="71" t="str">
        <f>IF(COUNTA(A1591:G1591)=0,"",IF(G1591&lt;&gt;"",G1591,IF(B1591="","",IFERROR(IF(INDEX(pr_rate,MATCH(B1591,pr_code,0))="","",INDEX(pr_rate,MATCH(B1591,pr_code,0))),""))))</f>
        <v/>
      </c>
      <c r="L1591" s="65" t="str">
        <f>IF(COUNTA(A1591:G1591)=0,"",IF(AND(ISNUMBER(D1591),ISNUMBER(J1591)),ROUND(D1591*J1591*(1-N(F1591)),2),0))</f>
        <v/>
      </c>
      <c r="M1591" s="62" t="str">
        <f>IF(A1591="","",IFERROR(INDEX(dv_cname,MATCH(A1591,dv_num,0))&amp;"",""))</f>
        <v/>
      </c>
      <c r="N1591" s="59" t="str">
        <f>IF(COUNTA(A1591:G1591)=0,"",IF(A1591="","N° devis manquant",IF(ISNA(MATCH(A1591,dv_num,0)),"Devis inconnu",IF(AND(B1591&lt;&gt;"",ISNA(MATCH(B1591,pr_code,0))),"Article inconnu",IF(H1591="","Désignation manquante",IF(OR(NOT(ISNUMBER(D1591)),N(D1591)&lt;=0),"Quantité invalide",IF(J1591="","Prix manquant",IF(OR(NOT(ISNUMBER(J1591)),N(J1591)&lt;0),"Prix invalide",IF(OR(AND(F1591&lt;&gt;"",NOT(ISNUMBER(F1591))),N(F1591)&lt;0,N(F1591)&gt;1),"Remise invalide",IF(K1591="","Taux de TVA manquant",IF(NOT(ISNUMBER(K1591)),"Taux de TVA invalide",IF(COUNTIF(p_rates,K1591)=0,"Taux de TVA hors liste (Paramètres)",IF(N(O1591)&gt;25,"Au-delà de 25 lignes : non imprimée","OK")))))))))))))</f>
        <v/>
      </c>
      <c r="O1591" s="59" t="str">
        <f>IF(A1591="","",COUNTIF($A$6:A1591,A1591))</f>
        <v/>
      </c>
      <c r="P1591" s="62" t="str">
        <f>IF(A1591="","",A1591&amp;"|"&amp;O1591)</f>
        <v/>
      </c>
    </row>
    <row r="1592">
      <c r="A1592" s="60" t="n"/>
      <c r="B1592" s="63" t="n"/>
      <c r="C1592" s="63" t="n"/>
      <c r="D1592" s="67" t="n"/>
      <c r="E1592" s="68" t="n"/>
      <c r="F1592" s="69" t="n"/>
      <c r="G1592" s="70" t="n"/>
      <c r="H1592" s="62" t="str">
        <f>IF(COUNTA(A1592:G1592)=0,"",IF(C1592&lt;&gt;"",C1592,IF(B1592="","",IFERROR(INDEX(pr_des,MATCH(B1592,pr_code,0))&amp;"",""))))</f>
        <v/>
      </c>
      <c r="I1592" s="59" t="str">
        <f>IF(B1592="","",IFERROR(INDEX(pr_unit,MATCH(B1592,pr_code,0))&amp;"",""))</f>
        <v/>
      </c>
      <c r="J1592" s="65" t="str">
        <f>IF(COUNTA(A1592:G1592)=0,"",IF(E1592&lt;&gt;"",E1592,IF(B1592="","",IFERROR(IF(INDEX(pr_price,MATCH(B1592,pr_code,0))="","",INDEX(pr_price,MATCH(B1592,pr_code,0))),""))))</f>
        <v/>
      </c>
      <c r="K1592" s="71" t="str">
        <f>IF(COUNTA(A1592:G1592)=0,"",IF(G1592&lt;&gt;"",G1592,IF(B1592="","",IFERROR(IF(INDEX(pr_rate,MATCH(B1592,pr_code,0))="","",INDEX(pr_rate,MATCH(B1592,pr_code,0))),""))))</f>
        <v/>
      </c>
      <c r="L1592" s="65" t="str">
        <f>IF(COUNTA(A1592:G1592)=0,"",IF(AND(ISNUMBER(D1592),ISNUMBER(J1592)),ROUND(D1592*J1592*(1-N(F1592)),2),0))</f>
        <v/>
      </c>
      <c r="M1592" s="62" t="str">
        <f>IF(A1592="","",IFERROR(INDEX(dv_cname,MATCH(A1592,dv_num,0))&amp;"",""))</f>
        <v/>
      </c>
      <c r="N1592" s="59" t="str">
        <f>IF(COUNTA(A1592:G1592)=0,"",IF(A1592="","N° devis manquant",IF(ISNA(MATCH(A1592,dv_num,0)),"Devis inconnu",IF(AND(B1592&lt;&gt;"",ISNA(MATCH(B1592,pr_code,0))),"Article inconnu",IF(H1592="","Désignation manquante",IF(OR(NOT(ISNUMBER(D1592)),N(D1592)&lt;=0),"Quantité invalide",IF(J1592="","Prix manquant",IF(OR(NOT(ISNUMBER(J1592)),N(J1592)&lt;0),"Prix invalide",IF(OR(AND(F1592&lt;&gt;"",NOT(ISNUMBER(F1592))),N(F1592)&lt;0,N(F1592)&gt;1),"Remise invalide",IF(K1592="","Taux de TVA manquant",IF(NOT(ISNUMBER(K1592)),"Taux de TVA invalide",IF(COUNTIF(p_rates,K1592)=0,"Taux de TVA hors liste (Paramètres)",IF(N(O1592)&gt;25,"Au-delà de 25 lignes : non imprimée","OK")))))))))))))</f>
        <v/>
      </c>
      <c r="O1592" s="59" t="str">
        <f>IF(A1592="","",COUNTIF($A$6:A1592,A1592))</f>
        <v/>
      </c>
      <c r="P1592" s="62" t="str">
        <f>IF(A1592="","",A1592&amp;"|"&amp;O1592)</f>
        <v/>
      </c>
    </row>
    <row r="1593">
      <c r="A1593" s="60" t="n"/>
      <c r="B1593" s="63" t="n"/>
      <c r="C1593" s="63" t="n"/>
      <c r="D1593" s="67" t="n"/>
      <c r="E1593" s="68" t="n"/>
      <c r="F1593" s="69" t="n"/>
      <c r="G1593" s="70" t="n"/>
      <c r="H1593" s="62" t="str">
        <f>IF(COUNTA(A1593:G1593)=0,"",IF(C1593&lt;&gt;"",C1593,IF(B1593="","",IFERROR(INDEX(pr_des,MATCH(B1593,pr_code,0))&amp;"",""))))</f>
        <v/>
      </c>
      <c r="I1593" s="59" t="str">
        <f>IF(B1593="","",IFERROR(INDEX(pr_unit,MATCH(B1593,pr_code,0))&amp;"",""))</f>
        <v/>
      </c>
      <c r="J1593" s="65" t="str">
        <f>IF(COUNTA(A1593:G1593)=0,"",IF(E1593&lt;&gt;"",E1593,IF(B1593="","",IFERROR(IF(INDEX(pr_price,MATCH(B1593,pr_code,0))="","",INDEX(pr_price,MATCH(B1593,pr_code,0))),""))))</f>
        <v/>
      </c>
      <c r="K1593" s="71" t="str">
        <f>IF(COUNTA(A1593:G1593)=0,"",IF(G1593&lt;&gt;"",G1593,IF(B1593="","",IFERROR(IF(INDEX(pr_rate,MATCH(B1593,pr_code,0))="","",INDEX(pr_rate,MATCH(B1593,pr_code,0))),""))))</f>
        <v/>
      </c>
      <c r="L1593" s="65" t="str">
        <f>IF(COUNTA(A1593:G1593)=0,"",IF(AND(ISNUMBER(D1593),ISNUMBER(J1593)),ROUND(D1593*J1593*(1-N(F1593)),2),0))</f>
        <v/>
      </c>
      <c r="M1593" s="62" t="str">
        <f>IF(A1593="","",IFERROR(INDEX(dv_cname,MATCH(A1593,dv_num,0))&amp;"",""))</f>
        <v/>
      </c>
      <c r="N1593" s="59" t="str">
        <f>IF(COUNTA(A1593:G1593)=0,"",IF(A1593="","N° devis manquant",IF(ISNA(MATCH(A1593,dv_num,0)),"Devis inconnu",IF(AND(B1593&lt;&gt;"",ISNA(MATCH(B1593,pr_code,0))),"Article inconnu",IF(H1593="","Désignation manquante",IF(OR(NOT(ISNUMBER(D1593)),N(D1593)&lt;=0),"Quantité invalide",IF(J1593="","Prix manquant",IF(OR(NOT(ISNUMBER(J1593)),N(J1593)&lt;0),"Prix invalide",IF(OR(AND(F1593&lt;&gt;"",NOT(ISNUMBER(F1593))),N(F1593)&lt;0,N(F1593)&gt;1),"Remise invalide",IF(K1593="","Taux de TVA manquant",IF(NOT(ISNUMBER(K1593)),"Taux de TVA invalide",IF(COUNTIF(p_rates,K1593)=0,"Taux de TVA hors liste (Paramètres)",IF(N(O1593)&gt;25,"Au-delà de 25 lignes : non imprimée","OK")))))))))))))</f>
        <v/>
      </c>
      <c r="O1593" s="59" t="str">
        <f>IF(A1593="","",COUNTIF($A$6:A1593,A1593))</f>
        <v/>
      </c>
      <c r="P1593" s="62" t="str">
        <f>IF(A1593="","",A1593&amp;"|"&amp;O1593)</f>
        <v/>
      </c>
    </row>
    <row r="1594">
      <c r="A1594" s="60" t="n"/>
      <c r="B1594" s="63" t="n"/>
      <c r="C1594" s="63" t="n"/>
      <c r="D1594" s="67" t="n"/>
      <c r="E1594" s="68" t="n"/>
      <c r="F1594" s="69" t="n"/>
      <c r="G1594" s="70" t="n"/>
      <c r="H1594" s="62" t="str">
        <f>IF(COUNTA(A1594:G1594)=0,"",IF(C1594&lt;&gt;"",C1594,IF(B1594="","",IFERROR(INDEX(pr_des,MATCH(B1594,pr_code,0))&amp;"",""))))</f>
        <v/>
      </c>
      <c r="I1594" s="59" t="str">
        <f>IF(B1594="","",IFERROR(INDEX(pr_unit,MATCH(B1594,pr_code,0))&amp;"",""))</f>
        <v/>
      </c>
      <c r="J1594" s="65" t="str">
        <f>IF(COUNTA(A1594:G1594)=0,"",IF(E1594&lt;&gt;"",E1594,IF(B1594="","",IFERROR(IF(INDEX(pr_price,MATCH(B1594,pr_code,0))="","",INDEX(pr_price,MATCH(B1594,pr_code,0))),""))))</f>
        <v/>
      </c>
      <c r="K1594" s="71" t="str">
        <f>IF(COUNTA(A1594:G1594)=0,"",IF(G1594&lt;&gt;"",G1594,IF(B1594="","",IFERROR(IF(INDEX(pr_rate,MATCH(B1594,pr_code,0))="","",INDEX(pr_rate,MATCH(B1594,pr_code,0))),""))))</f>
        <v/>
      </c>
      <c r="L1594" s="65" t="str">
        <f>IF(COUNTA(A1594:G1594)=0,"",IF(AND(ISNUMBER(D1594),ISNUMBER(J1594)),ROUND(D1594*J1594*(1-N(F1594)),2),0))</f>
        <v/>
      </c>
      <c r="M1594" s="62" t="str">
        <f>IF(A1594="","",IFERROR(INDEX(dv_cname,MATCH(A1594,dv_num,0))&amp;"",""))</f>
        <v/>
      </c>
      <c r="N1594" s="59" t="str">
        <f>IF(COUNTA(A1594:G1594)=0,"",IF(A1594="","N° devis manquant",IF(ISNA(MATCH(A1594,dv_num,0)),"Devis inconnu",IF(AND(B1594&lt;&gt;"",ISNA(MATCH(B1594,pr_code,0))),"Article inconnu",IF(H1594="","Désignation manquante",IF(OR(NOT(ISNUMBER(D1594)),N(D1594)&lt;=0),"Quantité invalide",IF(J1594="","Prix manquant",IF(OR(NOT(ISNUMBER(J1594)),N(J1594)&lt;0),"Prix invalide",IF(OR(AND(F1594&lt;&gt;"",NOT(ISNUMBER(F1594))),N(F1594)&lt;0,N(F1594)&gt;1),"Remise invalide",IF(K1594="","Taux de TVA manquant",IF(NOT(ISNUMBER(K1594)),"Taux de TVA invalide",IF(COUNTIF(p_rates,K1594)=0,"Taux de TVA hors liste (Paramètres)",IF(N(O1594)&gt;25,"Au-delà de 25 lignes : non imprimée","OK")))))))))))))</f>
        <v/>
      </c>
      <c r="O1594" s="59" t="str">
        <f>IF(A1594="","",COUNTIF($A$6:A1594,A1594))</f>
        <v/>
      </c>
      <c r="P1594" s="62" t="str">
        <f>IF(A1594="","",A1594&amp;"|"&amp;O1594)</f>
        <v/>
      </c>
    </row>
    <row r="1595">
      <c r="A1595" s="60" t="n"/>
      <c r="B1595" s="63" t="n"/>
      <c r="C1595" s="63" t="n"/>
      <c r="D1595" s="67" t="n"/>
      <c r="E1595" s="68" t="n"/>
      <c r="F1595" s="69" t="n"/>
      <c r="G1595" s="70" t="n"/>
      <c r="H1595" s="62" t="str">
        <f>IF(COUNTA(A1595:G1595)=0,"",IF(C1595&lt;&gt;"",C1595,IF(B1595="","",IFERROR(INDEX(pr_des,MATCH(B1595,pr_code,0))&amp;"",""))))</f>
        <v/>
      </c>
      <c r="I1595" s="59" t="str">
        <f>IF(B1595="","",IFERROR(INDEX(pr_unit,MATCH(B1595,pr_code,0))&amp;"",""))</f>
        <v/>
      </c>
      <c r="J1595" s="65" t="str">
        <f>IF(COUNTA(A1595:G1595)=0,"",IF(E1595&lt;&gt;"",E1595,IF(B1595="","",IFERROR(IF(INDEX(pr_price,MATCH(B1595,pr_code,0))="","",INDEX(pr_price,MATCH(B1595,pr_code,0))),""))))</f>
        <v/>
      </c>
      <c r="K1595" s="71" t="str">
        <f>IF(COUNTA(A1595:G1595)=0,"",IF(G1595&lt;&gt;"",G1595,IF(B1595="","",IFERROR(IF(INDEX(pr_rate,MATCH(B1595,pr_code,0))="","",INDEX(pr_rate,MATCH(B1595,pr_code,0))),""))))</f>
        <v/>
      </c>
      <c r="L1595" s="65" t="str">
        <f>IF(COUNTA(A1595:G1595)=0,"",IF(AND(ISNUMBER(D1595),ISNUMBER(J1595)),ROUND(D1595*J1595*(1-N(F1595)),2),0))</f>
        <v/>
      </c>
      <c r="M1595" s="62" t="str">
        <f>IF(A1595="","",IFERROR(INDEX(dv_cname,MATCH(A1595,dv_num,0))&amp;"",""))</f>
        <v/>
      </c>
      <c r="N1595" s="59" t="str">
        <f>IF(COUNTA(A1595:G1595)=0,"",IF(A1595="","N° devis manquant",IF(ISNA(MATCH(A1595,dv_num,0)),"Devis inconnu",IF(AND(B1595&lt;&gt;"",ISNA(MATCH(B1595,pr_code,0))),"Article inconnu",IF(H1595="","Désignation manquante",IF(OR(NOT(ISNUMBER(D1595)),N(D1595)&lt;=0),"Quantité invalide",IF(J1595="","Prix manquant",IF(OR(NOT(ISNUMBER(J1595)),N(J1595)&lt;0),"Prix invalide",IF(OR(AND(F1595&lt;&gt;"",NOT(ISNUMBER(F1595))),N(F1595)&lt;0,N(F1595)&gt;1),"Remise invalide",IF(K1595="","Taux de TVA manquant",IF(NOT(ISNUMBER(K1595)),"Taux de TVA invalide",IF(COUNTIF(p_rates,K1595)=0,"Taux de TVA hors liste (Paramètres)",IF(N(O1595)&gt;25,"Au-delà de 25 lignes : non imprimée","OK")))))))))))))</f>
        <v/>
      </c>
      <c r="O1595" s="59" t="str">
        <f>IF(A1595="","",COUNTIF($A$6:A1595,A1595))</f>
        <v/>
      </c>
      <c r="P1595" s="62" t="str">
        <f>IF(A1595="","",A1595&amp;"|"&amp;O1595)</f>
        <v/>
      </c>
    </row>
    <row r="1596">
      <c r="A1596" s="60" t="n"/>
      <c r="B1596" s="63" t="n"/>
      <c r="C1596" s="63" t="n"/>
      <c r="D1596" s="67" t="n"/>
      <c r="E1596" s="68" t="n"/>
      <c r="F1596" s="69" t="n"/>
      <c r="G1596" s="70" t="n"/>
      <c r="H1596" s="62" t="str">
        <f>IF(COUNTA(A1596:G1596)=0,"",IF(C1596&lt;&gt;"",C1596,IF(B1596="","",IFERROR(INDEX(pr_des,MATCH(B1596,pr_code,0))&amp;"",""))))</f>
        <v/>
      </c>
      <c r="I1596" s="59" t="str">
        <f>IF(B1596="","",IFERROR(INDEX(pr_unit,MATCH(B1596,pr_code,0))&amp;"",""))</f>
        <v/>
      </c>
      <c r="J1596" s="65" t="str">
        <f>IF(COUNTA(A1596:G1596)=0,"",IF(E1596&lt;&gt;"",E1596,IF(B1596="","",IFERROR(IF(INDEX(pr_price,MATCH(B1596,pr_code,0))="","",INDEX(pr_price,MATCH(B1596,pr_code,0))),""))))</f>
        <v/>
      </c>
      <c r="K1596" s="71" t="str">
        <f>IF(COUNTA(A1596:G1596)=0,"",IF(G1596&lt;&gt;"",G1596,IF(B1596="","",IFERROR(IF(INDEX(pr_rate,MATCH(B1596,pr_code,0))="","",INDEX(pr_rate,MATCH(B1596,pr_code,0))),""))))</f>
        <v/>
      </c>
      <c r="L1596" s="65" t="str">
        <f>IF(COUNTA(A1596:G1596)=0,"",IF(AND(ISNUMBER(D1596),ISNUMBER(J1596)),ROUND(D1596*J1596*(1-N(F1596)),2),0))</f>
        <v/>
      </c>
      <c r="M1596" s="62" t="str">
        <f>IF(A1596="","",IFERROR(INDEX(dv_cname,MATCH(A1596,dv_num,0))&amp;"",""))</f>
        <v/>
      </c>
      <c r="N1596" s="59" t="str">
        <f>IF(COUNTA(A1596:G1596)=0,"",IF(A1596="","N° devis manquant",IF(ISNA(MATCH(A1596,dv_num,0)),"Devis inconnu",IF(AND(B1596&lt;&gt;"",ISNA(MATCH(B1596,pr_code,0))),"Article inconnu",IF(H1596="","Désignation manquante",IF(OR(NOT(ISNUMBER(D1596)),N(D1596)&lt;=0),"Quantité invalide",IF(J1596="","Prix manquant",IF(OR(NOT(ISNUMBER(J1596)),N(J1596)&lt;0),"Prix invalide",IF(OR(AND(F1596&lt;&gt;"",NOT(ISNUMBER(F1596))),N(F1596)&lt;0,N(F1596)&gt;1),"Remise invalide",IF(K1596="","Taux de TVA manquant",IF(NOT(ISNUMBER(K1596)),"Taux de TVA invalide",IF(COUNTIF(p_rates,K1596)=0,"Taux de TVA hors liste (Paramètres)",IF(N(O1596)&gt;25,"Au-delà de 25 lignes : non imprimée","OK")))))))))))))</f>
        <v/>
      </c>
      <c r="O1596" s="59" t="str">
        <f>IF(A1596="","",COUNTIF($A$6:A1596,A1596))</f>
        <v/>
      </c>
      <c r="P1596" s="62" t="str">
        <f>IF(A1596="","",A1596&amp;"|"&amp;O1596)</f>
        <v/>
      </c>
    </row>
    <row r="1597">
      <c r="A1597" s="60" t="n"/>
      <c r="B1597" s="63" t="n"/>
      <c r="C1597" s="63" t="n"/>
      <c r="D1597" s="67" t="n"/>
      <c r="E1597" s="68" t="n"/>
      <c r="F1597" s="69" t="n"/>
      <c r="G1597" s="70" t="n"/>
      <c r="H1597" s="62" t="str">
        <f>IF(COUNTA(A1597:G1597)=0,"",IF(C1597&lt;&gt;"",C1597,IF(B1597="","",IFERROR(INDEX(pr_des,MATCH(B1597,pr_code,0))&amp;"",""))))</f>
        <v/>
      </c>
      <c r="I1597" s="59" t="str">
        <f>IF(B1597="","",IFERROR(INDEX(pr_unit,MATCH(B1597,pr_code,0))&amp;"",""))</f>
        <v/>
      </c>
      <c r="J1597" s="65" t="str">
        <f>IF(COUNTA(A1597:G1597)=0,"",IF(E1597&lt;&gt;"",E1597,IF(B1597="","",IFERROR(IF(INDEX(pr_price,MATCH(B1597,pr_code,0))="","",INDEX(pr_price,MATCH(B1597,pr_code,0))),""))))</f>
        <v/>
      </c>
      <c r="K1597" s="71" t="str">
        <f>IF(COUNTA(A1597:G1597)=0,"",IF(G1597&lt;&gt;"",G1597,IF(B1597="","",IFERROR(IF(INDEX(pr_rate,MATCH(B1597,pr_code,0))="","",INDEX(pr_rate,MATCH(B1597,pr_code,0))),""))))</f>
        <v/>
      </c>
      <c r="L1597" s="65" t="str">
        <f>IF(COUNTA(A1597:G1597)=0,"",IF(AND(ISNUMBER(D1597),ISNUMBER(J1597)),ROUND(D1597*J1597*(1-N(F1597)),2),0))</f>
        <v/>
      </c>
      <c r="M1597" s="62" t="str">
        <f>IF(A1597="","",IFERROR(INDEX(dv_cname,MATCH(A1597,dv_num,0))&amp;"",""))</f>
        <v/>
      </c>
      <c r="N1597" s="59" t="str">
        <f>IF(COUNTA(A1597:G1597)=0,"",IF(A1597="","N° devis manquant",IF(ISNA(MATCH(A1597,dv_num,0)),"Devis inconnu",IF(AND(B1597&lt;&gt;"",ISNA(MATCH(B1597,pr_code,0))),"Article inconnu",IF(H1597="","Désignation manquante",IF(OR(NOT(ISNUMBER(D1597)),N(D1597)&lt;=0),"Quantité invalide",IF(J1597="","Prix manquant",IF(OR(NOT(ISNUMBER(J1597)),N(J1597)&lt;0),"Prix invalide",IF(OR(AND(F1597&lt;&gt;"",NOT(ISNUMBER(F1597))),N(F1597)&lt;0,N(F1597)&gt;1),"Remise invalide",IF(K1597="","Taux de TVA manquant",IF(NOT(ISNUMBER(K1597)),"Taux de TVA invalide",IF(COUNTIF(p_rates,K1597)=0,"Taux de TVA hors liste (Paramètres)",IF(N(O1597)&gt;25,"Au-delà de 25 lignes : non imprimée","OK")))))))))))))</f>
        <v/>
      </c>
      <c r="O1597" s="59" t="str">
        <f>IF(A1597="","",COUNTIF($A$6:A1597,A1597))</f>
        <v/>
      </c>
      <c r="P1597" s="62" t="str">
        <f>IF(A1597="","",A1597&amp;"|"&amp;O1597)</f>
        <v/>
      </c>
    </row>
    <row r="1598">
      <c r="A1598" s="60" t="n"/>
      <c r="B1598" s="63" t="n"/>
      <c r="C1598" s="63" t="n"/>
      <c r="D1598" s="67" t="n"/>
      <c r="E1598" s="68" t="n"/>
      <c r="F1598" s="69" t="n"/>
      <c r="G1598" s="70" t="n"/>
      <c r="H1598" s="62" t="str">
        <f>IF(COUNTA(A1598:G1598)=0,"",IF(C1598&lt;&gt;"",C1598,IF(B1598="","",IFERROR(INDEX(pr_des,MATCH(B1598,pr_code,0))&amp;"",""))))</f>
        <v/>
      </c>
      <c r="I1598" s="59" t="str">
        <f>IF(B1598="","",IFERROR(INDEX(pr_unit,MATCH(B1598,pr_code,0))&amp;"",""))</f>
        <v/>
      </c>
      <c r="J1598" s="65" t="str">
        <f>IF(COUNTA(A1598:G1598)=0,"",IF(E1598&lt;&gt;"",E1598,IF(B1598="","",IFERROR(IF(INDEX(pr_price,MATCH(B1598,pr_code,0))="","",INDEX(pr_price,MATCH(B1598,pr_code,0))),""))))</f>
        <v/>
      </c>
      <c r="K1598" s="71" t="str">
        <f>IF(COUNTA(A1598:G1598)=0,"",IF(G1598&lt;&gt;"",G1598,IF(B1598="","",IFERROR(IF(INDEX(pr_rate,MATCH(B1598,pr_code,0))="","",INDEX(pr_rate,MATCH(B1598,pr_code,0))),""))))</f>
        <v/>
      </c>
      <c r="L1598" s="65" t="str">
        <f>IF(COUNTA(A1598:G1598)=0,"",IF(AND(ISNUMBER(D1598),ISNUMBER(J1598)),ROUND(D1598*J1598*(1-N(F1598)),2),0))</f>
        <v/>
      </c>
      <c r="M1598" s="62" t="str">
        <f>IF(A1598="","",IFERROR(INDEX(dv_cname,MATCH(A1598,dv_num,0))&amp;"",""))</f>
        <v/>
      </c>
      <c r="N1598" s="59" t="str">
        <f>IF(COUNTA(A1598:G1598)=0,"",IF(A1598="","N° devis manquant",IF(ISNA(MATCH(A1598,dv_num,0)),"Devis inconnu",IF(AND(B1598&lt;&gt;"",ISNA(MATCH(B1598,pr_code,0))),"Article inconnu",IF(H1598="","Désignation manquante",IF(OR(NOT(ISNUMBER(D1598)),N(D1598)&lt;=0),"Quantité invalide",IF(J1598="","Prix manquant",IF(OR(NOT(ISNUMBER(J1598)),N(J1598)&lt;0),"Prix invalide",IF(OR(AND(F1598&lt;&gt;"",NOT(ISNUMBER(F1598))),N(F1598)&lt;0,N(F1598)&gt;1),"Remise invalide",IF(K1598="","Taux de TVA manquant",IF(NOT(ISNUMBER(K1598)),"Taux de TVA invalide",IF(COUNTIF(p_rates,K1598)=0,"Taux de TVA hors liste (Paramètres)",IF(N(O1598)&gt;25,"Au-delà de 25 lignes : non imprimée","OK")))))))))))))</f>
        <v/>
      </c>
      <c r="O1598" s="59" t="str">
        <f>IF(A1598="","",COUNTIF($A$6:A1598,A1598))</f>
        <v/>
      </c>
      <c r="P1598" s="62" t="str">
        <f>IF(A1598="","",A1598&amp;"|"&amp;O1598)</f>
        <v/>
      </c>
    </row>
    <row r="1599">
      <c r="A1599" s="60" t="n"/>
      <c r="B1599" s="63" t="n"/>
      <c r="C1599" s="63" t="n"/>
      <c r="D1599" s="67" t="n"/>
      <c r="E1599" s="68" t="n"/>
      <c r="F1599" s="69" t="n"/>
      <c r="G1599" s="70" t="n"/>
      <c r="H1599" s="62" t="str">
        <f>IF(COUNTA(A1599:G1599)=0,"",IF(C1599&lt;&gt;"",C1599,IF(B1599="","",IFERROR(INDEX(pr_des,MATCH(B1599,pr_code,0))&amp;"",""))))</f>
        <v/>
      </c>
      <c r="I1599" s="59" t="str">
        <f>IF(B1599="","",IFERROR(INDEX(pr_unit,MATCH(B1599,pr_code,0))&amp;"",""))</f>
        <v/>
      </c>
      <c r="J1599" s="65" t="str">
        <f>IF(COUNTA(A1599:G1599)=0,"",IF(E1599&lt;&gt;"",E1599,IF(B1599="","",IFERROR(IF(INDEX(pr_price,MATCH(B1599,pr_code,0))="","",INDEX(pr_price,MATCH(B1599,pr_code,0))),""))))</f>
        <v/>
      </c>
      <c r="K1599" s="71" t="str">
        <f>IF(COUNTA(A1599:G1599)=0,"",IF(G1599&lt;&gt;"",G1599,IF(B1599="","",IFERROR(IF(INDEX(pr_rate,MATCH(B1599,pr_code,0))="","",INDEX(pr_rate,MATCH(B1599,pr_code,0))),""))))</f>
        <v/>
      </c>
      <c r="L1599" s="65" t="str">
        <f>IF(COUNTA(A1599:G1599)=0,"",IF(AND(ISNUMBER(D1599),ISNUMBER(J1599)),ROUND(D1599*J1599*(1-N(F1599)),2),0))</f>
        <v/>
      </c>
      <c r="M1599" s="62" t="str">
        <f>IF(A1599="","",IFERROR(INDEX(dv_cname,MATCH(A1599,dv_num,0))&amp;"",""))</f>
        <v/>
      </c>
      <c r="N1599" s="59" t="str">
        <f>IF(COUNTA(A1599:G1599)=0,"",IF(A1599="","N° devis manquant",IF(ISNA(MATCH(A1599,dv_num,0)),"Devis inconnu",IF(AND(B1599&lt;&gt;"",ISNA(MATCH(B1599,pr_code,0))),"Article inconnu",IF(H1599="","Désignation manquante",IF(OR(NOT(ISNUMBER(D1599)),N(D1599)&lt;=0),"Quantité invalide",IF(J1599="","Prix manquant",IF(OR(NOT(ISNUMBER(J1599)),N(J1599)&lt;0),"Prix invalide",IF(OR(AND(F1599&lt;&gt;"",NOT(ISNUMBER(F1599))),N(F1599)&lt;0,N(F1599)&gt;1),"Remise invalide",IF(K1599="","Taux de TVA manquant",IF(NOT(ISNUMBER(K1599)),"Taux de TVA invalide",IF(COUNTIF(p_rates,K1599)=0,"Taux de TVA hors liste (Paramètres)",IF(N(O1599)&gt;25,"Au-delà de 25 lignes : non imprimée","OK")))))))))))))</f>
        <v/>
      </c>
      <c r="O1599" s="59" t="str">
        <f>IF(A1599="","",COUNTIF($A$6:A1599,A1599))</f>
        <v/>
      </c>
      <c r="P1599" s="62" t="str">
        <f>IF(A1599="","",A1599&amp;"|"&amp;O1599)</f>
        <v/>
      </c>
    </row>
    <row r="1600">
      <c r="A1600" s="60" t="n"/>
      <c r="B1600" s="63" t="n"/>
      <c r="C1600" s="63" t="n"/>
      <c r="D1600" s="67" t="n"/>
      <c r="E1600" s="68" t="n"/>
      <c r="F1600" s="69" t="n"/>
      <c r="G1600" s="70" t="n"/>
      <c r="H1600" s="62" t="str">
        <f>IF(COUNTA(A1600:G1600)=0,"",IF(C1600&lt;&gt;"",C1600,IF(B1600="","",IFERROR(INDEX(pr_des,MATCH(B1600,pr_code,0))&amp;"",""))))</f>
        <v/>
      </c>
      <c r="I1600" s="59" t="str">
        <f>IF(B1600="","",IFERROR(INDEX(pr_unit,MATCH(B1600,pr_code,0))&amp;"",""))</f>
        <v/>
      </c>
      <c r="J1600" s="65" t="str">
        <f>IF(COUNTA(A1600:G1600)=0,"",IF(E1600&lt;&gt;"",E1600,IF(B1600="","",IFERROR(IF(INDEX(pr_price,MATCH(B1600,pr_code,0))="","",INDEX(pr_price,MATCH(B1600,pr_code,0))),""))))</f>
        <v/>
      </c>
      <c r="K1600" s="71" t="str">
        <f>IF(COUNTA(A1600:G1600)=0,"",IF(G1600&lt;&gt;"",G1600,IF(B1600="","",IFERROR(IF(INDEX(pr_rate,MATCH(B1600,pr_code,0))="","",INDEX(pr_rate,MATCH(B1600,pr_code,0))),""))))</f>
        <v/>
      </c>
      <c r="L1600" s="65" t="str">
        <f>IF(COUNTA(A1600:G1600)=0,"",IF(AND(ISNUMBER(D1600),ISNUMBER(J1600)),ROUND(D1600*J1600*(1-N(F1600)),2),0))</f>
        <v/>
      </c>
      <c r="M1600" s="62" t="str">
        <f>IF(A1600="","",IFERROR(INDEX(dv_cname,MATCH(A1600,dv_num,0))&amp;"",""))</f>
        <v/>
      </c>
      <c r="N1600" s="59" t="str">
        <f>IF(COUNTA(A1600:G1600)=0,"",IF(A1600="","N° devis manquant",IF(ISNA(MATCH(A1600,dv_num,0)),"Devis inconnu",IF(AND(B1600&lt;&gt;"",ISNA(MATCH(B1600,pr_code,0))),"Article inconnu",IF(H1600="","Désignation manquante",IF(OR(NOT(ISNUMBER(D1600)),N(D1600)&lt;=0),"Quantité invalide",IF(J1600="","Prix manquant",IF(OR(NOT(ISNUMBER(J1600)),N(J1600)&lt;0),"Prix invalide",IF(OR(AND(F1600&lt;&gt;"",NOT(ISNUMBER(F1600))),N(F1600)&lt;0,N(F1600)&gt;1),"Remise invalide",IF(K1600="","Taux de TVA manquant",IF(NOT(ISNUMBER(K1600)),"Taux de TVA invalide",IF(COUNTIF(p_rates,K1600)=0,"Taux de TVA hors liste (Paramètres)",IF(N(O1600)&gt;25,"Au-delà de 25 lignes : non imprimée","OK")))))))))))))</f>
        <v/>
      </c>
      <c r="O1600" s="59" t="str">
        <f>IF(A1600="","",COUNTIF($A$6:A1600,A1600))</f>
        <v/>
      </c>
      <c r="P1600" s="62" t="str">
        <f>IF(A1600="","",A1600&amp;"|"&amp;O1600)</f>
        <v/>
      </c>
    </row>
    <row r="1601">
      <c r="A1601" s="60" t="n"/>
      <c r="B1601" s="63" t="n"/>
      <c r="C1601" s="63" t="n"/>
      <c r="D1601" s="67" t="n"/>
      <c r="E1601" s="68" t="n"/>
      <c r="F1601" s="69" t="n"/>
      <c r="G1601" s="70" t="n"/>
      <c r="H1601" s="62" t="str">
        <f>IF(COUNTA(A1601:G1601)=0,"",IF(C1601&lt;&gt;"",C1601,IF(B1601="","",IFERROR(INDEX(pr_des,MATCH(B1601,pr_code,0))&amp;"",""))))</f>
        <v/>
      </c>
      <c r="I1601" s="59" t="str">
        <f>IF(B1601="","",IFERROR(INDEX(pr_unit,MATCH(B1601,pr_code,0))&amp;"",""))</f>
        <v/>
      </c>
      <c r="J1601" s="65" t="str">
        <f>IF(COUNTA(A1601:G1601)=0,"",IF(E1601&lt;&gt;"",E1601,IF(B1601="","",IFERROR(IF(INDEX(pr_price,MATCH(B1601,pr_code,0))="","",INDEX(pr_price,MATCH(B1601,pr_code,0))),""))))</f>
        <v/>
      </c>
      <c r="K1601" s="71" t="str">
        <f>IF(COUNTA(A1601:G1601)=0,"",IF(G1601&lt;&gt;"",G1601,IF(B1601="","",IFERROR(IF(INDEX(pr_rate,MATCH(B1601,pr_code,0))="","",INDEX(pr_rate,MATCH(B1601,pr_code,0))),""))))</f>
        <v/>
      </c>
      <c r="L1601" s="65" t="str">
        <f>IF(COUNTA(A1601:G1601)=0,"",IF(AND(ISNUMBER(D1601),ISNUMBER(J1601)),ROUND(D1601*J1601*(1-N(F1601)),2),0))</f>
        <v/>
      </c>
      <c r="M1601" s="62" t="str">
        <f>IF(A1601="","",IFERROR(INDEX(dv_cname,MATCH(A1601,dv_num,0))&amp;"",""))</f>
        <v/>
      </c>
      <c r="N1601" s="59" t="str">
        <f>IF(COUNTA(A1601:G1601)=0,"",IF(A1601="","N° devis manquant",IF(ISNA(MATCH(A1601,dv_num,0)),"Devis inconnu",IF(AND(B1601&lt;&gt;"",ISNA(MATCH(B1601,pr_code,0))),"Article inconnu",IF(H1601="","Désignation manquante",IF(OR(NOT(ISNUMBER(D1601)),N(D1601)&lt;=0),"Quantité invalide",IF(J1601="","Prix manquant",IF(OR(NOT(ISNUMBER(J1601)),N(J1601)&lt;0),"Prix invalide",IF(OR(AND(F1601&lt;&gt;"",NOT(ISNUMBER(F1601))),N(F1601)&lt;0,N(F1601)&gt;1),"Remise invalide",IF(K1601="","Taux de TVA manquant",IF(NOT(ISNUMBER(K1601)),"Taux de TVA invalide",IF(COUNTIF(p_rates,K1601)=0,"Taux de TVA hors liste (Paramètres)",IF(N(O1601)&gt;25,"Au-delà de 25 lignes : non imprimée","OK")))))))))))))</f>
        <v/>
      </c>
      <c r="O1601" s="59" t="str">
        <f>IF(A1601="","",COUNTIF($A$6:A1601,A1601))</f>
        <v/>
      </c>
      <c r="P1601" s="62" t="str">
        <f>IF(A1601="","",A1601&amp;"|"&amp;O1601)</f>
        <v/>
      </c>
    </row>
    <row r="1602">
      <c r="A1602" s="60" t="n"/>
      <c r="B1602" s="63" t="n"/>
      <c r="C1602" s="63" t="n"/>
      <c r="D1602" s="67" t="n"/>
      <c r="E1602" s="68" t="n"/>
      <c r="F1602" s="69" t="n"/>
      <c r="G1602" s="70" t="n"/>
      <c r="H1602" s="62" t="str">
        <f>IF(COUNTA(A1602:G1602)=0,"",IF(C1602&lt;&gt;"",C1602,IF(B1602="","",IFERROR(INDEX(pr_des,MATCH(B1602,pr_code,0))&amp;"",""))))</f>
        <v/>
      </c>
      <c r="I1602" s="59" t="str">
        <f>IF(B1602="","",IFERROR(INDEX(pr_unit,MATCH(B1602,pr_code,0))&amp;"",""))</f>
        <v/>
      </c>
      <c r="J1602" s="65" t="str">
        <f>IF(COUNTA(A1602:G1602)=0,"",IF(E1602&lt;&gt;"",E1602,IF(B1602="","",IFERROR(IF(INDEX(pr_price,MATCH(B1602,pr_code,0))="","",INDEX(pr_price,MATCH(B1602,pr_code,0))),""))))</f>
        <v/>
      </c>
      <c r="K1602" s="71" t="str">
        <f>IF(COUNTA(A1602:G1602)=0,"",IF(G1602&lt;&gt;"",G1602,IF(B1602="","",IFERROR(IF(INDEX(pr_rate,MATCH(B1602,pr_code,0))="","",INDEX(pr_rate,MATCH(B1602,pr_code,0))),""))))</f>
        <v/>
      </c>
      <c r="L1602" s="65" t="str">
        <f>IF(COUNTA(A1602:G1602)=0,"",IF(AND(ISNUMBER(D1602),ISNUMBER(J1602)),ROUND(D1602*J1602*(1-N(F1602)),2),0))</f>
        <v/>
      </c>
      <c r="M1602" s="62" t="str">
        <f>IF(A1602="","",IFERROR(INDEX(dv_cname,MATCH(A1602,dv_num,0))&amp;"",""))</f>
        <v/>
      </c>
      <c r="N1602" s="59" t="str">
        <f>IF(COUNTA(A1602:G1602)=0,"",IF(A1602="","N° devis manquant",IF(ISNA(MATCH(A1602,dv_num,0)),"Devis inconnu",IF(AND(B1602&lt;&gt;"",ISNA(MATCH(B1602,pr_code,0))),"Article inconnu",IF(H1602="","Désignation manquante",IF(OR(NOT(ISNUMBER(D1602)),N(D1602)&lt;=0),"Quantité invalide",IF(J1602="","Prix manquant",IF(OR(NOT(ISNUMBER(J1602)),N(J1602)&lt;0),"Prix invalide",IF(OR(AND(F1602&lt;&gt;"",NOT(ISNUMBER(F1602))),N(F1602)&lt;0,N(F1602)&gt;1),"Remise invalide",IF(K1602="","Taux de TVA manquant",IF(NOT(ISNUMBER(K1602)),"Taux de TVA invalide",IF(COUNTIF(p_rates,K1602)=0,"Taux de TVA hors liste (Paramètres)",IF(N(O1602)&gt;25,"Au-delà de 25 lignes : non imprimée","OK")))))))))))))</f>
        <v/>
      </c>
      <c r="O1602" s="59" t="str">
        <f>IF(A1602="","",COUNTIF($A$6:A1602,A1602))</f>
        <v/>
      </c>
      <c r="P1602" s="62" t="str">
        <f>IF(A1602="","",A1602&amp;"|"&amp;O1602)</f>
        <v/>
      </c>
    </row>
    <row r="1603">
      <c r="A1603" s="60" t="n"/>
      <c r="B1603" s="63" t="n"/>
      <c r="C1603" s="63" t="n"/>
      <c r="D1603" s="67" t="n"/>
      <c r="E1603" s="68" t="n"/>
      <c r="F1603" s="69" t="n"/>
      <c r="G1603" s="70" t="n"/>
      <c r="H1603" s="62" t="str">
        <f>IF(COUNTA(A1603:G1603)=0,"",IF(C1603&lt;&gt;"",C1603,IF(B1603="","",IFERROR(INDEX(pr_des,MATCH(B1603,pr_code,0))&amp;"",""))))</f>
        <v/>
      </c>
      <c r="I1603" s="59" t="str">
        <f>IF(B1603="","",IFERROR(INDEX(pr_unit,MATCH(B1603,pr_code,0))&amp;"",""))</f>
        <v/>
      </c>
      <c r="J1603" s="65" t="str">
        <f>IF(COUNTA(A1603:G1603)=0,"",IF(E1603&lt;&gt;"",E1603,IF(B1603="","",IFERROR(IF(INDEX(pr_price,MATCH(B1603,pr_code,0))="","",INDEX(pr_price,MATCH(B1603,pr_code,0))),""))))</f>
        <v/>
      </c>
      <c r="K1603" s="71" t="str">
        <f>IF(COUNTA(A1603:G1603)=0,"",IF(G1603&lt;&gt;"",G1603,IF(B1603="","",IFERROR(IF(INDEX(pr_rate,MATCH(B1603,pr_code,0))="","",INDEX(pr_rate,MATCH(B1603,pr_code,0))),""))))</f>
        <v/>
      </c>
      <c r="L1603" s="65" t="str">
        <f>IF(COUNTA(A1603:G1603)=0,"",IF(AND(ISNUMBER(D1603),ISNUMBER(J1603)),ROUND(D1603*J1603*(1-N(F1603)),2),0))</f>
        <v/>
      </c>
      <c r="M1603" s="62" t="str">
        <f>IF(A1603="","",IFERROR(INDEX(dv_cname,MATCH(A1603,dv_num,0))&amp;"",""))</f>
        <v/>
      </c>
      <c r="N1603" s="59" t="str">
        <f>IF(COUNTA(A1603:G1603)=0,"",IF(A1603="","N° devis manquant",IF(ISNA(MATCH(A1603,dv_num,0)),"Devis inconnu",IF(AND(B1603&lt;&gt;"",ISNA(MATCH(B1603,pr_code,0))),"Article inconnu",IF(H1603="","Désignation manquante",IF(OR(NOT(ISNUMBER(D1603)),N(D1603)&lt;=0),"Quantité invalide",IF(J1603="","Prix manquant",IF(OR(NOT(ISNUMBER(J1603)),N(J1603)&lt;0),"Prix invalide",IF(OR(AND(F1603&lt;&gt;"",NOT(ISNUMBER(F1603))),N(F1603)&lt;0,N(F1603)&gt;1),"Remise invalide",IF(K1603="","Taux de TVA manquant",IF(NOT(ISNUMBER(K1603)),"Taux de TVA invalide",IF(COUNTIF(p_rates,K1603)=0,"Taux de TVA hors liste (Paramètres)",IF(N(O1603)&gt;25,"Au-delà de 25 lignes : non imprimée","OK")))))))))))))</f>
        <v/>
      </c>
      <c r="O1603" s="59" t="str">
        <f>IF(A1603="","",COUNTIF($A$6:A1603,A1603))</f>
        <v/>
      </c>
      <c r="P1603" s="62" t="str">
        <f>IF(A1603="","",A1603&amp;"|"&amp;O1603)</f>
        <v/>
      </c>
    </row>
    <row r="1604">
      <c r="A1604" s="60" t="n"/>
      <c r="B1604" s="63" t="n"/>
      <c r="C1604" s="63" t="n"/>
      <c r="D1604" s="67" t="n"/>
      <c r="E1604" s="68" t="n"/>
      <c r="F1604" s="69" t="n"/>
      <c r="G1604" s="70" t="n"/>
      <c r="H1604" s="62" t="str">
        <f>IF(COUNTA(A1604:G1604)=0,"",IF(C1604&lt;&gt;"",C1604,IF(B1604="","",IFERROR(INDEX(pr_des,MATCH(B1604,pr_code,0))&amp;"",""))))</f>
        <v/>
      </c>
      <c r="I1604" s="59" t="str">
        <f>IF(B1604="","",IFERROR(INDEX(pr_unit,MATCH(B1604,pr_code,0))&amp;"",""))</f>
        <v/>
      </c>
      <c r="J1604" s="65" t="str">
        <f>IF(COUNTA(A1604:G1604)=0,"",IF(E1604&lt;&gt;"",E1604,IF(B1604="","",IFERROR(IF(INDEX(pr_price,MATCH(B1604,pr_code,0))="","",INDEX(pr_price,MATCH(B1604,pr_code,0))),""))))</f>
        <v/>
      </c>
      <c r="K1604" s="71" t="str">
        <f>IF(COUNTA(A1604:G1604)=0,"",IF(G1604&lt;&gt;"",G1604,IF(B1604="","",IFERROR(IF(INDEX(pr_rate,MATCH(B1604,pr_code,0))="","",INDEX(pr_rate,MATCH(B1604,pr_code,0))),""))))</f>
        <v/>
      </c>
      <c r="L1604" s="65" t="str">
        <f>IF(COUNTA(A1604:G1604)=0,"",IF(AND(ISNUMBER(D1604),ISNUMBER(J1604)),ROUND(D1604*J1604*(1-N(F1604)),2),0))</f>
        <v/>
      </c>
      <c r="M1604" s="62" t="str">
        <f>IF(A1604="","",IFERROR(INDEX(dv_cname,MATCH(A1604,dv_num,0))&amp;"",""))</f>
        <v/>
      </c>
      <c r="N1604" s="59" t="str">
        <f>IF(COUNTA(A1604:G1604)=0,"",IF(A1604="","N° devis manquant",IF(ISNA(MATCH(A1604,dv_num,0)),"Devis inconnu",IF(AND(B1604&lt;&gt;"",ISNA(MATCH(B1604,pr_code,0))),"Article inconnu",IF(H1604="","Désignation manquante",IF(OR(NOT(ISNUMBER(D1604)),N(D1604)&lt;=0),"Quantité invalide",IF(J1604="","Prix manquant",IF(OR(NOT(ISNUMBER(J1604)),N(J1604)&lt;0),"Prix invalide",IF(OR(AND(F1604&lt;&gt;"",NOT(ISNUMBER(F1604))),N(F1604)&lt;0,N(F1604)&gt;1),"Remise invalide",IF(K1604="","Taux de TVA manquant",IF(NOT(ISNUMBER(K1604)),"Taux de TVA invalide",IF(COUNTIF(p_rates,K1604)=0,"Taux de TVA hors liste (Paramètres)",IF(N(O1604)&gt;25,"Au-delà de 25 lignes : non imprimée","OK")))))))))))))</f>
        <v/>
      </c>
      <c r="O1604" s="59" t="str">
        <f>IF(A1604="","",COUNTIF($A$6:A1604,A1604))</f>
        <v/>
      </c>
      <c r="P1604" s="62" t="str">
        <f>IF(A1604="","",A1604&amp;"|"&amp;O1604)</f>
        <v/>
      </c>
    </row>
    <row r="1605">
      <c r="A1605" s="60" t="n"/>
      <c r="B1605" s="63" t="n"/>
      <c r="C1605" s="63" t="n"/>
      <c r="D1605" s="67" t="n"/>
      <c r="E1605" s="68" t="n"/>
      <c r="F1605" s="69" t="n"/>
      <c r="G1605" s="70" t="n"/>
      <c r="H1605" s="62" t="str">
        <f>IF(COUNTA(A1605:G1605)=0,"",IF(C1605&lt;&gt;"",C1605,IF(B1605="","",IFERROR(INDEX(pr_des,MATCH(B1605,pr_code,0))&amp;"",""))))</f>
        <v/>
      </c>
      <c r="I1605" s="59" t="str">
        <f>IF(B1605="","",IFERROR(INDEX(pr_unit,MATCH(B1605,pr_code,0))&amp;"",""))</f>
        <v/>
      </c>
      <c r="J1605" s="65" t="str">
        <f>IF(COUNTA(A1605:G1605)=0,"",IF(E1605&lt;&gt;"",E1605,IF(B1605="","",IFERROR(IF(INDEX(pr_price,MATCH(B1605,pr_code,0))="","",INDEX(pr_price,MATCH(B1605,pr_code,0))),""))))</f>
        <v/>
      </c>
      <c r="K1605" s="71" t="str">
        <f>IF(COUNTA(A1605:G1605)=0,"",IF(G1605&lt;&gt;"",G1605,IF(B1605="","",IFERROR(IF(INDEX(pr_rate,MATCH(B1605,pr_code,0))="","",INDEX(pr_rate,MATCH(B1605,pr_code,0))),""))))</f>
        <v/>
      </c>
      <c r="L1605" s="65" t="str">
        <f>IF(COUNTA(A1605:G1605)=0,"",IF(AND(ISNUMBER(D1605),ISNUMBER(J1605)),ROUND(D1605*J1605*(1-N(F1605)),2),0))</f>
        <v/>
      </c>
      <c r="M1605" s="62" t="str">
        <f>IF(A1605="","",IFERROR(INDEX(dv_cname,MATCH(A1605,dv_num,0))&amp;"",""))</f>
        <v/>
      </c>
      <c r="N1605" s="59" t="str">
        <f>IF(COUNTA(A1605:G1605)=0,"",IF(A1605="","N° devis manquant",IF(ISNA(MATCH(A1605,dv_num,0)),"Devis inconnu",IF(AND(B1605&lt;&gt;"",ISNA(MATCH(B1605,pr_code,0))),"Article inconnu",IF(H1605="","Désignation manquante",IF(OR(NOT(ISNUMBER(D1605)),N(D1605)&lt;=0),"Quantité invalide",IF(J1605="","Prix manquant",IF(OR(NOT(ISNUMBER(J1605)),N(J1605)&lt;0),"Prix invalide",IF(OR(AND(F1605&lt;&gt;"",NOT(ISNUMBER(F1605))),N(F1605)&lt;0,N(F1605)&gt;1),"Remise invalide",IF(K1605="","Taux de TVA manquant",IF(NOT(ISNUMBER(K1605)),"Taux de TVA invalide",IF(COUNTIF(p_rates,K1605)=0,"Taux de TVA hors liste (Paramètres)",IF(N(O1605)&gt;25,"Au-delà de 25 lignes : non imprimée","OK")))))))))))))</f>
        <v/>
      </c>
      <c r="O1605" s="59" t="str">
        <f>IF(A1605="","",COUNTIF($A$6:A1605,A1605))</f>
        <v/>
      </c>
      <c r="P1605" s="62" t="str">
        <f>IF(A1605="","",A1605&amp;"|"&amp;O1605)</f>
        <v/>
      </c>
    </row>
    <row r="1606">
      <c r="A1606" s="60" t="n"/>
      <c r="B1606" s="63" t="n"/>
      <c r="C1606" s="63" t="n"/>
      <c r="D1606" s="67" t="n"/>
      <c r="E1606" s="68" t="n"/>
      <c r="F1606" s="69" t="n"/>
      <c r="G1606" s="70" t="n"/>
      <c r="H1606" s="62" t="str">
        <f>IF(COUNTA(A1606:G1606)=0,"",IF(C1606&lt;&gt;"",C1606,IF(B1606="","",IFERROR(INDEX(pr_des,MATCH(B1606,pr_code,0))&amp;"",""))))</f>
        <v/>
      </c>
      <c r="I1606" s="59" t="str">
        <f>IF(B1606="","",IFERROR(INDEX(pr_unit,MATCH(B1606,pr_code,0))&amp;"",""))</f>
        <v/>
      </c>
      <c r="J1606" s="65" t="str">
        <f>IF(COUNTA(A1606:G1606)=0,"",IF(E1606&lt;&gt;"",E1606,IF(B1606="","",IFERROR(IF(INDEX(pr_price,MATCH(B1606,pr_code,0))="","",INDEX(pr_price,MATCH(B1606,pr_code,0))),""))))</f>
        <v/>
      </c>
      <c r="K1606" s="71" t="str">
        <f>IF(COUNTA(A1606:G1606)=0,"",IF(G1606&lt;&gt;"",G1606,IF(B1606="","",IFERROR(IF(INDEX(pr_rate,MATCH(B1606,pr_code,0))="","",INDEX(pr_rate,MATCH(B1606,pr_code,0))),""))))</f>
        <v/>
      </c>
      <c r="L1606" s="65" t="str">
        <f>IF(COUNTA(A1606:G1606)=0,"",IF(AND(ISNUMBER(D1606),ISNUMBER(J1606)),ROUND(D1606*J1606*(1-N(F1606)),2),0))</f>
        <v/>
      </c>
      <c r="M1606" s="62" t="str">
        <f>IF(A1606="","",IFERROR(INDEX(dv_cname,MATCH(A1606,dv_num,0))&amp;"",""))</f>
        <v/>
      </c>
      <c r="N1606" s="59" t="str">
        <f>IF(COUNTA(A1606:G1606)=0,"",IF(A1606="","N° devis manquant",IF(ISNA(MATCH(A1606,dv_num,0)),"Devis inconnu",IF(AND(B1606&lt;&gt;"",ISNA(MATCH(B1606,pr_code,0))),"Article inconnu",IF(H1606="","Désignation manquante",IF(OR(NOT(ISNUMBER(D1606)),N(D1606)&lt;=0),"Quantité invalide",IF(J1606="","Prix manquant",IF(OR(NOT(ISNUMBER(J1606)),N(J1606)&lt;0),"Prix invalide",IF(OR(AND(F1606&lt;&gt;"",NOT(ISNUMBER(F1606))),N(F1606)&lt;0,N(F1606)&gt;1),"Remise invalide",IF(K1606="","Taux de TVA manquant",IF(NOT(ISNUMBER(K1606)),"Taux de TVA invalide",IF(COUNTIF(p_rates,K1606)=0,"Taux de TVA hors liste (Paramètres)",IF(N(O1606)&gt;25,"Au-delà de 25 lignes : non imprimée","OK")))))))))))))</f>
        <v/>
      </c>
      <c r="O1606" s="59" t="str">
        <f>IF(A1606="","",COUNTIF($A$6:A1606,A1606))</f>
        <v/>
      </c>
      <c r="P1606" s="62" t="str">
        <f>IF(A1606="","",A1606&amp;"|"&amp;O1606)</f>
        <v/>
      </c>
    </row>
    <row r="1607">
      <c r="A1607" s="60" t="n"/>
      <c r="B1607" s="63" t="n"/>
      <c r="C1607" s="63" t="n"/>
      <c r="D1607" s="67" t="n"/>
      <c r="E1607" s="68" t="n"/>
      <c r="F1607" s="69" t="n"/>
      <c r="G1607" s="70" t="n"/>
      <c r="H1607" s="62" t="str">
        <f>IF(COUNTA(A1607:G1607)=0,"",IF(C1607&lt;&gt;"",C1607,IF(B1607="","",IFERROR(INDEX(pr_des,MATCH(B1607,pr_code,0))&amp;"",""))))</f>
        <v/>
      </c>
      <c r="I1607" s="59" t="str">
        <f>IF(B1607="","",IFERROR(INDEX(pr_unit,MATCH(B1607,pr_code,0))&amp;"",""))</f>
        <v/>
      </c>
      <c r="J1607" s="65" t="str">
        <f>IF(COUNTA(A1607:G1607)=0,"",IF(E1607&lt;&gt;"",E1607,IF(B1607="","",IFERROR(IF(INDEX(pr_price,MATCH(B1607,pr_code,0))="","",INDEX(pr_price,MATCH(B1607,pr_code,0))),""))))</f>
        <v/>
      </c>
      <c r="K1607" s="71" t="str">
        <f>IF(COUNTA(A1607:G1607)=0,"",IF(G1607&lt;&gt;"",G1607,IF(B1607="","",IFERROR(IF(INDEX(pr_rate,MATCH(B1607,pr_code,0))="","",INDEX(pr_rate,MATCH(B1607,pr_code,0))),""))))</f>
        <v/>
      </c>
      <c r="L1607" s="65" t="str">
        <f>IF(COUNTA(A1607:G1607)=0,"",IF(AND(ISNUMBER(D1607),ISNUMBER(J1607)),ROUND(D1607*J1607*(1-N(F1607)),2),0))</f>
        <v/>
      </c>
      <c r="M1607" s="62" t="str">
        <f>IF(A1607="","",IFERROR(INDEX(dv_cname,MATCH(A1607,dv_num,0))&amp;"",""))</f>
        <v/>
      </c>
      <c r="N1607" s="59" t="str">
        <f>IF(COUNTA(A1607:G1607)=0,"",IF(A1607="","N° devis manquant",IF(ISNA(MATCH(A1607,dv_num,0)),"Devis inconnu",IF(AND(B1607&lt;&gt;"",ISNA(MATCH(B1607,pr_code,0))),"Article inconnu",IF(H1607="","Désignation manquante",IF(OR(NOT(ISNUMBER(D1607)),N(D1607)&lt;=0),"Quantité invalide",IF(J1607="","Prix manquant",IF(OR(NOT(ISNUMBER(J1607)),N(J1607)&lt;0),"Prix invalide",IF(OR(AND(F1607&lt;&gt;"",NOT(ISNUMBER(F1607))),N(F1607)&lt;0,N(F1607)&gt;1),"Remise invalide",IF(K1607="","Taux de TVA manquant",IF(NOT(ISNUMBER(K1607)),"Taux de TVA invalide",IF(COUNTIF(p_rates,K1607)=0,"Taux de TVA hors liste (Paramètres)",IF(N(O1607)&gt;25,"Au-delà de 25 lignes : non imprimée","OK")))))))))))))</f>
        <v/>
      </c>
      <c r="O1607" s="59" t="str">
        <f>IF(A1607="","",COUNTIF($A$6:A1607,A1607))</f>
        <v/>
      </c>
      <c r="P1607" s="62" t="str">
        <f>IF(A1607="","",A1607&amp;"|"&amp;O1607)</f>
        <v/>
      </c>
    </row>
    <row r="1608">
      <c r="A1608" s="60" t="n"/>
      <c r="B1608" s="63" t="n"/>
      <c r="C1608" s="63" t="n"/>
      <c r="D1608" s="67" t="n"/>
      <c r="E1608" s="68" t="n"/>
      <c r="F1608" s="69" t="n"/>
      <c r="G1608" s="70" t="n"/>
      <c r="H1608" s="62" t="str">
        <f>IF(COUNTA(A1608:G1608)=0,"",IF(C1608&lt;&gt;"",C1608,IF(B1608="","",IFERROR(INDEX(pr_des,MATCH(B1608,pr_code,0))&amp;"",""))))</f>
        <v/>
      </c>
      <c r="I1608" s="59" t="str">
        <f>IF(B1608="","",IFERROR(INDEX(pr_unit,MATCH(B1608,pr_code,0))&amp;"",""))</f>
        <v/>
      </c>
      <c r="J1608" s="65" t="str">
        <f>IF(COUNTA(A1608:G1608)=0,"",IF(E1608&lt;&gt;"",E1608,IF(B1608="","",IFERROR(IF(INDEX(pr_price,MATCH(B1608,pr_code,0))="","",INDEX(pr_price,MATCH(B1608,pr_code,0))),""))))</f>
        <v/>
      </c>
      <c r="K1608" s="71" t="str">
        <f>IF(COUNTA(A1608:G1608)=0,"",IF(G1608&lt;&gt;"",G1608,IF(B1608="","",IFERROR(IF(INDEX(pr_rate,MATCH(B1608,pr_code,0))="","",INDEX(pr_rate,MATCH(B1608,pr_code,0))),""))))</f>
        <v/>
      </c>
      <c r="L1608" s="65" t="str">
        <f>IF(COUNTA(A1608:G1608)=0,"",IF(AND(ISNUMBER(D1608),ISNUMBER(J1608)),ROUND(D1608*J1608*(1-N(F1608)),2),0))</f>
        <v/>
      </c>
      <c r="M1608" s="62" t="str">
        <f>IF(A1608="","",IFERROR(INDEX(dv_cname,MATCH(A1608,dv_num,0))&amp;"",""))</f>
        <v/>
      </c>
      <c r="N1608" s="59" t="str">
        <f>IF(COUNTA(A1608:G1608)=0,"",IF(A1608="","N° devis manquant",IF(ISNA(MATCH(A1608,dv_num,0)),"Devis inconnu",IF(AND(B1608&lt;&gt;"",ISNA(MATCH(B1608,pr_code,0))),"Article inconnu",IF(H1608="","Désignation manquante",IF(OR(NOT(ISNUMBER(D1608)),N(D1608)&lt;=0),"Quantité invalide",IF(J1608="","Prix manquant",IF(OR(NOT(ISNUMBER(J1608)),N(J1608)&lt;0),"Prix invalide",IF(OR(AND(F1608&lt;&gt;"",NOT(ISNUMBER(F1608))),N(F1608)&lt;0,N(F1608)&gt;1),"Remise invalide",IF(K1608="","Taux de TVA manquant",IF(NOT(ISNUMBER(K1608)),"Taux de TVA invalide",IF(COUNTIF(p_rates,K1608)=0,"Taux de TVA hors liste (Paramètres)",IF(N(O1608)&gt;25,"Au-delà de 25 lignes : non imprimée","OK")))))))))))))</f>
        <v/>
      </c>
      <c r="O1608" s="59" t="str">
        <f>IF(A1608="","",COUNTIF($A$6:A1608,A1608))</f>
        <v/>
      </c>
      <c r="P1608" s="62" t="str">
        <f>IF(A1608="","",A1608&amp;"|"&amp;O1608)</f>
        <v/>
      </c>
    </row>
    <row r="1609">
      <c r="A1609" s="60" t="n"/>
      <c r="B1609" s="63" t="n"/>
      <c r="C1609" s="63" t="n"/>
      <c r="D1609" s="67" t="n"/>
      <c r="E1609" s="68" t="n"/>
      <c r="F1609" s="69" t="n"/>
      <c r="G1609" s="70" t="n"/>
      <c r="H1609" s="62" t="str">
        <f>IF(COUNTA(A1609:G1609)=0,"",IF(C1609&lt;&gt;"",C1609,IF(B1609="","",IFERROR(INDEX(pr_des,MATCH(B1609,pr_code,0))&amp;"",""))))</f>
        <v/>
      </c>
      <c r="I1609" s="59" t="str">
        <f>IF(B1609="","",IFERROR(INDEX(pr_unit,MATCH(B1609,pr_code,0))&amp;"",""))</f>
        <v/>
      </c>
      <c r="J1609" s="65" t="str">
        <f>IF(COUNTA(A1609:G1609)=0,"",IF(E1609&lt;&gt;"",E1609,IF(B1609="","",IFERROR(IF(INDEX(pr_price,MATCH(B1609,pr_code,0))="","",INDEX(pr_price,MATCH(B1609,pr_code,0))),""))))</f>
        <v/>
      </c>
      <c r="K1609" s="71" t="str">
        <f>IF(COUNTA(A1609:G1609)=0,"",IF(G1609&lt;&gt;"",G1609,IF(B1609="","",IFERROR(IF(INDEX(pr_rate,MATCH(B1609,pr_code,0))="","",INDEX(pr_rate,MATCH(B1609,pr_code,0))),""))))</f>
        <v/>
      </c>
      <c r="L1609" s="65" t="str">
        <f>IF(COUNTA(A1609:G1609)=0,"",IF(AND(ISNUMBER(D1609),ISNUMBER(J1609)),ROUND(D1609*J1609*(1-N(F1609)),2),0))</f>
        <v/>
      </c>
      <c r="M1609" s="62" t="str">
        <f>IF(A1609="","",IFERROR(INDEX(dv_cname,MATCH(A1609,dv_num,0))&amp;"",""))</f>
        <v/>
      </c>
      <c r="N1609" s="59" t="str">
        <f>IF(COUNTA(A1609:G1609)=0,"",IF(A1609="","N° devis manquant",IF(ISNA(MATCH(A1609,dv_num,0)),"Devis inconnu",IF(AND(B1609&lt;&gt;"",ISNA(MATCH(B1609,pr_code,0))),"Article inconnu",IF(H1609="","Désignation manquante",IF(OR(NOT(ISNUMBER(D1609)),N(D1609)&lt;=0),"Quantité invalide",IF(J1609="","Prix manquant",IF(OR(NOT(ISNUMBER(J1609)),N(J1609)&lt;0),"Prix invalide",IF(OR(AND(F1609&lt;&gt;"",NOT(ISNUMBER(F1609))),N(F1609)&lt;0,N(F1609)&gt;1),"Remise invalide",IF(K1609="","Taux de TVA manquant",IF(NOT(ISNUMBER(K1609)),"Taux de TVA invalide",IF(COUNTIF(p_rates,K1609)=0,"Taux de TVA hors liste (Paramètres)",IF(N(O1609)&gt;25,"Au-delà de 25 lignes : non imprimée","OK")))))))))))))</f>
        <v/>
      </c>
      <c r="O1609" s="59" t="str">
        <f>IF(A1609="","",COUNTIF($A$6:A1609,A1609))</f>
        <v/>
      </c>
      <c r="P1609" s="62" t="str">
        <f>IF(A1609="","",A1609&amp;"|"&amp;O1609)</f>
        <v/>
      </c>
    </row>
    <row r="1610">
      <c r="A1610" s="60" t="n"/>
      <c r="B1610" s="63" t="n"/>
      <c r="C1610" s="63" t="n"/>
      <c r="D1610" s="67" t="n"/>
      <c r="E1610" s="68" t="n"/>
      <c r="F1610" s="69" t="n"/>
      <c r="G1610" s="70" t="n"/>
      <c r="H1610" s="62" t="str">
        <f>IF(COUNTA(A1610:G1610)=0,"",IF(C1610&lt;&gt;"",C1610,IF(B1610="","",IFERROR(INDEX(pr_des,MATCH(B1610,pr_code,0))&amp;"",""))))</f>
        <v/>
      </c>
      <c r="I1610" s="59" t="str">
        <f>IF(B1610="","",IFERROR(INDEX(pr_unit,MATCH(B1610,pr_code,0))&amp;"",""))</f>
        <v/>
      </c>
      <c r="J1610" s="65" t="str">
        <f>IF(COUNTA(A1610:G1610)=0,"",IF(E1610&lt;&gt;"",E1610,IF(B1610="","",IFERROR(IF(INDEX(pr_price,MATCH(B1610,pr_code,0))="","",INDEX(pr_price,MATCH(B1610,pr_code,0))),""))))</f>
        <v/>
      </c>
      <c r="K1610" s="71" t="str">
        <f>IF(COUNTA(A1610:G1610)=0,"",IF(G1610&lt;&gt;"",G1610,IF(B1610="","",IFERROR(IF(INDEX(pr_rate,MATCH(B1610,pr_code,0))="","",INDEX(pr_rate,MATCH(B1610,pr_code,0))),""))))</f>
        <v/>
      </c>
      <c r="L1610" s="65" t="str">
        <f>IF(COUNTA(A1610:G1610)=0,"",IF(AND(ISNUMBER(D1610),ISNUMBER(J1610)),ROUND(D1610*J1610*(1-N(F1610)),2),0))</f>
        <v/>
      </c>
      <c r="M1610" s="62" t="str">
        <f>IF(A1610="","",IFERROR(INDEX(dv_cname,MATCH(A1610,dv_num,0))&amp;"",""))</f>
        <v/>
      </c>
      <c r="N1610" s="59" t="str">
        <f>IF(COUNTA(A1610:G1610)=0,"",IF(A1610="","N° devis manquant",IF(ISNA(MATCH(A1610,dv_num,0)),"Devis inconnu",IF(AND(B1610&lt;&gt;"",ISNA(MATCH(B1610,pr_code,0))),"Article inconnu",IF(H1610="","Désignation manquante",IF(OR(NOT(ISNUMBER(D1610)),N(D1610)&lt;=0),"Quantité invalide",IF(J1610="","Prix manquant",IF(OR(NOT(ISNUMBER(J1610)),N(J1610)&lt;0),"Prix invalide",IF(OR(AND(F1610&lt;&gt;"",NOT(ISNUMBER(F1610))),N(F1610)&lt;0,N(F1610)&gt;1),"Remise invalide",IF(K1610="","Taux de TVA manquant",IF(NOT(ISNUMBER(K1610)),"Taux de TVA invalide",IF(COUNTIF(p_rates,K1610)=0,"Taux de TVA hors liste (Paramètres)",IF(N(O1610)&gt;25,"Au-delà de 25 lignes : non imprimée","OK")))))))))))))</f>
        <v/>
      </c>
      <c r="O1610" s="59" t="str">
        <f>IF(A1610="","",COUNTIF($A$6:A1610,A1610))</f>
        <v/>
      </c>
      <c r="P1610" s="62" t="str">
        <f>IF(A1610="","",A1610&amp;"|"&amp;O1610)</f>
        <v/>
      </c>
    </row>
    <row r="1611">
      <c r="A1611" s="60" t="n"/>
      <c r="B1611" s="63" t="n"/>
      <c r="C1611" s="63" t="n"/>
      <c r="D1611" s="67" t="n"/>
      <c r="E1611" s="68" t="n"/>
      <c r="F1611" s="69" t="n"/>
      <c r="G1611" s="70" t="n"/>
      <c r="H1611" s="62" t="str">
        <f>IF(COUNTA(A1611:G1611)=0,"",IF(C1611&lt;&gt;"",C1611,IF(B1611="","",IFERROR(INDEX(pr_des,MATCH(B1611,pr_code,0))&amp;"",""))))</f>
        <v/>
      </c>
      <c r="I1611" s="59" t="str">
        <f>IF(B1611="","",IFERROR(INDEX(pr_unit,MATCH(B1611,pr_code,0))&amp;"",""))</f>
        <v/>
      </c>
      <c r="J1611" s="65" t="str">
        <f>IF(COUNTA(A1611:G1611)=0,"",IF(E1611&lt;&gt;"",E1611,IF(B1611="","",IFERROR(IF(INDEX(pr_price,MATCH(B1611,pr_code,0))="","",INDEX(pr_price,MATCH(B1611,pr_code,0))),""))))</f>
        <v/>
      </c>
      <c r="K1611" s="71" t="str">
        <f>IF(COUNTA(A1611:G1611)=0,"",IF(G1611&lt;&gt;"",G1611,IF(B1611="","",IFERROR(IF(INDEX(pr_rate,MATCH(B1611,pr_code,0))="","",INDEX(pr_rate,MATCH(B1611,pr_code,0))),""))))</f>
        <v/>
      </c>
      <c r="L1611" s="65" t="str">
        <f>IF(COUNTA(A1611:G1611)=0,"",IF(AND(ISNUMBER(D1611),ISNUMBER(J1611)),ROUND(D1611*J1611*(1-N(F1611)),2),0))</f>
        <v/>
      </c>
      <c r="M1611" s="62" t="str">
        <f>IF(A1611="","",IFERROR(INDEX(dv_cname,MATCH(A1611,dv_num,0))&amp;"",""))</f>
        <v/>
      </c>
      <c r="N1611" s="59" t="str">
        <f>IF(COUNTA(A1611:G1611)=0,"",IF(A1611="","N° devis manquant",IF(ISNA(MATCH(A1611,dv_num,0)),"Devis inconnu",IF(AND(B1611&lt;&gt;"",ISNA(MATCH(B1611,pr_code,0))),"Article inconnu",IF(H1611="","Désignation manquante",IF(OR(NOT(ISNUMBER(D1611)),N(D1611)&lt;=0),"Quantité invalide",IF(J1611="","Prix manquant",IF(OR(NOT(ISNUMBER(J1611)),N(J1611)&lt;0),"Prix invalide",IF(OR(AND(F1611&lt;&gt;"",NOT(ISNUMBER(F1611))),N(F1611)&lt;0,N(F1611)&gt;1),"Remise invalide",IF(K1611="","Taux de TVA manquant",IF(NOT(ISNUMBER(K1611)),"Taux de TVA invalide",IF(COUNTIF(p_rates,K1611)=0,"Taux de TVA hors liste (Paramètres)",IF(N(O1611)&gt;25,"Au-delà de 25 lignes : non imprimée","OK")))))))))))))</f>
        <v/>
      </c>
      <c r="O1611" s="59" t="str">
        <f>IF(A1611="","",COUNTIF($A$6:A1611,A1611))</f>
        <v/>
      </c>
      <c r="P1611" s="62" t="str">
        <f>IF(A1611="","",A1611&amp;"|"&amp;O1611)</f>
        <v/>
      </c>
    </row>
    <row r="1612">
      <c r="A1612" s="60" t="n"/>
      <c r="B1612" s="63" t="n"/>
      <c r="C1612" s="63" t="n"/>
      <c r="D1612" s="67" t="n"/>
      <c r="E1612" s="68" t="n"/>
      <c r="F1612" s="69" t="n"/>
      <c r="G1612" s="70" t="n"/>
      <c r="H1612" s="62" t="str">
        <f>IF(COUNTA(A1612:G1612)=0,"",IF(C1612&lt;&gt;"",C1612,IF(B1612="","",IFERROR(INDEX(pr_des,MATCH(B1612,pr_code,0))&amp;"",""))))</f>
        <v/>
      </c>
      <c r="I1612" s="59" t="str">
        <f>IF(B1612="","",IFERROR(INDEX(pr_unit,MATCH(B1612,pr_code,0))&amp;"",""))</f>
        <v/>
      </c>
      <c r="J1612" s="65" t="str">
        <f>IF(COUNTA(A1612:G1612)=0,"",IF(E1612&lt;&gt;"",E1612,IF(B1612="","",IFERROR(IF(INDEX(pr_price,MATCH(B1612,pr_code,0))="","",INDEX(pr_price,MATCH(B1612,pr_code,0))),""))))</f>
        <v/>
      </c>
      <c r="K1612" s="71" t="str">
        <f>IF(COUNTA(A1612:G1612)=0,"",IF(G1612&lt;&gt;"",G1612,IF(B1612="","",IFERROR(IF(INDEX(pr_rate,MATCH(B1612,pr_code,0))="","",INDEX(pr_rate,MATCH(B1612,pr_code,0))),""))))</f>
        <v/>
      </c>
      <c r="L1612" s="65" t="str">
        <f>IF(COUNTA(A1612:G1612)=0,"",IF(AND(ISNUMBER(D1612),ISNUMBER(J1612)),ROUND(D1612*J1612*(1-N(F1612)),2),0))</f>
        <v/>
      </c>
      <c r="M1612" s="62" t="str">
        <f>IF(A1612="","",IFERROR(INDEX(dv_cname,MATCH(A1612,dv_num,0))&amp;"",""))</f>
        <v/>
      </c>
      <c r="N1612" s="59" t="str">
        <f>IF(COUNTA(A1612:G1612)=0,"",IF(A1612="","N° devis manquant",IF(ISNA(MATCH(A1612,dv_num,0)),"Devis inconnu",IF(AND(B1612&lt;&gt;"",ISNA(MATCH(B1612,pr_code,0))),"Article inconnu",IF(H1612="","Désignation manquante",IF(OR(NOT(ISNUMBER(D1612)),N(D1612)&lt;=0),"Quantité invalide",IF(J1612="","Prix manquant",IF(OR(NOT(ISNUMBER(J1612)),N(J1612)&lt;0),"Prix invalide",IF(OR(AND(F1612&lt;&gt;"",NOT(ISNUMBER(F1612))),N(F1612)&lt;0,N(F1612)&gt;1),"Remise invalide",IF(K1612="","Taux de TVA manquant",IF(NOT(ISNUMBER(K1612)),"Taux de TVA invalide",IF(COUNTIF(p_rates,K1612)=0,"Taux de TVA hors liste (Paramètres)",IF(N(O1612)&gt;25,"Au-delà de 25 lignes : non imprimée","OK")))))))))))))</f>
        <v/>
      </c>
      <c r="O1612" s="59" t="str">
        <f>IF(A1612="","",COUNTIF($A$6:A1612,A1612))</f>
        <v/>
      </c>
      <c r="P1612" s="62" t="str">
        <f>IF(A1612="","",A1612&amp;"|"&amp;O1612)</f>
        <v/>
      </c>
    </row>
    <row r="1613">
      <c r="A1613" s="60" t="n"/>
      <c r="B1613" s="63" t="n"/>
      <c r="C1613" s="63" t="n"/>
      <c r="D1613" s="67" t="n"/>
      <c r="E1613" s="68" t="n"/>
      <c r="F1613" s="69" t="n"/>
      <c r="G1613" s="70" t="n"/>
      <c r="H1613" s="62" t="str">
        <f>IF(COUNTA(A1613:G1613)=0,"",IF(C1613&lt;&gt;"",C1613,IF(B1613="","",IFERROR(INDEX(pr_des,MATCH(B1613,pr_code,0))&amp;"",""))))</f>
        <v/>
      </c>
      <c r="I1613" s="59" t="str">
        <f>IF(B1613="","",IFERROR(INDEX(pr_unit,MATCH(B1613,pr_code,0))&amp;"",""))</f>
        <v/>
      </c>
      <c r="J1613" s="65" t="str">
        <f>IF(COUNTA(A1613:G1613)=0,"",IF(E1613&lt;&gt;"",E1613,IF(B1613="","",IFERROR(IF(INDEX(pr_price,MATCH(B1613,pr_code,0))="","",INDEX(pr_price,MATCH(B1613,pr_code,0))),""))))</f>
        <v/>
      </c>
      <c r="K1613" s="71" t="str">
        <f>IF(COUNTA(A1613:G1613)=0,"",IF(G1613&lt;&gt;"",G1613,IF(B1613="","",IFERROR(IF(INDEX(pr_rate,MATCH(B1613,pr_code,0))="","",INDEX(pr_rate,MATCH(B1613,pr_code,0))),""))))</f>
        <v/>
      </c>
      <c r="L1613" s="65" t="str">
        <f>IF(COUNTA(A1613:G1613)=0,"",IF(AND(ISNUMBER(D1613),ISNUMBER(J1613)),ROUND(D1613*J1613*(1-N(F1613)),2),0))</f>
        <v/>
      </c>
      <c r="M1613" s="62" t="str">
        <f>IF(A1613="","",IFERROR(INDEX(dv_cname,MATCH(A1613,dv_num,0))&amp;"",""))</f>
        <v/>
      </c>
      <c r="N1613" s="59" t="str">
        <f>IF(COUNTA(A1613:G1613)=0,"",IF(A1613="","N° devis manquant",IF(ISNA(MATCH(A1613,dv_num,0)),"Devis inconnu",IF(AND(B1613&lt;&gt;"",ISNA(MATCH(B1613,pr_code,0))),"Article inconnu",IF(H1613="","Désignation manquante",IF(OR(NOT(ISNUMBER(D1613)),N(D1613)&lt;=0),"Quantité invalide",IF(J1613="","Prix manquant",IF(OR(NOT(ISNUMBER(J1613)),N(J1613)&lt;0),"Prix invalide",IF(OR(AND(F1613&lt;&gt;"",NOT(ISNUMBER(F1613))),N(F1613)&lt;0,N(F1613)&gt;1),"Remise invalide",IF(K1613="","Taux de TVA manquant",IF(NOT(ISNUMBER(K1613)),"Taux de TVA invalide",IF(COUNTIF(p_rates,K1613)=0,"Taux de TVA hors liste (Paramètres)",IF(N(O1613)&gt;25,"Au-delà de 25 lignes : non imprimée","OK")))))))))))))</f>
        <v/>
      </c>
      <c r="O1613" s="59" t="str">
        <f>IF(A1613="","",COUNTIF($A$6:A1613,A1613))</f>
        <v/>
      </c>
      <c r="P1613" s="62" t="str">
        <f>IF(A1613="","",A1613&amp;"|"&amp;O1613)</f>
        <v/>
      </c>
    </row>
    <row r="1614">
      <c r="A1614" s="60" t="n"/>
      <c r="B1614" s="63" t="n"/>
      <c r="C1614" s="63" t="n"/>
      <c r="D1614" s="67" t="n"/>
      <c r="E1614" s="68" t="n"/>
      <c r="F1614" s="69" t="n"/>
      <c r="G1614" s="70" t="n"/>
      <c r="H1614" s="62" t="str">
        <f>IF(COUNTA(A1614:G1614)=0,"",IF(C1614&lt;&gt;"",C1614,IF(B1614="","",IFERROR(INDEX(pr_des,MATCH(B1614,pr_code,0))&amp;"",""))))</f>
        <v/>
      </c>
      <c r="I1614" s="59" t="str">
        <f>IF(B1614="","",IFERROR(INDEX(pr_unit,MATCH(B1614,pr_code,0))&amp;"",""))</f>
        <v/>
      </c>
      <c r="J1614" s="65" t="str">
        <f>IF(COUNTA(A1614:G1614)=0,"",IF(E1614&lt;&gt;"",E1614,IF(B1614="","",IFERROR(IF(INDEX(pr_price,MATCH(B1614,pr_code,0))="","",INDEX(pr_price,MATCH(B1614,pr_code,0))),""))))</f>
        <v/>
      </c>
      <c r="K1614" s="71" t="str">
        <f>IF(COUNTA(A1614:G1614)=0,"",IF(G1614&lt;&gt;"",G1614,IF(B1614="","",IFERROR(IF(INDEX(pr_rate,MATCH(B1614,pr_code,0))="","",INDEX(pr_rate,MATCH(B1614,pr_code,0))),""))))</f>
        <v/>
      </c>
      <c r="L1614" s="65" t="str">
        <f>IF(COUNTA(A1614:G1614)=0,"",IF(AND(ISNUMBER(D1614),ISNUMBER(J1614)),ROUND(D1614*J1614*(1-N(F1614)),2),0))</f>
        <v/>
      </c>
      <c r="M1614" s="62" t="str">
        <f>IF(A1614="","",IFERROR(INDEX(dv_cname,MATCH(A1614,dv_num,0))&amp;"",""))</f>
        <v/>
      </c>
      <c r="N1614" s="59" t="str">
        <f>IF(COUNTA(A1614:G1614)=0,"",IF(A1614="","N° devis manquant",IF(ISNA(MATCH(A1614,dv_num,0)),"Devis inconnu",IF(AND(B1614&lt;&gt;"",ISNA(MATCH(B1614,pr_code,0))),"Article inconnu",IF(H1614="","Désignation manquante",IF(OR(NOT(ISNUMBER(D1614)),N(D1614)&lt;=0),"Quantité invalide",IF(J1614="","Prix manquant",IF(OR(NOT(ISNUMBER(J1614)),N(J1614)&lt;0),"Prix invalide",IF(OR(AND(F1614&lt;&gt;"",NOT(ISNUMBER(F1614))),N(F1614)&lt;0,N(F1614)&gt;1),"Remise invalide",IF(K1614="","Taux de TVA manquant",IF(NOT(ISNUMBER(K1614)),"Taux de TVA invalide",IF(COUNTIF(p_rates,K1614)=0,"Taux de TVA hors liste (Paramètres)",IF(N(O1614)&gt;25,"Au-delà de 25 lignes : non imprimée","OK")))))))))))))</f>
        <v/>
      </c>
      <c r="O1614" s="59" t="str">
        <f>IF(A1614="","",COUNTIF($A$6:A1614,A1614))</f>
        <v/>
      </c>
      <c r="P1614" s="62" t="str">
        <f>IF(A1614="","",A1614&amp;"|"&amp;O1614)</f>
        <v/>
      </c>
    </row>
    <row r="1615">
      <c r="A1615" s="60" t="n"/>
      <c r="B1615" s="63" t="n"/>
      <c r="C1615" s="63" t="n"/>
      <c r="D1615" s="67" t="n"/>
      <c r="E1615" s="68" t="n"/>
      <c r="F1615" s="69" t="n"/>
      <c r="G1615" s="70" t="n"/>
      <c r="H1615" s="62" t="str">
        <f>IF(COUNTA(A1615:G1615)=0,"",IF(C1615&lt;&gt;"",C1615,IF(B1615="","",IFERROR(INDEX(pr_des,MATCH(B1615,pr_code,0))&amp;"",""))))</f>
        <v/>
      </c>
      <c r="I1615" s="59" t="str">
        <f>IF(B1615="","",IFERROR(INDEX(pr_unit,MATCH(B1615,pr_code,0))&amp;"",""))</f>
        <v/>
      </c>
      <c r="J1615" s="65" t="str">
        <f>IF(COUNTA(A1615:G1615)=0,"",IF(E1615&lt;&gt;"",E1615,IF(B1615="","",IFERROR(IF(INDEX(pr_price,MATCH(B1615,pr_code,0))="","",INDEX(pr_price,MATCH(B1615,pr_code,0))),""))))</f>
        <v/>
      </c>
      <c r="K1615" s="71" t="str">
        <f>IF(COUNTA(A1615:G1615)=0,"",IF(G1615&lt;&gt;"",G1615,IF(B1615="","",IFERROR(IF(INDEX(pr_rate,MATCH(B1615,pr_code,0))="","",INDEX(pr_rate,MATCH(B1615,pr_code,0))),""))))</f>
        <v/>
      </c>
      <c r="L1615" s="65" t="str">
        <f>IF(COUNTA(A1615:G1615)=0,"",IF(AND(ISNUMBER(D1615),ISNUMBER(J1615)),ROUND(D1615*J1615*(1-N(F1615)),2),0))</f>
        <v/>
      </c>
      <c r="M1615" s="62" t="str">
        <f>IF(A1615="","",IFERROR(INDEX(dv_cname,MATCH(A1615,dv_num,0))&amp;"",""))</f>
        <v/>
      </c>
      <c r="N1615" s="59" t="str">
        <f>IF(COUNTA(A1615:G1615)=0,"",IF(A1615="","N° devis manquant",IF(ISNA(MATCH(A1615,dv_num,0)),"Devis inconnu",IF(AND(B1615&lt;&gt;"",ISNA(MATCH(B1615,pr_code,0))),"Article inconnu",IF(H1615="","Désignation manquante",IF(OR(NOT(ISNUMBER(D1615)),N(D1615)&lt;=0),"Quantité invalide",IF(J1615="","Prix manquant",IF(OR(NOT(ISNUMBER(J1615)),N(J1615)&lt;0),"Prix invalide",IF(OR(AND(F1615&lt;&gt;"",NOT(ISNUMBER(F1615))),N(F1615)&lt;0,N(F1615)&gt;1),"Remise invalide",IF(K1615="","Taux de TVA manquant",IF(NOT(ISNUMBER(K1615)),"Taux de TVA invalide",IF(COUNTIF(p_rates,K1615)=0,"Taux de TVA hors liste (Paramètres)",IF(N(O1615)&gt;25,"Au-delà de 25 lignes : non imprimée","OK")))))))))))))</f>
        <v/>
      </c>
      <c r="O1615" s="59" t="str">
        <f>IF(A1615="","",COUNTIF($A$6:A1615,A1615))</f>
        <v/>
      </c>
      <c r="P1615" s="62" t="str">
        <f>IF(A1615="","",A1615&amp;"|"&amp;O1615)</f>
        <v/>
      </c>
    </row>
    <row r="1616">
      <c r="A1616" s="60" t="n"/>
      <c r="B1616" s="63" t="n"/>
      <c r="C1616" s="63" t="n"/>
      <c r="D1616" s="67" t="n"/>
      <c r="E1616" s="68" t="n"/>
      <c r="F1616" s="69" t="n"/>
      <c r="G1616" s="70" t="n"/>
      <c r="H1616" s="62" t="str">
        <f>IF(COUNTA(A1616:G1616)=0,"",IF(C1616&lt;&gt;"",C1616,IF(B1616="","",IFERROR(INDEX(pr_des,MATCH(B1616,pr_code,0))&amp;"",""))))</f>
        <v/>
      </c>
      <c r="I1616" s="59" t="str">
        <f>IF(B1616="","",IFERROR(INDEX(pr_unit,MATCH(B1616,pr_code,0))&amp;"",""))</f>
        <v/>
      </c>
      <c r="J1616" s="65" t="str">
        <f>IF(COUNTA(A1616:G1616)=0,"",IF(E1616&lt;&gt;"",E1616,IF(B1616="","",IFERROR(IF(INDEX(pr_price,MATCH(B1616,pr_code,0))="","",INDEX(pr_price,MATCH(B1616,pr_code,0))),""))))</f>
        <v/>
      </c>
      <c r="K1616" s="71" t="str">
        <f>IF(COUNTA(A1616:G1616)=0,"",IF(G1616&lt;&gt;"",G1616,IF(B1616="","",IFERROR(IF(INDEX(pr_rate,MATCH(B1616,pr_code,0))="","",INDEX(pr_rate,MATCH(B1616,pr_code,0))),""))))</f>
        <v/>
      </c>
      <c r="L1616" s="65" t="str">
        <f>IF(COUNTA(A1616:G1616)=0,"",IF(AND(ISNUMBER(D1616),ISNUMBER(J1616)),ROUND(D1616*J1616*(1-N(F1616)),2),0))</f>
        <v/>
      </c>
      <c r="M1616" s="62" t="str">
        <f>IF(A1616="","",IFERROR(INDEX(dv_cname,MATCH(A1616,dv_num,0))&amp;"",""))</f>
        <v/>
      </c>
      <c r="N1616" s="59" t="str">
        <f>IF(COUNTA(A1616:G1616)=0,"",IF(A1616="","N° devis manquant",IF(ISNA(MATCH(A1616,dv_num,0)),"Devis inconnu",IF(AND(B1616&lt;&gt;"",ISNA(MATCH(B1616,pr_code,0))),"Article inconnu",IF(H1616="","Désignation manquante",IF(OR(NOT(ISNUMBER(D1616)),N(D1616)&lt;=0),"Quantité invalide",IF(J1616="","Prix manquant",IF(OR(NOT(ISNUMBER(J1616)),N(J1616)&lt;0),"Prix invalide",IF(OR(AND(F1616&lt;&gt;"",NOT(ISNUMBER(F1616))),N(F1616)&lt;0,N(F1616)&gt;1),"Remise invalide",IF(K1616="","Taux de TVA manquant",IF(NOT(ISNUMBER(K1616)),"Taux de TVA invalide",IF(COUNTIF(p_rates,K1616)=0,"Taux de TVA hors liste (Paramètres)",IF(N(O1616)&gt;25,"Au-delà de 25 lignes : non imprimée","OK")))))))))))))</f>
        <v/>
      </c>
      <c r="O1616" s="59" t="str">
        <f>IF(A1616="","",COUNTIF($A$6:A1616,A1616))</f>
        <v/>
      </c>
      <c r="P1616" s="62" t="str">
        <f>IF(A1616="","",A1616&amp;"|"&amp;O1616)</f>
        <v/>
      </c>
    </row>
    <row r="1617">
      <c r="A1617" s="60" t="n"/>
      <c r="B1617" s="63" t="n"/>
      <c r="C1617" s="63" t="n"/>
      <c r="D1617" s="67" t="n"/>
      <c r="E1617" s="68" t="n"/>
      <c r="F1617" s="69" t="n"/>
      <c r="G1617" s="70" t="n"/>
      <c r="H1617" s="62" t="str">
        <f>IF(COUNTA(A1617:G1617)=0,"",IF(C1617&lt;&gt;"",C1617,IF(B1617="","",IFERROR(INDEX(pr_des,MATCH(B1617,pr_code,0))&amp;"",""))))</f>
        <v/>
      </c>
      <c r="I1617" s="59" t="str">
        <f>IF(B1617="","",IFERROR(INDEX(pr_unit,MATCH(B1617,pr_code,0))&amp;"",""))</f>
        <v/>
      </c>
      <c r="J1617" s="65" t="str">
        <f>IF(COUNTA(A1617:G1617)=0,"",IF(E1617&lt;&gt;"",E1617,IF(B1617="","",IFERROR(IF(INDEX(pr_price,MATCH(B1617,pr_code,0))="","",INDEX(pr_price,MATCH(B1617,pr_code,0))),""))))</f>
        <v/>
      </c>
      <c r="K1617" s="71" t="str">
        <f>IF(COUNTA(A1617:G1617)=0,"",IF(G1617&lt;&gt;"",G1617,IF(B1617="","",IFERROR(IF(INDEX(pr_rate,MATCH(B1617,pr_code,0))="","",INDEX(pr_rate,MATCH(B1617,pr_code,0))),""))))</f>
        <v/>
      </c>
      <c r="L1617" s="65" t="str">
        <f>IF(COUNTA(A1617:G1617)=0,"",IF(AND(ISNUMBER(D1617),ISNUMBER(J1617)),ROUND(D1617*J1617*(1-N(F1617)),2),0))</f>
        <v/>
      </c>
      <c r="M1617" s="62" t="str">
        <f>IF(A1617="","",IFERROR(INDEX(dv_cname,MATCH(A1617,dv_num,0))&amp;"",""))</f>
        <v/>
      </c>
      <c r="N1617" s="59" t="str">
        <f>IF(COUNTA(A1617:G1617)=0,"",IF(A1617="","N° devis manquant",IF(ISNA(MATCH(A1617,dv_num,0)),"Devis inconnu",IF(AND(B1617&lt;&gt;"",ISNA(MATCH(B1617,pr_code,0))),"Article inconnu",IF(H1617="","Désignation manquante",IF(OR(NOT(ISNUMBER(D1617)),N(D1617)&lt;=0),"Quantité invalide",IF(J1617="","Prix manquant",IF(OR(NOT(ISNUMBER(J1617)),N(J1617)&lt;0),"Prix invalide",IF(OR(AND(F1617&lt;&gt;"",NOT(ISNUMBER(F1617))),N(F1617)&lt;0,N(F1617)&gt;1),"Remise invalide",IF(K1617="","Taux de TVA manquant",IF(NOT(ISNUMBER(K1617)),"Taux de TVA invalide",IF(COUNTIF(p_rates,K1617)=0,"Taux de TVA hors liste (Paramètres)",IF(N(O1617)&gt;25,"Au-delà de 25 lignes : non imprimée","OK")))))))))))))</f>
        <v/>
      </c>
      <c r="O1617" s="59" t="str">
        <f>IF(A1617="","",COUNTIF($A$6:A1617,A1617))</f>
        <v/>
      </c>
      <c r="P1617" s="62" t="str">
        <f>IF(A1617="","",A1617&amp;"|"&amp;O1617)</f>
        <v/>
      </c>
    </row>
    <row r="1618">
      <c r="A1618" s="60" t="n"/>
      <c r="B1618" s="63" t="n"/>
      <c r="C1618" s="63" t="n"/>
      <c r="D1618" s="67" t="n"/>
      <c r="E1618" s="68" t="n"/>
      <c r="F1618" s="69" t="n"/>
      <c r="G1618" s="70" t="n"/>
      <c r="H1618" s="62" t="str">
        <f>IF(COUNTA(A1618:G1618)=0,"",IF(C1618&lt;&gt;"",C1618,IF(B1618="","",IFERROR(INDEX(pr_des,MATCH(B1618,pr_code,0))&amp;"",""))))</f>
        <v/>
      </c>
      <c r="I1618" s="59" t="str">
        <f>IF(B1618="","",IFERROR(INDEX(pr_unit,MATCH(B1618,pr_code,0))&amp;"",""))</f>
        <v/>
      </c>
      <c r="J1618" s="65" t="str">
        <f>IF(COUNTA(A1618:G1618)=0,"",IF(E1618&lt;&gt;"",E1618,IF(B1618="","",IFERROR(IF(INDEX(pr_price,MATCH(B1618,pr_code,0))="","",INDEX(pr_price,MATCH(B1618,pr_code,0))),""))))</f>
        <v/>
      </c>
      <c r="K1618" s="71" t="str">
        <f>IF(COUNTA(A1618:G1618)=0,"",IF(G1618&lt;&gt;"",G1618,IF(B1618="","",IFERROR(IF(INDEX(pr_rate,MATCH(B1618,pr_code,0))="","",INDEX(pr_rate,MATCH(B1618,pr_code,0))),""))))</f>
        <v/>
      </c>
      <c r="L1618" s="65" t="str">
        <f>IF(COUNTA(A1618:G1618)=0,"",IF(AND(ISNUMBER(D1618),ISNUMBER(J1618)),ROUND(D1618*J1618*(1-N(F1618)),2),0))</f>
        <v/>
      </c>
      <c r="M1618" s="62" t="str">
        <f>IF(A1618="","",IFERROR(INDEX(dv_cname,MATCH(A1618,dv_num,0))&amp;"",""))</f>
        <v/>
      </c>
      <c r="N1618" s="59" t="str">
        <f>IF(COUNTA(A1618:G1618)=0,"",IF(A1618="","N° devis manquant",IF(ISNA(MATCH(A1618,dv_num,0)),"Devis inconnu",IF(AND(B1618&lt;&gt;"",ISNA(MATCH(B1618,pr_code,0))),"Article inconnu",IF(H1618="","Désignation manquante",IF(OR(NOT(ISNUMBER(D1618)),N(D1618)&lt;=0),"Quantité invalide",IF(J1618="","Prix manquant",IF(OR(NOT(ISNUMBER(J1618)),N(J1618)&lt;0),"Prix invalide",IF(OR(AND(F1618&lt;&gt;"",NOT(ISNUMBER(F1618))),N(F1618)&lt;0,N(F1618)&gt;1),"Remise invalide",IF(K1618="","Taux de TVA manquant",IF(NOT(ISNUMBER(K1618)),"Taux de TVA invalide",IF(COUNTIF(p_rates,K1618)=0,"Taux de TVA hors liste (Paramètres)",IF(N(O1618)&gt;25,"Au-delà de 25 lignes : non imprimée","OK")))))))))))))</f>
        <v/>
      </c>
      <c r="O1618" s="59" t="str">
        <f>IF(A1618="","",COUNTIF($A$6:A1618,A1618))</f>
        <v/>
      </c>
      <c r="P1618" s="62" t="str">
        <f>IF(A1618="","",A1618&amp;"|"&amp;O1618)</f>
        <v/>
      </c>
    </row>
    <row r="1619">
      <c r="A1619" s="60" t="n"/>
      <c r="B1619" s="63" t="n"/>
      <c r="C1619" s="63" t="n"/>
      <c r="D1619" s="67" t="n"/>
      <c r="E1619" s="68" t="n"/>
      <c r="F1619" s="69" t="n"/>
      <c r="G1619" s="70" t="n"/>
      <c r="H1619" s="62" t="str">
        <f>IF(COUNTA(A1619:G1619)=0,"",IF(C1619&lt;&gt;"",C1619,IF(B1619="","",IFERROR(INDEX(pr_des,MATCH(B1619,pr_code,0))&amp;"",""))))</f>
        <v/>
      </c>
      <c r="I1619" s="59" t="str">
        <f>IF(B1619="","",IFERROR(INDEX(pr_unit,MATCH(B1619,pr_code,0))&amp;"",""))</f>
        <v/>
      </c>
      <c r="J1619" s="65" t="str">
        <f>IF(COUNTA(A1619:G1619)=0,"",IF(E1619&lt;&gt;"",E1619,IF(B1619="","",IFERROR(IF(INDEX(pr_price,MATCH(B1619,pr_code,0))="","",INDEX(pr_price,MATCH(B1619,pr_code,0))),""))))</f>
        <v/>
      </c>
      <c r="K1619" s="71" t="str">
        <f>IF(COUNTA(A1619:G1619)=0,"",IF(G1619&lt;&gt;"",G1619,IF(B1619="","",IFERROR(IF(INDEX(pr_rate,MATCH(B1619,pr_code,0))="","",INDEX(pr_rate,MATCH(B1619,pr_code,0))),""))))</f>
        <v/>
      </c>
      <c r="L1619" s="65" t="str">
        <f>IF(COUNTA(A1619:G1619)=0,"",IF(AND(ISNUMBER(D1619),ISNUMBER(J1619)),ROUND(D1619*J1619*(1-N(F1619)),2),0))</f>
        <v/>
      </c>
      <c r="M1619" s="62" t="str">
        <f>IF(A1619="","",IFERROR(INDEX(dv_cname,MATCH(A1619,dv_num,0))&amp;"",""))</f>
        <v/>
      </c>
      <c r="N1619" s="59" t="str">
        <f>IF(COUNTA(A1619:G1619)=0,"",IF(A1619="","N° devis manquant",IF(ISNA(MATCH(A1619,dv_num,0)),"Devis inconnu",IF(AND(B1619&lt;&gt;"",ISNA(MATCH(B1619,pr_code,0))),"Article inconnu",IF(H1619="","Désignation manquante",IF(OR(NOT(ISNUMBER(D1619)),N(D1619)&lt;=0),"Quantité invalide",IF(J1619="","Prix manquant",IF(OR(NOT(ISNUMBER(J1619)),N(J1619)&lt;0),"Prix invalide",IF(OR(AND(F1619&lt;&gt;"",NOT(ISNUMBER(F1619))),N(F1619)&lt;0,N(F1619)&gt;1),"Remise invalide",IF(K1619="","Taux de TVA manquant",IF(NOT(ISNUMBER(K1619)),"Taux de TVA invalide",IF(COUNTIF(p_rates,K1619)=0,"Taux de TVA hors liste (Paramètres)",IF(N(O1619)&gt;25,"Au-delà de 25 lignes : non imprimée","OK")))))))))))))</f>
        <v/>
      </c>
      <c r="O1619" s="59" t="str">
        <f>IF(A1619="","",COUNTIF($A$6:A1619,A1619))</f>
        <v/>
      </c>
      <c r="P1619" s="62" t="str">
        <f>IF(A1619="","",A1619&amp;"|"&amp;O1619)</f>
        <v/>
      </c>
    </row>
    <row r="1620">
      <c r="A1620" s="60" t="n"/>
      <c r="B1620" s="63" t="n"/>
      <c r="C1620" s="63" t="n"/>
      <c r="D1620" s="67" t="n"/>
      <c r="E1620" s="68" t="n"/>
      <c r="F1620" s="69" t="n"/>
      <c r="G1620" s="70" t="n"/>
      <c r="H1620" s="62" t="str">
        <f>IF(COUNTA(A1620:G1620)=0,"",IF(C1620&lt;&gt;"",C1620,IF(B1620="","",IFERROR(INDEX(pr_des,MATCH(B1620,pr_code,0))&amp;"",""))))</f>
        <v/>
      </c>
      <c r="I1620" s="59" t="str">
        <f>IF(B1620="","",IFERROR(INDEX(pr_unit,MATCH(B1620,pr_code,0))&amp;"",""))</f>
        <v/>
      </c>
      <c r="J1620" s="65" t="str">
        <f>IF(COUNTA(A1620:G1620)=0,"",IF(E1620&lt;&gt;"",E1620,IF(B1620="","",IFERROR(IF(INDEX(pr_price,MATCH(B1620,pr_code,0))="","",INDEX(pr_price,MATCH(B1620,pr_code,0))),""))))</f>
        <v/>
      </c>
      <c r="K1620" s="71" t="str">
        <f>IF(COUNTA(A1620:G1620)=0,"",IF(G1620&lt;&gt;"",G1620,IF(B1620="","",IFERROR(IF(INDEX(pr_rate,MATCH(B1620,pr_code,0))="","",INDEX(pr_rate,MATCH(B1620,pr_code,0))),""))))</f>
        <v/>
      </c>
      <c r="L1620" s="65" t="str">
        <f>IF(COUNTA(A1620:G1620)=0,"",IF(AND(ISNUMBER(D1620),ISNUMBER(J1620)),ROUND(D1620*J1620*(1-N(F1620)),2),0))</f>
        <v/>
      </c>
      <c r="M1620" s="62" t="str">
        <f>IF(A1620="","",IFERROR(INDEX(dv_cname,MATCH(A1620,dv_num,0))&amp;"",""))</f>
        <v/>
      </c>
      <c r="N1620" s="59" t="str">
        <f>IF(COUNTA(A1620:G1620)=0,"",IF(A1620="","N° devis manquant",IF(ISNA(MATCH(A1620,dv_num,0)),"Devis inconnu",IF(AND(B1620&lt;&gt;"",ISNA(MATCH(B1620,pr_code,0))),"Article inconnu",IF(H1620="","Désignation manquante",IF(OR(NOT(ISNUMBER(D1620)),N(D1620)&lt;=0),"Quantité invalide",IF(J1620="","Prix manquant",IF(OR(NOT(ISNUMBER(J1620)),N(J1620)&lt;0),"Prix invalide",IF(OR(AND(F1620&lt;&gt;"",NOT(ISNUMBER(F1620))),N(F1620)&lt;0,N(F1620)&gt;1),"Remise invalide",IF(K1620="","Taux de TVA manquant",IF(NOT(ISNUMBER(K1620)),"Taux de TVA invalide",IF(COUNTIF(p_rates,K1620)=0,"Taux de TVA hors liste (Paramètres)",IF(N(O1620)&gt;25,"Au-delà de 25 lignes : non imprimée","OK")))))))))))))</f>
        <v/>
      </c>
      <c r="O1620" s="59" t="str">
        <f>IF(A1620="","",COUNTIF($A$6:A1620,A1620))</f>
        <v/>
      </c>
      <c r="P1620" s="62" t="str">
        <f>IF(A1620="","",A1620&amp;"|"&amp;O1620)</f>
        <v/>
      </c>
    </row>
    <row r="1621">
      <c r="A1621" s="60" t="n"/>
      <c r="B1621" s="63" t="n"/>
      <c r="C1621" s="63" t="n"/>
      <c r="D1621" s="67" t="n"/>
      <c r="E1621" s="68" t="n"/>
      <c r="F1621" s="69" t="n"/>
      <c r="G1621" s="70" t="n"/>
      <c r="H1621" s="62" t="str">
        <f>IF(COUNTA(A1621:G1621)=0,"",IF(C1621&lt;&gt;"",C1621,IF(B1621="","",IFERROR(INDEX(pr_des,MATCH(B1621,pr_code,0))&amp;"",""))))</f>
        <v/>
      </c>
      <c r="I1621" s="59" t="str">
        <f>IF(B1621="","",IFERROR(INDEX(pr_unit,MATCH(B1621,pr_code,0))&amp;"",""))</f>
        <v/>
      </c>
      <c r="J1621" s="65" t="str">
        <f>IF(COUNTA(A1621:G1621)=0,"",IF(E1621&lt;&gt;"",E1621,IF(B1621="","",IFERROR(IF(INDEX(pr_price,MATCH(B1621,pr_code,0))="","",INDEX(pr_price,MATCH(B1621,pr_code,0))),""))))</f>
        <v/>
      </c>
      <c r="K1621" s="71" t="str">
        <f>IF(COUNTA(A1621:G1621)=0,"",IF(G1621&lt;&gt;"",G1621,IF(B1621="","",IFERROR(IF(INDEX(pr_rate,MATCH(B1621,pr_code,0))="","",INDEX(pr_rate,MATCH(B1621,pr_code,0))),""))))</f>
        <v/>
      </c>
      <c r="L1621" s="65" t="str">
        <f>IF(COUNTA(A1621:G1621)=0,"",IF(AND(ISNUMBER(D1621),ISNUMBER(J1621)),ROUND(D1621*J1621*(1-N(F1621)),2),0))</f>
        <v/>
      </c>
      <c r="M1621" s="62" t="str">
        <f>IF(A1621="","",IFERROR(INDEX(dv_cname,MATCH(A1621,dv_num,0))&amp;"",""))</f>
        <v/>
      </c>
      <c r="N1621" s="59" t="str">
        <f>IF(COUNTA(A1621:G1621)=0,"",IF(A1621="","N° devis manquant",IF(ISNA(MATCH(A1621,dv_num,0)),"Devis inconnu",IF(AND(B1621&lt;&gt;"",ISNA(MATCH(B1621,pr_code,0))),"Article inconnu",IF(H1621="","Désignation manquante",IF(OR(NOT(ISNUMBER(D1621)),N(D1621)&lt;=0),"Quantité invalide",IF(J1621="","Prix manquant",IF(OR(NOT(ISNUMBER(J1621)),N(J1621)&lt;0),"Prix invalide",IF(OR(AND(F1621&lt;&gt;"",NOT(ISNUMBER(F1621))),N(F1621)&lt;0,N(F1621)&gt;1),"Remise invalide",IF(K1621="","Taux de TVA manquant",IF(NOT(ISNUMBER(K1621)),"Taux de TVA invalide",IF(COUNTIF(p_rates,K1621)=0,"Taux de TVA hors liste (Paramètres)",IF(N(O1621)&gt;25,"Au-delà de 25 lignes : non imprimée","OK")))))))))))))</f>
        <v/>
      </c>
      <c r="O1621" s="59" t="str">
        <f>IF(A1621="","",COUNTIF($A$6:A1621,A1621))</f>
        <v/>
      </c>
      <c r="P1621" s="62" t="str">
        <f>IF(A1621="","",A1621&amp;"|"&amp;O1621)</f>
        <v/>
      </c>
    </row>
    <row r="1622">
      <c r="A1622" s="60" t="n"/>
      <c r="B1622" s="63" t="n"/>
      <c r="C1622" s="63" t="n"/>
      <c r="D1622" s="67" t="n"/>
      <c r="E1622" s="68" t="n"/>
      <c r="F1622" s="69" t="n"/>
      <c r="G1622" s="70" t="n"/>
      <c r="H1622" s="62" t="str">
        <f>IF(COUNTA(A1622:G1622)=0,"",IF(C1622&lt;&gt;"",C1622,IF(B1622="","",IFERROR(INDEX(pr_des,MATCH(B1622,pr_code,0))&amp;"",""))))</f>
        <v/>
      </c>
      <c r="I1622" s="59" t="str">
        <f>IF(B1622="","",IFERROR(INDEX(pr_unit,MATCH(B1622,pr_code,0))&amp;"",""))</f>
        <v/>
      </c>
      <c r="J1622" s="65" t="str">
        <f>IF(COUNTA(A1622:G1622)=0,"",IF(E1622&lt;&gt;"",E1622,IF(B1622="","",IFERROR(IF(INDEX(pr_price,MATCH(B1622,pr_code,0))="","",INDEX(pr_price,MATCH(B1622,pr_code,0))),""))))</f>
        <v/>
      </c>
      <c r="K1622" s="71" t="str">
        <f>IF(COUNTA(A1622:G1622)=0,"",IF(G1622&lt;&gt;"",G1622,IF(B1622="","",IFERROR(IF(INDEX(pr_rate,MATCH(B1622,pr_code,0))="","",INDEX(pr_rate,MATCH(B1622,pr_code,0))),""))))</f>
        <v/>
      </c>
      <c r="L1622" s="65" t="str">
        <f>IF(COUNTA(A1622:G1622)=0,"",IF(AND(ISNUMBER(D1622),ISNUMBER(J1622)),ROUND(D1622*J1622*(1-N(F1622)),2),0))</f>
        <v/>
      </c>
      <c r="M1622" s="62" t="str">
        <f>IF(A1622="","",IFERROR(INDEX(dv_cname,MATCH(A1622,dv_num,0))&amp;"",""))</f>
        <v/>
      </c>
      <c r="N1622" s="59" t="str">
        <f>IF(COUNTA(A1622:G1622)=0,"",IF(A1622="","N° devis manquant",IF(ISNA(MATCH(A1622,dv_num,0)),"Devis inconnu",IF(AND(B1622&lt;&gt;"",ISNA(MATCH(B1622,pr_code,0))),"Article inconnu",IF(H1622="","Désignation manquante",IF(OR(NOT(ISNUMBER(D1622)),N(D1622)&lt;=0),"Quantité invalide",IF(J1622="","Prix manquant",IF(OR(NOT(ISNUMBER(J1622)),N(J1622)&lt;0),"Prix invalide",IF(OR(AND(F1622&lt;&gt;"",NOT(ISNUMBER(F1622))),N(F1622)&lt;0,N(F1622)&gt;1),"Remise invalide",IF(K1622="","Taux de TVA manquant",IF(NOT(ISNUMBER(K1622)),"Taux de TVA invalide",IF(COUNTIF(p_rates,K1622)=0,"Taux de TVA hors liste (Paramètres)",IF(N(O1622)&gt;25,"Au-delà de 25 lignes : non imprimée","OK")))))))))))))</f>
        <v/>
      </c>
      <c r="O1622" s="59" t="str">
        <f>IF(A1622="","",COUNTIF($A$6:A1622,A1622))</f>
        <v/>
      </c>
      <c r="P1622" s="62" t="str">
        <f>IF(A1622="","",A1622&amp;"|"&amp;O1622)</f>
        <v/>
      </c>
    </row>
    <row r="1623">
      <c r="A1623" s="60" t="n"/>
      <c r="B1623" s="63" t="n"/>
      <c r="C1623" s="63" t="n"/>
      <c r="D1623" s="67" t="n"/>
      <c r="E1623" s="68" t="n"/>
      <c r="F1623" s="69" t="n"/>
      <c r="G1623" s="70" t="n"/>
      <c r="H1623" s="62" t="str">
        <f>IF(COUNTA(A1623:G1623)=0,"",IF(C1623&lt;&gt;"",C1623,IF(B1623="","",IFERROR(INDEX(pr_des,MATCH(B1623,pr_code,0))&amp;"",""))))</f>
        <v/>
      </c>
      <c r="I1623" s="59" t="str">
        <f>IF(B1623="","",IFERROR(INDEX(pr_unit,MATCH(B1623,pr_code,0))&amp;"",""))</f>
        <v/>
      </c>
      <c r="J1623" s="65" t="str">
        <f>IF(COUNTA(A1623:G1623)=0,"",IF(E1623&lt;&gt;"",E1623,IF(B1623="","",IFERROR(IF(INDEX(pr_price,MATCH(B1623,pr_code,0))="","",INDEX(pr_price,MATCH(B1623,pr_code,0))),""))))</f>
        <v/>
      </c>
      <c r="K1623" s="71" t="str">
        <f>IF(COUNTA(A1623:G1623)=0,"",IF(G1623&lt;&gt;"",G1623,IF(B1623="","",IFERROR(IF(INDEX(pr_rate,MATCH(B1623,pr_code,0))="","",INDEX(pr_rate,MATCH(B1623,pr_code,0))),""))))</f>
        <v/>
      </c>
      <c r="L1623" s="65" t="str">
        <f>IF(COUNTA(A1623:G1623)=0,"",IF(AND(ISNUMBER(D1623),ISNUMBER(J1623)),ROUND(D1623*J1623*(1-N(F1623)),2),0))</f>
        <v/>
      </c>
      <c r="M1623" s="62" t="str">
        <f>IF(A1623="","",IFERROR(INDEX(dv_cname,MATCH(A1623,dv_num,0))&amp;"",""))</f>
        <v/>
      </c>
      <c r="N1623" s="59" t="str">
        <f>IF(COUNTA(A1623:G1623)=0,"",IF(A1623="","N° devis manquant",IF(ISNA(MATCH(A1623,dv_num,0)),"Devis inconnu",IF(AND(B1623&lt;&gt;"",ISNA(MATCH(B1623,pr_code,0))),"Article inconnu",IF(H1623="","Désignation manquante",IF(OR(NOT(ISNUMBER(D1623)),N(D1623)&lt;=0),"Quantité invalide",IF(J1623="","Prix manquant",IF(OR(NOT(ISNUMBER(J1623)),N(J1623)&lt;0),"Prix invalide",IF(OR(AND(F1623&lt;&gt;"",NOT(ISNUMBER(F1623))),N(F1623)&lt;0,N(F1623)&gt;1),"Remise invalide",IF(K1623="","Taux de TVA manquant",IF(NOT(ISNUMBER(K1623)),"Taux de TVA invalide",IF(COUNTIF(p_rates,K1623)=0,"Taux de TVA hors liste (Paramètres)",IF(N(O1623)&gt;25,"Au-delà de 25 lignes : non imprimée","OK")))))))))))))</f>
        <v/>
      </c>
      <c r="O1623" s="59" t="str">
        <f>IF(A1623="","",COUNTIF($A$6:A1623,A1623))</f>
        <v/>
      </c>
      <c r="P1623" s="62" t="str">
        <f>IF(A1623="","",A1623&amp;"|"&amp;O1623)</f>
        <v/>
      </c>
    </row>
    <row r="1624">
      <c r="A1624" s="60" t="n"/>
      <c r="B1624" s="63" t="n"/>
      <c r="C1624" s="63" t="n"/>
      <c r="D1624" s="67" t="n"/>
      <c r="E1624" s="68" t="n"/>
      <c r="F1624" s="69" t="n"/>
      <c r="G1624" s="70" t="n"/>
      <c r="H1624" s="62" t="str">
        <f>IF(COUNTA(A1624:G1624)=0,"",IF(C1624&lt;&gt;"",C1624,IF(B1624="","",IFERROR(INDEX(pr_des,MATCH(B1624,pr_code,0))&amp;"",""))))</f>
        <v/>
      </c>
      <c r="I1624" s="59" t="str">
        <f>IF(B1624="","",IFERROR(INDEX(pr_unit,MATCH(B1624,pr_code,0))&amp;"",""))</f>
        <v/>
      </c>
      <c r="J1624" s="65" t="str">
        <f>IF(COUNTA(A1624:G1624)=0,"",IF(E1624&lt;&gt;"",E1624,IF(B1624="","",IFERROR(IF(INDEX(pr_price,MATCH(B1624,pr_code,0))="","",INDEX(pr_price,MATCH(B1624,pr_code,0))),""))))</f>
        <v/>
      </c>
      <c r="K1624" s="71" t="str">
        <f>IF(COUNTA(A1624:G1624)=0,"",IF(G1624&lt;&gt;"",G1624,IF(B1624="","",IFERROR(IF(INDEX(pr_rate,MATCH(B1624,pr_code,0))="","",INDEX(pr_rate,MATCH(B1624,pr_code,0))),""))))</f>
        <v/>
      </c>
      <c r="L1624" s="65" t="str">
        <f>IF(COUNTA(A1624:G1624)=0,"",IF(AND(ISNUMBER(D1624),ISNUMBER(J1624)),ROUND(D1624*J1624*(1-N(F1624)),2),0))</f>
        <v/>
      </c>
      <c r="M1624" s="62" t="str">
        <f>IF(A1624="","",IFERROR(INDEX(dv_cname,MATCH(A1624,dv_num,0))&amp;"",""))</f>
        <v/>
      </c>
      <c r="N1624" s="59" t="str">
        <f>IF(COUNTA(A1624:G1624)=0,"",IF(A1624="","N° devis manquant",IF(ISNA(MATCH(A1624,dv_num,0)),"Devis inconnu",IF(AND(B1624&lt;&gt;"",ISNA(MATCH(B1624,pr_code,0))),"Article inconnu",IF(H1624="","Désignation manquante",IF(OR(NOT(ISNUMBER(D1624)),N(D1624)&lt;=0),"Quantité invalide",IF(J1624="","Prix manquant",IF(OR(NOT(ISNUMBER(J1624)),N(J1624)&lt;0),"Prix invalide",IF(OR(AND(F1624&lt;&gt;"",NOT(ISNUMBER(F1624))),N(F1624)&lt;0,N(F1624)&gt;1),"Remise invalide",IF(K1624="","Taux de TVA manquant",IF(NOT(ISNUMBER(K1624)),"Taux de TVA invalide",IF(COUNTIF(p_rates,K1624)=0,"Taux de TVA hors liste (Paramètres)",IF(N(O1624)&gt;25,"Au-delà de 25 lignes : non imprimée","OK")))))))))))))</f>
        <v/>
      </c>
      <c r="O1624" s="59" t="str">
        <f>IF(A1624="","",COUNTIF($A$6:A1624,A1624))</f>
        <v/>
      </c>
      <c r="P1624" s="62" t="str">
        <f>IF(A1624="","",A1624&amp;"|"&amp;O1624)</f>
        <v/>
      </c>
    </row>
    <row r="1625">
      <c r="A1625" s="60" t="n"/>
      <c r="B1625" s="63" t="n"/>
      <c r="C1625" s="63" t="n"/>
      <c r="D1625" s="67" t="n"/>
      <c r="E1625" s="68" t="n"/>
      <c r="F1625" s="69" t="n"/>
      <c r="G1625" s="70" t="n"/>
      <c r="H1625" s="62" t="str">
        <f>IF(COUNTA(A1625:G1625)=0,"",IF(C1625&lt;&gt;"",C1625,IF(B1625="","",IFERROR(INDEX(pr_des,MATCH(B1625,pr_code,0))&amp;"",""))))</f>
        <v/>
      </c>
      <c r="I1625" s="59" t="str">
        <f>IF(B1625="","",IFERROR(INDEX(pr_unit,MATCH(B1625,pr_code,0))&amp;"",""))</f>
        <v/>
      </c>
      <c r="J1625" s="65" t="str">
        <f>IF(COUNTA(A1625:G1625)=0,"",IF(E1625&lt;&gt;"",E1625,IF(B1625="","",IFERROR(IF(INDEX(pr_price,MATCH(B1625,pr_code,0))="","",INDEX(pr_price,MATCH(B1625,pr_code,0))),""))))</f>
        <v/>
      </c>
      <c r="K1625" s="71" t="str">
        <f>IF(COUNTA(A1625:G1625)=0,"",IF(G1625&lt;&gt;"",G1625,IF(B1625="","",IFERROR(IF(INDEX(pr_rate,MATCH(B1625,pr_code,0))="","",INDEX(pr_rate,MATCH(B1625,pr_code,0))),""))))</f>
        <v/>
      </c>
      <c r="L1625" s="65" t="str">
        <f>IF(COUNTA(A1625:G1625)=0,"",IF(AND(ISNUMBER(D1625),ISNUMBER(J1625)),ROUND(D1625*J1625*(1-N(F1625)),2),0))</f>
        <v/>
      </c>
      <c r="M1625" s="62" t="str">
        <f>IF(A1625="","",IFERROR(INDEX(dv_cname,MATCH(A1625,dv_num,0))&amp;"",""))</f>
        <v/>
      </c>
      <c r="N1625" s="59" t="str">
        <f>IF(COUNTA(A1625:G1625)=0,"",IF(A1625="","N° devis manquant",IF(ISNA(MATCH(A1625,dv_num,0)),"Devis inconnu",IF(AND(B1625&lt;&gt;"",ISNA(MATCH(B1625,pr_code,0))),"Article inconnu",IF(H1625="","Désignation manquante",IF(OR(NOT(ISNUMBER(D1625)),N(D1625)&lt;=0),"Quantité invalide",IF(J1625="","Prix manquant",IF(OR(NOT(ISNUMBER(J1625)),N(J1625)&lt;0),"Prix invalide",IF(OR(AND(F1625&lt;&gt;"",NOT(ISNUMBER(F1625))),N(F1625)&lt;0,N(F1625)&gt;1),"Remise invalide",IF(K1625="","Taux de TVA manquant",IF(NOT(ISNUMBER(K1625)),"Taux de TVA invalide",IF(COUNTIF(p_rates,K1625)=0,"Taux de TVA hors liste (Paramètres)",IF(N(O1625)&gt;25,"Au-delà de 25 lignes : non imprimée","OK")))))))))))))</f>
        <v/>
      </c>
      <c r="O1625" s="59" t="str">
        <f>IF(A1625="","",COUNTIF($A$6:A1625,A1625))</f>
        <v/>
      </c>
      <c r="P1625" s="62" t="str">
        <f>IF(A1625="","",A1625&amp;"|"&amp;O1625)</f>
        <v/>
      </c>
    </row>
    <row r="1626">
      <c r="A1626" s="60" t="n"/>
      <c r="B1626" s="63" t="n"/>
      <c r="C1626" s="63" t="n"/>
      <c r="D1626" s="67" t="n"/>
      <c r="E1626" s="68" t="n"/>
      <c r="F1626" s="69" t="n"/>
      <c r="G1626" s="70" t="n"/>
      <c r="H1626" s="62" t="str">
        <f>IF(COUNTA(A1626:G1626)=0,"",IF(C1626&lt;&gt;"",C1626,IF(B1626="","",IFERROR(INDEX(pr_des,MATCH(B1626,pr_code,0))&amp;"",""))))</f>
        <v/>
      </c>
      <c r="I1626" s="59" t="str">
        <f>IF(B1626="","",IFERROR(INDEX(pr_unit,MATCH(B1626,pr_code,0))&amp;"",""))</f>
        <v/>
      </c>
      <c r="J1626" s="65" t="str">
        <f>IF(COUNTA(A1626:G1626)=0,"",IF(E1626&lt;&gt;"",E1626,IF(B1626="","",IFERROR(IF(INDEX(pr_price,MATCH(B1626,pr_code,0))="","",INDEX(pr_price,MATCH(B1626,pr_code,0))),""))))</f>
        <v/>
      </c>
      <c r="K1626" s="71" t="str">
        <f>IF(COUNTA(A1626:G1626)=0,"",IF(G1626&lt;&gt;"",G1626,IF(B1626="","",IFERROR(IF(INDEX(pr_rate,MATCH(B1626,pr_code,0))="","",INDEX(pr_rate,MATCH(B1626,pr_code,0))),""))))</f>
        <v/>
      </c>
      <c r="L1626" s="65" t="str">
        <f>IF(COUNTA(A1626:G1626)=0,"",IF(AND(ISNUMBER(D1626),ISNUMBER(J1626)),ROUND(D1626*J1626*(1-N(F1626)),2),0))</f>
        <v/>
      </c>
      <c r="M1626" s="62" t="str">
        <f>IF(A1626="","",IFERROR(INDEX(dv_cname,MATCH(A1626,dv_num,0))&amp;"",""))</f>
        <v/>
      </c>
      <c r="N1626" s="59" t="str">
        <f>IF(COUNTA(A1626:G1626)=0,"",IF(A1626="","N° devis manquant",IF(ISNA(MATCH(A1626,dv_num,0)),"Devis inconnu",IF(AND(B1626&lt;&gt;"",ISNA(MATCH(B1626,pr_code,0))),"Article inconnu",IF(H1626="","Désignation manquante",IF(OR(NOT(ISNUMBER(D1626)),N(D1626)&lt;=0),"Quantité invalide",IF(J1626="","Prix manquant",IF(OR(NOT(ISNUMBER(J1626)),N(J1626)&lt;0),"Prix invalide",IF(OR(AND(F1626&lt;&gt;"",NOT(ISNUMBER(F1626))),N(F1626)&lt;0,N(F1626)&gt;1),"Remise invalide",IF(K1626="","Taux de TVA manquant",IF(NOT(ISNUMBER(K1626)),"Taux de TVA invalide",IF(COUNTIF(p_rates,K1626)=0,"Taux de TVA hors liste (Paramètres)",IF(N(O1626)&gt;25,"Au-delà de 25 lignes : non imprimée","OK")))))))))))))</f>
        <v/>
      </c>
      <c r="O1626" s="59" t="str">
        <f>IF(A1626="","",COUNTIF($A$6:A1626,A1626))</f>
        <v/>
      </c>
      <c r="P1626" s="62" t="str">
        <f>IF(A1626="","",A1626&amp;"|"&amp;O1626)</f>
        <v/>
      </c>
    </row>
    <row r="1627">
      <c r="A1627" s="60" t="n"/>
      <c r="B1627" s="63" t="n"/>
      <c r="C1627" s="63" t="n"/>
      <c r="D1627" s="67" t="n"/>
      <c r="E1627" s="68" t="n"/>
      <c r="F1627" s="69" t="n"/>
      <c r="G1627" s="70" t="n"/>
      <c r="H1627" s="62" t="str">
        <f>IF(COUNTA(A1627:G1627)=0,"",IF(C1627&lt;&gt;"",C1627,IF(B1627="","",IFERROR(INDEX(pr_des,MATCH(B1627,pr_code,0))&amp;"",""))))</f>
        <v/>
      </c>
      <c r="I1627" s="59" t="str">
        <f>IF(B1627="","",IFERROR(INDEX(pr_unit,MATCH(B1627,pr_code,0))&amp;"",""))</f>
        <v/>
      </c>
      <c r="J1627" s="65" t="str">
        <f>IF(COUNTA(A1627:G1627)=0,"",IF(E1627&lt;&gt;"",E1627,IF(B1627="","",IFERROR(IF(INDEX(pr_price,MATCH(B1627,pr_code,0))="","",INDEX(pr_price,MATCH(B1627,pr_code,0))),""))))</f>
        <v/>
      </c>
      <c r="K1627" s="71" t="str">
        <f>IF(COUNTA(A1627:G1627)=0,"",IF(G1627&lt;&gt;"",G1627,IF(B1627="","",IFERROR(IF(INDEX(pr_rate,MATCH(B1627,pr_code,0))="","",INDEX(pr_rate,MATCH(B1627,pr_code,0))),""))))</f>
        <v/>
      </c>
      <c r="L1627" s="65" t="str">
        <f>IF(COUNTA(A1627:G1627)=0,"",IF(AND(ISNUMBER(D1627),ISNUMBER(J1627)),ROUND(D1627*J1627*(1-N(F1627)),2),0))</f>
        <v/>
      </c>
      <c r="M1627" s="62" t="str">
        <f>IF(A1627="","",IFERROR(INDEX(dv_cname,MATCH(A1627,dv_num,0))&amp;"",""))</f>
        <v/>
      </c>
      <c r="N1627" s="59" t="str">
        <f>IF(COUNTA(A1627:G1627)=0,"",IF(A1627="","N° devis manquant",IF(ISNA(MATCH(A1627,dv_num,0)),"Devis inconnu",IF(AND(B1627&lt;&gt;"",ISNA(MATCH(B1627,pr_code,0))),"Article inconnu",IF(H1627="","Désignation manquante",IF(OR(NOT(ISNUMBER(D1627)),N(D1627)&lt;=0),"Quantité invalide",IF(J1627="","Prix manquant",IF(OR(NOT(ISNUMBER(J1627)),N(J1627)&lt;0),"Prix invalide",IF(OR(AND(F1627&lt;&gt;"",NOT(ISNUMBER(F1627))),N(F1627)&lt;0,N(F1627)&gt;1),"Remise invalide",IF(K1627="","Taux de TVA manquant",IF(NOT(ISNUMBER(K1627)),"Taux de TVA invalide",IF(COUNTIF(p_rates,K1627)=0,"Taux de TVA hors liste (Paramètres)",IF(N(O1627)&gt;25,"Au-delà de 25 lignes : non imprimée","OK")))))))))))))</f>
        <v/>
      </c>
      <c r="O1627" s="59" t="str">
        <f>IF(A1627="","",COUNTIF($A$6:A1627,A1627))</f>
        <v/>
      </c>
      <c r="P1627" s="62" t="str">
        <f>IF(A1627="","",A1627&amp;"|"&amp;O1627)</f>
        <v/>
      </c>
    </row>
    <row r="1628">
      <c r="A1628" s="60" t="n"/>
      <c r="B1628" s="63" t="n"/>
      <c r="C1628" s="63" t="n"/>
      <c r="D1628" s="67" t="n"/>
      <c r="E1628" s="68" t="n"/>
      <c r="F1628" s="69" t="n"/>
      <c r="G1628" s="70" t="n"/>
      <c r="H1628" s="62" t="str">
        <f>IF(COUNTA(A1628:G1628)=0,"",IF(C1628&lt;&gt;"",C1628,IF(B1628="","",IFERROR(INDEX(pr_des,MATCH(B1628,pr_code,0))&amp;"",""))))</f>
        <v/>
      </c>
      <c r="I1628" s="59" t="str">
        <f>IF(B1628="","",IFERROR(INDEX(pr_unit,MATCH(B1628,pr_code,0))&amp;"",""))</f>
        <v/>
      </c>
      <c r="J1628" s="65" t="str">
        <f>IF(COUNTA(A1628:G1628)=0,"",IF(E1628&lt;&gt;"",E1628,IF(B1628="","",IFERROR(IF(INDEX(pr_price,MATCH(B1628,pr_code,0))="","",INDEX(pr_price,MATCH(B1628,pr_code,0))),""))))</f>
        <v/>
      </c>
      <c r="K1628" s="71" t="str">
        <f>IF(COUNTA(A1628:G1628)=0,"",IF(G1628&lt;&gt;"",G1628,IF(B1628="","",IFERROR(IF(INDEX(pr_rate,MATCH(B1628,pr_code,0))="","",INDEX(pr_rate,MATCH(B1628,pr_code,0))),""))))</f>
        <v/>
      </c>
      <c r="L1628" s="65" t="str">
        <f>IF(COUNTA(A1628:G1628)=0,"",IF(AND(ISNUMBER(D1628),ISNUMBER(J1628)),ROUND(D1628*J1628*(1-N(F1628)),2),0))</f>
        <v/>
      </c>
      <c r="M1628" s="62" t="str">
        <f>IF(A1628="","",IFERROR(INDEX(dv_cname,MATCH(A1628,dv_num,0))&amp;"",""))</f>
        <v/>
      </c>
      <c r="N1628" s="59" t="str">
        <f>IF(COUNTA(A1628:G1628)=0,"",IF(A1628="","N° devis manquant",IF(ISNA(MATCH(A1628,dv_num,0)),"Devis inconnu",IF(AND(B1628&lt;&gt;"",ISNA(MATCH(B1628,pr_code,0))),"Article inconnu",IF(H1628="","Désignation manquante",IF(OR(NOT(ISNUMBER(D1628)),N(D1628)&lt;=0),"Quantité invalide",IF(J1628="","Prix manquant",IF(OR(NOT(ISNUMBER(J1628)),N(J1628)&lt;0),"Prix invalide",IF(OR(AND(F1628&lt;&gt;"",NOT(ISNUMBER(F1628))),N(F1628)&lt;0,N(F1628)&gt;1),"Remise invalide",IF(K1628="","Taux de TVA manquant",IF(NOT(ISNUMBER(K1628)),"Taux de TVA invalide",IF(COUNTIF(p_rates,K1628)=0,"Taux de TVA hors liste (Paramètres)",IF(N(O1628)&gt;25,"Au-delà de 25 lignes : non imprimée","OK")))))))))))))</f>
        <v/>
      </c>
      <c r="O1628" s="59" t="str">
        <f>IF(A1628="","",COUNTIF($A$6:A1628,A1628))</f>
        <v/>
      </c>
      <c r="P1628" s="62" t="str">
        <f>IF(A1628="","",A1628&amp;"|"&amp;O1628)</f>
        <v/>
      </c>
    </row>
    <row r="1629">
      <c r="A1629" s="60" t="n"/>
      <c r="B1629" s="63" t="n"/>
      <c r="C1629" s="63" t="n"/>
      <c r="D1629" s="67" t="n"/>
      <c r="E1629" s="68" t="n"/>
      <c r="F1629" s="69" t="n"/>
      <c r="G1629" s="70" t="n"/>
      <c r="H1629" s="62" t="str">
        <f>IF(COUNTA(A1629:G1629)=0,"",IF(C1629&lt;&gt;"",C1629,IF(B1629="","",IFERROR(INDEX(pr_des,MATCH(B1629,pr_code,0))&amp;"",""))))</f>
        <v/>
      </c>
      <c r="I1629" s="59" t="str">
        <f>IF(B1629="","",IFERROR(INDEX(pr_unit,MATCH(B1629,pr_code,0))&amp;"",""))</f>
        <v/>
      </c>
      <c r="J1629" s="65" t="str">
        <f>IF(COUNTA(A1629:G1629)=0,"",IF(E1629&lt;&gt;"",E1629,IF(B1629="","",IFERROR(IF(INDEX(pr_price,MATCH(B1629,pr_code,0))="","",INDEX(pr_price,MATCH(B1629,pr_code,0))),""))))</f>
        <v/>
      </c>
      <c r="K1629" s="71" t="str">
        <f>IF(COUNTA(A1629:G1629)=0,"",IF(G1629&lt;&gt;"",G1629,IF(B1629="","",IFERROR(IF(INDEX(pr_rate,MATCH(B1629,pr_code,0))="","",INDEX(pr_rate,MATCH(B1629,pr_code,0))),""))))</f>
        <v/>
      </c>
      <c r="L1629" s="65" t="str">
        <f>IF(COUNTA(A1629:G1629)=0,"",IF(AND(ISNUMBER(D1629),ISNUMBER(J1629)),ROUND(D1629*J1629*(1-N(F1629)),2),0))</f>
        <v/>
      </c>
      <c r="M1629" s="62" t="str">
        <f>IF(A1629="","",IFERROR(INDEX(dv_cname,MATCH(A1629,dv_num,0))&amp;"",""))</f>
        <v/>
      </c>
      <c r="N1629" s="59" t="str">
        <f>IF(COUNTA(A1629:G1629)=0,"",IF(A1629="","N° devis manquant",IF(ISNA(MATCH(A1629,dv_num,0)),"Devis inconnu",IF(AND(B1629&lt;&gt;"",ISNA(MATCH(B1629,pr_code,0))),"Article inconnu",IF(H1629="","Désignation manquante",IF(OR(NOT(ISNUMBER(D1629)),N(D1629)&lt;=0),"Quantité invalide",IF(J1629="","Prix manquant",IF(OR(NOT(ISNUMBER(J1629)),N(J1629)&lt;0),"Prix invalide",IF(OR(AND(F1629&lt;&gt;"",NOT(ISNUMBER(F1629))),N(F1629)&lt;0,N(F1629)&gt;1),"Remise invalide",IF(K1629="","Taux de TVA manquant",IF(NOT(ISNUMBER(K1629)),"Taux de TVA invalide",IF(COUNTIF(p_rates,K1629)=0,"Taux de TVA hors liste (Paramètres)",IF(N(O1629)&gt;25,"Au-delà de 25 lignes : non imprimée","OK")))))))))))))</f>
        <v/>
      </c>
      <c r="O1629" s="59" t="str">
        <f>IF(A1629="","",COUNTIF($A$6:A1629,A1629))</f>
        <v/>
      </c>
      <c r="P1629" s="62" t="str">
        <f>IF(A1629="","",A1629&amp;"|"&amp;O1629)</f>
        <v/>
      </c>
    </row>
    <row r="1630">
      <c r="A1630" s="60" t="n"/>
      <c r="B1630" s="63" t="n"/>
      <c r="C1630" s="63" t="n"/>
      <c r="D1630" s="67" t="n"/>
      <c r="E1630" s="68" t="n"/>
      <c r="F1630" s="69" t="n"/>
      <c r="G1630" s="70" t="n"/>
      <c r="H1630" s="62" t="str">
        <f>IF(COUNTA(A1630:G1630)=0,"",IF(C1630&lt;&gt;"",C1630,IF(B1630="","",IFERROR(INDEX(pr_des,MATCH(B1630,pr_code,0))&amp;"",""))))</f>
        <v/>
      </c>
      <c r="I1630" s="59" t="str">
        <f>IF(B1630="","",IFERROR(INDEX(pr_unit,MATCH(B1630,pr_code,0))&amp;"",""))</f>
        <v/>
      </c>
      <c r="J1630" s="65" t="str">
        <f>IF(COUNTA(A1630:G1630)=0,"",IF(E1630&lt;&gt;"",E1630,IF(B1630="","",IFERROR(IF(INDEX(pr_price,MATCH(B1630,pr_code,0))="","",INDEX(pr_price,MATCH(B1630,pr_code,0))),""))))</f>
        <v/>
      </c>
      <c r="K1630" s="71" t="str">
        <f>IF(COUNTA(A1630:G1630)=0,"",IF(G1630&lt;&gt;"",G1630,IF(B1630="","",IFERROR(IF(INDEX(pr_rate,MATCH(B1630,pr_code,0))="","",INDEX(pr_rate,MATCH(B1630,pr_code,0))),""))))</f>
        <v/>
      </c>
      <c r="L1630" s="65" t="str">
        <f>IF(COUNTA(A1630:G1630)=0,"",IF(AND(ISNUMBER(D1630),ISNUMBER(J1630)),ROUND(D1630*J1630*(1-N(F1630)),2),0))</f>
        <v/>
      </c>
      <c r="M1630" s="62" t="str">
        <f>IF(A1630="","",IFERROR(INDEX(dv_cname,MATCH(A1630,dv_num,0))&amp;"",""))</f>
        <v/>
      </c>
      <c r="N1630" s="59" t="str">
        <f>IF(COUNTA(A1630:G1630)=0,"",IF(A1630="","N° devis manquant",IF(ISNA(MATCH(A1630,dv_num,0)),"Devis inconnu",IF(AND(B1630&lt;&gt;"",ISNA(MATCH(B1630,pr_code,0))),"Article inconnu",IF(H1630="","Désignation manquante",IF(OR(NOT(ISNUMBER(D1630)),N(D1630)&lt;=0),"Quantité invalide",IF(J1630="","Prix manquant",IF(OR(NOT(ISNUMBER(J1630)),N(J1630)&lt;0),"Prix invalide",IF(OR(AND(F1630&lt;&gt;"",NOT(ISNUMBER(F1630))),N(F1630)&lt;0,N(F1630)&gt;1),"Remise invalide",IF(K1630="","Taux de TVA manquant",IF(NOT(ISNUMBER(K1630)),"Taux de TVA invalide",IF(COUNTIF(p_rates,K1630)=0,"Taux de TVA hors liste (Paramètres)",IF(N(O1630)&gt;25,"Au-delà de 25 lignes : non imprimée","OK")))))))))))))</f>
        <v/>
      </c>
      <c r="O1630" s="59" t="str">
        <f>IF(A1630="","",COUNTIF($A$6:A1630,A1630))</f>
        <v/>
      </c>
      <c r="P1630" s="62" t="str">
        <f>IF(A1630="","",A1630&amp;"|"&amp;O1630)</f>
        <v/>
      </c>
    </row>
    <row r="1631">
      <c r="A1631" s="60" t="n"/>
      <c r="B1631" s="63" t="n"/>
      <c r="C1631" s="63" t="n"/>
      <c r="D1631" s="67" t="n"/>
      <c r="E1631" s="68" t="n"/>
      <c r="F1631" s="69" t="n"/>
      <c r="G1631" s="70" t="n"/>
      <c r="H1631" s="62" t="str">
        <f>IF(COUNTA(A1631:G1631)=0,"",IF(C1631&lt;&gt;"",C1631,IF(B1631="","",IFERROR(INDEX(pr_des,MATCH(B1631,pr_code,0))&amp;"",""))))</f>
        <v/>
      </c>
      <c r="I1631" s="59" t="str">
        <f>IF(B1631="","",IFERROR(INDEX(pr_unit,MATCH(B1631,pr_code,0))&amp;"",""))</f>
        <v/>
      </c>
      <c r="J1631" s="65" t="str">
        <f>IF(COUNTA(A1631:G1631)=0,"",IF(E1631&lt;&gt;"",E1631,IF(B1631="","",IFERROR(IF(INDEX(pr_price,MATCH(B1631,pr_code,0))="","",INDEX(pr_price,MATCH(B1631,pr_code,0))),""))))</f>
        <v/>
      </c>
      <c r="K1631" s="71" t="str">
        <f>IF(COUNTA(A1631:G1631)=0,"",IF(G1631&lt;&gt;"",G1631,IF(B1631="","",IFERROR(IF(INDEX(pr_rate,MATCH(B1631,pr_code,0))="","",INDEX(pr_rate,MATCH(B1631,pr_code,0))),""))))</f>
        <v/>
      </c>
      <c r="L1631" s="65" t="str">
        <f>IF(COUNTA(A1631:G1631)=0,"",IF(AND(ISNUMBER(D1631),ISNUMBER(J1631)),ROUND(D1631*J1631*(1-N(F1631)),2),0))</f>
        <v/>
      </c>
      <c r="M1631" s="62" t="str">
        <f>IF(A1631="","",IFERROR(INDEX(dv_cname,MATCH(A1631,dv_num,0))&amp;"",""))</f>
        <v/>
      </c>
      <c r="N1631" s="59" t="str">
        <f>IF(COUNTA(A1631:G1631)=0,"",IF(A1631="","N° devis manquant",IF(ISNA(MATCH(A1631,dv_num,0)),"Devis inconnu",IF(AND(B1631&lt;&gt;"",ISNA(MATCH(B1631,pr_code,0))),"Article inconnu",IF(H1631="","Désignation manquante",IF(OR(NOT(ISNUMBER(D1631)),N(D1631)&lt;=0),"Quantité invalide",IF(J1631="","Prix manquant",IF(OR(NOT(ISNUMBER(J1631)),N(J1631)&lt;0),"Prix invalide",IF(OR(AND(F1631&lt;&gt;"",NOT(ISNUMBER(F1631))),N(F1631)&lt;0,N(F1631)&gt;1),"Remise invalide",IF(K1631="","Taux de TVA manquant",IF(NOT(ISNUMBER(K1631)),"Taux de TVA invalide",IF(COUNTIF(p_rates,K1631)=0,"Taux de TVA hors liste (Paramètres)",IF(N(O1631)&gt;25,"Au-delà de 25 lignes : non imprimée","OK")))))))))))))</f>
        <v/>
      </c>
      <c r="O1631" s="59" t="str">
        <f>IF(A1631="","",COUNTIF($A$6:A1631,A1631))</f>
        <v/>
      </c>
      <c r="P1631" s="62" t="str">
        <f>IF(A1631="","",A1631&amp;"|"&amp;O1631)</f>
        <v/>
      </c>
    </row>
    <row r="1632">
      <c r="A1632" s="60" t="n"/>
      <c r="B1632" s="63" t="n"/>
      <c r="C1632" s="63" t="n"/>
      <c r="D1632" s="67" t="n"/>
      <c r="E1632" s="68" t="n"/>
      <c r="F1632" s="69" t="n"/>
      <c r="G1632" s="70" t="n"/>
      <c r="H1632" s="62" t="str">
        <f>IF(COUNTA(A1632:G1632)=0,"",IF(C1632&lt;&gt;"",C1632,IF(B1632="","",IFERROR(INDEX(pr_des,MATCH(B1632,pr_code,0))&amp;"",""))))</f>
        <v/>
      </c>
      <c r="I1632" s="59" t="str">
        <f>IF(B1632="","",IFERROR(INDEX(pr_unit,MATCH(B1632,pr_code,0))&amp;"",""))</f>
        <v/>
      </c>
      <c r="J1632" s="65" t="str">
        <f>IF(COUNTA(A1632:G1632)=0,"",IF(E1632&lt;&gt;"",E1632,IF(B1632="","",IFERROR(IF(INDEX(pr_price,MATCH(B1632,pr_code,0))="","",INDEX(pr_price,MATCH(B1632,pr_code,0))),""))))</f>
        <v/>
      </c>
      <c r="K1632" s="71" t="str">
        <f>IF(COUNTA(A1632:G1632)=0,"",IF(G1632&lt;&gt;"",G1632,IF(B1632="","",IFERROR(IF(INDEX(pr_rate,MATCH(B1632,pr_code,0))="","",INDEX(pr_rate,MATCH(B1632,pr_code,0))),""))))</f>
        <v/>
      </c>
      <c r="L1632" s="65" t="str">
        <f>IF(COUNTA(A1632:G1632)=0,"",IF(AND(ISNUMBER(D1632),ISNUMBER(J1632)),ROUND(D1632*J1632*(1-N(F1632)),2),0))</f>
        <v/>
      </c>
      <c r="M1632" s="62" t="str">
        <f>IF(A1632="","",IFERROR(INDEX(dv_cname,MATCH(A1632,dv_num,0))&amp;"",""))</f>
        <v/>
      </c>
      <c r="N1632" s="59" t="str">
        <f>IF(COUNTA(A1632:G1632)=0,"",IF(A1632="","N° devis manquant",IF(ISNA(MATCH(A1632,dv_num,0)),"Devis inconnu",IF(AND(B1632&lt;&gt;"",ISNA(MATCH(B1632,pr_code,0))),"Article inconnu",IF(H1632="","Désignation manquante",IF(OR(NOT(ISNUMBER(D1632)),N(D1632)&lt;=0),"Quantité invalide",IF(J1632="","Prix manquant",IF(OR(NOT(ISNUMBER(J1632)),N(J1632)&lt;0),"Prix invalide",IF(OR(AND(F1632&lt;&gt;"",NOT(ISNUMBER(F1632))),N(F1632)&lt;0,N(F1632)&gt;1),"Remise invalide",IF(K1632="","Taux de TVA manquant",IF(NOT(ISNUMBER(K1632)),"Taux de TVA invalide",IF(COUNTIF(p_rates,K1632)=0,"Taux de TVA hors liste (Paramètres)",IF(N(O1632)&gt;25,"Au-delà de 25 lignes : non imprimée","OK")))))))))))))</f>
        <v/>
      </c>
      <c r="O1632" s="59" t="str">
        <f>IF(A1632="","",COUNTIF($A$6:A1632,A1632))</f>
        <v/>
      </c>
      <c r="P1632" s="62" t="str">
        <f>IF(A1632="","",A1632&amp;"|"&amp;O1632)</f>
        <v/>
      </c>
    </row>
    <row r="1633">
      <c r="A1633" s="60" t="n"/>
      <c r="B1633" s="63" t="n"/>
      <c r="C1633" s="63" t="n"/>
      <c r="D1633" s="67" t="n"/>
      <c r="E1633" s="68" t="n"/>
      <c r="F1633" s="69" t="n"/>
      <c r="G1633" s="70" t="n"/>
      <c r="H1633" s="62" t="str">
        <f>IF(COUNTA(A1633:G1633)=0,"",IF(C1633&lt;&gt;"",C1633,IF(B1633="","",IFERROR(INDEX(pr_des,MATCH(B1633,pr_code,0))&amp;"",""))))</f>
        <v/>
      </c>
      <c r="I1633" s="59" t="str">
        <f>IF(B1633="","",IFERROR(INDEX(pr_unit,MATCH(B1633,pr_code,0))&amp;"",""))</f>
        <v/>
      </c>
      <c r="J1633" s="65" t="str">
        <f>IF(COUNTA(A1633:G1633)=0,"",IF(E1633&lt;&gt;"",E1633,IF(B1633="","",IFERROR(IF(INDEX(pr_price,MATCH(B1633,pr_code,0))="","",INDEX(pr_price,MATCH(B1633,pr_code,0))),""))))</f>
        <v/>
      </c>
      <c r="K1633" s="71" t="str">
        <f>IF(COUNTA(A1633:G1633)=0,"",IF(G1633&lt;&gt;"",G1633,IF(B1633="","",IFERROR(IF(INDEX(pr_rate,MATCH(B1633,pr_code,0))="","",INDEX(pr_rate,MATCH(B1633,pr_code,0))),""))))</f>
        <v/>
      </c>
      <c r="L1633" s="65" t="str">
        <f>IF(COUNTA(A1633:G1633)=0,"",IF(AND(ISNUMBER(D1633),ISNUMBER(J1633)),ROUND(D1633*J1633*(1-N(F1633)),2),0))</f>
        <v/>
      </c>
      <c r="M1633" s="62" t="str">
        <f>IF(A1633="","",IFERROR(INDEX(dv_cname,MATCH(A1633,dv_num,0))&amp;"",""))</f>
        <v/>
      </c>
      <c r="N1633" s="59" t="str">
        <f>IF(COUNTA(A1633:G1633)=0,"",IF(A1633="","N° devis manquant",IF(ISNA(MATCH(A1633,dv_num,0)),"Devis inconnu",IF(AND(B1633&lt;&gt;"",ISNA(MATCH(B1633,pr_code,0))),"Article inconnu",IF(H1633="","Désignation manquante",IF(OR(NOT(ISNUMBER(D1633)),N(D1633)&lt;=0),"Quantité invalide",IF(J1633="","Prix manquant",IF(OR(NOT(ISNUMBER(J1633)),N(J1633)&lt;0),"Prix invalide",IF(OR(AND(F1633&lt;&gt;"",NOT(ISNUMBER(F1633))),N(F1633)&lt;0,N(F1633)&gt;1),"Remise invalide",IF(K1633="","Taux de TVA manquant",IF(NOT(ISNUMBER(K1633)),"Taux de TVA invalide",IF(COUNTIF(p_rates,K1633)=0,"Taux de TVA hors liste (Paramètres)",IF(N(O1633)&gt;25,"Au-delà de 25 lignes : non imprimée","OK")))))))))))))</f>
        <v/>
      </c>
      <c r="O1633" s="59" t="str">
        <f>IF(A1633="","",COUNTIF($A$6:A1633,A1633))</f>
        <v/>
      </c>
      <c r="P1633" s="62" t="str">
        <f>IF(A1633="","",A1633&amp;"|"&amp;O1633)</f>
        <v/>
      </c>
    </row>
    <row r="1634">
      <c r="A1634" s="60" t="n"/>
      <c r="B1634" s="63" t="n"/>
      <c r="C1634" s="63" t="n"/>
      <c r="D1634" s="67" t="n"/>
      <c r="E1634" s="68" t="n"/>
      <c r="F1634" s="69" t="n"/>
      <c r="G1634" s="70" t="n"/>
      <c r="H1634" s="62" t="str">
        <f>IF(COUNTA(A1634:G1634)=0,"",IF(C1634&lt;&gt;"",C1634,IF(B1634="","",IFERROR(INDEX(pr_des,MATCH(B1634,pr_code,0))&amp;"",""))))</f>
        <v/>
      </c>
      <c r="I1634" s="59" t="str">
        <f>IF(B1634="","",IFERROR(INDEX(pr_unit,MATCH(B1634,pr_code,0))&amp;"",""))</f>
        <v/>
      </c>
      <c r="J1634" s="65" t="str">
        <f>IF(COUNTA(A1634:G1634)=0,"",IF(E1634&lt;&gt;"",E1634,IF(B1634="","",IFERROR(IF(INDEX(pr_price,MATCH(B1634,pr_code,0))="","",INDEX(pr_price,MATCH(B1634,pr_code,0))),""))))</f>
        <v/>
      </c>
      <c r="K1634" s="71" t="str">
        <f>IF(COUNTA(A1634:G1634)=0,"",IF(G1634&lt;&gt;"",G1634,IF(B1634="","",IFERROR(IF(INDEX(pr_rate,MATCH(B1634,pr_code,0))="","",INDEX(pr_rate,MATCH(B1634,pr_code,0))),""))))</f>
        <v/>
      </c>
      <c r="L1634" s="65" t="str">
        <f>IF(COUNTA(A1634:G1634)=0,"",IF(AND(ISNUMBER(D1634),ISNUMBER(J1634)),ROUND(D1634*J1634*(1-N(F1634)),2),0))</f>
        <v/>
      </c>
      <c r="M1634" s="62" t="str">
        <f>IF(A1634="","",IFERROR(INDEX(dv_cname,MATCH(A1634,dv_num,0))&amp;"",""))</f>
        <v/>
      </c>
      <c r="N1634" s="59" t="str">
        <f>IF(COUNTA(A1634:G1634)=0,"",IF(A1634="","N° devis manquant",IF(ISNA(MATCH(A1634,dv_num,0)),"Devis inconnu",IF(AND(B1634&lt;&gt;"",ISNA(MATCH(B1634,pr_code,0))),"Article inconnu",IF(H1634="","Désignation manquante",IF(OR(NOT(ISNUMBER(D1634)),N(D1634)&lt;=0),"Quantité invalide",IF(J1634="","Prix manquant",IF(OR(NOT(ISNUMBER(J1634)),N(J1634)&lt;0),"Prix invalide",IF(OR(AND(F1634&lt;&gt;"",NOT(ISNUMBER(F1634))),N(F1634)&lt;0,N(F1634)&gt;1),"Remise invalide",IF(K1634="","Taux de TVA manquant",IF(NOT(ISNUMBER(K1634)),"Taux de TVA invalide",IF(COUNTIF(p_rates,K1634)=0,"Taux de TVA hors liste (Paramètres)",IF(N(O1634)&gt;25,"Au-delà de 25 lignes : non imprimée","OK")))))))))))))</f>
        <v/>
      </c>
      <c r="O1634" s="59" t="str">
        <f>IF(A1634="","",COUNTIF($A$6:A1634,A1634))</f>
        <v/>
      </c>
      <c r="P1634" s="62" t="str">
        <f>IF(A1634="","",A1634&amp;"|"&amp;O1634)</f>
        <v/>
      </c>
    </row>
    <row r="1635">
      <c r="A1635" s="60" t="n"/>
      <c r="B1635" s="63" t="n"/>
      <c r="C1635" s="63" t="n"/>
      <c r="D1635" s="67" t="n"/>
      <c r="E1635" s="68" t="n"/>
      <c r="F1635" s="69" t="n"/>
      <c r="G1635" s="70" t="n"/>
      <c r="H1635" s="62" t="str">
        <f>IF(COUNTA(A1635:G1635)=0,"",IF(C1635&lt;&gt;"",C1635,IF(B1635="","",IFERROR(INDEX(pr_des,MATCH(B1635,pr_code,0))&amp;"",""))))</f>
        <v/>
      </c>
      <c r="I1635" s="59" t="str">
        <f>IF(B1635="","",IFERROR(INDEX(pr_unit,MATCH(B1635,pr_code,0))&amp;"",""))</f>
        <v/>
      </c>
      <c r="J1635" s="65" t="str">
        <f>IF(COUNTA(A1635:G1635)=0,"",IF(E1635&lt;&gt;"",E1635,IF(B1635="","",IFERROR(IF(INDEX(pr_price,MATCH(B1635,pr_code,0))="","",INDEX(pr_price,MATCH(B1635,pr_code,0))),""))))</f>
        <v/>
      </c>
      <c r="K1635" s="71" t="str">
        <f>IF(COUNTA(A1635:G1635)=0,"",IF(G1635&lt;&gt;"",G1635,IF(B1635="","",IFERROR(IF(INDEX(pr_rate,MATCH(B1635,pr_code,0))="","",INDEX(pr_rate,MATCH(B1635,pr_code,0))),""))))</f>
        <v/>
      </c>
      <c r="L1635" s="65" t="str">
        <f>IF(COUNTA(A1635:G1635)=0,"",IF(AND(ISNUMBER(D1635),ISNUMBER(J1635)),ROUND(D1635*J1635*(1-N(F1635)),2),0))</f>
        <v/>
      </c>
      <c r="M1635" s="62" t="str">
        <f>IF(A1635="","",IFERROR(INDEX(dv_cname,MATCH(A1635,dv_num,0))&amp;"",""))</f>
        <v/>
      </c>
      <c r="N1635" s="59" t="str">
        <f>IF(COUNTA(A1635:G1635)=0,"",IF(A1635="","N° devis manquant",IF(ISNA(MATCH(A1635,dv_num,0)),"Devis inconnu",IF(AND(B1635&lt;&gt;"",ISNA(MATCH(B1635,pr_code,0))),"Article inconnu",IF(H1635="","Désignation manquante",IF(OR(NOT(ISNUMBER(D1635)),N(D1635)&lt;=0),"Quantité invalide",IF(J1635="","Prix manquant",IF(OR(NOT(ISNUMBER(J1635)),N(J1635)&lt;0),"Prix invalide",IF(OR(AND(F1635&lt;&gt;"",NOT(ISNUMBER(F1635))),N(F1635)&lt;0,N(F1635)&gt;1),"Remise invalide",IF(K1635="","Taux de TVA manquant",IF(NOT(ISNUMBER(K1635)),"Taux de TVA invalide",IF(COUNTIF(p_rates,K1635)=0,"Taux de TVA hors liste (Paramètres)",IF(N(O1635)&gt;25,"Au-delà de 25 lignes : non imprimée","OK")))))))))))))</f>
        <v/>
      </c>
      <c r="O1635" s="59" t="str">
        <f>IF(A1635="","",COUNTIF($A$6:A1635,A1635))</f>
        <v/>
      </c>
      <c r="P1635" s="62" t="str">
        <f>IF(A1635="","",A1635&amp;"|"&amp;O1635)</f>
        <v/>
      </c>
    </row>
    <row r="1636">
      <c r="A1636" s="60" t="n"/>
      <c r="B1636" s="63" t="n"/>
      <c r="C1636" s="63" t="n"/>
      <c r="D1636" s="67" t="n"/>
      <c r="E1636" s="68" t="n"/>
      <c r="F1636" s="69" t="n"/>
      <c r="G1636" s="70" t="n"/>
      <c r="H1636" s="62" t="str">
        <f>IF(COUNTA(A1636:G1636)=0,"",IF(C1636&lt;&gt;"",C1636,IF(B1636="","",IFERROR(INDEX(pr_des,MATCH(B1636,pr_code,0))&amp;"",""))))</f>
        <v/>
      </c>
      <c r="I1636" s="59" t="str">
        <f>IF(B1636="","",IFERROR(INDEX(pr_unit,MATCH(B1636,pr_code,0))&amp;"",""))</f>
        <v/>
      </c>
      <c r="J1636" s="65" t="str">
        <f>IF(COUNTA(A1636:G1636)=0,"",IF(E1636&lt;&gt;"",E1636,IF(B1636="","",IFERROR(IF(INDEX(pr_price,MATCH(B1636,pr_code,0))="","",INDEX(pr_price,MATCH(B1636,pr_code,0))),""))))</f>
        <v/>
      </c>
      <c r="K1636" s="71" t="str">
        <f>IF(COUNTA(A1636:G1636)=0,"",IF(G1636&lt;&gt;"",G1636,IF(B1636="","",IFERROR(IF(INDEX(pr_rate,MATCH(B1636,pr_code,0))="","",INDEX(pr_rate,MATCH(B1636,pr_code,0))),""))))</f>
        <v/>
      </c>
      <c r="L1636" s="65" t="str">
        <f>IF(COUNTA(A1636:G1636)=0,"",IF(AND(ISNUMBER(D1636),ISNUMBER(J1636)),ROUND(D1636*J1636*(1-N(F1636)),2),0))</f>
        <v/>
      </c>
      <c r="M1636" s="62" t="str">
        <f>IF(A1636="","",IFERROR(INDEX(dv_cname,MATCH(A1636,dv_num,0))&amp;"",""))</f>
        <v/>
      </c>
      <c r="N1636" s="59" t="str">
        <f>IF(COUNTA(A1636:G1636)=0,"",IF(A1636="","N° devis manquant",IF(ISNA(MATCH(A1636,dv_num,0)),"Devis inconnu",IF(AND(B1636&lt;&gt;"",ISNA(MATCH(B1636,pr_code,0))),"Article inconnu",IF(H1636="","Désignation manquante",IF(OR(NOT(ISNUMBER(D1636)),N(D1636)&lt;=0),"Quantité invalide",IF(J1636="","Prix manquant",IF(OR(NOT(ISNUMBER(J1636)),N(J1636)&lt;0),"Prix invalide",IF(OR(AND(F1636&lt;&gt;"",NOT(ISNUMBER(F1636))),N(F1636)&lt;0,N(F1636)&gt;1),"Remise invalide",IF(K1636="","Taux de TVA manquant",IF(NOT(ISNUMBER(K1636)),"Taux de TVA invalide",IF(COUNTIF(p_rates,K1636)=0,"Taux de TVA hors liste (Paramètres)",IF(N(O1636)&gt;25,"Au-delà de 25 lignes : non imprimée","OK")))))))))))))</f>
        <v/>
      </c>
      <c r="O1636" s="59" t="str">
        <f>IF(A1636="","",COUNTIF($A$6:A1636,A1636))</f>
        <v/>
      </c>
      <c r="P1636" s="62" t="str">
        <f>IF(A1636="","",A1636&amp;"|"&amp;O1636)</f>
        <v/>
      </c>
    </row>
    <row r="1637">
      <c r="A1637" s="60" t="n"/>
      <c r="B1637" s="63" t="n"/>
      <c r="C1637" s="63" t="n"/>
      <c r="D1637" s="67" t="n"/>
      <c r="E1637" s="68" t="n"/>
      <c r="F1637" s="69" t="n"/>
      <c r="G1637" s="70" t="n"/>
      <c r="H1637" s="62" t="str">
        <f>IF(COUNTA(A1637:G1637)=0,"",IF(C1637&lt;&gt;"",C1637,IF(B1637="","",IFERROR(INDEX(pr_des,MATCH(B1637,pr_code,0))&amp;"",""))))</f>
        <v/>
      </c>
      <c r="I1637" s="59" t="str">
        <f>IF(B1637="","",IFERROR(INDEX(pr_unit,MATCH(B1637,pr_code,0))&amp;"",""))</f>
        <v/>
      </c>
      <c r="J1637" s="65" t="str">
        <f>IF(COUNTA(A1637:G1637)=0,"",IF(E1637&lt;&gt;"",E1637,IF(B1637="","",IFERROR(IF(INDEX(pr_price,MATCH(B1637,pr_code,0))="","",INDEX(pr_price,MATCH(B1637,pr_code,0))),""))))</f>
        <v/>
      </c>
      <c r="K1637" s="71" t="str">
        <f>IF(COUNTA(A1637:G1637)=0,"",IF(G1637&lt;&gt;"",G1637,IF(B1637="","",IFERROR(IF(INDEX(pr_rate,MATCH(B1637,pr_code,0))="","",INDEX(pr_rate,MATCH(B1637,pr_code,0))),""))))</f>
        <v/>
      </c>
      <c r="L1637" s="65" t="str">
        <f>IF(COUNTA(A1637:G1637)=0,"",IF(AND(ISNUMBER(D1637),ISNUMBER(J1637)),ROUND(D1637*J1637*(1-N(F1637)),2),0))</f>
        <v/>
      </c>
      <c r="M1637" s="62" t="str">
        <f>IF(A1637="","",IFERROR(INDEX(dv_cname,MATCH(A1637,dv_num,0))&amp;"",""))</f>
        <v/>
      </c>
      <c r="N1637" s="59" t="str">
        <f>IF(COUNTA(A1637:G1637)=0,"",IF(A1637="","N° devis manquant",IF(ISNA(MATCH(A1637,dv_num,0)),"Devis inconnu",IF(AND(B1637&lt;&gt;"",ISNA(MATCH(B1637,pr_code,0))),"Article inconnu",IF(H1637="","Désignation manquante",IF(OR(NOT(ISNUMBER(D1637)),N(D1637)&lt;=0),"Quantité invalide",IF(J1637="","Prix manquant",IF(OR(NOT(ISNUMBER(J1637)),N(J1637)&lt;0),"Prix invalide",IF(OR(AND(F1637&lt;&gt;"",NOT(ISNUMBER(F1637))),N(F1637)&lt;0,N(F1637)&gt;1),"Remise invalide",IF(K1637="","Taux de TVA manquant",IF(NOT(ISNUMBER(K1637)),"Taux de TVA invalide",IF(COUNTIF(p_rates,K1637)=0,"Taux de TVA hors liste (Paramètres)",IF(N(O1637)&gt;25,"Au-delà de 25 lignes : non imprimée","OK")))))))))))))</f>
        <v/>
      </c>
      <c r="O1637" s="59" t="str">
        <f>IF(A1637="","",COUNTIF($A$6:A1637,A1637))</f>
        <v/>
      </c>
      <c r="P1637" s="62" t="str">
        <f>IF(A1637="","",A1637&amp;"|"&amp;O1637)</f>
        <v/>
      </c>
    </row>
    <row r="1638">
      <c r="A1638" s="60" t="n"/>
      <c r="B1638" s="63" t="n"/>
      <c r="C1638" s="63" t="n"/>
      <c r="D1638" s="67" t="n"/>
      <c r="E1638" s="68" t="n"/>
      <c r="F1638" s="69" t="n"/>
      <c r="G1638" s="70" t="n"/>
      <c r="H1638" s="62" t="str">
        <f>IF(COUNTA(A1638:G1638)=0,"",IF(C1638&lt;&gt;"",C1638,IF(B1638="","",IFERROR(INDEX(pr_des,MATCH(B1638,pr_code,0))&amp;"",""))))</f>
        <v/>
      </c>
      <c r="I1638" s="59" t="str">
        <f>IF(B1638="","",IFERROR(INDEX(pr_unit,MATCH(B1638,pr_code,0))&amp;"",""))</f>
        <v/>
      </c>
      <c r="J1638" s="65" t="str">
        <f>IF(COUNTA(A1638:G1638)=0,"",IF(E1638&lt;&gt;"",E1638,IF(B1638="","",IFERROR(IF(INDEX(pr_price,MATCH(B1638,pr_code,0))="","",INDEX(pr_price,MATCH(B1638,pr_code,0))),""))))</f>
        <v/>
      </c>
      <c r="K1638" s="71" t="str">
        <f>IF(COUNTA(A1638:G1638)=0,"",IF(G1638&lt;&gt;"",G1638,IF(B1638="","",IFERROR(IF(INDEX(pr_rate,MATCH(B1638,pr_code,0))="","",INDEX(pr_rate,MATCH(B1638,pr_code,0))),""))))</f>
        <v/>
      </c>
      <c r="L1638" s="65" t="str">
        <f>IF(COUNTA(A1638:G1638)=0,"",IF(AND(ISNUMBER(D1638),ISNUMBER(J1638)),ROUND(D1638*J1638*(1-N(F1638)),2),0))</f>
        <v/>
      </c>
      <c r="M1638" s="62" t="str">
        <f>IF(A1638="","",IFERROR(INDEX(dv_cname,MATCH(A1638,dv_num,0))&amp;"",""))</f>
        <v/>
      </c>
      <c r="N1638" s="59" t="str">
        <f>IF(COUNTA(A1638:G1638)=0,"",IF(A1638="","N° devis manquant",IF(ISNA(MATCH(A1638,dv_num,0)),"Devis inconnu",IF(AND(B1638&lt;&gt;"",ISNA(MATCH(B1638,pr_code,0))),"Article inconnu",IF(H1638="","Désignation manquante",IF(OR(NOT(ISNUMBER(D1638)),N(D1638)&lt;=0),"Quantité invalide",IF(J1638="","Prix manquant",IF(OR(NOT(ISNUMBER(J1638)),N(J1638)&lt;0),"Prix invalide",IF(OR(AND(F1638&lt;&gt;"",NOT(ISNUMBER(F1638))),N(F1638)&lt;0,N(F1638)&gt;1),"Remise invalide",IF(K1638="","Taux de TVA manquant",IF(NOT(ISNUMBER(K1638)),"Taux de TVA invalide",IF(COUNTIF(p_rates,K1638)=0,"Taux de TVA hors liste (Paramètres)",IF(N(O1638)&gt;25,"Au-delà de 25 lignes : non imprimée","OK")))))))))))))</f>
        <v/>
      </c>
      <c r="O1638" s="59" t="str">
        <f>IF(A1638="","",COUNTIF($A$6:A1638,A1638))</f>
        <v/>
      </c>
      <c r="P1638" s="62" t="str">
        <f>IF(A1638="","",A1638&amp;"|"&amp;O1638)</f>
        <v/>
      </c>
    </row>
    <row r="1639">
      <c r="A1639" s="60" t="n"/>
      <c r="B1639" s="63" t="n"/>
      <c r="C1639" s="63" t="n"/>
      <c r="D1639" s="67" t="n"/>
      <c r="E1639" s="68" t="n"/>
      <c r="F1639" s="69" t="n"/>
      <c r="G1639" s="70" t="n"/>
      <c r="H1639" s="62" t="str">
        <f>IF(COUNTA(A1639:G1639)=0,"",IF(C1639&lt;&gt;"",C1639,IF(B1639="","",IFERROR(INDEX(pr_des,MATCH(B1639,pr_code,0))&amp;"",""))))</f>
        <v/>
      </c>
      <c r="I1639" s="59" t="str">
        <f>IF(B1639="","",IFERROR(INDEX(pr_unit,MATCH(B1639,pr_code,0))&amp;"",""))</f>
        <v/>
      </c>
      <c r="J1639" s="65" t="str">
        <f>IF(COUNTA(A1639:G1639)=0,"",IF(E1639&lt;&gt;"",E1639,IF(B1639="","",IFERROR(IF(INDEX(pr_price,MATCH(B1639,pr_code,0))="","",INDEX(pr_price,MATCH(B1639,pr_code,0))),""))))</f>
        <v/>
      </c>
      <c r="K1639" s="71" t="str">
        <f>IF(COUNTA(A1639:G1639)=0,"",IF(G1639&lt;&gt;"",G1639,IF(B1639="","",IFERROR(IF(INDEX(pr_rate,MATCH(B1639,pr_code,0))="","",INDEX(pr_rate,MATCH(B1639,pr_code,0))),""))))</f>
        <v/>
      </c>
      <c r="L1639" s="65" t="str">
        <f>IF(COUNTA(A1639:G1639)=0,"",IF(AND(ISNUMBER(D1639),ISNUMBER(J1639)),ROUND(D1639*J1639*(1-N(F1639)),2),0))</f>
        <v/>
      </c>
      <c r="M1639" s="62" t="str">
        <f>IF(A1639="","",IFERROR(INDEX(dv_cname,MATCH(A1639,dv_num,0))&amp;"",""))</f>
        <v/>
      </c>
      <c r="N1639" s="59" t="str">
        <f>IF(COUNTA(A1639:G1639)=0,"",IF(A1639="","N° devis manquant",IF(ISNA(MATCH(A1639,dv_num,0)),"Devis inconnu",IF(AND(B1639&lt;&gt;"",ISNA(MATCH(B1639,pr_code,0))),"Article inconnu",IF(H1639="","Désignation manquante",IF(OR(NOT(ISNUMBER(D1639)),N(D1639)&lt;=0),"Quantité invalide",IF(J1639="","Prix manquant",IF(OR(NOT(ISNUMBER(J1639)),N(J1639)&lt;0),"Prix invalide",IF(OR(AND(F1639&lt;&gt;"",NOT(ISNUMBER(F1639))),N(F1639)&lt;0,N(F1639)&gt;1),"Remise invalide",IF(K1639="","Taux de TVA manquant",IF(NOT(ISNUMBER(K1639)),"Taux de TVA invalide",IF(COUNTIF(p_rates,K1639)=0,"Taux de TVA hors liste (Paramètres)",IF(N(O1639)&gt;25,"Au-delà de 25 lignes : non imprimée","OK")))))))))))))</f>
        <v/>
      </c>
      <c r="O1639" s="59" t="str">
        <f>IF(A1639="","",COUNTIF($A$6:A1639,A1639))</f>
        <v/>
      </c>
      <c r="P1639" s="62" t="str">
        <f>IF(A1639="","",A1639&amp;"|"&amp;O1639)</f>
        <v/>
      </c>
    </row>
    <row r="1640">
      <c r="A1640" s="60" t="n"/>
      <c r="B1640" s="63" t="n"/>
      <c r="C1640" s="63" t="n"/>
      <c r="D1640" s="67" t="n"/>
      <c r="E1640" s="68" t="n"/>
      <c r="F1640" s="69" t="n"/>
      <c r="G1640" s="70" t="n"/>
      <c r="H1640" s="62" t="str">
        <f>IF(COUNTA(A1640:G1640)=0,"",IF(C1640&lt;&gt;"",C1640,IF(B1640="","",IFERROR(INDEX(pr_des,MATCH(B1640,pr_code,0))&amp;"",""))))</f>
        <v/>
      </c>
      <c r="I1640" s="59" t="str">
        <f>IF(B1640="","",IFERROR(INDEX(pr_unit,MATCH(B1640,pr_code,0))&amp;"",""))</f>
        <v/>
      </c>
      <c r="J1640" s="65" t="str">
        <f>IF(COUNTA(A1640:G1640)=0,"",IF(E1640&lt;&gt;"",E1640,IF(B1640="","",IFERROR(IF(INDEX(pr_price,MATCH(B1640,pr_code,0))="","",INDEX(pr_price,MATCH(B1640,pr_code,0))),""))))</f>
        <v/>
      </c>
      <c r="K1640" s="71" t="str">
        <f>IF(COUNTA(A1640:G1640)=0,"",IF(G1640&lt;&gt;"",G1640,IF(B1640="","",IFERROR(IF(INDEX(pr_rate,MATCH(B1640,pr_code,0))="","",INDEX(pr_rate,MATCH(B1640,pr_code,0))),""))))</f>
        <v/>
      </c>
      <c r="L1640" s="65" t="str">
        <f>IF(COUNTA(A1640:G1640)=0,"",IF(AND(ISNUMBER(D1640),ISNUMBER(J1640)),ROUND(D1640*J1640*(1-N(F1640)),2),0))</f>
        <v/>
      </c>
      <c r="M1640" s="62" t="str">
        <f>IF(A1640="","",IFERROR(INDEX(dv_cname,MATCH(A1640,dv_num,0))&amp;"",""))</f>
        <v/>
      </c>
      <c r="N1640" s="59" t="str">
        <f>IF(COUNTA(A1640:G1640)=0,"",IF(A1640="","N° devis manquant",IF(ISNA(MATCH(A1640,dv_num,0)),"Devis inconnu",IF(AND(B1640&lt;&gt;"",ISNA(MATCH(B1640,pr_code,0))),"Article inconnu",IF(H1640="","Désignation manquante",IF(OR(NOT(ISNUMBER(D1640)),N(D1640)&lt;=0),"Quantité invalide",IF(J1640="","Prix manquant",IF(OR(NOT(ISNUMBER(J1640)),N(J1640)&lt;0),"Prix invalide",IF(OR(AND(F1640&lt;&gt;"",NOT(ISNUMBER(F1640))),N(F1640)&lt;0,N(F1640)&gt;1),"Remise invalide",IF(K1640="","Taux de TVA manquant",IF(NOT(ISNUMBER(K1640)),"Taux de TVA invalide",IF(COUNTIF(p_rates,K1640)=0,"Taux de TVA hors liste (Paramètres)",IF(N(O1640)&gt;25,"Au-delà de 25 lignes : non imprimée","OK")))))))))))))</f>
        <v/>
      </c>
      <c r="O1640" s="59" t="str">
        <f>IF(A1640="","",COUNTIF($A$6:A1640,A1640))</f>
        <v/>
      </c>
      <c r="P1640" s="62" t="str">
        <f>IF(A1640="","",A1640&amp;"|"&amp;O1640)</f>
        <v/>
      </c>
    </row>
    <row r="1641">
      <c r="A1641" s="60" t="n"/>
      <c r="B1641" s="63" t="n"/>
      <c r="C1641" s="63" t="n"/>
      <c r="D1641" s="67" t="n"/>
      <c r="E1641" s="68" t="n"/>
      <c r="F1641" s="69" t="n"/>
      <c r="G1641" s="70" t="n"/>
      <c r="H1641" s="62" t="str">
        <f>IF(COUNTA(A1641:G1641)=0,"",IF(C1641&lt;&gt;"",C1641,IF(B1641="","",IFERROR(INDEX(pr_des,MATCH(B1641,pr_code,0))&amp;"",""))))</f>
        <v/>
      </c>
      <c r="I1641" s="59" t="str">
        <f>IF(B1641="","",IFERROR(INDEX(pr_unit,MATCH(B1641,pr_code,0))&amp;"",""))</f>
        <v/>
      </c>
      <c r="J1641" s="65" t="str">
        <f>IF(COUNTA(A1641:G1641)=0,"",IF(E1641&lt;&gt;"",E1641,IF(B1641="","",IFERROR(IF(INDEX(pr_price,MATCH(B1641,pr_code,0))="","",INDEX(pr_price,MATCH(B1641,pr_code,0))),""))))</f>
        <v/>
      </c>
      <c r="K1641" s="71" t="str">
        <f>IF(COUNTA(A1641:G1641)=0,"",IF(G1641&lt;&gt;"",G1641,IF(B1641="","",IFERROR(IF(INDEX(pr_rate,MATCH(B1641,pr_code,0))="","",INDEX(pr_rate,MATCH(B1641,pr_code,0))),""))))</f>
        <v/>
      </c>
      <c r="L1641" s="65" t="str">
        <f>IF(COUNTA(A1641:G1641)=0,"",IF(AND(ISNUMBER(D1641),ISNUMBER(J1641)),ROUND(D1641*J1641*(1-N(F1641)),2),0))</f>
        <v/>
      </c>
      <c r="M1641" s="62" t="str">
        <f>IF(A1641="","",IFERROR(INDEX(dv_cname,MATCH(A1641,dv_num,0))&amp;"",""))</f>
        <v/>
      </c>
      <c r="N1641" s="59" t="str">
        <f>IF(COUNTA(A1641:G1641)=0,"",IF(A1641="","N° devis manquant",IF(ISNA(MATCH(A1641,dv_num,0)),"Devis inconnu",IF(AND(B1641&lt;&gt;"",ISNA(MATCH(B1641,pr_code,0))),"Article inconnu",IF(H1641="","Désignation manquante",IF(OR(NOT(ISNUMBER(D1641)),N(D1641)&lt;=0),"Quantité invalide",IF(J1641="","Prix manquant",IF(OR(NOT(ISNUMBER(J1641)),N(J1641)&lt;0),"Prix invalide",IF(OR(AND(F1641&lt;&gt;"",NOT(ISNUMBER(F1641))),N(F1641)&lt;0,N(F1641)&gt;1),"Remise invalide",IF(K1641="","Taux de TVA manquant",IF(NOT(ISNUMBER(K1641)),"Taux de TVA invalide",IF(COUNTIF(p_rates,K1641)=0,"Taux de TVA hors liste (Paramètres)",IF(N(O1641)&gt;25,"Au-delà de 25 lignes : non imprimée","OK")))))))))))))</f>
        <v/>
      </c>
      <c r="O1641" s="59" t="str">
        <f>IF(A1641="","",COUNTIF($A$6:A1641,A1641))</f>
        <v/>
      </c>
      <c r="P1641" s="62" t="str">
        <f>IF(A1641="","",A1641&amp;"|"&amp;O1641)</f>
        <v/>
      </c>
    </row>
    <row r="1642">
      <c r="A1642" s="60" t="n"/>
      <c r="B1642" s="63" t="n"/>
      <c r="C1642" s="63" t="n"/>
      <c r="D1642" s="67" t="n"/>
      <c r="E1642" s="68" t="n"/>
      <c r="F1642" s="69" t="n"/>
      <c r="G1642" s="70" t="n"/>
      <c r="H1642" s="62" t="str">
        <f>IF(COUNTA(A1642:G1642)=0,"",IF(C1642&lt;&gt;"",C1642,IF(B1642="","",IFERROR(INDEX(pr_des,MATCH(B1642,pr_code,0))&amp;"",""))))</f>
        <v/>
      </c>
      <c r="I1642" s="59" t="str">
        <f>IF(B1642="","",IFERROR(INDEX(pr_unit,MATCH(B1642,pr_code,0))&amp;"",""))</f>
        <v/>
      </c>
      <c r="J1642" s="65" t="str">
        <f>IF(COUNTA(A1642:G1642)=0,"",IF(E1642&lt;&gt;"",E1642,IF(B1642="","",IFERROR(IF(INDEX(pr_price,MATCH(B1642,pr_code,0))="","",INDEX(pr_price,MATCH(B1642,pr_code,0))),""))))</f>
        <v/>
      </c>
      <c r="K1642" s="71" t="str">
        <f>IF(COUNTA(A1642:G1642)=0,"",IF(G1642&lt;&gt;"",G1642,IF(B1642="","",IFERROR(IF(INDEX(pr_rate,MATCH(B1642,pr_code,0))="","",INDEX(pr_rate,MATCH(B1642,pr_code,0))),""))))</f>
        <v/>
      </c>
      <c r="L1642" s="65" t="str">
        <f>IF(COUNTA(A1642:G1642)=0,"",IF(AND(ISNUMBER(D1642),ISNUMBER(J1642)),ROUND(D1642*J1642*(1-N(F1642)),2),0))</f>
        <v/>
      </c>
      <c r="M1642" s="62" t="str">
        <f>IF(A1642="","",IFERROR(INDEX(dv_cname,MATCH(A1642,dv_num,0))&amp;"",""))</f>
        <v/>
      </c>
      <c r="N1642" s="59" t="str">
        <f>IF(COUNTA(A1642:G1642)=0,"",IF(A1642="","N° devis manquant",IF(ISNA(MATCH(A1642,dv_num,0)),"Devis inconnu",IF(AND(B1642&lt;&gt;"",ISNA(MATCH(B1642,pr_code,0))),"Article inconnu",IF(H1642="","Désignation manquante",IF(OR(NOT(ISNUMBER(D1642)),N(D1642)&lt;=0),"Quantité invalide",IF(J1642="","Prix manquant",IF(OR(NOT(ISNUMBER(J1642)),N(J1642)&lt;0),"Prix invalide",IF(OR(AND(F1642&lt;&gt;"",NOT(ISNUMBER(F1642))),N(F1642)&lt;0,N(F1642)&gt;1),"Remise invalide",IF(K1642="","Taux de TVA manquant",IF(NOT(ISNUMBER(K1642)),"Taux de TVA invalide",IF(COUNTIF(p_rates,K1642)=0,"Taux de TVA hors liste (Paramètres)",IF(N(O1642)&gt;25,"Au-delà de 25 lignes : non imprimée","OK")))))))))))))</f>
        <v/>
      </c>
      <c r="O1642" s="59" t="str">
        <f>IF(A1642="","",COUNTIF($A$6:A1642,A1642))</f>
        <v/>
      </c>
      <c r="P1642" s="62" t="str">
        <f>IF(A1642="","",A1642&amp;"|"&amp;O1642)</f>
        <v/>
      </c>
    </row>
    <row r="1643">
      <c r="A1643" s="60" t="n"/>
      <c r="B1643" s="63" t="n"/>
      <c r="C1643" s="63" t="n"/>
      <c r="D1643" s="67" t="n"/>
      <c r="E1643" s="68" t="n"/>
      <c r="F1643" s="69" t="n"/>
      <c r="G1643" s="70" t="n"/>
      <c r="H1643" s="62" t="str">
        <f>IF(COUNTA(A1643:G1643)=0,"",IF(C1643&lt;&gt;"",C1643,IF(B1643="","",IFERROR(INDEX(pr_des,MATCH(B1643,pr_code,0))&amp;"",""))))</f>
        <v/>
      </c>
      <c r="I1643" s="59" t="str">
        <f>IF(B1643="","",IFERROR(INDEX(pr_unit,MATCH(B1643,pr_code,0))&amp;"",""))</f>
        <v/>
      </c>
      <c r="J1643" s="65" t="str">
        <f>IF(COUNTA(A1643:G1643)=0,"",IF(E1643&lt;&gt;"",E1643,IF(B1643="","",IFERROR(IF(INDEX(pr_price,MATCH(B1643,pr_code,0))="","",INDEX(pr_price,MATCH(B1643,pr_code,0))),""))))</f>
        <v/>
      </c>
      <c r="K1643" s="71" t="str">
        <f>IF(COUNTA(A1643:G1643)=0,"",IF(G1643&lt;&gt;"",G1643,IF(B1643="","",IFERROR(IF(INDEX(pr_rate,MATCH(B1643,pr_code,0))="","",INDEX(pr_rate,MATCH(B1643,pr_code,0))),""))))</f>
        <v/>
      </c>
      <c r="L1643" s="65" t="str">
        <f>IF(COUNTA(A1643:G1643)=0,"",IF(AND(ISNUMBER(D1643),ISNUMBER(J1643)),ROUND(D1643*J1643*(1-N(F1643)),2),0))</f>
        <v/>
      </c>
      <c r="M1643" s="62" t="str">
        <f>IF(A1643="","",IFERROR(INDEX(dv_cname,MATCH(A1643,dv_num,0))&amp;"",""))</f>
        <v/>
      </c>
      <c r="N1643" s="59" t="str">
        <f>IF(COUNTA(A1643:G1643)=0,"",IF(A1643="","N° devis manquant",IF(ISNA(MATCH(A1643,dv_num,0)),"Devis inconnu",IF(AND(B1643&lt;&gt;"",ISNA(MATCH(B1643,pr_code,0))),"Article inconnu",IF(H1643="","Désignation manquante",IF(OR(NOT(ISNUMBER(D1643)),N(D1643)&lt;=0),"Quantité invalide",IF(J1643="","Prix manquant",IF(OR(NOT(ISNUMBER(J1643)),N(J1643)&lt;0),"Prix invalide",IF(OR(AND(F1643&lt;&gt;"",NOT(ISNUMBER(F1643))),N(F1643)&lt;0,N(F1643)&gt;1),"Remise invalide",IF(K1643="","Taux de TVA manquant",IF(NOT(ISNUMBER(K1643)),"Taux de TVA invalide",IF(COUNTIF(p_rates,K1643)=0,"Taux de TVA hors liste (Paramètres)",IF(N(O1643)&gt;25,"Au-delà de 25 lignes : non imprimée","OK")))))))))))))</f>
        <v/>
      </c>
      <c r="O1643" s="59" t="str">
        <f>IF(A1643="","",COUNTIF($A$6:A1643,A1643))</f>
        <v/>
      </c>
      <c r="P1643" s="62" t="str">
        <f>IF(A1643="","",A1643&amp;"|"&amp;O1643)</f>
        <v/>
      </c>
    </row>
    <row r="1644">
      <c r="A1644" s="60" t="n"/>
      <c r="B1644" s="63" t="n"/>
      <c r="C1644" s="63" t="n"/>
      <c r="D1644" s="67" t="n"/>
      <c r="E1644" s="68" t="n"/>
      <c r="F1644" s="69" t="n"/>
      <c r="G1644" s="70" t="n"/>
      <c r="H1644" s="62" t="str">
        <f>IF(COUNTA(A1644:G1644)=0,"",IF(C1644&lt;&gt;"",C1644,IF(B1644="","",IFERROR(INDEX(pr_des,MATCH(B1644,pr_code,0))&amp;"",""))))</f>
        <v/>
      </c>
      <c r="I1644" s="59" t="str">
        <f>IF(B1644="","",IFERROR(INDEX(pr_unit,MATCH(B1644,pr_code,0))&amp;"",""))</f>
        <v/>
      </c>
      <c r="J1644" s="65" t="str">
        <f>IF(COUNTA(A1644:G1644)=0,"",IF(E1644&lt;&gt;"",E1644,IF(B1644="","",IFERROR(IF(INDEX(pr_price,MATCH(B1644,pr_code,0))="","",INDEX(pr_price,MATCH(B1644,pr_code,0))),""))))</f>
        <v/>
      </c>
      <c r="K1644" s="71" t="str">
        <f>IF(COUNTA(A1644:G1644)=0,"",IF(G1644&lt;&gt;"",G1644,IF(B1644="","",IFERROR(IF(INDEX(pr_rate,MATCH(B1644,pr_code,0))="","",INDEX(pr_rate,MATCH(B1644,pr_code,0))),""))))</f>
        <v/>
      </c>
      <c r="L1644" s="65" t="str">
        <f>IF(COUNTA(A1644:G1644)=0,"",IF(AND(ISNUMBER(D1644),ISNUMBER(J1644)),ROUND(D1644*J1644*(1-N(F1644)),2),0))</f>
        <v/>
      </c>
      <c r="M1644" s="62" t="str">
        <f>IF(A1644="","",IFERROR(INDEX(dv_cname,MATCH(A1644,dv_num,0))&amp;"",""))</f>
        <v/>
      </c>
      <c r="N1644" s="59" t="str">
        <f>IF(COUNTA(A1644:G1644)=0,"",IF(A1644="","N° devis manquant",IF(ISNA(MATCH(A1644,dv_num,0)),"Devis inconnu",IF(AND(B1644&lt;&gt;"",ISNA(MATCH(B1644,pr_code,0))),"Article inconnu",IF(H1644="","Désignation manquante",IF(OR(NOT(ISNUMBER(D1644)),N(D1644)&lt;=0),"Quantité invalide",IF(J1644="","Prix manquant",IF(OR(NOT(ISNUMBER(J1644)),N(J1644)&lt;0),"Prix invalide",IF(OR(AND(F1644&lt;&gt;"",NOT(ISNUMBER(F1644))),N(F1644)&lt;0,N(F1644)&gt;1),"Remise invalide",IF(K1644="","Taux de TVA manquant",IF(NOT(ISNUMBER(K1644)),"Taux de TVA invalide",IF(COUNTIF(p_rates,K1644)=0,"Taux de TVA hors liste (Paramètres)",IF(N(O1644)&gt;25,"Au-delà de 25 lignes : non imprimée","OK")))))))))))))</f>
        <v/>
      </c>
      <c r="O1644" s="59" t="str">
        <f>IF(A1644="","",COUNTIF($A$6:A1644,A1644))</f>
        <v/>
      </c>
      <c r="P1644" s="62" t="str">
        <f>IF(A1644="","",A1644&amp;"|"&amp;O1644)</f>
        <v/>
      </c>
    </row>
    <row r="1645">
      <c r="A1645" s="60" t="n"/>
      <c r="B1645" s="63" t="n"/>
      <c r="C1645" s="63" t="n"/>
      <c r="D1645" s="67" t="n"/>
      <c r="E1645" s="68" t="n"/>
      <c r="F1645" s="69" t="n"/>
      <c r="G1645" s="70" t="n"/>
      <c r="H1645" s="62" t="str">
        <f>IF(COUNTA(A1645:G1645)=0,"",IF(C1645&lt;&gt;"",C1645,IF(B1645="","",IFERROR(INDEX(pr_des,MATCH(B1645,pr_code,0))&amp;"",""))))</f>
        <v/>
      </c>
      <c r="I1645" s="59" t="str">
        <f>IF(B1645="","",IFERROR(INDEX(pr_unit,MATCH(B1645,pr_code,0))&amp;"",""))</f>
        <v/>
      </c>
      <c r="J1645" s="65" t="str">
        <f>IF(COUNTA(A1645:G1645)=0,"",IF(E1645&lt;&gt;"",E1645,IF(B1645="","",IFERROR(IF(INDEX(pr_price,MATCH(B1645,pr_code,0))="","",INDEX(pr_price,MATCH(B1645,pr_code,0))),""))))</f>
        <v/>
      </c>
      <c r="K1645" s="71" t="str">
        <f>IF(COUNTA(A1645:G1645)=0,"",IF(G1645&lt;&gt;"",G1645,IF(B1645="","",IFERROR(IF(INDEX(pr_rate,MATCH(B1645,pr_code,0))="","",INDEX(pr_rate,MATCH(B1645,pr_code,0))),""))))</f>
        <v/>
      </c>
      <c r="L1645" s="65" t="str">
        <f>IF(COUNTA(A1645:G1645)=0,"",IF(AND(ISNUMBER(D1645),ISNUMBER(J1645)),ROUND(D1645*J1645*(1-N(F1645)),2),0))</f>
        <v/>
      </c>
      <c r="M1645" s="62" t="str">
        <f>IF(A1645="","",IFERROR(INDEX(dv_cname,MATCH(A1645,dv_num,0))&amp;"",""))</f>
        <v/>
      </c>
      <c r="N1645" s="59" t="str">
        <f>IF(COUNTA(A1645:G1645)=0,"",IF(A1645="","N° devis manquant",IF(ISNA(MATCH(A1645,dv_num,0)),"Devis inconnu",IF(AND(B1645&lt;&gt;"",ISNA(MATCH(B1645,pr_code,0))),"Article inconnu",IF(H1645="","Désignation manquante",IF(OR(NOT(ISNUMBER(D1645)),N(D1645)&lt;=0),"Quantité invalide",IF(J1645="","Prix manquant",IF(OR(NOT(ISNUMBER(J1645)),N(J1645)&lt;0),"Prix invalide",IF(OR(AND(F1645&lt;&gt;"",NOT(ISNUMBER(F1645))),N(F1645)&lt;0,N(F1645)&gt;1),"Remise invalide",IF(K1645="","Taux de TVA manquant",IF(NOT(ISNUMBER(K1645)),"Taux de TVA invalide",IF(COUNTIF(p_rates,K1645)=0,"Taux de TVA hors liste (Paramètres)",IF(N(O1645)&gt;25,"Au-delà de 25 lignes : non imprimée","OK")))))))))))))</f>
        <v/>
      </c>
      <c r="O1645" s="59" t="str">
        <f>IF(A1645="","",COUNTIF($A$6:A1645,A1645))</f>
        <v/>
      </c>
      <c r="P1645" s="62" t="str">
        <f>IF(A1645="","",A1645&amp;"|"&amp;O1645)</f>
        <v/>
      </c>
    </row>
    <row r="1646">
      <c r="A1646" s="60" t="n"/>
      <c r="B1646" s="63" t="n"/>
      <c r="C1646" s="63" t="n"/>
      <c r="D1646" s="67" t="n"/>
      <c r="E1646" s="68" t="n"/>
      <c r="F1646" s="69" t="n"/>
      <c r="G1646" s="70" t="n"/>
      <c r="H1646" s="62" t="str">
        <f>IF(COUNTA(A1646:G1646)=0,"",IF(C1646&lt;&gt;"",C1646,IF(B1646="","",IFERROR(INDEX(pr_des,MATCH(B1646,pr_code,0))&amp;"",""))))</f>
        <v/>
      </c>
      <c r="I1646" s="59" t="str">
        <f>IF(B1646="","",IFERROR(INDEX(pr_unit,MATCH(B1646,pr_code,0))&amp;"",""))</f>
        <v/>
      </c>
      <c r="J1646" s="65" t="str">
        <f>IF(COUNTA(A1646:G1646)=0,"",IF(E1646&lt;&gt;"",E1646,IF(B1646="","",IFERROR(IF(INDEX(pr_price,MATCH(B1646,pr_code,0))="","",INDEX(pr_price,MATCH(B1646,pr_code,0))),""))))</f>
        <v/>
      </c>
      <c r="K1646" s="71" t="str">
        <f>IF(COUNTA(A1646:G1646)=0,"",IF(G1646&lt;&gt;"",G1646,IF(B1646="","",IFERROR(IF(INDEX(pr_rate,MATCH(B1646,pr_code,0))="","",INDEX(pr_rate,MATCH(B1646,pr_code,0))),""))))</f>
        <v/>
      </c>
      <c r="L1646" s="65" t="str">
        <f>IF(COUNTA(A1646:G1646)=0,"",IF(AND(ISNUMBER(D1646),ISNUMBER(J1646)),ROUND(D1646*J1646*(1-N(F1646)),2),0))</f>
        <v/>
      </c>
      <c r="M1646" s="62" t="str">
        <f>IF(A1646="","",IFERROR(INDEX(dv_cname,MATCH(A1646,dv_num,0))&amp;"",""))</f>
        <v/>
      </c>
      <c r="N1646" s="59" t="str">
        <f>IF(COUNTA(A1646:G1646)=0,"",IF(A1646="","N° devis manquant",IF(ISNA(MATCH(A1646,dv_num,0)),"Devis inconnu",IF(AND(B1646&lt;&gt;"",ISNA(MATCH(B1646,pr_code,0))),"Article inconnu",IF(H1646="","Désignation manquante",IF(OR(NOT(ISNUMBER(D1646)),N(D1646)&lt;=0),"Quantité invalide",IF(J1646="","Prix manquant",IF(OR(NOT(ISNUMBER(J1646)),N(J1646)&lt;0),"Prix invalide",IF(OR(AND(F1646&lt;&gt;"",NOT(ISNUMBER(F1646))),N(F1646)&lt;0,N(F1646)&gt;1),"Remise invalide",IF(K1646="","Taux de TVA manquant",IF(NOT(ISNUMBER(K1646)),"Taux de TVA invalide",IF(COUNTIF(p_rates,K1646)=0,"Taux de TVA hors liste (Paramètres)",IF(N(O1646)&gt;25,"Au-delà de 25 lignes : non imprimée","OK")))))))))))))</f>
        <v/>
      </c>
      <c r="O1646" s="59" t="str">
        <f>IF(A1646="","",COUNTIF($A$6:A1646,A1646))</f>
        <v/>
      </c>
      <c r="P1646" s="62" t="str">
        <f>IF(A1646="","",A1646&amp;"|"&amp;O1646)</f>
        <v/>
      </c>
    </row>
    <row r="1647">
      <c r="A1647" s="60" t="n"/>
      <c r="B1647" s="63" t="n"/>
      <c r="C1647" s="63" t="n"/>
      <c r="D1647" s="67" t="n"/>
      <c r="E1647" s="68" t="n"/>
      <c r="F1647" s="69" t="n"/>
      <c r="G1647" s="70" t="n"/>
      <c r="H1647" s="62" t="str">
        <f>IF(COUNTA(A1647:G1647)=0,"",IF(C1647&lt;&gt;"",C1647,IF(B1647="","",IFERROR(INDEX(pr_des,MATCH(B1647,pr_code,0))&amp;"",""))))</f>
        <v/>
      </c>
      <c r="I1647" s="59" t="str">
        <f>IF(B1647="","",IFERROR(INDEX(pr_unit,MATCH(B1647,pr_code,0))&amp;"",""))</f>
        <v/>
      </c>
      <c r="J1647" s="65" t="str">
        <f>IF(COUNTA(A1647:G1647)=0,"",IF(E1647&lt;&gt;"",E1647,IF(B1647="","",IFERROR(IF(INDEX(pr_price,MATCH(B1647,pr_code,0))="","",INDEX(pr_price,MATCH(B1647,pr_code,0))),""))))</f>
        <v/>
      </c>
      <c r="K1647" s="71" t="str">
        <f>IF(COUNTA(A1647:G1647)=0,"",IF(G1647&lt;&gt;"",G1647,IF(B1647="","",IFERROR(IF(INDEX(pr_rate,MATCH(B1647,pr_code,0))="","",INDEX(pr_rate,MATCH(B1647,pr_code,0))),""))))</f>
        <v/>
      </c>
      <c r="L1647" s="65" t="str">
        <f>IF(COUNTA(A1647:G1647)=0,"",IF(AND(ISNUMBER(D1647),ISNUMBER(J1647)),ROUND(D1647*J1647*(1-N(F1647)),2),0))</f>
        <v/>
      </c>
      <c r="M1647" s="62" t="str">
        <f>IF(A1647="","",IFERROR(INDEX(dv_cname,MATCH(A1647,dv_num,0))&amp;"",""))</f>
        <v/>
      </c>
      <c r="N1647" s="59" t="str">
        <f>IF(COUNTA(A1647:G1647)=0,"",IF(A1647="","N° devis manquant",IF(ISNA(MATCH(A1647,dv_num,0)),"Devis inconnu",IF(AND(B1647&lt;&gt;"",ISNA(MATCH(B1647,pr_code,0))),"Article inconnu",IF(H1647="","Désignation manquante",IF(OR(NOT(ISNUMBER(D1647)),N(D1647)&lt;=0),"Quantité invalide",IF(J1647="","Prix manquant",IF(OR(NOT(ISNUMBER(J1647)),N(J1647)&lt;0),"Prix invalide",IF(OR(AND(F1647&lt;&gt;"",NOT(ISNUMBER(F1647))),N(F1647)&lt;0,N(F1647)&gt;1),"Remise invalide",IF(K1647="","Taux de TVA manquant",IF(NOT(ISNUMBER(K1647)),"Taux de TVA invalide",IF(COUNTIF(p_rates,K1647)=0,"Taux de TVA hors liste (Paramètres)",IF(N(O1647)&gt;25,"Au-delà de 25 lignes : non imprimée","OK")))))))))))))</f>
        <v/>
      </c>
      <c r="O1647" s="59" t="str">
        <f>IF(A1647="","",COUNTIF($A$6:A1647,A1647))</f>
        <v/>
      </c>
      <c r="P1647" s="62" t="str">
        <f>IF(A1647="","",A1647&amp;"|"&amp;O1647)</f>
        <v/>
      </c>
    </row>
    <row r="1648">
      <c r="A1648" s="60" t="n"/>
      <c r="B1648" s="63" t="n"/>
      <c r="C1648" s="63" t="n"/>
      <c r="D1648" s="67" t="n"/>
      <c r="E1648" s="68" t="n"/>
      <c r="F1648" s="69" t="n"/>
      <c r="G1648" s="70" t="n"/>
      <c r="H1648" s="62" t="str">
        <f>IF(COUNTA(A1648:G1648)=0,"",IF(C1648&lt;&gt;"",C1648,IF(B1648="","",IFERROR(INDEX(pr_des,MATCH(B1648,pr_code,0))&amp;"",""))))</f>
        <v/>
      </c>
      <c r="I1648" s="59" t="str">
        <f>IF(B1648="","",IFERROR(INDEX(pr_unit,MATCH(B1648,pr_code,0))&amp;"",""))</f>
        <v/>
      </c>
      <c r="J1648" s="65" t="str">
        <f>IF(COUNTA(A1648:G1648)=0,"",IF(E1648&lt;&gt;"",E1648,IF(B1648="","",IFERROR(IF(INDEX(pr_price,MATCH(B1648,pr_code,0))="","",INDEX(pr_price,MATCH(B1648,pr_code,0))),""))))</f>
        <v/>
      </c>
      <c r="K1648" s="71" t="str">
        <f>IF(COUNTA(A1648:G1648)=0,"",IF(G1648&lt;&gt;"",G1648,IF(B1648="","",IFERROR(IF(INDEX(pr_rate,MATCH(B1648,pr_code,0))="","",INDEX(pr_rate,MATCH(B1648,pr_code,0))),""))))</f>
        <v/>
      </c>
      <c r="L1648" s="65" t="str">
        <f>IF(COUNTA(A1648:G1648)=0,"",IF(AND(ISNUMBER(D1648),ISNUMBER(J1648)),ROUND(D1648*J1648*(1-N(F1648)),2),0))</f>
        <v/>
      </c>
      <c r="M1648" s="62" t="str">
        <f>IF(A1648="","",IFERROR(INDEX(dv_cname,MATCH(A1648,dv_num,0))&amp;"",""))</f>
        <v/>
      </c>
      <c r="N1648" s="59" t="str">
        <f>IF(COUNTA(A1648:G1648)=0,"",IF(A1648="","N° devis manquant",IF(ISNA(MATCH(A1648,dv_num,0)),"Devis inconnu",IF(AND(B1648&lt;&gt;"",ISNA(MATCH(B1648,pr_code,0))),"Article inconnu",IF(H1648="","Désignation manquante",IF(OR(NOT(ISNUMBER(D1648)),N(D1648)&lt;=0),"Quantité invalide",IF(J1648="","Prix manquant",IF(OR(NOT(ISNUMBER(J1648)),N(J1648)&lt;0),"Prix invalide",IF(OR(AND(F1648&lt;&gt;"",NOT(ISNUMBER(F1648))),N(F1648)&lt;0,N(F1648)&gt;1),"Remise invalide",IF(K1648="","Taux de TVA manquant",IF(NOT(ISNUMBER(K1648)),"Taux de TVA invalide",IF(COUNTIF(p_rates,K1648)=0,"Taux de TVA hors liste (Paramètres)",IF(N(O1648)&gt;25,"Au-delà de 25 lignes : non imprimée","OK")))))))))))))</f>
        <v/>
      </c>
      <c r="O1648" s="59" t="str">
        <f>IF(A1648="","",COUNTIF($A$6:A1648,A1648))</f>
        <v/>
      </c>
      <c r="P1648" s="62" t="str">
        <f>IF(A1648="","",A1648&amp;"|"&amp;O1648)</f>
        <v/>
      </c>
    </row>
    <row r="1649">
      <c r="A1649" s="60" t="n"/>
      <c r="B1649" s="63" t="n"/>
      <c r="C1649" s="63" t="n"/>
      <c r="D1649" s="67" t="n"/>
      <c r="E1649" s="68" t="n"/>
      <c r="F1649" s="69" t="n"/>
      <c r="G1649" s="70" t="n"/>
      <c r="H1649" s="62" t="str">
        <f>IF(COUNTA(A1649:G1649)=0,"",IF(C1649&lt;&gt;"",C1649,IF(B1649="","",IFERROR(INDEX(pr_des,MATCH(B1649,pr_code,0))&amp;"",""))))</f>
        <v/>
      </c>
      <c r="I1649" s="59" t="str">
        <f>IF(B1649="","",IFERROR(INDEX(pr_unit,MATCH(B1649,pr_code,0))&amp;"",""))</f>
        <v/>
      </c>
      <c r="J1649" s="65" t="str">
        <f>IF(COUNTA(A1649:G1649)=0,"",IF(E1649&lt;&gt;"",E1649,IF(B1649="","",IFERROR(IF(INDEX(pr_price,MATCH(B1649,pr_code,0))="","",INDEX(pr_price,MATCH(B1649,pr_code,0))),""))))</f>
        <v/>
      </c>
      <c r="K1649" s="71" t="str">
        <f>IF(COUNTA(A1649:G1649)=0,"",IF(G1649&lt;&gt;"",G1649,IF(B1649="","",IFERROR(IF(INDEX(pr_rate,MATCH(B1649,pr_code,0))="","",INDEX(pr_rate,MATCH(B1649,pr_code,0))),""))))</f>
        <v/>
      </c>
      <c r="L1649" s="65" t="str">
        <f>IF(COUNTA(A1649:G1649)=0,"",IF(AND(ISNUMBER(D1649),ISNUMBER(J1649)),ROUND(D1649*J1649*(1-N(F1649)),2),0))</f>
        <v/>
      </c>
      <c r="M1649" s="62" t="str">
        <f>IF(A1649="","",IFERROR(INDEX(dv_cname,MATCH(A1649,dv_num,0))&amp;"",""))</f>
        <v/>
      </c>
      <c r="N1649" s="59" t="str">
        <f>IF(COUNTA(A1649:G1649)=0,"",IF(A1649="","N° devis manquant",IF(ISNA(MATCH(A1649,dv_num,0)),"Devis inconnu",IF(AND(B1649&lt;&gt;"",ISNA(MATCH(B1649,pr_code,0))),"Article inconnu",IF(H1649="","Désignation manquante",IF(OR(NOT(ISNUMBER(D1649)),N(D1649)&lt;=0),"Quantité invalide",IF(J1649="","Prix manquant",IF(OR(NOT(ISNUMBER(J1649)),N(J1649)&lt;0),"Prix invalide",IF(OR(AND(F1649&lt;&gt;"",NOT(ISNUMBER(F1649))),N(F1649)&lt;0,N(F1649)&gt;1),"Remise invalide",IF(K1649="","Taux de TVA manquant",IF(NOT(ISNUMBER(K1649)),"Taux de TVA invalide",IF(COUNTIF(p_rates,K1649)=0,"Taux de TVA hors liste (Paramètres)",IF(N(O1649)&gt;25,"Au-delà de 25 lignes : non imprimée","OK")))))))))))))</f>
        <v/>
      </c>
      <c r="O1649" s="59" t="str">
        <f>IF(A1649="","",COUNTIF($A$6:A1649,A1649))</f>
        <v/>
      </c>
      <c r="P1649" s="62" t="str">
        <f>IF(A1649="","",A1649&amp;"|"&amp;O1649)</f>
        <v/>
      </c>
    </row>
    <row r="1650">
      <c r="A1650" s="60" t="n"/>
      <c r="B1650" s="63" t="n"/>
      <c r="C1650" s="63" t="n"/>
      <c r="D1650" s="67" t="n"/>
      <c r="E1650" s="68" t="n"/>
      <c r="F1650" s="69" t="n"/>
      <c r="G1650" s="70" t="n"/>
      <c r="H1650" s="62" t="str">
        <f>IF(COUNTA(A1650:G1650)=0,"",IF(C1650&lt;&gt;"",C1650,IF(B1650="","",IFERROR(INDEX(pr_des,MATCH(B1650,pr_code,0))&amp;"",""))))</f>
        <v/>
      </c>
      <c r="I1650" s="59" t="str">
        <f>IF(B1650="","",IFERROR(INDEX(pr_unit,MATCH(B1650,pr_code,0))&amp;"",""))</f>
        <v/>
      </c>
      <c r="J1650" s="65" t="str">
        <f>IF(COUNTA(A1650:G1650)=0,"",IF(E1650&lt;&gt;"",E1650,IF(B1650="","",IFERROR(IF(INDEX(pr_price,MATCH(B1650,pr_code,0))="","",INDEX(pr_price,MATCH(B1650,pr_code,0))),""))))</f>
        <v/>
      </c>
      <c r="K1650" s="71" t="str">
        <f>IF(COUNTA(A1650:G1650)=0,"",IF(G1650&lt;&gt;"",G1650,IF(B1650="","",IFERROR(IF(INDEX(pr_rate,MATCH(B1650,pr_code,0))="","",INDEX(pr_rate,MATCH(B1650,pr_code,0))),""))))</f>
        <v/>
      </c>
      <c r="L1650" s="65" t="str">
        <f>IF(COUNTA(A1650:G1650)=0,"",IF(AND(ISNUMBER(D1650),ISNUMBER(J1650)),ROUND(D1650*J1650*(1-N(F1650)),2),0))</f>
        <v/>
      </c>
      <c r="M1650" s="62" t="str">
        <f>IF(A1650="","",IFERROR(INDEX(dv_cname,MATCH(A1650,dv_num,0))&amp;"",""))</f>
        <v/>
      </c>
      <c r="N1650" s="59" t="str">
        <f>IF(COUNTA(A1650:G1650)=0,"",IF(A1650="","N° devis manquant",IF(ISNA(MATCH(A1650,dv_num,0)),"Devis inconnu",IF(AND(B1650&lt;&gt;"",ISNA(MATCH(B1650,pr_code,0))),"Article inconnu",IF(H1650="","Désignation manquante",IF(OR(NOT(ISNUMBER(D1650)),N(D1650)&lt;=0),"Quantité invalide",IF(J1650="","Prix manquant",IF(OR(NOT(ISNUMBER(J1650)),N(J1650)&lt;0),"Prix invalide",IF(OR(AND(F1650&lt;&gt;"",NOT(ISNUMBER(F1650))),N(F1650)&lt;0,N(F1650)&gt;1),"Remise invalide",IF(K1650="","Taux de TVA manquant",IF(NOT(ISNUMBER(K1650)),"Taux de TVA invalide",IF(COUNTIF(p_rates,K1650)=0,"Taux de TVA hors liste (Paramètres)",IF(N(O1650)&gt;25,"Au-delà de 25 lignes : non imprimée","OK")))))))))))))</f>
        <v/>
      </c>
      <c r="O1650" s="59" t="str">
        <f>IF(A1650="","",COUNTIF($A$6:A1650,A1650))</f>
        <v/>
      </c>
      <c r="P1650" s="62" t="str">
        <f>IF(A1650="","",A1650&amp;"|"&amp;O1650)</f>
        <v/>
      </c>
    </row>
    <row r="1651">
      <c r="A1651" s="60" t="n"/>
      <c r="B1651" s="63" t="n"/>
      <c r="C1651" s="63" t="n"/>
      <c r="D1651" s="67" t="n"/>
      <c r="E1651" s="68" t="n"/>
      <c r="F1651" s="69" t="n"/>
      <c r="G1651" s="70" t="n"/>
      <c r="H1651" s="62" t="str">
        <f>IF(COUNTA(A1651:G1651)=0,"",IF(C1651&lt;&gt;"",C1651,IF(B1651="","",IFERROR(INDEX(pr_des,MATCH(B1651,pr_code,0))&amp;"",""))))</f>
        <v/>
      </c>
      <c r="I1651" s="59" t="str">
        <f>IF(B1651="","",IFERROR(INDEX(pr_unit,MATCH(B1651,pr_code,0))&amp;"",""))</f>
        <v/>
      </c>
      <c r="J1651" s="65" t="str">
        <f>IF(COUNTA(A1651:G1651)=0,"",IF(E1651&lt;&gt;"",E1651,IF(B1651="","",IFERROR(IF(INDEX(pr_price,MATCH(B1651,pr_code,0))="","",INDEX(pr_price,MATCH(B1651,pr_code,0))),""))))</f>
        <v/>
      </c>
      <c r="K1651" s="71" t="str">
        <f>IF(COUNTA(A1651:G1651)=0,"",IF(G1651&lt;&gt;"",G1651,IF(B1651="","",IFERROR(IF(INDEX(pr_rate,MATCH(B1651,pr_code,0))="","",INDEX(pr_rate,MATCH(B1651,pr_code,0))),""))))</f>
        <v/>
      </c>
      <c r="L1651" s="65" t="str">
        <f>IF(COUNTA(A1651:G1651)=0,"",IF(AND(ISNUMBER(D1651),ISNUMBER(J1651)),ROUND(D1651*J1651*(1-N(F1651)),2),0))</f>
        <v/>
      </c>
      <c r="M1651" s="62" t="str">
        <f>IF(A1651="","",IFERROR(INDEX(dv_cname,MATCH(A1651,dv_num,0))&amp;"",""))</f>
        <v/>
      </c>
      <c r="N1651" s="59" t="str">
        <f>IF(COUNTA(A1651:G1651)=0,"",IF(A1651="","N° devis manquant",IF(ISNA(MATCH(A1651,dv_num,0)),"Devis inconnu",IF(AND(B1651&lt;&gt;"",ISNA(MATCH(B1651,pr_code,0))),"Article inconnu",IF(H1651="","Désignation manquante",IF(OR(NOT(ISNUMBER(D1651)),N(D1651)&lt;=0),"Quantité invalide",IF(J1651="","Prix manquant",IF(OR(NOT(ISNUMBER(J1651)),N(J1651)&lt;0),"Prix invalide",IF(OR(AND(F1651&lt;&gt;"",NOT(ISNUMBER(F1651))),N(F1651)&lt;0,N(F1651)&gt;1),"Remise invalide",IF(K1651="","Taux de TVA manquant",IF(NOT(ISNUMBER(K1651)),"Taux de TVA invalide",IF(COUNTIF(p_rates,K1651)=0,"Taux de TVA hors liste (Paramètres)",IF(N(O1651)&gt;25,"Au-delà de 25 lignes : non imprimée","OK")))))))))))))</f>
        <v/>
      </c>
      <c r="O1651" s="59" t="str">
        <f>IF(A1651="","",COUNTIF($A$6:A1651,A1651))</f>
        <v/>
      </c>
      <c r="P1651" s="62" t="str">
        <f>IF(A1651="","",A1651&amp;"|"&amp;O1651)</f>
        <v/>
      </c>
    </row>
    <row r="1652">
      <c r="A1652" s="60" t="n"/>
      <c r="B1652" s="63" t="n"/>
      <c r="C1652" s="63" t="n"/>
      <c r="D1652" s="67" t="n"/>
      <c r="E1652" s="68" t="n"/>
      <c r="F1652" s="69" t="n"/>
      <c r="G1652" s="70" t="n"/>
      <c r="H1652" s="62" t="str">
        <f>IF(COUNTA(A1652:G1652)=0,"",IF(C1652&lt;&gt;"",C1652,IF(B1652="","",IFERROR(INDEX(pr_des,MATCH(B1652,pr_code,0))&amp;"",""))))</f>
        <v/>
      </c>
      <c r="I1652" s="59" t="str">
        <f>IF(B1652="","",IFERROR(INDEX(pr_unit,MATCH(B1652,pr_code,0))&amp;"",""))</f>
        <v/>
      </c>
      <c r="J1652" s="65" t="str">
        <f>IF(COUNTA(A1652:G1652)=0,"",IF(E1652&lt;&gt;"",E1652,IF(B1652="","",IFERROR(IF(INDEX(pr_price,MATCH(B1652,pr_code,0))="","",INDEX(pr_price,MATCH(B1652,pr_code,0))),""))))</f>
        <v/>
      </c>
      <c r="K1652" s="71" t="str">
        <f>IF(COUNTA(A1652:G1652)=0,"",IF(G1652&lt;&gt;"",G1652,IF(B1652="","",IFERROR(IF(INDEX(pr_rate,MATCH(B1652,pr_code,0))="","",INDEX(pr_rate,MATCH(B1652,pr_code,0))),""))))</f>
        <v/>
      </c>
      <c r="L1652" s="65" t="str">
        <f>IF(COUNTA(A1652:G1652)=0,"",IF(AND(ISNUMBER(D1652),ISNUMBER(J1652)),ROUND(D1652*J1652*(1-N(F1652)),2),0))</f>
        <v/>
      </c>
      <c r="M1652" s="62" t="str">
        <f>IF(A1652="","",IFERROR(INDEX(dv_cname,MATCH(A1652,dv_num,0))&amp;"",""))</f>
        <v/>
      </c>
      <c r="N1652" s="59" t="str">
        <f>IF(COUNTA(A1652:G1652)=0,"",IF(A1652="","N° devis manquant",IF(ISNA(MATCH(A1652,dv_num,0)),"Devis inconnu",IF(AND(B1652&lt;&gt;"",ISNA(MATCH(B1652,pr_code,0))),"Article inconnu",IF(H1652="","Désignation manquante",IF(OR(NOT(ISNUMBER(D1652)),N(D1652)&lt;=0),"Quantité invalide",IF(J1652="","Prix manquant",IF(OR(NOT(ISNUMBER(J1652)),N(J1652)&lt;0),"Prix invalide",IF(OR(AND(F1652&lt;&gt;"",NOT(ISNUMBER(F1652))),N(F1652)&lt;0,N(F1652)&gt;1),"Remise invalide",IF(K1652="","Taux de TVA manquant",IF(NOT(ISNUMBER(K1652)),"Taux de TVA invalide",IF(COUNTIF(p_rates,K1652)=0,"Taux de TVA hors liste (Paramètres)",IF(N(O1652)&gt;25,"Au-delà de 25 lignes : non imprimée","OK")))))))))))))</f>
        <v/>
      </c>
      <c r="O1652" s="59" t="str">
        <f>IF(A1652="","",COUNTIF($A$6:A1652,A1652))</f>
        <v/>
      </c>
      <c r="P1652" s="62" t="str">
        <f>IF(A1652="","",A1652&amp;"|"&amp;O1652)</f>
        <v/>
      </c>
    </row>
    <row r="1653">
      <c r="A1653" s="60" t="n"/>
      <c r="B1653" s="63" t="n"/>
      <c r="C1653" s="63" t="n"/>
      <c r="D1653" s="67" t="n"/>
      <c r="E1653" s="68" t="n"/>
      <c r="F1653" s="69" t="n"/>
      <c r="G1653" s="70" t="n"/>
      <c r="H1653" s="62" t="str">
        <f>IF(COUNTA(A1653:G1653)=0,"",IF(C1653&lt;&gt;"",C1653,IF(B1653="","",IFERROR(INDEX(pr_des,MATCH(B1653,pr_code,0))&amp;"",""))))</f>
        <v/>
      </c>
      <c r="I1653" s="59" t="str">
        <f>IF(B1653="","",IFERROR(INDEX(pr_unit,MATCH(B1653,pr_code,0))&amp;"",""))</f>
        <v/>
      </c>
      <c r="J1653" s="65" t="str">
        <f>IF(COUNTA(A1653:G1653)=0,"",IF(E1653&lt;&gt;"",E1653,IF(B1653="","",IFERROR(IF(INDEX(pr_price,MATCH(B1653,pr_code,0))="","",INDEX(pr_price,MATCH(B1653,pr_code,0))),""))))</f>
        <v/>
      </c>
      <c r="K1653" s="71" t="str">
        <f>IF(COUNTA(A1653:G1653)=0,"",IF(G1653&lt;&gt;"",G1653,IF(B1653="","",IFERROR(IF(INDEX(pr_rate,MATCH(B1653,pr_code,0))="","",INDEX(pr_rate,MATCH(B1653,pr_code,0))),""))))</f>
        <v/>
      </c>
      <c r="L1653" s="65" t="str">
        <f>IF(COUNTA(A1653:G1653)=0,"",IF(AND(ISNUMBER(D1653),ISNUMBER(J1653)),ROUND(D1653*J1653*(1-N(F1653)),2),0))</f>
        <v/>
      </c>
      <c r="M1653" s="62" t="str">
        <f>IF(A1653="","",IFERROR(INDEX(dv_cname,MATCH(A1653,dv_num,0))&amp;"",""))</f>
        <v/>
      </c>
      <c r="N1653" s="59" t="str">
        <f>IF(COUNTA(A1653:G1653)=0,"",IF(A1653="","N° devis manquant",IF(ISNA(MATCH(A1653,dv_num,0)),"Devis inconnu",IF(AND(B1653&lt;&gt;"",ISNA(MATCH(B1653,pr_code,0))),"Article inconnu",IF(H1653="","Désignation manquante",IF(OR(NOT(ISNUMBER(D1653)),N(D1653)&lt;=0),"Quantité invalide",IF(J1653="","Prix manquant",IF(OR(NOT(ISNUMBER(J1653)),N(J1653)&lt;0),"Prix invalide",IF(OR(AND(F1653&lt;&gt;"",NOT(ISNUMBER(F1653))),N(F1653)&lt;0,N(F1653)&gt;1),"Remise invalide",IF(K1653="","Taux de TVA manquant",IF(NOT(ISNUMBER(K1653)),"Taux de TVA invalide",IF(COUNTIF(p_rates,K1653)=0,"Taux de TVA hors liste (Paramètres)",IF(N(O1653)&gt;25,"Au-delà de 25 lignes : non imprimée","OK")))))))))))))</f>
        <v/>
      </c>
      <c r="O1653" s="59" t="str">
        <f>IF(A1653="","",COUNTIF($A$6:A1653,A1653))</f>
        <v/>
      </c>
      <c r="P1653" s="62" t="str">
        <f>IF(A1653="","",A1653&amp;"|"&amp;O1653)</f>
        <v/>
      </c>
    </row>
    <row r="1654">
      <c r="A1654" s="60" t="n"/>
      <c r="B1654" s="63" t="n"/>
      <c r="C1654" s="63" t="n"/>
      <c r="D1654" s="67" t="n"/>
      <c r="E1654" s="68" t="n"/>
      <c r="F1654" s="69" t="n"/>
      <c r="G1654" s="70" t="n"/>
      <c r="H1654" s="62" t="str">
        <f>IF(COUNTA(A1654:G1654)=0,"",IF(C1654&lt;&gt;"",C1654,IF(B1654="","",IFERROR(INDEX(pr_des,MATCH(B1654,pr_code,0))&amp;"",""))))</f>
        <v/>
      </c>
      <c r="I1654" s="59" t="str">
        <f>IF(B1654="","",IFERROR(INDEX(pr_unit,MATCH(B1654,pr_code,0))&amp;"",""))</f>
        <v/>
      </c>
      <c r="J1654" s="65" t="str">
        <f>IF(COUNTA(A1654:G1654)=0,"",IF(E1654&lt;&gt;"",E1654,IF(B1654="","",IFERROR(IF(INDEX(pr_price,MATCH(B1654,pr_code,0))="","",INDEX(pr_price,MATCH(B1654,pr_code,0))),""))))</f>
        <v/>
      </c>
      <c r="K1654" s="71" t="str">
        <f>IF(COUNTA(A1654:G1654)=0,"",IF(G1654&lt;&gt;"",G1654,IF(B1654="","",IFERROR(IF(INDEX(pr_rate,MATCH(B1654,pr_code,0))="","",INDEX(pr_rate,MATCH(B1654,pr_code,0))),""))))</f>
        <v/>
      </c>
      <c r="L1654" s="65" t="str">
        <f>IF(COUNTA(A1654:G1654)=0,"",IF(AND(ISNUMBER(D1654),ISNUMBER(J1654)),ROUND(D1654*J1654*(1-N(F1654)),2),0))</f>
        <v/>
      </c>
      <c r="M1654" s="62" t="str">
        <f>IF(A1654="","",IFERROR(INDEX(dv_cname,MATCH(A1654,dv_num,0))&amp;"",""))</f>
        <v/>
      </c>
      <c r="N1654" s="59" t="str">
        <f>IF(COUNTA(A1654:G1654)=0,"",IF(A1654="","N° devis manquant",IF(ISNA(MATCH(A1654,dv_num,0)),"Devis inconnu",IF(AND(B1654&lt;&gt;"",ISNA(MATCH(B1654,pr_code,0))),"Article inconnu",IF(H1654="","Désignation manquante",IF(OR(NOT(ISNUMBER(D1654)),N(D1654)&lt;=0),"Quantité invalide",IF(J1654="","Prix manquant",IF(OR(NOT(ISNUMBER(J1654)),N(J1654)&lt;0),"Prix invalide",IF(OR(AND(F1654&lt;&gt;"",NOT(ISNUMBER(F1654))),N(F1654)&lt;0,N(F1654)&gt;1),"Remise invalide",IF(K1654="","Taux de TVA manquant",IF(NOT(ISNUMBER(K1654)),"Taux de TVA invalide",IF(COUNTIF(p_rates,K1654)=0,"Taux de TVA hors liste (Paramètres)",IF(N(O1654)&gt;25,"Au-delà de 25 lignes : non imprimée","OK")))))))))))))</f>
        <v/>
      </c>
      <c r="O1654" s="59" t="str">
        <f>IF(A1654="","",COUNTIF($A$6:A1654,A1654))</f>
        <v/>
      </c>
      <c r="P1654" s="62" t="str">
        <f>IF(A1654="","",A1654&amp;"|"&amp;O1654)</f>
        <v/>
      </c>
    </row>
    <row r="1655">
      <c r="A1655" s="60" t="n"/>
      <c r="B1655" s="63" t="n"/>
      <c r="C1655" s="63" t="n"/>
      <c r="D1655" s="67" t="n"/>
      <c r="E1655" s="68" t="n"/>
      <c r="F1655" s="69" t="n"/>
      <c r="G1655" s="70" t="n"/>
      <c r="H1655" s="62" t="str">
        <f>IF(COUNTA(A1655:G1655)=0,"",IF(C1655&lt;&gt;"",C1655,IF(B1655="","",IFERROR(INDEX(pr_des,MATCH(B1655,pr_code,0))&amp;"",""))))</f>
        <v/>
      </c>
      <c r="I1655" s="59" t="str">
        <f>IF(B1655="","",IFERROR(INDEX(pr_unit,MATCH(B1655,pr_code,0))&amp;"",""))</f>
        <v/>
      </c>
      <c r="J1655" s="65" t="str">
        <f>IF(COUNTA(A1655:G1655)=0,"",IF(E1655&lt;&gt;"",E1655,IF(B1655="","",IFERROR(IF(INDEX(pr_price,MATCH(B1655,pr_code,0))="","",INDEX(pr_price,MATCH(B1655,pr_code,0))),""))))</f>
        <v/>
      </c>
      <c r="K1655" s="71" t="str">
        <f>IF(COUNTA(A1655:G1655)=0,"",IF(G1655&lt;&gt;"",G1655,IF(B1655="","",IFERROR(IF(INDEX(pr_rate,MATCH(B1655,pr_code,0))="","",INDEX(pr_rate,MATCH(B1655,pr_code,0))),""))))</f>
        <v/>
      </c>
      <c r="L1655" s="65" t="str">
        <f>IF(COUNTA(A1655:G1655)=0,"",IF(AND(ISNUMBER(D1655),ISNUMBER(J1655)),ROUND(D1655*J1655*(1-N(F1655)),2),0))</f>
        <v/>
      </c>
      <c r="M1655" s="62" t="str">
        <f>IF(A1655="","",IFERROR(INDEX(dv_cname,MATCH(A1655,dv_num,0))&amp;"",""))</f>
        <v/>
      </c>
      <c r="N1655" s="59" t="str">
        <f>IF(COUNTA(A1655:G1655)=0,"",IF(A1655="","N° devis manquant",IF(ISNA(MATCH(A1655,dv_num,0)),"Devis inconnu",IF(AND(B1655&lt;&gt;"",ISNA(MATCH(B1655,pr_code,0))),"Article inconnu",IF(H1655="","Désignation manquante",IF(OR(NOT(ISNUMBER(D1655)),N(D1655)&lt;=0),"Quantité invalide",IF(J1655="","Prix manquant",IF(OR(NOT(ISNUMBER(J1655)),N(J1655)&lt;0),"Prix invalide",IF(OR(AND(F1655&lt;&gt;"",NOT(ISNUMBER(F1655))),N(F1655)&lt;0,N(F1655)&gt;1),"Remise invalide",IF(K1655="","Taux de TVA manquant",IF(NOT(ISNUMBER(K1655)),"Taux de TVA invalide",IF(COUNTIF(p_rates,K1655)=0,"Taux de TVA hors liste (Paramètres)",IF(N(O1655)&gt;25,"Au-delà de 25 lignes : non imprimée","OK")))))))))))))</f>
        <v/>
      </c>
      <c r="O1655" s="59" t="str">
        <f>IF(A1655="","",COUNTIF($A$6:A1655,A1655))</f>
        <v/>
      </c>
      <c r="P1655" s="62" t="str">
        <f>IF(A1655="","",A1655&amp;"|"&amp;O1655)</f>
        <v/>
      </c>
    </row>
    <row r="1656">
      <c r="A1656" s="60" t="n"/>
      <c r="B1656" s="63" t="n"/>
      <c r="C1656" s="63" t="n"/>
      <c r="D1656" s="67" t="n"/>
      <c r="E1656" s="68" t="n"/>
      <c r="F1656" s="69" t="n"/>
      <c r="G1656" s="70" t="n"/>
      <c r="H1656" s="62" t="str">
        <f>IF(COUNTA(A1656:G1656)=0,"",IF(C1656&lt;&gt;"",C1656,IF(B1656="","",IFERROR(INDEX(pr_des,MATCH(B1656,pr_code,0))&amp;"",""))))</f>
        <v/>
      </c>
      <c r="I1656" s="59" t="str">
        <f>IF(B1656="","",IFERROR(INDEX(pr_unit,MATCH(B1656,pr_code,0))&amp;"",""))</f>
        <v/>
      </c>
      <c r="J1656" s="65" t="str">
        <f>IF(COUNTA(A1656:G1656)=0,"",IF(E1656&lt;&gt;"",E1656,IF(B1656="","",IFERROR(IF(INDEX(pr_price,MATCH(B1656,pr_code,0))="","",INDEX(pr_price,MATCH(B1656,pr_code,0))),""))))</f>
        <v/>
      </c>
      <c r="K1656" s="71" t="str">
        <f>IF(COUNTA(A1656:G1656)=0,"",IF(G1656&lt;&gt;"",G1656,IF(B1656="","",IFERROR(IF(INDEX(pr_rate,MATCH(B1656,pr_code,0))="","",INDEX(pr_rate,MATCH(B1656,pr_code,0))),""))))</f>
        <v/>
      </c>
      <c r="L1656" s="65" t="str">
        <f>IF(COUNTA(A1656:G1656)=0,"",IF(AND(ISNUMBER(D1656),ISNUMBER(J1656)),ROUND(D1656*J1656*(1-N(F1656)),2),0))</f>
        <v/>
      </c>
      <c r="M1656" s="62" t="str">
        <f>IF(A1656="","",IFERROR(INDEX(dv_cname,MATCH(A1656,dv_num,0))&amp;"",""))</f>
        <v/>
      </c>
      <c r="N1656" s="59" t="str">
        <f>IF(COUNTA(A1656:G1656)=0,"",IF(A1656="","N° devis manquant",IF(ISNA(MATCH(A1656,dv_num,0)),"Devis inconnu",IF(AND(B1656&lt;&gt;"",ISNA(MATCH(B1656,pr_code,0))),"Article inconnu",IF(H1656="","Désignation manquante",IF(OR(NOT(ISNUMBER(D1656)),N(D1656)&lt;=0),"Quantité invalide",IF(J1656="","Prix manquant",IF(OR(NOT(ISNUMBER(J1656)),N(J1656)&lt;0),"Prix invalide",IF(OR(AND(F1656&lt;&gt;"",NOT(ISNUMBER(F1656))),N(F1656)&lt;0,N(F1656)&gt;1),"Remise invalide",IF(K1656="","Taux de TVA manquant",IF(NOT(ISNUMBER(K1656)),"Taux de TVA invalide",IF(COUNTIF(p_rates,K1656)=0,"Taux de TVA hors liste (Paramètres)",IF(N(O1656)&gt;25,"Au-delà de 25 lignes : non imprimée","OK")))))))))))))</f>
        <v/>
      </c>
      <c r="O1656" s="59" t="str">
        <f>IF(A1656="","",COUNTIF($A$6:A1656,A1656))</f>
        <v/>
      </c>
      <c r="P1656" s="62" t="str">
        <f>IF(A1656="","",A1656&amp;"|"&amp;O1656)</f>
        <v/>
      </c>
    </row>
    <row r="1657">
      <c r="A1657" s="60" t="n"/>
      <c r="B1657" s="63" t="n"/>
      <c r="C1657" s="63" t="n"/>
      <c r="D1657" s="67" t="n"/>
      <c r="E1657" s="68" t="n"/>
      <c r="F1657" s="69" t="n"/>
      <c r="G1657" s="70" t="n"/>
      <c r="H1657" s="62" t="str">
        <f>IF(COUNTA(A1657:G1657)=0,"",IF(C1657&lt;&gt;"",C1657,IF(B1657="","",IFERROR(INDEX(pr_des,MATCH(B1657,pr_code,0))&amp;"",""))))</f>
        <v/>
      </c>
      <c r="I1657" s="59" t="str">
        <f>IF(B1657="","",IFERROR(INDEX(pr_unit,MATCH(B1657,pr_code,0))&amp;"",""))</f>
        <v/>
      </c>
      <c r="J1657" s="65" t="str">
        <f>IF(COUNTA(A1657:G1657)=0,"",IF(E1657&lt;&gt;"",E1657,IF(B1657="","",IFERROR(IF(INDEX(pr_price,MATCH(B1657,pr_code,0))="","",INDEX(pr_price,MATCH(B1657,pr_code,0))),""))))</f>
        <v/>
      </c>
      <c r="K1657" s="71" t="str">
        <f>IF(COUNTA(A1657:G1657)=0,"",IF(G1657&lt;&gt;"",G1657,IF(B1657="","",IFERROR(IF(INDEX(pr_rate,MATCH(B1657,pr_code,0))="","",INDEX(pr_rate,MATCH(B1657,pr_code,0))),""))))</f>
        <v/>
      </c>
      <c r="L1657" s="65" t="str">
        <f>IF(COUNTA(A1657:G1657)=0,"",IF(AND(ISNUMBER(D1657),ISNUMBER(J1657)),ROUND(D1657*J1657*(1-N(F1657)),2),0))</f>
        <v/>
      </c>
      <c r="M1657" s="62" t="str">
        <f>IF(A1657="","",IFERROR(INDEX(dv_cname,MATCH(A1657,dv_num,0))&amp;"",""))</f>
        <v/>
      </c>
      <c r="N1657" s="59" t="str">
        <f>IF(COUNTA(A1657:G1657)=0,"",IF(A1657="","N° devis manquant",IF(ISNA(MATCH(A1657,dv_num,0)),"Devis inconnu",IF(AND(B1657&lt;&gt;"",ISNA(MATCH(B1657,pr_code,0))),"Article inconnu",IF(H1657="","Désignation manquante",IF(OR(NOT(ISNUMBER(D1657)),N(D1657)&lt;=0),"Quantité invalide",IF(J1657="","Prix manquant",IF(OR(NOT(ISNUMBER(J1657)),N(J1657)&lt;0),"Prix invalide",IF(OR(AND(F1657&lt;&gt;"",NOT(ISNUMBER(F1657))),N(F1657)&lt;0,N(F1657)&gt;1),"Remise invalide",IF(K1657="","Taux de TVA manquant",IF(NOT(ISNUMBER(K1657)),"Taux de TVA invalide",IF(COUNTIF(p_rates,K1657)=0,"Taux de TVA hors liste (Paramètres)",IF(N(O1657)&gt;25,"Au-delà de 25 lignes : non imprimée","OK")))))))))))))</f>
        <v/>
      </c>
      <c r="O1657" s="59" t="str">
        <f>IF(A1657="","",COUNTIF($A$6:A1657,A1657))</f>
        <v/>
      </c>
      <c r="P1657" s="62" t="str">
        <f>IF(A1657="","",A1657&amp;"|"&amp;O1657)</f>
        <v/>
      </c>
    </row>
    <row r="1658">
      <c r="A1658" s="60" t="n"/>
      <c r="B1658" s="63" t="n"/>
      <c r="C1658" s="63" t="n"/>
      <c r="D1658" s="67" t="n"/>
      <c r="E1658" s="68" t="n"/>
      <c r="F1658" s="69" t="n"/>
      <c r="G1658" s="70" t="n"/>
      <c r="H1658" s="62" t="str">
        <f>IF(COUNTA(A1658:G1658)=0,"",IF(C1658&lt;&gt;"",C1658,IF(B1658="","",IFERROR(INDEX(pr_des,MATCH(B1658,pr_code,0))&amp;"",""))))</f>
        <v/>
      </c>
      <c r="I1658" s="59" t="str">
        <f>IF(B1658="","",IFERROR(INDEX(pr_unit,MATCH(B1658,pr_code,0))&amp;"",""))</f>
        <v/>
      </c>
      <c r="J1658" s="65" t="str">
        <f>IF(COUNTA(A1658:G1658)=0,"",IF(E1658&lt;&gt;"",E1658,IF(B1658="","",IFERROR(IF(INDEX(pr_price,MATCH(B1658,pr_code,0))="","",INDEX(pr_price,MATCH(B1658,pr_code,0))),""))))</f>
        <v/>
      </c>
      <c r="K1658" s="71" t="str">
        <f>IF(COUNTA(A1658:G1658)=0,"",IF(G1658&lt;&gt;"",G1658,IF(B1658="","",IFERROR(IF(INDEX(pr_rate,MATCH(B1658,pr_code,0))="","",INDEX(pr_rate,MATCH(B1658,pr_code,0))),""))))</f>
        <v/>
      </c>
      <c r="L1658" s="65" t="str">
        <f>IF(COUNTA(A1658:G1658)=0,"",IF(AND(ISNUMBER(D1658),ISNUMBER(J1658)),ROUND(D1658*J1658*(1-N(F1658)),2),0))</f>
        <v/>
      </c>
      <c r="M1658" s="62" t="str">
        <f>IF(A1658="","",IFERROR(INDEX(dv_cname,MATCH(A1658,dv_num,0))&amp;"",""))</f>
        <v/>
      </c>
      <c r="N1658" s="59" t="str">
        <f>IF(COUNTA(A1658:G1658)=0,"",IF(A1658="","N° devis manquant",IF(ISNA(MATCH(A1658,dv_num,0)),"Devis inconnu",IF(AND(B1658&lt;&gt;"",ISNA(MATCH(B1658,pr_code,0))),"Article inconnu",IF(H1658="","Désignation manquante",IF(OR(NOT(ISNUMBER(D1658)),N(D1658)&lt;=0),"Quantité invalide",IF(J1658="","Prix manquant",IF(OR(NOT(ISNUMBER(J1658)),N(J1658)&lt;0),"Prix invalide",IF(OR(AND(F1658&lt;&gt;"",NOT(ISNUMBER(F1658))),N(F1658)&lt;0,N(F1658)&gt;1),"Remise invalide",IF(K1658="","Taux de TVA manquant",IF(NOT(ISNUMBER(K1658)),"Taux de TVA invalide",IF(COUNTIF(p_rates,K1658)=0,"Taux de TVA hors liste (Paramètres)",IF(N(O1658)&gt;25,"Au-delà de 25 lignes : non imprimée","OK")))))))))))))</f>
        <v/>
      </c>
      <c r="O1658" s="59" t="str">
        <f>IF(A1658="","",COUNTIF($A$6:A1658,A1658))</f>
        <v/>
      </c>
      <c r="P1658" s="62" t="str">
        <f>IF(A1658="","",A1658&amp;"|"&amp;O1658)</f>
        <v/>
      </c>
    </row>
    <row r="1659">
      <c r="A1659" s="60" t="n"/>
      <c r="B1659" s="63" t="n"/>
      <c r="C1659" s="63" t="n"/>
      <c r="D1659" s="67" t="n"/>
      <c r="E1659" s="68" t="n"/>
      <c r="F1659" s="69" t="n"/>
      <c r="G1659" s="70" t="n"/>
      <c r="H1659" s="62" t="str">
        <f>IF(COUNTA(A1659:G1659)=0,"",IF(C1659&lt;&gt;"",C1659,IF(B1659="","",IFERROR(INDEX(pr_des,MATCH(B1659,pr_code,0))&amp;"",""))))</f>
        <v/>
      </c>
      <c r="I1659" s="59" t="str">
        <f>IF(B1659="","",IFERROR(INDEX(pr_unit,MATCH(B1659,pr_code,0))&amp;"",""))</f>
        <v/>
      </c>
      <c r="J1659" s="65" t="str">
        <f>IF(COUNTA(A1659:G1659)=0,"",IF(E1659&lt;&gt;"",E1659,IF(B1659="","",IFERROR(IF(INDEX(pr_price,MATCH(B1659,pr_code,0))="","",INDEX(pr_price,MATCH(B1659,pr_code,0))),""))))</f>
        <v/>
      </c>
      <c r="K1659" s="71" t="str">
        <f>IF(COUNTA(A1659:G1659)=0,"",IF(G1659&lt;&gt;"",G1659,IF(B1659="","",IFERROR(IF(INDEX(pr_rate,MATCH(B1659,pr_code,0))="","",INDEX(pr_rate,MATCH(B1659,pr_code,0))),""))))</f>
        <v/>
      </c>
      <c r="L1659" s="65" t="str">
        <f>IF(COUNTA(A1659:G1659)=0,"",IF(AND(ISNUMBER(D1659),ISNUMBER(J1659)),ROUND(D1659*J1659*(1-N(F1659)),2),0))</f>
        <v/>
      </c>
      <c r="M1659" s="62" t="str">
        <f>IF(A1659="","",IFERROR(INDEX(dv_cname,MATCH(A1659,dv_num,0))&amp;"",""))</f>
        <v/>
      </c>
      <c r="N1659" s="59" t="str">
        <f>IF(COUNTA(A1659:G1659)=0,"",IF(A1659="","N° devis manquant",IF(ISNA(MATCH(A1659,dv_num,0)),"Devis inconnu",IF(AND(B1659&lt;&gt;"",ISNA(MATCH(B1659,pr_code,0))),"Article inconnu",IF(H1659="","Désignation manquante",IF(OR(NOT(ISNUMBER(D1659)),N(D1659)&lt;=0),"Quantité invalide",IF(J1659="","Prix manquant",IF(OR(NOT(ISNUMBER(J1659)),N(J1659)&lt;0),"Prix invalide",IF(OR(AND(F1659&lt;&gt;"",NOT(ISNUMBER(F1659))),N(F1659)&lt;0,N(F1659)&gt;1),"Remise invalide",IF(K1659="","Taux de TVA manquant",IF(NOT(ISNUMBER(K1659)),"Taux de TVA invalide",IF(COUNTIF(p_rates,K1659)=0,"Taux de TVA hors liste (Paramètres)",IF(N(O1659)&gt;25,"Au-delà de 25 lignes : non imprimée","OK")))))))))))))</f>
        <v/>
      </c>
      <c r="O1659" s="59" t="str">
        <f>IF(A1659="","",COUNTIF($A$6:A1659,A1659))</f>
        <v/>
      </c>
      <c r="P1659" s="62" t="str">
        <f>IF(A1659="","",A1659&amp;"|"&amp;O1659)</f>
        <v/>
      </c>
    </row>
    <row r="1660">
      <c r="A1660" s="60" t="n"/>
      <c r="B1660" s="63" t="n"/>
      <c r="C1660" s="63" t="n"/>
      <c r="D1660" s="67" t="n"/>
      <c r="E1660" s="68" t="n"/>
      <c r="F1660" s="69" t="n"/>
      <c r="G1660" s="70" t="n"/>
      <c r="H1660" s="62" t="str">
        <f>IF(COUNTA(A1660:G1660)=0,"",IF(C1660&lt;&gt;"",C1660,IF(B1660="","",IFERROR(INDEX(pr_des,MATCH(B1660,pr_code,0))&amp;"",""))))</f>
        <v/>
      </c>
      <c r="I1660" s="59" t="str">
        <f>IF(B1660="","",IFERROR(INDEX(pr_unit,MATCH(B1660,pr_code,0))&amp;"",""))</f>
        <v/>
      </c>
      <c r="J1660" s="65" t="str">
        <f>IF(COUNTA(A1660:G1660)=0,"",IF(E1660&lt;&gt;"",E1660,IF(B1660="","",IFERROR(IF(INDEX(pr_price,MATCH(B1660,pr_code,0))="","",INDEX(pr_price,MATCH(B1660,pr_code,0))),""))))</f>
        <v/>
      </c>
      <c r="K1660" s="71" t="str">
        <f>IF(COUNTA(A1660:G1660)=0,"",IF(G1660&lt;&gt;"",G1660,IF(B1660="","",IFERROR(IF(INDEX(pr_rate,MATCH(B1660,pr_code,0))="","",INDEX(pr_rate,MATCH(B1660,pr_code,0))),""))))</f>
        <v/>
      </c>
      <c r="L1660" s="65" t="str">
        <f>IF(COUNTA(A1660:G1660)=0,"",IF(AND(ISNUMBER(D1660),ISNUMBER(J1660)),ROUND(D1660*J1660*(1-N(F1660)),2),0))</f>
        <v/>
      </c>
      <c r="M1660" s="62" t="str">
        <f>IF(A1660="","",IFERROR(INDEX(dv_cname,MATCH(A1660,dv_num,0))&amp;"",""))</f>
        <v/>
      </c>
      <c r="N1660" s="59" t="str">
        <f>IF(COUNTA(A1660:G1660)=0,"",IF(A1660="","N° devis manquant",IF(ISNA(MATCH(A1660,dv_num,0)),"Devis inconnu",IF(AND(B1660&lt;&gt;"",ISNA(MATCH(B1660,pr_code,0))),"Article inconnu",IF(H1660="","Désignation manquante",IF(OR(NOT(ISNUMBER(D1660)),N(D1660)&lt;=0),"Quantité invalide",IF(J1660="","Prix manquant",IF(OR(NOT(ISNUMBER(J1660)),N(J1660)&lt;0),"Prix invalide",IF(OR(AND(F1660&lt;&gt;"",NOT(ISNUMBER(F1660))),N(F1660)&lt;0,N(F1660)&gt;1),"Remise invalide",IF(K1660="","Taux de TVA manquant",IF(NOT(ISNUMBER(K1660)),"Taux de TVA invalide",IF(COUNTIF(p_rates,K1660)=0,"Taux de TVA hors liste (Paramètres)",IF(N(O1660)&gt;25,"Au-delà de 25 lignes : non imprimée","OK")))))))))))))</f>
        <v/>
      </c>
      <c r="O1660" s="59" t="str">
        <f>IF(A1660="","",COUNTIF($A$6:A1660,A1660))</f>
        <v/>
      </c>
      <c r="P1660" s="62" t="str">
        <f>IF(A1660="","",A1660&amp;"|"&amp;O1660)</f>
        <v/>
      </c>
    </row>
    <row r="1661">
      <c r="A1661" s="60" t="n"/>
      <c r="B1661" s="63" t="n"/>
      <c r="C1661" s="63" t="n"/>
      <c r="D1661" s="67" t="n"/>
      <c r="E1661" s="68" t="n"/>
      <c r="F1661" s="69" t="n"/>
      <c r="G1661" s="70" t="n"/>
      <c r="H1661" s="62" t="str">
        <f>IF(COUNTA(A1661:G1661)=0,"",IF(C1661&lt;&gt;"",C1661,IF(B1661="","",IFERROR(INDEX(pr_des,MATCH(B1661,pr_code,0))&amp;"",""))))</f>
        <v/>
      </c>
      <c r="I1661" s="59" t="str">
        <f>IF(B1661="","",IFERROR(INDEX(pr_unit,MATCH(B1661,pr_code,0))&amp;"",""))</f>
        <v/>
      </c>
      <c r="J1661" s="65" t="str">
        <f>IF(COUNTA(A1661:G1661)=0,"",IF(E1661&lt;&gt;"",E1661,IF(B1661="","",IFERROR(IF(INDEX(pr_price,MATCH(B1661,pr_code,0))="","",INDEX(pr_price,MATCH(B1661,pr_code,0))),""))))</f>
        <v/>
      </c>
      <c r="K1661" s="71" t="str">
        <f>IF(COUNTA(A1661:G1661)=0,"",IF(G1661&lt;&gt;"",G1661,IF(B1661="","",IFERROR(IF(INDEX(pr_rate,MATCH(B1661,pr_code,0))="","",INDEX(pr_rate,MATCH(B1661,pr_code,0))),""))))</f>
        <v/>
      </c>
      <c r="L1661" s="65" t="str">
        <f>IF(COUNTA(A1661:G1661)=0,"",IF(AND(ISNUMBER(D1661),ISNUMBER(J1661)),ROUND(D1661*J1661*(1-N(F1661)),2),0))</f>
        <v/>
      </c>
      <c r="M1661" s="62" t="str">
        <f>IF(A1661="","",IFERROR(INDEX(dv_cname,MATCH(A1661,dv_num,0))&amp;"",""))</f>
        <v/>
      </c>
      <c r="N1661" s="59" t="str">
        <f>IF(COUNTA(A1661:G1661)=0,"",IF(A1661="","N° devis manquant",IF(ISNA(MATCH(A1661,dv_num,0)),"Devis inconnu",IF(AND(B1661&lt;&gt;"",ISNA(MATCH(B1661,pr_code,0))),"Article inconnu",IF(H1661="","Désignation manquante",IF(OR(NOT(ISNUMBER(D1661)),N(D1661)&lt;=0),"Quantité invalide",IF(J1661="","Prix manquant",IF(OR(NOT(ISNUMBER(J1661)),N(J1661)&lt;0),"Prix invalide",IF(OR(AND(F1661&lt;&gt;"",NOT(ISNUMBER(F1661))),N(F1661)&lt;0,N(F1661)&gt;1),"Remise invalide",IF(K1661="","Taux de TVA manquant",IF(NOT(ISNUMBER(K1661)),"Taux de TVA invalide",IF(COUNTIF(p_rates,K1661)=0,"Taux de TVA hors liste (Paramètres)",IF(N(O1661)&gt;25,"Au-delà de 25 lignes : non imprimée","OK")))))))))))))</f>
        <v/>
      </c>
      <c r="O1661" s="59" t="str">
        <f>IF(A1661="","",COUNTIF($A$6:A1661,A1661))</f>
        <v/>
      </c>
      <c r="P1661" s="62" t="str">
        <f>IF(A1661="","",A1661&amp;"|"&amp;O1661)</f>
        <v/>
      </c>
    </row>
    <row r="1662">
      <c r="A1662" s="60" t="n"/>
      <c r="B1662" s="63" t="n"/>
      <c r="C1662" s="63" t="n"/>
      <c r="D1662" s="67" t="n"/>
      <c r="E1662" s="68" t="n"/>
      <c r="F1662" s="69" t="n"/>
      <c r="G1662" s="70" t="n"/>
      <c r="H1662" s="62" t="str">
        <f>IF(COUNTA(A1662:G1662)=0,"",IF(C1662&lt;&gt;"",C1662,IF(B1662="","",IFERROR(INDEX(pr_des,MATCH(B1662,pr_code,0))&amp;"",""))))</f>
        <v/>
      </c>
      <c r="I1662" s="59" t="str">
        <f>IF(B1662="","",IFERROR(INDEX(pr_unit,MATCH(B1662,pr_code,0))&amp;"",""))</f>
        <v/>
      </c>
      <c r="J1662" s="65" t="str">
        <f>IF(COUNTA(A1662:G1662)=0,"",IF(E1662&lt;&gt;"",E1662,IF(B1662="","",IFERROR(IF(INDEX(pr_price,MATCH(B1662,pr_code,0))="","",INDEX(pr_price,MATCH(B1662,pr_code,0))),""))))</f>
        <v/>
      </c>
      <c r="K1662" s="71" t="str">
        <f>IF(COUNTA(A1662:G1662)=0,"",IF(G1662&lt;&gt;"",G1662,IF(B1662="","",IFERROR(IF(INDEX(pr_rate,MATCH(B1662,pr_code,0))="","",INDEX(pr_rate,MATCH(B1662,pr_code,0))),""))))</f>
        <v/>
      </c>
      <c r="L1662" s="65" t="str">
        <f>IF(COUNTA(A1662:G1662)=0,"",IF(AND(ISNUMBER(D1662),ISNUMBER(J1662)),ROUND(D1662*J1662*(1-N(F1662)),2),0))</f>
        <v/>
      </c>
      <c r="M1662" s="62" t="str">
        <f>IF(A1662="","",IFERROR(INDEX(dv_cname,MATCH(A1662,dv_num,0))&amp;"",""))</f>
        <v/>
      </c>
      <c r="N1662" s="59" t="str">
        <f>IF(COUNTA(A1662:G1662)=0,"",IF(A1662="","N° devis manquant",IF(ISNA(MATCH(A1662,dv_num,0)),"Devis inconnu",IF(AND(B1662&lt;&gt;"",ISNA(MATCH(B1662,pr_code,0))),"Article inconnu",IF(H1662="","Désignation manquante",IF(OR(NOT(ISNUMBER(D1662)),N(D1662)&lt;=0),"Quantité invalide",IF(J1662="","Prix manquant",IF(OR(NOT(ISNUMBER(J1662)),N(J1662)&lt;0),"Prix invalide",IF(OR(AND(F1662&lt;&gt;"",NOT(ISNUMBER(F1662))),N(F1662)&lt;0,N(F1662)&gt;1),"Remise invalide",IF(K1662="","Taux de TVA manquant",IF(NOT(ISNUMBER(K1662)),"Taux de TVA invalide",IF(COUNTIF(p_rates,K1662)=0,"Taux de TVA hors liste (Paramètres)",IF(N(O1662)&gt;25,"Au-delà de 25 lignes : non imprimée","OK")))))))))))))</f>
        <v/>
      </c>
      <c r="O1662" s="59" t="str">
        <f>IF(A1662="","",COUNTIF($A$6:A1662,A1662))</f>
        <v/>
      </c>
      <c r="P1662" s="62" t="str">
        <f>IF(A1662="","",A1662&amp;"|"&amp;O1662)</f>
        <v/>
      </c>
    </row>
    <row r="1663">
      <c r="A1663" s="60" t="n"/>
      <c r="B1663" s="63" t="n"/>
      <c r="C1663" s="63" t="n"/>
      <c r="D1663" s="67" t="n"/>
      <c r="E1663" s="68" t="n"/>
      <c r="F1663" s="69" t="n"/>
      <c r="G1663" s="70" t="n"/>
      <c r="H1663" s="62" t="str">
        <f>IF(COUNTA(A1663:G1663)=0,"",IF(C1663&lt;&gt;"",C1663,IF(B1663="","",IFERROR(INDEX(pr_des,MATCH(B1663,pr_code,0))&amp;"",""))))</f>
        <v/>
      </c>
      <c r="I1663" s="59" t="str">
        <f>IF(B1663="","",IFERROR(INDEX(pr_unit,MATCH(B1663,pr_code,0))&amp;"",""))</f>
        <v/>
      </c>
      <c r="J1663" s="65" t="str">
        <f>IF(COUNTA(A1663:G1663)=0,"",IF(E1663&lt;&gt;"",E1663,IF(B1663="","",IFERROR(IF(INDEX(pr_price,MATCH(B1663,pr_code,0))="","",INDEX(pr_price,MATCH(B1663,pr_code,0))),""))))</f>
        <v/>
      </c>
      <c r="K1663" s="71" t="str">
        <f>IF(COUNTA(A1663:G1663)=0,"",IF(G1663&lt;&gt;"",G1663,IF(B1663="","",IFERROR(IF(INDEX(pr_rate,MATCH(B1663,pr_code,0))="","",INDEX(pr_rate,MATCH(B1663,pr_code,0))),""))))</f>
        <v/>
      </c>
      <c r="L1663" s="65" t="str">
        <f>IF(COUNTA(A1663:G1663)=0,"",IF(AND(ISNUMBER(D1663),ISNUMBER(J1663)),ROUND(D1663*J1663*(1-N(F1663)),2),0))</f>
        <v/>
      </c>
      <c r="M1663" s="62" t="str">
        <f>IF(A1663="","",IFERROR(INDEX(dv_cname,MATCH(A1663,dv_num,0))&amp;"",""))</f>
        <v/>
      </c>
      <c r="N1663" s="59" t="str">
        <f>IF(COUNTA(A1663:G1663)=0,"",IF(A1663="","N° devis manquant",IF(ISNA(MATCH(A1663,dv_num,0)),"Devis inconnu",IF(AND(B1663&lt;&gt;"",ISNA(MATCH(B1663,pr_code,0))),"Article inconnu",IF(H1663="","Désignation manquante",IF(OR(NOT(ISNUMBER(D1663)),N(D1663)&lt;=0),"Quantité invalide",IF(J1663="","Prix manquant",IF(OR(NOT(ISNUMBER(J1663)),N(J1663)&lt;0),"Prix invalide",IF(OR(AND(F1663&lt;&gt;"",NOT(ISNUMBER(F1663))),N(F1663)&lt;0,N(F1663)&gt;1),"Remise invalide",IF(K1663="","Taux de TVA manquant",IF(NOT(ISNUMBER(K1663)),"Taux de TVA invalide",IF(COUNTIF(p_rates,K1663)=0,"Taux de TVA hors liste (Paramètres)",IF(N(O1663)&gt;25,"Au-delà de 25 lignes : non imprimée","OK")))))))))))))</f>
        <v/>
      </c>
      <c r="O1663" s="59" t="str">
        <f>IF(A1663="","",COUNTIF($A$6:A1663,A1663))</f>
        <v/>
      </c>
      <c r="P1663" s="62" t="str">
        <f>IF(A1663="","",A1663&amp;"|"&amp;O1663)</f>
        <v/>
      </c>
    </row>
    <row r="1664">
      <c r="A1664" s="60" t="n"/>
      <c r="B1664" s="63" t="n"/>
      <c r="C1664" s="63" t="n"/>
      <c r="D1664" s="67" t="n"/>
      <c r="E1664" s="68" t="n"/>
      <c r="F1664" s="69" t="n"/>
      <c r="G1664" s="70" t="n"/>
      <c r="H1664" s="62" t="str">
        <f>IF(COUNTA(A1664:G1664)=0,"",IF(C1664&lt;&gt;"",C1664,IF(B1664="","",IFERROR(INDEX(pr_des,MATCH(B1664,pr_code,0))&amp;"",""))))</f>
        <v/>
      </c>
      <c r="I1664" s="59" t="str">
        <f>IF(B1664="","",IFERROR(INDEX(pr_unit,MATCH(B1664,pr_code,0))&amp;"",""))</f>
        <v/>
      </c>
      <c r="J1664" s="65" t="str">
        <f>IF(COUNTA(A1664:G1664)=0,"",IF(E1664&lt;&gt;"",E1664,IF(B1664="","",IFERROR(IF(INDEX(pr_price,MATCH(B1664,pr_code,0))="","",INDEX(pr_price,MATCH(B1664,pr_code,0))),""))))</f>
        <v/>
      </c>
      <c r="K1664" s="71" t="str">
        <f>IF(COUNTA(A1664:G1664)=0,"",IF(G1664&lt;&gt;"",G1664,IF(B1664="","",IFERROR(IF(INDEX(pr_rate,MATCH(B1664,pr_code,0))="","",INDEX(pr_rate,MATCH(B1664,pr_code,0))),""))))</f>
        <v/>
      </c>
      <c r="L1664" s="65" t="str">
        <f>IF(COUNTA(A1664:G1664)=0,"",IF(AND(ISNUMBER(D1664),ISNUMBER(J1664)),ROUND(D1664*J1664*(1-N(F1664)),2),0))</f>
        <v/>
      </c>
      <c r="M1664" s="62" t="str">
        <f>IF(A1664="","",IFERROR(INDEX(dv_cname,MATCH(A1664,dv_num,0))&amp;"",""))</f>
        <v/>
      </c>
      <c r="N1664" s="59" t="str">
        <f>IF(COUNTA(A1664:G1664)=0,"",IF(A1664="","N° devis manquant",IF(ISNA(MATCH(A1664,dv_num,0)),"Devis inconnu",IF(AND(B1664&lt;&gt;"",ISNA(MATCH(B1664,pr_code,0))),"Article inconnu",IF(H1664="","Désignation manquante",IF(OR(NOT(ISNUMBER(D1664)),N(D1664)&lt;=0),"Quantité invalide",IF(J1664="","Prix manquant",IF(OR(NOT(ISNUMBER(J1664)),N(J1664)&lt;0),"Prix invalide",IF(OR(AND(F1664&lt;&gt;"",NOT(ISNUMBER(F1664))),N(F1664)&lt;0,N(F1664)&gt;1),"Remise invalide",IF(K1664="","Taux de TVA manquant",IF(NOT(ISNUMBER(K1664)),"Taux de TVA invalide",IF(COUNTIF(p_rates,K1664)=0,"Taux de TVA hors liste (Paramètres)",IF(N(O1664)&gt;25,"Au-delà de 25 lignes : non imprimée","OK")))))))))))))</f>
        <v/>
      </c>
      <c r="O1664" s="59" t="str">
        <f>IF(A1664="","",COUNTIF($A$6:A1664,A1664))</f>
        <v/>
      </c>
      <c r="P1664" s="62" t="str">
        <f>IF(A1664="","",A1664&amp;"|"&amp;O1664)</f>
        <v/>
      </c>
    </row>
    <row r="1665">
      <c r="A1665" s="60" t="n"/>
      <c r="B1665" s="63" t="n"/>
      <c r="C1665" s="63" t="n"/>
      <c r="D1665" s="67" t="n"/>
      <c r="E1665" s="68" t="n"/>
      <c r="F1665" s="69" t="n"/>
      <c r="G1665" s="70" t="n"/>
      <c r="H1665" s="62" t="str">
        <f>IF(COUNTA(A1665:G1665)=0,"",IF(C1665&lt;&gt;"",C1665,IF(B1665="","",IFERROR(INDEX(pr_des,MATCH(B1665,pr_code,0))&amp;"",""))))</f>
        <v/>
      </c>
      <c r="I1665" s="59" t="str">
        <f>IF(B1665="","",IFERROR(INDEX(pr_unit,MATCH(B1665,pr_code,0))&amp;"",""))</f>
        <v/>
      </c>
      <c r="J1665" s="65" t="str">
        <f>IF(COUNTA(A1665:G1665)=0,"",IF(E1665&lt;&gt;"",E1665,IF(B1665="","",IFERROR(IF(INDEX(pr_price,MATCH(B1665,pr_code,0))="","",INDEX(pr_price,MATCH(B1665,pr_code,0))),""))))</f>
        <v/>
      </c>
      <c r="K1665" s="71" t="str">
        <f>IF(COUNTA(A1665:G1665)=0,"",IF(G1665&lt;&gt;"",G1665,IF(B1665="","",IFERROR(IF(INDEX(pr_rate,MATCH(B1665,pr_code,0))="","",INDEX(pr_rate,MATCH(B1665,pr_code,0))),""))))</f>
        <v/>
      </c>
      <c r="L1665" s="65" t="str">
        <f>IF(COUNTA(A1665:G1665)=0,"",IF(AND(ISNUMBER(D1665),ISNUMBER(J1665)),ROUND(D1665*J1665*(1-N(F1665)),2),0))</f>
        <v/>
      </c>
      <c r="M1665" s="62" t="str">
        <f>IF(A1665="","",IFERROR(INDEX(dv_cname,MATCH(A1665,dv_num,0))&amp;"",""))</f>
        <v/>
      </c>
      <c r="N1665" s="59" t="str">
        <f>IF(COUNTA(A1665:G1665)=0,"",IF(A1665="","N° devis manquant",IF(ISNA(MATCH(A1665,dv_num,0)),"Devis inconnu",IF(AND(B1665&lt;&gt;"",ISNA(MATCH(B1665,pr_code,0))),"Article inconnu",IF(H1665="","Désignation manquante",IF(OR(NOT(ISNUMBER(D1665)),N(D1665)&lt;=0),"Quantité invalide",IF(J1665="","Prix manquant",IF(OR(NOT(ISNUMBER(J1665)),N(J1665)&lt;0),"Prix invalide",IF(OR(AND(F1665&lt;&gt;"",NOT(ISNUMBER(F1665))),N(F1665)&lt;0,N(F1665)&gt;1),"Remise invalide",IF(K1665="","Taux de TVA manquant",IF(NOT(ISNUMBER(K1665)),"Taux de TVA invalide",IF(COUNTIF(p_rates,K1665)=0,"Taux de TVA hors liste (Paramètres)",IF(N(O1665)&gt;25,"Au-delà de 25 lignes : non imprimée","OK")))))))))))))</f>
        <v/>
      </c>
      <c r="O1665" s="59" t="str">
        <f>IF(A1665="","",COUNTIF($A$6:A1665,A1665))</f>
        <v/>
      </c>
      <c r="P1665" s="62" t="str">
        <f>IF(A1665="","",A1665&amp;"|"&amp;O1665)</f>
        <v/>
      </c>
    </row>
    <row r="1666">
      <c r="A1666" s="60" t="n"/>
      <c r="B1666" s="63" t="n"/>
      <c r="C1666" s="63" t="n"/>
      <c r="D1666" s="67" t="n"/>
      <c r="E1666" s="68" t="n"/>
      <c r="F1666" s="69" t="n"/>
      <c r="G1666" s="70" t="n"/>
      <c r="H1666" s="62" t="str">
        <f>IF(COUNTA(A1666:G1666)=0,"",IF(C1666&lt;&gt;"",C1666,IF(B1666="","",IFERROR(INDEX(pr_des,MATCH(B1666,pr_code,0))&amp;"",""))))</f>
        <v/>
      </c>
      <c r="I1666" s="59" t="str">
        <f>IF(B1666="","",IFERROR(INDEX(pr_unit,MATCH(B1666,pr_code,0))&amp;"",""))</f>
        <v/>
      </c>
      <c r="J1666" s="65" t="str">
        <f>IF(COUNTA(A1666:G1666)=0,"",IF(E1666&lt;&gt;"",E1666,IF(B1666="","",IFERROR(IF(INDEX(pr_price,MATCH(B1666,pr_code,0))="","",INDEX(pr_price,MATCH(B1666,pr_code,0))),""))))</f>
        <v/>
      </c>
      <c r="K1666" s="71" t="str">
        <f>IF(COUNTA(A1666:G1666)=0,"",IF(G1666&lt;&gt;"",G1666,IF(B1666="","",IFERROR(IF(INDEX(pr_rate,MATCH(B1666,pr_code,0))="","",INDEX(pr_rate,MATCH(B1666,pr_code,0))),""))))</f>
        <v/>
      </c>
      <c r="L1666" s="65" t="str">
        <f>IF(COUNTA(A1666:G1666)=0,"",IF(AND(ISNUMBER(D1666),ISNUMBER(J1666)),ROUND(D1666*J1666*(1-N(F1666)),2),0))</f>
        <v/>
      </c>
      <c r="M1666" s="62" t="str">
        <f>IF(A1666="","",IFERROR(INDEX(dv_cname,MATCH(A1666,dv_num,0))&amp;"",""))</f>
        <v/>
      </c>
      <c r="N1666" s="59" t="str">
        <f>IF(COUNTA(A1666:G1666)=0,"",IF(A1666="","N° devis manquant",IF(ISNA(MATCH(A1666,dv_num,0)),"Devis inconnu",IF(AND(B1666&lt;&gt;"",ISNA(MATCH(B1666,pr_code,0))),"Article inconnu",IF(H1666="","Désignation manquante",IF(OR(NOT(ISNUMBER(D1666)),N(D1666)&lt;=0),"Quantité invalide",IF(J1666="","Prix manquant",IF(OR(NOT(ISNUMBER(J1666)),N(J1666)&lt;0),"Prix invalide",IF(OR(AND(F1666&lt;&gt;"",NOT(ISNUMBER(F1666))),N(F1666)&lt;0,N(F1666)&gt;1),"Remise invalide",IF(K1666="","Taux de TVA manquant",IF(NOT(ISNUMBER(K1666)),"Taux de TVA invalide",IF(COUNTIF(p_rates,K1666)=0,"Taux de TVA hors liste (Paramètres)",IF(N(O1666)&gt;25,"Au-delà de 25 lignes : non imprimée","OK")))))))))))))</f>
        <v/>
      </c>
      <c r="O1666" s="59" t="str">
        <f>IF(A1666="","",COUNTIF($A$6:A1666,A1666))</f>
        <v/>
      </c>
      <c r="P1666" s="62" t="str">
        <f>IF(A1666="","",A1666&amp;"|"&amp;O1666)</f>
        <v/>
      </c>
    </row>
    <row r="1667">
      <c r="A1667" s="60" t="n"/>
      <c r="B1667" s="63" t="n"/>
      <c r="C1667" s="63" t="n"/>
      <c r="D1667" s="67" t="n"/>
      <c r="E1667" s="68" t="n"/>
      <c r="F1667" s="69" t="n"/>
      <c r="G1667" s="70" t="n"/>
      <c r="H1667" s="62" t="str">
        <f>IF(COUNTA(A1667:G1667)=0,"",IF(C1667&lt;&gt;"",C1667,IF(B1667="","",IFERROR(INDEX(pr_des,MATCH(B1667,pr_code,0))&amp;"",""))))</f>
        <v/>
      </c>
      <c r="I1667" s="59" t="str">
        <f>IF(B1667="","",IFERROR(INDEX(pr_unit,MATCH(B1667,pr_code,0))&amp;"",""))</f>
        <v/>
      </c>
      <c r="J1667" s="65" t="str">
        <f>IF(COUNTA(A1667:G1667)=0,"",IF(E1667&lt;&gt;"",E1667,IF(B1667="","",IFERROR(IF(INDEX(pr_price,MATCH(B1667,pr_code,0))="","",INDEX(pr_price,MATCH(B1667,pr_code,0))),""))))</f>
        <v/>
      </c>
      <c r="K1667" s="71" t="str">
        <f>IF(COUNTA(A1667:G1667)=0,"",IF(G1667&lt;&gt;"",G1667,IF(B1667="","",IFERROR(IF(INDEX(pr_rate,MATCH(B1667,pr_code,0))="","",INDEX(pr_rate,MATCH(B1667,pr_code,0))),""))))</f>
        <v/>
      </c>
      <c r="L1667" s="65" t="str">
        <f>IF(COUNTA(A1667:G1667)=0,"",IF(AND(ISNUMBER(D1667),ISNUMBER(J1667)),ROUND(D1667*J1667*(1-N(F1667)),2),0))</f>
        <v/>
      </c>
      <c r="M1667" s="62" t="str">
        <f>IF(A1667="","",IFERROR(INDEX(dv_cname,MATCH(A1667,dv_num,0))&amp;"",""))</f>
        <v/>
      </c>
      <c r="N1667" s="59" t="str">
        <f>IF(COUNTA(A1667:G1667)=0,"",IF(A1667="","N° devis manquant",IF(ISNA(MATCH(A1667,dv_num,0)),"Devis inconnu",IF(AND(B1667&lt;&gt;"",ISNA(MATCH(B1667,pr_code,0))),"Article inconnu",IF(H1667="","Désignation manquante",IF(OR(NOT(ISNUMBER(D1667)),N(D1667)&lt;=0),"Quantité invalide",IF(J1667="","Prix manquant",IF(OR(NOT(ISNUMBER(J1667)),N(J1667)&lt;0),"Prix invalide",IF(OR(AND(F1667&lt;&gt;"",NOT(ISNUMBER(F1667))),N(F1667)&lt;0,N(F1667)&gt;1),"Remise invalide",IF(K1667="","Taux de TVA manquant",IF(NOT(ISNUMBER(K1667)),"Taux de TVA invalide",IF(COUNTIF(p_rates,K1667)=0,"Taux de TVA hors liste (Paramètres)",IF(N(O1667)&gt;25,"Au-delà de 25 lignes : non imprimée","OK")))))))))))))</f>
        <v/>
      </c>
      <c r="O1667" s="59" t="str">
        <f>IF(A1667="","",COUNTIF($A$6:A1667,A1667))</f>
        <v/>
      </c>
      <c r="P1667" s="62" t="str">
        <f>IF(A1667="","",A1667&amp;"|"&amp;O1667)</f>
        <v/>
      </c>
    </row>
    <row r="1668">
      <c r="A1668" s="60" t="n"/>
      <c r="B1668" s="63" t="n"/>
      <c r="C1668" s="63" t="n"/>
      <c r="D1668" s="67" t="n"/>
      <c r="E1668" s="68" t="n"/>
      <c r="F1668" s="69" t="n"/>
      <c r="G1668" s="70" t="n"/>
      <c r="H1668" s="62" t="str">
        <f>IF(COUNTA(A1668:G1668)=0,"",IF(C1668&lt;&gt;"",C1668,IF(B1668="","",IFERROR(INDEX(pr_des,MATCH(B1668,pr_code,0))&amp;"",""))))</f>
        <v/>
      </c>
      <c r="I1668" s="59" t="str">
        <f>IF(B1668="","",IFERROR(INDEX(pr_unit,MATCH(B1668,pr_code,0))&amp;"",""))</f>
        <v/>
      </c>
      <c r="J1668" s="65" t="str">
        <f>IF(COUNTA(A1668:G1668)=0,"",IF(E1668&lt;&gt;"",E1668,IF(B1668="","",IFERROR(IF(INDEX(pr_price,MATCH(B1668,pr_code,0))="","",INDEX(pr_price,MATCH(B1668,pr_code,0))),""))))</f>
        <v/>
      </c>
      <c r="K1668" s="71" t="str">
        <f>IF(COUNTA(A1668:G1668)=0,"",IF(G1668&lt;&gt;"",G1668,IF(B1668="","",IFERROR(IF(INDEX(pr_rate,MATCH(B1668,pr_code,0))="","",INDEX(pr_rate,MATCH(B1668,pr_code,0))),""))))</f>
        <v/>
      </c>
      <c r="L1668" s="65" t="str">
        <f>IF(COUNTA(A1668:G1668)=0,"",IF(AND(ISNUMBER(D1668),ISNUMBER(J1668)),ROUND(D1668*J1668*(1-N(F1668)),2),0))</f>
        <v/>
      </c>
      <c r="M1668" s="62" t="str">
        <f>IF(A1668="","",IFERROR(INDEX(dv_cname,MATCH(A1668,dv_num,0))&amp;"",""))</f>
        <v/>
      </c>
      <c r="N1668" s="59" t="str">
        <f>IF(COUNTA(A1668:G1668)=0,"",IF(A1668="","N° devis manquant",IF(ISNA(MATCH(A1668,dv_num,0)),"Devis inconnu",IF(AND(B1668&lt;&gt;"",ISNA(MATCH(B1668,pr_code,0))),"Article inconnu",IF(H1668="","Désignation manquante",IF(OR(NOT(ISNUMBER(D1668)),N(D1668)&lt;=0),"Quantité invalide",IF(J1668="","Prix manquant",IF(OR(NOT(ISNUMBER(J1668)),N(J1668)&lt;0),"Prix invalide",IF(OR(AND(F1668&lt;&gt;"",NOT(ISNUMBER(F1668))),N(F1668)&lt;0,N(F1668)&gt;1),"Remise invalide",IF(K1668="","Taux de TVA manquant",IF(NOT(ISNUMBER(K1668)),"Taux de TVA invalide",IF(COUNTIF(p_rates,K1668)=0,"Taux de TVA hors liste (Paramètres)",IF(N(O1668)&gt;25,"Au-delà de 25 lignes : non imprimée","OK")))))))))))))</f>
        <v/>
      </c>
      <c r="O1668" s="59" t="str">
        <f>IF(A1668="","",COUNTIF($A$6:A1668,A1668))</f>
        <v/>
      </c>
      <c r="P1668" s="62" t="str">
        <f>IF(A1668="","",A1668&amp;"|"&amp;O1668)</f>
        <v/>
      </c>
    </row>
    <row r="1669">
      <c r="A1669" s="60" t="n"/>
      <c r="B1669" s="63" t="n"/>
      <c r="C1669" s="63" t="n"/>
      <c r="D1669" s="67" t="n"/>
      <c r="E1669" s="68" t="n"/>
      <c r="F1669" s="69" t="n"/>
      <c r="G1669" s="70" t="n"/>
      <c r="H1669" s="62" t="str">
        <f>IF(COUNTA(A1669:G1669)=0,"",IF(C1669&lt;&gt;"",C1669,IF(B1669="","",IFERROR(INDEX(pr_des,MATCH(B1669,pr_code,0))&amp;"",""))))</f>
        <v/>
      </c>
      <c r="I1669" s="59" t="str">
        <f>IF(B1669="","",IFERROR(INDEX(pr_unit,MATCH(B1669,pr_code,0))&amp;"",""))</f>
        <v/>
      </c>
      <c r="J1669" s="65" t="str">
        <f>IF(COUNTA(A1669:G1669)=0,"",IF(E1669&lt;&gt;"",E1669,IF(B1669="","",IFERROR(IF(INDEX(pr_price,MATCH(B1669,pr_code,0))="","",INDEX(pr_price,MATCH(B1669,pr_code,0))),""))))</f>
        <v/>
      </c>
      <c r="K1669" s="71" t="str">
        <f>IF(COUNTA(A1669:G1669)=0,"",IF(G1669&lt;&gt;"",G1669,IF(B1669="","",IFERROR(IF(INDEX(pr_rate,MATCH(B1669,pr_code,0))="","",INDEX(pr_rate,MATCH(B1669,pr_code,0))),""))))</f>
        <v/>
      </c>
      <c r="L1669" s="65" t="str">
        <f>IF(COUNTA(A1669:G1669)=0,"",IF(AND(ISNUMBER(D1669),ISNUMBER(J1669)),ROUND(D1669*J1669*(1-N(F1669)),2),0))</f>
        <v/>
      </c>
      <c r="M1669" s="62" t="str">
        <f>IF(A1669="","",IFERROR(INDEX(dv_cname,MATCH(A1669,dv_num,0))&amp;"",""))</f>
        <v/>
      </c>
      <c r="N1669" s="59" t="str">
        <f>IF(COUNTA(A1669:G1669)=0,"",IF(A1669="","N° devis manquant",IF(ISNA(MATCH(A1669,dv_num,0)),"Devis inconnu",IF(AND(B1669&lt;&gt;"",ISNA(MATCH(B1669,pr_code,0))),"Article inconnu",IF(H1669="","Désignation manquante",IF(OR(NOT(ISNUMBER(D1669)),N(D1669)&lt;=0),"Quantité invalide",IF(J1669="","Prix manquant",IF(OR(NOT(ISNUMBER(J1669)),N(J1669)&lt;0),"Prix invalide",IF(OR(AND(F1669&lt;&gt;"",NOT(ISNUMBER(F1669))),N(F1669)&lt;0,N(F1669)&gt;1),"Remise invalide",IF(K1669="","Taux de TVA manquant",IF(NOT(ISNUMBER(K1669)),"Taux de TVA invalide",IF(COUNTIF(p_rates,K1669)=0,"Taux de TVA hors liste (Paramètres)",IF(N(O1669)&gt;25,"Au-delà de 25 lignes : non imprimée","OK")))))))))))))</f>
        <v/>
      </c>
      <c r="O1669" s="59" t="str">
        <f>IF(A1669="","",COUNTIF($A$6:A1669,A1669))</f>
        <v/>
      </c>
      <c r="P1669" s="62" t="str">
        <f>IF(A1669="","",A1669&amp;"|"&amp;O1669)</f>
        <v/>
      </c>
    </row>
    <row r="1670">
      <c r="A1670" s="60" t="n"/>
      <c r="B1670" s="63" t="n"/>
      <c r="C1670" s="63" t="n"/>
      <c r="D1670" s="67" t="n"/>
      <c r="E1670" s="68" t="n"/>
      <c r="F1670" s="69" t="n"/>
      <c r="G1670" s="70" t="n"/>
      <c r="H1670" s="62" t="str">
        <f>IF(COUNTA(A1670:G1670)=0,"",IF(C1670&lt;&gt;"",C1670,IF(B1670="","",IFERROR(INDEX(pr_des,MATCH(B1670,pr_code,0))&amp;"",""))))</f>
        <v/>
      </c>
      <c r="I1670" s="59" t="str">
        <f>IF(B1670="","",IFERROR(INDEX(pr_unit,MATCH(B1670,pr_code,0))&amp;"",""))</f>
        <v/>
      </c>
      <c r="J1670" s="65" t="str">
        <f>IF(COUNTA(A1670:G1670)=0,"",IF(E1670&lt;&gt;"",E1670,IF(B1670="","",IFERROR(IF(INDEX(pr_price,MATCH(B1670,pr_code,0))="","",INDEX(pr_price,MATCH(B1670,pr_code,0))),""))))</f>
        <v/>
      </c>
      <c r="K1670" s="71" t="str">
        <f>IF(COUNTA(A1670:G1670)=0,"",IF(G1670&lt;&gt;"",G1670,IF(B1670="","",IFERROR(IF(INDEX(pr_rate,MATCH(B1670,pr_code,0))="","",INDEX(pr_rate,MATCH(B1670,pr_code,0))),""))))</f>
        <v/>
      </c>
      <c r="L1670" s="65" t="str">
        <f>IF(COUNTA(A1670:G1670)=0,"",IF(AND(ISNUMBER(D1670),ISNUMBER(J1670)),ROUND(D1670*J1670*(1-N(F1670)),2),0))</f>
        <v/>
      </c>
      <c r="M1670" s="62" t="str">
        <f>IF(A1670="","",IFERROR(INDEX(dv_cname,MATCH(A1670,dv_num,0))&amp;"",""))</f>
        <v/>
      </c>
      <c r="N1670" s="59" t="str">
        <f>IF(COUNTA(A1670:G1670)=0,"",IF(A1670="","N° devis manquant",IF(ISNA(MATCH(A1670,dv_num,0)),"Devis inconnu",IF(AND(B1670&lt;&gt;"",ISNA(MATCH(B1670,pr_code,0))),"Article inconnu",IF(H1670="","Désignation manquante",IF(OR(NOT(ISNUMBER(D1670)),N(D1670)&lt;=0),"Quantité invalide",IF(J1670="","Prix manquant",IF(OR(NOT(ISNUMBER(J1670)),N(J1670)&lt;0),"Prix invalide",IF(OR(AND(F1670&lt;&gt;"",NOT(ISNUMBER(F1670))),N(F1670)&lt;0,N(F1670)&gt;1),"Remise invalide",IF(K1670="","Taux de TVA manquant",IF(NOT(ISNUMBER(K1670)),"Taux de TVA invalide",IF(COUNTIF(p_rates,K1670)=0,"Taux de TVA hors liste (Paramètres)",IF(N(O1670)&gt;25,"Au-delà de 25 lignes : non imprimée","OK")))))))))))))</f>
        <v/>
      </c>
      <c r="O1670" s="59" t="str">
        <f>IF(A1670="","",COUNTIF($A$6:A1670,A1670))</f>
        <v/>
      </c>
      <c r="P1670" s="62" t="str">
        <f>IF(A1670="","",A1670&amp;"|"&amp;O1670)</f>
        <v/>
      </c>
    </row>
    <row r="1671">
      <c r="A1671" s="60" t="n"/>
      <c r="B1671" s="63" t="n"/>
      <c r="C1671" s="63" t="n"/>
      <c r="D1671" s="67" t="n"/>
      <c r="E1671" s="68" t="n"/>
      <c r="F1671" s="69" t="n"/>
      <c r="G1671" s="70" t="n"/>
      <c r="H1671" s="62" t="str">
        <f>IF(COUNTA(A1671:G1671)=0,"",IF(C1671&lt;&gt;"",C1671,IF(B1671="","",IFERROR(INDEX(pr_des,MATCH(B1671,pr_code,0))&amp;"",""))))</f>
        <v/>
      </c>
      <c r="I1671" s="59" t="str">
        <f>IF(B1671="","",IFERROR(INDEX(pr_unit,MATCH(B1671,pr_code,0))&amp;"",""))</f>
        <v/>
      </c>
      <c r="J1671" s="65" t="str">
        <f>IF(COUNTA(A1671:G1671)=0,"",IF(E1671&lt;&gt;"",E1671,IF(B1671="","",IFERROR(IF(INDEX(pr_price,MATCH(B1671,pr_code,0))="","",INDEX(pr_price,MATCH(B1671,pr_code,0))),""))))</f>
        <v/>
      </c>
      <c r="K1671" s="71" t="str">
        <f>IF(COUNTA(A1671:G1671)=0,"",IF(G1671&lt;&gt;"",G1671,IF(B1671="","",IFERROR(IF(INDEX(pr_rate,MATCH(B1671,pr_code,0))="","",INDEX(pr_rate,MATCH(B1671,pr_code,0))),""))))</f>
        <v/>
      </c>
      <c r="L1671" s="65" t="str">
        <f>IF(COUNTA(A1671:G1671)=0,"",IF(AND(ISNUMBER(D1671),ISNUMBER(J1671)),ROUND(D1671*J1671*(1-N(F1671)),2),0))</f>
        <v/>
      </c>
      <c r="M1671" s="62" t="str">
        <f>IF(A1671="","",IFERROR(INDEX(dv_cname,MATCH(A1671,dv_num,0))&amp;"",""))</f>
        <v/>
      </c>
      <c r="N1671" s="59" t="str">
        <f>IF(COUNTA(A1671:G1671)=0,"",IF(A1671="","N° devis manquant",IF(ISNA(MATCH(A1671,dv_num,0)),"Devis inconnu",IF(AND(B1671&lt;&gt;"",ISNA(MATCH(B1671,pr_code,0))),"Article inconnu",IF(H1671="","Désignation manquante",IF(OR(NOT(ISNUMBER(D1671)),N(D1671)&lt;=0),"Quantité invalide",IF(J1671="","Prix manquant",IF(OR(NOT(ISNUMBER(J1671)),N(J1671)&lt;0),"Prix invalide",IF(OR(AND(F1671&lt;&gt;"",NOT(ISNUMBER(F1671))),N(F1671)&lt;0,N(F1671)&gt;1),"Remise invalide",IF(K1671="","Taux de TVA manquant",IF(NOT(ISNUMBER(K1671)),"Taux de TVA invalide",IF(COUNTIF(p_rates,K1671)=0,"Taux de TVA hors liste (Paramètres)",IF(N(O1671)&gt;25,"Au-delà de 25 lignes : non imprimée","OK")))))))))))))</f>
        <v/>
      </c>
      <c r="O1671" s="59" t="str">
        <f>IF(A1671="","",COUNTIF($A$6:A1671,A1671))</f>
        <v/>
      </c>
      <c r="P1671" s="62" t="str">
        <f>IF(A1671="","",A1671&amp;"|"&amp;O1671)</f>
        <v/>
      </c>
    </row>
    <row r="1672">
      <c r="A1672" s="60" t="n"/>
      <c r="B1672" s="63" t="n"/>
      <c r="C1672" s="63" t="n"/>
      <c r="D1672" s="67" t="n"/>
      <c r="E1672" s="68" t="n"/>
      <c r="F1672" s="69" t="n"/>
      <c r="G1672" s="70" t="n"/>
      <c r="H1672" s="62" t="str">
        <f>IF(COUNTA(A1672:G1672)=0,"",IF(C1672&lt;&gt;"",C1672,IF(B1672="","",IFERROR(INDEX(pr_des,MATCH(B1672,pr_code,0))&amp;"",""))))</f>
        <v/>
      </c>
      <c r="I1672" s="59" t="str">
        <f>IF(B1672="","",IFERROR(INDEX(pr_unit,MATCH(B1672,pr_code,0))&amp;"",""))</f>
        <v/>
      </c>
      <c r="J1672" s="65" t="str">
        <f>IF(COUNTA(A1672:G1672)=0,"",IF(E1672&lt;&gt;"",E1672,IF(B1672="","",IFERROR(IF(INDEX(pr_price,MATCH(B1672,pr_code,0))="","",INDEX(pr_price,MATCH(B1672,pr_code,0))),""))))</f>
        <v/>
      </c>
      <c r="K1672" s="71" t="str">
        <f>IF(COUNTA(A1672:G1672)=0,"",IF(G1672&lt;&gt;"",G1672,IF(B1672="","",IFERROR(IF(INDEX(pr_rate,MATCH(B1672,pr_code,0))="","",INDEX(pr_rate,MATCH(B1672,pr_code,0))),""))))</f>
        <v/>
      </c>
      <c r="L1672" s="65" t="str">
        <f>IF(COUNTA(A1672:G1672)=0,"",IF(AND(ISNUMBER(D1672),ISNUMBER(J1672)),ROUND(D1672*J1672*(1-N(F1672)),2),0))</f>
        <v/>
      </c>
      <c r="M1672" s="62" t="str">
        <f>IF(A1672="","",IFERROR(INDEX(dv_cname,MATCH(A1672,dv_num,0))&amp;"",""))</f>
        <v/>
      </c>
      <c r="N1672" s="59" t="str">
        <f>IF(COUNTA(A1672:G1672)=0,"",IF(A1672="","N° devis manquant",IF(ISNA(MATCH(A1672,dv_num,0)),"Devis inconnu",IF(AND(B1672&lt;&gt;"",ISNA(MATCH(B1672,pr_code,0))),"Article inconnu",IF(H1672="","Désignation manquante",IF(OR(NOT(ISNUMBER(D1672)),N(D1672)&lt;=0),"Quantité invalide",IF(J1672="","Prix manquant",IF(OR(NOT(ISNUMBER(J1672)),N(J1672)&lt;0),"Prix invalide",IF(OR(AND(F1672&lt;&gt;"",NOT(ISNUMBER(F1672))),N(F1672)&lt;0,N(F1672)&gt;1),"Remise invalide",IF(K1672="","Taux de TVA manquant",IF(NOT(ISNUMBER(K1672)),"Taux de TVA invalide",IF(COUNTIF(p_rates,K1672)=0,"Taux de TVA hors liste (Paramètres)",IF(N(O1672)&gt;25,"Au-delà de 25 lignes : non imprimée","OK")))))))))))))</f>
        <v/>
      </c>
      <c r="O1672" s="59" t="str">
        <f>IF(A1672="","",COUNTIF($A$6:A1672,A1672))</f>
        <v/>
      </c>
      <c r="P1672" s="62" t="str">
        <f>IF(A1672="","",A1672&amp;"|"&amp;O1672)</f>
        <v/>
      </c>
    </row>
    <row r="1673">
      <c r="A1673" s="60" t="n"/>
      <c r="B1673" s="63" t="n"/>
      <c r="C1673" s="63" t="n"/>
      <c r="D1673" s="67" t="n"/>
      <c r="E1673" s="68" t="n"/>
      <c r="F1673" s="69" t="n"/>
      <c r="G1673" s="70" t="n"/>
      <c r="H1673" s="62" t="str">
        <f>IF(COUNTA(A1673:G1673)=0,"",IF(C1673&lt;&gt;"",C1673,IF(B1673="","",IFERROR(INDEX(pr_des,MATCH(B1673,pr_code,0))&amp;"",""))))</f>
        <v/>
      </c>
      <c r="I1673" s="59" t="str">
        <f>IF(B1673="","",IFERROR(INDEX(pr_unit,MATCH(B1673,pr_code,0))&amp;"",""))</f>
        <v/>
      </c>
      <c r="J1673" s="65" t="str">
        <f>IF(COUNTA(A1673:G1673)=0,"",IF(E1673&lt;&gt;"",E1673,IF(B1673="","",IFERROR(IF(INDEX(pr_price,MATCH(B1673,pr_code,0))="","",INDEX(pr_price,MATCH(B1673,pr_code,0))),""))))</f>
        <v/>
      </c>
      <c r="K1673" s="71" t="str">
        <f>IF(COUNTA(A1673:G1673)=0,"",IF(G1673&lt;&gt;"",G1673,IF(B1673="","",IFERROR(IF(INDEX(pr_rate,MATCH(B1673,pr_code,0))="","",INDEX(pr_rate,MATCH(B1673,pr_code,0))),""))))</f>
        <v/>
      </c>
      <c r="L1673" s="65" t="str">
        <f>IF(COUNTA(A1673:G1673)=0,"",IF(AND(ISNUMBER(D1673),ISNUMBER(J1673)),ROUND(D1673*J1673*(1-N(F1673)),2),0))</f>
        <v/>
      </c>
      <c r="M1673" s="62" t="str">
        <f>IF(A1673="","",IFERROR(INDEX(dv_cname,MATCH(A1673,dv_num,0))&amp;"",""))</f>
        <v/>
      </c>
      <c r="N1673" s="59" t="str">
        <f>IF(COUNTA(A1673:G1673)=0,"",IF(A1673="","N° devis manquant",IF(ISNA(MATCH(A1673,dv_num,0)),"Devis inconnu",IF(AND(B1673&lt;&gt;"",ISNA(MATCH(B1673,pr_code,0))),"Article inconnu",IF(H1673="","Désignation manquante",IF(OR(NOT(ISNUMBER(D1673)),N(D1673)&lt;=0),"Quantité invalide",IF(J1673="","Prix manquant",IF(OR(NOT(ISNUMBER(J1673)),N(J1673)&lt;0),"Prix invalide",IF(OR(AND(F1673&lt;&gt;"",NOT(ISNUMBER(F1673))),N(F1673)&lt;0,N(F1673)&gt;1),"Remise invalide",IF(K1673="","Taux de TVA manquant",IF(NOT(ISNUMBER(K1673)),"Taux de TVA invalide",IF(COUNTIF(p_rates,K1673)=0,"Taux de TVA hors liste (Paramètres)",IF(N(O1673)&gt;25,"Au-delà de 25 lignes : non imprimée","OK")))))))))))))</f>
        <v/>
      </c>
      <c r="O1673" s="59" t="str">
        <f>IF(A1673="","",COUNTIF($A$6:A1673,A1673))</f>
        <v/>
      </c>
      <c r="P1673" s="62" t="str">
        <f>IF(A1673="","",A1673&amp;"|"&amp;O1673)</f>
        <v/>
      </c>
    </row>
    <row r="1674">
      <c r="A1674" s="60" t="n"/>
      <c r="B1674" s="63" t="n"/>
      <c r="C1674" s="63" t="n"/>
      <c r="D1674" s="67" t="n"/>
      <c r="E1674" s="68" t="n"/>
      <c r="F1674" s="69" t="n"/>
      <c r="G1674" s="70" t="n"/>
      <c r="H1674" s="62" t="str">
        <f>IF(COUNTA(A1674:G1674)=0,"",IF(C1674&lt;&gt;"",C1674,IF(B1674="","",IFERROR(INDEX(pr_des,MATCH(B1674,pr_code,0))&amp;"",""))))</f>
        <v/>
      </c>
      <c r="I1674" s="59" t="str">
        <f>IF(B1674="","",IFERROR(INDEX(pr_unit,MATCH(B1674,pr_code,0))&amp;"",""))</f>
        <v/>
      </c>
      <c r="J1674" s="65" t="str">
        <f>IF(COUNTA(A1674:G1674)=0,"",IF(E1674&lt;&gt;"",E1674,IF(B1674="","",IFERROR(IF(INDEX(pr_price,MATCH(B1674,pr_code,0))="","",INDEX(pr_price,MATCH(B1674,pr_code,0))),""))))</f>
        <v/>
      </c>
      <c r="K1674" s="71" t="str">
        <f>IF(COUNTA(A1674:G1674)=0,"",IF(G1674&lt;&gt;"",G1674,IF(B1674="","",IFERROR(IF(INDEX(pr_rate,MATCH(B1674,pr_code,0))="","",INDEX(pr_rate,MATCH(B1674,pr_code,0))),""))))</f>
        <v/>
      </c>
      <c r="L1674" s="65" t="str">
        <f>IF(COUNTA(A1674:G1674)=0,"",IF(AND(ISNUMBER(D1674),ISNUMBER(J1674)),ROUND(D1674*J1674*(1-N(F1674)),2),0))</f>
        <v/>
      </c>
      <c r="M1674" s="62" t="str">
        <f>IF(A1674="","",IFERROR(INDEX(dv_cname,MATCH(A1674,dv_num,0))&amp;"",""))</f>
        <v/>
      </c>
      <c r="N1674" s="59" t="str">
        <f>IF(COUNTA(A1674:G1674)=0,"",IF(A1674="","N° devis manquant",IF(ISNA(MATCH(A1674,dv_num,0)),"Devis inconnu",IF(AND(B1674&lt;&gt;"",ISNA(MATCH(B1674,pr_code,0))),"Article inconnu",IF(H1674="","Désignation manquante",IF(OR(NOT(ISNUMBER(D1674)),N(D1674)&lt;=0),"Quantité invalide",IF(J1674="","Prix manquant",IF(OR(NOT(ISNUMBER(J1674)),N(J1674)&lt;0),"Prix invalide",IF(OR(AND(F1674&lt;&gt;"",NOT(ISNUMBER(F1674))),N(F1674)&lt;0,N(F1674)&gt;1),"Remise invalide",IF(K1674="","Taux de TVA manquant",IF(NOT(ISNUMBER(K1674)),"Taux de TVA invalide",IF(COUNTIF(p_rates,K1674)=0,"Taux de TVA hors liste (Paramètres)",IF(N(O1674)&gt;25,"Au-delà de 25 lignes : non imprimée","OK")))))))))))))</f>
        <v/>
      </c>
      <c r="O1674" s="59" t="str">
        <f>IF(A1674="","",COUNTIF($A$6:A1674,A1674))</f>
        <v/>
      </c>
      <c r="P1674" s="62" t="str">
        <f>IF(A1674="","",A1674&amp;"|"&amp;O1674)</f>
        <v/>
      </c>
    </row>
    <row r="1675">
      <c r="A1675" s="60" t="n"/>
      <c r="B1675" s="63" t="n"/>
      <c r="C1675" s="63" t="n"/>
      <c r="D1675" s="67" t="n"/>
      <c r="E1675" s="68" t="n"/>
      <c r="F1675" s="69" t="n"/>
      <c r="G1675" s="70" t="n"/>
      <c r="H1675" s="62" t="str">
        <f>IF(COUNTA(A1675:G1675)=0,"",IF(C1675&lt;&gt;"",C1675,IF(B1675="","",IFERROR(INDEX(pr_des,MATCH(B1675,pr_code,0))&amp;"",""))))</f>
        <v/>
      </c>
      <c r="I1675" s="59" t="str">
        <f>IF(B1675="","",IFERROR(INDEX(pr_unit,MATCH(B1675,pr_code,0))&amp;"",""))</f>
        <v/>
      </c>
      <c r="J1675" s="65" t="str">
        <f>IF(COUNTA(A1675:G1675)=0,"",IF(E1675&lt;&gt;"",E1675,IF(B1675="","",IFERROR(IF(INDEX(pr_price,MATCH(B1675,pr_code,0))="","",INDEX(pr_price,MATCH(B1675,pr_code,0))),""))))</f>
        <v/>
      </c>
      <c r="K1675" s="71" t="str">
        <f>IF(COUNTA(A1675:G1675)=0,"",IF(G1675&lt;&gt;"",G1675,IF(B1675="","",IFERROR(IF(INDEX(pr_rate,MATCH(B1675,pr_code,0))="","",INDEX(pr_rate,MATCH(B1675,pr_code,0))),""))))</f>
        <v/>
      </c>
      <c r="L1675" s="65" t="str">
        <f>IF(COUNTA(A1675:G1675)=0,"",IF(AND(ISNUMBER(D1675),ISNUMBER(J1675)),ROUND(D1675*J1675*(1-N(F1675)),2),0))</f>
        <v/>
      </c>
      <c r="M1675" s="62" t="str">
        <f>IF(A1675="","",IFERROR(INDEX(dv_cname,MATCH(A1675,dv_num,0))&amp;"",""))</f>
        <v/>
      </c>
      <c r="N1675" s="59" t="str">
        <f>IF(COUNTA(A1675:G1675)=0,"",IF(A1675="","N° devis manquant",IF(ISNA(MATCH(A1675,dv_num,0)),"Devis inconnu",IF(AND(B1675&lt;&gt;"",ISNA(MATCH(B1675,pr_code,0))),"Article inconnu",IF(H1675="","Désignation manquante",IF(OR(NOT(ISNUMBER(D1675)),N(D1675)&lt;=0),"Quantité invalide",IF(J1675="","Prix manquant",IF(OR(NOT(ISNUMBER(J1675)),N(J1675)&lt;0),"Prix invalide",IF(OR(AND(F1675&lt;&gt;"",NOT(ISNUMBER(F1675))),N(F1675)&lt;0,N(F1675)&gt;1),"Remise invalide",IF(K1675="","Taux de TVA manquant",IF(NOT(ISNUMBER(K1675)),"Taux de TVA invalide",IF(COUNTIF(p_rates,K1675)=0,"Taux de TVA hors liste (Paramètres)",IF(N(O1675)&gt;25,"Au-delà de 25 lignes : non imprimée","OK")))))))))))))</f>
        <v/>
      </c>
      <c r="O1675" s="59" t="str">
        <f>IF(A1675="","",COUNTIF($A$6:A1675,A1675))</f>
        <v/>
      </c>
      <c r="P1675" s="62" t="str">
        <f>IF(A1675="","",A1675&amp;"|"&amp;O1675)</f>
        <v/>
      </c>
    </row>
    <row r="1676">
      <c r="A1676" s="60" t="n"/>
      <c r="B1676" s="63" t="n"/>
      <c r="C1676" s="63" t="n"/>
      <c r="D1676" s="67" t="n"/>
      <c r="E1676" s="68" t="n"/>
      <c r="F1676" s="69" t="n"/>
      <c r="G1676" s="70" t="n"/>
      <c r="H1676" s="62" t="str">
        <f>IF(COUNTA(A1676:G1676)=0,"",IF(C1676&lt;&gt;"",C1676,IF(B1676="","",IFERROR(INDEX(pr_des,MATCH(B1676,pr_code,0))&amp;"",""))))</f>
        <v/>
      </c>
      <c r="I1676" s="59" t="str">
        <f>IF(B1676="","",IFERROR(INDEX(pr_unit,MATCH(B1676,pr_code,0))&amp;"",""))</f>
        <v/>
      </c>
      <c r="J1676" s="65" t="str">
        <f>IF(COUNTA(A1676:G1676)=0,"",IF(E1676&lt;&gt;"",E1676,IF(B1676="","",IFERROR(IF(INDEX(pr_price,MATCH(B1676,pr_code,0))="","",INDEX(pr_price,MATCH(B1676,pr_code,0))),""))))</f>
        <v/>
      </c>
      <c r="K1676" s="71" t="str">
        <f>IF(COUNTA(A1676:G1676)=0,"",IF(G1676&lt;&gt;"",G1676,IF(B1676="","",IFERROR(IF(INDEX(pr_rate,MATCH(B1676,pr_code,0))="","",INDEX(pr_rate,MATCH(B1676,pr_code,0))),""))))</f>
        <v/>
      </c>
      <c r="L1676" s="65" t="str">
        <f>IF(COUNTA(A1676:G1676)=0,"",IF(AND(ISNUMBER(D1676),ISNUMBER(J1676)),ROUND(D1676*J1676*(1-N(F1676)),2),0))</f>
        <v/>
      </c>
      <c r="M1676" s="62" t="str">
        <f>IF(A1676="","",IFERROR(INDEX(dv_cname,MATCH(A1676,dv_num,0))&amp;"",""))</f>
        <v/>
      </c>
      <c r="N1676" s="59" t="str">
        <f>IF(COUNTA(A1676:G1676)=0,"",IF(A1676="","N° devis manquant",IF(ISNA(MATCH(A1676,dv_num,0)),"Devis inconnu",IF(AND(B1676&lt;&gt;"",ISNA(MATCH(B1676,pr_code,0))),"Article inconnu",IF(H1676="","Désignation manquante",IF(OR(NOT(ISNUMBER(D1676)),N(D1676)&lt;=0),"Quantité invalide",IF(J1676="","Prix manquant",IF(OR(NOT(ISNUMBER(J1676)),N(J1676)&lt;0),"Prix invalide",IF(OR(AND(F1676&lt;&gt;"",NOT(ISNUMBER(F1676))),N(F1676)&lt;0,N(F1676)&gt;1),"Remise invalide",IF(K1676="","Taux de TVA manquant",IF(NOT(ISNUMBER(K1676)),"Taux de TVA invalide",IF(COUNTIF(p_rates,K1676)=0,"Taux de TVA hors liste (Paramètres)",IF(N(O1676)&gt;25,"Au-delà de 25 lignes : non imprimée","OK")))))))))))))</f>
        <v/>
      </c>
      <c r="O1676" s="59" t="str">
        <f>IF(A1676="","",COUNTIF($A$6:A1676,A1676))</f>
        <v/>
      </c>
      <c r="P1676" s="62" t="str">
        <f>IF(A1676="","",A1676&amp;"|"&amp;O1676)</f>
        <v/>
      </c>
    </row>
    <row r="1677">
      <c r="A1677" s="60" t="n"/>
      <c r="B1677" s="63" t="n"/>
      <c r="C1677" s="63" t="n"/>
      <c r="D1677" s="67" t="n"/>
      <c r="E1677" s="68" t="n"/>
      <c r="F1677" s="69" t="n"/>
      <c r="G1677" s="70" t="n"/>
      <c r="H1677" s="62" t="str">
        <f>IF(COUNTA(A1677:G1677)=0,"",IF(C1677&lt;&gt;"",C1677,IF(B1677="","",IFERROR(INDEX(pr_des,MATCH(B1677,pr_code,0))&amp;"",""))))</f>
        <v/>
      </c>
      <c r="I1677" s="59" t="str">
        <f>IF(B1677="","",IFERROR(INDEX(pr_unit,MATCH(B1677,pr_code,0))&amp;"",""))</f>
        <v/>
      </c>
      <c r="J1677" s="65" t="str">
        <f>IF(COUNTA(A1677:G1677)=0,"",IF(E1677&lt;&gt;"",E1677,IF(B1677="","",IFERROR(IF(INDEX(pr_price,MATCH(B1677,pr_code,0))="","",INDEX(pr_price,MATCH(B1677,pr_code,0))),""))))</f>
        <v/>
      </c>
      <c r="K1677" s="71" t="str">
        <f>IF(COUNTA(A1677:G1677)=0,"",IF(G1677&lt;&gt;"",G1677,IF(B1677="","",IFERROR(IF(INDEX(pr_rate,MATCH(B1677,pr_code,0))="","",INDEX(pr_rate,MATCH(B1677,pr_code,0))),""))))</f>
        <v/>
      </c>
      <c r="L1677" s="65" t="str">
        <f>IF(COUNTA(A1677:G1677)=0,"",IF(AND(ISNUMBER(D1677),ISNUMBER(J1677)),ROUND(D1677*J1677*(1-N(F1677)),2),0))</f>
        <v/>
      </c>
      <c r="M1677" s="62" t="str">
        <f>IF(A1677="","",IFERROR(INDEX(dv_cname,MATCH(A1677,dv_num,0))&amp;"",""))</f>
        <v/>
      </c>
      <c r="N1677" s="59" t="str">
        <f>IF(COUNTA(A1677:G1677)=0,"",IF(A1677="","N° devis manquant",IF(ISNA(MATCH(A1677,dv_num,0)),"Devis inconnu",IF(AND(B1677&lt;&gt;"",ISNA(MATCH(B1677,pr_code,0))),"Article inconnu",IF(H1677="","Désignation manquante",IF(OR(NOT(ISNUMBER(D1677)),N(D1677)&lt;=0),"Quantité invalide",IF(J1677="","Prix manquant",IF(OR(NOT(ISNUMBER(J1677)),N(J1677)&lt;0),"Prix invalide",IF(OR(AND(F1677&lt;&gt;"",NOT(ISNUMBER(F1677))),N(F1677)&lt;0,N(F1677)&gt;1),"Remise invalide",IF(K1677="","Taux de TVA manquant",IF(NOT(ISNUMBER(K1677)),"Taux de TVA invalide",IF(COUNTIF(p_rates,K1677)=0,"Taux de TVA hors liste (Paramètres)",IF(N(O1677)&gt;25,"Au-delà de 25 lignes : non imprimée","OK")))))))))))))</f>
        <v/>
      </c>
      <c r="O1677" s="59" t="str">
        <f>IF(A1677="","",COUNTIF($A$6:A1677,A1677))</f>
        <v/>
      </c>
      <c r="P1677" s="62" t="str">
        <f>IF(A1677="","",A1677&amp;"|"&amp;O1677)</f>
        <v/>
      </c>
    </row>
    <row r="1678">
      <c r="A1678" s="60" t="n"/>
      <c r="B1678" s="63" t="n"/>
      <c r="C1678" s="63" t="n"/>
      <c r="D1678" s="67" t="n"/>
      <c r="E1678" s="68" t="n"/>
      <c r="F1678" s="69" t="n"/>
      <c r="G1678" s="70" t="n"/>
      <c r="H1678" s="62" t="str">
        <f>IF(COUNTA(A1678:G1678)=0,"",IF(C1678&lt;&gt;"",C1678,IF(B1678="","",IFERROR(INDEX(pr_des,MATCH(B1678,pr_code,0))&amp;"",""))))</f>
        <v/>
      </c>
      <c r="I1678" s="59" t="str">
        <f>IF(B1678="","",IFERROR(INDEX(pr_unit,MATCH(B1678,pr_code,0))&amp;"",""))</f>
        <v/>
      </c>
      <c r="J1678" s="65" t="str">
        <f>IF(COUNTA(A1678:G1678)=0,"",IF(E1678&lt;&gt;"",E1678,IF(B1678="","",IFERROR(IF(INDEX(pr_price,MATCH(B1678,pr_code,0))="","",INDEX(pr_price,MATCH(B1678,pr_code,0))),""))))</f>
        <v/>
      </c>
      <c r="K1678" s="71" t="str">
        <f>IF(COUNTA(A1678:G1678)=0,"",IF(G1678&lt;&gt;"",G1678,IF(B1678="","",IFERROR(IF(INDEX(pr_rate,MATCH(B1678,pr_code,0))="","",INDEX(pr_rate,MATCH(B1678,pr_code,0))),""))))</f>
        <v/>
      </c>
      <c r="L1678" s="65" t="str">
        <f>IF(COUNTA(A1678:G1678)=0,"",IF(AND(ISNUMBER(D1678),ISNUMBER(J1678)),ROUND(D1678*J1678*(1-N(F1678)),2),0))</f>
        <v/>
      </c>
      <c r="M1678" s="62" t="str">
        <f>IF(A1678="","",IFERROR(INDEX(dv_cname,MATCH(A1678,dv_num,0))&amp;"",""))</f>
        <v/>
      </c>
      <c r="N1678" s="59" t="str">
        <f>IF(COUNTA(A1678:G1678)=0,"",IF(A1678="","N° devis manquant",IF(ISNA(MATCH(A1678,dv_num,0)),"Devis inconnu",IF(AND(B1678&lt;&gt;"",ISNA(MATCH(B1678,pr_code,0))),"Article inconnu",IF(H1678="","Désignation manquante",IF(OR(NOT(ISNUMBER(D1678)),N(D1678)&lt;=0),"Quantité invalide",IF(J1678="","Prix manquant",IF(OR(NOT(ISNUMBER(J1678)),N(J1678)&lt;0),"Prix invalide",IF(OR(AND(F1678&lt;&gt;"",NOT(ISNUMBER(F1678))),N(F1678)&lt;0,N(F1678)&gt;1),"Remise invalide",IF(K1678="","Taux de TVA manquant",IF(NOT(ISNUMBER(K1678)),"Taux de TVA invalide",IF(COUNTIF(p_rates,K1678)=0,"Taux de TVA hors liste (Paramètres)",IF(N(O1678)&gt;25,"Au-delà de 25 lignes : non imprimée","OK")))))))))))))</f>
        <v/>
      </c>
      <c r="O1678" s="59" t="str">
        <f>IF(A1678="","",COUNTIF($A$6:A1678,A1678))</f>
        <v/>
      </c>
      <c r="P1678" s="62" t="str">
        <f>IF(A1678="","",A1678&amp;"|"&amp;O1678)</f>
        <v/>
      </c>
    </row>
    <row r="1679">
      <c r="A1679" s="60" t="n"/>
      <c r="B1679" s="63" t="n"/>
      <c r="C1679" s="63" t="n"/>
      <c r="D1679" s="67" t="n"/>
      <c r="E1679" s="68" t="n"/>
      <c r="F1679" s="69" t="n"/>
      <c r="G1679" s="70" t="n"/>
      <c r="H1679" s="62" t="str">
        <f>IF(COUNTA(A1679:G1679)=0,"",IF(C1679&lt;&gt;"",C1679,IF(B1679="","",IFERROR(INDEX(pr_des,MATCH(B1679,pr_code,0))&amp;"",""))))</f>
        <v/>
      </c>
      <c r="I1679" s="59" t="str">
        <f>IF(B1679="","",IFERROR(INDEX(pr_unit,MATCH(B1679,pr_code,0))&amp;"",""))</f>
        <v/>
      </c>
      <c r="J1679" s="65" t="str">
        <f>IF(COUNTA(A1679:G1679)=0,"",IF(E1679&lt;&gt;"",E1679,IF(B1679="","",IFERROR(IF(INDEX(pr_price,MATCH(B1679,pr_code,0))="","",INDEX(pr_price,MATCH(B1679,pr_code,0))),""))))</f>
        <v/>
      </c>
      <c r="K1679" s="71" t="str">
        <f>IF(COUNTA(A1679:G1679)=0,"",IF(G1679&lt;&gt;"",G1679,IF(B1679="","",IFERROR(IF(INDEX(pr_rate,MATCH(B1679,pr_code,0))="","",INDEX(pr_rate,MATCH(B1679,pr_code,0))),""))))</f>
        <v/>
      </c>
      <c r="L1679" s="65" t="str">
        <f>IF(COUNTA(A1679:G1679)=0,"",IF(AND(ISNUMBER(D1679),ISNUMBER(J1679)),ROUND(D1679*J1679*(1-N(F1679)),2),0))</f>
        <v/>
      </c>
      <c r="M1679" s="62" t="str">
        <f>IF(A1679="","",IFERROR(INDEX(dv_cname,MATCH(A1679,dv_num,0))&amp;"",""))</f>
        <v/>
      </c>
      <c r="N1679" s="59" t="str">
        <f>IF(COUNTA(A1679:G1679)=0,"",IF(A1679="","N° devis manquant",IF(ISNA(MATCH(A1679,dv_num,0)),"Devis inconnu",IF(AND(B1679&lt;&gt;"",ISNA(MATCH(B1679,pr_code,0))),"Article inconnu",IF(H1679="","Désignation manquante",IF(OR(NOT(ISNUMBER(D1679)),N(D1679)&lt;=0),"Quantité invalide",IF(J1679="","Prix manquant",IF(OR(NOT(ISNUMBER(J1679)),N(J1679)&lt;0),"Prix invalide",IF(OR(AND(F1679&lt;&gt;"",NOT(ISNUMBER(F1679))),N(F1679)&lt;0,N(F1679)&gt;1),"Remise invalide",IF(K1679="","Taux de TVA manquant",IF(NOT(ISNUMBER(K1679)),"Taux de TVA invalide",IF(COUNTIF(p_rates,K1679)=0,"Taux de TVA hors liste (Paramètres)",IF(N(O1679)&gt;25,"Au-delà de 25 lignes : non imprimée","OK")))))))))))))</f>
        <v/>
      </c>
      <c r="O1679" s="59" t="str">
        <f>IF(A1679="","",COUNTIF($A$6:A1679,A1679))</f>
        <v/>
      </c>
      <c r="P1679" s="62" t="str">
        <f>IF(A1679="","",A1679&amp;"|"&amp;O1679)</f>
        <v/>
      </c>
    </row>
    <row r="1680">
      <c r="A1680" s="60" t="n"/>
      <c r="B1680" s="63" t="n"/>
      <c r="C1680" s="63" t="n"/>
      <c r="D1680" s="67" t="n"/>
      <c r="E1680" s="68" t="n"/>
      <c r="F1680" s="69" t="n"/>
      <c r="G1680" s="70" t="n"/>
      <c r="H1680" s="62" t="str">
        <f>IF(COUNTA(A1680:G1680)=0,"",IF(C1680&lt;&gt;"",C1680,IF(B1680="","",IFERROR(INDEX(pr_des,MATCH(B1680,pr_code,0))&amp;"",""))))</f>
        <v/>
      </c>
      <c r="I1680" s="59" t="str">
        <f>IF(B1680="","",IFERROR(INDEX(pr_unit,MATCH(B1680,pr_code,0))&amp;"",""))</f>
        <v/>
      </c>
      <c r="J1680" s="65" t="str">
        <f>IF(COUNTA(A1680:G1680)=0,"",IF(E1680&lt;&gt;"",E1680,IF(B1680="","",IFERROR(IF(INDEX(pr_price,MATCH(B1680,pr_code,0))="","",INDEX(pr_price,MATCH(B1680,pr_code,0))),""))))</f>
        <v/>
      </c>
      <c r="K1680" s="71" t="str">
        <f>IF(COUNTA(A1680:G1680)=0,"",IF(G1680&lt;&gt;"",G1680,IF(B1680="","",IFERROR(IF(INDEX(pr_rate,MATCH(B1680,pr_code,0))="","",INDEX(pr_rate,MATCH(B1680,pr_code,0))),""))))</f>
        <v/>
      </c>
      <c r="L1680" s="65" t="str">
        <f>IF(COUNTA(A1680:G1680)=0,"",IF(AND(ISNUMBER(D1680),ISNUMBER(J1680)),ROUND(D1680*J1680*(1-N(F1680)),2),0))</f>
        <v/>
      </c>
      <c r="M1680" s="62" t="str">
        <f>IF(A1680="","",IFERROR(INDEX(dv_cname,MATCH(A1680,dv_num,0))&amp;"",""))</f>
        <v/>
      </c>
      <c r="N1680" s="59" t="str">
        <f>IF(COUNTA(A1680:G1680)=0,"",IF(A1680="","N° devis manquant",IF(ISNA(MATCH(A1680,dv_num,0)),"Devis inconnu",IF(AND(B1680&lt;&gt;"",ISNA(MATCH(B1680,pr_code,0))),"Article inconnu",IF(H1680="","Désignation manquante",IF(OR(NOT(ISNUMBER(D1680)),N(D1680)&lt;=0),"Quantité invalide",IF(J1680="","Prix manquant",IF(OR(NOT(ISNUMBER(J1680)),N(J1680)&lt;0),"Prix invalide",IF(OR(AND(F1680&lt;&gt;"",NOT(ISNUMBER(F1680))),N(F1680)&lt;0,N(F1680)&gt;1),"Remise invalide",IF(K1680="","Taux de TVA manquant",IF(NOT(ISNUMBER(K1680)),"Taux de TVA invalide",IF(COUNTIF(p_rates,K1680)=0,"Taux de TVA hors liste (Paramètres)",IF(N(O1680)&gt;25,"Au-delà de 25 lignes : non imprimée","OK")))))))))))))</f>
        <v/>
      </c>
      <c r="O1680" s="59" t="str">
        <f>IF(A1680="","",COUNTIF($A$6:A1680,A1680))</f>
        <v/>
      </c>
      <c r="P1680" s="62" t="str">
        <f>IF(A1680="","",A1680&amp;"|"&amp;O1680)</f>
        <v/>
      </c>
    </row>
    <row r="1681">
      <c r="A1681" s="60" t="n"/>
      <c r="B1681" s="63" t="n"/>
      <c r="C1681" s="63" t="n"/>
      <c r="D1681" s="67" t="n"/>
      <c r="E1681" s="68" t="n"/>
      <c r="F1681" s="69" t="n"/>
      <c r="G1681" s="70" t="n"/>
      <c r="H1681" s="62" t="str">
        <f>IF(COUNTA(A1681:G1681)=0,"",IF(C1681&lt;&gt;"",C1681,IF(B1681="","",IFERROR(INDEX(pr_des,MATCH(B1681,pr_code,0))&amp;"",""))))</f>
        <v/>
      </c>
      <c r="I1681" s="59" t="str">
        <f>IF(B1681="","",IFERROR(INDEX(pr_unit,MATCH(B1681,pr_code,0))&amp;"",""))</f>
        <v/>
      </c>
      <c r="J1681" s="65" t="str">
        <f>IF(COUNTA(A1681:G1681)=0,"",IF(E1681&lt;&gt;"",E1681,IF(B1681="","",IFERROR(IF(INDEX(pr_price,MATCH(B1681,pr_code,0))="","",INDEX(pr_price,MATCH(B1681,pr_code,0))),""))))</f>
        <v/>
      </c>
      <c r="K1681" s="71" t="str">
        <f>IF(COUNTA(A1681:G1681)=0,"",IF(G1681&lt;&gt;"",G1681,IF(B1681="","",IFERROR(IF(INDEX(pr_rate,MATCH(B1681,pr_code,0))="","",INDEX(pr_rate,MATCH(B1681,pr_code,0))),""))))</f>
        <v/>
      </c>
      <c r="L1681" s="65" t="str">
        <f>IF(COUNTA(A1681:G1681)=0,"",IF(AND(ISNUMBER(D1681),ISNUMBER(J1681)),ROUND(D1681*J1681*(1-N(F1681)),2),0))</f>
        <v/>
      </c>
      <c r="M1681" s="62" t="str">
        <f>IF(A1681="","",IFERROR(INDEX(dv_cname,MATCH(A1681,dv_num,0))&amp;"",""))</f>
        <v/>
      </c>
      <c r="N1681" s="59" t="str">
        <f>IF(COUNTA(A1681:G1681)=0,"",IF(A1681="","N° devis manquant",IF(ISNA(MATCH(A1681,dv_num,0)),"Devis inconnu",IF(AND(B1681&lt;&gt;"",ISNA(MATCH(B1681,pr_code,0))),"Article inconnu",IF(H1681="","Désignation manquante",IF(OR(NOT(ISNUMBER(D1681)),N(D1681)&lt;=0),"Quantité invalide",IF(J1681="","Prix manquant",IF(OR(NOT(ISNUMBER(J1681)),N(J1681)&lt;0),"Prix invalide",IF(OR(AND(F1681&lt;&gt;"",NOT(ISNUMBER(F1681))),N(F1681)&lt;0,N(F1681)&gt;1),"Remise invalide",IF(K1681="","Taux de TVA manquant",IF(NOT(ISNUMBER(K1681)),"Taux de TVA invalide",IF(COUNTIF(p_rates,K1681)=0,"Taux de TVA hors liste (Paramètres)",IF(N(O1681)&gt;25,"Au-delà de 25 lignes : non imprimée","OK")))))))))))))</f>
        <v/>
      </c>
      <c r="O1681" s="59" t="str">
        <f>IF(A1681="","",COUNTIF($A$6:A1681,A1681))</f>
        <v/>
      </c>
      <c r="P1681" s="62" t="str">
        <f>IF(A1681="","",A1681&amp;"|"&amp;O1681)</f>
        <v/>
      </c>
    </row>
    <row r="1682">
      <c r="A1682" s="60" t="n"/>
      <c r="B1682" s="63" t="n"/>
      <c r="C1682" s="63" t="n"/>
      <c r="D1682" s="67" t="n"/>
      <c r="E1682" s="68" t="n"/>
      <c r="F1682" s="69" t="n"/>
      <c r="G1682" s="70" t="n"/>
      <c r="H1682" s="62" t="str">
        <f>IF(COUNTA(A1682:G1682)=0,"",IF(C1682&lt;&gt;"",C1682,IF(B1682="","",IFERROR(INDEX(pr_des,MATCH(B1682,pr_code,0))&amp;"",""))))</f>
        <v/>
      </c>
      <c r="I1682" s="59" t="str">
        <f>IF(B1682="","",IFERROR(INDEX(pr_unit,MATCH(B1682,pr_code,0))&amp;"",""))</f>
        <v/>
      </c>
      <c r="J1682" s="65" t="str">
        <f>IF(COUNTA(A1682:G1682)=0,"",IF(E1682&lt;&gt;"",E1682,IF(B1682="","",IFERROR(IF(INDEX(pr_price,MATCH(B1682,pr_code,0))="","",INDEX(pr_price,MATCH(B1682,pr_code,0))),""))))</f>
        <v/>
      </c>
      <c r="K1682" s="71" t="str">
        <f>IF(COUNTA(A1682:G1682)=0,"",IF(G1682&lt;&gt;"",G1682,IF(B1682="","",IFERROR(IF(INDEX(pr_rate,MATCH(B1682,pr_code,0))="","",INDEX(pr_rate,MATCH(B1682,pr_code,0))),""))))</f>
        <v/>
      </c>
      <c r="L1682" s="65" t="str">
        <f>IF(COUNTA(A1682:G1682)=0,"",IF(AND(ISNUMBER(D1682),ISNUMBER(J1682)),ROUND(D1682*J1682*(1-N(F1682)),2),0))</f>
        <v/>
      </c>
      <c r="M1682" s="62" t="str">
        <f>IF(A1682="","",IFERROR(INDEX(dv_cname,MATCH(A1682,dv_num,0))&amp;"",""))</f>
        <v/>
      </c>
      <c r="N1682" s="59" t="str">
        <f>IF(COUNTA(A1682:G1682)=0,"",IF(A1682="","N° devis manquant",IF(ISNA(MATCH(A1682,dv_num,0)),"Devis inconnu",IF(AND(B1682&lt;&gt;"",ISNA(MATCH(B1682,pr_code,0))),"Article inconnu",IF(H1682="","Désignation manquante",IF(OR(NOT(ISNUMBER(D1682)),N(D1682)&lt;=0),"Quantité invalide",IF(J1682="","Prix manquant",IF(OR(NOT(ISNUMBER(J1682)),N(J1682)&lt;0),"Prix invalide",IF(OR(AND(F1682&lt;&gt;"",NOT(ISNUMBER(F1682))),N(F1682)&lt;0,N(F1682)&gt;1),"Remise invalide",IF(K1682="","Taux de TVA manquant",IF(NOT(ISNUMBER(K1682)),"Taux de TVA invalide",IF(COUNTIF(p_rates,K1682)=0,"Taux de TVA hors liste (Paramètres)",IF(N(O1682)&gt;25,"Au-delà de 25 lignes : non imprimée","OK")))))))))))))</f>
        <v/>
      </c>
      <c r="O1682" s="59" t="str">
        <f>IF(A1682="","",COUNTIF($A$6:A1682,A1682))</f>
        <v/>
      </c>
      <c r="P1682" s="62" t="str">
        <f>IF(A1682="","",A1682&amp;"|"&amp;O1682)</f>
        <v/>
      </c>
    </row>
    <row r="1683">
      <c r="A1683" s="60" t="n"/>
      <c r="B1683" s="63" t="n"/>
      <c r="C1683" s="63" t="n"/>
      <c r="D1683" s="67" t="n"/>
      <c r="E1683" s="68" t="n"/>
      <c r="F1683" s="69" t="n"/>
      <c r="G1683" s="70" t="n"/>
      <c r="H1683" s="62" t="str">
        <f>IF(COUNTA(A1683:G1683)=0,"",IF(C1683&lt;&gt;"",C1683,IF(B1683="","",IFERROR(INDEX(pr_des,MATCH(B1683,pr_code,0))&amp;"",""))))</f>
        <v/>
      </c>
      <c r="I1683" s="59" t="str">
        <f>IF(B1683="","",IFERROR(INDEX(pr_unit,MATCH(B1683,pr_code,0))&amp;"",""))</f>
        <v/>
      </c>
      <c r="J1683" s="65" t="str">
        <f>IF(COUNTA(A1683:G1683)=0,"",IF(E1683&lt;&gt;"",E1683,IF(B1683="","",IFERROR(IF(INDEX(pr_price,MATCH(B1683,pr_code,0))="","",INDEX(pr_price,MATCH(B1683,pr_code,0))),""))))</f>
        <v/>
      </c>
      <c r="K1683" s="71" t="str">
        <f>IF(COUNTA(A1683:G1683)=0,"",IF(G1683&lt;&gt;"",G1683,IF(B1683="","",IFERROR(IF(INDEX(pr_rate,MATCH(B1683,pr_code,0))="","",INDEX(pr_rate,MATCH(B1683,pr_code,0))),""))))</f>
        <v/>
      </c>
      <c r="L1683" s="65" t="str">
        <f>IF(COUNTA(A1683:G1683)=0,"",IF(AND(ISNUMBER(D1683),ISNUMBER(J1683)),ROUND(D1683*J1683*(1-N(F1683)),2),0))</f>
        <v/>
      </c>
      <c r="M1683" s="62" t="str">
        <f>IF(A1683="","",IFERROR(INDEX(dv_cname,MATCH(A1683,dv_num,0))&amp;"",""))</f>
        <v/>
      </c>
      <c r="N1683" s="59" t="str">
        <f>IF(COUNTA(A1683:G1683)=0,"",IF(A1683="","N° devis manquant",IF(ISNA(MATCH(A1683,dv_num,0)),"Devis inconnu",IF(AND(B1683&lt;&gt;"",ISNA(MATCH(B1683,pr_code,0))),"Article inconnu",IF(H1683="","Désignation manquante",IF(OR(NOT(ISNUMBER(D1683)),N(D1683)&lt;=0),"Quantité invalide",IF(J1683="","Prix manquant",IF(OR(NOT(ISNUMBER(J1683)),N(J1683)&lt;0),"Prix invalide",IF(OR(AND(F1683&lt;&gt;"",NOT(ISNUMBER(F1683))),N(F1683)&lt;0,N(F1683)&gt;1),"Remise invalide",IF(K1683="","Taux de TVA manquant",IF(NOT(ISNUMBER(K1683)),"Taux de TVA invalide",IF(COUNTIF(p_rates,K1683)=0,"Taux de TVA hors liste (Paramètres)",IF(N(O1683)&gt;25,"Au-delà de 25 lignes : non imprimée","OK")))))))))))))</f>
        <v/>
      </c>
      <c r="O1683" s="59" t="str">
        <f>IF(A1683="","",COUNTIF($A$6:A1683,A1683))</f>
        <v/>
      </c>
      <c r="P1683" s="62" t="str">
        <f>IF(A1683="","",A1683&amp;"|"&amp;O1683)</f>
        <v/>
      </c>
    </row>
    <row r="1684">
      <c r="A1684" s="60" t="n"/>
      <c r="B1684" s="63" t="n"/>
      <c r="C1684" s="63" t="n"/>
      <c r="D1684" s="67" t="n"/>
      <c r="E1684" s="68" t="n"/>
      <c r="F1684" s="69" t="n"/>
      <c r="G1684" s="70" t="n"/>
      <c r="H1684" s="62" t="str">
        <f>IF(COUNTA(A1684:G1684)=0,"",IF(C1684&lt;&gt;"",C1684,IF(B1684="","",IFERROR(INDEX(pr_des,MATCH(B1684,pr_code,0))&amp;"",""))))</f>
        <v/>
      </c>
      <c r="I1684" s="59" t="str">
        <f>IF(B1684="","",IFERROR(INDEX(pr_unit,MATCH(B1684,pr_code,0))&amp;"",""))</f>
        <v/>
      </c>
      <c r="J1684" s="65" t="str">
        <f>IF(COUNTA(A1684:G1684)=0,"",IF(E1684&lt;&gt;"",E1684,IF(B1684="","",IFERROR(IF(INDEX(pr_price,MATCH(B1684,pr_code,0))="","",INDEX(pr_price,MATCH(B1684,pr_code,0))),""))))</f>
        <v/>
      </c>
      <c r="K1684" s="71" t="str">
        <f>IF(COUNTA(A1684:G1684)=0,"",IF(G1684&lt;&gt;"",G1684,IF(B1684="","",IFERROR(IF(INDEX(pr_rate,MATCH(B1684,pr_code,0))="","",INDEX(pr_rate,MATCH(B1684,pr_code,0))),""))))</f>
        <v/>
      </c>
      <c r="L1684" s="65" t="str">
        <f>IF(COUNTA(A1684:G1684)=0,"",IF(AND(ISNUMBER(D1684),ISNUMBER(J1684)),ROUND(D1684*J1684*(1-N(F1684)),2),0))</f>
        <v/>
      </c>
      <c r="M1684" s="62" t="str">
        <f>IF(A1684="","",IFERROR(INDEX(dv_cname,MATCH(A1684,dv_num,0))&amp;"",""))</f>
        <v/>
      </c>
      <c r="N1684" s="59" t="str">
        <f>IF(COUNTA(A1684:G1684)=0,"",IF(A1684="","N° devis manquant",IF(ISNA(MATCH(A1684,dv_num,0)),"Devis inconnu",IF(AND(B1684&lt;&gt;"",ISNA(MATCH(B1684,pr_code,0))),"Article inconnu",IF(H1684="","Désignation manquante",IF(OR(NOT(ISNUMBER(D1684)),N(D1684)&lt;=0),"Quantité invalide",IF(J1684="","Prix manquant",IF(OR(NOT(ISNUMBER(J1684)),N(J1684)&lt;0),"Prix invalide",IF(OR(AND(F1684&lt;&gt;"",NOT(ISNUMBER(F1684))),N(F1684)&lt;0,N(F1684)&gt;1),"Remise invalide",IF(K1684="","Taux de TVA manquant",IF(NOT(ISNUMBER(K1684)),"Taux de TVA invalide",IF(COUNTIF(p_rates,K1684)=0,"Taux de TVA hors liste (Paramètres)",IF(N(O1684)&gt;25,"Au-delà de 25 lignes : non imprimée","OK")))))))))))))</f>
        <v/>
      </c>
      <c r="O1684" s="59" t="str">
        <f>IF(A1684="","",COUNTIF($A$6:A1684,A1684))</f>
        <v/>
      </c>
      <c r="P1684" s="62" t="str">
        <f>IF(A1684="","",A1684&amp;"|"&amp;O1684)</f>
        <v/>
      </c>
    </row>
    <row r="1685">
      <c r="A1685" s="60" t="n"/>
      <c r="B1685" s="63" t="n"/>
      <c r="C1685" s="63" t="n"/>
      <c r="D1685" s="67" t="n"/>
      <c r="E1685" s="68" t="n"/>
      <c r="F1685" s="69" t="n"/>
      <c r="G1685" s="70" t="n"/>
      <c r="H1685" s="62" t="str">
        <f>IF(COUNTA(A1685:G1685)=0,"",IF(C1685&lt;&gt;"",C1685,IF(B1685="","",IFERROR(INDEX(pr_des,MATCH(B1685,pr_code,0))&amp;"",""))))</f>
        <v/>
      </c>
      <c r="I1685" s="59" t="str">
        <f>IF(B1685="","",IFERROR(INDEX(pr_unit,MATCH(B1685,pr_code,0))&amp;"",""))</f>
        <v/>
      </c>
      <c r="J1685" s="65" t="str">
        <f>IF(COUNTA(A1685:G1685)=0,"",IF(E1685&lt;&gt;"",E1685,IF(B1685="","",IFERROR(IF(INDEX(pr_price,MATCH(B1685,pr_code,0))="","",INDEX(pr_price,MATCH(B1685,pr_code,0))),""))))</f>
        <v/>
      </c>
      <c r="K1685" s="71" t="str">
        <f>IF(COUNTA(A1685:G1685)=0,"",IF(G1685&lt;&gt;"",G1685,IF(B1685="","",IFERROR(IF(INDEX(pr_rate,MATCH(B1685,pr_code,0))="","",INDEX(pr_rate,MATCH(B1685,pr_code,0))),""))))</f>
        <v/>
      </c>
      <c r="L1685" s="65" t="str">
        <f>IF(COUNTA(A1685:G1685)=0,"",IF(AND(ISNUMBER(D1685),ISNUMBER(J1685)),ROUND(D1685*J1685*(1-N(F1685)),2),0))</f>
        <v/>
      </c>
      <c r="M1685" s="62" t="str">
        <f>IF(A1685="","",IFERROR(INDEX(dv_cname,MATCH(A1685,dv_num,0))&amp;"",""))</f>
        <v/>
      </c>
      <c r="N1685" s="59" t="str">
        <f>IF(COUNTA(A1685:G1685)=0,"",IF(A1685="","N° devis manquant",IF(ISNA(MATCH(A1685,dv_num,0)),"Devis inconnu",IF(AND(B1685&lt;&gt;"",ISNA(MATCH(B1685,pr_code,0))),"Article inconnu",IF(H1685="","Désignation manquante",IF(OR(NOT(ISNUMBER(D1685)),N(D1685)&lt;=0),"Quantité invalide",IF(J1685="","Prix manquant",IF(OR(NOT(ISNUMBER(J1685)),N(J1685)&lt;0),"Prix invalide",IF(OR(AND(F1685&lt;&gt;"",NOT(ISNUMBER(F1685))),N(F1685)&lt;0,N(F1685)&gt;1),"Remise invalide",IF(K1685="","Taux de TVA manquant",IF(NOT(ISNUMBER(K1685)),"Taux de TVA invalide",IF(COUNTIF(p_rates,K1685)=0,"Taux de TVA hors liste (Paramètres)",IF(N(O1685)&gt;25,"Au-delà de 25 lignes : non imprimée","OK")))))))))))))</f>
        <v/>
      </c>
      <c r="O1685" s="59" t="str">
        <f>IF(A1685="","",COUNTIF($A$6:A1685,A1685))</f>
        <v/>
      </c>
      <c r="P1685" s="62" t="str">
        <f>IF(A1685="","",A1685&amp;"|"&amp;O1685)</f>
        <v/>
      </c>
    </row>
    <row r="1686">
      <c r="A1686" s="60" t="n"/>
      <c r="B1686" s="63" t="n"/>
      <c r="C1686" s="63" t="n"/>
      <c r="D1686" s="67" t="n"/>
      <c r="E1686" s="68" t="n"/>
      <c r="F1686" s="69" t="n"/>
      <c r="G1686" s="70" t="n"/>
      <c r="H1686" s="62" t="str">
        <f>IF(COUNTA(A1686:G1686)=0,"",IF(C1686&lt;&gt;"",C1686,IF(B1686="","",IFERROR(INDEX(pr_des,MATCH(B1686,pr_code,0))&amp;"",""))))</f>
        <v/>
      </c>
      <c r="I1686" s="59" t="str">
        <f>IF(B1686="","",IFERROR(INDEX(pr_unit,MATCH(B1686,pr_code,0))&amp;"",""))</f>
        <v/>
      </c>
      <c r="J1686" s="65" t="str">
        <f>IF(COUNTA(A1686:G1686)=0,"",IF(E1686&lt;&gt;"",E1686,IF(B1686="","",IFERROR(IF(INDEX(pr_price,MATCH(B1686,pr_code,0))="","",INDEX(pr_price,MATCH(B1686,pr_code,0))),""))))</f>
        <v/>
      </c>
      <c r="K1686" s="71" t="str">
        <f>IF(COUNTA(A1686:G1686)=0,"",IF(G1686&lt;&gt;"",G1686,IF(B1686="","",IFERROR(IF(INDEX(pr_rate,MATCH(B1686,pr_code,0))="","",INDEX(pr_rate,MATCH(B1686,pr_code,0))),""))))</f>
        <v/>
      </c>
      <c r="L1686" s="65" t="str">
        <f>IF(COUNTA(A1686:G1686)=0,"",IF(AND(ISNUMBER(D1686),ISNUMBER(J1686)),ROUND(D1686*J1686*(1-N(F1686)),2),0))</f>
        <v/>
      </c>
      <c r="M1686" s="62" t="str">
        <f>IF(A1686="","",IFERROR(INDEX(dv_cname,MATCH(A1686,dv_num,0))&amp;"",""))</f>
        <v/>
      </c>
      <c r="N1686" s="59" t="str">
        <f>IF(COUNTA(A1686:G1686)=0,"",IF(A1686="","N° devis manquant",IF(ISNA(MATCH(A1686,dv_num,0)),"Devis inconnu",IF(AND(B1686&lt;&gt;"",ISNA(MATCH(B1686,pr_code,0))),"Article inconnu",IF(H1686="","Désignation manquante",IF(OR(NOT(ISNUMBER(D1686)),N(D1686)&lt;=0),"Quantité invalide",IF(J1686="","Prix manquant",IF(OR(NOT(ISNUMBER(J1686)),N(J1686)&lt;0),"Prix invalide",IF(OR(AND(F1686&lt;&gt;"",NOT(ISNUMBER(F1686))),N(F1686)&lt;0,N(F1686)&gt;1),"Remise invalide",IF(K1686="","Taux de TVA manquant",IF(NOT(ISNUMBER(K1686)),"Taux de TVA invalide",IF(COUNTIF(p_rates,K1686)=0,"Taux de TVA hors liste (Paramètres)",IF(N(O1686)&gt;25,"Au-delà de 25 lignes : non imprimée","OK")))))))))))))</f>
        <v/>
      </c>
      <c r="O1686" s="59" t="str">
        <f>IF(A1686="","",COUNTIF($A$6:A1686,A1686))</f>
        <v/>
      </c>
      <c r="P1686" s="62" t="str">
        <f>IF(A1686="","",A1686&amp;"|"&amp;O1686)</f>
        <v/>
      </c>
    </row>
    <row r="1687">
      <c r="A1687" s="60" t="n"/>
      <c r="B1687" s="63" t="n"/>
      <c r="C1687" s="63" t="n"/>
      <c r="D1687" s="67" t="n"/>
      <c r="E1687" s="68" t="n"/>
      <c r="F1687" s="69" t="n"/>
      <c r="G1687" s="70" t="n"/>
      <c r="H1687" s="62" t="str">
        <f>IF(COUNTA(A1687:G1687)=0,"",IF(C1687&lt;&gt;"",C1687,IF(B1687="","",IFERROR(INDEX(pr_des,MATCH(B1687,pr_code,0))&amp;"",""))))</f>
        <v/>
      </c>
      <c r="I1687" s="59" t="str">
        <f>IF(B1687="","",IFERROR(INDEX(pr_unit,MATCH(B1687,pr_code,0))&amp;"",""))</f>
        <v/>
      </c>
      <c r="J1687" s="65" t="str">
        <f>IF(COUNTA(A1687:G1687)=0,"",IF(E1687&lt;&gt;"",E1687,IF(B1687="","",IFERROR(IF(INDEX(pr_price,MATCH(B1687,pr_code,0))="","",INDEX(pr_price,MATCH(B1687,pr_code,0))),""))))</f>
        <v/>
      </c>
      <c r="K1687" s="71" t="str">
        <f>IF(COUNTA(A1687:G1687)=0,"",IF(G1687&lt;&gt;"",G1687,IF(B1687="","",IFERROR(IF(INDEX(pr_rate,MATCH(B1687,pr_code,0))="","",INDEX(pr_rate,MATCH(B1687,pr_code,0))),""))))</f>
        <v/>
      </c>
      <c r="L1687" s="65" t="str">
        <f>IF(COUNTA(A1687:G1687)=0,"",IF(AND(ISNUMBER(D1687),ISNUMBER(J1687)),ROUND(D1687*J1687*(1-N(F1687)),2),0))</f>
        <v/>
      </c>
      <c r="M1687" s="62" t="str">
        <f>IF(A1687="","",IFERROR(INDEX(dv_cname,MATCH(A1687,dv_num,0))&amp;"",""))</f>
        <v/>
      </c>
      <c r="N1687" s="59" t="str">
        <f>IF(COUNTA(A1687:G1687)=0,"",IF(A1687="","N° devis manquant",IF(ISNA(MATCH(A1687,dv_num,0)),"Devis inconnu",IF(AND(B1687&lt;&gt;"",ISNA(MATCH(B1687,pr_code,0))),"Article inconnu",IF(H1687="","Désignation manquante",IF(OR(NOT(ISNUMBER(D1687)),N(D1687)&lt;=0),"Quantité invalide",IF(J1687="","Prix manquant",IF(OR(NOT(ISNUMBER(J1687)),N(J1687)&lt;0),"Prix invalide",IF(OR(AND(F1687&lt;&gt;"",NOT(ISNUMBER(F1687))),N(F1687)&lt;0,N(F1687)&gt;1),"Remise invalide",IF(K1687="","Taux de TVA manquant",IF(NOT(ISNUMBER(K1687)),"Taux de TVA invalide",IF(COUNTIF(p_rates,K1687)=0,"Taux de TVA hors liste (Paramètres)",IF(N(O1687)&gt;25,"Au-delà de 25 lignes : non imprimée","OK")))))))))))))</f>
        <v/>
      </c>
      <c r="O1687" s="59" t="str">
        <f>IF(A1687="","",COUNTIF($A$6:A1687,A1687))</f>
        <v/>
      </c>
      <c r="P1687" s="62" t="str">
        <f>IF(A1687="","",A1687&amp;"|"&amp;O1687)</f>
        <v/>
      </c>
    </row>
    <row r="1688">
      <c r="A1688" s="60" t="n"/>
      <c r="B1688" s="63" t="n"/>
      <c r="C1688" s="63" t="n"/>
      <c r="D1688" s="67" t="n"/>
      <c r="E1688" s="68" t="n"/>
      <c r="F1688" s="69" t="n"/>
      <c r="G1688" s="70" t="n"/>
      <c r="H1688" s="62" t="str">
        <f>IF(COUNTA(A1688:G1688)=0,"",IF(C1688&lt;&gt;"",C1688,IF(B1688="","",IFERROR(INDEX(pr_des,MATCH(B1688,pr_code,0))&amp;"",""))))</f>
        <v/>
      </c>
      <c r="I1688" s="59" t="str">
        <f>IF(B1688="","",IFERROR(INDEX(pr_unit,MATCH(B1688,pr_code,0))&amp;"",""))</f>
        <v/>
      </c>
      <c r="J1688" s="65" t="str">
        <f>IF(COUNTA(A1688:G1688)=0,"",IF(E1688&lt;&gt;"",E1688,IF(B1688="","",IFERROR(IF(INDEX(pr_price,MATCH(B1688,pr_code,0))="","",INDEX(pr_price,MATCH(B1688,pr_code,0))),""))))</f>
        <v/>
      </c>
      <c r="K1688" s="71" t="str">
        <f>IF(COUNTA(A1688:G1688)=0,"",IF(G1688&lt;&gt;"",G1688,IF(B1688="","",IFERROR(IF(INDEX(pr_rate,MATCH(B1688,pr_code,0))="","",INDEX(pr_rate,MATCH(B1688,pr_code,0))),""))))</f>
        <v/>
      </c>
      <c r="L1688" s="65" t="str">
        <f>IF(COUNTA(A1688:G1688)=0,"",IF(AND(ISNUMBER(D1688),ISNUMBER(J1688)),ROUND(D1688*J1688*(1-N(F1688)),2),0))</f>
        <v/>
      </c>
      <c r="M1688" s="62" t="str">
        <f>IF(A1688="","",IFERROR(INDEX(dv_cname,MATCH(A1688,dv_num,0))&amp;"",""))</f>
        <v/>
      </c>
      <c r="N1688" s="59" t="str">
        <f>IF(COUNTA(A1688:G1688)=0,"",IF(A1688="","N° devis manquant",IF(ISNA(MATCH(A1688,dv_num,0)),"Devis inconnu",IF(AND(B1688&lt;&gt;"",ISNA(MATCH(B1688,pr_code,0))),"Article inconnu",IF(H1688="","Désignation manquante",IF(OR(NOT(ISNUMBER(D1688)),N(D1688)&lt;=0),"Quantité invalide",IF(J1688="","Prix manquant",IF(OR(NOT(ISNUMBER(J1688)),N(J1688)&lt;0),"Prix invalide",IF(OR(AND(F1688&lt;&gt;"",NOT(ISNUMBER(F1688))),N(F1688)&lt;0,N(F1688)&gt;1),"Remise invalide",IF(K1688="","Taux de TVA manquant",IF(NOT(ISNUMBER(K1688)),"Taux de TVA invalide",IF(COUNTIF(p_rates,K1688)=0,"Taux de TVA hors liste (Paramètres)",IF(N(O1688)&gt;25,"Au-delà de 25 lignes : non imprimée","OK")))))))))))))</f>
        <v/>
      </c>
      <c r="O1688" s="59" t="str">
        <f>IF(A1688="","",COUNTIF($A$6:A1688,A1688))</f>
        <v/>
      </c>
      <c r="P1688" s="62" t="str">
        <f>IF(A1688="","",A1688&amp;"|"&amp;O1688)</f>
        <v/>
      </c>
    </row>
    <row r="1689">
      <c r="A1689" s="60" t="n"/>
      <c r="B1689" s="63" t="n"/>
      <c r="C1689" s="63" t="n"/>
      <c r="D1689" s="67" t="n"/>
      <c r="E1689" s="68" t="n"/>
      <c r="F1689" s="69" t="n"/>
      <c r="G1689" s="70" t="n"/>
      <c r="H1689" s="62" t="str">
        <f>IF(COUNTA(A1689:G1689)=0,"",IF(C1689&lt;&gt;"",C1689,IF(B1689="","",IFERROR(INDEX(pr_des,MATCH(B1689,pr_code,0))&amp;"",""))))</f>
        <v/>
      </c>
      <c r="I1689" s="59" t="str">
        <f>IF(B1689="","",IFERROR(INDEX(pr_unit,MATCH(B1689,pr_code,0))&amp;"",""))</f>
        <v/>
      </c>
      <c r="J1689" s="65" t="str">
        <f>IF(COUNTA(A1689:G1689)=0,"",IF(E1689&lt;&gt;"",E1689,IF(B1689="","",IFERROR(IF(INDEX(pr_price,MATCH(B1689,pr_code,0))="","",INDEX(pr_price,MATCH(B1689,pr_code,0))),""))))</f>
        <v/>
      </c>
      <c r="K1689" s="71" t="str">
        <f>IF(COUNTA(A1689:G1689)=0,"",IF(G1689&lt;&gt;"",G1689,IF(B1689="","",IFERROR(IF(INDEX(pr_rate,MATCH(B1689,pr_code,0))="","",INDEX(pr_rate,MATCH(B1689,pr_code,0))),""))))</f>
        <v/>
      </c>
      <c r="L1689" s="65" t="str">
        <f>IF(COUNTA(A1689:G1689)=0,"",IF(AND(ISNUMBER(D1689),ISNUMBER(J1689)),ROUND(D1689*J1689*(1-N(F1689)),2),0))</f>
        <v/>
      </c>
      <c r="M1689" s="62" t="str">
        <f>IF(A1689="","",IFERROR(INDEX(dv_cname,MATCH(A1689,dv_num,0))&amp;"",""))</f>
        <v/>
      </c>
      <c r="N1689" s="59" t="str">
        <f>IF(COUNTA(A1689:G1689)=0,"",IF(A1689="","N° devis manquant",IF(ISNA(MATCH(A1689,dv_num,0)),"Devis inconnu",IF(AND(B1689&lt;&gt;"",ISNA(MATCH(B1689,pr_code,0))),"Article inconnu",IF(H1689="","Désignation manquante",IF(OR(NOT(ISNUMBER(D1689)),N(D1689)&lt;=0),"Quantité invalide",IF(J1689="","Prix manquant",IF(OR(NOT(ISNUMBER(J1689)),N(J1689)&lt;0),"Prix invalide",IF(OR(AND(F1689&lt;&gt;"",NOT(ISNUMBER(F1689))),N(F1689)&lt;0,N(F1689)&gt;1),"Remise invalide",IF(K1689="","Taux de TVA manquant",IF(NOT(ISNUMBER(K1689)),"Taux de TVA invalide",IF(COUNTIF(p_rates,K1689)=0,"Taux de TVA hors liste (Paramètres)",IF(N(O1689)&gt;25,"Au-delà de 25 lignes : non imprimée","OK")))))))))))))</f>
        <v/>
      </c>
      <c r="O1689" s="59" t="str">
        <f>IF(A1689="","",COUNTIF($A$6:A1689,A1689))</f>
        <v/>
      </c>
      <c r="P1689" s="62" t="str">
        <f>IF(A1689="","",A1689&amp;"|"&amp;O1689)</f>
        <v/>
      </c>
    </row>
    <row r="1690">
      <c r="A1690" s="60" t="n"/>
      <c r="B1690" s="63" t="n"/>
      <c r="C1690" s="63" t="n"/>
      <c r="D1690" s="67" t="n"/>
      <c r="E1690" s="68" t="n"/>
      <c r="F1690" s="69" t="n"/>
      <c r="G1690" s="70" t="n"/>
      <c r="H1690" s="62" t="str">
        <f>IF(COUNTA(A1690:G1690)=0,"",IF(C1690&lt;&gt;"",C1690,IF(B1690="","",IFERROR(INDEX(pr_des,MATCH(B1690,pr_code,0))&amp;"",""))))</f>
        <v/>
      </c>
      <c r="I1690" s="59" t="str">
        <f>IF(B1690="","",IFERROR(INDEX(pr_unit,MATCH(B1690,pr_code,0))&amp;"",""))</f>
        <v/>
      </c>
      <c r="J1690" s="65" t="str">
        <f>IF(COUNTA(A1690:G1690)=0,"",IF(E1690&lt;&gt;"",E1690,IF(B1690="","",IFERROR(IF(INDEX(pr_price,MATCH(B1690,pr_code,0))="","",INDEX(pr_price,MATCH(B1690,pr_code,0))),""))))</f>
        <v/>
      </c>
      <c r="K1690" s="71" t="str">
        <f>IF(COUNTA(A1690:G1690)=0,"",IF(G1690&lt;&gt;"",G1690,IF(B1690="","",IFERROR(IF(INDEX(pr_rate,MATCH(B1690,pr_code,0))="","",INDEX(pr_rate,MATCH(B1690,pr_code,0))),""))))</f>
        <v/>
      </c>
      <c r="L1690" s="65" t="str">
        <f>IF(COUNTA(A1690:G1690)=0,"",IF(AND(ISNUMBER(D1690),ISNUMBER(J1690)),ROUND(D1690*J1690*(1-N(F1690)),2),0))</f>
        <v/>
      </c>
      <c r="M1690" s="62" t="str">
        <f>IF(A1690="","",IFERROR(INDEX(dv_cname,MATCH(A1690,dv_num,0))&amp;"",""))</f>
        <v/>
      </c>
      <c r="N1690" s="59" t="str">
        <f>IF(COUNTA(A1690:G1690)=0,"",IF(A1690="","N° devis manquant",IF(ISNA(MATCH(A1690,dv_num,0)),"Devis inconnu",IF(AND(B1690&lt;&gt;"",ISNA(MATCH(B1690,pr_code,0))),"Article inconnu",IF(H1690="","Désignation manquante",IF(OR(NOT(ISNUMBER(D1690)),N(D1690)&lt;=0),"Quantité invalide",IF(J1690="","Prix manquant",IF(OR(NOT(ISNUMBER(J1690)),N(J1690)&lt;0),"Prix invalide",IF(OR(AND(F1690&lt;&gt;"",NOT(ISNUMBER(F1690))),N(F1690)&lt;0,N(F1690)&gt;1),"Remise invalide",IF(K1690="","Taux de TVA manquant",IF(NOT(ISNUMBER(K1690)),"Taux de TVA invalide",IF(COUNTIF(p_rates,K1690)=0,"Taux de TVA hors liste (Paramètres)",IF(N(O1690)&gt;25,"Au-delà de 25 lignes : non imprimée","OK")))))))))))))</f>
        <v/>
      </c>
      <c r="O1690" s="59" t="str">
        <f>IF(A1690="","",COUNTIF($A$6:A1690,A1690))</f>
        <v/>
      </c>
      <c r="P1690" s="62" t="str">
        <f>IF(A1690="","",A1690&amp;"|"&amp;O1690)</f>
        <v/>
      </c>
    </row>
    <row r="1691">
      <c r="A1691" s="60" t="n"/>
      <c r="B1691" s="63" t="n"/>
      <c r="C1691" s="63" t="n"/>
      <c r="D1691" s="67" t="n"/>
      <c r="E1691" s="68" t="n"/>
      <c r="F1691" s="69" t="n"/>
      <c r="G1691" s="70" t="n"/>
      <c r="H1691" s="62" t="str">
        <f>IF(COUNTA(A1691:G1691)=0,"",IF(C1691&lt;&gt;"",C1691,IF(B1691="","",IFERROR(INDEX(pr_des,MATCH(B1691,pr_code,0))&amp;"",""))))</f>
        <v/>
      </c>
      <c r="I1691" s="59" t="str">
        <f>IF(B1691="","",IFERROR(INDEX(pr_unit,MATCH(B1691,pr_code,0))&amp;"",""))</f>
        <v/>
      </c>
      <c r="J1691" s="65" t="str">
        <f>IF(COUNTA(A1691:G1691)=0,"",IF(E1691&lt;&gt;"",E1691,IF(B1691="","",IFERROR(IF(INDEX(pr_price,MATCH(B1691,pr_code,0))="","",INDEX(pr_price,MATCH(B1691,pr_code,0))),""))))</f>
        <v/>
      </c>
      <c r="K1691" s="71" t="str">
        <f>IF(COUNTA(A1691:G1691)=0,"",IF(G1691&lt;&gt;"",G1691,IF(B1691="","",IFERROR(IF(INDEX(pr_rate,MATCH(B1691,pr_code,0))="","",INDEX(pr_rate,MATCH(B1691,pr_code,0))),""))))</f>
        <v/>
      </c>
      <c r="L1691" s="65" t="str">
        <f>IF(COUNTA(A1691:G1691)=0,"",IF(AND(ISNUMBER(D1691),ISNUMBER(J1691)),ROUND(D1691*J1691*(1-N(F1691)),2),0))</f>
        <v/>
      </c>
      <c r="M1691" s="62" t="str">
        <f>IF(A1691="","",IFERROR(INDEX(dv_cname,MATCH(A1691,dv_num,0))&amp;"",""))</f>
        <v/>
      </c>
      <c r="N1691" s="59" t="str">
        <f>IF(COUNTA(A1691:G1691)=0,"",IF(A1691="","N° devis manquant",IF(ISNA(MATCH(A1691,dv_num,0)),"Devis inconnu",IF(AND(B1691&lt;&gt;"",ISNA(MATCH(B1691,pr_code,0))),"Article inconnu",IF(H1691="","Désignation manquante",IF(OR(NOT(ISNUMBER(D1691)),N(D1691)&lt;=0),"Quantité invalide",IF(J1691="","Prix manquant",IF(OR(NOT(ISNUMBER(J1691)),N(J1691)&lt;0),"Prix invalide",IF(OR(AND(F1691&lt;&gt;"",NOT(ISNUMBER(F1691))),N(F1691)&lt;0,N(F1691)&gt;1),"Remise invalide",IF(K1691="","Taux de TVA manquant",IF(NOT(ISNUMBER(K1691)),"Taux de TVA invalide",IF(COUNTIF(p_rates,K1691)=0,"Taux de TVA hors liste (Paramètres)",IF(N(O1691)&gt;25,"Au-delà de 25 lignes : non imprimée","OK")))))))))))))</f>
        <v/>
      </c>
      <c r="O1691" s="59" t="str">
        <f>IF(A1691="","",COUNTIF($A$6:A1691,A1691))</f>
        <v/>
      </c>
      <c r="P1691" s="62" t="str">
        <f>IF(A1691="","",A1691&amp;"|"&amp;O1691)</f>
        <v/>
      </c>
    </row>
    <row r="1692">
      <c r="A1692" s="60" t="n"/>
      <c r="B1692" s="63" t="n"/>
      <c r="C1692" s="63" t="n"/>
      <c r="D1692" s="67" t="n"/>
      <c r="E1692" s="68" t="n"/>
      <c r="F1692" s="69" t="n"/>
      <c r="G1692" s="70" t="n"/>
      <c r="H1692" s="62" t="str">
        <f>IF(COUNTA(A1692:G1692)=0,"",IF(C1692&lt;&gt;"",C1692,IF(B1692="","",IFERROR(INDEX(pr_des,MATCH(B1692,pr_code,0))&amp;"",""))))</f>
        <v/>
      </c>
      <c r="I1692" s="59" t="str">
        <f>IF(B1692="","",IFERROR(INDEX(pr_unit,MATCH(B1692,pr_code,0))&amp;"",""))</f>
        <v/>
      </c>
      <c r="J1692" s="65" t="str">
        <f>IF(COUNTA(A1692:G1692)=0,"",IF(E1692&lt;&gt;"",E1692,IF(B1692="","",IFERROR(IF(INDEX(pr_price,MATCH(B1692,pr_code,0))="","",INDEX(pr_price,MATCH(B1692,pr_code,0))),""))))</f>
        <v/>
      </c>
      <c r="K1692" s="71" t="str">
        <f>IF(COUNTA(A1692:G1692)=0,"",IF(G1692&lt;&gt;"",G1692,IF(B1692="","",IFERROR(IF(INDEX(pr_rate,MATCH(B1692,pr_code,0))="","",INDEX(pr_rate,MATCH(B1692,pr_code,0))),""))))</f>
        <v/>
      </c>
      <c r="L1692" s="65" t="str">
        <f>IF(COUNTA(A1692:G1692)=0,"",IF(AND(ISNUMBER(D1692),ISNUMBER(J1692)),ROUND(D1692*J1692*(1-N(F1692)),2),0))</f>
        <v/>
      </c>
      <c r="M1692" s="62" t="str">
        <f>IF(A1692="","",IFERROR(INDEX(dv_cname,MATCH(A1692,dv_num,0))&amp;"",""))</f>
        <v/>
      </c>
      <c r="N1692" s="59" t="str">
        <f>IF(COUNTA(A1692:G1692)=0,"",IF(A1692="","N° devis manquant",IF(ISNA(MATCH(A1692,dv_num,0)),"Devis inconnu",IF(AND(B1692&lt;&gt;"",ISNA(MATCH(B1692,pr_code,0))),"Article inconnu",IF(H1692="","Désignation manquante",IF(OR(NOT(ISNUMBER(D1692)),N(D1692)&lt;=0),"Quantité invalide",IF(J1692="","Prix manquant",IF(OR(NOT(ISNUMBER(J1692)),N(J1692)&lt;0),"Prix invalide",IF(OR(AND(F1692&lt;&gt;"",NOT(ISNUMBER(F1692))),N(F1692)&lt;0,N(F1692)&gt;1),"Remise invalide",IF(K1692="","Taux de TVA manquant",IF(NOT(ISNUMBER(K1692)),"Taux de TVA invalide",IF(COUNTIF(p_rates,K1692)=0,"Taux de TVA hors liste (Paramètres)",IF(N(O1692)&gt;25,"Au-delà de 25 lignes : non imprimée","OK")))))))))))))</f>
        <v/>
      </c>
      <c r="O1692" s="59" t="str">
        <f>IF(A1692="","",COUNTIF($A$6:A1692,A1692))</f>
        <v/>
      </c>
      <c r="P1692" s="62" t="str">
        <f>IF(A1692="","",A1692&amp;"|"&amp;O1692)</f>
        <v/>
      </c>
    </row>
    <row r="1693">
      <c r="A1693" s="60" t="n"/>
      <c r="B1693" s="63" t="n"/>
      <c r="C1693" s="63" t="n"/>
      <c r="D1693" s="67" t="n"/>
      <c r="E1693" s="68" t="n"/>
      <c r="F1693" s="69" t="n"/>
      <c r="G1693" s="70" t="n"/>
      <c r="H1693" s="62" t="str">
        <f>IF(COUNTA(A1693:G1693)=0,"",IF(C1693&lt;&gt;"",C1693,IF(B1693="","",IFERROR(INDEX(pr_des,MATCH(B1693,pr_code,0))&amp;"",""))))</f>
        <v/>
      </c>
      <c r="I1693" s="59" t="str">
        <f>IF(B1693="","",IFERROR(INDEX(pr_unit,MATCH(B1693,pr_code,0))&amp;"",""))</f>
        <v/>
      </c>
      <c r="J1693" s="65" t="str">
        <f>IF(COUNTA(A1693:G1693)=0,"",IF(E1693&lt;&gt;"",E1693,IF(B1693="","",IFERROR(IF(INDEX(pr_price,MATCH(B1693,pr_code,0))="","",INDEX(pr_price,MATCH(B1693,pr_code,0))),""))))</f>
        <v/>
      </c>
      <c r="K1693" s="71" t="str">
        <f>IF(COUNTA(A1693:G1693)=0,"",IF(G1693&lt;&gt;"",G1693,IF(B1693="","",IFERROR(IF(INDEX(pr_rate,MATCH(B1693,pr_code,0))="","",INDEX(pr_rate,MATCH(B1693,pr_code,0))),""))))</f>
        <v/>
      </c>
      <c r="L1693" s="65" t="str">
        <f>IF(COUNTA(A1693:G1693)=0,"",IF(AND(ISNUMBER(D1693),ISNUMBER(J1693)),ROUND(D1693*J1693*(1-N(F1693)),2),0))</f>
        <v/>
      </c>
      <c r="M1693" s="62" t="str">
        <f>IF(A1693="","",IFERROR(INDEX(dv_cname,MATCH(A1693,dv_num,0))&amp;"",""))</f>
        <v/>
      </c>
      <c r="N1693" s="59" t="str">
        <f>IF(COUNTA(A1693:G1693)=0,"",IF(A1693="","N° devis manquant",IF(ISNA(MATCH(A1693,dv_num,0)),"Devis inconnu",IF(AND(B1693&lt;&gt;"",ISNA(MATCH(B1693,pr_code,0))),"Article inconnu",IF(H1693="","Désignation manquante",IF(OR(NOT(ISNUMBER(D1693)),N(D1693)&lt;=0),"Quantité invalide",IF(J1693="","Prix manquant",IF(OR(NOT(ISNUMBER(J1693)),N(J1693)&lt;0),"Prix invalide",IF(OR(AND(F1693&lt;&gt;"",NOT(ISNUMBER(F1693))),N(F1693)&lt;0,N(F1693)&gt;1),"Remise invalide",IF(K1693="","Taux de TVA manquant",IF(NOT(ISNUMBER(K1693)),"Taux de TVA invalide",IF(COUNTIF(p_rates,K1693)=0,"Taux de TVA hors liste (Paramètres)",IF(N(O1693)&gt;25,"Au-delà de 25 lignes : non imprimée","OK")))))))))))))</f>
        <v/>
      </c>
      <c r="O1693" s="59" t="str">
        <f>IF(A1693="","",COUNTIF($A$6:A1693,A1693))</f>
        <v/>
      </c>
      <c r="P1693" s="62" t="str">
        <f>IF(A1693="","",A1693&amp;"|"&amp;O1693)</f>
        <v/>
      </c>
    </row>
    <row r="1694">
      <c r="A1694" s="60" t="n"/>
      <c r="B1694" s="63" t="n"/>
      <c r="C1694" s="63" t="n"/>
      <c r="D1694" s="67" t="n"/>
      <c r="E1694" s="68" t="n"/>
      <c r="F1694" s="69" t="n"/>
      <c r="G1694" s="70" t="n"/>
      <c r="H1694" s="62" t="str">
        <f>IF(COUNTA(A1694:G1694)=0,"",IF(C1694&lt;&gt;"",C1694,IF(B1694="","",IFERROR(INDEX(pr_des,MATCH(B1694,pr_code,0))&amp;"",""))))</f>
        <v/>
      </c>
      <c r="I1694" s="59" t="str">
        <f>IF(B1694="","",IFERROR(INDEX(pr_unit,MATCH(B1694,pr_code,0))&amp;"",""))</f>
        <v/>
      </c>
      <c r="J1694" s="65" t="str">
        <f>IF(COUNTA(A1694:G1694)=0,"",IF(E1694&lt;&gt;"",E1694,IF(B1694="","",IFERROR(IF(INDEX(pr_price,MATCH(B1694,pr_code,0))="","",INDEX(pr_price,MATCH(B1694,pr_code,0))),""))))</f>
        <v/>
      </c>
      <c r="K1694" s="71" t="str">
        <f>IF(COUNTA(A1694:G1694)=0,"",IF(G1694&lt;&gt;"",G1694,IF(B1694="","",IFERROR(IF(INDEX(pr_rate,MATCH(B1694,pr_code,0))="","",INDEX(pr_rate,MATCH(B1694,pr_code,0))),""))))</f>
        <v/>
      </c>
      <c r="L1694" s="65" t="str">
        <f>IF(COUNTA(A1694:G1694)=0,"",IF(AND(ISNUMBER(D1694),ISNUMBER(J1694)),ROUND(D1694*J1694*(1-N(F1694)),2),0))</f>
        <v/>
      </c>
      <c r="M1694" s="62" t="str">
        <f>IF(A1694="","",IFERROR(INDEX(dv_cname,MATCH(A1694,dv_num,0))&amp;"",""))</f>
        <v/>
      </c>
      <c r="N1694" s="59" t="str">
        <f>IF(COUNTA(A1694:G1694)=0,"",IF(A1694="","N° devis manquant",IF(ISNA(MATCH(A1694,dv_num,0)),"Devis inconnu",IF(AND(B1694&lt;&gt;"",ISNA(MATCH(B1694,pr_code,0))),"Article inconnu",IF(H1694="","Désignation manquante",IF(OR(NOT(ISNUMBER(D1694)),N(D1694)&lt;=0),"Quantité invalide",IF(J1694="","Prix manquant",IF(OR(NOT(ISNUMBER(J1694)),N(J1694)&lt;0),"Prix invalide",IF(OR(AND(F1694&lt;&gt;"",NOT(ISNUMBER(F1694))),N(F1694)&lt;0,N(F1694)&gt;1),"Remise invalide",IF(K1694="","Taux de TVA manquant",IF(NOT(ISNUMBER(K1694)),"Taux de TVA invalide",IF(COUNTIF(p_rates,K1694)=0,"Taux de TVA hors liste (Paramètres)",IF(N(O1694)&gt;25,"Au-delà de 25 lignes : non imprimée","OK")))))))))))))</f>
        <v/>
      </c>
      <c r="O1694" s="59" t="str">
        <f>IF(A1694="","",COUNTIF($A$6:A1694,A1694))</f>
        <v/>
      </c>
      <c r="P1694" s="62" t="str">
        <f>IF(A1694="","",A1694&amp;"|"&amp;O1694)</f>
        <v/>
      </c>
    </row>
    <row r="1695">
      <c r="A1695" s="60" t="n"/>
      <c r="B1695" s="63" t="n"/>
      <c r="C1695" s="63" t="n"/>
      <c r="D1695" s="67" t="n"/>
      <c r="E1695" s="68" t="n"/>
      <c r="F1695" s="69" t="n"/>
      <c r="G1695" s="70" t="n"/>
      <c r="H1695" s="62" t="str">
        <f>IF(COUNTA(A1695:G1695)=0,"",IF(C1695&lt;&gt;"",C1695,IF(B1695="","",IFERROR(INDEX(pr_des,MATCH(B1695,pr_code,0))&amp;"",""))))</f>
        <v/>
      </c>
      <c r="I1695" s="59" t="str">
        <f>IF(B1695="","",IFERROR(INDEX(pr_unit,MATCH(B1695,pr_code,0))&amp;"",""))</f>
        <v/>
      </c>
      <c r="J1695" s="65" t="str">
        <f>IF(COUNTA(A1695:G1695)=0,"",IF(E1695&lt;&gt;"",E1695,IF(B1695="","",IFERROR(IF(INDEX(pr_price,MATCH(B1695,pr_code,0))="","",INDEX(pr_price,MATCH(B1695,pr_code,0))),""))))</f>
        <v/>
      </c>
      <c r="K1695" s="71" t="str">
        <f>IF(COUNTA(A1695:G1695)=0,"",IF(G1695&lt;&gt;"",G1695,IF(B1695="","",IFERROR(IF(INDEX(pr_rate,MATCH(B1695,pr_code,0))="","",INDEX(pr_rate,MATCH(B1695,pr_code,0))),""))))</f>
        <v/>
      </c>
      <c r="L1695" s="65" t="str">
        <f>IF(COUNTA(A1695:G1695)=0,"",IF(AND(ISNUMBER(D1695),ISNUMBER(J1695)),ROUND(D1695*J1695*(1-N(F1695)),2),0))</f>
        <v/>
      </c>
      <c r="M1695" s="62" t="str">
        <f>IF(A1695="","",IFERROR(INDEX(dv_cname,MATCH(A1695,dv_num,0))&amp;"",""))</f>
        <v/>
      </c>
      <c r="N1695" s="59" t="str">
        <f>IF(COUNTA(A1695:G1695)=0,"",IF(A1695="","N° devis manquant",IF(ISNA(MATCH(A1695,dv_num,0)),"Devis inconnu",IF(AND(B1695&lt;&gt;"",ISNA(MATCH(B1695,pr_code,0))),"Article inconnu",IF(H1695="","Désignation manquante",IF(OR(NOT(ISNUMBER(D1695)),N(D1695)&lt;=0),"Quantité invalide",IF(J1695="","Prix manquant",IF(OR(NOT(ISNUMBER(J1695)),N(J1695)&lt;0),"Prix invalide",IF(OR(AND(F1695&lt;&gt;"",NOT(ISNUMBER(F1695))),N(F1695)&lt;0,N(F1695)&gt;1),"Remise invalide",IF(K1695="","Taux de TVA manquant",IF(NOT(ISNUMBER(K1695)),"Taux de TVA invalide",IF(COUNTIF(p_rates,K1695)=0,"Taux de TVA hors liste (Paramètres)",IF(N(O1695)&gt;25,"Au-delà de 25 lignes : non imprimée","OK")))))))))))))</f>
        <v/>
      </c>
      <c r="O1695" s="59" t="str">
        <f>IF(A1695="","",COUNTIF($A$6:A1695,A1695))</f>
        <v/>
      </c>
      <c r="P1695" s="62" t="str">
        <f>IF(A1695="","",A1695&amp;"|"&amp;O1695)</f>
        <v/>
      </c>
    </row>
    <row r="1696">
      <c r="A1696" s="60" t="n"/>
      <c r="B1696" s="63" t="n"/>
      <c r="C1696" s="63" t="n"/>
      <c r="D1696" s="67" t="n"/>
      <c r="E1696" s="68" t="n"/>
      <c r="F1696" s="69" t="n"/>
      <c r="G1696" s="70" t="n"/>
      <c r="H1696" s="62" t="str">
        <f>IF(COUNTA(A1696:G1696)=0,"",IF(C1696&lt;&gt;"",C1696,IF(B1696="","",IFERROR(INDEX(pr_des,MATCH(B1696,pr_code,0))&amp;"",""))))</f>
        <v/>
      </c>
      <c r="I1696" s="59" t="str">
        <f>IF(B1696="","",IFERROR(INDEX(pr_unit,MATCH(B1696,pr_code,0))&amp;"",""))</f>
        <v/>
      </c>
      <c r="J1696" s="65" t="str">
        <f>IF(COUNTA(A1696:G1696)=0,"",IF(E1696&lt;&gt;"",E1696,IF(B1696="","",IFERROR(IF(INDEX(pr_price,MATCH(B1696,pr_code,0))="","",INDEX(pr_price,MATCH(B1696,pr_code,0))),""))))</f>
        <v/>
      </c>
      <c r="K1696" s="71" t="str">
        <f>IF(COUNTA(A1696:G1696)=0,"",IF(G1696&lt;&gt;"",G1696,IF(B1696="","",IFERROR(IF(INDEX(pr_rate,MATCH(B1696,pr_code,0))="","",INDEX(pr_rate,MATCH(B1696,pr_code,0))),""))))</f>
        <v/>
      </c>
      <c r="L1696" s="65" t="str">
        <f>IF(COUNTA(A1696:G1696)=0,"",IF(AND(ISNUMBER(D1696),ISNUMBER(J1696)),ROUND(D1696*J1696*(1-N(F1696)),2),0))</f>
        <v/>
      </c>
      <c r="M1696" s="62" t="str">
        <f>IF(A1696="","",IFERROR(INDEX(dv_cname,MATCH(A1696,dv_num,0))&amp;"",""))</f>
        <v/>
      </c>
      <c r="N1696" s="59" t="str">
        <f>IF(COUNTA(A1696:G1696)=0,"",IF(A1696="","N° devis manquant",IF(ISNA(MATCH(A1696,dv_num,0)),"Devis inconnu",IF(AND(B1696&lt;&gt;"",ISNA(MATCH(B1696,pr_code,0))),"Article inconnu",IF(H1696="","Désignation manquante",IF(OR(NOT(ISNUMBER(D1696)),N(D1696)&lt;=0),"Quantité invalide",IF(J1696="","Prix manquant",IF(OR(NOT(ISNUMBER(J1696)),N(J1696)&lt;0),"Prix invalide",IF(OR(AND(F1696&lt;&gt;"",NOT(ISNUMBER(F1696))),N(F1696)&lt;0,N(F1696)&gt;1),"Remise invalide",IF(K1696="","Taux de TVA manquant",IF(NOT(ISNUMBER(K1696)),"Taux de TVA invalide",IF(COUNTIF(p_rates,K1696)=0,"Taux de TVA hors liste (Paramètres)",IF(N(O1696)&gt;25,"Au-delà de 25 lignes : non imprimée","OK")))))))))))))</f>
        <v/>
      </c>
      <c r="O1696" s="59" t="str">
        <f>IF(A1696="","",COUNTIF($A$6:A1696,A1696))</f>
        <v/>
      </c>
      <c r="P1696" s="62" t="str">
        <f>IF(A1696="","",A1696&amp;"|"&amp;O1696)</f>
        <v/>
      </c>
    </row>
    <row r="1697">
      <c r="A1697" s="60" t="n"/>
      <c r="B1697" s="63" t="n"/>
      <c r="C1697" s="63" t="n"/>
      <c r="D1697" s="67" t="n"/>
      <c r="E1697" s="68" t="n"/>
      <c r="F1697" s="69" t="n"/>
      <c r="G1697" s="70" t="n"/>
      <c r="H1697" s="62" t="str">
        <f>IF(COUNTA(A1697:G1697)=0,"",IF(C1697&lt;&gt;"",C1697,IF(B1697="","",IFERROR(INDEX(pr_des,MATCH(B1697,pr_code,0))&amp;"",""))))</f>
        <v/>
      </c>
      <c r="I1697" s="59" t="str">
        <f>IF(B1697="","",IFERROR(INDEX(pr_unit,MATCH(B1697,pr_code,0))&amp;"",""))</f>
        <v/>
      </c>
      <c r="J1697" s="65" t="str">
        <f>IF(COUNTA(A1697:G1697)=0,"",IF(E1697&lt;&gt;"",E1697,IF(B1697="","",IFERROR(IF(INDEX(pr_price,MATCH(B1697,pr_code,0))="","",INDEX(pr_price,MATCH(B1697,pr_code,0))),""))))</f>
        <v/>
      </c>
      <c r="K1697" s="71" t="str">
        <f>IF(COUNTA(A1697:G1697)=0,"",IF(G1697&lt;&gt;"",G1697,IF(B1697="","",IFERROR(IF(INDEX(pr_rate,MATCH(B1697,pr_code,0))="","",INDEX(pr_rate,MATCH(B1697,pr_code,0))),""))))</f>
        <v/>
      </c>
      <c r="L1697" s="65" t="str">
        <f>IF(COUNTA(A1697:G1697)=0,"",IF(AND(ISNUMBER(D1697),ISNUMBER(J1697)),ROUND(D1697*J1697*(1-N(F1697)),2),0))</f>
        <v/>
      </c>
      <c r="M1697" s="62" t="str">
        <f>IF(A1697="","",IFERROR(INDEX(dv_cname,MATCH(A1697,dv_num,0))&amp;"",""))</f>
        <v/>
      </c>
      <c r="N1697" s="59" t="str">
        <f>IF(COUNTA(A1697:G1697)=0,"",IF(A1697="","N° devis manquant",IF(ISNA(MATCH(A1697,dv_num,0)),"Devis inconnu",IF(AND(B1697&lt;&gt;"",ISNA(MATCH(B1697,pr_code,0))),"Article inconnu",IF(H1697="","Désignation manquante",IF(OR(NOT(ISNUMBER(D1697)),N(D1697)&lt;=0),"Quantité invalide",IF(J1697="","Prix manquant",IF(OR(NOT(ISNUMBER(J1697)),N(J1697)&lt;0),"Prix invalide",IF(OR(AND(F1697&lt;&gt;"",NOT(ISNUMBER(F1697))),N(F1697)&lt;0,N(F1697)&gt;1),"Remise invalide",IF(K1697="","Taux de TVA manquant",IF(NOT(ISNUMBER(K1697)),"Taux de TVA invalide",IF(COUNTIF(p_rates,K1697)=0,"Taux de TVA hors liste (Paramètres)",IF(N(O1697)&gt;25,"Au-delà de 25 lignes : non imprimée","OK")))))))))))))</f>
        <v/>
      </c>
      <c r="O1697" s="59" t="str">
        <f>IF(A1697="","",COUNTIF($A$6:A1697,A1697))</f>
        <v/>
      </c>
      <c r="P1697" s="62" t="str">
        <f>IF(A1697="","",A1697&amp;"|"&amp;O1697)</f>
        <v/>
      </c>
    </row>
    <row r="1698">
      <c r="A1698" s="60" t="n"/>
      <c r="B1698" s="63" t="n"/>
      <c r="C1698" s="63" t="n"/>
      <c r="D1698" s="67" t="n"/>
      <c r="E1698" s="68" t="n"/>
      <c r="F1698" s="69" t="n"/>
      <c r="G1698" s="70" t="n"/>
      <c r="H1698" s="62" t="str">
        <f>IF(COUNTA(A1698:G1698)=0,"",IF(C1698&lt;&gt;"",C1698,IF(B1698="","",IFERROR(INDEX(pr_des,MATCH(B1698,pr_code,0))&amp;"",""))))</f>
        <v/>
      </c>
      <c r="I1698" s="59" t="str">
        <f>IF(B1698="","",IFERROR(INDEX(pr_unit,MATCH(B1698,pr_code,0))&amp;"",""))</f>
        <v/>
      </c>
      <c r="J1698" s="65" t="str">
        <f>IF(COUNTA(A1698:G1698)=0,"",IF(E1698&lt;&gt;"",E1698,IF(B1698="","",IFERROR(IF(INDEX(pr_price,MATCH(B1698,pr_code,0))="","",INDEX(pr_price,MATCH(B1698,pr_code,0))),""))))</f>
        <v/>
      </c>
      <c r="K1698" s="71" t="str">
        <f>IF(COUNTA(A1698:G1698)=0,"",IF(G1698&lt;&gt;"",G1698,IF(B1698="","",IFERROR(IF(INDEX(pr_rate,MATCH(B1698,pr_code,0))="","",INDEX(pr_rate,MATCH(B1698,pr_code,0))),""))))</f>
        <v/>
      </c>
      <c r="L1698" s="65" t="str">
        <f>IF(COUNTA(A1698:G1698)=0,"",IF(AND(ISNUMBER(D1698),ISNUMBER(J1698)),ROUND(D1698*J1698*(1-N(F1698)),2),0))</f>
        <v/>
      </c>
      <c r="M1698" s="62" t="str">
        <f>IF(A1698="","",IFERROR(INDEX(dv_cname,MATCH(A1698,dv_num,0))&amp;"",""))</f>
        <v/>
      </c>
      <c r="N1698" s="59" t="str">
        <f>IF(COUNTA(A1698:G1698)=0,"",IF(A1698="","N° devis manquant",IF(ISNA(MATCH(A1698,dv_num,0)),"Devis inconnu",IF(AND(B1698&lt;&gt;"",ISNA(MATCH(B1698,pr_code,0))),"Article inconnu",IF(H1698="","Désignation manquante",IF(OR(NOT(ISNUMBER(D1698)),N(D1698)&lt;=0),"Quantité invalide",IF(J1698="","Prix manquant",IF(OR(NOT(ISNUMBER(J1698)),N(J1698)&lt;0),"Prix invalide",IF(OR(AND(F1698&lt;&gt;"",NOT(ISNUMBER(F1698))),N(F1698)&lt;0,N(F1698)&gt;1),"Remise invalide",IF(K1698="","Taux de TVA manquant",IF(NOT(ISNUMBER(K1698)),"Taux de TVA invalide",IF(COUNTIF(p_rates,K1698)=0,"Taux de TVA hors liste (Paramètres)",IF(N(O1698)&gt;25,"Au-delà de 25 lignes : non imprimée","OK")))))))))))))</f>
        <v/>
      </c>
      <c r="O1698" s="59" t="str">
        <f>IF(A1698="","",COUNTIF($A$6:A1698,A1698))</f>
        <v/>
      </c>
      <c r="P1698" s="62" t="str">
        <f>IF(A1698="","",A1698&amp;"|"&amp;O1698)</f>
        <v/>
      </c>
    </row>
    <row r="1699">
      <c r="A1699" s="60" t="n"/>
      <c r="B1699" s="63" t="n"/>
      <c r="C1699" s="63" t="n"/>
      <c r="D1699" s="67" t="n"/>
      <c r="E1699" s="68" t="n"/>
      <c r="F1699" s="69" t="n"/>
      <c r="G1699" s="70" t="n"/>
      <c r="H1699" s="62" t="str">
        <f>IF(COUNTA(A1699:G1699)=0,"",IF(C1699&lt;&gt;"",C1699,IF(B1699="","",IFERROR(INDEX(pr_des,MATCH(B1699,pr_code,0))&amp;"",""))))</f>
        <v/>
      </c>
      <c r="I1699" s="59" t="str">
        <f>IF(B1699="","",IFERROR(INDEX(pr_unit,MATCH(B1699,pr_code,0))&amp;"",""))</f>
        <v/>
      </c>
      <c r="J1699" s="65" t="str">
        <f>IF(COUNTA(A1699:G1699)=0,"",IF(E1699&lt;&gt;"",E1699,IF(B1699="","",IFERROR(IF(INDEX(pr_price,MATCH(B1699,pr_code,0))="","",INDEX(pr_price,MATCH(B1699,pr_code,0))),""))))</f>
        <v/>
      </c>
      <c r="K1699" s="71" t="str">
        <f>IF(COUNTA(A1699:G1699)=0,"",IF(G1699&lt;&gt;"",G1699,IF(B1699="","",IFERROR(IF(INDEX(pr_rate,MATCH(B1699,pr_code,0))="","",INDEX(pr_rate,MATCH(B1699,pr_code,0))),""))))</f>
        <v/>
      </c>
      <c r="L1699" s="65" t="str">
        <f>IF(COUNTA(A1699:G1699)=0,"",IF(AND(ISNUMBER(D1699),ISNUMBER(J1699)),ROUND(D1699*J1699*(1-N(F1699)),2),0))</f>
        <v/>
      </c>
      <c r="M1699" s="62" t="str">
        <f>IF(A1699="","",IFERROR(INDEX(dv_cname,MATCH(A1699,dv_num,0))&amp;"",""))</f>
        <v/>
      </c>
      <c r="N1699" s="59" t="str">
        <f>IF(COUNTA(A1699:G1699)=0,"",IF(A1699="","N° devis manquant",IF(ISNA(MATCH(A1699,dv_num,0)),"Devis inconnu",IF(AND(B1699&lt;&gt;"",ISNA(MATCH(B1699,pr_code,0))),"Article inconnu",IF(H1699="","Désignation manquante",IF(OR(NOT(ISNUMBER(D1699)),N(D1699)&lt;=0),"Quantité invalide",IF(J1699="","Prix manquant",IF(OR(NOT(ISNUMBER(J1699)),N(J1699)&lt;0),"Prix invalide",IF(OR(AND(F1699&lt;&gt;"",NOT(ISNUMBER(F1699))),N(F1699)&lt;0,N(F1699)&gt;1),"Remise invalide",IF(K1699="","Taux de TVA manquant",IF(NOT(ISNUMBER(K1699)),"Taux de TVA invalide",IF(COUNTIF(p_rates,K1699)=0,"Taux de TVA hors liste (Paramètres)",IF(N(O1699)&gt;25,"Au-delà de 25 lignes : non imprimée","OK")))))))))))))</f>
        <v/>
      </c>
      <c r="O1699" s="59" t="str">
        <f>IF(A1699="","",COUNTIF($A$6:A1699,A1699))</f>
        <v/>
      </c>
      <c r="P1699" s="62" t="str">
        <f>IF(A1699="","",A1699&amp;"|"&amp;O1699)</f>
        <v/>
      </c>
    </row>
    <row r="1700">
      <c r="A1700" s="60" t="n"/>
      <c r="B1700" s="63" t="n"/>
      <c r="C1700" s="63" t="n"/>
      <c r="D1700" s="67" t="n"/>
      <c r="E1700" s="68" t="n"/>
      <c r="F1700" s="69" t="n"/>
      <c r="G1700" s="70" t="n"/>
      <c r="H1700" s="62" t="str">
        <f>IF(COUNTA(A1700:G1700)=0,"",IF(C1700&lt;&gt;"",C1700,IF(B1700="","",IFERROR(INDEX(pr_des,MATCH(B1700,pr_code,0))&amp;"",""))))</f>
        <v/>
      </c>
      <c r="I1700" s="59" t="str">
        <f>IF(B1700="","",IFERROR(INDEX(pr_unit,MATCH(B1700,pr_code,0))&amp;"",""))</f>
        <v/>
      </c>
      <c r="J1700" s="65" t="str">
        <f>IF(COUNTA(A1700:G1700)=0,"",IF(E1700&lt;&gt;"",E1700,IF(B1700="","",IFERROR(IF(INDEX(pr_price,MATCH(B1700,pr_code,0))="","",INDEX(pr_price,MATCH(B1700,pr_code,0))),""))))</f>
        <v/>
      </c>
      <c r="K1700" s="71" t="str">
        <f>IF(COUNTA(A1700:G1700)=0,"",IF(G1700&lt;&gt;"",G1700,IF(B1700="","",IFERROR(IF(INDEX(pr_rate,MATCH(B1700,pr_code,0))="","",INDEX(pr_rate,MATCH(B1700,pr_code,0))),""))))</f>
        <v/>
      </c>
      <c r="L1700" s="65" t="str">
        <f>IF(COUNTA(A1700:G1700)=0,"",IF(AND(ISNUMBER(D1700),ISNUMBER(J1700)),ROUND(D1700*J1700*(1-N(F1700)),2),0))</f>
        <v/>
      </c>
      <c r="M1700" s="62" t="str">
        <f>IF(A1700="","",IFERROR(INDEX(dv_cname,MATCH(A1700,dv_num,0))&amp;"",""))</f>
        <v/>
      </c>
      <c r="N1700" s="59" t="str">
        <f>IF(COUNTA(A1700:G1700)=0,"",IF(A1700="","N° devis manquant",IF(ISNA(MATCH(A1700,dv_num,0)),"Devis inconnu",IF(AND(B1700&lt;&gt;"",ISNA(MATCH(B1700,pr_code,0))),"Article inconnu",IF(H1700="","Désignation manquante",IF(OR(NOT(ISNUMBER(D1700)),N(D1700)&lt;=0),"Quantité invalide",IF(J1700="","Prix manquant",IF(OR(NOT(ISNUMBER(J1700)),N(J1700)&lt;0),"Prix invalide",IF(OR(AND(F1700&lt;&gt;"",NOT(ISNUMBER(F1700))),N(F1700)&lt;0,N(F1700)&gt;1),"Remise invalide",IF(K1700="","Taux de TVA manquant",IF(NOT(ISNUMBER(K1700)),"Taux de TVA invalide",IF(COUNTIF(p_rates,K1700)=0,"Taux de TVA hors liste (Paramètres)",IF(N(O1700)&gt;25,"Au-delà de 25 lignes : non imprimée","OK")))))))))))))</f>
        <v/>
      </c>
      <c r="O1700" s="59" t="str">
        <f>IF(A1700="","",COUNTIF($A$6:A1700,A1700))</f>
        <v/>
      </c>
      <c r="P1700" s="62" t="str">
        <f>IF(A1700="","",A1700&amp;"|"&amp;O1700)</f>
        <v/>
      </c>
    </row>
    <row r="1701">
      <c r="A1701" s="60" t="n"/>
      <c r="B1701" s="63" t="n"/>
      <c r="C1701" s="63" t="n"/>
      <c r="D1701" s="67" t="n"/>
      <c r="E1701" s="68" t="n"/>
      <c r="F1701" s="69" t="n"/>
      <c r="G1701" s="70" t="n"/>
      <c r="H1701" s="62" t="str">
        <f>IF(COUNTA(A1701:G1701)=0,"",IF(C1701&lt;&gt;"",C1701,IF(B1701="","",IFERROR(INDEX(pr_des,MATCH(B1701,pr_code,0))&amp;"",""))))</f>
        <v/>
      </c>
      <c r="I1701" s="59" t="str">
        <f>IF(B1701="","",IFERROR(INDEX(pr_unit,MATCH(B1701,pr_code,0))&amp;"",""))</f>
        <v/>
      </c>
      <c r="J1701" s="65" t="str">
        <f>IF(COUNTA(A1701:G1701)=0,"",IF(E1701&lt;&gt;"",E1701,IF(B1701="","",IFERROR(IF(INDEX(pr_price,MATCH(B1701,pr_code,0))="","",INDEX(pr_price,MATCH(B1701,pr_code,0))),""))))</f>
        <v/>
      </c>
      <c r="K1701" s="71" t="str">
        <f>IF(COUNTA(A1701:G1701)=0,"",IF(G1701&lt;&gt;"",G1701,IF(B1701="","",IFERROR(IF(INDEX(pr_rate,MATCH(B1701,pr_code,0))="","",INDEX(pr_rate,MATCH(B1701,pr_code,0))),""))))</f>
        <v/>
      </c>
      <c r="L1701" s="65" t="str">
        <f>IF(COUNTA(A1701:G1701)=0,"",IF(AND(ISNUMBER(D1701),ISNUMBER(J1701)),ROUND(D1701*J1701*(1-N(F1701)),2),0))</f>
        <v/>
      </c>
      <c r="M1701" s="62" t="str">
        <f>IF(A1701="","",IFERROR(INDEX(dv_cname,MATCH(A1701,dv_num,0))&amp;"",""))</f>
        <v/>
      </c>
      <c r="N1701" s="59" t="str">
        <f>IF(COUNTA(A1701:G1701)=0,"",IF(A1701="","N° devis manquant",IF(ISNA(MATCH(A1701,dv_num,0)),"Devis inconnu",IF(AND(B1701&lt;&gt;"",ISNA(MATCH(B1701,pr_code,0))),"Article inconnu",IF(H1701="","Désignation manquante",IF(OR(NOT(ISNUMBER(D1701)),N(D1701)&lt;=0),"Quantité invalide",IF(J1701="","Prix manquant",IF(OR(NOT(ISNUMBER(J1701)),N(J1701)&lt;0),"Prix invalide",IF(OR(AND(F1701&lt;&gt;"",NOT(ISNUMBER(F1701))),N(F1701)&lt;0,N(F1701)&gt;1),"Remise invalide",IF(K1701="","Taux de TVA manquant",IF(NOT(ISNUMBER(K1701)),"Taux de TVA invalide",IF(COUNTIF(p_rates,K1701)=0,"Taux de TVA hors liste (Paramètres)",IF(N(O1701)&gt;25,"Au-delà de 25 lignes : non imprimée","OK")))))))))))))</f>
        <v/>
      </c>
      <c r="O1701" s="59" t="str">
        <f>IF(A1701="","",COUNTIF($A$6:A1701,A1701))</f>
        <v/>
      </c>
      <c r="P1701" s="62" t="str">
        <f>IF(A1701="","",A1701&amp;"|"&amp;O1701)</f>
        <v/>
      </c>
    </row>
    <row r="1702">
      <c r="A1702" s="60" t="n"/>
      <c r="B1702" s="63" t="n"/>
      <c r="C1702" s="63" t="n"/>
      <c r="D1702" s="67" t="n"/>
      <c r="E1702" s="68" t="n"/>
      <c r="F1702" s="69" t="n"/>
      <c r="G1702" s="70" t="n"/>
      <c r="H1702" s="62" t="str">
        <f>IF(COUNTA(A1702:G1702)=0,"",IF(C1702&lt;&gt;"",C1702,IF(B1702="","",IFERROR(INDEX(pr_des,MATCH(B1702,pr_code,0))&amp;"",""))))</f>
        <v/>
      </c>
      <c r="I1702" s="59" t="str">
        <f>IF(B1702="","",IFERROR(INDEX(pr_unit,MATCH(B1702,pr_code,0))&amp;"",""))</f>
        <v/>
      </c>
      <c r="J1702" s="65" t="str">
        <f>IF(COUNTA(A1702:G1702)=0,"",IF(E1702&lt;&gt;"",E1702,IF(B1702="","",IFERROR(IF(INDEX(pr_price,MATCH(B1702,pr_code,0))="","",INDEX(pr_price,MATCH(B1702,pr_code,0))),""))))</f>
        <v/>
      </c>
      <c r="K1702" s="71" t="str">
        <f>IF(COUNTA(A1702:G1702)=0,"",IF(G1702&lt;&gt;"",G1702,IF(B1702="","",IFERROR(IF(INDEX(pr_rate,MATCH(B1702,pr_code,0))="","",INDEX(pr_rate,MATCH(B1702,pr_code,0))),""))))</f>
        <v/>
      </c>
      <c r="L1702" s="65" t="str">
        <f>IF(COUNTA(A1702:G1702)=0,"",IF(AND(ISNUMBER(D1702),ISNUMBER(J1702)),ROUND(D1702*J1702*(1-N(F1702)),2),0))</f>
        <v/>
      </c>
      <c r="M1702" s="62" t="str">
        <f>IF(A1702="","",IFERROR(INDEX(dv_cname,MATCH(A1702,dv_num,0))&amp;"",""))</f>
        <v/>
      </c>
      <c r="N1702" s="59" t="str">
        <f>IF(COUNTA(A1702:G1702)=0,"",IF(A1702="","N° devis manquant",IF(ISNA(MATCH(A1702,dv_num,0)),"Devis inconnu",IF(AND(B1702&lt;&gt;"",ISNA(MATCH(B1702,pr_code,0))),"Article inconnu",IF(H1702="","Désignation manquante",IF(OR(NOT(ISNUMBER(D1702)),N(D1702)&lt;=0),"Quantité invalide",IF(J1702="","Prix manquant",IF(OR(NOT(ISNUMBER(J1702)),N(J1702)&lt;0),"Prix invalide",IF(OR(AND(F1702&lt;&gt;"",NOT(ISNUMBER(F1702))),N(F1702)&lt;0,N(F1702)&gt;1),"Remise invalide",IF(K1702="","Taux de TVA manquant",IF(NOT(ISNUMBER(K1702)),"Taux de TVA invalide",IF(COUNTIF(p_rates,K1702)=0,"Taux de TVA hors liste (Paramètres)",IF(N(O1702)&gt;25,"Au-delà de 25 lignes : non imprimée","OK")))))))))))))</f>
        <v/>
      </c>
      <c r="O1702" s="59" t="str">
        <f>IF(A1702="","",COUNTIF($A$6:A1702,A1702))</f>
        <v/>
      </c>
      <c r="P1702" s="62" t="str">
        <f>IF(A1702="","",A1702&amp;"|"&amp;O1702)</f>
        <v/>
      </c>
    </row>
    <row r="1703">
      <c r="A1703" s="60" t="n"/>
      <c r="B1703" s="63" t="n"/>
      <c r="C1703" s="63" t="n"/>
      <c r="D1703" s="67" t="n"/>
      <c r="E1703" s="68" t="n"/>
      <c r="F1703" s="69" t="n"/>
      <c r="G1703" s="70" t="n"/>
      <c r="H1703" s="62" t="str">
        <f>IF(COUNTA(A1703:G1703)=0,"",IF(C1703&lt;&gt;"",C1703,IF(B1703="","",IFERROR(INDEX(pr_des,MATCH(B1703,pr_code,0))&amp;"",""))))</f>
        <v/>
      </c>
      <c r="I1703" s="59" t="str">
        <f>IF(B1703="","",IFERROR(INDEX(pr_unit,MATCH(B1703,pr_code,0))&amp;"",""))</f>
        <v/>
      </c>
      <c r="J1703" s="65" t="str">
        <f>IF(COUNTA(A1703:G1703)=0,"",IF(E1703&lt;&gt;"",E1703,IF(B1703="","",IFERROR(IF(INDEX(pr_price,MATCH(B1703,pr_code,0))="","",INDEX(pr_price,MATCH(B1703,pr_code,0))),""))))</f>
        <v/>
      </c>
      <c r="K1703" s="71" t="str">
        <f>IF(COUNTA(A1703:G1703)=0,"",IF(G1703&lt;&gt;"",G1703,IF(B1703="","",IFERROR(IF(INDEX(pr_rate,MATCH(B1703,pr_code,0))="","",INDEX(pr_rate,MATCH(B1703,pr_code,0))),""))))</f>
        <v/>
      </c>
      <c r="L1703" s="65" t="str">
        <f>IF(COUNTA(A1703:G1703)=0,"",IF(AND(ISNUMBER(D1703),ISNUMBER(J1703)),ROUND(D1703*J1703*(1-N(F1703)),2),0))</f>
        <v/>
      </c>
      <c r="M1703" s="62" t="str">
        <f>IF(A1703="","",IFERROR(INDEX(dv_cname,MATCH(A1703,dv_num,0))&amp;"",""))</f>
        <v/>
      </c>
      <c r="N1703" s="59" t="str">
        <f>IF(COUNTA(A1703:G1703)=0,"",IF(A1703="","N° devis manquant",IF(ISNA(MATCH(A1703,dv_num,0)),"Devis inconnu",IF(AND(B1703&lt;&gt;"",ISNA(MATCH(B1703,pr_code,0))),"Article inconnu",IF(H1703="","Désignation manquante",IF(OR(NOT(ISNUMBER(D1703)),N(D1703)&lt;=0),"Quantité invalide",IF(J1703="","Prix manquant",IF(OR(NOT(ISNUMBER(J1703)),N(J1703)&lt;0),"Prix invalide",IF(OR(AND(F1703&lt;&gt;"",NOT(ISNUMBER(F1703))),N(F1703)&lt;0,N(F1703)&gt;1),"Remise invalide",IF(K1703="","Taux de TVA manquant",IF(NOT(ISNUMBER(K1703)),"Taux de TVA invalide",IF(COUNTIF(p_rates,K1703)=0,"Taux de TVA hors liste (Paramètres)",IF(N(O1703)&gt;25,"Au-delà de 25 lignes : non imprimée","OK")))))))))))))</f>
        <v/>
      </c>
      <c r="O1703" s="59" t="str">
        <f>IF(A1703="","",COUNTIF($A$6:A1703,A1703))</f>
        <v/>
      </c>
      <c r="P1703" s="62" t="str">
        <f>IF(A1703="","",A1703&amp;"|"&amp;O1703)</f>
        <v/>
      </c>
    </row>
    <row r="1704">
      <c r="A1704" s="60" t="n"/>
      <c r="B1704" s="63" t="n"/>
      <c r="C1704" s="63" t="n"/>
      <c r="D1704" s="67" t="n"/>
      <c r="E1704" s="68" t="n"/>
      <c r="F1704" s="69" t="n"/>
      <c r="G1704" s="70" t="n"/>
      <c r="H1704" s="62" t="str">
        <f>IF(COUNTA(A1704:G1704)=0,"",IF(C1704&lt;&gt;"",C1704,IF(B1704="","",IFERROR(INDEX(pr_des,MATCH(B1704,pr_code,0))&amp;"",""))))</f>
        <v/>
      </c>
      <c r="I1704" s="59" t="str">
        <f>IF(B1704="","",IFERROR(INDEX(pr_unit,MATCH(B1704,pr_code,0))&amp;"",""))</f>
        <v/>
      </c>
      <c r="J1704" s="65" t="str">
        <f>IF(COUNTA(A1704:G1704)=0,"",IF(E1704&lt;&gt;"",E1704,IF(B1704="","",IFERROR(IF(INDEX(pr_price,MATCH(B1704,pr_code,0))="","",INDEX(pr_price,MATCH(B1704,pr_code,0))),""))))</f>
        <v/>
      </c>
      <c r="K1704" s="71" t="str">
        <f>IF(COUNTA(A1704:G1704)=0,"",IF(G1704&lt;&gt;"",G1704,IF(B1704="","",IFERROR(IF(INDEX(pr_rate,MATCH(B1704,pr_code,0))="","",INDEX(pr_rate,MATCH(B1704,pr_code,0))),""))))</f>
        <v/>
      </c>
      <c r="L1704" s="65" t="str">
        <f>IF(COUNTA(A1704:G1704)=0,"",IF(AND(ISNUMBER(D1704),ISNUMBER(J1704)),ROUND(D1704*J1704*(1-N(F1704)),2),0))</f>
        <v/>
      </c>
      <c r="M1704" s="62" t="str">
        <f>IF(A1704="","",IFERROR(INDEX(dv_cname,MATCH(A1704,dv_num,0))&amp;"",""))</f>
        <v/>
      </c>
      <c r="N1704" s="59" t="str">
        <f>IF(COUNTA(A1704:G1704)=0,"",IF(A1704="","N° devis manquant",IF(ISNA(MATCH(A1704,dv_num,0)),"Devis inconnu",IF(AND(B1704&lt;&gt;"",ISNA(MATCH(B1704,pr_code,0))),"Article inconnu",IF(H1704="","Désignation manquante",IF(OR(NOT(ISNUMBER(D1704)),N(D1704)&lt;=0),"Quantité invalide",IF(J1704="","Prix manquant",IF(OR(NOT(ISNUMBER(J1704)),N(J1704)&lt;0),"Prix invalide",IF(OR(AND(F1704&lt;&gt;"",NOT(ISNUMBER(F1704))),N(F1704)&lt;0,N(F1704)&gt;1),"Remise invalide",IF(K1704="","Taux de TVA manquant",IF(NOT(ISNUMBER(K1704)),"Taux de TVA invalide",IF(COUNTIF(p_rates,K1704)=0,"Taux de TVA hors liste (Paramètres)",IF(N(O1704)&gt;25,"Au-delà de 25 lignes : non imprimée","OK")))))))))))))</f>
        <v/>
      </c>
      <c r="O1704" s="59" t="str">
        <f>IF(A1704="","",COUNTIF($A$6:A1704,A1704))</f>
        <v/>
      </c>
      <c r="P1704" s="62" t="str">
        <f>IF(A1704="","",A1704&amp;"|"&amp;O1704)</f>
        <v/>
      </c>
    </row>
    <row r="1705">
      <c r="A1705" s="60" t="n"/>
      <c r="B1705" s="63" t="n"/>
      <c r="C1705" s="63" t="n"/>
      <c r="D1705" s="67" t="n"/>
      <c r="E1705" s="68" t="n"/>
      <c r="F1705" s="69" t="n"/>
      <c r="G1705" s="70" t="n"/>
      <c r="H1705" s="62" t="str">
        <f>IF(COUNTA(A1705:G1705)=0,"",IF(C1705&lt;&gt;"",C1705,IF(B1705="","",IFERROR(INDEX(pr_des,MATCH(B1705,pr_code,0))&amp;"",""))))</f>
        <v/>
      </c>
      <c r="I1705" s="59" t="str">
        <f>IF(B1705="","",IFERROR(INDEX(pr_unit,MATCH(B1705,pr_code,0))&amp;"",""))</f>
        <v/>
      </c>
      <c r="J1705" s="65" t="str">
        <f>IF(COUNTA(A1705:G1705)=0,"",IF(E1705&lt;&gt;"",E1705,IF(B1705="","",IFERROR(IF(INDEX(pr_price,MATCH(B1705,pr_code,0))="","",INDEX(pr_price,MATCH(B1705,pr_code,0))),""))))</f>
        <v/>
      </c>
      <c r="K1705" s="71" t="str">
        <f>IF(COUNTA(A1705:G1705)=0,"",IF(G1705&lt;&gt;"",G1705,IF(B1705="","",IFERROR(IF(INDEX(pr_rate,MATCH(B1705,pr_code,0))="","",INDEX(pr_rate,MATCH(B1705,pr_code,0))),""))))</f>
        <v/>
      </c>
      <c r="L1705" s="65" t="str">
        <f>IF(COUNTA(A1705:G1705)=0,"",IF(AND(ISNUMBER(D1705),ISNUMBER(J1705)),ROUND(D1705*J1705*(1-N(F1705)),2),0))</f>
        <v/>
      </c>
      <c r="M1705" s="62" t="str">
        <f>IF(A1705="","",IFERROR(INDEX(dv_cname,MATCH(A1705,dv_num,0))&amp;"",""))</f>
        <v/>
      </c>
      <c r="N1705" s="59" t="str">
        <f>IF(COUNTA(A1705:G1705)=0,"",IF(A1705="","N° devis manquant",IF(ISNA(MATCH(A1705,dv_num,0)),"Devis inconnu",IF(AND(B1705&lt;&gt;"",ISNA(MATCH(B1705,pr_code,0))),"Article inconnu",IF(H1705="","Désignation manquante",IF(OR(NOT(ISNUMBER(D1705)),N(D1705)&lt;=0),"Quantité invalide",IF(J1705="","Prix manquant",IF(OR(NOT(ISNUMBER(J1705)),N(J1705)&lt;0),"Prix invalide",IF(OR(AND(F1705&lt;&gt;"",NOT(ISNUMBER(F1705))),N(F1705)&lt;0,N(F1705)&gt;1),"Remise invalide",IF(K1705="","Taux de TVA manquant",IF(NOT(ISNUMBER(K1705)),"Taux de TVA invalide",IF(COUNTIF(p_rates,K1705)=0,"Taux de TVA hors liste (Paramètres)",IF(N(O1705)&gt;25,"Au-delà de 25 lignes : non imprimée","OK")))))))))))))</f>
        <v/>
      </c>
      <c r="O1705" s="59" t="str">
        <f>IF(A1705="","",COUNTIF($A$6:A1705,A1705))</f>
        <v/>
      </c>
      <c r="P1705" s="62" t="str">
        <f>IF(A1705="","",A1705&amp;"|"&amp;O1705)</f>
        <v/>
      </c>
    </row>
    <row r="1706">
      <c r="A1706" s="60" t="n"/>
      <c r="B1706" s="63" t="n"/>
      <c r="C1706" s="63" t="n"/>
      <c r="D1706" s="67" t="n"/>
      <c r="E1706" s="68" t="n"/>
      <c r="F1706" s="69" t="n"/>
      <c r="G1706" s="70" t="n"/>
      <c r="H1706" s="62" t="str">
        <f>IF(COUNTA(A1706:G1706)=0,"",IF(C1706&lt;&gt;"",C1706,IF(B1706="","",IFERROR(INDEX(pr_des,MATCH(B1706,pr_code,0))&amp;"",""))))</f>
        <v/>
      </c>
      <c r="I1706" s="59" t="str">
        <f>IF(B1706="","",IFERROR(INDEX(pr_unit,MATCH(B1706,pr_code,0))&amp;"",""))</f>
        <v/>
      </c>
      <c r="J1706" s="65" t="str">
        <f>IF(COUNTA(A1706:G1706)=0,"",IF(E1706&lt;&gt;"",E1706,IF(B1706="","",IFERROR(IF(INDEX(pr_price,MATCH(B1706,pr_code,0))="","",INDEX(pr_price,MATCH(B1706,pr_code,0))),""))))</f>
        <v/>
      </c>
      <c r="K1706" s="71" t="str">
        <f>IF(COUNTA(A1706:G1706)=0,"",IF(G1706&lt;&gt;"",G1706,IF(B1706="","",IFERROR(IF(INDEX(pr_rate,MATCH(B1706,pr_code,0))="","",INDEX(pr_rate,MATCH(B1706,pr_code,0))),""))))</f>
        <v/>
      </c>
      <c r="L1706" s="65" t="str">
        <f>IF(COUNTA(A1706:G1706)=0,"",IF(AND(ISNUMBER(D1706),ISNUMBER(J1706)),ROUND(D1706*J1706*(1-N(F1706)),2),0))</f>
        <v/>
      </c>
      <c r="M1706" s="62" t="str">
        <f>IF(A1706="","",IFERROR(INDEX(dv_cname,MATCH(A1706,dv_num,0))&amp;"",""))</f>
        <v/>
      </c>
      <c r="N1706" s="59" t="str">
        <f>IF(COUNTA(A1706:G1706)=0,"",IF(A1706="","N° devis manquant",IF(ISNA(MATCH(A1706,dv_num,0)),"Devis inconnu",IF(AND(B1706&lt;&gt;"",ISNA(MATCH(B1706,pr_code,0))),"Article inconnu",IF(H1706="","Désignation manquante",IF(OR(NOT(ISNUMBER(D1706)),N(D1706)&lt;=0),"Quantité invalide",IF(J1706="","Prix manquant",IF(OR(NOT(ISNUMBER(J1706)),N(J1706)&lt;0),"Prix invalide",IF(OR(AND(F1706&lt;&gt;"",NOT(ISNUMBER(F1706))),N(F1706)&lt;0,N(F1706)&gt;1),"Remise invalide",IF(K1706="","Taux de TVA manquant",IF(NOT(ISNUMBER(K1706)),"Taux de TVA invalide",IF(COUNTIF(p_rates,K1706)=0,"Taux de TVA hors liste (Paramètres)",IF(N(O1706)&gt;25,"Au-delà de 25 lignes : non imprimée","OK")))))))))))))</f>
        <v/>
      </c>
      <c r="O1706" s="59" t="str">
        <f>IF(A1706="","",COUNTIF($A$6:A1706,A1706))</f>
        <v/>
      </c>
      <c r="P1706" s="62" t="str">
        <f>IF(A1706="","",A1706&amp;"|"&amp;O1706)</f>
        <v/>
      </c>
    </row>
    <row r="1707">
      <c r="A1707" s="60" t="n"/>
      <c r="B1707" s="63" t="n"/>
      <c r="C1707" s="63" t="n"/>
      <c r="D1707" s="67" t="n"/>
      <c r="E1707" s="68" t="n"/>
      <c r="F1707" s="69" t="n"/>
      <c r="G1707" s="70" t="n"/>
      <c r="H1707" s="62" t="str">
        <f>IF(COUNTA(A1707:G1707)=0,"",IF(C1707&lt;&gt;"",C1707,IF(B1707="","",IFERROR(INDEX(pr_des,MATCH(B1707,pr_code,0))&amp;"",""))))</f>
        <v/>
      </c>
      <c r="I1707" s="59" t="str">
        <f>IF(B1707="","",IFERROR(INDEX(pr_unit,MATCH(B1707,pr_code,0))&amp;"",""))</f>
        <v/>
      </c>
      <c r="J1707" s="65" t="str">
        <f>IF(COUNTA(A1707:G1707)=0,"",IF(E1707&lt;&gt;"",E1707,IF(B1707="","",IFERROR(IF(INDEX(pr_price,MATCH(B1707,pr_code,0))="","",INDEX(pr_price,MATCH(B1707,pr_code,0))),""))))</f>
        <v/>
      </c>
      <c r="K1707" s="71" t="str">
        <f>IF(COUNTA(A1707:G1707)=0,"",IF(G1707&lt;&gt;"",G1707,IF(B1707="","",IFERROR(IF(INDEX(pr_rate,MATCH(B1707,pr_code,0))="","",INDEX(pr_rate,MATCH(B1707,pr_code,0))),""))))</f>
        <v/>
      </c>
      <c r="L1707" s="65" t="str">
        <f>IF(COUNTA(A1707:G1707)=0,"",IF(AND(ISNUMBER(D1707),ISNUMBER(J1707)),ROUND(D1707*J1707*(1-N(F1707)),2),0))</f>
        <v/>
      </c>
      <c r="M1707" s="62" t="str">
        <f>IF(A1707="","",IFERROR(INDEX(dv_cname,MATCH(A1707,dv_num,0))&amp;"",""))</f>
        <v/>
      </c>
      <c r="N1707" s="59" t="str">
        <f>IF(COUNTA(A1707:G1707)=0,"",IF(A1707="","N° devis manquant",IF(ISNA(MATCH(A1707,dv_num,0)),"Devis inconnu",IF(AND(B1707&lt;&gt;"",ISNA(MATCH(B1707,pr_code,0))),"Article inconnu",IF(H1707="","Désignation manquante",IF(OR(NOT(ISNUMBER(D1707)),N(D1707)&lt;=0),"Quantité invalide",IF(J1707="","Prix manquant",IF(OR(NOT(ISNUMBER(J1707)),N(J1707)&lt;0),"Prix invalide",IF(OR(AND(F1707&lt;&gt;"",NOT(ISNUMBER(F1707))),N(F1707)&lt;0,N(F1707)&gt;1),"Remise invalide",IF(K1707="","Taux de TVA manquant",IF(NOT(ISNUMBER(K1707)),"Taux de TVA invalide",IF(COUNTIF(p_rates,K1707)=0,"Taux de TVA hors liste (Paramètres)",IF(N(O1707)&gt;25,"Au-delà de 25 lignes : non imprimée","OK")))))))))))))</f>
        <v/>
      </c>
      <c r="O1707" s="59" t="str">
        <f>IF(A1707="","",COUNTIF($A$6:A1707,A1707))</f>
        <v/>
      </c>
      <c r="P1707" s="62" t="str">
        <f>IF(A1707="","",A1707&amp;"|"&amp;O1707)</f>
        <v/>
      </c>
    </row>
    <row r="1708">
      <c r="A1708" s="60" t="n"/>
      <c r="B1708" s="63" t="n"/>
      <c r="C1708" s="63" t="n"/>
      <c r="D1708" s="67" t="n"/>
      <c r="E1708" s="68" t="n"/>
      <c r="F1708" s="69" t="n"/>
      <c r="G1708" s="70" t="n"/>
      <c r="H1708" s="62" t="str">
        <f>IF(COUNTA(A1708:G1708)=0,"",IF(C1708&lt;&gt;"",C1708,IF(B1708="","",IFERROR(INDEX(pr_des,MATCH(B1708,pr_code,0))&amp;"",""))))</f>
        <v/>
      </c>
      <c r="I1708" s="59" t="str">
        <f>IF(B1708="","",IFERROR(INDEX(pr_unit,MATCH(B1708,pr_code,0))&amp;"",""))</f>
        <v/>
      </c>
      <c r="J1708" s="65" t="str">
        <f>IF(COUNTA(A1708:G1708)=0,"",IF(E1708&lt;&gt;"",E1708,IF(B1708="","",IFERROR(IF(INDEX(pr_price,MATCH(B1708,pr_code,0))="","",INDEX(pr_price,MATCH(B1708,pr_code,0))),""))))</f>
        <v/>
      </c>
      <c r="K1708" s="71" t="str">
        <f>IF(COUNTA(A1708:G1708)=0,"",IF(G1708&lt;&gt;"",G1708,IF(B1708="","",IFERROR(IF(INDEX(pr_rate,MATCH(B1708,pr_code,0))="","",INDEX(pr_rate,MATCH(B1708,pr_code,0))),""))))</f>
        <v/>
      </c>
      <c r="L1708" s="65" t="str">
        <f>IF(COUNTA(A1708:G1708)=0,"",IF(AND(ISNUMBER(D1708),ISNUMBER(J1708)),ROUND(D1708*J1708*(1-N(F1708)),2),0))</f>
        <v/>
      </c>
      <c r="M1708" s="62" t="str">
        <f>IF(A1708="","",IFERROR(INDEX(dv_cname,MATCH(A1708,dv_num,0))&amp;"",""))</f>
        <v/>
      </c>
      <c r="N1708" s="59" t="str">
        <f>IF(COUNTA(A1708:G1708)=0,"",IF(A1708="","N° devis manquant",IF(ISNA(MATCH(A1708,dv_num,0)),"Devis inconnu",IF(AND(B1708&lt;&gt;"",ISNA(MATCH(B1708,pr_code,0))),"Article inconnu",IF(H1708="","Désignation manquante",IF(OR(NOT(ISNUMBER(D1708)),N(D1708)&lt;=0),"Quantité invalide",IF(J1708="","Prix manquant",IF(OR(NOT(ISNUMBER(J1708)),N(J1708)&lt;0),"Prix invalide",IF(OR(AND(F1708&lt;&gt;"",NOT(ISNUMBER(F1708))),N(F1708)&lt;0,N(F1708)&gt;1),"Remise invalide",IF(K1708="","Taux de TVA manquant",IF(NOT(ISNUMBER(K1708)),"Taux de TVA invalide",IF(COUNTIF(p_rates,K1708)=0,"Taux de TVA hors liste (Paramètres)",IF(N(O1708)&gt;25,"Au-delà de 25 lignes : non imprimée","OK")))))))))))))</f>
        <v/>
      </c>
      <c r="O1708" s="59" t="str">
        <f>IF(A1708="","",COUNTIF($A$6:A1708,A1708))</f>
        <v/>
      </c>
      <c r="P1708" s="62" t="str">
        <f>IF(A1708="","",A1708&amp;"|"&amp;O1708)</f>
        <v/>
      </c>
    </row>
    <row r="1709">
      <c r="A1709" s="60" t="n"/>
      <c r="B1709" s="63" t="n"/>
      <c r="C1709" s="63" t="n"/>
      <c r="D1709" s="67" t="n"/>
      <c r="E1709" s="68" t="n"/>
      <c r="F1709" s="69" t="n"/>
      <c r="G1709" s="70" t="n"/>
      <c r="H1709" s="62" t="str">
        <f>IF(COUNTA(A1709:G1709)=0,"",IF(C1709&lt;&gt;"",C1709,IF(B1709="","",IFERROR(INDEX(pr_des,MATCH(B1709,pr_code,0))&amp;"",""))))</f>
        <v/>
      </c>
      <c r="I1709" s="59" t="str">
        <f>IF(B1709="","",IFERROR(INDEX(pr_unit,MATCH(B1709,pr_code,0))&amp;"",""))</f>
        <v/>
      </c>
      <c r="J1709" s="65" t="str">
        <f>IF(COUNTA(A1709:G1709)=0,"",IF(E1709&lt;&gt;"",E1709,IF(B1709="","",IFERROR(IF(INDEX(pr_price,MATCH(B1709,pr_code,0))="","",INDEX(pr_price,MATCH(B1709,pr_code,0))),""))))</f>
        <v/>
      </c>
      <c r="K1709" s="71" t="str">
        <f>IF(COUNTA(A1709:G1709)=0,"",IF(G1709&lt;&gt;"",G1709,IF(B1709="","",IFERROR(IF(INDEX(pr_rate,MATCH(B1709,pr_code,0))="","",INDEX(pr_rate,MATCH(B1709,pr_code,0))),""))))</f>
        <v/>
      </c>
      <c r="L1709" s="65" t="str">
        <f>IF(COUNTA(A1709:G1709)=0,"",IF(AND(ISNUMBER(D1709),ISNUMBER(J1709)),ROUND(D1709*J1709*(1-N(F1709)),2),0))</f>
        <v/>
      </c>
      <c r="M1709" s="62" t="str">
        <f>IF(A1709="","",IFERROR(INDEX(dv_cname,MATCH(A1709,dv_num,0))&amp;"",""))</f>
        <v/>
      </c>
      <c r="N1709" s="59" t="str">
        <f>IF(COUNTA(A1709:G1709)=0,"",IF(A1709="","N° devis manquant",IF(ISNA(MATCH(A1709,dv_num,0)),"Devis inconnu",IF(AND(B1709&lt;&gt;"",ISNA(MATCH(B1709,pr_code,0))),"Article inconnu",IF(H1709="","Désignation manquante",IF(OR(NOT(ISNUMBER(D1709)),N(D1709)&lt;=0),"Quantité invalide",IF(J1709="","Prix manquant",IF(OR(NOT(ISNUMBER(J1709)),N(J1709)&lt;0),"Prix invalide",IF(OR(AND(F1709&lt;&gt;"",NOT(ISNUMBER(F1709))),N(F1709)&lt;0,N(F1709)&gt;1),"Remise invalide",IF(K1709="","Taux de TVA manquant",IF(NOT(ISNUMBER(K1709)),"Taux de TVA invalide",IF(COUNTIF(p_rates,K1709)=0,"Taux de TVA hors liste (Paramètres)",IF(N(O1709)&gt;25,"Au-delà de 25 lignes : non imprimée","OK")))))))))))))</f>
        <v/>
      </c>
      <c r="O1709" s="59" t="str">
        <f>IF(A1709="","",COUNTIF($A$6:A1709,A1709))</f>
        <v/>
      </c>
      <c r="P1709" s="62" t="str">
        <f>IF(A1709="","",A1709&amp;"|"&amp;O1709)</f>
        <v/>
      </c>
    </row>
    <row r="1710">
      <c r="A1710" s="60" t="n"/>
      <c r="B1710" s="63" t="n"/>
      <c r="C1710" s="63" t="n"/>
      <c r="D1710" s="67" t="n"/>
      <c r="E1710" s="68" t="n"/>
      <c r="F1710" s="69" t="n"/>
      <c r="G1710" s="70" t="n"/>
      <c r="H1710" s="62" t="str">
        <f>IF(COUNTA(A1710:G1710)=0,"",IF(C1710&lt;&gt;"",C1710,IF(B1710="","",IFERROR(INDEX(pr_des,MATCH(B1710,pr_code,0))&amp;"",""))))</f>
        <v/>
      </c>
      <c r="I1710" s="59" t="str">
        <f>IF(B1710="","",IFERROR(INDEX(pr_unit,MATCH(B1710,pr_code,0))&amp;"",""))</f>
        <v/>
      </c>
      <c r="J1710" s="65" t="str">
        <f>IF(COUNTA(A1710:G1710)=0,"",IF(E1710&lt;&gt;"",E1710,IF(B1710="","",IFERROR(IF(INDEX(pr_price,MATCH(B1710,pr_code,0))="","",INDEX(pr_price,MATCH(B1710,pr_code,0))),""))))</f>
        <v/>
      </c>
      <c r="K1710" s="71" t="str">
        <f>IF(COUNTA(A1710:G1710)=0,"",IF(G1710&lt;&gt;"",G1710,IF(B1710="","",IFERROR(IF(INDEX(pr_rate,MATCH(B1710,pr_code,0))="","",INDEX(pr_rate,MATCH(B1710,pr_code,0))),""))))</f>
        <v/>
      </c>
      <c r="L1710" s="65" t="str">
        <f>IF(COUNTA(A1710:G1710)=0,"",IF(AND(ISNUMBER(D1710),ISNUMBER(J1710)),ROUND(D1710*J1710*(1-N(F1710)),2),0))</f>
        <v/>
      </c>
      <c r="M1710" s="62" t="str">
        <f>IF(A1710="","",IFERROR(INDEX(dv_cname,MATCH(A1710,dv_num,0))&amp;"",""))</f>
        <v/>
      </c>
      <c r="N1710" s="59" t="str">
        <f>IF(COUNTA(A1710:G1710)=0,"",IF(A1710="","N° devis manquant",IF(ISNA(MATCH(A1710,dv_num,0)),"Devis inconnu",IF(AND(B1710&lt;&gt;"",ISNA(MATCH(B1710,pr_code,0))),"Article inconnu",IF(H1710="","Désignation manquante",IF(OR(NOT(ISNUMBER(D1710)),N(D1710)&lt;=0),"Quantité invalide",IF(J1710="","Prix manquant",IF(OR(NOT(ISNUMBER(J1710)),N(J1710)&lt;0),"Prix invalide",IF(OR(AND(F1710&lt;&gt;"",NOT(ISNUMBER(F1710))),N(F1710)&lt;0,N(F1710)&gt;1),"Remise invalide",IF(K1710="","Taux de TVA manquant",IF(NOT(ISNUMBER(K1710)),"Taux de TVA invalide",IF(COUNTIF(p_rates,K1710)=0,"Taux de TVA hors liste (Paramètres)",IF(N(O1710)&gt;25,"Au-delà de 25 lignes : non imprimée","OK")))))))))))))</f>
        <v/>
      </c>
      <c r="O1710" s="59" t="str">
        <f>IF(A1710="","",COUNTIF($A$6:A1710,A1710))</f>
        <v/>
      </c>
      <c r="P1710" s="62" t="str">
        <f>IF(A1710="","",A1710&amp;"|"&amp;O1710)</f>
        <v/>
      </c>
    </row>
    <row r="1711">
      <c r="A1711" s="60" t="n"/>
      <c r="B1711" s="63" t="n"/>
      <c r="C1711" s="63" t="n"/>
      <c r="D1711" s="67" t="n"/>
      <c r="E1711" s="68" t="n"/>
      <c r="F1711" s="69" t="n"/>
      <c r="G1711" s="70" t="n"/>
      <c r="H1711" s="62" t="str">
        <f>IF(COUNTA(A1711:G1711)=0,"",IF(C1711&lt;&gt;"",C1711,IF(B1711="","",IFERROR(INDEX(pr_des,MATCH(B1711,pr_code,0))&amp;"",""))))</f>
        <v/>
      </c>
      <c r="I1711" s="59" t="str">
        <f>IF(B1711="","",IFERROR(INDEX(pr_unit,MATCH(B1711,pr_code,0))&amp;"",""))</f>
        <v/>
      </c>
      <c r="J1711" s="65" t="str">
        <f>IF(COUNTA(A1711:G1711)=0,"",IF(E1711&lt;&gt;"",E1711,IF(B1711="","",IFERROR(IF(INDEX(pr_price,MATCH(B1711,pr_code,0))="","",INDEX(pr_price,MATCH(B1711,pr_code,0))),""))))</f>
        <v/>
      </c>
      <c r="K1711" s="71" t="str">
        <f>IF(COUNTA(A1711:G1711)=0,"",IF(G1711&lt;&gt;"",G1711,IF(B1711="","",IFERROR(IF(INDEX(pr_rate,MATCH(B1711,pr_code,0))="","",INDEX(pr_rate,MATCH(B1711,pr_code,0))),""))))</f>
        <v/>
      </c>
      <c r="L1711" s="65" t="str">
        <f>IF(COUNTA(A1711:G1711)=0,"",IF(AND(ISNUMBER(D1711),ISNUMBER(J1711)),ROUND(D1711*J1711*(1-N(F1711)),2),0))</f>
        <v/>
      </c>
      <c r="M1711" s="62" t="str">
        <f>IF(A1711="","",IFERROR(INDEX(dv_cname,MATCH(A1711,dv_num,0))&amp;"",""))</f>
        <v/>
      </c>
      <c r="N1711" s="59" t="str">
        <f>IF(COUNTA(A1711:G1711)=0,"",IF(A1711="","N° devis manquant",IF(ISNA(MATCH(A1711,dv_num,0)),"Devis inconnu",IF(AND(B1711&lt;&gt;"",ISNA(MATCH(B1711,pr_code,0))),"Article inconnu",IF(H1711="","Désignation manquante",IF(OR(NOT(ISNUMBER(D1711)),N(D1711)&lt;=0),"Quantité invalide",IF(J1711="","Prix manquant",IF(OR(NOT(ISNUMBER(J1711)),N(J1711)&lt;0),"Prix invalide",IF(OR(AND(F1711&lt;&gt;"",NOT(ISNUMBER(F1711))),N(F1711)&lt;0,N(F1711)&gt;1),"Remise invalide",IF(K1711="","Taux de TVA manquant",IF(NOT(ISNUMBER(K1711)),"Taux de TVA invalide",IF(COUNTIF(p_rates,K1711)=0,"Taux de TVA hors liste (Paramètres)",IF(N(O1711)&gt;25,"Au-delà de 25 lignes : non imprimée","OK")))))))))))))</f>
        <v/>
      </c>
      <c r="O1711" s="59" t="str">
        <f>IF(A1711="","",COUNTIF($A$6:A1711,A1711))</f>
        <v/>
      </c>
      <c r="P1711" s="62" t="str">
        <f>IF(A1711="","",A1711&amp;"|"&amp;O1711)</f>
        <v/>
      </c>
    </row>
    <row r="1712">
      <c r="A1712" s="60" t="n"/>
      <c r="B1712" s="63" t="n"/>
      <c r="C1712" s="63" t="n"/>
      <c r="D1712" s="67" t="n"/>
      <c r="E1712" s="68" t="n"/>
      <c r="F1712" s="69" t="n"/>
      <c r="G1712" s="70" t="n"/>
      <c r="H1712" s="62" t="str">
        <f>IF(COUNTA(A1712:G1712)=0,"",IF(C1712&lt;&gt;"",C1712,IF(B1712="","",IFERROR(INDEX(pr_des,MATCH(B1712,pr_code,0))&amp;"",""))))</f>
        <v/>
      </c>
      <c r="I1712" s="59" t="str">
        <f>IF(B1712="","",IFERROR(INDEX(pr_unit,MATCH(B1712,pr_code,0))&amp;"",""))</f>
        <v/>
      </c>
      <c r="J1712" s="65" t="str">
        <f>IF(COUNTA(A1712:G1712)=0,"",IF(E1712&lt;&gt;"",E1712,IF(B1712="","",IFERROR(IF(INDEX(pr_price,MATCH(B1712,pr_code,0))="","",INDEX(pr_price,MATCH(B1712,pr_code,0))),""))))</f>
        <v/>
      </c>
      <c r="K1712" s="71" t="str">
        <f>IF(COUNTA(A1712:G1712)=0,"",IF(G1712&lt;&gt;"",G1712,IF(B1712="","",IFERROR(IF(INDEX(pr_rate,MATCH(B1712,pr_code,0))="","",INDEX(pr_rate,MATCH(B1712,pr_code,0))),""))))</f>
        <v/>
      </c>
      <c r="L1712" s="65" t="str">
        <f>IF(COUNTA(A1712:G1712)=0,"",IF(AND(ISNUMBER(D1712),ISNUMBER(J1712)),ROUND(D1712*J1712*(1-N(F1712)),2),0))</f>
        <v/>
      </c>
      <c r="M1712" s="62" t="str">
        <f>IF(A1712="","",IFERROR(INDEX(dv_cname,MATCH(A1712,dv_num,0))&amp;"",""))</f>
        <v/>
      </c>
      <c r="N1712" s="59" t="str">
        <f>IF(COUNTA(A1712:G1712)=0,"",IF(A1712="","N° devis manquant",IF(ISNA(MATCH(A1712,dv_num,0)),"Devis inconnu",IF(AND(B1712&lt;&gt;"",ISNA(MATCH(B1712,pr_code,0))),"Article inconnu",IF(H1712="","Désignation manquante",IF(OR(NOT(ISNUMBER(D1712)),N(D1712)&lt;=0),"Quantité invalide",IF(J1712="","Prix manquant",IF(OR(NOT(ISNUMBER(J1712)),N(J1712)&lt;0),"Prix invalide",IF(OR(AND(F1712&lt;&gt;"",NOT(ISNUMBER(F1712))),N(F1712)&lt;0,N(F1712)&gt;1),"Remise invalide",IF(K1712="","Taux de TVA manquant",IF(NOT(ISNUMBER(K1712)),"Taux de TVA invalide",IF(COUNTIF(p_rates,K1712)=0,"Taux de TVA hors liste (Paramètres)",IF(N(O1712)&gt;25,"Au-delà de 25 lignes : non imprimée","OK")))))))))))))</f>
        <v/>
      </c>
      <c r="O1712" s="59" t="str">
        <f>IF(A1712="","",COUNTIF($A$6:A1712,A1712))</f>
        <v/>
      </c>
      <c r="P1712" s="62" t="str">
        <f>IF(A1712="","",A1712&amp;"|"&amp;O1712)</f>
        <v/>
      </c>
    </row>
    <row r="1713">
      <c r="A1713" s="60" t="n"/>
      <c r="B1713" s="63" t="n"/>
      <c r="C1713" s="63" t="n"/>
      <c r="D1713" s="67" t="n"/>
      <c r="E1713" s="68" t="n"/>
      <c r="F1713" s="69" t="n"/>
      <c r="G1713" s="70" t="n"/>
      <c r="H1713" s="62" t="str">
        <f>IF(COUNTA(A1713:G1713)=0,"",IF(C1713&lt;&gt;"",C1713,IF(B1713="","",IFERROR(INDEX(pr_des,MATCH(B1713,pr_code,0))&amp;"",""))))</f>
        <v/>
      </c>
      <c r="I1713" s="59" t="str">
        <f>IF(B1713="","",IFERROR(INDEX(pr_unit,MATCH(B1713,pr_code,0))&amp;"",""))</f>
        <v/>
      </c>
      <c r="J1713" s="65" t="str">
        <f>IF(COUNTA(A1713:G1713)=0,"",IF(E1713&lt;&gt;"",E1713,IF(B1713="","",IFERROR(IF(INDEX(pr_price,MATCH(B1713,pr_code,0))="","",INDEX(pr_price,MATCH(B1713,pr_code,0))),""))))</f>
        <v/>
      </c>
      <c r="K1713" s="71" t="str">
        <f>IF(COUNTA(A1713:G1713)=0,"",IF(G1713&lt;&gt;"",G1713,IF(B1713="","",IFERROR(IF(INDEX(pr_rate,MATCH(B1713,pr_code,0))="","",INDEX(pr_rate,MATCH(B1713,pr_code,0))),""))))</f>
        <v/>
      </c>
      <c r="L1713" s="65" t="str">
        <f>IF(COUNTA(A1713:G1713)=0,"",IF(AND(ISNUMBER(D1713),ISNUMBER(J1713)),ROUND(D1713*J1713*(1-N(F1713)),2),0))</f>
        <v/>
      </c>
      <c r="M1713" s="62" t="str">
        <f>IF(A1713="","",IFERROR(INDEX(dv_cname,MATCH(A1713,dv_num,0))&amp;"",""))</f>
        <v/>
      </c>
      <c r="N1713" s="59" t="str">
        <f>IF(COUNTA(A1713:G1713)=0,"",IF(A1713="","N° devis manquant",IF(ISNA(MATCH(A1713,dv_num,0)),"Devis inconnu",IF(AND(B1713&lt;&gt;"",ISNA(MATCH(B1713,pr_code,0))),"Article inconnu",IF(H1713="","Désignation manquante",IF(OR(NOT(ISNUMBER(D1713)),N(D1713)&lt;=0),"Quantité invalide",IF(J1713="","Prix manquant",IF(OR(NOT(ISNUMBER(J1713)),N(J1713)&lt;0),"Prix invalide",IF(OR(AND(F1713&lt;&gt;"",NOT(ISNUMBER(F1713))),N(F1713)&lt;0,N(F1713)&gt;1),"Remise invalide",IF(K1713="","Taux de TVA manquant",IF(NOT(ISNUMBER(K1713)),"Taux de TVA invalide",IF(COUNTIF(p_rates,K1713)=0,"Taux de TVA hors liste (Paramètres)",IF(N(O1713)&gt;25,"Au-delà de 25 lignes : non imprimée","OK")))))))))))))</f>
        <v/>
      </c>
      <c r="O1713" s="59" t="str">
        <f>IF(A1713="","",COUNTIF($A$6:A1713,A1713))</f>
        <v/>
      </c>
      <c r="P1713" s="62" t="str">
        <f>IF(A1713="","",A1713&amp;"|"&amp;O1713)</f>
        <v/>
      </c>
    </row>
    <row r="1714">
      <c r="A1714" s="60" t="n"/>
      <c r="B1714" s="63" t="n"/>
      <c r="C1714" s="63" t="n"/>
      <c r="D1714" s="67" t="n"/>
      <c r="E1714" s="68" t="n"/>
      <c r="F1714" s="69" t="n"/>
      <c r="G1714" s="70" t="n"/>
      <c r="H1714" s="62" t="str">
        <f>IF(COUNTA(A1714:G1714)=0,"",IF(C1714&lt;&gt;"",C1714,IF(B1714="","",IFERROR(INDEX(pr_des,MATCH(B1714,pr_code,0))&amp;"",""))))</f>
        <v/>
      </c>
      <c r="I1714" s="59" t="str">
        <f>IF(B1714="","",IFERROR(INDEX(pr_unit,MATCH(B1714,pr_code,0))&amp;"",""))</f>
        <v/>
      </c>
      <c r="J1714" s="65" t="str">
        <f>IF(COUNTA(A1714:G1714)=0,"",IF(E1714&lt;&gt;"",E1714,IF(B1714="","",IFERROR(IF(INDEX(pr_price,MATCH(B1714,pr_code,0))="","",INDEX(pr_price,MATCH(B1714,pr_code,0))),""))))</f>
        <v/>
      </c>
      <c r="K1714" s="71" t="str">
        <f>IF(COUNTA(A1714:G1714)=0,"",IF(G1714&lt;&gt;"",G1714,IF(B1714="","",IFERROR(IF(INDEX(pr_rate,MATCH(B1714,pr_code,0))="","",INDEX(pr_rate,MATCH(B1714,pr_code,0))),""))))</f>
        <v/>
      </c>
      <c r="L1714" s="65" t="str">
        <f>IF(COUNTA(A1714:G1714)=0,"",IF(AND(ISNUMBER(D1714),ISNUMBER(J1714)),ROUND(D1714*J1714*(1-N(F1714)),2),0))</f>
        <v/>
      </c>
      <c r="M1714" s="62" t="str">
        <f>IF(A1714="","",IFERROR(INDEX(dv_cname,MATCH(A1714,dv_num,0))&amp;"",""))</f>
        <v/>
      </c>
      <c r="N1714" s="59" t="str">
        <f>IF(COUNTA(A1714:G1714)=0,"",IF(A1714="","N° devis manquant",IF(ISNA(MATCH(A1714,dv_num,0)),"Devis inconnu",IF(AND(B1714&lt;&gt;"",ISNA(MATCH(B1714,pr_code,0))),"Article inconnu",IF(H1714="","Désignation manquante",IF(OR(NOT(ISNUMBER(D1714)),N(D1714)&lt;=0),"Quantité invalide",IF(J1714="","Prix manquant",IF(OR(NOT(ISNUMBER(J1714)),N(J1714)&lt;0),"Prix invalide",IF(OR(AND(F1714&lt;&gt;"",NOT(ISNUMBER(F1714))),N(F1714)&lt;0,N(F1714)&gt;1),"Remise invalide",IF(K1714="","Taux de TVA manquant",IF(NOT(ISNUMBER(K1714)),"Taux de TVA invalide",IF(COUNTIF(p_rates,K1714)=0,"Taux de TVA hors liste (Paramètres)",IF(N(O1714)&gt;25,"Au-delà de 25 lignes : non imprimée","OK")))))))))))))</f>
        <v/>
      </c>
      <c r="O1714" s="59" t="str">
        <f>IF(A1714="","",COUNTIF($A$6:A1714,A1714))</f>
        <v/>
      </c>
      <c r="P1714" s="62" t="str">
        <f>IF(A1714="","",A1714&amp;"|"&amp;O1714)</f>
        <v/>
      </c>
    </row>
    <row r="1715">
      <c r="A1715" s="60" t="n"/>
      <c r="B1715" s="63" t="n"/>
      <c r="C1715" s="63" t="n"/>
      <c r="D1715" s="67" t="n"/>
      <c r="E1715" s="68" t="n"/>
      <c r="F1715" s="69" t="n"/>
      <c r="G1715" s="70" t="n"/>
      <c r="H1715" s="62" t="str">
        <f>IF(COUNTA(A1715:G1715)=0,"",IF(C1715&lt;&gt;"",C1715,IF(B1715="","",IFERROR(INDEX(pr_des,MATCH(B1715,pr_code,0))&amp;"",""))))</f>
        <v/>
      </c>
      <c r="I1715" s="59" t="str">
        <f>IF(B1715="","",IFERROR(INDEX(pr_unit,MATCH(B1715,pr_code,0))&amp;"",""))</f>
        <v/>
      </c>
      <c r="J1715" s="65" t="str">
        <f>IF(COUNTA(A1715:G1715)=0,"",IF(E1715&lt;&gt;"",E1715,IF(B1715="","",IFERROR(IF(INDEX(pr_price,MATCH(B1715,pr_code,0))="","",INDEX(pr_price,MATCH(B1715,pr_code,0))),""))))</f>
        <v/>
      </c>
      <c r="K1715" s="71" t="str">
        <f>IF(COUNTA(A1715:G1715)=0,"",IF(G1715&lt;&gt;"",G1715,IF(B1715="","",IFERROR(IF(INDEX(pr_rate,MATCH(B1715,pr_code,0))="","",INDEX(pr_rate,MATCH(B1715,pr_code,0))),""))))</f>
        <v/>
      </c>
      <c r="L1715" s="65" t="str">
        <f>IF(COUNTA(A1715:G1715)=0,"",IF(AND(ISNUMBER(D1715),ISNUMBER(J1715)),ROUND(D1715*J1715*(1-N(F1715)),2),0))</f>
        <v/>
      </c>
      <c r="M1715" s="62" t="str">
        <f>IF(A1715="","",IFERROR(INDEX(dv_cname,MATCH(A1715,dv_num,0))&amp;"",""))</f>
        <v/>
      </c>
      <c r="N1715" s="59" t="str">
        <f>IF(COUNTA(A1715:G1715)=0,"",IF(A1715="","N° devis manquant",IF(ISNA(MATCH(A1715,dv_num,0)),"Devis inconnu",IF(AND(B1715&lt;&gt;"",ISNA(MATCH(B1715,pr_code,0))),"Article inconnu",IF(H1715="","Désignation manquante",IF(OR(NOT(ISNUMBER(D1715)),N(D1715)&lt;=0),"Quantité invalide",IF(J1715="","Prix manquant",IF(OR(NOT(ISNUMBER(J1715)),N(J1715)&lt;0),"Prix invalide",IF(OR(AND(F1715&lt;&gt;"",NOT(ISNUMBER(F1715))),N(F1715)&lt;0,N(F1715)&gt;1),"Remise invalide",IF(K1715="","Taux de TVA manquant",IF(NOT(ISNUMBER(K1715)),"Taux de TVA invalide",IF(COUNTIF(p_rates,K1715)=0,"Taux de TVA hors liste (Paramètres)",IF(N(O1715)&gt;25,"Au-delà de 25 lignes : non imprimée","OK")))))))))))))</f>
        <v/>
      </c>
      <c r="O1715" s="59" t="str">
        <f>IF(A1715="","",COUNTIF($A$6:A1715,A1715))</f>
        <v/>
      </c>
      <c r="P1715" s="62" t="str">
        <f>IF(A1715="","",A1715&amp;"|"&amp;O1715)</f>
        <v/>
      </c>
    </row>
    <row r="1716">
      <c r="A1716" s="60" t="n"/>
      <c r="B1716" s="63" t="n"/>
      <c r="C1716" s="63" t="n"/>
      <c r="D1716" s="67" t="n"/>
      <c r="E1716" s="68" t="n"/>
      <c r="F1716" s="69" t="n"/>
      <c r="G1716" s="70" t="n"/>
      <c r="H1716" s="62" t="str">
        <f>IF(COUNTA(A1716:G1716)=0,"",IF(C1716&lt;&gt;"",C1716,IF(B1716="","",IFERROR(INDEX(pr_des,MATCH(B1716,pr_code,0))&amp;"",""))))</f>
        <v/>
      </c>
      <c r="I1716" s="59" t="str">
        <f>IF(B1716="","",IFERROR(INDEX(pr_unit,MATCH(B1716,pr_code,0))&amp;"",""))</f>
        <v/>
      </c>
      <c r="J1716" s="65" t="str">
        <f>IF(COUNTA(A1716:G1716)=0,"",IF(E1716&lt;&gt;"",E1716,IF(B1716="","",IFERROR(IF(INDEX(pr_price,MATCH(B1716,pr_code,0))="","",INDEX(pr_price,MATCH(B1716,pr_code,0))),""))))</f>
        <v/>
      </c>
      <c r="K1716" s="71" t="str">
        <f>IF(COUNTA(A1716:G1716)=0,"",IF(G1716&lt;&gt;"",G1716,IF(B1716="","",IFERROR(IF(INDEX(pr_rate,MATCH(B1716,pr_code,0))="","",INDEX(pr_rate,MATCH(B1716,pr_code,0))),""))))</f>
        <v/>
      </c>
      <c r="L1716" s="65" t="str">
        <f>IF(COUNTA(A1716:G1716)=0,"",IF(AND(ISNUMBER(D1716),ISNUMBER(J1716)),ROUND(D1716*J1716*(1-N(F1716)),2),0))</f>
        <v/>
      </c>
      <c r="M1716" s="62" t="str">
        <f>IF(A1716="","",IFERROR(INDEX(dv_cname,MATCH(A1716,dv_num,0))&amp;"",""))</f>
        <v/>
      </c>
      <c r="N1716" s="59" t="str">
        <f>IF(COUNTA(A1716:G1716)=0,"",IF(A1716="","N° devis manquant",IF(ISNA(MATCH(A1716,dv_num,0)),"Devis inconnu",IF(AND(B1716&lt;&gt;"",ISNA(MATCH(B1716,pr_code,0))),"Article inconnu",IF(H1716="","Désignation manquante",IF(OR(NOT(ISNUMBER(D1716)),N(D1716)&lt;=0),"Quantité invalide",IF(J1716="","Prix manquant",IF(OR(NOT(ISNUMBER(J1716)),N(J1716)&lt;0),"Prix invalide",IF(OR(AND(F1716&lt;&gt;"",NOT(ISNUMBER(F1716))),N(F1716)&lt;0,N(F1716)&gt;1),"Remise invalide",IF(K1716="","Taux de TVA manquant",IF(NOT(ISNUMBER(K1716)),"Taux de TVA invalide",IF(COUNTIF(p_rates,K1716)=0,"Taux de TVA hors liste (Paramètres)",IF(N(O1716)&gt;25,"Au-delà de 25 lignes : non imprimée","OK")))))))))))))</f>
        <v/>
      </c>
      <c r="O1716" s="59" t="str">
        <f>IF(A1716="","",COUNTIF($A$6:A1716,A1716))</f>
        <v/>
      </c>
      <c r="P1716" s="62" t="str">
        <f>IF(A1716="","",A1716&amp;"|"&amp;O1716)</f>
        <v/>
      </c>
    </row>
    <row r="1717">
      <c r="A1717" s="60" t="n"/>
      <c r="B1717" s="63" t="n"/>
      <c r="C1717" s="63" t="n"/>
      <c r="D1717" s="67" t="n"/>
      <c r="E1717" s="68" t="n"/>
      <c r="F1717" s="69" t="n"/>
      <c r="G1717" s="70" t="n"/>
      <c r="H1717" s="62" t="str">
        <f>IF(COUNTA(A1717:G1717)=0,"",IF(C1717&lt;&gt;"",C1717,IF(B1717="","",IFERROR(INDEX(pr_des,MATCH(B1717,pr_code,0))&amp;"",""))))</f>
        <v/>
      </c>
      <c r="I1717" s="59" t="str">
        <f>IF(B1717="","",IFERROR(INDEX(pr_unit,MATCH(B1717,pr_code,0))&amp;"",""))</f>
        <v/>
      </c>
      <c r="J1717" s="65" t="str">
        <f>IF(COUNTA(A1717:G1717)=0,"",IF(E1717&lt;&gt;"",E1717,IF(B1717="","",IFERROR(IF(INDEX(pr_price,MATCH(B1717,pr_code,0))="","",INDEX(pr_price,MATCH(B1717,pr_code,0))),""))))</f>
        <v/>
      </c>
      <c r="K1717" s="71" t="str">
        <f>IF(COUNTA(A1717:G1717)=0,"",IF(G1717&lt;&gt;"",G1717,IF(B1717="","",IFERROR(IF(INDEX(pr_rate,MATCH(B1717,pr_code,0))="","",INDEX(pr_rate,MATCH(B1717,pr_code,0))),""))))</f>
        <v/>
      </c>
      <c r="L1717" s="65" t="str">
        <f>IF(COUNTA(A1717:G1717)=0,"",IF(AND(ISNUMBER(D1717),ISNUMBER(J1717)),ROUND(D1717*J1717*(1-N(F1717)),2),0))</f>
        <v/>
      </c>
      <c r="M1717" s="62" t="str">
        <f>IF(A1717="","",IFERROR(INDEX(dv_cname,MATCH(A1717,dv_num,0))&amp;"",""))</f>
        <v/>
      </c>
      <c r="N1717" s="59" t="str">
        <f>IF(COUNTA(A1717:G1717)=0,"",IF(A1717="","N° devis manquant",IF(ISNA(MATCH(A1717,dv_num,0)),"Devis inconnu",IF(AND(B1717&lt;&gt;"",ISNA(MATCH(B1717,pr_code,0))),"Article inconnu",IF(H1717="","Désignation manquante",IF(OR(NOT(ISNUMBER(D1717)),N(D1717)&lt;=0),"Quantité invalide",IF(J1717="","Prix manquant",IF(OR(NOT(ISNUMBER(J1717)),N(J1717)&lt;0),"Prix invalide",IF(OR(AND(F1717&lt;&gt;"",NOT(ISNUMBER(F1717))),N(F1717)&lt;0,N(F1717)&gt;1),"Remise invalide",IF(K1717="","Taux de TVA manquant",IF(NOT(ISNUMBER(K1717)),"Taux de TVA invalide",IF(COUNTIF(p_rates,K1717)=0,"Taux de TVA hors liste (Paramètres)",IF(N(O1717)&gt;25,"Au-delà de 25 lignes : non imprimée","OK")))))))))))))</f>
        <v/>
      </c>
      <c r="O1717" s="59" t="str">
        <f>IF(A1717="","",COUNTIF($A$6:A1717,A1717))</f>
        <v/>
      </c>
      <c r="P1717" s="62" t="str">
        <f>IF(A1717="","",A1717&amp;"|"&amp;O1717)</f>
        <v/>
      </c>
    </row>
    <row r="1718">
      <c r="A1718" s="60" t="n"/>
      <c r="B1718" s="63" t="n"/>
      <c r="C1718" s="63" t="n"/>
      <c r="D1718" s="67" t="n"/>
      <c r="E1718" s="68" t="n"/>
      <c r="F1718" s="69" t="n"/>
      <c r="G1718" s="70" t="n"/>
      <c r="H1718" s="62" t="str">
        <f>IF(COUNTA(A1718:G1718)=0,"",IF(C1718&lt;&gt;"",C1718,IF(B1718="","",IFERROR(INDEX(pr_des,MATCH(B1718,pr_code,0))&amp;"",""))))</f>
        <v/>
      </c>
      <c r="I1718" s="59" t="str">
        <f>IF(B1718="","",IFERROR(INDEX(pr_unit,MATCH(B1718,pr_code,0))&amp;"",""))</f>
        <v/>
      </c>
      <c r="J1718" s="65" t="str">
        <f>IF(COUNTA(A1718:G1718)=0,"",IF(E1718&lt;&gt;"",E1718,IF(B1718="","",IFERROR(IF(INDEX(pr_price,MATCH(B1718,pr_code,0))="","",INDEX(pr_price,MATCH(B1718,pr_code,0))),""))))</f>
        <v/>
      </c>
      <c r="K1718" s="71" t="str">
        <f>IF(COUNTA(A1718:G1718)=0,"",IF(G1718&lt;&gt;"",G1718,IF(B1718="","",IFERROR(IF(INDEX(pr_rate,MATCH(B1718,pr_code,0))="","",INDEX(pr_rate,MATCH(B1718,pr_code,0))),""))))</f>
        <v/>
      </c>
      <c r="L1718" s="65" t="str">
        <f>IF(COUNTA(A1718:G1718)=0,"",IF(AND(ISNUMBER(D1718),ISNUMBER(J1718)),ROUND(D1718*J1718*(1-N(F1718)),2),0))</f>
        <v/>
      </c>
      <c r="M1718" s="62" t="str">
        <f>IF(A1718="","",IFERROR(INDEX(dv_cname,MATCH(A1718,dv_num,0))&amp;"",""))</f>
        <v/>
      </c>
      <c r="N1718" s="59" t="str">
        <f>IF(COUNTA(A1718:G1718)=0,"",IF(A1718="","N° devis manquant",IF(ISNA(MATCH(A1718,dv_num,0)),"Devis inconnu",IF(AND(B1718&lt;&gt;"",ISNA(MATCH(B1718,pr_code,0))),"Article inconnu",IF(H1718="","Désignation manquante",IF(OR(NOT(ISNUMBER(D1718)),N(D1718)&lt;=0),"Quantité invalide",IF(J1718="","Prix manquant",IF(OR(NOT(ISNUMBER(J1718)),N(J1718)&lt;0),"Prix invalide",IF(OR(AND(F1718&lt;&gt;"",NOT(ISNUMBER(F1718))),N(F1718)&lt;0,N(F1718)&gt;1),"Remise invalide",IF(K1718="","Taux de TVA manquant",IF(NOT(ISNUMBER(K1718)),"Taux de TVA invalide",IF(COUNTIF(p_rates,K1718)=0,"Taux de TVA hors liste (Paramètres)",IF(N(O1718)&gt;25,"Au-delà de 25 lignes : non imprimée","OK")))))))))))))</f>
        <v/>
      </c>
      <c r="O1718" s="59" t="str">
        <f>IF(A1718="","",COUNTIF($A$6:A1718,A1718))</f>
        <v/>
      </c>
      <c r="P1718" s="62" t="str">
        <f>IF(A1718="","",A1718&amp;"|"&amp;O1718)</f>
        <v/>
      </c>
    </row>
    <row r="1719">
      <c r="A1719" s="60" t="n"/>
      <c r="B1719" s="63" t="n"/>
      <c r="C1719" s="63" t="n"/>
      <c r="D1719" s="67" t="n"/>
      <c r="E1719" s="68" t="n"/>
      <c r="F1719" s="69" t="n"/>
      <c r="G1719" s="70" t="n"/>
      <c r="H1719" s="62" t="str">
        <f>IF(COUNTA(A1719:G1719)=0,"",IF(C1719&lt;&gt;"",C1719,IF(B1719="","",IFERROR(INDEX(pr_des,MATCH(B1719,pr_code,0))&amp;"",""))))</f>
        <v/>
      </c>
      <c r="I1719" s="59" t="str">
        <f>IF(B1719="","",IFERROR(INDEX(pr_unit,MATCH(B1719,pr_code,0))&amp;"",""))</f>
        <v/>
      </c>
      <c r="J1719" s="65" t="str">
        <f>IF(COUNTA(A1719:G1719)=0,"",IF(E1719&lt;&gt;"",E1719,IF(B1719="","",IFERROR(IF(INDEX(pr_price,MATCH(B1719,pr_code,0))="","",INDEX(pr_price,MATCH(B1719,pr_code,0))),""))))</f>
        <v/>
      </c>
      <c r="K1719" s="71" t="str">
        <f>IF(COUNTA(A1719:G1719)=0,"",IF(G1719&lt;&gt;"",G1719,IF(B1719="","",IFERROR(IF(INDEX(pr_rate,MATCH(B1719,pr_code,0))="","",INDEX(pr_rate,MATCH(B1719,pr_code,0))),""))))</f>
        <v/>
      </c>
      <c r="L1719" s="65" t="str">
        <f>IF(COUNTA(A1719:G1719)=0,"",IF(AND(ISNUMBER(D1719),ISNUMBER(J1719)),ROUND(D1719*J1719*(1-N(F1719)),2),0))</f>
        <v/>
      </c>
      <c r="M1719" s="62" t="str">
        <f>IF(A1719="","",IFERROR(INDEX(dv_cname,MATCH(A1719,dv_num,0))&amp;"",""))</f>
        <v/>
      </c>
      <c r="N1719" s="59" t="str">
        <f>IF(COUNTA(A1719:G1719)=0,"",IF(A1719="","N° devis manquant",IF(ISNA(MATCH(A1719,dv_num,0)),"Devis inconnu",IF(AND(B1719&lt;&gt;"",ISNA(MATCH(B1719,pr_code,0))),"Article inconnu",IF(H1719="","Désignation manquante",IF(OR(NOT(ISNUMBER(D1719)),N(D1719)&lt;=0),"Quantité invalide",IF(J1719="","Prix manquant",IF(OR(NOT(ISNUMBER(J1719)),N(J1719)&lt;0),"Prix invalide",IF(OR(AND(F1719&lt;&gt;"",NOT(ISNUMBER(F1719))),N(F1719)&lt;0,N(F1719)&gt;1),"Remise invalide",IF(K1719="","Taux de TVA manquant",IF(NOT(ISNUMBER(K1719)),"Taux de TVA invalide",IF(COUNTIF(p_rates,K1719)=0,"Taux de TVA hors liste (Paramètres)",IF(N(O1719)&gt;25,"Au-delà de 25 lignes : non imprimée","OK")))))))))))))</f>
        <v/>
      </c>
      <c r="O1719" s="59" t="str">
        <f>IF(A1719="","",COUNTIF($A$6:A1719,A1719))</f>
        <v/>
      </c>
      <c r="P1719" s="62" t="str">
        <f>IF(A1719="","",A1719&amp;"|"&amp;O1719)</f>
        <v/>
      </c>
    </row>
    <row r="1720">
      <c r="A1720" s="60" t="n"/>
      <c r="B1720" s="63" t="n"/>
      <c r="C1720" s="63" t="n"/>
      <c r="D1720" s="67" t="n"/>
      <c r="E1720" s="68" t="n"/>
      <c r="F1720" s="69" t="n"/>
      <c r="G1720" s="70" t="n"/>
      <c r="H1720" s="62" t="str">
        <f>IF(COUNTA(A1720:G1720)=0,"",IF(C1720&lt;&gt;"",C1720,IF(B1720="","",IFERROR(INDEX(pr_des,MATCH(B1720,pr_code,0))&amp;"",""))))</f>
        <v/>
      </c>
      <c r="I1720" s="59" t="str">
        <f>IF(B1720="","",IFERROR(INDEX(pr_unit,MATCH(B1720,pr_code,0))&amp;"",""))</f>
        <v/>
      </c>
      <c r="J1720" s="65" t="str">
        <f>IF(COUNTA(A1720:G1720)=0,"",IF(E1720&lt;&gt;"",E1720,IF(B1720="","",IFERROR(IF(INDEX(pr_price,MATCH(B1720,pr_code,0))="","",INDEX(pr_price,MATCH(B1720,pr_code,0))),""))))</f>
        <v/>
      </c>
      <c r="K1720" s="71" t="str">
        <f>IF(COUNTA(A1720:G1720)=0,"",IF(G1720&lt;&gt;"",G1720,IF(B1720="","",IFERROR(IF(INDEX(pr_rate,MATCH(B1720,pr_code,0))="","",INDEX(pr_rate,MATCH(B1720,pr_code,0))),""))))</f>
        <v/>
      </c>
      <c r="L1720" s="65" t="str">
        <f>IF(COUNTA(A1720:G1720)=0,"",IF(AND(ISNUMBER(D1720),ISNUMBER(J1720)),ROUND(D1720*J1720*(1-N(F1720)),2),0))</f>
        <v/>
      </c>
      <c r="M1720" s="62" t="str">
        <f>IF(A1720="","",IFERROR(INDEX(dv_cname,MATCH(A1720,dv_num,0))&amp;"",""))</f>
        <v/>
      </c>
      <c r="N1720" s="59" t="str">
        <f>IF(COUNTA(A1720:G1720)=0,"",IF(A1720="","N° devis manquant",IF(ISNA(MATCH(A1720,dv_num,0)),"Devis inconnu",IF(AND(B1720&lt;&gt;"",ISNA(MATCH(B1720,pr_code,0))),"Article inconnu",IF(H1720="","Désignation manquante",IF(OR(NOT(ISNUMBER(D1720)),N(D1720)&lt;=0),"Quantité invalide",IF(J1720="","Prix manquant",IF(OR(NOT(ISNUMBER(J1720)),N(J1720)&lt;0),"Prix invalide",IF(OR(AND(F1720&lt;&gt;"",NOT(ISNUMBER(F1720))),N(F1720)&lt;0,N(F1720)&gt;1),"Remise invalide",IF(K1720="","Taux de TVA manquant",IF(NOT(ISNUMBER(K1720)),"Taux de TVA invalide",IF(COUNTIF(p_rates,K1720)=0,"Taux de TVA hors liste (Paramètres)",IF(N(O1720)&gt;25,"Au-delà de 25 lignes : non imprimée","OK")))))))))))))</f>
        <v/>
      </c>
      <c r="O1720" s="59" t="str">
        <f>IF(A1720="","",COUNTIF($A$6:A1720,A1720))</f>
        <v/>
      </c>
      <c r="P1720" s="62" t="str">
        <f>IF(A1720="","",A1720&amp;"|"&amp;O1720)</f>
        <v/>
      </c>
    </row>
    <row r="1721">
      <c r="A1721" s="60" t="n"/>
      <c r="B1721" s="63" t="n"/>
      <c r="C1721" s="63" t="n"/>
      <c r="D1721" s="67" t="n"/>
      <c r="E1721" s="68" t="n"/>
      <c r="F1721" s="69" t="n"/>
      <c r="G1721" s="70" t="n"/>
      <c r="H1721" s="62" t="str">
        <f>IF(COUNTA(A1721:G1721)=0,"",IF(C1721&lt;&gt;"",C1721,IF(B1721="","",IFERROR(INDEX(pr_des,MATCH(B1721,pr_code,0))&amp;"",""))))</f>
        <v/>
      </c>
      <c r="I1721" s="59" t="str">
        <f>IF(B1721="","",IFERROR(INDEX(pr_unit,MATCH(B1721,pr_code,0))&amp;"",""))</f>
        <v/>
      </c>
      <c r="J1721" s="65" t="str">
        <f>IF(COUNTA(A1721:G1721)=0,"",IF(E1721&lt;&gt;"",E1721,IF(B1721="","",IFERROR(IF(INDEX(pr_price,MATCH(B1721,pr_code,0))="","",INDEX(pr_price,MATCH(B1721,pr_code,0))),""))))</f>
        <v/>
      </c>
      <c r="K1721" s="71" t="str">
        <f>IF(COUNTA(A1721:G1721)=0,"",IF(G1721&lt;&gt;"",G1721,IF(B1721="","",IFERROR(IF(INDEX(pr_rate,MATCH(B1721,pr_code,0))="","",INDEX(pr_rate,MATCH(B1721,pr_code,0))),""))))</f>
        <v/>
      </c>
      <c r="L1721" s="65" t="str">
        <f>IF(COUNTA(A1721:G1721)=0,"",IF(AND(ISNUMBER(D1721),ISNUMBER(J1721)),ROUND(D1721*J1721*(1-N(F1721)),2),0))</f>
        <v/>
      </c>
      <c r="M1721" s="62" t="str">
        <f>IF(A1721="","",IFERROR(INDEX(dv_cname,MATCH(A1721,dv_num,0))&amp;"",""))</f>
        <v/>
      </c>
      <c r="N1721" s="59" t="str">
        <f>IF(COUNTA(A1721:G1721)=0,"",IF(A1721="","N° devis manquant",IF(ISNA(MATCH(A1721,dv_num,0)),"Devis inconnu",IF(AND(B1721&lt;&gt;"",ISNA(MATCH(B1721,pr_code,0))),"Article inconnu",IF(H1721="","Désignation manquante",IF(OR(NOT(ISNUMBER(D1721)),N(D1721)&lt;=0),"Quantité invalide",IF(J1721="","Prix manquant",IF(OR(NOT(ISNUMBER(J1721)),N(J1721)&lt;0),"Prix invalide",IF(OR(AND(F1721&lt;&gt;"",NOT(ISNUMBER(F1721))),N(F1721)&lt;0,N(F1721)&gt;1),"Remise invalide",IF(K1721="","Taux de TVA manquant",IF(NOT(ISNUMBER(K1721)),"Taux de TVA invalide",IF(COUNTIF(p_rates,K1721)=0,"Taux de TVA hors liste (Paramètres)",IF(N(O1721)&gt;25,"Au-delà de 25 lignes : non imprimée","OK")))))))))))))</f>
        <v/>
      </c>
      <c r="O1721" s="59" t="str">
        <f>IF(A1721="","",COUNTIF($A$6:A1721,A1721))</f>
        <v/>
      </c>
      <c r="P1721" s="62" t="str">
        <f>IF(A1721="","",A1721&amp;"|"&amp;O1721)</f>
        <v/>
      </c>
    </row>
    <row r="1722">
      <c r="A1722" s="60" t="n"/>
      <c r="B1722" s="63" t="n"/>
      <c r="C1722" s="63" t="n"/>
      <c r="D1722" s="67" t="n"/>
      <c r="E1722" s="68" t="n"/>
      <c r="F1722" s="69" t="n"/>
      <c r="G1722" s="70" t="n"/>
      <c r="H1722" s="62" t="str">
        <f>IF(COUNTA(A1722:G1722)=0,"",IF(C1722&lt;&gt;"",C1722,IF(B1722="","",IFERROR(INDEX(pr_des,MATCH(B1722,pr_code,0))&amp;"",""))))</f>
        <v/>
      </c>
      <c r="I1722" s="59" t="str">
        <f>IF(B1722="","",IFERROR(INDEX(pr_unit,MATCH(B1722,pr_code,0))&amp;"",""))</f>
        <v/>
      </c>
      <c r="J1722" s="65" t="str">
        <f>IF(COUNTA(A1722:G1722)=0,"",IF(E1722&lt;&gt;"",E1722,IF(B1722="","",IFERROR(IF(INDEX(pr_price,MATCH(B1722,pr_code,0))="","",INDEX(pr_price,MATCH(B1722,pr_code,0))),""))))</f>
        <v/>
      </c>
      <c r="K1722" s="71" t="str">
        <f>IF(COUNTA(A1722:G1722)=0,"",IF(G1722&lt;&gt;"",G1722,IF(B1722="","",IFERROR(IF(INDEX(pr_rate,MATCH(B1722,pr_code,0))="","",INDEX(pr_rate,MATCH(B1722,pr_code,0))),""))))</f>
        <v/>
      </c>
      <c r="L1722" s="65" t="str">
        <f>IF(COUNTA(A1722:G1722)=0,"",IF(AND(ISNUMBER(D1722),ISNUMBER(J1722)),ROUND(D1722*J1722*(1-N(F1722)),2),0))</f>
        <v/>
      </c>
      <c r="M1722" s="62" t="str">
        <f>IF(A1722="","",IFERROR(INDEX(dv_cname,MATCH(A1722,dv_num,0))&amp;"",""))</f>
        <v/>
      </c>
      <c r="N1722" s="59" t="str">
        <f>IF(COUNTA(A1722:G1722)=0,"",IF(A1722="","N° devis manquant",IF(ISNA(MATCH(A1722,dv_num,0)),"Devis inconnu",IF(AND(B1722&lt;&gt;"",ISNA(MATCH(B1722,pr_code,0))),"Article inconnu",IF(H1722="","Désignation manquante",IF(OR(NOT(ISNUMBER(D1722)),N(D1722)&lt;=0),"Quantité invalide",IF(J1722="","Prix manquant",IF(OR(NOT(ISNUMBER(J1722)),N(J1722)&lt;0),"Prix invalide",IF(OR(AND(F1722&lt;&gt;"",NOT(ISNUMBER(F1722))),N(F1722)&lt;0,N(F1722)&gt;1),"Remise invalide",IF(K1722="","Taux de TVA manquant",IF(NOT(ISNUMBER(K1722)),"Taux de TVA invalide",IF(COUNTIF(p_rates,K1722)=0,"Taux de TVA hors liste (Paramètres)",IF(N(O1722)&gt;25,"Au-delà de 25 lignes : non imprimée","OK")))))))))))))</f>
        <v/>
      </c>
      <c r="O1722" s="59" t="str">
        <f>IF(A1722="","",COUNTIF($A$6:A1722,A1722))</f>
        <v/>
      </c>
      <c r="P1722" s="62" t="str">
        <f>IF(A1722="","",A1722&amp;"|"&amp;O1722)</f>
        <v/>
      </c>
    </row>
    <row r="1723">
      <c r="A1723" s="60" t="n"/>
      <c r="B1723" s="63" t="n"/>
      <c r="C1723" s="63" t="n"/>
      <c r="D1723" s="67" t="n"/>
      <c r="E1723" s="68" t="n"/>
      <c r="F1723" s="69" t="n"/>
      <c r="G1723" s="70" t="n"/>
      <c r="H1723" s="62" t="str">
        <f>IF(COUNTA(A1723:G1723)=0,"",IF(C1723&lt;&gt;"",C1723,IF(B1723="","",IFERROR(INDEX(pr_des,MATCH(B1723,pr_code,0))&amp;"",""))))</f>
        <v/>
      </c>
      <c r="I1723" s="59" t="str">
        <f>IF(B1723="","",IFERROR(INDEX(pr_unit,MATCH(B1723,pr_code,0))&amp;"",""))</f>
        <v/>
      </c>
      <c r="J1723" s="65" t="str">
        <f>IF(COUNTA(A1723:G1723)=0,"",IF(E1723&lt;&gt;"",E1723,IF(B1723="","",IFERROR(IF(INDEX(pr_price,MATCH(B1723,pr_code,0))="","",INDEX(pr_price,MATCH(B1723,pr_code,0))),""))))</f>
        <v/>
      </c>
      <c r="K1723" s="71" t="str">
        <f>IF(COUNTA(A1723:G1723)=0,"",IF(G1723&lt;&gt;"",G1723,IF(B1723="","",IFERROR(IF(INDEX(pr_rate,MATCH(B1723,pr_code,0))="","",INDEX(pr_rate,MATCH(B1723,pr_code,0))),""))))</f>
        <v/>
      </c>
      <c r="L1723" s="65" t="str">
        <f>IF(COUNTA(A1723:G1723)=0,"",IF(AND(ISNUMBER(D1723),ISNUMBER(J1723)),ROUND(D1723*J1723*(1-N(F1723)),2),0))</f>
        <v/>
      </c>
      <c r="M1723" s="62" t="str">
        <f>IF(A1723="","",IFERROR(INDEX(dv_cname,MATCH(A1723,dv_num,0))&amp;"",""))</f>
        <v/>
      </c>
      <c r="N1723" s="59" t="str">
        <f>IF(COUNTA(A1723:G1723)=0,"",IF(A1723="","N° devis manquant",IF(ISNA(MATCH(A1723,dv_num,0)),"Devis inconnu",IF(AND(B1723&lt;&gt;"",ISNA(MATCH(B1723,pr_code,0))),"Article inconnu",IF(H1723="","Désignation manquante",IF(OR(NOT(ISNUMBER(D1723)),N(D1723)&lt;=0),"Quantité invalide",IF(J1723="","Prix manquant",IF(OR(NOT(ISNUMBER(J1723)),N(J1723)&lt;0),"Prix invalide",IF(OR(AND(F1723&lt;&gt;"",NOT(ISNUMBER(F1723))),N(F1723)&lt;0,N(F1723)&gt;1),"Remise invalide",IF(K1723="","Taux de TVA manquant",IF(NOT(ISNUMBER(K1723)),"Taux de TVA invalide",IF(COUNTIF(p_rates,K1723)=0,"Taux de TVA hors liste (Paramètres)",IF(N(O1723)&gt;25,"Au-delà de 25 lignes : non imprimée","OK")))))))))))))</f>
        <v/>
      </c>
      <c r="O1723" s="59" t="str">
        <f>IF(A1723="","",COUNTIF($A$6:A1723,A1723))</f>
        <v/>
      </c>
      <c r="P1723" s="62" t="str">
        <f>IF(A1723="","",A1723&amp;"|"&amp;O1723)</f>
        <v/>
      </c>
    </row>
    <row r="1724">
      <c r="A1724" s="60" t="n"/>
      <c r="B1724" s="63" t="n"/>
      <c r="C1724" s="63" t="n"/>
      <c r="D1724" s="67" t="n"/>
      <c r="E1724" s="68" t="n"/>
      <c r="F1724" s="69" t="n"/>
      <c r="G1724" s="70" t="n"/>
      <c r="H1724" s="62" t="str">
        <f>IF(COUNTA(A1724:G1724)=0,"",IF(C1724&lt;&gt;"",C1724,IF(B1724="","",IFERROR(INDEX(pr_des,MATCH(B1724,pr_code,0))&amp;"",""))))</f>
        <v/>
      </c>
      <c r="I1724" s="59" t="str">
        <f>IF(B1724="","",IFERROR(INDEX(pr_unit,MATCH(B1724,pr_code,0))&amp;"",""))</f>
        <v/>
      </c>
      <c r="J1724" s="65" t="str">
        <f>IF(COUNTA(A1724:G1724)=0,"",IF(E1724&lt;&gt;"",E1724,IF(B1724="","",IFERROR(IF(INDEX(pr_price,MATCH(B1724,pr_code,0))="","",INDEX(pr_price,MATCH(B1724,pr_code,0))),""))))</f>
        <v/>
      </c>
      <c r="K1724" s="71" t="str">
        <f>IF(COUNTA(A1724:G1724)=0,"",IF(G1724&lt;&gt;"",G1724,IF(B1724="","",IFERROR(IF(INDEX(pr_rate,MATCH(B1724,pr_code,0))="","",INDEX(pr_rate,MATCH(B1724,pr_code,0))),""))))</f>
        <v/>
      </c>
      <c r="L1724" s="65" t="str">
        <f>IF(COUNTA(A1724:G1724)=0,"",IF(AND(ISNUMBER(D1724),ISNUMBER(J1724)),ROUND(D1724*J1724*(1-N(F1724)),2),0))</f>
        <v/>
      </c>
      <c r="M1724" s="62" t="str">
        <f>IF(A1724="","",IFERROR(INDEX(dv_cname,MATCH(A1724,dv_num,0))&amp;"",""))</f>
        <v/>
      </c>
      <c r="N1724" s="59" t="str">
        <f>IF(COUNTA(A1724:G1724)=0,"",IF(A1724="","N° devis manquant",IF(ISNA(MATCH(A1724,dv_num,0)),"Devis inconnu",IF(AND(B1724&lt;&gt;"",ISNA(MATCH(B1724,pr_code,0))),"Article inconnu",IF(H1724="","Désignation manquante",IF(OR(NOT(ISNUMBER(D1724)),N(D1724)&lt;=0),"Quantité invalide",IF(J1724="","Prix manquant",IF(OR(NOT(ISNUMBER(J1724)),N(J1724)&lt;0),"Prix invalide",IF(OR(AND(F1724&lt;&gt;"",NOT(ISNUMBER(F1724))),N(F1724)&lt;0,N(F1724)&gt;1),"Remise invalide",IF(K1724="","Taux de TVA manquant",IF(NOT(ISNUMBER(K1724)),"Taux de TVA invalide",IF(COUNTIF(p_rates,K1724)=0,"Taux de TVA hors liste (Paramètres)",IF(N(O1724)&gt;25,"Au-delà de 25 lignes : non imprimée","OK")))))))))))))</f>
        <v/>
      </c>
      <c r="O1724" s="59" t="str">
        <f>IF(A1724="","",COUNTIF($A$6:A1724,A1724))</f>
        <v/>
      </c>
      <c r="P1724" s="62" t="str">
        <f>IF(A1724="","",A1724&amp;"|"&amp;O1724)</f>
        <v/>
      </c>
    </row>
    <row r="1725">
      <c r="A1725" s="60" t="n"/>
      <c r="B1725" s="63" t="n"/>
      <c r="C1725" s="63" t="n"/>
      <c r="D1725" s="67" t="n"/>
      <c r="E1725" s="68" t="n"/>
      <c r="F1725" s="69" t="n"/>
      <c r="G1725" s="70" t="n"/>
      <c r="H1725" s="62" t="str">
        <f>IF(COUNTA(A1725:G1725)=0,"",IF(C1725&lt;&gt;"",C1725,IF(B1725="","",IFERROR(INDEX(pr_des,MATCH(B1725,pr_code,0))&amp;"",""))))</f>
        <v/>
      </c>
      <c r="I1725" s="59" t="str">
        <f>IF(B1725="","",IFERROR(INDEX(pr_unit,MATCH(B1725,pr_code,0))&amp;"",""))</f>
        <v/>
      </c>
      <c r="J1725" s="65" t="str">
        <f>IF(COUNTA(A1725:G1725)=0,"",IF(E1725&lt;&gt;"",E1725,IF(B1725="","",IFERROR(IF(INDEX(pr_price,MATCH(B1725,pr_code,0))="","",INDEX(pr_price,MATCH(B1725,pr_code,0))),""))))</f>
        <v/>
      </c>
      <c r="K1725" s="71" t="str">
        <f>IF(COUNTA(A1725:G1725)=0,"",IF(G1725&lt;&gt;"",G1725,IF(B1725="","",IFERROR(IF(INDEX(pr_rate,MATCH(B1725,pr_code,0))="","",INDEX(pr_rate,MATCH(B1725,pr_code,0))),""))))</f>
        <v/>
      </c>
      <c r="L1725" s="65" t="str">
        <f>IF(COUNTA(A1725:G1725)=0,"",IF(AND(ISNUMBER(D1725),ISNUMBER(J1725)),ROUND(D1725*J1725*(1-N(F1725)),2),0))</f>
        <v/>
      </c>
      <c r="M1725" s="62" t="str">
        <f>IF(A1725="","",IFERROR(INDEX(dv_cname,MATCH(A1725,dv_num,0))&amp;"",""))</f>
        <v/>
      </c>
      <c r="N1725" s="59" t="str">
        <f>IF(COUNTA(A1725:G1725)=0,"",IF(A1725="","N° devis manquant",IF(ISNA(MATCH(A1725,dv_num,0)),"Devis inconnu",IF(AND(B1725&lt;&gt;"",ISNA(MATCH(B1725,pr_code,0))),"Article inconnu",IF(H1725="","Désignation manquante",IF(OR(NOT(ISNUMBER(D1725)),N(D1725)&lt;=0),"Quantité invalide",IF(J1725="","Prix manquant",IF(OR(NOT(ISNUMBER(J1725)),N(J1725)&lt;0),"Prix invalide",IF(OR(AND(F1725&lt;&gt;"",NOT(ISNUMBER(F1725))),N(F1725)&lt;0,N(F1725)&gt;1),"Remise invalide",IF(K1725="","Taux de TVA manquant",IF(NOT(ISNUMBER(K1725)),"Taux de TVA invalide",IF(COUNTIF(p_rates,K1725)=0,"Taux de TVA hors liste (Paramètres)",IF(N(O1725)&gt;25,"Au-delà de 25 lignes : non imprimée","OK")))))))))))))</f>
        <v/>
      </c>
      <c r="O1725" s="59" t="str">
        <f>IF(A1725="","",COUNTIF($A$6:A1725,A1725))</f>
        <v/>
      </c>
      <c r="P1725" s="62" t="str">
        <f>IF(A1725="","",A1725&amp;"|"&amp;O1725)</f>
        <v/>
      </c>
    </row>
    <row r="1726">
      <c r="A1726" s="60" t="n"/>
      <c r="B1726" s="63" t="n"/>
      <c r="C1726" s="63" t="n"/>
      <c r="D1726" s="67" t="n"/>
      <c r="E1726" s="68" t="n"/>
      <c r="F1726" s="69" t="n"/>
      <c r="G1726" s="70" t="n"/>
      <c r="H1726" s="62" t="str">
        <f>IF(COUNTA(A1726:G1726)=0,"",IF(C1726&lt;&gt;"",C1726,IF(B1726="","",IFERROR(INDEX(pr_des,MATCH(B1726,pr_code,0))&amp;"",""))))</f>
        <v/>
      </c>
      <c r="I1726" s="59" t="str">
        <f>IF(B1726="","",IFERROR(INDEX(pr_unit,MATCH(B1726,pr_code,0))&amp;"",""))</f>
        <v/>
      </c>
      <c r="J1726" s="65" t="str">
        <f>IF(COUNTA(A1726:G1726)=0,"",IF(E1726&lt;&gt;"",E1726,IF(B1726="","",IFERROR(IF(INDEX(pr_price,MATCH(B1726,pr_code,0))="","",INDEX(pr_price,MATCH(B1726,pr_code,0))),""))))</f>
        <v/>
      </c>
      <c r="K1726" s="71" t="str">
        <f>IF(COUNTA(A1726:G1726)=0,"",IF(G1726&lt;&gt;"",G1726,IF(B1726="","",IFERROR(IF(INDEX(pr_rate,MATCH(B1726,pr_code,0))="","",INDEX(pr_rate,MATCH(B1726,pr_code,0))),""))))</f>
        <v/>
      </c>
      <c r="L1726" s="65" t="str">
        <f>IF(COUNTA(A1726:G1726)=0,"",IF(AND(ISNUMBER(D1726),ISNUMBER(J1726)),ROUND(D1726*J1726*(1-N(F1726)),2),0))</f>
        <v/>
      </c>
      <c r="M1726" s="62" t="str">
        <f>IF(A1726="","",IFERROR(INDEX(dv_cname,MATCH(A1726,dv_num,0))&amp;"",""))</f>
        <v/>
      </c>
      <c r="N1726" s="59" t="str">
        <f>IF(COUNTA(A1726:G1726)=0,"",IF(A1726="","N° devis manquant",IF(ISNA(MATCH(A1726,dv_num,0)),"Devis inconnu",IF(AND(B1726&lt;&gt;"",ISNA(MATCH(B1726,pr_code,0))),"Article inconnu",IF(H1726="","Désignation manquante",IF(OR(NOT(ISNUMBER(D1726)),N(D1726)&lt;=0),"Quantité invalide",IF(J1726="","Prix manquant",IF(OR(NOT(ISNUMBER(J1726)),N(J1726)&lt;0),"Prix invalide",IF(OR(AND(F1726&lt;&gt;"",NOT(ISNUMBER(F1726))),N(F1726)&lt;0,N(F1726)&gt;1),"Remise invalide",IF(K1726="","Taux de TVA manquant",IF(NOT(ISNUMBER(K1726)),"Taux de TVA invalide",IF(COUNTIF(p_rates,K1726)=0,"Taux de TVA hors liste (Paramètres)",IF(N(O1726)&gt;25,"Au-delà de 25 lignes : non imprimée","OK")))))))))))))</f>
        <v/>
      </c>
      <c r="O1726" s="59" t="str">
        <f>IF(A1726="","",COUNTIF($A$6:A1726,A1726))</f>
        <v/>
      </c>
      <c r="P1726" s="62" t="str">
        <f>IF(A1726="","",A1726&amp;"|"&amp;O1726)</f>
        <v/>
      </c>
    </row>
    <row r="1727">
      <c r="A1727" s="60" t="n"/>
      <c r="B1727" s="63" t="n"/>
      <c r="C1727" s="63" t="n"/>
      <c r="D1727" s="67" t="n"/>
      <c r="E1727" s="68" t="n"/>
      <c r="F1727" s="69" t="n"/>
      <c r="G1727" s="70" t="n"/>
      <c r="H1727" s="62" t="str">
        <f>IF(COUNTA(A1727:G1727)=0,"",IF(C1727&lt;&gt;"",C1727,IF(B1727="","",IFERROR(INDEX(pr_des,MATCH(B1727,pr_code,0))&amp;"",""))))</f>
        <v/>
      </c>
      <c r="I1727" s="59" t="str">
        <f>IF(B1727="","",IFERROR(INDEX(pr_unit,MATCH(B1727,pr_code,0))&amp;"",""))</f>
        <v/>
      </c>
      <c r="J1727" s="65" t="str">
        <f>IF(COUNTA(A1727:G1727)=0,"",IF(E1727&lt;&gt;"",E1727,IF(B1727="","",IFERROR(IF(INDEX(pr_price,MATCH(B1727,pr_code,0))="","",INDEX(pr_price,MATCH(B1727,pr_code,0))),""))))</f>
        <v/>
      </c>
      <c r="K1727" s="71" t="str">
        <f>IF(COUNTA(A1727:G1727)=0,"",IF(G1727&lt;&gt;"",G1727,IF(B1727="","",IFERROR(IF(INDEX(pr_rate,MATCH(B1727,pr_code,0))="","",INDEX(pr_rate,MATCH(B1727,pr_code,0))),""))))</f>
        <v/>
      </c>
      <c r="L1727" s="65" t="str">
        <f>IF(COUNTA(A1727:G1727)=0,"",IF(AND(ISNUMBER(D1727),ISNUMBER(J1727)),ROUND(D1727*J1727*(1-N(F1727)),2),0))</f>
        <v/>
      </c>
      <c r="M1727" s="62" t="str">
        <f>IF(A1727="","",IFERROR(INDEX(dv_cname,MATCH(A1727,dv_num,0))&amp;"",""))</f>
        <v/>
      </c>
      <c r="N1727" s="59" t="str">
        <f>IF(COUNTA(A1727:G1727)=0,"",IF(A1727="","N° devis manquant",IF(ISNA(MATCH(A1727,dv_num,0)),"Devis inconnu",IF(AND(B1727&lt;&gt;"",ISNA(MATCH(B1727,pr_code,0))),"Article inconnu",IF(H1727="","Désignation manquante",IF(OR(NOT(ISNUMBER(D1727)),N(D1727)&lt;=0),"Quantité invalide",IF(J1727="","Prix manquant",IF(OR(NOT(ISNUMBER(J1727)),N(J1727)&lt;0),"Prix invalide",IF(OR(AND(F1727&lt;&gt;"",NOT(ISNUMBER(F1727))),N(F1727)&lt;0,N(F1727)&gt;1),"Remise invalide",IF(K1727="","Taux de TVA manquant",IF(NOT(ISNUMBER(K1727)),"Taux de TVA invalide",IF(COUNTIF(p_rates,K1727)=0,"Taux de TVA hors liste (Paramètres)",IF(N(O1727)&gt;25,"Au-delà de 25 lignes : non imprimée","OK")))))))))))))</f>
        <v/>
      </c>
      <c r="O1727" s="59" t="str">
        <f>IF(A1727="","",COUNTIF($A$6:A1727,A1727))</f>
        <v/>
      </c>
      <c r="P1727" s="62" t="str">
        <f>IF(A1727="","",A1727&amp;"|"&amp;O1727)</f>
        <v/>
      </c>
    </row>
    <row r="1728">
      <c r="A1728" s="60" t="n"/>
      <c r="B1728" s="63" t="n"/>
      <c r="C1728" s="63" t="n"/>
      <c r="D1728" s="67" t="n"/>
      <c r="E1728" s="68" t="n"/>
      <c r="F1728" s="69" t="n"/>
      <c r="G1728" s="70" t="n"/>
      <c r="H1728" s="62" t="str">
        <f>IF(COUNTA(A1728:G1728)=0,"",IF(C1728&lt;&gt;"",C1728,IF(B1728="","",IFERROR(INDEX(pr_des,MATCH(B1728,pr_code,0))&amp;"",""))))</f>
        <v/>
      </c>
      <c r="I1728" s="59" t="str">
        <f>IF(B1728="","",IFERROR(INDEX(pr_unit,MATCH(B1728,pr_code,0))&amp;"",""))</f>
        <v/>
      </c>
      <c r="J1728" s="65" t="str">
        <f>IF(COUNTA(A1728:G1728)=0,"",IF(E1728&lt;&gt;"",E1728,IF(B1728="","",IFERROR(IF(INDEX(pr_price,MATCH(B1728,pr_code,0))="","",INDEX(pr_price,MATCH(B1728,pr_code,0))),""))))</f>
        <v/>
      </c>
      <c r="K1728" s="71" t="str">
        <f>IF(COUNTA(A1728:G1728)=0,"",IF(G1728&lt;&gt;"",G1728,IF(B1728="","",IFERROR(IF(INDEX(pr_rate,MATCH(B1728,pr_code,0))="","",INDEX(pr_rate,MATCH(B1728,pr_code,0))),""))))</f>
        <v/>
      </c>
      <c r="L1728" s="65" t="str">
        <f>IF(COUNTA(A1728:G1728)=0,"",IF(AND(ISNUMBER(D1728),ISNUMBER(J1728)),ROUND(D1728*J1728*(1-N(F1728)),2),0))</f>
        <v/>
      </c>
      <c r="M1728" s="62" t="str">
        <f>IF(A1728="","",IFERROR(INDEX(dv_cname,MATCH(A1728,dv_num,0))&amp;"",""))</f>
        <v/>
      </c>
      <c r="N1728" s="59" t="str">
        <f>IF(COUNTA(A1728:G1728)=0,"",IF(A1728="","N° devis manquant",IF(ISNA(MATCH(A1728,dv_num,0)),"Devis inconnu",IF(AND(B1728&lt;&gt;"",ISNA(MATCH(B1728,pr_code,0))),"Article inconnu",IF(H1728="","Désignation manquante",IF(OR(NOT(ISNUMBER(D1728)),N(D1728)&lt;=0),"Quantité invalide",IF(J1728="","Prix manquant",IF(OR(NOT(ISNUMBER(J1728)),N(J1728)&lt;0),"Prix invalide",IF(OR(AND(F1728&lt;&gt;"",NOT(ISNUMBER(F1728))),N(F1728)&lt;0,N(F1728)&gt;1),"Remise invalide",IF(K1728="","Taux de TVA manquant",IF(NOT(ISNUMBER(K1728)),"Taux de TVA invalide",IF(COUNTIF(p_rates,K1728)=0,"Taux de TVA hors liste (Paramètres)",IF(N(O1728)&gt;25,"Au-delà de 25 lignes : non imprimée","OK")))))))))))))</f>
        <v/>
      </c>
      <c r="O1728" s="59" t="str">
        <f>IF(A1728="","",COUNTIF($A$6:A1728,A1728))</f>
        <v/>
      </c>
      <c r="P1728" s="62" t="str">
        <f>IF(A1728="","",A1728&amp;"|"&amp;O1728)</f>
        <v/>
      </c>
    </row>
    <row r="1729">
      <c r="A1729" s="60" t="n"/>
      <c r="B1729" s="63" t="n"/>
      <c r="C1729" s="63" t="n"/>
      <c r="D1729" s="67" t="n"/>
      <c r="E1729" s="68" t="n"/>
      <c r="F1729" s="69" t="n"/>
      <c r="G1729" s="70" t="n"/>
      <c r="H1729" s="62" t="str">
        <f>IF(COUNTA(A1729:G1729)=0,"",IF(C1729&lt;&gt;"",C1729,IF(B1729="","",IFERROR(INDEX(pr_des,MATCH(B1729,pr_code,0))&amp;"",""))))</f>
        <v/>
      </c>
      <c r="I1729" s="59" t="str">
        <f>IF(B1729="","",IFERROR(INDEX(pr_unit,MATCH(B1729,pr_code,0))&amp;"",""))</f>
        <v/>
      </c>
      <c r="J1729" s="65" t="str">
        <f>IF(COUNTA(A1729:G1729)=0,"",IF(E1729&lt;&gt;"",E1729,IF(B1729="","",IFERROR(IF(INDEX(pr_price,MATCH(B1729,pr_code,0))="","",INDEX(pr_price,MATCH(B1729,pr_code,0))),""))))</f>
        <v/>
      </c>
      <c r="K1729" s="71" t="str">
        <f>IF(COUNTA(A1729:G1729)=0,"",IF(G1729&lt;&gt;"",G1729,IF(B1729="","",IFERROR(IF(INDEX(pr_rate,MATCH(B1729,pr_code,0))="","",INDEX(pr_rate,MATCH(B1729,pr_code,0))),""))))</f>
        <v/>
      </c>
      <c r="L1729" s="65" t="str">
        <f>IF(COUNTA(A1729:G1729)=0,"",IF(AND(ISNUMBER(D1729),ISNUMBER(J1729)),ROUND(D1729*J1729*(1-N(F1729)),2),0))</f>
        <v/>
      </c>
      <c r="M1729" s="62" t="str">
        <f>IF(A1729="","",IFERROR(INDEX(dv_cname,MATCH(A1729,dv_num,0))&amp;"",""))</f>
        <v/>
      </c>
      <c r="N1729" s="59" t="str">
        <f>IF(COUNTA(A1729:G1729)=0,"",IF(A1729="","N° devis manquant",IF(ISNA(MATCH(A1729,dv_num,0)),"Devis inconnu",IF(AND(B1729&lt;&gt;"",ISNA(MATCH(B1729,pr_code,0))),"Article inconnu",IF(H1729="","Désignation manquante",IF(OR(NOT(ISNUMBER(D1729)),N(D1729)&lt;=0),"Quantité invalide",IF(J1729="","Prix manquant",IF(OR(NOT(ISNUMBER(J1729)),N(J1729)&lt;0),"Prix invalide",IF(OR(AND(F1729&lt;&gt;"",NOT(ISNUMBER(F1729))),N(F1729)&lt;0,N(F1729)&gt;1),"Remise invalide",IF(K1729="","Taux de TVA manquant",IF(NOT(ISNUMBER(K1729)),"Taux de TVA invalide",IF(COUNTIF(p_rates,K1729)=0,"Taux de TVA hors liste (Paramètres)",IF(N(O1729)&gt;25,"Au-delà de 25 lignes : non imprimée","OK")))))))))))))</f>
        <v/>
      </c>
      <c r="O1729" s="59" t="str">
        <f>IF(A1729="","",COUNTIF($A$6:A1729,A1729))</f>
        <v/>
      </c>
      <c r="P1729" s="62" t="str">
        <f>IF(A1729="","",A1729&amp;"|"&amp;O1729)</f>
        <v/>
      </c>
    </row>
    <row r="1730">
      <c r="A1730" s="60" t="n"/>
      <c r="B1730" s="63" t="n"/>
      <c r="C1730" s="63" t="n"/>
      <c r="D1730" s="67" t="n"/>
      <c r="E1730" s="68" t="n"/>
      <c r="F1730" s="69" t="n"/>
      <c r="G1730" s="70" t="n"/>
      <c r="H1730" s="62" t="str">
        <f>IF(COUNTA(A1730:G1730)=0,"",IF(C1730&lt;&gt;"",C1730,IF(B1730="","",IFERROR(INDEX(pr_des,MATCH(B1730,pr_code,0))&amp;"",""))))</f>
        <v/>
      </c>
      <c r="I1730" s="59" t="str">
        <f>IF(B1730="","",IFERROR(INDEX(pr_unit,MATCH(B1730,pr_code,0))&amp;"",""))</f>
        <v/>
      </c>
      <c r="J1730" s="65" t="str">
        <f>IF(COUNTA(A1730:G1730)=0,"",IF(E1730&lt;&gt;"",E1730,IF(B1730="","",IFERROR(IF(INDEX(pr_price,MATCH(B1730,pr_code,0))="","",INDEX(pr_price,MATCH(B1730,pr_code,0))),""))))</f>
        <v/>
      </c>
      <c r="K1730" s="71" t="str">
        <f>IF(COUNTA(A1730:G1730)=0,"",IF(G1730&lt;&gt;"",G1730,IF(B1730="","",IFERROR(IF(INDEX(pr_rate,MATCH(B1730,pr_code,0))="","",INDEX(pr_rate,MATCH(B1730,pr_code,0))),""))))</f>
        <v/>
      </c>
      <c r="L1730" s="65" t="str">
        <f>IF(COUNTA(A1730:G1730)=0,"",IF(AND(ISNUMBER(D1730),ISNUMBER(J1730)),ROUND(D1730*J1730*(1-N(F1730)),2),0))</f>
        <v/>
      </c>
      <c r="M1730" s="62" t="str">
        <f>IF(A1730="","",IFERROR(INDEX(dv_cname,MATCH(A1730,dv_num,0))&amp;"",""))</f>
        <v/>
      </c>
      <c r="N1730" s="59" t="str">
        <f>IF(COUNTA(A1730:G1730)=0,"",IF(A1730="","N° devis manquant",IF(ISNA(MATCH(A1730,dv_num,0)),"Devis inconnu",IF(AND(B1730&lt;&gt;"",ISNA(MATCH(B1730,pr_code,0))),"Article inconnu",IF(H1730="","Désignation manquante",IF(OR(NOT(ISNUMBER(D1730)),N(D1730)&lt;=0),"Quantité invalide",IF(J1730="","Prix manquant",IF(OR(NOT(ISNUMBER(J1730)),N(J1730)&lt;0),"Prix invalide",IF(OR(AND(F1730&lt;&gt;"",NOT(ISNUMBER(F1730))),N(F1730)&lt;0,N(F1730)&gt;1),"Remise invalide",IF(K1730="","Taux de TVA manquant",IF(NOT(ISNUMBER(K1730)),"Taux de TVA invalide",IF(COUNTIF(p_rates,K1730)=0,"Taux de TVA hors liste (Paramètres)",IF(N(O1730)&gt;25,"Au-delà de 25 lignes : non imprimée","OK")))))))))))))</f>
        <v/>
      </c>
      <c r="O1730" s="59" t="str">
        <f>IF(A1730="","",COUNTIF($A$6:A1730,A1730))</f>
        <v/>
      </c>
      <c r="P1730" s="62" t="str">
        <f>IF(A1730="","",A1730&amp;"|"&amp;O1730)</f>
        <v/>
      </c>
    </row>
    <row r="1731">
      <c r="A1731" s="60" t="n"/>
      <c r="B1731" s="63" t="n"/>
      <c r="C1731" s="63" t="n"/>
      <c r="D1731" s="67" t="n"/>
      <c r="E1731" s="68" t="n"/>
      <c r="F1731" s="69" t="n"/>
      <c r="G1731" s="70" t="n"/>
      <c r="H1731" s="62" t="str">
        <f>IF(COUNTA(A1731:G1731)=0,"",IF(C1731&lt;&gt;"",C1731,IF(B1731="","",IFERROR(INDEX(pr_des,MATCH(B1731,pr_code,0))&amp;"",""))))</f>
        <v/>
      </c>
      <c r="I1731" s="59" t="str">
        <f>IF(B1731="","",IFERROR(INDEX(pr_unit,MATCH(B1731,pr_code,0))&amp;"",""))</f>
        <v/>
      </c>
      <c r="J1731" s="65" t="str">
        <f>IF(COUNTA(A1731:G1731)=0,"",IF(E1731&lt;&gt;"",E1731,IF(B1731="","",IFERROR(IF(INDEX(pr_price,MATCH(B1731,pr_code,0))="","",INDEX(pr_price,MATCH(B1731,pr_code,0))),""))))</f>
        <v/>
      </c>
      <c r="K1731" s="71" t="str">
        <f>IF(COUNTA(A1731:G1731)=0,"",IF(G1731&lt;&gt;"",G1731,IF(B1731="","",IFERROR(IF(INDEX(pr_rate,MATCH(B1731,pr_code,0))="","",INDEX(pr_rate,MATCH(B1731,pr_code,0))),""))))</f>
        <v/>
      </c>
      <c r="L1731" s="65" t="str">
        <f>IF(COUNTA(A1731:G1731)=0,"",IF(AND(ISNUMBER(D1731),ISNUMBER(J1731)),ROUND(D1731*J1731*(1-N(F1731)),2),0))</f>
        <v/>
      </c>
      <c r="M1731" s="62" t="str">
        <f>IF(A1731="","",IFERROR(INDEX(dv_cname,MATCH(A1731,dv_num,0))&amp;"",""))</f>
        <v/>
      </c>
      <c r="N1731" s="59" t="str">
        <f>IF(COUNTA(A1731:G1731)=0,"",IF(A1731="","N° devis manquant",IF(ISNA(MATCH(A1731,dv_num,0)),"Devis inconnu",IF(AND(B1731&lt;&gt;"",ISNA(MATCH(B1731,pr_code,0))),"Article inconnu",IF(H1731="","Désignation manquante",IF(OR(NOT(ISNUMBER(D1731)),N(D1731)&lt;=0),"Quantité invalide",IF(J1731="","Prix manquant",IF(OR(NOT(ISNUMBER(J1731)),N(J1731)&lt;0),"Prix invalide",IF(OR(AND(F1731&lt;&gt;"",NOT(ISNUMBER(F1731))),N(F1731)&lt;0,N(F1731)&gt;1),"Remise invalide",IF(K1731="","Taux de TVA manquant",IF(NOT(ISNUMBER(K1731)),"Taux de TVA invalide",IF(COUNTIF(p_rates,K1731)=0,"Taux de TVA hors liste (Paramètres)",IF(N(O1731)&gt;25,"Au-delà de 25 lignes : non imprimée","OK")))))))))))))</f>
        <v/>
      </c>
      <c r="O1731" s="59" t="str">
        <f>IF(A1731="","",COUNTIF($A$6:A1731,A1731))</f>
        <v/>
      </c>
      <c r="P1731" s="62" t="str">
        <f>IF(A1731="","",A1731&amp;"|"&amp;O1731)</f>
        <v/>
      </c>
    </row>
    <row r="1732">
      <c r="A1732" s="60" t="n"/>
      <c r="B1732" s="63" t="n"/>
      <c r="C1732" s="63" t="n"/>
      <c r="D1732" s="67" t="n"/>
      <c r="E1732" s="68" t="n"/>
      <c r="F1732" s="69" t="n"/>
      <c r="G1732" s="70" t="n"/>
      <c r="H1732" s="62" t="str">
        <f>IF(COUNTA(A1732:G1732)=0,"",IF(C1732&lt;&gt;"",C1732,IF(B1732="","",IFERROR(INDEX(pr_des,MATCH(B1732,pr_code,0))&amp;"",""))))</f>
        <v/>
      </c>
      <c r="I1732" s="59" t="str">
        <f>IF(B1732="","",IFERROR(INDEX(pr_unit,MATCH(B1732,pr_code,0))&amp;"",""))</f>
        <v/>
      </c>
      <c r="J1732" s="65" t="str">
        <f>IF(COUNTA(A1732:G1732)=0,"",IF(E1732&lt;&gt;"",E1732,IF(B1732="","",IFERROR(IF(INDEX(pr_price,MATCH(B1732,pr_code,0))="","",INDEX(pr_price,MATCH(B1732,pr_code,0))),""))))</f>
        <v/>
      </c>
      <c r="K1732" s="71" t="str">
        <f>IF(COUNTA(A1732:G1732)=0,"",IF(G1732&lt;&gt;"",G1732,IF(B1732="","",IFERROR(IF(INDEX(pr_rate,MATCH(B1732,pr_code,0))="","",INDEX(pr_rate,MATCH(B1732,pr_code,0))),""))))</f>
        <v/>
      </c>
      <c r="L1732" s="65" t="str">
        <f>IF(COUNTA(A1732:G1732)=0,"",IF(AND(ISNUMBER(D1732),ISNUMBER(J1732)),ROUND(D1732*J1732*(1-N(F1732)),2),0))</f>
        <v/>
      </c>
      <c r="M1732" s="62" t="str">
        <f>IF(A1732="","",IFERROR(INDEX(dv_cname,MATCH(A1732,dv_num,0))&amp;"",""))</f>
        <v/>
      </c>
      <c r="N1732" s="59" t="str">
        <f>IF(COUNTA(A1732:G1732)=0,"",IF(A1732="","N° devis manquant",IF(ISNA(MATCH(A1732,dv_num,0)),"Devis inconnu",IF(AND(B1732&lt;&gt;"",ISNA(MATCH(B1732,pr_code,0))),"Article inconnu",IF(H1732="","Désignation manquante",IF(OR(NOT(ISNUMBER(D1732)),N(D1732)&lt;=0),"Quantité invalide",IF(J1732="","Prix manquant",IF(OR(NOT(ISNUMBER(J1732)),N(J1732)&lt;0),"Prix invalide",IF(OR(AND(F1732&lt;&gt;"",NOT(ISNUMBER(F1732))),N(F1732)&lt;0,N(F1732)&gt;1),"Remise invalide",IF(K1732="","Taux de TVA manquant",IF(NOT(ISNUMBER(K1732)),"Taux de TVA invalide",IF(COUNTIF(p_rates,K1732)=0,"Taux de TVA hors liste (Paramètres)",IF(N(O1732)&gt;25,"Au-delà de 25 lignes : non imprimée","OK")))))))))))))</f>
        <v/>
      </c>
      <c r="O1732" s="59" t="str">
        <f>IF(A1732="","",COUNTIF($A$6:A1732,A1732))</f>
        <v/>
      </c>
      <c r="P1732" s="62" t="str">
        <f>IF(A1732="","",A1732&amp;"|"&amp;O1732)</f>
        <v/>
      </c>
    </row>
    <row r="1733">
      <c r="A1733" s="60" t="n"/>
      <c r="B1733" s="63" t="n"/>
      <c r="C1733" s="63" t="n"/>
      <c r="D1733" s="67" t="n"/>
      <c r="E1733" s="68" t="n"/>
      <c r="F1733" s="69" t="n"/>
      <c r="G1733" s="70" t="n"/>
      <c r="H1733" s="62" t="str">
        <f>IF(COUNTA(A1733:G1733)=0,"",IF(C1733&lt;&gt;"",C1733,IF(B1733="","",IFERROR(INDEX(pr_des,MATCH(B1733,pr_code,0))&amp;"",""))))</f>
        <v/>
      </c>
      <c r="I1733" s="59" t="str">
        <f>IF(B1733="","",IFERROR(INDEX(pr_unit,MATCH(B1733,pr_code,0))&amp;"",""))</f>
        <v/>
      </c>
      <c r="J1733" s="65" t="str">
        <f>IF(COUNTA(A1733:G1733)=0,"",IF(E1733&lt;&gt;"",E1733,IF(B1733="","",IFERROR(IF(INDEX(pr_price,MATCH(B1733,pr_code,0))="","",INDEX(pr_price,MATCH(B1733,pr_code,0))),""))))</f>
        <v/>
      </c>
      <c r="K1733" s="71" t="str">
        <f>IF(COUNTA(A1733:G1733)=0,"",IF(G1733&lt;&gt;"",G1733,IF(B1733="","",IFERROR(IF(INDEX(pr_rate,MATCH(B1733,pr_code,0))="","",INDEX(pr_rate,MATCH(B1733,pr_code,0))),""))))</f>
        <v/>
      </c>
      <c r="L1733" s="65" t="str">
        <f>IF(COUNTA(A1733:G1733)=0,"",IF(AND(ISNUMBER(D1733),ISNUMBER(J1733)),ROUND(D1733*J1733*(1-N(F1733)),2),0))</f>
        <v/>
      </c>
      <c r="M1733" s="62" t="str">
        <f>IF(A1733="","",IFERROR(INDEX(dv_cname,MATCH(A1733,dv_num,0))&amp;"",""))</f>
        <v/>
      </c>
      <c r="N1733" s="59" t="str">
        <f>IF(COUNTA(A1733:G1733)=0,"",IF(A1733="","N° devis manquant",IF(ISNA(MATCH(A1733,dv_num,0)),"Devis inconnu",IF(AND(B1733&lt;&gt;"",ISNA(MATCH(B1733,pr_code,0))),"Article inconnu",IF(H1733="","Désignation manquante",IF(OR(NOT(ISNUMBER(D1733)),N(D1733)&lt;=0),"Quantité invalide",IF(J1733="","Prix manquant",IF(OR(NOT(ISNUMBER(J1733)),N(J1733)&lt;0),"Prix invalide",IF(OR(AND(F1733&lt;&gt;"",NOT(ISNUMBER(F1733))),N(F1733)&lt;0,N(F1733)&gt;1),"Remise invalide",IF(K1733="","Taux de TVA manquant",IF(NOT(ISNUMBER(K1733)),"Taux de TVA invalide",IF(COUNTIF(p_rates,K1733)=0,"Taux de TVA hors liste (Paramètres)",IF(N(O1733)&gt;25,"Au-delà de 25 lignes : non imprimée","OK")))))))))))))</f>
        <v/>
      </c>
      <c r="O1733" s="59" t="str">
        <f>IF(A1733="","",COUNTIF($A$6:A1733,A1733))</f>
        <v/>
      </c>
      <c r="P1733" s="62" t="str">
        <f>IF(A1733="","",A1733&amp;"|"&amp;O1733)</f>
        <v/>
      </c>
    </row>
    <row r="1734">
      <c r="A1734" s="60" t="n"/>
      <c r="B1734" s="63" t="n"/>
      <c r="C1734" s="63" t="n"/>
      <c r="D1734" s="67" t="n"/>
      <c r="E1734" s="68" t="n"/>
      <c r="F1734" s="69" t="n"/>
      <c r="G1734" s="70" t="n"/>
      <c r="H1734" s="62" t="str">
        <f>IF(COUNTA(A1734:G1734)=0,"",IF(C1734&lt;&gt;"",C1734,IF(B1734="","",IFERROR(INDEX(pr_des,MATCH(B1734,pr_code,0))&amp;"",""))))</f>
        <v/>
      </c>
      <c r="I1734" s="59" t="str">
        <f>IF(B1734="","",IFERROR(INDEX(pr_unit,MATCH(B1734,pr_code,0))&amp;"",""))</f>
        <v/>
      </c>
      <c r="J1734" s="65" t="str">
        <f>IF(COUNTA(A1734:G1734)=0,"",IF(E1734&lt;&gt;"",E1734,IF(B1734="","",IFERROR(IF(INDEX(pr_price,MATCH(B1734,pr_code,0))="","",INDEX(pr_price,MATCH(B1734,pr_code,0))),""))))</f>
        <v/>
      </c>
      <c r="K1734" s="71" t="str">
        <f>IF(COUNTA(A1734:G1734)=0,"",IF(G1734&lt;&gt;"",G1734,IF(B1734="","",IFERROR(IF(INDEX(pr_rate,MATCH(B1734,pr_code,0))="","",INDEX(pr_rate,MATCH(B1734,pr_code,0))),""))))</f>
        <v/>
      </c>
      <c r="L1734" s="65" t="str">
        <f>IF(COUNTA(A1734:G1734)=0,"",IF(AND(ISNUMBER(D1734),ISNUMBER(J1734)),ROUND(D1734*J1734*(1-N(F1734)),2),0))</f>
        <v/>
      </c>
      <c r="M1734" s="62" t="str">
        <f>IF(A1734="","",IFERROR(INDEX(dv_cname,MATCH(A1734,dv_num,0))&amp;"",""))</f>
        <v/>
      </c>
      <c r="N1734" s="59" t="str">
        <f>IF(COUNTA(A1734:G1734)=0,"",IF(A1734="","N° devis manquant",IF(ISNA(MATCH(A1734,dv_num,0)),"Devis inconnu",IF(AND(B1734&lt;&gt;"",ISNA(MATCH(B1734,pr_code,0))),"Article inconnu",IF(H1734="","Désignation manquante",IF(OR(NOT(ISNUMBER(D1734)),N(D1734)&lt;=0),"Quantité invalide",IF(J1734="","Prix manquant",IF(OR(NOT(ISNUMBER(J1734)),N(J1734)&lt;0),"Prix invalide",IF(OR(AND(F1734&lt;&gt;"",NOT(ISNUMBER(F1734))),N(F1734)&lt;0,N(F1734)&gt;1),"Remise invalide",IF(K1734="","Taux de TVA manquant",IF(NOT(ISNUMBER(K1734)),"Taux de TVA invalide",IF(COUNTIF(p_rates,K1734)=0,"Taux de TVA hors liste (Paramètres)",IF(N(O1734)&gt;25,"Au-delà de 25 lignes : non imprimée","OK")))))))))))))</f>
        <v/>
      </c>
      <c r="O1734" s="59" t="str">
        <f>IF(A1734="","",COUNTIF($A$6:A1734,A1734))</f>
        <v/>
      </c>
      <c r="P1734" s="62" t="str">
        <f>IF(A1734="","",A1734&amp;"|"&amp;O1734)</f>
        <v/>
      </c>
    </row>
    <row r="1735">
      <c r="A1735" s="60" t="n"/>
      <c r="B1735" s="63" t="n"/>
      <c r="C1735" s="63" t="n"/>
      <c r="D1735" s="67" t="n"/>
      <c r="E1735" s="68" t="n"/>
      <c r="F1735" s="69" t="n"/>
      <c r="G1735" s="70" t="n"/>
      <c r="H1735" s="62" t="str">
        <f>IF(COUNTA(A1735:G1735)=0,"",IF(C1735&lt;&gt;"",C1735,IF(B1735="","",IFERROR(INDEX(pr_des,MATCH(B1735,pr_code,0))&amp;"",""))))</f>
        <v/>
      </c>
      <c r="I1735" s="59" t="str">
        <f>IF(B1735="","",IFERROR(INDEX(pr_unit,MATCH(B1735,pr_code,0))&amp;"",""))</f>
        <v/>
      </c>
      <c r="J1735" s="65" t="str">
        <f>IF(COUNTA(A1735:G1735)=0,"",IF(E1735&lt;&gt;"",E1735,IF(B1735="","",IFERROR(IF(INDEX(pr_price,MATCH(B1735,pr_code,0))="","",INDEX(pr_price,MATCH(B1735,pr_code,0))),""))))</f>
        <v/>
      </c>
      <c r="K1735" s="71" t="str">
        <f>IF(COUNTA(A1735:G1735)=0,"",IF(G1735&lt;&gt;"",G1735,IF(B1735="","",IFERROR(IF(INDEX(pr_rate,MATCH(B1735,pr_code,0))="","",INDEX(pr_rate,MATCH(B1735,pr_code,0))),""))))</f>
        <v/>
      </c>
      <c r="L1735" s="65" t="str">
        <f>IF(COUNTA(A1735:G1735)=0,"",IF(AND(ISNUMBER(D1735),ISNUMBER(J1735)),ROUND(D1735*J1735*(1-N(F1735)),2),0))</f>
        <v/>
      </c>
      <c r="M1735" s="62" t="str">
        <f>IF(A1735="","",IFERROR(INDEX(dv_cname,MATCH(A1735,dv_num,0))&amp;"",""))</f>
        <v/>
      </c>
      <c r="N1735" s="59" t="str">
        <f>IF(COUNTA(A1735:G1735)=0,"",IF(A1735="","N° devis manquant",IF(ISNA(MATCH(A1735,dv_num,0)),"Devis inconnu",IF(AND(B1735&lt;&gt;"",ISNA(MATCH(B1735,pr_code,0))),"Article inconnu",IF(H1735="","Désignation manquante",IF(OR(NOT(ISNUMBER(D1735)),N(D1735)&lt;=0),"Quantité invalide",IF(J1735="","Prix manquant",IF(OR(NOT(ISNUMBER(J1735)),N(J1735)&lt;0),"Prix invalide",IF(OR(AND(F1735&lt;&gt;"",NOT(ISNUMBER(F1735))),N(F1735)&lt;0,N(F1735)&gt;1),"Remise invalide",IF(K1735="","Taux de TVA manquant",IF(NOT(ISNUMBER(K1735)),"Taux de TVA invalide",IF(COUNTIF(p_rates,K1735)=0,"Taux de TVA hors liste (Paramètres)",IF(N(O1735)&gt;25,"Au-delà de 25 lignes : non imprimée","OK")))))))))))))</f>
        <v/>
      </c>
      <c r="O1735" s="59" t="str">
        <f>IF(A1735="","",COUNTIF($A$6:A1735,A1735))</f>
        <v/>
      </c>
      <c r="P1735" s="62" t="str">
        <f>IF(A1735="","",A1735&amp;"|"&amp;O1735)</f>
        <v/>
      </c>
    </row>
    <row r="1736">
      <c r="A1736" s="60" t="n"/>
      <c r="B1736" s="63" t="n"/>
      <c r="C1736" s="63" t="n"/>
      <c r="D1736" s="67" t="n"/>
      <c r="E1736" s="68" t="n"/>
      <c r="F1736" s="69" t="n"/>
      <c r="G1736" s="70" t="n"/>
      <c r="H1736" s="62" t="str">
        <f>IF(COUNTA(A1736:G1736)=0,"",IF(C1736&lt;&gt;"",C1736,IF(B1736="","",IFERROR(INDEX(pr_des,MATCH(B1736,pr_code,0))&amp;"",""))))</f>
        <v/>
      </c>
      <c r="I1736" s="59" t="str">
        <f>IF(B1736="","",IFERROR(INDEX(pr_unit,MATCH(B1736,pr_code,0))&amp;"",""))</f>
        <v/>
      </c>
      <c r="J1736" s="65" t="str">
        <f>IF(COUNTA(A1736:G1736)=0,"",IF(E1736&lt;&gt;"",E1736,IF(B1736="","",IFERROR(IF(INDEX(pr_price,MATCH(B1736,pr_code,0))="","",INDEX(pr_price,MATCH(B1736,pr_code,0))),""))))</f>
        <v/>
      </c>
      <c r="K1736" s="71" t="str">
        <f>IF(COUNTA(A1736:G1736)=0,"",IF(G1736&lt;&gt;"",G1736,IF(B1736="","",IFERROR(IF(INDEX(pr_rate,MATCH(B1736,pr_code,0))="","",INDEX(pr_rate,MATCH(B1736,pr_code,0))),""))))</f>
        <v/>
      </c>
      <c r="L1736" s="65" t="str">
        <f>IF(COUNTA(A1736:G1736)=0,"",IF(AND(ISNUMBER(D1736),ISNUMBER(J1736)),ROUND(D1736*J1736*(1-N(F1736)),2),0))</f>
        <v/>
      </c>
      <c r="M1736" s="62" t="str">
        <f>IF(A1736="","",IFERROR(INDEX(dv_cname,MATCH(A1736,dv_num,0))&amp;"",""))</f>
        <v/>
      </c>
      <c r="N1736" s="59" t="str">
        <f>IF(COUNTA(A1736:G1736)=0,"",IF(A1736="","N° devis manquant",IF(ISNA(MATCH(A1736,dv_num,0)),"Devis inconnu",IF(AND(B1736&lt;&gt;"",ISNA(MATCH(B1736,pr_code,0))),"Article inconnu",IF(H1736="","Désignation manquante",IF(OR(NOT(ISNUMBER(D1736)),N(D1736)&lt;=0),"Quantité invalide",IF(J1736="","Prix manquant",IF(OR(NOT(ISNUMBER(J1736)),N(J1736)&lt;0),"Prix invalide",IF(OR(AND(F1736&lt;&gt;"",NOT(ISNUMBER(F1736))),N(F1736)&lt;0,N(F1736)&gt;1),"Remise invalide",IF(K1736="","Taux de TVA manquant",IF(NOT(ISNUMBER(K1736)),"Taux de TVA invalide",IF(COUNTIF(p_rates,K1736)=0,"Taux de TVA hors liste (Paramètres)",IF(N(O1736)&gt;25,"Au-delà de 25 lignes : non imprimée","OK")))))))))))))</f>
        <v/>
      </c>
      <c r="O1736" s="59" t="str">
        <f>IF(A1736="","",COUNTIF($A$6:A1736,A1736))</f>
        <v/>
      </c>
      <c r="P1736" s="62" t="str">
        <f>IF(A1736="","",A1736&amp;"|"&amp;O1736)</f>
        <v/>
      </c>
    </row>
    <row r="1737">
      <c r="A1737" s="60" t="n"/>
      <c r="B1737" s="63" t="n"/>
      <c r="C1737" s="63" t="n"/>
      <c r="D1737" s="67" t="n"/>
      <c r="E1737" s="68" t="n"/>
      <c r="F1737" s="69" t="n"/>
      <c r="G1737" s="70" t="n"/>
      <c r="H1737" s="62" t="str">
        <f>IF(COUNTA(A1737:G1737)=0,"",IF(C1737&lt;&gt;"",C1737,IF(B1737="","",IFERROR(INDEX(pr_des,MATCH(B1737,pr_code,0))&amp;"",""))))</f>
        <v/>
      </c>
      <c r="I1737" s="59" t="str">
        <f>IF(B1737="","",IFERROR(INDEX(pr_unit,MATCH(B1737,pr_code,0))&amp;"",""))</f>
        <v/>
      </c>
      <c r="J1737" s="65" t="str">
        <f>IF(COUNTA(A1737:G1737)=0,"",IF(E1737&lt;&gt;"",E1737,IF(B1737="","",IFERROR(IF(INDEX(pr_price,MATCH(B1737,pr_code,0))="","",INDEX(pr_price,MATCH(B1737,pr_code,0))),""))))</f>
        <v/>
      </c>
      <c r="K1737" s="71" t="str">
        <f>IF(COUNTA(A1737:G1737)=0,"",IF(G1737&lt;&gt;"",G1737,IF(B1737="","",IFERROR(IF(INDEX(pr_rate,MATCH(B1737,pr_code,0))="","",INDEX(pr_rate,MATCH(B1737,pr_code,0))),""))))</f>
        <v/>
      </c>
      <c r="L1737" s="65" t="str">
        <f>IF(COUNTA(A1737:G1737)=0,"",IF(AND(ISNUMBER(D1737),ISNUMBER(J1737)),ROUND(D1737*J1737*(1-N(F1737)),2),0))</f>
        <v/>
      </c>
      <c r="M1737" s="62" t="str">
        <f>IF(A1737="","",IFERROR(INDEX(dv_cname,MATCH(A1737,dv_num,0))&amp;"",""))</f>
        <v/>
      </c>
      <c r="N1737" s="59" t="str">
        <f>IF(COUNTA(A1737:G1737)=0,"",IF(A1737="","N° devis manquant",IF(ISNA(MATCH(A1737,dv_num,0)),"Devis inconnu",IF(AND(B1737&lt;&gt;"",ISNA(MATCH(B1737,pr_code,0))),"Article inconnu",IF(H1737="","Désignation manquante",IF(OR(NOT(ISNUMBER(D1737)),N(D1737)&lt;=0),"Quantité invalide",IF(J1737="","Prix manquant",IF(OR(NOT(ISNUMBER(J1737)),N(J1737)&lt;0),"Prix invalide",IF(OR(AND(F1737&lt;&gt;"",NOT(ISNUMBER(F1737))),N(F1737)&lt;0,N(F1737)&gt;1),"Remise invalide",IF(K1737="","Taux de TVA manquant",IF(NOT(ISNUMBER(K1737)),"Taux de TVA invalide",IF(COUNTIF(p_rates,K1737)=0,"Taux de TVA hors liste (Paramètres)",IF(N(O1737)&gt;25,"Au-delà de 25 lignes : non imprimée","OK")))))))))))))</f>
        <v/>
      </c>
      <c r="O1737" s="59" t="str">
        <f>IF(A1737="","",COUNTIF($A$6:A1737,A1737))</f>
        <v/>
      </c>
      <c r="P1737" s="62" t="str">
        <f>IF(A1737="","",A1737&amp;"|"&amp;O1737)</f>
        <v/>
      </c>
    </row>
    <row r="1738">
      <c r="A1738" s="60" t="n"/>
      <c r="B1738" s="63" t="n"/>
      <c r="C1738" s="63" t="n"/>
      <c r="D1738" s="67" t="n"/>
      <c r="E1738" s="68" t="n"/>
      <c r="F1738" s="69" t="n"/>
      <c r="G1738" s="70" t="n"/>
      <c r="H1738" s="62" t="str">
        <f>IF(COUNTA(A1738:G1738)=0,"",IF(C1738&lt;&gt;"",C1738,IF(B1738="","",IFERROR(INDEX(pr_des,MATCH(B1738,pr_code,0))&amp;"",""))))</f>
        <v/>
      </c>
      <c r="I1738" s="59" t="str">
        <f>IF(B1738="","",IFERROR(INDEX(pr_unit,MATCH(B1738,pr_code,0))&amp;"",""))</f>
        <v/>
      </c>
      <c r="J1738" s="65" t="str">
        <f>IF(COUNTA(A1738:G1738)=0,"",IF(E1738&lt;&gt;"",E1738,IF(B1738="","",IFERROR(IF(INDEX(pr_price,MATCH(B1738,pr_code,0))="","",INDEX(pr_price,MATCH(B1738,pr_code,0))),""))))</f>
        <v/>
      </c>
      <c r="K1738" s="71" t="str">
        <f>IF(COUNTA(A1738:G1738)=0,"",IF(G1738&lt;&gt;"",G1738,IF(B1738="","",IFERROR(IF(INDEX(pr_rate,MATCH(B1738,pr_code,0))="","",INDEX(pr_rate,MATCH(B1738,pr_code,0))),""))))</f>
        <v/>
      </c>
      <c r="L1738" s="65" t="str">
        <f>IF(COUNTA(A1738:G1738)=0,"",IF(AND(ISNUMBER(D1738),ISNUMBER(J1738)),ROUND(D1738*J1738*(1-N(F1738)),2),0))</f>
        <v/>
      </c>
      <c r="M1738" s="62" t="str">
        <f>IF(A1738="","",IFERROR(INDEX(dv_cname,MATCH(A1738,dv_num,0))&amp;"",""))</f>
        <v/>
      </c>
      <c r="N1738" s="59" t="str">
        <f>IF(COUNTA(A1738:G1738)=0,"",IF(A1738="","N° devis manquant",IF(ISNA(MATCH(A1738,dv_num,0)),"Devis inconnu",IF(AND(B1738&lt;&gt;"",ISNA(MATCH(B1738,pr_code,0))),"Article inconnu",IF(H1738="","Désignation manquante",IF(OR(NOT(ISNUMBER(D1738)),N(D1738)&lt;=0),"Quantité invalide",IF(J1738="","Prix manquant",IF(OR(NOT(ISNUMBER(J1738)),N(J1738)&lt;0),"Prix invalide",IF(OR(AND(F1738&lt;&gt;"",NOT(ISNUMBER(F1738))),N(F1738)&lt;0,N(F1738)&gt;1),"Remise invalide",IF(K1738="","Taux de TVA manquant",IF(NOT(ISNUMBER(K1738)),"Taux de TVA invalide",IF(COUNTIF(p_rates,K1738)=0,"Taux de TVA hors liste (Paramètres)",IF(N(O1738)&gt;25,"Au-delà de 25 lignes : non imprimée","OK")))))))))))))</f>
        <v/>
      </c>
      <c r="O1738" s="59" t="str">
        <f>IF(A1738="","",COUNTIF($A$6:A1738,A1738))</f>
        <v/>
      </c>
      <c r="P1738" s="62" t="str">
        <f>IF(A1738="","",A1738&amp;"|"&amp;O1738)</f>
        <v/>
      </c>
    </row>
    <row r="1739">
      <c r="A1739" s="60" t="n"/>
      <c r="B1739" s="63" t="n"/>
      <c r="C1739" s="63" t="n"/>
      <c r="D1739" s="67" t="n"/>
      <c r="E1739" s="68" t="n"/>
      <c r="F1739" s="69" t="n"/>
      <c r="G1739" s="70" t="n"/>
      <c r="H1739" s="62" t="str">
        <f>IF(COUNTA(A1739:G1739)=0,"",IF(C1739&lt;&gt;"",C1739,IF(B1739="","",IFERROR(INDEX(pr_des,MATCH(B1739,pr_code,0))&amp;"",""))))</f>
        <v/>
      </c>
      <c r="I1739" s="59" t="str">
        <f>IF(B1739="","",IFERROR(INDEX(pr_unit,MATCH(B1739,pr_code,0))&amp;"",""))</f>
        <v/>
      </c>
      <c r="J1739" s="65" t="str">
        <f>IF(COUNTA(A1739:G1739)=0,"",IF(E1739&lt;&gt;"",E1739,IF(B1739="","",IFERROR(IF(INDEX(pr_price,MATCH(B1739,pr_code,0))="","",INDEX(pr_price,MATCH(B1739,pr_code,0))),""))))</f>
        <v/>
      </c>
      <c r="K1739" s="71" t="str">
        <f>IF(COUNTA(A1739:G1739)=0,"",IF(G1739&lt;&gt;"",G1739,IF(B1739="","",IFERROR(IF(INDEX(pr_rate,MATCH(B1739,pr_code,0))="","",INDEX(pr_rate,MATCH(B1739,pr_code,0))),""))))</f>
        <v/>
      </c>
      <c r="L1739" s="65" t="str">
        <f>IF(COUNTA(A1739:G1739)=0,"",IF(AND(ISNUMBER(D1739),ISNUMBER(J1739)),ROUND(D1739*J1739*(1-N(F1739)),2),0))</f>
        <v/>
      </c>
      <c r="M1739" s="62" t="str">
        <f>IF(A1739="","",IFERROR(INDEX(dv_cname,MATCH(A1739,dv_num,0))&amp;"",""))</f>
        <v/>
      </c>
      <c r="N1739" s="59" t="str">
        <f>IF(COUNTA(A1739:G1739)=0,"",IF(A1739="","N° devis manquant",IF(ISNA(MATCH(A1739,dv_num,0)),"Devis inconnu",IF(AND(B1739&lt;&gt;"",ISNA(MATCH(B1739,pr_code,0))),"Article inconnu",IF(H1739="","Désignation manquante",IF(OR(NOT(ISNUMBER(D1739)),N(D1739)&lt;=0),"Quantité invalide",IF(J1739="","Prix manquant",IF(OR(NOT(ISNUMBER(J1739)),N(J1739)&lt;0),"Prix invalide",IF(OR(AND(F1739&lt;&gt;"",NOT(ISNUMBER(F1739))),N(F1739)&lt;0,N(F1739)&gt;1),"Remise invalide",IF(K1739="","Taux de TVA manquant",IF(NOT(ISNUMBER(K1739)),"Taux de TVA invalide",IF(COUNTIF(p_rates,K1739)=0,"Taux de TVA hors liste (Paramètres)",IF(N(O1739)&gt;25,"Au-delà de 25 lignes : non imprimée","OK")))))))))))))</f>
        <v/>
      </c>
      <c r="O1739" s="59" t="str">
        <f>IF(A1739="","",COUNTIF($A$6:A1739,A1739))</f>
        <v/>
      </c>
      <c r="P1739" s="62" t="str">
        <f>IF(A1739="","",A1739&amp;"|"&amp;O1739)</f>
        <v/>
      </c>
    </row>
    <row r="1740">
      <c r="A1740" s="60" t="n"/>
      <c r="B1740" s="63" t="n"/>
      <c r="C1740" s="63" t="n"/>
      <c r="D1740" s="67" t="n"/>
      <c r="E1740" s="68" t="n"/>
      <c r="F1740" s="69" t="n"/>
      <c r="G1740" s="70" t="n"/>
      <c r="H1740" s="62" t="str">
        <f>IF(COUNTA(A1740:G1740)=0,"",IF(C1740&lt;&gt;"",C1740,IF(B1740="","",IFERROR(INDEX(pr_des,MATCH(B1740,pr_code,0))&amp;"",""))))</f>
        <v/>
      </c>
      <c r="I1740" s="59" t="str">
        <f>IF(B1740="","",IFERROR(INDEX(pr_unit,MATCH(B1740,pr_code,0))&amp;"",""))</f>
        <v/>
      </c>
      <c r="J1740" s="65" t="str">
        <f>IF(COUNTA(A1740:G1740)=0,"",IF(E1740&lt;&gt;"",E1740,IF(B1740="","",IFERROR(IF(INDEX(pr_price,MATCH(B1740,pr_code,0))="","",INDEX(pr_price,MATCH(B1740,pr_code,0))),""))))</f>
        <v/>
      </c>
      <c r="K1740" s="71" t="str">
        <f>IF(COUNTA(A1740:G1740)=0,"",IF(G1740&lt;&gt;"",G1740,IF(B1740="","",IFERROR(IF(INDEX(pr_rate,MATCH(B1740,pr_code,0))="","",INDEX(pr_rate,MATCH(B1740,pr_code,0))),""))))</f>
        <v/>
      </c>
      <c r="L1740" s="65" t="str">
        <f>IF(COUNTA(A1740:G1740)=0,"",IF(AND(ISNUMBER(D1740),ISNUMBER(J1740)),ROUND(D1740*J1740*(1-N(F1740)),2),0))</f>
        <v/>
      </c>
      <c r="M1740" s="62" t="str">
        <f>IF(A1740="","",IFERROR(INDEX(dv_cname,MATCH(A1740,dv_num,0))&amp;"",""))</f>
        <v/>
      </c>
      <c r="N1740" s="59" t="str">
        <f>IF(COUNTA(A1740:G1740)=0,"",IF(A1740="","N° devis manquant",IF(ISNA(MATCH(A1740,dv_num,0)),"Devis inconnu",IF(AND(B1740&lt;&gt;"",ISNA(MATCH(B1740,pr_code,0))),"Article inconnu",IF(H1740="","Désignation manquante",IF(OR(NOT(ISNUMBER(D1740)),N(D1740)&lt;=0),"Quantité invalide",IF(J1740="","Prix manquant",IF(OR(NOT(ISNUMBER(J1740)),N(J1740)&lt;0),"Prix invalide",IF(OR(AND(F1740&lt;&gt;"",NOT(ISNUMBER(F1740))),N(F1740)&lt;0,N(F1740)&gt;1),"Remise invalide",IF(K1740="","Taux de TVA manquant",IF(NOT(ISNUMBER(K1740)),"Taux de TVA invalide",IF(COUNTIF(p_rates,K1740)=0,"Taux de TVA hors liste (Paramètres)",IF(N(O1740)&gt;25,"Au-delà de 25 lignes : non imprimée","OK")))))))))))))</f>
        <v/>
      </c>
      <c r="O1740" s="59" t="str">
        <f>IF(A1740="","",COUNTIF($A$6:A1740,A1740))</f>
        <v/>
      </c>
      <c r="P1740" s="62" t="str">
        <f>IF(A1740="","",A1740&amp;"|"&amp;O1740)</f>
        <v/>
      </c>
    </row>
    <row r="1741">
      <c r="A1741" s="60" t="n"/>
      <c r="B1741" s="63" t="n"/>
      <c r="C1741" s="63" t="n"/>
      <c r="D1741" s="67" t="n"/>
      <c r="E1741" s="68" t="n"/>
      <c r="F1741" s="69" t="n"/>
      <c r="G1741" s="70" t="n"/>
      <c r="H1741" s="62" t="str">
        <f>IF(COUNTA(A1741:G1741)=0,"",IF(C1741&lt;&gt;"",C1741,IF(B1741="","",IFERROR(INDEX(pr_des,MATCH(B1741,pr_code,0))&amp;"",""))))</f>
        <v/>
      </c>
      <c r="I1741" s="59" t="str">
        <f>IF(B1741="","",IFERROR(INDEX(pr_unit,MATCH(B1741,pr_code,0))&amp;"",""))</f>
        <v/>
      </c>
      <c r="J1741" s="65" t="str">
        <f>IF(COUNTA(A1741:G1741)=0,"",IF(E1741&lt;&gt;"",E1741,IF(B1741="","",IFERROR(IF(INDEX(pr_price,MATCH(B1741,pr_code,0))="","",INDEX(pr_price,MATCH(B1741,pr_code,0))),""))))</f>
        <v/>
      </c>
      <c r="K1741" s="71" t="str">
        <f>IF(COUNTA(A1741:G1741)=0,"",IF(G1741&lt;&gt;"",G1741,IF(B1741="","",IFERROR(IF(INDEX(pr_rate,MATCH(B1741,pr_code,0))="","",INDEX(pr_rate,MATCH(B1741,pr_code,0))),""))))</f>
        <v/>
      </c>
      <c r="L1741" s="65" t="str">
        <f>IF(COUNTA(A1741:G1741)=0,"",IF(AND(ISNUMBER(D1741),ISNUMBER(J1741)),ROUND(D1741*J1741*(1-N(F1741)),2),0))</f>
        <v/>
      </c>
      <c r="M1741" s="62" t="str">
        <f>IF(A1741="","",IFERROR(INDEX(dv_cname,MATCH(A1741,dv_num,0))&amp;"",""))</f>
        <v/>
      </c>
      <c r="N1741" s="59" t="str">
        <f>IF(COUNTA(A1741:G1741)=0,"",IF(A1741="","N° devis manquant",IF(ISNA(MATCH(A1741,dv_num,0)),"Devis inconnu",IF(AND(B1741&lt;&gt;"",ISNA(MATCH(B1741,pr_code,0))),"Article inconnu",IF(H1741="","Désignation manquante",IF(OR(NOT(ISNUMBER(D1741)),N(D1741)&lt;=0),"Quantité invalide",IF(J1741="","Prix manquant",IF(OR(NOT(ISNUMBER(J1741)),N(J1741)&lt;0),"Prix invalide",IF(OR(AND(F1741&lt;&gt;"",NOT(ISNUMBER(F1741))),N(F1741)&lt;0,N(F1741)&gt;1),"Remise invalide",IF(K1741="","Taux de TVA manquant",IF(NOT(ISNUMBER(K1741)),"Taux de TVA invalide",IF(COUNTIF(p_rates,K1741)=0,"Taux de TVA hors liste (Paramètres)",IF(N(O1741)&gt;25,"Au-delà de 25 lignes : non imprimée","OK")))))))))))))</f>
        <v/>
      </c>
      <c r="O1741" s="59" t="str">
        <f>IF(A1741="","",COUNTIF($A$6:A1741,A1741))</f>
        <v/>
      </c>
      <c r="P1741" s="62" t="str">
        <f>IF(A1741="","",A1741&amp;"|"&amp;O1741)</f>
        <v/>
      </c>
    </row>
    <row r="1742">
      <c r="A1742" s="60" t="n"/>
      <c r="B1742" s="63" t="n"/>
      <c r="C1742" s="63" t="n"/>
      <c r="D1742" s="67" t="n"/>
      <c r="E1742" s="68" t="n"/>
      <c r="F1742" s="69" t="n"/>
      <c r="G1742" s="70" t="n"/>
      <c r="H1742" s="62" t="str">
        <f>IF(COUNTA(A1742:G1742)=0,"",IF(C1742&lt;&gt;"",C1742,IF(B1742="","",IFERROR(INDEX(pr_des,MATCH(B1742,pr_code,0))&amp;"",""))))</f>
        <v/>
      </c>
      <c r="I1742" s="59" t="str">
        <f>IF(B1742="","",IFERROR(INDEX(pr_unit,MATCH(B1742,pr_code,0))&amp;"",""))</f>
        <v/>
      </c>
      <c r="J1742" s="65" t="str">
        <f>IF(COUNTA(A1742:G1742)=0,"",IF(E1742&lt;&gt;"",E1742,IF(B1742="","",IFERROR(IF(INDEX(pr_price,MATCH(B1742,pr_code,0))="","",INDEX(pr_price,MATCH(B1742,pr_code,0))),""))))</f>
        <v/>
      </c>
      <c r="K1742" s="71" t="str">
        <f>IF(COUNTA(A1742:G1742)=0,"",IF(G1742&lt;&gt;"",G1742,IF(B1742="","",IFERROR(IF(INDEX(pr_rate,MATCH(B1742,pr_code,0))="","",INDEX(pr_rate,MATCH(B1742,pr_code,0))),""))))</f>
        <v/>
      </c>
      <c r="L1742" s="65" t="str">
        <f>IF(COUNTA(A1742:G1742)=0,"",IF(AND(ISNUMBER(D1742),ISNUMBER(J1742)),ROUND(D1742*J1742*(1-N(F1742)),2),0))</f>
        <v/>
      </c>
      <c r="M1742" s="62" t="str">
        <f>IF(A1742="","",IFERROR(INDEX(dv_cname,MATCH(A1742,dv_num,0))&amp;"",""))</f>
        <v/>
      </c>
      <c r="N1742" s="59" t="str">
        <f>IF(COUNTA(A1742:G1742)=0,"",IF(A1742="","N° devis manquant",IF(ISNA(MATCH(A1742,dv_num,0)),"Devis inconnu",IF(AND(B1742&lt;&gt;"",ISNA(MATCH(B1742,pr_code,0))),"Article inconnu",IF(H1742="","Désignation manquante",IF(OR(NOT(ISNUMBER(D1742)),N(D1742)&lt;=0),"Quantité invalide",IF(J1742="","Prix manquant",IF(OR(NOT(ISNUMBER(J1742)),N(J1742)&lt;0),"Prix invalide",IF(OR(AND(F1742&lt;&gt;"",NOT(ISNUMBER(F1742))),N(F1742)&lt;0,N(F1742)&gt;1),"Remise invalide",IF(K1742="","Taux de TVA manquant",IF(NOT(ISNUMBER(K1742)),"Taux de TVA invalide",IF(COUNTIF(p_rates,K1742)=0,"Taux de TVA hors liste (Paramètres)",IF(N(O1742)&gt;25,"Au-delà de 25 lignes : non imprimée","OK")))))))))))))</f>
        <v/>
      </c>
      <c r="O1742" s="59" t="str">
        <f>IF(A1742="","",COUNTIF($A$6:A1742,A1742))</f>
        <v/>
      </c>
      <c r="P1742" s="62" t="str">
        <f>IF(A1742="","",A1742&amp;"|"&amp;O1742)</f>
        <v/>
      </c>
    </row>
    <row r="1743">
      <c r="A1743" s="60" t="n"/>
      <c r="B1743" s="63" t="n"/>
      <c r="C1743" s="63" t="n"/>
      <c r="D1743" s="67" t="n"/>
      <c r="E1743" s="68" t="n"/>
      <c r="F1743" s="69" t="n"/>
      <c r="G1743" s="70" t="n"/>
      <c r="H1743" s="62" t="str">
        <f>IF(COUNTA(A1743:G1743)=0,"",IF(C1743&lt;&gt;"",C1743,IF(B1743="","",IFERROR(INDEX(pr_des,MATCH(B1743,pr_code,0))&amp;"",""))))</f>
        <v/>
      </c>
      <c r="I1743" s="59" t="str">
        <f>IF(B1743="","",IFERROR(INDEX(pr_unit,MATCH(B1743,pr_code,0))&amp;"",""))</f>
        <v/>
      </c>
      <c r="J1743" s="65" t="str">
        <f>IF(COUNTA(A1743:G1743)=0,"",IF(E1743&lt;&gt;"",E1743,IF(B1743="","",IFERROR(IF(INDEX(pr_price,MATCH(B1743,pr_code,0))="","",INDEX(pr_price,MATCH(B1743,pr_code,0))),""))))</f>
        <v/>
      </c>
      <c r="K1743" s="71" t="str">
        <f>IF(COUNTA(A1743:G1743)=0,"",IF(G1743&lt;&gt;"",G1743,IF(B1743="","",IFERROR(IF(INDEX(pr_rate,MATCH(B1743,pr_code,0))="","",INDEX(pr_rate,MATCH(B1743,pr_code,0))),""))))</f>
        <v/>
      </c>
      <c r="L1743" s="65" t="str">
        <f>IF(COUNTA(A1743:G1743)=0,"",IF(AND(ISNUMBER(D1743),ISNUMBER(J1743)),ROUND(D1743*J1743*(1-N(F1743)),2),0))</f>
        <v/>
      </c>
      <c r="M1743" s="62" t="str">
        <f>IF(A1743="","",IFERROR(INDEX(dv_cname,MATCH(A1743,dv_num,0))&amp;"",""))</f>
        <v/>
      </c>
      <c r="N1743" s="59" t="str">
        <f>IF(COUNTA(A1743:G1743)=0,"",IF(A1743="","N° devis manquant",IF(ISNA(MATCH(A1743,dv_num,0)),"Devis inconnu",IF(AND(B1743&lt;&gt;"",ISNA(MATCH(B1743,pr_code,0))),"Article inconnu",IF(H1743="","Désignation manquante",IF(OR(NOT(ISNUMBER(D1743)),N(D1743)&lt;=0),"Quantité invalide",IF(J1743="","Prix manquant",IF(OR(NOT(ISNUMBER(J1743)),N(J1743)&lt;0),"Prix invalide",IF(OR(AND(F1743&lt;&gt;"",NOT(ISNUMBER(F1743))),N(F1743)&lt;0,N(F1743)&gt;1),"Remise invalide",IF(K1743="","Taux de TVA manquant",IF(NOT(ISNUMBER(K1743)),"Taux de TVA invalide",IF(COUNTIF(p_rates,K1743)=0,"Taux de TVA hors liste (Paramètres)",IF(N(O1743)&gt;25,"Au-delà de 25 lignes : non imprimée","OK")))))))))))))</f>
        <v/>
      </c>
      <c r="O1743" s="59" t="str">
        <f>IF(A1743="","",COUNTIF($A$6:A1743,A1743))</f>
        <v/>
      </c>
      <c r="P1743" s="62" t="str">
        <f>IF(A1743="","",A1743&amp;"|"&amp;O1743)</f>
        <v/>
      </c>
    </row>
    <row r="1744">
      <c r="A1744" s="60" t="n"/>
      <c r="B1744" s="63" t="n"/>
      <c r="C1744" s="63" t="n"/>
      <c r="D1744" s="67" t="n"/>
      <c r="E1744" s="68" t="n"/>
      <c r="F1744" s="69" t="n"/>
      <c r="G1744" s="70" t="n"/>
      <c r="H1744" s="62" t="str">
        <f>IF(COUNTA(A1744:G1744)=0,"",IF(C1744&lt;&gt;"",C1744,IF(B1744="","",IFERROR(INDEX(pr_des,MATCH(B1744,pr_code,0))&amp;"",""))))</f>
        <v/>
      </c>
      <c r="I1744" s="59" t="str">
        <f>IF(B1744="","",IFERROR(INDEX(pr_unit,MATCH(B1744,pr_code,0))&amp;"",""))</f>
        <v/>
      </c>
      <c r="J1744" s="65" t="str">
        <f>IF(COUNTA(A1744:G1744)=0,"",IF(E1744&lt;&gt;"",E1744,IF(B1744="","",IFERROR(IF(INDEX(pr_price,MATCH(B1744,pr_code,0))="","",INDEX(pr_price,MATCH(B1744,pr_code,0))),""))))</f>
        <v/>
      </c>
      <c r="K1744" s="71" t="str">
        <f>IF(COUNTA(A1744:G1744)=0,"",IF(G1744&lt;&gt;"",G1744,IF(B1744="","",IFERROR(IF(INDEX(pr_rate,MATCH(B1744,pr_code,0))="","",INDEX(pr_rate,MATCH(B1744,pr_code,0))),""))))</f>
        <v/>
      </c>
      <c r="L1744" s="65" t="str">
        <f>IF(COUNTA(A1744:G1744)=0,"",IF(AND(ISNUMBER(D1744),ISNUMBER(J1744)),ROUND(D1744*J1744*(1-N(F1744)),2),0))</f>
        <v/>
      </c>
      <c r="M1744" s="62" t="str">
        <f>IF(A1744="","",IFERROR(INDEX(dv_cname,MATCH(A1744,dv_num,0))&amp;"",""))</f>
        <v/>
      </c>
      <c r="N1744" s="59" t="str">
        <f>IF(COUNTA(A1744:G1744)=0,"",IF(A1744="","N° devis manquant",IF(ISNA(MATCH(A1744,dv_num,0)),"Devis inconnu",IF(AND(B1744&lt;&gt;"",ISNA(MATCH(B1744,pr_code,0))),"Article inconnu",IF(H1744="","Désignation manquante",IF(OR(NOT(ISNUMBER(D1744)),N(D1744)&lt;=0),"Quantité invalide",IF(J1744="","Prix manquant",IF(OR(NOT(ISNUMBER(J1744)),N(J1744)&lt;0),"Prix invalide",IF(OR(AND(F1744&lt;&gt;"",NOT(ISNUMBER(F1744))),N(F1744)&lt;0,N(F1744)&gt;1),"Remise invalide",IF(K1744="","Taux de TVA manquant",IF(NOT(ISNUMBER(K1744)),"Taux de TVA invalide",IF(COUNTIF(p_rates,K1744)=0,"Taux de TVA hors liste (Paramètres)",IF(N(O1744)&gt;25,"Au-delà de 25 lignes : non imprimée","OK")))))))))))))</f>
        <v/>
      </c>
      <c r="O1744" s="59" t="str">
        <f>IF(A1744="","",COUNTIF($A$6:A1744,A1744))</f>
        <v/>
      </c>
      <c r="P1744" s="62" t="str">
        <f>IF(A1744="","",A1744&amp;"|"&amp;O1744)</f>
        <v/>
      </c>
    </row>
    <row r="1745">
      <c r="A1745" s="60" t="n"/>
      <c r="B1745" s="63" t="n"/>
      <c r="C1745" s="63" t="n"/>
      <c r="D1745" s="67" t="n"/>
      <c r="E1745" s="68" t="n"/>
      <c r="F1745" s="69" t="n"/>
      <c r="G1745" s="70" t="n"/>
      <c r="H1745" s="62" t="str">
        <f>IF(COUNTA(A1745:G1745)=0,"",IF(C1745&lt;&gt;"",C1745,IF(B1745="","",IFERROR(INDEX(pr_des,MATCH(B1745,pr_code,0))&amp;"",""))))</f>
        <v/>
      </c>
      <c r="I1745" s="59" t="str">
        <f>IF(B1745="","",IFERROR(INDEX(pr_unit,MATCH(B1745,pr_code,0))&amp;"",""))</f>
        <v/>
      </c>
      <c r="J1745" s="65" t="str">
        <f>IF(COUNTA(A1745:G1745)=0,"",IF(E1745&lt;&gt;"",E1745,IF(B1745="","",IFERROR(IF(INDEX(pr_price,MATCH(B1745,pr_code,0))="","",INDEX(pr_price,MATCH(B1745,pr_code,0))),""))))</f>
        <v/>
      </c>
      <c r="K1745" s="71" t="str">
        <f>IF(COUNTA(A1745:G1745)=0,"",IF(G1745&lt;&gt;"",G1745,IF(B1745="","",IFERROR(IF(INDEX(pr_rate,MATCH(B1745,pr_code,0))="","",INDEX(pr_rate,MATCH(B1745,pr_code,0))),""))))</f>
        <v/>
      </c>
      <c r="L1745" s="65" t="str">
        <f>IF(COUNTA(A1745:G1745)=0,"",IF(AND(ISNUMBER(D1745),ISNUMBER(J1745)),ROUND(D1745*J1745*(1-N(F1745)),2),0))</f>
        <v/>
      </c>
      <c r="M1745" s="62" t="str">
        <f>IF(A1745="","",IFERROR(INDEX(dv_cname,MATCH(A1745,dv_num,0))&amp;"",""))</f>
        <v/>
      </c>
      <c r="N1745" s="59" t="str">
        <f>IF(COUNTA(A1745:G1745)=0,"",IF(A1745="","N° devis manquant",IF(ISNA(MATCH(A1745,dv_num,0)),"Devis inconnu",IF(AND(B1745&lt;&gt;"",ISNA(MATCH(B1745,pr_code,0))),"Article inconnu",IF(H1745="","Désignation manquante",IF(OR(NOT(ISNUMBER(D1745)),N(D1745)&lt;=0),"Quantité invalide",IF(J1745="","Prix manquant",IF(OR(NOT(ISNUMBER(J1745)),N(J1745)&lt;0),"Prix invalide",IF(OR(AND(F1745&lt;&gt;"",NOT(ISNUMBER(F1745))),N(F1745)&lt;0,N(F1745)&gt;1),"Remise invalide",IF(K1745="","Taux de TVA manquant",IF(NOT(ISNUMBER(K1745)),"Taux de TVA invalide",IF(COUNTIF(p_rates,K1745)=0,"Taux de TVA hors liste (Paramètres)",IF(N(O1745)&gt;25,"Au-delà de 25 lignes : non imprimée","OK")))))))))))))</f>
        <v/>
      </c>
      <c r="O1745" s="59" t="str">
        <f>IF(A1745="","",COUNTIF($A$6:A1745,A1745))</f>
        <v/>
      </c>
      <c r="P1745" s="62" t="str">
        <f>IF(A1745="","",A1745&amp;"|"&amp;O1745)</f>
        <v/>
      </c>
    </row>
    <row r="1746">
      <c r="A1746" s="60" t="n"/>
      <c r="B1746" s="63" t="n"/>
      <c r="C1746" s="63" t="n"/>
      <c r="D1746" s="67" t="n"/>
      <c r="E1746" s="68" t="n"/>
      <c r="F1746" s="69" t="n"/>
      <c r="G1746" s="70" t="n"/>
      <c r="H1746" s="62" t="str">
        <f>IF(COUNTA(A1746:G1746)=0,"",IF(C1746&lt;&gt;"",C1746,IF(B1746="","",IFERROR(INDEX(pr_des,MATCH(B1746,pr_code,0))&amp;"",""))))</f>
        <v/>
      </c>
      <c r="I1746" s="59" t="str">
        <f>IF(B1746="","",IFERROR(INDEX(pr_unit,MATCH(B1746,pr_code,0))&amp;"",""))</f>
        <v/>
      </c>
      <c r="J1746" s="65" t="str">
        <f>IF(COUNTA(A1746:G1746)=0,"",IF(E1746&lt;&gt;"",E1746,IF(B1746="","",IFERROR(IF(INDEX(pr_price,MATCH(B1746,pr_code,0))="","",INDEX(pr_price,MATCH(B1746,pr_code,0))),""))))</f>
        <v/>
      </c>
      <c r="K1746" s="71" t="str">
        <f>IF(COUNTA(A1746:G1746)=0,"",IF(G1746&lt;&gt;"",G1746,IF(B1746="","",IFERROR(IF(INDEX(pr_rate,MATCH(B1746,pr_code,0))="","",INDEX(pr_rate,MATCH(B1746,pr_code,0))),""))))</f>
        <v/>
      </c>
      <c r="L1746" s="65" t="str">
        <f>IF(COUNTA(A1746:G1746)=0,"",IF(AND(ISNUMBER(D1746),ISNUMBER(J1746)),ROUND(D1746*J1746*(1-N(F1746)),2),0))</f>
        <v/>
      </c>
      <c r="M1746" s="62" t="str">
        <f>IF(A1746="","",IFERROR(INDEX(dv_cname,MATCH(A1746,dv_num,0))&amp;"",""))</f>
        <v/>
      </c>
      <c r="N1746" s="59" t="str">
        <f>IF(COUNTA(A1746:G1746)=0,"",IF(A1746="","N° devis manquant",IF(ISNA(MATCH(A1746,dv_num,0)),"Devis inconnu",IF(AND(B1746&lt;&gt;"",ISNA(MATCH(B1746,pr_code,0))),"Article inconnu",IF(H1746="","Désignation manquante",IF(OR(NOT(ISNUMBER(D1746)),N(D1746)&lt;=0),"Quantité invalide",IF(J1746="","Prix manquant",IF(OR(NOT(ISNUMBER(J1746)),N(J1746)&lt;0),"Prix invalide",IF(OR(AND(F1746&lt;&gt;"",NOT(ISNUMBER(F1746))),N(F1746)&lt;0,N(F1746)&gt;1),"Remise invalide",IF(K1746="","Taux de TVA manquant",IF(NOT(ISNUMBER(K1746)),"Taux de TVA invalide",IF(COUNTIF(p_rates,K1746)=0,"Taux de TVA hors liste (Paramètres)",IF(N(O1746)&gt;25,"Au-delà de 25 lignes : non imprimée","OK")))))))))))))</f>
        <v/>
      </c>
      <c r="O1746" s="59" t="str">
        <f>IF(A1746="","",COUNTIF($A$6:A1746,A1746))</f>
        <v/>
      </c>
      <c r="P1746" s="62" t="str">
        <f>IF(A1746="","",A1746&amp;"|"&amp;O1746)</f>
        <v/>
      </c>
    </row>
    <row r="1747">
      <c r="A1747" s="60" t="n"/>
      <c r="B1747" s="63" t="n"/>
      <c r="C1747" s="63" t="n"/>
      <c r="D1747" s="67" t="n"/>
      <c r="E1747" s="68" t="n"/>
      <c r="F1747" s="69" t="n"/>
      <c r="G1747" s="70" t="n"/>
      <c r="H1747" s="62" t="str">
        <f>IF(COUNTA(A1747:G1747)=0,"",IF(C1747&lt;&gt;"",C1747,IF(B1747="","",IFERROR(INDEX(pr_des,MATCH(B1747,pr_code,0))&amp;"",""))))</f>
        <v/>
      </c>
      <c r="I1747" s="59" t="str">
        <f>IF(B1747="","",IFERROR(INDEX(pr_unit,MATCH(B1747,pr_code,0))&amp;"",""))</f>
        <v/>
      </c>
      <c r="J1747" s="65" t="str">
        <f>IF(COUNTA(A1747:G1747)=0,"",IF(E1747&lt;&gt;"",E1747,IF(B1747="","",IFERROR(IF(INDEX(pr_price,MATCH(B1747,pr_code,0))="","",INDEX(pr_price,MATCH(B1747,pr_code,0))),""))))</f>
        <v/>
      </c>
      <c r="K1747" s="71" t="str">
        <f>IF(COUNTA(A1747:G1747)=0,"",IF(G1747&lt;&gt;"",G1747,IF(B1747="","",IFERROR(IF(INDEX(pr_rate,MATCH(B1747,pr_code,0))="","",INDEX(pr_rate,MATCH(B1747,pr_code,0))),""))))</f>
        <v/>
      </c>
      <c r="L1747" s="65" t="str">
        <f>IF(COUNTA(A1747:G1747)=0,"",IF(AND(ISNUMBER(D1747),ISNUMBER(J1747)),ROUND(D1747*J1747*(1-N(F1747)),2),0))</f>
        <v/>
      </c>
      <c r="M1747" s="62" t="str">
        <f>IF(A1747="","",IFERROR(INDEX(dv_cname,MATCH(A1747,dv_num,0))&amp;"",""))</f>
        <v/>
      </c>
      <c r="N1747" s="59" t="str">
        <f>IF(COUNTA(A1747:G1747)=0,"",IF(A1747="","N° devis manquant",IF(ISNA(MATCH(A1747,dv_num,0)),"Devis inconnu",IF(AND(B1747&lt;&gt;"",ISNA(MATCH(B1747,pr_code,0))),"Article inconnu",IF(H1747="","Désignation manquante",IF(OR(NOT(ISNUMBER(D1747)),N(D1747)&lt;=0),"Quantité invalide",IF(J1747="","Prix manquant",IF(OR(NOT(ISNUMBER(J1747)),N(J1747)&lt;0),"Prix invalide",IF(OR(AND(F1747&lt;&gt;"",NOT(ISNUMBER(F1747))),N(F1747)&lt;0,N(F1747)&gt;1),"Remise invalide",IF(K1747="","Taux de TVA manquant",IF(NOT(ISNUMBER(K1747)),"Taux de TVA invalide",IF(COUNTIF(p_rates,K1747)=0,"Taux de TVA hors liste (Paramètres)",IF(N(O1747)&gt;25,"Au-delà de 25 lignes : non imprimée","OK")))))))))))))</f>
        <v/>
      </c>
      <c r="O1747" s="59" t="str">
        <f>IF(A1747="","",COUNTIF($A$6:A1747,A1747))</f>
        <v/>
      </c>
      <c r="P1747" s="62" t="str">
        <f>IF(A1747="","",A1747&amp;"|"&amp;O1747)</f>
        <v/>
      </c>
    </row>
    <row r="1748">
      <c r="A1748" s="60" t="n"/>
      <c r="B1748" s="63" t="n"/>
      <c r="C1748" s="63" t="n"/>
      <c r="D1748" s="67" t="n"/>
      <c r="E1748" s="68" t="n"/>
      <c r="F1748" s="69" t="n"/>
      <c r="G1748" s="70" t="n"/>
      <c r="H1748" s="62" t="str">
        <f>IF(COUNTA(A1748:G1748)=0,"",IF(C1748&lt;&gt;"",C1748,IF(B1748="","",IFERROR(INDEX(pr_des,MATCH(B1748,pr_code,0))&amp;"",""))))</f>
        <v/>
      </c>
      <c r="I1748" s="59" t="str">
        <f>IF(B1748="","",IFERROR(INDEX(pr_unit,MATCH(B1748,pr_code,0))&amp;"",""))</f>
        <v/>
      </c>
      <c r="J1748" s="65" t="str">
        <f>IF(COUNTA(A1748:G1748)=0,"",IF(E1748&lt;&gt;"",E1748,IF(B1748="","",IFERROR(IF(INDEX(pr_price,MATCH(B1748,pr_code,0))="","",INDEX(pr_price,MATCH(B1748,pr_code,0))),""))))</f>
        <v/>
      </c>
      <c r="K1748" s="71" t="str">
        <f>IF(COUNTA(A1748:G1748)=0,"",IF(G1748&lt;&gt;"",G1748,IF(B1748="","",IFERROR(IF(INDEX(pr_rate,MATCH(B1748,pr_code,0))="","",INDEX(pr_rate,MATCH(B1748,pr_code,0))),""))))</f>
        <v/>
      </c>
      <c r="L1748" s="65" t="str">
        <f>IF(COUNTA(A1748:G1748)=0,"",IF(AND(ISNUMBER(D1748),ISNUMBER(J1748)),ROUND(D1748*J1748*(1-N(F1748)),2),0))</f>
        <v/>
      </c>
      <c r="M1748" s="62" t="str">
        <f>IF(A1748="","",IFERROR(INDEX(dv_cname,MATCH(A1748,dv_num,0))&amp;"",""))</f>
        <v/>
      </c>
      <c r="N1748" s="59" t="str">
        <f>IF(COUNTA(A1748:G1748)=0,"",IF(A1748="","N° devis manquant",IF(ISNA(MATCH(A1748,dv_num,0)),"Devis inconnu",IF(AND(B1748&lt;&gt;"",ISNA(MATCH(B1748,pr_code,0))),"Article inconnu",IF(H1748="","Désignation manquante",IF(OR(NOT(ISNUMBER(D1748)),N(D1748)&lt;=0),"Quantité invalide",IF(J1748="","Prix manquant",IF(OR(NOT(ISNUMBER(J1748)),N(J1748)&lt;0),"Prix invalide",IF(OR(AND(F1748&lt;&gt;"",NOT(ISNUMBER(F1748))),N(F1748)&lt;0,N(F1748)&gt;1),"Remise invalide",IF(K1748="","Taux de TVA manquant",IF(NOT(ISNUMBER(K1748)),"Taux de TVA invalide",IF(COUNTIF(p_rates,K1748)=0,"Taux de TVA hors liste (Paramètres)",IF(N(O1748)&gt;25,"Au-delà de 25 lignes : non imprimée","OK")))))))))))))</f>
        <v/>
      </c>
      <c r="O1748" s="59" t="str">
        <f>IF(A1748="","",COUNTIF($A$6:A1748,A1748))</f>
        <v/>
      </c>
      <c r="P1748" s="62" t="str">
        <f>IF(A1748="","",A1748&amp;"|"&amp;O1748)</f>
        <v/>
      </c>
    </row>
    <row r="1749">
      <c r="A1749" s="60" t="n"/>
      <c r="B1749" s="63" t="n"/>
      <c r="C1749" s="63" t="n"/>
      <c r="D1749" s="67" t="n"/>
      <c r="E1749" s="68" t="n"/>
      <c r="F1749" s="69" t="n"/>
      <c r="G1749" s="70" t="n"/>
      <c r="H1749" s="62" t="str">
        <f>IF(COUNTA(A1749:G1749)=0,"",IF(C1749&lt;&gt;"",C1749,IF(B1749="","",IFERROR(INDEX(pr_des,MATCH(B1749,pr_code,0))&amp;"",""))))</f>
        <v/>
      </c>
      <c r="I1749" s="59" t="str">
        <f>IF(B1749="","",IFERROR(INDEX(pr_unit,MATCH(B1749,pr_code,0))&amp;"",""))</f>
        <v/>
      </c>
      <c r="J1749" s="65" t="str">
        <f>IF(COUNTA(A1749:G1749)=0,"",IF(E1749&lt;&gt;"",E1749,IF(B1749="","",IFERROR(IF(INDEX(pr_price,MATCH(B1749,pr_code,0))="","",INDEX(pr_price,MATCH(B1749,pr_code,0))),""))))</f>
        <v/>
      </c>
      <c r="K1749" s="71" t="str">
        <f>IF(COUNTA(A1749:G1749)=0,"",IF(G1749&lt;&gt;"",G1749,IF(B1749="","",IFERROR(IF(INDEX(pr_rate,MATCH(B1749,pr_code,0))="","",INDEX(pr_rate,MATCH(B1749,pr_code,0))),""))))</f>
        <v/>
      </c>
      <c r="L1749" s="65" t="str">
        <f>IF(COUNTA(A1749:G1749)=0,"",IF(AND(ISNUMBER(D1749),ISNUMBER(J1749)),ROUND(D1749*J1749*(1-N(F1749)),2),0))</f>
        <v/>
      </c>
      <c r="M1749" s="62" t="str">
        <f>IF(A1749="","",IFERROR(INDEX(dv_cname,MATCH(A1749,dv_num,0))&amp;"",""))</f>
        <v/>
      </c>
      <c r="N1749" s="59" t="str">
        <f>IF(COUNTA(A1749:G1749)=0,"",IF(A1749="","N° devis manquant",IF(ISNA(MATCH(A1749,dv_num,0)),"Devis inconnu",IF(AND(B1749&lt;&gt;"",ISNA(MATCH(B1749,pr_code,0))),"Article inconnu",IF(H1749="","Désignation manquante",IF(OR(NOT(ISNUMBER(D1749)),N(D1749)&lt;=0),"Quantité invalide",IF(J1749="","Prix manquant",IF(OR(NOT(ISNUMBER(J1749)),N(J1749)&lt;0),"Prix invalide",IF(OR(AND(F1749&lt;&gt;"",NOT(ISNUMBER(F1749))),N(F1749)&lt;0,N(F1749)&gt;1),"Remise invalide",IF(K1749="","Taux de TVA manquant",IF(NOT(ISNUMBER(K1749)),"Taux de TVA invalide",IF(COUNTIF(p_rates,K1749)=0,"Taux de TVA hors liste (Paramètres)",IF(N(O1749)&gt;25,"Au-delà de 25 lignes : non imprimée","OK")))))))))))))</f>
        <v/>
      </c>
      <c r="O1749" s="59" t="str">
        <f>IF(A1749="","",COUNTIF($A$6:A1749,A1749))</f>
        <v/>
      </c>
      <c r="P1749" s="62" t="str">
        <f>IF(A1749="","",A1749&amp;"|"&amp;O1749)</f>
        <v/>
      </c>
    </row>
    <row r="1750">
      <c r="A1750" s="60" t="n"/>
      <c r="B1750" s="63" t="n"/>
      <c r="C1750" s="63" t="n"/>
      <c r="D1750" s="67" t="n"/>
      <c r="E1750" s="68" t="n"/>
      <c r="F1750" s="69" t="n"/>
      <c r="G1750" s="70" t="n"/>
      <c r="H1750" s="62" t="str">
        <f>IF(COUNTA(A1750:G1750)=0,"",IF(C1750&lt;&gt;"",C1750,IF(B1750="","",IFERROR(INDEX(pr_des,MATCH(B1750,pr_code,0))&amp;"",""))))</f>
        <v/>
      </c>
      <c r="I1750" s="59" t="str">
        <f>IF(B1750="","",IFERROR(INDEX(pr_unit,MATCH(B1750,pr_code,0))&amp;"",""))</f>
        <v/>
      </c>
      <c r="J1750" s="65" t="str">
        <f>IF(COUNTA(A1750:G1750)=0,"",IF(E1750&lt;&gt;"",E1750,IF(B1750="","",IFERROR(IF(INDEX(pr_price,MATCH(B1750,pr_code,0))="","",INDEX(pr_price,MATCH(B1750,pr_code,0))),""))))</f>
        <v/>
      </c>
      <c r="K1750" s="71" t="str">
        <f>IF(COUNTA(A1750:G1750)=0,"",IF(G1750&lt;&gt;"",G1750,IF(B1750="","",IFERROR(IF(INDEX(pr_rate,MATCH(B1750,pr_code,0))="","",INDEX(pr_rate,MATCH(B1750,pr_code,0))),""))))</f>
        <v/>
      </c>
      <c r="L1750" s="65" t="str">
        <f>IF(COUNTA(A1750:G1750)=0,"",IF(AND(ISNUMBER(D1750),ISNUMBER(J1750)),ROUND(D1750*J1750*(1-N(F1750)),2),0))</f>
        <v/>
      </c>
      <c r="M1750" s="62" t="str">
        <f>IF(A1750="","",IFERROR(INDEX(dv_cname,MATCH(A1750,dv_num,0))&amp;"",""))</f>
        <v/>
      </c>
      <c r="N1750" s="59" t="str">
        <f>IF(COUNTA(A1750:G1750)=0,"",IF(A1750="","N° devis manquant",IF(ISNA(MATCH(A1750,dv_num,0)),"Devis inconnu",IF(AND(B1750&lt;&gt;"",ISNA(MATCH(B1750,pr_code,0))),"Article inconnu",IF(H1750="","Désignation manquante",IF(OR(NOT(ISNUMBER(D1750)),N(D1750)&lt;=0),"Quantité invalide",IF(J1750="","Prix manquant",IF(OR(NOT(ISNUMBER(J1750)),N(J1750)&lt;0),"Prix invalide",IF(OR(AND(F1750&lt;&gt;"",NOT(ISNUMBER(F1750))),N(F1750)&lt;0,N(F1750)&gt;1),"Remise invalide",IF(K1750="","Taux de TVA manquant",IF(NOT(ISNUMBER(K1750)),"Taux de TVA invalide",IF(COUNTIF(p_rates,K1750)=0,"Taux de TVA hors liste (Paramètres)",IF(N(O1750)&gt;25,"Au-delà de 25 lignes : non imprimée","OK")))))))))))))</f>
        <v/>
      </c>
      <c r="O1750" s="59" t="str">
        <f>IF(A1750="","",COUNTIF($A$6:A1750,A1750))</f>
        <v/>
      </c>
      <c r="P1750" s="62" t="str">
        <f>IF(A1750="","",A1750&amp;"|"&amp;O1750)</f>
        <v/>
      </c>
    </row>
    <row r="1751">
      <c r="A1751" s="60" t="n"/>
      <c r="B1751" s="63" t="n"/>
      <c r="C1751" s="63" t="n"/>
      <c r="D1751" s="67" t="n"/>
      <c r="E1751" s="68" t="n"/>
      <c r="F1751" s="69" t="n"/>
      <c r="G1751" s="70" t="n"/>
      <c r="H1751" s="62" t="str">
        <f>IF(COUNTA(A1751:G1751)=0,"",IF(C1751&lt;&gt;"",C1751,IF(B1751="","",IFERROR(INDEX(pr_des,MATCH(B1751,pr_code,0))&amp;"",""))))</f>
        <v/>
      </c>
      <c r="I1751" s="59" t="str">
        <f>IF(B1751="","",IFERROR(INDEX(pr_unit,MATCH(B1751,pr_code,0))&amp;"",""))</f>
        <v/>
      </c>
      <c r="J1751" s="65" t="str">
        <f>IF(COUNTA(A1751:G1751)=0,"",IF(E1751&lt;&gt;"",E1751,IF(B1751="","",IFERROR(IF(INDEX(pr_price,MATCH(B1751,pr_code,0))="","",INDEX(pr_price,MATCH(B1751,pr_code,0))),""))))</f>
        <v/>
      </c>
      <c r="K1751" s="71" t="str">
        <f>IF(COUNTA(A1751:G1751)=0,"",IF(G1751&lt;&gt;"",G1751,IF(B1751="","",IFERROR(IF(INDEX(pr_rate,MATCH(B1751,pr_code,0))="","",INDEX(pr_rate,MATCH(B1751,pr_code,0))),""))))</f>
        <v/>
      </c>
      <c r="L1751" s="65" t="str">
        <f>IF(COUNTA(A1751:G1751)=0,"",IF(AND(ISNUMBER(D1751),ISNUMBER(J1751)),ROUND(D1751*J1751*(1-N(F1751)),2),0))</f>
        <v/>
      </c>
      <c r="M1751" s="62" t="str">
        <f>IF(A1751="","",IFERROR(INDEX(dv_cname,MATCH(A1751,dv_num,0))&amp;"",""))</f>
        <v/>
      </c>
      <c r="N1751" s="59" t="str">
        <f>IF(COUNTA(A1751:G1751)=0,"",IF(A1751="","N° devis manquant",IF(ISNA(MATCH(A1751,dv_num,0)),"Devis inconnu",IF(AND(B1751&lt;&gt;"",ISNA(MATCH(B1751,pr_code,0))),"Article inconnu",IF(H1751="","Désignation manquante",IF(OR(NOT(ISNUMBER(D1751)),N(D1751)&lt;=0),"Quantité invalide",IF(J1751="","Prix manquant",IF(OR(NOT(ISNUMBER(J1751)),N(J1751)&lt;0),"Prix invalide",IF(OR(AND(F1751&lt;&gt;"",NOT(ISNUMBER(F1751))),N(F1751)&lt;0,N(F1751)&gt;1),"Remise invalide",IF(K1751="","Taux de TVA manquant",IF(NOT(ISNUMBER(K1751)),"Taux de TVA invalide",IF(COUNTIF(p_rates,K1751)=0,"Taux de TVA hors liste (Paramètres)",IF(N(O1751)&gt;25,"Au-delà de 25 lignes : non imprimée","OK")))))))))))))</f>
        <v/>
      </c>
      <c r="O1751" s="59" t="str">
        <f>IF(A1751="","",COUNTIF($A$6:A1751,A1751))</f>
        <v/>
      </c>
      <c r="P1751" s="62" t="str">
        <f>IF(A1751="","",A1751&amp;"|"&amp;O1751)</f>
        <v/>
      </c>
    </row>
    <row r="1752">
      <c r="A1752" s="60" t="n"/>
      <c r="B1752" s="63" t="n"/>
      <c r="C1752" s="63" t="n"/>
      <c r="D1752" s="67" t="n"/>
      <c r="E1752" s="68" t="n"/>
      <c r="F1752" s="69" t="n"/>
      <c r="G1752" s="70" t="n"/>
      <c r="H1752" s="62" t="str">
        <f>IF(COUNTA(A1752:G1752)=0,"",IF(C1752&lt;&gt;"",C1752,IF(B1752="","",IFERROR(INDEX(pr_des,MATCH(B1752,pr_code,0))&amp;"",""))))</f>
        <v/>
      </c>
      <c r="I1752" s="59" t="str">
        <f>IF(B1752="","",IFERROR(INDEX(pr_unit,MATCH(B1752,pr_code,0))&amp;"",""))</f>
        <v/>
      </c>
      <c r="J1752" s="65" t="str">
        <f>IF(COUNTA(A1752:G1752)=0,"",IF(E1752&lt;&gt;"",E1752,IF(B1752="","",IFERROR(IF(INDEX(pr_price,MATCH(B1752,pr_code,0))="","",INDEX(pr_price,MATCH(B1752,pr_code,0))),""))))</f>
        <v/>
      </c>
      <c r="K1752" s="71" t="str">
        <f>IF(COUNTA(A1752:G1752)=0,"",IF(G1752&lt;&gt;"",G1752,IF(B1752="","",IFERROR(IF(INDEX(pr_rate,MATCH(B1752,pr_code,0))="","",INDEX(pr_rate,MATCH(B1752,pr_code,0))),""))))</f>
        <v/>
      </c>
      <c r="L1752" s="65" t="str">
        <f>IF(COUNTA(A1752:G1752)=0,"",IF(AND(ISNUMBER(D1752),ISNUMBER(J1752)),ROUND(D1752*J1752*(1-N(F1752)),2),0))</f>
        <v/>
      </c>
      <c r="M1752" s="62" t="str">
        <f>IF(A1752="","",IFERROR(INDEX(dv_cname,MATCH(A1752,dv_num,0))&amp;"",""))</f>
        <v/>
      </c>
      <c r="N1752" s="59" t="str">
        <f>IF(COUNTA(A1752:G1752)=0,"",IF(A1752="","N° devis manquant",IF(ISNA(MATCH(A1752,dv_num,0)),"Devis inconnu",IF(AND(B1752&lt;&gt;"",ISNA(MATCH(B1752,pr_code,0))),"Article inconnu",IF(H1752="","Désignation manquante",IF(OR(NOT(ISNUMBER(D1752)),N(D1752)&lt;=0),"Quantité invalide",IF(J1752="","Prix manquant",IF(OR(NOT(ISNUMBER(J1752)),N(J1752)&lt;0),"Prix invalide",IF(OR(AND(F1752&lt;&gt;"",NOT(ISNUMBER(F1752))),N(F1752)&lt;0,N(F1752)&gt;1),"Remise invalide",IF(K1752="","Taux de TVA manquant",IF(NOT(ISNUMBER(K1752)),"Taux de TVA invalide",IF(COUNTIF(p_rates,K1752)=0,"Taux de TVA hors liste (Paramètres)",IF(N(O1752)&gt;25,"Au-delà de 25 lignes : non imprimée","OK")))))))))))))</f>
        <v/>
      </c>
      <c r="O1752" s="59" t="str">
        <f>IF(A1752="","",COUNTIF($A$6:A1752,A1752))</f>
        <v/>
      </c>
      <c r="P1752" s="62" t="str">
        <f>IF(A1752="","",A1752&amp;"|"&amp;O1752)</f>
        <v/>
      </c>
    </row>
    <row r="1753">
      <c r="A1753" s="60" t="n"/>
      <c r="B1753" s="63" t="n"/>
      <c r="C1753" s="63" t="n"/>
      <c r="D1753" s="67" t="n"/>
      <c r="E1753" s="68" t="n"/>
      <c r="F1753" s="69" t="n"/>
      <c r="G1753" s="70" t="n"/>
      <c r="H1753" s="62" t="str">
        <f>IF(COUNTA(A1753:G1753)=0,"",IF(C1753&lt;&gt;"",C1753,IF(B1753="","",IFERROR(INDEX(pr_des,MATCH(B1753,pr_code,0))&amp;"",""))))</f>
        <v/>
      </c>
      <c r="I1753" s="59" t="str">
        <f>IF(B1753="","",IFERROR(INDEX(pr_unit,MATCH(B1753,pr_code,0))&amp;"",""))</f>
        <v/>
      </c>
      <c r="J1753" s="65" t="str">
        <f>IF(COUNTA(A1753:G1753)=0,"",IF(E1753&lt;&gt;"",E1753,IF(B1753="","",IFERROR(IF(INDEX(pr_price,MATCH(B1753,pr_code,0))="","",INDEX(pr_price,MATCH(B1753,pr_code,0))),""))))</f>
        <v/>
      </c>
      <c r="K1753" s="71" t="str">
        <f>IF(COUNTA(A1753:G1753)=0,"",IF(G1753&lt;&gt;"",G1753,IF(B1753="","",IFERROR(IF(INDEX(pr_rate,MATCH(B1753,pr_code,0))="","",INDEX(pr_rate,MATCH(B1753,pr_code,0))),""))))</f>
        <v/>
      </c>
      <c r="L1753" s="65" t="str">
        <f>IF(COUNTA(A1753:G1753)=0,"",IF(AND(ISNUMBER(D1753),ISNUMBER(J1753)),ROUND(D1753*J1753*(1-N(F1753)),2),0))</f>
        <v/>
      </c>
      <c r="M1753" s="62" t="str">
        <f>IF(A1753="","",IFERROR(INDEX(dv_cname,MATCH(A1753,dv_num,0))&amp;"",""))</f>
        <v/>
      </c>
      <c r="N1753" s="59" t="str">
        <f>IF(COUNTA(A1753:G1753)=0,"",IF(A1753="","N° devis manquant",IF(ISNA(MATCH(A1753,dv_num,0)),"Devis inconnu",IF(AND(B1753&lt;&gt;"",ISNA(MATCH(B1753,pr_code,0))),"Article inconnu",IF(H1753="","Désignation manquante",IF(OR(NOT(ISNUMBER(D1753)),N(D1753)&lt;=0),"Quantité invalide",IF(J1753="","Prix manquant",IF(OR(NOT(ISNUMBER(J1753)),N(J1753)&lt;0),"Prix invalide",IF(OR(AND(F1753&lt;&gt;"",NOT(ISNUMBER(F1753))),N(F1753)&lt;0,N(F1753)&gt;1),"Remise invalide",IF(K1753="","Taux de TVA manquant",IF(NOT(ISNUMBER(K1753)),"Taux de TVA invalide",IF(COUNTIF(p_rates,K1753)=0,"Taux de TVA hors liste (Paramètres)",IF(N(O1753)&gt;25,"Au-delà de 25 lignes : non imprimée","OK")))))))))))))</f>
        <v/>
      </c>
      <c r="O1753" s="59" t="str">
        <f>IF(A1753="","",COUNTIF($A$6:A1753,A1753))</f>
        <v/>
      </c>
      <c r="P1753" s="62" t="str">
        <f>IF(A1753="","",A1753&amp;"|"&amp;O1753)</f>
        <v/>
      </c>
    </row>
    <row r="1754">
      <c r="A1754" s="60" t="n"/>
      <c r="B1754" s="63" t="n"/>
      <c r="C1754" s="63" t="n"/>
      <c r="D1754" s="67" t="n"/>
      <c r="E1754" s="68" t="n"/>
      <c r="F1754" s="69" t="n"/>
      <c r="G1754" s="70" t="n"/>
      <c r="H1754" s="62" t="str">
        <f>IF(COUNTA(A1754:G1754)=0,"",IF(C1754&lt;&gt;"",C1754,IF(B1754="","",IFERROR(INDEX(pr_des,MATCH(B1754,pr_code,0))&amp;"",""))))</f>
        <v/>
      </c>
      <c r="I1754" s="59" t="str">
        <f>IF(B1754="","",IFERROR(INDEX(pr_unit,MATCH(B1754,pr_code,0))&amp;"",""))</f>
        <v/>
      </c>
      <c r="J1754" s="65" t="str">
        <f>IF(COUNTA(A1754:G1754)=0,"",IF(E1754&lt;&gt;"",E1754,IF(B1754="","",IFERROR(IF(INDEX(pr_price,MATCH(B1754,pr_code,0))="","",INDEX(pr_price,MATCH(B1754,pr_code,0))),""))))</f>
        <v/>
      </c>
      <c r="K1754" s="71" t="str">
        <f>IF(COUNTA(A1754:G1754)=0,"",IF(G1754&lt;&gt;"",G1754,IF(B1754="","",IFERROR(IF(INDEX(pr_rate,MATCH(B1754,pr_code,0))="","",INDEX(pr_rate,MATCH(B1754,pr_code,0))),""))))</f>
        <v/>
      </c>
      <c r="L1754" s="65" t="str">
        <f>IF(COUNTA(A1754:G1754)=0,"",IF(AND(ISNUMBER(D1754),ISNUMBER(J1754)),ROUND(D1754*J1754*(1-N(F1754)),2),0))</f>
        <v/>
      </c>
      <c r="M1754" s="62" t="str">
        <f>IF(A1754="","",IFERROR(INDEX(dv_cname,MATCH(A1754,dv_num,0))&amp;"",""))</f>
        <v/>
      </c>
      <c r="N1754" s="59" t="str">
        <f>IF(COUNTA(A1754:G1754)=0,"",IF(A1754="","N° devis manquant",IF(ISNA(MATCH(A1754,dv_num,0)),"Devis inconnu",IF(AND(B1754&lt;&gt;"",ISNA(MATCH(B1754,pr_code,0))),"Article inconnu",IF(H1754="","Désignation manquante",IF(OR(NOT(ISNUMBER(D1754)),N(D1754)&lt;=0),"Quantité invalide",IF(J1754="","Prix manquant",IF(OR(NOT(ISNUMBER(J1754)),N(J1754)&lt;0),"Prix invalide",IF(OR(AND(F1754&lt;&gt;"",NOT(ISNUMBER(F1754))),N(F1754)&lt;0,N(F1754)&gt;1),"Remise invalide",IF(K1754="","Taux de TVA manquant",IF(NOT(ISNUMBER(K1754)),"Taux de TVA invalide",IF(COUNTIF(p_rates,K1754)=0,"Taux de TVA hors liste (Paramètres)",IF(N(O1754)&gt;25,"Au-delà de 25 lignes : non imprimée","OK")))))))))))))</f>
        <v/>
      </c>
      <c r="O1754" s="59" t="str">
        <f>IF(A1754="","",COUNTIF($A$6:A1754,A1754))</f>
        <v/>
      </c>
      <c r="P1754" s="62" t="str">
        <f>IF(A1754="","",A1754&amp;"|"&amp;O1754)</f>
        <v/>
      </c>
    </row>
    <row r="1755">
      <c r="A1755" s="60" t="n"/>
      <c r="B1755" s="63" t="n"/>
      <c r="C1755" s="63" t="n"/>
      <c r="D1755" s="67" t="n"/>
      <c r="E1755" s="68" t="n"/>
      <c r="F1755" s="69" t="n"/>
      <c r="G1755" s="70" t="n"/>
      <c r="H1755" s="62" t="str">
        <f>IF(COUNTA(A1755:G1755)=0,"",IF(C1755&lt;&gt;"",C1755,IF(B1755="","",IFERROR(INDEX(pr_des,MATCH(B1755,pr_code,0))&amp;"",""))))</f>
        <v/>
      </c>
      <c r="I1755" s="59" t="str">
        <f>IF(B1755="","",IFERROR(INDEX(pr_unit,MATCH(B1755,pr_code,0))&amp;"",""))</f>
        <v/>
      </c>
      <c r="J1755" s="65" t="str">
        <f>IF(COUNTA(A1755:G1755)=0,"",IF(E1755&lt;&gt;"",E1755,IF(B1755="","",IFERROR(IF(INDEX(pr_price,MATCH(B1755,pr_code,0))="","",INDEX(pr_price,MATCH(B1755,pr_code,0))),""))))</f>
        <v/>
      </c>
      <c r="K1755" s="71" t="str">
        <f>IF(COUNTA(A1755:G1755)=0,"",IF(G1755&lt;&gt;"",G1755,IF(B1755="","",IFERROR(IF(INDEX(pr_rate,MATCH(B1755,pr_code,0))="","",INDEX(pr_rate,MATCH(B1755,pr_code,0))),""))))</f>
        <v/>
      </c>
      <c r="L1755" s="65" t="str">
        <f>IF(COUNTA(A1755:G1755)=0,"",IF(AND(ISNUMBER(D1755),ISNUMBER(J1755)),ROUND(D1755*J1755*(1-N(F1755)),2),0))</f>
        <v/>
      </c>
      <c r="M1755" s="62" t="str">
        <f>IF(A1755="","",IFERROR(INDEX(dv_cname,MATCH(A1755,dv_num,0))&amp;"",""))</f>
        <v/>
      </c>
      <c r="N1755" s="59" t="str">
        <f>IF(COUNTA(A1755:G1755)=0,"",IF(A1755="","N° devis manquant",IF(ISNA(MATCH(A1755,dv_num,0)),"Devis inconnu",IF(AND(B1755&lt;&gt;"",ISNA(MATCH(B1755,pr_code,0))),"Article inconnu",IF(H1755="","Désignation manquante",IF(OR(NOT(ISNUMBER(D1755)),N(D1755)&lt;=0),"Quantité invalide",IF(J1755="","Prix manquant",IF(OR(NOT(ISNUMBER(J1755)),N(J1755)&lt;0),"Prix invalide",IF(OR(AND(F1755&lt;&gt;"",NOT(ISNUMBER(F1755))),N(F1755)&lt;0,N(F1755)&gt;1),"Remise invalide",IF(K1755="","Taux de TVA manquant",IF(NOT(ISNUMBER(K1755)),"Taux de TVA invalide",IF(COUNTIF(p_rates,K1755)=0,"Taux de TVA hors liste (Paramètres)",IF(N(O1755)&gt;25,"Au-delà de 25 lignes : non imprimée","OK")))))))))))))</f>
        <v/>
      </c>
      <c r="O1755" s="59" t="str">
        <f>IF(A1755="","",COUNTIF($A$6:A1755,A1755))</f>
        <v/>
      </c>
      <c r="P1755" s="62" t="str">
        <f>IF(A1755="","",A1755&amp;"|"&amp;O1755)</f>
        <v/>
      </c>
    </row>
    <row r="1756">
      <c r="A1756" s="60" t="n"/>
      <c r="B1756" s="63" t="n"/>
      <c r="C1756" s="63" t="n"/>
      <c r="D1756" s="67" t="n"/>
      <c r="E1756" s="68" t="n"/>
      <c r="F1756" s="69" t="n"/>
      <c r="G1756" s="70" t="n"/>
      <c r="H1756" s="62" t="str">
        <f>IF(COUNTA(A1756:G1756)=0,"",IF(C1756&lt;&gt;"",C1756,IF(B1756="","",IFERROR(INDEX(pr_des,MATCH(B1756,pr_code,0))&amp;"",""))))</f>
        <v/>
      </c>
      <c r="I1756" s="59" t="str">
        <f>IF(B1756="","",IFERROR(INDEX(pr_unit,MATCH(B1756,pr_code,0))&amp;"",""))</f>
        <v/>
      </c>
      <c r="J1756" s="65" t="str">
        <f>IF(COUNTA(A1756:G1756)=0,"",IF(E1756&lt;&gt;"",E1756,IF(B1756="","",IFERROR(IF(INDEX(pr_price,MATCH(B1756,pr_code,0))="","",INDEX(pr_price,MATCH(B1756,pr_code,0))),""))))</f>
        <v/>
      </c>
      <c r="K1756" s="71" t="str">
        <f>IF(COUNTA(A1756:G1756)=0,"",IF(G1756&lt;&gt;"",G1756,IF(B1756="","",IFERROR(IF(INDEX(pr_rate,MATCH(B1756,pr_code,0))="","",INDEX(pr_rate,MATCH(B1756,pr_code,0))),""))))</f>
        <v/>
      </c>
      <c r="L1756" s="65" t="str">
        <f>IF(COUNTA(A1756:G1756)=0,"",IF(AND(ISNUMBER(D1756),ISNUMBER(J1756)),ROUND(D1756*J1756*(1-N(F1756)),2),0))</f>
        <v/>
      </c>
      <c r="M1756" s="62" t="str">
        <f>IF(A1756="","",IFERROR(INDEX(dv_cname,MATCH(A1756,dv_num,0))&amp;"",""))</f>
        <v/>
      </c>
      <c r="N1756" s="59" t="str">
        <f>IF(COUNTA(A1756:G1756)=0,"",IF(A1756="","N° devis manquant",IF(ISNA(MATCH(A1756,dv_num,0)),"Devis inconnu",IF(AND(B1756&lt;&gt;"",ISNA(MATCH(B1756,pr_code,0))),"Article inconnu",IF(H1756="","Désignation manquante",IF(OR(NOT(ISNUMBER(D1756)),N(D1756)&lt;=0),"Quantité invalide",IF(J1756="","Prix manquant",IF(OR(NOT(ISNUMBER(J1756)),N(J1756)&lt;0),"Prix invalide",IF(OR(AND(F1756&lt;&gt;"",NOT(ISNUMBER(F1756))),N(F1756)&lt;0,N(F1756)&gt;1),"Remise invalide",IF(K1756="","Taux de TVA manquant",IF(NOT(ISNUMBER(K1756)),"Taux de TVA invalide",IF(COUNTIF(p_rates,K1756)=0,"Taux de TVA hors liste (Paramètres)",IF(N(O1756)&gt;25,"Au-delà de 25 lignes : non imprimée","OK")))))))))))))</f>
        <v/>
      </c>
      <c r="O1756" s="59" t="str">
        <f>IF(A1756="","",COUNTIF($A$6:A1756,A1756))</f>
        <v/>
      </c>
      <c r="P1756" s="62" t="str">
        <f>IF(A1756="","",A1756&amp;"|"&amp;O1756)</f>
        <v/>
      </c>
    </row>
    <row r="1757">
      <c r="A1757" s="60" t="n"/>
      <c r="B1757" s="63" t="n"/>
      <c r="C1757" s="63" t="n"/>
      <c r="D1757" s="67" t="n"/>
      <c r="E1757" s="68" t="n"/>
      <c r="F1757" s="69" t="n"/>
      <c r="G1757" s="70" t="n"/>
      <c r="H1757" s="62" t="str">
        <f>IF(COUNTA(A1757:G1757)=0,"",IF(C1757&lt;&gt;"",C1757,IF(B1757="","",IFERROR(INDEX(pr_des,MATCH(B1757,pr_code,0))&amp;"",""))))</f>
        <v/>
      </c>
      <c r="I1757" s="59" t="str">
        <f>IF(B1757="","",IFERROR(INDEX(pr_unit,MATCH(B1757,pr_code,0))&amp;"",""))</f>
        <v/>
      </c>
      <c r="J1757" s="65" t="str">
        <f>IF(COUNTA(A1757:G1757)=0,"",IF(E1757&lt;&gt;"",E1757,IF(B1757="","",IFERROR(IF(INDEX(pr_price,MATCH(B1757,pr_code,0))="","",INDEX(pr_price,MATCH(B1757,pr_code,0))),""))))</f>
        <v/>
      </c>
      <c r="K1757" s="71" t="str">
        <f>IF(COUNTA(A1757:G1757)=0,"",IF(G1757&lt;&gt;"",G1757,IF(B1757="","",IFERROR(IF(INDEX(pr_rate,MATCH(B1757,pr_code,0))="","",INDEX(pr_rate,MATCH(B1757,pr_code,0))),""))))</f>
        <v/>
      </c>
      <c r="L1757" s="65" t="str">
        <f>IF(COUNTA(A1757:G1757)=0,"",IF(AND(ISNUMBER(D1757),ISNUMBER(J1757)),ROUND(D1757*J1757*(1-N(F1757)),2),0))</f>
        <v/>
      </c>
      <c r="M1757" s="62" t="str">
        <f>IF(A1757="","",IFERROR(INDEX(dv_cname,MATCH(A1757,dv_num,0))&amp;"",""))</f>
        <v/>
      </c>
      <c r="N1757" s="59" t="str">
        <f>IF(COUNTA(A1757:G1757)=0,"",IF(A1757="","N° devis manquant",IF(ISNA(MATCH(A1757,dv_num,0)),"Devis inconnu",IF(AND(B1757&lt;&gt;"",ISNA(MATCH(B1757,pr_code,0))),"Article inconnu",IF(H1757="","Désignation manquante",IF(OR(NOT(ISNUMBER(D1757)),N(D1757)&lt;=0),"Quantité invalide",IF(J1757="","Prix manquant",IF(OR(NOT(ISNUMBER(J1757)),N(J1757)&lt;0),"Prix invalide",IF(OR(AND(F1757&lt;&gt;"",NOT(ISNUMBER(F1757))),N(F1757)&lt;0,N(F1757)&gt;1),"Remise invalide",IF(K1757="","Taux de TVA manquant",IF(NOT(ISNUMBER(K1757)),"Taux de TVA invalide",IF(COUNTIF(p_rates,K1757)=0,"Taux de TVA hors liste (Paramètres)",IF(N(O1757)&gt;25,"Au-delà de 25 lignes : non imprimée","OK")))))))))))))</f>
        <v/>
      </c>
      <c r="O1757" s="59" t="str">
        <f>IF(A1757="","",COUNTIF($A$6:A1757,A1757))</f>
        <v/>
      </c>
      <c r="P1757" s="62" t="str">
        <f>IF(A1757="","",A1757&amp;"|"&amp;O1757)</f>
        <v/>
      </c>
    </row>
    <row r="1758">
      <c r="A1758" s="60" t="n"/>
      <c r="B1758" s="63" t="n"/>
      <c r="C1758" s="63" t="n"/>
      <c r="D1758" s="67" t="n"/>
      <c r="E1758" s="68" t="n"/>
      <c r="F1758" s="69" t="n"/>
      <c r="G1758" s="70" t="n"/>
      <c r="H1758" s="62" t="str">
        <f>IF(COUNTA(A1758:G1758)=0,"",IF(C1758&lt;&gt;"",C1758,IF(B1758="","",IFERROR(INDEX(pr_des,MATCH(B1758,pr_code,0))&amp;"",""))))</f>
        <v/>
      </c>
      <c r="I1758" s="59" t="str">
        <f>IF(B1758="","",IFERROR(INDEX(pr_unit,MATCH(B1758,pr_code,0))&amp;"",""))</f>
        <v/>
      </c>
      <c r="J1758" s="65" t="str">
        <f>IF(COUNTA(A1758:G1758)=0,"",IF(E1758&lt;&gt;"",E1758,IF(B1758="","",IFERROR(IF(INDEX(pr_price,MATCH(B1758,pr_code,0))="","",INDEX(pr_price,MATCH(B1758,pr_code,0))),""))))</f>
        <v/>
      </c>
      <c r="K1758" s="71" t="str">
        <f>IF(COUNTA(A1758:G1758)=0,"",IF(G1758&lt;&gt;"",G1758,IF(B1758="","",IFERROR(IF(INDEX(pr_rate,MATCH(B1758,pr_code,0))="","",INDEX(pr_rate,MATCH(B1758,pr_code,0))),""))))</f>
        <v/>
      </c>
      <c r="L1758" s="65" t="str">
        <f>IF(COUNTA(A1758:G1758)=0,"",IF(AND(ISNUMBER(D1758),ISNUMBER(J1758)),ROUND(D1758*J1758*(1-N(F1758)),2),0))</f>
        <v/>
      </c>
      <c r="M1758" s="62" t="str">
        <f>IF(A1758="","",IFERROR(INDEX(dv_cname,MATCH(A1758,dv_num,0))&amp;"",""))</f>
        <v/>
      </c>
      <c r="N1758" s="59" t="str">
        <f>IF(COUNTA(A1758:G1758)=0,"",IF(A1758="","N° devis manquant",IF(ISNA(MATCH(A1758,dv_num,0)),"Devis inconnu",IF(AND(B1758&lt;&gt;"",ISNA(MATCH(B1758,pr_code,0))),"Article inconnu",IF(H1758="","Désignation manquante",IF(OR(NOT(ISNUMBER(D1758)),N(D1758)&lt;=0),"Quantité invalide",IF(J1758="","Prix manquant",IF(OR(NOT(ISNUMBER(J1758)),N(J1758)&lt;0),"Prix invalide",IF(OR(AND(F1758&lt;&gt;"",NOT(ISNUMBER(F1758))),N(F1758)&lt;0,N(F1758)&gt;1),"Remise invalide",IF(K1758="","Taux de TVA manquant",IF(NOT(ISNUMBER(K1758)),"Taux de TVA invalide",IF(COUNTIF(p_rates,K1758)=0,"Taux de TVA hors liste (Paramètres)",IF(N(O1758)&gt;25,"Au-delà de 25 lignes : non imprimée","OK")))))))))))))</f>
        <v/>
      </c>
      <c r="O1758" s="59" t="str">
        <f>IF(A1758="","",COUNTIF($A$6:A1758,A1758))</f>
        <v/>
      </c>
      <c r="P1758" s="62" t="str">
        <f>IF(A1758="","",A1758&amp;"|"&amp;O1758)</f>
        <v/>
      </c>
    </row>
    <row r="1759">
      <c r="A1759" s="60" t="n"/>
      <c r="B1759" s="63" t="n"/>
      <c r="C1759" s="63" t="n"/>
      <c r="D1759" s="67" t="n"/>
      <c r="E1759" s="68" t="n"/>
      <c r="F1759" s="69" t="n"/>
      <c r="G1759" s="70" t="n"/>
      <c r="H1759" s="62" t="str">
        <f>IF(COUNTA(A1759:G1759)=0,"",IF(C1759&lt;&gt;"",C1759,IF(B1759="","",IFERROR(INDEX(pr_des,MATCH(B1759,pr_code,0))&amp;"",""))))</f>
        <v/>
      </c>
      <c r="I1759" s="59" t="str">
        <f>IF(B1759="","",IFERROR(INDEX(pr_unit,MATCH(B1759,pr_code,0))&amp;"",""))</f>
        <v/>
      </c>
      <c r="J1759" s="65" t="str">
        <f>IF(COUNTA(A1759:G1759)=0,"",IF(E1759&lt;&gt;"",E1759,IF(B1759="","",IFERROR(IF(INDEX(pr_price,MATCH(B1759,pr_code,0))="","",INDEX(pr_price,MATCH(B1759,pr_code,0))),""))))</f>
        <v/>
      </c>
      <c r="K1759" s="71" t="str">
        <f>IF(COUNTA(A1759:G1759)=0,"",IF(G1759&lt;&gt;"",G1759,IF(B1759="","",IFERROR(IF(INDEX(pr_rate,MATCH(B1759,pr_code,0))="","",INDEX(pr_rate,MATCH(B1759,pr_code,0))),""))))</f>
        <v/>
      </c>
      <c r="L1759" s="65" t="str">
        <f>IF(COUNTA(A1759:G1759)=0,"",IF(AND(ISNUMBER(D1759),ISNUMBER(J1759)),ROUND(D1759*J1759*(1-N(F1759)),2),0))</f>
        <v/>
      </c>
      <c r="M1759" s="62" t="str">
        <f>IF(A1759="","",IFERROR(INDEX(dv_cname,MATCH(A1759,dv_num,0))&amp;"",""))</f>
        <v/>
      </c>
      <c r="N1759" s="59" t="str">
        <f>IF(COUNTA(A1759:G1759)=0,"",IF(A1759="","N° devis manquant",IF(ISNA(MATCH(A1759,dv_num,0)),"Devis inconnu",IF(AND(B1759&lt;&gt;"",ISNA(MATCH(B1759,pr_code,0))),"Article inconnu",IF(H1759="","Désignation manquante",IF(OR(NOT(ISNUMBER(D1759)),N(D1759)&lt;=0),"Quantité invalide",IF(J1759="","Prix manquant",IF(OR(NOT(ISNUMBER(J1759)),N(J1759)&lt;0),"Prix invalide",IF(OR(AND(F1759&lt;&gt;"",NOT(ISNUMBER(F1759))),N(F1759)&lt;0,N(F1759)&gt;1),"Remise invalide",IF(K1759="","Taux de TVA manquant",IF(NOT(ISNUMBER(K1759)),"Taux de TVA invalide",IF(COUNTIF(p_rates,K1759)=0,"Taux de TVA hors liste (Paramètres)",IF(N(O1759)&gt;25,"Au-delà de 25 lignes : non imprimée","OK")))))))))))))</f>
        <v/>
      </c>
      <c r="O1759" s="59" t="str">
        <f>IF(A1759="","",COUNTIF($A$6:A1759,A1759))</f>
        <v/>
      </c>
      <c r="P1759" s="62" t="str">
        <f>IF(A1759="","",A1759&amp;"|"&amp;O1759)</f>
        <v/>
      </c>
    </row>
    <row r="1760">
      <c r="A1760" s="60" t="n"/>
      <c r="B1760" s="63" t="n"/>
      <c r="C1760" s="63" t="n"/>
      <c r="D1760" s="67" t="n"/>
      <c r="E1760" s="68" t="n"/>
      <c r="F1760" s="69" t="n"/>
      <c r="G1760" s="70" t="n"/>
      <c r="H1760" s="62" t="str">
        <f>IF(COUNTA(A1760:G1760)=0,"",IF(C1760&lt;&gt;"",C1760,IF(B1760="","",IFERROR(INDEX(pr_des,MATCH(B1760,pr_code,0))&amp;"",""))))</f>
        <v/>
      </c>
      <c r="I1760" s="59" t="str">
        <f>IF(B1760="","",IFERROR(INDEX(pr_unit,MATCH(B1760,pr_code,0))&amp;"",""))</f>
        <v/>
      </c>
      <c r="J1760" s="65" t="str">
        <f>IF(COUNTA(A1760:G1760)=0,"",IF(E1760&lt;&gt;"",E1760,IF(B1760="","",IFERROR(IF(INDEX(pr_price,MATCH(B1760,pr_code,0))="","",INDEX(pr_price,MATCH(B1760,pr_code,0))),""))))</f>
        <v/>
      </c>
      <c r="K1760" s="71" t="str">
        <f>IF(COUNTA(A1760:G1760)=0,"",IF(G1760&lt;&gt;"",G1760,IF(B1760="","",IFERROR(IF(INDEX(pr_rate,MATCH(B1760,pr_code,0))="","",INDEX(pr_rate,MATCH(B1760,pr_code,0))),""))))</f>
        <v/>
      </c>
      <c r="L1760" s="65" t="str">
        <f>IF(COUNTA(A1760:G1760)=0,"",IF(AND(ISNUMBER(D1760),ISNUMBER(J1760)),ROUND(D1760*J1760*(1-N(F1760)),2),0))</f>
        <v/>
      </c>
      <c r="M1760" s="62" t="str">
        <f>IF(A1760="","",IFERROR(INDEX(dv_cname,MATCH(A1760,dv_num,0))&amp;"",""))</f>
        <v/>
      </c>
      <c r="N1760" s="59" t="str">
        <f>IF(COUNTA(A1760:G1760)=0,"",IF(A1760="","N° devis manquant",IF(ISNA(MATCH(A1760,dv_num,0)),"Devis inconnu",IF(AND(B1760&lt;&gt;"",ISNA(MATCH(B1760,pr_code,0))),"Article inconnu",IF(H1760="","Désignation manquante",IF(OR(NOT(ISNUMBER(D1760)),N(D1760)&lt;=0),"Quantité invalide",IF(J1760="","Prix manquant",IF(OR(NOT(ISNUMBER(J1760)),N(J1760)&lt;0),"Prix invalide",IF(OR(AND(F1760&lt;&gt;"",NOT(ISNUMBER(F1760))),N(F1760)&lt;0,N(F1760)&gt;1),"Remise invalide",IF(K1760="","Taux de TVA manquant",IF(NOT(ISNUMBER(K1760)),"Taux de TVA invalide",IF(COUNTIF(p_rates,K1760)=0,"Taux de TVA hors liste (Paramètres)",IF(N(O1760)&gt;25,"Au-delà de 25 lignes : non imprimée","OK")))))))))))))</f>
        <v/>
      </c>
      <c r="O1760" s="59" t="str">
        <f>IF(A1760="","",COUNTIF($A$6:A1760,A1760))</f>
        <v/>
      </c>
      <c r="P1760" s="62" t="str">
        <f>IF(A1760="","",A1760&amp;"|"&amp;O1760)</f>
        <v/>
      </c>
    </row>
    <row r="1761">
      <c r="A1761" s="60" t="n"/>
      <c r="B1761" s="63" t="n"/>
      <c r="C1761" s="63" t="n"/>
      <c r="D1761" s="67" t="n"/>
      <c r="E1761" s="68" t="n"/>
      <c r="F1761" s="69" t="n"/>
      <c r="G1761" s="70" t="n"/>
      <c r="H1761" s="62" t="str">
        <f>IF(COUNTA(A1761:G1761)=0,"",IF(C1761&lt;&gt;"",C1761,IF(B1761="","",IFERROR(INDEX(pr_des,MATCH(B1761,pr_code,0))&amp;"",""))))</f>
        <v/>
      </c>
      <c r="I1761" s="59" t="str">
        <f>IF(B1761="","",IFERROR(INDEX(pr_unit,MATCH(B1761,pr_code,0))&amp;"",""))</f>
        <v/>
      </c>
      <c r="J1761" s="65" t="str">
        <f>IF(COUNTA(A1761:G1761)=0,"",IF(E1761&lt;&gt;"",E1761,IF(B1761="","",IFERROR(IF(INDEX(pr_price,MATCH(B1761,pr_code,0))="","",INDEX(pr_price,MATCH(B1761,pr_code,0))),""))))</f>
        <v/>
      </c>
      <c r="K1761" s="71" t="str">
        <f>IF(COUNTA(A1761:G1761)=0,"",IF(G1761&lt;&gt;"",G1761,IF(B1761="","",IFERROR(IF(INDEX(pr_rate,MATCH(B1761,pr_code,0))="","",INDEX(pr_rate,MATCH(B1761,pr_code,0))),""))))</f>
        <v/>
      </c>
      <c r="L1761" s="65" t="str">
        <f>IF(COUNTA(A1761:G1761)=0,"",IF(AND(ISNUMBER(D1761),ISNUMBER(J1761)),ROUND(D1761*J1761*(1-N(F1761)),2),0))</f>
        <v/>
      </c>
      <c r="M1761" s="62" t="str">
        <f>IF(A1761="","",IFERROR(INDEX(dv_cname,MATCH(A1761,dv_num,0))&amp;"",""))</f>
        <v/>
      </c>
      <c r="N1761" s="59" t="str">
        <f>IF(COUNTA(A1761:G1761)=0,"",IF(A1761="","N° devis manquant",IF(ISNA(MATCH(A1761,dv_num,0)),"Devis inconnu",IF(AND(B1761&lt;&gt;"",ISNA(MATCH(B1761,pr_code,0))),"Article inconnu",IF(H1761="","Désignation manquante",IF(OR(NOT(ISNUMBER(D1761)),N(D1761)&lt;=0),"Quantité invalide",IF(J1761="","Prix manquant",IF(OR(NOT(ISNUMBER(J1761)),N(J1761)&lt;0),"Prix invalide",IF(OR(AND(F1761&lt;&gt;"",NOT(ISNUMBER(F1761))),N(F1761)&lt;0,N(F1761)&gt;1),"Remise invalide",IF(K1761="","Taux de TVA manquant",IF(NOT(ISNUMBER(K1761)),"Taux de TVA invalide",IF(COUNTIF(p_rates,K1761)=0,"Taux de TVA hors liste (Paramètres)",IF(N(O1761)&gt;25,"Au-delà de 25 lignes : non imprimée","OK")))))))))))))</f>
        <v/>
      </c>
      <c r="O1761" s="59" t="str">
        <f>IF(A1761="","",COUNTIF($A$6:A1761,A1761))</f>
        <v/>
      </c>
      <c r="P1761" s="62" t="str">
        <f>IF(A1761="","",A1761&amp;"|"&amp;O1761)</f>
        <v/>
      </c>
    </row>
    <row r="1762">
      <c r="A1762" s="60" t="n"/>
      <c r="B1762" s="63" t="n"/>
      <c r="C1762" s="63" t="n"/>
      <c r="D1762" s="67" t="n"/>
      <c r="E1762" s="68" t="n"/>
      <c r="F1762" s="69" t="n"/>
      <c r="G1762" s="70" t="n"/>
      <c r="H1762" s="62" t="str">
        <f>IF(COUNTA(A1762:G1762)=0,"",IF(C1762&lt;&gt;"",C1762,IF(B1762="","",IFERROR(INDEX(pr_des,MATCH(B1762,pr_code,0))&amp;"",""))))</f>
        <v/>
      </c>
      <c r="I1762" s="59" t="str">
        <f>IF(B1762="","",IFERROR(INDEX(pr_unit,MATCH(B1762,pr_code,0))&amp;"",""))</f>
        <v/>
      </c>
      <c r="J1762" s="65" t="str">
        <f>IF(COUNTA(A1762:G1762)=0,"",IF(E1762&lt;&gt;"",E1762,IF(B1762="","",IFERROR(IF(INDEX(pr_price,MATCH(B1762,pr_code,0))="","",INDEX(pr_price,MATCH(B1762,pr_code,0))),""))))</f>
        <v/>
      </c>
      <c r="K1762" s="71" t="str">
        <f>IF(COUNTA(A1762:G1762)=0,"",IF(G1762&lt;&gt;"",G1762,IF(B1762="","",IFERROR(IF(INDEX(pr_rate,MATCH(B1762,pr_code,0))="","",INDEX(pr_rate,MATCH(B1762,pr_code,0))),""))))</f>
        <v/>
      </c>
      <c r="L1762" s="65" t="str">
        <f>IF(COUNTA(A1762:G1762)=0,"",IF(AND(ISNUMBER(D1762),ISNUMBER(J1762)),ROUND(D1762*J1762*(1-N(F1762)),2),0))</f>
        <v/>
      </c>
      <c r="M1762" s="62" t="str">
        <f>IF(A1762="","",IFERROR(INDEX(dv_cname,MATCH(A1762,dv_num,0))&amp;"",""))</f>
        <v/>
      </c>
      <c r="N1762" s="59" t="str">
        <f>IF(COUNTA(A1762:G1762)=0,"",IF(A1762="","N° devis manquant",IF(ISNA(MATCH(A1762,dv_num,0)),"Devis inconnu",IF(AND(B1762&lt;&gt;"",ISNA(MATCH(B1762,pr_code,0))),"Article inconnu",IF(H1762="","Désignation manquante",IF(OR(NOT(ISNUMBER(D1762)),N(D1762)&lt;=0),"Quantité invalide",IF(J1762="","Prix manquant",IF(OR(NOT(ISNUMBER(J1762)),N(J1762)&lt;0),"Prix invalide",IF(OR(AND(F1762&lt;&gt;"",NOT(ISNUMBER(F1762))),N(F1762)&lt;0,N(F1762)&gt;1),"Remise invalide",IF(K1762="","Taux de TVA manquant",IF(NOT(ISNUMBER(K1762)),"Taux de TVA invalide",IF(COUNTIF(p_rates,K1762)=0,"Taux de TVA hors liste (Paramètres)",IF(N(O1762)&gt;25,"Au-delà de 25 lignes : non imprimée","OK")))))))))))))</f>
        <v/>
      </c>
      <c r="O1762" s="59" t="str">
        <f>IF(A1762="","",COUNTIF($A$6:A1762,A1762))</f>
        <v/>
      </c>
      <c r="P1762" s="62" t="str">
        <f>IF(A1762="","",A1762&amp;"|"&amp;O1762)</f>
        <v/>
      </c>
    </row>
    <row r="1763">
      <c r="A1763" s="60" t="n"/>
      <c r="B1763" s="63" t="n"/>
      <c r="C1763" s="63" t="n"/>
      <c r="D1763" s="67" t="n"/>
      <c r="E1763" s="68" t="n"/>
      <c r="F1763" s="69" t="n"/>
      <c r="G1763" s="70" t="n"/>
      <c r="H1763" s="62" t="str">
        <f>IF(COUNTA(A1763:G1763)=0,"",IF(C1763&lt;&gt;"",C1763,IF(B1763="","",IFERROR(INDEX(pr_des,MATCH(B1763,pr_code,0))&amp;"",""))))</f>
        <v/>
      </c>
      <c r="I1763" s="59" t="str">
        <f>IF(B1763="","",IFERROR(INDEX(pr_unit,MATCH(B1763,pr_code,0))&amp;"",""))</f>
        <v/>
      </c>
      <c r="J1763" s="65" t="str">
        <f>IF(COUNTA(A1763:G1763)=0,"",IF(E1763&lt;&gt;"",E1763,IF(B1763="","",IFERROR(IF(INDEX(pr_price,MATCH(B1763,pr_code,0))="","",INDEX(pr_price,MATCH(B1763,pr_code,0))),""))))</f>
        <v/>
      </c>
      <c r="K1763" s="71" t="str">
        <f>IF(COUNTA(A1763:G1763)=0,"",IF(G1763&lt;&gt;"",G1763,IF(B1763="","",IFERROR(IF(INDEX(pr_rate,MATCH(B1763,pr_code,0))="","",INDEX(pr_rate,MATCH(B1763,pr_code,0))),""))))</f>
        <v/>
      </c>
      <c r="L1763" s="65" t="str">
        <f>IF(COUNTA(A1763:G1763)=0,"",IF(AND(ISNUMBER(D1763),ISNUMBER(J1763)),ROUND(D1763*J1763*(1-N(F1763)),2),0))</f>
        <v/>
      </c>
      <c r="M1763" s="62" t="str">
        <f>IF(A1763="","",IFERROR(INDEX(dv_cname,MATCH(A1763,dv_num,0))&amp;"",""))</f>
        <v/>
      </c>
      <c r="N1763" s="59" t="str">
        <f>IF(COUNTA(A1763:G1763)=0,"",IF(A1763="","N° devis manquant",IF(ISNA(MATCH(A1763,dv_num,0)),"Devis inconnu",IF(AND(B1763&lt;&gt;"",ISNA(MATCH(B1763,pr_code,0))),"Article inconnu",IF(H1763="","Désignation manquante",IF(OR(NOT(ISNUMBER(D1763)),N(D1763)&lt;=0),"Quantité invalide",IF(J1763="","Prix manquant",IF(OR(NOT(ISNUMBER(J1763)),N(J1763)&lt;0),"Prix invalide",IF(OR(AND(F1763&lt;&gt;"",NOT(ISNUMBER(F1763))),N(F1763)&lt;0,N(F1763)&gt;1),"Remise invalide",IF(K1763="","Taux de TVA manquant",IF(NOT(ISNUMBER(K1763)),"Taux de TVA invalide",IF(COUNTIF(p_rates,K1763)=0,"Taux de TVA hors liste (Paramètres)",IF(N(O1763)&gt;25,"Au-delà de 25 lignes : non imprimée","OK")))))))))))))</f>
        <v/>
      </c>
      <c r="O1763" s="59" t="str">
        <f>IF(A1763="","",COUNTIF($A$6:A1763,A1763))</f>
        <v/>
      </c>
      <c r="P1763" s="62" t="str">
        <f>IF(A1763="","",A1763&amp;"|"&amp;O1763)</f>
        <v/>
      </c>
    </row>
    <row r="1764">
      <c r="A1764" s="60" t="n"/>
      <c r="B1764" s="63" t="n"/>
      <c r="C1764" s="63" t="n"/>
      <c r="D1764" s="67" t="n"/>
      <c r="E1764" s="68" t="n"/>
      <c r="F1764" s="69" t="n"/>
      <c r="G1764" s="70" t="n"/>
      <c r="H1764" s="62" t="str">
        <f>IF(COUNTA(A1764:G1764)=0,"",IF(C1764&lt;&gt;"",C1764,IF(B1764="","",IFERROR(INDEX(pr_des,MATCH(B1764,pr_code,0))&amp;"",""))))</f>
        <v/>
      </c>
      <c r="I1764" s="59" t="str">
        <f>IF(B1764="","",IFERROR(INDEX(pr_unit,MATCH(B1764,pr_code,0))&amp;"",""))</f>
        <v/>
      </c>
      <c r="J1764" s="65" t="str">
        <f>IF(COUNTA(A1764:G1764)=0,"",IF(E1764&lt;&gt;"",E1764,IF(B1764="","",IFERROR(IF(INDEX(pr_price,MATCH(B1764,pr_code,0))="","",INDEX(pr_price,MATCH(B1764,pr_code,0))),""))))</f>
        <v/>
      </c>
      <c r="K1764" s="71" t="str">
        <f>IF(COUNTA(A1764:G1764)=0,"",IF(G1764&lt;&gt;"",G1764,IF(B1764="","",IFERROR(IF(INDEX(pr_rate,MATCH(B1764,pr_code,0))="","",INDEX(pr_rate,MATCH(B1764,pr_code,0))),""))))</f>
        <v/>
      </c>
      <c r="L1764" s="65" t="str">
        <f>IF(COUNTA(A1764:G1764)=0,"",IF(AND(ISNUMBER(D1764),ISNUMBER(J1764)),ROUND(D1764*J1764*(1-N(F1764)),2),0))</f>
        <v/>
      </c>
      <c r="M1764" s="62" t="str">
        <f>IF(A1764="","",IFERROR(INDEX(dv_cname,MATCH(A1764,dv_num,0))&amp;"",""))</f>
        <v/>
      </c>
      <c r="N1764" s="59" t="str">
        <f>IF(COUNTA(A1764:G1764)=0,"",IF(A1764="","N° devis manquant",IF(ISNA(MATCH(A1764,dv_num,0)),"Devis inconnu",IF(AND(B1764&lt;&gt;"",ISNA(MATCH(B1764,pr_code,0))),"Article inconnu",IF(H1764="","Désignation manquante",IF(OR(NOT(ISNUMBER(D1764)),N(D1764)&lt;=0),"Quantité invalide",IF(J1764="","Prix manquant",IF(OR(NOT(ISNUMBER(J1764)),N(J1764)&lt;0),"Prix invalide",IF(OR(AND(F1764&lt;&gt;"",NOT(ISNUMBER(F1764))),N(F1764)&lt;0,N(F1764)&gt;1),"Remise invalide",IF(K1764="","Taux de TVA manquant",IF(NOT(ISNUMBER(K1764)),"Taux de TVA invalide",IF(COUNTIF(p_rates,K1764)=0,"Taux de TVA hors liste (Paramètres)",IF(N(O1764)&gt;25,"Au-delà de 25 lignes : non imprimée","OK")))))))))))))</f>
        <v/>
      </c>
      <c r="O1764" s="59" t="str">
        <f>IF(A1764="","",COUNTIF($A$6:A1764,A1764))</f>
        <v/>
      </c>
      <c r="P1764" s="62" t="str">
        <f>IF(A1764="","",A1764&amp;"|"&amp;O1764)</f>
        <v/>
      </c>
    </row>
    <row r="1765">
      <c r="A1765" s="60" t="n"/>
      <c r="B1765" s="63" t="n"/>
      <c r="C1765" s="63" t="n"/>
      <c r="D1765" s="67" t="n"/>
      <c r="E1765" s="68" t="n"/>
      <c r="F1765" s="69" t="n"/>
      <c r="G1765" s="70" t="n"/>
      <c r="H1765" s="62" t="str">
        <f>IF(COUNTA(A1765:G1765)=0,"",IF(C1765&lt;&gt;"",C1765,IF(B1765="","",IFERROR(INDEX(pr_des,MATCH(B1765,pr_code,0))&amp;"",""))))</f>
        <v/>
      </c>
      <c r="I1765" s="59" t="str">
        <f>IF(B1765="","",IFERROR(INDEX(pr_unit,MATCH(B1765,pr_code,0))&amp;"",""))</f>
        <v/>
      </c>
      <c r="J1765" s="65" t="str">
        <f>IF(COUNTA(A1765:G1765)=0,"",IF(E1765&lt;&gt;"",E1765,IF(B1765="","",IFERROR(IF(INDEX(pr_price,MATCH(B1765,pr_code,0))="","",INDEX(pr_price,MATCH(B1765,pr_code,0))),""))))</f>
        <v/>
      </c>
      <c r="K1765" s="71" t="str">
        <f>IF(COUNTA(A1765:G1765)=0,"",IF(G1765&lt;&gt;"",G1765,IF(B1765="","",IFERROR(IF(INDEX(pr_rate,MATCH(B1765,pr_code,0))="","",INDEX(pr_rate,MATCH(B1765,pr_code,0))),""))))</f>
        <v/>
      </c>
      <c r="L1765" s="65" t="str">
        <f>IF(COUNTA(A1765:G1765)=0,"",IF(AND(ISNUMBER(D1765),ISNUMBER(J1765)),ROUND(D1765*J1765*(1-N(F1765)),2),0))</f>
        <v/>
      </c>
      <c r="M1765" s="62" t="str">
        <f>IF(A1765="","",IFERROR(INDEX(dv_cname,MATCH(A1765,dv_num,0))&amp;"",""))</f>
        <v/>
      </c>
      <c r="N1765" s="59" t="str">
        <f>IF(COUNTA(A1765:G1765)=0,"",IF(A1765="","N° devis manquant",IF(ISNA(MATCH(A1765,dv_num,0)),"Devis inconnu",IF(AND(B1765&lt;&gt;"",ISNA(MATCH(B1765,pr_code,0))),"Article inconnu",IF(H1765="","Désignation manquante",IF(OR(NOT(ISNUMBER(D1765)),N(D1765)&lt;=0),"Quantité invalide",IF(J1765="","Prix manquant",IF(OR(NOT(ISNUMBER(J1765)),N(J1765)&lt;0),"Prix invalide",IF(OR(AND(F1765&lt;&gt;"",NOT(ISNUMBER(F1765))),N(F1765)&lt;0,N(F1765)&gt;1),"Remise invalide",IF(K1765="","Taux de TVA manquant",IF(NOT(ISNUMBER(K1765)),"Taux de TVA invalide",IF(COUNTIF(p_rates,K1765)=0,"Taux de TVA hors liste (Paramètres)",IF(N(O1765)&gt;25,"Au-delà de 25 lignes : non imprimée","OK")))))))))))))</f>
        <v/>
      </c>
      <c r="O1765" s="59" t="str">
        <f>IF(A1765="","",COUNTIF($A$6:A1765,A1765))</f>
        <v/>
      </c>
      <c r="P1765" s="62" t="str">
        <f>IF(A1765="","",A1765&amp;"|"&amp;O1765)</f>
        <v/>
      </c>
    </row>
    <row r="1766">
      <c r="A1766" s="60" t="n"/>
      <c r="B1766" s="63" t="n"/>
      <c r="C1766" s="63" t="n"/>
      <c r="D1766" s="67" t="n"/>
      <c r="E1766" s="68" t="n"/>
      <c r="F1766" s="69" t="n"/>
      <c r="G1766" s="70" t="n"/>
      <c r="H1766" s="62" t="str">
        <f>IF(COUNTA(A1766:G1766)=0,"",IF(C1766&lt;&gt;"",C1766,IF(B1766="","",IFERROR(INDEX(pr_des,MATCH(B1766,pr_code,0))&amp;"",""))))</f>
        <v/>
      </c>
      <c r="I1766" s="59" t="str">
        <f>IF(B1766="","",IFERROR(INDEX(pr_unit,MATCH(B1766,pr_code,0))&amp;"",""))</f>
        <v/>
      </c>
      <c r="J1766" s="65" t="str">
        <f>IF(COUNTA(A1766:G1766)=0,"",IF(E1766&lt;&gt;"",E1766,IF(B1766="","",IFERROR(IF(INDEX(pr_price,MATCH(B1766,pr_code,0))="","",INDEX(pr_price,MATCH(B1766,pr_code,0))),""))))</f>
        <v/>
      </c>
      <c r="K1766" s="71" t="str">
        <f>IF(COUNTA(A1766:G1766)=0,"",IF(G1766&lt;&gt;"",G1766,IF(B1766="","",IFERROR(IF(INDEX(pr_rate,MATCH(B1766,pr_code,0))="","",INDEX(pr_rate,MATCH(B1766,pr_code,0))),""))))</f>
        <v/>
      </c>
      <c r="L1766" s="65" t="str">
        <f>IF(COUNTA(A1766:G1766)=0,"",IF(AND(ISNUMBER(D1766),ISNUMBER(J1766)),ROUND(D1766*J1766*(1-N(F1766)),2),0))</f>
        <v/>
      </c>
      <c r="M1766" s="62" t="str">
        <f>IF(A1766="","",IFERROR(INDEX(dv_cname,MATCH(A1766,dv_num,0))&amp;"",""))</f>
        <v/>
      </c>
      <c r="N1766" s="59" t="str">
        <f>IF(COUNTA(A1766:G1766)=0,"",IF(A1766="","N° devis manquant",IF(ISNA(MATCH(A1766,dv_num,0)),"Devis inconnu",IF(AND(B1766&lt;&gt;"",ISNA(MATCH(B1766,pr_code,0))),"Article inconnu",IF(H1766="","Désignation manquante",IF(OR(NOT(ISNUMBER(D1766)),N(D1766)&lt;=0),"Quantité invalide",IF(J1766="","Prix manquant",IF(OR(NOT(ISNUMBER(J1766)),N(J1766)&lt;0),"Prix invalide",IF(OR(AND(F1766&lt;&gt;"",NOT(ISNUMBER(F1766))),N(F1766)&lt;0,N(F1766)&gt;1),"Remise invalide",IF(K1766="","Taux de TVA manquant",IF(NOT(ISNUMBER(K1766)),"Taux de TVA invalide",IF(COUNTIF(p_rates,K1766)=0,"Taux de TVA hors liste (Paramètres)",IF(N(O1766)&gt;25,"Au-delà de 25 lignes : non imprimée","OK")))))))))))))</f>
        <v/>
      </c>
      <c r="O1766" s="59" t="str">
        <f>IF(A1766="","",COUNTIF($A$6:A1766,A1766))</f>
        <v/>
      </c>
      <c r="P1766" s="62" t="str">
        <f>IF(A1766="","",A1766&amp;"|"&amp;O1766)</f>
        <v/>
      </c>
    </row>
    <row r="1767">
      <c r="A1767" s="60" t="n"/>
      <c r="B1767" s="63" t="n"/>
      <c r="C1767" s="63" t="n"/>
      <c r="D1767" s="67" t="n"/>
      <c r="E1767" s="68" t="n"/>
      <c r="F1767" s="69" t="n"/>
      <c r="G1767" s="70" t="n"/>
      <c r="H1767" s="62" t="str">
        <f>IF(COUNTA(A1767:G1767)=0,"",IF(C1767&lt;&gt;"",C1767,IF(B1767="","",IFERROR(INDEX(pr_des,MATCH(B1767,pr_code,0))&amp;"",""))))</f>
        <v/>
      </c>
      <c r="I1767" s="59" t="str">
        <f>IF(B1767="","",IFERROR(INDEX(pr_unit,MATCH(B1767,pr_code,0))&amp;"",""))</f>
        <v/>
      </c>
      <c r="J1767" s="65" t="str">
        <f>IF(COUNTA(A1767:G1767)=0,"",IF(E1767&lt;&gt;"",E1767,IF(B1767="","",IFERROR(IF(INDEX(pr_price,MATCH(B1767,pr_code,0))="","",INDEX(pr_price,MATCH(B1767,pr_code,0))),""))))</f>
        <v/>
      </c>
      <c r="K1767" s="71" t="str">
        <f>IF(COUNTA(A1767:G1767)=0,"",IF(G1767&lt;&gt;"",G1767,IF(B1767="","",IFERROR(IF(INDEX(pr_rate,MATCH(B1767,pr_code,0))="","",INDEX(pr_rate,MATCH(B1767,pr_code,0))),""))))</f>
        <v/>
      </c>
      <c r="L1767" s="65" t="str">
        <f>IF(COUNTA(A1767:G1767)=0,"",IF(AND(ISNUMBER(D1767),ISNUMBER(J1767)),ROUND(D1767*J1767*(1-N(F1767)),2),0))</f>
        <v/>
      </c>
      <c r="M1767" s="62" t="str">
        <f>IF(A1767="","",IFERROR(INDEX(dv_cname,MATCH(A1767,dv_num,0))&amp;"",""))</f>
        <v/>
      </c>
      <c r="N1767" s="59" t="str">
        <f>IF(COUNTA(A1767:G1767)=0,"",IF(A1767="","N° devis manquant",IF(ISNA(MATCH(A1767,dv_num,0)),"Devis inconnu",IF(AND(B1767&lt;&gt;"",ISNA(MATCH(B1767,pr_code,0))),"Article inconnu",IF(H1767="","Désignation manquante",IF(OR(NOT(ISNUMBER(D1767)),N(D1767)&lt;=0),"Quantité invalide",IF(J1767="","Prix manquant",IF(OR(NOT(ISNUMBER(J1767)),N(J1767)&lt;0),"Prix invalide",IF(OR(AND(F1767&lt;&gt;"",NOT(ISNUMBER(F1767))),N(F1767)&lt;0,N(F1767)&gt;1),"Remise invalide",IF(K1767="","Taux de TVA manquant",IF(NOT(ISNUMBER(K1767)),"Taux de TVA invalide",IF(COUNTIF(p_rates,K1767)=0,"Taux de TVA hors liste (Paramètres)",IF(N(O1767)&gt;25,"Au-delà de 25 lignes : non imprimée","OK")))))))))))))</f>
        <v/>
      </c>
      <c r="O1767" s="59" t="str">
        <f>IF(A1767="","",COUNTIF($A$6:A1767,A1767))</f>
        <v/>
      </c>
      <c r="P1767" s="62" t="str">
        <f>IF(A1767="","",A1767&amp;"|"&amp;O1767)</f>
        <v/>
      </c>
    </row>
    <row r="1768">
      <c r="A1768" s="60" t="n"/>
      <c r="B1768" s="63" t="n"/>
      <c r="C1768" s="63" t="n"/>
      <c r="D1768" s="67" t="n"/>
      <c r="E1768" s="68" t="n"/>
      <c r="F1768" s="69" t="n"/>
      <c r="G1768" s="70" t="n"/>
      <c r="H1768" s="62" t="str">
        <f>IF(COUNTA(A1768:G1768)=0,"",IF(C1768&lt;&gt;"",C1768,IF(B1768="","",IFERROR(INDEX(pr_des,MATCH(B1768,pr_code,0))&amp;"",""))))</f>
        <v/>
      </c>
      <c r="I1768" s="59" t="str">
        <f>IF(B1768="","",IFERROR(INDEX(pr_unit,MATCH(B1768,pr_code,0))&amp;"",""))</f>
        <v/>
      </c>
      <c r="J1768" s="65" t="str">
        <f>IF(COUNTA(A1768:G1768)=0,"",IF(E1768&lt;&gt;"",E1768,IF(B1768="","",IFERROR(IF(INDEX(pr_price,MATCH(B1768,pr_code,0))="","",INDEX(pr_price,MATCH(B1768,pr_code,0))),""))))</f>
        <v/>
      </c>
      <c r="K1768" s="71" t="str">
        <f>IF(COUNTA(A1768:G1768)=0,"",IF(G1768&lt;&gt;"",G1768,IF(B1768="","",IFERROR(IF(INDEX(pr_rate,MATCH(B1768,pr_code,0))="","",INDEX(pr_rate,MATCH(B1768,pr_code,0))),""))))</f>
        <v/>
      </c>
      <c r="L1768" s="65" t="str">
        <f>IF(COUNTA(A1768:G1768)=0,"",IF(AND(ISNUMBER(D1768),ISNUMBER(J1768)),ROUND(D1768*J1768*(1-N(F1768)),2),0))</f>
        <v/>
      </c>
      <c r="M1768" s="62" t="str">
        <f>IF(A1768="","",IFERROR(INDEX(dv_cname,MATCH(A1768,dv_num,0))&amp;"",""))</f>
        <v/>
      </c>
      <c r="N1768" s="59" t="str">
        <f>IF(COUNTA(A1768:G1768)=0,"",IF(A1768="","N° devis manquant",IF(ISNA(MATCH(A1768,dv_num,0)),"Devis inconnu",IF(AND(B1768&lt;&gt;"",ISNA(MATCH(B1768,pr_code,0))),"Article inconnu",IF(H1768="","Désignation manquante",IF(OR(NOT(ISNUMBER(D1768)),N(D1768)&lt;=0),"Quantité invalide",IF(J1768="","Prix manquant",IF(OR(NOT(ISNUMBER(J1768)),N(J1768)&lt;0),"Prix invalide",IF(OR(AND(F1768&lt;&gt;"",NOT(ISNUMBER(F1768))),N(F1768)&lt;0,N(F1768)&gt;1),"Remise invalide",IF(K1768="","Taux de TVA manquant",IF(NOT(ISNUMBER(K1768)),"Taux de TVA invalide",IF(COUNTIF(p_rates,K1768)=0,"Taux de TVA hors liste (Paramètres)",IF(N(O1768)&gt;25,"Au-delà de 25 lignes : non imprimée","OK")))))))))))))</f>
        <v/>
      </c>
      <c r="O1768" s="59" t="str">
        <f>IF(A1768="","",COUNTIF($A$6:A1768,A1768))</f>
        <v/>
      </c>
      <c r="P1768" s="62" t="str">
        <f>IF(A1768="","",A1768&amp;"|"&amp;O1768)</f>
        <v/>
      </c>
    </row>
    <row r="1769">
      <c r="A1769" s="60" t="n"/>
      <c r="B1769" s="63" t="n"/>
      <c r="C1769" s="63" t="n"/>
      <c r="D1769" s="67" t="n"/>
      <c r="E1769" s="68" t="n"/>
      <c r="F1769" s="69" t="n"/>
      <c r="G1769" s="70" t="n"/>
      <c r="H1769" s="62" t="str">
        <f>IF(COUNTA(A1769:G1769)=0,"",IF(C1769&lt;&gt;"",C1769,IF(B1769="","",IFERROR(INDEX(pr_des,MATCH(B1769,pr_code,0))&amp;"",""))))</f>
        <v/>
      </c>
      <c r="I1769" s="59" t="str">
        <f>IF(B1769="","",IFERROR(INDEX(pr_unit,MATCH(B1769,pr_code,0))&amp;"",""))</f>
        <v/>
      </c>
      <c r="J1769" s="65" t="str">
        <f>IF(COUNTA(A1769:G1769)=0,"",IF(E1769&lt;&gt;"",E1769,IF(B1769="","",IFERROR(IF(INDEX(pr_price,MATCH(B1769,pr_code,0))="","",INDEX(pr_price,MATCH(B1769,pr_code,0))),""))))</f>
        <v/>
      </c>
      <c r="K1769" s="71" t="str">
        <f>IF(COUNTA(A1769:G1769)=0,"",IF(G1769&lt;&gt;"",G1769,IF(B1769="","",IFERROR(IF(INDEX(pr_rate,MATCH(B1769,pr_code,0))="","",INDEX(pr_rate,MATCH(B1769,pr_code,0))),""))))</f>
        <v/>
      </c>
      <c r="L1769" s="65" t="str">
        <f>IF(COUNTA(A1769:G1769)=0,"",IF(AND(ISNUMBER(D1769),ISNUMBER(J1769)),ROUND(D1769*J1769*(1-N(F1769)),2),0))</f>
        <v/>
      </c>
      <c r="M1769" s="62" t="str">
        <f>IF(A1769="","",IFERROR(INDEX(dv_cname,MATCH(A1769,dv_num,0))&amp;"",""))</f>
        <v/>
      </c>
      <c r="N1769" s="59" t="str">
        <f>IF(COUNTA(A1769:G1769)=0,"",IF(A1769="","N° devis manquant",IF(ISNA(MATCH(A1769,dv_num,0)),"Devis inconnu",IF(AND(B1769&lt;&gt;"",ISNA(MATCH(B1769,pr_code,0))),"Article inconnu",IF(H1769="","Désignation manquante",IF(OR(NOT(ISNUMBER(D1769)),N(D1769)&lt;=0),"Quantité invalide",IF(J1769="","Prix manquant",IF(OR(NOT(ISNUMBER(J1769)),N(J1769)&lt;0),"Prix invalide",IF(OR(AND(F1769&lt;&gt;"",NOT(ISNUMBER(F1769))),N(F1769)&lt;0,N(F1769)&gt;1),"Remise invalide",IF(K1769="","Taux de TVA manquant",IF(NOT(ISNUMBER(K1769)),"Taux de TVA invalide",IF(COUNTIF(p_rates,K1769)=0,"Taux de TVA hors liste (Paramètres)",IF(N(O1769)&gt;25,"Au-delà de 25 lignes : non imprimée","OK")))))))))))))</f>
        <v/>
      </c>
      <c r="O1769" s="59" t="str">
        <f>IF(A1769="","",COUNTIF($A$6:A1769,A1769))</f>
        <v/>
      </c>
      <c r="P1769" s="62" t="str">
        <f>IF(A1769="","",A1769&amp;"|"&amp;O1769)</f>
        <v/>
      </c>
    </row>
    <row r="1770">
      <c r="A1770" s="60" t="n"/>
      <c r="B1770" s="63" t="n"/>
      <c r="C1770" s="63" t="n"/>
      <c r="D1770" s="67" t="n"/>
      <c r="E1770" s="68" t="n"/>
      <c r="F1770" s="69" t="n"/>
      <c r="G1770" s="70" t="n"/>
      <c r="H1770" s="62" t="str">
        <f>IF(COUNTA(A1770:G1770)=0,"",IF(C1770&lt;&gt;"",C1770,IF(B1770="","",IFERROR(INDEX(pr_des,MATCH(B1770,pr_code,0))&amp;"",""))))</f>
        <v/>
      </c>
      <c r="I1770" s="59" t="str">
        <f>IF(B1770="","",IFERROR(INDEX(pr_unit,MATCH(B1770,pr_code,0))&amp;"",""))</f>
        <v/>
      </c>
      <c r="J1770" s="65" t="str">
        <f>IF(COUNTA(A1770:G1770)=0,"",IF(E1770&lt;&gt;"",E1770,IF(B1770="","",IFERROR(IF(INDEX(pr_price,MATCH(B1770,pr_code,0))="","",INDEX(pr_price,MATCH(B1770,pr_code,0))),""))))</f>
        <v/>
      </c>
      <c r="K1770" s="71" t="str">
        <f>IF(COUNTA(A1770:G1770)=0,"",IF(G1770&lt;&gt;"",G1770,IF(B1770="","",IFERROR(IF(INDEX(pr_rate,MATCH(B1770,pr_code,0))="","",INDEX(pr_rate,MATCH(B1770,pr_code,0))),""))))</f>
        <v/>
      </c>
      <c r="L1770" s="65" t="str">
        <f>IF(COUNTA(A1770:G1770)=0,"",IF(AND(ISNUMBER(D1770),ISNUMBER(J1770)),ROUND(D1770*J1770*(1-N(F1770)),2),0))</f>
        <v/>
      </c>
      <c r="M1770" s="62" t="str">
        <f>IF(A1770="","",IFERROR(INDEX(dv_cname,MATCH(A1770,dv_num,0))&amp;"",""))</f>
        <v/>
      </c>
      <c r="N1770" s="59" t="str">
        <f>IF(COUNTA(A1770:G1770)=0,"",IF(A1770="","N° devis manquant",IF(ISNA(MATCH(A1770,dv_num,0)),"Devis inconnu",IF(AND(B1770&lt;&gt;"",ISNA(MATCH(B1770,pr_code,0))),"Article inconnu",IF(H1770="","Désignation manquante",IF(OR(NOT(ISNUMBER(D1770)),N(D1770)&lt;=0),"Quantité invalide",IF(J1770="","Prix manquant",IF(OR(NOT(ISNUMBER(J1770)),N(J1770)&lt;0),"Prix invalide",IF(OR(AND(F1770&lt;&gt;"",NOT(ISNUMBER(F1770))),N(F1770)&lt;0,N(F1770)&gt;1),"Remise invalide",IF(K1770="","Taux de TVA manquant",IF(NOT(ISNUMBER(K1770)),"Taux de TVA invalide",IF(COUNTIF(p_rates,K1770)=0,"Taux de TVA hors liste (Paramètres)",IF(N(O1770)&gt;25,"Au-delà de 25 lignes : non imprimée","OK")))))))))))))</f>
        <v/>
      </c>
      <c r="O1770" s="59" t="str">
        <f>IF(A1770="","",COUNTIF($A$6:A1770,A1770))</f>
        <v/>
      </c>
      <c r="P1770" s="62" t="str">
        <f>IF(A1770="","",A1770&amp;"|"&amp;O1770)</f>
        <v/>
      </c>
    </row>
    <row r="1771">
      <c r="A1771" s="60" t="n"/>
      <c r="B1771" s="63" t="n"/>
      <c r="C1771" s="63" t="n"/>
      <c r="D1771" s="67" t="n"/>
      <c r="E1771" s="68" t="n"/>
      <c r="F1771" s="69" t="n"/>
      <c r="G1771" s="70" t="n"/>
      <c r="H1771" s="62" t="str">
        <f>IF(COUNTA(A1771:G1771)=0,"",IF(C1771&lt;&gt;"",C1771,IF(B1771="","",IFERROR(INDEX(pr_des,MATCH(B1771,pr_code,0))&amp;"",""))))</f>
        <v/>
      </c>
      <c r="I1771" s="59" t="str">
        <f>IF(B1771="","",IFERROR(INDEX(pr_unit,MATCH(B1771,pr_code,0))&amp;"",""))</f>
        <v/>
      </c>
      <c r="J1771" s="65" t="str">
        <f>IF(COUNTA(A1771:G1771)=0,"",IF(E1771&lt;&gt;"",E1771,IF(B1771="","",IFERROR(IF(INDEX(pr_price,MATCH(B1771,pr_code,0))="","",INDEX(pr_price,MATCH(B1771,pr_code,0))),""))))</f>
        <v/>
      </c>
      <c r="K1771" s="71" t="str">
        <f>IF(COUNTA(A1771:G1771)=0,"",IF(G1771&lt;&gt;"",G1771,IF(B1771="","",IFERROR(IF(INDEX(pr_rate,MATCH(B1771,pr_code,0))="","",INDEX(pr_rate,MATCH(B1771,pr_code,0))),""))))</f>
        <v/>
      </c>
      <c r="L1771" s="65" t="str">
        <f>IF(COUNTA(A1771:G1771)=0,"",IF(AND(ISNUMBER(D1771),ISNUMBER(J1771)),ROUND(D1771*J1771*(1-N(F1771)),2),0))</f>
        <v/>
      </c>
      <c r="M1771" s="62" t="str">
        <f>IF(A1771="","",IFERROR(INDEX(dv_cname,MATCH(A1771,dv_num,0))&amp;"",""))</f>
        <v/>
      </c>
      <c r="N1771" s="59" t="str">
        <f>IF(COUNTA(A1771:G1771)=0,"",IF(A1771="","N° devis manquant",IF(ISNA(MATCH(A1771,dv_num,0)),"Devis inconnu",IF(AND(B1771&lt;&gt;"",ISNA(MATCH(B1771,pr_code,0))),"Article inconnu",IF(H1771="","Désignation manquante",IF(OR(NOT(ISNUMBER(D1771)),N(D1771)&lt;=0),"Quantité invalide",IF(J1771="","Prix manquant",IF(OR(NOT(ISNUMBER(J1771)),N(J1771)&lt;0),"Prix invalide",IF(OR(AND(F1771&lt;&gt;"",NOT(ISNUMBER(F1771))),N(F1771)&lt;0,N(F1771)&gt;1),"Remise invalide",IF(K1771="","Taux de TVA manquant",IF(NOT(ISNUMBER(K1771)),"Taux de TVA invalide",IF(COUNTIF(p_rates,K1771)=0,"Taux de TVA hors liste (Paramètres)",IF(N(O1771)&gt;25,"Au-delà de 25 lignes : non imprimée","OK")))))))))))))</f>
        <v/>
      </c>
      <c r="O1771" s="59" t="str">
        <f>IF(A1771="","",COUNTIF($A$6:A1771,A1771))</f>
        <v/>
      </c>
      <c r="P1771" s="62" t="str">
        <f>IF(A1771="","",A1771&amp;"|"&amp;O1771)</f>
        <v/>
      </c>
    </row>
    <row r="1772">
      <c r="A1772" s="60" t="n"/>
      <c r="B1772" s="63" t="n"/>
      <c r="C1772" s="63" t="n"/>
      <c r="D1772" s="67" t="n"/>
      <c r="E1772" s="68" t="n"/>
      <c r="F1772" s="69" t="n"/>
      <c r="G1772" s="70" t="n"/>
      <c r="H1772" s="62" t="str">
        <f>IF(COUNTA(A1772:G1772)=0,"",IF(C1772&lt;&gt;"",C1772,IF(B1772="","",IFERROR(INDEX(pr_des,MATCH(B1772,pr_code,0))&amp;"",""))))</f>
        <v/>
      </c>
      <c r="I1772" s="59" t="str">
        <f>IF(B1772="","",IFERROR(INDEX(pr_unit,MATCH(B1772,pr_code,0))&amp;"",""))</f>
        <v/>
      </c>
      <c r="J1772" s="65" t="str">
        <f>IF(COUNTA(A1772:G1772)=0,"",IF(E1772&lt;&gt;"",E1772,IF(B1772="","",IFERROR(IF(INDEX(pr_price,MATCH(B1772,pr_code,0))="","",INDEX(pr_price,MATCH(B1772,pr_code,0))),""))))</f>
        <v/>
      </c>
      <c r="K1772" s="71" t="str">
        <f>IF(COUNTA(A1772:G1772)=0,"",IF(G1772&lt;&gt;"",G1772,IF(B1772="","",IFERROR(IF(INDEX(pr_rate,MATCH(B1772,pr_code,0))="","",INDEX(pr_rate,MATCH(B1772,pr_code,0))),""))))</f>
        <v/>
      </c>
      <c r="L1772" s="65" t="str">
        <f>IF(COUNTA(A1772:G1772)=0,"",IF(AND(ISNUMBER(D1772),ISNUMBER(J1772)),ROUND(D1772*J1772*(1-N(F1772)),2),0))</f>
        <v/>
      </c>
      <c r="M1772" s="62" t="str">
        <f>IF(A1772="","",IFERROR(INDEX(dv_cname,MATCH(A1772,dv_num,0))&amp;"",""))</f>
        <v/>
      </c>
      <c r="N1772" s="59" t="str">
        <f>IF(COUNTA(A1772:G1772)=0,"",IF(A1772="","N° devis manquant",IF(ISNA(MATCH(A1772,dv_num,0)),"Devis inconnu",IF(AND(B1772&lt;&gt;"",ISNA(MATCH(B1772,pr_code,0))),"Article inconnu",IF(H1772="","Désignation manquante",IF(OR(NOT(ISNUMBER(D1772)),N(D1772)&lt;=0),"Quantité invalide",IF(J1772="","Prix manquant",IF(OR(NOT(ISNUMBER(J1772)),N(J1772)&lt;0),"Prix invalide",IF(OR(AND(F1772&lt;&gt;"",NOT(ISNUMBER(F1772))),N(F1772)&lt;0,N(F1772)&gt;1),"Remise invalide",IF(K1772="","Taux de TVA manquant",IF(NOT(ISNUMBER(K1772)),"Taux de TVA invalide",IF(COUNTIF(p_rates,K1772)=0,"Taux de TVA hors liste (Paramètres)",IF(N(O1772)&gt;25,"Au-delà de 25 lignes : non imprimée","OK")))))))))))))</f>
        <v/>
      </c>
      <c r="O1772" s="59" t="str">
        <f>IF(A1772="","",COUNTIF($A$6:A1772,A1772))</f>
        <v/>
      </c>
      <c r="P1772" s="62" t="str">
        <f>IF(A1772="","",A1772&amp;"|"&amp;O1772)</f>
        <v/>
      </c>
    </row>
    <row r="1773">
      <c r="A1773" s="60" t="n"/>
      <c r="B1773" s="63" t="n"/>
      <c r="C1773" s="63" t="n"/>
      <c r="D1773" s="67" t="n"/>
      <c r="E1773" s="68" t="n"/>
      <c r="F1773" s="69" t="n"/>
      <c r="G1773" s="70" t="n"/>
      <c r="H1773" s="62" t="str">
        <f>IF(COUNTA(A1773:G1773)=0,"",IF(C1773&lt;&gt;"",C1773,IF(B1773="","",IFERROR(INDEX(pr_des,MATCH(B1773,pr_code,0))&amp;"",""))))</f>
        <v/>
      </c>
      <c r="I1773" s="59" t="str">
        <f>IF(B1773="","",IFERROR(INDEX(pr_unit,MATCH(B1773,pr_code,0))&amp;"",""))</f>
        <v/>
      </c>
      <c r="J1773" s="65" t="str">
        <f>IF(COUNTA(A1773:G1773)=0,"",IF(E1773&lt;&gt;"",E1773,IF(B1773="","",IFERROR(IF(INDEX(pr_price,MATCH(B1773,pr_code,0))="","",INDEX(pr_price,MATCH(B1773,pr_code,0))),""))))</f>
        <v/>
      </c>
      <c r="K1773" s="71" t="str">
        <f>IF(COUNTA(A1773:G1773)=0,"",IF(G1773&lt;&gt;"",G1773,IF(B1773="","",IFERROR(IF(INDEX(pr_rate,MATCH(B1773,pr_code,0))="","",INDEX(pr_rate,MATCH(B1773,pr_code,0))),""))))</f>
        <v/>
      </c>
      <c r="L1773" s="65" t="str">
        <f>IF(COUNTA(A1773:G1773)=0,"",IF(AND(ISNUMBER(D1773),ISNUMBER(J1773)),ROUND(D1773*J1773*(1-N(F1773)),2),0))</f>
        <v/>
      </c>
      <c r="M1773" s="62" t="str">
        <f>IF(A1773="","",IFERROR(INDEX(dv_cname,MATCH(A1773,dv_num,0))&amp;"",""))</f>
        <v/>
      </c>
      <c r="N1773" s="59" t="str">
        <f>IF(COUNTA(A1773:G1773)=0,"",IF(A1773="","N° devis manquant",IF(ISNA(MATCH(A1773,dv_num,0)),"Devis inconnu",IF(AND(B1773&lt;&gt;"",ISNA(MATCH(B1773,pr_code,0))),"Article inconnu",IF(H1773="","Désignation manquante",IF(OR(NOT(ISNUMBER(D1773)),N(D1773)&lt;=0),"Quantité invalide",IF(J1773="","Prix manquant",IF(OR(NOT(ISNUMBER(J1773)),N(J1773)&lt;0),"Prix invalide",IF(OR(AND(F1773&lt;&gt;"",NOT(ISNUMBER(F1773))),N(F1773)&lt;0,N(F1773)&gt;1),"Remise invalide",IF(K1773="","Taux de TVA manquant",IF(NOT(ISNUMBER(K1773)),"Taux de TVA invalide",IF(COUNTIF(p_rates,K1773)=0,"Taux de TVA hors liste (Paramètres)",IF(N(O1773)&gt;25,"Au-delà de 25 lignes : non imprimée","OK")))))))))))))</f>
        <v/>
      </c>
      <c r="O1773" s="59" t="str">
        <f>IF(A1773="","",COUNTIF($A$6:A1773,A1773))</f>
        <v/>
      </c>
      <c r="P1773" s="62" t="str">
        <f>IF(A1773="","",A1773&amp;"|"&amp;O1773)</f>
        <v/>
      </c>
    </row>
    <row r="1774">
      <c r="A1774" s="60" t="n"/>
      <c r="B1774" s="63" t="n"/>
      <c r="C1774" s="63" t="n"/>
      <c r="D1774" s="67" t="n"/>
      <c r="E1774" s="68" t="n"/>
      <c r="F1774" s="69" t="n"/>
      <c r="G1774" s="70" t="n"/>
      <c r="H1774" s="62" t="str">
        <f>IF(COUNTA(A1774:G1774)=0,"",IF(C1774&lt;&gt;"",C1774,IF(B1774="","",IFERROR(INDEX(pr_des,MATCH(B1774,pr_code,0))&amp;"",""))))</f>
        <v/>
      </c>
      <c r="I1774" s="59" t="str">
        <f>IF(B1774="","",IFERROR(INDEX(pr_unit,MATCH(B1774,pr_code,0))&amp;"",""))</f>
        <v/>
      </c>
      <c r="J1774" s="65" t="str">
        <f>IF(COUNTA(A1774:G1774)=0,"",IF(E1774&lt;&gt;"",E1774,IF(B1774="","",IFERROR(IF(INDEX(pr_price,MATCH(B1774,pr_code,0))="","",INDEX(pr_price,MATCH(B1774,pr_code,0))),""))))</f>
        <v/>
      </c>
      <c r="K1774" s="71" t="str">
        <f>IF(COUNTA(A1774:G1774)=0,"",IF(G1774&lt;&gt;"",G1774,IF(B1774="","",IFERROR(IF(INDEX(pr_rate,MATCH(B1774,pr_code,0))="","",INDEX(pr_rate,MATCH(B1774,pr_code,0))),""))))</f>
        <v/>
      </c>
      <c r="L1774" s="65" t="str">
        <f>IF(COUNTA(A1774:G1774)=0,"",IF(AND(ISNUMBER(D1774),ISNUMBER(J1774)),ROUND(D1774*J1774*(1-N(F1774)),2),0))</f>
        <v/>
      </c>
      <c r="M1774" s="62" t="str">
        <f>IF(A1774="","",IFERROR(INDEX(dv_cname,MATCH(A1774,dv_num,0))&amp;"",""))</f>
        <v/>
      </c>
      <c r="N1774" s="59" t="str">
        <f>IF(COUNTA(A1774:G1774)=0,"",IF(A1774="","N° devis manquant",IF(ISNA(MATCH(A1774,dv_num,0)),"Devis inconnu",IF(AND(B1774&lt;&gt;"",ISNA(MATCH(B1774,pr_code,0))),"Article inconnu",IF(H1774="","Désignation manquante",IF(OR(NOT(ISNUMBER(D1774)),N(D1774)&lt;=0),"Quantité invalide",IF(J1774="","Prix manquant",IF(OR(NOT(ISNUMBER(J1774)),N(J1774)&lt;0),"Prix invalide",IF(OR(AND(F1774&lt;&gt;"",NOT(ISNUMBER(F1774))),N(F1774)&lt;0,N(F1774)&gt;1),"Remise invalide",IF(K1774="","Taux de TVA manquant",IF(NOT(ISNUMBER(K1774)),"Taux de TVA invalide",IF(COUNTIF(p_rates,K1774)=0,"Taux de TVA hors liste (Paramètres)",IF(N(O1774)&gt;25,"Au-delà de 25 lignes : non imprimée","OK")))))))))))))</f>
        <v/>
      </c>
      <c r="O1774" s="59" t="str">
        <f>IF(A1774="","",COUNTIF($A$6:A1774,A1774))</f>
        <v/>
      </c>
      <c r="P1774" s="62" t="str">
        <f>IF(A1774="","",A1774&amp;"|"&amp;O1774)</f>
        <v/>
      </c>
    </row>
    <row r="1775">
      <c r="A1775" s="60" t="n"/>
      <c r="B1775" s="63" t="n"/>
      <c r="C1775" s="63" t="n"/>
      <c r="D1775" s="67" t="n"/>
      <c r="E1775" s="68" t="n"/>
      <c r="F1775" s="69" t="n"/>
      <c r="G1775" s="70" t="n"/>
      <c r="H1775" s="62" t="str">
        <f>IF(COUNTA(A1775:G1775)=0,"",IF(C1775&lt;&gt;"",C1775,IF(B1775="","",IFERROR(INDEX(pr_des,MATCH(B1775,pr_code,0))&amp;"",""))))</f>
        <v/>
      </c>
      <c r="I1775" s="59" t="str">
        <f>IF(B1775="","",IFERROR(INDEX(pr_unit,MATCH(B1775,pr_code,0))&amp;"",""))</f>
        <v/>
      </c>
      <c r="J1775" s="65" t="str">
        <f>IF(COUNTA(A1775:G1775)=0,"",IF(E1775&lt;&gt;"",E1775,IF(B1775="","",IFERROR(IF(INDEX(pr_price,MATCH(B1775,pr_code,0))="","",INDEX(pr_price,MATCH(B1775,pr_code,0))),""))))</f>
        <v/>
      </c>
      <c r="K1775" s="71" t="str">
        <f>IF(COUNTA(A1775:G1775)=0,"",IF(G1775&lt;&gt;"",G1775,IF(B1775="","",IFERROR(IF(INDEX(pr_rate,MATCH(B1775,pr_code,0))="","",INDEX(pr_rate,MATCH(B1775,pr_code,0))),""))))</f>
        <v/>
      </c>
      <c r="L1775" s="65" t="str">
        <f>IF(COUNTA(A1775:G1775)=0,"",IF(AND(ISNUMBER(D1775),ISNUMBER(J1775)),ROUND(D1775*J1775*(1-N(F1775)),2),0))</f>
        <v/>
      </c>
      <c r="M1775" s="62" t="str">
        <f>IF(A1775="","",IFERROR(INDEX(dv_cname,MATCH(A1775,dv_num,0))&amp;"",""))</f>
        <v/>
      </c>
      <c r="N1775" s="59" t="str">
        <f>IF(COUNTA(A1775:G1775)=0,"",IF(A1775="","N° devis manquant",IF(ISNA(MATCH(A1775,dv_num,0)),"Devis inconnu",IF(AND(B1775&lt;&gt;"",ISNA(MATCH(B1775,pr_code,0))),"Article inconnu",IF(H1775="","Désignation manquante",IF(OR(NOT(ISNUMBER(D1775)),N(D1775)&lt;=0),"Quantité invalide",IF(J1775="","Prix manquant",IF(OR(NOT(ISNUMBER(J1775)),N(J1775)&lt;0),"Prix invalide",IF(OR(AND(F1775&lt;&gt;"",NOT(ISNUMBER(F1775))),N(F1775)&lt;0,N(F1775)&gt;1),"Remise invalide",IF(K1775="","Taux de TVA manquant",IF(NOT(ISNUMBER(K1775)),"Taux de TVA invalide",IF(COUNTIF(p_rates,K1775)=0,"Taux de TVA hors liste (Paramètres)",IF(N(O1775)&gt;25,"Au-delà de 25 lignes : non imprimée","OK")))))))))))))</f>
        <v/>
      </c>
      <c r="O1775" s="59" t="str">
        <f>IF(A1775="","",COUNTIF($A$6:A1775,A1775))</f>
        <v/>
      </c>
      <c r="P1775" s="62" t="str">
        <f>IF(A1775="","",A1775&amp;"|"&amp;O1775)</f>
        <v/>
      </c>
    </row>
    <row r="1776">
      <c r="A1776" s="60" t="n"/>
      <c r="B1776" s="63" t="n"/>
      <c r="C1776" s="63" t="n"/>
      <c r="D1776" s="67" t="n"/>
      <c r="E1776" s="68" t="n"/>
      <c r="F1776" s="69" t="n"/>
      <c r="G1776" s="70" t="n"/>
      <c r="H1776" s="62" t="str">
        <f>IF(COUNTA(A1776:G1776)=0,"",IF(C1776&lt;&gt;"",C1776,IF(B1776="","",IFERROR(INDEX(pr_des,MATCH(B1776,pr_code,0))&amp;"",""))))</f>
        <v/>
      </c>
      <c r="I1776" s="59" t="str">
        <f>IF(B1776="","",IFERROR(INDEX(pr_unit,MATCH(B1776,pr_code,0))&amp;"",""))</f>
        <v/>
      </c>
      <c r="J1776" s="65" t="str">
        <f>IF(COUNTA(A1776:G1776)=0,"",IF(E1776&lt;&gt;"",E1776,IF(B1776="","",IFERROR(IF(INDEX(pr_price,MATCH(B1776,pr_code,0))="","",INDEX(pr_price,MATCH(B1776,pr_code,0))),""))))</f>
        <v/>
      </c>
      <c r="K1776" s="71" t="str">
        <f>IF(COUNTA(A1776:G1776)=0,"",IF(G1776&lt;&gt;"",G1776,IF(B1776="","",IFERROR(IF(INDEX(pr_rate,MATCH(B1776,pr_code,0))="","",INDEX(pr_rate,MATCH(B1776,pr_code,0))),""))))</f>
        <v/>
      </c>
      <c r="L1776" s="65" t="str">
        <f>IF(COUNTA(A1776:G1776)=0,"",IF(AND(ISNUMBER(D1776),ISNUMBER(J1776)),ROUND(D1776*J1776*(1-N(F1776)),2),0))</f>
        <v/>
      </c>
      <c r="M1776" s="62" t="str">
        <f>IF(A1776="","",IFERROR(INDEX(dv_cname,MATCH(A1776,dv_num,0))&amp;"",""))</f>
        <v/>
      </c>
      <c r="N1776" s="59" t="str">
        <f>IF(COUNTA(A1776:G1776)=0,"",IF(A1776="","N° devis manquant",IF(ISNA(MATCH(A1776,dv_num,0)),"Devis inconnu",IF(AND(B1776&lt;&gt;"",ISNA(MATCH(B1776,pr_code,0))),"Article inconnu",IF(H1776="","Désignation manquante",IF(OR(NOT(ISNUMBER(D1776)),N(D1776)&lt;=0),"Quantité invalide",IF(J1776="","Prix manquant",IF(OR(NOT(ISNUMBER(J1776)),N(J1776)&lt;0),"Prix invalide",IF(OR(AND(F1776&lt;&gt;"",NOT(ISNUMBER(F1776))),N(F1776)&lt;0,N(F1776)&gt;1),"Remise invalide",IF(K1776="","Taux de TVA manquant",IF(NOT(ISNUMBER(K1776)),"Taux de TVA invalide",IF(COUNTIF(p_rates,K1776)=0,"Taux de TVA hors liste (Paramètres)",IF(N(O1776)&gt;25,"Au-delà de 25 lignes : non imprimée","OK")))))))))))))</f>
        <v/>
      </c>
      <c r="O1776" s="59" t="str">
        <f>IF(A1776="","",COUNTIF($A$6:A1776,A1776))</f>
        <v/>
      </c>
      <c r="P1776" s="62" t="str">
        <f>IF(A1776="","",A1776&amp;"|"&amp;O1776)</f>
        <v/>
      </c>
    </row>
    <row r="1777">
      <c r="A1777" s="60" t="n"/>
      <c r="B1777" s="63" t="n"/>
      <c r="C1777" s="63" t="n"/>
      <c r="D1777" s="67" t="n"/>
      <c r="E1777" s="68" t="n"/>
      <c r="F1777" s="69" t="n"/>
      <c r="G1777" s="70" t="n"/>
      <c r="H1777" s="62" t="str">
        <f>IF(COUNTA(A1777:G1777)=0,"",IF(C1777&lt;&gt;"",C1777,IF(B1777="","",IFERROR(INDEX(pr_des,MATCH(B1777,pr_code,0))&amp;"",""))))</f>
        <v/>
      </c>
      <c r="I1777" s="59" t="str">
        <f>IF(B1777="","",IFERROR(INDEX(pr_unit,MATCH(B1777,pr_code,0))&amp;"",""))</f>
        <v/>
      </c>
      <c r="J1777" s="65" t="str">
        <f>IF(COUNTA(A1777:G1777)=0,"",IF(E1777&lt;&gt;"",E1777,IF(B1777="","",IFERROR(IF(INDEX(pr_price,MATCH(B1777,pr_code,0))="","",INDEX(pr_price,MATCH(B1777,pr_code,0))),""))))</f>
        <v/>
      </c>
      <c r="K1777" s="71" t="str">
        <f>IF(COUNTA(A1777:G1777)=0,"",IF(G1777&lt;&gt;"",G1777,IF(B1777="","",IFERROR(IF(INDEX(pr_rate,MATCH(B1777,pr_code,0))="","",INDEX(pr_rate,MATCH(B1777,pr_code,0))),""))))</f>
        <v/>
      </c>
      <c r="L1777" s="65" t="str">
        <f>IF(COUNTA(A1777:G1777)=0,"",IF(AND(ISNUMBER(D1777),ISNUMBER(J1777)),ROUND(D1777*J1777*(1-N(F1777)),2),0))</f>
        <v/>
      </c>
      <c r="M1777" s="62" t="str">
        <f>IF(A1777="","",IFERROR(INDEX(dv_cname,MATCH(A1777,dv_num,0))&amp;"",""))</f>
        <v/>
      </c>
      <c r="N1777" s="59" t="str">
        <f>IF(COUNTA(A1777:G1777)=0,"",IF(A1777="","N° devis manquant",IF(ISNA(MATCH(A1777,dv_num,0)),"Devis inconnu",IF(AND(B1777&lt;&gt;"",ISNA(MATCH(B1777,pr_code,0))),"Article inconnu",IF(H1777="","Désignation manquante",IF(OR(NOT(ISNUMBER(D1777)),N(D1777)&lt;=0),"Quantité invalide",IF(J1777="","Prix manquant",IF(OR(NOT(ISNUMBER(J1777)),N(J1777)&lt;0),"Prix invalide",IF(OR(AND(F1777&lt;&gt;"",NOT(ISNUMBER(F1777))),N(F1777)&lt;0,N(F1777)&gt;1),"Remise invalide",IF(K1777="","Taux de TVA manquant",IF(NOT(ISNUMBER(K1777)),"Taux de TVA invalide",IF(COUNTIF(p_rates,K1777)=0,"Taux de TVA hors liste (Paramètres)",IF(N(O1777)&gt;25,"Au-delà de 25 lignes : non imprimée","OK")))))))))))))</f>
        <v/>
      </c>
      <c r="O1777" s="59" t="str">
        <f>IF(A1777="","",COUNTIF($A$6:A1777,A1777))</f>
        <v/>
      </c>
      <c r="P1777" s="62" t="str">
        <f>IF(A1777="","",A1777&amp;"|"&amp;O1777)</f>
        <v/>
      </c>
    </row>
    <row r="1778">
      <c r="A1778" s="60" t="n"/>
      <c r="B1778" s="63" t="n"/>
      <c r="C1778" s="63" t="n"/>
      <c r="D1778" s="67" t="n"/>
      <c r="E1778" s="68" t="n"/>
      <c r="F1778" s="69" t="n"/>
      <c r="G1778" s="70" t="n"/>
      <c r="H1778" s="62" t="str">
        <f>IF(COUNTA(A1778:G1778)=0,"",IF(C1778&lt;&gt;"",C1778,IF(B1778="","",IFERROR(INDEX(pr_des,MATCH(B1778,pr_code,0))&amp;"",""))))</f>
        <v/>
      </c>
      <c r="I1778" s="59" t="str">
        <f>IF(B1778="","",IFERROR(INDEX(pr_unit,MATCH(B1778,pr_code,0))&amp;"",""))</f>
        <v/>
      </c>
      <c r="J1778" s="65" t="str">
        <f>IF(COUNTA(A1778:G1778)=0,"",IF(E1778&lt;&gt;"",E1778,IF(B1778="","",IFERROR(IF(INDEX(pr_price,MATCH(B1778,pr_code,0))="","",INDEX(pr_price,MATCH(B1778,pr_code,0))),""))))</f>
        <v/>
      </c>
      <c r="K1778" s="71" t="str">
        <f>IF(COUNTA(A1778:G1778)=0,"",IF(G1778&lt;&gt;"",G1778,IF(B1778="","",IFERROR(IF(INDEX(pr_rate,MATCH(B1778,pr_code,0))="","",INDEX(pr_rate,MATCH(B1778,pr_code,0))),""))))</f>
        <v/>
      </c>
      <c r="L1778" s="65" t="str">
        <f>IF(COUNTA(A1778:G1778)=0,"",IF(AND(ISNUMBER(D1778),ISNUMBER(J1778)),ROUND(D1778*J1778*(1-N(F1778)),2),0))</f>
        <v/>
      </c>
      <c r="M1778" s="62" t="str">
        <f>IF(A1778="","",IFERROR(INDEX(dv_cname,MATCH(A1778,dv_num,0))&amp;"",""))</f>
        <v/>
      </c>
      <c r="N1778" s="59" t="str">
        <f>IF(COUNTA(A1778:G1778)=0,"",IF(A1778="","N° devis manquant",IF(ISNA(MATCH(A1778,dv_num,0)),"Devis inconnu",IF(AND(B1778&lt;&gt;"",ISNA(MATCH(B1778,pr_code,0))),"Article inconnu",IF(H1778="","Désignation manquante",IF(OR(NOT(ISNUMBER(D1778)),N(D1778)&lt;=0),"Quantité invalide",IF(J1778="","Prix manquant",IF(OR(NOT(ISNUMBER(J1778)),N(J1778)&lt;0),"Prix invalide",IF(OR(AND(F1778&lt;&gt;"",NOT(ISNUMBER(F1778))),N(F1778)&lt;0,N(F1778)&gt;1),"Remise invalide",IF(K1778="","Taux de TVA manquant",IF(NOT(ISNUMBER(K1778)),"Taux de TVA invalide",IF(COUNTIF(p_rates,K1778)=0,"Taux de TVA hors liste (Paramètres)",IF(N(O1778)&gt;25,"Au-delà de 25 lignes : non imprimée","OK")))))))))))))</f>
        <v/>
      </c>
      <c r="O1778" s="59" t="str">
        <f>IF(A1778="","",COUNTIF($A$6:A1778,A1778))</f>
        <v/>
      </c>
      <c r="P1778" s="62" t="str">
        <f>IF(A1778="","",A1778&amp;"|"&amp;O1778)</f>
        <v/>
      </c>
    </row>
    <row r="1779">
      <c r="A1779" s="60" t="n"/>
      <c r="B1779" s="63" t="n"/>
      <c r="C1779" s="63" t="n"/>
      <c r="D1779" s="67" t="n"/>
      <c r="E1779" s="68" t="n"/>
      <c r="F1779" s="69" t="n"/>
      <c r="G1779" s="70" t="n"/>
      <c r="H1779" s="62" t="str">
        <f>IF(COUNTA(A1779:G1779)=0,"",IF(C1779&lt;&gt;"",C1779,IF(B1779="","",IFERROR(INDEX(pr_des,MATCH(B1779,pr_code,0))&amp;"",""))))</f>
        <v/>
      </c>
      <c r="I1779" s="59" t="str">
        <f>IF(B1779="","",IFERROR(INDEX(pr_unit,MATCH(B1779,pr_code,0))&amp;"",""))</f>
        <v/>
      </c>
      <c r="J1779" s="65" t="str">
        <f>IF(COUNTA(A1779:G1779)=0,"",IF(E1779&lt;&gt;"",E1779,IF(B1779="","",IFERROR(IF(INDEX(pr_price,MATCH(B1779,pr_code,0))="","",INDEX(pr_price,MATCH(B1779,pr_code,0))),""))))</f>
        <v/>
      </c>
      <c r="K1779" s="71" t="str">
        <f>IF(COUNTA(A1779:G1779)=0,"",IF(G1779&lt;&gt;"",G1779,IF(B1779="","",IFERROR(IF(INDEX(pr_rate,MATCH(B1779,pr_code,0))="","",INDEX(pr_rate,MATCH(B1779,pr_code,0))),""))))</f>
        <v/>
      </c>
      <c r="L1779" s="65" t="str">
        <f>IF(COUNTA(A1779:G1779)=0,"",IF(AND(ISNUMBER(D1779),ISNUMBER(J1779)),ROUND(D1779*J1779*(1-N(F1779)),2),0))</f>
        <v/>
      </c>
      <c r="M1779" s="62" t="str">
        <f>IF(A1779="","",IFERROR(INDEX(dv_cname,MATCH(A1779,dv_num,0))&amp;"",""))</f>
        <v/>
      </c>
      <c r="N1779" s="59" t="str">
        <f>IF(COUNTA(A1779:G1779)=0,"",IF(A1779="","N° devis manquant",IF(ISNA(MATCH(A1779,dv_num,0)),"Devis inconnu",IF(AND(B1779&lt;&gt;"",ISNA(MATCH(B1779,pr_code,0))),"Article inconnu",IF(H1779="","Désignation manquante",IF(OR(NOT(ISNUMBER(D1779)),N(D1779)&lt;=0),"Quantité invalide",IF(J1779="","Prix manquant",IF(OR(NOT(ISNUMBER(J1779)),N(J1779)&lt;0),"Prix invalide",IF(OR(AND(F1779&lt;&gt;"",NOT(ISNUMBER(F1779))),N(F1779)&lt;0,N(F1779)&gt;1),"Remise invalide",IF(K1779="","Taux de TVA manquant",IF(NOT(ISNUMBER(K1779)),"Taux de TVA invalide",IF(COUNTIF(p_rates,K1779)=0,"Taux de TVA hors liste (Paramètres)",IF(N(O1779)&gt;25,"Au-delà de 25 lignes : non imprimée","OK")))))))))))))</f>
        <v/>
      </c>
      <c r="O1779" s="59" t="str">
        <f>IF(A1779="","",COUNTIF($A$6:A1779,A1779))</f>
        <v/>
      </c>
      <c r="P1779" s="62" t="str">
        <f>IF(A1779="","",A1779&amp;"|"&amp;O1779)</f>
        <v/>
      </c>
    </row>
    <row r="1780">
      <c r="A1780" s="60" t="n"/>
      <c r="B1780" s="63" t="n"/>
      <c r="C1780" s="63" t="n"/>
      <c r="D1780" s="67" t="n"/>
      <c r="E1780" s="68" t="n"/>
      <c r="F1780" s="69" t="n"/>
      <c r="G1780" s="70" t="n"/>
      <c r="H1780" s="62" t="str">
        <f>IF(COUNTA(A1780:G1780)=0,"",IF(C1780&lt;&gt;"",C1780,IF(B1780="","",IFERROR(INDEX(pr_des,MATCH(B1780,pr_code,0))&amp;"",""))))</f>
        <v/>
      </c>
      <c r="I1780" s="59" t="str">
        <f>IF(B1780="","",IFERROR(INDEX(pr_unit,MATCH(B1780,pr_code,0))&amp;"",""))</f>
        <v/>
      </c>
      <c r="J1780" s="65" t="str">
        <f>IF(COUNTA(A1780:G1780)=0,"",IF(E1780&lt;&gt;"",E1780,IF(B1780="","",IFERROR(IF(INDEX(pr_price,MATCH(B1780,pr_code,0))="","",INDEX(pr_price,MATCH(B1780,pr_code,0))),""))))</f>
        <v/>
      </c>
      <c r="K1780" s="71" t="str">
        <f>IF(COUNTA(A1780:G1780)=0,"",IF(G1780&lt;&gt;"",G1780,IF(B1780="","",IFERROR(IF(INDEX(pr_rate,MATCH(B1780,pr_code,0))="","",INDEX(pr_rate,MATCH(B1780,pr_code,0))),""))))</f>
        <v/>
      </c>
      <c r="L1780" s="65" t="str">
        <f>IF(COUNTA(A1780:G1780)=0,"",IF(AND(ISNUMBER(D1780),ISNUMBER(J1780)),ROUND(D1780*J1780*(1-N(F1780)),2),0))</f>
        <v/>
      </c>
      <c r="M1780" s="62" t="str">
        <f>IF(A1780="","",IFERROR(INDEX(dv_cname,MATCH(A1780,dv_num,0))&amp;"",""))</f>
        <v/>
      </c>
      <c r="N1780" s="59" t="str">
        <f>IF(COUNTA(A1780:G1780)=0,"",IF(A1780="","N° devis manquant",IF(ISNA(MATCH(A1780,dv_num,0)),"Devis inconnu",IF(AND(B1780&lt;&gt;"",ISNA(MATCH(B1780,pr_code,0))),"Article inconnu",IF(H1780="","Désignation manquante",IF(OR(NOT(ISNUMBER(D1780)),N(D1780)&lt;=0),"Quantité invalide",IF(J1780="","Prix manquant",IF(OR(NOT(ISNUMBER(J1780)),N(J1780)&lt;0),"Prix invalide",IF(OR(AND(F1780&lt;&gt;"",NOT(ISNUMBER(F1780))),N(F1780)&lt;0,N(F1780)&gt;1),"Remise invalide",IF(K1780="","Taux de TVA manquant",IF(NOT(ISNUMBER(K1780)),"Taux de TVA invalide",IF(COUNTIF(p_rates,K1780)=0,"Taux de TVA hors liste (Paramètres)",IF(N(O1780)&gt;25,"Au-delà de 25 lignes : non imprimée","OK")))))))))))))</f>
        <v/>
      </c>
      <c r="O1780" s="59" t="str">
        <f>IF(A1780="","",COUNTIF($A$6:A1780,A1780))</f>
        <v/>
      </c>
      <c r="P1780" s="62" t="str">
        <f>IF(A1780="","",A1780&amp;"|"&amp;O1780)</f>
        <v/>
      </c>
    </row>
    <row r="1781">
      <c r="A1781" s="60" t="n"/>
      <c r="B1781" s="63" t="n"/>
      <c r="C1781" s="63" t="n"/>
      <c r="D1781" s="67" t="n"/>
      <c r="E1781" s="68" t="n"/>
      <c r="F1781" s="69" t="n"/>
      <c r="G1781" s="70" t="n"/>
      <c r="H1781" s="62" t="str">
        <f>IF(COUNTA(A1781:G1781)=0,"",IF(C1781&lt;&gt;"",C1781,IF(B1781="","",IFERROR(INDEX(pr_des,MATCH(B1781,pr_code,0))&amp;"",""))))</f>
        <v/>
      </c>
      <c r="I1781" s="59" t="str">
        <f>IF(B1781="","",IFERROR(INDEX(pr_unit,MATCH(B1781,pr_code,0))&amp;"",""))</f>
        <v/>
      </c>
      <c r="J1781" s="65" t="str">
        <f>IF(COUNTA(A1781:G1781)=0,"",IF(E1781&lt;&gt;"",E1781,IF(B1781="","",IFERROR(IF(INDEX(pr_price,MATCH(B1781,pr_code,0))="","",INDEX(pr_price,MATCH(B1781,pr_code,0))),""))))</f>
        <v/>
      </c>
      <c r="K1781" s="71" t="str">
        <f>IF(COUNTA(A1781:G1781)=0,"",IF(G1781&lt;&gt;"",G1781,IF(B1781="","",IFERROR(IF(INDEX(pr_rate,MATCH(B1781,pr_code,0))="","",INDEX(pr_rate,MATCH(B1781,pr_code,0))),""))))</f>
        <v/>
      </c>
      <c r="L1781" s="65" t="str">
        <f>IF(COUNTA(A1781:G1781)=0,"",IF(AND(ISNUMBER(D1781),ISNUMBER(J1781)),ROUND(D1781*J1781*(1-N(F1781)),2),0))</f>
        <v/>
      </c>
      <c r="M1781" s="62" t="str">
        <f>IF(A1781="","",IFERROR(INDEX(dv_cname,MATCH(A1781,dv_num,0))&amp;"",""))</f>
        <v/>
      </c>
      <c r="N1781" s="59" t="str">
        <f>IF(COUNTA(A1781:G1781)=0,"",IF(A1781="","N° devis manquant",IF(ISNA(MATCH(A1781,dv_num,0)),"Devis inconnu",IF(AND(B1781&lt;&gt;"",ISNA(MATCH(B1781,pr_code,0))),"Article inconnu",IF(H1781="","Désignation manquante",IF(OR(NOT(ISNUMBER(D1781)),N(D1781)&lt;=0),"Quantité invalide",IF(J1781="","Prix manquant",IF(OR(NOT(ISNUMBER(J1781)),N(J1781)&lt;0),"Prix invalide",IF(OR(AND(F1781&lt;&gt;"",NOT(ISNUMBER(F1781))),N(F1781)&lt;0,N(F1781)&gt;1),"Remise invalide",IF(K1781="","Taux de TVA manquant",IF(NOT(ISNUMBER(K1781)),"Taux de TVA invalide",IF(COUNTIF(p_rates,K1781)=0,"Taux de TVA hors liste (Paramètres)",IF(N(O1781)&gt;25,"Au-delà de 25 lignes : non imprimée","OK")))))))))))))</f>
        <v/>
      </c>
      <c r="O1781" s="59" t="str">
        <f>IF(A1781="","",COUNTIF($A$6:A1781,A1781))</f>
        <v/>
      </c>
      <c r="P1781" s="62" t="str">
        <f>IF(A1781="","",A1781&amp;"|"&amp;O1781)</f>
        <v/>
      </c>
    </row>
    <row r="1782">
      <c r="A1782" s="60" t="n"/>
      <c r="B1782" s="63" t="n"/>
      <c r="C1782" s="63" t="n"/>
      <c r="D1782" s="67" t="n"/>
      <c r="E1782" s="68" t="n"/>
      <c r="F1782" s="69" t="n"/>
      <c r="G1782" s="70" t="n"/>
      <c r="H1782" s="62" t="str">
        <f>IF(COUNTA(A1782:G1782)=0,"",IF(C1782&lt;&gt;"",C1782,IF(B1782="","",IFERROR(INDEX(pr_des,MATCH(B1782,pr_code,0))&amp;"",""))))</f>
        <v/>
      </c>
      <c r="I1782" s="59" t="str">
        <f>IF(B1782="","",IFERROR(INDEX(pr_unit,MATCH(B1782,pr_code,0))&amp;"",""))</f>
        <v/>
      </c>
      <c r="J1782" s="65" t="str">
        <f>IF(COUNTA(A1782:G1782)=0,"",IF(E1782&lt;&gt;"",E1782,IF(B1782="","",IFERROR(IF(INDEX(pr_price,MATCH(B1782,pr_code,0))="","",INDEX(pr_price,MATCH(B1782,pr_code,0))),""))))</f>
        <v/>
      </c>
      <c r="K1782" s="71" t="str">
        <f>IF(COUNTA(A1782:G1782)=0,"",IF(G1782&lt;&gt;"",G1782,IF(B1782="","",IFERROR(IF(INDEX(pr_rate,MATCH(B1782,pr_code,0))="","",INDEX(pr_rate,MATCH(B1782,pr_code,0))),""))))</f>
        <v/>
      </c>
      <c r="L1782" s="65" t="str">
        <f>IF(COUNTA(A1782:G1782)=0,"",IF(AND(ISNUMBER(D1782),ISNUMBER(J1782)),ROUND(D1782*J1782*(1-N(F1782)),2),0))</f>
        <v/>
      </c>
      <c r="M1782" s="62" t="str">
        <f>IF(A1782="","",IFERROR(INDEX(dv_cname,MATCH(A1782,dv_num,0))&amp;"",""))</f>
        <v/>
      </c>
      <c r="N1782" s="59" t="str">
        <f>IF(COUNTA(A1782:G1782)=0,"",IF(A1782="","N° devis manquant",IF(ISNA(MATCH(A1782,dv_num,0)),"Devis inconnu",IF(AND(B1782&lt;&gt;"",ISNA(MATCH(B1782,pr_code,0))),"Article inconnu",IF(H1782="","Désignation manquante",IF(OR(NOT(ISNUMBER(D1782)),N(D1782)&lt;=0),"Quantité invalide",IF(J1782="","Prix manquant",IF(OR(NOT(ISNUMBER(J1782)),N(J1782)&lt;0),"Prix invalide",IF(OR(AND(F1782&lt;&gt;"",NOT(ISNUMBER(F1782))),N(F1782)&lt;0,N(F1782)&gt;1),"Remise invalide",IF(K1782="","Taux de TVA manquant",IF(NOT(ISNUMBER(K1782)),"Taux de TVA invalide",IF(COUNTIF(p_rates,K1782)=0,"Taux de TVA hors liste (Paramètres)",IF(N(O1782)&gt;25,"Au-delà de 25 lignes : non imprimée","OK")))))))))))))</f>
        <v/>
      </c>
      <c r="O1782" s="59" t="str">
        <f>IF(A1782="","",COUNTIF($A$6:A1782,A1782))</f>
        <v/>
      </c>
      <c r="P1782" s="62" t="str">
        <f>IF(A1782="","",A1782&amp;"|"&amp;O1782)</f>
        <v/>
      </c>
    </row>
    <row r="1783">
      <c r="A1783" s="60" t="n"/>
      <c r="B1783" s="63" t="n"/>
      <c r="C1783" s="63" t="n"/>
      <c r="D1783" s="67" t="n"/>
      <c r="E1783" s="68" t="n"/>
      <c r="F1783" s="69" t="n"/>
      <c r="G1783" s="70" t="n"/>
      <c r="H1783" s="62" t="str">
        <f>IF(COUNTA(A1783:G1783)=0,"",IF(C1783&lt;&gt;"",C1783,IF(B1783="","",IFERROR(INDEX(pr_des,MATCH(B1783,pr_code,0))&amp;"",""))))</f>
        <v/>
      </c>
      <c r="I1783" s="59" t="str">
        <f>IF(B1783="","",IFERROR(INDEX(pr_unit,MATCH(B1783,pr_code,0))&amp;"",""))</f>
        <v/>
      </c>
      <c r="J1783" s="65" t="str">
        <f>IF(COUNTA(A1783:G1783)=0,"",IF(E1783&lt;&gt;"",E1783,IF(B1783="","",IFERROR(IF(INDEX(pr_price,MATCH(B1783,pr_code,0))="","",INDEX(pr_price,MATCH(B1783,pr_code,0))),""))))</f>
        <v/>
      </c>
      <c r="K1783" s="71" t="str">
        <f>IF(COUNTA(A1783:G1783)=0,"",IF(G1783&lt;&gt;"",G1783,IF(B1783="","",IFERROR(IF(INDEX(pr_rate,MATCH(B1783,pr_code,0))="","",INDEX(pr_rate,MATCH(B1783,pr_code,0))),""))))</f>
        <v/>
      </c>
      <c r="L1783" s="65" t="str">
        <f>IF(COUNTA(A1783:G1783)=0,"",IF(AND(ISNUMBER(D1783),ISNUMBER(J1783)),ROUND(D1783*J1783*(1-N(F1783)),2),0))</f>
        <v/>
      </c>
      <c r="M1783" s="62" t="str">
        <f>IF(A1783="","",IFERROR(INDEX(dv_cname,MATCH(A1783,dv_num,0))&amp;"",""))</f>
        <v/>
      </c>
      <c r="N1783" s="59" t="str">
        <f>IF(COUNTA(A1783:G1783)=0,"",IF(A1783="","N° devis manquant",IF(ISNA(MATCH(A1783,dv_num,0)),"Devis inconnu",IF(AND(B1783&lt;&gt;"",ISNA(MATCH(B1783,pr_code,0))),"Article inconnu",IF(H1783="","Désignation manquante",IF(OR(NOT(ISNUMBER(D1783)),N(D1783)&lt;=0),"Quantité invalide",IF(J1783="","Prix manquant",IF(OR(NOT(ISNUMBER(J1783)),N(J1783)&lt;0),"Prix invalide",IF(OR(AND(F1783&lt;&gt;"",NOT(ISNUMBER(F1783))),N(F1783)&lt;0,N(F1783)&gt;1),"Remise invalide",IF(K1783="","Taux de TVA manquant",IF(NOT(ISNUMBER(K1783)),"Taux de TVA invalide",IF(COUNTIF(p_rates,K1783)=0,"Taux de TVA hors liste (Paramètres)",IF(N(O1783)&gt;25,"Au-delà de 25 lignes : non imprimée","OK")))))))))))))</f>
        <v/>
      </c>
      <c r="O1783" s="59" t="str">
        <f>IF(A1783="","",COUNTIF($A$6:A1783,A1783))</f>
        <v/>
      </c>
      <c r="P1783" s="62" t="str">
        <f>IF(A1783="","",A1783&amp;"|"&amp;O1783)</f>
        <v/>
      </c>
    </row>
    <row r="1784">
      <c r="A1784" s="60" t="n"/>
      <c r="B1784" s="63" t="n"/>
      <c r="C1784" s="63" t="n"/>
      <c r="D1784" s="67" t="n"/>
      <c r="E1784" s="68" t="n"/>
      <c r="F1784" s="69" t="n"/>
      <c r="G1784" s="70" t="n"/>
      <c r="H1784" s="62" t="str">
        <f>IF(COUNTA(A1784:G1784)=0,"",IF(C1784&lt;&gt;"",C1784,IF(B1784="","",IFERROR(INDEX(pr_des,MATCH(B1784,pr_code,0))&amp;"",""))))</f>
        <v/>
      </c>
      <c r="I1784" s="59" t="str">
        <f>IF(B1784="","",IFERROR(INDEX(pr_unit,MATCH(B1784,pr_code,0))&amp;"",""))</f>
        <v/>
      </c>
      <c r="J1784" s="65" t="str">
        <f>IF(COUNTA(A1784:G1784)=0,"",IF(E1784&lt;&gt;"",E1784,IF(B1784="","",IFERROR(IF(INDEX(pr_price,MATCH(B1784,pr_code,0))="","",INDEX(pr_price,MATCH(B1784,pr_code,0))),""))))</f>
        <v/>
      </c>
      <c r="K1784" s="71" t="str">
        <f>IF(COUNTA(A1784:G1784)=0,"",IF(G1784&lt;&gt;"",G1784,IF(B1784="","",IFERROR(IF(INDEX(pr_rate,MATCH(B1784,pr_code,0))="","",INDEX(pr_rate,MATCH(B1784,pr_code,0))),""))))</f>
        <v/>
      </c>
      <c r="L1784" s="65" t="str">
        <f>IF(COUNTA(A1784:G1784)=0,"",IF(AND(ISNUMBER(D1784),ISNUMBER(J1784)),ROUND(D1784*J1784*(1-N(F1784)),2),0))</f>
        <v/>
      </c>
      <c r="M1784" s="62" t="str">
        <f>IF(A1784="","",IFERROR(INDEX(dv_cname,MATCH(A1784,dv_num,0))&amp;"",""))</f>
        <v/>
      </c>
      <c r="N1784" s="59" t="str">
        <f>IF(COUNTA(A1784:G1784)=0,"",IF(A1784="","N° devis manquant",IF(ISNA(MATCH(A1784,dv_num,0)),"Devis inconnu",IF(AND(B1784&lt;&gt;"",ISNA(MATCH(B1784,pr_code,0))),"Article inconnu",IF(H1784="","Désignation manquante",IF(OR(NOT(ISNUMBER(D1784)),N(D1784)&lt;=0),"Quantité invalide",IF(J1784="","Prix manquant",IF(OR(NOT(ISNUMBER(J1784)),N(J1784)&lt;0),"Prix invalide",IF(OR(AND(F1784&lt;&gt;"",NOT(ISNUMBER(F1784))),N(F1784)&lt;0,N(F1784)&gt;1),"Remise invalide",IF(K1784="","Taux de TVA manquant",IF(NOT(ISNUMBER(K1784)),"Taux de TVA invalide",IF(COUNTIF(p_rates,K1784)=0,"Taux de TVA hors liste (Paramètres)",IF(N(O1784)&gt;25,"Au-delà de 25 lignes : non imprimée","OK")))))))))))))</f>
        <v/>
      </c>
      <c r="O1784" s="59" t="str">
        <f>IF(A1784="","",COUNTIF($A$6:A1784,A1784))</f>
        <v/>
      </c>
      <c r="P1784" s="62" t="str">
        <f>IF(A1784="","",A1784&amp;"|"&amp;O1784)</f>
        <v/>
      </c>
    </row>
    <row r="1785">
      <c r="A1785" s="60" t="n"/>
      <c r="B1785" s="63" t="n"/>
      <c r="C1785" s="63" t="n"/>
      <c r="D1785" s="67" t="n"/>
      <c r="E1785" s="68" t="n"/>
      <c r="F1785" s="69" t="n"/>
      <c r="G1785" s="70" t="n"/>
      <c r="H1785" s="62" t="str">
        <f>IF(COUNTA(A1785:G1785)=0,"",IF(C1785&lt;&gt;"",C1785,IF(B1785="","",IFERROR(INDEX(pr_des,MATCH(B1785,pr_code,0))&amp;"",""))))</f>
        <v/>
      </c>
      <c r="I1785" s="59" t="str">
        <f>IF(B1785="","",IFERROR(INDEX(pr_unit,MATCH(B1785,pr_code,0))&amp;"",""))</f>
        <v/>
      </c>
      <c r="J1785" s="65" t="str">
        <f>IF(COUNTA(A1785:G1785)=0,"",IF(E1785&lt;&gt;"",E1785,IF(B1785="","",IFERROR(IF(INDEX(pr_price,MATCH(B1785,pr_code,0))="","",INDEX(pr_price,MATCH(B1785,pr_code,0))),""))))</f>
        <v/>
      </c>
      <c r="K1785" s="71" t="str">
        <f>IF(COUNTA(A1785:G1785)=0,"",IF(G1785&lt;&gt;"",G1785,IF(B1785="","",IFERROR(IF(INDEX(pr_rate,MATCH(B1785,pr_code,0))="","",INDEX(pr_rate,MATCH(B1785,pr_code,0))),""))))</f>
        <v/>
      </c>
      <c r="L1785" s="65" t="str">
        <f>IF(COUNTA(A1785:G1785)=0,"",IF(AND(ISNUMBER(D1785),ISNUMBER(J1785)),ROUND(D1785*J1785*(1-N(F1785)),2),0))</f>
        <v/>
      </c>
      <c r="M1785" s="62" t="str">
        <f>IF(A1785="","",IFERROR(INDEX(dv_cname,MATCH(A1785,dv_num,0))&amp;"",""))</f>
        <v/>
      </c>
      <c r="N1785" s="59" t="str">
        <f>IF(COUNTA(A1785:G1785)=0,"",IF(A1785="","N° devis manquant",IF(ISNA(MATCH(A1785,dv_num,0)),"Devis inconnu",IF(AND(B1785&lt;&gt;"",ISNA(MATCH(B1785,pr_code,0))),"Article inconnu",IF(H1785="","Désignation manquante",IF(OR(NOT(ISNUMBER(D1785)),N(D1785)&lt;=0),"Quantité invalide",IF(J1785="","Prix manquant",IF(OR(NOT(ISNUMBER(J1785)),N(J1785)&lt;0),"Prix invalide",IF(OR(AND(F1785&lt;&gt;"",NOT(ISNUMBER(F1785))),N(F1785)&lt;0,N(F1785)&gt;1),"Remise invalide",IF(K1785="","Taux de TVA manquant",IF(NOT(ISNUMBER(K1785)),"Taux de TVA invalide",IF(COUNTIF(p_rates,K1785)=0,"Taux de TVA hors liste (Paramètres)",IF(N(O1785)&gt;25,"Au-delà de 25 lignes : non imprimée","OK")))))))))))))</f>
        <v/>
      </c>
      <c r="O1785" s="59" t="str">
        <f>IF(A1785="","",COUNTIF($A$6:A1785,A1785))</f>
        <v/>
      </c>
      <c r="P1785" s="62" t="str">
        <f>IF(A1785="","",A1785&amp;"|"&amp;O1785)</f>
        <v/>
      </c>
    </row>
    <row r="1786">
      <c r="A1786" s="60" t="n"/>
      <c r="B1786" s="63" t="n"/>
      <c r="C1786" s="63" t="n"/>
      <c r="D1786" s="67" t="n"/>
      <c r="E1786" s="68" t="n"/>
      <c r="F1786" s="69" t="n"/>
      <c r="G1786" s="70" t="n"/>
      <c r="H1786" s="62" t="str">
        <f>IF(COUNTA(A1786:G1786)=0,"",IF(C1786&lt;&gt;"",C1786,IF(B1786="","",IFERROR(INDEX(pr_des,MATCH(B1786,pr_code,0))&amp;"",""))))</f>
        <v/>
      </c>
      <c r="I1786" s="59" t="str">
        <f>IF(B1786="","",IFERROR(INDEX(pr_unit,MATCH(B1786,pr_code,0))&amp;"",""))</f>
        <v/>
      </c>
      <c r="J1786" s="65" t="str">
        <f>IF(COUNTA(A1786:G1786)=0,"",IF(E1786&lt;&gt;"",E1786,IF(B1786="","",IFERROR(IF(INDEX(pr_price,MATCH(B1786,pr_code,0))="","",INDEX(pr_price,MATCH(B1786,pr_code,0))),""))))</f>
        <v/>
      </c>
      <c r="K1786" s="71" t="str">
        <f>IF(COUNTA(A1786:G1786)=0,"",IF(G1786&lt;&gt;"",G1786,IF(B1786="","",IFERROR(IF(INDEX(pr_rate,MATCH(B1786,pr_code,0))="","",INDEX(pr_rate,MATCH(B1786,pr_code,0))),""))))</f>
        <v/>
      </c>
      <c r="L1786" s="65" t="str">
        <f>IF(COUNTA(A1786:G1786)=0,"",IF(AND(ISNUMBER(D1786),ISNUMBER(J1786)),ROUND(D1786*J1786*(1-N(F1786)),2),0))</f>
        <v/>
      </c>
      <c r="M1786" s="62" t="str">
        <f>IF(A1786="","",IFERROR(INDEX(dv_cname,MATCH(A1786,dv_num,0))&amp;"",""))</f>
        <v/>
      </c>
      <c r="N1786" s="59" t="str">
        <f>IF(COUNTA(A1786:G1786)=0,"",IF(A1786="","N° devis manquant",IF(ISNA(MATCH(A1786,dv_num,0)),"Devis inconnu",IF(AND(B1786&lt;&gt;"",ISNA(MATCH(B1786,pr_code,0))),"Article inconnu",IF(H1786="","Désignation manquante",IF(OR(NOT(ISNUMBER(D1786)),N(D1786)&lt;=0),"Quantité invalide",IF(J1786="","Prix manquant",IF(OR(NOT(ISNUMBER(J1786)),N(J1786)&lt;0),"Prix invalide",IF(OR(AND(F1786&lt;&gt;"",NOT(ISNUMBER(F1786))),N(F1786)&lt;0,N(F1786)&gt;1),"Remise invalide",IF(K1786="","Taux de TVA manquant",IF(NOT(ISNUMBER(K1786)),"Taux de TVA invalide",IF(COUNTIF(p_rates,K1786)=0,"Taux de TVA hors liste (Paramètres)",IF(N(O1786)&gt;25,"Au-delà de 25 lignes : non imprimée","OK")))))))))))))</f>
        <v/>
      </c>
      <c r="O1786" s="59" t="str">
        <f>IF(A1786="","",COUNTIF($A$6:A1786,A1786))</f>
        <v/>
      </c>
      <c r="P1786" s="62" t="str">
        <f>IF(A1786="","",A1786&amp;"|"&amp;O1786)</f>
        <v/>
      </c>
    </row>
    <row r="1787">
      <c r="A1787" s="60" t="n"/>
      <c r="B1787" s="63" t="n"/>
      <c r="C1787" s="63" t="n"/>
      <c r="D1787" s="67" t="n"/>
      <c r="E1787" s="68" t="n"/>
      <c r="F1787" s="69" t="n"/>
      <c r="G1787" s="70" t="n"/>
      <c r="H1787" s="62" t="str">
        <f>IF(COUNTA(A1787:G1787)=0,"",IF(C1787&lt;&gt;"",C1787,IF(B1787="","",IFERROR(INDEX(pr_des,MATCH(B1787,pr_code,0))&amp;"",""))))</f>
        <v/>
      </c>
      <c r="I1787" s="59" t="str">
        <f>IF(B1787="","",IFERROR(INDEX(pr_unit,MATCH(B1787,pr_code,0))&amp;"",""))</f>
        <v/>
      </c>
      <c r="J1787" s="65" t="str">
        <f>IF(COUNTA(A1787:G1787)=0,"",IF(E1787&lt;&gt;"",E1787,IF(B1787="","",IFERROR(IF(INDEX(pr_price,MATCH(B1787,pr_code,0))="","",INDEX(pr_price,MATCH(B1787,pr_code,0))),""))))</f>
        <v/>
      </c>
      <c r="K1787" s="71" t="str">
        <f>IF(COUNTA(A1787:G1787)=0,"",IF(G1787&lt;&gt;"",G1787,IF(B1787="","",IFERROR(IF(INDEX(pr_rate,MATCH(B1787,pr_code,0))="","",INDEX(pr_rate,MATCH(B1787,pr_code,0))),""))))</f>
        <v/>
      </c>
      <c r="L1787" s="65" t="str">
        <f>IF(COUNTA(A1787:G1787)=0,"",IF(AND(ISNUMBER(D1787),ISNUMBER(J1787)),ROUND(D1787*J1787*(1-N(F1787)),2),0))</f>
        <v/>
      </c>
      <c r="M1787" s="62" t="str">
        <f>IF(A1787="","",IFERROR(INDEX(dv_cname,MATCH(A1787,dv_num,0))&amp;"",""))</f>
        <v/>
      </c>
      <c r="N1787" s="59" t="str">
        <f>IF(COUNTA(A1787:G1787)=0,"",IF(A1787="","N° devis manquant",IF(ISNA(MATCH(A1787,dv_num,0)),"Devis inconnu",IF(AND(B1787&lt;&gt;"",ISNA(MATCH(B1787,pr_code,0))),"Article inconnu",IF(H1787="","Désignation manquante",IF(OR(NOT(ISNUMBER(D1787)),N(D1787)&lt;=0),"Quantité invalide",IF(J1787="","Prix manquant",IF(OR(NOT(ISNUMBER(J1787)),N(J1787)&lt;0),"Prix invalide",IF(OR(AND(F1787&lt;&gt;"",NOT(ISNUMBER(F1787))),N(F1787)&lt;0,N(F1787)&gt;1),"Remise invalide",IF(K1787="","Taux de TVA manquant",IF(NOT(ISNUMBER(K1787)),"Taux de TVA invalide",IF(COUNTIF(p_rates,K1787)=0,"Taux de TVA hors liste (Paramètres)",IF(N(O1787)&gt;25,"Au-delà de 25 lignes : non imprimée","OK")))))))))))))</f>
        <v/>
      </c>
      <c r="O1787" s="59" t="str">
        <f>IF(A1787="","",COUNTIF($A$6:A1787,A1787))</f>
        <v/>
      </c>
      <c r="P1787" s="62" t="str">
        <f>IF(A1787="","",A1787&amp;"|"&amp;O1787)</f>
        <v/>
      </c>
    </row>
    <row r="1788">
      <c r="A1788" s="60" t="n"/>
      <c r="B1788" s="63" t="n"/>
      <c r="C1788" s="63" t="n"/>
      <c r="D1788" s="67" t="n"/>
      <c r="E1788" s="68" t="n"/>
      <c r="F1788" s="69" t="n"/>
      <c r="G1788" s="70" t="n"/>
      <c r="H1788" s="62" t="str">
        <f>IF(COUNTA(A1788:G1788)=0,"",IF(C1788&lt;&gt;"",C1788,IF(B1788="","",IFERROR(INDEX(pr_des,MATCH(B1788,pr_code,0))&amp;"",""))))</f>
        <v/>
      </c>
      <c r="I1788" s="59" t="str">
        <f>IF(B1788="","",IFERROR(INDEX(pr_unit,MATCH(B1788,pr_code,0))&amp;"",""))</f>
        <v/>
      </c>
      <c r="J1788" s="65" t="str">
        <f>IF(COUNTA(A1788:G1788)=0,"",IF(E1788&lt;&gt;"",E1788,IF(B1788="","",IFERROR(IF(INDEX(pr_price,MATCH(B1788,pr_code,0))="","",INDEX(pr_price,MATCH(B1788,pr_code,0))),""))))</f>
        <v/>
      </c>
      <c r="K1788" s="71" t="str">
        <f>IF(COUNTA(A1788:G1788)=0,"",IF(G1788&lt;&gt;"",G1788,IF(B1788="","",IFERROR(IF(INDEX(pr_rate,MATCH(B1788,pr_code,0))="","",INDEX(pr_rate,MATCH(B1788,pr_code,0))),""))))</f>
        <v/>
      </c>
      <c r="L1788" s="65" t="str">
        <f>IF(COUNTA(A1788:G1788)=0,"",IF(AND(ISNUMBER(D1788),ISNUMBER(J1788)),ROUND(D1788*J1788*(1-N(F1788)),2),0))</f>
        <v/>
      </c>
      <c r="M1788" s="62" t="str">
        <f>IF(A1788="","",IFERROR(INDEX(dv_cname,MATCH(A1788,dv_num,0))&amp;"",""))</f>
        <v/>
      </c>
      <c r="N1788" s="59" t="str">
        <f>IF(COUNTA(A1788:G1788)=0,"",IF(A1788="","N° devis manquant",IF(ISNA(MATCH(A1788,dv_num,0)),"Devis inconnu",IF(AND(B1788&lt;&gt;"",ISNA(MATCH(B1788,pr_code,0))),"Article inconnu",IF(H1788="","Désignation manquante",IF(OR(NOT(ISNUMBER(D1788)),N(D1788)&lt;=0),"Quantité invalide",IF(J1788="","Prix manquant",IF(OR(NOT(ISNUMBER(J1788)),N(J1788)&lt;0),"Prix invalide",IF(OR(AND(F1788&lt;&gt;"",NOT(ISNUMBER(F1788))),N(F1788)&lt;0,N(F1788)&gt;1),"Remise invalide",IF(K1788="","Taux de TVA manquant",IF(NOT(ISNUMBER(K1788)),"Taux de TVA invalide",IF(COUNTIF(p_rates,K1788)=0,"Taux de TVA hors liste (Paramètres)",IF(N(O1788)&gt;25,"Au-delà de 25 lignes : non imprimée","OK")))))))))))))</f>
        <v/>
      </c>
      <c r="O1788" s="59" t="str">
        <f>IF(A1788="","",COUNTIF($A$6:A1788,A1788))</f>
        <v/>
      </c>
      <c r="P1788" s="62" t="str">
        <f>IF(A1788="","",A1788&amp;"|"&amp;O1788)</f>
        <v/>
      </c>
    </row>
    <row r="1789">
      <c r="A1789" s="60" t="n"/>
      <c r="B1789" s="63" t="n"/>
      <c r="C1789" s="63" t="n"/>
      <c r="D1789" s="67" t="n"/>
      <c r="E1789" s="68" t="n"/>
      <c r="F1789" s="69" t="n"/>
      <c r="G1789" s="70" t="n"/>
      <c r="H1789" s="62" t="str">
        <f>IF(COUNTA(A1789:G1789)=0,"",IF(C1789&lt;&gt;"",C1789,IF(B1789="","",IFERROR(INDEX(pr_des,MATCH(B1789,pr_code,0))&amp;"",""))))</f>
        <v/>
      </c>
      <c r="I1789" s="59" t="str">
        <f>IF(B1789="","",IFERROR(INDEX(pr_unit,MATCH(B1789,pr_code,0))&amp;"",""))</f>
        <v/>
      </c>
      <c r="J1789" s="65" t="str">
        <f>IF(COUNTA(A1789:G1789)=0,"",IF(E1789&lt;&gt;"",E1789,IF(B1789="","",IFERROR(IF(INDEX(pr_price,MATCH(B1789,pr_code,0))="","",INDEX(pr_price,MATCH(B1789,pr_code,0))),""))))</f>
        <v/>
      </c>
      <c r="K1789" s="71" t="str">
        <f>IF(COUNTA(A1789:G1789)=0,"",IF(G1789&lt;&gt;"",G1789,IF(B1789="","",IFERROR(IF(INDEX(pr_rate,MATCH(B1789,pr_code,0))="","",INDEX(pr_rate,MATCH(B1789,pr_code,0))),""))))</f>
        <v/>
      </c>
      <c r="L1789" s="65" t="str">
        <f>IF(COUNTA(A1789:G1789)=0,"",IF(AND(ISNUMBER(D1789),ISNUMBER(J1789)),ROUND(D1789*J1789*(1-N(F1789)),2),0))</f>
        <v/>
      </c>
      <c r="M1789" s="62" t="str">
        <f>IF(A1789="","",IFERROR(INDEX(dv_cname,MATCH(A1789,dv_num,0))&amp;"",""))</f>
        <v/>
      </c>
      <c r="N1789" s="59" t="str">
        <f>IF(COUNTA(A1789:G1789)=0,"",IF(A1789="","N° devis manquant",IF(ISNA(MATCH(A1789,dv_num,0)),"Devis inconnu",IF(AND(B1789&lt;&gt;"",ISNA(MATCH(B1789,pr_code,0))),"Article inconnu",IF(H1789="","Désignation manquante",IF(OR(NOT(ISNUMBER(D1789)),N(D1789)&lt;=0),"Quantité invalide",IF(J1789="","Prix manquant",IF(OR(NOT(ISNUMBER(J1789)),N(J1789)&lt;0),"Prix invalide",IF(OR(AND(F1789&lt;&gt;"",NOT(ISNUMBER(F1789))),N(F1789)&lt;0,N(F1789)&gt;1),"Remise invalide",IF(K1789="","Taux de TVA manquant",IF(NOT(ISNUMBER(K1789)),"Taux de TVA invalide",IF(COUNTIF(p_rates,K1789)=0,"Taux de TVA hors liste (Paramètres)",IF(N(O1789)&gt;25,"Au-delà de 25 lignes : non imprimée","OK")))))))))))))</f>
        <v/>
      </c>
      <c r="O1789" s="59" t="str">
        <f>IF(A1789="","",COUNTIF($A$6:A1789,A1789))</f>
        <v/>
      </c>
      <c r="P1789" s="62" t="str">
        <f>IF(A1789="","",A1789&amp;"|"&amp;O1789)</f>
        <v/>
      </c>
    </row>
    <row r="1790">
      <c r="A1790" s="60" t="n"/>
      <c r="B1790" s="63" t="n"/>
      <c r="C1790" s="63" t="n"/>
      <c r="D1790" s="67" t="n"/>
      <c r="E1790" s="68" t="n"/>
      <c r="F1790" s="69" t="n"/>
      <c r="G1790" s="70" t="n"/>
      <c r="H1790" s="62" t="str">
        <f>IF(COUNTA(A1790:G1790)=0,"",IF(C1790&lt;&gt;"",C1790,IF(B1790="","",IFERROR(INDEX(pr_des,MATCH(B1790,pr_code,0))&amp;"",""))))</f>
        <v/>
      </c>
      <c r="I1790" s="59" t="str">
        <f>IF(B1790="","",IFERROR(INDEX(pr_unit,MATCH(B1790,pr_code,0))&amp;"",""))</f>
        <v/>
      </c>
      <c r="J1790" s="65" t="str">
        <f>IF(COUNTA(A1790:G1790)=0,"",IF(E1790&lt;&gt;"",E1790,IF(B1790="","",IFERROR(IF(INDEX(pr_price,MATCH(B1790,pr_code,0))="","",INDEX(pr_price,MATCH(B1790,pr_code,0))),""))))</f>
        <v/>
      </c>
      <c r="K1790" s="71" t="str">
        <f>IF(COUNTA(A1790:G1790)=0,"",IF(G1790&lt;&gt;"",G1790,IF(B1790="","",IFERROR(IF(INDEX(pr_rate,MATCH(B1790,pr_code,0))="","",INDEX(pr_rate,MATCH(B1790,pr_code,0))),""))))</f>
        <v/>
      </c>
      <c r="L1790" s="65" t="str">
        <f>IF(COUNTA(A1790:G1790)=0,"",IF(AND(ISNUMBER(D1790),ISNUMBER(J1790)),ROUND(D1790*J1790*(1-N(F1790)),2),0))</f>
        <v/>
      </c>
      <c r="M1790" s="62" t="str">
        <f>IF(A1790="","",IFERROR(INDEX(dv_cname,MATCH(A1790,dv_num,0))&amp;"",""))</f>
        <v/>
      </c>
      <c r="N1790" s="59" t="str">
        <f>IF(COUNTA(A1790:G1790)=0,"",IF(A1790="","N° devis manquant",IF(ISNA(MATCH(A1790,dv_num,0)),"Devis inconnu",IF(AND(B1790&lt;&gt;"",ISNA(MATCH(B1790,pr_code,0))),"Article inconnu",IF(H1790="","Désignation manquante",IF(OR(NOT(ISNUMBER(D1790)),N(D1790)&lt;=0),"Quantité invalide",IF(J1790="","Prix manquant",IF(OR(NOT(ISNUMBER(J1790)),N(J1790)&lt;0),"Prix invalide",IF(OR(AND(F1790&lt;&gt;"",NOT(ISNUMBER(F1790))),N(F1790)&lt;0,N(F1790)&gt;1),"Remise invalide",IF(K1790="","Taux de TVA manquant",IF(NOT(ISNUMBER(K1790)),"Taux de TVA invalide",IF(COUNTIF(p_rates,K1790)=0,"Taux de TVA hors liste (Paramètres)",IF(N(O1790)&gt;25,"Au-delà de 25 lignes : non imprimée","OK")))))))))))))</f>
        <v/>
      </c>
      <c r="O1790" s="59" t="str">
        <f>IF(A1790="","",COUNTIF($A$6:A1790,A1790))</f>
        <v/>
      </c>
      <c r="P1790" s="62" t="str">
        <f>IF(A1790="","",A1790&amp;"|"&amp;O1790)</f>
        <v/>
      </c>
    </row>
    <row r="1791">
      <c r="A1791" s="60" t="n"/>
      <c r="B1791" s="63" t="n"/>
      <c r="C1791" s="63" t="n"/>
      <c r="D1791" s="67" t="n"/>
      <c r="E1791" s="68" t="n"/>
      <c r="F1791" s="69" t="n"/>
      <c r="G1791" s="70" t="n"/>
      <c r="H1791" s="62" t="str">
        <f>IF(COUNTA(A1791:G1791)=0,"",IF(C1791&lt;&gt;"",C1791,IF(B1791="","",IFERROR(INDEX(pr_des,MATCH(B1791,pr_code,0))&amp;"",""))))</f>
        <v/>
      </c>
      <c r="I1791" s="59" t="str">
        <f>IF(B1791="","",IFERROR(INDEX(pr_unit,MATCH(B1791,pr_code,0))&amp;"",""))</f>
        <v/>
      </c>
      <c r="J1791" s="65" t="str">
        <f>IF(COUNTA(A1791:G1791)=0,"",IF(E1791&lt;&gt;"",E1791,IF(B1791="","",IFERROR(IF(INDEX(pr_price,MATCH(B1791,pr_code,0))="","",INDEX(pr_price,MATCH(B1791,pr_code,0))),""))))</f>
        <v/>
      </c>
      <c r="K1791" s="71" t="str">
        <f>IF(COUNTA(A1791:G1791)=0,"",IF(G1791&lt;&gt;"",G1791,IF(B1791="","",IFERROR(IF(INDEX(pr_rate,MATCH(B1791,pr_code,0))="","",INDEX(pr_rate,MATCH(B1791,pr_code,0))),""))))</f>
        <v/>
      </c>
      <c r="L1791" s="65" t="str">
        <f>IF(COUNTA(A1791:G1791)=0,"",IF(AND(ISNUMBER(D1791),ISNUMBER(J1791)),ROUND(D1791*J1791*(1-N(F1791)),2),0))</f>
        <v/>
      </c>
      <c r="M1791" s="62" t="str">
        <f>IF(A1791="","",IFERROR(INDEX(dv_cname,MATCH(A1791,dv_num,0))&amp;"",""))</f>
        <v/>
      </c>
      <c r="N1791" s="59" t="str">
        <f>IF(COUNTA(A1791:G1791)=0,"",IF(A1791="","N° devis manquant",IF(ISNA(MATCH(A1791,dv_num,0)),"Devis inconnu",IF(AND(B1791&lt;&gt;"",ISNA(MATCH(B1791,pr_code,0))),"Article inconnu",IF(H1791="","Désignation manquante",IF(OR(NOT(ISNUMBER(D1791)),N(D1791)&lt;=0),"Quantité invalide",IF(J1791="","Prix manquant",IF(OR(NOT(ISNUMBER(J1791)),N(J1791)&lt;0),"Prix invalide",IF(OR(AND(F1791&lt;&gt;"",NOT(ISNUMBER(F1791))),N(F1791)&lt;0,N(F1791)&gt;1),"Remise invalide",IF(K1791="","Taux de TVA manquant",IF(NOT(ISNUMBER(K1791)),"Taux de TVA invalide",IF(COUNTIF(p_rates,K1791)=0,"Taux de TVA hors liste (Paramètres)",IF(N(O1791)&gt;25,"Au-delà de 25 lignes : non imprimée","OK")))))))))))))</f>
        <v/>
      </c>
      <c r="O1791" s="59" t="str">
        <f>IF(A1791="","",COUNTIF($A$6:A1791,A1791))</f>
        <v/>
      </c>
      <c r="P1791" s="62" t="str">
        <f>IF(A1791="","",A1791&amp;"|"&amp;O1791)</f>
        <v/>
      </c>
    </row>
    <row r="1792">
      <c r="A1792" s="60" t="n"/>
      <c r="B1792" s="63" t="n"/>
      <c r="C1792" s="63" t="n"/>
      <c r="D1792" s="67" t="n"/>
      <c r="E1792" s="68" t="n"/>
      <c r="F1792" s="69" t="n"/>
      <c r="G1792" s="70" t="n"/>
      <c r="H1792" s="62" t="str">
        <f>IF(COUNTA(A1792:G1792)=0,"",IF(C1792&lt;&gt;"",C1792,IF(B1792="","",IFERROR(INDEX(pr_des,MATCH(B1792,pr_code,0))&amp;"",""))))</f>
        <v/>
      </c>
      <c r="I1792" s="59" t="str">
        <f>IF(B1792="","",IFERROR(INDEX(pr_unit,MATCH(B1792,pr_code,0))&amp;"",""))</f>
        <v/>
      </c>
      <c r="J1792" s="65" t="str">
        <f>IF(COUNTA(A1792:G1792)=0,"",IF(E1792&lt;&gt;"",E1792,IF(B1792="","",IFERROR(IF(INDEX(pr_price,MATCH(B1792,pr_code,0))="","",INDEX(pr_price,MATCH(B1792,pr_code,0))),""))))</f>
        <v/>
      </c>
      <c r="K1792" s="71" t="str">
        <f>IF(COUNTA(A1792:G1792)=0,"",IF(G1792&lt;&gt;"",G1792,IF(B1792="","",IFERROR(IF(INDEX(pr_rate,MATCH(B1792,pr_code,0))="","",INDEX(pr_rate,MATCH(B1792,pr_code,0))),""))))</f>
        <v/>
      </c>
      <c r="L1792" s="65" t="str">
        <f>IF(COUNTA(A1792:G1792)=0,"",IF(AND(ISNUMBER(D1792),ISNUMBER(J1792)),ROUND(D1792*J1792*(1-N(F1792)),2),0))</f>
        <v/>
      </c>
      <c r="M1792" s="62" t="str">
        <f>IF(A1792="","",IFERROR(INDEX(dv_cname,MATCH(A1792,dv_num,0))&amp;"",""))</f>
        <v/>
      </c>
      <c r="N1792" s="59" t="str">
        <f>IF(COUNTA(A1792:G1792)=0,"",IF(A1792="","N° devis manquant",IF(ISNA(MATCH(A1792,dv_num,0)),"Devis inconnu",IF(AND(B1792&lt;&gt;"",ISNA(MATCH(B1792,pr_code,0))),"Article inconnu",IF(H1792="","Désignation manquante",IF(OR(NOT(ISNUMBER(D1792)),N(D1792)&lt;=0),"Quantité invalide",IF(J1792="","Prix manquant",IF(OR(NOT(ISNUMBER(J1792)),N(J1792)&lt;0),"Prix invalide",IF(OR(AND(F1792&lt;&gt;"",NOT(ISNUMBER(F1792))),N(F1792)&lt;0,N(F1792)&gt;1),"Remise invalide",IF(K1792="","Taux de TVA manquant",IF(NOT(ISNUMBER(K1792)),"Taux de TVA invalide",IF(COUNTIF(p_rates,K1792)=0,"Taux de TVA hors liste (Paramètres)",IF(N(O1792)&gt;25,"Au-delà de 25 lignes : non imprimée","OK")))))))))))))</f>
        <v/>
      </c>
      <c r="O1792" s="59" t="str">
        <f>IF(A1792="","",COUNTIF($A$6:A1792,A1792))</f>
        <v/>
      </c>
      <c r="P1792" s="62" t="str">
        <f>IF(A1792="","",A1792&amp;"|"&amp;O1792)</f>
        <v/>
      </c>
    </row>
    <row r="1793">
      <c r="A1793" s="60" t="n"/>
      <c r="B1793" s="63" t="n"/>
      <c r="C1793" s="63" t="n"/>
      <c r="D1793" s="67" t="n"/>
      <c r="E1793" s="68" t="n"/>
      <c r="F1793" s="69" t="n"/>
      <c r="G1793" s="70" t="n"/>
      <c r="H1793" s="62" t="str">
        <f>IF(COUNTA(A1793:G1793)=0,"",IF(C1793&lt;&gt;"",C1793,IF(B1793="","",IFERROR(INDEX(pr_des,MATCH(B1793,pr_code,0))&amp;"",""))))</f>
        <v/>
      </c>
      <c r="I1793" s="59" t="str">
        <f>IF(B1793="","",IFERROR(INDEX(pr_unit,MATCH(B1793,pr_code,0))&amp;"",""))</f>
        <v/>
      </c>
      <c r="J1793" s="65" t="str">
        <f>IF(COUNTA(A1793:G1793)=0,"",IF(E1793&lt;&gt;"",E1793,IF(B1793="","",IFERROR(IF(INDEX(pr_price,MATCH(B1793,pr_code,0))="","",INDEX(pr_price,MATCH(B1793,pr_code,0))),""))))</f>
        <v/>
      </c>
      <c r="K1793" s="71" t="str">
        <f>IF(COUNTA(A1793:G1793)=0,"",IF(G1793&lt;&gt;"",G1793,IF(B1793="","",IFERROR(IF(INDEX(pr_rate,MATCH(B1793,pr_code,0))="","",INDEX(pr_rate,MATCH(B1793,pr_code,0))),""))))</f>
        <v/>
      </c>
      <c r="L1793" s="65" t="str">
        <f>IF(COUNTA(A1793:G1793)=0,"",IF(AND(ISNUMBER(D1793),ISNUMBER(J1793)),ROUND(D1793*J1793*(1-N(F1793)),2),0))</f>
        <v/>
      </c>
      <c r="M1793" s="62" t="str">
        <f>IF(A1793="","",IFERROR(INDEX(dv_cname,MATCH(A1793,dv_num,0))&amp;"",""))</f>
        <v/>
      </c>
      <c r="N1793" s="59" t="str">
        <f>IF(COUNTA(A1793:G1793)=0,"",IF(A1793="","N° devis manquant",IF(ISNA(MATCH(A1793,dv_num,0)),"Devis inconnu",IF(AND(B1793&lt;&gt;"",ISNA(MATCH(B1793,pr_code,0))),"Article inconnu",IF(H1793="","Désignation manquante",IF(OR(NOT(ISNUMBER(D1793)),N(D1793)&lt;=0),"Quantité invalide",IF(J1793="","Prix manquant",IF(OR(NOT(ISNUMBER(J1793)),N(J1793)&lt;0),"Prix invalide",IF(OR(AND(F1793&lt;&gt;"",NOT(ISNUMBER(F1793))),N(F1793)&lt;0,N(F1793)&gt;1),"Remise invalide",IF(K1793="","Taux de TVA manquant",IF(NOT(ISNUMBER(K1793)),"Taux de TVA invalide",IF(COUNTIF(p_rates,K1793)=0,"Taux de TVA hors liste (Paramètres)",IF(N(O1793)&gt;25,"Au-delà de 25 lignes : non imprimée","OK")))))))))))))</f>
        <v/>
      </c>
      <c r="O1793" s="59" t="str">
        <f>IF(A1793="","",COUNTIF($A$6:A1793,A1793))</f>
        <v/>
      </c>
      <c r="P1793" s="62" t="str">
        <f>IF(A1793="","",A1793&amp;"|"&amp;O1793)</f>
        <v/>
      </c>
    </row>
    <row r="1794">
      <c r="A1794" s="60" t="n"/>
      <c r="B1794" s="63" t="n"/>
      <c r="C1794" s="63" t="n"/>
      <c r="D1794" s="67" t="n"/>
      <c r="E1794" s="68" t="n"/>
      <c r="F1794" s="69" t="n"/>
      <c r="G1794" s="70" t="n"/>
      <c r="H1794" s="62" t="str">
        <f>IF(COUNTA(A1794:G1794)=0,"",IF(C1794&lt;&gt;"",C1794,IF(B1794="","",IFERROR(INDEX(pr_des,MATCH(B1794,pr_code,0))&amp;"",""))))</f>
        <v/>
      </c>
      <c r="I1794" s="59" t="str">
        <f>IF(B1794="","",IFERROR(INDEX(pr_unit,MATCH(B1794,pr_code,0))&amp;"",""))</f>
        <v/>
      </c>
      <c r="J1794" s="65" t="str">
        <f>IF(COUNTA(A1794:G1794)=0,"",IF(E1794&lt;&gt;"",E1794,IF(B1794="","",IFERROR(IF(INDEX(pr_price,MATCH(B1794,pr_code,0))="","",INDEX(pr_price,MATCH(B1794,pr_code,0))),""))))</f>
        <v/>
      </c>
      <c r="K1794" s="71" t="str">
        <f>IF(COUNTA(A1794:G1794)=0,"",IF(G1794&lt;&gt;"",G1794,IF(B1794="","",IFERROR(IF(INDEX(pr_rate,MATCH(B1794,pr_code,0))="","",INDEX(pr_rate,MATCH(B1794,pr_code,0))),""))))</f>
        <v/>
      </c>
      <c r="L1794" s="65" t="str">
        <f>IF(COUNTA(A1794:G1794)=0,"",IF(AND(ISNUMBER(D1794),ISNUMBER(J1794)),ROUND(D1794*J1794*(1-N(F1794)),2),0))</f>
        <v/>
      </c>
      <c r="M1794" s="62" t="str">
        <f>IF(A1794="","",IFERROR(INDEX(dv_cname,MATCH(A1794,dv_num,0))&amp;"",""))</f>
        <v/>
      </c>
      <c r="N1794" s="59" t="str">
        <f>IF(COUNTA(A1794:G1794)=0,"",IF(A1794="","N° devis manquant",IF(ISNA(MATCH(A1794,dv_num,0)),"Devis inconnu",IF(AND(B1794&lt;&gt;"",ISNA(MATCH(B1794,pr_code,0))),"Article inconnu",IF(H1794="","Désignation manquante",IF(OR(NOT(ISNUMBER(D1794)),N(D1794)&lt;=0),"Quantité invalide",IF(J1794="","Prix manquant",IF(OR(NOT(ISNUMBER(J1794)),N(J1794)&lt;0),"Prix invalide",IF(OR(AND(F1794&lt;&gt;"",NOT(ISNUMBER(F1794))),N(F1794)&lt;0,N(F1794)&gt;1),"Remise invalide",IF(K1794="","Taux de TVA manquant",IF(NOT(ISNUMBER(K1794)),"Taux de TVA invalide",IF(COUNTIF(p_rates,K1794)=0,"Taux de TVA hors liste (Paramètres)",IF(N(O1794)&gt;25,"Au-delà de 25 lignes : non imprimée","OK")))))))))))))</f>
        <v/>
      </c>
      <c r="O1794" s="59" t="str">
        <f>IF(A1794="","",COUNTIF($A$6:A1794,A1794))</f>
        <v/>
      </c>
      <c r="P1794" s="62" t="str">
        <f>IF(A1794="","",A1794&amp;"|"&amp;O1794)</f>
        <v/>
      </c>
    </row>
    <row r="1795">
      <c r="A1795" s="60" t="n"/>
      <c r="B1795" s="63" t="n"/>
      <c r="C1795" s="63" t="n"/>
      <c r="D1795" s="67" t="n"/>
      <c r="E1795" s="68" t="n"/>
      <c r="F1795" s="69" t="n"/>
      <c r="G1795" s="70" t="n"/>
      <c r="H1795" s="62" t="str">
        <f>IF(COUNTA(A1795:G1795)=0,"",IF(C1795&lt;&gt;"",C1795,IF(B1795="","",IFERROR(INDEX(pr_des,MATCH(B1795,pr_code,0))&amp;"",""))))</f>
        <v/>
      </c>
      <c r="I1795" s="59" t="str">
        <f>IF(B1795="","",IFERROR(INDEX(pr_unit,MATCH(B1795,pr_code,0))&amp;"",""))</f>
        <v/>
      </c>
      <c r="J1795" s="65" t="str">
        <f>IF(COUNTA(A1795:G1795)=0,"",IF(E1795&lt;&gt;"",E1795,IF(B1795="","",IFERROR(IF(INDEX(pr_price,MATCH(B1795,pr_code,0))="","",INDEX(pr_price,MATCH(B1795,pr_code,0))),""))))</f>
        <v/>
      </c>
      <c r="K1795" s="71" t="str">
        <f>IF(COUNTA(A1795:G1795)=0,"",IF(G1795&lt;&gt;"",G1795,IF(B1795="","",IFERROR(IF(INDEX(pr_rate,MATCH(B1795,pr_code,0))="","",INDEX(pr_rate,MATCH(B1795,pr_code,0))),""))))</f>
        <v/>
      </c>
      <c r="L1795" s="65" t="str">
        <f>IF(COUNTA(A1795:G1795)=0,"",IF(AND(ISNUMBER(D1795),ISNUMBER(J1795)),ROUND(D1795*J1795*(1-N(F1795)),2),0))</f>
        <v/>
      </c>
      <c r="M1795" s="62" t="str">
        <f>IF(A1795="","",IFERROR(INDEX(dv_cname,MATCH(A1795,dv_num,0))&amp;"",""))</f>
        <v/>
      </c>
      <c r="N1795" s="59" t="str">
        <f>IF(COUNTA(A1795:G1795)=0,"",IF(A1795="","N° devis manquant",IF(ISNA(MATCH(A1795,dv_num,0)),"Devis inconnu",IF(AND(B1795&lt;&gt;"",ISNA(MATCH(B1795,pr_code,0))),"Article inconnu",IF(H1795="","Désignation manquante",IF(OR(NOT(ISNUMBER(D1795)),N(D1795)&lt;=0),"Quantité invalide",IF(J1795="","Prix manquant",IF(OR(NOT(ISNUMBER(J1795)),N(J1795)&lt;0),"Prix invalide",IF(OR(AND(F1795&lt;&gt;"",NOT(ISNUMBER(F1795))),N(F1795)&lt;0,N(F1795)&gt;1),"Remise invalide",IF(K1795="","Taux de TVA manquant",IF(NOT(ISNUMBER(K1795)),"Taux de TVA invalide",IF(COUNTIF(p_rates,K1795)=0,"Taux de TVA hors liste (Paramètres)",IF(N(O1795)&gt;25,"Au-delà de 25 lignes : non imprimée","OK")))))))))))))</f>
        <v/>
      </c>
      <c r="O1795" s="59" t="str">
        <f>IF(A1795="","",COUNTIF($A$6:A1795,A1795))</f>
        <v/>
      </c>
      <c r="P1795" s="62" t="str">
        <f>IF(A1795="","",A1795&amp;"|"&amp;O1795)</f>
        <v/>
      </c>
    </row>
    <row r="1796">
      <c r="A1796" s="60" t="n"/>
      <c r="B1796" s="63" t="n"/>
      <c r="C1796" s="63" t="n"/>
      <c r="D1796" s="67" t="n"/>
      <c r="E1796" s="68" t="n"/>
      <c r="F1796" s="69" t="n"/>
      <c r="G1796" s="70" t="n"/>
      <c r="H1796" s="62" t="str">
        <f>IF(COUNTA(A1796:G1796)=0,"",IF(C1796&lt;&gt;"",C1796,IF(B1796="","",IFERROR(INDEX(pr_des,MATCH(B1796,pr_code,0))&amp;"",""))))</f>
        <v/>
      </c>
      <c r="I1796" s="59" t="str">
        <f>IF(B1796="","",IFERROR(INDEX(pr_unit,MATCH(B1796,pr_code,0))&amp;"",""))</f>
        <v/>
      </c>
      <c r="J1796" s="65" t="str">
        <f>IF(COUNTA(A1796:G1796)=0,"",IF(E1796&lt;&gt;"",E1796,IF(B1796="","",IFERROR(IF(INDEX(pr_price,MATCH(B1796,pr_code,0))="","",INDEX(pr_price,MATCH(B1796,pr_code,0))),""))))</f>
        <v/>
      </c>
      <c r="K1796" s="71" t="str">
        <f>IF(COUNTA(A1796:G1796)=0,"",IF(G1796&lt;&gt;"",G1796,IF(B1796="","",IFERROR(IF(INDEX(pr_rate,MATCH(B1796,pr_code,0))="","",INDEX(pr_rate,MATCH(B1796,pr_code,0))),""))))</f>
        <v/>
      </c>
      <c r="L1796" s="65" t="str">
        <f>IF(COUNTA(A1796:G1796)=0,"",IF(AND(ISNUMBER(D1796),ISNUMBER(J1796)),ROUND(D1796*J1796*(1-N(F1796)),2),0))</f>
        <v/>
      </c>
      <c r="M1796" s="62" t="str">
        <f>IF(A1796="","",IFERROR(INDEX(dv_cname,MATCH(A1796,dv_num,0))&amp;"",""))</f>
        <v/>
      </c>
      <c r="N1796" s="59" t="str">
        <f>IF(COUNTA(A1796:G1796)=0,"",IF(A1796="","N° devis manquant",IF(ISNA(MATCH(A1796,dv_num,0)),"Devis inconnu",IF(AND(B1796&lt;&gt;"",ISNA(MATCH(B1796,pr_code,0))),"Article inconnu",IF(H1796="","Désignation manquante",IF(OR(NOT(ISNUMBER(D1796)),N(D1796)&lt;=0),"Quantité invalide",IF(J1796="","Prix manquant",IF(OR(NOT(ISNUMBER(J1796)),N(J1796)&lt;0),"Prix invalide",IF(OR(AND(F1796&lt;&gt;"",NOT(ISNUMBER(F1796))),N(F1796)&lt;0,N(F1796)&gt;1),"Remise invalide",IF(K1796="","Taux de TVA manquant",IF(NOT(ISNUMBER(K1796)),"Taux de TVA invalide",IF(COUNTIF(p_rates,K1796)=0,"Taux de TVA hors liste (Paramètres)",IF(N(O1796)&gt;25,"Au-delà de 25 lignes : non imprimée","OK")))))))))))))</f>
        <v/>
      </c>
      <c r="O1796" s="59" t="str">
        <f>IF(A1796="","",COUNTIF($A$6:A1796,A1796))</f>
        <v/>
      </c>
      <c r="P1796" s="62" t="str">
        <f>IF(A1796="","",A1796&amp;"|"&amp;O1796)</f>
        <v/>
      </c>
    </row>
    <row r="1797">
      <c r="A1797" s="60" t="n"/>
      <c r="B1797" s="63" t="n"/>
      <c r="C1797" s="63" t="n"/>
      <c r="D1797" s="67" t="n"/>
      <c r="E1797" s="68" t="n"/>
      <c r="F1797" s="69" t="n"/>
      <c r="G1797" s="70" t="n"/>
      <c r="H1797" s="62" t="str">
        <f>IF(COUNTA(A1797:G1797)=0,"",IF(C1797&lt;&gt;"",C1797,IF(B1797="","",IFERROR(INDEX(pr_des,MATCH(B1797,pr_code,0))&amp;"",""))))</f>
        <v/>
      </c>
      <c r="I1797" s="59" t="str">
        <f>IF(B1797="","",IFERROR(INDEX(pr_unit,MATCH(B1797,pr_code,0))&amp;"",""))</f>
        <v/>
      </c>
      <c r="J1797" s="65" t="str">
        <f>IF(COUNTA(A1797:G1797)=0,"",IF(E1797&lt;&gt;"",E1797,IF(B1797="","",IFERROR(IF(INDEX(pr_price,MATCH(B1797,pr_code,0))="","",INDEX(pr_price,MATCH(B1797,pr_code,0))),""))))</f>
        <v/>
      </c>
      <c r="K1797" s="71" t="str">
        <f>IF(COUNTA(A1797:G1797)=0,"",IF(G1797&lt;&gt;"",G1797,IF(B1797="","",IFERROR(IF(INDEX(pr_rate,MATCH(B1797,pr_code,0))="","",INDEX(pr_rate,MATCH(B1797,pr_code,0))),""))))</f>
        <v/>
      </c>
      <c r="L1797" s="65" t="str">
        <f>IF(COUNTA(A1797:G1797)=0,"",IF(AND(ISNUMBER(D1797),ISNUMBER(J1797)),ROUND(D1797*J1797*(1-N(F1797)),2),0))</f>
        <v/>
      </c>
      <c r="M1797" s="62" t="str">
        <f>IF(A1797="","",IFERROR(INDEX(dv_cname,MATCH(A1797,dv_num,0))&amp;"",""))</f>
        <v/>
      </c>
      <c r="N1797" s="59" t="str">
        <f>IF(COUNTA(A1797:G1797)=0,"",IF(A1797="","N° devis manquant",IF(ISNA(MATCH(A1797,dv_num,0)),"Devis inconnu",IF(AND(B1797&lt;&gt;"",ISNA(MATCH(B1797,pr_code,0))),"Article inconnu",IF(H1797="","Désignation manquante",IF(OR(NOT(ISNUMBER(D1797)),N(D1797)&lt;=0),"Quantité invalide",IF(J1797="","Prix manquant",IF(OR(NOT(ISNUMBER(J1797)),N(J1797)&lt;0),"Prix invalide",IF(OR(AND(F1797&lt;&gt;"",NOT(ISNUMBER(F1797))),N(F1797)&lt;0,N(F1797)&gt;1),"Remise invalide",IF(K1797="","Taux de TVA manquant",IF(NOT(ISNUMBER(K1797)),"Taux de TVA invalide",IF(COUNTIF(p_rates,K1797)=0,"Taux de TVA hors liste (Paramètres)",IF(N(O1797)&gt;25,"Au-delà de 25 lignes : non imprimée","OK")))))))))))))</f>
        <v/>
      </c>
      <c r="O1797" s="59" t="str">
        <f>IF(A1797="","",COUNTIF($A$6:A1797,A1797))</f>
        <v/>
      </c>
      <c r="P1797" s="62" t="str">
        <f>IF(A1797="","",A1797&amp;"|"&amp;O1797)</f>
        <v/>
      </c>
    </row>
    <row r="1798">
      <c r="A1798" s="60" t="n"/>
      <c r="B1798" s="63" t="n"/>
      <c r="C1798" s="63" t="n"/>
      <c r="D1798" s="67" t="n"/>
      <c r="E1798" s="68" t="n"/>
      <c r="F1798" s="69" t="n"/>
      <c r="G1798" s="70" t="n"/>
      <c r="H1798" s="62" t="str">
        <f>IF(COUNTA(A1798:G1798)=0,"",IF(C1798&lt;&gt;"",C1798,IF(B1798="","",IFERROR(INDEX(pr_des,MATCH(B1798,pr_code,0))&amp;"",""))))</f>
        <v/>
      </c>
      <c r="I1798" s="59" t="str">
        <f>IF(B1798="","",IFERROR(INDEX(pr_unit,MATCH(B1798,pr_code,0))&amp;"",""))</f>
        <v/>
      </c>
      <c r="J1798" s="65" t="str">
        <f>IF(COUNTA(A1798:G1798)=0,"",IF(E1798&lt;&gt;"",E1798,IF(B1798="","",IFERROR(IF(INDEX(pr_price,MATCH(B1798,pr_code,0))="","",INDEX(pr_price,MATCH(B1798,pr_code,0))),""))))</f>
        <v/>
      </c>
      <c r="K1798" s="71" t="str">
        <f>IF(COUNTA(A1798:G1798)=0,"",IF(G1798&lt;&gt;"",G1798,IF(B1798="","",IFERROR(IF(INDEX(pr_rate,MATCH(B1798,pr_code,0))="","",INDEX(pr_rate,MATCH(B1798,pr_code,0))),""))))</f>
        <v/>
      </c>
      <c r="L1798" s="65" t="str">
        <f>IF(COUNTA(A1798:G1798)=0,"",IF(AND(ISNUMBER(D1798),ISNUMBER(J1798)),ROUND(D1798*J1798*(1-N(F1798)),2),0))</f>
        <v/>
      </c>
      <c r="M1798" s="62" t="str">
        <f>IF(A1798="","",IFERROR(INDEX(dv_cname,MATCH(A1798,dv_num,0))&amp;"",""))</f>
        <v/>
      </c>
      <c r="N1798" s="59" t="str">
        <f>IF(COUNTA(A1798:G1798)=0,"",IF(A1798="","N° devis manquant",IF(ISNA(MATCH(A1798,dv_num,0)),"Devis inconnu",IF(AND(B1798&lt;&gt;"",ISNA(MATCH(B1798,pr_code,0))),"Article inconnu",IF(H1798="","Désignation manquante",IF(OR(NOT(ISNUMBER(D1798)),N(D1798)&lt;=0),"Quantité invalide",IF(J1798="","Prix manquant",IF(OR(NOT(ISNUMBER(J1798)),N(J1798)&lt;0),"Prix invalide",IF(OR(AND(F1798&lt;&gt;"",NOT(ISNUMBER(F1798))),N(F1798)&lt;0,N(F1798)&gt;1),"Remise invalide",IF(K1798="","Taux de TVA manquant",IF(NOT(ISNUMBER(K1798)),"Taux de TVA invalide",IF(COUNTIF(p_rates,K1798)=0,"Taux de TVA hors liste (Paramètres)",IF(N(O1798)&gt;25,"Au-delà de 25 lignes : non imprimée","OK")))))))))))))</f>
        <v/>
      </c>
      <c r="O1798" s="59" t="str">
        <f>IF(A1798="","",COUNTIF($A$6:A1798,A1798))</f>
        <v/>
      </c>
      <c r="P1798" s="62" t="str">
        <f>IF(A1798="","",A1798&amp;"|"&amp;O1798)</f>
        <v/>
      </c>
    </row>
    <row r="1799">
      <c r="A1799" s="60" t="n"/>
      <c r="B1799" s="63" t="n"/>
      <c r="C1799" s="63" t="n"/>
      <c r="D1799" s="67" t="n"/>
      <c r="E1799" s="68" t="n"/>
      <c r="F1799" s="69" t="n"/>
      <c r="G1799" s="70" t="n"/>
      <c r="H1799" s="62" t="str">
        <f>IF(COUNTA(A1799:G1799)=0,"",IF(C1799&lt;&gt;"",C1799,IF(B1799="","",IFERROR(INDEX(pr_des,MATCH(B1799,pr_code,0))&amp;"",""))))</f>
        <v/>
      </c>
      <c r="I1799" s="59" t="str">
        <f>IF(B1799="","",IFERROR(INDEX(pr_unit,MATCH(B1799,pr_code,0))&amp;"",""))</f>
        <v/>
      </c>
      <c r="J1799" s="65" t="str">
        <f>IF(COUNTA(A1799:G1799)=0,"",IF(E1799&lt;&gt;"",E1799,IF(B1799="","",IFERROR(IF(INDEX(pr_price,MATCH(B1799,pr_code,0))="","",INDEX(pr_price,MATCH(B1799,pr_code,0))),""))))</f>
        <v/>
      </c>
      <c r="K1799" s="71" t="str">
        <f>IF(COUNTA(A1799:G1799)=0,"",IF(G1799&lt;&gt;"",G1799,IF(B1799="","",IFERROR(IF(INDEX(pr_rate,MATCH(B1799,pr_code,0))="","",INDEX(pr_rate,MATCH(B1799,pr_code,0))),""))))</f>
        <v/>
      </c>
      <c r="L1799" s="65" t="str">
        <f>IF(COUNTA(A1799:G1799)=0,"",IF(AND(ISNUMBER(D1799),ISNUMBER(J1799)),ROUND(D1799*J1799*(1-N(F1799)),2),0))</f>
        <v/>
      </c>
      <c r="M1799" s="62" t="str">
        <f>IF(A1799="","",IFERROR(INDEX(dv_cname,MATCH(A1799,dv_num,0))&amp;"",""))</f>
        <v/>
      </c>
      <c r="N1799" s="59" t="str">
        <f>IF(COUNTA(A1799:G1799)=0,"",IF(A1799="","N° devis manquant",IF(ISNA(MATCH(A1799,dv_num,0)),"Devis inconnu",IF(AND(B1799&lt;&gt;"",ISNA(MATCH(B1799,pr_code,0))),"Article inconnu",IF(H1799="","Désignation manquante",IF(OR(NOT(ISNUMBER(D1799)),N(D1799)&lt;=0),"Quantité invalide",IF(J1799="","Prix manquant",IF(OR(NOT(ISNUMBER(J1799)),N(J1799)&lt;0),"Prix invalide",IF(OR(AND(F1799&lt;&gt;"",NOT(ISNUMBER(F1799))),N(F1799)&lt;0,N(F1799)&gt;1),"Remise invalide",IF(K1799="","Taux de TVA manquant",IF(NOT(ISNUMBER(K1799)),"Taux de TVA invalide",IF(COUNTIF(p_rates,K1799)=0,"Taux de TVA hors liste (Paramètres)",IF(N(O1799)&gt;25,"Au-delà de 25 lignes : non imprimée","OK")))))))))))))</f>
        <v/>
      </c>
      <c r="O1799" s="59" t="str">
        <f>IF(A1799="","",COUNTIF($A$6:A1799,A1799))</f>
        <v/>
      </c>
      <c r="P1799" s="62" t="str">
        <f>IF(A1799="","",A1799&amp;"|"&amp;O1799)</f>
        <v/>
      </c>
    </row>
    <row r="1800">
      <c r="A1800" s="60" t="n"/>
      <c r="B1800" s="63" t="n"/>
      <c r="C1800" s="63" t="n"/>
      <c r="D1800" s="67" t="n"/>
      <c r="E1800" s="68" t="n"/>
      <c r="F1800" s="69" t="n"/>
      <c r="G1800" s="70" t="n"/>
      <c r="H1800" s="62" t="str">
        <f>IF(COUNTA(A1800:G1800)=0,"",IF(C1800&lt;&gt;"",C1800,IF(B1800="","",IFERROR(INDEX(pr_des,MATCH(B1800,pr_code,0))&amp;"",""))))</f>
        <v/>
      </c>
      <c r="I1800" s="59" t="str">
        <f>IF(B1800="","",IFERROR(INDEX(pr_unit,MATCH(B1800,pr_code,0))&amp;"",""))</f>
        <v/>
      </c>
      <c r="J1800" s="65" t="str">
        <f>IF(COUNTA(A1800:G1800)=0,"",IF(E1800&lt;&gt;"",E1800,IF(B1800="","",IFERROR(IF(INDEX(pr_price,MATCH(B1800,pr_code,0))="","",INDEX(pr_price,MATCH(B1800,pr_code,0))),""))))</f>
        <v/>
      </c>
      <c r="K1800" s="71" t="str">
        <f>IF(COUNTA(A1800:G1800)=0,"",IF(G1800&lt;&gt;"",G1800,IF(B1800="","",IFERROR(IF(INDEX(pr_rate,MATCH(B1800,pr_code,0))="","",INDEX(pr_rate,MATCH(B1800,pr_code,0))),""))))</f>
        <v/>
      </c>
      <c r="L1800" s="65" t="str">
        <f>IF(COUNTA(A1800:G1800)=0,"",IF(AND(ISNUMBER(D1800),ISNUMBER(J1800)),ROUND(D1800*J1800*(1-N(F1800)),2),0))</f>
        <v/>
      </c>
      <c r="M1800" s="62" t="str">
        <f>IF(A1800="","",IFERROR(INDEX(dv_cname,MATCH(A1800,dv_num,0))&amp;"",""))</f>
        <v/>
      </c>
      <c r="N1800" s="59" t="str">
        <f>IF(COUNTA(A1800:G1800)=0,"",IF(A1800="","N° devis manquant",IF(ISNA(MATCH(A1800,dv_num,0)),"Devis inconnu",IF(AND(B1800&lt;&gt;"",ISNA(MATCH(B1800,pr_code,0))),"Article inconnu",IF(H1800="","Désignation manquante",IF(OR(NOT(ISNUMBER(D1800)),N(D1800)&lt;=0),"Quantité invalide",IF(J1800="","Prix manquant",IF(OR(NOT(ISNUMBER(J1800)),N(J1800)&lt;0),"Prix invalide",IF(OR(AND(F1800&lt;&gt;"",NOT(ISNUMBER(F1800))),N(F1800)&lt;0,N(F1800)&gt;1),"Remise invalide",IF(K1800="","Taux de TVA manquant",IF(NOT(ISNUMBER(K1800)),"Taux de TVA invalide",IF(COUNTIF(p_rates,K1800)=0,"Taux de TVA hors liste (Paramètres)",IF(N(O1800)&gt;25,"Au-delà de 25 lignes : non imprimée","OK")))))))))))))</f>
        <v/>
      </c>
      <c r="O1800" s="59" t="str">
        <f>IF(A1800="","",COUNTIF($A$6:A1800,A1800))</f>
        <v/>
      </c>
      <c r="P1800" s="62" t="str">
        <f>IF(A1800="","",A1800&amp;"|"&amp;O1800)</f>
        <v/>
      </c>
    </row>
    <row r="1801">
      <c r="A1801" s="60" t="n"/>
      <c r="B1801" s="63" t="n"/>
      <c r="C1801" s="63" t="n"/>
      <c r="D1801" s="67" t="n"/>
      <c r="E1801" s="68" t="n"/>
      <c r="F1801" s="69" t="n"/>
      <c r="G1801" s="70" t="n"/>
      <c r="H1801" s="62" t="str">
        <f>IF(COUNTA(A1801:G1801)=0,"",IF(C1801&lt;&gt;"",C1801,IF(B1801="","",IFERROR(INDEX(pr_des,MATCH(B1801,pr_code,0))&amp;"",""))))</f>
        <v/>
      </c>
      <c r="I1801" s="59" t="str">
        <f>IF(B1801="","",IFERROR(INDEX(pr_unit,MATCH(B1801,pr_code,0))&amp;"",""))</f>
        <v/>
      </c>
      <c r="J1801" s="65" t="str">
        <f>IF(COUNTA(A1801:G1801)=0,"",IF(E1801&lt;&gt;"",E1801,IF(B1801="","",IFERROR(IF(INDEX(pr_price,MATCH(B1801,pr_code,0))="","",INDEX(pr_price,MATCH(B1801,pr_code,0))),""))))</f>
        <v/>
      </c>
      <c r="K1801" s="71" t="str">
        <f>IF(COUNTA(A1801:G1801)=0,"",IF(G1801&lt;&gt;"",G1801,IF(B1801="","",IFERROR(IF(INDEX(pr_rate,MATCH(B1801,pr_code,0))="","",INDEX(pr_rate,MATCH(B1801,pr_code,0))),""))))</f>
        <v/>
      </c>
      <c r="L1801" s="65" t="str">
        <f>IF(COUNTA(A1801:G1801)=0,"",IF(AND(ISNUMBER(D1801),ISNUMBER(J1801)),ROUND(D1801*J1801*(1-N(F1801)),2),0))</f>
        <v/>
      </c>
      <c r="M1801" s="62" t="str">
        <f>IF(A1801="","",IFERROR(INDEX(dv_cname,MATCH(A1801,dv_num,0))&amp;"",""))</f>
        <v/>
      </c>
      <c r="N1801" s="59" t="str">
        <f>IF(COUNTA(A1801:G1801)=0,"",IF(A1801="","N° devis manquant",IF(ISNA(MATCH(A1801,dv_num,0)),"Devis inconnu",IF(AND(B1801&lt;&gt;"",ISNA(MATCH(B1801,pr_code,0))),"Article inconnu",IF(H1801="","Désignation manquante",IF(OR(NOT(ISNUMBER(D1801)),N(D1801)&lt;=0),"Quantité invalide",IF(J1801="","Prix manquant",IF(OR(NOT(ISNUMBER(J1801)),N(J1801)&lt;0),"Prix invalide",IF(OR(AND(F1801&lt;&gt;"",NOT(ISNUMBER(F1801))),N(F1801)&lt;0,N(F1801)&gt;1),"Remise invalide",IF(K1801="","Taux de TVA manquant",IF(NOT(ISNUMBER(K1801)),"Taux de TVA invalide",IF(COUNTIF(p_rates,K1801)=0,"Taux de TVA hors liste (Paramètres)",IF(N(O1801)&gt;25,"Au-delà de 25 lignes : non imprimée","OK")))))))))))))</f>
        <v/>
      </c>
      <c r="O1801" s="59" t="str">
        <f>IF(A1801="","",COUNTIF($A$6:A1801,A1801))</f>
        <v/>
      </c>
      <c r="P1801" s="62" t="str">
        <f>IF(A1801="","",A1801&amp;"|"&amp;O1801)</f>
        <v/>
      </c>
    </row>
    <row r="1802">
      <c r="A1802" s="60" t="n"/>
      <c r="B1802" s="63" t="n"/>
      <c r="C1802" s="63" t="n"/>
      <c r="D1802" s="67" t="n"/>
      <c r="E1802" s="68" t="n"/>
      <c r="F1802" s="69" t="n"/>
      <c r="G1802" s="70" t="n"/>
      <c r="H1802" s="62" t="str">
        <f>IF(COUNTA(A1802:G1802)=0,"",IF(C1802&lt;&gt;"",C1802,IF(B1802="","",IFERROR(INDEX(pr_des,MATCH(B1802,pr_code,0))&amp;"",""))))</f>
        <v/>
      </c>
      <c r="I1802" s="59" t="str">
        <f>IF(B1802="","",IFERROR(INDEX(pr_unit,MATCH(B1802,pr_code,0))&amp;"",""))</f>
        <v/>
      </c>
      <c r="J1802" s="65" t="str">
        <f>IF(COUNTA(A1802:G1802)=0,"",IF(E1802&lt;&gt;"",E1802,IF(B1802="","",IFERROR(IF(INDEX(pr_price,MATCH(B1802,pr_code,0))="","",INDEX(pr_price,MATCH(B1802,pr_code,0))),""))))</f>
        <v/>
      </c>
      <c r="K1802" s="71" t="str">
        <f>IF(COUNTA(A1802:G1802)=0,"",IF(G1802&lt;&gt;"",G1802,IF(B1802="","",IFERROR(IF(INDEX(pr_rate,MATCH(B1802,pr_code,0))="","",INDEX(pr_rate,MATCH(B1802,pr_code,0))),""))))</f>
        <v/>
      </c>
      <c r="L1802" s="65" t="str">
        <f>IF(COUNTA(A1802:G1802)=0,"",IF(AND(ISNUMBER(D1802),ISNUMBER(J1802)),ROUND(D1802*J1802*(1-N(F1802)),2),0))</f>
        <v/>
      </c>
      <c r="M1802" s="62" t="str">
        <f>IF(A1802="","",IFERROR(INDEX(dv_cname,MATCH(A1802,dv_num,0))&amp;"",""))</f>
        <v/>
      </c>
      <c r="N1802" s="59" t="str">
        <f>IF(COUNTA(A1802:G1802)=0,"",IF(A1802="","N° devis manquant",IF(ISNA(MATCH(A1802,dv_num,0)),"Devis inconnu",IF(AND(B1802&lt;&gt;"",ISNA(MATCH(B1802,pr_code,0))),"Article inconnu",IF(H1802="","Désignation manquante",IF(OR(NOT(ISNUMBER(D1802)),N(D1802)&lt;=0),"Quantité invalide",IF(J1802="","Prix manquant",IF(OR(NOT(ISNUMBER(J1802)),N(J1802)&lt;0),"Prix invalide",IF(OR(AND(F1802&lt;&gt;"",NOT(ISNUMBER(F1802))),N(F1802)&lt;0,N(F1802)&gt;1),"Remise invalide",IF(K1802="","Taux de TVA manquant",IF(NOT(ISNUMBER(K1802)),"Taux de TVA invalide",IF(COUNTIF(p_rates,K1802)=0,"Taux de TVA hors liste (Paramètres)",IF(N(O1802)&gt;25,"Au-delà de 25 lignes : non imprimée","OK")))))))))))))</f>
        <v/>
      </c>
      <c r="O1802" s="59" t="str">
        <f>IF(A1802="","",COUNTIF($A$6:A1802,A1802))</f>
        <v/>
      </c>
      <c r="P1802" s="62" t="str">
        <f>IF(A1802="","",A1802&amp;"|"&amp;O1802)</f>
        <v/>
      </c>
    </row>
    <row r="1803">
      <c r="A1803" s="60" t="n"/>
      <c r="B1803" s="63" t="n"/>
      <c r="C1803" s="63" t="n"/>
      <c r="D1803" s="67" t="n"/>
      <c r="E1803" s="68" t="n"/>
      <c r="F1803" s="69" t="n"/>
      <c r="G1803" s="70" t="n"/>
      <c r="H1803" s="62" t="str">
        <f>IF(COUNTA(A1803:G1803)=0,"",IF(C1803&lt;&gt;"",C1803,IF(B1803="","",IFERROR(INDEX(pr_des,MATCH(B1803,pr_code,0))&amp;"",""))))</f>
        <v/>
      </c>
      <c r="I1803" s="59" t="str">
        <f>IF(B1803="","",IFERROR(INDEX(pr_unit,MATCH(B1803,pr_code,0))&amp;"",""))</f>
        <v/>
      </c>
      <c r="J1803" s="65" t="str">
        <f>IF(COUNTA(A1803:G1803)=0,"",IF(E1803&lt;&gt;"",E1803,IF(B1803="","",IFERROR(IF(INDEX(pr_price,MATCH(B1803,pr_code,0))="","",INDEX(pr_price,MATCH(B1803,pr_code,0))),""))))</f>
        <v/>
      </c>
      <c r="K1803" s="71" t="str">
        <f>IF(COUNTA(A1803:G1803)=0,"",IF(G1803&lt;&gt;"",G1803,IF(B1803="","",IFERROR(IF(INDEX(pr_rate,MATCH(B1803,pr_code,0))="","",INDEX(pr_rate,MATCH(B1803,pr_code,0))),""))))</f>
        <v/>
      </c>
      <c r="L1803" s="65" t="str">
        <f>IF(COUNTA(A1803:G1803)=0,"",IF(AND(ISNUMBER(D1803),ISNUMBER(J1803)),ROUND(D1803*J1803*(1-N(F1803)),2),0))</f>
        <v/>
      </c>
      <c r="M1803" s="62" t="str">
        <f>IF(A1803="","",IFERROR(INDEX(dv_cname,MATCH(A1803,dv_num,0))&amp;"",""))</f>
        <v/>
      </c>
      <c r="N1803" s="59" t="str">
        <f>IF(COUNTA(A1803:G1803)=0,"",IF(A1803="","N° devis manquant",IF(ISNA(MATCH(A1803,dv_num,0)),"Devis inconnu",IF(AND(B1803&lt;&gt;"",ISNA(MATCH(B1803,pr_code,0))),"Article inconnu",IF(H1803="","Désignation manquante",IF(OR(NOT(ISNUMBER(D1803)),N(D1803)&lt;=0),"Quantité invalide",IF(J1803="","Prix manquant",IF(OR(NOT(ISNUMBER(J1803)),N(J1803)&lt;0),"Prix invalide",IF(OR(AND(F1803&lt;&gt;"",NOT(ISNUMBER(F1803))),N(F1803)&lt;0,N(F1803)&gt;1),"Remise invalide",IF(K1803="","Taux de TVA manquant",IF(NOT(ISNUMBER(K1803)),"Taux de TVA invalide",IF(COUNTIF(p_rates,K1803)=0,"Taux de TVA hors liste (Paramètres)",IF(N(O1803)&gt;25,"Au-delà de 25 lignes : non imprimée","OK")))))))))))))</f>
        <v/>
      </c>
      <c r="O1803" s="59" t="str">
        <f>IF(A1803="","",COUNTIF($A$6:A1803,A1803))</f>
        <v/>
      </c>
      <c r="P1803" s="62" t="str">
        <f>IF(A1803="","",A1803&amp;"|"&amp;O1803)</f>
        <v/>
      </c>
    </row>
    <row r="1804">
      <c r="A1804" s="60" t="n"/>
      <c r="B1804" s="63" t="n"/>
      <c r="C1804" s="63" t="n"/>
      <c r="D1804" s="67" t="n"/>
      <c r="E1804" s="68" t="n"/>
      <c r="F1804" s="69" t="n"/>
      <c r="G1804" s="70" t="n"/>
      <c r="H1804" s="62" t="str">
        <f>IF(COUNTA(A1804:G1804)=0,"",IF(C1804&lt;&gt;"",C1804,IF(B1804="","",IFERROR(INDEX(pr_des,MATCH(B1804,pr_code,0))&amp;"",""))))</f>
        <v/>
      </c>
      <c r="I1804" s="59" t="str">
        <f>IF(B1804="","",IFERROR(INDEX(pr_unit,MATCH(B1804,pr_code,0))&amp;"",""))</f>
        <v/>
      </c>
      <c r="J1804" s="65" t="str">
        <f>IF(COUNTA(A1804:G1804)=0,"",IF(E1804&lt;&gt;"",E1804,IF(B1804="","",IFERROR(IF(INDEX(pr_price,MATCH(B1804,pr_code,0))="","",INDEX(pr_price,MATCH(B1804,pr_code,0))),""))))</f>
        <v/>
      </c>
      <c r="K1804" s="71" t="str">
        <f>IF(COUNTA(A1804:G1804)=0,"",IF(G1804&lt;&gt;"",G1804,IF(B1804="","",IFERROR(IF(INDEX(pr_rate,MATCH(B1804,pr_code,0))="","",INDEX(pr_rate,MATCH(B1804,pr_code,0))),""))))</f>
        <v/>
      </c>
      <c r="L1804" s="65" t="str">
        <f>IF(COUNTA(A1804:G1804)=0,"",IF(AND(ISNUMBER(D1804),ISNUMBER(J1804)),ROUND(D1804*J1804*(1-N(F1804)),2),0))</f>
        <v/>
      </c>
      <c r="M1804" s="62" t="str">
        <f>IF(A1804="","",IFERROR(INDEX(dv_cname,MATCH(A1804,dv_num,0))&amp;"",""))</f>
        <v/>
      </c>
      <c r="N1804" s="59" t="str">
        <f>IF(COUNTA(A1804:G1804)=0,"",IF(A1804="","N° devis manquant",IF(ISNA(MATCH(A1804,dv_num,0)),"Devis inconnu",IF(AND(B1804&lt;&gt;"",ISNA(MATCH(B1804,pr_code,0))),"Article inconnu",IF(H1804="","Désignation manquante",IF(OR(NOT(ISNUMBER(D1804)),N(D1804)&lt;=0),"Quantité invalide",IF(J1804="","Prix manquant",IF(OR(NOT(ISNUMBER(J1804)),N(J1804)&lt;0),"Prix invalide",IF(OR(AND(F1804&lt;&gt;"",NOT(ISNUMBER(F1804))),N(F1804)&lt;0,N(F1804)&gt;1),"Remise invalide",IF(K1804="","Taux de TVA manquant",IF(NOT(ISNUMBER(K1804)),"Taux de TVA invalide",IF(COUNTIF(p_rates,K1804)=0,"Taux de TVA hors liste (Paramètres)",IF(N(O1804)&gt;25,"Au-delà de 25 lignes : non imprimée","OK")))))))))))))</f>
        <v/>
      </c>
      <c r="O1804" s="59" t="str">
        <f>IF(A1804="","",COUNTIF($A$6:A1804,A1804))</f>
        <v/>
      </c>
      <c r="P1804" s="62" t="str">
        <f>IF(A1804="","",A1804&amp;"|"&amp;O1804)</f>
        <v/>
      </c>
    </row>
    <row r="1805">
      <c r="A1805" s="60" t="n"/>
      <c r="B1805" s="63" t="n"/>
      <c r="C1805" s="63" t="n"/>
      <c r="D1805" s="67" t="n"/>
      <c r="E1805" s="68" t="n"/>
      <c r="F1805" s="69" t="n"/>
      <c r="G1805" s="70" t="n"/>
      <c r="H1805" s="62" t="str">
        <f>IF(COUNTA(A1805:G1805)=0,"",IF(C1805&lt;&gt;"",C1805,IF(B1805="","",IFERROR(INDEX(pr_des,MATCH(B1805,pr_code,0))&amp;"",""))))</f>
        <v/>
      </c>
      <c r="I1805" s="59" t="str">
        <f>IF(B1805="","",IFERROR(INDEX(pr_unit,MATCH(B1805,pr_code,0))&amp;"",""))</f>
        <v/>
      </c>
      <c r="J1805" s="65" t="str">
        <f>IF(COUNTA(A1805:G1805)=0,"",IF(E1805&lt;&gt;"",E1805,IF(B1805="","",IFERROR(IF(INDEX(pr_price,MATCH(B1805,pr_code,0))="","",INDEX(pr_price,MATCH(B1805,pr_code,0))),""))))</f>
        <v/>
      </c>
      <c r="K1805" s="71" t="str">
        <f>IF(COUNTA(A1805:G1805)=0,"",IF(G1805&lt;&gt;"",G1805,IF(B1805="","",IFERROR(IF(INDEX(pr_rate,MATCH(B1805,pr_code,0))="","",INDEX(pr_rate,MATCH(B1805,pr_code,0))),""))))</f>
        <v/>
      </c>
      <c r="L1805" s="65" t="str">
        <f>IF(COUNTA(A1805:G1805)=0,"",IF(AND(ISNUMBER(D1805),ISNUMBER(J1805)),ROUND(D1805*J1805*(1-N(F1805)),2),0))</f>
        <v/>
      </c>
      <c r="M1805" s="62" t="str">
        <f>IF(A1805="","",IFERROR(INDEX(dv_cname,MATCH(A1805,dv_num,0))&amp;"",""))</f>
        <v/>
      </c>
      <c r="N1805" s="59" t="str">
        <f>IF(COUNTA(A1805:G1805)=0,"",IF(A1805="","N° devis manquant",IF(ISNA(MATCH(A1805,dv_num,0)),"Devis inconnu",IF(AND(B1805&lt;&gt;"",ISNA(MATCH(B1805,pr_code,0))),"Article inconnu",IF(H1805="","Désignation manquante",IF(OR(NOT(ISNUMBER(D1805)),N(D1805)&lt;=0),"Quantité invalide",IF(J1805="","Prix manquant",IF(OR(NOT(ISNUMBER(J1805)),N(J1805)&lt;0),"Prix invalide",IF(OR(AND(F1805&lt;&gt;"",NOT(ISNUMBER(F1805))),N(F1805)&lt;0,N(F1805)&gt;1),"Remise invalide",IF(K1805="","Taux de TVA manquant",IF(NOT(ISNUMBER(K1805)),"Taux de TVA invalide",IF(COUNTIF(p_rates,K1805)=0,"Taux de TVA hors liste (Paramètres)",IF(N(O1805)&gt;25,"Au-delà de 25 lignes : non imprimée","OK")))))))))))))</f>
        <v/>
      </c>
      <c r="O1805" s="59" t="str">
        <f>IF(A1805="","",COUNTIF($A$6:A1805,A1805))</f>
        <v/>
      </c>
      <c r="P1805" s="62" t="str">
        <f>IF(A1805="","",A1805&amp;"|"&amp;O1805)</f>
        <v/>
      </c>
    </row>
    <row r="1806">
      <c r="A1806" s="60" t="n"/>
      <c r="B1806" s="63" t="n"/>
      <c r="C1806" s="63" t="n"/>
      <c r="D1806" s="67" t="n"/>
      <c r="E1806" s="68" t="n"/>
      <c r="F1806" s="69" t="n"/>
      <c r="G1806" s="70" t="n"/>
      <c r="H1806" s="62" t="str">
        <f>IF(COUNTA(A1806:G1806)=0,"",IF(C1806&lt;&gt;"",C1806,IF(B1806="","",IFERROR(INDEX(pr_des,MATCH(B1806,pr_code,0))&amp;"",""))))</f>
        <v/>
      </c>
      <c r="I1806" s="59" t="str">
        <f>IF(B1806="","",IFERROR(INDEX(pr_unit,MATCH(B1806,pr_code,0))&amp;"",""))</f>
        <v/>
      </c>
      <c r="J1806" s="65" t="str">
        <f>IF(COUNTA(A1806:G1806)=0,"",IF(E1806&lt;&gt;"",E1806,IF(B1806="","",IFERROR(IF(INDEX(pr_price,MATCH(B1806,pr_code,0))="","",INDEX(pr_price,MATCH(B1806,pr_code,0))),""))))</f>
        <v/>
      </c>
      <c r="K1806" s="71" t="str">
        <f>IF(COUNTA(A1806:G1806)=0,"",IF(G1806&lt;&gt;"",G1806,IF(B1806="","",IFERROR(IF(INDEX(pr_rate,MATCH(B1806,pr_code,0))="","",INDEX(pr_rate,MATCH(B1806,pr_code,0))),""))))</f>
        <v/>
      </c>
      <c r="L1806" s="65" t="str">
        <f>IF(COUNTA(A1806:G1806)=0,"",IF(AND(ISNUMBER(D1806),ISNUMBER(J1806)),ROUND(D1806*J1806*(1-N(F1806)),2),0))</f>
        <v/>
      </c>
      <c r="M1806" s="62" t="str">
        <f>IF(A1806="","",IFERROR(INDEX(dv_cname,MATCH(A1806,dv_num,0))&amp;"",""))</f>
        <v/>
      </c>
      <c r="N1806" s="59" t="str">
        <f>IF(COUNTA(A1806:G1806)=0,"",IF(A1806="","N° devis manquant",IF(ISNA(MATCH(A1806,dv_num,0)),"Devis inconnu",IF(AND(B1806&lt;&gt;"",ISNA(MATCH(B1806,pr_code,0))),"Article inconnu",IF(H1806="","Désignation manquante",IF(OR(NOT(ISNUMBER(D1806)),N(D1806)&lt;=0),"Quantité invalide",IF(J1806="","Prix manquant",IF(OR(NOT(ISNUMBER(J1806)),N(J1806)&lt;0),"Prix invalide",IF(OR(AND(F1806&lt;&gt;"",NOT(ISNUMBER(F1806))),N(F1806)&lt;0,N(F1806)&gt;1),"Remise invalide",IF(K1806="","Taux de TVA manquant",IF(NOT(ISNUMBER(K1806)),"Taux de TVA invalide",IF(COUNTIF(p_rates,K1806)=0,"Taux de TVA hors liste (Paramètres)",IF(N(O1806)&gt;25,"Au-delà de 25 lignes : non imprimée","OK")))))))))))))</f>
        <v/>
      </c>
      <c r="O1806" s="59" t="str">
        <f>IF(A1806="","",COUNTIF($A$6:A1806,A1806))</f>
        <v/>
      </c>
      <c r="P1806" s="62" t="str">
        <f>IF(A1806="","",A1806&amp;"|"&amp;O1806)</f>
        <v/>
      </c>
    </row>
    <row r="1807">
      <c r="A1807" s="60" t="n"/>
      <c r="B1807" s="63" t="n"/>
      <c r="C1807" s="63" t="n"/>
      <c r="D1807" s="67" t="n"/>
      <c r="E1807" s="68" t="n"/>
      <c r="F1807" s="69" t="n"/>
      <c r="G1807" s="70" t="n"/>
      <c r="H1807" s="62" t="str">
        <f>IF(COUNTA(A1807:G1807)=0,"",IF(C1807&lt;&gt;"",C1807,IF(B1807="","",IFERROR(INDEX(pr_des,MATCH(B1807,pr_code,0))&amp;"",""))))</f>
        <v/>
      </c>
      <c r="I1807" s="59" t="str">
        <f>IF(B1807="","",IFERROR(INDEX(pr_unit,MATCH(B1807,pr_code,0))&amp;"",""))</f>
        <v/>
      </c>
      <c r="J1807" s="65" t="str">
        <f>IF(COUNTA(A1807:G1807)=0,"",IF(E1807&lt;&gt;"",E1807,IF(B1807="","",IFERROR(IF(INDEX(pr_price,MATCH(B1807,pr_code,0))="","",INDEX(pr_price,MATCH(B1807,pr_code,0))),""))))</f>
        <v/>
      </c>
      <c r="K1807" s="71" t="str">
        <f>IF(COUNTA(A1807:G1807)=0,"",IF(G1807&lt;&gt;"",G1807,IF(B1807="","",IFERROR(IF(INDEX(pr_rate,MATCH(B1807,pr_code,0))="","",INDEX(pr_rate,MATCH(B1807,pr_code,0))),""))))</f>
        <v/>
      </c>
      <c r="L1807" s="65" t="str">
        <f>IF(COUNTA(A1807:G1807)=0,"",IF(AND(ISNUMBER(D1807),ISNUMBER(J1807)),ROUND(D1807*J1807*(1-N(F1807)),2),0))</f>
        <v/>
      </c>
      <c r="M1807" s="62" t="str">
        <f>IF(A1807="","",IFERROR(INDEX(dv_cname,MATCH(A1807,dv_num,0))&amp;"",""))</f>
        <v/>
      </c>
      <c r="N1807" s="59" t="str">
        <f>IF(COUNTA(A1807:G1807)=0,"",IF(A1807="","N° devis manquant",IF(ISNA(MATCH(A1807,dv_num,0)),"Devis inconnu",IF(AND(B1807&lt;&gt;"",ISNA(MATCH(B1807,pr_code,0))),"Article inconnu",IF(H1807="","Désignation manquante",IF(OR(NOT(ISNUMBER(D1807)),N(D1807)&lt;=0),"Quantité invalide",IF(J1807="","Prix manquant",IF(OR(NOT(ISNUMBER(J1807)),N(J1807)&lt;0),"Prix invalide",IF(OR(AND(F1807&lt;&gt;"",NOT(ISNUMBER(F1807))),N(F1807)&lt;0,N(F1807)&gt;1),"Remise invalide",IF(K1807="","Taux de TVA manquant",IF(NOT(ISNUMBER(K1807)),"Taux de TVA invalide",IF(COUNTIF(p_rates,K1807)=0,"Taux de TVA hors liste (Paramètres)",IF(N(O1807)&gt;25,"Au-delà de 25 lignes : non imprimée","OK")))))))))))))</f>
        <v/>
      </c>
      <c r="O1807" s="59" t="str">
        <f>IF(A1807="","",COUNTIF($A$6:A1807,A1807))</f>
        <v/>
      </c>
      <c r="P1807" s="62" t="str">
        <f>IF(A1807="","",A1807&amp;"|"&amp;O1807)</f>
        <v/>
      </c>
    </row>
    <row r="1808">
      <c r="A1808" s="60" t="n"/>
      <c r="B1808" s="63" t="n"/>
      <c r="C1808" s="63" t="n"/>
      <c r="D1808" s="67" t="n"/>
      <c r="E1808" s="68" t="n"/>
      <c r="F1808" s="69" t="n"/>
      <c r="G1808" s="70" t="n"/>
      <c r="H1808" s="62" t="str">
        <f>IF(COUNTA(A1808:G1808)=0,"",IF(C1808&lt;&gt;"",C1808,IF(B1808="","",IFERROR(INDEX(pr_des,MATCH(B1808,pr_code,0))&amp;"",""))))</f>
        <v/>
      </c>
      <c r="I1808" s="59" t="str">
        <f>IF(B1808="","",IFERROR(INDEX(pr_unit,MATCH(B1808,pr_code,0))&amp;"",""))</f>
        <v/>
      </c>
      <c r="J1808" s="65" t="str">
        <f>IF(COUNTA(A1808:G1808)=0,"",IF(E1808&lt;&gt;"",E1808,IF(B1808="","",IFERROR(IF(INDEX(pr_price,MATCH(B1808,pr_code,0))="","",INDEX(pr_price,MATCH(B1808,pr_code,0))),""))))</f>
        <v/>
      </c>
      <c r="K1808" s="71" t="str">
        <f>IF(COUNTA(A1808:G1808)=0,"",IF(G1808&lt;&gt;"",G1808,IF(B1808="","",IFERROR(IF(INDEX(pr_rate,MATCH(B1808,pr_code,0))="","",INDEX(pr_rate,MATCH(B1808,pr_code,0))),""))))</f>
        <v/>
      </c>
      <c r="L1808" s="65" t="str">
        <f>IF(COUNTA(A1808:G1808)=0,"",IF(AND(ISNUMBER(D1808),ISNUMBER(J1808)),ROUND(D1808*J1808*(1-N(F1808)),2),0))</f>
        <v/>
      </c>
      <c r="M1808" s="62" t="str">
        <f>IF(A1808="","",IFERROR(INDEX(dv_cname,MATCH(A1808,dv_num,0))&amp;"",""))</f>
        <v/>
      </c>
      <c r="N1808" s="59" t="str">
        <f>IF(COUNTA(A1808:G1808)=0,"",IF(A1808="","N° devis manquant",IF(ISNA(MATCH(A1808,dv_num,0)),"Devis inconnu",IF(AND(B1808&lt;&gt;"",ISNA(MATCH(B1808,pr_code,0))),"Article inconnu",IF(H1808="","Désignation manquante",IF(OR(NOT(ISNUMBER(D1808)),N(D1808)&lt;=0),"Quantité invalide",IF(J1808="","Prix manquant",IF(OR(NOT(ISNUMBER(J1808)),N(J1808)&lt;0),"Prix invalide",IF(OR(AND(F1808&lt;&gt;"",NOT(ISNUMBER(F1808))),N(F1808)&lt;0,N(F1808)&gt;1),"Remise invalide",IF(K1808="","Taux de TVA manquant",IF(NOT(ISNUMBER(K1808)),"Taux de TVA invalide",IF(COUNTIF(p_rates,K1808)=0,"Taux de TVA hors liste (Paramètres)",IF(N(O1808)&gt;25,"Au-delà de 25 lignes : non imprimée","OK")))))))))))))</f>
        <v/>
      </c>
      <c r="O1808" s="59" t="str">
        <f>IF(A1808="","",COUNTIF($A$6:A1808,A1808))</f>
        <v/>
      </c>
      <c r="P1808" s="62" t="str">
        <f>IF(A1808="","",A1808&amp;"|"&amp;O1808)</f>
        <v/>
      </c>
    </row>
    <row r="1809">
      <c r="A1809" s="60" t="n"/>
      <c r="B1809" s="63" t="n"/>
      <c r="C1809" s="63" t="n"/>
      <c r="D1809" s="67" t="n"/>
      <c r="E1809" s="68" t="n"/>
      <c r="F1809" s="69" t="n"/>
      <c r="G1809" s="70" t="n"/>
      <c r="H1809" s="62" t="str">
        <f>IF(COUNTA(A1809:G1809)=0,"",IF(C1809&lt;&gt;"",C1809,IF(B1809="","",IFERROR(INDEX(pr_des,MATCH(B1809,pr_code,0))&amp;"",""))))</f>
        <v/>
      </c>
      <c r="I1809" s="59" t="str">
        <f>IF(B1809="","",IFERROR(INDEX(pr_unit,MATCH(B1809,pr_code,0))&amp;"",""))</f>
        <v/>
      </c>
      <c r="J1809" s="65" t="str">
        <f>IF(COUNTA(A1809:G1809)=0,"",IF(E1809&lt;&gt;"",E1809,IF(B1809="","",IFERROR(IF(INDEX(pr_price,MATCH(B1809,pr_code,0))="","",INDEX(pr_price,MATCH(B1809,pr_code,0))),""))))</f>
        <v/>
      </c>
      <c r="K1809" s="71" t="str">
        <f>IF(COUNTA(A1809:G1809)=0,"",IF(G1809&lt;&gt;"",G1809,IF(B1809="","",IFERROR(IF(INDEX(pr_rate,MATCH(B1809,pr_code,0))="","",INDEX(pr_rate,MATCH(B1809,pr_code,0))),""))))</f>
        <v/>
      </c>
      <c r="L1809" s="65" t="str">
        <f>IF(COUNTA(A1809:G1809)=0,"",IF(AND(ISNUMBER(D1809),ISNUMBER(J1809)),ROUND(D1809*J1809*(1-N(F1809)),2),0))</f>
        <v/>
      </c>
      <c r="M1809" s="62" t="str">
        <f>IF(A1809="","",IFERROR(INDEX(dv_cname,MATCH(A1809,dv_num,0))&amp;"",""))</f>
        <v/>
      </c>
      <c r="N1809" s="59" t="str">
        <f>IF(COUNTA(A1809:G1809)=0,"",IF(A1809="","N° devis manquant",IF(ISNA(MATCH(A1809,dv_num,0)),"Devis inconnu",IF(AND(B1809&lt;&gt;"",ISNA(MATCH(B1809,pr_code,0))),"Article inconnu",IF(H1809="","Désignation manquante",IF(OR(NOT(ISNUMBER(D1809)),N(D1809)&lt;=0),"Quantité invalide",IF(J1809="","Prix manquant",IF(OR(NOT(ISNUMBER(J1809)),N(J1809)&lt;0),"Prix invalide",IF(OR(AND(F1809&lt;&gt;"",NOT(ISNUMBER(F1809))),N(F1809)&lt;0,N(F1809)&gt;1),"Remise invalide",IF(K1809="","Taux de TVA manquant",IF(NOT(ISNUMBER(K1809)),"Taux de TVA invalide",IF(COUNTIF(p_rates,K1809)=0,"Taux de TVA hors liste (Paramètres)",IF(N(O1809)&gt;25,"Au-delà de 25 lignes : non imprimée","OK")))))))))))))</f>
        <v/>
      </c>
      <c r="O1809" s="59" t="str">
        <f>IF(A1809="","",COUNTIF($A$6:A1809,A1809))</f>
        <v/>
      </c>
      <c r="P1809" s="62" t="str">
        <f>IF(A1809="","",A1809&amp;"|"&amp;O1809)</f>
        <v/>
      </c>
    </row>
    <row r="1810">
      <c r="A1810" s="60" t="n"/>
      <c r="B1810" s="63" t="n"/>
      <c r="C1810" s="63" t="n"/>
      <c r="D1810" s="67" t="n"/>
      <c r="E1810" s="68" t="n"/>
      <c r="F1810" s="69" t="n"/>
      <c r="G1810" s="70" t="n"/>
      <c r="H1810" s="62" t="str">
        <f>IF(COUNTA(A1810:G1810)=0,"",IF(C1810&lt;&gt;"",C1810,IF(B1810="","",IFERROR(INDEX(pr_des,MATCH(B1810,pr_code,0))&amp;"",""))))</f>
        <v/>
      </c>
      <c r="I1810" s="59" t="str">
        <f>IF(B1810="","",IFERROR(INDEX(pr_unit,MATCH(B1810,pr_code,0))&amp;"",""))</f>
        <v/>
      </c>
      <c r="J1810" s="65" t="str">
        <f>IF(COUNTA(A1810:G1810)=0,"",IF(E1810&lt;&gt;"",E1810,IF(B1810="","",IFERROR(IF(INDEX(pr_price,MATCH(B1810,pr_code,0))="","",INDEX(pr_price,MATCH(B1810,pr_code,0))),""))))</f>
        <v/>
      </c>
      <c r="K1810" s="71" t="str">
        <f>IF(COUNTA(A1810:G1810)=0,"",IF(G1810&lt;&gt;"",G1810,IF(B1810="","",IFERROR(IF(INDEX(pr_rate,MATCH(B1810,pr_code,0))="","",INDEX(pr_rate,MATCH(B1810,pr_code,0))),""))))</f>
        <v/>
      </c>
      <c r="L1810" s="65" t="str">
        <f>IF(COUNTA(A1810:G1810)=0,"",IF(AND(ISNUMBER(D1810),ISNUMBER(J1810)),ROUND(D1810*J1810*(1-N(F1810)),2),0))</f>
        <v/>
      </c>
      <c r="M1810" s="62" t="str">
        <f>IF(A1810="","",IFERROR(INDEX(dv_cname,MATCH(A1810,dv_num,0))&amp;"",""))</f>
        <v/>
      </c>
      <c r="N1810" s="59" t="str">
        <f>IF(COUNTA(A1810:G1810)=0,"",IF(A1810="","N° devis manquant",IF(ISNA(MATCH(A1810,dv_num,0)),"Devis inconnu",IF(AND(B1810&lt;&gt;"",ISNA(MATCH(B1810,pr_code,0))),"Article inconnu",IF(H1810="","Désignation manquante",IF(OR(NOT(ISNUMBER(D1810)),N(D1810)&lt;=0),"Quantité invalide",IF(J1810="","Prix manquant",IF(OR(NOT(ISNUMBER(J1810)),N(J1810)&lt;0),"Prix invalide",IF(OR(AND(F1810&lt;&gt;"",NOT(ISNUMBER(F1810))),N(F1810)&lt;0,N(F1810)&gt;1),"Remise invalide",IF(K1810="","Taux de TVA manquant",IF(NOT(ISNUMBER(K1810)),"Taux de TVA invalide",IF(COUNTIF(p_rates,K1810)=0,"Taux de TVA hors liste (Paramètres)",IF(N(O1810)&gt;25,"Au-delà de 25 lignes : non imprimée","OK")))))))))))))</f>
        <v/>
      </c>
      <c r="O1810" s="59" t="str">
        <f>IF(A1810="","",COUNTIF($A$6:A1810,A1810))</f>
        <v/>
      </c>
      <c r="P1810" s="62" t="str">
        <f>IF(A1810="","",A1810&amp;"|"&amp;O1810)</f>
        <v/>
      </c>
    </row>
    <row r="1811">
      <c r="A1811" s="60" t="n"/>
      <c r="B1811" s="63" t="n"/>
      <c r="C1811" s="63" t="n"/>
      <c r="D1811" s="67" t="n"/>
      <c r="E1811" s="68" t="n"/>
      <c r="F1811" s="69" t="n"/>
      <c r="G1811" s="70" t="n"/>
      <c r="H1811" s="62" t="str">
        <f>IF(COUNTA(A1811:G1811)=0,"",IF(C1811&lt;&gt;"",C1811,IF(B1811="","",IFERROR(INDEX(pr_des,MATCH(B1811,pr_code,0))&amp;"",""))))</f>
        <v/>
      </c>
      <c r="I1811" s="59" t="str">
        <f>IF(B1811="","",IFERROR(INDEX(pr_unit,MATCH(B1811,pr_code,0))&amp;"",""))</f>
        <v/>
      </c>
      <c r="J1811" s="65" t="str">
        <f>IF(COUNTA(A1811:G1811)=0,"",IF(E1811&lt;&gt;"",E1811,IF(B1811="","",IFERROR(IF(INDEX(pr_price,MATCH(B1811,pr_code,0))="","",INDEX(pr_price,MATCH(B1811,pr_code,0))),""))))</f>
        <v/>
      </c>
      <c r="K1811" s="71" t="str">
        <f>IF(COUNTA(A1811:G1811)=0,"",IF(G1811&lt;&gt;"",G1811,IF(B1811="","",IFERROR(IF(INDEX(pr_rate,MATCH(B1811,pr_code,0))="","",INDEX(pr_rate,MATCH(B1811,pr_code,0))),""))))</f>
        <v/>
      </c>
      <c r="L1811" s="65" t="str">
        <f>IF(COUNTA(A1811:G1811)=0,"",IF(AND(ISNUMBER(D1811),ISNUMBER(J1811)),ROUND(D1811*J1811*(1-N(F1811)),2),0))</f>
        <v/>
      </c>
      <c r="M1811" s="62" t="str">
        <f>IF(A1811="","",IFERROR(INDEX(dv_cname,MATCH(A1811,dv_num,0))&amp;"",""))</f>
        <v/>
      </c>
      <c r="N1811" s="59" t="str">
        <f>IF(COUNTA(A1811:G1811)=0,"",IF(A1811="","N° devis manquant",IF(ISNA(MATCH(A1811,dv_num,0)),"Devis inconnu",IF(AND(B1811&lt;&gt;"",ISNA(MATCH(B1811,pr_code,0))),"Article inconnu",IF(H1811="","Désignation manquante",IF(OR(NOT(ISNUMBER(D1811)),N(D1811)&lt;=0),"Quantité invalide",IF(J1811="","Prix manquant",IF(OR(NOT(ISNUMBER(J1811)),N(J1811)&lt;0),"Prix invalide",IF(OR(AND(F1811&lt;&gt;"",NOT(ISNUMBER(F1811))),N(F1811)&lt;0,N(F1811)&gt;1),"Remise invalide",IF(K1811="","Taux de TVA manquant",IF(NOT(ISNUMBER(K1811)),"Taux de TVA invalide",IF(COUNTIF(p_rates,K1811)=0,"Taux de TVA hors liste (Paramètres)",IF(N(O1811)&gt;25,"Au-delà de 25 lignes : non imprimée","OK")))))))))))))</f>
        <v/>
      </c>
      <c r="O1811" s="59" t="str">
        <f>IF(A1811="","",COUNTIF($A$6:A1811,A1811))</f>
        <v/>
      </c>
      <c r="P1811" s="62" t="str">
        <f>IF(A1811="","",A1811&amp;"|"&amp;O1811)</f>
        <v/>
      </c>
    </row>
    <row r="1812">
      <c r="A1812" s="60" t="n"/>
      <c r="B1812" s="63" t="n"/>
      <c r="C1812" s="63" t="n"/>
      <c r="D1812" s="67" t="n"/>
      <c r="E1812" s="68" t="n"/>
      <c r="F1812" s="69" t="n"/>
      <c r="G1812" s="70" t="n"/>
      <c r="H1812" s="62" t="str">
        <f>IF(COUNTA(A1812:G1812)=0,"",IF(C1812&lt;&gt;"",C1812,IF(B1812="","",IFERROR(INDEX(pr_des,MATCH(B1812,pr_code,0))&amp;"",""))))</f>
        <v/>
      </c>
      <c r="I1812" s="59" t="str">
        <f>IF(B1812="","",IFERROR(INDEX(pr_unit,MATCH(B1812,pr_code,0))&amp;"",""))</f>
        <v/>
      </c>
      <c r="J1812" s="65" t="str">
        <f>IF(COUNTA(A1812:G1812)=0,"",IF(E1812&lt;&gt;"",E1812,IF(B1812="","",IFERROR(IF(INDEX(pr_price,MATCH(B1812,pr_code,0))="","",INDEX(pr_price,MATCH(B1812,pr_code,0))),""))))</f>
        <v/>
      </c>
      <c r="K1812" s="71" t="str">
        <f>IF(COUNTA(A1812:G1812)=0,"",IF(G1812&lt;&gt;"",G1812,IF(B1812="","",IFERROR(IF(INDEX(pr_rate,MATCH(B1812,pr_code,0))="","",INDEX(pr_rate,MATCH(B1812,pr_code,0))),""))))</f>
        <v/>
      </c>
      <c r="L1812" s="65" t="str">
        <f>IF(COUNTA(A1812:G1812)=0,"",IF(AND(ISNUMBER(D1812),ISNUMBER(J1812)),ROUND(D1812*J1812*(1-N(F1812)),2),0))</f>
        <v/>
      </c>
      <c r="M1812" s="62" t="str">
        <f>IF(A1812="","",IFERROR(INDEX(dv_cname,MATCH(A1812,dv_num,0))&amp;"",""))</f>
        <v/>
      </c>
      <c r="N1812" s="59" t="str">
        <f>IF(COUNTA(A1812:G1812)=0,"",IF(A1812="","N° devis manquant",IF(ISNA(MATCH(A1812,dv_num,0)),"Devis inconnu",IF(AND(B1812&lt;&gt;"",ISNA(MATCH(B1812,pr_code,0))),"Article inconnu",IF(H1812="","Désignation manquante",IF(OR(NOT(ISNUMBER(D1812)),N(D1812)&lt;=0),"Quantité invalide",IF(J1812="","Prix manquant",IF(OR(NOT(ISNUMBER(J1812)),N(J1812)&lt;0),"Prix invalide",IF(OR(AND(F1812&lt;&gt;"",NOT(ISNUMBER(F1812))),N(F1812)&lt;0,N(F1812)&gt;1),"Remise invalide",IF(K1812="","Taux de TVA manquant",IF(NOT(ISNUMBER(K1812)),"Taux de TVA invalide",IF(COUNTIF(p_rates,K1812)=0,"Taux de TVA hors liste (Paramètres)",IF(N(O1812)&gt;25,"Au-delà de 25 lignes : non imprimée","OK")))))))))))))</f>
        <v/>
      </c>
      <c r="O1812" s="59" t="str">
        <f>IF(A1812="","",COUNTIF($A$6:A1812,A1812))</f>
        <v/>
      </c>
      <c r="P1812" s="62" t="str">
        <f>IF(A1812="","",A1812&amp;"|"&amp;O1812)</f>
        <v/>
      </c>
    </row>
    <row r="1813">
      <c r="A1813" s="60" t="n"/>
      <c r="B1813" s="63" t="n"/>
      <c r="C1813" s="63" t="n"/>
      <c r="D1813" s="67" t="n"/>
      <c r="E1813" s="68" t="n"/>
      <c r="F1813" s="69" t="n"/>
      <c r="G1813" s="70" t="n"/>
      <c r="H1813" s="62" t="str">
        <f>IF(COUNTA(A1813:G1813)=0,"",IF(C1813&lt;&gt;"",C1813,IF(B1813="","",IFERROR(INDEX(pr_des,MATCH(B1813,pr_code,0))&amp;"",""))))</f>
        <v/>
      </c>
      <c r="I1813" s="59" t="str">
        <f>IF(B1813="","",IFERROR(INDEX(pr_unit,MATCH(B1813,pr_code,0))&amp;"",""))</f>
        <v/>
      </c>
      <c r="J1813" s="65" t="str">
        <f>IF(COUNTA(A1813:G1813)=0,"",IF(E1813&lt;&gt;"",E1813,IF(B1813="","",IFERROR(IF(INDEX(pr_price,MATCH(B1813,pr_code,0))="","",INDEX(pr_price,MATCH(B1813,pr_code,0))),""))))</f>
        <v/>
      </c>
      <c r="K1813" s="71" t="str">
        <f>IF(COUNTA(A1813:G1813)=0,"",IF(G1813&lt;&gt;"",G1813,IF(B1813="","",IFERROR(IF(INDEX(pr_rate,MATCH(B1813,pr_code,0))="","",INDEX(pr_rate,MATCH(B1813,pr_code,0))),""))))</f>
        <v/>
      </c>
      <c r="L1813" s="65" t="str">
        <f>IF(COUNTA(A1813:G1813)=0,"",IF(AND(ISNUMBER(D1813),ISNUMBER(J1813)),ROUND(D1813*J1813*(1-N(F1813)),2),0))</f>
        <v/>
      </c>
      <c r="M1813" s="62" t="str">
        <f>IF(A1813="","",IFERROR(INDEX(dv_cname,MATCH(A1813,dv_num,0))&amp;"",""))</f>
        <v/>
      </c>
      <c r="N1813" s="59" t="str">
        <f>IF(COUNTA(A1813:G1813)=0,"",IF(A1813="","N° devis manquant",IF(ISNA(MATCH(A1813,dv_num,0)),"Devis inconnu",IF(AND(B1813&lt;&gt;"",ISNA(MATCH(B1813,pr_code,0))),"Article inconnu",IF(H1813="","Désignation manquante",IF(OR(NOT(ISNUMBER(D1813)),N(D1813)&lt;=0),"Quantité invalide",IF(J1813="","Prix manquant",IF(OR(NOT(ISNUMBER(J1813)),N(J1813)&lt;0),"Prix invalide",IF(OR(AND(F1813&lt;&gt;"",NOT(ISNUMBER(F1813))),N(F1813)&lt;0,N(F1813)&gt;1),"Remise invalide",IF(K1813="","Taux de TVA manquant",IF(NOT(ISNUMBER(K1813)),"Taux de TVA invalide",IF(COUNTIF(p_rates,K1813)=0,"Taux de TVA hors liste (Paramètres)",IF(N(O1813)&gt;25,"Au-delà de 25 lignes : non imprimée","OK")))))))))))))</f>
        <v/>
      </c>
      <c r="O1813" s="59" t="str">
        <f>IF(A1813="","",COUNTIF($A$6:A1813,A1813))</f>
        <v/>
      </c>
      <c r="P1813" s="62" t="str">
        <f>IF(A1813="","",A1813&amp;"|"&amp;O1813)</f>
        <v/>
      </c>
    </row>
    <row r="1814">
      <c r="A1814" s="60" t="n"/>
      <c r="B1814" s="63" t="n"/>
      <c r="C1814" s="63" t="n"/>
      <c r="D1814" s="67" t="n"/>
      <c r="E1814" s="68" t="n"/>
      <c r="F1814" s="69" t="n"/>
      <c r="G1814" s="70" t="n"/>
      <c r="H1814" s="62" t="str">
        <f>IF(COUNTA(A1814:G1814)=0,"",IF(C1814&lt;&gt;"",C1814,IF(B1814="","",IFERROR(INDEX(pr_des,MATCH(B1814,pr_code,0))&amp;"",""))))</f>
        <v/>
      </c>
      <c r="I1814" s="59" t="str">
        <f>IF(B1814="","",IFERROR(INDEX(pr_unit,MATCH(B1814,pr_code,0))&amp;"",""))</f>
        <v/>
      </c>
      <c r="J1814" s="65" t="str">
        <f>IF(COUNTA(A1814:G1814)=0,"",IF(E1814&lt;&gt;"",E1814,IF(B1814="","",IFERROR(IF(INDEX(pr_price,MATCH(B1814,pr_code,0))="","",INDEX(pr_price,MATCH(B1814,pr_code,0))),""))))</f>
        <v/>
      </c>
      <c r="K1814" s="71" t="str">
        <f>IF(COUNTA(A1814:G1814)=0,"",IF(G1814&lt;&gt;"",G1814,IF(B1814="","",IFERROR(IF(INDEX(pr_rate,MATCH(B1814,pr_code,0))="","",INDEX(pr_rate,MATCH(B1814,pr_code,0))),""))))</f>
        <v/>
      </c>
      <c r="L1814" s="65" t="str">
        <f>IF(COUNTA(A1814:G1814)=0,"",IF(AND(ISNUMBER(D1814),ISNUMBER(J1814)),ROUND(D1814*J1814*(1-N(F1814)),2),0))</f>
        <v/>
      </c>
      <c r="M1814" s="62" t="str">
        <f>IF(A1814="","",IFERROR(INDEX(dv_cname,MATCH(A1814,dv_num,0))&amp;"",""))</f>
        <v/>
      </c>
      <c r="N1814" s="59" t="str">
        <f>IF(COUNTA(A1814:G1814)=0,"",IF(A1814="","N° devis manquant",IF(ISNA(MATCH(A1814,dv_num,0)),"Devis inconnu",IF(AND(B1814&lt;&gt;"",ISNA(MATCH(B1814,pr_code,0))),"Article inconnu",IF(H1814="","Désignation manquante",IF(OR(NOT(ISNUMBER(D1814)),N(D1814)&lt;=0),"Quantité invalide",IF(J1814="","Prix manquant",IF(OR(NOT(ISNUMBER(J1814)),N(J1814)&lt;0),"Prix invalide",IF(OR(AND(F1814&lt;&gt;"",NOT(ISNUMBER(F1814))),N(F1814)&lt;0,N(F1814)&gt;1),"Remise invalide",IF(K1814="","Taux de TVA manquant",IF(NOT(ISNUMBER(K1814)),"Taux de TVA invalide",IF(COUNTIF(p_rates,K1814)=0,"Taux de TVA hors liste (Paramètres)",IF(N(O1814)&gt;25,"Au-delà de 25 lignes : non imprimée","OK")))))))))))))</f>
        <v/>
      </c>
      <c r="O1814" s="59" t="str">
        <f>IF(A1814="","",COUNTIF($A$6:A1814,A1814))</f>
        <v/>
      </c>
      <c r="P1814" s="62" t="str">
        <f>IF(A1814="","",A1814&amp;"|"&amp;O1814)</f>
        <v/>
      </c>
    </row>
    <row r="1815">
      <c r="A1815" s="60" t="n"/>
      <c r="B1815" s="63" t="n"/>
      <c r="C1815" s="63" t="n"/>
      <c r="D1815" s="67" t="n"/>
      <c r="E1815" s="68" t="n"/>
      <c r="F1815" s="69" t="n"/>
      <c r="G1815" s="70" t="n"/>
      <c r="H1815" s="62" t="str">
        <f>IF(COUNTA(A1815:G1815)=0,"",IF(C1815&lt;&gt;"",C1815,IF(B1815="","",IFERROR(INDEX(pr_des,MATCH(B1815,pr_code,0))&amp;"",""))))</f>
        <v/>
      </c>
      <c r="I1815" s="59" t="str">
        <f>IF(B1815="","",IFERROR(INDEX(pr_unit,MATCH(B1815,pr_code,0))&amp;"",""))</f>
        <v/>
      </c>
      <c r="J1815" s="65" t="str">
        <f>IF(COUNTA(A1815:G1815)=0,"",IF(E1815&lt;&gt;"",E1815,IF(B1815="","",IFERROR(IF(INDEX(pr_price,MATCH(B1815,pr_code,0))="","",INDEX(pr_price,MATCH(B1815,pr_code,0))),""))))</f>
        <v/>
      </c>
      <c r="K1815" s="71" t="str">
        <f>IF(COUNTA(A1815:G1815)=0,"",IF(G1815&lt;&gt;"",G1815,IF(B1815="","",IFERROR(IF(INDEX(pr_rate,MATCH(B1815,pr_code,0))="","",INDEX(pr_rate,MATCH(B1815,pr_code,0))),""))))</f>
        <v/>
      </c>
      <c r="L1815" s="65" t="str">
        <f>IF(COUNTA(A1815:G1815)=0,"",IF(AND(ISNUMBER(D1815),ISNUMBER(J1815)),ROUND(D1815*J1815*(1-N(F1815)),2),0))</f>
        <v/>
      </c>
      <c r="M1815" s="62" t="str">
        <f>IF(A1815="","",IFERROR(INDEX(dv_cname,MATCH(A1815,dv_num,0))&amp;"",""))</f>
        <v/>
      </c>
      <c r="N1815" s="59" t="str">
        <f>IF(COUNTA(A1815:G1815)=0,"",IF(A1815="","N° devis manquant",IF(ISNA(MATCH(A1815,dv_num,0)),"Devis inconnu",IF(AND(B1815&lt;&gt;"",ISNA(MATCH(B1815,pr_code,0))),"Article inconnu",IF(H1815="","Désignation manquante",IF(OR(NOT(ISNUMBER(D1815)),N(D1815)&lt;=0),"Quantité invalide",IF(J1815="","Prix manquant",IF(OR(NOT(ISNUMBER(J1815)),N(J1815)&lt;0),"Prix invalide",IF(OR(AND(F1815&lt;&gt;"",NOT(ISNUMBER(F1815))),N(F1815)&lt;0,N(F1815)&gt;1),"Remise invalide",IF(K1815="","Taux de TVA manquant",IF(NOT(ISNUMBER(K1815)),"Taux de TVA invalide",IF(COUNTIF(p_rates,K1815)=0,"Taux de TVA hors liste (Paramètres)",IF(N(O1815)&gt;25,"Au-delà de 25 lignes : non imprimée","OK")))))))))))))</f>
        <v/>
      </c>
      <c r="O1815" s="59" t="str">
        <f>IF(A1815="","",COUNTIF($A$6:A1815,A1815))</f>
        <v/>
      </c>
      <c r="P1815" s="62" t="str">
        <f>IF(A1815="","",A1815&amp;"|"&amp;O1815)</f>
        <v/>
      </c>
    </row>
    <row r="1816">
      <c r="A1816" s="60" t="n"/>
      <c r="B1816" s="63" t="n"/>
      <c r="C1816" s="63" t="n"/>
      <c r="D1816" s="67" t="n"/>
      <c r="E1816" s="68" t="n"/>
      <c r="F1816" s="69" t="n"/>
      <c r="G1816" s="70" t="n"/>
      <c r="H1816" s="62" t="str">
        <f>IF(COUNTA(A1816:G1816)=0,"",IF(C1816&lt;&gt;"",C1816,IF(B1816="","",IFERROR(INDEX(pr_des,MATCH(B1816,pr_code,0))&amp;"",""))))</f>
        <v/>
      </c>
      <c r="I1816" s="59" t="str">
        <f>IF(B1816="","",IFERROR(INDEX(pr_unit,MATCH(B1816,pr_code,0))&amp;"",""))</f>
        <v/>
      </c>
      <c r="J1816" s="65" t="str">
        <f>IF(COUNTA(A1816:G1816)=0,"",IF(E1816&lt;&gt;"",E1816,IF(B1816="","",IFERROR(IF(INDEX(pr_price,MATCH(B1816,pr_code,0))="","",INDEX(pr_price,MATCH(B1816,pr_code,0))),""))))</f>
        <v/>
      </c>
      <c r="K1816" s="71" t="str">
        <f>IF(COUNTA(A1816:G1816)=0,"",IF(G1816&lt;&gt;"",G1816,IF(B1816="","",IFERROR(IF(INDEX(pr_rate,MATCH(B1816,pr_code,0))="","",INDEX(pr_rate,MATCH(B1816,pr_code,0))),""))))</f>
        <v/>
      </c>
      <c r="L1816" s="65" t="str">
        <f>IF(COUNTA(A1816:G1816)=0,"",IF(AND(ISNUMBER(D1816),ISNUMBER(J1816)),ROUND(D1816*J1816*(1-N(F1816)),2),0))</f>
        <v/>
      </c>
      <c r="M1816" s="62" t="str">
        <f>IF(A1816="","",IFERROR(INDEX(dv_cname,MATCH(A1816,dv_num,0))&amp;"",""))</f>
        <v/>
      </c>
      <c r="N1816" s="59" t="str">
        <f>IF(COUNTA(A1816:G1816)=0,"",IF(A1816="","N° devis manquant",IF(ISNA(MATCH(A1816,dv_num,0)),"Devis inconnu",IF(AND(B1816&lt;&gt;"",ISNA(MATCH(B1816,pr_code,0))),"Article inconnu",IF(H1816="","Désignation manquante",IF(OR(NOT(ISNUMBER(D1816)),N(D1816)&lt;=0),"Quantité invalide",IF(J1816="","Prix manquant",IF(OR(NOT(ISNUMBER(J1816)),N(J1816)&lt;0),"Prix invalide",IF(OR(AND(F1816&lt;&gt;"",NOT(ISNUMBER(F1816))),N(F1816)&lt;0,N(F1816)&gt;1),"Remise invalide",IF(K1816="","Taux de TVA manquant",IF(NOT(ISNUMBER(K1816)),"Taux de TVA invalide",IF(COUNTIF(p_rates,K1816)=0,"Taux de TVA hors liste (Paramètres)",IF(N(O1816)&gt;25,"Au-delà de 25 lignes : non imprimée","OK")))))))))))))</f>
        <v/>
      </c>
      <c r="O1816" s="59" t="str">
        <f>IF(A1816="","",COUNTIF($A$6:A1816,A1816))</f>
        <v/>
      </c>
      <c r="P1816" s="62" t="str">
        <f>IF(A1816="","",A1816&amp;"|"&amp;O1816)</f>
        <v/>
      </c>
    </row>
    <row r="1817">
      <c r="A1817" s="60" t="n"/>
      <c r="B1817" s="63" t="n"/>
      <c r="C1817" s="63" t="n"/>
      <c r="D1817" s="67" t="n"/>
      <c r="E1817" s="68" t="n"/>
      <c r="F1817" s="69" t="n"/>
      <c r="G1817" s="70" t="n"/>
      <c r="H1817" s="62" t="str">
        <f>IF(COUNTA(A1817:G1817)=0,"",IF(C1817&lt;&gt;"",C1817,IF(B1817="","",IFERROR(INDEX(pr_des,MATCH(B1817,pr_code,0))&amp;"",""))))</f>
        <v/>
      </c>
      <c r="I1817" s="59" t="str">
        <f>IF(B1817="","",IFERROR(INDEX(pr_unit,MATCH(B1817,pr_code,0))&amp;"",""))</f>
        <v/>
      </c>
      <c r="J1817" s="65" t="str">
        <f>IF(COUNTA(A1817:G1817)=0,"",IF(E1817&lt;&gt;"",E1817,IF(B1817="","",IFERROR(IF(INDEX(pr_price,MATCH(B1817,pr_code,0))="","",INDEX(pr_price,MATCH(B1817,pr_code,0))),""))))</f>
        <v/>
      </c>
      <c r="K1817" s="71" t="str">
        <f>IF(COUNTA(A1817:G1817)=0,"",IF(G1817&lt;&gt;"",G1817,IF(B1817="","",IFERROR(IF(INDEX(pr_rate,MATCH(B1817,pr_code,0))="","",INDEX(pr_rate,MATCH(B1817,pr_code,0))),""))))</f>
        <v/>
      </c>
      <c r="L1817" s="65" t="str">
        <f>IF(COUNTA(A1817:G1817)=0,"",IF(AND(ISNUMBER(D1817),ISNUMBER(J1817)),ROUND(D1817*J1817*(1-N(F1817)),2),0))</f>
        <v/>
      </c>
      <c r="M1817" s="62" t="str">
        <f>IF(A1817="","",IFERROR(INDEX(dv_cname,MATCH(A1817,dv_num,0))&amp;"",""))</f>
        <v/>
      </c>
      <c r="N1817" s="59" t="str">
        <f>IF(COUNTA(A1817:G1817)=0,"",IF(A1817="","N° devis manquant",IF(ISNA(MATCH(A1817,dv_num,0)),"Devis inconnu",IF(AND(B1817&lt;&gt;"",ISNA(MATCH(B1817,pr_code,0))),"Article inconnu",IF(H1817="","Désignation manquante",IF(OR(NOT(ISNUMBER(D1817)),N(D1817)&lt;=0),"Quantité invalide",IF(J1817="","Prix manquant",IF(OR(NOT(ISNUMBER(J1817)),N(J1817)&lt;0),"Prix invalide",IF(OR(AND(F1817&lt;&gt;"",NOT(ISNUMBER(F1817))),N(F1817)&lt;0,N(F1817)&gt;1),"Remise invalide",IF(K1817="","Taux de TVA manquant",IF(NOT(ISNUMBER(K1817)),"Taux de TVA invalide",IF(COUNTIF(p_rates,K1817)=0,"Taux de TVA hors liste (Paramètres)",IF(N(O1817)&gt;25,"Au-delà de 25 lignes : non imprimée","OK")))))))))))))</f>
        <v/>
      </c>
      <c r="O1817" s="59" t="str">
        <f>IF(A1817="","",COUNTIF($A$6:A1817,A1817))</f>
        <v/>
      </c>
      <c r="P1817" s="62" t="str">
        <f>IF(A1817="","",A1817&amp;"|"&amp;O1817)</f>
        <v/>
      </c>
    </row>
    <row r="1818">
      <c r="A1818" s="60" t="n"/>
      <c r="B1818" s="63" t="n"/>
      <c r="C1818" s="63" t="n"/>
      <c r="D1818" s="67" t="n"/>
      <c r="E1818" s="68" t="n"/>
      <c r="F1818" s="69" t="n"/>
      <c r="G1818" s="70" t="n"/>
      <c r="H1818" s="62" t="str">
        <f>IF(COUNTA(A1818:G1818)=0,"",IF(C1818&lt;&gt;"",C1818,IF(B1818="","",IFERROR(INDEX(pr_des,MATCH(B1818,pr_code,0))&amp;"",""))))</f>
        <v/>
      </c>
      <c r="I1818" s="59" t="str">
        <f>IF(B1818="","",IFERROR(INDEX(pr_unit,MATCH(B1818,pr_code,0))&amp;"",""))</f>
        <v/>
      </c>
      <c r="J1818" s="65" t="str">
        <f>IF(COUNTA(A1818:G1818)=0,"",IF(E1818&lt;&gt;"",E1818,IF(B1818="","",IFERROR(IF(INDEX(pr_price,MATCH(B1818,pr_code,0))="","",INDEX(pr_price,MATCH(B1818,pr_code,0))),""))))</f>
        <v/>
      </c>
      <c r="K1818" s="71" t="str">
        <f>IF(COUNTA(A1818:G1818)=0,"",IF(G1818&lt;&gt;"",G1818,IF(B1818="","",IFERROR(IF(INDEX(pr_rate,MATCH(B1818,pr_code,0))="","",INDEX(pr_rate,MATCH(B1818,pr_code,0))),""))))</f>
        <v/>
      </c>
      <c r="L1818" s="65" t="str">
        <f>IF(COUNTA(A1818:G1818)=0,"",IF(AND(ISNUMBER(D1818),ISNUMBER(J1818)),ROUND(D1818*J1818*(1-N(F1818)),2),0))</f>
        <v/>
      </c>
      <c r="M1818" s="62" t="str">
        <f>IF(A1818="","",IFERROR(INDEX(dv_cname,MATCH(A1818,dv_num,0))&amp;"",""))</f>
        <v/>
      </c>
      <c r="N1818" s="59" t="str">
        <f>IF(COUNTA(A1818:G1818)=0,"",IF(A1818="","N° devis manquant",IF(ISNA(MATCH(A1818,dv_num,0)),"Devis inconnu",IF(AND(B1818&lt;&gt;"",ISNA(MATCH(B1818,pr_code,0))),"Article inconnu",IF(H1818="","Désignation manquante",IF(OR(NOT(ISNUMBER(D1818)),N(D1818)&lt;=0),"Quantité invalide",IF(J1818="","Prix manquant",IF(OR(NOT(ISNUMBER(J1818)),N(J1818)&lt;0),"Prix invalide",IF(OR(AND(F1818&lt;&gt;"",NOT(ISNUMBER(F1818))),N(F1818)&lt;0,N(F1818)&gt;1),"Remise invalide",IF(K1818="","Taux de TVA manquant",IF(NOT(ISNUMBER(K1818)),"Taux de TVA invalide",IF(COUNTIF(p_rates,K1818)=0,"Taux de TVA hors liste (Paramètres)",IF(N(O1818)&gt;25,"Au-delà de 25 lignes : non imprimée","OK")))))))))))))</f>
        <v/>
      </c>
      <c r="O1818" s="59" t="str">
        <f>IF(A1818="","",COUNTIF($A$6:A1818,A1818))</f>
        <v/>
      </c>
      <c r="P1818" s="62" t="str">
        <f>IF(A1818="","",A1818&amp;"|"&amp;O1818)</f>
        <v/>
      </c>
    </row>
    <row r="1819">
      <c r="A1819" s="60" t="n"/>
      <c r="B1819" s="63" t="n"/>
      <c r="C1819" s="63" t="n"/>
      <c r="D1819" s="67" t="n"/>
      <c r="E1819" s="68" t="n"/>
      <c r="F1819" s="69" t="n"/>
      <c r="G1819" s="70" t="n"/>
      <c r="H1819" s="62" t="str">
        <f>IF(COUNTA(A1819:G1819)=0,"",IF(C1819&lt;&gt;"",C1819,IF(B1819="","",IFERROR(INDEX(pr_des,MATCH(B1819,pr_code,0))&amp;"",""))))</f>
        <v/>
      </c>
      <c r="I1819" s="59" t="str">
        <f>IF(B1819="","",IFERROR(INDEX(pr_unit,MATCH(B1819,pr_code,0))&amp;"",""))</f>
        <v/>
      </c>
      <c r="J1819" s="65" t="str">
        <f>IF(COUNTA(A1819:G1819)=0,"",IF(E1819&lt;&gt;"",E1819,IF(B1819="","",IFERROR(IF(INDEX(pr_price,MATCH(B1819,pr_code,0))="","",INDEX(pr_price,MATCH(B1819,pr_code,0))),""))))</f>
        <v/>
      </c>
      <c r="K1819" s="71" t="str">
        <f>IF(COUNTA(A1819:G1819)=0,"",IF(G1819&lt;&gt;"",G1819,IF(B1819="","",IFERROR(IF(INDEX(pr_rate,MATCH(B1819,pr_code,0))="","",INDEX(pr_rate,MATCH(B1819,pr_code,0))),""))))</f>
        <v/>
      </c>
      <c r="L1819" s="65" t="str">
        <f>IF(COUNTA(A1819:G1819)=0,"",IF(AND(ISNUMBER(D1819),ISNUMBER(J1819)),ROUND(D1819*J1819*(1-N(F1819)),2),0))</f>
        <v/>
      </c>
      <c r="M1819" s="62" t="str">
        <f>IF(A1819="","",IFERROR(INDEX(dv_cname,MATCH(A1819,dv_num,0))&amp;"",""))</f>
        <v/>
      </c>
      <c r="N1819" s="59" t="str">
        <f>IF(COUNTA(A1819:G1819)=0,"",IF(A1819="","N° devis manquant",IF(ISNA(MATCH(A1819,dv_num,0)),"Devis inconnu",IF(AND(B1819&lt;&gt;"",ISNA(MATCH(B1819,pr_code,0))),"Article inconnu",IF(H1819="","Désignation manquante",IF(OR(NOT(ISNUMBER(D1819)),N(D1819)&lt;=0),"Quantité invalide",IF(J1819="","Prix manquant",IF(OR(NOT(ISNUMBER(J1819)),N(J1819)&lt;0),"Prix invalide",IF(OR(AND(F1819&lt;&gt;"",NOT(ISNUMBER(F1819))),N(F1819)&lt;0,N(F1819)&gt;1),"Remise invalide",IF(K1819="","Taux de TVA manquant",IF(NOT(ISNUMBER(K1819)),"Taux de TVA invalide",IF(COUNTIF(p_rates,K1819)=0,"Taux de TVA hors liste (Paramètres)",IF(N(O1819)&gt;25,"Au-delà de 25 lignes : non imprimée","OK")))))))))))))</f>
        <v/>
      </c>
      <c r="O1819" s="59" t="str">
        <f>IF(A1819="","",COUNTIF($A$6:A1819,A1819))</f>
        <v/>
      </c>
      <c r="P1819" s="62" t="str">
        <f>IF(A1819="","",A1819&amp;"|"&amp;O1819)</f>
        <v/>
      </c>
    </row>
    <row r="1820">
      <c r="A1820" s="60" t="n"/>
      <c r="B1820" s="63" t="n"/>
      <c r="C1820" s="63" t="n"/>
      <c r="D1820" s="67" t="n"/>
      <c r="E1820" s="68" t="n"/>
      <c r="F1820" s="69" t="n"/>
      <c r="G1820" s="70" t="n"/>
      <c r="H1820" s="62" t="str">
        <f>IF(COUNTA(A1820:G1820)=0,"",IF(C1820&lt;&gt;"",C1820,IF(B1820="","",IFERROR(INDEX(pr_des,MATCH(B1820,pr_code,0))&amp;"",""))))</f>
        <v/>
      </c>
      <c r="I1820" s="59" t="str">
        <f>IF(B1820="","",IFERROR(INDEX(pr_unit,MATCH(B1820,pr_code,0))&amp;"",""))</f>
        <v/>
      </c>
      <c r="J1820" s="65" t="str">
        <f>IF(COUNTA(A1820:G1820)=0,"",IF(E1820&lt;&gt;"",E1820,IF(B1820="","",IFERROR(IF(INDEX(pr_price,MATCH(B1820,pr_code,0))="","",INDEX(pr_price,MATCH(B1820,pr_code,0))),""))))</f>
        <v/>
      </c>
      <c r="K1820" s="71" t="str">
        <f>IF(COUNTA(A1820:G1820)=0,"",IF(G1820&lt;&gt;"",G1820,IF(B1820="","",IFERROR(IF(INDEX(pr_rate,MATCH(B1820,pr_code,0))="","",INDEX(pr_rate,MATCH(B1820,pr_code,0))),""))))</f>
        <v/>
      </c>
      <c r="L1820" s="65" t="str">
        <f>IF(COUNTA(A1820:G1820)=0,"",IF(AND(ISNUMBER(D1820),ISNUMBER(J1820)),ROUND(D1820*J1820*(1-N(F1820)),2),0))</f>
        <v/>
      </c>
      <c r="M1820" s="62" t="str">
        <f>IF(A1820="","",IFERROR(INDEX(dv_cname,MATCH(A1820,dv_num,0))&amp;"",""))</f>
        <v/>
      </c>
      <c r="N1820" s="59" t="str">
        <f>IF(COUNTA(A1820:G1820)=0,"",IF(A1820="","N° devis manquant",IF(ISNA(MATCH(A1820,dv_num,0)),"Devis inconnu",IF(AND(B1820&lt;&gt;"",ISNA(MATCH(B1820,pr_code,0))),"Article inconnu",IF(H1820="","Désignation manquante",IF(OR(NOT(ISNUMBER(D1820)),N(D1820)&lt;=0),"Quantité invalide",IF(J1820="","Prix manquant",IF(OR(NOT(ISNUMBER(J1820)),N(J1820)&lt;0),"Prix invalide",IF(OR(AND(F1820&lt;&gt;"",NOT(ISNUMBER(F1820))),N(F1820)&lt;0,N(F1820)&gt;1),"Remise invalide",IF(K1820="","Taux de TVA manquant",IF(NOT(ISNUMBER(K1820)),"Taux de TVA invalide",IF(COUNTIF(p_rates,K1820)=0,"Taux de TVA hors liste (Paramètres)",IF(N(O1820)&gt;25,"Au-delà de 25 lignes : non imprimée","OK")))))))))))))</f>
        <v/>
      </c>
      <c r="O1820" s="59" t="str">
        <f>IF(A1820="","",COUNTIF($A$6:A1820,A1820))</f>
        <v/>
      </c>
      <c r="P1820" s="62" t="str">
        <f>IF(A1820="","",A1820&amp;"|"&amp;O1820)</f>
        <v/>
      </c>
    </row>
    <row r="1821">
      <c r="A1821" s="60" t="n"/>
      <c r="B1821" s="63" t="n"/>
      <c r="C1821" s="63" t="n"/>
      <c r="D1821" s="67" t="n"/>
      <c r="E1821" s="68" t="n"/>
      <c r="F1821" s="69" t="n"/>
      <c r="G1821" s="70" t="n"/>
      <c r="H1821" s="62" t="str">
        <f>IF(COUNTA(A1821:G1821)=0,"",IF(C1821&lt;&gt;"",C1821,IF(B1821="","",IFERROR(INDEX(pr_des,MATCH(B1821,pr_code,0))&amp;"",""))))</f>
        <v/>
      </c>
      <c r="I1821" s="59" t="str">
        <f>IF(B1821="","",IFERROR(INDEX(pr_unit,MATCH(B1821,pr_code,0))&amp;"",""))</f>
        <v/>
      </c>
      <c r="J1821" s="65" t="str">
        <f>IF(COUNTA(A1821:G1821)=0,"",IF(E1821&lt;&gt;"",E1821,IF(B1821="","",IFERROR(IF(INDEX(pr_price,MATCH(B1821,pr_code,0))="","",INDEX(pr_price,MATCH(B1821,pr_code,0))),""))))</f>
        <v/>
      </c>
      <c r="K1821" s="71" t="str">
        <f>IF(COUNTA(A1821:G1821)=0,"",IF(G1821&lt;&gt;"",G1821,IF(B1821="","",IFERROR(IF(INDEX(pr_rate,MATCH(B1821,pr_code,0))="","",INDEX(pr_rate,MATCH(B1821,pr_code,0))),""))))</f>
        <v/>
      </c>
      <c r="L1821" s="65" t="str">
        <f>IF(COUNTA(A1821:G1821)=0,"",IF(AND(ISNUMBER(D1821),ISNUMBER(J1821)),ROUND(D1821*J1821*(1-N(F1821)),2),0))</f>
        <v/>
      </c>
      <c r="M1821" s="62" t="str">
        <f>IF(A1821="","",IFERROR(INDEX(dv_cname,MATCH(A1821,dv_num,0))&amp;"",""))</f>
        <v/>
      </c>
      <c r="N1821" s="59" t="str">
        <f>IF(COUNTA(A1821:G1821)=0,"",IF(A1821="","N° devis manquant",IF(ISNA(MATCH(A1821,dv_num,0)),"Devis inconnu",IF(AND(B1821&lt;&gt;"",ISNA(MATCH(B1821,pr_code,0))),"Article inconnu",IF(H1821="","Désignation manquante",IF(OR(NOT(ISNUMBER(D1821)),N(D1821)&lt;=0),"Quantité invalide",IF(J1821="","Prix manquant",IF(OR(NOT(ISNUMBER(J1821)),N(J1821)&lt;0),"Prix invalide",IF(OR(AND(F1821&lt;&gt;"",NOT(ISNUMBER(F1821))),N(F1821)&lt;0,N(F1821)&gt;1),"Remise invalide",IF(K1821="","Taux de TVA manquant",IF(NOT(ISNUMBER(K1821)),"Taux de TVA invalide",IF(COUNTIF(p_rates,K1821)=0,"Taux de TVA hors liste (Paramètres)",IF(N(O1821)&gt;25,"Au-delà de 25 lignes : non imprimée","OK")))))))))))))</f>
        <v/>
      </c>
      <c r="O1821" s="59" t="str">
        <f>IF(A1821="","",COUNTIF($A$6:A1821,A1821))</f>
        <v/>
      </c>
      <c r="P1821" s="62" t="str">
        <f>IF(A1821="","",A1821&amp;"|"&amp;O1821)</f>
        <v/>
      </c>
    </row>
    <row r="1822">
      <c r="A1822" s="60" t="n"/>
      <c r="B1822" s="63" t="n"/>
      <c r="C1822" s="63" t="n"/>
      <c r="D1822" s="67" t="n"/>
      <c r="E1822" s="68" t="n"/>
      <c r="F1822" s="69" t="n"/>
      <c r="G1822" s="70" t="n"/>
      <c r="H1822" s="62" t="str">
        <f>IF(COUNTA(A1822:G1822)=0,"",IF(C1822&lt;&gt;"",C1822,IF(B1822="","",IFERROR(INDEX(pr_des,MATCH(B1822,pr_code,0))&amp;"",""))))</f>
        <v/>
      </c>
      <c r="I1822" s="59" t="str">
        <f>IF(B1822="","",IFERROR(INDEX(pr_unit,MATCH(B1822,pr_code,0))&amp;"",""))</f>
        <v/>
      </c>
      <c r="J1822" s="65" t="str">
        <f>IF(COUNTA(A1822:G1822)=0,"",IF(E1822&lt;&gt;"",E1822,IF(B1822="","",IFERROR(IF(INDEX(pr_price,MATCH(B1822,pr_code,0))="","",INDEX(pr_price,MATCH(B1822,pr_code,0))),""))))</f>
        <v/>
      </c>
      <c r="K1822" s="71" t="str">
        <f>IF(COUNTA(A1822:G1822)=0,"",IF(G1822&lt;&gt;"",G1822,IF(B1822="","",IFERROR(IF(INDEX(pr_rate,MATCH(B1822,pr_code,0))="","",INDEX(pr_rate,MATCH(B1822,pr_code,0))),""))))</f>
        <v/>
      </c>
      <c r="L1822" s="65" t="str">
        <f>IF(COUNTA(A1822:G1822)=0,"",IF(AND(ISNUMBER(D1822),ISNUMBER(J1822)),ROUND(D1822*J1822*(1-N(F1822)),2),0))</f>
        <v/>
      </c>
      <c r="M1822" s="62" t="str">
        <f>IF(A1822="","",IFERROR(INDEX(dv_cname,MATCH(A1822,dv_num,0))&amp;"",""))</f>
        <v/>
      </c>
      <c r="N1822" s="59" t="str">
        <f>IF(COUNTA(A1822:G1822)=0,"",IF(A1822="","N° devis manquant",IF(ISNA(MATCH(A1822,dv_num,0)),"Devis inconnu",IF(AND(B1822&lt;&gt;"",ISNA(MATCH(B1822,pr_code,0))),"Article inconnu",IF(H1822="","Désignation manquante",IF(OR(NOT(ISNUMBER(D1822)),N(D1822)&lt;=0),"Quantité invalide",IF(J1822="","Prix manquant",IF(OR(NOT(ISNUMBER(J1822)),N(J1822)&lt;0),"Prix invalide",IF(OR(AND(F1822&lt;&gt;"",NOT(ISNUMBER(F1822))),N(F1822)&lt;0,N(F1822)&gt;1),"Remise invalide",IF(K1822="","Taux de TVA manquant",IF(NOT(ISNUMBER(K1822)),"Taux de TVA invalide",IF(COUNTIF(p_rates,K1822)=0,"Taux de TVA hors liste (Paramètres)",IF(N(O1822)&gt;25,"Au-delà de 25 lignes : non imprimée","OK")))))))))))))</f>
        <v/>
      </c>
      <c r="O1822" s="59" t="str">
        <f>IF(A1822="","",COUNTIF($A$6:A1822,A1822))</f>
        <v/>
      </c>
      <c r="P1822" s="62" t="str">
        <f>IF(A1822="","",A1822&amp;"|"&amp;O1822)</f>
        <v/>
      </c>
    </row>
    <row r="1823">
      <c r="A1823" s="60" t="n"/>
      <c r="B1823" s="63" t="n"/>
      <c r="C1823" s="63" t="n"/>
      <c r="D1823" s="67" t="n"/>
      <c r="E1823" s="68" t="n"/>
      <c r="F1823" s="69" t="n"/>
      <c r="G1823" s="70" t="n"/>
      <c r="H1823" s="62" t="str">
        <f>IF(COUNTA(A1823:G1823)=0,"",IF(C1823&lt;&gt;"",C1823,IF(B1823="","",IFERROR(INDEX(pr_des,MATCH(B1823,pr_code,0))&amp;"",""))))</f>
        <v/>
      </c>
      <c r="I1823" s="59" t="str">
        <f>IF(B1823="","",IFERROR(INDEX(pr_unit,MATCH(B1823,pr_code,0))&amp;"",""))</f>
        <v/>
      </c>
      <c r="J1823" s="65" t="str">
        <f>IF(COUNTA(A1823:G1823)=0,"",IF(E1823&lt;&gt;"",E1823,IF(B1823="","",IFERROR(IF(INDEX(pr_price,MATCH(B1823,pr_code,0))="","",INDEX(pr_price,MATCH(B1823,pr_code,0))),""))))</f>
        <v/>
      </c>
      <c r="K1823" s="71" t="str">
        <f>IF(COUNTA(A1823:G1823)=0,"",IF(G1823&lt;&gt;"",G1823,IF(B1823="","",IFERROR(IF(INDEX(pr_rate,MATCH(B1823,pr_code,0))="","",INDEX(pr_rate,MATCH(B1823,pr_code,0))),""))))</f>
        <v/>
      </c>
      <c r="L1823" s="65" t="str">
        <f>IF(COUNTA(A1823:G1823)=0,"",IF(AND(ISNUMBER(D1823),ISNUMBER(J1823)),ROUND(D1823*J1823*(1-N(F1823)),2),0))</f>
        <v/>
      </c>
      <c r="M1823" s="62" t="str">
        <f>IF(A1823="","",IFERROR(INDEX(dv_cname,MATCH(A1823,dv_num,0))&amp;"",""))</f>
        <v/>
      </c>
      <c r="N1823" s="59" t="str">
        <f>IF(COUNTA(A1823:G1823)=0,"",IF(A1823="","N° devis manquant",IF(ISNA(MATCH(A1823,dv_num,0)),"Devis inconnu",IF(AND(B1823&lt;&gt;"",ISNA(MATCH(B1823,pr_code,0))),"Article inconnu",IF(H1823="","Désignation manquante",IF(OR(NOT(ISNUMBER(D1823)),N(D1823)&lt;=0),"Quantité invalide",IF(J1823="","Prix manquant",IF(OR(NOT(ISNUMBER(J1823)),N(J1823)&lt;0),"Prix invalide",IF(OR(AND(F1823&lt;&gt;"",NOT(ISNUMBER(F1823))),N(F1823)&lt;0,N(F1823)&gt;1),"Remise invalide",IF(K1823="","Taux de TVA manquant",IF(NOT(ISNUMBER(K1823)),"Taux de TVA invalide",IF(COUNTIF(p_rates,K1823)=0,"Taux de TVA hors liste (Paramètres)",IF(N(O1823)&gt;25,"Au-delà de 25 lignes : non imprimée","OK")))))))))))))</f>
        <v/>
      </c>
      <c r="O1823" s="59" t="str">
        <f>IF(A1823="","",COUNTIF($A$6:A1823,A1823))</f>
        <v/>
      </c>
      <c r="P1823" s="62" t="str">
        <f>IF(A1823="","",A1823&amp;"|"&amp;O1823)</f>
        <v/>
      </c>
    </row>
    <row r="1824">
      <c r="A1824" s="60" t="n"/>
      <c r="B1824" s="63" t="n"/>
      <c r="C1824" s="63" t="n"/>
      <c r="D1824" s="67" t="n"/>
      <c r="E1824" s="68" t="n"/>
      <c r="F1824" s="69" t="n"/>
      <c r="G1824" s="70" t="n"/>
      <c r="H1824" s="62" t="str">
        <f>IF(COUNTA(A1824:G1824)=0,"",IF(C1824&lt;&gt;"",C1824,IF(B1824="","",IFERROR(INDEX(pr_des,MATCH(B1824,pr_code,0))&amp;"",""))))</f>
        <v/>
      </c>
      <c r="I1824" s="59" t="str">
        <f>IF(B1824="","",IFERROR(INDEX(pr_unit,MATCH(B1824,pr_code,0))&amp;"",""))</f>
        <v/>
      </c>
      <c r="J1824" s="65" t="str">
        <f>IF(COUNTA(A1824:G1824)=0,"",IF(E1824&lt;&gt;"",E1824,IF(B1824="","",IFERROR(IF(INDEX(pr_price,MATCH(B1824,pr_code,0))="","",INDEX(pr_price,MATCH(B1824,pr_code,0))),""))))</f>
        <v/>
      </c>
      <c r="K1824" s="71" t="str">
        <f>IF(COUNTA(A1824:G1824)=0,"",IF(G1824&lt;&gt;"",G1824,IF(B1824="","",IFERROR(IF(INDEX(pr_rate,MATCH(B1824,pr_code,0))="","",INDEX(pr_rate,MATCH(B1824,pr_code,0))),""))))</f>
        <v/>
      </c>
      <c r="L1824" s="65" t="str">
        <f>IF(COUNTA(A1824:G1824)=0,"",IF(AND(ISNUMBER(D1824),ISNUMBER(J1824)),ROUND(D1824*J1824*(1-N(F1824)),2),0))</f>
        <v/>
      </c>
      <c r="M1824" s="62" t="str">
        <f>IF(A1824="","",IFERROR(INDEX(dv_cname,MATCH(A1824,dv_num,0))&amp;"",""))</f>
        <v/>
      </c>
      <c r="N1824" s="59" t="str">
        <f>IF(COUNTA(A1824:G1824)=0,"",IF(A1824="","N° devis manquant",IF(ISNA(MATCH(A1824,dv_num,0)),"Devis inconnu",IF(AND(B1824&lt;&gt;"",ISNA(MATCH(B1824,pr_code,0))),"Article inconnu",IF(H1824="","Désignation manquante",IF(OR(NOT(ISNUMBER(D1824)),N(D1824)&lt;=0),"Quantité invalide",IF(J1824="","Prix manquant",IF(OR(NOT(ISNUMBER(J1824)),N(J1824)&lt;0),"Prix invalide",IF(OR(AND(F1824&lt;&gt;"",NOT(ISNUMBER(F1824))),N(F1824)&lt;0,N(F1824)&gt;1),"Remise invalide",IF(K1824="","Taux de TVA manquant",IF(NOT(ISNUMBER(K1824)),"Taux de TVA invalide",IF(COUNTIF(p_rates,K1824)=0,"Taux de TVA hors liste (Paramètres)",IF(N(O1824)&gt;25,"Au-delà de 25 lignes : non imprimée","OK")))))))))))))</f>
        <v/>
      </c>
      <c r="O1824" s="59" t="str">
        <f>IF(A1824="","",COUNTIF($A$6:A1824,A1824))</f>
        <v/>
      </c>
      <c r="P1824" s="62" t="str">
        <f>IF(A1824="","",A1824&amp;"|"&amp;O1824)</f>
        <v/>
      </c>
    </row>
    <row r="1825">
      <c r="A1825" s="60" t="n"/>
      <c r="B1825" s="63" t="n"/>
      <c r="C1825" s="63" t="n"/>
      <c r="D1825" s="67" t="n"/>
      <c r="E1825" s="68" t="n"/>
      <c r="F1825" s="69" t="n"/>
      <c r="G1825" s="70" t="n"/>
      <c r="H1825" s="62" t="str">
        <f>IF(COUNTA(A1825:G1825)=0,"",IF(C1825&lt;&gt;"",C1825,IF(B1825="","",IFERROR(INDEX(pr_des,MATCH(B1825,pr_code,0))&amp;"",""))))</f>
        <v/>
      </c>
      <c r="I1825" s="59" t="str">
        <f>IF(B1825="","",IFERROR(INDEX(pr_unit,MATCH(B1825,pr_code,0))&amp;"",""))</f>
        <v/>
      </c>
      <c r="J1825" s="65" t="str">
        <f>IF(COUNTA(A1825:G1825)=0,"",IF(E1825&lt;&gt;"",E1825,IF(B1825="","",IFERROR(IF(INDEX(pr_price,MATCH(B1825,pr_code,0))="","",INDEX(pr_price,MATCH(B1825,pr_code,0))),""))))</f>
        <v/>
      </c>
      <c r="K1825" s="71" t="str">
        <f>IF(COUNTA(A1825:G1825)=0,"",IF(G1825&lt;&gt;"",G1825,IF(B1825="","",IFERROR(IF(INDEX(pr_rate,MATCH(B1825,pr_code,0))="","",INDEX(pr_rate,MATCH(B1825,pr_code,0))),""))))</f>
        <v/>
      </c>
      <c r="L1825" s="65" t="str">
        <f>IF(COUNTA(A1825:G1825)=0,"",IF(AND(ISNUMBER(D1825),ISNUMBER(J1825)),ROUND(D1825*J1825*(1-N(F1825)),2),0))</f>
        <v/>
      </c>
      <c r="M1825" s="62" t="str">
        <f>IF(A1825="","",IFERROR(INDEX(dv_cname,MATCH(A1825,dv_num,0))&amp;"",""))</f>
        <v/>
      </c>
      <c r="N1825" s="59" t="str">
        <f>IF(COUNTA(A1825:G1825)=0,"",IF(A1825="","N° devis manquant",IF(ISNA(MATCH(A1825,dv_num,0)),"Devis inconnu",IF(AND(B1825&lt;&gt;"",ISNA(MATCH(B1825,pr_code,0))),"Article inconnu",IF(H1825="","Désignation manquante",IF(OR(NOT(ISNUMBER(D1825)),N(D1825)&lt;=0),"Quantité invalide",IF(J1825="","Prix manquant",IF(OR(NOT(ISNUMBER(J1825)),N(J1825)&lt;0),"Prix invalide",IF(OR(AND(F1825&lt;&gt;"",NOT(ISNUMBER(F1825))),N(F1825)&lt;0,N(F1825)&gt;1),"Remise invalide",IF(K1825="","Taux de TVA manquant",IF(NOT(ISNUMBER(K1825)),"Taux de TVA invalide",IF(COUNTIF(p_rates,K1825)=0,"Taux de TVA hors liste (Paramètres)",IF(N(O1825)&gt;25,"Au-delà de 25 lignes : non imprimée","OK")))))))))))))</f>
        <v/>
      </c>
      <c r="O1825" s="59" t="str">
        <f>IF(A1825="","",COUNTIF($A$6:A1825,A1825))</f>
        <v/>
      </c>
      <c r="P1825" s="62" t="str">
        <f>IF(A1825="","",A1825&amp;"|"&amp;O1825)</f>
        <v/>
      </c>
    </row>
    <row r="1826">
      <c r="A1826" s="60" t="n"/>
      <c r="B1826" s="63" t="n"/>
      <c r="C1826" s="63" t="n"/>
      <c r="D1826" s="67" t="n"/>
      <c r="E1826" s="68" t="n"/>
      <c r="F1826" s="69" t="n"/>
      <c r="G1826" s="70" t="n"/>
      <c r="H1826" s="62" t="str">
        <f>IF(COUNTA(A1826:G1826)=0,"",IF(C1826&lt;&gt;"",C1826,IF(B1826="","",IFERROR(INDEX(pr_des,MATCH(B1826,pr_code,0))&amp;"",""))))</f>
        <v/>
      </c>
      <c r="I1826" s="59" t="str">
        <f>IF(B1826="","",IFERROR(INDEX(pr_unit,MATCH(B1826,pr_code,0))&amp;"",""))</f>
        <v/>
      </c>
      <c r="J1826" s="65" t="str">
        <f>IF(COUNTA(A1826:G1826)=0,"",IF(E1826&lt;&gt;"",E1826,IF(B1826="","",IFERROR(IF(INDEX(pr_price,MATCH(B1826,pr_code,0))="","",INDEX(pr_price,MATCH(B1826,pr_code,0))),""))))</f>
        <v/>
      </c>
      <c r="K1826" s="71" t="str">
        <f>IF(COUNTA(A1826:G1826)=0,"",IF(G1826&lt;&gt;"",G1826,IF(B1826="","",IFERROR(IF(INDEX(pr_rate,MATCH(B1826,pr_code,0))="","",INDEX(pr_rate,MATCH(B1826,pr_code,0))),""))))</f>
        <v/>
      </c>
      <c r="L1826" s="65" t="str">
        <f>IF(COUNTA(A1826:G1826)=0,"",IF(AND(ISNUMBER(D1826),ISNUMBER(J1826)),ROUND(D1826*J1826*(1-N(F1826)),2),0))</f>
        <v/>
      </c>
      <c r="M1826" s="62" t="str">
        <f>IF(A1826="","",IFERROR(INDEX(dv_cname,MATCH(A1826,dv_num,0))&amp;"",""))</f>
        <v/>
      </c>
      <c r="N1826" s="59" t="str">
        <f>IF(COUNTA(A1826:G1826)=0,"",IF(A1826="","N° devis manquant",IF(ISNA(MATCH(A1826,dv_num,0)),"Devis inconnu",IF(AND(B1826&lt;&gt;"",ISNA(MATCH(B1826,pr_code,0))),"Article inconnu",IF(H1826="","Désignation manquante",IF(OR(NOT(ISNUMBER(D1826)),N(D1826)&lt;=0),"Quantité invalide",IF(J1826="","Prix manquant",IF(OR(NOT(ISNUMBER(J1826)),N(J1826)&lt;0),"Prix invalide",IF(OR(AND(F1826&lt;&gt;"",NOT(ISNUMBER(F1826))),N(F1826)&lt;0,N(F1826)&gt;1),"Remise invalide",IF(K1826="","Taux de TVA manquant",IF(NOT(ISNUMBER(K1826)),"Taux de TVA invalide",IF(COUNTIF(p_rates,K1826)=0,"Taux de TVA hors liste (Paramètres)",IF(N(O1826)&gt;25,"Au-delà de 25 lignes : non imprimée","OK")))))))))))))</f>
        <v/>
      </c>
      <c r="O1826" s="59" t="str">
        <f>IF(A1826="","",COUNTIF($A$6:A1826,A1826))</f>
        <v/>
      </c>
      <c r="P1826" s="62" t="str">
        <f>IF(A1826="","",A1826&amp;"|"&amp;O1826)</f>
        <v/>
      </c>
    </row>
    <row r="1827">
      <c r="A1827" s="60" t="n"/>
      <c r="B1827" s="63" t="n"/>
      <c r="C1827" s="63" t="n"/>
      <c r="D1827" s="67" t="n"/>
      <c r="E1827" s="68" t="n"/>
      <c r="F1827" s="69" t="n"/>
      <c r="G1827" s="70" t="n"/>
      <c r="H1827" s="62" t="str">
        <f>IF(COUNTA(A1827:G1827)=0,"",IF(C1827&lt;&gt;"",C1827,IF(B1827="","",IFERROR(INDEX(pr_des,MATCH(B1827,pr_code,0))&amp;"",""))))</f>
        <v/>
      </c>
      <c r="I1827" s="59" t="str">
        <f>IF(B1827="","",IFERROR(INDEX(pr_unit,MATCH(B1827,pr_code,0))&amp;"",""))</f>
        <v/>
      </c>
      <c r="J1827" s="65" t="str">
        <f>IF(COUNTA(A1827:G1827)=0,"",IF(E1827&lt;&gt;"",E1827,IF(B1827="","",IFERROR(IF(INDEX(pr_price,MATCH(B1827,pr_code,0))="","",INDEX(pr_price,MATCH(B1827,pr_code,0))),""))))</f>
        <v/>
      </c>
      <c r="K1827" s="71" t="str">
        <f>IF(COUNTA(A1827:G1827)=0,"",IF(G1827&lt;&gt;"",G1827,IF(B1827="","",IFERROR(IF(INDEX(pr_rate,MATCH(B1827,pr_code,0))="","",INDEX(pr_rate,MATCH(B1827,pr_code,0))),""))))</f>
        <v/>
      </c>
      <c r="L1827" s="65" t="str">
        <f>IF(COUNTA(A1827:G1827)=0,"",IF(AND(ISNUMBER(D1827),ISNUMBER(J1827)),ROUND(D1827*J1827*(1-N(F1827)),2),0))</f>
        <v/>
      </c>
      <c r="M1827" s="62" t="str">
        <f>IF(A1827="","",IFERROR(INDEX(dv_cname,MATCH(A1827,dv_num,0))&amp;"",""))</f>
        <v/>
      </c>
      <c r="N1827" s="59" t="str">
        <f>IF(COUNTA(A1827:G1827)=0,"",IF(A1827="","N° devis manquant",IF(ISNA(MATCH(A1827,dv_num,0)),"Devis inconnu",IF(AND(B1827&lt;&gt;"",ISNA(MATCH(B1827,pr_code,0))),"Article inconnu",IF(H1827="","Désignation manquante",IF(OR(NOT(ISNUMBER(D1827)),N(D1827)&lt;=0),"Quantité invalide",IF(J1827="","Prix manquant",IF(OR(NOT(ISNUMBER(J1827)),N(J1827)&lt;0),"Prix invalide",IF(OR(AND(F1827&lt;&gt;"",NOT(ISNUMBER(F1827))),N(F1827)&lt;0,N(F1827)&gt;1),"Remise invalide",IF(K1827="","Taux de TVA manquant",IF(NOT(ISNUMBER(K1827)),"Taux de TVA invalide",IF(COUNTIF(p_rates,K1827)=0,"Taux de TVA hors liste (Paramètres)",IF(N(O1827)&gt;25,"Au-delà de 25 lignes : non imprimée","OK")))))))))))))</f>
        <v/>
      </c>
      <c r="O1827" s="59" t="str">
        <f>IF(A1827="","",COUNTIF($A$6:A1827,A1827))</f>
        <v/>
      </c>
      <c r="P1827" s="62" t="str">
        <f>IF(A1827="","",A1827&amp;"|"&amp;O1827)</f>
        <v/>
      </c>
    </row>
    <row r="1828">
      <c r="A1828" s="60" t="n"/>
      <c r="B1828" s="63" t="n"/>
      <c r="C1828" s="63" t="n"/>
      <c r="D1828" s="67" t="n"/>
      <c r="E1828" s="68" t="n"/>
      <c r="F1828" s="69" t="n"/>
      <c r="G1828" s="70" t="n"/>
      <c r="H1828" s="62" t="str">
        <f>IF(COUNTA(A1828:G1828)=0,"",IF(C1828&lt;&gt;"",C1828,IF(B1828="","",IFERROR(INDEX(pr_des,MATCH(B1828,pr_code,0))&amp;"",""))))</f>
        <v/>
      </c>
      <c r="I1828" s="59" t="str">
        <f>IF(B1828="","",IFERROR(INDEX(pr_unit,MATCH(B1828,pr_code,0))&amp;"",""))</f>
        <v/>
      </c>
      <c r="J1828" s="65" t="str">
        <f>IF(COUNTA(A1828:G1828)=0,"",IF(E1828&lt;&gt;"",E1828,IF(B1828="","",IFERROR(IF(INDEX(pr_price,MATCH(B1828,pr_code,0))="","",INDEX(pr_price,MATCH(B1828,pr_code,0))),""))))</f>
        <v/>
      </c>
      <c r="K1828" s="71" t="str">
        <f>IF(COUNTA(A1828:G1828)=0,"",IF(G1828&lt;&gt;"",G1828,IF(B1828="","",IFERROR(IF(INDEX(pr_rate,MATCH(B1828,pr_code,0))="","",INDEX(pr_rate,MATCH(B1828,pr_code,0))),""))))</f>
        <v/>
      </c>
      <c r="L1828" s="65" t="str">
        <f>IF(COUNTA(A1828:G1828)=0,"",IF(AND(ISNUMBER(D1828),ISNUMBER(J1828)),ROUND(D1828*J1828*(1-N(F1828)),2),0))</f>
        <v/>
      </c>
      <c r="M1828" s="62" t="str">
        <f>IF(A1828="","",IFERROR(INDEX(dv_cname,MATCH(A1828,dv_num,0))&amp;"",""))</f>
        <v/>
      </c>
      <c r="N1828" s="59" t="str">
        <f>IF(COUNTA(A1828:G1828)=0,"",IF(A1828="","N° devis manquant",IF(ISNA(MATCH(A1828,dv_num,0)),"Devis inconnu",IF(AND(B1828&lt;&gt;"",ISNA(MATCH(B1828,pr_code,0))),"Article inconnu",IF(H1828="","Désignation manquante",IF(OR(NOT(ISNUMBER(D1828)),N(D1828)&lt;=0),"Quantité invalide",IF(J1828="","Prix manquant",IF(OR(NOT(ISNUMBER(J1828)),N(J1828)&lt;0),"Prix invalide",IF(OR(AND(F1828&lt;&gt;"",NOT(ISNUMBER(F1828))),N(F1828)&lt;0,N(F1828)&gt;1),"Remise invalide",IF(K1828="","Taux de TVA manquant",IF(NOT(ISNUMBER(K1828)),"Taux de TVA invalide",IF(COUNTIF(p_rates,K1828)=0,"Taux de TVA hors liste (Paramètres)",IF(N(O1828)&gt;25,"Au-delà de 25 lignes : non imprimée","OK")))))))))))))</f>
        <v/>
      </c>
      <c r="O1828" s="59" t="str">
        <f>IF(A1828="","",COUNTIF($A$6:A1828,A1828))</f>
        <v/>
      </c>
      <c r="P1828" s="62" t="str">
        <f>IF(A1828="","",A1828&amp;"|"&amp;O1828)</f>
        <v/>
      </c>
    </row>
    <row r="1829">
      <c r="A1829" s="60" t="n"/>
      <c r="B1829" s="63" t="n"/>
      <c r="C1829" s="63" t="n"/>
      <c r="D1829" s="67" t="n"/>
      <c r="E1829" s="68" t="n"/>
      <c r="F1829" s="69" t="n"/>
      <c r="G1829" s="70" t="n"/>
      <c r="H1829" s="62" t="str">
        <f>IF(COUNTA(A1829:G1829)=0,"",IF(C1829&lt;&gt;"",C1829,IF(B1829="","",IFERROR(INDEX(pr_des,MATCH(B1829,pr_code,0))&amp;"",""))))</f>
        <v/>
      </c>
      <c r="I1829" s="59" t="str">
        <f>IF(B1829="","",IFERROR(INDEX(pr_unit,MATCH(B1829,pr_code,0))&amp;"",""))</f>
        <v/>
      </c>
      <c r="J1829" s="65" t="str">
        <f>IF(COUNTA(A1829:G1829)=0,"",IF(E1829&lt;&gt;"",E1829,IF(B1829="","",IFERROR(IF(INDEX(pr_price,MATCH(B1829,pr_code,0))="","",INDEX(pr_price,MATCH(B1829,pr_code,0))),""))))</f>
        <v/>
      </c>
      <c r="K1829" s="71" t="str">
        <f>IF(COUNTA(A1829:G1829)=0,"",IF(G1829&lt;&gt;"",G1829,IF(B1829="","",IFERROR(IF(INDEX(pr_rate,MATCH(B1829,pr_code,0))="","",INDEX(pr_rate,MATCH(B1829,pr_code,0))),""))))</f>
        <v/>
      </c>
      <c r="L1829" s="65" t="str">
        <f>IF(COUNTA(A1829:G1829)=0,"",IF(AND(ISNUMBER(D1829),ISNUMBER(J1829)),ROUND(D1829*J1829*(1-N(F1829)),2),0))</f>
        <v/>
      </c>
      <c r="M1829" s="62" t="str">
        <f>IF(A1829="","",IFERROR(INDEX(dv_cname,MATCH(A1829,dv_num,0))&amp;"",""))</f>
        <v/>
      </c>
      <c r="N1829" s="59" t="str">
        <f>IF(COUNTA(A1829:G1829)=0,"",IF(A1829="","N° devis manquant",IF(ISNA(MATCH(A1829,dv_num,0)),"Devis inconnu",IF(AND(B1829&lt;&gt;"",ISNA(MATCH(B1829,pr_code,0))),"Article inconnu",IF(H1829="","Désignation manquante",IF(OR(NOT(ISNUMBER(D1829)),N(D1829)&lt;=0),"Quantité invalide",IF(J1829="","Prix manquant",IF(OR(NOT(ISNUMBER(J1829)),N(J1829)&lt;0),"Prix invalide",IF(OR(AND(F1829&lt;&gt;"",NOT(ISNUMBER(F1829))),N(F1829)&lt;0,N(F1829)&gt;1),"Remise invalide",IF(K1829="","Taux de TVA manquant",IF(NOT(ISNUMBER(K1829)),"Taux de TVA invalide",IF(COUNTIF(p_rates,K1829)=0,"Taux de TVA hors liste (Paramètres)",IF(N(O1829)&gt;25,"Au-delà de 25 lignes : non imprimée","OK")))))))))))))</f>
        <v/>
      </c>
      <c r="O1829" s="59" t="str">
        <f>IF(A1829="","",COUNTIF($A$6:A1829,A1829))</f>
        <v/>
      </c>
      <c r="P1829" s="62" t="str">
        <f>IF(A1829="","",A1829&amp;"|"&amp;O1829)</f>
        <v/>
      </c>
    </row>
    <row r="1830">
      <c r="A1830" s="60" t="n"/>
      <c r="B1830" s="63" t="n"/>
      <c r="C1830" s="63" t="n"/>
      <c r="D1830" s="67" t="n"/>
      <c r="E1830" s="68" t="n"/>
      <c r="F1830" s="69" t="n"/>
      <c r="G1830" s="70" t="n"/>
      <c r="H1830" s="62" t="str">
        <f>IF(COUNTA(A1830:G1830)=0,"",IF(C1830&lt;&gt;"",C1830,IF(B1830="","",IFERROR(INDEX(pr_des,MATCH(B1830,pr_code,0))&amp;"",""))))</f>
        <v/>
      </c>
      <c r="I1830" s="59" t="str">
        <f>IF(B1830="","",IFERROR(INDEX(pr_unit,MATCH(B1830,pr_code,0))&amp;"",""))</f>
        <v/>
      </c>
      <c r="J1830" s="65" t="str">
        <f>IF(COUNTA(A1830:G1830)=0,"",IF(E1830&lt;&gt;"",E1830,IF(B1830="","",IFERROR(IF(INDEX(pr_price,MATCH(B1830,pr_code,0))="","",INDEX(pr_price,MATCH(B1830,pr_code,0))),""))))</f>
        <v/>
      </c>
      <c r="K1830" s="71" t="str">
        <f>IF(COUNTA(A1830:G1830)=0,"",IF(G1830&lt;&gt;"",G1830,IF(B1830="","",IFERROR(IF(INDEX(pr_rate,MATCH(B1830,pr_code,0))="","",INDEX(pr_rate,MATCH(B1830,pr_code,0))),""))))</f>
        <v/>
      </c>
      <c r="L1830" s="65" t="str">
        <f>IF(COUNTA(A1830:G1830)=0,"",IF(AND(ISNUMBER(D1830),ISNUMBER(J1830)),ROUND(D1830*J1830*(1-N(F1830)),2),0))</f>
        <v/>
      </c>
      <c r="M1830" s="62" t="str">
        <f>IF(A1830="","",IFERROR(INDEX(dv_cname,MATCH(A1830,dv_num,0))&amp;"",""))</f>
        <v/>
      </c>
      <c r="N1830" s="59" t="str">
        <f>IF(COUNTA(A1830:G1830)=0,"",IF(A1830="","N° devis manquant",IF(ISNA(MATCH(A1830,dv_num,0)),"Devis inconnu",IF(AND(B1830&lt;&gt;"",ISNA(MATCH(B1830,pr_code,0))),"Article inconnu",IF(H1830="","Désignation manquante",IF(OR(NOT(ISNUMBER(D1830)),N(D1830)&lt;=0),"Quantité invalide",IF(J1830="","Prix manquant",IF(OR(NOT(ISNUMBER(J1830)),N(J1830)&lt;0),"Prix invalide",IF(OR(AND(F1830&lt;&gt;"",NOT(ISNUMBER(F1830))),N(F1830)&lt;0,N(F1830)&gt;1),"Remise invalide",IF(K1830="","Taux de TVA manquant",IF(NOT(ISNUMBER(K1830)),"Taux de TVA invalide",IF(COUNTIF(p_rates,K1830)=0,"Taux de TVA hors liste (Paramètres)",IF(N(O1830)&gt;25,"Au-delà de 25 lignes : non imprimée","OK")))))))))))))</f>
        <v/>
      </c>
      <c r="O1830" s="59" t="str">
        <f>IF(A1830="","",COUNTIF($A$6:A1830,A1830))</f>
        <v/>
      </c>
      <c r="P1830" s="62" t="str">
        <f>IF(A1830="","",A1830&amp;"|"&amp;O1830)</f>
        <v/>
      </c>
    </row>
    <row r="1831">
      <c r="A1831" s="60" t="n"/>
      <c r="B1831" s="63" t="n"/>
      <c r="C1831" s="63" t="n"/>
      <c r="D1831" s="67" t="n"/>
      <c r="E1831" s="68" t="n"/>
      <c r="F1831" s="69" t="n"/>
      <c r="G1831" s="70" t="n"/>
      <c r="H1831" s="62" t="str">
        <f>IF(COUNTA(A1831:G1831)=0,"",IF(C1831&lt;&gt;"",C1831,IF(B1831="","",IFERROR(INDEX(pr_des,MATCH(B1831,pr_code,0))&amp;"",""))))</f>
        <v/>
      </c>
      <c r="I1831" s="59" t="str">
        <f>IF(B1831="","",IFERROR(INDEX(pr_unit,MATCH(B1831,pr_code,0))&amp;"",""))</f>
        <v/>
      </c>
      <c r="J1831" s="65" t="str">
        <f>IF(COUNTA(A1831:G1831)=0,"",IF(E1831&lt;&gt;"",E1831,IF(B1831="","",IFERROR(IF(INDEX(pr_price,MATCH(B1831,pr_code,0))="","",INDEX(pr_price,MATCH(B1831,pr_code,0))),""))))</f>
        <v/>
      </c>
      <c r="K1831" s="71" t="str">
        <f>IF(COUNTA(A1831:G1831)=0,"",IF(G1831&lt;&gt;"",G1831,IF(B1831="","",IFERROR(IF(INDEX(pr_rate,MATCH(B1831,pr_code,0))="","",INDEX(pr_rate,MATCH(B1831,pr_code,0))),""))))</f>
        <v/>
      </c>
      <c r="L1831" s="65" t="str">
        <f>IF(COUNTA(A1831:G1831)=0,"",IF(AND(ISNUMBER(D1831),ISNUMBER(J1831)),ROUND(D1831*J1831*(1-N(F1831)),2),0))</f>
        <v/>
      </c>
      <c r="M1831" s="62" t="str">
        <f>IF(A1831="","",IFERROR(INDEX(dv_cname,MATCH(A1831,dv_num,0))&amp;"",""))</f>
        <v/>
      </c>
      <c r="N1831" s="59" t="str">
        <f>IF(COUNTA(A1831:G1831)=0,"",IF(A1831="","N° devis manquant",IF(ISNA(MATCH(A1831,dv_num,0)),"Devis inconnu",IF(AND(B1831&lt;&gt;"",ISNA(MATCH(B1831,pr_code,0))),"Article inconnu",IF(H1831="","Désignation manquante",IF(OR(NOT(ISNUMBER(D1831)),N(D1831)&lt;=0),"Quantité invalide",IF(J1831="","Prix manquant",IF(OR(NOT(ISNUMBER(J1831)),N(J1831)&lt;0),"Prix invalide",IF(OR(AND(F1831&lt;&gt;"",NOT(ISNUMBER(F1831))),N(F1831)&lt;0,N(F1831)&gt;1),"Remise invalide",IF(K1831="","Taux de TVA manquant",IF(NOT(ISNUMBER(K1831)),"Taux de TVA invalide",IF(COUNTIF(p_rates,K1831)=0,"Taux de TVA hors liste (Paramètres)",IF(N(O1831)&gt;25,"Au-delà de 25 lignes : non imprimée","OK")))))))))))))</f>
        <v/>
      </c>
      <c r="O1831" s="59" t="str">
        <f>IF(A1831="","",COUNTIF($A$6:A1831,A1831))</f>
        <v/>
      </c>
      <c r="P1831" s="62" t="str">
        <f>IF(A1831="","",A1831&amp;"|"&amp;O1831)</f>
        <v/>
      </c>
    </row>
    <row r="1832">
      <c r="A1832" s="60" t="n"/>
      <c r="B1832" s="63" t="n"/>
      <c r="C1832" s="63" t="n"/>
      <c r="D1832" s="67" t="n"/>
      <c r="E1832" s="68" t="n"/>
      <c r="F1832" s="69" t="n"/>
      <c r="G1832" s="70" t="n"/>
      <c r="H1832" s="62" t="str">
        <f>IF(COUNTA(A1832:G1832)=0,"",IF(C1832&lt;&gt;"",C1832,IF(B1832="","",IFERROR(INDEX(pr_des,MATCH(B1832,pr_code,0))&amp;"",""))))</f>
        <v/>
      </c>
      <c r="I1832" s="59" t="str">
        <f>IF(B1832="","",IFERROR(INDEX(pr_unit,MATCH(B1832,pr_code,0))&amp;"",""))</f>
        <v/>
      </c>
      <c r="J1832" s="65" t="str">
        <f>IF(COUNTA(A1832:G1832)=0,"",IF(E1832&lt;&gt;"",E1832,IF(B1832="","",IFERROR(IF(INDEX(pr_price,MATCH(B1832,pr_code,0))="","",INDEX(pr_price,MATCH(B1832,pr_code,0))),""))))</f>
        <v/>
      </c>
      <c r="K1832" s="71" t="str">
        <f>IF(COUNTA(A1832:G1832)=0,"",IF(G1832&lt;&gt;"",G1832,IF(B1832="","",IFERROR(IF(INDEX(pr_rate,MATCH(B1832,pr_code,0))="","",INDEX(pr_rate,MATCH(B1832,pr_code,0))),""))))</f>
        <v/>
      </c>
      <c r="L1832" s="65" t="str">
        <f>IF(COUNTA(A1832:G1832)=0,"",IF(AND(ISNUMBER(D1832),ISNUMBER(J1832)),ROUND(D1832*J1832*(1-N(F1832)),2),0))</f>
        <v/>
      </c>
      <c r="M1832" s="62" t="str">
        <f>IF(A1832="","",IFERROR(INDEX(dv_cname,MATCH(A1832,dv_num,0))&amp;"",""))</f>
        <v/>
      </c>
      <c r="N1832" s="59" t="str">
        <f>IF(COUNTA(A1832:G1832)=0,"",IF(A1832="","N° devis manquant",IF(ISNA(MATCH(A1832,dv_num,0)),"Devis inconnu",IF(AND(B1832&lt;&gt;"",ISNA(MATCH(B1832,pr_code,0))),"Article inconnu",IF(H1832="","Désignation manquante",IF(OR(NOT(ISNUMBER(D1832)),N(D1832)&lt;=0),"Quantité invalide",IF(J1832="","Prix manquant",IF(OR(NOT(ISNUMBER(J1832)),N(J1832)&lt;0),"Prix invalide",IF(OR(AND(F1832&lt;&gt;"",NOT(ISNUMBER(F1832))),N(F1832)&lt;0,N(F1832)&gt;1),"Remise invalide",IF(K1832="","Taux de TVA manquant",IF(NOT(ISNUMBER(K1832)),"Taux de TVA invalide",IF(COUNTIF(p_rates,K1832)=0,"Taux de TVA hors liste (Paramètres)",IF(N(O1832)&gt;25,"Au-delà de 25 lignes : non imprimée","OK")))))))))))))</f>
        <v/>
      </c>
      <c r="O1832" s="59" t="str">
        <f>IF(A1832="","",COUNTIF($A$6:A1832,A1832))</f>
        <v/>
      </c>
      <c r="P1832" s="62" t="str">
        <f>IF(A1832="","",A1832&amp;"|"&amp;O1832)</f>
        <v/>
      </c>
    </row>
    <row r="1833">
      <c r="A1833" s="60" t="n"/>
      <c r="B1833" s="63" t="n"/>
      <c r="C1833" s="63" t="n"/>
      <c r="D1833" s="67" t="n"/>
      <c r="E1833" s="68" t="n"/>
      <c r="F1833" s="69" t="n"/>
      <c r="G1833" s="70" t="n"/>
      <c r="H1833" s="62" t="str">
        <f>IF(COUNTA(A1833:G1833)=0,"",IF(C1833&lt;&gt;"",C1833,IF(B1833="","",IFERROR(INDEX(pr_des,MATCH(B1833,pr_code,0))&amp;"",""))))</f>
        <v/>
      </c>
      <c r="I1833" s="59" t="str">
        <f>IF(B1833="","",IFERROR(INDEX(pr_unit,MATCH(B1833,pr_code,0))&amp;"",""))</f>
        <v/>
      </c>
      <c r="J1833" s="65" t="str">
        <f>IF(COUNTA(A1833:G1833)=0,"",IF(E1833&lt;&gt;"",E1833,IF(B1833="","",IFERROR(IF(INDEX(pr_price,MATCH(B1833,pr_code,0))="","",INDEX(pr_price,MATCH(B1833,pr_code,0))),""))))</f>
        <v/>
      </c>
      <c r="K1833" s="71" t="str">
        <f>IF(COUNTA(A1833:G1833)=0,"",IF(G1833&lt;&gt;"",G1833,IF(B1833="","",IFERROR(IF(INDEX(pr_rate,MATCH(B1833,pr_code,0))="","",INDEX(pr_rate,MATCH(B1833,pr_code,0))),""))))</f>
        <v/>
      </c>
      <c r="L1833" s="65" t="str">
        <f>IF(COUNTA(A1833:G1833)=0,"",IF(AND(ISNUMBER(D1833),ISNUMBER(J1833)),ROUND(D1833*J1833*(1-N(F1833)),2),0))</f>
        <v/>
      </c>
      <c r="M1833" s="62" t="str">
        <f>IF(A1833="","",IFERROR(INDEX(dv_cname,MATCH(A1833,dv_num,0))&amp;"",""))</f>
        <v/>
      </c>
      <c r="N1833" s="59" t="str">
        <f>IF(COUNTA(A1833:G1833)=0,"",IF(A1833="","N° devis manquant",IF(ISNA(MATCH(A1833,dv_num,0)),"Devis inconnu",IF(AND(B1833&lt;&gt;"",ISNA(MATCH(B1833,pr_code,0))),"Article inconnu",IF(H1833="","Désignation manquante",IF(OR(NOT(ISNUMBER(D1833)),N(D1833)&lt;=0),"Quantité invalide",IF(J1833="","Prix manquant",IF(OR(NOT(ISNUMBER(J1833)),N(J1833)&lt;0),"Prix invalide",IF(OR(AND(F1833&lt;&gt;"",NOT(ISNUMBER(F1833))),N(F1833)&lt;0,N(F1833)&gt;1),"Remise invalide",IF(K1833="","Taux de TVA manquant",IF(NOT(ISNUMBER(K1833)),"Taux de TVA invalide",IF(COUNTIF(p_rates,K1833)=0,"Taux de TVA hors liste (Paramètres)",IF(N(O1833)&gt;25,"Au-delà de 25 lignes : non imprimée","OK")))))))))))))</f>
        <v/>
      </c>
      <c r="O1833" s="59" t="str">
        <f>IF(A1833="","",COUNTIF($A$6:A1833,A1833))</f>
        <v/>
      </c>
      <c r="P1833" s="62" t="str">
        <f>IF(A1833="","",A1833&amp;"|"&amp;O1833)</f>
        <v/>
      </c>
    </row>
    <row r="1834">
      <c r="A1834" s="60" t="n"/>
      <c r="B1834" s="63" t="n"/>
      <c r="C1834" s="63" t="n"/>
      <c r="D1834" s="67" t="n"/>
      <c r="E1834" s="68" t="n"/>
      <c r="F1834" s="69" t="n"/>
      <c r="G1834" s="70" t="n"/>
      <c r="H1834" s="62" t="str">
        <f>IF(COUNTA(A1834:G1834)=0,"",IF(C1834&lt;&gt;"",C1834,IF(B1834="","",IFERROR(INDEX(pr_des,MATCH(B1834,pr_code,0))&amp;"",""))))</f>
        <v/>
      </c>
      <c r="I1834" s="59" t="str">
        <f>IF(B1834="","",IFERROR(INDEX(pr_unit,MATCH(B1834,pr_code,0))&amp;"",""))</f>
        <v/>
      </c>
      <c r="J1834" s="65" t="str">
        <f>IF(COUNTA(A1834:G1834)=0,"",IF(E1834&lt;&gt;"",E1834,IF(B1834="","",IFERROR(IF(INDEX(pr_price,MATCH(B1834,pr_code,0))="","",INDEX(pr_price,MATCH(B1834,pr_code,0))),""))))</f>
        <v/>
      </c>
      <c r="K1834" s="71" t="str">
        <f>IF(COUNTA(A1834:G1834)=0,"",IF(G1834&lt;&gt;"",G1834,IF(B1834="","",IFERROR(IF(INDEX(pr_rate,MATCH(B1834,pr_code,0))="","",INDEX(pr_rate,MATCH(B1834,pr_code,0))),""))))</f>
        <v/>
      </c>
      <c r="L1834" s="65" t="str">
        <f>IF(COUNTA(A1834:G1834)=0,"",IF(AND(ISNUMBER(D1834),ISNUMBER(J1834)),ROUND(D1834*J1834*(1-N(F1834)),2),0))</f>
        <v/>
      </c>
      <c r="M1834" s="62" t="str">
        <f>IF(A1834="","",IFERROR(INDEX(dv_cname,MATCH(A1834,dv_num,0))&amp;"",""))</f>
        <v/>
      </c>
      <c r="N1834" s="59" t="str">
        <f>IF(COUNTA(A1834:G1834)=0,"",IF(A1834="","N° devis manquant",IF(ISNA(MATCH(A1834,dv_num,0)),"Devis inconnu",IF(AND(B1834&lt;&gt;"",ISNA(MATCH(B1834,pr_code,0))),"Article inconnu",IF(H1834="","Désignation manquante",IF(OR(NOT(ISNUMBER(D1834)),N(D1834)&lt;=0),"Quantité invalide",IF(J1834="","Prix manquant",IF(OR(NOT(ISNUMBER(J1834)),N(J1834)&lt;0),"Prix invalide",IF(OR(AND(F1834&lt;&gt;"",NOT(ISNUMBER(F1834))),N(F1834)&lt;0,N(F1834)&gt;1),"Remise invalide",IF(K1834="","Taux de TVA manquant",IF(NOT(ISNUMBER(K1834)),"Taux de TVA invalide",IF(COUNTIF(p_rates,K1834)=0,"Taux de TVA hors liste (Paramètres)",IF(N(O1834)&gt;25,"Au-delà de 25 lignes : non imprimée","OK")))))))))))))</f>
        <v/>
      </c>
      <c r="O1834" s="59" t="str">
        <f>IF(A1834="","",COUNTIF($A$6:A1834,A1834))</f>
        <v/>
      </c>
      <c r="P1834" s="62" t="str">
        <f>IF(A1834="","",A1834&amp;"|"&amp;O1834)</f>
        <v/>
      </c>
    </row>
    <row r="1835">
      <c r="A1835" s="60" t="n"/>
      <c r="B1835" s="63" t="n"/>
      <c r="C1835" s="63" t="n"/>
      <c r="D1835" s="67" t="n"/>
      <c r="E1835" s="68" t="n"/>
      <c r="F1835" s="69" t="n"/>
      <c r="G1835" s="70" t="n"/>
      <c r="H1835" s="62" t="str">
        <f>IF(COUNTA(A1835:G1835)=0,"",IF(C1835&lt;&gt;"",C1835,IF(B1835="","",IFERROR(INDEX(pr_des,MATCH(B1835,pr_code,0))&amp;"",""))))</f>
        <v/>
      </c>
      <c r="I1835" s="59" t="str">
        <f>IF(B1835="","",IFERROR(INDEX(pr_unit,MATCH(B1835,pr_code,0))&amp;"",""))</f>
        <v/>
      </c>
      <c r="J1835" s="65" t="str">
        <f>IF(COUNTA(A1835:G1835)=0,"",IF(E1835&lt;&gt;"",E1835,IF(B1835="","",IFERROR(IF(INDEX(pr_price,MATCH(B1835,pr_code,0))="","",INDEX(pr_price,MATCH(B1835,pr_code,0))),""))))</f>
        <v/>
      </c>
      <c r="K1835" s="71" t="str">
        <f>IF(COUNTA(A1835:G1835)=0,"",IF(G1835&lt;&gt;"",G1835,IF(B1835="","",IFERROR(IF(INDEX(pr_rate,MATCH(B1835,pr_code,0))="","",INDEX(pr_rate,MATCH(B1835,pr_code,0))),""))))</f>
        <v/>
      </c>
      <c r="L1835" s="65" t="str">
        <f>IF(COUNTA(A1835:G1835)=0,"",IF(AND(ISNUMBER(D1835),ISNUMBER(J1835)),ROUND(D1835*J1835*(1-N(F1835)),2),0))</f>
        <v/>
      </c>
      <c r="M1835" s="62" t="str">
        <f>IF(A1835="","",IFERROR(INDEX(dv_cname,MATCH(A1835,dv_num,0))&amp;"",""))</f>
        <v/>
      </c>
      <c r="N1835" s="59" t="str">
        <f>IF(COUNTA(A1835:G1835)=0,"",IF(A1835="","N° devis manquant",IF(ISNA(MATCH(A1835,dv_num,0)),"Devis inconnu",IF(AND(B1835&lt;&gt;"",ISNA(MATCH(B1835,pr_code,0))),"Article inconnu",IF(H1835="","Désignation manquante",IF(OR(NOT(ISNUMBER(D1835)),N(D1835)&lt;=0),"Quantité invalide",IF(J1835="","Prix manquant",IF(OR(NOT(ISNUMBER(J1835)),N(J1835)&lt;0),"Prix invalide",IF(OR(AND(F1835&lt;&gt;"",NOT(ISNUMBER(F1835))),N(F1835)&lt;0,N(F1835)&gt;1),"Remise invalide",IF(K1835="","Taux de TVA manquant",IF(NOT(ISNUMBER(K1835)),"Taux de TVA invalide",IF(COUNTIF(p_rates,K1835)=0,"Taux de TVA hors liste (Paramètres)",IF(N(O1835)&gt;25,"Au-delà de 25 lignes : non imprimée","OK")))))))))))))</f>
        <v/>
      </c>
      <c r="O1835" s="59" t="str">
        <f>IF(A1835="","",COUNTIF($A$6:A1835,A1835))</f>
        <v/>
      </c>
      <c r="P1835" s="62" t="str">
        <f>IF(A1835="","",A1835&amp;"|"&amp;O1835)</f>
        <v/>
      </c>
    </row>
    <row r="1836">
      <c r="A1836" s="60" t="n"/>
      <c r="B1836" s="63" t="n"/>
      <c r="C1836" s="63" t="n"/>
      <c r="D1836" s="67" t="n"/>
      <c r="E1836" s="68" t="n"/>
      <c r="F1836" s="69" t="n"/>
      <c r="G1836" s="70" t="n"/>
      <c r="H1836" s="62" t="str">
        <f>IF(COUNTA(A1836:G1836)=0,"",IF(C1836&lt;&gt;"",C1836,IF(B1836="","",IFERROR(INDEX(pr_des,MATCH(B1836,pr_code,0))&amp;"",""))))</f>
        <v/>
      </c>
      <c r="I1836" s="59" t="str">
        <f>IF(B1836="","",IFERROR(INDEX(pr_unit,MATCH(B1836,pr_code,0))&amp;"",""))</f>
        <v/>
      </c>
      <c r="J1836" s="65" t="str">
        <f>IF(COUNTA(A1836:G1836)=0,"",IF(E1836&lt;&gt;"",E1836,IF(B1836="","",IFERROR(IF(INDEX(pr_price,MATCH(B1836,pr_code,0))="","",INDEX(pr_price,MATCH(B1836,pr_code,0))),""))))</f>
        <v/>
      </c>
      <c r="K1836" s="71" t="str">
        <f>IF(COUNTA(A1836:G1836)=0,"",IF(G1836&lt;&gt;"",G1836,IF(B1836="","",IFERROR(IF(INDEX(pr_rate,MATCH(B1836,pr_code,0))="","",INDEX(pr_rate,MATCH(B1836,pr_code,0))),""))))</f>
        <v/>
      </c>
      <c r="L1836" s="65" t="str">
        <f>IF(COUNTA(A1836:G1836)=0,"",IF(AND(ISNUMBER(D1836),ISNUMBER(J1836)),ROUND(D1836*J1836*(1-N(F1836)),2),0))</f>
        <v/>
      </c>
      <c r="M1836" s="62" t="str">
        <f>IF(A1836="","",IFERROR(INDEX(dv_cname,MATCH(A1836,dv_num,0))&amp;"",""))</f>
        <v/>
      </c>
      <c r="N1836" s="59" t="str">
        <f>IF(COUNTA(A1836:G1836)=0,"",IF(A1836="","N° devis manquant",IF(ISNA(MATCH(A1836,dv_num,0)),"Devis inconnu",IF(AND(B1836&lt;&gt;"",ISNA(MATCH(B1836,pr_code,0))),"Article inconnu",IF(H1836="","Désignation manquante",IF(OR(NOT(ISNUMBER(D1836)),N(D1836)&lt;=0),"Quantité invalide",IF(J1836="","Prix manquant",IF(OR(NOT(ISNUMBER(J1836)),N(J1836)&lt;0),"Prix invalide",IF(OR(AND(F1836&lt;&gt;"",NOT(ISNUMBER(F1836))),N(F1836)&lt;0,N(F1836)&gt;1),"Remise invalide",IF(K1836="","Taux de TVA manquant",IF(NOT(ISNUMBER(K1836)),"Taux de TVA invalide",IF(COUNTIF(p_rates,K1836)=0,"Taux de TVA hors liste (Paramètres)",IF(N(O1836)&gt;25,"Au-delà de 25 lignes : non imprimée","OK")))))))))))))</f>
        <v/>
      </c>
      <c r="O1836" s="59" t="str">
        <f>IF(A1836="","",COUNTIF($A$6:A1836,A1836))</f>
        <v/>
      </c>
      <c r="P1836" s="62" t="str">
        <f>IF(A1836="","",A1836&amp;"|"&amp;O1836)</f>
        <v/>
      </c>
    </row>
    <row r="1837">
      <c r="A1837" s="60" t="n"/>
      <c r="B1837" s="63" t="n"/>
      <c r="C1837" s="63" t="n"/>
      <c r="D1837" s="67" t="n"/>
      <c r="E1837" s="68" t="n"/>
      <c r="F1837" s="69" t="n"/>
      <c r="G1837" s="70" t="n"/>
      <c r="H1837" s="62" t="str">
        <f>IF(COUNTA(A1837:G1837)=0,"",IF(C1837&lt;&gt;"",C1837,IF(B1837="","",IFERROR(INDEX(pr_des,MATCH(B1837,pr_code,0))&amp;"",""))))</f>
        <v/>
      </c>
      <c r="I1837" s="59" t="str">
        <f>IF(B1837="","",IFERROR(INDEX(pr_unit,MATCH(B1837,pr_code,0))&amp;"",""))</f>
        <v/>
      </c>
      <c r="J1837" s="65" t="str">
        <f>IF(COUNTA(A1837:G1837)=0,"",IF(E1837&lt;&gt;"",E1837,IF(B1837="","",IFERROR(IF(INDEX(pr_price,MATCH(B1837,pr_code,0))="","",INDEX(pr_price,MATCH(B1837,pr_code,0))),""))))</f>
        <v/>
      </c>
      <c r="K1837" s="71" t="str">
        <f>IF(COUNTA(A1837:G1837)=0,"",IF(G1837&lt;&gt;"",G1837,IF(B1837="","",IFERROR(IF(INDEX(pr_rate,MATCH(B1837,pr_code,0))="","",INDEX(pr_rate,MATCH(B1837,pr_code,0))),""))))</f>
        <v/>
      </c>
      <c r="L1837" s="65" t="str">
        <f>IF(COUNTA(A1837:G1837)=0,"",IF(AND(ISNUMBER(D1837),ISNUMBER(J1837)),ROUND(D1837*J1837*(1-N(F1837)),2),0))</f>
        <v/>
      </c>
      <c r="M1837" s="62" t="str">
        <f>IF(A1837="","",IFERROR(INDEX(dv_cname,MATCH(A1837,dv_num,0))&amp;"",""))</f>
        <v/>
      </c>
      <c r="N1837" s="59" t="str">
        <f>IF(COUNTA(A1837:G1837)=0,"",IF(A1837="","N° devis manquant",IF(ISNA(MATCH(A1837,dv_num,0)),"Devis inconnu",IF(AND(B1837&lt;&gt;"",ISNA(MATCH(B1837,pr_code,0))),"Article inconnu",IF(H1837="","Désignation manquante",IF(OR(NOT(ISNUMBER(D1837)),N(D1837)&lt;=0),"Quantité invalide",IF(J1837="","Prix manquant",IF(OR(NOT(ISNUMBER(J1837)),N(J1837)&lt;0),"Prix invalide",IF(OR(AND(F1837&lt;&gt;"",NOT(ISNUMBER(F1837))),N(F1837)&lt;0,N(F1837)&gt;1),"Remise invalide",IF(K1837="","Taux de TVA manquant",IF(NOT(ISNUMBER(K1837)),"Taux de TVA invalide",IF(COUNTIF(p_rates,K1837)=0,"Taux de TVA hors liste (Paramètres)",IF(N(O1837)&gt;25,"Au-delà de 25 lignes : non imprimée","OK")))))))))))))</f>
        <v/>
      </c>
      <c r="O1837" s="59" t="str">
        <f>IF(A1837="","",COUNTIF($A$6:A1837,A1837))</f>
        <v/>
      </c>
      <c r="P1837" s="62" t="str">
        <f>IF(A1837="","",A1837&amp;"|"&amp;O1837)</f>
        <v/>
      </c>
    </row>
    <row r="1838">
      <c r="A1838" s="60" t="n"/>
      <c r="B1838" s="63" t="n"/>
      <c r="C1838" s="63" t="n"/>
      <c r="D1838" s="67" t="n"/>
      <c r="E1838" s="68" t="n"/>
      <c r="F1838" s="69" t="n"/>
      <c r="G1838" s="70" t="n"/>
      <c r="H1838" s="62" t="str">
        <f>IF(COUNTA(A1838:G1838)=0,"",IF(C1838&lt;&gt;"",C1838,IF(B1838="","",IFERROR(INDEX(pr_des,MATCH(B1838,pr_code,0))&amp;"",""))))</f>
        <v/>
      </c>
      <c r="I1838" s="59" t="str">
        <f>IF(B1838="","",IFERROR(INDEX(pr_unit,MATCH(B1838,pr_code,0))&amp;"",""))</f>
        <v/>
      </c>
      <c r="J1838" s="65" t="str">
        <f>IF(COUNTA(A1838:G1838)=0,"",IF(E1838&lt;&gt;"",E1838,IF(B1838="","",IFERROR(IF(INDEX(pr_price,MATCH(B1838,pr_code,0))="","",INDEX(pr_price,MATCH(B1838,pr_code,0))),""))))</f>
        <v/>
      </c>
      <c r="K1838" s="71" t="str">
        <f>IF(COUNTA(A1838:G1838)=0,"",IF(G1838&lt;&gt;"",G1838,IF(B1838="","",IFERROR(IF(INDEX(pr_rate,MATCH(B1838,pr_code,0))="","",INDEX(pr_rate,MATCH(B1838,pr_code,0))),""))))</f>
        <v/>
      </c>
      <c r="L1838" s="65" t="str">
        <f>IF(COUNTA(A1838:G1838)=0,"",IF(AND(ISNUMBER(D1838),ISNUMBER(J1838)),ROUND(D1838*J1838*(1-N(F1838)),2),0))</f>
        <v/>
      </c>
      <c r="M1838" s="62" t="str">
        <f>IF(A1838="","",IFERROR(INDEX(dv_cname,MATCH(A1838,dv_num,0))&amp;"",""))</f>
        <v/>
      </c>
      <c r="N1838" s="59" t="str">
        <f>IF(COUNTA(A1838:G1838)=0,"",IF(A1838="","N° devis manquant",IF(ISNA(MATCH(A1838,dv_num,0)),"Devis inconnu",IF(AND(B1838&lt;&gt;"",ISNA(MATCH(B1838,pr_code,0))),"Article inconnu",IF(H1838="","Désignation manquante",IF(OR(NOT(ISNUMBER(D1838)),N(D1838)&lt;=0),"Quantité invalide",IF(J1838="","Prix manquant",IF(OR(NOT(ISNUMBER(J1838)),N(J1838)&lt;0),"Prix invalide",IF(OR(AND(F1838&lt;&gt;"",NOT(ISNUMBER(F1838))),N(F1838)&lt;0,N(F1838)&gt;1),"Remise invalide",IF(K1838="","Taux de TVA manquant",IF(NOT(ISNUMBER(K1838)),"Taux de TVA invalide",IF(COUNTIF(p_rates,K1838)=0,"Taux de TVA hors liste (Paramètres)",IF(N(O1838)&gt;25,"Au-delà de 25 lignes : non imprimée","OK")))))))))))))</f>
        <v/>
      </c>
      <c r="O1838" s="59" t="str">
        <f>IF(A1838="","",COUNTIF($A$6:A1838,A1838))</f>
        <v/>
      </c>
      <c r="P1838" s="62" t="str">
        <f>IF(A1838="","",A1838&amp;"|"&amp;O1838)</f>
        <v/>
      </c>
    </row>
    <row r="1839">
      <c r="A1839" s="60" t="n"/>
      <c r="B1839" s="63" t="n"/>
      <c r="C1839" s="63" t="n"/>
      <c r="D1839" s="67" t="n"/>
      <c r="E1839" s="68" t="n"/>
      <c r="F1839" s="69" t="n"/>
      <c r="G1839" s="70" t="n"/>
      <c r="H1839" s="62" t="str">
        <f>IF(COUNTA(A1839:G1839)=0,"",IF(C1839&lt;&gt;"",C1839,IF(B1839="","",IFERROR(INDEX(pr_des,MATCH(B1839,pr_code,0))&amp;"",""))))</f>
        <v/>
      </c>
      <c r="I1839" s="59" t="str">
        <f>IF(B1839="","",IFERROR(INDEX(pr_unit,MATCH(B1839,pr_code,0))&amp;"",""))</f>
        <v/>
      </c>
      <c r="J1839" s="65" t="str">
        <f>IF(COUNTA(A1839:G1839)=0,"",IF(E1839&lt;&gt;"",E1839,IF(B1839="","",IFERROR(IF(INDEX(pr_price,MATCH(B1839,pr_code,0))="","",INDEX(pr_price,MATCH(B1839,pr_code,0))),""))))</f>
        <v/>
      </c>
      <c r="K1839" s="71" t="str">
        <f>IF(COUNTA(A1839:G1839)=0,"",IF(G1839&lt;&gt;"",G1839,IF(B1839="","",IFERROR(IF(INDEX(pr_rate,MATCH(B1839,pr_code,0))="","",INDEX(pr_rate,MATCH(B1839,pr_code,0))),""))))</f>
        <v/>
      </c>
      <c r="L1839" s="65" t="str">
        <f>IF(COUNTA(A1839:G1839)=0,"",IF(AND(ISNUMBER(D1839),ISNUMBER(J1839)),ROUND(D1839*J1839*(1-N(F1839)),2),0))</f>
        <v/>
      </c>
      <c r="M1839" s="62" t="str">
        <f>IF(A1839="","",IFERROR(INDEX(dv_cname,MATCH(A1839,dv_num,0))&amp;"",""))</f>
        <v/>
      </c>
      <c r="N1839" s="59" t="str">
        <f>IF(COUNTA(A1839:G1839)=0,"",IF(A1839="","N° devis manquant",IF(ISNA(MATCH(A1839,dv_num,0)),"Devis inconnu",IF(AND(B1839&lt;&gt;"",ISNA(MATCH(B1839,pr_code,0))),"Article inconnu",IF(H1839="","Désignation manquante",IF(OR(NOT(ISNUMBER(D1839)),N(D1839)&lt;=0),"Quantité invalide",IF(J1839="","Prix manquant",IF(OR(NOT(ISNUMBER(J1839)),N(J1839)&lt;0),"Prix invalide",IF(OR(AND(F1839&lt;&gt;"",NOT(ISNUMBER(F1839))),N(F1839)&lt;0,N(F1839)&gt;1),"Remise invalide",IF(K1839="","Taux de TVA manquant",IF(NOT(ISNUMBER(K1839)),"Taux de TVA invalide",IF(COUNTIF(p_rates,K1839)=0,"Taux de TVA hors liste (Paramètres)",IF(N(O1839)&gt;25,"Au-delà de 25 lignes : non imprimée","OK")))))))))))))</f>
        <v/>
      </c>
      <c r="O1839" s="59" t="str">
        <f>IF(A1839="","",COUNTIF($A$6:A1839,A1839))</f>
        <v/>
      </c>
      <c r="P1839" s="62" t="str">
        <f>IF(A1839="","",A1839&amp;"|"&amp;O1839)</f>
        <v/>
      </c>
    </row>
    <row r="1840">
      <c r="A1840" s="60" t="n"/>
      <c r="B1840" s="63" t="n"/>
      <c r="C1840" s="63" t="n"/>
      <c r="D1840" s="67" t="n"/>
      <c r="E1840" s="68" t="n"/>
      <c r="F1840" s="69" t="n"/>
      <c r="G1840" s="70" t="n"/>
      <c r="H1840" s="62" t="str">
        <f>IF(COUNTA(A1840:G1840)=0,"",IF(C1840&lt;&gt;"",C1840,IF(B1840="","",IFERROR(INDEX(pr_des,MATCH(B1840,pr_code,0))&amp;"",""))))</f>
        <v/>
      </c>
      <c r="I1840" s="59" t="str">
        <f>IF(B1840="","",IFERROR(INDEX(pr_unit,MATCH(B1840,pr_code,0))&amp;"",""))</f>
        <v/>
      </c>
      <c r="J1840" s="65" t="str">
        <f>IF(COUNTA(A1840:G1840)=0,"",IF(E1840&lt;&gt;"",E1840,IF(B1840="","",IFERROR(IF(INDEX(pr_price,MATCH(B1840,pr_code,0))="","",INDEX(pr_price,MATCH(B1840,pr_code,0))),""))))</f>
        <v/>
      </c>
      <c r="K1840" s="71" t="str">
        <f>IF(COUNTA(A1840:G1840)=0,"",IF(G1840&lt;&gt;"",G1840,IF(B1840="","",IFERROR(IF(INDEX(pr_rate,MATCH(B1840,pr_code,0))="","",INDEX(pr_rate,MATCH(B1840,pr_code,0))),""))))</f>
        <v/>
      </c>
      <c r="L1840" s="65" t="str">
        <f>IF(COUNTA(A1840:G1840)=0,"",IF(AND(ISNUMBER(D1840),ISNUMBER(J1840)),ROUND(D1840*J1840*(1-N(F1840)),2),0))</f>
        <v/>
      </c>
      <c r="M1840" s="62" t="str">
        <f>IF(A1840="","",IFERROR(INDEX(dv_cname,MATCH(A1840,dv_num,0))&amp;"",""))</f>
        <v/>
      </c>
      <c r="N1840" s="59" t="str">
        <f>IF(COUNTA(A1840:G1840)=0,"",IF(A1840="","N° devis manquant",IF(ISNA(MATCH(A1840,dv_num,0)),"Devis inconnu",IF(AND(B1840&lt;&gt;"",ISNA(MATCH(B1840,pr_code,0))),"Article inconnu",IF(H1840="","Désignation manquante",IF(OR(NOT(ISNUMBER(D1840)),N(D1840)&lt;=0),"Quantité invalide",IF(J1840="","Prix manquant",IF(OR(NOT(ISNUMBER(J1840)),N(J1840)&lt;0),"Prix invalide",IF(OR(AND(F1840&lt;&gt;"",NOT(ISNUMBER(F1840))),N(F1840)&lt;0,N(F1840)&gt;1),"Remise invalide",IF(K1840="","Taux de TVA manquant",IF(NOT(ISNUMBER(K1840)),"Taux de TVA invalide",IF(COUNTIF(p_rates,K1840)=0,"Taux de TVA hors liste (Paramètres)",IF(N(O1840)&gt;25,"Au-delà de 25 lignes : non imprimée","OK")))))))))))))</f>
        <v/>
      </c>
      <c r="O1840" s="59" t="str">
        <f>IF(A1840="","",COUNTIF($A$6:A1840,A1840))</f>
        <v/>
      </c>
      <c r="P1840" s="62" t="str">
        <f>IF(A1840="","",A1840&amp;"|"&amp;O1840)</f>
        <v/>
      </c>
    </row>
    <row r="1841">
      <c r="A1841" s="60" t="n"/>
      <c r="B1841" s="63" t="n"/>
      <c r="C1841" s="63" t="n"/>
      <c r="D1841" s="67" t="n"/>
      <c r="E1841" s="68" t="n"/>
      <c r="F1841" s="69" t="n"/>
      <c r="G1841" s="70" t="n"/>
      <c r="H1841" s="62" t="str">
        <f>IF(COUNTA(A1841:G1841)=0,"",IF(C1841&lt;&gt;"",C1841,IF(B1841="","",IFERROR(INDEX(pr_des,MATCH(B1841,pr_code,0))&amp;"",""))))</f>
        <v/>
      </c>
      <c r="I1841" s="59" t="str">
        <f>IF(B1841="","",IFERROR(INDEX(pr_unit,MATCH(B1841,pr_code,0))&amp;"",""))</f>
        <v/>
      </c>
      <c r="J1841" s="65" t="str">
        <f>IF(COUNTA(A1841:G1841)=0,"",IF(E1841&lt;&gt;"",E1841,IF(B1841="","",IFERROR(IF(INDEX(pr_price,MATCH(B1841,pr_code,0))="","",INDEX(pr_price,MATCH(B1841,pr_code,0))),""))))</f>
        <v/>
      </c>
      <c r="K1841" s="71" t="str">
        <f>IF(COUNTA(A1841:G1841)=0,"",IF(G1841&lt;&gt;"",G1841,IF(B1841="","",IFERROR(IF(INDEX(pr_rate,MATCH(B1841,pr_code,0))="","",INDEX(pr_rate,MATCH(B1841,pr_code,0))),""))))</f>
        <v/>
      </c>
      <c r="L1841" s="65" t="str">
        <f>IF(COUNTA(A1841:G1841)=0,"",IF(AND(ISNUMBER(D1841),ISNUMBER(J1841)),ROUND(D1841*J1841*(1-N(F1841)),2),0))</f>
        <v/>
      </c>
      <c r="M1841" s="62" t="str">
        <f>IF(A1841="","",IFERROR(INDEX(dv_cname,MATCH(A1841,dv_num,0))&amp;"",""))</f>
        <v/>
      </c>
      <c r="N1841" s="59" t="str">
        <f>IF(COUNTA(A1841:G1841)=0,"",IF(A1841="","N° devis manquant",IF(ISNA(MATCH(A1841,dv_num,0)),"Devis inconnu",IF(AND(B1841&lt;&gt;"",ISNA(MATCH(B1841,pr_code,0))),"Article inconnu",IF(H1841="","Désignation manquante",IF(OR(NOT(ISNUMBER(D1841)),N(D1841)&lt;=0),"Quantité invalide",IF(J1841="","Prix manquant",IF(OR(NOT(ISNUMBER(J1841)),N(J1841)&lt;0),"Prix invalide",IF(OR(AND(F1841&lt;&gt;"",NOT(ISNUMBER(F1841))),N(F1841)&lt;0,N(F1841)&gt;1),"Remise invalide",IF(K1841="","Taux de TVA manquant",IF(NOT(ISNUMBER(K1841)),"Taux de TVA invalide",IF(COUNTIF(p_rates,K1841)=0,"Taux de TVA hors liste (Paramètres)",IF(N(O1841)&gt;25,"Au-delà de 25 lignes : non imprimée","OK")))))))))))))</f>
        <v/>
      </c>
      <c r="O1841" s="59" t="str">
        <f>IF(A1841="","",COUNTIF($A$6:A1841,A1841))</f>
        <v/>
      </c>
      <c r="P1841" s="62" t="str">
        <f>IF(A1841="","",A1841&amp;"|"&amp;O1841)</f>
        <v/>
      </c>
    </row>
    <row r="1842">
      <c r="A1842" s="60" t="n"/>
      <c r="B1842" s="63" t="n"/>
      <c r="C1842" s="63" t="n"/>
      <c r="D1842" s="67" t="n"/>
      <c r="E1842" s="68" t="n"/>
      <c r="F1842" s="69" t="n"/>
      <c r="G1842" s="70" t="n"/>
      <c r="H1842" s="62" t="str">
        <f>IF(COUNTA(A1842:G1842)=0,"",IF(C1842&lt;&gt;"",C1842,IF(B1842="","",IFERROR(INDEX(pr_des,MATCH(B1842,pr_code,0))&amp;"",""))))</f>
        <v/>
      </c>
      <c r="I1842" s="59" t="str">
        <f>IF(B1842="","",IFERROR(INDEX(pr_unit,MATCH(B1842,pr_code,0))&amp;"",""))</f>
        <v/>
      </c>
      <c r="J1842" s="65" t="str">
        <f>IF(COUNTA(A1842:G1842)=0,"",IF(E1842&lt;&gt;"",E1842,IF(B1842="","",IFERROR(IF(INDEX(pr_price,MATCH(B1842,pr_code,0))="","",INDEX(pr_price,MATCH(B1842,pr_code,0))),""))))</f>
        <v/>
      </c>
      <c r="K1842" s="71" t="str">
        <f>IF(COUNTA(A1842:G1842)=0,"",IF(G1842&lt;&gt;"",G1842,IF(B1842="","",IFERROR(IF(INDEX(pr_rate,MATCH(B1842,pr_code,0))="","",INDEX(pr_rate,MATCH(B1842,pr_code,0))),""))))</f>
        <v/>
      </c>
      <c r="L1842" s="65" t="str">
        <f>IF(COUNTA(A1842:G1842)=0,"",IF(AND(ISNUMBER(D1842),ISNUMBER(J1842)),ROUND(D1842*J1842*(1-N(F1842)),2),0))</f>
        <v/>
      </c>
      <c r="M1842" s="62" t="str">
        <f>IF(A1842="","",IFERROR(INDEX(dv_cname,MATCH(A1842,dv_num,0))&amp;"",""))</f>
        <v/>
      </c>
      <c r="N1842" s="59" t="str">
        <f>IF(COUNTA(A1842:G1842)=0,"",IF(A1842="","N° devis manquant",IF(ISNA(MATCH(A1842,dv_num,0)),"Devis inconnu",IF(AND(B1842&lt;&gt;"",ISNA(MATCH(B1842,pr_code,0))),"Article inconnu",IF(H1842="","Désignation manquante",IF(OR(NOT(ISNUMBER(D1842)),N(D1842)&lt;=0),"Quantité invalide",IF(J1842="","Prix manquant",IF(OR(NOT(ISNUMBER(J1842)),N(J1842)&lt;0),"Prix invalide",IF(OR(AND(F1842&lt;&gt;"",NOT(ISNUMBER(F1842))),N(F1842)&lt;0,N(F1842)&gt;1),"Remise invalide",IF(K1842="","Taux de TVA manquant",IF(NOT(ISNUMBER(K1842)),"Taux de TVA invalide",IF(COUNTIF(p_rates,K1842)=0,"Taux de TVA hors liste (Paramètres)",IF(N(O1842)&gt;25,"Au-delà de 25 lignes : non imprimée","OK")))))))))))))</f>
        <v/>
      </c>
      <c r="O1842" s="59" t="str">
        <f>IF(A1842="","",COUNTIF($A$6:A1842,A1842))</f>
        <v/>
      </c>
      <c r="P1842" s="62" t="str">
        <f>IF(A1842="","",A1842&amp;"|"&amp;O1842)</f>
        <v/>
      </c>
    </row>
    <row r="1843">
      <c r="A1843" s="60" t="n"/>
      <c r="B1843" s="63" t="n"/>
      <c r="C1843" s="63" t="n"/>
      <c r="D1843" s="67" t="n"/>
      <c r="E1843" s="68" t="n"/>
      <c r="F1843" s="69" t="n"/>
      <c r="G1843" s="70" t="n"/>
      <c r="H1843" s="62" t="str">
        <f>IF(COUNTA(A1843:G1843)=0,"",IF(C1843&lt;&gt;"",C1843,IF(B1843="","",IFERROR(INDEX(pr_des,MATCH(B1843,pr_code,0))&amp;"",""))))</f>
        <v/>
      </c>
      <c r="I1843" s="59" t="str">
        <f>IF(B1843="","",IFERROR(INDEX(pr_unit,MATCH(B1843,pr_code,0))&amp;"",""))</f>
        <v/>
      </c>
      <c r="J1843" s="65" t="str">
        <f>IF(COUNTA(A1843:G1843)=0,"",IF(E1843&lt;&gt;"",E1843,IF(B1843="","",IFERROR(IF(INDEX(pr_price,MATCH(B1843,pr_code,0))="","",INDEX(pr_price,MATCH(B1843,pr_code,0))),""))))</f>
        <v/>
      </c>
      <c r="K1843" s="71" t="str">
        <f>IF(COUNTA(A1843:G1843)=0,"",IF(G1843&lt;&gt;"",G1843,IF(B1843="","",IFERROR(IF(INDEX(pr_rate,MATCH(B1843,pr_code,0))="","",INDEX(pr_rate,MATCH(B1843,pr_code,0))),""))))</f>
        <v/>
      </c>
      <c r="L1843" s="65" t="str">
        <f>IF(COUNTA(A1843:G1843)=0,"",IF(AND(ISNUMBER(D1843),ISNUMBER(J1843)),ROUND(D1843*J1843*(1-N(F1843)),2),0))</f>
        <v/>
      </c>
      <c r="M1843" s="62" t="str">
        <f>IF(A1843="","",IFERROR(INDEX(dv_cname,MATCH(A1843,dv_num,0))&amp;"",""))</f>
        <v/>
      </c>
      <c r="N1843" s="59" t="str">
        <f>IF(COUNTA(A1843:G1843)=0,"",IF(A1843="","N° devis manquant",IF(ISNA(MATCH(A1843,dv_num,0)),"Devis inconnu",IF(AND(B1843&lt;&gt;"",ISNA(MATCH(B1843,pr_code,0))),"Article inconnu",IF(H1843="","Désignation manquante",IF(OR(NOT(ISNUMBER(D1843)),N(D1843)&lt;=0),"Quantité invalide",IF(J1843="","Prix manquant",IF(OR(NOT(ISNUMBER(J1843)),N(J1843)&lt;0),"Prix invalide",IF(OR(AND(F1843&lt;&gt;"",NOT(ISNUMBER(F1843))),N(F1843)&lt;0,N(F1843)&gt;1),"Remise invalide",IF(K1843="","Taux de TVA manquant",IF(NOT(ISNUMBER(K1843)),"Taux de TVA invalide",IF(COUNTIF(p_rates,K1843)=0,"Taux de TVA hors liste (Paramètres)",IF(N(O1843)&gt;25,"Au-delà de 25 lignes : non imprimée","OK")))))))))))))</f>
        <v/>
      </c>
      <c r="O1843" s="59" t="str">
        <f>IF(A1843="","",COUNTIF($A$6:A1843,A1843))</f>
        <v/>
      </c>
      <c r="P1843" s="62" t="str">
        <f>IF(A1843="","",A1843&amp;"|"&amp;O1843)</f>
        <v/>
      </c>
    </row>
    <row r="1844">
      <c r="A1844" s="60" t="n"/>
      <c r="B1844" s="63" t="n"/>
      <c r="C1844" s="63" t="n"/>
      <c r="D1844" s="67" t="n"/>
      <c r="E1844" s="68" t="n"/>
      <c r="F1844" s="69" t="n"/>
      <c r="G1844" s="70" t="n"/>
      <c r="H1844" s="62" t="str">
        <f>IF(COUNTA(A1844:G1844)=0,"",IF(C1844&lt;&gt;"",C1844,IF(B1844="","",IFERROR(INDEX(pr_des,MATCH(B1844,pr_code,0))&amp;"",""))))</f>
        <v/>
      </c>
      <c r="I1844" s="59" t="str">
        <f>IF(B1844="","",IFERROR(INDEX(pr_unit,MATCH(B1844,pr_code,0))&amp;"",""))</f>
        <v/>
      </c>
      <c r="J1844" s="65" t="str">
        <f>IF(COUNTA(A1844:G1844)=0,"",IF(E1844&lt;&gt;"",E1844,IF(B1844="","",IFERROR(IF(INDEX(pr_price,MATCH(B1844,pr_code,0))="","",INDEX(pr_price,MATCH(B1844,pr_code,0))),""))))</f>
        <v/>
      </c>
      <c r="K1844" s="71" t="str">
        <f>IF(COUNTA(A1844:G1844)=0,"",IF(G1844&lt;&gt;"",G1844,IF(B1844="","",IFERROR(IF(INDEX(pr_rate,MATCH(B1844,pr_code,0))="","",INDEX(pr_rate,MATCH(B1844,pr_code,0))),""))))</f>
        <v/>
      </c>
      <c r="L1844" s="65" t="str">
        <f>IF(COUNTA(A1844:G1844)=0,"",IF(AND(ISNUMBER(D1844),ISNUMBER(J1844)),ROUND(D1844*J1844*(1-N(F1844)),2),0))</f>
        <v/>
      </c>
      <c r="M1844" s="62" t="str">
        <f>IF(A1844="","",IFERROR(INDEX(dv_cname,MATCH(A1844,dv_num,0))&amp;"",""))</f>
        <v/>
      </c>
      <c r="N1844" s="59" t="str">
        <f>IF(COUNTA(A1844:G1844)=0,"",IF(A1844="","N° devis manquant",IF(ISNA(MATCH(A1844,dv_num,0)),"Devis inconnu",IF(AND(B1844&lt;&gt;"",ISNA(MATCH(B1844,pr_code,0))),"Article inconnu",IF(H1844="","Désignation manquante",IF(OR(NOT(ISNUMBER(D1844)),N(D1844)&lt;=0),"Quantité invalide",IF(J1844="","Prix manquant",IF(OR(NOT(ISNUMBER(J1844)),N(J1844)&lt;0),"Prix invalide",IF(OR(AND(F1844&lt;&gt;"",NOT(ISNUMBER(F1844))),N(F1844)&lt;0,N(F1844)&gt;1),"Remise invalide",IF(K1844="","Taux de TVA manquant",IF(NOT(ISNUMBER(K1844)),"Taux de TVA invalide",IF(COUNTIF(p_rates,K1844)=0,"Taux de TVA hors liste (Paramètres)",IF(N(O1844)&gt;25,"Au-delà de 25 lignes : non imprimée","OK")))))))))))))</f>
        <v/>
      </c>
      <c r="O1844" s="59" t="str">
        <f>IF(A1844="","",COUNTIF($A$6:A1844,A1844))</f>
        <v/>
      </c>
      <c r="P1844" s="62" t="str">
        <f>IF(A1844="","",A1844&amp;"|"&amp;O1844)</f>
        <v/>
      </c>
    </row>
    <row r="1845">
      <c r="A1845" s="60" t="n"/>
      <c r="B1845" s="63" t="n"/>
      <c r="C1845" s="63" t="n"/>
      <c r="D1845" s="67" t="n"/>
      <c r="E1845" s="68" t="n"/>
      <c r="F1845" s="69" t="n"/>
      <c r="G1845" s="70" t="n"/>
      <c r="H1845" s="62" t="str">
        <f>IF(COUNTA(A1845:G1845)=0,"",IF(C1845&lt;&gt;"",C1845,IF(B1845="","",IFERROR(INDEX(pr_des,MATCH(B1845,pr_code,0))&amp;"",""))))</f>
        <v/>
      </c>
      <c r="I1845" s="59" t="str">
        <f>IF(B1845="","",IFERROR(INDEX(pr_unit,MATCH(B1845,pr_code,0))&amp;"",""))</f>
        <v/>
      </c>
      <c r="J1845" s="65" t="str">
        <f>IF(COUNTA(A1845:G1845)=0,"",IF(E1845&lt;&gt;"",E1845,IF(B1845="","",IFERROR(IF(INDEX(pr_price,MATCH(B1845,pr_code,0))="","",INDEX(pr_price,MATCH(B1845,pr_code,0))),""))))</f>
        <v/>
      </c>
      <c r="K1845" s="71" t="str">
        <f>IF(COUNTA(A1845:G1845)=0,"",IF(G1845&lt;&gt;"",G1845,IF(B1845="","",IFERROR(IF(INDEX(pr_rate,MATCH(B1845,pr_code,0))="","",INDEX(pr_rate,MATCH(B1845,pr_code,0))),""))))</f>
        <v/>
      </c>
      <c r="L1845" s="65" t="str">
        <f>IF(COUNTA(A1845:G1845)=0,"",IF(AND(ISNUMBER(D1845),ISNUMBER(J1845)),ROUND(D1845*J1845*(1-N(F1845)),2),0))</f>
        <v/>
      </c>
      <c r="M1845" s="62" t="str">
        <f>IF(A1845="","",IFERROR(INDEX(dv_cname,MATCH(A1845,dv_num,0))&amp;"",""))</f>
        <v/>
      </c>
      <c r="N1845" s="59" t="str">
        <f>IF(COUNTA(A1845:G1845)=0,"",IF(A1845="","N° devis manquant",IF(ISNA(MATCH(A1845,dv_num,0)),"Devis inconnu",IF(AND(B1845&lt;&gt;"",ISNA(MATCH(B1845,pr_code,0))),"Article inconnu",IF(H1845="","Désignation manquante",IF(OR(NOT(ISNUMBER(D1845)),N(D1845)&lt;=0),"Quantité invalide",IF(J1845="","Prix manquant",IF(OR(NOT(ISNUMBER(J1845)),N(J1845)&lt;0),"Prix invalide",IF(OR(AND(F1845&lt;&gt;"",NOT(ISNUMBER(F1845))),N(F1845)&lt;0,N(F1845)&gt;1),"Remise invalide",IF(K1845="","Taux de TVA manquant",IF(NOT(ISNUMBER(K1845)),"Taux de TVA invalide",IF(COUNTIF(p_rates,K1845)=0,"Taux de TVA hors liste (Paramètres)",IF(N(O1845)&gt;25,"Au-delà de 25 lignes : non imprimée","OK")))))))))))))</f>
        <v/>
      </c>
      <c r="O1845" s="59" t="str">
        <f>IF(A1845="","",COUNTIF($A$6:A1845,A1845))</f>
        <v/>
      </c>
      <c r="P1845" s="62" t="str">
        <f>IF(A1845="","",A1845&amp;"|"&amp;O1845)</f>
        <v/>
      </c>
    </row>
    <row r="1846">
      <c r="A1846" s="60" t="n"/>
      <c r="B1846" s="63" t="n"/>
      <c r="C1846" s="63" t="n"/>
      <c r="D1846" s="67" t="n"/>
      <c r="E1846" s="68" t="n"/>
      <c r="F1846" s="69" t="n"/>
      <c r="G1846" s="70" t="n"/>
      <c r="H1846" s="62" t="str">
        <f>IF(COUNTA(A1846:G1846)=0,"",IF(C1846&lt;&gt;"",C1846,IF(B1846="","",IFERROR(INDEX(pr_des,MATCH(B1846,pr_code,0))&amp;"",""))))</f>
        <v/>
      </c>
      <c r="I1846" s="59" t="str">
        <f>IF(B1846="","",IFERROR(INDEX(pr_unit,MATCH(B1846,pr_code,0))&amp;"",""))</f>
        <v/>
      </c>
      <c r="J1846" s="65" t="str">
        <f>IF(COUNTA(A1846:G1846)=0,"",IF(E1846&lt;&gt;"",E1846,IF(B1846="","",IFERROR(IF(INDEX(pr_price,MATCH(B1846,pr_code,0))="","",INDEX(pr_price,MATCH(B1846,pr_code,0))),""))))</f>
        <v/>
      </c>
      <c r="K1846" s="71" t="str">
        <f>IF(COUNTA(A1846:G1846)=0,"",IF(G1846&lt;&gt;"",G1846,IF(B1846="","",IFERROR(IF(INDEX(pr_rate,MATCH(B1846,pr_code,0))="","",INDEX(pr_rate,MATCH(B1846,pr_code,0))),""))))</f>
        <v/>
      </c>
      <c r="L1846" s="65" t="str">
        <f>IF(COUNTA(A1846:G1846)=0,"",IF(AND(ISNUMBER(D1846),ISNUMBER(J1846)),ROUND(D1846*J1846*(1-N(F1846)),2),0))</f>
        <v/>
      </c>
      <c r="M1846" s="62" t="str">
        <f>IF(A1846="","",IFERROR(INDEX(dv_cname,MATCH(A1846,dv_num,0))&amp;"",""))</f>
        <v/>
      </c>
      <c r="N1846" s="59" t="str">
        <f>IF(COUNTA(A1846:G1846)=0,"",IF(A1846="","N° devis manquant",IF(ISNA(MATCH(A1846,dv_num,0)),"Devis inconnu",IF(AND(B1846&lt;&gt;"",ISNA(MATCH(B1846,pr_code,0))),"Article inconnu",IF(H1846="","Désignation manquante",IF(OR(NOT(ISNUMBER(D1846)),N(D1846)&lt;=0),"Quantité invalide",IF(J1846="","Prix manquant",IF(OR(NOT(ISNUMBER(J1846)),N(J1846)&lt;0),"Prix invalide",IF(OR(AND(F1846&lt;&gt;"",NOT(ISNUMBER(F1846))),N(F1846)&lt;0,N(F1846)&gt;1),"Remise invalide",IF(K1846="","Taux de TVA manquant",IF(NOT(ISNUMBER(K1846)),"Taux de TVA invalide",IF(COUNTIF(p_rates,K1846)=0,"Taux de TVA hors liste (Paramètres)",IF(N(O1846)&gt;25,"Au-delà de 25 lignes : non imprimée","OK")))))))))))))</f>
        <v/>
      </c>
      <c r="O1846" s="59" t="str">
        <f>IF(A1846="","",COUNTIF($A$6:A1846,A1846))</f>
        <v/>
      </c>
      <c r="P1846" s="62" t="str">
        <f>IF(A1846="","",A1846&amp;"|"&amp;O1846)</f>
        <v/>
      </c>
    </row>
    <row r="1847">
      <c r="A1847" s="60" t="n"/>
      <c r="B1847" s="63" t="n"/>
      <c r="C1847" s="63" t="n"/>
      <c r="D1847" s="67" t="n"/>
      <c r="E1847" s="68" t="n"/>
      <c r="F1847" s="69" t="n"/>
      <c r="G1847" s="70" t="n"/>
      <c r="H1847" s="62" t="str">
        <f>IF(COUNTA(A1847:G1847)=0,"",IF(C1847&lt;&gt;"",C1847,IF(B1847="","",IFERROR(INDEX(pr_des,MATCH(B1847,pr_code,0))&amp;"",""))))</f>
        <v/>
      </c>
      <c r="I1847" s="59" t="str">
        <f>IF(B1847="","",IFERROR(INDEX(pr_unit,MATCH(B1847,pr_code,0))&amp;"",""))</f>
        <v/>
      </c>
      <c r="J1847" s="65" t="str">
        <f>IF(COUNTA(A1847:G1847)=0,"",IF(E1847&lt;&gt;"",E1847,IF(B1847="","",IFERROR(IF(INDEX(pr_price,MATCH(B1847,pr_code,0))="","",INDEX(pr_price,MATCH(B1847,pr_code,0))),""))))</f>
        <v/>
      </c>
      <c r="K1847" s="71" t="str">
        <f>IF(COUNTA(A1847:G1847)=0,"",IF(G1847&lt;&gt;"",G1847,IF(B1847="","",IFERROR(IF(INDEX(pr_rate,MATCH(B1847,pr_code,0))="","",INDEX(pr_rate,MATCH(B1847,pr_code,0))),""))))</f>
        <v/>
      </c>
      <c r="L1847" s="65" t="str">
        <f>IF(COUNTA(A1847:G1847)=0,"",IF(AND(ISNUMBER(D1847),ISNUMBER(J1847)),ROUND(D1847*J1847*(1-N(F1847)),2),0))</f>
        <v/>
      </c>
      <c r="M1847" s="62" t="str">
        <f>IF(A1847="","",IFERROR(INDEX(dv_cname,MATCH(A1847,dv_num,0))&amp;"",""))</f>
        <v/>
      </c>
      <c r="N1847" s="59" t="str">
        <f>IF(COUNTA(A1847:G1847)=0,"",IF(A1847="","N° devis manquant",IF(ISNA(MATCH(A1847,dv_num,0)),"Devis inconnu",IF(AND(B1847&lt;&gt;"",ISNA(MATCH(B1847,pr_code,0))),"Article inconnu",IF(H1847="","Désignation manquante",IF(OR(NOT(ISNUMBER(D1847)),N(D1847)&lt;=0),"Quantité invalide",IF(J1847="","Prix manquant",IF(OR(NOT(ISNUMBER(J1847)),N(J1847)&lt;0),"Prix invalide",IF(OR(AND(F1847&lt;&gt;"",NOT(ISNUMBER(F1847))),N(F1847)&lt;0,N(F1847)&gt;1),"Remise invalide",IF(K1847="","Taux de TVA manquant",IF(NOT(ISNUMBER(K1847)),"Taux de TVA invalide",IF(COUNTIF(p_rates,K1847)=0,"Taux de TVA hors liste (Paramètres)",IF(N(O1847)&gt;25,"Au-delà de 25 lignes : non imprimée","OK")))))))))))))</f>
        <v/>
      </c>
      <c r="O1847" s="59" t="str">
        <f>IF(A1847="","",COUNTIF($A$6:A1847,A1847))</f>
        <v/>
      </c>
      <c r="P1847" s="62" t="str">
        <f>IF(A1847="","",A1847&amp;"|"&amp;O1847)</f>
        <v/>
      </c>
    </row>
    <row r="1848">
      <c r="A1848" s="60" t="n"/>
      <c r="B1848" s="63" t="n"/>
      <c r="C1848" s="63" t="n"/>
      <c r="D1848" s="67" t="n"/>
      <c r="E1848" s="68" t="n"/>
      <c r="F1848" s="69" t="n"/>
      <c r="G1848" s="70" t="n"/>
      <c r="H1848" s="62" t="str">
        <f>IF(COUNTA(A1848:G1848)=0,"",IF(C1848&lt;&gt;"",C1848,IF(B1848="","",IFERROR(INDEX(pr_des,MATCH(B1848,pr_code,0))&amp;"",""))))</f>
        <v/>
      </c>
      <c r="I1848" s="59" t="str">
        <f>IF(B1848="","",IFERROR(INDEX(pr_unit,MATCH(B1848,pr_code,0))&amp;"",""))</f>
        <v/>
      </c>
      <c r="J1848" s="65" t="str">
        <f>IF(COUNTA(A1848:G1848)=0,"",IF(E1848&lt;&gt;"",E1848,IF(B1848="","",IFERROR(IF(INDEX(pr_price,MATCH(B1848,pr_code,0))="","",INDEX(pr_price,MATCH(B1848,pr_code,0))),""))))</f>
        <v/>
      </c>
      <c r="K1848" s="71" t="str">
        <f>IF(COUNTA(A1848:G1848)=0,"",IF(G1848&lt;&gt;"",G1848,IF(B1848="","",IFERROR(IF(INDEX(pr_rate,MATCH(B1848,pr_code,0))="","",INDEX(pr_rate,MATCH(B1848,pr_code,0))),""))))</f>
        <v/>
      </c>
      <c r="L1848" s="65" t="str">
        <f>IF(COUNTA(A1848:G1848)=0,"",IF(AND(ISNUMBER(D1848),ISNUMBER(J1848)),ROUND(D1848*J1848*(1-N(F1848)),2),0))</f>
        <v/>
      </c>
      <c r="M1848" s="62" t="str">
        <f>IF(A1848="","",IFERROR(INDEX(dv_cname,MATCH(A1848,dv_num,0))&amp;"",""))</f>
        <v/>
      </c>
      <c r="N1848" s="59" t="str">
        <f>IF(COUNTA(A1848:G1848)=0,"",IF(A1848="","N° devis manquant",IF(ISNA(MATCH(A1848,dv_num,0)),"Devis inconnu",IF(AND(B1848&lt;&gt;"",ISNA(MATCH(B1848,pr_code,0))),"Article inconnu",IF(H1848="","Désignation manquante",IF(OR(NOT(ISNUMBER(D1848)),N(D1848)&lt;=0),"Quantité invalide",IF(J1848="","Prix manquant",IF(OR(NOT(ISNUMBER(J1848)),N(J1848)&lt;0),"Prix invalide",IF(OR(AND(F1848&lt;&gt;"",NOT(ISNUMBER(F1848))),N(F1848)&lt;0,N(F1848)&gt;1),"Remise invalide",IF(K1848="","Taux de TVA manquant",IF(NOT(ISNUMBER(K1848)),"Taux de TVA invalide",IF(COUNTIF(p_rates,K1848)=0,"Taux de TVA hors liste (Paramètres)",IF(N(O1848)&gt;25,"Au-delà de 25 lignes : non imprimée","OK")))))))))))))</f>
        <v/>
      </c>
      <c r="O1848" s="59" t="str">
        <f>IF(A1848="","",COUNTIF($A$6:A1848,A1848))</f>
        <v/>
      </c>
      <c r="P1848" s="62" t="str">
        <f>IF(A1848="","",A1848&amp;"|"&amp;O1848)</f>
        <v/>
      </c>
    </row>
    <row r="1849">
      <c r="A1849" s="60" t="n"/>
      <c r="B1849" s="63" t="n"/>
      <c r="C1849" s="63" t="n"/>
      <c r="D1849" s="67" t="n"/>
      <c r="E1849" s="68" t="n"/>
      <c r="F1849" s="69" t="n"/>
      <c r="G1849" s="70" t="n"/>
      <c r="H1849" s="62" t="str">
        <f>IF(COUNTA(A1849:G1849)=0,"",IF(C1849&lt;&gt;"",C1849,IF(B1849="","",IFERROR(INDEX(pr_des,MATCH(B1849,pr_code,0))&amp;"",""))))</f>
        <v/>
      </c>
      <c r="I1849" s="59" t="str">
        <f>IF(B1849="","",IFERROR(INDEX(pr_unit,MATCH(B1849,pr_code,0))&amp;"",""))</f>
        <v/>
      </c>
      <c r="J1849" s="65" t="str">
        <f>IF(COUNTA(A1849:G1849)=0,"",IF(E1849&lt;&gt;"",E1849,IF(B1849="","",IFERROR(IF(INDEX(pr_price,MATCH(B1849,pr_code,0))="","",INDEX(pr_price,MATCH(B1849,pr_code,0))),""))))</f>
        <v/>
      </c>
      <c r="K1849" s="71" t="str">
        <f>IF(COUNTA(A1849:G1849)=0,"",IF(G1849&lt;&gt;"",G1849,IF(B1849="","",IFERROR(IF(INDEX(pr_rate,MATCH(B1849,pr_code,0))="","",INDEX(pr_rate,MATCH(B1849,pr_code,0))),""))))</f>
        <v/>
      </c>
      <c r="L1849" s="65" t="str">
        <f>IF(COUNTA(A1849:G1849)=0,"",IF(AND(ISNUMBER(D1849),ISNUMBER(J1849)),ROUND(D1849*J1849*(1-N(F1849)),2),0))</f>
        <v/>
      </c>
      <c r="M1849" s="62" t="str">
        <f>IF(A1849="","",IFERROR(INDEX(dv_cname,MATCH(A1849,dv_num,0))&amp;"",""))</f>
        <v/>
      </c>
      <c r="N1849" s="59" t="str">
        <f>IF(COUNTA(A1849:G1849)=0,"",IF(A1849="","N° devis manquant",IF(ISNA(MATCH(A1849,dv_num,0)),"Devis inconnu",IF(AND(B1849&lt;&gt;"",ISNA(MATCH(B1849,pr_code,0))),"Article inconnu",IF(H1849="","Désignation manquante",IF(OR(NOT(ISNUMBER(D1849)),N(D1849)&lt;=0),"Quantité invalide",IF(J1849="","Prix manquant",IF(OR(NOT(ISNUMBER(J1849)),N(J1849)&lt;0),"Prix invalide",IF(OR(AND(F1849&lt;&gt;"",NOT(ISNUMBER(F1849))),N(F1849)&lt;0,N(F1849)&gt;1),"Remise invalide",IF(K1849="","Taux de TVA manquant",IF(NOT(ISNUMBER(K1849)),"Taux de TVA invalide",IF(COUNTIF(p_rates,K1849)=0,"Taux de TVA hors liste (Paramètres)",IF(N(O1849)&gt;25,"Au-delà de 25 lignes : non imprimée","OK")))))))))))))</f>
        <v/>
      </c>
      <c r="O1849" s="59" t="str">
        <f>IF(A1849="","",COUNTIF($A$6:A1849,A1849))</f>
        <v/>
      </c>
      <c r="P1849" s="62" t="str">
        <f>IF(A1849="","",A1849&amp;"|"&amp;O1849)</f>
        <v/>
      </c>
    </row>
    <row r="1850">
      <c r="A1850" s="60" t="n"/>
      <c r="B1850" s="63" t="n"/>
      <c r="C1850" s="63" t="n"/>
      <c r="D1850" s="67" t="n"/>
      <c r="E1850" s="68" t="n"/>
      <c r="F1850" s="69" t="n"/>
      <c r="G1850" s="70" t="n"/>
      <c r="H1850" s="62" t="str">
        <f>IF(COUNTA(A1850:G1850)=0,"",IF(C1850&lt;&gt;"",C1850,IF(B1850="","",IFERROR(INDEX(pr_des,MATCH(B1850,pr_code,0))&amp;"",""))))</f>
        <v/>
      </c>
      <c r="I1850" s="59" t="str">
        <f>IF(B1850="","",IFERROR(INDEX(pr_unit,MATCH(B1850,pr_code,0))&amp;"",""))</f>
        <v/>
      </c>
      <c r="J1850" s="65" t="str">
        <f>IF(COUNTA(A1850:G1850)=0,"",IF(E1850&lt;&gt;"",E1850,IF(B1850="","",IFERROR(IF(INDEX(pr_price,MATCH(B1850,pr_code,0))="","",INDEX(pr_price,MATCH(B1850,pr_code,0))),""))))</f>
        <v/>
      </c>
      <c r="K1850" s="71" t="str">
        <f>IF(COUNTA(A1850:G1850)=0,"",IF(G1850&lt;&gt;"",G1850,IF(B1850="","",IFERROR(IF(INDEX(pr_rate,MATCH(B1850,pr_code,0))="","",INDEX(pr_rate,MATCH(B1850,pr_code,0))),""))))</f>
        <v/>
      </c>
      <c r="L1850" s="65" t="str">
        <f>IF(COUNTA(A1850:G1850)=0,"",IF(AND(ISNUMBER(D1850),ISNUMBER(J1850)),ROUND(D1850*J1850*(1-N(F1850)),2),0))</f>
        <v/>
      </c>
      <c r="M1850" s="62" t="str">
        <f>IF(A1850="","",IFERROR(INDEX(dv_cname,MATCH(A1850,dv_num,0))&amp;"",""))</f>
        <v/>
      </c>
      <c r="N1850" s="59" t="str">
        <f>IF(COUNTA(A1850:G1850)=0,"",IF(A1850="","N° devis manquant",IF(ISNA(MATCH(A1850,dv_num,0)),"Devis inconnu",IF(AND(B1850&lt;&gt;"",ISNA(MATCH(B1850,pr_code,0))),"Article inconnu",IF(H1850="","Désignation manquante",IF(OR(NOT(ISNUMBER(D1850)),N(D1850)&lt;=0),"Quantité invalide",IF(J1850="","Prix manquant",IF(OR(NOT(ISNUMBER(J1850)),N(J1850)&lt;0),"Prix invalide",IF(OR(AND(F1850&lt;&gt;"",NOT(ISNUMBER(F1850))),N(F1850)&lt;0,N(F1850)&gt;1),"Remise invalide",IF(K1850="","Taux de TVA manquant",IF(NOT(ISNUMBER(K1850)),"Taux de TVA invalide",IF(COUNTIF(p_rates,K1850)=0,"Taux de TVA hors liste (Paramètres)",IF(N(O1850)&gt;25,"Au-delà de 25 lignes : non imprimée","OK")))))))))))))</f>
        <v/>
      </c>
      <c r="O1850" s="59" t="str">
        <f>IF(A1850="","",COUNTIF($A$6:A1850,A1850))</f>
        <v/>
      </c>
      <c r="P1850" s="62" t="str">
        <f>IF(A1850="","",A1850&amp;"|"&amp;O1850)</f>
        <v/>
      </c>
    </row>
    <row r="1851">
      <c r="A1851" s="60" t="n"/>
      <c r="B1851" s="63" t="n"/>
      <c r="C1851" s="63" t="n"/>
      <c r="D1851" s="67" t="n"/>
      <c r="E1851" s="68" t="n"/>
      <c r="F1851" s="69" t="n"/>
      <c r="G1851" s="70" t="n"/>
      <c r="H1851" s="62" t="str">
        <f>IF(COUNTA(A1851:G1851)=0,"",IF(C1851&lt;&gt;"",C1851,IF(B1851="","",IFERROR(INDEX(pr_des,MATCH(B1851,pr_code,0))&amp;"",""))))</f>
        <v/>
      </c>
      <c r="I1851" s="59" t="str">
        <f>IF(B1851="","",IFERROR(INDEX(pr_unit,MATCH(B1851,pr_code,0))&amp;"",""))</f>
        <v/>
      </c>
      <c r="J1851" s="65" t="str">
        <f>IF(COUNTA(A1851:G1851)=0,"",IF(E1851&lt;&gt;"",E1851,IF(B1851="","",IFERROR(IF(INDEX(pr_price,MATCH(B1851,pr_code,0))="","",INDEX(pr_price,MATCH(B1851,pr_code,0))),""))))</f>
        <v/>
      </c>
      <c r="K1851" s="71" t="str">
        <f>IF(COUNTA(A1851:G1851)=0,"",IF(G1851&lt;&gt;"",G1851,IF(B1851="","",IFERROR(IF(INDEX(pr_rate,MATCH(B1851,pr_code,0))="","",INDEX(pr_rate,MATCH(B1851,pr_code,0))),""))))</f>
        <v/>
      </c>
      <c r="L1851" s="65" t="str">
        <f>IF(COUNTA(A1851:G1851)=0,"",IF(AND(ISNUMBER(D1851),ISNUMBER(J1851)),ROUND(D1851*J1851*(1-N(F1851)),2),0))</f>
        <v/>
      </c>
      <c r="M1851" s="62" t="str">
        <f>IF(A1851="","",IFERROR(INDEX(dv_cname,MATCH(A1851,dv_num,0))&amp;"",""))</f>
        <v/>
      </c>
      <c r="N1851" s="59" t="str">
        <f>IF(COUNTA(A1851:G1851)=0,"",IF(A1851="","N° devis manquant",IF(ISNA(MATCH(A1851,dv_num,0)),"Devis inconnu",IF(AND(B1851&lt;&gt;"",ISNA(MATCH(B1851,pr_code,0))),"Article inconnu",IF(H1851="","Désignation manquante",IF(OR(NOT(ISNUMBER(D1851)),N(D1851)&lt;=0),"Quantité invalide",IF(J1851="","Prix manquant",IF(OR(NOT(ISNUMBER(J1851)),N(J1851)&lt;0),"Prix invalide",IF(OR(AND(F1851&lt;&gt;"",NOT(ISNUMBER(F1851))),N(F1851)&lt;0,N(F1851)&gt;1),"Remise invalide",IF(K1851="","Taux de TVA manquant",IF(NOT(ISNUMBER(K1851)),"Taux de TVA invalide",IF(COUNTIF(p_rates,K1851)=0,"Taux de TVA hors liste (Paramètres)",IF(N(O1851)&gt;25,"Au-delà de 25 lignes : non imprimée","OK")))))))))))))</f>
        <v/>
      </c>
      <c r="O1851" s="59" t="str">
        <f>IF(A1851="","",COUNTIF($A$6:A1851,A1851))</f>
        <v/>
      </c>
      <c r="P1851" s="62" t="str">
        <f>IF(A1851="","",A1851&amp;"|"&amp;O1851)</f>
        <v/>
      </c>
    </row>
    <row r="1852">
      <c r="A1852" s="60" t="n"/>
      <c r="B1852" s="63" t="n"/>
      <c r="C1852" s="63" t="n"/>
      <c r="D1852" s="67" t="n"/>
      <c r="E1852" s="68" t="n"/>
      <c r="F1852" s="69" t="n"/>
      <c r="G1852" s="70" t="n"/>
      <c r="H1852" s="62" t="str">
        <f>IF(COUNTA(A1852:G1852)=0,"",IF(C1852&lt;&gt;"",C1852,IF(B1852="","",IFERROR(INDEX(pr_des,MATCH(B1852,pr_code,0))&amp;"",""))))</f>
        <v/>
      </c>
      <c r="I1852" s="59" t="str">
        <f>IF(B1852="","",IFERROR(INDEX(pr_unit,MATCH(B1852,pr_code,0))&amp;"",""))</f>
        <v/>
      </c>
      <c r="J1852" s="65" t="str">
        <f>IF(COUNTA(A1852:G1852)=0,"",IF(E1852&lt;&gt;"",E1852,IF(B1852="","",IFERROR(IF(INDEX(pr_price,MATCH(B1852,pr_code,0))="","",INDEX(pr_price,MATCH(B1852,pr_code,0))),""))))</f>
        <v/>
      </c>
      <c r="K1852" s="71" t="str">
        <f>IF(COUNTA(A1852:G1852)=0,"",IF(G1852&lt;&gt;"",G1852,IF(B1852="","",IFERROR(IF(INDEX(pr_rate,MATCH(B1852,pr_code,0))="","",INDEX(pr_rate,MATCH(B1852,pr_code,0))),""))))</f>
        <v/>
      </c>
      <c r="L1852" s="65" t="str">
        <f>IF(COUNTA(A1852:G1852)=0,"",IF(AND(ISNUMBER(D1852),ISNUMBER(J1852)),ROUND(D1852*J1852*(1-N(F1852)),2),0))</f>
        <v/>
      </c>
      <c r="M1852" s="62" t="str">
        <f>IF(A1852="","",IFERROR(INDEX(dv_cname,MATCH(A1852,dv_num,0))&amp;"",""))</f>
        <v/>
      </c>
      <c r="N1852" s="59" t="str">
        <f>IF(COUNTA(A1852:G1852)=0,"",IF(A1852="","N° devis manquant",IF(ISNA(MATCH(A1852,dv_num,0)),"Devis inconnu",IF(AND(B1852&lt;&gt;"",ISNA(MATCH(B1852,pr_code,0))),"Article inconnu",IF(H1852="","Désignation manquante",IF(OR(NOT(ISNUMBER(D1852)),N(D1852)&lt;=0),"Quantité invalide",IF(J1852="","Prix manquant",IF(OR(NOT(ISNUMBER(J1852)),N(J1852)&lt;0),"Prix invalide",IF(OR(AND(F1852&lt;&gt;"",NOT(ISNUMBER(F1852))),N(F1852)&lt;0,N(F1852)&gt;1),"Remise invalide",IF(K1852="","Taux de TVA manquant",IF(NOT(ISNUMBER(K1852)),"Taux de TVA invalide",IF(COUNTIF(p_rates,K1852)=0,"Taux de TVA hors liste (Paramètres)",IF(N(O1852)&gt;25,"Au-delà de 25 lignes : non imprimée","OK")))))))))))))</f>
        <v/>
      </c>
      <c r="O1852" s="59" t="str">
        <f>IF(A1852="","",COUNTIF($A$6:A1852,A1852))</f>
        <v/>
      </c>
      <c r="P1852" s="62" t="str">
        <f>IF(A1852="","",A1852&amp;"|"&amp;O1852)</f>
        <v/>
      </c>
    </row>
    <row r="1853">
      <c r="A1853" s="60" t="n"/>
      <c r="B1853" s="63" t="n"/>
      <c r="C1853" s="63" t="n"/>
      <c r="D1853" s="67" t="n"/>
      <c r="E1853" s="68" t="n"/>
      <c r="F1853" s="69" t="n"/>
      <c r="G1853" s="70" t="n"/>
      <c r="H1853" s="62" t="str">
        <f>IF(COUNTA(A1853:G1853)=0,"",IF(C1853&lt;&gt;"",C1853,IF(B1853="","",IFERROR(INDEX(pr_des,MATCH(B1853,pr_code,0))&amp;"",""))))</f>
        <v/>
      </c>
      <c r="I1853" s="59" t="str">
        <f>IF(B1853="","",IFERROR(INDEX(pr_unit,MATCH(B1853,pr_code,0))&amp;"",""))</f>
        <v/>
      </c>
      <c r="J1853" s="65" t="str">
        <f>IF(COUNTA(A1853:G1853)=0,"",IF(E1853&lt;&gt;"",E1853,IF(B1853="","",IFERROR(IF(INDEX(pr_price,MATCH(B1853,pr_code,0))="","",INDEX(pr_price,MATCH(B1853,pr_code,0))),""))))</f>
        <v/>
      </c>
      <c r="K1853" s="71" t="str">
        <f>IF(COUNTA(A1853:G1853)=0,"",IF(G1853&lt;&gt;"",G1853,IF(B1853="","",IFERROR(IF(INDEX(pr_rate,MATCH(B1853,pr_code,0))="","",INDEX(pr_rate,MATCH(B1853,pr_code,0))),""))))</f>
        <v/>
      </c>
      <c r="L1853" s="65" t="str">
        <f>IF(COUNTA(A1853:G1853)=0,"",IF(AND(ISNUMBER(D1853),ISNUMBER(J1853)),ROUND(D1853*J1853*(1-N(F1853)),2),0))</f>
        <v/>
      </c>
      <c r="M1853" s="62" t="str">
        <f>IF(A1853="","",IFERROR(INDEX(dv_cname,MATCH(A1853,dv_num,0))&amp;"",""))</f>
        <v/>
      </c>
      <c r="N1853" s="59" t="str">
        <f>IF(COUNTA(A1853:G1853)=0,"",IF(A1853="","N° devis manquant",IF(ISNA(MATCH(A1853,dv_num,0)),"Devis inconnu",IF(AND(B1853&lt;&gt;"",ISNA(MATCH(B1853,pr_code,0))),"Article inconnu",IF(H1853="","Désignation manquante",IF(OR(NOT(ISNUMBER(D1853)),N(D1853)&lt;=0),"Quantité invalide",IF(J1853="","Prix manquant",IF(OR(NOT(ISNUMBER(J1853)),N(J1853)&lt;0),"Prix invalide",IF(OR(AND(F1853&lt;&gt;"",NOT(ISNUMBER(F1853))),N(F1853)&lt;0,N(F1853)&gt;1),"Remise invalide",IF(K1853="","Taux de TVA manquant",IF(NOT(ISNUMBER(K1853)),"Taux de TVA invalide",IF(COUNTIF(p_rates,K1853)=0,"Taux de TVA hors liste (Paramètres)",IF(N(O1853)&gt;25,"Au-delà de 25 lignes : non imprimée","OK")))))))))))))</f>
        <v/>
      </c>
      <c r="O1853" s="59" t="str">
        <f>IF(A1853="","",COUNTIF($A$6:A1853,A1853))</f>
        <v/>
      </c>
      <c r="P1853" s="62" t="str">
        <f>IF(A1853="","",A1853&amp;"|"&amp;O1853)</f>
        <v/>
      </c>
    </row>
    <row r="1854">
      <c r="A1854" s="60" t="n"/>
      <c r="B1854" s="63" t="n"/>
      <c r="C1854" s="63" t="n"/>
      <c r="D1854" s="67" t="n"/>
      <c r="E1854" s="68" t="n"/>
      <c r="F1854" s="69" t="n"/>
      <c r="G1854" s="70" t="n"/>
      <c r="H1854" s="62" t="str">
        <f>IF(COUNTA(A1854:G1854)=0,"",IF(C1854&lt;&gt;"",C1854,IF(B1854="","",IFERROR(INDEX(pr_des,MATCH(B1854,pr_code,0))&amp;"",""))))</f>
        <v/>
      </c>
      <c r="I1854" s="59" t="str">
        <f>IF(B1854="","",IFERROR(INDEX(pr_unit,MATCH(B1854,pr_code,0))&amp;"",""))</f>
        <v/>
      </c>
      <c r="J1854" s="65" t="str">
        <f>IF(COUNTA(A1854:G1854)=0,"",IF(E1854&lt;&gt;"",E1854,IF(B1854="","",IFERROR(IF(INDEX(pr_price,MATCH(B1854,pr_code,0))="","",INDEX(pr_price,MATCH(B1854,pr_code,0))),""))))</f>
        <v/>
      </c>
      <c r="K1854" s="71" t="str">
        <f>IF(COUNTA(A1854:G1854)=0,"",IF(G1854&lt;&gt;"",G1854,IF(B1854="","",IFERROR(IF(INDEX(pr_rate,MATCH(B1854,pr_code,0))="","",INDEX(pr_rate,MATCH(B1854,pr_code,0))),""))))</f>
        <v/>
      </c>
      <c r="L1854" s="65" t="str">
        <f>IF(COUNTA(A1854:G1854)=0,"",IF(AND(ISNUMBER(D1854),ISNUMBER(J1854)),ROUND(D1854*J1854*(1-N(F1854)),2),0))</f>
        <v/>
      </c>
      <c r="M1854" s="62" t="str">
        <f>IF(A1854="","",IFERROR(INDEX(dv_cname,MATCH(A1854,dv_num,0))&amp;"",""))</f>
        <v/>
      </c>
      <c r="N1854" s="59" t="str">
        <f>IF(COUNTA(A1854:G1854)=0,"",IF(A1854="","N° devis manquant",IF(ISNA(MATCH(A1854,dv_num,0)),"Devis inconnu",IF(AND(B1854&lt;&gt;"",ISNA(MATCH(B1854,pr_code,0))),"Article inconnu",IF(H1854="","Désignation manquante",IF(OR(NOT(ISNUMBER(D1854)),N(D1854)&lt;=0),"Quantité invalide",IF(J1854="","Prix manquant",IF(OR(NOT(ISNUMBER(J1854)),N(J1854)&lt;0),"Prix invalide",IF(OR(AND(F1854&lt;&gt;"",NOT(ISNUMBER(F1854))),N(F1854)&lt;0,N(F1854)&gt;1),"Remise invalide",IF(K1854="","Taux de TVA manquant",IF(NOT(ISNUMBER(K1854)),"Taux de TVA invalide",IF(COUNTIF(p_rates,K1854)=0,"Taux de TVA hors liste (Paramètres)",IF(N(O1854)&gt;25,"Au-delà de 25 lignes : non imprimée","OK")))))))))))))</f>
        <v/>
      </c>
      <c r="O1854" s="59" t="str">
        <f>IF(A1854="","",COUNTIF($A$6:A1854,A1854))</f>
        <v/>
      </c>
      <c r="P1854" s="62" t="str">
        <f>IF(A1854="","",A1854&amp;"|"&amp;O1854)</f>
        <v/>
      </c>
    </row>
    <row r="1855">
      <c r="A1855" s="60" t="n"/>
      <c r="B1855" s="63" t="n"/>
      <c r="C1855" s="63" t="n"/>
      <c r="D1855" s="67" t="n"/>
      <c r="E1855" s="68" t="n"/>
      <c r="F1855" s="69" t="n"/>
      <c r="G1855" s="70" t="n"/>
      <c r="H1855" s="62" t="str">
        <f>IF(COUNTA(A1855:G1855)=0,"",IF(C1855&lt;&gt;"",C1855,IF(B1855="","",IFERROR(INDEX(pr_des,MATCH(B1855,pr_code,0))&amp;"",""))))</f>
        <v/>
      </c>
      <c r="I1855" s="59" t="str">
        <f>IF(B1855="","",IFERROR(INDEX(pr_unit,MATCH(B1855,pr_code,0))&amp;"",""))</f>
        <v/>
      </c>
      <c r="J1855" s="65" t="str">
        <f>IF(COUNTA(A1855:G1855)=0,"",IF(E1855&lt;&gt;"",E1855,IF(B1855="","",IFERROR(IF(INDEX(pr_price,MATCH(B1855,pr_code,0))="","",INDEX(pr_price,MATCH(B1855,pr_code,0))),""))))</f>
        <v/>
      </c>
      <c r="K1855" s="71" t="str">
        <f>IF(COUNTA(A1855:G1855)=0,"",IF(G1855&lt;&gt;"",G1855,IF(B1855="","",IFERROR(IF(INDEX(pr_rate,MATCH(B1855,pr_code,0))="","",INDEX(pr_rate,MATCH(B1855,pr_code,0))),""))))</f>
        <v/>
      </c>
      <c r="L1855" s="65" t="str">
        <f>IF(COUNTA(A1855:G1855)=0,"",IF(AND(ISNUMBER(D1855),ISNUMBER(J1855)),ROUND(D1855*J1855*(1-N(F1855)),2),0))</f>
        <v/>
      </c>
      <c r="M1855" s="62" t="str">
        <f>IF(A1855="","",IFERROR(INDEX(dv_cname,MATCH(A1855,dv_num,0))&amp;"",""))</f>
        <v/>
      </c>
      <c r="N1855" s="59" t="str">
        <f>IF(COUNTA(A1855:G1855)=0,"",IF(A1855="","N° devis manquant",IF(ISNA(MATCH(A1855,dv_num,0)),"Devis inconnu",IF(AND(B1855&lt;&gt;"",ISNA(MATCH(B1855,pr_code,0))),"Article inconnu",IF(H1855="","Désignation manquante",IF(OR(NOT(ISNUMBER(D1855)),N(D1855)&lt;=0),"Quantité invalide",IF(J1855="","Prix manquant",IF(OR(NOT(ISNUMBER(J1855)),N(J1855)&lt;0),"Prix invalide",IF(OR(AND(F1855&lt;&gt;"",NOT(ISNUMBER(F1855))),N(F1855)&lt;0,N(F1855)&gt;1),"Remise invalide",IF(K1855="","Taux de TVA manquant",IF(NOT(ISNUMBER(K1855)),"Taux de TVA invalide",IF(COUNTIF(p_rates,K1855)=0,"Taux de TVA hors liste (Paramètres)",IF(N(O1855)&gt;25,"Au-delà de 25 lignes : non imprimée","OK")))))))))))))</f>
        <v/>
      </c>
      <c r="O1855" s="59" t="str">
        <f>IF(A1855="","",COUNTIF($A$6:A1855,A1855))</f>
        <v/>
      </c>
      <c r="P1855" s="62" t="str">
        <f>IF(A1855="","",A1855&amp;"|"&amp;O1855)</f>
        <v/>
      </c>
    </row>
    <row r="1856">
      <c r="A1856" s="60" t="n"/>
      <c r="B1856" s="63" t="n"/>
      <c r="C1856" s="63" t="n"/>
      <c r="D1856" s="67" t="n"/>
      <c r="E1856" s="68" t="n"/>
      <c r="F1856" s="69" t="n"/>
      <c r="G1856" s="70" t="n"/>
      <c r="H1856" s="62" t="str">
        <f>IF(COUNTA(A1856:G1856)=0,"",IF(C1856&lt;&gt;"",C1856,IF(B1856="","",IFERROR(INDEX(pr_des,MATCH(B1856,pr_code,0))&amp;"",""))))</f>
        <v/>
      </c>
      <c r="I1856" s="59" t="str">
        <f>IF(B1856="","",IFERROR(INDEX(pr_unit,MATCH(B1856,pr_code,0))&amp;"",""))</f>
        <v/>
      </c>
      <c r="J1856" s="65" t="str">
        <f>IF(COUNTA(A1856:G1856)=0,"",IF(E1856&lt;&gt;"",E1856,IF(B1856="","",IFERROR(IF(INDEX(pr_price,MATCH(B1856,pr_code,0))="","",INDEX(pr_price,MATCH(B1856,pr_code,0))),""))))</f>
        <v/>
      </c>
      <c r="K1856" s="71" t="str">
        <f>IF(COUNTA(A1856:G1856)=0,"",IF(G1856&lt;&gt;"",G1856,IF(B1856="","",IFERROR(IF(INDEX(pr_rate,MATCH(B1856,pr_code,0))="","",INDEX(pr_rate,MATCH(B1856,pr_code,0))),""))))</f>
        <v/>
      </c>
      <c r="L1856" s="65" t="str">
        <f>IF(COUNTA(A1856:G1856)=0,"",IF(AND(ISNUMBER(D1856),ISNUMBER(J1856)),ROUND(D1856*J1856*(1-N(F1856)),2),0))</f>
        <v/>
      </c>
      <c r="M1856" s="62" t="str">
        <f>IF(A1856="","",IFERROR(INDEX(dv_cname,MATCH(A1856,dv_num,0))&amp;"",""))</f>
        <v/>
      </c>
      <c r="N1856" s="59" t="str">
        <f>IF(COUNTA(A1856:G1856)=0,"",IF(A1856="","N° devis manquant",IF(ISNA(MATCH(A1856,dv_num,0)),"Devis inconnu",IF(AND(B1856&lt;&gt;"",ISNA(MATCH(B1856,pr_code,0))),"Article inconnu",IF(H1856="","Désignation manquante",IF(OR(NOT(ISNUMBER(D1856)),N(D1856)&lt;=0),"Quantité invalide",IF(J1856="","Prix manquant",IF(OR(NOT(ISNUMBER(J1856)),N(J1856)&lt;0),"Prix invalide",IF(OR(AND(F1856&lt;&gt;"",NOT(ISNUMBER(F1856))),N(F1856)&lt;0,N(F1856)&gt;1),"Remise invalide",IF(K1856="","Taux de TVA manquant",IF(NOT(ISNUMBER(K1856)),"Taux de TVA invalide",IF(COUNTIF(p_rates,K1856)=0,"Taux de TVA hors liste (Paramètres)",IF(N(O1856)&gt;25,"Au-delà de 25 lignes : non imprimée","OK")))))))))))))</f>
        <v/>
      </c>
      <c r="O1856" s="59" t="str">
        <f>IF(A1856="","",COUNTIF($A$6:A1856,A1856))</f>
        <v/>
      </c>
      <c r="P1856" s="62" t="str">
        <f>IF(A1856="","",A1856&amp;"|"&amp;O1856)</f>
        <v/>
      </c>
    </row>
    <row r="1857">
      <c r="A1857" s="60" t="n"/>
      <c r="B1857" s="63" t="n"/>
      <c r="C1857" s="63" t="n"/>
      <c r="D1857" s="67" t="n"/>
      <c r="E1857" s="68" t="n"/>
      <c r="F1857" s="69" t="n"/>
      <c r="G1857" s="70" t="n"/>
      <c r="H1857" s="62" t="str">
        <f>IF(COUNTA(A1857:G1857)=0,"",IF(C1857&lt;&gt;"",C1857,IF(B1857="","",IFERROR(INDEX(pr_des,MATCH(B1857,pr_code,0))&amp;"",""))))</f>
        <v/>
      </c>
      <c r="I1857" s="59" t="str">
        <f>IF(B1857="","",IFERROR(INDEX(pr_unit,MATCH(B1857,pr_code,0))&amp;"",""))</f>
        <v/>
      </c>
      <c r="J1857" s="65" t="str">
        <f>IF(COUNTA(A1857:G1857)=0,"",IF(E1857&lt;&gt;"",E1857,IF(B1857="","",IFERROR(IF(INDEX(pr_price,MATCH(B1857,pr_code,0))="","",INDEX(pr_price,MATCH(B1857,pr_code,0))),""))))</f>
        <v/>
      </c>
      <c r="K1857" s="71" t="str">
        <f>IF(COUNTA(A1857:G1857)=0,"",IF(G1857&lt;&gt;"",G1857,IF(B1857="","",IFERROR(IF(INDEX(pr_rate,MATCH(B1857,pr_code,0))="","",INDEX(pr_rate,MATCH(B1857,pr_code,0))),""))))</f>
        <v/>
      </c>
      <c r="L1857" s="65" t="str">
        <f>IF(COUNTA(A1857:G1857)=0,"",IF(AND(ISNUMBER(D1857),ISNUMBER(J1857)),ROUND(D1857*J1857*(1-N(F1857)),2),0))</f>
        <v/>
      </c>
      <c r="M1857" s="62" t="str">
        <f>IF(A1857="","",IFERROR(INDEX(dv_cname,MATCH(A1857,dv_num,0))&amp;"",""))</f>
        <v/>
      </c>
      <c r="N1857" s="59" t="str">
        <f>IF(COUNTA(A1857:G1857)=0,"",IF(A1857="","N° devis manquant",IF(ISNA(MATCH(A1857,dv_num,0)),"Devis inconnu",IF(AND(B1857&lt;&gt;"",ISNA(MATCH(B1857,pr_code,0))),"Article inconnu",IF(H1857="","Désignation manquante",IF(OR(NOT(ISNUMBER(D1857)),N(D1857)&lt;=0),"Quantité invalide",IF(J1857="","Prix manquant",IF(OR(NOT(ISNUMBER(J1857)),N(J1857)&lt;0),"Prix invalide",IF(OR(AND(F1857&lt;&gt;"",NOT(ISNUMBER(F1857))),N(F1857)&lt;0,N(F1857)&gt;1),"Remise invalide",IF(K1857="","Taux de TVA manquant",IF(NOT(ISNUMBER(K1857)),"Taux de TVA invalide",IF(COUNTIF(p_rates,K1857)=0,"Taux de TVA hors liste (Paramètres)",IF(N(O1857)&gt;25,"Au-delà de 25 lignes : non imprimée","OK")))))))))))))</f>
        <v/>
      </c>
      <c r="O1857" s="59" t="str">
        <f>IF(A1857="","",COUNTIF($A$6:A1857,A1857))</f>
        <v/>
      </c>
      <c r="P1857" s="62" t="str">
        <f>IF(A1857="","",A1857&amp;"|"&amp;O1857)</f>
        <v/>
      </c>
    </row>
    <row r="1858">
      <c r="A1858" s="60" t="n"/>
      <c r="B1858" s="63" t="n"/>
      <c r="C1858" s="63" t="n"/>
      <c r="D1858" s="67" t="n"/>
      <c r="E1858" s="68" t="n"/>
      <c r="F1858" s="69" t="n"/>
      <c r="G1858" s="70" t="n"/>
      <c r="H1858" s="62" t="str">
        <f>IF(COUNTA(A1858:G1858)=0,"",IF(C1858&lt;&gt;"",C1858,IF(B1858="","",IFERROR(INDEX(pr_des,MATCH(B1858,pr_code,0))&amp;"",""))))</f>
        <v/>
      </c>
      <c r="I1858" s="59" t="str">
        <f>IF(B1858="","",IFERROR(INDEX(pr_unit,MATCH(B1858,pr_code,0))&amp;"",""))</f>
        <v/>
      </c>
      <c r="J1858" s="65" t="str">
        <f>IF(COUNTA(A1858:G1858)=0,"",IF(E1858&lt;&gt;"",E1858,IF(B1858="","",IFERROR(IF(INDEX(pr_price,MATCH(B1858,pr_code,0))="","",INDEX(pr_price,MATCH(B1858,pr_code,0))),""))))</f>
        <v/>
      </c>
      <c r="K1858" s="71" t="str">
        <f>IF(COUNTA(A1858:G1858)=0,"",IF(G1858&lt;&gt;"",G1858,IF(B1858="","",IFERROR(IF(INDEX(pr_rate,MATCH(B1858,pr_code,0))="","",INDEX(pr_rate,MATCH(B1858,pr_code,0))),""))))</f>
        <v/>
      </c>
      <c r="L1858" s="65" t="str">
        <f>IF(COUNTA(A1858:G1858)=0,"",IF(AND(ISNUMBER(D1858),ISNUMBER(J1858)),ROUND(D1858*J1858*(1-N(F1858)),2),0))</f>
        <v/>
      </c>
      <c r="M1858" s="62" t="str">
        <f>IF(A1858="","",IFERROR(INDEX(dv_cname,MATCH(A1858,dv_num,0))&amp;"",""))</f>
        <v/>
      </c>
      <c r="N1858" s="59" t="str">
        <f>IF(COUNTA(A1858:G1858)=0,"",IF(A1858="","N° devis manquant",IF(ISNA(MATCH(A1858,dv_num,0)),"Devis inconnu",IF(AND(B1858&lt;&gt;"",ISNA(MATCH(B1858,pr_code,0))),"Article inconnu",IF(H1858="","Désignation manquante",IF(OR(NOT(ISNUMBER(D1858)),N(D1858)&lt;=0),"Quantité invalide",IF(J1858="","Prix manquant",IF(OR(NOT(ISNUMBER(J1858)),N(J1858)&lt;0),"Prix invalide",IF(OR(AND(F1858&lt;&gt;"",NOT(ISNUMBER(F1858))),N(F1858)&lt;0,N(F1858)&gt;1),"Remise invalide",IF(K1858="","Taux de TVA manquant",IF(NOT(ISNUMBER(K1858)),"Taux de TVA invalide",IF(COUNTIF(p_rates,K1858)=0,"Taux de TVA hors liste (Paramètres)",IF(N(O1858)&gt;25,"Au-delà de 25 lignes : non imprimée","OK")))))))))))))</f>
        <v/>
      </c>
      <c r="O1858" s="59" t="str">
        <f>IF(A1858="","",COUNTIF($A$6:A1858,A1858))</f>
        <v/>
      </c>
      <c r="P1858" s="62" t="str">
        <f>IF(A1858="","",A1858&amp;"|"&amp;O1858)</f>
        <v/>
      </c>
    </row>
    <row r="1859">
      <c r="A1859" s="60" t="n"/>
      <c r="B1859" s="63" t="n"/>
      <c r="C1859" s="63" t="n"/>
      <c r="D1859" s="67" t="n"/>
      <c r="E1859" s="68" t="n"/>
      <c r="F1859" s="69" t="n"/>
      <c r="G1859" s="70" t="n"/>
      <c r="H1859" s="62" t="str">
        <f>IF(COUNTA(A1859:G1859)=0,"",IF(C1859&lt;&gt;"",C1859,IF(B1859="","",IFERROR(INDEX(pr_des,MATCH(B1859,pr_code,0))&amp;"",""))))</f>
        <v/>
      </c>
      <c r="I1859" s="59" t="str">
        <f>IF(B1859="","",IFERROR(INDEX(pr_unit,MATCH(B1859,pr_code,0))&amp;"",""))</f>
        <v/>
      </c>
      <c r="J1859" s="65" t="str">
        <f>IF(COUNTA(A1859:G1859)=0,"",IF(E1859&lt;&gt;"",E1859,IF(B1859="","",IFERROR(IF(INDEX(pr_price,MATCH(B1859,pr_code,0))="","",INDEX(pr_price,MATCH(B1859,pr_code,0))),""))))</f>
        <v/>
      </c>
      <c r="K1859" s="71" t="str">
        <f>IF(COUNTA(A1859:G1859)=0,"",IF(G1859&lt;&gt;"",G1859,IF(B1859="","",IFERROR(IF(INDEX(pr_rate,MATCH(B1859,pr_code,0))="","",INDEX(pr_rate,MATCH(B1859,pr_code,0))),""))))</f>
        <v/>
      </c>
      <c r="L1859" s="65" t="str">
        <f>IF(COUNTA(A1859:G1859)=0,"",IF(AND(ISNUMBER(D1859),ISNUMBER(J1859)),ROUND(D1859*J1859*(1-N(F1859)),2),0))</f>
        <v/>
      </c>
      <c r="M1859" s="62" t="str">
        <f>IF(A1859="","",IFERROR(INDEX(dv_cname,MATCH(A1859,dv_num,0))&amp;"",""))</f>
        <v/>
      </c>
      <c r="N1859" s="59" t="str">
        <f>IF(COUNTA(A1859:G1859)=0,"",IF(A1859="","N° devis manquant",IF(ISNA(MATCH(A1859,dv_num,0)),"Devis inconnu",IF(AND(B1859&lt;&gt;"",ISNA(MATCH(B1859,pr_code,0))),"Article inconnu",IF(H1859="","Désignation manquante",IF(OR(NOT(ISNUMBER(D1859)),N(D1859)&lt;=0),"Quantité invalide",IF(J1859="","Prix manquant",IF(OR(NOT(ISNUMBER(J1859)),N(J1859)&lt;0),"Prix invalide",IF(OR(AND(F1859&lt;&gt;"",NOT(ISNUMBER(F1859))),N(F1859)&lt;0,N(F1859)&gt;1),"Remise invalide",IF(K1859="","Taux de TVA manquant",IF(NOT(ISNUMBER(K1859)),"Taux de TVA invalide",IF(COUNTIF(p_rates,K1859)=0,"Taux de TVA hors liste (Paramètres)",IF(N(O1859)&gt;25,"Au-delà de 25 lignes : non imprimée","OK")))))))))))))</f>
        <v/>
      </c>
      <c r="O1859" s="59" t="str">
        <f>IF(A1859="","",COUNTIF($A$6:A1859,A1859))</f>
        <v/>
      </c>
      <c r="P1859" s="62" t="str">
        <f>IF(A1859="","",A1859&amp;"|"&amp;O1859)</f>
        <v/>
      </c>
    </row>
    <row r="1860">
      <c r="A1860" s="60" t="n"/>
      <c r="B1860" s="63" t="n"/>
      <c r="C1860" s="63" t="n"/>
      <c r="D1860" s="67" t="n"/>
      <c r="E1860" s="68" t="n"/>
      <c r="F1860" s="69" t="n"/>
      <c r="G1860" s="70" t="n"/>
      <c r="H1860" s="62" t="str">
        <f>IF(COUNTA(A1860:G1860)=0,"",IF(C1860&lt;&gt;"",C1860,IF(B1860="","",IFERROR(INDEX(pr_des,MATCH(B1860,pr_code,0))&amp;"",""))))</f>
        <v/>
      </c>
      <c r="I1860" s="59" t="str">
        <f>IF(B1860="","",IFERROR(INDEX(pr_unit,MATCH(B1860,pr_code,0))&amp;"",""))</f>
        <v/>
      </c>
      <c r="J1860" s="65" t="str">
        <f>IF(COUNTA(A1860:G1860)=0,"",IF(E1860&lt;&gt;"",E1860,IF(B1860="","",IFERROR(IF(INDEX(pr_price,MATCH(B1860,pr_code,0))="","",INDEX(pr_price,MATCH(B1860,pr_code,0))),""))))</f>
        <v/>
      </c>
      <c r="K1860" s="71" t="str">
        <f>IF(COUNTA(A1860:G1860)=0,"",IF(G1860&lt;&gt;"",G1860,IF(B1860="","",IFERROR(IF(INDEX(pr_rate,MATCH(B1860,pr_code,0))="","",INDEX(pr_rate,MATCH(B1860,pr_code,0))),""))))</f>
        <v/>
      </c>
      <c r="L1860" s="65" t="str">
        <f>IF(COUNTA(A1860:G1860)=0,"",IF(AND(ISNUMBER(D1860),ISNUMBER(J1860)),ROUND(D1860*J1860*(1-N(F1860)),2),0))</f>
        <v/>
      </c>
      <c r="M1860" s="62" t="str">
        <f>IF(A1860="","",IFERROR(INDEX(dv_cname,MATCH(A1860,dv_num,0))&amp;"",""))</f>
        <v/>
      </c>
      <c r="N1860" s="59" t="str">
        <f>IF(COUNTA(A1860:G1860)=0,"",IF(A1860="","N° devis manquant",IF(ISNA(MATCH(A1860,dv_num,0)),"Devis inconnu",IF(AND(B1860&lt;&gt;"",ISNA(MATCH(B1860,pr_code,0))),"Article inconnu",IF(H1860="","Désignation manquante",IF(OR(NOT(ISNUMBER(D1860)),N(D1860)&lt;=0),"Quantité invalide",IF(J1860="","Prix manquant",IF(OR(NOT(ISNUMBER(J1860)),N(J1860)&lt;0),"Prix invalide",IF(OR(AND(F1860&lt;&gt;"",NOT(ISNUMBER(F1860))),N(F1860)&lt;0,N(F1860)&gt;1),"Remise invalide",IF(K1860="","Taux de TVA manquant",IF(NOT(ISNUMBER(K1860)),"Taux de TVA invalide",IF(COUNTIF(p_rates,K1860)=0,"Taux de TVA hors liste (Paramètres)",IF(N(O1860)&gt;25,"Au-delà de 25 lignes : non imprimée","OK")))))))))))))</f>
        <v/>
      </c>
      <c r="O1860" s="59" t="str">
        <f>IF(A1860="","",COUNTIF($A$6:A1860,A1860))</f>
        <v/>
      </c>
      <c r="P1860" s="62" t="str">
        <f>IF(A1860="","",A1860&amp;"|"&amp;O1860)</f>
        <v/>
      </c>
    </row>
    <row r="1861">
      <c r="A1861" s="60" t="n"/>
      <c r="B1861" s="63" t="n"/>
      <c r="C1861" s="63" t="n"/>
      <c r="D1861" s="67" t="n"/>
      <c r="E1861" s="68" t="n"/>
      <c r="F1861" s="69" t="n"/>
      <c r="G1861" s="70" t="n"/>
      <c r="H1861" s="62" t="str">
        <f>IF(COUNTA(A1861:G1861)=0,"",IF(C1861&lt;&gt;"",C1861,IF(B1861="","",IFERROR(INDEX(pr_des,MATCH(B1861,pr_code,0))&amp;"",""))))</f>
        <v/>
      </c>
      <c r="I1861" s="59" t="str">
        <f>IF(B1861="","",IFERROR(INDEX(pr_unit,MATCH(B1861,pr_code,0))&amp;"",""))</f>
        <v/>
      </c>
      <c r="J1861" s="65" t="str">
        <f>IF(COUNTA(A1861:G1861)=0,"",IF(E1861&lt;&gt;"",E1861,IF(B1861="","",IFERROR(IF(INDEX(pr_price,MATCH(B1861,pr_code,0))="","",INDEX(pr_price,MATCH(B1861,pr_code,0))),""))))</f>
        <v/>
      </c>
      <c r="K1861" s="71" t="str">
        <f>IF(COUNTA(A1861:G1861)=0,"",IF(G1861&lt;&gt;"",G1861,IF(B1861="","",IFERROR(IF(INDEX(pr_rate,MATCH(B1861,pr_code,0))="","",INDEX(pr_rate,MATCH(B1861,pr_code,0))),""))))</f>
        <v/>
      </c>
      <c r="L1861" s="65" t="str">
        <f>IF(COUNTA(A1861:G1861)=0,"",IF(AND(ISNUMBER(D1861),ISNUMBER(J1861)),ROUND(D1861*J1861*(1-N(F1861)),2),0))</f>
        <v/>
      </c>
      <c r="M1861" s="62" t="str">
        <f>IF(A1861="","",IFERROR(INDEX(dv_cname,MATCH(A1861,dv_num,0))&amp;"",""))</f>
        <v/>
      </c>
      <c r="N1861" s="59" t="str">
        <f>IF(COUNTA(A1861:G1861)=0,"",IF(A1861="","N° devis manquant",IF(ISNA(MATCH(A1861,dv_num,0)),"Devis inconnu",IF(AND(B1861&lt;&gt;"",ISNA(MATCH(B1861,pr_code,0))),"Article inconnu",IF(H1861="","Désignation manquante",IF(OR(NOT(ISNUMBER(D1861)),N(D1861)&lt;=0),"Quantité invalide",IF(J1861="","Prix manquant",IF(OR(NOT(ISNUMBER(J1861)),N(J1861)&lt;0),"Prix invalide",IF(OR(AND(F1861&lt;&gt;"",NOT(ISNUMBER(F1861))),N(F1861)&lt;0,N(F1861)&gt;1),"Remise invalide",IF(K1861="","Taux de TVA manquant",IF(NOT(ISNUMBER(K1861)),"Taux de TVA invalide",IF(COUNTIF(p_rates,K1861)=0,"Taux de TVA hors liste (Paramètres)",IF(N(O1861)&gt;25,"Au-delà de 25 lignes : non imprimée","OK")))))))))))))</f>
        <v/>
      </c>
      <c r="O1861" s="59" t="str">
        <f>IF(A1861="","",COUNTIF($A$6:A1861,A1861))</f>
        <v/>
      </c>
      <c r="P1861" s="62" t="str">
        <f>IF(A1861="","",A1861&amp;"|"&amp;O1861)</f>
        <v/>
      </c>
    </row>
    <row r="1862">
      <c r="A1862" s="60" t="n"/>
      <c r="B1862" s="63" t="n"/>
      <c r="C1862" s="63" t="n"/>
      <c r="D1862" s="67" t="n"/>
      <c r="E1862" s="68" t="n"/>
      <c r="F1862" s="69" t="n"/>
      <c r="G1862" s="70" t="n"/>
      <c r="H1862" s="62" t="str">
        <f>IF(COUNTA(A1862:G1862)=0,"",IF(C1862&lt;&gt;"",C1862,IF(B1862="","",IFERROR(INDEX(pr_des,MATCH(B1862,pr_code,0))&amp;"",""))))</f>
        <v/>
      </c>
      <c r="I1862" s="59" t="str">
        <f>IF(B1862="","",IFERROR(INDEX(pr_unit,MATCH(B1862,pr_code,0))&amp;"",""))</f>
        <v/>
      </c>
      <c r="J1862" s="65" t="str">
        <f>IF(COUNTA(A1862:G1862)=0,"",IF(E1862&lt;&gt;"",E1862,IF(B1862="","",IFERROR(IF(INDEX(pr_price,MATCH(B1862,pr_code,0))="","",INDEX(pr_price,MATCH(B1862,pr_code,0))),""))))</f>
        <v/>
      </c>
      <c r="K1862" s="71" t="str">
        <f>IF(COUNTA(A1862:G1862)=0,"",IF(G1862&lt;&gt;"",G1862,IF(B1862="","",IFERROR(IF(INDEX(pr_rate,MATCH(B1862,pr_code,0))="","",INDEX(pr_rate,MATCH(B1862,pr_code,0))),""))))</f>
        <v/>
      </c>
      <c r="L1862" s="65" t="str">
        <f>IF(COUNTA(A1862:G1862)=0,"",IF(AND(ISNUMBER(D1862),ISNUMBER(J1862)),ROUND(D1862*J1862*(1-N(F1862)),2),0))</f>
        <v/>
      </c>
      <c r="M1862" s="62" t="str">
        <f>IF(A1862="","",IFERROR(INDEX(dv_cname,MATCH(A1862,dv_num,0))&amp;"",""))</f>
        <v/>
      </c>
      <c r="N1862" s="59" t="str">
        <f>IF(COUNTA(A1862:G1862)=0,"",IF(A1862="","N° devis manquant",IF(ISNA(MATCH(A1862,dv_num,0)),"Devis inconnu",IF(AND(B1862&lt;&gt;"",ISNA(MATCH(B1862,pr_code,0))),"Article inconnu",IF(H1862="","Désignation manquante",IF(OR(NOT(ISNUMBER(D1862)),N(D1862)&lt;=0),"Quantité invalide",IF(J1862="","Prix manquant",IF(OR(NOT(ISNUMBER(J1862)),N(J1862)&lt;0),"Prix invalide",IF(OR(AND(F1862&lt;&gt;"",NOT(ISNUMBER(F1862))),N(F1862)&lt;0,N(F1862)&gt;1),"Remise invalide",IF(K1862="","Taux de TVA manquant",IF(NOT(ISNUMBER(K1862)),"Taux de TVA invalide",IF(COUNTIF(p_rates,K1862)=0,"Taux de TVA hors liste (Paramètres)",IF(N(O1862)&gt;25,"Au-delà de 25 lignes : non imprimée","OK")))))))))))))</f>
        <v/>
      </c>
      <c r="O1862" s="59" t="str">
        <f>IF(A1862="","",COUNTIF($A$6:A1862,A1862))</f>
        <v/>
      </c>
      <c r="P1862" s="62" t="str">
        <f>IF(A1862="","",A1862&amp;"|"&amp;O1862)</f>
        <v/>
      </c>
    </row>
    <row r="1863">
      <c r="A1863" s="60" t="n"/>
      <c r="B1863" s="63" t="n"/>
      <c r="C1863" s="63" t="n"/>
      <c r="D1863" s="67" t="n"/>
      <c r="E1863" s="68" t="n"/>
      <c r="F1863" s="69" t="n"/>
      <c r="G1863" s="70" t="n"/>
      <c r="H1863" s="62" t="str">
        <f>IF(COUNTA(A1863:G1863)=0,"",IF(C1863&lt;&gt;"",C1863,IF(B1863="","",IFERROR(INDEX(pr_des,MATCH(B1863,pr_code,0))&amp;"",""))))</f>
        <v/>
      </c>
      <c r="I1863" s="59" t="str">
        <f>IF(B1863="","",IFERROR(INDEX(pr_unit,MATCH(B1863,pr_code,0))&amp;"",""))</f>
        <v/>
      </c>
      <c r="J1863" s="65" t="str">
        <f>IF(COUNTA(A1863:G1863)=0,"",IF(E1863&lt;&gt;"",E1863,IF(B1863="","",IFERROR(IF(INDEX(pr_price,MATCH(B1863,pr_code,0))="","",INDEX(pr_price,MATCH(B1863,pr_code,0))),""))))</f>
        <v/>
      </c>
      <c r="K1863" s="71" t="str">
        <f>IF(COUNTA(A1863:G1863)=0,"",IF(G1863&lt;&gt;"",G1863,IF(B1863="","",IFERROR(IF(INDEX(pr_rate,MATCH(B1863,pr_code,0))="","",INDEX(pr_rate,MATCH(B1863,pr_code,0))),""))))</f>
        <v/>
      </c>
      <c r="L1863" s="65" t="str">
        <f>IF(COUNTA(A1863:G1863)=0,"",IF(AND(ISNUMBER(D1863),ISNUMBER(J1863)),ROUND(D1863*J1863*(1-N(F1863)),2),0))</f>
        <v/>
      </c>
      <c r="M1863" s="62" t="str">
        <f>IF(A1863="","",IFERROR(INDEX(dv_cname,MATCH(A1863,dv_num,0))&amp;"",""))</f>
        <v/>
      </c>
      <c r="N1863" s="59" t="str">
        <f>IF(COUNTA(A1863:G1863)=0,"",IF(A1863="","N° devis manquant",IF(ISNA(MATCH(A1863,dv_num,0)),"Devis inconnu",IF(AND(B1863&lt;&gt;"",ISNA(MATCH(B1863,pr_code,0))),"Article inconnu",IF(H1863="","Désignation manquante",IF(OR(NOT(ISNUMBER(D1863)),N(D1863)&lt;=0),"Quantité invalide",IF(J1863="","Prix manquant",IF(OR(NOT(ISNUMBER(J1863)),N(J1863)&lt;0),"Prix invalide",IF(OR(AND(F1863&lt;&gt;"",NOT(ISNUMBER(F1863))),N(F1863)&lt;0,N(F1863)&gt;1),"Remise invalide",IF(K1863="","Taux de TVA manquant",IF(NOT(ISNUMBER(K1863)),"Taux de TVA invalide",IF(COUNTIF(p_rates,K1863)=0,"Taux de TVA hors liste (Paramètres)",IF(N(O1863)&gt;25,"Au-delà de 25 lignes : non imprimée","OK")))))))))))))</f>
        <v/>
      </c>
      <c r="O1863" s="59" t="str">
        <f>IF(A1863="","",COUNTIF($A$6:A1863,A1863))</f>
        <v/>
      </c>
      <c r="P1863" s="62" t="str">
        <f>IF(A1863="","",A1863&amp;"|"&amp;O1863)</f>
        <v/>
      </c>
    </row>
    <row r="1864">
      <c r="A1864" s="60" t="n"/>
      <c r="B1864" s="63" t="n"/>
      <c r="C1864" s="63" t="n"/>
      <c r="D1864" s="67" t="n"/>
      <c r="E1864" s="68" t="n"/>
      <c r="F1864" s="69" t="n"/>
      <c r="G1864" s="70" t="n"/>
      <c r="H1864" s="62" t="str">
        <f>IF(COUNTA(A1864:G1864)=0,"",IF(C1864&lt;&gt;"",C1864,IF(B1864="","",IFERROR(INDEX(pr_des,MATCH(B1864,pr_code,0))&amp;"",""))))</f>
        <v/>
      </c>
      <c r="I1864" s="59" t="str">
        <f>IF(B1864="","",IFERROR(INDEX(pr_unit,MATCH(B1864,pr_code,0))&amp;"",""))</f>
        <v/>
      </c>
      <c r="J1864" s="65" t="str">
        <f>IF(COUNTA(A1864:G1864)=0,"",IF(E1864&lt;&gt;"",E1864,IF(B1864="","",IFERROR(IF(INDEX(pr_price,MATCH(B1864,pr_code,0))="","",INDEX(pr_price,MATCH(B1864,pr_code,0))),""))))</f>
        <v/>
      </c>
      <c r="K1864" s="71" t="str">
        <f>IF(COUNTA(A1864:G1864)=0,"",IF(G1864&lt;&gt;"",G1864,IF(B1864="","",IFERROR(IF(INDEX(pr_rate,MATCH(B1864,pr_code,0))="","",INDEX(pr_rate,MATCH(B1864,pr_code,0))),""))))</f>
        <v/>
      </c>
      <c r="L1864" s="65" t="str">
        <f>IF(COUNTA(A1864:G1864)=0,"",IF(AND(ISNUMBER(D1864),ISNUMBER(J1864)),ROUND(D1864*J1864*(1-N(F1864)),2),0))</f>
        <v/>
      </c>
      <c r="M1864" s="62" t="str">
        <f>IF(A1864="","",IFERROR(INDEX(dv_cname,MATCH(A1864,dv_num,0))&amp;"",""))</f>
        <v/>
      </c>
      <c r="N1864" s="59" t="str">
        <f>IF(COUNTA(A1864:G1864)=0,"",IF(A1864="","N° devis manquant",IF(ISNA(MATCH(A1864,dv_num,0)),"Devis inconnu",IF(AND(B1864&lt;&gt;"",ISNA(MATCH(B1864,pr_code,0))),"Article inconnu",IF(H1864="","Désignation manquante",IF(OR(NOT(ISNUMBER(D1864)),N(D1864)&lt;=0),"Quantité invalide",IF(J1864="","Prix manquant",IF(OR(NOT(ISNUMBER(J1864)),N(J1864)&lt;0),"Prix invalide",IF(OR(AND(F1864&lt;&gt;"",NOT(ISNUMBER(F1864))),N(F1864)&lt;0,N(F1864)&gt;1),"Remise invalide",IF(K1864="","Taux de TVA manquant",IF(NOT(ISNUMBER(K1864)),"Taux de TVA invalide",IF(COUNTIF(p_rates,K1864)=0,"Taux de TVA hors liste (Paramètres)",IF(N(O1864)&gt;25,"Au-delà de 25 lignes : non imprimée","OK")))))))))))))</f>
        <v/>
      </c>
      <c r="O1864" s="59" t="str">
        <f>IF(A1864="","",COUNTIF($A$6:A1864,A1864))</f>
        <v/>
      </c>
      <c r="P1864" s="62" t="str">
        <f>IF(A1864="","",A1864&amp;"|"&amp;O1864)</f>
        <v/>
      </c>
    </row>
    <row r="1865">
      <c r="A1865" s="60" t="n"/>
      <c r="B1865" s="63" t="n"/>
      <c r="C1865" s="63" t="n"/>
      <c r="D1865" s="67" t="n"/>
      <c r="E1865" s="68" t="n"/>
      <c r="F1865" s="69" t="n"/>
      <c r="G1865" s="70" t="n"/>
      <c r="H1865" s="62" t="str">
        <f>IF(COUNTA(A1865:G1865)=0,"",IF(C1865&lt;&gt;"",C1865,IF(B1865="","",IFERROR(INDEX(pr_des,MATCH(B1865,pr_code,0))&amp;"",""))))</f>
        <v/>
      </c>
      <c r="I1865" s="59" t="str">
        <f>IF(B1865="","",IFERROR(INDEX(pr_unit,MATCH(B1865,pr_code,0))&amp;"",""))</f>
        <v/>
      </c>
      <c r="J1865" s="65" t="str">
        <f>IF(COUNTA(A1865:G1865)=0,"",IF(E1865&lt;&gt;"",E1865,IF(B1865="","",IFERROR(IF(INDEX(pr_price,MATCH(B1865,pr_code,0))="","",INDEX(pr_price,MATCH(B1865,pr_code,0))),""))))</f>
        <v/>
      </c>
      <c r="K1865" s="71" t="str">
        <f>IF(COUNTA(A1865:G1865)=0,"",IF(G1865&lt;&gt;"",G1865,IF(B1865="","",IFERROR(IF(INDEX(pr_rate,MATCH(B1865,pr_code,0))="","",INDEX(pr_rate,MATCH(B1865,pr_code,0))),""))))</f>
        <v/>
      </c>
      <c r="L1865" s="65" t="str">
        <f>IF(COUNTA(A1865:G1865)=0,"",IF(AND(ISNUMBER(D1865),ISNUMBER(J1865)),ROUND(D1865*J1865*(1-N(F1865)),2),0))</f>
        <v/>
      </c>
      <c r="M1865" s="62" t="str">
        <f>IF(A1865="","",IFERROR(INDEX(dv_cname,MATCH(A1865,dv_num,0))&amp;"",""))</f>
        <v/>
      </c>
      <c r="N1865" s="59" t="str">
        <f>IF(COUNTA(A1865:G1865)=0,"",IF(A1865="","N° devis manquant",IF(ISNA(MATCH(A1865,dv_num,0)),"Devis inconnu",IF(AND(B1865&lt;&gt;"",ISNA(MATCH(B1865,pr_code,0))),"Article inconnu",IF(H1865="","Désignation manquante",IF(OR(NOT(ISNUMBER(D1865)),N(D1865)&lt;=0),"Quantité invalide",IF(J1865="","Prix manquant",IF(OR(NOT(ISNUMBER(J1865)),N(J1865)&lt;0),"Prix invalide",IF(OR(AND(F1865&lt;&gt;"",NOT(ISNUMBER(F1865))),N(F1865)&lt;0,N(F1865)&gt;1),"Remise invalide",IF(K1865="","Taux de TVA manquant",IF(NOT(ISNUMBER(K1865)),"Taux de TVA invalide",IF(COUNTIF(p_rates,K1865)=0,"Taux de TVA hors liste (Paramètres)",IF(N(O1865)&gt;25,"Au-delà de 25 lignes : non imprimée","OK")))))))))))))</f>
        <v/>
      </c>
      <c r="O1865" s="59" t="str">
        <f>IF(A1865="","",COUNTIF($A$6:A1865,A1865))</f>
        <v/>
      </c>
      <c r="P1865" s="62" t="str">
        <f>IF(A1865="","",A1865&amp;"|"&amp;O1865)</f>
        <v/>
      </c>
    </row>
    <row r="1866">
      <c r="A1866" s="60" t="n"/>
      <c r="B1866" s="63" t="n"/>
      <c r="C1866" s="63" t="n"/>
      <c r="D1866" s="67" t="n"/>
      <c r="E1866" s="68" t="n"/>
      <c r="F1866" s="69" t="n"/>
      <c r="G1866" s="70" t="n"/>
      <c r="H1866" s="62" t="str">
        <f>IF(COUNTA(A1866:G1866)=0,"",IF(C1866&lt;&gt;"",C1866,IF(B1866="","",IFERROR(INDEX(pr_des,MATCH(B1866,pr_code,0))&amp;"",""))))</f>
        <v/>
      </c>
      <c r="I1866" s="59" t="str">
        <f>IF(B1866="","",IFERROR(INDEX(pr_unit,MATCH(B1866,pr_code,0))&amp;"",""))</f>
        <v/>
      </c>
      <c r="J1866" s="65" t="str">
        <f>IF(COUNTA(A1866:G1866)=0,"",IF(E1866&lt;&gt;"",E1866,IF(B1866="","",IFERROR(IF(INDEX(pr_price,MATCH(B1866,pr_code,0))="","",INDEX(pr_price,MATCH(B1866,pr_code,0))),""))))</f>
        <v/>
      </c>
      <c r="K1866" s="71" t="str">
        <f>IF(COUNTA(A1866:G1866)=0,"",IF(G1866&lt;&gt;"",G1866,IF(B1866="","",IFERROR(IF(INDEX(pr_rate,MATCH(B1866,pr_code,0))="","",INDEX(pr_rate,MATCH(B1866,pr_code,0))),""))))</f>
        <v/>
      </c>
      <c r="L1866" s="65" t="str">
        <f>IF(COUNTA(A1866:G1866)=0,"",IF(AND(ISNUMBER(D1866),ISNUMBER(J1866)),ROUND(D1866*J1866*(1-N(F1866)),2),0))</f>
        <v/>
      </c>
      <c r="M1866" s="62" t="str">
        <f>IF(A1866="","",IFERROR(INDEX(dv_cname,MATCH(A1866,dv_num,0))&amp;"",""))</f>
        <v/>
      </c>
      <c r="N1866" s="59" t="str">
        <f>IF(COUNTA(A1866:G1866)=0,"",IF(A1866="","N° devis manquant",IF(ISNA(MATCH(A1866,dv_num,0)),"Devis inconnu",IF(AND(B1866&lt;&gt;"",ISNA(MATCH(B1866,pr_code,0))),"Article inconnu",IF(H1866="","Désignation manquante",IF(OR(NOT(ISNUMBER(D1866)),N(D1866)&lt;=0),"Quantité invalide",IF(J1866="","Prix manquant",IF(OR(NOT(ISNUMBER(J1866)),N(J1866)&lt;0),"Prix invalide",IF(OR(AND(F1866&lt;&gt;"",NOT(ISNUMBER(F1866))),N(F1866)&lt;0,N(F1866)&gt;1),"Remise invalide",IF(K1866="","Taux de TVA manquant",IF(NOT(ISNUMBER(K1866)),"Taux de TVA invalide",IF(COUNTIF(p_rates,K1866)=0,"Taux de TVA hors liste (Paramètres)",IF(N(O1866)&gt;25,"Au-delà de 25 lignes : non imprimée","OK")))))))))))))</f>
        <v/>
      </c>
      <c r="O1866" s="59" t="str">
        <f>IF(A1866="","",COUNTIF($A$6:A1866,A1866))</f>
        <v/>
      </c>
      <c r="P1866" s="62" t="str">
        <f>IF(A1866="","",A1866&amp;"|"&amp;O1866)</f>
        <v/>
      </c>
    </row>
    <row r="1867">
      <c r="A1867" s="60" t="n"/>
      <c r="B1867" s="63" t="n"/>
      <c r="C1867" s="63" t="n"/>
      <c r="D1867" s="67" t="n"/>
      <c r="E1867" s="68" t="n"/>
      <c r="F1867" s="69" t="n"/>
      <c r="G1867" s="70" t="n"/>
      <c r="H1867" s="62" t="str">
        <f>IF(COUNTA(A1867:G1867)=0,"",IF(C1867&lt;&gt;"",C1867,IF(B1867="","",IFERROR(INDEX(pr_des,MATCH(B1867,pr_code,0))&amp;"",""))))</f>
        <v/>
      </c>
      <c r="I1867" s="59" t="str">
        <f>IF(B1867="","",IFERROR(INDEX(pr_unit,MATCH(B1867,pr_code,0))&amp;"",""))</f>
        <v/>
      </c>
      <c r="J1867" s="65" t="str">
        <f>IF(COUNTA(A1867:G1867)=0,"",IF(E1867&lt;&gt;"",E1867,IF(B1867="","",IFERROR(IF(INDEX(pr_price,MATCH(B1867,pr_code,0))="","",INDEX(pr_price,MATCH(B1867,pr_code,0))),""))))</f>
        <v/>
      </c>
      <c r="K1867" s="71" t="str">
        <f>IF(COUNTA(A1867:G1867)=0,"",IF(G1867&lt;&gt;"",G1867,IF(B1867="","",IFERROR(IF(INDEX(pr_rate,MATCH(B1867,pr_code,0))="","",INDEX(pr_rate,MATCH(B1867,pr_code,0))),""))))</f>
        <v/>
      </c>
      <c r="L1867" s="65" t="str">
        <f>IF(COUNTA(A1867:G1867)=0,"",IF(AND(ISNUMBER(D1867),ISNUMBER(J1867)),ROUND(D1867*J1867*(1-N(F1867)),2),0))</f>
        <v/>
      </c>
      <c r="M1867" s="62" t="str">
        <f>IF(A1867="","",IFERROR(INDEX(dv_cname,MATCH(A1867,dv_num,0))&amp;"",""))</f>
        <v/>
      </c>
      <c r="N1867" s="59" t="str">
        <f>IF(COUNTA(A1867:G1867)=0,"",IF(A1867="","N° devis manquant",IF(ISNA(MATCH(A1867,dv_num,0)),"Devis inconnu",IF(AND(B1867&lt;&gt;"",ISNA(MATCH(B1867,pr_code,0))),"Article inconnu",IF(H1867="","Désignation manquante",IF(OR(NOT(ISNUMBER(D1867)),N(D1867)&lt;=0),"Quantité invalide",IF(J1867="","Prix manquant",IF(OR(NOT(ISNUMBER(J1867)),N(J1867)&lt;0),"Prix invalide",IF(OR(AND(F1867&lt;&gt;"",NOT(ISNUMBER(F1867))),N(F1867)&lt;0,N(F1867)&gt;1),"Remise invalide",IF(K1867="","Taux de TVA manquant",IF(NOT(ISNUMBER(K1867)),"Taux de TVA invalide",IF(COUNTIF(p_rates,K1867)=0,"Taux de TVA hors liste (Paramètres)",IF(N(O1867)&gt;25,"Au-delà de 25 lignes : non imprimée","OK")))))))))))))</f>
        <v/>
      </c>
      <c r="O1867" s="59" t="str">
        <f>IF(A1867="","",COUNTIF($A$6:A1867,A1867))</f>
        <v/>
      </c>
      <c r="P1867" s="62" t="str">
        <f>IF(A1867="","",A1867&amp;"|"&amp;O1867)</f>
        <v/>
      </c>
    </row>
    <row r="1868">
      <c r="A1868" s="60" t="n"/>
      <c r="B1868" s="63" t="n"/>
      <c r="C1868" s="63" t="n"/>
      <c r="D1868" s="67" t="n"/>
      <c r="E1868" s="68" t="n"/>
      <c r="F1868" s="69" t="n"/>
      <c r="G1868" s="70" t="n"/>
      <c r="H1868" s="62" t="str">
        <f>IF(COUNTA(A1868:G1868)=0,"",IF(C1868&lt;&gt;"",C1868,IF(B1868="","",IFERROR(INDEX(pr_des,MATCH(B1868,pr_code,0))&amp;"",""))))</f>
        <v/>
      </c>
      <c r="I1868" s="59" t="str">
        <f>IF(B1868="","",IFERROR(INDEX(pr_unit,MATCH(B1868,pr_code,0))&amp;"",""))</f>
        <v/>
      </c>
      <c r="J1868" s="65" t="str">
        <f>IF(COUNTA(A1868:G1868)=0,"",IF(E1868&lt;&gt;"",E1868,IF(B1868="","",IFERROR(IF(INDEX(pr_price,MATCH(B1868,pr_code,0))="","",INDEX(pr_price,MATCH(B1868,pr_code,0))),""))))</f>
        <v/>
      </c>
      <c r="K1868" s="71" t="str">
        <f>IF(COUNTA(A1868:G1868)=0,"",IF(G1868&lt;&gt;"",G1868,IF(B1868="","",IFERROR(IF(INDEX(pr_rate,MATCH(B1868,pr_code,0))="","",INDEX(pr_rate,MATCH(B1868,pr_code,0))),""))))</f>
        <v/>
      </c>
      <c r="L1868" s="65" t="str">
        <f>IF(COUNTA(A1868:G1868)=0,"",IF(AND(ISNUMBER(D1868),ISNUMBER(J1868)),ROUND(D1868*J1868*(1-N(F1868)),2),0))</f>
        <v/>
      </c>
      <c r="M1868" s="62" t="str">
        <f>IF(A1868="","",IFERROR(INDEX(dv_cname,MATCH(A1868,dv_num,0))&amp;"",""))</f>
        <v/>
      </c>
      <c r="N1868" s="59" t="str">
        <f>IF(COUNTA(A1868:G1868)=0,"",IF(A1868="","N° devis manquant",IF(ISNA(MATCH(A1868,dv_num,0)),"Devis inconnu",IF(AND(B1868&lt;&gt;"",ISNA(MATCH(B1868,pr_code,0))),"Article inconnu",IF(H1868="","Désignation manquante",IF(OR(NOT(ISNUMBER(D1868)),N(D1868)&lt;=0),"Quantité invalide",IF(J1868="","Prix manquant",IF(OR(NOT(ISNUMBER(J1868)),N(J1868)&lt;0),"Prix invalide",IF(OR(AND(F1868&lt;&gt;"",NOT(ISNUMBER(F1868))),N(F1868)&lt;0,N(F1868)&gt;1),"Remise invalide",IF(K1868="","Taux de TVA manquant",IF(NOT(ISNUMBER(K1868)),"Taux de TVA invalide",IF(COUNTIF(p_rates,K1868)=0,"Taux de TVA hors liste (Paramètres)",IF(N(O1868)&gt;25,"Au-delà de 25 lignes : non imprimée","OK")))))))))))))</f>
        <v/>
      </c>
      <c r="O1868" s="59" t="str">
        <f>IF(A1868="","",COUNTIF($A$6:A1868,A1868))</f>
        <v/>
      </c>
      <c r="P1868" s="62" t="str">
        <f>IF(A1868="","",A1868&amp;"|"&amp;O1868)</f>
        <v/>
      </c>
    </row>
    <row r="1869">
      <c r="A1869" s="60" t="n"/>
      <c r="B1869" s="63" t="n"/>
      <c r="C1869" s="63" t="n"/>
      <c r="D1869" s="67" t="n"/>
      <c r="E1869" s="68" t="n"/>
      <c r="F1869" s="69" t="n"/>
      <c r="G1869" s="70" t="n"/>
      <c r="H1869" s="62" t="str">
        <f>IF(COUNTA(A1869:G1869)=0,"",IF(C1869&lt;&gt;"",C1869,IF(B1869="","",IFERROR(INDEX(pr_des,MATCH(B1869,pr_code,0))&amp;"",""))))</f>
        <v/>
      </c>
      <c r="I1869" s="59" t="str">
        <f>IF(B1869="","",IFERROR(INDEX(pr_unit,MATCH(B1869,pr_code,0))&amp;"",""))</f>
        <v/>
      </c>
      <c r="J1869" s="65" t="str">
        <f>IF(COUNTA(A1869:G1869)=0,"",IF(E1869&lt;&gt;"",E1869,IF(B1869="","",IFERROR(IF(INDEX(pr_price,MATCH(B1869,pr_code,0))="","",INDEX(pr_price,MATCH(B1869,pr_code,0))),""))))</f>
        <v/>
      </c>
      <c r="K1869" s="71" t="str">
        <f>IF(COUNTA(A1869:G1869)=0,"",IF(G1869&lt;&gt;"",G1869,IF(B1869="","",IFERROR(IF(INDEX(pr_rate,MATCH(B1869,pr_code,0))="","",INDEX(pr_rate,MATCH(B1869,pr_code,0))),""))))</f>
        <v/>
      </c>
      <c r="L1869" s="65" t="str">
        <f>IF(COUNTA(A1869:G1869)=0,"",IF(AND(ISNUMBER(D1869),ISNUMBER(J1869)),ROUND(D1869*J1869*(1-N(F1869)),2),0))</f>
        <v/>
      </c>
      <c r="M1869" s="62" t="str">
        <f>IF(A1869="","",IFERROR(INDEX(dv_cname,MATCH(A1869,dv_num,0))&amp;"",""))</f>
        <v/>
      </c>
      <c r="N1869" s="59" t="str">
        <f>IF(COUNTA(A1869:G1869)=0,"",IF(A1869="","N° devis manquant",IF(ISNA(MATCH(A1869,dv_num,0)),"Devis inconnu",IF(AND(B1869&lt;&gt;"",ISNA(MATCH(B1869,pr_code,0))),"Article inconnu",IF(H1869="","Désignation manquante",IF(OR(NOT(ISNUMBER(D1869)),N(D1869)&lt;=0),"Quantité invalide",IF(J1869="","Prix manquant",IF(OR(NOT(ISNUMBER(J1869)),N(J1869)&lt;0),"Prix invalide",IF(OR(AND(F1869&lt;&gt;"",NOT(ISNUMBER(F1869))),N(F1869)&lt;0,N(F1869)&gt;1),"Remise invalide",IF(K1869="","Taux de TVA manquant",IF(NOT(ISNUMBER(K1869)),"Taux de TVA invalide",IF(COUNTIF(p_rates,K1869)=0,"Taux de TVA hors liste (Paramètres)",IF(N(O1869)&gt;25,"Au-delà de 25 lignes : non imprimée","OK")))))))))))))</f>
        <v/>
      </c>
      <c r="O1869" s="59" t="str">
        <f>IF(A1869="","",COUNTIF($A$6:A1869,A1869))</f>
        <v/>
      </c>
      <c r="P1869" s="62" t="str">
        <f>IF(A1869="","",A1869&amp;"|"&amp;O1869)</f>
        <v/>
      </c>
    </row>
    <row r="1870">
      <c r="A1870" s="60" t="n"/>
      <c r="B1870" s="63" t="n"/>
      <c r="C1870" s="63" t="n"/>
      <c r="D1870" s="67" t="n"/>
      <c r="E1870" s="68" t="n"/>
      <c r="F1870" s="69" t="n"/>
      <c r="G1870" s="70" t="n"/>
      <c r="H1870" s="62" t="str">
        <f>IF(COUNTA(A1870:G1870)=0,"",IF(C1870&lt;&gt;"",C1870,IF(B1870="","",IFERROR(INDEX(pr_des,MATCH(B1870,pr_code,0))&amp;"",""))))</f>
        <v/>
      </c>
      <c r="I1870" s="59" t="str">
        <f>IF(B1870="","",IFERROR(INDEX(pr_unit,MATCH(B1870,pr_code,0))&amp;"",""))</f>
        <v/>
      </c>
      <c r="J1870" s="65" t="str">
        <f>IF(COUNTA(A1870:G1870)=0,"",IF(E1870&lt;&gt;"",E1870,IF(B1870="","",IFERROR(IF(INDEX(pr_price,MATCH(B1870,pr_code,0))="","",INDEX(pr_price,MATCH(B1870,pr_code,0))),""))))</f>
        <v/>
      </c>
      <c r="K1870" s="71" t="str">
        <f>IF(COUNTA(A1870:G1870)=0,"",IF(G1870&lt;&gt;"",G1870,IF(B1870="","",IFERROR(IF(INDEX(pr_rate,MATCH(B1870,pr_code,0))="","",INDEX(pr_rate,MATCH(B1870,pr_code,0))),""))))</f>
        <v/>
      </c>
      <c r="L1870" s="65" t="str">
        <f>IF(COUNTA(A1870:G1870)=0,"",IF(AND(ISNUMBER(D1870),ISNUMBER(J1870)),ROUND(D1870*J1870*(1-N(F1870)),2),0))</f>
        <v/>
      </c>
      <c r="M1870" s="62" t="str">
        <f>IF(A1870="","",IFERROR(INDEX(dv_cname,MATCH(A1870,dv_num,0))&amp;"",""))</f>
        <v/>
      </c>
      <c r="N1870" s="59" t="str">
        <f>IF(COUNTA(A1870:G1870)=0,"",IF(A1870="","N° devis manquant",IF(ISNA(MATCH(A1870,dv_num,0)),"Devis inconnu",IF(AND(B1870&lt;&gt;"",ISNA(MATCH(B1870,pr_code,0))),"Article inconnu",IF(H1870="","Désignation manquante",IF(OR(NOT(ISNUMBER(D1870)),N(D1870)&lt;=0),"Quantité invalide",IF(J1870="","Prix manquant",IF(OR(NOT(ISNUMBER(J1870)),N(J1870)&lt;0),"Prix invalide",IF(OR(AND(F1870&lt;&gt;"",NOT(ISNUMBER(F1870))),N(F1870)&lt;0,N(F1870)&gt;1),"Remise invalide",IF(K1870="","Taux de TVA manquant",IF(NOT(ISNUMBER(K1870)),"Taux de TVA invalide",IF(COUNTIF(p_rates,K1870)=0,"Taux de TVA hors liste (Paramètres)",IF(N(O1870)&gt;25,"Au-delà de 25 lignes : non imprimée","OK")))))))))))))</f>
        <v/>
      </c>
      <c r="O1870" s="59" t="str">
        <f>IF(A1870="","",COUNTIF($A$6:A1870,A1870))</f>
        <v/>
      </c>
      <c r="P1870" s="62" t="str">
        <f>IF(A1870="","",A1870&amp;"|"&amp;O1870)</f>
        <v/>
      </c>
    </row>
    <row r="1871">
      <c r="A1871" s="60" t="n"/>
      <c r="B1871" s="63" t="n"/>
      <c r="C1871" s="63" t="n"/>
      <c r="D1871" s="67" t="n"/>
      <c r="E1871" s="68" t="n"/>
      <c r="F1871" s="69" t="n"/>
      <c r="G1871" s="70" t="n"/>
      <c r="H1871" s="62" t="str">
        <f>IF(COUNTA(A1871:G1871)=0,"",IF(C1871&lt;&gt;"",C1871,IF(B1871="","",IFERROR(INDEX(pr_des,MATCH(B1871,pr_code,0))&amp;"",""))))</f>
        <v/>
      </c>
      <c r="I1871" s="59" t="str">
        <f>IF(B1871="","",IFERROR(INDEX(pr_unit,MATCH(B1871,pr_code,0))&amp;"",""))</f>
        <v/>
      </c>
      <c r="J1871" s="65" t="str">
        <f>IF(COUNTA(A1871:G1871)=0,"",IF(E1871&lt;&gt;"",E1871,IF(B1871="","",IFERROR(IF(INDEX(pr_price,MATCH(B1871,pr_code,0))="","",INDEX(pr_price,MATCH(B1871,pr_code,0))),""))))</f>
        <v/>
      </c>
      <c r="K1871" s="71" t="str">
        <f>IF(COUNTA(A1871:G1871)=0,"",IF(G1871&lt;&gt;"",G1871,IF(B1871="","",IFERROR(IF(INDEX(pr_rate,MATCH(B1871,pr_code,0))="","",INDEX(pr_rate,MATCH(B1871,pr_code,0))),""))))</f>
        <v/>
      </c>
      <c r="L1871" s="65" t="str">
        <f>IF(COUNTA(A1871:G1871)=0,"",IF(AND(ISNUMBER(D1871),ISNUMBER(J1871)),ROUND(D1871*J1871*(1-N(F1871)),2),0))</f>
        <v/>
      </c>
      <c r="M1871" s="62" t="str">
        <f>IF(A1871="","",IFERROR(INDEX(dv_cname,MATCH(A1871,dv_num,0))&amp;"",""))</f>
        <v/>
      </c>
      <c r="N1871" s="59" t="str">
        <f>IF(COUNTA(A1871:G1871)=0,"",IF(A1871="","N° devis manquant",IF(ISNA(MATCH(A1871,dv_num,0)),"Devis inconnu",IF(AND(B1871&lt;&gt;"",ISNA(MATCH(B1871,pr_code,0))),"Article inconnu",IF(H1871="","Désignation manquante",IF(OR(NOT(ISNUMBER(D1871)),N(D1871)&lt;=0),"Quantité invalide",IF(J1871="","Prix manquant",IF(OR(NOT(ISNUMBER(J1871)),N(J1871)&lt;0),"Prix invalide",IF(OR(AND(F1871&lt;&gt;"",NOT(ISNUMBER(F1871))),N(F1871)&lt;0,N(F1871)&gt;1),"Remise invalide",IF(K1871="","Taux de TVA manquant",IF(NOT(ISNUMBER(K1871)),"Taux de TVA invalide",IF(COUNTIF(p_rates,K1871)=0,"Taux de TVA hors liste (Paramètres)",IF(N(O1871)&gt;25,"Au-delà de 25 lignes : non imprimée","OK")))))))))))))</f>
        <v/>
      </c>
      <c r="O1871" s="59" t="str">
        <f>IF(A1871="","",COUNTIF($A$6:A1871,A1871))</f>
        <v/>
      </c>
      <c r="P1871" s="62" t="str">
        <f>IF(A1871="","",A1871&amp;"|"&amp;O1871)</f>
        <v/>
      </c>
    </row>
    <row r="1872">
      <c r="A1872" s="60" t="n"/>
      <c r="B1872" s="63" t="n"/>
      <c r="C1872" s="63" t="n"/>
      <c r="D1872" s="67" t="n"/>
      <c r="E1872" s="68" t="n"/>
      <c r="F1872" s="69" t="n"/>
      <c r="G1872" s="70" t="n"/>
      <c r="H1872" s="62" t="str">
        <f>IF(COUNTA(A1872:G1872)=0,"",IF(C1872&lt;&gt;"",C1872,IF(B1872="","",IFERROR(INDEX(pr_des,MATCH(B1872,pr_code,0))&amp;"",""))))</f>
        <v/>
      </c>
      <c r="I1872" s="59" t="str">
        <f>IF(B1872="","",IFERROR(INDEX(pr_unit,MATCH(B1872,pr_code,0))&amp;"",""))</f>
        <v/>
      </c>
      <c r="J1872" s="65" t="str">
        <f>IF(COUNTA(A1872:G1872)=0,"",IF(E1872&lt;&gt;"",E1872,IF(B1872="","",IFERROR(IF(INDEX(pr_price,MATCH(B1872,pr_code,0))="","",INDEX(pr_price,MATCH(B1872,pr_code,0))),""))))</f>
        <v/>
      </c>
      <c r="K1872" s="71" t="str">
        <f>IF(COUNTA(A1872:G1872)=0,"",IF(G1872&lt;&gt;"",G1872,IF(B1872="","",IFERROR(IF(INDEX(pr_rate,MATCH(B1872,pr_code,0))="","",INDEX(pr_rate,MATCH(B1872,pr_code,0))),""))))</f>
        <v/>
      </c>
      <c r="L1872" s="65" t="str">
        <f>IF(COUNTA(A1872:G1872)=0,"",IF(AND(ISNUMBER(D1872),ISNUMBER(J1872)),ROUND(D1872*J1872*(1-N(F1872)),2),0))</f>
        <v/>
      </c>
      <c r="M1872" s="62" t="str">
        <f>IF(A1872="","",IFERROR(INDEX(dv_cname,MATCH(A1872,dv_num,0))&amp;"",""))</f>
        <v/>
      </c>
      <c r="N1872" s="59" t="str">
        <f>IF(COUNTA(A1872:G1872)=0,"",IF(A1872="","N° devis manquant",IF(ISNA(MATCH(A1872,dv_num,0)),"Devis inconnu",IF(AND(B1872&lt;&gt;"",ISNA(MATCH(B1872,pr_code,0))),"Article inconnu",IF(H1872="","Désignation manquante",IF(OR(NOT(ISNUMBER(D1872)),N(D1872)&lt;=0),"Quantité invalide",IF(J1872="","Prix manquant",IF(OR(NOT(ISNUMBER(J1872)),N(J1872)&lt;0),"Prix invalide",IF(OR(AND(F1872&lt;&gt;"",NOT(ISNUMBER(F1872))),N(F1872)&lt;0,N(F1872)&gt;1),"Remise invalide",IF(K1872="","Taux de TVA manquant",IF(NOT(ISNUMBER(K1872)),"Taux de TVA invalide",IF(COUNTIF(p_rates,K1872)=0,"Taux de TVA hors liste (Paramètres)",IF(N(O1872)&gt;25,"Au-delà de 25 lignes : non imprimée","OK")))))))))))))</f>
        <v/>
      </c>
      <c r="O1872" s="59" t="str">
        <f>IF(A1872="","",COUNTIF($A$6:A1872,A1872))</f>
        <v/>
      </c>
      <c r="P1872" s="62" t="str">
        <f>IF(A1872="","",A1872&amp;"|"&amp;O1872)</f>
        <v/>
      </c>
    </row>
    <row r="1873">
      <c r="A1873" s="60" t="n"/>
      <c r="B1873" s="63" t="n"/>
      <c r="C1873" s="63" t="n"/>
      <c r="D1873" s="67" t="n"/>
      <c r="E1873" s="68" t="n"/>
      <c r="F1873" s="69" t="n"/>
      <c r="G1873" s="70" t="n"/>
      <c r="H1873" s="62" t="str">
        <f>IF(COUNTA(A1873:G1873)=0,"",IF(C1873&lt;&gt;"",C1873,IF(B1873="","",IFERROR(INDEX(pr_des,MATCH(B1873,pr_code,0))&amp;"",""))))</f>
        <v/>
      </c>
      <c r="I1873" s="59" t="str">
        <f>IF(B1873="","",IFERROR(INDEX(pr_unit,MATCH(B1873,pr_code,0))&amp;"",""))</f>
        <v/>
      </c>
      <c r="J1873" s="65" t="str">
        <f>IF(COUNTA(A1873:G1873)=0,"",IF(E1873&lt;&gt;"",E1873,IF(B1873="","",IFERROR(IF(INDEX(pr_price,MATCH(B1873,pr_code,0))="","",INDEX(pr_price,MATCH(B1873,pr_code,0))),""))))</f>
        <v/>
      </c>
      <c r="K1873" s="71" t="str">
        <f>IF(COUNTA(A1873:G1873)=0,"",IF(G1873&lt;&gt;"",G1873,IF(B1873="","",IFERROR(IF(INDEX(pr_rate,MATCH(B1873,pr_code,0))="","",INDEX(pr_rate,MATCH(B1873,pr_code,0))),""))))</f>
        <v/>
      </c>
      <c r="L1873" s="65" t="str">
        <f>IF(COUNTA(A1873:G1873)=0,"",IF(AND(ISNUMBER(D1873),ISNUMBER(J1873)),ROUND(D1873*J1873*(1-N(F1873)),2),0))</f>
        <v/>
      </c>
      <c r="M1873" s="62" t="str">
        <f>IF(A1873="","",IFERROR(INDEX(dv_cname,MATCH(A1873,dv_num,0))&amp;"",""))</f>
        <v/>
      </c>
      <c r="N1873" s="59" t="str">
        <f>IF(COUNTA(A1873:G1873)=0,"",IF(A1873="","N° devis manquant",IF(ISNA(MATCH(A1873,dv_num,0)),"Devis inconnu",IF(AND(B1873&lt;&gt;"",ISNA(MATCH(B1873,pr_code,0))),"Article inconnu",IF(H1873="","Désignation manquante",IF(OR(NOT(ISNUMBER(D1873)),N(D1873)&lt;=0),"Quantité invalide",IF(J1873="","Prix manquant",IF(OR(NOT(ISNUMBER(J1873)),N(J1873)&lt;0),"Prix invalide",IF(OR(AND(F1873&lt;&gt;"",NOT(ISNUMBER(F1873))),N(F1873)&lt;0,N(F1873)&gt;1),"Remise invalide",IF(K1873="","Taux de TVA manquant",IF(NOT(ISNUMBER(K1873)),"Taux de TVA invalide",IF(COUNTIF(p_rates,K1873)=0,"Taux de TVA hors liste (Paramètres)",IF(N(O1873)&gt;25,"Au-delà de 25 lignes : non imprimée","OK")))))))))))))</f>
        <v/>
      </c>
      <c r="O1873" s="59" t="str">
        <f>IF(A1873="","",COUNTIF($A$6:A1873,A1873))</f>
        <v/>
      </c>
      <c r="P1873" s="62" t="str">
        <f>IF(A1873="","",A1873&amp;"|"&amp;O1873)</f>
        <v/>
      </c>
    </row>
    <row r="1874">
      <c r="A1874" s="60" t="n"/>
      <c r="B1874" s="63" t="n"/>
      <c r="C1874" s="63" t="n"/>
      <c r="D1874" s="67" t="n"/>
      <c r="E1874" s="68" t="n"/>
      <c r="F1874" s="69" t="n"/>
      <c r="G1874" s="70" t="n"/>
      <c r="H1874" s="62" t="str">
        <f>IF(COUNTA(A1874:G1874)=0,"",IF(C1874&lt;&gt;"",C1874,IF(B1874="","",IFERROR(INDEX(pr_des,MATCH(B1874,pr_code,0))&amp;"",""))))</f>
        <v/>
      </c>
      <c r="I1874" s="59" t="str">
        <f>IF(B1874="","",IFERROR(INDEX(pr_unit,MATCH(B1874,pr_code,0))&amp;"",""))</f>
        <v/>
      </c>
      <c r="J1874" s="65" t="str">
        <f>IF(COUNTA(A1874:G1874)=0,"",IF(E1874&lt;&gt;"",E1874,IF(B1874="","",IFERROR(IF(INDEX(pr_price,MATCH(B1874,pr_code,0))="","",INDEX(pr_price,MATCH(B1874,pr_code,0))),""))))</f>
        <v/>
      </c>
      <c r="K1874" s="71" t="str">
        <f>IF(COUNTA(A1874:G1874)=0,"",IF(G1874&lt;&gt;"",G1874,IF(B1874="","",IFERROR(IF(INDEX(pr_rate,MATCH(B1874,pr_code,0))="","",INDEX(pr_rate,MATCH(B1874,pr_code,0))),""))))</f>
        <v/>
      </c>
      <c r="L1874" s="65" t="str">
        <f>IF(COUNTA(A1874:G1874)=0,"",IF(AND(ISNUMBER(D1874),ISNUMBER(J1874)),ROUND(D1874*J1874*(1-N(F1874)),2),0))</f>
        <v/>
      </c>
      <c r="M1874" s="62" t="str">
        <f>IF(A1874="","",IFERROR(INDEX(dv_cname,MATCH(A1874,dv_num,0))&amp;"",""))</f>
        <v/>
      </c>
      <c r="N1874" s="59" t="str">
        <f>IF(COUNTA(A1874:G1874)=0,"",IF(A1874="","N° devis manquant",IF(ISNA(MATCH(A1874,dv_num,0)),"Devis inconnu",IF(AND(B1874&lt;&gt;"",ISNA(MATCH(B1874,pr_code,0))),"Article inconnu",IF(H1874="","Désignation manquante",IF(OR(NOT(ISNUMBER(D1874)),N(D1874)&lt;=0),"Quantité invalide",IF(J1874="","Prix manquant",IF(OR(NOT(ISNUMBER(J1874)),N(J1874)&lt;0),"Prix invalide",IF(OR(AND(F1874&lt;&gt;"",NOT(ISNUMBER(F1874))),N(F1874)&lt;0,N(F1874)&gt;1),"Remise invalide",IF(K1874="","Taux de TVA manquant",IF(NOT(ISNUMBER(K1874)),"Taux de TVA invalide",IF(COUNTIF(p_rates,K1874)=0,"Taux de TVA hors liste (Paramètres)",IF(N(O1874)&gt;25,"Au-delà de 25 lignes : non imprimée","OK")))))))))))))</f>
        <v/>
      </c>
      <c r="O1874" s="59" t="str">
        <f>IF(A1874="","",COUNTIF($A$6:A1874,A1874))</f>
        <v/>
      </c>
      <c r="P1874" s="62" t="str">
        <f>IF(A1874="","",A1874&amp;"|"&amp;O1874)</f>
        <v/>
      </c>
    </row>
    <row r="1875">
      <c r="A1875" s="60" t="n"/>
      <c r="B1875" s="63" t="n"/>
      <c r="C1875" s="63" t="n"/>
      <c r="D1875" s="67" t="n"/>
      <c r="E1875" s="68" t="n"/>
      <c r="F1875" s="69" t="n"/>
      <c r="G1875" s="70" t="n"/>
      <c r="H1875" s="62" t="str">
        <f>IF(COUNTA(A1875:G1875)=0,"",IF(C1875&lt;&gt;"",C1875,IF(B1875="","",IFERROR(INDEX(pr_des,MATCH(B1875,pr_code,0))&amp;"",""))))</f>
        <v/>
      </c>
      <c r="I1875" s="59" t="str">
        <f>IF(B1875="","",IFERROR(INDEX(pr_unit,MATCH(B1875,pr_code,0))&amp;"",""))</f>
        <v/>
      </c>
      <c r="J1875" s="65" t="str">
        <f>IF(COUNTA(A1875:G1875)=0,"",IF(E1875&lt;&gt;"",E1875,IF(B1875="","",IFERROR(IF(INDEX(pr_price,MATCH(B1875,pr_code,0))="","",INDEX(pr_price,MATCH(B1875,pr_code,0))),""))))</f>
        <v/>
      </c>
      <c r="K1875" s="71" t="str">
        <f>IF(COUNTA(A1875:G1875)=0,"",IF(G1875&lt;&gt;"",G1875,IF(B1875="","",IFERROR(IF(INDEX(pr_rate,MATCH(B1875,pr_code,0))="","",INDEX(pr_rate,MATCH(B1875,pr_code,0))),""))))</f>
        <v/>
      </c>
      <c r="L1875" s="65" t="str">
        <f>IF(COUNTA(A1875:G1875)=0,"",IF(AND(ISNUMBER(D1875),ISNUMBER(J1875)),ROUND(D1875*J1875*(1-N(F1875)),2),0))</f>
        <v/>
      </c>
      <c r="M1875" s="62" t="str">
        <f>IF(A1875="","",IFERROR(INDEX(dv_cname,MATCH(A1875,dv_num,0))&amp;"",""))</f>
        <v/>
      </c>
      <c r="N1875" s="59" t="str">
        <f>IF(COUNTA(A1875:G1875)=0,"",IF(A1875="","N° devis manquant",IF(ISNA(MATCH(A1875,dv_num,0)),"Devis inconnu",IF(AND(B1875&lt;&gt;"",ISNA(MATCH(B1875,pr_code,0))),"Article inconnu",IF(H1875="","Désignation manquante",IF(OR(NOT(ISNUMBER(D1875)),N(D1875)&lt;=0),"Quantité invalide",IF(J1875="","Prix manquant",IF(OR(NOT(ISNUMBER(J1875)),N(J1875)&lt;0),"Prix invalide",IF(OR(AND(F1875&lt;&gt;"",NOT(ISNUMBER(F1875))),N(F1875)&lt;0,N(F1875)&gt;1),"Remise invalide",IF(K1875="","Taux de TVA manquant",IF(NOT(ISNUMBER(K1875)),"Taux de TVA invalide",IF(COUNTIF(p_rates,K1875)=0,"Taux de TVA hors liste (Paramètres)",IF(N(O1875)&gt;25,"Au-delà de 25 lignes : non imprimée","OK")))))))))))))</f>
        <v/>
      </c>
      <c r="O1875" s="59" t="str">
        <f>IF(A1875="","",COUNTIF($A$6:A1875,A1875))</f>
        <v/>
      </c>
      <c r="P1875" s="62" t="str">
        <f>IF(A1875="","",A1875&amp;"|"&amp;O1875)</f>
        <v/>
      </c>
    </row>
    <row r="1876">
      <c r="A1876" s="60" t="n"/>
      <c r="B1876" s="63" t="n"/>
      <c r="C1876" s="63" t="n"/>
      <c r="D1876" s="67" t="n"/>
      <c r="E1876" s="68" t="n"/>
      <c r="F1876" s="69" t="n"/>
      <c r="G1876" s="70" t="n"/>
      <c r="H1876" s="62" t="str">
        <f>IF(COUNTA(A1876:G1876)=0,"",IF(C1876&lt;&gt;"",C1876,IF(B1876="","",IFERROR(INDEX(pr_des,MATCH(B1876,pr_code,0))&amp;"",""))))</f>
        <v/>
      </c>
      <c r="I1876" s="59" t="str">
        <f>IF(B1876="","",IFERROR(INDEX(pr_unit,MATCH(B1876,pr_code,0))&amp;"",""))</f>
        <v/>
      </c>
      <c r="J1876" s="65" t="str">
        <f>IF(COUNTA(A1876:G1876)=0,"",IF(E1876&lt;&gt;"",E1876,IF(B1876="","",IFERROR(IF(INDEX(pr_price,MATCH(B1876,pr_code,0))="","",INDEX(pr_price,MATCH(B1876,pr_code,0))),""))))</f>
        <v/>
      </c>
      <c r="K1876" s="71" t="str">
        <f>IF(COUNTA(A1876:G1876)=0,"",IF(G1876&lt;&gt;"",G1876,IF(B1876="","",IFERROR(IF(INDEX(pr_rate,MATCH(B1876,pr_code,0))="","",INDEX(pr_rate,MATCH(B1876,pr_code,0))),""))))</f>
        <v/>
      </c>
      <c r="L1876" s="65" t="str">
        <f>IF(COUNTA(A1876:G1876)=0,"",IF(AND(ISNUMBER(D1876),ISNUMBER(J1876)),ROUND(D1876*J1876*(1-N(F1876)),2),0))</f>
        <v/>
      </c>
      <c r="M1876" s="62" t="str">
        <f>IF(A1876="","",IFERROR(INDEX(dv_cname,MATCH(A1876,dv_num,0))&amp;"",""))</f>
        <v/>
      </c>
      <c r="N1876" s="59" t="str">
        <f>IF(COUNTA(A1876:G1876)=0,"",IF(A1876="","N° devis manquant",IF(ISNA(MATCH(A1876,dv_num,0)),"Devis inconnu",IF(AND(B1876&lt;&gt;"",ISNA(MATCH(B1876,pr_code,0))),"Article inconnu",IF(H1876="","Désignation manquante",IF(OR(NOT(ISNUMBER(D1876)),N(D1876)&lt;=0),"Quantité invalide",IF(J1876="","Prix manquant",IF(OR(NOT(ISNUMBER(J1876)),N(J1876)&lt;0),"Prix invalide",IF(OR(AND(F1876&lt;&gt;"",NOT(ISNUMBER(F1876))),N(F1876)&lt;0,N(F1876)&gt;1),"Remise invalide",IF(K1876="","Taux de TVA manquant",IF(NOT(ISNUMBER(K1876)),"Taux de TVA invalide",IF(COUNTIF(p_rates,K1876)=0,"Taux de TVA hors liste (Paramètres)",IF(N(O1876)&gt;25,"Au-delà de 25 lignes : non imprimée","OK")))))))))))))</f>
        <v/>
      </c>
      <c r="O1876" s="59" t="str">
        <f>IF(A1876="","",COUNTIF($A$6:A1876,A1876))</f>
        <v/>
      </c>
      <c r="P1876" s="62" t="str">
        <f>IF(A1876="","",A1876&amp;"|"&amp;O1876)</f>
        <v/>
      </c>
    </row>
    <row r="1877">
      <c r="A1877" s="60" t="n"/>
      <c r="B1877" s="63" t="n"/>
      <c r="C1877" s="63" t="n"/>
      <c r="D1877" s="67" t="n"/>
      <c r="E1877" s="68" t="n"/>
      <c r="F1877" s="69" t="n"/>
      <c r="G1877" s="70" t="n"/>
      <c r="H1877" s="62" t="str">
        <f>IF(COUNTA(A1877:G1877)=0,"",IF(C1877&lt;&gt;"",C1877,IF(B1877="","",IFERROR(INDEX(pr_des,MATCH(B1877,pr_code,0))&amp;"",""))))</f>
        <v/>
      </c>
      <c r="I1877" s="59" t="str">
        <f>IF(B1877="","",IFERROR(INDEX(pr_unit,MATCH(B1877,pr_code,0))&amp;"",""))</f>
        <v/>
      </c>
      <c r="J1877" s="65" t="str">
        <f>IF(COUNTA(A1877:G1877)=0,"",IF(E1877&lt;&gt;"",E1877,IF(B1877="","",IFERROR(IF(INDEX(pr_price,MATCH(B1877,pr_code,0))="","",INDEX(pr_price,MATCH(B1877,pr_code,0))),""))))</f>
        <v/>
      </c>
      <c r="K1877" s="71" t="str">
        <f>IF(COUNTA(A1877:G1877)=0,"",IF(G1877&lt;&gt;"",G1877,IF(B1877="","",IFERROR(IF(INDEX(pr_rate,MATCH(B1877,pr_code,0))="","",INDEX(pr_rate,MATCH(B1877,pr_code,0))),""))))</f>
        <v/>
      </c>
      <c r="L1877" s="65" t="str">
        <f>IF(COUNTA(A1877:G1877)=0,"",IF(AND(ISNUMBER(D1877),ISNUMBER(J1877)),ROUND(D1877*J1877*(1-N(F1877)),2),0))</f>
        <v/>
      </c>
      <c r="M1877" s="62" t="str">
        <f>IF(A1877="","",IFERROR(INDEX(dv_cname,MATCH(A1877,dv_num,0))&amp;"",""))</f>
        <v/>
      </c>
      <c r="N1877" s="59" t="str">
        <f>IF(COUNTA(A1877:G1877)=0,"",IF(A1877="","N° devis manquant",IF(ISNA(MATCH(A1877,dv_num,0)),"Devis inconnu",IF(AND(B1877&lt;&gt;"",ISNA(MATCH(B1877,pr_code,0))),"Article inconnu",IF(H1877="","Désignation manquante",IF(OR(NOT(ISNUMBER(D1877)),N(D1877)&lt;=0),"Quantité invalide",IF(J1877="","Prix manquant",IF(OR(NOT(ISNUMBER(J1877)),N(J1877)&lt;0),"Prix invalide",IF(OR(AND(F1877&lt;&gt;"",NOT(ISNUMBER(F1877))),N(F1877)&lt;0,N(F1877)&gt;1),"Remise invalide",IF(K1877="","Taux de TVA manquant",IF(NOT(ISNUMBER(K1877)),"Taux de TVA invalide",IF(COUNTIF(p_rates,K1877)=0,"Taux de TVA hors liste (Paramètres)",IF(N(O1877)&gt;25,"Au-delà de 25 lignes : non imprimée","OK")))))))))))))</f>
        <v/>
      </c>
      <c r="O1877" s="59" t="str">
        <f>IF(A1877="","",COUNTIF($A$6:A1877,A1877))</f>
        <v/>
      </c>
      <c r="P1877" s="62" t="str">
        <f>IF(A1877="","",A1877&amp;"|"&amp;O1877)</f>
        <v/>
      </c>
    </row>
    <row r="1878">
      <c r="A1878" s="60" t="n"/>
      <c r="B1878" s="63" t="n"/>
      <c r="C1878" s="63" t="n"/>
      <c r="D1878" s="67" t="n"/>
      <c r="E1878" s="68" t="n"/>
      <c r="F1878" s="69" t="n"/>
      <c r="G1878" s="70" t="n"/>
      <c r="H1878" s="62" t="str">
        <f>IF(COUNTA(A1878:G1878)=0,"",IF(C1878&lt;&gt;"",C1878,IF(B1878="","",IFERROR(INDEX(pr_des,MATCH(B1878,pr_code,0))&amp;"",""))))</f>
        <v/>
      </c>
      <c r="I1878" s="59" t="str">
        <f>IF(B1878="","",IFERROR(INDEX(pr_unit,MATCH(B1878,pr_code,0))&amp;"",""))</f>
        <v/>
      </c>
      <c r="J1878" s="65" t="str">
        <f>IF(COUNTA(A1878:G1878)=0,"",IF(E1878&lt;&gt;"",E1878,IF(B1878="","",IFERROR(IF(INDEX(pr_price,MATCH(B1878,pr_code,0))="","",INDEX(pr_price,MATCH(B1878,pr_code,0))),""))))</f>
        <v/>
      </c>
      <c r="K1878" s="71" t="str">
        <f>IF(COUNTA(A1878:G1878)=0,"",IF(G1878&lt;&gt;"",G1878,IF(B1878="","",IFERROR(IF(INDEX(pr_rate,MATCH(B1878,pr_code,0))="","",INDEX(pr_rate,MATCH(B1878,pr_code,0))),""))))</f>
        <v/>
      </c>
      <c r="L1878" s="65" t="str">
        <f>IF(COUNTA(A1878:G1878)=0,"",IF(AND(ISNUMBER(D1878),ISNUMBER(J1878)),ROUND(D1878*J1878*(1-N(F1878)),2),0))</f>
        <v/>
      </c>
      <c r="M1878" s="62" t="str">
        <f>IF(A1878="","",IFERROR(INDEX(dv_cname,MATCH(A1878,dv_num,0))&amp;"",""))</f>
        <v/>
      </c>
      <c r="N1878" s="59" t="str">
        <f>IF(COUNTA(A1878:G1878)=0,"",IF(A1878="","N° devis manquant",IF(ISNA(MATCH(A1878,dv_num,0)),"Devis inconnu",IF(AND(B1878&lt;&gt;"",ISNA(MATCH(B1878,pr_code,0))),"Article inconnu",IF(H1878="","Désignation manquante",IF(OR(NOT(ISNUMBER(D1878)),N(D1878)&lt;=0),"Quantité invalide",IF(J1878="","Prix manquant",IF(OR(NOT(ISNUMBER(J1878)),N(J1878)&lt;0),"Prix invalide",IF(OR(AND(F1878&lt;&gt;"",NOT(ISNUMBER(F1878))),N(F1878)&lt;0,N(F1878)&gt;1),"Remise invalide",IF(K1878="","Taux de TVA manquant",IF(NOT(ISNUMBER(K1878)),"Taux de TVA invalide",IF(COUNTIF(p_rates,K1878)=0,"Taux de TVA hors liste (Paramètres)",IF(N(O1878)&gt;25,"Au-delà de 25 lignes : non imprimée","OK")))))))))))))</f>
        <v/>
      </c>
      <c r="O1878" s="59" t="str">
        <f>IF(A1878="","",COUNTIF($A$6:A1878,A1878))</f>
        <v/>
      </c>
      <c r="P1878" s="62" t="str">
        <f>IF(A1878="","",A1878&amp;"|"&amp;O1878)</f>
        <v/>
      </c>
    </row>
    <row r="1879">
      <c r="A1879" s="60" t="n"/>
      <c r="B1879" s="63" t="n"/>
      <c r="C1879" s="63" t="n"/>
      <c r="D1879" s="67" t="n"/>
      <c r="E1879" s="68" t="n"/>
      <c r="F1879" s="69" t="n"/>
      <c r="G1879" s="70" t="n"/>
      <c r="H1879" s="62" t="str">
        <f>IF(COUNTA(A1879:G1879)=0,"",IF(C1879&lt;&gt;"",C1879,IF(B1879="","",IFERROR(INDEX(pr_des,MATCH(B1879,pr_code,0))&amp;"",""))))</f>
        <v/>
      </c>
      <c r="I1879" s="59" t="str">
        <f>IF(B1879="","",IFERROR(INDEX(pr_unit,MATCH(B1879,pr_code,0))&amp;"",""))</f>
        <v/>
      </c>
      <c r="J1879" s="65" t="str">
        <f>IF(COUNTA(A1879:G1879)=0,"",IF(E1879&lt;&gt;"",E1879,IF(B1879="","",IFERROR(IF(INDEX(pr_price,MATCH(B1879,pr_code,0))="","",INDEX(pr_price,MATCH(B1879,pr_code,0))),""))))</f>
        <v/>
      </c>
      <c r="K1879" s="71" t="str">
        <f>IF(COUNTA(A1879:G1879)=0,"",IF(G1879&lt;&gt;"",G1879,IF(B1879="","",IFERROR(IF(INDEX(pr_rate,MATCH(B1879,pr_code,0))="","",INDEX(pr_rate,MATCH(B1879,pr_code,0))),""))))</f>
        <v/>
      </c>
      <c r="L1879" s="65" t="str">
        <f>IF(COUNTA(A1879:G1879)=0,"",IF(AND(ISNUMBER(D1879),ISNUMBER(J1879)),ROUND(D1879*J1879*(1-N(F1879)),2),0))</f>
        <v/>
      </c>
      <c r="M1879" s="62" t="str">
        <f>IF(A1879="","",IFERROR(INDEX(dv_cname,MATCH(A1879,dv_num,0))&amp;"",""))</f>
        <v/>
      </c>
      <c r="N1879" s="59" t="str">
        <f>IF(COUNTA(A1879:G1879)=0,"",IF(A1879="","N° devis manquant",IF(ISNA(MATCH(A1879,dv_num,0)),"Devis inconnu",IF(AND(B1879&lt;&gt;"",ISNA(MATCH(B1879,pr_code,0))),"Article inconnu",IF(H1879="","Désignation manquante",IF(OR(NOT(ISNUMBER(D1879)),N(D1879)&lt;=0),"Quantité invalide",IF(J1879="","Prix manquant",IF(OR(NOT(ISNUMBER(J1879)),N(J1879)&lt;0),"Prix invalide",IF(OR(AND(F1879&lt;&gt;"",NOT(ISNUMBER(F1879))),N(F1879)&lt;0,N(F1879)&gt;1),"Remise invalide",IF(K1879="","Taux de TVA manquant",IF(NOT(ISNUMBER(K1879)),"Taux de TVA invalide",IF(COUNTIF(p_rates,K1879)=0,"Taux de TVA hors liste (Paramètres)",IF(N(O1879)&gt;25,"Au-delà de 25 lignes : non imprimée","OK")))))))))))))</f>
        <v/>
      </c>
      <c r="O1879" s="59" t="str">
        <f>IF(A1879="","",COUNTIF($A$6:A1879,A1879))</f>
        <v/>
      </c>
      <c r="P1879" s="62" t="str">
        <f>IF(A1879="","",A1879&amp;"|"&amp;O1879)</f>
        <v/>
      </c>
    </row>
    <row r="1880">
      <c r="A1880" s="60" t="n"/>
      <c r="B1880" s="63" t="n"/>
      <c r="C1880" s="63" t="n"/>
      <c r="D1880" s="67" t="n"/>
      <c r="E1880" s="68" t="n"/>
      <c r="F1880" s="69" t="n"/>
      <c r="G1880" s="70" t="n"/>
      <c r="H1880" s="62" t="str">
        <f>IF(COUNTA(A1880:G1880)=0,"",IF(C1880&lt;&gt;"",C1880,IF(B1880="","",IFERROR(INDEX(pr_des,MATCH(B1880,pr_code,0))&amp;"",""))))</f>
        <v/>
      </c>
      <c r="I1880" s="59" t="str">
        <f>IF(B1880="","",IFERROR(INDEX(pr_unit,MATCH(B1880,pr_code,0))&amp;"",""))</f>
        <v/>
      </c>
      <c r="J1880" s="65" t="str">
        <f>IF(COUNTA(A1880:G1880)=0,"",IF(E1880&lt;&gt;"",E1880,IF(B1880="","",IFERROR(IF(INDEX(pr_price,MATCH(B1880,pr_code,0))="","",INDEX(pr_price,MATCH(B1880,pr_code,0))),""))))</f>
        <v/>
      </c>
      <c r="K1880" s="71" t="str">
        <f>IF(COUNTA(A1880:G1880)=0,"",IF(G1880&lt;&gt;"",G1880,IF(B1880="","",IFERROR(IF(INDEX(pr_rate,MATCH(B1880,pr_code,0))="","",INDEX(pr_rate,MATCH(B1880,pr_code,0))),""))))</f>
        <v/>
      </c>
      <c r="L1880" s="65" t="str">
        <f>IF(COUNTA(A1880:G1880)=0,"",IF(AND(ISNUMBER(D1880),ISNUMBER(J1880)),ROUND(D1880*J1880*(1-N(F1880)),2),0))</f>
        <v/>
      </c>
      <c r="M1880" s="62" t="str">
        <f>IF(A1880="","",IFERROR(INDEX(dv_cname,MATCH(A1880,dv_num,0))&amp;"",""))</f>
        <v/>
      </c>
      <c r="N1880" s="59" t="str">
        <f>IF(COUNTA(A1880:G1880)=0,"",IF(A1880="","N° devis manquant",IF(ISNA(MATCH(A1880,dv_num,0)),"Devis inconnu",IF(AND(B1880&lt;&gt;"",ISNA(MATCH(B1880,pr_code,0))),"Article inconnu",IF(H1880="","Désignation manquante",IF(OR(NOT(ISNUMBER(D1880)),N(D1880)&lt;=0),"Quantité invalide",IF(J1880="","Prix manquant",IF(OR(NOT(ISNUMBER(J1880)),N(J1880)&lt;0),"Prix invalide",IF(OR(AND(F1880&lt;&gt;"",NOT(ISNUMBER(F1880))),N(F1880)&lt;0,N(F1880)&gt;1),"Remise invalide",IF(K1880="","Taux de TVA manquant",IF(NOT(ISNUMBER(K1880)),"Taux de TVA invalide",IF(COUNTIF(p_rates,K1880)=0,"Taux de TVA hors liste (Paramètres)",IF(N(O1880)&gt;25,"Au-delà de 25 lignes : non imprimée","OK")))))))))))))</f>
        <v/>
      </c>
      <c r="O1880" s="59" t="str">
        <f>IF(A1880="","",COUNTIF($A$6:A1880,A1880))</f>
        <v/>
      </c>
      <c r="P1880" s="62" t="str">
        <f>IF(A1880="","",A1880&amp;"|"&amp;O1880)</f>
        <v/>
      </c>
    </row>
    <row r="1881">
      <c r="A1881" s="60" t="n"/>
      <c r="B1881" s="63" t="n"/>
      <c r="C1881" s="63" t="n"/>
      <c r="D1881" s="67" t="n"/>
      <c r="E1881" s="68" t="n"/>
      <c r="F1881" s="69" t="n"/>
      <c r="G1881" s="70" t="n"/>
      <c r="H1881" s="62" t="str">
        <f>IF(COUNTA(A1881:G1881)=0,"",IF(C1881&lt;&gt;"",C1881,IF(B1881="","",IFERROR(INDEX(pr_des,MATCH(B1881,pr_code,0))&amp;"",""))))</f>
        <v/>
      </c>
      <c r="I1881" s="59" t="str">
        <f>IF(B1881="","",IFERROR(INDEX(pr_unit,MATCH(B1881,pr_code,0))&amp;"",""))</f>
        <v/>
      </c>
      <c r="J1881" s="65" t="str">
        <f>IF(COUNTA(A1881:G1881)=0,"",IF(E1881&lt;&gt;"",E1881,IF(B1881="","",IFERROR(IF(INDEX(pr_price,MATCH(B1881,pr_code,0))="","",INDEX(pr_price,MATCH(B1881,pr_code,0))),""))))</f>
        <v/>
      </c>
      <c r="K1881" s="71" t="str">
        <f>IF(COUNTA(A1881:G1881)=0,"",IF(G1881&lt;&gt;"",G1881,IF(B1881="","",IFERROR(IF(INDEX(pr_rate,MATCH(B1881,pr_code,0))="","",INDEX(pr_rate,MATCH(B1881,pr_code,0))),""))))</f>
        <v/>
      </c>
      <c r="L1881" s="65" t="str">
        <f>IF(COUNTA(A1881:G1881)=0,"",IF(AND(ISNUMBER(D1881),ISNUMBER(J1881)),ROUND(D1881*J1881*(1-N(F1881)),2),0))</f>
        <v/>
      </c>
      <c r="M1881" s="62" t="str">
        <f>IF(A1881="","",IFERROR(INDEX(dv_cname,MATCH(A1881,dv_num,0))&amp;"",""))</f>
        <v/>
      </c>
      <c r="N1881" s="59" t="str">
        <f>IF(COUNTA(A1881:G1881)=0,"",IF(A1881="","N° devis manquant",IF(ISNA(MATCH(A1881,dv_num,0)),"Devis inconnu",IF(AND(B1881&lt;&gt;"",ISNA(MATCH(B1881,pr_code,0))),"Article inconnu",IF(H1881="","Désignation manquante",IF(OR(NOT(ISNUMBER(D1881)),N(D1881)&lt;=0),"Quantité invalide",IF(J1881="","Prix manquant",IF(OR(NOT(ISNUMBER(J1881)),N(J1881)&lt;0),"Prix invalide",IF(OR(AND(F1881&lt;&gt;"",NOT(ISNUMBER(F1881))),N(F1881)&lt;0,N(F1881)&gt;1),"Remise invalide",IF(K1881="","Taux de TVA manquant",IF(NOT(ISNUMBER(K1881)),"Taux de TVA invalide",IF(COUNTIF(p_rates,K1881)=0,"Taux de TVA hors liste (Paramètres)",IF(N(O1881)&gt;25,"Au-delà de 25 lignes : non imprimée","OK")))))))))))))</f>
        <v/>
      </c>
      <c r="O1881" s="59" t="str">
        <f>IF(A1881="","",COUNTIF($A$6:A1881,A1881))</f>
        <v/>
      </c>
      <c r="P1881" s="62" t="str">
        <f>IF(A1881="","",A1881&amp;"|"&amp;O1881)</f>
        <v/>
      </c>
    </row>
    <row r="1882">
      <c r="A1882" s="60" t="n"/>
      <c r="B1882" s="63" t="n"/>
      <c r="C1882" s="63" t="n"/>
      <c r="D1882" s="67" t="n"/>
      <c r="E1882" s="68" t="n"/>
      <c r="F1882" s="69" t="n"/>
      <c r="G1882" s="70" t="n"/>
      <c r="H1882" s="62" t="str">
        <f>IF(COUNTA(A1882:G1882)=0,"",IF(C1882&lt;&gt;"",C1882,IF(B1882="","",IFERROR(INDEX(pr_des,MATCH(B1882,pr_code,0))&amp;"",""))))</f>
        <v/>
      </c>
      <c r="I1882" s="59" t="str">
        <f>IF(B1882="","",IFERROR(INDEX(pr_unit,MATCH(B1882,pr_code,0))&amp;"",""))</f>
        <v/>
      </c>
      <c r="J1882" s="65" t="str">
        <f>IF(COUNTA(A1882:G1882)=0,"",IF(E1882&lt;&gt;"",E1882,IF(B1882="","",IFERROR(IF(INDEX(pr_price,MATCH(B1882,pr_code,0))="","",INDEX(pr_price,MATCH(B1882,pr_code,0))),""))))</f>
        <v/>
      </c>
      <c r="K1882" s="71" t="str">
        <f>IF(COUNTA(A1882:G1882)=0,"",IF(G1882&lt;&gt;"",G1882,IF(B1882="","",IFERROR(IF(INDEX(pr_rate,MATCH(B1882,pr_code,0))="","",INDEX(pr_rate,MATCH(B1882,pr_code,0))),""))))</f>
        <v/>
      </c>
      <c r="L1882" s="65" t="str">
        <f>IF(COUNTA(A1882:G1882)=0,"",IF(AND(ISNUMBER(D1882),ISNUMBER(J1882)),ROUND(D1882*J1882*(1-N(F1882)),2),0))</f>
        <v/>
      </c>
      <c r="M1882" s="62" t="str">
        <f>IF(A1882="","",IFERROR(INDEX(dv_cname,MATCH(A1882,dv_num,0))&amp;"",""))</f>
        <v/>
      </c>
      <c r="N1882" s="59" t="str">
        <f>IF(COUNTA(A1882:G1882)=0,"",IF(A1882="","N° devis manquant",IF(ISNA(MATCH(A1882,dv_num,0)),"Devis inconnu",IF(AND(B1882&lt;&gt;"",ISNA(MATCH(B1882,pr_code,0))),"Article inconnu",IF(H1882="","Désignation manquante",IF(OR(NOT(ISNUMBER(D1882)),N(D1882)&lt;=0),"Quantité invalide",IF(J1882="","Prix manquant",IF(OR(NOT(ISNUMBER(J1882)),N(J1882)&lt;0),"Prix invalide",IF(OR(AND(F1882&lt;&gt;"",NOT(ISNUMBER(F1882))),N(F1882)&lt;0,N(F1882)&gt;1),"Remise invalide",IF(K1882="","Taux de TVA manquant",IF(NOT(ISNUMBER(K1882)),"Taux de TVA invalide",IF(COUNTIF(p_rates,K1882)=0,"Taux de TVA hors liste (Paramètres)",IF(N(O1882)&gt;25,"Au-delà de 25 lignes : non imprimée","OK")))))))))))))</f>
        <v/>
      </c>
      <c r="O1882" s="59" t="str">
        <f>IF(A1882="","",COUNTIF($A$6:A1882,A1882))</f>
        <v/>
      </c>
      <c r="P1882" s="62" t="str">
        <f>IF(A1882="","",A1882&amp;"|"&amp;O1882)</f>
        <v/>
      </c>
    </row>
    <row r="1883">
      <c r="A1883" s="60" t="n"/>
      <c r="B1883" s="63" t="n"/>
      <c r="C1883" s="63" t="n"/>
      <c r="D1883" s="67" t="n"/>
      <c r="E1883" s="68" t="n"/>
      <c r="F1883" s="69" t="n"/>
      <c r="G1883" s="70" t="n"/>
      <c r="H1883" s="62" t="str">
        <f>IF(COUNTA(A1883:G1883)=0,"",IF(C1883&lt;&gt;"",C1883,IF(B1883="","",IFERROR(INDEX(pr_des,MATCH(B1883,pr_code,0))&amp;"",""))))</f>
        <v/>
      </c>
      <c r="I1883" s="59" t="str">
        <f>IF(B1883="","",IFERROR(INDEX(pr_unit,MATCH(B1883,pr_code,0))&amp;"",""))</f>
        <v/>
      </c>
      <c r="J1883" s="65" t="str">
        <f>IF(COUNTA(A1883:G1883)=0,"",IF(E1883&lt;&gt;"",E1883,IF(B1883="","",IFERROR(IF(INDEX(pr_price,MATCH(B1883,pr_code,0))="","",INDEX(pr_price,MATCH(B1883,pr_code,0))),""))))</f>
        <v/>
      </c>
      <c r="K1883" s="71" t="str">
        <f>IF(COUNTA(A1883:G1883)=0,"",IF(G1883&lt;&gt;"",G1883,IF(B1883="","",IFERROR(IF(INDEX(pr_rate,MATCH(B1883,pr_code,0))="","",INDEX(pr_rate,MATCH(B1883,pr_code,0))),""))))</f>
        <v/>
      </c>
      <c r="L1883" s="65" t="str">
        <f>IF(COUNTA(A1883:G1883)=0,"",IF(AND(ISNUMBER(D1883),ISNUMBER(J1883)),ROUND(D1883*J1883*(1-N(F1883)),2),0))</f>
        <v/>
      </c>
      <c r="M1883" s="62" t="str">
        <f>IF(A1883="","",IFERROR(INDEX(dv_cname,MATCH(A1883,dv_num,0))&amp;"",""))</f>
        <v/>
      </c>
      <c r="N1883" s="59" t="str">
        <f>IF(COUNTA(A1883:G1883)=0,"",IF(A1883="","N° devis manquant",IF(ISNA(MATCH(A1883,dv_num,0)),"Devis inconnu",IF(AND(B1883&lt;&gt;"",ISNA(MATCH(B1883,pr_code,0))),"Article inconnu",IF(H1883="","Désignation manquante",IF(OR(NOT(ISNUMBER(D1883)),N(D1883)&lt;=0),"Quantité invalide",IF(J1883="","Prix manquant",IF(OR(NOT(ISNUMBER(J1883)),N(J1883)&lt;0),"Prix invalide",IF(OR(AND(F1883&lt;&gt;"",NOT(ISNUMBER(F1883))),N(F1883)&lt;0,N(F1883)&gt;1),"Remise invalide",IF(K1883="","Taux de TVA manquant",IF(NOT(ISNUMBER(K1883)),"Taux de TVA invalide",IF(COUNTIF(p_rates,K1883)=0,"Taux de TVA hors liste (Paramètres)",IF(N(O1883)&gt;25,"Au-delà de 25 lignes : non imprimée","OK")))))))))))))</f>
        <v/>
      </c>
      <c r="O1883" s="59" t="str">
        <f>IF(A1883="","",COUNTIF($A$6:A1883,A1883))</f>
        <v/>
      </c>
      <c r="P1883" s="62" t="str">
        <f>IF(A1883="","",A1883&amp;"|"&amp;O1883)</f>
        <v/>
      </c>
    </row>
    <row r="1884">
      <c r="A1884" s="60" t="n"/>
      <c r="B1884" s="63" t="n"/>
      <c r="C1884" s="63" t="n"/>
      <c r="D1884" s="67" t="n"/>
      <c r="E1884" s="68" t="n"/>
      <c r="F1884" s="69" t="n"/>
      <c r="G1884" s="70" t="n"/>
      <c r="H1884" s="62" t="str">
        <f>IF(COUNTA(A1884:G1884)=0,"",IF(C1884&lt;&gt;"",C1884,IF(B1884="","",IFERROR(INDEX(pr_des,MATCH(B1884,pr_code,0))&amp;"",""))))</f>
        <v/>
      </c>
      <c r="I1884" s="59" t="str">
        <f>IF(B1884="","",IFERROR(INDEX(pr_unit,MATCH(B1884,pr_code,0))&amp;"",""))</f>
        <v/>
      </c>
      <c r="J1884" s="65" t="str">
        <f>IF(COUNTA(A1884:G1884)=0,"",IF(E1884&lt;&gt;"",E1884,IF(B1884="","",IFERROR(IF(INDEX(pr_price,MATCH(B1884,pr_code,0))="","",INDEX(pr_price,MATCH(B1884,pr_code,0))),""))))</f>
        <v/>
      </c>
      <c r="K1884" s="71" t="str">
        <f>IF(COUNTA(A1884:G1884)=0,"",IF(G1884&lt;&gt;"",G1884,IF(B1884="","",IFERROR(IF(INDEX(pr_rate,MATCH(B1884,pr_code,0))="","",INDEX(pr_rate,MATCH(B1884,pr_code,0))),""))))</f>
        <v/>
      </c>
      <c r="L1884" s="65" t="str">
        <f>IF(COUNTA(A1884:G1884)=0,"",IF(AND(ISNUMBER(D1884),ISNUMBER(J1884)),ROUND(D1884*J1884*(1-N(F1884)),2),0))</f>
        <v/>
      </c>
      <c r="M1884" s="62" t="str">
        <f>IF(A1884="","",IFERROR(INDEX(dv_cname,MATCH(A1884,dv_num,0))&amp;"",""))</f>
        <v/>
      </c>
      <c r="N1884" s="59" t="str">
        <f>IF(COUNTA(A1884:G1884)=0,"",IF(A1884="","N° devis manquant",IF(ISNA(MATCH(A1884,dv_num,0)),"Devis inconnu",IF(AND(B1884&lt;&gt;"",ISNA(MATCH(B1884,pr_code,0))),"Article inconnu",IF(H1884="","Désignation manquante",IF(OR(NOT(ISNUMBER(D1884)),N(D1884)&lt;=0),"Quantité invalide",IF(J1884="","Prix manquant",IF(OR(NOT(ISNUMBER(J1884)),N(J1884)&lt;0),"Prix invalide",IF(OR(AND(F1884&lt;&gt;"",NOT(ISNUMBER(F1884))),N(F1884)&lt;0,N(F1884)&gt;1),"Remise invalide",IF(K1884="","Taux de TVA manquant",IF(NOT(ISNUMBER(K1884)),"Taux de TVA invalide",IF(COUNTIF(p_rates,K1884)=0,"Taux de TVA hors liste (Paramètres)",IF(N(O1884)&gt;25,"Au-delà de 25 lignes : non imprimée","OK")))))))))))))</f>
        <v/>
      </c>
      <c r="O1884" s="59" t="str">
        <f>IF(A1884="","",COUNTIF($A$6:A1884,A1884))</f>
        <v/>
      </c>
      <c r="P1884" s="62" t="str">
        <f>IF(A1884="","",A1884&amp;"|"&amp;O1884)</f>
        <v/>
      </c>
    </row>
    <row r="1885">
      <c r="A1885" s="60" t="n"/>
      <c r="B1885" s="63" t="n"/>
      <c r="C1885" s="63" t="n"/>
      <c r="D1885" s="67" t="n"/>
      <c r="E1885" s="68" t="n"/>
      <c r="F1885" s="69" t="n"/>
      <c r="G1885" s="70" t="n"/>
      <c r="H1885" s="62" t="str">
        <f>IF(COUNTA(A1885:G1885)=0,"",IF(C1885&lt;&gt;"",C1885,IF(B1885="","",IFERROR(INDEX(pr_des,MATCH(B1885,pr_code,0))&amp;"",""))))</f>
        <v/>
      </c>
      <c r="I1885" s="59" t="str">
        <f>IF(B1885="","",IFERROR(INDEX(pr_unit,MATCH(B1885,pr_code,0))&amp;"",""))</f>
        <v/>
      </c>
      <c r="J1885" s="65" t="str">
        <f>IF(COUNTA(A1885:G1885)=0,"",IF(E1885&lt;&gt;"",E1885,IF(B1885="","",IFERROR(IF(INDEX(pr_price,MATCH(B1885,pr_code,0))="","",INDEX(pr_price,MATCH(B1885,pr_code,0))),""))))</f>
        <v/>
      </c>
      <c r="K1885" s="71" t="str">
        <f>IF(COUNTA(A1885:G1885)=0,"",IF(G1885&lt;&gt;"",G1885,IF(B1885="","",IFERROR(IF(INDEX(pr_rate,MATCH(B1885,pr_code,0))="","",INDEX(pr_rate,MATCH(B1885,pr_code,0))),""))))</f>
        <v/>
      </c>
      <c r="L1885" s="65" t="str">
        <f>IF(COUNTA(A1885:G1885)=0,"",IF(AND(ISNUMBER(D1885),ISNUMBER(J1885)),ROUND(D1885*J1885*(1-N(F1885)),2),0))</f>
        <v/>
      </c>
      <c r="M1885" s="62" t="str">
        <f>IF(A1885="","",IFERROR(INDEX(dv_cname,MATCH(A1885,dv_num,0))&amp;"",""))</f>
        <v/>
      </c>
      <c r="N1885" s="59" t="str">
        <f>IF(COUNTA(A1885:G1885)=0,"",IF(A1885="","N° devis manquant",IF(ISNA(MATCH(A1885,dv_num,0)),"Devis inconnu",IF(AND(B1885&lt;&gt;"",ISNA(MATCH(B1885,pr_code,0))),"Article inconnu",IF(H1885="","Désignation manquante",IF(OR(NOT(ISNUMBER(D1885)),N(D1885)&lt;=0),"Quantité invalide",IF(J1885="","Prix manquant",IF(OR(NOT(ISNUMBER(J1885)),N(J1885)&lt;0),"Prix invalide",IF(OR(AND(F1885&lt;&gt;"",NOT(ISNUMBER(F1885))),N(F1885)&lt;0,N(F1885)&gt;1),"Remise invalide",IF(K1885="","Taux de TVA manquant",IF(NOT(ISNUMBER(K1885)),"Taux de TVA invalide",IF(COUNTIF(p_rates,K1885)=0,"Taux de TVA hors liste (Paramètres)",IF(N(O1885)&gt;25,"Au-delà de 25 lignes : non imprimée","OK")))))))))))))</f>
        <v/>
      </c>
      <c r="O1885" s="59" t="str">
        <f>IF(A1885="","",COUNTIF($A$6:A1885,A1885))</f>
        <v/>
      </c>
      <c r="P1885" s="62" t="str">
        <f>IF(A1885="","",A1885&amp;"|"&amp;O1885)</f>
        <v/>
      </c>
    </row>
    <row r="1886">
      <c r="A1886" s="60" t="n"/>
      <c r="B1886" s="63" t="n"/>
      <c r="C1886" s="63" t="n"/>
      <c r="D1886" s="67" t="n"/>
      <c r="E1886" s="68" t="n"/>
      <c r="F1886" s="69" t="n"/>
      <c r="G1886" s="70" t="n"/>
      <c r="H1886" s="62" t="str">
        <f>IF(COUNTA(A1886:G1886)=0,"",IF(C1886&lt;&gt;"",C1886,IF(B1886="","",IFERROR(INDEX(pr_des,MATCH(B1886,pr_code,0))&amp;"",""))))</f>
        <v/>
      </c>
      <c r="I1886" s="59" t="str">
        <f>IF(B1886="","",IFERROR(INDEX(pr_unit,MATCH(B1886,pr_code,0))&amp;"",""))</f>
        <v/>
      </c>
      <c r="J1886" s="65" t="str">
        <f>IF(COUNTA(A1886:G1886)=0,"",IF(E1886&lt;&gt;"",E1886,IF(B1886="","",IFERROR(IF(INDEX(pr_price,MATCH(B1886,pr_code,0))="","",INDEX(pr_price,MATCH(B1886,pr_code,0))),""))))</f>
        <v/>
      </c>
      <c r="K1886" s="71" t="str">
        <f>IF(COUNTA(A1886:G1886)=0,"",IF(G1886&lt;&gt;"",G1886,IF(B1886="","",IFERROR(IF(INDEX(pr_rate,MATCH(B1886,pr_code,0))="","",INDEX(pr_rate,MATCH(B1886,pr_code,0))),""))))</f>
        <v/>
      </c>
      <c r="L1886" s="65" t="str">
        <f>IF(COUNTA(A1886:G1886)=0,"",IF(AND(ISNUMBER(D1886),ISNUMBER(J1886)),ROUND(D1886*J1886*(1-N(F1886)),2),0))</f>
        <v/>
      </c>
      <c r="M1886" s="62" t="str">
        <f>IF(A1886="","",IFERROR(INDEX(dv_cname,MATCH(A1886,dv_num,0))&amp;"",""))</f>
        <v/>
      </c>
      <c r="N1886" s="59" t="str">
        <f>IF(COUNTA(A1886:G1886)=0,"",IF(A1886="","N° devis manquant",IF(ISNA(MATCH(A1886,dv_num,0)),"Devis inconnu",IF(AND(B1886&lt;&gt;"",ISNA(MATCH(B1886,pr_code,0))),"Article inconnu",IF(H1886="","Désignation manquante",IF(OR(NOT(ISNUMBER(D1886)),N(D1886)&lt;=0),"Quantité invalide",IF(J1886="","Prix manquant",IF(OR(NOT(ISNUMBER(J1886)),N(J1886)&lt;0),"Prix invalide",IF(OR(AND(F1886&lt;&gt;"",NOT(ISNUMBER(F1886))),N(F1886)&lt;0,N(F1886)&gt;1),"Remise invalide",IF(K1886="","Taux de TVA manquant",IF(NOT(ISNUMBER(K1886)),"Taux de TVA invalide",IF(COUNTIF(p_rates,K1886)=0,"Taux de TVA hors liste (Paramètres)",IF(N(O1886)&gt;25,"Au-delà de 25 lignes : non imprimée","OK")))))))))))))</f>
        <v/>
      </c>
      <c r="O1886" s="59" t="str">
        <f>IF(A1886="","",COUNTIF($A$6:A1886,A1886))</f>
        <v/>
      </c>
      <c r="P1886" s="62" t="str">
        <f>IF(A1886="","",A1886&amp;"|"&amp;O1886)</f>
        <v/>
      </c>
    </row>
    <row r="1887">
      <c r="A1887" s="60" t="n"/>
      <c r="B1887" s="63" t="n"/>
      <c r="C1887" s="63" t="n"/>
      <c r="D1887" s="67" t="n"/>
      <c r="E1887" s="68" t="n"/>
      <c r="F1887" s="69" t="n"/>
      <c r="G1887" s="70" t="n"/>
      <c r="H1887" s="62" t="str">
        <f>IF(COUNTA(A1887:G1887)=0,"",IF(C1887&lt;&gt;"",C1887,IF(B1887="","",IFERROR(INDEX(pr_des,MATCH(B1887,pr_code,0))&amp;"",""))))</f>
        <v/>
      </c>
      <c r="I1887" s="59" t="str">
        <f>IF(B1887="","",IFERROR(INDEX(pr_unit,MATCH(B1887,pr_code,0))&amp;"",""))</f>
        <v/>
      </c>
      <c r="J1887" s="65" t="str">
        <f>IF(COUNTA(A1887:G1887)=0,"",IF(E1887&lt;&gt;"",E1887,IF(B1887="","",IFERROR(IF(INDEX(pr_price,MATCH(B1887,pr_code,0))="","",INDEX(pr_price,MATCH(B1887,pr_code,0))),""))))</f>
        <v/>
      </c>
      <c r="K1887" s="71" t="str">
        <f>IF(COUNTA(A1887:G1887)=0,"",IF(G1887&lt;&gt;"",G1887,IF(B1887="","",IFERROR(IF(INDEX(pr_rate,MATCH(B1887,pr_code,0))="","",INDEX(pr_rate,MATCH(B1887,pr_code,0))),""))))</f>
        <v/>
      </c>
      <c r="L1887" s="65" t="str">
        <f>IF(COUNTA(A1887:G1887)=0,"",IF(AND(ISNUMBER(D1887),ISNUMBER(J1887)),ROUND(D1887*J1887*(1-N(F1887)),2),0))</f>
        <v/>
      </c>
      <c r="M1887" s="62" t="str">
        <f>IF(A1887="","",IFERROR(INDEX(dv_cname,MATCH(A1887,dv_num,0))&amp;"",""))</f>
        <v/>
      </c>
      <c r="N1887" s="59" t="str">
        <f>IF(COUNTA(A1887:G1887)=0,"",IF(A1887="","N° devis manquant",IF(ISNA(MATCH(A1887,dv_num,0)),"Devis inconnu",IF(AND(B1887&lt;&gt;"",ISNA(MATCH(B1887,pr_code,0))),"Article inconnu",IF(H1887="","Désignation manquante",IF(OR(NOT(ISNUMBER(D1887)),N(D1887)&lt;=0),"Quantité invalide",IF(J1887="","Prix manquant",IF(OR(NOT(ISNUMBER(J1887)),N(J1887)&lt;0),"Prix invalide",IF(OR(AND(F1887&lt;&gt;"",NOT(ISNUMBER(F1887))),N(F1887)&lt;0,N(F1887)&gt;1),"Remise invalide",IF(K1887="","Taux de TVA manquant",IF(NOT(ISNUMBER(K1887)),"Taux de TVA invalide",IF(COUNTIF(p_rates,K1887)=0,"Taux de TVA hors liste (Paramètres)",IF(N(O1887)&gt;25,"Au-delà de 25 lignes : non imprimée","OK")))))))))))))</f>
        <v/>
      </c>
      <c r="O1887" s="59" t="str">
        <f>IF(A1887="","",COUNTIF($A$6:A1887,A1887))</f>
        <v/>
      </c>
      <c r="P1887" s="62" t="str">
        <f>IF(A1887="","",A1887&amp;"|"&amp;O1887)</f>
        <v/>
      </c>
    </row>
    <row r="1888">
      <c r="A1888" s="60" t="n"/>
      <c r="B1888" s="63" t="n"/>
      <c r="C1888" s="63" t="n"/>
      <c r="D1888" s="67" t="n"/>
      <c r="E1888" s="68" t="n"/>
      <c r="F1888" s="69" t="n"/>
      <c r="G1888" s="70" t="n"/>
      <c r="H1888" s="62" t="str">
        <f>IF(COUNTA(A1888:G1888)=0,"",IF(C1888&lt;&gt;"",C1888,IF(B1888="","",IFERROR(INDEX(pr_des,MATCH(B1888,pr_code,0))&amp;"",""))))</f>
        <v/>
      </c>
      <c r="I1888" s="59" t="str">
        <f>IF(B1888="","",IFERROR(INDEX(pr_unit,MATCH(B1888,pr_code,0))&amp;"",""))</f>
        <v/>
      </c>
      <c r="J1888" s="65" t="str">
        <f>IF(COUNTA(A1888:G1888)=0,"",IF(E1888&lt;&gt;"",E1888,IF(B1888="","",IFERROR(IF(INDEX(pr_price,MATCH(B1888,pr_code,0))="","",INDEX(pr_price,MATCH(B1888,pr_code,0))),""))))</f>
        <v/>
      </c>
      <c r="K1888" s="71" t="str">
        <f>IF(COUNTA(A1888:G1888)=0,"",IF(G1888&lt;&gt;"",G1888,IF(B1888="","",IFERROR(IF(INDEX(pr_rate,MATCH(B1888,pr_code,0))="","",INDEX(pr_rate,MATCH(B1888,pr_code,0))),""))))</f>
        <v/>
      </c>
      <c r="L1888" s="65" t="str">
        <f>IF(COUNTA(A1888:G1888)=0,"",IF(AND(ISNUMBER(D1888),ISNUMBER(J1888)),ROUND(D1888*J1888*(1-N(F1888)),2),0))</f>
        <v/>
      </c>
      <c r="M1888" s="62" t="str">
        <f>IF(A1888="","",IFERROR(INDEX(dv_cname,MATCH(A1888,dv_num,0))&amp;"",""))</f>
        <v/>
      </c>
      <c r="N1888" s="59" t="str">
        <f>IF(COUNTA(A1888:G1888)=0,"",IF(A1888="","N° devis manquant",IF(ISNA(MATCH(A1888,dv_num,0)),"Devis inconnu",IF(AND(B1888&lt;&gt;"",ISNA(MATCH(B1888,pr_code,0))),"Article inconnu",IF(H1888="","Désignation manquante",IF(OR(NOT(ISNUMBER(D1888)),N(D1888)&lt;=0),"Quantité invalide",IF(J1888="","Prix manquant",IF(OR(NOT(ISNUMBER(J1888)),N(J1888)&lt;0),"Prix invalide",IF(OR(AND(F1888&lt;&gt;"",NOT(ISNUMBER(F1888))),N(F1888)&lt;0,N(F1888)&gt;1),"Remise invalide",IF(K1888="","Taux de TVA manquant",IF(NOT(ISNUMBER(K1888)),"Taux de TVA invalide",IF(COUNTIF(p_rates,K1888)=0,"Taux de TVA hors liste (Paramètres)",IF(N(O1888)&gt;25,"Au-delà de 25 lignes : non imprimée","OK")))))))))))))</f>
        <v/>
      </c>
      <c r="O1888" s="59" t="str">
        <f>IF(A1888="","",COUNTIF($A$6:A1888,A1888))</f>
        <v/>
      </c>
      <c r="P1888" s="62" t="str">
        <f>IF(A1888="","",A1888&amp;"|"&amp;O1888)</f>
        <v/>
      </c>
    </row>
    <row r="1889">
      <c r="A1889" s="60" t="n"/>
      <c r="B1889" s="63" t="n"/>
      <c r="C1889" s="63" t="n"/>
      <c r="D1889" s="67" t="n"/>
      <c r="E1889" s="68" t="n"/>
      <c r="F1889" s="69" t="n"/>
      <c r="G1889" s="70" t="n"/>
      <c r="H1889" s="62" t="str">
        <f>IF(COUNTA(A1889:G1889)=0,"",IF(C1889&lt;&gt;"",C1889,IF(B1889="","",IFERROR(INDEX(pr_des,MATCH(B1889,pr_code,0))&amp;"",""))))</f>
        <v/>
      </c>
      <c r="I1889" s="59" t="str">
        <f>IF(B1889="","",IFERROR(INDEX(pr_unit,MATCH(B1889,pr_code,0))&amp;"",""))</f>
        <v/>
      </c>
      <c r="J1889" s="65" t="str">
        <f>IF(COUNTA(A1889:G1889)=0,"",IF(E1889&lt;&gt;"",E1889,IF(B1889="","",IFERROR(IF(INDEX(pr_price,MATCH(B1889,pr_code,0))="","",INDEX(pr_price,MATCH(B1889,pr_code,0))),""))))</f>
        <v/>
      </c>
      <c r="K1889" s="71" t="str">
        <f>IF(COUNTA(A1889:G1889)=0,"",IF(G1889&lt;&gt;"",G1889,IF(B1889="","",IFERROR(IF(INDEX(pr_rate,MATCH(B1889,pr_code,0))="","",INDEX(pr_rate,MATCH(B1889,pr_code,0))),""))))</f>
        <v/>
      </c>
      <c r="L1889" s="65" t="str">
        <f>IF(COUNTA(A1889:G1889)=0,"",IF(AND(ISNUMBER(D1889),ISNUMBER(J1889)),ROUND(D1889*J1889*(1-N(F1889)),2),0))</f>
        <v/>
      </c>
      <c r="M1889" s="62" t="str">
        <f>IF(A1889="","",IFERROR(INDEX(dv_cname,MATCH(A1889,dv_num,0))&amp;"",""))</f>
        <v/>
      </c>
      <c r="N1889" s="59" t="str">
        <f>IF(COUNTA(A1889:G1889)=0,"",IF(A1889="","N° devis manquant",IF(ISNA(MATCH(A1889,dv_num,0)),"Devis inconnu",IF(AND(B1889&lt;&gt;"",ISNA(MATCH(B1889,pr_code,0))),"Article inconnu",IF(H1889="","Désignation manquante",IF(OR(NOT(ISNUMBER(D1889)),N(D1889)&lt;=0),"Quantité invalide",IF(J1889="","Prix manquant",IF(OR(NOT(ISNUMBER(J1889)),N(J1889)&lt;0),"Prix invalide",IF(OR(AND(F1889&lt;&gt;"",NOT(ISNUMBER(F1889))),N(F1889)&lt;0,N(F1889)&gt;1),"Remise invalide",IF(K1889="","Taux de TVA manquant",IF(NOT(ISNUMBER(K1889)),"Taux de TVA invalide",IF(COUNTIF(p_rates,K1889)=0,"Taux de TVA hors liste (Paramètres)",IF(N(O1889)&gt;25,"Au-delà de 25 lignes : non imprimée","OK")))))))))))))</f>
        <v/>
      </c>
      <c r="O1889" s="59" t="str">
        <f>IF(A1889="","",COUNTIF($A$6:A1889,A1889))</f>
        <v/>
      </c>
      <c r="P1889" s="62" t="str">
        <f>IF(A1889="","",A1889&amp;"|"&amp;O1889)</f>
        <v/>
      </c>
    </row>
    <row r="1890">
      <c r="A1890" s="60" t="n"/>
      <c r="B1890" s="63" t="n"/>
      <c r="C1890" s="63" t="n"/>
      <c r="D1890" s="67" t="n"/>
      <c r="E1890" s="68" t="n"/>
      <c r="F1890" s="69" t="n"/>
      <c r="G1890" s="70" t="n"/>
      <c r="H1890" s="62" t="str">
        <f>IF(COUNTA(A1890:G1890)=0,"",IF(C1890&lt;&gt;"",C1890,IF(B1890="","",IFERROR(INDEX(pr_des,MATCH(B1890,pr_code,0))&amp;"",""))))</f>
        <v/>
      </c>
      <c r="I1890" s="59" t="str">
        <f>IF(B1890="","",IFERROR(INDEX(pr_unit,MATCH(B1890,pr_code,0))&amp;"",""))</f>
        <v/>
      </c>
      <c r="J1890" s="65" t="str">
        <f>IF(COUNTA(A1890:G1890)=0,"",IF(E1890&lt;&gt;"",E1890,IF(B1890="","",IFERROR(IF(INDEX(pr_price,MATCH(B1890,pr_code,0))="","",INDEX(pr_price,MATCH(B1890,pr_code,0))),""))))</f>
        <v/>
      </c>
      <c r="K1890" s="71" t="str">
        <f>IF(COUNTA(A1890:G1890)=0,"",IF(G1890&lt;&gt;"",G1890,IF(B1890="","",IFERROR(IF(INDEX(pr_rate,MATCH(B1890,pr_code,0))="","",INDEX(pr_rate,MATCH(B1890,pr_code,0))),""))))</f>
        <v/>
      </c>
      <c r="L1890" s="65" t="str">
        <f>IF(COUNTA(A1890:G1890)=0,"",IF(AND(ISNUMBER(D1890),ISNUMBER(J1890)),ROUND(D1890*J1890*(1-N(F1890)),2),0))</f>
        <v/>
      </c>
      <c r="M1890" s="62" t="str">
        <f>IF(A1890="","",IFERROR(INDEX(dv_cname,MATCH(A1890,dv_num,0))&amp;"",""))</f>
        <v/>
      </c>
      <c r="N1890" s="59" t="str">
        <f>IF(COUNTA(A1890:G1890)=0,"",IF(A1890="","N° devis manquant",IF(ISNA(MATCH(A1890,dv_num,0)),"Devis inconnu",IF(AND(B1890&lt;&gt;"",ISNA(MATCH(B1890,pr_code,0))),"Article inconnu",IF(H1890="","Désignation manquante",IF(OR(NOT(ISNUMBER(D1890)),N(D1890)&lt;=0),"Quantité invalide",IF(J1890="","Prix manquant",IF(OR(NOT(ISNUMBER(J1890)),N(J1890)&lt;0),"Prix invalide",IF(OR(AND(F1890&lt;&gt;"",NOT(ISNUMBER(F1890))),N(F1890)&lt;0,N(F1890)&gt;1),"Remise invalide",IF(K1890="","Taux de TVA manquant",IF(NOT(ISNUMBER(K1890)),"Taux de TVA invalide",IF(COUNTIF(p_rates,K1890)=0,"Taux de TVA hors liste (Paramètres)",IF(N(O1890)&gt;25,"Au-delà de 25 lignes : non imprimée","OK")))))))))))))</f>
        <v/>
      </c>
      <c r="O1890" s="59" t="str">
        <f>IF(A1890="","",COUNTIF($A$6:A1890,A1890))</f>
        <v/>
      </c>
      <c r="P1890" s="62" t="str">
        <f>IF(A1890="","",A1890&amp;"|"&amp;O1890)</f>
        <v/>
      </c>
    </row>
    <row r="1891">
      <c r="A1891" s="60" t="n"/>
      <c r="B1891" s="63" t="n"/>
      <c r="C1891" s="63" t="n"/>
      <c r="D1891" s="67" t="n"/>
      <c r="E1891" s="68" t="n"/>
      <c r="F1891" s="69" t="n"/>
      <c r="G1891" s="70" t="n"/>
      <c r="H1891" s="62" t="str">
        <f>IF(COUNTA(A1891:G1891)=0,"",IF(C1891&lt;&gt;"",C1891,IF(B1891="","",IFERROR(INDEX(pr_des,MATCH(B1891,pr_code,0))&amp;"",""))))</f>
        <v/>
      </c>
      <c r="I1891" s="59" t="str">
        <f>IF(B1891="","",IFERROR(INDEX(pr_unit,MATCH(B1891,pr_code,0))&amp;"",""))</f>
        <v/>
      </c>
      <c r="J1891" s="65" t="str">
        <f>IF(COUNTA(A1891:G1891)=0,"",IF(E1891&lt;&gt;"",E1891,IF(B1891="","",IFERROR(IF(INDEX(pr_price,MATCH(B1891,pr_code,0))="","",INDEX(pr_price,MATCH(B1891,pr_code,0))),""))))</f>
        <v/>
      </c>
      <c r="K1891" s="71" t="str">
        <f>IF(COUNTA(A1891:G1891)=0,"",IF(G1891&lt;&gt;"",G1891,IF(B1891="","",IFERROR(IF(INDEX(pr_rate,MATCH(B1891,pr_code,0))="","",INDEX(pr_rate,MATCH(B1891,pr_code,0))),""))))</f>
        <v/>
      </c>
      <c r="L1891" s="65" t="str">
        <f>IF(COUNTA(A1891:G1891)=0,"",IF(AND(ISNUMBER(D1891),ISNUMBER(J1891)),ROUND(D1891*J1891*(1-N(F1891)),2),0))</f>
        <v/>
      </c>
      <c r="M1891" s="62" t="str">
        <f>IF(A1891="","",IFERROR(INDEX(dv_cname,MATCH(A1891,dv_num,0))&amp;"",""))</f>
        <v/>
      </c>
      <c r="N1891" s="59" t="str">
        <f>IF(COUNTA(A1891:G1891)=0,"",IF(A1891="","N° devis manquant",IF(ISNA(MATCH(A1891,dv_num,0)),"Devis inconnu",IF(AND(B1891&lt;&gt;"",ISNA(MATCH(B1891,pr_code,0))),"Article inconnu",IF(H1891="","Désignation manquante",IF(OR(NOT(ISNUMBER(D1891)),N(D1891)&lt;=0),"Quantité invalide",IF(J1891="","Prix manquant",IF(OR(NOT(ISNUMBER(J1891)),N(J1891)&lt;0),"Prix invalide",IF(OR(AND(F1891&lt;&gt;"",NOT(ISNUMBER(F1891))),N(F1891)&lt;0,N(F1891)&gt;1),"Remise invalide",IF(K1891="","Taux de TVA manquant",IF(NOT(ISNUMBER(K1891)),"Taux de TVA invalide",IF(COUNTIF(p_rates,K1891)=0,"Taux de TVA hors liste (Paramètres)",IF(N(O1891)&gt;25,"Au-delà de 25 lignes : non imprimée","OK")))))))))))))</f>
        <v/>
      </c>
      <c r="O1891" s="59" t="str">
        <f>IF(A1891="","",COUNTIF($A$6:A1891,A1891))</f>
        <v/>
      </c>
      <c r="P1891" s="62" t="str">
        <f>IF(A1891="","",A1891&amp;"|"&amp;O1891)</f>
        <v/>
      </c>
    </row>
    <row r="1892">
      <c r="A1892" s="60" t="n"/>
      <c r="B1892" s="63" t="n"/>
      <c r="C1892" s="63" t="n"/>
      <c r="D1892" s="67" t="n"/>
      <c r="E1892" s="68" t="n"/>
      <c r="F1892" s="69" t="n"/>
      <c r="G1892" s="70" t="n"/>
      <c r="H1892" s="62" t="str">
        <f>IF(COUNTA(A1892:G1892)=0,"",IF(C1892&lt;&gt;"",C1892,IF(B1892="","",IFERROR(INDEX(pr_des,MATCH(B1892,pr_code,0))&amp;"",""))))</f>
        <v/>
      </c>
      <c r="I1892" s="59" t="str">
        <f>IF(B1892="","",IFERROR(INDEX(pr_unit,MATCH(B1892,pr_code,0))&amp;"",""))</f>
        <v/>
      </c>
      <c r="J1892" s="65" t="str">
        <f>IF(COUNTA(A1892:G1892)=0,"",IF(E1892&lt;&gt;"",E1892,IF(B1892="","",IFERROR(IF(INDEX(pr_price,MATCH(B1892,pr_code,0))="","",INDEX(pr_price,MATCH(B1892,pr_code,0))),""))))</f>
        <v/>
      </c>
      <c r="K1892" s="71" t="str">
        <f>IF(COUNTA(A1892:G1892)=0,"",IF(G1892&lt;&gt;"",G1892,IF(B1892="","",IFERROR(IF(INDEX(pr_rate,MATCH(B1892,pr_code,0))="","",INDEX(pr_rate,MATCH(B1892,pr_code,0))),""))))</f>
        <v/>
      </c>
      <c r="L1892" s="65" t="str">
        <f>IF(COUNTA(A1892:G1892)=0,"",IF(AND(ISNUMBER(D1892),ISNUMBER(J1892)),ROUND(D1892*J1892*(1-N(F1892)),2),0))</f>
        <v/>
      </c>
      <c r="M1892" s="62" t="str">
        <f>IF(A1892="","",IFERROR(INDEX(dv_cname,MATCH(A1892,dv_num,0))&amp;"",""))</f>
        <v/>
      </c>
      <c r="N1892" s="59" t="str">
        <f>IF(COUNTA(A1892:G1892)=0,"",IF(A1892="","N° devis manquant",IF(ISNA(MATCH(A1892,dv_num,0)),"Devis inconnu",IF(AND(B1892&lt;&gt;"",ISNA(MATCH(B1892,pr_code,0))),"Article inconnu",IF(H1892="","Désignation manquante",IF(OR(NOT(ISNUMBER(D1892)),N(D1892)&lt;=0),"Quantité invalide",IF(J1892="","Prix manquant",IF(OR(NOT(ISNUMBER(J1892)),N(J1892)&lt;0),"Prix invalide",IF(OR(AND(F1892&lt;&gt;"",NOT(ISNUMBER(F1892))),N(F1892)&lt;0,N(F1892)&gt;1),"Remise invalide",IF(K1892="","Taux de TVA manquant",IF(NOT(ISNUMBER(K1892)),"Taux de TVA invalide",IF(COUNTIF(p_rates,K1892)=0,"Taux de TVA hors liste (Paramètres)",IF(N(O1892)&gt;25,"Au-delà de 25 lignes : non imprimée","OK")))))))))))))</f>
        <v/>
      </c>
      <c r="O1892" s="59" t="str">
        <f>IF(A1892="","",COUNTIF($A$6:A1892,A1892))</f>
        <v/>
      </c>
      <c r="P1892" s="62" t="str">
        <f>IF(A1892="","",A1892&amp;"|"&amp;O1892)</f>
        <v/>
      </c>
    </row>
    <row r="1893">
      <c r="A1893" s="60" t="n"/>
      <c r="B1893" s="63" t="n"/>
      <c r="C1893" s="63" t="n"/>
      <c r="D1893" s="67" t="n"/>
      <c r="E1893" s="68" t="n"/>
      <c r="F1893" s="69" t="n"/>
      <c r="G1893" s="70" t="n"/>
      <c r="H1893" s="62" t="str">
        <f>IF(COUNTA(A1893:G1893)=0,"",IF(C1893&lt;&gt;"",C1893,IF(B1893="","",IFERROR(INDEX(pr_des,MATCH(B1893,pr_code,0))&amp;"",""))))</f>
        <v/>
      </c>
      <c r="I1893" s="59" t="str">
        <f>IF(B1893="","",IFERROR(INDEX(pr_unit,MATCH(B1893,pr_code,0))&amp;"",""))</f>
        <v/>
      </c>
      <c r="J1893" s="65" t="str">
        <f>IF(COUNTA(A1893:G1893)=0,"",IF(E1893&lt;&gt;"",E1893,IF(B1893="","",IFERROR(IF(INDEX(pr_price,MATCH(B1893,pr_code,0))="","",INDEX(pr_price,MATCH(B1893,pr_code,0))),""))))</f>
        <v/>
      </c>
      <c r="K1893" s="71" t="str">
        <f>IF(COUNTA(A1893:G1893)=0,"",IF(G1893&lt;&gt;"",G1893,IF(B1893="","",IFERROR(IF(INDEX(pr_rate,MATCH(B1893,pr_code,0))="","",INDEX(pr_rate,MATCH(B1893,pr_code,0))),""))))</f>
        <v/>
      </c>
      <c r="L1893" s="65" t="str">
        <f>IF(COUNTA(A1893:G1893)=0,"",IF(AND(ISNUMBER(D1893),ISNUMBER(J1893)),ROUND(D1893*J1893*(1-N(F1893)),2),0))</f>
        <v/>
      </c>
      <c r="M1893" s="62" t="str">
        <f>IF(A1893="","",IFERROR(INDEX(dv_cname,MATCH(A1893,dv_num,0))&amp;"",""))</f>
        <v/>
      </c>
      <c r="N1893" s="59" t="str">
        <f>IF(COUNTA(A1893:G1893)=0,"",IF(A1893="","N° devis manquant",IF(ISNA(MATCH(A1893,dv_num,0)),"Devis inconnu",IF(AND(B1893&lt;&gt;"",ISNA(MATCH(B1893,pr_code,0))),"Article inconnu",IF(H1893="","Désignation manquante",IF(OR(NOT(ISNUMBER(D1893)),N(D1893)&lt;=0),"Quantité invalide",IF(J1893="","Prix manquant",IF(OR(NOT(ISNUMBER(J1893)),N(J1893)&lt;0),"Prix invalide",IF(OR(AND(F1893&lt;&gt;"",NOT(ISNUMBER(F1893))),N(F1893)&lt;0,N(F1893)&gt;1),"Remise invalide",IF(K1893="","Taux de TVA manquant",IF(NOT(ISNUMBER(K1893)),"Taux de TVA invalide",IF(COUNTIF(p_rates,K1893)=0,"Taux de TVA hors liste (Paramètres)",IF(N(O1893)&gt;25,"Au-delà de 25 lignes : non imprimée","OK")))))))))))))</f>
        <v/>
      </c>
      <c r="O1893" s="59" t="str">
        <f>IF(A1893="","",COUNTIF($A$6:A1893,A1893))</f>
        <v/>
      </c>
      <c r="P1893" s="62" t="str">
        <f>IF(A1893="","",A1893&amp;"|"&amp;O1893)</f>
        <v/>
      </c>
    </row>
    <row r="1894">
      <c r="A1894" s="60" t="n"/>
      <c r="B1894" s="63" t="n"/>
      <c r="C1894" s="63" t="n"/>
      <c r="D1894" s="67" t="n"/>
      <c r="E1894" s="68" t="n"/>
      <c r="F1894" s="69" t="n"/>
      <c r="G1894" s="70" t="n"/>
      <c r="H1894" s="62" t="str">
        <f>IF(COUNTA(A1894:G1894)=0,"",IF(C1894&lt;&gt;"",C1894,IF(B1894="","",IFERROR(INDEX(pr_des,MATCH(B1894,pr_code,0))&amp;"",""))))</f>
        <v/>
      </c>
      <c r="I1894" s="59" t="str">
        <f>IF(B1894="","",IFERROR(INDEX(pr_unit,MATCH(B1894,pr_code,0))&amp;"",""))</f>
        <v/>
      </c>
      <c r="J1894" s="65" t="str">
        <f>IF(COUNTA(A1894:G1894)=0,"",IF(E1894&lt;&gt;"",E1894,IF(B1894="","",IFERROR(IF(INDEX(pr_price,MATCH(B1894,pr_code,0))="","",INDEX(pr_price,MATCH(B1894,pr_code,0))),""))))</f>
        <v/>
      </c>
      <c r="K1894" s="71" t="str">
        <f>IF(COUNTA(A1894:G1894)=0,"",IF(G1894&lt;&gt;"",G1894,IF(B1894="","",IFERROR(IF(INDEX(pr_rate,MATCH(B1894,pr_code,0))="","",INDEX(pr_rate,MATCH(B1894,pr_code,0))),""))))</f>
        <v/>
      </c>
      <c r="L1894" s="65" t="str">
        <f>IF(COUNTA(A1894:G1894)=0,"",IF(AND(ISNUMBER(D1894),ISNUMBER(J1894)),ROUND(D1894*J1894*(1-N(F1894)),2),0))</f>
        <v/>
      </c>
      <c r="M1894" s="62" t="str">
        <f>IF(A1894="","",IFERROR(INDEX(dv_cname,MATCH(A1894,dv_num,0))&amp;"",""))</f>
        <v/>
      </c>
      <c r="N1894" s="59" t="str">
        <f>IF(COUNTA(A1894:G1894)=0,"",IF(A1894="","N° devis manquant",IF(ISNA(MATCH(A1894,dv_num,0)),"Devis inconnu",IF(AND(B1894&lt;&gt;"",ISNA(MATCH(B1894,pr_code,0))),"Article inconnu",IF(H1894="","Désignation manquante",IF(OR(NOT(ISNUMBER(D1894)),N(D1894)&lt;=0),"Quantité invalide",IF(J1894="","Prix manquant",IF(OR(NOT(ISNUMBER(J1894)),N(J1894)&lt;0),"Prix invalide",IF(OR(AND(F1894&lt;&gt;"",NOT(ISNUMBER(F1894))),N(F1894)&lt;0,N(F1894)&gt;1),"Remise invalide",IF(K1894="","Taux de TVA manquant",IF(NOT(ISNUMBER(K1894)),"Taux de TVA invalide",IF(COUNTIF(p_rates,K1894)=0,"Taux de TVA hors liste (Paramètres)",IF(N(O1894)&gt;25,"Au-delà de 25 lignes : non imprimée","OK")))))))))))))</f>
        <v/>
      </c>
      <c r="O1894" s="59" t="str">
        <f>IF(A1894="","",COUNTIF($A$6:A1894,A1894))</f>
        <v/>
      </c>
      <c r="P1894" s="62" t="str">
        <f>IF(A1894="","",A1894&amp;"|"&amp;O1894)</f>
        <v/>
      </c>
    </row>
    <row r="1895">
      <c r="A1895" s="60" t="n"/>
      <c r="B1895" s="63" t="n"/>
      <c r="C1895" s="63" t="n"/>
      <c r="D1895" s="67" t="n"/>
      <c r="E1895" s="68" t="n"/>
      <c r="F1895" s="69" t="n"/>
      <c r="G1895" s="70" t="n"/>
      <c r="H1895" s="62" t="str">
        <f>IF(COUNTA(A1895:G1895)=0,"",IF(C1895&lt;&gt;"",C1895,IF(B1895="","",IFERROR(INDEX(pr_des,MATCH(B1895,pr_code,0))&amp;"",""))))</f>
        <v/>
      </c>
      <c r="I1895" s="59" t="str">
        <f>IF(B1895="","",IFERROR(INDEX(pr_unit,MATCH(B1895,pr_code,0))&amp;"",""))</f>
        <v/>
      </c>
      <c r="J1895" s="65" t="str">
        <f>IF(COUNTA(A1895:G1895)=0,"",IF(E1895&lt;&gt;"",E1895,IF(B1895="","",IFERROR(IF(INDEX(pr_price,MATCH(B1895,pr_code,0))="","",INDEX(pr_price,MATCH(B1895,pr_code,0))),""))))</f>
        <v/>
      </c>
      <c r="K1895" s="71" t="str">
        <f>IF(COUNTA(A1895:G1895)=0,"",IF(G1895&lt;&gt;"",G1895,IF(B1895="","",IFERROR(IF(INDEX(pr_rate,MATCH(B1895,pr_code,0))="","",INDEX(pr_rate,MATCH(B1895,pr_code,0))),""))))</f>
        <v/>
      </c>
      <c r="L1895" s="65" t="str">
        <f>IF(COUNTA(A1895:G1895)=0,"",IF(AND(ISNUMBER(D1895),ISNUMBER(J1895)),ROUND(D1895*J1895*(1-N(F1895)),2),0))</f>
        <v/>
      </c>
      <c r="M1895" s="62" t="str">
        <f>IF(A1895="","",IFERROR(INDEX(dv_cname,MATCH(A1895,dv_num,0))&amp;"",""))</f>
        <v/>
      </c>
      <c r="N1895" s="59" t="str">
        <f>IF(COUNTA(A1895:G1895)=0,"",IF(A1895="","N° devis manquant",IF(ISNA(MATCH(A1895,dv_num,0)),"Devis inconnu",IF(AND(B1895&lt;&gt;"",ISNA(MATCH(B1895,pr_code,0))),"Article inconnu",IF(H1895="","Désignation manquante",IF(OR(NOT(ISNUMBER(D1895)),N(D1895)&lt;=0),"Quantité invalide",IF(J1895="","Prix manquant",IF(OR(NOT(ISNUMBER(J1895)),N(J1895)&lt;0),"Prix invalide",IF(OR(AND(F1895&lt;&gt;"",NOT(ISNUMBER(F1895))),N(F1895)&lt;0,N(F1895)&gt;1),"Remise invalide",IF(K1895="","Taux de TVA manquant",IF(NOT(ISNUMBER(K1895)),"Taux de TVA invalide",IF(COUNTIF(p_rates,K1895)=0,"Taux de TVA hors liste (Paramètres)",IF(N(O1895)&gt;25,"Au-delà de 25 lignes : non imprimée","OK")))))))))))))</f>
        <v/>
      </c>
      <c r="O1895" s="59" t="str">
        <f>IF(A1895="","",COUNTIF($A$6:A1895,A1895))</f>
        <v/>
      </c>
      <c r="P1895" s="62" t="str">
        <f>IF(A1895="","",A1895&amp;"|"&amp;O1895)</f>
        <v/>
      </c>
    </row>
    <row r="1896">
      <c r="A1896" s="60" t="n"/>
      <c r="B1896" s="63" t="n"/>
      <c r="C1896" s="63" t="n"/>
      <c r="D1896" s="67" t="n"/>
      <c r="E1896" s="68" t="n"/>
      <c r="F1896" s="69" t="n"/>
      <c r="G1896" s="70" t="n"/>
      <c r="H1896" s="62" t="str">
        <f>IF(COUNTA(A1896:G1896)=0,"",IF(C1896&lt;&gt;"",C1896,IF(B1896="","",IFERROR(INDEX(pr_des,MATCH(B1896,pr_code,0))&amp;"",""))))</f>
        <v/>
      </c>
      <c r="I1896" s="59" t="str">
        <f>IF(B1896="","",IFERROR(INDEX(pr_unit,MATCH(B1896,pr_code,0))&amp;"",""))</f>
        <v/>
      </c>
      <c r="J1896" s="65" t="str">
        <f>IF(COUNTA(A1896:G1896)=0,"",IF(E1896&lt;&gt;"",E1896,IF(B1896="","",IFERROR(IF(INDEX(pr_price,MATCH(B1896,pr_code,0))="","",INDEX(pr_price,MATCH(B1896,pr_code,0))),""))))</f>
        <v/>
      </c>
      <c r="K1896" s="71" t="str">
        <f>IF(COUNTA(A1896:G1896)=0,"",IF(G1896&lt;&gt;"",G1896,IF(B1896="","",IFERROR(IF(INDEX(pr_rate,MATCH(B1896,pr_code,0))="","",INDEX(pr_rate,MATCH(B1896,pr_code,0))),""))))</f>
        <v/>
      </c>
      <c r="L1896" s="65" t="str">
        <f>IF(COUNTA(A1896:G1896)=0,"",IF(AND(ISNUMBER(D1896),ISNUMBER(J1896)),ROUND(D1896*J1896*(1-N(F1896)),2),0))</f>
        <v/>
      </c>
      <c r="M1896" s="62" t="str">
        <f>IF(A1896="","",IFERROR(INDEX(dv_cname,MATCH(A1896,dv_num,0))&amp;"",""))</f>
        <v/>
      </c>
      <c r="N1896" s="59" t="str">
        <f>IF(COUNTA(A1896:G1896)=0,"",IF(A1896="","N° devis manquant",IF(ISNA(MATCH(A1896,dv_num,0)),"Devis inconnu",IF(AND(B1896&lt;&gt;"",ISNA(MATCH(B1896,pr_code,0))),"Article inconnu",IF(H1896="","Désignation manquante",IF(OR(NOT(ISNUMBER(D1896)),N(D1896)&lt;=0),"Quantité invalide",IF(J1896="","Prix manquant",IF(OR(NOT(ISNUMBER(J1896)),N(J1896)&lt;0),"Prix invalide",IF(OR(AND(F1896&lt;&gt;"",NOT(ISNUMBER(F1896))),N(F1896)&lt;0,N(F1896)&gt;1),"Remise invalide",IF(K1896="","Taux de TVA manquant",IF(NOT(ISNUMBER(K1896)),"Taux de TVA invalide",IF(COUNTIF(p_rates,K1896)=0,"Taux de TVA hors liste (Paramètres)",IF(N(O1896)&gt;25,"Au-delà de 25 lignes : non imprimée","OK")))))))))))))</f>
        <v/>
      </c>
      <c r="O1896" s="59" t="str">
        <f>IF(A1896="","",COUNTIF($A$6:A1896,A1896))</f>
        <v/>
      </c>
      <c r="P1896" s="62" t="str">
        <f>IF(A1896="","",A1896&amp;"|"&amp;O1896)</f>
        <v/>
      </c>
    </row>
    <row r="1897">
      <c r="A1897" s="60" t="n"/>
      <c r="B1897" s="63" t="n"/>
      <c r="C1897" s="63" t="n"/>
      <c r="D1897" s="67" t="n"/>
      <c r="E1897" s="68" t="n"/>
      <c r="F1897" s="69" t="n"/>
      <c r="G1897" s="70" t="n"/>
      <c r="H1897" s="62" t="str">
        <f>IF(COUNTA(A1897:G1897)=0,"",IF(C1897&lt;&gt;"",C1897,IF(B1897="","",IFERROR(INDEX(pr_des,MATCH(B1897,pr_code,0))&amp;"",""))))</f>
        <v/>
      </c>
      <c r="I1897" s="59" t="str">
        <f>IF(B1897="","",IFERROR(INDEX(pr_unit,MATCH(B1897,pr_code,0))&amp;"",""))</f>
        <v/>
      </c>
      <c r="J1897" s="65" t="str">
        <f>IF(COUNTA(A1897:G1897)=0,"",IF(E1897&lt;&gt;"",E1897,IF(B1897="","",IFERROR(IF(INDEX(pr_price,MATCH(B1897,pr_code,0))="","",INDEX(pr_price,MATCH(B1897,pr_code,0))),""))))</f>
        <v/>
      </c>
      <c r="K1897" s="71" t="str">
        <f>IF(COUNTA(A1897:G1897)=0,"",IF(G1897&lt;&gt;"",G1897,IF(B1897="","",IFERROR(IF(INDEX(pr_rate,MATCH(B1897,pr_code,0))="","",INDEX(pr_rate,MATCH(B1897,pr_code,0))),""))))</f>
        <v/>
      </c>
      <c r="L1897" s="65" t="str">
        <f>IF(COUNTA(A1897:G1897)=0,"",IF(AND(ISNUMBER(D1897),ISNUMBER(J1897)),ROUND(D1897*J1897*(1-N(F1897)),2),0))</f>
        <v/>
      </c>
      <c r="M1897" s="62" t="str">
        <f>IF(A1897="","",IFERROR(INDEX(dv_cname,MATCH(A1897,dv_num,0))&amp;"",""))</f>
        <v/>
      </c>
      <c r="N1897" s="59" t="str">
        <f>IF(COUNTA(A1897:G1897)=0,"",IF(A1897="","N° devis manquant",IF(ISNA(MATCH(A1897,dv_num,0)),"Devis inconnu",IF(AND(B1897&lt;&gt;"",ISNA(MATCH(B1897,pr_code,0))),"Article inconnu",IF(H1897="","Désignation manquante",IF(OR(NOT(ISNUMBER(D1897)),N(D1897)&lt;=0),"Quantité invalide",IF(J1897="","Prix manquant",IF(OR(NOT(ISNUMBER(J1897)),N(J1897)&lt;0),"Prix invalide",IF(OR(AND(F1897&lt;&gt;"",NOT(ISNUMBER(F1897))),N(F1897)&lt;0,N(F1897)&gt;1),"Remise invalide",IF(K1897="","Taux de TVA manquant",IF(NOT(ISNUMBER(K1897)),"Taux de TVA invalide",IF(COUNTIF(p_rates,K1897)=0,"Taux de TVA hors liste (Paramètres)",IF(N(O1897)&gt;25,"Au-delà de 25 lignes : non imprimée","OK")))))))))))))</f>
        <v/>
      </c>
      <c r="O1897" s="59" t="str">
        <f>IF(A1897="","",COUNTIF($A$6:A1897,A1897))</f>
        <v/>
      </c>
      <c r="P1897" s="62" t="str">
        <f>IF(A1897="","",A1897&amp;"|"&amp;O1897)</f>
        <v/>
      </c>
    </row>
    <row r="1898">
      <c r="A1898" s="60" t="n"/>
      <c r="B1898" s="63" t="n"/>
      <c r="C1898" s="63" t="n"/>
      <c r="D1898" s="67" t="n"/>
      <c r="E1898" s="68" t="n"/>
      <c r="F1898" s="69" t="n"/>
      <c r="G1898" s="70" t="n"/>
      <c r="H1898" s="62" t="str">
        <f>IF(COUNTA(A1898:G1898)=0,"",IF(C1898&lt;&gt;"",C1898,IF(B1898="","",IFERROR(INDEX(pr_des,MATCH(B1898,pr_code,0))&amp;"",""))))</f>
        <v/>
      </c>
      <c r="I1898" s="59" t="str">
        <f>IF(B1898="","",IFERROR(INDEX(pr_unit,MATCH(B1898,pr_code,0))&amp;"",""))</f>
        <v/>
      </c>
      <c r="J1898" s="65" t="str">
        <f>IF(COUNTA(A1898:G1898)=0,"",IF(E1898&lt;&gt;"",E1898,IF(B1898="","",IFERROR(IF(INDEX(pr_price,MATCH(B1898,pr_code,0))="","",INDEX(pr_price,MATCH(B1898,pr_code,0))),""))))</f>
        <v/>
      </c>
      <c r="K1898" s="71" t="str">
        <f>IF(COUNTA(A1898:G1898)=0,"",IF(G1898&lt;&gt;"",G1898,IF(B1898="","",IFERROR(IF(INDEX(pr_rate,MATCH(B1898,pr_code,0))="","",INDEX(pr_rate,MATCH(B1898,pr_code,0))),""))))</f>
        <v/>
      </c>
      <c r="L1898" s="65" t="str">
        <f>IF(COUNTA(A1898:G1898)=0,"",IF(AND(ISNUMBER(D1898),ISNUMBER(J1898)),ROUND(D1898*J1898*(1-N(F1898)),2),0))</f>
        <v/>
      </c>
      <c r="M1898" s="62" t="str">
        <f>IF(A1898="","",IFERROR(INDEX(dv_cname,MATCH(A1898,dv_num,0))&amp;"",""))</f>
        <v/>
      </c>
      <c r="N1898" s="59" t="str">
        <f>IF(COUNTA(A1898:G1898)=0,"",IF(A1898="","N° devis manquant",IF(ISNA(MATCH(A1898,dv_num,0)),"Devis inconnu",IF(AND(B1898&lt;&gt;"",ISNA(MATCH(B1898,pr_code,0))),"Article inconnu",IF(H1898="","Désignation manquante",IF(OR(NOT(ISNUMBER(D1898)),N(D1898)&lt;=0),"Quantité invalide",IF(J1898="","Prix manquant",IF(OR(NOT(ISNUMBER(J1898)),N(J1898)&lt;0),"Prix invalide",IF(OR(AND(F1898&lt;&gt;"",NOT(ISNUMBER(F1898))),N(F1898)&lt;0,N(F1898)&gt;1),"Remise invalide",IF(K1898="","Taux de TVA manquant",IF(NOT(ISNUMBER(K1898)),"Taux de TVA invalide",IF(COUNTIF(p_rates,K1898)=0,"Taux de TVA hors liste (Paramètres)",IF(N(O1898)&gt;25,"Au-delà de 25 lignes : non imprimée","OK")))))))))))))</f>
        <v/>
      </c>
      <c r="O1898" s="59" t="str">
        <f>IF(A1898="","",COUNTIF($A$6:A1898,A1898))</f>
        <v/>
      </c>
      <c r="P1898" s="62" t="str">
        <f>IF(A1898="","",A1898&amp;"|"&amp;O1898)</f>
        <v/>
      </c>
    </row>
    <row r="1899">
      <c r="A1899" s="60" t="n"/>
      <c r="B1899" s="63" t="n"/>
      <c r="C1899" s="63" t="n"/>
      <c r="D1899" s="67" t="n"/>
      <c r="E1899" s="68" t="n"/>
      <c r="F1899" s="69" t="n"/>
      <c r="G1899" s="70" t="n"/>
      <c r="H1899" s="62" t="str">
        <f>IF(COUNTA(A1899:G1899)=0,"",IF(C1899&lt;&gt;"",C1899,IF(B1899="","",IFERROR(INDEX(pr_des,MATCH(B1899,pr_code,0))&amp;"",""))))</f>
        <v/>
      </c>
      <c r="I1899" s="59" t="str">
        <f>IF(B1899="","",IFERROR(INDEX(pr_unit,MATCH(B1899,pr_code,0))&amp;"",""))</f>
        <v/>
      </c>
      <c r="J1899" s="65" t="str">
        <f>IF(COUNTA(A1899:G1899)=0,"",IF(E1899&lt;&gt;"",E1899,IF(B1899="","",IFERROR(IF(INDEX(pr_price,MATCH(B1899,pr_code,0))="","",INDEX(pr_price,MATCH(B1899,pr_code,0))),""))))</f>
        <v/>
      </c>
      <c r="K1899" s="71" t="str">
        <f>IF(COUNTA(A1899:G1899)=0,"",IF(G1899&lt;&gt;"",G1899,IF(B1899="","",IFERROR(IF(INDEX(pr_rate,MATCH(B1899,pr_code,0))="","",INDEX(pr_rate,MATCH(B1899,pr_code,0))),""))))</f>
        <v/>
      </c>
      <c r="L1899" s="65" t="str">
        <f>IF(COUNTA(A1899:G1899)=0,"",IF(AND(ISNUMBER(D1899),ISNUMBER(J1899)),ROUND(D1899*J1899*(1-N(F1899)),2),0))</f>
        <v/>
      </c>
      <c r="M1899" s="62" t="str">
        <f>IF(A1899="","",IFERROR(INDEX(dv_cname,MATCH(A1899,dv_num,0))&amp;"",""))</f>
        <v/>
      </c>
      <c r="N1899" s="59" t="str">
        <f>IF(COUNTA(A1899:G1899)=0,"",IF(A1899="","N° devis manquant",IF(ISNA(MATCH(A1899,dv_num,0)),"Devis inconnu",IF(AND(B1899&lt;&gt;"",ISNA(MATCH(B1899,pr_code,0))),"Article inconnu",IF(H1899="","Désignation manquante",IF(OR(NOT(ISNUMBER(D1899)),N(D1899)&lt;=0),"Quantité invalide",IF(J1899="","Prix manquant",IF(OR(NOT(ISNUMBER(J1899)),N(J1899)&lt;0),"Prix invalide",IF(OR(AND(F1899&lt;&gt;"",NOT(ISNUMBER(F1899))),N(F1899)&lt;0,N(F1899)&gt;1),"Remise invalide",IF(K1899="","Taux de TVA manquant",IF(NOT(ISNUMBER(K1899)),"Taux de TVA invalide",IF(COUNTIF(p_rates,K1899)=0,"Taux de TVA hors liste (Paramètres)",IF(N(O1899)&gt;25,"Au-delà de 25 lignes : non imprimée","OK")))))))))))))</f>
        <v/>
      </c>
      <c r="O1899" s="59" t="str">
        <f>IF(A1899="","",COUNTIF($A$6:A1899,A1899))</f>
        <v/>
      </c>
      <c r="P1899" s="62" t="str">
        <f>IF(A1899="","",A1899&amp;"|"&amp;O1899)</f>
        <v/>
      </c>
    </row>
    <row r="1900">
      <c r="A1900" s="60" t="n"/>
      <c r="B1900" s="63" t="n"/>
      <c r="C1900" s="63" t="n"/>
      <c r="D1900" s="67" t="n"/>
      <c r="E1900" s="68" t="n"/>
      <c r="F1900" s="69" t="n"/>
      <c r="G1900" s="70" t="n"/>
      <c r="H1900" s="62" t="str">
        <f>IF(COUNTA(A1900:G1900)=0,"",IF(C1900&lt;&gt;"",C1900,IF(B1900="","",IFERROR(INDEX(pr_des,MATCH(B1900,pr_code,0))&amp;"",""))))</f>
        <v/>
      </c>
      <c r="I1900" s="59" t="str">
        <f>IF(B1900="","",IFERROR(INDEX(pr_unit,MATCH(B1900,pr_code,0))&amp;"",""))</f>
        <v/>
      </c>
      <c r="J1900" s="65" t="str">
        <f>IF(COUNTA(A1900:G1900)=0,"",IF(E1900&lt;&gt;"",E1900,IF(B1900="","",IFERROR(IF(INDEX(pr_price,MATCH(B1900,pr_code,0))="","",INDEX(pr_price,MATCH(B1900,pr_code,0))),""))))</f>
        <v/>
      </c>
      <c r="K1900" s="71" t="str">
        <f>IF(COUNTA(A1900:G1900)=0,"",IF(G1900&lt;&gt;"",G1900,IF(B1900="","",IFERROR(IF(INDEX(pr_rate,MATCH(B1900,pr_code,0))="","",INDEX(pr_rate,MATCH(B1900,pr_code,0))),""))))</f>
        <v/>
      </c>
      <c r="L1900" s="65" t="str">
        <f>IF(COUNTA(A1900:G1900)=0,"",IF(AND(ISNUMBER(D1900),ISNUMBER(J1900)),ROUND(D1900*J1900*(1-N(F1900)),2),0))</f>
        <v/>
      </c>
      <c r="M1900" s="62" t="str">
        <f>IF(A1900="","",IFERROR(INDEX(dv_cname,MATCH(A1900,dv_num,0))&amp;"",""))</f>
        <v/>
      </c>
      <c r="N1900" s="59" t="str">
        <f>IF(COUNTA(A1900:G1900)=0,"",IF(A1900="","N° devis manquant",IF(ISNA(MATCH(A1900,dv_num,0)),"Devis inconnu",IF(AND(B1900&lt;&gt;"",ISNA(MATCH(B1900,pr_code,0))),"Article inconnu",IF(H1900="","Désignation manquante",IF(OR(NOT(ISNUMBER(D1900)),N(D1900)&lt;=0),"Quantité invalide",IF(J1900="","Prix manquant",IF(OR(NOT(ISNUMBER(J1900)),N(J1900)&lt;0),"Prix invalide",IF(OR(AND(F1900&lt;&gt;"",NOT(ISNUMBER(F1900))),N(F1900)&lt;0,N(F1900)&gt;1),"Remise invalide",IF(K1900="","Taux de TVA manquant",IF(NOT(ISNUMBER(K1900)),"Taux de TVA invalide",IF(COUNTIF(p_rates,K1900)=0,"Taux de TVA hors liste (Paramètres)",IF(N(O1900)&gt;25,"Au-delà de 25 lignes : non imprimée","OK")))))))))))))</f>
        <v/>
      </c>
      <c r="O1900" s="59" t="str">
        <f>IF(A1900="","",COUNTIF($A$6:A1900,A1900))</f>
        <v/>
      </c>
      <c r="P1900" s="62" t="str">
        <f>IF(A1900="","",A1900&amp;"|"&amp;O1900)</f>
        <v/>
      </c>
    </row>
    <row r="1901">
      <c r="A1901" s="60" t="n"/>
      <c r="B1901" s="63" t="n"/>
      <c r="C1901" s="63" t="n"/>
      <c r="D1901" s="67" t="n"/>
      <c r="E1901" s="68" t="n"/>
      <c r="F1901" s="69" t="n"/>
      <c r="G1901" s="70" t="n"/>
      <c r="H1901" s="62" t="str">
        <f>IF(COUNTA(A1901:G1901)=0,"",IF(C1901&lt;&gt;"",C1901,IF(B1901="","",IFERROR(INDEX(pr_des,MATCH(B1901,pr_code,0))&amp;"",""))))</f>
        <v/>
      </c>
      <c r="I1901" s="59" t="str">
        <f>IF(B1901="","",IFERROR(INDEX(pr_unit,MATCH(B1901,pr_code,0))&amp;"",""))</f>
        <v/>
      </c>
      <c r="J1901" s="65" t="str">
        <f>IF(COUNTA(A1901:G1901)=0,"",IF(E1901&lt;&gt;"",E1901,IF(B1901="","",IFERROR(IF(INDEX(pr_price,MATCH(B1901,pr_code,0))="","",INDEX(pr_price,MATCH(B1901,pr_code,0))),""))))</f>
        <v/>
      </c>
      <c r="K1901" s="71" t="str">
        <f>IF(COUNTA(A1901:G1901)=0,"",IF(G1901&lt;&gt;"",G1901,IF(B1901="","",IFERROR(IF(INDEX(pr_rate,MATCH(B1901,pr_code,0))="","",INDEX(pr_rate,MATCH(B1901,pr_code,0))),""))))</f>
        <v/>
      </c>
      <c r="L1901" s="65" t="str">
        <f>IF(COUNTA(A1901:G1901)=0,"",IF(AND(ISNUMBER(D1901),ISNUMBER(J1901)),ROUND(D1901*J1901*(1-N(F1901)),2),0))</f>
        <v/>
      </c>
      <c r="M1901" s="62" t="str">
        <f>IF(A1901="","",IFERROR(INDEX(dv_cname,MATCH(A1901,dv_num,0))&amp;"",""))</f>
        <v/>
      </c>
      <c r="N1901" s="59" t="str">
        <f>IF(COUNTA(A1901:G1901)=0,"",IF(A1901="","N° devis manquant",IF(ISNA(MATCH(A1901,dv_num,0)),"Devis inconnu",IF(AND(B1901&lt;&gt;"",ISNA(MATCH(B1901,pr_code,0))),"Article inconnu",IF(H1901="","Désignation manquante",IF(OR(NOT(ISNUMBER(D1901)),N(D1901)&lt;=0),"Quantité invalide",IF(J1901="","Prix manquant",IF(OR(NOT(ISNUMBER(J1901)),N(J1901)&lt;0),"Prix invalide",IF(OR(AND(F1901&lt;&gt;"",NOT(ISNUMBER(F1901))),N(F1901)&lt;0,N(F1901)&gt;1),"Remise invalide",IF(K1901="","Taux de TVA manquant",IF(NOT(ISNUMBER(K1901)),"Taux de TVA invalide",IF(COUNTIF(p_rates,K1901)=0,"Taux de TVA hors liste (Paramètres)",IF(N(O1901)&gt;25,"Au-delà de 25 lignes : non imprimée","OK")))))))))))))</f>
        <v/>
      </c>
      <c r="O1901" s="59" t="str">
        <f>IF(A1901="","",COUNTIF($A$6:A1901,A1901))</f>
        <v/>
      </c>
      <c r="P1901" s="62" t="str">
        <f>IF(A1901="","",A1901&amp;"|"&amp;O1901)</f>
        <v/>
      </c>
    </row>
    <row r="1902">
      <c r="A1902" s="60" t="n"/>
      <c r="B1902" s="63" t="n"/>
      <c r="C1902" s="63" t="n"/>
      <c r="D1902" s="67" t="n"/>
      <c r="E1902" s="68" t="n"/>
      <c r="F1902" s="69" t="n"/>
      <c r="G1902" s="70" t="n"/>
      <c r="H1902" s="62" t="str">
        <f>IF(COUNTA(A1902:G1902)=0,"",IF(C1902&lt;&gt;"",C1902,IF(B1902="","",IFERROR(INDEX(pr_des,MATCH(B1902,pr_code,0))&amp;"",""))))</f>
        <v/>
      </c>
      <c r="I1902" s="59" t="str">
        <f>IF(B1902="","",IFERROR(INDEX(pr_unit,MATCH(B1902,pr_code,0))&amp;"",""))</f>
        <v/>
      </c>
      <c r="J1902" s="65" t="str">
        <f>IF(COUNTA(A1902:G1902)=0,"",IF(E1902&lt;&gt;"",E1902,IF(B1902="","",IFERROR(IF(INDEX(pr_price,MATCH(B1902,pr_code,0))="","",INDEX(pr_price,MATCH(B1902,pr_code,0))),""))))</f>
        <v/>
      </c>
      <c r="K1902" s="71" t="str">
        <f>IF(COUNTA(A1902:G1902)=0,"",IF(G1902&lt;&gt;"",G1902,IF(B1902="","",IFERROR(IF(INDEX(pr_rate,MATCH(B1902,pr_code,0))="","",INDEX(pr_rate,MATCH(B1902,pr_code,0))),""))))</f>
        <v/>
      </c>
      <c r="L1902" s="65" t="str">
        <f>IF(COUNTA(A1902:G1902)=0,"",IF(AND(ISNUMBER(D1902),ISNUMBER(J1902)),ROUND(D1902*J1902*(1-N(F1902)),2),0))</f>
        <v/>
      </c>
      <c r="M1902" s="62" t="str">
        <f>IF(A1902="","",IFERROR(INDEX(dv_cname,MATCH(A1902,dv_num,0))&amp;"",""))</f>
        <v/>
      </c>
      <c r="N1902" s="59" t="str">
        <f>IF(COUNTA(A1902:G1902)=0,"",IF(A1902="","N° devis manquant",IF(ISNA(MATCH(A1902,dv_num,0)),"Devis inconnu",IF(AND(B1902&lt;&gt;"",ISNA(MATCH(B1902,pr_code,0))),"Article inconnu",IF(H1902="","Désignation manquante",IF(OR(NOT(ISNUMBER(D1902)),N(D1902)&lt;=0),"Quantité invalide",IF(J1902="","Prix manquant",IF(OR(NOT(ISNUMBER(J1902)),N(J1902)&lt;0),"Prix invalide",IF(OR(AND(F1902&lt;&gt;"",NOT(ISNUMBER(F1902))),N(F1902)&lt;0,N(F1902)&gt;1),"Remise invalide",IF(K1902="","Taux de TVA manquant",IF(NOT(ISNUMBER(K1902)),"Taux de TVA invalide",IF(COUNTIF(p_rates,K1902)=0,"Taux de TVA hors liste (Paramètres)",IF(N(O1902)&gt;25,"Au-delà de 25 lignes : non imprimée","OK")))))))))))))</f>
        <v/>
      </c>
      <c r="O1902" s="59" t="str">
        <f>IF(A1902="","",COUNTIF($A$6:A1902,A1902))</f>
        <v/>
      </c>
      <c r="P1902" s="62" t="str">
        <f>IF(A1902="","",A1902&amp;"|"&amp;O1902)</f>
        <v/>
      </c>
    </row>
    <row r="1903">
      <c r="A1903" s="60" t="n"/>
      <c r="B1903" s="63" t="n"/>
      <c r="C1903" s="63" t="n"/>
      <c r="D1903" s="67" t="n"/>
      <c r="E1903" s="68" t="n"/>
      <c r="F1903" s="69" t="n"/>
      <c r="G1903" s="70" t="n"/>
      <c r="H1903" s="62" t="str">
        <f>IF(COUNTA(A1903:G1903)=0,"",IF(C1903&lt;&gt;"",C1903,IF(B1903="","",IFERROR(INDEX(pr_des,MATCH(B1903,pr_code,0))&amp;"",""))))</f>
        <v/>
      </c>
      <c r="I1903" s="59" t="str">
        <f>IF(B1903="","",IFERROR(INDEX(pr_unit,MATCH(B1903,pr_code,0))&amp;"",""))</f>
        <v/>
      </c>
      <c r="J1903" s="65" t="str">
        <f>IF(COUNTA(A1903:G1903)=0,"",IF(E1903&lt;&gt;"",E1903,IF(B1903="","",IFERROR(IF(INDEX(pr_price,MATCH(B1903,pr_code,0))="","",INDEX(pr_price,MATCH(B1903,pr_code,0))),""))))</f>
        <v/>
      </c>
      <c r="K1903" s="71" t="str">
        <f>IF(COUNTA(A1903:G1903)=0,"",IF(G1903&lt;&gt;"",G1903,IF(B1903="","",IFERROR(IF(INDEX(pr_rate,MATCH(B1903,pr_code,0))="","",INDEX(pr_rate,MATCH(B1903,pr_code,0))),""))))</f>
        <v/>
      </c>
      <c r="L1903" s="65" t="str">
        <f>IF(COUNTA(A1903:G1903)=0,"",IF(AND(ISNUMBER(D1903),ISNUMBER(J1903)),ROUND(D1903*J1903*(1-N(F1903)),2),0))</f>
        <v/>
      </c>
      <c r="M1903" s="62" t="str">
        <f>IF(A1903="","",IFERROR(INDEX(dv_cname,MATCH(A1903,dv_num,0))&amp;"",""))</f>
        <v/>
      </c>
      <c r="N1903" s="59" t="str">
        <f>IF(COUNTA(A1903:G1903)=0,"",IF(A1903="","N° devis manquant",IF(ISNA(MATCH(A1903,dv_num,0)),"Devis inconnu",IF(AND(B1903&lt;&gt;"",ISNA(MATCH(B1903,pr_code,0))),"Article inconnu",IF(H1903="","Désignation manquante",IF(OR(NOT(ISNUMBER(D1903)),N(D1903)&lt;=0),"Quantité invalide",IF(J1903="","Prix manquant",IF(OR(NOT(ISNUMBER(J1903)),N(J1903)&lt;0),"Prix invalide",IF(OR(AND(F1903&lt;&gt;"",NOT(ISNUMBER(F1903))),N(F1903)&lt;0,N(F1903)&gt;1),"Remise invalide",IF(K1903="","Taux de TVA manquant",IF(NOT(ISNUMBER(K1903)),"Taux de TVA invalide",IF(COUNTIF(p_rates,K1903)=0,"Taux de TVA hors liste (Paramètres)",IF(N(O1903)&gt;25,"Au-delà de 25 lignes : non imprimée","OK")))))))))))))</f>
        <v/>
      </c>
      <c r="O1903" s="59" t="str">
        <f>IF(A1903="","",COUNTIF($A$6:A1903,A1903))</f>
        <v/>
      </c>
      <c r="P1903" s="62" t="str">
        <f>IF(A1903="","",A1903&amp;"|"&amp;O1903)</f>
        <v/>
      </c>
    </row>
    <row r="1904">
      <c r="A1904" s="60" t="n"/>
      <c r="B1904" s="63" t="n"/>
      <c r="C1904" s="63" t="n"/>
      <c r="D1904" s="67" t="n"/>
      <c r="E1904" s="68" t="n"/>
      <c r="F1904" s="69" t="n"/>
      <c r="G1904" s="70" t="n"/>
      <c r="H1904" s="62" t="str">
        <f>IF(COUNTA(A1904:G1904)=0,"",IF(C1904&lt;&gt;"",C1904,IF(B1904="","",IFERROR(INDEX(pr_des,MATCH(B1904,pr_code,0))&amp;"",""))))</f>
        <v/>
      </c>
      <c r="I1904" s="59" t="str">
        <f>IF(B1904="","",IFERROR(INDEX(pr_unit,MATCH(B1904,pr_code,0))&amp;"",""))</f>
        <v/>
      </c>
      <c r="J1904" s="65" t="str">
        <f>IF(COUNTA(A1904:G1904)=0,"",IF(E1904&lt;&gt;"",E1904,IF(B1904="","",IFERROR(IF(INDEX(pr_price,MATCH(B1904,pr_code,0))="","",INDEX(pr_price,MATCH(B1904,pr_code,0))),""))))</f>
        <v/>
      </c>
      <c r="K1904" s="71" t="str">
        <f>IF(COUNTA(A1904:G1904)=0,"",IF(G1904&lt;&gt;"",G1904,IF(B1904="","",IFERROR(IF(INDEX(pr_rate,MATCH(B1904,pr_code,0))="","",INDEX(pr_rate,MATCH(B1904,pr_code,0))),""))))</f>
        <v/>
      </c>
      <c r="L1904" s="65" t="str">
        <f>IF(COUNTA(A1904:G1904)=0,"",IF(AND(ISNUMBER(D1904),ISNUMBER(J1904)),ROUND(D1904*J1904*(1-N(F1904)),2),0))</f>
        <v/>
      </c>
      <c r="M1904" s="62" t="str">
        <f>IF(A1904="","",IFERROR(INDEX(dv_cname,MATCH(A1904,dv_num,0))&amp;"",""))</f>
        <v/>
      </c>
      <c r="N1904" s="59" t="str">
        <f>IF(COUNTA(A1904:G1904)=0,"",IF(A1904="","N° devis manquant",IF(ISNA(MATCH(A1904,dv_num,0)),"Devis inconnu",IF(AND(B1904&lt;&gt;"",ISNA(MATCH(B1904,pr_code,0))),"Article inconnu",IF(H1904="","Désignation manquante",IF(OR(NOT(ISNUMBER(D1904)),N(D1904)&lt;=0),"Quantité invalide",IF(J1904="","Prix manquant",IF(OR(NOT(ISNUMBER(J1904)),N(J1904)&lt;0),"Prix invalide",IF(OR(AND(F1904&lt;&gt;"",NOT(ISNUMBER(F1904))),N(F1904)&lt;0,N(F1904)&gt;1),"Remise invalide",IF(K1904="","Taux de TVA manquant",IF(NOT(ISNUMBER(K1904)),"Taux de TVA invalide",IF(COUNTIF(p_rates,K1904)=0,"Taux de TVA hors liste (Paramètres)",IF(N(O1904)&gt;25,"Au-delà de 25 lignes : non imprimée","OK")))))))))))))</f>
        <v/>
      </c>
      <c r="O1904" s="59" t="str">
        <f>IF(A1904="","",COUNTIF($A$6:A1904,A1904))</f>
        <v/>
      </c>
      <c r="P1904" s="62" t="str">
        <f>IF(A1904="","",A1904&amp;"|"&amp;O1904)</f>
        <v/>
      </c>
    </row>
    <row r="1905">
      <c r="A1905" s="60" t="n"/>
      <c r="B1905" s="63" t="n"/>
      <c r="C1905" s="63" t="n"/>
      <c r="D1905" s="67" t="n"/>
      <c r="E1905" s="68" t="n"/>
      <c r="F1905" s="69" t="n"/>
      <c r="G1905" s="70" t="n"/>
      <c r="H1905" s="62" t="str">
        <f>IF(COUNTA(A1905:G1905)=0,"",IF(C1905&lt;&gt;"",C1905,IF(B1905="","",IFERROR(INDEX(pr_des,MATCH(B1905,pr_code,0))&amp;"",""))))</f>
        <v/>
      </c>
      <c r="I1905" s="59" t="str">
        <f>IF(B1905="","",IFERROR(INDEX(pr_unit,MATCH(B1905,pr_code,0))&amp;"",""))</f>
        <v/>
      </c>
      <c r="J1905" s="65" t="str">
        <f>IF(COUNTA(A1905:G1905)=0,"",IF(E1905&lt;&gt;"",E1905,IF(B1905="","",IFERROR(IF(INDEX(pr_price,MATCH(B1905,pr_code,0))="","",INDEX(pr_price,MATCH(B1905,pr_code,0))),""))))</f>
        <v/>
      </c>
      <c r="K1905" s="71" t="str">
        <f>IF(COUNTA(A1905:G1905)=0,"",IF(G1905&lt;&gt;"",G1905,IF(B1905="","",IFERROR(IF(INDEX(pr_rate,MATCH(B1905,pr_code,0))="","",INDEX(pr_rate,MATCH(B1905,pr_code,0))),""))))</f>
        <v/>
      </c>
      <c r="L1905" s="65" t="str">
        <f>IF(COUNTA(A1905:G1905)=0,"",IF(AND(ISNUMBER(D1905),ISNUMBER(J1905)),ROUND(D1905*J1905*(1-N(F1905)),2),0))</f>
        <v/>
      </c>
      <c r="M1905" s="62" t="str">
        <f>IF(A1905="","",IFERROR(INDEX(dv_cname,MATCH(A1905,dv_num,0))&amp;"",""))</f>
        <v/>
      </c>
      <c r="N1905" s="59" t="str">
        <f>IF(COUNTA(A1905:G1905)=0,"",IF(A1905="","N° devis manquant",IF(ISNA(MATCH(A1905,dv_num,0)),"Devis inconnu",IF(AND(B1905&lt;&gt;"",ISNA(MATCH(B1905,pr_code,0))),"Article inconnu",IF(H1905="","Désignation manquante",IF(OR(NOT(ISNUMBER(D1905)),N(D1905)&lt;=0),"Quantité invalide",IF(J1905="","Prix manquant",IF(OR(NOT(ISNUMBER(J1905)),N(J1905)&lt;0),"Prix invalide",IF(OR(AND(F1905&lt;&gt;"",NOT(ISNUMBER(F1905))),N(F1905)&lt;0,N(F1905)&gt;1),"Remise invalide",IF(K1905="","Taux de TVA manquant",IF(NOT(ISNUMBER(K1905)),"Taux de TVA invalide",IF(COUNTIF(p_rates,K1905)=0,"Taux de TVA hors liste (Paramètres)",IF(N(O1905)&gt;25,"Au-delà de 25 lignes : non imprimée","OK")))))))))))))</f>
        <v/>
      </c>
      <c r="O1905" s="59" t="str">
        <f>IF(A1905="","",COUNTIF($A$6:A1905,A1905))</f>
        <v/>
      </c>
      <c r="P1905" s="62" t="str">
        <f>IF(A1905="","",A1905&amp;"|"&amp;O1905)</f>
        <v/>
      </c>
    </row>
    <row r="1906">
      <c r="A1906" s="60" t="n"/>
      <c r="B1906" s="63" t="n"/>
      <c r="C1906" s="63" t="n"/>
      <c r="D1906" s="67" t="n"/>
      <c r="E1906" s="68" t="n"/>
      <c r="F1906" s="69" t="n"/>
      <c r="G1906" s="70" t="n"/>
      <c r="H1906" s="62" t="str">
        <f>IF(COUNTA(A1906:G1906)=0,"",IF(C1906&lt;&gt;"",C1906,IF(B1906="","",IFERROR(INDEX(pr_des,MATCH(B1906,pr_code,0))&amp;"",""))))</f>
        <v/>
      </c>
      <c r="I1906" s="59" t="str">
        <f>IF(B1906="","",IFERROR(INDEX(pr_unit,MATCH(B1906,pr_code,0))&amp;"",""))</f>
        <v/>
      </c>
      <c r="J1906" s="65" t="str">
        <f>IF(COUNTA(A1906:G1906)=0,"",IF(E1906&lt;&gt;"",E1906,IF(B1906="","",IFERROR(IF(INDEX(pr_price,MATCH(B1906,pr_code,0))="","",INDEX(pr_price,MATCH(B1906,pr_code,0))),""))))</f>
        <v/>
      </c>
      <c r="K1906" s="71" t="str">
        <f>IF(COUNTA(A1906:G1906)=0,"",IF(G1906&lt;&gt;"",G1906,IF(B1906="","",IFERROR(IF(INDEX(pr_rate,MATCH(B1906,pr_code,0))="","",INDEX(pr_rate,MATCH(B1906,pr_code,0))),""))))</f>
        <v/>
      </c>
      <c r="L1906" s="65" t="str">
        <f>IF(COUNTA(A1906:G1906)=0,"",IF(AND(ISNUMBER(D1906),ISNUMBER(J1906)),ROUND(D1906*J1906*(1-N(F1906)),2),0))</f>
        <v/>
      </c>
      <c r="M1906" s="62" t="str">
        <f>IF(A1906="","",IFERROR(INDEX(dv_cname,MATCH(A1906,dv_num,0))&amp;"",""))</f>
        <v/>
      </c>
      <c r="N1906" s="59" t="str">
        <f>IF(COUNTA(A1906:G1906)=0,"",IF(A1906="","N° devis manquant",IF(ISNA(MATCH(A1906,dv_num,0)),"Devis inconnu",IF(AND(B1906&lt;&gt;"",ISNA(MATCH(B1906,pr_code,0))),"Article inconnu",IF(H1906="","Désignation manquante",IF(OR(NOT(ISNUMBER(D1906)),N(D1906)&lt;=0),"Quantité invalide",IF(J1906="","Prix manquant",IF(OR(NOT(ISNUMBER(J1906)),N(J1906)&lt;0),"Prix invalide",IF(OR(AND(F1906&lt;&gt;"",NOT(ISNUMBER(F1906))),N(F1906)&lt;0,N(F1906)&gt;1),"Remise invalide",IF(K1906="","Taux de TVA manquant",IF(NOT(ISNUMBER(K1906)),"Taux de TVA invalide",IF(COUNTIF(p_rates,K1906)=0,"Taux de TVA hors liste (Paramètres)",IF(N(O1906)&gt;25,"Au-delà de 25 lignes : non imprimée","OK")))))))))))))</f>
        <v/>
      </c>
      <c r="O1906" s="59" t="str">
        <f>IF(A1906="","",COUNTIF($A$6:A1906,A1906))</f>
        <v/>
      </c>
      <c r="P1906" s="62" t="str">
        <f>IF(A1906="","",A1906&amp;"|"&amp;O1906)</f>
        <v/>
      </c>
    </row>
    <row r="1907">
      <c r="A1907" s="60" t="n"/>
      <c r="B1907" s="63" t="n"/>
      <c r="C1907" s="63" t="n"/>
      <c r="D1907" s="67" t="n"/>
      <c r="E1907" s="68" t="n"/>
      <c r="F1907" s="69" t="n"/>
      <c r="G1907" s="70" t="n"/>
      <c r="H1907" s="62" t="str">
        <f>IF(COUNTA(A1907:G1907)=0,"",IF(C1907&lt;&gt;"",C1907,IF(B1907="","",IFERROR(INDEX(pr_des,MATCH(B1907,pr_code,0))&amp;"",""))))</f>
        <v/>
      </c>
      <c r="I1907" s="59" t="str">
        <f>IF(B1907="","",IFERROR(INDEX(pr_unit,MATCH(B1907,pr_code,0))&amp;"",""))</f>
        <v/>
      </c>
      <c r="J1907" s="65" t="str">
        <f>IF(COUNTA(A1907:G1907)=0,"",IF(E1907&lt;&gt;"",E1907,IF(B1907="","",IFERROR(IF(INDEX(pr_price,MATCH(B1907,pr_code,0))="","",INDEX(pr_price,MATCH(B1907,pr_code,0))),""))))</f>
        <v/>
      </c>
      <c r="K1907" s="71" t="str">
        <f>IF(COUNTA(A1907:G1907)=0,"",IF(G1907&lt;&gt;"",G1907,IF(B1907="","",IFERROR(IF(INDEX(pr_rate,MATCH(B1907,pr_code,0))="","",INDEX(pr_rate,MATCH(B1907,pr_code,0))),""))))</f>
        <v/>
      </c>
      <c r="L1907" s="65" t="str">
        <f>IF(COUNTA(A1907:G1907)=0,"",IF(AND(ISNUMBER(D1907),ISNUMBER(J1907)),ROUND(D1907*J1907*(1-N(F1907)),2),0))</f>
        <v/>
      </c>
      <c r="M1907" s="62" t="str">
        <f>IF(A1907="","",IFERROR(INDEX(dv_cname,MATCH(A1907,dv_num,0))&amp;"",""))</f>
        <v/>
      </c>
      <c r="N1907" s="59" t="str">
        <f>IF(COUNTA(A1907:G1907)=0,"",IF(A1907="","N° devis manquant",IF(ISNA(MATCH(A1907,dv_num,0)),"Devis inconnu",IF(AND(B1907&lt;&gt;"",ISNA(MATCH(B1907,pr_code,0))),"Article inconnu",IF(H1907="","Désignation manquante",IF(OR(NOT(ISNUMBER(D1907)),N(D1907)&lt;=0),"Quantité invalide",IF(J1907="","Prix manquant",IF(OR(NOT(ISNUMBER(J1907)),N(J1907)&lt;0),"Prix invalide",IF(OR(AND(F1907&lt;&gt;"",NOT(ISNUMBER(F1907))),N(F1907)&lt;0,N(F1907)&gt;1),"Remise invalide",IF(K1907="","Taux de TVA manquant",IF(NOT(ISNUMBER(K1907)),"Taux de TVA invalide",IF(COUNTIF(p_rates,K1907)=0,"Taux de TVA hors liste (Paramètres)",IF(N(O1907)&gt;25,"Au-delà de 25 lignes : non imprimée","OK")))))))))))))</f>
        <v/>
      </c>
      <c r="O1907" s="59" t="str">
        <f>IF(A1907="","",COUNTIF($A$6:A1907,A1907))</f>
        <v/>
      </c>
      <c r="P1907" s="62" t="str">
        <f>IF(A1907="","",A1907&amp;"|"&amp;O1907)</f>
        <v/>
      </c>
    </row>
    <row r="1908">
      <c r="A1908" s="60" t="n"/>
      <c r="B1908" s="63" t="n"/>
      <c r="C1908" s="63" t="n"/>
      <c r="D1908" s="67" t="n"/>
      <c r="E1908" s="68" t="n"/>
      <c r="F1908" s="69" t="n"/>
      <c r="G1908" s="70" t="n"/>
      <c r="H1908" s="62" t="str">
        <f>IF(COUNTA(A1908:G1908)=0,"",IF(C1908&lt;&gt;"",C1908,IF(B1908="","",IFERROR(INDEX(pr_des,MATCH(B1908,pr_code,0))&amp;"",""))))</f>
        <v/>
      </c>
      <c r="I1908" s="59" t="str">
        <f>IF(B1908="","",IFERROR(INDEX(pr_unit,MATCH(B1908,pr_code,0))&amp;"",""))</f>
        <v/>
      </c>
      <c r="J1908" s="65" t="str">
        <f>IF(COUNTA(A1908:G1908)=0,"",IF(E1908&lt;&gt;"",E1908,IF(B1908="","",IFERROR(IF(INDEX(pr_price,MATCH(B1908,pr_code,0))="","",INDEX(pr_price,MATCH(B1908,pr_code,0))),""))))</f>
        <v/>
      </c>
      <c r="K1908" s="71" t="str">
        <f>IF(COUNTA(A1908:G1908)=0,"",IF(G1908&lt;&gt;"",G1908,IF(B1908="","",IFERROR(IF(INDEX(pr_rate,MATCH(B1908,pr_code,0))="","",INDEX(pr_rate,MATCH(B1908,pr_code,0))),""))))</f>
        <v/>
      </c>
      <c r="L1908" s="65" t="str">
        <f>IF(COUNTA(A1908:G1908)=0,"",IF(AND(ISNUMBER(D1908),ISNUMBER(J1908)),ROUND(D1908*J1908*(1-N(F1908)),2),0))</f>
        <v/>
      </c>
      <c r="M1908" s="62" t="str">
        <f>IF(A1908="","",IFERROR(INDEX(dv_cname,MATCH(A1908,dv_num,0))&amp;"",""))</f>
        <v/>
      </c>
      <c r="N1908" s="59" t="str">
        <f>IF(COUNTA(A1908:G1908)=0,"",IF(A1908="","N° devis manquant",IF(ISNA(MATCH(A1908,dv_num,0)),"Devis inconnu",IF(AND(B1908&lt;&gt;"",ISNA(MATCH(B1908,pr_code,0))),"Article inconnu",IF(H1908="","Désignation manquante",IF(OR(NOT(ISNUMBER(D1908)),N(D1908)&lt;=0),"Quantité invalide",IF(J1908="","Prix manquant",IF(OR(NOT(ISNUMBER(J1908)),N(J1908)&lt;0),"Prix invalide",IF(OR(AND(F1908&lt;&gt;"",NOT(ISNUMBER(F1908))),N(F1908)&lt;0,N(F1908)&gt;1),"Remise invalide",IF(K1908="","Taux de TVA manquant",IF(NOT(ISNUMBER(K1908)),"Taux de TVA invalide",IF(COUNTIF(p_rates,K1908)=0,"Taux de TVA hors liste (Paramètres)",IF(N(O1908)&gt;25,"Au-delà de 25 lignes : non imprimée","OK")))))))))))))</f>
        <v/>
      </c>
      <c r="O1908" s="59" t="str">
        <f>IF(A1908="","",COUNTIF($A$6:A1908,A1908))</f>
        <v/>
      </c>
      <c r="P1908" s="62" t="str">
        <f>IF(A1908="","",A1908&amp;"|"&amp;O1908)</f>
        <v/>
      </c>
    </row>
    <row r="1909">
      <c r="A1909" s="60" t="n"/>
      <c r="B1909" s="63" t="n"/>
      <c r="C1909" s="63" t="n"/>
      <c r="D1909" s="67" t="n"/>
      <c r="E1909" s="68" t="n"/>
      <c r="F1909" s="69" t="n"/>
      <c r="G1909" s="70" t="n"/>
      <c r="H1909" s="62" t="str">
        <f>IF(COUNTA(A1909:G1909)=0,"",IF(C1909&lt;&gt;"",C1909,IF(B1909="","",IFERROR(INDEX(pr_des,MATCH(B1909,pr_code,0))&amp;"",""))))</f>
        <v/>
      </c>
      <c r="I1909" s="59" t="str">
        <f>IF(B1909="","",IFERROR(INDEX(pr_unit,MATCH(B1909,pr_code,0))&amp;"",""))</f>
        <v/>
      </c>
      <c r="J1909" s="65" t="str">
        <f>IF(COUNTA(A1909:G1909)=0,"",IF(E1909&lt;&gt;"",E1909,IF(B1909="","",IFERROR(IF(INDEX(pr_price,MATCH(B1909,pr_code,0))="","",INDEX(pr_price,MATCH(B1909,pr_code,0))),""))))</f>
        <v/>
      </c>
      <c r="K1909" s="71" t="str">
        <f>IF(COUNTA(A1909:G1909)=0,"",IF(G1909&lt;&gt;"",G1909,IF(B1909="","",IFERROR(IF(INDEX(pr_rate,MATCH(B1909,pr_code,0))="","",INDEX(pr_rate,MATCH(B1909,pr_code,0))),""))))</f>
        <v/>
      </c>
      <c r="L1909" s="65" t="str">
        <f>IF(COUNTA(A1909:G1909)=0,"",IF(AND(ISNUMBER(D1909),ISNUMBER(J1909)),ROUND(D1909*J1909*(1-N(F1909)),2),0))</f>
        <v/>
      </c>
      <c r="M1909" s="62" t="str">
        <f>IF(A1909="","",IFERROR(INDEX(dv_cname,MATCH(A1909,dv_num,0))&amp;"",""))</f>
        <v/>
      </c>
      <c r="N1909" s="59" t="str">
        <f>IF(COUNTA(A1909:G1909)=0,"",IF(A1909="","N° devis manquant",IF(ISNA(MATCH(A1909,dv_num,0)),"Devis inconnu",IF(AND(B1909&lt;&gt;"",ISNA(MATCH(B1909,pr_code,0))),"Article inconnu",IF(H1909="","Désignation manquante",IF(OR(NOT(ISNUMBER(D1909)),N(D1909)&lt;=0),"Quantité invalide",IF(J1909="","Prix manquant",IF(OR(NOT(ISNUMBER(J1909)),N(J1909)&lt;0),"Prix invalide",IF(OR(AND(F1909&lt;&gt;"",NOT(ISNUMBER(F1909))),N(F1909)&lt;0,N(F1909)&gt;1),"Remise invalide",IF(K1909="","Taux de TVA manquant",IF(NOT(ISNUMBER(K1909)),"Taux de TVA invalide",IF(COUNTIF(p_rates,K1909)=0,"Taux de TVA hors liste (Paramètres)",IF(N(O1909)&gt;25,"Au-delà de 25 lignes : non imprimée","OK")))))))))))))</f>
        <v/>
      </c>
      <c r="O1909" s="59" t="str">
        <f>IF(A1909="","",COUNTIF($A$6:A1909,A1909))</f>
        <v/>
      </c>
      <c r="P1909" s="62" t="str">
        <f>IF(A1909="","",A1909&amp;"|"&amp;O1909)</f>
        <v/>
      </c>
    </row>
    <row r="1910">
      <c r="A1910" s="60" t="n"/>
      <c r="B1910" s="63" t="n"/>
      <c r="C1910" s="63" t="n"/>
      <c r="D1910" s="67" t="n"/>
      <c r="E1910" s="68" t="n"/>
      <c r="F1910" s="69" t="n"/>
      <c r="G1910" s="70" t="n"/>
      <c r="H1910" s="62" t="str">
        <f>IF(COUNTA(A1910:G1910)=0,"",IF(C1910&lt;&gt;"",C1910,IF(B1910="","",IFERROR(INDEX(pr_des,MATCH(B1910,pr_code,0))&amp;"",""))))</f>
        <v/>
      </c>
      <c r="I1910" s="59" t="str">
        <f>IF(B1910="","",IFERROR(INDEX(pr_unit,MATCH(B1910,pr_code,0))&amp;"",""))</f>
        <v/>
      </c>
      <c r="J1910" s="65" t="str">
        <f>IF(COUNTA(A1910:G1910)=0,"",IF(E1910&lt;&gt;"",E1910,IF(B1910="","",IFERROR(IF(INDEX(pr_price,MATCH(B1910,pr_code,0))="","",INDEX(pr_price,MATCH(B1910,pr_code,0))),""))))</f>
        <v/>
      </c>
      <c r="K1910" s="71" t="str">
        <f>IF(COUNTA(A1910:G1910)=0,"",IF(G1910&lt;&gt;"",G1910,IF(B1910="","",IFERROR(IF(INDEX(pr_rate,MATCH(B1910,pr_code,0))="","",INDEX(pr_rate,MATCH(B1910,pr_code,0))),""))))</f>
        <v/>
      </c>
      <c r="L1910" s="65" t="str">
        <f>IF(COUNTA(A1910:G1910)=0,"",IF(AND(ISNUMBER(D1910),ISNUMBER(J1910)),ROUND(D1910*J1910*(1-N(F1910)),2),0))</f>
        <v/>
      </c>
      <c r="M1910" s="62" t="str">
        <f>IF(A1910="","",IFERROR(INDEX(dv_cname,MATCH(A1910,dv_num,0))&amp;"",""))</f>
        <v/>
      </c>
      <c r="N1910" s="59" t="str">
        <f>IF(COUNTA(A1910:G1910)=0,"",IF(A1910="","N° devis manquant",IF(ISNA(MATCH(A1910,dv_num,0)),"Devis inconnu",IF(AND(B1910&lt;&gt;"",ISNA(MATCH(B1910,pr_code,0))),"Article inconnu",IF(H1910="","Désignation manquante",IF(OR(NOT(ISNUMBER(D1910)),N(D1910)&lt;=0),"Quantité invalide",IF(J1910="","Prix manquant",IF(OR(NOT(ISNUMBER(J1910)),N(J1910)&lt;0),"Prix invalide",IF(OR(AND(F1910&lt;&gt;"",NOT(ISNUMBER(F1910))),N(F1910)&lt;0,N(F1910)&gt;1),"Remise invalide",IF(K1910="","Taux de TVA manquant",IF(NOT(ISNUMBER(K1910)),"Taux de TVA invalide",IF(COUNTIF(p_rates,K1910)=0,"Taux de TVA hors liste (Paramètres)",IF(N(O1910)&gt;25,"Au-delà de 25 lignes : non imprimée","OK")))))))))))))</f>
        <v/>
      </c>
      <c r="O1910" s="59" t="str">
        <f>IF(A1910="","",COUNTIF($A$6:A1910,A1910))</f>
        <v/>
      </c>
      <c r="P1910" s="62" t="str">
        <f>IF(A1910="","",A1910&amp;"|"&amp;O1910)</f>
        <v/>
      </c>
    </row>
    <row r="1911">
      <c r="A1911" s="60" t="n"/>
      <c r="B1911" s="63" t="n"/>
      <c r="C1911" s="63" t="n"/>
      <c r="D1911" s="67" t="n"/>
      <c r="E1911" s="68" t="n"/>
      <c r="F1911" s="69" t="n"/>
      <c r="G1911" s="70" t="n"/>
      <c r="H1911" s="62" t="str">
        <f>IF(COUNTA(A1911:G1911)=0,"",IF(C1911&lt;&gt;"",C1911,IF(B1911="","",IFERROR(INDEX(pr_des,MATCH(B1911,pr_code,0))&amp;"",""))))</f>
        <v/>
      </c>
      <c r="I1911" s="59" t="str">
        <f>IF(B1911="","",IFERROR(INDEX(pr_unit,MATCH(B1911,pr_code,0))&amp;"",""))</f>
        <v/>
      </c>
      <c r="J1911" s="65" t="str">
        <f>IF(COUNTA(A1911:G1911)=0,"",IF(E1911&lt;&gt;"",E1911,IF(B1911="","",IFERROR(IF(INDEX(pr_price,MATCH(B1911,pr_code,0))="","",INDEX(pr_price,MATCH(B1911,pr_code,0))),""))))</f>
        <v/>
      </c>
      <c r="K1911" s="71" t="str">
        <f>IF(COUNTA(A1911:G1911)=0,"",IF(G1911&lt;&gt;"",G1911,IF(B1911="","",IFERROR(IF(INDEX(pr_rate,MATCH(B1911,pr_code,0))="","",INDEX(pr_rate,MATCH(B1911,pr_code,0))),""))))</f>
        <v/>
      </c>
      <c r="L1911" s="65" t="str">
        <f>IF(COUNTA(A1911:G1911)=0,"",IF(AND(ISNUMBER(D1911),ISNUMBER(J1911)),ROUND(D1911*J1911*(1-N(F1911)),2),0))</f>
        <v/>
      </c>
      <c r="M1911" s="62" t="str">
        <f>IF(A1911="","",IFERROR(INDEX(dv_cname,MATCH(A1911,dv_num,0))&amp;"",""))</f>
        <v/>
      </c>
      <c r="N1911" s="59" t="str">
        <f>IF(COUNTA(A1911:G1911)=0,"",IF(A1911="","N° devis manquant",IF(ISNA(MATCH(A1911,dv_num,0)),"Devis inconnu",IF(AND(B1911&lt;&gt;"",ISNA(MATCH(B1911,pr_code,0))),"Article inconnu",IF(H1911="","Désignation manquante",IF(OR(NOT(ISNUMBER(D1911)),N(D1911)&lt;=0),"Quantité invalide",IF(J1911="","Prix manquant",IF(OR(NOT(ISNUMBER(J1911)),N(J1911)&lt;0),"Prix invalide",IF(OR(AND(F1911&lt;&gt;"",NOT(ISNUMBER(F1911))),N(F1911)&lt;0,N(F1911)&gt;1),"Remise invalide",IF(K1911="","Taux de TVA manquant",IF(NOT(ISNUMBER(K1911)),"Taux de TVA invalide",IF(COUNTIF(p_rates,K1911)=0,"Taux de TVA hors liste (Paramètres)",IF(N(O1911)&gt;25,"Au-delà de 25 lignes : non imprimée","OK")))))))))))))</f>
        <v/>
      </c>
      <c r="O1911" s="59" t="str">
        <f>IF(A1911="","",COUNTIF($A$6:A1911,A1911))</f>
        <v/>
      </c>
      <c r="P1911" s="62" t="str">
        <f>IF(A1911="","",A1911&amp;"|"&amp;O1911)</f>
        <v/>
      </c>
    </row>
    <row r="1912">
      <c r="A1912" s="60" t="n"/>
      <c r="B1912" s="63" t="n"/>
      <c r="C1912" s="63" t="n"/>
      <c r="D1912" s="67" t="n"/>
      <c r="E1912" s="68" t="n"/>
      <c r="F1912" s="69" t="n"/>
      <c r="G1912" s="70" t="n"/>
      <c r="H1912" s="62" t="str">
        <f>IF(COUNTA(A1912:G1912)=0,"",IF(C1912&lt;&gt;"",C1912,IF(B1912="","",IFERROR(INDEX(pr_des,MATCH(B1912,pr_code,0))&amp;"",""))))</f>
        <v/>
      </c>
      <c r="I1912" s="59" t="str">
        <f>IF(B1912="","",IFERROR(INDEX(pr_unit,MATCH(B1912,pr_code,0))&amp;"",""))</f>
        <v/>
      </c>
      <c r="J1912" s="65" t="str">
        <f>IF(COUNTA(A1912:G1912)=0,"",IF(E1912&lt;&gt;"",E1912,IF(B1912="","",IFERROR(IF(INDEX(pr_price,MATCH(B1912,pr_code,0))="","",INDEX(pr_price,MATCH(B1912,pr_code,0))),""))))</f>
        <v/>
      </c>
      <c r="K1912" s="71" t="str">
        <f>IF(COUNTA(A1912:G1912)=0,"",IF(G1912&lt;&gt;"",G1912,IF(B1912="","",IFERROR(IF(INDEX(pr_rate,MATCH(B1912,pr_code,0))="","",INDEX(pr_rate,MATCH(B1912,pr_code,0))),""))))</f>
        <v/>
      </c>
      <c r="L1912" s="65" t="str">
        <f>IF(COUNTA(A1912:G1912)=0,"",IF(AND(ISNUMBER(D1912),ISNUMBER(J1912)),ROUND(D1912*J1912*(1-N(F1912)),2),0))</f>
        <v/>
      </c>
      <c r="M1912" s="62" t="str">
        <f>IF(A1912="","",IFERROR(INDEX(dv_cname,MATCH(A1912,dv_num,0))&amp;"",""))</f>
        <v/>
      </c>
      <c r="N1912" s="59" t="str">
        <f>IF(COUNTA(A1912:G1912)=0,"",IF(A1912="","N° devis manquant",IF(ISNA(MATCH(A1912,dv_num,0)),"Devis inconnu",IF(AND(B1912&lt;&gt;"",ISNA(MATCH(B1912,pr_code,0))),"Article inconnu",IF(H1912="","Désignation manquante",IF(OR(NOT(ISNUMBER(D1912)),N(D1912)&lt;=0),"Quantité invalide",IF(J1912="","Prix manquant",IF(OR(NOT(ISNUMBER(J1912)),N(J1912)&lt;0),"Prix invalide",IF(OR(AND(F1912&lt;&gt;"",NOT(ISNUMBER(F1912))),N(F1912)&lt;0,N(F1912)&gt;1),"Remise invalide",IF(K1912="","Taux de TVA manquant",IF(NOT(ISNUMBER(K1912)),"Taux de TVA invalide",IF(COUNTIF(p_rates,K1912)=0,"Taux de TVA hors liste (Paramètres)",IF(N(O1912)&gt;25,"Au-delà de 25 lignes : non imprimée","OK")))))))))))))</f>
        <v/>
      </c>
      <c r="O1912" s="59" t="str">
        <f>IF(A1912="","",COUNTIF($A$6:A1912,A1912))</f>
        <v/>
      </c>
      <c r="P1912" s="62" t="str">
        <f>IF(A1912="","",A1912&amp;"|"&amp;O1912)</f>
        <v/>
      </c>
    </row>
    <row r="1913">
      <c r="A1913" s="60" t="n"/>
      <c r="B1913" s="63" t="n"/>
      <c r="C1913" s="63" t="n"/>
      <c r="D1913" s="67" t="n"/>
      <c r="E1913" s="68" t="n"/>
      <c r="F1913" s="69" t="n"/>
      <c r="G1913" s="70" t="n"/>
      <c r="H1913" s="62" t="str">
        <f>IF(COUNTA(A1913:G1913)=0,"",IF(C1913&lt;&gt;"",C1913,IF(B1913="","",IFERROR(INDEX(pr_des,MATCH(B1913,pr_code,0))&amp;"",""))))</f>
        <v/>
      </c>
      <c r="I1913" s="59" t="str">
        <f>IF(B1913="","",IFERROR(INDEX(pr_unit,MATCH(B1913,pr_code,0))&amp;"",""))</f>
        <v/>
      </c>
      <c r="J1913" s="65" t="str">
        <f>IF(COUNTA(A1913:G1913)=0,"",IF(E1913&lt;&gt;"",E1913,IF(B1913="","",IFERROR(IF(INDEX(pr_price,MATCH(B1913,pr_code,0))="","",INDEX(pr_price,MATCH(B1913,pr_code,0))),""))))</f>
        <v/>
      </c>
      <c r="K1913" s="71" t="str">
        <f>IF(COUNTA(A1913:G1913)=0,"",IF(G1913&lt;&gt;"",G1913,IF(B1913="","",IFERROR(IF(INDEX(pr_rate,MATCH(B1913,pr_code,0))="","",INDEX(pr_rate,MATCH(B1913,pr_code,0))),""))))</f>
        <v/>
      </c>
      <c r="L1913" s="65" t="str">
        <f>IF(COUNTA(A1913:G1913)=0,"",IF(AND(ISNUMBER(D1913),ISNUMBER(J1913)),ROUND(D1913*J1913*(1-N(F1913)),2),0))</f>
        <v/>
      </c>
      <c r="M1913" s="62" t="str">
        <f>IF(A1913="","",IFERROR(INDEX(dv_cname,MATCH(A1913,dv_num,0))&amp;"",""))</f>
        <v/>
      </c>
      <c r="N1913" s="59" t="str">
        <f>IF(COUNTA(A1913:G1913)=0,"",IF(A1913="","N° devis manquant",IF(ISNA(MATCH(A1913,dv_num,0)),"Devis inconnu",IF(AND(B1913&lt;&gt;"",ISNA(MATCH(B1913,pr_code,0))),"Article inconnu",IF(H1913="","Désignation manquante",IF(OR(NOT(ISNUMBER(D1913)),N(D1913)&lt;=0),"Quantité invalide",IF(J1913="","Prix manquant",IF(OR(NOT(ISNUMBER(J1913)),N(J1913)&lt;0),"Prix invalide",IF(OR(AND(F1913&lt;&gt;"",NOT(ISNUMBER(F1913))),N(F1913)&lt;0,N(F1913)&gt;1),"Remise invalide",IF(K1913="","Taux de TVA manquant",IF(NOT(ISNUMBER(K1913)),"Taux de TVA invalide",IF(COUNTIF(p_rates,K1913)=0,"Taux de TVA hors liste (Paramètres)",IF(N(O1913)&gt;25,"Au-delà de 25 lignes : non imprimée","OK")))))))))))))</f>
        <v/>
      </c>
      <c r="O1913" s="59" t="str">
        <f>IF(A1913="","",COUNTIF($A$6:A1913,A1913))</f>
        <v/>
      </c>
      <c r="P1913" s="62" t="str">
        <f>IF(A1913="","",A1913&amp;"|"&amp;O1913)</f>
        <v/>
      </c>
    </row>
    <row r="1914">
      <c r="A1914" s="60" t="n"/>
      <c r="B1914" s="63" t="n"/>
      <c r="C1914" s="63" t="n"/>
      <c r="D1914" s="67" t="n"/>
      <c r="E1914" s="68" t="n"/>
      <c r="F1914" s="69" t="n"/>
      <c r="G1914" s="70" t="n"/>
      <c r="H1914" s="62" t="str">
        <f>IF(COUNTA(A1914:G1914)=0,"",IF(C1914&lt;&gt;"",C1914,IF(B1914="","",IFERROR(INDEX(pr_des,MATCH(B1914,pr_code,0))&amp;"",""))))</f>
        <v/>
      </c>
      <c r="I1914" s="59" t="str">
        <f>IF(B1914="","",IFERROR(INDEX(pr_unit,MATCH(B1914,pr_code,0))&amp;"",""))</f>
        <v/>
      </c>
      <c r="J1914" s="65" t="str">
        <f>IF(COUNTA(A1914:G1914)=0,"",IF(E1914&lt;&gt;"",E1914,IF(B1914="","",IFERROR(IF(INDEX(pr_price,MATCH(B1914,pr_code,0))="","",INDEX(pr_price,MATCH(B1914,pr_code,0))),""))))</f>
        <v/>
      </c>
      <c r="K1914" s="71" t="str">
        <f>IF(COUNTA(A1914:G1914)=0,"",IF(G1914&lt;&gt;"",G1914,IF(B1914="","",IFERROR(IF(INDEX(pr_rate,MATCH(B1914,pr_code,0))="","",INDEX(pr_rate,MATCH(B1914,pr_code,0))),""))))</f>
        <v/>
      </c>
      <c r="L1914" s="65" t="str">
        <f>IF(COUNTA(A1914:G1914)=0,"",IF(AND(ISNUMBER(D1914),ISNUMBER(J1914)),ROUND(D1914*J1914*(1-N(F1914)),2),0))</f>
        <v/>
      </c>
      <c r="M1914" s="62" t="str">
        <f>IF(A1914="","",IFERROR(INDEX(dv_cname,MATCH(A1914,dv_num,0))&amp;"",""))</f>
        <v/>
      </c>
      <c r="N1914" s="59" t="str">
        <f>IF(COUNTA(A1914:G1914)=0,"",IF(A1914="","N° devis manquant",IF(ISNA(MATCH(A1914,dv_num,0)),"Devis inconnu",IF(AND(B1914&lt;&gt;"",ISNA(MATCH(B1914,pr_code,0))),"Article inconnu",IF(H1914="","Désignation manquante",IF(OR(NOT(ISNUMBER(D1914)),N(D1914)&lt;=0),"Quantité invalide",IF(J1914="","Prix manquant",IF(OR(NOT(ISNUMBER(J1914)),N(J1914)&lt;0),"Prix invalide",IF(OR(AND(F1914&lt;&gt;"",NOT(ISNUMBER(F1914))),N(F1914)&lt;0,N(F1914)&gt;1),"Remise invalide",IF(K1914="","Taux de TVA manquant",IF(NOT(ISNUMBER(K1914)),"Taux de TVA invalide",IF(COUNTIF(p_rates,K1914)=0,"Taux de TVA hors liste (Paramètres)",IF(N(O1914)&gt;25,"Au-delà de 25 lignes : non imprimée","OK")))))))))))))</f>
        <v/>
      </c>
      <c r="O1914" s="59" t="str">
        <f>IF(A1914="","",COUNTIF($A$6:A1914,A1914))</f>
        <v/>
      </c>
      <c r="P1914" s="62" t="str">
        <f>IF(A1914="","",A1914&amp;"|"&amp;O1914)</f>
        <v/>
      </c>
    </row>
    <row r="1915">
      <c r="A1915" s="60" t="n"/>
      <c r="B1915" s="63" t="n"/>
      <c r="C1915" s="63" t="n"/>
      <c r="D1915" s="67" t="n"/>
      <c r="E1915" s="68" t="n"/>
      <c r="F1915" s="69" t="n"/>
      <c r="G1915" s="70" t="n"/>
      <c r="H1915" s="62" t="str">
        <f>IF(COUNTA(A1915:G1915)=0,"",IF(C1915&lt;&gt;"",C1915,IF(B1915="","",IFERROR(INDEX(pr_des,MATCH(B1915,pr_code,0))&amp;"",""))))</f>
        <v/>
      </c>
      <c r="I1915" s="59" t="str">
        <f>IF(B1915="","",IFERROR(INDEX(pr_unit,MATCH(B1915,pr_code,0))&amp;"",""))</f>
        <v/>
      </c>
      <c r="J1915" s="65" t="str">
        <f>IF(COUNTA(A1915:G1915)=0,"",IF(E1915&lt;&gt;"",E1915,IF(B1915="","",IFERROR(IF(INDEX(pr_price,MATCH(B1915,pr_code,0))="","",INDEX(pr_price,MATCH(B1915,pr_code,0))),""))))</f>
        <v/>
      </c>
      <c r="K1915" s="71" t="str">
        <f>IF(COUNTA(A1915:G1915)=0,"",IF(G1915&lt;&gt;"",G1915,IF(B1915="","",IFERROR(IF(INDEX(pr_rate,MATCH(B1915,pr_code,0))="","",INDEX(pr_rate,MATCH(B1915,pr_code,0))),""))))</f>
        <v/>
      </c>
      <c r="L1915" s="65" t="str">
        <f>IF(COUNTA(A1915:G1915)=0,"",IF(AND(ISNUMBER(D1915),ISNUMBER(J1915)),ROUND(D1915*J1915*(1-N(F1915)),2),0))</f>
        <v/>
      </c>
      <c r="M1915" s="62" t="str">
        <f>IF(A1915="","",IFERROR(INDEX(dv_cname,MATCH(A1915,dv_num,0))&amp;"",""))</f>
        <v/>
      </c>
      <c r="N1915" s="59" t="str">
        <f>IF(COUNTA(A1915:G1915)=0,"",IF(A1915="","N° devis manquant",IF(ISNA(MATCH(A1915,dv_num,0)),"Devis inconnu",IF(AND(B1915&lt;&gt;"",ISNA(MATCH(B1915,pr_code,0))),"Article inconnu",IF(H1915="","Désignation manquante",IF(OR(NOT(ISNUMBER(D1915)),N(D1915)&lt;=0),"Quantité invalide",IF(J1915="","Prix manquant",IF(OR(NOT(ISNUMBER(J1915)),N(J1915)&lt;0),"Prix invalide",IF(OR(AND(F1915&lt;&gt;"",NOT(ISNUMBER(F1915))),N(F1915)&lt;0,N(F1915)&gt;1),"Remise invalide",IF(K1915="","Taux de TVA manquant",IF(NOT(ISNUMBER(K1915)),"Taux de TVA invalide",IF(COUNTIF(p_rates,K1915)=0,"Taux de TVA hors liste (Paramètres)",IF(N(O1915)&gt;25,"Au-delà de 25 lignes : non imprimée","OK")))))))))))))</f>
        <v/>
      </c>
      <c r="O1915" s="59" t="str">
        <f>IF(A1915="","",COUNTIF($A$6:A1915,A1915))</f>
        <v/>
      </c>
      <c r="P1915" s="62" t="str">
        <f>IF(A1915="","",A1915&amp;"|"&amp;O1915)</f>
        <v/>
      </c>
    </row>
    <row r="1916">
      <c r="A1916" s="60" t="n"/>
      <c r="B1916" s="63" t="n"/>
      <c r="C1916" s="63" t="n"/>
      <c r="D1916" s="67" t="n"/>
      <c r="E1916" s="68" t="n"/>
      <c r="F1916" s="69" t="n"/>
      <c r="G1916" s="70" t="n"/>
      <c r="H1916" s="62" t="str">
        <f>IF(COUNTA(A1916:G1916)=0,"",IF(C1916&lt;&gt;"",C1916,IF(B1916="","",IFERROR(INDEX(pr_des,MATCH(B1916,pr_code,0))&amp;"",""))))</f>
        <v/>
      </c>
      <c r="I1916" s="59" t="str">
        <f>IF(B1916="","",IFERROR(INDEX(pr_unit,MATCH(B1916,pr_code,0))&amp;"",""))</f>
        <v/>
      </c>
      <c r="J1916" s="65" t="str">
        <f>IF(COUNTA(A1916:G1916)=0,"",IF(E1916&lt;&gt;"",E1916,IF(B1916="","",IFERROR(IF(INDEX(pr_price,MATCH(B1916,pr_code,0))="","",INDEX(pr_price,MATCH(B1916,pr_code,0))),""))))</f>
        <v/>
      </c>
      <c r="K1916" s="71" t="str">
        <f>IF(COUNTA(A1916:G1916)=0,"",IF(G1916&lt;&gt;"",G1916,IF(B1916="","",IFERROR(IF(INDEX(pr_rate,MATCH(B1916,pr_code,0))="","",INDEX(pr_rate,MATCH(B1916,pr_code,0))),""))))</f>
        <v/>
      </c>
      <c r="L1916" s="65" t="str">
        <f>IF(COUNTA(A1916:G1916)=0,"",IF(AND(ISNUMBER(D1916),ISNUMBER(J1916)),ROUND(D1916*J1916*(1-N(F1916)),2),0))</f>
        <v/>
      </c>
      <c r="M1916" s="62" t="str">
        <f>IF(A1916="","",IFERROR(INDEX(dv_cname,MATCH(A1916,dv_num,0))&amp;"",""))</f>
        <v/>
      </c>
      <c r="N1916" s="59" t="str">
        <f>IF(COUNTA(A1916:G1916)=0,"",IF(A1916="","N° devis manquant",IF(ISNA(MATCH(A1916,dv_num,0)),"Devis inconnu",IF(AND(B1916&lt;&gt;"",ISNA(MATCH(B1916,pr_code,0))),"Article inconnu",IF(H1916="","Désignation manquante",IF(OR(NOT(ISNUMBER(D1916)),N(D1916)&lt;=0),"Quantité invalide",IF(J1916="","Prix manquant",IF(OR(NOT(ISNUMBER(J1916)),N(J1916)&lt;0),"Prix invalide",IF(OR(AND(F1916&lt;&gt;"",NOT(ISNUMBER(F1916))),N(F1916)&lt;0,N(F1916)&gt;1),"Remise invalide",IF(K1916="","Taux de TVA manquant",IF(NOT(ISNUMBER(K1916)),"Taux de TVA invalide",IF(COUNTIF(p_rates,K1916)=0,"Taux de TVA hors liste (Paramètres)",IF(N(O1916)&gt;25,"Au-delà de 25 lignes : non imprimée","OK")))))))))))))</f>
        <v/>
      </c>
      <c r="O1916" s="59" t="str">
        <f>IF(A1916="","",COUNTIF($A$6:A1916,A1916))</f>
        <v/>
      </c>
      <c r="P1916" s="62" t="str">
        <f>IF(A1916="","",A1916&amp;"|"&amp;O1916)</f>
        <v/>
      </c>
    </row>
    <row r="1917">
      <c r="A1917" s="60" t="n"/>
      <c r="B1917" s="63" t="n"/>
      <c r="C1917" s="63" t="n"/>
      <c r="D1917" s="67" t="n"/>
      <c r="E1917" s="68" t="n"/>
      <c r="F1917" s="69" t="n"/>
      <c r="G1917" s="70" t="n"/>
      <c r="H1917" s="62" t="str">
        <f>IF(COUNTA(A1917:G1917)=0,"",IF(C1917&lt;&gt;"",C1917,IF(B1917="","",IFERROR(INDEX(pr_des,MATCH(B1917,pr_code,0))&amp;"",""))))</f>
        <v/>
      </c>
      <c r="I1917" s="59" t="str">
        <f>IF(B1917="","",IFERROR(INDEX(pr_unit,MATCH(B1917,pr_code,0))&amp;"",""))</f>
        <v/>
      </c>
      <c r="J1917" s="65" t="str">
        <f>IF(COUNTA(A1917:G1917)=0,"",IF(E1917&lt;&gt;"",E1917,IF(B1917="","",IFERROR(IF(INDEX(pr_price,MATCH(B1917,pr_code,0))="","",INDEX(pr_price,MATCH(B1917,pr_code,0))),""))))</f>
        <v/>
      </c>
      <c r="K1917" s="71" t="str">
        <f>IF(COUNTA(A1917:G1917)=0,"",IF(G1917&lt;&gt;"",G1917,IF(B1917="","",IFERROR(IF(INDEX(pr_rate,MATCH(B1917,pr_code,0))="","",INDEX(pr_rate,MATCH(B1917,pr_code,0))),""))))</f>
        <v/>
      </c>
      <c r="L1917" s="65" t="str">
        <f>IF(COUNTA(A1917:G1917)=0,"",IF(AND(ISNUMBER(D1917),ISNUMBER(J1917)),ROUND(D1917*J1917*(1-N(F1917)),2),0))</f>
        <v/>
      </c>
      <c r="M1917" s="62" t="str">
        <f>IF(A1917="","",IFERROR(INDEX(dv_cname,MATCH(A1917,dv_num,0))&amp;"",""))</f>
        <v/>
      </c>
      <c r="N1917" s="59" t="str">
        <f>IF(COUNTA(A1917:G1917)=0,"",IF(A1917="","N° devis manquant",IF(ISNA(MATCH(A1917,dv_num,0)),"Devis inconnu",IF(AND(B1917&lt;&gt;"",ISNA(MATCH(B1917,pr_code,0))),"Article inconnu",IF(H1917="","Désignation manquante",IF(OR(NOT(ISNUMBER(D1917)),N(D1917)&lt;=0),"Quantité invalide",IF(J1917="","Prix manquant",IF(OR(NOT(ISNUMBER(J1917)),N(J1917)&lt;0),"Prix invalide",IF(OR(AND(F1917&lt;&gt;"",NOT(ISNUMBER(F1917))),N(F1917)&lt;0,N(F1917)&gt;1),"Remise invalide",IF(K1917="","Taux de TVA manquant",IF(NOT(ISNUMBER(K1917)),"Taux de TVA invalide",IF(COUNTIF(p_rates,K1917)=0,"Taux de TVA hors liste (Paramètres)",IF(N(O1917)&gt;25,"Au-delà de 25 lignes : non imprimée","OK")))))))))))))</f>
        <v/>
      </c>
      <c r="O1917" s="59" t="str">
        <f>IF(A1917="","",COUNTIF($A$6:A1917,A1917))</f>
        <v/>
      </c>
      <c r="P1917" s="62" t="str">
        <f>IF(A1917="","",A1917&amp;"|"&amp;O1917)</f>
        <v/>
      </c>
    </row>
    <row r="1918">
      <c r="A1918" s="60" t="n"/>
      <c r="B1918" s="63" t="n"/>
      <c r="C1918" s="63" t="n"/>
      <c r="D1918" s="67" t="n"/>
      <c r="E1918" s="68" t="n"/>
      <c r="F1918" s="69" t="n"/>
      <c r="G1918" s="70" t="n"/>
      <c r="H1918" s="62" t="str">
        <f>IF(COUNTA(A1918:G1918)=0,"",IF(C1918&lt;&gt;"",C1918,IF(B1918="","",IFERROR(INDEX(pr_des,MATCH(B1918,pr_code,0))&amp;"",""))))</f>
        <v/>
      </c>
      <c r="I1918" s="59" t="str">
        <f>IF(B1918="","",IFERROR(INDEX(pr_unit,MATCH(B1918,pr_code,0))&amp;"",""))</f>
        <v/>
      </c>
      <c r="J1918" s="65" t="str">
        <f>IF(COUNTA(A1918:G1918)=0,"",IF(E1918&lt;&gt;"",E1918,IF(B1918="","",IFERROR(IF(INDEX(pr_price,MATCH(B1918,pr_code,0))="","",INDEX(pr_price,MATCH(B1918,pr_code,0))),""))))</f>
        <v/>
      </c>
      <c r="K1918" s="71" t="str">
        <f>IF(COUNTA(A1918:G1918)=0,"",IF(G1918&lt;&gt;"",G1918,IF(B1918="","",IFERROR(IF(INDEX(pr_rate,MATCH(B1918,pr_code,0))="","",INDEX(pr_rate,MATCH(B1918,pr_code,0))),""))))</f>
        <v/>
      </c>
      <c r="L1918" s="65" t="str">
        <f>IF(COUNTA(A1918:G1918)=0,"",IF(AND(ISNUMBER(D1918),ISNUMBER(J1918)),ROUND(D1918*J1918*(1-N(F1918)),2),0))</f>
        <v/>
      </c>
      <c r="M1918" s="62" t="str">
        <f>IF(A1918="","",IFERROR(INDEX(dv_cname,MATCH(A1918,dv_num,0))&amp;"",""))</f>
        <v/>
      </c>
      <c r="N1918" s="59" t="str">
        <f>IF(COUNTA(A1918:G1918)=0,"",IF(A1918="","N° devis manquant",IF(ISNA(MATCH(A1918,dv_num,0)),"Devis inconnu",IF(AND(B1918&lt;&gt;"",ISNA(MATCH(B1918,pr_code,0))),"Article inconnu",IF(H1918="","Désignation manquante",IF(OR(NOT(ISNUMBER(D1918)),N(D1918)&lt;=0),"Quantité invalide",IF(J1918="","Prix manquant",IF(OR(NOT(ISNUMBER(J1918)),N(J1918)&lt;0),"Prix invalide",IF(OR(AND(F1918&lt;&gt;"",NOT(ISNUMBER(F1918))),N(F1918)&lt;0,N(F1918)&gt;1),"Remise invalide",IF(K1918="","Taux de TVA manquant",IF(NOT(ISNUMBER(K1918)),"Taux de TVA invalide",IF(COUNTIF(p_rates,K1918)=0,"Taux de TVA hors liste (Paramètres)",IF(N(O1918)&gt;25,"Au-delà de 25 lignes : non imprimée","OK")))))))))))))</f>
        <v/>
      </c>
      <c r="O1918" s="59" t="str">
        <f>IF(A1918="","",COUNTIF($A$6:A1918,A1918))</f>
        <v/>
      </c>
      <c r="P1918" s="62" t="str">
        <f>IF(A1918="","",A1918&amp;"|"&amp;O1918)</f>
        <v/>
      </c>
    </row>
    <row r="1919">
      <c r="A1919" s="60" t="n"/>
      <c r="B1919" s="63" t="n"/>
      <c r="C1919" s="63" t="n"/>
      <c r="D1919" s="67" t="n"/>
      <c r="E1919" s="68" t="n"/>
      <c r="F1919" s="69" t="n"/>
      <c r="G1919" s="70" t="n"/>
      <c r="H1919" s="62" t="str">
        <f>IF(COUNTA(A1919:G1919)=0,"",IF(C1919&lt;&gt;"",C1919,IF(B1919="","",IFERROR(INDEX(pr_des,MATCH(B1919,pr_code,0))&amp;"",""))))</f>
        <v/>
      </c>
      <c r="I1919" s="59" t="str">
        <f>IF(B1919="","",IFERROR(INDEX(pr_unit,MATCH(B1919,pr_code,0))&amp;"",""))</f>
        <v/>
      </c>
      <c r="J1919" s="65" t="str">
        <f>IF(COUNTA(A1919:G1919)=0,"",IF(E1919&lt;&gt;"",E1919,IF(B1919="","",IFERROR(IF(INDEX(pr_price,MATCH(B1919,pr_code,0))="","",INDEX(pr_price,MATCH(B1919,pr_code,0))),""))))</f>
        <v/>
      </c>
      <c r="K1919" s="71" t="str">
        <f>IF(COUNTA(A1919:G1919)=0,"",IF(G1919&lt;&gt;"",G1919,IF(B1919="","",IFERROR(IF(INDEX(pr_rate,MATCH(B1919,pr_code,0))="","",INDEX(pr_rate,MATCH(B1919,pr_code,0))),""))))</f>
        <v/>
      </c>
      <c r="L1919" s="65" t="str">
        <f>IF(COUNTA(A1919:G1919)=0,"",IF(AND(ISNUMBER(D1919),ISNUMBER(J1919)),ROUND(D1919*J1919*(1-N(F1919)),2),0))</f>
        <v/>
      </c>
      <c r="M1919" s="62" t="str">
        <f>IF(A1919="","",IFERROR(INDEX(dv_cname,MATCH(A1919,dv_num,0))&amp;"",""))</f>
        <v/>
      </c>
      <c r="N1919" s="59" t="str">
        <f>IF(COUNTA(A1919:G1919)=0,"",IF(A1919="","N° devis manquant",IF(ISNA(MATCH(A1919,dv_num,0)),"Devis inconnu",IF(AND(B1919&lt;&gt;"",ISNA(MATCH(B1919,pr_code,0))),"Article inconnu",IF(H1919="","Désignation manquante",IF(OR(NOT(ISNUMBER(D1919)),N(D1919)&lt;=0),"Quantité invalide",IF(J1919="","Prix manquant",IF(OR(NOT(ISNUMBER(J1919)),N(J1919)&lt;0),"Prix invalide",IF(OR(AND(F1919&lt;&gt;"",NOT(ISNUMBER(F1919))),N(F1919)&lt;0,N(F1919)&gt;1),"Remise invalide",IF(K1919="","Taux de TVA manquant",IF(NOT(ISNUMBER(K1919)),"Taux de TVA invalide",IF(COUNTIF(p_rates,K1919)=0,"Taux de TVA hors liste (Paramètres)",IF(N(O1919)&gt;25,"Au-delà de 25 lignes : non imprimée","OK")))))))))))))</f>
        <v/>
      </c>
      <c r="O1919" s="59" t="str">
        <f>IF(A1919="","",COUNTIF($A$6:A1919,A1919))</f>
        <v/>
      </c>
      <c r="P1919" s="62" t="str">
        <f>IF(A1919="","",A1919&amp;"|"&amp;O1919)</f>
        <v/>
      </c>
    </row>
    <row r="1920">
      <c r="A1920" s="60" t="n"/>
      <c r="B1920" s="63" t="n"/>
      <c r="C1920" s="63" t="n"/>
      <c r="D1920" s="67" t="n"/>
      <c r="E1920" s="68" t="n"/>
      <c r="F1920" s="69" t="n"/>
      <c r="G1920" s="70" t="n"/>
      <c r="H1920" s="62" t="str">
        <f>IF(COUNTA(A1920:G1920)=0,"",IF(C1920&lt;&gt;"",C1920,IF(B1920="","",IFERROR(INDEX(pr_des,MATCH(B1920,pr_code,0))&amp;"",""))))</f>
        <v/>
      </c>
      <c r="I1920" s="59" t="str">
        <f>IF(B1920="","",IFERROR(INDEX(pr_unit,MATCH(B1920,pr_code,0))&amp;"",""))</f>
        <v/>
      </c>
      <c r="J1920" s="65" t="str">
        <f>IF(COUNTA(A1920:G1920)=0,"",IF(E1920&lt;&gt;"",E1920,IF(B1920="","",IFERROR(IF(INDEX(pr_price,MATCH(B1920,pr_code,0))="","",INDEX(pr_price,MATCH(B1920,pr_code,0))),""))))</f>
        <v/>
      </c>
      <c r="K1920" s="71" t="str">
        <f>IF(COUNTA(A1920:G1920)=0,"",IF(G1920&lt;&gt;"",G1920,IF(B1920="","",IFERROR(IF(INDEX(pr_rate,MATCH(B1920,pr_code,0))="","",INDEX(pr_rate,MATCH(B1920,pr_code,0))),""))))</f>
        <v/>
      </c>
      <c r="L1920" s="65" t="str">
        <f>IF(COUNTA(A1920:G1920)=0,"",IF(AND(ISNUMBER(D1920),ISNUMBER(J1920)),ROUND(D1920*J1920*(1-N(F1920)),2),0))</f>
        <v/>
      </c>
      <c r="M1920" s="62" t="str">
        <f>IF(A1920="","",IFERROR(INDEX(dv_cname,MATCH(A1920,dv_num,0))&amp;"",""))</f>
        <v/>
      </c>
      <c r="N1920" s="59" t="str">
        <f>IF(COUNTA(A1920:G1920)=0,"",IF(A1920="","N° devis manquant",IF(ISNA(MATCH(A1920,dv_num,0)),"Devis inconnu",IF(AND(B1920&lt;&gt;"",ISNA(MATCH(B1920,pr_code,0))),"Article inconnu",IF(H1920="","Désignation manquante",IF(OR(NOT(ISNUMBER(D1920)),N(D1920)&lt;=0),"Quantité invalide",IF(J1920="","Prix manquant",IF(OR(NOT(ISNUMBER(J1920)),N(J1920)&lt;0),"Prix invalide",IF(OR(AND(F1920&lt;&gt;"",NOT(ISNUMBER(F1920))),N(F1920)&lt;0,N(F1920)&gt;1),"Remise invalide",IF(K1920="","Taux de TVA manquant",IF(NOT(ISNUMBER(K1920)),"Taux de TVA invalide",IF(COUNTIF(p_rates,K1920)=0,"Taux de TVA hors liste (Paramètres)",IF(N(O1920)&gt;25,"Au-delà de 25 lignes : non imprimée","OK")))))))))))))</f>
        <v/>
      </c>
      <c r="O1920" s="59" t="str">
        <f>IF(A1920="","",COUNTIF($A$6:A1920,A1920))</f>
        <v/>
      </c>
      <c r="P1920" s="62" t="str">
        <f>IF(A1920="","",A1920&amp;"|"&amp;O1920)</f>
        <v/>
      </c>
    </row>
    <row r="1921">
      <c r="A1921" s="60" t="n"/>
      <c r="B1921" s="63" t="n"/>
      <c r="C1921" s="63" t="n"/>
      <c r="D1921" s="67" t="n"/>
      <c r="E1921" s="68" t="n"/>
      <c r="F1921" s="69" t="n"/>
      <c r="G1921" s="70" t="n"/>
      <c r="H1921" s="62" t="str">
        <f>IF(COUNTA(A1921:G1921)=0,"",IF(C1921&lt;&gt;"",C1921,IF(B1921="","",IFERROR(INDEX(pr_des,MATCH(B1921,pr_code,0))&amp;"",""))))</f>
        <v/>
      </c>
      <c r="I1921" s="59" t="str">
        <f>IF(B1921="","",IFERROR(INDEX(pr_unit,MATCH(B1921,pr_code,0))&amp;"",""))</f>
        <v/>
      </c>
      <c r="J1921" s="65" t="str">
        <f>IF(COUNTA(A1921:G1921)=0,"",IF(E1921&lt;&gt;"",E1921,IF(B1921="","",IFERROR(IF(INDEX(pr_price,MATCH(B1921,pr_code,0))="","",INDEX(pr_price,MATCH(B1921,pr_code,0))),""))))</f>
        <v/>
      </c>
      <c r="K1921" s="71" t="str">
        <f>IF(COUNTA(A1921:G1921)=0,"",IF(G1921&lt;&gt;"",G1921,IF(B1921="","",IFERROR(IF(INDEX(pr_rate,MATCH(B1921,pr_code,0))="","",INDEX(pr_rate,MATCH(B1921,pr_code,0))),""))))</f>
        <v/>
      </c>
      <c r="L1921" s="65" t="str">
        <f>IF(COUNTA(A1921:G1921)=0,"",IF(AND(ISNUMBER(D1921),ISNUMBER(J1921)),ROUND(D1921*J1921*(1-N(F1921)),2),0))</f>
        <v/>
      </c>
      <c r="M1921" s="62" t="str">
        <f>IF(A1921="","",IFERROR(INDEX(dv_cname,MATCH(A1921,dv_num,0))&amp;"",""))</f>
        <v/>
      </c>
      <c r="N1921" s="59" t="str">
        <f>IF(COUNTA(A1921:G1921)=0,"",IF(A1921="","N° devis manquant",IF(ISNA(MATCH(A1921,dv_num,0)),"Devis inconnu",IF(AND(B1921&lt;&gt;"",ISNA(MATCH(B1921,pr_code,0))),"Article inconnu",IF(H1921="","Désignation manquante",IF(OR(NOT(ISNUMBER(D1921)),N(D1921)&lt;=0),"Quantité invalide",IF(J1921="","Prix manquant",IF(OR(NOT(ISNUMBER(J1921)),N(J1921)&lt;0),"Prix invalide",IF(OR(AND(F1921&lt;&gt;"",NOT(ISNUMBER(F1921))),N(F1921)&lt;0,N(F1921)&gt;1),"Remise invalide",IF(K1921="","Taux de TVA manquant",IF(NOT(ISNUMBER(K1921)),"Taux de TVA invalide",IF(COUNTIF(p_rates,K1921)=0,"Taux de TVA hors liste (Paramètres)",IF(N(O1921)&gt;25,"Au-delà de 25 lignes : non imprimée","OK")))))))))))))</f>
        <v/>
      </c>
      <c r="O1921" s="59" t="str">
        <f>IF(A1921="","",COUNTIF($A$6:A1921,A1921))</f>
        <v/>
      </c>
      <c r="P1921" s="62" t="str">
        <f>IF(A1921="","",A1921&amp;"|"&amp;O1921)</f>
        <v/>
      </c>
    </row>
    <row r="1922">
      <c r="A1922" s="60" t="n"/>
      <c r="B1922" s="63" t="n"/>
      <c r="C1922" s="63" t="n"/>
      <c r="D1922" s="67" t="n"/>
      <c r="E1922" s="68" t="n"/>
      <c r="F1922" s="69" t="n"/>
      <c r="G1922" s="70" t="n"/>
      <c r="H1922" s="62" t="str">
        <f>IF(COUNTA(A1922:G1922)=0,"",IF(C1922&lt;&gt;"",C1922,IF(B1922="","",IFERROR(INDEX(pr_des,MATCH(B1922,pr_code,0))&amp;"",""))))</f>
        <v/>
      </c>
      <c r="I1922" s="59" t="str">
        <f>IF(B1922="","",IFERROR(INDEX(pr_unit,MATCH(B1922,pr_code,0))&amp;"",""))</f>
        <v/>
      </c>
      <c r="J1922" s="65" t="str">
        <f>IF(COUNTA(A1922:G1922)=0,"",IF(E1922&lt;&gt;"",E1922,IF(B1922="","",IFERROR(IF(INDEX(pr_price,MATCH(B1922,pr_code,0))="","",INDEX(pr_price,MATCH(B1922,pr_code,0))),""))))</f>
        <v/>
      </c>
      <c r="K1922" s="71" t="str">
        <f>IF(COUNTA(A1922:G1922)=0,"",IF(G1922&lt;&gt;"",G1922,IF(B1922="","",IFERROR(IF(INDEX(pr_rate,MATCH(B1922,pr_code,0))="","",INDEX(pr_rate,MATCH(B1922,pr_code,0))),""))))</f>
        <v/>
      </c>
      <c r="L1922" s="65" t="str">
        <f>IF(COUNTA(A1922:G1922)=0,"",IF(AND(ISNUMBER(D1922),ISNUMBER(J1922)),ROUND(D1922*J1922*(1-N(F1922)),2),0))</f>
        <v/>
      </c>
      <c r="M1922" s="62" t="str">
        <f>IF(A1922="","",IFERROR(INDEX(dv_cname,MATCH(A1922,dv_num,0))&amp;"",""))</f>
        <v/>
      </c>
      <c r="N1922" s="59" t="str">
        <f>IF(COUNTA(A1922:G1922)=0,"",IF(A1922="","N° devis manquant",IF(ISNA(MATCH(A1922,dv_num,0)),"Devis inconnu",IF(AND(B1922&lt;&gt;"",ISNA(MATCH(B1922,pr_code,0))),"Article inconnu",IF(H1922="","Désignation manquante",IF(OR(NOT(ISNUMBER(D1922)),N(D1922)&lt;=0),"Quantité invalide",IF(J1922="","Prix manquant",IF(OR(NOT(ISNUMBER(J1922)),N(J1922)&lt;0),"Prix invalide",IF(OR(AND(F1922&lt;&gt;"",NOT(ISNUMBER(F1922))),N(F1922)&lt;0,N(F1922)&gt;1),"Remise invalide",IF(K1922="","Taux de TVA manquant",IF(NOT(ISNUMBER(K1922)),"Taux de TVA invalide",IF(COUNTIF(p_rates,K1922)=0,"Taux de TVA hors liste (Paramètres)",IF(N(O1922)&gt;25,"Au-delà de 25 lignes : non imprimée","OK")))))))))))))</f>
        <v/>
      </c>
      <c r="O1922" s="59" t="str">
        <f>IF(A1922="","",COUNTIF($A$6:A1922,A1922))</f>
        <v/>
      </c>
      <c r="P1922" s="62" t="str">
        <f>IF(A1922="","",A1922&amp;"|"&amp;O1922)</f>
        <v/>
      </c>
    </row>
    <row r="1923">
      <c r="A1923" s="60" t="n"/>
      <c r="B1923" s="63" t="n"/>
      <c r="C1923" s="63" t="n"/>
      <c r="D1923" s="67" t="n"/>
      <c r="E1923" s="68" t="n"/>
      <c r="F1923" s="69" t="n"/>
      <c r="G1923" s="70" t="n"/>
      <c r="H1923" s="62" t="str">
        <f>IF(COUNTA(A1923:G1923)=0,"",IF(C1923&lt;&gt;"",C1923,IF(B1923="","",IFERROR(INDEX(pr_des,MATCH(B1923,pr_code,0))&amp;"",""))))</f>
        <v/>
      </c>
      <c r="I1923" s="59" t="str">
        <f>IF(B1923="","",IFERROR(INDEX(pr_unit,MATCH(B1923,pr_code,0))&amp;"",""))</f>
        <v/>
      </c>
      <c r="J1923" s="65" t="str">
        <f>IF(COUNTA(A1923:G1923)=0,"",IF(E1923&lt;&gt;"",E1923,IF(B1923="","",IFERROR(IF(INDEX(pr_price,MATCH(B1923,pr_code,0))="","",INDEX(pr_price,MATCH(B1923,pr_code,0))),""))))</f>
        <v/>
      </c>
      <c r="K1923" s="71" t="str">
        <f>IF(COUNTA(A1923:G1923)=0,"",IF(G1923&lt;&gt;"",G1923,IF(B1923="","",IFERROR(IF(INDEX(pr_rate,MATCH(B1923,pr_code,0))="","",INDEX(pr_rate,MATCH(B1923,pr_code,0))),""))))</f>
        <v/>
      </c>
      <c r="L1923" s="65" t="str">
        <f>IF(COUNTA(A1923:G1923)=0,"",IF(AND(ISNUMBER(D1923),ISNUMBER(J1923)),ROUND(D1923*J1923*(1-N(F1923)),2),0))</f>
        <v/>
      </c>
      <c r="M1923" s="62" t="str">
        <f>IF(A1923="","",IFERROR(INDEX(dv_cname,MATCH(A1923,dv_num,0))&amp;"",""))</f>
        <v/>
      </c>
      <c r="N1923" s="59" t="str">
        <f>IF(COUNTA(A1923:G1923)=0,"",IF(A1923="","N° devis manquant",IF(ISNA(MATCH(A1923,dv_num,0)),"Devis inconnu",IF(AND(B1923&lt;&gt;"",ISNA(MATCH(B1923,pr_code,0))),"Article inconnu",IF(H1923="","Désignation manquante",IF(OR(NOT(ISNUMBER(D1923)),N(D1923)&lt;=0),"Quantité invalide",IF(J1923="","Prix manquant",IF(OR(NOT(ISNUMBER(J1923)),N(J1923)&lt;0),"Prix invalide",IF(OR(AND(F1923&lt;&gt;"",NOT(ISNUMBER(F1923))),N(F1923)&lt;0,N(F1923)&gt;1),"Remise invalide",IF(K1923="","Taux de TVA manquant",IF(NOT(ISNUMBER(K1923)),"Taux de TVA invalide",IF(COUNTIF(p_rates,K1923)=0,"Taux de TVA hors liste (Paramètres)",IF(N(O1923)&gt;25,"Au-delà de 25 lignes : non imprimée","OK")))))))))))))</f>
        <v/>
      </c>
      <c r="O1923" s="59" t="str">
        <f>IF(A1923="","",COUNTIF($A$6:A1923,A1923))</f>
        <v/>
      </c>
      <c r="P1923" s="62" t="str">
        <f>IF(A1923="","",A1923&amp;"|"&amp;O1923)</f>
        <v/>
      </c>
    </row>
    <row r="1924">
      <c r="A1924" s="60" t="n"/>
      <c r="B1924" s="63" t="n"/>
      <c r="C1924" s="63" t="n"/>
      <c r="D1924" s="67" t="n"/>
      <c r="E1924" s="68" t="n"/>
      <c r="F1924" s="69" t="n"/>
      <c r="G1924" s="70" t="n"/>
      <c r="H1924" s="62" t="str">
        <f>IF(COUNTA(A1924:G1924)=0,"",IF(C1924&lt;&gt;"",C1924,IF(B1924="","",IFERROR(INDEX(pr_des,MATCH(B1924,pr_code,0))&amp;"",""))))</f>
        <v/>
      </c>
      <c r="I1924" s="59" t="str">
        <f>IF(B1924="","",IFERROR(INDEX(pr_unit,MATCH(B1924,pr_code,0))&amp;"",""))</f>
        <v/>
      </c>
      <c r="J1924" s="65" t="str">
        <f>IF(COUNTA(A1924:G1924)=0,"",IF(E1924&lt;&gt;"",E1924,IF(B1924="","",IFERROR(IF(INDEX(pr_price,MATCH(B1924,pr_code,0))="","",INDEX(pr_price,MATCH(B1924,pr_code,0))),""))))</f>
        <v/>
      </c>
      <c r="K1924" s="71" t="str">
        <f>IF(COUNTA(A1924:G1924)=0,"",IF(G1924&lt;&gt;"",G1924,IF(B1924="","",IFERROR(IF(INDEX(pr_rate,MATCH(B1924,pr_code,0))="","",INDEX(pr_rate,MATCH(B1924,pr_code,0))),""))))</f>
        <v/>
      </c>
      <c r="L1924" s="65" t="str">
        <f>IF(COUNTA(A1924:G1924)=0,"",IF(AND(ISNUMBER(D1924),ISNUMBER(J1924)),ROUND(D1924*J1924*(1-N(F1924)),2),0))</f>
        <v/>
      </c>
      <c r="M1924" s="62" t="str">
        <f>IF(A1924="","",IFERROR(INDEX(dv_cname,MATCH(A1924,dv_num,0))&amp;"",""))</f>
        <v/>
      </c>
      <c r="N1924" s="59" t="str">
        <f>IF(COUNTA(A1924:G1924)=0,"",IF(A1924="","N° devis manquant",IF(ISNA(MATCH(A1924,dv_num,0)),"Devis inconnu",IF(AND(B1924&lt;&gt;"",ISNA(MATCH(B1924,pr_code,0))),"Article inconnu",IF(H1924="","Désignation manquante",IF(OR(NOT(ISNUMBER(D1924)),N(D1924)&lt;=0),"Quantité invalide",IF(J1924="","Prix manquant",IF(OR(NOT(ISNUMBER(J1924)),N(J1924)&lt;0),"Prix invalide",IF(OR(AND(F1924&lt;&gt;"",NOT(ISNUMBER(F1924))),N(F1924)&lt;0,N(F1924)&gt;1),"Remise invalide",IF(K1924="","Taux de TVA manquant",IF(NOT(ISNUMBER(K1924)),"Taux de TVA invalide",IF(COUNTIF(p_rates,K1924)=0,"Taux de TVA hors liste (Paramètres)",IF(N(O1924)&gt;25,"Au-delà de 25 lignes : non imprimée","OK")))))))))))))</f>
        <v/>
      </c>
      <c r="O1924" s="59" t="str">
        <f>IF(A1924="","",COUNTIF($A$6:A1924,A1924))</f>
        <v/>
      </c>
      <c r="P1924" s="62" t="str">
        <f>IF(A1924="","",A1924&amp;"|"&amp;O1924)</f>
        <v/>
      </c>
    </row>
    <row r="1925">
      <c r="A1925" s="60" t="n"/>
      <c r="B1925" s="63" t="n"/>
      <c r="C1925" s="63" t="n"/>
      <c r="D1925" s="67" t="n"/>
      <c r="E1925" s="68" t="n"/>
      <c r="F1925" s="69" t="n"/>
      <c r="G1925" s="70" t="n"/>
      <c r="H1925" s="62" t="str">
        <f>IF(COUNTA(A1925:G1925)=0,"",IF(C1925&lt;&gt;"",C1925,IF(B1925="","",IFERROR(INDEX(pr_des,MATCH(B1925,pr_code,0))&amp;"",""))))</f>
        <v/>
      </c>
      <c r="I1925" s="59" t="str">
        <f>IF(B1925="","",IFERROR(INDEX(pr_unit,MATCH(B1925,pr_code,0))&amp;"",""))</f>
        <v/>
      </c>
      <c r="J1925" s="65" t="str">
        <f>IF(COUNTA(A1925:G1925)=0,"",IF(E1925&lt;&gt;"",E1925,IF(B1925="","",IFERROR(IF(INDEX(pr_price,MATCH(B1925,pr_code,0))="","",INDEX(pr_price,MATCH(B1925,pr_code,0))),""))))</f>
        <v/>
      </c>
      <c r="K1925" s="71" t="str">
        <f>IF(COUNTA(A1925:G1925)=0,"",IF(G1925&lt;&gt;"",G1925,IF(B1925="","",IFERROR(IF(INDEX(pr_rate,MATCH(B1925,pr_code,0))="","",INDEX(pr_rate,MATCH(B1925,pr_code,0))),""))))</f>
        <v/>
      </c>
      <c r="L1925" s="65" t="str">
        <f>IF(COUNTA(A1925:G1925)=0,"",IF(AND(ISNUMBER(D1925),ISNUMBER(J1925)),ROUND(D1925*J1925*(1-N(F1925)),2),0))</f>
        <v/>
      </c>
      <c r="M1925" s="62" t="str">
        <f>IF(A1925="","",IFERROR(INDEX(dv_cname,MATCH(A1925,dv_num,0))&amp;"",""))</f>
        <v/>
      </c>
      <c r="N1925" s="59" t="str">
        <f>IF(COUNTA(A1925:G1925)=0,"",IF(A1925="","N° devis manquant",IF(ISNA(MATCH(A1925,dv_num,0)),"Devis inconnu",IF(AND(B1925&lt;&gt;"",ISNA(MATCH(B1925,pr_code,0))),"Article inconnu",IF(H1925="","Désignation manquante",IF(OR(NOT(ISNUMBER(D1925)),N(D1925)&lt;=0),"Quantité invalide",IF(J1925="","Prix manquant",IF(OR(NOT(ISNUMBER(J1925)),N(J1925)&lt;0),"Prix invalide",IF(OR(AND(F1925&lt;&gt;"",NOT(ISNUMBER(F1925))),N(F1925)&lt;0,N(F1925)&gt;1),"Remise invalide",IF(K1925="","Taux de TVA manquant",IF(NOT(ISNUMBER(K1925)),"Taux de TVA invalide",IF(COUNTIF(p_rates,K1925)=0,"Taux de TVA hors liste (Paramètres)",IF(N(O1925)&gt;25,"Au-delà de 25 lignes : non imprimée","OK")))))))))))))</f>
        <v/>
      </c>
      <c r="O1925" s="59" t="str">
        <f>IF(A1925="","",COUNTIF($A$6:A1925,A1925))</f>
        <v/>
      </c>
      <c r="P1925" s="62" t="str">
        <f>IF(A1925="","",A1925&amp;"|"&amp;O1925)</f>
        <v/>
      </c>
    </row>
    <row r="1926">
      <c r="A1926" s="60" t="n"/>
      <c r="B1926" s="63" t="n"/>
      <c r="C1926" s="63" t="n"/>
      <c r="D1926" s="67" t="n"/>
      <c r="E1926" s="68" t="n"/>
      <c r="F1926" s="69" t="n"/>
      <c r="G1926" s="70" t="n"/>
      <c r="H1926" s="62" t="str">
        <f>IF(COUNTA(A1926:G1926)=0,"",IF(C1926&lt;&gt;"",C1926,IF(B1926="","",IFERROR(INDEX(pr_des,MATCH(B1926,pr_code,0))&amp;"",""))))</f>
        <v/>
      </c>
      <c r="I1926" s="59" t="str">
        <f>IF(B1926="","",IFERROR(INDEX(pr_unit,MATCH(B1926,pr_code,0))&amp;"",""))</f>
        <v/>
      </c>
      <c r="J1926" s="65" t="str">
        <f>IF(COUNTA(A1926:G1926)=0,"",IF(E1926&lt;&gt;"",E1926,IF(B1926="","",IFERROR(IF(INDEX(pr_price,MATCH(B1926,pr_code,0))="","",INDEX(pr_price,MATCH(B1926,pr_code,0))),""))))</f>
        <v/>
      </c>
      <c r="K1926" s="71" t="str">
        <f>IF(COUNTA(A1926:G1926)=0,"",IF(G1926&lt;&gt;"",G1926,IF(B1926="","",IFERROR(IF(INDEX(pr_rate,MATCH(B1926,pr_code,0))="","",INDEX(pr_rate,MATCH(B1926,pr_code,0))),""))))</f>
        <v/>
      </c>
      <c r="L1926" s="65" t="str">
        <f>IF(COUNTA(A1926:G1926)=0,"",IF(AND(ISNUMBER(D1926),ISNUMBER(J1926)),ROUND(D1926*J1926*(1-N(F1926)),2),0))</f>
        <v/>
      </c>
      <c r="M1926" s="62" t="str">
        <f>IF(A1926="","",IFERROR(INDEX(dv_cname,MATCH(A1926,dv_num,0))&amp;"",""))</f>
        <v/>
      </c>
      <c r="N1926" s="59" t="str">
        <f>IF(COUNTA(A1926:G1926)=0,"",IF(A1926="","N° devis manquant",IF(ISNA(MATCH(A1926,dv_num,0)),"Devis inconnu",IF(AND(B1926&lt;&gt;"",ISNA(MATCH(B1926,pr_code,0))),"Article inconnu",IF(H1926="","Désignation manquante",IF(OR(NOT(ISNUMBER(D1926)),N(D1926)&lt;=0),"Quantité invalide",IF(J1926="","Prix manquant",IF(OR(NOT(ISNUMBER(J1926)),N(J1926)&lt;0),"Prix invalide",IF(OR(AND(F1926&lt;&gt;"",NOT(ISNUMBER(F1926))),N(F1926)&lt;0,N(F1926)&gt;1),"Remise invalide",IF(K1926="","Taux de TVA manquant",IF(NOT(ISNUMBER(K1926)),"Taux de TVA invalide",IF(COUNTIF(p_rates,K1926)=0,"Taux de TVA hors liste (Paramètres)",IF(N(O1926)&gt;25,"Au-delà de 25 lignes : non imprimée","OK")))))))))))))</f>
        <v/>
      </c>
      <c r="O1926" s="59" t="str">
        <f>IF(A1926="","",COUNTIF($A$6:A1926,A1926))</f>
        <v/>
      </c>
      <c r="P1926" s="62" t="str">
        <f>IF(A1926="","",A1926&amp;"|"&amp;O1926)</f>
        <v/>
      </c>
    </row>
    <row r="1927">
      <c r="A1927" s="60" t="n"/>
      <c r="B1927" s="63" t="n"/>
      <c r="C1927" s="63" t="n"/>
      <c r="D1927" s="67" t="n"/>
      <c r="E1927" s="68" t="n"/>
      <c r="F1927" s="69" t="n"/>
      <c r="G1927" s="70" t="n"/>
      <c r="H1927" s="62" t="str">
        <f>IF(COUNTA(A1927:G1927)=0,"",IF(C1927&lt;&gt;"",C1927,IF(B1927="","",IFERROR(INDEX(pr_des,MATCH(B1927,pr_code,0))&amp;"",""))))</f>
        <v/>
      </c>
      <c r="I1927" s="59" t="str">
        <f>IF(B1927="","",IFERROR(INDEX(pr_unit,MATCH(B1927,pr_code,0))&amp;"",""))</f>
        <v/>
      </c>
      <c r="J1927" s="65" t="str">
        <f>IF(COUNTA(A1927:G1927)=0,"",IF(E1927&lt;&gt;"",E1927,IF(B1927="","",IFERROR(IF(INDEX(pr_price,MATCH(B1927,pr_code,0))="","",INDEX(pr_price,MATCH(B1927,pr_code,0))),""))))</f>
        <v/>
      </c>
      <c r="K1927" s="71" t="str">
        <f>IF(COUNTA(A1927:G1927)=0,"",IF(G1927&lt;&gt;"",G1927,IF(B1927="","",IFERROR(IF(INDEX(pr_rate,MATCH(B1927,pr_code,0))="","",INDEX(pr_rate,MATCH(B1927,pr_code,0))),""))))</f>
        <v/>
      </c>
      <c r="L1927" s="65" t="str">
        <f>IF(COUNTA(A1927:G1927)=0,"",IF(AND(ISNUMBER(D1927),ISNUMBER(J1927)),ROUND(D1927*J1927*(1-N(F1927)),2),0))</f>
        <v/>
      </c>
      <c r="M1927" s="62" t="str">
        <f>IF(A1927="","",IFERROR(INDEX(dv_cname,MATCH(A1927,dv_num,0))&amp;"",""))</f>
        <v/>
      </c>
      <c r="N1927" s="59" t="str">
        <f>IF(COUNTA(A1927:G1927)=0,"",IF(A1927="","N° devis manquant",IF(ISNA(MATCH(A1927,dv_num,0)),"Devis inconnu",IF(AND(B1927&lt;&gt;"",ISNA(MATCH(B1927,pr_code,0))),"Article inconnu",IF(H1927="","Désignation manquante",IF(OR(NOT(ISNUMBER(D1927)),N(D1927)&lt;=0),"Quantité invalide",IF(J1927="","Prix manquant",IF(OR(NOT(ISNUMBER(J1927)),N(J1927)&lt;0),"Prix invalide",IF(OR(AND(F1927&lt;&gt;"",NOT(ISNUMBER(F1927))),N(F1927)&lt;0,N(F1927)&gt;1),"Remise invalide",IF(K1927="","Taux de TVA manquant",IF(NOT(ISNUMBER(K1927)),"Taux de TVA invalide",IF(COUNTIF(p_rates,K1927)=0,"Taux de TVA hors liste (Paramètres)",IF(N(O1927)&gt;25,"Au-delà de 25 lignes : non imprimée","OK")))))))))))))</f>
        <v/>
      </c>
      <c r="O1927" s="59" t="str">
        <f>IF(A1927="","",COUNTIF($A$6:A1927,A1927))</f>
        <v/>
      </c>
      <c r="P1927" s="62" t="str">
        <f>IF(A1927="","",A1927&amp;"|"&amp;O1927)</f>
        <v/>
      </c>
    </row>
    <row r="1928">
      <c r="A1928" s="60" t="n"/>
      <c r="B1928" s="63" t="n"/>
      <c r="C1928" s="63" t="n"/>
      <c r="D1928" s="67" t="n"/>
      <c r="E1928" s="68" t="n"/>
      <c r="F1928" s="69" t="n"/>
      <c r="G1928" s="70" t="n"/>
      <c r="H1928" s="62" t="str">
        <f>IF(COUNTA(A1928:G1928)=0,"",IF(C1928&lt;&gt;"",C1928,IF(B1928="","",IFERROR(INDEX(pr_des,MATCH(B1928,pr_code,0))&amp;"",""))))</f>
        <v/>
      </c>
      <c r="I1928" s="59" t="str">
        <f>IF(B1928="","",IFERROR(INDEX(pr_unit,MATCH(B1928,pr_code,0))&amp;"",""))</f>
        <v/>
      </c>
      <c r="J1928" s="65" t="str">
        <f>IF(COUNTA(A1928:G1928)=0,"",IF(E1928&lt;&gt;"",E1928,IF(B1928="","",IFERROR(IF(INDEX(pr_price,MATCH(B1928,pr_code,0))="","",INDEX(pr_price,MATCH(B1928,pr_code,0))),""))))</f>
        <v/>
      </c>
      <c r="K1928" s="71" t="str">
        <f>IF(COUNTA(A1928:G1928)=0,"",IF(G1928&lt;&gt;"",G1928,IF(B1928="","",IFERROR(IF(INDEX(pr_rate,MATCH(B1928,pr_code,0))="","",INDEX(pr_rate,MATCH(B1928,pr_code,0))),""))))</f>
        <v/>
      </c>
      <c r="L1928" s="65" t="str">
        <f>IF(COUNTA(A1928:G1928)=0,"",IF(AND(ISNUMBER(D1928),ISNUMBER(J1928)),ROUND(D1928*J1928*(1-N(F1928)),2),0))</f>
        <v/>
      </c>
      <c r="M1928" s="62" t="str">
        <f>IF(A1928="","",IFERROR(INDEX(dv_cname,MATCH(A1928,dv_num,0))&amp;"",""))</f>
        <v/>
      </c>
      <c r="N1928" s="59" t="str">
        <f>IF(COUNTA(A1928:G1928)=0,"",IF(A1928="","N° devis manquant",IF(ISNA(MATCH(A1928,dv_num,0)),"Devis inconnu",IF(AND(B1928&lt;&gt;"",ISNA(MATCH(B1928,pr_code,0))),"Article inconnu",IF(H1928="","Désignation manquante",IF(OR(NOT(ISNUMBER(D1928)),N(D1928)&lt;=0),"Quantité invalide",IF(J1928="","Prix manquant",IF(OR(NOT(ISNUMBER(J1928)),N(J1928)&lt;0),"Prix invalide",IF(OR(AND(F1928&lt;&gt;"",NOT(ISNUMBER(F1928))),N(F1928)&lt;0,N(F1928)&gt;1),"Remise invalide",IF(K1928="","Taux de TVA manquant",IF(NOT(ISNUMBER(K1928)),"Taux de TVA invalide",IF(COUNTIF(p_rates,K1928)=0,"Taux de TVA hors liste (Paramètres)",IF(N(O1928)&gt;25,"Au-delà de 25 lignes : non imprimée","OK")))))))))))))</f>
        <v/>
      </c>
      <c r="O1928" s="59" t="str">
        <f>IF(A1928="","",COUNTIF($A$6:A1928,A1928))</f>
        <v/>
      </c>
      <c r="P1928" s="62" t="str">
        <f>IF(A1928="","",A1928&amp;"|"&amp;O1928)</f>
        <v/>
      </c>
    </row>
    <row r="1929">
      <c r="A1929" s="60" t="n"/>
      <c r="B1929" s="63" t="n"/>
      <c r="C1929" s="63" t="n"/>
      <c r="D1929" s="67" t="n"/>
      <c r="E1929" s="68" t="n"/>
      <c r="F1929" s="69" t="n"/>
      <c r="G1929" s="70" t="n"/>
      <c r="H1929" s="62" t="str">
        <f>IF(COUNTA(A1929:G1929)=0,"",IF(C1929&lt;&gt;"",C1929,IF(B1929="","",IFERROR(INDEX(pr_des,MATCH(B1929,pr_code,0))&amp;"",""))))</f>
        <v/>
      </c>
      <c r="I1929" s="59" t="str">
        <f>IF(B1929="","",IFERROR(INDEX(pr_unit,MATCH(B1929,pr_code,0))&amp;"",""))</f>
        <v/>
      </c>
      <c r="J1929" s="65" t="str">
        <f>IF(COUNTA(A1929:G1929)=0,"",IF(E1929&lt;&gt;"",E1929,IF(B1929="","",IFERROR(IF(INDEX(pr_price,MATCH(B1929,pr_code,0))="","",INDEX(pr_price,MATCH(B1929,pr_code,0))),""))))</f>
        <v/>
      </c>
      <c r="K1929" s="71" t="str">
        <f>IF(COUNTA(A1929:G1929)=0,"",IF(G1929&lt;&gt;"",G1929,IF(B1929="","",IFERROR(IF(INDEX(pr_rate,MATCH(B1929,pr_code,0))="","",INDEX(pr_rate,MATCH(B1929,pr_code,0))),""))))</f>
        <v/>
      </c>
      <c r="L1929" s="65" t="str">
        <f>IF(COUNTA(A1929:G1929)=0,"",IF(AND(ISNUMBER(D1929),ISNUMBER(J1929)),ROUND(D1929*J1929*(1-N(F1929)),2),0))</f>
        <v/>
      </c>
      <c r="M1929" s="62" t="str">
        <f>IF(A1929="","",IFERROR(INDEX(dv_cname,MATCH(A1929,dv_num,0))&amp;"",""))</f>
        <v/>
      </c>
      <c r="N1929" s="59" t="str">
        <f>IF(COUNTA(A1929:G1929)=0,"",IF(A1929="","N° devis manquant",IF(ISNA(MATCH(A1929,dv_num,0)),"Devis inconnu",IF(AND(B1929&lt;&gt;"",ISNA(MATCH(B1929,pr_code,0))),"Article inconnu",IF(H1929="","Désignation manquante",IF(OR(NOT(ISNUMBER(D1929)),N(D1929)&lt;=0),"Quantité invalide",IF(J1929="","Prix manquant",IF(OR(NOT(ISNUMBER(J1929)),N(J1929)&lt;0),"Prix invalide",IF(OR(AND(F1929&lt;&gt;"",NOT(ISNUMBER(F1929))),N(F1929)&lt;0,N(F1929)&gt;1),"Remise invalide",IF(K1929="","Taux de TVA manquant",IF(NOT(ISNUMBER(K1929)),"Taux de TVA invalide",IF(COUNTIF(p_rates,K1929)=0,"Taux de TVA hors liste (Paramètres)",IF(N(O1929)&gt;25,"Au-delà de 25 lignes : non imprimée","OK")))))))))))))</f>
        <v/>
      </c>
      <c r="O1929" s="59" t="str">
        <f>IF(A1929="","",COUNTIF($A$6:A1929,A1929))</f>
        <v/>
      </c>
      <c r="P1929" s="62" t="str">
        <f>IF(A1929="","",A1929&amp;"|"&amp;O1929)</f>
        <v/>
      </c>
    </row>
    <row r="1930">
      <c r="A1930" s="60" t="n"/>
      <c r="B1930" s="63" t="n"/>
      <c r="C1930" s="63" t="n"/>
      <c r="D1930" s="67" t="n"/>
      <c r="E1930" s="68" t="n"/>
      <c r="F1930" s="69" t="n"/>
      <c r="G1930" s="70" t="n"/>
      <c r="H1930" s="62" t="str">
        <f>IF(COUNTA(A1930:G1930)=0,"",IF(C1930&lt;&gt;"",C1930,IF(B1930="","",IFERROR(INDEX(pr_des,MATCH(B1930,pr_code,0))&amp;"",""))))</f>
        <v/>
      </c>
      <c r="I1930" s="59" t="str">
        <f>IF(B1930="","",IFERROR(INDEX(pr_unit,MATCH(B1930,pr_code,0))&amp;"",""))</f>
        <v/>
      </c>
      <c r="J1930" s="65" t="str">
        <f>IF(COUNTA(A1930:G1930)=0,"",IF(E1930&lt;&gt;"",E1930,IF(B1930="","",IFERROR(IF(INDEX(pr_price,MATCH(B1930,pr_code,0))="","",INDEX(pr_price,MATCH(B1930,pr_code,0))),""))))</f>
        <v/>
      </c>
      <c r="K1930" s="71" t="str">
        <f>IF(COUNTA(A1930:G1930)=0,"",IF(G1930&lt;&gt;"",G1930,IF(B1930="","",IFERROR(IF(INDEX(pr_rate,MATCH(B1930,pr_code,0))="","",INDEX(pr_rate,MATCH(B1930,pr_code,0))),""))))</f>
        <v/>
      </c>
      <c r="L1930" s="65" t="str">
        <f>IF(COUNTA(A1930:G1930)=0,"",IF(AND(ISNUMBER(D1930),ISNUMBER(J1930)),ROUND(D1930*J1930*(1-N(F1930)),2),0))</f>
        <v/>
      </c>
      <c r="M1930" s="62" t="str">
        <f>IF(A1930="","",IFERROR(INDEX(dv_cname,MATCH(A1930,dv_num,0))&amp;"",""))</f>
        <v/>
      </c>
      <c r="N1930" s="59" t="str">
        <f>IF(COUNTA(A1930:G1930)=0,"",IF(A1930="","N° devis manquant",IF(ISNA(MATCH(A1930,dv_num,0)),"Devis inconnu",IF(AND(B1930&lt;&gt;"",ISNA(MATCH(B1930,pr_code,0))),"Article inconnu",IF(H1930="","Désignation manquante",IF(OR(NOT(ISNUMBER(D1930)),N(D1930)&lt;=0),"Quantité invalide",IF(J1930="","Prix manquant",IF(OR(NOT(ISNUMBER(J1930)),N(J1930)&lt;0),"Prix invalide",IF(OR(AND(F1930&lt;&gt;"",NOT(ISNUMBER(F1930))),N(F1930)&lt;0,N(F1930)&gt;1),"Remise invalide",IF(K1930="","Taux de TVA manquant",IF(NOT(ISNUMBER(K1930)),"Taux de TVA invalide",IF(COUNTIF(p_rates,K1930)=0,"Taux de TVA hors liste (Paramètres)",IF(N(O1930)&gt;25,"Au-delà de 25 lignes : non imprimée","OK")))))))))))))</f>
        <v/>
      </c>
      <c r="O1930" s="59" t="str">
        <f>IF(A1930="","",COUNTIF($A$6:A1930,A1930))</f>
        <v/>
      </c>
      <c r="P1930" s="62" t="str">
        <f>IF(A1930="","",A1930&amp;"|"&amp;O1930)</f>
        <v/>
      </c>
    </row>
    <row r="1931">
      <c r="A1931" s="60" t="n"/>
      <c r="B1931" s="63" t="n"/>
      <c r="C1931" s="63" t="n"/>
      <c r="D1931" s="67" t="n"/>
      <c r="E1931" s="68" t="n"/>
      <c r="F1931" s="69" t="n"/>
      <c r="G1931" s="70" t="n"/>
      <c r="H1931" s="62" t="str">
        <f>IF(COUNTA(A1931:G1931)=0,"",IF(C1931&lt;&gt;"",C1931,IF(B1931="","",IFERROR(INDEX(pr_des,MATCH(B1931,pr_code,0))&amp;"",""))))</f>
        <v/>
      </c>
      <c r="I1931" s="59" t="str">
        <f>IF(B1931="","",IFERROR(INDEX(pr_unit,MATCH(B1931,pr_code,0))&amp;"",""))</f>
        <v/>
      </c>
      <c r="J1931" s="65" t="str">
        <f>IF(COUNTA(A1931:G1931)=0,"",IF(E1931&lt;&gt;"",E1931,IF(B1931="","",IFERROR(IF(INDEX(pr_price,MATCH(B1931,pr_code,0))="","",INDEX(pr_price,MATCH(B1931,pr_code,0))),""))))</f>
        <v/>
      </c>
      <c r="K1931" s="71" t="str">
        <f>IF(COUNTA(A1931:G1931)=0,"",IF(G1931&lt;&gt;"",G1931,IF(B1931="","",IFERROR(IF(INDEX(pr_rate,MATCH(B1931,pr_code,0))="","",INDEX(pr_rate,MATCH(B1931,pr_code,0))),""))))</f>
        <v/>
      </c>
      <c r="L1931" s="65" t="str">
        <f>IF(COUNTA(A1931:G1931)=0,"",IF(AND(ISNUMBER(D1931),ISNUMBER(J1931)),ROUND(D1931*J1931*(1-N(F1931)),2),0))</f>
        <v/>
      </c>
      <c r="M1931" s="62" t="str">
        <f>IF(A1931="","",IFERROR(INDEX(dv_cname,MATCH(A1931,dv_num,0))&amp;"",""))</f>
        <v/>
      </c>
      <c r="N1931" s="59" t="str">
        <f>IF(COUNTA(A1931:G1931)=0,"",IF(A1931="","N° devis manquant",IF(ISNA(MATCH(A1931,dv_num,0)),"Devis inconnu",IF(AND(B1931&lt;&gt;"",ISNA(MATCH(B1931,pr_code,0))),"Article inconnu",IF(H1931="","Désignation manquante",IF(OR(NOT(ISNUMBER(D1931)),N(D1931)&lt;=0),"Quantité invalide",IF(J1931="","Prix manquant",IF(OR(NOT(ISNUMBER(J1931)),N(J1931)&lt;0),"Prix invalide",IF(OR(AND(F1931&lt;&gt;"",NOT(ISNUMBER(F1931))),N(F1931)&lt;0,N(F1931)&gt;1),"Remise invalide",IF(K1931="","Taux de TVA manquant",IF(NOT(ISNUMBER(K1931)),"Taux de TVA invalide",IF(COUNTIF(p_rates,K1931)=0,"Taux de TVA hors liste (Paramètres)",IF(N(O1931)&gt;25,"Au-delà de 25 lignes : non imprimée","OK")))))))))))))</f>
        <v/>
      </c>
      <c r="O1931" s="59" t="str">
        <f>IF(A1931="","",COUNTIF($A$6:A1931,A1931))</f>
        <v/>
      </c>
      <c r="P1931" s="62" t="str">
        <f>IF(A1931="","",A1931&amp;"|"&amp;O1931)</f>
        <v/>
      </c>
    </row>
    <row r="1932">
      <c r="A1932" s="60" t="n"/>
      <c r="B1932" s="63" t="n"/>
      <c r="C1932" s="63" t="n"/>
      <c r="D1932" s="67" t="n"/>
      <c r="E1932" s="68" t="n"/>
      <c r="F1932" s="69" t="n"/>
      <c r="G1932" s="70" t="n"/>
      <c r="H1932" s="62" t="str">
        <f>IF(COUNTA(A1932:G1932)=0,"",IF(C1932&lt;&gt;"",C1932,IF(B1932="","",IFERROR(INDEX(pr_des,MATCH(B1932,pr_code,0))&amp;"",""))))</f>
        <v/>
      </c>
      <c r="I1932" s="59" t="str">
        <f>IF(B1932="","",IFERROR(INDEX(pr_unit,MATCH(B1932,pr_code,0))&amp;"",""))</f>
        <v/>
      </c>
      <c r="J1932" s="65" t="str">
        <f>IF(COUNTA(A1932:G1932)=0,"",IF(E1932&lt;&gt;"",E1932,IF(B1932="","",IFERROR(IF(INDEX(pr_price,MATCH(B1932,pr_code,0))="","",INDEX(pr_price,MATCH(B1932,pr_code,0))),""))))</f>
        <v/>
      </c>
      <c r="K1932" s="71" t="str">
        <f>IF(COUNTA(A1932:G1932)=0,"",IF(G1932&lt;&gt;"",G1932,IF(B1932="","",IFERROR(IF(INDEX(pr_rate,MATCH(B1932,pr_code,0))="","",INDEX(pr_rate,MATCH(B1932,pr_code,0))),""))))</f>
        <v/>
      </c>
      <c r="L1932" s="65" t="str">
        <f>IF(COUNTA(A1932:G1932)=0,"",IF(AND(ISNUMBER(D1932),ISNUMBER(J1932)),ROUND(D1932*J1932*(1-N(F1932)),2),0))</f>
        <v/>
      </c>
      <c r="M1932" s="62" t="str">
        <f>IF(A1932="","",IFERROR(INDEX(dv_cname,MATCH(A1932,dv_num,0))&amp;"",""))</f>
        <v/>
      </c>
      <c r="N1932" s="59" t="str">
        <f>IF(COUNTA(A1932:G1932)=0,"",IF(A1932="","N° devis manquant",IF(ISNA(MATCH(A1932,dv_num,0)),"Devis inconnu",IF(AND(B1932&lt;&gt;"",ISNA(MATCH(B1932,pr_code,0))),"Article inconnu",IF(H1932="","Désignation manquante",IF(OR(NOT(ISNUMBER(D1932)),N(D1932)&lt;=0),"Quantité invalide",IF(J1932="","Prix manquant",IF(OR(NOT(ISNUMBER(J1932)),N(J1932)&lt;0),"Prix invalide",IF(OR(AND(F1932&lt;&gt;"",NOT(ISNUMBER(F1932))),N(F1932)&lt;0,N(F1932)&gt;1),"Remise invalide",IF(K1932="","Taux de TVA manquant",IF(NOT(ISNUMBER(K1932)),"Taux de TVA invalide",IF(COUNTIF(p_rates,K1932)=0,"Taux de TVA hors liste (Paramètres)",IF(N(O1932)&gt;25,"Au-delà de 25 lignes : non imprimée","OK")))))))))))))</f>
        <v/>
      </c>
      <c r="O1932" s="59" t="str">
        <f>IF(A1932="","",COUNTIF($A$6:A1932,A1932))</f>
        <v/>
      </c>
      <c r="P1932" s="62" t="str">
        <f>IF(A1932="","",A1932&amp;"|"&amp;O1932)</f>
        <v/>
      </c>
    </row>
    <row r="1933">
      <c r="A1933" s="60" t="n"/>
      <c r="B1933" s="63" t="n"/>
      <c r="C1933" s="63" t="n"/>
      <c r="D1933" s="67" t="n"/>
      <c r="E1933" s="68" t="n"/>
      <c r="F1933" s="69" t="n"/>
      <c r="G1933" s="70" t="n"/>
      <c r="H1933" s="62" t="str">
        <f>IF(COUNTA(A1933:G1933)=0,"",IF(C1933&lt;&gt;"",C1933,IF(B1933="","",IFERROR(INDEX(pr_des,MATCH(B1933,pr_code,0))&amp;"",""))))</f>
        <v/>
      </c>
      <c r="I1933" s="59" t="str">
        <f>IF(B1933="","",IFERROR(INDEX(pr_unit,MATCH(B1933,pr_code,0))&amp;"",""))</f>
        <v/>
      </c>
      <c r="J1933" s="65" t="str">
        <f>IF(COUNTA(A1933:G1933)=0,"",IF(E1933&lt;&gt;"",E1933,IF(B1933="","",IFERROR(IF(INDEX(pr_price,MATCH(B1933,pr_code,0))="","",INDEX(pr_price,MATCH(B1933,pr_code,0))),""))))</f>
        <v/>
      </c>
      <c r="K1933" s="71" t="str">
        <f>IF(COUNTA(A1933:G1933)=0,"",IF(G1933&lt;&gt;"",G1933,IF(B1933="","",IFERROR(IF(INDEX(pr_rate,MATCH(B1933,pr_code,0))="","",INDEX(pr_rate,MATCH(B1933,pr_code,0))),""))))</f>
        <v/>
      </c>
      <c r="L1933" s="65" t="str">
        <f>IF(COUNTA(A1933:G1933)=0,"",IF(AND(ISNUMBER(D1933),ISNUMBER(J1933)),ROUND(D1933*J1933*(1-N(F1933)),2),0))</f>
        <v/>
      </c>
      <c r="M1933" s="62" t="str">
        <f>IF(A1933="","",IFERROR(INDEX(dv_cname,MATCH(A1933,dv_num,0))&amp;"",""))</f>
        <v/>
      </c>
      <c r="N1933" s="59" t="str">
        <f>IF(COUNTA(A1933:G1933)=0,"",IF(A1933="","N° devis manquant",IF(ISNA(MATCH(A1933,dv_num,0)),"Devis inconnu",IF(AND(B1933&lt;&gt;"",ISNA(MATCH(B1933,pr_code,0))),"Article inconnu",IF(H1933="","Désignation manquante",IF(OR(NOT(ISNUMBER(D1933)),N(D1933)&lt;=0),"Quantité invalide",IF(J1933="","Prix manquant",IF(OR(NOT(ISNUMBER(J1933)),N(J1933)&lt;0),"Prix invalide",IF(OR(AND(F1933&lt;&gt;"",NOT(ISNUMBER(F1933))),N(F1933)&lt;0,N(F1933)&gt;1),"Remise invalide",IF(K1933="","Taux de TVA manquant",IF(NOT(ISNUMBER(K1933)),"Taux de TVA invalide",IF(COUNTIF(p_rates,K1933)=0,"Taux de TVA hors liste (Paramètres)",IF(N(O1933)&gt;25,"Au-delà de 25 lignes : non imprimée","OK")))))))))))))</f>
        <v/>
      </c>
      <c r="O1933" s="59" t="str">
        <f>IF(A1933="","",COUNTIF($A$6:A1933,A1933))</f>
        <v/>
      </c>
      <c r="P1933" s="62" t="str">
        <f>IF(A1933="","",A1933&amp;"|"&amp;O1933)</f>
        <v/>
      </c>
    </row>
    <row r="1934">
      <c r="A1934" s="60" t="n"/>
      <c r="B1934" s="63" t="n"/>
      <c r="C1934" s="63" t="n"/>
      <c r="D1934" s="67" t="n"/>
      <c r="E1934" s="68" t="n"/>
      <c r="F1934" s="69" t="n"/>
      <c r="G1934" s="70" t="n"/>
      <c r="H1934" s="62" t="str">
        <f>IF(COUNTA(A1934:G1934)=0,"",IF(C1934&lt;&gt;"",C1934,IF(B1934="","",IFERROR(INDEX(pr_des,MATCH(B1934,pr_code,0))&amp;"",""))))</f>
        <v/>
      </c>
      <c r="I1934" s="59" t="str">
        <f>IF(B1934="","",IFERROR(INDEX(pr_unit,MATCH(B1934,pr_code,0))&amp;"",""))</f>
        <v/>
      </c>
      <c r="J1934" s="65" t="str">
        <f>IF(COUNTA(A1934:G1934)=0,"",IF(E1934&lt;&gt;"",E1934,IF(B1934="","",IFERROR(IF(INDEX(pr_price,MATCH(B1934,pr_code,0))="","",INDEX(pr_price,MATCH(B1934,pr_code,0))),""))))</f>
        <v/>
      </c>
      <c r="K1934" s="71" t="str">
        <f>IF(COUNTA(A1934:G1934)=0,"",IF(G1934&lt;&gt;"",G1934,IF(B1934="","",IFERROR(IF(INDEX(pr_rate,MATCH(B1934,pr_code,0))="","",INDEX(pr_rate,MATCH(B1934,pr_code,0))),""))))</f>
        <v/>
      </c>
      <c r="L1934" s="65" t="str">
        <f>IF(COUNTA(A1934:G1934)=0,"",IF(AND(ISNUMBER(D1934),ISNUMBER(J1934)),ROUND(D1934*J1934*(1-N(F1934)),2),0))</f>
        <v/>
      </c>
      <c r="M1934" s="62" t="str">
        <f>IF(A1934="","",IFERROR(INDEX(dv_cname,MATCH(A1934,dv_num,0))&amp;"",""))</f>
        <v/>
      </c>
      <c r="N1934" s="59" t="str">
        <f>IF(COUNTA(A1934:G1934)=0,"",IF(A1934="","N° devis manquant",IF(ISNA(MATCH(A1934,dv_num,0)),"Devis inconnu",IF(AND(B1934&lt;&gt;"",ISNA(MATCH(B1934,pr_code,0))),"Article inconnu",IF(H1934="","Désignation manquante",IF(OR(NOT(ISNUMBER(D1934)),N(D1934)&lt;=0),"Quantité invalide",IF(J1934="","Prix manquant",IF(OR(NOT(ISNUMBER(J1934)),N(J1934)&lt;0),"Prix invalide",IF(OR(AND(F1934&lt;&gt;"",NOT(ISNUMBER(F1934))),N(F1934)&lt;0,N(F1934)&gt;1),"Remise invalide",IF(K1934="","Taux de TVA manquant",IF(NOT(ISNUMBER(K1934)),"Taux de TVA invalide",IF(COUNTIF(p_rates,K1934)=0,"Taux de TVA hors liste (Paramètres)",IF(N(O1934)&gt;25,"Au-delà de 25 lignes : non imprimée","OK")))))))))))))</f>
        <v/>
      </c>
      <c r="O1934" s="59" t="str">
        <f>IF(A1934="","",COUNTIF($A$6:A1934,A1934))</f>
        <v/>
      </c>
      <c r="P1934" s="62" t="str">
        <f>IF(A1934="","",A1934&amp;"|"&amp;O1934)</f>
        <v/>
      </c>
    </row>
    <row r="1935">
      <c r="A1935" s="60" t="n"/>
      <c r="B1935" s="63" t="n"/>
      <c r="C1935" s="63" t="n"/>
      <c r="D1935" s="67" t="n"/>
      <c r="E1935" s="68" t="n"/>
      <c r="F1935" s="69" t="n"/>
      <c r="G1935" s="70" t="n"/>
      <c r="H1935" s="62" t="str">
        <f>IF(COUNTA(A1935:G1935)=0,"",IF(C1935&lt;&gt;"",C1935,IF(B1935="","",IFERROR(INDEX(pr_des,MATCH(B1935,pr_code,0))&amp;"",""))))</f>
        <v/>
      </c>
      <c r="I1935" s="59" t="str">
        <f>IF(B1935="","",IFERROR(INDEX(pr_unit,MATCH(B1935,pr_code,0))&amp;"",""))</f>
        <v/>
      </c>
      <c r="J1935" s="65" t="str">
        <f>IF(COUNTA(A1935:G1935)=0,"",IF(E1935&lt;&gt;"",E1935,IF(B1935="","",IFERROR(IF(INDEX(pr_price,MATCH(B1935,pr_code,0))="","",INDEX(pr_price,MATCH(B1935,pr_code,0))),""))))</f>
        <v/>
      </c>
      <c r="K1935" s="71" t="str">
        <f>IF(COUNTA(A1935:G1935)=0,"",IF(G1935&lt;&gt;"",G1935,IF(B1935="","",IFERROR(IF(INDEX(pr_rate,MATCH(B1935,pr_code,0))="","",INDEX(pr_rate,MATCH(B1935,pr_code,0))),""))))</f>
        <v/>
      </c>
      <c r="L1935" s="65" t="str">
        <f>IF(COUNTA(A1935:G1935)=0,"",IF(AND(ISNUMBER(D1935),ISNUMBER(J1935)),ROUND(D1935*J1935*(1-N(F1935)),2),0))</f>
        <v/>
      </c>
      <c r="M1935" s="62" t="str">
        <f>IF(A1935="","",IFERROR(INDEX(dv_cname,MATCH(A1935,dv_num,0))&amp;"",""))</f>
        <v/>
      </c>
      <c r="N1935" s="59" t="str">
        <f>IF(COUNTA(A1935:G1935)=0,"",IF(A1935="","N° devis manquant",IF(ISNA(MATCH(A1935,dv_num,0)),"Devis inconnu",IF(AND(B1935&lt;&gt;"",ISNA(MATCH(B1935,pr_code,0))),"Article inconnu",IF(H1935="","Désignation manquante",IF(OR(NOT(ISNUMBER(D1935)),N(D1935)&lt;=0),"Quantité invalide",IF(J1935="","Prix manquant",IF(OR(NOT(ISNUMBER(J1935)),N(J1935)&lt;0),"Prix invalide",IF(OR(AND(F1935&lt;&gt;"",NOT(ISNUMBER(F1935))),N(F1935)&lt;0,N(F1935)&gt;1),"Remise invalide",IF(K1935="","Taux de TVA manquant",IF(NOT(ISNUMBER(K1935)),"Taux de TVA invalide",IF(COUNTIF(p_rates,K1935)=0,"Taux de TVA hors liste (Paramètres)",IF(N(O1935)&gt;25,"Au-delà de 25 lignes : non imprimée","OK")))))))))))))</f>
        <v/>
      </c>
      <c r="O1935" s="59" t="str">
        <f>IF(A1935="","",COUNTIF($A$6:A1935,A1935))</f>
        <v/>
      </c>
      <c r="P1935" s="62" t="str">
        <f>IF(A1935="","",A1935&amp;"|"&amp;O1935)</f>
        <v/>
      </c>
    </row>
    <row r="1936">
      <c r="A1936" s="60" t="n"/>
      <c r="B1936" s="63" t="n"/>
      <c r="C1936" s="63" t="n"/>
      <c r="D1936" s="67" t="n"/>
      <c r="E1936" s="68" t="n"/>
      <c r="F1936" s="69" t="n"/>
      <c r="G1936" s="70" t="n"/>
      <c r="H1936" s="62" t="str">
        <f>IF(COUNTA(A1936:G1936)=0,"",IF(C1936&lt;&gt;"",C1936,IF(B1936="","",IFERROR(INDEX(pr_des,MATCH(B1936,pr_code,0))&amp;"",""))))</f>
        <v/>
      </c>
      <c r="I1936" s="59" t="str">
        <f>IF(B1936="","",IFERROR(INDEX(pr_unit,MATCH(B1936,pr_code,0))&amp;"",""))</f>
        <v/>
      </c>
      <c r="J1936" s="65" t="str">
        <f>IF(COUNTA(A1936:G1936)=0,"",IF(E1936&lt;&gt;"",E1936,IF(B1936="","",IFERROR(IF(INDEX(pr_price,MATCH(B1936,pr_code,0))="","",INDEX(pr_price,MATCH(B1936,pr_code,0))),""))))</f>
        <v/>
      </c>
      <c r="K1936" s="71" t="str">
        <f>IF(COUNTA(A1936:G1936)=0,"",IF(G1936&lt;&gt;"",G1936,IF(B1936="","",IFERROR(IF(INDEX(pr_rate,MATCH(B1936,pr_code,0))="","",INDEX(pr_rate,MATCH(B1936,pr_code,0))),""))))</f>
        <v/>
      </c>
      <c r="L1936" s="65" t="str">
        <f>IF(COUNTA(A1936:G1936)=0,"",IF(AND(ISNUMBER(D1936),ISNUMBER(J1936)),ROUND(D1936*J1936*(1-N(F1936)),2),0))</f>
        <v/>
      </c>
      <c r="M1936" s="62" t="str">
        <f>IF(A1936="","",IFERROR(INDEX(dv_cname,MATCH(A1936,dv_num,0))&amp;"",""))</f>
        <v/>
      </c>
      <c r="N1936" s="59" t="str">
        <f>IF(COUNTA(A1936:G1936)=0,"",IF(A1936="","N° devis manquant",IF(ISNA(MATCH(A1936,dv_num,0)),"Devis inconnu",IF(AND(B1936&lt;&gt;"",ISNA(MATCH(B1936,pr_code,0))),"Article inconnu",IF(H1936="","Désignation manquante",IF(OR(NOT(ISNUMBER(D1936)),N(D1936)&lt;=0),"Quantité invalide",IF(J1936="","Prix manquant",IF(OR(NOT(ISNUMBER(J1936)),N(J1936)&lt;0),"Prix invalide",IF(OR(AND(F1936&lt;&gt;"",NOT(ISNUMBER(F1936))),N(F1936)&lt;0,N(F1936)&gt;1),"Remise invalide",IF(K1936="","Taux de TVA manquant",IF(NOT(ISNUMBER(K1936)),"Taux de TVA invalide",IF(COUNTIF(p_rates,K1936)=0,"Taux de TVA hors liste (Paramètres)",IF(N(O1936)&gt;25,"Au-delà de 25 lignes : non imprimée","OK")))))))))))))</f>
        <v/>
      </c>
      <c r="O1936" s="59" t="str">
        <f>IF(A1936="","",COUNTIF($A$6:A1936,A1936))</f>
        <v/>
      </c>
      <c r="P1936" s="62" t="str">
        <f>IF(A1936="","",A1936&amp;"|"&amp;O1936)</f>
        <v/>
      </c>
    </row>
    <row r="1937">
      <c r="A1937" s="60" t="n"/>
      <c r="B1937" s="63" t="n"/>
      <c r="C1937" s="63" t="n"/>
      <c r="D1937" s="67" t="n"/>
      <c r="E1937" s="68" t="n"/>
      <c r="F1937" s="69" t="n"/>
      <c r="G1937" s="70" t="n"/>
      <c r="H1937" s="62" t="str">
        <f>IF(COUNTA(A1937:G1937)=0,"",IF(C1937&lt;&gt;"",C1937,IF(B1937="","",IFERROR(INDEX(pr_des,MATCH(B1937,pr_code,0))&amp;"",""))))</f>
        <v/>
      </c>
      <c r="I1937" s="59" t="str">
        <f>IF(B1937="","",IFERROR(INDEX(pr_unit,MATCH(B1937,pr_code,0))&amp;"",""))</f>
        <v/>
      </c>
      <c r="J1937" s="65" t="str">
        <f>IF(COUNTA(A1937:G1937)=0,"",IF(E1937&lt;&gt;"",E1937,IF(B1937="","",IFERROR(IF(INDEX(pr_price,MATCH(B1937,pr_code,0))="","",INDEX(pr_price,MATCH(B1937,pr_code,0))),""))))</f>
        <v/>
      </c>
      <c r="K1937" s="71" t="str">
        <f>IF(COUNTA(A1937:G1937)=0,"",IF(G1937&lt;&gt;"",G1937,IF(B1937="","",IFERROR(IF(INDEX(pr_rate,MATCH(B1937,pr_code,0))="","",INDEX(pr_rate,MATCH(B1937,pr_code,0))),""))))</f>
        <v/>
      </c>
      <c r="L1937" s="65" t="str">
        <f>IF(COUNTA(A1937:G1937)=0,"",IF(AND(ISNUMBER(D1937),ISNUMBER(J1937)),ROUND(D1937*J1937*(1-N(F1937)),2),0))</f>
        <v/>
      </c>
      <c r="M1937" s="62" t="str">
        <f>IF(A1937="","",IFERROR(INDEX(dv_cname,MATCH(A1937,dv_num,0))&amp;"",""))</f>
        <v/>
      </c>
      <c r="N1937" s="59" t="str">
        <f>IF(COUNTA(A1937:G1937)=0,"",IF(A1937="","N° devis manquant",IF(ISNA(MATCH(A1937,dv_num,0)),"Devis inconnu",IF(AND(B1937&lt;&gt;"",ISNA(MATCH(B1937,pr_code,0))),"Article inconnu",IF(H1937="","Désignation manquante",IF(OR(NOT(ISNUMBER(D1937)),N(D1937)&lt;=0),"Quantité invalide",IF(J1937="","Prix manquant",IF(OR(NOT(ISNUMBER(J1937)),N(J1937)&lt;0),"Prix invalide",IF(OR(AND(F1937&lt;&gt;"",NOT(ISNUMBER(F1937))),N(F1937)&lt;0,N(F1937)&gt;1),"Remise invalide",IF(K1937="","Taux de TVA manquant",IF(NOT(ISNUMBER(K1937)),"Taux de TVA invalide",IF(COUNTIF(p_rates,K1937)=0,"Taux de TVA hors liste (Paramètres)",IF(N(O1937)&gt;25,"Au-delà de 25 lignes : non imprimée","OK")))))))))))))</f>
        <v/>
      </c>
      <c r="O1937" s="59" t="str">
        <f>IF(A1937="","",COUNTIF($A$6:A1937,A1937))</f>
        <v/>
      </c>
      <c r="P1937" s="62" t="str">
        <f>IF(A1937="","",A1937&amp;"|"&amp;O1937)</f>
        <v/>
      </c>
    </row>
    <row r="1938">
      <c r="A1938" s="60" t="n"/>
      <c r="B1938" s="63" t="n"/>
      <c r="C1938" s="63" t="n"/>
      <c r="D1938" s="67" t="n"/>
      <c r="E1938" s="68" t="n"/>
      <c r="F1938" s="69" t="n"/>
      <c r="G1938" s="70" t="n"/>
      <c r="H1938" s="62" t="str">
        <f>IF(COUNTA(A1938:G1938)=0,"",IF(C1938&lt;&gt;"",C1938,IF(B1938="","",IFERROR(INDEX(pr_des,MATCH(B1938,pr_code,0))&amp;"",""))))</f>
        <v/>
      </c>
      <c r="I1938" s="59" t="str">
        <f>IF(B1938="","",IFERROR(INDEX(pr_unit,MATCH(B1938,pr_code,0))&amp;"",""))</f>
        <v/>
      </c>
      <c r="J1938" s="65" t="str">
        <f>IF(COUNTA(A1938:G1938)=0,"",IF(E1938&lt;&gt;"",E1938,IF(B1938="","",IFERROR(IF(INDEX(pr_price,MATCH(B1938,pr_code,0))="","",INDEX(pr_price,MATCH(B1938,pr_code,0))),""))))</f>
        <v/>
      </c>
      <c r="K1938" s="71" t="str">
        <f>IF(COUNTA(A1938:G1938)=0,"",IF(G1938&lt;&gt;"",G1938,IF(B1938="","",IFERROR(IF(INDEX(pr_rate,MATCH(B1938,pr_code,0))="","",INDEX(pr_rate,MATCH(B1938,pr_code,0))),""))))</f>
        <v/>
      </c>
      <c r="L1938" s="65" t="str">
        <f>IF(COUNTA(A1938:G1938)=0,"",IF(AND(ISNUMBER(D1938),ISNUMBER(J1938)),ROUND(D1938*J1938*(1-N(F1938)),2),0))</f>
        <v/>
      </c>
      <c r="M1938" s="62" t="str">
        <f>IF(A1938="","",IFERROR(INDEX(dv_cname,MATCH(A1938,dv_num,0))&amp;"",""))</f>
        <v/>
      </c>
      <c r="N1938" s="59" t="str">
        <f>IF(COUNTA(A1938:G1938)=0,"",IF(A1938="","N° devis manquant",IF(ISNA(MATCH(A1938,dv_num,0)),"Devis inconnu",IF(AND(B1938&lt;&gt;"",ISNA(MATCH(B1938,pr_code,0))),"Article inconnu",IF(H1938="","Désignation manquante",IF(OR(NOT(ISNUMBER(D1938)),N(D1938)&lt;=0),"Quantité invalide",IF(J1938="","Prix manquant",IF(OR(NOT(ISNUMBER(J1938)),N(J1938)&lt;0),"Prix invalide",IF(OR(AND(F1938&lt;&gt;"",NOT(ISNUMBER(F1938))),N(F1938)&lt;0,N(F1938)&gt;1),"Remise invalide",IF(K1938="","Taux de TVA manquant",IF(NOT(ISNUMBER(K1938)),"Taux de TVA invalide",IF(COUNTIF(p_rates,K1938)=0,"Taux de TVA hors liste (Paramètres)",IF(N(O1938)&gt;25,"Au-delà de 25 lignes : non imprimée","OK")))))))))))))</f>
        <v/>
      </c>
      <c r="O1938" s="59" t="str">
        <f>IF(A1938="","",COUNTIF($A$6:A1938,A1938))</f>
        <v/>
      </c>
      <c r="P1938" s="62" t="str">
        <f>IF(A1938="","",A1938&amp;"|"&amp;O1938)</f>
        <v/>
      </c>
    </row>
    <row r="1939">
      <c r="A1939" s="60" t="n"/>
      <c r="B1939" s="63" t="n"/>
      <c r="C1939" s="63" t="n"/>
      <c r="D1939" s="67" t="n"/>
      <c r="E1939" s="68" t="n"/>
      <c r="F1939" s="69" t="n"/>
      <c r="G1939" s="70" t="n"/>
      <c r="H1939" s="62" t="str">
        <f>IF(COUNTA(A1939:G1939)=0,"",IF(C1939&lt;&gt;"",C1939,IF(B1939="","",IFERROR(INDEX(pr_des,MATCH(B1939,pr_code,0))&amp;"",""))))</f>
        <v/>
      </c>
      <c r="I1939" s="59" t="str">
        <f>IF(B1939="","",IFERROR(INDEX(pr_unit,MATCH(B1939,pr_code,0))&amp;"",""))</f>
        <v/>
      </c>
      <c r="J1939" s="65" t="str">
        <f>IF(COUNTA(A1939:G1939)=0,"",IF(E1939&lt;&gt;"",E1939,IF(B1939="","",IFERROR(IF(INDEX(pr_price,MATCH(B1939,pr_code,0))="","",INDEX(pr_price,MATCH(B1939,pr_code,0))),""))))</f>
        <v/>
      </c>
      <c r="K1939" s="71" t="str">
        <f>IF(COUNTA(A1939:G1939)=0,"",IF(G1939&lt;&gt;"",G1939,IF(B1939="","",IFERROR(IF(INDEX(pr_rate,MATCH(B1939,pr_code,0))="","",INDEX(pr_rate,MATCH(B1939,pr_code,0))),""))))</f>
        <v/>
      </c>
      <c r="L1939" s="65" t="str">
        <f>IF(COUNTA(A1939:G1939)=0,"",IF(AND(ISNUMBER(D1939),ISNUMBER(J1939)),ROUND(D1939*J1939*(1-N(F1939)),2),0))</f>
        <v/>
      </c>
      <c r="M1939" s="62" t="str">
        <f>IF(A1939="","",IFERROR(INDEX(dv_cname,MATCH(A1939,dv_num,0))&amp;"",""))</f>
        <v/>
      </c>
      <c r="N1939" s="59" t="str">
        <f>IF(COUNTA(A1939:G1939)=0,"",IF(A1939="","N° devis manquant",IF(ISNA(MATCH(A1939,dv_num,0)),"Devis inconnu",IF(AND(B1939&lt;&gt;"",ISNA(MATCH(B1939,pr_code,0))),"Article inconnu",IF(H1939="","Désignation manquante",IF(OR(NOT(ISNUMBER(D1939)),N(D1939)&lt;=0),"Quantité invalide",IF(J1939="","Prix manquant",IF(OR(NOT(ISNUMBER(J1939)),N(J1939)&lt;0),"Prix invalide",IF(OR(AND(F1939&lt;&gt;"",NOT(ISNUMBER(F1939))),N(F1939)&lt;0,N(F1939)&gt;1),"Remise invalide",IF(K1939="","Taux de TVA manquant",IF(NOT(ISNUMBER(K1939)),"Taux de TVA invalide",IF(COUNTIF(p_rates,K1939)=0,"Taux de TVA hors liste (Paramètres)",IF(N(O1939)&gt;25,"Au-delà de 25 lignes : non imprimée","OK")))))))))))))</f>
        <v/>
      </c>
      <c r="O1939" s="59" t="str">
        <f>IF(A1939="","",COUNTIF($A$6:A1939,A1939))</f>
        <v/>
      </c>
      <c r="P1939" s="62" t="str">
        <f>IF(A1939="","",A1939&amp;"|"&amp;O1939)</f>
        <v/>
      </c>
    </row>
    <row r="1940">
      <c r="A1940" s="60" t="n"/>
      <c r="B1940" s="63" t="n"/>
      <c r="C1940" s="63" t="n"/>
      <c r="D1940" s="67" t="n"/>
      <c r="E1940" s="68" t="n"/>
      <c r="F1940" s="69" t="n"/>
      <c r="G1940" s="70" t="n"/>
      <c r="H1940" s="62" t="str">
        <f>IF(COUNTA(A1940:G1940)=0,"",IF(C1940&lt;&gt;"",C1940,IF(B1940="","",IFERROR(INDEX(pr_des,MATCH(B1940,pr_code,0))&amp;"",""))))</f>
        <v/>
      </c>
      <c r="I1940" s="59" t="str">
        <f>IF(B1940="","",IFERROR(INDEX(pr_unit,MATCH(B1940,pr_code,0))&amp;"",""))</f>
        <v/>
      </c>
      <c r="J1940" s="65" t="str">
        <f>IF(COUNTA(A1940:G1940)=0,"",IF(E1940&lt;&gt;"",E1940,IF(B1940="","",IFERROR(IF(INDEX(pr_price,MATCH(B1940,pr_code,0))="","",INDEX(pr_price,MATCH(B1940,pr_code,0))),""))))</f>
        <v/>
      </c>
      <c r="K1940" s="71" t="str">
        <f>IF(COUNTA(A1940:G1940)=0,"",IF(G1940&lt;&gt;"",G1940,IF(B1940="","",IFERROR(IF(INDEX(pr_rate,MATCH(B1940,pr_code,0))="","",INDEX(pr_rate,MATCH(B1940,pr_code,0))),""))))</f>
        <v/>
      </c>
      <c r="L1940" s="65" t="str">
        <f>IF(COUNTA(A1940:G1940)=0,"",IF(AND(ISNUMBER(D1940),ISNUMBER(J1940)),ROUND(D1940*J1940*(1-N(F1940)),2),0))</f>
        <v/>
      </c>
      <c r="M1940" s="62" t="str">
        <f>IF(A1940="","",IFERROR(INDEX(dv_cname,MATCH(A1940,dv_num,0))&amp;"",""))</f>
        <v/>
      </c>
      <c r="N1940" s="59" t="str">
        <f>IF(COUNTA(A1940:G1940)=0,"",IF(A1940="","N° devis manquant",IF(ISNA(MATCH(A1940,dv_num,0)),"Devis inconnu",IF(AND(B1940&lt;&gt;"",ISNA(MATCH(B1940,pr_code,0))),"Article inconnu",IF(H1940="","Désignation manquante",IF(OR(NOT(ISNUMBER(D1940)),N(D1940)&lt;=0),"Quantité invalide",IF(J1940="","Prix manquant",IF(OR(NOT(ISNUMBER(J1940)),N(J1940)&lt;0),"Prix invalide",IF(OR(AND(F1940&lt;&gt;"",NOT(ISNUMBER(F1940))),N(F1940)&lt;0,N(F1940)&gt;1),"Remise invalide",IF(K1940="","Taux de TVA manquant",IF(NOT(ISNUMBER(K1940)),"Taux de TVA invalide",IF(COUNTIF(p_rates,K1940)=0,"Taux de TVA hors liste (Paramètres)",IF(N(O1940)&gt;25,"Au-delà de 25 lignes : non imprimée","OK")))))))))))))</f>
        <v/>
      </c>
      <c r="O1940" s="59" t="str">
        <f>IF(A1940="","",COUNTIF($A$6:A1940,A1940))</f>
        <v/>
      </c>
      <c r="P1940" s="62" t="str">
        <f>IF(A1940="","",A1940&amp;"|"&amp;O1940)</f>
        <v/>
      </c>
    </row>
    <row r="1941">
      <c r="A1941" s="60" t="n"/>
      <c r="B1941" s="63" t="n"/>
      <c r="C1941" s="63" t="n"/>
      <c r="D1941" s="67" t="n"/>
      <c r="E1941" s="68" t="n"/>
      <c r="F1941" s="69" t="n"/>
      <c r="G1941" s="70" t="n"/>
      <c r="H1941" s="62" t="str">
        <f>IF(COUNTA(A1941:G1941)=0,"",IF(C1941&lt;&gt;"",C1941,IF(B1941="","",IFERROR(INDEX(pr_des,MATCH(B1941,pr_code,0))&amp;"",""))))</f>
        <v/>
      </c>
      <c r="I1941" s="59" t="str">
        <f>IF(B1941="","",IFERROR(INDEX(pr_unit,MATCH(B1941,pr_code,0))&amp;"",""))</f>
        <v/>
      </c>
      <c r="J1941" s="65" t="str">
        <f>IF(COUNTA(A1941:G1941)=0,"",IF(E1941&lt;&gt;"",E1941,IF(B1941="","",IFERROR(IF(INDEX(pr_price,MATCH(B1941,pr_code,0))="","",INDEX(pr_price,MATCH(B1941,pr_code,0))),""))))</f>
        <v/>
      </c>
      <c r="K1941" s="71" t="str">
        <f>IF(COUNTA(A1941:G1941)=0,"",IF(G1941&lt;&gt;"",G1941,IF(B1941="","",IFERROR(IF(INDEX(pr_rate,MATCH(B1941,pr_code,0))="","",INDEX(pr_rate,MATCH(B1941,pr_code,0))),""))))</f>
        <v/>
      </c>
      <c r="L1941" s="65" t="str">
        <f>IF(COUNTA(A1941:G1941)=0,"",IF(AND(ISNUMBER(D1941),ISNUMBER(J1941)),ROUND(D1941*J1941*(1-N(F1941)),2),0))</f>
        <v/>
      </c>
      <c r="M1941" s="62" t="str">
        <f>IF(A1941="","",IFERROR(INDEX(dv_cname,MATCH(A1941,dv_num,0))&amp;"",""))</f>
        <v/>
      </c>
      <c r="N1941" s="59" t="str">
        <f>IF(COUNTA(A1941:G1941)=0,"",IF(A1941="","N° devis manquant",IF(ISNA(MATCH(A1941,dv_num,0)),"Devis inconnu",IF(AND(B1941&lt;&gt;"",ISNA(MATCH(B1941,pr_code,0))),"Article inconnu",IF(H1941="","Désignation manquante",IF(OR(NOT(ISNUMBER(D1941)),N(D1941)&lt;=0),"Quantité invalide",IF(J1941="","Prix manquant",IF(OR(NOT(ISNUMBER(J1941)),N(J1941)&lt;0),"Prix invalide",IF(OR(AND(F1941&lt;&gt;"",NOT(ISNUMBER(F1941))),N(F1941)&lt;0,N(F1941)&gt;1),"Remise invalide",IF(K1941="","Taux de TVA manquant",IF(NOT(ISNUMBER(K1941)),"Taux de TVA invalide",IF(COUNTIF(p_rates,K1941)=0,"Taux de TVA hors liste (Paramètres)",IF(N(O1941)&gt;25,"Au-delà de 25 lignes : non imprimée","OK")))))))))))))</f>
        <v/>
      </c>
      <c r="O1941" s="59" t="str">
        <f>IF(A1941="","",COUNTIF($A$6:A1941,A1941))</f>
        <v/>
      </c>
      <c r="P1941" s="62" t="str">
        <f>IF(A1941="","",A1941&amp;"|"&amp;O1941)</f>
        <v/>
      </c>
    </row>
    <row r="1942">
      <c r="A1942" s="60" t="n"/>
      <c r="B1942" s="63" t="n"/>
      <c r="C1942" s="63" t="n"/>
      <c r="D1942" s="67" t="n"/>
      <c r="E1942" s="68" t="n"/>
      <c r="F1942" s="69" t="n"/>
      <c r="G1942" s="70" t="n"/>
      <c r="H1942" s="62" t="str">
        <f>IF(COUNTA(A1942:G1942)=0,"",IF(C1942&lt;&gt;"",C1942,IF(B1942="","",IFERROR(INDEX(pr_des,MATCH(B1942,pr_code,0))&amp;"",""))))</f>
        <v/>
      </c>
      <c r="I1942" s="59" t="str">
        <f>IF(B1942="","",IFERROR(INDEX(pr_unit,MATCH(B1942,pr_code,0))&amp;"",""))</f>
        <v/>
      </c>
      <c r="J1942" s="65" t="str">
        <f>IF(COUNTA(A1942:G1942)=0,"",IF(E1942&lt;&gt;"",E1942,IF(B1942="","",IFERROR(IF(INDEX(pr_price,MATCH(B1942,pr_code,0))="","",INDEX(pr_price,MATCH(B1942,pr_code,0))),""))))</f>
        <v/>
      </c>
      <c r="K1942" s="71" t="str">
        <f>IF(COUNTA(A1942:G1942)=0,"",IF(G1942&lt;&gt;"",G1942,IF(B1942="","",IFERROR(IF(INDEX(pr_rate,MATCH(B1942,pr_code,0))="","",INDEX(pr_rate,MATCH(B1942,pr_code,0))),""))))</f>
        <v/>
      </c>
      <c r="L1942" s="65" t="str">
        <f>IF(COUNTA(A1942:G1942)=0,"",IF(AND(ISNUMBER(D1942),ISNUMBER(J1942)),ROUND(D1942*J1942*(1-N(F1942)),2),0))</f>
        <v/>
      </c>
      <c r="M1942" s="62" t="str">
        <f>IF(A1942="","",IFERROR(INDEX(dv_cname,MATCH(A1942,dv_num,0))&amp;"",""))</f>
        <v/>
      </c>
      <c r="N1942" s="59" t="str">
        <f>IF(COUNTA(A1942:G1942)=0,"",IF(A1942="","N° devis manquant",IF(ISNA(MATCH(A1942,dv_num,0)),"Devis inconnu",IF(AND(B1942&lt;&gt;"",ISNA(MATCH(B1942,pr_code,0))),"Article inconnu",IF(H1942="","Désignation manquante",IF(OR(NOT(ISNUMBER(D1942)),N(D1942)&lt;=0),"Quantité invalide",IF(J1942="","Prix manquant",IF(OR(NOT(ISNUMBER(J1942)),N(J1942)&lt;0),"Prix invalide",IF(OR(AND(F1942&lt;&gt;"",NOT(ISNUMBER(F1942))),N(F1942)&lt;0,N(F1942)&gt;1),"Remise invalide",IF(K1942="","Taux de TVA manquant",IF(NOT(ISNUMBER(K1942)),"Taux de TVA invalide",IF(COUNTIF(p_rates,K1942)=0,"Taux de TVA hors liste (Paramètres)",IF(N(O1942)&gt;25,"Au-delà de 25 lignes : non imprimée","OK")))))))))))))</f>
        <v/>
      </c>
      <c r="O1942" s="59" t="str">
        <f>IF(A1942="","",COUNTIF($A$6:A1942,A1942))</f>
        <v/>
      </c>
      <c r="P1942" s="62" t="str">
        <f>IF(A1942="","",A1942&amp;"|"&amp;O1942)</f>
        <v/>
      </c>
    </row>
    <row r="1943">
      <c r="A1943" s="60" t="n"/>
      <c r="B1943" s="63" t="n"/>
      <c r="C1943" s="63" t="n"/>
      <c r="D1943" s="67" t="n"/>
      <c r="E1943" s="68" t="n"/>
      <c r="F1943" s="69" t="n"/>
      <c r="G1943" s="70" t="n"/>
      <c r="H1943" s="62" t="str">
        <f>IF(COUNTA(A1943:G1943)=0,"",IF(C1943&lt;&gt;"",C1943,IF(B1943="","",IFERROR(INDEX(pr_des,MATCH(B1943,pr_code,0))&amp;"",""))))</f>
        <v/>
      </c>
      <c r="I1943" s="59" t="str">
        <f>IF(B1943="","",IFERROR(INDEX(pr_unit,MATCH(B1943,pr_code,0))&amp;"",""))</f>
        <v/>
      </c>
      <c r="J1943" s="65" t="str">
        <f>IF(COUNTA(A1943:G1943)=0,"",IF(E1943&lt;&gt;"",E1943,IF(B1943="","",IFERROR(IF(INDEX(pr_price,MATCH(B1943,pr_code,0))="","",INDEX(pr_price,MATCH(B1943,pr_code,0))),""))))</f>
        <v/>
      </c>
      <c r="K1943" s="71" t="str">
        <f>IF(COUNTA(A1943:G1943)=0,"",IF(G1943&lt;&gt;"",G1943,IF(B1943="","",IFERROR(IF(INDEX(pr_rate,MATCH(B1943,pr_code,0))="","",INDEX(pr_rate,MATCH(B1943,pr_code,0))),""))))</f>
        <v/>
      </c>
      <c r="L1943" s="65" t="str">
        <f>IF(COUNTA(A1943:G1943)=0,"",IF(AND(ISNUMBER(D1943),ISNUMBER(J1943)),ROUND(D1943*J1943*(1-N(F1943)),2),0))</f>
        <v/>
      </c>
      <c r="M1943" s="62" t="str">
        <f>IF(A1943="","",IFERROR(INDEX(dv_cname,MATCH(A1943,dv_num,0))&amp;"",""))</f>
        <v/>
      </c>
      <c r="N1943" s="59" t="str">
        <f>IF(COUNTA(A1943:G1943)=0,"",IF(A1943="","N° devis manquant",IF(ISNA(MATCH(A1943,dv_num,0)),"Devis inconnu",IF(AND(B1943&lt;&gt;"",ISNA(MATCH(B1943,pr_code,0))),"Article inconnu",IF(H1943="","Désignation manquante",IF(OR(NOT(ISNUMBER(D1943)),N(D1943)&lt;=0),"Quantité invalide",IF(J1943="","Prix manquant",IF(OR(NOT(ISNUMBER(J1943)),N(J1943)&lt;0),"Prix invalide",IF(OR(AND(F1943&lt;&gt;"",NOT(ISNUMBER(F1943))),N(F1943)&lt;0,N(F1943)&gt;1),"Remise invalide",IF(K1943="","Taux de TVA manquant",IF(NOT(ISNUMBER(K1943)),"Taux de TVA invalide",IF(COUNTIF(p_rates,K1943)=0,"Taux de TVA hors liste (Paramètres)",IF(N(O1943)&gt;25,"Au-delà de 25 lignes : non imprimée","OK")))))))))))))</f>
        <v/>
      </c>
      <c r="O1943" s="59" t="str">
        <f>IF(A1943="","",COUNTIF($A$6:A1943,A1943))</f>
        <v/>
      </c>
      <c r="P1943" s="62" t="str">
        <f>IF(A1943="","",A1943&amp;"|"&amp;O1943)</f>
        <v/>
      </c>
    </row>
    <row r="1944">
      <c r="A1944" s="60" t="n"/>
      <c r="B1944" s="63" t="n"/>
      <c r="C1944" s="63" t="n"/>
      <c r="D1944" s="67" t="n"/>
      <c r="E1944" s="68" t="n"/>
      <c r="F1944" s="69" t="n"/>
      <c r="G1944" s="70" t="n"/>
      <c r="H1944" s="62" t="str">
        <f>IF(COUNTA(A1944:G1944)=0,"",IF(C1944&lt;&gt;"",C1944,IF(B1944="","",IFERROR(INDEX(pr_des,MATCH(B1944,pr_code,0))&amp;"",""))))</f>
        <v/>
      </c>
      <c r="I1944" s="59" t="str">
        <f>IF(B1944="","",IFERROR(INDEX(pr_unit,MATCH(B1944,pr_code,0))&amp;"",""))</f>
        <v/>
      </c>
      <c r="J1944" s="65" t="str">
        <f>IF(COUNTA(A1944:G1944)=0,"",IF(E1944&lt;&gt;"",E1944,IF(B1944="","",IFERROR(IF(INDEX(pr_price,MATCH(B1944,pr_code,0))="","",INDEX(pr_price,MATCH(B1944,pr_code,0))),""))))</f>
        <v/>
      </c>
      <c r="K1944" s="71" t="str">
        <f>IF(COUNTA(A1944:G1944)=0,"",IF(G1944&lt;&gt;"",G1944,IF(B1944="","",IFERROR(IF(INDEX(pr_rate,MATCH(B1944,pr_code,0))="","",INDEX(pr_rate,MATCH(B1944,pr_code,0))),""))))</f>
        <v/>
      </c>
      <c r="L1944" s="65" t="str">
        <f>IF(COUNTA(A1944:G1944)=0,"",IF(AND(ISNUMBER(D1944),ISNUMBER(J1944)),ROUND(D1944*J1944*(1-N(F1944)),2),0))</f>
        <v/>
      </c>
      <c r="M1944" s="62" t="str">
        <f>IF(A1944="","",IFERROR(INDEX(dv_cname,MATCH(A1944,dv_num,0))&amp;"",""))</f>
        <v/>
      </c>
      <c r="N1944" s="59" t="str">
        <f>IF(COUNTA(A1944:G1944)=0,"",IF(A1944="","N° devis manquant",IF(ISNA(MATCH(A1944,dv_num,0)),"Devis inconnu",IF(AND(B1944&lt;&gt;"",ISNA(MATCH(B1944,pr_code,0))),"Article inconnu",IF(H1944="","Désignation manquante",IF(OR(NOT(ISNUMBER(D1944)),N(D1944)&lt;=0),"Quantité invalide",IF(J1944="","Prix manquant",IF(OR(NOT(ISNUMBER(J1944)),N(J1944)&lt;0),"Prix invalide",IF(OR(AND(F1944&lt;&gt;"",NOT(ISNUMBER(F1944))),N(F1944)&lt;0,N(F1944)&gt;1),"Remise invalide",IF(K1944="","Taux de TVA manquant",IF(NOT(ISNUMBER(K1944)),"Taux de TVA invalide",IF(COUNTIF(p_rates,K1944)=0,"Taux de TVA hors liste (Paramètres)",IF(N(O1944)&gt;25,"Au-delà de 25 lignes : non imprimée","OK")))))))))))))</f>
        <v/>
      </c>
      <c r="O1944" s="59" t="str">
        <f>IF(A1944="","",COUNTIF($A$6:A1944,A1944))</f>
        <v/>
      </c>
      <c r="P1944" s="62" t="str">
        <f>IF(A1944="","",A1944&amp;"|"&amp;O1944)</f>
        <v/>
      </c>
    </row>
    <row r="1945">
      <c r="A1945" s="60" t="n"/>
      <c r="B1945" s="63" t="n"/>
      <c r="C1945" s="63" t="n"/>
      <c r="D1945" s="67" t="n"/>
      <c r="E1945" s="68" t="n"/>
      <c r="F1945" s="69" t="n"/>
      <c r="G1945" s="70" t="n"/>
      <c r="H1945" s="62" t="str">
        <f>IF(COUNTA(A1945:G1945)=0,"",IF(C1945&lt;&gt;"",C1945,IF(B1945="","",IFERROR(INDEX(pr_des,MATCH(B1945,pr_code,0))&amp;"",""))))</f>
        <v/>
      </c>
      <c r="I1945" s="59" t="str">
        <f>IF(B1945="","",IFERROR(INDEX(pr_unit,MATCH(B1945,pr_code,0))&amp;"",""))</f>
        <v/>
      </c>
      <c r="J1945" s="65" t="str">
        <f>IF(COUNTA(A1945:G1945)=0,"",IF(E1945&lt;&gt;"",E1945,IF(B1945="","",IFERROR(IF(INDEX(pr_price,MATCH(B1945,pr_code,0))="","",INDEX(pr_price,MATCH(B1945,pr_code,0))),""))))</f>
        <v/>
      </c>
      <c r="K1945" s="71" t="str">
        <f>IF(COUNTA(A1945:G1945)=0,"",IF(G1945&lt;&gt;"",G1945,IF(B1945="","",IFERROR(IF(INDEX(pr_rate,MATCH(B1945,pr_code,0))="","",INDEX(pr_rate,MATCH(B1945,pr_code,0))),""))))</f>
        <v/>
      </c>
      <c r="L1945" s="65" t="str">
        <f>IF(COUNTA(A1945:G1945)=0,"",IF(AND(ISNUMBER(D1945),ISNUMBER(J1945)),ROUND(D1945*J1945*(1-N(F1945)),2),0))</f>
        <v/>
      </c>
      <c r="M1945" s="62" t="str">
        <f>IF(A1945="","",IFERROR(INDEX(dv_cname,MATCH(A1945,dv_num,0))&amp;"",""))</f>
        <v/>
      </c>
      <c r="N1945" s="59" t="str">
        <f>IF(COUNTA(A1945:G1945)=0,"",IF(A1945="","N° devis manquant",IF(ISNA(MATCH(A1945,dv_num,0)),"Devis inconnu",IF(AND(B1945&lt;&gt;"",ISNA(MATCH(B1945,pr_code,0))),"Article inconnu",IF(H1945="","Désignation manquante",IF(OR(NOT(ISNUMBER(D1945)),N(D1945)&lt;=0),"Quantité invalide",IF(J1945="","Prix manquant",IF(OR(NOT(ISNUMBER(J1945)),N(J1945)&lt;0),"Prix invalide",IF(OR(AND(F1945&lt;&gt;"",NOT(ISNUMBER(F1945))),N(F1945)&lt;0,N(F1945)&gt;1),"Remise invalide",IF(K1945="","Taux de TVA manquant",IF(NOT(ISNUMBER(K1945)),"Taux de TVA invalide",IF(COUNTIF(p_rates,K1945)=0,"Taux de TVA hors liste (Paramètres)",IF(N(O1945)&gt;25,"Au-delà de 25 lignes : non imprimée","OK")))))))))))))</f>
        <v/>
      </c>
      <c r="O1945" s="59" t="str">
        <f>IF(A1945="","",COUNTIF($A$6:A1945,A1945))</f>
        <v/>
      </c>
      <c r="P1945" s="62" t="str">
        <f>IF(A1945="","",A1945&amp;"|"&amp;O1945)</f>
        <v/>
      </c>
    </row>
    <row r="1946">
      <c r="A1946" s="60" t="n"/>
      <c r="B1946" s="63" t="n"/>
      <c r="C1946" s="63" t="n"/>
      <c r="D1946" s="67" t="n"/>
      <c r="E1946" s="68" t="n"/>
      <c r="F1946" s="69" t="n"/>
      <c r="G1946" s="70" t="n"/>
      <c r="H1946" s="62" t="str">
        <f>IF(COUNTA(A1946:G1946)=0,"",IF(C1946&lt;&gt;"",C1946,IF(B1946="","",IFERROR(INDEX(pr_des,MATCH(B1946,pr_code,0))&amp;"",""))))</f>
        <v/>
      </c>
      <c r="I1946" s="59" t="str">
        <f>IF(B1946="","",IFERROR(INDEX(pr_unit,MATCH(B1946,pr_code,0))&amp;"",""))</f>
        <v/>
      </c>
      <c r="J1946" s="65" t="str">
        <f>IF(COUNTA(A1946:G1946)=0,"",IF(E1946&lt;&gt;"",E1946,IF(B1946="","",IFERROR(IF(INDEX(pr_price,MATCH(B1946,pr_code,0))="","",INDEX(pr_price,MATCH(B1946,pr_code,0))),""))))</f>
        <v/>
      </c>
      <c r="K1946" s="71" t="str">
        <f>IF(COUNTA(A1946:G1946)=0,"",IF(G1946&lt;&gt;"",G1946,IF(B1946="","",IFERROR(IF(INDEX(pr_rate,MATCH(B1946,pr_code,0))="","",INDEX(pr_rate,MATCH(B1946,pr_code,0))),""))))</f>
        <v/>
      </c>
      <c r="L1946" s="65" t="str">
        <f>IF(COUNTA(A1946:G1946)=0,"",IF(AND(ISNUMBER(D1946),ISNUMBER(J1946)),ROUND(D1946*J1946*(1-N(F1946)),2),0))</f>
        <v/>
      </c>
      <c r="M1946" s="62" t="str">
        <f>IF(A1946="","",IFERROR(INDEX(dv_cname,MATCH(A1946,dv_num,0))&amp;"",""))</f>
        <v/>
      </c>
      <c r="N1946" s="59" t="str">
        <f>IF(COUNTA(A1946:G1946)=0,"",IF(A1946="","N° devis manquant",IF(ISNA(MATCH(A1946,dv_num,0)),"Devis inconnu",IF(AND(B1946&lt;&gt;"",ISNA(MATCH(B1946,pr_code,0))),"Article inconnu",IF(H1946="","Désignation manquante",IF(OR(NOT(ISNUMBER(D1946)),N(D1946)&lt;=0),"Quantité invalide",IF(J1946="","Prix manquant",IF(OR(NOT(ISNUMBER(J1946)),N(J1946)&lt;0),"Prix invalide",IF(OR(AND(F1946&lt;&gt;"",NOT(ISNUMBER(F1946))),N(F1946)&lt;0,N(F1946)&gt;1),"Remise invalide",IF(K1946="","Taux de TVA manquant",IF(NOT(ISNUMBER(K1946)),"Taux de TVA invalide",IF(COUNTIF(p_rates,K1946)=0,"Taux de TVA hors liste (Paramètres)",IF(N(O1946)&gt;25,"Au-delà de 25 lignes : non imprimée","OK")))))))))))))</f>
        <v/>
      </c>
      <c r="O1946" s="59" t="str">
        <f>IF(A1946="","",COUNTIF($A$6:A1946,A1946))</f>
        <v/>
      </c>
      <c r="P1946" s="62" t="str">
        <f>IF(A1946="","",A1946&amp;"|"&amp;O1946)</f>
        <v/>
      </c>
    </row>
    <row r="1947">
      <c r="A1947" s="60" t="n"/>
      <c r="B1947" s="63" t="n"/>
      <c r="C1947" s="63" t="n"/>
      <c r="D1947" s="67" t="n"/>
      <c r="E1947" s="68" t="n"/>
      <c r="F1947" s="69" t="n"/>
      <c r="G1947" s="70" t="n"/>
      <c r="H1947" s="62" t="str">
        <f>IF(COUNTA(A1947:G1947)=0,"",IF(C1947&lt;&gt;"",C1947,IF(B1947="","",IFERROR(INDEX(pr_des,MATCH(B1947,pr_code,0))&amp;"",""))))</f>
        <v/>
      </c>
      <c r="I1947" s="59" t="str">
        <f>IF(B1947="","",IFERROR(INDEX(pr_unit,MATCH(B1947,pr_code,0))&amp;"",""))</f>
        <v/>
      </c>
      <c r="J1947" s="65" t="str">
        <f>IF(COUNTA(A1947:G1947)=0,"",IF(E1947&lt;&gt;"",E1947,IF(B1947="","",IFERROR(IF(INDEX(pr_price,MATCH(B1947,pr_code,0))="","",INDEX(pr_price,MATCH(B1947,pr_code,0))),""))))</f>
        <v/>
      </c>
      <c r="K1947" s="71" t="str">
        <f>IF(COUNTA(A1947:G1947)=0,"",IF(G1947&lt;&gt;"",G1947,IF(B1947="","",IFERROR(IF(INDEX(pr_rate,MATCH(B1947,pr_code,0))="","",INDEX(pr_rate,MATCH(B1947,pr_code,0))),""))))</f>
        <v/>
      </c>
      <c r="L1947" s="65" t="str">
        <f>IF(COUNTA(A1947:G1947)=0,"",IF(AND(ISNUMBER(D1947),ISNUMBER(J1947)),ROUND(D1947*J1947*(1-N(F1947)),2),0))</f>
        <v/>
      </c>
      <c r="M1947" s="62" t="str">
        <f>IF(A1947="","",IFERROR(INDEX(dv_cname,MATCH(A1947,dv_num,0))&amp;"",""))</f>
        <v/>
      </c>
      <c r="N1947" s="59" t="str">
        <f>IF(COUNTA(A1947:G1947)=0,"",IF(A1947="","N° devis manquant",IF(ISNA(MATCH(A1947,dv_num,0)),"Devis inconnu",IF(AND(B1947&lt;&gt;"",ISNA(MATCH(B1947,pr_code,0))),"Article inconnu",IF(H1947="","Désignation manquante",IF(OR(NOT(ISNUMBER(D1947)),N(D1947)&lt;=0),"Quantité invalide",IF(J1947="","Prix manquant",IF(OR(NOT(ISNUMBER(J1947)),N(J1947)&lt;0),"Prix invalide",IF(OR(AND(F1947&lt;&gt;"",NOT(ISNUMBER(F1947))),N(F1947)&lt;0,N(F1947)&gt;1),"Remise invalide",IF(K1947="","Taux de TVA manquant",IF(NOT(ISNUMBER(K1947)),"Taux de TVA invalide",IF(COUNTIF(p_rates,K1947)=0,"Taux de TVA hors liste (Paramètres)",IF(N(O1947)&gt;25,"Au-delà de 25 lignes : non imprimée","OK")))))))))))))</f>
        <v/>
      </c>
      <c r="O1947" s="59" t="str">
        <f>IF(A1947="","",COUNTIF($A$6:A1947,A1947))</f>
        <v/>
      </c>
      <c r="P1947" s="62" t="str">
        <f>IF(A1947="","",A1947&amp;"|"&amp;O1947)</f>
        <v/>
      </c>
    </row>
    <row r="1948">
      <c r="A1948" s="60" t="n"/>
      <c r="B1948" s="63" t="n"/>
      <c r="C1948" s="63" t="n"/>
      <c r="D1948" s="67" t="n"/>
      <c r="E1948" s="68" t="n"/>
      <c r="F1948" s="69" t="n"/>
      <c r="G1948" s="70" t="n"/>
      <c r="H1948" s="62" t="str">
        <f>IF(COUNTA(A1948:G1948)=0,"",IF(C1948&lt;&gt;"",C1948,IF(B1948="","",IFERROR(INDEX(pr_des,MATCH(B1948,pr_code,0))&amp;"",""))))</f>
        <v/>
      </c>
      <c r="I1948" s="59" t="str">
        <f>IF(B1948="","",IFERROR(INDEX(pr_unit,MATCH(B1948,pr_code,0))&amp;"",""))</f>
        <v/>
      </c>
      <c r="J1948" s="65" t="str">
        <f>IF(COUNTA(A1948:G1948)=0,"",IF(E1948&lt;&gt;"",E1948,IF(B1948="","",IFERROR(IF(INDEX(pr_price,MATCH(B1948,pr_code,0))="","",INDEX(pr_price,MATCH(B1948,pr_code,0))),""))))</f>
        <v/>
      </c>
      <c r="K1948" s="71" t="str">
        <f>IF(COUNTA(A1948:G1948)=0,"",IF(G1948&lt;&gt;"",G1948,IF(B1948="","",IFERROR(IF(INDEX(pr_rate,MATCH(B1948,pr_code,0))="","",INDEX(pr_rate,MATCH(B1948,pr_code,0))),""))))</f>
        <v/>
      </c>
      <c r="L1948" s="65" t="str">
        <f>IF(COUNTA(A1948:G1948)=0,"",IF(AND(ISNUMBER(D1948),ISNUMBER(J1948)),ROUND(D1948*J1948*(1-N(F1948)),2),0))</f>
        <v/>
      </c>
      <c r="M1948" s="62" t="str">
        <f>IF(A1948="","",IFERROR(INDEX(dv_cname,MATCH(A1948,dv_num,0))&amp;"",""))</f>
        <v/>
      </c>
      <c r="N1948" s="59" t="str">
        <f>IF(COUNTA(A1948:G1948)=0,"",IF(A1948="","N° devis manquant",IF(ISNA(MATCH(A1948,dv_num,0)),"Devis inconnu",IF(AND(B1948&lt;&gt;"",ISNA(MATCH(B1948,pr_code,0))),"Article inconnu",IF(H1948="","Désignation manquante",IF(OR(NOT(ISNUMBER(D1948)),N(D1948)&lt;=0),"Quantité invalide",IF(J1948="","Prix manquant",IF(OR(NOT(ISNUMBER(J1948)),N(J1948)&lt;0),"Prix invalide",IF(OR(AND(F1948&lt;&gt;"",NOT(ISNUMBER(F1948))),N(F1948)&lt;0,N(F1948)&gt;1),"Remise invalide",IF(K1948="","Taux de TVA manquant",IF(NOT(ISNUMBER(K1948)),"Taux de TVA invalide",IF(COUNTIF(p_rates,K1948)=0,"Taux de TVA hors liste (Paramètres)",IF(N(O1948)&gt;25,"Au-delà de 25 lignes : non imprimée","OK")))))))))))))</f>
        <v/>
      </c>
      <c r="O1948" s="59" t="str">
        <f>IF(A1948="","",COUNTIF($A$6:A1948,A1948))</f>
        <v/>
      </c>
      <c r="P1948" s="62" t="str">
        <f>IF(A1948="","",A1948&amp;"|"&amp;O1948)</f>
        <v/>
      </c>
    </row>
    <row r="1949">
      <c r="A1949" s="60" t="n"/>
      <c r="B1949" s="63" t="n"/>
      <c r="C1949" s="63" t="n"/>
      <c r="D1949" s="67" t="n"/>
      <c r="E1949" s="68" t="n"/>
      <c r="F1949" s="69" t="n"/>
      <c r="G1949" s="70" t="n"/>
      <c r="H1949" s="62" t="str">
        <f>IF(COUNTA(A1949:G1949)=0,"",IF(C1949&lt;&gt;"",C1949,IF(B1949="","",IFERROR(INDEX(pr_des,MATCH(B1949,pr_code,0))&amp;"",""))))</f>
        <v/>
      </c>
      <c r="I1949" s="59" t="str">
        <f>IF(B1949="","",IFERROR(INDEX(pr_unit,MATCH(B1949,pr_code,0))&amp;"",""))</f>
        <v/>
      </c>
      <c r="J1949" s="65" t="str">
        <f>IF(COUNTA(A1949:G1949)=0,"",IF(E1949&lt;&gt;"",E1949,IF(B1949="","",IFERROR(IF(INDEX(pr_price,MATCH(B1949,pr_code,0))="","",INDEX(pr_price,MATCH(B1949,pr_code,0))),""))))</f>
        <v/>
      </c>
      <c r="K1949" s="71" t="str">
        <f>IF(COUNTA(A1949:G1949)=0,"",IF(G1949&lt;&gt;"",G1949,IF(B1949="","",IFERROR(IF(INDEX(pr_rate,MATCH(B1949,pr_code,0))="","",INDEX(pr_rate,MATCH(B1949,pr_code,0))),""))))</f>
        <v/>
      </c>
      <c r="L1949" s="65" t="str">
        <f>IF(COUNTA(A1949:G1949)=0,"",IF(AND(ISNUMBER(D1949),ISNUMBER(J1949)),ROUND(D1949*J1949*(1-N(F1949)),2),0))</f>
        <v/>
      </c>
      <c r="M1949" s="62" t="str">
        <f>IF(A1949="","",IFERROR(INDEX(dv_cname,MATCH(A1949,dv_num,0))&amp;"",""))</f>
        <v/>
      </c>
      <c r="N1949" s="59" t="str">
        <f>IF(COUNTA(A1949:G1949)=0,"",IF(A1949="","N° devis manquant",IF(ISNA(MATCH(A1949,dv_num,0)),"Devis inconnu",IF(AND(B1949&lt;&gt;"",ISNA(MATCH(B1949,pr_code,0))),"Article inconnu",IF(H1949="","Désignation manquante",IF(OR(NOT(ISNUMBER(D1949)),N(D1949)&lt;=0),"Quantité invalide",IF(J1949="","Prix manquant",IF(OR(NOT(ISNUMBER(J1949)),N(J1949)&lt;0),"Prix invalide",IF(OR(AND(F1949&lt;&gt;"",NOT(ISNUMBER(F1949))),N(F1949)&lt;0,N(F1949)&gt;1),"Remise invalide",IF(K1949="","Taux de TVA manquant",IF(NOT(ISNUMBER(K1949)),"Taux de TVA invalide",IF(COUNTIF(p_rates,K1949)=0,"Taux de TVA hors liste (Paramètres)",IF(N(O1949)&gt;25,"Au-delà de 25 lignes : non imprimée","OK")))))))))))))</f>
        <v/>
      </c>
      <c r="O1949" s="59" t="str">
        <f>IF(A1949="","",COUNTIF($A$6:A1949,A1949))</f>
        <v/>
      </c>
      <c r="P1949" s="62" t="str">
        <f>IF(A1949="","",A1949&amp;"|"&amp;O1949)</f>
        <v/>
      </c>
    </row>
    <row r="1950">
      <c r="A1950" s="60" t="n"/>
      <c r="B1950" s="63" t="n"/>
      <c r="C1950" s="63" t="n"/>
      <c r="D1950" s="67" t="n"/>
      <c r="E1950" s="68" t="n"/>
      <c r="F1950" s="69" t="n"/>
      <c r="G1950" s="70" t="n"/>
      <c r="H1950" s="62" t="str">
        <f>IF(COUNTA(A1950:G1950)=0,"",IF(C1950&lt;&gt;"",C1950,IF(B1950="","",IFERROR(INDEX(pr_des,MATCH(B1950,pr_code,0))&amp;"",""))))</f>
        <v/>
      </c>
      <c r="I1950" s="59" t="str">
        <f>IF(B1950="","",IFERROR(INDEX(pr_unit,MATCH(B1950,pr_code,0))&amp;"",""))</f>
        <v/>
      </c>
      <c r="J1950" s="65" t="str">
        <f>IF(COUNTA(A1950:G1950)=0,"",IF(E1950&lt;&gt;"",E1950,IF(B1950="","",IFERROR(IF(INDEX(pr_price,MATCH(B1950,pr_code,0))="","",INDEX(pr_price,MATCH(B1950,pr_code,0))),""))))</f>
        <v/>
      </c>
      <c r="K1950" s="71" t="str">
        <f>IF(COUNTA(A1950:G1950)=0,"",IF(G1950&lt;&gt;"",G1950,IF(B1950="","",IFERROR(IF(INDEX(pr_rate,MATCH(B1950,pr_code,0))="","",INDEX(pr_rate,MATCH(B1950,pr_code,0))),""))))</f>
        <v/>
      </c>
      <c r="L1950" s="65" t="str">
        <f>IF(COUNTA(A1950:G1950)=0,"",IF(AND(ISNUMBER(D1950),ISNUMBER(J1950)),ROUND(D1950*J1950*(1-N(F1950)),2),0))</f>
        <v/>
      </c>
      <c r="M1950" s="62" t="str">
        <f>IF(A1950="","",IFERROR(INDEX(dv_cname,MATCH(A1950,dv_num,0))&amp;"",""))</f>
        <v/>
      </c>
      <c r="N1950" s="59" t="str">
        <f>IF(COUNTA(A1950:G1950)=0,"",IF(A1950="","N° devis manquant",IF(ISNA(MATCH(A1950,dv_num,0)),"Devis inconnu",IF(AND(B1950&lt;&gt;"",ISNA(MATCH(B1950,pr_code,0))),"Article inconnu",IF(H1950="","Désignation manquante",IF(OR(NOT(ISNUMBER(D1950)),N(D1950)&lt;=0),"Quantité invalide",IF(J1950="","Prix manquant",IF(OR(NOT(ISNUMBER(J1950)),N(J1950)&lt;0),"Prix invalide",IF(OR(AND(F1950&lt;&gt;"",NOT(ISNUMBER(F1950))),N(F1950)&lt;0,N(F1950)&gt;1),"Remise invalide",IF(K1950="","Taux de TVA manquant",IF(NOT(ISNUMBER(K1950)),"Taux de TVA invalide",IF(COUNTIF(p_rates,K1950)=0,"Taux de TVA hors liste (Paramètres)",IF(N(O1950)&gt;25,"Au-delà de 25 lignes : non imprimée","OK")))))))))))))</f>
        <v/>
      </c>
      <c r="O1950" s="59" t="str">
        <f>IF(A1950="","",COUNTIF($A$6:A1950,A1950))</f>
        <v/>
      </c>
      <c r="P1950" s="62" t="str">
        <f>IF(A1950="","",A1950&amp;"|"&amp;O1950)</f>
        <v/>
      </c>
    </row>
    <row r="1951">
      <c r="A1951" s="60" t="n"/>
      <c r="B1951" s="63" t="n"/>
      <c r="C1951" s="63" t="n"/>
      <c r="D1951" s="67" t="n"/>
      <c r="E1951" s="68" t="n"/>
      <c r="F1951" s="69" t="n"/>
      <c r="G1951" s="70" t="n"/>
      <c r="H1951" s="62" t="str">
        <f>IF(COUNTA(A1951:G1951)=0,"",IF(C1951&lt;&gt;"",C1951,IF(B1951="","",IFERROR(INDEX(pr_des,MATCH(B1951,pr_code,0))&amp;"",""))))</f>
        <v/>
      </c>
      <c r="I1951" s="59" t="str">
        <f>IF(B1951="","",IFERROR(INDEX(pr_unit,MATCH(B1951,pr_code,0))&amp;"",""))</f>
        <v/>
      </c>
      <c r="J1951" s="65" t="str">
        <f>IF(COUNTA(A1951:G1951)=0,"",IF(E1951&lt;&gt;"",E1951,IF(B1951="","",IFERROR(IF(INDEX(pr_price,MATCH(B1951,pr_code,0))="","",INDEX(pr_price,MATCH(B1951,pr_code,0))),""))))</f>
        <v/>
      </c>
      <c r="K1951" s="71" t="str">
        <f>IF(COUNTA(A1951:G1951)=0,"",IF(G1951&lt;&gt;"",G1951,IF(B1951="","",IFERROR(IF(INDEX(pr_rate,MATCH(B1951,pr_code,0))="","",INDEX(pr_rate,MATCH(B1951,pr_code,0))),""))))</f>
        <v/>
      </c>
      <c r="L1951" s="65" t="str">
        <f>IF(COUNTA(A1951:G1951)=0,"",IF(AND(ISNUMBER(D1951),ISNUMBER(J1951)),ROUND(D1951*J1951*(1-N(F1951)),2),0))</f>
        <v/>
      </c>
      <c r="M1951" s="62" t="str">
        <f>IF(A1951="","",IFERROR(INDEX(dv_cname,MATCH(A1951,dv_num,0))&amp;"",""))</f>
        <v/>
      </c>
      <c r="N1951" s="59" t="str">
        <f>IF(COUNTA(A1951:G1951)=0,"",IF(A1951="","N° devis manquant",IF(ISNA(MATCH(A1951,dv_num,0)),"Devis inconnu",IF(AND(B1951&lt;&gt;"",ISNA(MATCH(B1951,pr_code,0))),"Article inconnu",IF(H1951="","Désignation manquante",IF(OR(NOT(ISNUMBER(D1951)),N(D1951)&lt;=0),"Quantité invalide",IF(J1951="","Prix manquant",IF(OR(NOT(ISNUMBER(J1951)),N(J1951)&lt;0),"Prix invalide",IF(OR(AND(F1951&lt;&gt;"",NOT(ISNUMBER(F1951))),N(F1951)&lt;0,N(F1951)&gt;1),"Remise invalide",IF(K1951="","Taux de TVA manquant",IF(NOT(ISNUMBER(K1951)),"Taux de TVA invalide",IF(COUNTIF(p_rates,K1951)=0,"Taux de TVA hors liste (Paramètres)",IF(N(O1951)&gt;25,"Au-delà de 25 lignes : non imprimée","OK")))))))))))))</f>
        <v/>
      </c>
      <c r="O1951" s="59" t="str">
        <f>IF(A1951="","",COUNTIF($A$6:A1951,A1951))</f>
        <v/>
      </c>
      <c r="P1951" s="62" t="str">
        <f>IF(A1951="","",A1951&amp;"|"&amp;O1951)</f>
        <v/>
      </c>
    </row>
    <row r="1952">
      <c r="A1952" s="60" t="n"/>
      <c r="B1952" s="63" t="n"/>
      <c r="C1952" s="63" t="n"/>
      <c r="D1952" s="67" t="n"/>
      <c r="E1952" s="68" t="n"/>
      <c r="F1952" s="69" t="n"/>
      <c r="G1952" s="70" t="n"/>
      <c r="H1952" s="62" t="str">
        <f>IF(COUNTA(A1952:G1952)=0,"",IF(C1952&lt;&gt;"",C1952,IF(B1952="","",IFERROR(INDEX(pr_des,MATCH(B1952,pr_code,0))&amp;"",""))))</f>
        <v/>
      </c>
      <c r="I1952" s="59" t="str">
        <f>IF(B1952="","",IFERROR(INDEX(pr_unit,MATCH(B1952,pr_code,0))&amp;"",""))</f>
        <v/>
      </c>
      <c r="J1952" s="65" t="str">
        <f>IF(COUNTA(A1952:G1952)=0,"",IF(E1952&lt;&gt;"",E1952,IF(B1952="","",IFERROR(IF(INDEX(pr_price,MATCH(B1952,pr_code,0))="","",INDEX(pr_price,MATCH(B1952,pr_code,0))),""))))</f>
        <v/>
      </c>
      <c r="K1952" s="71" t="str">
        <f>IF(COUNTA(A1952:G1952)=0,"",IF(G1952&lt;&gt;"",G1952,IF(B1952="","",IFERROR(IF(INDEX(pr_rate,MATCH(B1952,pr_code,0))="","",INDEX(pr_rate,MATCH(B1952,pr_code,0))),""))))</f>
        <v/>
      </c>
      <c r="L1952" s="65" t="str">
        <f>IF(COUNTA(A1952:G1952)=0,"",IF(AND(ISNUMBER(D1952),ISNUMBER(J1952)),ROUND(D1952*J1952*(1-N(F1952)),2),0))</f>
        <v/>
      </c>
      <c r="M1952" s="62" t="str">
        <f>IF(A1952="","",IFERROR(INDEX(dv_cname,MATCH(A1952,dv_num,0))&amp;"",""))</f>
        <v/>
      </c>
      <c r="N1952" s="59" t="str">
        <f>IF(COUNTA(A1952:G1952)=0,"",IF(A1952="","N° devis manquant",IF(ISNA(MATCH(A1952,dv_num,0)),"Devis inconnu",IF(AND(B1952&lt;&gt;"",ISNA(MATCH(B1952,pr_code,0))),"Article inconnu",IF(H1952="","Désignation manquante",IF(OR(NOT(ISNUMBER(D1952)),N(D1952)&lt;=0),"Quantité invalide",IF(J1952="","Prix manquant",IF(OR(NOT(ISNUMBER(J1952)),N(J1952)&lt;0),"Prix invalide",IF(OR(AND(F1952&lt;&gt;"",NOT(ISNUMBER(F1952))),N(F1952)&lt;0,N(F1952)&gt;1),"Remise invalide",IF(K1952="","Taux de TVA manquant",IF(NOT(ISNUMBER(K1952)),"Taux de TVA invalide",IF(COUNTIF(p_rates,K1952)=0,"Taux de TVA hors liste (Paramètres)",IF(N(O1952)&gt;25,"Au-delà de 25 lignes : non imprimée","OK")))))))))))))</f>
        <v/>
      </c>
      <c r="O1952" s="59" t="str">
        <f>IF(A1952="","",COUNTIF($A$6:A1952,A1952))</f>
        <v/>
      </c>
      <c r="P1952" s="62" t="str">
        <f>IF(A1952="","",A1952&amp;"|"&amp;O1952)</f>
        <v/>
      </c>
    </row>
    <row r="1953">
      <c r="A1953" s="60" t="n"/>
      <c r="B1953" s="63" t="n"/>
      <c r="C1953" s="63" t="n"/>
      <c r="D1953" s="67" t="n"/>
      <c r="E1953" s="68" t="n"/>
      <c r="F1953" s="69" t="n"/>
      <c r="G1953" s="70" t="n"/>
      <c r="H1953" s="62" t="str">
        <f>IF(COUNTA(A1953:G1953)=0,"",IF(C1953&lt;&gt;"",C1953,IF(B1953="","",IFERROR(INDEX(pr_des,MATCH(B1953,pr_code,0))&amp;"",""))))</f>
        <v/>
      </c>
      <c r="I1953" s="59" t="str">
        <f>IF(B1953="","",IFERROR(INDEX(pr_unit,MATCH(B1953,pr_code,0))&amp;"",""))</f>
        <v/>
      </c>
      <c r="J1953" s="65" t="str">
        <f>IF(COUNTA(A1953:G1953)=0,"",IF(E1953&lt;&gt;"",E1953,IF(B1953="","",IFERROR(IF(INDEX(pr_price,MATCH(B1953,pr_code,0))="","",INDEX(pr_price,MATCH(B1953,pr_code,0))),""))))</f>
        <v/>
      </c>
      <c r="K1953" s="71" t="str">
        <f>IF(COUNTA(A1953:G1953)=0,"",IF(G1953&lt;&gt;"",G1953,IF(B1953="","",IFERROR(IF(INDEX(pr_rate,MATCH(B1953,pr_code,0))="","",INDEX(pr_rate,MATCH(B1953,pr_code,0))),""))))</f>
        <v/>
      </c>
      <c r="L1953" s="65" t="str">
        <f>IF(COUNTA(A1953:G1953)=0,"",IF(AND(ISNUMBER(D1953),ISNUMBER(J1953)),ROUND(D1953*J1953*(1-N(F1953)),2),0))</f>
        <v/>
      </c>
      <c r="M1953" s="62" t="str">
        <f>IF(A1953="","",IFERROR(INDEX(dv_cname,MATCH(A1953,dv_num,0))&amp;"",""))</f>
        <v/>
      </c>
      <c r="N1953" s="59" t="str">
        <f>IF(COUNTA(A1953:G1953)=0,"",IF(A1953="","N° devis manquant",IF(ISNA(MATCH(A1953,dv_num,0)),"Devis inconnu",IF(AND(B1953&lt;&gt;"",ISNA(MATCH(B1953,pr_code,0))),"Article inconnu",IF(H1953="","Désignation manquante",IF(OR(NOT(ISNUMBER(D1953)),N(D1953)&lt;=0),"Quantité invalide",IF(J1953="","Prix manquant",IF(OR(NOT(ISNUMBER(J1953)),N(J1953)&lt;0),"Prix invalide",IF(OR(AND(F1953&lt;&gt;"",NOT(ISNUMBER(F1953))),N(F1953)&lt;0,N(F1953)&gt;1),"Remise invalide",IF(K1953="","Taux de TVA manquant",IF(NOT(ISNUMBER(K1953)),"Taux de TVA invalide",IF(COUNTIF(p_rates,K1953)=0,"Taux de TVA hors liste (Paramètres)",IF(N(O1953)&gt;25,"Au-delà de 25 lignes : non imprimée","OK")))))))))))))</f>
        <v/>
      </c>
      <c r="O1953" s="59" t="str">
        <f>IF(A1953="","",COUNTIF($A$6:A1953,A1953))</f>
        <v/>
      </c>
      <c r="P1953" s="62" t="str">
        <f>IF(A1953="","",A1953&amp;"|"&amp;O1953)</f>
        <v/>
      </c>
    </row>
    <row r="1954">
      <c r="A1954" s="60" t="n"/>
      <c r="B1954" s="63" t="n"/>
      <c r="C1954" s="63" t="n"/>
      <c r="D1954" s="67" t="n"/>
      <c r="E1954" s="68" t="n"/>
      <c r="F1954" s="69" t="n"/>
      <c r="G1954" s="70" t="n"/>
      <c r="H1954" s="62" t="str">
        <f>IF(COUNTA(A1954:G1954)=0,"",IF(C1954&lt;&gt;"",C1954,IF(B1954="","",IFERROR(INDEX(pr_des,MATCH(B1954,pr_code,0))&amp;"",""))))</f>
        <v/>
      </c>
      <c r="I1954" s="59" t="str">
        <f>IF(B1954="","",IFERROR(INDEX(pr_unit,MATCH(B1954,pr_code,0))&amp;"",""))</f>
        <v/>
      </c>
      <c r="J1954" s="65" t="str">
        <f>IF(COUNTA(A1954:G1954)=0,"",IF(E1954&lt;&gt;"",E1954,IF(B1954="","",IFERROR(IF(INDEX(pr_price,MATCH(B1954,pr_code,0))="","",INDEX(pr_price,MATCH(B1954,pr_code,0))),""))))</f>
        <v/>
      </c>
      <c r="K1954" s="71" t="str">
        <f>IF(COUNTA(A1954:G1954)=0,"",IF(G1954&lt;&gt;"",G1954,IF(B1954="","",IFERROR(IF(INDEX(pr_rate,MATCH(B1954,pr_code,0))="","",INDEX(pr_rate,MATCH(B1954,pr_code,0))),""))))</f>
        <v/>
      </c>
      <c r="L1954" s="65" t="str">
        <f>IF(COUNTA(A1954:G1954)=0,"",IF(AND(ISNUMBER(D1954),ISNUMBER(J1954)),ROUND(D1954*J1954*(1-N(F1954)),2),0))</f>
        <v/>
      </c>
      <c r="M1954" s="62" t="str">
        <f>IF(A1954="","",IFERROR(INDEX(dv_cname,MATCH(A1954,dv_num,0))&amp;"",""))</f>
        <v/>
      </c>
      <c r="N1954" s="59" t="str">
        <f>IF(COUNTA(A1954:G1954)=0,"",IF(A1954="","N° devis manquant",IF(ISNA(MATCH(A1954,dv_num,0)),"Devis inconnu",IF(AND(B1954&lt;&gt;"",ISNA(MATCH(B1954,pr_code,0))),"Article inconnu",IF(H1954="","Désignation manquante",IF(OR(NOT(ISNUMBER(D1954)),N(D1954)&lt;=0),"Quantité invalide",IF(J1954="","Prix manquant",IF(OR(NOT(ISNUMBER(J1954)),N(J1954)&lt;0),"Prix invalide",IF(OR(AND(F1954&lt;&gt;"",NOT(ISNUMBER(F1954))),N(F1954)&lt;0,N(F1954)&gt;1),"Remise invalide",IF(K1954="","Taux de TVA manquant",IF(NOT(ISNUMBER(K1954)),"Taux de TVA invalide",IF(COUNTIF(p_rates,K1954)=0,"Taux de TVA hors liste (Paramètres)",IF(N(O1954)&gt;25,"Au-delà de 25 lignes : non imprimée","OK")))))))))))))</f>
        <v/>
      </c>
      <c r="O1954" s="59" t="str">
        <f>IF(A1954="","",COUNTIF($A$6:A1954,A1954))</f>
        <v/>
      </c>
      <c r="P1954" s="62" t="str">
        <f>IF(A1954="","",A1954&amp;"|"&amp;O1954)</f>
        <v/>
      </c>
    </row>
    <row r="1955">
      <c r="A1955" s="60" t="n"/>
      <c r="B1955" s="63" t="n"/>
      <c r="C1955" s="63" t="n"/>
      <c r="D1955" s="67" t="n"/>
      <c r="E1955" s="68" t="n"/>
      <c r="F1955" s="69" t="n"/>
      <c r="G1955" s="70" t="n"/>
      <c r="H1955" s="62" t="str">
        <f>IF(COUNTA(A1955:G1955)=0,"",IF(C1955&lt;&gt;"",C1955,IF(B1955="","",IFERROR(INDEX(pr_des,MATCH(B1955,pr_code,0))&amp;"",""))))</f>
        <v/>
      </c>
      <c r="I1955" s="59" t="str">
        <f>IF(B1955="","",IFERROR(INDEX(pr_unit,MATCH(B1955,pr_code,0))&amp;"",""))</f>
        <v/>
      </c>
      <c r="J1955" s="65" t="str">
        <f>IF(COUNTA(A1955:G1955)=0,"",IF(E1955&lt;&gt;"",E1955,IF(B1955="","",IFERROR(IF(INDEX(pr_price,MATCH(B1955,pr_code,0))="","",INDEX(pr_price,MATCH(B1955,pr_code,0))),""))))</f>
        <v/>
      </c>
      <c r="K1955" s="71" t="str">
        <f>IF(COUNTA(A1955:G1955)=0,"",IF(G1955&lt;&gt;"",G1955,IF(B1955="","",IFERROR(IF(INDEX(pr_rate,MATCH(B1955,pr_code,0))="","",INDEX(pr_rate,MATCH(B1955,pr_code,0))),""))))</f>
        <v/>
      </c>
      <c r="L1955" s="65" t="str">
        <f>IF(COUNTA(A1955:G1955)=0,"",IF(AND(ISNUMBER(D1955),ISNUMBER(J1955)),ROUND(D1955*J1955*(1-N(F1955)),2),0))</f>
        <v/>
      </c>
      <c r="M1955" s="62" t="str">
        <f>IF(A1955="","",IFERROR(INDEX(dv_cname,MATCH(A1955,dv_num,0))&amp;"",""))</f>
        <v/>
      </c>
      <c r="N1955" s="59" t="str">
        <f>IF(COUNTA(A1955:G1955)=0,"",IF(A1955="","N° devis manquant",IF(ISNA(MATCH(A1955,dv_num,0)),"Devis inconnu",IF(AND(B1955&lt;&gt;"",ISNA(MATCH(B1955,pr_code,0))),"Article inconnu",IF(H1955="","Désignation manquante",IF(OR(NOT(ISNUMBER(D1955)),N(D1955)&lt;=0),"Quantité invalide",IF(J1955="","Prix manquant",IF(OR(NOT(ISNUMBER(J1955)),N(J1955)&lt;0),"Prix invalide",IF(OR(AND(F1955&lt;&gt;"",NOT(ISNUMBER(F1955))),N(F1955)&lt;0,N(F1955)&gt;1),"Remise invalide",IF(K1955="","Taux de TVA manquant",IF(NOT(ISNUMBER(K1955)),"Taux de TVA invalide",IF(COUNTIF(p_rates,K1955)=0,"Taux de TVA hors liste (Paramètres)",IF(N(O1955)&gt;25,"Au-delà de 25 lignes : non imprimée","OK")))))))))))))</f>
        <v/>
      </c>
      <c r="O1955" s="59" t="str">
        <f>IF(A1955="","",COUNTIF($A$6:A1955,A1955))</f>
        <v/>
      </c>
      <c r="P1955" s="62" t="str">
        <f>IF(A1955="","",A1955&amp;"|"&amp;O1955)</f>
        <v/>
      </c>
    </row>
    <row r="1956">
      <c r="A1956" s="60" t="n"/>
      <c r="B1956" s="63" t="n"/>
      <c r="C1956" s="63" t="n"/>
      <c r="D1956" s="67" t="n"/>
      <c r="E1956" s="68" t="n"/>
      <c r="F1956" s="69" t="n"/>
      <c r="G1956" s="70" t="n"/>
      <c r="H1956" s="62" t="str">
        <f>IF(COUNTA(A1956:G1956)=0,"",IF(C1956&lt;&gt;"",C1956,IF(B1956="","",IFERROR(INDEX(pr_des,MATCH(B1956,pr_code,0))&amp;"",""))))</f>
        <v/>
      </c>
      <c r="I1956" s="59" t="str">
        <f>IF(B1956="","",IFERROR(INDEX(pr_unit,MATCH(B1956,pr_code,0))&amp;"",""))</f>
        <v/>
      </c>
      <c r="J1956" s="65" t="str">
        <f>IF(COUNTA(A1956:G1956)=0,"",IF(E1956&lt;&gt;"",E1956,IF(B1956="","",IFERROR(IF(INDEX(pr_price,MATCH(B1956,pr_code,0))="","",INDEX(pr_price,MATCH(B1956,pr_code,0))),""))))</f>
        <v/>
      </c>
      <c r="K1956" s="71" t="str">
        <f>IF(COUNTA(A1956:G1956)=0,"",IF(G1956&lt;&gt;"",G1956,IF(B1956="","",IFERROR(IF(INDEX(pr_rate,MATCH(B1956,pr_code,0))="","",INDEX(pr_rate,MATCH(B1956,pr_code,0))),""))))</f>
        <v/>
      </c>
      <c r="L1956" s="65" t="str">
        <f>IF(COUNTA(A1956:G1956)=0,"",IF(AND(ISNUMBER(D1956),ISNUMBER(J1956)),ROUND(D1956*J1956*(1-N(F1956)),2),0))</f>
        <v/>
      </c>
      <c r="M1956" s="62" t="str">
        <f>IF(A1956="","",IFERROR(INDEX(dv_cname,MATCH(A1956,dv_num,0))&amp;"",""))</f>
        <v/>
      </c>
      <c r="N1956" s="59" t="str">
        <f>IF(COUNTA(A1956:G1956)=0,"",IF(A1956="","N° devis manquant",IF(ISNA(MATCH(A1956,dv_num,0)),"Devis inconnu",IF(AND(B1956&lt;&gt;"",ISNA(MATCH(B1956,pr_code,0))),"Article inconnu",IF(H1956="","Désignation manquante",IF(OR(NOT(ISNUMBER(D1956)),N(D1956)&lt;=0),"Quantité invalide",IF(J1956="","Prix manquant",IF(OR(NOT(ISNUMBER(J1956)),N(J1956)&lt;0),"Prix invalide",IF(OR(AND(F1956&lt;&gt;"",NOT(ISNUMBER(F1956))),N(F1956)&lt;0,N(F1956)&gt;1),"Remise invalide",IF(K1956="","Taux de TVA manquant",IF(NOT(ISNUMBER(K1956)),"Taux de TVA invalide",IF(COUNTIF(p_rates,K1956)=0,"Taux de TVA hors liste (Paramètres)",IF(N(O1956)&gt;25,"Au-delà de 25 lignes : non imprimée","OK")))))))))))))</f>
        <v/>
      </c>
      <c r="O1956" s="59" t="str">
        <f>IF(A1956="","",COUNTIF($A$6:A1956,A1956))</f>
        <v/>
      </c>
      <c r="P1956" s="62" t="str">
        <f>IF(A1956="","",A1956&amp;"|"&amp;O1956)</f>
        <v/>
      </c>
    </row>
    <row r="1957">
      <c r="A1957" s="60" t="n"/>
      <c r="B1957" s="63" t="n"/>
      <c r="C1957" s="63" t="n"/>
      <c r="D1957" s="67" t="n"/>
      <c r="E1957" s="68" t="n"/>
      <c r="F1957" s="69" t="n"/>
      <c r="G1957" s="70" t="n"/>
      <c r="H1957" s="62" t="str">
        <f>IF(COUNTA(A1957:G1957)=0,"",IF(C1957&lt;&gt;"",C1957,IF(B1957="","",IFERROR(INDEX(pr_des,MATCH(B1957,pr_code,0))&amp;"",""))))</f>
        <v/>
      </c>
      <c r="I1957" s="59" t="str">
        <f>IF(B1957="","",IFERROR(INDEX(pr_unit,MATCH(B1957,pr_code,0))&amp;"",""))</f>
        <v/>
      </c>
      <c r="J1957" s="65" t="str">
        <f>IF(COUNTA(A1957:G1957)=0,"",IF(E1957&lt;&gt;"",E1957,IF(B1957="","",IFERROR(IF(INDEX(pr_price,MATCH(B1957,pr_code,0))="","",INDEX(pr_price,MATCH(B1957,pr_code,0))),""))))</f>
        <v/>
      </c>
      <c r="K1957" s="71" t="str">
        <f>IF(COUNTA(A1957:G1957)=0,"",IF(G1957&lt;&gt;"",G1957,IF(B1957="","",IFERROR(IF(INDEX(pr_rate,MATCH(B1957,pr_code,0))="","",INDEX(pr_rate,MATCH(B1957,pr_code,0))),""))))</f>
        <v/>
      </c>
      <c r="L1957" s="65" t="str">
        <f>IF(COUNTA(A1957:G1957)=0,"",IF(AND(ISNUMBER(D1957),ISNUMBER(J1957)),ROUND(D1957*J1957*(1-N(F1957)),2),0))</f>
        <v/>
      </c>
      <c r="M1957" s="62" t="str">
        <f>IF(A1957="","",IFERROR(INDEX(dv_cname,MATCH(A1957,dv_num,0))&amp;"",""))</f>
        <v/>
      </c>
      <c r="N1957" s="59" t="str">
        <f>IF(COUNTA(A1957:G1957)=0,"",IF(A1957="","N° devis manquant",IF(ISNA(MATCH(A1957,dv_num,0)),"Devis inconnu",IF(AND(B1957&lt;&gt;"",ISNA(MATCH(B1957,pr_code,0))),"Article inconnu",IF(H1957="","Désignation manquante",IF(OR(NOT(ISNUMBER(D1957)),N(D1957)&lt;=0),"Quantité invalide",IF(J1957="","Prix manquant",IF(OR(NOT(ISNUMBER(J1957)),N(J1957)&lt;0),"Prix invalide",IF(OR(AND(F1957&lt;&gt;"",NOT(ISNUMBER(F1957))),N(F1957)&lt;0,N(F1957)&gt;1),"Remise invalide",IF(K1957="","Taux de TVA manquant",IF(NOT(ISNUMBER(K1957)),"Taux de TVA invalide",IF(COUNTIF(p_rates,K1957)=0,"Taux de TVA hors liste (Paramètres)",IF(N(O1957)&gt;25,"Au-delà de 25 lignes : non imprimée","OK")))))))))))))</f>
        <v/>
      </c>
      <c r="O1957" s="59" t="str">
        <f>IF(A1957="","",COUNTIF($A$6:A1957,A1957))</f>
        <v/>
      </c>
      <c r="P1957" s="62" t="str">
        <f>IF(A1957="","",A1957&amp;"|"&amp;O1957)</f>
        <v/>
      </c>
    </row>
    <row r="1958">
      <c r="A1958" s="60" t="n"/>
      <c r="B1958" s="63" t="n"/>
      <c r="C1958" s="63" t="n"/>
      <c r="D1958" s="67" t="n"/>
      <c r="E1958" s="68" t="n"/>
      <c r="F1958" s="69" t="n"/>
      <c r="G1958" s="70" t="n"/>
      <c r="H1958" s="62" t="str">
        <f>IF(COUNTA(A1958:G1958)=0,"",IF(C1958&lt;&gt;"",C1958,IF(B1958="","",IFERROR(INDEX(pr_des,MATCH(B1958,pr_code,0))&amp;"",""))))</f>
        <v/>
      </c>
      <c r="I1958" s="59" t="str">
        <f>IF(B1958="","",IFERROR(INDEX(pr_unit,MATCH(B1958,pr_code,0))&amp;"",""))</f>
        <v/>
      </c>
      <c r="J1958" s="65" t="str">
        <f>IF(COUNTA(A1958:G1958)=0,"",IF(E1958&lt;&gt;"",E1958,IF(B1958="","",IFERROR(IF(INDEX(pr_price,MATCH(B1958,pr_code,0))="","",INDEX(pr_price,MATCH(B1958,pr_code,0))),""))))</f>
        <v/>
      </c>
      <c r="K1958" s="71" t="str">
        <f>IF(COUNTA(A1958:G1958)=0,"",IF(G1958&lt;&gt;"",G1958,IF(B1958="","",IFERROR(IF(INDEX(pr_rate,MATCH(B1958,pr_code,0))="","",INDEX(pr_rate,MATCH(B1958,pr_code,0))),""))))</f>
        <v/>
      </c>
      <c r="L1958" s="65" t="str">
        <f>IF(COUNTA(A1958:G1958)=0,"",IF(AND(ISNUMBER(D1958),ISNUMBER(J1958)),ROUND(D1958*J1958*(1-N(F1958)),2),0))</f>
        <v/>
      </c>
      <c r="M1958" s="62" t="str">
        <f>IF(A1958="","",IFERROR(INDEX(dv_cname,MATCH(A1958,dv_num,0))&amp;"",""))</f>
        <v/>
      </c>
      <c r="N1958" s="59" t="str">
        <f>IF(COUNTA(A1958:G1958)=0,"",IF(A1958="","N° devis manquant",IF(ISNA(MATCH(A1958,dv_num,0)),"Devis inconnu",IF(AND(B1958&lt;&gt;"",ISNA(MATCH(B1958,pr_code,0))),"Article inconnu",IF(H1958="","Désignation manquante",IF(OR(NOT(ISNUMBER(D1958)),N(D1958)&lt;=0),"Quantité invalide",IF(J1958="","Prix manquant",IF(OR(NOT(ISNUMBER(J1958)),N(J1958)&lt;0),"Prix invalide",IF(OR(AND(F1958&lt;&gt;"",NOT(ISNUMBER(F1958))),N(F1958)&lt;0,N(F1958)&gt;1),"Remise invalide",IF(K1958="","Taux de TVA manquant",IF(NOT(ISNUMBER(K1958)),"Taux de TVA invalide",IF(COUNTIF(p_rates,K1958)=0,"Taux de TVA hors liste (Paramètres)",IF(N(O1958)&gt;25,"Au-delà de 25 lignes : non imprimée","OK")))))))))))))</f>
        <v/>
      </c>
      <c r="O1958" s="59" t="str">
        <f>IF(A1958="","",COUNTIF($A$6:A1958,A1958))</f>
        <v/>
      </c>
      <c r="P1958" s="62" t="str">
        <f>IF(A1958="","",A1958&amp;"|"&amp;O1958)</f>
        <v/>
      </c>
    </row>
    <row r="1959">
      <c r="A1959" s="60" t="n"/>
      <c r="B1959" s="63" t="n"/>
      <c r="C1959" s="63" t="n"/>
      <c r="D1959" s="67" t="n"/>
      <c r="E1959" s="68" t="n"/>
      <c r="F1959" s="69" t="n"/>
      <c r="G1959" s="70" t="n"/>
      <c r="H1959" s="62" t="str">
        <f>IF(COUNTA(A1959:G1959)=0,"",IF(C1959&lt;&gt;"",C1959,IF(B1959="","",IFERROR(INDEX(pr_des,MATCH(B1959,pr_code,0))&amp;"",""))))</f>
        <v/>
      </c>
      <c r="I1959" s="59" t="str">
        <f>IF(B1959="","",IFERROR(INDEX(pr_unit,MATCH(B1959,pr_code,0))&amp;"",""))</f>
        <v/>
      </c>
      <c r="J1959" s="65" t="str">
        <f>IF(COUNTA(A1959:G1959)=0,"",IF(E1959&lt;&gt;"",E1959,IF(B1959="","",IFERROR(IF(INDEX(pr_price,MATCH(B1959,pr_code,0))="","",INDEX(pr_price,MATCH(B1959,pr_code,0))),""))))</f>
        <v/>
      </c>
      <c r="K1959" s="71" t="str">
        <f>IF(COUNTA(A1959:G1959)=0,"",IF(G1959&lt;&gt;"",G1959,IF(B1959="","",IFERROR(IF(INDEX(pr_rate,MATCH(B1959,pr_code,0))="","",INDEX(pr_rate,MATCH(B1959,pr_code,0))),""))))</f>
        <v/>
      </c>
      <c r="L1959" s="65" t="str">
        <f>IF(COUNTA(A1959:G1959)=0,"",IF(AND(ISNUMBER(D1959),ISNUMBER(J1959)),ROUND(D1959*J1959*(1-N(F1959)),2),0))</f>
        <v/>
      </c>
      <c r="M1959" s="62" t="str">
        <f>IF(A1959="","",IFERROR(INDEX(dv_cname,MATCH(A1959,dv_num,0))&amp;"",""))</f>
        <v/>
      </c>
      <c r="N1959" s="59" t="str">
        <f>IF(COUNTA(A1959:G1959)=0,"",IF(A1959="","N° devis manquant",IF(ISNA(MATCH(A1959,dv_num,0)),"Devis inconnu",IF(AND(B1959&lt;&gt;"",ISNA(MATCH(B1959,pr_code,0))),"Article inconnu",IF(H1959="","Désignation manquante",IF(OR(NOT(ISNUMBER(D1959)),N(D1959)&lt;=0),"Quantité invalide",IF(J1959="","Prix manquant",IF(OR(NOT(ISNUMBER(J1959)),N(J1959)&lt;0),"Prix invalide",IF(OR(AND(F1959&lt;&gt;"",NOT(ISNUMBER(F1959))),N(F1959)&lt;0,N(F1959)&gt;1),"Remise invalide",IF(K1959="","Taux de TVA manquant",IF(NOT(ISNUMBER(K1959)),"Taux de TVA invalide",IF(COUNTIF(p_rates,K1959)=0,"Taux de TVA hors liste (Paramètres)",IF(N(O1959)&gt;25,"Au-delà de 25 lignes : non imprimée","OK")))))))))))))</f>
        <v/>
      </c>
      <c r="O1959" s="59" t="str">
        <f>IF(A1959="","",COUNTIF($A$6:A1959,A1959))</f>
        <v/>
      </c>
      <c r="P1959" s="62" t="str">
        <f>IF(A1959="","",A1959&amp;"|"&amp;O1959)</f>
        <v/>
      </c>
    </row>
    <row r="1960">
      <c r="A1960" s="60" t="n"/>
      <c r="B1960" s="63" t="n"/>
      <c r="C1960" s="63" t="n"/>
      <c r="D1960" s="67" t="n"/>
      <c r="E1960" s="68" t="n"/>
      <c r="F1960" s="69" t="n"/>
      <c r="G1960" s="70" t="n"/>
      <c r="H1960" s="62" t="str">
        <f>IF(COUNTA(A1960:G1960)=0,"",IF(C1960&lt;&gt;"",C1960,IF(B1960="","",IFERROR(INDEX(pr_des,MATCH(B1960,pr_code,0))&amp;"",""))))</f>
        <v/>
      </c>
      <c r="I1960" s="59" t="str">
        <f>IF(B1960="","",IFERROR(INDEX(pr_unit,MATCH(B1960,pr_code,0))&amp;"",""))</f>
        <v/>
      </c>
      <c r="J1960" s="65" t="str">
        <f>IF(COUNTA(A1960:G1960)=0,"",IF(E1960&lt;&gt;"",E1960,IF(B1960="","",IFERROR(IF(INDEX(pr_price,MATCH(B1960,pr_code,0))="","",INDEX(pr_price,MATCH(B1960,pr_code,0))),""))))</f>
        <v/>
      </c>
      <c r="K1960" s="71" t="str">
        <f>IF(COUNTA(A1960:G1960)=0,"",IF(G1960&lt;&gt;"",G1960,IF(B1960="","",IFERROR(IF(INDEX(pr_rate,MATCH(B1960,pr_code,0))="","",INDEX(pr_rate,MATCH(B1960,pr_code,0))),""))))</f>
        <v/>
      </c>
      <c r="L1960" s="65" t="str">
        <f>IF(COUNTA(A1960:G1960)=0,"",IF(AND(ISNUMBER(D1960),ISNUMBER(J1960)),ROUND(D1960*J1960*(1-N(F1960)),2),0))</f>
        <v/>
      </c>
      <c r="M1960" s="62" t="str">
        <f>IF(A1960="","",IFERROR(INDEX(dv_cname,MATCH(A1960,dv_num,0))&amp;"",""))</f>
        <v/>
      </c>
      <c r="N1960" s="59" t="str">
        <f>IF(COUNTA(A1960:G1960)=0,"",IF(A1960="","N° devis manquant",IF(ISNA(MATCH(A1960,dv_num,0)),"Devis inconnu",IF(AND(B1960&lt;&gt;"",ISNA(MATCH(B1960,pr_code,0))),"Article inconnu",IF(H1960="","Désignation manquante",IF(OR(NOT(ISNUMBER(D1960)),N(D1960)&lt;=0),"Quantité invalide",IF(J1960="","Prix manquant",IF(OR(NOT(ISNUMBER(J1960)),N(J1960)&lt;0),"Prix invalide",IF(OR(AND(F1960&lt;&gt;"",NOT(ISNUMBER(F1960))),N(F1960)&lt;0,N(F1960)&gt;1),"Remise invalide",IF(K1960="","Taux de TVA manquant",IF(NOT(ISNUMBER(K1960)),"Taux de TVA invalide",IF(COUNTIF(p_rates,K1960)=0,"Taux de TVA hors liste (Paramètres)",IF(N(O1960)&gt;25,"Au-delà de 25 lignes : non imprimée","OK")))))))))))))</f>
        <v/>
      </c>
      <c r="O1960" s="59" t="str">
        <f>IF(A1960="","",COUNTIF($A$6:A1960,A1960))</f>
        <v/>
      </c>
      <c r="P1960" s="62" t="str">
        <f>IF(A1960="","",A1960&amp;"|"&amp;O1960)</f>
        <v/>
      </c>
    </row>
    <row r="1961">
      <c r="A1961" s="60" t="n"/>
      <c r="B1961" s="63" t="n"/>
      <c r="C1961" s="63" t="n"/>
      <c r="D1961" s="67" t="n"/>
      <c r="E1961" s="68" t="n"/>
      <c r="F1961" s="69" t="n"/>
      <c r="G1961" s="70" t="n"/>
      <c r="H1961" s="62" t="str">
        <f>IF(COUNTA(A1961:G1961)=0,"",IF(C1961&lt;&gt;"",C1961,IF(B1961="","",IFERROR(INDEX(pr_des,MATCH(B1961,pr_code,0))&amp;"",""))))</f>
        <v/>
      </c>
      <c r="I1961" s="59" t="str">
        <f>IF(B1961="","",IFERROR(INDEX(pr_unit,MATCH(B1961,pr_code,0))&amp;"",""))</f>
        <v/>
      </c>
      <c r="J1961" s="65" t="str">
        <f>IF(COUNTA(A1961:G1961)=0,"",IF(E1961&lt;&gt;"",E1961,IF(B1961="","",IFERROR(IF(INDEX(pr_price,MATCH(B1961,pr_code,0))="","",INDEX(pr_price,MATCH(B1961,pr_code,0))),""))))</f>
        <v/>
      </c>
      <c r="K1961" s="71" t="str">
        <f>IF(COUNTA(A1961:G1961)=0,"",IF(G1961&lt;&gt;"",G1961,IF(B1961="","",IFERROR(IF(INDEX(pr_rate,MATCH(B1961,pr_code,0))="","",INDEX(pr_rate,MATCH(B1961,pr_code,0))),""))))</f>
        <v/>
      </c>
      <c r="L1961" s="65" t="str">
        <f>IF(COUNTA(A1961:G1961)=0,"",IF(AND(ISNUMBER(D1961),ISNUMBER(J1961)),ROUND(D1961*J1961*(1-N(F1961)),2),0))</f>
        <v/>
      </c>
      <c r="M1961" s="62" t="str">
        <f>IF(A1961="","",IFERROR(INDEX(dv_cname,MATCH(A1961,dv_num,0))&amp;"",""))</f>
        <v/>
      </c>
      <c r="N1961" s="59" t="str">
        <f>IF(COUNTA(A1961:G1961)=0,"",IF(A1961="","N° devis manquant",IF(ISNA(MATCH(A1961,dv_num,0)),"Devis inconnu",IF(AND(B1961&lt;&gt;"",ISNA(MATCH(B1961,pr_code,0))),"Article inconnu",IF(H1961="","Désignation manquante",IF(OR(NOT(ISNUMBER(D1961)),N(D1961)&lt;=0),"Quantité invalide",IF(J1961="","Prix manquant",IF(OR(NOT(ISNUMBER(J1961)),N(J1961)&lt;0),"Prix invalide",IF(OR(AND(F1961&lt;&gt;"",NOT(ISNUMBER(F1961))),N(F1961)&lt;0,N(F1961)&gt;1),"Remise invalide",IF(K1961="","Taux de TVA manquant",IF(NOT(ISNUMBER(K1961)),"Taux de TVA invalide",IF(COUNTIF(p_rates,K1961)=0,"Taux de TVA hors liste (Paramètres)",IF(N(O1961)&gt;25,"Au-delà de 25 lignes : non imprimée","OK")))))))))))))</f>
        <v/>
      </c>
      <c r="O1961" s="59" t="str">
        <f>IF(A1961="","",COUNTIF($A$6:A1961,A1961))</f>
        <v/>
      </c>
      <c r="P1961" s="62" t="str">
        <f>IF(A1961="","",A1961&amp;"|"&amp;O1961)</f>
        <v/>
      </c>
    </row>
    <row r="1962">
      <c r="A1962" s="60" t="n"/>
      <c r="B1962" s="63" t="n"/>
      <c r="C1962" s="63" t="n"/>
      <c r="D1962" s="67" t="n"/>
      <c r="E1962" s="68" t="n"/>
      <c r="F1962" s="69" t="n"/>
      <c r="G1962" s="70" t="n"/>
      <c r="H1962" s="62" t="str">
        <f>IF(COUNTA(A1962:G1962)=0,"",IF(C1962&lt;&gt;"",C1962,IF(B1962="","",IFERROR(INDEX(pr_des,MATCH(B1962,pr_code,0))&amp;"",""))))</f>
        <v/>
      </c>
      <c r="I1962" s="59" t="str">
        <f>IF(B1962="","",IFERROR(INDEX(pr_unit,MATCH(B1962,pr_code,0))&amp;"",""))</f>
        <v/>
      </c>
      <c r="J1962" s="65" t="str">
        <f>IF(COUNTA(A1962:G1962)=0,"",IF(E1962&lt;&gt;"",E1962,IF(B1962="","",IFERROR(IF(INDEX(pr_price,MATCH(B1962,pr_code,0))="","",INDEX(pr_price,MATCH(B1962,pr_code,0))),""))))</f>
        <v/>
      </c>
      <c r="K1962" s="71" t="str">
        <f>IF(COUNTA(A1962:G1962)=0,"",IF(G1962&lt;&gt;"",G1962,IF(B1962="","",IFERROR(IF(INDEX(pr_rate,MATCH(B1962,pr_code,0))="","",INDEX(pr_rate,MATCH(B1962,pr_code,0))),""))))</f>
        <v/>
      </c>
      <c r="L1962" s="65" t="str">
        <f>IF(COUNTA(A1962:G1962)=0,"",IF(AND(ISNUMBER(D1962),ISNUMBER(J1962)),ROUND(D1962*J1962*(1-N(F1962)),2),0))</f>
        <v/>
      </c>
      <c r="M1962" s="62" t="str">
        <f>IF(A1962="","",IFERROR(INDEX(dv_cname,MATCH(A1962,dv_num,0))&amp;"",""))</f>
        <v/>
      </c>
      <c r="N1962" s="59" t="str">
        <f>IF(COUNTA(A1962:G1962)=0,"",IF(A1962="","N° devis manquant",IF(ISNA(MATCH(A1962,dv_num,0)),"Devis inconnu",IF(AND(B1962&lt;&gt;"",ISNA(MATCH(B1962,pr_code,0))),"Article inconnu",IF(H1962="","Désignation manquante",IF(OR(NOT(ISNUMBER(D1962)),N(D1962)&lt;=0),"Quantité invalide",IF(J1962="","Prix manquant",IF(OR(NOT(ISNUMBER(J1962)),N(J1962)&lt;0),"Prix invalide",IF(OR(AND(F1962&lt;&gt;"",NOT(ISNUMBER(F1962))),N(F1962)&lt;0,N(F1962)&gt;1),"Remise invalide",IF(K1962="","Taux de TVA manquant",IF(NOT(ISNUMBER(K1962)),"Taux de TVA invalide",IF(COUNTIF(p_rates,K1962)=0,"Taux de TVA hors liste (Paramètres)",IF(N(O1962)&gt;25,"Au-delà de 25 lignes : non imprimée","OK")))))))))))))</f>
        <v/>
      </c>
      <c r="O1962" s="59" t="str">
        <f>IF(A1962="","",COUNTIF($A$6:A1962,A1962))</f>
        <v/>
      </c>
      <c r="P1962" s="62" t="str">
        <f>IF(A1962="","",A1962&amp;"|"&amp;O1962)</f>
        <v/>
      </c>
    </row>
    <row r="1963">
      <c r="A1963" s="60" t="n"/>
      <c r="B1963" s="63" t="n"/>
      <c r="C1963" s="63" t="n"/>
      <c r="D1963" s="67" t="n"/>
      <c r="E1963" s="68" t="n"/>
      <c r="F1963" s="69" t="n"/>
      <c r="G1963" s="70" t="n"/>
      <c r="H1963" s="62" t="str">
        <f>IF(COUNTA(A1963:G1963)=0,"",IF(C1963&lt;&gt;"",C1963,IF(B1963="","",IFERROR(INDEX(pr_des,MATCH(B1963,pr_code,0))&amp;"",""))))</f>
        <v/>
      </c>
      <c r="I1963" s="59" t="str">
        <f>IF(B1963="","",IFERROR(INDEX(pr_unit,MATCH(B1963,pr_code,0))&amp;"",""))</f>
        <v/>
      </c>
      <c r="J1963" s="65" t="str">
        <f>IF(COUNTA(A1963:G1963)=0,"",IF(E1963&lt;&gt;"",E1963,IF(B1963="","",IFERROR(IF(INDEX(pr_price,MATCH(B1963,pr_code,0))="","",INDEX(pr_price,MATCH(B1963,pr_code,0))),""))))</f>
        <v/>
      </c>
      <c r="K1963" s="71" t="str">
        <f>IF(COUNTA(A1963:G1963)=0,"",IF(G1963&lt;&gt;"",G1963,IF(B1963="","",IFERROR(IF(INDEX(pr_rate,MATCH(B1963,pr_code,0))="","",INDEX(pr_rate,MATCH(B1963,pr_code,0))),""))))</f>
        <v/>
      </c>
      <c r="L1963" s="65" t="str">
        <f>IF(COUNTA(A1963:G1963)=0,"",IF(AND(ISNUMBER(D1963),ISNUMBER(J1963)),ROUND(D1963*J1963*(1-N(F1963)),2),0))</f>
        <v/>
      </c>
      <c r="M1963" s="62" t="str">
        <f>IF(A1963="","",IFERROR(INDEX(dv_cname,MATCH(A1963,dv_num,0))&amp;"",""))</f>
        <v/>
      </c>
      <c r="N1963" s="59" t="str">
        <f>IF(COUNTA(A1963:G1963)=0,"",IF(A1963="","N° devis manquant",IF(ISNA(MATCH(A1963,dv_num,0)),"Devis inconnu",IF(AND(B1963&lt;&gt;"",ISNA(MATCH(B1963,pr_code,0))),"Article inconnu",IF(H1963="","Désignation manquante",IF(OR(NOT(ISNUMBER(D1963)),N(D1963)&lt;=0),"Quantité invalide",IF(J1963="","Prix manquant",IF(OR(NOT(ISNUMBER(J1963)),N(J1963)&lt;0),"Prix invalide",IF(OR(AND(F1963&lt;&gt;"",NOT(ISNUMBER(F1963))),N(F1963)&lt;0,N(F1963)&gt;1),"Remise invalide",IF(K1963="","Taux de TVA manquant",IF(NOT(ISNUMBER(K1963)),"Taux de TVA invalide",IF(COUNTIF(p_rates,K1963)=0,"Taux de TVA hors liste (Paramètres)",IF(N(O1963)&gt;25,"Au-delà de 25 lignes : non imprimée","OK")))))))))))))</f>
        <v/>
      </c>
      <c r="O1963" s="59" t="str">
        <f>IF(A1963="","",COUNTIF($A$6:A1963,A1963))</f>
        <v/>
      </c>
      <c r="P1963" s="62" t="str">
        <f>IF(A1963="","",A1963&amp;"|"&amp;O1963)</f>
        <v/>
      </c>
    </row>
    <row r="1964">
      <c r="A1964" s="60" t="n"/>
      <c r="B1964" s="63" t="n"/>
      <c r="C1964" s="63" t="n"/>
      <c r="D1964" s="67" t="n"/>
      <c r="E1964" s="68" t="n"/>
      <c r="F1964" s="69" t="n"/>
      <c r="G1964" s="70" t="n"/>
      <c r="H1964" s="62" t="str">
        <f>IF(COUNTA(A1964:G1964)=0,"",IF(C1964&lt;&gt;"",C1964,IF(B1964="","",IFERROR(INDEX(pr_des,MATCH(B1964,pr_code,0))&amp;"",""))))</f>
        <v/>
      </c>
      <c r="I1964" s="59" t="str">
        <f>IF(B1964="","",IFERROR(INDEX(pr_unit,MATCH(B1964,pr_code,0))&amp;"",""))</f>
        <v/>
      </c>
      <c r="J1964" s="65" t="str">
        <f>IF(COUNTA(A1964:G1964)=0,"",IF(E1964&lt;&gt;"",E1964,IF(B1964="","",IFERROR(IF(INDEX(pr_price,MATCH(B1964,pr_code,0))="","",INDEX(pr_price,MATCH(B1964,pr_code,0))),""))))</f>
        <v/>
      </c>
      <c r="K1964" s="71" t="str">
        <f>IF(COUNTA(A1964:G1964)=0,"",IF(G1964&lt;&gt;"",G1964,IF(B1964="","",IFERROR(IF(INDEX(pr_rate,MATCH(B1964,pr_code,0))="","",INDEX(pr_rate,MATCH(B1964,pr_code,0))),""))))</f>
        <v/>
      </c>
      <c r="L1964" s="65" t="str">
        <f>IF(COUNTA(A1964:G1964)=0,"",IF(AND(ISNUMBER(D1964),ISNUMBER(J1964)),ROUND(D1964*J1964*(1-N(F1964)),2),0))</f>
        <v/>
      </c>
      <c r="M1964" s="62" t="str">
        <f>IF(A1964="","",IFERROR(INDEX(dv_cname,MATCH(A1964,dv_num,0))&amp;"",""))</f>
        <v/>
      </c>
      <c r="N1964" s="59" t="str">
        <f>IF(COUNTA(A1964:G1964)=0,"",IF(A1964="","N° devis manquant",IF(ISNA(MATCH(A1964,dv_num,0)),"Devis inconnu",IF(AND(B1964&lt;&gt;"",ISNA(MATCH(B1964,pr_code,0))),"Article inconnu",IF(H1964="","Désignation manquante",IF(OR(NOT(ISNUMBER(D1964)),N(D1964)&lt;=0),"Quantité invalide",IF(J1964="","Prix manquant",IF(OR(NOT(ISNUMBER(J1964)),N(J1964)&lt;0),"Prix invalide",IF(OR(AND(F1964&lt;&gt;"",NOT(ISNUMBER(F1964))),N(F1964)&lt;0,N(F1964)&gt;1),"Remise invalide",IF(K1964="","Taux de TVA manquant",IF(NOT(ISNUMBER(K1964)),"Taux de TVA invalide",IF(COUNTIF(p_rates,K1964)=0,"Taux de TVA hors liste (Paramètres)",IF(N(O1964)&gt;25,"Au-delà de 25 lignes : non imprimée","OK")))))))))))))</f>
        <v/>
      </c>
      <c r="O1964" s="59" t="str">
        <f>IF(A1964="","",COUNTIF($A$6:A1964,A1964))</f>
        <v/>
      </c>
      <c r="P1964" s="62" t="str">
        <f>IF(A1964="","",A1964&amp;"|"&amp;O1964)</f>
        <v/>
      </c>
    </row>
    <row r="1965">
      <c r="A1965" s="60" t="n"/>
      <c r="B1965" s="63" t="n"/>
      <c r="C1965" s="63" t="n"/>
      <c r="D1965" s="67" t="n"/>
      <c r="E1965" s="68" t="n"/>
      <c r="F1965" s="69" t="n"/>
      <c r="G1965" s="70" t="n"/>
      <c r="H1965" s="62" t="str">
        <f>IF(COUNTA(A1965:G1965)=0,"",IF(C1965&lt;&gt;"",C1965,IF(B1965="","",IFERROR(INDEX(pr_des,MATCH(B1965,pr_code,0))&amp;"",""))))</f>
        <v/>
      </c>
      <c r="I1965" s="59" t="str">
        <f>IF(B1965="","",IFERROR(INDEX(pr_unit,MATCH(B1965,pr_code,0))&amp;"",""))</f>
        <v/>
      </c>
      <c r="J1965" s="65" t="str">
        <f>IF(COUNTA(A1965:G1965)=0,"",IF(E1965&lt;&gt;"",E1965,IF(B1965="","",IFERROR(IF(INDEX(pr_price,MATCH(B1965,pr_code,0))="","",INDEX(pr_price,MATCH(B1965,pr_code,0))),""))))</f>
        <v/>
      </c>
      <c r="K1965" s="71" t="str">
        <f>IF(COUNTA(A1965:G1965)=0,"",IF(G1965&lt;&gt;"",G1965,IF(B1965="","",IFERROR(IF(INDEX(pr_rate,MATCH(B1965,pr_code,0))="","",INDEX(pr_rate,MATCH(B1965,pr_code,0))),""))))</f>
        <v/>
      </c>
      <c r="L1965" s="65" t="str">
        <f>IF(COUNTA(A1965:G1965)=0,"",IF(AND(ISNUMBER(D1965),ISNUMBER(J1965)),ROUND(D1965*J1965*(1-N(F1965)),2),0))</f>
        <v/>
      </c>
      <c r="M1965" s="62" t="str">
        <f>IF(A1965="","",IFERROR(INDEX(dv_cname,MATCH(A1965,dv_num,0))&amp;"",""))</f>
        <v/>
      </c>
      <c r="N1965" s="59" t="str">
        <f>IF(COUNTA(A1965:G1965)=0,"",IF(A1965="","N° devis manquant",IF(ISNA(MATCH(A1965,dv_num,0)),"Devis inconnu",IF(AND(B1965&lt;&gt;"",ISNA(MATCH(B1965,pr_code,0))),"Article inconnu",IF(H1965="","Désignation manquante",IF(OR(NOT(ISNUMBER(D1965)),N(D1965)&lt;=0),"Quantité invalide",IF(J1965="","Prix manquant",IF(OR(NOT(ISNUMBER(J1965)),N(J1965)&lt;0),"Prix invalide",IF(OR(AND(F1965&lt;&gt;"",NOT(ISNUMBER(F1965))),N(F1965)&lt;0,N(F1965)&gt;1),"Remise invalide",IF(K1965="","Taux de TVA manquant",IF(NOT(ISNUMBER(K1965)),"Taux de TVA invalide",IF(COUNTIF(p_rates,K1965)=0,"Taux de TVA hors liste (Paramètres)",IF(N(O1965)&gt;25,"Au-delà de 25 lignes : non imprimée","OK")))))))))))))</f>
        <v/>
      </c>
      <c r="O1965" s="59" t="str">
        <f>IF(A1965="","",COUNTIF($A$6:A1965,A1965))</f>
        <v/>
      </c>
      <c r="P1965" s="62" t="str">
        <f>IF(A1965="","",A1965&amp;"|"&amp;O1965)</f>
        <v/>
      </c>
    </row>
    <row r="1966">
      <c r="A1966" s="60" t="n"/>
      <c r="B1966" s="63" t="n"/>
      <c r="C1966" s="63" t="n"/>
      <c r="D1966" s="67" t="n"/>
      <c r="E1966" s="68" t="n"/>
      <c r="F1966" s="69" t="n"/>
      <c r="G1966" s="70" t="n"/>
      <c r="H1966" s="62" t="str">
        <f>IF(COUNTA(A1966:G1966)=0,"",IF(C1966&lt;&gt;"",C1966,IF(B1966="","",IFERROR(INDEX(pr_des,MATCH(B1966,pr_code,0))&amp;"",""))))</f>
        <v/>
      </c>
      <c r="I1966" s="59" t="str">
        <f>IF(B1966="","",IFERROR(INDEX(pr_unit,MATCH(B1966,pr_code,0))&amp;"",""))</f>
        <v/>
      </c>
      <c r="J1966" s="65" t="str">
        <f>IF(COUNTA(A1966:G1966)=0,"",IF(E1966&lt;&gt;"",E1966,IF(B1966="","",IFERROR(IF(INDEX(pr_price,MATCH(B1966,pr_code,0))="","",INDEX(pr_price,MATCH(B1966,pr_code,0))),""))))</f>
        <v/>
      </c>
      <c r="K1966" s="71" t="str">
        <f>IF(COUNTA(A1966:G1966)=0,"",IF(G1966&lt;&gt;"",G1966,IF(B1966="","",IFERROR(IF(INDEX(pr_rate,MATCH(B1966,pr_code,0))="","",INDEX(pr_rate,MATCH(B1966,pr_code,0))),""))))</f>
        <v/>
      </c>
      <c r="L1966" s="65" t="str">
        <f>IF(COUNTA(A1966:G1966)=0,"",IF(AND(ISNUMBER(D1966),ISNUMBER(J1966)),ROUND(D1966*J1966*(1-N(F1966)),2),0))</f>
        <v/>
      </c>
      <c r="M1966" s="62" t="str">
        <f>IF(A1966="","",IFERROR(INDEX(dv_cname,MATCH(A1966,dv_num,0))&amp;"",""))</f>
        <v/>
      </c>
      <c r="N1966" s="59" t="str">
        <f>IF(COUNTA(A1966:G1966)=0,"",IF(A1966="","N° devis manquant",IF(ISNA(MATCH(A1966,dv_num,0)),"Devis inconnu",IF(AND(B1966&lt;&gt;"",ISNA(MATCH(B1966,pr_code,0))),"Article inconnu",IF(H1966="","Désignation manquante",IF(OR(NOT(ISNUMBER(D1966)),N(D1966)&lt;=0),"Quantité invalide",IF(J1966="","Prix manquant",IF(OR(NOT(ISNUMBER(J1966)),N(J1966)&lt;0),"Prix invalide",IF(OR(AND(F1966&lt;&gt;"",NOT(ISNUMBER(F1966))),N(F1966)&lt;0,N(F1966)&gt;1),"Remise invalide",IF(K1966="","Taux de TVA manquant",IF(NOT(ISNUMBER(K1966)),"Taux de TVA invalide",IF(COUNTIF(p_rates,K1966)=0,"Taux de TVA hors liste (Paramètres)",IF(N(O1966)&gt;25,"Au-delà de 25 lignes : non imprimée","OK")))))))))))))</f>
        <v/>
      </c>
      <c r="O1966" s="59" t="str">
        <f>IF(A1966="","",COUNTIF($A$6:A1966,A1966))</f>
        <v/>
      </c>
      <c r="P1966" s="62" t="str">
        <f>IF(A1966="","",A1966&amp;"|"&amp;O1966)</f>
        <v/>
      </c>
    </row>
    <row r="1967">
      <c r="A1967" s="60" t="n"/>
      <c r="B1967" s="63" t="n"/>
      <c r="C1967" s="63" t="n"/>
      <c r="D1967" s="67" t="n"/>
      <c r="E1967" s="68" t="n"/>
      <c r="F1967" s="69" t="n"/>
      <c r="G1967" s="70" t="n"/>
      <c r="H1967" s="62" t="str">
        <f>IF(COUNTA(A1967:G1967)=0,"",IF(C1967&lt;&gt;"",C1967,IF(B1967="","",IFERROR(INDEX(pr_des,MATCH(B1967,pr_code,0))&amp;"",""))))</f>
        <v/>
      </c>
      <c r="I1967" s="59" t="str">
        <f>IF(B1967="","",IFERROR(INDEX(pr_unit,MATCH(B1967,pr_code,0))&amp;"",""))</f>
        <v/>
      </c>
      <c r="J1967" s="65" t="str">
        <f>IF(COUNTA(A1967:G1967)=0,"",IF(E1967&lt;&gt;"",E1967,IF(B1967="","",IFERROR(IF(INDEX(pr_price,MATCH(B1967,pr_code,0))="","",INDEX(pr_price,MATCH(B1967,pr_code,0))),""))))</f>
        <v/>
      </c>
      <c r="K1967" s="71" t="str">
        <f>IF(COUNTA(A1967:G1967)=0,"",IF(G1967&lt;&gt;"",G1967,IF(B1967="","",IFERROR(IF(INDEX(pr_rate,MATCH(B1967,pr_code,0))="","",INDEX(pr_rate,MATCH(B1967,pr_code,0))),""))))</f>
        <v/>
      </c>
      <c r="L1967" s="65" t="str">
        <f>IF(COUNTA(A1967:G1967)=0,"",IF(AND(ISNUMBER(D1967),ISNUMBER(J1967)),ROUND(D1967*J1967*(1-N(F1967)),2),0))</f>
        <v/>
      </c>
      <c r="M1967" s="62" t="str">
        <f>IF(A1967="","",IFERROR(INDEX(dv_cname,MATCH(A1967,dv_num,0))&amp;"",""))</f>
        <v/>
      </c>
      <c r="N1967" s="59" t="str">
        <f>IF(COUNTA(A1967:G1967)=0,"",IF(A1967="","N° devis manquant",IF(ISNA(MATCH(A1967,dv_num,0)),"Devis inconnu",IF(AND(B1967&lt;&gt;"",ISNA(MATCH(B1967,pr_code,0))),"Article inconnu",IF(H1967="","Désignation manquante",IF(OR(NOT(ISNUMBER(D1967)),N(D1967)&lt;=0),"Quantité invalide",IF(J1967="","Prix manquant",IF(OR(NOT(ISNUMBER(J1967)),N(J1967)&lt;0),"Prix invalide",IF(OR(AND(F1967&lt;&gt;"",NOT(ISNUMBER(F1967))),N(F1967)&lt;0,N(F1967)&gt;1),"Remise invalide",IF(K1967="","Taux de TVA manquant",IF(NOT(ISNUMBER(K1967)),"Taux de TVA invalide",IF(COUNTIF(p_rates,K1967)=0,"Taux de TVA hors liste (Paramètres)",IF(N(O1967)&gt;25,"Au-delà de 25 lignes : non imprimée","OK")))))))))))))</f>
        <v/>
      </c>
      <c r="O1967" s="59" t="str">
        <f>IF(A1967="","",COUNTIF($A$6:A1967,A1967))</f>
        <v/>
      </c>
      <c r="P1967" s="62" t="str">
        <f>IF(A1967="","",A1967&amp;"|"&amp;O1967)</f>
        <v/>
      </c>
    </row>
    <row r="1968">
      <c r="A1968" s="60" t="n"/>
      <c r="B1968" s="63" t="n"/>
      <c r="C1968" s="63" t="n"/>
      <c r="D1968" s="67" t="n"/>
      <c r="E1968" s="68" t="n"/>
      <c r="F1968" s="69" t="n"/>
      <c r="G1968" s="70" t="n"/>
      <c r="H1968" s="62" t="str">
        <f>IF(COUNTA(A1968:G1968)=0,"",IF(C1968&lt;&gt;"",C1968,IF(B1968="","",IFERROR(INDEX(pr_des,MATCH(B1968,pr_code,0))&amp;"",""))))</f>
        <v/>
      </c>
      <c r="I1968" s="59" t="str">
        <f>IF(B1968="","",IFERROR(INDEX(pr_unit,MATCH(B1968,pr_code,0))&amp;"",""))</f>
        <v/>
      </c>
      <c r="J1968" s="65" t="str">
        <f>IF(COUNTA(A1968:G1968)=0,"",IF(E1968&lt;&gt;"",E1968,IF(B1968="","",IFERROR(IF(INDEX(pr_price,MATCH(B1968,pr_code,0))="","",INDEX(pr_price,MATCH(B1968,pr_code,0))),""))))</f>
        <v/>
      </c>
      <c r="K1968" s="71" t="str">
        <f>IF(COUNTA(A1968:G1968)=0,"",IF(G1968&lt;&gt;"",G1968,IF(B1968="","",IFERROR(IF(INDEX(pr_rate,MATCH(B1968,pr_code,0))="","",INDEX(pr_rate,MATCH(B1968,pr_code,0))),""))))</f>
        <v/>
      </c>
      <c r="L1968" s="65" t="str">
        <f>IF(COUNTA(A1968:G1968)=0,"",IF(AND(ISNUMBER(D1968),ISNUMBER(J1968)),ROUND(D1968*J1968*(1-N(F1968)),2),0))</f>
        <v/>
      </c>
      <c r="M1968" s="62" t="str">
        <f>IF(A1968="","",IFERROR(INDEX(dv_cname,MATCH(A1968,dv_num,0))&amp;"",""))</f>
        <v/>
      </c>
      <c r="N1968" s="59" t="str">
        <f>IF(COUNTA(A1968:G1968)=0,"",IF(A1968="","N° devis manquant",IF(ISNA(MATCH(A1968,dv_num,0)),"Devis inconnu",IF(AND(B1968&lt;&gt;"",ISNA(MATCH(B1968,pr_code,0))),"Article inconnu",IF(H1968="","Désignation manquante",IF(OR(NOT(ISNUMBER(D1968)),N(D1968)&lt;=0),"Quantité invalide",IF(J1968="","Prix manquant",IF(OR(NOT(ISNUMBER(J1968)),N(J1968)&lt;0),"Prix invalide",IF(OR(AND(F1968&lt;&gt;"",NOT(ISNUMBER(F1968))),N(F1968)&lt;0,N(F1968)&gt;1),"Remise invalide",IF(K1968="","Taux de TVA manquant",IF(NOT(ISNUMBER(K1968)),"Taux de TVA invalide",IF(COUNTIF(p_rates,K1968)=0,"Taux de TVA hors liste (Paramètres)",IF(N(O1968)&gt;25,"Au-delà de 25 lignes : non imprimée","OK")))))))))))))</f>
        <v/>
      </c>
      <c r="O1968" s="59" t="str">
        <f>IF(A1968="","",COUNTIF($A$6:A1968,A1968))</f>
        <v/>
      </c>
      <c r="P1968" s="62" t="str">
        <f>IF(A1968="","",A1968&amp;"|"&amp;O1968)</f>
        <v/>
      </c>
    </row>
    <row r="1969">
      <c r="A1969" s="60" t="n"/>
      <c r="B1969" s="63" t="n"/>
      <c r="C1969" s="63" t="n"/>
      <c r="D1969" s="67" t="n"/>
      <c r="E1969" s="68" t="n"/>
      <c r="F1969" s="69" t="n"/>
      <c r="G1969" s="70" t="n"/>
      <c r="H1969" s="62" t="str">
        <f>IF(COUNTA(A1969:G1969)=0,"",IF(C1969&lt;&gt;"",C1969,IF(B1969="","",IFERROR(INDEX(pr_des,MATCH(B1969,pr_code,0))&amp;"",""))))</f>
        <v/>
      </c>
      <c r="I1969" s="59" t="str">
        <f>IF(B1969="","",IFERROR(INDEX(pr_unit,MATCH(B1969,pr_code,0))&amp;"",""))</f>
        <v/>
      </c>
      <c r="J1969" s="65" t="str">
        <f>IF(COUNTA(A1969:G1969)=0,"",IF(E1969&lt;&gt;"",E1969,IF(B1969="","",IFERROR(IF(INDEX(pr_price,MATCH(B1969,pr_code,0))="","",INDEX(pr_price,MATCH(B1969,pr_code,0))),""))))</f>
        <v/>
      </c>
      <c r="K1969" s="71" t="str">
        <f>IF(COUNTA(A1969:G1969)=0,"",IF(G1969&lt;&gt;"",G1969,IF(B1969="","",IFERROR(IF(INDEX(pr_rate,MATCH(B1969,pr_code,0))="","",INDEX(pr_rate,MATCH(B1969,pr_code,0))),""))))</f>
        <v/>
      </c>
      <c r="L1969" s="65" t="str">
        <f>IF(COUNTA(A1969:G1969)=0,"",IF(AND(ISNUMBER(D1969),ISNUMBER(J1969)),ROUND(D1969*J1969*(1-N(F1969)),2),0))</f>
        <v/>
      </c>
      <c r="M1969" s="62" t="str">
        <f>IF(A1969="","",IFERROR(INDEX(dv_cname,MATCH(A1969,dv_num,0))&amp;"",""))</f>
        <v/>
      </c>
      <c r="N1969" s="59" t="str">
        <f>IF(COUNTA(A1969:G1969)=0,"",IF(A1969="","N° devis manquant",IF(ISNA(MATCH(A1969,dv_num,0)),"Devis inconnu",IF(AND(B1969&lt;&gt;"",ISNA(MATCH(B1969,pr_code,0))),"Article inconnu",IF(H1969="","Désignation manquante",IF(OR(NOT(ISNUMBER(D1969)),N(D1969)&lt;=0),"Quantité invalide",IF(J1969="","Prix manquant",IF(OR(NOT(ISNUMBER(J1969)),N(J1969)&lt;0),"Prix invalide",IF(OR(AND(F1969&lt;&gt;"",NOT(ISNUMBER(F1969))),N(F1969)&lt;0,N(F1969)&gt;1),"Remise invalide",IF(K1969="","Taux de TVA manquant",IF(NOT(ISNUMBER(K1969)),"Taux de TVA invalide",IF(COUNTIF(p_rates,K1969)=0,"Taux de TVA hors liste (Paramètres)",IF(N(O1969)&gt;25,"Au-delà de 25 lignes : non imprimée","OK")))))))))))))</f>
        <v/>
      </c>
      <c r="O1969" s="59" t="str">
        <f>IF(A1969="","",COUNTIF($A$6:A1969,A1969))</f>
        <v/>
      </c>
      <c r="P1969" s="62" t="str">
        <f>IF(A1969="","",A1969&amp;"|"&amp;O1969)</f>
        <v/>
      </c>
    </row>
    <row r="1970">
      <c r="A1970" s="60" t="n"/>
      <c r="B1970" s="63" t="n"/>
      <c r="C1970" s="63" t="n"/>
      <c r="D1970" s="67" t="n"/>
      <c r="E1970" s="68" t="n"/>
      <c r="F1970" s="69" t="n"/>
      <c r="G1970" s="70" t="n"/>
      <c r="H1970" s="62" t="str">
        <f>IF(COUNTA(A1970:G1970)=0,"",IF(C1970&lt;&gt;"",C1970,IF(B1970="","",IFERROR(INDEX(pr_des,MATCH(B1970,pr_code,0))&amp;"",""))))</f>
        <v/>
      </c>
      <c r="I1970" s="59" t="str">
        <f>IF(B1970="","",IFERROR(INDEX(pr_unit,MATCH(B1970,pr_code,0))&amp;"",""))</f>
        <v/>
      </c>
      <c r="J1970" s="65" t="str">
        <f>IF(COUNTA(A1970:G1970)=0,"",IF(E1970&lt;&gt;"",E1970,IF(B1970="","",IFERROR(IF(INDEX(pr_price,MATCH(B1970,pr_code,0))="","",INDEX(pr_price,MATCH(B1970,pr_code,0))),""))))</f>
        <v/>
      </c>
      <c r="K1970" s="71" t="str">
        <f>IF(COUNTA(A1970:G1970)=0,"",IF(G1970&lt;&gt;"",G1970,IF(B1970="","",IFERROR(IF(INDEX(pr_rate,MATCH(B1970,pr_code,0))="","",INDEX(pr_rate,MATCH(B1970,pr_code,0))),""))))</f>
        <v/>
      </c>
      <c r="L1970" s="65" t="str">
        <f>IF(COUNTA(A1970:G1970)=0,"",IF(AND(ISNUMBER(D1970),ISNUMBER(J1970)),ROUND(D1970*J1970*(1-N(F1970)),2),0))</f>
        <v/>
      </c>
      <c r="M1970" s="62" t="str">
        <f>IF(A1970="","",IFERROR(INDEX(dv_cname,MATCH(A1970,dv_num,0))&amp;"",""))</f>
        <v/>
      </c>
      <c r="N1970" s="59" t="str">
        <f>IF(COUNTA(A1970:G1970)=0,"",IF(A1970="","N° devis manquant",IF(ISNA(MATCH(A1970,dv_num,0)),"Devis inconnu",IF(AND(B1970&lt;&gt;"",ISNA(MATCH(B1970,pr_code,0))),"Article inconnu",IF(H1970="","Désignation manquante",IF(OR(NOT(ISNUMBER(D1970)),N(D1970)&lt;=0),"Quantité invalide",IF(J1970="","Prix manquant",IF(OR(NOT(ISNUMBER(J1970)),N(J1970)&lt;0),"Prix invalide",IF(OR(AND(F1970&lt;&gt;"",NOT(ISNUMBER(F1970))),N(F1970)&lt;0,N(F1970)&gt;1),"Remise invalide",IF(K1970="","Taux de TVA manquant",IF(NOT(ISNUMBER(K1970)),"Taux de TVA invalide",IF(COUNTIF(p_rates,K1970)=0,"Taux de TVA hors liste (Paramètres)",IF(N(O1970)&gt;25,"Au-delà de 25 lignes : non imprimée","OK")))))))))))))</f>
        <v/>
      </c>
      <c r="O1970" s="59" t="str">
        <f>IF(A1970="","",COUNTIF($A$6:A1970,A1970))</f>
        <v/>
      </c>
      <c r="P1970" s="62" t="str">
        <f>IF(A1970="","",A1970&amp;"|"&amp;O1970)</f>
        <v/>
      </c>
    </row>
    <row r="1971">
      <c r="A1971" s="60" t="n"/>
      <c r="B1971" s="63" t="n"/>
      <c r="C1971" s="63" t="n"/>
      <c r="D1971" s="67" t="n"/>
      <c r="E1971" s="68" t="n"/>
      <c r="F1971" s="69" t="n"/>
      <c r="G1971" s="70" t="n"/>
      <c r="H1971" s="62" t="str">
        <f>IF(COUNTA(A1971:G1971)=0,"",IF(C1971&lt;&gt;"",C1971,IF(B1971="","",IFERROR(INDEX(pr_des,MATCH(B1971,pr_code,0))&amp;"",""))))</f>
        <v/>
      </c>
      <c r="I1971" s="59" t="str">
        <f>IF(B1971="","",IFERROR(INDEX(pr_unit,MATCH(B1971,pr_code,0))&amp;"",""))</f>
        <v/>
      </c>
      <c r="J1971" s="65" t="str">
        <f>IF(COUNTA(A1971:G1971)=0,"",IF(E1971&lt;&gt;"",E1971,IF(B1971="","",IFERROR(IF(INDEX(pr_price,MATCH(B1971,pr_code,0))="","",INDEX(pr_price,MATCH(B1971,pr_code,0))),""))))</f>
        <v/>
      </c>
      <c r="K1971" s="71" t="str">
        <f>IF(COUNTA(A1971:G1971)=0,"",IF(G1971&lt;&gt;"",G1971,IF(B1971="","",IFERROR(IF(INDEX(pr_rate,MATCH(B1971,pr_code,0))="","",INDEX(pr_rate,MATCH(B1971,pr_code,0))),""))))</f>
        <v/>
      </c>
      <c r="L1971" s="65" t="str">
        <f>IF(COUNTA(A1971:G1971)=0,"",IF(AND(ISNUMBER(D1971),ISNUMBER(J1971)),ROUND(D1971*J1971*(1-N(F1971)),2),0))</f>
        <v/>
      </c>
      <c r="M1971" s="62" t="str">
        <f>IF(A1971="","",IFERROR(INDEX(dv_cname,MATCH(A1971,dv_num,0))&amp;"",""))</f>
        <v/>
      </c>
      <c r="N1971" s="59" t="str">
        <f>IF(COUNTA(A1971:G1971)=0,"",IF(A1971="","N° devis manquant",IF(ISNA(MATCH(A1971,dv_num,0)),"Devis inconnu",IF(AND(B1971&lt;&gt;"",ISNA(MATCH(B1971,pr_code,0))),"Article inconnu",IF(H1971="","Désignation manquante",IF(OR(NOT(ISNUMBER(D1971)),N(D1971)&lt;=0),"Quantité invalide",IF(J1971="","Prix manquant",IF(OR(NOT(ISNUMBER(J1971)),N(J1971)&lt;0),"Prix invalide",IF(OR(AND(F1971&lt;&gt;"",NOT(ISNUMBER(F1971))),N(F1971)&lt;0,N(F1971)&gt;1),"Remise invalide",IF(K1971="","Taux de TVA manquant",IF(NOT(ISNUMBER(K1971)),"Taux de TVA invalide",IF(COUNTIF(p_rates,K1971)=0,"Taux de TVA hors liste (Paramètres)",IF(N(O1971)&gt;25,"Au-delà de 25 lignes : non imprimée","OK")))))))))))))</f>
        <v/>
      </c>
      <c r="O1971" s="59" t="str">
        <f>IF(A1971="","",COUNTIF($A$6:A1971,A1971))</f>
        <v/>
      </c>
      <c r="P1971" s="62" t="str">
        <f>IF(A1971="","",A1971&amp;"|"&amp;O1971)</f>
        <v/>
      </c>
    </row>
    <row r="1972">
      <c r="A1972" s="60" t="n"/>
      <c r="B1972" s="63" t="n"/>
      <c r="C1972" s="63" t="n"/>
      <c r="D1972" s="67" t="n"/>
      <c r="E1972" s="68" t="n"/>
      <c r="F1972" s="69" t="n"/>
      <c r="G1972" s="70" t="n"/>
      <c r="H1972" s="62" t="str">
        <f>IF(COUNTA(A1972:G1972)=0,"",IF(C1972&lt;&gt;"",C1972,IF(B1972="","",IFERROR(INDEX(pr_des,MATCH(B1972,pr_code,0))&amp;"",""))))</f>
        <v/>
      </c>
      <c r="I1972" s="59" t="str">
        <f>IF(B1972="","",IFERROR(INDEX(pr_unit,MATCH(B1972,pr_code,0))&amp;"",""))</f>
        <v/>
      </c>
      <c r="J1972" s="65" t="str">
        <f>IF(COUNTA(A1972:G1972)=0,"",IF(E1972&lt;&gt;"",E1972,IF(B1972="","",IFERROR(IF(INDEX(pr_price,MATCH(B1972,pr_code,0))="","",INDEX(pr_price,MATCH(B1972,pr_code,0))),""))))</f>
        <v/>
      </c>
      <c r="K1972" s="71" t="str">
        <f>IF(COUNTA(A1972:G1972)=0,"",IF(G1972&lt;&gt;"",G1972,IF(B1972="","",IFERROR(IF(INDEX(pr_rate,MATCH(B1972,pr_code,0))="","",INDEX(pr_rate,MATCH(B1972,pr_code,0))),""))))</f>
        <v/>
      </c>
      <c r="L1972" s="65" t="str">
        <f>IF(COUNTA(A1972:G1972)=0,"",IF(AND(ISNUMBER(D1972),ISNUMBER(J1972)),ROUND(D1972*J1972*(1-N(F1972)),2),0))</f>
        <v/>
      </c>
      <c r="M1972" s="62" t="str">
        <f>IF(A1972="","",IFERROR(INDEX(dv_cname,MATCH(A1972,dv_num,0))&amp;"",""))</f>
        <v/>
      </c>
      <c r="N1972" s="59" t="str">
        <f>IF(COUNTA(A1972:G1972)=0,"",IF(A1972="","N° devis manquant",IF(ISNA(MATCH(A1972,dv_num,0)),"Devis inconnu",IF(AND(B1972&lt;&gt;"",ISNA(MATCH(B1972,pr_code,0))),"Article inconnu",IF(H1972="","Désignation manquante",IF(OR(NOT(ISNUMBER(D1972)),N(D1972)&lt;=0),"Quantité invalide",IF(J1972="","Prix manquant",IF(OR(NOT(ISNUMBER(J1972)),N(J1972)&lt;0),"Prix invalide",IF(OR(AND(F1972&lt;&gt;"",NOT(ISNUMBER(F1972))),N(F1972)&lt;0,N(F1972)&gt;1),"Remise invalide",IF(K1972="","Taux de TVA manquant",IF(NOT(ISNUMBER(K1972)),"Taux de TVA invalide",IF(COUNTIF(p_rates,K1972)=0,"Taux de TVA hors liste (Paramètres)",IF(N(O1972)&gt;25,"Au-delà de 25 lignes : non imprimée","OK")))))))))))))</f>
        <v/>
      </c>
      <c r="O1972" s="59" t="str">
        <f>IF(A1972="","",COUNTIF($A$6:A1972,A1972))</f>
        <v/>
      </c>
      <c r="P1972" s="62" t="str">
        <f>IF(A1972="","",A1972&amp;"|"&amp;O1972)</f>
        <v/>
      </c>
    </row>
    <row r="1973">
      <c r="A1973" s="60" t="n"/>
      <c r="B1973" s="63" t="n"/>
      <c r="C1973" s="63" t="n"/>
      <c r="D1973" s="67" t="n"/>
      <c r="E1973" s="68" t="n"/>
      <c r="F1973" s="69" t="n"/>
      <c r="G1973" s="70" t="n"/>
      <c r="H1973" s="62" t="str">
        <f>IF(COUNTA(A1973:G1973)=0,"",IF(C1973&lt;&gt;"",C1973,IF(B1973="","",IFERROR(INDEX(pr_des,MATCH(B1973,pr_code,0))&amp;"",""))))</f>
        <v/>
      </c>
      <c r="I1973" s="59" t="str">
        <f>IF(B1973="","",IFERROR(INDEX(pr_unit,MATCH(B1973,pr_code,0))&amp;"",""))</f>
        <v/>
      </c>
      <c r="J1973" s="65" t="str">
        <f>IF(COUNTA(A1973:G1973)=0,"",IF(E1973&lt;&gt;"",E1973,IF(B1973="","",IFERROR(IF(INDEX(pr_price,MATCH(B1973,pr_code,0))="","",INDEX(pr_price,MATCH(B1973,pr_code,0))),""))))</f>
        <v/>
      </c>
      <c r="K1973" s="71" t="str">
        <f>IF(COUNTA(A1973:G1973)=0,"",IF(G1973&lt;&gt;"",G1973,IF(B1973="","",IFERROR(IF(INDEX(pr_rate,MATCH(B1973,pr_code,0))="","",INDEX(pr_rate,MATCH(B1973,pr_code,0))),""))))</f>
        <v/>
      </c>
      <c r="L1973" s="65" t="str">
        <f>IF(COUNTA(A1973:G1973)=0,"",IF(AND(ISNUMBER(D1973),ISNUMBER(J1973)),ROUND(D1973*J1973*(1-N(F1973)),2),0))</f>
        <v/>
      </c>
      <c r="M1973" s="62" t="str">
        <f>IF(A1973="","",IFERROR(INDEX(dv_cname,MATCH(A1973,dv_num,0))&amp;"",""))</f>
        <v/>
      </c>
      <c r="N1973" s="59" t="str">
        <f>IF(COUNTA(A1973:G1973)=0,"",IF(A1973="","N° devis manquant",IF(ISNA(MATCH(A1973,dv_num,0)),"Devis inconnu",IF(AND(B1973&lt;&gt;"",ISNA(MATCH(B1973,pr_code,0))),"Article inconnu",IF(H1973="","Désignation manquante",IF(OR(NOT(ISNUMBER(D1973)),N(D1973)&lt;=0),"Quantité invalide",IF(J1973="","Prix manquant",IF(OR(NOT(ISNUMBER(J1973)),N(J1973)&lt;0),"Prix invalide",IF(OR(AND(F1973&lt;&gt;"",NOT(ISNUMBER(F1973))),N(F1973)&lt;0,N(F1973)&gt;1),"Remise invalide",IF(K1973="","Taux de TVA manquant",IF(NOT(ISNUMBER(K1973)),"Taux de TVA invalide",IF(COUNTIF(p_rates,K1973)=0,"Taux de TVA hors liste (Paramètres)",IF(N(O1973)&gt;25,"Au-delà de 25 lignes : non imprimée","OK")))))))))))))</f>
        <v/>
      </c>
      <c r="O1973" s="59" t="str">
        <f>IF(A1973="","",COUNTIF($A$6:A1973,A1973))</f>
        <v/>
      </c>
      <c r="P1973" s="62" t="str">
        <f>IF(A1973="","",A1973&amp;"|"&amp;O1973)</f>
        <v/>
      </c>
    </row>
    <row r="1974">
      <c r="A1974" s="60" t="n"/>
      <c r="B1974" s="63" t="n"/>
      <c r="C1974" s="63" t="n"/>
      <c r="D1974" s="67" t="n"/>
      <c r="E1974" s="68" t="n"/>
      <c r="F1974" s="69" t="n"/>
      <c r="G1974" s="70" t="n"/>
      <c r="H1974" s="62" t="str">
        <f>IF(COUNTA(A1974:G1974)=0,"",IF(C1974&lt;&gt;"",C1974,IF(B1974="","",IFERROR(INDEX(pr_des,MATCH(B1974,pr_code,0))&amp;"",""))))</f>
        <v/>
      </c>
      <c r="I1974" s="59" t="str">
        <f>IF(B1974="","",IFERROR(INDEX(pr_unit,MATCH(B1974,pr_code,0))&amp;"",""))</f>
        <v/>
      </c>
      <c r="J1974" s="65" t="str">
        <f>IF(COUNTA(A1974:G1974)=0,"",IF(E1974&lt;&gt;"",E1974,IF(B1974="","",IFERROR(IF(INDEX(pr_price,MATCH(B1974,pr_code,0))="","",INDEX(pr_price,MATCH(B1974,pr_code,0))),""))))</f>
        <v/>
      </c>
      <c r="K1974" s="71" t="str">
        <f>IF(COUNTA(A1974:G1974)=0,"",IF(G1974&lt;&gt;"",G1974,IF(B1974="","",IFERROR(IF(INDEX(pr_rate,MATCH(B1974,pr_code,0))="","",INDEX(pr_rate,MATCH(B1974,pr_code,0))),""))))</f>
        <v/>
      </c>
      <c r="L1974" s="65" t="str">
        <f>IF(COUNTA(A1974:G1974)=0,"",IF(AND(ISNUMBER(D1974),ISNUMBER(J1974)),ROUND(D1974*J1974*(1-N(F1974)),2),0))</f>
        <v/>
      </c>
      <c r="M1974" s="62" t="str">
        <f>IF(A1974="","",IFERROR(INDEX(dv_cname,MATCH(A1974,dv_num,0))&amp;"",""))</f>
        <v/>
      </c>
      <c r="N1974" s="59" t="str">
        <f>IF(COUNTA(A1974:G1974)=0,"",IF(A1974="","N° devis manquant",IF(ISNA(MATCH(A1974,dv_num,0)),"Devis inconnu",IF(AND(B1974&lt;&gt;"",ISNA(MATCH(B1974,pr_code,0))),"Article inconnu",IF(H1974="","Désignation manquante",IF(OR(NOT(ISNUMBER(D1974)),N(D1974)&lt;=0),"Quantité invalide",IF(J1974="","Prix manquant",IF(OR(NOT(ISNUMBER(J1974)),N(J1974)&lt;0),"Prix invalide",IF(OR(AND(F1974&lt;&gt;"",NOT(ISNUMBER(F1974))),N(F1974)&lt;0,N(F1974)&gt;1),"Remise invalide",IF(K1974="","Taux de TVA manquant",IF(NOT(ISNUMBER(K1974)),"Taux de TVA invalide",IF(COUNTIF(p_rates,K1974)=0,"Taux de TVA hors liste (Paramètres)",IF(N(O1974)&gt;25,"Au-delà de 25 lignes : non imprimée","OK")))))))))))))</f>
        <v/>
      </c>
      <c r="O1974" s="59" t="str">
        <f>IF(A1974="","",COUNTIF($A$6:A1974,A1974))</f>
        <v/>
      </c>
      <c r="P1974" s="62" t="str">
        <f>IF(A1974="","",A1974&amp;"|"&amp;O1974)</f>
        <v/>
      </c>
    </row>
    <row r="1975">
      <c r="A1975" s="60" t="n"/>
      <c r="B1975" s="63" t="n"/>
      <c r="C1975" s="63" t="n"/>
      <c r="D1975" s="67" t="n"/>
      <c r="E1975" s="68" t="n"/>
      <c r="F1975" s="69" t="n"/>
      <c r="G1975" s="70" t="n"/>
      <c r="H1975" s="62" t="str">
        <f>IF(COUNTA(A1975:G1975)=0,"",IF(C1975&lt;&gt;"",C1975,IF(B1975="","",IFERROR(INDEX(pr_des,MATCH(B1975,pr_code,0))&amp;"",""))))</f>
        <v/>
      </c>
      <c r="I1975" s="59" t="str">
        <f>IF(B1975="","",IFERROR(INDEX(pr_unit,MATCH(B1975,pr_code,0))&amp;"",""))</f>
        <v/>
      </c>
      <c r="J1975" s="65" t="str">
        <f>IF(COUNTA(A1975:G1975)=0,"",IF(E1975&lt;&gt;"",E1975,IF(B1975="","",IFERROR(IF(INDEX(pr_price,MATCH(B1975,pr_code,0))="","",INDEX(pr_price,MATCH(B1975,pr_code,0))),""))))</f>
        <v/>
      </c>
      <c r="K1975" s="71" t="str">
        <f>IF(COUNTA(A1975:G1975)=0,"",IF(G1975&lt;&gt;"",G1975,IF(B1975="","",IFERROR(IF(INDEX(pr_rate,MATCH(B1975,pr_code,0))="","",INDEX(pr_rate,MATCH(B1975,pr_code,0))),""))))</f>
        <v/>
      </c>
      <c r="L1975" s="65" t="str">
        <f>IF(COUNTA(A1975:G1975)=0,"",IF(AND(ISNUMBER(D1975),ISNUMBER(J1975)),ROUND(D1975*J1975*(1-N(F1975)),2),0))</f>
        <v/>
      </c>
      <c r="M1975" s="62" t="str">
        <f>IF(A1975="","",IFERROR(INDEX(dv_cname,MATCH(A1975,dv_num,0))&amp;"",""))</f>
        <v/>
      </c>
      <c r="N1975" s="59" t="str">
        <f>IF(COUNTA(A1975:G1975)=0,"",IF(A1975="","N° devis manquant",IF(ISNA(MATCH(A1975,dv_num,0)),"Devis inconnu",IF(AND(B1975&lt;&gt;"",ISNA(MATCH(B1975,pr_code,0))),"Article inconnu",IF(H1975="","Désignation manquante",IF(OR(NOT(ISNUMBER(D1975)),N(D1975)&lt;=0),"Quantité invalide",IF(J1975="","Prix manquant",IF(OR(NOT(ISNUMBER(J1975)),N(J1975)&lt;0),"Prix invalide",IF(OR(AND(F1975&lt;&gt;"",NOT(ISNUMBER(F1975))),N(F1975)&lt;0,N(F1975)&gt;1),"Remise invalide",IF(K1975="","Taux de TVA manquant",IF(NOT(ISNUMBER(K1975)),"Taux de TVA invalide",IF(COUNTIF(p_rates,K1975)=0,"Taux de TVA hors liste (Paramètres)",IF(N(O1975)&gt;25,"Au-delà de 25 lignes : non imprimée","OK")))))))))))))</f>
        <v/>
      </c>
      <c r="O1975" s="59" t="str">
        <f>IF(A1975="","",COUNTIF($A$6:A1975,A1975))</f>
        <v/>
      </c>
      <c r="P1975" s="62" t="str">
        <f>IF(A1975="","",A1975&amp;"|"&amp;O1975)</f>
        <v/>
      </c>
    </row>
    <row r="1976">
      <c r="A1976" s="60" t="n"/>
      <c r="B1976" s="63" t="n"/>
      <c r="C1976" s="63" t="n"/>
      <c r="D1976" s="67" t="n"/>
      <c r="E1976" s="68" t="n"/>
      <c r="F1976" s="69" t="n"/>
      <c r="G1976" s="70" t="n"/>
      <c r="H1976" s="62" t="str">
        <f>IF(COUNTA(A1976:G1976)=0,"",IF(C1976&lt;&gt;"",C1976,IF(B1976="","",IFERROR(INDEX(pr_des,MATCH(B1976,pr_code,0))&amp;"",""))))</f>
        <v/>
      </c>
      <c r="I1976" s="59" t="str">
        <f>IF(B1976="","",IFERROR(INDEX(pr_unit,MATCH(B1976,pr_code,0))&amp;"",""))</f>
        <v/>
      </c>
      <c r="J1976" s="65" t="str">
        <f>IF(COUNTA(A1976:G1976)=0,"",IF(E1976&lt;&gt;"",E1976,IF(B1976="","",IFERROR(IF(INDEX(pr_price,MATCH(B1976,pr_code,0))="","",INDEX(pr_price,MATCH(B1976,pr_code,0))),""))))</f>
        <v/>
      </c>
      <c r="K1976" s="71" t="str">
        <f>IF(COUNTA(A1976:G1976)=0,"",IF(G1976&lt;&gt;"",G1976,IF(B1976="","",IFERROR(IF(INDEX(pr_rate,MATCH(B1976,pr_code,0))="","",INDEX(pr_rate,MATCH(B1976,pr_code,0))),""))))</f>
        <v/>
      </c>
      <c r="L1976" s="65" t="str">
        <f>IF(COUNTA(A1976:G1976)=0,"",IF(AND(ISNUMBER(D1976),ISNUMBER(J1976)),ROUND(D1976*J1976*(1-N(F1976)),2),0))</f>
        <v/>
      </c>
      <c r="M1976" s="62" t="str">
        <f>IF(A1976="","",IFERROR(INDEX(dv_cname,MATCH(A1976,dv_num,0))&amp;"",""))</f>
        <v/>
      </c>
      <c r="N1976" s="59" t="str">
        <f>IF(COUNTA(A1976:G1976)=0,"",IF(A1976="","N° devis manquant",IF(ISNA(MATCH(A1976,dv_num,0)),"Devis inconnu",IF(AND(B1976&lt;&gt;"",ISNA(MATCH(B1976,pr_code,0))),"Article inconnu",IF(H1976="","Désignation manquante",IF(OR(NOT(ISNUMBER(D1976)),N(D1976)&lt;=0),"Quantité invalide",IF(J1976="","Prix manquant",IF(OR(NOT(ISNUMBER(J1976)),N(J1976)&lt;0),"Prix invalide",IF(OR(AND(F1976&lt;&gt;"",NOT(ISNUMBER(F1976))),N(F1976)&lt;0,N(F1976)&gt;1),"Remise invalide",IF(K1976="","Taux de TVA manquant",IF(NOT(ISNUMBER(K1976)),"Taux de TVA invalide",IF(COUNTIF(p_rates,K1976)=0,"Taux de TVA hors liste (Paramètres)",IF(N(O1976)&gt;25,"Au-delà de 25 lignes : non imprimée","OK")))))))))))))</f>
        <v/>
      </c>
      <c r="O1976" s="59" t="str">
        <f>IF(A1976="","",COUNTIF($A$6:A1976,A1976))</f>
        <v/>
      </c>
      <c r="P1976" s="62" t="str">
        <f>IF(A1976="","",A1976&amp;"|"&amp;O1976)</f>
        <v/>
      </c>
    </row>
    <row r="1977">
      <c r="A1977" s="60" t="n"/>
      <c r="B1977" s="63" t="n"/>
      <c r="C1977" s="63" t="n"/>
      <c r="D1977" s="67" t="n"/>
      <c r="E1977" s="68" t="n"/>
      <c r="F1977" s="69" t="n"/>
      <c r="G1977" s="70" t="n"/>
      <c r="H1977" s="62" t="str">
        <f>IF(COUNTA(A1977:G1977)=0,"",IF(C1977&lt;&gt;"",C1977,IF(B1977="","",IFERROR(INDEX(pr_des,MATCH(B1977,pr_code,0))&amp;"",""))))</f>
        <v/>
      </c>
      <c r="I1977" s="59" t="str">
        <f>IF(B1977="","",IFERROR(INDEX(pr_unit,MATCH(B1977,pr_code,0))&amp;"",""))</f>
        <v/>
      </c>
      <c r="J1977" s="65" t="str">
        <f>IF(COUNTA(A1977:G1977)=0,"",IF(E1977&lt;&gt;"",E1977,IF(B1977="","",IFERROR(IF(INDEX(pr_price,MATCH(B1977,pr_code,0))="","",INDEX(pr_price,MATCH(B1977,pr_code,0))),""))))</f>
        <v/>
      </c>
      <c r="K1977" s="71" t="str">
        <f>IF(COUNTA(A1977:G1977)=0,"",IF(G1977&lt;&gt;"",G1977,IF(B1977="","",IFERROR(IF(INDEX(pr_rate,MATCH(B1977,pr_code,0))="","",INDEX(pr_rate,MATCH(B1977,pr_code,0))),""))))</f>
        <v/>
      </c>
      <c r="L1977" s="65" t="str">
        <f>IF(COUNTA(A1977:G1977)=0,"",IF(AND(ISNUMBER(D1977),ISNUMBER(J1977)),ROUND(D1977*J1977*(1-N(F1977)),2),0))</f>
        <v/>
      </c>
      <c r="M1977" s="62" t="str">
        <f>IF(A1977="","",IFERROR(INDEX(dv_cname,MATCH(A1977,dv_num,0))&amp;"",""))</f>
        <v/>
      </c>
      <c r="N1977" s="59" t="str">
        <f>IF(COUNTA(A1977:G1977)=0,"",IF(A1977="","N° devis manquant",IF(ISNA(MATCH(A1977,dv_num,0)),"Devis inconnu",IF(AND(B1977&lt;&gt;"",ISNA(MATCH(B1977,pr_code,0))),"Article inconnu",IF(H1977="","Désignation manquante",IF(OR(NOT(ISNUMBER(D1977)),N(D1977)&lt;=0),"Quantité invalide",IF(J1977="","Prix manquant",IF(OR(NOT(ISNUMBER(J1977)),N(J1977)&lt;0),"Prix invalide",IF(OR(AND(F1977&lt;&gt;"",NOT(ISNUMBER(F1977))),N(F1977)&lt;0,N(F1977)&gt;1),"Remise invalide",IF(K1977="","Taux de TVA manquant",IF(NOT(ISNUMBER(K1977)),"Taux de TVA invalide",IF(COUNTIF(p_rates,K1977)=0,"Taux de TVA hors liste (Paramètres)",IF(N(O1977)&gt;25,"Au-delà de 25 lignes : non imprimée","OK")))))))))))))</f>
        <v/>
      </c>
      <c r="O1977" s="59" t="str">
        <f>IF(A1977="","",COUNTIF($A$6:A1977,A1977))</f>
        <v/>
      </c>
      <c r="P1977" s="62" t="str">
        <f>IF(A1977="","",A1977&amp;"|"&amp;O1977)</f>
        <v/>
      </c>
    </row>
    <row r="1978">
      <c r="A1978" s="60" t="n"/>
      <c r="B1978" s="63" t="n"/>
      <c r="C1978" s="63" t="n"/>
      <c r="D1978" s="67" t="n"/>
      <c r="E1978" s="68" t="n"/>
      <c r="F1978" s="69" t="n"/>
      <c r="G1978" s="70" t="n"/>
      <c r="H1978" s="62" t="str">
        <f>IF(COUNTA(A1978:G1978)=0,"",IF(C1978&lt;&gt;"",C1978,IF(B1978="","",IFERROR(INDEX(pr_des,MATCH(B1978,pr_code,0))&amp;"",""))))</f>
        <v/>
      </c>
      <c r="I1978" s="59" t="str">
        <f>IF(B1978="","",IFERROR(INDEX(pr_unit,MATCH(B1978,pr_code,0))&amp;"",""))</f>
        <v/>
      </c>
      <c r="J1978" s="65" t="str">
        <f>IF(COUNTA(A1978:G1978)=0,"",IF(E1978&lt;&gt;"",E1978,IF(B1978="","",IFERROR(IF(INDEX(pr_price,MATCH(B1978,pr_code,0))="","",INDEX(pr_price,MATCH(B1978,pr_code,0))),""))))</f>
        <v/>
      </c>
      <c r="K1978" s="71" t="str">
        <f>IF(COUNTA(A1978:G1978)=0,"",IF(G1978&lt;&gt;"",G1978,IF(B1978="","",IFERROR(IF(INDEX(pr_rate,MATCH(B1978,pr_code,0))="","",INDEX(pr_rate,MATCH(B1978,pr_code,0))),""))))</f>
        <v/>
      </c>
      <c r="L1978" s="65" t="str">
        <f>IF(COUNTA(A1978:G1978)=0,"",IF(AND(ISNUMBER(D1978),ISNUMBER(J1978)),ROUND(D1978*J1978*(1-N(F1978)),2),0))</f>
        <v/>
      </c>
      <c r="M1978" s="62" t="str">
        <f>IF(A1978="","",IFERROR(INDEX(dv_cname,MATCH(A1978,dv_num,0))&amp;"",""))</f>
        <v/>
      </c>
      <c r="N1978" s="59" t="str">
        <f>IF(COUNTA(A1978:G1978)=0,"",IF(A1978="","N° devis manquant",IF(ISNA(MATCH(A1978,dv_num,0)),"Devis inconnu",IF(AND(B1978&lt;&gt;"",ISNA(MATCH(B1978,pr_code,0))),"Article inconnu",IF(H1978="","Désignation manquante",IF(OR(NOT(ISNUMBER(D1978)),N(D1978)&lt;=0),"Quantité invalide",IF(J1978="","Prix manquant",IF(OR(NOT(ISNUMBER(J1978)),N(J1978)&lt;0),"Prix invalide",IF(OR(AND(F1978&lt;&gt;"",NOT(ISNUMBER(F1978))),N(F1978)&lt;0,N(F1978)&gt;1),"Remise invalide",IF(K1978="","Taux de TVA manquant",IF(NOT(ISNUMBER(K1978)),"Taux de TVA invalide",IF(COUNTIF(p_rates,K1978)=0,"Taux de TVA hors liste (Paramètres)",IF(N(O1978)&gt;25,"Au-delà de 25 lignes : non imprimée","OK")))))))))))))</f>
        <v/>
      </c>
      <c r="O1978" s="59" t="str">
        <f>IF(A1978="","",COUNTIF($A$6:A1978,A1978))</f>
        <v/>
      </c>
      <c r="P1978" s="62" t="str">
        <f>IF(A1978="","",A1978&amp;"|"&amp;O1978)</f>
        <v/>
      </c>
    </row>
    <row r="1979">
      <c r="A1979" s="60" t="n"/>
      <c r="B1979" s="63" t="n"/>
      <c r="C1979" s="63" t="n"/>
      <c r="D1979" s="67" t="n"/>
      <c r="E1979" s="68" t="n"/>
      <c r="F1979" s="69" t="n"/>
      <c r="G1979" s="70" t="n"/>
      <c r="H1979" s="62" t="str">
        <f>IF(COUNTA(A1979:G1979)=0,"",IF(C1979&lt;&gt;"",C1979,IF(B1979="","",IFERROR(INDEX(pr_des,MATCH(B1979,pr_code,0))&amp;"",""))))</f>
        <v/>
      </c>
      <c r="I1979" s="59" t="str">
        <f>IF(B1979="","",IFERROR(INDEX(pr_unit,MATCH(B1979,pr_code,0))&amp;"",""))</f>
        <v/>
      </c>
      <c r="J1979" s="65" t="str">
        <f>IF(COUNTA(A1979:G1979)=0,"",IF(E1979&lt;&gt;"",E1979,IF(B1979="","",IFERROR(IF(INDEX(pr_price,MATCH(B1979,pr_code,0))="","",INDEX(pr_price,MATCH(B1979,pr_code,0))),""))))</f>
        <v/>
      </c>
      <c r="K1979" s="71" t="str">
        <f>IF(COUNTA(A1979:G1979)=0,"",IF(G1979&lt;&gt;"",G1979,IF(B1979="","",IFERROR(IF(INDEX(pr_rate,MATCH(B1979,pr_code,0))="","",INDEX(pr_rate,MATCH(B1979,pr_code,0))),""))))</f>
        <v/>
      </c>
      <c r="L1979" s="65" t="str">
        <f>IF(COUNTA(A1979:G1979)=0,"",IF(AND(ISNUMBER(D1979),ISNUMBER(J1979)),ROUND(D1979*J1979*(1-N(F1979)),2),0))</f>
        <v/>
      </c>
      <c r="M1979" s="62" t="str">
        <f>IF(A1979="","",IFERROR(INDEX(dv_cname,MATCH(A1979,dv_num,0))&amp;"",""))</f>
        <v/>
      </c>
      <c r="N1979" s="59" t="str">
        <f>IF(COUNTA(A1979:G1979)=0,"",IF(A1979="","N° devis manquant",IF(ISNA(MATCH(A1979,dv_num,0)),"Devis inconnu",IF(AND(B1979&lt;&gt;"",ISNA(MATCH(B1979,pr_code,0))),"Article inconnu",IF(H1979="","Désignation manquante",IF(OR(NOT(ISNUMBER(D1979)),N(D1979)&lt;=0),"Quantité invalide",IF(J1979="","Prix manquant",IF(OR(NOT(ISNUMBER(J1979)),N(J1979)&lt;0),"Prix invalide",IF(OR(AND(F1979&lt;&gt;"",NOT(ISNUMBER(F1979))),N(F1979)&lt;0,N(F1979)&gt;1),"Remise invalide",IF(K1979="","Taux de TVA manquant",IF(NOT(ISNUMBER(K1979)),"Taux de TVA invalide",IF(COUNTIF(p_rates,K1979)=0,"Taux de TVA hors liste (Paramètres)",IF(N(O1979)&gt;25,"Au-delà de 25 lignes : non imprimée","OK")))))))))))))</f>
        <v/>
      </c>
      <c r="O1979" s="59" t="str">
        <f>IF(A1979="","",COUNTIF($A$6:A1979,A1979))</f>
        <v/>
      </c>
      <c r="P1979" s="62" t="str">
        <f>IF(A1979="","",A1979&amp;"|"&amp;O1979)</f>
        <v/>
      </c>
    </row>
    <row r="1980">
      <c r="A1980" s="60" t="n"/>
      <c r="B1980" s="63" t="n"/>
      <c r="C1980" s="63" t="n"/>
      <c r="D1980" s="67" t="n"/>
      <c r="E1980" s="68" t="n"/>
      <c r="F1980" s="69" t="n"/>
      <c r="G1980" s="70" t="n"/>
      <c r="H1980" s="62" t="str">
        <f>IF(COUNTA(A1980:G1980)=0,"",IF(C1980&lt;&gt;"",C1980,IF(B1980="","",IFERROR(INDEX(pr_des,MATCH(B1980,pr_code,0))&amp;"",""))))</f>
        <v/>
      </c>
      <c r="I1980" s="59" t="str">
        <f>IF(B1980="","",IFERROR(INDEX(pr_unit,MATCH(B1980,pr_code,0))&amp;"",""))</f>
        <v/>
      </c>
      <c r="J1980" s="65" t="str">
        <f>IF(COUNTA(A1980:G1980)=0,"",IF(E1980&lt;&gt;"",E1980,IF(B1980="","",IFERROR(IF(INDEX(pr_price,MATCH(B1980,pr_code,0))="","",INDEX(pr_price,MATCH(B1980,pr_code,0))),""))))</f>
        <v/>
      </c>
      <c r="K1980" s="71" t="str">
        <f>IF(COUNTA(A1980:G1980)=0,"",IF(G1980&lt;&gt;"",G1980,IF(B1980="","",IFERROR(IF(INDEX(pr_rate,MATCH(B1980,pr_code,0))="","",INDEX(pr_rate,MATCH(B1980,pr_code,0))),""))))</f>
        <v/>
      </c>
      <c r="L1980" s="65" t="str">
        <f>IF(COUNTA(A1980:G1980)=0,"",IF(AND(ISNUMBER(D1980),ISNUMBER(J1980)),ROUND(D1980*J1980*(1-N(F1980)),2),0))</f>
        <v/>
      </c>
      <c r="M1980" s="62" t="str">
        <f>IF(A1980="","",IFERROR(INDEX(dv_cname,MATCH(A1980,dv_num,0))&amp;"",""))</f>
        <v/>
      </c>
      <c r="N1980" s="59" t="str">
        <f>IF(COUNTA(A1980:G1980)=0,"",IF(A1980="","N° devis manquant",IF(ISNA(MATCH(A1980,dv_num,0)),"Devis inconnu",IF(AND(B1980&lt;&gt;"",ISNA(MATCH(B1980,pr_code,0))),"Article inconnu",IF(H1980="","Désignation manquante",IF(OR(NOT(ISNUMBER(D1980)),N(D1980)&lt;=0),"Quantité invalide",IF(J1980="","Prix manquant",IF(OR(NOT(ISNUMBER(J1980)),N(J1980)&lt;0),"Prix invalide",IF(OR(AND(F1980&lt;&gt;"",NOT(ISNUMBER(F1980))),N(F1980)&lt;0,N(F1980)&gt;1),"Remise invalide",IF(K1980="","Taux de TVA manquant",IF(NOT(ISNUMBER(K1980)),"Taux de TVA invalide",IF(COUNTIF(p_rates,K1980)=0,"Taux de TVA hors liste (Paramètres)",IF(N(O1980)&gt;25,"Au-delà de 25 lignes : non imprimée","OK")))))))))))))</f>
        <v/>
      </c>
      <c r="O1980" s="59" t="str">
        <f>IF(A1980="","",COUNTIF($A$6:A1980,A1980))</f>
        <v/>
      </c>
      <c r="P1980" s="62" t="str">
        <f>IF(A1980="","",A1980&amp;"|"&amp;O1980)</f>
        <v/>
      </c>
    </row>
    <row r="1981">
      <c r="A1981" s="60" t="n"/>
      <c r="B1981" s="63" t="n"/>
      <c r="C1981" s="63" t="n"/>
      <c r="D1981" s="67" t="n"/>
      <c r="E1981" s="68" t="n"/>
      <c r="F1981" s="69" t="n"/>
      <c r="G1981" s="70" t="n"/>
      <c r="H1981" s="62" t="str">
        <f>IF(COUNTA(A1981:G1981)=0,"",IF(C1981&lt;&gt;"",C1981,IF(B1981="","",IFERROR(INDEX(pr_des,MATCH(B1981,pr_code,0))&amp;"",""))))</f>
        <v/>
      </c>
      <c r="I1981" s="59" t="str">
        <f>IF(B1981="","",IFERROR(INDEX(pr_unit,MATCH(B1981,pr_code,0))&amp;"",""))</f>
        <v/>
      </c>
      <c r="J1981" s="65" t="str">
        <f>IF(COUNTA(A1981:G1981)=0,"",IF(E1981&lt;&gt;"",E1981,IF(B1981="","",IFERROR(IF(INDEX(pr_price,MATCH(B1981,pr_code,0))="","",INDEX(pr_price,MATCH(B1981,pr_code,0))),""))))</f>
        <v/>
      </c>
      <c r="K1981" s="71" t="str">
        <f>IF(COUNTA(A1981:G1981)=0,"",IF(G1981&lt;&gt;"",G1981,IF(B1981="","",IFERROR(IF(INDEX(pr_rate,MATCH(B1981,pr_code,0))="","",INDEX(pr_rate,MATCH(B1981,pr_code,0))),""))))</f>
        <v/>
      </c>
      <c r="L1981" s="65" t="str">
        <f>IF(COUNTA(A1981:G1981)=0,"",IF(AND(ISNUMBER(D1981),ISNUMBER(J1981)),ROUND(D1981*J1981*(1-N(F1981)),2),0))</f>
        <v/>
      </c>
      <c r="M1981" s="62" t="str">
        <f>IF(A1981="","",IFERROR(INDEX(dv_cname,MATCH(A1981,dv_num,0))&amp;"",""))</f>
        <v/>
      </c>
      <c r="N1981" s="59" t="str">
        <f>IF(COUNTA(A1981:G1981)=0,"",IF(A1981="","N° devis manquant",IF(ISNA(MATCH(A1981,dv_num,0)),"Devis inconnu",IF(AND(B1981&lt;&gt;"",ISNA(MATCH(B1981,pr_code,0))),"Article inconnu",IF(H1981="","Désignation manquante",IF(OR(NOT(ISNUMBER(D1981)),N(D1981)&lt;=0),"Quantité invalide",IF(J1981="","Prix manquant",IF(OR(NOT(ISNUMBER(J1981)),N(J1981)&lt;0),"Prix invalide",IF(OR(AND(F1981&lt;&gt;"",NOT(ISNUMBER(F1981))),N(F1981)&lt;0,N(F1981)&gt;1),"Remise invalide",IF(K1981="","Taux de TVA manquant",IF(NOT(ISNUMBER(K1981)),"Taux de TVA invalide",IF(COUNTIF(p_rates,K1981)=0,"Taux de TVA hors liste (Paramètres)",IF(N(O1981)&gt;25,"Au-delà de 25 lignes : non imprimée","OK")))))))))))))</f>
        <v/>
      </c>
      <c r="O1981" s="59" t="str">
        <f>IF(A1981="","",COUNTIF($A$6:A1981,A1981))</f>
        <v/>
      </c>
      <c r="P1981" s="62" t="str">
        <f>IF(A1981="","",A1981&amp;"|"&amp;O1981)</f>
        <v/>
      </c>
    </row>
    <row r="1982">
      <c r="A1982" s="60" t="n"/>
      <c r="B1982" s="63" t="n"/>
      <c r="C1982" s="63" t="n"/>
      <c r="D1982" s="67" t="n"/>
      <c r="E1982" s="68" t="n"/>
      <c r="F1982" s="69" t="n"/>
      <c r="G1982" s="70" t="n"/>
      <c r="H1982" s="62" t="str">
        <f>IF(COUNTA(A1982:G1982)=0,"",IF(C1982&lt;&gt;"",C1982,IF(B1982="","",IFERROR(INDEX(pr_des,MATCH(B1982,pr_code,0))&amp;"",""))))</f>
        <v/>
      </c>
      <c r="I1982" s="59" t="str">
        <f>IF(B1982="","",IFERROR(INDEX(pr_unit,MATCH(B1982,pr_code,0))&amp;"",""))</f>
        <v/>
      </c>
      <c r="J1982" s="65" t="str">
        <f>IF(COUNTA(A1982:G1982)=0,"",IF(E1982&lt;&gt;"",E1982,IF(B1982="","",IFERROR(IF(INDEX(pr_price,MATCH(B1982,pr_code,0))="","",INDEX(pr_price,MATCH(B1982,pr_code,0))),""))))</f>
        <v/>
      </c>
      <c r="K1982" s="71" t="str">
        <f>IF(COUNTA(A1982:G1982)=0,"",IF(G1982&lt;&gt;"",G1982,IF(B1982="","",IFERROR(IF(INDEX(pr_rate,MATCH(B1982,pr_code,0))="","",INDEX(pr_rate,MATCH(B1982,pr_code,0))),""))))</f>
        <v/>
      </c>
      <c r="L1982" s="65" t="str">
        <f>IF(COUNTA(A1982:G1982)=0,"",IF(AND(ISNUMBER(D1982),ISNUMBER(J1982)),ROUND(D1982*J1982*(1-N(F1982)),2),0))</f>
        <v/>
      </c>
      <c r="M1982" s="62" t="str">
        <f>IF(A1982="","",IFERROR(INDEX(dv_cname,MATCH(A1982,dv_num,0))&amp;"",""))</f>
        <v/>
      </c>
      <c r="N1982" s="59" t="str">
        <f>IF(COUNTA(A1982:G1982)=0,"",IF(A1982="","N° devis manquant",IF(ISNA(MATCH(A1982,dv_num,0)),"Devis inconnu",IF(AND(B1982&lt;&gt;"",ISNA(MATCH(B1982,pr_code,0))),"Article inconnu",IF(H1982="","Désignation manquante",IF(OR(NOT(ISNUMBER(D1982)),N(D1982)&lt;=0),"Quantité invalide",IF(J1982="","Prix manquant",IF(OR(NOT(ISNUMBER(J1982)),N(J1982)&lt;0),"Prix invalide",IF(OR(AND(F1982&lt;&gt;"",NOT(ISNUMBER(F1982))),N(F1982)&lt;0,N(F1982)&gt;1),"Remise invalide",IF(K1982="","Taux de TVA manquant",IF(NOT(ISNUMBER(K1982)),"Taux de TVA invalide",IF(COUNTIF(p_rates,K1982)=0,"Taux de TVA hors liste (Paramètres)",IF(N(O1982)&gt;25,"Au-delà de 25 lignes : non imprimée","OK")))))))))))))</f>
        <v/>
      </c>
      <c r="O1982" s="59" t="str">
        <f>IF(A1982="","",COUNTIF($A$6:A1982,A1982))</f>
        <v/>
      </c>
      <c r="P1982" s="62" t="str">
        <f>IF(A1982="","",A1982&amp;"|"&amp;O1982)</f>
        <v/>
      </c>
    </row>
    <row r="1983">
      <c r="A1983" s="60" t="n"/>
      <c r="B1983" s="63" t="n"/>
      <c r="C1983" s="63" t="n"/>
      <c r="D1983" s="67" t="n"/>
      <c r="E1983" s="68" t="n"/>
      <c r="F1983" s="69" t="n"/>
      <c r="G1983" s="70" t="n"/>
      <c r="H1983" s="62" t="str">
        <f>IF(COUNTA(A1983:G1983)=0,"",IF(C1983&lt;&gt;"",C1983,IF(B1983="","",IFERROR(INDEX(pr_des,MATCH(B1983,pr_code,0))&amp;"",""))))</f>
        <v/>
      </c>
      <c r="I1983" s="59" t="str">
        <f>IF(B1983="","",IFERROR(INDEX(pr_unit,MATCH(B1983,pr_code,0))&amp;"",""))</f>
        <v/>
      </c>
      <c r="J1983" s="65" t="str">
        <f>IF(COUNTA(A1983:G1983)=0,"",IF(E1983&lt;&gt;"",E1983,IF(B1983="","",IFERROR(IF(INDEX(pr_price,MATCH(B1983,pr_code,0))="","",INDEX(pr_price,MATCH(B1983,pr_code,0))),""))))</f>
        <v/>
      </c>
      <c r="K1983" s="71" t="str">
        <f>IF(COUNTA(A1983:G1983)=0,"",IF(G1983&lt;&gt;"",G1983,IF(B1983="","",IFERROR(IF(INDEX(pr_rate,MATCH(B1983,pr_code,0))="","",INDEX(pr_rate,MATCH(B1983,pr_code,0))),""))))</f>
        <v/>
      </c>
      <c r="L1983" s="65" t="str">
        <f>IF(COUNTA(A1983:G1983)=0,"",IF(AND(ISNUMBER(D1983),ISNUMBER(J1983)),ROUND(D1983*J1983*(1-N(F1983)),2),0))</f>
        <v/>
      </c>
      <c r="M1983" s="62" t="str">
        <f>IF(A1983="","",IFERROR(INDEX(dv_cname,MATCH(A1983,dv_num,0))&amp;"",""))</f>
        <v/>
      </c>
      <c r="N1983" s="59" t="str">
        <f>IF(COUNTA(A1983:G1983)=0,"",IF(A1983="","N° devis manquant",IF(ISNA(MATCH(A1983,dv_num,0)),"Devis inconnu",IF(AND(B1983&lt;&gt;"",ISNA(MATCH(B1983,pr_code,0))),"Article inconnu",IF(H1983="","Désignation manquante",IF(OR(NOT(ISNUMBER(D1983)),N(D1983)&lt;=0),"Quantité invalide",IF(J1983="","Prix manquant",IF(OR(NOT(ISNUMBER(J1983)),N(J1983)&lt;0),"Prix invalide",IF(OR(AND(F1983&lt;&gt;"",NOT(ISNUMBER(F1983))),N(F1983)&lt;0,N(F1983)&gt;1),"Remise invalide",IF(K1983="","Taux de TVA manquant",IF(NOT(ISNUMBER(K1983)),"Taux de TVA invalide",IF(COUNTIF(p_rates,K1983)=0,"Taux de TVA hors liste (Paramètres)",IF(N(O1983)&gt;25,"Au-delà de 25 lignes : non imprimée","OK")))))))))))))</f>
        <v/>
      </c>
      <c r="O1983" s="59" t="str">
        <f>IF(A1983="","",COUNTIF($A$6:A1983,A1983))</f>
        <v/>
      </c>
      <c r="P1983" s="62" t="str">
        <f>IF(A1983="","",A1983&amp;"|"&amp;O1983)</f>
        <v/>
      </c>
    </row>
    <row r="1984">
      <c r="A1984" s="60" t="n"/>
      <c r="B1984" s="63" t="n"/>
      <c r="C1984" s="63" t="n"/>
      <c r="D1984" s="67" t="n"/>
      <c r="E1984" s="68" t="n"/>
      <c r="F1984" s="69" t="n"/>
      <c r="G1984" s="70" t="n"/>
      <c r="H1984" s="62" t="str">
        <f>IF(COUNTA(A1984:G1984)=0,"",IF(C1984&lt;&gt;"",C1984,IF(B1984="","",IFERROR(INDEX(pr_des,MATCH(B1984,pr_code,0))&amp;"",""))))</f>
        <v/>
      </c>
      <c r="I1984" s="59" t="str">
        <f>IF(B1984="","",IFERROR(INDEX(pr_unit,MATCH(B1984,pr_code,0))&amp;"",""))</f>
        <v/>
      </c>
      <c r="J1984" s="65" t="str">
        <f>IF(COUNTA(A1984:G1984)=0,"",IF(E1984&lt;&gt;"",E1984,IF(B1984="","",IFERROR(IF(INDEX(pr_price,MATCH(B1984,pr_code,0))="","",INDEX(pr_price,MATCH(B1984,pr_code,0))),""))))</f>
        <v/>
      </c>
      <c r="K1984" s="71" t="str">
        <f>IF(COUNTA(A1984:G1984)=0,"",IF(G1984&lt;&gt;"",G1984,IF(B1984="","",IFERROR(IF(INDEX(pr_rate,MATCH(B1984,pr_code,0))="","",INDEX(pr_rate,MATCH(B1984,pr_code,0))),""))))</f>
        <v/>
      </c>
      <c r="L1984" s="65" t="str">
        <f>IF(COUNTA(A1984:G1984)=0,"",IF(AND(ISNUMBER(D1984),ISNUMBER(J1984)),ROUND(D1984*J1984*(1-N(F1984)),2),0))</f>
        <v/>
      </c>
      <c r="M1984" s="62" t="str">
        <f>IF(A1984="","",IFERROR(INDEX(dv_cname,MATCH(A1984,dv_num,0))&amp;"",""))</f>
        <v/>
      </c>
      <c r="N1984" s="59" t="str">
        <f>IF(COUNTA(A1984:G1984)=0,"",IF(A1984="","N° devis manquant",IF(ISNA(MATCH(A1984,dv_num,0)),"Devis inconnu",IF(AND(B1984&lt;&gt;"",ISNA(MATCH(B1984,pr_code,0))),"Article inconnu",IF(H1984="","Désignation manquante",IF(OR(NOT(ISNUMBER(D1984)),N(D1984)&lt;=0),"Quantité invalide",IF(J1984="","Prix manquant",IF(OR(NOT(ISNUMBER(J1984)),N(J1984)&lt;0),"Prix invalide",IF(OR(AND(F1984&lt;&gt;"",NOT(ISNUMBER(F1984))),N(F1984)&lt;0,N(F1984)&gt;1),"Remise invalide",IF(K1984="","Taux de TVA manquant",IF(NOT(ISNUMBER(K1984)),"Taux de TVA invalide",IF(COUNTIF(p_rates,K1984)=0,"Taux de TVA hors liste (Paramètres)",IF(N(O1984)&gt;25,"Au-delà de 25 lignes : non imprimée","OK")))))))))))))</f>
        <v/>
      </c>
      <c r="O1984" s="59" t="str">
        <f>IF(A1984="","",COUNTIF($A$6:A1984,A1984))</f>
        <v/>
      </c>
      <c r="P1984" s="62" t="str">
        <f>IF(A1984="","",A1984&amp;"|"&amp;O1984)</f>
        <v/>
      </c>
    </row>
    <row r="1985">
      <c r="A1985" s="60" t="n"/>
      <c r="B1985" s="63" t="n"/>
      <c r="C1985" s="63" t="n"/>
      <c r="D1985" s="67" t="n"/>
      <c r="E1985" s="68" t="n"/>
      <c r="F1985" s="69" t="n"/>
      <c r="G1985" s="70" t="n"/>
      <c r="H1985" s="62" t="str">
        <f>IF(COUNTA(A1985:G1985)=0,"",IF(C1985&lt;&gt;"",C1985,IF(B1985="","",IFERROR(INDEX(pr_des,MATCH(B1985,pr_code,0))&amp;"",""))))</f>
        <v/>
      </c>
      <c r="I1985" s="59" t="str">
        <f>IF(B1985="","",IFERROR(INDEX(pr_unit,MATCH(B1985,pr_code,0))&amp;"",""))</f>
        <v/>
      </c>
      <c r="J1985" s="65" t="str">
        <f>IF(COUNTA(A1985:G1985)=0,"",IF(E1985&lt;&gt;"",E1985,IF(B1985="","",IFERROR(IF(INDEX(pr_price,MATCH(B1985,pr_code,0))="","",INDEX(pr_price,MATCH(B1985,pr_code,0))),""))))</f>
        <v/>
      </c>
      <c r="K1985" s="71" t="str">
        <f>IF(COUNTA(A1985:G1985)=0,"",IF(G1985&lt;&gt;"",G1985,IF(B1985="","",IFERROR(IF(INDEX(pr_rate,MATCH(B1985,pr_code,0))="","",INDEX(pr_rate,MATCH(B1985,pr_code,0))),""))))</f>
        <v/>
      </c>
      <c r="L1985" s="65" t="str">
        <f>IF(COUNTA(A1985:G1985)=0,"",IF(AND(ISNUMBER(D1985),ISNUMBER(J1985)),ROUND(D1985*J1985*(1-N(F1985)),2),0))</f>
        <v/>
      </c>
      <c r="M1985" s="62" t="str">
        <f>IF(A1985="","",IFERROR(INDEX(dv_cname,MATCH(A1985,dv_num,0))&amp;"",""))</f>
        <v/>
      </c>
      <c r="N1985" s="59" t="str">
        <f>IF(COUNTA(A1985:G1985)=0,"",IF(A1985="","N° devis manquant",IF(ISNA(MATCH(A1985,dv_num,0)),"Devis inconnu",IF(AND(B1985&lt;&gt;"",ISNA(MATCH(B1985,pr_code,0))),"Article inconnu",IF(H1985="","Désignation manquante",IF(OR(NOT(ISNUMBER(D1985)),N(D1985)&lt;=0),"Quantité invalide",IF(J1985="","Prix manquant",IF(OR(NOT(ISNUMBER(J1985)),N(J1985)&lt;0),"Prix invalide",IF(OR(AND(F1985&lt;&gt;"",NOT(ISNUMBER(F1985))),N(F1985)&lt;0,N(F1985)&gt;1),"Remise invalide",IF(K1985="","Taux de TVA manquant",IF(NOT(ISNUMBER(K1985)),"Taux de TVA invalide",IF(COUNTIF(p_rates,K1985)=0,"Taux de TVA hors liste (Paramètres)",IF(N(O1985)&gt;25,"Au-delà de 25 lignes : non imprimée","OK")))))))))))))</f>
        <v/>
      </c>
      <c r="O1985" s="59" t="str">
        <f>IF(A1985="","",COUNTIF($A$6:A1985,A1985))</f>
        <v/>
      </c>
      <c r="P1985" s="62" t="str">
        <f>IF(A1985="","",A1985&amp;"|"&amp;O1985)</f>
        <v/>
      </c>
    </row>
    <row r="1986">
      <c r="A1986" s="60" t="n"/>
      <c r="B1986" s="63" t="n"/>
      <c r="C1986" s="63" t="n"/>
      <c r="D1986" s="67" t="n"/>
      <c r="E1986" s="68" t="n"/>
      <c r="F1986" s="69" t="n"/>
      <c r="G1986" s="70" t="n"/>
      <c r="H1986" s="62" t="str">
        <f>IF(COUNTA(A1986:G1986)=0,"",IF(C1986&lt;&gt;"",C1986,IF(B1986="","",IFERROR(INDEX(pr_des,MATCH(B1986,pr_code,0))&amp;"",""))))</f>
        <v/>
      </c>
      <c r="I1986" s="59" t="str">
        <f>IF(B1986="","",IFERROR(INDEX(pr_unit,MATCH(B1986,pr_code,0))&amp;"",""))</f>
        <v/>
      </c>
      <c r="J1986" s="65" t="str">
        <f>IF(COUNTA(A1986:G1986)=0,"",IF(E1986&lt;&gt;"",E1986,IF(B1986="","",IFERROR(IF(INDEX(pr_price,MATCH(B1986,pr_code,0))="","",INDEX(pr_price,MATCH(B1986,pr_code,0))),""))))</f>
        <v/>
      </c>
      <c r="K1986" s="71" t="str">
        <f>IF(COUNTA(A1986:G1986)=0,"",IF(G1986&lt;&gt;"",G1986,IF(B1986="","",IFERROR(IF(INDEX(pr_rate,MATCH(B1986,pr_code,0))="","",INDEX(pr_rate,MATCH(B1986,pr_code,0))),""))))</f>
        <v/>
      </c>
      <c r="L1986" s="65" t="str">
        <f>IF(COUNTA(A1986:G1986)=0,"",IF(AND(ISNUMBER(D1986),ISNUMBER(J1986)),ROUND(D1986*J1986*(1-N(F1986)),2),0))</f>
        <v/>
      </c>
      <c r="M1986" s="62" t="str">
        <f>IF(A1986="","",IFERROR(INDEX(dv_cname,MATCH(A1986,dv_num,0))&amp;"",""))</f>
        <v/>
      </c>
      <c r="N1986" s="59" t="str">
        <f>IF(COUNTA(A1986:G1986)=0,"",IF(A1986="","N° devis manquant",IF(ISNA(MATCH(A1986,dv_num,0)),"Devis inconnu",IF(AND(B1986&lt;&gt;"",ISNA(MATCH(B1986,pr_code,0))),"Article inconnu",IF(H1986="","Désignation manquante",IF(OR(NOT(ISNUMBER(D1986)),N(D1986)&lt;=0),"Quantité invalide",IF(J1986="","Prix manquant",IF(OR(NOT(ISNUMBER(J1986)),N(J1986)&lt;0),"Prix invalide",IF(OR(AND(F1986&lt;&gt;"",NOT(ISNUMBER(F1986))),N(F1986)&lt;0,N(F1986)&gt;1),"Remise invalide",IF(K1986="","Taux de TVA manquant",IF(NOT(ISNUMBER(K1986)),"Taux de TVA invalide",IF(COUNTIF(p_rates,K1986)=0,"Taux de TVA hors liste (Paramètres)",IF(N(O1986)&gt;25,"Au-delà de 25 lignes : non imprimée","OK")))))))))))))</f>
        <v/>
      </c>
      <c r="O1986" s="59" t="str">
        <f>IF(A1986="","",COUNTIF($A$6:A1986,A1986))</f>
        <v/>
      </c>
      <c r="P1986" s="62" t="str">
        <f>IF(A1986="","",A1986&amp;"|"&amp;O1986)</f>
        <v/>
      </c>
    </row>
    <row r="1987">
      <c r="A1987" s="60" t="n"/>
      <c r="B1987" s="63" t="n"/>
      <c r="C1987" s="63" t="n"/>
      <c r="D1987" s="67" t="n"/>
      <c r="E1987" s="68" t="n"/>
      <c r="F1987" s="69" t="n"/>
      <c r="G1987" s="70" t="n"/>
      <c r="H1987" s="62" t="str">
        <f>IF(COUNTA(A1987:G1987)=0,"",IF(C1987&lt;&gt;"",C1987,IF(B1987="","",IFERROR(INDEX(pr_des,MATCH(B1987,pr_code,0))&amp;"",""))))</f>
        <v/>
      </c>
      <c r="I1987" s="59" t="str">
        <f>IF(B1987="","",IFERROR(INDEX(pr_unit,MATCH(B1987,pr_code,0))&amp;"",""))</f>
        <v/>
      </c>
      <c r="J1987" s="65" t="str">
        <f>IF(COUNTA(A1987:G1987)=0,"",IF(E1987&lt;&gt;"",E1987,IF(B1987="","",IFERROR(IF(INDEX(pr_price,MATCH(B1987,pr_code,0))="","",INDEX(pr_price,MATCH(B1987,pr_code,0))),""))))</f>
        <v/>
      </c>
      <c r="K1987" s="71" t="str">
        <f>IF(COUNTA(A1987:G1987)=0,"",IF(G1987&lt;&gt;"",G1987,IF(B1987="","",IFERROR(IF(INDEX(pr_rate,MATCH(B1987,pr_code,0))="","",INDEX(pr_rate,MATCH(B1987,pr_code,0))),""))))</f>
        <v/>
      </c>
      <c r="L1987" s="65" t="str">
        <f>IF(COUNTA(A1987:G1987)=0,"",IF(AND(ISNUMBER(D1987),ISNUMBER(J1987)),ROUND(D1987*J1987*(1-N(F1987)),2),0))</f>
        <v/>
      </c>
      <c r="M1987" s="62" t="str">
        <f>IF(A1987="","",IFERROR(INDEX(dv_cname,MATCH(A1987,dv_num,0))&amp;"",""))</f>
        <v/>
      </c>
      <c r="N1987" s="59" t="str">
        <f>IF(COUNTA(A1987:G1987)=0,"",IF(A1987="","N° devis manquant",IF(ISNA(MATCH(A1987,dv_num,0)),"Devis inconnu",IF(AND(B1987&lt;&gt;"",ISNA(MATCH(B1987,pr_code,0))),"Article inconnu",IF(H1987="","Désignation manquante",IF(OR(NOT(ISNUMBER(D1987)),N(D1987)&lt;=0),"Quantité invalide",IF(J1987="","Prix manquant",IF(OR(NOT(ISNUMBER(J1987)),N(J1987)&lt;0),"Prix invalide",IF(OR(AND(F1987&lt;&gt;"",NOT(ISNUMBER(F1987))),N(F1987)&lt;0,N(F1987)&gt;1),"Remise invalide",IF(K1987="","Taux de TVA manquant",IF(NOT(ISNUMBER(K1987)),"Taux de TVA invalide",IF(COUNTIF(p_rates,K1987)=0,"Taux de TVA hors liste (Paramètres)",IF(N(O1987)&gt;25,"Au-delà de 25 lignes : non imprimée","OK")))))))))))))</f>
        <v/>
      </c>
      <c r="O1987" s="59" t="str">
        <f>IF(A1987="","",COUNTIF($A$6:A1987,A1987))</f>
        <v/>
      </c>
      <c r="P1987" s="62" t="str">
        <f>IF(A1987="","",A1987&amp;"|"&amp;O1987)</f>
        <v/>
      </c>
    </row>
    <row r="1988">
      <c r="A1988" s="60" t="n"/>
      <c r="B1988" s="63" t="n"/>
      <c r="C1988" s="63" t="n"/>
      <c r="D1988" s="67" t="n"/>
      <c r="E1988" s="68" t="n"/>
      <c r="F1988" s="69" t="n"/>
      <c r="G1988" s="70" t="n"/>
      <c r="H1988" s="62" t="str">
        <f>IF(COUNTA(A1988:G1988)=0,"",IF(C1988&lt;&gt;"",C1988,IF(B1988="","",IFERROR(INDEX(pr_des,MATCH(B1988,pr_code,0))&amp;"",""))))</f>
        <v/>
      </c>
      <c r="I1988" s="59" t="str">
        <f>IF(B1988="","",IFERROR(INDEX(pr_unit,MATCH(B1988,pr_code,0))&amp;"",""))</f>
        <v/>
      </c>
      <c r="J1988" s="65" t="str">
        <f>IF(COUNTA(A1988:G1988)=0,"",IF(E1988&lt;&gt;"",E1988,IF(B1988="","",IFERROR(IF(INDEX(pr_price,MATCH(B1988,pr_code,0))="","",INDEX(pr_price,MATCH(B1988,pr_code,0))),""))))</f>
        <v/>
      </c>
      <c r="K1988" s="71" t="str">
        <f>IF(COUNTA(A1988:G1988)=0,"",IF(G1988&lt;&gt;"",G1988,IF(B1988="","",IFERROR(IF(INDEX(pr_rate,MATCH(B1988,pr_code,0))="","",INDEX(pr_rate,MATCH(B1988,pr_code,0))),""))))</f>
        <v/>
      </c>
      <c r="L1988" s="65" t="str">
        <f>IF(COUNTA(A1988:G1988)=0,"",IF(AND(ISNUMBER(D1988),ISNUMBER(J1988)),ROUND(D1988*J1988*(1-N(F1988)),2),0))</f>
        <v/>
      </c>
      <c r="M1988" s="62" t="str">
        <f>IF(A1988="","",IFERROR(INDEX(dv_cname,MATCH(A1988,dv_num,0))&amp;"",""))</f>
        <v/>
      </c>
      <c r="N1988" s="59" t="str">
        <f>IF(COUNTA(A1988:G1988)=0,"",IF(A1988="","N° devis manquant",IF(ISNA(MATCH(A1988,dv_num,0)),"Devis inconnu",IF(AND(B1988&lt;&gt;"",ISNA(MATCH(B1988,pr_code,0))),"Article inconnu",IF(H1988="","Désignation manquante",IF(OR(NOT(ISNUMBER(D1988)),N(D1988)&lt;=0),"Quantité invalide",IF(J1988="","Prix manquant",IF(OR(NOT(ISNUMBER(J1988)),N(J1988)&lt;0),"Prix invalide",IF(OR(AND(F1988&lt;&gt;"",NOT(ISNUMBER(F1988))),N(F1988)&lt;0,N(F1988)&gt;1),"Remise invalide",IF(K1988="","Taux de TVA manquant",IF(NOT(ISNUMBER(K1988)),"Taux de TVA invalide",IF(COUNTIF(p_rates,K1988)=0,"Taux de TVA hors liste (Paramètres)",IF(N(O1988)&gt;25,"Au-delà de 25 lignes : non imprimée","OK")))))))))))))</f>
        <v/>
      </c>
      <c r="O1988" s="59" t="str">
        <f>IF(A1988="","",COUNTIF($A$6:A1988,A1988))</f>
        <v/>
      </c>
      <c r="P1988" s="62" t="str">
        <f>IF(A1988="","",A1988&amp;"|"&amp;O1988)</f>
        <v/>
      </c>
    </row>
    <row r="1989">
      <c r="A1989" s="60" t="n"/>
      <c r="B1989" s="63" t="n"/>
      <c r="C1989" s="63" t="n"/>
      <c r="D1989" s="67" t="n"/>
      <c r="E1989" s="68" t="n"/>
      <c r="F1989" s="69" t="n"/>
      <c r="G1989" s="70" t="n"/>
      <c r="H1989" s="62" t="str">
        <f>IF(COUNTA(A1989:G1989)=0,"",IF(C1989&lt;&gt;"",C1989,IF(B1989="","",IFERROR(INDEX(pr_des,MATCH(B1989,pr_code,0))&amp;"",""))))</f>
        <v/>
      </c>
      <c r="I1989" s="59" t="str">
        <f>IF(B1989="","",IFERROR(INDEX(pr_unit,MATCH(B1989,pr_code,0))&amp;"",""))</f>
        <v/>
      </c>
      <c r="J1989" s="65" t="str">
        <f>IF(COUNTA(A1989:G1989)=0,"",IF(E1989&lt;&gt;"",E1989,IF(B1989="","",IFERROR(IF(INDEX(pr_price,MATCH(B1989,pr_code,0))="","",INDEX(pr_price,MATCH(B1989,pr_code,0))),""))))</f>
        <v/>
      </c>
      <c r="K1989" s="71" t="str">
        <f>IF(COUNTA(A1989:G1989)=0,"",IF(G1989&lt;&gt;"",G1989,IF(B1989="","",IFERROR(IF(INDEX(pr_rate,MATCH(B1989,pr_code,0))="","",INDEX(pr_rate,MATCH(B1989,pr_code,0))),""))))</f>
        <v/>
      </c>
      <c r="L1989" s="65" t="str">
        <f>IF(COUNTA(A1989:G1989)=0,"",IF(AND(ISNUMBER(D1989),ISNUMBER(J1989)),ROUND(D1989*J1989*(1-N(F1989)),2),0))</f>
        <v/>
      </c>
      <c r="M1989" s="62" t="str">
        <f>IF(A1989="","",IFERROR(INDEX(dv_cname,MATCH(A1989,dv_num,0))&amp;"",""))</f>
        <v/>
      </c>
      <c r="N1989" s="59" t="str">
        <f>IF(COUNTA(A1989:G1989)=0,"",IF(A1989="","N° devis manquant",IF(ISNA(MATCH(A1989,dv_num,0)),"Devis inconnu",IF(AND(B1989&lt;&gt;"",ISNA(MATCH(B1989,pr_code,0))),"Article inconnu",IF(H1989="","Désignation manquante",IF(OR(NOT(ISNUMBER(D1989)),N(D1989)&lt;=0),"Quantité invalide",IF(J1989="","Prix manquant",IF(OR(NOT(ISNUMBER(J1989)),N(J1989)&lt;0),"Prix invalide",IF(OR(AND(F1989&lt;&gt;"",NOT(ISNUMBER(F1989))),N(F1989)&lt;0,N(F1989)&gt;1),"Remise invalide",IF(K1989="","Taux de TVA manquant",IF(NOT(ISNUMBER(K1989)),"Taux de TVA invalide",IF(COUNTIF(p_rates,K1989)=0,"Taux de TVA hors liste (Paramètres)",IF(N(O1989)&gt;25,"Au-delà de 25 lignes : non imprimée","OK")))))))))))))</f>
        <v/>
      </c>
      <c r="O1989" s="59" t="str">
        <f>IF(A1989="","",COUNTIF($A$6:A1989,A1989))</f>
        <v/>
      </c>
      <c r="P1989" s="62" t="str">
        <f>IF(A1989="","",A1989&amp;"|"&amp;O1989)</f>
        <v/>
      </c>
    </row>
    <row r="1990">
      <c r="A1990" s="60" t="n"/>
      <c r="B1990" s="63" t="n"/>
      <c r="C1990" s="63" t="n"/>
      <c r="D1990" s="67" t="n"/>
      <c r="E1990" s="68" t="n"/>
      <c r="F1990" s="69" t="n"/>
      <c r="G1990" s="70" t="n"/>
      <c r="H1990" s="62" t="str">
        <f>IF(COUNTA(A1990:G1990)=0,"",IF(C1990&lt;&gt;"",C1990,IF(B1990="","",IFERROR(INDEX(pr_des,MATCH(B1990,pr_code,0))&amp;"",""))))</f>
        <v/>
      </c>
      <c r="I1990" s="59" t="str">
        <f>IF(B1990="","",IFERROR(INDEX(pr_unit,MATCH(B1990,pr_code,0))&amp;"",""))</f>
        <v/>
      </c>
      <c r="J1990" s="65" t="str">
        <f>IF(COUNTA(A1990:G1990)=0,"",IF(E1990&lt;&gt;"",E1990,IF(B1990="","",IFERROR(IF(INDEX(pr_price,MATCH(B1990,pr_code,0))="","",INDEX(pr_price,MATCH(B1990,pr_code,0))),""))))</f>
        <v/>
      </c>
      <c r="K1990" s="71" t="str">
        <f>IF(COUNTA(A1990:G1990)=0,"",IF(G1990&lt;&gt;"",G1990,IF(B1990="","",IFERROR(IF(INDEX(pr_rate,MATCH(B1990,pr_code,0))="","",INDEX(pr_rate,MATCH(B1990,pr_code,0))),""))))</f>
        <v/>
      </c>
      <c r="L1990" s="65" t="str">
        <f>IF(COUNTA(A1990:G1990)=0,"",IF(AND(ISNUMBER(D1990),ISNUMBER(J1990)),ROUND(D1990*J1990*(1-N(F1990)),2),0))</f>
        <v/>
      </c>
      <c r="M1990" s="62" t="str">
        <f>IF(A1990="","",IFERROR(INDEX(dv_cname,MATCH(A1990,dv_num,0))&amp;"",""))</f>
        <v/>
      </c>
      <c r="N1990" s="59" t="str">
        <f>IF(COUNTA(A1990:G1990)=0,"",IF(A1990="","N° devis manquant",IF(ISNA(MATCH(A1990,dv_num,0)),"Devis inconnu",IF(AND(B1990&lt;&gt;"",ISNA(MATCH(B1990,pr_code,0))),"Article inconnu",IF(H1990="","Désignation manquante",IF(OR(NOT(ISNUMBER(D1990)),N(D1990)&lt;=0),"Quantité invalide",IF(J1990="","Prix manquant",IF(OR(NOT(ISNUMBER(J1990)),N(J1990)&lt;0),"Prix invalide",IF(OR(AND(F1990&lt;&gt;"",NOT(ISNUMBER(F1990))),N(F1990)&lt;0,N(F1990)&gt;1),"Remise invalide",IF(K1990="","Taux de TVA manquant",IF(NOT(ISNUMBER(K1990)),"Taux de TVA invalide",IF(COUNTIF(p_rates,K1990)=0,"Taux de TVA hors liste (Paramètres)",IF(N(O1990)&gt;25,"Au-delà de 25 lignes : non imprimée","OK")))))))))))))</f>
        <v/>
      </c>
      <c r="O1990" s="59" t="str">
        <f>IF(A1990="","",COUNTIF($A$6:A1990,A1990))</f>
        <v/>
      </c>
      <c r="P1990" s="62" t="str">
        <f>IF(A1990="","",A1990&amp;"|"&amp;O1990)</f>
        <v/>
      </c>
    </row>
    <row r="1991">
      <c r="A1991" s="60" t="n"/>
      <c r="B1991" s="63" t="n"/>
      <c r="C1991" s="63" t="n"/>
      <c r="D1991" s="67" t="n"/>
      <c r="E1991" s="68" t="n"/>
      <c r="F1991" s="69" t="n"/>
      <c r="G1991" s="70" t="n"/>
      <c r="H1991" s="62" t="str">
        <f>IF(COUNTA(A1991:G1991)=0,"",IF(C1991&lt;&gt;"",C1991,IF(B1991="","",IFERROR(INDEX(pr_des,MATCH(B1991,pr_code,0))&amp;"",""))))</f>
        <v/>
      </c>
      <c r="I1991" s="59" t="str">
        <f>IF(B1991="","",IFERROR(INDEX(pr_unit,MATCH(B1991,pr_code,0))&amp;"",""))</f>
        <v/>
      </c>
      <c r="J1991" s="65" t="str">
        <f>IF(COUNTA(A1991:G1991)=0,"",IF(E1991&lt;&gt;"",E1991,IF(B1991="","",IFERROR(IF(INDEX(pr_price,MATCH(B1991,pr_code,0))="","",INDEX(pr_price,MATCH(B1991,pr_code,0))),""))))</f>
        <v/>
      </c>
      <c r="K1991" s="71" t="str">
        <f>IF(COUNTA(A1991:G1991)=0,"",IF(G1991&lt;&gt;"",G1991,IF(B1991="","",IFERROR(IF(INDEX(pr_rate,MATCH(B1991,pr_code,0))="","",INDEX(pr_rate,MATCH(B1991,pr_code,0))),""))))</f>
        <v/>
      </c>
      <c r="L1991" s="65" t="str">
        <f>IF(COUNTA(A1991:G1991)=0,"",IF(AND(ISNUMBER(D1991),ISNUMBER(J1991)),ROUND(D1991*J1991*(1-N(F1991)),2),0))</f>
        <v/>
      </c>
      <c r="M1991" s="62" t="str">
        <f>IF(A1991="","",IFERROR(INDEX(dv_cname,MATCH(A1991,dv_num,0))&amp;"",""))</f>
        <v/>
      </c>
      <c r="N1991" s="59" t="str">
        <f>IF(COUNTA(A1991:G1991)=0,"",IF(A1991="","N° devis manquant",IF(ISNA(MATCH(A1991,dv_num,0)),"Devis inconnu",IF(AND(B1991&lt;&gt;"",ISNA(MATCH(B1991,pr_code,0))),"Article inconnu",IF(H1991="","Désignation manquante",IF(OR(NOT(ISNUMBER(D1991)),N(D1991)&lt;=0),"Quantité invalide",IF(J1991="","Prix manquant",IF(OR(NOT(ISNUMBER(J1991)),N(J1991)&lt;0),"Prix invalide",IF(OR(AND(F1991&lt;&gt;"",NOT(ISNUMBER(F1991))),N(F1991)&lt;0,N(F1991)&gt;1),"Remise invalide",IF(K1991="","Taux de TVA manquant",IF(NOT(ISNUMBER(K1991)),"Taux de TVA invalide",IF(COUNTIF(p_rates,K1991)=0,"Taux de TVA hors liste (Paramètres)",IF(N(O1991)&gt;25,"Au-delà de 25 lignes : non imprimée","OK")))))))))))))</f>
        <v/>
      </c>
      <c r="O1991" s="59" t="str">
        <f>IF(A1991="","",COUNTIF($A$6:A1991,A1991))</f>
        <v/>
      </c>
      <c r="P1991" s="62" t="str">
        <f>IF(A1991="","",A1991&amp;"|"&amp;O1991)</f>
        <v/>
      </c>
    </row>
    <row r="1992">
      <c r="A1992" s="60" t="n"/>
      <c r="B1992" s="63" t="n"/>
      <c r="C1992" s="63" t="n"/>
      <c r="D1992" s="67" t="n"/>
      <c r="E1992" s="68" t="n"/>
      <c r="F1992" s="69" t="n"/>
      <c r="G1992" s="70" t="n"/>
      <c r="H1992" s="62" t="str">
        <f>IF(COUNTA(A1992:G1992)=0,"",IF(C1992&lt;&gt;"",C1992,IF(B1992="","",IFERROR(INDEX(pr_des,MATCH(B1992,pr_code,0))&amp;"",""))))</f>
        <v/>
      </c>
      <c r="I1992" s="59" t="str">
        <f>IF(B1992="","",IFERROR(INDEX(pr_unit,MATCH(B1992,pr_code,0))&amp;"",""))</f>
        <v/>
      </c>
      <c r="J1992" s="65" t="str">
        <f>IF(COUNTA(A1992:G1992)=0,"",IF(E1992&lt;&gt;"",E1992,IF(B1992="","",IFERROR(IF(INDEX(pr_price,MATCH(B1992,pr_code,0))="","",INDEX(pr_price,MATCH(B1992,pr_code,0))),""))))</f>
        <v/>
      </c>
      <c r="K1992" s="71" t="str">
        <f>IF(COUNTA(A1992:G1992)=0,"",IF(G1992&lt;&gt;"",G1992,IF(B1992="","",IFERROR(IF(INDEX(pr_rate,MATCH(B1992,pr_code,0))="","",INDEX(pr_rate,MATCH(B1992,pr_code,0))),""))))</f>
        <v/>
      </c>
      <c r="L1992" s="65" t="str">
        <f>IF(COUNTA(A1992:G1992)=0,"",IF(AND(ISNUMBER(D1992),ISNUMBER(J1992)),ROUND(D1992*J1992*(1-N(F1992)),2),0))</f>
        <v/>
      </c>
      <c r="M1992" s="62" t="str">
        <f>IF(A1992="","",IFERROR(INDEX(dv_cname,MATCH(A1992,dv_num,0))&amp;"",""))</f>
        <v/>
      </c>
      <c r="N1992" s="59" t="str">
        <f>IF(COUNTA(A1992:G1992)=0,"",IF(A1992="","N° devis manquant",IF(ISNA(MATCH(A1992,dv_num,0)),"Devis inconnu",IF(AND(B1992&lt;&gt;"",ISNA(MATCH(B1992,pr_code,0))),"Article inconnu",IF(H1992="","Désignation manquante",IF(OR(NOT(ISNUMBER(D1992)),N(D1992)&lt;=0),"Quantité invalide",IF(J1992="","Prix manquant",IF(OR(NOT(ISNUMBER(J1992)),N(J1992)&lt;0),"Prix invalide",IF(OR(AND(F1992&lt;&gt;"",NOT(ISNUMBER(F1992))),N(F1992)&lt;0,N(F1992)&gt;1),"Remise invalide",IF(K1992="","Taux de TVA manquant",IF(NOT(ISNUMBER(K1992)),"Taux de TVA invalide",IF(COUNTIF(p_rates,K1992)=0,"Taux de TVA hors liste (Paramètres)",IF(N(O1992)&gt;25,"Au-delà de 25 lignes : non imprimée","OK")))))))))))))</f>
        <v/>
      </c>
      <c r="O1992" s="59" t="str">
        <f>IF(A1992="","",COUNTIF($A$6:A1992,A1992))</f>
        <v/>
      </c>
      <c r="P1992" s="62" t="str">
        <f>IF(A1992="","",A1992&amp;"|"&amp;O1992)</f>
        <v/>
      </c>
    </row>
    <row r="1993">
      <c r="A1993" s="60" t="n"/>
      <c r="B1993" s="63" t="n"/>
      <c r="C1993" s="63" t="n"/>
      <c r="D1993" s="67" t="n"/>
      <c r="E1993" s="68" t="n"/>
      <c r="F1993" s="69" t="n"/>
      <c r="G1993" s="70" t="n"/>
      <c r="H1993" s="62" t="str">
        <f>IF(COUNTA(A1993:G1993)=0,"",IF(C1993&lt;&gt;"",C1993,IF(B1993="","",IFERROR(INDEX(pr_des,MATCH(B1993,pr_code,0))&amp;"",""))))</f>
        <v/>
      </c>
      <c r="I1993" s="59" t="str">
        <f>IF(B1993="","",IFERROR(INDEX(pr_unit,MATCH(B1993,pr_code,0))&amp;"",""))</f>
        <v/>
      </c>
      <c r="J1993" s="65" t="str">
        <f>IF(COUNTA(A1993:G1993)=0,"",IF(E1993&lt;&gt;"",E1993,IF(B1993="","",IFERROR(IF(INDEX(pr_price,MATCH(B1993,pr_code,0))="","",INDEX(pr_price,MATCH(B1993,pr_code,0))),""))))</f>
        <v/>
      </c>
      <c r="K1993" s="71" t="str">
        <f>IF(COUNTA(A1993:G1993)=0,"",IF(G1993&lt;&gt;"",G1993,IF(B1993="","",IFERROR(IF(INDEX(pr_rate,MATCH(B1993,pr_code,0))="","",INDEX(pr_rate,MATCH(B1993,pr_code,0))),""))))</f>
        <v/>
      </c>
      <c r="L1993" s="65" t="str">
        <f>IF(COUNTA(A1993:G1993)=0,"",IF(AND(ISNUMBER(D1993),ISNUMBER(J1993)),ROUND(D1993*J1993*(1-N(F1993)),2),0))</f>
        <v/>
      </c>
      <c r="M1993" s="62" t="str">
        <f>IF(A1993="","",IFERROR(INDEX(dv_cname,MATCH(A1993,dv_num,0))&amp;"",""))</f>
        <v/>
      </c>
      <c r="N1993" s="59" t="str">
        <f>IF(COUNTA(A1993:G1993)=0,"",IF(A1993="","N° devis manquant",IF(ISNA(MATCH(A1993,dv_num,0)),"Devis inconnu",IF(AND(B1993&lt;&gt;"",ISNA(MATCH(B1993,pr_code,0))),"Article inconnu",IF(H1993="","Désignation manquante",IF(OR(NOT(ISNUMBER(D1993)),N(D1993)&lt;=0),"Quantité invalide",IF(J1993="","Prix manquant",IF(OR(NOT(ISNUMBER(J1993)),N(J1993)&lt;0),"Prix invalide",IF(OR(AND(F1993&lt;&gt;"",NOT(ISNUMBER(F1993))),N(F1993)&lt;0,N(F1993)&gt;1),"Remise invalide",IF(K1993="","Taux de TVA manquant",IF(NOT(ISNUMBER(K1993)),"Taux de TVA invalide",IF(COUNTIF(p_rates,K1993)=0,"Taux de TVA hors liste (Paramètres)",IF(N(O1993)&gt;25,"Au-delà de 25 lignes : non imprimée","OK")))))))))))))</f>
        <v/>
      </c>
      <c r="O1993" s="59" t="str">
        <f>IF(A1993="","",COUNTIF($A$6:A1993,A1993))</f>
        <v/>
      </c>
      <c r="P1993" s="62" t="str">
        <f>IF(A1993="","",A1993&amp;"|"&amp;O1993)</f>
        <v/>
      </c>
    </row>
    <row r="1994">
      <c r="A1994" s="60" t="n"/>
      <c r="B1994" s="63" t="n"/>
      <c r="C1994" s="63" t="n"/>
      <c r="D1994" s="67" t="n"/>
      <c r="E1994" s="68" t="n"/>
      <c r="F1994" s="69" t="n"/>
      <c r="G1994" s="70" t="n"/>
      <c r="H1994" s="62" t="str">
        <f>IF(COUNTA(A1994:G1994)=0,"",IF(C1994&lt;&gt;"",C1994,IF(B1994="","",IFERROR(INDEX(pr_des,MATCH(B1994,pr_code,0))&amp;"",""))))</f>
        <v/>
      </c>
      <c r="I1994" s="59" t="str">
        <f>IF(B1994="","",IFERROR(INDEX(pr_unit,MATCH(B1994,pr_code,0))&amp;"",""))</f>
        <v/>
      </c>
      <c r="J1994" s="65" t="str">
        <f>IF(COUNTA(A1994:G1994)=0,"",IF(E1994&lt;&gt;"",E1994,IF(B1994="","",IFERROR(IF(INDEX(pr_price,MATCH(B1994,pr_code,0))="","",INDEX(pr_price,MATCH(B1994,pr_code,0))),""))))</f>
        <v/>
      </c>
      <c r="K1994" s="71" t="str">
        <f>IF(COUNTA(A1994:G1994)=0,"",IF(G1994&lt;&gt;"",G1994,IF(B1994="","",IFERROR(IF(INDEX(pr_rate,MATCH(B1994,pr_code,0))="","",INDEX(pr_rate,MATCH(B1994,pr_code,0))),""))))</f>
        <v/>
      </c>
      <c r="L1994" s="65" t="str">
        <f>IF(COUNTA(A1994:G1994)=0,"",IF(AND(ISNUMBER(D1994),ISNUMBER(J1994)),ROUND(D1994*J1994*(1-N(F1994)),2),0))</f>
        <v/>
      </c>
      <c r="M1994" s="62" t="str">
        <f>IF(A1994="","",IFERROR(INDEX(dv_cname,MATCH(A1994,dv_num,0))&amp;"",""))</f>
        <v/>
      </c>
      <c r="N1994" s="59" t="str">
        <f>IF(COUNTA(A1994:G1994)=0,"",IF(A1994="","N° devis manquant",IF(ISNA(MATCH(A1994,dv_num,0)),"Devis inconnu",IF(AND(B1994&lt;&gt;"",ISNA(MATCH(B1994,pr_code,0))),"Article inconnu",IF(H1994="","Désignation manquante",IF(OR(NOT(ISNUMBER(D1994)),N(D1994)&lt;=0),"Quantité invalide",IF(J1994="","Prix manquant",IF(OR(NOT(ISNUMBER(J1994)),N(J1994)&lt;0),"Prix invalide",IF(OR(AND(F1994&lt;&gt;"",NOT(ISNUMBER(F1994))),N(F1994)&lt;0,N(F1994)&gt;1),"Remise invalide",IF(K1994="","Taux de TVA manquant",IF(NOT(ISNUMBER(K1994)),"Taux de TVA invalide",IF(COUNTIF(p_rates,K1994)=0,"Taux de TVA hors liste (Paramètres)",IF(N(O1994)&gt;25,"Au-delà de 25 lignes : non imprimée","OK")))))))))))))</f>
        <v/>
      </c>
      <c r="O1994" s="59" t="str">
        <f>IF(A1994="","",COUNTIF($A$6:A1994,A1994))</f>
        <v/>
      </c>
      <c r="P1994" s="62" t="str">
        <f>IF(A1994="","",A1994&amp;"|"&amp;O1994)</f>
        <v/>
      </c>
    </row>
    <row r="1995">
      <c r="A1995" s="60" t="n"/>
      <c r="B1995" s="63" t="n"/>
      <c r="C1995" s="63" t="n"/>
      <c r="D1995" s="67" t="n"/>
      <c r="E1995" s="68" t="n"/>
      <c r="F1995" s="69" t="n"/>
      <c r="G1995" s="70" t="n"/>
      <c r="H1995" s="62" t="str">
        <f>IF(COUNTA(A1995:G1995)=0,"",IF(C1995&lt;&gt;"",C1995,IF(B1995="","",IFERROR(INDEX(pr_des,MATCH(B1995,pr_code,0))&amp;"",""))))</f>
        <v/>
      </c>
      <c r="I1995" s="59" t="str">
        <f>IF(B1995="","",IFERROR(INDEX(pr_unit,MATCH(B1995,pr_code,0))&amp;"",""))</f>
        <v/>
      </c>
      <c r="J1995" s="65" t="str">
        <f>IF(COUNTA(A1995:G1995)=0,"",IF(E1995&lt;&gt;"",E1995,IF(B1995="","",IFERROR(IF(INDEX(pr_price,MATCH(B1995,pr_code,0))="","",INDEX(pr_price,MATCH(B1995,pr_code,0))),""))))</f>
        <v/>
      </c>
      <c r="K1995" s="71" t="str">
        <f>IF(COUNTA(A1995:G1995)=0,"",IF(G1995&lt;&gt;"",G1995,IF(B1995="","",IFERROR(IF(INDEX(pr_rate,MATCH(B1995,pr_code,0))="","",INDEX(pr_rate,MATCH(B1995,pr_code,0))),""))))</f>
        <v/>
      </c>
      <c r="L1995" s="65" t="str">
        <f>IF(COUNTA(A1995:G1995)=0,"",IF(AND(ISNUMBER(D1995),ISNUMBER(J1995)),ROUND(D1995*J1995*(1-N(F1995)),2),0))</f>
        <v/>
      </c>
      <c r="M1995" s="62" t="str">
        <f>IF(A1995="","",IFERROR(INDEX(dv_cname,MATCH(A1995,dv_num,0))&amp;"",""))</f>
        <v/>
      </c>
      <c r="N1995" s="59" t="str">
        <f>IF(COUNTA(A1995:G1995)=0,"",IF(A1995="","N° devis manquant",IF(ISNA(MATCH(A1995,dv_num,0)),"Devis inconnu",IF(AND(B1995&lt;&gt;"",ISNA(MATCH(B1995,pr_code,0))),"Article inconnu",IF(H1995="","Désignation manquante",IF(OR(NOT(ISNUMBER(D1995)),N(D1995)&lt;=0),"Quantité invalide",IF(J1995="","Prix manquant",IF(OR(NOT(ISNUMBER(J1995)),N(J1995)&lt;0),"Prix invalide",IF(OR(AND(F1995&lt;&gt;"",NOT(ISNUMBER(F1995))),N(F1995)&lt;0,N(F1995)&gt;1),"Remise invalide",IF(K1995="","Taux de TVA manquant",IF(NOT(ISNUMBER(K1995)),"Taux de TVA invalide",IF(COUNTIF(p_rates,K1995)=0,"Taux de TVA hors liste (Paramètres)",IF(N(O1995)&gt;25,"Au-delà de 25 lignes : non imprimée","OK")))))))))))))</f>
        <v/>
      </c>
      <c r="O1995" s="59" t="str">
        <f>IF(A1995="","",COUNTIF($A$6:A1995,A1995))</f>
        <v/>
      </c>
      <c r="P1995" s="62" t="str">
        <f>IF(A1995="","",A1995&amp;"|"&amp;O1995)</f>
        <v/>
      </c>
    </row>
    <row r="1996">
      <c r="A1996" s="60" t="n"/>
      <c r="B1996" s="63" t="n"/>
      <c r="C1996" s="63" t="n"/>
      <c r="D1996" s="67" t="n"/>
      <c r="E1996" s="68" t="n"/>
      <c r="F1996" s="69" t="n"/>
      <c r="G1996" s="70" t="n"/>
      <c r="H1996" s="62" t="str">
        <f>IF(COUNTA(A1996:G1996)=0,"",IF(C1996&lt;&gt;"",C1996,IF(B1996="","",IFERROR(INDEX(pr_des,MATCH(B1996,pr_code,0))&amp;"",""))))</f>
        <v/>
      </c>
      <c r="I1996" s="59" t="str">
        <f>IF(B1996="","",IFERROR(INDEX(pr_unit,MATCH(B1996,pr_code,0))&amp;"",""))</f>
        <v/>
      </c>
      <c r="J1996" s="65" t="str">
        <f>IF(COUNTA(A1996:G1996)=0,"",IF(E1996&lt;&gt;"",E1996,IF(B1996="","",IFERROR(IF(INDEX(pr_price,MATCH(B1996,pr_code,0))="","",INDEX(pr_price,MATCH(B1996,pr_code,0))),""))))</f>
        <v/>
      </c>
      <c r="K1996" s="71" t="str">
        <f>IF(COUNTA(A1996:G1996)=0,"",IF(G1996&lt;&gt;"",G1996,IF(B1996="","",IFERROR(IF(INDEX(pr_rate,MATCH(B1996,pr_code,0))="","",INDEX(pr_rate,MATCH(B1996,pr_code,0))),""))))</f>
        <v/>
      </c>
      <c r="L1996" s="65" t="str">
        <f>IF(COUNTA(A1996:G1996)=0,"",IF(AND(ISNUMBER(D1996),ISNUMBER(J1996)),ROUND(D1996*J1996*(1-N(F1996)),2),0))</f>
        <v/>
      </c>
      <c r="M1996" s="62" t="str">
        <f>IF(A1996="","",IFERROR(INDEX(dv_cname,MATCH(A1996,dv_num,0))&amp;"",""))</f>
        <v/>
      </c>
      <c r="N1996" s="59" t="str">
        <f>IF(COUNTA(A1996:G1996)=0,"",IF(A1996="","N° devis manquant",IF(ISNA(MATCH(A1996,dv_num,0)),"Devis inconnu",IF(AND(B1996&lt;&gt;"",ISNA(MATCH(B1996,pr_code,0))),"Article inconnu",IF(H1996="","Désignation manquante",IF(OR(NOT(ISNUMBER(D1996)),N(D1996)&lt;=0),"Quantité invalide",IF(J1996="","Prix manquant",IF(OR(NOT(ISNUMBER(J1996)),N(J1996)&lt;0),"Prix invalide",IF(OR(AND(F1996&lt;&gt;"",NOT(ISNUMBER(F1996))),N(F1996)&lt;0,N(F1996)&gt;1),"Remise invalide",IF(K1996="","Taux de TVA manquant",IF(NOT(ISNUMBER(K1996)),"Taux de TVA invalide",IF(COUNTIF(p_rates,K1996)=0,"Taux de TVA hors liste (Paramètres)",IF(N(O1996)&gt;25,"Au-delà de 25 lignes : non imprimée","OK")))))))))))))</f>
        <v/>
      </c>
      <c r="O1996" s="59" t="str">
        <f>IF(A1996="","",COUNTIF($A$6:A1996,A1996))</f>
        <v/>
      </c>
      <c r="P1996" s="62" t="str">
        <f>IF(A1996="","",A1996&amp;"|"&amp;O1996)</f>
        <v/>
      </c>
    </row>
    <row r="1997">
      <c r="A1997" s="60" t="n"/>
      <c r="B1997" s="63" t="n"/>
      <c r="C1997" s="63" t="n"/>
      <c r="D1997" s="67" t="n"/>
      <c r="E1997" s="68" t="n"/>
      <c r="F1997" s="69" t="n"/>
      <c r="G1997" s="70" t="n"/>
      <c r="H1997" s="62" t="str">
        <f>IF(COUNTA(A1997:G1997)=0,"",IF(C1997&lt;&gt;"",C1997,IF(B1997="","",IFERROR(INDEX(pr_des,MATCH(B1997,pr_code,0))&amp;"",""))))</f>
        <v/>
      </c>
      <c r="I1997" s="59" t="str">
        <f>IF(B1997="","",IFERROR(INDEX(pr_unit,MATCH(B1997,pr_code,0))&amp;"",""))</f>
        <v/>
      </c>
      <c r="J1997" s="65" t="str">
        <f>IF(COUNTA(A1997:G1997)=0,"",IF(E1997&lt;&gt;"",E1997,IF(B1997="","",IFERROR(IF(INDEX(pr_price,MATCH(B1997,pr_code,0))="","",INDEX(pr_price,MATCH(B1997,pr_code,0))),""))))</f>
        <v/>
      </c>
      <c r="K1997" s="71" t="str">
        <f>IF(COUNTA(A1997:G1997)=0,"",IF(G1997&lt;&gt;"",G1997,IF(B1997="","",IFERROR(IF(INDEX(pr_rate,MATCH(B1997,pr_code,0))="","",INDEX(pr_rate,MATCH(B1997,pr_code,0))),""))))</f>
        <v/>
      </c>
      <c r="L1997" s="65" t="str">
        <f>IF(COUNTA(A1997:G1997)=0,"",IF(AND(ISNUMBER(D1997),ISNUMBER(J1997)),ROUND(D1997*J1997*(1-N(F1997)),2),0))</f>
        <v/>
      </c>
      <c r="M1997" s="62" t="str">
        <f>IF(A1997="","",IFERROR(INDEX(dv_cname,MATCH(A1997,dv_num,0))&amp;"",""))</f>
        <v/>
      </c>
      <c r="N1997" s="59" t="str">
        <f>IF(COUNTA(A1997:G1997)=0,"",IF(A1997="","N° devis manquant",IF(ISNA(MATCH(A1997,dv_num,0)),"Devis inconnu",IF(AND(B1997&lt;&gt;"",ISNA(MATCH(B1997,pr_code,0))),"Article inconnu",IF(H1997="","Désignation manquante",IF(OR(NOT(ISNUMBER(D1997)),N(D1997)&lt;=0),"Quantité invalide",IF(J1997="","Prix manquant",IF(OR(NOT(ISNUMBER(J1997)),N(J1997)&lt;0),"Prix invalide",IF(OR(AND(F1997&lt;&gt;"",NOT(ISNUMBER(F1997))),N(F1997)&lt;0,N(F1997)&gt;1),"Remise invalide",IF(K1997="","Taux de TVA manquant",IF(NOT(ISNUMBER(K1997)),"Taux de TVA invalide",IF(COUNTIF(p_rates,K1997)=0,"Taux de TVA hors liste (Paramètres)",IF(N(O1997)&gt;25,"Au-delà de 25 lignes : non imprimée","OK")))))))))))))</f>
        <v/>
      </c>
      <c r="O1997" s="59" t="str">
        <f>IF(A1997="","",COUNTIF($A$6:A1997,A1997))</f>
        <v/>
      </c>
      <c r="P1997" s="62" t="str">
        <f>IF(A1997="","",A1997&amp;"|"&amp;O1997)</f>
        <v/>
      </c>
    </row>
    <row r="1998">
      <c r="A1998" s="60" t="n"/>
      <c r="B1998" s="63" t="n"/>
      <c r="C1998" s="63" t="n"/>
      <c r="D1998" s="67" t="n"/>
      <c r="E1998" s="68" t="n"/>
      <c r="F1998" s="69" t="n"/>
      <c r="G1998" s="70" t="n"/>
      <c r="H1998" s="62" t="str">
        <f>IF(COUNTA(A1998:G1998)=0,"",IF(C1998&lt;&gt;"",C1998,IF(B1998="","",IFERROR(INDEX(pr_des,MATCH(B1998,pr_code,0))&amp;"",""))))</f>
        <v/>
      </c>
      <c r="I1998" s="59" t="str">
        <f>IF(B1998="","",IFERROR(INDEX(pr_unit,MATCH(B1998,pr_code,0))&amp;"",""))</f>
        <v/>
      </c>
      <c r="J1998" s="65" t="str">
        <f>IF(COUNTA(A1998:G1998)=0,"",IF(E1998&lt;&gt;"",E1998,IF(B1998="","",IFERROR(IF(INDEX(pr_price,MATCH(B1998,pr_code,0))="","",INDEX(pr_price,MATCH(B1998,pr_code,0))),""))))</f>
        <v/>
      </c>
      <c r="K1998" s="71" t="str">
        <f>IF(COUNTA(A1998:G1998)=0,"",IF(G1998&lt;&gt;"",G1998,IF(B1998="","",IFERROR(IF(INDEX(pr_rate,MATCH(B1998,pr_code,0))="","",INDEX(pr_rate,MATCH(B1998,pr_code,0))),""))))</f>
        <v/>
      </c>
      <c r="L1998" s="65" t="str">
        <f>IF(COUNTA(A1998:G1998)=0,"",IF(AND(ISNUMBER(D1998),ISNUMBER(J1998)),ROUND(D1998*J1998*(1-N(F1998)),2),0))</f>
        <v/>
      </c>
      <c r="M1998" s="62" t="str">
        <f>IF(A1998="","",IFERROR(INDEX(dv_cname,MATCH(A1998,dv_num,0))&amp;"",""))</f>
        <v/>
      </c>
      <c r="N1998" s="59" t="str">
        <f>IF(COUNTA(A1998:G1998)=0,"",IF(A1998="","N° devis manquant",IF(ISNA(MATCH(A1998,dv_num,0)),"Devis inconnu",IF(AND(B1998&lt;&gt;"",ISNA(MATCH(B1998,pr_code,0))),"Article inconnu",IF(H1998="","Désignation manquante",IF(OR(NOT(ISNUMBER(D1998)),N(D1998)&lt;=0),"Quantité invalide",IF(J1998="","Prix manquant",IF(OR(NOT(ISNUMBER(J1998)),N(J1998)&lt;0),"Prix invalide",IF(OR(AND(F1998&lt;&gt;"",NOT(ISNUMBER(F1998))),N(F1998)&lt;0,N(F1998)&gt;1),"Remise invalide",IF(K1998="","Taux de TVA manquant",IF(NOT(ISNUMBER(K1998)),"Taux de TVA invalide",IF(COUNTIF(p_rates,K1998)=0,"Taux de TVA hors liste (Paramètres)",IF(N(O1998)&gt;25,"Au-delà de 25 lignes : non imprimée","OK")))))))))))))</f>
        <v/>
      </c>
      <c r="O1998" s="59" t="str">
        <f>IF(A1998="","",COUNTIF($A$6:A1998,A1998))</f>
        <v/>
      </c>
      <c r="P1998" s="62" t="str">
        <f>IF(A1998="","",A1998&amp;"|"&amp;O1998)</f>
        <v/>
      </c>
    </row>
    <row r="1999">
      <c r="A1999" s="60" t="n"/>
      <c r="B1999" s="63" t="n"/>
      <c r="C1999" s="63" t="n"/>
      <c r="D1999" s="67" t="n"/>
      <c r="E1999" s="68" t="n"/>
      <c r="F1999" s="69" t="n"/>
      <c r="G1999" s="70" t="n"/>
      <c r="H1999" s="62" t="str">
        <f>IF(COUNTA(A1999:G1999)=0,"",IF(C1999&lt;&gt;"",C1999,IF(B1999="","",IFERROR(INDEX(pr_des,MATCH(B1999,pr_code,0))&amp;"",""))))</f>
        <v/>
      </c>
      <c r="I1999" s="59" t="str">
        <f>IF(B1999="","",IFERROR(INDEX(pr_unit,MATCH(B1999,pr_code,0))&amp;"",""))</f>
        <v/>
      </c>
      <c r="J1999" s="65" t="str">
        <f>IF(COUNTA(A1999:G1999)=0,"",IF(E1999&lt;&gt;"",E1999,IF(B1999="","",IFERROR(IF(INDEX(pr_price,MATCH(B1999,pr_code,0))="","",INDEX(pr_price,MATCH(B1999,pr_code,0))),""))))</f>
        <v/>
      </c>
      <c r="K1999" s="71" t="str">
        <f>IF(COUNTA(A1999:G1999)=0,"",IF(G1999&lt;&gt;"",G1999,IF(B1999="","",IFERROR(IF(INDEX(pr_rate,MATCH(B1999,pr_code,0))="","",INDEX(pr_rate,MATCH(B1999,pr_code,0))),""))))</f>
        <v/>
      </c>
      <c r="L1999" s="65" t="str">
        <f>IF(COUNTA(A1999:G1999)=0,"",IF(AND(ISNUMBER(D1999),ISNUMBER(J1999)),ROUND(D1999*J1999*(1-N(F1999)),2),0))</f>
        <v/>
      </c>
      <c r="M1999" s="62" t="str">
        <f>IF(A1999="","",IFERROR(INDEX(dv_cname,MATCH(A1999,dv_num,0))&amp;"",""))</f>
        <v/>
      </c>
      <c r="N1999" s="59" t="str">
        <f>IF(COUNTA(A1999:G1999)=0,"",IF(A1999="","N° devis manquant",IF(ISNA(MATCH(A1999,dv_num,0)),"Devis inconnu",IF(AND(B1999&lt;&gt;"",ISNA(MATCH(B1999,pr_code,0))),"Article inconnu",IF(H1999="","Désignation manquante",IF(OR(NOT(ISNUMBER(D1999)),N(D1999)&lt;=0),"Quantité invalide",IF(J1999="","Prix manquant",IF(OR(NOT(ISNUMBER(J1999)),N(J1999)&lt;0),"Prix invalide",IF(OR(AND(F1999&lt;&gt;"",NOT(ISNUMBER(F1999))),N(F1999)&lt;0,N(F1999)&gt;1),"Remise invalide",IF(K1999="","Taux de TVA manquant",IF(NOT(ISNUMBER(K1999)),"Taux de TVA invalide",IF(COUNTIF(p_rates,K1999)=0,"Taux de TVA hors liste (Paramètres)",IF(N(O1999)&gt;25,"Au-delà de 25 lignes : non imprimée","OK")))))))))))))</f>
        <v/>
      </c>
      <c r="O1999" s="59" t="str">
        <f>IF(A1999="","",COUNTIF($A$6:A1999,A1999))</f>
        <v/>
      </c>
      <c r="P1999" s="62" t="str">
        <f>IF(A1999="","",A1999&amp;"|"&amp;O1999)</f>
        <v/>
      </c>
    </row>
    <row r="2000">
      <c r="A2000" s="60" t="n"/>
      <c r="B2000" s="63" t="n"/>
      <c r="C2000" s="63" t="n"/>
      <c r="D2000" s="67" t="n"/>
      <c r="E2000" s="68" t="n"/>
      <c r="F2000" s="69" t="n"/>
      <c r="G2000" s="70" t="n"/>
      <c r="H2000" s="62" t="str">
        <f>IF(COUNTA(A2000:G2000)=0,"",IF(C2000&lt;&gt;"",C2000,IF(B2000="","",IFERROR(INDEX(pr_des,MATCH(B2000,pr_code,0))&amp;"",""))))</f>
        <v/>
      </c>
      <c r="I2000" s="59" t="str">
        <f>IF(B2000="","",IFERROR(INDEX(pr_unit,MATCH(B2000,pr_code,0))&amp;"",""))</f>
        <v/>
      </c>
      <c r="J2000" s="65" t="str">
        <f>IF(COUNTA(A2000:G2000)=0,"",IF(E2000&lt;&gt;"",E2000,IF(B2000="","",IFERROR(IF(INDEX(pr_price,MATCH(B2000,pr_code,0))="","",INDEX(pr_price,MATCH(B2000,pr_code,0))),""))))</f>
        <v/>
      </c>
      <c r="K2000" s="71" t="str">
        <f>IF(COUNTA(A2000:G2000)=0,"",IF(G2000&lt;&gt;"",G2000,IF(B2000="","",IFERROR(IF(INDEX(pr_rate,MATCH(B2000,pr_code,0))="","",INDEX(pr_rate,MATCH(B2000,pr_code,0))),""))))</f>
        <v/>
      </c>
      <c r="L2000" s="65" t="str">
        <f>IF(COUNTA(A2000:G2000)=0,"",IF(AND(ISNUMBER(D2000),ISNUMBER(J2000)),ROUND(D2000*J2000*(1-N(F2000)),2),0))</f>
        <v/>
      </c>
      <c r="M2000" s="62" t="str">
        <f>IF(A2000="","",IFERROR(INDEX(dv_cname,MATCH(A2000,dv_num,0))&amp;"",""))</f>
        <v/>
      </c>
      <c r="N2000" s="59" t="str">
        <f>IF(COUNTA(A2000:G2000)=0,"",IF(A2000="","N° devis manquant",IF(ISNA(MATCH(A2000,dv_num,0)),"Devis inconnu",IF(AND(B2000&lt;&gt;"",ISNA(MATCH(B2000,pr_code,0))),"Article inconnu",IF(H2000="","Désignation manquante",IF(OR(NOT(ISNUMBER(D2000)),N(D2000)&lt;=0),"Quantité invalide",IF(J2000="","Prix manquant",IF(OR(NOT(ISNUMBER(J2000)),N(J2000)&lt;0),"Prix invalide",IF(OR(AND(F2000&lt;&gt;"",NOT(ISNUMBER(F2000))),N(F2000)&lt;0,N(F2000)&gt;1),"Remise invalide",IF(K2000="","Taux de TVA manquant",IF(NOT(ISNUMBER(K2000)),"Taux de TVA invalide",IF(COUNTIF(p_rates,K2000)=0,"Taux de TVA hors liste (Paramètres)",IF(N(O2000)&gt;25,"Au-delà de 25 lignes : non imprimée","OK")))))))))))))</f>
        <v/>
      </c>
      <c r="O2000" s="59" t="str">
        <f>IF(A2000="","",COUNTIF($A$6:A2000,A2000))</f>
        <v/>
      </c>
      <c r="P2000" s="62" t="str">
        <f>IF(A2000="","",A2000&amp;"|"&amp;O2000)</f>
        <v/>
      </c>
    </row>
    <row r="2001">
      <c r="A2001" s="60" t="n"/>
      <c r="B2001" s="63" t="n"/>
      <c r="C2001" s="63" t="n"/>
      <c r="D2001" s="67" t="n"/>
      <c r="E2001" s="68" t="n"/>
      <c r="F2001" s="69" t="n"/>
      <c r="G2001" s="70" t="n"/>
      <c r="H2001" s="62" t="str">
        <f>IF(COUNTA(A2001:G2001)=0,"",IF(C2001&lt;&gt;"",C2001,IF(B2001="","",IFERROR(INDEX(pr_des,MATCH(B2001,pr_code,0))&amp;"",""))))</f>
        <v/>
      </c>
      <c r="I2001" s="59" t="str">
        <f>IF(B2001="","",IFERROR(INDEX(pr_unit,MATCH(B2001,pr_code,0))&amp;"",""))</f>
        <v/>
      </c>
      <c r="J2001" s="65" t="str">
        <f>IF(COUNTA(A2001:G2001)=0,"",IF(E2001&lt;&gt;"",E2001,IF(B2001="","",IFERROR(IF(INDEX(pr_price,MATCH(B2001,pr_code,0))="","",INDEX(pr_price,MATCH(B2001,pr_code,0))),""))))</f>
        <v/>
      </c>
      <c r="K2001" s="71" t="str">
        <f>IF(COUNTA(A2001:G2001)=0,"",IF(G2001&lt;&gt;"",G2001,IF(B2001="","",IFERROR(IF(INDEX(pr_rate,MATCH(B2001,pr_code,0))="","",INDEX(pr_rate,MATCH(B2001,pr_code,0))),""))))</f>
        <v/>
      </c>
      <c r="L2001" s="65" t="str">
        <f>IF(COUNTA(A2001:G2001)=0,"",IF(AND(ISNUMBER(D2001),ISNUMBER(J2001)),ROUND(D2001*J2001*(1-N(F2001)),2),0))</f>
        <v/>
      </c>
      <c r="M2001" s="62" t="str">
        <f>IF(A2001="","",IFERROR(INDEX(dv_cname,MATCH(A2001,dv_num,0))&amp;"",""))</f>
        <v/>
      </c>
      <c r="N2001" s="59" t="str">
        <f>IF(COUNTA(A2001:G2001)=0,"",IF(A2001="","N° devis manquant",IF(ISNA(MATCH(A2001,dv_num,0)),"Devis inconnu",IF(AND(B2001&lt;&gt;"",ISNA(MATCH(B2001,pr_code,0))),"Article inconnu",IF(H2001="","Désignation manquante",IF(OR(NOT(ISNUMBER(D2001)),N(D2001)&lt;=0),"Quantité invalide",IF(J2001="","Prix manquant",IF(OR(NOT(ISNUMBER(J2001)),N(J2001)&lt;0),"Prix invalide",IF(OR(AND(F2001&lt;&gt;"",NOT(ISNUMBER(F2001))),N(F2001)&lt;0,N(F2001)&gt;1),"Remise invalide",IF(K2001="","Taux de TVA manquant",IF(NOT(ISNUMBER(K2001)),"Taux de TVA invalide",IF(COUNTIF(p_rates,K2001)=0,"Taux de TVA hors liste (Paramètres)",IF(N(O2001)&gt;25,"Au-delà de 25 lignes : non imprimée","OK")))))))))))))</f>
        <v/>
      </c>
      <c r="O2001" s="59" t="str">
        <f>IF(A2001="","",COUNTIF($A$6:A2001,A2001))</f>
        <v/>
      </c>
      <c r="P2001" s="62" t="str">
        <f>IF(A2001="","",A2001&amp;"|"&amp;O2001)</f>
        <v/>
      </c>
    </row>
    <row r="2002">
      <c r="A2002" s="60" t="n"/>
      <c r="B2002" s="63" t="n"/>
      <c r="C2002" s="63" t="n"/>
      <c r="D2002" s="67" t="n"/>
      <c r="E2002" s="68" t="n"/>
      <c r="F2002" s="69" t="n"/>
      <c r="G2002" s="70" t="n"/>
      <c r="H2002" s="62" t="str">
        <f>IF(COUNTA(A2002:G2002)=0,"",IF(C2002&lt;&gt;"",C2002,IF(B2002="","",IFERROR(INDEX(pr_des,MATCH(B2002,pr_code,0))&amp;"",""))))</f>
        <v/>
      </c>
      <c r="I2002" s="59" t="str">
        <f>IF(B2002="","",IFERROR(INDEX(pr_unit,MATCH(B2002,pr_code,0))&amp;"",""))</f>
        <v/>
      </c>
      <c r="J2002" s="65" t="str">
        <f>IF(COUNTA(A2002:G2002)=0,"",IF(E2002&lt;&gt;"",E2002,IF(B2002="","",IFERROR(IF(INDEX(pr_price,MATCH(B2002,pr_code,0))="","",INDEX(pr_price,MATCH(B2002,pr_code,0))),""))))</f>
        <v/>
      </c>
      <c r="K2002" s="71" t="str">
        <f>IF(COUNTA(A2002:G2002)=0,"",IF(G2002&lt;&gt;"",G2002,IF(B2002="","",IFERROR(IF(INDEX(pr_rate,MATCH(B2002,pr_code,0))="","",INDEX(pr_rate,MATCH(B2002,pr_code,0))),""))))</f>
        <v/>
      </c>
      <c r="L2002" s="65" t="str">
        <f>IF(COUNTA(A2002:G2002)=0,"",IF(AND(ISNUMBER(D2002),ISNUMBER(J2002)),ROUND(D2002*J2002*(1-N(F2002)),2),0))</f>
        <v/>
      </c>
      <c r="M2002" s="62" t="str">
        <f>IF(A2002="","",IFERROR(INDEX(dv_cname,MATCH(A2002,dv_num,0))&amp;"",""))</f>
        <v/>
      </c>
      <c r="N2002" s="59" t="str">
        <f>IF(COUNTA(A2002:G2002)=0,"",IF(A2002="","N° devis manquant",IF(ISNA(MATCH(A2002,dv_num,0)),"Devis inconnu",IF(AND(B2002&lt;&gt;"",ISNA(MATCH(B2002,pr_code,0))),"Article inconnu",IF(H2002="","Désignation manquante",IF(OR(NOT(ISNUMBER(D2002)),N(D2002)&lt;=0),"Quantité invalide",IF(J2002="","Prix manquant",IF(OR(NOT(ISNUMBER(J2002)),N(J2002)&lt;0),"Prix invalide",IF(OR(AND(F2002&lt;&gt;"",NOT(ISNUMBER(F2002))),N(F2002)&lt;0,N(F2002)&gt;1),"Remise invalide",IF(K2002="","Taux de TVA manquant",IF(NOT(ISNUMBER(K2002)),"Taux de TVA invalide",IF(COUNTIF(p_rates,K2002)=0,"Taux de TVA hors liste (Paramètres)",IF(N(O2002)&gt;25,"Au-delà de 25 lignes : non imprimée","OK")))))))))))))</f>
        <v/>
      </c>
      <c r="O2002" s="59" t="str">
        <f>IF(A2002="","",COUNTIF($A$6:A2002,A2002))</f>
        <v/>
      </c>
      <c r="P2002" s="62" t="str">
        <f>IF(A2002="","",A2002&amp;"|"&amp;O2002)</f>
        <v/>
      </c>
    </row>
    <row r="2003">
      <c r="A2003" s="60" t="n"/>
      <c r="B2003" s="63" t="n"/>
      <c r="C2003" s="63" t="n"/>
      <c r="D2003" s="67" t="n"/>
      <c r="E2003" s="68" t="n"/>
      <c r="F2003" s="69" t="n"/>
      <c r="G2003" s="70" t="n"/>
      <c r="H2003" s="62" t="str">
        <f>IF(COUNTA(A2003:G2003)=0,"",IF(C2003&lt;&gt;"",C2003,IF(B2003="","",IFERROR(INDEX(pr_des,MATCH(B2003,pr_code,0))&amp;"",""))))</f>
        <v/>
      </c>
      <c r="I2003" s="59" t="str">
        <f>IF(B2003="","",IFERROR(INDEX(pr_unit,MATCH(B2003,pr_code,0))&amp;"",""))</f>
        <v/>
      </c>
      <c r="J2003" s="65" t="str">
        <f>IF(COUNTA(A2003:G2003)=0,"",IF(E2003&lt;&gt;"",E2003,IF(B2003="","",IFERROR(IF(INDEX(pr_price,MATCH(B2003,pr_code,0))="","",INDEX(pr_price,MATCH(B2003,pr_code,0))),""))))</f>
        <v/>
      </c>
      <c r="K2003" s="71" t="str">
        <f>IF(COUNTA(A2003:G2003)=0,"",IF(G2003&lt;&gt;"",G2003,IF(B2003="","",IFERROR(IF(INDEX(pr_rate,MATCH(B2003,pr_code,0))="","",INDEX(pr_rate,MATCH(B2003,pr_code,0))),""))))</f>
        <v/>
      </c>
      <c r="L2003" s="65" t="str">
        <f>IF(COUNTA(A2003:G2003)=0,"",IF(AND(ISNUMBER(D2003),ISNUMBER(J2003)),ROUND(D2003*J2003*(1-N(F2003)),2),0))</f>
        <v/>
      </c>
      <c r="M2003" s="62" t="str">
        <f>IF(A2003="","",IFERROR(INDEX(dv_cname,MATCH(A2003,dv_num,0))&amp;"",""))</f>
        <v/>
      </c>
      <c r="N2003" s="59" t="str">
        <f>IF(COUNTA(A2003:G2003)=0,"",IF(A2003="","N° devis manquant",IF(ISNA(MATCH(A2003,dv_num,0)),"Devis inconnu",IF(AND(B2003&lt;&gt;"",ISNA(MATCH(B2003,pr_code,0))),"Article inconnu",IF(H2003="","Désignation manquante",IF(OR(NOT(ISNUMBER(D2003)),N(D2003)&lt;=0),"Quantité invalide",IF(J2003="","Prix manquant",IF(OR(NOT(ISNUMBER(J2003)),N(J2003)&lt;0),"Prix invalide",IF(OR(AND(F2003&lt;&gt;"",NOT(ISNUMBER(F2003))),N(F2003)&lt;0,N(F2003)&gt;1),"Remise invalide",IF(K2003="","Taux de TVA manquant",IF(NOT(ISNUMBER(K2003)),"Taux de TVA invalide",IF(COUNTIF(p_rates,K2003)=0,"Taux de TVA hors liste (Paramètres)",IF(N(O2003)&gt;25,"Au-delà de 25 lignes : non imprimée","OK")))))))))))))</f>
        <v/>
      </c>
      <c r="O2003" s="59" t="str">
        <f>IF(A2003="","",COUNTIF($A$6:A2003,A2003))</f>
        <v/>
      </c>
      <c r="P2003" s="62" t="str">
        <f>IF(A2003="","",A2003&amp;"|"&amp;O2003)</f>
        <v/>
      </c>
    </row>
    <row r="2004">
      <c r="A2004" s="60" t="n"/>
      <c r="B2004" s="63" t="n"/>
      <c r="C2004" s="63" t="n"/>
      <c r="D2004" s="67" t="n"/>
      <c r="E2004" s="68" t="n"/>
      <c r="F2004" s="69" t="n"/>
      <c r="G2004" s="70" t="n"/>
      <c r="H2004" s="62" t="str">
        <f>IF(COUNTA(A2004:G2004)=0,"",IF(C2004&lt;&gt;"",C2004,IF(B2004="","",IFERROR(INDEX(pr_des,MATCH(B2004,pr_code,0))&amp;"",""))))</f>
        <v/>
      </c>
      <c r="I2004" s="59" t="str">
        <f>IF(B2004="","",IFERROR(INDEX(pr_unit,MATCH(B2004,pr_code,0))&amp;"",""))</f>
        <v/>
      </c>
      <c r="J2004" s="65" t="str">
        <f>IF(COUNTA(A2004:G2004)=0,"",IF(E2004&lt;&gt;"",E2004,IF(B2004="","",IFERROR(IF(INDEX(pr_price,MATCH(B2004,pr_code,0))="","",INDEX(pr_price,MATCH(B2004,pr_code,0))),""))))</f>
        <v/>
      </c>
      <c r="K2004" s="71" t="str">
        <f>IF(COUNTA(A2004:G2004)=0,"",IF(G2004&lt;&gt;"",G2004,IF(B2004="","",IFERROR(IF(INDEX(pr_rate,MATCH(B2004,pr_code,0))="","",INDEX(pr_rate,MATCH(B2004,pr_code,0))),""))))</f>
        <v/>
      </c>
      <c r="L2004" s="65" t="str">
        <f>IF(COUNTA(A2004:G2004)=0,"",IF(AND(ISNUMBER(D2004),ISNUMBER(J2004)),ROUND(D2004*J2004*(1-N(F2004)),2),0))</f>
        <v/>
      </c>
      <c r="M2004" s="62" t="str">
        <f>IF(A2004="","",IFERROR(INDEX(dv_cname,MATCH(A2004,dv_num,0))&amp;"",""))</f>
        <v/>
      </c>
      <c r="N2004" s="59" t="str">
        <f>IF(COUNTA(A2004:G2004)=0,"",IF(A2004="","N° devis manquant",IF(ISNA(MATCH(A2004,dv_num,0)),"Devis inconnu",IF(AND(B2004&lt;&gt;"",ISNA(MATCH(B2004,pr_code,0))),"Article inconnu",IF(H2004="","Désignation manquante",IF(OR(NOT(ISNUMBER(D2004)),N(D2004)&lt;=0),"Quantité invalide",IF(J2004="","Prix manquant",IF(OR(NOT(ISNUMBER(J2004)),N(J2004)&lt;0),"Prix invalide",IF(OR(AND(F2004&lt;&gt;"",NOT(ISNUMBER(F2004))),N(F2004)&lt;0,N(F2004)&gt;1),"Remise invalide",IF(K2004="","Taux de TVA manquant",IF(NOT(ISNUMBER(K2004)),"Taux de TVA invalide",IF(COUNTIF(p_rates,K2004)=0,"Taux de TVA hors liste (Paramètres)",IF(N(O2004)&gt;25,"Au-delà de 25 lignes : non imprimée","OK")))))))))))))</f>
        <v/>
      </c>
      <c r="O2004" s="59" t="str">
        <f>IF(A2004="","",COUNTIF($A$6:A2004,A2004))</f>
        <v/>
      </c>
      <c r="P2004" s="62" t="str">
        <f>IF(A2004="","",A2004&amp;"|"&amp;O2004)</f>
        <v/>
      </c>
    </row>
    <row r="2005">
      <c r="A2005" s="60" t="n"/>
      <c r="B2005" s="63" t="n"/>
      <c r="C2005" s="63" t="n"/>
      <c r="D2005" s="67" t="n"/>
      <c r="E2005" s="68" t="n"/>
      <c r="F2005" s="69" t="n"/>
      <c r="G2005" s="70" t="n"/>
      <c r="H2005" s="62" t="str">
        <f>IF(COUNTA(A2005:G2005)=0,"",IF(C2005&lt;&gt;"",C2005,IF(B2005="","",IFERROR(INDEX(pr_des,MATCH(B2005,pr_code,0))&amp;"",""))))</f>
        <v/>
      </c>
      <c r="I2005" s="59" t="str">
        <f>IF(B2005="","",IFERROR(INDEX(pr_unit,MATCH(B2005,pr_code,0))&amp;"",""))</f>
        <v/>
      </c>
      <c r="J2005" s="65" t="str">
        <f>IF(COUNTA(A2005:G2005)=0,"",IF(E2005&lt;&gt;"",E2005,IF(B2005="","",IFERROR(IF(INDEX(pr_price,MATCH(B2005,pr_code,0))="","",INDEX(pr_price,MATCH(B2005,pr_code,0))),""))))</f>
        <v/>
      </c>
      <c r="K2005" s="71" t="str">
        <f>IF(COUNTA(A2005:G2005)=0,"",IF(G2005&lt;&gt;"",G2005,IF(B2005="","",IFERROR(IF(INDEX(pr_rate,MATCH(B2005,pr_code,0))="","",INDEX(pr_rate,MATCH(B2005,pr_code,0))),""))))</f>
        <v/>
      </c>
      <c r="L2005" s="65" t="str">
        <f>IF(COUNTA(A2005:G2005)=0,"",IF(AND(ISNUMBER(D2005),ISNUMBER(J2005)),ROUND(D2005*J2005*(1-N(F2005)),2),0))</f>
        <v/>
      </c>
      <c r="M2005" s="62" t="str">
        <f>IF(A2005="","",IFERROR(INDEX(dv_cname,MATCH(A2005,dv_num,0))&amp;"",""))</f>
        <v/>
      </c>
      <c r="N2005" s="59" t="str">
        <f>IF(COUNTA(A2005:G2005)=0,"",IF(A2005="","N° devis manquant",IF(ISNA(MATCH(A2005,dv_num,0)),"Devis inconnu",IF(AND(B2005&lt;&gt;"",ISNA(MATCH(B2005,pr_code,0))),"Article inconnu",IF(H2005="","Désignation manquante",IF(OR(NOT(ISNUMBER(D2005)),N(D2005)&lt;=0),"Quantité invalide",IF(J2005="","Prix manquant",IF(OR(NOT(ISNUMBER(J2005)),N(J2005)&lt;0),"Prix invalide",IF(OR(AND(F2005&lt;&gt;"",NOT(ISNUMBER(F2005))),N(F2005)&lt;0,N(F2005)&gt;1),"Remise invalide",IF(K2005="","Taux de TVA manquant",IF(NOT(ISNUMBER(K2005)),"Taux de TVA invalide",IF(COUNTIF(p_rates,K2005)=0,"Taux de TVA hors liste (Paramètres)",IF(N(O2005)&gt;25,"Au-delà de 25 lignes : non imprimée","OK")))))))))))))</f>
        <v/>
      </c>
      <c r="O2005" s="59" t="str">
        <f>IF(A2005="","",COUNTIF($A$6:A2005,A2005))</f>
        <v/>
      </c>
      <c r="P2005" s="62" t="str">
        <f>IF(A2005="","",A2005&amp;"|"&amp;O2005)</f>
        <v/>
      </c>
    </row>
    <row r="2006">
      <c r="A2006" s="60" t="n"/>
      <c r="B2006" s="63" t="n"/>
      <c r="C2006" s="63" t="n"/>
      <c r="D2006" s="67" t="n"/>
      <c r="E2006" s="68" t="n"/>
      <c r="F2006" s="69" t="n"/>
      <c r="G2006" s="70" t="n"/>
      <c r="H2006" s="62" t="str">
        <f>IF(COUNTA(A2006:G2006)=0,"",IF(C2006&lt;&gt;"",C2006,IF(B2006="","",IFERROR(INDEX(pr_des,MATCH(B2006,pr_code,0))&amp;"",""))))</f>
        <v/>
      </c>
      <c r="I2006" s="59" t="str">
        <f>IF(B2006="","",IFERROR(INDEX(pr_unit,MATCH(B2006,pr_code,0))&amp;"",""))</f>
        <v/>
      </c>
      <c r="J2006" s="65" t="str">
        <f>IF(COUNTA(A2006:G2006)=0,"",IF(E2006&lt;&gt;"",E2006,IF(B2006="","",IFERROR(IF(INDEX(pr_price,MATCH(B2006,pr_code,0))="","",INDEX(pr_price,MATCH(B2006,pr_code,0))),""))))</f>
        <v/>
      </c>
      <c r="K2006" s="71" t="str">
        <f>IF(COUNTA(A2006:G2006)=0,"",IF(G2006&lt;&gt;"",G2006,IF(B2006="","",IFERROR(IF(INDEX(pr_rate,MATCH(B2006,pr_code,0))="","",INDEX(pr_rate,MATCH(B2006,pr_code,0))),""))))</f>
        <v/>
      </c>
      <c r="L2006" s="65" t="str">
        <f>IF(COUNTA(A2006:G2006)=0,"",IF(AND(ISNUMBER(D2006),ISNUMBER(J2006)),ROUND(D2006*J2006*(1-N(F2006)),2),0))</f>
        <v/>
      </c>
      <c r="M2006" s="62" t="str">
        <f>IF(A2006="","",IFERROR(INDEX(dv_cname,MATCH(A2006,dv_num,0))&amp;"",""))</f>
        <v/>
      </c>
      <c r="N2006" s="59" t="str">
        <f>IF(COUNTA(A2006:G2006)=0,"",IF(A2006="","N° devis manquant",IF(ISNA(MATCH(A2006,dv_num,0)),"Devis inconnu",IF(AND(B2006&lt;&gt;"",ISNA(MATCH(B2006,pr_code,0))),"Article inconnu",IF(H2006="","Désignation manquante",IF(OR(NOT(ISNUMBER(D2006)),N(D2006)&lt;=0),"Quantité invalide",IF(J2006="","Prix manquant",IF(OR(NOT(ISNUMBER(J2006)),N(J2006)&lt;0),"Prix invalide",IF(OR(AND(F2006&lt;&gt;"",NOT(ISNUMBER(F2006))),N(F2006)&lt;0,N(F2006)&gt;1),"Remise invalide",IF(K2006="","Taux de TVA manquant",IF(NOT(ISNUMBER(K2006)),"Taux de TVA invalide",IF(COUNTIF(p_rates,K2006)=0,"Taux de TVA hors liste (Paramètres)",IF(N(O2006)&gt;25,"Au-delà de 25 lignes : non imprimée","OK")))))))))))))</f>
        <v/>
      </c>
      <c r="O2006" s="59" t="str">
        <f>IF(A2006="","",COUNTIF($A$6:A2006,A2006))</f>
        <v/>
      </c>
      <c r="P2006" s="62" t="str">
        <f>IF(A2006="","",A2006&amp;"|"&amp;O2006)</f>
        <v/>
      </c>
    </row>
    <row r="2007">
      <c r="A2007" s="60" t="n"/>
      <c r="B2007" s="63" t="n"/>
      <c r="C2007" s="63" t="n"/>
      <c r="D2007" s="67" t="n"/>
      <c r="E2007" s="68" t="n"/>
      <c r="F2007" s="69" t="n"/>
      <c r="G2007" s="70" t="n"/>
      <c r="H2007" s="62" t="str">
        <f>IF(COUNTA(A2007:G2007)=0,"",IF(C2007&lt;&gt;"",C2007,IF(B2007="","",IFERROR(INDEX(pr_des,MATCH(B2007,pr_code,0))&amp;"",""))))</f>
        <v/>
      </c>
      <c r="I2007" s="59" t="str">
        <f>IF(B2007="","",IFERROR(INDEX(pr_unit,MATCH(B2007,pr_code,0))&amp;"",""))</f>
        <v/>
      </c>
      <c r="J2007" s="65" t="str">
        <f>IF(COUNTA(A2007:G2007)=0,"",IF(E2007&lt;&gt;"",E2007,IF(B2007="","",IFERROR(IF(INDEX(pr_price,MATCH(B2007,pr_code,0))="","",INDEX(pr_price,MATCH(B2007,pr_code,0))),""))))</f>
        <v/>
      </c>
      <c r="K2007" s="71" t="str">
        <f>IF(COUNTA(A2007:G2007)=0,"",IF(G2007&lt;&gt;"",G2007,IF(B2007="","",IFERROR(IF(INDEX(pr_rate,MATCH(B2007,pr_code,0))="","",INDEX(pr_rate,MATCH(B2007,pr_code,0))),""))))</f>
        <v/>
      </c>
      <c r="L2007" s="65" t="str">
        <f>IF(COUNTA(A2007:G2007)=0,"",IF(AND(ISNUMBER(D2007),ISNUMBER(J2007)),ROUND(D2007*J2007*(1-N(F2007)),2),0))</f>
        <v/>
      </c>
      <c r="M2007" s="62" t="str">
        <f>IF(A2007="","",IFERROR(INDEX(dv_cname,MATCH(A2007,dv_num,0))&amp;"",""))</f>
        <v/>
      </c>
      <c r="N2007" s="59" t="str">
        <f>IF(COUNTA(A2007:G2007)=0,"",IF(A2007="","N° devis manquant",IF(ISNA(MATCH(A2007,dv_num,0)),"Devis inconnu",IF(AND(B2007&lt;&gt;"",ISNA(MATCH(B2007,pr_code,0))),"Article inconnu",IF(H2007="","Désignation manquante",IF(OR(NOT(ISNUMBER(D2007)),N(D2007)&lt;=0),"Quantité invalide",IF(J2007="","Prix manquant",IF(OR(NOT(ISNUMBER(J2007)),N(J2007)&lt;0),"Prix invalide",IF(OR(AND(F2007&lt;&gt;"",NOT(ISNUMBER(F2007))),N(F2007)&lt;0,N(F2007)&gt;1),"Remise invalide",IF(K2007="","Taux de TVA manquant",IF(NOT(ISNUMBER(K2007)),"Taux de TVA invalide",IF(COUNTIF(p_rates,K2007)=0,"Taux de TVA hors liste (Paramètres)",IF(N(O2007)&gt;25,"Au-delà de 25 lignes : non imprimée","OK")))))))))))))</f>
        <v/>
      </c>
      <c r="O2007" s="59" t="str">
        <f>IF(A2007="","",COUNTIF($A$6:A2007,A2007))</f>
        <v/>
      </c>
      <c r="P2007" s="62" t="str">
        <f>IF(A2007="","",A2007&amp;"|"&amp;O2007)</f>
        <v/>
      </c>
    </row>
    <row r="2008">
      <c r="A2008" s="60" t="n"/>
      <c r="B2008" s="63" t="n"/>
      <c r="C2008" s="63" t="n"/>
      <c r="D2008" s="67" t="n"/>
      <c r="E2008" s="68" t="n"/>
      <c r="F2008" s="69" t="n"/>
      <c r="G2008" s="70" t="n"/>
      <c r="H2008" s="62" t="str">
        <f>IF(COUNTA(A2008:G2008)=0,"",IF(C2008&lt;&gt;"",C2008,IF(B2008="","",IFERROR(INDEX(pr_des,MATCH(B2008,pr_code,0))&amp;"",""))))</f>
        <v/>
      </c>
      <c r="I2008" s="59" t="str">
        <f>IF(B2008="","",IFERROR(INDEX(pr_unit,MATCH(B2008,pr_code,0))&amp;"",""))</f>
        <v/>
      </c>
      <c r="J2008" s="65" t="str">
        <f>IF(COUNTA(A2008:G2008)=0,"",IF(E2008&lt;&gt;"",E2008,IF(B2008="","",IFERROR(IF(INDEX(pr_price,MATCH(B2008,pr_code,0))="","",INDEX(pr_price,MATCH(B2008,pr_code,0))),""))))</f>
        <v/>
      </c>
      <c r="K2008" s="71" t="str">
        <f>IF(COUNTA(A2008:G2008)=0,"",IF(G2008&lt;&gt;"",G2008,IF(B2008="","",IFERROR(IF(INDEX(pr_rate,MATCH(B2008,pr_code,0))="","",INDEX(pr_rate,MATCH(B2008,pr_code,0))),""))))</f>
        <v/>
      </c>
      <c r="L2008" s="65" t="str">
        <f>IF(COUNTA(A2008:G2008)=0,"",IF(AND(ISNUMBER(D2008),ISNUMBER(J2008)),ROUND(D2008*J2008*(1-N(F2008)),2),0))</f>
        <v/>
      </c>
      <c r="M2008" s="62" t="str">
        <f>IF(A2008="","",IFERROR(INDEX(dv_cname,MATCH(A2008,dv_num,0))&amp;"",""))</f>
        <v/>
      </c>
      <c r="N2008" s="59" t="str">
        <f>IF(COUNTA(A2008:G2008)=0,"",IF(A2008="","N° devis manquant",IF(ISNA(MATCH(A2008,dv_num,0)),"Devis inconnu",IF(AND(B2008&lt;&gt;"",ISNA(MATCH(B2008,pr_code,0))),"Article inconnu",IF(H2008="","Désignation manquante",IF(OR(NOT(ISNUMBER(D2008)),N(D2008)&lt;=0),"Quantité invalide",IF(J2008="","Prix manquant",IF(OR(NOT(ISNUMBER(J2008)),N(J2008)&lt;0),"Prix invalide",IF(OR(AND(F2008&lt;&gt;"",NOT(ISNUMBER(F2008))),N(F2008)&lt;0,N(F2008)&gt;1),"Remise invalide",IF(K2008="","Taux de TVA manquant",IF(NOT(ISNUMBER(K2008)),"Taux de TVA invalide",IF(COUNTIF(p_rates,K2008)=0,"Taux de TVA hors liste (Paramètres)",IF(N(O2008)&gt;25,"Au-delà de 25 lignes : non imprimée","OK")))))))))))))</f>
        <v/>
      </c>
      <c r="O2008" s="59" t="str">
        <f>IF(A2008="","",COUNTIF($A$6:A2008,A2008))</f>
        <v/>
      </c>
      <c r="P2008" s="62" t="str">
        <f>IF(A2008="","",A2008&amp;"|"&amp;O2008)</f>
        <v/>
      </c>
    </row>
    <row r="2009">
      <c r="A2009" s="60" t="n"/>
      <c r="B2009" s="63" t="n"/>
      <c r="C2009" s="63" t="n"/>
      <c r="D2009" s="67" t="n"/>
      <c r="E2009" s="68" t="n"/>
      <c r="F2009" s="69" t="n"/>
      <c r="G2009" s="70" t="n"/>
      <c r="H2009" s="62" t="str">
        <f>IF(COUNTA(A2009:G2009)=0,"",IF(C2009&lt;&gt;"",C2009,IF(B2009="","",IFERROR(INDEX(pr_des,MATCH(B2009,pr_code,0))&amp;"",""))))</f>
        <v/>
      </c>
      <c r="I2009" s="59" t="str">
        <f>IF(B2009="","",IFERROR(INDEX(pr_unit,MATCH(B2009,pr_code,0))&amp;"",""))</f>
        <v/>
      </c>
      <c r="J2009" s="65" t="str">
        <f>IF(COUNTA(A2009:G2009)=0,"",IF(E2009&lt;&gt;"",E2009,IF(B2009="","",IFERROR(IF(INDEX(pr_price,MATCH(B2009,pr_code,0))="","",INDEX(pr_price,MATCH(B2009,pr_code,0))),""))))</f>
        <v/>
      </c>
      <c r="K2009" s="71" t="str">
        <f>IF(COUNTA(A2009:G2009)=0,"",IF(G2009&lt;&gt;"",G2009,IF(B2009="","",IFERROR(IF(INDEX(pr_rate,MATCH(B2009,pr_code,0))="","",INDEX(pr_rate,MATCH(B2009,pr_code,0))),""))))</f>
        <v/>
      </c>
      <c r="L2009" s="65" t="str">
        <f>IF(COUNTA(A2009:G2009)=0,"",IF(AND(ISNUMBER(D2009),ISNUMBER(J2009)),ROUND(D2009*J2009*(1-N(F2009)),2),0))</f>
        <v/>
      </c>
      <c r="M2009" s="62" t="str">
        <f>IF(A2009="","",IFERROR(INDEX(dv_cname,MATCH(A2009,dv_num,0))&amp;"",""))</f>
        <v/>
      </c>
      <c r="N2009" s="59" t="str">
        <f>IF(COUNTA(A2009:G2009)=0,"",IF(A2009="","N° devis manquant",IF(ISNA(MATCH(A2009,dv_num,0)),"Devis inconnu",IF(AND(B2009&lt;&gt;"",ISNA(MATCH(B2009,pr_code,0))),"Article inconnu",IF(H2009="","Désignation manquante",IF(OR(NOT(ISNUMBER(D2009)),N(D2009)&lt;=0),"Quantité invalide",IF(J2009="","Prix manquant",IF(OR(NOT(ISNUMBER(J2009)),N(J2009)&lt;0),"Prix invalide",IF(OR(AND(F2009&lt;&gt;"",NOT(ISNUMBER(F2009))),N(F2009)&lt;0,N(F2009)&gt;1),"Remise invalide",IF(K2009="","Taux de TVA manquant",IF(NOT(ISNUMBER(K2009)),"Taux de TVA invalide",IF(COUNTIF(p_rates,K2009)=0,"Taux de TVA hors liste (Paramètres)",IF(N(O2009)&gt;25,"Au-delà de 25 lignes : non imprimée","OK")))))))))))))</f>
        <v/>
      </c>
      <c r="O2009" s="59" t="str">
        <f>IF(A2009="","",COUNTIF($A$6:A2009,A2009))</f>
        <v/>
      </c>
      <c r="P2009" s="62" t="str">
        <f>IF(A2009="","",A2009&amp;"|"&amp;O2009)</f>
        <v/>
      </c>
    </row>
    <row r="2010">
      <c r="A2010" s="60" t="n"/>
      <c r="B2010" s="63" t="n"/>
      <c r="C2010" s="63" t="n"/>
      <c r="D2010" s="67" t="n"/>
      <c r="E2010" s="68" t="n"/>
      <c r="F2010" s="69" t="n"/>
      <c r="G2010" s="70" t="n"/>
      <c r="H2010" s="62" t="str">
        <f>IF(COUNTA(A2010:G2010)=0,"",IF(C2010&lt;&gt;"",C2010,IF(B2010="","",IFERROR(INDEX(pr_des,MATCH(B2010,pr_code,0))&amp;"",""))))</f>
        <v/>
      </c>
      <c r="I2010" s="59" t="str">
        <f>IF(B2010="","",IFERROR(INDEX(pr_unit,MATCH(B2010,pr_code,0))&amp;"",""))</f>
        <v/>
      </c>
      <c r="J2010" s="65" t="str">
        <f>IF(COUNTA(A2010:G2010)=0,"",IF(E2010&lt;&gt;"",E2010,IF(B2010="","",IFERROR(IF(INDEX(pr_price,MATCH(B2010,pr_code,0))="","",INDEX(pr_price,MATCH(B2010,pr_code,0))),""))))</f>
        <v/>
      </c>
      <c r="K2010" s="71" t="str">
        <f>IF(COUNTA(A2010:G2010)=0,"",IF(G2010&lt;&gt;"",G2010,IF(B2010="","",IFERROR(IF(INDEX(pr_rate,MATCH(B2010,pr_code,0))="","",INDEX(pr_rate,MATCH(B2010,pr_code,0))),""))))</f>
        <v/>
      </c>
      <c r="L2010" s="65" t="str">
        <f>IF(COUNTA(A2010:G2010)=0,"",IF(AND(ISNUMBER(D2010),ISNUMBER(J2010)),ROUND(D2010*J2010*(1-N(F2010)),2),0))</f>
        <v/>
      </c>
      <c r="M2010" s="62" t="str">
        <f>IF(A2010="","",IFERROR(INDEX(dv_cname,MATCH(A2010,dv_num,0))&amp;"",""))</f>
        <v/>
      </c>
      <c r="N2010" s="59" t="str">
        <f>IF(COUNTA(A2010:G2010)=0,"",IF(A2010="","N° devis manquant",IF(ISNA(MATCH(A2010,dv_num,0)),"Devis inconnu",IF(AND(B2010&lt;&gt;"",ISNA(MATCH(B2010,pr_code,0))),"Article inconnu",IF(H2010="","Désignation manquante",IF(OR(NOT(ISNUMBER(D2010)),N(D2010)&lt;=0),"Quantité invalide",IF(J2010="","Prix manquant",IF(OR(NOT(ISNUMBER(J2010)),N(J2010)&lt;0),"Prix invalide",IF(OR(AND(F2010&lt;&gt;"",NOT(ISNUMBER(F2010))),N(F2010)&lt;0,N(F2010)&gt;1),"Remise invalide",IF(K2010="","Taux de TVA manquant",IF(NOT(ISNUMBER(K2010)),"Taux de TVA invalide",IF(COUNTIF(p_rates,K2010)=0,"Taux de TVA hors liste (Paramètres)",IF(N(O2010)&gt;25,"Au-delà de 25 lignes : non imprimée","OK")))))))))))))</f>
        <v/>
      </c>
      <c r="O2010" s="59" t="str">
        <f>IF(A2010="","",COUNTIF($A$6:A2010,A2010))</f>
        <v/>
      </c>
      <c r="P2010" s="62" t="str">
        <f>IF(A2010="","",A2010&amp;"|"&amp;O2010)</f>
        <v/>
      </c>
    </row>
    <row r="2011">
      <c r="A2011" s="60" t="n"/>
      <c r="B2011" s="63" t="n"/>
      <c r="C2011" s="63" t="n"/>
      <c r="D2011" s="67" t="n"/>
      <c r="E2011" s="68" t="n"/>
      <c r="F2011" s="69" t="n"/>
      <c r="G2011" s="70" t="n"/>
      <c r="H2011" s="62" t="str">
        <f>IF(COUNTA(A2011:G2011)=0,"",IF(C2011&lt;&gt;"",C2011,IF(B2011="","",IFERROR(INDEX(pr_des,MATCH(B2011,pr_code,0))&amp;"",""))))</f>
        <v/>
      </c>
      <c r="I2011" s="59" t="str">
        <f>IF(B2011="","",IFERROR(INDEX(pr_unit,MATCH(B2011,pr_code,0))&amp;"",""))</f>
        <v/>
      </c>
      <c r="J2011" s="65" t="str">
        <f>IF(COUNTA(A2011:G2011)=0,"",IF(E2011&lt;&gt;"",E2011,IF(B2011="","",IFERROR(IF(INDEX(pr_price,MATCH(B2011,pr_code,0))="","",INDEX(pr_price,MATCH(B2011,pr_code,0))),""))))</f>
        <v/>
      </c>
      <c r="K2011" s="71" t="str">
        <f>IF(COUNTA(A2011:G2011)=0,"",IF(G2011&lt;&gt;"",G2011,IF(B2011="","",IFERROR(IF(INDEX(pr_rate,MATCH(B2011,pr_code,0))="","",INDEX(pr_rate,MATCH(B2011,pr_code,0))),""))))</f>
        <v/>
      </c>
      <c r="L2011" s="65" t="str">
        <f>IF(COUNTA(A2011:G2011)=0,"",IF(AND(ISNUMBER(D2011),ISNUMBER(J2011)),ROUND(D2011*J2011*(1-N(F2011)),2),0))</f>
        <v/>
      </c>
      <c r="M2011" s="62" t="str">
        <f>IF(A2011="","",IFERROR(INDEX(dv_cname,MATCH(A2011,dv_num,0))&amp;"",""))</f>
        <v/>
      </c>
      <c r="N2011" s="59" t="str">
        <f>IF(COUNTA(A2011:G2011)=0,"",IF(A2011="","N° devis manquant",IF(ISNA(MATCH(A2011,dv_num,0)),"Devis inconnu",IF(AND(B2011&lt;&gt;"",ISNA(MATCH(B2011,pr_code,0))),"Article inconnu",IF(H2011="","Désignation manquante",IF(OR(NOT(ISNUMBER(D2011)),N(D2011)&lt;=0),"Quantité invalide",IF(J2011="","Prix manquant",IF(OR(NOT(ISNUMBER(J2011)),N(J2011)&lt;0),"Prix invalide",IF(OR(AND(F2011&lt;&gt;"",NOT(ISNUMBER(F2011))),N(F2011)&lt;0,N(F2011)&gt;1),"Remise invalide",IF(K2011="","Taux de TVA manquant",IF(NOT(ISNUMBER(K2011)),"Taux de TVA invalide",IF(COUNTIF(p_rates,K2011)=0,"Taux de TVA hors liste (Paramètres)",IF(N(O2011)&gt;25,"Au-delà de 25 lignes : non imprimée","OK")))))))))))))</f>
        <v/>
      </c>
      <c r="O2011" s="59" t="str">
        <f>IF(A2011="","",COUNTIF($A$6:A2011,A2011))</f>
        <v/>
      </c>
      <c r="P2011" s="62" t="str">
        <f>IF(A2011="","",A2011&amp;"|"&amp;O2011)</f>
        <v/>
      </c>
    </row>
    <row r="2012">
      <c r="A2012" s="60" t="n"/>
      <c r="B2012" s="63" t="n"/>
      <c r="C2012" s="63" t="n"/>
      <c r="D2012" s="67" t="n"/>
      <c r="E2012" s="68" t="n"/>
      <c r="F2012" s="69" t="n"/>
      <c r="G2012" s="70" t="n"/>
      <c r="H2012" s="62" t="str">
        <f>IF(COUNTA(A2012:G2012)=0,"",IF(C2012&lt;&gt;"",C2012,IF(B2012="","",IFERROR(INDEX(pr_des,MATCH(B2012,pr_code,0))&amp;"",""))))</f>
        <v/>
      </c>
      <c r="I2012" s="59" t="str">
        <f>IF(B2012="","",IFERROR(INDEX(pr_unit,MATCH(B2012,pr_code,0))&amp;"",""))</f>
        <v/>
      </c>
      <c r="J2012" s="65" t="str">
        <f>IF(COUNTA(A2012:G2012)=0,"",IF(E2012&lt;&gt;"",E2012,IF(B2012="","",IFERROR(IF(INDEX(pr_price,MATCH(B2012,pr_code,0))="","",INDEX(pr_price,MATCH(B2012,pr_code,0))),""))))</f>
        <v/>
      </c>
      <c r="K2012" s="71" t="str">
        <f>IF(COUNTA(A2012:G2012)=0,"",IF(G2012&lt;&gt;"",G2012,IF(B2012="","",IFERROR(IF(INDEX(pr_rate,MATCH(B2012,pr_code,0))="","",INDEX(pr_rate,MATCH(B2012,pr_code,0))),""))))</f>
        <v/>
      </c>
      <c r="L2012" s="65" t="str">
        <f>IF(COUNTA(A2012:G2012)=0,"",IF(AND(ISNUMBER(D2012),ISNUMBER(J2012)),ROUND(D2012*J2012*(1-N(F2012)),2),0))</f>
        <v/>
      </c>
      <c r="M2012" s="62" t="str">
        <f>IF(A2012="","",IFERROR(INDEX(dv_cname,MATCH(A2012,dv_num,0))&amp;"",""))</f>
        <v/>
      </c>
      <c r="N2012" s="59" t="str">
        <f>IF(COUNTA(A2012:G2012)=0,"",IF(A2012="","N° devis manquant",IF(ISNA(MATCH(A2012,dv_num,0)),"Devis inconnu",IF(AND(B2012&lt;&gt;"",ISNA(MATCH(B2012,pr_code,0))),"Article inconnu",IF(H2012="","Désignation manquante",IF(OR(NOT(ISNUMBER(D2012)),N(D2012)&lt;=0),"Quantité invalide",IF(J2012="","Prix manquant",IF(OR(NOT(ISNUMBER(J2012)),N(J2012)&lt;0),"Prix invalide",IF(OR(AND(F2012&lt;&gt;"",NOT(ISNUMBER(F2012))),N(F2012)&lt;0,N(F2012)&gt;1),"Remise invalide",IF(K2012="","Taux de TVA manquant",IF(NOT(ISNUMBER(K2012)),"Taux de TVA invalide",IF(COUNTIF(p_rates,K2012)=0,"Taux de TVA hors liste (Paramètres)",IF(N(O2012)&gt;25,"Au-delà de 25 lignes : non imprimée","OK")))))))))))))</f>
        <v/>
      </c>
      <c r="O2012" s="59" t="str">
        <f>IF(A2012="","",COUNTIF($A$6:A2012,A2012))</f>
        <v/>
      </c>
      <c r="P2012" s="62" t="str">
        <f>IF(A2012="","",A2012&amp;"|"&amp;O2012)</f>
        <v/>
      </c>
    </row>
    <row r="2013">
      <c r="A2013" s="60" t="n"/>
      <c r="B2013" s="63" t="n"/>
      <c r="C2013" s="63" t="n"/>
      <c r="D2013" s="67" t="n"/>
      <c r="E2013" s="68" t="n"/>
      <c r="F2013" s="69" t="n"/>
      <c r="G2013" s="70" t="n"/>
      <c r="H2013" s="62" t="str">
        <f>IF(COUNTA(A2013:G2013)=0,"",IF(C2013&lt;&gt;"",C2013,IF(B2013="","",IFERROR(INDEX(pr_des,MATCH(B2013,pr_code,0))&amp;"",""))))</f>
        <v/>
      </c>
      <c r="I2013" s="59" t="str">
        <f>IF(B2013="","",IFERROR(INDEX(pr_unit,MATCH(B2013,pr_code,0))&amp;"",""))</f>
        <v/>
      </c>
      <c r="J2013" s="65" t="str">
        <f>IF(COUNTA(A2013:G2013)=0,"",IF(E2013&lt;&gt;"",E2013,IF(B2013="","",IFERROR(IF(INDEX(pr_price,MATCH(B2013,pr_code,0))="","",INDEX(pr_price,MATCH(B2013,pr_code,0))),""))))</f>
        <v/>
      </c>
      <c r="K2013" s="71" t="str">
        <f>IF(COUNTA(A2013:G2013)=0,"",IF(G2013&lt;&gt;"",G2013,IF(B2013="","",IFERROR(IF(INDEX(pr_rate,MATCH(B2013,pr_code,0))="","",INDEX(pr_rate,MATCH(B2013,pr_code,0))),""))))</f>
        <v/>
      </c>
      <c r="L2013" s="65" t="str">
        <f>IF(COUNTA(A2013:G2013)=0,"",IF(AND(ISNUMBER(D2013),ISNUMBER(J2013)),ROUND(D2013*J2013*(1-N(F2013)),2),0))</f>
        <v/>
      </c>
      <c r="M2013" s="62" t="str">
        <f>IF(A2013="","",IFERROR(INDEX(dv_cname,MATCH(A2013,dv_num,0))&amp;"",""))</f>
        <v/>
      </c>
      <c r="N2013" s="59" t="str">
        <f>IF(COUNTA(A2013:G2013)=0,"",IF(A2013="","N° devis manquant",IF(ISNA(MATCH(A2013,dv_num,0)),"Devis inconnu",IF(AND(B2013&lt;&gt;"",ISNA(MATCH(B2013,pr_code,0))),"Article inconnu",IF(H2013="","Désignation manquante",IF(OR(NOT(ISNUMBER(D2013)),N(D2013)&lt;=0),"Quantité invalide",IF(J2013="","Prix manquant",IF(OR(NOT(ISNUMBER(J2013)),N(J2013)&lt;0),"Prix invalide",IF(OR(AND(F2013&lt;&gt;"",NOT(ISNUMBER(F2013))),N(F2013)&lt;0,N(F2013)&gt;1),"Remise invalide",IF(K2013="","Taux de TVA manquant",IF(NOT(ISNUMBER(K2013)),"Taux de TVA invalide",IF(COUNTIF(p_rates,K2013)=0,"Taux de TVA hors liste (Paramètres)",IF(N(O2013)&gt;25,"Au-delà de 25 lignes : non imprimée","OK")))))))))))))</f>
        <v/>
      </c>
      <c r="O2013" s="59" t="str">
        <f>IF(A2013="","",COUNTIF($A$6:A2013,A2013))</f>
        <v/>
      </c>
      <c r="P2013" s="62" t="str">
        <f>IF(A2013="","",A2013&amp;"|"&amp;O2013)</f>
        <v/>
      </c>
    </row>
    <row r="2014">
      <c r="A2014" s="60" t="n"/>
      <c r="B2014" s="63" t="n"/>
      <c r="C2014" s="63" t="n"/>
      <c r="D2014" s="67" t="n"/>
      <c r="E2014" s="68" t="n"/>
      <c r="F2014" s="69" t="n"/>
      <c r="G2014" s="70" t="n"/>
      <c r="H2014" s="62" t="str">
        <f>IF(COUNTA(A2014:G2014)=0,"",IF(C2014&lt;&gt;"",C2014,IF(B2014="","",IFERROR(INDEX(pr_des,MATCH(B2014,pr_code,0))&amp;"",""))))</f>
        <v/>
      </c>
      <c r="I2014" s="59" t="str">
        <f>IF(B2014="","",IFERROR(INDEX(pr_unit,MATCH(B2014,pr_code,0))&amp;"",""))</f>
        <v/>
      </c>
      <c r="J2014" s="65" t="str">
        <f>IF(COUNTA(A2014:G2014)=0,"",IF(E2014&lt;&gt;"",E2014,IF(B2014="","",IFERROR(IF(INDEX(pr_price,MATCH(B2014,pr_code,0))="","",INDEX(pr_price,MATCH(B2014,pr_code,0))),""))))</f>
        <v/>
      </c>
      <c r="K2014" s="71" t="str">
        <f>IF(COUNTA(A2014:G2014)=0,"",IF(G2014&lt;&gt;"",G2014,IF(B2014="","",IFERROR(IF(INDEX(pr_rate,MATCH(B2014,pr_code,0))="","",INDEX(pr_rate,MATCH(B2014,pr_code,0))),""))))</f>
        <v/>
      </c>
      <c r="L2014" s="65" t="str">
        <f>IF(COUNTA(A2014:G2014)=0,"",IF(AND(ISNUMBER(D2014),ISNUMBER(J2014)),ROUND(D2014*J2014*(1-N(F2014)),2),0))</f>
        <v/>
      </c>
      <c r="M2014" s="62" t="str">
        <f>IF(A2014="","",IFERROR(INDEX(dv_cname,MATCH(A2014,dv_num,0))&amp;"",""))</f>
        <v/>
      </c>
      <c r="N2014" s="59" t="str">
        <f>IF(COUNTA(A2014:G2014)=0,"",IF(A2014="","N° devis manquant",IF(ISNA(MATCH(A2014,dv_num,0)),"Devis inconnu",IF(AND(B2014&lt;&gt;"",ISNA(MATCH(B2014,pr_code,0))),"Article inconnu",IF(H2014="","Désignation manquante",IF(OR(NOT(ISNUMBER(D2014)),N(D2014)&lt;=0),"Quantité invalide",IF(J2014="","Prix manquant",IF(OR(NOT(ISNUMBER(J2014)),N(J2014)&lt;0),"Prix invalide",IF(OR(AND(F2014&lt;&gt;"",NOT(ISNUMBER(F2014))),N(F2014)&lt;0,N(F2014)&gt;1),"Remise invalide",IF(K2014="","Taux de TVA manquant",IF(NOT(ISNUMBER(K2014)),"Taux de TVA invalide",IF(COUNTIF(p_rates,K2014)=0,"Taux de TVA hors liste (Paramètres)",IF(N(O2014)&gt;25,"Au-delà de 25 lignes : non imprimée","OK")))))))))))))</f>
        <v/>
      </c>
      <c r="O2014" s="59" t="str">
        <f>IF(A2014="","",COUNTIF($A$6:A2014,A2014))</f>
        <v/>
      </c>
      <c r="P2014" s="62" t="str">
        <f>IF(A2014="","",A2014&amp;"|"&amp;O2014)</f>
        <v/>
      </c>
    </row>
    <row r="2015">
      <c r="A2015" s="60" t="n"/>
      <c r="B2015" s="63" t="n"/>
      <c r="C2015" s="63" t="n"/>
      <c r="D2015" s="67" t="n"/>
      <c r="E2015" s="68" t="n"/>
      <c r="F2015" s="69" t="n"/>
      <c r="G2015" s="70" t="n"/>
      <c r="H2015" s="62" t="str">
        <f>IF(COUNTA(A2015:G2015)=0,"",IF(C2015&lt;&gt;"",C2015,IF(B2015="","",IFERROR(INDEX(pr_des,MATCH(B2015,pr_code,0))&amp;"",""))))</f>
        <v/>
      </c>
      <c r="I2015" s="59" t="str">
        <f>IF(B2015="","",IFERROR(INDEX(pr_unit,MATCH(B2015,pr_code,0))&amp;"",""))</f>
        <v/>
      </c>
      <c r="J2015" s="65" t="str">
        <f>IF(COUNTA(A2015:G2015)=0,"",IF(E2015&lt;&gt;"",E2015,IF(B2015="","",IFERROR(IF(INDEX(pr_price,MATCH(B2015,pr_code,0))="","",INDEX(pr_price,MATCH(B2015,pr_code,0))),""))))</f>
        <v/>
      </c>
      <c r="K2015" s="71" t="str">
        <f>IF(COUNTA(A2015:G2015)=0,"",IF(G2015&lt;&gt;"",G2015,IF(B2015="","",IFERROR(IF(INDEX(pr_rate,MATCH(B2015,pr_code,0))="","",INDEX(pr_rate,MATCH(B2015,pr_code,0))),""))))</f>
        <v/>
      </c>
      <c r="L2015" s="65" t="str">
        <f>IF(COUNTA(A2015:G2015)=0,"",IF(AND(ISNUMBER(D2015),ISNUMBER(J2015)),ROUND(D2015*J2015*(1-N(F2015)),2),0))</f>
        <v/>
      </c>
      <c r="M2015" s="62" t="str">
        <f>IF(A2015="","",IFERROR(INDEX(dv_cname,MATCH(A2015,dv_num,0))&amp;"",""))</f>
        <v/>
      </c>
      <c r="N2015" s="59" t="str">
        <f>IF(COUNTA(A2015:G2015)=0,"",IF(A2015="","N° devis manquant",IF(ISNA(MATCH(A2015,dv_num,0)),"Devis inconnu",IF(AND(B2015&lt;&gt;"",ISNA(MATCH(B2015,pr_code,0))),"Article inconnu",IF(H2015="","Désignation manquante",IF(OR(NOT(ISNUMBER(D2015)),N(D2015)&lt;=0),"Quantité invalide",IF(J2015="","Prix manquant",IF(OR(NOT(ISNUMBER(J2015)),N(J2015)&lt;0),"Prix invalide",IF(OR(AND(F2015&lt;&gt;"",NOT(ISNUMBER(F2015))),N(F2015)&lt;0,N(F2015)&gt;1),"Remise invalide",IF(K2015="","Taux de TVA manquant",IF(NOT(ISNUMBER(K2015)),"Taux de TVA invalide",IF(COUNTIF(p_rates,K2015)=0,"Taux de TVA hors liste (Paramètres)",IF(N(O2015)&gt;25,"Au-delà de 25 lignes : non imprimée","OK")))))))))))))</f>
        <v/>
      </c>
      <c r="O2015" s="59" t="str">
        <f>IF(A2015="","",COUNTIF($A$6:A2015,A2015))</f>
        <v/>
      </c>
      <c r="P2015" s="62" t="str">
        <f>IF(A2015="","",A2015&amp;"|"&amp;O2015)</f>
        <v/>
      </c>
    </row>
    <row r="2016">
      <c r="A2016" s="60" t="n"/>
      <c r="B2016" s="63" t="n"/>
      <c r="C2016" s="63" t="n"/>
      <c r="D2016" s="67" t="n"/>
      <c r="E2016" s="68" t="n"/>
      <c r="F2016" s="69" t="n"/>
      <c r="G2016" s="70" t="n"/>
      <c r="H2016" s="62" t="str">
        <f>IF(COUNTA(A2016:G2016)=0,"",IF(C2016&lt;&gt;"",C2016,IF(B2016="","",IFERROR(INDEX(pr_des,MATCH(B2016,pr_code,0))&amp;"",""))))</f>
        <v/>
      </c>
      <c r="I2016" s="59" t="str">
        <f>IF(B2016="","",IFERROR(INDEX(pr_unit,MATCH(B2016,pr_code,0))&amp;"",""))</f>
        <v/>
      </c>
      <c r="J2016" s="65" t="str">
        <f>IF(COUNTA(A2016:G2016)=0,"",IF(E2016&lt;&gt;"",E2016,IF(B2016="","",IFERROR(IF(INDEX(pr_price,MATCH(B2016,pr_code,0))="","",INDEX(pr_price,MATCH(B2016,pr_code,0))),""))))</f>
        <v/>
      </c>
      <c r="K2016" s="71" t="str">
        <f>IF(COUNTA(A2016:G2016)=0,"",IF(G2016&lt;&gt;"",G2016,IF(B2016="","",IFERROR(IF(INDEX(pr_rate,MATCH(B2016,pr_code,0))="","",INDEX(pr_rate,MATCH(B2016,pr_code,0))),""))))</f>
        <v/>
      </c>
      <c r="L2016" s="65" t="str">
        <f>IF(COUNTA(A2016:G2016)=0,"",IF(AND(ISNUMBER(D2016),ISNUMBER(J2016)),ROUND(D2016*J2016*(1-N(F2016)),2),0))</f>
        <v/>
      </c>
      <c r="M2016" s="62" t="str">
        <f>IF(A2016="","",IFERROR(INDEX(dv_cname,MATCH(A2016,dv_num,0))&amp;"",""))</f>
        <v/>
      </c>
      <c r="N2016" s="59" t="str">
        <f>IF(COUNTA(A2016:G2016)=0,"",IF(A2016="","N° devis manquant",IF(ISNA(MATCH(A2016,dv_num,0)),"Devis inconnu",IF(AND(B2016&lt;&gt;"",ISNA(MATCH(B2016,pr_code,0))),"Article inconnu",IF(H2016="","Désignation manquante",IF(OR(NOT(ISNUMBER(D2016)),N(D2016)&lt;=0),"Quantité invalide",IF(J2016="","Prix manquant",IF(OR(NOT(ISNUMBER(J2016)),N(J2016)&lt;0),"Prix invalide",IF(OR(AND(F2016&lt;&gt;"",NOT(ISNUMBER(F2016))),N(F2016)&lt;0,N(F2016)&gt;1),"Remise invalide",IF(K2016="","Taux de TVA manquant",IF(NOT(ISNUMBER(K2016)),"Taux de TVA invalide",IF(COUNTIF(p_rates,K2016)=0,"Taux de TVA hors liste (Paramètres)",IF(N(O2016)&gt;25,"Au-delà de 25 lignes : non imprimée","OK")))))))))))))</f>
        <v/>
      </c>
      <c r="O2016" s="59" t="str">
        <f>IF(A2016="","",COUNTIF($A$6:A2016,A2016))</f>
        <v/>
      </c>
      <c r="P2016" s="62" t="str">
        <f>IF(A2016="","",A2016&amp;"|"&amp;O2016)</f>
        <v/>
      </c>
    </row>
    <row r="2017">
      <c r="A2017" s="60" t="n"/>
      <c r="B2017" s="63" t="n"/>
      <c r="C2017" s="63" t="n"/>
      <c r="D2017" s="67" t="n"/>
      <c r="E2017" s="68" t="n"/>
      <c r="F2017" s="69" t="n"/>
      <c r="G2017" s="70" t="n"/>
      <c r="H2017" s="62" t="str">
        <f>IF(COUNTA(A2017:G2017)=0,"",IF(C2017&lt;&gt;"",C2017,IF(B2017="","",IFERROR(INDEX(pr_des,MATCH(B2017,pr_code,0))&amp;"",""))))</f>
        <v/>
      </c>
      <c r="I2017" s="59" t="str">
        <f>IF(B2017="","",IFERROR(INDEX(pr_unit,MATCH(B2017,pr_code,0))&amp;"",""))</f>
        <v/>
      </c>
      <c r="J2017" s="65" t="str">
        <f>IF(COUNTA(A2017:G2017)=0,"",IF(E2017&lt;&gt;"",E2017,IF(B2017="","",IFERROR(IF(INDEX(pr_price,MATCH(B2017,pr_code,0))="","",INDEX(pr_price,MATCH(B2017,pr_code,0))),""))))</f>
        <v/>
      </c>
      <c r="K2017" s="71" t="str">
        <f>IF(COUNTA(A2017:G2017)=0,"",IF(G2017&lt;&gt;"",G2017,IF(B2017="","",IFERROR(IF(INDEX(pr_rate,MATCH(B2017,pr_code,0))="","",INDEX(pr_rate,MATCH(B2017,pr_code,0))),""))))</f>
        <v/>
      </c>
      <c r="L2017" s="65" t="str">
        <f>IF(COUNTA(A2017:G2017)=0,"",IF(AND(ISNUMBER(D2017),ISNUMBER(J2017)),ROUND(D2017*J2017*(1-N(F2017)),2),0))</f>
        <v/>
      </c>
      <c r="M2017" s="62" t="str">
        <f>IF(A2017="","",IFERROR(INDEX(dv_cname,MATCH(A2017,dv_num,0))&amp;"",""))</f>
        <v/>
      </c>
      <c r="N2017" s="59" t="str">
        <f>IF(COUNTA(A2017:G2017)=0,"",IF(A2017="","N° devis manquant",IF(ISNA(MATCH(A2017,dv_num,0)),"Devis inconnu",IF(AND(B2017&lt;&gt;"",ISNA(MATCH(B2017,pr_code,0))),"Article inconnu",IF(H2017="","Désignation manquante",IF(OR(NOT(ISNUMBER(D2017)),N(D2017)&lt;=0),"Quantité invalide",IF(J2017="","Prix manquant",IF(OR(NOT(ISNUMBER(J2017)),N(J2017)&lt;0),"Prix invalide",IF(OR(AND(F2017&lt;&gt;"",NOT(ISNUMBER(F2017))),N(F2017)&lt;0,N(F2017)&gt;1),"Remise invalide",IF(K2017="","Taux de TVA manquant",IF(NOT(ISNUMBER(K2017)),"Taux de TVA invalide",IF(COUNTIF(p_rates,K2017)=0,"Taux de TVA hors liste (Paramètres)",IF(N(O2017)&gt;25,"Au-delà de 25 lignes : non imprimée","OK")))))))))))))</f>
        <v/>
      </c>
      <c r="O2017" s="59" t="str">
        <f>IF(A2017="","",COUNTIF($A$6:A2017,A2017))</f>
        <v/>
      </c>
      <c r="P2017" s="62" t="str">
        <f>IF(A2017="","",A2017&amp;"|"&amp;O2017)</f>
        <v/>
      </c>
    </row>
    <row r="2018">
      <c r="A2018" s="60" t="n"/>
      <c r="B2018" s="63" t="n"/>
      <c r="C2018" s="63" t="n"/>
      <c r="D2018" s="67" t="n"/>
      <c r="E2018" s="68" t="n"/>
      <c r="F2018" s="69" t="n"/>
      <c r="G2018" s="70" t="n"/>
      <c r="H2018" s="62" t="str">
        <f>IF(COUNTA(A2018:G2018)=0,"",IF(C2018&lt;&gt;"",C2018,IF(B2018="","",IFERROR(INDEX(pr_des,MATCH(B2018,pr_code,0))&amp;"",""))))</f>
        <v/>
      </c>
      <c r="I2018" s="59" t="str">
        <f>IF(B2018="","",IFERROR(INDEX(pr_unit,MATCH(B2018,pr_code,0))&amp;"",""))</f>
        <v/>
      </c>
      <c r="J2018" s="65" t="str">
        <f>IF(COUNTA(A2018:G2018)=0,"",IF(E2018&lt;&gt;"",E2018,IF(B2018="","",IFERROR(IF(INDEX(pr_price,MATCH(B2018,pr_code,0))="","",INDEX(pr_price,MATCH(B2018,pr_code,0))),""))))</f>
        <v/>
      </c>
      <c r="K2018" s="71" t="str">
        <f>IF(COUNTA(A2018:G2018)=0,"",IF(G2018&lt;&gt;"",G2018,IF(B2018="","",IFERROR(IF(INDEX(pr_rate,MATCH(B2018,pr_code,0))="","",INDEX(pr_rate,MATCH(B2018,pr_code,0))),""))))</f>
        <v/>
      </c>
      <c r="L2018" s="65" t="str">
        <f>IF(COUNTA(A2018:G2018)=0,"",IF(AND(ISNUMBER(D2018),ISNUMBER(J2018)),ROUND(D2018*J2018*(1-N(F2018)),2),0))</f>
        <v/>
      </c>
      <c r="M2018" s="62" t="str">
        <f>IF(A2018="","",IFERROR(INDEX(dv_cname,MATCH(A2018,dv_num,0))&amp;"",""))</f>
        <v/>
      </c>
      <c r="N2018" s="59" t="str">
        <f>IF(COUNTA(A2018:G2018)=0,"",IF(A2018="","N° devis manquant",IF(ISNA(MATCH(A2018,dv_num,0)),"Devis inconnu",IF(AND(B2018&lt;&gt;"",ISNA(MATCH(B2018,pr_code,0))),"Article inconnu",IF(H2018="","Désignation manquante",IF(OR(NOT(ISNUMBER(D2018)),N(D2018)&lt;=0),"Quantité invalide",IF(J2018="","Prix manquant",IF(OR(NOT(ISNUMBER(J2018)),N(J2018)&lt;0),"Prix invalide",IF(OR(AND(F2018&lt;&gt;"",NOT(ISNUMBER(F2018))),N(F2018)&lt;0,N(F2018)&gt;1),"Remise invalide",IF(K2018="","Taux de TVA manquant",IF(NOT(ISNUMBER(K2018)),"Taux de TVA invalide",IF(COUNTIF(p_rates,K2018)=0,"Taux de TVA hors liste (Paramètres)",IF(N(O2018)&gt;25,"Au-delà de 25 lignes : non imprimée","OK")))))))))))))</f>
        <v/>
      </c>
      <c r="O2018" s="59" t="str">
        <f>IF(A2018="","",COUNTIF($A$6:A2018,A2018))</f>
        <v/>
      </c>
      <c r="P2018" s="62" t="str">
        <f>IF(A2018="","",A2018&amp;"|"&amp;O2018)</f>
        <v/>
      </c>
    </row>
    <row r="2019">
      <c r="A2019" s="60" t="n"/>
      <c r="B2019" s="63" t="n"/>
      <c r="C2019" s="63" t="n"/>
      <c r="D2019" s="67" t="n"/>
      <c r="E2019" s="68" t="n"/>
      <c r="F2019" s="69" t="n"/>
      <c r="G2019" s="70" t="n"/>
      <c r="H2019" s="62" t="str">
        <f>IF(COUNTA(A2019:G2019)=0,"",IF(C2019&lt;&gt;"",C2019,IF(B2019="","",IFERROR(INDEX(pr_des,MATCH(B2019,pr_code,0))&amp;"",""))))</f>
        <v/>
      </c>
      <c r="I2019" s="59" t="str">
        <f>IF(B2019="","",IFERROR(INDEX(pr_unit,MATCH(B2019,pr_code,0))&amp;"",""))</f>
        <v/>
      </c>
      <c r="J2019" s="65" t="str">
        <f>IF(COUNTA(A2019:G2019)=0,"",IF(E2019&lt;&gt;"",E2019,IF(B2019="","",IFERROR(IF(INDEX(pr_price,MATCH(B2019,pr_code,0))="","",INDEX(pr_price,MATCH(B2019,pr_code,0))),""))))</f>
        <v/>
      </c>
      <c r="K2019" s="71" t="str">
        <f>IF(COUNTA(A2019:G2019)=0,"",IF(G2019&lt;&gt;"",G2019,IF(B2019="","",IFERROR(IF(INDEX(pr_rate,MATCH(B2019,pr_code,0))="","",INDEX(pr_rate,MATCH(B2019,pr_code,0))),""))))</f>
        <v/>
      </c>
      <c r="L2019" s="65" t="str">
        <f>IF(COUNTA(A2019:G2019)=0,"",IF(AND(ISNUMBER(D2019),ISNUMBER(J2019)),ROUND(D2019*J2019*(1-N(F2019)),2),0))</f>
        <v/>
      </c>
      <c r="M2019" s="62" t="str">
        <f>IF(A2019="","",IFERROR(INDEX(dv_cname,MATCH(A2019,dv_num,0))&amp;"",""))</f>
        <v/>
      </c>
      <c r="N2019" s="59" t="str">
        <f>IF(COUNTA(A2019:G2019)=0,"",IF(A2019="","N° devis manquant",IF(ISNA(MATCH(A2019,dv_num,0)),"Devis inconnu",IF(AND(B2019&lt;&gt;"",ISNA(MATCH(B2019,pr_code,0))),"Article inconnu",IF(H2019="","Désignation manquante",IF(OR(NOT(ISNUMBER(D2019)),N(D2019)&lt;=0),"Quantité invalide",IF(J2019="","Prix manquant",IF(OR(NOT(ISNUMBER(J2019)),N(J2019)&lt;0),"Prix invalide",IF(OR(AND(F2019&lt;&gt;"",NOT(ISNUMBER(F2019))),N(F2019)&lt;0,N(F2019)&gt;1),"Remise invalide",IF(K2019="","Taux de TVA manquant",IF(NOT(ISNUMBER(K2019)),"Taux de TVA invalide",IF(COUNTIF(p_rates,K2019)=0,"Taux de TVA hors liste (Paramètres)",IF(N(O2019)&gt;25,"Au-delà de 25 lignes : non imprimée","OK")))))))))))))</f>
        <v/>
      </c>
      <c r="O2019" s="59" t="str">
        <f>IF(A2019="","",COUNTIF($A$6:A2019,A2019))</f>
        <v/>
      </c>
      <c r="P2019" s="62" t="str">
        <f>IF(A2019="","",A2019&amp;"|"&amp;O2019)</f>
        <v/>
      </c>
    </row>
    <row r="2020">
      <c r="A2020" s="60" t="n"/>
      <c r="B2020" s="63" t="n"/>
      <c r="C2020" s="63" t="n"/>
      <c r="D2020" s="67" t="n"/>
      <c r="E2020" s="68" t="n"/>
      <c r="F2020" s="69" t="n"/>
      <c r="G2020" s="70" t="n"/>
      <c r="H2020" s="62" t="str">
        <f>IF(COUNTA(A2020:G2020)=0,"",IF(C2020&lt;&gt;"",C2020,IF(B2020="","",IFERROR(INDEX(pr_des,MATCH(B2020,pr_code,0))&amp;"",""))))</f>
        <v/>
      </c>
      <c r="I2020" s="59" t="str">
        <f>IF(B2020="","",IFERROR(INDEX(pr_unit,MATCH(B2020,pr_code,0))&amp;"",""))</f>
        <v/>
      </c>
      <c r="J2020" s="65" t="str">
        <f>IF(COUNTA(A2020:G2020)=0,"",IF(E2020&lt;&gt;"",E2020,IF(B2020="","",IFERROR(IF(INDEX(pr_price,MATCH(B2020,pr_code,0))="","",INDEX(pr_price,MATCH(B2020,pr_code,0))),""))))</f>
        <v/>
      </c>
      <c r="K2020" s="71" t="str">
        <f>IF(COUNTA(A2020:G2020)=0,"",IF(G2020&lt;&gt;"",G2020,IF(B2020="","",IFERROR(IF(INDEX(pr_rate,MATCH(B2020,pr_code,0))="","",INDEX(pr_rate,MATCH(B2020,pr_code,0))),""))))</f>
        <v/>
      </c>
      <c r="L2020" s="65" t="str">
        <f>IF(COUNTA(A2020:G2020)=0,"",IF(AND(ISNUMBER(D2020),ISNUMBER(J2020)),ROUND(D2020*J2020*(1-N(F2020)),2),0))</f>
        <v/>
      </c>
      <c r="M2020" s="62" t="str">
        <f>IF(A2020="","",IFERROR(INDEX(dv_cname,MATCH(A2020,dv_num,0))&amp;"",""))</f>
        <v/>
      </c>
      <c r="N2020" s="59" t="str">
        <f>IF(COUNTA(A2020:G2020)=0,"",IF(A2020="","N° devis manquant",IF(ISNA(MATCH(A2020,dv_num,0)),"Devis inconnu",IF(AND(B2020&lt;&gt;"",ISNA(MATCH(B2020,pr_code,0))),"Article inconnu",IF(H2020="","Désignation manquante",IF(OR(NOT(ISNUMBER(D2020)),N(D2020)&lt;=0),"Quantité invalide",IF(J2020="","Prix manquant",IF(OR(NOT(ISNUMBER(J2020)),N(J2020)&lt;0),"Prix invalide",IF(OR(AND(F2020&lt;&gt;"",NOT(ISNUMBER(F2020))),N(F2020)&lt;0,N(F2020)&gt;1),"Remise invalide",IF(K2020="","Taux de TVA manquant",IF(NOT(ISNUMBER(K2020)),"Taux de TVA invalide",IF(COUNTIF(p_rates,K2020)=0,"Taux de TVA hors liste (Paramètres)",IF(N(O2020)&gt;25,"Au-delà de 25 lignes : non imprimée","OK")))))))))))))</f>
        <v/>
      </c>
      <c r="O2020" s="59" t="str">
        <f>IF(A2020="","",COUNTIF($A$6:A2020,A2020))</f>
        <v/>
      </c>
      <c r="P2020" s="62" t="str">
        <f>IF(A2020="","",A2020&amp;"|"&amp;O2020)</f>
        <v/>
      </c>
    </row>
    <row r="2021">
      <c r="A2021" s="60" t="n"/>
      <c r="B2021" s="63" t="n"/>
      <c r="C2021" s="63" t="n"/>
      <c r="D2021" s="67" t="n"/>
      <c r="E2021" s="68" t="n"/>
      <c r="F2021" s="69" t="n"/>
      <c r="G2021" s="70" t="n"/>
      <c r="H2021" s="62" t="str">
        <f>IF(COUNTA(A2021:G2021)=0,"",IF(C2021&lt;&gt;"",C2021,IF(B2021="","",IFERROR(INDEX(pr_des,MATCH(B2021,pr_code,0))&amp;"",""))))</f>
        <v/>
      </c>
      <c r="I2021" s="59" t="str">
        <f>IF(B2021="","",IFERROR(INDEX(pr_unit,MATCH(B2021,pr_code,0))&amp;"",""))</f>
        <v/>
      </c>
      <c r="J2021" s="65" t="str">
        <f>IF(COUNTA(A2021:G2021)=0,"",IF(E2021&lt;&gt;"",E2021,IF(B2021="","",IFERROR(IF(INDEX(pr_price,MATCH(B2021,pr_code,0))="","",INDEX(pr_price,MATCH(B2021,pr_code,0))),""))))</f>
        <v/>
      </c>
      <c r="K2021" s="71" t="str">
        <f>IF(COUNTA(A2021:G2021)=0,"",IF(G2021&lt;&gt;"",G2021,IF(B2021="","",IFERROR(IF(INDEX(pr_rate,MATCH(B2021,pr_code,0))="","",INDEX(pr_rate,MATCH(B2021,pr_code,0))),""))))</f>
        <v/>
      </c>
      <c r="L2021" s="65" t="str">
        <f>IF(COUNTA(A2021:G2021)=0,"",IF(AND(ISNUMBER(D2021),ISNUMBER(J2021)),ROUND(D2021*J2021*(1-N(F2021)),2),0))</f>
        <v/>
      </c>
      <c r="M2021" s="62" t="str">
        <f>IF(A2021="","",IFERROR(INDEX(dv_cname,MATCH(A2021,dv_num,0))&amp;"",""))</f>
        <v/>
      </c>
      <c r="N2021" s="59" t="str">
        <f>IF(COUNTA(A2021:G2021)=0,"",IF(A2021="","N° devis manquant",IF(ISNA(MATCH(A2021,dv_num,0)),"Devis inconnu",IF(AND(B2021&lt;&gt;"",ISNA(MATCH(B2021,pr_code,0))),"Article inconnu",IF(H2021="","Désignation manquante",IF(OR(NOT(ISNUMBER(D2021)),N(D2021)&lt;=0),"Quantité invalide",IF(J2021="","Prix manquant",IF(OR(NOT(ISNUMBER(J2021)),N(J2021)&lt;0),"Prix invalide",IF(OR(AND(F2021&lt;&gt;"",NOT(ISNUMBER(F2021))),N(F2021)&lt;0,N(F2021)&gt;1),"Remise invalide",IF(K2021="","Taux de TVA manquant",IF(NOT(ISNUMBER(K2021)),"Taux de TVA invalide",IF(COUNTIF(p_rates,K2021)=0,"Taux de TVA hors liste (Paramètres)",IF(N(O2021)&gt;25,"Au-delà de 25 lignes : non imprimée","OK")))))))))))))</f>
        <v/>
      </c>
      <c r="O2021" s="59" t="str">
        <f>IF(A2021="","",COUNTIF($A$6:A2021,A2021))</f>
        <v/>
      </c>
      <c r="P2021" s="62" t="str">
        <f>IF(A2021="","",A2021&amp;"|"&amp;O2021)</f>
        <v/>
      </c>
    </row>
    <row r="2022">
      <c r="A2022" s="60" t="n"/>
      <c r="B2022" s="63" t="n"/>
      <c r="C2022" s="63" t="n"/>
      <c r="D2022" s="67" t="n"/>
      <c r="E2022" s="68" t="n"/>
      <c r="F2022" s="69" t="n"/>
      <c r="G2022" s="70" t="n"/>
      <c r="H2022" s="62" t="str">
        <f>IF(COUNTA(A2022:G2022)=0,"",IF(C2022&lt;&gt;"",C2022,IF(B2022="","",IFERROR(INDEX(pr_des,MATCH(B2022,pr_code,0))&amp;"",""))))</f>
        <v/>
      </c>
      <c r="I2022" s="59" t="str">
        <f>IF(B2022="","",IFERROR(INDEX(pr_unit,MATCH(B2022,pr_code,0))&amp;"",""))</f>
        <v/>
      </c>
      <c r="J2022" s="65" t="str">
        <f>IF(COUNTA(A2022:G2022)=0,"",IF(E2022&lt;&gt;"",E2022,IF(B2022="","",IFERROR(IF(INDEX(pr_price,MATCH(B2022,pr_code,0))="","",INDEX(pr_price,MATCH(B2022,pr_code,0))),""))))</f>
        <v/>
      </c>
      <c r="K2022" s="71" t="str">
        <f>IF(COUNTA(A2022:G2022)=0,"",IF(G2022&lt;&gt;"",G2022,IF(B2022="","",IFERROR(IF(INDEX(pr_rate,MATCH(B2022,pr_code,0))="","",INDEX(pr_rate,MATCH(B2022,pr_code,0))),""))))</f>
        <v/>
      </c>
      <c r="L2022" s="65" t="str">
        <f>IF(COUNTA(A2022:G2022)=0,"",IF(AND(ISNUMBER(D2022),ISNUMBER(J2022)),ROUND(D2022*J2022*(1-N(F2022)),2),0))</f>
        <v/>
      </c>
      <c r="M2022" s="62" t="str">
        <f>IF(A2022="","",IFERROR(INDEX(dv_cname,MATCH(A2022,dv_num,0))&amp;"",""))</f>
        <v/>
      </c>
      <c r="N2022" s="59" t="str">
        <f>IF(COUNTA(A2022:G2022)=0,"",IF(A2022="","N° devis manquant",IF(ISNA(MATCH(A2022,dv_num,0)),"Devis inconnu",IF(AND(B2022&lt;&gt;"",ISNA(MATCH(B2022,pr_code,0))),"Article inconnu",IF(H2022="","Désignation manquante",IF(OR(NOT(ISNUMBER(D2022)),N(D2022)&lt;=0),"Quantité invalide",IF(J2022="","Prix manquant",IF(OR(NOT(ISNUMBER(J2022)),N(J2022)&lt;0),"Prix invalide",IF(OR(AND(F2022&lt;&gt;"",NOT(ISNUMBER(F2022))),N(F2022)&lt;0,N(F2022)&gt;1),"Remise invalide",IF(K2022="","Taux de TVA manquant",IF(NOT(ISNUMBER(K2022)),"Taux de TVA invalide",IF(COUNTIF(p_rates,K2022)=0,"Taux de TVA hors liste (Paramètres)",IF(N(O2022)&gt;25,"Au-delà de 25 lignes : non imprimée","OK")))))))))))))</f>
        <v/>
      </c>
      <c r="O2022" s="59" t="str">
        <f>IF(A2022="","",COUNTIF($A$6:A2022,A2022))</f>
        <v/>
      </c>
      <c r="P2022" s="62" t="str">
        <f>IF(A2022="","",A2022&amp;"|"&amp;O2022)</f>
        <v/>
      </c>
    </row>
    <row r="2023">
      <c r="A2023" s="60" t="n"/>
      <c r="B2023" s="63" t="n"/>
      <c r="C2023" s="63" t="n"/>
      <c r="D2023" s="67" t="n"/>
      <c r="E2023" s="68" t="n"/>
      <c r="F2023" s="69" t="n"/>
      <c r="G2023" s="70" t="n"/>
      <c r="H2023" s="62" t="str">
        <f>IF(COUNTA(A2023:G2023)=0,"",IF(C2023&lt;&gt;"",C2023,IF(B2023="","",IFERROR(INDEX(pr_des,MATCH(B2023,pr_code,0))&amp;"",""))))</f>
        <v/>
      </c>
      <c r="I2023" s="59" t="str">
        <f>IF(B2023="","",IFERROR(INDEX(pr_unit,MATCH(B2023,pr_code,0))&amp;"",""))</f>
        <v/>
      </c>
      <c r="J2023" s="65" t="str">
        <f>IF(COUNTA(A2023:G2023)=0,"",IF(E2023&lt;&gt;"",E2023,IF(B2023="","",IFERROR(IF(INDEX(pr_price,MATCH(B2023,pr_code,0))="","",INDEX(pr_price,MATCH(B2023,pr_code,0))),""))))</f>
        <v/>
      </c>
      <c r="K2023" s="71" t="str">
        <f>IF(COUNTA(A2023:G2023)=0,"",IF(G2023&lt;&gt;"",G2023,IF(B2023="","",IFERROR(IF(INDEX(pr_rate,MATCH(B2023,pr_code,0))="","",INDEX(pr_rate,MATCH(B2023,pr_code,0))),""))))</f>
        <v/>
      </c>
      <c r="L2023" s="65" t="str">
        <f>IF(COUNTA(A2023:G2023)=0,"",IF(AND(ISNUMBER(D2023),ISNUMBER(J2023)),ROUND(D2023*J2023*(1-N(F2023)),2),0))</f>
        <v/>
      </c>
      <c r="M2023" s="62" t="str">
        <f>IF(A2023="","",IFERROR(INDEX(dv_cname,MATCH(A2023,dv_num,0))&amp;"",""))</f>
        <v/>
      </c>
      <c r="N2023" s="59" t="str">
        <f>IF(COUNTA(A2023:G2023)=0,"",IF(A2023="","N° devis manquant",IF(ISNA(MATCH(A2023,dv_num,0)),"Devis inconnu",IF(AND(B2023&lt;&gt;"",ISNA(MATCH(B2023,pr_code,0))),"Article inconnu",IF(H2023="","Désignation manquante",IF(OR(NOT(ISNUMBER(D2023)),N(D2023)&lt;=0),"Quantité invalide",IF(J2023="","Prix manquant",IF(OR(NOT(ISNUMBER(J2023)),N(J2023)&lt;0),"Prix invalide",IF(OR(AND(F2023&lt;&gt;"",NOT(ISNUMBER(F2023))),N(F2023)&lt;0,N(F2023)&gt;1),"Remise invalide",IF(K2023="","Taux de TVA manquant",IF(NOT(ISNUMBER(K2023)),"Taux de TVA invalide",IF(COUNTIF(p_rates,K2023)=0,"Taux de TVA hors liste (Paramètres)",IF(N(O2023)&gt;25,"Au-delà de 25 lignes : non imprimée","OK")))))))))))))</f>
        <v/>
      </c>
      <c r="O2023" s="59" t="str">
        <f>IF(A2023="","",COUNTIF($A$6:A2023,A2023))</f>
        <v/>
      </c>
      <c r="P2023" s="62" t="str">
        <f>IF(A2023="","",A2023&amp;"|"&amp;O2023)</f>
        <v/>
      </c>
    </row>
    <row r="2024">
      <c r="A2024" s="60" t="n"/>
      <c r="B2024" s="63" t="n"/>
      <c r="C2024" s="63" t="n"/>
      <c r="D2024" s="67" t="n"/>
      <c r="E2024" s="68" t="n"/>
      <c r="F2024" s="69" t="n"/>
      <c r="G2024" s="70" t="n"/>
      <c r="H2024" s="62" t="str">
        <f>IF(COUNTA(A2024:G2024)=0,"",IF(C2024&lt;&gt;"",C2024,IF(B2024="","",IFERROR(INDEX(pr_des,MATCH(B2024,pr_code,0))&amp;"",""))))</f>
        <v/>
      </c>
      <c r="I2024" s="59" t="str">
        <f>IF(B2024="","",IFERROR(INDEX(pr_unit,MATCH(B2024,pr_code,0))&amp;"",""))</f>
        <v/>
      </c>
      <c r="J2024" s="65" t="str">
        <f>IF(COUNTA(A2024:G2024)=0,"",IF(E2024&lt;&gt;"",E2024,IF(B2024="","",IFERROR(IF(INDEX(pr_price,MATCH(B2024,pr_code,0))="","",INDEX(pr_price,MATCH(B2024,pr_code,0))),""))))</f>
        <v/>
      </c>
      <c r="K2024" s="71" t="str">
        <f>IF(COUNTA(A2024:G2024)=0,"",IF(G2024&lt;&gt;"",G2024,IF(B2024="","",IFERROR(IF(INDEX(pr_rate,MATCH(B2024,pr_code,0))="","",INDEX(pr_rate,MATCH(B2024,pr_code,0))),""))))</f>
        <v/>
      </c>
      <c r="L2024" s="65" t="str">
        <f>IF(COUNTA(A2024:G2024)=0,"",IF(AND(ISNUMBER(D2024),ISNUMBER(J2024)),ROUND(D2024*J2024*(1-N(F2024)),2),0))</f>
        <v/>
      </c>
      <c r="M2024" s="62" t="str">
        <f>IF(A2024="","",IFERROR(INDEX(dv_cname,MATCH(A2024,dv_num,0))&amp;"",""))</f>
        <v/>
      </c>
      <c r="N2024" s="59" t="str">
        <f>IF(COUNTA(A2024:G2024)=0,"",IF(A2024="","N° devis manquant",IF(ISNA(MATCH(A2024,dv_num,0)),"Devis inconnu",IF(AND(B2024&lt;&gt;"",ISNA(MATCH(B2024,pr_code,0))),"Article inconnu",IF(H2024="","Désignation manquante",IF(OR(NOT(ISNUMBER(D2024)),N(D2024)&lt;=0),"Quantité invalide",IF(J2024="","Prix manquant",IF(OR(NOT(ISNUMBER(J2024)),N(J2024)&lt;0),"Prix invalide",IF(OR(AND(F2024&lt;&gt;"",NOT(ISNUMBER(F2024))),N(F2024)&lt;0,N(F2024)&gt;1),"Remise invalide",IF(K2024="","Taux de TVA manquant",IF(NOT(ISNUMBER(K2024)),"Taux de TVA invalide",IF(COUNTIF(p_rates,K2024)=0,"Taux de TVA hors liste (Paramètres)",IF(N(O2024)&gt;25,"Au-delà de 25 lignes : non imprimée","OK")))))))))))))</f>
        <v/>
      </c>
      <c r="O2024" s="59" t="str">
        <f>IF(A2024="","",COUNTIF($A$6:A2024,A2024))</f>
        <v/>
      </c>
      <c r="P2024" s="62" t="str">
        <f>IF(A2024="","",A2024&amp;"|"&amp;O2024)</f>
        <v/>
      </c>
    </row>
    <row r="2025">
      <c r="A2025" s="60" t="n"/>
      <c r="B2025" s="63" t="n"/>
      <c r="C2025" s="63" t="n"/>
      <c r="D2025" s="67" t="n"/>
      <c r="E2025" s="68" t="n"/>
      <c r="F2025" s="69" t="n"/>
      <c r="G2025" s="70" t="n"/>
      <c r="H2025" s="62" t="str">
        <f>IF(COUNTA(A2025:G2025)=0,"",IF(C2025&lt;&gt;"",C2025,IF(B2025="","",IFERROR(INDEX(pr_des,MATCH(B2025,pr_code,0))&amp;"",""))))</f>
        <v/>
      </c>
      <c r="I2025" s="59" t="str">
        <f>IF(B2025="","",IFERROR(INDEX(pr_unit,MATCH(B2025,pr_code,0))&amp;"",""))</f>
        <v/>
      </c>
      <c r="J2025" s="65" t="str">
        <f>IF(COUNTA(A2025:G2025)=0,"",IF(E2025&lt;&gt;"",E2025,IF(B2025="","",IFERROR(IF(INDEX(pr_price,MATCH(B2025,pr_code,0))="","",INDEX(pr_price,MATCH(B2025,pr_code,0))),""))))</f>
        <v/>
      </c>
      <c r="K2025" s="71" t="str">
        <f>IF(COUNTA(A2025:G2025)=0,"",IF(G2025&lt;&gt;"",G2025,IF(B2025="","",IFERROR(IF(INDEX(pr_rate,MATCH(B2025,pr_code,0))="","",INDEX(pr_rate,MATCH(B2025,pr_code,0))),""))))</f>
        <v/>
      </c>
      <c r="L2025" s="65" t="str">
        <f>IF(COUNTA(A2025:G2025)=0,"",IF(AND(ISNUMBER(D2025),ISNUMBER(J2025)),ROUND(D2025*J2025*(1-N(F2025)),2),0))</f>
        <v/>
      </c>
      <c r="M2025" s="62" t="str">
        <f>IF(A2025="","",IFERROR(INDEX(dv_cname,MATCH(A2025,dv_num,0))&amp;"",""))</f>
        <v/>
      </c>
      <c r="N2025" s="59" t="str">
        <f>IF(COUNTA(A2025:G2025)=0,"",IF(A2025="","N° devis manquant",IF(ISNA(MATCH(A2025,dv_num,0)),"Devis inconnu",IF(AND(B2025&lt;&gt;"",ISNA(MATCH(B2025,pr_code,0))),"Article inconnu",IF(H2025="","Désignation manquante",IF(OR(NOT(ISNUMBER(D2025)),N(D2025)&lt;=0),"Quantité invalide",IF(J2025="","Prix manquant",IF(OR(NOT(ISNUMBER(J2025)),N(J2025)&lt;0),"Prix invalide",IF(OR(AND(F2025&lt;&gt;"",NOT(ISNUMBER(F2025))),N(F2025)&lt;0,N(F2025)&gt;1),"Remise invalide",IF(K2025="","Taux de TVA manquant",IF(NOT(ISNUMBER(K2025)),"Taux de TVA invalide",IF(COUNTIF(p_rates,K2025)=0,"Taux de TVA hors liste (Paramètres)",IF(N(O2025)&gt;25,"Au-delà de 25 lignes : non imprimée","OK")))))))))))))</f>
        <v/>
      </c>
      <c r="O2025" s="59" t="str">
        <f>IF(A2025="","",COUNTIF($A$6:A2025,A2025))</f>
        <v/>
      </c>
      <c r="P2025" s="62" t="str">
        <f>IF(A2025="","",A2025&amp;"|"&amp;O2025)</f>
        <v/>
      </c>
    </row>
    <row r="2026">
      <c r="A2026" s="60" t="n"/>
      <c r="B2026" s="63" t="n"/>
      <c r="C2026" s="63" t="n"/>
      <c r="D2026" s="67" t="n"/>
      <c r="E2026" s="68" t="n"/>
      <c r="F2026" s="69" t="n"/>
      <c r="G2026" s="70" t="n"/>
      <c r="H2026" s="62" t="str">
        <f>IF(COUNTA(A2026:G2026)=0,"",IF(C2026&lt;&gt;"",C2026,IF(B2026="","",IFERROR(INDEX(pr_des,MATCH(B2026,pr_code,0))&amp;"",""))))</f>
        <v/>
      </c>
      <c r="I2026" s="59" t="str">
        <f>IF(B2026="","",IFERROR(INDEX(pr_unit,MATCH(B2026,pr_code,0))&amp;"",""))</f>
        <v/>
      </c>
      <c r="J2026" s="65" t="str">
        <f>IF(COUNTA(A2026:G2026)=0,"",IF(E2026&lt;&gt;"",E2026,IF(B2026="","",IFERROR(IF(INDEX(pr_price,MATCH(B2026,pr_code,0))="","",INDEX(pr_price,MATCH(B2026,pr_code,0))),""))))</f>
        <v/>
      </c>
      <c r="K2026" s="71" t="str">
        <f>IF(COUNTA(A2026:G2026)=0,"",IF(G2026&lt;&gt;"",G2026,IF(B2026="","",IFERROR(IF(INDEX(pr_rate,MATCH(B2026,pr_code,0))="","",INDEX(pr_rate,MATCH(B2026,pr_code,0))),""))))</f>
        <v/>
      </c>
      <c r="L2026" s="65" t="str">
        <f>IF(COUNTA(A2026:G2026)=0,"",IF(AND(ISNUMBER(D2026),ISNUMBER(J2026)),ROUND(D2026*J2026*(1-N(F2026)),2),0))</f>
        <v/>
      </c>
      <c r="M2026" s="62" t="str">
        <f>IF(A2026="","",IFERROR(INDEX(dv_cname,MATCH(A2026,dv_num,0))&amp;"",""))</f>
        <v/>
      </c>
      <c r="N2026" s="59" t="str">
        <f>IF(COUNTA(A2026:G2026)=0,"",IF(A2026="","N° devis manquant",IF(ISNA(MATCH(A2026,dv_num,0)),"Devis inconnu",IF(AND(B2026&lt;&gt;"",ISNA(MATCH(B2026,pr_code,0))),"Article inconnu",IF(H2026="","Désignation manquante",IF(OR(NOT(ISNUMBER(D2026)),N(D2026)&lt;=0),"Quantité invalide",IF(J2026="","Prix manquant",IF(OR(NOT(ISNUMBER(J2026)),N(J2026)&lt;0),"Prix invalide",IF(OR(AND(F2026&lt;&gt;"",NOT(ISNUMBER(F2026))),N(F2026)&lt;0,N(F2026)&gt;1),"Remise invalide",IF(K2026="","Taux de TVA manquant",IF(NOT(ISNUMBER(K2026)),"Taux de TVA invalide",IF(COUNTIF(p_rates,K2026)=0,"Taux de TVA hors liste (Paramètres)",IF(N(O2026)&gt;25,"Au-delà de 25 lignes : non imprimée","OK")))))))))))))</f>
        <v/>
      </c>
      <c r="O2026" s="59" t="str">
        <f>IF(A2026="","",COUNTIF($A$6:A2026,A2026))</f>
        <v/>
      </c>
      <c r="P2026" s="62" t="str">
        <f>IF(A2026="","",A2026&amp;"|"&amp;O2026)</f>
        <v/>
      </c>
    </row>
    <row r="2027">
      <c r="A2027" s="60" t="n"/>
      <c r="B2027" s="63" t="n"/>
      <c r="C2027" s="63" t="n"/>
      <c r="D2027" s="67" t="n"/>
      <c r="E2027" s="68" t="n"/>
      <c r="F2027" s="69" t="n"/>
      <c r="G2027" s="70" t="n"/>
      <c r="H2027" s="62" t="str">
        <f>IF(COUNTA(A2027:G2027)=0,"",IF(C2027&lt;&gt;"",C2027,IF(B2027="","",IFERROR(INDEX(pr_des,MATCH(B2027,pr_code,0))&amp;"",""))))</f>
        <v/>
      </c>
      <c r="I2027" s="59" t="str">
        <f>IF(B2027="","",IFERROR(INDEX(pr_unit,MATCH(B2027,pr_code,0))&amp;"",""))</f>
        <v/>
      </c>
      <c r="J2027" s="65" t="str">
        <f>IF(COUNTA(A2027:G2027)=0,"",IF(E2027&lt;&gt;"",E2027,IF(B2027="","",IFERROR(IF(INDEX(pr_price,MATCH(B2027,pr_code,0))="","",INDEX(pr_price,MATCH(B2027,pr_code,0))),""))))</f>
        <v/>
      </c>
      <c r="K2027" s="71" t="str">
        <f>IF(COUNTA(A2027:G2027)=0,"",IF(G2027&lt;&gt;"",G2027,IF(B2027="","",IFERROR(IF(INDEX(pr_rate,MATCH(B2027,pr_code,0))="","",INDEX(pr_rate,MATCH(B2027,pr_code,0))),""))))</f>
        <v/>
      </c>
      <c r="L2027" s="65" t="str">
        <f>IF(COUNTA(A2027:G2027)=0,"",IF(AND(ISNUMBER(D2027),ISNUMBER(J2027)),ROUND(D2027*J2027*(1-N(F2027)),2),0))</f>
        <v/>
      </c>
      <c r="M2027" s="62" t="str">
        <f>IF(A2027="","",IFERROR(INDEX(dv_cname,MATCH(A2027,dv_num,0))&amp;"",""))</f>
        <v/>
      </c>
      <c r="N2027" s="59" t="str">
        <f>IF(COUNTA(A2027:G2027)=0,"",IF(A2027="","N° devis manquant",IF(ISNA(MATCH(A2027,dv_num,0)),"Devis inconnu",IF(AND(B2027&lt;&gt;"",ISNA(MATCH(B2027,pr_code,0))),"Article inconnu",IF(H2027="","Désignation manquante",IF(OR(NOT(ISNUMBER(D2027)),N(D2027)&lt;=0),"Quantité invalide",IF(J2027="","Prix manquant",IF(OR(NOT(ISNUMBER(J2027)),N(J2027)&lt;0),"Prix invalide",IF(OR(AND(F2027&lt;&gt;"",NOT(ISNUMBER(F2027))),N(F2027)&lt;0,N(F2027)&gt;1),"Remise invalide",IF(K2027="","Taux de TVA manquant",IF(NOT(ISNUMBER(K2027)),"Taux de TVA invalide",IF(COUNTIF(p_rates,K2027)=0,"Taux de TVA hors liste (Paramètres)",IF(N(O2027)&gt;25,"Au-delà de 25 lignes : non imprimée","OK")))))))))))))</f>
        <v/>
      </c>
      <c r="O2027" s="59" t="str">
        <f>IF(A2027="","",COUNTIF($A$6:A2027,A2027))</f>
        <v/>
      </c>
      <c r="P2027" s="62" t="str">
        <f>IF(A2027="","",A2027&amp;"|"&amp;O2027)</f>
        <v/>
      </c>
    </row>
    <row r="2028">
      <c r="A2028" s="60" t="n"/>
      <c r="B2028" s="63" t="n"/>
      <c r="C2028" s="63" t="n"/>
      <c r="D2028" s="67" t="n"/>
      <c r="E2028" s="68" t="n"/>
      <c r="F2028" s="69" t="n"/>
      <c r="G2028" s="70" t="n"/>
      <c r="H2028" s="62" t="str">
        <f>IF(COUNTA(A2028:G2028)=0,"",IF(C2028&lt;&gt;"",C2028,IF(B2028="","",IFERROR(INDEX(pr_des,MATCH(B2028,pr_code,0))&amp;"",""))))</f>
        <v/>
      </c>
      <c r="I2028" s="59" t="str">
        <f>IF(B2028="","",IFERROR(INDEX(pr_unit,MATCH(B2028,pr_code,0))&amp;"",""))</f>
        <v/>
      </c>
      <c r="J2028" s="65" t="str">
        <f>IF(COUNTA(A2028:G2028)=0,"",IF(E2028&lt;&gt;"",E2028,IF(B2028="","",IFERROR(IF(INDEX(pr_price,MATCH(B2028,pr_code,0))="","",INDEX(pr_price,MATCH(B2028,pr_code,0))),""))))</f>
        <v/>
      </c>
      <c r="K2028" s="71" t="str">
        <f>IF(COUNTA(A2028:G2028)=0,"",IF(G2028&lt;&gt;"",G2028,IF(B2028="","",IFERROR(IF(INDEX(pr_rate,MATCH(B2028,pr_code,0))="","",INDEX(pr_rate,MATCH(B2028,pr_code,0))),""))))</f>
        <v/>
      </c>
      <c r="L2028" s="65" t="str">
        <f>IF(COUNTA(A2028:G2028)=0,"",IF(AND(ISNUMBER(D2028),ISNUMBER(J2028)),ROUND(D2028*J2028*(1-N(F2028)),2),0))</f>
        <v/>
      </c>
      <c r="M2028" s="62" t="str">
        <f>IF(A2028="","",IFERROR(INDEX(dv_cname,MATCH(A2028,dv_num,0))&amp;"",""))</f>
        <v/>
      </c>
      <c r="N2028" s="59" t="str">
        <f>IF(COUNTA(A2028:G2028)=0,"",IF(A2028="","N° devis manquant",IF(ISNA(MATCH(A2028,dv_num,0)),"Devis inconnu",IF(AND(B2028&lt;&gt;"",ISNA(MATCH(B2028,pr_code,0))),"Article inconnu",IF(H2028="","Désignation manquante",IF(OR(NOT(ISNUMBER(D2028)),N(D2028)&lt;=0),"Quantité invalide",IF(J2028="","Prix manquant",IF(OR(NOT(ISNUMBER(J2028)),N(J2028)&lt;0),"Prix invalide",IF(OR(AND(F2028&lt;&gt;"",NOT(ISNUMBER(F2028))),N(F2028)&lt;0,N(F2028)&gt;1),"Remise invalide",IF(K2028="","Taux de TVA manquant",IF(NOT(ISNUMBER(K2028)),"Taux de TVA invalide",IF(COUNTIF(p_rates,K2028)=0,"Taux de TVA hors liste (Paramètres)",IF(N(O2028)&gt;25,"Au-delà de 25 lignes : non imprimée","OK")))))))))))))</f>
        <v/>
      </c>
      <c r="O2028" s="59" t="str">
        <f>IF(A2028="","",COUNTIF($A$6:A2028,A2028))</f>
        <v/>
      </c>
      <c r="P2028" s="62" t="str">
        <f>IF(A2028="","",A2028&amp;"|"&amp;O2028)</f>
        <v/>
      </c>
    </row>
    <row r="2029">
      <c r="A2029" s="60" t="n"/>
      <c r="B2029" s="63" t="n"/>
      <c r="C2029" s="63" t="n"/>
      <c r="D2029" s="67" t="n"/>
      <c r="E2029" s="68" t="n"/>
      <c r="F2029" s="69" t="n"/>
      <c r="G2029" s="70" t="n"/>
      <c r="H2029" s="62" t="str">
        <f>IF(COUNTA(A2029:G2029)=0,"",IF(C2029&lt;&gt;"",C2029,IF(B2029="","",IFERROR(INDEX(pr_des,MATCH(B2029,pr_code,0))&amp;"",""))))</f>
        <v/>
      </c>
      <c r="I2029" s="59" t="str">
        <f>IF(B2029="","",IFERROR(INDEX(pr_unit,MATCH(B2029,pr_code,0))&amp;"",""))</f>
        <v/>
      </c>
      <c r="J2029" s="65" t="str">
        <f>IF(COUNTA(A2029:G2029)=0,"",IF(E2029&lt;&gt;"",E2029,IF(B2029="","",IFERROR(IF(INDEX(pr_price,MATCH(B2029,pr_code,0))="","",INDEX(pr_price,MATCH(B2029,pr_code,0))),""))))</f>
        <v/>
      </c>
      <c r="K2029" s="71" t="str">
        <f>IF(COUNTA(A2029:G2029)=0,"",IF(G2029&lt;&gt;"",G2029,IF(B2029="","",IFERROR(IF(INDEX(pr_rate,MATCH(B2029,pr_code,0))="","",INDEX(pr_rate,MATCH(B2029,pr_code,0))),""))))</f>
        <v/>
      </c>
      <c r="L2029" s="65" t="str">
        <f>IF(COUNTA(A2029:G2029)=0,"",IF(AND(ISNUMBER(D2029),ISNUMBER(J2029)),ROUND(D2029*J2029*(1-N(F2029)),2),0))</f>
        <v/>
      </c>
      <c r="M2029" s="62" t="str">
        <f>IF(A2029="","",IFERROR(INDEX(dv_cname,MATCH(A2029,dv_num,0))&amp;"",""))</f>
        <v/>
      </c>
      <c r="N2029" s="59" t="str">
        <f>IF(COUNTA(A2029:G2029)=0,"",IF(A2029="","N° devis manquant",IF(ISNA(MATCH(A2029,dv_num,0)),"Devis inconnu",IF(AND(B2029&lt;&gt;"",ISNA(MATCH(B2029,pr_code,0))),"Article inconnu",IF(H2029="","Désignation manquante",IF(OR(NOT(ISNUMBER(D2029)),N(D2029)&lt;=0),"Quantité invalide",IF(J2029="","Prix manquant",IF(OR(NOT(ISNUMBER(J2029)),N(J2029)&lt;0),"Prix invalide",IF(OR(AND(F2029&lt;&gt;"",NOT(ISNUMBER(F2029))),N(F2029)&lt;0,N(F2029)&gt;1),"Remise invalide",IF(K2029="","Taux de TVA manquant",IF(NOT(ISNUMBER(K2029)),"Taux de TVA invalide",IF(COUNTIF(p_rates,K2029)=0,"Taux de TVA hors liste (Paramètres)",IF(N(O2029)&gt;25,"Au-delà de 25 lignes : non imprimée","OK")))))))))))))</f>
        <v/>
      </c>
      <c r="O2029" s="59" t="str">
        <f>IF(A2029="","",COUNTIF($A$6:A2029,A2029))</f>
        <v/>
      </c>
      <c r="P2029" s="62" t="str">
        <f>IF(A2029="","",A2029&amp;"|"&amp;O2029)</f>
        <v/>
      </c>
    </row>
    <row r="2030">
      <c r="A2030" s="60" t="n"/>
      <c r="B2030" s="63" t="n"/>
      <c r="C2030" s="63" t="n"/>
      <c r="D2030" s="67" t="n"/>
      <c r="E2030" s="68" t="n"/>
      <c r="F2030" s="69" t="n"/>
      <c r="G2030" s="70" t="n"/>
      <c r="H2030" s="62" t="str">
        <f>IF(COUNTA(A2030:G2030)=0,"",IF(C2030&lt;&gt;"",C2030,IF(B2030="","",IFERROR(INDEX(pr_des,MATCH(B2030,pr_code,0))&amp;"",""))))</f>
        <v/>
      </c>
      <c r="I2030" s="59" t="str">
        <f>IF(B2030="","",IFERROR(INDEX(pr_unit,MATCH(B2030,pr_code,0))&amp;"",""))</f>
        <v/>
      </c>
      <c r="J2030" s="65" t="str">
        <f>IF(COUNTA(A2030:G2030)=0,"",IF(E2030&lt;&gt;"",E2030,IF(B2030="","",IFERROR(IF(INDEX(pr_price,MATCH(B2030,pr_code,0))="","",INDEX(pr_price,MATCH(B2030,pr_code,0))),""))))</f>
        <v/>
      </c>
      <c r="K2030" s="71" t="str">
        <f>IF(COUNTA(A2030:G2030)=0,"",IF(G2030&lt;&gt;"",G2030,IF(B2030="","",IFERROR(IF(INDEX(pr_rate,MATCH(B2030,pr_code,0))="","",INDEX(pr_rate,MATCH(B2030,pr_code,0))),""))))</f>
        <v/>
      </c>
      <c r="L2030" s="65" t="str">
        <f>IF(COUNTA(A2030:G2030)=0,"",IF(AND(ISNUMBER(D2030),ISNUMBER(J2030)),ROUND(D2030*J2030*(1-N(F2030)),2),0))</f>
        <v/>
      </c>
      <c r="M2030" s="62" t="str">
        <f>IF(A2030="","",IFERROR(INDEX(dv_cname,MATCH(A2030,dv_num,0))&amp;"",""))</f>
        <v/>
      </c>
      <c r="N2030" s="59" t="str">
        <f>IF(COUNTA(A2030:G2030)=0,"",IF(A2030="","N° devis manquant",IF(ISNA(MATCH(A2030,dv_num,0)),"Devis inconnu",IF(AND(B2030&lt;&gt;"",ISNA(MATCH(B2030,pr_code,0))),"Article inconnu",IF(H2030="","Désignation manquante",IF(OR(NOT(ISNUMBER(D2030)),N(D2030)&lt;=0),"Quantité invalide",IF(J2030="","Prix manquant",IF(OR(NOT(ISNUMBER(J2030)),N(J2030)&lt;0),"Prix invalide",IF(OR(AND(F2030&lt;&gt;"",NOT(ISNUMBER(F2030))),N(F2030)&lt;0,N(F2030)&gt;1),"Remise invalide",IF(K2030="","Taux de TVA manquant",IF(NOT(ISNUMBER(K2030)),"Taux de TVA invalide",IF(COUNTIF(p_rates,K2030)=0,"Taux de TVA hors liste (Paramètres)",IF(N(O2030)&gt;25,"Au-delà de 25 lignes : non imprimée","OK")))))))))))))</f>
        <v/>
      </c>
      <c r="O2030" s="59" t="str">
        <f>IF(A2030="","",COUNTIF($A$6:A2030,A2030))</f>
        <v/>
      </c>
      <c r="P2030" s="62" t="str">
        <f>IF(A2030="","",A2030&amp;"|"&amp;O2030)</f>
        <v/>
      </c>
    </row>
    <row r="2031">
      <c r="A2031" s="60" t="n"/>
      <c r="B2031" s="63" t="n"/>
      <c r="C2031" s="63" t="n"/>
      <c r="D2031" s="67" t="n"/>
      <c r="E2031" s="68" t="n"/>
      <c r="F2031" s="69" t="n"/>
      <c r="G2031" s="70" t="n"/>
      <c r="H2031" s="62" t="str">
        <f>IF(COUNTA(A2031:G2031)=0,"",IF(C2031&lt;&gt;"",C2031,IF(B2031="","",IFERROR(INDEX(pr_des,MATCH(B2031,pr_code,0))&amp;"",""))))</f>
        <v/>
      </c>
      <c r="I2031" s="59" t="str">
        <f>IF(B2031="","",IFERROR(INDEX(pr_unit,MATCH(B2031,pr_code,0))&amp;"",""))</f>
        <v/>
      </c>
      <c r="J2031" s="65" t="str">
        <f>IF(COUNTA(A2031:G2031)=0,"",IF(E2031&lt;&gt;"",E2031,IF(B2031="","",IFERROR(IF(INDEX(pr_price,MATCH(B2031,pr_code,0))="","",INDEX(pr_price,MATCH(B2031,pr_code,0))),""))))</f>
        <v/>
      </c>
      <c r="K2031" s="71" t="str">
        <f>IF(COUNTA(A2031:G2031)=0,"",IF(G2031&lt;&gt;"",G2031,IF(B2031="","",IFERROR(IF(INDEX(pr_rate,MATCH(B2031,pr_code,0))="","",INDEX(pr_rate,MATCH(B2031,pr_code,0))),""))))</f>
        <v/>
      </c>
      <c r="L2031" s="65" t="str">
        <f>IF(COUNTA(A2031:G2031)=0,"",IF(AND(ISNUMBER(D2031),ISNUMBER(J2031)),ROUND(D2031*J2031*(1-N(F2031)),2),0))</f>
        <v/>
      </c>
      <c r="M2031" s="62" t="str">
        <f>IF(A2031="","",IFERROR(INDEX(dv_cname,MATCH(A2031,dv_num,0))&amp;"",""))</f>
        <v/>
      </c>
      <c r="N2031" s="59" t="str">
        <f>IF(COUNTA(A2031:G2031)=0,"",IF(A2031="","N° devis manquant",IF(ISNA(MATCH(A2031,dv_num,0)),"Devis inconnu",IF(AND(B2031&lt;&gt;"",ISNA(MATCH(B2031,pr_code,0))),"Article inconnu",IF(H2031="","Désignation manquante",IF(OR(NOT(ISNUMBER(D2031)),N(D2031)&lt;=0),"Quantité invalide",IF(J2031="","Prix manquant",IF(OR(NOT(ISNUMBER(J2031)),N(J2031)&lt;0),"Prix invalide",IF(OR(AND(F2031&lt;&gt;"",NOT(ISNUMBER(F2031))),N(F2031)&lt;0,N(F2031)&gt;1),"Remise invalide",IF(K2031="","Taux de TVA manquant",IF(NOT(ISNUMBER(K2031)),"Taux de TVA invalide",IF(COUNTIF(p_rates,K2031)=0,"Taux de TVA hors liste (Paramètres)",IF(N(O2031)&gt;25,"Au-delà de 25 lignes : non imprimée","OK")))))))))))))</f>
        <v/>
      </c>
      <c r="O2031" s="59" t="str">
        <f>IF(A2031="","",COUNTIF($A$6:A2031,A2031))</f>
        <v/>
      </c>
      <c r="P2031" s="62" t="str">
        <f>IF(A2031="","",A2031&amp;"|"&amp;O2031)</f>
        <v/>
      </c>
    </row>
    <row r="2032">
      <c r="A2032" s="60" t="n"/>
      <c r="B2032" s="63" t="n"/>
      <c r="C2032" s="63" t="n"/>
      <c r="D2032" s="67" t="n"/>
      <c r="E2032" s="68" t="n"/>
      <c r="F2032" s="69" t="n"/>
      <c r="G2032" s="70" t="n"/>
      <c r="H2032" s="62" t="str">
        <f>IF(COUNTA(A2032:G2032)=0,"",IF(C2032&lt;&gt;"",C2032,IF(B2032="","",IFERROR(INDEX(pr_des,MATCH(B2032,pr_code,0))&amp;"",""))))</f>
        <v/>
      </c>
      <c r="I2032" s="59" t="str">
        <f>IF(B2032="","",IFERROR(INDEX(pr_unit,MATCH(B2032,pr_code,0))&amp;"",""))</f>
        <v/>
      </c>
      <c r="J2032" s="65" t="str">
        <f>IF(COUNTA(A2032:G2032)=0,"",IF(E2032&lt;&gt;"",E2032,IF(B2032="","",IFERROR(IF(INDEX(pr_price,MATCH(B2032,pr_code,0))="","",INDEX(pr_price,MATCH(B2032,pr_code,0))),""))))</f>
        <v/>
      </c>
      <c r="K2032" s="71" t="str">
        <f>IF(COUNTA(A2032:G2032)=0,"",IF(G2032&lt;&gt;"",G2032,IF(B2032="","",IFERROR(IF(INDEX(pr_rate,MATCH(B2032,pr_code,0))="","",INDEX(pr_rate,MATCH(B2032,pr_code,0))),""))))</f>
        <v/>
      </c>
      <c r="L2032" s="65" t="str">
        <f>IF(COUNTA(A2032:G2032)=0,"",IF(AND(ISNUMBER(D2032),ISNUMBER(J2032)),ROUND(D2032*J2032*(1-N(F2032)),2),0))</f>
        <v/>
      </c>
      <c r="M2032" s="62" t="str">
        <f>IF(A2032="","",IFERROR(INDEX(dv_cname,MATCH(A2032,dv_num,0))&amp;"",""))</f>
        <v/>
      </c>
      <c r="N2032" s="59" t="str">
        <f>IF(COUNTA(A2032:G2032)=0,"",IF(A2032="","N° devis manquant",IF(ISNA(MATCH(A2032,dv_num,0)),"Devis inconnu",IF(AND(B2032&lt;&gt;"",ISNA(MATCH(B2032,pr_code,0))),"Article inconnu",IF(H2032="","Désignation manquante",IF(OR(NOT(ISNUMBER(D2032)),N(D2032)&lt;=0),"Quantité invalide",IF(J2032="","Prix manquant",IF(OR(NOT(ISNUMBER(J2032)),N(J2032)&lt;0),"Prix invalide",IF(OR(AND(F2032&lt;&gt;"",NOT(ISNUMBER(F2032))),N(F2032)&lt;0,N(F2032)&gt;1),"Remise invalide",IF(K2032="","Taux de TVA manquant",IF(NOT(ISNUMBER(K2032)),"Taux de TVA invalide",IF(COUNTIF(p_rates,K2032)=0,"Taux de TVA hors liste (Paramètres)",IF(N(O2032)&gt;25,"Au-delà de 25 lignes : non imprimée","OK")))))))))))))</f>
        <v/>
      </c>
      <c r="O2032" s="59" t="str">
        <f>IF(A2032="","",COUNTIF($A$6:A2032,A2032))</f>
        <v/>
      </c>
      <c r="P2032" s="62" t="str">
        <f>IF(A2032="","",A2032&amp;"|"&amp;O2032)</f>
        <v/>
      </c>
    </row>
    <row r="2033">
      <c r="A2033" s="60" t="n"/>
      <c r="B2033" s="63" t="n"/>
      <c r="C2033" s="63" t="n"/>
      <c r="D2033" s="67" t="n"/>
      <c r="E2033" s="68" t="n"/>
      <c r="F2033" s="69" t="n"/>
      <c r="G2033" s="70" t="n"/>
      <c r="H2033" s="62" t="str">
        <f>IF(COUNTA(A2033:G2033)=0,"",IF(C2033&lt;&gt;"",C2033,IF(B2033="","",IFERROR(INDEX(pr_des,MATCH(B2033,pr_code,0))&amp;"",""))))</f>
        <v/>
      </c>
      <c r="I2033" s="59" t="str">
        <f>IF(B2033="","",IFERROR(INDEX(pr_unit,MATCH(B2033,pr_code,0))&amp;"",""))</f>
        <v/>
      </c>
      <c r="J2033" s="65" t="str">
        <f>IF(COUNTA(A2033:G2033)=0,"",IF(E2033&lt;&gt;"",E2033,IF(B2033="","",IFERROR(IF(INDEX(pr_price,MATCH(B2033,pr_code,0))="","",INDEX(pr_price,MATCH(B2033,pr_code,0))),""))))</f>
        <v/>
      </c>
      <c r="K2033" s="71" t="str">
        <f>IF(COUNTA(A2033:G2033)=0,"",IF(G2033&lt;&gt;"",G2033,IF(B2033="","",IFERROR(IF(INDEX(pr_rate,MATCH(B2033,pr_code,0))="","",INDEX(pr_rate,MATCH(B2033,pr_code,0))),""))))</f>
        <v/>
      </c>
      <c r="L2033" s="65" t="str">
        <f>IF(COUNTA(A2033:G2033)=0,"",IF(AND(ISNUMBER(D2033),ISNUMBER(J2033)),ROUND(D2033*J2033*(1-N(F2033)),2),0))</f>
        <v/>
      </c>
      <c r="M2033" s="62" t="str">
        <f>IF(A2033="","",IFERROR(INDEX(dv_cname,MATCH(A2033,dv_num,0))&amp;"",""))</f>
        <v/>
      </c>
      <c r="N2033" s="59" t="str">
        <f>IF(COUNTA(A2033:G2033)=0,"",IF(A2033="","N° devis manquant",IF(ISNA(MATCH(A2033,dv_num,0)),"Devis inconnu",IF(AND(B2033&lt;&gt;"",ISNA(MATCH(B2033,pr_code,0))),"Article inconnu",IF(H2033="","Désignation manquante",IF(OR(NOT(ISNUMBER(D2033)),N(D2033)&lt;=0),"Quantité invalide",IF(J2033="","Prix manquant",IF(OR(NOT(ISNUMBER(J2033)),N(J2033)&lt;0),"Prix invalide",IF(OR(AND(F2033&lt;&gt;"",NOT(ISNUMBER(F2033))),N(F2033)&lt;0,N(F2033)&gt;1),"Remise invalide",IF(K2033="","Taux de TVA manquant",IF(NOT(ISNUMBER(K2033)),"Taux de TVA invalide",IF(COUNTIF(p_rates,K2033)=0,"Taux de TVA hors liste (Paramètres)",IF(N(O2033)&gt;25,"Au-delà de 25 lignes : non imprimée","OK")))))))))))))</f>
        <v/>
      </c>
      <c r="O2033" s="59" t="str">
        <f>IF(A2033="","",COUNTIF($A$6:A2033,A2033))</f>
        <v/>
      </c>
      <c r="P2033" s="62" t="str">
        <f>IF(A2033="","",A2033&amp;"|"&amp;O2033)</f>
        <v/>
      </c>
    </row>
    <row r="2034">
      <c r="A2034" s="60" t="n"/>
      <c r="B2034" s="63" t="n"/>
      <c r="C2034" s="63" t="n"/>
      <c r="D2034" s="67" t="n"/>
      <c r="E2034" s="68" t="n"/>
      <c r="F2034" s="69" t="n"/>
      <c r="G2034" s="70" t="n"/>
      <c r="H2034" s="62" t="str">
        <f>IF(COUNTA(A2034:G2034)=0,"",IF(C2034&lt;&gt;"",C2034,IF(B2034="","",IFERROR(INDEX(pr_des,MATCH(B2034,pr_code,0))&amp;"",""))))</f>
        <v/>
      </c>
      <c r="I2034" s="59" t="str">
        <f>IF(B2034="","",IFERROR(INDEX(pr_unit,MATCH(B2034,pr_code,0))&amp;"",""))</f>
        <v/>
      </c>
      <c r="J2034" s="65" t="str">
        <f>IF(COUNTA(A2034:G2034)=0,"",IF(E2034&lt;&gt;"",E2034,IF(B2034="","",IFERROR(IF(INDEX(pr_price,MATCH(B2034,pr_code,0))="","",INDEX(pr_price,MATCH(B2034,pr_code,0))),""))))</f>
        <v/>
      </c>
      <c r="K2034" s="71" t="str">
        <f>IF(COUNTA(A2034:G2034)=0,"",IF(G2034&lt;&gt;"",G2034,IF(B2034="","",IFERROR(IF(INDEX(pr_rate,MATCH(B2034,pr_code,0))="","",INDEX(pr_rate,MATCH(B2034,pr_code,0))),""))))</f>
        <v/>
      </c>
      <c r="L2034" s="65" t="str">
        <f>IF(COUNTA(A2034:G2034)=0,"",IF(AND(ISNUMBER(D2034),ISNUMBER(J2034)),ROUND(D2034*J2034*(1-N(F2034)),2),0))</f>
        <v/>
      </c>
      <c r="M2034" s="62" t="str">
        <f>IF(A2034="","",IFERROR(INDEX(dv_cname,MATCH(A2034,dv_num,0))&amp;"",""))</f>
        <v/>
      </c>
      <c r="N2034" s="59" t="str">
        <f>IF(COUNTA(A2034:G2034)=0,"",IF(A2034="","N° devis manquant",IF(ISNA(MATCH(A2034,dv_num,0)),"Devis inconnu",IF(AND(B2034&lt;&gt;"",ISNA(MATCH(B2034,pr_code,0))),"Article inconnu",IF(H2034="","Désignation manquante",IF(OR(NOT(ISNUMBER(D2034)),N(D2034)&lt;=0),"Quantité invalide",IF(J2034="","Prix manquant",IF(OR(NOT(ISNUMBER(J2034)),N(J2034)&lt;0),"Prix invalide",IF(OR(AND(F2034&lt;&gt;"",NOT(ISNUMBER(F2034))),N(F2034)&lt;0,N(F2034)&gt;1),"Remise invalide",IF(K2034="","Taux de TVA manquant",IF(NOT(ISNUMBER(K2034)),"Taux de TVA invalide",IF(COUNTIF(p_rates,K2034)=0,"Taux de TVA hors liste (Paramètres)",IF(N(O2034)&gt;25,"Au-delà de 25 lignes : non imprimée","OK")))))))))))))</f>
        <v/>
      </c>
      <c r="O2034" s="59" t="str">
        <f>IF(A2034="","",COUNTIF($A$6:A2034,A2034))</f>
        <v/>
      </c>
      <c r="P2034" s="62" t="str">
        <f>IF(A2034="","",A2034&amp;"|"&amp;O2034)</f>
        <v/>
      </c>
    </row>
    <row r="2035">
      <c r="A2035" s="60" t="n"/>
      <c r="B2035" s="63" t="n"/>
      <c r="C2035" s="63" t="n"/>
      <c r="D2035" s="67" t="n"/>
      <c r="E2035" s="68" t="n"/>
      <c r="F2035" s="69" t="n"/>
      <c r="G2035" s="70" t="n"/>
      <c r="H2035" s="62" t="str">
        <f>IF(COUNTA(A2035:G2035)=0,"",IF(C2035&lt;&gt;"",C2035,IF(B2035="","",IFERROR(INDEX(pr_des,MATCH(B2035,pr_code,0))&amp;"",""))))</f>
        <v/>
      </c>
      <c r="I2035" s="59" t="str">
        <f>IF(B2035="","",IFERROR(INDEX(pr_unit,MATCH(B2035,pr_code,0))&amp;"",""))</f>
        <v/>
      </c>
      <c r="J2035" s="65" t="str">
        <f>IF(COUNTA(A2035:G2035)=0,"",IF(E2035&lt;&gt;"",E2035,IF(B2035="","",IFERROR(IF(INDEX(pr_price,MATCH(B2035,pr_code,0))="","",INDEX(pr_price,MATCH(B2035,pr_code,0))),""))))</f>
        <v/>
      </c>
      <c r="K2035" s="71" t="str">
        <f>IF(COUNTA(A2035:G2035)=0,"",IF(G2035&lt;&gt;"",G2035,IF(B2035="","",IFERROR(IF(INDEX(pr_rate,MATCH(B2035,pr_code,0))="","",INDEX(pr_rate,MATCH(B2035,pr_code,0))),""))))</f>
        <v/>
      </c>
      <c r="L2035" s="65" t="str">
        <f>IF(COUNTA(A2035:G2035)=0,"",IF(AND(ISNUMBER(D2035),ISNUMBER(J2035)),ROUND(D2035*J2035*(1-N(F2035)),2),0))</f>
        <v/>
      </c>
      <c r="M2035" s="62" t="str">
        <f>IF(A2035="","",IFERROR(INDEX(dv_cname,MATCH(A2035,dv_num,0))&amp;"",""))</f>
        <v/>
      </c>
      <c r="N2035" s="59" t="str">
        <f>IF(COUNTA(A2035:G2035)=0,"",IF(A2035="","N° devis manquant",IF(ISNA(MATCH(A2035,dv_num,0)),"Devis inconnu",IF(AND(B2035&lt;&gt;"",ISNA(MATCH(B2035,pr_code,0))),"Article inconnu",IF(H2035="","Désignation manquante",IF(OR(NOT(ISNUMBER(D2035)),N(D2035)&lt;=0),"Quantité invalide",IF(J2035="","Prix manquant",IF(OR(NOT(ISNUMBER(J2035)),N(J2035)&lt;0),"Prix invalide",IF(OR(AND(F2035&lt;&gt;"",NOT(ISNUMBER(F2035))),N(F2035)&lt;0,N(F2035)&gt;1),"Remise invalide",IF(K2035="","Taux de TVA manquant",IF(NOT(ISNUMBER(K2035)),"Taux de TVA invalide",IF(COUNTIF(p_rates,K2035)=0,"Taux de TVA hors liste (Paramètres)",IF(N(O2035)&gt;25,"Au-delà de 25 lignes : non imprimée","OK")))))))))))))</f>
        <v/>
      </c>
      <c r="O2035" s="59" t="str">
        <f>IF(A2035="","",COUNTIF($A$6:A2035,A2035))</f>
        <v/>
      </c>
      <c r="P2035" s="62" t="str">
        <f>IF(A2035="","",A2035&amp;"|"&amp;O2035)</f>
        <v/>
      </c>
    </row>
    <row r="2036">
      <c r="A2036" s="60" t="n"/>
      <c r="B2036" s="63" t="n"/>
      <c r="C2036" s="63" t="n"/>
      <c r="D2036" s="67" t="n"/>
      <c r="E2036" s="68" t="n"/>
      <c r="F2036" s="69" t="n"/>
      <c r="G2036" s="70" t="n"/>
      <c r="H2036" s="62" t="str">
        <f>IF(COUNTA(A2036:G2036)=0,"",IF(C2036&lt;&gt;"",C2036,IF(B2036="","",IFERROR(INDEX(pr_des,MATCH(B2036,pr_code,0))&amp;"",""))))</f>
        <v/>
      </c>
      <c r="I2036" s="59" t="str">
        <f>IF(B2036="","",IFERROR(INDEX(pr_unit,MATCH(B2036,pr_code,0))&amp;"",""))</f>
        <v/>
      </c>
      <c r="J2036" s="65" t="str">
        <f>IF(COUNTA(A2036:G2036)=0,"",IF(E2036&lt;&gt;"",E2036,IF(B2036="","",IFERROR(IF(INDEX(pr_price,MATCH(B2036,pr_code,0))="","",INDEX(pr_price,MATCH(B2036,pr_code,0))),""))))</f>
        <v/>
      </c>
      <c r="K2036" s="71" t="str">
        <f>IF(COUNTA(A2036:G2036)=0,"",IF(G2036&lt;&gt;"",G2036,IF(B2036="","",IFERROR(IF(INDEX(pr_rate,MATCH(B2036,pr_code,0))="","",INDEX(pr_rate,MATCH(B2036,pr_code,0))),""))))</f>
        <v/>
      </c>
      <c r="L2036" s="65" t="str">
        <f>IF(COUNTA(A2036:G2036)=0,"",IF(AND(ISNUMBER(D2036),ISNUMBER(J2036)),ROUND(D2036*J2036*(1-N(F2036)),2),0))</f>
        <v/>
      </c>
      <c r="M2036" s="62" t="str">
        <f>IF(A2036="","",IFERROR(INDEX(dv_cname,MATCH(A2036,dv_num,0))&amp;"",""))</f>
        <v/>
      </c>
      <c r="N2036" s="59" t="str">
        <f>IF(COUNTA(A2036:G2036)=0,"",IF(A2036="","N° devis manquant",IF(ISNA(MATCH(A2036,dv_num,0)),"Devis inconnu",IF(AND(B2036&lt;&gt;"",ISNA(MATCH(B2036,pr_code,0))),"Article inconnu",IF(H2036="","Désignation manquante",IF(OR(NOT(ISNUMBER(D2036)),N(D2036)&lt;=0),"Quantité invalide",IF(J2036="","Prix manquant",IF(OR(NOT(ISNUMBER(J2036)),N(J2036)&lt;0),"Prix invalide",IF(OR(AND(F2036&lt;&gt;"",NOT(ISNUMBER(F2036))),N(F2036)&lt;0,N(F2036)&gt;1),"Remise invalide",IF(K2036="","Taux de TVA manquant",IF(NOT(ISNUMBER(K2036)),"Taux de TVA invalide",IF(COUNTIF(p_rates,K2036)=0,"Taux de TVA hors liste (Paramètres)",IF(N(O2036)&gt;25,"Au-delà de 25 lignes : non imprimée","OK")))))))))))))</f>
        <v/>
      </c>
      <c r="O2036" s="59" t="str">
        <f>IF(A2036="","",COUNTIF($A$6:A2036,A2036))</f>
        <v/>
      </c>
      <c r="P2036" s="62" t="str">
        <f>IF(A2036="","",A2036&amp;"|"&amp;O2036)</f>
        <v/>
      </c>
    </row>
    <row r="2037">
      <c r="A2037" s="60" t="n"/>
      <c r="B2037" s="63" t="n"/>
      <c r="C2037" s="63" t="n"/>
      <c r="D2037" s="67" t="n"/>
      <c r="E2037" s="68" t="n"/>
      <c r="F2037" s="69" t="n"/>
      <c r="G2037" s="70" t="n"/>
      <c r="H2037" s="62" t="str">
        <f>IF(COUNTA(A2037:G2037)=0,"",IF(C2037&lt;&gt;"",C2037,IF(B2037="","",IFERROR(INDEX(pr_des,MATCH(B2037,pr_code,0))&amp;"",""))))</f>
        <v/>
      </c>
      <c r="I2037" s="59" t="str">
        <f>IF(B2037="","",IFERROR(INDEX(pr_unit,MATCH(B2037,pr_code,0))&amp;"",""))</f>
        <v/>
      </c>
      <c r="J2037" s="65" t="str">
        <f>IF(COUNTA(A2037:G2037)=0,"",IF(E2037&lt;&gt;"",E2037,IF(B2037="","",IFERROR(IF(INDEX(pr_price,MATCH(B2037,pr_code,0))="","",INDEX(pr_price,MATCH(B2037,pr_code,0))),""))))</f>
        <v/>
      </c>
      <c r="K2037" s="71" t="str">
        <f>IF(COUNTA(A2037:G2037)=0,"",IF(G2037&lt;&gt;"",G2037,IF(B2037="","",IFERROR(IF(INDEX(pr_rate,MATCH(B2037,pr_code,0))="","",INDEX(pr_rate,MATCH(B2037,pr_code,0))),""))))</f>
        <v/>
      </c>
      <c r="L2037" s="65" t="str">
        <f>IF(COUNTA(A2037:G2037)=0,"",IF(AND(ISNUMBER(D2037),ISNUMBER(J2037)),ROUND(D2037*J2037*(1-N(F2037)),2),0))</f>
        <v/>
      </c>
      <c r="M2037" s="62" t="str">
        <f>IF(A2037="","",IFERROR(INDEX(dv_cname,MATCH(A2037,dv_num,0))&amp;"",""))</f>
        <v/>
      </c>
      <c r="N2037" s="59" t="str">
        <f>IF(COUNTA(A2037:G2037)=0,"",IF(A2037="","N° devis manquant",IF(ISNA(MATCH(A2037,dv_num,0)),"Devis inconnu",IF(AND(B2037&lt;&gt;"",ISNA(MATCH(B2037,pr_code,0))),"Article inconnu",IF(H2037="","Désignation manquante",IF(OR(NOT(ISNUMBER(D2037)),N(D2037)&lt;=0),"Quantité invalide",IF(J2037="","Prix manquant",IF(OR(NOT(ISNUMBER(J2037)),N(J2037)&lt;0),"Prix invalide",IF(OR(AND(F2037&lt;&gt;"",NOT(ISNUMBER(F2037))),N(F2037)&lt;0,N(F2037)&gt;1),"Remise invalide",IF(K2037="","Taux de TVA manquant",IF(NOT(ISNUMBER(K2037)),"Taux de TVA invalide",IF(COUNTIF(p_rates,K2037)=0,"Taux de TVA hors liste (Paramètres)",IF(N(O2037)&gt;25,"Au-delà de 25 lignes : non imprimée","OK")))))))))))))</f>
        <v/>
      </c>
      <c r="O2037" s="59" t="str">
        <f>IF(A2037="","",COUNTIF($A$6:A2037,A2037))</f>
        <v/>
      </c>
      <c r="P2037" s="62" t="str">
        <f>IF(A2037="","",A2037&amp;"|"&amp;O2037)</f>
        <v/>
      </c>
    </row>
    <row r="2038">
      <c r="A2038" s="60" t="n"/>
      <c r="B2038" s="63" t="n"/>
      <c r="C2038" s="63" t="n"/>
      <c r="D2038" s="67" t="n"/>
      <c r="E2038" s="68" t="n"/>
      <c r="F2038" s="69" t="n"/>
      <c r="G2038" s="70" t="n"/>
      <c r="H2038" s="62" t="str">
        <f>IF(COUNTA(A2038:G2038)=0,"",IF(C2038&lt;&gt;"",C2038,IF(B2038="","",IFERROR(INDEX(pr_des,MATCH(B2038,pr_code,0))&amp;"",""))))</f>
        <v/>
      </c>
      <c r="I2038" s="59" t="str">
        <f>IF(B2038="","",IFERROR(INDEX(pr_unit,MATCH(B2038,pr_code,0))&amp;"",""))</f>
        <v/>
      </c>
      <c r="J2038" s="65" t="str">
        <f>IF(COUNTA(A2038:G2038)=0,"",IF(E2038&lt;&gt;"",E2038,IF(B2038="","",IFERROR(IF(INDEX(pr_price,MATCH(B2038,pr_code,0))="","",INDEX(pr_price,MATCH(B2038,pr_code,0))),""))))</f>
        <v/>
      </c>
      <c r="K2038" s="71" t="str">
        <f>IF(COUNTA(A2038:G2038)=0,"",IF(G2038&lt;&gt;"",G2038,IF(B2038="","",IFERROR(IF(INDEX(pr_rate,MATCH(B2038,pr_code,0))="","",INDEX(pr_rate,MATCH(B2038,pr_code,0))),""))))</f>
        <v/>
      </c>
      <c r="L2038" s="65" t="str">
        <f>IF(COUNTA(A2038:G2038)=0,"",IF(AND(ISNUMBER(D2038),ISNUMBER(J2038)),ROUND(D2038*J2038*(1-N(F2038)),2),0))</f>
        <v/>
      </c>
      <c r="M2038" s="62" t="str">
        <f>IF(A2038="","",IFERROR(INDEX(dv_cname,MATCH(A2038,dv_num,0))&amp;"",""))</f>
        <v/>
      </c>
      <c r="N2038" s="59" t="str">
        <f>IF(COUNTA(A2038:G2038)=0,"",IF(A2038="","N° devis manquant",IF(ISNA(MATCH(A2038,dv_num,0)),"Devis inconnu",IF(AND(B2038&lt;&gt;"",ISNA(MATCH(B2038,pr_code,0))),"Article inconnu",IF(H2038="","Désignation manquante",IF(OR(NOT(ISNUMBER(D2038)),N(D2038)&lt;=0),"Quantité invalide",IF(J2038="","Prix manquant",IF(OR(NOT(ISNUMBER(J2038)),N(J2038)&lt;0),"Prix invalide",IF(OR(AND(F2038&lt;&gt;"",NOT(ISNUMBER(F2038))),N(F2038)&lt;0,N(F2038)&gt;1),"Remise invalide",IF(K2038="","Taux de TVA manquant",IF(NOT(ISNUMBER(K2038)),"Taux de TVA invalide",IF(COUNTIF(p_rates,K2038)=0,"Taux de TVA hors liste (Paramètres)",IF(N(O2038)&gt;25,"Au-delà de 25 lignes : non imprimée","OK")))))))))))))</f>
        <v/>
      </c>
      <c r="O2038" s="59" t="str">
        <f>IF(A2038="","",COUNTIF($A$6:A2038,A2038))</f>
        <v/>
      </c>
      <c r="P2038" s="62" t="str">
        <f>IF(A2038="","",A2038&amp;"|"&amp;O2038)</f>
        <v/>
      </c>
    </row>
    <row r="2039">
      <c r="A2039" s="60" t="n"/>
      <c r="B2039" s="63" t="n"/>
      <c r="C2039" s="63" t="n"/>
      <c r="D2039" s="67" t="n"/>
      <c r="E2039" s="68" t="n"/>
      <c r="F2039" s="69" t="n"/>
      <c r="G2039" s="70" t="n"/>
      <c r="H2039" s="62" t="str">
        <f>IF(COUNTA(A2039:G2039)=0,"",IF(C2039&lt;&gt;"",C2039,IF(B2039="","",IFERROR(INDEX(pr_des,MATCH(B2039,pr_code,0))&amp;"",""))))</f>
        <v/>
      </c>
      <c r="I2039" s="59" t="str">
        <f>IF(B2039="","",IFERROR(INDEX(pr_unit,MATCH(B2039,pr_code,0))&amp;"",""))</f>
        <v/>
      </c>
      <c r="J2039" s="65" t="str">
        <f>IF(COUNTA(A2039:G2039)=0,"",IF(E2039&lt;&gt;"",E2039,IF(B2039="","",IFERROR(IF(INDEX(pr_price,MATCH(B2039,pr_code,0))="","",INDEX(pr_price,MATCH(B2039,pr_code,0))),""))))</f>
        <v/>
      </c>
      <c r="K2039" s="71" t="str">
        <f>IF(COUNTA(A2039:G2039)=0,"",IF(G2039&lt;&gt;"",G2039,IF(B2039="","",IFERROR(IF(INDEX(pr_rate,MATCH(B2039,pr_code,0))="","",INDEX(pr_rate,MATCH(B2039,pr_code,0))),""))))</f>
        <v/>
      </c>
      <c r="L2039" s="65" t="str">
        <f>IF(COUNTA(A2039:G2039)=0,"",IF(AND(ISNUMBER(D2039),ISNUMBER(J2039)),ROUND(D2039*J2039*(1-N(F2039)),2),0))</f>
        <v/>
      </c>
      <c r="M2039" s="62" t="str">
        <f>IF(A2039="","",IFERROR(INDEX(dv_cname,MATCH(A2039,dv_num,0))&amp;"",""))</f>
        <v/>
      </c>
      <c r="N2039" s="59" t="str">
        <f>IF(COUNTA(A2039:G2039)=0,"",IF(A2039="","N° devis manquant",IF(ISNA(MATCH(A2039,dv_num,0)),"Devis inconnu",IF(AND(B2039&lt;&gt;"",ISNA(MATCH(B2039,pr_code,0))),"Article inconnu",IF(H2039="","Désignation manquante",IF(OR(NOT(ISNUMBER(D2039)),N(D2039)&lt;=0),"Quantité invalide",IF(J2039="","Prix manquant",IF(OR(NOT(ISNUMBER(J2039)),N(J2039)&lt;0),"Prix invalide",IF(OR(AND(F2039&lt;&gt;"",NOT(ISNUMBER(F2039))),N(F2039)&lt;0,N(F2039)&gt;1),"Remise invalide",IF(K2039="","Taux de TVA manquant",IF(NOT(ISNUMBER(K2039)),"Taux de TVA invalide",IF(COUNTIF(p_rates,K2039)=0,"Taux de TVA hors liste (Paramètres)",IF(N(O2039)&gt;25,"Au-delà de 25 lignes : non imprimée","OK")))))))))))))</f>
        <v/>
      </c>
      <c r="O2039" s="59" t="str">
        <f>IF(A2039="","",COUNTIF($A$6:A2039,A2039))</f>
        <v/>
      </c>
      <c r="P2039" s="62" t="str">
        <f>IF(A2039="","",A2039&amp;"|"&amp;O2039)</f>
        <v/>
      </c>
    </row>
    <row r="2040">
      <c r="A2040" s="60" t="n"/>
      <c r="B2040" s="63" t="n"/>
      <c r="C2040" s="63" t="n"/>
      <c r="D2040" s="67" t="n"/>
      <c r="E2040" s="68" t="n"/>
      <c r="F2040" s="69" t="n"/>
      <c r="G2040" s="70" t="n"/>
      <c r="H2040" s="62" t="str">
        <f>IF(COUNTA(A2040:G2040)=0,"",IF(C2040&lt;&gt;"",C2040,IF(B2040="","",IFERROR(INDEX(pr_des,MATCH(B2040,pr_code,0))&amp;"",""))))</f>
        <v/>
      </c>
      <c r="I2040" s="59" t="str">
        <f>IF(B2040="","",IFERROR(INDEX(pr_unit,MATCH(B2040,pr_code,0))&amp;"",""))</f>
        <v/>
      </c>
      <c r="J2040" s="65" t="str">
        <f>IF(COUNTA(A2040:G2040)=0,"",IF(E2040&lt;&gt;"",E2040,IF(B2040="","",IFERROR(IF(INDEX(pr_price,MATCH(B2040,pr_code,0))="","",INDEX(pr_price,MATCH(B2040,pr_code,0))),""))))</f>
        <v/>
      </c>
      <c r="K2040" s="71" t="str">
        <f>IF(COUNTA(A2040:G2040)=0,"",IF(G2040&lt;&gt;"",G2040,IF(B2040="","",IFERROR(IF(INDEX(pr_rate,MATCH(B2040,pr_code,0))="","",INDEX(pr_rate,MATCH(B2040,pr_code,0))),""))))</f>
        <v/>
      </c>
      <c r="L2040" s="65" t="str">
        <f>IF(COUNTA(A2040:G2040)=0,"",IF(AND(ISNUMBER(D2040),ISNUMBER(J2040)),ROUND(D2040*J2040*(1-N(F2040)),2),0))</f>
        <v/>
      </c>
      <c r="M2040" s="62" t="str">
        <f>IF(A2040="","",IFERROR(INDEX(dv_cname,MATCH(A2040,dv_num,0))&amp;"",""))</f>
        <v/>
      </c>
      <c r="N2040" s="59" t="str">
        <f>IF(COUNTA(A2040:G2040)=0,"",IF(A2040="","N° devis manquant",IF(ISNA(MATCH(A2040,dv_num,0)),"Devis inconnu",IF(AND(B2040&lt;&gt;"",ISNA(MATCH(B2040,pr_code,0))),"Article inconnu",IF(H2040="","Désignation manquante",IF(OR(NOT(ISNUMBER(D2040)),N(D2040)&lt;=0),"Quantité invalide",IF(J2040="","Prix manquant",IF(OR(NOT(ISNUMBER(J2040)),N(J2040)&lt;0),"Prix invalide",IF(OR(AND(F2040&lt;&gt;"",NOT(ISNUMBER(F2040))),N(F2040)&lt;0,N(F2040)&gt;1),"Remise invalide",IF(K2040="","Taux de TVA manquant",IF(NOT(ISNUMBER(K2040)),"Taux de TVA invalide",IF(COUNTIF(p_rates,K2040)=0,"Taux de TVA hors liste (Paramètres)",IF(N(O2040)&gt;25,"Au-delà de 25 lignes : non imprimée","OK")))))))))))))</f>
        <v/>
      </c>
      <c r="O2040" s="59" t="str">
        <f>IF(A2040="","",COUNTIF($A$6:A2040,A2040))</f>
        <v/>
      </c>
      <c r="P2040" s="62" t="str">
        <f>IF(A2040="","",A2040&amp;"|"&amp;O2040)</f>
        <v/>
      </c>
    </row>
    <row r="2041">
      <c r="A2041" s="60" t="n"/>
      <c r="B2041" s="63" t="n"/>
      <c r="C2041" s="63" t="n"/>
      <c r="D2041" s="67" t="n"/>
      <c r="E2041" s="68" t="n"/>
      <c r="F2041" s="69" t="n"/>
      <c r="G2041" s="70" t="n"/>
      <c r="H2041" s="62" t="str">
        <f>IF(COUNTA(A2041:G2041)=0,"",IF(C2041&lt;&gt;"",C2041,IF(B2041="","",IFERROR(INDEX(pr_des,MATCH(B2041,pr_code,0))&amp;"",""))))</f>
        <v/>
      </c>
      <c r="I2041" s="59" t="str">
        <f>IF(B2041="","",IFERROR(INDEX(pr_unit,MATCH(B2041,pr_code,0))&amp;"",""))</f>
        <v/>
      </c>
      <c r="J2041" s="65" t="str">
        <f>IF(COUNTA(A2041:G2041)=0,"",IF(E2041&lt;&gt;"",E2041,IF(B2041="","",IFERROR(IF(INDEX(pr_price,MATCH(B2041,pr_code,0))="","",INDEX(pr_price,MATCH(B2041,pr_code,0))),""))))</f>
        <v/>
      </c>
      <c r="K2041" s="71" t="str">
        <f>IF(COUNTA(A2041:G2041)=0,"",IF(G2041&lt;&gt;"",G2041,IF(B2041="","",IFERROR(IF(INDEX(pr_rate,MATCH(B2041,pr_code,0))="","",INDEX(pr_rate,MATCH(B2041,pr_code,0))),""))))</f>
        <v/>
      </c>
      <c r="L2041" s="65" t="str">
        <f>IF(COUNTA(A2041:G2041)=0,"",IF(AND(ISNUMBER(D2041),ISNUMBER(J2041)),ROUND(D2041*J2041*(1-N(F2041)),2),0))</f>
        <v/>
      </c>
      <c r="M2041" s="62" t="str">
        <f>IF(A2041="","",IFERROR(INDEX(dv_cname,MATCH(A2041,dv_num,0))&amp;"",""))</f>
        <v/>
      </c>
      <c r="N2041" s="59" t="str">
        <f>IF(COUNTA(A2041:G2041)=0,"",IF(A2041="","N° devis manquant",IF(ISNA(MATCH(A2041,dv_num,0)),"Devis inconnu",IF(AND(B2041&lt;&gt;"",ISNA(MATCH(B2041,pr_code,0))),"Article inconnu",IF(H2041="","Désignation manquante",IF(OR(NOT(ISNUMBER(D2041)),N(D2041)&lt;=0),"Quantité invalide",IF(J2041="","Prix manquant",IF(OR(NOT(ISNUMBER(J2041)),N(J2041)&lt;0),"Prix invalide",IF(OR(AND(F2041&lt;&gt;"",NOT(ISNUMBER(F2041))),N(F2041)&lt;0,N(F2041)&gt;1),"Remise invalide",IF(K2041="","Taux de TVA manquant",IF(NOT(ISNUMBER(K2041)),"Taux de TVA invalide",IF(COUNTIF(p_rates,K2041)=0,"Taux de TVA hors liste (Paramètres)",IF(N(O2041)&gt;25,"Au-delà de 25 lignes : non imprimée","OK")))))))))))))</f>
        <v/>
      </c>
      <c r="O2041" s="59" t="str">
        <f>IF(A2041="","",COUNTIF($A$6:A2041,A2041))</f>
        <v/>
      </c>
      <c r="P2041" s="62" t="str">
        <f>IF(A2041="","",A2041&amp;"|"&amp;O2041)</f>
        <v/>
      </c>
    </row>
    <row r="2042">
      <c r="A2042" s="60" t="n"/>
      <c r="B2042" s="63" t="n"/>
      <c r="C2042" s="63" t="n"/>
      <c r="D2042" s="67" t="n"/>
      <c r="E2042" s="68" t="n"/>
      <c r="F2042" s="69" t="n"/>
      <c r="G2042" s="70" t="n"/>
      <c r="H2042" s="62" t="str">
        <f>IF(COUNTA(A2042:G2042)=0,"",IF(C2042&lt;&gt;"",C2042,IF(B2042="","",IFERROR(INDEX(pr_des,MATCH(B2042,pr_code,0))&amp;"",""))))</f>
        <v/>
      </c>
      <c r="I2042" s="59" t="str">
        <f>IF(B2042="","",IFERROR(INDEX(pr_unit,MATCH(B2042,pr_code,0))&amp;"",""))</f>
        <v/>
      </c>
      <c r="J2042" s="65" t="str">
        <f>IF(COUNTA(A2042:G2042)=0,"",IF(E2042&lt;&gt;"",E2042,IF(B2042="","",IFERROR(IF(INDEX(pr_price,MATCH(B2042,pr_code,0))="","",INDEX(pr_price,MATCH(B2042,pr_code,0))),""))))</f>
        <v/>
      </c>
      <c r="K2042" s="71" t="str">
        <f>IF(COUNTA(A2042:G2042)=0,"",IF(G2042&lt;&gt;"",G2042,IF(B2042="","",IFERROR(IF(INDEX(pr_rate,MATCH(B2042,pr_code,0))="","",INDEX(pr_rate,MATCH(B2042,pr_code,0))),""))))</f>
        <v/>
      </c>
      <c r="L2042" s="65" t="str">
        <f>IF(COUNTA(A2042:G2042)=0,"",IF(AND(ISNUMBER(D2042),ISNUMBER(J2042)),ROUND(D2042*J2042*(1-N(F2042)),2),0))</f>
        <v/>
      </c>
      <c r="M2042" s="62" t="str">
        <f>IF(A2042="","",IFERROR(INDEX(dv_cname,MATCH(A2042,dv_num,0))&amp;"",""))</f>
        <v/>
      </c>
      <c r="N2042" s="59" t="str">
        <f>IF(COUNTA(A2042:G2042)=0,"",IF(A2042="","N° devis manquant",IF(ISNA(MATCH(A2042,dv_num,0)),"Devis inconnu",IF(AND(B2042&lt;&gt;"",ISNA(MATCH(B2042,pr_code,0))),"Article inconnu",IF(H2042="","Désignation manquante",IF(OR(NOT(ISNUMBER(D2042)),N(D2042)&lt;=0),"Quantité invalide",IF(J2042="","Prix manquant",IF(OR(NOT(ISNUMBER(J2042)),N(J2042)&lt;0),"Prix invalide",IF(OR(AND(F2042&lt;&gt;"",NOT(ISNUMBER(F2042))),N(F2042)&lt;0,N(F2042)&gt;1),"Remise invalide",IF(K2042="","Taux de TVA manquant",IF(NOT(ISNUMBER(K2042)),"Taux de TVA invalide",IF(COUNTIF(p_rates,K2042)=0,"Taux de TVA hors liste (Paramètres)",IF(N(O2042)&gt;25,"Au-delà de 25 lignes : non imprimée","OK")))))))))))))</f>
        <v/>
      </c>
      <c r="O2042" s="59" t="str">
        <f>IF(A2042="","",COUNTIF($A$6:A2042,A2042))</f>
        <v/>
      </c>
      <c r="P2042" s="62" t="str">
        <f>IF(A2042="","",A2042&amp;"|"&amp;O2042)</f>
        <v/>
      </c>
    </row>
    <row r="2043">
      <c r="A2043" s="60" t="n"/>
      <c r="B2043" s="63" t="n"/>
      <c r="C2043" s="63" t="n"/>
      <c r="D2043" s="67" t="n"/>
      <c r="E2043" s="68" t="n"/>
      <c r="F2043" s="69" t="n"/>
      <c r="G2043" s="70" t="n"/>
      <c r="H2043" s="62" t="str">
        <f>IF(COUNTA(A2043:G2043)=0,"",IF(C2043&lt;&gt;"",C2043,IF(B2043="","",IFERROR(INDEX(pr_des,MATCH(B2043,pr_code,0))&amp;"",""))))</f>
        <v/>
      </c>
      <c r="I2043" s="59" t="str">
        <f>IF(B2043="","",IFERROR(INDEX(pr_unit,MATCH(B2043,pr_code,0))&amp;"",""))</f>
        <v/>
      </c>
      <c r="J2043" s="65" t="str">
        <f>IF(COUNTA(A2043:G2043)=0,"",IF(E2043&lt;&gt;"",E2043,IF(B2043="","",IFERROR(IF(INDEX(pr_price,MATCH(B2043,pr_code,0))="","",INDEX(pr_price,MATCH(B2043,pr_code,0))),""))))</f>
        <v/>
      </c>
      <c r="K2043" s="71" t="str">
        <f>IF(COUNTA(A2043:G2043)=0,"",IF(G2043&lt;&gt;"",G2043,IF(B2043="","",IFERROR(IF(INDEX(pr_rate,MATCH(B2043,pr_code,0))="","",INDEX(pr_rate,MATCH(B2043,pr_code,0))),""))))</f>
        <v/>
      </c>
      <c r="L2043" s="65" t="str">
        <f>IF(COUNTA(A2043:G2043)=0,"",IF(AND(ISNUMBER(D2043),ISNUMBER(J2043)),ROUND(D2043*J2043*(1-N(F2043)),2),0))</f>
        <v/>
      </c>
      <c r="M2043" s="62" t="str">
        <f>IF(A2043="","",IFERROR(INDEX(dv_cname,MATCH(A2043,dv_num,0))&amp;"",""))</f>
        <v/>
      </c>
      <c r="N2043" s="59" t="str">
        <f>IF(COUNTA(A2043:G2043)=0,"",IF(A2043="","N° devis manquant",IF(ISNA(MATCH(A2043,dv_num,0)),"Devis inconnu",IF(AND(B2043&lt;&gt;"",ISNA(MATCH(B2043,pr_code,0))),"Article inconnu",IF(H2043="","Désignation manquante",IF(OR(NOT(ISNUMBER(D2043)),N(D2043)&lt;=0),"Quantité invalide",IF(J2043="","Prix manquant",IF(OR(NOT(ISNUMBER(J2043)),N(J2043)&lt;0),"Prix invalide",IF(OR(AND(F2043&lt;&gt;"",NOT(ISNUMBER(F2043))),N(F2043)&lt;0,N(F2043)&gt;1),"Remise invalide",IF(K2043="","Taux de TVA manquant",IF(NOT(ISNUMBER(K2043)),"Taux de TVA invalide",IF(COUNTIF(p_rates,K2043)=0,"Taux de TVA hors liste (Paramètres)",IF(N(O2043)&gt;25,"Au-delà de 25 lignes : non imprimée","OK")))))))))))))</f>
        <v/>
      </c>
      <c r="O2043" s="59" t="str">
        <f>IF(A2043="","",COUNTIF($A$6:A2043,A2043))</f>
        <v/>
      </c>
      <c r="P2043" s="62" t="str">
        <f>IF(A2043="","",A2043&amp;"|"&amp;O2043)</f>
        <v/>
      </c>
    </row>
    <row r="2044">
      <c r="A2044" s="60" t="n"/>
      <c r="B2044" s="63" t="n"/>
      <c r="C2044" s="63" t="n"/>
      <c r="D2044" s="67" t="n"/>
      <c r="E2044" s="68" t="n"/>
      <c r="F2044" s="69" t="n"/>
      <c r="G2044" s="70" t="n"/>
      <c r="H2044" s="62" t="str">
        <f>IF(COUNTA(A2044:G2044)=0,"",IF(C2044&lt;&gt;"",C2044,IF(B2044="","",IFERROR(INDEX(pr_des,MATCH(B2044,pr_code,0))&amp;"",""))))</f>
        <v/>
      </c>
      <c r="I2044" s="59" t="str">
        <f>IF(B2044="","",IFERROR(INDEX(pr_unit,MATCH(B2044,pr_code,0))&amp;"",""))</f>
        <v/>
      </c>
      <c r="J2044" s="65" t="str">
        <f>IF(COUNTA(A2044:G2044)=0,"",IF(E2044&lt;&gt;"",E2044,IF(B2044="","",IFERROR(IF(INDEX(pr_price,MATCH(B2044,pr_code,0))="","",INDEX(pr_price,MATCH(B2044,pr_code,0))),""))))</f>
        <v/>
      </c>
      <c r="K2044" s="71" t="str">
        <f>IF(COUNTA(A2044:G2044)=0,"",IF(G2044&lt;&gt;"",G2044,IF(B2044="","",IFERROR(IF(INDEX(pr_rate,MATCH(B2044,pr_code,0))="","",INDEX(pr_rate,MATCH(B2044,pr_code,0))),""))))</f>
        <v/>
      </c>
      <c r="L2044" s="65" t="str">
        <f>IF(COUNTA(A2044:G2044)=0,"",IF(AND(ISNUMBER(D2044),ISNUMBER(J2044)),ROUND(D2044*J2044*(1-N(F2044)),2),0))</f>
        <v/>
      </c>
      <c r="M2044" s="62" t="str">
        <f>IF(A2044="","",IFERROR(INDEX(dv_cname,MATCH(A2044,dv_num,0))&amp;"",""))</f>
        <v/>
      </c>
      <c r="N2044" s="59" t="str">
        <f>IF(COUNTA(A2044:G2044)=0,"",IF(A2044="","N° devis manquant",IF(ISNA(MATCH(A2044,dv_num,0)),"Devis inconnu",IF(AND(B2044&lt;&gt;"",ISNA(MATCH(B2044,pr_code,0))),"Article inconnu",IF(H2044="","Désignation manquante",IF(OR(NOT(ISNUMBER(D2044)),N(D2044)&lt;=0),"Quantité invalide",IF(J2044="","Prix manquant",IF(OR(NOT(ISNUMBER(J2044)),N(J2044)&lt;0),"Prix invalide",IF(OR(AND(F2044&lt;&gt;"",NOT(ISNUMBER(F2044))),N(F2044)&lt;0,N(F2044)&gt;1),"Remise invalide",IF(K2044="","Taux de TVA manquant",IF(NOT(ISNUMBER(K2044)),"Taux de TVA invalide",IF(COUNTIF(p_rates,K2044)=0,"Taux de TVA hors liste (Paramètres)",IF(N(O2044)&gt;25,"Au-delà de 25 lignes : non imprimée","OK")))))))))))))</f>
        <v/>
      </c>
      <c r="O2044" s="59" t="str">
        <f>IF(A2044="","",COUNTIF($A$6:A2044,A2044))</f>
        <v/>
      </c>
      <c r="P2044" s="62" t="str">
        <f>IF(A2044="","",A2044&amp;"|"&amp;O2044)</f>
        <v/>
      </c>
    </row>
    <row r="2045">
      <c r="A2045" s="60" t="n"/>
      <c r="B2045" s="63" t="n"/>
      <c r="C2045" s="63" t="n"/>
      <c r="D2045" s="67" t="n"/>
      <c r="E2045" s="68" t="n"/>
      <c r="F2045" s="69" t="n"/>
      <c r="G2045" s="70" t="n"/>
      <c r="H2045" s="62" t="str">
        <f>IF(COUNTA(A2045:G2045)=0,"",IF(C2045&lt;&gt;"",C2045,IF(B2045="","",IFERROR(INDEX(pr_des,MATCH(B2045,pr_code,0))&amp;"",""))))</f>
        <v/>
      </c>
      <c r="I2045" s="59" t="str">
        <f>IF(B2045="","",IFERROR(INDEX(pr_unit,MATCH(B2045,pr_code,0))&amp;"",""))</f>
        <v/>
      </c>
      <c r="J2045" s="65" t="str">
        <f>IF(COUNTA(A2045:G2045)=0,"",IF(E2045&lt;&gt;"",E2045,IF(B2045="","",IFERROR(IF(INDEX(pr_price,MATCH(B2045,pr_code,0))="","",INDEX(pr_price,MATCH(B2045,pr_code,0))),""))))</f>
        <v/>
      </c>
      <c r="K2045" s="71" t="str">
        <f>IF(COUNTA(A2045:G2045)=0,"",IF(G2045&lt;&gt;"",G2045,IF(B2045="","",IFERROR(IF(INDEX(pr_rate,MATCH(B2045,pr_code,0))="","",INDEX(pr_rate,MATCH(B2045,pr_code,0))),""))))</f>
        <v/>
      </c>
      <c r="L2045" s="65" t="str">
        <f>IF(COUNTA(A2045:G2045)=0,"",IF(AND(ISNUMBER(D2045),ISNUMBER(J2045)),ROUND(D2045*J2045*(1-N(F2045)),2),0))</f>
        <v/>
      </c>
      <c r="M2045" s="62" t="str">
        <f>IF(A2045="","",IFERROR(INDEX(dv_cname,MATCH(A2045,dv_num,0))&amp;"",""))</f>
        <v/>
      </c>
      <c r="N2045" s="59" t="str">
        <f>IF(COUNTA(A2045:G2045)=0,"",IF(A2045="","N° devis manquant",IF(ISNA(MATCH(A2045,dv_num,0)),"Devis inconnu",IF(AND(B2045&lt;&gt;"",ISNA(MATCH(B2045,pr_code,0))),"Article inconnu",IF(H2045="","Désignation manquante",IF(OR(NOT(ISNUMBER(D2045)),N(D2045)&lt;=0),"Quantité invalide",IF(J2045="","Prix manquant",IF(OR(NOT(ISNUMBER(J2045)),N(J2045)&lt;0),"Prix invalide",IF(OR(AND(F2045&lt;&gt;"",NOT(ISNUMBER(F2045))),N(F2045)&lt;0,N(F2045)&gt;1),"Remise invalide",IF(K2045="","Taux de TVA manquant",IF(NOT(ISNUMBER(K2045)),"Taux de TVA invalide",IF(COUNTIF(p_rates,K2045)=0,"Taux de TVA hors liste (Paramètres)",IF(N(O2045)&gt;25,"Au-delà de 25 lignes : non imprimée","OK")))))))))))))</f>
        <v/>
      </c>
      <c r="O2045" s="59" t="str">
        <f>IF(A2045="","",COUNTIF($A$6:A2045,A2045))</f>
        <v/>
      </c>
      <c r="P2045" s="62" t="str">
        <f>IF(A2045="","",A2045&amp;"|"&amp;O2045)</f>
        <v/>
      </c>
    </row>
    <row r="2046">
      <c r="A2046" s="60" t="n"/>
      <c r="B2046" s="63" t="n"/>
      <c r="C2046" s="63" t="n"/>
      <c r="D2046" s="67" t="n"/>
      <c r="E2046" s="68" t="n"/>
      <c r="F2046" s="69" t="n"/>
      <c r="G2046" s="70" t="n"/>
      <c r="H2046" s="62" t="str">
        <f>IF(COUNTA(A2046:G2046)=0,"",IF(C2046&lt;&gt;"",C2046,IF(B2046="","",IFERROR(INDEX(pr_des,MATCH(B2046,pr_code,0))&amp;"",""))))</f>
        <v/>
      </c>
      <c r="I2046" s="59" t="str">
        <f>IF(B2046="","",IFERROR(INDEX(pr_unit,MATCH(B2046,pr_code,0))&amp;"",""))</f>
        <v/>
      </c>
      <c r="J2046" s="65" t="str">
        <f>IF(COUNTA(A2046:G2046)=0,"",IF(E2046&lt;&gt;"",E2046,IF(B2046="","",IFERROR(IF(INDEX(pr_price,MATCH(B2046,pr_code,0))="","",INDEX(pr_price,MATCH(B2046,pr_code,0))),""))))</f>
        <v/>
      </c>
      <c r="K2046" s="71" t="str">
        <f>IF(COUNTA(A2046:G2046)=0,"",IF(G2046&lt;&gt;"",G2046,IF(B2046="","",IFERROR(IF(INDEX(pr_rate,MATCH(B2046,pr_code,0))="","",INDEX(pr_rate,MATCH(B2046,pr_code,0))),""))))</f>
        <v/>
      </c>
      <c r="L2046" s="65" t="str">
        <f>IF(COUNTA(A2046:G2046)=0,"",IF(AND(ISNUMBER(D2046),ISNUMBER(J2046)),ROUND(D2046*J2046*(1-N(F2046)),2),0))</f>
        <v/>
      </c>
      <c r="M2046" s="62" t="str">
        <f>IF(A2046="","",IFERROR(INDEX(dv_cname,MATCH(A2046,dv_num,0))&amp;"",""))</f>
        <v/>
      </c>
      <c r="N2046" s="59" t="str">
        <f>IF(COUNTA(A2046:G2046)=0,"",IF(A2046="","N° devis manquant",IF(ISNA(MATCH(A2046,dv_num,0)),"Devis inconnu",IF(AND(B2046&lt;&gt;"",ISNA(MATCH(B2046,pr_code,0))),"Article inconnu",IF(H2046="","Désignation manquante",IF(OR(NOT(ISNUMBER(D2046)),N(D2046)&lt;=0),"Quantité invalide",IF(J2046="","Prix manquant",IF(OR(NOT(ISNUMBER(J2046)),N(J2046)&lt;0),"Prix invalide",IF(OR(AND(F2046&lt;&gt;"",NOT(ISNUMBER(F2046))),N(F2046)&lt;0,N(F2046)&gt;1),"Remise invalide",IF(K2046="","Taux de TVA manquant",IF(NOT(ISNUMBER(K2046)),"Taux de TVA invalide",IF(COUNTIF(p_rates,K2046)=0,"Taux de TVA hors liste (Paramètres)",IF(N(O2046)&gt;25,"Au-delà de 25 lignes : non imprimée","OK")))))))))))))</f>
        <v/>
      </c>
      <c r="O2046" s="59" t="str">
        <f>IF(A2046="","",COUNTIF($A$6:A2046,A2046))</f>
        <v/>
      </c>
      <c r="P2046" s="62" t="str">
        <f>IF(A2046="","",A2046&amp;"|"&amp;O2046)</f>
        <v/>
      </c>
    </row>
    <row r="2047">
      <c r="A2047" s="60" t="n"/>
      <c r="B2047" s="63" t="n"/>
      <c r="C2047" s="63" t="n"/>
      <c r="D2047" s="67" t="n"/>
      <c r="E2047" s="68" t="n"/>
      <c r="F2047" s="69" t="n"/>
      <c r="G2047" s="70" t="n"/>
      <c r="H2047" s="62" t="str">
        <f>IF(COUNTA(A2047:G2047)=0,"",IF(C2047&lt;&gt;"",C2047,IF(B2047="","",IFERROR(INDEX(pr_des,MATCH(B2047,pr_code,0))&amp;"",""))))</f>
        <v/>
      </c>
      <c r="I2047" s="59" t="str">
        <f>IF(B2047="","",IFERROR(INDEX(pr_unit,MATCH(B2047,pr_code,0))&amp;"",""))</f>
        <v/>
      </c>
      <c r="J2047" s="65" t="str">
        <f>IF(COUNTA(A2047:G2047)=0,"",IF(E2047&lt;&gt;"",E2047,IF(B2047="","",IFERROR(IF(INDEX(pr_price,MATCH(B2047,pr_code,0))="","",INDEX(pr_price,MATCH(B2047,pr_code,0))),""))))</f>
        <v/>
      </c>
      <c r="K2047" s="71" t="str">
        <f>IF(COUNTA(A2047:G2047)=0,"",IF(G2047&lt;&gt;"",G2047,IF(B2047="","",IFERROR(IF(INDEX(pr_rate,MATCH(B2047,pr_code,0))="","",INDEX(pr_rate,MATCH(B2047,pr_code,0))),""))))</f>
        <v/>
      </c>
      <c r="L2047" s="65" t="str">
        <f>IF(COUNTA(A2047:G2047)=0,"",IF(AND(ISNUMBER(D2047),ISNUMBER(J2047)),ROUND(D2047*J2047*(1-N(F2047)),2),0))</f>
        <v/>
      </c>
      <c r="M2047" s="62" t="str">
        <f>IF(A2047="","",IFERROR(INDEX(dv_cname,MATCH(A2047,dv_num,0))&amp;"",""))</f>
        <v/>
      </c>
      <c r="N2047" s="59" t="str">
        <f>IF(COUNTA(A2047:G2047)=0,"",IF(A2047="","N° devis manquant",IF(ISNA(MATCH(A2047,dv_num,0)),"Devis inconnu",IF(AND(B2047&lt;&gt;"",ISNA(MATCH(B2047,pr_code,0))),"Article inconnu",IF(H2047="","Désignation manquante",IF(OR(NOT(ISNUMBER(D2047)),N(D2047)&lt;=0),"Quantité invalide",IF(J2047="","Prix manquant",IF(OR(NOT(ISNUMBER(J2047)),N(J2047)&lt;0),"Prix invalide",IF(OR(AND(F2047&lt;&gt;"",NOT(ISNUMBER(F2047))),N(F2047)&lt;0,N(F2047)&gt;1),"Remise invalide",IF(K2047="","Taux de TVA manquant",IF(NOT(ISNUMBER(K2047)),"Taux de TVA invalide",IF(COUNTIF(p_rates,K2047)=0,"Taux de TVA hors liste (Paramètres)",IF(N(O2047)&gt;25,"Au-delà de 25 lignes : non imprimée","OK")))))))))))))</f>
        <v/>
      </c>
      <c r="O2047" s="59" t="str">
        <f>IF(A2047="","",COUNTIF($A$6:A2047,A2047))</f>
        <v/>
      </c>
      <c r="P2047" s="62" t="str">
        <f>IF(A2047="","",A2047&amp;"|"&amp;O2047)</f>
        <v/>
      </c>
    </row>
    <row r="2048">
      <c r="A2048" s="60" t="n"/>
      <c r="B2048" s="63" t="n"/>
      <c r="C2048" s="63" t="n"/>
      <c r="D2048" s="67" t="n"/>
      <c r="E2048" s="68" t="n"/>
      <c r="F2048" s="69" t="n"/>
      <c r="G2048" s="70" t="n"/>
      <c r="H2048" s="62" t="str">
        <f>IF(COUNTA(A2048:G2048)=0,"",IF(C2048&lt;&gt;"",C2048,IF(B2048="","",IFERROR(INDEX(pr_des,MATCH(B2048,pr_code,0))&amp;"",""))))</f>
        <v/>
      </c>
      <c r="I2048" s="59" t="str">
        <f>IF(B2048="","",IFERROR(INDEX(pr_unit,MATCH(B2048,pr_code,0))&amp;"",""))</f>
        <v/>
      </c>
      <c r="J2048" s="65" t="str">
        <f>IF(COUNTA(A2048:G2048)=0,"",IF(E2048&lt;&gt;"",E2048,IF(B2048="","",IFERROR(IF(INDEX(pr_price,MATCH(B2048,pr_code,0))="","",INDEX(pr_price,MATCH(B2048,pr_code,0))),""))))</f>
        <v/>
      </c>
      <c r="K2048" s="71" t="str">
        <f>IF(COUNTA(A2048:G2048)=0,"",IF(G2048&lt;&gt;"",G2048,IF(B2048="","",IFERROR(IF(INDEX(pr_rate,MATCH(B2048,pr_code,0))="","",INDEX(pr_rate,MATCH(B2048,pr_code,0))),""))))</f>
        <v/>
      </c>
      <c r="L2048" s="65" t="str">
        <f>IF(COUNTA(A2048:G2048)=0,"",IF(AND(ISNUMBER(D2048),ISNUMBER(J2048)),ROUND(D2048*J2048*(1-N(F2048)),2),0))</f>
        <v/>
      </c>
      <c r="M2048" s="62" t="str">
        <f>IF(A2048="","",IFERROR(INDEX(dv_cname,MATCH(A2048,dv_num,0))&amp;"",""))</f>
        <v/>
      </c>
      <c r="N2048" s="59" t="str">
        <f>IF(COUNTA(A2048:G2048)=0,"",IF(A2048="","N° devis manquant",IF(ISNA(MATCH(A2048,dv_num,0)),"Devis inconnu",IF(AND(B2048&lt;&gt;"",ISNA(MATCH(B2048,pr_code,0))),"Article inconnu",IF(H2048="","Désignation manquante",IF(OR(NOT(ISNUMBER(D2048)),N(D2048)&lt;=0),"Quantité invalide",IF(J2048="","Prix manquant",IF(OR(NOT(ISNUMBER(J2048)),N(J2048)&lt;0),"Prix invalide",IF(OR(AND(F2048&lt;&gt;"",NOT(ISNUMBER(F2048))),N(F2048)&lt;0,N(F2048)&gt;1),"Remise invalide",IF(K2048="","Taux de TVA manquant",IF(NOT(ISNUMBER(K2048)),"Taux de TVA invalide",IF(COUNTIF(p_rates,K2048)=0,"Taux de TVA hors liste (Paramètres)",IF(N(O2048)&gt;25,"Au-delà de 25 lignes : non imprimée","OK")))))))))))))</f>
        <v/>
      </c>
      <c r="O2048" s="59" t="str">
        <f>IF(A2048="","",COUNTIF($A$6:A2048,A2048))</f>
        <v/>
      </c>
      <c r="P2048" s="62" t="str">
        <f>IF(A2048="","",A2048&amp;"|"&amp;O2048)</f>
        <v/>
      </c>
    </row>
    <row r="2049">
      <c r="A2049" s="60" t="n"/>
      <c r="B2049" s="63" t="n"/>
      <c r="C2049" s="63" t="n"/>
      <c r="D2049" s="67" t="n"/>
      <c r="E2049" s="68" t="n"/>
      <c r="F2049" s="69" t="n"/>
      <c r="G2049" s="70" t="n"/>
      <c r="H2049" s="62" t="str">
        <f>IF(COUNTA(A2049:G2049)=0,"",IF(C2049&lt;&gt;"",C2049,IF(B2049="","",IFERROR(INDEX(pr_des,MATCH(B2049,pr_code,0))&amp;"",""))))</f>
        <v/>
      </c>
      <c r="I2049" s="59" t="str">
        <f>IF(B2049="","",IFERROR(INDEX(pr_unit,MATCH(B2049,pr_code,0))&amp;"",""))</f>
        <v/>
      </c>
      <c r="J2049" s="65" t="str">
        <f>IF(COUNTA(A2049:G2049)=0,"",IF(E2049&lt;&gt;"",E2049,IF(B2049="","",IFERROR(IF(INDEX(pr_price,MATCH(B2049,pr_code,0))="","",INDEX(pr_price,MATCH(B2049,pr_code,0))),""))))</f>
        <v/>
      </c>
      <c r="K2049" s="71" t="str">
        <f>IF(COUNTA(A2049:G2049)=0,"",IF(G2049&lt;&gt;"",G2049,IF(B2049="","",IFERROR(IF(INDEX(pr_rate,MATCH(B2049,pr_code,0))="","",INDEX(pr_rate,MATCH(B2049,pr_code,0))),""))))</f>
        <v/>
      </c>
      <c r="L2049" s="65" t="str">
        <f>IF(COUNTA(A2049:G2049)=0,"",IF(AND(ISNUMBER(D2049),ISNUMBER(J2049)),ROUND(D2049*J2049*(1-N(F2049)),2),0))</f>
        <v/>
      </c>
      <c r="M2049" s="62" t="str">
        <f>IF(A2049="","",IFERROR(INDEX(dv_cname,MATCH(A2049,dv_num,0))&amp;"",""))</f>
        <v/>
      </c>
      <c r="N2049" s="59" t="str">
        <f>IF(COUNTA(A2049:G2049)=0,"",IF(A2049="","N° devis manquant",IF(ISNA(MATCH(A2049,dv_num,0)),"Devis inconnu",IF(AND(B2049&lt;&gt;"",ISNA(MATCH(B2049,pr_code,0))),"Article inconnu",IF(H2049="","Désignation manquante",IF(OR(NOT(ISNUMBER(D2049)),N(D2049)&lt;=0),"Quantité invalide",IF(J2049="","Prix manquant",IF(OR(NOT(ISNUMBER(J2049)),N(J2049)&lt;0),"Prix invalide",IF(OR(AND(F2049&lt;&gt;"",NOT(ISNUMBER(F2049))),N(F2049)&lt;0,N(F2049)&gt;1),"Remise invalide",IF(K2049="","Taux de TVA manquant",IF(NOT(ISNUMBER(K2049)),"Taux de TVA invalide",IF(COUNTIF(p_rates,K2049)=0,"Taux de TVA hors liste (Paramètres)",IF(N(O2049)&gt;25,"Au-delà de 25 lignes : non imprimée","OK")))))))))))))</f>
        <v/>
      </c>
      <c r="O2049" s="59" t="str">
        <f>IF(A2049="","",COUNTIF($A$6:A2049,A2049))</f>
        <v/>
      </c>
      <c r="P2049" s="62" t="str">
        <f>IF(A2049="","",A2049&amp;"|"&amp;O2049)</f>
        <v/>
      </c>
    </row>
    <row r="2050">
      <c r="A2050" s="60" t="n"/>
      <c r="B2050" s="63" t="n"/>
      <c r="C2050" s="63" t="n"/>
      <c r="D2050" s="67" t="n"/>
      <c r="E2050" s="68" t="n"/>
      <c r="F2050" s="69" t="n"/>
      <c r="G2050" s="70" t="n"/>
      <c r="H2050" s="62" t="str">
        <f>IF(COUNTA(A2050:G2050)=0,"",IF(C2050&lt;&gt;"",C2050,IF(B2050="","",IFERROR(INDEX(pr_des,MATCH(B2050,pr_code,0))&amp;"",""))))</f>
        <v/>
      </c>
      <c r="I2050" s="59" t="str">
        <f>IF(B2050="","",IFERROR(INDEX(pr_unit,MATCH(B2050,pr_code,0))&amp;"",""))</f>
        <v/>
      </c>
      <c r="J2050" s="65" t="str">
        <f>IF(COUNTA(A2050:G2050)=0,"",IF(E2050&lt;&gt;"",E2050,IF(B2050="","",IFERROR(IF(INDEX(pr_price,MATCH(B2050,pr_code,0))="","",INDEX(pr_price,MATCH(B2050,pr_code,0))),""))))</f>
        <v/>
      </c>
      <c r="K2050" s="71" t="str">
        <f>IF(COUNTA(A2050:G2050)=0,"",IF(G2050&lt;&gt;"",G2050,IF(B2050="","",IFERROR(IF(INDEX(pr_rate,MATCH(B2050,pr_code,0))="","",INDEX(pr_rate,MATCH(B2050,pr_code,0))),""))))</f>
        <v/>
      </c>
      <c r="L2050" s="65" t="str">
        <f>IF(COUNTA(A2050:G2050)=0,"",IF(AND(ISNUMBER(D2050),ISNUMBER(J2050)),ROUND(D2050*J2050*(1-N(F2050)),2),0))</f>
        <v/>
      </c>
      <c r="M2050" s="62" t="str">
        <f>IF(A2050="","",IFERROR(INDEX(dv_cname,MATCH(A2050,dv_num,0))&amp;"",""))</f>
        <v/>
      </c>
      <c r="N2050" s="59" t="str">
        <f>IF(COUNTA(A2050:G2050)=0,"",IF(A2050="","N° devis manquant",IF(ISNA(MATCH(A2050,dv_num,0)),"Devis inconnu",IF(AND(B2050&lt;&gt;"",ISNA(MATCH(B2050,pr_code,0))),"Article inconnu",IF(H2050="","Désignation manquante",IF(OR(NOT(ISNUMBER(D2050)),N(D2050)&lt;=0),"Quantité invalide",IF(J2050="","Prix manquant",IF(OR(NOT(ISNUMBER(J2050)),N(J2050)&lt;0),"Prix invalide",IF(OR(AND(F2050&lt;&gt;"",NOT(ISNUMBER(F2050))),N(F2050)&lt;0,N(F2050)&gt;1),"Remise invalide",IF(K2050="","Taux de TVA manquant",IF(NOT(ISNUMBER(K2050)),"Taux de TVA invalide",IF(COUNTIF(p_rates,K2050)=0,"Taux de TVA hors liste (Paramètres)",IF(N(O2050)&gt;25,"Au-delà de 25 lignes : non imprimée","OK")))))))))))))</f>
        <v/>
      </c>
      <c r="O2050" s="59" t="str">
        <f>IF(A2050="","",COUNTIF($A$6:A2050,A2050))</f>
        <v/>
      </c>
      <c r="P2050" s="62" t="str">
        <f>IF(A2050="","",A2050&amp;"|"&amp;O2050)</f>
        <v/>
      </c>
    </row>
    <row r="2051">
      <c r="A2051" s="60" t="n"/>
      <c r="B2051" s="63" t="n"/>
      <c r="C2051" s="63" t="n"/>
      <c r="D2051" s="67" t="n"/>
      <c r="E2051" s="68" t="n"/>
      <c r="F2051" s="69" t="n"/>
      <c r="G2051" s="70" t="n"/>
      <c r="H2051" s="62" t="str">
        <f>IF(COUNTA(A2051:G2051)=0,"",IF(C2051&lt;&gt;"",C2051,IF(B2051="","",IFERROR(INDEX(pr_des,MATCH(B2051,pr_code,0))&amp;"",""))))</f>
        <v/>
      </c>
      <c r="I2051" s="59" t="str">
        <f>IF(B2051="","",IFERROR(INDEX(pr_unit,MATCH(B2051,pr_code,0))&amp;"",""))</f>
        <v/>
      </c>
      <c r="J2051" s="65" t="str">
        <f>IF(COUNTA(A2051:G2051)=0,"",IF(E2051&lt;&gt;"",E2051,IF(B2051="","",IFERROR(IF(INDEX(pr_price,MATCH(B2051,pr_code,0))="","",INDEX(pr_price,MATCH(B2051,pr_code,0))),""))))</f>
        <v/>
      </c>
      <c r="K2051" s="71" t="str">
        <f>IF(COUNTA(A2051:G2051)=0,"",IF(G2051&lt;&gt;"",G2051,IF(B2051="","",IFERROR(IF(INDEX(pr_rate,MATCH(B2051,pr_code,0))="","",INDEX(pr_rate,MATCH(B2051,pr_code,0))),""))))</f>
        <v/>
      </c>
      <c r="L2051" s="65" t="str">
        <f>IF(COUNTA(A2051:G2051)=0,"",IF(AND(ISNUMBER(D2051),ISNUMBER(J2051)),ROUND(D2051*J2051*(1-N(F2051)),2),0))</f>
        <v/>
      </c>
      <c r="M2051" s="62" t="str">
        <f>IF(A2051="","",IFERROR(INDEX(dv_cname,MATCH(A2051,dv_num,0))&amp;"",""))</f>
        <v/>
      </c>
      <c r="N2051" s="59" t="str">
        <f>IF(COUNTA(A2051:G2051)=0,"",IF(A2051="","N° devis manquant",IF(ISNA(MATCH(A2051,dv_num,0)),"Devis inconnu",IF(AND(B2051&lt;&gt;"",ISNA(MATCH(B2051,pr_code,0))),"Article inconnu",IF(H2051="","Désignation manquante",IF(OR(NOT(ISNUMBER(D2051)),N(D2051)&lt;=0),"Quantité invalide",IF(J2051="","Prix manquant",IF(OR(NOT(ISNUMBER(J2051)),N(J2051)&lt;0),"Prix invalide",IF(OR(AND(F2051&lt;&gt;"",NOT(ISNUMBER(F2051))),N(F2051)&lt;0,N(F2051)&gt;1),"Remise invalide",IF(K2051="","Taux de TVA manquant",IF(NOT(ISNUMBER(K2051)),"Taux de TVA invalide",IF(COUNTIF(p_rates,K2051)=0,"Taux de TVA hors liste (Paramètres)",IF(N(O2051)&gt;25,"Au-delà de 25 lignes : non imprimée","OK")))))))))))))</f>
        <v/>
      </c>
      <c r="O2051" s="59" t="str">
        <f>IF(A2051="","",COUNTIF($A$6:A2051,A2051))</f>
        <v/>
      </c>
      <c r="P2051" s="62" t="str">
        <f>IF(A2051="","",A2051&amp;"|"&amp;O2051)</f>
        <v/>
      </c>
    </row>
    <row r="2052">
      <c r="A2052" s="60" t="n"/>
      <c r="B2052" s="63" t="n"/>
      <c r="C2052" s="63" t="n"/>
      <c r="D2052" s="67" t="n"/>
      <c r="E2052" s="68" t="n"/>
      <c r="F2052" s="69" t="n"/>
      <c r="G2052" s="70" t="n"/>
      <c r="H2052" s="62" t="str">
        <f>IF(COUNTA(A2052:G2052)=0,"",IF(C2052&lt;&gt;"",C2052,IF(B2052="","",IFERROR(INDEX(pr_des,MATCH(B2052,pr_code,0))&amp;"",""))))</f>
        <v/>
      </c>
      <c r="I2052" s="59" t="str">
        <f>IF(B2052="","",IFERROR(INDEX(pr_unit,MATCH(B2052,pr_code,0))&amp;"",""))</f>
        <v/>
      </c>
      <c r="J2052" s="65" t="str">
        <f>IF(COUNTA(A2052:G2052)=0,"",IF(E2052&lt;&gt;"",E2052,IF(B2052="","",IFERROR(IF(INDEX(pr_price,MATCH(B2052,pr_code,0))="","",INDEX(pr_price,MATCH(B2052,pr_code,0))),""))))</f>
        <v/>
      </c>
      <c r="K2052" s="71" t="str">
        <f>IF(COUNTA(A2052:G2052)=0,"",IF(G2052&lt;&gt;"",G2052,IF(B2052="","",IFERROR(IF(INDEX(pr_rate,MATCH(B2052,pr_code,0))="","",INDEX(pr_rate,MATCH(B2052,pr_code,0))),""))))</f>
        <v/>
      </c>
      <c r="L2052" s="65" t="str">
        <f>IF(COUNTA(A2052:G2052)=0,"",IF(AND(ISNUMBER(D2052),ISNUMBER(J2052)),ROUND(D2052*J2052*(1-N(F2052)),2),0))</f>
        <v/>
      </c>
      <c r="M2052" s="62" t="str">
        <f>IF(A2052="","",IFERROR(INDEX(dv_cname,MATCH(A2052,dv_num,0))&amp;"",""))</f>
        <v/>
      </c>
      <c r="N2052" s="59" t="str">
        <f>IF(COUNTA(A2052:G2052)=0,"",IF(A2052="","N° devis manquant",IF(ISNA(MATCH(A2052,dv_num,0)),"Devis inconnu",IF(AND(B2052&lt;&gt;"",ISNA(MATCH(B2052,pr_code,0))),"Article inconnu",IF(H2052="","Désignation manquante",IF(OR(NOT(ISNUMBER(D2052)),N(D2052)&lt;=0),"Quantité invalide",IF(J2052="","Prix manquant",IF(OR(NOT(ISNUMBER(J2052)),N(J2052)&lt;0),"Prix invalide",IF(OR(AND(F2052&lt;&gt;"",NOT(ISNUMBER(F2052))),N(F2052)&lt;0,N(F2052)&gt;1),"Remise invalide",IF(K2052="","Taux de TVA manquant",IF(NOT(ISNUMBER(K2052)),"Taux de TVA invalide",IF(COUNTIF(p_rates,K2052)=0,"Taux de TVA hors liste (Paramètres)",IF(N(O2052)&gt;25,"Au-delà de 25 lignes : non imprimée","OK")))))))))))))</f>
        <v/>
      </c>
      <c r="O2052" s="59" t="str">
        <f>IF(A2052="","",COUNTIF($A$6:A2052,A2052))</f>
        <v/>
      </c>
      <c r="P2052" s="62" t="str">
        <f>IF(A2052="","",A2052&amp;"|"&amp;O2052)</f>
        <v/>
      </c>
    </row>
    <row r="2053">
      <c r="A2053" s="60" t="n"/>
      <c r="B2053" s="63" t="n"/>
      <c r="C2053" s="63" t="n"/>
      <c r="D2053" s="67" t="n"/>
      <c r="E2053" s="68" t="n"/>
      <c r="F2053" s="69" t="n"/>
      <c r="G2053" s="70" t="n"/>
      <c r="H2053" s="62" t="str">
        <f>IF(COUNTA(A2053:G2053)=0,"",IF(C2053&lt;&gt;"",C2053,IF(B2053="","",IFERROR(INDEX(pr_des,MATCH(B2053,pr_code,0))&amp;"",""))))</f>
        <v/>
      </c>
      <c r="I2053" s="59" t="str">
        <f>IF(B2053="","",IFERROR(INDEX(pr_unit,MATCH(B2053,pr_code,0))&amp;"",""))</f>
        <v/>
      </c>
      <c r="J2053" s="65" t="str">
        <f>IF(COUNTA(A2053:G2053)=0,"",IF(E2053&lt;&gt;"",E2053,IF(B2053="","",IFERROR(IF(INDEX(pr_price,MATCH(B2053,pr_code,0))="","",INDEX(pr_price,MATCH(B2053,pr_code,0))),""))))</f>
        <v/>
      </c>
      <c r="K2053" s="71" t="str">
        <f>IF(COUNTA(A2053:G2053)=0,"",IF(G2053&lt;&gt;"",G2053,IF(B2053="","",IFERROR(IF(INDEX(pr_rate,MATCH(B2053,pr_code,0))="","",INDEX(pr_rate,MATCH(B2053,pr_code,0))),""))))</f>
        <v/>
      </c>
      <c r="L2053" s="65" t="str">
        <f>IF(COUNTA(A2053:G2053)=0,"",IF(AND(ISNUMBER(D2053),ISNUMBER(J2053)),ROUND(D2053*J2053*(1-N(F2053)),2),0))</f>
        <v/>
      </c>
      <c r="M2053" s="62" t="str">
        <f>IF(A2053="","",IFERROR(INDEX(dv_cname,MATCH(A2053,dv_num,0))&amp;"",""))</f>
        <v/>
      </c>
      <c r="N2053" s="59" t="str">
        <f>IF(COUNTA(A2053:G2053)=0,"",IF(A2053="","N° devis manquant",IF(ISNA(MATCH(A2053,dv_num,0)),"Devis inconnu",IF(AND(B2053&lt;&gt;"",ISNA(MATCH(B2053,pr_code,0))),"Article inconnu",IF(H2053="","Désignation manquante",IF(OR(NOT(ISNUMBER(D2053)),N(D2053)&lt;=0),"Quantité invalide",IF(J2053="","Prix manquant",IF(OR(NOT(ISNUMBER(J2053)),N(J2053)&lt;0),"Prix invalide",IF(OR(AND(F2053&lt;&gt;"",NOT(ISNUMBER(F2053))),N(F2053)&lt;0,N(F2053)&gt;1),"Remise invalide",IF(K2053="","Taux de TVA manquant",IF(NOT(ISNUMBER(K2053)),"Taux de TVA invalide",IF(COUNTIF(p_rates,K2053)=0,"Taux de TVA hors liste (Paramètres)",IF(N(O2053)&gt;25,"Au-delà de 25 lignes : non imprimée","OK")))))))))))))</f>
        <v/>
      </c>
      <c r="O2053" s="59" t="str">
        <f>IF(A2053="","",COUNTIF($A$6:A2053,A2053))</f>
        <v/>
      </c>
      <c r="P2053" s="62" t="str">
        <f>IF(A2053="","",A2053&amp;"|"&amp;O2053)</f>
        <v/>
      </c>
    </row>
    <row r="2054">
      <c r="A2054" s="60" t="n"/>
      <c r="B2054" s="63" t="n"/>
      <c r="C2054" s="63" t="n"/>
      <c r="D2054" s="67" t="n"/>
      <c r="E2054" s="68" t="n"/>
      <c r="F2054" s="69" t="n"/>
      <c r="G2054" s="70" t="n"/>
      <c r="H2054" s="62" t="str">
        <f>IF(COUNTA(A2054:G2054)=0,"",IF(C2054&lt;&gt;"",C2054,IF(B2054="","",IFERROR(INDEX(pr_des,MATCH(B2054,pr_code,0))&amp;"",""))))</f>
        <v/>
      </c>
      <c r="I2054" s="59" t="str">
        <f>IF(B2054="","",IFERROR(INDEX(pr_unit,MATCH(B2054,pr_code,0))&amp;"",""))</f>
        <v/>
      </c>
      <c r="J2054" s="65" t="str">
        <f>IF(COUNTA(A2054:G2054)=0,"",IF(E2054&lt;&gt;"",E2054,IF(B2054="","",IFERROR(IF(INDEX(pr_price,MATCH(B2054,pr_code,0))="","",INDEX(pr_price,MATCH(B2054,pr_code,0))),""))))</f>
        <v/>
      </c>
      <c r="K2054" s="71" t="str">
        <f>IF(COUNTA(A2054:G2054)=0,"",IF(G2054&lt;&gt;"",G2054,IF(B2054="","",IFERROR(IF(INDEX(pr_rate,MATCH(B2054,pr_code,0))="","",INDEX(pr_rate,MATCH(B2054,pr_code,0))),""))))</f>
        <v/>
      </c>
      <c r="L2054" s="65" t="str">
        <f>IF(COUNTA(A2054:G2054)=0,"",IF(AND(ISNUMBER(D2054),ISNUMBER(J2054)),ROUND(D2054*J2054*(1-N(F2054)),2),0))</f>
        <v/>
      </c>
      <c r="M2054" s="62" t="str">
        <f>IF(A2054="","",IFERROR(INDEX(dv_cname,MATCH(A2054,dv_num,0))&amp;"",""))</f>
        <v/>
      </c>
      <c r="N2054" s="59" t="str">
        <f>IF(COUNTA(A2054:G2054)=0,"",IF(A2054="","N° devis manquant",IF(ISNA(MATCH(A2054,dv_num,0)),"Devis inconnu",IF(AND(B2054&lt;&gt;"",ISNA(MATCH(B2054,pr_code,0))),"Article inconnu",IF(H2054="","Désignation manquante",IF(OR(NOT(ISNUMBER(D2054)),N(D2054)&lt;=0),"Quantité invalide",IF(J2054="","Prix manquant",IF(OR(NOT(ISNUMBER(J2054)),N(J2054)&lt;0),"Prix invalide",IF(OR(AND(F2054&lt;&gt;"",NOT(ISNUMBER(F2054))),N(F2054)&lt;0,N(F2054)&gt;1),"Remise invalide",IF(K2054="","Taux de TVA manquant",IF(NOT(ISNUMBER(K2054)),"Taux de TVA invalide",IF(COUNTIF(p_rates,K2054)=0,"Taux de TVA hors liste (Paramètres)",IF(N(O2054)&gt;25,"Au-delà de 25 lignes : non imprimée","OK")))))))))))))</f>
        <v/>
      </c>
      <c r="O2054" s="59" t="str">
        <f>IF(A2054="","",COUNTIF($A$6:A2054,A2054))</f>
        <v/>
      </c>
      <c r="P2054" s="62" t="str">
        <f>IF(A2054="","",A2054&amp;"|"&amp;O2054)</f>
        <v/>
      </c>
    </row>
    <row r="2055">
      <c r="A2055" s="60" t="n"/>
      <c r="B2055" s="63" t="n"/>
      <c r="C2055" s="63" t="n"/>
      <c r="D2055" s="67" t="n"/>
      <c r="E2055" s="68" t="n"/>
      <c r="F2055" s="69" t="n"/>
      <c r="G2055" s="70" t="n"/>
      <c r="H2055" s="62" t="str">
        <f>IF(COUNTA(A2055:G2055)=0,"",IF(C2055&lt;&gt;"",C2055,IF(B2055="","",IFERROR(INDEX(pr_des,MATCH(B2055,pr_code,0))&amp;"",""))))</f>
        <v/>
      </c>
      <c r="I2055" s="59" t="str">
        <f>IF(B2055="","",IFERROR(INDEX(pr_unit,MATCH(B2055,pr_code,0))&amp;"",""))</f>
        <v/>
      </c>
      <c r="J2055" s="65" t="str">
        <f>IF(COUNTA(A2055:G2055)=0,"",IF(E2055&lt;&gt;"",E2055,IF(B2055="","",IFERROR(IF(INDEX(pr_price,MATCH(B2055,pr_code,0))="","",INDEX(pr_price,MATCH(B2055,pr_code,0))),""))))</f>
        <v/>
      </c>
      <c r="K2055" s="71" t="str">
        <f>IF(COUNTA(A2055:G2055)=0,"",IF(G2055&lt;&gt;"",G2055,IF(B2055="","",IFERROR(IF(INDEX(pr_rate,MATCH(B2055,pr_code,0))="","",INDEX(pr_rate,MATCH(B2055,pr_code,0))),""))))</f>
        <v/>
      </c>
      <c r="L2055" s="65" t="str">
        <f>IF(COUNTA(A2055:G2055)=0,"",IF(AND(ISNUMBER(D2055),ISNUMBER(J2055)),ROUND(D2055*J2055*(1-N(F2055)),2),0))</f>
        <v/>
      </c>
      <c r="M2055" s="62" t="str">
        <f>IF(A2055="","",IFERROR(INDEX(dv_cname,MATCH(A2055,dv_num,0))&amp;"",""))</f>
        <v/>
      </c>
      <c r="N2055" s="59" t="str">
        <f>IF(COUNTA(A2055:G2055)=0,"",IF(A2055="","N° devis manquant",IF(ISNA(MATCH(A2055,dv_num,0)),"Devis inconnu",IF(AND(B2055&lt;&gt;"",ISNA(MATCH(B2055,pr_code,0))),"Article inconnu",IF(H2055="","Désignation manquante",IF(OR(NOT(ISNUMBER(D2055)),N(D2055)&lt;=0),"Quantité invalide",IF(J2055="","Prix manquant",IF(OR(NOT(ISNUMBER(J2055)),N(J2055)&lt;0),"Prix invalide",IF(OR(AND(F2055&lt;&gt;"",NOT(ISNUMBER(F2055))),N(F2055)&lt;0,N(F2055)&gt;1),"Remise invalide",IF(K2055="","Taux de TVA manquant",IF(NOT(ISNUMBER(K2055)),"Taux de TVA invalide",IF(COUNTIF(p_rates,K2055)=0,"Taux de TVA hors liste (Paramètres)",IF(N(O2055)&gt;25,"Au-delà de 25 lignes : non imprimée","OK")))))))))))))</f>
        <v/>
      </c>
      <c r="O2055" s="59" t="str">
        <f>IF(A2055="","",COUNTIF($A$6:A2055,A2055))</f>
        <v/>
      </c>
      <c r="P2055" s="62" t="str">
        <f>IF(A2055="","",A2055&amp;"|"&amp;O2055)</f>
        <v/>
      </c>
    </row>
    <row r="2056">
      <c r="A2056" s="60" t="n"/>
      <c r="B2056" s="63" t="n"/>
      <c r="C2056" s="63" t="n"/>
      <c r="D2056" s="67" t="n"/>
      <c r="E2056" s="68" t="n"/>
      <c r="F2056" s="69" t="n"/>
      <c r="G2056" s="70" t="n"/>
      <c r="H2056" s="62" t="str">
        <f>IF(COUNTA(A2056:G2056)=0,"",IF(C2056&lt;&gt;"",C2056,IF(B2056="","",IFERROR(INDEX(pr_des,MATCH(B2056,pr_code,0))&amp;"",""))))</f>
        <v/>
      </c>
      <c r="I2056" s="59" t="str">
        <f>IF(B2056="","",IFERROR(INDEX(pr_unit,MATCH(B2056,pr_code,0))&amp;"",""))</f>
        <v/>
      </c>
      <c r="J2056" s="65" t="str">
        <f>IF(COUNTA(A2056:G2056)=0,"",IF(E2056&lt;&gt;"",E2056,IF(B2056="","",IFERROR(IF(INDEX(pr_price,MATCH(B2056,pr_code,0))="","",INDEX(pr_price,MATCH(B2056,pr_code,0))),""))))</f>
        <v/>
      </c>
      <c r="K2056" s="71" t="str">
        <f>IF(COUNTA(A2056:G2056)=0,"",IF(G2056&lt;&gt;"",G2056,IF(B2056="","",IFERROR(IF(INDEX(pr_rate,MATCH(B2056,pr_code,0))="","",INDEX(pr_rate,MATCH(B2056,pr_code,0))),""))))</f>
        <v/>
      </c>
      <c r="L2056" s="65" t="str">
        <f>IF(COUNTA(A2056:G2056)=0,"",IF(AND(ISNUMBER(D2056),ISNUMBER(J2056)),ROUND(D2056*J2056*(1-N(F2056)),2),0))</f>
        <v/>
      </c>
      <c r="M2056" s="62" t="str">
        <f>IF(A2056="","",IFERROR(INDEX(dv_cname,MATCH(A2056,dv_num,0))&amp;"",""))</f>
        <v/>
      </c>
      <c r="N2056" s="59" t="str">
        <f>IF(COUNTA(A2056:G2056)=0,"",IF(A2056="","N° devis manquant",IF(ISNA(MATCH(A2056,dv_num,0)),"Devis inconnu",IF(AND(B2056&lt;&gt;"",ISNA(MATCH(B2056,pr_code,0))),"Article inconnu",IF(H2056="","Désignation manquante",IF(OR(NOT(ISNUMBER(D2056)),N(D2056)&lt;=0),"Quantité invalide",IF(J2056="","Prix manquant",IF(OR(NOT(ISNUMBER(J2056)),N(J2056)&lt;0),"Prix invalide",IF(OR(AND(F2056&lt;&gt;"",NOT(ISNUMBER(F2056))),N(F2056)&lt;0,N(F2056)&gt;1),"Remise invalide",IF(K2056="","Taux de TVA manquant",IF(NOT(ISNUMBER(K2056)),"Taux de TVA invalide",IF(COUNTIF(p_rates,K2056)=0,"Taux de TVA hors liste (Paramètres)",IF(N(O2056)&gt;25,"Au-delà de 25 lignes : non imprimée","OK")))))))))))))</f>
        <v/>
      </c>
      <c r="O2056" s="59" t="str">
        <f>IF(A2056="","",COUNTIF($A$6:A2056,A2056))</f>
        <v/>
      </c>
      <c r="P2056" s="62" t="str">
        <f>IF(A2056="","",A2056&amp;"|"&amp;O2056)</f>
        <v/>
      </c>
    </row>
    <row r="2057">
      <c r="A2057" s="60" t="n"/>
      <c r="B2057" s="63" t="n"/>
      <c r="C2057" s="63" t="n"/>
      <c r="D2057" s="67" t="n"/>
      <c r="E2057" s="68" t="n"/>
      <c r="F2057" s="69" t="n"/>
      <c r="G2057" s="70" t="n"/>
      <c r="H2057" s="62" t="str">
        <f>IF(COUNTA(A2057:G2057)=0,"",IF(C2057&lt;&gt;"",C2057,IF(B2057="","",IFERROR(INDEX(pr_des,MATCH(B2057,pr_code,0))&amp;"",""))))</f>
        <v/>
      </c>
      <c r="I2057" s="59" t="str">
        <f>IF(B2057="","",IFERROR(INDEX(pr_unit,MATCH(B2057,pr_code,0))&amp;"",""))</f>
        <v/>
      </c>
      <c r="J2057" s="65" t="str">
        <f>IF(COUNTA(A2057:G2057)=0,"",IF(E2057&lt;&gt;"",E2057,IF(B2057="","",IFERROR(IF(INDEX(pr_price,MATCH(B2057,pr_code,0))="","",INDEX(pr_price,MATCH(B2057,pr_code,0))),""))))</f>
        <v/>
      </c>
      <c r="K2057" s="71" t="str">
        <f>IF(COUNTA(A2057:G2057)=0,"",IF(G2057&lt;&gt;"",G2057,IF(B2057="","",IFERROR(IF(INDEX(pr_rate,MATCH(B2057,pr_code,0))="","",INDEX(pr_rate,MATCH(B2057,pr_code,0))),""))))</f>
        <v/>
      </c>
      <c r="L2057" s="65" t="str">
        <f>IF(COUNTA(A2057:G2057)=0,"",IF(AND(ISNUMBER(D2057),ISNUMBER(J2057)),ROUND(D2057*J2057*(1-N(F2057)),2),0))</f>
        <v/>
      </c>
      <c r="M2057" s="62" t="str">
        <f>IF(A2057="","",IFERROR(INDEX(dv_cname,MATCH(A2057,dv_num,0))&amp;"",""))</f>
        <v/>
      </c>
      <c r="N2057" s="59" t="str">
        <f>IF(COUNTA(A2057:G2057)=0,"",IF(A2057="","N° devis manquant",IF(ISNA(MATCH(A2057,dv_num,0)),"Devis inconnu",IF(AND(B2057&lt;&gt;"",ISNA(MATCH(B2057,pr_code,0))),"Article inconnu",IF(H2057="","Désignation manquante",IF(OR(NOT(ISNUMBER(D2057)),N(D2057)&lt;=0),"Quantité invalide",IF(J2057="","Prix manquant",IF(OR(NOT(ISNUMBER(J2057)),N(J2057)&lt;0),"Prix invalide",IF(OR(AND(F2057&lt;&gt;"",NOT(ISNUMBER(F2057))),N(F2057)&lt;0,N(F2057)&gt;1),"Remise invalide",IF(K2057="","Taux de TVA manquant",IF(NOT(ISNUMBER(K2057)),"Taux de TVA invalide",IF(COUNTIF(p_rates,K2057)=0,"Taux de TVA hors liste (Paramètres)",IF(N(O2057)&gt;25,"Au-delà de 25 lignes : non imprimée","OK")))))))))))))</f>
        <v/>
      </c>
      <c r="O2057" s="59" t="str">
        <f>IF(A2057="","",COUNTIF($A$6:A2057,A2057))</f>
        <v/>
      </c>
      <c r="P2057" s="62" t="str">
        <f>IF(A2057="","",A2057&amp;"|"&amp;O2057)</f>
        <v/>
      </c>
    </row>
    <row r="2058">
      <c r="A2058" s="60" t="n"/>
      <c r="B2058" s="63" t="n"/>
      <c r="C2058" s="63" t="n"/>
      <c r="D2058" s="67" t="n"/>
      <c r="E2058" s="68" t="n"/>
      <c r="F2058" s="69" t="n"/>
      <c r="G2058" s="70" t="n"/>
      <c r="H2058" s="62" t="str">
        <f>IF(COUNTA(A2058:G2058)=0,"",IF(C2058&lt;&gt;"",C2058,IF(B2058="","",IFERROR(INDEX(pr_des,MATCH(B2058,pr_code,0))&amp;"",""))))</f>
        <v/>
      </c>
      <c r="I2058" s="59" t="str">
        <f>IF(B2058="","",IFERROR(INDEX(pr_unit,MATCH(B2058,pr_code,0))&amp;"",""))</f>
        <v/>
      </c>
      <c r="J2058" s="65" t="str">
        <f>IF(COUNTA(A2058:G2058)=0,"",IF(E2058&lt;&gt;"",E2058,IF(B2058="","",IFERROR(IF(INDEX(pr_price,MATCH(B2058,pr_code,0))="","",INDEX(pr_price,MATCH(B2058,pr_code,0))),""))))</f>
        <v/>
      </c>
      <c r="K2058" s="71" t="str">
        <f>IF(COUNTA(A2058:G2058)=0,"",IF(G2058&lt;&gt;"",G2058,IF(B2058="","",IFERROR(IF(INDEX(pr_rate,MATCH(B2058,pr_code,0))="","",INDEX(pr_rate,MATCH(B2058,pr_code,0))),""))))</f>
        <v/>
      </c>
      <c r="L2058" s="65" t="str">
        <f>IF(COUNTA(A2058:G2058)=0,"",IF(AND(ISNUMBER(D2058),ISNUMBER(J2058)),ROUND(D2058*J2058*(1-N(F2058)),2),0))</f>
        <v/>
      </c>
      <c r="M2058" s="62" t="str">
        <f>IF(A2058="","",IFERROR(INDEX(dv_cname,MATCH(A2058,dv_num,0))&amp;"",""))</f>
        <v/>
      </c>
      <c r="N2058" s="59" t="str">
        <f>IF(COUNTA(A2058:G2058)=0,"",IF(A2058="","N° devis manquant",IF(ISNA(MATCH(A2058,dv_num,0)),"Devis inconnu",IF(AND(B2058&lt;&gt;"",ISNA(MATCH(B2058,pr_code,0))),"Article inconnu",IF(H2058="","Désignation manquante",IF(OR(NOT(ISNUMBER(D2058)),N(D2058)&lt;=0),"Quantité invalide",IF(J2058="","Prix manquant",IF(OR(NOT(ISNUMBER(J2058)),N(J2058)&lt;0),"Prix invalide",IF(OR(AND(F2058&lt;&gt;"",NOT(ISNUMBER(F2058))),N(F2058)&lt;0,N(F2058)&gt;1),"Remise invalide",IF(K2058="","Taux de TVA manquant",IF(NOT(ISNUMBER(K2058)),"Taux de TVA invalide",IF(COUNTIF(p_rates,K2058)=0,"Taux de TVA hors liste (Paramètres)",IF(N(O2058)&gt;25,"Au-delà de 25 lignes : non imprimée","OK")))))))))))))</f>
        <v/>
      </c>
      <c r="O2058" s="59" t="str">
        <f>IF(A2058="","",COUNTIF($A$6:A2058,A2058))</f>
        <v/>
      </c>
      <c r="P2058" s="62" t="str">
        <f>IF(A2058="","",A2058&amp;"|"&amp;O2058)</f>
        <v/>
      </c>
    </row>
    <row r="2059">
      <c r="A2059" s="60" t="n"/>
      <c r="B2059" s="63" t="n"/>
      <c r="C2059" s="63" t="n"/>
      <c r="D2059" s="67" t="n"/>
      <c r="E2059" s="68" t="n"/>
      <c r="F2059" s="69" t="n"/>
      <c r="G2059" s="70" t="n"/>
      <c r="H2059" s="62" t="str">
        <f>IF(COUNTA(A2059:G2059)=0,"",IF(C2059&lt;&gt;"",C2059,IF(B2059="","",IFERROR(INDEX(pr_des,MATCH(B2059,pr_code,0))&amp;"",""))))</f>
        <v/>
      </c>
      <c r="I2059" s="59" t="str">
        <f>IF(B2059="","",IFERROR(INDEX(pr_unit,MATCH(B2059,pr_code,0))&amp;"",""))</f>
        <v/>
      </c>
      <c r="J2059" s="65" t="str">
        <f>IF(COUNTA(A2059:G2059)=0,"",IF(E2059&lt;&gt;"",E2059,IF(B2059="","",IFERROR(IF(INDEX(pr_price,MATCH(B2059,pr_code,0))="","",INDEX(pr_price,MATCH(B2059,pr_code,0))),""))))</f>
        <v/>
      </c>
      <c r="K2059" s="71" t="str">
        <f>IF(COUNTA(A2059:G2059)=0,"",IF(G2059&lt;&gt;"",G2059,IF(B2059="","",IFERROR(IF(INDEX(pr_rate,MATCH(B2059,pr_code,0))="","",INDEX(pr_rate,MATCH(B2059,pr_code,0))),""))))</f>
        <v/>
      </c>
      <c r="L2059" s="65" t="str">
        <f>IF(COUNTA(A2059:G2059)=0,"",IF(AND(ISNUMBER(D2059),ISNUMBER(J2059)),ROUND(D2059*J2059*(1-N(F2059)),2),0))</f>
        <v/>
      </c>
      <c r="M2059" s="62" t="str">
        <f>IF(A2059="","",IFERROR(INDEX(dv_cname,MATCH(A2059,dv_num,0))&amp;"",""))</f>
        <v/>
      </c>
      <c r="N2059" s="59" t="str">
        <f>IF(COUNTA(A2059:G2059)=0,"",IF(A2059="","N° devis manquant",IF(ISNA(MATCH(A2059,dv_num,0)),"Devis inconnu",IF(AND(B2059&lt;&gt;"",ISNA(MATCH(B2059,pr_code,0))),"Article inconnu",IF(H2059="","Désignation manquante",IF(OR(NOT(ISNUMBER(D2059)),N(D2059)&lt;=0),"Quantité invalide",IF(J2059="","Prix manquant",IF(OR(NOT(ISNUMBER(J2059)),N(J2059)&lt;0),"Prix invalide",IF(OR(AND(F2059&lt;&gt;"",NOT(ISNUMBER(F2059))),N(F2059)&lt;0,N(F2059)&gt;1),"Remise invalide",IF(K2059="","Taux de TVA manquant",IF(NOT(ISNUMBER(K2059)),"Taux de TVA invalide",IF(COUNTIF(p_rates,K2059)=0,"Taux de TVA hors liste (Paramètres)",IF(N(O2059)&gt;25,"Au-delà de 25 lignes : non imprimée","OK")))))))))))))</f>
        <v/>
      </c>
      <c r="O2059" s="59" t="str">
        <f>IF(A2059="","",COUNTIF($A$6:A2059,A2059))</f>
        <v/>
      </c>
      <c r="P2059" s="62" t="str">
        <f>IF(A2059="","",A2059&amp;"|"&amp;O2059)</f>
        <v/>
      </c>
    </row>
    <row r="2060">
      <c r="A2060" s="60" t="n"/>
      <c r="B2060" s="63" t="n"/>
      <c r="C2060" s="63" t="n"/>
      <c r="D2060" s="67" t="n"/>
      <c r="E2060" s="68" t="n"/>
      <c r="F2060" s="69" t="n"/>
      <c r="G2060" s="70" t="n"/>
      <c r="H2060" s="62" t="str">
        <f>IF(COUNTA(A2060:G2060)=0,"",IF(C2060&lt;&gt;"",C2060,IF(B2060="","",IFERROR(INDEX(pr_des,MATCH(B2060,pr_code,0))&amp;"",""))))</f>
        <v/>
      </c>
      <c r="I2060" s="59" t="str">
        <f>IF(B2060="","",IFERROR(INDEX(pr_unit,MATCH(B2060,pr_code,0))&amp;"",""))</f>
        <v/>
      </c>
      <c r="J2060" s="65" t="str">
        <f>IF(COUNTA(A2060:G2060)=0,"",IF(E2060&lt;&gt;"",E2060,IF(B2060="","",IFERROR(IF(INDEX(pr_price,MATCH(B2060,pr_code,0))="","",INDEX(pr_price,MATCH(B2060,pr_code,0))),""))))</f>
        <v/>
      </c>
      <c r="K2060" s="71" t="str">
        <f>IF(COUNTA(A2060:G2060)=0,"",IF(G2060&lt;&gt;"",G2060,IF(B2060="","",IFERROR(IF(INDEX(pr_rate,MATCH(B2060,pr_code,0))="","",INDEX(pr_rate,MATCH(B2060,pr_code,0))),""))))</f>
        <v/>
      </c>
      <c r="L2060" s="65" t="str">
        <f>IF(COUNTA(A2060:G2060)=0,"",IF(AND(ISNUMBER(D2060),ISNUMBER(J2060)),ROUND(D2060*J2060*(1-N(F2060)),2),0))</f>
        <v/>
      </c>
      <c r="M2060" s="62" t="str">
        <f>IF(A2060="","",IFERROR(INDEX(dv_cname,MATCH(A2060,dv_num,0))&amp;"",""))</f>
        <v/>
      </c>
      <c r="N2060" s="59" t="str">
        <f>IF(COUNTA(A2060:G2060)=0,"",IF(A2060="","N° devis manquant",IF(ISNA(MATCH(A2060,dv_num,0)),"Devis inconnu",IF(AND(B2060&lt;&gt;"",ISNA(MATCH(B2060,pr_code,0))),"Article inconnu",IF(H2060="","Désignation manquante",IF(OR(NOT(ISNUMBER(D2060)),N(D2060)&lt;=0),"Quantité invalide",IF(J2060="","Prix manquant",IF(OR(NOT(ISNUMBER(J2060)),N(J2060)&lt;0),"Prix invalide",IF(OR(AND(F2060&lt;&gt;"",NOT(ISNUMBER(F2060))),N(F2060)&lt;0,N(F2060)&gt;1),"Remise invalide",IF(K2060="","Taux de TVA manquant",IF(NOT(ISNUMBER(K2060)),"Taux de TVA invalide",IF(COUNTIF(p_rates,K2060)=0,"Taux de TVA hors liste (Paramètres)",IF(N(O2060)&gt;25,"Au-delà de 25 lignes : non imprimée","OK")))))))))))))</f>
        <v/>
      </c>
      <c r="O2060" s="59" t="str">
        <f>IF(A2060="","",COUNTIF($A$6:A2060,A2060))</f>
        <v/>
      </c>
      <c r="P2060" s="62" t="str">
        <f>IF(A2060="","",A2060&amp;"|"&amp;O2060)</f>
        <v/>
      </c>
    </row>
    <row r="2061">
      <c r="A2061" s="60" t="n"/>
      <c r="B2061" s="63" t="n"/>
      <c r="C2061" s="63" t="n"/>
      <c r="D2061" s="67" t="n"/>
      <c r="E2061" s="68" t="n"/>
      <c r="F2061" s="69" t="n"/>
      <c r="G2061" s="70" t="n"/>
      <c r="H2061" s="62" t="str">
        <f>IF(COUNTA(A2061:G2061)=0,"",IF(C2061&lt;&gt;"",C2061,IF(B2061="","",IFERROR(INDEX(pr_des,MATCH(B2061,pr_code,0))&amp;"",""))))</f>
        <v/>
      </c>
      <c r="I2061" s="59" t="str">
        <f>IF(B2061="","",IFERROR(INDEX(pr_unit,MATCH(B2061,pr_code,0))&amp;"",""))</f>
        <v/>
      </c>
      <c r="J2061" s="65" t="str">
        <f>IF(COUNTA(A2061:G2061)=0,"",IF(E2061&lt;&gt;"",E2061,IF(B2061="","",IFERROR(IF(INDEX(pr_price,MATCH(B2061,pr_code,0))="","",INDEX(pr_price,MATCH(B2061,pr_code,0))),""))))</f>
        <v/>
      </c>
      <c r="K2061" s="71" t="str">
        <f>IF(COUNTA(A2061:G2061)=0,"",IF(G2061&lt;&gt;"",G2061,IF(B2061="","",IFERROR(IF(INDEX(pr_rate,MATCH(B2061,pr_code,0))="","",INDEX(pr_rate,MATCH(B2061,pr_code,0))),""))))</f>
        <v/>
      </c>
      <c r="L2061" s="65" t="str">
        <f>IF(COUNTA(A2061:G2061)=0,"",IF(AND(ISNUMBER(D2061),ISNUMBER(J2061)),ROUND(D2061*J2061*(1-N(F2061)),2),0))</f>
        <v/>
      </c>
      <c r="M2061" s="62" t="str">
        <f>IF(A2061="","",IFERROR(INDEX(dv_cname,MATCH(A2061,dv_num,0))&amp;"",""))</f>
        <v/>
      </c>
      <c r="N2061" s="59" t="str">
        <f>IF(COUNTA(A2061:G2061)=0,"",IF(A2061="","N° devis manquant",IF(ISNA(MATCH(A2061,dv_num,0)),"Devis inconnu",IF(AND(B2061&lt;&gt;"",ISNA(MATCH(B2061,pr_code,0))),"Article inconnu",IF(H2061="","Désignation manquante",IF(OR(NOT(ISNUMBER(D2061)),N(D2061)&lt;=0),"Quantité invalide",IF(J2061="","Prix manquant",IF(OR(NOT(ISNUMBER(J2061)),N(J2061)&lt;0),"Prix invalide",IF(OR(AND(F2061&lt;&gt;"",NOT(ISNUMBER(F2061))),N(F2061)&lt;0,N(F2061)&gt;1),"Remise invalide",IF(K2061="","Taux de TVA manquant",IF(NOT(ISNUMBER(K2061)),"Taux de TVA invalide",IF(COUNTIF(p_rates,K2061)=0,"Taux de TVA hors liste (Paramètres)",IF(N(O2061)&gt;25,"Au-delà de 25 lignes : non imprimée","OK")))))))))))))</f>
        <v/>
      </c>
      <c r="O2061" s="59" t="str">
        <f>IF(A2061="","",COUNTIF($A$6:A2061,A2061))</f>
        <v/>
      </c>
      <c r="P2061" s="62" t="str">
        <f>IF(A2061="","",A2061&amp;"|"&amp;O2061)</f>
        <v/>
      </c>
    </row>
    <row r="2062">
      <c r="A2062" s="60" t="n"/>
      <c r="B2062" s="63" t="n"/>
      <c r="C2062" s="63" t="n"/>
      <c r="D2062" s="67" t="n"/>
      <c r="E2062" s="68" t="n"/>
      <c r="F2062" s="69" t="n"/>
      <c r="G2062" s="70" t="n"/>
      <c r="H2062" s="62" t="str">
        <f>IF(COUNTA(A2062:G2062)=0,"",IF(C2062&lt;&gt;"",C2062,IF(B2062="","",IFERROR(INDEX(pr_des,MATCH(B2062,pr_code,0))&amp;"",""))))</f>
        <v/>
      </c>
      <c r="I2062" s="59" t="str">
        <f>IF(B2062="","",IFERROR(INDEX(pr_unit,MATCH(B2062,pr_code,0))&amp;"",""))</f>
        <v/>
      </c>
      <c r="J2062" s="65" t="str">
        <f>IF(COUNTA(A2062:G2062)=0,"",IF(E2062&lt;&gt;"",E2062,IF(B2062="","",IFERROR(IF(INDEX(pr_price,MATCH(B2062,pr_code,0))="","",INDEX(pr_price,MATCH(B2062,pr_code,0))),""))))</f>
        <v/>
      </c>
      <c r="K2062" s="71" t="str">
        <f>IF(COUNTA(A2062:G2062)=0,"",IF(G2062&lt;&gt;"",G2062,IF(B2062="","",IFERROR(IF(INDEX(pr_rate,MATCH(B2062,pr_code,0))="","",INDEX(pr_rate,MATCH(B2062,pr_code,0))),""))))</f>
        <v/>
      </c>
      <c r="L2062" s="65" t="str">
        <f>IF(COUNTA(A2062:G2062)=0,"",IF(AND(ISNUMBER(D2062),ISNUMBER(J2062)),ROUND(D2062*J2062*(1-N(F2062)),2),0))</f>
        <v/>
      </c>
      <c r="M2062" s="62" t="str">
        <f>IF(A2062="","",IFERROR(INDEX(dv_cname,MATCH(A2062,dv_num,0))&amp;"",""))</f>
        <v/>
      </c>
      <c r="N2062" s="59" t="str">
        <f>IF(COUNTA(A2062:G2062)=0,"",IF(A2062="","N° devis manquant",IF(ISNA(MATCH(A2062,dv_num,0)),"Devis inconnu",IF(AND(B2062&lt;&gt;"",ISNA(MATCH(B2062,pr_code,0))),"Article inconnu",IF(H2062="","Désignation manquante",IF(OR(NOT(ISNUMBER(D2062)),N(D2062)&lt;=0),"Quantité invalide",IF(J2062="","Prix manquant",IF(OR(NOT(ISNUMBER(J2062)),N(J2062)&lt;0),"Prix invalide",IF(OR(AND(F2062&lt;&gt;"",NOT(ISNUMBER(F2062))),N(F2062)&lt;0,N(F2062)&gt;1),"Remise invalide",IF(K2062="","Taux de TVA manquant",IF(NOT(ISNUMBER(K2062)),"Taux de TVA invalide",IF(COUNTIF(p_rates,K2062)=0,"Taux de TVA hors liste (Paramètres)",IF(N(O2062)&gt;25,"Au-delà de 25 lignes : non imprimée","OK")))))))))))))</f>
        <v/>
      </c>
      <c r="O2062" s="59" t="str">
        <f>IF(A2062="","",COUNTIF($A$6:A2062,A2062))</f>
        <v/>
      </c>
      <c r="P2062" s="62" t="str">
        <f>IF(A2062="","",A2062&amp;"|"&amp;O2062)</f>
        <v/>
      </c>
    </row>
    <row r="2063">
      <c r="A2063" s="60" t="n"/>
      <c r="B2063" s="63" t="n"/>
      <c r="C2063" s="63" t="n"/>
      <c r="D2063" s="67" t="n"/>
      <c r="E2063" s="68" t="n"/>
      <c r="F2063" s="69" t="n"/>
      <c r="G2063" s="70" t="n"/>
      <c r="H2063" s="62" t="str">
        <f>IF(COUNTA(A2063:G2063)=0,"",IF(C2063&lt;&gt;"",C2063,IF(B2063="","",IFERROR(INDEX(pr_des,MATCH(B2063,pr_code,0))&amp;"",""))))</f>
        <v/>
      </c>
      <c r="I2063" s="59" t="str">
        <f>IF(B2063="","",IFERROR(INDEX(pr_unit,MATCH(B2063,pr_code,0))&amp;"",""))</f>
        <v/>
      </c>
      <c r="J2063" s="65" t="str">
        <f>IF(COUNTA(A2063:G2063)=0,"",IF(E2063&lt;&gt;"",E2063,IF(B2063="","",IFERROR(IF(INDEX(pr_price,MATCH(B2063,pr_code,0))="","",INDEX(pr_price,MATCH(B2063,pr_code,0))),""))))</f>
        <v/>
      </c>
      <c r="K2063" s="71" t="str">
        <f>IF(COUNTA(A2063:G2063)=0,"",IF(G2063&lt;&gt;"",G2063,IF(B2063="","",IFERROR(IF(INDEX(pr_rate,MATCH(B2063,pr_code,0))="","",INDEX(pr_rate,MATCH(B2063,pr_code,0))),""))))</f>
        <v/>
      </c>
      <c r="L2063" s="65" t="str">
        <f>IF(COUNTA(A2063:G2063)=0,"",IF(AND(ISNUMBER(D2063),ISNUMBER(J2063)),ROUND(D2063*J2063*(1-N(F2063)),2),0))</f>
        <v/>
      </c>
      <c r="M2063" s="62" t="str">
        <f>IF(A2063="","",IFERROR(INDEX(dv_cname,MATCH(A2063,dv_num,0))&amp;"",""))</f>
        <v/>
      </c>
      <c r="N2063" s="59" t="str">
        <f>IF(COUNTA(A2063:G2063)=0,"",IF(A2063="","N° devis manquant",IF(ISNA(MATCH(A2063,dv_num,0)),"Devis inconnu",IF(AND(B2063&lt;&gt;"",ISNA(MATCH(B2063,pr_code,0))),"Article inconnu",IF(H2063="","Désignation manquante",IF(OR(NOT(ISNUMBER(D2063)),N(D2063)&lt;=0),"Quantité invalide",IF(J2063="","Prix manquant",IF(OR(NOT(ISNUMBER(J2063)),N(J2063)&lt;0),"Prix invalide",IF(OR(AND(F2063&lt;&gt;"",NOT(ISNUMBER(F2063))),N(F2063)&lt;0,N(F2063)&gt;1),"Remise invalide",IF(K2063="","Taux de TVA manquant",IF(NOT(ISNUMBER(K2063)),"Taux de TVA invalide",IF(COUNTIF(p_rates,K2063)=0,"Taux de TVA hors liste (Paramètres)",IF(N(O2063)&gt;25,"Au-delà de 25 lignes : non imprimée","OK")))))))))))))</f>
        <v/>
      </c>
      <c r="O2063" s="59" t="str">
        <f>IF(A2063="","",COUNTIF($A$6:A2063,A2063))</f>
        <v/>
      </c>
      <c r="P2063" s="62" t="str">
        <f>IF(A2063="","",A2063&amp;"|"&amp;O2063)</f>
        <v/>
      </c>
    </row>
    <row r="2064">
      <c r="A2064" s="60" t="n"/>
      <c r="B2064" s="63" t="n"/>
      <c r="C2064" s="63" t="n"/>
      <c r="D2064" s="67" t="n"/>
      <c r="E2064" s="68" t="n"/>
      <c r="F2064" s="69" t="n"/>
      <c r="G2064" s="70" t="n"/>
      <c r="H2064" s="62" t="str">
        <f>IF(COUNTA(A2064:G2064)=0,"",IF(C2064&lt;&gt;"",C2064,IF(B2064="","",IFERROR(INDEX(pr_des,MATCH(B2064,pr_code,0))&amp;"",""))))</f>
        <v/>
      </c>
      <c r="I2064" s="59" t="str">
        <f>IF(B2064="","",IFERROR(INDEX(pr_unit,MATCH(B2064,pr_code,0))&amp;"",""))</f>
        <v/>
      </c>
      <c r="J2064" s="65" t="str">
        <f>IF(COUNTA(A2064:G2064)=0,"",IF(E2064&lt;&gt;"",E2064,IF(B2064="","",IFERROR(IF(INDEX(pr_price,MATCH(B2064,pr_code,0))="","",INDEX(pr_price,MATCH(B2064,pr_code,0))),""))))</f>
        <v/>
      </c>
      <c r="K2064" s="71" t="str">
        <f>IF(COUNTA(A2064:G2064)=0,"",IF(G2064&lt;&gt;"",G2064,IF(B2064="","",IFERROR(IF(INDEX(pr_rate,MATCH(B2064,pr_code,0))="","",INDEX(pr_rate,MATCH(B2064,pr_code,0))),""))))</f>
        <v/>
      </c>
      <c r="L2064" s="65" t="str">
        <f>IF(COUNTA(A2064:G2064)=0,"",IF(AND(ISNUMBER(D2064),ISNUMBER(J2064)),ROUND(D2064*J2064*(1-N(F2064)),2),0))</f>
        <v/>
      </c>
      <c r="M2064" s="62" t="str">
        <f>IF(A2064="","",IFERROR(INDEX(dv_cname,MATCH(A2064,dv_num,0))&amp;"",""))</f>
        <v/>
      </c>
      <c r="N2064" s="59" t="str">
        <f>IF(COUNTA(A2064:G2064)=0,"",IF(A2064="","N° devis manquant",IF(ISNA(MATCH(A2064,dv_num,0)),"Devis inconnu",IF(AND(B2064&lt;&gt;"",ISNA(MATCH(B2064,pr_code,0))),"Article inconnu",IF(H2064="","Désignation manquante",IF(OR(NOT(ISNUMBER(D2064)),N(D2064)&lt;=0),"Quantité invalide",IF(J2064="","Prix manquant",IF(OR(NOT(ISNUMBER(J2064)),N(J2064)&lt;0),"Prix invalide",IF(OR(AND(F2064&lt;&gt;"",NOT(ISNUMBER(F2064))),N(F2064)&lt;0,N(F2064)&gt;1),"Remise invalide",IF(K2064="","Taux de TVA manquant",IF(NOT(ISNUMBER(K2064)),"Taux de TVA invalide",IF(COUNTIF(p_rates,K2064)=0,"Taux de TVA hors liste (Paramètres)",IF(N(O2064)&gt;25,"Au-delà de 25 lignes : non imprimée","OK")))))))))))))</f>
        <v/>
      </c>
      <c r="O2064" s="59" t="str">
        <f>IF(A2064="","",COUNTIF($A$6:A2064,A2064))</f>
        <v/>
      </c>
      <c r="P2064" s="62" t="str">
        <f>IF(A2064="","",A2064&amp;"|"&amp;O2064)</f>
        <v/>
      </c>
    </row>
    <row r="2065">
      <c r="A2065" s="60" t="n"/>
      <c r="B2065" s="63" t="n"/>
      <c r="C2065" s="63" t="n"/>
      <c r="D2065" s="67" t="n"/>
      <c r="E2065" s="68" t="n"/>
      <c r="F2065" s="69" t="n"/>
      <c r="G2065" s="70" t="n"/>
      <c r="H2065" s="62" t="str">
        <f>IF(COUNTA(A2065:G2065)=0,"",IF(C2065&lt;&gt;"",C2065,IF(B2065="","",IFERROR(INDEX(pr_des,MATCH(B2065,pr_code,0))&amp;"",""))))</f>
        <v/>
      </c>
      <c r="I2065" s="59" t="str">
        <f>IF(B2065="","",IFERROR(INDEX(pr_unit,MATCH(B2065,pr_code,0))&amp;"",""))</f>
        <v/>
      </c>
      <c r="J2065" s="65" t="str">
        <f>IF(COUNTA(A2065:G2065)=0,"",IF(E2065&lt;&gt;"",E2065,IF(B2065="","",IFERROR(IF(INDEX(pr_price,MATCH(B2065,pr_code,0))="","",INDEX(pr_price,MATCH(B2065,pr_code,0))),""))))</f>
        <v/>
      </c>
      <c r="K2065" s="71" t="str">
        <f>IF(COUNTA(A2065:G2065)=0,"",IF(G2065&lt;&gt;"",G2065,IF(B2065="","",IFERROR(IF(INDEX(pr_rate,MATCH(B2065,pr_code,0))="","",INDEX(pr_rate,MATCH(B2065,pr_code,0))),""))))</f>
        <v/>
      </c>
      <c r="L2065" s="65" t="str">
        <f>IF(COUNTA(A2065:G2065)=0,"",IF(AND(ISNUMBER(D2065),ISNUMBER(J2065)),ROUND(D2065*J2065*(1-N(F2065)),2),0))</f>
        <v/>
      </c>
      <c r="M2065" s="62" t="str">
        <f>IF(A2065="","",IFERROR(INDEX(dv_cname,MATCH(A2065,dv_num,0))&amp;"",""))</f>
        <v/>
      </c>
      <c r="N2065" s="59" t="str">
        <f>IF(COUNTA(A2065:G2065)=0,"",IF(A2065="","N° devis manquant",IF(ISNA(MATCH(A2065,dv_num,0)),"Devis inconnu",IF(AND(B2065&lt;&gt;"",ISNA(MATCH(B2065,pr_code,0))),"Article inconnu",IF(H2065="","Désignation manquante",IF(OR(NOT(ISNUMBER(D2065)),N(D2065)&lt;=0),"Quantité invalide",IF(J2065="","Prix manquant",IF(OR(NOT(ISNUMBER(J2065)),N(J2065)&lt;0),"Prix invalide",IF(OR(AND(F2065&lt;&gt;"",NOT(ISNUMBER(F2065))),N(F2065)&lt;0,N(F2065)&gt;1),"Remise invalide",IF(K2065="","Taux de TVA manquant",IF(NOT(ISNUMBER(K2065)),"Taux de TVA invalide",IF(COUNTIF(p_rates,K2065)=0,"Taux de TVA hors liste (Paramètres)",IF(N(O2065)&gt;25,"Au-delà de 25 lignes : non imprimée","OK")))))))))))))</f>
        <v/>
      </c>
      <c r="O2065" s="59" t="str">
        <f>IF(A2065="","",COUNTIF($A$6:A2065,A2065))</f>
        <v/>
      </c>
      <c r="P2065" s="62" t="str">
        <f>IF(A2065="","",A2065&amp;"|"&amp;O2065)</f>
        <v/>
      </c>
    </row>
    <row r="2066">
      <c r="A2066" s="60" t="n"/>
      <c r="B2066" s="63" t="n"/>
      <c r="C2066" s="63" t="n"/>
      <c r="D2066" s="67" t="n"/>
      <c r="E2066" s="68" t="n"/>
      <c r="F2066" s="69" t="n"/>
      <c r="G2066" s="70" t="n"/>
      <c r="H2066" s="62" t="str">
        <f>IF(COUNTA(A2066:G2066)=0,"",IF(C2066&lt;&gt;"",C2066,IF(B2066="","",IFERROR(INDEX(pr_des,MATCH(B2066,pr_code,0))&amp;"",""))))</f>
        <v/>
      </c>
      <c r="I2066" s="59" t="str">
        <f>IF(B2066="","",IFERROR(INDEX(pr_unit,MATCH(B2066,pr_code,0))&amp;"",""))</f>
        <v/>
      </c>
      <c r="J2066" s="65" t="str">
        <f>IF(COUNTA(A2066:G2066)=0,"",IF(E2066&lt;&gt;"",E2066,IF(B2066="","",IFERROR(IF(INDEX(pr_price,MATCH(B2066,pr_code,0))="","",INDEX(pr_price,MATCH(B2066,pr_code,0))),""))))</f>
        <v/>
      </c>
      <c r="K2066" s="71" t="str">
        <f>IF(COUNTA(A2066:G2066)=0,"",IF(G2066&lt;&gt;"",G2066,IF(B2066="","",IFERROR(IF(INDEX(pr_rate,MATCH(B2066,pr_code,0))="","",INDEX(pr_rate,MATCH(B2066,pr_code,0))),""))))</f>
        <v/>
      </c>
      <c r="L2066" s="65" t="str">
        <f>IF(COUNTA(A2066:G2066)=0,"",IF(AND(ISNUMBER(D2066),ISNUMBER(J2066)),ROUND(D2066*J2066*(1-N(F2066)),2),0))</f>
        <v/>
      </c>
      <c r="M2066" s="62" t="str">
        <f>IF(A2066="","",IFERROR(INDEX(dv_cname,MATCH(A2066,dv_num,0))&amp;"",""))</f>
        <v/>
      </c>
      <c r="N2066" s="59" t="str">
        <f>IF(COUNTA(A2066:G2066)=0,"",IF(A2066="","N° devis manquant",IF(ISNA(MATCH(A2066,dv_num,0)),"Devis inconnu",IF(AND(B2066&lt;&gt;"",ISNA(MATCH(B2066,pr_code,0))),"Article inconnu",IF(H2066="","Désignation manquante",IF(OR(NOT(ISNUMBER(D2066)),N(D2066)&lt;=0),"Quantité invalide",IF(J2066="","Prix manquant",IF(OR(NOT(ISNUMBER(J2066)),N(J2066)&lt;0),"Prix invalide",IF(OR(AND(F2066&lt;&gt;"",NOT(ISNUMBER(F2066))),N(F2066)&lt;0,N(F2066)&gt;1),"Remise invalide",IF(K2066="","Taux de TVA manquant",IF(NOT(ISNUMBER(K2066)),"Taux de TVA invalide",IF(COUNTIF(p_rates,K2066)=0,"Taux de TVA hors liste (Paramètres)",IF(N(O2066)&gt;25,"Au-delà de 25 lignes : non imprimée","OK")))))))))))))</f>
        <v/>
      </c>
      <c r="O2066" s="59" t="str">
        <f>IF(A2066="","",COUNTIF($A$6:A2066,A2066))</f>
        <v/>
      </c>
      <c r="P2066" s="62" t="str">
        <f>IF(A2066="","",A2066&amp;"|"&amp;O2066)</f>
        <v/>
      </c>
    </row>
    <row r="2067">
      <c r="A2067" s="60" t="n"/>
      <c r="B2067" s="63" t="n"/>
      <c r="C2067" s="63" t="n"/>
      <c r="D2067" s="67" t="n"/>
      <c r="E2067" s="68" t="n"/>
      <c r="F2067" s="69" t="n"/>
      <c r="G2067" s="70" t="n"/>
      <c r="H2067" s="62" t="str">
        <f>IF(COUNTA(A2067:G2067)=0,"",IF(C2067&lt;&gt;"",C2067,IF(B2067="","",IFERROR(INDEX(pr_des,MATCH(B2067,pr_code,0))&amp;"",""))))</f>
        <v/>
      </c>
      <c r="I2067" s="59" t="str">
        <f>IF(B2067="","",IFERROR(INDEX(pr_unit,MATCH(B2067,pr_code,0))&amp;"",""))</f>
        <v/>
      </c>
      <c r="J2067" s="65" t="str">
        <f>IF(COUNTA(A2067:G2067)=0,"",IF(E2067&lt;&gt;"",E2067,IF(B2067="","",IFERROR(IF(INDEX(pr_price,MATCH(B2067,pr_code,0))="","",INDEX(pr_price,MATCH(B2067,pr_code,0))),""))))</f>
        <v/>
      </c>
      <c r="K2067" s="71" t="str">
        <f>IF(COUNTA(A2067:G2067)=0,"",IF(G2067&lt;&gt;"",G2067,IF(B2067="","",IFERROR(IF(INDEX(pr_rate,MATCH(B2067,pr_code,0))="","",INDEX(pr_rate,MATCH(B2067,pr_code,0))),""))))</f>
        <v/>
      </c>
      <c r="L2067" s="65" t="str">
        <f>IF(COUNTA(A2067:G2067)=0,"",IF(AND(ISNUMBER(D2067),ISNUMBER(J2067)),ROUND(D2067*J2067*(1-N(F2067)),2),0))</f>
        <v/>
      </c>
      <c r="M2067" s="62" t="str">
        <f>IF(A2067="","",IFERROR(INDEX(dv_cname,MATCH(A2067,dv_num,0))&amp;"",""))</f>
        <v/>
      </c>
      <c r="N2067" s="59" t="str">
        <f>IF(COUNTA(A2067:G2067)=0,"",IF(A2067="","N° devis manquant",IF(ISNA(MATCH(A2067,dv_num,0)),"Devis inconnu",IF(AND(B2067&lt;&gt;"",ISNA(MATCH(B2067,pr_code,0))),"Article inconnu",IF(H2067="","Désignation manquante",IF(OR(NOT(ISNUMBER(D2067)),N(D2067)&lt;=0),"Quantité invalide",IF(J2067="","Prix manquant",IF(OR(NOT(ISNUMBER(J2067)),N(J2067)&lt;0),"Prix invalide",IF(OR(AND(F2067&lt;&gt;"",NOT(ISNUMBER(F2067))),N(F2067)&lt;0,N(F2067)&gt;1),"Remise invalide",IF(K2067="","Taux de TVA manquant",IF(NOT(ISNUMBER(K2067)),"Taux de TVA invalide",IF(COUNTIF(p_rates,K2067)=0,"Taux de TVA hors liste (Paramètres)",IF(N(O2067)&gt;25,"Au-delà de 25 lignes : non imprimée","OK")))))))))))))</f>
        <v/>
      </c>
      <c r="O2067" s="59" t="str">
        <f>IF(A2067="","",COUNTIF($A$6:A2067,A2067))</f>
        <v/>
      </c>
      <c r="P2067" s="62" t="str">
        <f>IF(A2067="","",A2067&amp;"|"&amp;O2067)</f>
        <v/>
      </c>
    </row>
    <row r="2068">
      <c r="A2068" s="60" t="n"/>
      <c r="B2068" s="63" t="n"/>
      <c r="C2068" s="63" t="n"/>
      <c r="D2068" s="67" t="n"/>
      <c r="E2068" s="68" t="n"/>
      <c r="F2068" s="69" t="n"/>
      <c r="G2068" s="70" t="n"/>
      <c r="H2068" s="62" t="str">
        <f>IF(COUNTA(A2068:G2068)=0,"",IF(C2068&lt;&gt;"",C2068,IF(B2068="","",IFERROR(INDEX(pr_des,MATCH(B2068,pr_code,0))&amp;"",""))))</f>
        <v/>
      </c>
      <c r="I2068" s="59" t="str">
        <f>IF(B2068="","",IFERROR(INDEX(pr_unit,MATCH(B2068,pr_code,0))&amp;"",""))</f>
        <v/>
      </c>
      <c r="J2068" s="65" t="str">
        <f>IF(COUNTA(A2068:G2068)=0,"",IF(E2068&lt;&gt;"",E2068,IF(B2068="","",IFERROR(IF(INDEX(pr_price,MATCH(B2068,pr_code,0))="","",INDEX(pr_price,MATCH(B2068,pr_code,0))),""))))</f>
        <v/>
      </c>
      <c r="K2068" s="71" t="str">
        <f>IF(COUNTA(A2068:G2068)=0,"",IF(G2068&lt;&gt;"",G2068,IF(B2068="","",IFERROR(IF(INDEX(pr_rate,MATCH(B2068,pr_code,0))="","",INDEX(pr_rate,MATCH(B2068,pr_code,0))),""))))</f>
        <v/>
      </c>
      <c r="L2068" s="65" t="str">
        <f>IF(COUNTA(A2068:G2068)=0,"",IF(AND(ISNUMBER(D2068),ISNUMBER(J2068)),ROUND(D2068*J2068*(1-N(F2068)),2),0))</f>
        <v/>
      </c>
      <c r="M2068" s="62" t="str">
        <f>IF(A2068="","",IFERROR(INDEX(dv_cname,MATCH(A2068,dv_num,0))&amp;"",""))</f>
        <v/>
      </c>
      <c r="N2068" s="59" t="str">
        <f>IF(COUNTA(A2068:G2068)=0,"",IF(A2068="","N° devis manquant",IF(ISNA(MATCH(A2068,dv_num,0)),"Devis inconnu",IF(AND(B2068&lt;&gt;"",ISNA(MATCH(B2068,pr_code,0))),"Article inconnu",IF(H2068="","Désignation manquante",IF(OR(NOT(ISNUMBER(D2068)),N(D2068)&lt;=0),"Quantité invalide",IF(J2068="","Prix manquant",IF(OR(NOT(ISNUMBER(J2068)),N(J2068)&lt;0),"Prix invalide",IF(OR(AND(F2068&lt;&gt;"",NOT(ISNUMBER(F2068))),N(F2068)&lt;0,N(F2068)&gt;1),"Remise invalide",IF(K2068="","Taux de TVA manquant",IF(NOT(ISNUMBER(K2068)),"Taux de TVA invalide",IF(COUNTIF(p_rates,K2068)=0,"Taux de TVA hors liste (Paramètres)",IF(N(O2068)&gt;25,"Au-delà de 25 lignes : non imprimée","OK")))))))))))))</f>
        <v/>
      </c>
      <c r="O2068" s="59" t="str">
        <f>IF(A2068="","",COUNTIF($A$6:A2068,A2068))</f>
        <v/>
      </c>
      <c r="P2068" s="62" t="str">
        <f>IF(A2068="","",A2068&amp;"|"&amp;O2068)</f>
        <v/>
      </c>
    </row>
    <row r="2069">
      <c r="A2069" s="60" t="n"/>
      <c r="B2069" s="63" t="n"/>
      <c r="C2069" s="63" t="n"/>
      <c r="D2069" s="67" t="n"/>
      <c r="E2069" s="68" t="n"/>
      <c r="F2069" s="69" t="n"/>
      <c r="G2069" s="70" t="n"/>
      <c r="H2069" s="62" t="str">
        <f>IF(COUNTA(A2069:G2069)=0,"",IF(C2069&lt;&gt;"",C2069,IF(B2069="","",IFERROR(INDEX(pr_des,MATCH(B2069,pr_code,0))&amp;"",""))))</f>
        <v/>
      </c>
      <c r="I2069" s="59" t="str">
        <f>IF(B2069="","",IFERROR(INDEX(pr_unit,MATCH(B2069,pr_code,0))&amp;"",""))</f>
        <v/>
      </c>
      <c r="J2069" s="65" t="str">
        <f>IF(COUNTA(A2069:G2069)=0,"",IF(E2069&lt;&gt;"",E2069,IF(B2069="","",IFERROR(IF(INDEX(pr_price,MATCH(B2069,pr_code,0))="","",INDEX(pr_price,MATCH(B2069,pr_code,0))),""))))</f>
        <v/>
      </c>
      <c r="K2069" s="71" t="str">
        <f>IF(COUNTA(A2069:G2069)=0,"",IF(G2069&lt;&gt;"",G2069,IF(B2069="","",IFERROR(IF(INDEX(pr_rate,MATCH(B2069,pr_code,0))="","",INDEX(pr_rate,MATCH(B2069,pr_code,0))),""))))</f>
        <v/>
      </c>
      <c r="L2069" s="65" t="str">
        <f>IF(COUNTA(A2069:G2069)=0,"",IF(AND(ISNUMBER(D2069),ISNUMBER(J2069)),ROUND(D2069*J2069*(1-N(F2069)),2),0))</f>
        <v/>
      </c>
      <c r="M2069" s="62" t="str">
        <f>IF(A2069="","",IFERROR(INDEX(dv_cname,MATCH(A2069,dv_num,0))&amp;"",""))</f>
        <v/>
      </c>
      <c r="N2069" s="59" t="str">
        <f>IF(COUNTA(A2069:G2069)=0,"",IF(A2069="","N° devis manquant",IF(ISNA(MATCH(A2069,dv_num,0)),"Devis inconnu",IF(AND(B2069&lt;&gt;"",ISNA(MATCH(B2069,pr_code,0))),"Article inconnu",IF(H2069="","Désignation manquante",IF(OR(NOT(ISNUMBER(D2069)),N(D2069)&lt;=0),"Quantité invalide",IF(J2069="","Prix manquant",IF(OR(NOT(ISNUMBER(J2069)),N(J2069)&lt;0),"Prix invalide",IF(OR(AND(F2069&lt;&gt;"",NOT(ISNUMBER(F2069))),N(F2069)&lt;0,N(F2069)&gt;1),"Remise invalide",IF(K2069="","Taux de TVA manquant",IF(NOT(ISNUMBER(K2069)),"Taux de TVA invalide",IF(COUNTIF(p_rates,K2069)=0,"Taux de TVA hors liste (Paramètres)",IF(N(O2069)&gt;25,"Au-delà de 25 lignes : non imprimée","OK")))))))))))))</f>
        <v/>
      </c>
      <c r="O2069" s="59" t="str">
        <f>IF(A2069="","",COUNTIF($A$6:A2069,A2069))</f>
        <v/>
      </c>
      <c r="P2069" s="62" t="str">
        <f>IF(A2069="","",A2069&amp;"|"&amp;O2069)</f>
        <v/>
      </c>
    </row>
    <row r="2070">
      <c r="A2070" s="60" t="n"/>
      <c r="B2070" s="63" t="n"/>
      <c r="C2070" s="63" t="n"/>
      <c r="D2070" s="67" t="n"/>
      <c r="E2070" s="68" t="n"/>
      <c r="F2070" s="69" t="n"/>
      <c r="G2070" s="70" t="n"/>
      <c r="H2070" s="62" t="str">
        <f>IF(COUNTA(A2070:G2070)=0,"",IF(C2070&lt;&gt;"",C2070,IF(B2070="","",IFERROR(INDEX(pr_des,MATCH(B2070,pr_code,0))&amp;"",""))))</f>
        <v/>
      </c>
      <c r="I2070" s="59" t="str">
        <f>IF(B2070="","",IFERROR(INDEX(pr_unit,MATCH(B2070,pr_code,0))&amp;"",""))</f>
        <v/>
      </c>
      <c r="J2070" s="65" t="str">
        <f>IF(COUNTA(A2070:G2070)=0,"",IF(E2070&lt;&gt;"",E2070,IF(B2070="","",IFERROR(IF(INDEX(pr_price,MATCH(B2070,pr_code,0))="","",INDEX(pr_price,MATCH(B2070,pr_code,0))),""))))</f>
        <v/>
      </c>
      <c r="K2070" s="71" t="str">
        <f>IF(COUNTA(A2070:G2070)=0,"",IF(G2070&lt;&gt;"",G2070,IF(B2070="","",IFERROR(IF(INDEX(pr_rate,MATCH(B2070,pr_code,0))="","",INDEX(pr_rate,MATCH(B2070,pr_code,0))),""))))</f>
        <v/>
      </c>
      <c r="L2070" s="65" t="str">
        <f>IF(COUNTA(A2070:G2070)=0,"",IF(AND(ISNUMBER(D2070),ISNUMBER(J2070)),ROUND(D2070*J2070*(1-N(F2070)),2),0))</f>
        <v/>
      </c>
      <c r="M2070" s="62" t="str">
        <f>IF(A2070="","",IFERROR(INDEX(dv_cname,MATCH(A2070,dv_num,0))&amp;"",""))</f>
        <v/>
      </c>
      <c r="N2070" s="59" t="str">
        <f>IF(COUNTA(A2070:G2070)=0,"",IF(A2070="","N° devis manquant",IF(ISNA(MATCH(A2070,dv_num,0)),"Devis inconnu",IF(AND(B2070&lt;&gt;"",ISNA(MATCH(B2070,pr_code,0))),"Article inconnu",IF(H2070="","Désignation manquante",IF(OR(NOT(ISNUMBER(D2070)),N(D2070)&lt;=0),"Quantité invalide",IF(J2070="","Prix manquant",IF(OR(NOT(ISNUMBER(J2070)),N(J2070)&lt;0),"Prix invalide",IF(OR(AND(F2070&lt;&gt;"",NOT(ISNUMBER(F2070))),N(F2070)&lt;0,N(F2070)&gt;1),"Remise invalide",IF(K2070="","Taux de TVA manquant",IF(NOT(ISNUMBER(K2070)),"Taux de TVA invalide",IF(COUNTIF(p_rates,K2070)=0,"Taux de TVA hors liste (Paramètres)",IF(N(O2070)&gt;25,"Au-delà de 25 lignes : non imprimée","OK")))))))))))))</f>
        <v/>
      </c>
      <c r="O2070" s="59" t="str">
        <f>IF(A2070="","",COUNTIF($A$6:A2070,A2070))</f>
        <v/>
      </c>
      <c r="P2070" s="62" t="str">
        <f>IF(A2070="","",A2070&amp;"|"&amp;O2070)</f>
        <v/>
      </c>
    </row>
    <row r="2071">
      <c r="A2071" s="60" t="n"/>
      <c r="B2071" s="63" t="n"/>
      <c r="C2071" s="63" t="n"/>
      <c r="D2071" s="67" t="n"/>
      <c r="E2071" s="68" t="n"/>
      <c r="F2071" s="69" t="n"/>
      <c r="G2071" s="70" t="n"/>
      <c r="H2071" s="62" t="str">
        <f>IF(COUNTA(A2071:G2071)=0,"",IF(C2071&lt;&gt;"",C2071,IF(B2071="","",IFERROR(INDEX(pr_des,MATCH(B2071,pr_code,0))&amp;"",""))))</f>
        <v/>
      </c>
      <c r="I2071" s="59" t="str">
        <f>IF(B2071="","",IFERROR(INDEX(pr_unit,MATCH(B2071,pr_code,0))&amp;"",""))</f>
        <v/>
      </c>
      <c r="J2071" s="65" t="str">
        <f>IF(COUNTA(A2071:G2071)=0,"",IF(E2071&lt;&gt;"",E2071,IF(B2071="","",IFERROR(IF(INDEX(pr_price,MATCH(B2071,pr_code,0))="","",INDEX(pr_price,MATCH(B2071,pr_code,0))),""))))</f>
        <v/>
      </c>
      <c r="K2071" s="71" t="str">
        <f>IF(COUNTA(A2071:G2071)=0,"",IF(G2071&lt;&gt;"",G2071,IF(B2071="","",IFERROR(IF(INDEX(pr_rate,MATCH(B2071,pr_code,0))="","",INDEX(pr_rate,MATCH(B2071,pr_code,0))),""))))</f>
        <v/>
      </c>
      <c r="L2071" s="65" t="str">
        <f>IF(COUNTA(A2071:G2071)=0,"",IF(AND(ISNUMBER(D2071),ISNUMBER(J2071)),ROUND(D2071*J2071*(1-N(F2071)),2),0))</f>
        <v/>
      </c>
      <c r="M2071" s="62" t="str">
        <f>IF(A2071="","",IFERROR(INDEX(dv_cname,MATCH(A2071,dv_num,0))&amp;"",""))</f>
        <v/>
      </c>
      <c r="N2071" s="59" t="str">
        <f>IF(COUNTA(A2071:G2071)=0,"",IF(A2071="","N° devis manquant",IF(ISNA(MATCH(A2071,dv_num,0)),"Devis inconnu",IF(AND(B2071&lt;&gt;"",ISNA(MATCH(B2071,pr_code,0))),"Article inconnu",IF(H2071="","Désignation manquante",IF(OR(NOT(ISNUMBER(D2071)),N(D2071)&lt;=0),"Quantité invalide",IF(J2071="","Prix manquant",IF(OR(NOT(ISNUMBER(J2071)),N(J2071)&lt;0),"Prix invalide",IF(OR(AND(F2071&lt;&gt;"",NOT(ISNUMBER(F2071))),N(F2071)&lt;0,N(F2071)&gt;1),"Remise invalide",IF(K2071="","Taux de TVA manquant",IF(NOT(ISNUMBER(K2071)),"Taux de TVA invalide",IF(COUNTIF(p_rates,K2071)=0,"Taux de TVA hors liste (Paramètres)",IF(N(O2071)&gt;25,"Au-delà de 25 lignes : non imprimée","OK")))))))))))))</f>
        <v/>
      </c>
      <c r="O2071" s="59" t="str">
        <f>IF(A2071="","",COUNTIF($A$6:A2071,A2071))</f>
        <v/>
      </c>
      <c r="P2071" s="62" t="str">
        <f>IF(A2071="","",A2071&amp;"|"&amp;O2071)</f>
        <v/>
      </c>
    </row>
    <row r="2072">
      <c r="A2072" s="60" t="n"/>
      <c r="B2072" s="63" t="n"/>
      <c r="C2072" s="63" t="n"/>
      <c r="D2072" s="67" t="n"/>
      <c r="E2072" s="68" t="n"/>
      <c r="F2072" s="69" t="n"/>
      <c r="G2072" s="70" t="n"/>
      <c r="H2072" s="62" t="str">
        <f>IF(COUNTA(A2072:G2072)=0,"",IF(C2072&lt;&gt;"",C2072,IF(B2072="","",IFERROR(INDEX(pr_des,MATCH(B2072,pr_code,0))&amp;"",""))))</f>
        <v/>
      </c>
      <c r="I2072" s="59" t="str">
        <f>IF(B2072="","",IFERROR(INDEX(pr_unit,MATCH(B2072,pr_code,0))&amp;"",""))</f>
        <v/>
      </c>
      <c r="J2072" s="65" t="str">
        <f>IF(COUNTA(A2072:G2072)=0,"",IF(E2072&lt;&gt;"",E2072,IF(B2072="","",IFERROR(IF(INDEX(pr_price,MATCH(B2072,pr_code,0))="","",INDEX(pr_price,MATCH(B2072,pr_code,0))),""))))</f>
        <v/>
      </c>
      <c r="K2072" s="71" t="str">
        <f>IF(COUNTA(A2072:G2072)=0,"",IF(G2072&lt;&gt;"",G2072,IF(B2072="","",IFERROR(IF(INDEX(pr_rate,MATCH(B2072,pr_code,0))="","",INDEX(pr_rate,MATCH(B2072,pr_code,0))),""))))</f>
        <v/>
      </c>
      <c r="L2072" s="65" t="str">
        <f>IF(COUNTA(A2072:G2072)=0,"",IF(AND(ISNUMBER(D2072),ISNUMBER(J2072)),ROUND(D2072*J2072*(1-N(F2072)),2),0))</f>
        <v/>
      </c>
      <c r="M2072" s="62" t="str">
        <f>IF(A2072="","",IFERROR(INDEX(dv_cname,MATCH(A2072,dv_num,0))&amp;"",""))</f>
        <v/>
      </c>
      <c r="N2072" s="59" t="str">
        <f>IF(COUNTA(A2072:G2072)=0,"",IF(A2072="","N° devis manquant",IF(ISNA(MATCH(A2072,dv_num,0)),"Devis inconnu",IF(AND(B2072&lt;&gt;"",ISNA(MATCH(B2072,pr_code,0))),"Article inconnu",IF(H2072="","Désignation manquante",IF(OR(NOT(ISNUMBER(D2072)),N(D2072)&lt;=0),"Quantité invalide",IF(J2072="","Prix manquant",IF(OR(NOT(ISNUMBER(J2072)),N(J2072)&lt;0),"Prix invalide",IF(OR(AND(F2072&lt;&gt;"",NOT(ISNUMBER(F2072))),N(F2072)&lt;0,N(F2072)&gt;1),"Remise invalide",IF(K2072="","Taux de TVA manquant",IF(NOT(ISNUMBER(K2072)),"Taux de TVA invalide",IF(COUNTIF(p_rates,K2072)=0,"Taux de TVA hors liste (Paramètres)",IF(N(O2072)&gt;25,"Au-delà de 25 lignes : non imprimée","OK")))))))))))))</f>
        <v/>
      </c>
      <c r="O2072" s="59" t="str">
        <f>IF(A2072="","",COUNTIF($A$6:A2072,A2072))</f>
        <v/>
      </c>
      <c r="P2072" s="62" t="str">
        <f>IF(A2072="","",A2072&amp;"|"&amp;O2072)</f>
        <v/>
      </c>
    </row>
    <row r="2073">
      <c r="A2073" s="60" t="n"/>
      <c r="B2073" s="63" t="n"/>
      <c r="C2073" s="63" t="n"/>
      <c r="D2073" s="67" t="n"/>
      <c r="E2073" s="68" t="n"/>
      <c r="F2073" s="69" t="n"/>
      <c r="G2073" s="70" t="n"/>
      <c r="H2073" s="62" t="str">
        <f>IF(COUNTA(A2073:G2073)=0,"",IF(C2073&lt;&gt;"",C2073,IF(B2073="","",IFERROR(INDEX(pr_des,MATCH(B2073,pr_code,0))&amp;"",""))))</f>
        <v/>
      </c>
      <c r="I2073" s="59" t="str">
        <f>IF(B2073="","",IFERROR(INDEX(pr_unit,MATCH(B2073,pr_code,0))&amp;"",""))</f>
        <v/>
      </c>
      <c r="J2073" s="65" t="str">
        <f>IF(COUNTA(A2073:G2073)=0,"",IF(E2073&lt;&gt;"",E2073,IF(B2073="","",IFERROR(IF(INDEX(pr_price,MATCH(B2073,pr_code,0))="","",INDEX(pr_price,MATCH(B2073,pr_code,0))),""))))</f>
        <v/>
      </c>
      <c r="K2073" s="71" t="str">
        <f>IF(COUNTA(A2073:G2073)=0,"",IF(G2073&lt;&gt;"",G2073,IF(B2073="","",IFERROR(IF(INDEX(pr_rate,MATCH(B2073,pr_code,0))="","",INDEX(pr_rate,MATCH(B2073,pr_code,0))),""))))</f>
        <v/>
      </c>
      <c r="L2073" s="65" t="str">
        <f>IF(COUNTA(A2073:G2073)=0,"",IF(AND(ISNUMBER(D2073),ISNUMBER(J2073)),ROUND(D2073*J2073*(1-N(F2073)),2),0))</f>
        <v/>
      </c>
      <c r="M2073" s="62" t="str">
        <f>IF(A2073="","",IFERROR(INDEX(dv_cname,MATCH(A2073,dv_num,0))&amp;"",""))</f>
        <v/>
      </c>
      <c r="N2073" s="59" t="str">
        <f>IF(COUNTA(A2073:G2073)=0,"",IF(A2073="","N° devis manquant",IF(ISNA(MATCH(A2073,dv_num,0)),"Devis inconnu",IF(AND(B2073&lt;&gt;"",ISNA(MATCH(B2073,pr_code,0))),"Article inconnu",IF(H2073="","Désignation manquante",IF(OR(NOT(ISNUMBER(D2073)),N(D2073)&lt;=0),"Quantité invalide",IF(J2073="","Prix manquant",IF(OR(NOT(ISNUMBER(J2073)),N(J2073)&lt;0),"Prix invalide",IF(OR(AND(F2073&lt;&gt;"",NOT(ISNUMBER(F2073))),N(F2073)&lt;0,N(F2073)&gt;1),"Remise invalide",IF(K2073="","Taux de TVA manquant",IF(NOT(ISNUMBER(K2073)),"Taux de TVA invalide",IF(COUNTIF(p_rates,K2073)=0,"Taux de TVA hors liste (Paramètres)",IF(N(O2073)&gt;25,"Au-delà de 25 lignes : non imprimée","OK")))))))))))))</f>
        <v/>
      </c>
      <c r="O2073" s="59" t="str">
        <f>IF(A2073="","",COUNTIF($A$6:A2073,A2073))</f>
        <v/>
      </c>
      <c r="P2073" s="62" t="str">
        <f>IF(A2073="","",A2073&amp;"|"&amp;O2073)</f>
        <v/>
      </c>
    </row>
    <row r="2074">
      <c r="A2074" s="60" t="n"/>
      <c r="B2074" s="63" t="n"/>
      <c r="C2074" s="63" t="n"/>
      <c r="D2074" s="67" t="n"/>
      <c r="E2074" s="68" t="n"/>
      <c r="F2074" s="69" t="n"/>
      <c r="G2074" s="70" t="n"/>
      <c r="H2074" s="62" t="str">
        <f>IF(COUNTA(A2074:G2074)=0,"",IF(C2074&lt;&gt;"",C2074,IF(B2074="","",IFERROR(INDEX(pr_des,MATCH(B2074,pr_code,0))&amp;"",""))))</f>
        <v/>
      </c>
      <c r="I2074" s="59" t="str">
        <f>IF(B2074="","",IFERROR(INDEX(pr_unit,MATCH(B2074,pr_code,0))&amp;"",""))</f>
        <v/>
      </c>
      <c r="J2074" s="65" t="str">
        <f>IF(COUNTA(A2074:G2074)=0,"",IF(E2074&lt;&gt;"",E2074,IF(B2074="","",IFERROR(IF(INDEX(pr_price,MATCH(B2074,pr_code,0))="","",INDEX(pr_price,MATCH(B2074,pr_code,0))),""))))</f>
        <v/>
      </c>
      <c r="K2074" s="71" t="str">
        <f>IF(COUNTA(A2074:G2074)=0,"",IF(G2074&lt;&gt;"",G2074,IF(B2074="","",IFERROR(IF(INDEX(pr_rate,MATCH(B2074,pr_code,0))="","",INDEX(pr_rate,MATCH(B2074,pr_code,0))),""))))</f>
        <v/>
      </c>
      <c r="L2074" s="65" t="str">
        <f>IF(COUNTA(A2074:G2074)=0,"",IF(AND(ISNUMBER(D2074),ISNUMBER(J2074)),ROUND(D2074*J2074*(1-N(F2074)),2),0))</f>
        <v/>
      </c>
      <c r="M2074" s="62" t="str">
        <f>IF(A2074="","",IFERROR(INDEX(dv_cname,MATCH(A2074,dv_num,0))&amp;"",""))</f>
        <v/>
      </c>
      <c r="N2074" s="59" t="str">
        <f>IF(COUNTA(A2074:G2074)=0,"",IF(A2074="","N° devis manquant",IF(ISNA(MATCH(A2074,dv_num,0)),"Devis inconnu",IF(AND(B2074&lt;&gt;"",ISNA(MATCH(B2074,pr_code,0))),"Article inconnu",IF(H2074="","Désignation manquante",IF(OR(NOT(ISNUMBER(D2074)),N(D2074)&lt;=0),"Quantité invalide",IF(J2074="","Prix manquant",IF(OR(NOT(ISNUMBER(J2074)),N(J2074)&lt;0),"Prix invalide",IF(OR(AND(F2074&lt;&gt;"",NOT(ISNUMBER(F2074))),N(F2074)&lt;0,N(F2074)&gt;1),"Remise invalide",IF(K2074="","Taux de TVA manquant",IF(NOT(ISNUMBER(K2074)),"Taux de TVA invalide",IF(COUNTIF(p_rates,K2074)=0,"Taux de TVA hors liste (Paramètres)",IF(N(O2074)&gt;25,"Au-delà de 25 lignes : non imprimée","OK")))))))))))))</f>
        <v/>
      </c>
      <c r="O2074" s="59" t="str">
        <f>IF(A2074="","",COUNTIF($A$6:A2074,A2074))</f>
        <v/>
      </c>
      <c r="P2074" s="62" t="str">
        <f>IF(A2074="","",A2074&amp;"|"&amp;O2074)</f>
        <v/>
      </c>
    </row>
    <row r="2075">
      <c r="A2075" s="60" t="n"/>
      <c r="B2075" s="63" t="n"/>
      <c r="C2075" s="63" t="n"/>
      <c r="D2075" s="67" t="n"/>
      <c r="E2075" s="68" t="n"/>
      <c r="F2075" s="69" t="n"/>
      <c r="G2075" s="70" t="n"/>
      <c r="H2075" s="62" t="str">
        <f>IF(COUNTA(A2075:G2075)=0,"",IF(C2075&lt;&gt;"",C2075,IF(B2075="","",IFERROR(INDEX(pr_des,MATCH(B2075,pr_code,0))&amp;"",""))))</f>
        <v/>
      </c>
      <c r="I2075" s="59" t="str">
        <f>IF(B2075="","",IFERROR(INDEX(pr_unit,MATCH(B2075,pr_code,0))&amp;"",""))</f>
        <v/>
      </c>
      <c r="J2075" s="65" t="str">
        <f>IF(COUNTA(A2075:G2075)=0,"",IF(E2075&lt;&gt;"",E2075,IF(B2075="","",IFERROR(IF(INDEX(pr_price,MATCH(B2075,pr_code,0))="","",INDEX(pr_price,MATCH(B2075,pr_code,0))),""))))</f>
        <v/>
      </c>
      <c r="K2075" s="71" t="str">
        <f>IF(COUNTA(A2075:G2075)=0,"",IF(G2075&lt;&gt;"",G2075,IF(B2075="","",IFERROR(IF(INDEX(pr_rate,MATCH(B2075,pr_code,0))="","",INDEX(pr_rate,MATCH(B2075,pr_code,0))),""))))</f>
        <v/>
      </c>
      <c r="L2075" s="65" t="str">
        <f>IF(COUNTA(A2075:G2075)=0,"",IF(AND(ISNUMBER(D2075),ISNUMBER(J2075)),ROUND(D2075*J2075*(1-N(F2075)),2),0))</f>
        <v/>
      </c>
      <c r="M2075" s="62" t="str">
        <f>IF(A2075="","",IFERROR(INDEX(dv_cname,MATCH(A2075,dv_num,0))&amp;"",""))</f>
        <v/>
      </c>
      <c r="N2075" s="59" t="str">
        <f>IF(COUNTA(A2075:G2075)=0,"",IF(A2075="","N° devis manquant",IF(ISNA(MATCH(A2075,dv_num,0)),"Devis inconnu",IF(AND(B2075&lt;&gt;"",ISNA(MATCH(B2075,pr_code,0))),"Article inconnu",IF(H2075="","Désignation manquante",IF(OR(NOT(ISNUMBER(D2075)),N(D2075)&lt;=0),"Quantité invalide",IF(J2075="","Prix manquant",IF(OR(NOT(ISNUMBER(J2075)),N(J2075)&lt;0),"Prix invalide",IF(OR(AND(F2075&lt;&gt;"",NOT(ISNUMBER(F2075))),N(F2075)&lt;0,N(F2075)&gt;1),"Remise invalide",IF(K2075="","Taux de TVA manquant",IF(NOT(ISNUMBER(K2075)),"Taux de TVA invalide",IF(COUNTIF(p_rates,K2075)=0,"Taux de TVA hors liste (Paramètres)",IF(N(O2075)&gt;25,"Au-delà de 25 lignes : non imprimée","OK")))))))))))))</f>
        <v/>
      </c>
      <c r="O2075" s="59" t="str">
        <f>IF(A2075="","",COUNTIF($A$6:A2075,A2075))</f>
        <v/>
      </c>
      <c r="P2075" s="62" t="str">
        <f>IF(A2075="","",A2075&amp;"|"&amp;O2075)</f>
        <v/>
      </c>
    </row>
    <row r="2076">
      <c r="A2076" s="60" t="n"/>
      <c r="B2076" s="63" t="n"/>
      <c r="C2076" s="63" t="n"/>
      <c r="D2076" s="67" t="n"/>
      <c r="E2076" s="68" t="n"/>
      <c r="F2076" s="69" t="n"/>
      <c r="G2076" s="70" t="n"/>
      <c r="H2076" s="62" t="str">
        <f>IF(COUNTA(A2076:G2076)=0,"",IF(C2076&lt;&gt;"",C2076,IF(B2076="","",IFERROR(INDEX(pr_des,MATCH(B2076,pr_code,0))&amp;"",""))))</f>
        <v/>
      </c>
      <c r="I2076" s="59" t="str">
        <f>IF(B2076="","",IFERROR(INDEX(pr_unit,MATCH(B2076,pr_code,0))&amp;"",""))</f>
        <v/>
      </c>
      <c r="J2076" s="65" t="str">
        <f>IF(COUNTA(A2076:G2076)=0,"",IF(E2076&lt;&gt;"",E2076,IF(B2076="","",IFERROR(IF(INDEX(pr_price,MATCH(B2076,pr_code,0))="","",INDEX(pr_price,MATCH(B2076,pr_code,0))),""))))</f>
        <v/>
      </c>
      <c r="K2076" s="71" t="str">
        <f>IF(COUNTA(A2076:G2076)=0,"",IF(G2076&lt;&gt;"",G2076,IF(B2076="","",IFERROR(IF(INDEX(pr_rate,MATCH(B2076,pr_code,0))="","",INDEX(pr_rate,MATCH(B2076,pr_code,0))),""))))</f>
        <v/>
      </c>
      <c r="L2076" s="65" t="str">
        <f>IF(COUNTA(A2076:G2076)=0,"",IF(AND(ISNUMBER(D2076),ISNUMBER(J2076)),ROUND(D2076*J2076*(1-N(F2076)),2),0))</f>
        <v/>
      </c>
      <c r="M2076" s="62" t="str">
        <f>IF(A2076="","",IFERROR(INDEX(dv_cname,MATCH(A2076,dv_num,0))&amp;"",""))</f>
        <v/>
      </c>
      <c r="N2076" s="59" t="str">
        <f>IF(COUNTA(A2076:G2076)=0,"",IF(A2076="","N° devis manquant",IF(ISNA(MATCH(A2076,dv_num,0)),"Devis inconnu",IF(AND(B2076&lt;&gt;"",ISNA(MATCH(B2076,pr_code,0))),"Article inconnu",IF(H2076="","Désignation manquante",IF(OR(NOT(ISNUMBER(D2076)),N(D2076)&lt;=0),"Quantité invalide",IF(J2076="","Prix manquant",IF(OR(NOT(ISNUMBER(J2076)),N(J2076)&lt;0),"Prix invalide",IF(OR(AND(F2076&lt;&gt;"",NOT(ISNUMBER(F2076))),N(F2076)&lt;0,N(F2076)&gt;1),"Remise invalide",IF(K2076="","Taux de TVA manquant",IF(NOT(ISNUMBER(K2076)),"Taux de TVA invalide",IF(COUNTIF(p_rates,K2076)=0,"Taux de TVA hors liste (Paramètres)",IF(N(O2076)&gt;25,"Au-delà de 25 lignes : non imprimée","OK")))))))))))))</f>
        <v/>
      </c>
      <c r="O2076" s="59" t="str">
        <f>IF(A2076="","",COUNTIF($A$6:A2076,A2076))</f>
        <v/>
      </c>
      <c r="P2076" s="62" t="str">
        <f>IF(A2076="","",A2076&amp;"|"&amp;O2076)</f>
        <v/>
      </c>
    </row>
    <row r="2077">
      <c r="A2077" s="60" t="n"/>
      <c r="B2077" s="63" t="n"/>
      <c r="C2077" s="63" t="n"/>
      <c r="D2077" s="67" t="n"/>
      <c r="E2077" s="68" t="n"/>
      <c r="F2077" s="69" t="n"/>
      <c r="G2077" s="70" t="n"/>
      <c r="H2077" s="62" t="str">
        <f>IF(COUNTA(A2077:G2077)=0,"",IF(C2077&lt;&gt;"",C2077,IF(B2077="","",IFERROR(INDEX(pr_des,MATCH(B2077,pr_code,0))&amp;"",""))))</f>
        <v/>
      </c>
      <c r="I2077" s="59" t="str">
        <f>IF(B2077="","",IFERROR(INDEX(pr_unit,MATCH(B2077,pr_code,0))&amp;"",""))</f>
        <v/>
      </c>
      <c r="J2077" s="65" t="str">
        <f>IF(COUNTA(A2077:G2077)=0,"",IF(E2077&lt;&gt;"",E2077,IF(B2077="","",IFERROR(IF(INDEX(pr_price,MATCH(B2077,pr_code,0))="","",INDEX(pr_price,MATCH(B2077,pr_code,0))),""))))</f>
        <v/>
      </c>
      <c r="K2077" s="71" t="str">
        <f>IF(COUNTA(A2077:G2077)=0,"",IF(G2077&lt;&gt;"",G2077,IF(B2077="","",IFERROR(IF(INDEX(pr_rate,MATCH(B2077,pr_code,0))="","",INDEX(pr_rate,MATCH(B2077,pr_code,0))),""))))</f>
        <v/>
      </c>
      <c r="L2077" s="65" t="str">
        <f>IF(COUNTA(A2077:G2077)=0,"",IF(AND(ISNUMBER(D2077),ISNUMBER(J2077)),ROUND(D2077*J2077*(1-N(F2077)),2),0))</f>
        <v/>
      </c>
      <c r="M2077" s="62" t="str">
        <f>IF(A2077="","",IFERROR(INDEX(dv_cname,MATCH(A2077,dv_num,0))&amp;"",""))</f>
        <v/>
      </c>
      <c r="N2077" s="59" t="str">
        <f>IF(COUNTA(A2077:G2077)=0,"",IF(A2077="","N° devis manquant",IF(ISNA(MATCH(A2077,dv_num,0)),"Devis inconnu",IF(AND(B2077&lt;&gt;"",ISNA(MATCH(B2077,pr_code,0))),"Article inconnu",IF(H2077="","Désignation manquante",IF(OR(NOT(ISNUMBER(D2077)),N(D2077)&lt;=0),"Quantité invalide",IF(J2077="","Prix manquant",IF(OR(NOT(ISNUMBER(J2077)),N(J2077)&lt;0),"Prix invalide",IF(OR(AND(F2077&lt;&gt;"",NOT(ISNUMBER(F2077))),N(F2077)&lt;0,N(F2077)&gt;1),"Remise invalide",IF(K2077="","Taux de TVA manquant",IF(NOT(ISNUMBER(K2077)),"Taux de TVA invalide",IF(COUNTIF(p_rates,K2077)=0,"Taux de TVA hors liste (Paramètres)",IF(N(O2077)&gt;25,"Au-delà de 25 lignes : non imprimée","OK")))))))))))))</f>
        <v/>
      </c>
      <c r="O2077" s="59" t="str">
        <f>IF(A2077="","",COUNTIF($A$6:A2077,A2077))</f>
        <v/>
      </c>
      <c r="P2077" s="62" t="str">
        <f>IF(A2077="","",A2077&amp;"|"&amp;O2077)</f>
        <v/>
      </c>
    </row>
    <row r="2078">
      <c r="A2078" s="60" t="n"/>
      <c r="B2078" s="63" t="n"/>
      <c r="C2078" s="63" t="n"/>
      <c r="D2078" s="67" t="n"/>
      <c r="E2078" s="68" t="n"/>
      <c r="F2078" s="69" t="n"/>
      <c r="G2078" s="70" t="n"/>
      <c r="H2078" s="62" t="str">
        <f>IF(COUNTA(A2078:G2078)=0,"",IF(C2078&lt;&gt;"",C2078,IF(B2078="","",IFERROR(INDEX(pr_des,MATCH(B2078,pr_code,0))&amp;"",""))))</f>
        <v/>
      </c>
      <c r="I2078" s="59" t="str">
        <f>IF(B2078="","",IFERROR(INDEX(pr_unit,MATCH(B2078,pr_code,0))&amp;"",""))</f>
        <v/>
      </c>
      <c r="J2078" s="65" t="str">
        <f>IF(COUNTA(A2078:G2078)=0,"",IF(E2078&lt;&gt;"",E2078,IF(B2078="","",IFERROR(IF(INDEX(pr_price,MATCH(B2078,pr_code,0))="","",INDEX(pr_price,MATCH(B2078,pr_code,0))),""))))</f>
        <v/>
      </c>
      <c r="K2078" s="71" t="str">
        <f>IF(COUNTA(A2078:G2078)=0,"",IF(G2078&lt;&gt;"",G2078,IF(B2078="","",IFERROR(IF(INDEX(pr_rate,MATCH(B2078,pr_code,0))="","",INDEX(pr_rate,MATCH(B2078,pr_code,0))),""))))</f>
        <v/>
      </c>
      <c r="L2078" s="65" t="str">
        <f>IF(COUNTA(A2078:G2078)=0,"",IF(AND(ISNUMBER(D2078),ISNUMBER(J2078)),ROUND(D2078*J2078*(1-N(F2078)),2),0))</f>
        <v/>
      </c>
      <c r="M2078" s="62" t="str">
        <f>IF(A2078="","",IFERROR(INDEX(dv_cname,MATCH(A2078,dv_num,0))&amp;"",""))</f>
        <v/>
      </c>
      <c r="N2078" s="59" t="str">
        <f>IF(COUNTA(A2078:G2078)=0,"",IF(A2078="","N° devis manquant",IF(ISNA(MATCH(A2078,dv_num,0)),"Devis inconnu",IF(AND(B2078&lt;&gt;"",ISNA(MATCH(B2078,pr_code,0))),"Article inconnu",IF(H2078="","Désignation manquante",IF(OR(NOT(ISNUMBER(D2078)),N(D2078)&lt;=0),"Quantité invalide",IF(J2078="","Prix manquant",IF(OR(NOT(ISNUMBER(J2078)),N(J2078)&lt;0),"Prix invalide",IF(OR(AND(F2078&lt;&gt;"",NOT(ISNUMBER(F2078))),N(F2078)&lt;0,N(F2078)&gt;1),"Remise invalide",IF(K2078="","Taux de TVA manquant",IF(NOT(ISNUMBER(K2078)),"Taux de TVA invalide",IF(COUNTIF(p_rates,K2078)=0,"Taux de TVA hors liste (Paramètres)",IF(N(O2078)&gt;25,"Au-delà de 25 lignes : non imprimée","OK")))))))))))))</f>
        <v/>
      </c>
      <c r="O2078" s="59" t="str">
        <f>IF(A2078="","",COUNTIF($A$6:A2078,A2078))</f>
        <v/>
      </c>
      <c r="P2078" s="62" t="str">
        <f>IF(A2078="","",A2078&amp;"|"&amp;O2078)</f>
        <v/>
      </c>
    </row>
    <row r="2079">
      <c r="A2079" s="60" t="n"/>
      <c r="B2079" s="63" t="n"/>
      <c r="C2079" s="63" t="n"/>
      <c r="D2079" s="67" t="n"/>
      <c r="E2079" s="68" t="n"/>
      <c r="F2079" s="69" t="n"/>
      <c r="G2079" s="70" t="n"/>
      <c r="H2079" s="62" t="str">
        <f>IF(COUNTA(A2079:G2079)=0,"",IF(C2079&lt;&gt;"",C2079,IF(B2079="","",IFERROR(INDEX(pr_des,MATCH(B2079,pr_code,0))&amp;"",""))))</f>
        <v/>
      </c>
      <c r="I2079" s="59" t="str">
        <f>IF(B2079="","",IFERROR(INDEX(pr_unit,MATCH(B2079,pr_code,0))&amp;"",""))</f>
        <v/>
      </c>
      <c r="J2079" s="65" t="str">
        <f>IF(COUNTA(A2079:G2079)=0,"",IF(E2079&lt;&gt;"",E2079,IF(B2079="","",IFERROR(IF(INDEX(pr_price,MATCH(B2079,pr_code,0))="","",INDEX(pr_price,MATCH(B2079,pr_code,0))),""))))</f>
        <v/>
      </c>
      <c r="K2079" s="71" t="str">
        <f>IF(COUNTA(A2079:G2079)=0,"",IF(G2079&lt;&gt;"",G2079,IF(B2079="","",IFERROR(IF(INDEX(pr_rate,MATCH(B2079,pr_code,0))="","",INDEX(pr_rate,MATCH(B2079,pr_code,0))),""))))</f>
        <v/>
      </c>
      <c r="L2079" s="65" t="str">
        <f>IF(COUNTA(A2079:G2079)=0,"",IF(AND(ISNUMBER(D2079),ISNUMBER(J2079)),ROUND(D2079*J2079*(1-N(F2079)),2),0))</f>
        <v/>
      </c>
      <c r="M2079" s="62" t="str">
        <f>IF(A2079="","",IFERROR(INDEX(dv_cname,MATCH(A2079,dv_num,0))&amp;"",""))</f>
        <v/>
      </c>
      <c r="N2079" s="59" t="str">
        <f>IF(COUNTA(A2079:G2079)=0,"",IF(A2079="","N° devis manquant",IF(ISNA(MATCH(A2079,dv_num,0)),"Devis inconnu",IF(AND(B2079&lt;&gt;"",ISNA(MATCH(B2079,pr_code,0))),"Article inconnu",IF(H2079="","Désignation manquante",IF(OR(NOT(ISNUMBER(D2079)),N(D2079)&lt;=0),"Quantité invalide",IF(J2079="","Prix manquant",IF(OR(NOT(ISNUMBER(J2079)),N(J2079)&lt;0),"Prix invalide",IF(OR(AND(F2079&lt;&gt;"",NOT(ISNUMBER(F2079))),N(F2079)&lt;0,N(F2079)&gt;1),"Remise invalide",IF(K2079="","Taux de TVA manquant",IF(NOT(ISNUMBER(K2079)),"Taux de TVA invalide",IF(COUNTIF(p_rates,K2079)=0,"Taux de TVA hors liste (Paramètres)",IF(N(O2079)&gt;25,"Au-delà de 25 lignes : non imprimée","OK")))))))))))))</f>
        <v/>
      </c>
      <c r="O2079" s="59" t="str">
        <f>IF(A2079="","",COUNTIF($A$6:A2079,A2079))</f>
        <v/>
      </c>
      <c r="P2079" s="62" t="str">
        <f>IF(A2079="","",A2079&amp;"|"&amp;O2079)</f>
        <v/>
      </c>
    </row>
    <row r="2080">
      <c r="A2080" s="60" t="n"/>
      <c r="B2080" s="63" t="n"/>
      <c r="C2080" s="63" t="n"/>
      <c r="D2080" s="67" t="n"/>
      <c r="E2080" s="68" t="n"/>
      <c r="F2080" s="69" t="n"/>
      <c r="G2080" s="70" t="n"/>
      <c r="H2080" s="62" t="str">
        <f>IF(COUNTA(A2080:G2080)=0,"",IF(C2080&lt;&gt;"",C2080,IF(B2080="","",IFERROR(INDEX(pr_des,MATCH(B2080,pr_code,0))&amp;"",""))))</f>
        <v/>
      </c>
      <c r="I2080" s="59" t="str">
        <f>IF(B2080="","",IFERROR(INDEX(pr_unit,MATCH(B2080,pr_code,0))&amp;"",""))</f>
        <v/>
      </c>
      <c r="J2080" s="65" t="str">
        <f>IF(COUNTA(A2080:G2080)=0,"",IF(E2080&lt;&gt;"",E2080,IF(B2080="","",IFERROR(IF(INDEX(pr_price,MATCH(B2080,pr_code,0))="","",INDEX(pr_price,MATCH(B2080,pr_code,0))),""))))</f>
        <v/>
      </c>
      <c r="K2080" s="71" t="str">
        <f>IF(COUNTA(A2080:G2080)=0,"",IF(G2080&lt;&gt;"",G2080,IF(B2080="","",IFERROR(IF(INDEX(pr_rate,MATCH(B2080,pr_code,0))="","",INDEX(pr_rate,MATCH(B2080,pr_code,0))),""))))</f>
        <v/>
      </c>
      <c r="L2080" s="65" t="str">
        <f>IF(COUNTA(A2080:G2080)=0,"",IF(AND(ISNUMBER(D2080),ISNUMBER(J2080)),ROUND(D2080*J2080*(1-N(F2080)),2),0))</f>
        <v/>
      </c>
      <c r="M2080" s="62" t="str">
        <f>IF(A2080="","",IFERROR(INDEX(dv_cname,MATCH(A2080,dv_num,0))&amp;"",""))</f>
        <v/>
      </c>
      <c r="N2080" s="59" t="str">
        <f>IF(COUNTA(A2080:G2080)=0,"",IF(A2080="","N° devis manquant",IF(ISNA(MATCH(A2080,dv_num,0)),"Devis inconnu",IF(AND(B2080&lt;&gt;"",ISNA(MATCH(B2080,pr_code,0))),"Article inconnu",IF(H2080="","Désignation manquante",IF(OR(NOT(ISNUMBER(D2080)),N(D2080)&lt;=0),"Quantité invalide",IF(J2080="","Prix manquant",IF(OR(NOT(ISNUMBER(J2080)),N(J2080)&lt;0),"Prix invalide",IF(OR(AND(F2080&lt;&gt;"",NOT(ISNUMBER(F2080))),N(F2080)&lt;0,N(F2080)&gt;1),"Remise invalide",IF(K2080="","Taux de TVA manquant",IF(NOT(ISNUMBER(K2080)),"Taux de TVA invalide",IF(COUNTIF(p_rates,K2080)=0,"Taux de TVA hors liste (Paramètres)",IF(N(O2080)&gt;25,"Au-delà de 25 lignes : non imprimée","OK")))))))))))))</f>
        <v/>
      </c>
      <c r="O2080" s="59" t="str">
        <f>IF(A2080="","",COUNTIF($A$6:A2080,A2080))</f>
        <v/>
      </c>
      <c r="P2080" s="62" t="str">
        <f>IF(A2080="","",A2080&amp;"|"&amp;O2080)</f>
        <v/>
      </c>
    </row>
    <row r="2081">
      <c r="A2081" s="60" t="n"/>
      <c r="B2081" s="63" t="n"/>
      <c r="C2081" s="63" t="n"/>
      <c r="D2081" s="67" t="n"/>
      <c r="E2081" s="68" t="n"/>
      <c r="F2081" s="69" t="n"/>
      <c r="G2081" s="70" t="n"/>
      <c r="H2081" s="62" t="str">
        <f>IF(COUNTA(A2081:G2081)=0,"",IF(C2081&lt;&gt;"",C2081,IF(B2081="","",IFERROR(INDEX(pr_des,MATCH(B2081,pr_code,0))&amp;"",""))))</f>
        <v/>
      </c>
      <c r="I2081" s="59" t="str">
        <f>IF(B2081="","",IFERROR(INDEX(pr_unit,MATCH(B2081,pr_code,0))&amp;"",""))</f>
        <v/>
      </c>
      <c r="J2081" s="65" t="str">
        <f>IF(COUNTA(A2081:G2081)=0,"",IF(E2081&lt;&gt;"",E2081,IF(B2081="","",IFERROR(IF(INDEX(pr_price,MATCH(B2081,pr_code,0))="","",INDEX(pr_price,MATCH(B2081,pr_code,0))),""))))</f>
        <v/>
      </c>
      <c r="K2081" s="71" t="str">
        <f>IF(COUNTA(A2081:G2081)=0,"",IF(G2081&lt;&gt;"",G2081,IF(B2081="","",IFERROR(IF(INDEX(pr_rate,MATCH(B2081,pr_code,0))="","",INDEX(pr_rate,MATCH(B2081,pr_code,0))),""))))</f>
        <v/>
      </c>
      <c r="L2081" s="65" t="str">
        <f>IF(COUNTA(A2081:G2081)=0,"",IF(AND(ISNUMBER(D2081),ISNUMBER(J2081)),ROUND(D2081*J2081*(1-N(F2081)),2),0))</f>
        <v/>
      </c>
      <c r="M2081" s="62" t="str">
        <f>IF(A2081="","",IFERROR(INDEX(dv_cname,MATCH(A2081,dv_num,0))&amp;"",""))</f>
        <v/>
      </c>
      <c r="N2081" s="59" t="str">
        <f>IF(COUNTA(A2081:G2081)=0,"",IF(A2081="","N° devis manquant",IF(ISNA(MATCH(A2081,dv_num,0)),"Devis inconnu",IF(AND(B2081&lt;&gt;"",ISNA(MATCH(B2081,pr_code,0))),"Article inconnu",IF(H2081="","Désignation manquante",IF(OR(NOT(ISNUMBER(D2081)),N(D2081)&lt;=0),"Quantité invalide",IF(J2081="","Prix manquant",IF(OR(NOT(ISNUMBER(J2081)),N(J2081)&lt;0),"Prix invalide",IF(OR(AND(F2081&lt;&gt;"",NOT(ISNUMBER(F2081))),N(F2081)&lt;0,N(F2081)&gt;1),"Remise invalide",IF(K2081="","Taux de TVA manquant",IF(NOT(ISNUMBER(K2081)),"Taux de TVA invalide",IF(COUNTIF(p_rates,K2081)=0,"Taux de TVA hors liste (Paramètres)",IF(N(O2081)&gt;25,"Au-delà de 25 lignes : non imprimée","OK")))))))))))))</f>
        <v/>
      </c>
      <c r="O2081" s="59" t="str">
        <f>IF(A2081="","",COUNTIF($A$6:A2081,A2081))</f>
        <v/>
      </c>
      <c r="P2081" s="62" t="str">
        <f>IF(A2081="","",A2081&amp;"|"&amp;O2081)</f>
        <v/>
      </c>
    </row>
    <row r="2082">
      <c r="A2082" s="60" t="n"/>
      <c r="B2082" s="63" t="n"/>
      <c r="C2082" s="63" t="n"/>
      <c r="D2082" s="67" t="n"/>
      <c r="E2082" s="68" t="n"/>
      <c r="F2082" s="69" t="n"/>
      <c r="G2082" s="70" t="n"/>
      <c r="H2082" s="62" t="str">
        <f>IF(COUNTA(A2082:G2082)=0,"",IF(C2082&lt;&gt;"",C2082,IF(B2082="","",IFERROR(INDEX(pr_des,MATCH(B2082,pr_code,0))&amp;"",""))))</f>
        <v/>
      </c>
      <c r="I2082" s="59" t="str">
        <f>IF(B2082="","",IFERROR(INDEX(pr_unit,MATCH(B2082,pr_code,0))&amp;"",""))</f>
        <v/>
      </c>
      <c r="J2082" s="65" t="str">
        <f>IF(COUNTA(A2082:G2082)=0,"",IF(E2082&lt;&gt;"",E2082,IF(B2082="","",IFERROR(IF(INDEX(pr_price,MATCH(B2082,pr_code,0))="","",INDEX(pr_price,MATCH(B2082,pr_code,0))),""))))</f>
        <v/>
      </c>
      <c r="K2082" s="71" t="str">
        <f>IF(COUNTA(A2082:G2082)=0,"",IF(G2082&lt;&gt;"",G2082,IF(B2082="","",IFERROR(IF(INDEX(pr_rate,MATCH(B2082,pr_code,0))="","",INDEX(pr_rate,MATCH(B2082,pr_code,0))),""))))</f>
        <v/>
      </c>
      <c r="L2082" s="65" t="str">
        <f>IF(COUNTA(A2082:G2082)=0,"",IF(AND(ISNUMBER(D2082),ISNUMBER(J2082)),ROUND(D2082*J2082*(1-N(F2082)),2),0))</f>
        <v/>
      </c>
      <c r="M2082" s="62" t="str">
        <f>IF(A2082="","",IFERROR(INDEX(dv_cname,MATCH(A2082,dv_num,0))&amp;"",""))</f>
        <v/>
      </c>
      <c r="N2082" s="59" t="str">
        <f>IF(COUNTA(A2082:G2082)=0,"",IF(A2082="","N° devis manquant",IF(ISNA(MATCH(A2082,dv_num,0)),"Devis inconnu",IF(AND(B2082&lt;&gt;"",ISNA(MATCH(B2082,pr_code,0))),"Article inconnu",IF(H2082="","Désignation manquante",IF(OR(NOT(ISNUMBER(D2082)),N(D2082)&lt;=0),"Quantité invalide",IF(J2082="","Prix manquant",IF(OR(NOT(ISNUMBER(J2082)),N(J2082)&lt;0),"Prix invalide",IF(OR(AND(F2082&lt;&gt;"",NOT(ISNUMBER(F2082))),N(F2082)&lt;0,N(F2082)&gt;1),"Remise invalide",IF(K2082="","Taux de TVA manquant",IF(NOT(ISNUMBER(K2082)),"Taux de TVA invalide",IF(COUNTIF(p_rates,K2082)=0,"Taux de TVA hors liste (Paramètres)",IF(N(O2082)&gt;25,"Au-delà de 25 lignes : non imprimée","OK")))))))))))))</f>
        <v/>
      </c>
      <c r="O2082" s="59" t="str">
        <f>IF(A2082="","",COUNTIF($A$6:A2082,A2082))</f>
        <v/>
      </c>
      <c r="P2082" s="62" t="str">
        <f>IF(A2082="","",A2082&amp;"|"&amp;O2082)</f>
        <v/>
      </c>
    </row>
    <row r="2083">
      <c r="A2083" s="60" t="n"/>
      <c r="B2083" s="63" t="n"/>
      <c r="C2083" s="63" t="n"/>
      <c r="D2083" s="67" t="n"/>
      <c r="E2083" s="68" t="n"/>
      <c r="F2083" s="69" t="n"/>
      <c r="G2083" s="70" t="n"/>
      <c r="H2083" s="62" t="str">
        <f>IF(COUNTA(A2083:G2083)=0,"",IF(C2083&lt;&gt;"",C2083,IF(B2083="","",IFERROR(INDEX(pr_des,MATCH(B2083,pr_code,0))&amp;"",""))))</f>
        <v/>
      </c>
      <c r="I2083" s="59" t="str">
        <f>IF(B2083="","",IFERROR(INDEX(pr_unit,MATCH(B2083,pr_code,0))&amp;"",""))</f>
        <v/>
      </c>
      <c r="J2083" s="65" t="str">
        <f>IF(COUNTA(A2083:G2083)=0,"",IF(E2083&lt;&gt;"",E2083,IF(B2083="","",IFERROR(IF(INDEX(pr_price,MATCH(B2083,pr_code,0))="","",INDEX(pr_price,MATCH(B2083,pr_code,0))),""))))</f>
        <v/>
      </c>
      <c r="K2083" s="71" t="str">
        <f>IF(COUNTA(A2083:G2083)=0,"",IF(G2083&lt;&gt;"",G2083,IF(B2083="","",IFERROR(IF(INDEX(pr_rate,MATCH(B2083,pr_code,0))="","",INDEX(pr_rate,MATCH(B2083,pr_code,0))),""))))</f>
        <v/>
      </c>
      <c r="L2083" s="65" t="str">
        <f>IF(COUNTA(A2083:G2083)=0,"",IF(AND(ISNUMBER(D2083),ISNUMBER(J2083)),ROUND(D2083*J2083*(1-N(F2083)),2),0))</f>
        <v/>
      </c>
      <c r="M2083" s="62" t="str">
        <f>IF(A2083="","",IFERROR(INDEX(dv_cname,MATCH(A2083,dv_num,0))&amp;"",""))</f>
        <v/>
      </c>
      <c r="N2083" s="59" t="str">
        <f>IF(COUNTA(A2083:G2083)=0,"",IF(A2083="","N° devis manquant",IF(ISNA(MATCH(A2083,dv_num,0)),"Devis inconnu",IF(AND(B2083&lt;&gt;"",ISNA(MATCH(B2083,pr_code,0))),"Article inconnu",IF(H2083="","Désignation manquante",IF(OR(NOT(ISNUMBER(D2083)),N(D2083)&lt;=0),"Quantité invalide",IF(J2083="","Prix manquant",IF(OR(NOT(ISNUMBER(J2083)),N(J2083)&lt;0),"Prix invalide",IF(OR(AND(F2083&lt;&gt;"",NOT(ISNUMBER(F2083))),N(F2083)&lt;0,N(F2083)&gt;1),"Remise invalide",IF(K2083="","Taux de TVA manquant",IF(NOT(ISNUMBER(K2083)),"Taux de TVA invalide",IF(COUNTIF(p_rates,K2083)=0,"Taux de TVA hors liste (Paramètres)",IF(N(O2083)&gt;25,"Au-delà de 25 lignes : non imprimée","OK")))))))))))))</f>
        <v/>
      </c>
      <c r="O2083" s="59" t="str">
        <f>IF(A2083="","",COUNTIF($A$6:A2083,A2083))</f>
        <v/>
      </c>
      <c r="P2083" s="62" t="str">
        <f>IF(A2083="","",A2083&amp;"|"&amp;O2083)</f>
        <v/>
      </c>
    </row>
    <row r="2084">
      <c r="A2084" s="60" t="n"/>
      <c r="B2084" s="63" t="n"/>
      <c r="C2084" s="63" t="n"/>
      <c r="D2084" s="67" t="n"/>
      <c r="E2084" s="68" t="n"/>
      <c r="F2084" s="69" t="n"/>
      <c r="G2084" s="70" t="n"/>
      <c r="H2084" s="62" t="str">
        <f>IF(COUNTA(A2084:G2084)=0,"",IF(C2084&lt;&gt;"",C2084,IF(B2084="","",IFERROR(INDEX(pr_des,MATCH(B2084,pr_code,0))&amp;"",""))))</f>
        <v/>
      </c>
      <c r="I2084" s="59" t="str">
        <f>IF(B2084="","",IFERROR(INDEX(pr_unit,MATCH(B2084,pr_code,0))&amp;"",""))</f>
        <v/>
      </c>
      <c r="J2084" s="65" t="str">
        <f>IF(COUNTA(A2084:G2084)=0,"",IF(E2084&lt;&gt;"",E2084,IF(B2084="","",IFERROR(IF(INDEX(pr_price,MATCH(B2084,pr_code,0))="","",INDEX(pr_price,MATCH(B2084,pr_code,0))),""))))</f>
        <v/>
      </c>
      <c r="K2084" s="71" t="str">
        <f>IF(COUNTA(A2084:G2084)=0,"",IF(G2084&lt;&gt;"",G2084,IF(B2084="","",IFERROR(IF(INDEX(pr_rate,MATCH(B2084,pr_code,0))="","",INDEX(pr_rate,MATCH(B2084,pr_code,0))),""))))</f>
        <v/>
      </c>
      <c r="L2084" s="65" t="str">
        <f>IF(COUNTA(A2084:G2084)=0,"",IF(AND(ISNUMBER(D2084),ISNUMBER(J2084)),ROUND(D2084*J2084*(1-N(F2084)),2),0))</f>
        <v/>
      </c>
      <c r="M2084" s="62" t="str">
        <f>IF(A2084="","",IFERROR(INDEX(dv_cname,MATCH(A2084,dv_num,0))&amp;"",""))</f>
        <v/>
      </c>
      <c r="N2084" s="59" t="str">
        <f>IF(COUNTA(A2084:G2084)=0,"",IF(A2084="","N° devis manquant",IF(ISNA(MATCH(A2084,dv_num,0)),"Devis inconnu",IF(AND(B2084&lt;&gt;"",ISNA(MATCH(B2084,pr_code,0))),"Article inconnu",IF(H2084="","Désignation manquante",IF(OR(NOT(ISNUMBER(D2084)),N(D2084)&lt;=0),"Quantité invalide",IF(J2084="","Prix manquant",IF(OR(NOT(ISNUMBER(J2084)),N(J2084)&lt;0),"Prix invalide",IF(OR(AND(F2084&lt;&gt;"",NOT(ISNUMBER(F2084))),N(F2084)&lt;0,N(F2084)&gt;1),"Remise invalide",IF(K2084="","Taux de TVA manquant",IF(NOT(ISNUMBER(K2084)),"Taux de TVA invalide",IF(COUNTIF(p_rates,K2084)=0,"Taux de TVA hors liste (Paramètres)",IF(N(O2084)&gt;25,"Au-delà de 25 lignes : non imprimée","OK")))))))))))))</f>
        <v/>
      </c>
      <c r="O2084" s="59" t="str">
        <f>IF(A2084="","",COUNTIF($A$6:A2084,A2084))</f>
        <v/>
      </c>
      <c r="P2084" s="62" t="str">
        <f>IF(A2084="","",A2084&amp;"|"&amp;O2084)</f>
        <v/>
      </c>
    </row>
    <row r="2085">
      <c r="A2085" s="60" t="n"/>
      <c r="B2085" s="63" t="n"/>
      <c r="C2085" s="63" t="n"/>
      <c r="D2085" s="67" t="n"/>
      <c r="E2085" s="68" t="n"/>
      <c r="F2085" s="69" t="n"/>
      <c r="G2085" s="70" t="n"/>
      <c r="H2085" s="62" t="str">
        <f>IF(COUNTA(A2085:G2085)=0,"",IF(C2085&lt;&gt;"",C2085,IF(B2085="","",IFERROR(INDEX(pr_des,MATCH(B2085,pr_code,0))&amp;"",""))))</f>
        <v/>
      </c>
      <c r="I2085" s="59" t="str">
        <f>IF(B2085="","",IFERROR(INDEX(pr_unit,MATCH(B2085,pr_code,0))&amp;"",""))</f>
        <v/>
      </c>
      <c r="J2085" s="65" t="str">
        <f>IF(COUNTA(A2085:G2085)=0,"",IF(E2085&lt;&gt;"",E2085,IF(B2085="","",IFERROR(IF(INDEX(pr_price,MATCH(B2085,pr_code,0))="","",INDEX(pr_price,MATCH(B2085,pr_code,0))),""))))</f>
        <v/>
      </c>
      <c r="K2085" s="71" t="str">
        <f>IF(COUNTA(A2085:G2085)=0,"",IF(G2085&lt;&gt;"",G2085,IF(B2085="","",IFERROR(IF(INDEX(pr_rate,MATCH(B2085,pr_code,0))="","",INDEX(pr_rate,MATCH(B2085,pr_code,0))),""))))</f>
        <v/>
      </c>
      <c r="L2085" s="65" t="str">
        <f>IF(COUNTA(A2085:G2085)=0,"",IF(AND(ISNUMBER(D2085),ISNUMBER(J2085)),ROUND(D2085*J2085*(1-N(F2085)),2),0))</f>
        <v/>
      </c>
      <c r="M2085" s="62" t="str">
        <f>IF(A2085="","",IFERROR(INDEX(dv_cname,MATCH(A2085,dv_num,0))&amp;"",""))</f>
        <v/>
      </c>
      <c r="N2085" s="59" t="str">
        <f>IF(COUNTA(A2085:G2085)=0,"",IF(A2085="","N° devis manquant",IF(ISNA(MATCH(A2085,dv_num,0)),"Devis inconnu",IF(AND(B2085&lt;&gt;"",ISNA(MATCH(B2085,pr_code,0))),"Article inconnu",IF(H2085="","Désignation manquante",IF(OR(NOT(ISNUMBER(D2085)),N(D2085)&lt;=0),"Quantité invalide",IF(J2085="","Prix manquant",IF(OR(NOT(ISNUMBER(J2085)),N(J2085)&lt;0),"Prix invalide",IF(OR(AND(F2085&lt;&gt;"",NOT(ISNUMBER(F2085))),N(F2085)&lt;0,N(F2085)&gt;1),"Remise invalide",IF(K2085="","Taux de TVA manquant",IF(NOT(ISNUMBER(K2085)),"Taux de TVA invalide",IF(COUNTIF(p_rates,K2085)=0,"Taux de TVA hors liste (Paramètres)",IF(N(O2085)&gt;25,"Au-delà de 25 lignes : non imprimée","OK")))))))))))))</f>
        <v/>
      </c>
      <c r="O2085" s="59" t="str">
        <f>IF(A2085="","",COUNTIF($A$6:A2085,A2085))</f>
        <v/>
      </c>
      <c r="P2085" s="62" t="str">
        <f>IF(A2085="","",A2085&amp;"|"&amp;O2085)</f>
        <v/>
      </c>
    </row>
    <row r="2086">
      <c r="A2086" s="60" t="n"/>
      <c r="B2086" s="63" t="n"/>
      <c r="C2086" s="63" t="n"/>
      <c r="D2086" s="67" t="n"/>
      <c r="E2086" s="68" t="n"/>
      <c r="F2086" s="69" t="n"/>
      <c r="G2086" s="70" t="n"/>
      <c r="H2086" s="62" t="str">
        <f>IF(COUNTA(A2086:G2086)=0,"",IF(C2086&lt;&gt;"",C2086,IF(B2086="","",IFERROR(INDEX(pr_des,MATCH(B2086,pr_code,0))&amp;"",""))))</f>
        <v/>
      </c>
      <c r="I2086" s="59" t="str">
        <f>IF(B2086="","",IFERROR(INDEX(pr_unit,MATCH(B2086,pr_code,0))&amp;"",""))</f>
        <v/>
      </c>
      <c r="J2086" s="65" t="str">
        <f>IF(COUNTA(A2086:G2086)=0,"",IF(E2086&lt;&gt;"",E2086,IF(B2086="","",IFERROR(IF(INDEX(pr_price,MATCH(B2086,pr_code,0))="","",INDEX(pr_price,MATCH(B2086,pr_code,0))),""))))</f>
        <v/>
      </c>
      <c r="K2086" s="71" t="str">
        <f>IF(COUNTA(A2086:G2086)=0,"",IF(G2086&lt;&gt;"",G2086,IF(B2086="","",IFERROR(IF(INDEX(pr_rate,MATCH(B2086,pr_code,0))="","",INDEX(pr_rate,MATCH(B2086,pr_code,0))),""))))</f>
        <v/>
      </c>
      <c r="L2086" s="65" t="str">
        <f>IF(COUNTA(A2086:G2086)=0,"",IF(AND(ISNUMBER(D2086),ISNUMBER(J2086)),ROUND(D2086*J2086*(1-N(F2086)),2),0))</f>
        <v/>
      </c>
      <c r="M2086" s="62" t="str">
        <f>IF(A2086="","",IFERROR(INDEX(dv_cname,MATCH(A2086,dv_num,0))&amp;"",""))</f>
        <v/>
      </c>
      <c r="N2086" s="59" t="str">
        <f>IF(COUNTA(A2086:G2086)=0,"",IF(A2086="","N° devis manquant",IF(ISNA(MATCH(A2086,dv_num,0)),"Devis inconnu",IF(AND(B2086&lt;&gt;"",ISNA(MATCH(B2086,pr_code,0))),"Article inconnu",IF(H2086="","Désignation manquante",IF(OR(NOT(ISNUMBER(D2086)),N(D2086)&lt;=0),"Quantité invalide",IF(J2086="","Prix manquant",IF(OR(NOT(ISNUMBER(J2086)),N(J2086)&lt;0),"Prix invalide",IF(OR(AND(F2086&lt;&gt;"",NOT(ISNUMBER(F2086))),N(F2086)&lt;0,N(F2086)&gt;1),"Remise invalide",IF(K2086="","Taux de TVA manquant",IF(NOT(ISNUMBER(K2086)),"Taux de TVA invalide",IF(COUNTIF(p_rates,K2086)=0,"Taux de TVA hors liste (Paramètres)",IF(N(O2086)&gt;25,"Au-delà de 25 lignes : non imprimée","OK")))))))))))))</f>
        <v/>
      </c>
      <c r="O2086" s="59" t="str">
        <f>IF(A2086="","",COUNTIF($A$6:A2086,A2086))</f>
        <v/>
      </c>
      <c r="P2086" s="62" t="str">
        <f>IF(A2086="","",A2086&amp;"|"&amp;O2086)</f>
        <v/>
      </c>
    </row>
    <row r="2087">
      <c r="A2087" s="60" t="n"/>
      <c r="B2087" s="63" t="n"/>
      <c r="C2087" s="63" t="n"/>
      <c r="D2087" s="67" t="n"/>
      <c r="E2087" s="68" t="n"/>
      <c r="F2087" s="69" t="n"/>
      <c r="G2087" s="70" t="n"/>
      <c r="H2087" s="62" t="str">
        <f>IF(COUNTA(A2087:G2087)=0,"",IF(C2087&lt;&gt;"",C2087,IF(B2087="","",IFERROR(INDEX(pr_des,MATCH(B2087,pr_code,0))&amp;"",""))))</f>
        <v/>
      </c>
      <c r="I2087" s="59" t="str">
        <f>IF(B2087="","",IFERROR(INDEX(pr_unit,MATCH(B2087,pr_code,0))&amp;"",""))</f>
        <v/>
      </c>
      <c r="J2087" s="65" t="str">
        <f>IF(COUNTA(A2087:G2087)=0,"",IF(E2087&lt;&gt;"",E2087,IF(B2087="","",IFERROR(IF(INDEX(pr_price,MATCH(B2087,pr_code,0))="","",INDEX(pr_price,MATCH(B2087,pr_code,0))),""))))</f>
        <v/>
      </c>
      <c r="K2087" s="71" t="str">
        <f>IF(COUNTA(A2087:G2087)=0,"",IF(G2087&lt;&gt;"",G2087,IF(B2087="","",IFERROR(IF(INDEX(pr_rate,MATCH(B2087,pr_code,0))="","",INDEX(pr_rate,MATCH(B2087,pr_code,0))),""))))</f>
        <v/>
      </c>
      <c r="L2087" s="65" t="str">
        <f>IF(COUNTA(A2087:G2087)=0,"",IF(AND(ISNUMBER(D2087),ISNUMBER(J2087)),ROUND(D2087*J2087*(1-N(F2087)),2),0))</f>
        <v/>
      </c>
      <c r="M2087" s="62" t="str">
        <f>IF(A2087="","",IFERROR(INDEX(dv_cname,MATCH(A2087,dv_num,0))&amp;"",""))</f>
        <v/>
      </c>
      <c r="N2087" s="59" t="str">
        <f>IF(COUNTA(A2087:G2087)=0,"",IF(A2087="","N° devis manquant",IF(ISNA(MATCH(A2087,dv_num,0)),"Devis inconnu",IF(AND(B2087&lt;&gt;"",ISNA(MATCH(B2087,pr_code,0))),"Article inconnu",IF(H2087="","Désignation manquante",IF(OR(NOT(ISNUMBER(D2087)),N(D2087)&lt;=0),"Quantité invalide",IF(J2087="","Prix manquant",IF(OR(NOT(ISNUMBER(J2087)),N(J2087)&lt;0),"Prix invalide",IF(OR(AND(F2087&lt;&gt;"",NOT(ISNUMBER(F2087))),N(F2087)&lt;0,N(F2087)&gt;1),"Remise invalide",IF(K2087="","Taux de TVA manquant",IF(NOT(ISNUMBER(K2087)),"Taux de TVA invalide",IF(COUNTIF(p_rates,K2087)=0,"Taux de TVA hors liste (Paramètres)",IF(N(O2087)&gt;25,"Au-delà de 25 lignes : non imprimée","OK")))))))))))))</f>
        <v/>
      </c>
      <c r="O2087" s="59" t="str">
        <f>IF(A2087="","",COUNTIF($A$6:A2087,A2087))</f>
        <v/>
      </c>
      <c r="P2087" s="62" t="str">
        <f>IF(A2087="","",A2087&amp;"|"&amp;O2087)</f>
        <v/>
      </c>
    </row>
    <row r="2088">
      <c r="A2088" s="60" t="n"/>
      <c r="B2088" s="63" t="n"/>
      <c r="C2088" s="63" t="n"/>
      <c r="D2088" s="67" t="n"/>
      <c r="E2088" s="68" t="n"/>
      <c r="F2088" s="69" t="n"/>
      <c r="G2088" s="70" t="n"/>
      <c r="H2088" s="62" t="str">
        <f>IF(COUNTA(A2088:G2088)=0,"",IF(C2088&lt;&gt;"",C2088,IF(B2088="","",IFERROR(INDEX(pr_des,MATCH(B2088,pr_code,0))&amp;"",""))))</f>
        <v/>
      </c>
      <c r="I2088" s="59" t="str">
        <f>IF(B2088="","",IFERROR(INDEX(pr_unit,MATCH(B2088,pr_code,0))&amp;"",""))</f>
        <v/>
      </c>
      <c r="J2088" s="65" t="str">
        <f>IF(COUNTA(A2088:G2088)=0,"",IF(E2088&lt;&gt;"",E2088,IF(B2088="","",IFERROR(IF(INDEX(pr_price,MATCH(B2088,pr_code,0))="","",INDEX(pr_price,MATCH(B2088,pr_code,0))),""))))</f>
        <v/>
      </c>
      <c r="K2088" s="71" t="str">
        <f>IF(COUNTA(A2088:G2088)=0,"",IF(G2088&lt;&gt;"",G2088,IF(B2088="","",IFERROR(IF(INDEX(pr_rate,MATCH(B2088,pr_code,0))="","",INDEX(pr_rate,MATCH(B2088,pr_code,0))),""))))</f>
        <v/>
      </c>
      <c r="L2088" s="65" t="str">
        <f>IF(COUNTA(A2088:G2088)=0,"",IF(AND(ISNUMBER(D2088),ISNUMBER(J2088)),ROUND(D2088*J2088*(1-N(F2088)),2),0))</f>
        <v/>
      </c>
      <c r="M2088" s="62" t="str">
        <f>IF(A2088="","",IFERROR(INDEX(dv_cname,MATCH(A2088,dv_num,0))&amp;"",""))</f>
        <v/>
      </c>
      <c r="N2088" s="59" t="str">
        <f>IF(COUNTA(A2088:G2088)=0,"",IF(A2088="","N° devis manquant",IF(ISNA(MATCH(A2088,dv_num,0)),"Devis inconnu",IF(AND(B2088&lt;&gt;"",ISNA(MATCH(B2088,pr_code,0))),"Article inconnu",IF(H2088="","Désignation manquante",IF(OR(NOT(ISNUMBER(D2088)),N(D2088)&lt;=0),"Quantité invalide",IF(J2088="","Prix manquant",IF(OR(NOT(ISNUMBER(J2088)),N(J2088)&lt;0),"Prix invalide",IF(OR(AND(F2088&lt;&gt;"",NOT(ISNUMBER(F2088))),N(F2088)&lt;0,N(F2088)&gt;1),"Remise invalide",IF(K2088="","Taux de TVA manquant",IF(NOT(ISNUMBER(K2088)),"Taux de TVA invalide",IF(COUNTIF(p_rates,K2088)=0,"Taux de TVA hors liste (Paramètres)",IF(N(O2088)&gt;25,"Au-delà de 25 lignes : non imprimée","OK")))))))))))))</f>
        <v/>
      </c>
      <c r="O2088" s="59" t="str">
        <f>IF(A2088="","",COUNTIF($A$6:A2088,A2088))</f>
        <v/>
      </c>
      <c r="P2088" s="62" t="str">
        <f>IF(A2088="","",A2088&amp;"|"&amp;O2088)</f>
        <v/>
      </c>
    </row>
    <row r="2089">
      <c r="A2089" s="60" t="n"/>
      <c r="B2089" s="63" t="n"/>
      <c r="C2089" s="63" t="n"/>
      <c r="D2089" s="67" t="n"/>
      <c r="E2089" s="68" t="n"/>
      <c r="F2089" s="69" t="n"/>
      <c r="G2089" s="70" t="n"/>
      <c r="H2089" s="62" t="str">
        <f>IF(COUNTA(A2089:G2089)=0,"",IF(C2089&lt;&gt;"",C2089,IF(B2089="","",IFERROR(INDEX(pr_des,MATCH(B2089,pr_code,0))&amp;"",""))))</f>
        <v/>
      </c>
      <c r="I2089" s="59" t="str">
        <f>IF(B2089="","",IFERROR(INDEX(pr_unit,MATCH(B2089,pr_code,0))&amp;"",""))</f>
        <v/>
      </c>
      <c r="J2089" s="65" t="str">
        <f>IF(COUNTA(A2089:G2089)=0,"",IF(E2089&lt;&gt;"",E2089,IF(B2089="","",IFERROR(IF(INDEX(pr_price,MATCH(B2089,pr_code,0))="","",INDEX(pr_price,MATCH(B2089,pr_code,0))),""))))</f>
        <v/>
      </c>
      <c r="K2089" s="71" t="str">
        <f>IF(COUNTA(A2089:G2089)=0,"",IF(G2089&lt;&gt;"",G2089,IF(B2089="","",IFERROR(IF(INDEX(pr_rate,MATCH(B2089,pr_code,0))="","",INDEX(pr_rate,MATCH(B2089,pr_code,0))),""))))</f>
        <v/>
      </c>
      <c r="L2089" s="65" t="str">
        <f>IF(COUNTA(A2089:G2089)=0,"",IF(AND(ISNUMBER(D2089),ISNUMBER(J2089)),ROUND(D2089*J2089*(1-N(F2089)),2),0))</f>
        <v/>
      </c>
      <c r="M2089" s="62" t="str">
        <f>IF(A2089="","",IFERROR(INDEX(dv_cname,MATCH(A2089,dv_num,0))&amp;"",""))</f>
        <v/>
      </c>
      <c r="N2089" s="59" t="str">
        <f>IF(COUNTA(A2089:G2089)=0,"",IF(A2089="","N° devis manquant",IF(ISNA(MATCH(A2089,dv_num,0)),"Devis inconnu",IF(AND(B2089&lt;&gt;"",ISNA(MATCH(B2089,pr_code,0))),"Article inconnu",IF(H2089="","Désignation manquante",IF(OR(NOT(ISNUMBER(D2089)),N(D2089)&lt;=0),"Quantité invalide",IF(J2089="","Prix manquant",IF(OR(NOT(ISNUMBER(J2089)),N(J2089)&lt;0),"Prix invalide",IF(OR(AND(F2089&lt;&gt;"",NOT(ISNUMBER(F2089))),N(F2089)&lt;0,N(F2089)&gt;1),"Remise invalide",IF(K2089="","Taux de TVA manquant",IF(NOT(ISNUMBER(K2089)),"Taux de TVA invalide",IF(COUNTIF(p_rates,K2089)=0,"Taux de TVA hors liste (Paramètres)",IF(N(O2089)&gt;25,"Au-delà de 25 lignes : non imprimée","OK")))))))))))))</f>
        <v/>
      </c>
      <c r="O2089" s="59" t="str">
        <f>IF(A2089="","",COUNTIF($A$6:A2089,A2089))</f>
        <v/>
      </c>
      <c r="P2089" s="62" t="str">
        <f>IF(A2089="","",A2089&amp;"|"&amp;O2089)</f>
        <v/>
      </c>
    </row>
    <row r="2090">
      <c r="A2090" s="60" t="n"/>
      <c r="B2090" s="63" t="n"/>
      <c r="C2090" s="63" t="n"/>
      <c r="D2090" s="67" t="n"/>
      <c r="E2090" s="68" t="n"/>
      <c r="F2090" s="69" t="n"/>
      <c r="G2090" s="70" t="n"/>
      <c r="H2090" s="62" t="str">
        <f>IF(COUNTA(A2090:G2090)=0,"",IF(C2090&lt;&gt;"",C2090,IF(B2090="","",IFERROR(INDEX(pr_des,MATCH(B2090,pr_code,0))&amp;"",""))))</f>
        <v/>
      </c>
      <c r="I2090" s="59" t="str">
        <f>IF(B2090="","",IFERROR(INDEX(pr_unit,MATCH(B2090,pr_code,0))&amp;"",""))</f>
        <v/>
      </c>
      <c r="J2090" s="65" t="str">
        <f>IF(COUNTA(A2090:G2090)=0,"",IF(E2090&lt;&gt;"",E2090,IF(B2090="","",IFERROR(IF(INDEX(pr_price,MATCH(B2090,pr_code,0))="","",INDEX(pr_price,MATCH(B2090,pr_code,0))),""))))</f>
        <v/>
      </c>
      <c r="K2090" s="71" t="str">
        <f>IF(COUNTA(A2090:G2090)=0,"",IF(G2090&lt;&gt;"",G2090,IF(B2090="","",IFERROR(IF(INDEX(pr_rate,MATCH(B2090,pr_code,0))="","",INDEX(pr_rate,MATCH(B2090,pr_code,0))),""))))</f>
        <v/>
      </c>
      <c r="L2090" s="65" t="str">
        <f>IF(COUNTA(A2090:G2090)=0,"",IF(AND(ISNUMBER(D2090),ISNUMBER(J2090)),ROUND(D2090*J2090*(1-N(F2090)),2),0))</f>
        <v/>
      </c>
      <c r="M2090" s="62" t="str">
        <f>IF(A2090="","",IFERROR(INDEX(dv_cname,MATCH(A2090,dv_num,0))&amp;"",""))</f>
        <v/>
      </c>
      <c r="N2090" s="59" t="str">
        <f>IF(COUNTA(A2090:G2090)=0,"",IF(A2090="","N° devis manquant",IF(ISNA(MATCH(A2090,dv_num,0)),"Devis inconnu",IF(AND(B2090&lt;&gt;"",ISNA(MATCH(B2090,pr_code,0))),"Article inconnu",IF(H2090="","Désignation manquante",IF(OR(NOT(ISNUMBER(D2090)),N(D2090)&lt;=0),"Quantité invalide",IF(J2090="","Prix manquant",IF(OR(NOT(ISNUMBER(J2090)),N(J2090)&lt;0),"Prix invalide",IF(OR(AND(F2090&lt;&gt;"",NOT(ISNUMBER(F2090))),N(F2090)&lt;0,N(F2090)&gt;1),"Remise invalide",IF(K2090="","Taux de TVA manquant",IF(NOT(ISNUMBER(K2090)),"Taux de TVA invalide",IF(COUNTIF(p_rates,K2090)=0,"Taux de TVA hors liste (Paramètres)",IF(N(O2090)&gt;25,"Au-delà de 25 lignes : non imprimée","OK")))))))))))))</f>
        <v/>
      </c>
      <c r="O2090" s="59" t="str">
        <f>IF(A2090="","",COUNTIF($A$6:A2090,A2090))</f>
        <v/>
      </c>
      <c r="P2090" s="62" t="str">
        <f>IF(A2090="","",A2090&amp;"|"&amp;O2090)</f>
        <v/>
      </c>
    </row>
    <row r="2091">
      <c r="A2091" s="60" t="n"/>
      <c r="B2091" s="63" t="n"/>
      <c r="C2091" s="63" t="n"/>
      <c r="D2091" s="67" t="n"/>
      <c r="E2091" s="68" t="n"/>
      <c r="F2091" s="69" t="n"/>
      <c r="G2091" s="70" t="n"/>
      <c r="H2091" s="62" t="str">
        <f>IF(COUNTA(A2091:G2091)=0,"",IF(C2091&lt;&gt;"",C2091,IF(B2091="","",IFERROR(INDEX(pr_des,MATCH(B2091,pr_code,0))&amp;"",""))))</f>
        <v/>
      </c>
      <c r="I2091" s="59" t="str">
        <f>IF(B2091="","",IFERROR(INDEX(pr_unit,MATCH(B2091,pr_code,0))&amp;"",""))</f>
        <v/>
      </c>
      <c r="J2091" s="65" t="str">
        <f>IF(COUNTA(A2091:G2091)=0,"",IF(E2091&lt;&gt;"",E2091,IF(B2091="","",IFERROR(IF(INDEX(pr_price,MATCH(B2091,pr_code,0))="","",INDEX(pr_price,MATCH(B2091,pr_code,0))),""))))</f>
        <v/>
      </c>
      <c r="K2091" s="71" t="str">
        <f>IF(COUNTA(A2091:G2091)=0,"",IF(G2091&lt;&gt;"",G2091,IF(B2091="","",IFERROR(IF(INDEX(pr_rate,MATCH(B2091,pr_code,0))="","",INDEX(pr_rate,MATCH(B2091,pr_code,0))),""))))</f>
        <v/>
      </c>
      <c r="L2091" s="65" t="str">
        <f>IF(COUNTA(A2091:G2091)=0,"",IF(AND(ISNUMBER(D2091),ISNUMBER(J2091)),ROUND(D2091*J2091*(1-N(F2091)),2),0))</f>
        <v/>
      </c>
      <c r="M2091" s="62" t="str">
        <f>IF(A2091="","",IFERROR(INDEX(dv_cname,MATCH(A2091,dv_num,0))&amp;"",""))</f>
        <v/>
      </c>
      <c r="N2091" s="59" t="str">
        <f>IF(COUNTA(A2091:G2091)=0,"",IF(A2091="","N° devis manquant",IF(ISNA(MATCH(A2091,dv_num,0)),"Devis inconnu",IF(AND(B2091&lt;&gt;"",ISNA(MATCH(B2091,pr_code,0))),"Article inconnu",IF(H2091="","Désignation manquante",IF(OR(NOT(ISNUMBER(D2091)),N(D2091)&lt;=0),"Quantité invalide",IF(J2091="","Prix manquant",IF(OR(NOT(ISNUMBER(J2091)),N(J2091)&lt;0),"Prix invalide",IF(OR(AND(F2091&lt;&gt;"",NOT(ISNUMBER(F2091))),N(F2091)&lt;0,N(F2091)&gt;1),"Remise invalide",IF(K2091="","Taux de TVA manquant",IF(NOT(ISNUMBER(K2091)),"Taux de TVA invalide",IF(COUNTIF(p_rates,K2091)=0,"Taux de TVA hors liste (Paramètres)",IF(N(O2091)&gt;25,"Au-delà de 25 lignes : non imprimée","OK")))))))))))))</f>
        <v/>
      </c>
      <c r="O2091" s="59" t="str">
        <f>IF(A2091="","",COUNTIF($A$6:A2091,A2091))</f>
        <v/>
      </c>
      <c r="P2091" s="62" t="str">
        <f>IF(A2091="","",A2091&amp;"|"&amp;O2091)</f>
        <v/>
      </c>
    </row>
    <row r="2092">
      <c r="A2092" s="60" t="n"/>
      <c r="B2092" s="63" t="n"/>
      <c r="C2092" s="63" t="n"/>
      <c r="D2092" s="67" t="n"/>
      <c r="E2092" s="68" t="n"/>
      <c r="F2092" s="69" t="n"/>
      <c r="G2092" s="70" t="n"/>
      <c r="H2092" s="62" t="str">
        <f>IF(COUNTA(A2092:G2092)=0,"",IF(C2092&lt;&gt;"",C2092,IF(B2092="","",IFERROR(INDEX(pr_des,MATCH(B2092,pr_code,0))&amp;"",""))))</f>
        <v/>
      </c>
      <c r="I2092" s="59" t="str">
        <f>IF(B2092="","",IFERROR(INDEX(pr_unit,MATCH(B2092,pr_code,0))&amp;"",""))</f>
        <v/>
      </c>
      <c r="J2092" s="65" t="str">
        <f>IF(COUNTA(A2092:G2092)=0,"",IF(E2092&lt;&gt;"",E2092,IF(B2092="","",IFERROR(IF(INDEX(pr_price,MATCH(B2092,pr_code,0))="","",INDEX(pr_price,MATCH(B2092,pr_code,0))),""))))</f>
        <v/>
      </c>
      <c r="K2092" s="71" t="str">
        <f>IF(COUNTA(A2092:G2092)=0,"",IF(G2092&lt;&gt;"",G2092,IF(B2092="","",IFERROR(IF(INDEX(pr_rate,MATCH(B2092,pr_code,0))="","",INDEX(pr_rate,MATCH(B2092,pr_code,0))),""))))</f>
        <v/>
      </c>
      <c r="L2092" s="65" t="str">
        <f>IF(COUNTA(A2092:G2092)=0,"",IF(AND(ISNUMBER(D2092),ISNUMBER(J2092)),ROUND(D2092*J2092*(1-N(F2092)),2),0))</f>
        <v/>
      </c>
      <c r="M2092" s="62" t="str">
        <f>IF(A2092="","",IFERROR(INDEX(dv_cname,MATCH(A2092,dv_num,0))&amp;"",""))</f>
        <v/>
      </c>
      <c r="N2092" s="59" t="str">
        <f>IF(COUNTA(A2092:G2092)=0,"",IF(A2092="","N° devis manquant",IF(ISNA(MATCH(A2092,dv_num,0)),"Devis inconnu",IF(AND(B2092&lt;&gt;"",ISNA(MATCH(B2092,pr_code,0))),"Article inconnu",IF(H2092="","Désignation manquante",IF(OR(NOT(ISNUMBER(D2092)),N(D2092)&lt;=0),"Quantité invalide",IF(J2092="","Prix manquant",IF(OR(NOT(ISNUMBER(J2092)),N(J2092)&lt;0),"Prix invalide",IF(OR(AND(F2092&lt;&gt;"",NOT(ISNUMBER(F2092))),N(F2092)&lt;0,N(F2092)&gt;1),"Remise invalide",IF(K2092="","Taux de TVA manquant",IF(NOT(ISNUMBER(K2092)),"Taux de TVA invalide",IF(COUNTIF(p_rates,K2092)=0,"Taux de TVA hors liste (Paramètres)",IF(N(O2092)&gt;25,"Au-delà de 25 lignes : non imprimée","OK")))))))))))))</f>
        <v/>
      </c>
      <c r="O2092" s="59" t="str">
        <f>IF(A2092="","",COUNTIF($A$6:A2092,A2092))</f>
        <v/>
      </c>
      <c r="P2092" s="62" t="str">
        <f>IF(A2092="","",A2092&amp;"|"&amp;O2092)</f>
        <v/>
      </c>
    </row>
    <row r="2093">
      <c r="A2093" s="60" t="n"/>
      <c r="B2093" s="63" t="n"/>
      <c r="C2093" s="63" t="n"/>
      <c r="D2093" s="67" t="n"/>
      <c r="E2093" s="68" t="n"/>
      <c r="F2093" s="69" t="n"/>
      <c r="G2093" s="70" t="n"/>
      <c r="H2093" s="62" t="str">
        <f>IF(COUNTA(A2093:G2093)=0,"",IF(C2093&lt;&gt;"",C2093,IF(B2093="","",IFERROR(INDEX(pr_des,MATCH(B2093,pr_code,0))&amp;"",""))))</f>
        <v/>
      </c>
      <c r="I2093" s="59" t="str">
        <f>IF(B2093="","",IFERROR(INDEX(pr_unit,MATCH(B2093,pr_code,0))&amp;"",""))</f>
        <v/>
      </c>
      <c r="J2093" s="65" t="str">
        <f>IF(COUNTA(A2093:G2093)=0,"",IF(E2093&lt;&gt;"",E2093,IF(B2093="","",IFERROR(IF(INDEX(pr_price,MATCH(B2093,pr_code,0))="","",INDEX(pr_price,MATCH(B2093,pr_code,0))),""))))</f>
        <v/>
      </c>
      <c r="K2093" s="71" t="str">
        <f>IF(COUNTA(A2093:G2093)=0,"",IF(G2093&lt;&gt;"",G2093,IF(B2093="","",IFERROR(IF(INDEX(pr_rate,MATCH(B2093,pr_code,0))="","",INDEX(pr_rate,MATCH(B2093,pr_code,0))),""))))</f>
        <v/>
      </c>
      <c r="L2093" s="65" t="str">
        <f>IF(COUNTA(A2093:G2093)=0,"",IF(AND(ISNUMBER(D2093),ISNUMBER(J2093)),ROUND(D2093*J2093*(1-N(F2093)),2),0))</f>
        <v/>
      </c>
      <c r="M2093" s="62" t="str">
        <f>IF(A2093="","",IFERROR(INDEX(dv_cname,MATCH(A2093,dv_num,0))&amp;"",""))</f>
        <v/>
      </c>
      <c r="N2093" s="59" t="str">
        <f>IF(COUNTA(A2093:G2093)=0,"",IF(A2093="","N° devis manquant",IF(ISNA(MATCH(A2093,dv_num,0)),"Devis inconnu",IF(AND(B2093&lt;&gt;"",ISNA(MATCH(B2093,pr_code,0))),"Article inconnu",IF(H2093="","Désignation manquante",IF(OR(NOT(ISNUMBER(D2093)),N(D2093)&lt;=0),"Quantité invalide",IF(J2093="","Prix manquant",IF(OR(NOT(ISNUMBER(J2093)),N(J2093)&lt;0),"Prix invalide",IF(OR(AND(F2093&lt;&gt;"",NOT(ISNUMBER(F2093))),N(F2093)&lt;0,N(F2093)&gt;1),"Remise invalide",IF(K2093="","Taux de TVA manquant",IF(NOT(ISNUMBER(K2093)),"Taux de TVA invalide",IF(COUNTIF(p_rates,K2093)=0,"Taux de TVA hors liste (Paramètres)",IF(N(O2093)&gt;25,"Au-delà de 25 lignes : non imprimée","OK")))))))))))))</f>
        <v/>
      </c>
      <c r="O2093" s="59" t="str">
        <f>IF(A2093="","",COUNTIF($A$6:A2093,A2093))</f>
        <v/>
      </c>
      <c r="P2093" s="62" t="str">
        <f>IF(A2093="","",A2093&amp;"|"&amp;O2093)</f>
        <v/>
      </c>
    </row>
    <row r="2094">
      <c r="A2094" s="60" t="n"/>
      <c r="B2094" s="63" t="n"/>
      <c r="C2094" s="63" t="n"/>
      <c r="D2094" s="67" t="n"/>
      <c r="E2094" s="68" t="n"/>
      <c r="F2094" s="69" t="n"/>
      <c r="G2094" s="70" t="n"/>
      <c r="H2094" s="62" t="str">
        <f>IF(COUNTA(A2094:G2094)=0,"",IF(C2094&lt;&gt;"",C2094,IF(B2094="","",IFERROR(INDEX(pr_des,MATCH(B2094,pr_code,0))&amp;"",""))))</f>
        <v/>
      </c>
      <c r="I2094" s="59" t="str">
        <f>IF(B2094="","",IFERROR(INDEX(pr_unit,MATCH(B2094,pr_code,0))&amp;"",""))</f>
        <v/>
      </c>
      <c r="J2094" s="65" t="str">
        <f>IF(COUNTA(A2094:G2094)=0,"",IF(E2094&lt;&gt;"",E2094,IF(B2094="","",IFERROR(IF(INDEX(pr_price,MATCH(B2094,pr_code,0))="","",INDEX(pr_price,MATCH(B2094,pr_code,0))),""))))</f>
        <v/>
      </c>
      <c r="K2094" s="71" t="str">
        <f>IF(COUNTA(A2094:G2094)=0,"",IF(G2094&lt;&gt;"",G2094,IF(B2094="","",IFERROR(IF(INDEX(pr_rate,MATCH(B2094,pr_code,0))="","",INDEX(pr_rate,MATCH(B2094,pr_code,0))),""))))</f>
        <v/>
      </c>
      <c r="L2094" s="65" t="str">
        <f>IF(COUNTA(A2094:G2094)=0,"",IF(AND(ISNUMBER(D2094),ISNUMBER(J2094)),ROUND(D2094*J2094*(1-N(F2094)),2),0))</f>
        <v/>
      </c>
      <c r="M2094" s="62" t="str">
        <f>IF(A2094="","",IFERROR(INDEX(dv_cname,MATCH(A2094,dv_num,0))&amp;"",""))</f>
        <v/>
      </c>
      <c r="N2094" s="59" t="str">
        <f>IF(COUNTA(A2094:G2094)=0,"",IF(A2094="","N° devis manquant",IF(ISNA(MATCH(A2094,dv_num,0)),"Devis inconnu",IF(AND(B2094&lt;&gt;"",ISNA(MATCH(B2094,pr_code,0))),"Article inconnu",IF(H2094="","Désignation manquante",IF(OR(NOT(ISNUMBER(D2094)),N(D2094)&lt;=0),"Quantité invalide",IF(J2094="","Prix manquant",IF(OR(NOT(ISNUMBER(J2094)),N(J2094)&lt;0),"Prix invalide",IF(OR(AND(F2094&lt;&gt;"",NOT(ISNUMBER(F2094))),N(F2094)&lt;0,N(F2094)&gt;1),"Remise invalide",IF(K2094="","Taux de TVA manquant",IF(NOT(ISNUMBER(K2094)),"Taux de TVA invalide",IF(COUNTIF(p_rates,K2094)=0,"Taux de TVA hors liste (Paramètres)",IF(N(O2094)&gt;25,"Au-delà de 25 lignes : non imprimée","OK")))))))))))))</f>
        <v/>
      </c>
      <c r="O2094" s="59" t="str">
        <f>IF(A2094="","",COUNTIF($A$6:A2094,A2094))</f>
        <v/>
      </c>
      <c r="P2094" s="62" t="str">
        <f>IF(A2094="","",A2094&amp;"|"&amp;O2094)</f>
        <v/>
      </c>
    </row>
    <row r="2095">
      <c r="A2095" s="60" t="n"/>
      <c r="B2095" s="63" t="n"/>
      <c r="C2095" s="63" t="n"/>
      <c r="D2095" s="67" t="n"/>
      <c r="E2095" s="68" t="n"/>
      <c r="F2095" s="69" t="n"/>
      <c r="G2095" s="70" t="n"/>
      <c r="H2095" s="62" t="str">
        <f>IF(COUNTA(A2095:G2095)=0,"",IF(C2095&lt;&gt;"",C2095,IF(B2095="","",IFERROR(INDEX(pr_des,MATCH(B2095,pr_code,0))&amp;"",""))))</f>
        <v/>
      </c>
      <c r="I2095" s="59" t="str">
        <f>IF(B2095="","",IFERROR(INDEX(pr_unit,MATCH(B2095,pr_code,0))&amp;"",""))</f>
        <v/>
      </c>
      <c r="J2095" s="65" t="str">
        <f>IF(COUNTA(A2095:G2095)=0,"",IF(E2095&lt;&gt;"",E2095,IF(B2095="","",IFERROR(IF(INDEX(pr_price,MATCH(B2095,pr_code,0))="","",INDEX(pr_price,MATCH(B2095,pr_code,0))),""))))</f>
        <v/>
      </c>
      <c r="K2095" s="71" t="str">
        <f>IF(COUNTA(A2095:G2095)=0,"",IF(G2095&lt;&gt;"",G2095,IF(B2095="","",IFERROR(IF(INDEX(pr_rate,MATCH(B2095,pr_code,0))="","",INDEX(pr_rate,MATCH(B2095,pr_code,0))),""))))</f>
        <v/>
      </c>
      <c r="L2095" s="65" t="str">
        <f>IF(COUNTA(A2095:G2095)=0,"",IF(AND(ISNUMBER(D2095),ISNUMBER(J2095)),ROUND(D2095*J2095*(1-N(F2095)),2),0))</f>
        <v/>
      </c>
      <c r="M2095" s="62" t="str">
        <f>IF(A2095="","",IFERROR(INDEX(dv_cname,MATCH(A2095,dv_num,0))&amp;"",""))</f>
        <v/>
      </c>
      <c r="N2095" s="59" t="str">
        <f>IF(COUNTA(A2095:G2095)=0,"",IF(A2095="","N° devis manquant",IF(ISNA(MATCH(A2095,dv_num,0)),"Devis inconnu",IF(AND(B2095&lt;&gt;"",ISNA(MATCH(B2095,pr_code,0))),"Article inconnu",IF(H2095="","Désignation manquante",IF(OR(NOT(ISNUMBER(D2095)),N(D2095)&lt;=0),"Quantité invalide",IF(J2095="","Prix manquant",IF(OR(NOT(ISNUMBER(J2095)),N(J2095)&lt;0),"Prix invalide",IF(OR(AND(F2095&lt;&gt;"",NOT(ISNUMBER(F2095))),N(F2095)&lt;0,N(F2095)&gt;1),"Remise invalide",IF(K2095="","Taux de TVA manquant",IF(NOT(ISNUMBER(K2095)),"Taux de TVA invalide",IF(COUNTIF(p_rates,K2095)=0,"Taux de TVA hors liste (Paramètres)",IF(N(O2095)&gt;25,"Au-delà de 25 lignes : non imprimée","OK")))))))))))))</f>
        <v/>
      </c>
      <c r="O2095" s="59" t="str">
        <f>IF(A2095="","",COUNTIF($A$6:A2095,A2095))</f>
        <v/>
      </c>
      <c r="P2095" s="62" t="str">
        <f>IF(A2095="","",A2095&amp;"|"&amp;O2095)</f>
        <v/>
      </c>
    </row>
    <row r="2096">
      <c r="A2096" s="60" t="n"/>
      <c r="B2096" s="63" t="n"/>
      <c r="C2096" s="63" t="n"/>
      <c r="D2096" s="67" t="n"/>
      <c r="E2096" s="68" t="n"/>
      <c r="F2096" s="69" t="n"/>
      <c r="G2096" s="70" t="n"/>
      <c r="H2096" s="62" t="str">
        <f>IF(COUNTA(A2096:G2096)=0,"",IF(C2096&lt;&gt;"",C2096,IF(B2096="","",IFERROR(INDEX(pr_des,MATCH(B2096,pr_code,0))&amp;"",""))))</f>
        <v/>
      </c>
      <c r="I2096" s="59" t="str">
        <f>IF(B2096="","",IFERROR(INDEX(pr_unit,MATCH(B2096,pr_code,0))&amp;"",""))</f>
        <v/>
      </c>
      <c r="J2096" s="65" t="str">
        <f>IF(COUNTA(A2096:G2096)=0,"",IF(E2096&lt;&gt;"",E2096,IF(B2096="","",IFERROR(IF(INDEX(pr_price,MATCH(B2096,pr_code,0))="","",INDEX(pr_price,MATCH(B2096,pr_code,0))),""))))</f>
        <v/>
      </c>
      <c r="K2096" s="71" t="str">
        <f>IF(COUNTA(A2096:G2096)=0,"",IF(G2096&lt;&gt;"",G2096,IF(B2096="","",IFERROR(IF(INDEX(pr_rate,MATCH(B2096,pr_code,0))="","",INDEX(pr_rate,MATCH(B2096,pr_code,0))),""))))</f>
        <v/>
      </c>
      <c r="L2096" s="65" t="str">
        <f>IF(COUNTA(A2096:G2096)=0,"",IF(AND(ISNUMBER(D2096),ISNUMBER(J2096)),ROUND(D2096*J2096*(1-N(F2096)),2),0))</f>
        <v/>
      </c>
      <c r="M2096" s="62" t="str">
        <f>IF(A2096="","",IFERROR(INDEX(dv_cname,MATCH(A2096,dv_num,0))&amp;"",""))</f>
        <v/>
      </c>
      <c r="N2096" s="59" t="str">
        <f>IF(COUNTA(A2096:G2096)=0,"",IF(A2096="","N° devis manquant",IF(ISNA(MATCH(A2096,dv_num,0)),"Devis inconnu",IF(AND(B2096&lt;&gt;"",ISNA(MATCH(B2096,pr_code,0))),"Article inconnu",IF(H2096="","Désignation manquante",IF(OR(NOT(ISNUMBER(D2096)),N(D2096)&lt;=0),"Quantité invalide",IF(J2096="","Prix manquant",IF(OR(NOT(ISNUMBER(J2096)),N(J2096)&lt;0),"Prix invalide",IF(OR(AND(F2096&lt;&gt;"",NOT(ISNUMBER(F2096))),N(F2096)&lt;0,N(F2096)&gt;1),"Remise invalide",IF(K2096="","Taux de TVA manquant",IF(NOT(ISNUMBER(K2096)),"Taux de TVA invalide",IF(COUNTIF(p_rates,K2096)=0,"Taux de TVA hors liste (Paramètres)",IF(N(O2096)&gt;25,"Au-delà de 25 lignes : non imprimée","OK")))))))))))))</f>
        <v/>
      </c>
      <c r="O2096" s="59" t="str">
        <f>IF(A2096="","",COUNTIF($A$6:A2096,A2096))</f>
        <v/>
      </c>
      <c r="P2096" s="62" t="str">
        <f>IF(A2096="","",A2096&amp;"|"&amp;O2096)</f>
        <v/>
      </c>
    </row>
    <row r="2097">
      <c r="A2097" s="60" t="n"/>
      <c r="B2097" s="63" t="n"/>
      <c r="C2097" s="63" t="n"/>
      <c r="D2097" s="67" t="n"/>
      <c r="E2097" s="68" t="n"/>
      <c r="F2097" s="69" t="n"/>
      <c r="G2097" s="70" t="n"/>
      <c r="H2097" s="62" t="str">
        <f>IF(COUNTA(A2097:G2097)=0,"",IF(C2097&lt;&gt;"",C2097,IF(B2097="","",IFERROR(INDEX(pr_des,MATCH(B2097,pr_code,0))&amp;"",""))))</f>
        <v/>
      </c>
      <c r="I2097" s="59" t="str">
        <f>IF(B2097="","",IFERROR(INDEX(pr_unit,MATCH(B2097,pr_code,0))&amp;"",""))</f>
        <v/>
      </c>
      <c r="J2097" s="65" t="str">
        <f>IF(COUNTA(A2097:G2097)=0,"",IF(E2097&lt;&gt;"",E2097,IF(B2097="","",IFERROR(IF(INDEX(pr_price,MATCH(B2097,pr_code,0))="","",INDEX(pr_price,MATCH(B2097,pr_code,0))),""))))</f>
        <v/>
      </c>
      <c r="K2097" s="71" t="str">
        <f>IF(COUNTA(A2097:G2097)=0,"",IF(G2097&lt;&gt;"",G2097,IF(B2097="","",IFERROR(IF(INDEX(pr_rate,MATCH(B2097,pr_code,0))="","",INDEX(pr_rate,MATCH(B2097,pr_code,0))),""))))</f>
        <v/>
      </c>
      <c r="L2097" s="65" t="str">
        <f>IF(COUNTA(A2097:G2097)=0,"",IF(AND(ISNUMBER(D2097),ISNUMBER(J2097)),ROUND(D2097*J2097*(1-N(F2097)),2),0))</f>
        <v/>
      </c>
      <c r="M2097" s="62" t="str">
        <f>IF(A2097="","",IFERROR(INDEX(dv_cname,MATCH(A2097,dv_num,0))&amp;"",""))</f>
        <v/>
      </c>
      <c r="N2097" s="59" t="str">
        <f>IF(COUNTA(A2097:G2097)=0,"",IF(A2097="","N° devis manquant",IF(ISNA(MATCH(A2097,dv_num,0)),"Devis inconnu",IF(AND(B2097&lt;&gt;"",ISNA(MATCH(B2097,pr_code,0))),"Article inconnu",IF(H2097="","Désignation manquante",IF(OR(NOT(ISNUMBER(D2097)),N(D2097)&lt;=0),"Quantité invalide",IF(J2097="","Prix manquant",IF(OR(NOT(ISNUMBER(J2097)),N(J2097)&lt;0),"Prix invalide",IF(OR(AND(F2097&lt;&gt;"",NOT(ISNUMBER(F2097))),N(F2097)&lt;0,N(F2097)&gt;1),"Remise invalide",IF(K2097="","Taux de TVA manquant",IF(NOT(ISNUMBER(K2097)),"Taux de TVA invalide",IF(COUNTIF(p_rates,K2097)=0,"Taux de TVA hors liste (Paramètres)",IF(N(O2097)&gt;25,"Au-delà de 25 lignes : non imprimée","OK")))))))))))))</f>
        <v/>
      </c>
      <c r="O2097" s="59" t="str">
        <f>IF(A2097="","",COUNTIF($A$6:A2097,A2097))</f>
        <v/>
      </c>
      <c r="P2097" s="62" t="str">
        <f>IF(A2097="","",A2097&amp;"|"&amp;O2097)</f>
        <v/>
      </c>
    </row>
    <row r="2098">
      <c r="A2098" s="60" t="n"/>
      <c r="B2098" s="63" t="n"/>
      <c r="C2098" s="63" t="n"/>
      <c r="D2098" s="67" t="n"/>
      <c r="E2098" s="68" t="n"/>
      <c r="F2098" s="69" t="n"/>
      <c r="G2098" s="70" t="n"/>
      <c r="H2098" s="62" t="str">
        <f>IF(COUNTA(A2098:G2098)=0,"",IF(C2098&lt;&gt;"",C2098,IF(B2098="","",IFERROR(INDEX(pr_des,MATCH(B2098,pr_code,0))&amp;"",""))))</f>
        <v/>
      </c>
      <c r="I2098" s="59" t="str">
        <f>IF(B2098="","",IFERROR(INDEX(pr_unit,MATCH(B2098,pr_code,0))&amp;"",""))</f>
        <v/>
      </c>
      <c r="J2098" s="65" t="str">
        <f>IF(COUNTA(A2098:G2098)=0,"",IF(E2098&lt;&gt;"",E2098,IF(B2098="","",IFERROR(IF(INDEX(pr_price,MATCH(B2098,pr_code,0))="","",INDEX(pr_price,MATCH(B2098,pr_code,0))),""))))</f>
        <v/>
      </c>
      <c r="K2098" s="71" t="str">
        <f>IF(COUNTA(A2098:G2098)=0,"",IF(G2098&lt;&gt;"",G2098,IF(B2098="","",IFERROR(IF(INDEX(pr_rate,MATCH(B2098,pr_code,0))="","",INDEX(pr_rate,MATCH(B2098,pr_code,0))),""))))</f>
        <v/>
      </c>
      <c r="L2098" s="65" t="str">
        <f>IF(COUNTA(A2098:G2098)=0,"",IF(AND(ISNUMBER(D2098),ISNUMBER(J2098)),ROUND(D2098*J2098*(1-N(F2098)),2),0))</f>
        <v/>
      </c>
      <c r="M2098" s="62" t="str">
        <f>IF(A2098="","",IFERROR(INDEX(dv_cname,MATCH(A2098,dv_num,0))&amp;"",""))</f>
        <v/>
      </c>
      <c r="N2098" s="59" t="str">
        <f>IF(COUNTA(A2098:G2098)=0,"",IF(A2098="","N° devis manquant",IF(ISNA(MATCH(A2098,dv_num,0)),"Devis inconnu",IF(AND(B2098&lt;&gt;"",ISNA(MATCH(B2098,pr_code,0))),"Article inconnu",IF(H2098="","Désignation manquante",IF(OR(NOT(ISNUMBER(D2098)),N(D2098)&lt;=0),"Quantité invalide",IF(J2098="","Prix manquant",IF(OR(NOT(ISNUMBER(J2098)),N(J2098)&lt;0),"Prix invalide",IF(OR(AND(F2098&lt;&gt;"",NOT(ISNUMBER(F2098))),N(F2098)&lt;0,N(F2098)&gt;1),"Remise invalide",IF(K2098="","Taux de TVA manquant",IF(NOT(ISNUMBER(K2098)),"Taux de TVA invalide",IF(COUNTIF(p_rates,K2098)=0,"Taux de TVA hors liste (Paramètres)",IF(N(O2098)&gt;25,"Au-delà de 25 lignes : non imprimée","OK")))))))))))))</f>
        <v/>
      </c>
      <c r="O2098" s="59" t="str">
        <f>IF(A2098="","",COUNTIF($A$6:A2098,A2098))</f>
        <v/>
      </c>
      <c r="P2098" s="62" t="str">
        <f>IF(A2098="","",A2098&amp;"|"&amp;O2098)</f>
        <v/>
      </c>
    </row>
    <row r="2099">
      <c r="A2099" s="60" t="n"/>
      <c r="B2099" s="63" t="n"/>
      <c r="C2099" s="63" t="n"/>
      <c r="D2099" s="67" t="n"/>
      <c r="E2099" s="68" t="n"/>
      <c r="F2099" s="69" t="n"/>
      <c r="G2099" s="70" t="n"/>
      <c r="H2099" s="62" t="str">
        <f>IF(COUNTA(A2099:G2099)=0,"",IF(C2099&lt;&gt;"",C2099,IF(B2099="","",IFERROR(INDEX(pr_des,MATCH(B2099,pr_code,0))&amp;"",""))))</f>
        <v/>
      </c>
      <c r="I2099" s="59" t="str">
        <f>IF(B2099="","",IFERROR(INDEX(pr_unit,MATCH(B2099,pr_code,0))&amp;"",""))</f>
        <v/>
      </c>
      <c r="J2099" s="65" t="str">
        <f>IF(COUNTA(A2099:G2099)=0,"",IF(E2099&lt;&gt;"",E2099,IF(B2099="","",IFERROR(IF(INDEX(pr_price,MATCH(B2099,pr_code,0))="","",INDEX(pr_price,MATCH(B2099,pr_code,0))),""))))</f>
        <v/>
      </c>
      <c r="K2099" s="71" t="str">
        <f>IF(COUNTA(A2099:G2099)=0,"",IF(G2099&lt;&gt;"",G2099,IF(B2099="","",IFERROR(IF(INDEX(pr_rate,MATCH(B2099,pr_code,0))="","",INDEX(pr_rate,MATCH(B2099,pr_code,0))),""))))</f>
        <v/>
      </c>
      <c r="L2099" s="65" t="str">
        <f>IF(COUNTA(A2099:G2099)=0,"",IF(AND(ISNUMBER(D2099),ISNUMBER(J2099)),ROUND(D2099*J2099*(1-N(F2099)),2),0))</f>
        <v/>
      </c>
      <c r="M2099" s="62" t="str">
        <f>IF(A2099="","",IFERROR(INDEX(dv_cname,MATCH(A2099,dv_num,0))&amp;"",""))</f>
        <v/>
      </c>
      <c r="N2099" s="59" t="str">
        <f>IF(COUNTA(A2099:G2099)=0,"",IF(A2099="","N° devis manquant",IF(ISNA(MATCH(A2099,dv_num,0)),"Devis inconnu",IF(AND(B2099&lt;&gt;"",ISNA(MATCH(B2099,pr_code,0))),"Article inconnu",IF(H2099="","Désignation manquante",IF(OR(NOT(ISNUMBER(D2099)),N(D2099)&lt;=0),"Quantité invalide",IF(J2099="","Prix manquant",IF(OR(NOT(ISNUMBER(J2099)),N(J2099)&lt;0),"Prix invalide",IF(OR(AND(F2099&lt;&gt;"",NOT(ISNUMBER(F2099))),N(F2099)&lt;0,N(F2099)&gt;1),"Remise invalide",IF(K2099="","Taux de TVA manquant",IF(NOT(ISNUMBER(K2099)),"Taux de TVA invalide",IF(COUNTIF(p_rates,K2099)=0,"Taux de TVA hors liste (Paramètres)",IF(N(O2099)&gt;25,"Au-delà de 25 lignes : non imprimée","OK")))))))))))))</f>
        <v/>
      </c>
      <c r="O2099" s="59" t="str">
        <f>IF(A2099="","",COUNTIF($A$6:A2099,A2099))</f>
        <v/>
      </c>
      <c r="P2099" s="62" t="str">
        <f>IF(A2099="","",A2099&amp;"|"&amp;O2099)</f>
        <v/>
      </c>
    </row>
    <row r="2100">
      <c r="A2100" s="60" t="n"/>
      <c r="B2100" s="63" t="n"/>
      <c r="C2100" s="63" t="n"/>
      <c r="D2100" s="67" t="n"/>
      <c r="E2100" s="68" t="n"/>
      <c r="F2100" s="69" t="n"/>
      <c r="G2100" s="70" t="n"/>
      <c r="H2100" s="62" t="str">
        <f>IF(COUNTA(A2100:G2100)=0,"",IF(C2100&lt;&gt;"",C2100,IF(B2100="","",IFERROR(INDEX(pr_des,MATCH(B2100,pr_code,0))&amp;"",""))))</f>
        <v/>
      </c>
      <c r="I2100" s="59" t="str">
        <f>IF(B2100="","",IFERROR(INDEX(pr_unit,MATCH(B2100,pr_code,0))&amp;"",""))</f>
        <v/>
      </c>
      <c r="J2100" s="65" t="str">
        <f>IF(COUNTA(A2100:G2100)=0,"",IF(E2100&lt;&gt;"",E2100,IF(B2100="","",IFERROR(IF(INDEX(pr_price,MATCH(B2100,pr_code,0))="","",INDEX(pr_price,MATCH(B2100,pr_code,0))),""))))</f>
        <v/>
      </c>
      <c r="K2100" s="71" t="str">
        <f>IF(COUNTA(A2100:G2100)=0,"",IF(G2100&lt;&gt;"",G2100,IF(B2100="","",IFERROR(IF(INDEX(pr_rate,MATCH(B2100,pr_code,0))="","",INDEX(pr_rate,MATCH(B2100,pr_code,0))),""))))</f>
        <v/>
      </c>
      <c r="L2100" s="65" t="str">
        <f>IF(COUNTA(A2100:G2100)=0,"",IF(AND(ISNUMBER(D2100),ISNUMBER(J2100)),ROUND(D2100*J2100*(1-N(F2100)),2),0))</f>
        <v/>
      </c>
      <c r="M2100" s="62" t="str">
        <f>IF(A2100="","",IFERROR(INDEX(dv_cname,MATCH(A2100,dv_num,0))&amp;"",""))</f>
        <v/>
      </c>
      <c r="N2100" s="59" t="str">
        <f>IF(COUNTA(A2100:G2100)=0,"",IF(A2100="","N° devis manquant",IF(ISNA(MATCH(A2100,dv_num,0)),"Devis inconnu",IF(AND(B2100&lt;&gt;"",ISNA(MATCH(B2100,pr_code,0))),"Article inconnu",IF(H2100="","Désignation manquante",IF(OR(NOT(ISNUMBER(D2100)),N(D2100)&lt;=0),"Quantité invalide",IF(J2100="","Prix manquant",IF(OR(NOT(ISNUMBER(J2100)),N(J2100)&lt;0),"Prix invalide",IF(OR(AND(F2100&lt;&gt;"",NOT(ISNUMBER(F2100))),N(F2100)&lt;0,N(F2100)&gt;1),"Remise invalide",IF(K2100="","Taux de TVA manquant",IF(NOT(ISNUMBER(K2100)),"Taux de TVA invalide",IF(COUNTIF(p_rates,K2100)=0,"Taux de TVA hors liste (Paramètres)",IF(N(O2100)&gt;25,"Au-delà de 25 lignes : non imprimée","OK")))))))))))))</f>
        <v/>
      </c>
      <c r="O2100" s="59" t="str">
        <f>IF(A2100="","",COUNTIF($A$6:A2100,A2100))</f>
        <v/>
      </c>
      <c r="P2100" s="62" t="str">
        <f>IF(A2100="","",A2100&amp;"|"&amp;O2100)</f>
        <v/>
      </c>
    </row>
    <row r="2101">
      <c r="A2101" s="60" t="n"/>
      <c r="B2101" s="63" t="n"/>
      <c r="C2101" s="63" t="n"/>
      <c r="D2101" s="67" t="n"/>
      <c r="E2101" s="68" t="n"/>
      <c r="F2101" s="69" t="n"/>
      <c r="G2101" s="70" t="n"/>
      <c r="H2101" s="62" t="str">
        <f>IF(COUNTA(A2101:G2101)=0,"",IF(C2101&lt;&gt;"",C2101,IF(B2101="","",IFERROR(INDEX(pr_des,MATCH(B2101,pr_code,0))&amp;"",""))))</f>
        <v/>
      </c>
      <c r="I2101" s="59" t="str">
        <f>IF(B2101="","",IFERROR(INDEX(pr_unit,MATCH(B2101,pr_code,0))&amp;"",""))</f>
        <v/>
      </c>
      <c r="J2101" s="65" t="str">
        <f>IF(COUNTA(A2101:G2101)=0,"",IF(E2101&lt;&gt;"",E2101,IF(B2101="","",IFERROR(IF(INDEX(pr_price,MATCH(B2101,pr_code,0))="","",INDEX(pr_price,MATCH(B2101,pr_code,0))),""))))</f>
        <v/>
      </c>
      <c r="K2101" s="71" t="str">
        <f>IF(COUNTA(A2101:G2101)=0,"",IF(G2101&lt;&gt;"",G2101,IF(B2101="","",IFERROR(IF(INDEX(pr_rate,MATCH(B2101,pr_code,0))="","",INDEX(pr_rate,MATCH(B2101,pr_code,0))),""))))</f>
        <v/>
      </c>
      <c r="L2101" s="65" t="str">
        <f>IF(COUNTA(A2101:G2101)=0,"",IF(AND(ISNUMBER(D2101),ISNUMBER(J2101)),ROUND(D2101*J2101*(1-N(F2101)),2),0))</f>
        <v/>
      </c>
      <c r="M2101" s="62" t="str">
        <f>IF(A2101="","",IFERROR(INDEX(dv_cname,MATCH(A2101,dv_num,0))&amp;"",""))</f>
        <v/>
      </c>
      <c r="N2101" s="59" t="str">
        <f>IF(COUNTA(A2101:G2101)=0,"",IF(A2101="","N° devis manquant",IF(ISNA(MATCH(A2101,dv_num,0)),"Devis inconnu",IF(AND(B2101&lt;&gt;"",ISNA(MATCH(B2101,pr_code,0))),"Article inconnu",IF(H2101="","Désignation manquante",IF(OR(NOT(ISNUMBER(D2101)),N(D2101)&lt;=0),"Quantité invalide",IF(J2101="","Prix manquant",IF(OR(NOT(ISNUMBER(J2101)),N(J2101)&lt;0),"Prix invalide",IF(OR(AND(F2101&lt;&gt;"",NOT(ISNUMBER(F2101))),N(F2101)&lt;0,N(F2101)&gt;1),"Remise invalide",IF(K2101="","Taux de TVA manquant",IF(NOT(ISNUMBER(K2101)),"Taux de TVA invalide",IF(COUNTIF(p_rates,K2101)=0,"Taux de TVA hors liste (Paramètres)",IF(N(O2101)&gt;25,"Au-delà de 25 lignes : non imprimée","OK")))))))))))))</f>
        <v/>
      </c>
      <c r="O2101" s="59" t="str">
        <f>IF(A2101="","",COUNTIF($A$6:A2101,A2101))</f>
        <v/>
      </c>
      <c r="P2101" s="62" t="str">
        <f>IF(A2101="","",A2101&amp;"|"&amp;O2101)</f>
        <v/>
      </c>
    </row>
    <row r="2102">
      <c r="A2102" s="60" t="n"/>
      <c r="B2102" s="63" t="n"/>
      <c r="C2102" s="63" t="n"/>
      <c r="D2102" s="67" t="n"/>
      <c r="E2102" s="68" t="n"/>
      <c r="F2102" s="69" t="n"/>
      <c r="G2102" s="70" t="n"/>
      <c r="H2102" s="62" t="str">
        <f>IF(COUNTA(A2102:G2102)=0,"",IF(C2102&lt;&gt;"",C2102,IF(B2102="","",IFERROR(INDEX(pr_des,MATCH(B2102,pr_code,0))&amp;"",""))))</f>
        <v/>
      </c>
      <c r="I2102" s="59" t="str">
        <f>IF(B2102="","",IFERROR(INDEX(pr_unit,MATCH(B2102,pr_code,0))&amp;"",""))</f>
        <v/>
      </c>
      <c r="J2102" s="65" t="str">
        <f>IF(COUNTA(A2102:G2102)=0,"",IF(E2102&lt;&gt;"",E2102,IF(B2102="","",IFERROR(IF(INDEX(pr_price,MATCH(B2102,pr_code,0))="","",INDEX(pr_price,MATCH(B2102,pr_code,0))),""))))</f>
        <v/>
      </c>
      <c r="K2102" s="71" t="str">
        <f>IF(COUNTA(A2102:G2102)=0,"",IF(G2102&lt;&gt;"",G2102,IF(B2102="","",IFERROR(IF(INDEX(pr_rate,MATCH(B2102,pr_code,0))="","",INDEX(pr_rate,MATCH(B2102,pr_code,0))),""))))</f>
        <v/>
      </c>
      <c r="L2102" s="65" t="str">
        <f>IF(COUNTA(A2102:G2102)=0,"",IF(AND(ISNUMBER(D2102),ISNUMBER(J2102)),ROUND(D2102*J2102*(1-N(F2102)),2),0))</f>
        <v/>
      </c>
      <c r="M2102" s="62" t="str">
        <f>IF(A2102="","",IFERROR(INDEX(dv_cname,MATCH(A2102,dv_num,0))&amp;"",""))</f>
        <v/>
      </c>
      <c r="N2102" s="59" t="str">
        <f>IF(COUNTA(A2102:G2102)=0,"",IF(A2102="","N° devis manquant",IF(ISNA(MATCH(A2102,dv_num,0)),"Devis inconnu",IF(AND(B2102&lt;&gt;"",ISNA(MATCH(B2102,pr_code,0))),"Article inconnu",IF(H2102="","Désignation manquante",IF(OR(NOT(ISNUMBER(D2102)),N(D2102)&lt;=0),"Quantité invalide",IF(J2102="","Prix manquant",IF(OR(NOT(ISNUMBER(J2102)),N(J2102)&lt;0),"Prix invalide",IF(OR(AND(F2102&lt;&gt;"",NOT(ISNUMBER(F2102))),N(F2102)&lt;0,N(F2102)&gt;1),"Remise invalide",IF(K2102="","Taux de TVA manquant",IF(NOT(ISNUMBER(K2102)),"Taux de TVA invalide",IF(COUNTIF(p_rates,K2102)=0,"Taux de TVA hors liste (Paramètres)",IF(N(O2102)&gt;25,"Au-delà de 25 lignes : non imprimée","OK")))))))))))))</f>
        <v/>
      </c>
      <c r="O2102" s="59" t="str">
        <f>IF(A2102="","",COUNTIF($A$6:A2102,A2102))</f>
        <v/>
      </c>
      <c r="P2102" s="62" t="str">
        <f>IF(A2102="","",A2102&amp;"|"&amp;O2102)</f>
        <v/>
      </c>
    </row>
    <row r="2103">
      <c r="A2103" s="60" t="n"/>
      <c r="B2103" s="63" t="n"/>
      <c r="C2103" s="63" t="n"/>
      <c r="D2103" s="67" t="n"/>
      <c r="E2103" s="68" t="n"/>
      <c r="F2103" s="69" t="n"/>
      <c r="G2103" s="70" t="n"/>
      <c r="H2103" s="62" t="str">
        <f>IF(COUNTA(A2103:G2103)=0,"",IF(C2103&lt;&gt;"",C2103,IF(B2103="","",IFERROR(INDEX(pr_des,MATCH(B2103,pr_code,0))&amp;"",""))))</f>
        <v/>
      </c>
      <c r="I2103" s="59" t="str">
        <f>IF(B2103="","",IFERROR(INDEX(pr_unit,MATCH(B2103,pr_code,0))&amp;"",""))</f>
        <v/>
      </c>
      <c r="J2103" s="65" t="str">
        <f>IF(COUNTA(A2103:G2103)=0,"",IF(E2103&lt;&gt;"",E2103,IF(B2103="","",IFERROR(IF(INDEX(pr_price,MATCH(B2103,pr_code,0))="","",INDEX(pr_price,MATCH(B2103,pr_code,0))),""))))</f>
        <v/>
      </c>
      <c r="K2103" s="71" t="str">
        <f>IF(COUNTA(A2103:G2103)=0,"",IF(G2103&lt;&gt;"",G2103,IF(B2103="","",IFERROR(IF(INDEX(pr_rate,MATCH(B2103,pr_code,0))="","",INDEX(pr_rate,MATCH(B2103,pr_code,0))),""))))</f>
        <v/>
      </c>
      <c r="L2103" s="65" t="str">
        <f>IF(COUNTA(A2103:G2103)=0,"",IF(AND(ISNUMBER(D2103),ISNUMBER(J2103)),ROUND(D2103*J2103*(1-N(F2103)),2),0))</f>
        <v/>
      </c>
      <c r="M2103" s="62" t="str">
        <f>IF(A2103="","",IFERROR(INDEX(dv_cname,MATCH(A2103,dv_num,0))&amp;"",""))</f>
        <v/>
      </c>
      <c r="N2103" s="59" t="str">
        <f>IF(COUNTA(A2103:G2103)=0,"",IF(A2103="","N° devis manquant",IF(ISNA(MATCH(A2103,dv_num,0)),"Devis inconnu",IF(AND(B2103&lt;&gt;"",ISNA(MATCH(B2103,pr_code,0))),"Article inconnu",IF(H2103="","Désignation manquante",IF(OR(NOT(ISNUMBER(D2103)),N(D2103)&lt;=0),"Quantité invalide",IF(J2103="","Prix manquant",IF(OR(NOT(ISNUMBER(J2103)),N(J2103)&lt;0),"Prix invalide",IF(OR(AND(F2103&lt;&gt;"",NOT(ISNUMBER(F2103))),N(F2103)&lt;0,N(F2103)&gt;1),"Remise invalide",IF(K2103="","Taux de TVA manquant",IF(NOT(ISNUMBER(K2103)),"Taux de TVA invalide",IF(COUNTIF(p_rates,K2103)=0,"Taux de TVA hors liste (Paramètres)",IF(N(O2103)&gt;25,"Au-delà de 25 lignes : non imprimée","OK")))))))))))))</f>
        <v/>
      </c>
      <c r="O2103" s="59" t="str">
        <f>IF(A2103="","",COUNTIF($A$6:A2103,A2103))</f>
        <v/>
      </c>
      <c r="P2103" s="62" t="str">
        <f>IF(A2103="","",A2103&amp;"|"&amp;O2103)</f>
        <v/>
      </c>
    </row>
    <row r="2104">
      <c r="A2104" s="60" t="n"/>
      <c r="B2104" s="63" t="n"/>
      <c r="C2104" s="63" t="n"/>
      <c r="D2104" s="67" t="n"/>
      <c r="E2104" s="68" t="n"/>
      <c r="F2104" s="69" t="n"/>
      <c r="G2104" s="70" t="n"/>
      <c r="H2104" s="62" t="str">
        <f>IF(COUNTA(A2104:G2104)=0,"",IF(C2104&lt;&gt;"",C2104,IF(B2104="","",IFERROR(INDEX(pr_des,MATCH(B2104,pr_code,0))&amp;"",""))))</f>
        <v/>
      </c>
      <c r="I2104" s="59" t="str">
        <f>IF(B2104="","",IFERROR(INDEX(pr_unit,MATCH(B2104,pr_code,0))&amp;"",""))</f>
        <v/>
      </c>
      <c r="J2104" s="65" t="str">
        <f>IF(COUNTA(A2104:G2104)=0,"",IF(E2104&lt;&gt;"",E2104,IF(B2104="","",IFERROR(IF(INDEX(pr_price,MATCH(B2104,pr_code,0))="","",INDEX(pr_price,MATCH(B2104,pr_code,0))),""))))</f>
        <v/>
      </c>
      <c r="K2104" s="71" t="str">
        <f>IF(COUNTA(A2104:G2104)=0,"",IF(G2104&lt;&gt;"",G2104,IF(B2104="","",IFERROR(IF(INDEX(pr_rate,MATCH(B2104,pr_code,0))="","",INDEX(pr_rate,MATCH(B2104,pr_code,0))),""))))</f>
        <v/>
      </c>
      <c r="L2104" s="65" t="str">
        <f>IF(COUNTA(A2104:G2104)=0,"",IF(AND(ISNUMBER(D2104),ISNUMBER(J2104)),ROUND(D2104*J2104*(1-N(F2104)),2),0))</f>
        <v/>
      </c>
      <c r="M2104" s="62" t="str">
        <f>IF(A2104="","",IFERROR(INDEX(dv_cname,MATCH(A2104,dv_num,0))&amp;"",""))</f>
        <v/>
      </c>
      <c r="N2104" s="59" t="str">
        <f>IF(COUNTA(A2104:G2104)=0,"",IF(A2104="","N° devis manquant",IF(ISNA(MATCH(A2104,dv_num,0)),"Devis inconnu",IF(AND(B2104&lt;&gt;"",ISNA(MATCH(B2104,pr_code,0))),"Article inconnu",IF(H2104="","Désignation manquante",IF(OR(NOT(ISNUMBER(D2104)),N(D2104)&lt;=0),"Quantité invalide",IF(J2104="","Prix manquant",IF(OR(NOT(ISNUMBER(J2104)),N(J2104)&lt;0),"Prix invalide",IF(OR(AND(F2104&lt;&gt;"",NOT(ISNUMBER(F2104))),N(F2104)&lt;0,N(F2104)&gt;1),"Remise invalide",IF(K2104="","Taux de TVA manquant",IF(NOT(ISNUMBER(K2104)),"Taux de TVA invalide",IF(COUNTIF(p_rates,K2104)=0,"Taux de TVA hors liste (Paramètres)",IF(N(O2104)&gt;25,"Au-delà de 25 lignes : non imprimée","OK")))))))))))))</f>
        <v/>
      </c>
      <c r="O2104" s="59" t="str">
        <f>IF(A2104="","",COUNTIF($A$6:A2104,A2104))</f>
        <v/>
      </c>
      <c r="P2104" s="62" t="str">
        <f>IF(A2104="","",A2104&amp;"|"&amp;O2104)</f>
        <v/>
      </c>
    </row>
    <row r="2105">
      <c r="A2105" s="60" t="n"/>
      <c r="B2105" s="63" t="n"/>
      <c r="C2105" s="63" t="n"/>
      <c r="D2105" s="67" t="n"/>
      <c r="E2105" s="68" t="n"/>
      <c r="F2105" s="69" t="n"/>
      <c r="G2105" s="70" t="n"/>
      <c r="H2105" s="62" t="str">
        <f>IF(COUNTA(A2105:G2105)=0,"",IF(C2105&lt;&gt;"",C2105,IF(B2105="","",IFERROR(INDEX(pr_des,MATCH(B2105,pr_code,0))&amp;"",""))))</f>
        <v/>
      </c>
      <c r="I2105" s="59" t="str">
        <f>IF(B2105="","",IFERROR(INDEX(pr_unit,MATCH(B2105,pr_code,0))&amp;"",""))</f>
        <v/>
      </c>
      <c r="J2105" s="65" t="str">
        <f>IF(COUNTA(A2105:G2105)=0,"",IF(E2105&lt;&gt;"",E2105,IF(B2105="","",IFERROR(IF(INDEX(pr_price,MATCH(B2105,pr_code,0))="","",INDEX(pr_price,MATCH(B2105,pr_code,0))),""))))</f>
        <v/>
      </c>
      <c r="K2105" s="71" t="str">
        <f>IF(COUNTA(A2105:G2105)=0,"",IF(G2105&lt;&gt;"",G2105,IF(B2105="","",IFERROR(IF(INDEX(pr_rate,MATCH(B2105,pr_code,0))="","",INDEX(pr_rate,MATCH(B2105,pr_code,0))),""))))</f>
        <v/>
      </c>
      <c r="L2105" s="65" t="str">
        <f>IF(COUNTA(A2105:G2105)=0,"",IF(AND(ISNUMBER(D2105),ISNUMBER(J2105)),ROUND(D2105*J2105*(1-N(F2105)),2),0))</f>
        <v/>
      </c>
      <c r="M2105" s="62" t="str">
        <f>IF(A2105="","",IFERROR(INDEX(dv_cname,MATCH(A2105,dv_num,0))&amp;"",""))</f>
        <v/>
      </c>
      <c r="N2105" s="59" t="str">
        <f>IF(COUNTA(A2105:G2105)=0,"",IF(A2105="","N° devis manquant",IF(ISNA(MATCH(A2105,dv_num,0)),"Devis inconnu",IF(AND(B2105&lt;&gt;"",ISNA(MATCH(B2105,pr_code,0))),"Article inconnu",IF(H2105="","Désignation manquante",IF(OR(NOT(ISNUMBER(D2105)),N(D2105)&lt;=0),"Quantité invalide",IF(J2105="","Prix manquant",IF(OR(NOT(ISNUMBER(J2105)),N(J2105)&lt;0),"Prix invalide",IF(OR(AND(F2105&lt;&gt;"",NOT(ISNUMBER(F2105))),N(F2105)&lt;0,N(F2105)&gt;1),"Remise invalide",IF(K2105="","Taux de TVA manquant",IF(NOT(ISNUMBER(K2105)),"Taux de TVA invalide",IF(COUNTIF(p_rates,K2105)=0,"Taux de TVA hors liste (Paramètres)",IF(N(O2105)&gt;25,"Au-delà de 25 lignes : non imprimée","OK")))))))))))))</f>
        <v/>
      </c>
      <c r="O2105" s="59" t="str">
        <f>IF(A2105="","",COUNTIF($A$6:A2105,A2105))</f>
        <v/>
      </c>
      <c r="P2105" s="62" t="str">
        <f>IF(A2105="","",A2105&amp;"|"&amp;O2105)</f>
        <v/>
      </c>
    </row>
    <row r="2106">
      <c r="A2106" s="60" t="n"/>
      <c r="B2106" s="63" t="n"/>
      <c r="C2106" s="63" t="n"/>
      <c r="D2106" s="67" t="n"/>
      <c r="E2106" s="68" t="n"/>
      <c r="F2106" s="69" t="n"/>
      <c r="G2106" s="70" t="n"/>
      <c r="H2106" s="62" t="str">
        <f>IF(COUNTA(A2106:G2106)=0,"",IF(C2106&lt;&gt;"",C2106,IF(B2106="","",IFERROR(INDEX(pr_des,MATCH(B2106,pr_code,0))&amp;"",""))))</f>
        <v/>
      </c>
      <c r="I2106" s="59" t="str">
        <f>IF(B2106="","",IFERROR(INDEX(pr_unit,MATCH(B2106,pr_code,0))&amp;"",""))</f>
        <v/>
      </c>
      <c r="J2106" s="65" t="str">
        <f>IF(COUNTA(A2106:G2106)=0,"",IF(E2106&lt;&gt;"",E2106,IF(B2106="","",IFERROR(IF(INDEX(pr_price,MATCH(B2106,pr_code,0))="","",INDEX(pr_price,MATCH(B2106,pr_code,0))),""))))</f>
        <v/>
      </c>
      <c r="K2106" s="71" t="str">
        <f>IF(COUNTA(A2106:G2106)=0,"",IF(G2106&lt;&gt;"",G2106,IF(B2106="","",IFERROR(IF(INDEX(pr_rate,MATCH(B2106,pr_code,0))="","",INDEX(pr_rate,MATCH(B2106,pr_code,0))),""))))</f>
        <v/>
      </c>
      <c r="L2106" s="65" t="str">
        <f>IF(COUNTA(A2106:G2106)=0,"",IF(AND(ISNUMBER(D2106),ISNUMBER(J2106)),ROUND(D2106*J2106*(1-N(F2106)),2),0))</f>
        <v/>
      </c>
      <c r="M2106" s="62" t="str">
        <f>IF(A2106="","",IFERROR(INDEX(dv_cname,MATCH(A2106,dv_num,0))&amp;"",""))</f>
        <v/>
      </c>
      <c r="N2106" s="59" t="str">
        <f>IF(COUNTA(A2106:G2106)=0,"",IF(A2106="","N° devis manquant",IF(ISNA(MATCH(A2106,dv_num,0)),"Devis inconnu",IF(AND(B2106&lt;&gt;"",ISNA(MATCH(B2106,pr_code,0))),"Article inconnu",IF(H2106="","Désignation manquante",IF(OR(NOT(ISNUMBER(D2106)),N(D2106)&lt;=0),"Quantité invalide",IF(J2106="","Prix manquant",IF(OR(NOT(ISNUMBER(J2106)),N(J2106)&lt;0),"Prix invalide",IF(OR(AND(F2106&lt;&gt;"",NOT(ISNUMBER(F2106))),N(F2106)&lt;0,N(F2106)&gt;1),"Remise invalide",IF(K2106="","Taux de TVA manquant",IF(NOT(ISNUMBER(K2106)),"Taux de TVA invalide",IF(COUNTIF(p_rates,K2106)=0,"Taux de TVA hors liste (Paramètres)",IF(N(O2106)&gt;25,"Au-delà de 25 lignes : non imprimée","OK")))))))))))))</f>
        <v/>
      </c>
      <c r="O2106" s="59" t="str">
        <f>IF(A2106="","",COUNTIF($A$6:A2106,A2106))</f>
        <v/>
      </c>
      <c r="P2106" s="62" t="str">
        <f>IF(A2106="","",A2106&amp;"|"&amp;O2106)</f>
        <v/>
      </c>
    </row>
    <row r="2107">
      <c r="A2107" s="60" t="n"/>
      <c r="B2107" s="63" t="n"/>
      <c r="C2107" s="63" t="n"/>
      <c r="D2107" s="67" t="n"/>
      <c r="E2107" s="68" t="n"/>
      <c r="F2107" s="69" t="n"/>
      <c r="G2107" s="70" t="n"/>
      <c r="H2107" s="62" t="str">
        <f>IF(COUNTA(A2107:G2107)=0,"",IF(C2107&lt;&gt;"",C2107,IF(B2107="","",IFERROR(INDEX(pr_des,MATCH(B2107,pr_code,0))&amp;"",""))))</f>
        <v/>
      </c>
      <c r="I2107" s="59" t="str">
        <f>IF(B2107="","",IFERROR(INDEX(pr_unit,MATCH(B2107,pr_code,0))&amp;"",""))</f>
        <v/>
      </c>
      <c r="J2107" s="65" t="str">
        <f>IF(COUNTA(A2107:G2107)=0,"",IF(E2107&lt;&gt;"",E2107,IF(B2107="","",IFERROR(IF(INDEX(pr_price,MATCH(B2107,pr_code,0))="","",INDEX(pr_price,MATCH(B2107,pr_code,0))),""))))</f>
        <v/>
      </c>
      <c r="K2107" s="71" t="str">
        <f>IF(COUNTA(A2107:G2107)=0,"",IF(G2107&lt;&gt;"",G2107,IF(B2107="","",IFERROR(IF(INDEX(pr_rate,MATCH(B2107,pr_code,0))="","",INDEX(pr_rate,MATCH(B2107,pr_code,0))),""))))</f>
        <v/>
      </c>
      <c r="L2107" s="65" t="str">
        <f>IF(COUNTA(A2107:G2107)=0,"",IF(AND(ISNUMBER(D2107),ISNUMBER(J2107)),ROUND(D2107*J2107*(1-N(F2107)),2),0))</f>
        <v/>
      </c>
      <c r="M2107" s="62" t="str">
        <f>IF(A2107="","",IFERROR(INDEX(dv_cname,MATCH(A2107,dv_num,0))&amp;"",""))</f>
        <v/>
      </c>
      <c r="N2107" s="59" t="str">
        <f>IF(COUNTA(A2107:G2107)=0,"",IF(A2107="","N° devis manquant",IF(ISNA(MATCH(A2107,dv_num,0)),"Devis inconnu",IF(AND(B2107&lt;&gt;"",ISNA(MATCH(B2107,pr_code,0))),"Article inconnu",IF(H2107="","Désignation manquante",IF(OR(NOT(ISNUMBER(D2107)),N(D2107)&lt;=0),"Quantité invalide",IF(J2107="","Prix manquant",IF(OR(NOT(ISNUMBER(J2107)),N(J2107)&lt;0),"Prix invalide",IF(OR(AND(F2107&lt;&gt;"",NOT(ISNUMBER(F2107))),N(F2107)&lt;0,N(F2107)&gt;1),"Remise invalide",IF(K2107="","Taux de TVA manquant",IF(NOT(ISNUMBER(K2107)),"Taux de TVA invalide",IF(COUNTIF(p_rates,K2107)=0,"Taux de TVA hors liste (Paramètres)",IF(N(O2107)&gt;25,"Au-delà de 25 lignes : non imprimée","OK")))))))))))))</f>
        <v/>
      </c>
      <c r="O2107" s="59" t="str">
        <f>IF(A2107="","",COUNTIF($A$6:A2107,A2107))</f>
        <v/>
      </c>
      <c r="P2107" s="62" t="str">
        <f>IF(A2107="","",A2107&amp;"|"&amp;O2107)</f>
        <v/>
      </c>
    </row>
    <row r="2108">
      <c r="A2108" s="60" t="n"/>
      <c r="B2108" s="63" t="n"/>
      <c r="C2108" s="63" t="n"/>
      <c r="D2108" s="67" t="n"/>
      <c r="E2108" s="68" t="n"/>
      <c r="F2108" s="69" t="n"/>
      <c r="G2108" s="70" t="n"/>
      <c r="H2108" s="62" t="str">
        <f>IF(COUNTA(A2108:G2108)=0,"",IF(C2108&lt;&gt;"",C2108,IF(B2108="","",IFERROR(INDEX(pr_des,MATCH(B2108,pr_code,0))&amp;"",""))))</f>
        <v/>
      </c>
      <c r="I2108" s="59" t="str">
        <f>IF(B2108="","",IFERROR(INDEX(pr_unit,MATCH(B2108,pr_code,0))&amp;"",""))</f>
        <v/>
      </c>
      <c r="J2108" s="65" t="str">
        <f>IF(COUNTA(A2108:G2108)=0,"",IF(E2108&lt;&gt;"",E2108,IF(B2108="","",IFERROR(IF(INDEX(pr_price,MATCH(B2108,pr_code,0))="","",INDEX(pr_price,MATCH(B2108,pr_code,0))),""))))</f>
        <v/>
      </c>
      <c r="K2108" s="71" t="str">
        <f>IF(COUNTA(A2108:G2108)=0,"",IF(G2108&lt;&gt;"",G2108,IF(B2108="","",IFERROR(IF(INDEX(pr_rate,MATCH(B2108,pr_code,0))="","",INDEX(pr_rate,MATCH(B2108,pr_code,0))),""))))</f>
        <v/>
      </c>
      <c r="L2108" s="65" t="str">
        <f>IF(COUNTA(A2108:G2108)=0,"",IF(AND(ISNUMBER(D2108),ISNUMBER(J2108)),ROUND(D2108*J2108*(1-N(F2108)),2),0))</f>
        <v/>
      </c>
      <c r="M2108" s="62" t="str">
        <f>IF(A2108="","",IFERROR(INDEX(dv_cname,MATCH(A2108,dv_num,0))&amp;"",""))</f>
        <v/>
      </c>
      <c r="N2108" s="59" t="str">
        <f>IF(COUNTA(A2108:G2108)=0,"",IF(A2108="","N° devis manquant",IF(ISNA(MATCH(A2108,dv_num,0)),"Devis inconnu",IF(AND(B2108&lt;&gt;"",ISNA(MATCH(B2108,pr_code,0))),"Article inconnu",IF(H2108="","Désignation manquante",IF(OR(NOT(ISNUMBER(D2108)),N(D2108)&lt;=0),"Quantité invalide",IF(J2108="","Prix manquant",IF(OR(NOT(ISNUMBER(J2108)),N(J2108)&lt;0),"Prix invalide",IF(OR(AND(F2108&lt;&gt;"",NOT(ISNUMBER(F2108))),N(F2108)&lt;0,N(F2108)&gt;1),"Remise invalide",IF(K2108="","Taux de TVA manquant",IF(NOT(ISNUMBER(K2108)),"Taux de TVA invalide",IF(COUNTIF(p_rates,K2108)=0,"Taux de TVA hors liste (Paramètres)",IF(N(O2108)&gt;25,"Au-delà de 25 lignes : non imprimée","OK")))))))))))))</f>
        <v/>
      </c>
      <c r="O2108" s="59" t="str">
        <f>IF(A2108="","",COUNTIF($A$6:A2108,A2108))</f>
        <v/>
      </c>
      <c r="P2108" s="62" t="str">
        <f>IF(A2108="","",A2108&amp;"|"&amp;O2108)</f>
        <v/>
      </c>
    </row>
    <row r="2109">
      <c r="A2109" s="60" t="n"/>
      <c r="B2109" s="63" t="n"/>
      <c r="C2109" s="63" t="n"/>
      <c r="D2109" s="67" t="n"/>
      <c r="E2109" s="68" t="n"/>
      <c r="F2109" s="69" t="n"/>
      <c r="G2109" s="70" t="n"/>
      <c r="H2109" s="62" t="str">
        <f>IF(COUNTA(A2109:G2109)=0,"",IF(C2109&lt;&gt;"",C2109,IF(B2109="","",IFERROR(INDEX(pr_des,MATCH(B2109,pr_code,0))&amp;"",""))))</f>
        <v/>
      </c>
      <c r="I2109" s="59" t="str">
        <f>IF(B2109="","",IFERROR(INDEX(pr_unit,MATCH(B2109,pr_code,0))&amp;"",""))</f>
        <v/>
      </c>
      <c r="J2109" s="65" t="str">
        <f>IF(COUNTA(A2109:G2109)=0,"",IF(E2109&lt;&gt;"",E2109,IF(B2109="","",IFERROR(IF(INDEX(pr_price,MATCH(B2109,pr_code,0))="","",INDEX(pr_price,MATCH(B2109,pr_code,0))),""))))</f>
        <v/>
      </c>
      <c r="K2109" s="71" t="str">
        <f>IF(COUNTA(A2109:G2109)=0,"",IF(G2109&lt;&gt;"",G2109,IF(B2109="","",IFERROR(IF(INDEX(pr_rate,MATCH(B2109,pr_code,0))="","",INDEX(pr_rate,MATCH(B2109,pr_code,0))),""))))</f>
        <v/>
      </c>
      <c r="L2109" s="65" t="str">
        <f>IF(COUNTA(A2109:G2109)=0,"",IF(AND(ISNUMBER(D2109),ISNUMBER(J2109)),ROUND(D2109*J2109*(1-N(F2109)),2),0))</f>
        <v/>
      </c>
      <c r="M2109" s="62" t="str">
        <f>IF(A2109="","",IFERROR(INDEX(dv_cname,MATCH(A2109,dv_num,0))&amp;"",""))</f>
        <v/>
      </c>
      <c r="N2109" s="59" t="str">
        <f>IF(COUNTA(A2109:G2109)=0,"",IF(A2109="","N° devis manquant",IF(ISNA(MATCH(A2109,dv_num,0)),"Devis inconnu",IF(AND(B2109&lt;&gt;"",ISNA(MATCH(B2109,pr_code,0))),"Article inconnu",IF(H2109="","Désignation manquante",IF(OR(NOT(ISNUMBER(D2109)),N(D2109)&lt;=0),"Quantité invalide",IF(J2109="","Prix manquant",IF(OR(NOT(ISNUMBER(J2109)),N(J2109)&lt;0),"Prix invalide",IF(OR(AND(F2109&lt;&gt;"",NOT(ISNUMBER(F2109))),N(F2109)&lt;0,N(F2109)&gt;1),"Remise invalide",IF(K2109="","Taux de TVA manquant",IF(NOT(ISNUMBER(K2109)),"Taux de TVA invalide",IF(COUNTIF(p_rates,K2109)=0,"Taux de TVA hors liste (Paramètres)",IF(N(O2109)&gt;25,"Au-delà de 25 lignes : non imprimée","OK")))))))))))))</f>
        <v/>
      </c>
      <c r="O2109" s="59" t="str">
        <f>IF(A2109="","",COUNTIF($A$6:A2109,A2109))</f>
        <v/>
      </c>
      <c r="P2109" s="62" t="str">
        <f>IF(A2109="","",A2109&amp;"|"&amp;O2109)</f>
        <v/>
      </c>
    </row>
    <row r="2110">
      <c r="A2110" s="60" t="n"/>
      <c r="B2110" s="63" t="n"/>
      <c r="C2110" s="63" t="n"/>
      <c r="D2110" s="67" t="n"/>
      <c r="E2110" s="68" t="n"/>
      <c r="F2110" s="69" t="n"/>
      <c r="G2110" s="70" t="n"/>
      <c r="H2110" s="62" t="str">
        <f>IF(COUNTA(A2110:G2110)=0,"",IF(C2110&lt;&gt;"",C2110,IF(B2110="","",IFERROR(INDEX(pr_des,MATCH(B2110,pr_code,0))&amp;"",""))))</f>
        <v/>
      </c>
      <c r="I2110" s="59" t="str">
        <f>IF(B2110="","",IFERROR(INDEX(pr_unit,MATCH(B2110,pr_code,0))&amp;"",""))</f>
        <v/>
      </c>
      <c r="J2110" s="65" t="str">
        <f>IF(COUNTA(A2110:G2110)=0,"",IF(E2110&lt;&gt;"",E2110,IF(B2110="","",IFERROR(IF(INDEX(pr_price,MATCH(B2110,pr_code,0))="","",INDEX(pr_price,MATCH(B2110,pr_code,0))),""))))</f>
        <v/>
      </c>
      <c r="K2110" s="71" t="str">
        <f>IF(COUNTA(A2110:G2110)=0,"",IF(G2110&lt;&gt;"",G2110,IF(B2110="","",IFERROR(IF(INDEX(pr_rate,MATCH(B2110,pr_code,0))="","",INDEX(pr_rate,MATCH(B2110,pr_code,0))),""))))</f>
        <v/>
      </c>
      <c r="L2110" s="65" t="str">
        <f>IF(COUNTA(A2110:G2110)=0,"",IF(AND(ISNUMBER(D2110),ISNUMBER(J2110)),ROUND(D2110*J2110*(1-N(F2110)),2),0))</f>
        <v/>
      </c>
      <c r="M2110" s="62" t="str">
        <f>IF(A2110="","",IFERROR(INDEX(dv_cname,MATCH(A2110,dv_num,0))&amp;"",""))</f>
        <v/>
      </c>
      <c r="N2110" s="59" t="str">
        <f>IF(COUNTA(A2110:G2110)=0,"",IF(A2110="","N° devis manquant",IF(ISNA(MATCH(A2110,dv_num,0)),"Devis inconnu",IF(AND(B2110&lt;&gt;"",ISNA(MATCH(B2110,pr_code,0))),"Article inconnu",IF(H2110="","Désignation manquante",IF(OR(NOT(ISNUMBER(D2110)),N(D2110)&lt;=0),"Quantité invalide",IF(J2110="","Prix manquant",IF(OR(NOT(ISNUMBER(J2110)),N(J2110)&lt;0),"Prix invalide",IF(OR(AND(F2110&lt;&gt;"",NOT(ISNUMBER(F2110))),N(F2110)&lt;0,N(F2110)&gt;1),"Remise invalide",IF(K2110="","Taux de TVA manquant",IF(NOT(ISNUMBER(K2110)),"Taux de TVA invalide",IF(COUNTIF(p_rates,K2110)=0,"Taux de TVA hors liste (Paramètres)",IF(N(O2110)&gt;25,"Au-delà de 25 lignes : non imprimée","OK")))))))))))))</f>
        <v/>
      </c>
      <c r="O2110" s="59" t="str">
        <f>IF(A2110="","",COUNTIF($A$6:A2110,A2110))</f>
        <v/>
      </c>
      <c r="P2110" s="62" t="str">
        <f>IF(A2110="","",A2110&amp;"|"&amp;O2110)</f>
        <v/>
      </c>
    </row>
    <row r="2111">
      <c r="A2111" s="60" t="n"/>
      <c r="B2111" s="63" t="n"/>
      <c r="C2111" s="63" t="n"/>
      <c r="D2111" s="67" t="n"/>
      <c r="E2111" s="68" t="n"/>
      <c r="F2111" s="69" t="n"/>
      <c r="G2111" s="70" t="n"/>
      <c r="H2111" s="62" t="str">
        <f>IF(COUNTA(A2111:G2111)=0,"",IF(C2111&lt;&gt;"",C2111,IF(B2111="","",IFERROR(INDEX(pr_des,MATCH(B2111,pr_code,0))&amp;"",""))))</f>
        <v/>
      </c>
      <c r="I2111" s="59" t="str">
        <f>IF(B2111="","",IFERROR(INDEX(pr_unit,MATCH(B2111,pr_code,0))&amp;"",""))</f>
        <v/>
      </c>
      <c r="J2111" s="65" t="str">
        <f>IF(COUNTA(A2111:G2111)=0,"",IF(E2111&lt;&gt;"",E2111,IF(B2111="","",IFERROR(IF(INDEX(pr_price,MATCH(B2111,pr_code,0))="","",INDEX(pr_price,MATCH(B2111,pr_code,0))),""))))</f>
        <v/>
      </c>
      <c r="K2111" s="71" t="str">
        <f>IF(COUNTA(A2111:G2111)=0,"",IF(G2111&lt;&gt;"",G2111,IF(B2111="","",IFERROR(IF(INDEX(pr_rate,MATCH(B2111,pr_code,0))="","",INDEX(pr_rate,MATCH(B2111,pr_code,0))),""))))</f>
        <v/>
      </c>
      <c r="L2111" s="65" t="str">
        <f>IF(COUNTA(A2111:G2111)=0,"",IF(AND(ISNUMBER(D2111),ISNUMBER(J2111)),ROUND(D2111*J2111*(1-N(F2111)),2),0))</f>
        <v/>
      </c>
      <c r="M2111" s="62" t="str">
        <f>IF(A2111="","",IFERROR(INDEX(dv_cname,MATCH(A2111,dv_num,0))&amp;"",""))</f>
        <v/>
      </c>
      <c r="N2111" s="59" t="str">
        <f>IF(COUNTA(A2111:G2111)=0,"",IF(A2111="","N° devis manquant",IF(ISNA(MATCH(A2111,dv_num,0)),"Devis inconnu",IF(AND(B2111&lt;&gt;"",ISNA(MATCH(B2111,pr_code,0))),"Article inconnu",IF(H2111="","Désignation manquante",IF(OR(NOT(ISNUMBER(D2111)),N(D2111)&lt;=0),"Quantité invalide",IF(J2111="","Prix manquant",IF(OR(NOT(ISNUMBER(J2111)),N(J2111)&lt;0),"Prix invalide",IF(OR(AND(F2111&lt;&gt;"",NOT(ISNUMBER(F2111))),N(F2111)&lt;0,N(F2111)&gt;1),"Remise invalide",IF(K2111="","Taux de TVA manquant",IF(NOT(ISNUMBER(K2111)),"Taux de TVA invalide",IF(COUNTIF(p_rates,K2111)=0,"Taux de TVA hors liste (Paramètres)",IF(N(O2111)&gt;25,"Au-delà de 25 lignes : non imprimée","OK")))))))))))))</f>
        <v/>
      </c>
      <c r="O2111" s="59" t="str">
        <f>IF(A2111="","",COUNTIF($A$6:A2111,A2111))</f>
        <v/>
      </c>
      <c r="P2111" s="62" t="str">
        <f>IF(A2111="","",A2111&amp;"|"&amp;O2111)</f>
        <v/>
      </c>
    </row>
    <row r="2112">
      <c r="A2112" s="60" t="n"/>
      <c r="B2112" s="63" t="n"/>
      <c r="C2112" s="63" t="n"/>
      <c r="D2112" s="67" t="n"/>
      <c r="E2112" s="68" t="n"/>
      <c r="F2112" s="69" t="n"/>
      <c r="G2112" s="70" t="n"/>
      <c r="H2112" s="62" t="str">
        <f>IF(COUNTA(A2112:G2112)=0,"",IF(C2112&lt;&gt;"",C2112,IF(B2112="","",IFERROR(INDEX(pr_des,MATCH(B2112,pr_code,0))&amp;"",""))))</f>
        <v/>
      </c>
      <c r="I2112" s="59" t="str">
        <f>IF(B2112="","",IFERROR(INDEX(pr_unit,MATCH(B2112,pr_code,0))&amp;"",""))</f>
        <v/>
      </c>
      <c r="J2112" s="65" t="str">
        <f>IF(COUNTA(A2112:G2112)=0,"",IF(E2112&lt;&gt;"",E2112,IF(B2112="","",IFERROR(IF(INDEX(pr_price,MATCH(B2112,pr_code,0))="","",INDEX(pr_price,MATCH(B2112,pr_code,0))),""))))</f>
        <v/>
      </c>
      <c r="K2112" s="71" t="str">
        <f>IF(COUNTA(A2112:G2112)=0,"",IF(G2112&lt;&gt;"",G2112,IF(B2112="","",IFERROR(IF(INDEX(pr_rate,MATCH(B2112,pr_code,0))="","",INDEX(pr_rate,MATCH(B2112,pr_code,0))),""))))</f>
        <v/>
      </c>
      <c r="L2112" s="65" t="str">
        <f>IF(COUNTA(A2112:G2112)=0,"",IF(AND(ISNUMBER(D2112),ISNUMBER(J2112)),ROUND(D2112*J2112*(1-N(F2112)),2),0))</f>
        <v/>
      </c>
      <c r="M2112" s="62" t="str">
        <f>IF(A2112="","",IFERROR(INDEX(dv_cname,MATCH(A2112,dv_num,0))&amp;"",""))</f>
        <v/>
      </c>
      <c r="N2112" s="59" t="str">
        <f>IF(COUNTA(A2112:G2112)=0,"",IF(A2112="","N° devis manquant",IF(ISNA(MATCH(A2112,dv_num,0)),"Devis inconnu",IF(AND(B2112&lt;&gt;"",ISNA(MATCH(B2112,pr_code,0))),"Article inconnu",IF(H2112="","Désignation manquante",IF(OR(NOT(ISNUMBER(D2112)),N(D2112)&lt;=0),"Quantité invalide",IF(J2112="","Prix manquant",IF(OR(NOT(ISNUMBER(J2112)),N(J2112)&lt;0),"Prix invalide",IF(OR(AND(F2112&lt;&gt;"",NOT(ISNUMBER(F2112))),N(F2112)&lt;0,N(F2112)&gt;1),"Remise invalide",IF(K2112="","Taux de TVA manquant",IF(NOT(ISNUMBER(K2112)),"Taux de TVA invalide",IF(COUNTIF(p_rates,K2112)=0,"Taux de TVA hors liste (Paramètres)",IF(N(O2112)&gt;25,"Au-delà de 25 lignes : non imprimée","OK")))))))))))))</f>
        <v/>
      </c>
      <c r="O2112" s="59" t="str">
        <f>IF(A2112="","",COUNTIF($A$6:A2112,A2112))</f>
        <v/>
      </c>
      <c r="P2112" s="62" t="str">
        <f>IF(A2112="","",A2112&amp;"|"&amp;O2112)</f>
        <v/>
      </c>
    </row>
    <row r="2113">
      <c r="A2113" s="60" t="n"/>
      <c r="B2113" s="63" t="n"/>
      <c r="C2113" s="63" t="n"/>
      <c r="D2113" s="67" t="n"/>
      <c r="E2113" s="68" t="n"/>
      <c r="F2113" s="69" t="n"/>
      <c r="G2113" s="70" t="n"/>
      <c r="H2113" s="62" t="str">
        <f>IF(COUNTA(A2113:G2113)=0,"",IF(C2113&lt;&gt;"",C2113,IF(B2113="","",IFERROR(INDEX(pr_des,MATCH(B2113,pr_code,0))&amp;"",""))))</f>
        <v/>
      </c>
      <c r="I2113" s="59" t="str">
        <f>IF(B2113="","",IFERROR(INDEX(pr_unit,MATCH(B2113,pr_code,0))&amp;"",""))</f>
        <v/>
      </c>
      <c r="J2113" s="65" t="str">
        <f>IF(COUNTA(A2113:G2113)=0,"",IF(E2113&lt;&gt;"",E2113,IF(B2113="","",IFERROR(IF(INDEX(pr_price,MATCH(B2113,pr_code,0))="","",INDEX(pr_price,MATCH(B2113,pr_code,0))),""))))</f>
        <v/>
      </c>
      <c r="K2113" s="71" t="str">
        <f>IF(COUNTA(A2113:G2113)=0,"",IF(G2113&lt;&gt;"",G2113,IF(B2113="","",IFERROR(IF(INDEX(pr_rate,MATCH(B2113,pr_code,0))="","",INDEX(pr_rate,MATCH(B2113,pr_code,0))),""))))</f>
        <v/>
      </c>
      <c r="L2113" s="65" t="str">
        <f>IF(COUNTA(A2113:G2113)=0,"",IF(AND(ISNUMBER(D2113),ISNUMBER(J2113)),ROUND(D2113*J2113*(1-N(F2113)),2),0))</f>
        <v/>
      </c>
      <c r="M2113" s="62" t="str">
        <f>IF(A2113="","",IFERROR(INDEX(dv_cname,MATCH(A2113,dv_num,0))&amp;"",""))</f>
        <v/>
      </c>
      <c r="N2113" s="59" t="str">
        <f>IF(COUNTA(A2113:G2113)=0,"",IF(A2113="","N° devis manquant",IF(ISNA(MATCH(A2113,dv_num,0)),"Devis inconnu",IF(AND(B2113&lt;&gt;"",ISNA(MATCH(B2113,pr_code,0))),"Article inconnu",IF(H2113="","Désignation manquante",IF(OR(NOT(ISNUMBER(D2113)),N(D2113)&lt;=0),"Quantité invalide",IF(J2113="","Prix manquant",IF(OR(NOT(ISNUMBER(J2113)),N(J2113)&lt;0),"Prix invalide",IF(OR(AND(F2113&lt;&gt;"",NOT(ISNUMBER(F2113))),N(F2113)&lt;0,N(F2113)&gt;1),"Remise invalide",IF(K2113="","Taux de TVA manquant",IF(NOT(ISNUMBER(K2113)),"Taux de TVA invalide",IF(COUNTIF(p_rates,K2113)=0,"Taux de TVA hors liste (Paramètres)",IF(N(O2113)&gt;25,"Au-delà de 25 lignes : non imprimée","OK")))))))))))))</f>
        <v/>
      </c>
      <c r="O2113" s="59" t="str">
        <f>IF(A2113="","",COUNTIF($A$6:A2113,A2113))</f>
        <v/>
      </c>
      <c r="P2113" s="62" t="str">
        <f>IF(A2113="","",A2113&amp;"|"&amp;O2113)</f>
        <v/>
      </c>
    </row>
    <row r="2114">
      <c r="A2114" s="60" t="n"/>
      <c r="B2114" s="63" t="n"/>
      <c r="C2114" s="63" t="n"/>
      <c r="D2114" s="67" t="n"/>
      <c r="E2114" s="68" t="n"/>
      <c r="F2114" s="69" t="n"/>
      <c r="G2114" s="70" t="n"/>
      <c r="H2114" s="62" t="str">
        <f>IF(COUNTA(A2114:G2114)=0,"",IF(C2114&lt;&gt;"",C2114,IF(B2114="","",IFERROR(INDEX(pr_des,MATCH(B2114,pr_code,0))&amp;"",""))))</f>
        <v/>
      </c>
      <c r="I2114" s="59" t="str">
        <f>IF(B2114="","",IFERROR(INDEX(pr_unit,MATCH(B2114,pr_code,0))&amp;"",""))</f>
        <v/>
      </c>
      <c r="J2114" s="65" t="str">
        <f>IF(COUNTA(A2114:G2114)=0,"",IF(E2114&lt;&gt;"",E2114,IF(B2114="","",IFERROR(IF(INDEX(pr_price,MATCH(B2114,pr_code,0))="","",INDEX(pr_price,MATCH(B2114,pr_code,0))),""))))</f>
        <v/>
      </c>
      <c r="K2114" s="71" t="str">
        <f>IF(COUNTA(A2114:G2114)=0,"",IF(G2114&lt;&gt;"",G2114,IF(B2114="","",IFERROR(IF(INDEX(pr_rate,MATCH(B2114,pr_code,0))="","",INDEX(pr_rate,MATCH(B2114,pr_code,0))),""))))</f>
        <v/>
      </c>
      <c r="L2114" s="65" t="str">
        <f>IF(COUNTA(A2114:G2114)=0,"",IF(AND(ISNUMBER(D2114),ISNUMBER(J2114)),ROUND(D2114*J2114*(1-N(F2114)),2),0))</f>
        <v/>
      </c>
      <c r="M2114" s="62" t="str">
        <f>IF(A2114="","",IFERROR(INDEX(dv_cname,MATCH(A2114,dv_num,0))&amp;"",""))</f>
        <v/>
      </c>
      <c r="N2114" s="59" t="str">
        <f>IF(COUNTA(A2114:G2114)=0,"",IF(A2114="","N° devis manquant",IF(ISNA(MATCH(A2114,dv_num,0)),"Devis inconnu",IF(AND(B2114&lt;&gt;"",ISNA(MATCH(B2114,pr_code,0))),"Article inconnu",IF(H2114="","Désignation manquante",IF(OR(NOT(ISNUMBER(D2114)),N(D2114)&lt;=0),"Quantité invalide",IF(J2114="","Prix manquant",IF(OR(NOT(ISNUMBER(J2114)),N(J2114)&lt;0),"Prix invalide",IF(OR(AND(F2114&lt;&gt;"",NOT(ISNUMBER(F2114))),N(F2114)&lt;0,N(F2114)&gt;1),"Remise invalide",IF(K2114="","Taux de TVA manquant",IF(NOT(ISNUMBER(K2114)),"Taux de TVA invalide",IF(COUNTIF(p_rates,K2114)=0,"Taux de TVA hors liste (Paramètres)",IF(N(O2114)&gt;25,"Au-delà de 25 lignes : non imprimée","OK")))))))))))))</f>
        <v/>
      </c>
      <c r="O2114" s="59" t="str">
        <f>IF(A2114="","",COUNTIF($A$6:A2114,A2114))</f>
        <v/>
      </c>
      <c r="P2114" s="62" t="str">
        <f>IF(A2114="","",A2114&amp;"|"&amp;O2114)</f>
        <v/>
      </c>
    </row>
    <row r="2115">
      <c r="A2115" s="60" t="n"/>
      <c r="B2115" s="63" t="n"/>
      <c r="C2115" s="63" t="n"/>
      <c r="D2115" s="67" t="n"/>
      <c r="E2115" s="68" t="n"/>
      <c r="F2115" s="69" t="n"/>
      <c r="G2115" s="70" t="n"/>
      <c r="H2115" s="62" t="str">
        <f>IF(COUNTA(A2115:G2115)=0,"",IF(C2115&lt;&gt;"",C2115,IF(B2115="","",IFERROR(INDEX(pr_des,MATCH(B2115,pr_code,0))&amp;"",""))))</f>
        <v/>
      </c>
      <c r="I2115" s="59" t="str">
        <f>IF(B2115="","",IFERROR(INDEX(pr_unit,MATCH(B2115,pr_code,0))&amp;"",""))</f>
        <v/>
      </c>
      <c r="J2115" s="65" t="str">
        <f>IF(COUNTA(A2115:G2115)=0,"",IF(E2115&lt;&gt;"",E2115,IF(B2115="","",IFERROR(IF(INDEX(pr_price,MATCH(B2115,pr_code,0))="","",INDEX(pr_price,MATCH(B2115,pr_code,0))),""))))</f>
        <v/>
      </c>
      <c r="K2115" s="71" t="str">
        <f>IF(COUNTA(A2115:G2115)=0,"",IF(G2115&lt;&gt;"",G2115,IF(B2115="","",IFERROR(IF(INDEX(pr_rate,MATCH(B2115,pr_code,0))="","",INDEX(pr_rate,MATCH(B2115,pr_code,0))),""))))</f>
        <v/>
      </c>
      <c r="L2115" s="65" t="str">
        <f>IF(COUNTA(A2115:G2115)=0,"",IF(AND(ISNUMBER(D2115),ISNUMBER(J2115)),ROUND(D2115*J2115*(1-N(F2115)),2),0))</f>
        <v/>
      </c>
      <c r="M2115" s="62" t="str">
        <f>IF(A2115="","",IFERROR(INDEX(dv_cname,MATCH(A2115,dv_num,0))&amp;"",""))</f>
        <v/>
      </c>
      <c r="N2115" s="59" t="str">
        <f>IF(COUNTA(A2115:G2115)=0,"",IF(A2115="","N° devis manquant",IF(ISNA(MATCH(A2115,dv_num,0)),"Devis inconnu",IF(AND(B2115&lt;&gt;"",ISNA(MATCH(B2115,pr_code,0))),"Article inconnu",IF(H2115="","Désignation manquante",IF(OR(NOT(ISNUMBER(D2115)),N(D2115)&lt;=0),"Quantité invalide",IF(J2115="","Prix manquant",IF(OR(NOT(ISNUMBER(J2115)),N(J2115)&lt;0),"Prix invalide",IF(OR(AND(F2115&lt;&gt;"",NOT(ISNUMBER(F2115))),N(F2115)&lt;0,N(F2115)&gt;1),"Remise invalide",IF(K2115="","Taux de TVA manquant",IF(NOT(ISNUMBER(K2115)),"Taux de TVA invalide",IF(COUNTIF(p_rates,K2115)=0,"Taux de TVA hors liste (Paramètres)",IF(N(O2115)&gt;25,"Au-delà de 25 lignes : non imprimée","OK")))))))))))))</f>
        <v/>
      </c>
      <c r="O2115" s="59" t="str">
        <f>IF(A2115="","",COUNTIF($A$6:A2115,A2115))</f>
        <v/>
      </c>
      <c r="P2115" s="62" t="str">
        <f>IF(A2115="","",A2115&amp;"|"&amp;O2115)</f>
        <v/>
      </c>
    </row>
    <row r="2116">
      <c r="A2116" s="60" t="n"/>
      <c r="B2116" s="63" t="n"/>
      <c r="C2116" s="63" t="n"/>
      <c r="D2116" s="67" t="n"/>
      <c r="E2116" s="68" t="n"/>
      <c r="F2116" s="69" t="n"/>
      <c r="G2116" s="70" t="n"/>
      <c r="H2116" s="62" t="str">
        <f>IF(COUNTA(A2116:G2116)=0,"",IF(C2116&lt;&gt;"",C2116,IF(B2116="","",IFERROR(INDEX(pr_des,MATCH(B2116,pr_code,0))&amp;"",""))))</f>
        <v/>
      </c>
      <c r="I2116" s="59" t="str">
        <f>IF(B2116="","",IFERROR(INDEX(pr_unit,MATCH(B2116,pr_code,0))&amp;"",""))</f>
        <v/>
      </c>
      <c r="J2116" s="65" t="str">
        <f>IF(COUNTA(A2116:G2116)=0,"",IF(E2116&lt;&gt;"",E2116,IF(B2116="","",IFERROR(IF(INDEX(pr_price,MATCH(B2116,pr_code,0))="","",INDEX(pr_price,MATCH(B2116,pr_code,0))),""))))</f>
        <v/>
      </c>
      <c r="K2116" s="71" t="str">
        <f>IF(COUNTA(A2116:G2116)=0,"",IF(G2116&lt;&gt;"",G2116,IF(B2116="","",IFERROR(IF(INDEX(pr_rate,MATCH(B2116,pr_code,0))="","",INDEX(pr_rate,MATCH(B2116,pr_code,0))),""))))</f>
        <v/>
      </c>
      <c r="L2116" s="65" t="str">
        <f>IF(COUNTA(A2116:G2116)=0,"",IF(AND(ISNUMBER(D2116),ISNUMBER(J2116)),ROUND(D2116*J2116*(1-N(F2116)),2),0))</f>
        <v/>
      </c>
      <c r="M2116" s="62" t="str">
        <f>IF(A2116="","",IFERROR(INDEX(dv_cname,MATCH(A2116,dv_num,0))&amp;"",""))</f>
        <v/>
      </c>
      <c r="N2116" s="59" t="str">
        <f>IF(COUNTA(A2116:G2116)=0,"",IF(A2116="","N° devis manquant",IF(ISNA(MATCH(A2116,dv_num,0)),"Devis inconnu",IF(AND(B2116&lt;&gt;"",ISNA(MATCH(B2116,pr_code,0))),"Article inconnu",IF(H2116="","Désignation manquante",IF(OR(NOT(ISNUMBER(D2116)),N(D2116)&lt;=0),"Quantité invalide",IF(J2116="","Prix manquant",IF(OR(NOT(ISNUMBER(J2116)),N(J2116)&lt;0),"Prix invalide",IF(OR(AND(F2116&lt;&gt;"",NOT(ISNUMBER(F2116))),N(F2116)&lt;0,N(F2116)&gt;1),"Remise invalide",IF(K2116="","Taux de TVA manquant",IF(NOT(ISNUMBER(K2116)),"Taux de TVA invalide",IF(COUNTIF(p_rates,K2116)=0,"Taux de TVA hors liste (Paramètres)",IF(N(O2116)&gt;25,"Au-delà de 25 lignes : non imprimée","OK")))))))))))))</f>
        <v/>
      </c>
      <c r="O2116" s="59" t="str">
        <f>IF(A2116="","",COUNTIF($A$6:A2116,A2116))</f>
        <v/>
      </c>
      <c r="P2116" s="62" t="str">
        <f>IF(A2116="","",A2116&amp;"|"&amp;O2116)</f>
        <v/>
      </c>
    </row>
    <row r="2117">
      <c r="A2117" s="60" t="n"/>
      <c r="B2117" s="63" t="n"/>
      <c r="C2117" s="63" t="n"/>
      <c r="D2117" s="67" t="n"/>
      <c r="E2117" s="68" t="n"/>
      <c r="F2117" s="69" t="n"/>
      <c r="G2117" s="70" t="n"/>
      <c r="H2117" s="62" t="str">
        <f>IF(COUNTA(A2117:G2117)=0,"",IF(C2117&lt;&gt;"",C2117,IF(B2117="","",IFERROR(INDEX(pr_des,MATCH(B2117,pr_code,0))&amp;"",""))))</f>
        <v/>
      </c>
      <c r="I2117" s="59" t="str">
        <f>IF(B2117="","",IFERROR(INDEX(pr_unit,MATCH(B2117,pr_code,0))&amp;"",""))</f>
        <v/>
      </c>
      <c r="J2117" s="65" t="str">
        <f>IF(COUNTA(A2117:G2117)=0,"",IF(E2117&lt;&gt;"",E2117,IF(B2117="","",IFERROR(IF(INDEX(pr_price,MATCH(B2117,pr_code,0))="","",INDEX(pr_price,MATCH(B2117,pr_code,0))),""))))</f>
        <v/>
      </c>
      <c r="K2117" s="71" t="str">
        <f>IF(COUNTA(A2117:G2117)=0,"",IF(G2117&lt;&gt;"",G2117,IF(B2117="","",IFERROR(IF(INDEX(pr_rate,MATCH(B2117,pr_code,0))="","",INDEX(pr_rate,MATCH(B2117,pr_code,0))),""))))</f>
        <v/>
      </c>
      <c r="L2117" s="65" t="str">
        <f>IF(COUNTA(A2117:G2117)=0,"",IF(AND(ISNUMBER(D2117),ISNUMBER(J2117)),ROUND(D2117*J2117*(1-N(F2117)),2),0))</f>
        <v/>
      </c>
      <c r="M2117" s="62" t="str">
        <f>IF(A2117="","",IFERROR(INDEX(dv_cname,MATCH(A2117,dv_num,0))&amp;"",""))</f>
        <v/>
      </c>
      <c r="N2117" s="59" t="str">
        <f>IF(COUNTA(A2117:G2117)=0,"",IF(A2117="","N° devis manquant",IF(ISNA(MATCH(A2117,dv_num,0)),"Devis inconnu",IF(AND(B2117&lt;&gt;"",ISNA(MATCH(B2117,pr_code,0))),"Article inconnu",IF(H2117="","Désignation manquante",IF(OR(NOT(ISNUMBER(D2117)),N(D2117)&lt;=0),"Quantité invalide",IF(J2117="","Prix manquant",IF(OR(NOT(ISNUMBER(J2117)),N(J2117)&lt;0),"Prix invalide",IF(OR(AND(F2117&lt;&gt;"",NOT(ISNUMBER(F2117))),N(F2117)&lt;0,N(F2117)&gt;1),"Remise invalide",IF(K2117="","Taux de TVA manquant",IF(NOT(ISNUMBER(K2117)),"Taux de TVA invalide",IF(COUNTIF(p_rates,K2117)=0,"Taux de TVA hors liste (Paramètres)",IF(N(O2117)&gt;25,"Au-delà de 25 lignes : non imprimée","OK")))))))))))))</f>
        <v/>
      </c>
      <c r="O2117" s="59" t="str">
        <f>IF(A2117="","",COUNTIF($A$6:A2117,A2117))</f>
        <v/>
      </c>
      <c r="P2117" s="62" t="str">
        <f>IF(A2117="","",A2117&amp;"|"&amp;O2117)</f>
        <v/>
      </c>
    </row>
    <row r="2118">
      <c r="A2118" s="60" t="n"/>
      <c r="B2118" s="63" t="n"/>
      <c r="C2118" s="63" t="n"/>
      <c r="D2118" s="67" t="n"/>
      <c r="E2118" s="68" t="n"/>
      <c r="F2118" s="69" t="n"/>
      <c r="G2118" s="70" t="n"/>
      <c r="H2118" s="62" t="str">
        <f>IF(COUNTA(A2118:G2118)=0,"",IF(C2118&lt;&gt;"",C2118,IF(B2118="","",IFERROR(INDEX(pr_des,MATCH(B2118,pr_code,0))&amp;"",""))))</f>
        <v/>
      </c>
      <c r="I2118" s="59" t="str">
        <f>IF(B2118="","",IFERROR(INDEX(pr_unit,MATCH(B2118,pr_code,0))&amp;"",""))</f>
        <v/>
      </c>
      <c r="J2118" s="65" t="str">
        <f>IF(COUNTA(A2118:G2118)=0,"",IF(E2118&lt;&gt;"",E2118,IF(B2118="","",IFERROR(IF(INDEX(pr_price,MATCH(B2118,pr_code,0))="","",INDEX(pr_price,MATCH(B2118,pr_code,0))),""))))</f>
        <v/>
      </c>
      <c r="K2118" s="71" t="str">
        <f>IF(COUNTA(A2118:G2118)=0,"",IF(G2118&lt;&gt;"",G2118,IF(B2118="","",IFERROR(IF(INDEX(pr_rate,MATCH(B2118,pr_code,0))="","",INDEX(pr_rate,MATCH(B2118,pr_code,0))),""))))</f>
        <v/>
      </c>
      <c r="L2118" s="65" t="str">
        <f>IF(COUNTA(A2118:G2118)=0,"",IF(AND(ISNUMBER(D2118),ISNUMBER(J2118)),ROUND(D2118*J2118*(1-N(F2118)),2),0))</f>
        <v/>
      </c>
      <c r="M2118" s="62" t="str">
        <f>IF(A2118="","",IFERROR(INDEX(dv_cname,MATCH(A2118,dv_num,0))&amp;"",""))</f>
        <v/>
      </c>
      <c r="N2118" s="59" t="str">
        <f>IF(COUNTA(A2118:G2118)=0,"",IF(A2118="","N° devis manquant",IF(ISNA(MATCH(A2118,dv_num,0)),"Devis inconnu",IF(AND(B2118&lt;&gt;"",ISNA(MATCH(B2118,pr_code,0))),"Article inconnu",IF(H2118="","Désignation manquante",IF(OR(NOT(ISNUMBER(D2118)),N(D2118)&lt;=0),"Quantité invalide",IF(J2118="","Prix manquant",IF(OR(NOT(ISNUMBER(J2118)),N(J2118)&lt;0),"Prix invalide",IF(OR(AND(F2118&lt;&gt;"",NOT(ISNUMBER(F2118))),N(F2118)&lt;0,N(F2118)&gt;1),"Remise invalide",IF(K2118="","Taux de TVA manquant",IF(NOT(ISNUMBER(K2118)),"Taux de TVA invalide",IF(COUNTIF(p_rates,K2118)=0,"Taux de TVA hors liste (Paramètres)",IF(N(O2118)&gt;25,"Au-delà de 25 lignes : non imprimée","OK")))))))))))))</f>
        <v/>
      </c>
      <c r="O2118" s="59" t="str">
        <f>IF(A2118="","",COUNTIF($A$6:A2118,A2118))</f>
        <v/>
      </c>
      <c r="P2118" s="62" t="str">
        <f>IF(A2118="","",A2118&amp;"|"&amp;O2118)</f>
        <v/>
      </c>
    </row>
    <row r="2119">
      <c r="A2119" s="60" t="n"/>
      <c r="B2119" s="63" t="n"/>
      <c r="C2119" s="63" t="n"/>
      <c r="D2119" s="67" t="n"/>
      <c r="E2119" s="68" t="n"/>
      <c r="F2119" s="69" t="n"/>
      <c r="G2119" s="70" t="n"/>
      <c r="H2119" s="62" t="str">
        <f>IF(COUNTA(A2119:G2119)=0,"",IF(C2119&lt;&gt;"",C2119,IF(B2119="","",IFERROR(INDEX(pr_des,MATCH(B2119,pr_code,0))&amp;"",""))))</f>
        <v/>
      </c>
      <c r="I2119" s="59" t="str">
        <f>IF(B2119="","",IFERROR(INDEX(pr_unit,MATCH(B2119,pr_code,0))&amp;"",""))</f>
        <v/>
      </c>
      <c r="J2119" s="65" t="str">
        <f>IF(COUNTA(A2119:G2119)=0,"",IF(E2119&lt;&gt;"",E2119,IF(B2119="","",IFERROR(IF(INDEX(pr_price,MATCH(B2119,pr_code,0))="","",INDEX(pr_price,MATCH(B2119,pr_code,0))),""))))</f>
        <v/>
      </c>
      <c r="K2119" s="71" t="str">
        <f>IF(COUNTA(A2119:G2119)=0,"",IF(G2119&lt;&gt;"",G2119,IF(B2119="","",IFERROR(IF(INDEX(pr_rate,MATCH(B2119,pr_code,0))="","",INDEX(pr_rate,MATCH(B2119,pr_code,0))),""))))</f>
        <v/>
      </c>
      <c r="L2119" s="65" t="str">
        <f>IF(COUNTA(A2119:G2119)=0,"",IF(AND(ISNUMBER(D2119),ISNUMBER(J2119)),ROUND(D2119*J2119*(1-N(F2119)),2),0))</f>
        <v/>
      </c>
      <c r="M2119" s="62" t="str">
        <f>IF(A2119="","",IFERROR(INDEX(dv_cname,MATCH(A2119,dv_num,0))&amp;"",""))</f>
        <v/>
      </c>
      <c r="N2119" s="59" t="str">
        <f>IF(COUNTA(A2119:G2119)=0,"",IF(A2119="","N° devis manquant",IF(ISNA(MATCH(A2119,dv_num,0)),"Devis inconnu",IF(AND(B2119&lt;&gt;"",ISNA(MATCH(B2119,pr_code,0))),"Article inconnu",IF(H2119="","Désignation manquante",IF(OR(NOT(ISNUMBER(D2119)),N(D2119)&lt;=0),"Quantité invalide",IF(J2119="","Prix manquant",IF(OR(NOT(ISNUMBER(J2119)),N(J2119)&lt;0),"Prix invalide",IF(OR(AND(F2119&lt;&gt;"",NOT(ISNUMBER(F2119))),N(F2119)&lt;0,N(F2119)&gt;1),"Remise invalide",IF(K2119="","Taux de TVA manquant",IF(NOT(ISNUMBER(K2119)),"Taux de TVA invalide",IF(COUNTIF(p_rates,K2119)=0,"Taux de TVA hors liste (Paramètres)",IF(N(O2119)&gt;25,"Au-delà de 25 lignes : non imprimée","OK")))))))))))))</f>
        <v/>
      </c>
      <c r="O2119" s="59" t="str">
        <f>IF(A2119="","",COUNTIF($A$6:A2119,A2119))</f>
        <v/>
      </c>
      <c r="P2119" s="62" t="str">
        <f>IF(A2119="","",A2119&amp;"|"&amp;O2119)</f>
        <v/>
      </c>
    </row>
    <row r="2120">
      <c r="A2120" s="60" t="n"/>
      <c r="B2120" s="63" t="n"/>
      <c r="C2120" s="63" t="n"/>
      <c r="D2120" s="67" t="n"/>
      <c r="E2120" s="68" t="n"/>
      <c r="F2120" s="69" t="n"/>
      <c r="G2120" s="70" t="n"/>
      <c r="H2120" s="62" t="str">
        <f>IF(COUNTA(A2120:G2120)=0,"",IF(C2120&lt;&gt;"",C2120,IF(B2120="","",IFERROR(INDEX(pr_des,MATCH(B2120,pr_code,0))&amp;"",""))))</f>
        <v/>
      </c>
      <c r="I2120" s="59" t="str">
        <f>IF(B2120="","",IFERROR(INDEX(pr_unit,MATCH(B2120,pr_code,0))&amp;"",""))</f>
        <v/>
      </c>
      <c r="J2120" s="65" t="str">
        <f>IF(COUNTA(A2120:G2120)=0,"",IF(E2120&lt;&gt;"",E2120,IF(B2120="","",IFERROR(IF(INDEX(pr_price,MATCH(B2120,pr_code,0))="","",INDEX(pr_price,MATCH(B2120,pr_code,0))),""))))</f>
        <v/>
      </c>
      <c r="K2120" s="71" t="str">
        <f>IF(COUNTA(A2120:G2120)=0,"",IF(G2120&lt;&gt;"",G2120,IF(B2120="","",IFERROR(IF(INDEX(pr_rate,MATCH(B2120,pr_code,0))="","",INDEX(pr_rate,MATCH(B2120,pr_code,0))),""))))</f>
        <v/>
      </c>
      <c r="L2120" s="65" t="str">
        <f>IF(COUNTA(A2120:G2120)=0,"",IF(AND(ISNUMBER(D2120),ISNUMBER(J2120)),ROUND(D2120*J2120*(1-N(F2120)),2),0))</f>
        <v/>
      </c>
      <c r="M2120" s="62" t="str">
        <f>IF(A2120="","",IFERROR(INDEX(dv_cname,MATCH(A2120,dv_num,0))&amp;"",""))</f>
        <v/>
      </c>
      <c r="N2120" s="59" t="str">
        <f>IF(COUNTA(A2120:G2120)=0,"",IF(A2120="","N° devis manquant",IF(ISNA(MATCH(A2120,dv_num,0)),"Devis inconnu",IF(AND(B2120&lt;&gt;"",ISNA(MATCH(B2120,pr_code,0))),"Article inconnu",IF(H2120="","Désignation manquante",IF(OR(NOT(ISNUMBER(D2120)),N(D2120)&lt;=0),"Quantité invalide",IF(J2120="","Prix manquant",IF(OR(NOT(ISNUMBER(J2120)),N(J2120)&lt;0),"Prix invalide",IF(OR(AND(F2120&lt;&gt;"",NOT(ISNUMBER(F2120))),N(F2120)&lt;0,N(F2120)&gt;1),"Remise invalide",IF(K2120="","Taux de TVA manquant",IF(NOT(ISNUMBER(K2120)),"Taux de TVA invalide",IF(COUNTIF(p_rates,K2120)=0,"Taux de TVA hors liste (Paramètres)",IF(N(O2120)&gt;25,"Au-delà de 25 lignes : non imprimée","OK")))))))))))))</f>
        <v/>
      </c>
      <c r="O2120" s="59" t="str">
        <f>IF(A2120="","",COUNTIF($A$6:A2120,A2120))</f>
        <v/>
      </c>
      <c r="P2120" s="62" t="str">
        <f>IF(A2120="","",A2120&amp;"|"&amp;O2120)</f>
        <v/>
      </c>
    </row>
    <row r="2121">
      <c r="A2121" s="60" t="n"/>
      <c r="B2121" s="63" t="n"/>
      <c r="C2121" s="63" t="n"/>
      <c r="D2121" s="67" t="n"/>
      <c r="E2121" s="68" t="n"/>
      <c r="F2121" s="69" t="n"/>
      <c r="G2121" s="70" t="n"/>
      <c r="H2121" s="62" t="str">
        <f>IF(COUNTA(A2121:G2121)=0,"",IF(C2121&lt;&gt;"",C2121,IF(B2121="","",IFERROR(INDEX(pr_des,MATCH(B2121,pr_code,0))&amp;"",""))))</f>
        <v/>
      </c>
      <c r="I2121" s="59" t="str">
        <f>IF(B2121="","",IFERROR(INDEX(pr_unit,MATCH(B2121,pr_code,0))&amp;"",""))</f>
        <v/>
      </c>
      <c r="J2121" s="65" t="str">
        <f>IF(COUNTA(A2121:G2121)=0,"",IF(E2121&lt;&gt;"",E2121,IF(B2121="","",IFERROR(IF(INDEX(pr_price,MATCH(B2121,pr_code,0))="","",INDEX(pr_price,MATCH(B2121,pr_code,0))),""))))</f>
        <v/>
      </c>
      <c r="K2121" s="71" t="str">
        <f>IF(COUNTA(A2121:G2121)=0,"",IF(G2121&lt;&gt;"",G2121,IF(B2121="","",IFERROR(IF(INDEX(pr_rate,MATCH(B2121,pr_code,0))="","",INDEX(pr_rate,MATCH(B2121,pr_code,0))),""))))</f>
        <v/>
      </c>
      <c r="L2121" s="65" t="str">
        <f>IF(COUNTA(A2121:G2121)=0,"",IF(AND(ISNUMBER(D2121),ISNUMBER(J2121)),ROUND(D2121*J2121*(1-N(F2121)),2),0))</f>
        <v/>
      </c>
      <c r="M2121" s="62" t="str">
        <f>IF(A2121="","",IFERROR(INDEX(dv_cname,MATCH(A2121,dv_num,0))&amp;"",""))</f>
        <v/>
      </c>
      <c r="N2121" s="59" t="str">
        <f>IF(COUNTA(A2121:G2121)=0,"",IF(A2121="","N° devis manquant",IF(ISNA(MATCH(A2121,dv_num,0)),"Devis inconnu",IF(AND(B2121&lt;&gt;"",ISNA(MATCH(B2121,pr_code,0))),"Article inconnu",IF(H2121="","Désignation manquante",IF(OR(NOT(ISNUMBER(D2121)),N(D2121)&lt;=0),"Quantité invalide",IF(J2121="","Prix manquant",IF(OR(NOT(ISNUMBER(J2121)),N(J2121)&lt;0),"Prix invalide",IF(OR(AND(F2121&lt;&gt;"",NOT(ISNUMBER(F2121))),N(F2121)&lt;0,N(F2121)&gt;1),"Remise invalide",IF(K2121="","Taux de TVA manquant",IF(NOT(ISNUMBER(K2121)),"Taux de TVA invalide",IF(COUNTIF(p_rates,K2121)=0,"Taux de TVA hors liste (Paramètres)",IF(N(O2121)&gt;25,"Au-delà de 25 lignes : non imprimée","OK")))))))))))))</f>
        <v/>
      </c>
      <c r="O2121" s="59" t="str">
        <f>IF(A2121="","",COUNTIF($A$6:A2121,A2121))</f>
        <v/>
      </c>
      <c r="P2121" s="62" t="str">
        <f>IF(A2121="","",A2121&amp;"|"&amp;O2121)</f>
        <v/>
      </c>
    </row>
    <row r="2122">
      <c r="A2122" s="60" t="n"/>
      <c r="B2122" s="63" t="n"/>
      <c r="C2122" s="63" t="n"/>
      <c r="D2122" s="67" t="n"/>
      <c r="E2122" s="68" t="n"/>
      <c r="F2122" s="69" t="n"/>
      <c r="G2122" s="70" t="n"/>
      <c r="H2122" s="62" t="str">
        <f>IF(COUNTA(A2122:G2122)=0,"",IF(C2122&lt;&gt;"",C2122,IF(B2122="","",IFERROR(INDEX(pr_des,MATCH(B2122,pr_code,0))&amp;"",""))))</f>
        <v/>
      </c>
      <c r="I2122" s="59" t="str">
        <f>IF(B2122="","",IFERROR(INDEX(pr_unit,MATCH(B2122,pr_code,0))&amp;"",""))</f>
        <v/>
      </c>
      <c r="J2122" s="65" t="str">
        <f>IF(COUNTA(A2122:G2122)=0,"",IF(E2122&lt;&gt;"",E2122,IF(B2122="","",IFERROR(IF(INDEX(pr_price,MATCH(B2122,pr_code,0))="","",INDEX(pr_price,MATCH(B2122,pr_code,0))),""))))</f>
        <v/>
      </c>
      <c r="K2122" s="71" t="str">
        <f>IF(COUNTA(A2122:G2122)=0,"",IF(G2122&lt;&gt;"",G2122,IF(B2122="","",IFERROR(IF(INDEX(pr_rate,MATCH(B2122,pr_code,0))="","",INDEX(pr_rate,MATCH(B2122,pr_code,0))),""))))</f>
        <v/>
      </c>
      <c r="L2122" s="65" t="str">
        <f>IF(COUNTA(A2122:G2122)=0,"",IF(AND(ISNUMBER(D2122),ISNUMBER(J2122)),ROUND(D2122*J2122*(1-N(F2122)),2),0))</f>
        <v/>
      </c>
      <c r="M2122" s="62" t="str">
        <f>IF(A2122="","",IFERROR(INDEX(dv_cname,MATCH(A2122,dv_num,0))&amp;"",""))</f>
        <v/>
      </c>
      <c r="N2122" s="59" t="str">
        <f>IF(COUNTA(A2122:G2122)=0,"",IF(A2122="","N° devis manquant",IF(ISNA(MATCH(A2122,dv_num,0)),"Devis inconnu",IF(AND(B2122&lt;&gt;"",ISNA(MATCH(B2122,pr_code,0))),"Article inconnu",IF(H2122="","Désignation manquante",IF(OR(NOT(ISNUMBER(D2122)),N(D2122)&lt;=0),"Quantité invalide",IF(J2122="","Prix manquant",IF(OR(NOT(ISNUMBER(J2122)),N(J2122)&lt;0),"Prix invalide",IF(OR(AND(F2122&lt;&gt;"",NOT(ISNUMBER(F2122))),N(F2122)&lt;0,N(F2122)&gt;1),"Remise invalide",IF(K2122="","Taux de TVA manquant",IF(NOT(ISNUMBER(K2122)),"Taux de TVA invalide",IF(COUNTIF(p_rates,K2122)=0,"Taux de TVA hors liste (Paramètres)",IF(N(O2122)&gt;25,"Au-delà de 25 lignes : non imprimée","OK")))))))))))))</f>
        <v/>
      </c>
      <c r="O2122" s="59" t="str">
        <f>IF(A2122="","",COUNTIF($A$6:A2122,A2122))</f>
        <v/>
      </c>
      <c r="P2122" s="62" t="str">
        <f>IF(A2122="","",A2122&amp;"|"&amp;O2122)</f>
        <v/>
      </c>
    </row>
    <row r="2123">
      <c r="A2123" s="60" t="n"/>
      <c r="B2123" s="63" t="n"/>
      <c r="C2123" s="63" t="n"/>
      <c r="D2123" s="67" t="n"/>
      <c r="E2123" s="68" t="n"/>
      <c r="F2123" s="69" t="n"/>
      <c r="G2123" s="70" t="n"/>
      <c r="H2123" s="62" t="str">
        <f>IF(COUNTA(A2123:G2123)=0,"",IF(C2123&lt;&gt;"",C2123,IF(B2123="","",IFERROR(INDEX(pr_des,MATCH(B2123,pr_code,0))&amp;"",""))))</f>
        <v/>
      </c>
      <c r="I2123" s="59" t="str">
        <f>IF(B2123="","",IFERROR(INDEX(pr_unit,MATCH(B2123,pr_code,0))&amp;"",""))</f>
        <v/>
      </c>
      <c r="J2123" s="65" t="str">
        <f>IF(COUNTA(A2123:G2123)=0,"",IF(E2123&lt;&gt;"",E2123,IF(B2123="","",IFERROR(IF(INDEX(pr_price,MATCH(B2123,pr_code,0))="","",INDEX(pr_price,MATCH(B2123,pr_code,0))),""))))</f>
        <v/>
      </c>
      <c r="K2123" s="71" t="str">
        <f>IF(COUNTA(A2123:G2123)=0,"",IF(G2123&lt;&gt;"",G2123,IF(B2123="","",IFERROR(IF(INDEX(pr_rate,MATCH(B2123,pr_code,0))="","",INDEX(pr_rate,MATCH(B2123,pr_code,0))),""))))</f>
        <v/>
      </c>
      <c r="L2123" s="65" t="str">
        <f>IF(COUNTA(A2123:G2123)=0,"",IF(AND(ISNUMBER(D2123),ISNUMBER(J2123)),ROUND(D2123*J2123*(1-N(F2123)),2),0))</f>
        <v/>
      </c>
      <c r="M2123" s="62" t="str">
        <f>IF(A2123="","",IFERROR(INDEX(dv_cname,MATCH(A2123,dv_num,0))&amp;"",""))</f>
        <v/>
      </c>
      <c r="N2123" s="59" t="str">
        <f>IF(COUNTA(A2123:G2123)=0,"",IF(A2123="","N° devis manquant",IF(ISNA(MATCH(A2123,dv_num,0)),"Devis inconnu",IF(AND(B2123&lt;&gt;"",ISNA(MATCH(B2123,pr_code,0))),"Article inconnu",IF(H2123="","Désignation manquante",IF(OR(NOT(ISNUMBER(D2123)),N(D2123)&lt;=0),"Quantité invalide",IF(J2123="","Prix manquant",IF(OR(NOT(ISNUMBER(J2123)),N(J2123)&lt;0),"Prix invalide",IF(OR(AND(F2123&lt;&gt;"",NOT(ISNUMBER(F2123))),N(F2123)&lt;0,N(F2123)&gt;1),"Remise invalide",IF(K2123="","Taux de TVA manquant",IF(NOT(ISNUMBER(K2123)),"Taux de TVA invalide",IF(COUNTIF(p_rates,K2123)=0,"Taux de TVA hors liste (Paramètres)",IF(N(O2123)&gt;25,"Au-delà de 25 lignes : non imprimée","OK")))))))))))))</f>
        <v/>
      </c>
      <c r="O2123" s="59" t="str">
        <f>IF(A2123="","",COUNTIF($A$6:A2123,A2123))</f>
        <v/>
      </c>
      <c r="P2123" s="62" t="str">
        <f>IF(A2123="","",A2123&amp;"|"&amp;O2123)</f>
        <v/>
      </c>
    </row>
    <row r="2124">
      <c r="A2124" s="60" t="n"/>
      <c r="B2124" s="63" t="n"/>
      <c r="C2124" s="63" t="n"/>
      <c r="D2124" s="67" t="n"/>
      <c r="E2124" s="68" t="n"/>
      <c r="F2124" s="69" t="n"/>
      <c r="G2124" s="70" t="n"/>
      <c r="H2124" s="62" t="str">
        <f>IF(COUNTA(A2124:G2124)=0,"",IF(C2124&lt;&gt;"",C2124,IF(B2124="","",IFERROR(INDEX(pr_des,MATCH(B2124,pr_code,0))&amp;"",""))))</f>
        <v/>
      </c>
      <c r="I2124" s="59" t="str">
        <f>IF(B2124="","",IFERROR(INDEX(pr_unit,MATCH(B2124,pr_code,0))&amp;"",""))</f>
        <v/>
      </c>
      <c r="J2124" s="65" t="str">
        <f>IF(COUNTA(A2124:G2124)=0,"",IF(E2124&lt;&gt;"",E2124,IF(B2124="","",IFERROR(IF(INDEX(pr_price,MATCH(B2124,pr_code,0))="","",INDEX(pr_price,MATCH(B2124,pr_code,0))),""))))</f>
        <v/>
      </c>
      <c r="K2124" s="71" t="str">
        <f>IF(COUNTA(A2124:G2124)=0,"",IF(G2124&lt;&gt;"",G2124,IF(B2124="","",IFERROR(IF(INDEX(pr_rate,MATCH(B2124,pr_code,0))="","",INDEX(pr_rate,MATCH(B2124,pr_code,0))),""))))</f>
        <v/>
      </c>
      <c r="L2124" s="65" t="str">
        <f>IF(COUNTA(A2124:G2124)=0,"",IF(AND(ISNUMBER(D2124),ISNUMBER(J2124)),ROUND(D2124*J2124*(1-N(F2124)),2),0))</f>
        <v/>
      </c>
      <c r="M2124" s="62" t="str">
        <f>IF(A2124="","",IFERROR(INDEX(dv_cname,MATCH(A2124,dv_num,0))&amp;"",""))</f>
        <v/>
      </c>
      <c r="N2124" s="59" t="str">
        <f>IF(COUNTA(A2124:G2124)=0,"",IF(A2124="","N° devis manquant",IF(ISNA(MATCH(A2124,dv_num,0)),"Devis inconnu",IF(AND(B2124&lt;&gt;"",ISNA(MATCH(B2124,pr_code,0))),"Article inconnu",IF(H2124="","Désignation manquante",IF(OR(NOT(ISNUMBER(D2124)),N(D2124)&lt;=0),"Quantité invalide",IF(J2124="","Prix manquant",IF(OR(NOT(ISNUMBER(J2124)),N(J2124)&lt;0),"Prix invalide",IF(OR(AND(F2124&lt;&gt;"",NOT(ISNUMBER(F2124))),N(F2124)&lt;0,N(F2124)&gt;1),"Remise invalide",IF(K2124="","Taux de TVA manquant",IF(NOT(ISNUMBER(K2124)),"Taux de TVA invalide",IF(COUNTIF(p_rates,K2124)=0,"Taux de TVA hors liste (Paramètres)",IF(N(O2124)&gt;25,"Au-delà de 25 lignes : non imprimée","OK")))))))))))))</f>
        <v/>
      </c>
      <c r="O2124" s="59" t="str">
        <f>IF(A2124="","",COUNTIF($A$6:A2124,A2124))</f>
        <v/>
      </c>
      <c r="P2124" s="62" t="str">
        <f>IF(A2124="","",A2124&amp;"|"&amp;O2124)</f>
        <v/>
      </c>
    </row>
    <row r="2125">
      <c r="A2125" s="60" t="n"/>
      <c r="B2125" s="63" t="n"/>
      <c r="C2125" s="63" t="n"/>
      <c r="D2125" s="67" t="n"/>
      <c r="E2125" s="68" t="n"/>
      <c r="F2125" s="69" t="n"/>
      <c r="G2125" s="70" t="n"/>
      <c r="H2125" s="62" t="str">
        <f>IF(COUNTA(A2125:G2125)=0,"",IF(C2125&lt;&gt;"",C2125,IF(B2125="","",IFERROR(INDEX(pr_des,MATCH(B2125,pr_code,0))&amp;"",""))))</f>
        <v/>
      </c>
      <c r="I2125" s="59" t="str">
        <f>IF(B2125="","",IFERROR(INDEX(pr_unit,MATCH(B2125,pr_code,0))&amp;"",""))</f>
        <v/>
      </c>
      <c r="J2125" s="65" t="str">
        <f>IF(COUNTA(A2125:G2125)=0,"",IF(E2125&lt;&gt;"",E2125,IF(B2125="","",IFERROR(IF(INDEX(pr_price,MATCH(B2125,pr_code,0))="","",INDEX(pr_price,MATCH(B2125,pr_code,0))),""))))</f>
        <v/>
      </c>
      <c r="K2125" s="71" t="str">
        <f>IF(COUNTA(A2125:G2125)=0,"",IF(G2125&lt;&gt;"",G2125,IF(B2125="","",IFERROR(IF(INDEX(pr_rate,MATCH(B2125,pr_code,0))="","",INDEX(pr_rate,MATCH(B2125,pr_code,0))),""))))</f>
        <v/>
      </c>
      <c r="L2125" s="65" t="str">
        <f>IF(COUNTA(A2125:G2125)=0,"",IF(AND(ISNUMBER(D2125),ISNUMBER(J2125)),ROUND(D2125*J2125*(1-N(F2125)),2),0))</f>
        <v/>
      </c>
      <c r="M2125" s="62" t="str">
        <f>IF(A2125="","",IFERROR(INDEX(dv_cname,MATCH(A2125,dv_num,0))&amp;"",""))</f>
        <v/>
      </c>
      <c r="N2125" s="59" t="str">
        <f>IF(COUNTA(A2125:G2125)=0,"",IF(A2125="","N° devis manquant",IF(ISNA(MATCH(A2125,dv_num,0)),"Devis inconnu",IF(AND(B2125&lt;&gt;"",ISNA(MATCH(B2125,pr_code,0))),"Article inconnu",IF(H2125="","Désignation manquante",IF(OR(NOT(ISNUMBER(D2125)),N(D2125)&lt;=0),"Quantité invalide",IF(J2125="","Prix manquant",IF(OR(NOT(ISNUMBER(J2125)),N(J2125)&lt;0),"Prix invalide",IF(OR(AND(F2125&lt;&gt;"",NOT(ISNUMBER(F2125))),N(F2125)&lt;0,N(F2125)&gt;1),"Remise invalide",IF(K2125="","Taux de TVA manquant",IF(NOT(ISNUMBER(K2125)),"Taux de TVA invalide",IF(COUNTIF(p_rates,K2125)=0,"Taux de TVA hors liste (Paramètres)",IF(N(O2125)&gt;25,"Au-delà de 25 lignes : non imprimée","OK")))))))))))))</f>
        <v/>
      </c>
      <c r="O2125" s="59" t="str">
        <f>IF(A2125="","",COUNTIF($A$6:A2125,A2125))</f>
        <v/>
      </c>
      <c r="P2125" s="62" t="str">
        <f>IF(A2125="","",A2125&amp;"|"&amp;O2125)</f>
        <v/>
      </c>
    </row>
    <row r="2126">
      <c r="A2126" s="60" t="n"/>
      <c r="B2126" s="63" t="n"/>
      <c r="C2126" s="63" t="n"/>
      <c r="D2126" s="67" t="n"/>
      <c r="E2126" s="68" t="n"/>
      <c r="F2126" s="69" t="n"/>
      <c r="G2126" s="70" t="n"/>
      <c r="H2126" s="62" t="str">
        <f>IF(COUNTA(A2126:G2126)=0,"",IF(C2126&lt;&gt;"",C2126,IF(B2126="","",IFERROR(INDEX(pr_des,MATCH(B2126,pr_code,0))&amp;"",""))))</f>
        <v/>
      </c>
      <c r="I2126" s="59" t="str">
        <f>IF(B2126="","",IFERROR(INDEX(pr_unit,MATCH(B2126,pr_code,0))&amp;"",""))</f>
        <v/>
      </c>
      <c r="J2126" s="65" t="str">
        <f>IF(COUNTA(A2126:G2126)=0,"",IF(E2126&lt;&gt;"",E2126,IF(B2126="","",IFERROR(IF(INDEX(pr_price,MATCH(B2126,pr_code,0))="","",INDEX(pr_price,MATCH(B2126,pr_code,0))),""))))</f>
        <v/>
      </c>
      <c r="K2126" s="71" t="str">
        <f>IF(COUNTA(A2126:G2126)=0,"",IF(G2126&lt;&gt;"",G2126,IF(B2126="","",IFERROR(IF(INDEX(pr_rate,MATCH(B2126,pr_code,0))="","",INDEX(pr_rate,MATCH(B2126,pr_code,0))),""))))</f>
        <v/>
      </c>
      <c r="L2126" s="65" t="str">
        <f>IF(COUNTA(A2126:G2126)=0,"",IF(AND(ISNUMBER(D2126),ISNUMBER(J2126)),ROUND(D2126*J2126*(1-N(F2126)),2),0))</f>
        <v/>
      </c>
      <c r="M2126" s="62" t="str">
        <f>IF(A2126="","",IFERROR(INDEX(dv_cname,MATCH(A2126,dv_num,0))&amp;"",""))</f>
        <v/>
      </c>
      <c r="N2126" s="59" t="str">
        <f>IF(COUNTA(A2126:G2126)=0,"",IF(A2126="","N° devis manquant",IF(ISNA(MATCH(A2126,dv_num,0)),"Devis inconnu",IF(AND(B2126&lt;&gt;"",ISNA(MATCH(B2126,pr_code,0))),"Article inconnu",IF(H2126="","Désignation manquante",IF(OR(NOT(ISNUMBER(D2126)),N(D2126)&lt;=0),"Quantité invalide",IF(J2126="","Prix manquant",IF(OR(NOT(ISNUMBER(J2126)),N(J2126)&lt;0),"Prix invalide",IF(OR(AND(F2126&lt;&gt;"",NOT(ISNUMBER(F2126))),N(F2126)&lt;0,N(F2126)&gt;1),"Remise invalide",IF(K2126="","Taux de TVA manquant",IF(NOT(ISNUMBER(K2126)),"Taux de TVA invalide",IF(COUNTIF(p_rates,K2126)=0,"Taux de TVA hors liste (Paramètres)",IF(N(O2126)&gt;25,"Au-delà de 25 lignes : non imprimée","OK")))))))))))))</f>
        <v/>
      </c>
      <c r="O2126" s="59" t="str">
        <f>IF(A2126="","",COUNTIF($A$6:A2126,A2126))</f>
        <v/>
      </c>
      <c r="P2126" s="62" t="str">
        <f>IF(A2126="","",A2126&amp;"|"&amp;O2126)</f>
        <v/>
      </c>
    </row>
    <row r="2127">
      <c r="A2127" s="60" t="n"/>
      <c r="B2127" s="63" t="n"/>
      <c r="C2127" s="63" t="n"/>
      <c r="D2127" s="67" t="n"/>
      <c r="E2127" s="68" t="n"/>
      <c r="F2127" s="69" t="n"/>
      <c r="G2127" s="70" t="n"/>
      <c r="H2127" s="62" t="str">
        <f>IF(COUNTA(A2127:G2127)=0,"",IF(C2127&lt;&gt;"",C2127,IF(B2127="","",IFERROR(INDEX(pr_des,MATCH(B2127,pr_code,0))&amp;"",""))))</f>
        <v/>
      </c>
      <c r="I2127" s="59" t="str">
        <f>IF(B2127="","",IFERROR(INDEX(pr_unit,MATCH(B2127,pr_code,0))&amp;"",""))</f>
        <v/>
      </c>
      <c r="J2127" s="65" t="str">
        <f>IF(COUNTA(A2127:G2127)=0,"",IF(E2127&lt;&gt;"",E2127,IF(B2127="","",IFERROR(IF(INDEX(pr_price,MATCH(B2127,pr_code,0))="","",INDEX(pr_price,MATCH(B2127,pr_code,0))),""))))</f>
        <v/>
      </c>
      <c r="K2127" s="71" t="str">
        <f>IF(COUNTA(A2127:G2127)=0,"",IF(G2127&lt;&gt;"",G2127,IF(B2127="","",IFERROR(IF(INDEX(pr_rate,MATCH(B2127,pr_code,0))="","",INDEX(pr_rate,MATCH(B2127,pr_code,0))),""))))</f>
        <v/>
      </c>
      <c r="L2127" s="65" t="str">
        <f>IF(COUNTA(A2127:G2127)=0,"",IF(AND(ISNUMBER(D2127),ISNUMBER(J2127)),ROUND(D2127*J2127*(1-N(F2127)),2),0))</f>
        <v/>
      </c>
      <c r="M2127" s="62" t="str">
        <f>IF(A2127="","",IFERROR(INDEX(dv_cname,MATCH(A2127,dv_num,0))&amp;"",""))</f>
        <v/>
      </c>
      <c r="N2127" s="59" t="str">
        <f>IF(COUNTA(A2127:G2127)=0,"",IF(A2127="","N° devis manquant",IF(ISNA(MATCH(A2127,dv_num,0)),"Devis inconnu",IF(AND(B2127&lt;&gt;"",ISNA(MATCH(B2127,pr_code,0))),"Article inconnu",IF(H2127="","Désignation manquante",IF(OR(NOT(ISNUMBER(D2127)),N(D2127)&lt;=0),"Quantité invalide",IF(J2127="","Prix manquant",IF(OR(NOT(ISNUMBER(J2127)),N(J2127)&lt;0),"Prix invalide",IF(OR(AND(F2127&lt;&gt;"",NOT(ISNUMBER(F2127))),N(F2127)&lt;0,N(F2127)&gt;1),"Remise invalide",IF(K2127="","Taux de TVA manquant",IF(NOT(ISNUMBER(K2127)),"Taux de TVA invalide",IF(COUNTIF(p_rates,K2127)=0,"Taux de TVA hors liste (Paramètres)",IF(N(O2127)&gt;25,"Au-delà de 25 lignes : non imprimée","OK")))))))))))))</f>
        <v/>
      </c>
      <c r="O2127" s="59" t="str">
        <f>IF(A2127="","",COUNTIF($A$6:A2127,A2127))</f>
        <v/>
      </c>
      <c r="P2127" s="62" t="str">
        <f>IF(A2127="","",A2127&amp;"|"&amp;O2127)</f>
        <v/>
      </c>
    </row>
    <row r="2128">
      <c r="A2128" s="60" t="n"/>
      <c r="B2128" s="63" t="n"/>
      <c r="C2128" s="63" t="n"/>
      <c r="D2128" s="67" t="n"/>
      <c r="E2128" s="68" t="n"/>
      <c r="F2128" s="69" t="n"/>
      <c r="G2128" s="70" t="n"/>
      <c r="H2128" s="62" t="str">
        <f>IF(COUNTA(A2128:G2128)=0,"",IF(C2128&lt;&gt;"",C2128,IF(B2128="","",IFERROR(INDEX(pr_des,MATCH(B2128,pr_code,0))&amp;"",""))))</f>
        <v/>
      </c>
      <c r="I2128" s="59" t="str">
        <f>IF(B2128="","",IFERROR(INDEX(pr_unit,MATCH(B2128,pr_code,0))&amp;"",""))</f>
        <v/>
      </c>
      <c r="J2128" s="65" t="str">
        <f>IF(COUNTA(A2128:G2128)=0,"",IF(E2128&lt;&gt;"",E2128,IF(B2128="","",IFERROR(IF(INDEX(pr_price,MATCH(B2128,pr_code,0))="","",INDEX(pr_price,MATCH(B2128,pr_code,0))),""))))</f>
        <v/>
      </c>
      <c r="K2128" s="71" t="str">
        <f>IF(COUNTA(A2128:G2128)=0,"",IF(G2128&lt;&gt;"",G2128,IF(B2128="","",IFERROR(IF(INDEX(pr_rate,MATCH(B2128,pr_code,0))="","",INDEX(pr_rate,MATCH(B2128,pr_code,0))),""))))</f>
        <v/>
      </c>
      <c r="L2128" s="65" t="str">
        <f>IF(COUNTA(A2128:G2128)=0,"",IF(AND(ISNUMBER(D2128),ISNUMBER(J2128)),ROUND(D2128*J2128*(1-N(F2128)),2),0))</f>
        <v/>
      </c>
      <c r="M2128" s="62" t="str">
        <f>IF(A2128="","",IFERROR(INDEX(dv_cname,MATCH(A2128,dv_num,0))&amp;"",""))</f>
        <v/>
      </c>
      <c r="N2128" s="59" t="str">
        <f>IF(COUNTA(A2128:G2128)=0,"",IF(A2128="","N° devis manquant",IF(ISNA(MATCH(A2128,dv_num,0)),"Devis inconnu",IF(AND(B2128&lt;&gt;"",ISNA(MATCH(B2128,pr_code,0))),"Article inconnu",IF(H2128="","Désignation manquante",IF(OR(NOT(ISNUMBER(D2128)),N(D2128)&lt;=0),"Quantité invalide",IF(J2128="","Prix manquant",IF(OR(NOT(ISNUMBER(J2128)),N(J2128)&lt;0),"Prix invalide",IF(OR(AND(F2128&lt;&gt;"",NOT(ISNUMBER(F2128))),N(F2128)&lt;0,N(F2128)&gt;1),"Remise invalide",IF(K2128="","Taux de TVA manquant",IF(NOT(ISNUMBER(K2128)),"Taux de TVA invalide",IF(COUNTIF(p_rates,K2128)=0,"Taux de TVA hors liste (Paramètres)",IF(N(O2128)&gt;25,"Au-delà de 25 lignes : non imprimée","OK")))))))))))))</f>
        <v/>
      </c>
      <c r="O2128" s="59" t="str">
        <f>IF(A2128="","",COUNTIF($A$6:A2128,A2128))</f>
        <v/>
      </c>
      <c r="P2128" s="62" t="str">
        <f>IF(A2128="","",A2128&amp;"|"&amp;O2128)</f>
        <v/>
      </c>
    </row>
    <row r="2129">
      <c r="A2129" s="60" t="n"/>
      <c r="B2129" s="63" t="n"/>
      <c r="C2129" s="63" t="n"/>
      <c r="D2129" s="67" t="n"/>
      <c r="E2129" s="68" t="n"/>
      <c r="F2129" s="69" t="n"/>
      <c r="G2129" s="70" t="n"/>
      <c r="H2129" s="62" t="str">
        <f>IF(COUNTA(A2129:G2129)=0,"",IF(C2129&lt;&gt;"",C2129,IF(B2129="","",IFERROR(INDEX(pr_des,MATCH(B2129,pr_code,0))&amp;"",""))))</f>
        <v/>
      </c>
      <c r="I2129" s="59" t="str">
        <f>IF(B2129="","",IFERROR(INDEX(pr_unit,MATCH(B2129,pr_code,0))&amp;"",""))</f>
        <v/>
      </c>
      <c r="J2129" s="65" t="str">
        <f>IF(COUNTA(A2129:G2129)=0,"",IF(E2129&lt;&gt;"",E2129,IF(B2129="","",IFERROR(IF(INDEX(pr_price,MATCH(B2129,pr_code,0))="","",INDEX(pr_price,MATCH(B2129,pr_code,0))),""))))</f>
        <v/>
      </c>
      <c r="K2129" s="71" t="str">
        <f>IF(COUNTA(A2129:G2129)=0,"",IF(G2129&lt;&gt;"",G2129,IF(B2129="","",IFERROR(IF(INDEX(pr_rate,MATCH(B2129,pr_code,0))="","",INDEX(pr_rate,MATCH(B2129,pr_code,0))),""))))</f>
        <v/>
      </c>
      <c r="L2129" s="65" t="str">
        <f>IF(COUNTA(A2129:G2129)=0,"",IF(AND(ISNUMBER(D2129),ISNUMBER(J2129)),ROUND(D2129*J2129*(1-N(F2129)),2),0))</f>
        <v/>
      </c>
      <c r="M2129" s="62" t="str">
        <f>IF(A2129="","",IFERROR(INDEX(dv_cname,MATCH(A2129,dv_num,0))&amp;"",""))</f>
        <v/>
      </c>
      <c r="N2129" s="59" t="str">
        <f>IF(COUNTA(A2129:G2129)=0,"",IF(A2129="","N° devis manquant",IF(ISNA(MATCH(A2129,dv_num,0)),"Devis inconnu",IF(AND(B2129&lt;&gt;"",ISNA(MATCH(B2129,pr_code,0))),"Article inconnu",IF(H2129="","Désignation manquante",IF(OR(NOT(ISNUMBER(D2129)),N(D2129)&lt;=0),"Quantité invalide",IF(J2129="","Prix manquant",IF(OR(NOT(ISNUMBER(J2129)),N(J2129)&lt;0),"Prix invalide",IF(OR(AND(F2129&lt;&gt;"",NOT(ISNUMBER(F2129))),N(F2129)&lt;0,N(F2129)&gt;1),"Remise invalide",IF(K2129="","Taux de TVA manquant",IF(NOT(ISNUMBER(K2129)),"Taux de TVA invalide",IF(COUNTIF(p_rates,K2129)=0,"Taux de TVA hors liste (Paramètres)",IF(N(O2129)&gt;25,"Au-delà de 25 lignes : non imprimée","OK")))))))))))))</f>
        <v/>
      </c>
      <c r="O2129" s="59" t="str">
        <f>IF(A2129="","",COUNTIF($A$6:A2129,A2129))</f>
        <v/>
      </c>
      <c r="P2129" s="62" t="str">
        <f>IF(A2129="","",A2129&amp;"|"&amp;O2129)</f>
        <v/>
      </c>
    </row>
    <row r="2130">
      <c r="A2130" s="60" t="n"/>
      <c r="B2130" s="63" t="n"/>
      <c r="C2130" s="63" t="n"/>
      <c r="D2130" s="67" t="n"/>
      <c r="E2130" s="68" t="n"/>
      <c r="F2130" s="69" t="n"/>
      <c r="G2130" s="70" t="n"/>
      <c r="H2130" s="62" t="str">
        <f>IF(COUNTA(A2130:G2130)=0,"",IF(C2130&lt;&gt;"",C2130,IF(B2130="","",IFERROR(INDEX(pr_des,MATCH(B2130,pr_code,0))&amp;"",""))))</f>
        <v/>
      </c>
      <c r="I2130" s="59" t="str">
        <f>IF(B2130="","",IFERROR(INDEX(pr_unit,MATCH(B2130,pr_code,0))&amp;"",""))</f>
        <v/>
      </c>
      <c r="J2130" s="65" t="str">
        <f>IF(COUNTA(A2130:G2130)=0,"",IF(E2130&lt;&gt;"",E2130,IF(B2130="","",IFERROR(IF(INDEX(pr_price,MATCH(B2130,pr_code,0))="","",INDEX(pr_price,MATCH(B2130,pr_code,0))),""))))</f>
        <v/>
      </c>
      <c r="K2130" s="71" t="str">
        <f>IF(COUNTA(A2130:G2130)=0,"",IF(G2130&lt;&gt;"",G2130,IF(B2130="","",IFERROR(IF(INDEX(pr_rate,MATCH(B2130,pr_code,0))="","",INDEX(pr_rate,MATCH(B2130,pr_code,0))),""))))</f>
        <v/>
      </c>
      <c r="L2130" s="65" t="str">
        <f>IF(COUNTA(A2130:G2130)=0,"",IF(AND(ISNUMBER(D2130),ISNUMBER(J2130)),ROUND(D2130*J2130*(1-N(F2130)),2),0))</f>
        <v/>
      </c>
      <c r="M2130" s="62" t="str">
        <f>IF(A2130="","",IFERROR(INDEX(dv_cname,MATCH(A2130,dv_num,0))&amp;"",""))</f>
        <v/>
      </c>
      <c r="N2130" s="59" t="str">
        <f>IF(COUNTA(A2130:G2130)=0,"",IF(A2130="","N° devis manquant",IF(ISNA(MATCH(A2130,dv_num,0)),"Devis inconnu",IF(AND(B2130&lt;&gt;"",ISNA(MATCH(B2130,pr_code,0))),"Article inconnu",IF(H2130="","Désignation manquante",IF(OR(NOT(ISNUMBER(D2130)),N(D2130)&lt;=0),"Quantité invalide",IF(J2130="","Prix manquant",IF(OR(NOT(ISNUMBER(J2130)),N(J2130)&lt;0),"Prix invalide",IF(OR(AND(F2130&lt;&gt;"",NOT(ISNUMBER(F2130))),N(F2130)&lt;0,N(F2130)&gt;1),"Remise invalide",IF(K2130="","Taux de TVA manquant",IF(NOT(ISNUMBER(K2130)),"Taux de TVA invalide",IF(COUNTIF(p_rates,K2130)=0,"Taux de TVA hors liste (Paramètres)",IF(N(O2130)&gt;25,"Au-delà de 25 lignes : non imprimée","OK")))))))))))))</f>
        <v/>
      </c>
      <c r="O2130" s="59" t="str">
        <f>IF(A2130="","",COUNTIF($A$6:A2130,A2130))</f>
        <v/>
      </c>
      <c r="P2130" s="62" t="str">
        <f>IF(A2130="","",A2130&amp;"|"&amp;O2130)</f>
        <v/>
      </c>
    </row>
    <row r="2131">
      <c r="A2131" s="60" t="n"/>
      <c r="B2131" s="63" t="n"/>
      <c r="C2131" s="63" t="n"/>
      <c r="D2131" s="67" t="n"/>
      <c r="E2131" s="68" t="n"/>
      <c r="F2131" s="69" t="n"/>
      <c r="G2131" s="70" t="n"/>
      <c r="H2131" s="62" t="str">
        <f>IF(COUNTA(A2131:G2131)=0,"",IF(C2131&lt;&gt;"",C2131,IF(B2131="","",IFERROR(INDEX(pr_des,MATCH(B2131,pr_code,0))&amp;"",""))))</f>
        <v/>
      </c>
      <c r="I2131" s="59" t="str">
        <f>IF(B2131="","",IFERROR(INDEX(pr_unit,MATCH(B2131,pr_code,0))&amp;"",""))</f>
        <v/>
      </c>
      <c r="J2131" s="65" t="str">
        <f>IF(COUNTA(A2131:G2131)=0,"",IF(E2131&lt;&gt;"",E2131,IF(B2131="","",IFERROR(IF(INDEX(pr_price,MATCH(B2131,pr_code,0))="","",INDEX(pr_price,MATCH(B2131,pr_code,0))),""))))</f>
        <v/>
      </c>
      <c r="K2131" s="71" t="str">
        <f>IF(COUNTA(A2131:G2131)=0,"",IF(G2131&lt;&gt;"",G2131,IF(B2131="","",IFERROR(IF(INDEX(pr_rate,MATCH(B2131,pr_code,0))="","",INDEX(pr_rate,MATCH(B2131,pr_code,0))),""))))</f>
        <v/>
      </c>
      <c r="L2131" s="65" t="str">
        <f>IF(COUNTA(A2131:G2131)=0,"",IF(AND(ISNUMBER(D2131),ISNUMBER(J2131)),ROUND(D2131*J2131*(1-N(F2131)),2),0))</f>
        <v/>
      </c>
      <c r="M2131" s="62" t="str">
        <f>IF(A2131="","",IFERROR(INDEX(dv_cname,MATCH(A2131,dv_num,0))&amp;"",""))</f>
        <v/>
      </c>
      <c r="N2131" s="59" t="str">
        <f>IF(COUNTA(A2131:G2131)=0,"",IF(A2131="","N° devis manquant",IF(ISNA(MATCH(A2131,dv_num,0)),"Devis inconnu",IF(AND(B2131&lt;&gt;"",ISNA(MATCH(B2131,pr_code,0))),"Article inconnu",IF(H2131="","Désignation manquante",IF(OR(NOT(ISNUMBER(D2131)),N(D2131)&lt;=0),"Quantité invalide",IF(J2131="","Prix manquant",IF(OR(NOT(ISNUMBER(J2131)),N(J2131)&lt;0),"Prix invalide",IF(OR(AND(F2131&lt;&gt;"",NOT(ISNUMBER(F2131))),N(F2131)&lt;0,N(F2131)&gt;1),"Remise invalide",IF(K2131="","Taux de TVA manquant",IF(NOT(ISNUMBER(K2131)),"Taux de TVA invalide",IF(COUNTIF(p_rates,K2131)=0,"Taux de TVA hors liste (Paramètres)",IF(N(O2131)&gt;25,"Au-delà de 25 lignes : non imprimée","OK")))))))))))))</f>
        <v/>
      </c>
      <c r="O2131" s="59" t="str">
        <f>IF(A2131="","",COUNTIF($A$6:A2131,A2131))</f>
        <v/>
      </c>
      <c r="P2131" s="62" t="str">
        <f>IF(A2131="","",A2131&amp;"|"&amp;O2131)</f>
        <v/>
      </c>
    </row>
    <row r="2132">
      <c r="A2132" s="60" t="n"/>
      <c r="B2132" s="63" t="n"/>
      <c r="C2132" s="63" t="n"/>
      <c r="D2132" s="67" t="n"/>
      <c r="E2132" s="68" t="n"/>
      <c r="F2132" s="69" t="n"/>
      <c r="G2132" s="70" t="n"/>
      <c r="H2132" s="62" t="str">
        <f>IF(COUNTA(A2132:G2132)=0,"",IF(C2132&lt;&gt;"",C2132,IF(B2132="","",IFERROR(INDEX(pr_des,MATCH(B2132,pr_code,0))&amp;"",""))))</f>
        <v/>
      </c>
      <c r="I2132" s="59" t="str">
        <f>IF(B2132="","",IFERROR(INDEX(pr_unit,MATCH(B2132,pr_code,0))&amp;"",""))</f>
        <v/>
      </c>
      <c r="J2132" s="65" t="str">
        <f>IF(COUNTA(A2132:G2132)=0,"",IF(E2132&lt;&gt;"",E2132,IF(B2132="","",IFERROR(IF(INDEX(pr_price,MATCH(B2132,pr_code,0))="","",INDEX(pr_price,MATCH(B2132,pr_code,0))),""))))</f>
        <v/>
      </c>
      <c r="K2132" s="71" t="str">
        <f>IF(COUNTA(A2132:G2132)=0,"",IF(G2132&lt;&gt;"",G2132,IF(B2132="","",IFERROR(IF(INDEX(pr_rate,MATCH(B2132,pr_code,0))="","",INDEX(pr_rate,MATCH(B2132,pr_code,0))),""))))</f>
        <v/>
      </c>
      <c r="L2132" s="65" t="str">
        <f>IF(COUNTA(A2132:G2132)=0,"",IF(AND(ISNUMBER(D2132),ISNUMBER(J2132)),ROUND(D2132*J2132*(1-N(F2132)),2),0))</f>
        <v/>
      </c>
      <c r="M2132" s="62" t="str">
        <f>IF(A2132="","",IFERROR(INDEX(dv_cname,MATCH(A2132,dv_num,0))&amp;"",""))</f>
        <v/>
      </c>
      <c r="N2132" s="59" t="str">
        <f>IF(COUNTA(A2132:G2132)=0,"",IF(A2132="","N° devis manquant",IF(ISNA(MATCH(A2132,dv_num,0)),"Devis inconnu",IF(AND(B2132&lt;&gt;"",ISNA(MATCH(B2132,pr_code,0))),"Article inconnu",IF(H2132="","Désignation manquante",IF(OR(NOT(ISNUMBER(D2132)),N(D2132)&lt;=0),"Quantité invalide",IF(J2132="","Prix manquant",IF(OR(NOT(ISNUMBER(J2132)),N(J2132)&lt;0),"Prix invalide",IF(OR(AND(F2132&lt;&gt;"",NOT(ISNUMBER(F2132))),N(F2132)&lt;0,N(F2132)&gt;1),"Remise invalide",IF(K2132="","Taux de TVA manquant",IF(NOT(ISNUMBER(K2132)),"Taux de TVA invalide",IF(COUNTIF(p_rates,K2132)=0,"Taux de TVA hors liste (Paramètres)",IF(N(O2132)&gt;25,"Au-delà de 25 lignes : non imprimée","OK")))))))))))))</f>
        <v/>
      </c>
      <c r="O2132" s="59" t="str">
        <f>IF(A2132="","",COUNTIF($A$6:A2132,A2132))</f>
        <v/>
      </c>
      <c r="P2132" s="62" t="str">
        <f>IF(A2132="","",A2132&amp;"|"&amp;O2132)</f>
        <v/>
      </c>
    </row>
    <row r="2133">
      <c r="A2133" s="60" t="n"/>
      <c r="B2133" s="63" t="n"/>
      <c r="C2133" s="63" t="n"/>
      <c r="D2133" s="67" t="n"/>
      <c r="E2133" s="68" t="n"/>
      <c r="F2133" s="69" t="n"/>
      <c r="G2133" s="70" t="n"/>
      <c r="H2133" s="62" t="str">
        <f>IF(COUNTA(A2133:G2133)=0,"",IF(C2133&lt;&gt;"",C2133,IF(B2133="","",IFERROR(INDEX(pr_des,MATCH(B2133,pr_code,0))&amp;"",""))))</f>
        <v/>
      </c>
      <c r="I2133" s="59" t="str">
        <f>IF(B2133="","",IFERROR(INDEX(pr_unit,MATCH(B2133,pr_code,0))&amp;"",""))</f>
        <v/>
      </c>
      <c r="J2133" s="65" t="str">
        <f>IF(COUNTA(A2133:G2133)=0,"",IF(E2133&lt;&gt;"",E2133,IF(B2133="","",IFERROR(IF(INDEX(pr_price,MATCH(B2133,pr_code,0))="","",INDEX(pr_price,MATCH(B2133,pr_code,0))),""))))</f>
        <v/>
      </c>
      <c r="K2133" s="71" t="str">
        <f>IF(COUNTA(A2133:G2133)=0,"",IF(G2133&lt;&gt;"",G2133,IF(B2133="","",IFERROR(IF(INDEX(pr_rate,MATCH(B2133,pr_code,0))="","",INDEX(pr_rate,MATCH(B2133,pr_code,0))),""))))</f>
        <v/>
      </c>
      <c r="L2133" s="65" t="str">
        <f>IF(COUNTA(A2133:G2133)=0,"",IF(AND(ISNUMBER(D2133),ISNUMBER(J2133)),ROUND(D2133*J2133*(1-N(F2133)),2),0))</f>
        <v/>
      </c>
      <c r="M2133" s="62" t="str">
        <f>IF(A2133="","",IFERROR(INDEX(dv_cname,MATCH(A2133,dv_num,0))&amp;"",""))</f>
        <v/>
      </c>
      <c r="N2133" s="59" t="str">
        <f>IF(COUNTA(A2133:G2133)=0,"",IF(A2133="","N° devis manquant",IF(ISNA(MATCH(A2133,dv_num,0)),"Devis inconnu",IF(AND(B2133&lt;&gt;"",ISNA(MATCH(B2133,pr_code,0))),"Article inconnu",IF(H2133="","Désignation manquante",IF(OR(NOT(ISNUMBER(D2133)),N(D2133)&lt;=0),"Quantité invalide",IF(J2133="","Prix manquant",IF(OR(NOT(ISNUMBER(J2133)),N(J2133)&lt;0),"Prix invalide",IF(OR(AND(F2133&lt;&gt;"",NOT(ISNUMBER(F2133))),N(F2133)&lt;0,N(F2133)&gt;1),"Remise invalide",IF(K2133="","Taux de TVA manquant",IF(NOT(ISNUMBER(K2133)),"Taux de TVA invalide",IF(COUNTIF(p_rates,K2133)=0,"Taux de TVA hors liste (Paramètres)",IF(N(O2133)&gt;25,"Au-delà de 25 lignes : non imprimée","OK")))))))))))))</f>
        <v/>
      </c>
      <c r="O2133" s="59" t="str">
        <f>IF(A2133="","",COUNTIF($A$6:A2133,A2133))</f>
        <v/>
      </c>
      <c r="P2133" s="62" t="str">
        <f>IF(A2133="","",A2133&amp;"|"&amp;O2133)</f>
        <v/>
      </c>
    </row>
    <row r="2134">
      <c r="A2134" s="60" t="n"/>
      <c r="B2134" s="63" t="n"/>
      <c r="C2134" s="63" t="n"/>
      <c r="D2134" s="67" t="n"/>
      <c r="E2134" s="68" t="n"/>
      <c r="F2134" s="69" t="n"/>
      <c r="G2134" s="70" t="n"/>
      <c r="H2134" s="62" t="str">
        <f>IF(COUNTA(A2134:G2134)=0,"",IF(C2134&lt;&gt;"",C2134,IF(B2134="","",IFERROR(INDEX(pr_des,MATCH(B2134,pr_code,0))&amp;"",""))))</f>
        <v/>
      </c>
      <c r="I2134" s="59" t="str">
        <f>IF(B2134="","",IFERROR(INDEX(pr_unit,MATCH(B2134,pr_code,0))&amp;"",""))</f>
        <v/>
      </c>
      <c r="J2134" s="65" t="str">
        <f>IF(COUNTA(A2134:G2134)=0,"",IF(E2134&lt;&gt;"",E2134,IF(B2134="","",IFERROR(IF(INDEX(pr_price,MATCH(B2134,pr_code,0))="","",INDEX(pr_price,MATCH(B2134,pr_code,0))),""))))</f>
        <v/>
      </c>
      <c r="K2134" s="71" t="str">
        <f>IF(COUNTA(A2134:G2134)=0,"",IF(G2134&lt;&gt;"",G2134,IF(B2134="","",IFERROR(IF(INDEX(pr_rate,MATCH(B2134,pr_code,0))="","",INDEX(pr_rate,MATCH(B2134,pr_code,0))),""))))</f>
        <v/>
      </c>
      <c r="L2134" s="65" t="str">
        <f>IF(COUNTA(A2134:G2134)=0,"",IF(AND(ISNUMBER(D2134),ISNUMBER(J2134)),ROUND(D2134*J2134*(1-N(F2134)),2),0))</f>
        <v/>
      </c>
      <c r="M2134" s="62" t="str">
        <f>IF(A2134="","",IFERROR(INDEX(dv_cname,MATCH(A2134,dv_num,0))&amp;"",""))</f>
        <v/>
      </c>
      <c r="N2134" s="59" t="str">
        <f>IF(COUNTA(A2134:G2134)=0,"",IF(A2134="","N° devis manquant",IF(ISNA(MATCH(A2134,dv_num,0)),"Devis inconnu",IF(AND(B2134&lt;&gt;"",ISNA(MATCH(B2134,pr_code,0))),"Article inconnu",IF(H2134="","Désignation manquante",IF(OR(NOT(ISNUMBER(D2134)),N(D2134)&lt;=0),"Quantité invalide",IF(J2134="","Prix manquant",IF(OR(NOT(ISNUMBER(J2134)),N(J2134)&lt;0),"Prix invalide",IF(OR(AND(F2134&lt;&gt;"",NOT(ISNUMBER(F2134))),N(F2134)&lt;0,N(F2134)&gt;1),"Remise invalide",IF(K2134="","Taux de TVA manquant",IF(NOT(ISNUMBER(K2134)),"Taux de TVA invalide",IF(COUNTIF(p_rates,K2134)=0,"Taux de TVA hors liste (Paramètres)",IF(N(O2134)&gt;25,"Au-delà de 25 lignes : non imprimée","OK")))))))))))))</f>
        <v/>
      </c>
      <c r="O2134" s="59" t="str">
        <f>IF(A2134="","",COUNTIF($A$6:A2134,A2134))</f>
        <v/>
      </c>
      <c r="P2134" s="62" t="str">
        <f>IF(A2134="","",A2134&amp;"|"&amp;O2134)</f>
        <v/>
      </c>
    </row>
    <row r="2135">
      <c r="A2135" s="60" t="n"/>
      <c r="B2135" s="63" t="n"/>
      <c r="C2135" s="63" t="n"/>
      <c r="D2135" s="67" t="n"/>
      <c r="E2135" s="68" t="n"/>
      <c r="F2135" s="69" t="n"/>
      <c r="G2135" s="70" t="n"/>
      <c r="H2135" s="62" t="str">
        <f>IF(COUNTA(A2135:G2135)=0,"",IF(C2135&lt;&gt;"",C2135,IF(B2135="","",IFERROR(INDEX(pr_des,MATCH(B2135,pr_code,0))&amp;"",""))))</f>
        <v/>
      </c>
      <c r="I2135" s="59" t="str">
        <f>IF(B2135="","",IFERROR(INDEX(pr_unit,MATCH(B2135,pr_code,0))&amp;"",""))</f>
        <v/>
      </c>
      <c r="J2135" s="65" t="str">
        <f>IF(COUNTA(A2135:G2135)=0,"",IF(E2135&lt;&gt;"",E2135,IF(B2135="","",IFERROR(IF(INDEX(pr_price,MATCH(B2135,pr_code,0))="","",INDEX(pr_price,MATCH(B2135,pr_code,0))),""))))</f>
        <v/>
      </c>
      <c r="K2135" s="71" t="str">
        <f>IF(COUNTA(A2135:G2135)=0,"",IF(G2135&lt;&gt;"",G2135,IF(B2135="","",IFERROR(IF(INDEX(pr_rate,MATCH(B2135,pr_code,0))="","",INDEX(pr_rate,MATCH(B2135,pr_code,0))),""))))</f>
        <v/>
      </c>
      <c r="L2135" s="65" t="str">
        <f>IF(COUNTA(A2135:G2135)=0,"",IF(AND(ISNUMBER(D2135),ISNUMBER(J2135)),ROUND(D2135*J2135*(1-N(F2135)),2),0))</f>
        <v/>
      </c>
      <c r="M2135" s="62" t="str">
        <f>IF(A2135="","",IFERROR(INDEX(dv_cname,MATCH(A2135,dv_num,0))&amp;"",""))</f>
        <v/>
      </c>
      <c r="N2135" s="59" t="str">
        <f>IF(COUNTA(A2135:G2135)=0,"",IF(A2135="","N° devis manquant",IF(ISNA(MATCH(A2135,dv_num,0)),"Devis inconnu",IF(AND(B2135&lt;&gt;"",ISNA(MATCH(B2135,pr_code,0))),"Article inconnu",IF(H2135="","Désignation manquante",IF(OR(NOT(ISNUMBER(D2135)),N(D2135)&lt;=0),"Quantité invalide",IF(J2135="","Prix manquant",IF(OR(NOT(ISNUMBER(J2135)),N(J2135)&lt;0),"Prix invalide",IF(OR(AND(F2135&lt;&gt;"",NOT(ISNUMBER(F2135))),N(F2135)&lt;0,N(F2135)&gt;1),"Remise invalide",IF(K2135="","Taux de TVA manquant",IF(NOT(ISNUMBER(K2135)),"Taux de TVA invalide",IF(COUNTIF(p_rates,K2135)=0,"Taux de TVA hors liste (Paramètres)",IF(N(O2135)&gt;25,"Au-delà de 25 lignes : non imprimée","OK")))))))))))))</f>
        <v/>
      </c>
      <c r="O2135" s="59" t="str">
        <f>IF(A2135="","",COUNTIF($A$6:A2135,A2135))</f>
        <v/>
      </c>
      <c r="P2135" s="62" t="str">
        <f>IF(A2135="","",A2135&amp;"|"&amp;O2135)</f>
        <v/>
      </c>
    </row>
    <row r="2136">
      <c r="A2136" s="60" t="n"/>
      <c r="B2136" s="63" t="n"/>
      <c r="C2136" s="63" t="n"/>
      <c r="D2136" s="67" t="n"/>
      <c r="E2136" s="68" t="n"/>
      <c r="F2136" s="69" t="n"/>
      <c r="G2136" s="70" t="n"/>
      <c r="H2136" s="62" t="str">
        <f>IF(COUNTA(A2136:G2136)=0,"",IF(C2136&lt;&gt;"",C2136,IF(B2136="","",IFERROR(INDEX(pr_des,MATCH(B2136,pr_code,0))&amp;"",""))))</f>
        <v/>
      </c>
      <c r="I2136" s="59" t="str">
        <f>IF(B2136="","",IFERROR(INDEX(pr_unit,MATCH(B2136,pr_code,0))&amp;"",""))</f>
        <v/>
      </c>
      <c r="J2136" s="65" t="str">
        <f>IF(COUNTA(A2136:G2136)=0,"",IF(E2136&lt;&gt;"",E2136,IF(B2136="","",IFERROR(IF(INDEX(pr_price,MATCH(B2136,pr_code,0))="","",INDEX(pr_price,MATCH(B2136,pr_code,0))),""))))</f>
        <v/>
      </c>
      <c r="K2136" s="71" t="str">
        <f>IF(COUNTA(A2136:G2136)=0,"",IF(G2136&lt;&gt;"",G2136,IF(B2136="","",IFERROR(IF(INDEX(pr_rate,MATCH(B2136,pr_code,0))="","",INDEX(pr_rate,MATCH(B2136,pr_code,0))),""))))</f>
        <v/>
      </c>
      <c r="L2136" s="65" t="str">
        <f>IF(COUNTA(A2136:G2136)=0,"",IF(AND(ISNUMBER(D2136),ISNUMBER(J2136)),ROUND(D2136*J2136*(1-N(F2136)),2),0))</f>
        <v/>
      </c>
      <c r="M2136" s="62" t="str">
        <f>IF(A2136="","",IFERROR(INDEX(dv_cname,MATCH(A2136,dv_num,0))&amp;"",""))</f>
        <v/>
      </c>
      <c r="N2136" s="59" t="str">
        <f>IF(COUNTA(A2136:G2136)=0,"",IF(A2136="","N° devis manquant",IF(ISNA(MATCH(A2136,dv_num,0)),"Devis inconnu",IF(AND(B2136&lt;&gt;"",ISNA(MATCH(B2136,pr_code,0))),"Article inconnu",IF(H2136="","Désignation manquante",IF(OR(NOT(ISNUMBER(D2136)),N(D2136)&lt;=0),"Quantité invalide",IF(J2136="","Prix manquant",IF(OR(NOT(ISNUMBER(J2136)),N(J2136)&lt;0),"Prix invalide",IF(OR(AND(F2136&lt;&gt;"",NOT(ISNUMBER(F2136))),N(F2136)&lt;0,N(F2136)&gt;1),"Remise invalide",IF(K2136="","Taux de TVA manquant",IF(NOT(ISNUMBER(K2136)),"Taux de TVA invalide",IF(COUNTIF(p_rates,K2136)=0,"Taux de TVA hors liste (Paramètres)",IF(N(O2136)&gt;25,"Au-delà de 25 lignes : non imprimée","OK")))))))))))))</f>
        <v/>
      </c>
      <c r="O2136" s="59" t="str">
        <f>IF(A2136="","",COUNTIF($A$6:A2136,A2136))</f>
        <v/>
      </c>
      <c r="P2136" s="62" t="str">
        <f>IF(A2136="","",A2136&amp;"|"&amp;O2136)</f>
        <v/>
      </c>
    </row>
    <row r="2137">
      <c r="A2137" s="60" t="n"/>
      <c r="B2137" s="63" t="n"/>
      <c r="C2137" s="63" t="n"/>
      <c r="D2137" s="67" t="n"/>
      <c r="E2137" s="68" t="n"/>
      <c r="F2137" s="69" t="n"/>
      <c r="G2137" s="70" t="n"/>
      <c r="H2137" s="62" t="str">
        <f>IF(COUNTA(A2137:G2137)=0,"",IF(C2137&lt;&gt;"",C2137,IF(B2137="","",IFERROR(INDEX(pr_des,MATCH(B2137,pr_code,0))&amp;"",""))))</f>
        <v/>
      </c>
      <c r="I2137" s="59" t="str">
        <f>IF(B2137="","",IFERROR(INDEX(pr_unit,MATCH(B2137,pr_code,0))&amp;"",""))</f>
        <v/>
      </c>
      <c r="J2137" s="65" t="str">
        <f>IF(COUNTA(A2137:G2137)=0,"",IF(E2137&lt;&gt;"",E2137,IF(B2137="","",IFERROR(IF(INDEX(pr_price,MATCH(B2137,pr_code,0))="","",INDEX(pr_price,MATCH(B2137,pr_code,0))),""))))</f>
        <v/>
      </c>
      <c r="K2137" s="71" t="str">
        <f>IF(COUNTA(A2137:G2137)=0,"",IF(G2137&lt;&gt;"",G2137,IF(B2137="","",IFERROR(IF(INDEX(pr_rate,MATCH(B2137,pr_code,0))="","",INDEX(pr_rate,MATCH(B2137,pr_code,0))),""))))</f>
        <v/>
      </c>
      <c r="L2137" s="65" t="str">
        <f>IF(COUNTA(A2137:G2137)=0,"",IF(AND(ISNUMBER(D2137),ISNUMBER(J2137)),ROUND(D2137*J2137*(1-N(F2137)),2),0))</f>
        <v/>
      </c>
      <c r="M2137" s="62" t="str">
        <f>IF(A2137="","",IFERROR(INDEX(dv_cname,MATCH(A2137,dv_num,0))&amp;"",""))</f>
        <v/>
      </c>
      <c r="N2137" s="59" t="str">
        <f>IF(COUNTA(A2137:G2137)=0,"",IF(A2137="","N° devis manquant",IF(ISNA(MATCH(A2137,dv_num,0)),"Devis inconnu",IF(AND(B2137&lt;&gt;"",ISNA(MATCH(B2137,pr_code,0))),"Article inconnu",IF(H2137="","Désignation manquante",IF(OR(NOT(ISNUMBER(D2137)),N(D2137)&lt;=0),"Quantité invalide",IF(J2137="","Prix manquant",IF(OR(NOT(ISNUMBER(J2137)),N(J2137)&lt;0),"Prix invalide",IF(OR(AND(F2137&lt;&gt;"",NOT(ISNUMBER(F2137))),N(F2137)&lt;0,N(F2137)&gt;1),"Remise invalide",IF(K2137="","Taux de TVA manquant",IF(NOT(ISNUMBER(K2137)),"Taux de TVA invalide",IF(COUNTIF(p_rates,K2137)=0,"Taux de TVA hors liste (Paramètres)",IF(N(O2137)&gt;25,"Au-delà de 25 lignes : non imprimée","OK")))))))))))))</f>
        <v/>
      </c>
      <c r="O2137" s="59" t="str">
        <f>IF(A2137="","",COUNTIF($A$6:A2137,A2137))</f>
        <v/>
      </c>
      <c r="P2137" s="62" t="str">
        <f>IF(A2137="","",A2137&amp;"|"&amp;O2137)</f>
        <v/>
      </c>
    </row>
    <row r="2138">
      <c r="A2138" s="60" t="n"/>
      <c r="B2138" s="63" t="n"/>
      <c r="C2138" s="63" t="n"/>
      <c r="D2138" s="67" t="n"/>
      <c r="E2138" s="68" t="n"/>
      <c r="F2138" s="69" t="n"/>
      <c r="G2138" s="70" t="n"/>
      <c r="H2138" s="62" t="str">
        <f>IF(COUNTA(A2138:G2138)=0,"",IF(C2138&lt;&gt;"",C2138,IF(B2138="","",IFERROR(INDEX(pr_des,MATCH(B2138,pr_code,0))&amp;"",""))))</f>
        <v/>
      </c>
      <c r="I2138" s="59" t="str">
        <f>IF(B2138="","",IFERROR(INDEX(pr_unit,MATCH(B2138,pr_code,0))&amp;"",""))</f>
        <v/>
      </c>
      <c r="J2138" s="65" t="str">
        <f>IF(COUNTA(A2138:G2138)=0,"",IF(E2138&lt;&gt;"",E2138,IF(B2138="","",IFERROR(IF(INDEX(pr_price,MATCH(B2138,pr_code,0))="","",INDEX(pr_price,MATCH(B2138,pr_code,0))),""))))</f>
        <v/>
      </c>
      <c r="K2138" s="71" t="str">
        <f>IF(COUNTA(A2138:G2138)=0,"",IF(G2138&lt;&gt;"",G2138,IF(B2138="","",IFERROR(IF(INDEX(pr_rate,MATCH(B2138,pr_code,0))="","",INDEX(pr_rate,MATCH(B2138,pr_code,0))),""))))</f>
        <v/>
      </c>
      <c r="L2138" s="65" t="str">
        <f>IF(COUNTA(A2138:G2138)=0,"",IF(AND(ISNUMBER(D2138),ISNUMBER(J2138)),ROUND(D2138*J2138*(1-N(F2138)),2),0))</f>
        <v/>
      </c>
      <c r="M2138" s="62" t="str">
        <f>IF(A2138="","",IFERROR(INDEX(dv_cname,MATCH(A2138,dv_num,0))&amp;"",""))</f>
        <v/>
      </c>
      <c r="N2138" s="59" t="str">
        <f>IF(COUNTA(A2138:G2138)=0,"",IF(A2138="","N° devis manquant",IF(ISNA(MATCH(A2138,dv_num,0)),"Devis inconnu",IF(AND(B2138&lt;&gt;"",ISNA(MATCH(B2138,pr_code,0))),"Article inconnu",IF(H2138="","Désignation manquante",IF(OR(NOT(ISNUMBER(D2138)),N(D2138)&lt;=0),"Quantité invalide",IF(J2138="","Prix manquant",IF(OR(NOT(ISNUMBER(J2138)),N(J2138)&lt;0),"Prix invalide",IF(OR(AND(F2138&lt;&gt;"",NOT(ISNUMBER(F2138))),N(F2138)&lt;0,N(F2138)&gt;1),"Remise invalide",IF(K2138="","Taux de TVA manquant",IF(NOT(ISNUMBER(K2138)),"Taux de TVA invalide",IF(COUNTIF(p_rates,K2138)=0,"Taux de TVA hors liste (Paramètres)",IF(N(O2138)&gt;25,"Au-delà de 25 lignes : non imprimée","OK")))))))))))))</f>
        <v/>
      </c>
      <c r="O2138" s="59" t="str">
        <f>IF(A2138="","",COUNTIF($A$6:A2138,A2138))</f>
        <v/>
      </c>
      <c r="P2138" s="62" t="str">
        <f>IF(A2138="","",A2138&amp;"|"&amp;O2138)</f>
        <v/>
      </c>
    </row>
    <row r="2139">
      <c r="A2139" s="60" t="n"/>
      <c r="B2139" s="63" t="n"/>
      <c r="C2139" s="63" t="n"/>
      <c r="D2139" s="67" t="n"/>
      <c r="E2139" s="68" t="n"/>
      <c r="F2139" s="69" t="n"/>
      <c r="G2139" s="70" t="n"/>
      <c r="H2139" s="62" t="str">
        <f>IF(COUNTA(A2139:G2139)=0,"",IF(C2139&lt;&gt;"",C2139,IF(B2139="","",IFERROR(INDEX(pr_des,MATCH(B2139,pr_code,0))&amp;"",""))))</f>
        <v/>
      </c>
      <c r="I2139" s="59" t="str">
        <f>IF(B2139="","",IFERROR(INDEX(pr_unit,MATCH(B2139,pr_code,0))&amp;"",""))</f>
        <v/>
      </c>
      <c r="J2139" s="65" t="str">
        <f>IF(COUNTA(A2139:G2139)=0,"",IF(E2139&lt;&gt;"",E2139,IF(B2139="","",IFERROR(IF(INDEX(pr_price,MATCH(B2139,pr_code,0))="","",INDEX(pr_price,MATCH(B2139,pr_code,0))),""))))</f>
        <v/>
      </c>
      <c r="K2139" s="71" t="str">
        <f>IF(COUNTA(A2139:G2139)=0,"",IF(G2139&lt;&gt;"",G2139,IF(B2139="","",IFERROR(IF(INDEX(pr_rate,MATCH(B2139,pr_code,0))="","",INDEX(pr_rate,MATCH(B2139,pr_code,0))),""))))</f>
        <v/>
      </c>
      <c r="L2139" s="65" t="str">
        <f>IF(COUNTA(A2139:G2139)=0,"",IF(AND(ISNUMBER(D2139),ISNUMBER(J2139)),ROUND(D2139*J2139*(1-N(F2139)),2),0))</f>
        <v/>
      </c>
      <c r="M2139" s="62" t="str">
        <f>IF(A2139="","",IFERROR(INDEX(dv_cname,MATCH(A2139,dv_num,0))&amp;"",""))</f>
        <v/>
      </c>
      <c r="N2139" s="59" t="str">
        <f>IF(COUNTA(A2139:G2139)=0,"",IF(A2139="","N° devis manquant",IF(ISNA(MATCH(A2139,dv_num,0)),"Devis inconnu",IF(AND(B2139&lt;&gt;"",ISNA(MATCH(B2139,pr_code,0))),"Article inconnu",IF(H2139="","Désignation manquante",IF(OR(NOT(ISNUMBER(D2139)),N(D2139)&lt;=0),"Quantité invalide",IF(J2139="","Prix manquant",IF(OR(NOT(ISNUMBER(J2139)),N(J2139)&lt;0),"Prix invalide",IF(OR(AND(F2139&lt;&gt;"",NOT(ISNUMBER(F2139))),N(F2139)&lt;0,N(F2139)&gt;1),"Remise invalide",IF(K2139="","Taux de TVA manquant",IF(NOT(ISNUMBER(K2139)),"Taux de TVA invalide",IF(COUNTIF(p_rates,K2139)=0,"Taux de TVA hors liste (Paramètres)",IF(N(O2139)&gt;25,"Au-delà de 25 lignes : non imprimée","OK")))))))))))))</f>
        <v/>
      </c>
      <c r="O2139" s="59" t="str">
        <f>IF(A2139="","",COUNTIF($A$6:A2139,A2139))</f>
        <v/>
      </c>
      <c r="P2139" s="62" t="str">
        <f>IF(A2139="","",A2139&amp;"|"&amp;O2139)</f>
        <v/>
      </c>
    </row>
    <row r="2140">
      <c r="A2140" s="60" t="n"/>
      <c r="B2140" s="63" t="n"/>
      <c r="C2140" s="63" t="n"/>
      <c r="D2140" s="67" t="n"/>
      <c r="E2140" s="68" t="n"/>
      <c r="F2140" s="69" t="n"/>
      <c r="G2140" s="70" t="n"/>
      <c r="H2140" s="62" t="str">
        <f>IF(COUNTA(A2140:G2140)=0,"",IF(C2140&lt;&gt;"",C2140,IF(B2140="","",IFERROR(INDEX(pr_des,MATCH(B2140,pr_code,0))&amp;"",""))))</f>
        <v/>
      </c>
      <c r="I2140" s="59" t="str">
        <f>IF(B2140="","",IFERROR(INDEX(pr_unit,MATCH(B2140,pr_code,0))&amp;"",""))</f>
        <v/>
      </c>
      <c r="J2140" s="65" t="str">
        <f>IF(COUNTA(A2140:G2140)=0,"",IF(E2140&lt;&gt;"",E2140,IF(B2140="","",IFERROR(IF(INDEX(pr_price,MATCH(B2140,pr_code,0))="","",INDEX(pr_price,MATCH(B2140,pr_code,0))),""))))</f>
        <v/>
      </c>
      <c r="K2140" s="71" t="str">
        <f>IF(COUNTA(A2140:G2140)=0,"",IF(G2140&lt;&gt;"",G2140,IF(B2140="","",IFERROR(IF(INDEX(pr_rate,MATCH(B2140,pr_code,0))="","",INDEX(pr_rate,MATCH(B2140,pr_code,0))),""))))</f>
        <v/>
      </c>
      <c r="L2140" s="65" t="str">
        <f>IF(COUNTA(A2140:G2140)=0,"",IF(AND(ISNUMBER(D2140),ISNUMBER(J2140)),ROUND(D2140*J2140*(1-N(F2140)),2),0))</f>
        <v/>
      </c>
      <c r="M2140" s="62" t="str">
        <f>IF(A2140="","",IFERROR(INDEX(dv_cname,MATCH(A2140,dv_num,0))&amp;"",""))</f>
        <v/>
      </c>
      <c r="N2140" s="59" t="str">
        <f>IF(COUNTA(A2140:G2140)=0,"",IF(A2140="","N° devis manquant",IF(ISNA(MATCH(A2140,dv_num,0)),"Devis inconnu",IF(AND(B2140&lt;&gt;"",ISNA(MATCH(B2140,pr_code,0))),"Article inconnu",IF(H2140="","Désignation manquante",IF(OR(NOT(ISNUMBER(D2140)),N(D2140)&lt;=0),"Quantité invalide",IF(J2140="","Prix manquant",IF(OR(NOT(ISNUMBER(J2140)),N(J2140)&lt;0),"Prix invalide",IF(OR(AND(F2140&lt;&gt;"",NOT(ISNUMBER(F2140))),N(F2140)&lt;0,N(F2140)&gt;1),"Remise invalide",IF(K2140="","Taux de TVA manquant",IF(NOT(ISNUMBER(K2140)),"Taux de TVA invalide",IF(COUNTIF(p_rates,K2140)=0,"Taux de TVA hors liste (Paramètres)",IF(N(O2140)&gt;25,"Au-delà de 25 lignes : non imprimée","OK")))))))))))))</f>
        <v/>
      </c>
      <c r="O2140" s="59" t="str">
        <f>IF(A2140="","",COUNTIF($A$6:A2140,A2140))</f>
        <v/>
      </c>
      <c r="P2140" s="62" t="str">
        <f>IF(A2140="","",A2140&amp;"|"&amp;O2140)</f>
        <v/>
      </c>
    </row>
    <row r="2141">
      <c r="A2141" s="60" t="n"/>
      <c r="B2141" s="63" t="n"/>
      <c r="C2141" s="63" t="n"/>
      <c r="D2141" s="67" t="n"/>
      <c r="E2141" s="68" t="n"/>
      <c r="F2141" s="69" t="n"/>
      <c r="G2141" s="70" t="n"/>
      <c r="H2141" s="62" t="str">
        <f>IF(COUNTA(A2141:G2141)=0,"",IF(C2141&lt;&gt;"",C2141,IF(B2141="","",IFERROR(INDEX(pr_des,MATCH(B2141,pr_code,0))&amp;"",""))))</f>
        <v/>
      </c>
      <c r="I2141" s="59" t="str">
        <f>IF(B2141="","",IFERROR(INDEX(pr_unit,MATCH(B2141,pr_code,0))&amp;"",""))</f>
        <v/>
      </c>
      <c r="J2141" s="65" t="str">
        <f>IF(COUNTA(A2141:G2141)=0,"",IF(E2141&lt;&gt;"",E2141,IF(B2141="","",IFERROR(IF(INDEX(pr_price,MATCH(B2141,pr_code,0))="","",INDEX(pr_price,MATCH(B2141,pr_code,0))),""))))</f>
        <v/>
      </c>
      <c r="K2141" s="71" t="str">
        <f>IF(COUNTA(A2141:G2141)=0,"",IF(G2141&lt;&gt;"",G2141,IF(B2141="","",IFERROR(IF(INDEX(pr_rate,MATCH(B2141,pr_code,0))="","",INDEX(pr_rate,MATCH(B2141,pr_code,0))),""))))</f>
        <v/>
      </c>
      <c r="L2141" s="65" t="str">
        <f>IF(COUNTA(A2141:G2141)=0,"",IF(AND(ISNUMBER(D2141),ISNUMBER(J2141)),ROUND(D2141*J2141*(1-N(F2141)),2),0))</f>
        <v/>
      </c>
      <c r="M2141" s="62" t="str">
        <f>IF(A2141="","",IFERROR(INDEX(dv_cname,MATCH(A2141,dv_num,0))&amp;"",""))</f>
        <v/>
      </c>
      <c r="N2141" s="59" t="str">
        <f>IF(COUNTA(A2141:G2141)=0,"",IF(A2141="","N° devis manquant",IF(ISNA(MATCH(A2141,dv_num,0)),"Devis inconnu",IF(AND(B2141&lt;&gt;"",ISNA(MATCH(B2141,pr_code,0))),"Article inconnu",IF(H2141="","Désignation manquante",IF(OR(NOT(ISNUMBER(D2141)),N(D2141)&lt;=0),"Quantité invalide",IF(J2141="","Prix manquant",IF(OR(NOT(ISNUMBER(J2141)),N(J2141)&lt;0),"Prix invalide",IF(OR(AND(F2141&lt;&gt;"",NOT(ISNUMBER(F2141))),N(F2141)&lt;0,N(F2141)&gt;1),"Remise invalide",IF(K2141="","Taux de TVA manquant",IF(NOT(ISNUMBER(K2141)),"Taux de TVA invalide",IF(COUNTIF(p_rates,K2141)=0,"Taux de TVA hors liste (Paramètres)",IF(N(O2141)&gt;25,"Au-delà de 25 lignes : non imprimée","OK")))))))))))))</f>
        <v/>
      </c>
      <c r="O2141" s="59" t="str">
        <f>IF(A2141="","",COUNTIF($A$6:A2141,A2141))</f>
        <v/>
      </c>
      <c r="P2141" s="62" t="str">
        <f>IF(A2141="","",A2141&amp;"|"&amp;O2141)</f>
        <v/>
      </c>
    </row>
    <row r="2142">
      <c r="A2142" s="60" t="n"/>
      <c r="B2142" s="63" t="n"/>
      <c r="C2142" s="63" t="n"/>
      <c r="D2142" s="67" t="n"/>
      <c r="E2142" s="68" t="n"/>
      <c r="F2142" s="69" t="n"/>
      <c r="G2142" s="70" t="n"/>
      <c r="H2142" s="62" t="str">
        <f>IF(COUNTA(A2142:G2142)=0,"",IF(C2142&lt;&gt;"",C2142,IF(B2142="","",IFERROR(INDEX(pr_des,MATCH(B2142,pr_code,0))&amp;"",""))))</f>
        <v/>
      </c>
      <c r="I2142" s="59" t="str">
        <f>IF(B2142="","",IFERROR(INDEX(pr_unit,MATCH(B2142,pr_code,0))&amp;"",""))</f>
        <v/>
      </c>
      <c r="J2142" s="65" t="str">
        <f>IF(COUNTA(A2142:G2142)=0,"",IF(E2142&lt;&gt;"",E2142,IF(B2142="","",IFERROR(IF(INDEX(pr_price,MATCH(B2142,pr_code,0))="","",INDEX(pr_price,MATCH(B2142,pr_code,0))),""))))</f>
        <v/>
      </c>
      <c r="K2142" s="71" t="str">
        <f>IF(COUNTA(A2142:G2142)=0,"",IF(G2142&lt;&gt;"",G2142,IF(B2142="","",IFERROR(IF(INDEX(pr_rate,MATCH(B2142,pr_code,0))="","",INDEX(pr_rate,MATCH(B2142,pr_code,0))),""))))</f>
        <v/>
      </c>
      <c r="L2142" s="65" t="str">
        <f>IF(COUNTA(A2142:G2142)=0,"",IF(AND(ISNUMBER(D2142),ISNUMBER(J2142)),ROUND(D2142*J2142*(1-N(F2142)),2),0))</f>
        <v/>
      </c>
      <c r="M2142" s="62" t="str">
        <f>IF(A2142="","",IFERROR(INDEX(dv_cname,MATCH(A2142,dv_num,0))&amp;"",""))</f>
        <v/>
      </c>
      <c r="N2142" s="59" t="str">
        <f>IF(COUNTA(A2142:G2142)=0,"",IF(A2142="","N° devis manquant",IF(ISNA(MATCH(A2142,dv_num,0)),"Devis inconnu",IF(AND(B2142&lt;&gt;"",ISNA(MATCH(B2142,pr_code,0))),"Article inconnu",IF(H2142="","Désignation manquante",IF(OR(NOT(ISNUMBER(D2142)),N(D2142)&lt;=0),"Quantité invalide",IF(J2142="","Prix manquant",IF(OR(NOT(ISNUMBER(J2142)),N(J2142)&lt;0),"Prix invalide",IF(OR(AND(F2142&lt;&gt;"",NOT(ISNUMBER(F2142))),N(F2142)&lt;0,N(F2142)&gt;1),"Remise invalide",IF(K2142="","Taux de TVA manquant",IF(NOT(ISNUMBER(K2142)),"Taux de TVA invalide",IF(COUNTIF(p_rates,K2142)=0,"Taux de TVA hors liste (Paramètres)",IF(N(O2142)&gt;25,"Au-delà de 25 lignes : non imprimée","OK")))))))))))))</f>
        <v/>
      </c>
      <c r="O2142" s="59" t="str">
        <f>IF(A2142="","",COUNTIF($A$6:A2142,A2142))</f>
        <v/>
      </c>
      <c r="P2142" s="62" t="str">
        <f>IF(A2142="","",A2142&amp;"|"&amp;O2142)</f>
        <v/>
      </c>
    </row>
    <row r="2143">
      <c r="A2143" s="60" t="n"/>
      <c r="B2143" s="63" t="n"/>
      <c r="C2143" s="63" t="n"/>
      <c r="D2143" s="67" t="n"/>
      <c r="E2143" s="68" t="n"/>
      <c r="F2143" s="69" t="n"/>
      <c r="G2143" s="70" t="n"/>
      <c r="H2143" s="62" t="str">
        <f>IF(COUNTA(A2143:G2143)=0,"",IF(C2143&lt;&gt;"",C2143,IF(B2143="","",IFERROR(INDEX(pr_des,MATCH(B2143,pr_code,0))&amp;"",""))))</f>
        <v/>
      </c>
      <c r="I2143" s="59" t="str">
        <f>IF(B2143="","",IFERROR(INDEX(pr_unit,MATCH(B2143,pr_code,0))&amp;"",""))</f>
        <v/>
      </c>
      <c r="J2143" s="65" t="str">
        <f>IF(COUNTA(A2143:G2143)=0,"",IF(E2143&lt;&gt;"",E2143,IF(B2143="","",IFERROR(IF(INDEX(pr_price,MATCH(B2143,pr_code,0))="","",INDEX(pr_price,MATCH(B2143,pr_code,0))),""))))</f>
        <v/>
      </c>
      <c r="K2143" s="71" t="str">
        <f>IF(COUNTA(A2143:G2143)=0,"",IF(G2143&lt;&gt;"",G2143,IF(B2143="","",IFERROR(IF(INDEX(pr_rate,MATCH(B2143,pr_code,0))="","",INDEX(pr_rate,MATCH(B2143,pr_code,0))),""))))</f>
        <v/>
      </c>
      <c r="L2143" s="65" t="str">
        <f>IF(COUNTA(A2143:G2143)=0,"",IF(AND(ISNUMBER(D2143),ISNUMBER(J2143)),ROUND(D2143*J2143*(1-N(F2143)),2),0))</f>
        <v/>
      </c>
      <c r="M2143" s="62" t="str">
        <f>IF(A2143="","",IFERROR(INDEX(dv_cname,MATCH(A2143,dv_num,0))&amp;"",""))</f>
        <v/>
      </c>
      <c r="N2143" s="59" t="str">
        <f>IF(COUNTA(A2143:G2143)=0,"",IF(A2143="","N° devis manquant",IF(ISNA(MATCH(A2143,dv_num,0)),"Devis inconnu",IF(AND(B2143&lt;&gt;"",ISNA(MATCH(B2143,pr_code,0))),"Article inconnu",IF(H2143="","Désignation manquante",IF(OR(NOT(ISNUMBER(D2143)),N(D2143)&lt;=0),"Quantité invalide",IF(J2143="","Prix manquant",IF(OR(NOT(ISNUMBER(J2143)),N(J2143)&lt;0),"Prix invalide",IF(OR(AND(F2143&lt;&gt;"",NOT(ISNUMBER(F2143))),N(F2143)&lt;0,N(F2143)&gt;1),"Remise invalide",IF(K2143="","Taux de TVA manquant",IF(NOT(ISNUMBER(K2143)),"Taux de TVA invalide",IF(COUNTIF(p_rates,K2143)=0,"Taux de TVA hors liste (Paramètres)",IF(N(O2143)&gt;25,"Au-delà de 25 lignes : non imprimée","OK")))))))))))))</f>
        <v/>
      </c>
      <c r="O2143" s="59" t="str">
        <f>IF(A2143="","",COUNTIF($A$6:A2143,A2143))</f>
        <v/>
      </c>
      <c r="P2143" s="62" t="str">
        <f>IF(A2143="","",A2143&amp;"|"&amp;O2143)</f>
        <v/>
      </c>
    </row>
    <row r="2144">
      <c r="A2144" s="60" t="n"/>
      <c r="B2144" s="63" t="n"/>
      <c r="C2144" s="63" t="n"/>
      <c r="D2144" s="67" t="n"/>
      <c r="E2144" s="68" t="n"/>
      <c r="F2144" s="69" t="n"/>
      <c r="G2144" s="70" t="n"/>
      <c r="H2144" s="62" t="str">
        <f>IF(COUNTA(A2144:G2144)=0,"",IF(C2144&lt;&gt;"",C2144,IF(B2144="","",IFERROR(INDEX(pr_des,MATCH(B2144,pr_code,0))&amp;"",""))))</f>
        <v/>
      </c>
      <c r="I2144" s="59" t="str">
        <f>IF(B2144="","",IFERROR(INDEX(pr_unit,MATCH(B2144,pr_code,0))&amp;"",""))</f>
        <v/>
      </c>
      <c r="J2144" s="65" t="str">
        <f>IF(COUNTA(A2144:G2144)=0,"",IF(E2144&lt;&gt;"",E2144,IF(B2144="","",IFERROR(IF(INDEX(pr_price,MATCH(B2144,pr_code,0))="","",INDEX(pr_price,MATCH(B2144,pr_code,0))),""))))</f>
        <v/>
      </c>
      <c r="K2144" s="71" t="str">
        <f>IF(COUNTA(A2144:G2144)=0,"",IF(G2144&lt;&gt;"",G2144,IF(B2144="","",IFERROR(IF(INDEX(pr_rate,MATCH(B2144,pr_code,0))="","",INDEX(pr_rate,MATCH(B2144,pr_code,0))),""))))</f>
        <v/>
      </c>
      <c r="L2144" s="65" t="str">
        <f>IF(COUNTA(A2144:G2144)=0,"",IF(AND(ISNUMBER(D2144),ISNUMBER(J2144)),ROUND(D2144*J2144*(1-N(F2144)),2),0))</f>
        <v/>
      </c>
      <c r="M2144" s="62" t="str">
        <f>IF(A2144="","",IFERROR(INDEX(dv_cname,MATCH(A2144,dv_num,0))&amp;"",""))</f>
        <v/>
      </c>
      <c r="N2144" s="59" t="str">
        <f>IF(COUNTA(A2144:G2144)=0,"",IF(A2144="","N° devis manquant",IF(ISNA(MATCH(A2144,dv_num,0)),"Devis inconnu",IF(AND(B2144&lt;&gt;"",ISNA(MATCH(B2144,pr_code,0))),"Article inconnu",IF(H2144="","Désignation manquante",IF(OR(NOT(ISNUMBER(D2144)),N(D2144)&lt;=0),"Quantité invalide",IF(J2144="","Prix manquant",IF(OR(NOT(ISNUMBER(J2144)),N(J2144)&lt;0),"Prix invalide",IF(OR(AND(F2144&lt;&gt;"",NOT(ISNUMBER(F2144))),N(F2144)&lt;0,N(F2144)&gt;1),"Remise invalide",IF(K2144="","Taux de TVA manquant",IF(NOT(ISNUMBER(K2144)),"Taux de TVA invalide",IF(COUNTIF(p_rates,K2144)=0,"Taux de TVA hors liste (Paramètres)",IF(N(O2144)&gt;25,"Au-delà de 25 lignes : non imprimée","OK")))))))))))))</f>
        <v/>
      </c>
      <c r="O2144" s="59" t="str">
        <f>IF(A2144="","",COUNTIF($A$6:A2144,A2144))</f>
        <v/>
      </c>
      <c r="P2144" s="62" t="str">
        <f>IF(A2144="","",A2144&amp;"|"&amp;O2144)</f>
        <v/>
      </c>
    </row>
    <row r="2145">
      <c r="A2145" s="60" t="n"/>
      <c r="B2145" s="63" t="n"/>
      <c r="C2145" s="63" t="n"/>
      <c r="D2145" s="67" t="n"/>
      <c r="E2145" s="68" t="n"/>
      <c r="F2145" s="69" t="n"/>
      <c r="G2145" s="70" t="n"/>
      <c r="H2145" s="62" t="str">
        <f>IF(COUNTA(A2145:G2145)=0,"",IF(C2145&lt;&gt;"",C2145,IF(B2145="","",IFERROR(INDEX(pr_des,MATCH(B2145,pr_code,0))&amp;"",""))))</f>
        <v/>
      </c>
      <c r="I2145" s="59" t="str">
        <f>IF(B2145="","",IFERROR(INDEX(pr_unit,MATCH(B2145,pr_code,0))&amp;"",""))</f>
        <v/>
      </c>
      <c r="J2145" s="65" t="str">
        <f>IF(COUNTA(A2145:G2145)=0,"",IF(E2145&lt;&gt;"",E2145,IF(B2145="","",IFERROR(IF(INDEX(pr_price,MATCH(B2145,pr_code,0))="","",INDEX(pr_price,MATCH(B2145,pr_code,0))),""))))</f>
        <v/>
      </c>
      <c r="K2145" s="71" t="str">
        <f>IF(COUNTA(A2145:G2145)=0,"",IF(G2145&lt;&gt;"",G2145,IF(B2145="","",IFERROR(IF(INDEX(pr_rate,MATCH(B2145,pr_code,0))="","",INDEX(pr_rate,MATCH(B2145,pr_code,0))),""))))</f>
        <v/>
      </c>
      <c r="L2145" s="65" t="str">
        <f>IF(COUNTA(A2145:G2145)=0,"",IF(AND(ISNUMBER(D2145),ISNUMBER(J2145)),ROUND(D2145*J2145*(1-N(F2145)),2),0))</f>
        <v/>
      </c>
      <c r="M2145" s="62" t="str">
        <f>IF(A2145="","",IFERROR(INDEX(dv_cname,MATCH(A2145,dv_num,0))&amp;"",""))</f>
        <v/>
      </c>
      <c r="N2145" s="59" t="str">
        <f>IF(COUNTA(A2145:G2145)=0,"",IF(A2145="","N° devis manquant",IF(ISNA(MATCH(A2145,dv_num,0)),"Devis inconnu",IF(AND(B2145&lt;&gt;"",ISNA(MATCH(B2145,pr_code,0))),"Article inconnu",IF(H2145="","Désignation manquante",IF(OR(NOT(ISNUMBER(D2145)),N(D2145)&lt;=0),"Quantité invalide",IF(J2145="","Prix manquant",IF(OR(NOT(ISNUMBER(J2145)),N(J2145)&lt;0),"Prix invalide",IF(OR(AND(F2145&lt;&gt;"",NOT(ISNUMBER(F2145))),N(F2145)&lt;0,N(F2145)&gt;1),"Remise invalide",IF(K2145="","Taux de TVA manquant",IF(NOT(ISNUMBER(K2145)),"Taux de TVA invalide",IF(COUNTIF(p_rates,K2145)=0,"Taux de TVA hors liste (Paramètres)",IF(N(O2145)&gt;25,"Au-delà de 25 lignes : non imprimée","OK")))))))))))))</f>
        <v/>
      </c>
      <c r="O2145" s="59" t="str">
        <f>IF(A2145="","",COUNTIF($A$6:A2145,A2145))</f>
        <v/>
      </c>
      <c r="P2145" s="62" t="str">
        <f>IF(A2145="","",A2145&amp;"|"&amp;O2145)</f>
        <v/>
      </c>
    </row>
    <row r="2146">
      <c r="A2146" s="60" t="n"/>
      <c r="B2146" s="63" t="n"/>
      <c r="C2146" s="63" t="n"/>
      <c r="D2146" s="67" t="n"/>
      <c r="E2146" s="68" t="n"/>
      <c r="F2146" s="69" t="n"/>
      <c r="G2146" s="70" t="n"/>
      <c r="H2146" s="62" t="str">
        <f>IF(COUNTA(A2146:G2146)=0,"",IF(C2146&lt;&gt;"",C2146,IF(B2146="","",IFERROR(INDEX(pr_des,MATCH(B2146,pr_code,0))&amp;"",""))))</f>
        <v/>
      </c>
      <c r="I2146" s="59" t="str">
        <f>IF(B2146="","",IFERROR(INDEX(pr_unit,MATCH(B2146,pr_code,0))&amp;"",""))</f>
        <v/>
      </c>
      <c r="J2146" s="65" t="str">
        <f>IF(COUNTA(A2146:G2146)=0,"",IF(E2146&lt;&gt;"",E2146,IF(B2146="","",IFERROR(IF(INDEX(pr_price,MATCH(B2146,pr_code,0))="","",INDEX(pr_price,MATCH(B2146,pr_code,0))),""))))</f>
        <v/>
      </c>
      <c r="K2146" s="71" t="str">
        <f>IF(COUNTA(A2146:G2146)=0,"",IF(G2146&lt;&gt;"",G2146,IF(B2146="","",IFERROR(IF(INDEX(pr_rate,MATCH(B2146,pr_code,0))="","",INDEX(pr_rate,MATCH(B2146,pr_code,0))),""))))</f>
        <v/>
      </c>
      <c r="L2146" s="65" t="str">
        <f>IF(COUNTA(A2146:G2146)=0,"",IF(AND(ISNUMBER(D2146),ISNUMBER(J2146)),ROUND(D2146*J2146*(1-N(F2146)),2),0))</f>
        <v/>
      </c>
      <c r="M2146" s="62" t="str">
        <f>IF(A2146="","",IFERROR(INDEX(dv_cname,MATCH(A2146,dv_num,0))&amp;"",""))</f>
        <v/>
      </c>
      <c r="N2146" s="59" t="str">
        <f>IF(COUNTA(A2146:G2146)=0,"",IF(A2146="","N° devis manquant",IF(ISNA(MATCH(A2146,dv_num,0)),"Devis inconnu",IF(AND(B2146&lt;&gt;"",ISNA(MATCH(B2146,pr_code,0))),"Article inconnu",IF(H2146="","Désignation manquante",IF(OR(NOT(ISNUMBER(D2146)),N(D2146)&lt;=0),"Quantité invalide",IF(J2146="","Prix manquant",IF(OR(NOT(ISNUMBER(J2146)),N(J2146)&lt;0),"Prix invalide",IF(OR(AND(F2146&lt;&gt;"",NOT(ISNUMBER(F2146))),N(F2146)&lt;0,N(F2146)&gt;1),"Remise invalide",IF(K2146="","Taux de TVA manquant",IF(NOT(ISNUMBER(K2146)),"Taux de TVA invalide",IF(COUNTIF(p_rates,K2146)=0,"Taux de TVA hors liste (Paramètres)",IF(N(O2146)&gt;25,"Au-delà de 25 lignes : non imprimée","OK")))))))))))))</f>
        <v/>
      </c>
      <c r="O2146" s="59" t="str">
        <f>IF(A2146="","",COUNTIF($A$6:A2146,A2146))</f>
        <v/>
      </c>
      <c r="P2146" s="62" t="str">
        <f>IF(A2146="","",A2146&amp;"|"&amp;O2146)</f>
        <v/>
      </c>
    </row>
    <row r="2147">
      <c r="A2147" s="60" t="n"/>
      <c r="B2147" s="63" t="n"/>
      <c r="C2147" s="63" t="n"/>
      <c r="D2147" s="67" t="n"/>
      <c r="E2147" s="68" t="n"/>
      <c r="F2147" s="69" t="n"/>
      <c r="G2147" s="70" t="n"/>
      <c r="H2147" s="62" t="str">
        <f>IF(COUNTA(A2147:G2147)=0,"",IF(C2147&lt;&gt;"",C2147,IF(B2147="","",IFERROR(INDEX(pr_des,MATCH(B2147,pr_code,0))&amp;"",""))))</f>
        <v/>
      </c>
      <c r="I2147" s="59" t="str">
        <f>IF(B2147="","",IFERROR(INDEX(pr_unit,MATCH(B2147,pr_code,0))&amp;"",""))</f>
        <v/>
      </c>
      <c r="J2147" s="65" t="str">
        <f>IF(COUNTA(A2147:G2147)=0,"",IF(E2147&lt;&gt;"",E2147,IF(B2147="","",IFERROR(IF(INDEX(pr_price,MATCH(B2147,pr_code,0))="","",INDEX(pr_price,MATCH(B2147,pr_code,0))),""))))</f>
        <v/>
      </c>
      <c r="K2147" s="71" t="str">
        <f>IF(COUNTA(A2147:G2147)=0,"",IF(G2147&lt;&gt;"",G2147,IF(B2147="","",IFERROR(IF(INDEX(pr_rate,MATCH(B2147,pr_code,0))="","",INDEX(pr_rate,MATCH(B2147,pr_code,0))),""))))</f>
        <v/>
      </c>
      <c r="L2147" s="65" t="str">
        <f>IF(COUNTA(A2147:G2147)=0,"",IF(AND(ISNUMBER(D2147),ISNUMBER(J2147)),ROUND(D2147*J2147*(1-N(F2147)),2),0))</f>
        <v/>
      </c>
      <c r="M2147" s="62" t="str">
        <f>IF(A2147="","",IFERROR(INDEX(dv_cname,MATCH(A2147,dv_num,0))&amp;"",""))</f>
        <v/>
      </c>
      <c r="N2147" s="59" t="str">
        <f>IF(COUNTA(A2147:G2147)=0,"",IF(A2147="","N° devis manquant",IF(ISNA(MATCH(A2147,dv_num,0)),"Devis inconnu",IF(AND(B2147&lt;&gt;"",ISNA(MATCH(B2147,pr_code,0))),"Article inconnu",IF(H2147="","Désignation manquante",IF(OR(NOT(ISNUMBER(D2147)),N(D2147)&lt;=0),"Quantité invalide",IF(J2147="","Prix manquant",IF(OR(NOT(ISNUMBER(J2147)),N(J2147)&lt;0),"Prix invalide",IF(OR(AND(F2147&lt;&gt;"",NOT(ISNUMBER(F2147))),N(F2147)&lt;0,N(F2147)&gt;1),"Remise invalide",IF(K2147="","Taux de TVA manquant",IF(NOT(ISNUMBER(K2147)),"Taux de TVA invalide",IF(COUNTIF(p_rates,K2147)=0,"Taux de TVA hors liste (Paramètres)",IF(N(O2147)&gt;25,"Au-delà de 25 lignes : non imprimée","OK")))))))))))))</f>
        <v/>
      </c>
      <c r="O2147" s="59" t="str">
        <f>IF(A2147="","",COUNTIF($A$6:A2147,A2147))</f>
        <v/>
      </c>
      <c r="P2147" s="62" t="str">
        <f>IF(A2147="","",A2147&amp;"|"&amp;O2147)</f>
        <v/>
      </c>
    </row>
    <row r="2148">
      <c r="A2148" s="60" t="n"/>
      <c r="B2148" s="63" t="n"/>
      <c r="C2148" s="63" t="n"/>
      <c r="D2148" s="67" t="n"/>
      <c r="E2148" s="68" t="n"/>
      <c r="F2148" s="69" t="n"/>
      <c r="G2148" s="70" t="n"/>
      <c r="H2148" s="62" t="str">
        <f>IF(COUNTA(A2148:G2148)=0,"",IF(C2148&lt;&gt;"",C2148,IF(B2148="","",IFERROR(INDEX(pr_des,MATCH(B2148,pr_code,0))&amp;"",""))))</f>
        <v/>
      </c>
      <c r="I2148" s="59" t="str">
        <f>IF(B2148="","",IFERROR(INDEX(pr_unit,MATCH(B2148,pr_code,0))&amp;"",""))</f>
        <v/>
      </c>
      <c r="J2148" s="65" t="str">
        <f>IF(COUNTA(A2148:G2148)=0,"",IF(E2148&lt;&gt;"",E2148,IF(B2148="","",IFERROR(IF(INDEX(pr_price,MATCH(B2148,pr_code,0))="","",INDEX(pr_price,MATCH(B2148,pr_code,0))),""))))</f>
        <v/>
      </c>
      <c r="K2148" s="71" t="str">
        <f>IF(COUNTA(A2148:G2148)=0,"",IF(G2148&lt;&gt;"",G2148,IF(B2148="","",IFERROR(IF(INDEX(pr_rate,MATCH(B2148,pr_code,0))="","",INDEX(pr_rate,MATCH(B2148,pr_code,0))),""))))</f>
        <v/>
      </c>
      <c r="L2148" s="65" t="str">
        <f>IF(COUNTA(A2148:G2148)=0,"",IF(AND(ISNUMBER(D2148),ISNUMBER(J2148)),ROUND(D2148*J2148*(1-N(F2148)),2),0))</f>
        <v/>
      </c>
      <c r="M2148" s="62" t="str">
        <f>IF(A2148="","",IFERROR(INDEX(dv_cname,MATCH(A2148,dv_num,0))&amp;"",""))</f>
        <v/>
      </c>
      <c r="N2148" s="59" t="str">
        <f>IF(COUNTA(A2148:G2148)=0,"",IF(A2148="","N° devis manquant",IF(ISNA(MATCH(A2148,dv_num,0)),"Devis inconnu",IF(AND(B2148&lt;&gt;"",ISNA(MATCH(B2148,pr_code,0))),"Article inconnu",IF(H2148="","Désignation manquante",IF(OR(NOT(ISNUMBER(D2148)),N(D2148)&lt;=0),"Quantité invalide",IF(J2148="","Prix manquant",IF(OR(NOT(ISNUMBER(J2148)),N(J2148)&lt;0),"Prix invalide",IF(OR(AND(F2148&lt;&gt;"",NOT(ISNUMBER(F2148))),N(F2148)&lt;0,N(F2148)&gt;1),"Remise invalide",IF(K2148="","Taux de TVA manquant",IF(NOT(ISNUMBER(K2148)),"Taux de TVA invalide",IF(COUNTIF(p_rates,K2148)=0,"Taux de TVA hors liste (Paramètres)",IF(N(O2148)&gt;25,"Au-delà de 25 lignes : non imprimée","OK")))))))))))))</f>
        <v/>
      </c>
      <c r="O2148" s="59" t="str">
        <f>IF(A2148="","",COUNTIF($A$6:A2148,A2148))</f>
        <v/>
      </c>
      <c r="P2148" s="62" t="str">
        <f>IF(A2148="","",A2148&amp;"|"&amp;O2148)</f>
        <v/>
      </c>
    </row>
    <row r="2149">
      <c r="A2149" s="60" t="n"/>
      <c r="B2149" s="63" t="n"/>
      <c r="C2149" s="63" t="n"/>
      <c r="D2149" s="67" t="n"/>
      <c r="E2149" s="68" t="n"/>
      <c r="F2149" s="69" t="n"/>
      <c r="G2149" s="70" t="n"/>
      <c r="H2149" s="62" t="str">
        <f>IF(COUNTA(A2149:G2149)=0,"",IF(C2149&lt;&gt;"",C2149,IF(B2149="","",IFERROR(INDEX(pr_des,MATCH(B2149,pr_code,0))&amp;"",""))))</f>
        <v/>
      </c>
      <c r="I2149" s="59" t="str">
        <f>IF(B2149="","",IFERROR(INDEX(pr_unit,MATCH(B2149,pr_code,0))&amp;"",""))</f>
        <v/>
      </c>
      <c r="J2149" s="65" t="str">
        <f>IF(COUNTA(A2149:G2149)=0,"",IF(E2149&lt;&gt;"",E2149,IF(B2149="","",IFERROR(IF(INDEX(pr_price,MATCH(B2149,pr_code,0))="","",INDEX(pr_price,MATCH(B2149,pr_code,0))),""))))</f>
        <v/>
      </c>
      <c r="K2149" s="71" t="str">
        <f>IF(COUNTA(A2149:G2149)=0,"",IF(G2149&lt;&gt;"",G2149,IF(B2149="","",IFERROR(IF(INDEX(pr_rate,MATCH(B2149,pr_code,0))="","",INDEX(pr_rate,MATCH(B2149,pr_code,0))),""))))</f>
        <v/>
      </c>
      <c r="L2149" s="65" t="str">
        <f>IF(COUNTA(A2149:G2149)=0,"",IF(AND(ISNUMBER(D2149),ISNUMBER(J2149)),ROUND(D2149*J2149*(1-N(F2149)),2),0))</f>
        <v/>
      </c>
      <c r="M2149" s="62" t="str">
        <f>IF(A2149="","",IFERROR(INDEX(dv_cname,MATCH(A2149,dv_num,0))&amp;"",""))</f>
        <v/>
      </c>
      <c r="N2149" s="59" t="str">
        <f>IF(COUNTA(A2149:G2149)=0,"",IF(A2149="","N° devis manquant",IF(ISNA(MATCH(A2149,dv_num,0)),"Devis inconnu",IF(AND(B2149&lt;&gt;"",ISNA(MATCH(B2149,pr_code,0))),"Article inconnu",IF(H2149="","Désignation manquante",IF(OR(NOT(ISNUMBER(D2149)),N(D2149)&lt;=0),"Quantité invalide",IF(J2149="","Prix manquant",IF(OR(NOT(ISNUMBER(J2149)),N(J2149)&lt;0),"Prix invalide",IF(OR(AND(F2149&lt;&gt;"",NOT(ISNUMBER(F2149))),N(F2149)&lt;0,N(F2149)&gt;1),"Remise invalide",IF(K2149="","Taux de TVA manquant",IF(NOT(ISNUMBER(K2149)),"Taux de TVA invalide",IF(COUNTIF(p_rates,K2149)=0,"Taux de TVA hors liste (Paramètres)",IF(N(O2149)&gt;25,"Au-delà de 25 lignes : non imprimée","OK")))))))))))))</f>
        <v/>
      </c>
      <c r="O2149" s="59" t="str">
        <f>IF(A2149="","",COUNTIF($A$6:A2149,A2149))</f>
        <v/>
      </c>
      <c r="P2149" s="62" t="str">
        <f>IF(A2149="","",A2149&amp;"|"&amp;O2149)</f>
        <v/>
      </c>
    </row>
    <row r="2150">
      <c r="A2150" s="60" t="n"/>
      <c r="B2150" s="63" t="n"/>
      <c r="C2150" s="63" t="n"/>
      <c r="D2150" s="67" t="n"/>
      <c r="E2150" s="68" t="n"/>
      <c r="F2150" s="69" t="n"/>
      <c r="G2150" s="70" t="n"/>
      <c r="H2150" s="62" t="str">
        <f>IF(COUNTA(A2150:G2150)=0,"",IF(C2150&lt;&gt;"",C2150,IF(B2150="","",IFERROR(INDEX(pr_des,MATCH(B2150,pr_code,0))&amp;"",""))))</f>
        <v/>
      </c>
      <c r="I2150" s="59" t="str">
        <f>IF(B2150="","",IFERROR(INDEX(pr_unit,MATCH(B2150,pr_code,0))&amp;"",""))</f>
        <v/>
      </c>
      <c r="J2150" s="65" t="str">
        <f>IF(COUNTA(A2150:G2150)=0,"",IF(E2150&lt;&gt;"",E2150,IF(B2150="","",IFERROR(IF(INDEX(pr_price,MATCH(B2150,pr_code,0))="","",INDEX(pr_price,MATCH(B2150,pr_code,0))),""))))</f>
        <v/>
      </c>
      <c r="K2150" s="71" t="str">
        <f>IF(COUNTA(A2150:G2150)=0,"",IF(G2150&lt;&gt;"",G2150,IF(B2150="","",IFERROR(IF(INDEX(pr_rate,MATCH(B2150,pr_code,0))="","",INDEX(pr_rate,MATCH(B2150,pr_code,0))),""))))</f>
        <v/>
      </c>
      <c r="L2150" s="65" t="str">
        <f>IF(COUNTA(A2150:G2150)=0,"",IF(AND(ISNUMBER(D2150),ISNUMBER(J2150)),ROUND(D2150*J2150*(1-N(F2150)),2),0))</f>
        <v/>
      </c>
      <c r="M2150" s="62" t="str">
        <f>IF(A2150="","",IFERROR(INDEX(dv_cname,MATCH(A2150,dv_num,0))&amp;"",""))</f>
        <v/>
      </c>
      <c r="N2150" s="59" t="str">
        <f>IF(COUNTA(A2150:G2150)=0,"",IF(A2150="","N° devis manquant",IF(ISNA(MATCH(A2150,dv_num,0)),"Devis inconnu",IF(AND(B2150&lt;&gt;"",ISNA(MATCH(B2150,pr_code,0))),"Article inconnu",IF(H2150="","Désignation manquante",IF(OR(NOT(ISNUMBER(D2150)),N(D2150)&lt;=0),"Quantité invalide",IF(J2150="","Prix manquant",IF(OR(NOT(ISNUMBER(J2150)),N(J2150)&lt;0),"Prix invalide",IF(OR(AND(F2150&lt;&gt;"",NOT(ISNUMBER(F2150))),N(F2150)&lt;0,N(F2150)&gt;1),"Remise invalide",IF(K2150="","Taux de TVA manquant",IF(NOT(ISNUMBER(K2150)),"Taux de TVA invalide",IF(COUNTIF(p_rates,K2150)=0,"Taux de TVA hors liste (Paramètres)",IF(N(O2150)&gt;25,"Au-delà de 25 lignes : non imprimée","OK")))))))))))))</f>
        <v/>
      </c>
      <c r="O2150" s="59" t="str">
        <f>IF(A2150="","",COUNTIF($A$6:A2150,A2150))</f>
        <v/>
      </c>
      <c r="P2150" s="62" t="str">
        <f>IF(A2150="","",A2150&amp;"|"&amp;O2150)</f>
        <v/>
      </c>
    </row>
    <row r="2151">
      <c r="A2151" s="60" t="n"/>
      <c r="B2151" s="63" t="n"/>
      <c r="C2151" s="63" t="n"/>
      <c r="D2151" s="67" t="n"/>
      <c r="E2151" s="68" t="n"/>
      <c r="F2151" s="69" t="n"/>
      <c r="G2151" s="70" t="n"/>
      <c r="H2151" s="62" t="str">
        <f>IF(COUNTA(A2151:G2151)=0,"",IF(C2151&lt;&gt;"",C2151,IF(B2151="","",IFERROR(INDEX(pr_des,MATCH(B2151,pr_code,0))&amp;"",""))))</f>
        <v/>
      </c>
      <c r="I2151" s="59" t="str">
        <f>IF(B2151="","",IFERROR(INDEX(pr_unit,MATCH(B2151,pr_code,0))&amp;"",""))</f>
        <v/>
      </c>
      <c r="J2151" s="65" t="str">
        <f>IF(COUNTA(A2151:G2151)=0,"",IF(E2151&lt;&gt;"",E2151,IF(B2151="","",IFERROR(IF(INDEX(pr_price,MATCH(B2151,pr_code,0))="","",INDEX(pr_price,MATCH(B2151,pr_code,0))),""))))</f>
        <v/>
      </c>
      <c r="K2151" s="71" t="str">
        <f>IF(COUNTA(A2151:G2151)=0,"",IF(G2151&lt;&gt;"",G2151,IF(B2151="","",IFERROR(IF(INDEX(pr_rate,MATCH(B2151,pr_code,0))="","",INDEX(pr_rate,MATCH(B2151,pr_code,0))),""))))</f>
        <v/>
      </c>
      <c r="L2151" s="65" t="str">
        <f>IF(COUNTA(A2151:G2151)=0,"",IF(AND(ISNUMBER(D2151),ISNUMBER(J2151)),ROUND(D2151*J2151*(1-N(F2151)),2),0))</f>
        <v/>
      </c>
      <c r="M2151" s="62" t="str">
        <f>IF(A2151="","",IFERROR(INDEX(dv_cname,MATCH(A2151,dv_num,0))&amp;"",""))</f>
        <v/>
      </c>
      <c r="N2151" s="59" t="str">
        <f>IF(COUNTA(A2151:G2151)=0,"",IF(A2151="","N° devis manquant",IF(ISNA(MATCH(A2151,dv_num,0)),"Devis inconnu",IF(AND(B2151&lt;&gt;"",ISNA(MATCH(B2151,pr_code,0))),"Article inconnu",IF(H2151="","Désignation manquante",IF(OR(NOT(ISNUMBER(D2151)),N(D2151)&lt;=0),"Quantité invalide",IF(J2151="","Prix manquant",IF(OR(NOT(ISNUMBER(J2151)),N(J2151)&lt;0),"Prix invalide",IF(OR(AND(F2151&lt;&gt;"",NOT(ISNUMBER(F2151))),N(F2151)&lt;0,N(F2151)&gt;1),"Remise invalide",IF(K2151="","Taux de TVA manquant",IF(NOT(ISNUMBER(K2151)),"Taux de TVA invalide",IF(COUNTIF(p_rates,K2151)=0,"Taux de TVA hors liste (Paramètres)",IF(N(O2151)&gt;25,"Au-delà de 25 lignes : non imprimée","OK")))))))))))))</f>
        <v/>
      </c>
      <c r="O2151" s="59" t="str">
        <f>IF(A2151="","",COUNTIF($A$6:A2151,A2151))</f>
        <v/>
      </c>
      <c r="P2151" s="62" t="str">
        <f>IF(A2151="","",A2151&amp;"|"&amp;O2151)</f>
        <v/>
      </c>
    </row>
    <row r="2152">
      <c r="A2152" s="60" t="n"/>
      <c r="B2152" s="63" t="n"/>
      <c r="C2152" s="63" t="n"/>
      <c r="D2152" s="67" t="n"/>
      <c r="E2152" s="68" t="n"/>
      <c r="F2152" s="69" t="n"/>
      <c r="G2152" s="70" t="n"/>
      <c r="H2152" s="62" t="str">
        <f>IF(COUNTA(A2152:G2152)=0,"",IF(C2152&lt;&gt;"",C2152,IF(B2152="","",IFERROR(INDEX(pr_des,MATCH(B2152,pr_code,0))&amp;"",""))))</f>
        <v/>
      </c>
      <c r="I2152" s="59" t="str">
        <f>IF(B2152="","",IFERROR(INDEX(pr_unit,MATCH(B2152,pr_code,0))&amp;"",""))</f>
        <v/>
      </c>
      <c r="J2152" s="65" t="str">
        <f>IF(COUNTA(A2152:G2152)=0,"",IF(E2152&lt;&gt;"",E2152,IF(B2152="","",IFERROR(IF(INDEX(pr_price,MATCH(B2152,pr_code,0))="","",INDEX(pr_price,MATCH(B2152,pr_code,0))),""))))</f>
        <v/>
      </c>
      <c r="K2152" s="71" t="str">
        <f>IF(COUNTA(A2152:G2152)=0,"",IF(G2152&lt;&gt;"",G2152,IF(B2152="","",IFERROR(IF(INDEX(pr_rate,MATCH(B2152,pr_code,0))="","",INDEX(pr_rate,MATCH(B2152,pr_code,0))),""))))</f>
        <v/>
      </c>
      <c r="L2152" s="65" t="str">
        <f>IF(COUNTA(A2152:G2152)=0,"",IF(AND(ISNUMBER(D2152),ISNUMBER(J2152)),ROUND(D2152*J2152*(1-N(F2152)),2),0))</f>
        <v/>
      </c>
      <c r="M2152" s="62" t="str">
        <f>IF(A2152="","",IFERROR(INDEX(dv_cname,MATCH(A2152,dv_num,0))&amp;"",""))</f>
        <v/>
      </c>
      <c r="N2152" s="59" t="str">
        <f>IF(COUNTA(A2152:G2152)=0,"",IF(A2152="","N° devis manquant",IF(ISNA(MATCH(A2152,dv_num,0)),"Devis inconnu",IF(AND(B2152&lt;&gt;"",ISNA(MATCH(B2152,pr_code,0))),"Article inconnu",IF(H2152="","Désignation manquante",IF(OR(NOT(ISNUMBER(D2152)),N(D2152)&lt;=0),"Quantité invalide",IF(J2152="","Prix manquant",IF(OR(NOT(ISNUMBER(J2152)),N(J2152)&lt;0),"Prix invalide",IF(OR(AND(F2152&lt;&gt;"",NOT(ISNUMBER(F2152))),N(F2152)&lt;0,N(F2152)&gt;1),"Remise invalide",IF(K2152="","Taux de TVA manquant",IF(NOT(ISNUMBER(K2152)),"Taux de TVA invalide",IF(COUNTIF(p_rates,K2152)=0,"Taux de TVA hors liste (Paramètres)",IF(N(O2152)&gt;25,"Au-delà de 25 lignes : non imprimée","OK")))))))))))))</f>
        <v/>
      </c>
      <c r="O2152" s="59" t="str">
        <f>IF(A2152="","",COUNTIF($A$6:A2152,A2152))</f>
        <v/>
      </c>
      <c r="P2152" s="62" t="str">
        <f>IF(A2152="","",A2152&amp;"|"&amp;O2152)</f>
        <v/>
      </c>
    </row>
    <row r="2153">
      <c r="A2153" s="60" t="n"/>
      <c r="B2153" s="63" t="n"/>
      <c r="C2153" s="63" t="n"/>
      <c r="D2153" s="67" t="n"/>
      <c r="E2153" s="68" t="n"/>
      <c r="F2153" s="69" t="n"/>
      <c r="G2153" s="70" t="n"/>
      <c r="H2153" s="62" t="str">
        <f>IF(COUNTA(A2153:G2153)=0,"",IF(C2153&lt;&gt;"",C2153,IF(B2153="","",IFERROR(INDEX(pr_des,MATCH(B2153,pr_code,0))&amp;"",""))))</f>
        <v/>
      </c>
      <c r="I2153" s="59" t="str">
        <f>IF(B2153="","",IFERROR(INDEX(pr_unit,MATCH(B2153,pr_code,0))&amp;"",""))</f>
        <v/>
      </c>
      <c r="J2153" s="65" t="str">
        <f>IF(COUNTA(A2153:G2153)=0,"",IF(E2153&lt;&gt;"",E2153,IF(B2153="","",IFERROR(IF(INDEX(pr_price,MATCH(B2153,pr_code,0))="","",INDEX(pr_price,MATCH(B2153,pr_code,0))),""))))</f>
        <v/>
      </c>
      <c r="K2153" s="71" t="str">
        <f>IF(COUNTA(A2153:G2153)=0,"",IF(G2153&lt;&gt;"",G2153,IF(B2153="","",IFERROR(IF(INDEX(pr_rate,MATCH(B2153,pr_code,0))="","",INDEX(pr_rate,MATCH(B2153,pr_code,0))),""))))</f>
        <v/>
      </c>
      <c r="L2153" s="65" t="str">
        <f>IF(COUNTA(A2153:G2153)=0,"",IF(AND(ISNUMBER(D2153),ISNUMBER(J2153)),ROUND(D2153*J2153*(1-N(F2153)),2),0))</f>
        <v/>
      </c>
      <c r="M2153" s="62" t="str">
        <f>IF(A2153="","",IFERROR(INDEX(dv_cname,MATCH(A2153,dv_num,0))&amp;"",""))</f>
        <v/>
      </c>
      <c r="N2153" s="59" t="str">
        <f>IF(COUNTA(A2153:G2153)=0,"",IF(A2153="","N° devis manquant",IF(ISNA(MATCH(A2153,dv_num,0)),"Devis inconnu",IF(AND(B2153&lt;&gt;"",ISNA(MATCH(B2153,pr_code,0))),"Article inconnu",IF(H2153="","Désignation manquante",IF(OR(NOT(ISNUMBER(D2153)),N(D2153)&lt;=0),"Quantité invalide",IF(J2153="","Prix manquant",IF(OR(NOT(ISNUMBER(J2153)),N(J2153)&lt;0),"Prix invalide",IF(OR(AND(F2153&lt;&gt;"",NOT(ISNUMBER(F2153))),N(F2153)&lt;0,N(F2153)&gt;1),"Remise invalide",IF(K2153="","Taux de TVA manquant",IF(NOT(ISNUMBER(K2153)),"Taux de TVA invalide",IF(COUNTIF(p_rates,K2153)=0,"Taux de TVA hors liste (Paramètres)",IF(N(O2153)&gt;25,"Au-delà de 25 lignes : non imprimée","OK")))))))))))))</f>
        <v/>
      </c>
      <c r="O2153" s="59" t="str">
        <f>IF(A2153="","",COUNTIF($A$6:A2153,A2153))</f>
        <v/>
      </c>
      <c r="P2153" s="62" t="str">
        <f>IF(A2153="","",A2153&amp;"|"&amp;O2153)</f>
        <v/>
      </c>
    </row>
    <row r="2154">
      <c r="A2154" s="60" t="n"/>
      <c r="B2154" s="63" t="n"/>
      <c r="C2154" s="63" t="n"/>
      <c r="D2154" s="67" t="n"/>
      <c r="E2154" s="68" t="n"/>
      <c r="F2154" s="69" t="n"/>
      <c r="G2154" s="70" t="n"/>
      <c r="H2154" s="62" t="str">
        <f>IF(COUNTA(A2154:G2154)=0,"",IF(C2154&lt;&gt;"",C2154,IF(B2154="","",IFERROR(INDEX(pr_des,MATCH(B2154,pr_code,0))&amp;"",""))))</f>
        <v/>
      </c>
      <c r="I2154" s="59" t="str">
        <f>IF(B2154="","",IFERROR(INDEX(pr_unit,MATCH(B2154,pr_code,0))&amp;"",""))</f>
        <v/>
      </c>
      <c r="J2154" s="65" t="str">
        <f>IF(COUNTA(A2154:G2154)=0,"",IF(E2154&lt;&gt;"",E2154,IF(B2154="","",IFERROR(IF(INDEX(pr_price,MATCH(B2154,pr_code,0))="","",INDEX(pr_price,MATCH(B2154,pr_code,0))),""))))</f>
        <v/>
      </c>
      <c r="K2154" s="71" t="str">
        <f>IF(COUNTA(A2154:G2154)=0,"",IF(G2154&lt;&gt;"",G2154,IF(B2154="","",IFERROR(IF(INDEX(pr_rate,MATCH(B2154,pr_code,0))="","",INDEX(pr_rate,MATCH(B2154,pr_code,0))),""))))</f>
        <v/>
      </c>
      <c r="L2154" s="65" t="str">
        <f>IF(COUNTA(A2154:G2154)=0,"",IF(AND(ISNUMBER(D2154),ISNUMBER(J2154)),ROUND(D2154*J2154*(1-N(F2154)),2),0))</f>
        <v/>
      </c>
      <c r="M2154" s="62" t="str">
        <f>IF(A2154="","",IFERROR(INDEX(dv_cname,MATCH(A2154,dv_num,0))&amp;"",""))</f>
        <v/>
      </c>
      <c r="N2154" s="59" t="str">
        <f>IF(COUNTA(A2154:G2154)=0,"",IF(A2154="","N° devis manquant",IF(ISNA(MATCH(A2154,dv_num,0)),"Devis inconnu",IF(AND(B2154&lt;&gt;"",ISNA(MATCH(B2154,pr_code,0))),"Article inconnu",IF(H2154="","Désignation manquante",IF(OR(NOT(ISNUMBER(D2154)),N(D2154)&lt;=0),"Quantité invalide",IF(J2154="","Prix manquant",IF(OR(NOT(ISNUMBER(J2154)),N(J2154)&lt;0),"Prix invalide",IF(OR(AND(F2154&lt;&gt;"",NOT(ISNUMBER(F2154))),N(F2154)&lt;0,N(F2154)&gt;1),"Remise invalide",IF(K2154="","Taux de TVA manquant",IF(NOT(ISNUMBER(K2154)),"Taux de TVA invalide",IF(COUNTIF(p_rates,K2154)=0,"Taux de TVA hors liste (Paramètres)",IF(N(O2154)&gt;25,"Au-delà de 25 lignes : non imprimée","OK")))))))))))))</f>
        <v/>
      </c>
      <c r="O2154" s="59" t="str">
        <f>IF(A2154="","",COUNTIF($A$6:A2154,A2154))</f>
        <v/>
      </c>
      <c r="P2154" s="62" t="str">
        <f>IF(A2154="","",A2154&amp;"|"&amp;O2154)</f>
        <v/>
      </c>
    </row>
    <row r="2155">
      <c r="A2155" s="60" t="n"/>
      <c r="B2155" s="63" t="n"/>
      <c r="C2155" s="63" t="n"/>
      <c r="D2155" s="67" t="n"/>
      <c r="E2155" s="68" t="n"/>
      <c r="F2155" s="69" t="n"/>
      <c r="G2155" s="70" t="n"/>
      <c r="H2155" s="62" t="str">
        <f>IF(COUNTA(A2155:G2155)=0,"",IF(C2155&lt;&gt;"",C2155,IF(B2155="","",IFERROR(INDEX(pr_des,MATCH(B2155,pr_code,0))&amp;"",""))))</f>
        <v/>
      </c>
      <c r="I2155" s="59" t="str">
        <f>IF(B2155="","",IFERROR(INDEX(pr_unit,MATCH(B2155,pr_code,0))&amp;"",""))</f>
        <v/>
      </c>
      <c r="J2155" s="65" t="str">
        <f>IF(COUNTA(A2155:G2155)=0,"",IF(E2155&lt;&gt;"",E2155,IF(B2155="","",IFERROR(IF(INDEX(pr_price,MATCH(B2155,pr_code,0))="","",INDEX(pr_price,MATCH(B2155,pr_code,0))),""))))</f>
        <v/>
      </c>
      <c r="K2155" s="71" t="str">
        <f>IF(COUNTA(A2155:G2155)=0,"",IF(G2155&lt;&gt;"",G2155,IF(B2155="","",IFERROR(IF(INDEX(pr_rate,MATCH(B2155,pr_code,0))="","",INDEX(pr_rate,MATCH(B2155,pr_code,0))),""))))</f>
        <v/>
      </c>
      <c r="L2155" s="65" t="str">
        <f>IF(COUNTA(A2155:G2155)=0,"",IF(AND(ISNUMBER(D2155),ISNUMBER(J2155)),ROUND(D2155*J2155*(1-N(F2155)),2),0))</f>
        <v/>
      </c>
      <c r="M2155" s="62" t="str">
        <f>IF(A2155="","",IFERROR(INDEX(dv_cname,MATCH(A2155,dv_num,0))&amp;"",""))</f>
        <v/>
      </c>
      <c r="N2155" s="59" t="str">
        <f>IF(COUNTA(A2155:G2155)=0,"",IF(A2155="","N° devis manquant",IF(ISNA(MATCH(A2155,dv_num,0)),"Devis inconnu",IF(AND(B2155&lt;&gt;"",ISNA(MATCH(B2155,pr_code,0))),"Article inconnu",IF(H2155="","Désignation manquante",IF(OR(NOT(ISNUMBER(D2155)),N(D2155)&lt;=0),"Quantité invalide",IF(J2155="","Prix manquant",IF(OR(NOT(ISNUMBER(J2155)),N(J2155)&lt;0),"Prix invalide",IF(OR(AND(F2155&lt;&gt;"",NOT(ISNUMBER(F2155))),N(F2155)&lt;0,N(F2155)&gt;1),"Remise invalide",IF(K2155="","Taux de TVA manquant",IF(NOT(ISNUMBER(K2155)),"Taux de TVA invalide",IF(COUNTIF(p_rates,K2155)=0,"Taux de TVA hors liste (Paramètres)",IF(N(O2155)&gt;25,"Au-delà de 25 lignes : non imprimée","OK")))))))))))))</f>
        <v/>
      </c>
      <c r="O2155" s="59" t="str">
        <f>IF(A2155="","",COUNTIF($A$6:A2155,A2155))</f>
        <v/>
      </c>
      <c r="P2155" s="62" t="str">
        <f>IF(A2155="","",A2155&amp;"|"&amp;O2155)</f>
        <v/>
      </c>
    </row>
    <row r="2156">
      <c r="A2156" s="60" t="n"/>
      <c r="B2156" s="63" t="n"/>
      <c r="C2156" s="63" t="n"/>
      <c r="D2156" s="67" t="n"/>
      <c r="E2156" s="68" t="n"/>
      <c r="F2156" s="69" t="n"/>
      <c r="G2156" s="70" t="n"/>
      <c r="H2156" s="62" t="str">
        <f>IF(COUNTA(A2156:G2156)=0,"",IF(C2156&lt;&gt;"",C2156,IF(B2156="","",IFERROR(INDEX(pr_des,MATCH(B2156,pr_code,0))&amp;"",""))))</f>
        <v/>
      </c>
      <c r="I2156" s="59" t="str">
        <f>IF(B2156="","",IFERROR(INDEX(pr_unit,MATCH(B2156,pr_code,0))&amp;"",""))</f>
        <v/>
      </c>
      <c r="J2156" s="65" t="str">
        <f>IF(COUNTA(A2156:G2156)=0,"",IF(E2156&lt;&gt;"",E2156,IF(B2156="","",IFERROR(IF(INDEX(pr_price,MATCH(B2156,pr_code,0))="","",INDEX(pr_price,MATCH(B2156,pr_code,0))),""))))</f>
        <v/>
      </c>
      <c r="K2156" s="71" t="str">
        <f>IF(COUNTA(A2156:G2156)=0,"",IF(G2156&lt;&gt;"",G2156,IF(B2156="","",IFERROR(IF(INDEX(pr_rate,MATCH(B2156,pr_code,0))="","",INDEX(pr_rate,MATCH(B2156,pr_code,0))),""))))</f>
        <v/>
      </c>
      <c r="L2156" s="65" t="str">
        <f>IF(COUNTA(A2156:G2156)=0,"",IF(AND(ISNUMBER(D2156),ISNUMBER(J2156)),ROUND(D2156*J2156*(1-N(F2156)),2),0))</f>
        <v/>
      </c>
      <c r="M2156" s="62" t="str">
        <f>IF(A2156="","",IFERROR(INDEX(dv_cname,MATCH(A2156,dv_num,0))&amp;"",""))</f>
        <v/>
      </c>
      <c r="N2156" s="59" t="str">
        <f>IF(COUNTA(A2156:G2156)=0,"",IF(A2156="","N° devis manquant",IF(ISNA(MATCH(A2156,dv_num,0)),"Devis inconnu",IF(AND(B2156&lt;&gt;"",ISNA(MATCH(B2156,pr_code,0))),"Article inconnu",IF(H2156="","Désignation manquante",IF(OR(NOT(ISNUMBER(D2156)),N(D2156)&lt;=0),"Quantité invalide",IF(J2156="","Prix manquant",IF(OR(NOT(ISNUMBER(J2156)),N(J2156)&lt;0),"Prix invalide",IF(OR(AND(F2156&lt;&gt;"",NOT(ISNUMBER(F2156))),N(F2156)&lt;0,N(F2156)&gt;1),"Remise invalide",IF(K2156="","Taux de TVA manquant",IF(NOT(ISNUMBER(K2156)),"Taux de TVA invalide",IF(COUNTIF(p_rates,K2156)=0,"Taux de TVA hors liste (Paramètres)",IF(N(O2156)&gt;25,"Au-delà de 25 lignes : non imprimée","OK")))))))))))))</f>
        <v/>
      </c>
      <c r="O2156" s="59" t="str">
        <f>IF(A2156="","",COUNTIF($A$6:A2156,A2156))</f>
        <v/>
      </c>
      <c r="P2156" s="62" t="str">
        <f>IF(A2156="","",A2156&amp;"|"&amp;O2156)</f>
        <v/>
      </c>
    </row>
    <row r="2157">
      <c r="A2157" s="60" t="n"/>
      <c r="B2157" s="63" t="n"/>
      <c r="C2157" s="63" t="n"/>
      <c r="D2157" s="67" t="n"/>
      <c r="E2157" s="68" t="n"/>
      <c r="F2157" s="69" t="n"/>
      <c r="G2157" s="70" t="n"/>
      <c r="H2157" s="62" t="str">
        <f>IF(COUNTA(A2157:G2157)=0,"",IF(C2157&lt;&gt;"",C2157,IF(B2157="","",IFERROR(INDEX(pr_des,MATCH(B2157,pr_code,0))&amp;"",""))))</f>
        <v/>
      </c>
      <c r="I2157" s="59" t="str">
        <f>IF(B2157="","",IFERROR(INDEX(pr_unit,MATCH(B2157,pr_code,0))&amp;"",""))</f>
        <v/>
      </c>
      <c r="J2157" s="65" t="str">
        <f>IF(COUNTA(A2157:G2157)=0,"",IF(E2157&lt;&gt;"",E2157,IF(B2157="","",IFERROR(IF(INDEX(pr_price,MATCH(B2157,pr_code,0))="","",INDEX(pr_price,MATCH(B2157,pr_code,0))),""))))</f>
        <v/>
      </c>
      <c r="K2157" s="71" t="str">
        <f>IF(COUNTA(A2157:G2157)=0,"",IF(G2157&lt;&gt;"",G2157,IF(B2157="","",IFERROR(IF(INDEX(pr_rate,MATCH(B2157,pr_code,0))="","",INDEX(pr_rate,MATCH(B2157,pr_code,0))),""))))</f>
        <v/>
      </c>
      <c r="L2157" s="65" t="str">
        <f>IF(COUNTA(A2157:G2157)=0,"",IF(AND(ISNUMBER(D2157),ISNUMBER(J2157)),ROUND(D2157*J2157*(1-N(F2157)),2),0))</f>
        <v/>
      </c>
      <c r="M2157" s="62" t="str">
        <f>IF(A2157="","",IFERROR(INDEX(dv_cname,MATCH(A2157,dv_num,0))&amp;"",""))</f>
        <v/>
      </c>
      <c r="N2157" s="59" t="str">
        <f>IF(COUNTA(A2157:G2157)=0,"",IF(A2157="","N° devis manquant",IF(ISNA(MATCH(A2157,dv_num,0)),"Devis inconnu",IF(AND(B2157&lt;&gt;"",ISNA(MATCH(B2157,pr_code,0))),"Article inconnu",IF(H2157="","Désignation manquante",IF(OR(NOT(ISNUMBER(D2157)),N(D2157)&lt;=0),"Quantité invalide",IF(J2157="","Prix manquant",IF(OR(NOT(ISNUMBER(J2157)),N(J2157)&lt;0),"Prix invalide",IF(OR(AND(F2157&lt;&gt;"",NOT(ISNUMBER(F2157))),N(F2157)&lt;0,N(F2157)&gt;1),"Remise invalide",IF(K2157="","Taux de TVA manquant",IF(NOT(ISNUMBER(K2157)),"Taux de TVA invalide",IF(COUNTIF(p_rates,K2157)=0,"Taux de TVA hors liste (Paramètres)",IF(N(O2157)&gt;25,"Au-delà de 25 lignes : non imprimée","OK")))))))))))))</f>
        <v/>
      </c>
      <c r="O2157" s="59" t="str">
        <f>IF(A2157="","",COUNTIF($A$6:A2157,A2157))</f>
        <v/>
      </c>
      <c r="P2157" s="62" t="str">
        <f>IF(A2157="","",A2157&amp;"|"&amp;O2157)</f>
        <v/>
      </c>
    </row>
    <row r="2158">
      <c r="A2158" s="60" t="n"/>
      <c r="B2158" s="63" t="n"/>
      <c r="C2158" s="63" t="n"/>
      <c r="D2158" s="67" t="n"/>
      <c r="E2158" s="68" t="n"/>
      <c r="F2158" s="69" t="n"/>
      <c r="G2158" s="70" t="n"/>
      <c r="H2158" s="62" t="str">
        <f>IF(COUNTA(A2158:G2158)=0,"",IF(C2158&lt;&gt;"",C2158,IF(B2158="","",IFERROR(INDEX(pr_des,MATCH(B2158,pr_code,0))&amp;"",""))))</f>
        <v/>
      </c>
      <c r="I2158" s="59" t="str">
        <f>IF(B2158="","",IFERROR(INDEX(pr_unit,MATCH(B2158,pr_code,0))&amp;"",""))</f>
        <v/>
      </c>
      <c r="J2158" s="65" t="str">
        <f>IF(COUNTA(A2158:G2158)=0,"",IF(E2158&lt;&gt;"",E2158,IF(B2158="","",IFERROR(IF(INDEX(pr_price,MATCH(B2158,pr_code,0))="","",INDEX(pr_price,MATCH(B2158,pr_code,0))),""))))</f>
        <v/>
      </c>
      <c r="K2158" s="71" t="str">
        <f>IF(COUNTA(A2158:G2158)=0,"",IF(G2158&lt;&gt;"",G2158,IF(B2158="","",IFERROR(IF(INDEX(pr_rate,MATCH(B2158,pr_code,0))="","",INDEX(pr_rate,MATCH(B2158,pr_code,0))),""))))</f>
        <v/>
      </c>
      <c r="L2158" s="65" t="str">
        <f>IF(COUNTA(A2158:G2158)=0,"",IF(AND(ISNUMBER(D2158),ISNUMBER(J2158)),ROUND(D2158*J2158*(1-N(F2158)),2),0))</f>
        <v/>
      </c>
      <c r="M2158" s="62" t="str">
        <f>IF(A2158="","",IFERROR(INDEX(dv_cname,MATCH(A2158,dv_num,0))&amp;"",""))</f>
        <v/>
      </c>
      <c r="N2158" s="59" t="str">
        <f>IF(COUNTA(A2158:G2158)=0,"",IF(A2158="","N° devis manquant",IF(ISNA(MATCH(A2158,dv_num,0)),"Devis inconnu",IF(AND(B2158&lt;&gt;"",ISNA(MATCH(B2158,pr_code,0))),"Article inconnu",IF(H2158="","Désignation manquante",IF(OR(NOT(ISNUMBER(D2158)),N(D2158)&lt;=0),"Quantité invalide",IF(J2158="","Prix manquant",IF(OR(NOT(ISNUMBER(J2158)),N(J2158)&lt;0),"Prix invalide",IF(OR(AND(F2158&lt;&gt;"",NOT(ISNUMBER(F2158))),N(F2158)&lt;0,N(F2158)&gt;1),"Remise invalide",IF(K2158="","Taux de TVA manquant",IF(NOT(ISNUMBER(K2158)),"Taux de TVA invalide",IF(COUNTIF(p_rates,K2158)=0,"Taux de TVA hors liste (Paramètres)",IF(N(O2158)&gt;25,"Au-delà de 25 lignes : non imprimée","OK")))))))))))))</f>
        <v/>
      </c>
      <c r="O2158" s="59" t="str">
        <f>IF(A2158="","",COUNTIF($A$6:A2158,A2158))</f>
        <v/>
      </c>
      <c r="P2158" s="62" t="str">
        <f>IF(A2158="","",A2158&amp;"|"&amp;O2158)</f>
        <v/>
      </c>
    </row>
    <row r="2159">
      <c r="A2159" s="60" t="n"/>
      <c r="B2159" s="63" t="n"/>
      <c r="C2159" s="63" t="n"/>
      <c r="D2159" s="67" t="n"/>
      <c r="E2159" s="68" t="n"/>
      <c r="F2159" s="69" t="n"/>
      <c r="G2159" s="70" t="n"/>
      <c r="H2159" s="62" t="str">
        <f>IF(COUNTA(A2159:G2159)=0,"",IF(C2159&lt;&gt;"",C2159,IF(B2159="","",IFERROR(INDEX(pr_des,MATCH(B2159,pr_code,0))&amp;"",""))))</f>
        <v/>
      </c>
      <c r="I2159" s="59" t="str">
        <f>IF(B2159="","",IFERROR(INDEX(pr_unit,MATCH(B2159,pr_code,0))&amp;"",""))</f>
        <v/>
      </c>
      <c r="J2159" s="65" t="str">
        <f>IF(COUNTA(A2159:G2159)=0,"",IF(E2159&lt;&gt;"",E2159,IF(B2159="","",IFERROR(IF(INDEX(pr_price,MATCH(B2159,pr_code,0))="","",INDEX(pr_price,MATCH(B2159,pr_code,0))),""))))</f>
        <v/>
      </c>
      <c r="K2159" s="71" t="str">
        <f>IF(COUNTA(A2159:G2159)=0,"",IF(G2159&lt;&gt;"",G2159,IF(B2159="","",IFERROR(IF(INDEX(pr_rate,MATCH(B2159,pr_code,0))="","",INDEX(pr_rate,MATCH(B2159,pr_code,0))),""))))</f>
        <v/>
      </c>
      <c r="L2159" s="65" t="str">
        <f>IF(COUNTA(A2159:G2159)=0,"",IF(AND(ISNUMBER(D2159),ISNUMBER(J2159)),ROUND(D2159*J2159*(1-N(F2159)),2),0))</f>
        <v/>
      </c>
      <c r="M2159" s="62" t="str">
        <f>IF(A2159="","",IFERROR(INDEX(dv_cname,MATCH(A2159,dv_num,0))&amp;"",""))</f>
        <v/>
      </c>
      <c r="N2159" s="59" t="str">
        <f>IF(COUNTA(A2159:G2159)=0,"",IF(A2159="","N° devis manquant",IF(ISNA(MATCH(A2159,dv_num,0)),"Devis inconnu",IF(AND(B2159&lt;&gt;"",ISNA(MATCH(B2159,pr_code,0))),"Article inconnu",IF(H2159="","Désignation manquante",IF(OR(NOT(ISNUMBER(D2159)),N(D2159)&lt;=0),"Quantité invalide",IF(J2159="","Prix manquant",IF(OR(NOT(ISNUMBER(J2159)),N(J2159)&lt;0),"Prix invalide",IF(OR(AND(F2159&lt;&gt;"",NOT(ISNUMBER(F2159))),N(F2159)&lt;0,N(F2159)&gt;1),"Remise invalide",IF(K2159="","Taux de TVA manquant",IF(NOT(ISNUMBER(K2159)),"Taux de TVA invalide",IF(COUNTIF(p_rates,K2159)=0,"Taux de TVA hors liste (Paramètres)",IF(N(O2159)&gt;25,"Au-delà de 25 lignes : non imprimée","OK")))))))))))))</f>
        <v/>
      </c>
      <c r="O2159" s="59" t="str">
        <f>IF(A2159="","",COUNTIF($A$6:A2159,A2159))</f>
        <v/>
      </c>
      <c r="P2159" s="62" t="str">
        <f>IF(A2159="","",A2159&amp;"|"&amp;O2159)</f>
        <v/>
      </c>
    </row>
    <row r="2160">
      <c r="A2160" s="60" t="n"/>
      <c r="B2160" s="63" t="n"/>
      <c r="C2160" s="63" t="n"/>
      <c r="D2160" s="67" t="n"/>
      <c r="E2160" s="68" t="n"/>
      <c r="F2160" s="69" t="n"/>
      <c r="G2160" s="70" t="n"/>
      <c r="H2160" s="62" t="str">
        <f>IF(COUNTA(A2160:G2160)=0,"",IF(C2160&lt;&gt;"",C2160,IF(B2160="","",IFERROR(INDEX(pr_des,MATCH(B2160,pr_code,0))&amp;"",""))))</f>
        <v/>
      </c>
      <c r="I2160" s="59" t="str">
        <f>IF(B2160="","",IFERROR(INDEX(pr_unit,MATCH(B2160,pr_code,0))&amp;"",""))</f>
        <v/>
      </c>
      <c r="J2160" s="65" t="str">
        <f>IF(COUNTA(A2160:G2160)=0,"",IF(E2160&lt;&gt;"",E2160,IF(B2160="","",IFERROR(IF(INDEX(pr_price,MATCH(B2160,pr_code,0))="","",INDEX(pr_price,MATCH(B2160,pr_code,0))),""))))</f>
        <v/>
      </c>
      <c r="K2160" s="71" t="str">
        <f>IF(COUNTA(A2160:G2160)=0,"",IF(G2160&lt;&gt;"",G2160,IF(B2160="","",IFERROR(IF(INDEX(pr_rate,MATCH(B2160,pr_code,0))="","",INDEX(pr_rate,MATCH(B2160,pr_code,0))),""))))</f>
        <v/>
      </c>
      <c r="L2160" s="65" t="str">
        <f>IF(COUNTA(A2160:G2160)=0,"",IF(AND(ISNUMBER(D2160),ISNUMBER(J2160)),ROUND(D2160*J2160*(1-N(F2160)),2),0))</f>
        <v/>
      </c>
      <c r="M2160" s="62" t="str">
        <f>IF(A2160="","",IFERROR(INDEX(dv_cname,MATCH(A2160,dv_num,0))&amp;"",""))</f>
        <v/>
      </c>
      <c r="N2160" s="59" t="str">
        <f>IF(COUNTA(A2160:G2160)=0,"",IF(A2160="","N° devis manquant",IF(ISNA(MATCH(A2160,dv_num,0)),"Devis inconnu",IF(AND(B2160&lt;&gt;"",ISNA(MATCH(B2160,pr_code,0))),"Article inconnu",IF(H2160="","Désignation manquante",IF(OR(NOT(ISNUMBER(D2160)),N(D2160)&lt;=0),"Quantité invalide",IF(J2160="","Prix manquant",IF(OR(NOT(ISNUMBER(J2160)),N(J2160)&lt;0),"Prix invalide",IF(OR(AND(F2160&lt;&gt;"",NOT(ISNUMBER(F2160))),N(F2160)&lt;0,N(F2160)&gt;1),"Remise invalide",IF(K2160="","Taux de TVA manquant",IF(NOT(ISNUMBER(K2160)),"Taux de TVA invalide",IF(COUNTIF(p_rates,K2160)=0,"Taux de TVA hors liste (Paramètres)",IF(N(O2160)&gt;25,"Au-delà de 25 lignes : non imprimée","OK")))))))))))))</f>
        <v/>
      </c>
      <c r="O2160" s="59" t="str">
        <f>IF(A2160="","",COUNTIF($A$6:A2160,A2160))</f>
        <v/>
      </c>
      <c r="P2160" s="62" t="str">
        <f>IF(A2160="","",A2160&amp;"|"&amp;O2160)</f>
        <v/>
      </c>
    </row>
    <row r="2161">
      <c r="A2161" s="60" t="n"/>
      <c r="B2161" s="63" t="n"/>
      <c r="C2161" s="63" t="n"/>
      <c r="D2161" s="67" t="n"/>
      <c r="E2161" s="68" t="n"/>
      <c r="F2161" s="69" t="n"/>
      <c r="G2161" s="70" t="n"/>
      <c r="H2161" s="62" t="str">
        <f>IF(COUNTA(A2161:G2161)=0,"",IF(C2161&lt;&gt;"",C2161,IF(B2161="","",IFERROR(INDEX(pr_des,MATCH(B2161,pr_code,0))&amp;"",""))))</f>
        <v/>
      </c>
      <c r="I2161" s="59" t="str">
        <f>IF(B2161="","",IFERROR(INDEX(pr_unit,MATCH(B2161,pr_code,0))&amp;"",""))</f>
        <v/>
      </c>
      <c r="J2161" s="65" t="str">
        <f>IF(COUNTA(A2161:G2161)=0,"",IF(E2161&lt;&gt;"",E2161,IF(B2161="","",IFERROR(IF(INDEX(pr_price,MATCH(B2161,pr_code,0))="","",INDEX(pr_price,MATCH(B2161,pr_code,0))),""))))</f>
        <v/>
      </c>
      <c r="K2161" s="71" t="str">
        <f>IF(COUNTA(A2161:G2161)=0,"",IF(G2161&lt;&gt;"",G2161,IF(B2161="","",IFERROR(IF(INDEX(pr_rate,MATCH(B2161,pr_code,0))="","",INDEX(pr_rate,MATCH(B2161,pr_code,0))),""))))</f>
        <v/>
      </c>
      <c r="L2161" s="65" t="str">
        <f>IF(COUNTA(A2161:G2161)=0,"",IF(AND(ISNUMBER(D2161),ISNUMBER(J2161)),ROUND(D2161*J2161*(1-N(F2161)),2),0))</f>
        <v/>
      </c>
      <c r="M2161" s="62" t="str">
        <f>IF(A2161="","",IFERROR(INDEX(dv_cname,MATCH(A2161,dv_num,0))&amp;"",""))</f>
        <v/>
      </c>
      <c r="N2161" s="59" t="str">
        <f>IF(COUNTA(A2161:G2161)=0,"",IF(A2161="","N° devis manquant",IF(ISNA(MATCH(A2161,dv_num,0)),"Devis inconnu",IF(AND(B2161&lt;&gt;"",ISNA(MATCH(B2161,pr_code,0))),"Article inconnu",IF(H2161="","Désignation manquante",IF(OR(NOT(ISNUMBER(D2161)),N(D2161)&lt;=0),"Quantité invalide",IF(J2161="","Prix manquant",IF(OR(NOT(ISNUMBER(J2161)),N(J2161)&lt;0),"Prix invalide",IF(OR(AND(F2161&lt;&gt;"",NOT(ISNUMBER(F2161))),N(F2161)&lt;0,N(F2161)&gt;1),"Remise invalide",IF(K2161="","Taux de TVA manquant",IF(NOT(ISNUMBER(K2161)),"Taux de TVA invalide",IF(COUNTIF(p_rates,K2161)=0,"Taux de TVA hors liste (Paramètres)",IF(N(O2161)&gt;25,"Au-delà de 25 lignes : non imprimée","OK")))))))))))))</f>
        <v/>
      </c>
      <c r="O2161" s="59" t="str">
        <f>IF(A2161="","",COUNTIF($A$6:A2161,A2161))</f>
        <v/>
      </c>
      <c r="P2161" s="62" t="str">
        <f>IF(A2161="","",A2161&amp;"|"&amp;O2161)</f>
        <v/>
      </c>
    </row>
    <row r="2162">
      <c r="A2162" s="60" t="n"/>
      <c r="B2162" s="63" t="n"/>
      <c r="C2162" s="63" t="n"/>
      <c r="D2162" s="67" t="n"/>
      <c r="E2162" s="68" t="n"/>
      <c r="F2162" s="69" t="n"/>
      <c r="G2162" s="70" t="n"/>
      <c r="H2162" s="62" t="str">
        <f>IF(COUNTA(A2162:G2162)=0,"",IF(C2162&lt;&gt;"",C2162,IF(B2162="","",IFERROR(INDEX(pr_des,MATCH(B2162,pr_code,0))&amp;"",""))))</f>
        <v/>
      </c>
      <c r="I2162" s="59" t="str">
        <f>IF(B2162="","",IFERROR(INDEX(pr_unit,MATCH(B2162,pr_code,0))&amp;"",""))</f>
        <v/>
      </c>
      <c r="J2162" s="65" t="str">
        <f>IF(COUNTA(A2162:G2162)=0,"",IF(E2162&lt;&gt;"",E2162,IF(B2162="","",IFERROR(IF(INDEX(pr_price,MATCH(B2162,pr_code,0))="","",INDEX(pr_price,MATCH(B2162,pr_code,0))),""))))</f>
        <v/>
      </c>
      <c r="K2162" s="71" t="str">
        <f>IF(COUNTA(A2162:G2162)=0,"",IF(G2162&lt;&gt;"",G2162,IF(B2162="","",IFERROR(IF(INDEX(pr_rate,MATCH(B2162,pr_code,0))="","",INDEX(pr_rate,MATCH(B2162,pr_code,0))),""))))</f>
        <v/>
      </c>
      <c r="L2162" s="65" t="str">
        <f>IF(COUNTA(A2162:G2162)=0,"",IF(AND(ISNUMBER(D2162),ISNUMBER(J2162)),ROUND(D2162*J2162*(1-N(F2162)),2),0))</f>
        <v/>
      </c>
      <c r="M2162" s="62" t="str">
        <f>IF(A2162="","",IFERROR(INDEX(dv_cname,MATCH(A2162,dv_num,0))&amp;"",""))</f>
        <v/>
      </c>
      <c r="N2162" s="59" t="str">
        <f>IF(COUNTA(A2162:G2162)=0,"",IF(A2162="","N° devis manquant",IF(ISNA(MATCH(A2162,dv_num,0)),"Devis inconnu",IF(AND(B2162&lt;&gt;"",ISNA(MATCH(B2162,pr_code,0))),"Article inconnu",IF(H2162="","Désignation manquante",IF(OR(NOT(ISNUMBER(D2162)),N(D2162)&lt;=0),"Quantité invalide",IF(J2162="","Prix manquant",IF(OR(NOT(ISNUMBER(J2162)),N(J2162)&lt;0),"Prix invalide",IF(OR(AND(F2162&lt;&gt;"",NOT(ISNUMBER(F2162))),N(F2162)&lt;0,N(F2162)&gt;1),"Remise invalide",IF(K2162="","Taux de TVA manquant",IF(NOT(ISNUMBER(K2162)),"Taux de TVA invalide",IF(COUNTIF(p_rates,K2162)=0,"Taux de TVA hors liste (Paramètres)",IF(N(O2162)&gt;25,"Au-delà de 25 lignes : non imprimée","OK")))))))))))))</f>
        <v/>
      </c>
      <c r="O2162" s="59" t="str">
        <f>IF(A2162="","",COUNTIF($A$6:A2162,A2162))</f>
        <v/>
      </c>
      <c r="P2162" s="62" t="str">
        <f>IF(A2162="","",A2162&amp;"|"&amp;O2162)</f>
        <v/>
      </c>
    </row>
    <row r="2163">
      <c r="A2163" s="60" t="n"/>
      <c r="B2163" s="63" t="n"/>
      <c r="C2163" s="63" t="n"/>
      <c r="D2163" s="67" t="n"/>
      <c r="E2163" s="68" t="n"/>
      <c r="F2163" s="69" t="n"/>
      <c r="G2163" s="70" t="n"/>
      <c r="H2163" s="62" t="str">
        <f>IF(COUNTA(A2163:G2163)=0,"",IF(C2163&lt;&gt;"",C2163,IF(B2163="","",IFERROR(INDEX(pr_des,MATCH(B2163,pr_code,0))&amp;"",""))))</f>
        <v/>
      </c>
      <c r="I2163" s="59" t="str">
        <f>IF(B2163="","",IFERROR(INDEX(pr_unit,MATCH(B2163,pr_code,0))&amp;"",""))</f>
        <v/>
      </c>
      <c r="J2163" s="65" t="str">
        <f>IF(COUNTA(A2163:G2163)=0,"",IF(E2163&lt;&gt;"",E2163,IF(B2163="","",IFERROR(IF(INDEX(pr_price,MATCH(B2163,pr_code,0))="","",INDEX(pr_price,MATCH(B2163,pr_code,0))),""))))</f>
        <v/>
      </c>
      <c r="K2163" s="71" t="str">
        <f>IF(COUNTA(A2163:G2163)=0,"",IF(G2163&lt;&gt;"",G2163,IF(B2163="","",IFERROR(IF(INDEX(pr_rate,MATCH(B2163,pr_code,0))="","",INDEX(pr_rate,MATCH(B2163,pr_code,0))),""))))</f>
        <v/>
      </c>
      <c r="L2163" s="65" t="str">
        <f>IF(COUNTA(A2163:G2163)=0,"",IF(AND(ISNUMBER(D2163),ISNUMBER(J2163)),ROUND(D2163*J2163*(1-N(F2163)),2),0))</f>
        <v/>
      </c>
      <c r="M2163" s="62" t="str">
        <f>IF(A2163="","",IFERROR(INDEX(dv_cname,MATCH(A2163,dv_num,0))&amp;"",""))</f>
        <v/>
      </c>
      <c r="N2163" s="59" t="str">
        <f>IF(COUNTA(A2163:G2163)=0,"",IF(A2163="","N° devis manquant",IF(ISNA(MATCH(A2163,dv_num,0)),"Devis inconnu",IF(AND(B2163&lt;&gt;"",ISNA(MATCH(B2163,pr_code,0))),"Article inconnu",IF(H2163="","Désignation manquante",IF(OR(NOT(ISNUMBER(D2163)),N(D2163)&lt;=0),"Quantité invalide",IF(J2163="","Prix manquant",IF(OR(NOT(ISNUMBER(J2163)),N(J2163)&lt;0),"Prix invalide",IF(OR(AND(F2163&lt;&gt;"",NOT(ISNUMBER(F2163))),N(F2163)&lt;0,N(F2163)&gt;1),"Remise invalide",IF(K2163="","Taux de TVA manquant",IF(NOT(ISNUMBER(K2163)),"Taux de TVA invalide",IF(COUNTIF(p_rates,K2163)=0,"Taux de TVA hors liste (Paramètres)",IF(N(O2163)&gt;25,"Au-delà de 25 lignes : non imprimée","OK")))))))))))))</f>
        <v/>
      </c>
      <c r="O2163" s="59" t="str">
        <f>IF(A2163="","",COUNTIF($A$6:A2163,A2163))</f>
        <v/>
      </c>
      <c r="P2163" s="62" t="str">
        <f>IF(A2163="","",A2163&amp;"|"&amp;O2163)</f>
        <v/>
      </c>
    </row>
    <row r="2164">
      <c r="A2164" s="60" t="n"/>
      <c r="B2164" s="63" t="n"/>
      <c r="C2164" s="63" t="n"/>
      <c r="D2164" s="67" t="n"/>
      <c r="E2164" s="68" t="n"/>
      <c r="F2164" s="69" t="n"/>
      <c r="G2164" s="70" t="n"/>
      <c r="H2164" s="62" t="str">
        <f>IF(COUNTA(A2164:G2164)=0,"",IF(C2164&lt;&gt;"",C2164,IF(B2164="","",IFERROR(INDEX(pr_des,MATCH(B2164,pr_code,0))&amp;"",""))))</f>
        <v/>
      </c>
      <c r="I2164" s="59" t="str">
        <f>IF(B2164="","",IFERROR(INDEX(pr_unit,MATCH(B2164,pr_code,0))&amp;"",""))</f>
        <v/>
      </c>
      <c r="J2164" s="65" t="str">
        <f>IF(COUNTA(A2164:G2164)=0,"",IF(E2164&lt;&gt;"",E2164,IF(B2164="","",IFERROR(IF(INDEX(pr_price,MATCH(B2164,pr_code,0))="","",INDEX(pr_price,MATCH(B2164,pr_code,0))),""))))</f>
        <v/>
      </c>
      <c r="K2164" s="71" t="str">
        <f>IF(COUNTA(A2164:G2164)=0,"",IF(G2164&lt;&gt;"",G2164,IF(B2164="","",IFERROR(IF(INDEX(pr_rate,MATCH(B2164,pr_code,0))="","",INDEX(pr_rate,MATCH(B2164,pr_code,0))),""))))</f>
        <v/>
      </c>
      <c r="L2164" s="65" t="str">
        <f>IF(COUNTA(A2164:G2164)=0,"",IF(AND(ISNUMBER(D2164),ISNUMBER(J2164)),ROUND(D2164*J2164*(1-N(F2164)),2),0))</f>
        <v/>
      </c>
      <c r="M2164" s="62" t="str">
        <f>IF(A2164="","",IFERROR(INDEX(dv_cname,MATCH(A2164,dv_num,0))&amp;"",""))</f>
        <v/>
      </c>
      <c r="N2164" s="59" t="str">
        <f>IF(COUNTA(A2164:G2164)=0,"",IF(A2164="","N° devis manquant",IF(ISNA(MATCH(A2164,dv_num,0)),"Devis inconnu",IF(AND(B2164&lt;&gt;"",ISNA(MATCH(B2164,pr_code,0))),"Article inconnu",IF(H2164="","Désignation manquante",IF(OR(NOT(ISNUMBER(D2164)),N(D2164)&lt;=0),"Quantité invalide",IF(J2164="","Prix manquant",IF(OR(NOT(ISNUMBER(J2164)),N(J2164)&lt;0),"Prix invalide",IF(OR(AND(F2164&lt;&gt;"",NOT(ISNUMBER(F2164))),N(F2164)&lt;0,N(F2164)&gt;1),"Remise invalide",IF(K2164="","Taux de TVA manquant",IF(NOT(ISNUMBER(K2164)),"Taux de TVA invalide",IF(COUNTIF(p_rates,K2164)=0,"Taux de TVA hors liste (Paramètres)",IF(N(O2164)&gt;25,"Au-delà de 25 lignes : non imprimée","OK")))))))))))))</f>
        <v/>
      </c>
      <c r="O2164" s="59" t="str">
        <f>IF(A2164="","",COUNTIF($A$6:A2164,A2164))</f>
        <v/>
      </c>
      <c r="P2164" s="62" t="str">
        <f>IF(A2164="","",A2164&amp;"|"&amp;O2164)</f>
        <v/>
      </c>
    </row>
    <row r="2165">
      <c r="A2165" s="60" t="n"/>
      <c r="B2165" s="63" t="n"/>
      <c r="C2165" s="63" t="n"/>
      <c r="D2165" s="67" t="n"/>
      <c r="E2165" s="68" t="n"/>
      <c r="F2165" s="69" t="n"/>
      <c r="G2165" s="70" t="n"/>
      <c r="H2165" s="62" t="str">
        <f>IF(COUNTA(A2165:G2165)=0,"",IF(C2165&lt;&gt;"",C2165,IF(B2165="","",IFERROR(INDEX(pr_des,MATCH(B2165,pr_code,0))&amp;"",""))))</f>
        <v/>
      </c>
      <c r="I2165" s="59" t="str">
        <f>IF(B2165="","",IFERROR(INDEX(pr_unit,MATCH(B2165,pr_code,0))&amp;"",""))</f>
        <v/>
      </c>
      <c r="J2165" s="65" t="str">
        <f>IF(COUNTA(A2165:G2165)=0,"",IF(E2165&lt;&gt;"",E2165,IF(B2165="","",IFERROR(IF(INDEX(pr_price,MATCH(B2165,pr_code,0))="","",INDEX(pr_price,MATCH(B2165,pr_code,0))),""))))</f>
        <v/>
      </c>
      <c r="K2165" s="71" t="str">
        <f>IF(COUNTA(A2165:G2165)=0,"",IF(G2165&lt;&gt;"",G2165,IF(B2165="","",IFERROR(IF(INDEX(pr_rate,MATCH(B2165,pr_code,0))="","",INDEX(pr_rate,MATCH(B2165,pr_code,0))),""))))</f>
        <v/>
      </c>
      <c r="L2165" s="65" t="str">
        <f>IF(COUNTA(A2165:G2165)=0,"",IF(AND(ISNUMBER(D2165),ISNUMBER(J2165)),ROUND(D2165*J2165*(1-N(F2165)),2),0))</f>
        <v/>
      </c>
      <c r="M2165" s="62" t="str">
        <f>IF(A2165="","",IFERROR(INDEX(dv_cname,MATCH(A2165,dv_num,0))&amp;"",""))</f>
        <v/>
      </c>
      <c r="N2165" s="59" t="str">
        <f>IF(COUNTA(A2165:G2165)=0,"",IF(A2165="","N° devis manquant",IF(ISNA(MATCH(A2165,dv_num,0)),"Devis inconnu",IF(AND(B2165&lt;&gt;"",ISNA(MATCH(B2165,pr_code,0))),"Article inconnu",IF(H2165="","Désignation manquante",IF(OR(NOT(ISNUMBER(D2165)),N(D2165)&lt;=0),"Quantité invalide",IF(J2165="","Prix manquant",IF(OR(NOT(ISNUMBER(J2165)),N(J2165)&lt;0),"Prix invalide",IF(OR(AND(F2165&lt;&gt;"",NOT(ISNUMBER(F2165))),N(F2165)&lt;0,N(F2165)&gt;1),"Remise invalide",IF(K2165="","Taux de TVA manquant",IF(NOT(ISNUMBER(K2165)),"Taux de TVA invalide",IF(COUNTIF(p_rates,K2165)=0,"Taux de TVA hors liste (Paramètres)",IF(N(O2165)&gt;25,"Au-delà de 25 lignes : non imprimée","OK")))))))))))))</f>
        <v/>
      </c>
      <c r="O2165" s="59" t="str">
        <f>IF(A2165="","",COUNTIF($A$6:A2165,A2165))</f>
        <v/>
      </c>
      <c r="P2165" s="62" t="str">
        <f>IF(A2165="","",A2165&amp;"|"&amp;O2165)</f>
        <v/>
      </c>
    </row>
    <row r="2166">
      <c r="A2166" s="60" t="n"/>
      <c r="B2166" s="63" t="n"/>
      <c r="C2166" s="63" t="n"/>
      <c r="D2166" s="67" t="n"/>
      <c r="E2166" s="68" t="n"/>
      <c r="F2166" s="69" t="n"/>
      <c r="G2166" s="70" t="n"/>
      <c r="H2166" s="62" t="str">
        <f>IF(COUNTA(A2166:G2166)=0,"",IF(C2166&lt;&gt;"",C2166,IF(B2166="","",IFERROR(INDEX(pr_des,MATCH(B2166,pr_code,0))&amp;"",""))))</f>
        <v/>
      </c>
      <c r="I2166" s="59" t="str">
        <f>IF(B2166="","",IFERROR(INDEX(pr_unit,MATCH(B2166,pr_code,0))&amp;"",""))</f>
        <v/>
      </c>
      <c r="J2166" s="65" t="str">
        <f>IF(COUNTA(A2166:G2166)=0,"",IF(E2166&lt;&gt;"",E2166,IF(B2166="","",IFERROR(IF(INDEX(pr_price,MATCH(B2166,pr_code,0))="","",INDEX(pr_price,MATCH(B2166,pr_code,0))),""))))</f>
        <v/>
      </c>
      <c r="K2166" s="71" t="str">
        <f>IF(COUNTA(A2166:G2166)=0,"",IF(G2166&lt;&gt;"",G2166,IF(B2166="","",IFERROR(IF(INDEX(pr_rate,MATCH(B2166,pr_code,0))="","",INDEX(pr_rate,MATCH(B2166,pr_code,0))),""))))</f>
        <v/>
      </c>
      <c r="L2166" s="65" t="str">
        <f>IF(COUNTA(A2166:G2166)=0,"",IF(AND(ISNUMBER(D2166),ISNUMBER(J2166)),ROUND(D2166*J2166*(1-N(F2166)),2),0))</f>
        <v/>
      </c>
      <c r="M2166" s="62" t="str">
        <f>IF(A2166="","",IFERROR(INDEX(dv_cname,MATCH(A2166,dv_num,0))&amp;"",""))</f>
        <v/>
      </c>
      <c r="N2166" s="59" t="str">
        <f>IF(COUNTA(A2166:G2166)=0,"",IF(A2166="","N° devis manquant",IF(ISNA(MATCH(A2166,dv_num,0)),"Devis inconnu",IF(AND(B2166&lt;&gt;"",ISNA(MATCH(B2166,pr_code,0))),"Article inconnu",IF(H2166="","Désignation manquante",IF(OR(NOT(ISNUMBER(D2166)),N(D2166)&lt;=0),"Quantité invalide",IF(J2166="","Prix manquant",IF(OR(NOT(ISNUMBER(J2166)),N(J2166)&lt;0),"Prix invalide",IF(OR(AND(F2166&lt;&gt;"",NOT(ISNUMBER(F2166))),N(F2166)&lt;0,N(F2166)&gt;1),"Remise invalide",IF(K2166="","Taux de TVA manquant",IF(NOT(ISNUMBER(K2166)),"Taux de TVA invalide",IF(COUNTIF(p_rates,K2166)=0,"Taux de TVA hors liste (Paramètres)",IF(N(O2166)&gt;25,"Au-delà de 25 lignes : non imprimée","OK")))))))))))))</f>
        <v/>
      </c>
      <c r="O2166" s="59" t="str">
        <f>IF(A2166="","",COUNTIF($A$6:A2166,A2166))</f>
        <v/>
      </c>
      <c r="P2166" s="62" t="str">
        <f>IF(A2166="","",A2166&amp;"|"&amp;O2166)</f>
        <v/>
      </c>
    </row>
    <row r="2167">
      <c r="A2167" s="60" t="n"/>
      <c r="B2167" s="63" t="n"/>
      <c r="C2167" s="63" t="n"/>
      <c r="D2167" s="67" t="n"/>
      <c r="E2167" s="68" t="n"/>
      <c r="F2167" s="69" t="n"/>
      <c r="G2167" s="70" t="n"/>
      <c r="H2167" s="62" t="str">
        <f>IF(COUNTA(A2167:G2167)=0,"",IF(C2167&lt;&gt;"",C2167,IF(B2167="","",IFERROR(INDEX(pr_des,MATCH(B2167,pr_code,0))&amp;"",""))))</f>
        <v/>
      </c>
      <c r="I2167" s="59" t="str">
        <f>IF(B2167="","",IFERROR(INDEX(pr_unit,MATCH(B2167,pr_code,0))&amp;"",""))</f>
        <v/>
      </c>
      <c r="J2167" s="65" t="str">
        <f>IF(COUNTA(A2167:G2167)=0,"",IF(E2167&lt;&gt;"",E2167,IF(B2167="","",IFERROR(IF(INDEX(pr_price,MATCH(B2167,pr_code,0))="","",INDEX(pr_price,MATCH(B2167,pr_code,0))),""))))</f>
        <v/>
      </c>
      <c r="K2167" s="71" t="str">
        <f>IF(COUNTA(A2167:G2167)=0,"",IF(G2167&lt;&gt;"",G2167,IF(B2167="","",IFERROR(IF(INDEX(pr_rate,MATCH(B2167,pr_code,0))="","",INDEX(pr_rate,MATCH(B2167,pr_code,0))),""))))</f>
        <v/>
      </c>
      <c r="L2167" s="65" t="str">
        <f>IF(COUNTA(A2167:G2167)=0,"",IF(AND(ISNUMBER(D2167),ISNUMBER(J2167)),ROUND(D2167*J2167*(1-N(F2167)),2),0))</f>
        <v/>
      </c>
      <c r="M2167" s="62" t="str">
        <f>IF(A2167="","",IFERROR(INDEX(dv_cname,MATCH(A2167,dv_num,0))&amp;"",""))</f>
        <v/>
      </c>
      <c r="N2167" s="59" t="str">
        <f>IF(COUNTA(A2167:G2167)=0,"",IF(A2167="","N° devis manquant",IF(ISNA(MATCH(A2167,dv_num,0)),"Devis inconnu",IF(AND(B2167&lt;&gt;"",ISNA(MATCH(B2167,pr_code,0))),"Article inconnu",IF(H2167="","Désignation manquante",IF(OR(NOT(ISNUMBER(D2167)),N(D2167)&lt;=0),"Quantité invalide",IF(J2167="","Prix manquant",IF(OR(NOT(ISNUMBER(J2167)),N(J2167)&lt;0),"Prix invalide",IF(OR(AND(F2167&lt;&gt;"",NOT(ISNUMBER(F2167))),N(F2167)&lt;0,N(F2167)&gt;1),"Remise invalide",IF(K2167="","Taux de TVA manquant",IF(NOT(ISNUMBER(K2167)),"Taux de TVA invalide",IF(COUNTIF(p_rates,K2167)=0,"Taux de TVA hors liste (Paramètres)",IF(N(O2167)&gt;25,"Au-delà de 25 lignes : non imprimée","OK")))))))))))))</f>
        <v/>
      </c>
      <c r="O2167" s="59" t="str">
        <f>IF(A2167="","",COUNTIF($A$6:A2167,A2167))</f>
        <v/>
      </c>
      <c r="P2167" s="62" t="str">
        <f>IF(A2167="","",A2167&amp;"|"&amp;O2167)</f>
        <v/>
      </c>
    </row>
    <row r="2168">
      <c r="A2168" s="60" t="n"/>
      <c r="B2168" s="63" t="n"/>
      <c r="C2168" s="63" t="n"/>
      <c r="D2168" s="67" t="n"/>
      <c r="E2168" s="68" t="n"/>
      <c r="F2168" s="69" t="n"/>
      <c r="G2168" s="70" t="n"/>
      <c r="H2168" s="62" t="str">
        <f>IF(COUNTA(A2168:G2168)=0,"",IF(C2168&lt;&gt;"",C2168,IF(B2168="","",IFERROR(INDEX(pr_des,MATCH(B2168,pr_code,0))&amp;"",""))))</f>
        <v/>
      </c>
      <c r="I2168" s="59" t="str">
        <f>IF(B2168="","",IFERROR(INDEX(pr_unit,MATCH(B2168,pr_code,0))&amp;"",""))</f>
        <v/>
      </c>
      <c r="J2168" s="65" t="str">
        <f>IF(COUNTA(A2168:G2168)=0,"",IF(E2168&lt;&gt;"",E2168,IF(B2168="","",IFERROR(IF(INDEX(pr_price,MATCH(B2168,pr_code,0))="","",INDEX(pr_price,MATCH(B2168,pr_code,0))),""))))</f>
        <v/>
      </c>
      <c r="K2168" s="71" t="str">
        <f>IF(COUNTA(A2168:G2168)=0,"",IF(G2168&lt;&gt;"",G2168,IF(B2168="","",IFERROR(IF(INDEX(pr_rate,MATCH(B2168,pr_code,0))="","",INDEX(pr_rate,MATCH(B2168,pr_code,0))),""))))</f>
        <v/>
      </c>
      <c r="L2168" s="65" t="str">
        <f>IF(COUNTA(A2168:G2168)=0,"",IF(AND(ISNUMBER(D2168),ISNUMBER(J2168)),ROUND(D2168*J2168*(1-N(F2168)),2),0))</f>
        <v/>
      </c>
      <c r="M2168" s="62" t="str">
        <f>IF(A2168="","",IFERROR(INDEX(dv_cname,MATCH(A2168,dv_num,0))&amp;"",""))</f>
        <v/>
      </c>
      <c r="N2168" s="59" t="str">
        <f>IF(COUNTA(A2168:G2168)=0,"",IF(A2168="","N° devis manquant",IF(ISNA(MATCH(A2168,dv_num,0)),"Devis inconnu",IF(AND(B2168&lt;&gt;"",ISNA(MATCH(B2168,pr_code,0))),"Article inconnu",IF(H2168="","Désignation manquante",IF(OR(NOT(ISNUMBER(D2168)),N(D2168)&lt;=0),"Quantité invalide",IF(J2168="","Prix manquant",IF(OR(NOT(ISNUMBER(J2168)),N(J2168)&lt;0),"Prix invalide",IF(OR(AND(F2168&lt;&gt;"",NOT(ISNUMBER(F2168))),N(F2168)&lt;0,N(F2168)&gt;1),"Remise invalide",IF(K2168="","Taux de TVA manquant",IF(NOT(ISNUMBER(K2168)),"Taux de TVA invalide",IF(COUNTIF(p_rates,K2168)=0,"Taux de TVA hors liste (Paramètres)",IF(N(O2168)&gt;25,"Au-delà de 25 lignes : non imprimée","OK")))))))))))))</f>
        <v/>
      </c>
      <c r="O2168" s="59" t="str">
        <f>IF(A2168="","",COUNTIF($A$6:A2168,A2168))</f>
        <v/>
      </c>
      <c r="P2168" s="62" t="str">
        <f>IF(A2168="","",A2168&amp;"|"&amp;O2168)</f>
        <v/>
      </c>
    </row>
    <row r="2169">
      <c r="A2169" s="60" t="n"/>
      <c r="B2169" s="63" t="n"/>
      <c r="C2169" s="63" t="n"/>
      <c r="D2169" s="67" t="n"/>
      <c r="E2169" s="68" t="n"/>
      <c r="F2169" s="69" t="n"/>
      <c r="G2169" s="70" t="n"/>
      <c r="H2169" s="62" t="str">
        <f>IF(COUNTA(A2169:G2169)=0,"",IF(C2169&lt;&gt;"",C2169,IF(B2169="","",IFERROR(INDEX(pr_des,MATCH(B2169,pr_code,0))&amp;"",""))))</f>
        <v/>
      </c>
      <c r="I2169" s="59" t="str">
        <f>IF(B2169="","",IFERROR(INDEX(pr_unit,MATCH(B2169,pr_code,0))&amp;"",""))</f>
        <v/>
      </c>
      <c r="J2169" s="65" t="str">
        <f>IF(COUNTA(A2169:G2169)=0,"",IF(E2169&lt;&gt;"",E2169,IF(B2169="","",IFERROR(IF(INDEX(pr_price,MATCH(B2169,pr_code,0))="","",INDEX(pr_price,MATCH(B2169,pr_code,0))),""))))</f>
        <v/>
      </c>
      <c r="K2169" s="71" t="str">
        <f>IF(COUNTA(A2169:G2169)=0,"",IF(G2169&lt;&gt;"",G2169,IF(B2169="","",IFERROR(IF(INDEX(pr_rate,MATCH(B2169,pr_code,0))="","",INDEX(pr_rate,MATCH(B2169,pr_code,0))),""))))</f>
        <v/>
      </c>
      <c r="L2169" s="65" t="str">
        <f>IF(COUNTA(A2169:G2169)=0,"",IF(AND(ISNUMBER(D2169),ISNUMBER(J2169)),ROUND(D2169*J2169*(1-N(F2169)),2),0))</f>
        <v/>
      </c>
      <c r="M2169" s="62" t="str">
        <f>IF(A2169="","",IFERROR(INDEX(dv_cname,MATCH(A2169,dv_num,0))&amp;"",""))</f>
        <v/>
      </c>
      <c r="N2169" s="59" t="str">
        <f>IF(COUNTA(A2169:G2169)=0,"",IF(A2169="","N° devis manquant",IF(ISNA(MATCH(A2169,dv_num,0)),"Devis inconnu",IF(AND(B2169&lt;&gt;"",ISNA(MATCH(B2169,pr_code,0))),"Article inconnu",IF(H2169="","Désignation manquante",IF(OR(NOT(ISNUMBER(D2169)),N(D2169)&lt;=0),"Quantité invalide",IF(J2169="","Prix manquant",IF(OR(NOT(ISNUMBER(J2169)),N(J2169)&lt;0),"Prix invalide",IF(OR(AND(F2169&lt;&gt;"",NOT(ISNUMBER(F2169))),N(F2169)&lt;0,N(F2169)&gt;1),"Remise invalide",IF(K2169="","Taux de TVA manquant",IF(NOT(ISNUMBER(K2169)),"Taux de TVA invalide",IF(COUNTIF(p_rates,K2169)=0,"Taux de TVA hors liste (Paramètres)",IF(N(O2169)&gt;25,"Au-delà de 25 lignes : non imprimée","OK")))))))))))))</f>
        <v/>
      </c>
      <c r="O2169" s="59" t="str">
        <f>IF(A2169="","",COUNTIF($A$6:A2169,A2169))</f>
        <v/>
      </c>
      <c r="P2169" s="62" t="str">
        <f>IF(A2169="","",A2169&amp;"|"&amp;O2169)</f>
        <v/>
      </c>
    </row>
    <row r="2170">
      <c r="A2170" s="60" t="n"/>
      <c r="B2170" s="63" t="n"/>
      <c r="C2170" s="63" t="n"/>
      <c r="D2170" s="67" t="n"/>
      <c r="E2170" s="68" t="n"/>
      <c r="F2170" s="69" t="n"/>
      <c r="G2170" s="70" t="n"/>
      <c r="H2170" s="62" t="str">
        <f>IF(COUNTA(A2170:G2170)=0,"",IF(C2170&lt;&gt;"",C2170,IF(B2170="","",IFERROR(INDEX(pr_des,MATCH(B2170,pr_code,0))&amp;"",""))))</f>
        <v/>
      </c>
      <c r="I2170" s="59" t="str">
        <f>IF(B2170="","",IFERROR(INDEX(pr_unit,MATCH(B2170,pr_code,0))&amp;"",""))</f>
        <v/>
      </c>
      <c r="J2170" s="65" t="str">
        <f>IF(COUNTA(A2170:G2170)=0,"",IF(E2170&lt;&gt;"",E2170,IF(B2170="","",IFERROR(IF(INDEX(pr_price,MATCH(B2170,pr_code,0))="","",INDEX(pr_price,MATCH(B2170,pr_code,0))),""))))</f>
        <v/>
      </c>
      <c r="K2170" s="71" t="str">
        <f>IF(COUNTA(A2170:G2170)=0,"",IF(G2170&lt;&gt;"",G2170,IF(B2170="","",IFERROR(IF(INDEX(pr_rate,MATCH(B2170,pr_code,0))="","",INDEX(pr_rate,MATCH(B2170,pr_code,0))),""))))</f>
        <v/>
      </c>
      <c r="L2170" s="65" t="str">
        <f>IF(COUNTA(A2170:G2170)=0,"",IF(AND(ISNUMBER(D2170),ISNUMBER(J2170)),ROUND(D2170*J2170*(1-N(F2170)),2),0))</f>
        <v/>
      </c>
      <c r="M2170" s="62" t="str">
        <f>IF(A2170="","",IFERROR(INDEX(dv_cname,MATCH(A2170,dv_num,0))&amp;"",""))</f>
        <v/>
      </c>
      <c r="N2170" s="59" t="str">
        <f>IF(COUNTA(A2170:G2170)=0,"",IF(A2170="","N° devis manquant",IF(ISNA(MATCH(A2170,dv_num,0)),"Devis inconnu",IF(AND(B2170&lt;&gt;"",ISNA(MATCH(B2170,pr_code,0))),"Article inconnu",IF(H2170="","Désignation manquante",IF(OR(NOT(ISNUMBER(D2170)),N(D2170)&lt;=0),"Quantité invalide",IF(J2170="","Prix manquant",IF(OR(NOT(ISNUMBER(J2170)),N(J2170)&lt;0),"Prix invalide",IF(OR(AND(F2170&lt;&gt;"",NOT(ISNUMBER(F2170))),N(F2170)&lt;0,N(F2170)&gt;1),"Remise invalide",IF(K2170="","Taux de TVA manquant",IF(NOT(ISNUMBER(K2170)),"Taux de TVA invalide",IF(COUNTIF(p_rates,K2170)=0,"Taux de TVA hors liste (Paramètres)",IF(N(O2170)&gt;25,"Au-delà de 25 lignes : non imprimée","OK")))))))))))))</f>
        <v/>
      </c>
      <c r="O2170" s="59" t="str">
        <f>IF(A2170="","",COUNTIF($A$6:A2170,A2170))</f>
        <v/>
      </c>
      <c r="P2170" s="62" t="str">
        <f>IF(A2170="","",A2170&amp;"|"&amp;O2170)</f>
        <v/>
      </c>
    </row>
    <row r="2171">
      <c r="A2171" s="60" t="n"/>
      <c r="B2171" s="63" t="n"/>
      <c r="C2171" s="63" t="n"/>
      <c r="D2171" s="67" t="n"/>
      <c r="E2171" s="68" t="n"/>
      <c r="F2171" s="69" t="n"/>
      <c r="G2171" s="70" t="n"/>
      <c r="H2171" s="62" t="str">
        <f>IF(COUNTA(A2171:G2171)=0,"",IF(C2171&lt;&gt;"",C2171,IF(B2171="","",IFERROR(INDEX(pr_des,MATCH(B2171,pr_code,0))&amp;"",""))))</f>
        <v/>
      </c>
      <c r="I2171" s="59" t="str">
        <f>IF(B2171="","",IFERROR(INDEX(pr_unit,MATCH(B2171,pr_code,0))&amp;"",""))</f>
        <v/>
      </c>
      <c r="J2171" s="65" t="str">
        <f>IF(COUNTA(A2171:G2171)=0,"",IF(E2171&lt;&gt;"",E2171,IF(B2171="","",IFERROR(IF(INDEX(pr_price,MATCH(B2171,pr_code,0))="","",INDEX(pr_price,MATCH(B2171,pr_code,0))),""))))</f>
        <v/>
      </c>
      <c r="K2171" s="71" t="str">
        <f>IF(COUNTA(A2171:G2171)=0,"",IF(G2171&lt;&gt;"",G2171,IF(B2171="","",IFERROR(IF(INDEX(pr_rate,MATCH(B2171,pr_code,0))="","",INDEX(pr_rate,MATCH(B2171,pr_code,0))),""))))</f>
        <v/>
      </c>
      <c r="L2171" s="65" t="str">
        <f>IF(COUNTA(A2171:G2171)=0,"",IF(AND(ISNUMBER(D2171),ISNUMBER(J2171)),ROUND(D2171*J2171*(1-N(F2171)),2),0))</f>
        <v/>
      </c>
      <c r="M2171" s="62" t="str">
        <f>IF(A2171="","",IFERROR(INDEX(dv_cname,MATCH(A2171,dv_num,0))&amp;"",""))</f>
        <v/>
      </c>
      <c r="N2171" s="59" t="str">
        <f>IF(COUNTA(A2171:G2171)=0,"",IF(A2171="","N° devis manquant",IF(ISNA(MATCH(A2171,dv_num,0)),"Devis inconnu",IF(AND(B2171&lt;&gt;"",ISNA(MATCH(B2171,pr_code,0))),"Article inconnu",IF(H2171="","Désignation manquante",IF(OR(NOT(ISNUMBER(D2171)),N(D2171)&lt;=0),"Quantité invalide",IF(J2171="","Prix manquant",IF(OR(NOT(ISNUMBER(J2171)),N(J2171)&lt;0),"Prix invalide",IF(OR(AND(F2171&lt;&gt;"",NOT(ISNUMBER(F2171))),N(F2171)&lt;0,N(F2171)&gt;1),"Remise invalide",IF(K2171="","Taux de TVA manquant",IF(NOT(ISNUMBER(K2171)),"Taux de TVA invalide",IF(COUNTIF(p_rates,K2171)=0,"Taux de TVA hors liste (Paramètres)",IF(N(O2171)&gt;25,"Au-delà de 25 lignes : non imprimée","OK")))))))))))))</f>
        <v/>
      </c>
      <c r="O2171" s="59" t="str">
        <f>IF(A2171="","",COUNTIF($A$6:A2171,A2171))</f>
        <v/>
      </c>
      <c r="P2171" s="62" t="str">
        <f>IF(A2171="","",A2171&amp;"|"&amp;O2171)</f>
        <v/>
      </c>
    </row>
    <row r="2172">
      <c r="A2172" s="60" t="n"/>
      <c r="B2172" s="63" t="n"/>
      <c r="C2172" s="63" t="n"/>
      <c r="D2172" s="67" t="n"/>
      <c r="E2172" s="68" t="n"/>
      <c r="F2172" s="69" t="n"/>
      <c r="G2172" s="70" t="n"/>
      <c r="H2172" s="62" t="str">
        <f>IF(COUNTA(A2172:G2172)=0,"",IF(C2172&lt;&gt;"",C2172,IF(B2172="","",IFERROR(INDEX(pr_des,MATCH(B2172,pr_code,0))&amp;"",""))))</f>
        <v/>
      </c>
      <c r="I2172" s="59" t="str">
        <f>IF(B2172="","",IFERROR(INDEX(pr_unit,MATCH(B2172,pr_code,0))&amp;"",""))</f>
        <v/>
      </c>
      <c r="J2172" s="65" t="str">
        <f>IF(COUNTA(A2172:G2172)=0,"",IF(E2172&lt;&gt;"",E2172,IF(B2172="","",IFERROR(IF(INDEX(pr_price,MATCH(B2172,pr_code,0))="","",INDEX(pr_price,MATCH(B2172,pr_code,0))),""))))</f>
        <v/>
      </c>
      <c r="K2172" s="71" t="str">
        <f>IF(COUNTA(A2172:G2172)=0,"",IF(G2172&lt;&gt;"",G2172,IF(B2172="","",IFERROR(IF(INDEX(pr_rate,MATCH(B2172,pr_code,0))="","",INDEX(pr_rate,MATCH(B2172,pr_code,0))),""))))</f>
        <v/>
      </c>
      <c r="L2172" s="65" t="str">
        <f>IF(COUNTA(A2172:G2172)=0,"",IF(AND(ISNUMBER(D2172),ISNUMBER(J2172)),ROUND(D2172*J2172*(1-N(F2172)),2),0))</f>
        <v/>
      </c>
      <c r="M2172" s="62" t="str">
        <f>IF(A2172="","",IFERROR(INDEX(dv_cname,MATCH(A2172,dv_num,0))&amp;"",""))</f>
        <v/>
      </c>
      <c r="N2172" s="59" t="str">
        <f>IF(COUNTA(A2172:G2172)=0,"",IF(A2172="","N° devis manquant",IF(ISNA(MATCH(A2172,dv_num,0)),"Devis inconnu",IF(AND(B2172&lt;&gt;"",ISNA(MATCH(B2172,pr_code,0))),"Article inconnu",IF(H2172="","Désignation manquante",IF(OR(NOT(ISNUMBER(D2172)),N(D2172)&lt;=0),"Quantité invalide",IF(J2172="","Prix manquant",IF(OR(NOT(ISNUMBER(J2172)),N(J2172)&lt;0),"Prix invalide",IF(OR(AND(F2172&lt;&gt;"",NOT(ISNUMBER(F2172))),N(F2172)&lt;0,N(F2172)&gt;1),"Remise invalide",IF(K2172="","Taux de TVA manquant",IF(NOT(ISNUMBER(K2172)),"Taux de TVA invalide",IF(COUNTIF(p_rates,K2172)=0,"Taux de TVA hors liste (Paramètres)",IF(N(O2172)&gt;25,"Au-delà de 25 lignes : non imprimée","OK")))))))))))))</f>
        <v/>
      </c>
      <c r="O2172" s="59" t="str">
        <f>IF(A2172="","",COUNTIF($A$6:A2172,A2172))</f>
        <v/>
      </c>
      <c r="P2172" s="62" t="str">
        <f>IF(A2172="","",A2172&amp;"|"&amp;O2172)</f>
        <v/>
      </c>
    </row>
    <row r="2173">
      <c r="A2173" s="60" t="n"/>
      <c r="B2173" s="63" t="n"/>
      <c r="C2173" s="63" t="n"/>
      <c r="D2173" s="67" t="n"/>
      <c r="E2173" s="68" t="n"/>
      <c r="F2173" s="69" t="n"/>
      <c r="G2173" s="70" t="n"/>
      <c r="H2173" s="62" t="str">
        <f>IF(COUNTA(A2173:G2173)=0,"",IF(C2173&lt;&gt;"",C2173,IF(B2173="","",IFERROR(INDEX(pr_des,MATCH(B2173,pr_code,0))&amp;"",""))))</f>
        <v/>
      </c>
      <c r="I2173" s="59" t="str">
        <f>IF(B2173="","",IFERROR(INDEX(pr_unit,MATCH(B2173,pr_code,0))&amp;"",""))</f>
        <v/>
      </c>
      <c r="J2173" s="65" t="str">
        <f>IF(COUNTA(A2173:G2173)=0,"",IF(E2173&lt;&gt;"",E2173,IF(B2173="","",IFERROR(IF(INDEX(pr_price,MATCH(B2173,pr_code,0))="","",INDEX(pr_price,MATCH(B2173,pr_code,0))),""))))</f>
        <v/>
      </c>
      <c r="K2173" s="71" t="str">
        <f>IF(COUNTA(A2173:G2173)=0,"",IF(G2173&lt;&gt;"",G2173,IF(B2173="","",IFERROR(IF(INDEX(pr_rate,MATCH(B2173,pr_code,0))="","",INDEX(pr_rate,MATCH(B2173,pr_code,0))),""))))</f>
        <v/>
      </c>
      <c r="L2173" s="65" t="str">
        <f>IF(COUNTA(A2173:G2173)=0,"",IF(AND(ISNUMBER(D2173),ISNUMBER(J2173)),ROUND(D2173*J2173*(1-N(F2173)),2),0))</f>
        <v/>
      </c>
      <c r="M2173" s="62" t="str">
        <f>IF(A2173="","",IFERROR(INDEX(dv_cname,MATCH(A2173,dv_num,0))&amp;"",""))</f>
        <v/>
      </c>
      <c r="N2173" s="59" t="str">
        <f>IF(COUNTA(A2173:G2173)=0,"",IF(A2173="","N° devis manquant",IF(ISNA(MATCH(A2173,dv_num,0)),"Devis inconnu",IF(AND(B2173&lt;&gt;"",ISNA(MATCH(B2173,pr_code,0))),"Article inconnu",IF(H2173="","Désignation manquante",IF(OR(NOT(ISNUMBER(D2173)),N(D2173)&lt;=0),"Quantité invalide",IF(J2173="","Prix manquant",IF(OR(NOT(ISNUMBER(J2173)),N(J2173)&lt;0),"Prix invalide",IF(OR(AND(F2173&lt;&gt;"",NOT(ISNUMBER(F2173))),N(F2173)&lt;0,N(F2173)&gt;1),"Remise invalide",IF(K2173="","Taux de TVA manquant",IF(NOT(ISNUMBER(K2173)),"Taux de TVA invalide",IF(COUNTIF(p_rates,K2173)=0,"Taux de TVA hors liste (Paramètres)",IF(N(O2173)&gt;25,"Au-delà de 25 lignes : non imprimée","OK")))))))))))))</f>
        <v/>
      </c>
      <c r="O2173" s="59" t="str">
        <f>IF(A2173="","",COUNTIF($A$6:A2173,A2173))</f>
        <v/>
      </c>
      <c r="P2173" s="62" t="str">
        <f>IF(A2173="","",A2173&amp;"|"&amp;O2173)</f>
        <v/>
      </c>
    </row>
    <row r="2174">
      <c r="A2174" s="60" t="n"/>
      <c r="B2174" s="63" t="n"/>
      <c r="C2174" s="63" t="n"/>
      <c r="D2174" s="67" t="n"/>
      <c r="E2174" s="68" t="n"/>
      <c r="F2174" s="69" t="n"/>
      <c r="G2174" s="70" t="n"/>
      <c r="H2174" s="62" t="str">
        <f>IF(COUNTA(A2174:G2174)=0,"",IF(C2174&lt;&gt;"",C2174,IF(B2174="","",IFERROR(INDEX(pr_des,MATCH(B2174,pr_code,0))&amp;"",""))))</f>
        <v/>
      </c>
      <c r="I2174" s="59" t="str">
        <f>IF(B2174="","",IFERROR(INDEX(pr_unit,MATCH(B2174,pr_code,0))&amp;"",""))</f>
        <v/>
      </c>
      <c r="J2174" s="65" t="str">
        <f>IF(COUNTA(A2174:G2174)=0,"",IF(E2174&lt;&gt;"",E2174,IF(B2174="","",IFERROR(IF(INDEX(pr_price,MATCH(B2174,pr_code,0))="","",INDEX(pr_price,MATCH(B2174,pr_code,0))),""))))</f>
        <v/>
      </c>
      <c r="K2174" s="71" t="str">
        <f>IF(COUNTA(A2174:G2174)=0,"",IF(G2174&lt;&gt;"",G2174,IF(B2174="","",IFERROR(IF(INDEX(pr_rate,MATCH(B2174,pr_code,0))="","",INDEX(pr_rate,MATCH(B2174,pr_code,0))),""))))</f>
        <v/>
      </c>
      <c r="L2174" s="65" t="str">
        <f>IF(COUNTA(A2174:G2174)=0,"",IF(AND(ISNUMBER(D2174),ISNUMBER(J2174)),ROUND(D2174*J2174*(1-N(F2174)),2),0))</f>
        <v/>
      </c>
      <c r="M2174" s="62" t="str">
        <f>IF(A2174="","",IFERROR(INDEX(dv_cname,MATCH(A2174,dv_num,0))&amp;"",""))</f>
        <v/>
      </c>
      <c r="N2174" s="59" t="str">
        <f>IF(COUNTA(A2174:G2174)=0,"",IF(A2174="","N° devis manquant",IF(ISNA(MATCH(A2174,dv_num,0)),"Devis inconnu",IF(AND(B2174&lt;&gt;"",ISNA(MATCH(B2174,pr_code,0))),"Article inconnu",IF(H2174="","Désignation manquante",IF(OR(NOT(ISNUMBER(D2174)),N(D2174)&lt;=0),"Quantité invalide",IF(J2174="","Prix manquant",IF(OR(NOT(ISNUMBER(J2174)),N(J2174)&lt;0),"Prix invalide",IF(OR(AND(F2174&lt;&gt;"",NOT(ISNUMBER(F2174))),N(F2174)&lt;0,N(F2174)&gt;1),"Remise invalide",IF(K2174="","Taux de TVA manquant",IF(NOT(ISNUMBER(K2174)),"Taux de TVA invalide",IF(COUNTIF(p_rates,K2174)=0,"Taux de TVA hors liste (Paramètres)",IF(N(O2174)&gt;25,"Au-delà de 25 lignes : non imprimée","OK")))))))))))))</f>
        <v/>
      </c>
      <c r="O2174" s="59" t="str">
        <f>IF(A2174="","",COUNTIF($A$6:A2174,A2174))</f>
        <v/>
      </c>
      <c r="P2174" s="62" t="str">
        <f>IF(A2174="","",A2174&amp;"|"&amp;O2174)</f>
        <v/>
      </c>
    </row>
    <row r="2175">
      <c r="A2175" s="60" t="n"/>
      <c r="B2175" s="63" t="n"/>
      <c r="C2175" s="63" t="n"/>
      <c r="D2175" s="67" t="n"/>
      <c r="E2175" s="68" t="n"/>
      <c r="F2175" s="69" t="n"/>
      <c r="G2175" s="70" t="n"/>
      <c r="H2175" s="62" t="str">
        <f>IF(COUNTA(A2175:G2175)=0,"",IF(C2175&lt;&gt;"",C2175,IF(B2175="","",IFERROR(INDEX(pr_des,MATCH(B2175,pr_code,0))&amp;"",""))))</f>
        <v/>
      </c>
      <c r="I2175" s="59" t="str">
        <f>IF(B2175="","",IFERROR(INDEX(pr_unit,MATCH(B2175,pr_code,0))&amp;"",""))</f>
        <v/>
      </c>
      <c r="J2175" s="65" t="str">
        <f>IF(COUNTA(A2175:G2175)=0,"",IF(E2175&lt;&gt;"",E2175,IF(B2175="","",IFERROR(IF(INDEX(pr_price,MATCH(B2175,pr_code,0))="","",INDEX(pr_price,MATCH(B2175,pr_code,0))),""))))</f>
        <v/>
      </c>
      <c r="K2175" s="71" t="str">
        <f>IF(COUNTA(A2175:G2175)=0,"",IF(G2175&lt;&gt;"",G2175,IF(B2175="","",IFERROR(IF(INDEX(pr_rate,MATCH(B2175,pr_code,0))="","",INDEX(pr_rate,MATCH(B2175,pr_code,0))),""))))</f>
        <v/>
      </c>
      <c r="L2175" s="65" t="str">
        <f>IF(COUNTA(A2175:G2175)=0,"",IF(AND(ISNUMBER(D2175),ISNUMBER(J2175)),ROUND(D2175*J2175*(1-N(F2175)),2),0))</f>
        <v/>
      </c>
      <c r="M2175" s="62" t="str">
        <f>IF(A2175="","",IFERROR(INDEX(dv_cname,MATCH(A2175,dv_num,0))&amp;"",""))</f>
        <v/>
      </c>
      <c r="N2175" s="59" t="str">
        <f>IF(COUNTA(A2175:G2175)=0,"",IF(A2175="","N° devis manquant",IF(ISNA(MATCH(A2175,dv_num,0)),"Devis inconnu",IF(AND(B2175&lt;&gt;"",ISNA(MATCH(B2175,pr_code,0))),"Article inconnu",IF(H2175="","Désignation manquante",IF(OR(NOT(ISNUMBER(D2175)),N(D2175)&lt;=0),"Quantité invalide",IF(J2175="","Prix manquant",IF(OR(NOT(ISNUMBER(J2175)),N(J2175)&lt;0),"Prix invalide",IF(OR(AND(F2175&lt;&gt;"",NOT(ISNUMBER(F2175))),N(F2175)&lt;0,N(F2175)&gt;1),"Remise invalide",IF(K2175="","Taux de TVA manquant",IF(NOT(ISNUMBER(K2175)),"Taux de TVA invalide",IF(COUNTIF(p_rates,K2175)=0,"Taux de TVA hors liste (Paramètres)",IF(N(O2175)&gt;25,"Au-delà de 25 lignes : non imprimée","OK")))))))))))))</f>
        <v/>
      </c>
      <c r="O2175" s="59" t="str">
        <f>IF(A2175="","",COUNTIF($A$6:A2175,A2175))</f>
        <v/>
      </c>
      <c r="P2175" s="62" t="str">
        <f>IF(A2175="","",A2175&amp;"|"&amp;O2175)</f>
        <v/>
      </c>
    </row>
    <row r="2176">
      <c r="A2176" s="60" t="n"/>
      <c r="B2176" s="63" t="n"/>
      <c r="C2176" s="63" t="n"/>
      <c r="D2176" s="67" t="n"/>
      <c r="E2176" s="68" t="n"/>
      <c r="F2176" s="69" t="n"/>
      <c r="G2176" s="70" t="n"/>
      <c r="H2176" s="62" t="str">
        <f>IF(COUNTA(A2176:G2176)=0,"",IF(C2176&lt;&gt;"",C2176,IF(B2176="","",IFERROR(INDEX(pr_des,MATCH(B2176,pr_code,0))&amp;"",""))))</f>
        <v/>
      </c>
      <c r="I2176" s="59" t="str">
        <f>IF(B2176="","",IFERROR(INDEX(pr_unit,MATCH(B2176,pr_code,0))&amp;"",""))</f>
        <v/>
      </c>
      <c r="J2176" s="65" t="str">
        <f>IF(COUNTA(A2176:G2176)=0,"",IF(E2176&lt;&gt;"",E2176,IF(B2176="","",IFERROR(IF(INDEX(pr_price,MATCH(B2176,pr_code,0))="","",INDEX(pr_price,MATCH(B2176,pr_code,0))),""))))</f>
        <v/>
      </c>
      <c r="K2176" s="71" t="str">
        <f>IF(COUNTA(A2176:G2176)=0,"",IF(G2176&lt;&gt;"",G2176,IF(B2176="","",IFERROR(IF(INDEX(pr_rate,MATCH(B2176,pr_code,0))="","",INDEX(pr_rate,MATCH(B2176,pr_code,0))),""))))</f>
        <v/>
      </c>
      <c r="L2176" s="65" t="str">
        <f>IF(COUNTA(A2176:G2176)=0,"",IF(AND(ISNUMBER(D2176),ISNUMBER(J2176)),ROUND(D2176*J2176*(1-N(F2176)),2),0))</f>
        <v/>
      </c>
      <c r="M2176" s="62" t="str">
        <f>IF(A2176="","",IFERROR(INDEX(dv_cname,MATCH(A2176,dv_num,0))&amp;"",""))</f>
        <v/>
      </c>
      <c r="N2176" s="59" t="str">
        <f>IF(COUNTA(A2176:G2176)=0,"",IF(A2176="","N° devis manquant",IF(ISNA(MATCH(A2176,dv_num,0)),"Devis inconnu",IF(AND(B2176&lt;&gt;"",ISNA(MATCH(B2176,pr_code,0))),"Article inconnu",IF(H2176="","Désignation manquante",IF(OR(NOT(ISNUMBER(D2176)),N(D2176)&lt;=0),"Quantité invalide",IF(J2176="","Prix manquant",IF(OR(NOT(ISNUMBER(J2176)),N(J2176)&lt;0),"Prix invalide",IF(OR(AND(F2176&lt;&gt;"",NOT(ISNUMBER(F2176))),N(F2176)&lt;0,N(F2176)&gt;1),"Remise invalide",IF(K2176="","Taux de TVA manquant",IF(NOT(ISNUMBER(K2176)),"Taux de TVA invalide",IF(COUNTIF(p_rates,K2176)=0,"Taux de TVA hors liste (Paramètres)",IF(N(O2176)&gt;25,"Au-delà de 25 lignes : non imprimée","OK")))))))))))))</f>
        <v/>
      </c>
      <c r="O2176" s="59" t="str">
        <f>IF(A2176="","",COUNTIF($A$6:A2176,A2176))</f>
        <v/>
      </c>
      <c r="P2176" s="62" t="str">
        <f>IF(A2176="","",A2176&amp;"|"&amp;O2176)</f>
        <v/>
      </c>
    </row>
    <row r="2177">
      <c r="A2177" s="60" t="n"/>
      <c r="B2177" s="63" t="n"/>
      <c r="C2177" s="63" t="n"/>
      <c r="D2177" s="67" t="n"/>
      <c r="E2177" s="68" t="n"/>
      <c r="F2177" s="69" t="n"/>
      <c r="G2177" s="70" t="n"/>
      <c r="H2177" s="62" t="str">
        <f>IF(COUNTA(A2177:G2177)=0,"",IF(C2177&lt;&gt;"",C2177,IF(B2177="","",IFERROR(INDEX(pr_des,MATCH(B2177,pr_code,0))&amp;"",""))))</f>
        <v/>
      </c>
      <c r="I2177" s="59" t="str">
        <f>IF(B2177="","",IFERROR(INDEX(pr_unit,MATCH(B2177,pr_code,0))&amp;"",""))</f>
        <v/>
      </c>
      <c r="J2177" s="65" t="str">
        <f>IF(COUNTA(A2177:G2177)=0,"",IF(E2177&lt;&gt;"",E2177,IF(B2177="","",IFERROR(IF(INDEX(pr_price,MATCH(B2177,pr_code,0))="","",INDEX(pr_price,MATCH(B2177,pr_code,0))),""))))</f>
        <v/>
      </c>
      <c r="K2177" s="71" t="str">
        <f>IF(COUNTA(A2177:G2177)=0,"",IF(G2177&lt;&gt;"",G2177,IF(B2177="","",IFERROR(IF(INDEX(pr_rate,MATCH(B2177,pr_code,0))="","",INDEX(pr_rate,MATCH(B2177,pr_code,0))),""))))</f>
        <v/>
      </c>
      <c r="L2177" s="65" t="str">
        <f>IF(COUNTA(A2177:G2177)=0,"",IF(AND(ISNUMBER(D2177),ISNUMBER(J2177)),ROUND(D2177*J2177*(1-N(F2177)),2),0))</f>
        <v/>
      </c>
      <c r="M2177" s="62" t="str">
        <f>IF(A2177="","",IFERROR(INDEX(dv_cname,MATCH(A2177,dv_num,0))&amp;"",""))</f>
        <v/>
      </c>
      <c r="N2177" s="59" t="str">
        <f>IF(COUNTA(A2177:G2177)=0,"",IF(A2177="","N° devis manquant",IF(ISNA(MATCH(A2177,dv_num,0)),"Devis inconnu",IF(AND(B2177&lt;&gt;"",ISNA(MATCH(B2177,pr_code,0))),"Article inconnu",IF(H2177="","Désignation manquante",IF(OR(NOT(ISNUMBER(D2177)),N(D2177)&lt;=0),"Quantité invalide",IF(J2177="","Prix manquant",IF(OR(NOT(ISNUMBER(J2177)),N(J2177)&lt;0),"Prix invalide",IF(OR(AND(F2177&lt;&gt;"",NOT(ISNUMBER(F2177))),N(F2177)&lt;0,N(F2177)&gt;1),"Remise invalide",IF(K2177="","Taux de TVA manquant",IF(NOT(ISNUMBER(K2177)),"Taux de TVA invalide",IF(COUNTIF(p_rates,K2177)=0,"Taux de TVA hors liste (Paramètres)",IF(N(O2177)&gt;25,"Au-delà de 25 lignes : non imprimée","OK")))))))))))))</f>
        <v/>
      </c>
      <c r="O2177" s="59" t="str">
        <f>IF(A2177="","",COUNTIF($A$6:A2177,A2177))</f>
        <v/>
      </c>
      <c r="P2177" s="62" t="str">
        <f>IF(A2177="","",A2177&amp;"|"&amp;O2177)</f>
        <v/>
      </c>
    </row>
    <row r="2178">
      <c r="A2178" s="60" t="n"/>
      <c r="B2178" s="63" t="n"/>
      <c r="C2178" s="63" t="n"/>
      <c r="D2178" s="67" t="n"/>
      <c r="E2178" s="68" t="n"/>
      <c r="F2178" s="69" t="n"/>
      <c r="G2178" s="70" t="n"/>
      <c r="H2178" s="62" t="str">
        <f>IF(COUNTA(A2178:G2178)=0,"",IF(C2178&lt;&gt;"",C2178,IF(B2178="","",IFERROR(INDEX(pr_des,MATCH(B2178,pr_code,0))&amp;"",""))))</f>
        <v/>
      </c>
      <c r="I2178" s="59" t="str">
        <f>IF(B2178="","",IFERROR(INDEX(pr_unit,MATCH(B2178,pr_code,0))&amp;"",""))</f>
        <v/>
      </c>
      <c r="J2178" s="65" t="str">
        <f>IF(COUNTA(A2178:G2178)=0,"",IF(E2178&lt;&gt;"",E2178,IF(B2178="","",IFERROR(IF(INDEX(pr_price,MATCH(B2178,pr_code,0))="","",INDEX(pr_price,MATCH(B2178,pr_code,0))),""))))</f>
        <v/>
      </c>
      <c r="K2178" s="71" t="str">
        <f>IF(COUNTA(A2178:G2178)=0,"",IF(G2178&lt;&gt;"",G2178,IF(B2178="","",IFERROR(IF(INDEX(pr_rate,MATCH(B2178,pr_code,0))="","",INDEX(pr_rate,MATCH(B2178,pr_code,0))),""))))</f>
        <v/>
      </c>
      <c r="L2178" s="65" t="str">
        <f>IF(COUNTA(A2178:G2178)=0,"",IF(AND(ISNUMBER(D2178),ISNUMBER(J2178)),ROUND(D2178*J2178*(1-N(F2178)),2),0))</f>
        <v/>
      </c>
      <c r="M2178" s="62" t="str">
        <f>IF(A2178="","",IFERROR(INDEX(dv_cname,MATCH(A2178,dv_num,0))&amp;"",""))</f>
        <v/>
      </c>
      <c r="N2178" s="59" t="str">
        <f>IF(COUNTA(A2178:G2178)=0,"",IF(A2178="","N° devis manquant",IF(ISNA(MATCH(A2178,dv_num,0)),"Devis inconnu",IF(AND(B2178&lt;&gt;"",ISNA(MATCH(B2178,pr_code,0))),"Article inconnu",IF(H2178="","Désignation manquante",IF(OR(NOT(ISNUMBER(D2178)),N(D2178)&lt;=0),"Quantité invalide",IF(J2178="","Prix manquant",IF(OR(NOT(ISNUMBER(J2178)),N(J2178)&lt;0),"Prix invalide",IF(OR(AND(F2178&lt;&gt;"",NOT(ISNUMBER(F2178))),N(F2178)&lt;0,N(F2178)&gt;1),"Remise invalide",IF(K2178="","Taux de TVA manquant",IF(NOT(ISNUMBER(K2178)),"Taux de TVA invalide",IF(COUNTIF(p_rates,K2178)=0,"Taux de TVA hors liste (Paramètres)",IF(N(O2178)&gt;25,"Au-delà de 25 lignes : non imprimée","OK")))))))))))))</f>
        <v/>
      </c>
      <c r="O2178" s="59" t="str">
        <f>IF(A2178="","",COUNTIF($A$6:A2178,A2178))</f>
        <v/>
      </c>
      <c r="P2178" s="62" t="str">
        <f>IF(A2178="","",A2178&amp;"|"&amp;O2178)</f>
        <v/>
      </c>
    </row>
    <row r="2179">
      <c r="A2179" s="60" t="n"/>
      <c r="B2179" s="63" t="n"/>
      <c r="C2179" s="63" t="n"/>
      <c r="D2179" s="67" t="n"/>
      <c r="E2179" s="68" t="n"/>
      <c r="F2179" s="69" t="n"/>
      <c r="G2179" s="70" t="n"/>
      <c r="H2179" s="62" t="str">
        <f>IF(COUNTA(A2179:G2179)=0,"",IF(C2179&lt;&gt;"",C2179,IF(B2179="","",IFERROR(INDEX(pr_des,MATCH(B2179,pr_code,0))&amp;"",""))))</f>
        <v/>
      </c>
      <c r="I2179" s="59" t="str">
        <f>IF(B2179="","",IFERROR(INDEX(pr_unit,MATCH(B2179,pr_code,0))&amp;"",""))</f>
        <v/>
      </c>
      <c r="J2179" s="65" t="str">
        <f>IF(COUNTA(A2179:G2179)=0,"",IF(E2179&lt;&gt;"",E2179,IF(B2179="","",IFERROR(IF(INDEX(pr_price,MATCH(B2179,pr_code,0))="","",INDEX(pr_price,MATCH(B2179,pr_code,0))),""))))</f>
        <v/>
      </c>
      <c r="K2179" s="71" t="str">
        <f>IF(COUNTA(A2179:G2179)=0,"",IF(G2179&lt;&gt;"",G2179,IF(B2179="","",IFERROR(IF(INDEX(pr_rate,MATCH(B2179,pr_code,0))="","",INDEX(pr_rate,MATCH(B2179,pr_code,0))),""))))</f>
        <v/>
      </c>
      <c r="L2179" s="65" t="str">
        <f>IF(COUNTA(A2179:G2179)=0,"",IF(AND(ISNUMBER(D2179),ISNUMBER(J2179)),ROUND(D2179*J2179*(1-N(F2179)),2),0))</f>
        <v/>
      </c>
      <c r="M2179" s="62" t="str">
        <f>IF(A2179="","",IFERROR(INDEX(dv_cname,MATCH(A2179,dv_num,0))&amp;"",""))</f>
        <v/>
      </c>
      <c r="N2179" s="59" t="str">
        <f>IF(COUNTA(A2179:G2179)=0,"",IF(A2179="","N° devis manquant",IF(ISNA(MATCH(A2179,dv_num,0)),"Devis inconnu",IF(AND(B2179&lt;&gt;"",ISNA(MATCH(B2179,pr_code,0))),"Article inconnu",IF(H2179="","Désignation manquante",IF(OR(NOT(ISNUMBER(D2179)),N(D2179)&lt;=0),"Quantité invalide",IF(J2179="","Prix manquant",IF(OR(NOT(ISNUMBER(J2179)),N(J2179)&lt;0),"Prix invalide",IF(OR(AND(F2179&lt;&gt;"",NOT(ISNUMBER(F2179))),N(F2179)&lt;0,N(F2179)&gt;1),"Remise invalide",IF(K2179="","Taux de TVA manquant",IF(NOT(ISNUMBER(K2179)),"Taux de TVA invalide",IF(COUNTIF(p_rates,K2179)=0,"Taux de TVA hors liste (Paramètres)",IF(N(O2179)&gt;25,"Au-delà de 25 lignes : non imprimée","OK")))))))))))))</f>
        <v/>
      </c>
      <c r="O2179" s="59" t="str">
        <f>IF(A2179="","",COUNTIF($A$6:A2179,A2179))</f>
        <v/>
      </c>
      <c r="P2179" s="62" t="str">
        <f>IF(A2179="","",A2179&amp;"|"&amp;O2179)</f>
        <v/>
      </c>
    </row>
    <row r="2180">
      <c r="A2180" s="60" t="n"/>
      <c r="B2180" s="63" t="n"/>
      <c r="C2180" s="63" t="n"/>
      <c r="D2180" s="67" t="n"/>
      <c r="E2180" s="68" t="n"/>
      <c r="F2180" s="69" t="n"/>
      <c r="G2180" s="70" t="n"/>
      <c r="H2180" s="62" t="str">
        <f>IF(COUNTA(A2180:G2180)=0,"",IF(C2180&lt;&gt;"",C2180,IF(B2180="","",IFERROR(INDEX(pr_des,MATCH(B2180,pr_code,0))&amp;"",""))))</f>
        <v/>
      </c>
      <c r="I2180" s="59" t="str">
        <f>IF(B2180="","",IFERROR(INDEX(pr_unit,MATCH(B2180,pr_code,0))&amp;"",""))</f>
        <v/>
      </c>
      <c r="J2180" s="65" t="str">
        <f>IF(COUNTA(A2180:G2180)=0,"",IF(E2180&lt;&gt;"",E2180,IF(B2180="","",IFERROR(IF(INDEX(pr_price,MATCH(B2180,pr_code,0))="","",INDEX(pr_price,MATCH(B2180,pr_code,0))),""))))</f>
        <v/>
      </c>
      <c r="K2180" s="71" t="str">
        <f>IF(COUNTA(A2180:G2180)=0,"",IF(G2180&lt;&gt;"",G2180,IF(B2180="","",IFERROR(IF(INDEX(pr_rate,MATCH(B2180,pr_code,0))="","",INDEX(pr_rate,MATCH(B2180,pr_code,0))),""))))</f>
        <v/>
      </c>
      <c r="L2180" s="65" t="str">
        <f>IF(COUNTA(A2180:G2180)=0,"",IF(AND(ISNUMBER(D2180),ISNUMBER(J2180)),ROUND(D2180*J2180*(1-N(F2180)),2),0))</f>
        <v/>
      </c>
      <c r="M2180" s="62" t="str">
        <f>IF(A2180="","",IFERROR(INDEX(dv_cname,MATCH(A2180,dv_num,0))&amp;"",""))</f>
        <v/>
      </c>
      <c r="N2180" s="59" t="str">
        <f>IF(COUNTA(A2180:G2180)=0,"",IF(A2180="","N° devis manquant",IF(ISNA(MATCH(A2180,dv_num,0)),"Devis inconnu",IF(AND(B2180&lt;&gt;"",ISNA(MATCH(B2180,pr_code,0))),"Article inconnu",IF(H2180="","Désignation manquante",IF(OR(NOT(ISNUMBER(D2180)),N(D2180)&lt;=0),"Quantité invalide",IF(J2180="","Prix manquant",IF(OR(NOT(ISNUMBER(J2180)),N(J2180)&lt;0),"Prix invalide",IF(OR(AND(F2180&lt;&gt;"",NOT(ISNUMBER(F2180))),N(F2180)&lt;0,N(F2180)&gt;1),"Remise invalide",IF(K2180="","Taux de TVA manquant",IF(NOT(ISNUMBER(K2180)),"Taux de TVA invalide",IF(COUNTIF(p_rates,K2180)=0,"Taux de TVA hors liste (Paramètres)",IF(N(O2180)&gt;25,"Au-delà de 25 lignes : non imprimée","OK")))))))))))))</f>
        <v/>
      </c>
      <c r="O2180" s="59" t="str">
        <f>IF(A2180="","",COUNTIF($A$6:A2180,A2180))</f>
        <v/>
      </c>
      <c r="P2180" s="62" t="str">
        <f>IF(A2180="","",A2180&amp;"|"&amp;O2180)</f>
        <v/>
      </c>
    </row>
    <row r="2181">
      <c r="A2181" s="60" t="n"/>
      <c r="B2181" s="63" t="n"/>
      <c r="C2181" s="63" t="n"/>
      <c r="D2181" s="67" t="n"/>
      <c r="E2181" s="68" t="n"/>
      <c r="F2181" s="69" t="n"/>
      <c r="G2181" s="70" t="n"/>
      <c r="H2181" s="62" t="str">
        <f>IF(COUNTA(A2181:G2181)=0,"",IF(C2181&lt;&gt;"",C2181,IF(B2181="","",IFERROR(INDEX(pr_des,MATCH(B2181,pr_code,0))&amp;"",""))))</f>
        <v/>
      </c>
      <c r="I2181" s="59" t="str">
        <f>IF(B2181="","",IFERROR(INDEX(pr_unit,MATCH(B2181,pr_code,0))&amp;"",""))</f>
        <v/>
      </c>
      <c r="J2181" s="65" t="str">
        <f>IF(COUNTA(A2181:G2181)=0,"",IF(E2181&lt;&gt;"",E2181,IF(B2181="","",IFERROR(IF(INDEX(pr_price,MATCH(B2181,pr_code,0))="","",INDEX(pr_price,MATCH(B2181,pr_code,0))),""))))</f>
        <v/>
      </c>
      <c r="K2181" s="71" t="str">
        <f>IF(COUNTA(A2181:G2181)=0,"",IF(G2181&lt;&gt;"",G2181,IF(B2181="","",IFERROR(IF(INDEX(pr_rate,MATCH(B2181,pr_code,0))="","",INDEX(pr_rate,MATCH(B2181,pr_code,0))),""))))</f>
        <v/>
      </c>
      <c r="L2181" s="65" t="str">
        <f>IF(COUNTA(A2181:G2181)=0,"",IF(AND(ISNUMBER(D2181),ISNUMBER(J2181)),ROUND(D2181*J2181*(1-N(F2181)),2),0))</f>
        <v/>
      </c>
      <c r="M2181" s="62" t="str">
        <f>IF(A2181="","",IFERROR(INDEX(dv_cname,MATCH(A2181,dv_num,0))&amp;"",""))</f>
        <v/>
      </c>
      <c r="N2181" s="59" t="str">
        <f>IF(COUNTA(A2181:G2181)=0,"",IF(A2181="","N° devis manquant",IF(ISNA(MATCH(A2181,dv_num,0)),"Devis inconnu",IF(AND(B2181&lt;&gt;"",ISNA(MATCH(B2181,pr_code,0))),"Article inconnu",IF(H2181="","Désignation manquante",IF(OR(NOT(ISNUMBER(D2181)),N(D2181)&lt;=0),"Quantité invalide",IF(J2181="","Prix manquant",IF(OR(NOT(ISNUMBER(J2181)),N(J2181)&lt;0),"Prix invalide",IF(OR(AND(F2181&lt;&gt;"",NOT(ISNUMBER(F2181))),N(F2181)&lt;0,N(F2181)&gt;1),"Remise invalide",IF(K2181="","Taux de TVA manquant",IF(NOT(ISNUMBER(K2181)),"Taux de TVA invalide",IF(COUNTIF(p_rates,K2181)=0,"Taux de TVA hors liste (Paramètres)",IF(N(O2181)&gt;25,"Au-delà de 25 lignes : non imprimée","OK")))))))))))))</f>
        <v/>
      </c>
      <c r="O2181" s="59" t="str">
        <f>IF(A2181="","",COUNTIF($A$6:A2181,A2181))</f>
        <v/>
      </c>
      <c r="P2181" s="62" t="str">
        <f>IF(A2181="","",A2181&amp;"|"&amp;O2181)</f>
        <v/>
      </c>
    </row>
    <row r="2182">
      <c r="A2182" s="60" t="n"/>
      <c r="B2182" s="63" t="n"/>
      <c r="C2182" s="63" t="n"/>
      <c r="D2182" s="67" t="n"/>
      <c r="E2182" s="68" t="n"/>
      <c r="F2182" s="69" t="n"/>
      <c r="G2182" s="70" t="n"/>
      <c r="H2182" s="62" t="str">
        <f>IF(COUNTA(A2182:G2182)=0,"",IF(C2182&lt;&gt;"",C2182,IF(B2182="","",IFERROR(INDEX(pr_des,MATCH(B2182,pr_code,0))&amp;"",""))))</f>
        <v/>
      </c>
      <c r="I2182" s="59" t="str">
        <f>IF(B2182="","",IFERROR(INDEX(pr_unit,MATCH(B2182,pr_code,0))&amp;"",""))</f>
        <v/>
      </c>
      <c r="J2182" s="65" t="str">
        <f>IF(COUNTA(A2182:G2182)=0,"",IF(E2182&lt;&gt;"",E2182,IF(B2182="","",IFERROR(IF(INDEX(pr_price,MATCH(B2182,pr_code,0))="","",INDEX(pr_price,MATCH(B2182,pr_code,0))),""))))</f>
        <v/>
      </c>
      <c r="K2182" s="71" t="str">
        <f>IF(COUNTA(A2182:G2182)=0,"",IF(G2182&lt;&gt;"",G2182,IF(B2182="","",IFERROR(IF(INDEX(pr_rate,MATCH(B2182,pr_code,0))="","",INDEX(pr_rate,MATCH(B2182,pr_code,0))),""))))</f>
        <v/>
      </c>
      <c r="L2182" s="65" t="str">
        <f>IF(COUNTA(A2182:G2182)=0,"",IF(AND(ISNUMBER(D2182),ISNUMBER(J2182)),ROUND(D2182*J2182*(1-N(F2182)),2),0))</f>
        <v/>
      </c>
      <c r="M2182" s="62" t="str">
        <f>IF(A2182="","",IFERROR(INDEX(dv_cname,MATCH(A2182,dv_num,0))&amp;"",""))</f>
        <v/>
      </c>
      <c r="N2182" s="59" t="str">
        <f>IF(COUNTA(A2182:G2182)=0,"",IF(A2182="","N° devis manquant",IF(ISNA(MATCH(A2182,dv_num,0)),"Devis inconnu",IF(AND(B2182&lt;&gt;"",ISNA(MATCH(B2182,pr_code,0))),"Article inconnu",IF(H2182="","Désignation manquante",IF(OR(NOT(ISNUMBER(D2182)),N(D2182)&lt;=0),"Quantité invalide",IF(J2182="","Prix manquant",IF(OR(NOT(ISNUMBER(J2182)),N(J2182)&lt;0),"Prix invalide",IF(OR(AND(F2182&lt;&gt;"",NOT(ISNUMBER(F2182))),N(F2182)&lt;0,N(F2182)&gt;1),"Remise invalide",IF(K2182="","Taux de TVA manquant",IF(NOT(ISNUMBER(K2182)),"Taux de TVA invalide",IF(COUNTIF(p_rates,K2182)=0,"Taux de TVA hors liste (Paramètres)",IF(N(O2182)&gt;25,"Au-delà de 25 lignes : non imprimée","OK")))))))))))))</f>
        <v/>
      </c>
      <c r="O2182" s="59" t="str">
        <f>IF(A2182="","",COUNTIF($A$6:A2182,A2182))</f>
        <v/>
      </c>
      <c r="P2182" s="62" t="str">
        <f>IF(A2182="","",A2182&amp;"|"&amp;O2182)</f>
        <v/>
      </c>
    </row>
    <row r="2183">
      <c r="A2183" s="60" t="n"/>
      <c r="B2183" s="63" t="n"/>
      <c r="C2183" s="63" t="n"/>
      <c r="D2183" s="67" t="n"/>
      <c r="E2183" s="68" t="n"/>
      <c r="F2183" s="69" t="n"/>
      <c r="G2183" s="70" t="n"/>
      <c r="H2183" s="62" t="str">
        <f>IF(COUNTA(A2183:G2183)=0,"",IF(C2183&lt;&gt;"",C2183,IF(B2183="","",IFERROR(INDEX(pr_des,MATCH(B2183,pr_code,0))&amp;"",""))))</f>
        <v/>
      </c>
      <c r="I2183" s="59" t="str">
        <f>IF(B2183="","",IFERROR(INDEX(pr_unit,MATCH(B2183,pr_code,0))&amp;"",""))</f>
        <v/>
      </c>
      <c r="J2183" s="65" t="str">
        <f>IF(COUNTA(A2183:G2183)=0,"",IF(E2183&lt;&gt;"",E2183,IF(B2183="","",IFERROR(IF(INDEX(pr_price,MATCH(B2183,pr_code,0))="","",INDEX(pr_price,MATCH(B2183,pr_code,0))),""))))</f>
        <v/>
      </c>
      <c r="K2183" s="71" t="str">
        <f>IF(COUNTA(A2183:G2183)=0,"",IF(G2183&lt;&gt;"",G2183,IF(B2183="","",IFERROR(IF(INDEX(pr_rate,MATCH(B2183,pr_code,0))="","",INDEX(pr_rate,MATCH(B2183,pr_code,0))),""))))</f>
        <v/>
      </c>
      <c r="L2183" s="65" t="str">
        <f>IF(COUNTA(A2183:G2183)=0,"",IF(AND(ISNUMBER(D2183),ISNUMBER(J2183)),ROUND(D2183*J2183*(1-N(F2183)),2),0))</f>
        <v/>
      </c>
      <c r="M2183" s="62" t="str">
        <f>IF(A2183="","",IFERROR(INDEX(dv_cname,MATCH(A2183,dv_num,0))&amp;"",""))</f>
        <v/>
      </c>
      <c r="N2183" s="59" t="str">
        <f>IF(COUNTA(A2183:G2183)=0,"",IF(A2183="","N° devis manquant",IF(ISNA(MATCH(A2183,dv_num,0)),"Devis inconnu",IF(AND(B2183&lt;&gt;"",ISNA(MATCH(B2183,pr_code,0))),"Article inconnu",IF(H2183="","Désignation manquante",IF(OR(NOT(ISNUMBER(D2183)),N(D2183)&lt;=0),"Quantité invalide",IF(J2183="","Prix manquant",IF(OR(NOT(ISNUMBER(J2183)),N(J2183)&lt;0),"Prix invalide",IF(OR(AND(F2183&lt;&gt;"",NOT(ISNUMBER(F2183))),N(F2183)&lt;0,N(F2183)&gt;1),"Remise invalide",IF(K2183="","Taux de TVA manquant",IF(NOT(ISNUMBER(K2183)),"Taux de TVA invalide",IF(COUNTIF(p_rates,K2183)=0,"Taux de TVA hors liste (Paramètres)",IF(N(O2183)&gt;25,"Au-delà de 25 lignes : non imprimée","OK")))))))))))))</f>
        <v/>
      </c>
      <c r="O2183" s="59" t="str">
        <f>IF(A2183="","",COUNTIF($A$6:A2183,A2183))</f>
        <v/>
      </c>
      <c r="P2183" s="62" t="str">
        <f>IF(A2183="","",A2183&amp;"|"&amp;O2183)</f>
        <v/>
      </c>
    </row>
    <row r="2184">
      <c r="A2184" s="60" t="n"/>
      <c r="B2184" s="63" t="n"/>
      <c r="C2184" s="63" t="n"/>
      <c r="D2184" s="67" t="n"/>
      <c r="E2184" s="68" t="n"/>
      <c r="F2184" s="69" t="n"/>
      <c r="G2184" s="70" t="n"/>
      <c r="H2184" s="62" t="str">
        <f>IF(COUNTA(A2184:G2184)=0,"",IF(C2184&lt;&gt;"",C2184,IF(B2184="","",IFERROR(INDEX(pr_des,MATCH(B2184,pr_code,0))&amp;"",""))))</f>
        <v/>
      </c>
      <c r="I2184" s="59" t="str">
        <f>IF(B2184="","",IFERROR(INDEX(pr_unit,MATCH(B2184,pr_code,0))&amp;"",""))</f>
        <v/>
      </c>
      <c r="J2184" s="65" t="str">
        <f>IF(COUNTA(A2184:G2184)=0,"",IF(E2184&lt;&gt;"",E2184,IF(B2184="","",IFERROR(IF(INDEX(pr_price,MATCH(B2184,pr_code,0))="","",INDEX(pr_price,MATCH(B2184,pr_code,0))),""))))</f>
        <v/>
      </c>
      <c r="K2184" s="71" t="str">
        <f>IF(COUNTA(A2184:G2184)=0,"",IF(G2184&lt;&gt;"",G2184,IF(B2184="","",IFERROR(IF(INDEX(pr_rate,MATCH(B2184,pr_code,0))="","",INDEX(pr_rate,MATCH(B2184,pr_code,0))),""))))</f>
        <v/>
      </c>
      <c r="L2184" s="65" t="str">
        <f>IF(COUNTA(A2184:G2184)=0,"",IF(AND(ISNUMBER(D2184),ISNUMBER(J2184)),ROUND(D2184*J2184*(1-N(F2184)),2),0))</f>
        <v/>
      </c>
      <c r="M2184" s="62" t="str">
        <f>IF(A2184="","",IFERROR(INDEX(dv_cname,MATCH(A2184,dv_num,0))&amp;"",""))</f>
        <v/>
      </c>
      <c r="N2184" s="59" t="str">
        <f>IF(COUNTA(A2184:G2184)=0,"",IF(A2184="","N° devis manquant",IF(ISNA(MATCH(A2184,dv_num,0)),"Devis inconnu",IF(AND(B2184&lt;&gt;"",ISNA(MATCH(B2184,pr_code,0))),"Article inconnu",IF(H2184="","Désignation manquante",IF(OR(NOT(ISNUMBER(D2184)),N(D2184)&lt;=0),"Quantité invalide",IF(J2184="","Prix manquant",IF(OR(NOT(ISNUMBER(J2184)),N(J2184)&lt;0),"Prix invalide",IF(OR(AND(F2184&lt;&gt;"",NOT(ISNUMBER(F2184))),N(F2184)&lt;0,N(F2184)&gt;1),"Remise invalide",IF(K2184="","Taux de TVA manquant",IF(NOT(ISNUMBER(K2184)),"Taux de TVA invalide",IF(COUNTIF(p_rates,K2184)=0,"Taux de TVA hors liste (Paramètres)",IF(N(O2184)&gt;25,"Au-delà de 25 lignes : non imprimée","OK")))))))))))))</f>
        <v/>
      </c>
      <c r="O2184" s="59" t="str">
        <f>IF(A2184="","",COUNTIF($A$6:A2184,A2184))</f>
        <v/>
      </c>
      <c r="P2184" s="62" t="str">
        <f>IF(A2184="","",A2184&amp;"|"&amp;O2184)</f>
        <v/>
      </c>
    </row>
    <row r="2185">
      <c r="A2185" s="60" t="n"/>
      <c r="B2185" s="63" t="n"/>
      <c r="C2185" s="63" t="n"/>
      <c r="D2185" s="67" t="n"/>
      <c r="E2185" s="68" t="n"/>
      <c r="F2185" s="69" t="n"/>
      <c r="G2185" s="70" t="n"/>
      <c r="H2185" s="62" t="str">
        <f>IF(COUNTA(A2185:G2185)=0,"",IF(C2185&lt;&gt;"",C2185,IF(B2185="","",IFERROR(INDEX(pr_des,MATCH(B2185,pr_code,0))&amp;"",""))))</f>
        <v/>
      </c>
      <c r="I2185" s="59" t="str">
        <f>IF(B2185="","",IFERROR(INDEX(pr_unit,MATCH(B2185,pr_code,0))&amp;"",""))</f>
        <v/>
      </c>
      <c r="J2185" s="65" t="str">
        <f>IF(COUNTA(A2185:G2185)=0,"",IF(E2185&lt;&gt;"",E2185,IF(B2185="","",IFERROR(IF(INDEX(pr_price,MATCH(B2185,pr_code,0))="","",INDEX(pr_price,MATCH(B2185,pr_code,0))),""))))</f>
        <v/>
      </c>
      <c r="K2185" s="71" t="str">
        <f>IF(COUNTA(A2185:G2185)=0,"",IF(G2185&lt;&gt;"",G2185,IF(B2185="","",IFERROR(IF(INDEX(pr_rate,MATCH(B2185,pr_code,0))="","",INDEX(pr_rate,MATCH(B2185,pr_code,0))),""))))</f>
        <v/>
      </c>
      <c r="L2185" s="65" t="str">
        <f>IF(COUNTA(A2185:G2185)=0,"",IF(AND(ISNUMBER(D2185),ISNUMBER(J2185)),ROUND(D2185*J2185*(1-N(F2185)),2),0))</f>
        <v/>
      </c>
      <c r="M2185" s="62" t="str">
        <f>IF(A2185="","",IFERROR(INDEX(dv_cname,MATCH(A2185,dv_num,0))&amp;"",""))</f>
        <v/>
      </c>
      <c r="N2185" s="59" t="str">
        <f>IF(COUNTA(A2185:G2185)=0,"",IF(A2185="","N° devis manquant",IF(ISNA(MATCH(A2185,dv_num,0)),"Devis inconnu",IF(AND(B2185&lt;&gt;"",ISNA(MATCH(B2185,pr_code,0))),"Article inconnu",IF(H2185="","Désignation manquante",IF(OR(NOT(ISNUMBER(D2185)),N(D2185)&lt;=0),"Quantité invalide",IF(J2185="","Prix manquant",IF(OR(NOT(ISNUMBER(J2185)),N(J2185)&lt;0),"Prix invalide",IF(OR(AND(F2185&lt;&gt;"",NOT(ISNUMBER(F2185))),N(F2185)&lt;0,N(F2185)&gt;1),"Remise invalide",IF(K2185="","Taux de TVA manquant",IF(NOT(ISNUMBER(K2185)),"Taux de TVA invalide",IF(COUNTIF(p_rates,K2185)=0,"Taux de TVA hors liste (Paramètres)",IF(N(O2185)&gt;25,"Au-delà de 25 lignes : non imprimée","OK")))))))))))))</f>
        <v/>
      </c>
      <c r="O2185" s="59" t="str">
        <f>IF(A2185="","",COUNTIF($A$6:A2185,A2185))</f>
        <v/>
      </c>
      <c r="P2185" s="62" t="str">
        <f>IF(A2185="","",A2185&amp;"|"&amp;O2185)</f>
        <v/>
      </c>
    </row>
    <row r="2186">
      <c r="A2186" s="60" t="n"/>
      <c r="B2186" s="63" t="n"/>
      <c r="C2186" s="63" t="n"/>
      <c r="D2186" s="67" t="n"/>
      <c r="E2186" s="68" t="n"/>
      <c r="F2186" s="69" t="n"/>
      <c r="G2186" s="70" t="n"/>
      <c r="H2186" s="62" t="str">
        <f>IF(COUNTA(A2186:G2186)=0,"",IF(C2186&lt;&gt;"",C2186,IF(B2186="","",IFERROR(INDEX(pr_des,MATCH(B2186,pr_code,0))&amp;"",""))))</f>
        <v/>
      </c>
      <c r="I2186" s="59" t="str">
        <f>IF(B2186="","",IFERROR(INDEX(pr_unit,MATCH(B2186,pr_code,0))&amp;"",""))</f>
        <v/>
      </c>
      <c r="J2186" s="65" t="str">
        <f>IF(COUNTA(A2186:G2186)=0,"",IF(E2186&lt;&gt;"",E2186,IF(B2186="","",IFERROR(IF(INDEX(pr_price,MATCH(B2186,pr_code,0))="","",INDEX(pr_price,MATCH(B2186,pr_code,0))),""))))</f>
        <v/>
      </c>
      <c r="K2186" s="71" t="str">
        <f>IF(COUNTA(A2186:G2186)=0,"",IF(G2186&lt;&gt;"",G2186,IF(B2186="","",IFERROR(IF(INDEX(pr_rate,MATCH(B2186,pr_code,0))="","",INDEX(pr_rate,MATCH(B2186,pr_code,0))),""))))</f>
        <v/>
      </c>
      <c r="L2186" s="65" t="str">
        <f>IF(COUNTA(A2186:G2186)=0,"",IF(AND(ISNUMBER(D2186),ISNUMBER(J2186)),ROUND(D2186*J2186*(1-N(F2186)),2),0))</f>
        <v/>
      </c>
      <c r="M2186" s="62" t="str">
        <f>IF(A2186="","",IFERROR(INDEX(dv_cname,MATCH(A2186,dv_num,0))&amp;"",""))</f>
        <v/>
      </c>
      <c r="N2186" s="59" t="str">
        <f>IF(COUNTA(A2186:G2186)=0,"",IF(A2186="","N° devis manquant",IF(ISNA(MATCH(A2186,dv_num,0)),"Devis inconnu",IF(AND(B2186&lt;&gt;"",ISNA(MATCH(B2186,pr_code,0))),"Article inconnu",IF(H2186="","Désignation manquante",IF(OR(NOT(ISNUMBER(D2186)),N(D2186)&lt;=0),"Quantité invalide",IF(J2186="","Prix manquant",IF(OR(NOT(ISNUMBER(J2186)),N(J2186)&lt;0),"Prix invalide",IF(OR(AND(F2186&lt;&gt;"",NOT(ISNUMBER(F2186))),N(F2186)&lt;0,N(F2186)&gt;1),"Remise invalide",IF(K2186="","Taux de TVA manquant",IF(NOT(ISNUMBER(K2186)),"Taux de TVA invalide",IF(COUNTIF(p_rates,K2186)=0,"Taux de TVA hors liste (Paramètres)",IF(N(O2186)&gt;25,"Au-delà de 25 lignes : non imprimée","OK")))))))))))))</f>
        <v/>
      </c>
      <c r="O2186" s="59" t="str">
        <f>IF(A2186="","",COUNTIF($A$6:A2186,A2186))</f>
        <v/>
      </c>
      <c r="P2186" s="62" t="str">
        <f>IF(A2186="","",A2186&amp;"|"&amp;O2186)</f>
        <v/>
      </c>
    </row>
    <row r="2187">
      <c r="A2187" s="60" t="n"/>
      <c r="B2187" s="63" t="n"/>
      <c r="C2187" s="63" t="n"/>
      <c r="D2187" s="67" t="n"/>
      <c r="E2187" s="68" t="n"/>
      <c r="F2187" s="69" t="n"/>
      <c r="G2187" s="70" t="n"/>
      <c r="H2187" s="62" t="str">
        <f>IF(COUNTA(A2187:G2187)=0,"",IF(C2187&lt;&gt;"",C2187,IF(B2187="","",IFERROR(INDEX(pr_des,MATCH(B2187,pr_code,0))&amp;"",""))))</f>
        <v/>
      </c>
      <c r="I2187" s="59" t="str">
        <f>IF(B2187="","",IFERROR(INDEX(pr_unit,MATCH(B2187,pr_code,0))&amp;"",""))</f>
        <v/>
      </c>
      <c r="J2187" s="65" t="str">
        <f>IF(COUNTA(A2187:G2187)=0,"",IF(E2187&lt;&gt;"",E2187,IF(B2187="","",IFERROR(IF(INDEX(pr_price,MATCH(B2187,pr_code,0))="","",INDEX(pr_price,MATCH(B2187,pr_code,0))),""))))</f>
        <v/>
      </c>
      <c r="K2187" s="71" t="str">
        <f>IF(COUNTA(A2187:G2187)=0,"",IF(G2187&lt;&gt;"",G2187,IF(B2187="","",IFERROR(IF(INDEX(pr_rate,MATCH(B2187,pr_code,0))="","",INDEX(pr_rate,MATCH(B2187,pr_code,0))),""))))</f>
        <v/>
      </c>
      <c r="L2187" s="65" t="str">
        <f>IF(COUNTA(A2187:G2187)=0,"",IF(AND(ISNUMBER(D2187),ISNUMBER(J2187)),ROUND(D2187*J2187*(1-N(F2187)),2),0))</f>
        <v/>
      </c>
      <c r="M2187" s="62" t="str">
        <f>IF(A2187="","",IFERROR(INDEX(dv_cname,MATCH(A2187,dv_num,0))&amp;"",""))</f>
        <v/>
      </c>
      <c r="N2187" s="59" t="str">
        <f>IF(COUNTA(A2187:G2187)=0,"",IF(A2187="","N° devis manquant",IF(ISNA(MATCH(A2187,dv_num,0)),"Devis inconnu",IF(AND(B2187&lt;&gt;"",ISNA(MATCH(B2187,pr_code,0))),"Article inconnu",IF(H2187="","Désignation manquante",IF(OR(NOT(ISNUMBER(D2187)),N(D2187)&lt;=0),"Quantité invalide",IF(J2187="","Prix manquant",IF(OR(NOT(ISNUMBER(J2187)),N(J2187)&lt;0),"Prix invalide",IF(OR(AND(F2187&lt;&gt;"",NOT(ISNUMBER(F2187))),N(F2187)&lt;0,N(F2187)&gt;1),"Remise invalide",IF(K2187="","Taux de TVA manquant",IF(NOT(ISNUMBER(K2187)),"Taux de TVA invalide",IF(COUNTIF(p_rates,K2187)=0,"Taux de TVA hors liste (Paramètres)",IF(N(O2187)&gt;25,"Au-delà de 25 lignes : non imprimée","OK")))))))))))))</f>
        <v/>
      </c>
      <c r="O2187" s="59" t="str">
        <f>IF(A2187="","",COUNTIF($A$6:A2187,A2187))</f>
        <v/>
      </c>
      <c r="P2187" s="62" t="str">
        <f>IF(A2187="","",A2187&amp;"|"&amp;O2187)</f>
        <v/>
      </c>
    </row>
    <row r="2188">
      <c r="A2188" s="60" t="n"/>
      <c r="B2188" s="63" t="n"/>
      <c r="C2188" s="63" t="n"/>
      <c r="D2188" s="67" t="n"/>
      <c r="E2188" s="68" t="n"/>
      <c r="F2188" s="69" t="n"/>
      <c r="G2188" s="70" t="n"/>
      <c r="H2188" s="62" t="str">
        <f>IF(COUNTA(A2188:G2188)=0,"",IF(C2188&lt;&gt;"",C2188,IF(B2188="","",IFERROR(INDEX(pr_des,MATCH(B2188,pr_code,0))&amp;"",""))))</f>
        <v/>
      </c>
      <c r="I2188" s="59" t="str">
        <f>IF(B2188="","",IFERROR(INDEX(pr_unit,MATCH(B2188,pr_code,0))&amp;"",""))</f>
        <v/>
      </c>
      <c r="J2188" s="65" t="str">
        <f>IF(COUNTA(A2188:G2188)=0,"",IF(E2188&lt;&gt;"",E2188,IF(B2188="","",IFERROR(IF(INDEX(pr_price,MATCH(B2188,pr_code,0))="","",INDEX(pr_price,MATCH(B2188,pr_code,0))),""))))</f>
        <v/>
      </c>
      <c r="K2188" s="71" t="str">
        <f>IF(COUNTA(A2188:G2188)=0,"",IF(G2188&lt;&gt;"",G2188,IF(B2188="","",IFERROR(IF(INDEX(pr_rate,MATCH(B2188,pr_code,0))="","",INDEX(pr_rate,MATCH(B2188,pr_code,0))),""))))</f>
        <v/>
      </c>
      <c r="L2188" s="65" t="str">
        <f>IF(COUNTA(A2188:G2188)=0,"",IF(AND(ISNUMBER(D2188),ISNUMBER(J2188)),ROUND(D2188*J2188*(1-N(F2188)),2),0))</f>
        <v/>
      </c>
      <c r="M2188" s="62" t="str">
        <f>IF(A2188="","",IFERROR(INDEX(dv_cname,MATCH(A2188,dv_num,0))&amp;"",""))</f>
        <v/>
      </c>
      <c r="N2188" s="59" t="str">
        <f>IF(COUNTA(A2188:G2188)=0,"",IF(A2188="","N° devis manquant",IF(ISNA(MATCH(A2188,dv_num,0)),"Devis inconnu",IF(AND(B2188&lt;&gt;"",ISNA(MATCH(B2188,pr_code,0))),"Article inconnu",IF(H2188="","Désignation manquante",IF(OR(NOT(ISNUMBER(D2188)),N(D2188)&lt;=0),"Quantité invalide",IF(J2188="","Prix manquant",IF(OR(NOT(ISNUMBER(J2188)),N(J2188)&lt;0),"Prix invalide",IF(OR(AND(F2188&lt;&gt;"",NOT(ISNUMBER(F2188))),N(F2188)&lt;0,N(F2188)&gt;1),"Remise invalide",IF(K2188="","Taux de TVA manquant",IF(NOT(ISNUMBER(K2188)),"Taux de TVA invalide",IF(COUNTIF(p_rates,K2188)=0,"Taux de TVA hors liste (Paramètres)",IF(N(O2188)&gt;25,"Au-delà de 25 lignes : non imprimée","OK")))))))))))))</f>
        <v/>
      </c>
      <c r="O2188" s="59" t="str">
        <f>IF(A2188="","",COUNTIF($A$6:A2188,A2188))</f>
        <v/>
      </c>
      <c r="P2188" s="62" t="str">
        <f>IF(A2188="","",A2188&amp;"|"&amp;O2188)</f>
        <v/>
      </c>
    </row>
    <row r="2189">
      <c r="A2189" s="60" t="n"/>
      <c r="B2189" s="63" t="n"/>
      <c r="C2189" s="63" t="n"/>
      <c r="D2189" s="67" t="n"/>
      <c r="E2189" s="68" t="n"/>
      <c r="F2189" s="69" t="n"/>
      <c r="G2189" s="70" t="n"/>
      <c r="H2189" s="62" t="str">
        <f>IF(COUNTA(A2189:G2189)=0,"",IF(C2189&lt;&gt;"",C2189,IF(B2189="","",IFERROR(INDEX(pr_des,MATCH(B2189,pr_code,0))&amp;"",""))))</f>
        <v/>
      </c>
      <c r="I2189" s="59" t="str">
        <f>IF(B2189="","",IFERROR(INDEX(pr_unit,MATCH(B2189,pr_code,0))&amp;"",""))</f>
        <v/>
      </c>
      <c r="J2189" s="65" t="str">
        <f>IF(COUNTA(A2189:G2189)=0,"",IF(E2189&lt;&gt;"",E2189,IF(B2189="","",IFERROR(IF(INDEX(pr_price,MATCH(B2189,pr_code,0))="","",INDEX(pr_price,MATCH(B2189,pr_code,0))),""))))</f>
        <v/>
      </c>
      <c r="K2189" s="71" t="str">
        <f>IF(COUNTA(A2189:G2189)=0,"",IF(G2189&lt;&gt;"",G2189,IF(B2189="","",IFERROR(IF(INDEX(pr_rate,MATCH(B2189,pr_code,0))="","",INDEX(pr_rate,MATCH(B2189,pr_code,0))),""))))</f>
        <v/>
      </c>
      <c r="L2189" s="65" t="str">
        <f>IF(COUNTA(A2189:G2189)=0,"",IF(AND(ISNUMBER(D2189),ISNUMBER(J2189)),ROUND(D2189*J2189*(1-N(F2189)),2),0))</f>
        <v/>
      </c>
      <c r="M2189" s="62" t="str">
        <f>IF(A2189="","",IFERROR(INDEX(dv_cname,MATCH(A2189,dv_num,0))&amp;"",""))</f>
        <v/>
      </c>
      <c r="N2189" s="59" t="str">
        <f>IF(COUNTA(A2189:G2189)=0,"",IF(A2189="","N° devis manquant",IF(ISNA(MATCH(A2189,dv_num,0)),"Devis inconnu",IF(AND(B2189&lt;&gt;"",ISNA(MATCH(B2189,pr_code,0))),"Article inconnu",IF(H2189="","Désignation manquante",IF(OR(NOT(ISNUMBER(D2189)),N(D2189)&lt;=0),"Quantité invalide",IF(J2189="","Prix manquant",IF(OR(NOT(ISNUMBER(J2189)),N(J2189)&lt;0),"Prix invalide",IF(OR(AND(F2189&lt;&gt;"",NOT(ISNUMBER(F2189))),N(F2189)&lt;0,N(F2189)&gt;1),"Remise invalide",IF(K2189="","Taux de TVA manquant",IF(NOT(ISNUMBER(K2189)),"Taux de TVA invalide",IF(COUNTIF(p_rates,K2189)=0,"Taux de TVA hors liste (Paramètres)",IF(N(O2189)&gt;25,"Au-delà de 25 lignes : non imprimée","OK")))))))))))))</f>
        <v/>
      </c>
      <c r="O2189" s="59" t="str">
        <f>IF(A2189="","",COUNTIF($A$6:A2189,A2189))</f>
        <v/>
      </c>
      <c r="P2189" s="62" t="str">
        <f>IF(A2189="","",A2189&amp;"|"&amp;O2189)</f>
        <v/>
      </c>
    </row>
    <row r="2190">
      <c r="A2190" s="60" t="n"/>
      <c r="B2190" s="63" t="n"/>
      <c r="C2190" s="63" t="n"/>
      <c r="D2190" s="67" t="n"/>
      <c r="E2190" s="68" t="n"/>
      <c r="F2190" s="69" t="n"/>
      <c r="G2190" s="70" t="n"/>
      <c r="H2190" s="62" t="str">
        <f>IF(COUNTA(A2190:G2190)=0,"",IF(C2190&lt;&gt;"",C2190,IF(B2190="","",IFERROR(INDEX(pr_des,MATCH(B2190,pr_code,0))&amp;"",""))))</f>
        <v/>
      </c>
      <c r="I2190" s="59" t="str">
        <f>IF(B2190="","",IFERROR(INDEX(pr_unit,MATCH(B2190,pr_code,0))&amp;"",""))</f>
        <v/>
      </c>
      <c r="J2190" s="65" t="str">
        <f>IF(COUNTA(A2190:G2190)=0,"",IF(E2190&lt;&gt;"",E2190,IF(B2190="","",IFERROR(IF(INDEX(pr_price,MATCH(B2190,pr_code,0))="","",INDEX(pr_price,MATCH(B2190,pr_code,0))),""))))</f>
        <v/>
      </c>
      <c r="K2190" s="71" t="str">
        <f>IF(COUNTA(A2190:G2190)=0,"",IF(G2190&lt;&gt;"",G2190,IF(B2190="","",IFERROR(IF(INDEX(pr_rate,MATCH(B2190,pr_code,0))="","",INDEX(pr_rate,MATCH(B2190,pr_code,0))),""))))</f>
        <v/>
      </c>
      <c r="L2190" s="65" t="str">
        <f>IF(COUNTA(A2190:G2190)=0,"",IF(AND(ISNUMBER(D2190),ISNUMBER(J2190)),ROUND(D2190*J2190*(1-N(F2190)),2),0))</f>
        <v/>
      </c>
      <c r="M2190" s="62" t="str">
        <f>IF(A2190="","",IFERROR(INDEX(dv_cname,MATCH(A2190,dv_num,0))&amp;"",""))</f>
        <v/>
      </c>
      <c r="N2190" s="59" t="str">
        <f>IF(COUNTA(A2190:G2190)=0,"",IF(A2190="","N° devis manquant",IF(ISNA(MATCH(A2190,dv_num,0)),"Devis inconnu",IF(AND(B2190&lt;&gt;"",ISNA(MATCH(B2190,pr_code,0))),"Article inconnu",IF(H2190="","Désignation manquante",IF(OR(NOT(ISNUMBER(D2190)),N(D2190)&lt;=0),"Quantité invalide",IF(J2190="","Prix manquant",IF(OR(NOT(ISNUMBER(J2190)),N(J2190)&lt;0),"Prix invalide",IF(OR(AND(F2190&lt;&gt;"",NOT(ISNUMBER(F2190))),N(F2190)&lt;0,N(F2190)&gt;1),"Remise invalide",IF(K2190="","Taux de TVA manquant",IF(NOT(ISNUMBER(K2190)),"Taux de TVA invalide",IF(COUNTIF(p_rates,K2190)=0,"Taux de TVA hors liste (Paramètres)",IF(N(O2190)&gt;25,"Au-delà de 25 lignes : non imprimée","OK")))))))))))))</f>
        <v/>
      </c>
      <c r="O2190" s="59" t="str">
        <f>IF(A2190="","",COUNTIF($A$6:A2190,A2190))</f>
        <v/>
      </c>
      <c r="P2190" s="62" t="str">
        <f>IF(A2190="","",A2190&amp;"|"&amp;O2190)</f>
        <v/>
      </c>
    </row>
    <row r="2191">
      <c r="A2191" s="60" t="n"/>
      <c r="B2191" s="63" t="n"/>
      <c r="C2191" s="63" t="n"/>
      <c r="D2191" s="67" t="n"/>
      <c r="E2191" s="68" t="n"/>
      <c r="F2191" s="69" t="n"/>
      <c r="G2191" s="70" t="n"/>
      <c r="H2191" s="62" t="str">
        <f>IF(COUNTA(A2191:G2191)=0,"",IF(C2191&lt;&gt;"",C2191,IF(B2191="","",IFERROR(INDEX(pr_des,MATCH(B2191,pr_code,0))&amp;"",""))))</f>
        <v/>
      </c>
      <c r="I2191" s="59" t="str">
        <f>IF(B2191="","",IFERROR(INDEX(pr_unit,MATCH(B2191,pr_code,0))&amp;"",""))</f>
        <v/>
      </c>
      <c r="J2191" s="65" t="str">
        <f>IF(COUNTA(A2191:G2191)=0,"",IF(E2191&lt;&gt;"",E2191,IF(B2191="","",IFERROR(IF(INDEX(pr_price,MATCH(B2191,pr_code,0))="","",INDEX(pr_price,MATCH(B2191,pr_code,0))),""))))</f>
        <v/>
      </c>
      <c r="K2191" s="71" t="str">
        <f>IF(COUNTA(A2191:G2191)=0,"",IF(G2191&lt;&gt;"",G2191,IF(B2191="","",IFERROR(IF(INDEX(pr_rate,MATCH(B2191,pr_code,0))="","",INDEX(pr_rate,MATCH(B2191,pr_code,0))),""))))</f>
        <v/>
      </c>
      <c r="L2191" s="65" t="str">
        <f>IF(COUNTA(A2191:G2191)=0,"",IF(AND(ISNUMBER(D2191),ISNUMBER(J2191)),ROUND(D2191*J2191*(1-N(F2191)),2),0))</f>
        <v/>
      </c>
      <c r="M2191" s="62" t="str">
        <f>IF(A2191="","",IFERROR(INDEX(dv_cname,MATCH(A2191,dv_num,0))&amp;"",""))</f>
        <v/>
      </c>
      <c r="N2191" s="59" t="str">
        <f>IF(COUNTA(A2191:G2191)=0,"",IF(A2191="","N° devis manquant",IF(ISNA(MATCH(A2191,dv_num,0)),"Devis inconnu",IF(AND(B2191&lt;&gt;"",ISNA(MATCH(B2191,pr_code,0))),"Article inconnu",IF(H2191="","Désignation manquante",IF(OR(NOT(ISNUMBER(D2191)),N(D2191)&lt;=0),"Quantité invalide",IF(J2191="","Prix manquant",IF(OR(NOT(ISNUMBER(J2191)),N(J2191)&lt;0),"Prix invalide",IF(OR(AND(F2191&lt;&gt;"",NOT(ISNUMBER(F2191))),N(F2191)&lt;0,N(F2191)&gt;1),"Remise invalide",IF(K2191="","Taux de TVA manquant",IF(NOT(ISNUMBER(K2191)),"Taux de TVA invalide",IF(COUNTIF(p_rates,K2191)=0,"Taux de TVA hors liste (Paramètres)",IF(N(O2191)&gt;25,"Au-delà de 25 lignes : non imprimée","OK")))))))))))))</f>
        <v/>
      </c>
      <c r="O2191" s="59" t="str">
        <f>IF(A2191="","",COUNTIF($A$6:A2191,A2191))</f>
        <v/>
      </c>
      <c r="P2191" s="62" t="str">
        <f>IF(A2191="","",A2191&amp;"|"&amp;O2191)</f>
        <v/>
      </c>
    </row>
    <row r="2192">
      <c r="A2192" s="60" t="n"/>
      <c r="B2192" s="63" t="n"/>
      <c r="C2192" s="63" t="n"/>
      <c r="D2192" s="67" t="n"/>
      <c r="E2192" s="68" t="n"/>
      <c r="F2192" s="69" t="n"/>
      <c r="G2192" s="70" t="n"/>
      <c r="H2192" s="62" t="str">
        <f>IF(COUNTA(A2192:G2192)=0,"",IF(C2192&lt;&gt;"",C2192,IF(B2192="","",IFERROR(INDEX(pr_des,MATCH(B2192,pr_code,0))&amp;"",""))))</f>
        <v/>
      </c>
      <c r="I2192" s="59" t="str">
        <f>IF(B2192="","",IFERROR(INDEX(pr_unit,MATCH(B2192,pr_code,0))&amp;"",""))</f>
        <v/>
      </c>
      <c r="J2192" s="65" t="str">
        <f>IF(COUNTA(A2192:G2192)=0,"",IF(E2192&lt;&gt;"",E2192,IF(B2192="","",IFERROR(IF(INDEX(pr_price,MATCH(B2192,pr_code,0))="","",INDEX(pr_price,MATCH(B2192,pr_code,0))),""))))</f>
        <v/>
      </c>
      <c r="K2192" s="71" t="str">
        <f>IF(COUNTA(A2192:G2192)=0,"",IF(G2192&lt;&gt;"",G2192,IF(B2192="","",IFERROR(IF(INDEX(pr_rate,MATCH(B2192,pr_code,0))="","",INDEX(pr_rate,MATCH(B2192,pr_code,0))),""))))</f>
        <v/>
      </c>
      <c r="L2192" s="65" t="str">
        <f>IF(COUNTA(A2192:G2192)=0,"",IF(AND(ISNUMBER(D2192),ISNUMBER(J2192)),ROUND(D2192*J2192*(1-N(F2192)),2),0))</f>
        <v/>
      </c>
      <c r="M2192" s="62" t="str">
        <f>IF(A2192="","",IFERROR(INDEX(dv_cname,MATCH(A2192,dv_num,0))&amp;"",""))</f>
        <v/>
      </c>
      <c r="N2192" s="59" t="str">
        <f>IF(COUNTA(A2192:G2192)=0,"",IF(A2192="","N° devis manquant",IF(ISNA(MATCH(A2192,dv_num,0)),"Devis inconnu",IF(AND(B2192&lt;&gt;"",ISNA(MATCH(B2192,pr_code,0))),"Article inconnu",IF(H2192="","Désignation manquante",IF(OR(NOT(ISNUMBER(D2192)),N(D2192)&lt;=0),"Quantité invalide",IF(J2192="","Prix manquant",IF(OR(NOT(ISNUMBER(J2192)),N(J2192)&lt;0),"Prix invalide",IF(OR(AND(F2192&lt;&gt;"",NOT(ISNUMBER(F2192))),N(F2192)&lt;0,N(F2192)&gt;1),"Remise invalide",IF(K2192="","Taux de TVA manquant",IF(NOT(ISNUMBER(K2192)),"Taux de TVA invalide",IF(COUNTIF(p_rates,K2192)=0,"Taux de TVA hors liste (Paramètres)",IF(N(O2192)&gt;25,"Au-delà de 25 lignes : non imprimée","OK")))))))))))))</f>
        <v/>
      </c>
      <c r="O2192" s="59" t="str">
        <f>IF(A2192="","",COUNTIF($A$6:A2192,A2192))</f>
        <v/>
      </c>
      <c r="P2192" s="62" t="str">
        <f>IF(A2192="","",A2192&amp;"|"&amp;O2192)</f>
        <v/>
      </c>
    </row>
    <row r="2193">
      <c r="A2193" s="60" t="n"/>
      <c r="B2193" s="63" t="n"/>
      <c r="C2193" s="63" t="n"/>
      <c r="D2193" s="67" t="n"/>
      <c r="E2193" s="68" t="n"/>
      <c r="F2193" s="69" t="n"/>
      <c r="G2193" s="70" t="n"/>
      <c r="H2193" s="62" t="str">
        <f>IF(COUNTA(A2193:G2193)=0,"",IF(C2193&lt;&gt;"",C2193,IF(B2193="","",IFERROR(INDEX(pr_des,MATCH(B2193,pr_code,0))&amp;"",""))))</f>
        <v/>
      </c>
      <c r="I2193" s="59" t="str">
        <f>IF(B2193="","",IFERROR(INDEX(pr_unit,MATCH(B2193,pr_code,0))&amp;"",""))</f>
        <v/>
      </c>
      <c r="J2193" s="65" t="str">
        <f>IF(COUNTA(A2193:G2193)=0,"",IF(E2193&lt;&gt;"",E2193,IF(B2193="","",IFERROR(IF(INDEX(pr_price,MATCH(B2193,pr_code,0))="","",INDEX(pr_price,MATCH(B2193,pr_code,0))),""))))</f>
        <v/>
      </c>
      <c r="K2193" s="71" t="str">
        <f>IF(COUNTA(A2193:G2193)=0,"",IF(G2193&lt;&gt;"",G2193,IF(B2193="","",IFERROR(IF(INDEX(pr_rate,MATCH(B2193,pr_code,0))="","",INDEX(pr_rate,MATCH(B2193,pr_code,0))),""))))</f>
        <v/>
      </c>
      <c r="L2193" s="65" t="str">
        <f>IF(COUNTA(A2193:G2193)=0,"",IF(AND(ISNUMBER(D2193),ISNUMBER(J2193)),ROUND(D2193*J2193*(1-N(F2193)),2),0))</f>
        <v/>
      </c>
      <c r="M2193" s="62" t="str">
        <f>IF(A2193="","",IFERROR(INDEX(dv_cname,MATCH(A2193,dv_num,0))&amp;"",""))</f>
        <v/>
      </c>
      <c r="N2193" s="59" t="str">
        <f>IF(COUNTA(A2193:G2193)=0,"",IF(A2193="","N° devis manquant",IF(ISNA(MATCH(A2193,dv_num,0)),"Devis inconnu",IF(AND(B2193&lt;&gt;"",ISNA(MATCH(B2193,pr_code,0))),"Article inconnu",IF(H2193="","Désignation manquante",IF(OR(NOT(ISNUMBER(D2193)),N(D2193)&lt;=0),"Quantité invalide",IF(J2193="","Prix manquant",IF(OR(NOT(ISNUMBER(J2193)),N(J2193)&lt;0),"Prix invalide",IF(OR(AND(F2193&lt;&gt;"",NOT(ISNUMBER(F2193))),N(F2193)&lt;0,N(F2193)&gt;1),"Remise invalide",IF(K2193="","Taux de TVA manquant",IF(NOT(ISNUMBER(K2193)),"Taux de TVA invalide",IF(COUNTIF(p_rates,K2193)=0,"Taux de TVA hors liste (Paramètres)",IF(N(O2193)&gt;25,"Au-delà de 25 lignes : non imprimée","OK")))))))))))))</f>
        <v/>
      </c>
      <c r="O2193" s="59" t="str">
        <f>IF(A2193="","",COUNTIF($A$6:A2193,A2193))</f>
        <v/>
      </c>
      <c r="P2193" s="62" t="str">
        <f>IF(A2193="","",A2193&amp;"|"&amp;O2193)</f>
        <v/>
      </c>
    </row>
    <row r="2194">
      <c r="A2194" s="60" t="n"/>
      <c r="B2194" s="63" t="n"/>
      <c r="C2194" s="63" t="n"/>
      <c r="D2194" s="67" t="n"/>
      <c r="E2194" s="68" t="n"/>
      <c r="F2194" s="69" t="n"/>
      <c r="G2194" s="70" t="n"/>
      <c r="H2194" s="62" t="str">
        <f>IF(COUNTA(A2194:G2194)=0,"",IF(C2194&lt;&gt;"",C2194,IF(B2194="","",IFERROR(INDEX(pr_des,MATCH(B2194,pr_code,0))&amp;"",""))))</f>
        <v/>
      </c>
      <c r="I2194" s="59" t="str">
        <f>IF(B2194="","",IFERROR(INDEX(pr_unit,MATCH(B2194,pr_code,0))&amp;"",""))</f>
        <v/>
      </c>
      <c r="J2194" s="65" t="str">
        <f>IF(COUNTA(A2194:G2194)=0,"",IF(E2194&lt;&gt;"",E2194,IF(B2194="","",IFERROR(IF(INDEX(pr_price,MATCH(B2194,pr_code,0))="","",INDEX(pr_price,MATCH(B2194,pr_code,0))),""))))</f>
        <v/>
      </c>
      <c r="K2194" s="71" t="str">
        <f>IF(COUNTA(A2194:G2194)=0,"",IF(G2194&lt;&gt;"",G2194,IF(B2194="","",IFERROR(IF(INDEX(pr_rate,MATCH(B2194,pr_code,0))="","",INDEX(pr_rate,MATCH(B2194,pr_code,0))),""))))</f>
        <v/>
      </c>
      <c r="L2194" s="65" t="str">
        <f>IF(COUNTA(A2194:G2194)=0,"",IF(AND(ISNUMBER(D2194),ISNUMBER(J2194)),ROUND(D2194*J2194*(1-N(F2194)),2),0))</f>
        <v/>
      </c>
      <c r="M2194" s="62" t="str">
        <f>IF(A2194="","",IFERROR(INDEX(dv_cname,MATCH(A2194,dv_num,0))&amp;"",""))</f>
        <v/>
      </c>
      <c r="N2194" s="59" t="str">
        <f>IF(COUNTA(A2194:G2194)=0,"",IF(A2194="","N° devis manquant",IF(ISNA(MATCH(A2194,dv_num,0)),"Devis inconnu",IF(AND(B2194&lt;&gt;"",ISNA(MATCH(B2194,pr_code,0))),"Article inconnu",IF(H2194="","Désignation manquante",IF(OR(NOT(ISNUMBER(D2194)),N(D2194)&lt;=0),"Quantité invalide",IF(J2194="","Prix manquant",IF(OR(NOT(ISNUMBER(J2194)),N(J2194)&lt;0),"Prix invalide",IF(OR(AND(F2194&lt;&gt;"",NOT(ISNUMBER(F2194))),N(F2194)&lt;0,N(F2194)&gt;1),"Remise invalide",IF(K2194="","Taux de TVA manquant",IF(NOT(ISNUMBER(K2194)),"Taux de TVA invalide",IF(COUNTIF(p_rates,K2194)=0,"Taux de TVA hors liste (Paramètres)",IF(N(O2194)&gt;25,"Au-delà de 25 lignes : non imprimée","OK")))))))))))))</f>
        <v/>
      </c>
      <c r="O2194" s="59" t="str">
        <f>IF(A2194="","",COUNTIF($A$6:A2194,A2194))</f>
        <v/>
      </c>
      <c r="P2194" s="62" t="str">
        <f>IF(A2194="","",A2194&amp;"|"&amp;O2194)</f>
        <v/>
      </c>
    </row>
    <row r="2195">
      <c r="A2195" s="60" t="n"/>
      <c r="B2195" s="63" t="n"/>
      <c r="C2195" s="63" t="n"/>
      <c r="D2195" s="67" t="n"/>
      <c r="E2195" s="68" t="n"/>
      <c r="F2195" s="69" t="n"/>
      <c r="G2195" s="70" t="n"/>
      <c r="H2195" s="62" t="str">
        <f>IF(COUNTA(A2195:G2195)=0,"",IF(C2195&lt;&gt;"",C2195,IF(B2195="","",IFERROR(INDEX(pr_des,MATCH(B2195,pr_code,0))&amp;"",""))))</f>
        <v/>
      </c>
      <c r="I2195" s="59" t="str">
        <f>IF(B2195="","",IFERROR(INDEX(pr_unit,MATCH(B2195,pr_code,0))&amp;"",""))</f>
        <v/>
      </c>
      <c r="J2195" s="65" t="str">
        <f>IF(COUNTA(A2195:G2195)=0,"",IF(E2195&lt;&gt;"",E2195,IF(B2195="","",IFERROR(IF(INDEX(pr_price,MATCH(B2195,pr_code,0))="","",INDEX(pr_price,MATCH(B2195,pr_code,0))),""))))</f>
        <v/>
      </c>
      <c r="K2195" s="71" t="str">
        <f>IF(COUNTA(A2195:G2195)=0,"",IF(G2195&lt;&gt;"",G2195,IF(B2195="","",IFERROR(IF(INDEX(pr_rate,MATCH(B2195,pr_code,0))="","",INDEX(pr_rate,MATCH(B2195,pr_code,0))),""))))</f>
        <v/>
      </c>
      <c r="L2195" s="65" t="str">
        <f>IF(COUNTA(A2195:G2195)=0,"",IF(AND(ISNUMBER(D2195),ISNUMBER(J2195)),ROUND(D2195*J2195*(1-N(F2195)),2),0))</f>
        <v/>
      </c>
      <c r="M2195" s="62" t="str">
        <f>IF(A2195="","",IFERROR(INDEX(dv_cname,MATCH(A2195,dv_num,0))&amp;"",""))</f>
        <v/>
      </c>
      <c r="N2195" s="59" t="str">
        <f>IF(COUNTA(A2195:G2195)=0,"",IF(A2195="","N° devis manquant",IF(ISNA(MATCH(A2195,dv_num,0)),"Devis inconnu",IF(AND(B2195&lt;&gt;"",ISNA(MATCH(B2195,pr_code,0))),"Article inconnu",IF(H2195="","Désignation manquante",IF(OR(NOT(ISNUMBER(D2195)),N(D2195)&lt;=0),"Quantité invalide",IF(J2195="","Prix manquant",IF(OR(NOT(ISNUMBER(J2195)),N(J2195)&lt;0),"Prix invalide",IF(OR(AND(F2195&lt;&gt;"",NOT(ISNUMBER(F2195))),N(F2195)&lt;0,N(F2195)&gt;1),"Remise invalide",IF(K2195="","Taux de TVA manquant",IF(NOT(ISNUMBER(K2195)),"Taux de TVA invalide",IF(COUNTIF(p_rates,K2195)=0,"Taux de TVA hors liste (Paramètres)",IF(N(O2195)&gt;25,"Au-delà de 25 lignes : non imprimée","OK")))))))))))))</f>
        <v/>
      </c>
      <c r="O2195" s="59" t="str">
        <f>IF(A2195="","",COUNTIF($A$6:A2195,A2195))</f>
        <v/>
      </c>
      <c r="P2195" s="62" t="str">
        <f>IF(A2195="","",A2195&amp;"|"&amp;O2195)</f>
        <v/>
      </c>
    </row>
    <row r="2196">
      <c r="A2196" s="60" t="n"/>
      <c r="B2196" s="63" t="n"/>
      <c r="C2196" s="63" t="n"/>
      <c r="D2196" s="67" t="n"/>
      <c r="E2196" s="68" t="n"/>
      <c r="F2196" s="69" t="n"/>
      <c r="G2196" s="70" t="n"/>
      <c r="H2196" s="62" t="str">
        <f>IF(COUNTA(A2196:G2196)=0,"",IF(C2196&lt;&gt;"",C2196,IF(B2196="","",IFERROR(INDEX(pr_des,MATCH(B2196,pr_code,0))&amp;"",""))))</f>
        <v/>
      </c>
      <c r="I2196" s="59" t="str">
        <f>IF(B2196="","",IFERROR(INDEX(pr_unit,MATCH(B2196,pr_code,0))&amp;"",""))</f>
        <v/>
      </c>
      <c r="J2196" s="65" t="str">
        <f>IF(COUNTA(A2196:G2196)=0,"",IF(E2196&lt;&gt;"",E2196,IF(B2196="","",IFERROR(IF(INDEX(pr_price,MATCH(B2196,pr_code,0))="","",INDEX(pr_price,MATCH(B2196,pr_code,0))),""))))</f>
        <v/>
      </c>
      <c r="K2196" s="71" t="str">
        <f>IF(COUNTA(A2196:G2196)=0,"",IF(G2196&lt;&gt;"",G2196,IF(B2196="","",IFERROR(IF(INDEX(pr_rate,MATCH(B2196,pr_code,0))="","",INDEX(pr_rate,MATCH(B2196,pr_code,0))),""))))</f>
        <v/>
      </c>
      <c r="L2196" s="65" t="str">
        <f>IF(COUNTA(A2196:G2196)=0,"",IF(AND(ISNUMBER(D2196),ISNUMBER(J2196)),ROUND(D2196*J2196*(1-N(F2196)),2),0))</f>
        <v/>
      </c>
      <c r="M2196" s="62" t="str">
        <f>IF(A2196="","",IFERROR(INDEX(dv_cname,MATCH(A2196,dv_num,0))&amp;"",""))</f>
        <v/>
      </c>
      <c r="N2196" s="59" t="str">
        <f>IF(COUNTA(A2196:G2196)=0,"",IF(A2196="","N° devis manquant",IF(ISNA(MATCH(A2196,dv_num,0)),"Devis inconnu",IF(AND(B2196&lt;&gt;"",ISNA(MATCH(B2196,pr_code,0))),"Article inconnu",IF(H2196="","Désignation manquante",IF(OR(NOT(ISNUMBER(D2196)),N(D2196)&lt;=0),"Quantité invalide",IF(J2196="","Prix manquant",IF(OR(NOT(ISNUMBER(J2196)),N(J2196)&lt;0),"Prix invalide",IF(OR(AND(F2196&lt;&gt;"",NOT(ISNUMBER(F2196))),N(F2196)&lt;0,N(F2196)&gt;1),"Remise invalide",IF(K2196="","Taux de TVA manquant",IF(NOT(ISNUMBER(K2196)),"Taux de TVA invalide",IF(COUNTIF(p_rates,K2196)=0,"Taux de TVA hors liste (Paramètres)",IF(N(O2196)&gt;25,"Au-delà de 25 lignes : non imprimée","OK")))))))))))))</f>
        <v/>
      </c>
      <c r="O2196" s="59" t="str">
        <f>IF(A2196="","",COUNTIF($A$6:A2196,A2196))</f>
        <v/>
      </c>
      <c r="P2196" s="62" t="str">
        <f>IF(A2196="","",A2196&amp;"|"&amp;O2196)</f>
        <v/>
      </c>
    </row>
    <row r="2197">
      <c r="A2197" s="60" t="n"/>
      <c r="B2197" s="63" t="n"/>
      <c r="C2197" s="63" t="n"/>
      <c r="D2197" s="67" t="n"/>
      <c r="E2197" s="68" t="n"/>
      <c r="F2197" s="69" t="n"/>
      <c r="G2197" s="70" t="n"/>
      <c r="H2197" s="62" t="str">
        <f>IF(COUNTA(A2197:G2197)=0,"",IF(C2197&lt;&gt;"",C2197,IF(B2197="","",IFERROR(INDEX(pr_des,MATCH(B2197,pr_code,0))&amp;"",""))))</f>
        <v/>
      </c>
      <c r="I2197" s="59" t="str">
        <f>IF(B2197="","",IFERROR(INDEX(pr_unit,MATCH(B2197,pr_code,0))&amp;"",""))</f>
        <v/>
      </c>
      <c r="J2197" s="65" t="str">
        <f>IF(COUNTA(A2197:G2197)=0,"",IF(E2197&lt;&gt;"",E2197,IF(B2197="","",IFERROR(IF(INDEX(pr_price,MATCH(B2197,pr_code,0))="","",INDEX(pr_price,MATCH(B2197,pr_code,0))),""))))</f>
        <v/>
      </c>
      <c r="K2197" s="71" t="str">
        <f>IF(COUNTA(A2197:G2197)=0,"",IF(G2197&lt;&gt;"",G2197,IF(B2197="","",IFERROR(IF(INDEX(pr_rate,MATCH(B2197,pr_code,0))="","",INDEX(pr_rate,MATCH(B2197,pr_code,0))),""))))</f>
        <v/>
      </c>
      <c r="L2197" s="65" t="str">
        <f>IF(COUNTA(A2197:G2197)=0,"",IF(AND(ISNUMBER(D2197),ISNUMBER(J2197)),ROUND(D2197*J2197*(1-N(F2197)),2),0))</f>
        <v/>
      </c>
      <c r="M2197" s="62" t="str">
        <f>IF(A2197="","",IFERROR(INDEX(dv_cname,MATCH(A2197,dv_num,0))&amp;"",""))</f>
        <v/>
      </c>
      <c r="N2197" s="59" t="str">
        <f>IF(COUNTA(A2197:G2197)=0,"",IF(A2197="","N° devis manquant",IF(ISNA(MATCH(A2197,dv_num,0)),"Devis inconnu",IF(AND(B2197&lt;&gt;"",ISNA(MATCH(B2197,pr_code,0))),"Article inconnu",IF(H2197="","Désignation manquante",IF(OR(NOT(ISNUMBER(D2197)),N(D2197)&lt;=0),"Quantité invalide",IF(J2197="","Prix manquant",IF(OR(NOT(ISNUMBER(J2197)),N(J2197)&lt;0),"Prix invalide",IF(OR(AND(F2197&lt;&gt;"",NOT(ISNUMBER(F2197))),N(F2197)&lt;0,N(F2197)&gt;1),"Remise invalide",IF(K2197="","Taux de TVA manquant",IF(NOT(ISNUMBER(K2197)),"Taux de TVA invalide",IF(COUNTIF(p_rates,K2197)=0,"Taux de TVA hors liste (Paramètres)",IF(N(O2197)&gt;25,"Au-delà de 25 lignes : non imprimée","OK")))))))))))))</f>
        <v/>
      </c>
      <c r="O2197" s="59" t="str">
        <f>IF(A2197="","",COUNTIF($A$6:A2197,A2197))</f>
        <v/>
      </c>
      <c r="P2197" s="62" t="str">
        <f>IF(A2197="","",A2197&amp;"|"&amp;O2197)</f>
        <v/>
      </c>
    </row>
    <row r="2198">
      <c r="A2198" s="60" t="n"/>
      <c r="B2198" s="63" t="n"/>
      <c r="C2198" s="63" t="n"/>
      <c r="D2198" s="67" t="n"/>
      <c r="E2198" s="68" t="n"/>
      <c r="F2198" s="69" t="n"/>
      <c r="G2198" s="70" t="n"/>
      <c r="H2198" s="62" t="str">
        <f>IF(COUNTA(A2198:G2198)=0,"",IF(C2198&lt;&gt;"",C2198,IF(B2198="","",IFERROR(INDEX(pr_des,MATCH(B2198,pr_code,0))&amp;"",""))))</f>
        <v/>
      </c>
      <c r="I2198" s="59" t="str">
        <f>IF(B2198="","",IFERROR(INDEX(pr_unit,MATCH(B2198,pr_code,0))&amp;"",""))</f>
        <v/>
      </c>
      <c r="J2198" s="65" t="str">
        <f>IF(COUNTA(A2198:G2198)=0,"",IF(E2198&lt;&gt;"",E2198,IF(B2198="","",IFERROR(IF(INDEX(pr_price,MATCH(B2198,pr_code,0))="","",INDEX(pr_price,MATCH(B2198,pr_code,0))),""))))</f>
        <v/>
      </c>
      <c r="K2198" s="71" t="str">
        <f>IF(COUNTA(A2198:G2198)=0,"",IF(G2198&lt;&gt;"",G2198,IF(B2198="","",IFERROR(IF(INDEX(pr_rate,MATCH(B2198,pr_code,0))="","",INDEX(pr_rate,MATCH(B2198,pr_code,0))),""))))</f>
        <v/>
      </c>
      <c r="L2198" s="65" t="str">
        <f>IF(COUNTA(A2198:G2198)=0,"",IF(AND(ISNUMBER(D2198),ISNUMBER(J2198)),ROUND(D2198*J2198*(1-N(F2198)),2),0))</f>
        <v/>
      </c>
      <c r="M2198" s="62" t="str">
        <f>IF(A2198="","",IFERROR(INDEX(dv_cname,MATCH(A2198,dv_num,0))&amp;"",""))</f>
        <v/>
      </c>
      <c r="N2198" s="59" t="str">
        <f>IF(COUNTA(A2198:G2198)=0,"",IF(A2198="","N° devis manquant",IF(ISNA(MATCH(A2198,dv_num,0)),"Devis inconnu",IF(AND(B2198&lt;&gt;"",ISNA(MATCH(B2198,pr_code,0))),"Article inconnu",IF(H2198="","Désignation manquante",IF(OR(NOT(ISNUMBER(D2198)),N(D2198)&lt;=0),"Quantité invalide",IF(J2198="","Prix manquant",IF(OR(NOT(ISNUMBER(J2198)),N(J2198)&lt;0),"Prix invalide",IF(OR(AND(F2198&lt;&gt;"",NOT(ISNUMBER(F2198))),N(F2198)&lt;0,N(F2198)&gt;1),"Remise invalide",IF(K2198="","Taux de TVA manquant",IF(NOT(ISNUMBER(K2198)),"Taux de TVA invalide",IF(COUNTIF(p_rates,K2198)=0,"Taux de TVA hors liste (Paramètres)",IF(N(O2198)&gt;25,"Au-delà de 25 lignes : non imprimée","OK")))))))))))))</f>
        <v/>
      </c>
      <c r="O2198" s="59" t="str">
        <f>IF(A2198="","",COUNTIF($A$6:A2198,A2198))</f>
        <v/>
      </c>
      <c r="P2198" s="62" t="str">
        <f>IF(A2198="","",A2198&amp;"|"&amp;O2198)</f>
        <v/>
      </c>
    </row>
    <row r="2199">
      <c r="A2199" s="60" t="n"/>
      <c r="B2199" s="63" t="n"/>
      <c r="C2199" s="63" t="n"/>
      <c r="D2199" s="67" t="n"/>
      <c r="E2199" s="68" t="n"/>
      <c r="F2199" s="69" t="n"/>
      <c r="G2199" s="70" t="n"/>
      <c r="H2199" s="62" t="str">
        <f>IF(COUNTA(A2199:G2199)=0,"",IF(C2199&lt;&gt;"",C2199,IF(B2199="","",IFERROR(INDEX(pr_des,MATCH(B2199,pr_code,0))&amp;"",""))))</f>
        <v/>
      </c>
      <c r="I2199" s="59" t="str">
        <f>IF(B2199="","",IFERROR(INDEX(pr_unit,MATCH(B2199,pr_code,0))&amp;"",""))</f>
        <v/>
      </c>
      <c r="J2199" s="65" t="str">
        <f>IF(COUNTA(A2199:G2199)=0,"",IF(E2199&lt;&gt;"",E2199,IF(B2199="","",IFERROR(IF(INDEX(pr_price,MATCH(B2199,pr_code,0))="","",INDEX(pr_price,MATCH(B2199,pr_code,0))),""))))</f>
        <v/>
      </c>
      <c r="K2199" s="71" t="str">
        <f>IF(COUNTA(A2199:G2199)=0,"",IF(G2199&lt;&gt;"",G2199,IF(B2199="","",IFERROR(IF(INDEX(pr_rate,MATCH(B2199,pr_code,0))="","",INDEX(pr_rate,MATCH(B2199,pr_code,0))),""))))</f>
        <v/>
      </c>
      <c r="L2199" s="65" t="str">
        <f>IF(COUNTA(A2199:G2199)=0,"",IF(AND(ISNUMBER(D2199),ISNUMBER(J2199)),ROUND(D2199*J2199*(1-N(F2199)),2),0))</f>
        <v/>
      </c>
      <c r="M2199" s="62" t="str">
        <f>IF(A2199="","",IFERROR(INDEX(dv_cname,MATCH(A2199,dv_num,0))&amp;"",""))</f>
        <v/>
      </c>
      <c r="N2199" s="59" t="str">
        <f>IF(COUNTA(A2199:G2199)=0,"",IF(A2199="","N° devis manquant",IF(ISNA(MATCH(A2199,dv_num,0)),"Devis inconnu",IF(AND(B2199&lt;&gt;"",ISNA(MATCH(B2199,pr_code,0))),"Article inconnu",IF(H2199="","Désignation manquante",IF(OR(NOT(ISNUMBER(D2199)),N(D2199)&lt;=0),"Quantité invalide",IF(J2199="","Prix manquant",IF(OR(NOT(ISNUMBER(J2199)),N(J2199)&lt;0),"Prix invalide",IF(OR(AND(F2199&lt;&gt;"",NOT(ISNUMBER(F2199))),N(F2199)&lt;0,N(F2199)&gt;1),"Remise invalide",IF(K2199="","Taux de TVA manquant",IF(NOT(ISNUMBER(K2199)),"Taux de TVA invalide",IF(COUNTIF(p_rates,K2199)=0,"Taux de TVA hors liste (Paramètres)",IF(N(O2199)&gt;25,"Au-delà de 25 lignes : non imprimée","OK")))))))))))))</f>
        <v/>
      </c>
      <c r="O2199" s="59" t="str">
        <f>IF(A2199="","",COUNTIF($A$6:A2199,A2199))</f>
        <v/>
      </c>
      <c r="P2199" s="62" t="str">
        <f>IF(A2199="","",A2199&amp;"|"&amp;O2199)</f>
        <v/>
      </c>
    </row>
    <row r="2200">
      <c r="A2200" s="60" t="n"/>
      <c r="B2200" s="63" t="n"/>
      <c r="C2200" s="63" t="n"/>
      <c r="D2200" s="67" t="n"/>
      <c r="E2200" s="68" t="n"/>
      <c r="F2200" s="69" t="n"/>
      <c r="G2200" s="70" t="n"/>
      <c r="H2200" s="62" t="str">
        <f>IF(COUNTA(A2200:G2200)=0,"",IF(C2200&lt;&gt;"",C2200,IF(B2200="","",IFERROR(INDEX(pr_des,MATCH(B2200,pr_code,0))&amp;"",""))))</f>
        <v/>
      </c>
      <c r="I2200" s="59" t="str">
        <f>IF(B2200="","",IFERROR(INDEX(pr_unit,MATCH(B2200,pr_code,0))&amp;"",""))</f>
        <v/>
      </c>
      <c r="J2200" s="65" t="str">
        <f>IF(COUNTA(A2200:G2200)=0,"",IF(E2200&lt;&gt;"",E2200,IF(B2200="","",IFERROR(IF(INDEX(pr_price,MATCH(B2200,pr_code,0))="","",INDEX(pr_price,MATCH(B2200,pr_code,0))),""))))</f>
        <v/>
      </c>
      <c r="K2200" s="71" t="str">
        <f>IF(COUNTA(A2200:G2200)=0,"",IF(G2200&lt;&gt;"",G2200,IF(B2200="","",IFERROR(IF(INDEX(pr_rate,MATCH(B2200,pr_code,0))="","",INDEX(pr_rate,MATCH(B2200,pr_code,0))),""))))</f>
        <v/>
      </c>
      <c r="L2200" s="65" t="str">
        <f>IF(COUNTA(A2200:G2200)=0,"",IF(AND(ISNUMBER(D2200),ISNUMBER(J2200)),ROUND(D2200*J2200*(1-N(F2200)),2),0))</f>
        <v/>
      </c>
      <c r="M2200" s="62" t="str">
        <f>IF(A2200="","",IFERROR(INDEX(dv_cname,MATCH(A2200,dv_num,0))&amp;"",""))</f>
        <v/>
      </c>
      <c r="N2200" s="59" t="str">
        <f>IF(COUNTA(A2200:G2200)=0,"",IF(A2200="","N° devis manquant",IF(ISNA(MATCH(A2200,dv_num,0)),"Devis inconnu",IF(AND(B2200&lt;&gt;"",ISNA(MATCH(B2200,pr_code,0))),"Article inconnu",IF(H2200="","Désignation manquante",IF(OR(NOT(ISNUMBER(D2200)),N(D2200)&lt;=0),"Quantité invalide",IF(J2200="","Prix manquant",IF(OR(NOT(ISNUMBER(J2200)),N(J2200)&lt;0),"Prix invalide",IF(OR(AND(F2200&lt;&gt;"",NOT(ISNUMBER(F2200))),N(F2200)&lt;0,N(F2200)&gt;1),"Remise invalide",IF(K2200="","Taux de TVA manquant",IF(NOT(ISNUMBER(K2200)),"Taux de TVA invalide",IF(COUNTIF(p_rates,K2200)=0,"Taux de TVA hors liste (Paramètres)",IF(N(O2200)&gt;25,"Au-delà de 25 lignes : non imprimée","OK")))))))))))))</f>
        <v/>
      </c>
      <c r="O2200" s="59" t="str">
        <f>IF(A2200="","",COUNTIF($A$6:A2200,A2200))</f>
        <v/>
      </c>
      <c r="P2200" s="62" t="str">
        <f>IF(A2200="","",A2200&amp;"|"&amp;O2200)</f>
        <v/>
      </c>
    </row>
    <row r="2201">
      <c r="A2201" s="60" t="n"/>
      <c r="B2201" s="63" t="n"/>
      <c r="C2201" s="63" t="n"/>
      <c r="D2201" s="67" t="n"/>
      <c r="E2201" s="68" t="n"/>
      <c r="F2201" s="69" t="n"/>
      <c r="G2201" s="70" t="n"/>
      <c r="H2201" s="62" t="str">
        <f>IF(COUNTA(A2201:G2201)=0,"",IF(C2201&lt;&gt;"",C2201,IF(B2201="","",IFERROR(INDEX(pr_des,MATCH(B2201,pr_code,0))&amp;"",""))))</f>
        <v/>
      </c>
      <c r="I2201" s="59" t="str">
        <f>IF(B2201="","",IFERROR(INDEX(pr_unit,MATCH(B2201,pr_code,0))&amp;"",""))</f>
        <v/>
      </c>
      <c r="J2201" s="65" t="str">
        <f>IF(COUNTA(A2201:G2201)=0,"",IF(E2201&lt;&gt;"",E2201,IF(B2201="","",IFERROR(IF(INDEX(pr_price,MATCH(B2201,pr_code,0))="","",INDEX(pr_price,MATCH(B2201,pr_code,0))),""))))</f>
        <v/>
      </c>
      <c r="K2201" s="71" t="str">
        <f>IF(COUNTA(A2201:G2201)=0,"",IF(G2201&lt;&gt;"",G2201,IF(B2201="","",IFERROR(IF(INDEX(pr_rate,MATCH(B2201,pr_code,0))="","",INDEX(pr_rate,MATCH(B2201,pr_code,0))),""))))</f>
        <v/>
      </c>
      <c r="L2201" s="65" t="str">
        <f>IF(COUNTA(A2201:G2201)=0,"",IF(AND(ISNUMBER(D2201),ISNUMBER(J2201)),ROUND(D2201*J2201*(1-N(F2201)),2),0))</f>
        <v/>
      </c>
      <c r="M2201" s="62" t="str">
        <f>IF(A2201="","",IFERROR(INDEX(dv_cname,MATCH(A2201,dv_num,0))&amp;"",""))</f>
        <v/>
      </c>
      <c r="N2201" s="59" t="str">
        <f>IF(COUNTA(A2201:G2201)=0,"",IF(A2201="","N° devis manquant",IF(ISNA(MATCH(A2201,dv_num,0)),"Devis inconnu",IF(AND(B2201&lt;&gt;"",ISNA(MATCH(B2201,pr_code,0))),"Article inconnu",IF(H2201="","Désignation manquante",IF(OR(NOT(ISNUMBER(D2201)),N(D2201)&lt;=0),"Quantité invalide",IF(J2201="","Prix manquant",IF(OR(NOT(ISNUMBER(J2201)),N(J2201)&lt;0),"Prix invalide",IF(OR(AND(F2201&lt;&gt;"",NOT(ISNUMBER(F2201))),N(F2201)&lt;0,N(F2201)&gt;1),"Remise invalide",IF(K2201="","Taux de TVA manquant",IF(NOT(ISNUMBER(K2201)),"Taux de TVA invalide",IF(COUNTIF(p_rates,K2201)=0,"Taux de TVA hors liste (Paramètres)",IF(N(O2201)&gt;25,"Au-delà de 25 lignes : non imprimée","OK")))))))))))))</f>
        <v/>
      </c>
      <c r="O2201" s="59" t="str">
        <f>IF(A2201="","",COUNTIF($A$6:A2201,A2201))</f>
        <v/>
      </c>
      <c r="P2201" s="62" t="str">
        <f>IF(A2201="","",A2201&amp;"|"&amp;O2201)</f>
        <v/>
      </c>
    </row>
    <row r="2202">
      <c r="A2202" s="60" t="n"/>
      <c r="B2202" s="63" t="n"/>
      <c r="C2202" s="63" t="n"/>
      <c r="D2202" s="67" t="n"/>
      <c r="E2202" s="68" t="n"/>
      <c r="F2202" s="69" t="n"/>
      <c r="G2202" s="70" t="n"/>
      <c r="H2202" s="62" t="str">
        <f>IF(COUNTA(A2202:G2202)=0,"",IF(C2202&lt;&gt;"",C2202,IF(B2202="","",IFERROR(INDEX(pr_des,MATCH(B2202,pr_code,0))&amp;"",""))))</f>
        <v/>
      </c>
      <c r="I2202" s="59" t="str">
        <f>IF(B2202="","",IFERROR(INDEX(pr_unit,MATCH(B2202,pr_code,0))&amp;"",""))</f>
        <v/>
      </c>
      <c r="J2202" s="65" t="str">
        <f>IF(COUNTA(A2202:G2202)=0,"",IF(E2202&lt;&gt;"",E2202,IF(B2202="","",IFERROR(IF(INDEX(pr_price,MATCH(B2202,pr_code,0))="","",INDEX(pr_price,MATCH(B2202,pr_code,0))),""))))</f>
        <v/>
      </c>
      <c r="K2202" s="71" t="str">
        <f>IF(COUNTA(A2202:G2202)=0,"",IF(G2202&lt;&gt;"",G2202,IF(B2202="","",IFERROR(IF(INDEX(pr_rate,MATCH(B2202,pr_code,0))="","",INDEX(pr_rate,MATCH(B2202,pr_code,0))),""))))</f>
        <v/>
      </c>
      <c r="L2202" s="65" t="str">
        <f>IF(COUNTA(A2202:G2202)=0,"",IF(AND(ISNUMBER(D2202),ISNUMBER(J2202)),ROUND(D2202*J2202*(1-N(F2202)),2),0))</f>
        <v/>
      </c>
      <c r="M2202" s="62" t="str">
        <f>IF(A2202="","",IFERROR(INDEX(dv_cname,MATCH(A2202,dv_num,0))&amp;"",""))</f>
        <v/>
      </c>
      <c r="N2202" s="59" t="str">
        <f>IF(COUNTA(A2202:G2202)=0,"",IF(A2202="","N° devis manquant",IF(ISNA(MATCH(A2202,dv_num,0)),"Devis inconnu",IF(AND(B2202&lt;&gt;"",ISNA(MATCH(B2202,pr_code,0))),"Article inconnu",IF(H2202="","Désignation manquante",IF(OR(NOT(ISNUMBER(D2202)),N(D2202)&lt;=0),"Quantité invalide",IF(J2202="","Prix manquant",IF(OR(NOT(ISNUMBER(J2202)),N(J2202)&lt;0),"Prix invalide",IF(OR(AND(F2202&lt;&gt;"",NOT(ISNUMBER(F2202))),N(F2202)&lt;0,N(F2202)&gt;1),"Remise invalide",IF(K2202="","Taux de TVA manquant",IF(NOT(ISNUMBER(K2202)),"Taux de TVA invalide",IF(COUNTIF(p_rates,K2202)=0,"Taux de TVA hors liste (Paramètres)",IF(N(O2202)&gt;25,"Au-delà de 25 lignes : non imprimée","OK")))))))))))))</f>
        <v/>
      </c>
      <c r="O2202" s="59" t="str">
        <f>IF(A2202="","",COUNTIF($A$6:A2202,A2202))</f>
        <v/>
      </c>
      <c r="P2202" s="62" t="str">
        <f>IF(A2202="","",A2202&amp;"|"&amp;O2202)</f>
        <v/>
      </c>
    </row>
    <row r="2203">
      <c r="A2203" s="60" t="n"/>
      <c r="B2203" s="63" t="n"/>
      <c r="C2203" s="63" t="n"/>
      <c r="D2203" s="67" t="n"/>
      <c r="E2203" s="68" t="n"/>
      <c r="F2203" s="69" t="n"/>
      <c r="G2203" s="70" t="n"/>
      <c r="H2203" s="62" t="str">
        <f>IF(COUNTA(A2203:G2203)=0,"",IF(C2203&lt;&gt;"",C2203,IF(B2203="","",IFERROR(INDEX(pr_des,MATCH(B2203,pr_code,0))&amp;"",""))))</f>
        <v/>
      </c>
      <c r="I2203" s="59" t="str">
        <f>IF(B2203="","",IFERROR(INDEX(pr_unit,MATCH(B2203,pr_code,0))&amp;"",""))</f>
        <v/>
      </c>
      <c r="J2203" s="65" t="str">
        <f>IF(COUNTA(A2203:G2203)=0,"",IF(E2203&lt;&gt;"",E2203,IF(B2203="","",IFERROR(IF(INDEX(pr_price,MATCH(B2203,pr_code,0))="","",INDEX(pr_price,MATCH(B2203,pr_code,0))),""))))</f>
        <v/>
      </c>
      <c r="K2203" s="71" t="str">
        <f>IF(COUNTA(A2203:G2203)=0,"",IF(G2203&lt;&gt;"",G2203,IF(B2203="","",IFERROR(IF(INDEX(pr_rate,MATCH(B2203,pr_code,0))="","",INDEX(pr_rate,MATCH(B2203,pr_code,0))),""))))</f>
        <v/>
      </c>
      <c r="L2203" s="65" t="str">
        <f>IF(COUNTA(A2203:G2203)=0,"",IF(AND(ISNUMBER(D2203),ISNUMBER(J2203)),ROUND(D2203*J2203*(1-N(F2203)),2),0))</f>
        <v/>
      </c>
      <c r="M2203" s="62" t="str">
        <f>IF(A2203="","",IFERROR(INDEX(dv_cname,MATCH(A2203,dv_num,0))&amp;"",""))</f>
        <v/>
      </c>
      <c r="N2203" s="59" t="str">
        <f>IF(COUNTA(A2203:G2203)=0,"",IF(A2203="","N° devis manquant",IF(ISNA(MATCH(A2203,dv_num,0)),"Devis inconnu",IF(AND(B2203&lt;&gt;"",ISNA(MATCH(B2203,pr_code,0))),"Article inconnu",IF(H2203="","Désignation manquante",IF(OR(NOT(ISNUMBER(D2203)),N(D2203)&lt;=0),"Quantité invalide",IF(J2203="","Prix manquant",IF(OR(NOT(ISNUMBER(J2203)),N(J2203)&lt;0),"Prix invalide",IF(OR(AND(F2203&lt;&gt;"",NOT(ISNUMBER(F2203))),N(F2203)&lt;0,N(F2203)&gt;1),"Remise invalide",IF(K2203="","Taux de TVA manquant",IF(NOT(ISNUMBER(K2203)),"Taux de TVA invalide",IF(COUNTIF(p_rates,K2203)=0,"Taux de TVA hors liste (Paramètres)",IF(N(O2203)&gt;25,"Au-delà de 25 lignes : non imprimée","OK")))))))))))))</f>
        <v/>
      </c>
      <c r="O2203" s="59" t="str">
        <f>IF(A2203="","",COUNTIF($A$6:A2203,A2203))</f>
        <v/>
      </c>
      <c r="P2203" s="62" t="str">
        <f>IF(A2203="","",A2203&amp;"|"&amp;O2203)</f>
        <v/>
      </c>
    </row>
    <row r="2204">
      <c r="A2204" s="60" t="n"/>
      <c r="B2204" s="63" t="n"/>
      <c r="C2204" s="63" t="n"/>
      <c r="D2204" s="67" t="n"/>
      <c r="E2204" s="68" t="n"/>
      <c r="F2204" s="69" t="n"/>
      <c r="G2204" s="70" t="n"/>
      <c r="H2204" s="62" t="str">
        <f>IF(COUNTA(A2204:G2204)=0,"",IF(C2204&lt;&gt;"",C2204,IF(B2204="","",IFERROR(INDEX(pr_des,MATCH(B2204,pr_code,0))&amp;"",""))))</f>
        <v/>
      </c>
      <c r="I2204" s="59" t="str">
        <f>IF(B2204="","",IFERROR(INDEX(pr_unit,MATCH(B2204,pr_code,0))&amp;"",""))</f>
        <v/>
      </c>
      <c r="J2204" s="65" t="str">
        <f>IF(COUNTA(A2204:G2204)=0,"",IF(E2204&lt;&gt;"",E2204,IF(B2204="","",IFERROR(IF(INDEX(pr_price,MATCH(B2204,pr_code,0))="","",INDEX(pr_price,MATCH(B2204,pr_code,0))),""))))</f>
        <v/>
      </c>
      <c r="K2204" s="71" t="str">
        <f>IF(COUNTA(A2204:G2204)=0,"",IF(G2204&lt;&gt;"",G2204,IF(B2204="","",IFERROR(IF(INDEX(pr_rate,MATCH(B2204,pr_code,0))="","",INDEX(pr_rate,MATCH(B2204,pr_code,0))),""))))</f>
        <v/>
      </c>
      <c r="L2204" s="65" t="str">
        <f>IF(COUNTA(A2204:G2204)=0,"",IF(AND(ISNUMBER(D2204),ISNUMBER(J2204)),ROUND(D2204*J2204*(1-N(F2204)),2),0))</f>
        <v/>
      </c>
      <c r="M2204" s="62" t="str">
        <f>IF(A2204="","",IFERROR(INDEX(dv_cname,MATCH(A2204,dv_num,0))&amp;"",""))</f>
        <v/>
      </c>
      <c r="N2204" s="59" t="str">
        <f>IF(COUNTA(A2204:G2204)=0,"",IF(A2204="","N° devis manquant",IF(ISNA(MATCH(A2204,dv_num,0)),"Devis inconnu",IF(AND(B2204&lt;&gt;"",ISNA(MATCH(B2204,pr_code,0))),"Article inconnu",IF(H2204="","Désignation manquante",IF(OR(NOT(ISNUMBER(D2204)),N(D2204)&lt;=0),"Quantité invalide",IF(J2204="","Prix manquant",IF(OR(NOT(ISNUMBER(J2204)),N(J2204)&lt;0),"Prix invalide",IF(OR(AND(F2204&lt;&gt;"",NOT(ISNUMBER(F2204))),N(F2204)&lt;0,N(F2204)&gt;1),"Remise invalide",IF(K2204="","Taux de TVA manquant",IF(NOT(ISNUMBER(K2204)),"Taux de TVA invalide",IF(COUNTIF(p_rates,K2204)=0,"Taux de TVA hors liste (Paramètres)",IF(N(O2204)&gt;25,"Au-delà de 25 lignes : non imprimée","OK")))))))))))))</f>
        <v/>
      </c>
      <c r="O2204" s="59" t="str">
        <f>IF(A2204="","",COUNTIF($A$6:A2204,A2204))</f>
        <v/>
      </c>
      <c r="P2204" s="62" t="str">
        <f>IF(A2204="","",A2204&amp;"|"&amp;O2204)</f>
        <v/>
      </c>
    </row>
    <row r="2205">
      <c r="A2205" s="60" t="n"/>
      <c r="B2205" s="63" t="n"/>
      <c r="C2205" s="63" t="n"/>
      <c r="D2205" s="67" t="n"/>
      <c r="E2205" s="68" t="n"/>
      <c r="F2205" s="69" t="n"/>
      <c r="G2205" s="70" t="n"/>
      <c r="H2205" s="62" t="str">
        <f>IF(COUNTA(A2205:G2205)=0,"",IF(C2205&lt;&gt;"",C2205,IF(B2205="","",IFERROR(INDEX(pr_des,MATCH(B2205,pr_code,0))&amp;"",""))))</f>
        <v/>
      </c>
      <c r="I2205" s="59" t="str">
        <f>IF(B2205="","",IFERROR(INDEX(pr_unit,MATCH(B2205,pr_code,0))&amp;"",""))</f>
        <v/>
      </c>
      <c r="J2205" s="65" t="str">
        <f>IF(COUNTA(A2205:G2205)=0,"",IF(E2205&lt;&gt;"",E2205,IF(B2205="","",IFERROR(IF(INDEX(pr_price,MATCH(B2205,pr_code,0))="","",INDEX(pr_price,MATCH(B2205,pr_code,0))),""))))</f>
        <v/>
      </c>
      <c r="K2205" s="71" t="str">
        <f>IF(COUNTA(A2205:G2205)=0,"",IF(G2205&lt;&gt;"",G2205,IF(B2205="","",IFERROR(IF(INDEX(pr_rate,MATCH(B2205,pr_code,0))="","",INDEX(pr_rate,MATCH(B2205,pr_code,0))),""))))</f>
        <v/>
      </c>
      <c r="L2205" s="65" t="str">
        <f>IF(COUNTA(A2205:G2205)=0,"",IF(AND(ISNUMBER(D2205),ISNUMBER(J2205)),ROUND(D2205*J2205*(1-N(F2205)),2),0))</f>
        <v/>
      </c>
      <c r="M2205" s="62" t="str">
        <f>IF(A2205="","",IFERROR(INDEX(dv_cname,MATCH(A2205,dv_num,0))&amp;"",""))</f>
        <v/>
      </c>
      <c r="N2205" s="59" t="str">
        <f>IF(COUNTA(A2205:G2205)=0,"",IF(A2205="","N° devis manquant",IF(ISNA(MATCH(A2205,dv_num,0)),"Devis inconnu",IF(AND(B2205&lt;&gt;"",ISNA(MATCH(B2205,pr_code,0))),"Article inconnu",IF(H2205="","Désignation manquante",IF(OR(NOT(ISNUMBER(D2205)),N(D2205)&lt;=0),"Quantité invalide",IF(J2205="","Prix manquant",IF(OR(NOT(ISNUMBER(J2205)),N(J2205)&lt;0),"Prix invalide",IF(OR(AND(F2205&lt;&gt;"",NOT(ISNUMBER(F2205))),N(F2205)&lt;0,N(F2205)&gt;1),"Remise invalide",IF(K2205="","Taux de TVA manquant",IF(NOT(ISNUMBER(K2205)),"Taux de TVA invalide",IF(COUNTIF(p_rates,K2205)=0,"Taux de TVA hors liste (Paramètres)",IF(N(O2205)&gt;25,"Au-delà de 25 lignes : non imprimée","OK")))))))))))))</f>
        <v/>
      </c>
      <c r="O2205" s="59" t="str">
        <f>IF(A2205="","",COUNTIF($A$6:A2205,A2205))</f>
        <v/>
      </c>
      <c r="P2205" s="62" t="str">
        <f>IF(A2205="","",A2205&amp;"|"&amp;O2205)</f>
        <v/>
      </c>
    </row>
    <row r="2206">
      <c r="A2206" s="60" t="n"/>
      <c r="B2206" s="63" t="n"/>
      <c r="C2206" s="63" t="n"/>
      <c r="D2206" s="67" t="n"/>
      <c r="E2206" s="68" t="n"/>
      <c r="F2206" s="69" t="n"/>
      <c r="G2206" s="70" t="n"/>
      <c r="H2206" s="62" t="str">
        <f>IF(COUNTA(A2206:G2206)=0,"",IF(C2206&lt;&gt;"",C2206,IF(B2206="","",IFERROR(INDEX(pr_des,MATCH(B2206,pr_code,0))&amp;"",""))))</f>
        <v/>
      </c>
      <c r="I2206" s="59" t="str">
        <f>IF(B2206="","",IFERROR(INDEX(pr_unit,MATCH(B2206,pr_code,0))&amp;"",""))</f>
        <v/>
      </c>
      <c r="J2206" s="65" t="str">
        <f>IF(COUNTA(A2206:G2206)=0,"",IF(E2206&lt;&gt;"",E2206,IF(B2206="","",IFERROR(IF(INDEX(pr_price,MATCH(B2206,pr_code,0))="","",INDEX(pr_price,MATCH(B2206,pr_code,0))),""))))</f>
        <v/>
      </c>
      <c r="K2206" s="71" t="str">
        <f>IF(COUNTA(A2206:G2206)=0,"",IF(G2206&lt;&gt;"",G2206,IF(B2206="","",IFERROR(IF(INDEX(pr_rate,MATCH(B2206,pr_code,0))="","",INDEX(pr_rate,MATCH(B2206,pr_code,0))),""))))</f>
        <v/>
      </c>
      <c r="L2206" s="65" t="str">
        <f>IF(COUNTA(A2206:G2206)=0,"",IF(AND(ISNUMBER(D2206),ISNUMBER(J2206)),ROUND(D2206*J2206*(1-N(F2206)),2),0))</f>
        <v/>
      </c>
      <c r="M2206" s="62" t="str">
        <f>IF(A2206="","",IFERROR(INDEX(dv_cname,MATCH(A2206,dv_num,0))&amp;"",""))</f>
        <v/>
      </c>
      <c r="N2206" s="59" t="str">
        <f>IF(COUNTA(A2206:G2206)=0,"",IF(A2206="","N° devis manquant",IF(ISNA(MATCH(A2206,dv_num,0)),"Devis inconnu",IF(AND(B2206&lt;&gt;"",ISNA(MATCH(B2206,pr_code,0))),"Article inconnu",IF(H2206="","Désignation manquante",IF(OR(NOT(ISNUMBER(D2206)),N(D2206)&lt;=0),"Quantité invalide",IF(J2206="","Prix manquant",IF(OR(NOT(ISNUMBER(J2206)),N(J2206)&lt;0),"Prix invalide",IF(OR(AND(F2206&lt;&gt;"",NOT(ISNUMBER(F2206))),N(F2206)&lt;0,N(F2206)&gt;1),"Remise invalide",IF(K2206="","Taux de TVA manquant",IF(NOT(ISNUMBER(K2206)),"Taux de TVA invalide",IF(COUNTIF(p_rates,K2206)=0,"Taux de TVA hors liste (Paramètres)",IF(N(O2206)&gt;25,"Au-delà de 25 lignes : non imprimée","OK")))))))))))))</f>
        <v/>
      </c>
      <c r="O2206" s="59" t="str">
        <f>IF(A2206="","",COUNTIF($A$6:A2206,A2206))</f>
        <v/>
      </c>
      <c r="P2206" s="62" t="str">
        <f>IF(A2206="","",A2206&amp;"|"&amp;O2206)</f>
        <v/>
      </c>
    </row>
    <row r="2207">
      <c r="A2207" s="60" t="n"/>
      <c r="B2207" s="63" t="n"/>
      <c r="C2207" s="63" t="n"/>
      <c r="D2207" s="67" t="n"/>
      <c r="E2207" s="68" t="n"/>
      <c r="F2207" s="69" t="n"/>
      <c r="G2207" s="70" t="n"/>
      <c r="H2207" s="62" t="str">
        <f>IF(COUNTA(A2207:G2207)=0,"",IF(C2207&lt;&gt;"",C2207,IF(B2207="","",IFERROR(INDEX(pr_des,MATCH(B2207,pr_code,0))&amp;"",""))))</f>
        <v/>
      </c>
      <c r="I2207" s="59" t="str">
        <f>IF(B2207="","",IFERROR(INDEX(pr_unit,MATCH(B2207,pr_code,0))&amp;"",""))</f>
        <v/>
      </c>
      <c r="J2207" s="65" t="str">
        <f>IF(COUNTA(A2207:G2207)=0,"",IF(E2207&lt;&gt;"",E2207,IF(B2207="","",IFERROR(IF(INDEX(pr_price,MATCH(B2207,pr_code,0))="","",INDEX(pr_price,MATCH(B2207,pr_code,0))),""))))</f>
        <v/>
      </c>
      <c r="K2207" s="71" t="str">
        <f>IF(COUNTA(A2207:G2207)=0,"",IF(G2207&lt;&gt;"",G2207,IF(B2207="","",IFERROR(IF(INDEX(pr_rate,MATCH(B2207,pr_code,0))="","",INDEX(pr_rate,MATCH(B2207,pr_code,0))),""))))</f>
        <v/>
      </c>
      <c r="L2207" s="65" t="str">
        <f>IF(COUNTA(A2207:G2207)=0,"",IF(AND(ISNUMBER(D2207),ISNUMBER(J2207)),ROUND(D2207*J2207*(1-N(F2207)),2),0))</f>
        <v/>
      </c>
      <c r="M2207" s="62" t="str">
        <f>IF(A2207="","",IFERROR(INDEX(dv_cname,MATCH(A2207,dv_num,0))&amp;"",""))</f>
        <v/>
      </c>
      <c r="N2207" s="59" t="str">
        <f>IF(COUNTA(A2207:G2207)=0,"",IF(A2207="","N° devis manquant",IF(ISNA(MATCH(A2207,dv_num,0)),"Devis inconnu",IF(AND(B2207&lt;&gt;"",ISNA(MATCH(B2207,pr_code,0))),"Article inconnu",IF(H2207="","Désignation manquante",IF(OR(NOT(ISNUMBER(D2207)),N(D2207)&lt;=0),"Quantité invalide",IF(J2207="","Prix manquant",IF(OR(NOT(ISNUMBER(J2207)),N(J2207)&lt;0),"Prix invalide",IF(OR(AND(F2207&lt;&gt;"",NOT(ISNUMBER(F2207))),N(F2207)&lt;0,N(F2207)&gt;1),"Remise invalide",IF(K2207="","Taux de TVA manquant",IF(NOT(ISNUMBER(K2207)),"Taux de TVA invalide",IF(COUNTIF(p_rates,K2207)=0,"Taux de TVA hors liste (Paramètres)",IF(N(O2207)&gt;25,"Au-delà de 25 lignes : non imprimée","OK")))))))))))))</f>
        <v/>
      </c>
      <c r="O2207" s="59" t="str">
        <f>IF(A2207="","",COUNTIF($A$6:A2207,A2207))</f>
        <v/>
      </c>
      <c r="P2207" s="62" t="str">
        <f>IF(A2207="","",A2207&amp;"|"&amp;O2207)</f>
        <v/>
      </c>
    </row>
    <row r="2208">
      <c r="A2208" s="60" t="n"/>
      <c r="B2208" s="63" t="n"/>
      <c r="C2208" s="63" t="n"/>
      <c r="D2208" s="67" t="n"/>
      <c r="E2208" s="68" t="n"/>
      <c r="F2208" s="69" t="n"/>
      <c r="G2208" s="70" t="n"/>
      <c r="H2208" s="62" t="str">
        <f>IF(COUNTA(A2208:G2208)=0,"",IF(C2208&lt;&gt;"",C2208,IF(B2208="","",IFERROR(INDEX(pr_des,MATCH(B2208,pr_code,0))&amp;"",""))))</f>
        <v/>
      </c>
      <c r="I2208" s="59" t="str">
        <f>IF(B2208="","",IFERROR(INDEX(pr_unit,MATCH(B2208,pr_code,0))&amp;"",""))</f>
        <v/>
      </c>
      <c r="J2208" s="65" t="str">
        <f>IF(COUNTA(A2208:G2208)=0,"",IF(E2208&lt;&gt;"",E2208,IF(B2208="","",IFERROR(IF(INDEX(pr_price,MATCH(B2208,pr_code,0))="","",INDEX(pr_price,MATCH(B2208,pr_code,0))),""))))</f>
        <v/>
      </c>
      <c r="K2208" s="71" t="str">
        <f>IF(COUNTA(A2208:G2208)=0,"",IF(G2208&lt;&gt;"",G2208,IF(B2208="","",IFERROR(IF(INDEX(pr_rate,MATCH(B2208,pr_code,0))="","",INDEX(pr_rate,MATCH(B2208,pr_code,0))),""))))</f>
        <v/>
      </c>
      <c r="L2208" s="65" t="str">
        <f>IF(COUNTA(A2208:G2208)=0,"",IF(AND(ISNUMBER(D2208),ISNUMBER(J2208)),ROUND(D2208*J2208*(1-N(F2208)),2),0))</f>
        <v/>
      </c>
      <c r="M2208" s="62" t="str">
        <f>IF(A2208="","",IFERROR(INDEX(dv_cname,MATCH(A2208,dv_num,0))&amp;"",""))</f>
        <v/>
      </c>
      <c r="N2208" s="59" t="str">
        <f>IF(COUNTA(A2208:G2208)=0,"",IF(A2208="","N° devis manquant",IF(ISNA(MATCH(A2208,dv_num,0)),"Devis inconnu",IF(AND(B2208&lt;&gt;"",ISNA(MATCH(B2208,pr_code,0))),"Article inconnu",IF(H2208="","Désignation manquante",IF(OR(NOT(ISNUMBER(D2208)),N(D2208)&lt;=0),"Quantité invalide",IF(J2208="","Prix manquant",IF(OR(NOT(ISNUMBER(J2208)),N(J2208)&lt;0),"Prix invalide",IF(OR(AND(F2208&lt;&gt;"",NOT(ISNUMBER(F2208))),N(F2208)&lt;0,N(F2208)&gt;1),"Remise invalide",IF(K2208="","Taux de TVA manquant",IF(NOT(ISNUMBER(K2208)),"Taux de TVA invalide",IF(COUNTIF(p_rates,K2208)=0,"Taux de TVA hors liste (Paramètres)",IF(N(O2208)&gt;25,"Au-delà de 25 lignes : non imprimée","OK")))))))))))))</f>
        <v/>
      </c>
      <c r="O2208" s="59" t="str">
        <f>IF(A2208="","",COUNTIF($A$6:A2208,A2208))</f>
        <v/>
      </c>
      <c r="P2208" s="62" t="str">
        <f>IF(A2208="","",A2208&amp;"|"&amp;O2208)</f>
        <v/>
      </c>
    </row>
    <row r="2209">
      <c r="A2209" s="60" t="n"/>
      <c r="B2209" s="63" t="n"/>
      <c r="C2209" s="63" t="n"/>
      <c r="D2209" s="67" t="n"/>
      <c r="E2209" s="68" t="n"/>
      <c r="F2209" s="69" t="n"/>
      <c r="G2209" s="70" t="n"/>
      <c r="H2209" s="62" t="str">
        <f>IF(COUNTA(A2209:G2209)=0,"",IF(C2209&lt;&gt;"",C2209,IF(B2209="","",IFERROR(INDEX(pr_des,MATCH(B2209,pr_code,0))&amp;"",""))))</f>
        <v/>
      </c>
      <c r="I2209" s="59" t="str">
        <f>IF(B2209="","",IFERROR(INDEX(pr_unit,MATCH(B2209,pr_code,0))&amp;"",""))</f>
        <v/>
      </c>
      <c r="J2209" s="65" t="str">
        <f>IF(COUNTA(A2209:G2209)=0,"",IF(E2209&lt;&gt;"",E2209,IF(B2209="","",IFERROR(IF(INDEX(pr_price,MATCH(B2209,pr_code,0))="","",INDEX(pr_price,MATCH(B2209,pr_code,0))),""))))</f>
        <v/>
      </c>
      <c r="K2209" s="71" t="str">
        <f>IF(COUNTA(A2209:G2209)=0,"",IF(G2209&lt;&gt;"",G2209,IF(B2209="","",IFERROR(IF(INDEX(pr_rate,MATCH(B2209,pr_code,0))="","",INDEX(pr_rate,MATCH(B2209,pr_code,0))),""))))</f>
        <v/>
      </c>
      <c r="L2209" s="65" t="str">
        <f>IF(COUNTA(A2209:G2209)=0,"",IF(AND(ISNUMBER(D2209),ISNUMBER(J2209)),ROUND(D2209*J2209*(1-N(F2209)),2),0))</f>
        <v/>
      </c>
      <c r="M2209" s="62" t="str">
        <f>IF(A2209="","",IFERROR(INDEX(dv_cname,MATCH(A2209,dv_num,0))&amp;"",""))</f>
        <v/>
      </c>
      <c r="N2209" s="59" t="str">
        <f>IF(COUNTA(A2209:G2209)=0,"",IF(A2209="","N° devis manquant",IF(ISNA(MATCH(A2209,dv_num,0)),"Devis inconnu",IF(AND(B2209&lt;&gt;"",ISNA(MATCH(B2209,pr_code,0))),"Article inconnu",IF(H2209="","Désignation manquante",IF(OR(NOT(ISNUMBER(D2209)),N(D2209)&lt;=0),"Quantité invalide",IF(J2209="","Prix manquant",IF(OR(NOT(ISNUMBER(J2209)),N(J2209)&lt;0),"Prix invalide",IF(OR(AND(F2209&lt;&gt;"",NOT(ISNUMBER(F2209))),N(F2209)&lt;0,N(F2209)&gt;1),"Remise invalide",IF(K2209="","Taux de TVA manquant",IF(NOT(ISNUMBER(K2209)),"Taux de TVA invalide",IF(COUNTIF(p_rates,K2209)=0,"Taux de TVA hors liste (Paramètres)",IF(N(O2209)&gt;25,"Au-delà de 25 lignes : non imprimée","OK")))))))))))))</f>
        <v/>
      </c>
      <c r="O2209" s="59" t="str">
        <f>IF(A2209="","",COUNTIF($A$6:A2209,A2209))</f>
        <v/>
      </c>
      <c r="P2209" s="62" t="str">
        <f>IF(A2209="","",A2209&amp;"|"&amp;O2209)</f>
        <v/>
      </c>
    </row>
    <row r="2210">
      <c r="A2210" s="60" t="n"/>
      <c r="B2210" s="63" t="n"/>
      <c r="C2210" s="63" t="n"/>
      <c r="D2210" s="67" t="n"/>
      <c r="E2210" s="68" t="n"/>
      <c r="F2210" s="69" t="n"/>
      <c r="G2210" s="70" t="n"/>
      <c r="H2210" s="62" t="str">
        <f>IF(COUNTA(A2210:G2210)=0,"",IF(C2210&lt;&gt;"",C2210,IF(B2210="","",IFERROR(INDEX(pr_des,MATCH(B2210,pr_code,0))&amp;"",""))))</f>
        <v/>
      </c>
      <c r="I2210" s="59" t="str">
        <f>IF(B2210="","",IFERROR(INDEX(pr_unit,MATCH(B2210,pr_code,0))&amp;"",""))</f>
        <v/>
      </c>
      <c r="J2210" s="65" t="str">
        <f>IF(COUNTA(A2210:G2210)=0,"",IF(E2210&lt;&gt;"",E2210,IF(B2210="","",IFERROR(IF(INDEX(pr_price,MATCH(B2210,pr_code,0))="","",INDEX(pr_price,MATCH(B2210,pr_code,0))),""))))</f>
        <v/>
      </c>
      <c r="K2210" s="71" t="str">
        <f>IF(COUNTA(A2210:G2210)=0,"",IF(G2210&lt;&gt;"",G2210,IF(B2210="","",IFERROR(IF(INDEX(pr_rate,MATCH(B2210,pr_code,0))="","",INDEX(pr_rate,MATCH(B2210,pr_code,0))),""))))</f>
        <v/>
      </c>
      <c r="L2210" s="65" t="str">
        <f>IF(COUNTA(A2210:G2210)=0,"",IF(AND(ISNUMBER(D2210),ISNUMBER(J2210)),ROUND(D2210*J2210*(1-N(F2210)),2),0))</f>
        <v/>
      </c>
      <c r="M2210" s="62" t="str">
        <f>IF(A2210="","",IFERROR(INDEX(dv_cname,MATCH(A2210,dv_num,0))&amp;"",""))</f>
        <v/>
      </c>
      <c r="N2210" s="59" t="str">
        <f>IF(COUNTA(A2210:G2210)=0,"",IF(A2210="","N° devis manquant",IF(ISNA(MATCH(A2210,dv_num,0)),"Devis inconnu",IF(AND(B2210&lt;&gt;"",ISNA(MATCH(B2210,pr_code,0))),"Article inconnu",IF(H2210="","Désignation manquante",IF(OR(NOT(ISNUMBER(D2210)),N(D2210)&lt;=0),"Quantité invalide",IF(J2210="","Prix manquant",IF(OR(NOT(ISNUMBER(J2210)),N(J2210)&lt;0),"Prix invalide",IF(OR(AND(F2210&lt;&gt;"",NOT(ISNUMBER(F2210))),N(F2210)&lt;0,N(F2210)&gt;1),"Remise invalide",IF(K2210="","Taux de TVA manquant",IF(NOT(ISNUMBER(K2210)),"Taux de TVA invalide",IF(COUNTIF(p_rates,K2210)=0,"Taux de TVA hors liste (Paramètres)",IF(N(O2210)&gt;25,"Au-delà de 25 lignes : non imprimée","OK")))))))))))))</f>
        <v/>
      </c>
      <c r="O2210" s="59" t="str">
        <f>IF(A2210="","",COUNTIF($A$6:A2210,A2210))</f>
        <v/>
      </c>
      <c r="P2210" s="62" t="str">
        <f>IF(A2210="","",A2210&amp;"|"&amp;O2210)</f>
        <v/>
      </c>
    </row>
    <row r="2211">
      <c r="A2211" s="60" t="n"/>
      <c r="B2211" s="63" t="n"/>
      <c r="C2211" s="63" t="n"/>
      <c r="D2211" s="67" t="n"/>
      <c r="E2211" s="68" t="n"/>
      <c r="F2211" s="69" t="n"/>
      <c r="G2211" s="70" t="n"/>
      <c r="H2211" s="62" t="str">
        <f>IF(COUNTA(A2211:G2211)=0,"",IF(C2211&lt;&gt;"",C2211,IF(B2211="","",IFERROR(INDEX(pr_des,MATCH(B2211,pr_code,0))&amp;"",""))))</f>
        <v/>
      </c>
      <c r="I2211" s="59" t="str">
        <f>IF(B2211="","",IFERROR(INDEX(pr_unit,MATCH(B2211,pr_code,0))&amp;"",""))</f>
        <v/>
      </c>
      <c r="J2211" s="65" t="str">
        <f>IF(COUNTA(A2211:G2211)=0,"",IF(E2211&lt;&gt;"",E2211,IF(B2211="","",IFERROR(IF(INDEX(pr_price,MATCH(B2211,pr_code,0))="","",INDEX(pr_price,MATCH(B2211,pr_code,0))),""))))</f>
        <v/>
      </c>
      <c r="K2211" s="71" t="str">
        <f>IF(COUNTA(A2211:G2211)=0,"",IF(G2211&lt;&gt;"",G2211,IF(B2211="","",IFERROR(IF(INDEX(pr_rate,MATCH(B2211,pr_code,0))="","",INDEX(pr_rate,MATCH(B2211,pr_code,0))),""))))</f>
        <v/>
      </c>
      <c r="L2211" s="65" t="str">
        <f>IF(COUNTA(A2211:G2211)=0,"",IF(AND(ISNUMBER(D2211),ISNUMBER(J2211)),ROUND(D2211*J2211*(1-N(F2211)),2),0))</f>
        <v/>
      </c>
      <c r="M2211" s="62" t="str">
        <f>IF(A2211="","",IFERROR(INDEX(dv_cname,MATCH(A2211,dv_num,0))&amp;"",""))</f>
        <v/>
      </c>
      <c r="N2211" s="59" t="str">
        <f>IF(COUNTA(A2211:G2211)=0,"",IF(A2211="","N° devis manquant",IF(ISNA(MATCH(A2211,dv_num,0)),"Devis inconnu",IF(AND(B2211&lt;&gt;"",ISNA(MATCH(B2211,pr_code,0))),"Article inconnu",IF(H2211="","Désignation manquante",IF(OR(NOT(ISNUMBER(D2211)),N(D2211)&lt;=0),"Quantité invalide",IF(J2211="","Prix manquant",IF(OR(NOT(ISNUMBER(J2211)),N(J2211)&lt;0),"Prix invalide",IF(OR(AND(F2211&lt;&gt;"",NOT(ISNUMBER(F2211))),N(F2211)&lt;0,N(F2211)&gt;1),"Remise invalide",IF(K2211="","Taux de TVA manquant",IF(NOT(ISNUMBER(K2211)),"Taux de TVA invalide",IF(COUNTIF(p_rates,K2211)=0,"Taux de TVA hors liste (Paramètres)",IF(N(O2211)&gt;25,"Au-delà de 25 lignes : non imprimée","OK")))))))))))))</f>
        <v/>
      </c>
      <c r="O2211" s="59" t="str">
        <f>IF(A2211="","",COUNTIF($A$6:A2211,A2211))</f>
        <v/>
      </c>
      <c r="P2211" s="62" t="str">
        <f>IF(A2211="","",A2211&amp;"|"&amp;O2211)</f>
        <v/>
      </c>
    </row>
    <row r="2212">
      <c r="A2212" s="60" t="n"/>
      <c r="B2212" s="63" t="n"/>
      <c r="C2212" s="63" t="n"/>
      <c r="D2212" s="67" t="n"/>
      <c r="E2212" s="68" t="n"/>
      <c r="F2212" s="69" t="n"/>
      <c r="G2212" s="70" t="n"/>
      <c r="H2212" s="62" t="str">
        <f>IF(COUNTA(A2212:G2212)=0,"",IF(C2212&lt;&gt;"",C2212,IF(B2212="","",IFERROR(INDEX(pr_des,MATCH(B2212,pr_code,0))&amp;"",""))))</f>
        <v/>
      </c>
      <c r="I2212" s="59" t="str">
        <f>IF(B2212="","",IFERROR(INDEX(pr_unit,MATCH(B2212,pr_code,0))&amp;"",""))</f>
        <v/>
      </c>
      <c r="J2212" s="65" t="str">
        <f>IF(COUNTA(A2212:G2212)=0,"",IF(E2212&lt;&gt;"",E2212,IF(B2212="","",IFERROR(IF(INDEX(pr_price,MATCH(B2212,pr_code,0))="","",INDEX(pr_price,MATCH(B2212,pr_code,0))),""))))</f>
        <v/>
      </c>
      <c r="K2212" s="71" t="str">
        <f>IF(COUNTA(A2212:G2212)=0,"",IF(G2212&lt;&gt;"",G2212,IF(B2212="","",IFERROR(IF(INDEX(pr_rate,MATCH(B2212,pr_code,0))="","",INDEX(pr_rate,MATCH(B2212,pr_code,0))),""))))</f>
        <v/>
      </c>
      <c r="L2212" s="65" t="str">
        <f>IF(COUNTA(A2212:G2212)=0,"",IF(AND(ISNUMBER(D2212),ISNUMBER(J2212)),ROUND(D2212*J2212*(1-N(F2212)),2),0))</f>
        <v/>
      </c>
      <c r="M2212" s="62" t="str">
        <f>IF(A2212="","",IFERROR(INDEX(dv_cname,MATCH(A2212,dv_num,0))&amp;"",""))</f>
        <v/>
      </c>
      <c r="N2212" s="59" t="str">
        <f>IF(COUNTA(A2212:G2212)=0,"",IF(A2212="","N° devis manquant",IF(ISNA(MATCH(A2212,dv_num,0)),"Devis inconnu",IF(AND(B2212&lt;&gt;"",ISNA(MATCH(B2212,pr_code,0))),"Article inconnu",IF(H2212="","Désignation manquante",IF(OR(NOT(ISNUMBER(D2212)),N(D2212)&lt;=0),"Quantité invalide",IF(J2212="","Prix manquant",IF(OR(NOT(ISNUMBER(J2212)),N(J2212)&lt;0),"Prix invalide",IF(OR(AND(F2212&lt;&gt;"",NOT(ISNUMBER(F2212))),N(F2212)&lt;0,N(F2212)&gt;1),"Remise invalide",IF(K2212="","Taux de TVA manquant",IF(NOT(ISNUMBER(K2212)),"Taux de TVA invalide",IF(COUNTIF(p_rates,K2212)=0,"Taux de TVA hors liste (Paramètres)",IF(N(O2212)&gt;25,"Au-delà de 25 lignes : non imprimée","OK")))))))))))))</f>
        <v/>
      </c>
      <c r="O2212" s="59" t="str">
        <f>IF(A2212="","",COUNTIF($A$6:A2212,A2212))</f>
        <v/>
      </c>
      <c r="P2212" s="62" t="str">
        <f>IF(A2212="","",A2212&amp;"|"&amp;O2212)</f>
        <v/>
      </c>
    </row>
    <row r="2213">
      <c r="A2213" s="60" t="n"/>
      <c r="B2213" s="63" t="n"/>
      <c r="C2213" s="63" t="n"/>
      <c r="D2213" s="67" t="n"/>
      <c r="E2213" s="68" t="n"/>
      <c r="F2213" s="69" t="n"/>
      <c r="G2213" s="70" t="n"/>
      <c r="H2213" s="62" t="str">
        <f>IF(COUNTA(A2213:G2213)=0,"",IF(C2213&lt;&gt;"",C2213,IF(B2213="","",IFERROR(INDEX(pr_des,MATCH(B2213,pr_code,0))&amp;"",""))))</f>
        <v/>
      </c>
      <c r="I2213" s="59" t="str">
        <f>IF(B2213="","",IFERROR(INDEX(pr_unit,MATCH(B2213,pr_code,0))&amp;"",""))</f>
        <v/>
      </c>
      <c r="J2213" s="65" t="str">
        <f>IF(COUNTA(A2213:G2213)=0,"",IF(E2213&lt;&gt;"",E2213,IF(B2213="","",IFERROR(IF(INDEX(pr_price,MATCH(B2213,pr_code,0))="","",INDEX(pr_price,MATCH(B2213,pr_code,0))),""))))</f>
        <v/>
      </c>
      <c r="K2213" s="71" t="str">
        <f>IF(COUNTA(A2213:G2213)=0,"",IF(G2213&lt;&gt;"",G2213,IF(B2213="","",IFERROR(IF(INDEX(pr_rate,MATCH(B2213,pr_code,0))="","",INDEX(pr_rate,MATCH(B2213,pr_code,0))),""))))</f>
        <v/>
      </c>
      <c r="L2213" s="65" t="str">
        <f>IF(COUNTA(A2213:G2213)=0,"",IF(AND(ISNUMBER(D2213),ISNUMBER(J2213)),ROUND(D2213*J2213*(1-N(F2213)),2),0))</f>
        <v/>
      </c>
      <c r="M2213" s="62" t="str">
        <f>IF(A2213="","",IFERROR(INDEX(dv_cname,MATCH(A2213,dv_num,0))&amp;"",""))</f>
        <v/>
      </c>
      <c r="N2213" s="59" t="str">
        <f>IF(COUNTA(A2213:G2213)=0,"",IF(A2213="","N° devis manquant",IF(ISNA(MATCH(A2213,dv_num,0)),"Devis inconnu",IF(AND(B2213&lt;&gt;"",ISNA(MATCH(B2213,pr_code,0))),"Article inconnu",IF(H2213="","Désignation manquante",IF(OR(NOT(ISNUMBER(D2213)),N(D2213)&lt;=0),"Quantité invalide",IF(J2213="","Prix manquant",IF(OR(NOT(ISNUMBER(J2213)),N(J2213)&lt;0),"Prix invalide",IF(OR(AND(F2213&lt;&gt;"",NOT(ISNUMBER(F2213))),N(F2213)&lt;0,N(F2213)&gt;1),"Remise invalide",IF(K2213="","Taux de TVA manquant",IF(NOT(ISNUMBER(K2213)),"Taux de TVA invalide",IF(COUNTIF(p_rates,K2213)=0,"Taux de TVA hors liste (Paramètres)",IF(N(O2213)&gt;25,"Au-delà de 25 lignes : non imprimée","OK")))))))))))))</f>
        <v/>
      </c>
      <c r="O2213" s="59" t="str">
        <f>IF(A2213="","",COUNTIF($A$6:A2213,A2213))</f>
        <v/>
      </c>
      <c r="P2213" s="62" t="str">
        <f>IF(A2213="","",A2213&amp;"|"&amp;O2213)</f>
        <v/>
      </c>
    </row>
    <row r="2214">
      <c r="A2214" s="60" t="n"/>
      <c r="B2214" s="63" t="n"/>
      <c r="C2214" s="63" t="n"/>
      <c r="D2214" s="67" t="n"/>
      <c r="E2214" s="68" t="n"/>
      <c r="F2214" s="69" t="n"/>
      <c r="G2214" s="70" t="n"/>
      <c r="H2214" s="62" t="str">
        <f>IF(COUNTA(A2214:G2214)=0,"",IF(C2214&lt;&gt;"",C2214,IF(B2214="","",IFERROR(INDEX(pr_des,MATCH(B2214,pr_code,0))&amp;"",""))))</f>
        <v/>
      </c>
      <c r="I2214" s="59" t="str">
        <f>IF(B2214="","",IFERROR(INDEX(pr_unit,MATCH(B2214,pr_code,0))&amp;"",""))</f>
        <v/>
      </c>
      <c r="J2214" s="65" t="str">
        <f>IF(COUNTA(A2214:G2214)=0,"",IF(E2214&lt;&gt;"",E2214,IF(B2214="","",IFERROR(IF(INDEX(pr_price,MATCH(B2214,pr_code,0))="","",INDEX(pr_price,MATCH(B2214,pr_code,0))),""))))</f>
        <v/>
      </c>
      <c r="K2214" s="71" t="str">
        <f>IF(COUNTA(A2214:G2214)=0,"",IF(G2214&lt;&gt;"",G2214,IF(B2214="","",IFERROR(IF(INDEX(pr_rate,MATCH(B2214,pr_code,0))="","",INDEX(pr_rate,MATCH(B2214,pr_code,0))),""))))</f>
        <v/>
      </c>
      <c r="L2214" s="65" t="str">
        <f>IF(COUNTA(A2214:G2214)=0,"",IF(AND(ISNUMBER(D2214),ISNUMBER(J2214)),ROUND(D2214*J2214*(1-N(F2214)),2),0))</f>
        <v/>
      </c>
      <c r="M2214" s="62" t="str">
        <f>IF(A2214="","",IFERROR(INDEX(dv_cname,MATCH(A2214,dv_num,0))&amp;"",""))</f>
        <v/>
      </c>
      <c r="N2214" s="59" t="str">
        <f>IF(COUNTA(A2214:G2214)=0,"",IF(A2214="","N° devis manquant",IF(ISNA(MATCH(A2214,dv_num,0)),"Devis inconnu",IF(AND(B2214&lt;&gt;"",ISNA(MATCH(B2214,pr_code,0))),"Article inconnu",IF(H2214="","Désignation manquante",IF(OR(NOT(ISNUMBER(D2214)),N(D2214)&lt;=0),"Quantité invalide",IF(J2214="","Prix manquant",IF(OR(NOT(ISNUMBER(J2214)),N(J2214)&lt;0),"Prix invalide",IF(OR(AND(F2214&lt;&gt;"",NOT(ISNUMBER(F2214))),N(F2214)&lt;0,N(F2214)&gt;1),"Remise invalide",IF(K2214="","Taux de TVA manquant",IF(NOT(ISNUMBER(K2214)),"Taux de TVA invalide",IF(COUNTIF(p_rates,K2214)=0,"Taux de TVA hors liste (Paramètres)",IF(N(O2214)&gt;25,"Au-delà de 25 lignes : non imprimée","OK")))))))))))))</f>
        <v/>
      </c>
      <c r="O2214" s="59" t="str">
        <f>IF(A2214="","",COUNTIF($A$6:A2214,A2214))</f>
        <v/>
      </c>
      <c r="P2214" s="62" t="str">
        <f>IF(A2214="","",A2214&amp;"|"&amp;O2214)</f>
        <v/>
      </c>
    </row>
    <row r="2215">
      <c r="A2215" s="60" t="n"/>
      <c r="B2215" s="63" t="n"/>
      <c r="C2215" s="63" t="n"/>
      <c r="D2215" s="67" t="n"/>
      <c r="E2215" s="68" t="n"/>
      <c r="F2215" s="69" t="n"/>
      <c r="G2215" s="70" t="n"/>
      <c r="H2215" s="62" t="str">
        <f>IF(COUNTA(A2215:G2215)=0,"",IF(C2215&lt;&gt;"",C2215,IF(B2215="","",IFERROR(INDEX(pr_des,MATCH(B2215,pr_code,0))&amp;"",""))))</f>
        <v/>
      </c>
      <c r="I2215" s="59" t="str">
        <f>IF(B2215="","",IFERROR(INDEX(pr_unit,MATCH(B2215,pr_code,0))&amp;"",""))</f>
        <v/>
      </c>
      <c r="J2215" s="65" t="str">
        <f>IF(COUNTA(A2215:G2215)=0,"",IF(E2215&lt;&gt;"",E2215,IF(B2215="","",IFERROR(IF(INDEX(pr_price,MATCH(B2215,pr_code,0))="","",INDEX(pr_price,MATCH(B2215,pr_code,0))),""))))</f>
        <v/>
      </c>
      <c r="K2215" s="71" t="str">
        <f>IF(COUNTA(A2215:G2215)=0,"",IF(G2215&lt;&gt;"",G2215,IF(B2215="","",IFERROR(IF(INDEX(pr_rate,MATCH(B2215,pr_code,0))="","",INDEX(pr_rate,MATCH(B2215,pr_code,0))),""))))</f>
        <v/>
      </c>
      <c r="L2215" s="65" t="str">
        <f>IF(COUNTA(A2215:G2215)=0,"",IF(AND(ISNUMBER(D2215),ISNUMBER(J2215)),ROUND(D2215*J2215*(1-N(F2215)),2),0))</f>
        <v/>
      </c>
      <c r="M2215" s="62" t="str">
        <f>IF(A2215="","",IFERROR(INDEX(dv_cname,MATCH(A2215,dv_num,0))&amp;"",""))</f>
        <v/>
      </c>
      <c r="N2215" s="59" t="str">
        <f>IF(COUNTA(A2215:G2215)=0,"",IF(A2215="","N° devis manquant",IF(ISNA(MATCH(A2215,dv_num,0)),"Devis inconnu",IF(AND(B2215&lt;&gt;"",ISNA(MATCH(B2215,pr_code,0))),"Article inconnu",IF(H2215="","Désignation manquante",IF(OR(NOT(ISNUMBER(D2215)),N(D2215)&lt;=0),"Quantité invalide",IF(J2215="","Prix manquant",IF(OR(NOT(ISNUMBER(J2215)),N(J2215)&lt;0),"Prix invalide",IF(OR(AND(F2215&lt;&gt;"",NOT(ISNUMBER(F2215))),N(F2215)&lt;0,N(F2215)&gt;1),"Remise invalide",IF(K2215="","Taux de TVA manquant",IF(NOT(ISNUMBER(K2215)),"Taux de TVA invalide",IF(COUNTIF(p_rates,K2215)=0,"Taux de TVA hors liste (Paramètres)",IF(N(O2215)&gt;25,"Au-delà de 25 lignes : non imprimée","OK")))))))))))))</f>
        <v/>
      </c>
      <c r="O2215" s="59" t="str">
        <f>IF(A2215="","",COUNTIF($A$6:A2215,A2215))</f>
        <v/>
      </c>
      <c r="P2215" s="62" t="str">
        <f>IF(A2215="","",A2215&amp;"|"&amp;O2215)</f>
        <v/>
      </c>
    </row>
    <row r="2216">
      <c r="A2216" s="60" t="n"/>
      <c r="B2216" s="63" t="n"/>
      <c r="C2216" s="63" t="n"/>
      <c r="D2216" s="67" t="n"/>
      <c r="E2216" s="68" t="n"/>
      <c r="F2216" s="69" t="n"/>
      <c r="G2216" s="70" t="n"/>
      <c r="H2216" s="62" t="str">
        <f>IF(COUNTA(A2216:G2216)=0,"",IF(C2216&lt;&gt;"",C2216,IF(B2216="","",IFERROR(INDEX(pr_des,MATCH(B2216,pr_code,0))&amp;"",""))))</f>
        <v/>
      </c>
      <c r="I2216" s="59" t="str">
        <f>IF(B2216="","",IFERROR(INDEX(pr_unit,MATCH(B2216,pr_code,0))&amp;"",""))</f>
        <v/>
      </c>
      <c r="J2216" s="65" t="str">
        <f>IF(COUNTA(A2216:G2216)=0,"",IF(E2216&lt;&gt;"",E2216,IF(B2216="","",IFERROR(IF(INDEX(pr_price,MATCH(B2216,pr_code,0))="","",INDEX(pr_price,MATCH(B2216,pr_code,0))),""))))</f>
        <v/>
      </c>
      <c r="K2216" s="71" t="str">
        <f>IF(COUNTA(A2216:G2216)=0,"",IF(G2216&lt;&gt;"",G2216,IF(B2216="","",IFERROR(IF(INDEX(pr_rate,MATCH(B2216,pr_code,0))="","",INDEX(pr_rate,MATCH(B2216,pr_code,0))),""))))</f>
        <v/>
      </c>
      <c r="L2216" s="65" t="str">
        <f>IF(COUNTA(A2216:G2216)=0,"",IF(AND(ISNUMBER(D2216),ISNUMBER(J2216)),ROUND(D2216*J2216*(1-N(F2216)),2),0))</f>
        <v/>
      </c>
      <c r="M2216" s="62" t="str">
        <f>IF(A2216="","",IFERROR(INDEX(dv_cname,MATCH(A2216,dv_num,0))&amp;"",""))</f>
        <v/>
      </c>
      <c r="N2216" s="59" t="str">
        <f>IF(COUNTA(A2216:G2216)=0,"",IF(A2216="","N° devis manquant",IF(ISNA(MATCH(A2216,dv_num,0)),"Devis inconnu",IF(AND(B2216&lt;&gt;"",ISNA(MATCH(B2216,pr_code,0))),"Article inconnu",IF(H2216="","Désignation manquante",IF(OR(NOT(ISNUMBER(D2216)),N(D2216)&lt;=0),"Quantité invalide",IF(J2216="","Prix manquant",IF(OR(NOT(ISNUMBER(J2216)),N(J2216)&lt;0),"Prix invalide",IF(OR(AND(F2216&lt;&gt;"",NOT(ISNUMBER(F2216))),N(F2216)&lt;0,N(F2216)&gt;1),"Remise invalide",IF(K2216="","Taux de TVA manquant",IF(NOT(ISNUMBER(K2216)),"Taux de TVA invalide",IF(COUNTIF(p_rates,K2216)=0,"Taux de TVA hors liste (Paramètres)",IF(N(O2216)&gt;25,"Au-delà de 25 lignes : non imprimée","OK")))))))))))))</f>
        <v/>
      </c>
      <c r="O2216" s="59" t="str">
        <f>IF(A2216="","",COUNTIF($A$6:A2216,A2216))</f>
        <v/>
      </c>
      <c r="P2216" s="62" t="str">
        <f>IF(A2216="","",A2216&amp;"|"&amp;O2216)</f>
        <v/>
      </c>
    </row>
    <row r="2217">
      <c r="A2217" s="60" t="n"/>
      <c r="B2217" s="63" t="n"/>
      <c r="C2217" s="63" t="n"/>
      <c r="D2217" s="67" t="n"/>
      <c r="E2217" s="68" t="n"/>
      <c r="F2217" s="69" t="n"/>
      <c r="G2217" s="70" t="n"/>
      <c r="H2217" s="62" t="str">
        <f>IF(COUNTA(A2217:G2217)=0,"",IF(C2217&lt;&gt;"",C2217,IF(B2217="","",IFERROR(INDEX(pr_des,MATCH(B2217,pr_code,0))&amp;"",""))))</f>
        <v/>
      </c>
      <c r="I2217" s="59" t="str">
        <f>IF(B2217="","",IFERROR(INDEX(pr_unit,MATCH(B2217,pr_code,0))&amp;"",""))</f>
        <v/>
      </c>
      <c r="J2217" s="65" t="str">
        <f>IF(COUNTA(A2217:G2217)=0,"",IF(E2217&lt;&gt;"",E2217,IF(B2217="","",IFERROR(IF(INDEX(pr_price,MATCH(B2217,pr_code,0))="","",INDEX(pr_price,MATCH(B2217,pr_code,0))),""))))</f>
        <v/>
      </c>
      <c r="K2217" s="71" t="str">
        <f>IF(COUNTA(A2217:G2217)=0,"",IF(G2217&lt;&gt;"",G2217,IF(B2217="","",IFERROR(IF(INDEX(pr_rate,MATCH(B2217,pr_code,0))="","",INDEX(pr_rate,MATCH(B2217,pr_code,0))),""))))</f>
        <v/>
      </c>
      <c r="L2217" s="65" t="str">
        <f>IF(COUNTA(A2217:G2217)=0,"",IF(AND(ISNUMBER(D2217),ISNUMBER(J2217)),ROUND(D2217*J2217*(1-N(F2217)),2),0))</f>
        <v/>
      </c>
      <c r="M2217" s="62" t="str">
        <f>IF(A2217="","",IFERROR(INDEX(dv_cname,MATCH(A2217,dv_num,0))&amp;"",""))</f>
        <v/>
      </c>
      <c r="N2217" s="59" t="str">
        <f>IF(COUNTA(A2217:G2217)=0,"",IF(A2217="","N° devis manquant",IF(ISNA(MATCH(A2217,dv_num,0)),"Devis inconnu",IF(AND(B2217&lt;&gt;"",ISNA(MATCH(B2217,pr_code,0))),"Article inconnu",IF(H2217="","Désignation manquante",IF(OR(NOT(ISNUMBER(D2217)),N(D2217)&lt;=0),"Quantité invalide",IF(J2217="","Prix manquant",IF(OR(NOT(ISNUMBER(J2217)),N(J2217)&lt;0),"Prix invalide",IF(OR(AND(F2217&lt;&gt;"",NOT(ISNUMBER(F2217))),N(F2217)&lt;0,N(F2217)&gt;1),"Remise invalide",IF(K2217="","Taux de TVA manquant",IF(NOT(ISNUMBER(K2217)),"Taux de TVA invalide",IF(COUNTIF(p_rates,K2217)=0,"Taux de TVA hors liste (Paramètres)",IF(N(O2217)&gt;25,"Au-delà de 25 lignes : non imprimée","OK")))))))))))))</f>
        <v/>
      </c>
      <c r="O2217" s="59" t="str">
        <f>IF(A2217="","",COUNTIF($A$6:A2217,A2217))</f>
        <v/>
      </c>
      <c r="P2217" s="62" t="str">
        <f>IF(A2217="","",A2217&amp;"|"&amp;O2217)</f>
        <v/>
      </c>
    </row>
    <row r="2218">
      <c r="A2218" s="60" t="n"/>
      <c r="B2218" s="63" t="n"/>
      <c r="C2218" s="63" t="n"/>
      <c r="D2218" s="67" t="n"/>
      <c r="E2218" s="68" t="n"/>
      <c r="F2218" s="69" t="n"/>
      <c r="G2218" s="70" t="n"/>
      <c r="H2218" s="62" t="str">
        <f>IF(COUNTA(A2218:G2218)=0,"",IF(C2218&lt;&gt;"",C2218,IF(B2218="","",IFERROR(INDEX(pr_des,MATCH(B2218,pr_code,0))&amp;"",""))))</f>
        <v/>
      </c>
      <c r="I2218" s="59" t="str">
        <f>IF(B2218="","",IFERROR(INDEX(pr_unit,MATCH(B2218,pr_code,0))&amp;"",""))</f>
        <v/>
      </c>
      <c r="J2218" s="65" t="str">
        <f>IF(COUNTA(A2218:G2218)=0,"",IF(E2218&lt;&gt;"",E2218,IF(B2218="","",IFERROR(IF(INDEX(pr_price,MATCH(B2218,pr_code,0))="","",INDEX(pr_price,MATCH(B2218,pr_code,0))),""))))</f>
        <v/>
      </c>
      <c r="K2218" s="71" t="str">
        <f>IF(COUNTA(A2218:G2218)=0,"",IF(G2218&lt;&gt;"",G2218,IF(B2218="","",IFERROR(IF(INDEX(pr_rate,MATCH(B2218,pr_code,0))="","",INDEX(pr_rate,MATCH(B2218,pr_code,0))),""))))</f>
        <v/>
      </c>
      <c r="L2218" s="65" t="str">
        <f>IF(COUNTA(A2218:G2218)=0,"",IF(AND(ISNUMBER(D2218),ISNUMBER(J2218)),ROUND(D2218*J2218*(1-N(F2218)),2),0))</f>
        <v/>
      </c>
      <c r="M2218" s="62" t="str">
        <f>IF(A2218="","",IFERROR(INDEX(dv_cname,MATCH(A2218,dv_num,0))&amp;"",""))</f>
        <v/>
      </c>
      <c r="N2218" s="59" t="str">
        <f>IF(COUNTA(A2218:G2218)=0,"",IF(A2218="","N° devis manquant",IF(ISNA(MATCH(A2218,dv_num,0)),"Devis inconnu",IF(AND(B2218&lt;&gt;"",ISNA(MATCH(B2218,pr_code,0))),"Article inconnu",IF(H2218="","Désignation manquante",IF(OR(NOT(ISNUMBER(D2218)),N(D2218)&lt;=0),"Quantité invalide",IF(J2218="","Prix manquant",IF(OR(NOT(ISNUMBER(J2218)),N(J2218)&lt;0),"Prix invalide",IF(OR(AND(F2218&lt;&gt;"",NOT(ISNUMBER(F2218))),N(F2218)&lt;0,N(F2218)&gt;1),"Remise invalide",IF(K2218="","Taux de TVA manquant",IF(NOT(ISNUMBER(K2218)),"Taux de TVA invalide",IF(COUNTIF(p_rates,K2218)=0,"Taux de TVA hors liste (Paramètres)",IF(N(O2218)&gt;25,"Au-delà de 25 lignes : non imprimée","OK")))))))))))))</f>
        <v/>
      </c>
      <c r="O2218" s="59" t="str">
        <f>IF(A2218="","",COUNTIF($A$6:A2218,A2218))</f>
        <v/>
      </c>
      <c r="P2218" s="62" t="str">
        <f>IF(A2218="","",A2218&amp;"|"&amp;O2218)</f>
        <v/>
      </c>
    </row>
    <row r="2219">
      <c r="A2219" s="60" t="n"/>
      <c r="B2219" s="63" t="n"/>
      <c r="C2219" s="63" t="n"/>
      <c r="D2219" s="67" t="n"/>
      <c r="E2219" s="68" t="n"/>
      <c r="F2219" s="69" t="n"/>
      <c r="G2219" s="70" t="n"/>
      <c r="H2219" s="62" t="str">
        <f>IF(COUNTA(A2219:G2219)=0,"",IF(C2219&lt;&gt;"",C2219,IF(B2219="","",IFERROR(INDEX(pr_des,MATCH(B2219,pr_code,0))&amp;"",""))))</f>
        <v/>
      </c>
      <c r="I2219" s="59" t="str">
        <f>IF(B2219="","",IFERROR(INDEX(pr_unit,MATCH(B2219,pr_code,0))&amp;"",""))</f>
        <v/>
      </c>
      <c r="J2219" s="65" t="str">
        <f>IF(COUNTA(A2219:G2219)=0,"",IF(E2219&lt;&gt;"",E2219,IF(B2219="","",IFERROR(IF(INDEX(pr_price,MATCH(B2219,pr_code,0))="","",INDEX(pr_price,MATCH(B2219,pr_code,0))),""))))</f>
        <v/>
      </c>
      <c r="K2219" s="71" t="str">
        <f>IF(COUNTA(A2219:G2219)=0,"",IF(G2219&lt;&gt;"",G2219,IF(B2219="","",IFERROR(IF(INDEX(pr_rate,MATCH(B2219,pr_code,0))="","",INDEX(pr_rate,MATCH(B2219,pr_code,0))),""))))</f>
        <v/>
      </c>
      <c r="L2219" s="65" t="str">
        <f>IF(COUNTA(A2219:G2219)=0,"",IF(AND(ISNUMBER(D2219),ISNUMBER(J2219)),ROUND(D2219*J2219*(1-N(F2219)),2),0))</f>
        <v/>
      </c>
      <c r="M2219" s="62" t="str">
        <f>IF(A2219="","",IFERROR(INDEX(dv_cname,MATCH(A2219,dv_num,0))&amp;"",""))</f>
        <v/>
      </c>
      <c r="N2219" s="59" t="str">
        <f>IF(COUNTA(A2219:G2219)=0,"",IF(A2219="","N° devis manquant",IF(ISNA(MATCH(A2219,dv_num,0)),"Devis inconnu",IF(AND(B2219&lt;&gt;"",ISNA(MATCH(B2219,pr_code,0))),"Article inconnu",IF(H2219="","Désignation manquante",IF(OR(NOT(ISNUMBER(D2219)),N(D2219)&lt;=0),"Quantité invalide",IF(J2219="","Prix manquant",IF(OR(NOT(ISNUMBER(J2219)),N(J2219)&lt;0),"Prix invalide",IF(OR(AND(F2219&lt;&gt;"",NOT(ISNUMBER(F2219))),N(F2219)&lt;0,N(F2219)&gt;1),"Remise invalide",IF(K2219="","Taux de TVA manquant",IF(NOT(ISNUMBER(K2219)),"Taux de TVA invalide",IF(COUNTIF(p_rates,K2219)=0,"Taux de TVA hors liste (Paramètres)",IF(N(O2219)&gt;25,"Au-delà de 25 lignes : non imprimée","OK")))))))))))))</f>
        <v/>
      </c>
      <c r="O2219" s="59" t="str">
        <f>IF(A2219="","",COUNTIF($A$6:A2219,A2219))</f>
        <v/>
      </c>
      <c r="P2219" s="62" t="str">
        <f>IF(A2219="","",A2219&amp;"|"&amp;O2219)</f>
        <v/>
      </c>
    </row>
    <row r="2220">
      <c r="A2220" s="60" t="n"/>
      <c r="B2220" s="63" t="n"/>
      <c r="C2220" s="63" t="n"/>
      <c r="D2220" s="67" t="n"/>
      <c r="E2220" s="68" t="n"/>
      <c r="F2220" s="69" t="n"/>
      <c r="G2220" s="70" t="n"/>
      <c r="H2220" s="62" t="str">
        <f>IF(COUNTA(A2220:G2220)=0,"",IF(C2220&lt;&gt;"",C2220,IF(B2220="","",IFERROR(INDEX(pr_des,MATCH(B2220,pr_code,0))&amp;"",""))))</f>
        <v/>
      </c>
      <c r="I2220" s="59" t="str">
        <f>IF(B2220="","",IFERROR(INDEX(pr_unit,MATCH(B2220,pr_code,0))&amp;"",""))</f>
        <v/>
      </c>
      <c r="J2220" s="65" t="str">
        <f>IF(COUNTA(A2220:G2220)=0,"",IF(E2220&lt;&gt;"",E2220,IF(B2220="","",IFERROR(IF(INDEX(pr_price,MATCH(B2220,pr_code,0))="","",INDEX(pr_price,MATCH(B2220,pr_code,0))),""))))</f>
        <v/>
      </c>
      <c r="K2220" s="71" t="str">
        <f>IF(COUNTA(A2220:G2220)=0,"",IF(G2220&lt;&gt;"",G2220,IF(B2220="","",IFERROR(IF(INDEX(pr_rate,MATCH(B2220,pr_code,0))="","",INDEX(pr_rate,MATCH(B2220,pr_code,0))),""))))</f>
        <v/>
      </c>
      <c r="L2220" s="65" t="str">
        <f>IF(COUNTA(A2220:G2220)=0,"",IF(AND(ISNUMBER(D2220),ISNUMBER(J2220)),ROUND(D2220*J2220*(1-N(F2220)),2),0))</f>
        <v/>
      </c>
      <c r="M2220" s="62" t="str">
        <f>IF(A2220="","",IFERROR(INDEX(dv_cname,MATCH(A2220,dv_num,0))&amp;"",""))</f>
        <v/>
      </c>
      <c r="N2220" s="59" t="str">
        <f>IF(COUNTA(A2220:G2220)=0,"",IF(A2220="","N° devis manquant",IF(ISNA(MATCH(A2220,dv_num,0)),"Devis inconnu",IF(AND(B2220&lt;&gt;"",ISNA(MATCH(B2220,pr_code,0))),"Article inconnu",IF(H2220="","Désignation manquante",IF(OR(NOT(ISNUMBER(D2220)),N(D2220)&lt;=0),"Quantité invalide",IF(J2220="","Prix manquant",IF(OR(NOT(ISNUMBER(J2220)),N(J2220)&lt;0),"Prix invalide",IF(OR(AND(F2220&lt;&gt;"",NOT(ISNUMBER(F2220))),N(F2220)&lt;0,N(F2220)&gt;1),"Remise invalide",IF(K2220="","Taux de TVA manquant",IF(NOT(ISNUMBER(K2220)),"Taux de TVA invalide",IF(COUNTIF(p_rates,K2220)=0,"Taux de TVA hors liste (Paramètres)",IF(N(O2220)&gt;25,"Au-delà de 25 lignes : non imprimée","OK")))))))))))))</f>
        <v/>
      </c>
      <c r="O2220" s="59" t="str">
        <f>IF(A2220="","",COUNTIF($A$6:A2220,A2220))</f>
        <v/>
      </c>
      <c r="P2220" s="62" t="str">
        <f>IF(A2220="","",A2220&amp;"|"&amp;O2220)</f>
        <v/>
      </c>
    </row>
    <row r="2221">
      <c r="A2221" s="60" t="n"/>
      <c r="B2221" s="63" t="n"/>
      <c r="C2221" s="63" t="n"/>
      <c r="D2221" s="67" t="n"/>
      <c r="E2221" s="68" t="n"/>
      <c r="F2221" s="69" t="n"/>
      <c r="G2221" s="70" t="n"/>
      <c r="H2221" s="62" t="str">
        <f>IF(COUNTA(A2221:G2221)=0,"",IF(C2221&lt;&gt;"",C2221,IF(B2221="","",IFERROR(INDEX(pr_des,MATCH(B2221,pr_code,0))&amp;"",""))))</f>
        <v/>
      </c>
      <c r="I2221" s="59" t="str">
        <f>IF(B2221="","",IFERROR(INDEX(pr_unit,MATCH(B2221,pr_code,0))&amp;"",""))</f>
        <v/>
      </c>
      <c r="J2221" s="65" t="str">
        <f>IF(COUNTA(A2221:G2221)=0,"",IF(E2221&lt;&gt;"",E2221,IF(B2221="","",IFERROR(IF(INDEX(pr_price,MATCH(B2221,pr_code,0))="","",INDEX(pr_price,MATCH(B2221,pr_code,0))),""))))</f>
        <v/>
      </c>
      <c r="K2221" s="71" t="str">
        <f>IF(COUNTA(A2221:G2221)=0,"",IF(G2221&lt;&gt;"",G2221,IF(B2221="","",IFERROR(IF(INDEX(pr_rate,MATCH(B2221,pr_code,0))="","",INDEX(pr_rate,MATCH(B2221,pr_code,0))),""))))</f>
        <v/>
      </c>
      <c r="L2221" s="65" t="str">
        <f>IF(COUNTA(A2221:G2221)=0,"",IF(AND(ISNUMBER(D2221),ISNUMBER(J2221)),ROUND(D2221*J2221*(1-N(F2221)),2),0))</f>
        <v/>
      </c>
      <c r="M2221" s="62" t="str">
        <f>IF(A2221="","",IFERROR(INDEX(dv_cname,MATCH(A2221,dv_num,0))&amp;"",""))</f>
        <v/>
      </c>
      <c r="N2221" s="59" t="str">
        <f>IF(COUNTA(A2221:G2221)=0,"",IF(A2221="","N° devis manquant",IF(ISNA(MATCH(A2221,dv_num,0)),"Devis inconnu",IF(AND(B2221&lt;&gt;"",ISNA(MATCH(B2221,pr_code,0))),"Article inconnu",IF(H2221="","Désignation manquante",IF(OR(NOT(ISNUMBER(D2221)),N(D2221)&lt;=0),"Quantité invalide",IF(J2221="","Prix manquant",IF(OR(NOT(ISNUMBER(J2221)),N(J2221)&lt;0),"Prix invalide",IF(OR(AND(F2221&lt;&gt;"",NOT(ISNUMBER(F2221))),N(F2221)&lt;0,N(F2221)&gt;1),"Remise invalide",IF(K2221="","Taux de TVA manquant",IF(NOT(ISNUMBER(K2221)),"Taux de TVA invalide",IF(COUNTIF(p_rates,K2221)=0,"Taux de TVA hors liste (Paramètres)",IF(N(O2221)&gt;25,"Au-delà de 25 lignes : non imprimée","OK")))))))))))))</f>
        <v/>
      </c>
      <c r="O2221" s="59" t="str">
        <f>IF(A2221="","",COUNTIF($A$6:A2221,A2221))</f>
        <v/>
      </c>
      <c r="P2221" s="62" t="str">
        <f>IF(A2221="","",A2221&amp;"|"&amp;O2221)</f>
        <v/>
      </c>
    </row>
    <row r="2222">
      <c r="A2222" s="60" t="n"/>
      <c r="B2222" s="63" t="n"/>
      <c r="C2222" s="63" t="n"/>
      <c r="D2222" s="67" t="n"/>
      <c r="E2222" s="68" t="n"/>
      <c r="F2222" s="69" t="n"/>
      <c r="G2222" s="70" t="n"/>
      <c r="H2222" s="62" t="str">
        <f>IF(COUNTA(A2222:G2222)=0,"",IF(C2222&lt;&gt;"",C2222,IF(B2222="","",IFERROR(INDEX(pr_des,MATCH(B2222,pr_code,0))&amp;"",""))))</f>
        <v/>
      </c>
      <c r="I2222" s="59" t="str">
        <f>IF(B2222="","",IFERROR(INDEX(pr_unit,MATCH(B2222,pr_code,0))&amp;"",""))</f>
        <v/>
      </c>
      <c r="J2222" s="65" t="str">
        <f>IF(COUNTA(A2222:G2222)=0,"",IF(E2222&lt;&gt;"",E2222,IF(B2222="","",IFERROR(IF(INDEX(pr_price,MATCH(B2222,pr_code,0))="","",INDEX(pr_price,MATCH(B2222,pr_code,0))),""))))</f>
        <v/>
      </c>
      <c r="K2222" s="71" t="str">
        <f>IF(COUNTA(A2222:G2222)=0,"",IF(G2222&lt;&gt;"",G2222,IF(B2222="","",IFERROR(IF(INDEX(pr_rate,MATCH(B2222,pr_code,0))="","",INDEX(pr_rate,MATCH(B2222,pr_code,0))),""))))</f>
        <v/>
      </c>
      <c r="L2222" s="65" t="str">
        <f>IF(COUNTA(A2222:G2222)=0,"",IF(AND(ISNUMBER(D2222),ISNUMBER(J2222)),ROUND(D2222*J2222*(1-N(F2222)),2),0))</f>
        <v/>
      </c>
      <c r="M2222" s="62" t="str">
        <f>IF(A2222="","",IFERROR(INDEX(dv_cname,MATCH(A2222,dv_num,0))&amp;"",""))</f>
        <v/>
      </c>
      <c r="N2222" s="59" t="str">
        <f>IF(COUNTA(A2222:G2222)=0,"",IF(A2222="","N° devis manquant",IF(ISNA(MATCH(A2222,dv_num,0)),"Devis inconnu",IF(AND(B2222&lt;&gt;"",ISNA(MATCH(B2222,pr_code,0))),"Article inconnu",IF(H2222="","Désignation manquante",IF(OR(NOT(ISNUMBER(D2222)),N(D2222)&lt;=0),"Quantité invalide",IF(J2222="","Prix manquant",IF(OR(NOT(ISNUMBER(J2222)),N(J2222)&lt;0),"Prix invalide",IF(OR(AND(F2222&lt;&gt;"",NOT(ISNUMBER(F2222))),N(F2222)&lt;0,N(F2222)&gt;1),"Remise invalide",IF(K2222="","Taux de TVA manquant",IF(NOT(ISNUMBER(K2222)),"Taux de TVA invalide",IF(COUNTIF(p_rates,K2222)=0,"Taux de TVA hors liste (Paramètres)",IF(N(O2222)&gt;25,"Au-delà de 25 lignes : non imprimée","OK")))))))))))))</f>
        <v/>
      </c>
      <c r="O2222" s="59" t="str">
        <f>IF(A2222="","",COUNTIF($A$6:A2222,A2222))</f>
        <v/>
      </c>
      <c r="P2222" s="62" t="str">
        <f>IF(A2222="","",A2222&amp;"|"&amp;O2222)</f>
        <v/>
      </c>
    </row>
    <row r="2223">
      <c r="A2223" s="60" t="n"/>
      <c r="B2223" s="63" t="n"/>
      <c r="C2223" s="63" t="n"/>
      <c r="D2223" s="67" t="n"/>
      <c r="E2223" s="68" t="n"/>
      <c r="F2223" s="69" t="n"/>
      <c r="G2223" s="70" t="n"/>
      <c r="H2223" s="62" t="str">
        <f>IF(COUNTA(A2223:G2223)=0,"",IF(C2223&lt;&gt;"",C2223,IF(B2223="","",IFERROR(INDEX(pr_des,MATCH(B2223,pr_code,0))&amp;"",""))))</f>
        <v/>
      </c>
      <c r="I2223" s="59" t="str">
        <f>IF(B2223="","",IFERROR(INDEX(pr_unit,MATCH(B2223,pr_code,0))&amp;"",""))</f>
        <v/>
      </c>
      <c r="J2223" s="65" t="str">
        <f>IF(COUNTA(A2223:G2223)=0,"",IF(E2223&lt;&gt;"",E2223,IF(B2223="","",IFERROR(IF(INDEX(pr_price,MATCH(B2223,pr_code,0))="","",INDEX(pr_price,MATCH(B2223,pr_code,0))),""))))</f>
        <v/>
      </c>
      <c r="K2223" s="71" t="str">
        <f>IF(COUNTA(A2223:G2223)=0,"",IF(G2223&lt;&gt;"",G2223,IF(B2223="","",IFERROR(IF(INDEX(pr_rate,MATCH(B2223,pr_code,0))="","",INDEX(pr_rate,MATCH(B2223,pr_code,0))),""))))</f>
        <v/>
      </c>
      <c r="L2223" s="65" t="str">
        <f>IF(COUNTA(A2223:G2223)=0,"",IF(AND(ISNUMBER(D2223),ISNUMBER(J2223)),ROUND(D2223*J2223*(1-N(F2223)),2),0))</f>
        <v/>
      </c>
      <c r="M2223" s="62" t="str">
        <f>IF(A2223="","",IFERROR(INDEX(dv_cname,MATCH(A2223,dv_num,0))&amp;"",""))</f>
        <v/>
      </c>
      <c r="N2223" s="59" t="str">
        <f>IF(COUNTA(A2223:G2223)=0,"",IF(A2223="","N° devis manquant",IF(ISNA(MATCH(A2223,dv_num,0)),"Devis inconnu",IF(AND(B2223&lt;&gt;"",ISNA(MATCH(B2223,pr_code,0))),"Article inconnu",IF(H2223="","Désignation manquante",IF(OR(NOT(ISNUMBER(D2223)),N(D2223)&lt;=0),"Quantité invalide",IF(J2223="","Prix manquant",IF(OR(NOT(ISNUMBER(J2223)),N(J2223)&lt;0),"Prix invalide",IF(OR(AND(F2223&lt;&gt;"",NOT(ISNUMBER(F2223))),N(F2223)&lt;0,N(F2223)&gt;1),"Remise invalide",IF(K2223="","Taux de TVA manquant",IF(NOT(ISNUMBER(K2223)),"Taux de TVA invalide",IF(COUNTIF(p_rates,K2223)=0,"Taux de TVA hors liste (Paramètres)",IF(N(O2223)&gt;25,"Au-delà de 25 lignes : non imprimée","OK")))))))))))))</f>
        <v/>
      </c>
      <c r="O2223" s="59" t="str">
        <f>IF(A2223="","",COUNTIF($A$6:A2223,A2223))</f>
        <v/>
      </c>
      <c r="P2223" s="62" t="str">
        <f>IF(A2223="","",A2223&amp;"|"&amp;O2223)</f>
        <v/>
      </c>
    </row>
    <row r="2224">
      <c r="A2224" s="60" t="n"/>
      <c r="B2224" s="63" t="n"/>
      <c r="C2224" s="63" t="n"/>
      <c r="D2224" s="67" t="n"/>
      <c r="E2224" s="68" t="n"/>
      <c r="F2224" s="69" t="n"/>
      <c r="G2224" s="70" t="n"/>
      <c r="H2224" s="62" t="str">
        <f>IF(COUNTA(A2224:G2224)=0,"",IF(C2224&lt;&gt;"",C2224,IF(B2224="","",IFERROR(INDEX(pr_des,MATCH(B2224,pr_code,0))&amp;"",""))))</f>
        <v/>
      </c>
      <c r="I2224" s="59" t="str">
        <f>IF(B2224="","",IFERROR(INDEX(pr_unit,MATCH(B2224,pr_code,0))&amp;"",""))</f>
        <v/>
      </c>
      <c r="J2224" s="65" t="str">
        <f>IF(COUNTA(A2224:G2224)=0,"",IF(E2224&lt;&gt;"",E2224,IF(B2224="","",IFERROR(IF(INDEX(pr_price,MATCH(B2224,pr_code,0))="","",INDEX(pr_price,MATCH(B2224,pr_code,0))),""))))</f>
        <v/>
      </c>
      <c r="K2224" s="71" t="str">
        <f>IF(COUNTA(A2224:G2224)=0,"",IF(G2224&lt;&gt;"",G2224,IF(B2224="","",IFERROR(IF(INDEX(pr_rate,MATCH(B2224,pr_code,0))="","",INDEX(pr_rate,MATCH(B2224,pr_code,0))),""))))</f>
        <v/>
      </c>
      <c r="L2224" s="65" t="str">
        <f>IF(COUNTA(A2224:G2224)=0,"",IF(AND(ISNUMBER(D2224),ISNUMBER(J2224)),ROUND(D2224*J2224*(1-N(F2224)),2),0))</f>
        <v/>
      </c>
      <c r="M2224" s="62" t="str">
        <f>IF(A2224="","",IFERROR(INDEX(dv_cname,MATCH(A2224,dv_num,0))&amp;"",""))</f>
        <v/>
      </c>
      <c r="N2224" s="59" t="str">
        <f>IF(COUNTA(A2224:G2224)=0,"",IF(A2224="","N° devis manquant",IF(ISNA(MATCH(A2224,dv_num,0)),"Devis inconnu",IF(AND(B2224&lt;&gt;"",ISNA(MATCH(B2224,pr_code,0))),"Article inconnu",IF(H2224="","Désignation manquante",IF(OR(NOT(ISNUMBER(D2224)),N(D2224)&lt;=0),"Quantité invalide",IF(J2224="","Prix manquant",IF(OR(NOT(ISNUMBER(J2224)),N(J2224)&lt;0),"Prix invalide",IF(OR(AND(F2224&lt;&gt;"",NOT(ISNUMBER(F2224))),N(F2224)&lt;0,N(F2224)&gt;1),"Remise invalide",IF(K2224="","Taux de TVA manquant",IF(NOT(ISNUMBER(K2224)),"Taux de TVA invalide",IF(COUNTIF(p_rates,K2224)=0,"Taux de TVA hors liste (Paramètres)",IF(N(O2224)&gt;25,"Au-delà de 25 lignes : non imprimée","OK")))))))))))))</f>
        <v/>
      </c>
      <c r="O2224" s="59" t="str">
        <f>IF(A2224="","",COUNTIF($A$6:A2224,A2224))</f>
        <v/>
      </c>
      <c r="P2224" s="62" t="str">
        <f>IF(A2224="","",A2224&amp;"|"&amp;O2224)</f>
        <v/>
      </c>
    </row>
    <row r="2225">
      <c r="A2225" s="60" t="n"/>
      <c r="B2225" s="63" t="n"/>
      <c r="C2225" s="63" t="n"/>
      <c r="D2225" s="67" t="n"/>
      <c r="E2225" s="68" t="n"/>
      <c r="F2225" s="69" t="n"/>
      <c r="G2225" s="70" t="n"/>
      <c r="H2225" s="62" t="str">
        <f>IF(COUNTA(A2225:G2225)=0,"",IF(C2225&lt;&gt;"",C2225,IF(B2225="","",IFERROR(INDEX(pr_des,MATCH(B2225,pr_code,0))&amp;"",""))))</f>
        <v/>
      </c>
      <c r="I2225" s="59" t="str">
        <f>IF(B2225="","",IFERROR(INDEX(pr_unit,MATCH(B2225,pr_code,0))&amp;"",""))</f>
        <v/>
      </c>
      <c r="J2225" s="65" t="str">
        <f>IF(COUNTA(A2225:G2225)=0,"",IF(E2225&lt;&gt;"",E2225,IF(B2225="","",IFERROR(IF(INDEX(pr_price,MATCH(B2225,pr_code,0))="","",INDEX(pr_price,MATCH(B2225,pr_code,0))),""))))</f>
        <v/>
      </c>
      <c r="K2225" s="71" t="str">
        <f>IF(COUNTA(A2225:G2225)=0,"",IF(G2225&lt;&gt;"",G2225,IF(B2225="","",IFERROR(IF(INDEX(pr_rate,MATCH(B2225,pr_code,0))="","",INDEX(pr_rate,MATCH(B2225,pr_code,0))),""))))</f>
        <v/>
      </c>
      <c r="L2225" s="65" t="str">
        <f>IF(COUNTA(A2225:G2225)=0,"",IF(AND(ISNUMBER(D2225),ISNUMBER(J2225)),ROUND(D2225*J2225*(1-N(F2225)),2),0))</f>
        <v/>
      </c>
      <c r="M2225" s="62" t="str">
        <f>IF(A2225="","",IFERROR(INDEX(dv_cname,MATCH(A2225,dv_num,0))&amp;"",""))</f>
        <v/>
      </c>
      <c r="N2225" s="59" t="str">
        <f>IF(COUNTA(A2225:G2225)=0,"",IF(A2225="","N° devis manquant",IF(ISNA(MATCH(A2225,dv_num,0)),"Devis inconnu",IF(AND(B2225&lt;&gt;"",ISNA(MATCH(B2225,pr_code,0))),"Article inconnu",IF(H2225="","Désignation manquante",IF(OR(NOT(ISNUMBER(D2225)),N(D2225)&lt;=0),"Quantité invalide",IF(J2225="","Prix manquant",IF(OR(NOT(ISNUMBER(J2225)),N(J2225)&lt;0),"Prix invalide",IF(OR(AND(F2225&lt;&gt;"",NOT(ISNUMBER(F2225))),N(F2225)&lt;0,N(F2225)&gt;1),"Remise invalide",IF(K2225="","Taux de TVA manquant",IF(NOT(ISNUMBER(K2225)),"Taux de TVA invalide",IF(COUNTIF(p_rates,K2225)=0,"Taux de TVA hors liste (Paramètres)",IF(N(O2225)&gt;25,"Au-delà de 25 lignes : non imprimée","OK")))))))))))))</f>
        <v/>
      </c>
      <c r="O2225" s="59" t="str">
        <f>IF(A2225="","",COUNTIF($A$6:A2225,A2225))</f>
        <v/>
      </c>
      <c r="P2225" s="62" t="str">
        <f>IF(A2225="","",A2225&amp;"|"&amp;O2225)</f>
        <v/>
      </c>
    </row>
    <row r="2226">
      <c r="A2226" s="60" t="n"/>
      <c r="B2226" s="63" t="n"/>
      <c r="C2226" s="63" t="n"/>
      <c r="D2226" s="67" t="n"/>
      <c r="E2226" s="68" t="n"/>
      <c r="F2226" s="69" t="n"/>
      <c r="G2226" s="70" t="n"/>
      <c r="H2226" s="62" t="str">
        <f>IF(COUNTA(A2226:G2226)=0,"",IF(C2226&lt;&gt;"",C2226,IF(B2226="","",IFERROR(INDEX(pr_des,MATCH(B2226,pr_code,0))&amp;"",""))))</f>
        <v/>
      </c>
      <c r="I2226" s="59" t="str">
        <f>IF(B2226="","",IFERROR(INDEX(pr_unit,MATCH(B2226,pr_code,0))&amp;"",""))</f>
        <v/>
      </c>
      <c r="J2226" s="65" t="str">
        <f>IF(COUNTA(A2226:G2226)=0,"",IF(E2226&lt;&gt;"",E2226,IF(B2226="","",IFERROR(IF(INDEX(pr_price,MATCH(B2226,pr_code,0))="","",INDEX(pr_price,MATCH(B2226,pr_code,0))),""))))</f>
        <v/>
      </c>
      <c r="K2226" s="71" t="str">
        <f>IF(COUNTA(A2226:G2226)=0,"",IF(G2226&lt;&gt;"",G2226,IF(B2226="","",IFERROR(IF(INDEX(pr_rate,MATCH(B2226,pr_code,0))="","",INDEX(pr_rate,MATCH(B2226,pr_code,0))),""))))</f>
        <v/>
      </c>
      <c r="L2226" s="65" t="str">
        <f>IF(COUNTA(A2226:G2226)=0,"",IF(AND(ISNUMBER(D2226),ISNUMBER(J2226)),ROUND(D2226*J2226*(1-N(F2226)),2),0))</f>
        <v/>
      </c>
      <c r="M2226" s="62" t="str">
        <f>IF(A2226="","",IFERROR(INDEX(dv_cname,MATCH(A2226,dv_num,0))&amp;"",""))</f>
        <v/>
      </c>
      <c r="N2226" s="59" t="str">
        <f>IF(COUNTA(A2226:G2226)=0,"",IF(A2226="","N° devis manquant",IF(ISNA(MATCH(A2226,dv_num,0)),"Devis inconnu",IF(AND(B2226&lt;&gt;"",ISNA(MATCH(B2226,pr_code,0))),"Article inconnu",IF(H2226="","Désignation manquante",IF(OR(NOT(ISNUMBER(D2226)),N(D2226)&lt;=0),"Quantité invalide",IF(J2226="","Prix manquant",IF(OR(NOT(ISNUMBER(J2226)),N(J2226)&lt;0),"Prix invalide",IF(OR(AND(F2226&lt;&gt;"",NOT(ISNUMBER(F2226))),N(F2226)&lt;0,N(F2226)&gt;1),"Remise invalide",IF(K2226="","Taux de TVA manquant",IF(NOT(ISNUMBER(K2226)),"Taux de TVA invalide",IF(COUNTIF(p_rates,K2226)=0,"Taux de TVA hors liste (Paramètres)",IF(N(O2226)&gt;25,"Au-delà de 25 lignes : non imprimée","OK")))))))))))))</f>
        <v/>
      </c>
      <c r="O2226" s="59" t="str">
        <f>IF(A2226="","",COUNTIF($A$6:A2226,A2226))</f>
        <v/>
      </c>
      <c r="P2226" s="62" t="str">
        <f>IF(A2226="","",A2226&amp;"|"&amp;O2226)</f>
        <v/>
      </c>
    </row>
    <row r="2227">
      <c r="A2227" s="60" t="n"/>
      <c r="B2227" s="63" t="n"/>
      <c r="C2227" s="63" t="n"/>
      <c r="D2227" s="67" t="n"/>
      <c r="E2227" s="68" t="n"/>
      <c r="F2227" s="69" t="n"/>
      <c r="G2227" s="70" t="n"/>
      <c r="H2227" s="62" t="str">
        <f>IF(COUNTA(A2227:G2227)=0,"",IF(C2227&lt;&gt;"",C2227,IF(B2227="","",IFERROR(INDEX(pr_des,MATCH(B2227,pr_code,0))&amp;"",""))))</f>
        <v/>
      </c>
      <c r="I2227" s="59" t="str">
        <f>IF(B2227="","",IFERROR(INDEX(pr_unit,MATCH(B2227,pr_code,0))&amp;"",""))</f>
        <v/>
      </c>
      <c r="J2227" s="65" t="str">
        <f>IF(COUNTA(A2227:G2227)=0,"",IF(E2227&lt;&gt;"",E2227,IF(B2227="","",IFERROR(IF(INDEX(pr_price,MATCH(B2227,pr_code,0))="","",INDEX(pr_price,MATCH(B2227,pr_code,0))),""))))</f>
        <v/>
      </c>
      <c r="K2227" s="71" t="str">
        <f>IF(COUNTA(A2227:G2227)=0,"",IF(G2227&lt;&gt;"",G2227,IF(B2227="","",IFERROR(IF(INDEX(pr_rate,MATCH(B2227,pr_code,0))="","",INDEX(pr_rate,MATCH(B2227,pr_code,0))),""))))</f>
        <v/>
      </c>
      <c r="L2227" s="65" t="str">
        <f>IF(COUNTA(A2227:G2227)=0,"",IF(AND(ISNUMBER(D2227),ISNUMBER(J2227)),ROUND(D2227*J2227*(1-N(F2227)),2),0))</f>
        <v/>
      </c>
      <c r="M2227" s="62" t="str">
        <f>IF(A2227="","",IFERROR(INDEX(dv_cname,MATCH(A2227,dv_num,0))&amp;"",""))</f>
        <v/>
      </c>
      <c r="N2227" s="59" t="str">
        <f>IF(COUNTA(A2227:G2227)=0,"",IF(A2227="","N° devis manquant",IF(ISNA(MATCH(A2227,dv_num,0)),"Devis inconnu",IF(AND(B2227&lt;&gt;"",ISNA(MATCH(B2227,pr_code,0))),"Article inconnu",IF(H2227="","Désignation manquante",IF(OR(NOT(ISNUMBER(D2227)),N(D2227)&lt;=0),"Quantité invalide",IF(J2227="","Prix manquant",IF(OR(NOT(ISNUMBER(J2227)),N(J2227)&lt;0),"Prix invalide",IF(OR(AND(F2227&lt;&gt;"",NOT(ISNUMBER(F2227))),N(F2227)&lt;0,N(F2227)&gt;1),"Remise invalide",IF(K2227="","Taux de TVA manquant",IF(NOT(ISNUMBER(K2227)),"Taux de TVA invalide",IF(COUNTIF(p_rates,K2227)=0,"Taux de TVA hors liste (Paramètres)",IF(N(O2227)&gt;25,"Au-delà de 25 lignes : non imprimée","OK")))))))))))))</f>
        <v/>
      </c>
      <c r="O2227" s="59" t="str">
        <f>IF(A2227="","",COUNTIF($A$6:A2227,A2227))</f>
        <v/>
      </c>
      <c r="P2227" s="62" t="str">
        <f>IF(A2227="","",A2227&amp;"|"&amp;O2227)</f>
        <v/>
      </c>
    </row>
    <row r="2228">
      <c r="A2228" s="60" t="n"/>
      <c r="B2228" s="63" t="n"/>
      <c r="C2228" s="63" t="n"/>
      <c r="D2228" s="67" t="n"/>
      <c r="E2228" s="68" t="n"/>
      <c r="F2228" s="69" t="n"/>
      <c r="G2228" s="70" t="n"/>
      <c r="H2228" s="62" t="str">
        <f>IF(COUNTA(A2228:G2228)=0,"",IF(C2228&lt;&gt;"",C2228,IF(B2228="","",IFERROR(INDEX(pr_des,MATCH(B2228,pr_code,0))&amp;"",""))))</f>
        <v/>
      </c>
      <c r="I2228" s="59" t="str">
        <f>IF(B2228="","",IFERROR(INDEX(pr_unit,MATCH(B2228,pr_code,0))&amp;"",""))</f>
        <v/>
      </c>
      <c r="J2228" s="65" t="str">
        <f>IF(COUNTA(A2228:G2228)=0,"",IF(E2228&lt;&gt;"",E2228,IF(B2228="","",IFERROR(IF(INDEX(pr_price,MATCH(B2228,pr_code,0))="","",INDEX(pr_price,MATCH(B2228,pr_code,0))),""))))</f>
        <v/>
      </c>
      <c r="K2228" s="71" t="str">
        <f>IF(COUNTA(A2228:G2228)=0,"",IF(G2228&lt;&gt;"",G2228,IF(B2228="","",IFERROR(IF(INDEX(pr_rate,MATCH(B2228,pr_code,0))="","",INDEX(pr_rate,MATCH(B2228,pr_code,0))),""))))</f>
        <v/>
      </c>
      <c r="L2228" s="65" t="str">
        <f>IF(COUNTA(A2228:G2228)=0,"",IF(AND(ISNUMBER(D2228),ISNUMBER(J2228)),ROUND(D2228*J2228*(1-N(F2228)),2),0))</f>
        <v/>
      </c>
      <c r="M2228" s="62" t="str">
        <f>IF(A2228="","",IFERROR(INDEX(dv_cname,MATCH(A2228,dv_num,0))&amp;"",""))</f>
        <v/>
      </c>
      <c r="N2228" s="59" t="str">
        <f>IF(COUNTA(A2228:G2228)=0,"",IF(A2228="","N° devis manquant",IF(ISNA(MATCH(A2228,dv_num,0)),"Devis inconnu",IF(AND(B2228&lt;&gt;"",ISNA(MATCH(B2228,pr_code,0))),"Article inconnu",IF(H2228="","Désignation manquante",IF(OR(NOT(ISNUMBER(D2228)),N(D2228)&lt;=0),"Quantité invalide",IF(J2228="","Prix manquant",IF(OR(NOT(ISNUMBER(J2228)),N(J2228)&lt;0),"Prix invalide",IF(OR(AND(F2228&lt;&gt;"",NOT(ISNUMBER(F2228))),N(F2228)&lt;0,N(F2228)&gt;1),"Remise invalide",IF(K2228="","Taux de TVA manquant",IF(NOT(ISNUMBER(K2228)),"Taux de TVA invalide",IF(COUNTIF(p_rates,K2228)=0,"Taux de TVA hors liste (Paramètres)",IF(N(O2228)&gt;25,"Au-delà de 25 lignes : non imprimée","OK")))))))))))))</f>
        <v/>
      </c>
      <c r="O2228" s="59" t="str">
        <f>IF(A2228="","",COUNTIF($A$6:A2228,A2228))</f>
        <v/>
      </c>
      <c r="P2228" s="62" t="str">
        <f>IF(A2228="","",A2228&amp;"|"&amp;O2228)</f>
        <v/>
      </c>
    </row>
    <row r="2229">
      <c r="A2229" s="60" t="n"/>
      <c r="B2229" s="63" t="n"/>
      <c r="C2229" s="63" t="n"/>
      <c r="D2229" s="67" t="n"/>
      <c r="E2229" s="68" t="n"/>
      <c r="F2229" s="69" t="n"/>
      <c r="G2229" s="70" t="n"/>
      <c r="H2229" s="62" t="str">
        <f>IF(COUNTA(A2229:G2229)=0,"",IF(C2229&lt;&gt;"",C2229,IF(B2229="","",IFERROR(INDEX(pr_des,MATCH(B2229,pr_code,0))&amp;"",""))))</f>
        <v/>
      </c>
      <c r="I2229" s="59" t="str">
        <f>IF(B2229="","",IFERROR(INDEX(pr_unit,MATCH(B2229,pr_code,0))&amp;"",""))</f>
        <v/>
      </c>
      <c r="J2229" s="65" t="str">
        <f>IF(COUNTA(A2229:G2229)=0,"",IF(E2229&lt;&gt;"",E2229,IF(B2229="","",IFERROR(IF(INDEX(pr_price,MATCH(B2229,pr_code,0))="","",INDEX(pr_price,MATCH(B2229,pr_code,0))),""))))</f>
        <v/>
      </c>
      <c r="K2229" s="71" t="str">
        <f>IF(COUNTA(A2229:G2229)=0,"",IF(G2229&lt;&gt;"",G2229,IF(B2229="","",IFERROR(IF(INDEX(pr_rate,MATCH(B2229,pr_code,0))="","",INDEX(pr_rate,MATCH(B2229,pr_code,0))),""))))</f>
        <v/>
      </c>
      <c r="L2229" s="65" t="str">
        <f>IF(COUNTA(A2229:G2229)=0,"",IF(AND(ISNUMBER(D2229),ISNUMBER(J2229)),ROUND(D2229*J2229*(1-N(F2229)),2),0))</f>
        <v/>
      </c>
      <c r="M2229" s="62" t="str">
        <f>IF(A2229="","",IFERROR(INDEX(dv_cname,MATCH(A2229,dv_num,0))&amp;"",""))</f>
        <v/>
      </c>
      <c r="N2229" s="59" t="str">
        <f>IF(COUNTA(A2229:G2229)=0,"",IF(A2229="","N° devis manquant",IF(ISNA(MATCH(A2229,dv_num,0)),"Devis inconnu",IF(AND(B2229&lt;&gt;"",ISNA(MATCH(B2229,pr_code,0))),"Article inconnu",IF(H2229="","Désignation manquante",IF(OR(NOT(ISNUMBER(D2229)),N(D2229)&lt;=0),"Quantité invalide",IF(J2229="","Prix manquant",IF(OR(NOT(ISNUMBER(J2229)),N(J2229)&lt;0),"Prix invalide",IF(OR(AND(F2229&lt;&gt;"",NOT(ISNUMBER(F2229))),N(F2229)&lt;0,N(F2229)&gt;1),"Remise invalide",IF(K2229="","Taux de TVA manquant",IF(NOT(ISNUMBER(K2229)),"Taux de TVA invalide",IF(COUNTIF(p_rates,K2229)=0,"Taux de TVA hors liste (Paramètres)",IF(N(O2229)&gt;25,"Au-delà de 25 lignes : non imprimée","OK")))))))))))))</f>
        <v/>
      </c>
      <c r="O2229" s="59" t="str">
        <f>IF(A2229="","",COUNTIF($A$6:A2229,A2229))</f>
        <v/>
      </c>
      <c r="P2229" s="62" t="str">
        <f>IF(A2229="","",A2229&amp;"|"&amp;O2229)</f>
        <v/>
      </c>
    </row>
    <row r="2230">
      <c r="A2230" s="60" t="n"/>
      <c r="B2230" s="63" t="n"/>
      <c r="C2230" s="63" t="n"/>
      <c r="D2230" s="67" t="n"/>
      <c r="E2230" s="68" t="n"/>
      <c r="F2230" s="69" t="n"/>
      <c r="G2230" s="70" t="n"/>
      <c r="H2230" s="62" t="str">
        <f>IF(COUNTA(A2230:G2230)=0,"",IF(C2230&lt;&gt;"",C2230,IF(B2230="","",IFERROR(INDEX(pr_des,MATCH(B2230,pr_code,0))&amp;"",""))))</f>
        <v/>
      </c>
      <c r="I2230" s="59" t="str">
        <f>IF(B2230="","",IFERROR(INDEX(pr_unit,MATCH(B2230,pr_code,0))&amp;"",""))</f>
        <v/>
      </c>
      <c r="J2230" s="65" t="str">
        <f>IF(COUNTA(A2230:G2230)=0,"",IF(E2230&lt;&gt;"",E2230,IF(B2230="","",IFERROR(IF(INDEX(pr_price,MATCH(B2230,pr_code,0))="","",INDEX(pr_price,MATCH(B2230,pr_code,0))),""))))</f>
        <v/>
      </c>
      <c r="K2230" s="71" t="str">
        <f>IF(COUNTA(A2230:G2230)=0,"",IF(G2230&lt;&gt;"",G2230,IF(B2230="","",IFERROR(IF(INDEX(pr_rate,MATCH(B2230,pr_code,0))="","",INDEX(pr_rate,MATCH(B2230,pr_code,0))),""))))</f>
        <v/>
      </c>
      <c r="L2230" s="65" t="str">
        <f>IF(COUNTA(A2230:G2230)=0,"",IF(AND(ISNUMBER(D2230),ISNUMBER(J2230)),ROUND(D2230*J2230*(1-N(F2230)),2),0))</f>
        <v/>
      </c>
      <c r="M2230" s="62" t="str">
        <f>IF(A2230="","",IFERROR(INDEX(dv_cname,MATCH(A2230,dv_num,0))&amp;"",""))</f>
        <v/>
      </c>
      <c r="N2230" s="59" t="str">
        <f>IF(COUNTA(A2230:G2230)=0,"",IF(A2230="","N° devis manquant",IF(ISNA(MATCH(A2230,dv_num,0)),"Devis inconnu",IF(AND(B2230&lt;&gt;"",ISNA(MATCH(B2230,pr_code,0))),"Article inconnu",IF(H2230="","Désignation manquante",IF(OR(NOT(ISNUMBER(D2230)),N(D2230)&lt;=0),"Quantité invalide",IF(J2230="","Prix manquant",IF(OR(NOT(ISNUMBER(J2230)),N(J2230)&lt;0),"Prix invalide",IF(OR(AND(F2230&lt;&gt;"",NOT(ISNUMBER(F2230))),N(F2230)&lt;0,N(F2230)&gt;1),"Remise invalide",IF(K2230="","Taux de TVA manquant",IF(NOT(ISNUMBER(K2230)),"Taux de TVA invalide",IF(COUNTIF(p_rates,K2230)=0,"Taux de TVA hors liste (Paramètres)",IF(N(O2230)&gt;25,"Au-delà de 25 lignes : non imprimée","OK")))))))))))))</f>
        <v/>
      </c>
      <c r="O2230" s="59" t="str">
        <f>IF(A2230="","",COUNTIF($A$6:A2230,A2230))</f>
        <v/>
      </c>
      <c r="P2230" s="62" t="str">
        <f>IF(A2230="","",A2230&amp;"|"&amp;O2230)</f>
        <v/>
      </c>
    </row>
    <row r="2231">
      <c r="A2231" s="60" t="n"/>
      <c r="B2231" s="63" t="n"/>
      <c r="C2231" s="63" t="n"/>
      <c r="D2231" s="67" t="n"/>
      <c r="E2231" s="68" t="n"/>
      <c r="F2231" s="69" t="n"/>
      <c r="G2231" s="70" t="n"/>
      <c r="H2231" s="62" t="str">
        <f>IF(COUNTA(A2231:G2231)=0,"",IF(C2231&lt;&gt;"",C2231,IF(B2231="","",IFERROR(INDEX(pr_des,MATCH(B2231,pr_code,0))&amp;"",""))))</f>
        <v/>
      </c>
      <c r="I2231" s="59" t="str">
        <f>IF(B2231="","",IFERROR(INDEX(pr_unit,MATCH(B2231,pr_code,0))&amp;"",""))</f>
        <v/>
      </c>
      <c r="J2231" s="65" t="str">
        <f>IF(COUNTA(A2231:G2231)=0,"",IF(E2231&lt;&gt;"",E2231,IF(B2231="","",IFERROR(IF(INDEX(pr_price,MATCH(B2231,pr_code,0))="","",INDEX(pr_price,MATCH(B2231,pr_code,0))),""))))</f>
        <v/>
      </c>
      <c r="K2231" s="71" t="str">
        <f>IF(COUNTA(A2231:G2231)=0,"",IF(G2231&lt;&gt;"",G2231,IF(B2231="","",IFERROR(IF(INDEX(pr_rate,MATCH(B2231,pr_code,0))="","",INDEX(pr_rate,MATCH(B2231,pr_code,0))),""))))</f>
        <v/>
      </c>
      <c r="L2231" s="65" t="str">
        <f>IF(COUNTA(A2231:G2231)=0,"",IF(AND(ISNUMBER(D2231),ISNUMBER(J2231)),ROUND(D2231*J2231*(1-N(F2231)),2),0))</f>
        <v/>
      </c>
      <c r="M2231" s="62" t="str">
        <f>IF(A2231="","",IFERROR(INDEX(dv_cname,MATCH(A2231,dv_num,0))&amp;"",""))</f>
        <v/>
      </c>
      <c r="N2231" s="59" t="str">
        <f>IF(COUNTA(A2231:G2231)=0,"",IF(A2231="","N° devis manquant",IF(ISNA(MATCH(A2231,dv_num,0)),"Devis inconnu",IF(AND(B2231&lt;&gt;"",ISNA(MATCH(B2231,pr_code,0))),"Article inconnu",IF(H2231="","Désignation manquante",IF(OR(NOT(ISNUMBER(D2231)),N(D2231)&lt;=0),"Quantité invalide",IF(J2231="","Prix manquant",IF(OR(NOT(ISNUMBER(J2231)),N(J2231)&lt;0),"Prix invalide",IF(OR(AND(F2231&lt;&gt;"",NOT(ISNUMBER(F2231))),N(F2231)&lt;0,N(F2231)&gt;1),"Remise invalide",IF(K2231="","Taux de TVA manquant",IF(NOT(ISNUMBER(K2231)),"Taux de TVA invalide",IF(COUNTIF(p_rates,K2231)=0,"Taux de TVA hors liste (Paramètres)",IF(N(O2231)&gt;25,"Au-delà de 25 lignes : non imprimée","OK")))))))))))))</f>
        <v/>
      </c>
      <c r="O2231" s="59" t="str">
        <f>IF(A2231="","",COUNTIF($A$6:A2231,A2231))</f>
        <v/>
      </c>
      <c r="P2231" s="62" t="str">
        <f>IF(A2231="","",A2231&amp;"|"&amp;O2231)</f>
        <v/>
      </c>
    </row>
    <row r="2232">
      <c r="A2232" s="60" t="n"/>
      <c r="B2232" s="63" t="n"/>
      <c r="C2232" s="63" t="n"/>
      <c r="D2232" s="67" t="n"/>
      <c r="E2232" s="68" t="n"/>
      <c r="F2232" s="69" t="n"/>
      <c r="G2232" s="70" t="n"/>
      <c r="H2232" s="62" t="str">
        <f>IF(COUNTA(A2232:G2232)=0,"",IF(C2232&lt;&gt;"",C2232,IF(B2232="","",IFERROR(INDEX(pr_des,MATCH(B2232,pr_code,0))&amp;"",""))))</f>
        <v/>
      </c>
      <c r="I2232" s="59" t="str">
        <f>IF(B2232="","",IFERROR(INDEX(pr_unit,MATCH(B2232,pr_code,0))&amp;"",""))</f>
        <v/>
      </c>
      <c r="J2232" s="65" t="str">
        <f>IF(COUNTA(A2232:G2232)=0,"",IF(E2232&lt;&gt;"",E2232,IF(B2232="","",IFERROR(IF(INDEX(pr_price,MATCH(B2232,pr_code,0))="","",INDEX(pr_price,MATCH(B2232,pr_code,0))),""))))</f>
        <v/>
      </c>
      <c r="K2232" s="71" t="str">
        <f>IF(COUNTA(A2232:G2232)=0,"",IF(G2232&lt;&gt;"",G2232,IF(B2232="","",IFERROR(IF(INDEX(pr_rate,MATCH(B2232,pr_code,0))="","",INDEX(pr_rate,MATCH(B2232,pr_code,0))),""))))</f>
        <v/>
      </c>
      <c r="L2232" s="65" t="str">
        <f>IF(COUNTA(A2232:G2232)=0,"",IF(AND(ISNUMBER(D2232),ISNUMBER(J2232)),ROUND(D2232*J2232*(1-N(F2232)),2),0))</f>
        <v/>
      </c>
      <c r="M2232" s="62" t="str">
        <f>IF(A2232="","",IFERROR(INDEX(dv_cname,MATCH(A2232,dv_num,0))&amp;"",""))</f>
        <v/>
      </c>
      <c r="N2232" s="59" t="str">
        <f>IF(COUNTA(A2232:G2232)=0,"",IF(A2232="","N° devis manquant",IF(ISNA(MATCH(A2232,dv_num,0)),"Devis inconnu",IF(AND(B2232&lt;&gt;"",ISNA(MATCH(B2232,pr_code,0))),"Article inconnu",IF(H2232="","Désignation manquante",IF(OR(NOT(ISNUMBER(D2232)),N(D2232)&lt;=0),"Quantité invalide",IF(J2232="","Prix manquant",IF(OR(NOT(ISNUMBER(J2232)),N(J2232)&lt;0),"Prix invalide",IF(OR(AND(F2232&lt;&gt;"",NOT(ISNUMBER(F2232))),N(F2232)&lt;0,N(F2232)&gt;1),"Remise invalide",IF(K2232="","Taux de TVA manquant",IF(NOT(ISNUMBER(K2232)),"Taux de TVA invalide",IF(COUNTIF(p_rates,K2232)=0,"Taux de TVA hors liste (Paramètres)",IF(N(O2232)&gt;25,"Au-delà de 25 lignes : non imprimée","OK")))))))))))))</f>
        <v/>
      </c>
      <c r="O2232" s="59" t="str">
        <f>IF(A2232="","",COUNTIF($A$6:A2232,A2232))</f>
        <v/>
      </c>
      <c r="P2232" s="62" t="str">
        <f>IF(A2232="","",A2232&amp;"|"&amp;O2232)</f>
        <v/>
      </c>
    </row>
    <row r="2233">
      <c r="A2233" s="60" t="n"/>
      <c r="B2233" s="63" t="n"/>
      <c r="C2233" s="63" t="n"/>
      <c r="D2233" s="67" t="n"/>
      <c r="E2233" s="68" t="n"/>
      <c r="F2233" s="69" t="n"/>
      <c r="G2233" s="70" t="n"/>
      <c r="H2233" s="62" t="str">
        <f>IF(COUNTA(A2233:G2233)=0,"",IF(C2233&lt;&gt;"",C2233,IF(B2233="","",IFERROR(INDEX(pr_des,MATCH(B2233,pr_code,0))&amp;"",""))))</f>
        <v/>
      </c>
      <c r="I2233" s="59" t="str">
        <f>IF(B2233="","",IFERROR(INDEX(pr_unit,MATCH(B2233,pr_code,0))&amp;"",""))</f>
        <v/>
      </c>
      <c r="J2233" s="65" t="str">
        <f>IF(COUNTA(A2233:G2233)=0,"",IF(E2233&lt;&gt;"",E2233,IF(B2233="","",IFERROR(IF(INDEX(pr_price,MATCH(B2233,pr_code,0))="","",INDEX(pr_price,MATCH(B2233,pr_code,0))),""))))</f>
        <v/>
      </c>
      <c r="K2233" s="71" t="str">
        <f>IF(COUNTA(A2233:G2233)=0,"",IF(G2233&lt;&gt;"",G2233,IF(B2233="","",IFERROR(IF(INDEX(pr_rate,MATCH(B2233,pr_code,0))="","",INDEX(pr_rate,MATCH(B2233,pr_code,0))),""))))</f>
        <v/>
      </c>
      <c r="L2233" s="65" t="str">
        <f>IF(COUNTA(A2233:G2233)=0,"",IF(AND(ISNUMBER(D2233),ISNUMBER(J2233)),ROUND(D2233*J2233*(1-N(F2233)),2),0))</f>
        <v/>
      </c>
      <c r="M2233" s="62" t="str">
        <f>IF(A2233="","",IFERROR(INDEX(dv_cname,MATCH(A2233,dv_num,0))&amp;"",""))</f>
        <v/>
      </c>
      <c r="N2233" s="59" t="str">
        <f>IF(COUNTA(A2233:G2233)=0,"",IF(A2233="","N° devis manquant",IF(ISNA(MATCH(A2233,dv_num,0)),"Devis inconnu",IF(AND(B2233&lt;&gt;"",ISNA(MATCH(B2233,pr_code,0))),"Article inconnu",IF(H2233="","Désignation manquante",IF(OR(NOT(ISNUMBER(D2233)),N(D2233)&lt;=0),"Quantité invalide",IF(J2233="","Prix manquant",IF(OR(NOT(ISNUMBER(J2233)),N(J2233)&lt;0),"Prix invalide",IF(OR(AND(F2233&lt;&gt;"",NOT(ISNUMBER(F2233))),N(F2233)&lt;0,N(F2233)&gt;1),"Remise invalide",IF(K2233="","Taux de TVA manquant",IF(NOT(ISNUMBER(K2233)),"Taux de TVA invalide",IF(COUNTIF(p_rates,K2233)=0,"Taux de TVA hors liste (Paramètres)",IF(N(O2233)&gt;25,"Au-delà de 25 lignes : non imprimée","OK")))))))))))))</f>
        <v/>
      </c>
      <c r="O2233" s="59" t="str">
        <f>IF(A2233="","",COUNTIF($A$6:A2233,A2233))</f>
        <v/>
      </c>
      <c r="P2233" s="62" t="str">
        <f>IF(A2233="","",A2233&amp;"|"&amp;O2233)</f>
        <v/>
      </c>
    </row>
    <row r="2234">
      <c r="A2234" s="60" t="n"/>
      <c r="B2234" s="63" t="n"/>
      <c r="C2234" s="63" t="n"/>
      <c r="D2234" s="67" t="n"/>
      <c r="E2234" s="68" t="n"/>
      <c r="F2234" s="69" t="n"/>
      <c r="G2234" s="70" t="n"/>
      <c r="H2234" s="62" t="str">
        <f>IF(COUNTA(A2234:G2234)=0,"",IF(C2234&lt;&gt;"",C2234,IF(B2234="","",IFERROR(INDEX(pr_des,MATCH(B2234,pr_code,0))&amp;"",""))))</f>
        <v/>
      </c>
      <c r="I2234" s="59" t="str">
        <f>IF(B2234="","",IFERROR(INDEX(pr_unit,MATCH(B2234,pr_code,0))&amp;"",""))</f>
        <v/>
      </c>
      <c r="J2234" s="65" t="str">
        <f>IF(COUNTA(A2234:G2234)=0,"",IF(E2234&lt;&gt;"",E2234,IF(B2234="","",IFERROR(IF(INDEX(pr_price,MATCH(B2234,pr_code,0))="","",INDEX(pr_price,MATCH(B2234,pr_code,0))),""))))</f>
        <v/>
      </c>
      <c r="K2234" s="71" t="str">
        <f>IF(COUNTA(A2234:G2234)=0,"",IF(G2234&lt;&gt;"",G2234,IF(B2234="","",IFERROR(IF(INDEX(pr_rate,MATCH(B2234,pr_code,0))="","",INDEX(pr_rate,MATCH(B2234,pr_code,0))),""))))</f>
        <v/>
      </c>
      <c r="L2234" s="65" t="str">
        <f>IF(COUNTA(A2234:G2234)=0,"",IF(AND(ISNUMBER(D2234),ISNUMBER(J2234)),ROUND(D2234*J2234*(1-N(F2234)),2),0))</f>
        <v/>
      </c>
      <c r="M2234" s="62" t="str">
        <f>IF(A2234="","",IFERROR(INDEX(dv_cname,MATCH(A2234,dv_num,0))&amp;"",""))</f>
        <v/>
      </c>
      <c r="N2234" s="59" t="str">
        <f>IF(COUNTA(A2234:G2234)=0,"",IF(A2234="","N° devis manquant",IF(ISNA(MATCH(A2234,dv_num,0)),"Devis inconnu",IF(AND(B2234&lt;&gt;"",ISNA(MATCH(B2234,pr_code,0))),"Article inconnu",IF(H2234="","Désignation manquante",IF(OR(NOT(ISNUMBER(D2234)),N(D2234)&lt;=0),"Quantité invalide",IF(J2234="","Prix manquant",IF(OR(NOT(ISNUMBER(J2234)),N(J2234)&lt;0),"Prix invalide",IF(OR(AND(F2234&lt;&gt;"",NOT(ISNUMBER(F2234))),N(F2234)&lt;0,N(F2234)&gt;1),"Remise invalide",IF(K2234="","Taux de TVA manquant",IF(NOT(ISNUMBER(K2234)),"Taux de TVA invalide",IF(COUNTIF(p_rates,K2234)=0,"Taux de TVA hors liste (Paramètres)",IF(N(O2234)&gt;25,"Au-delà de 25 lignes : non imprimée","OK")))))))))))))</f>
        <v/>
      </c>
      <c r="O2234" s="59" t="str">
        <f>IF(A2234="","",COUNTIF($A$6:A2234,A2234))</f>
        <v/>
      </c>
      <c r="P2234" s="62" t="str">
        <f>IF(A2234="","",A2234&amp;"|"&amp;O2234)</f>
        <v/>
      </c>
    </row>
    <row r="2235">
      <c r="A2235" s="60" t="n"/>
      <c r="B2235" s="63" t="n"/>
      <c r="C2235" s="63" t="n"/>
      <c r="D2235" s="67" t="n"/>
      <c r="E2235" s="68" t="n"/>
      <c r="F2235" s="69" t="n"/>
      <c r="G2235" s="70" t="n"/>
      <c r="H2235" s="62" t="str">
        <f>IF(COUNTA(A2235:G2235)=0,"",IF(C2235&lt;&gt;"",C2235,IF(B2235="","",IFERROR(INDEX(pr_des,MATCH(B2235,pr_code,0))&amp;"",""))))</f>
        <v/>
      </c>
      <c r="I2235" s="59" t="str">
        <f>IF(B2235="","",IFERROR(INDEX(pr_unit,MATCH(B2235,pr_code,0))&amp;"",""))</f>
        <v/>
      </c>
      <c r="J2235" s="65" t="str">
        <f>IF(COUNTA(A2235:G2235)=0,"",IF(E2235&lt;&gt;"",E2235,IF(B2235="","",IFERROR(IF(INDEX(pr_price,MATCH(B2235,pr_code,0))="","",INDEX(pr_price,MATCH(B2235,pr_code,0))),""))))</f>
        <v/>
      </c>
      <c r="K2235" s="71" t="str">
        <f>IF(COUNTA(A2235:G2235)=0,"",IF(G2235&lt;&gt;"",G2235,IF(B2235="","",IFERROR(IF(INDEX(pr_rate,MATCH(B2235,pr_code,0))="","",INDEX(pr_rate,MATCH(B2235,pr_code,0))),""))))</f>
        <v/>
      </c>
      <c r="L2235" s="65" t="str">
        <f>IF(COUNTA(A2235:G2235)=0,"",IF(AND(ISNUMBER(D2235),ISNUMBER(J2235)),ROUND(D2235*J2235*(1-N(F2235)),2),0))</f>
        <v/>
      </c>
      <c r="M2235" s="62" t="str">
        <f>IF(A2235="","",IFERROR(INDEX(dv_cname,MATCH(A2235,dv_num,0))&amp;"",""))</f>
        <v/>
      </c>
      <c r="N2235" s="59" t="str">
        <f>IF(COUNTA(A2235:G2235)=0,"",IF(A2235="","N° devis manquant",IF(ISNA(MATCH(A2235,dv_num,0)),"Devis inconnu",IF(AND(B2235&lt;&gt;"",ISNA(MATCH(B2235,pr_code,0))),"Article inconnu",IF(H2235="","Désignation manquante",IF(OR(NOT(ISNUMBER(D2235)),N(D2235)&lt;=0),"Quantité invalide",IF(J2235="","Prix manquant",IF(OR(NOT(ISNUMBER(J2235)),N(J2235)&lt;0),"Prix invalide",IF(OR(AND(F2235&lt;&gt;"",NOT(ISNUMBER(F2235))),N(F2235)&lt;0,N(F2235)&gt;1),"Remise invalide",IF(K2235="","Taux de TVA manquant",IF(NOT(ISNUMBER(K2235)),"Taux de TVA invalide",IF(COUNTIF(p_rates,K2235)=0,"Taux de TVA hors liste (Paramètres)",IF(N(O2235)&gt;25,"Au-delà de 25 lignes : non imprimée","OK")))))))))))))</f>
        <v/>
      </c>
      <c r="O2235" s="59" t="str">
        <f>IF(A2235="","",COUNTIF($A$6:A2235,A2235))</f>
        <v/>
      </c>
      <c r="P2235" s="62" t="str">
        <f>IF(A2235="","",A2235&amp;"|"&amp;O2235)</f>
        <v/>
      </c>
    </row>
    <row r="2236">
      <c r="A2236" s="60" t="n"/>
      <c r="B2236" s="63" t="n"/>
      <c r="C2236" s="63" t="n"/>
      <c r="D2236" s="67" t="n"/>
      <c r="E2236" s="68" t="n"/>
      <c r="F2236" s="69" t="n"/>
      <c r="G2236" s="70" t="n"/>
      <c r="H2236" s="62" t="str">
        <f>IF(COUNTA(A2236:G2236)=0,"",IF(C2236&lt;&gt;"",C2236,IF(B2236="","",IFERROR(INDEX(pr_des,MATCH(B2236,pr_code,0))&amp;"",""))))</f>
        <v/>
      </c>
      <c r="I2236" s="59" t="str">
        <f>IF(B2236="","",IFERROR(INDEX(pr_unit,MATCH(B2236,pr_code,0))&amp;"",""))</f>
        <v/>
      </c>
      <c r="J2236" s="65" t="str">
        <f>IF(COUNTA(A2236:G2236)=0,"",IF(E2236&lt;&gt;"",E2236,IF(B2236="","",IFERROR(IF(INDEX(pr_price,MATCH(B2236,pr_code,0))="","",INDEX(pr_price,MATCH(B2236,pr_code,0))),""))))</f>
        <v/>
      </c>
      <c r="K2236" s="71" t="str">
        <f>IF(COUNTA(A2236:G2236)=0,"",IF(G2236&lt;&gt;"",G2236,IF(B2236="","",IFERROR(IF(INDEX(pr_rate,MATCH(B2236,pr_code,0))="","",INDEX(pr_rate,MATCH(B2236,pr_code,0))),""))))</f>
        <v/>
      </c>
      <c r="L2236" s="65" t="str">
        <f>IF(COUNTA(A2236:G2236)=0,"",IF(AND(ISNUMBER(D2236),ISNUMBER(J2236)),ROUND(D2236*J2236*(1-N(F2236)),2),0))</f>
        <v/>
      </c>
      <c r="M2236" s="62" t="str">
        <f>IF(A2236="","",IFERROR(INDEX(dv_cname,MATCH(A2236,dv_num,0))&amp;"",""))</f>
        <v/>
      </c>
      <c r="N2236" s="59" t="str">
        <f>IF(COUNTA(A2236:G2236)=0,"",IF(A2236="","N° devis manquant",IF(ISNA(MATCH(A2236,dv_num,0)),"Devis inconnu",IF(AND(B2236&lt;&gt;"",ISNA(MATCH(B2236,pr_code,0))),"Article inconnu",IF(H2236="","Désignation manquante",IF(OR(NOT(ISNUMBER(D2236)),N(D2236)&lt;=0),"Quantité invalide",IF(J2236="","Prix manquant",IF(OR(NOT(ISNUMBER(J2236)),N(J2236)&lt;0),"Prix invalide",IF(OR(AND(F2236&lt;&gt;"",NOT(ISNUMBER(F2236))),N(F2236)&lt;0,N(F2236)&gt;1),"Remise invalide",IF(K2236="","Taux de TVA manquant",IF(NOT(ISNUMBER(K2236)),"Taux de TVA invalide",IF(COUNTIF(p_rates,K2236)=0,"Taux de TVA hors liste (Paramètres)",IF(N(O2236)&gt;25,"Au-delà de 25 lignes : non imprimée","OK")))))))))))))</f>
        <v/>
      </c>
      <c r="O2236" s="59" t="str">
        <f>IF(A2236="","",COUNTIF($A$6:A2236,A2236))</f>
        <v/>
      </c>
      <c r="P2236" s="62" t="str">
        <f>IF(A2236="","",A2236&amp;"|"&amp;O2236)</f>
        <v/>
      </c>
    </row>
    <row r="2237">
      <c r="A2237" s="60" t="n"/>
      <c r="B2237" s="63" t="n"/>
      <c r="C2237" s="63" t="n"/>
      <c r="D2237" s="67" t="n"/>
      <c r="E2237" s="68" t="n"/>
      <c r="F2237" s="69" t="n"/>
      <c r="G2237" s="70" t="n"/>
      <c r="H2237" s="62" t="str">
        <f>IF(COUNTA(A2237:G2237)=0,"",IF(C2237&lt;&gt;"",C2237,IF(B2237="","",IFERROR(INDEX(pr_des,MATCH(B2237,pr_code,0))&amp;"",""))))</f>
        <v/>
      </c>
      <c r="I2237" s="59" t="str">
        <f>IF(B2237="","",IFERROR(INDEX(pr_unit,MATCH(B2237,pr_code,0))&amp;"",""))</f>
        <v/>
      </c>
      <c r="J2237" s="65" t="str">
        <f>IF(COUNTA(A2237:G2237)=0,"",IF(E2237&lt;&gt;"",E2237,IF(B2237="","",IFERROR(IF(INDEX(pr_price,MATCH(B2237,pr_code,0))="","",INDEX(pr_price,MATCH(B2237,pr_code,0))),""))))</f>
        <v/>
      </c>
      <c r="K2237" s="71" t="str">
        <f>IF(COUNTA(A2237:G2237)=0,"",IF(G2237&lt;&gt;"",G2237,IF(B2237="","",IFERROR(IF(INDEX(pr_rate,MATCH(B2237,pr_code,0))="","",INDEX(pr_rate,MATCH(B2237,pr_code,0))),""))))</f>
        <v/>
      </c>
      <c r="L2237" s="65" t="str">
        <f>IF(COUNTA(A2237:G2237)=0,"",IF(AND(ISNUMBER(D2237),ISNUMBER(J2237)),ROUND(D2237*J2237*(1-N(F2237)),2),0))</f>
        <v/>
      </c>
      <c r="M2237" s="62" t="str">
        <f>IF(A2237="","",IFERROR(INDEX(dv_cname,MATCH(A2237,dv_num,0))&amp;"",""))</f>
        <v/>
      </c>
      <c r="N2237" s="59" t="str">
        <f>IF(COUNTA(A2237:G2237)=0,"",IF(A2237="","N° devis manquant",IF(ISNA(MATCH(A2237,dv_num,0)),"Devis inconnu",IF(AND(B2237&lt;&gt;"",ISNA(MATCH(B2237,pr_code,0))),"Article inconnu",IF(H2237="","Désignation manquante",IF(OR(NOT(ISNUMBER(D2237)),N(D2237)&lt;=0),"Quantité invalide",IF(J2237="","Prix manquant",IF(OR(NOT(ISNUMBER(J2237)),N(J2237)&lt;0),"Prix invalide",IF(OR(AND(F2237&lt;&gt;"",NOT(ISNUMBER(F2237))),N(F2237)&lt;0,N(F2237)&gt;1),"Remise invalide",IF(K2237="","Taux de TVA manquant",IF(NOT(ISNUMBER(K2237)),"Taux de TVA invalide",IF(COUNTIF(p_rates,K2237)=0,"Taux de TVA hors liste (Paramètres)",IF(N(O2237)&gt;25,"Au-delà de 25 lignes : non imprimée","OK")))))))))))))</f>
        <v/>
      </c>
      <c r="O2237" s="59" t="str">
        <f>IF(A2237="","",COUNTIF($A$6:A2237,A2237))</f>
        <v/>
      </c>
      <c r="P2237" s="62" t="str">
        <f>IF(A2237="","",A2237&amp;"|"&amp;O2237)</f>
        <v/>
      </c>
    </row>
    <row r="2238">
      <c r="A2238" s="60" t="n"/>
      <c r="B2238" s="63" t="n"/>
      <c r="C2238" s="63" t="n"/>
      <c r="D2238" s="67" t="n"/>
      <c r="E2238" s="68" t="n"/>
      <c r="F2238" s="69" t="n"/>
      <c r="G2238" s="70" t="n"/>
      <c r="H2238" s="62" t="str">
        <f>IF(COUNTA(A2238:G2238)=0,"",IF(C2238&lt;&gt;"",C2238,IF(B2238="","",IFERROR(INDEX(pr_des,MATCH(B2238,pr_code,0))&amp;"",""))))</f>
        <v/>
      </c>
      <c r="I2238" s="59" t="str">
        <f>IF(B2238="","",IFERROR(INDEX(pr_unit,MATCH(B2238,pr_code,0))&amp;"",""))</f>
        <v/>
      </c>
      <c r="J2238" s="65" t="str">
        <f>IF(COUNTA(A2238:G2238)=0,"",IF(E2238&lt;&gt;"",E2238,IF(B2238="","",IFERROR(IF(INDEX(pr_price,MATCH(B2238,pr_code,0))="","",INDEX(pr_price,MATCH(B2238,pr_code,0))),""))))</f>
        <v/>
      </c>
      <c r="K2238" s="71" t="str">
        <f>IF(COUNTA(A2238:G2238)=0,"",IF(G2238&lt;&gt;"",G2238,IF(B2238="","",IFERROR(IF(INDEX(pr_rate,MATCH(B2238,pr_code,0))="","",INDEX(pr_rate,MATCH(B2238,pr_code,0))),""))))</f>
        <v/>
      </c>
      <c r="L2238" s="65" t="str">
        <f>IF(COUNTA(A2238:G2238)=0,"",IF(AND(ISNUMBER(D2238),ISNUMBER(J2238)),ROUND(D2238*J2238*(1-N(F2238)),2),0))</f>
        <v/>
      </c>
      <c r="M2238" s="62" t="str">
        <f>IF(A2238="","",IFERROR(INDEX(dv_cname,MATCH(A2238,dv_num,0))&amp;"",""))</f>
        <v/>
      </c>
      <c r="N2238" s="59" t="str">
        <f>IF(COUNTA(A2238:G2238)=0,"",IF(A2238="","N° devis manquant",IF(ISNA(MATCH(A2238,dv_num,0)),"Devis inconnu",IF(AND(B2238&lt;&gt;"",ISNA(MATCH(B2238,pr_code,0))),"Article inconnu",IF(H2238="","Désignation manquante",IF(OR(NOT(ISNUMBER(D2238)),N(D2238)&lt;=0),"Quantité invalide",IF(J2238="","Prix manquant",IF(OR(NOT(ISNUMBER(J2238)),N(J2238)&lt;0),"Prix invalide",IF(OR(AND(F2238&lt;&gt;"",NOT(ISNUMBER(F2238))),N(F2238)&lt;0,N(F2238)&gt;1),"Remise invalide",IF(K2238="","Taux de TVA manquant",IF(NOT(ISNUMBER(K2238)),"Taux de TVA invalide",IF(COUNTIF(p_rates,K2238)=0,"Taux de TVA hors liste (Paramètres)",IF(N(O2238)&gt;25,"Au-delà de 25 lignes : non imprimée","OK")))))))))))))</f>
        <v/>
      </c>
      <c r="O2238" s="59" t="str">
        <f>IF(A2238="","",COUNTIF($A$6:A2238,A2238))</f>
        <v/>
      </c>
      <c r="P2238" s="62" t="str">
        <f>IF(A2238="","",A2238&amp;"|"&amp;O2238)</f>
        <v/>
      </c>
    </row>
    <row r="2239">
      <c r="A2239" s="60" t="n"/>
      <c r="B2239" s="63" t="n"/>
      <c r="C2239" s="63" t="n"/>
      <c r="D2239" s="67" t="n"/>
      <c r="E2239" s="68" t="n"/>
      <c r="F2239" s="69" t="n"/>
      <c r="G2239" s="70" t="n"/>
      <c r="H2239" s="62" t="str">
        <f>IF(COUNTA(A2239:G2239)=0,"",IF(C2239&lt;&gt;"",C2239,IF(B2239="","",IFERROR(INDEX(pr_des,MATCH(B2239,pr_code,0))&amp;"",""))))</f>
        <v/>
      </c>
      <c r="I2239" s="59" t="str">
        <f>IF(B2239="","",IFERROR(INDEX(pr_unit,MATCH(B2239,pr_code,0))&amp;"",""))</f>
        <v/>
      </c>
      <c r="J2239" s="65" t="str">
        <f>IF(COUNTA(A2239:G2239)=0,"",IF(E2239&lt;&gt;"",E2239,IF(B2239="","",IFERROR(IF(INDEX(pr_price,MATCH(B2239,pr_code,0))="","",INDEX(pr_price,MATCH(B2239,pr_code,0))),""))))</f>
        <v/>
      </c>
      <c r="K2239" s="71" t="str">
        <f>IF(COUNTA(A2239:G2239)=0,"",IF(G2239&lt;&gt;"",G2239,IF(B2239="","",IFERROR(IF(INDEX(pr_rate,MATCH(B2239,pr_code,0))="","",INDEX(pr_rate,MATCH(B2239,pr_code,0))),""))))</f>
        <v/>
      </c>
      <c r="L2239" s="65" t="str">
        <f>IF(COUNTA(A2239:G2239)=0,"",IF(AND(ISNUMBER(D2239),ISNUMBER(J2239)),ROUND(D2239*J2239*(1-N(F2239)),2),0))</f>
        <v/>
      </c>
      <c r="M2239" s="62" t="str">
        <f>IF(A2239="","",IFERROR(INDEX(dv_cname,MATCH(A2239,dv_num,0))&amp;"",""))</f>
        <v/>
      </c>
      <c r="N2239" s="59" t="str">
        <f>IF(COUNTA(A2239:G2239)=0,"",IF(A2239="","N° devis manquant",IF(ISNA(MATCH(A2239,dv_num,0)),"Devis inconnu",IF(AND(B2239&lt;&gt;"",ISNA(MATCH(B2239,pr_code,0))),"Article inconnu",IF(H2239="","Désignation manquante",IF(OR(NOT(ISNUMBER(D2239)),N(D2239)&lt;=0),"Quantité invalide",IF(J2239="","Prix manquant",IF(OR(NOT(ISNUMBER(J2239)),N(J2239)&lt;0),"Prix invalide",IF(OR(AND(F2239&lt;&gt;"",NOT(ISNUMBER(F2239))),N(F2239)&lt;0,N(F2239)&gt;1),"Remise invalide",IF(K2239="","Taux de TVA manquant",IF(NOT(ISNUMBER(K2239)),"Taux de TVA invalide",IF(COUNTIF(p_rates,K2239)=0,"Taux de TVA hors liste (Paramètres)",IF(N(O2239)&gt;25,"Au-delà de 25 lignes : non imprimée","OK")))))))))))))</f>
        <v/>
      </c>
      <c r="O2239" s="59" t="str">
        <f>IF(A2239="","",COUNTIF($A$6:A2239,A2239))</f>
        <v/>
      </c>
      <c r="P2239" s="62" t="str">
        <f>IF(A2239="","",A2239&amp;"|"&amp;O2239)</f>
        <v/>
      </c>
    </row>
    <row r="2240">
      <c r="A2240" s="60" t="n"/>
      <c r="B2240" s="63" t="n"/>
      <c r="C2240" s="63" t="n"/>
      <c r="D2240" s="67" t="n"/>
      <c r="E2240" s="68" t="n"/>
      <c r="F2240" s="69" t="n"/>
      <c r="G2240" s="70" t="n"/>
      <c r="H2240" s="62" t="str">
        <f>IF(COUNTA(A2240:G2240)=0,"",IF(C2240&lt;&gt;"",C2240,IF(B2240="","",IFERROR(INDEX(pr_des,MATCH(B2240,pr_code,0))&amp;"",""))))</f>
        <v/>
      </c>
      <c r="I2240" s="59" t="str">
        <f>IF(B2240="","",IFERROR(INDEX(pr_unit,MATCH(B2240,pr_code,0))&amp;"",""))</f>
        <v/>
      </c>
      <c r="J2240" s="65" t="str">
        <f>IF(COUNTA(A2240:G2240)=0,"",IF(E2240&lt;&gt;"",E2240,IF(B2240="","",IFERROR(IF(INDEX(pr_price,MATCH(B2240,pr_code,0))="","",INDEX(pr_price,MATCH(B2240,pr_code,0))),""))))</f>
        <v/>
      </c>
      <c r="K2240" s="71" t="str">
        <f>IF(COUNTA(A2240:G2240)=0,"",IF(G2240&lt;&gt;"",G2240,IF(B2240="","",IFERROR(IF(INDEX(pr_rate,MATCH(B2240,pr_code,0))="","",INDEX(pr_rate,MATCH(B2240,pr_code,0))),""))))</f>
        <v/>
      </c>
      <c r="L2240" s="65" t="str">
        <f>IF(COUNTA(A2240:G2240)=0,"",IF(AND(ISNUMBER(D2240),ISNUMBER(J2240)),ROUND(D2240*J2240*(1-N(F2240)),2),0))</f>
        <v/>
      </c>
      <c r="M2240" s="62" t="str">
        <f>IF(A2240="","",IFERROR(INDEX(dv_cname,MATCH(A2240,dv_num,0))&amp;"",""))</f>
        <v/>
      </c>
      <c r="N2240" s="59" t="str">
        <f>IF(COUNTA(A2240:G2240)=0,"",IF(A2240="","N° devis manquant",IF(ISNA(MATCH(A2240,dv_num,0)),"Devis inconnu",IF(AND(B2240&lt;&gt;"",ISNA(MATCH(B2240,pr_code,0))),"Article inconnu",IF(H2240="","Désignation manquante",IF(OR(NOT(ISNUMBER(D2240)),N(D2240)&lt;=0),"Quantité invalide",IF(J2240="","Prix manquant",IF(OR(NOT(ISNUMBER(J2240)),N(J2240)&lt;0),"Prix invalide",IF(OR(AND(F2240&lt;&gt;"",NOT(ISNUMBER(F2240))),N(F2240)&lt;0,N(F2240)&gt;1),"Remise invalide",IF(K2240="","Taux de TVA manquant",IF(NOT(ISNUMBER(K2240)),"Taux de TVA invalide",IF(COUNTIF(p_rates,K2240)=0,"Taux de TVA hors liste (Paramètres)",IF(N(O2240)&gt;25,"Au-delà de 25 lignes : non imprimée","OK")))))))))))))</f>
        <v/>
      </c>
      <c r="O2240" s="59" t="str">
        <f>IF(A2240="","",COUNTIF($A$6:A2240,A2240))</f>
        <v/>
      </c>
      <c r="P2240" s="62" t="str">
        <f>IF(A2240="","",A2240&amp;"|"&amp;O2240)</f>
        <v/>
      </c>
    </row>
    <row r="2241">
      <c r="A2241" s="60" t="n"/>
      <c r="B2241" s="63" t="n"/>
      <c r="C2241" s="63" t="n"/>
      <c r="D2241" s="67" t="n"/>
      <c r="E2241" s="68" t="n"/>
      <c r="F2241" s="69" t="n"/>
      <c r="G2241" s="70" t="n"/>
      <c r="H2241" s="62" t="str">
        <f>IF(COUNTA(A2241:G2241)=0,"",IF(C2241&lt;&gt;"",C2241,IF(B2241="","",IFERROR(INDEX(pr_des,MATCH(B2241,pr_code,0))&amp;"",""))))</f>
        <v/>
      </c>
      <c r="I2241" s="59" t="str">
        <f>IF(B2241="","",IFERROR(INDEX(pr_unit,MATCH(B2241,pr_code,0))&amp;"",""))</f>
        <v/>
      </c>
      <c r="J2241" s="65" t="str">
        <f>IF(COUNTA(A2241:G2241)=0,"",IF(E2241&lt;&gt;"",E2241,IF(B2241="","",IFERROR(IF(INDEX(pr_price,MATCH(B2241,pr_code,0))="","",INDEX(pr_price,MATCH(B2241,pr_code,0))),""))))</f>
        <v/>
      </c>
      <c r="K2241" s="71" t="str">
        <f>IF(COUNTA(A2241:G2241)=0,"",IF(G2241&lt;&gt;"",G2241,IF(B2241="","",IFERROR(IF(INDEX(pr_rate,MATCH(B2241,pr_code,0))="","",INDEX(pr_rate,MATCH(B2241,pr_code,0))),""))))</f>
        <v/>
      </c>
      <c r="L2241" s="65" t="str">
        <f>IF(COUNTA(A2241:G2241)=0,"",IF(AND(ISNUMBER(D2241),ISNUMBER(J2241)),ROUND(D2241*J2241*(1-N(F2241)),2),0))</f>
        <v/>
      </c>
      <c r="M2241" s="62" t="str">
        <f>IF(A2241="","",IFERROR(INDEX(dv_cname,MATCH(A2241,dv_num,0))&amp;"",""))</f>
        <v/>
      </c>
      <c r="N2241" s="59" t="str">
        <f>IF(COUNTA(A2241:G2241)=0,"",IF(A2241="","N° devis manquant",IF(ISNA(MATCH(A2241,dv_num,0)),"Devis inconnu",IF(AND(B2241&lt;&gt;"",ISNA(MATCH(B2241,pr_code,0))),"Article inconnu",IF(H2241="","Désignation manquante",IF(OR(NOT(ISNUMBER(D2241)),N(D2241)&lt;=0),"Quantité invalide",IF(J2241="","Prix manquant",IF(OR(NOT(ISNUMBER(J2241)),N(J2241)&lt;0),"Prix invalide",IF(OR(AND(F2241&lt;&gt;"",NOT(ISNUMBER(F2241))),N(F2241)&lt;0,N(F2241)&gt;1),"Remise invalide",IF(K2241="","Taux de TVA manquant",IF(NOT(ISNUMBER(K2241)),"Taux de TVA invalide",IF(COUNTIF(p_rates,K2241)=0,"Taux de TVA hors liste (Paramètres)",IF(N(O2241)&gt;25,"Au-delà de 25 lignes : non imprimée","OK")))))))))))))</f>
        <v/>
      </c>
      <c r="O2241" s="59" t="str">
        <f>IF(A2241="","",COUNTIF($A$6:A2241,A2241))</f>
        <v/>
      </c>
      <c r="P2241" s="62" t="str">
        <f>IF(A2241="","",A2241&amp;"|"&amp;O2241)</f>
        <v/>
      </c>
    </row>
    <row r="2242">
      <c r="A2242" s="60" t="n"/>
      <c r="B2242" s="63" t="n"/>
      <c r="C2242" s="63" t="n"/>
      <c r="D2242" s="67" t="n"/>
      <c r="E2242" s="68" t="n"/>
      <c r="F2242" s="69" t="n"/>
      <c r="G2242" s="70" t="n"/>
      <c r="H2242" s="62" t="str">
        <f>IF(COUNTA(A2242:G2242)=0,"",IF(C2242&lt;&gt;"",C2242,IF(B2242="","",IFERROR(INDEX(pr_des,MATCH(B2242,pr_code,0))&amp;"",""))))</f>
        <v/>
      </c>
      <c r="I2242" s="59" t="str">
        <f>IF(B2242="","",IFERROR(INDEX(pr_unit,MATCH(B2242,pr_code,0))&amp;"",""))</f>
        <v/>
      </c>
      <c r="J2242" s="65" t="str">
        <f>IF(COUNTA(A2242:G2242)=0,"",IF(E2242&lt;&gt;"",E2242,IF(B2242="","",IFERROR(IF(INDEX(pr_price,MATCH(B2242,pr_code,0))="","",INDEX(pr_price,MATCH(B2242,pr_code,0))),""))))</f>
        <v/>
      </c>
      <c r="K2242" s="71" t="str">
        <f>IF(COUNTA(A2242:G2242)=0,"",IF(G2242&lt;&gt;"",G2242,IF(B2242="","",IFERROR(IF(INDEX(pr_rate,MATCH(B2242,pr_code,0))="","",INDEX(pr_rate,MATCH(B2242,pr_code,0))),""))))</f>
        <v/>
      </c>
      <c r="L2242" s="65" t="str">
        <f>IF(COUNTA(A2242:G2242)=0,"",IF(AND(ISNUMBER(D2242),ISNUMBER(J2242)),ROUND(D2242*J2242*(1-N(F2242)),2),0))</f>
        <v/>
      </c>
      <c r="M2242" s="62" t="str">
        <f>IF(A2242="","",IFERROR(INDEX(dv_cname,MATCH(A2242,dv_num,0))&amp;"",""))</f>
        <v/>
      </c>
      <c r="N2242" s="59" t="str">
        <f>IF(COUNTA(A2242:G2242)=0,"",IF(A2242="","N° devis manquant",IF(ISNA(MATCH(A2242,dv_num,0)),"Devis inconnu",IF(AND(B2242&lt;&gt;"",ISNA(MATCH(B2242,pr_code,0))),"Article inconnu",IF(H2242="","Désignation manquante",IF(OR(NOT(ISNUMBER(D2242)),N(D2242)&lt;=0),"Quantité invalide",IF(J2242="","Prix manquant",IF(OR(NOT(ISNUMBER(J2242)),N(J2242)&lt;0),"Prix invalide",IF(OR(AND(F2242&lt;&gt;"",NOT(ISNUMBER(F2242))),N(F2242)&lt;0,N(F2242)&gt;1),"Remise invalide",IF(K2242="","Taux de TVA manquant",IF(NOT(ISNUMBER(K2242)),"Taux de TVA invalide",IF(COUNTIF(p_rates,K2242)=0,"Taux de TVA hors liste (Paramètres)",IF(N(O2242)&gt;25,"Au-delà de 25 lignes : non imprimée","OK")))))))))))))</f>
        <v/>
      </c>
      <c r="O2242" s="59" t="str">
        <f>IF(A2242="","",COUNTIF($A$6:A2242,A2242))</f>
        <v/>
      </c>
      <c r="P2242" s="62" t="str">
        <f>IF(A2242="","",A2242&amp;"|"&amp;O2242)</f>
        <v/>
      </c>
    </row>
    <row r="2243">
      <c r="A2243" s="60" t="n"/>
      <c r="B2243" s="63" t="n"/>
      <c r="C2243" s="63" t="n"/>
      <c r="D2243" s="67" t="n"/>
      <c r="E2243" s="68" t="n"/>
      <c r="F2243" s="69" t="n"/>
      <c r="G2243" s="70" t="n"/>
      <c r="H2243" s="62" t="str">
        <f>IF(COUNTA(A2243:G2243)=0,"",IF(C2243&lt;&gt;"",C2243,IF(B2243="","",IFERROR(INDEX(pr_des,MATCH(B2243,pr_code,0))&amp;"",""))))</f>
        <v/>
      </c>
      <c r="I2243" s="59" t="str">
        <f>IF(B2243="","",IFERROR(INDEX(pr_unit,MATCH(B2243,pr_code,0))&amp;"",""))</f>
        <v/>
      </c>
      <c r="J2243" s="65" t="str">
        <f>IF(COUNTA(A2243:G2243)=0,"",IF(E2243&lt;&gt;"",E2243,IF(B2243="","",IFERROR(IF(INDEX(pr_price,MATCH(B2243,pr_code,0))="","",INDEX(pr_price,MATCH(B2243,pr_code,0))),""))))</f>
        <v/>
      </c>
      <c r="K2243" s="71" t="str">
        <f>IF(COUNTA(A2243:G2243)=0,"",IF(G2243&lt;&gt;"",G2243,IF(B2243="","",IFERROR(IF(INDEX(pr_rate,MATCH(B2243,pr_code,0))="","",INDEX(pr_rate,MATCH(B2243,pr_code,0))),""))))</f>
        <v/>
      </c>
      <c r="L2243" s="65" t="str">
        <f>IF(COUNTA(A2243:G2243)=0,"",IF(AND(ISNUMBER(D2243),ISNUMBER(J2243)),ROUND(D2243*J2243*(1-N(F2243)),2),0))</f>
        <v/>
      </c>
      <c r="M2243" s="62" t="str">
        <f>IF(A2243="","",IFERROR(INDEX(dv_cname,MATCH(A2243,dv_num,0))&amp;"",""))</f>
        <v/>
      </c>
      <c r="N2243" s="59" t="str">
        <f>IF(COUNTA(A2243:G2243)=0,"",IF(A2243="","N° devis manquant",IF(ISNA(MATCH(A2243,dv_num,0)),"Devis inconnu",IF(AND(B2243&lt;&gt;"",ISNA(MATCH(B2243,pr_code,0))),"Article inconnu",IF(H2243="","Désignation manquante",IF(OR(NOT(ISNUMBER(D2243)),N(D2243)&lt;=0),"Quantité invalide",IF(J2243="","Prix manquant",IF(OR(NOT(ISNUMBER(J2243)),N(J2243)&lt;0),"Prix invalide",IF(OR(AND(F2243&lt;&gt;"",NOT(ISNUMBER(F2243))),N(F2243)&lt;0,N(F2243)&gt;1),"Remise invalide",IF(K2243="","Taux de TVA manquant",IF(NOT(ISNUMBER(K2243)),"Taux de TVA invalide",IF(COUNTIF(p_rates,K2243)=0,"Taux de TVA hors liste (Paramètres)",IF(N(O2243)&gt;25,"Au-delà de 25 lignes : non imprimée","OK")))))))))))))</f>
        <v/>
      </c>
      <c r="O2243" s="59" t="str">
        <f>IF(A2243="","",COUNTIF($A$6:A2243,A2243))</f>
        <v/>
      </c>
      <c r="P2243" s="62" t="str">
        <f>IF(A2243="","",A2243&amp;"|"&amp;O2243)</f>
        <v/>
      </c>
    </row>
    <row r="2244">
      <c r="A2244" s="60" t="n"/>
      <c r="B2244" s="63" t="n"/>
      <c r="C2244" s="63" t="n"/>
      <c r="D2244" s="67" t="n"/>
      <c r="E2244" s="68" t="n"/>
      <c r="F2244" s="69" t="n"/>
      <c r="G2244" s="70" t="n"/>
      <c r="H2244" s="62" t="str">
        <f>IF(COUNTA(A2244:G2244)=0,"",IF(C2244&lt;&gt;"",C2244,IF(B2244="","",IFERROR(INDEX(pr_des,MATCH(B2244,pr_code,0))&amp;"",""))))</f>
        <v/>
      </c>
      <c r="I2244" s="59" t="str">
        <f>IF(B2244="","",IFERROR(INDEX(pr_unit,MATCH(B2244,pr_code,0))&amp;"",""))</f>
        <v/>
      </c>
      <c r="J2244" s="65" t="str">
        <f>IF(COUNTA(A2244:G2244)=0,"",IF(E2244&lt;&gt;"",E2244,IF(B2244="","",IFERROR(IF(INDEX(pr_price,MATCH(B2244,pr_code,0))="","",INDEX(pr_price,MATCH(B2244,pr_code,0))),""))))</f>
        <v/>
      </c>
      <c r="K2244" s="71" t="str">
        <f>IF(COUNTA(A2244:G2244)=0,"",IF(G2244&lt;&gt;"",G2244,IF(B2244="","",IFERROR(IF(INDEX(pr_rate,MATCH(B2244,pr_code,0))="","",INDEX(pr_rate,MATCH(B2244,pr_code,0))),""))))</f>
        <v/>
      </c>
      <c r="L2244" s="65" t="str">
        <f>IF(COUNTA(A2244:G2244)=0,"",IF(AND(ISNUMBER(D2244),ISNUMBER(J2244)),ROUND(D2244*J2244*(1-N(F2244)),2),0))</f>
        <v/>
      </c>
      <c r="M2244" s="62" t="str">
        <f>IF(A2244="","",IFERROR(INDEX(dv_cname,MATCH(A2244,dv_num,0))&amp;"",""))</f>
        <v/>
      </c>
      <c r="N2244" s="59" t="str">
        <f>IF(COUNTA(A2244:G2244)=0,"",IF(A2244="","N° devis manquant",IF(ISNA(MATCH(A2244,dv_num,0)),"Devis inconnu",IF(AND(B2244&lt;&gt;"",ISNA(MATCH(B2244,pr_code,0))),"Article inconnu",IF(H2244="","Désignation manquante",IF(OR(NOT(ISNUMBER(D2244)),N(D2244)&lt;=0),"Quantité invalide",IF(J2244="","Prix manquant",IF(OR(NOT(ISNUMBER(J2244)),N(J2244)&lt;0),"Prix invalide",IF(OR(AND(F2244&lt;&gt;"",NOT(ISNUMBER(F2244))),N(F2244)&lt;0,N(F2244)&gt;1),"Remise invalide",IF(K2244="","Taux de TVA manquant",IF(NOT(ISNUMBER(K2244)),"Taux de TVA invalide",IF(COUNTIF(p_rates,K2244)=0,"Taux de TVA hors liste (Paramètres)",IF(N(O2244)&gt;25,"Au-delà de 25 lignes : non imprimée","OK")))))))))))))</f>
        <v/>
      </c>
      <c r="O2244" s="59" t="str">
        <f>IF(A2244="","",COUNTIF($A$6:A2244,A2244))</f>
        <v/>
      </c>
      <c r="P2244" s="62" t="str">
        <f>IF(A2244="","",A2244&amp;"|"&amp;O2244)</f>
        <v/>
      </c>
    </row>
    <row r="2245">
      <c r="A2245" s="60" t="n"/>
      <c r="B2245" s="63" t="n"/>
      <c r="C2245" s="63" t="n"/>
      <c r="D2245" s="67" t="n"/>
      <c r="E2245" s="68" t="n"/>
      <c r="F2245" s="69" t="n"/>
      <c r="G2245" s="70" t="n"/>
      <c r="H2245" s="62" t="str">
        <f>IF(COUNTA(A2245:G2245)=0,"",IF(C2245&lt;&gt;"",C2245,IF(B2245="","",IFERROR(INDEX(pr_des,MATCH(B2245,pr_code,0))&amp;"",""))))</f>
        <v/>
      </c>
      <c r="I2245" s="59" t="str">
        <f>IF(B2245="","",IFERROR(INDEX(pr_unit,MATCH(B2245,pr_code,0))&amp;"",""))</f>
        <v/>
      </c>
      <c r="J2245" s="65" t="str">
        <f>IF(COUNTA(A2245:G2245)=0,"",IF(E2245&lt;&gt;"",E2245,IF(B2245="","",IFERROR(IF(INDEX(pr_price,MATCH(B2245,pr_code,0))="","",INDEX(pr_price,MATCH(B2245,pr_code,0))),""))))</f>
        <v/>
      </c>
      <c r="K2245" s="71" t="str">
        <f>IF(COUNTA(A2245:G2245)=0,"",IF(G2245&lt;&gt;"",G2245,IF(B2245="","",IFERROR(IF(INDEX(pr_rate,MATCH(B2245,pr_code,0))="","",INDEX(pr_rate,MATCH(B2245,pr_code,0))),""))))</f>
        <v/>
      </c>
      <c r="L2245" s="65" t="str">
        <f>IF(COUNTA(A2245:G2245)=0,"",IF(AND(ISNUMBER(D2245),ISNUMBER(J2245)),ROUND(D2245*J2245*(1-N(F2245)),2),0))</f>
        <v/>
      </c>
      <c r="M2245" s="62" t="str">
        <f>IF(A2245="","",IFERROR(INDEX(dv_cname,MATCH(A2245,dv_num,0))&amp;"",""))</f>
        <v/>
      </c>
      <c r="N2245" s="59" t="str">
        <f>IF(COUNTA(A2245:G2245)=0,"",IF(A2245="","N° devis manquant",IF(ISNA(MATCH(A2245,dv_num,0)),"Devis inconnu",IF(AND(B2245&lt;&gt;"",ISNA(MATCH(B2245,pr_code,0))),"Article inconnu",IF(H2245="","Désignation manquante",IF(OR(NOT(ISNUMBER(D2245)),N(D2245)&lt;=0),"Quantité invalide",IF(J2245="","Prix manquant",IF(OR(NOT(ISNUMBER(J2245)),N(J2245)&lt;0),"Prix invalide",IF(OR(AND(F2245&lt;&gt;"",NOT(ISNUMBER(F2245))),N(F2245)&lt;0,N(F2245)&gt;1),"Remise invalide",IF(K2245="","Taux de TVA manquant",IF(NOT(ISNUMBER(K2245)),"Taux de TVA invalide",IF(COUNTIF(p_rates,K2245)=0,"Taux de TVA hors liste (Paramètres)",IF(N(O2245)&gt;25,"Au-delà de 25 lignes : non imprimée","OK")))))))))))))</f>
        <v/>
      </c>
      <c r="O2245" s="59" t="str">
        <f>IF(A2245="","",COUNTIF($A$6:A2245,A2245))</f>
        <v/>
      </c>
      <c r="P2245" s="62" t="str">
        <f>IF(A2245="","",A2245&amp;"|"&amp;O2245)</f>
        <v/>
      </c>
    </row>
    <row r="2246">
      <c r="A2246" s="60" t="n"/>
      <c r="B2246" s="63" t="n"/>
      <c r="C2246" s="63" t="n"/>
      <c r="D2246" s="67" t="n"/>
      <c r="E2246" s="68" t="n"/>
      <c r="F2246" s="69" t="n"/>
      <c r="G2246" s="70" t="n"/>
      <c r="H2246" s="62" t="str">
        <f>IF(COUNTA(A2246:G2246)=0,"",IF(C2246&lt;&gt;"",C2246,IF(B2246="","",IFERROR(INDEX(pr_des,MATCH(B2246,pr_code,0))&amp;"",""))))</f>
        <v/>
      </c>
      <c r="I2246" s="59" t="str">
        <f>IF(B2246="","",IFERROR(INDEX(pr_unit,MATCH(B2246,pr_code,0))&amp;"",""))</f>
        <v/>
      </c>
      <c r="J2246" s="65" t="str">
        <f>IF(COUNTA(A2246:G2246)=0,"",IF(E2246&lt;&gt;"",E2246,IF(B2246="","",IFERROR(IF(INDEX(pr_price,MATCH(B2246,pr_code,0))="","",INDEX(pr_price,MATCH(B2246,pr_code,0))),""))))</f>
        <v/>
      </c>
      <c r="K2246" s="71" t="str">
        <f>IF(COUNTA(A2246:G2246)=0,"",IF(G2246&lt;&gt;"",G2246,IF(B2246="","",IFERROR(IF(INDEX(pr_rate,MATCH(B2246,pr_code,0))="","",INDEX(pr_rate,MATCH(B2246,pr_code,0))),""))))</f>
        <v/>
      </c>
      <c r="L2246" s="65" t="str">
        <f>IF(COUNTA(A2246:G2246)=0,"",IF(AND(ISNUMBER(D2246),ISNUMBER(J2246)),ROUND(D2246*J2246*(1-N(F2246)),2),0))</f>
        <v/>
      </c>
      <c r="M2246" s="62" t="str">
        <f>IF(A2246="","",IFERROR(INDEX(dv_cname,MATCH(A2246,dv_num,0))&amp;"",""))</f>
        <v/>
      </c>
      <c r="N2246" s="59" t="str">
        <f>IF(COUNTA(A2246:G2246)=0,"",IF(A2246="","N° devis manquant",IF(ISNA(MATCH(A2246,dv_num,0)),"Devis inconnu",IF(AND(B2246&lt;&gt;"",ISNA(MATCH(B2246,pr_code,0))),"Article inconnu",IF(H2246="","Désignation manquante",IF(OR(NOT(ISNUMBER(D2246)),N(D2246)&lt;=0),"Quantité invalide",IF(J2246="","Prix manquant",IF(OR(NOT(ISNUMBER(J2246)),N(J2246)&lt;0),"Prix invalide",IF(OR(AND(F2246&lt;&gt;"",NOT(ISNUMBER(F2246))),N(F2246)&lt;0,N(F2246)&gt;1),"Remise invalide",IF(K2246="","Taux de TVA manquant",IF(NOT(ISNUMBER(K2246)),"Taux de TVA invalide",IF(COUNTIF(p_rates,K2246)=0,"Taux de TVA hors liste (Paramètres)",IF(N(O2246)&gt;25,"Au-delà de 25 lignes : non imprimée","OK")))))))))))))</f>
        <v/>
      </c>
      <c r="O2246" s="59" t="str">
        <f>IF(A2246="","",COUNTIF($A$6:A2246,A2246))</f>
        <v/>
      </c>
      <c r="P2246" s="62" t="str">
        <f>IF(A2246="","",A2246&amp;"|"&amp;O2246)</f>
        <v/>
      </c>
    </row>
    <row r="2247">
      <c r="A2247" s="60" t="n"/>
      <c r="B2247" s="63" t="n"/>
      <c r="C2247" s="63" t="n"/>
      <c r="D2247" s="67" t="n"/>
      <c r="E2247" s="68" t="n"/>
      <c r="F2247" s="69" t="n"/>
      <c r="G2247" s="70" t="n"/>
      <c r="H2247" s="62" t="str">
        <f>IF(COUNTA(A2247:G2247)=0,"",IF(C2247&lt;&gt;"",C2247,IF(B2247="","",IFERROR(INDEX(pr_des,MATCH(B2247,pr_code,0))&amp;"",""))))</f>
        <v/>
      </c>
      <c r="I2247" s="59" t="str">
        <f>IF(B2247="","",IFERROR(INDEX(pr_unit,MATCH(B2247,pr_code,0))&amp;"",""))</f>
        <v/>
      </c>
      <c r="J2247" s="65" t="str">
        <f>IF(COUNTA(A2247:G2247)=0,"",IF(E2247&lt;&gt;"",E2247,IF(B2247="","",IFERROR(IF(INDEX(pr_price,MATCH(B2247,pr_code,0))="","",INDEX(pr_price,MATCH(B2247,pr_code,0))),""))))</f>
        <v/>
      </c>
      <c r="K2247" s="71" t="str">
        <f>IF(COUNTA(A2247:G2247)=0,"",IF(G2247&lt;&gt;"",G2247,IF(B2247="","",IFERROR(IF(INDEX(pr_rate,MATCH(B2247,pr_code,0))="","",INDEX(pr_rate,MATCH(B2247,pr_code,0))),""))))</f>
        <v/>
      </c>
      <c r="L2247" s="65" t="str">
        <f>IF(COUNTA(A2247:G2247)=0,"",IF(AND(ISNUMBER(D2247),ISNUMBER(J2247)),ROUND(D2247*J2247*(1-N(F2247)),2),0))</f>
        <v/>
      </c>
      <c r="M2247" s="62" t="str">
        <f>IF(A2247="","",IFERROR(INDEX(dv_cname,MATCH(A2247,dv_num,0))&amp;"",""))</f>
        <v/>
      </c>
      <c r="N2247" s="59" t="str">
        <f>IF(COUNTA(A2247:G2247)=0,"",IF(A2247="","N° devis manquant",IF(ISNA(MATCH(A2247,dv_num,0)),"Devis inconnu",IF(AND(B2247&lt;&gt;"",ISNA(MATCH(B2247,pr_code,0))),"Article inconnu",IF(H2247="","Désignation manquante",IF(OR(NOT(ISNUMBER(D2247)),N(D2247)&lt;=0),"Quantité invalide",IF(J2247="","Prix manquant",IF(OR(NOT(ISNUMBER(J2247)),N(J2247)&lt;0),"Prix invalide",IF(OR(AND(F2247&lt;&gt;"",NOT(ISNUMBER(F2247))),N(F2247)&lt;0,N(F2247)&gt;1),"Remise invalide",IF(K2247="","Taux de TVA manquant",IF(NOT(ISNUMBER(K2247)),"Taux de TVA invalide",IF(COUNTIF(p_rates,K2247)=0,"Taux de TVA hors liste (Paramètres)",IF(N(O2247)&gt;25,"Au-delà de 25 lignes : non imprimée","OK")))))))))))))</f>
        <v/>
      </c>
      <c r="O2247" s="59" t="str">
        <f>IF(A2247="","",COUNTIF($A$6:A2247,A2247))</f>
        <v/>
      </c>
      <c r="P2247" s="62" t="str">
        <f>IF(A2247="","",A2247&amp;"|"&amp;O2247)</f>
        <v/>
      </c>
    </row>
    <row r="2248">
      <c r="A2248" s="60" t="n"/>
      <c r="B2248" s="63" t="n"/>
      <c r="C2248" s="63" t="n"/>
      <c r="D2248" s="67" t="n"/>
      <c r="E2248" s="68" t="n"/>
      <c r="F2248" s="69" t="n"/>
      <c r="G2248" s="70" t="n"/>
      <c r="H2248" s="62" t="str">
        <f>IF(COUNTA(A2248:G2248)=0,"",IF(C2248&lt;&gt;"",C2248,IF(B2248="","",IFERROR(INDEX(pr_des,MATCH(B2248,pr_code,0))&amp;"",""))))</f>
        <v/>
      </c>
      <c r="I2248" s="59" t="str">
        <f>IF(B2248="","",IFERROR(INDEX(pr_unit,MATCH(B2248,pr_code,0))&amp;"",""))</f>
        <v/>
      </c>
      <c r="J2248" s="65" t="str">
        <f>IF(COUNTA(A2248:G2248)=0,"",IF(E2248&lt;&gt;"",E2248,IF(B2248="","",IFERROR(IF(INDEX(pr_price,MATCH(B2248,pr_code,0))="","",INDEX(pr_price,MATCH(B2248,pr_code,0))),""))))</f>
        <v/>
      </c>
      <c r="K2248" s="71" t="str">
        <f>IF(COUNTA(A2248:G2248)=0,"",IF(G2248&lt;&gt;"",G2248,IF(B2248="","",IFERROR(IF(INDEX(pr_rate,MATCH(B2248,pr_code,0))="","",INDEX(pr_rate,MATCH(B2248,pr_code,0))),""))))</f>
        <v/>
      </c>
      <c r="L2248" s="65" t="str">
        <f>IF(COUNTA(A2248:G2248)=0,"",IF(AND(ISNUMBER(D2248),ISNUMBER(J2248)),ROUND(D2248*J2248*(1-N(F2248)),2),0))</f>
        <v/>
      </c>
      <c r="M2248" s="62" t="str">
        <f>IF(A2248="","",IFERROR(INDEX(dv_cname,MATCH(A2248,dv_num,0))&amp;"",""))</f>
        <v/>
      </c>
      <c r="N2248" s="59" t="str">
        <f>IF(COUNTA(A2248:G2248)=0,"",IF(A2248="","N° devis manquant",IF(ISNA(MATCH(A2248,dv_num,0)),"Devis inconnu",IF(AND(B2248&lt;&gt;"",ISNA(MATCH(B2248,pr_code,0))),"Article inconnu",IF(H2248="","Désignation manquante",IF(OR(NOT(ISNUMBER(D2248)),N(D2248)&lt;=0),"Quantité invalide",IF(J2248="","Prix manquant",IF(OR(NOT(ISNUMBER(J2248)),N(J2248)&lt;0),"Prix invalide",IF(OR(AND(F2248&lt;&gt;"",NOT(ISNUMBER(F2248))),N(F2248)&lt;0,N(F2248)&gt;1),"Remise invalide",IF(K2248="","Taux de TVA manquant",IF(NOT(ISNUMBER(K2248)),"Taux de TVA invalide",IF(COUNTIF(p_rates,K2248)=0,"Taux de TVA hors liste (Paramètres)",IF(N(O2248)&gt;25,"Au-delà de 25 lignes : non imprimée","OK")))))))))))))</f>
        <v/>
      </c>
      <c r="O2248" s="59" t="str">
        <f>IF(A2248="","",COUNTIF($A$6:A2248,A2248))</f>
        <v/>
      </c>
      <c r="P2248" s="62" t="str">
        <f>IF(A2248="","",A2248&amp;"|"&amp;O2248)</f>
        <v/>
      </c>
    </row>
    <row r="2249">
      <c r="A2249" s="60" t="n"/>
      <c r="B2249" s="63" t="n"/>
      <c r="C2249" s="63" t="n"/>
      <c r="D2249" s="67" t="n"/>
      <c r="E2249" s="68" t="n"/>
      <c r="F2249" s="69" t="n"/>
      <c r="G2249" s="70" t="n"/>
      <c r="H2249" s="62" t="str">
        <f>IF(COUNTA(A2249:G2249)=0,"",IF(C2249&lt;&gt;"",C2249,IF(B2249="","",IFERROR(INDEX(pr_des,MATCH(B2249,pr_code,0))&amp;"",""))))</f>
        <v/>
      </c>
      <c r="I2249" s="59" t="str">
        <f>IF(B2249="","",IFERROR(INDEX(pr_unit,MATCH(B2249,pr_code,0))&amp;"",""))</f>
        <v/>
      </c>
      <c r="J2249" s="65" t="str">
        <f>IF(COUNTA(A2249:G2249)=0,"",IF(E2249&lt;&gt;"",E2249,IF(B2249="","",IFERROR(IF(INDEX(pr_price,MATCH(B2249,pr_code,0))="","",INDEX(pr_price,MATCH(B2249,pr_code,0))),""))))</f>
        <v/>
      </c>
      <c r="K2249" s="71" t="str">
        <f>IF(COUNTA(A2249:G2249)=0,"",IF(G2249&lt;&gt;"",G2249,IF(B2249="","",IFERROR(IF(INDEX(pr_rate,MATCH(B2249,pr_code,0))="","",INDEX(pr_rate,MATCH(B2249,pr_code,0))),""))))</f>
        <v/>
      </c>
      <c r="L2249" s="65" t="str">
        <f>IF(COUNTA(A2249:G2249)=0,"",IF(AND(ISNUMBER(D2249),ISNUMBER(J2249)),ROUND(D2249*J2249*(1-N(F2249)),2),0))</f>
        <v/>
      </c>
      <c r="M2249" s="62" t="str">
        <f>IF(A2249="","",IFERROR(INDEX(dv_cname,MATCH(A2249,dv_num,0))&amp;"",""))</f>
        <v/>
      </c>
      <c r="N2249" s="59" t="str">
        <f>IF(COUNTA(A2249:G2249)=0,"",IF(A2249="","N° devis manquant",IF(ISNA(MATCH(A2249,dv_num,0)),"Devis inconnu",IF(AND(B2249&lt;&gt;"",ISNA(MATCH(B2249,pr_code,0))),"Article inconnu",IF(H2249="","Désignation manquante",IF(OR(NOT(ISNUMBER(D2249)),N(D2249)&lt;=0),"Quantité invalide",IF(J2249="","Prix manquant",IF(OR(NOT(ISNUMBER(J2249)),N(J2249)&lt;0),"Prix invalide",IF(OR(AND(F2249&lt;&gt;"",NOT(ISNUMBER(F2249))),N(F2249)&lt;0,N(F2249)&gt;1),"Remise invalide",IF(K2249="","Taux de TVA manquant",IF(NOT(ISNUMBER(K2249)),"Taux de TVA invalide",IF(COUNTIF(p_rates,K2249)=0,"Taux de TVA hors liste (Paramètres)",IF(N(O2249)&gt;25,"Au-delà de 25 lignes : non imprimée","OK")))))))))))))</f>
        <v/>
      </c>
      <c r="O2249" s="59" t="str">
        <f>IF(A2249="","",COUNTIF($A$6:A2249,A2249))</f>
        <v/>
      </c>
      <c r="P2249" s="62" t="str">
        <f>IF(A2249="","",A2249&amp;"|"&amp;O2249)</f>
        <v/>
      </c>
    </row>
    <row r="2250">
      <c r="A2250" s="60" t="n"/>
      <c r="B2250" s="63" t="n"/>
      <c r="C2250" s="63" t="n"/>
      <c r="D2250" s="67" t="n"/>
      <c r="E2250" s="68" t="n"/>
      <c r="F2250" s="69" t="n"/>
      <c r="G2250" s="70" t="n"/>
      <c r="H2250" s="62" t="str">
        <f>IF(COUNTA(A2250:G2250)=0,"",IF(C2250&lt;&gt;"",C2250,IF(B2250="","",IFERROR(INDEX(pr_des,MATCH(B2250,pr_code,0))&amp;"",""))))</f>
        <v/>
      </c>
      <c r="I2250" s="59" t="str">
        <f>IF(B2250="","",IFERROR(INDEX(pr_unit,MATCH(B2250,pr_code,0))&amp;"",""))</f>
        <v/>
      </c>
      <c r="J2250" s="65" t="str">
        <f>IF(COUNTA(A2250:G2250)=0,"",IF(E2250&lt;&gt;"",E2250,IF(B2250="","",IFERROR(IF(INDEX(pr_price,MATCH(B2250,pr_code,0))="","",INDEX(pr_price,MATCH(B2250,pr_code,0))),""))))</f>
        <v/>
      </c>
      <c r="K2250" s="71" t="str">
        <f>IF(COUNTA(A2250:G2250)=0,"",IF(G2250&lt;&gt;"",G2250,IF(B2250="","",IFERROR(IF(INDEX(pr_rate,MATCH(B2250,pr_code,0))="","",INDEX(pr_rate,MATCH(B2250,pr_code,0))),""))))</f>
        <v/>
      </c>
      <c r="L2250" s="65" t="str">
        <f>IF(COUNTA(A2250:G2250)=0,"",IF(AND(ISNUMBER(D2250),ISNUMBER(J2250)),ROUND(D2250*J2250*(1-N(F2250)),2),0))</f>
        <v/>
      </c>
      <c r="M2250" s="62" t="str">
        <f>IF(A2250="","",IFERROR(INDEX(dv_cname,MATCH(A2250,dv_num,0))&amp;"",""))</f>
        <v/>
      </c>
      <c r="N2250" s="59" t="str">
        <f>IF(COUNTA(A2250:G2250)=0,"",IF(A2250="","N° devis manquant",IF(ISNA(MATCH(A2250,dv_num,0)),"Devis inconnu",IF(AND(B2250&lt;&gt;"",ISNA(MATCH(B2250,pr_code,0))),"Article inconnu",IF(H2250="","Désignation manquante",IF(OR(NOT(ISNUMBER(D2250)),N(D2250)&lt;=0),"Quantité invalide",IF(J2250="","Prix manquant",IF(OR(NOT(ISNUMBER(J2250)),N(J2250)&lt;0),"Prix invalide",IF(OR(AND(F2250&lt;&gt;"",NOT(ISNUMBER(F2250))),N(F2250)&lt;0,N(F2250)&gt;1),"Remise invalide",IF(K2250="","Taux de TVA manquant",IF(NOT(ISNUMBER(K2250)),"Taux de TVA invalide",IF(COUNTIF(p_rates,K2250)=0,"Taux de TVA hors liste (Paramètres)",IF(N(O2250)&gt;25,"Au-delà de 25 lignes : non imprimée","OK")))))))))))))</f>
        <v/>
      </c>
      <c r="O2250" s="59" t="str">
        <f>IF(A2250="","",COUNTIF($A$6:A2250,A2250))</f>
        <v/>
      </c>
      <c r="P2250" s="62" t="str">
        <f>IF(A2250="","",A2250&amp;"|"&amp;O2250)</f>
        <v/>
      </c>
    </row>
    <row r="2251">
      <c r="A2251" s="60" t="n"/>
      <c r="B2251" s="63" t="n"/>
      <c r="C2251" s="63" t="n"/>
      <c r="D2251" s="67" t="n"/>
      <c r="E2251" s="68" t="n"/>
      <c r="F2251" s="69" t="n"/>
      <c r="G2251" s="70" t="n"/>
      <c r="H2251" s="62" t="str">
        <f>IF(COUNTA(A2251:G2251)=0,"",IF(C2251&lt;&gt;"",C2251,IF(B2251="","",IFERROR(INDEX(pr_des,MATCH(B2251,pr_code,0))&amp;"",""))))</f>
        <v/>
      </c>
      <c r="I2251" s="59" t="str">
        <f>IF(B2251="","",IFERROR(INDEX(pr_unit,MATCH(B2251,pr_code,0))&amp;"",""))</f>
        <v/>
      </c>
      <c r="J2251" s="65" t="str">
        <f>IF(COUNTA(A2251:G2251)=0,"",IF(E2251&lt;&gt;"",E2251,IF(B2251="","",IFERROR(IF(INDEX(pr_price,MATCH(B2251,pr_code,0))="","",INDEX(pr_price,MATCH(B2251,pr_code,0))),""))))</f>
        <v/>
      </c>
      <c r="K2251" s="71" t="str">
        <f>IF(COUNTA(A2251:G2251)=0,"",IF(G2251&lt;&gt;"",G2251,IF(B2251="","",IFERROR(IF(INDEX(pr_rate,MATCH(B2251,pr_code,0))="","",INDEX(pr_rate,MATCH(B2251,pr_code,0))),""))))</f>
        <v/>
      </c>
      <c r="L2251" s="65" t="str">
        <f>IF(COUNTA(A2251:G2251)=0,"",IF(AND(ISNUMBER(D2251),ISNUMBER(J2251)),ROUND(D2251*J2251*(1-N(F2251)),2),0))</f>
        <v/>
      </c>
      <c r="M2251" s="62" t="str">
        <f>IF(A2251="","",IFERROR(INDEX(dv_cname,MATCH(A2251,dv_num,0))&amp;"",""))</f>
        <v/>
      </c>
      <c r="N2251" s="59" t="str">
        <f>IF(COUNTA(A2251:G2251)=0,"",IF(A2251="","N° devis manquant",IF(ISNA(MATCH(A2251,dv_num,0)),"Devis inconnu",IF(AND(B2251&lt;&gt;"",ISNA(MATCH(B2251,pr_code,0))),"Article inconnu",IF(H2251="","Désignation manquante",IF(OR(NOT(ISNUMBER(D2251)),N(D2251)&lt;=0),"Quantité invalide",IF(J2251="","Prix manquant",IF(OR(NOT(ISNUMBER(J2251)),N(J2251)&lt;0),"Prix invalide",IF(OR(AND(F2251&lt;&gt;"",NOT(ISNUMBER(F2251))),N(F2251)&lt;0,N(F2251)&gt;1),"Remise invalide",IF(K2251="","Taux de TVA manquant",IF(NOT(ISNUMBER(K2251)),"Taux de TVA invalide",IF(COUNTIF(p_rates,K2251)=0,"Taux de TVA hors liste (Paramètres)",IF(N(O2251)&gt;25,"Au-delà de 25 lignes : non imprimée","OK")))))))))))))</f>
        <v/>
      </c>
      <c r="O2251" s="59" t="str">
        <f>IF(A2251="","",COUNTIF($A$6:A2251,A2251))</f>
        <v/>
      </c>
      <c r="P2251" s="62" t="str">
        <f>IF(A2251="","",A2251&amp;"|"&amp;O2251)</f>
        <v/>
      </c>
    </row>
    <row r="2252">
      <c r="A2252" s="60" t="n"/>
      <c r="B2252" s="63" t="n"/>
      <c r="C2252" s="63" t="n"/>
      <c r="D2252" s="67" t="n"/>
      <c r="E2252" s="68" t="n"/>
      <c r="F2252" s="69" t="n"/>
      <c r="G2252" s="70" t="n"/>
      <c r="H2252" s="62" t="str">
        <f>IF(COUNTA(A2252:G2252)=0,"",IF(C2252&lt;&gt;"",C2252,IF(B2252="","",IFERROR(INDEX(pr_des,MATCH(B2252,pr_code,0))&amp;"",""))))</f>
        <v/>
      </c>
      <c r="I2252" s="59" t="str">
        <f>IF(B2252="","",IFERROR(INDEX(pr_unit,MATCH(B2252,pr_code,0))&amp;"",""))</f>
        <v/>
      </c>
      <c r="J2252" s="65" t="str">
        <f>IF(COUNTA(A2252:G2252)=0,"",IF(E2252&lt;&gt;"",E2252,IF(B2252="","",IFERROR(IF(INDEX(pr_price,MATCH(B2252,pr_code,0))="","",INDEX(pr_price,MATCH(B2252,pr_code,0))),""))))</f>
        <v/>
      </c>
      <c r="K2252" s="71" t="str">
        <f>IF(COUNTA(A2252:G2252)=0,"",IF(G2252&lt;&gt;"",G2252,IF(B2252="","",IFERROR(IF(INDEX(pr_rate,MATCH(B2252,pr_code,0))="","",INDEX(pr_rate,MATCH(B2252,pr_code,0))),""))))</f>
        <v/>
      </c>
      <c r="L2252" s="65" t="str">
        <f>IF(COUNTA(A2252:G2252)=0,"",IF(AND(ISNUMBER(D2252),ISNUMBER(J2252)),ROUND(D2252*J2252*(1-N(F2252)),2),0))</f>
        <v/>
      </c>
      <c r="M2252" s="62" t="str">
        <f>IF(A2252="","",IFERROR(INDEX(dv_cname,MATCH(A2252,dv_num,0))&amp;"",""))</f>
        <v/>
      </c>
      <c r="N2252" s="59" t="str">
        <f>IF(COUNTA(A2252:G2252)=0,"",IF(A2252="","N° devis manquant",IF(ISNA(MATCH(A2252,dv_num,0)),"Devis inconnu",IF(AND(B2252&lt;&gt;"",ISNA(MATCH(B2252,pr_code,0))),"Article inconnu",IF(H2252="","Désignation manquante",IF(OR(NOT(ISNUMBER(D2252)),N(D2252)&lt;=0),"Quantité invalide",IF(J2252="","Prix manquant",IF(OR(NOT(ISNUMBER(J2252)),N(J2252)&lt;0),"Prix invalide",IF(OR(AND(F2252&lt;&gt;"",NOT(ISNUMBER(F2252))),N(F2252)&lt;0,N(F2252)&gt;1),"Remise invalide",IF(K2252="","Taux de TVA manquant",IF(NOT(ISNUMBER(K2252)),"Taux de TVA invalide",IF(COUNTIF(p_rates,K2252)=0,"Taux de TVA hors liste (Paramètres)",IF(N(O2252)&gt;25,"Au-delà de 25 lignes : non imprimée","OK")))))))))))))</f>
        <v/>
      </c>
      <c r="O2252" s="59" t="str">
        <f>IF(A2252="","",COUNTIF($A$6:A2252,A2252))</f>
        <v/>
      </c>
      <c r="P2252" s="62" t="str">
        <f>IF(A2252="","",A2252&amp;"|"&amp;O2252)</f>
        <v/>
      </c>
    </row>
    <row r="2253">
      <c r="A2253" s="60" t="n"/>
      <c r="B2253" s="63" t="n"/>
      <c r="C2253" s="63" t="n"/>
      <c r="D2253" s="67" t="n"/>
      <c r="E2253" s="68" t="n"/>
      <c r="F2253" s="69" t="n"/>
      <c r="G2253" s="70" t="n"/>
      <c r="H2253" s="62" t="str">
        <f>IF(COUNTA(A2253:G2253)=0,"",IF(C2253&lt;&gt;"",C2253,IF(B2253="","",IFERROR(INDEX(pr_des,MATCH(B2253,pr_code,0))&amp;"",""))))</f>
        <v/>
      </c>
      <c r="I2253" s="59" t="str">
        <f>IF(B2253="","",IFERROR(INDEX(pr_unit,MATCH(B2253,pr_code,0))&amp;"",""))</f>
        <v/>
      </c>
      <c r="J2253" s="65" t="str">
        <f>IF(COUNTA(A2253:G2253)=0,"",IF(E2253&lt;&gt;"",E2253,IF(B2253="","",IFERROR(IF(INDEX(pr_price,MATCH(B2253,pr_code,0))="","",INDEX(pr_price,MATCH(B2253,pr_code,0))),""))))</f>
        <v/>
      </c>
      <c r="K2253" s="71" t="str">
        <f>IF(COUNTA(A2253:G2253)=0,"",IF(G2253&lt;&gt;"",G2253,IF(B2253="","",IFERROR(IF(INDEX(pr_rate,MATCH(B2253,pr_code,0))="","",INDEX(pr_rate,MATCH(B2253,pr_code,0))),""))))</f>
        <v/>
      </c>
      <c r="L2253" s="65" t="str">
        <f>IF(COUNTA(A2253:G2253)=0,"",IF(AND(ISNUMBER(D2253),ISNUMBER(J2253)),ROUND(D2253*J2253*(1-N(F2253)),2),0))</f>
        <v/>
      </c>
      <c r="M2253" s="62" t="str">
        <f>IF(A2253="","",IFERROR(INDEX(dv_cname,MATCH(A2253,dv_num,0))&amp;"",""))</f>
        <v/>
      </c>
      <c r="N2253" s="59" t="str">
        <f>IF(COUNTA(A2253:G2253)=0,"",IF(A2253="","N° devis manquant",IF(ISNA(MATCH(A2253,dv_num,0)),"Devis inconnu",IF(AND(B2253&lt;&gt;"",ISNA(MATCH(B2253,pr_code,0))),"Article inconnu",IF(H2253="","Désignation manquante",IF(OR(NOT(ISNUMBER(D2253)),N(D2253)&lt;=0),"Quantité invalide",IF(J2253="","Prix manquant",IF(OR(NOT(ISNUMBER(J2253)),N(J2253)&lt;0),"Prix invalide",IF(OR(AND(F2253&lt;&gt;"",NOT(ISNUMBER(F2253))),N(F2253)&lt;0,N(F2253)&gt;1),"Remise invalide",IF(K2253="","Taux de TVA manquant",IF(NOT(ISNUMBER(K2253)),"Taux de TVA invalide",IF(COUNTIF(p_rates,K2253)=0,"Taux de TVA hors liste (Paramètres)",IF(N(O2253)&gt;25,"Au-delà de 25 lignes : non imprimée","OK")))))))))))))</f>
        <v/>
      </c>
      <c r="O2253" s="59" t="str">
        <f>IF(A2253="","",COUNTIF($A$6:A2253,A2253))</f>
        <v/>
      </c>
      <c r="P2253" s="62" t="str">
        <f>IF(A2253="","",A2253&amp;"|"&amp;O2253)</f>
        <v/>
      </c>
    </row>
    <row r="2254">
      <c r="A2254" s="60" t="n"/>
      <c r="B2254" s="63" t="n"/>
      <c r="C2254" s="63" t="n"/>
      <c r="D2254" s="67" t="n"/>
      <c r="E2254" s="68" t="n"/>
      <c r="F2254" s="69" t="n"/>
      <c r="G2254" s="70" t="n"/>
      <c r="H2254" s="62" t="str">
        <f>IF(COUNTA(A2254:G2254)=0,"",IF(C2254&lt;&gt;"",C2254,IF(B2254="","",IFERROR(INDEX(pr_des,MATCH(B2254,pr_code,0))&amp;"",""))))</f>
        <v/>
      </c>
      <c r="I2254" s="59" t="str">
        <f>IF(B2254="","",IFERROR(INDEX(pr_unit,MATCH(B2254,pr_code,0))&amp;"",""))</f>
        <v/>
      </c>
      <c r="J2254" s="65" t="str">
        <f>IF(COUNTA(A2254:G2254)=0,"",IF(E2254&lt;&gt;"",E2254,IF(B2254="","",IFERROR(IF(INDEX(pr_price,MATCH(B2254,pr_code,0))="","",INDEX(pr_price,MATCH(B2254,pr_code,0))),""))))</f>
        <v/>
      </c>
      <c r="K2254" s="71" t="str">
        <f>IF(COUNTA(A2254:G2254)=0,"",IF(G2254&lt;&gt;"",G2254,IF(B2254="","",IFERROR(IF(INDEX(pr_rate,MATCH(B2254,pr_code,0))="","",INDEX(pr_rate,MATCH(B2254,pr_code,0))),""))))</f>
        <v/>
      </c>
      <c r="L2254" s="65" t="str">
        <f>IF(COUNTA(A2254:G2254)=0,"",IF(AND(ISNUMBER(D2254),ISNUMBER(J2254)),ROUND(D2254*J2254*(1-N(F2254)),2),0))</f>
        <v/>
      </c>
      <c r="M2254" s="62" t="str">
        <f>IF(A2254="","",IFERROR(INDEX(dv_cname,MATCH(A2254,dv_num,0))&amp;"",""))</f>
        <v/>
      </c>
      <c r="N2254" s="59" t="str">
        <f>IF(COUNTA(A2254:G2254)=0,"",IF(A2254="","N° devis manquant",IF(ISNA(MATCH(A2254,dv_num,0)),"Devis inconnu",IF(AND(B2254&lt;&gt;"",ISNA(MATCH(B2254,pr_code,0))),"Article inconnu",IF(H2254="","Désignation manquante",IF(OR(NOT(ISNUMBER(D2254)),N(D2254)&lt;=0),"Quantité invalide",IF(J2254="","Prix manquant",IF(OR(NOT(ISNUMBER(J2254)),N(J2254)&lt;0),"Prix invalide",IF(OR(AND(F2254&lt;&gt;"",NOT(ISNUMBER(F2254))),N(F2254)&lt;0,N(F2254)&gt;1),"Remise invalide",IF(K2254="","Taux de TVA manquant",IF(NOT(ISNUMBER(K2254)),"Taux de TVA invalide",IF(COUNTIF(p_rates,K2254)=0,"Taux de TVA hors liste (Paramètres)",IF(N(O2254)&gt;25,"Au-delà de 25 lignes : non imprimée","OK")))))))))))))</f>
        <v/>
      </c>
      <c r="O2254" s="59" t="str">
        <f>IF(A2254="","",COUNTIF($A$6:A2254,A2254))</f>
        <v/>
      </c>
      <c r="P2254" s="62" t="str">
        <f>IF(A2254="","",A2254&amp;"|"&amp;O2254)</f>
        <v/>
      </c>
    </row>
    <row r="2255">
      <c r="A2255" s="60" t="n"/>
      <c r="B2255" s="63" t="n"/>
      <c r="C2255" s="63" t="n"/>
      <c r="D2255" s="67" t="n"/>
      <c r="E2255" s="68" t="n"/>
      <c r="F2255" s="69" t="n"/>
      <c r="G2255" s="70" t="n"/>
      <c r="H2255" s="62" t="str">
        <f>IF(COUNTA(A2255:G2255)=0,"",IF(C2255&lt;&gt;"",C2255,IF(B2255="","",IFERROR(INDEX(pr_des,MATCH(B2255,pr_code,0))&amp;"",""))))</f>
        <v/>
      </c>
      <c r="I2255" s="59" t="str">
        <f>IF(B2255="","",IFERROR(INDEX(pr_unit,MATCH(B2255,pr_code,0))&amp;"",""))</f>
        <v/>
      </c>
      <c r="J2255" s="65" t="str">
        <f>IF(COUNTA(A2255:G2255)=0,"",IF(E2255&lt;&gt;"",E2255,IF(B2255="","",IFERROR(IF(INDEX(pr_price,MATCH(B2255,pr_code,0))="","",INDEX(pr_price,MATCH(B2255,pr_code,0))),""))))</f>
        <v/>
      </c>
      <c r="K2255" s="71" t="str">
        <f>IF(COUNTA(A2255:G2255)=0,"",IF(G2255&lt;&gt;"",G2255,IF(B2255="","",IFERROR(IF(INDEX(pr_rate,MATCH(B2255,pr_code,0))="","",INDEX(pr_rate,MATCH(B2255,pr_code,0))),""))))</f>
        <v/>
      </c>
      <c r="L2255" s="65" t="str">
        <f>IF(COUNTA(A2255:G2255)=0,"",IF(AND(ISNUMBER(D2255),ISNUMBER(J2255)),ROUND(D2255*J2255*(1-N(F2255)),2),0))</f>
        <v/>
      </c>
      <c r="M2255" s="62" t="str">
        <f>IF(A2255="","",IFERROR(INDEX(dv_cname,MATCH(A2255,dv_num,0))&amp;"",""))</f>
        <v/>
      </c>
      <c r="N2255" s="59" t="str">
        <f>IF(COUNTA(A2255:G2255)=0,"",IF(A2255="","N° devis manquant",IF(ISNA(MATCH(A2255,dv_num,0)),"Devis inconnu",IF(AND(B2255&lt;&gt;"",ISNA(MATCH(B2255,pr_code,0))),"Article inconnu",IF(H2255="","Désignation manquante",IF(OR(NOT(ISNUMBER(D2255)),N(D2255)&lt;=0),"Quantité invalide",IF(J2255="","Prix manquant",IF(OR(NOT(ISNUMBER(J2255)),N(J2255)&lt;0),"Prix invalide",IF(OR(AND(F2255&lt;&gt;"",NOT(ISNUMBER(F2255))),N(F2255)&lt;0,N(F2255)&gt;1),"Remise invalide",IF(K2255="","Taux de TVA manquant",IF(NOT(ISNUMBER(K2255)),"Taux de TVA invalide",IF(COUNTIF(p_rates,K2255)=0,"Taux de TVA hors liste (Paramètres)",IF(N(O2255)&gt;25,"Au-delà de 25 lignes : non imprimée","OK")))))))))))))</f>
        <v/>
      </c>
      <c r="O2255" s="59" t="str">
        <f>IF(A2255="","",COUNTIF($A$6:A2255,A2255))</f>
        <v/>
      </c>
      <c r="P2255" s="62" t="str">
        <f>IF(A2255="","",A2255&amp;"|"&amp;O2255)</f>
        <v/>
      </c>
    </row>
    <row r="2256">
      <c r="A2256" s="60" t="n"/>
      <c r="B2256" s="63" t="n"/>
      <c r="C2256" s="63" t="n"/>
      <c r="D2256" s="67" t="n"/>
      <c r="E2256" s="68" t="n"/>
      <c r="F2256" s="69" t="n"/>
      <c r="G2256" s="70" t="n"/>
      <c r="H2256" s="62" t="str">
        <f>IF(COUNTA(A2256:G2256)=0,"",IF(C2256&lt;&gt;"",C2256,IF(B2256="","",IFERROR(INDEX(pr_des,MATCH(B2256,pr_code,0))&amp;"",""))))</f>
        <v/>
      </c>
      <c r="I2256" s="59" t="str">
        <f>IF(B2256="","",IFERROR(INDEX(pr_unit,MATCH(B2256,pr_code,0))&amp;"",""))</f>
        <v/>
      </c>
      <c r="J2256" s="65" t="str">
        <f>IF(COUNTA(A2256:G2256)=0,"",IF(E2256&lt;&gt;"",E2256,IF(B2256="","",IFERROR(IF(INDEX(pr_price,MATCH(B2256,pr_code,0))="","",INDEX(pr_price,MATCH(B2256,pr_code,0))),""))))</f>
        <v/>
      </c>
      <c r="K2256" s="71" t="str">
        <f>IF(COUNTA(A2256:G2256)=0,"",IF(G2256&lt;&gt;"",G2256,IF(B2256="","",IFERROR(IF(INDEX(pr_rate,MATCH(B2256,pr_code,0))="","",INDEX(pr_rate,MATCH(B2256,pr_code,0))),""))))</f>
        <v/>
      </c>
      <c r="L2256" s="65" t="str">
        <f>IF(COUNTA(A2256:G2256)=0,"",IF(AND(ISNUMBER(D2256),ISNUMBER(J2256)),ROUND(D2256*J2256*(1-N(F2256)),2),0))</f>
        <v/>
      </c>
      <c r="M2256" s="62" t="str">
        <f>IF(A2256="","",IFERROR(INDEX(dv_cname,MATCH(A2256,dv_num,0))&amp;"",""))</f>
        <v/>
      </c>
      <c r="N2256" s="59" t="str">
        <f>IF(COUNTA(A2256:G2256)=0,"",IF(A2256="","N° devis manquant",IF(ISNA(MATCH(A2256,dv_num,0)),"Devis inconnu",IF(AND(B2256&lt;&gt;"",ISNA(MATCH(B2256,pr_code,0))),"Article inconnu",IF(H2256="","Désignation manquante",IF(OR(NOT(ISNUMBER(D2256)),N(D2256)&lt;=0),"Quantité invalide",IF(J2256="","Prix manquant",IF(OR(NOT(ISNUMBER(J2256)),N(J2256)&lt;0),"Prix invalide",IF(OR(AND(F2256&lt;&gt;"",NOT(ISNUMBER(F2256))),N(F2256)&lt;0,N(F2256)&gt;1),"Remise invalide",IF(K2256="","Taux de TVA manquant",IF(NOT(ISNUMBER(K2256)),"Taux de TVA invalide",IF(COUNTIF(p_rates,K2256)=0,"Taux de TVA hors liste (Paramètres)",IF(N(O2256)&gt;25,"Au-delà de 25 lignes : non imprimée","OK")))))))))))))</f>
        <v/>
      </c>
      <c r="O2256" s="59" t="str">
        <f>IF(A2256="","",COUNTIF($A$6:A2256,A2256))</f>
        <v/>
      </c>
      <c r="P2256" s="62" t="str">
        <f>IF(A2256="","",A2256&amp;"|"&amp;O2256)</f>
        <v/>
      </c>
    </row>
    <row r="2257">
      <c r="A2257" s="60" t="n"/>
      <c r="B2257" s="63" t="n"/>
      <c r="C2257" s="63" t="n"/>
      <c r="D2257" s="67" t="n"/>
      <c r="E2257" s="68" t="n"/>
      <c r="F2257" s="69" t="n"/>
      <c r="G2257" s="70" t="n"/>
      <c r="H2257" s="62" t="str">
        <f>IF(COUNTA(A2257:G2257)=0,"",IF(C2257&lt;&gt;"",C2257,IF(B2257="","",IFERROR(INDEX(pr_des,MATCH(B2257,pr_code,0))&amp;"",""))))</f>
        <v/>
      </c>
      <c r="I2257" s="59" t="str">
        <f>IF(B2257="","",IFERROR(INDEX(pr_unit,MATCH(B2257,pr_code,0))&amp;"",""))</f>
        <v/>
      </c>
      <c r="J2257" s="65" t="str">
        <f>IF(COUNTA(A2257:G2257)=0,"",IF(E2257&lt;&gt;"",E2257,IF(B2257="","",IFERROR(IF(INDEX(pr_price,MATCH(B2257,pr_code,0))="","",INDEX(pr_price,MATCH(B2257,pr_code,0))),""))))</f>
        <v/>
      </c>
      <c r="K2257" s="71" t="str">
        <f>IF(COUNTA(A2257:G2257)=0,"",IF(G2257&lt;&gt;"",G2257,IF(B2257="","",IFERROR(IF(INDEX(pr_rate,MATCH(B2257,pr_code,0))="","",INDEX(pr_rate,MATCH(B2257,pr_code,0))),""))))</f>
        <v/>
      </c>
      <c r="L2257" s="65" t="str">
        <f>IF(COUNTA(A2257:G2257)=0,"",IF(AND(ISNUMBER(D2257),ISNUMBER(J2257)),ROUND(D2257*J2257*(1-N(F2257)),2),0))</f>
        <v/>
      </c>
      <c r="M2257" s="62" t="str">
        <f>IF(A2257="","",IFERROR(INDEX(dv_cname,MATCH(A2257,dv_num,0))&amp;"",""))</f>
        <v/>
      </c>
      <c r="N2257" s="59" t="str">
        <f>IF(COUNTA(A2257:G2257)=0,"",IF(A2257="","N° devis manquant",IF(ISNA(MATCH(A2257,dv_num,0)),"Devis inconnu",IF(AND(B2257&lt;&gt;"",ISNA(MATCH(B2257,pr_code,0))),"Article inconnu",IF(H2257="","Désignation manquante",IF(OR(NOT(ISNUMBER(D2257)),N(D2257)&lt;=0),"Quantité invalide",IF(J2257="","Prix manquant",IF(OR(NOT(ISNUMBER(J2257)),N(J2257)&lt;0),"Prix invalide",IF(OR(AND(F2257&lt;&gt;"",NOT(ISNUMBER(F2257))),N(F2257)&lt;0,N(F2257)&gt;1),"Remise invalide",IF(K2257="","Taux de TVA manquant",IF(NOT(ISNUMBER(K2257)),"Taux de TVA invalide",IF(COUNTIF(p_rates,K2257)=0,"Taux de TVA hors liste (Paramètres)",IF(N(O2257)&gt;25,"Au-delà de 25 lignes : non imprimée","OK")))))))))))))</f>
        <v/>
      </c>
      <c r="O2257" s="59" t="str">
        <f>IF(A2257="","",COUNTIF($A$6:A2257,A2257))</f>
        <v/>
      </c>
      <c r="P2257" s="62" t="str">
        <f>IF(A2257="","",A2257&amp;"|"&amp;O2257)</f>
        <v/>
      </c>
    </row>
    <row r="2258">
      <c r="A2258" s="60" t="n"/>
      <c r="B2258" s="63" t="n"/>
      <c r="C2258" s="63" t="n"/>
      <c r="D2258" s="67" t="n"/>
      <c r="E2258" s="68" t="n"/>
      <c r="F2258" s="69" t="n"/>
      <c r="G2258" s="70" t="n"/>
      <c r="H2258" s="62" t="str">
        <f>IF(COUNTA(A2258:G2258)=0,"",IF(C2258&lt;&gt;"",C2258,IF(B2258="","",IFERROR(INDEX(pr_des,MATCH(B2258,pr_code,0))&amp;"",""))))</f>
        <v/>
      </c>
      <c r="I2258" s="59" t="str">
        <f>IF(B2258="","",IFERROR(INDEX(pr_unit,MATCH(B2258,pr_code,0))&amp;"",""))</f>
        <v/>
      </c>
      <c r="J2258" s="65" t="str">
        <f>IF(COUNTA(A2258:G2258)=0,"",IF(E2258&lt;&gt;"",E2258,IF(B2258="","",IFERROR(IF(INDEX(pr_price,MATCH(B2258,pr_code,0))="","",INDEX(pr_price,MATCH(B2258,pr_code,0))),""))))</f>
        <v/>
      </c>
      <c r="K2258" s="71" t="str">
        <f>IF(COUNTA(A2258:G2258)=0,"",IF(G2258&lt;&gt;"",G2258,IF(B2258="","",IFERROR(IF(INDEX(pr_rate,MATCH(B2258,pr_code,0))="","",INDEX(pr_rate,MATCH(B2258,pr_code,0))),""))))</f>
        <v/>
      </c>
      <c r="L2258" s="65" t="str">
        <f>IF(COUNTA(A2258:G2258)=0,"",IF(AND(ISNUMBER(D2258),ISNUMBER(J2258)),ROUND(D2258*J2258*(1-N(F2258)),2),0))</f>
        <v/>
      </c>
      <c r="M2258" s="62" t="str">
        <f>IF(A2258="","",IFERROR(INDEX(dv_cname,MATCH(A2258,dv_num,0))&amp;"",""))</f>
        <v/>
      </c>
      <c r="N2258" s="59" t="str">
        <f>IF(COUNTA(A2258:G2258)=0,"",IF(A2258="","N° devis manquant",IF(ISNA(MATCH(A2258,dv_num,0)),"Devis inconnu",IF(AND(B2258&lt;&gt;"",ISNA(MATCH(B2258,pr_code,0))),"Article inconnu",IF(H2258="","Désignation manquante",IF(OR(NOT(ISNUMBER(D2258)),N(D2258)&lt;=0),"Quantité invalide",IF(J2258="","Prix manquant",IF(OR(NOT(ISNUMBER(J2258)),N(J2258)&lt;0),"Prix invalide",IF(OR(AND(F2258&lt;&gt;"",NOT(ISNUMBER(F2258))),N(F2258)&lt;0,N(F2258)&gt;1),"Remise invalide",IF(K2258="","Taux de TVA manquant",IF(NOT(ISNUMBER(K2258)),"Taux de TVA invalide",IF(COUNTIF(p_rates,K2258)=0,"Taux de TVA hors liste (Paramètres)",IF(N(O2258)&gt;25,"Au-delà de 25 lignes : non imprimée","OK")))))))))))))</f>
        <v/>
      </c>
      <c r="O2258" s="59" t="str">
        <f>IF(A2258="","",COUNTIF($A$6:A2258,A2258))</f>
        <v/>
      </c>
      <c r="P2258" s="62" t="str">
        <f>IF(A2258="","",A2258&amp;"|"&amp;O2258)</f>
        <v/>
      </c>
    </row>
    <row r="2259">
      <c r="A2259" s="60" t="n"/>
      <c r="B2259" s="63" t="n"/>
      <c r="C2259" s="63" t="n"/>
      <c r="D2259" s="67" t="n"/>
      <c r="E2259" s="68" t="n"/>
      <c r="F2259" s="69" t="n"/>
      <c r="G2259" s="70" t="n"/>
      <c r="H2259" s="62" t="str">
        <f>IF(COUNTA(A2259:G2259)=0,"",IF(C2259&lt;&gt;"",C2259,IF(B2259="","",IFERROR(INDEX(pr_des,MATCH(B2259,pr_code,0))&amp;"",""))))</f>
        <v/>
      </c>
      <c r="I2259" s="59" t="str">
        <f>IF(B2259="","",IFERROR(INDEX(pr_unit,MATCH(B2259,pr_code,0))&amp;"",""))</f>
        <v/>
      </c>
      <c r="J2259" s="65" t="str">
        <f>IF(COUNTA(A2259:G2259)=0,"",IF(E2259&lt;&gt;"",E2259,IF(B2259="","",IFERROR(IF(INDEX(pr_price,MATCH(B2259,pr_code,0))="","",INDEX(pr_price,MATCH(B2259,pr_code,0))),""))))</f>
        <v/>
      </c>
      <c r="K2259" s="71" t="str">
        <f>IF(COUNTA(A2259:G2259)=0,"",IF(G2259&lt;&gt;"",G2259,IF(B2259="","",IFERROR(IF(INDEX(pr_rate,MATCH(B2259,pr_code,0))="","",INDEX(pr_rate,MATCH(B2259,pr_code,0))),""))))</f>
        <v/>
      </c>
      <c r="L2259" s="65" t="str">
        <f>IF(COUNTA(A2259:G2259)=0,"",IF(AND(ISNUMBER(D2259),ISNUMBER(J2259)),ROUND(D2259*J2259*(1-N(F2259)),2),0))</f>
        <v/>
      </c>
      <c r="M2259" s="62" t="str">
        <f>IF(A2259="","",IFERROR(INDEX(dv_cname,MATCH(A2259,dv_num,0))&amp;"",""))</f>
        <v/>
      </c>
      <c r="N2259" s="59" t="str">
        <f>IF(COUNTA(A2259:G2259)=0,"",IF(A2259="","N° devis manquant",IF(ISNA(MATCH(A2259,dv_num,0)),"Devis inconnu",IF(AND(B2259&lt;&gt;"",ISNA(MATCH(B2259,pr_code,0))),"Article inconnu",IF(H2259="","Désignation manquante",IF(OR(NOT(ISNUMBER(D2259)),N(D2259)&lt;=0),"Quantité invalide",IF(J2259="","Prix manquant",IF(OR(NOT(ISNUMBER(J2259)),N(J2259)&lt;0),"Prix invalide",IF(OR(AND(F2259&lt;&gt;"",NOT(ISNUMBER(F2259))),N(F2259)&lt;0,N(F2259)&gt;1),"Remise invalide",IF(K2259="","Taux de TVA manquant",IF(NOT(ISNUMBER(K2259)),"Taux de TVA invalide",IF(COUNTIF(p_rates,K2259)=0,"Taux de TVA hors liste (Paramètres)",IF(N(O2259)&gt;25,"Au-delà de 25 lignes : non imprimée","OK")))))))))))))</f>
        <v/>
      </c>
      <c r="O2259" s="59" t="str">
        <f>IF(A2259="","",COUNTIF($A$6:A2259,A2259))</f>
        <v/>
      </c>
      <c r="P2259" s="62" t="str">
        <f>IF(A2259="","",A2259&amp;"|"&amp;O2259)</f>
        <v/>
      </c>
    </row>
    <row r="2260">
      <c r="A2260" s="60" t="n"/>
      <c r="B2260" s="63" t="n"/>
      <c r="C2260" s="63" t="n"/>
      <c r="D2260" s="67" t="n"/>
      <c r="E2260" s="68" t="n"/>
      <c r="F2260" s="69" t="n"/>
      <c r="G2260" s="70" t="n"/>
      <c r="H2260" s="62" t="str">
        <f>IF(COUNTA(A2260:G2260)=0,"",IF(C2260&lt;&gt;"",C2260,IF(B2260="","",IFERROR(INDEX(pr_des,MATCH(B2260,pr_code,0))&amp;"",""))))</f>
        <v/>
      </c>
      <c r="I2260" s="59" t="str">
        <f>IF(B2260="","",IFERROR(INDEX(pr_unit,MATCH(B2260,pr_code,0))&amp;"",""))</f>
        <v/>
      </c>
      <c r="J2260" s="65" t="str">
        <f>IF(COUNTA(A2260:G2260)=0,"",IF(E2260&lt;&gt;"",E2260,IF(B2260="","",IFERROR(IF(INDEX(pr_price,MATCH(B2260,pr_code,0))="","",INDEX(pr_price,MATCH(B2260,pr_code,0))),""))))</f>
        <v/>
      </c>
      <c r="K2260" s="71" t="str">
        <f>IF(COUNTA(A2260:G2260)=0,"",IF(G2260&lt;&gt;"",G2260,IF(B2260="","",IFERROR(IF(INDEX(pr_rate,MATCH(B2260,pr_code,0))="","",INDEX(pr_rate,MATCH(B2260,pr_code,0))),""))))</f>
        <v/>
      </c>
      <c r="L2260" s="65" t="str">
        <f>IF(COUNTA(A2260:G2260)=0,"",IF(AND(ISNUMBER(D2260),ISNUMBER(J2260)),ROUND(D2260*J2260*(1-N(F2260)),2),0))</f>
        <v/>
      </c>
      <c r="M2260" s="62" t="str">
        <f>IF(A2260="","",IFERROR(INDEX(dv_cname,MATCH(A2260,dv_num,0))&amp;"",""))</f>
        <v/>
      </c>
      <c r="N2260" s="59" t="str">
        <f>IF(COUNTA(A2260:G2260)=0,"",IF(A2260="","N° devis manquant",IF(ISNA(MATCH(A2260,dv_num,0)),"Devis inconnu",IF(AND(B2260&lt;&gt;"",ISNA(MATCH(B2260,pr_code,0))),"Article inconnu",IF(H2260="","Désignation manquante",IF(OR(NOT(ISNUMBER(D2260)),N(D2260)&lt;=0),"Quantité invalide",IF(J2260="","Prix manquant",IF(OR(NOT(ISNUMBER(J2260)),N(J2260)&lt;0),"Prix invalide",IF(OR(AND(F2260&lt;&gt;"",NOT(ISNUMBER(F2260))),N(F2260)&lt;0,N(F2260)&gt;1),"Remise invalide",IF(K2260="","Taux de TVA manquant",IF(NOT(ISNUMBER(K2260)),"Taux de TVA invalide",IF(COUNTIF(p_rates,K2260)=0,"Taux de TVA hors liste (Paramètres)",IF(N(O2260)&gt;25,"Au-delà de 25 lignes : non imprimée","OK")))))))))))))</f>
        <v/>
      </c>
      <c r="O2260" s="59" t="str">
        <f>IF(A2260="","",COUNTIF($A$6:A2260,A2260))</f>
        <v/>
      </c>
      <c r="P2260" s="62" t="str">
        <f>IF(A2260="","",A2260&amp;"|"&amp;O2260)</f>
        <v/>
      </c>
    </row>
    <row r="2261">
      <c r="A2261" s="60" t="n"/>
      <c r="B2261" s="63" t="n"/>
      <c r="C2261" s="63" t="n"/>
      <c r="D2261" s="67" t="n"/>
      <c r="E2261" s="68" t="n"/>
      <c r="F2261" s="69" t="n"/>
      <c r="G2261" s="70" t="n"/>
      <c r="H2261" s="62" t="str">
        <f>IF(COUNTA(A2261:G2261)=0,"",IF(C2261&lt;&gt;"",C2261,IF(B2261="","",IFERROR(INDEX(pr_des,MATCH(B2261,pr_code,0))&amp;"",""))))</f>
        <v/>
      </c>
      <c r="I2261" s="59" t="str">
        <f>IF(B2261="","",IFERROR(INDEX(pr_unit,MATCH(B2261,pr_code,0))&amp;"",""))</f>
        <v/>
      </c>
      <c r="J2261" s="65" t="str">
        <f>IF(COUNTA(A2261:G2261)=0,"",IF(E2261&lt;&gt;"",E2261,IF(B2261="","",IFERROR(IF(INDEX(pr_price,MATCH(B2261,pr_code,0))="","",INDEX(pr_price,MATCH(B2261,pr_code,0))),""))))</f>
        <v/>
      </c>
      <c r="K2261" s="71" t="str">
        <f>IF(COUNTA(A2261:G2261)=0,"",IF(G2261&lt;&gt;"",G2261,IF(B2261="","",IFERROR(IF(INDEX(pr_rate,MATCH(B2261,pr_code,0))="","",INDEX(pr_rate,MATCH(B2261,pr_code,0))),""))))</f>
        <v/>
      </c>
      <c r="L2261" s="65" t="str">
        <f>IF(COUNTA(A2261:G2261)=0,"",IF(AND(ISNUMBER(D2261),ISNUMBER(J2261)),ROUND(D2261*J2261*(1-N(F2261)),2),0))</f>
        <v/>
      </c>
      <c r="M2261" s="62" t="str">
        <f>IF(A2261="","",IFERROR(INDEX(dv_cname,MATCH(A2261,dv_num,0))&amp;"",""))</f>
        <v/>
      </c>
      <c r="N2261" s="59" t="str">
        <f>IF(COUNTA(A2261:G2261)=0,"",IF(A2261="","N° devis manquant",IF(ISNA(MATCH(A2261,dv_num,0)),"Devis inconnu",IF(AND(B2261&lt;&gt;"",ISNA(MATCH(B2261,pr_code,0))),"Article inconnu",IF(H2261="","Désignation manquante",IF(OR(NOT(ISNUMBER(D2261)),N(D2261)&lt;=0),"Quantité invalide",IF(J2261="","Prix manquant",IF(OR(NOT(ISNUMBER(J2261)),N(J2261)&lt;0),"Prix invalide",IF(OR(AND(F2261&lt;&gt;"",NOT(ISNUMBER(F2261))),N(F2261)&lt;0,N(F2261)&gt;1),"Remise invalide",IF(K2261="","Taux de TVA manquant",IF(NOT(ISNUMBER(K2261)),"Taux de TVA invalide",IF(COUNTIF(p_rates,K2261)=0,"Taux de TVA hors liste (Paramètres)",IF(N(O2261)&gt;25,"Au-delà de 25 lignes : non imprimée","OK")))))))))))))</f>
        <v/>
      </c>
      <c r="O2261" s="59" t="str">
        <f>IF(A2261="","",COUNTIF($A$6:A2261,A2261))</f>
        <v/>
      </c>
      <c r="P2261" s="62" t="str">
        <f>IF(A2261="","",A2261&amp;"|"&amp;O2261)</f>
        <v/>
      </c>
    </row>
    <row r="2262">
      <c r="A2262" s="60" t="n"/>
      <c r="B2262" s="63" t="n"/>
      <c r="C2262" s="63" t="n"/>
      <c r="D2262" s="67" t="n"/>
      <c r="E2262" s="68" t="n"/>
      <c r="F2262" s="69" t="n"/>
      <c r="G2262" s="70" t="n"/>
      <c r="H2262" s="62" t="str">
        <f>IF(COUNTA(A2262:G2262)=0,"",IF(C2262&lt;&gt;"",C2262,IF(B2262="","",IFERROR(INDEX(pr_des,MATCH(B2262,pr_code,0))&amp;"",""))))</f>
        <v/>
      </c>
      <c r="I2262" s="59" t="str">
        <f>IF(B2262="","",IFERROR(INDEX(pr_unit,MATCH(B2262,pr_code,0))&amp;"",""))</f>
        <v/>
      </c>
      <c r="J2262" s="65" t="str">
        <f>IF(COUNTA(A2262:G2262)=0,"",IF(E2262&lt;&gt;"",E2262,IF(B2262="","",IFERROR(IF(INDEX(pr_price,MATCH(B2262,pr_code,0))="","",INDEX(pr_price,MATCH(B2262,pr_code,0))),""))))</f>
        <v/>
      </c>
      <c r="K2262" s="71" t="str">
        <f>IF(COUNTA(A2262:G2262)=0,"",IF(G2262&lt;&gt;"",G2262,IF(B2262="","",IFERROR(IF(INDEX(pr_rate,MATCH(B2262,pr_code,0))="","",INDEX(pr_rate,MATCH(B2262,pr_code,0))),""))))</f>
        <v/>
      </c>
      <c r="L2262" s="65" t="str">
        <f>IF(COUNTA(A2262:G2262)=0,"",IF(AND(ISNUMBER(D2262),ISNUMBER(J2262)),ROUND(D2262*J2262*(1-N(F2262)),2),0))</f>
        <v/>
      </c>
      <c r="M2262" s="62" t="str">
        <f>IF(A2262="","",IFERROR(INDEX(dv_cname,MATCH(A2262,dv_num,0))&amp;"",""))</f>
        <v/>
      </c>
      <c r="N2262" s="59" t="str">
        <f>IF(COUNTA(A2262:G2262)=0,"",IF(A2262="","N° devis manquant",IF(ISNA(MATCH(A2262,dv_num,0)),"Devis inconnu",IF(AND(B2262&lt;&gt;"",ISNA(MATCH(B2262,pr_code,0))),"Article inconnu",IF(H2262="","Désignation manquante",IF(OR(NOT(ISNUMBER(D2262)),N(D2262)&lt;=0),"Quantité invalide",IF(J2262="","Prix manquant",IF(OR(NOT(ISNUMBER(J2262)),N(J2262)&lt;0),"Prix invalide",IF(OR(AND(F2262&lt;&gt;"",NOT(ISNUMBER(F2262))),N(F2262)&lt;0,N(F2262)&gt;1),"Remise invalide",IF(K2262="","Taux de TVA manquant",IF(NOT(ISNUMBER(K2262)),"Taux de TVA invalide",IF(COUNTIF(p_rates,K2262)=0,"Taux de TVA hors liste (Paramètres)",IF(N(O2262)&gt;25,"Au-delà de 25 lignes : non imprimée","OK")))))))))))))</f>
        <v/>
      </c>
      <c r="O2262" s="59" t="str">
        <f>IF(A2262="","",COUNTIF($A$6:A2262,A2262))</f>
        <v/>
      </c>
      <c r="P2262" s="62" t="str">
        <f>IF(A2262="","",A2262&amp;"|"&amp;O2262)</f>
        <v/>
      </c>
    </row>
    <row r="2263">
      <c r="A2263" s="60" t="n"/>
      <c r="B2263" s="63" t="n"/>
      <c r="C2263" s="63" t="n"/>
      <c r="D2263" s="67" t="n"/>
      <c r="E2263" s="68" t="n"/>
      <c r="F2263" s="69" t="n"/>
      <c r="G2263" s="70" t="n"/>
      <c r="H2263" s="62" t="str">
        <f>IF(COUNTA(A2263:G2263)=0,"",IF(C2263&lt;&gt;"",C2263,IF(B2263="","",IFERROR(INDEX(pr_des,MATCH(B2263,pr_code,0))&amp;"",""))))</f>
        <v/>
      </c>
      <c r="I2263" s="59" t="str">
        <f>IF(B2263="","",IFERROR(INDEX(pr_unit,MATCH(B2263,pr_code,0))&amp;"",""))</f>
        <v/>
      </c>
      <c r="J2263" s="65" t="str">
        <f>IF(COUNTA(A2263:G2263)=0,"",IF(E2263&lt;&gt;"",E2263,IF(B2263="","",IFERROR(IF(INDEX(pr_price,MATCH(B2263,pr_code,0))="","",INDEX(pr_price,MATCH(B2263,pr_code,0))),""))))</f>
        <v/>
      </c>
      <c r="K2263" s="71" t="str">
        <f>IF(COUNTA(A2263:G2263)=0,"",IF(G2263&lt;&gt;"",G2263,IF(B2263="","",IFERROR(IF(INDEX(pr_rate,MATCH(B2263,pr_code,0))="","",INDEX(pr_rate,MATCH(B2263,pr_code,0))),""))))</f>
        <v/>
      </c>
      <c r="L2263" s="65" t="str">
        <f>IF(COUNTA(A2263:G2263)=0,"",IF(AND(ISNUMBER(D2263),ISNUMBER(J2263)),ROUND(D2263*J2263*(1-N(F2263)),2),0))</f>
        <v/>
      </c>
      <c r="M2263" s="62" t="str">
        <f>IF(A2263="","",IFERROR(INDEX(dv_cname,MATCH(A2263,dv_num,0))&amp;"",""))</f>
        <v/>
      </c>
      <c r="N2263" s="59" t="str">
        <f>IF(COUNTA(A2263:G2263)=0,"",IF(A2263="","N° devis manquant",IF(ISNA(MATCH(A2263,dv_num,0)),"Devis inconnu",IF(AND(B2263&lt;&gt;"",ISNA(MATCH(B2263,pr_code,0))),"Article inconnu",IF(H2263="","Désignation manquante",IF(OR(NOT(ISNUMBER(D2263)),N(D2263)&lt;=0),"Quantité invalide",IF(J2263="","Prix manquant",IF(OR(NOT(ISNUMBER(J2263)),N(J2263)&lt;0),"Prix invalide",IF(OR(AND(F2263&lt;&gt;"",NOT(ISNUMBER(F2263))),N(F2263)&lt;0,N(F2263)&gt;1),"Remise invalide",IF(K2263="","Taux de TVA manquant",IF(NOT(ISNUMBER(K2263)),"Taux de TVA invalide",IF(COUNTIF(p_rates,K2263)=0,"Taux de TVA hors liste (Paramètres)",IF(N(O2263)&gt;25,"Au-delà de 25 lignes : non imprimée","OK")))))))))))))</f>
        <v/>
      </c>
      <c r="O2263" s="59" t="str">
        <f>IF(A2263="","",COUNTIF($A$6:A2263,A2263))</f>
        <v/>
      </c>
      <c r="P2263" s="62" t="str">
        <f>IF(A2263="","",A2263&amp;"|"&amp;O2263)</f>
        <v/>
      </c>
    </row>
    <row r="2264">
      <c r="A2264" s="60" t="n"/>
      <c r="B2264" s="63" t="n"/>
      <c r="C2264" s="63" t="n"/>
      <c r="D2264" s="67" t="n"/>
      <c r="E2264" s="68" t="n"/>
      <c r="F2264" s="69" t="n"/>
      <c r="G2264" s="70" t="n"/>
      <c r="H2264" s="62" t="str">
        <f>IF(COUNTA(A2264:G2264)=0,"",IF(C2264&lt;&gt;"",C2264,IF(B2264="","",IFERROR(INDEX(pr_des,MATCH(B2264,pr_code,0))&amp;"",""))))</f>
        <v/>
      </c>
      <c r="I2264" s="59" t="str">
        <f>IF(B2264="","",IFERROR(INDEX(pr_unit,MATCH(B2264,pr_code,0))&amp;"",""))</f>
        <v/>
      </c>
      <c r="J2264" s="65" t="str">
        <f>IF(COUNTA(A2264:G2264)=0,"",IF(E2264&lt;&gt;"",E2264,IF(B2264="","",IFERROR(IF(INDEX(pr_price,MATCH(B2264,pr_code,0))="","",INDEX(pr_price,MATCH(B2264,pr_code,0))),""))))</f>
        <v/>
      </c>
      <c r="K2264" s="71" t="str">
        <f>IF(COUNTA(A2264:G2264)=0,"",IF(G2264&lt;&gt;"",G2264,IF(B2264="","",IFERROR(IF(INDEX(pr_rate,MATCH(B2264,pr_code,0))="","",INDEX(pr_rate,MATCH(B2264,pr_code,0))),""))))</f>
        <v/>
      </c>
      <c r="L2264" s="65" t="str">
        <f>IF(COUNTA(A2264:G2264)=0,"",IF(AND(ISNUMBER(D2264),ISNUMBER(J2264)),ROUND(D2264*J2264*(1-N(F2264)),2),0))</f>
        <v/>
      </c>
      <c r="M2264" s="62" t="str">
        <f>IF(A2264="","",IFERROR(INDEX(dv_cname,MATCH(A2264,dv_num,0))&amp;"",""))</f>
        <v/>
      </c>
      <c r="N2264" s="59" t="str">
        <f>IF(COUNTA(A2264:G2264)=0,"",IF(A2264="","N° devis manquant",IF(ISNA(MATCH(A2264,dv_num,0)),"Devis inconnu",IF(AND(B2264&lt;&gt;"",ISNA(MATCH(B2264,pr_code,0))),"Article inconnu",IF(H2264="","Désignation manquante",IF(OR(NOT(ISNUMBER(D2264)),N(D2264)&lt;=0),"Quantité invalide",IF(J2264="","Prix manquant",IF(OR(NOT(ISNUMBER(J2264)),N(J2264)&lt;0),"Prix invalide",IF(OR(AND(F2264&lt;&gt;"",NOT(ISNUMBER(F2264))),N(F2264)&lt;0,N(F2264)&gt;1),"Remise invalide",IF(K2264="","Taux de TVA manquant",IF(NOT(ISNUMBER(K2264)),"Taux de TVA invalide",IF(COUNTIF(p_rates,K2264)=0,"Taux de TVA hors liste (Paramètres)",IF(N(O2264)&gt;25,"Au-delà de 25 lignes : non imprimée","OK")))))))))))))</f>
        <v/>
      </c>
      <c r="O2264" s="59" t="str">
        <f>IF(A2264="","",COUNTIF($A$6:A2264,A2264))</f>
        <v/>
      </c>
      <c r="P2264" s="62" t="str">
        <f>IF(A2264="","",A2264&amp;"|"&amp;O2264)</f>
        <v/>
      </c>
    </row>
    <row r="2265">
      <c r="A2265" s="60" t="n"/>
      <c r="B2265" s="63" t="n"/>
      <c r="C2265" s="63" t="n"/>
      <c r="D2265" s="67" t="n"/>
      <c r="E2265" s="68" t="n"/>
      <c r="F2265" s="69" t="n"/>
      <c r="G2265" s="70" t="n"/>
      <c r="H2265" s="62" t="str">
        <f>IF(COUNTA(A2265:G2265)=0,"",IF(C2265&lt;&gt;"",C2265,IF(B2265="","",IFERROR(INDEX(pr_des,MATCH(B2265,pr_code,0))&amp;"",""))))</f>
        <v/>
      </c>
      <c r="I2265" s="59" t="str">
        <f>IF(B2265="","",IFERROR(INDEX(pr_unit,MATCH(B2265,pr_code,0))&amp;"",""))</f>
        <v/>
      </c>
      <c r="J2265" s="65" t="str">
        <f>IF(COUNTA(A2265:G2265)=0,"",IF(E2265&lt;&gt;"",E2265,IF(B2265="","",IFERROR(IF(INDEX(pr_price,MATCH(B2265,pr_code,0))="","",INDEX(pr_price,MATCH(B2265,pr_code,0))),""))))</f>
        <v/>
      </c>
      <c r="K2265" s="71" t="str">
        <f>IF(COUNTA(A2265:G2265)=0,"",IF(G2265&lt;&gt;"",G2265,IF(B2265="","",IFERROR(IF(INDEX(pr_rate,MATCH(B2265,pr_code,0))="","",INDEX(pr_rate,MATCH(B2265,pr_code,0))),""))))</f>
        <v/>
      </c>
      <c r="L2265" s="65" t="str">
        <f>IF(COUNTA(A2265:G2265)=0,"",IF(AND(ISNUMBER(D2265),ISNUMBER(J2265)),ROUND(D2265*J2265*(1-N(F2265)),2),0))</f>
        <v/>
      </c>
      <c r="M2265" s="62" t="str">
        <f>IF(A2265="","",IFERROR(INDEX(dv_cname,MATCH(A2265,dv_num,0))&amp;"",""))</f>
        <v/>
      </c>
      <c r="N2265" s="59" t="str">
        <f>IF(COUNTA(A2265:G2265)=0,"",IF(A2265="","N° devis manquant",IF(ISNA(MATCH(A2265,dv_num,0)),"Devis inconnu",IF(AND(B2265&lt;&gt;"",ISNA(MATCH(B2265,pr_code,0))),"Article inconnu",IF(H2265="","Désignation manquante",IF(OR(NOT(ISNUMBER(D2265)),N(D2265)&lt;=0),"Quantité invalide",IF(J2265="","Prix manquant",IF(OR(NOT(ISNUMBER(J2265)),N(J2265)&lt;0),"Prix invalide",IF(OR(AND(F2265&lt;&gt;"",NOT(ISNUMBER(F2265))),N(F2265)&lt;0,N(F2265)&gt;1),"Remise invalide",IF(K2265="","Taux de TVA manquant",IF(NOT(ISNUMBER(K2265)),"Taux de TVA invalide",IF(COUNTIF(p_rates,K2265)=0,"Taux de TVA hors liste (Paramètres)",IF(N(O2265)&gt;25,"Au-delà de 25 lignes : non imprimée","OK")))))))))))))</f>
        <v/>
      </c>
      <c r="O2265" s="59" t="str">
        <f>IF(A2265="","",COUNTIF($A$6:A2265,A2265))</f>
        <v/>
      </c>
      <c r="P2265" s="62" t="str">
        <f>IF(A2265="","",A2265&amp;"|"&amp;O2265)</f>
        <v/>
      </c>
    </row>
    <row r="2266">
      <c r="A2266" s="60" t="n"/>
      <c r="B2266" s="63" t="n"/>
      <c r="C2266" s="63" t="n"/>
      <c r="D2266" s="67" t="n"/>
      <c r="E2266" s="68" t="n"/>
      <c r="F2266" s="69" t="n"/>
      <c r="G2266" s="70" t="n"/>
      <c r="H2266" s="62" t="str">
        <f>IF(COUNTA(A2266:G2266)=0,"",IF(C2266&lt;&gt;"",C2266,IF(B2266="","",IFERROR(INDEX(pr_des,MATCH(B2266,pr_code,0))&amp;"",""))))</f>
        <v/>
      </c>
      <c r="I2266" s="59" t="str">
        <f>IF(B2266="","",IFERROR(INDEX(pr_unit,MATCH(B2266,pr_code,0))&amp;"",""))</f>
        <v/>
      </c>
      <c r="J2266" s="65" t="str">
        <f>IF(COUNTA(A2266:G2266)=0,"",IF(E2266&lt;&gt;"",E2266,IF(B2266="","",IFERROR(IF(INDEX(pr_price,MATCH(B2266,pr_code,0))="","",INDEX(pr_price,MATCH(B2266,pr_code,0))),""))))</f>
        <v/>
      </c>
      <c r="K2266" s="71" t="str">
        <f>IF(COUNTA(A2266:G2266)=0,"",IF(G2266&lt;&gt;"",G2266,IF(B2266="","",IFERROR(IF(INDEX(pr_rate,MATCH(B2266,pr_code,0))="","",INDEX(pr_rate,MATCH(B2266,pr_code,0))),""))))</f>
        <v/>
      </c>
      <c r="L2266" s="65" t="str">
        <f>IF(COUNTA(A2266:G2266)=0,"",IF(AND(ISNUMBER(D2266),ISNUMBER(J2266)),ROUND(D2266*J2266*(1-N(F2266)),2),0))</f>
        <v/>
      </c>
      <c r="M2266" s="62" t="str">
        <f>IF(A2266="","",IFERROR(INDEX(dv_cname,MATCH(A2266,dv_num,0))&amp;"",""))</f>
        <v/>
      </c>
      <c r="N2266" s="59" t="str">
        <f>IF(COUNTA(A2266:G2266)=0,"",IF(A2266="","N° devis manquant",IF(ISNA(MATCH(A2266,dv_num,0)),"Devis inconnu",IF(AND(B2266&lt;&gt;"",ISNA(MATCH(B2266,pr_code,0))),"Article inconnu",IF(H2266="","Désignation manquante",IF(OR(NOT(ISNUMBER(D2266)),N(D2266)&lt;=0),"Quantité invalide",IF(J2266="","Prix manquant",IF(OR(NOT(ISNUMBER(J2266)),N(J2266)&lt;0),"Prix invalide",IF(OR(AND(F2266&lt;&gt;"",NOT(ISNUMBER(F2266))),N(F2266)&lt;0,N(F2266)&gt;1),"Remise invalide",IF(K2266="","Taux de TVA manquant",IF(NOT(ISNUMBER(K2266)),"Taux de TVA invalide",IF(COUNTIF(p_rates,K2266)=0,"Taux de TVA hors liste (Paramètres)",IF(N(O2266)&gt;25,"Au-delà de 25 lignes : non imprimée","OK")))))))))))))</f>
        <v/>
      </c>
      <c r="O2266" s="59" t="str">
        <f>IF(A2266="","",COUNTIF($A$6:A2266,A2266))</f>
        <v/>
      </c>
      <c r="P2266" s="62" t="str">
        <f>IF(A2266="","",A2266&amp;"|"&amp;O2266)</f>
        <v/>
      </c>
    </row>
    <row r="2267">
      <c r="A2267" s="60" t="n"/>
      <c r="B2267" s="63" t="n"/>
      <c r="C2267" s="63" t="n"/>
      <c r="D2267" s="67" t="n"/>
      <c r="E2267" s="68" t="n"/>
      <c r="F2267" s="69" t="n"/>
      <c r="G2267" s="70" t="n"/>
      <c r="H2267" s="62" t="str">
        <f>IF(COUNTA(A2267:G2267)=0,"",IF(C2267&lt;&gt;"",C2267,IF(B2267="","",IFERROR(INDEX(pr_des,MATCH(B2267,pr_code,0))&amp;"",""))))</f>
        <v/>
      </c>
      <c r="I2267" s="59" t="str">
        <f>IF(B2267="","",IFERROR(INDEX(pr_unit,MATCH(B2267,pr_code,0))&amp;"",""))</f>
        <v/>
      </c>
      <c r="J2267" s="65" t="str">
        <f>IF(COUNTA(A2267:G2267)=0,"",IF(E2267&lt;&gt;"",E2267,IF(B2267="","",IFERROR(IF(INDEX(pr_price,MATCH(B2267,pr_code,0))="","",INDEX(pr_price,MATCH(B2267,pr_code,0))),""))))</f>
        <v/>
      </c>
      <c r="K2267" s="71" t="str">
        <f>IF(COUNTA(A2267:G2267)=0,"",IF(G2267&lt;&gt;"",G2267,IF(B2267="","",IFERROR(IF(INDEX(pr_rate,MATCH(B2267,pr_code,0))="","",INDEX(pr_rate,MATCH(B2267,pr_code,0))),""))))</f>
        <v/>
      </c>
      <c r="L2267" s="65" t="str">
        <f>IF(COUNTA(A2267:G2267)=0,"",IF(AND(ISNUMBER(D2267),ISNUMBER(J2267)),ROUND(D2267*J2267*(1-N(F2267)),2),0))</f>
        <v/>
      </c>
      <c r="M2267" s="62" t="str">
        <f>IF(A2267="","",IFERROR(INDEX(dv_cname,MATCH(A2267,dv_num,0))&amp;"",""))</f>
        <v/>
      </c>
      <c r="N2267" s="59" t="str">
        <f>IF(COUNTA(A2267:G2267)=0,"",IF(A2267="","N° devis manquant",IF(ISNA(MATCH(A2267,dv_num,0)),"Devis inconnu",IF(AND(B2267&lt;&gt;"",ISNA(MATCH(B2267,pr_code,0))),"Article inconnu",IF(H2267="","Désignation manquante",IF(OR(NOT(ISNUMBER(D2267)),N(D2267)&lt;=0),"Quantité invalide",IF(J2267="","Prix manquant",IF(OR(NOT(ISNUMBER(J2267)),N(J2267)&lt;0),"Prix invalide",IF(OR(AND(F2267&lt;&gt;"",NOT(ISNUMBER(F2267))),N(F2267)&lt;0,N(F2267)&gt;1),"Remise invalide",IF(K2267="","Taux de TVA manquant",IF(NOT(ISNUMBER(K2267)),"Taux de TVA invalide",IF(COUNTIF(p_rates,K2267)=0,"Taux de TVA hors liste (Paramètres)",IF(N(O2267)&gt;25,"Au-delà de 25 lignes : non imprimée","OK")))))))))))))</f>
        <v/>
      </c>
      <c r="O2267" s="59" t="str">
        <f>IF(A2267="","",COUNTIF($A$6:A2267,A2267))</f>
        <v/>
      </c>
      <c r="P2267" s="62" t="str">
        <f>IF(A2267="","",A2267&amp;"|"&amp;O2267)</f>
        <v/>
      </c>
    </row>
    <row r="2268">
      <c r="A2268" s="60" t="n"/>
      <c r="B2268" s="63" t="n"/>
      <c r="C2268" s="63" t="n"/>
      <c r="D2268" s="67" t="n"/>
      <c r="E2268" s="68" t="n"/>
      <c r="F2268" s="69" t="n"/>
      <c r="G2268" s="70" t="n"/>
      <c r="H2268" s="62" t="str">
        <f>IF(COUNTA(A2268:G2268)=0,"",IF(C2268&lt;&gt;"",C2268,IF(B2268="","",IFERROR(INDEX(pr_des,MATCH(B2268,pr_code,0))&amp;"",""))))</f>
        <v/>
      </c>
      <c r="I2268" s="59" t="str">
        <f>IF(B2268="","",IFERROR(INDEX(pr_unit,MATCH(B2268,pr_code,0))&amp;"",""))</f>
        <v/>
      </c>
      <c r="J2268" s="65" t="str">
        <f>IF(COUNTA(A2268:G2268)=0,"",IF(E2268&lt;&gt;"",E2268,IF(B2268="","",IFERROR(IF(INDEX(pr_price,MATCH(B2268,pr_code,0))="","",INDEX(pr_price,MATCH(B2268,pr_code,0))),""))))</f>
        <v/>
      </c>
      <c r="K2268" s="71" t="str">
        <f>IF(COUNTA(A2268:G2268)=0,"",IF(G2268&lt;&gt;"",G2268,IF(B2268="","",IFERROR(IF(INDEX(pr_rate,MATCH(B2268,pr_code,0))="","",INDEX(pr_rate,MATCH(B2268,pr_code,0))),""))))</f>
        <v/>
      </c>
      <c r="L2268" s="65" t="str">
        <f>IF(COUNTA(A2268:G2268)=0,"",IF(AND(ISNUMBER(D2268),ISNUMBER(J2268)),ROUND(D2268*J2268*(1-N(F2268)),2),0))</f>
        <v/>
      </c>
      <c r="M2268" s="62" t="str">
        <f>IF(A2268="","",IFERROR(INDEX(dv_cname,MATCH(A2268,dv_num,0))&amp;"",""))</f>
        <v/>
      </c>
      <c r="N2268" s="59" t="str">
        <f>IF(COUNTA(A2268:G2268)=0,"",IF(A2268="","N° devis manquant",IF(ISNA(MATCH(A2268,dv_num,0)),"Devis inconnu",IF(AND(B2268&lt;&gt;"",ISNA(MATCH(B2268,pr_code,0))),"Article inconnu",IF(H2268="","Désignation manquante",IF(OR(NOT(ISNUMBER(D2268)),N(D2268)&lt;=0),"Quantité invalide",IF(J2268="","Prix manquant",IF(OR(NOT(ISNUMBER(J2268)),N(J2268)&lt;0),"Prix invalide",IF(OR(AND(F2268&lt;&gt;"",NOT(ISNUMBER(F2268))),N(F2268)&lt;0,N(F2268)&gt;1),"Remise invalide",IF(K2268="","Taux de TVA manquant",IF(NOT(ISNUMBER(K2268)),"Taux de TVA invalide",IF(COUNTIF(p_rates,K2268)=0,"Taux de TVA hors liste (Paramètres)",IF(N(O2268)&gt;25,"Au-delà de 25 lignes : non imprimée","OK")))))))))))))</f>
        <v/>
      </c>
      <c r="O2268" s="59" t="str">
        <f>IF(A2268="","",COUNTIF($A$6:A2268,A2268))</f>
        <v/>
      </c>
      <c r="P2268" s="62" t="str">
        <f>IF(A2268="","",A2268&amp;"|"&amp;O2268)</f>
        <v/>
      </c>
    </row>
    <row r="2269">
      <c r="A2269" s="60" t="n"/>
      <c r="B2269" s="63" t="n"/>
      <c r="C2269" s="63" t="n"/>
      <c r="D2269" s="67" t="n"/>
      <c r="E2269" s="68" t="n"/>
      <c r="F2269" s="69" t="n"/>
      <c r="G2269" s="70" t="n"/>
      <c r="H2269" s="62" t="str">
        <f>IF(COUNTA(A2269:G2269)=0,"",IF(C2269&lt;&gt;"",C2269,IF(B2269="","",IFERROR(INDEX(pr_des,MATCH(B2269,pr_code,0))&amp;"",""))))</f>
        <v/>
      </c>
      <c r="I2269" s="59" t="str">
        <f>IF(B2269="","",IFERROR(INDEX(pr_unit,MATCH(B2269,pr_code,0))&amp;"",""))</f>
        <v/>
      </c>
      <c r="J2269" s="65" t="str">
        <f>IF(COUNTA(A2269:G2269)=0,"",IF(E2269&lt;&gt;"",E2269,IF(B2269="","",IFERROR(IF(INDEX(pr_price,MATCH(B2269,pr_code,0))="","",INDEX(pr_price,MATCH(B2269,pr_code,0))),""))))</f>
        <v/>
      </c>
      <c r="K2269" s="71" t="str">
        <f>IF(COUNTA(A2269:G2269)=0,"",IF(G2269&lt;&gt;"",G2269,IF(B2269="","",IFERROR(IF(INDEX(pr_rate,MATCH(B2269,pr_code,0))="","",INDEX(pr_rate,MATCH(B2269,pr_code,0))),""))))</f>
        <v/>
      </c>
      <c r="L2269" s="65" t="str">
        <f>IF(COUNTA(A2269:G2269)=0,"",IF(AND(ISNUMBER(D2269),ISNUMBER(J2269)),ROUND(D2269*J2269*(1-N(F2269)),2),0))</f>
        <v/>
      </c>
      <c r="M2269" s="62" t="str">
        <f>IF(A2269="","",IFERROR(INDEX(dv_cname,MATCH(A2269,dv_num,0))&amp;"",""))</f>
        <v/>
      </c>
      <c r="N2269" s="59" t="str">
        <f>IF(COUNTA(A2269:G2269)=0,"",IF(A2269="","N° devis manquant",IF(ISNA(MATCH(A2269,dv_num,0)),"Devis inconnu",IF(AND(B2269&lt;&gt;"",ISNA(MATCH(B2269,pr_code,0))),"Article inconnu",IF(H2269="","Désignation manquante",IF(OR(NOT(ISNUMBER(D2269)),N(D2269)&lt;=0),"Quantité invalide",IF(J2269="","Prix manquant",IF(OR(NOT(ISNUMBER(J2269)),N(J2269)&lt;0),"Prix invalide",IF(OR(AND(F2269&lt;&gt;"",NOT(ISNUMBER(F2269))),N(F2269)&lt;0,N(F2269)&gt;1),"Remise invalide",IF(K2269="","Taux de TVA manquant",IF(NOT(ISNUMBER(K2269)),"Taux de TVA invalide",IF(COUNTIF(p_rates,K2269)=0,"Taux de TVA hors liste (Paramètres)",IF(N(O2269)&gt;25,"Au-delà de 25 lignes : non imprimée","OK")))))))))))))</f>
        <v/>
      </c>
      <c r="O2269" s="59" t="str">
        <f>IF(A2269="","",COUNTIF($A$6:A2269,A2269))</f>
        <v/>
      </c>
      <c r="P2269" s="62" t="str">
        <f>IF(A2269="","",A2269&amp;"|"&amp;O2269)</f>
        <v/>
      </c>
    </row>
    <row r="2270">
      <c r="A2270" s="60" t="n"/>
      <c r="B2270" s="63" t="n"/>
      <c r="C2270" s="63" t="n"/>
      <c r="D2270" s="67" t="n"/>
      <c r="E2270" s="68" t="n"/>
      <c r="F2270" s="69" t="n"/>
      <c r="G2270" s="70" t="n"/>
      <c r="H2270" s="62" t="str">
        <f>IF(COUNTA(A2270:G2270)=0,"",IF(C2270&lt;&gt;"",C2270,IF(B2270="","",IFERROR(INDEX(pr_des,MATCH(B2270,pr_code,0))&amp;"",""))))</f>
        <v/>
      </c>
      <c r="I2270" s="59" t="str">
        <f>IF(B2270="","",IFERROR(INDEX(pr_unit,MATCH(B2270,pr_code,0))&amp;"",""))</f>
        <v/>
      </c>
      <c r="J2270" s="65" t="str">
        <f>IF(COUNTA(A2270:G2270)=0,"",IF(E2270&lt;&gt;"",E2270,IF(B2270="","",IFERROR(IF(INDEX(pr_price,MATCH(B2270,pr_code,0))="","",INDEX(pr_price,MATCH(B2270,pr_code,0))),""))))</f>
        <v/>
      </c>
      <c r="K2270" s="71" t="str">
        <f>IF(COUNTA(A2270:G2270)=0,"",IF(G2270&lt;&gt;"",G2270,IF(B2270="","",IFERROR(IF(INDEX(pr_rate,MATCH(B2270,pr_code,0))="","",INDEX(pr_rate,MATCH(B2270,pr_code,0))),""))))</f>
        <v/>
      </c>
      <c r="L2270" s="65" t="str">
        <f>IF(COUNTA(A2270:G2270)=0,"",IF(AND(ISNUMBER(D2270),ISNUMBER(J2270)),ROUND(D2270*J2270*(1-N(F2270)),2),0))</f>
        <v/>
      </c>
      <c r="M2270" s="62" t="str">
        <f>IF(A2270="","",IFERROR(INDEX(dv_cname,MATCH(A2270,dv_num,0))&amp;"",""))</f>
        <v/>
      </c>
      <c r="N2270" s="59" t="str">
        <f>IF(COUNTA(A2270:G2270)=0,"",IF(A2270="","N° devis manquant",IF(ISNA(MATCH(A2270,dv_num,0)),"Devis inconnu",IF(AND(B2270&lt;&gt;"",ISNA(MATCH(B2270,pr_code,0))),"Article inconnu",IF(H2270="","Désignation manquante",IF(OR(NOT(ISNUMBER(D2270)),N(D2270)&lt;=0),"Quantité invalide",IF(J2270="","Prix manquant",IF(OR(NOT(ISNUMBER(J2270)),N(J2270)&lt;0),"Prix invalide",IF(OR(AND(F2270&lt;&gt;"",NOT(ISNUMBER(F2270))),N(F2270)&lt;0,N(F2270)&gt;1),"Remise invalide",IF(K2270="","Taux de TVA manquant",IF(NOT(ISNUMBER(K2270)),"Taux de TVA invalide",IF(COUNTIF(p_rates,K2270)=0,"Taux de TVA hors liste (Paramètres)",IF(N(O2270)&gt;25,"Au-delà de 25 lignes : non imprimée","OK")))))))))))))</f>
        <v/>
      </c>
      <c r="O2270" s="59" t="str">
        <f>IF(A2270="","",COUNTIF($A$6:A2270,A2270))</f>
        <v/>
      </c>
      <c r="P2270" s="62" t="str">
        <f>IF(A2270="","",A2270&amp;"|"&amp;O2270)</f>
        <v/>
      </c>
    </row>
    <row r="2271">
      <c r="A2271" s="60" t="n"/>
      <c r="B2271" s="63" t="n"/>
      <c r="C2271" s="63" t="n"/>
      <c r="D2271" s="67" t="n"/>
      <c r="E2271" s="68" t="n"/>
      <c r="F2271" s="69" t="n"/>
      <c r="G2271" s="70" t="n"/>
      <c r="H2271" s="62" t="str">
        <f>IF(COUNTA(A2271:G2271)=0,"",IF(C2271&lt;&gt;"",C2271,IF(B2271="","",IFERROR(INDEX(pr_des,MATCH(B2271,pr_code,0))&amp;"",""))))</f>
        <v/>
      </c>
      <c r="I2271" s="59" t="str">
        <f>IF(B2271="","",IFERROR(INDEX(pr_unit,MATCH(B2271,pr_code,0))&amp;"",""))</f>
        <v/>
      </c>
      <c r="J2271" s="65" t="str">
        <f>IF(COUNTA(A2271:G2271)=0,"",IF(E2271&lt;&gt;"",E2271,IF(B2271="","",IFERROR(IF(INDEX(pr_price,MATCH(B2271,pr_code,0))="","",INDEX(pr_price,MATCH(B2271,pr_code,0))),""))))</f>
        <v/>
      </c>
      <c r="K2271" s="71" t="str">
        <f>IF(COUNTA(A2271:G2271)=0,"",IF(G2271&lt;&gt;"",G2271,IF(B2271="","",IFERROR(IF(INDEX(pr_rate,MATCH(B2271,pr_code,0))="","",INDEX(pr_rate,MATCH(B2271,pr_code,0))),""))))</f>
        <v/>
      </c>
      <c r="L2271" s="65" t="str">
        <f>IF(COUNTA(A2271:G2271)=0,"",IF(AND(ISNUMBER(D2271),ISNUMBER(J2271)),ROUND(D2271*J2271*(1-N(F2271)),2),0))</f>
        <v/>
      </c>
      <c r="M2271" s="62" t="str">
        <f>IF(A2271="","",IFERROR(INDEX(dv_cname,MATCH(A2271,dv_num,0))&amp;"",""))</f>
        <v/>
      </c>
      <c r="N2271" s="59" t="str">
        <f>IF(COUNTA(A2271:G2271)=0,"",IF(A2271="","N° devis manquant",IF(ISNA(MATCH(A2271,dv_num,0)),"Devis inconnu",IF(AND(B2271&lt;&gt;"",ISNA(MATCH(B2271,pr_code,0))),"Article inconnu",IF(H2271="","Désignation manquante",IF(OR(NOT(ISNUMBER(D2271)),N(D2271)&lt;=0),"Quantité invalide",IF(J2271="","Prix manquant",IF(OR(NOT(ISNUMBER(J2271)),N(J2271)&lt;0),"Prix invalide",IF(OR(AND(F2271&lt;&gt;"",NOT(ISNUMBER(F2271))),N(F2271)&lt;0,N(F2271)&gt;1),"Remise invalide",IF(K2271="","Taux de TVA manquant",IF(NOT(ISNUMBER(K2271)),"Taux de TVA invalide",IF(COUNTIF(p_rates,K2271)=0,"Taux de TVA hors liste (Paramètres)",IF(N(O2271)&gt;25,"Au-delà de 25 lignes : non imprimée","OK")))))))))))))</f>
        <v/>
      </c>
      <c r="O2271" s="59" t="str">
        <f>IF(A2271="","",COUNTIF($A$6:A2271,A2271))</f>
        <v/>
      </c>
      <c r="P2271" s="62" t="str">
        <f>IF(A2271="","",A2271&amp;"|"&amp;O2271)</f>
        <v/>
      </c>
    </row>
    <row r="2272">
      <c r="A2272" s="60" t="n"/>
      <c r="B2272" s="63" t="n"/>
      <c r="C2272" s="63" t="n"/>
      <c r="D2272" s="67" t="n"/>
      <c r="E2272" s="68" t="n"/>
      <c r="F2272" s="69" t="n"/>
      <c r="G2272" s="70" t="n"/>
      <c r="H2272" s="62" t="str">
        <f>IF(COUNTA(A2272:G2272)=0,"",IF(C2272&lt;&gt;"",C2272,IF(B2272="","",IFERROR(INDEX(pr_des,MATCH(B2272,pr_code,0))&amp;"",""))))</f>
        <v/>
      </c>
      <c r="I2272" s="59" t="str">
        <f>IF(B2272="","",IFERROR(INDEX(pr_unit,MATCH(B2272,pr_code,0))&amp;"",""))</f>
        <v/>
      </c>
      <c r="J2272" s="65" t="str">
        <f>IF(COUNTA(A2272:G2272)=0,"",IF(E2272&lt;&gt;"",E2272,IF(B2272="","",IFERROR(IF(INDEX(pr_price,MATCH(B2272,pr_code,0))="","",INDEX(pr_price,MATCH(B2272,pr_code,0))),""))))</f>
        <v/>
      </c>
      <c r="K2272" s="71" t="str">
        <f>IF(COUNTA(A2272:G2272)=0,"",IF(G2272&lt;&gt;"",G2272,IF(B2272="","",IFERROR(IF(INDEX(pr_rate,MATCH(B2272,pr_code,0))="","",INDEX(pr_rate,MATCH(B2272,pr_code,0))),""))))</f>
        <v/>
      </c>
      <c r="L2272" s="65" t="str">
        <f>IF(COUNTA(A2272:G2272)=0,"",IF(AND(ISNUMBER(D2272),ISNUMBER(J2272)),ROUND(D2272*J2272*(1-N(F2272)),2),0))</f>
        <v/>
      </c>
      <c r="M2272" s="62" t="str">
        <f>IF(A2272="","",IFERROR(INDEX(dv_cname,MATCH(A2272,dv_num,0))&amp;"",""))</f>
        <v/>
      </c>
      <c r="N2272" s="59" t="str">
        <f>IF(COUNTA(A2272:G2272)=0,"",IF(A2272="","N° devis manquant",IF(ISNA(MATCH(A2272,dv_num,0)),"Devis inconnu",IF(AND(B2272&lt;&gt;"",ISNA(MATCH(B2272,pr_code,0))),"Article inconnu",IF(H2272="","Désignation manquante",IF(OR(NOT(ISNUMBER(D2272)),N(D2272)&lt;=0),"Quantité invalide",IF(J2272="","Prix manquant",IF(OR(NOT(ISNUMBER(J2272)),N(J2272)&lt;0),"Prix invalide",IF(OR(AND(F2272&lt;&gt;"",NOT(ISNUMBER(F2272))),N(F2272)&lt;0,N(F2272)&gt;1),"Remise invalide",IF(K2272="","Taux de TVA manquant",IF(NOT(ISNUMBER(K2272)),"Taux de TVA invalide",IF(COUNTIF(p_rates,K2272)=0,"Taux de TVA hors liste (Paramètres)",IF(N(O2272)&gt;25,"Au-delà de 25 lignes : non imprimée","OK")))))))))))))</f>
        <v/>
      </c>
      <c r="O2272" s="59" t="str">
        <f>IF(A2272="","",COUNTIF($A$6:A2272,A2272))</f>
        <v/>
      </c>
      <c r="P2272" s="62" t="str">
        <f>IF(A2272="","",A2272&amp;"|"&amp;O2272)</f>
        <v/>
      </c>
    </row>
    <row r="2273">
      <c r="A2273" s="60" t="n"/>
      <c r="B2273" s="63" t="n"/>
      <c r="C2273" s="63" t="n"/>
      <c r="D2273" s="67" t="n"/>
      <c r="E2273" s="68" t="n"/>
      <c r="F2273" s="69" t="n"/>
      <c r="G2273" s="70" t="n"/>
      <c r="H2273" s="62" t="str">
        <f>IF(COUNTA(A2273:G2273)=0,"",IF(C2273&lt;&gt;"",C2273,IF(B2273="","",IFERROR(INDEX(pr_des,MATCH(B2273,pr_code,0))&amp;"",""))))</f>
        <v/>
      </c>
      <c r="I2273" s="59" t="str">
        <f>IF(B2273="","",IFERROR(INDEX(pr_unit,MATCH(B2273,pr_code,0))&amp;"",""))</f>
        <v/>
      </c>
      <c r="J2273" s="65" t="str">
        <f>IF(COUNTA(A2273:G2273)=0,"",IF(E2273&lt;&gt;"",E2273,IF(B2273="","",IFERROR(IF(INDEX(pr_price,MATCH(B2273,pr_code,0))="","",INDEX(pr_price,MATCH(B2273,pr_code,0))),""))))</f>
        <v/>
      </c>
      <c r="K2273" s="71" t="str">
        <f>IF(COUNTA(A2273:G2273)=0,"",IF(G2273&lt;&gt;"",G2273,IF(B2273="","",IFERROR(IF(INDEX(pr_rate,MATCH(B2273,pr_code,0))="","",INDEX(pr_rate,MATCH(B2273,pr_code,0))),""))))</f>
        <v/>
      </c>
      <c r="L2273" s="65" t="str">
        <f>IF(COUNTA(A2273:G2273)=0,"",IF(AND(ISNUMBER(D2273),ISNUMBER(J2273)),ROUND(D2273*J2273*(1-N(F2273)),2),0))</f>
        <v/>
      </c>
      <c r="M2273" s="62" t="str">
        <f>IF(A2273="","",IFERROR(INDEX(dv_cname,MATCH(A2273,dv_num,0))&amp;"",""))</f>
        <v/>
      </c>
      <c r="N2273" s="59" t="str">
        <f>IF(COUNTA(A2273:G2273)=0,"",IF(A2273="","N° devis manquant",IF(ISNA(MATCH(A2273,dv_num,0)),"Devis inconnu",IF(AND(B2273&lt;&gt;"",ISNA(MATCH(B2273,pr_code,0))),"Article inconnu",IF(H2273="","Désignation manquante",IF(OR(NOT(ISNUMBER(D2273)),N(D2273)&lt;=0),"Quantité invalide",IF(J2273="","Prix manquant",IF(OR(NOT(ISNUMBER(J2273)),N(J2273)&lt;0),"Prix invalide",IF(OR(AND(F2273&lt;&gt;"",NOT(ISNUMBER(F2273))),N(F2273)&lt;0,N(F2273)&gt;1),"Remise invalide",IF(K2273="","Taux de TVA manquant",IF(NOT(ISNUMBER(K2273)),"Taux de TVA invalide",IF(COUNTIF(p_rates,K2273)=0,"Taux de TVA hors liste (Paramètres)",IF(N(O2273)&gt;25,"Au-delà de 25 lignes : non imprimée","OK")))))))))))))</f>
        <v/>
      </c>
      <c r="O2273" s="59" t="str">
        <f>IF(A2273="","",COUNTIF($A$6:A2273,A2273))</f>
        <v/>
      </c>
      <c r="P2273" s="62" t="str">
        <f>IF(A2273="","",A2273&amp;"|"&amp;O2273)</f>
        <v/>
      </c>
    </row>
    <row r="2274">
      <c r="A2274" s="60" t="n"/>
      <c r="B2274" s="63" t="n"/>
      <c r="C2274" s="63" t="n"/>
      <c r="D2274" s="67" t="n"/>
      <c r="E2274" s="68" t="n"/>
      <c r="F2274" s="69" t="n"/>
      <c r="G2274" s="70" t="n"/>
      <c r="H2274" s="62" t="str">
        <f>IF(COUNTA(A2274:G2274)=0,"",IF(C2274&lt;&gt;"",C2274,IF(B2274="","",IFERROR(INDEX(pr_des,MATCH(B2274,pr_code,0))&amp;"",""))))</f>
        <v/>
      </c>
      <c r="I2274" s="59" t="str">
        <f>IF(B2274="","",IFERROR(INDEX(pr_unit,MATCH(B2274,pr_code,0))&amp;"",""))</f>
        <v/>
      </c>
      <c r="J2274" s="65" t="str">
        <f>IF(COUNTA(A2274:G2274)=0,"",IF(E2274&lt;&gt;"",E2274,IF(B2274="","",IFERROR(IF(INDEX(pr_price,MATCH(B2274,pr_code,0))="","",INDEX(pr_price,MATCH(B2274,pr_code,0))),""))))</f>
        <v/>
      </c>
      <c r="K2274" s="71" t="str">
        <f>IF(COUNTA(A2274:G2274)=0,"",IF(G2274&lt;&gt;"",G2274,IF(B2274="","",IFERROR(IF(INDEX(pr_rate,MATCH(B2274,pr_code,0))="","",INDEX(pr_rate,MATCH(B2274,pr_code,0))),""))))</f>
        <v/>
      </c>
      <c r="L2274" s="65" t="str">
        <f>IF(COUNTA(A2274:G2274)=0,"",IF(AND(ISNUMBER(D2274),ISNUMBER(J2274)),ROUND(D2274*J2274*(1-N(F2274)),2),0))</f>
        <v/>
      </c>
      <c r="M2274" s="62" t="str">
        <f>IF(A2274="","",IFERROR(INDEX(dv_cname,MATCH(A2274,dv_num,0))&amp;"",""))</f>
        <v/>
      </c>
      <c r="N2274" s="59" t="str">
        <f>IF(COUNTA(A2274:G2274)=0,"",IF(A2274="","N° devis manquant",IF(ISNA(MATCH(A2274,dv_num,0)),"Devis inconnu",IF(AND(B2274&lt;&gt;"",ISNA(MATCH(B2274,pr_code,0))),"Article inconnu",IF(H2274="","Désignation manquante",IF(OR(NOT(ISNUMBER(D2274)),N(D2274)&lt;=0),"Quantité invalide",IF(J2274="","Prix manquant",IF(OR(NOT(ISNUMBER(J2274)),N(J2274)&lt;0),"Prix invalide",IF(OR(AND(F2274&lt;&gt;"",NOT(ISNUMBER(F2274))),N(F2274)&lt;0,N(F2274)&gt;1),"Remise invalide",IF(K2274="","Taux de TVA manquant",IF(NOT(ISNUMBER(K2274)),"Taux de TVA invalide",IF(COUNTIF(p_rates,K2274)=0,"Taux de TVA hors liste (Paramètres)",IF(N(O2274)&gt;25,"Au-delà de 25 lignes : non imprimée","OK")))))))))))))</f>
        <v/>
      </c>
      <c r="O2274" s="59" t="str">
        <f>IF(A2274="","",COUNTIF($A$6:A2274,A2274))</f>
        <v/>
      </c>
      <c r="P2274" s="62" t="str">
        <f>IF(A2274="","",A2274&amp;"|"&amp;O2274)</f>
        <v/>
      </c>
    </row>
    <row r="2275">
      <c r="A2275" s="60" t="n"/>
      <c r="B2275" s="63" t="n"/>
      <c r="C2275" s="63" t="n"/>
      <c r="D2275" s="67" t="n"/>
      <c r="E2275" s="68" t="n"/>
      <c r="F2275" s="69" t="n"/>
      <c r="G2275" s="70" t="n"/>
      <c r="H2275" s="62" t="str">
        <f>IF(COUNTA(A2275:G2275)=0,"",IF(C2275&lt;&gt;"",C2275,IF(B2275="","",IFERROR(INDEX(pr_des,MATCH(B2275,pr_code,0))&amp;"",""))))</f>
        <v/>
      </c>
      <c r="I2275" s="59" t="str">
        <f>IF(B2275="","",IFERROR(INDEX(pr_unit,MATCH(B2275,pr_code,0))&amp;"",""))</f>
        <v/>
      </c>
      <c r="J2275" s="65" t="str">
        <f>IF(COUNTA(A2275:G2275)=0,"",IF(E2275&lt;&gt;"",E2275,IF(B2275="","",IFERROR(IF(INDEX(pr_price,MATCH(B2275,pr_code,0))="","",INDEX(pr_price,MATCH(B2275,pr_code,0))),""))))</f>
        <v/>
      </c>
      <c r="K2275" s="71" t="str">
        <f>IF(COUNTA(A2275:G2275)=0,"",IF(G2275&lt;&gt;"",G2275,IF(B2275="","",IFERROR(IF(INDEX(pr_rate,MATCH(B2275,pr_code,0))="","",INDEX(pr_rate,MATCH(B2275,pr_code,0))),""))))</f>
        <v/>
      </c>
      <c r="L2275" s="65" t="str">
        <f>IF(COUNTA(A2275:G2275)=0,"",IF(AND(ISNUMBER(D2275),ISNUMBER(J2275)),ROUND(D2275*J2275*(1-N(F2275)),2),0))</f>
        <v/>
      </c>
      <c r="M2275" s="62" t="str">
        <f>IF(A2275="","",IFERROR(INDEX(dv_cname,MATCH(A2275,dv_num,0))&amp;"",""))</f>
        <v/>
      </c>
      <c r="N2275" s="59" t="str">
        <f>IF(COUNTA(A2275:G2275)=0,"",IF(A2275="","N° devis manquant",IF(ISNA(MATCH(A2275,dv_num,0)),"Devis inconnu",IF(AND(B2275&lt;&gt;"",ISNA(MATCH(B2275,pr_code,0))),"Article inconnu",IF(H2275="","Désignation manquante",IF(OR(NOT(ISNUMBER(D2275)),N(D2275)&lt;=0),"Quantité invalide",IF(J2275="","Prix manquant",IF(OR(NOT(ISNUMBER(J2275)),N(J2275)&lt;0),"Prix invalide",IF(OR(AND(F2275&lt;&gt;"",NOT(ISNUMBER(F2275))),N(F2275)&lt;0,N(F2275)&gt;1),"Remise invalide",IF(K2275="","Taux de TVA manquant",IF(NOT(ISNUMBER(K2275)),"Taux de TVA invalide",IF(COUNTIF(p_rates,K2275)=0,"Taux de TVA hors liste (Paramètres)",IF(N(O2275)&gt;25,"Au-delà de 25 lignes : non imprimée","OK")))))))))))))</f>
        <v/>
      </c>
      <c r="O2275" s="59" t="str">
        <f>IF(A2275="","",COUNTIF($A$6:A2275,A2275))</f>
        <v/>
      </c>
      <c r="P2275" s="62" t="str">
        <f>IF(A2275="","",A2275&amp;"|"&amp;O2275)</f>
        <v/>
      </c>
    </row>
    <row r="2276">
      <c r="A2276" s="60" t="n"/>
      <c r="B2276" s="63" t="n"/>
      <c r="C2276" s="63" t="n"/>
      <c r="D2276" s="67" t="n"/>
      <c r="E2276" s="68" t="n"/>
      <c r="F2276" s="69" t="n"/>
      <c r="G2276" s="70" t="n"/>
      <c r="H2276" s="62" t="str">
        <f>IF(COUNTA(A2276:G2276)=0,"",IF(C2276&lt;&gt;"",C2276,IF(B2276="","",IFERROR(INDEX(pr_des,MATCH(B2276,pr_code,0))&amp;"",""))))</f>
        <v/>
      </c>
      <c r="I2276" s="59" t="str">
        <f>IF(B2276="","",IFERROR(INDEX(pr_unit,MATCH(B2276,pr_code,0))&amp;"",""))</f>
        <v/>
      </c>
      <c r="J2276" s="65" t="str">
        <f>IF(COUNTA(A2276:G2276)=0,"",IF(E2276&lt;&gt;"",E2276,IF(B2276="","",IFERROR(IF(INDEX(pr_price,MATCH(B2276,pr_code,0))="","",INDEX(pr_price,MATCH(B2276,pr_code,0))),""))))</f>
        <v/>
      </c>
      <c r="K2276" s="71" t="str">
        <f>IF(COUNTA(A2276:G2276)=0,"",IF(G2276&lt;&gt;"",G2276,IF(B2276="","",IFERROR(IF(INDEX(pr_rate,MATCH(B2276,pr_code,0))="","",INDEX(pr_rate,MATCH(B2276,pr_code,0))),""))))</f>
        <v/>
      </c>
      <c r="L2276" s="65" t="str">
        <f>IF(COUNTA(A2276:G2276)=0,"",IF(AND(ISNUMBER(D2276),ISNUMBER(J2276)),ROUND(D2276*J2276*(1-N(F2276)),2),0))</f>
        <v/>
      </c>
      <c r="M2276" s="62" t="str">
        <f>IF(A2276="","",IFERROR(INDEX(dv_cname,MATCH(A2276,dv_num,0))&amp;"",""))</f>
        <v/>
      </c>
      <c r="N2276" s="59" t="str">
        <f>IF(COUNTA(A2276:G2276)=0,"",IF(A2276="","N° devis manquant",IF(ISNA(MATCH(A2276,dv_num,0)),"Devis inconnu",IF(AND(B2276&lt;&gt;"",ISNA(MATCH(B2276,pr_code,0))),"Article inconnu",IF(H2276="","Désignation manquante",IF(OR(NOT(ISNUMBER(D2276)),N(D2276)&lt;=0),"Quantité invalide",IF(J2276="","Prix manquant",IF(OR(NOT(ISNUMBER(J2276)),N(J2276)&lt;0),"Prix invalide",IF(OR(AND(F2276&lt;&gt;"",NOT(ISNUMBER(F2276))),N(F2276)&lt;0,N(F2276)&gt;1),"Remise invalide",IF(K2276="","Taux de TVA manquant",IF(NOT(ISNUMBER(K2276)),"Taux de TVA invalide",IF(COUNTIF(p_rates,K2276)=0,"Taux de TVA hors liste (Paramètres)",IF(N(O2276)&gt;25,"Au-delà de 25 lignes : non imprimée","OK")))))))))))))</f>
        <v/>
      </c>
      <c r="O2276" s="59" t="str">
        <f>IF(A2276="","",COUNTIF($A$6:A2276,A2276))</f>
        <v/>
      </c>
      <c r="P2276" s="62" t="str">
        <f>IF(A2276="","",A2276&amp;"|"&amp;O2276)</f>
        <v/>
      </c>
    </row>
    <row r="2277">
      <c r="A2277" s="60" t="n"/>
      <c r="B2277" s="63" t="n"/>
      <c r="C2277" s="63" t="n"/>
      <c r="D2277" s="67" t="n"/>
      <c r="E2277" s="68" t="n"/>
      <c r="F2277" s="69" t="n"/>
      <c r="G2277" s="70" t="n"/>
      <c r="H2277" s="62" t="str">
        <f>IF(COUNTA(A2277:G2277)=0,"",IF(C2277&lt;&gt;"",C2277,IF(B2277="","",IFERROR(INDEX(pr_des,MATCH(B2277,pr_code,0))&amp;"",""))))</f>
        <v/>
      </c>
      <c r="I2277" s="59" t="str">
        <f>IF(B2277="","",IFERROR(INDEX(pr_unit,MATCH(B2277,pr_code,0))&amp;"",""))</f>
        <v/>
      </c>
      <c r="J2277" s="65" t="str">
        <f>IF(COUNTA(A2277:G2277)=0,"",IF(E2277&lt;&gt;"",E2277,IF(B2277="","",IFERROR(IF(INDEX(pr_price,MATCH(B2277,pr_code,0))="","",INDEX(pr_price,MATCH(B2277,pr_code,0))),""))))</f>
        <v/>
      </c>
      <c r="K2277" s="71" t="str">
        <f>IF(COUNTA(A2277:G2277)=0,"",IF(G2277&lt;&gt;"",G2277,IF(B2277="","",IFERROR(IF(INDEX(pr_rate,MATCH(B2277,pr_code,0))="","",INDEX(pr_rate,MATCH(B2277,pr_code,0))),""))))</f>
        <v/>
      </c>
      <c r="L2277" s="65" t="str">
        <f>IF(COUNTA(A2277:G2277)=0,"",IF(AND(ISNUMBER(D2277),ISNUMBER(J2277)),ROUND(D2277*J2277*(1-N(F2277)),2),0))</f>
        <v/>
      </c>
      <c r="M2277" s="62" t="str">
        <f>IF(A2277="","",IFERROR(INDEX(dv_cname,MATCH(A2277,dv_num,0))&amp;"",""))</f>
        <v/>
      </c>
      <c r="N2277" s="59" t="str">
        <f>IF(COUNTA(A2277:G2277)=0,"",IF(A2277="","N° devis manquant",IF(ISNA(MATCH(A2277,dv_num,0)),"Devis inconnu",IF(AND(B2277&lt;&gt;"",ISNA(MATCH(B2277,pr_code,0))),"Article inconnu",IF(H2277="","Désignation manquante",IF(OR(NOT(ISNUMBER(D2277)),N(D2277)&lt;=0),"Quantité invalide",IF(J2277="","Prix manquant",IF(OR(NOT(ISNUMBER(J2277)),N(J2277)&lt;0),"Prix invalide",IF(OR(AND(F2277&lt;&gt;"",NOT(ISNUMBER(F2277))),N(F2277)&lt;0,N(F2277)&gt;1),"Remise invalide",IF(K2277="","Taux de TVA manquant",IF(NOT(ISNUMBER(K2277)),"Taux de TVA invalide",IF(COUNTIF(p_rates,K2277)=0,"Taux de TVA hors liste (Paramètres)",IF(N(O2277)&gt;25,"Au-delà de 25 lignes : non imprimée","OK")))))))))))))</f>
        <v/>
      </c>
      <c r="O2277" s="59" t="str">
        <f>IF(A2277="","",COUNTIF($A$6:A2277,A2277))</f>
        <v/>
      </c>
      <c r="P2277" s="62" t="str">
        <f>IF(A2277="","",A2277&amp;"|"&amp;O2277)</f>
        <v/>
      </c>
    </row>
    <row r="2278">
      <c r="A2278" s="60" t="n"/>
      <c r="B2278" s="63" t="n"/>
      <c r="C2278" s="63" t="n"/>
      <c r="D2278" s="67" t="n"/>
      <c r="E2278" s="68" t="n"/>
      <c r="F2278" s="69" t="n"/>
      <c r="G2278" s="70" t="n"/>
      <c r="H2278" s="62" t="str">
        <f>IF(COUNTA(A2278:G2278)=0,"",IF(C2278&lt;&gt;"",C2278,IF(B2278="","",IFERROR(INDEX(pr_des,MATCH(B2278,pr_code,0))&amp;"",""))))</f>
        <v/>
      </c>
      <c r="I2278" s="59" t="str">
        <f>IF(B2278="","",IFERROR(INDEX(pr_unit,MATCH(B2278,pr_code,0))&amp;"",""))</f>
        <v/>
      </c>
      <c r="J2278" s="65" t="str">
        <f>IF(COUNTA(A2278:G2278)=0,"",IF(E2278&lt;&gt;"",E2278,IF(B2278="","",IFERROR(IF(INDEX(pr_price,MATCH(B2278,pr_code,0))="","",INDEX(pr_price,MATCH(B2278,pr_code,0))),""))))</f>
        <v/>
      </c>
      <c r="K2278" s="71" t="str">
        <f>IF(COUNTA(A2278:G2278)=0,"",IF(G2278&lt;&gt;"",G2278,IF(B2278="","",IFERROR(IF(INDEX(pr_rate,MATCH(B2278,pr_code,0))="","",INDEX(pr_rate,MATCH(B2278,pr_code,0))),""))))</f>
        <v/>
      </c>
      <c r="L2278" s="65" t="str">
        <f>IF(COUNTA(A2278:G2278)=0,"",IF(AND(ISNUMBER(D2278),ISNUMBER(J2278)),ROUND(D2278*J2278*(1-N(F2278)),2),0))</f>
        <v/>
      </c>
      <c r="M2278" s="62" t="str">
        <f>IF(A2278="","",IFERROR(INDEX(dv_cname,MATCH(A2278,dv_num,0))&amp;"",""))</f>
        <v/>
      </c>
      <c r="N2278" s="59" t="str">
        <f>IF(COUNTA(A2278:G2278)=0,"",IF(A2278="","N° devis manquant",IF(ISNA(MATCH(A2278,dv_num,0)),"Devis inconnu",IF(AND(B2278&lt;&gt;"",ISNA(MATCH(B2278,pr_code,0))),"Article inconnu",IF(H2278="","Désignation manquante",IF(OR(NOT(ISNUMBER(D2278)),N(D2278)&lt;=0),"Quantité invalide",IF(J2278="","Prix manquant",IF(OR(NOT(ISNUMBER(J2278)),N(J2278)&lt;0),"Prix invalide",IF(OR(AND(F2278&lt;&gt;"",NOT(ISNUMBER(F2278))),N(F2278)&lt;0,N(F2278)&gt;1),"Remise invalide",IF(K2278="","Taux de TVA manquant",IF(NOT(ISNUMBER(K2278)),"Taux de TVA invalide",IF(COUNTIF(p_rates,K2278)=0,"Taux de TVA hors liste (Paramètres)",IF(N(O2278)&gt;25,"Au-delà de 25 lignes : non imprimée","OK")))))))))))))</f>
        <v/>
      </c>
      <c r="O2278" s="59" t="str">
        <f>IF(A2278="","",COUNTIF($A$6:A2278,A2278))</f>
        <v/>
      </c>
      <c r="P2278" s="62" t="str">
        <f>IF(A2278="","",A2278&amp;"|"&amp;O2278)</f>
        <v/>
      </c>
    </row>
    <row r="2279">
      <c r="A2279" s="60" t="n"/>
      <c r="B2279" s="63" t="n"/>
      <c r="C2279" s="63" t="n"/>
      <c r="D2279" s="67" t="n"/>
      <c r="E2279" s="68" t="n"/>
      <c r="F2279" s="69" t="n"/>
      <c r="G2279" s="70" t="n"/>
      <c r="H2279" s="62" t="str">
        <f>IF(COUNTA(A2279:G2279)=0,"",IF(C2279&lt;&gt;"",C2279,IF(B2279="","",IFERROR(INDEX(pr_des,MATCH(B2279,pr_code,0))&amp;"",""))))</f>
        <v/>
      </c>
      <c r="I2279" s="59" t="str">
        <f>IF(B2279="","",IFERROR(INDEX(pr_unit,MATCH(B2279,pr_code,0))&amp;"",""))</f>
        <v/>
      </c>
      <c r="J2279" s="65" t="str">
        <f>IF(COUNTA(A2279:G2279)=0,"",IF(E2279&lt;&gt;"",E2279,IF(B2279="","",IFERROR(IF(INDEX(pr_price,MATCH(B2279,pr_code,0))="","",INDEX(pr_price,MATCH(B2279,pr_code,0))),""))))</f>
        <v/>
      </c>
      <c r="K2279" s="71" t="str">
        <f>IF(COUNTA(A2279:G2279)=0,"",IF(G2279&lt;&gt;"",G2279,IF(B2279="","",IFERROR(IF(INDEX(pr_rate,MATCH(B2279,pr_code,0))="","",INDEX(pr_rate,MATCH(B2279,pr_code,0))),""))))</f>
        <v/>
      </c>
      <c r="L2279" s="65" t="str">
        <f>IF(COUNTA(A2279:G2279)=0,"",IF(AND(ISNUMBER(D2279),ISNUMBER(J2279)),ROUND(D2279*J2279*(1-N(F2279)),2),0))</f>
        <v/>
      </c>
      <c r="M2279" s="62" t="str">
        <f>IF(A2279="","",IFERROR(INDEX(dv_cname,MATCH(A2279,dv_num,0))&amp;"",""))</f>
        <v/>
      </c>
      <c r="N2279" s="59" t="str">
        <f>IF(COUNTA(A2279:G2279)=0,"",IF(A2279="","N° devis manquant",IF(ISNA(MATCH(A2279,dv_num,0)),"Devis inconnu",IF(AND(B2279&lt;&gt;"",ISNA(MATCH(B2279,pr_code,0))),"Article inconnu",IF(H2279="","Désignation manquante",IF(OR(NOT(ISNUMBER(D2279)),N(D2279)&lt;=0),"Quantité invalide",IF(J2279="","Prix manquant",IF(OR(NOT(ISNUMBER(J2279)),N(J2279)&lt;0),"Prix invalide",IF(OR(AND(F2279&lt;&gt;"",NOT(ISNUMBER(F2279))),N(F2279)&lt;0,N(F2279)&gt;1),"Remise invalide",IF(K2279="","Taux de TVA manquant",IF(NOT(ISNUMBER(K2279)),"Taux de TVA invalide",IF(COUNTIF(p_rates,K2279)=0,"Taux de TVA hors liste (Paramètres)",IF(N(O2279)&gt;25,"Au-delà de 25 lignes : non imprimée","OK")))))))))))))</f>
        <v/>
      </c>
      <c r="O2279" s="59" t="str">
        <f>IF(A2279="","",COUNTIF($A$6:A2279,A2279))</f>
        <v/>
      </c>
      <c r="P2279" s="62" t="str">
        <f>IF(A2279="","",A2279&amp;"|"&amp;O2279)</f>
        <v/>
      </c>
    </row>
    <row r="2280">
      <c r="A2280" s="60" t="n"/>
      <c r="B2280" s="63" t="n"/>
      <c r="C2280" s="63" t="n"/>
      <c r="D2280" s="67" t="n"/>
      <c r="E2280" s="68" t="n"/>
      <c r="F2280" s="69" t="n"/>
      <c r="G2280" s="70" t="n"/>
      <c r="H2280" s="62" t="str">
        <f>IF(COUNTA(A2280:G2280)=0,"",IF(C2280&lt;&gt;"",C2280,IF(B2280="","",IFERROR(INDEX(pr_des,MATCH(B2280,pr_code,0))&amp;"",""))))</f>
        <v/>
      </c>
      <c r="I2280" s="59" t="str">
        <f>IF(B2280="","",IFERROR(INDEX(pr_unit,MATCH(B2280,pr_code,0))&amp;"",""))</f>
        <v/>
      </c>
      <c r="J2280" s="65" t="str">
        <f>IF(COUNTA(A2280:G2280)=0,"",IF(E2280&lt;&gt;"",E2280,IF(B2280="","",IFERROR(IF(INDEX(pr_price,MATCH(B2280,pr_code,0))="","",INDEX(pr_price,MATCH(B2280,pr_code,0))),""))))</f>
        <v/>
      </c>
      <c r="K2280" s="71" t="str">
        <f>IF(COUNTA(A2280:G2280)=0,"",IF(G2280&lt;&gt;"",G2280,IF(B2280="","",IFERROR(IF(INDEX(pr_rate,MATCH(B2280,pr_code,0))="","",INDEX(pr_rate,MATCH(B2280,pr_code,0))),""))))</f>
        <v/>
      </c>
      <c r="L2280" s="65" t="str">
        <f>IF(COUNTA(A2280:G2280)=0,"",IF(AND(ISNUMBER(D2280),ISNUMBER(J2280)),ROUND(D2280*J2280*(1-N(F2280)),2),0))</f>
        <v/>
      </c>
      <c r="M2280" s="62" t="str">
        <f>IF(A2280="","",IFERROR(INDEX(dv_cname,MATCH(A2280,dv_num,0))&amp;"",""))</f>
        <v/>
      </c>
      <c r="N2280" s="59" t="str">
        <f>IF(COUNTA(A2280:G2280)=0,"",IF(A2280="","N° devis manquant",IF(ISNA(MATCH(A2280,dv_num,0)),"Devis inconnu",IF(AND(B2280&lt;&gt;"",ISNA(MATCH(B2280,pr_code,0))),"Article inconnu",IF(H2280="","Désignation manquante",IF(OR(NOT(ISNUMBER(D2280)),N(D2280)&lt;=0),"Quantité invalide",IF(J2280="","Prix manquant",IF(OR(NOT(ISNUMBER(J2280)),N(J2280)&lt;0),"Prix invalide",IF(OR(AND(F2280&lt;&gt;"",NOT(ISNUMBER(F2280))),N(F2280)&lt;0,N(F2280)&gt;1),"Remise invalide",IF(K2280="","Taux de TVA manquant",IF(NOT(ISNUMBER(K2280)),"Taux de TVA invalide",IF(COUNTIF(p_rates,K2280)=0,"Taux de TVA hors liste (Paramètres)",IF(N(O2280)&gt;25,"Au-delà de 25 lignes : non imprimée","OK")))))))))))))</f>
        <v/>
      </c>
      <c r="O2280" s="59" t="str">
        <f>IF(A2280="","",COUNTIF($A$6:A2280,A2280))</f>
        <v/>
      </c>
      <c r="P2280" s="62" t="str">
        <f>IF(A2280="","",A2280&amp;"|"&amp;O2280)</f>
        <v/>
      </c>
    </row>
    <row r="2281">
      <c r="A2281" s="60" t="n"/>
      <c r="B2281" s="63" t="n"/>
      <c r="C2281" s="63" t="n"/>
      <c r="D2281" s="67" t="n"/>
      <c r="E2281" s="68" t="n"/>
      <c r="F2281" s="69" t="n"/>
      <c r="G2281" s="70" t="n"/>
      <c r="H2281" s="62" t="str">
        <f>IF(COUNTA(A2281:G2281)=0,"",IF(C2281&lt;&gt;"",C2281,IF(B2281="","",IFERROR(INDEX(pr_des,MATCH(B2281,pr_code,0))&amp;"",""))))</f>
        <v/>
      </c>
      <c r="I2281" s="59" t="str">
        <f>IF(B2281="","",IFERROR(INDEX(pr_unit,MATCH(B2281,pr_code,0))&amp;"",""))</f>
        <v/>
      </c>
      <c r="J2281" s="65" t="str">
        <f>IF(COUNTA(A2281:G2281)=0,"",IF(E2281&lt;&gt;"",E2281,IF(B2281="","",IFERROR(IF(INDEX(pr_price,MATCH(B2281,pr_code,0))="","",INDEX(pr_price,MATCH(B2281,pr_code,0))),""))))</f>
        <v/>
      </c>
      <c r="K2281" s="71" t="str">
        <f>IF(COUNTA(A2281:G2281)=0,"",IF(G2281&lt;&gt;"",G2281,IF(B2281="","",IFERROR(IF(INDEX(pr_rate,MATCH(B2281,pr_code,0))="","",INDEX(pr_rate,MATCH(B2281,pr_code,0))),""))))</f>
        <v/>
      </c>
      <c r="L2281" s="65" t="str">
        <f>IF(COUNTA(A2281:G2281)=0,"",IF(AND(ISNUMBER(D2281),ISNUMBER(J2281)),ROUND(D2281*J2281*(1-N(F2281)),2),0))</f>
        <v/>
      </c>
      <c r="M2281" s="62" t="str">
        <f>IF(A2281="","",IFERROR(INDEX(dv_cname,MATCH(A2281,dv_num,0))&amp;"",""))</f>
        <v/>
      </c>
      <c r="N2281" s="59" t="str">
        <f>IF(COUNTA(A2281:G2281)=0,"",IF(A2281="","N° devis manquant",IF(ISNA(MATCH(A2281,dv_num,0)),"Devis inconnu",IF(AND(B2281&lt;&gt;"",ISNA(MATCH(B2281,pr_code,0))),"Article inconnu",IF(H2281="","Désignation manquante",IF(OR(NOT(ISNUMBER(D2281)),N(D2281)&lt;=0),"Quantité invalide",IF(J2281="","Prix manquant",IF(OR(NOT(ISNUMBER(J2281)),N(J2281)&lt;0),"Prix invalide",IF(OR(AND(F2281&lt;&gt;"",NOT(ISNUMBER(F2281))),N(F2281)&lt;0,N(F2281)&gt;1),"Remise invalide",IF(K2281="","Taux de TVA manquant",IF(NOT(ISNUMBER(K2281)),"Taux de TVA invalide",IF(COUNTIF(p_rates,K2281)=0,"Taux de TVA hors liste (Paramètres)",IF(N(O2281)&gt;25,"Au-delà de 25 lignes : non imprimée","OK")))))))))))))</f>
        <v/>
      </c>
      <c r="O2281" s="59" t="str">
        <f>IF(A2281="","",COUNTIF($A$6:A2281,A2281))</f>
        <v/>
      </c>
      <c r="P2281" s="62" t="str">
        <f>IF(A2281="","",A2281&amp;"|"&amp;O2281)</f>
        <v/>
      </c>
    </row>
    <row r="2282">
      <c r="A2282" s="60" t="n"/>
      <c r="B2282" s="63" t="n"/>
      <c r="C2282" s="63" t="n"/>
      <c r="D2282" s="67" t="n"/>
      <c r="E2282" s="68" t="n"/>
      <c r="F2282" s="69" t="n"/>
      <c r="G2282" s="70" t="n"/>
      <c r="H2282" s="62" t="str">
        <f>IF(COUNTA(A2282:G2282)=0,"",IF(C2282&lt;&gt;"",C2282,IF(B2282="","",IFERROR(INDEX(pr_des,MATCH(B2282,pr_code,0))&amp;"",""))))</f>
        <v/>
      </c>
      <c r="I2282" s="59" t="str">
        <f>IF(B2282="","",IFERROR(INDEX(pr_unit,MATCH(B2282,pr_code,0))&amp;"",""))</f>
        <v/>
      </c>
      <c r="J2282" s="65" t="str">
        <f>IF(COUNTA(A2282:G2282)=0,"",IF(E2282&lt;&gt;"",E2282,IF(B2282="","",IFERROR(IF(INDEX(pr_price,MATCH(B2282,pr_code,0))="","",INDEX(pr_price,MATCH(B2282,pr_code,0))),""))))</f>
        <v/>
      </c>
      <c r="K2282" s="71" t="str">
        <f>IF(COUNTA(A2282:G2282)=0,"",IF(G2282&lt;&gt;"",G2282,IF(B2282="","",IFERROR(IF(INDEX(pr_rate,MATCH(B2282,pr_code,0))="","",INDEX(pr_rate,MATCH(B2282,pr_code,0))),""))))</f>
        <v/>
      </c>
      <c r="L2282" s="65" t="str">
        <f>IF(COUNTA(A2282:G2282)=0,"",IF(AND(ISNUMBER(D2282),ISNUMBER(J2282)),ROUND(D2282*J2282*(1-N(F2282)),2),0))</f>
        <v/>
      </c>
      <c r="M2282" s="62" t="str">
        <f>IF(A2282="","",IFERROR(INDEX(dv_cname,MATCH(A2282,dv_num,0))&amp;"",""))</f>
        <v/>
      </c>
      <c r="N2282" s="59" t="str">
        <f>IF(COUNTA(A2282:G2282)=0,"",IF(A2282="","N° devis manquant",IF(ISNA(MATCH(A2282,dv_num,0)),"Devis inconnu",IF(AND(B2282&lt;&gt;"",ISNA(MATCH(B2282,pr_code,0))),"Article inconnu",IF(H2282="","Désignation manquante",IF(OR(NOT(ISNUMBER(D2282)),N(D2282)&lt;=0),"Quantité invalide",IF(J2282="","Prix manquant",IF(OR(NOT(ISNUMBER(J2282)),N(J2282)&lt;0),"Prix invalide",IF(OR(AND(F2282&lt;&gt;"",NOT(ISNUMBER(F2282))),N(F2282)&lt;0,N(F2282)&gt;1),"Remise invalide",IF(K2282="","Taux de TVA manquant",IF(NOT(ISNUMBER(K2282)),"Taux de TVA invalide",IF(COUNTIF(p_rates,K2282)=0,"Taux de TVA hors liste (Paramètres)",IF(N(O2282)&gt;25,"Au-delà de 25 lignes : non imprimée","OK")))))))))))))</f>
        <v/>
      </c>
      <c r="O2282" s="59" t="str">
        <f>IF(A2282="","",COUNTIF($A$6:A2282,A2282))</f>
        <v/>
      </c>
      <c r="P2282" s="62" t="str">
        <f>IF(A2282="","",A2282&amp;"|"&amp;O2282)</f>
        <v/>
      </c>
    </row>
    <row r="2283">
      <c r="A2283" s="60" t="n"/>
      <c r="B2283" s="63" t="n"/>
      <c r="C2283" s="63" t="n"/>
      <c r="D2283" s="67" t="n"/>
      <c r="E2283" s="68" t="n"/>
      <c r="F2283" s="69" t="n"/>
      <c r="G2283" s="70" t="n"/>
      <c r="H2283" s="62" t="str">
        <f>IF(COUNTA(A2283:G2283)=0,"",IF(C2283&lt;&gt;"",C2283,IF(B2283="","",IFERROR(INDEX(pr_des,MATCH(B2283,pr_code,0))&amp;"",""))))</f>
        <v/>
      </c>
      <c r="I2283" s="59" t="str">
        <f>IF(B2283="","",IFERROR(INDEX(pr_unit,MATCH(B2283,pr_code,0))&amp;"",""))</f>
        <v/>
      </c>
      <c r="J2283" s="65" t="str">
        <f>IF(COUNTA(A2283:G2283)=0,"",IF(E2283&lt;&gt;"",E2283,IF(B2283="","",IFERROR(IF(INDEX(pr_price,MATCH(B2283,pr_code,0))="","",INDEX(pr_price,MATCH(B2283,pr_code,0))),""))))</f>
        <v/>
      </c>
      <c r="K2283" s="71" t="str">
        <f>IF(COUNTA(A2283:G2283)=0,"",IF(G2283&lt;&gt;"",G2283,IF(B2283="","",IFERROR(IF(INDEX(pr_rate,MATCH(B2283,pr_code,0))="","",INDEX(pr_rate,MATCH(B2283,pr_code,0))),""))))</f>
        <v/>
      </c>
      <c r="L2283" s="65" t="str">
        <f>IF(COUNTA(A2283:G2283)=0,"",IF(AND(ISNUMBER(D2283),ISNUMBER(J2283)),ROUND(D2283*J2283*(1-N(F2283)),2),0))</f>
        <v/>
      </c>
      <c r="M2283" s="62" t="str">
        <f>IF(A2283="","",IFERROR(INDEX(dv_cname,MATCH(A2283,dv_num,0))&amp;"",""))</f>
        <v/>
      </c>
      <c r="N2283" s="59" t="str">
        <f>IF(COUNTA(A2283:G2283)=0,"",IF(A2283="","N° devis manquant",IF(ISNA(MATCH(A2283,dv_num,0)),"Devis inconnu",IF(AND(B2283&lt;&gt;"",ISNA(MATCH(B2283,pr_code,0))),"Article inconnu",IF(H2283="","Désignation manquante",IF(OR(NOT(ISNUMBER(D2283)),N(D2283)&lt;=0),"Quantité invalide",IF(J2283="","Prix manquant",IF(OR(NOT(ISNUMBER(J2283)),N(J2283)&lt;0),"Prix invalide",IF(OR(AND(F2283&lt;&gt;"",NOT(ISNUMBER(F2283))),N(F2283)&lt;0,N(F2283)&gt;1),"Remise invalide",IF(K2283="","Taux de TVA manquant",IF(NOT(ISNUMBER(K2283)),"Taux de TVA invalide",IF(COUNTIF(p_rates,K2283)=0,"Taux de TVA hors liste (Paramètres)",IF(N(O2283)&gt;25,"Au-delà de 25 lignes : non imprimée","OK")))))))))))))</f>
        <v/>
      </c>
      <c r="O2283" s="59" t="str">
        <f>IF(A2283="","",COUNTIF($A$6:A2283,A2283))</f>
        <v/>
      </c>
      <c r="P2283" s="62" t="str">
        <f>IF(A2283="","",A2283&amp;"|"&amp;O2283)</f>
        <v/>
      </c>
    </row>
    <row r="2284">
      <c r="A2284" s="60" t="n"/>
      <c r="B2284" s="63" t="n"/>
      <c r="C2284" s="63" t="n"/>
      <c r="D2284" s="67" t="n"/>
      <c r="E2284" s="68" t="n"/>
      <c r="F2284" s="69" t="n"/>
      <c r="G2284" s="70" t="n"/>
      <c r="H2284" s="62" t="str">
        <f>IF(COUNTA(A2284:G2284)=0,"",IF(C2284&lt;&gt;"",C2284,IF(B2284="","",IFERROR(INDEX(pr_des,MATCH(B2284,pr_code,0))&amp;"",""))))</f>
        <v/>
      </c>
      <c r="I2284" s="59" t="str">
        <f>IF(B2284="","",IFERROR(INDEX(pr_unit,MATCH(B2284,pr_code,0))&amp;"",""))</f>
        <v/>
      </c>
      <c r="J2284" s="65" t="str">
        <f>IF(COUNTA(A2284:G2284)=0,"",IF(E2284&lt;&gt;"",E2284,IF(B2284="","",IFERROR(IF(INDEX(pr_price,MATCH(B2284,pr_code,0))="","",INDEX(pr_price,MATCH(B2284,pr_code,0))),""))))</f>
        <v/>
      </c>
      <c r="K2284" s="71" t="str">
        <f>IF(COUNTA(A2284:G2284)=0,"",IF(G2284&lt;&gt;"",G2284,IF(B2284="","",IFERROR(IF(INDEX(pr_rate,MATCH(B2284,pr_code,0))="","",INDEX(pr_rate,MATCH(B2284,pr_code,0))),""))))</f>
        <v/>
      </c>
      <c r="L2284" s="65" t="str">
        <f>IF(COUNTA(A2284:G2284)=0,"",IF(AND(ISNUMBER(D2284),ISNUMBER(J2284)),ROUND(D2284*J2284*(1-N(F2284)),2),0))</f>
        <v/>
      </c>
      <c r="M2284" s="62" t="str">
        <f>IF(A2284="","",IFERROR(INDEX(dv_cname,MATCH(A2284,dv_num,0))&amp;"",""))</f>
        <v/>
      </c>
      <c r="N2284" s="59" t="str">
        <f>IF(COUNTA(A2284:G2284)=0,"",IF(A2284="","N° devis manquant",IF(ISNA(MATCH(A2284,dv_num,0)),"Devis inconnu",IF(AND(B2284&lt;&gt;"",ISNA(MATCH(B2284,pr_code,0))),"Article inconnu",IF(H2284="","Désignation manquante",IF(OR(NOT(ISNUMBER(D2284)),N(D2284)&lt;=0),"Quantité invalide",IF(J2284="","Prix manquant",IF(OR(NOT(ISNUMBER(J2284)),N(J2284)&lt;0),"Prix invalide",IF(OR(AND(F2284&lt;&gt;"",NOT(ISNUMBER(F2284))),N(F2284)&lt;0,N(F2284)&gt;1),"Remise invalide",IF(K2284="","Taux de TVA manquant",IF(NOT(ISNUMBER(K2284)),"Taux de TVA invalide",IF(COUNTIF(p_rates,K2284)=0,"Taux de TVA hors liste (Paramètres)",IF(N(O2284)&gt;25,"Au-delà de 25 lignes : non imprimée","OK")))))))))))))</f>
        <v/>
      </c>
      <c r="O2284" s="59" t="str">
        <f>IF(A2284="","",COUNTIF($A$6:A2284,A2284))</f>
        <v/>
      </c>
      <c r="P2284" s="62" t="str">
        <f>IF(A2284="","",A2284&amp;"|"&amp;O2284)</f>
        <v/>
      </c>
    </row>
    <row r="2285">
      <c r="A2285" s="60" t="n"/>
      <c r="B2285" s="63" t="n"/>
      <c r="C2285" s="63" t="n"/>
      <c r="D2285" s="67" t="n"/>
      <c r="E2285" s="68" t="n"/>
      <c r="F2285" s="69" t="n"/>
      <c r="G2285" s="70" t="n"/>
      <c r="H2285" s="62" t="str">
        <f>IF(COUNTA(A2285:G2285)=0,"",IF(C2285&lt;&gt;"",C2285,IF(B2285="","",IFERROR(INDEX(pr_des,MATCH(B2285,pr_code,0))&amp;"",""))))</f>
        <v/>
      </c>
      <c r="I2285" s="59" t="str">
        <f>IF(B2285="","",IFERROR(INDEX(pr_unit,MATCH(B2285,pr_code,0))&amp;"",""))</f>
        <v/>
      </c>
      <c r="J2285" s="65" t="str">
        <f>IF(COUNTA(A2285:G2285)=0,"",IF(E2285&lt;&gt;"",E2285,IF(B2285="","",IFERROR(IF(INDEX(pr_price,MATCH(B2285,pr_code,0))="","",INDEX(pr_price,MATCH(B2285,pr_code,0))),""))))</f>
        <v/>
      </c>
      <c r="K2285" s="71" t="str">
        <f>IF(COUNTA(A2285:G2285)=0,"",IF(G2285&lt;&gt;"",G2285,IF(B2285="","",IFERROR(IF(INDEX(pr_rate,MATCH(B2285,pr_code,0))="","",INDEX(pr_rate,MATCH(B2285,pr_code,0))),""))))</f>
        <v/>
      </c>
      <c r="L2285" s="65" t="str">
        <f>IF(COUNTA(A2285:G2285)=0,"",IF(AND(ISNUMBER(D2285),ISNUMBER(J2285)),ROUND(D2285*J2285*(1-N(F2285)),2),0))</f>
        <v/>
      </c>
      <c r="M2285" s="62" t="str">
        <f>IF(A2285="","",IFERROR(INDEX(dv_cname,MATCH(A2285,dv_num,0))&amp;"",""))</f>
        <v/>
      </c>
      <c r="N2285" s="59" t="str">
        <f>IF(COUNTA(A2285:G2285)=0,"",IF(A2285="","N° devis manquant",IF(ISNA(MATCH(A2285,dv_num,0)),"Devis inconnu",IF(AND(B2285&lt;&gt;"",ISNA(MATCH(B2285,pr_code,0))),"Article inconnu",IF(H2285="","Désignation manquante",IF(OR(NOT(ISNUMBER(D2285)),N(D2285)&lt;=0),"Quantité invalide",IF(J2285="","Prix manquant",IF(OR(NOT(ISNUMBER(J2285)),N(J2285)&lt;0),"Prix invalide",IF(OR(AND(F2285&lt;&gt;"",NOT(ISNUMBER(F2285))),N(F2285)&lt;0,N(F2285)&gt;1),"Remise invalide",IF(K2285="","Taux de TVA manquant",IF(NOT(ISNUMBER(K2285)),"Taux de TVA invalide",IF(COUNTIF(p_rates,K2285)=0,"Taux de TVA hors liste (Paramètres)",IF(N(O2285)&gt;25,"Au-delà de 25 lignes : non imprimée","OK")))))))))))))</f>
        <v/>
      </c>
      <c r="O2285" s="59" t="str">
        <f>IF(A2285="","",COUNTIF($A$6:A2285,A2285))</f>
        <v/>
      </c>
      <c r="P2285" s="62" t="str">
        <f>IF(A2285="","",A2285&amp;"|"&amp;O2285)</f>
        <v/>
      </c>
    </row>
    <row r="2286">
      <c r="A2286" s="60" t="n"/>
      <c r="B2286" s="63" t="n"/>
      <c r="C2286" s="63" t="n"/>
      <c r="D2286" s="67" t="n"/>
      <c r="E2286" s="68" t="n"/>
      <c r="F2286" s="69" t="n"/>
      <c r="G2286" s="70" t="n"/>
      <c r="H2286" s="62" t="str">
        <f>IF(COUNTA(A2286:G2286)=0,"",IF(C2286&lt;&gt;"",C2286,IF(B2286="","",IFERROR(INDEX(pr_des,MATCH(B2286,pr_code,0))&amp;"",""))))</f>
        <v/>
      </c>
      <c r="I2286" s="59" t="str">
        <f>IF(B2286="","",IFERROR(INDEX(pr_unit,MATCH(B2286,pr_code,0))&amp;"",""))</f>
        <v/>
      </c>
      <c r="J2286" s="65" t="str">
        <f>IF(COUNTA(A2286:G2286)=0,"",IF(E2286&lt;&gt;"",E2286,IF(B2286="","",IFERROR(IF(INDEX(pr_price,MATCH(B2286,pr_code,0))="","",INDEX(pr_price,MATCH(B2286,pr_code,0))),""))))</f>
        <v/>
      </c>
      <c r="K2286" s="71" t="str">
        <f>IF(COUNTA(A2286:G2286)=0,"",IF(G2286&lt;&gt;"",G2286,IF(B2286="","",IFERROR(IF(INDEX(pr_rate,MATCH(B2286,pr_code,0))="","",INDEX(pr_rate,MATCH(B2286,pr_code,0))),""))))</f>
        <v/>
      </c>
      <c r="L2286" s="65" t="str">
        <f>IF(COUNTA(A2286:G2286)=0,"",IF(AND(ISNUMBER(D2286),ISNUMBER(J2286)),ROUND(D2286*J2286*(1-N(F2286)),2),0))</f>
        <v/>
      </c>
      <c r="M2286" s="62" t="str">
        <f>IF(A2286="","",IFERROR(INDEX(dv_cname,MATCH(A2286,dv_num,0))&amp;"",""))</f>
        <v/>
      </c>
      <c r="N2286" s="59" t="str">
        <f>IF(COUNTA(A2286:G2286)=0,"",IF(A2286="","N° devis manquant",IF(ISNA(MATCH(A2286,dv_num,0)),"Devis inconnu",IF(AND(B2286&lt;&gt;"",ISNA(MATCH(B2286,pr_code,0))),"Article inconnu",IF(H2286="","Désignation manquante",IF(OR(NOT(ISNUMBER(D2286)),N(D2286)&lt;=0),"Quantité invalide",IF(J2286="","Prix manquant",IF(OR(NOT(ISNUMBER(J2286)),N(J2286)&lt;0),"Prix invalide",IF(OR(AND(F2286&lt;&gt;"",NOT(ISNUMBER(F2286))),N(F2286)&lt;0,N(F2286)&gt;1),"Remise invalide",IF(K2286="","Taux de TVA manquant",IF(NOT(ISNUMBER(K2286)),"Taux de TVA invalide",IF(COUNTIF(p_rates,K2286)=0,"Taux de TVA hors liste (Paramètres)",IF(N(O2286)&gt;25,"Au-delà de 25 lignes : non imprimée","OK")))))))))))))</f>
        <v/>
      </c>
      <c r="O2286" s="59" t="str">
        <f>IF(A2286="","",COUNTIF($A$6:A2286,A2286))</f>
        <v/>
      </c>
      <c r="P2286" s="62" t="str">
        <f>IF(A2286="","",A2286&amp;"|"&amp;O2286)</f>
        <v/>
      </c>
    </row>
    <row r="2287">
      <c r="A2287" s="60" t="n"/>
      <c r="B2287" s="63" t="n"/>
      <c r="C2287" s="63" t="n"/>
      <c r="D2287" s="67" t="n"/>
      <c r="E2287" s="68" t="n"/>
      <c r="F2287" s="69" t="n"/>
      <c r="G2287" s="70" t="n"/>
      <c r="H2287" s="62" t="str">
        <f>IF(COUNTA(A2287:G2287)=0,"",IF(C2287&lt;&gt;"",C2287,IF(B2287="","",IFERROR(INDEX(pr_des,MATCH(B2287,pr_code,0))&amp;"",""))))</f>
        <v/>
      </c>
      <c r="I2287" s="59" t="str">
        <f>IF(B2287="","",IFERROR(INDEX(pr_unit,MATCH(B2287,pr_code,0))&amp;"",""))</f>
        <v/>
      </c>
      <c r="J2287" s="65" t="str">
        <f>IF(COUNTA(A2287:G2287)=0,"",IF(E2287&lt;&gt;"",E2287,IF(B2287="","",IFERROR(IF(INDEX(pr_price,MATCH(B2287,pr_code,0))="","",INDEX(pr_price,MATCH(B2287,pr_code,0))),""))))</f>
        <v/>
      </c>
      <c r="K2287" s="71" t="str">
        <f>IF(COUNTA(A2287:G2287)=0,"",IF(G2287&lt;&gt;"",G2287,IF(B2287="","",IFERROR(IF(INDEX(pr_rate,MATCH(B2287,pr_code,0))="","",INDEX(pr_rate,MATCH(B2287,pr_code,0))),""))))</f>
        <v/>
      </c>
      <c r="L2287" s="65" t="str">
        <f>IF(COUNTA(A2287:G2287)=0,"",IF(AND(ISNUMBER(D2287),ISNUMBER(J2287)),ROUND(D2287*J2287*(1-N(F2287)),2),0))</f>
        <v/>
      </c>
      <c r="M2287" s="62" t="str">
        <f>IF(A2287="","",IFERROR(INDEX(dv_cname,MATCH(A2287,dv_num,0))&amp;"",""))</f>
        <v/>
      </c>
      <c r="N2287" s="59" t="str">
        <f>IF(COUNTA(A2287:G2287)=0,"",IF(A2287="","N° devis manquant",IF(ISNA(MATCH(A2287,dv_num,0)),"Devis inconnu",IF(AND(B2287&lt;&gt;"",ISNA(MATCH(B2287,pr_code,0))),"Article inconnu",IF(H2287="","Désignation manquante",IF(OR(NOT(ISNUMBER(D2287)),N(D2287)&lt;=0),"Quantité invalide",IF(J2287="","Prix manquant",IF(OR(NOT(ISNUMBER(J2287)),N(J2287)&lt;0),"Prix invalide",IF(OR(AND(F2287&lt;&gt;"",NOT(ISNUMBER(F2287))),N(F2287)&lt;0,N(F2287)&gt;1),"Remise invalide",IF(K2287="","Taux de TVA manquant",IF(NOT(ISNUMBER(K2287)),"Taux de TVA invalide",IF(COUNTIF(p_rates,K2287)=0,"Taux de TVA hors liste (Paramètres)",IF(N(O2287)&gt;25,"Au-delà de 25 lignes : non imprimée","OK")))))))))))))</f>
        <v/>
      </c>
      <c r="O2287" s="59" t="str">
        <f>IF(A2287="","",COUNTIF($A$6:A2287,A2287))</f>
        <v/>
      </c>
      <c r="P2287" s="62" t="str">
        <f>IF(A2287="","",A2287&amp;"|"&amp;O2287)</f>
        <v/>
      </c>
    </row>
    <row r="2288">
      <c r="A2288" s="60" t="n"/>
      <c r="B2288" s="63" t="n"/>
      <c r="C2288" s="63" t="n"/>
      <c r="D2288" s="67" t="n"/>
      <c r="E2288" s="68" t="n"/>
      <c r="F2288" s="69" t="n"/>
      <c r="G2288" s="70" t="n"/>
      <c r="H2288" s="62" t="str">
        <f>IF(COUNTA(A2288:G2288)=0,"",IF(C2288&lt;&gt;"",C2288,IF(B2288="","",IFERROR(INDEX(pr_des,MATCH(B2288,pr_code,0))&amp;"",""))))</f>
        <v/>
      </c>
      <c r="I2288" s="59" t="str">
        <f>IF(B2288="","",IFERROR(INDEX(pr_unit,MATCH(B2288,pr_code,0))&amp;"",""))</f>
        <v/>
      </c>
      <c r="J2288" s="65" t="str">
        <f>IF(COUNTA(A2288:G2288)=0,"",IF(E2288&lt;&gt;"",E2288,IF(B2288="","",IFERROR(IF(INDEX(pr_price,MATCH(B2288,pr_code,0))="","",INDEX(pr_price,MATCH(B2288,pr_code,0))),""))))</f>
        <v/>
      </c>
      <c r="K2288" s="71" t="str">
        <f>IF(COUNTA(A2288:G2288)=0,"",IF(G2288&lt;&gt;"",G2288,IF(B2288="","",IFERROR(IF(INDEX(pr_rate,MATCH(B2288,pr_code,0))="","",INDEX(pr_rate,MATCH(B2288,pr_code,0))),""))))</f>
        <v/>
      </c>
      <c r="L2288" s="65" t="str">
        <f>IF(COUNTA(A2288:G2288)=0,"",IF(AND(ISNUMBER(D2288),ISNUMBER(J2288)),ROUND(D2288*J2288*(1-N(F2288)),2),0))</f>
        <v/>
      </c>
      <c r="M2288" s="62" t="str">
        <f>IF(A2288="","",IFERROR(INDEX(dv_cname,MATCH(A2288,dv_num,0))&amp;"",""))</f>
        <v/>
      </c>
      <c r="N2288" s="59" t="str">
        <f>IF(COUNTA(A2288:G2288)=0,"",IF(A2288="","N° devis manquant",IF(ISNA(MATCH(A2288,dv_num,0)),"Devis inconnu",IF(AND(B2288&lt;&gt;"",ISNA(MATCH(B2288,pr_code,0))),"Article inconnu",IF(H2288="","Désignation manquante",IF(OR(NOT(ISNUMBER(D2288)),N(D2288)&lt;=0),"Quantité invalide",IF(J2288="","Prix manquant",IF(OR(NOT(ISNUMBER(J2288)),N(J2288)&lt;0),"Prix invalide",IF(OR(AND(F2288&lt;&gt;"",NOT(ISNUMBER(F2288))),N(F2288)&lt;0,N(F2288)&gt;1),"Remise invalide",IF(K2288="","Taux de TVA manquant",IF(NOT(ISNUMBER(K2288)),"Taux de TVA invalide",IF(COUNTIF(p_rates,K2288)=0,"Taux de TVA hors liste (Paramètres)",IF(N(O2288)&gt;25,"Au-delà de 25 lignes : non imprimée","OK")))))))))))))</f>
        <v/>
      </c>
      <c r="O2288" s="59" t="str">
        <f>IF(A2288="","",COUNTIF($A$6:A2288,A2288))</f>
        <v/>
      </c>
      <c r="P2288" s="62" t="str">
        <f>IF(A2288="","",A2288&amp;"|"&amp;O2288)</f>
        <v/>
      </c>
    </row>
    <row r="2289">
      <c r="A2289" s="60" t="n"/>
      <c r="B2289" s="63" t="n"/>
      <c r="C2289" s="63" t="n"/>
      <c r="D2289" s="67" t="n"/>
      <c r="E2289" s="68" t="n"/>
      <c r="F2289" s="69" t="n"/>
      <c r="G2289" s="70" t="n"/>
      <c r="H2289" s="62" t="str">
        <f>IF(COUNTA(A2289:G2289)=0,"",IF(C2289&lt;&gt;"",C2289,IF(B2289="","",IFERROR(INDEX(pr_des,MATCH(B2289,pr_code,0))&amp;"",""))))</f>
        <v/>
      </c>
      <c r="I2289" s="59" t="str">
        <f>IF(B2289="","",IFERROR(INDEX(pr_unit,MATCH(B2289,pr_code,0))&amp;"",""))</f>
        <v/>
      </c>
      <c r="J2289" s="65" t="str">
        <f>IF(COUNTA(A2289:G2289)=0,"",IF(E2289&lt;&gt;"",E2289,IF(B2289="","",IFERROR(IF(INDEX(pr_price,MATCH(B2289,pr_code,0))="","",INDEX(pr_price,MATCH(B2289,pr_code,0))),""))))</f>
        <v/>
      </c>
      <c r="K2289" s="71" t="str">
        <f>IF(COUNTA(A2289:G2289)=0,"",IF(G2289&lt;&gt;"",G2289,IF(B2289="","",IFERROR(IF(INDEX(pr_rate,MATCH(B2289,pr_code,0))="","",INDEX(pr_rate,MATCH(B2289,pr_code,0))),""))))</f>
        <v/>
      </c>
      <c r="L2289" s="65" t="str">
        <f>IF(COUNTA(A2289:G2289)=0,"",IF(AND(ISNUMBER(D2289),ISNUMBER(J2289)),ROUND(D2289*J2289*(1-N(F2289)),2),0))</f>
        <v/>
      </c>
      <c r="M2289" s="62" t="str">
        <f>IF(A2289="","",IFERROR(INDEX(dv_cname,MATCH(A2289,dv_num,0))&amp;"",""))</f>
        <v/>
      </c>
      <c r="N2289" s="59" t="str">
        <f>IF(COUNTA(A2289:G2289)=0,"",IF(A2289="","N° devis manquant",IF(ISNA(MATCH(A2289,dv_num,0)),"Devis inconnu",IF(AND(B2289&lt;&gt;"",ISNA(MATCH(B2289,pr_code,0))),"Article inconnu",IF(H2289="","Désignation manquante",IF(OR(NOT(ISNUMBER(D2289)),N(D2289)&lt;=0),"Quantité invalide",IF(J2289="","Prix manquant",IF(OR(NOT(ISNUMBER(J2289)),N(J2289)&lt;0),"Prix invalide",IF(OR(AND(F2289&lt;&gt;"",NOT(ISNUMBER(F2289))),N(F2289)&lt;0,N(F2289)&gt;1),"Remise invalide",IF(K2289="","Taux de TVA manquant",IF(NOT(ISNUMBER(K2289)),"Taux de TVA invalide",IF(COUNTIF(p_rates,K2289)=0,"Taux de TVA hors liste (Paramètres)",IF(N(O2289)&gt;25,"Au-delà de 25 lignes : non imprimée","OK")))))))))))))</f>
        <v/>
      </c>
      <c r="O2289" s="59" t="str">
        <f>IF(A2289="","",COUNTIF($A$6:A2289,A2289))</f>
        <v/>
      </c>
      <c r="P2289" s="62" t="str">
        <f>IF(A2289="","",A2289&amp;"|"&amp;O2289)</f>
        <v/>
      </c>
    </row>
    <row r="2290">
      <c r="A2290" s="60" t="n"/>
      <c r="B2290" s="63" t="n"/>
      <c r="C2290" s="63" t="n"/>
      <c r="D2290" s="67" t="n"/>
      <c r="E2290" s="68" t="n"/>
      <c r="F2290" s="69" t="n"/>
      <c r="G2290" s="70" t="n"/>
      <c r="H2290" s="62" t="str">
        <f>IF(COUNTA(A2290:G2290)=0,"",IF(C2290&lt;&gt;"",C2290,IF(B2290="","",IFERROR(INDEX(pr_des,MATCH(B2290,pr_code,0))&amp;"",""))))</f>
        <v/>
      </c>
      <c r="I2290" s="59" t="str">
        <f>IF(B2290="","",IFERROR(INDEX(pr_unit,MATCH(B2290,pr_code,0))&amp;"",""))</f>
        <v/>
      </c>
      <c r="J2290" s="65" t="str">
        <f>IF(COUNTA(A2290:G2290)=0,"",IF(E2290&lt;&gt;"",E2290,IF(B2290="","",IFERROR(IF(INDEX(pr_price,MATCH(B2290,pr_code,0))="","",INDEX(pr_price,MATCH(B2290,pr_code,0))),""))))</f>
        <v/>
      </c>
      <c r="K2290" s="71" t="str">
        <f>IF(COUNTA(A2290:G2290)=0,"",IF(G2290&lt;&gt;"",G2290,IF(B2290="","",IFERROR(IF(INDEX(pr_rate,MATCH(B2290,pr_code,0))="","",INDEX(pr_rate,MATCH(B2290,pr_code,0))),""))))</f>
        <v/>
      </c>
      <c r="L2290" s="65" t="str">
        <f>IF(COUNTA(A2290:G2290)=0,"",IF(AND(ISNUMBER(D2290),ISNUMBER(J2290)),ROUND(D2290*J2290*(1-N(F2290)),2),0))</f>
        <v/>
      </c>
      <c r="M2290" s="62" t="str">
        <f>IF(A2290="","",IFERROR(INDEX(dv_cname,MATCH(A2290,dv_num,0))&amp;"",""))</f>
        <v/>
      </c>
      <c r="N2290" s="59" t="str">
        <f>IF(COUNTA(A2290:G2290)=0,"",IF(A2290="","N° devis manquant",IF(ISNA(MATCH(A2290,dv_num,0)),"Devis inconnu",IF(AND(B2290&lt;&gt;"",ISNA(MATCH(B2290,pr_code,0))),"Article inconnu",IF(H2290="","Désignation manquante",IF(OR(NOT(ISNUMBER(D2290)),N(D2290)&lt;=0),"Quantité invalide",IF(J2290="","Prix manquant",IF(OR(NOT(ISNUMBER(J2290)),N(J2290)&lt;0),"Prix invalide",IF(OR(AND(F2290&lt;&gt;"",NOT(ISNUMBER(F2290))),N(F2290)&lt;0,N(F2290)&gt;1),"Remise invalide",IF(K2290="","Taux de TVA manquant",IF(NOT(ISNUMBER(K2290)),"Taux de TVA invalide",IF(COUNTIF(p_rates,K2290)=0,"Taux de TVA hors liste (Paramètres)",IF(N(O2290)&gt;25,"Au-delà de 25 lignes : non imprimée","OK")))))))))))))</f>
        <v/>
      </c>
      <c r="O2290" s="59" t="str">
        <f>IF(A2290="","",COUNTIF($A$6:A2290,A2290))</f>
        <v/>
      </c>
      <c r="P2290" s="62" t="str">
        <f>IF(A2290="","",A2290&amp;"|"&amp;O2290)</f>
        <v/>
      </c>
    </row>
    <row r="2291">
      <c r="A2291" s="60" t="n"/>
      <c r="B2291" s="63" t="n"/>
      <c r="C2291" s="63" t="n"/>
      <c r="D2291" s="67" t="n"/>
      <c r="E2291" s="68" t="n"/>
      <c r="F2291" s="69" t="n"/>
      <c r="G2291" s="70" t="n"/>
      <c r="H2291" s="62" t="str">
        <f>IF(COUNTA(A2291:G2291)=0,"",IF(C2291&lt;&gt;"",C2291,IF(B2291="","",IFERROR(INDEX(pr_des,MATCH(B2291,pr_code,0))&amp;"",""))))</f>
        <v/>
      </c>
      <c r="I2291" s="59" t="str">
        <f>IF(B2291="","",IFERROR(INDEX(pr_unit,MATCH(B2291,pr_code,0))&amp;"",""))</f>
        <v/>
      </c>
      <c r="J2291" s="65" t="str">
        <f>IF(COUNTA(A2291:G2291)=0,"",IF(E2291&lt;&gt;"",E2291,IF(B2291="","",IFERROR(IF(INDEX(pr_price,MATCH(B2291,pr_code,0))="","",INDEX(pr_price,MATCH(B2291,pr_code,0))),""))))</f>
        <v/>
      </c>
      <c r="K2291" s="71" t="str">
        <f>IF(COUNTA(A2291:G2291)=0,"",IF(G2291&lt;&gt;"",G2291,IF(B2291="","",IFERROR(IF(INDEX(pr_rate,MATCH(B2291,pr_code,0))="","",INDEX(pr_rate,MATCH(B2291,pr_code,0))),""))))</f>
        <v/>
      </c>
      <c r="L2291" s="65" t="str">
        <f>IF(COUNTA(A2291:G2291)=0,"",IF(AND(ISNUMBER(D2291),ISNUMBER(J2291)),ROUND(D2291*J2291*(1-N(F2291)),2),0))</f>
        <v/>
      </c>
      <c r="M2291" s="62" t="str">
        <f>IF(A2291="","",IFERROR(INDEX(dv_cname,MATCH(A2291,dv_num,0))&amp;"",""))</f>
        <v/>
      </c>
      <c r="N2291" s="59" t="str">
        <f>IF(COUNTA(A2291:G2291)=0,"",IF(A2291="","N° devis manquant",IF(ISNA(MATCH(A2291,dv_num,0)),"Devis inconnu",IF(AND(B2291&lt;&gt;"",ISNA(MATCH(B2291,pr_code,0))),"Article inconnu",IF(H2291="","Désignation manquante",IF(OR(NOT(ISNUMBER(D2291)),N(D2291)&lt;=0),"Quantité invalide",IF(J2291="","Prix manquant",IF(OR(NOT(ISNUMBER(J2291)),N(J2291)&lt;0),"Prix invalide",IF(OR(AND(F2291&lt;&gt;"",NOT(ISNUMBER(F2291))),N(F2291)&lt;0,N(F2291)&gt;1),"Remise invalide",IF(K2291="","Taux de TVA manquant",IF(NOT(ISNUMBER(K2291)),"Taux de TVA invalide",IF(COUNTIF(p_rates,K2291)=0,"Taux de TVA hors liste (Paramètres)",IF(N(O2291)&gt;25,"Au-delà de 25 lignes : non imprimée","OK")))))))))))))</f>
        <v/>
      </c>
      <c r="O2291" s="59" t="str">
        <f>IF(A2291="","",COUNTIF($A$6:A2291,A2291))</f>
        <v/>
      </c>
      <c r="P2291" s="62" t="str">
        <f>IF(A2291="","",A2291&amp;"|"&amp;O2291)</f>
        <v/>
      </c>
    </row>
    <row r="2292">
      <c r="A2292" s="60" t="n"/>
      <c r="B2292" s="63" t="n"/>
      <c r="C2292" s="63" t="n"/>
      <c r="D2292" s="67" t="n"/>
      <c r="E2292" s="68" t="n"/>
      <c r="F2292" s="69" t="n"/>
      <c r="G2292" s="70" t="n"/>
      <c r="H2292" s="62" t="str">
        <f>IF(COUNTA(A2292:G2292)=0,"",IF(C2292&lt;&gt;"",C2292,IF(B2292="","",IFERROR(INDEX(pr_des,MATCH(B2292,pr_code,0))&amp;"",""))))</f>
        <v/>
      </c>
      <c r="I2292" s="59" t="str">
        <f>IF(B2292="","",IFERROR(INDEX(pr_unit,MATCH(B2292,pr_code,0))&amp;"",""))</f>
        <v/>
      </c>
      <c r="J2292" s="65" t="str">
        <f>IF(COUNTA(A2292:G2292)=0,"",IF(E2292&lt;&gt;"",E2292,IF(B2292="","",IFERROR(IF(INDEX(pr_price,MATCH(B2292,pr_code,0))="","",INDEX(pr_price,MATCH(B2292,pr_code,0))),""))))</f>
        <v/>
      </c>
      <c r="K2292" s="71" t="str">
        <f>IF(COUNTA(A2292:G2292)=0,"",IF(G2292&lt;&gt;"",G2292,IF(B2292="","",IFERROR(IF(INDEX(pr_rate,MATCH(B2292,pr_code,0))="","",INDEX(pr_rate,MATCH(B2292,pr_code,0))),""))))</f>
        <v/>
      </c>
      <c r="L2292" s="65" t="str">
        <f>IF(COUNTA(A2292:G2292)=0,"",IF(AND(ISNUMBER(D2292),ISNUMBER(J2292)),ROUND(D2292*J2292*(1-N(F2292)),2),0))</f>
        <v/>
      </c>
      <c r="M2292" s="62" t="str">
        <f>IF(A2292="","",IFERROR(INDEX(dv_cname,MATCH(A2292,dv_num,0))&amp;"",""))</f>
        <v/>
      </c>
      <c r="N2292" s="59" t="str">
        <f>IF(COUNTA(A2292:G2292)=0,"",IF(A2292="","N° devis manquant",IF(ISNA(MATCH(A2292,dv_num,0)),"Devis inconnu",IF(AND(B2292&lt;&gt;"",ISNA(MATCH(B2292,pr_code,0))),"Article inconnu",IF(H2292="","Désignation manquante",IF(OR(NOT(ISNUMBER(D2292)),N(D2292)&lt;=0),"Quantité invalide",IF(J2292="","Prix manquant",IF(OR(NOT(ISNUMBER(J2292)),N(J2292)&lt;0),"Prix invalide",IF(OR(AND(F2292&lt;&gt;"",NOT(ISNUMBER(F2292))),N(F2292)&lt;0,N(F2292)&gt;1),"Remise invalide",IF(K2292="","Taux de TVA manquant",IF(NOT(ISNUMBER(K2292)),"Taux de TVA invalide",IF(COUNTIF(p_rates,K2292)=0,"Taux de TVA hors liste (Paramètres)",IF(N(O2292)&gt;25,"Au-delà de 25 lignes : non imprimée","OK")))))))))))))</f>
        <v/>
      </c>
      <c r="O2292" s="59" t="str">
        <f>IF(A2292="","",COUNTIF($A$6:A2292,A2292))</f>
        <v/>
      </c>
      <c r="P2292" s="62" t="str">
        <f>IF(A2292="","",A2292&amp;"|"&amp;O2292)</f>
        <v/>
      </c>
    </row>
    <row r="2293">
      <c r="A2293" s="60" t="n"/>
      <c r="B2293" s="63" t="n"/>
      <c r="C2293" s="63" t="n"/>
      <c r="D2293" s="67" t="n"/>
      <c r="E2293" s="68" t="n"/>
      <c r="F2293" s="69" t="n"/>
      <c r="G2293" s="70" t="n"/>
      <c r="H2293" s="62" t="str">
        <f>IF(COUNTA(A2293:G2293)=0,"",IF(C2293&lt;&gt;"",C2293,IF(B2293="","",IFERROR(INDEX(pr_des,MATCH(B2293,pr_code,0))&amp;"",""))))</f>
        <v/>
      </c>
      <c r="I2293" s="59" t="str">
        <f>IF(B2293="","",IFERROR(INDEX(pr_unit,MATCH(B2293,pr_code,0))&amp;"",""))</f>
        <v/>
      </c>
      <c r="J2293" s="65" t="str">
        <f>IF(COUNTA(A2293:G2293)=0,"",IF(E2293&lt;&gt;"",E2293,IF(B2293="","",IFERROR(IF(INDEX(pr_price,MATCH(B2293,pr_code,0))="","",INDEX(pr_price,MATCH(B2293,pr_code,0))),""))))</f>
        <v/>
      </c>
      <c r="K2293" s="71" t="str">
        <f>IF(COUNTA(A2293:G2293)=0,"",IF(G2293&lt;&gt;"",G2293,IF(B2293="","",IFERROR(IF(INDEX(pr_rate,MATCH(B2293,pr_code,0))="","",INDEX(pr_rate,MATCH(B2293,pr_code,0))),""))))</f>
        <v/>
      </c>
      <c r="L2293" s="65" t="str">
        <f>IF(COUNTA(A2293:G2293)=0,"",IF(AND(ISNUMBER(D2293),ISNUMBER(J2293)),ROUND(D2293*J2293*(1-N(F2293)),2),0))</f>
        <v/>
      </c>
      <c r="M2293" s="62" t="str">
        <f>IF(A2293="","",IFERROR(INDEX(dv_cname,MATCH(A2293,dv_num,0))&amp;"",""))</f>
        <v/>
      </c>
      <c r="N2293" s="59" t="str">
        <f>IF(COUNTA(A2293:G2293)=0,"",IF(A2293="","N° devis manquant",IF(ISNA(MATCH(A2293,dv_num,0)),"Devis inconnu",IF(AND(B2293&lt;&gt;"",ISNA(MATCH(B2293,pr_code,0))),"Article inconnu",IF(H2293="","Désignation manquante",IF(OR(NOT(ISNUMBER(D2293)),N(D2293)&lt;=0),"Quantité invalide",IF(J2293="","Prix manquant",IF(OR(NOT(ISNUMBER(J2293)),N(J2293)&lt;0),"Prix invalide",IF(OR(AND(F2293&lt;&gt;"",NOT(ISNUMBER(F2293))),N(F2293)&lt;0,N(F2293)&gt;1),"Remise invalide",IF(K2293="","Taux de TVA manquant",IF(NOT(ISNUMBER(K2293)),"Taux de TVA invalide",IF(COUNTIF(p_rates,K2293)=0,"Taux de TVA hors liste (Paramètres)",IF(N(O2293)&gt;25,"Au-delà de 25 lignes : non imprimée","OK")))))))))))))</f>
        <v/>
      </c>
      <c r="O2293" s="59" t="str">
        <f>IF(A2293="","",COUNTIF($A$6:A2293,A2293))</f>
        <v/>
      </c>
      <c r="P2293" s="62" t="str">
        <f>IF(A2293="","",A2293&amp;"|"&amp;O2293)</f>
        <v/>
      </c>
    </row>
    <row r="2294">
      <c r="A2294" s="60" t="n"/>
      <c r="B2294" s="63" t="n"/>
      <c r="C2294" s="63" t="n"/>
      <c r="D2294" s="67" t="n"/>
      <c r="E2294" s="68" t="n"/>
      <c r="F2294" s="69" t="n"/>
      <c r="G2294" s="70" t="n"/>
      <c r="H2294" s="62" t="str">
        <f>IF(COUNTA(A2294:G2294)=0,"",IF(C2294&lt;&gt;"",C2294,IF(B2294="","",IFERROR(INDEX(pr_des,MATCH(B2294,pr_code,0))&amp;"",""))))</f>
        <v/>
      </c>
      <c r="I2294" s="59" t="str">
        <f>IF(B2294="","",IFERROR(INDEX(pr_unit,MATCH(B2294,pr_code,0))&amp;"",""))</f>
        <v/>
      </c>
      <c r="J2294" s="65" t="str">
        <f>IF(COUNTA(A2294:G2294)=0,"",IF(E2294&lt;&gt;"",E2294,IF(B2294="","",IFERROR(IF(INDEX(pr_price,MATCH(B2294,pr_code,0))="","",INDEX(pr_price,MATCH(B2294,pr_code,0))),""))))</f>
        <v/>
      </c>
      <c r="K2294" s="71" t="str">
        <f>IF(COUNTA(A2294:G2294)=0,"",IF(G2294&lt;&gt;"",G2294,IF(B2294="","",IFERROR(IF(INDEX(pr_rate,MATCH(B2294,pr_code,0))="","",INDEX(pr_rate,MATCH(B2294,pr_code,0))),""))))</f>
        <v/>
      </c>
      <c r="L2294" s="65" t="str">
        <f>IF(COUNTA(A2294:G2294)=0,"",IF(AND(ISNUMBER(D2294),ISNUMBER(J2294)),ROUND(D2294*J2294*(1-N(F2294)),2),0))</f>
        <v/>
      </c>
      <c r="M2294" s="62" t="str">
        <f>IF(A2294="","",IFERROR(INDEX(dv_cname,MATCH(A2294,dv_num,0))&amp;"",""))</f>
        <v/>
      </c>
      <c r="N2294" s="59" t="str">
        <f>IF(COUNTA(A2294:G2294)=0,"",IF(A2294="","N° devis manquant",IF(ISNA(MATCH(A2294,dv_num,0)),"Devis inconnu",IF(AND(B2294&lt;&gt;"",ISNA(MATCH(B2294,pr_code,0))),"Article inconnu",IF(H2294="","Désignation manquante",IF(OR(NOT(ISNUMBER(D2294)),N(D2294)&lt;=0),"Quantité invalide",IF(J2294="","Prix manquant",IF(OR(NOT(ISNUMBER(J2294)),N(J2294)&lt;0),"Prix invalide",IF(OR(AND(F2294&lt;&gt;"",NOT(ISNUMBER(F2294))),N(F2294)&lt;0,N(F2294)&gt;1),"Remise invalide",IF(K2294="","Taux de TVA manquant",IF(NOT(ISNUMBER(K2294)),"Taux de TVA invalide",IF(COUNTIF(p_rates,K2294)=0,"Taux de TVA hors liste (Paramètres)",IF(N(O2294)&gt;25,"Au-delà de 25 lignes : non imprimée","OK")))))))))))))</f>
        <v/>
      </c>
      <c r="O2294" s="59" t="str">
        <f>IF(A2294="","",COUNTIF($A$6:A2294,A2294))</f>
        <v/>
      </c>
      <c r="P2294" s="62" t="str">
        <f>IF(A2294="","",A2294&amp;"|"&amp;O2294)</f>
        <v/>
      </c>
    </row>
    <row r="2295">
      <c r="A2295" s="60" t="n"/>
      <c r="B2295" s="63" t="n"/>
      <c r="C2295" s="63" t="n"/>
      <c r="D2295" s="67" t="n"/>
      <c r="E2295" s="68" t="n"/>
      <c r="F2295" s="69" t="n"/>
      <c r="G2295" s="70" t="n"/>
      <c r="H2295" s="62" t="str">
        <f>IF(COUNTA(A2295:G2295)=0,"",IF(C2295&lt;&gt;"",C2295,IF(B2295="","",IFERROR(INDEX(pr_des,MATCH(B2295,pr_code,0))&amp;"",""))))</f>
        <v/>
      </c>
      <c r="I2295" s="59" t="str">
        <f>IF(B2295="","",IFERROR(INDEX(pr_unit,MATCH(B2295,pr_code,0))&amp;"",""))</f>
        <v/>
      </c>
      <c r="J2295" s="65" t="str">
        <f>IF(COUNTA(A2295:G2295)=0,"",IF(E2295&lt;&gt;"",E2295,IF(B2295="","",IFERROR(IF(INDEX(pr_price,MATCH(B2295,pr_code,0))="","",INDEX(pr_price,MATCH(B2295,pr_code,0))),""))))</f>
        <v/>
      </c>
      <c r="K2295" s="71" t="str">
        <f>IF(COUNTA(A2295:G2295)=0,"",IF(G2295&lt;&gt;"",G2295,IF(B2295="","",IFERROR(IF(INDEX(pr_rate,MATCH(B2295,pr_code,0))="","",INDEX(pr_rate,MATCH(B2295,pr_code,0))),""))))</f>
        <v/>
      </c>
      <c r="L2295" s="65" t="str">
        <f>IF(COUNTA(A2295:G2295)=0,"",IF(AND(ISNUMBER(D2295),ISNUMBER(J2295)),ROUND(D2295*J2295*(1-N(F2295)),2),0))</f>
        <v/>
      </c>
      <c r="M2295" s="62" t="str">
        <f>IF(A2295="","",IFERROR(INDEX(dv_cname,MATCH(A2295,dv_num,0))&amp;"",""))</f>
        <v/>
      </c>
      <c r="N2295" s="59" t="str">
        <f>IF(COUNTA(A2295:G2295)=0,"",IF(A2295="","N° devis manquant",IF(ISNA(MATCH(A2295,dv_num,0)),"Devis inconnu",IF(AND(B2295&lt;&gt;"",ISNA(MATCH(B2295,pr_code,0))),"Article inconnu",IF(H2295="","Désignation manquante",IF(OR(NOT(ISNUMBER(D2295)),N(D2295)&lt;=0),"Quantité invalide",IF(J2295="","Prix manquant",IF(OR(NOT(ISNUMBER(J2295)),N(J2295)&lt;0),"Prix invalide",IF(OR(AND(F2295&lt;&gt;"",NOT(ISNUMBER(F2295))),N(F2295)&lt;0,N(F2295)&gt;1),"Remise invalide",IF(K2295="","Taux de TVA manquant",IF(NOT(ISNUMBER(K2295)),"Taux de TVA invalide",IF(COUNTIF(p_rates,K2295)=0,"Taux de TVA hors liste (Paramètres)",IF(N(O2295)&gt;25,"Au-delà de 25 lignes : non imprimée","OK")))))))))))))</f>
        <v/>
      </c>
      <c r="O2295" s="59" t="str">
        <f>IF(A2295="","",COUNTIF($A$6:A2295,A2295))</f>
        <v/>
      </c>
      <c r="P2295" s="62" t="str">
        <f>IF(A2295="","",A2295&amp;"|"&amp;O2295)</f>
        <v/>
      </c>
    </row>
    <row r="2296">
      <c r="A2296" s="60" t="n"/>
      <c r="B2296" s="63" t="n"/>
      <c r="C2296" s="63" t="n"/>
      <c r="D2296" s="67" t="n"/>
      <c r="E2296" s="68" t="n"/>
      <c r="F2296" s="69" t="n"/>
      <c r="G2296" s="70" t="n"/>
      <c r="H2296" s="62" t="str">
        <f>IF(COUNTA(A2296:G2296)=0,"",IF(C2296&lt;&gt;"",C2296,IF(B2296="","",IFERROR(INDEX(pr_des,MATCH(B2296,pr_code,0))&amp;"",""))))</f>
        <v/>
      </c>
      <c r="I2296" s="59" t="str">
        <f>IF(B2296="","",IFERROR(INDEX(pr_unit,MATCH(B2296,pr_code,0))&amp;"",""))</f>
        <v/>
      </c>
      <c r="J2296" s="65" t="str">
        <f>IF(COUNTA(A2296:G2296)=0,"",IF(E2296&lt;&gt;"",E2296,IF(B2296="","",IFERROR(IF(INDEX(pr_price,MATCH(B2296,pr_code,0))="","",INDEX(pr_price,MATCH(B2296,pr_code,0))),""))))</f>
        <v/>
      </c>
      <c r="K2296" s="71" t="str">
        <f>IF(COUNTA(A2296:G2296)=0,"",IF(G2296&lt;&gt;"",G2296,IF(B2296="","",IFERROR(IF(INDEX(pr_rate,MATCH(B2296,pr_code,0))="","",INDEX(pr_rate,MATCH(B2296,pr_code,0))),""))))</f>
        <v/>
      </c>
      <c r="L2296" s="65" t="str">
        <f>IF(COUNTA(A2296:G2296)=0,"",IF(AND(ISNUMBER(D2296),ISNUMBER(J2296)),ROUND(D2296*J2296*(1-N(F2296)),2),0))</f>
        <v/>
      </c>
      <c r="M2296" s="62" t="str">
        <f>IF(A2296="","",IFERROR(INDEX(dv_cname,MATCH(A2296,dv_num,0))&amp;"",""))</f>
        <v/>
      </c>
      <c r="N2296" s="59" t="str">
        <f>IF(COUNTA(A2296:G2296)=0,"",IF(A2296="","N° devis manquant",IF(ISNA(MATCH(A2296,dv_num,0)),"Devis inconnu",IF(AND(B2296&lt;&gt;"",ISNA(MATCH(B2296,pr_code,0))),"Article inconnu",IF(H2296="","Désignation manquante",IF(OR(NOT(ISNUMBER(D2296)),N(D2296)&lt;=0),"Quantité invalide",IF(J2296="","Prix manquant",IF(OR(NOT(ISNUMBER(J2296)),N(J2296)&lt;0),"Prix invalide",IF(OR(AND(F2296&lt;&gt;"",NOT(ISNUMBER(F2296))),N(F2296)&lt;0,N(F2296)&gt;1),"Remise invalide",IF(K2296="","Taux de TVA manquant",IF(NOT(ISNUMBER(K2296)),"Taux de TVA invalide",IF(COUNTIF(p_rates,K2296)=0,"Taux de TVA hors liste (Paramètres)",IF(N(O2296)&gt;25,"Au-delà de 25 lignes : non imprimée","OK")))))))))))))</f>
        <v/>
      </c>
      <c r="O2296" s="59" t="str">
        <f>IF(A2296="","",COUNTIF($A$6:A2296,A2296))</f>
        <v/>
      </c>
      <c r="P2296" s="62" t="str">
        <f>IF(A2296="","",A2296&amp;"|"&amp;O2296)</f>
        <v/>
      </c>
    </row>
    <row r="2297">
      <c r="A2297" s="60" t="n"/>
      <c r="B2297" s="63" t="n"/>
      <c r="C2297" s="63" t="n"/>
      <c r="D2297" s="67" t="n"/>
      <c r="E2297" s="68" t="n"/>
      <c r="F2297" s="69" t="n"/>
      <c r="G2297" s="70" t="n"/>
      <c r="H2297" s="62" t="str">
        <f>IF(COUNTA(A2297:G2297)=0,"",IF(C2297&lt;&gt;"",C2297,IF(B2297="","",IFERROR(INDEX(pr_des,MATCH(B2297,pr_code,0))&amp;"",""))))</f>
        <v/>
      </c>
      <c r="I2297" s="59" t="str">
        <f>IF(B2297="","",IFERROR(INDEX(pr_unit,MATCH(B2297,pr_code,0))&amp;"",""))</f>
        <v/>
      </c>
      <c r="J2297" s="65" t="str">
        <f>IF(COUNTA(A2297:G2297)=0,"",IF(E2297&lt;&gt;"",E2297,IF(B2297="","",IFERROR(IF(INDEX(pr_price,MATCH(B2297,pr_code,0))="","",INDEX(pr_price,MATCH(B2297,pr_code,0))),""))))</f>
        <v/>
      </c>
      <c r="K2297" s="71" t="str">
        <f>IF(COUNTA(A2297:G2297)=0,"",IF(G2297&lt;&gt;"",G2297,IF(B2297="","",IFERROR(IF(INDEX(pr_rate,MATCH(B2297,pr_code,0))="","",INDEX(pr_rate,MATCH(B2297,pr_code,0))),""))))</f>
        <v/>
      </c>
      <c r="L2297" s="65" t="str">
        <f>IF(COUNTA(A2297:G2297)=0,"",IF(AND(ISNUMBER(D2297),ISNUMBER(J2297)),ROUND(D2297*J2297*(1-N(F2297)),2),0))</f>
        <v/>
      </c>
      <c r="M2297" s="62" t="str">
        <f>IF(A2297="","",IFERROR(INDEX(dv_cname,MATCH(A2297,dv_num,0))&amp;"",""))</f>
        <v/>
      </c>
      <c r="N2297" s="59" t="str">
        <f>IF(COUNTA(A2297:G2297)=0,"",IF(A2297="","N° devis manquant",IF(ISNA(MATCH(A2297,dv_num,0)),"Devis inconnu",IF(AND(B2297&lt;&gt;"",ISNA(MATCH(B2297,pr_code,0))),"Article inconnu",IF(H2297="","Désignation manquante",IF(OR(NOT(ISNUMBER(D2297)),N(D2297)&lt;=0),"Quantité invalide",IF(J2297="","Prix manquant",IF(OR(NOT(ISNUMBER(J2297)),N(J2297)&lt;0),"Prix invalide",IF(OR(AND(F2297&lt;&gt;"",NOT(ISNUMBER(F2297))),N(F2297)&lt;0,N(F2297)&gt;1),"Remise invalide",IF(K2297="","Taux de TVA manquant",IF(NOT(ISNUMBER(K2297)),"Taux de TVA invalide",IF(COUNTIF(p_rates,K2297)=0,"Taux de TVA hors liste (Paramètres)",IF(N(O2297)&gt;25,"Au-delà de 25 lignes : non imprimée","OK")))))))))))))</f>
        <v/>
      </c>
      <c r="O2297" s="59" t="str">
        <f>IF(A2297="","",COUNTIF($A$6:A2297,A2297))</f>
        <v/>
      </c>
      <c r="P2297" s="62" t="str">
        <f>IF(A2297="","",A2297&amp;"|"&amp;O2297)</f>
        <v/>
      </c>
    </row>
    <row r="2298">
      <c r="A2298" s="60" t="n"/>
      <c r="B2298" s="63" t="n"/>
      <c r="C2298" s="63" t="n"/>
      <c r="D2298" s="67" t="n"/>
      <c r="E2298" s="68" t="n"/>
      <c r="F2298" s="69" t="n"/>
      <c r="G2298" s="70" t="n"/>
      <c r="H2298" s="62" t="str">
        <f>IF(COUNTA(A2298:G2298)=0,"",IF(C2298&lt;&gt;"",C2298,IF(B2298="","",IFERROR(INDEX(pr_des,MATCH(B2298,pr_code,0))&amp;"",""))))</f>
        <v/>
      </c>
      <c r="I2298" s="59" t="str">
        <f>IF(B2298="","",IFERROR(INDEX(pr_unit,MATCH(B2298,pr_code,0))&amp;"",""))</f>
        <v/>
      </c>
      <c r="J2298" s="65" t="str">
        <f>IF(COUNTA(A2298:G2298)=0,"",IF(E2298&lt;&gt;"",E2298,IF(B2298="","",IFERROR(IF(INDEX(pr_price,MATCH(B2298,pr_code,0))="","",INDEX(pr_price,MATCH(B2298,pr_code,0))),""))))</f>
        <v/>
      </c>
      <c r="K2298" s="71" t="str">
        <f>IF(COUNTA(A2298:G2298)=0,"",IF(G2298&lt;&gt;"",G2298,IF(B2298="","",IFERROR(IF(INDEX(pr_rate,MATCH(B2298,pr_code,0))="","",INDEX(pr_rate,MATCH(B2298,pr_code,0))),""))))</f>
        <v/>
      </c>
      <c r="L2298" s="65" t="str">
        <f>IF(COUNTA(A2298:G2298)=0,"",IF(AND(ISNUMBER(D2298),ISNUMBER(J2298)),ROUND(D2298*J2298*(1-N(F2298)),2),0))</f>
        <v/>
      </c>
      <c r="M2298" s="62" t="str">
        <f>IF(A2298="","",IFERROR(INDEX(dv_cname,MATCH(A2298,dv_num,0))&amp;"",""))</f>
        <v/>
      </c>
      <c r="N2298" s="59" t="str">
        <f>IF(COUNTA(A2298:G2298)=0,"",IF(A2298="","N° devis manquant",IF(ISNA(MATCH(A2298,dv_num,0)),"Devis inconnu",IF(AND(B2298&lt;&gt;"",ISNA(MATCH(B2298,pr_code,0))),"Article inconnu",IF(H2298="","Désignation manquante",IF(OR(NOT(ISNUMBER(D2298)),N(D2298)&lt;=0),"Quantité invalide",IF(J2298="","Prix manquant",IF(OR(NOT(ISNUMBER(J2298)),N(J2298)&lt;0),"Prix invalide",IF(OR(AND(F2298&lt;&gt;"",NOT(ISNUMBER(F2298))),N(F2298)&lt;0,N(F2298)&gt;1),"Remise invalide",IF(K2298="","Taux de TVA manquant",IF(NOT(ISNUMBER(K2298)),"Taux de TVA invalide",IF(COUNTIF(p_rates,K2298)=0,"Taux de TVA hors liste (Paramètres)",IF(N(O2298)&gt;25,"Au-delà de 25 lignes : non imprimée","OK")))))))))))))</f>
        <v/>
      </c>
      <c r="O2298" s="59" t="str">
        <f>IF(A2298="","",COUNTIF($A$6:A2298,A2298))</f>
        <v/>
      </c>
      <c r="P2298" s="62" t="str">
        <f>IF(A2298="","",A2298&amp;"|"&amp;O2298)</f>
        <v/>
      </c>
    </row>
    <row r="2299">
      <c r="A2299" s="60" t="n"/>
      <c r="B2299" s="63" t="n"/>
      <c r="C2299" s="63" t="n"/>
      <c r="D2299" s="67" t="n"/>
      <c r="E2299" s="68" t="n"/>
      <c r="F2299" s="69" t="n"/>
      <c r="G2299" s="70" t="n"/>
      <c r="H2299" s="62" t="str">
        <f>IF(COUNTA(A2299:G2299)=0,"",IF(C2299&lt;&gt;"",C2299,IF(B2299="","",IFERROR(INDEX(pr_des,MATCH(B2299,pr_code,0))&amp;"",""))))</f>
        <v/>
      </c>
      <c r="I2299" s="59" t="str">
        <f>IF(B2299="","",IFERROR(INDEX(pr_unit,MATCH(B2299,pr_code,0))&amp;"",""))</f>
        <v/>
      </c>
      <c r="J2299" s="65" t="str">
        <f>IF(COUNTA(A2299:G2299)=0,"",IF(E2299&lt;&gt;"",E2299,IF(B2299="","",IFERROR(IF(INDEX(pr_price,MATCH(B2299,pr_code,0))="","",INDEX(pr_price,MATCH(B2299,pr_code,0))),""))))</f>
        <v/>
      </c>
      <c r="K2299" s="71" t="str">
        <f>IF(COUNTA(A2299:G2299)=0,"",IF(G2299&lt;&gt;"",G2299,IF(B2299="","",IFERROR(IF(INDEX(pr_rate,MATCH(B2299,pr_code,0))="","",INDEX(pr_rate,MATCH(B2299,pr_code,0))),""))))</f>
        <v/>
      </c>
      <c r="L2299" s="65" t="str">
        <f>IF(COUNTA(A2299:G2299)=0,"",IF(AND(ISNUMBER(D2299),ISNUMBER(J2299)),ROUND(D2299*J2299*(1-N(F2299)),2),0))</f>
        <v/>
      </c>
      <c r="M2299" s="62" t="str">
        <f>IF(A2299="","",IFERROR(INDEX(dv_cname,MATCH(A2299,dv_num,0))&amp;"",""))</f>
        <v/>
      </c>
      <c r="N2299" s="59" t="str">
        <f>IF(COUNTA(A2299:G2299)=0,"",IF(A2299="","N° devis manquant",IF(ISNA(MATCH(A2299,dv_num,0)),"Devis inconnu",IF(AND(B2299&lt;&gt;"",ISNA(MATCH(B2299,pr_code,0))),"Article inconnu",IF(H2299="","Désignation manquante",IF(OR(NOT(ISNUMBER(D2299)),N(D2299)&lt;=0),"Quantité invalide",IF(J2299="","Prix manquant",IF(OR(NOT(ISNUMBER(J2299)),N(J2299)&lt;0),"Prix invalide",IF(OR(AND(F2299&lt;&gt;"",NOT(ISNUMBER(F2299))),N(F2299)&lt;0,N(F2299)&gt;1),"Remise invalide",IF(K2299="","Taux de TVA manquant",IF(NOT(ISNUMBER(K2299)),"Taux de TVA invalide",IF(COUNTIF(p_rates,K2299)=0,"Taux de TVA hors liste (Paramètres)",IF(N(O2299)&gt;25,"Au-delà de 25 lignes : non imprimée","OK")))))))))))))</f>
        <v/>
      </c>
      <c r="O2299" s="59" t="str">
        <f>IF(A2299="","",COUNTIF($A$6:A2299,A2299))</f>
        <v/>
      </c>
      <c r="P2299" s="62" t="str">
        <f>IF(A2299="","",A2299&amp;"|"&amp;O2299)</f>
        <v/>
      </c>
    </row>
    <row r="2300">
      <c r="A2300" s="60" t="n"/>
      <c r="B2300" s="63" t="n"/>
      <c r="C2300" s="63" t="n"/>
      <c r="D2300" s="67" t="n"/>
      <c r="E2300" s="68" t="n"/>
      <c r="F2300" s="69" t="n"/>
      <c r="G2300" s="70" t="n"/>
      <c r="H2300" s="62" t="str">
        <f>IF(COUNTA(A2300:G2300)=0,"",IF(C2300&lt;&gt;"",C2300,IF(B2300="","",IFERROR(INDEX(pr_des,MATCH(B2300,pr_code,0))&amp;"",""))))</f>
        <v/>
      </c>
      <c r="I2300" s="59" t="str">
        <f>IF(B2300="","",IFERROR(INDEX(pr_unit,MATCH(B2300,pr_code,0))&amp;"",""))</f>
        <v/>
      </c>
      <c r="J2300" s="65" t="str">
        <f>IF(COUNTA(A2300:G2300)=0,"",IF(E2300&lt;&gt;"",E2300,IF(B2300="","",IFERROR(IF(INDEX(pr_price,MATCH(B2300,pr_code,0))="","",INDEX(pr_price,MATCH(B2300,pr_code,0))),""))))</f>
        <v/>
      </c>
      <c r="K2300" s="71" t="str">
        <f>IF(COUNTA(A2300:G2300)=0,"",IF(G2300&lt;&gt;"",G2300,IF(B2300="","",IFERROR(IF(INDEX(pr_rate,MATCH(B2300,pr_code,0))="","",INDEX(pr_rate,MATCH(B2300,pr_code,0))),""))))</f>
        <v/>
      </c>
      <c r="L2300" s="65" t="str">
        <f>IF(COUNTA(A2300:G2300)=0,"",IF(AND(ISNUMBER(D2300),ISNUMBER(J2300)),ROUND(D2300*J2300*(1-N(F2300)),2),0))</f>
        <v/>
      </c>
      <c r="M2300" s="62" t="str">
        <f>IF(A2300="","",IFERROR(INDEX(dv_cname,MATCH(A2300,dv_num,0))&amp;"",""))</f>
        <v/>
      </c>
      <c r="N2300" s="59" t="str">
        <f>IF(COUNTA(A2300:G2300)=0,"",IF(A2300="","N° devis manquant",IF(ISNA(MATCH(A2300,dv_num,0)),"Devis inconnu",IF(AND(B2300&lt;&gt;"",ISNA(MATCH(B2300,pr_code,0))),"Article inconnu",IF(H2300="","Désignation manquante",IF(OR(NOT(ISNUMBER(D2300)),N(D2300)&lt;=0),"Quantité invalide",IF(J2300="","Prix manquant",IF(OR(NOT(ISNUMBER(J2300)),N(J2300)&lt;0),"Prix invalide",IF(OR(AND(F2300&lt;&gt;"",NOT(ISNUMBER(F2300))),N(F2300)&lt;0,N(F2300)&gt;1),"Remise invalide",IF(K2300="","Taux de TVA manquant",IF(NOT(ISNUMBER(K2300)),"Taux de TVA invalide",IF(COUNTIF(p_rates,K2300)=0,"Taux de TVA hors liste (Paramètres)",IF(N(O2300)&gt;25,"Au-delà de 25 lignes : non imprimée","OK")))))))))))))</f>
        <v/>
      </c>
      <c r="O2300" s="59" t="str">
        <f>IF(A2300="","",COUNTIF($A$6:A2300,A2300))</f>
        <v/>
      </c>
      <c r="P2300" s="62" t="str">
        <f>IF(A2300="","",A2300&amp;"|"&amp;O2300)</f>
        <v/>
      </c>
    </row>
    <row r="2301">
      <c r="A2301" s="60" t="n"/>
      <c r="B2301" s="63" t="n"/>
      <c r="C2301" s="63" t="n"/>
      <c r="D2301" s="67" t="n"/>
      <c r="E2301" s="68" t="n"/>
      <c r="F2301" s="69" t="n"/>
      <c r="G2301" s="70" t="n"/>
      <c r="H2301" s="62" t="str">
        <f>IF(COUNTA(A2301:G2301)=0,"",IF(C2301&lt;&gt;"",C2301,IF(B2301="","",IFERROR(INDEX(pr_des,MATCH(B2301,pr_code,0))&amp;"",""))))</f>
        <v/>
      </c>
      <c r="I2301" s="59" t="str">
        <f>IF(B2301="","",IFERROR(INDEX(pr_unit,MATCH(B2301,pr_code,0))&amp;"",""))</f>
        <v/>
      </c>
      <c r="J2301" s="65" t="str">
        <f>IF(COUNTA(A2301:G2301)=0,"",IF(E2301&lt;&gt;"",E2301,IF(B2301="","",IFERROR(IF(INDEX(pr_price,MATCH(B2301,pr_code,0))="","",INDEX(pr_price,MATCH(B2301,pr_code,0))),""))))</f>
        <v/>
      </c>
      <c r="K2301" s="71" t="str">
        <f>IF(COUNTA(A2301:G2301)=0,"",IF(G2301&lt;&gt;"",G2301,IF(B2301="","",IFERROR(IF(INDEX(pr_rate,MATCH(B2301,pr_code,0))="","",INDEX(pr_rate,MATCH(B2301,pr_code,0))),""))))</f>
        <v/>
      </c>
      <c r="L2301" s="65" t="str">
        <f>IF(COUNTA(A2301:G2301)=0,"",IF(AND(ISNUMBER(D2301),ISNUMBER(J2301)),ROUND(D2301*J2301*(1-N(F2301)),2),0))</f>
        <v/>
      </c>
      <c r="M2301" s="62" t="str">
        <f>IF(A2301="","",IFERROR(INDEX(dv_cname,MATCH(A2301,dv_num,0))&amp;"",""))</f>
        <v/>
      </c>
      <c r="N2301" s="59" t="str">
        <f>IF(COUNTA(A2301:G2301)=0,"",IF(A2301="","N° devis manquant",IF(ISNA(MATCH(A2301,dv_num,0)),"Devis inconnu",IF(AND(B2301&lt;&gt;"",ISNA(MATCH(B2301,pr_code,0))),"Article inconnu",IF(H2301="","Désignation manquante",IF(OR(NOT(ISNUMBER(D2301)),N(D2301)&lt;=0),"Quantité invalide",IF(J2301="","Prix manquant",IF(OR(NOT(ISNUMBER(J2301)),N(J2301)&lt;0),"Prix invalide",IF(OR(AND(F2301&lt;&gt;"",NOT(ISNUMBER(F2301))),N(F2301)&lt;0,N(F2301)&gt;1),"Remise invalide",IF(K2301="","Taux de TVA manquant",IF(NOT(ISNUMBER(K2301)),"Taux de TVA invalide",IF(COUNTIF(p_rates,K2301)=0,"Taux de TVA hors liste (Paramètres)",IF(N(O2301)&gt;25,"Au-delà de 25 lignes : non imprimée","OK")))))))))))))</f>
        <v/>
      </c>
      <c r="O2301" s="59" t="str">
        <f>IF(A2301="","",COUNTIF($A$6:A2301,A2301))</f>
        <v/>
      </c>
      <c r="P2301" s="62" t="str">
        <f>IF(A2301="","",A2301&amp;"|"&amp;O2301)</f>
        <v/>
      </c>
    </row>
    <row r="2302">
      <c r="A2302" s="60" t="n"/>
      <c r="B2302" s="63" t="n"/>
      <c r="C2302" s="63" t="n"/>
      <c r="D2302" s="67" t="n"/>
      <c r="E2302" s="68" t="n"/>
      <c r="F2302" s="69" t="n"/>
      <c r="G2302" s="70" t="n"/>
      <c r="H2302" s="62" t="str">
        <f>IF(COUNTA(A2302:G2302)=0,"",IF(C2302&lt;&gt;"",C2302,IF(B2302="","",IFERROR(INDEX(pr_des,MATCH(B2302,pr_code,0))&amp;"",""))))</f>
        <v/>
      </c>
      <c r="I2302" s="59" t="str">
        <f>IF(B2302="","",IFERROR(INDEX(pr_unit,MATCH(B2302,pr_code,0))&amp;"",""))</f>
        <v/>
      </c>
      <c r="J2302" s="65" t="str">
        <f>IF(COUNTA(A2302:G2302)=0,"",IF(E2302&lt;&gt;"",E2302,IF(B2302="","",IFERROR(IF(INDEX(pr_price,MATCH(B2302,pr_code,0))="","",INDEX(pr_price,MATCH(B2302,pr_code,0))),""))))</f>
        <v/>
      </c>
      <c r="K2302" s="71" t="str">
        <f>IF(COUNTA(A2302:G2302)=0,"",IF(G2302&lt;&gt;"",G2302,IF(B2302="","",IFERROR(IF(INDEX(pr_rate,MATCH(B2302,pr_code,0))="","",INDEX(pr_rate,MATCH(B2302,pr_code,0))),""))))</f>
        <v/>
      </c>
      <c r="L2302" s="65" t="str">
        <f>IF(COUNTA(A2302:G2302)=0,"",IF(AND(ISNUMBER(D2302),ISNUMBER(J2302)),ROUND(D2302*J2302*(1-N(F2302)),2),0))</f>
        <v/>
      </c>
      <c r="M2302" s="62" t="str">
        <f>IF(A2302="","",IFERROR(INDEX(dv_cname,MATCH(A2302,dv_num,0))&amp;"",""))</f>
        <v/>
      </c>
      <c r="N2302" s="59" t="str">
        <f>IF(COUNTA(A2302:G2302)=0,"",IF(A2302="","N° devis manquant",IF(ISNA(MATCH(A2302,dv_num,0)),"Devis inconnu",IF(AND(B2302&lt;&gt;"",ISNA(MATCH(B2302,pr_code,0))),"Article inconnu",IF(H2302="","Désignation manquante",IF(OR(NOT(ISNUMBER(D2302)),N(D2302)&lt;=0),"Quantité invalide",IF(J2302="","Prix manquant",IF(OR(NOT(ISNUMBER(J2302)),N(J2302)&lt;0),"Prix invalide",IF(OR(AND(F2302&lt;&gt;"",NOT(ISNUMBER(F2302))),N(F2302)&lt;0,N(F2302)&gt;1),"Remise invalide",IF(K2302="","Taux de TVA manquant",IF(NOT(ISNUMBER(K2302)),"Taux de TVA invalide",IF(COUNTIF(p_rates,K2302)=0,"Taux de TVA hors liste (Paramètres)",IF(N(O2302)&gt;25,"Au-delà de 25 lignes : non imprimée","OK")))))))))))))</f>
        <v/>
      </c>
      <c r="O2302" s="59" t="str">
        <f>IF(A2302="","",COUNTIF($A$6:A2302,A2302))</f>
        <v/>
      </c>
      <c r="P2302" s="62" t="str">
        <f>IF(A2302="","",A2302&amp;"|"&amp;O2302)</f>
        <v/>
      </c>
    </row>
    <row r="2303">
      <c r="A2303" s="60" t="n"/>
      <c r="B2303" s="63" t="n"/>
      <c r="C2303" s="63" t="n"/>
      <c r="D2303" s="67" t="n"/>
      <c r="E2303" s="68" t="n"/>
      <c r="F2303" s="69" t="n"/>
      <c r="G2303" s="70" t="n"/>
      <c r="H2303" s="62" t="str">
        <f>IF(COUNTA(A2303:G2303)=0,"",IF(C2303&lt;&gt;"",C2303,IF(B2303="","",IFERROR(INDEX(pr_des,MATCH(B2303,pr_code,0))&amp;"",""))))</f>
        <v/>
      </c>
      <c r="I2303" s="59" t="str">
        <f>IF(B2303="","",IFERROR(INDEX(pr_unit,MATCH(B2303,pr_code,0))&amp;"",""))</f>
        <v/>
      </c>
      <c r="J2303" s="65" t="str">
        <f>IF(COUNTA(A2303:G2303)=0,"",IF(E2303&lt;&gt;"",E2303,IF(B2303="","",IFERROR(IF(INDEX(pr_price,MATCH(B2303,pr_code,0))="","",INDEX(pr_price,MATCH(B2303,pr_code,0))),""))))</f>
        <v/>
      </c>
      <c r="K2303" s="71" t="str">
        <f>IF(COUNTA(A2303:G2303)=0,"",IF(G2303&lt;&gt;"",G2303,IF(B2303="","",IFERROR(IF(INDEX(pr_rate,MATCH(B2303,pr_code,0))="","",INDEX(pr_rate,MATCH(B2303,pr_code,0))),""))))</f>
        <v/>
      </c>
      <c r="L2303" s="65" t="str">
        <f>IF(COUNTA(A2303:G2303)=0,"",IF(AND(ISNUMBER(D2303),ISNUMBER(J2303)),ROUND(D2303*J2303*(1-N(F2303)),2),0))</f>
        <v/>
      </c>
      <c r="M2303" s="62" t="str">
        <f>IF(A2303="","",IFERROR(INDEX(dv_cname,MATCH(A2303,dv_num,0))&amp;"",""))</f>
        <v/>
      </c>
      <c r="N2303" s="59" t="str">
        <f>IF(COUNTA(A2303:G2303)=0,"",IF(A2303="","N° devis manquant",IF(ISNA(MATCH(A2303,dv_num,0)),"Devis inconnu",IF(AND(B2303&lt;&gt;"",ISNA(MATCH(B2303,pr_code,0))),"Article inconnu",IF(H2303="","Désignation manquante",IF(OR(NOT(ISNUMBER(D2303)),N(D2303)&lt;=0),"Quantité invalide",IF(J2303="","Prix manquant",IF(OR(NOT(ISNUMBER(J2303)),N(J2303)&lt;0),"Prix invalide",IF(OR(AND(F2303&lt;&gt;"",NOT(ISNUMBER(F2303))),N(F2303)&lt;0,N(F2303)&gt;1),"Remise invalide",IF(K2303="","Taux de TVA manquant",IF(NOT(ISNUMBER(K2303)),"Taux de TVA invalide",IF(COUNTIF(p_rates,K2303)=0,"Taux de TVA hors liste (Paramètres)",IF(N(O2303)&gt;25,"Au-delà de 25 lignes : non imprimée","OK")))))))))))))</f>
        <v/>
      </c>
      <c r="O2303" s="59" t="str">
        <f>IF(A2303="","",COUNTIF($A$6:A2303,A2303))</f>
        <v/>
      </c>
      <c r="P2303" s="62" t="str">
        <f>IF(A2303="","",A2303&amp;"|"&amp;O2303)</f>
        <v/>
      </c>
    </row>
    <row r="2304">
      <c r="A2304" s="60" t="n"/>
      <c r="B2304" s="63" t="n"/>
      <c r="C2304" s="63" t="n"/>
      <c r="D2304" s="67" t="n"/>
      <c r="E2304" s="68" t="n"/>
      <c r="F2304" s="69" t="n"/>
      <c r="G2304" s="70" t="n"/>
      <c r="H2304" s="62" t="str">
        <f>IF(COUNTA(A2304:G2304)=0,"",IF(C2304&lt;&gt;"",C2304,IF(B2304="","",IFERROR(INDEX(pr_des,MATCH(B2304,pr_code,0))&amp;"",""))))</f>
        <v/>
      </c>
      <c r="I2304" s="59" t="str">
        <f>IF(B2304="","",IFERROR(INDEX(pr_unit,MATCH(B2304,pr_code,0))&amp;"",""))</f>
        <v/>
      </c>
      <c r="J2304" s="65" t="str">
        <f>IF(COUNTA(A2304:G2304)=0,"",IF(E2304&lt;&gt;"",E2304,IF(B2304="","",IFERROR(IF(INDEX(pr_price,MATCH(B2304,pr_code,0))="","",INDEX(pr_price,MATCH(B2304,pr_code,0))),""))))</f>
        <v/>
      </c>
      <c r="K2304" s="71" t="str">
        <f>IF(COUNTA(A2304:G2304)=0,"",IF(G2304&lt;&gt;"",G2304,IF(B2304="","",IFERROR(IF(INDEX(pr_rate,MATCH(B2304,pr_code,0))="","",INDEX(pr_rate,MATCH(B2304,pr_code,0))),""))))</f>
        <v/>
      </c>
      <c r="L2304" s="65" t="str">
        <f>IF(COUNTA(A2304:G2304)=0,"",IF(AND(ISNUMBER(D2304),ISNUMBER(J2304)),ROUND(D2304*J2304*(1-N(F2304)),2),0))</f>
        <v/>
      </c>
      <c r="M2304" s="62" t="str">
        <f>IF(A2304="","",IFERROR(INDEX(dv_cname,MATCH(A2304,dv_num,0))&amp;"",""))</f>
        <v/>
      </c>
      <c r="N2304" s="59" t="str">
        <f>IF(COUNTA(A2304:G2304)=0,"",IF(A2304="","N° devis manquant",IF(ISNA(MATCH(A2304,dv_num,0)),"Devis inconnu",IF(AND(B2304&lt;&gt;"",ISNA(MATCH(B2304,pr_code,0))),"Article inconnu",IF(H2304="","Désignation manquante",IF(OR(NOT(ISNUMBER(D2304)),N(D2304)&lt;=0),"Quantité invalide",IF(J2304="","Prix manquant",IF(OR(NOT(ISNUMBER(J2304)),N(J2304)&lt;0),"Prix invalide",IF(OR(AND(F2304&lt;&gt;"",NOT(ISNUMBER(F2304))),N(F2304)&lt;0,N(F2304)&gt;1),"Remise invalide",IF(K2304="","Taux de TVA manquant",IF(NOT(ISNUMBER(K2304)),"Taux de TVA invalide",IF(COUNTIF(p_rates,K2304)=0,"Taux de TVA hors liste (Paramètres)",IF(N(O2304)&gt;25,"Au-delà de 25 lignes : non imprimée","OK")))))))))))))</f>
        <v/>
      </c>
      <c r="O2304" s="59" t="str">
        <f>IF(A2304="","",COUNTIF($A$6:A2304,A2304))</f>
        <v/>
      </c>
      <c r="P2304" s="62" t="str">
        <f>IF(A2304="","",A2304&amp;"|"&amp;O2304)</f>
        <v/>
      </c>
    </row>
    <row r="2305">
      <c r="A2305" s="60" t="n"/>
      <c r="B2305" s="63" t="n"/>
      <c r="C2305" s="63" t="n"/>
      <c r="D2305" s="67" t="n"/>
      <c r="E2305" s="68" t="n"/>
      <c r="F2305" s="69" t="n"/>
      <c r="G2305" s="70" t="n"/>
      <c r="H2305" s="62" t="str">
        <f>IF(COUNTA(A2305:G2305)=0,"",IF(C2305&lt;&gt;"",C2305,IF(B2305="","",IFERROR(INDEX(pr_des,MATCH(B2305,pr_code,0))&amp;"",""))))</f>
        <v/>
      </c>
      <c r="I2305" s="59" t="str">
        <f>IF(B2305="","",IFERROR(INDEX(pr_unit,MATCH(B2305,pr_code,0))&amp;"",""))</f>
        <v/>
      </c>
      <c r="J2305" s="65" t="str">
        <f>IF(COUNTA(A2305:G2305)=0,"",IF(E2305&lt;&gt;"",E2305,IF(B2305="","",IFERROR(IF(INDEX(pr_price,MATCH(B2305,pr_code,0))="","",INDEX(pr_price,MATCH(B2305,pr_code,0))),""))))</f>
        <v/>
      </c>
      <c r="K2305" s="71" t="str">
        <f>IF(COUNTA(A2305:G2305)=0,"",IF(G2305&lt;&gt;"",G2305,IF(B2305="","",IFERROR(IF(INDEX(pr_rate,MATCH(B2305,pr_code,0))="","",INDEX(pr_rate,MATCH(B2305,pr_code,0))),""))))</f>
        <v/>
      </c>
      <c r="L2305" s="65" t="str">
        <f>IF(COUNTA(A2305:G2305)=0,"",IF(AND(ISNUMBER(D2305),ISNUMBER(J2305)),ROUND(D2305*J2305*(1-N(F2305)),2),0))</f>
        <v/>
      </c>
      <c r="M2305" s="62" t="str">
        <f>IF(A2305="","",IFERROR(INDEX(dv_cname,MATCH(A2305,dv_num,0))&amp;"",""))</f>
        <v/>
      </c>
      <c r="N2305" s="59" t="str">
        <f>IF(COUNTA(A2305:G2305)=0,"",IF(A2305="","N° devis manquant",IF(ISNA(MATCH(A2305,dv_num,0)),"Devis inconnu",IF(AND(B2305&lt;&gt;"",ISNA(MATCH(B2305,pr_code,0))),"Article inconnu",IF(H2305="","Désignation manquante",IF(OR(NOT(ISNUMBER(D2305)),N(D2305)&lt;=0),"Quantité invalide",IF(J2305="","Prix manquant",IF(OR(NOT(ISNUMBER(J2305)),N(J2305)&lt;0),"Prix invalide",IF(OR(AND(F2305&lt;&gt;"",NOT(ISNUMBER(F2305))),N(F2305)&lt;0,N(F2305)&gt;1),"Remise invalide",IF(K2305="","Taux de TVA manquant",IF(NOT(ISNUMBER(K2305)),"Taux de TVA invalide",IF(COUNTIF(p_rates,K2305)=0,"Taux de TVA hors liste (Paramètres)",IF(N(O2305)&gt;25,"Au-delà de 25 lignes : non imprimée","OK")))))))))))))</f>
        <v/>
      </c>
      <c r="O2305" s="59" t="str">
        <f>IF(A2305="","",COUNTIF($A$6:A2305,A2305))</f>
        <v/>
      </c>
      <c r="P2305" s="62" t="str">
        <f>IF(A2305="","",A2305&amp;"|"&amp;O2305)</f>
        <v/>
      </c>
    </row>
    <row r="2306">
      <c r="A2306" s="60" t="n"/>
      <c r="B2306" s="63" t="n"/>
      <c r="C2306" s="63" t="n"/>
      <c r="D2306" s="67" t="n"/>
      <c r="E2306" s="68" t="n"/>
      <c r="F2306" s="69" t="n"/>
      <c r="G2306" s="70" t="n"/>
      <c r="H2306" s="62" t="str">
        <f>IF(COUNTA(A2306:G2306)=0,"",IF(C2306&lt;&gt;"",C2306,IF(B2306="","",IFERROR(INDEX(pr_des,MATCH(B2306,pr_code,0))&amp;"",""))))</f>
        <v/>
      </c>
      <c r="I2306" s="59" t="str">
        <f>IF(B2306="","",IFERROR(INDEX(pr_unit,MATCH(B2306,pr_code,0))&amp;"",""))</f>
        <v/>
      </c>
      <c r="J2306" s="65" t="str">
        <f>IF(COUNTA(A2306:G2306)=0,"",IF(E2306&lt;&gt;"",E2306,IF(B2306="","",IFERROR(IF(INDEX(pr_price,MATCH(B2306,pr_code,0))="","",INDEX(pr_price,MATCH(B2306,pr_code,0))),""))))</f>
        <v/>
      </c>
      <c r="K2306" s="71" t="str">
        <f>IF(COUNTA(A2306:G2306)=0,"",IF(G2306&lt;&gt;"",G2306,IF(B2306="","",IFERROR(IF(INDEX(pr_rate,MATCH(B2306,pr_code,0))="","",INDEX(pr_rate,MATCH(B2306,pr_code,0))),""))))</f>
        <v/>
      </c>
      <c r="L2306" s="65" t="str">
        <f>IF(COUNTA(A2306:G2306)=0,"",IF(AND(ISNUMBER(D2306),ISNUMBER(J2306)),ROUND(D2306*J2306*(1-N(F2306)),2),0))</f>
        <v/>
      </c>
      <c r="M2306" s="62" t="str">
        <f>IF(A2306="","",IFERROR(INDEX(dv_cname,MATCH(A2306,dv_num,0))&amp;"",""))</f>
        <v/>
      </c>
      <c r="N2306" s="59" t="str">
        <f>IF(COUNTA(A2306:G2306)=0,"",IF(A2306="","N° devis manquant",IF(ISNA(MATCH(A2306,dv_num,0)),"Devis inconnu",IF(AND(B2306&lt;&gt;"",ISNA(MATCH(B2306,pr_code,0))),"Article inconnu",IF(H2306="","Désignation manquante",IF(OR(NOT(ISNUMBER(D2306)),N(D2306)&lt;=0),"Quantité invalide",IF(J2306="","Prix manquant",IF(OR(NOT(ISNUMBER(J2306)),N(J2306)&lt;0),"Prix invalide",IF(OR(AND(F2306&lt;&gt;"",NOT(ISNUMBER(F2306))),N(F2306)&lt;0,N(F2306)&gt;1),"Remise invalide",IF(K2306="","Taux de TVA manquant",IF(NOT(ISNUMBER(K2306)),"Taux de TVA invalide",IF(COUNTIF(p_rates,K2306)=0,"Taux de TVA hors liste (Paramètres)",IF(N(O2306)&gt;25,"Au-delà de 25 lignes : non imprimée","OK")))))))))))))</f>
        <v/>
      </c>
      <c r="O2306" s="59" t="str">
        <f>IF(A2306="","",COUNTIF($A$6:A2306,A2306))</f>
        <v/>
      </c>
      <c r="P2306" s="62" t="str">
        <f>IF(A2306="","",A2306&amp;"|"&amp;O2306)</f>
        <v/>
      </c>
    </row>
    <row r="2307">
      <c r="A2307" s="60" t="n"/>
      <c r="B2307" s="63" t="n"/>
      <c r="C2307" s="63" t="n"/>
      <c r="D2307" s="67" t="n"/>
      <c r="E2307" s="68" t="n"/>
      <c r="F2307" s="69" t="n"/>
      <c r="G2307" s="70" t="n"/>
      <c r="H2307" s="62" t="str">
        <f>IF(COUNTA(A2307:G2307)=0,"",IF(C2307&lt;&gt;"",C2307,IF(B2307="","",IFERROR(INDEX(pr_des,MATCH(B2307,pr_code,0))&amp;"",""))))</f>
        <v/>
      </c>
      <c r="I2307" s="59" t="str">
        <f>IF(B2307="","",IFERROR(INDEX(pr_unit,MATCH(B2307,pr_code,0))&amp;"",""))</f>
        <v/>
      </c>
      <c r="J2307" s="65" t="str">
        <f>IF(COUNTA(A2307:G2307)=0,"",IF(E2307&lt;&gt;"",E2307,IF(B2307="","",IFERROR(IF(INDEX(pr_price,MATCH(B2307,pr_code,0))="","",INDEX(pr_price,MATCH(B2307,pr_code,0))),""))))</f>
        <v/>
      </c>
      <c r="K2307" s="71" t="str">
        <f>IF(COUNTA(A2307:G2307)=0,"",IF(G2307&lt;&gt;"",G2307,IF(B2307="","",IFERROR(IF(INDEX(pr_rate,MATCH(B2307,pr_code,0))="","",INDEX(pr_rate,MATCH(B2307,pr_code,0))),""))))</f>
        <v/>
      </c>
      <c r="L2307" s="65" t="str">
        <f>IF(COUNTA(A2307:G2307)=0,"",IF(AND(ISNUMBER(D2307),ISNUMBER(J2307)),ROUND(D2307*J2307*(1-N(F2307)),2),0))</f>
        <v/>
      </c>
      <c r="M2307" s="62" t="str">
        <f>IF(A2307="","",IFERROR(INDEX(dv_cname,MATCH(A2307,dv_num,0))&amp;"",""))</f>
        <v/>
      </c>
      <c r="N2307" s="59" t="str">
        <f>IF(COUNTA(A2307:G2307)=0,"",IF(A2307="","N° devis manquant",IF(ISNA(MATCH(A2307,dv_num,0)),"Devis inconnu",IF(AND(B2307&lt;&gt;"",ISNA(MATCH(B2307,pr_code,0))),"Article inconnu",IF(H2307="","Désignation manquante",IF(OR(NOT(ISNUMBER(D2307)),N(D2307)&lt;=0),"Quantité invalide",IF(J2307="","Prix manquant",IF(OR(NOT(ISNUMBER(J2307)),N(J2307)&lt;0),"Prix invalide",IF(OR(AND(F2307&lt;&gt;"",NOT(ISNUMBER(F2307))),N(F2307)&lt;0,N(F2307)&gt;1),"Remise invalide",IF(K2307="","Taux de TVA manquant",IF(NOT(ISNUMBER(K2307)),"Taux de TVA invalide",IF(COUNTIF(p_rates,K2307)=0,"Taux de TVA hors liste (Paramètres)",IF(N(O2307)&gt;25,"Au-delà de 25 lignes : non imprimée","OK")))))))))))))</f>
        <v/>
      </c>
      <c r="O2307" s="59" t="str">
        <f>IF(A2307="","",COUNTIF($A$6:A2307,A2307))</f>
        <v/>
      </c>
      <c r="P2307" s="62" t="str">
        <f>IF(A2307="","",A2307&amp;"|"&amp;O2307)</f>
        <v/>
      </c>
    </row>
    <row r="2308">
      <c r="A2308" s="60" t="n"/>
      <c r="B2308" s="63" t="n"/>
      <c r="C2308" s="63" t="n"/>
      <c r="D2308" s="67" t="n"/>
      <c r="E2308" s="68" t="n"/>
      <c r="F2308" s="69" t="n"/>
      <c r="G2308" s="70" t="n"/>
      <c r="H2308" s="62" t="str">
        <f>IF(COUNTA(A2308:G2308)=0,"",IF(C2308&lt;&gt;"",C2308,IF(B2308="","",IFERROR(INDEX(pr_des,MATCH(B2308,pr_code,0))&amp;"",""))))</f>
        <v/>
      </c>
      <c r="I2308" s="59" t="str">
        <f>IF(B2308="","",IFERROR(INDEX(pr_unit,MATCH(B2308,pr_code,0))&amp;"",""))</f>
        <v/>
      </c>
      <c r="J2308" s="65" t="str">
        <f>IF(COUNTA(A2308:G2308)=0,"",IF(E2308&lt;&gt;"",E2308,IF(B2308="","",IFERROR(IF(INDEX(pr_price,MATCH(B2308,pr_code,0))="","",INDEX(pr_price,MATCH(B2308,pr_code,0))),""))))</f>
        <v/>
      </c>
      <c r="K2308" s="71" t="str">
        <f>IF(COUNTA(A2308:G2308)=0,"",IF(G2308&lt;&gt;"",G2308,IF(B2308="","",IFERROR(IF(INDEX(pr_rate,MATCH(B2308,pr_code,0))="","",INDEX(pr_rate,MATCH(B2308,pr_code,0))),""))))</f>
        <v/>
      </c>
      <c r="L2308" s="65" t="str">
        <f>IF(COUNTA(A2308:G2308)=0,"",IF(AND(ISNUMBER(D2308),ISNUMBER(J2308)),ROUND(D2308*J2308*(1-N(F2308)),2),0))</f>
        <v/>
      </c>
      <c r="M2308" s="62" t="str">
        <f>IF(A2308="","",IFERROR(INDEX(dv_cname,MATCH(A2308,dv_num,0))&amp;"",""))</f>
        <v/>
      </c>
      <c r="N2308" s="59" t="str">
        <f>IF(COUNTA(A2308:G2308)=0,"",IF(A2308="","N° devis manquant",IF(ISNA(MATCH(A2308,dv_num,0)),"Devis inconnu",IF(AND(B2308&lt;&gt;"",ISNA(MATCH(B2308,pr_code,0))),"Article inconnu",IF(H2308="","Désignation manquante",IF(OR(NOT(ISNUMBER(D2308)),N(D2308)&lt;=0),"Quantité invalide",IF(J2308="","Prix manquant",IF(OR(NOT(ISNUMBER(J2308)),N(J2308)&lt;0),"Prix invalide",IF(OR(AND(F2308&lt;&gt;"",NOT(ISNUMBER(F2308))),N(F2308)&lt;0,N(F2308)&gt;1),"Remise invalide",IF(K2308="","Taux de TVA manquant",IF(NOT(ISNUMBER(K2308)),"Taux de TVA invalide",IF(COUNTIF(p_rates,K2308)=0,"Taux de TVA hors liste (Paramètres)",IF(N(O2308)&gt;25,"Au-delà de 25 lignes : non imprimée","OK")))))))))))))</f>
        <v/>
      </c>
      <c r="O2308" s="59" t="str">
        <f>IF(A2308="","",COUNTIF($A$6:A2308,A2308))</f>
        <v/>
      </c>
      <c r="P2308" s="62" t="str">
        <f>IF(A2308="","",A2308&amp;"|"&amp;O2308)</f>
        <v/>
      </c>
    </row>
    <row r="2309">
      <c r="A2309" s="60" t="n"/>
      <c r="B2309" s="63" t="n"/>
      <c r="C2309" s="63" t="n"/>
      <c r="D2309" s="67" t="n"/>
      <c r="E2309" s="68" t="n"/>
      <c r="F2309" s="69" t="n"/>
      <c r="G2309" s="70" t="n"/>
      <c r="H2309" s="62" t="str">
        <f>IF(COUNTA(A2309:G2309)=0,"",IF(C2309&lt;&gt;"",C2309,IF(B2309="","",IFERROR(INDEX(pr_des,MATCH(B2309,pr_code,0))&amp;"",""))))</f>
        <v/>
      </c>
      <c r="I2309" s="59" t="str">
        <f>IF(B2309="","",IFERROR(INDEX(pr_unit,MATCH(B2309,pr_code,0))&amp;"",""))</f>
        <v/>
      </c>
      <c r="J2309" s="65" t="str">
        <f>IF(COUNTA(A2309:G2309)=0,"",IF(E2309&lt;&gt;"",E2309,IF(B2309="","",IFERROR(IF(INDEX(pr_price,MATCH(B2309,pr_code,0))="","",INDEX(pr_price,MATCH(B2309,pr_code,0))),""))))</f>
        <v/>
      </c>
      <c r="K2309" s="71" t="str">
        <f>IF(COUNTA(A2309:G2309)=0,"",IF(G2309&lt;&gt;"",G2309,IF(B2309="","",IFERROR(IF(INDEX(pr_rate,MATCH(B2309,pr_code,0))="","",INDEX(pr_rate,MATCH(B2309,pr_code,0))),""))))</f>
        <v/>
      </c>
      <c r="L2309" s="65" t="str">
        <f>IF(COUNTA(A2309:G2309)=0,"",IF(AND(ISNUMBER(D2309),ISNUMBER(J2309)),ROUND(D2309*J2309*(1-N(F2309)),2),0))</f>
        <v/>
      </c>
      <c r="M2309" s="62" t="str">
        <f>IF(A2309="","",IFERROR(INDEX(dv_cname,MATCH(A2309,dv_num,0))&amp;"",""))</f>
        <v/>
      </c>
      <c r="N2309" s="59" t="str">
        <f>IF(COUNTA(A2309:G2309)=0,"",IF(A2309="","N° devis manquant",IF(ISNA(MATCH(A2309,dv_num,0)),"Devis inconnu",IF(AND(B2309&lt;&gt;"",ISNA(MATCH(B2309,pr_code,0))),"Article inconnu",IF(H2309="","Désignation manquante",IF(OR(NOT(ISNUMBER(D2309)),N(D2309)&lt;=0),"Quantité invalide",IF(J2309="","Prix manquant",IF(OR(NOT(ISNUMBER(J2309)),N(J2309)&lt;0),"Prix invalide",IF(OR(AND(F2309&lt;&gt;"",NOT(ISNUMBER(F2309))),N(F2309)&lt;0,N(F2309)&gt;1),"Remise invalide",IF(K2309="","Taux de TVA manquant",IF(NOT(ISNUMBER(K2309)),"Taux de TVA invalide",IF(COUNTIF(p_rates,K2309)=0,"Taux de TVA hors liste (Paramètres)",IF(N(O2309)&gt;25,"Au-delà de 25 lignes : non imprimée","OK")))))))))))))</f>
        <v/>
      </c>
      <c r="O2309" s="59" t="str">
        <f>IF(A2309="","",COUNTIF($A$6:A2309,A2309))</f>
        <v/>
      </c>
      <c r="P2309" s="62" t="str">
        <f>IF(A2309="","",A2309&amp;"|"&amp;O2309)</f>
        <v/>
      </c>
    </row>
    <row r="2310">
      <c r="A2310" s="60" t="n"/>
      <c r="B2310" s="63" t="n"/>
      <c r="C2310" s="63" t="n"/>
      <c r="D2310" s="67" t="n"/>
      <c r="E2310" s="68" t="n"/>
      <c r="F2310" s="69" t="n"/>
      <c r="G2310" s="70" t="n"/>
      <c r="H2310" s="62" t="str">
        <f>IF(COUNTA(A2310:G2310)=0,"",IF(C2310&lt;&gt;"",C2310,IF(B2310="","",IFERROR(INDEX(pr_des,MATCH(B2310,pr_code,0))&amp;"",""))))</f>
        <v/>
      </c>
      <c r="I2310" s="59" t="str">
        <f>IF(B2310="","",IFERROR(INDEX(pr_unit,MATCH(B2310,pr_code,0))&amp;"",""))</f>
        <v/>
      </c>
      <c r="J2310" s="65" t="str">
        <f>IF(COUNTA(A2310:G2310)=0,"",IF(E2310&lt;&gt;"",E2310,IF(B2310="","",IFERROR(IF(INDEX(pr_price,MATCH(B2310,pr_code,0))="","",INDEX(pr_price,MATCH(B2310,pr_code,0))),""))))</f>
        <v/>
      </c>
      <c r="K2310" s="71" t="str">
        <f>IF(COUNTA(A2310:G2310)=0,"",IF(G2310&lt;&gt;"",G2310,IF(B2310="","",IFERROR(IF(INDEX(pr_rate,MATCH(B2310,pr_code,0))="","",INDEX(pr_rate,MATCH(B2310,pr_code,0))),""))))</f>
        <v/>
      </c>
      <c r="L2310" s="65" t="str">
        <f>IF(COUNTA(A2310:G2310)=0,"",IF(AND(ISNUMBER(D2310),ISNUMBER(J2310)),ROUND(D2310*J2310*(1-N(F2310)),2),0))</f>
        <v/>
      </c>
      <c r="M2310" s="62" t="str">
        <f>IF(A2310="","",IFERROR(INDEX(dv_cname,MATCH(A2310,dv_num,0))&amp;"",""))</f>
        <v/>
      </c>
      <c r="N2310" s="59" t="str">
        <f>IF(COUNTA(A2310:G2310)=0,"",IF(A2310="","N° devis manquant",IF(ISNA(MATCH(A2310,dv_num,0)),"Devis inconnu",IF(AND(B2310&lt;&gt;"",ISNA(MATCH(B2310,pr_code,0))),"Article inconnu",IF(H2310="","Désignation manquante",IF(OR(NOT(ISNUMBER(D2310)),N(D2310)&lt;=0),"Quantité invalide",IF(J2310="","Prix manquant",IF(OR(NOT(ISNUMBER(J2310)),N(J2310)&lt;0),"Prix invalide",IF(OR(AND(F2310&lt;&gt;"",NOT(ISNUMBER(F2310))),N(F2310)&lt;0,N(F2310)&gt;1),"Remise invalide",IF(K2310="","Taux de TVA manquant",IF(NOT(ISNUMBER(K2310)),"Taux de TVA invalide",IF(COUNTIF(p_rates,K2310)=0,"Taux de TVA hors liste (Paramètres)",IF(N(O2310)&gt;25,"Au-delà de 25 lignes : non imprimée","OK")))))))))))))</f>
        <v/>
      </c>
      <c r="O2310" s="59" t="str">
        <f>IF(A2310="","",COUNTIF($A$6:A2310,A2310))</f>
        <v/>
      </c>
      <c r="P2310" s="62" t="str">
        <f>IF(A2310="","",A2310&amp;"|"&amp;O2310)</f>
        <v/>
      </c>
    </row>
    <row r="2311">
      <c r="A2311" s="60" t="n"/>
      <c r="B2311" s="63" t="n"/>
      <c r="C2311" s="63" t="n"/>
      <c r="D2311" s="67" t="n"/>
      <c r="E2311" s="68" t="n"/>
      <c r="F2311" s="69" t="n"/>
      <c r="G2311" s="70" t="n"/>
      <c r="H2311" s="62" t="str">
        <f>IF(COUNTA(A2311:G2311)=0,"",IF(C2311&lt;&gt;"",C2311,IF(B2311="","",IFERROR(INDEX(pr_des,MATCH(B2311,pr_code,0))&amp;"",""))))</f>
        <v/>
      </c>
      <c r="I2311" s="59" t="str">
        <f>IF(B2311="","",IFERROR(INDEX(pr_unit,MATCH(B2311,pr_code,0))&amp;"",""))</f>
        <v/>
      </c>
      <c r="J2311" s="65" t="str">
        <f>IF(COUNTA(A2311:G2311)=0,"",IF(E2311&lt;&gt;"",E2311,IF(B2311="","",IFERROR(IF(INDEX(pr_price,MATCH(B2311,pr_code,0))="","",INDEX(pr_price,MATCH(B2311,pr_code,0))),""))))</f>
        <v/>
      </c>
      <c r="K2311" s="71" t="str">
        <f>IF(COUNTA(A2311:G2311)=0,"",IF(G2311&lt;&gt;"",G2311,IF(B2311="","",IFERROR(IF(INDEX(pr_rate,MATCH(B2311,pr_code,0))="","",INDEX(pr_rate,MATCH(B2311,pr_code,0))),""))))</f>
        <v/>
      </c>
      <c r="L2311" s="65" t="str">
        <f>IF(COUNTA(A2311:G2311)=0,"",IF(AND(ISNUMBER(D2311),ISNUMBER(J2311)),ROUND(D2311*J2311*(1-N(F2311)),2),0))</f>
        <v/>
      </c>
      <c r="M2311" s="62" t="str">
        <f>IF(A2311="","",IFERROR(INDEX(dv_cname,MATCH(A2311,dv_num,0))&amp;"",""))</f>
        <v/>
      </c>
      <c r="N2311" s="59" t="str">
        <f>IF(COUNTA(A2311:G2311)=0,"",IF(A2311="","N° devis manquant",IF(ISNA(MATCH(A2311,dv_num,0)),"Devis inconnu",IF(AND(B2311&lt;&gt;"",ISNA(MATCH(B2311,pr_code,0))),"Article inconnu",IF(H2311="","Désignation manquante",IF(OR(NOT(ISNUMBER(D2311)),N(D2311)&lt;=0),"Quantité invalide",IF(J2311="","Prix manquant",IF(OR(NOT(ISNUMBER(J2311)),N(J2311)&lt;0),"Prix invalide",IF(OR(AND(F2311&lt;&gt;"",NOT(ISNUMBER(F2311))),N(F2311)&lt;0,N(F2311)&gt;1),"Remise invalide",IF(K2311="","Taux de TVA manquant",IF(NOT(ISNUMBER(K2311)),"Taux de TVA invalide",IF(COUNTIF(p_rates,K2311)=0,"Taux de TVA hors liste (Paramètres)",IF(N(O2311)&gt;25,"Au-delà de 25 lignes : non imprimée","OK")))))))))))))</f>
        <v/>
      </c>
      <c r="O2311" s="59" t="str">
        <f>IF(A2311="","",COUNTIF($A$6:A2311,A2311))</f>
        <v/>
      </c>
      <c r="P2311" s="62" t="str">
        <f>IF(A2311="","",A2311&amp;"|"&amp;O2311)</f>
        <v/>
      </c>
    </row>
    <row r="2312">
      <c r="A2312" s="60" t="n"/>
      <c r="B2312" s="63" t="n"/>
      <c r="C2312" s="63" t="n"/>
      <c r="D2312" s="67" t="n"/>
      <c r="E2312" s="68" t="n"/>
      <c r="F2312" s="69" t="n"/>
      <c r="G2312" s="70" t="n"/>
      <c r="H2312" s="62" t="str">
        <f>IF(COUNTA(A2312:G2312)=0,"",IF(C2312&lt;&gt;"",C2312,IF(B2312="","",IFERROR(INDEX(pr_des,MATCH(B2312,pr_code,0))&amp;"",""))))</f>
        <v/>
      </c>
      <c r="I2312" s="59" t="str">
        <f>IF(B2312="","",IFERROR(INDEX(pr_unit,MATCH(B2312,pr_code,0))&amp;"",""))</f>
        <v/>
      </c>
      <c r="J2312" s="65" t="str">
        <f>IF(COUNTA(A2312:G2312)=0,"",IF(E2312&lt;&gt;"",E2312,IF(B2312="","",IFERROR(IF(INDEX(pr_price,MATCH(B2312,pr_code,0))="","",INDEX(pr_price,MATCH(B2312,pr_code,0))),""))))</f>
        <v/>
      </c>
      <c r="K2312" s="71" t="str">
        <f>IF(COUNTA(A2312:G2312)=0,"",IF(G2312&lt;&gt;"",G2312,IF(B2312="","",IFERROR(IF(INDEX(pr_rate,MATCH(B2312,pr_code,0))="","",INDEX(pr_rate,MATCH(B2312,pr_code,0))),""))))</f>
        <v/>
      </c>
      <c r="L2312" s="65" t="str">
        <f>IF(COUNTA(A2312:G2312)=0,"",IF(AND(ISNUMBER(D2312),ISNUMBER(J2312)),ROUND(D2312*J2312*(1-N(F2312)),2),0))</f>
        <v/>
      </c>
      <c r="M2312" s="62" t="str">
        <f>IF(A2312="","",IFERROR(INDEX(dv_cname,MATCH(A2312,dv_num,0))&amp;"",""))</f>
        <v/>
      </c>
      <c r="N2312" s="59" t="str">
        <f>IF(COUNTA(A2312:G2312)=0,"",IF(A2312="","N° devis manquant",IF(ISNA(MATCH(A2312,dv_num,0)),"Devis inconnu",IF(AND(B2312&lt;&gt;"",ISNA(MATCH(B2312,pr_code,0))),"Article inconnu",IF(H2312="","Désignation manquante",IF(OR(NOT(ISNUMBER(D2312)),N(D2312)&lt;=0),"Quantité invalide",IF(J2312="","Prix manquant",IF(OR(NOT(ISNUMBER(J2312)),N(J2312)&lt;0),"Prix invalide",IF(OR(AND(F2312&lt;&gt;"",NOT(ISNUMBER(F2312))),N(F2312)&lt;0,N(F2312)&gt;1),"Remise invalide",IF(K2312="","Taux de TVA manquant",IF(NOT(ISNUMBER(K2312)),"Taux de TVA invalide",IF(COUNTIF(p_rates,K2312)=0,"Taux de TVA hors liste (Paramètres)",IF(N(O2312)&gt;25,"Au-delà de 25 lignes : non imprimée","OK")))))))))))))</f>
        <v/>
      </c>
      <c r="O2312" s="59" t="str">
        <f>IF(A2312="","",COUNTIF($A$6:A2312,A2312))</f>
        <v/>
      </c>
      <c r="P2312" s="62" t="str">
        <f>IF(A2312="","",A2312&amp;"|"&amp;O2312)</f>
        <v/>
      </c>
    </row>
    <row r="2313">
      <c r="A2313" s="60" t="n"/>
      <c r="B2313" s="63" t="n"/>
      <c r="C2313" s="63" t="n"/>
      <c r="D2313" s="67" t="n"/>
      <c r="E2313" s="68" t="n"/>
      <c r="F2313" s="69" t="n"/>
      <c r="G2313" s="70" t="n"/>
      <c r="H2313" s="62" t="str">
        <f>IF(COUNTA(A2313:G2313)=0,"",IF(C2313&lt;&gt;"",C2313,IF(B2313="","",IFERROR(INDEX(pr_des,MATCH(B2313,pr_code,0))&amp;"",""))))</f>
        <v/>
      </c>
      <c r="I2313" s="59" t="str">
        <f>IF(B2313="","",IFERROR(INDEX(pr_unit,MATCH(B2313,pr_code,0))&amp;"",""))</f>
        <v/>
      </c>
      <c r="J2313" s="65" t="str">
        <f>IF(COUNTA(A2313:G2313)=0,"",IF(E2313&lt;&gt;"",E2313,IF(B2313="","",IFERROR(IF(INDEX(pr_price,MATCH(B2313,pr_code,0))="","",INDEX(pr_price,MATCH(B2313,pr_code,0))),""))))</f>
        <v/>
      </c>
      <c r="K2313" s="71" t="str">
        <f>IF(COUNTA(A2313:G2313)=0,"",IF(G2313&lt;&gt;"",G2313,IF(B2313="","",IFERROR(IF(INDEX(pr_rate,MATCH(B2313,pr_code,0))="","",INDEX(pr_rate,MATCH(B2313,pr_code,0))),""))))</f>
        <v/>
      </c>
      <c r="L2313" s="65" t="str">
        <f>IF(COUNTA(A2313:G2313)=0,"",IF(AND(ISNUMBER(D2313),ISNUMBER(J2313)),ROUND(D2313*J2313*(1-N(F2313)),2),0))</f>
        <v/>
      </c>
      <c r="M2313" s="62" t="str">
        <f>IF(A2313="","",IFERROR(INDEX(dv_cname,MATCH(A2313,dv_num,0))&amp;"",""))</f>
        <v/>
      </c>
      <c r="N2313" s="59" t="str">
        <f>IF(COUNTA(A2313:G2313)=0,"",IF(A2313="","N° devis manquant",IF(ISNA(MATCH(A2313,dv_num,0)),"Devis inconnu",IF(AND(B2313&lt;&gt;"",ISNA(MATCH(B2313,pr_code,0))),"Article inconnu",IF(H2313="","Désignation manquante",IF(OR(NOT(ISNUMBER(D2313)),N(D2313)&lt;=0),"Quantité invalide",IF(J2313="","Prix manquant",IF(OR(NOT(ISNUMBER(J2313)),N(J2313)&lt;0),"Prix invalide",IF(OR(AND(F2313&lt;&gt;"",NOT(ISNUMBER(F2313))),N(F2313)&lt;0,N(F2313)&gt;1),"Remise invalide",IF(K2313="","Taux de TVA manquant",IF(NOT(ISNUMBER(K2313)),"Taux de TVA invalide",IF(COUNTIF(p_rates,K2313)=0,"Taux de TVA hors liste (Paramètres)",IF(N(O2313)&gt;25,"Au-delà de 25 lignes : non imprimée","OK")))))))))))))</f>
        <v/>
      </c>
      <c r="O2313" s="59" t="str">
        <f>IF(A2313="","",COUNTIF($A$6:A2313,A2313))</f>
        <v/>
      </c>
      <c r="P2313" s="62" t="str">
        <f>IF(A2313="","",A2313&amp;"|"&amp;O2313)</f>
        <v/>
      </c>
    </row>
    <row r="2314">
      <c r="A2314" s="60" t="n"/>
      <c r="B2314" s="63" t="n"/>
      <c r="C2314" s="63" t="n"/>
      <c r="D2314" s="67" t="n"/>
      <c r="E2314" s="68" t="n"/>
      <c r="F2314" s="69" t="n"/>
      <c r="G2314" s="70" t="n"/>
      <c r="H2314" s="62" t="str">
        <f>IF(COUNTA(A2314:G2314)=0,"",IF(C2314&lt;&gt;"",C2314,IF(B2314="","",IFERROR(INDEX(pr_des,MATCH(B2314,pr_code,0))&amp;"",""))))</f>
        <v/>
      </c>
      <c r="I2314" s="59" t="str">
        <f>IF(B2314="","",IFERROR(INDEX(pr_unit,MATCH(B2314,pr_code,0))&amp;"",""))</f>
        <v/>
      </c>
      <c r="J2314" s="65" t="str">
        <f>IF(COUNTA(A2314:G2314)=0,"",IF(E2314&lt;&gt;"",E2314,IF(B2314="","",IFERROR(IF(INDEX(pr_price,MATCH(B2314,pr_code,0))="","",INDEX(pr_price,MATCH(B2314,pr_code,0))),""))))</f>
        <v/>
      </c>
      <c r="K2314" s="71" t="str">
        <f>IF(COUNTA(A2314:G2314)=0,"",IF(G2314&lt;&gt;"",G2314,IF(B2314="","",IFERROR(IF(INDEX(pr_rate,MATCH(B2314,pr_code,0))="","",INDEX(pr_rate,MATCH(B2314,pr_code,0))),""))))</f>
        <v/>
      </c>
      <c r="L2314" s="65" t="str">
        <f>IF(COUNTA(A2314:G2314)=0,"",IF(AND(ISNUMBER(D2314),ISNUMBER(J2314)),ROUND(D2314*J2314*(1-N(F2314)),2),0))</f>
        <v/>
      </c>
      <c r="M2314" s="62" t="str">
        <f>IF(A2314="","",IFERROR(INDEX(dv_cname,MATCH(A2314,dv_num,0))&amp;"",""))</f>
        <v/>
      </c>
      <c r="N2314" s="59" t="str">
        <f>IF(COUNTA(A2314:G2314)=0,"",IF(A2314="","N° devis manquant",IF(ISNA(MATCH(A2314,dv_num,0)),"Devis inconnu",IF(AND(B2314&lt;&gt;"",ISNA(MATCH(B2314,pr_code,0))),"Article inconnu",IF(H2314="","Désignation manquante",IF(OR(NOT(ISNUMBER(D2314)),N(D2314)&lt;=0),"Quantité invalide",IF(J2314="","Prix manquant",IF(OR(NOT(ISNUMBER(J2314)),N(J2314)&lt;0),"Prix invalide",IF(OR(AND(F2314&lt;&gt;"",NOT(ISNUMBER(F2314))),N(F2314)&lt;0,N(F2314)&gt;1),"Remise invalide",IF(K2314="","Taux de TVA manquant",IF(NOT(ISNUMBER(K2314)),"Taux de TVA invalide",IF(COUNTIF(p_rates,K2314)=0,"Taux de TVA hors liste (Paramètres)",IF(N(O2314)&gt;25,"Au-delà de 25 lignes : non imprimée","OK")))))))))))))</f>
        <v/>
      </c>
      <c r="O2314" s="59" t="str">
        <f>IF(A2314="","",COUNTIF($A$6:A2314,A2314))</f>
        <v/>
      </c>
      <c r="P2314" s="62" t="str">
        <f>IF(A2314="","",A2314&amp;"|"&amp;O2314)</f>
        <v/>
      </c>
    </row>
    <row r="2315">
      <c r="A2315" s="60" t="n"/>
      <c r="B2315" s="63" t="n"/>
      <c r="C2315" s="63" t="n"/>
      <c r="D2315" s="67" t="n"/>
      <c r="E2315" s="68" t="n"/>
      <c r="F2315" s="69" t="n"/>
      <c r="G2315" s="70" t="n"/>
      <c r="H2315" s="62" t="str">
        <f>IF(COUNTA(A2315:G2315)=0,"",IF(C2315&lt;&gt;"",C2315,IF(B2315="","",IFERROR(INDEX(pr_des,MATCH(B2315,pr_code,0))&amp;"",""))))</f>
        <v/>
      </c>
      <c r="I2315" s="59" t="str">
        <f>IF(B2315="","",IFERROR(INDEX(pr_unit,MATCH(B2315,pr_code,0))&amp;"",""))</f>
        <v/>
      </c>
      <c r="J2315" s="65" t="str">
        <f>IF(COUNTA(A2315:G2315)=0,"",IF(E2315&lt;&gt;"",E2315,IF(B2315="","",IFERROR(IF(INDEX(pr_price,MATCH(B2315,pr_code,0))="","",INDEX(pr_price,MATCH(B2315,pr_code,0))),""))))</f>
        <v/>
      </c>
      <c r="K2315" s="71" t="str">
        <f>IF(COUNTA(A2315:G2315)=0,"",IF(G2315&lt;&gt;"",G2315,IF(B2315="","",IFERROR(IF(INDEX(pr_rate,MATCH(B2315,pr_code,0))="","",INDEX(pr_rate,MATCH(B2315,pr_code,0))),""))))</f>
        <v/>
      </c>
      <c r="L2315" s="65" t="str">
        <f>IF(COUNTA(A2315:G2315)=0,"",IF(AND(ISNUMBER(D2315),ISNUMBER(J2315)),ROUND(D2315*J2315*(1-N(F2315)),2),0))</f>
        <v/>
      </c>
      <c r="M2315" s="62" t="str">
        <f>IF(A2315="","",IFERROR(INDEX(dv_cname,MATCH(A2315,dv_num,0))&amp;"",""))</f>
        <v/>
      </c>
      <c r="N2315" s="59" t="str">
        <f>IF(COUNTA(A2315:G2315)=0,"",IF(A2315="","N° devis manquant",IF(ISNA(MATCH(A2315,dv_num,0)),"Devis inconnu",IF(AND(B2315&lt;&gt;"",ISNA(MATCH(B2315,pr_code,0))),"Article inconnu",IF(H2315="","Désignation manquante",IF(OR(NOT(ISNUMBER(D2315)),N(D2315)&lt;=0),"Quantité invalide",IF(J2315="","Prix manquant",IF(OR(NOT(ISNUMBER(J2315)),N(J2315)&lt;0),"Prix invalide",IF(OR(AND(F2315&lt;&gt;"",NOT(ISNUMBER(F2315))),N(F2315)&lt;0,N(F2315)&gt;1),"Remise invalide",IF(K2315="","Taux de TVA manquant",IF(NOT(ISNUMBER(K2315)),"Taux de TVA invalide",IF(COUNTIF(p_rates,K2315)=0,"Taux de TVA hors liste (Paramètres)",IF(N(O2315)&gt;25,"Au-delà de 25 lignes : non imprimée","OK")))))))))))))</f>
        <v/>
      </c>
      <c r="O2315" s="59" t="str">
        <f>IF(A2315="","",COUNTIF($A$6:A2315,A2315))</f>
        <v/>
      </c>
      <c r="P2315" s="62" t="str">
        <f>IF(A2315="","",A2315&amp;"|"&amp;O2315)</f>
        <v/>
      </c>
    </row>
    <row r="2316">
      <c r="A2316" s="60" t="n"/>
      <c r="B2316" s="63" t="n"/>
      <c r="C2316" s="63" t="n"/>
      <c r="D2316" s="67" t="n"/>
      <c r="E2316" s="68" t="n"/>
      <c r="F2316" s="69" t="n"/>
      <c r="G2316" s="70" t="n"/>
      <c r="H2316" s="62" t="str">
        <f>IF(COUNTA(A2316:G2316)=0,"",IF(C2316&lt;&gt;"",C2316,IF(B2316="","",IFERROR(INDEX(pr_des,MATCH(B2316,pr_code,0))&amp;"",""))))</f>
        <v/>
      </c>
      <c r="I2316" s="59" t="str">
        <f>IF(B2316="","",IFERROR(INDEX(pr_unit,MATCH(B2316,pr_code,0))&amp;"",""))</f>
        <v/>
      </c>
      <c r="J2316" s="65" t="str">
        <f>IF(COUNTA(A2316:G2316)=0,"",IF(E2316&lt;&gt;"",E2316,IF(B2316="","",IFERROR(IF(INDEX(pr_price,MATCH(B2316,pr_code,0))="","",INDEX(pr_price,MATCH(B2316,pr_code,0))),""))))</f>
        <v/>
      </c>
      <c r="K2316" s="71" t="str">
        <f>IF(COUNTA(A2316:G2316)=0,"",IF(G2316&lt;&gt;"",G2316,IF(B2316="","",IFERROR(IF(INDEX(pr_rate,MATCH(B2316,pr_code,0))="","",INDEX(pr_rate,MATCH(B2316,pr_code,0))),""))))</f>
        <v/>
      </c>
      <c r="L2316" s="65" t="str">
        <f>IF(COUNTA(A2316:G2316)=0,"",IF(AND(ISNUMBER(D2316),ISNUMBER(J2316)),ROUND(D2316*J2316*(1-N(F2316)),2),0))</f>
        <v/>
      </c>
      <c r="M2316" s="62" t="str">
        <f>IF(A2316="","",IFERROR(INDEX(dv_cname,MATCH(A2316,dv_num,0))&amp;"",""))</f>
        <v/>
      </c>
      <c r="N2316" s="59" t="str">
        <f>IF(COUNTA(A2316:G2316)=0,"",IF(A2316="","N° devis manquant",IF(ISNA(MATCH(A2316,dv_num,0)),"Devis inconnu",IF(AND(B2316&lt;&gt;"",ISNA(MATCH(B2316,pr_code,0))),"Article inconnu",IF(H2316="","Désignation manquante",IF(OR(NOT(ISNUMBER(D2316)),N(D2316)&lt;=0),"Quantité invalide",IF(J2316="","Prix manquant",IF(OR(NOT(ISNUMBER(J2316)),N(J2316)&lt;0),"Prix invalide",IF(OR(AND(F2316&lt;&gt;"",NOT(ISNUMBER(F2316))),N(F2316)&lt;0,N(F2316)&gt;1),"Remise invalide",IF(K2316="","Taux de TVA manquant",IF(NOT(ISNUMBER(K2316)),"Taux de TVA invalide",IF(COUNTIF(p_rates,K2316)=0,"Taux de TVA hors liste (Paramètres)",IF(N(O2316)&gt;25,"Au-delà de 25 lignes : non imprimée","OK")))))))))))))</f>
        <v/>
      </c>
      <c r="O2316" s="59" t="str">
        <f>IF(A2316="","",COUNTIF($A$6:A2316,A2316))</f>
        <v/>
      </c>
      <c r="P2316" s="62" t="str">
        <f>IF(A2316="","",A2316&amp;"|"&amp;O2316)</f>
        <v/>
      </c>
    </row>
    <row r="2317">
      <c r="A2317" s="60" t="n"/>
      <c r="B2317" s="63" t="n"/>
      <c r="C2317" s="63" t="n"/>
      <c r="D2317" s="67" t="n"/>
      <c r="E2317" s="68" t="n"/>
      <c r="F2317" s="69" t="n"/>
      <c r="G2317" s="70" t="n"/>
      <c r="H2317" s="62" t="str">
        <f>IF(COUNTA(A2317:G2317)=0,"",IF(C2317&lt;&gt;"",C2317,IF(B2317="","",IFERROR(INDEX(pr_des,MATCH(B2317,pr_code,0))&amp;"",""))))</f>
        <v/>
      </c>
      <c r="I2317" s="59" t="str">
        <f>IF(B2317="","",IFERROR(INDEX(pr_unit,MATCH(B2317,pr_code,0))&amp;"",""))</f>
        <v/>
      </c>
      <c r="J2317" s="65" t="str">
        <f>IF(COUNTA(A2317:G2317)=0,"",IF(E2317&lt;&gt;"",E2317,IF(B2317="","",IFERROR(IF(INDEX(pr_price,MATCH(B2317,pr_code,0))="","",INDEX(pr_price,MATCH(B2317,pr_code,0))),""))))</f>
        <v/>
      </c>
      <c r="K2317" s="71" t="str">
        <f>IF(COUNTA(A2317:G2317)=0,"",IF(G2317&lt;&gt;"",G2317,IF(B2317="","",IFERROR(IF(INDEX(pr_rate,MATCH(B2317,pr_code,0))="","",INDEX(pr_rate,MATCH(B2317,pr_code,0))),""))))</f>
        <v/>
      </c>
      <c r="L2317" s="65" t="str">
        <f>IF(COUNTA(A2317:G2317)=0,"",IF(AND(ISNUMBER(D2317),ISNUMBER(J2317)),ROUND(D2317*J2317*(1-N(F2317)),2),0))</f>
        <v/>
      </c>
      <c r="M2317" s="62" t="str">
        <f>IF(A2317="","",IFERROR(INDEX(dv_cname,MATCH(A2317,dv_num,0))&amp;"",""))</f>
        <v/>
      </c>
      <c r="N2317" s="59" t="str">
        <f>IF(COUNTA(A2317:G2317)=0,"",IF(A2317="","N° devis manquant",IF(ISNA(MATCH(A2317,dv_num,0)),"Devis inconnu",IF(AND(B2317&lt;&gt;"",ISNA(MATCH(B2317,pr_code,0))),"Article inconnu",IF(H2317="","Désignation manquante",IF(OR(NOT(ISNUMBER(D2317)),N(D2317)&lt;=0),"Quantité invalide",IF(J2317="","Prix manquant",IF(OR(NOT(ISNUMBER(J2317)),N(J2317)&lt;0),"Prix invalide",IF(OR(AND(F2317&lt;&gt;"",NOT(ISNUMBER(F2317))),N(F2317)&lt;0,N(F2317)&gt;1),"Remise invalide",IF(K2317="","Taux de TVA manquant",IF(NOT(ISNUMBER(K2317)),"Taux de TVA invalide",IF(COUNTIF(p_rates,K2317)=0,"Taux de TVA hors liste (Paramètres)",IF(N(O2317)&gt;25,"Au-delà de 25 lignes : non imprimée","OK")))))))))))))</f>
        <v/>
      </c>
      <c r="O2317" s="59" t="str">
        <f>IF(A2317="","",COUNTIF($A$6:A2317,A2317))</f>
        <v/>
      </c>
      <c r="P2317" s="62" t="str">
        <f>IF(A2317="","",A2317&amp;"|"&amp;O2317)</f>
        <v/>
      </c>
    </row>
    <row r="2318">
      <c r="A2318" s="60" t="n"/>
      <c r="B2318" s="63" t="n"/>
      <c r="C2318" s="63" t="n"/>
      <c r="D2318" s="67" t="n"/>
      <c r="E2318" s="68" t="n"/>
      <c r="F2318" s="69" t="n"/>
      <c r="G2318" s="70" t="n"/>
      <c r="H2318" s="62" t="str">
        <f>IF(COUNTA(A2318:G2318)=0,"",IF(C2318&lt;&gt;"",C2318,IF(B2318="","",IFERROR(INDEX(pr_des,MATCH(B2318,pr_code,0))&amp;"",""))))</f>
        <v/>
      </c>
      <c r="I2318" s="59" t="str">
        <f>IF(B2318="","",IFERROR(INDEX(pr_unit,MATCH(B2318,pr_code,0))&amp;"",""))</f>
        <v/>
      </c>
      <c r="J2318" s="65" t="str">
        <f>IF(COUNTA(A2318:G2318)=0,"",IF(E2318&lt;&gt;"",E2318,IF(B2318="","",IFERROR(IF(INDEX(pr_price,MATCH(B2318,pr_code,0))="","",INDEX(pr_price,MATCH(B2318,pr_code,0))),""))))</f>
        <v/>
      </c>
      <c r="K2318" s="71" t="str">
        <f>IF(COUNTA(A2318:G2318)=0,"",IF(G2318&lt;&gt;"",G2318,IF(B2318="","",IFERROR(IF(INDEX(pr_rate,MATCH(B2318,pr_code,0))="","",INDEX(pr_rate,MATCH(B2318,pr_code,0))),""))))</f>
        <v/>
      </c>
      <c r="L2318" s="65" t="str">
        <f>IF(COUNTA(A2318:G2318)=0,"",IF(AND(ISNUMBER(D2318),ISNUMBER(J2318)),ROUND(D2318*J2318*(1-N(F2318)),2),0))</f>
        <v/>
      </c>
      <c r="M2318" s="62" t="str">
        <f>IF(A2318="","",IFERROR(INDEX(dv_cname,MATCH(A2318,dv_num,0))&amp;"",""))</f>
        <v/>
      </c>
      <c r="N2318" s="59" t="str">
        <f>IF(COUNTA(A2318:G2318)=0,"",IF(A2318="","N° devis manquant",IF(ISNA(MATCH(A2318,dv_num,0)),"Devis inconnu",IF(AND(B2318&lt;&gt;"",ISNA(MATCH(B2318,pr_code,0))),"Article inconnu",IF(H2318="","Désignation manquante",IF(OR(NOT(ISNUMBER(D2318)),N(D2318)&lt;=0),"Quantité invalide",IF(J2318="","Prix manquant",IF(OR(NOT(ISNUMBER(J2318)),N(J2318)&lt;0),"Prix invalide",IF(OR(AND(F2318&lt;&gt;"",NOT(ISNUMBER(F2318))),N(F2318)&lt;0,N(F2318)&gt;1),"Remise invalide",IF(K2318="","Taux de TVA manquant",IF(NOT(ISNUMBER(K2318)),"Taux de TVA invalide",IF(COUNTIF(p_rates,K2318)=0,"Taux de TVA hors liste (Paramètres)",IF(N(O2318)&gt;25,"Au-delà de 25 lignes : non imprimée","OK")))))))))))))</f>
        <v/>
      </c>
      <c r="O2318" s="59" t="str">
        <f>IF(A2318="","",COUNTIF($A$6:A2318,A2318))</f>
        <v/>
      </c>
      <c r="P2318" s="62" t="str">
        <f>IF(A2318="","",A2318&amp;"|"&amp;O2318)</f>
        <v/>
      </c>
    </row>
    <row r="2319">
      <c r="A2319" s="60" t="n"/>
      <c r="B2319" s="63" t="n"/>
      <c r="C2319" s="63" t="n"/>
      <c r="D2319" s="67" t="n"/>
      <c r="E2319" s="68" t="n"/>
      <c r="F2319" s="69" t="n"/>
      <c r="G2319" s="70" t="n"/>
      <c r="H2319" s="62" t="str">
        <f>IF(COUNTA(A2319:G2319)=0,"",IF(C2319&lt;&gt;"",C2319,IF(B2319="","",IFERROR(INDEX(pr_des,MATCH(B2319,pr_code,0))&amp;"",""))))</f>
        <v/>
      </c>
      <c r="I2319" s="59" t="str">
        <f>IF(B2319="","",IFERROR(INDEX(pr_unit,MATCH(B2319,pr_code,0))&amp;"",""))</f>
        <v/>
      </c>
      <c r="J2319" s="65" t="str">
        <f>IF(COUNTA(A2319:G2319)=0,"",IF(E2319&lt;&gt;"",E2319,IF(B2319="","",IFERROR(IF(INDEX(pr_price,MATCH(B2319,pr_code,0))="","",INDEX(pr_price,MATCH(B2319,pr_code,0))),""))))</f>
        <v/>
      </c>
      <c r="K2319" s="71" t="str">
        <f>IF(COUNTA(A2319:G2319)=0,"",IF(G2319&lt;&gt;"",G2319,IF(B2319="","",IFERROR(IF(INDEX(pr_rate,MATCH(B2319,pr_code,0))="","",INDEX(pr_rate,MATCH(B2319,pr_code,0))),""))))</f>
        <v/>
      </c>
      <c r="L2319" s="65" t="str">
        <f>IF(COUNTA(A2319:G2319)=0,"",IF(AND(ISNUMBER(D2319),ISNUMBER(J2319)),ROUND(D2319*J2319*(1-N(F2319)),2),0))</f>
        <v/>
      </c>
      <c r="M2319" s="62" t="str">
        <f>IF(A2319="","",IFERROR(INDEX(dv_cname,MATCH(A2319,dv_num,0))&amp;"",""))</f>
        <v/>
      </c>
      <c r="N2319" s="59" t="str">
        <f>IF(COUNTA(A2319:G2319)=0,"",IF(A2319="","N° devis manquant",IF(ISNA(MATCH(A2319,dv_num,0)),"Devis inconnu",IF(AND(B2319&lt;&gt;"",ISNA(MATCH(B2319,pr_code,0))),"Article inconnu",IF(H2319="","Désignation manquante",IF(OR(NOT(ISNUMBER(D2319)),N(D2319)&lt;=0),"Quantité invalide",IF(J2319="","Prix manquant",IF(OR(NOT(ISNUMBER(J2319)),N(J2319)&lt;0),"Prix invalide",IF(OR(AND(F2319&lt;&gt;"",NOT(ISNUMBER(F2319))),N(F2319)&lt;0,N(F2319)&gt;1),"Remise invalide",IF(K2319="","Taux de TVA manquant",IF(NOT(ISNUMBER(K2319)),"Taux de TVA invalide",IF(COUNTIF(p_rates,K2319)=0,"Taux de TVA hors liste (Paramètres)",IF(N(O2319)&gt;25,"Au-delà de 25 lignes : non imprimée","OK")))))))))))))</f>
        <v/>
      </c>
      <c r="O2319" s="59" t="str">
        <f>IF(A2319="","",COUNTIF($A$6:A2319,A2319))</f>
        <v/>
      </c>
      <c r="P2319" s="62" t="str">
        <f>IF(A2319="","",A2319&amp;"|"&amp;O2319)</f>
        <v/>
      </c>
    </row>
    <row r="2320">
      <c r="A2320" s="60" t="n"/>
      <c r="B2320" s="63" t="n"/>
      <c r="C2320" s="63" t="n"/>
      <c r="D2320" s="67" t="n"/>
      <c r="E2320" s="68" t="n"/>
      <c r="F2320" s="69" t="n"/>
      <c r="G2320" s="70" t="n"/>
      <c r="H2320" s="62" t="str">
        <f>IF(COUNTA(A2320:G2320)=0,"",IF(C2320&lt;&gt;"",C2320,IF(B2320="","",IFERROR(INDEX(pr_des,MATCH(B2320,pr_code,0))&amp;"",""))))</f>
        <v/>
      </c>
      <c r="I2320" s="59" t="str">
        <f>IF(B2320="","",IFERROR(INDEX(pr_unit,MATCH(B2320,pr_code,0))&amp;"",""))</f>
        <v/>
      </c>
      <c r="J2320" s="65" t="str">
        <f>IF(COUNTA(A2320:G2320)=0,"",IF(E2320&lt;&gt;"",E2320,IF(B2320="","",IFERROR(IF(INDEX(pr_price,MATCH(B2320,pr_code,0))="","",INDEX(pr_price,MATCH(B2320,pr_code,0))),""))))</f>
        <v/>
      </c>
      <c r="K2320" s="71" t="str">
        <f>IF(COUNTA(A2320:G2320)=0,"",IF(G2320&lt;&gt;"",G2320,IF(B2320="","",IFERROR(IF(INDEX(pr_rate,MATCH(B2320,pr_code,0))="","",INDEX(pr_rate,MATCH(B2320,pr_code,0))),""))))</f>
        <v/>
      </c>
      <c r="L2320" s="65" t="str">
        <f>IF(COUNTA(A2320:G2320)=0,"",IF(AND(ISNUMBER(D2320),ISNUMBER(J2320)),ROUND(D2320*J2320*(1-N(F2320)),2),0))</f>
        <v/>
      </c>
      <c r="M2320" s="62" t="str">
        <f>IF(A2320="","",IFERROR(INDEX(dv_cname,MATCH(A2320,dv_num,0))&amp;"",""))</f>
        <v/>
      </c>
      <c r="N2320" s="59" t="str">
        <f>IF(COUNTA(A2320:G2320)=0,"",IF(A2320="","N° devis manquant",IF(ISNA(MATCH(A2320,dv_num,0)),"Devis inconnu",IF(AND(B2320&lt;&gt;"",ISNA(MATCH(B2320,pr_code,0))),"Article inconnu",IF(H2320="","Désignation manquante",IF(OR(NOT(ISNUMBER(D2320)),N(D2320)&lt;=0),"Quantité invalide",IF(J2320="","Prix manquant",IF(OR(NOT(ISNUMBER(J2320)),N(J2320)&lt;0),"Prix invalide",IF(OR(AND(F2320&lt;&gt;"",NOT(ISNUMBER(F2320))),N(F2320)&lt;0,N(F2320)&gt;1),"Remise invalide",IF(K2320="","Taux de TVA manquant",IF(NOT(ISNUMBER(K2320)),"Taux de TVA invalide",IF(COUNTIF(p_rates,K2320)=0,"Taux de TVA hors liste (Paramètres)",IF(N(O2320)&gt;25,"Au-delà de 25 lignes : non imprimée","OK")))))))))))))</f>
        <v/>
      </c>
      <c r="O2320" s="59" t="str">
        <f>IF(A2320="","",COUNTIF($A$6:A2320,A2320))</f>
        <v/>
      </c>
      <c r="P2320" s="62" t="str">
        <f>IF(A2320="","",A2320&amp;"|"&amp;O2320)</f>
        <v/>
      </c>
    </row>
    <row r="2321">
      <c r="A2321" s="60" t="n"/>
      <c r="B2321" s="63" t="n"/>
      <c r="C2321" s="63" t="n"/>
      <c r="D2321" s="67" t="n"/>
      <c r="E2321" s="68" t="n"/>
      <c r="F2321" s="69" t="n"/>
      <c r="G2321" s="70" t="n"/>
      <c r="H2321" s="62" t="str">
        <f>IF(COUNTA(A2321:G2321)=0,"",IF(C2321&lt;&gt;"",C2321,IF(B2321="","",IFERROR(INDEX(pr_des,MATCH(B2321,pr_code,0))&amp;"",""))))</f>
        <v/>
      </c>
      <c r="I2321" s="59" t="str">
        <f>IF(B2321="","",IFERROR(INDEX(pr_unit,MATCH(B2321,pr_code,0))&amp;"",""))</f>
        <v/>
      </c>
      <c r="J2321" s="65" t="str">
        <f>IF(COUNTA(A2321:G2321)=0,"",IF(E2321&lt;&gt;"",E2321,IF(B2321="","",IFERROR(IF(INDEX(pr_price,MATCH(B2321,pr_code,0))="","",INDEX(pr_price,MATCH(B2321,pr_code,0))),""))))</f>
        <v/>
      </c>
      <c r="K2321" s="71" t="str">
        <f>IF(COUNTA(A2321:G2321)=0,"",IF(G2321&lt;&gt;"",G2321,IF(B2321="","",IFERROR(IF(INDEX(pr_rate,MATCH(B2321,pr_code,0))="","",INDEX(pr_rate,MATCH(B2321,pr_code,0))),""))))</f>
        <v/>
      </c>
      <c r="L2321" s="65" t="str">
        <f>IF(COUNTA(A2321:G2321)=0,"",IF(AND(ISNUMBER(D2321),ISNUMBER(J2321)),ROUND(D2321*J2321*(1-N(F2321)),2),0))</f>
        <v/>
      </c>
      <c r="M2321" s="62" t="str">
        <f>IF(A2321="","",IFERROR(INDEX(dv_cname,MATCH(A2321,dv_num,0))&amp;"",""))</f>
        <v/>
      </c>
      <c r="N2321" s="59" t="str">
        <f>IF(COUNTA(A2321:G2321)=0,"",IF(A2321="","N° devis manquant",IF(ISNA(MATCH(A2321,dv_num,0)),"Devis inconnu",IF(AND(B2321&lt;&gt;"",ISNA(MATCH(B2321,pr_code,0))),"Article inconnu",IF(H2321="","Désignation manquante",IF(OR(NOT(ISNUMBER(D2321)),N(D2321)&lt;=0),"Quantité invalide",IF(J2321="","Prix manquant",IF(OR(NOT(ISNUMBER(J2321)),N(J2321)&lt;0),"Prix invalide",IF(OR(AND(F2321&lt;&gt;"",NOT(ISNUMBER(F2321))),N(F2321)&lt;0,N(F2321)&gt;1),"Remise invalide",IF(K2321="","Taux de TVA manquant",IF(NOT(ISNUMBER(K2321)),"Taux de TVA invalide",IF(COUNTIF(p_rates,K2321)=0,"Taux de TVA hors liste (Paramètres)",IF(N(O2321)&gt;25,"Au-delà de 25 lignes : non imprimée","OK")))))))))))))</f>
        <v/>
      </c>
      <c r="O2321" s="59" t="str">
        <f>IF(A2321="","",COUNTIF($A$6:A2321,A2321))</f>
        <v/>
      </c>
      <c r="P2321" s="62" t="str">
        <f>IF(A2321="","",A2321&amp;"|"&amp;O2321)</f>
        <v/>
      </c>
    </row>
    <row r="2322">
      <c r="A2322" s="60" t="n"/>
      <c r="B2322" s="63" t="n"/>
      <c r="C2322" s="63" t="n"/>
      <c r="D2322" s="67" t="n"/>
      <c r="E2322" s="68" t="n"/>
      <c r="F2322" s="69" t="n"/>
      <c r="G2322" s="70" t="n"/>
      <c r="H2322" s="62" t="str">
        <f>IF(COUNTA(A2322:G2322)=0,"",IF(C2322&lt;&gt;"",C2322,IF(B2322="","",IFERROR(INDEX(pr_des,MATCH(B2322,pr_code,0))&amp;"",""))))</f>
        <v/>
      </c>
      <c r="I2322" s="59" t="str">
        <f>IF(B2322="","",IFERROR(INDEX(pr_unit,MATCH(B2322,pr_code,0))&amp;"",""))</f>
        <v/>
      </c>
      <c r="J2322" s="65" t="str">
        <f>IF(COUNTA(A2322:G2322)=0,"",IF(E2322&lt;&gt;"",E2322,IF(B2322="","",IFERROR(IF(INDEX(pr_price,MATCH(B2322,pr_code,0))="","",INDEX(pr_price,MATCH(B2322,pr_code,0))),""))))</f>
        <v/>
      </c>
      <c r="K2322" s="71" t="str">
        <f>IF(COUNTA(A2322:G2322)=0,"",IF(G2322&lt;&gt;"",G2322,IF(B2322="","",IFERROR(IF(INDEX(pr_rate,MATCH(B2322,pr_code,0))="","",INDEX(pr_rate,MATCH(B2322,pr_code,0))),""))))</f>
        <v/>
      </c>
      <c r="L2322" s="65" t="str">
        <f>IF(COUNTA(A2322:G2322)=0,"",IF(AND(ISNUMBER(D2322),ISNUMBER(J2322)),ROUND(D2322*J2322*(1-N(F2322)),2),0))</f>
        <v/>
      </c>
      <c r="M2322" s="62" t="str">
        <f>IF(A2322="","",IFERROR(INDEX(dv_cname,MATCH(A2322,dv_num,0))&amp;"",""))</f>
        <v/>
      </c>
      <c r="N2322" s="59" t="str">
        <f>IF(COUNTA(A2322:G2322)=0,"",IF(A2322="","N° devis manquant",IF(ISNA(MATCH(A2322,dv_num,0)),"Devis inconnu",IF(AND(B2322&lt;&gt;"",ISNA(MATCH(B2322,pr_code,0))),"Article inconnu",IF(H2322="","Désignation manquante",IF(OR(NOT(ISNUMBER(D2322)),N(D2322)&lt;=0),"Quantité invalide",IF(J2322="","Prix manquant",IF(OR(NOT(ISNUMBER(J2322)),N(J2322)&lt;0),"Prix invalide",IF(OR(AND(F2322&lt;&gt;"",NOT(ISNUMBER(F2322))),N(F2322)&lt;0,N(F2322)&gt;1),"Remise invalide",IF(K2322="","Taux de TVA manquant",IF(NOT(ISNUMBER(K2322)),"Taux de TVA invalide",IF(COUNTIF(p_rates,K2322)=0,"Taux de TVA hors liste (Paramètres)",IF(N(O2322)&gt;25,"Au-delà de 25 lignes : non imprimée","OK")))))))))))))</f>
        <v/>
      </c>
      <c r="O2322" s="59" t="str">
        <f>IF(A2322="","",COUNTIF($A$6:A2322,A2322))</f>
        <v/>
      </c>
      <c r="P2322" s="62" t="str">
        <f>IF(A2322="","",A2322&amp;"|"&amp;O2322)</f>
        <v/>
      </c>
    </row>
    <row r="2323">
      <c r="A2323" s="60" t="n"/>
      <c r="B2323" s="63" t="n"/>
      <c r="C2323" s="63" t="n"/>
      <c r="D2323" s="67" t="n"/>
      <c r="E2323" s="68" t="n"/>
      <c r="F2323" s="69" t="n"/>
      <c r="G2323" s="70" t="n"/>
      <c r="H2323" s="62" t="str">
        <f>IF(COUNTA(A2323:G2323)=0,"",IF(C2323&lt;&gt;"",C2323,IF(B2323="","",IFERROR(INDEX(pr_des,MATCH(B2323,pr_code,0))&amp;"",""))))</f>
        <v/>
      </c>
      <c r="I2323" s="59" t="str">
        <f>IF(B2323="","",IFERROR(INDEX(pr_unit,MATCH(B2323,pr_code,0))&amp;"",""))</f>
        <v/>
      </c>
      <c r="J2323" s="65" t="str">
        <f>IF(COUNTA(A2323:G2323)=0,"",IF(E2323&lt;&gt;"",E2323,IF(B2323="","",IFERROR(IF(INDEX(pr_price,MATCH(B2323,pr_code,0))="","",INDEX(pr_price,MATCH(B2323,pr_code,0))),""))))</f>
        <v/>
      </c>
      <c r="K2323" s="71" t="str">
        <f>IF(COUNTA(A2323:G2323)=0,"",IF(G2323&lt;&gt;"",G2323,IF(B2323="","",IFERROR(IF(INDEX(pr_rate,MATCH(B2323,pr_code,0))="","",INDEX(pr_rate,MATCH(B2323,pr_code,0))),""))))</f>
        <v/>
      </c>
      <c r="L2323" s="65" t="str">
        <f>IF(COUNTA(A2323:G2323)=0,"",IF(AND(ISNUMBER(D2323),ISNUMBER(J2323)),ROUND(D2323*J2323*(1-N(F2323)),2),0))</f>
        <v/>
      </c>
      <c r="M2323" s="62" t="str">
        <f>IF(A2323="","",IFERROR(INDEX(dv_cname,MATCH(A2323,dv_num,0))&amp;"",""))</f>
        <v/>
      </c>
      <c r="N2323" s="59" t="str">
        <f>IF(COUNTA(A2323:G2323)=0,"",IF(A2323="","N° devis manquant",IF(ISNA(MATCH(A2323,dv_num,0)),"Devis inconnu",IF(AND(B2323&lt;&gt;"",ISNA(MATCH(B2323,pr_code,0))),"Article inconnu",IF(H2323="","Désignation manquante",IF(OR(NOT(ISNUMBER(D2323)),N(D2323)&lt;=0),"Quantité invalide",IF(J2323="","Prix manquant",IF(OR(NOT(ISNUMBER(J2323)),N(J2323)&lt;0),"Prix invalide",IF(OR(AND(F2323&lt;&gt;"",NOT(ISNUMBER(F2323))),N(F2323)&lt;0,N(F2323)&gt;1),"Remise invalide",IF(K2323="","Taux de TVA manquant",IF(NOT(ISNUMBER(K2323)),"Taux de TVA invalide",IF(COUNTIF(p_rates,K2323)=0,"Taux de TVA hors liste (Paramètres)",IF(N(O2323)&gt;25,"Au-delà de 25 lignes : non imprimée","OK")))))))))))))</f>
        <v/>
      </c>
      <c r="O2323" s="59" t="str">
        <f>IF(A2323="","",COUNTIF($A$6:A2323,A2323))</f>
        <v/>
      </c>
      <c r="P2323" s="62" t="str">
        <f>IF(A2323="","",A2323&amp;"|"&amp;O2323)</f>
        <v/>
      </c>
    </row>
    <row r="2324">
      <c r="A2324" s="60" t="n"/>
      <c r="B2324" s="63" t="n"/>
      <c r="C2324" s="63" t="n"/>
      <c r="D2324" s="67" t="n"/>
      <c r="E2324" s="68" t="n"/>
      <c r="F2324" s="69" t="n"/>
      <c r="G2324" s="70" t="n"/>
      <c r="H2324" s="62" t="str">
        <f>IF(COUNTA(A2324:G2324)=0,"",IF(C2324&lt;&gt;"",C2324,IF(B2324="","",IFERROR(INDEX(pr_des,MATCH(B2324,pr_code,0))&amp;"",""))))</f>
        <v/>
      </c>
      <c r="I2324" s="59" t="str">
        <f>IF(B2324="","",IFERROR(INDEX(pr_unit,MATCH(B2324,pr_code,0))&amp;"",""))</f>
        <v/>
      </c>
      <c r="J2324" s="65" t="str">
        <f>IF(COUNTA(A2324:G2324)=0,"",IF(E2324&lt;&gt;"",E2324,IF(B2324="","",IFERROR(IF(INDEX(pr_price,MATCH(B2324,pr_code,0))="","",INDEX(pr_price,MATCH(B2324,pr_code,0))),""))))</f>
        <v/>
      </c>
      <c r="K2324" s="71" t="str">
        <f>IF(COUNTA(A2324:G2324)=0,"",IF(G2324&lt;&gt;"",G2324,IF(B2324="","",IFERROR(IF(INDEX(pr_rate,MATCH(B2324,pr_code,0))="","",INDEX(pr_rate,MATCH(B2324,pr_code,0))),""))))</f>
        <v/>
      </c>
      <c r="L2324" s="65" t="str">
        <f>IF(COUNTA(A2324:G2324)=0,"",IF(AND(ISNUMBER(D2324),ISNUMBER(J2324)),ROUND(D2324*J2324*(1-N(F2324)),2),0))</f>
        <v/>
      </c>
      <c r="M2324" s="62" t="str">
        <f>IF(A2324="","",IFERROR(INDEX(dv_cname,MATCH(A2324,dv_num,0))&amp;"",""))</f>
        <v/>
      </c>
      <c r="N2324" s="59" t="str">
        <f>IF(COUNTA(A2324:G2324)=0,"",IF(A2324="","N° devis manquant",IF(ISNA(MATCH(A2324,dv_num,0)),"Devis inconnu",IF(AND(B2324&lt;&gt;"",ISNA(MATCH(B2324,pr_code,0))),"Article inconnu",IF(H2324="","Désignation manquante",IF(OR(NOT(ISNUMBER(D2324)),N(D2324)&lt;=0),"Quantité invalide",IF(J2324="","Prix manquant",IF(OR(NOT(ISNUMBER(J2324)),N(J2324)&lt;0),"Prix invalide",IF(OR(AND(F2324&lt;&gt;"",NOT(ISNUMBER(F2324))),N(F2324)&lt;0,N(F2324)&gt;1),"Remise invalide",IF(K2324="","Taux de TVA manquant",IF(NOT(ISNUMBER(K2324)),"Taux de TVA invalide",IF(COUNTIF(p_rates,K2324)=0,"Taux de TVA hors liste (Paramètres)",IF(N(O2324)&gt;25,"Au-delà de 25 lignes : non imprimée","OK")))))))))))))</f>
        <v/>
      </c>
      <c r="O2324" s="59" t="str">
        <f>IF(A2324="","",COUNTIF($A$6:A2324,A2324))</f>
        <v/>
      </c>
      <c r="P2324" s="62" t="str">
        <f>IF(A2324="","",A2324&amp;"|"&amp;O2324)</f>
        <v/>
      </c>
    </row>
    <row r="2325">
      <c r="A2325" s="60" t="n"/>
      <c r="B2325" s="63" t="n"/>
      <c r="C2325" s="63" t="n"/>
      <c r="D2325" s="67" t="n"/>
      <c r="E2325" s="68" t="n"/>
      <c r="F2325" s="69" t="n"/>
      <c r="G2325" s="70" t="n"/>
      <c r="H2325" s="62" t="str">
        <f>IF(COUNTA(A2325:G2325)=0,"",IF(C2325&lt;&gt;"",C2325,IF(B2325="","",IFERROR(INDEX(pr_des,MATCH(B2325,pr_code,0))&amp;"",""))))</f>
        <v/>
      </c>
      <c r="I2325" s="59" t="str">
        <f>IF(B2325="","",IFERROR(INDEX(pr_unit,MATCH(B2325,pr_code,0))&amp;"",""))</f>
        <v/>
      </c>
      <c r="J2325" s="65" t="str">
        <f>IF(COUNTA(A2325:G2325)=0,"",IF(E2325&lt;&gt;"",E2325,IF(B2325="","",IFERROR(IF(INDEX(pr_price,MATCH(B2325,pr_code,0))="","",INDEX(pr_price,MATCH(B2325,pr_code,0))),""))))</f>
        <v/>
      </c>
      <c r="K2325" s="71" t="str">
        <f>IF(COUNTA(A2325:G2325)=0,"",IF(G2325&lt;&gt;"",G2325,IF(B2325="","",IFERROR(IF(INDEX(pr_rate,MATCH(B2325,pr_code,0))="","",INDEX(pr_rate,MATCH(B2325,pr_code,0))),""))))</f>
        <v/>
      </c>
      <c r="L2325" s="65" t="str">
        <f>IF(COUNTA(A2325:G2325)=0,"",IF(AND(ISNUMBER(D2325),ISNUMBER(J2325)),ROUND(D2325*J2325*(1-N(F2325)),2),0))</f>
        <v/>
      </c>
      <c r="M2325" s="62" t="str">
        <f>IF(A2325="","",IFERROR(INDEX(dv_cname,MATCH(A2325,dv_num,0))&amp;"",""))</f>
        <v/>
      </c>
      <c r="N2325" s="59" t="str">
        <f>IF(COUNTA(A2325:G2325)=0,"",IF(A2325="","N° devis manquant",IF(ISNA(MATCH(A2325,dv_num,0)),"Devis inconnu",IF(AND(B2325&lt;&gt;"",ISNA(MATCH(B2325,pr_code,0))),"Article inconnu",IF(H2325="","Désignation manquante",IF(OR(NOT(ISNUMBER(D2325)),N(D2325)&lt;=0),"Quantité invalide",IF(J2325="","Prix manquant",IF(OR(NOT(ISNUMBER(J2325)),N(J2325)&lt;0),"Prix invalide",IF(OR(AND(F2325&lt;&gt;"",NOT(ISNUMBER(F2325))),N(F2325)&lt;0,N(F2325)&gt;1),"Remise invalide",IF(K2325="","Taux de TVA manquant",IF(NOT(ISNUMBER(K2325)),"Taux de TVA invalide",IF(COUNTIF(p_rates,K2325)=0,"Taux de TVA hors liste (Paramètres)",IF(N(O2325)&gt;25,"Au-delà de 25 lignes : non imprimée","OK")))))))))))))</f>
        <v/>
      </c>
      <c r="O2325" s="59" t="str">
        <f>IF(A2325="","",COUNTIF($A$6:A2325,A2325))</f>
        <v/>
      </c>
      <c r="P2325" s="62" t="str">
        <f>IF(A2325="","",A2325&amp;"|"&amp;O2325)</f>
        <v/>
      </c>
    </row>
    <row r="2326">
      <c r="A2326" s="60" t="n"/>
      <c r="B2326" s="63" t="n"/>
      <c r="C2326" s="63" t="n"/>
      <c r="D2326" s="67" t="n"/>
      <c r="E2326" s="68" t="n"/>
      <c r="F2326" s="69" t="n"/>
      <c r="G2326" s="70" t="n"/>
      <c r="H2326" s="62" t="str">
        <f>IF(COUNTA(A2326:G2326)=0,"",IF(C2326&lt;&gt;"",C2326,IF(B2326="","",IFERROR(INDEX(pr_des,MATCH(B2326,pr_code,0))&amp;"",""))))</f>
        <v/>
      </c>
      <c r="I2326" s="59" t="str">
        <f>IF(B2326="","",IFERROR(INDEX(pr_unit,MATCH(B2326,pr_code,0))&amp;"",""))</f>
        <v/>
      </c>
      <c r="J2326" s="65" t="str">
        <f>IF(COUNTA(A2326:G2326)=0,"",IF(E2326&lt;&gt;"",E2326,IF(B2326="","",IFERROR(IF(INDEX(pr_price,MATCH(B2326,pr_code,0))="","",INDEX(pr_price,MATCH(B2326,pr_code,0))),""))))</f>
        <v/>
      </c>
      <c r="K2326" s="71" t="str">
        <f>IF(COUNTA(A2326:G2326)=0,"",IF(G2326&lt;&gt;"",G2326,IF(B2326="","",IFERROR(IF(INDEX(pr_rate,MATCH(B2326,pr_code,0))="","",INDEX(pr_rate,MATCH(B2326,pr_code,0))),""))))</f>
        <v/>
      </c>
      <c r="L2326" s="65" t="str">
        <f>IF(COUNTA(A2326:G2326)=0,"",IF(AND(ISNUMBER(D2326),ISNUMBER(J2326)),ROUND(D2326*J2326*(1-N(F2326)),2),0))</f>
        <v/>
      </c>
      <c r="M2326" s="62" t="str">
        <f>IF(A2326="","",IFERROR(INDEX(dv_cname,MATCH(A2326,dv_num,0))&amp;"",""))</f>
        <v/>
      </c>
      <c r="N2326" s="59" t="str">
        <f>IF(COUNTA(A2326:G2326)=0,"",IF(A2326="","N° devis manquant",IF(ISNA(MATCH(A2326,dv_num,0)),"Devis inconnu",IF(AND(B2326&lt;&gt;"",ISNA(MATCH(B2326,pr_code,0))),"Article inconnu",IF(H2326="","Désignation manquante",IF(OR(NOT(ISNUMBER(D2326)),N(D2326)&lt;=0),"Quantité invalide",IF(J2326="","Prix manquant",IF(OR(NOT(ISNUMBER(J2326)),N(J2326)&lt;0),"Prix invalide",IF(OR(AND(F2326&lt;&gt;"",NOT(ISNUMBER(F2326))),N(F2326)&lt;0,N(F2326)&gt;1),"Remise invalide",IF(K2326="","Taux de TVA manquant",IF(NOT(ISNUMBER(K2326)),"Taux de TVA invalide",IF(COUNTIF(p_rates,K2326)=0,"Taux de TVA hors liste (Paramètres)",IF(N(O2326)&gt;25,"Au-delà de 25 lignes : non imprimée","OK")))))))))))))</f>
        <v/>
      </c>
      <c r="O2326" s="59" t="str">
        <f>IF(A2326="","",COUNTIF($A$6:A2326,A2326))</f>
        <v/>
      </c>
      <c r="P2326" s="62" t="str">
        <f>IF(A2326="","",A2326&amp;"|"&amp;O2326)</f>
        <v/>
      </c>
    </row>
    <row r="2327">
      <c r="A2327" s="60" t="n"/>
      <c r="B2327" s="63" t="n"/>
      <c r="C2327" s="63" t="n"/>
      <c r="D2327" s="67" t="n"/>
      <c r="E2327" s="68" t="n"/>
      <c r="F2327" s="69" t="n"/>
      <c r="G2327" s="70" t="n"/>
      <c r="H2327" s="62" t="str">
        <f>IF(COUNTA(A2327:G2327)=0,"",IF(C2327&lt;&gt;"",C2327,IF(B2327="","",IFERROR(INDEX(pr_des,MATCH(B2327,pr_code,0))&amp;"",""))))</f>
        <v/>
      </c>
      <c r="I2327" s="59" t="str">
        <f>IF(B2327="","",IFERROR(INDEX(pr_unit,MATCH(B2327,pr_code,0))&amp;"",""))</f>
        <v/>
      </c>
      <c r="J2327" s="65" t="str">
        <f>IF(COUNTA(A2327:G2327)=0,"",IF(E2327&lt;&gt;"",E2327,IF(B2327="","",IFERROR(IF(INDEX(pr_price,MATCH(B2327,pr_code,0))="","",INDEX(pr_price,MATCH(B2327,pr_code,0))),""))))</f>
        <v/>
      </c>
      <c r="K2327" s="71" t="str">
        <f>IF(COUNTA(A2327:G2327)=0,"",IF(G2327&lt;&gt;"",G2327,IF(B2327="","",IFERROR(IF(INDEX(pr_rate,MATCH(B2327,pr_code,0))="","",INDEX(pr_rate,MATCH(B2327,pr_code,0))),""))))</f>
        <v/>
      </c>
      <c r="L2327" s="65" t="str">
        <f>IF(COUNTA(A2327:G2327)=0,"",IF(AND(ISNUMBER(D2327),ISNUMBER(J2327)),ROUND(D2327*J2327*(1-N(F2327)),2),0))</f>
        <v/>
      </c>
      <c r="M2327" s="62" t="str">
        <f>IF(A2327="","",IFERROR(INDEX(dv_cname,MATCH(A2327,dv_num,0))&amp;"",""))</f>
        <v/>
      </c>
      <c r="N2327" s="59" t="str">
        <f>IF(COUNTA(A2327:G2327)=0,"",IF(A2327="","N° devis manquant",IF(ISNA(MATCH(A2327,dv_num,0)),"Devis inconnu",IF(AND(B2327&lt;&gt;"",ISNA(MATCH(B2327,pr_code,0))),"Article inconnu",IF(H2327="","Désignation manquante",IF(OR(NOT(ISNUMBER(D2327)),N(D2327)&lt;=0),"Quantité invalide",IF(J2327="","Prix manquant",IF(OR(NOT(ISNUMBER(J2327)),N(J2327)&lt;0),"Prix invalide",IF(OR(AND(F2327&lt;&gt;"",NOT(ISNUMBER(F2327))),N(F2327)&lt;0,N(F2327)&gt;1),"Remise invalide",IF(K2327="","Taux de TVA manquant",IF(NOT(ISNUMBER(K2327)),"Taux de TVA invalide",IF(COUNTIF(p_rates,K2327)=0,"Taux de TVA hors liste (Paramètres)",IF(N(O2327)&gt;25,"Au-delà de 25 lignes : non imprimée","OK")))))))))))))</f>
        <v/>
      </c>
      <c r="O2327" s="59" t="str">
        <f>IF(A2327="","",COUNTIF($A$6:A2327,A2327))</f>
        <v/>
      </c>
      <c r="P2327" s="62" t="str">
        <f>IF(A2327="","",A2327&amp;"|"&amp;O2327)</f>
        <v/>
      </c>
    </row>
    <row r="2328">
      <c r="A2328" s="60" t="n"/>
      <c r="B2328" s="63" t="n"/>
      <c r="C2328" s="63" t="n"/>
      <c r="D2328" s="67" t="n"/>
      <c r="E2328" s="68" t="n"/>
      <c r="F2328" s="69" t="n"/>
      <c r="G2328" s="70" t="n"/>
      <c r="H2328" s="62" t="str">
        <f>IF(COUNTA(A2328:G2328)=0,"",IF(C2328&lt;&gt;"",C2328,IF(B2328="","",IFERROR(INDEX(pr_des,MATCH(B2328,pr_code,0))&amp;"",""))))</f>
        <v/>
      </c>
      <c r="I2328" s="59" t="str">
        <f>IF(B2328="","",IFERROR(INDEX(pr_unit,MATCH(B2328,pr_code,0))&amp;"",""))</f>
        <v/>
      </c>
      <c r="J2328" s="65" t="str">
        <f>IF(COUNTA(A2328:G2328)=0,"",IF(E2328&lt;&gt;"",E2328,IF(B2328="","",IFERROR(IF(INDEX(pr_price,MATCH(B2328,pr_code,0))="","",INDEX(pr_price,MATCH(B2328,pr_code,0))),""))))</f>
        <v/>
      </c>
      <c r="K2328" s="71" t="str">
        <f>IF(COUNTA(A2328:G2328)=0,"",IF(G2328&lt;&gt;"",G2328,IF(B2328="","",IFERROR(IF(INDEX(pr_rate,MATCH(B2328,pr_code,0))="","",INDEX(pr_rate,MATCH(B2328,pr_code,0))),""))))</f>
        <v/>
      </c>
      <c r="L2328" s="65" t="str">
        <f>IF(COUNTA(A2328:G2328)=0,"",IF(AND(ISNUMBER(D2328),ISNUMBER(J2328)),ROUND(D2328*J2328*(1-N(F2328)),2),0))</f>
        <v/>
      </c>
      <c r="M2328" s="62" t="str">
        <f>IF(A2328="","",IFERROR(INDEX(dv_cname,MATCH(A2328,dv_num,0))&amp;"",""))</f>
        <v/>
      </c>
      <c r="N2328" s="59" t="str">
        <f>IF(COUNTA(A2328:G2328)=0,"",IF(A2328="","N° devis manquant",IF(ISNA(MATCH(A2328,dv_num,0)),"Devis inconnu",IF(AND(B2328&lt;&gt;"",ISNA(MATCH(B2328,pr_code,0))),"Article inconnu",IF(H2328="","Désignation manquante",IF(OR(NOT(ISNUMBER(D2328)),N(D2328)&lt;=0),"Quantité invalide",IF(J2328="","Prix manquant",IF(OR(NOT(ISNUMBER(J2328)),N(J2328)&lt;0),"Prix invalide",IF(OR(AND(F2328&lt;&gt;"",NOT(ISNUMBER(F2328))),N(F2328)&lt;0,N(F2328)&gt;1),"Remise invalide",IF(K2328="","Taux de TVA manquant",IF(NOT(ISNUMBER(K2328)),"Taux de TVA invalide",IF(COUNTIF(p_rates,K2328)=0,"Taux de TVA hors liste (Paramètres)",IF(N(O2328)&gt;25,"Au-delà de 25 lignes : non imprimée","OK")))))))))))))</f>
        <v/>
      </c>
      <c r="O2328" s="59" t="str">
        <f>IF(A2328="","",COUNTIF($A$6:A2328,A2328))</f>
        <v/>
      </c>
      <c r="P2328" s="62" t="str">
        <f>IF(A2328="","",A2328&amp;"|"&amp;O2328)</f>
        <v/>
      </c>
    </row>
    <row r="2329">
      <c r="A2329" s="60" t="n"/>
      <c r="B2329" s="63" t="n"/>
      <c r="C2329" s="63" t="n"/>
      <c r="D2329" s="67" t="n"/>
      <c r="E2329" s="68" t="n"/>
      <c r="F2329" s="69" t="n"/>
      <c r="G2329" s="70" t="n"/>
      <c r="H2329" s="62" t="str">
        <f>IF(COUNTA(A2329:G2329)=0,"",IF(C2329&lt;&gt;"",C2329,IF(B2329="","",IFERROR(INDEX(pr_des,MATCH(B2329,pr_code,0))&amp;"",""))))</f>
        <v/>
      </c>
      <c r="I2329" s="59" t="str">
        <f>IF(B2329="","",IFERROR(INDEX(pr_unit,MATCH(B2329,pr_code,0))&amp;"",""))</f>
        <v/>
      </c>
      <c r="J2329" s="65" t="str">
        <f>IF(COUNTA(A2329:G2329)=0,"",IF(E2329&lt;&gt;"",E2329,IF(B2329="","",IFERROR(IF(INDEX(pr_price,MATCH(B2329,pr_code,0))="","",INDEX(pr_price,MATCH(B2329,pr_code,0))),""))))</f>
        <v/>
      </c>
      <c r="K2329" s="71" t="str">
        <f>IF(COUNTA(A2329:G2329)=0,"",IF(G2329&lt;&gt;"",G2329,IF(B2329="","",IFERROR(IF(INDEX(pr_rate,MATCH(B2329,pr_code,0))="","",INDEX(pr_rate,MATCH(B2329,pr_code,0))),""))))</f>
        <v/>
      </c>
      <c r="L2329" s="65" t="str">
        <f>IF(COUNTA(A2329:G2329)=0,"",IF(AND(ISNUMBER(D2329),ISNUMBER(J2329)),ROUND(D2329*J2329*(1-N(F2329)),2),0))</f>
        <v/>
      </c>
      <c r="M2329" s="62" t="str">
        <f>IF(A2329="","",IFERROR(INDEX(dv_cname,MATCH(A2329,dv_num,0))&amp;"",""))</f>
        <v/>
      </c>
      <c r="N2329" s="59" t="str">
        <f>IF(COUNTA(A2329:G2329)=0,"",IF(A2329="","N° devis manquant",IF(ISNA(MATCH(A2329,dv_num,0)),"Devis inconnu",IF(AND(B2329&lt;&gt;"",ISNA(MATCH(B2329,pr_code,0))),"Article inconnu",IF(H2329="","Désignation manquante",IF(OR(NOT(ISNUMBER(D2329)),N(D2329)&lt;=0),"Quantité invalide",IF(J2329="","Prix manquant",IF(OR(NOT(ISNUMBER(J2329)),N(J2329)&lt;0),"Prix invalide",IF(OR(AND(F2329&lt;&gt;"",NOT(ISNUMBER(F2329))),N(F2329)&lt;0,N(F2329)&gt;1),"Remise invalide",IF(K2329="","Taux de TVA manquant",IF(NOT(ISNUMBER(K2329)),"Taux de TVA invalide",IF(COUNTIF(p_rates,K2329)=0,"Taux de TVA hors liste (Paramètres)",IF(N(O2329)&gt;25,"Au-delà de 25 lignes : non imprimée","OK")))))))))))))</f>
        <v/>
      </c>
      <c r="O2329" s="59" t="str">
        <f>IF(A2329="","",COUNTIF($A$6:A2329,A2329))</f>
        <v/>
      </c>
      <c r="P2329" s="62" t="str">
        <f>IF(A2329="","",A2329&amp;"|"&amp;O2329)</f>
        <v/>
      </c>
    </row>
    <row r="2330">
      <c r="A2330" s="60" t="n"/>
      <c r="B2330" s="63" t="n"/>
      <c r="C2330" s="63" t="n"/>
      <c r="D2330" s="67" t="n"/>
      <c r="E2330" s="68" t="n"/>
      <c r="F2330" s="69" t="n"/>
      <c r="G2330" s="70" t="n"/>
      <c r="H2330" s="62" t="str">
        <f>IF(COUNTA(A2330:G2330)=0,"",IF(C2330&lt;&gt;"",C2330,IF(B2330="","",IFERROR(INDEX(pr_des,MATCH(B2330,pr_code,0))&amp;"",""))))</f>
        <v/>
      </c>
      <c r="I2330" s="59" t="str">
        <f>IF(B2330="","",IFERROR(INDEX(pr_unit,MATCH(B2330,pr_code,0))&amp;"",""))</f>
        <v/>
      </c>
      <c r="J2330" s="65" t="str">
        <f>IF(COUNTA(A2330:G2330)=0,"",IF(E2330&lt;&gt;"",E2330,IF(B2330="","",IFERROR(IF(INDEX(pr_price,MATCH(B2330,pr_code,0))="","",INDEX(pr_price,MATCH(B2330,pr_code,0))),""))))</f>
        <v/>
      </c>
      <c r="K2330" s="71" t="str">
        <f>IF(COUNTA(A2330:G2330)=0,"",IF(G2330&lt;&gt;"",G2330,IF(B2330="","",IFERROR(IF(INDEX(pr_rate,MATCH(B2330,pr_code,0))="","",INDEX(pr_rate,MATCH(B2330,pr_code,0))),""))))</f>
        <v/>
      </c>
      <c r="L2330" s="65" t="str">
        <f>IF(COUNTA(A2330:G2330)=0,"",IF(AND(ISNUMBER(D2330),ISNUMBER(J2330)),ROUND(D2330*J2330*(1-N(F2330)),2),0))</f>
        <v/>
      </c>
      <c r="M2330" s="62" t="str">
        <f>IF(A2330="","",IFERROR(INDEX(dv_cname,MATCH(A2330,dv_num,0))&amp;"",""))</f>
        <v/>
      </c>
      <c r="N2330" s="59" t="str">
        <f>IF(COUNTA(A2330:G2330)=0,"",IF(A2330="","N° devis manquant",IF(ISNA(MATCH(A2330,dv_num,0)),"Devis inconnu",IF(AND(B2330&lt;&gt;"",ISNA(MATCH(B2330,pr_code,0))),"Article inconnu",IF(H2330="","Désignation manquante",IF(OR(NOT(ISNUMBER(D2330)),N(D2330)&lt;=0),"Quantité invalide",IF(J2330="","Prix manquant",IF(OR(NOT(ISNUMBER(J2330)),N(J2330)&lt;0),"Prix invalide",IF(OR(AND(F2330&lt;&gt;"",NOT(ISNUMBER(F2330))),N(F2330)&lt;0,N(F2330)&gt;1),"Remise invalide",IF(K2330="","Taux de TVA manquant",IF(NOT(ISNUMBER(K2330)),"Taux de TVA invalide",IF(COUNTIF(p_rates,K2330)=0,"Taux de TVA hors liste (Paramètres)",IF(N(O2330)&gt;25,"Au-delà de 25 lignes : non imprimée","OK")))))))))))))</f>
        <v/>
      </c>
      <c r="O2330" s="59" t="str">
        <f>IF(A2330="","",COUNTIF($A$6:A2330,A2330))</f>
        <v/>
      </c>
      <c r="P2330" s="62" t="str">
        <f>IF(A2330="","",A2330&amp;"|"&amp;O2330)</f>
        <v/>
      </c>
    </row>
    <row r="2331">
      <c r="A2331" s="60" t="n"/>
      <c r="B2331" s="63" t="n"/>
      <c r="C2331" s="63" t="n"/>
      <c r="D2331" s="67" t="n"/>
      <c r="E2331" s="68" t="n"/>
      <c r="F2331" s="69" t="n"/>
      <c r="G2331" s="70" t="n"/>
      <c r="H2331" s="62" t="str">
        <f>IF(COUNTA(A2331:G2331)=0,"",IF(C2331&lt;&gt;"",C2331,IF(B2331="","",IFERROR(INDEX(pr_des,MATCH(B2331,pr_code,0))&amp;"",""))))</f>
        <v/>
      </c>
      <c r="I2331" s="59" t="str">
        <f>IF(B2331="","",IFERROR(INDEX(pr_unit,MATCH(B2331,pr_code,0))&amp;"",""))</f>
        <v/>
      </c>
      <c r="J2331" s="65" t="str">
        <f>IF(COUNTA(A2331:G2331)=0,"",IF(E2331&lt;&gt;"",E2331,IF(B2331="","",IFERROR(IF(INDEX(pr_price,MATCH(B2331,pr_code,0))="","",INDEX(pr_price,MATCH(B2331,pr_code,0))),""))))</f>
        <v/>
      </c>
      <c r="K2331" s="71" t="str">
        <f>IF(COUNTA(A2331:G2331)=0,"",IF(G2331&lt;&gt;"",G2331,IF(B2331="","",IFERROR(IF(INDEX(pr_rate,MATCH(B2331,pr_code,0))="","",INDEX(pr_rate,MATCH(B2331,pr_code,0))),""))))</f>
        <v/>
      </c>
      <c r="L2331" s="65" t="str">
        <f>IF(COUNTA(A2331:G2331)=0,"",IF(AND(ISNUMBER(D2331),ISNUMBER(J2331)),ROUND(D2331*J2331*(1-N(F2331)),2),0))</f>
        <v/>
      </c>
      <c r="M2331" s="62" t="str">
        <f>IF(A2331="","",IFERROR(INDEX(dv_cname,MATCH(A2331,dv_num,0))&amp;"",""))</f>
        <v/>
      </c>
      <c r="N2331" s="59" t="str">
        <f>IF(COUNTA(A2331:G2331)=0,"",IF(A2331="","N° devis manquant",IF(ISNA(MATCH(A2331,dv_num,0)),"Devis inconnu",IF(AND(B2331&lt;&gt;"",ISNA(MATCH(B2331,pr_code,0))),"Article inconnu",IF(H2331="","Désignation manquante",IF(OR(NOT(ISNUMBER(D2331)),N(D2331)&lt;=0),"Quantité invalide",IF(J2331="","Prix manquant",IF(OR(NOT(ISNUMBER(J2331)),N(J2331)&lt;0),"Prix invalide",IF(OR(AND(F2331&lt;&gt;"",NOT(ISNUMBER(F2331))),N(F2331)&lt;0,N(F2331)&gt;1),"Remise invalide",IF(K2331="","Taux de TVA manquant",IF(NOT(ISNUMBER(K2331)),"Taux de TVA invalide",IF(COUNTIF(p_rates,K2331)=0,"Taux de TVA hors liste (Paramètres)",IF(N(O2331)&gt;25,"Au-delà de 25 lignes : non imprimée","OK")))))))))))))</f>
        <v/>
      </c>
      <c r="O2331" s="59" t="str">
        <f>IF(A2331="","",COUNTIF($A$6:A2331,A2331))</f>
        <v/>
      </c>
      <c r="P2331" s="62" t="str">
        <f>IF(A2331="","",A2331&amp;"|"&amp;O2331)</f>
        <v/>
      </c>
    </row>
    <row r="2332">
      <c r="A2332" s="60" t="n"/>
      <c r="B2332" s="63" t="n"/>
      <c r="C2332" s="63" t="n"/>
      <c r="D2332" s="67" t="n"/>
      <c r="E2332" s="68" t="n"/>
      <c r="F2332" s="69" t="n"/>
      <c r="G2332" s="70" t="n"/>
      <c r="H2332" s="62" t="str">
        <f>IF(COUNTA(A2332:G2332)=0,"",IF(C2332&lt;&gt;"",C2332,IF(B2332="","",IFERROR(INDEX(pr_des,MATCH(B2332,pr_code,0))&amp;"",""))))</f>
        <v/>
      </c>
      <c r="I2332" s="59" t="str">
        <f>IF(B2332="","",IFERROR(INDEX(pr_unit,MATCH(B2332,pr_code,0))&amp;"",""))</f>
        <v/>
      </c>
      <c r="J2332" s="65" t="str">
        <f>IF(COUNTA(A2332:G2332)=0,"",IF(E2332&lt;&gt;"",E2332,IF(B2332="","",IFERROR(IF(INDEX(pr_price,MATCH(B2332,pr_code,0))="","",INDEX(pr_price,MATCH(B2332,pr_code,0))),""))))</f>
        <v/>
      </c>
      <c r="K2332" s="71" t="str">
        <f>IF(COUNTA(A2332:G2332)=0,"",IF(G2332&lt;&gt;"",G2332,IF(B2332="","",IFERROR(IF(INDEX(pr_rate,MATCH(B2332,pr_code,0))="","",INDEX(pr_rate,MATCH(B2332,pr_code,0))),""))))</f>
        <v/>
      </c>
      <c r="L2332" s="65" t="str">
        <f>IF(COUNTA(A2332:G2332)=0,"",IF(AND(ISNUMBER(D2332),ISNUMBER(J2332)),ROUND(D2332*J2332*(1-N(F2332)),2),0))</f>
        <v/>
      </c>
      <c r="M2332" s="62" t="str">
        <f>IF(A2332="","",IFERROR(INDEX(dv_cname,MATCH(A2332,dv_num,0))&amp;"",""))</f>
        <v/>
      </c>
      <c r="N2332" s="59" t="str">
        <f>IF(COUNTA(A2332:G2332)=0,"",IF(A2332="","N° devis manquant",IF(ISNA(MATCH(A2332,dv_num,0)),"Devis inconnu",IF(AND(B2332&lt;&gt;"",ISNA(MATCH(B2332,pr_code,0))),"Article inconnu",IF(H2332="","Désignation manquante",IF(OR(NOT(ISNUMBER(D2332)),N(D2332)&lt;=0),"Quantité invalide",IF(J2332="","Prix manquant",IF(OR(NOT(ISNUMBER(J2332)),N(J2332)&lt;0),"Prix invalide",IF(OR(AND(F2332&lt;&gt;"",NOT(ISNUMBER(F2332))),N(F2332)&lt;0,N(F2332)&gt;1),"Remise invalide",IF(K2332="","Taux de TVA manquant",IF(NOT(ISNUMBER(K2332)),"Taux de TVA invalide",IF(COUNTIF(p_rates,K2332)=0,"Taux de TVA hors liste (Paramètres)",IF(N(O2332)&gt;25,"Au-delà de 25 lignes : non imprimée","OK")))))))))))))</f>
        <v/>
      </c>
      <c r="O2332" s="59" t="str">
        <f>IF(A2332="","",COUNTIF($A$6:A2332,A2332))</f>
        <v/>
      </c>
      <c r="P2332" s="62" t="str">
        <f>IF(A2332="","",A2332&amp;"|"&amp;O2332)</f>
        <v/>
      </c>
    </row>
    <row r="2333">
      <c r="A2333" s="60" t="n"/>
      <c r="B2333" s="63" t="n"/>
      <c r="C2333" s="63" t="n"/>
      <c r="D2333" s="67" t="n"/>
      <c r="E2333" s="68" t="n"/>
      <c r="F2333" s="69" t="n"/>
      <c r="G2333" s="70" t="n"/>
      <c r="H2333" s="62" t="str">
        <f>IF(COUNTA(A2333:G2333)=0,"",IF(C2333&lt;&gt;"",C2333,IF(B2333="","",IFERROR(INDEX(pr_des,MATCH(B2333,pr_code,0))&amp;"",""))))</f>
        <v/>
      </c>
      <c r="I2333" s="59" t="str">
        <f>IF(B2333="","",IFERROR(INDEX(pr_unit,MATCH(B2333,pr_code,0))&amp;"",""))</f>
        <v/>
      </c>
      <c r="J2333" s="65" t="str">
        <f>IF(COUNTA(A2333:G2333)=0,"",IF(E2333&lt;&gt;"",E2333,IF(B2333="","",IFERROR(IF(INDEX(pr_price,MATCH(B2333,pr_code,0))="","",INDEX(pr_price,MATCH(B2333,pr_code,0))),""))))</f>
        <v/>
      </c>
      <c r="K2333" s="71" t="str">
        <f>IF(COUNTA(A2333:G2333)=0,"",IF(G2333&lt;&gt;"",G2333,IF(B2333="","",IFERROR(IF(INDEX(pr_rate,MATCH(B2333,pr_code,0))="","",INDEX(pr_rate,MATCH(B2333,pr_code,0))),""))))</f>
        <v/>
      </c>
      <c r="L2333" s="65" t="str">
        <f>IF(COUNTA(A2333:G2333)=0,"",IF(AND(ISNUMBER(D2333),ISNUMBER(J2333)),ROUND(D2333*J2333*(1-N(F2333)),2),0))</f>
        <v/>
      </c>
      <c r="M2333" s="62" t="str">
        <f>IF(A2333="","",IFERROR(INDEX(dv_cname,MATCH(A2333,dv_num,0))&amp;"",""))</f>
        <v/>
      </c>
      <c r="N2333" s="59" t="str">
        <f>IF(COUNTA(A2333:G2333)=0,"",IF(A2333="","N° devis manquant",IF(ISNA(MATCH(A2333,dv_num,0)),"Devis inconnu",IF(AND(B2333&lt;&gt;"",ISNA(MATCH(B2333,pr_code,0))),"Article inconnu",IF(H2333="","Désignation manquante",IF(OR(NOT(ISNUMBER(D2333)),N(D2333)&lt;=0),"Quantité invalide",IF(J2333="","Prix manquant",IF(OR(NOT(ISNUMBER(J2333)),N(J2333)&lt;0),"Prix invalide",IF(OR(AND(F2333&lt;&gt;"",NOT(ISNUMBER(F2333))),N(F2333)&lt;0,N(F2333)&gt;1),"Remise invalide",IF(K2333="","Taux de TVA manquant",IF(NOT(ISNUMBER(K2333)),"Taux de TVA invalide",IF(COUNTIF(p_rates,K2333)=0,"Taux de TVA hors liste (Paramètres)",IF(N(O2333)&gt;25,"Au-delà de 25 lignes : non imprimée","OK")))))))))))))</f>
        <v/>
      </c>
      <c r="O2333" s="59" t="str">
        <f>IF(A2333="","",COUNTIF($A$6:A2333,A2333))</f>
        <v/>
      </c>
      <c r="P2333" s="62" t="str">
        <f>IF(A2333="","",A2333&amp;"|"&amp;O2333)</f>
        <v/>
      </c>
    </row>
    <row r="2334">
      <c r="A2334" s="60" t="n"/>
      <c r="B2334" s="63" t="n"/>
      <c r="C2334" s="63" t="n"/>
      <c r="D2334" s="67" t="n"/>
      <c r="E2334" s="68" t="n"/>
      <c r="F2334" s="69" t="n"/>
      <c r="G2334" s="70" t="n"/>
      <c r="H2334" s="62" t="str">
        <f>IF(COUNTA(A2334:G2334)=0,"",IF(C2334&lt;&gt;"",C2334,IF(B2334="","",IFERROR(INDEX(pr_des,MATCH(B2334,pr_code,0))&amp;"",""))))</f>
        <v/>
      </c>
      <c r="I2334" s="59" t="str">
        <f>IF(B2334="","",IFERROR(INDEX(pr_unit,MATCH(B2334,pr_code,0))&amp;"",""))</f>
        <v/>
      </c>
      <c r="J2334" s="65" t="str">
        <f>IF(COUNTA(A2334:G2334)=0,"",IF(E2334&lt;&gt;"",E2334,IF(B2334="","",IFERROR(IF(INDEX(pr_price,MATCH(B2334,pr_code,0))="","",INDEX(pr_price,MATCH(B2334,pr_code,0))),""))))</f>
        <v/>
      </c>
      <c r="K2334" s="71" t="str">
        <f>IF(COUNTA(A2334:G2334)=0,"",IF(G2334&lt;&gt;"",G2334,IF(B2334="","",IFERROR(IF(INDEX(pr_rate,MATCH(B2334,pr_code,0))="","",INDEX(pr_rate,MATCH(B2334,pr_code,0))),""))))</f>
        <v/>
      </c>
      <c r="L2334" s="65" t="str">
        <f>IF(COUNTA(A2334:G2334)=0,"",IF(AND(ISNUMBER(D2334),ISNUMBER(J2334)),ROUND(D2334*J2334*(1-N(F2334)),2),0))</f>
        <v/>
      </c>
      <c r="M2334" s="62" t="str">
        <f>IF(A2334="","",IFERROR(INDEX(dv_cname,MATCH(A2334,dv_num,0))&amp;"",""))</f>
        <v/>
      </c>
      <c r="N2334" s="59" t="str">
        <f>IF(COUNTA(A2334:G2334)=0,"",IF(A2334="","N° devis manquant",IF(ISNA(MATCH(A2334,dv_num,0)),"Devis inconnu",IF(AND(B2334&lt;&gt;"",ISNA(MATCH(B2334,pr_code,0))),"Article inconnu",IF(H2334="","Désignation manquante",IF(OR(NOT(ISNUMBER(D2334)),N(D2334)&lt;=0),"Quantité invalide",IF(J2334="","Prix manquant",IF(OR(NOT(ISNUMBER(J2334)),N(J2334)&lt;0),"Prix invalide",IF(OR(AND(F2334&lt;&gt;"",NOT(ISNUMBER(F2334))),N(F2334)&lt;0,N(F2334)&gt;1),"Remise invalide",IF(K2334="","Taux de TVA manquant",IF(NOT(ISNUMBER(K2334)),"Taux de TVA invalide",IF(COUNTIF(p_rates,K2334)=0,"Taux de TVA hors liste (Paramètres)",IF(N(O2334)&gt;25,"Au-delà de 25 lignes : non imprimée","OK")))))))))))))</f>
        <v/>
      </c>
      <c r="O2334" s="59" t="str">
        <f>IF(A2334="","",COUNTIF($A$6:A2334,A2334))</f>
        <v/>
      </c>
      <c r="P2334" s="62" t="str">
        <f>IF(A2334="","",A2334&amp;"|"&amp;O2334)</f>
        <v/>
      </c>
    </row>
    <row r="2335">
      <c r="A2335" s="60" t="n"/>
      <c r="B2335" s="63" t="n"/>
      <c r="C2335" s="63" t="n"/>
      <c r="D2335" s="67" t="n"/>
      <c r="E2335" s="68" t="n"/>
      <c r="F2335" s="69" t="n"/>
      <c r="G2335" s="70" t="n"/>
      <c r="H2335" s="62" t="str">
        <f>IF(COUNTA(A2335:G2335)=0,"",IF(C2335&lt;&gt;"",C2335,IF(B2335="","",IFERROR(INDEX(pr_des,MATCH(B2335,pr_code,0))&amp;"",""))))</f>
        <v/>
      </c>
      <c r="I2335" s="59" t="str">
        <f>IF(B2335="","",IFERROR(INDEX(pr_unit,MATCH(B2335,pr_code,0))&amp;"",""))</f>
        <v/>
      </c>
      <c r="J2335" s="65" t="str">
        <f>IF(COUNTA(A2335:G2335)=0,"",IF(E2335&lt;&gt;"",E2335,IF(B2335="","",IFERROR(IF(INDEX(pr_price,MATCH(B2335,pr_code,0))="","",INDEX(pr_price,MATCH(B2335,pr_code,0))),""))))</f>
        <v/>
      </c>
      <c r="K2335" s="71" t="str">
        <f>IF(COUNTA(A2335:G2335)=0,"",IF(G2335&lt;&gt;"",G2335,IF(B2335="","",IFERROR(IF(INDEX(pr_rate,MATCH(B2335,pr_code,0))="","",INDEX(pr_rate,MATCH(B2335,pr_code,0))),""))))</f>
        <v/>
      </c>
      <c r="L2335" s="65" t="str">
        <f>IF(COUNTA(A2335:G2335)=0,"",IF(AND(ISNUMBER(D2335),ISNUMBER(J2335)),ROUND(D2335*J2335*(1-N(F2335)),2),0))</f>
        <v/>
      </c>
      <c r="M2335" s="62" t="str">
        <f>IF(A2335="","",IFERROR(INDEX(dv_cname,MATCH(A2335,dv_num,0))&amp;"",""))</f>
        <v/>
      </c>
      <c r="N2335" s="59" t="str">
        <f>IF(COUNTA(A2335:G2335)=0,"",IF(A2335="","N° devis manquant",IF(ISNA(MATCH(A2335,dv_num,0)),"Devis inconnu",IF(AND(B2335&lt;&gt;"",ISNA(MATCH(B2335,pr_code,0))),"Article inconnu",IF(H2335="","Désignation manquante",IF(OR(NOT(ISNUMBER(D2335)),N(D2335)&lt;=0),"Quantité invalide",IF(J2335="","Prix manquant",IF(OR(NOT(ISNUMBER(J2335)),N(J2335)&lt;0),"Prix invalide",IF(OR(AND(F2335&lt;&gt;"",NOT(ISNUMBER(F2335))),N(F2335)&lt;0,N(F2335)&gt;1),"Remise invalide",IF(K2335="","Taux de TVA manquant",IF(NOT(ISNUMBER(K2335)),"Taux de TVA invalide",IF(COUNTIF(p_rates,K2335)=0,"Taux de TVA hors liste (Paramètres)",IF(N(O2335)&gt;25,"Au-delà de 25 lignes : non imprimée","OK")))))))))))))</f>
        <v/>
      </c>
      <c r="O2335" s="59" t="str">
        <f>IF(A2335="","",COUNTIF($A$6:A2335,A2335))</f>
        <v/>
      </c>
      <c r="P2335" s="62" t="str">
        <f>IF(A2335="","",A2335&amp;"|"&amp;O2335)</f>
        <v/>
      </c>
    </row>
    <row r="2336">
      <c r="A2336" s="60" t="n"/>
      <c r="B2336" s="63" t="n"/>
      <c r="C2336" s="63" t="n"/>
      <c r="D2336" s="67" t="n"/>
      <c r="E2336" s="68" t="n"/>
      <c r="F2336" s="69" t="n"/>
      <c r="G2336" s="70" t="n"/>
      <c r="H2336" s="62" t="str">
        <f>IF(COUNTA(A2336:G2336)=0,"",IF(C2336&lt;&gt;"",C2336,IF(B2336="","",IFERROR(INDEX(pr_des,MATCH(B2336,pr_code,0))&amp;"",""))))</f>
        <v/>
      </c>
      <c r="I2336" s="59" t="str">
        <f>IF(B2336="","",IFERROR(INDEX(pr_unit,MATCH(B2336,pr_code,0))&amp;"",""))</f>
        <v/>
      </c>
      <c r="J2336" s="65" t="str">
        <f>IF(COUNTA(A2336:G2336)=0,"",IF(E2336&lt;&gt;"",E2336,IF(B2336="","",IFERROR(IF(INDEX(pr_price,MATCH(B2336,pr_code,0))="","",INDEX(pr_price,MATCH(B2336,pr_code,0))),""))))</f>
        <v/>
      </c>
      <c r="K2336" s="71" t="str">
        <f>IF(COUNTA(A2336:G2336)=0,"",IF(G2336&lt;&gt;"",G2336,IF(B2336="","",IFERROR(IF(INDEX(pr_rate,MATCH(B2336,pr_code,0))="","",INDEX(pr_rate,MATCH(B2336,pr_code,0))),""))))</f>
        <v/>
      </c>
      <c r="L2336" s="65" t="str">
        <f>IF(COUNTA(A2336:G2336)=0,"",IF(AND(ISNUMBER(D2336),ISNUMBER(J2336)),ROUND(D2336*J2336*(1-N(F2336)),2),0))</f>
        <v/>
      </c>
      <c r="M2336" s="62" t="str">
        <f>IF(A2336="","",IFERROR(INDEX(dv_cname,MATCH(A2336,dv_num,0))&amp;"",""))</f>
        <v/>
      </c>
      <c r="N2336" s="59" t="str">
        <f>IF(COUNTA(A2336:G2336)=0,"",IF(A2336="","N° devis manquant",IF(ISNA(MATCH(A2336,dv_num,0)),"Devis inconnu",IF(AND(B2336&lt;&gt;"",ISNA(MATCH(B2336,pr_code,0))),"Article inconnu",IF(H2336="","Désignation manquante",IF(OR(NOT(ISNUMBER(D2336)),N(D2336)&lt;=0),"Quantité invalide",IF(J2336="","Prix manquant",IF(OR(NOT(ISNUMBER(J2336)),N(J2336)&lt;0),"Prix invalide",IF(OR(AND(F2336&lt;&gt;"",NOT(ISNUMBER(F2336))),N(F2336)&lt;0,N(F2336)&gt;1),"Remise invalide",IF(K2336="","Taux de TVA manquant",IF(NOT(ISNUMBER(K2336)),"Taux de TVA invalide",IF(COUNTIF(p_rates,K2336)=0,"Taux de TVA hors liste (Paramètres)",IF(N(O2336)&gt;25,"Au-delà de 25 lignes : non imprimée","OK")))))))))))))</f>
        <v/>
      </c>
      <c r="O2336" s="59" t="str">
        <f>IF(A2336="","",COUNTIF($A$6:A2336,A2336))</f>
        <v/>
      </c>
      <c r="P2336" s="62" t="str">
        <f>IF(A2336="","",A2336&amp;"|"&amp;O2336)</f>
        <v/>
      </c>
    </row>
    <row r="2337">
      <c r="A2337" s="60" t="n"/>
      <c r="B2337" s="63" t="n"/>
      <c r="C2337" s="63" t="n"/>
      <c r="D2337" s="67" t="n"/>
      <c r="E2337" s="68" t="n"/>
      <c r="F2337" s="69" t="n"/>
      <c r="G2337" s="70" t="n"/>
      <c r="H2337" s="62" t="str">
        <f>IF(COUNTA(A2337:G2337)=0,"",IF(C2337&lt;&gt;"",C2337,IF(B2337="","",IFERROR(INDEX(pr_des,MATCH(B2337,pr_code,0))&amp;"",""))))</f>
        <v/>
      </c>
      <c r="I2337" s="59" t="str">
        <f>IF(B2337="","",IFERROR(INDEX(pr_unit,MATCH(B2337,pr_code,0))&amp;"",""))</f>
        <v/>
      </c>
      <c r="J2337" s="65" t="str">
        <f>IF(COUNTA(A2337:G2337)=0,"",IF(E2337&lt;&gt;"",E2337,IF(B2337="","",IFERROR(IF(INDEX(pr_price,MATCH(B2337,pr_code,0))="","",INDEX(pr_price,MATCH(B2337,pr_code,0))),""))))</f>
        <v/>
      </c>
      <c r="K2337" s="71" t="str">
        <f>IF(COUNTA(A2337:G2337)=0,"",IF(G2337&lt;&gt;"",G2337,IF(B2337="","",IFERROR(IF(INDEX(pr_rate,MATCH(B2337,pr_code,0))="","",INDEX(pr_rate,MATCH(B2337,pr_code,0))),""))))</f>
        <v/>
      </c>
      <c r="L2337" s="65" t="str">
        <f>IF(COUNTA(A2337:G2337)=0,"",IF(AND(ISNUMBER(D2337),ISNUMBER(J2337)),ROUND(D2337*J2337*(1-N(F2337)),2),0))</f>
        <v/>
      </c>
      <c r="M2337" s="62" t="str">
        <f>IF(A2337="","",IFERROR(INDEX(dv_cname,MATCH(A2337,dv_num,0))&amp;"",""))</f>
        <v/>
      </c>
      <c r="N2337" s="59" t="str">
        <f>IF(COUNTA(A2337:G2337)=0,"",IF(A2337="","N° devis manquant",IF(ISNA(MATCH(A2337,dv_num,0)),"Devis inconnu",IF(AND(B2337&lt;&gt;"",ISNA(MATCH(B2337,pr_code,0))),"Article inconnu",IF(H2337="","Désignation manquante",IF(OR(NOT(ISNUMBER(D2337)),N(D2337)&lt;=0),"Quantité invalide",IF(J2337="","Prix manquant",IF(OR(NOT(ISNUMBER(J2337)),N(J2337)&lt;0),"Prix invalide",IF(OR(AND(F2337&lt;&gt;"",NOT(ISNUMBER(F2337))),N(F2337)&lt;0,N(F2337)&gt;1),"Remise invalide",IF(K2337="","Taux de TVA manquant",IF(NOT(ISNUMBER(K2337)),"Taux de TVA invalide",IF(COUNTIF(p_rates,K2337)=0,"Taux de TVA hors liste (Paramètres)",IF(N(O2337)&gt;25,"Au-delà de 25 lignes : non imprimée","OK")))))))))))))</f>
        <v/>
      </c>
      <c r="O2337" s="59" t="str">
        <f>IF(A2337="","",COUNTIF($A$6:A2337,A2337))</f>
        <v/>
      </c>
      <c r="P2337" s="62" t="str">
        <f>IF(A2337="","",A2337&amp;"|"&amp;O2337)</f>
        <v/>
      </c>
    </row>
    <row r="2338">
      <c r="A2338" s="60" t="n"/>
      <c r="B2338" s="63" t="n"/>
      <c r="C2338" s="63" t="n"/>
      <c r="D2338" s="67" t="n"/>
      <c r="E2338" s="68" t="n"/>
      <c r="F2338" s="69" t="n"/>
      <c r="G2338" s="70" t="n"/>
      <c r="H2338" s="62" t="str">
        <f>IF(COUNTA(A2338:G2338)=0,"",IF(C2338&lt;&gt;"",C2338,IF(B2338="","",IFERROR(INDEX(pr_des,MATCH(B2338,pr_code,0))&amp;"",""))))</f>
        <v/>
      </c>
      <c r="I2338" s="59" t="str">
        <f>IF(B2338="","",IFERROR(INDEX(pr_unit,MATCH(B2338,pr_code,0))&amp;"",""))</f>
        <v/>
      </c>
      <c r="J2338" s="65" t="str">
        <f>IF(COUNTA(A2338:G2338)=0,"",IF(E2338&lt;&gt;"",E2338,IF(B2338="","",IFERROR(IF(INDEX(pr_price,MATCH(B2338,pr_code,0))="","",INDEX(pr_price,MATCH(B2338,pr_code,0))),""))))</f>
        <v/>
      </c>
      <c r="K2338" s="71" t="str">
        <f>IF(COUNTA(A2338:G2338)=0,"",IF(G2338&lt;&gt;"",G2338,IF(B2338="","",IFERROR(IF(INDEX(pr_rate,MATCH(B2338,pr_code,0))="","",INDEX(pr_rate,MATCH(B2338,pr_code,0))),""))))</f>
        <v/>
      </c>
      <c r="L2338" s="65" t="str">
        <f>IF(COUNTA(A2338:G2338)=0,"",IF(AND(ISNUMBER(D2338),ISNUMBER(J2338)),ROUND(D2338*J2338*(1-N(F2338)),2),0))</f>
        <v/>
      </c>
      <c r="M2338" s="62" t="str">
        <f>IF(A2338="","",IFERROR(INDEX(dv_cname,MATCH(A2338,dv_num,0))&amp;"",""))</f>
        <v/>
      </c>
      <c r="N2338" s="59" t="str">
        <f>IF(COUNTA(A2338:G2338)=0,"",IF(A2338="","N° devis manquant",IF(ISNA(MATCH(A2338,dv_num,0)),"Devis inconnu",IF(AND(B2338&lt;&gt;"",ISNA(MATCH(B2338,pr_code,0))),"Article inconnu",IF(H2338="","Désignation manquante",IF(OR(NOT(ISNUMBER(D2338)),N(D2338)&lt;=0),"Quantité invalide",IF(J2338="","Prix manquant",IF(OR(NOT(ISNUMBER(J2338)),N(J2338)&lt;0),"Prix invalide",IF(OR(AND(F2338&lt;&gt;"",NOT(ISNUMBER(F2338))),N(F2338)&lt;0,N(F2338)&gt;1),"Remise invalide",IF(K2338="","Taux de TVA manquant",IF(NOT(ISNUMBER(K2338)),"Taux de TVA invalide",IF(COUNTIF(p_rates,K2338)=0,"Taux de TVA hors liste (Paramètres)",IF(N(O2338)&gt;25,"Au-delà de 25 lignes : non imprimée","OK")))))))))))))</f>
        <v/>
      </c>
      <c r="O2338" s="59" t="str">
        <f>IF(A2338="","",COUNTIF($A$6:A2338,A2338))</f>
        <v/>
      </c>
      <c r="P2338" s="62" t="str">
        <f>IF(A2338="","",A2338&amp;"|"&amp;O2338)</f>
        <v/>
      </c>
    </row>
    <row r="2339">
      <c r="A2339" s="60" t="n"/>
      <c r="B2339" s="63" t="n"/>
      <c r="C2339" s="63" t="n"/>
      <c r="D2339" s="67" t="n"/>
      <c r="E2339" s="68" t="n"/>
      <c r="F2339" s="69" t="n"/>
      <c r="G2339" s="70" t="n"/>
      <c r="H2339" s="62" t="str">
        <f>IF(COUNTA(A2339:G2339)=0,"",IF(C2339&lt;&gt;"",C2339,IF(B2339="","",IFERROR(INDEX(pr_des,MATCH(B2339,pr_code,0))&amp;"",""))))</f>
        <v/>
      </c>
      <c r="I2339" s="59" t="str">
        <f>IF(B2339="","",IFERROR(INDEX(pr_unit,MATCH(B2339,pr_code,0))&amp;"",""))</f>
        <v/>
      </c>
      <c r="J2339" s="65" t="str">
        <f>IF(COUNTA(A2339:G2339)=0,"",IF(E2339&lt;&gt;"",E2339,IF(B2339="","",IFERROR(IF(INDEX(pr_price,MATCH(B2339,pr_code,0))="","",INDEX(pr_price,MATCH(B2339,pr_code,0))),""))))</f>
        <v/>
      </c>
      <c r="K2339" s="71" t="str">
        <f>IF(COUNTA(A2339:G2339)=0,"",IF(G2339&lt;&gt;"",G2339,IF(B2339="","",IFERROR(IF(INDEX(pr_rate,MATCH(B2339,pr_code,0))="","",INDEX(pr_rate,MATCH(B2339,pr_code,0))),""))))</f>
        <v/>
      </c>
      <c r="L2339" s="65" t="str">
        <f>IF(COUNTA(A2339:G2339)=0,"",IF(AND(ISNUMBER(D2339),ISNUMBER(J2339)),ROUND(D2339*J2339*(1-N(F2339)),2),0))</f>
        <v/>
      </c>
      <c r="M2339" s="62" t="str">
        <f>IF(A2339="","",IFERROR(INDEX(dv_cname,MATCH(A2339,dv_num,0))&amp;"",""))</f>
        <v/>
      </c>
      <c r="N2339" s="59" t="str">
        <f>IF(COUNTA(A2339:G2339)=0,"",IF(A2339="","N° devis manquant",IF(ISNA(MATCH(A2339,dv_num,0)),"Devis inconnu",IF(AND(B2339&lt;&gt;"",ISNA(MATCH(B2339,pr_code,0))),"Article inconnu",IF(H2339="","Désignation manquante",IF(OR(NOT(ISNUMBER(D2339)),N(D2339)&lt;=0),"Quantité invalide",IF(J2339="","Prix manquant",IF(OR(NOT(ISNUMBER(J2339)),N(J2339)&lt;0),"Prix invalide",IF(OR(AND(F2339&lt;&gt;"",NOT(ISNUMBER(F2339))),N(F2339)&lt;0,N(F2339)&gt;1),"Remise invalide",IF(K2339="","Taux de TVA manquant",IF(NOT(ISNUMBER(K2339)),"Taux de TVA invalide",IF(COUNTIF(p_rates,K2339)=0,"Taux de TVA hors liste (Paramètres)",IF(N(O2339)&gt;25,"Au-delà de 25 lignes : non imprimée","OK")))))))))))))</f>
        <v/>
      </c>
      <c r="O2339" s="59" t="str">
        <f>IF(A2339="","",COUNTIF($A$6:A2339,A2339))</f>
        <v/>
      </c>
      <c r="P2339" s="62" t="str">
        <f>IF(A2339="","",A2339&amp;"|"&amp;O2339)</f>
        <v/>
      </c>
    </row>
    <row r="2340">
      <c r="A2340" s="60" t="n"/>
      <c r="B2340" s="63" t="n"/>
      <c r="C2340" s="63" t="n"/>
      <c r="D2340" s="67" t="n"/>
      <c r="E2340" s="68" t="n"/>
      <c r="F2340" s="69" t="n"/>
      <c r="G2340" s="70" t="n"/>
      <c r="H2340" s="62" t="str">
        <f>IF(COUNTA(A2340:G2340)=0,"",IF(C2340&lt;&gt;"",C2340,IF(B2340="","",IFERROR(INDEX(pr_des,MATCH(B2340,pr_code,0))&amp;"",""))))</f>
        <v/>
      </c>
      <c r="I2340" s="59" t="str">
        <f>IF(B2340="","",IFERROR(INDEX(pr_unit,MATCH(B2340,pr_code,0))&amp;"",""))</f>
        <v/>
      </c>
      <c r="J2340" s="65" t="str">
        <f>IF(COUNTA(A2340:G2340)=0,"",IF(E2340&lt;&gt;"",E2340,IF(B2340="","",IFERROR(IF(INDEX(pr_price,MATCH(B2340,pr_code,0))="","",INDEX(pr_price,MATCH(B2340,pr_code,0))),""))))</f>
        <v/>
      </c>
      <c r="K2340" s="71" t="str">
        <f>IF(COUNTA(A2340:G2340)=0,"",IF(G2340&lt;&gt;"",G2340,IF(B2340="","",IFERROR(IF(INDEX(pr_rate,MATCH(B2340,pr_code,0))="","",INDEX(pr_rate,MATCH(B2340,pr_code,0))),""))))</f>
        <v/>
      </c>
      <c r="L2340" s="65" t="str">
        <f>IF(COUNTA(A2340:G2340)=0,"",IF(AND(ISNUMBER(D2340),ISNUMBER(J2340)),ROUND(D2340*J2340*(1-N(F2340)),2),0))</f>
        <v/>
      </c>
      <c r="M2340" s="62" t="str">
        <f>IF(A2340="","",IFERROR(INDEX(dv_cname,MATCH(A2340,dv_num,0))&amp;"",""))</f>
        <v/>
      </c>
      <c r="N2340" s="59" t="str">
        <f>IF(COUNTA(A2340:G2340)=0,"",IF(A2340="","N° devis manquant",IF(ISNA(MATCH(A2340,dv_num,0)),"Devis inconnu",IF(AND(B2340&lt;&gt;"",ISNA(MATCH(B2340,pr_code,0))),"Article inconnu",IF(H2340="","Désignation manquante",IF(OR(NOT(ISNUMBER(D2340)),N(D2340)&lt;=0),"Quantité invalide",IF(J2340="","Prix manquant",IF(OR(NOT(ISNUMBER(J2340)),N(J2340)&lt;0),"Prix invalide",IF(OR(AND(F2340&lt;&gt;"",NOT(ISNUMBER(F2340))),N(F2340)&lt;0,N(F2340)&gt;1),"Remise invalide",IF(K2340="","Taux de TVA manquant",IF(NOT(ISNUMBER(K2340)),"Taux de TVA invalide",IF(COUNTIF(p_rates,K2340)=0,"Taux de TVA hors liste (Paramètres)",IF(N(O2340)&gt;25,"Au-delà de 25 lignes : non imprimée","OK")))))))))))))</f>
        <v/>
      </c>
      <c r="O2340" s="59" t="str">
        <f>IF(A2340="","",COUNTIF($A$6:A2340,A2340))</f>
        <v/>
      </c>
      <c r="P2340" s="62" t="str">
        <f>IF(A2340="","",A2340&amp;"|"&amp;O2340)</f>
        <v/>
      </c>
    </row>
    <row r="2341">
      <c r="A2341" s="60" t="n"/>
      <c r="B2341" s="63" t="n"/>
      <c r="C2341" s="63" t="n"/>
      <c r="D2341" s="67" t="n"/>
      <c r="E2341" s="68" t="n"/>
      <c r="F2341" s="69" t="n"/>
      <c r="G2341" s="70" t="n"/>
      <c r="H2341" s="62" t="str">
        <f>IF(COUNTA(A2341:G2341)=0,"",IF(C2341&lt;&gt;"",C2341,IF(B2341="","",IFERROR(INDEX(pr_des,MATCH(B2341,pr_code,0))&amp;"",""))))</f>
        <v/>
      </c>
      <c r="I2341" s="59" t="str">
        <f>IF(B2341="","",IFERROR(INDEX(pr_unit,MATCH(B2341,pr_code,0))&amp;"",""))</f>
        <v/>
      </c>
      <c r="J2341" s="65" t="str">
        <f>IF(COUNTA(A2341:G2341)=0,"",IF(E2341&lt;&gt;"",E2341,IF(B2341="","",IFERROR(IF(INDEX(pr_price,MATCH(B2341,pr_code,0))="","",INDEX(pr_price,MATCH(B2341,pr_code,0))),""))))</f>
        <v/>
      </c>
      <c r="K2341" s="71" t="str">
        <f>IF(COUNTA(A2341:G2341)=0,"",IF(G2341&lt;&gt;"",G2341,IF(B2341="","",IFERROR(IF(INDEX(pr_rate,MATCH(B2341,pr_code,0))="","",INDEX(pr_rate,MATCH(B2341,pr_code,0))),""))))</f>
        <v/>
      </c>
      <c r="L2341" s="65" t="str">
        <f>IF(COUNTA(A2341:G2341)=0,"",IF(AND(ISNUMBER(D2341),ISNUMBER(J2341)),ROUND(D2341*J2341*(1-N(F2341)),2),0))</f>
        <v/>
      </c>
      <c r="M2341" s="62" t="str">
        <f>IF(A2341="","",IFERROR(INDEX(dv_cname,MATCH(A2341,dv_num,0))&amp;"",""))</f>
        <v/>
      </c>
      <c r="N2341" s="59" t="str">
        <f>IF(COUNTA(A2341:G2341)=0,"",IF(A2341="","N° devis manquant",IF(ISNA(MATCH(A2341,dv_num,0)),"Devis inconnu",IF(AND(B2341&lt;&gt;"",ISNA(MATCH(B2341,pr_code,0))),"Article inconnu",IF(H2341="","Désignation manquante",IF(OR(NOT(ISNUMBER(D2341)),N(D2341)&lt;=0),"Quantité invalide",IF(J2341="","Prix manquant",IF(OR(NOT(ISNUMBER(J2341)),N(J2341)&lt;0),"Prix invalide",IF(OR(AND(F2341&lt;&gt;"",NOT(ISNUMBER(F2341))),N(F2341)&lt;0,N(F2341)&gt;1),"Remise invalide",IF(K2341="","Taux de TVA manquant",IF(NOT(ISNUMBER(K2341)),"Taux de TVA invalide",IF(COUNTIF(p_rates,K2341)=0,"Taux de TVA hors liste (Paramètres)",IF(N(O2341)&gt;25,"Au-delà de 25 lignes : non imprimée","OK")))))))))))))</f>
        <v/>
      </c>
      <c r="O2341" s="59" t="str">
        <f>IF(A2341="","",COUNTIF($A$6:A2341,A2341))</f>
        <v/>
      </c>
      <c r="P2341" s="62" t="str">
        <f>IF(A2341="","",A2341&amp;"|"&amp;O2341)</f>
        <v/>
      </c>
    </row>
    <row r="2342">
      <c r="A2342" s="60" t="n"/>
      <c r="B2342" s="63" t="n"/>
      <c r="C2342" s="63" t="n"/>
      <c r="D2342" s="67" t="n"/>
      <c r="E2342" s="68" t="n"/>
      <c r="F2342" s="69" t="n"/>
      <c r="G2342" s="70" t="n"/>
      <c r="H2342" s="62" t="str">
        <f>IF(COUNTA(A2342:G2342)=0,"",IF(C2342&lt;&gt;"",C2342,IF(B2342="","",IFERROR(INDEX(pr_des,MATCH(B2342,pr_code,0))&amp;"",""))))</f>
        <v/>
      </c>
      <c r="I2342" s="59" t="str">
        <f>IF(B2342="","",IFERROR(INDEX(pr_unit,MATCH(B2342,pr_code,0))&amp;"",""))</f>
        <v/>
      </c>
      <c r="J2342" s="65" t="str">
        <f>IF(COUNTA(A2342:G2342)=0,"",IF(E2342&lt;&gt;"",E2342,IF(B2342="","",IFERROR(IF(INDEX(pr_price,MATCH(B2342,pr_code,0))="","",INDEX(pr_price,MATCH(B2342,pr_code,0))),""))))</f>
        <v/>
      </c>
      <c r="K2342" s="71" t="str">
        <f>IF(COUNTA(A2342:G2342)=0,"",IF(G2342&lt;&gt;"",G2342,IF(B2342="","",IFERROR(IF(INDEX(pr_rate,MATCH(B2342,pr_code,0))="","",INDEX(pr_rate,MATCH(B2342,pr_code,0))),""))))</f>
        <v/>
      </c>
      <c r="L2342" s="65" t="str">
        <f>IF(COUNTA(A2342:G2342)=0,"",IF(AND(ISNUMBER(D2342),ISNUMBER(J2342)),ROUND(D2342*J2342*(1-N(F2342)),2),0))</f>
        <v/>
      </c>
      <c r="M2342" s="62" t="str">
        <f>IF(A2342="","",IFERROR(INDEX(dv_cname,MATCH(A2342,dv_num,0))&amp;"",""))</f>
        <v/>
      </c>
      <c r="N2342" s="59" t="str">
        <f>IF(COUNTA(A2342:G2342)=0,"",IF(A2342="","N° devis manquant",IF(ISNA(MATCH(A2342,dv_num,0)),"Devis inconnu",IF(AND(B2342&lt;&gt;"",ISNA(MATCH(B2342,pr_code,0))),"Article inconnu",IF(H2342="","Désignation manquante",IF(OR(NOT(ISNUMBER(D2342)),N(D2342)&lt;=0),"Quantité invalide",IF(J2342="","Prix manquant",IF(OR(NOT(ISNUMBER(J2342)),N(J2342)&lt;0),"Prix invalide",IF(OR(AND(F2342&lt;&gt;"",NOT(ISNUMBER(F2342))),N(F2342)&lt;0,N(F2342)&gt;1),"Remise invalide",IF(K2342="","Taux de TVA manquant",IF(NOT(ISNUMBER(K2342)),"Taux de TVA invalide",IF(COUNTIF(p_rates,K2342)=0,"Taux de TVA hors liste (Paramètres)",IF(N(O2342)&gt;25,"Au-delà de 25 lignes : non imprimée","OK")))))))))))))</f>
        <v/>
      </c>
      <c r="O2342" s="59" t="str">
        <f>IF(A2342="","",COUNTIF($A$6:A2342,A2342))</f>
        <v/>
      </c>
      <c r="P2342" s="62" t="str">
        <f>IF(A2342="","",A2342&amp;"|"&amp;O2342)</f>
        <v/>
      </c>
    </row>
    <row r="2343">
      <c r="A2343" s="60" t="n"/>
      <c r="B2343" s="63" t="n"/>
      <c r="C2343" s="63" t="n"/>
      <c r="D2343" s="67" t="n"/>
      <c r="E2343" s="68" t="n"/>
      <c r="F2343" s="69" t="n"/>
      <c r="G2343" s="70" t="n"/>
      <c r="H2343" s="62" t="str">
        <f>IF(COUNTA(A2343:G2343)=0,"",IF(C2343&lt;&gt;"",C2343,IF(B2343="","",IFERROR(INDEX(pr_des,MATCH(B2343,pr_code,0))&amp;"",""))))</f>
        <v/>
      </c>
      <c r="I2343" s="59" t="str">
        <f>IF(B2343="","",IFERROR(INDEX(pr_unit,MATCH(B2343,pr_code,0))&amp;"",""))</f>
        <v/>
      </c>
      <c r="J2343" s="65" t="str">
        <f>IF(COUNTA(A2343:G2343)=0,"",IF(E2343&lt;&gt;"",E2343,IF(B2343="","",IFERROR(IF(INDEX(pr_price,MATCH(B2343,pr_code,0))="","",INDEX(pr_price,MATCH(B2343,pr_code,0))),""))))</f>
        <v/>
      </c>
      <c r="K2343" s="71" t="str">
        <f>IF(COUNTA(A2343:G2343)=0,"",IF(G2343&lt;&gt;"",G2343,IF(B2343="","",IFERROR(IF(INDEX(pr_rate,MATCH(B2343,pr_code,0))="","",INDEX(pr_rate,MATCH(B2343,pr_code,0))),""))))</f>
        <v/>
      </c>
      <c r="L2343" s="65" t="str">
        <f>IF(COUNTA(A2343:G2343)=0,"",IF(AND(ISNUMBER(D2343),ISNUMBER(J2343)),ROUND(D2343*J2343*(1-N(F2343)),2),0))</f>
        <v/>
      </c>
      <c r="M2343" s="62" t="str">
        <f>IF(A2343="","",IFERROR(INDEX(dv_cname,MATCH(A2343,dv_num,0))&amp;"",""))</f>
        <v/>
      </c>
      <c r="N2343" s="59" t="str">
        <f>IF(COUNTA(A2343:G2343)=0,"",IF(A2343="","N° devis manquant",IF(ISNA(MATCH(A2343,dv_num,0)),"Devis inconnu",IF(AND(B2343&lt;&gt;"",ISNA(MATCH(B2343,pr_code,0))),"Article inconnu",IF(H2343="","Désignation manquante",IF(OR(NOT(ISNUMBER(D2343)),N(D2343)&lt;=0),"Quantité invalide",IF(J2343="","Prix manquant",IF(OR(NOT(ISNUMBER(J2343)),N(J2343)&lt;0),"Prix invalide",IF(OR(AND(F2343&lt;&gt;"",NOT(ISNUMBER(F2343))),N(F2343)&lt;0,N(F2343)&gt;1),"Remise invalide",IF(K2343="","Taux de TVA manquant",IF(NOT(ISNUMBER(K2343)),"Taux de TVA invalide",IF(COUNTIF(p_rates,K2343)=0,"Taux de TVA hors liste (Paramètres)",IF(N(O2343)&gt;25,"Au-delà de 25 lignes : non imprimée","OK")))))))))))))</f>
        <v/>
      </c>
      <c r="O2343" s="59" t="str">
        <f>IF(A2343="","",COUNTIF($A$6:A2343,A2343))</f>
        <v/>
      </c>
      <c r="P2343" s="62" t="str">
        <f>IF(A2343="","",A2343&amp;"|"&amp;O2343)</f>
        <v/>
      </c>
    </row>
    <row r="2344">
      <c r="A2344" s="60" t="n"/>
      <c r="B2344" s="63" t="n"/>
      <c r="C2344" s="63" t="n"/>
      <c r="D2344" s="67" t="n"/>
      <c r="E2344" s="68" t="n"/>
      <c r="F2344" s="69" t="n"/>
      <c r="G2344" s="70" t="n"/>
      <c r="H2344" s="62" t="str">
        <f>IF(COUNTA(A2344:G2344)=0,"",IF(C2344&lt;&gt;"",C2344,IF(B2344="","",IFERROR(INDEX(pr_des,MATCH(B2344,pr_code,0))&amp;"",""))))</f>
        <v/>
      </c>
      <c r="I2344" s="59" t="str">
        <f>IF(B2344="","",IFERROR(INDEX(pr_unit,MATCH(B2344,pr_code,0))&amp;"",""))</f>
        <v/>
      </c>
      <c r="J2344" s="65" t="str">
        <f>IF(COUNTA(A2344:G2344)=0,"",IF(E2344&lt;&gt;"",E2344,IF(B2344="","",IFERROR(IF(INDEX(pr_price,MATCH(B2344,pr_code,0))="","",INDEX(pr_price,MATCH(B2344,pr_code,0))),""))))</f>
        <v/>
      </c>
      <c r="K2344" s="71" t="str">
        <f>IF(COUNTA(A2344:G2344)=0,"",IF(G2344&lt;&gt;"",G2344,IF(B2344="","",IFERROR(IF(INDEX(pr_rate,MATCH(B2344,pr_code,0))="","",INDEX(pr_rate,MATCH(B2344,pr_code,0))),""))))</f>
        <v/>
      </c>
      <c r="L2344" s="65" t="str">
        <f>IF(COUNTA(A2344:G2344)=0,"",IF(AND(ISNUMBER(D2344),ISNUMBER(J2344)),ROUND(D2344*J2344*(1-N(F2344)),2),0))</f>
        <v/>
      </c>
      <c r="M2344" s="62" t="str">
        <f>IF(A2344="","",IFERROR(INDEX(dv_cname,MATCH(A2344,dv_num,0))&amp;"",""))</f>
        <v/>
      </c>
      <c r="N2344" s="59" t="str">
        <f>IF(COUNTA(A2344:G2344)=0,"",IF(A2344="","N° devis manquant",IF(ISNA(MATCH(A2344,dv_num,0)),"Devis inconnu",IF(AND(B2344&lt;&gt;"",ISNA(MATCH(B2344,pr_code,0))),"Article inconnu",IF(H2344="","Désignation manquante",IF(OR(NOT(ISNUMBER(D2344)),N(D2344)&lt;=0),"Quantité invalide",IF(J2344="","Prix manquant",IF(OR(NOT(ISNUMBER(J2344)),N(J2344)&lt;0),"Prix invalide",IF(OR(AND(F2344&lt;&gt;"",NOT(ISNUMBER(F2344))),N(F2344)&lt;0,N(F2344)&gt;1),"Remise invalide",IF(K2344="","Taux de TVA manquant",IF(NOT(ISNUMBER(K2344)),"Taux de TVA invalide",IF(COUNTIF(p_rates,K2344)=0,"Taux de TVA hors liste (Paramètres)",IF(N(O2344)&gt;25,"Au-delà de 25 lignes : non imprimée","OK")))))))))))))</f>
        <v/>
      </c>
      <c r="O2344" s="59" t="str">
        <f>IF(A2344="","",COUNTIF($A$6:A2344,A2344))</f>
        <v/>
      </c>
      <c r="P2344" s="62" t="str">
        <f>IF(A2344="","",A2344&amp;"|"&amp;O2344)</f>
        <v/>
      </c>
    </row>
    <row r="2345">
      <c r="A2345" s="60" t="n"/>
      <c r="B2345" s="63" t="n"/>
      <c r="C2345" s="63" t="n"/>
      <c r="D2345" s="67" t="n"/>
      <c r="E2345" s="68" t="n"/>
      <c r="F2345" s="69" t="n"/>
      <c r="G2345" s="70" t="n"/>
      <c r="H2345" s="62" t="str">
        <f>IF(COUNTA(A2345:G2345)=0,"",IF(C2345&lt;&gt;"",C2345,IF(B2345="","",IFERROR(INDEX(pr_des,MATCH(B2345,pr_code,0))&amp;"",""))))</f>
        <v/>
      </c>
      <c r="I2345" s="59" t="str">
        <f>IF(B2345="","",IFERROR(INDEX(pr_unit,MATCH(B2345,pr_code,0))&amp;"",""))</f>
        <v/>
      </c>
      <c r="J2345" s="65" t="str">
        <f>IF(COUNTA(A2345:G2345)=0,"",IF(E2345&lt;&gt;"",E2345,IF(B2345="","",IFERROR(IF(INDEX(pr_price,MATCH(B2345,pr_code,0))="","",INDEX(pr_price,MATCH(B2345,pr_code,0))),""))))</f>
        <v/>
      </c>
      <c r="K2345" s="71" t="str">
        <f>IF(COUNTA(A2345:G2345)=0,"",IF(G2345&lt;&gt;"",G2345,IF(B2345="","",IFERROR(IF(INDEX(pr_rate,MATCH(B2345,pr_code,0))="","",INDEX(pr_rate,MATCH(B2345,pr_code,0))),""))))</f>
        <v/>
      </c>
      <c r="L2345" s="65" t="str">
        <f>IF(COUNTA(A2345:G2345)=0,"",IF(AND(ISNUMBER(D2345),ISNUMBER(J2345)),ROUND(D2345*J2345*(1-N(F2345)),2),0))</f>
        <v/>
      </c>
      <c r="M2345" s="62" t="str">
        <f>IF(A2345="","",IFERROR(INDEX(dv_cname,MATCH(A2345,dv_num,0))&amp;"",""))</f>
        <v/>
      </c>
      <c r="N2345" s="59" t="str">
        <f>IF(COUNTA(A2345:G2345)=0,"",IF(A2345="","N° devis manquant",IF(ISNA(MATCH(A2345,dv_num,0)),"Devis inconnu",IF(AND(B2345&lt;&gt;"",ISNA(MATCH(B2345,pr_code,0))),"Article inconnu",IF(H2345="","Désignation manquante",IF(OR(NOT(ISNUMBER(D2345)),N(D2345)&lt;=0),"Quantité invalide",IF(J2345="","Prix manquant",IF(OR(NOT(ISNUMBER(J2345)),N(J2345)&lt;0),"Prix invalide",IF(OR(AND(F2345&lt;&gt;"",NOT(ISNUMBER(F2345))),N(F2345)&lt;0,N(F2345)&gt;1),"Remise invalide",IF(K2345="","Taux de TVA manquant",IF(NOT(ISNUMBER(K2345)),"Taux de TVA invalide",IF(COUNTIF(p_rates,K2345)=0,"Taux de TVA hors liste (Paramètres)",IF(N(O2345)&gt;25,"Au-delà de 25 lignes : non imprimée","OK")))))))))))))</f>
        <v/>
      </c>
      <c r="O2345" s="59" t="str">
        <f>IF(A2345="","",COUNTIF($A$6:A2345,A2345))</f>
        <v/>
      </c>
      <c r="P2345" s="62" t="str">
        <f>IF(A2345="","",A2345&amp;"|"&amp;O2345)</f>
        <v/>
      </c>
    </row>
    <row r="2346">
      <c r="A2346" s="60" t="n"/>
      <c r="B2346" s="63" t="n"/>
      <c r="C2346" s="63" t="n"/>
      <c r="D2346" s="67" t="n"/>
      <c r="E2346" s="68" t="n"/>
      <c r="F2346" s="69" t="n"/>
      <c r="G2346" s="70" t="n"/>
      <c r="H2346" s="62" t="str">
        <f>IF(COUNTA(A2346:G2346)=0,"",IF(C2346&lt;&gt;"",C2346,IF(B2346="","",IFERROR(INDEX(pr_des,MATCH(B2346,pr_code,0))&amp;"",""))))</f>
        <v/>
      </c>
      <c r="I2346" s="59" t="str">
        <f>IF(B2346="","",IFERROR(INDEX(pr_unit,MATCH(B2346,pr_code,0))&amp;"",""))</f>
        <v/>
      </c>
      <c r="J2346" s="65" t="str">
        <f>IF(COUNTA(A2346:G2346)=0,"",IF(E2346&lt;&gt;"",E2346,IF(B2346="","",IFERROR(IF(INDEX(pr_price,MATCH(B2346,pr_code,0))="","",INDEX(pr_price,MATCH(B2346,pr_code,0))),""))))</f>
        <v/>
      </c>
      <c r="K2346" s="71" t="str">
        <f>IF(COUNTA(A2346:G2346)=0,"",IF(G2346&lt;&gt;"",G2346,IF(B2346="","",IFERROR(IF(INDEX(pr_rate,MATCH(B2346,pr_code,0))="","",INDEX(pr_rate,MATCH(B2346,pr_code,0))),""))))</f>
        <v/>
      </c>
      <c r="L2346" s="65" t="str">
        <f>IF(COUNTA(A2346:G2346)=0,"",IF(AND(ISNUMBER(D2346),ISNUMBER(J2346)),ROUND(D2346*J2346*(1-N(F2346)),2),0))</f>
        <v/>
      </c>
      <c r="M2346" s="62" t="str">
        <f>IF(A2346="","",IFERROR(INDEX(dv_cname,MATCH(A2346,dv_num,0))&amp;"",""))</f>
        <v/>
      </c>
      <c r="N2346" s="59" t="str">
        <f>IF(COUNTA(A2346:G2346)=0,"",IF(A2346="","N° devis manquant",IF(ISNA(MATCH(A2346,dv_num,0)),"Devis inconnu",IF(AND(B2346&lt;&gt;"",ISNA(MATCH(B2346,pr_code,0))),"Article inconnu",IF(H2346="","Désignation manquante",IF(OR(NOT(ISNUMBER(D2346)),N(D2346)&lt;=0),"Quantité invalide",IF(J2346="","Prix manquant",IF(OR(NOT(ISNUMBER(J2346)),N(J2346)&lt;0),"Prix invalide",IF(OR(AND(F2346&lt;&gt;"",NOT(ISNUMBER(F2346))),N(F2346)&lt;0,N(F2346)&gt;1),"Remise invalide",IF(K2346="","Taux de TVA manquant",IF(NOT(ISNUMBER(K2346)),"Taux de TVA invalide",IF(COUNTIF(p_rates,K2346)=0,"Taux de TVA hors liste (Paramètres)",IF(N(O2346)&gt;25,"Au-delà de 25 lignes : non imprimée","OK")))))))))))))</f>
        <v/>
      </c>
      <c r="O2346" s="59" t="str">
        <f>IF(A2346="","",COUNTIF($A$6:A2346,A2346))</f>
        <v/>
      </c>
      <c r="P2346" s="62" t="str">
        <f>IF(A2346="","",A2346&amp;"|"&amp;O2346)</f>
        <v/>
      </c>
    </row>
    <row r="2347">
      <c r="A2347" s="60" t="n"/>
      <c r="B2347" s="63" t="n"/>
      <c r="C2347" s="63" t="n"/>
      <c r="D2347" s="67" t="n"/>
      <c r="E2347" s="68" t="n"/>
      <c r="F2347" s="69" t="n"/>
      <c r="G2347" s="70" t="n"/>
      <c r="H2347" s="62" t="str">
        <f>IF(COUNTA(A2347:G2347)=0,"",IF(C2347&lt;&gt;"",C2347,IF(B2347="","",IFERROR(INDEX(pr_des,MATCH(B2347,pr_code,0))&amp;"",""))))</f>
        <v/>
      </c>
      <c r="I2347" s="59" t="str">
        <f>IF(B2347="","",IFERROR(INDEX(pr_unit,MATCH(B2347,pr_code,0))&amp;"",""))</f>
        <v/>
      </c>
      <c r="J2347" s="65" t="str">
        <f>IF(COUNTA(A2347:G2347)=0,"",IF(E2347&lt;&gt;"",E2347,IF(B2347="","",IFERROR(IF(INDEX(pr_price,MATCH(B2347,pr_code,0))="","",INDEX(pr_price,MATCH(B2347,pr_code,0))),""))))</f>
        <v/>
      </c>
      <c r="K2347" s="71" t="str">
        <f>IF(COUNTA(A2347:G2347)=0,"",IF(G2347&lt;&gt;"",G2347,IF(B2347="","",IFERROR(IF(INDEX(pr_rate,MATCH(B2347,pr_code,0))="","",INDEX(pr_rate,MATCH(B2347,pr_code,0))),""))))</f>
        <v/>
      </c>
      <c r="L2347" s="65" t="str">
        <f>IF(COUNTA(A2347:G2347)=0,"",IF(AND(ISNUMBER(D2347),ISNUMBER(J2347)),ROUND(D2347*J2347*(1-N(F2347)),2),0))</f>
        <v/>
      </c>
      <c r="M2347" s="62" t="str">
        <f>IF(A2347="","",IFERROR(INDEX(dv_cname,MATCH(A2347,dv_num,0))&amp;"",""))</f>
        <v/>
      </c>
      <c r="N2347" s="59" t="str">
        <f>IF(COUNTA(A2347:G2347)=0,"",IF(A2347="","N° devis manquant",IF(ISNA(MATCH(A2347,dv_num,0)),"Devis inconnu",IF(AND(B2347&lt;&gt;"",ISNA(MATCH(B2347,pr_code,0))),"Article inconnu",IF(H2347="","Désignation manquante",IF(OR(NOT(ISNUMBER(D2347)),N(D2347)&lt;=0),"Quantité invalide",IF(J2347="","Prix manquant",IF(OR(NOT(ISNUMBER(J2347)),N(J2347)&lt;0),"Prix invalide",IF(OR(AND(F2347&lt;&gt;"",NOT(ISNUMBER(F2347))),N(F2347)&lt;0,N(F2347)&gt;1),"Remise invalide",IF(K2347="","Taux de TVA manquant",IF(NOT(ISNUMBER(K2347)),"Taux de TVA invalide",IF(COUNTIF(p_rates,K2347)=0,"Taux de TVA hors liste (Paramètres)",IF(N(O2347)&gt;25,"Au-delà de 25 lignes : non imprimée","OK")))))))))))))</f>
        <v/>
      </c>
      <c r="O2347" s="59" t="str">
        <f>IF(A2347="","",COUNTIF($A$6:A2347,A2347))</f>
        <v/>
      </c>
      <c r="P2347" s="62" t="str">
        <f>IF(A2347="","",A2347&amp;"|"&amp;O2347)</f>
        <v/>
      </c>
    </row>
    <row r="2348">
      <c r="A2348" s="60" t="n"/>
      <c r="B2348" s="63" t="n"/>
      <c r="C2348" s="63" t="n"/>
      <c r="D2348" s="67" t="n"/>
      <c r="E2348" s="68" t="n"/>
      <c r="F2348" s="69" t="n"/>
      <c r="G2348" s="70" t="n"/>
      <c r="H2348" s="62" t="str">
        <f>IF(COUNTA(A2348:G2348)=0,"",IF(C2348&lt;&gt;"",C2348,IF(B2348="","",IFERROR(INDEX(pr_des,MATCH(B2348,pr_code,0))&amp;"",""))))</f>
        <v/>
      </c>
      <c r="I2348" s="59" t="str">
        <f>IF(B2348="","",IFERROR(INDEX(pr_unit,MATCH(B2348,pr_code,0))&amp;"",""))</f>
        <v/>
      </c>
      <c r="J2348" s="65" t="str">
        <f>IF(COUNTA(A2348:G2348)=0,"",IF(E2348&lt;&gt;"",E2348,IF(B2348="","",IFERROR(IF(INDEX(pr_price,MATCH(B2348,pr_code,0))="","",INDEX(pr_price,MATCH(B2348,pr_code,0))),""))))</f>
        <v/>
      </c>
      <c r="K2348" s="71" t="str">
        <f>IF(COUNTA(A2348:G2348)=0,"",IF(G2348&lt;&gt;"",G2348,IF(B2348="","",IFERROR(IF(INDEX(pr_rate,MATCH(B2348,pr_code,0))="","",INDEX(pr_rate,MATCH(B2348,pr_code,0))),""))))</f>
        <v/>
      </c>
      <c r="L2348" s="65" t="str">
        <f>IF(COUNTA(A2348:G2348)=0,"",IF(AND(ISNUMBER(D2348),ISNUMBER(J2348)),ROUND(D2348*J2348*(1-N(F2348)),2),0))</f>
        <v/>
      </c>
      <c r="M2348" s="62" t="str">
        <f>IF(A2348="","",IFERROR(INDEX(dv_cname,MATCH(A2348,dv_num,0))&amp;"",""))</f>
        <v/>
      </c>
      <c r="N2348" s="59" t="str">
        <f>IF(COUNTA(A2348:G2348)=0,"",IF(A2348="","N° devis manquant",IF(ISNA(MATCH(A2348,dv_num,0)),"Devis inconnu",IF(AND(B2348&lt;&gt;"",ISNA(MATCH(B2348,pr_code,0))),"Article inconnu",IF(H2348="","Désignation manquante",IF(OR(NOT(ISNUMBER(D2348)),N(D2348)&lt;=0),"Quantité invalide",IF(J2348="","Prix manquant",IF(OR(NOT(ISNUMBER(J2348)),N(J2348)&lt;0),"Prix invalide",IF(OR(AND(F2348&lt;&gt;"",NOT(ISNUMBER(F2348))),N(F2348)&lt;0,N(F2348)&gt;1),"Remise invalide",IF(K2348="","Taux de TVA manquant",IF(NOT(ISNUMBER(K2348)),"Taux de TVA invalide",IF(COUNTIF(p_rates,K2348)=0,"Taux de TVA hors liste (Paramètres)",IF(N(O2348)&gt;25,"Au-delà de 25 lignes : non imprimée","OK")))))))))))))</f>
        <v/>
      </c>
      <c r="O2348" s="59" t="str">
        <f>IF(A2348="","",COUNTIF($A$6:A2348,A2348))</f>
        <v/>
      </c>
      <c r="P2348" s="62" t="str">
        <f>IF(A2348="","",A2348&amp;"|"&amp;O2348)</f>
        <v/>
      </c>
    </row>
    <row r="2349">
      <c r="A2349" s="60" t="n"/>
      <c r="B2349" s="63" t="n"/>
      <c r="C2349" s="63" t="n"/>
      <c r="D2349" s="67" t="n"/>
      <c r="E2349" s="68" t="n"/>
      <c r="F2349" s="69" t="n"/>
      <c r="G2349" s="70" t="n"/>
      <c r="H2349" s="62" t="str">
        <f>IF(COUNTA(A2349:G2349)=0,"",IF(C2349&lt;&gt;"",C2349,IF(B2349="","",IFERROR(INDEX(pr_des,MATCH(B2349,pr_code,0))&amp;"",""))))</f>
        <v/>
      </c>
      <c r="I2349" s="59" t="str">
        <f>IF(B2349="","",IFERROR(INDEX(pr_unit,MATCH(B2349,pr_code,0))&amp;"",""))</f>
        <v/>
      </c>
      <c r="J2349" s="65" t="str">
        <f>IF(COUNTA(A2349:G2349)=0,"",IF(E2349&lt;&gt;"",E2349,IF(B2349="","",IFERROR(IF(INDEX(pr_price,MATCH(B2349,pr_code,0))="","",INDEX(pr_price,MATCH(B2349,pr_code,0))),""))))</f>
        <v/>
      </c>
      <c r="K2349" s="71" t="str">
        <f>IF(COUNTA(A2349:G2349)=0,"",IF(G2349&lt;&gt;"",G2349,IF(B2349="","",IFERROR(IF(INDEX(pr_rate,MATCH(B2349,pr_code,0))="","",INDEX(pr_rate,MATCH(B2349,pr_code,0))),""))))</f>
        <v/>
      </c>
      <c r="L2349" s="65" t="str">
        <f>IF(COUNTA(A2349:G2349)=0,"",IF(AND(ISNUMBER(D2349),ISNUMBER(J2349)),ROUND(D2349*J2349*(1-N(F2349)),2),0))</f>
        <v/>
      </c>
      <c r="M2349" s="62" t="str">
        <f>IF(A2349="","",IFERROR(INDEX(dv_cname,MATCH(A2349,dv_num,0))&amp;"",""))</f>
        <v/>
      </c>
      <c r="N2349" s="59" t="str">
        <f>IF(COUNTA(A2349:G2349)=0,"",IF(A2349="","N° devis manquant",IF(ISNA(MATCH(A2349,dv_num,0)),"Devis inconnu",IF(AND(B2349&lt;&gt;"",ISNA(MATCH(B2349,pr_code,0))),"Article inconnu",IF(H2349="","Désignation manquante",IF(OR(NOT(ISNUMBER(D2349)),N(D2349)&lt;=0),"Quantité invalide",IF(J2349="","Prix manquant",IF(OR(NOT(ISNUMBER(J2349)),N(J2349)&lt;0),"Prix invalide",IF(OR(AND(F2349&lt;&gt;"",NOT(ISNUMBER(F2349))),N(F2349)&lt;0,N(F2349)&gt;1),"Remise invalide",IF(K2349="","Taux de TVA manquant",IF(NOT(ISNUMBER(K2349)),"Taux de TVA invalide",IF(COUNTIF(p_rates,K2349)=0,"Taux de TVA hors liste (Paramètres)",IF(N(O2349)&gt;25,"Au-delà de 25 lignes : non imprimée","OK")))))))))))))</f>
        <v/>
      </c>
      <c r="O2349" s="59" t="str">
        <f>IF(A2349="","",COUNTIF($A$6:A2349,A2349))</f>
        <v/>
      </c>
      <c r="P2349" s="62" t="str">
        <f>IF(A2349="","",A2349&amp;"|"&amp;O2349)</f>
        <v/>
      </c>
    </row>
    <row r="2350">
      <c r="A2350" s="60" t="n"/>
      <c r="B2350" s="63" t="n"/>
      <c r="C2350" s="63" t="n"/>
      <c r="D2350" s="67" t="n"/>
      <c r="E2350" s="68" t="n"/>
      <c r="F2350" s="69" t="n"/>
      <c r="G2350" s="70" t="n"/>
      <c r="H2350" s="62" t="str">
        <f>IF(COUNTA(A2350:G2350)=0,"",IF(C2350&lt;&gt;"",C2350,IF(B2350="","",IFERROR(INDEX(pr_des,MATCH(B2350,pr_code,0))&amp;"",""))))</f>
        <v/>
      </c>
      <c r="I2350" s="59" t="str">
        <f>IF(B2350="","",IFERROR(INDEX(pr_unit,MATCH(B2350,pr_code,0))&amp;"",""))</f>
        <v/>
      </c>
      <c r="J2350" s="65" t="str">
        <f>IF(COUNTA(A2350:G2350)=0,"",IF(E2350&lt;&gt;"",E2350,IF(B2350="","",IFERROR(IF(INDEX(pr_price,MATCH(B2350,pr_code,0))="","",INDEX(pr_price,MATCH(B2350,pr_code,0))),""))))</f>
        <v/>
      </c>
      <c r="K2350" s="71" t="str">
        <f>IF(COUNTA(A2350:G2350)=0,"",IF(G2350&lt;&gt;"",G2350,IF(B2350="","",IFERROR(IF(INDEX(pr_rate,MATCH(B2350,pr_code,0))="","",INDEX(pr_rate,MATCH(B2350,pr_code,0))),""))))</f>
        <v/>
      </c>
      <c r="L2350" s="65" t="str">
        <f>IF(COUNTA(A2350:G2350)=0,"",IF(AND(ISNUMBER(D2350),ISNUMBER(J2350)),ROUND(D2350*J2350*(1-N(F2350)),2),0))</f>
        <v/>
      </c>
      <c r="M2350" s="62" t="str">
        <f>IF(A2350="","",IFERROR(INDEX(dv_cname,MATCH(A2350,dv_num,0))&amp;"",""))</f>
        <v/>
      </c>
      <c r="N2350" s="59" t="str">
        <f>IF(COUNTA(A2350:G2350)=0,"",IF(A2350="","N° devis manquant",IF(ISNA(MATCH(A2350,dv_num,0)),"Devis inconnu",IF(AND(B2350&lt;&gt;"",ISNA(MATCH(B2350,pr_code,0))),"Article inconnu",IF(H2350="","Désignation manquante",IF(OR(NOT(ISNUMBER(D2350)),N(D2350)&lt;=0),"Quantité invalide",IF(J2350="","Prix manquant",IF(OR(NOT(ISNUMBER(J2350)),N(J2350)&lt;0),"Prix invalide",IF(OR(AND(F2350&lt;&gt;"",NOT(ISNUMBER(F2350))),N(F2350)&lt;0,N(F2350)&gt;1),"Remise invalide",IF(K2350="","Taux de TVA manquant",IF(NOT(ISNUMBER(K2350)),"Taux de TVA invalide",IF(COUNTIF(p_rates,K2350)=0,"Taux de TVA hors liste (Paramètres)",IF(N(O2350)&gt;25,"Au-delà de 25 lignes : non imprimée","OK")))))))))))))</f>
        <v/>
      </c>
      <c r="O2350" s="59" t="str">
        <f>IF(A2350="","",COUNTIF($A$6:A2350,A2350))</f>
        <v/>
      </c>
      <c r="P2350" s="62" t="str">
        <f>IF(A2350="","",A2350&amp;"|"&amp;O2350)</f>
        <v/>
      </c>
    </row>
    <row r="2351">
      <c r="A2351" s="60" t="n"/>
      <c r="B2351" s="63" t="n"/>
      <c r="C2351" s="63" t="n"/>
      <c r="D2351" s="67" t="n"/>
      <c r="E2351" s="68" t="n"/>
      <c r="F2351" s="69" t="n"/>
      <c r="G2351" s="70" t="n"/>
      <c r="H2351" s="62" t="str">
        <f>IF(COUNTA(A2351:G2351)=0,"",IF(C2351&lt;&gt;"",C2351,IF(B2351="","",IFERROR(INDEX(pr_des,MATCH(B2351,pr_code,0))&amp;"",""))))</f>
        <v/>
      </c>
      <c r="I2351" s="59" t="str">
        <f>IF(B2351="","",IFERROR(INDEX(pr_unit,MATCH(B2351,pr_code,0))&amp;"",""))</f>
        <v/>
      </c>
      <c r="J2351" s="65" t="str">
        <f>IF(COUNTA(A2351:G2351)=0,"",IF(E2351&lt;&gt;"",E2351,IF(B2351="","",IFERROR(IF(INDEX(pr_price,MATCH(B2351,pr_code,0))="","",INDEX(pr_price,MATCH(B2351,pr_code,0))),""))))</f>
        <v/>
      </c>
      <c r="K2351" s="71" t="str">
        <f>IF(COUNTA(A2351:G2351)=0,"",IF(G2351&lt;&gt;"",G2351,IF(B2351="","",IFERROR(IF(INDEX(pr_rate,MATCH(B2351,pr_code,0))="","",INDEX(pr_rate,MATCH(B2351,pr_code,0))),""))))</f>
        <v/>
      </c>
      <c r="L2351" s="65" t="str">
        <f>IF(COUNTA(A2351:G2351)=0,"",IF(AND(ISNUMBER(D2351),ISNUMBER(J2351)),ROUND(D2351*J2351*(1-N(F2351)),2),0))</f>
        <v/>
      </c>
      <c r="M2351" s="62" t="str">
        <f>IF(A2351="","",IFERROR(INDEX(dv_cname,MATCH(A2351,dv_num,0))&amp;"",""))</f>
        <v/>
      </c>
      <c r="N2351" s="59" t="str">
        <f>IF(COUNTA(A2351:G2351)=0,"",IF(A2351="","N° devis manquant",IF(ISNA(MATCH(A2351,dv_num,0)),"Devis inconnu",IF(AND(B2351&lt;&gt;"",ISNA(MATCH(B2351,pr_code,0))),"Article inconnu",IF(H2351="","Désignation manquante",IF(OR(NOT(ISNUMBER(D2351)),N(D2351)&lt;=0),"Quantité invalide",IF(J2351="","Prix manquant",IF(OR(NOT(ISNUMBER(J2351)),N(J2351)&lt;0),"Prix invalide",IF(OR(AND(F2351&lt;&gt;"",NOT(ISNUMBER(F2351))),N(F2351)&lt;0,N(F2351)&gt;1),"Remise invalide",IF(K2351="","Taux de TVA manquant",IF(NOT(ISNUMBER(K2351)),"Taux de TVA invalide",IF(COUNTIF(p_rates,K2351)=0,"Taux de TVA hors liste (Paramètres)",IF(N(O2351)&gt;25,"Au-delà de 25 lignes : non imprimée","OK")))))))))))))</f>
        <v/>
      </c>
      <c r="O2351" s="59" t="str">
        <f>IF(A2351="","",COUNTIF($A$6:A2351,A2351))</f>
        <v/>
      </c>
      <c r="P2351" s="62" t="str">
        <f>IF(A2351="","",A2351&amp;"|"&amp;O2351)</f>
        <v/>
      </c>
    </row>
    <row r="2352">
      <c r="A2352" s="60" t="n"/>
      <c r="B2352" s="63" t="n"/>
      <c r="C2352" s="63" t="n"/>
      <c r="D2352" s="67" t="n"/>
      <c r="E2352" s="68" t="n"/>
      <c r="F2352" s="69" t="n"/>
      <c r="G2352" s="70" t="n"/>
      <c r="H2352" s="62" t="str">
        <f>IF(COUNTA(A2352:G2352)=0,"",IF(C2352&lt;&gt;"",C2352,IF(B2352="","",IFERROR(INDEX(pr_des,MATCH(B2352,pr_code,0))&amp;"",""))))</f>
        <v/>
      </c>
      <c r="I2352" s="59" t="str">
        <f>IF(B2352="","",IFERROR(INDEX(pr_unit,MATCH(B2352,pr_code,0))&amp;"",""))</f>
        <v/>
      </c>
      <c r="J2352" s="65" t="str">
        <f>IF(COUNTA(A2352:G2352)=0,"",IF(E2352&lt;&gt;"",E2352,IF(B2352="","",IFERROR(IF(INDEX(pr_price,MATCH(B2352,pr_code,0))="","",INDEX(pr_price,MATCH(B2352,pr_code,0))),""))))</f>
        <v/>
      </c>
      <c r="K2352" s="71" t="str">
        <f>IF(COUNTA(A2352:G2352)=0,"",IF(G2352&lt;&gt;"",G2352,IF(B2352="","",IFERROR(IF(INDEX(pr_rate,MATCH(B2352,pr_code,0))="","",INDEX(pr_rate,MATCH(B2352,pr_code,0))),""))))</f>
        <v/>
      </c>
      <c r="L2352" s="65" t="str">
        <f>IF(COUNTA(A2352:G2352)=0,"",IF(AND(ISNUMBER(D2352),ISNUMBER(J2352)),ROUND(D2352*J2352*(1-N(F2352)),2),0))</f>
        <v/>
      </c>
      <c r="M2352" s="62" t="str">
        <f>IF(A2352="","",IFERROR(INDEX(dv_cname,MATCH(A2352,dv_num,0))&amp;"",""))</f>
        <v/>
      </c>
      <c r="N2352" s="59" t="str">
        <f>IF(COUNTA(A2352:G2352)=0,"",IF(A2352="","N° devis manquant",IF(ISNA(MATCH(A2352,dv_num,0)),"Devis inconnu",IF(AND(B2352&lt;&gt;"",ISNA(MATCH(B2352,pr_code,0))),"Article inconnu",IF(H2352="","Désignation manquante",IF(OR(NOT(ISNUMBER(D2352)),N(D2352)&lt;=0),"Quantité invalide",IF(J2352="","Prix manquant",IF(OR(NOT(ISNUMBER(J2352)),N(J2352)&lt;0),"Prix invalide",IF(OR(AND(F2352&lt;&gt;"",NOT(ISNUMBER(F2352))),N(F2352)&lt;0,N(F2352)&gt;1),"Remise invalide",IF(K2352="","Taux de TVA manquant",IF(NOT(ISNUMBER(K2352)),"Taux de TVA invalide",IF(COUNTIF(p_rates,K2352)=0,"Taux de TVA hors liste (Paramètres)",IF(N(O2352)&gt;25,"Au-delà de 25 lignes : non imprimée","OK")))))))))))))</f>
        <v/>
      </c>
      <c r="O2352" s="59" t="str">
        <f>IF(A2352="","",COUNTIF($A$6:A2352,A2352))</f>
        <v/>
      </c>
      <c r="P2352" s="62" t="str">
        <f>IF(A2352="","",A2352&amp;"|"&amp;O2352)</f>
        <v/>
      </c>
    </row>
    <row r="2353">
      <c r="A2353" s="60" t="n"/>
      <c r="B2353" s="63" t="n"/>
      <c r="C2353" s="63" t="n"/>
      <c r="D2353" s="67" t="n"/>
      <c r="E2353" s="68" t="n"/>
      <c r="F2353" s="69" t="n"/>
      <c r="G2353" s="70" t="n"/>
      <c r="H2353" s="62" t="str">
        <f>IF(COUNTA(A2353:G2353)=0,"",IF(C2353&lt;&gt;"",C2353,IF(B2353="","",IFERROR(INDEX(pr_des,MATCH(B2353,pr_code,0))&amp;"",""))))</f>
        <v/>
      </c>
      <c r="I2353" s="59" t="str">
        <f>IF(B2353="","",IFERROR(INDEX(pr_unit,MATCH(B2353,pr_code,0))&amp;"",""))</f>
        <v/>
      </c>
      <c r="J2353" s="65" t="str">
        <f>IF(COUNTA(A2353:G2353)=0,"",IF(E2353&lt;&gt;"",E2353,IF(B2353="","",IFERROR(IF(INDEX(pr_price,MATCH(B2353,pr_code,0))="","",INDEX(pr_price,MATCH(B2353,pr_code,0))),""))))</f>
        <v/>
      </c>
      <c r="K2353" s="71" t="str">
        <f>IF(COUNTA(A2353:G2353)=0,"",IF(G2353&lt;&gt;"",G2353,IF(B2353="","",IFERROR(IF(INDEX(pr_rate,MATCH(B2353,pr_code,0))="","",INDEX(pr_rate,MATCH(B2353,pr_code,0))),""))))</f>
        <v/>
      </c>
      <c r="L2353" s="65" t="str">
        <f>IF(COUNTA(A2353:G2353)=0,"",IF(AND(ISNUMBER(D2353),ISNUMBER(J2353)),ROUND(D2353*J2353*(1-N(F2353)),2),0))</f>
        <v/>
      </c>
      <c r="M2353" s="62" t="str">
        <f>IF(A2353="","",IFERROR(INDEX(dv_cname,MATCH(A2353,dv_num,0))&amp;"",""))</f>
        <v/>
      </c>
      <c r="N2353" s="59" t="str">
        <f>IF(COUNTA(A2353:G2353)=0,"",IF(A2353="","N° devis manquant",IF(ISNA(MATCH(A2353,dv_num,0)),"Devis inconnu",IF(AND(B2353&lt;&gt;"",ISNA(MATCH(B2353,pr_code,0))),"Article inconnu",IF(H2353="","Désignation manquante",IF(OR(NOT(ISNUMBER(D2353)),N(D2353)&lt;=0),"Quantité invalide",IF(J2353="","Prix manquant",IF(OR(NOT(ISNUMBER(J2353)),N(J2353)&lt;0),"Prix invalide",IF(OR(AND(F2353&lt;&gt;"",NOT(ISNUMBER(F2353))),N(F2353)&lt;0,N(F2353)&gt;1),"Remise invalide",IF(K2353="","Taux de TVA manquant",IF(NOT(ISNUMBER(K2353)),"Taux de TVA invalide",IF(COUNTIF(p_rates,K2353)=0,"Taux de TVA hors liste (Paramètres)",IF(N(O2353)&gt;25,"Au-delà de 25 lignes : non imprimée","OK")))))))))))))</f>
        <v/>
      </c>
      <c r="O2353" s="59" t="str">
        <f>IF(A2353="","",COUNTIF($A$6:A2353,A2353))</f>
        <v/>
      </c>
      <c r="P2353" s="62" t="str">
        <f>IF(A2353="","",A2353&amp;"|"&amp;O2353)</f>
        <v/>
      </c>
    </row>
    <row r="2354">
      <c r="A2354" s="60" t="n"/>
      <c r="B2354" s="63" t="n"/>
      <c r="C2354" s="63" t="n"/>
      <c r="D2354" s="67" t="n"/>
      <c r="E2354" s="68" t="n"/>
      <c r="F2354" s="69" t="n"/>
      <c r="G2354" s="70" t="n"/>
      <c r="H2354" s="62" t="str">
        <f>IF(COUNTA(A2354:G2354)=0,"",IF(C2354&lt;&gt;"",C2354,IF(B2354="","",IFERROR(INDEX(pr_des,MATCH(B2354,pr_code,0))&amp;"",""))))</f>
        <v/>
      </c>
      <c r="I2354" s="59" t="str">
        <f>IF(B2354="","",IFERROR(INDEX(pr_unit,MATCH(B2354,pr_code,0))&amp;"",""))</f>
        <v/>
      </c>
      <c r="J2354" s="65" t="str">
        <f>IF(COUNTA(A2354:G2354)=0,"",IF(E2354&lt;&gt;"",E2354,IF(B2354="","",IFERROR(IF(INDEX(pr_price,MATCH(B2354,pr_code,0))="","",INDEX(pr_price,MATCH(B2354,pr_code,0))),""))))</f>
        <v/>
      </c>
      <c r="K2354" s="71" t="str">
        <f>IF(COUNTA(A2354:G2354)=0,"",IF(G2354&lt;&gt;"",G2354,IF(B2354="","",IFERROR(IF(INDEX(pr_rate,MATCH(B2354,pr_code,0))="","",INDEX(pr_rate,MATCH(B2354,pr_code,0))),""))))</f>
        <v/>
      </c>
      <c r="L2354" s="65" t="str">
        <f>IF(COUNTA(A2354:G2354)=0,"",IF(AND(ISNUMBER(D2354),ISNUMBER(J2354)),ROUND(D2354*J2354*(1-N(F2354)),2),0))</f>
        <v/>
      </c>
      <c r="M2354" s="62" t="str">
        <f>IF(A2354="","",IFERROR(INDEX(dv_cname,MATCH(A2354,dv_num,0))&amp;"",""))</f>
        <v/>
      </c>
      <c r="N2354" s="59" t="str">
        <f>IF(COUNTA(A2354:G2354)=0,"",IF(A2354="","N° devis manquant",IF(ISNA(MATCH(A2354,dv_num,0)),"Devis inconnu",IF(AND(B2354&lt;&gt;"",ISNA(MATCH(B2354,pr_code,0))),"Article inconnu",IF(H2354="","Désignation manquante",IF(OR(NOT(ISNUMBER(D2354)),N(D2354)&lt;=0),"Quantité invalide",IF(J2354="","Prix manquant",IF(OR(NOT(ISNUMBER(J2354)),N(J2354)&lt;0),"Prix invalide",IF(OR(AND(F2354&lt;&gt;"",NOT(ISNUMBER(F2354))),N(F2354)&lt;0,N(F2354)&gt;1),"Remise invalide",IF(K2354="","Taux de TVA manquant",IF(NOT(ISNUMBER(K2354)),"Taux de TVA invalide",IF(COUNTIF(p_rates,K2354)=0,"Taux de TVA hors liste (Paramètres)",IF(N(O2354)&gt;25,"Au-delà de 25 lignes : non imprimée","OK")))))))))))))</f>
        <v/>
      </c>
      <c r="O2354" s="59" t="str">
        <f>IF(A2354="","",COUNTIF($A$6:A2354,A2354))</f>
        <v/>
      </c>
      <c r="P2354" s="62" t="str">
        <f>IF(A2354="","",A2354&amp;"|"&amp;O2354)</f>
        <v/>
      </c>
    </row>
    <row r="2355">
      <c r="A2355" s="60" t="n"/>
      <c r="B2355" s="63" t="n"/>
      <c r="C2355" s="63" t="n"/>
      <c r="D2355" s="67" t="n"/>
      <c r="E2355" s="68" t="n"/>
      <c r="F2355" s="69" t="n"/>
      <c r="G2355" s="70" t="n"/>
      <c r="H2355" s="62" t="str">
        <f>IF(COUNTA(A2355:G2355)=0,"",IF(C2355&lt;&gt;"",C2355,IF(B2355="","",IFERROR(INDEX(pr_des,MATCH(B2355,pr_code,0))&amp;"",""))))</f>
        <v/>
      </c>
      <c r="I2355" s="59" t="str">
        <f>IF(B2355="","",IFERROR(INDEX(pr_unit,MATCH(B2355,pr_code,0))&amp;"",""))</f>
        <v/>
      </c>
      <c r="J2355" s="65" t="str">
        <f>IF(COUNTA(A2355:G2355)=0,"",IF(E2355&lt;&gt;"",E2355,IF(B2355="","",IFERROR(IF(INDEX(pr_price,MATCH(B2355,pr_code,0))="","",INDEX(pr_price,MATCH(B2355,pr_code,0))),""))))</f>
        <v/>
      </c>
      <c r="K2355" s="71" t="str">
        <f>IF(COUNTA(A2355:G2355)=0,"",IF(G2355&lt;&gt;"",G2355,IF(B2355="","",IFERROR(IF(INDEX(pr_rate,MATCH(B2355,pr_code,0))="","",INDEX(pr_rate,MATCH(B2355,pr_code,0))),""))))</f>
        <v/>
      </c>
      <c r="L2355" s="65" t="str">
        <f>IF(COUNTA(A2355:G2355)=0,"",IF(AND(ISNUMBER(D2355),ISNUMBER(J2355)),ROUND(D2355*J2355*(1-N(F2355)),2),0))</f>
        <v/>
      </c>
      <c r="M2355" s="62" t="str">
        <f>IF(A2355="","",IFERROR(INDEX(dv_cname,MATCH(A2355,dv_num,0))&amp;"",""))</f>
        <v/>
      </c>
      <c r="N2355" s="59" t="str">
        <f>IF(COUNTA(A2355:G2355)=0,"",IF(A2355="","N° devis manquant",IF(ISNA(MATCH(A2355,dv_num,0)),"Devis inconnu",IF(AND(B2355&lt;&gt;"",ISNA(MATCH(B2355,pr_code,0))),"Article inconnu",IF(H2355="","Désignation manquante",IF(OR(NOT(ISNUMBER(D2355)),N(D2355)&lt;=0),"Quantité invalide",IF(J2355="","Prix manquant",IF(OR(NOT(ISNUMBER(J2355)),N(J2355)&lt;0),"Prix invalide",IF(OR(AND(F2355&lt;&gt;"",NOT(ISNUMBER(F2355))),N(F2355)&lt;0,N(F2355)&gt;1),"Remise invalide",IF(K2355="","Taux de TVA manquant",IF(NOT(ISNUMBER(K2355)),"Taux de TVA invalide",IF(COUNTIF(p_rates,K2355)=0,"Taux de TVA hors liste (Paramètres)",IF(N(O2355)&gt;25,"Au-delà de 25 lignes : non imprimée","OK")))))))))))))</f>
        <v/>
      </c>
      <c r="O2355" s="59" t="str">
        <f>IF(A2355="","",COUNTIF($A$6:A2355,A2355))</f>
        <v/>
      </c>
      <c r="P2355" s="62" t="str">
        <f>IF(A2355="","",A2355&amp;"|"&amp;O2355)</f>
        <v/>
      </c>
    </row>
    <row r="2356">
      <c r="A2356" s="60" t="n"/>
      <c r="B2356" s="63" t="n"/>
      <c r="C2356" s="63" t="n"/>
      <c r="D2356" s="67" t="n"/>
      <c r="E2356" s="68" t="n"/>
      <c r="F2356" s="69" t="n"/>
      <c r="G2356" s="70" t="n"/>
      <c r="H2356" s="62" t="str">
        <f>IF(COUNTA(A2356:G2356)=0,"",IF(C2356&lt;&gt;"",C2356,IF(B2356="","",IFERROR(INDEX(pr_des,MATCH(B2356,pr_code,0))&amp;"",""))))</f>
        <v/>
      </c>
      <c r="I2356" s="59" t="str">
        <f>IF(B2356="","",IFERROR(INDEX(pr_unit,MATCH(B2356,pr_code,0))&amp;"",""))</f>
        <v/>
      </c>
      <c r="J2356" s="65" t="str">
        <f>IF(COUNTA(A2356:G2356)=0,"",IF(E2356&lt;&gt;"",E2356,IF(B2356="","",IFERROR(IF(INDEX(pr_price,MATCH(B2356,pr_code,0))="","",INDEX(pr_price,MATCH(B2356,pr_code,0))),""))))</f>
        <v/>
      </c>
      <c r="K2356" s="71" t="str">
        <f>IF(COUNTA(A2356:G2356)=0,"",IF(G2356&lt;&gt;"",G2356,IF(B2356="","",IFERROR(IF(INDEX(pr_rate,MATCH(B2356,pr_code,0))="","",INDEX(pr_rate,MATCH(B2356,pr_code,0))),""))))</f>
        <v/>
      </c>
      <c r="L2356" s="65" t="str">
        <f>IF(COUNTA(A2356:G2356)=0,"",IF(AND(ISNUMBER(D2356),ISNUMBER(J2356)),ROUND(D2356*J2356*(1-N(F2356)),2),0))</f>
        <v/>
      </c>
      <c r="M2356" s="62" t="str">
        <f>IF(A2356="","",IFERROR(INDEX(dv_cname,MATCH(A2356,dv_num,0))&amp;"",""))</f>
        <v/>
      </c>
      <c r="N2356" s="59" t="str">
        <f>IF(COUNTA(A2356:G2356)=0,"",IF(A2356="","N° devis manquant",IF(ISNA(MATCH(A2356,dv_num,0)),"Devis inconnu",IF(AND(B2356&lt;&gt;"",ISNA(MATCH(B2356,pr_code,0))),"Article inconnu",IF(H2356="","Désignation manquante",IF(OR(NOT(ISNUMBER(D2356)),N(D2356)&lt;=0),"Quantité invalide",IF(J2356="","Prix manquant",IF(OR(NOT(ISNUMBER(J2356)),N(J2356)&lt;0),"Prix invalide",IF(OR(AND(F2356&lt;&gt;"",NOT(ISNUMBER(F2356))),N(F2356)&lt;0,N(F2356)&gt;1),"Remise invalide",IF(K2356="","Taux de TVA manquant",IF(NOT(ISNUMBER(K2356)),"Taux de TVA invalide",IF(COUNTIF(p_rates,K2356)=0,"Taux de TVA hors liste (Paramètres)",IF(N(O2356)&gt;25,"Au-delà de 25 lignes : non imprimée","OK")))))))))))))</f>
        <v/>
      </c>
      <c r="O2356" s="59" t="str">
        <f>IF(A2356="","",COUNTIF($A$6:A2356,A2356))</f>
        <v/>
      </c>
      <c r="P2356" s="62" t="str">
        <f>IF(A2356="","",A2356&amp;"|"&amp;O2356)</f>
        <v/>
      </c>
    </row>
    <row r="2357">
      <c r="A2357" s="60" t="n"/>
      <c r="B2357" s="63" t="n"/>
      <c r="C2357" s="63" t="n"/>
      <c r="D2357" s="67" t="n"/>
      <c r="E2357" s="68" t="n"/>
      <c r="F2357" s="69" t="n"/>
      <c r="G2357" s="70" t="n"/>
      <c r="H2357" s="62" t="str">
        <f>IF(COUNTA(A2357:G2357)=0,"",IF(C2357&lt;&gt;"",C2357,IF(B2357="","",IFERROR(INDEX(pr_des,MATCH(B2357,pr_code,0))&amp;"",""))))</f>
        <v/>
      </c>
      <c r="I2357" s="59" t="str">
        <f>IF(B2357="","",IFERROR(INDEX(pr_unit,MATCH(B2357,pr_code,0))&amp;"",""))</f>
        <v/>
      </c>
      <c r="J2357" s="65" t="str">
        <f>IF(COUNTA(A2357:G2357)=0,"",IF(E2357&lt;&gt;"",E2357,IF(B2357="","",IFERROR(IF(INDEX(pr_price,MATCH(B2357,pr_code,0))="","",INDEX(pr_price,MATCH(B2357,pr_code,0))),""))))</f>
        <v/>
      </c>
      <c r="K2357" s="71" t="str">
        <f>IF(COUNTA(A2357:G2357)=0,"",IF(G2357&lt;&gt;"",G2357,IF(B2357="","",IFERROR(IF(INDEX(pr_rate,MATCH(B2357,pr_code,0))="","",INDEX(pr_rate,MATCH(B2357,pr_code,0))),""))))</f>
        <v/>
      </c>
      <c r="L2357" s="65" t="str">
        <f>IF(COUNTA(A2357:G2357)=0,"",IF(AND(ISNUMBER(D2357),ISNUMBER(J2357)),ROUND(D2357*J2357*(1-N(F2357)),2),0))</f>
        <v/>
      </c>
      <c r="M2357" s="62" t="str">
        <f>IF(A2357="","",IFERROR(INDEX(dv_cname,MATCH(A2357,dv_num,0))&amp;"",""))</f>
        <v/>
      </c>
      <c r="N2357" s="59" t="str">
        <f>IF(COUNTA(A2357:G2357)=0,"",IF(A2357="","N° devis manquant",IF(ISNA(MATCH(A2357,dv_num,0)),"Devis inconnu",IF(AND(B2357&lt;&gt;"",ISNA(MATCH(B2357,pr_code,0))),"Article inconnu",IF(H2357="","Désignation manquante",IF(OR(NOT(ISNUMBER(D2357)),N(D2357)&lt;=0),"Quantité invalide",IF(J2357="","Prix manquant",IF(OR(NOT(ISNUMBER(J2357)),N(J2357)&lt;0),"Prix invalide",IF(OR(AND(F2357&lt;&gt;"",NOT(ISNUMBER(F2357))),N(F2357)&lt;0,N(F2357)&gt;1),"Remise invalide",IF(K2357="","Taux de TVA manquant",IF(NOT(ISNUMBER(K2357)),"Taux de TVA invalide",IF(COUNTIF(p_rates,K2357)=0,"Taux de TVA hors liste (Paramètres)",IF(N(O2357)&gt;25,"Au-delà de 25 lignes : non imprimée","OK")))))))))))))</f>
        <v/>
      </c>
      <c r="O2357" s="59" t="str">
        <f>IF(A2357="","",COUNTIF($A$6:A2357,A2357))</f>
        <v/>
      </c>
      <c r="P2357" s="62" t="str">
        <f>IF(A2357="","",A2357&amp;"|"&amp;O2357)</f>
        <v/>
      </c>
    </row>
    <row r="2358">
      <c r="A2358" s="60" t="n"/>
      <c r="B2358" s="63" t="n"/>
      <c r="C2358" s="63" t="n"/>
      <c r="D2358" s="67" t="n"/>
      <c r="E2358" s="68" t="n"/>
      <c r="F2358" s="69" t="n"/>
      <c r="G2358" s="70" t="n"/>
      <c r="H2358" s="62" t="str">
        <f>IF(COUNTA(A2358:G2358)=0,"",IF(C2358&lt;&gt;"",C2358,IF(B2358="","",IFERROR(INDEX(pr_des,MATCH(B2358,pr_code,0))&amp;"",""))))</f>
        <v/>
      </c>
      <c r="I2358" s="59" t="str">
        <f>IF(B2358="","",IFERROR(INDEX(pr_unit,MATCH(B2358,pr_code,0))&amp;"",""))</f>
        <v/>
      </c>
      <c r="J2358" s="65" t="str">
        <f>IF(COUNTA(A2358:G2358)=0,"",IF(E2358&lt;&gt;"",E2358,IF(B2358="","",IFERROR(IF(INDEX(pr_price,MATCH(B2358,pr_code,0))="","",INDEX(pr_price,MATCH(B2358,pr_code,0))),""))))</f>
        <v/>
      </c>
      <c r="K2358" s="71" t="str">
        <f>IF(COUNTA(A2358:G2358)=0,"",IF(G2358&lt;&gt;"",G2358,IF(B2358="","",IFERROR(IF(INDEX(pr_rate,MATCH(B2358,pr_code,0))="","",INDEX(pr_rate,MATCH(B2358,pr_code,0))),""))))</f>
        <v/>
      </c>
      <c r="L2358" s="65" t="str">
        <f>IF(COUNTA(A2358:G2358)=0,"",IF(AND(ISNUMBER(D2358),ISNUMBER(J2358)),ROUND(D2358*J2358*(1-N(F2358)),2),0))</f>
        <v/>
      </c>
      <c r="M2358" s="62" t="str">
        <f>IF(A2358="","",IFERROR(INDEX(dv_cname,MATCH(A2358,dv_num,0))&amp;"",""))</f>
        <v/>
      </c>
      <c r="N2358" s="59" t="str">
        <f>IF(COUNTA(A2358:G2358)=0,"",IF(A2358="","N° devis manquant",IF(ISNA(MATCH(A2358,dv_num,0)),"Devis inconnu",IF(AND(B2358&lt;&gt;"",ISNA(MATCH(B2358,pr_code,0))),"Article inconnu",IF(H2358="","Désignation manquante",IF(OR(NOT(ISNUMBER(D2358)),N(D2358)&lt;=0),"Quantité invalide",IF(J2358="","Prix manquant",IF(OR(NOT(ISNUMBER(J2358)),N(J2358)&lt;0),"Prix invalide",IF(OR(AND(F2358&lt;&gt;"",NOT(ISNUMBER(F2358))),N(F2358)&lt;0,N(F2358)&gt;1),"Remise invalide",IF(K2358="","Taux de TVA manquant",IF(NOT(ISNUMBER(K2358)),"Taux de TVA invalide",IF(COUNTIF(p_rates,K2358)=0,"Taux de TVA hors liste (Paramètres)",IF(N(O2358)&gt;25,"Au-delà de 25 lignes : non imprimée","OK")))))))))))))</f>
        <v/>
      </c>
      <c r="O2358" s="59" t="str">
        <f>IF(A2358="","",COUNTIF($A$6:A2358,A2358))</f>
        <v/>
      </c>
      <c r="P2358" s="62" t="str">
        <f>IF(A2358="","",A2358&amp;"|"&amp;O2358)</f>
        <v/>
      </c>
    </row>
    <row r="2359">
      <c r="A2359" s="60" t="n"/>
      <c r="B2359" s="63" t="n"/>
      <c r="C2359" s="63" t="n"/>
      <c r="D2359" s="67" t="n"/>
      <c r="E2359" s="68" t="n"/>
      <c r="F2359" s="69" t="n"/>
      <c r="G2359" s="70" t="n"/>
      <c r="H2359" s="62" t="str">
        <f>IF(COUNTA(A2359:G2359)=0,"",IF(C2359&lt;&gt;"",C2359,IF(B2359="","",IFERROR(INDEX(pr_des,MATCH(B2359,pr_code,0))&amp;"",""))))</f>
        <v/>
      </c>
      <c r="I2359" s="59" t="str">
        <f>IF(B2359="","",IFERROR(INDEX(pr_unit,MATCH(B2359,pr_code,0))&amp;"",""))</f>
        <v/>
      </c>
      <c r="J2359" s="65" t="str">
        <f>IF(COUNTA(A2359:G2359)=0,"",IF(E2359&lt;&gt;"",E2359,IF(B2359="","",IFERROR(IF(INDEX(pr_price,MATCH(B2359,pr_code,0))="","",INDEX(pr_price,MATCH(B2359,pr_code,0))),""))))</f>
        <v/>
      </c>
      <c r="K2359" s="71" t="str">
        <f>IF(COUNTA(A2359:G2359)=0,"",IF(G2359&lt;&gt;"",G2359,IF(B2359="","",IFERROR(IF(INDEX(pr_rate,MATCH(B2359,pr_code,0))="","",INDEX(pr_rate,MATCH(B2359,pr_code,0))),""))))</f>
        <v/>
      </c>
      <c r="L2359" s="65" t="str">
        <f>IF(COUNTA(A2359:G2359)=0,"",IF(AND(ISNUMBER(D2359),ISNUMBER(J2359)),ROUND(D2359*J2359*(1-N(F2359)),2),0))</f>
        <v/>
      </c>
      <c r="M2359" s="62" t="str">
        <f>IF(A2359="","",IFERROR(INDEX(dv_cname,MATCH(A2359,dv_num,0))&amp;"",""))</f>
        <v/>
      </c>
      <c r="N2359" s="59" t="str">
        <f>IF(COUNTA(A2359:G2359)=0,"",IF(A2359="","N° devis manquant",IF(ISNA(MATCH(A2359,dv_num,0)),"Devis inconnu",IF(AND(B2359&lt;&gt;"",ISNA(MATCH(B2359,pr_code,0))),"Article inconnu",IF(H2359="","Désignation manquante",IF(OR(NOT(ISNUMBER(D2359)),N(D2359)&lt;=0),"Quantité invalide",IF(J2359="","Prix manquant",IF(OR(NOT(ISNUMBER(J2359)),N(J2359)&lt;0),"Prix invalide",IF(OR(AND(F2359&lt;&gt;"",NOT(ISNUMBER(F2359))),N(F2359)&lt;0,N(F2359)&gt;1),"Remise invalide",IF(K2359="","Taux de TVA manquant",IF(NOT(ISNUMBER(K2359)),"Taux de TVA invalide",IF(COUNTIF(p_rates,K2359)=0,"Taux de TVA hors liste (Paramètres)",IF(N(O2359)&gt;25,"Au-delà de 25 lignes : non imprimée","OK")))))))))))))</f>
        <v/>
      </c>
      <c r="O2359" s="59" t="str">
        <f>IF(A2359="","",COUNTIF($A$6:A2359,A2359))</f>
        <v/>
      </c>
      <c r="P2359" s="62" t="str">
        <f>IF(A2359="","",A2359&amp;"|"&amp;O2359)</f>
        <v/>
      </c>
    </row>
    <row r="2360">
      <c r="A2360" s="60" t="n"/>
      <c r="B2360" s="63" t="n"/>
      <c r="C2360" s="63" t="n"/>
      <c r="D2360" s="67" t="n"/>
      <c r="E2360" s="68" t="n"/>
      <c r="F2360" s="69" t="n"/>
      <c r="G2360" s="70" t="n"/>
      <c r="H2360" s="62" t="str">
        <f>IF(COUNTA(A2360:G2360)=0,"",IF(C2360&lt;&gt;"",C2360,IF(B2360="","",IFERROR(INDEX(pr_des,MATCH(B2360,pr_code,0))&amp;"",""))))</f>
        <v/>
      </c>
      <c r="I2360" s="59" t="str">
        <f>IF(B2360="","",IFERROR(INDEX(pr_unit,MATCH(B2360,pr_code,0))&amp;"",""))</f>
        <v/>
      </c>
      <c r="J2360" s="65" t="str">
        <f>IF(COUNTA(A2360:G2360)=0,"",IF(E2360&lt;&gt;"",E2360,IF(B2360="","",IFERROR(IF(INDEX(pr_price,MATCH(B2360,pr_code,0))="","",INDEX(pr_price,MATCH(B2360,pr_code,0))),""))))</f>
        <v/>
      </c>
      <c r="K2360" s="71" t="str">
        <f>IF(COUNTA(A2360:G2360)=0,"",IF(G2360&lt;&gt;"",G2360,IF(B2360="","",IFERROR(IF(INDEX(pr_rate,MATCH(B2360,pr_code,0))="","",INDEX(pr_rate,MATCH(B2360,pr_code,0))),""))))</f>
        <v/>
      </c>
      <c r="L2360" s="65" t="str">
        <f>IF(COUNTA(A2360:G2360)=0,"",IF(AND(ISNUMBER(D2360),ISNUMBER(J2360)),ROUND(D2360*J2360*(1-N(F2360)),2),0))</f>
        <v/>
      </c>
      <c r="M2360" s="62" t="str">
        <f>IF(A2360="","",IFERROR(INDEX(dv_cname,MATCH(A2360,dv_num,0))&amp;"",""))</f>
        <v/>
      </c>
      <c r="N2360" s="59" t="str">
        <f>IF(COUNTA(A2360:G2360)=0,"",IF(A2360="","N° devis manquant",IF(ISNA(MATCH(A2360,dv_num,0)),"Devis inconnu",IF(AND(B2360&lt;&gt;"",ISNA(MATCH(B2360,pr_code,0))),"Article inconnu",IF(H2360="","Désignation manquante",IF(OR(NOT(ISNUMBER(D2360)),N(D2360)&lt;=0),"Quantité invalide",IF(J2360="","Prix manquant",IF(OR(NOT(ISNUMBER(J2360)),N(J2360)&lt;0),"Prix invalide",IF(OR(AND(F2360&lt;&gt;"",NOT(ISNUMBER(F2360))),N(F2360)&lt;0,N(F2360)&gt;1),"Remise invalide",IF(K2360="","Taux de TVA manquant",IF(NOT(ISNUMBER(K2360)),"Taux de TVA invalide",IF(COUNTIF(p_rates,K2360)=0,"Taux de TVA hors liste (Paramètres)",IF(N(O2360)&gt;25,"Au-delà de 25 lignes : non imprimée","OK")))))))))))))</f>
        <v/>
      </c>
      <c r="O2360" s="59" t="str">
        <f>IF(A2360="","",COUNTIF($A$6:A2360,A2360))</f>
        <v/>
      </c>
      <c r="P2360" s="62" t="str">
        <f>IF(A2360="","",A2360&amp;"|"&amp;O2360)</f>
        <v/>
      </c>
    </row>
    <row r="2361">
      <c r="A2361" s="60" t="n"/>
      <c r="B2361" s="63" t="n"/>
      <c r="C2361" s="63" t="n"/>
      <c r="D2361" s="67" t="n"/>
      <c r="E2361" s="68" t="n"/>
      <c r="F2361" s="69" t="n"/>
      <c r="G2361" s="70" t="n"/>
      <c r="H2361" s="62" t="str">
        <f>IF(COUNTA(A2361:G2361)=0,"",IF(C2361&lt;&gt;"",C2361,IF(B2361="","",IFERROR(INDEX(pr_des,MATCH(B2361,pr_code,0))&amp;"",""))))</f>
        <v/>
      </c>
      <c r="I2361" s="59" t="str">
        <f>IF(B2361="","",IFERROR(INDEX(pr_unit,MATCH(B2361,pr_code,0))&amp;"",""))</f>
        <v/>
      </c>
      <c r="J2361" s="65" t="str">
        <f>IF(COUNTA(A2361:G2361)=0,"",IF(E2361&lt;&gt;"",E2361,IF(B2361="","",IFERROR(IF(INDEX(pr_price,MATCH(B2361,pr_code,0))="","",INDEX(pr_price,MATCH(B2361,pr_code,0))),""))))</f>
        <v/>
      </c>
      <c r="K2361" s="71" t="str">
        <f>IF(COUNTA(A2361:G2361)=0,"",IF(G2361&lt;&gt;"",G2361,IF(B2361="","",IFERROR(IF(INDEX(pr_rate,MATCH(B2361,pr_code,0))="","",INDEX(pr_rate,MATCH(B2361,pr_code,0))),""))))</f>
        <v/>
      </c>
      <c r="L2361" s="65" t="str">
        <f>IF(COUNTA(A2361:G2361)=0,"",IF(AND(ISNUMBER(D2361),ISNUMBER(J2361)),ROUND(D2361*J2361*(1-N(F2361)),2),0))</f>
        <v/>
      </c>
      <c r="M2361" s="62" t="str">
        <f>IF(A2361="","",IFERROR(INDEX(dv_cname,MATCH(A2361,dv_num,0))&amp;"",""))</f>
        <v/>
      </c>
      <c r="N2361" s="59" t="str">
        <f>IF(COUNTA(A2361:G2361)=0,"",IF(A2361="","N° devis manquant",IF(ISNA(MATCH(A2361,dv_num,0)),"Devis inconnu",IF(AND(B2361&lt;&gt;"",ISNA(MATCH(B2361,pr_code,0))),"Article inconnu",IF(H2361="","Désignation manquante",IF(OR(NOT(ISNUMBER(D2361)),N(D2361)&lt;=0),"Quantité invalide",IF(J2361="","Prix manquant",IF(OR(NOT(ISNUMBER(J2361)),N(J2361)&lt;0),"Prix invalide",IF(OR(AND(F2361&lt;&gt;"",NOT(ISNUMBER(F2361))),N(F2361)&lt;0,N(F2361)&gt;1),"Remise invalide",IF(K2361="","Taux de TVA manquant",IF(NOT(ISNUMBER(K2361)),"Taux de TVA invalide",IF(COUNTIF(p_rates,K2361)=0,"Taux de TVA hors liste (Paramètres)",IF(N(O2361)&gt;25,"Au-delà de 25 lignes : non imprimée","OK")))))))))))))</f>
        <v/>
      </c>
      <c r="O2361" s="59" t="str">
        <f>IF(A2361="","",COUNTIF($A$6:A2361,A2361))</f>
        <v/>
      </c>
      <c r="P2361" s="62" t="str">
        <f>IF(A2361="","",A2361&amp;"|"&amp;O2361)</f>
        <v/>
      </c>
    </row>
    <row r="2362">
      <c r="A2362" s="60" t="n"/>
      <c r="B2362" s="63" t="n"/>
      <c r="C2362" s="63" t="n"/>
      <c r="D2362" s="67" t="n"/>
      <c r="E2362" s="68" t="n"/>
      <c r="F2362" s="69" t="n"/>
      <c r="G2362" s="70" t="n"/>
      <c r="H2362" s="62" t="str">
        <f>IF(COUNTA(A2362:G2362)=0,"",IF(C2362&lt;&gt;"",C2362,IF(B2362="","",IFERROR(INDEX(pr_des,MATCH(B2362,pr_code,0))&amp;"",""))))</f>
        <v/>
      </c>
      <c r="I2362" s="59" t="str">
        <f>IF(B2362="","",IFERROR(INDEX(pr_unit,MATCH(B2362,pr_code,0))&amp;"",""))</f>
        <v/>
      </c>
      <c r="J2362" s="65" t="str">
        <f>IF(COUNTA(A2362:G2362)=0,"",IF(E2362&lt;&gt;"",E2362,IF(B2362="","",IFERROR(IF(INDEX(pr_price,MATCH(B2362,pr_code,0))="","",INDEX(pr_price,MATCH(B2362,pr_code,0))),""))))</f>
        <v/>
      </c>
      <c r="K2362" s="71" t="str">
        <f>IF(COUNTA(A2362:G2362)=0,"",IF(G2362&lt;&gt;"",G2362,IF(B2362="","",IFERROR(IF(INDEX(pr_rate,MATCH(B2362,pr_code,0))="","",INDEX(pr_rate,MATCH(B2362,pr_code,0))),""))))</f>
        <v/>
      </c>
      <c r="L2362" s="65" t="str">
        <f>IF(COUNTA(A2362:G2362)=0,"",IF(AND(ISNUMBER(D2362),ISNUMBER(J2362)),ROUND(D2362*J2362*(1-N(F2362)),2),0))</f>
        <v/>
      </c>
      <c r="M2362" s="62" t="str">
        <f>IF(A2362="","",IFERROR(INDEX(dv_cname,MATCH(A2362,dv_num,0))&amp;"",""))</f>
        <v/>
      </c>
      <c r="N2362" s="59" t="str">
        <f>IF(COUNTA(A2362:G2362)=0,"",IF(A2362="","N° devis manquant",IF(ISNA(MATCH(A2362,dv_num,0)),"Devis inconnu",IF(AND(B2362&lt;&gt;"",ISNA(MATCH(B2362,pr_code,0))),"Article inconnu",IF(H2362="","Désignation manquante",IF(OR(NOT(ISNUMBER(D2362)),N(D2362)&lt;=0),"Quantité invalide",IF(J2362="","Prix manquant",IF(OR(NOT(ISNUMBER(J2362)),N(J2362)&lt;0),"Prix invalide",IF(OR(AND(F2362&lt;&gt;"",NOT(ISNUMBER(F2362))),N(F2362)&lt;0,N(F2362)&gt;1),"Remise invalide",IF(K2362="","Taux de TVA manquant",IF(NOT(ISNUMBER(K2362)),"Taux de TVA invalide",IF(COUNTIF(p_rates,K2362)=0,"Taux de TVA hors liste (Paramètres)",IF(N(O2362)&gt;25,"Au-delà de 25 lignes : non imprimée","OK")))))))))))))</f>
        <v/>
      </c>
      <c r="O2362" s="59" t="str">
        <f>IF(A2362="","",COUNTIF($A$6:A2362,A2362))</f>
        <v/>
      </c>
      <c r="P2362" s="62" t="str">
        <f>IF(A2362="","",A2362&amp;"|"&amp;O2362)</f>
        <v/>
      </c>
    </row>
    <row r="2363">
      <c r="A2363" s="60" t="n"/>
      <c r="B2363" s="63" t="n"/>
      <c r="C2363" s="63" t="n"/>
      <c r="D2363" s="67" t="n"/>
      <c r="E2363" s="68" t="n"/>
      <c r="F2363" s="69" t="n"/>
      <c r="G2363" s="70" t="n"/>
      <c r="H2363" s="62" t="str">
        <f>IF(COUNTA(A2363:G2363)=0,"",IF(C2363&lt;&gt;"",C2363,IF(B2363="","",IFERROR(INDEX(pr_des,MATCH(B2363,pr_code,0))&amp;"",""))))</f>
        <v/>
      </c>
      <c r="I2363" s="59" t="str">
        <f>IF(B2363="","",IFERROR(INDEX(pr_unit,MATCH(B2363,pr_code,0))&amp;"",""))</f>
        <v/>
      </c>
      <c r="J2363" s="65" t="str">
        <f>IF(COUNTA(A2363:G2363)=0,"",IF(E2363&lt;&gt;"",E2363,IF(B2363="","",IFERROR(IF(INDEX(pr_price,MATCH(B2363,pr_code,0))="","",INDEX(pr_price,MATCH(B2363,pr_code,0))),""))))</f>
        <v/>
      </c>
      <c r="K2363" s="71" t="str">
        <f>IF(COUNTA(A2363:G2363)=0,"",IF(G2363&lt;&gt;"",G2363,IF(B2363="","",IFERROR(IF(INDEX(pr_rate,MATCH(B2363,pr_code,0))="","",INDEX(pr_rate,MATCH(B2363,pr_code,0))),""))))</f>
        <v/>
      </c>
      <c r="L2363" s="65" t="str">
        <f>IF(COUNTA(A2363:G2363)=0,"",IF(AND(ISNUMBER(D2363),ISNUMBER(J2363)),ROUND(D2363*J2363*(1-N(F2363)),2),0))</f>
        <v/>
      </c>
      <c r="M2363" s="62" t="str">
        <f>IF(A2363="","",IFERROR(INDEX(dv_cname,MATCH(A2363,dv_num,0))&amp;"",""))</f>
        <v/>
      </c>
      <c r="N2363" s="59" t="str">
        <f>IF(COUNTA(A2363:G2363)=0,"",IF(A2363="","N° devis manquant",IF(ISNA(MATCH(A2363,dv_num,0)),"Devis inconnu",IF(AND(B2363&lt;&gt;"",ISNA(MATCH(B2363,pr_code,0))),"Article inconnu",IF(H2363="","Désignation manquante",IF(OR(NOT(ISNUMBER(D2363)),N(D2363)&lt;=0),"Quantité invalide",IF(J2363="","Prix manquant",IF(OR(NOT(ISNUMBER(J2363)),N(J2363)&lt;0),"Prix invalide",IF(OR(AND(F2363&lt;&gt;"",NOT(ISNUMBER(F2363))),N(F2363)&lt;0,N(F2363)&gt;1),"Remise invalide",IF(K2363="","Taux de TVA manquant",IF(NOT(ISNUMBER(K2363)),"Taux de TVA invalide",IF(COUNTIF(p_rates,K2363)=0,"Taux de TVA hors liste (Paramètres)",IF(N(O2363)&gt;25,"Au-delà de 25 lignes : non imprimée","OK")))))))))))))</f>
        <v/>
      </c>
      <c r="O2363" s="59" t="str">
        <f>IF(A2363="","",COUNTIF($A$6:A2363,A2363))</f>
        <v/>
      </c>
      <c r="P2363" s="62" t="str">
        <f>IF(A2363="","",A2363&amp;"|"&amp;O2363)</f>
        <v/>
      </c>
    </row>
    <row r="2364">
      <c r="A2364" s="60" t="n"/>
      <c r="B2364" s="63" t="n"/>
      <c r="C2364" s="63" t="n"/>
      <c r="D2364" s="67" t="n"/>
      <c r="E2364" s="68" t="n"/>
      <c r="F2364" s="69" t="n"/>
      <c r="G2364" s="70" t="n"/>
      <c r="H2364" s="62" t="str">
        <f>IF(COUNTA(A2364:G2364)=0,"",IF(C2364&lt;&gt;"",C2364,IF(B2364="","",IFERROR(INDEX(pr_des,MATCH(B2364,pr_code,0))&amp;"",""))))</f>
        <v/>
      </c>
      <c r="I2364" s="59" t="str">
        <f>IF(B2364="","",IFERROR(INDEX(pr_unit,MATCH(B2364,pr_code,0))&amp;"",""))</f>
        <v/>
      </c>
      <c r="J2364" s="65" t="str">
        <f>IF(COUNTA(A2364:G2364)=0,"",IF(E2364&lt;&gt;"",E2364,IF(B2364="","",IFERROR(IF(INDEX(pr_price,MATCH(B2364,pr_code,0))="","",INDEX(pr_price,MATCH(B2364,pr_code,0))),""))))</f>
        <v/>
      </c>
      <c r="K2364" s="71" t="str">
        <f>IF(COUNTA(A2364:G2364)=0,"",IF(G2364&lt;&gt;"",G2364,IF(B2364="","",IFERROR(IF(INDEX(pr_rate,MATCH(B2364,pr_code,0))="","",INDEX(pr_rate,MATCH(B2364,pr_code,0))),""))))</f>
        <v/>
      </c>
      <c r="L2364" s="65" t="str">
        <f>IF(COUNTA(A2364:G2364)=0,"",IF(AND(ISNUMBER(D2364),ISNUMBER(J2364)),ROUND(D2364*J2364*(1-N(F2364)),2),0))</f>
        <v/>
      </c>
      <c r="M2364" s="62" t="str">
        <f>IF(A2364="","",IFERROR(INDEX(dv_cname,MATCH(A2364,dv_num,0))&amp;"",""))</f>
        <v/>
      </c>
      <c r="N2364" s="59" t="str">
        <f>IF(COUNTA(A2364:G2364)=0,"",IF(A2364="","N° devis manquant",IF(ISNA(MATCH(A2364,dv_num,0)),"Devis inconnu",IF(AND(B2364&lt;&gt;"",ISNA(MATCH(B2364,pr_code,0))),"Article inconnu",IF(H2364="","Désignation manquante",IF(OR(NOT(ISNUMBER(D2364)),N(D2364)&lt;=0),"Quantité invalide",IF(J2364="","Prix manquant",IF(OR(NOT(ISNUMBER(J2364)),N(J2364)&lt;0),"Prix invalide",IF(OR(AND(F2364&lt;&gt;"",NOT(ISNUMBER(F2364))),N(F2364)&lt;0,N(F2364)&gt;1),"Remise invalide",IF(K2364="","Taux de TVA manquant",IF(NOT(ISNUMBER(K2364)),"Taux de TVA invalide",IF(COUNTIF(p_rates,K2364)=0,"Taux de TVA hors liste (Paramètres)",IF(N(O2364)&gt;25,"Au-delà de 25 lignes : non imprimée","OK")))))))))))))</f>
        <v/>
      </c>
      <c r="O2364" s="59" t="str">
        <f>IF(A2364="","",COUNTIF($A$6:A2364,A2364))</f>
        <v/>
      </c>
      <c r="P2364" s="62" t="str">
        <f>IF(A2364="","",A2364&amp;"|"&amp;O2364)</f>
        <v/>
      </c>
    </row>
    <row r="2365">
      <c r="A2365" s="60" t="n"/>
      <c r="B2365" s="63" t="n"/>
      <c r="C2365" s="63" t="n"/>
      <c r="D2365" s="67" t="n"/>
      <c r="E2365" s="68" t="n"/>
      <c r="F2365" s="69" t="n"/>
      <c r="G2365" s="70" t="n"/>
      <c r="H2365" s="62" t="str">
        <f>IF(COUNTA(A2365:G2365)=0,"",IF(C2365&lt;&gt;"",C2365,IF(B2365="","",IFERROR(INDEX(pr_des,MATCH(B2365,pr_code,0))&amp;"",""))))</f>
        <v/>
      </c>
      <c r="I2365" s="59" t="str">
        <f>IF(B2365="","",IFERROR(INDEX(pr_unit,MATCH(B2365,pr_code,0))&amp;"",""))</f>
        <v/>
      </c>
      <c r="J2365" s="65" t="str">
        <f>IF(COUNTA(A2365:G2365)=0,"",IF(E2365&lt;&gt;"",E2365,IF(B2365="","",IFERROR(IF(INDEX(pr_price,MATCH(B2365,pr_code,0))="","",INDEX(pr_price,MATCH(B2365,pr_code,0))),""))))</f>
        <v/>
      </c>
      <c r="K2365" s="71" t="str">
        <f>IF(COUNTA(A2365:G2365)=0,"",IF(G2365&lt;&gt;"",G2365,IF(B2365="","",IFERROR(IF(INDEX(pr_rate,MATCH(B2365,pr_code,0))="","",INDEX(pr_rate,MATCH(B2365,pr_code,0))),""))))</f>
        <v/>
      </c>
      <c r="L2365" s="65" t="str">
        <f>IF(COUNTA(A2365:G2365)=0,"",IF(AND(ISNUMBER(D2365),ISNUMBER(J2365)),ROUND(D2365*J2365*(1-N(F2365)),2),0))</f>
        <v/>
      </c>
      <c r="M2365" s="62" t="str">
        <f>IF(A2365="","",IFERROR(INDEX(dv_cname,MATCH(A2365,dv_num,0))&amp;"",""))</f>
        <v/>
      </c>
      <c r="N2365" s="59" t="str">
        <f>IF(COUNTA(A2365:G2365)=0,"",IF(A2365="","N° devis manquant",IF(ISNA(MATCH(A2365,dv_num,0)),"Devis inconnu",IF(AND(B2365&lt;&gt;"",ISNA(MATCH(B2365,pr_code,0))),"Article inconnu",IF(H2365="","Désignation manquante",IF(OR(NOT(ISNUMBER(D2365)),N(D2365)&lt;=0),"Quantité invalide",IF(J2365="","Prix manquant",IF(OR(NOT(ISNUMBER(J2365)),N(J2365)&lt;0),"Prix invalide",IF(OR(AND(F2365&lt;&gt;"",NOT(ISNUMBER(F2365))),N(F2365)&lt;0,N(F2365)&gt;1),"Remise invalide",IF(K2365="","Taux de TVA manquant",IF(NOT(ISNUMBER(K2365)),"Taux de TVA invalide",IF(COUNTIF(p_rates,K2365)=0,"Taux de TVA hors liste (Paramètres)",IF(N(O2365)&gt;25,"Au-delà de 25 lignes : non imprimée","OK")))))))))))))</f>
        <v/>
      </c>
      <c r="O2365" s="59" t="str">
        <f>IF(A2365="","",COUNTIF($A$6:A2365,A2365))</f>
        <v/>
      </c>
      <c r="P2365" s="62" t="str">
        <f>IF(A2365="","",A2365&amp;"|"&amp;O2365)</f>
        <v/>
      </c>
    </row>
    <row r="2366">
      <c r="A2366" s="60" t="n"/>
      <c r="B2366" s="63" t="n"/>
      <c r="C2366" s="63" t="n"/>
      <c r="D2366" s="67" t="n"/>
      <c r="E2366" s="68" t="n"/>
      <c r="F2366" s="69" t="n"/>
      <c r="G2366" s="70" t="n"/>
      <c r="H2366" s="62" t="str">
        <f>IF(COUNTA(A2366:G2366)=0,"",IF(C2366&lt;&gt;"",C2366,IF(B2366="","",IFERROR(INDEX(pr_des,MATCH(B2366,pr_code,0))&amp;"",""))))</f>
        <v/>
      </c>
      <c r="I2366" s="59" t="str">
        <f>IF(B2366="","",IFERROR(INDEX(pr_unit,MATCH(B2366,pr_code,0))&amp;"",""))</f>
        <v/>
      </c>
      <c r="J2366" s="65" t="str">
        <f>IF(COUNTA(A2366:G2366)=0,"",IF(E2366&lt;&gt;"",E2366,IF(B2366="","",IFERROR(IF(INDEX(pr_price,MATCH(B2366,pr_code,0))="","",INDEX(pr_price,MATCH(B2366,pr_code,0))),""))))</f>
        <v/>
      </c>
      <c r="K2366" s="71" t="str">
        <f>IF(COUNTA(A2366:G2366)=0,"",IF(G2366&lt;&gt;"",G2366,IF(B2366="","",IFERROR(IF(INDEX(pr_rate,MATCH(B2366,pr_code,0))="","",INDEX(pr_rate,MATCH(B2366,pr_code,0))),""))))</f>
        <v/>
      </c>
      <c r="L2366" s="65" t="str">
        <f>IF(COUNTA(A2366:G2366)=0,"",IF(AND(ISNUMBER(D2366),ISNUMBER(J2366)),ROUND(D2366*J2366*(1-N(F2366)),2),0))</f>
        <v/>
      </c>
      <c r="M2366" s="62" t="str">
        <f>IF(A2366="","",IFERROR(INDEX(dv_cname,MATCH(A2366,dv_num,0))&amp;"",""))</f>
        <v/>
      </c>
      <c r="N2366" s="59" t="str">
        <f>IF(COUNTA(A2366:G2366)=0,"",IF(A2366="","N° devis manquant",IF(ISNA(MATCH(A2366,dv_num,0)),"Devis inconnu",IF(AND(B2366&lt;&gt;"",ISNA(MATCH(B2366,pr_code,0))),"Article inconnu",IF(H2366="","Désignation manquante",IF(OR(NOT(ISNUMBER(D2366)),N(D2366)&lt;=0),"Quantité invalide",IF(J2366="","Prix manquant",IF(OR(NOT(ISNUMBER(J2366)),N(J2366)&lt;0),"Prix invalide",IF(OR(AND(F2366&lt;&gt;"",NOT(ISNUMBER(F2366))),N(F2366)&lt;0,N(F2366)&gt;1),"Remise invalide",IF(K2366="","Taux de TVA manquant",IF(NOT(ISNUMBER(K2366)),"Taux de TVA invalide",IF(COUNTIF(p_rates,K2366)=0,"Taux de TVA hors liste (Paramètres)",IF(N(O2366)&gt;25,"Au-delà de 25 lignes : non imprimée","OK")))))))))))))</f>
        <v/>
      </c>
      <c r="O2366" s="59" t="str">
        <f>IF(A2366="","",COUNTIF($A$6:A2366,A2366))</f>
        <v/>
      </c>
      <c r="P2366" s="62" t="str">
        <f>IF(A2366="","",A2366&amp;"|"&amp;O2366)</f>
        <v/>
      </c>
    </row>
    <row r="2367">
      <c r="A2367" s="60" t="n"/>
      <c r="B2367" s="63" t="n"/>
      <c r="C2367" s="63" t="n"/>
      <c r="D2367" s="67" t="n"/>
      <c r="E2367" s="68" t="n"/>
      <c r="F2367" s="69" t="n"/>
      <c r="G2367" s="70" t="n"/>
      <c r="H2367" s="62" t="str">
        <f>IF(COUNTA(A2367:G2367)=0,"",IF(C2367&lt;&gt;"",C2367,IF(B2367="","",IFERROR(INDEX(pr_des,MATCH(B2367,pr_code,0))&amp;"",""))))</f>
        <v/>
      </c>
      <c r="I2367" s="59" t="str">
        <f>IF(B2367="","",IFERROR(INDEX(pr_unit,MATCH(B2367,pr_code,0))&amp;"",""))</f>
        <v/>
      </c>
      <c r="J2367" s="65" t="str">
        <f>IF(COUNTA(A2367:G2367)=0,"",IF(E2367&lt;&gt;"",E2367,IF(B2367="","",IFERROR(IF(INDEX(pr_price,MATCH(B2367,pr_code,0))="","",INDEX(pr_price,MATCH(B2367,pr_code,0))),""))))</f>
        <v/>
      </c>
      <c r="K2367" s="71" t="str">
        <f>IF(COUNTA(A2367:G2367)=0,"",IF(G2367&lt;&gt;"",G2367,IF(B2367="","",IFERROR(IF(INDEX(pr_rate,MATCH(B2367,pr_code,0))="","",INDEX(pr_rate,MATCH(B2367,pr_code,0))),""))))</f>
        <v/>
      </c>
      <c r="L2367" s="65" t="str">
        <f>IF(COUNTA(A2367:G2367)=0,"",IF(AND(ISNUMBER(D2367),ISNUMBER(J2367)),ROUND(D2367*J2367*(1-N(F2367)),2),0))</f>
        <v/>
      </c>
      <c r="M2367" s="62" t="str">
        <f>IF(A2367="","",IFERROR(INDEX(dv_cname,MATCH(A2367,dv_num,0))&amp;"",""))</f>
        <v/>
      </c>
      <c r="N2367" s="59" t="str">
        <f>IF(COUNTA(A2367:G2367)=0,"",IF(A2367="","N° devis manquant",IF(ISNA(MATCH(A2367,dv_num,0)),"Devis inconnu",IF(AND(B2367&lt;&gt;"",ISNA(MATCH(B2367,pr_code,0))),"Article inconnu",IF(H2367="","Désignation manquante",IF(OR(NOT(ISNUMBER(D2367)),N(D2367)&lt;=0),"Quantité invalide",IF(J2367="","Prix manquant",IF(OR(NOT(ISNUMBER(J2367)),N(J2367)&lt;0),"Prix invalide",IF(OR(AND(F2367&lt;&gt;"",NOT(ISNUMBER(F2367))),N(F2367)&lt;0,N(F2367)&gt;1),"Remise invalide",IF(K2367="","Taux de TVA manquant",IF(NOT(ISNUMBER(K2367)),"Taux de TVA invalide",IF(COUNTIF(p_rates,K2367)=0,"Taux de TVA hors liste (Paramètres)",IF(N(O2367)&gt;25,"Au-delà de 25 lignes : non imprimée","OK")))))))))))))</f>
        <v/>
      </c>
      <c r="O2367" s="59" t="str">
        <f>IF(A2367="","",COUNTIF($A$6:A2367,A2367))</f>
        <v/>
      </c>
      <c r="P2367" s="62" t="str">
        <f>IF(A2367="","",A2367&amp;"|"&amp;O2367)</f>
        <v/>
      </c>
    </row>
    <row r="2368">
      <c r="A2368" s="60" t="n"/>
      <c r="B2368" s="63" t="n"/>
      <c r="C2368" s="63" t="n"/>
      <c r="D2368" s="67" t="n"/>
      <c r="E2368" s="68" t="n"/>
      <c r="F2368" s="69" t="n"/>
      <c r="G2368" s="70" t="n"/>
      <c r="H2368" s="62" t="str">
        <f>IF(COUNTA(A2368:G2368)=0,"",IF(C2368&lt;&gt;"",C2368,IF(B2368="","",IFERROR(INDEX(pr_des,MATCH(B2368,pr_code,0))&amp;"",""))))</f>
        <v/>
      </c>
      <c r="I2368" s="59" t="str">
        <f>IF(B2368="","",IFERROR(INDEX(pr_unit,MATCH(B2368,pr_code,0))&amp;"",""))</f>
        <v/>
      </c>
      <c r="J2368" s="65" t="str">
        <f>IF(COUNTA(A2368:G2368)=0,"",IF(E2368&lt;&gt;"",E2368,IF(B2368="","",IFERROR(IF(INDEX(pr_price,MATCH(B2368,pr_code,0))="","",INDEX(pr_price,MATCH(B2368,pr_code,0))),""))))</f>
        <v/>
      </c>
      <c r="K2368" s="71" t="str">
        <f>IF(COUNTA(A2368:G2368)=0,"",IF(G2368&lt;&gt;"",G2368,IF(B2368="","",IFERROR(IF(INDEX(pr_rate,MATCH(B2368,pr_code,0))="","",INDEX(pr_rate,MATCH(B2368,pr_code,0))),""))))</f>
        <v/>
      </c>
      <c r="L2368" s="65" t="str">
        <f>IF(COUNTA(A2368:G2368)=0,"",IF(AND(ISNUMBER(D2368),ISNUMBER(J2368)),ROUND(D2368*J2368*(1-N(F2368)),2),0))</f>
        <v/>
      </c>
      <c r="M2368" s="62" t="str">
        <f>IF(A2368="","",IFERROR(INDEX(dv_cname,MATCH(A2368,dv_num,0))&amp;"",""))</f>
        <v/>
      </c>
      <c r="N2368" s="59" t="str">
        <f>IF(COUNTA(A2368:G2368)=0,"",IF(A2368="","N° devis manquant",IF(ISNA(MATCH(A2368,dv_num,0)),"Devis inconnu",IF(AND(B2368&lt;&gt;"",ISNA(MATCH(B2368,pr_code,0))),"Article inconnu",IF(H2368="","Désignation manquante",IF(OR(NOT(ISNUMBER(D2368)),N(D2368)&lt;=0),"Quantité invalide",IF(J2368="","Prix manquant",IF(OR(NOT(ISNUMBER(J2368)),N(J2368)&lt;0),"Prix invalide",IF(OR(AND(F2368&lt;&gt;"",NOT(ISNUMBER(F2368))),N(F2368)&lt;0,N(F2368)&gt;1),"Remise invalide",IF(K2368="","Taux de TVA manquant",IF(NOT(ISNUMBER(K2368)),"Taux de TVA invalide",IF(COUNTIF(p_rates,K2368)=0,"Taux de TVA hors liste (Paramètres)",IF(N(O2368)&gt;25,"Au-delà de 25 lignes : non imprimée","OK")))))))))))))</f>
        <v/>
      </c>
      <c r="O2368" s="59" t="str">
        <f>IF(A2368="","",COUNTIF($A$6:A2368,A2368))</f>
        <v/>
      </c>
      <c r="P2368" s="62" t="str">
        <f>IF(A2368="","",A2368&amp;"|"&amp;O2368)</f>
        <v/>
      </c>
    </row>
    <row r="2369">
      <c r="A2369" s="60" t="n"/>
      <c r="B2369" s="63" t="n"/>
      <c r="C2369" s="63" t="n"/>
      <c r="D2369" s="67" t="n"/>
      <c r="E2369" s="68" t="n"/>
      <c r="F2369" s="69" t="n"/>
      <c r="G2369" s="70" t="n"/>
      <c r="H2369" s="62" t="str">
        <f>IF(COUNTA(A2369:G2369)=0,"",IF(C2369&lt;&gt;"",C2369,IF(B2369="","",IFERROR(INDEX(pr_des,MATCH(B2369,pr_code,0))&amp;"",""))))</f>
        <v/>
      </c>
      <c r="I2369" s="59" t="str">
        <f>IF(B2369="","",IFERROR(INDEX(pr_unit,MATCH(B2369,pr_code,0))&amp;"",""))</f>
        <v/>
      </c>
      <c r="J2369" s="65" t="str">
        <f>IF(COUNTA(A2369:G2369)=0,"",IF(E2369&lt;&gt;"",E2369,IF(B2369="","",IFERROR(IF(INDEX(pr_price,MATCH(B2369,pr_code,0))="","",INDEX(pr_price,MATCH(B2369,pr_code,0))),""))))</f>
        <v/>
      </c>
      <c r="K2369" s="71" t="str">
        <f>IF(COUNTA(A2369:G2369)=0,"",IF(G2369&lt;&gt;"",G2369,IF(B2369="","",IFERROR(IF(INDEX(pr_rate,MATCH(B2369,pr_code,0))="","",INDEX(pr_rate,MATCH(B2369,pr_code,0))),""))))</f>
        <v/>
      </c>
      <c r="L2369" s="65" t="str">
        <f>IF(COUNTA(A2369:G2369)=0,"",IF(AND(ISNUMBER(D2369),ISNUMBER(J2369)),ROUND(D2369*J2369*(1-N(F2369)),2),0))</f>
        <v/>
      </c>
      <c r="M2369" s="62" t="str">
        <f>IF(A2369="","",IFERROR(INDEX(dv_cname,MATCH(A2369,dv_num,0))&amp;"",""))</f>
        <v/>
      </c>
      <c r="N2369" s="59" t="str">
        <f>IF(COUNTA(A2369:G2369)=0,"",IF(A2369="","N° devis manquant",IF(ISNA(MATCH(A2369,dv_num,0)),"Devis inconnu",IF(AND(B2369&lt;&gt;"",ISNA(MATCH(B2369,pr_code,0))),"Article inconnu",IF(H2369="","Désignation manquante",IF(OR(NOT(ISNUMBER(D2369)),N(D2369)&lt;=0),"Quantité invalide",IF(J2369="","Prix manquant",IF(OR(NOT(ISNUMBER(J2369)),N(J2369)&lt;0),"Prix invalide",IF(OR(AND(F2369&lt;&gt;"",NOT(ISNUMBER(F2369))),N(F2369)&lt;0,N(F2369)&gt;1),"Remise invalide",IF(K2369="","Taux de TVA manquant",IF(NOT(ISNUMBER(K2369)),"Taux de TVA invalide",IF(COUNTIF(p_rates,K2369)=0,"Taux de TVA hors liste (Paramètres)",IF(N(O2369)&gt;25,"Au-delà de 25 lignes : non imprimée","OK")))))))))))))</f>
        <v/>
      </c>
      <c r="O2369" s="59" t="str">
        <f>IF(A2369="","",COUNTIF($A$6:A2369,A2369))</f>
        <v/>
      </c>
      <c r="P2369" s="62" t="str">
        <f>IF(A2369="","",A2369&amp;"|"&amp;O2369)</f>
        <v/>
      </c>
    </row>
    <row r="2370">
      <c r="A2370" s="60" t="n"/>
      <c r="B2370" s="63" t="n"/>
      <c r="C2370" s="63" t="n"/>
      <c r="D2370" s="67" t="n"/>
      <c r="E2370" s="68" t="n"/>
      <c r="F2370" s="69" t="n"/>
      <c r="G2370" s="70" t="n"/>
      <c r="H2370" s="62" t="str">
        <f>IF(COUNTA(A2370:G2370)=0,"",IF(C2370&lt;&gt;"",C2370,IF(B2370="","",IFERROR(INDEX(pr_des,MATCH(B2370,pr_code,0))&amp;"",""))))</f>
        <v/>
      </c>
      <c r="I2370" s="59" t="str">
        <f>IF(B2370="","",IFERROR(INDEX(pr_unit,MATCH(B2370,pr_code,0))&amp;"",""))</f>
        <v/>
      </c>
      <c r="J2370" s="65" t="str">
        <f>IF(COUNTA(A2370:G2370)=0,"",IF(E2370&lt;&gt;"",E2370,IF(B2370="","",IFERROR(IF(INDEX(pr_price,MATCH(B2370,pr_code,0))="","",INDEX(pr_price,MATCH(B2370,pr_code,0))),""))))</f>
        <v/>
      </c>
      <c r="K2370" s="71" t="str">
        <f>IF(COUNTA(A2370:G2370)=0,"",IF(G2370&lt;&gt;"",G2370,IF(B2370="","",IFERROR(IF(INDEX(pr_rate,MATCH(B2370,pr_code,0))="","",INDEX(pr_rate,MATCH(B2370,pr_code,0))),""))))</f>
        <v/>
      </c>
      <c r="L2370" s="65" t="str">
        <f>IF(COUNTA(A2370:G2370)=0,"",IF(AND(ISNUMBER(D2370),ISNUMBER(J2370)),ROUND(D2370*J2370*(1-N(F2370)),2),0))</f>
        <v/>
      </c>
      <c r="M2370" s="62" t="str">
        <f>IF(A2370="","",IFERROR(INDEX(dv_cname,MATCH(A2370,dv_num,0))&amp;"",""))</f>
        <v/>
      </c>
      <c r="N2370" s="59" t="str">
        <f>IF(COUNTA(A2370:G2370)=0,"",IF(A2370="","N° devis manquant",IF(ISNA(MATCH(A2370,dv_num,0)),"Devis inconnu",IF(AND(B2370&lt;&gt;"",ISNA(MATCH(B2370,pr_code,0))),"Article inconnu",IF(H2370="","Désignation manquante",IF(OR(NOT(ISNUMBER(D2370)),N(D2370)&lt;=0),"Quantité invalide",IF(J2370="","Prix manquant",IF(OR(NOT(ISNUMBER(J2370)),N(J2370)&lt;0),"Prix invalide",IF(OR(AND(F2370&lt;&gt;"",NOT(ISNUMBER(F2370))),N(F2370)&lt;0,N(F2370)&gt;1),"Remise invalide",IF(K2370="","Taux de TVA manquant",IF(NOT(ISNUMBER(K2370)),"Taux de TVA invalide",IF(COUNTIF(p_rates,K2370)=0,"Taux de TVA hors liste (Paramètres)",IF(N(O2370)&gt;25,"Au-delà de 25 lignes : non imprimée","OK")))))))))))))</f>
        <v/>
      </c>
      <c r="O2370" s="59" t="str">
        <f>IF(A2370="","",COUNTIF($A$6:A2370,A2370))</f>
        <v/>
      </c>
      <c r="P2370" s="62" t="str">
        <f>IF(A2370="","",A2370&amp;"|"&amp;O2370)</f>
        <v/>
      </c>
    </row>
    <row r="2371">
      <c r="A2371" s="60" t="n"/>
      <c r="B2371" s="63" t="n"/>
      <c r="C2371" s="63" t="n"/>
      <c r="D2371" s="67" t="n"/>
      <c r="E2371" s="68" t="n"/>
      <c r="F2371" s="69" t="n"/>
      <c r="G2371" s="70" t="n"/>
      <c r="H2371" s="62" t="str">
        <f>IF(COUNTA(A2371:G2371)=0,"",IF(C2371&lt;&gt;"",C2371,IF(B2371="","",IFERROR(INDEX(pr_des,MATCH(B2371,pr_code,0))&amp;"",""))))</f>
        <v/>
      </c>
      <c r="I2371" s="59" t="str">
        <f>IF(B2371="","",IFERROR(INDEX(pr_unit,MATCH(B2371,pr_code,0))&amp;"",""))</f>
        <v/>
      </c>
      <c r="J2371" s="65" t="str">
        <f>IF(COUNTA(A2371:G2371)=0,"",IF(E2371&lt;&gt;"",E2371,IF(B2371="","",IFERROR(IF(INDEX(pr_price,MATCH(B2371,pr_code,0))="","",INDEX(pr_price,MATCH(B2371,pr_code,0))),""))))</f>
        <v/>
      </c>
      <c r="K2371" s="71" t="str">
        <f>IF(COUNTA(A2371:G2371)=0,"",IF(G2371&lt;&gt;"",G2371,IF(B2371="","",IFERROR(IF(INDEX(pr_rate,MATCH(B2371,pr_code,0))="","",INDEX(pr_rate,MATCH(B2371,pr_code,0))),""))))</f>
        <v/>
      </c>
      <c r="L2371" s="65" t="str">
        <f>IF(COUNTA(A2371:G2371)=0,"",IF(AND(ISNUMBER(D2371),ISNUMBER(J2371)),ROUND(D2371*J2371*(1-N(F2371)),2),0))</f>
        <v/>
      </c>
      <c r="M2371" s="62" t="str">
        <f>IF(A2371="","",IFERROR(INDEX(dv_cname,MATCH(A2371,dv_num,0))&amp;"",""))</f>
        <v/>
      </c>
      <c r="N2371" s="59" t="str">
        <f>IF(COUNTA(A2371:G2371)=0,"",IF(A2371="","N° devis manquant",IF(ISNA(MATCH(A2371,dv_num,0)),"Devis inconnu",IF(AND(B2371&lt;&gt;"",ISNA(MATCH(B2371,pr_code,0))),"Article inconnu",IF(H2371="","Désignation manquante",IF(OR(NOT(ISNUMBER(D2371)),N(D2371)&lt;=0),"Quantité invalide",IF(J2371="","Prix manquant",IF(OR(NOT(ISNUMBER(J2371)),N(J2371)&lt;0),"Prix invalide",IF(OR(AND(F2371&lt;&gt;"",NOT(ISNUMBER(F2371))),N(F2371)&lt;0,N(F2371)&gt;1),"Remise invalide",IF(K2371="","Taux de TVA manquant",IF(NOT(ISNUMBER(K2371)),"Taux de TVA invalide",IF(COUNTIF(p_rates,K2371)=0,"Taux de TVA hors liste (Paramètres)",IF(N(O2371)&gt;25,"Au-delà de 25 lignes : non imprimée","OK")))))))))))))</f>
        <v/>
      </c>
      <c r="O2371" s="59" t="str">
        <f>IF(A2371="","",COUNTIF($A$6:A2371,A2371))</f>
        <v/>
      </c>
      <c r="P2371" s="62" t="str">
        <f>IF(A2371="","",A2371&amp;"|"&amp;O2371)</f>
        <v/>
      </c>
    </row>
    <row r="2372">
      <c r="A2372" s="60" t="n"/>
      <c r="B2372" s="63" t="n"/>
      <c r="C2372" s="63" t="n"/>
      <c r="D2372" s="67" t="n"/>
      <c r="E2372" s="68" t="n"/>
      <c r="F2372" s="69" t="n"/>
      <c r="G2372" s="70" t="n"/>
      <c r="H2372" s="62" t="str">
        <f>IF(COUNTA(A2372:G2372)=0,"",IF(C2372&lt;&gt;"",C2372,IF(B2372="","",IFERROR(INDEX(pr_des,MATCH(B2372,pr_code,0))&amp;"",""))))</f>
        <v/>
      </c>
      <c r="I2372" s="59" t="str">
        <f>IF(B2372="","",IFERROR(INDEX(pr_unit,MATCH(B2372,pr_code,0))&amp;"",""))</f>
        <v/>
      </c>
      <c r="J2372" s="65" t="str">
        <f>IF(COUNTA(A2372:G2372)=0,"",IF(E2372&lt;&gt;"",E2372,IF(B2372="","",IFERROR(IF(INDEX(pr_price,MATCH(B2372,pr_code,0))="","",INDEX(pr_price,MATCH(B2372,pr_code,0))),""))))</f>
        <v/>
      </c>
      <c r="K2372" s="71" t="str">
        <f>IF(COUNTA(A2372:G2372)=0,"",IF(G2372&lt;&gt;"",G2372,IF(B2372="","",IFERROR(IF(INDEX(pr_rate,MATCH(B2372,pr_code,0))="","",INDEX(pr_rate,MATCH(B2372,pr_code,0))),""))))</f>
        <v/>
      </c>
      <c r="L2372" s="65" t="str">
        <f>IF(COUNTA(A2372:G2372)=0,"",IF(AND(ISNUMBER(D2372),ISNUMBER(J2372)),ROUND(D2372*J2372*(1-N(F2372)),2),0))</f>
        <v/>
      </c>
      <c r="M2372" s="62" t="str">
        <f>IF(A2372="","",IFERROR(INDEX(dv_cname,MATCH(A2372,dv_num,0))&amp;"",""))</f>
        <v/>
      </c>
      <c r="N2372" s="59" t="str">
        <f>IF(COUNTA(A2372:G2372)=0,"",IF(A2372="","N° devis manquant",IF(ISNA(MATCH(A2372,dv_num,0)),"Devis inconnu",IF(AND(B2372&lt;&gt;"",ISNA(MATCH(B2372,pr_code,0))),"Article inconnu",IF(H2372="","Désignation manquante",IF(OR(NOT(ISNUMBER(D2372)),N(D2372)&lt;=0),"Quantité invalide",IF(J2372="","Prix manquant",IF(OR(NOT(ISNUMBER(J2372)),N(J2372)&lt;0),"Prix invalide",IF(OR(AND(F2372&lt;&gt;"",NOT(ISNUMBER(F2372))),N(F2372)&lt;0,N(F2372)&gt;1),"Remise invalide",IF(K2372="","Taux de TVA manquant",IF(NOT(ISNUMBER(K2372)),"Taux de TVA invalide",IF(COUNTIF(p_rates,K2372)=0,"Taux de TVA hors liste (Paramètres)",IF(N(O2372)&gt;25,"Au-delà de 25 lignes : non imprimée","OK")))))))))))))</f>
        <v/>
      </c>
      <c r="O2372" s="59" t="str">
        <f>IF(A2372="","",COUNTIF($A$6:A2372,A2372))</f>
        <v/>
      </c>
      <c r="P2372" s="62" t="str">
        <f>IF(A2372="","",A2372&amp;"|"&amp;O2372)</f>
        <v/>
      </c>
    </row>
    <row r="2373">
      <c r="A2373" s="60" t="n"/>
      <c r="B2373" s="63" t="n"/>
      <c r="C2373" s="63" t="n"/>
      <c r="D2373" s="67" t="n"/>
      <c r="E2373" s="68" t="n"/>
      <c r="F2373" s="69" t="n"/>
      <c r="G2373" s="70" t="n"/>
      <c r="H2373" s="62" t="str">
        <f>IF(COUNTA(A2373:G2373)=0,"",IF(C2373&lt;&gt;"",C2373,IF(B2373="","",IFERROR(INDEX(pr_des,MATCH(B2373,pr_code,0))&amp;"",""))))</f>
        <v/>
      </c>
      <c r="I2373" s="59" t="str">
        <f>IF(B2373="","",IFERROR(INDEX(pr_unit,MATCH(B2373,pr_code,0))&amp;"",""))</f>
        <v/>
      </c>
      <c r="J2373" s="65" t="str">
        <f>IF(COUNTA(A2373:G2373)=0,"",IF(E2373&lt;&gt;"",E2373,IF(B2373="","",IFERROR(IF(INDEX(pr_price,MATCH(B2373,pr_code,0))="","",INDEX(pr_price,MATCH(B2373,pr_code,0))),""))))</f>
        <v/>
      </c>
      <c r="K2373" s="71" t="str">
        <f>IF(COUNTA(A2373:G2373)=0,"",IF(G2373&lt;&gt;"",G2373,IF(B2373="","",IFERROR(IF(INDEX(pr_rate,MATCH(B2373,pr_code,0))="","",INDEX(pr_rate,MATCH(B2373,pr_code,0))),""))))</f>
        <v/>
      </c>
      <c r="L2373" s="65" t="str">
        <f>IF(COUNTA(A2373:G2373)=0,"",IF(AND(ISNUMBER(D2373),ISNUMBER(J2373)),ROUND(D2373*J2373*(1-N(F2373)),2),0))</f>
        <v/>
      </c>
      <c r="M2373" s="62" t="str">
        <f>IF(A2373="","",IFERROR(INDEX(dv_cname,MATCH(A2373,dv_num,0))&amp;"",""))</f>
        <v/>
      </c>
      <c r="N2373" s="59" t="str">
        <f>IF(COUNTA(A2373:G2373)=0,"",IF(A2373="","N° devis manquant",IF(ISNA(MATCH(A2373,dv_num,0)),"Devis inconnu",IF(AND(B2373&lt;&gt;"",ISNA(MATCH(B2373,pr_code,0))),"Article inconnu",IF(H2373="","Désignation manquante",IF(OR(NOT(ISNUMBER(D2373)),N(D2373)&lt;=0),"Quantité invalide",IF(J2373="","Prix manquant",IF(OR(NOT(ISNUMBER(J2373)),N(J2373)&lt;0),"Prix invalide",IF(OR(AND(F2373&lt;&gt;"",NOT(ISNUMBER(F2373))),N(F2373)&lt;0,N(F2373)&gt;1),"Remise invalide",IF(K2373="","Taux de TVA manquant",IF(NOT(ISNUMBER(K2373)),"Taux de TVA invalide",IF(COUNTIF(p_rates,K2373)=0,"Taux de TVA hors liste (Paramètres)",IF(N(O2373)&gt;25,"Au-delà de 25 lignes : non imprimée","OK")))))))))))))</f>
        <v/>
      </c>
      <c r="O2373" s="59" t="str">
        <f>IF(A2373="","",COUNTIF($A$6:A2373,A2373))</f>
        <v/>
      </c>
      <c r="P2373" s="62" t="str">
        <f>IF(A2373="","",A2373&amp;"|"&amp;O2373)</f>
        <v/>
      </c>
    </row>
    <row r="2374">
      <c r="A2374" s="60" t="n"/>
      <c r="B2374" s="63" t="n"/>
      <c r="C2374" s="63" t="n"/>
      <c r="D2374" s="67" t="n"/>
      <c r="E2374" s="68" t="n"/>
      <c r="F2374" s="69" t="n"/>
      <c r="G2374" s="70" t="n"/>
      <c r="H2374" s="62" t="str">
        <f>IF(COUNTA(A2374:G2374)=0,"",IF(C2374&lt;&gt;"",C2374,IF(B2374="","",IFERROR(INDEX(pr_des,MATCH(B2374,pr_code,0))&amp;"",""))))</f>
        <v/>
      </c>
      <c r="I2374" s="59" t="str">
        <f>IF(B2374="","",IFERROR(INDEX(pr_unit,MATCH(B2374,pr_code,0))&amp;"",""))</f>
        <v/>
      </c>
      <c r="J2374" s="65" t="str">
        <f>IF(COUNTA(A2374:G2374)=0,"",IF(E2374&lt;&gt;"",E2374,IF(B2374="","",IFERROR(IF(INDEX(pr_price,MATCH(B2374,pr_code,0))="","",INDEX(pr_price,MATCH(B2374,pr_code,0))),""))))</f>
        <v/>
      </c>
      <c r="K2374" s="71" t="str">
        <f>IF(COUNTA(A2374:G2374)=0,"",IF(G2374&lt;&gt;"",G2374,IF(B2374="","",IFERROR(IF(INDEX(pr_rate,MATCH(B2374,pr_code,0))="","",INDEX(pr_rate,MATCH(B2374,pr_code,0))),""))))</f>
        <v/>
      </c>
      <c r="L2374" s="65" t="str">
        <f>IF(COUNTA(A2374:G2374)=0,"",IF(AND(ISNUMBER(D2374),ISNUMBER(J2374)),ROUND(D2374*J2374*(1-N(F2374)),2),0))</f>
        <v/>
      </c>
      <c r="M2374" s="62" t="str">
        <f>IF(A2374="","",IFERROR(INDEX(dv_cname,MATCH(A2374,dv_num,0))&amp;"",""))</f>
        <v/>
      </c>
      <c r="N2374" s="59" t="str">
        <f>IF(COUNTA(A2374:G2374)=0,"",IF(A2374="","N° devis manquant",IF(ISNA(MATCH(A2374,dv_num,0)),"Devis inconnu",IF(AND(B2374&lt;&gt;"",ISNA(MATCH(B2374,pr_code,0))),"Article inconnu",IF(H2374="","Désignation manquante",IF(OR(NOT(ISNUMBER(D2374)),N(D2374)&lt;=0),"Quantité invalide",IF(J2374="","Prix manquant",IF(OR(NOT(ISNUMBER(J2374)),N(J2374)&lt;0),"Prix invalide",IF(OR(AND(F2374&lt;&gt;"",NOT(ISNUMBER(F2374))),N(F2374)&lt;0,N(F2374)&gt;1),"Remise invalide",IF(K2374="","Taux de TVA manquant",IF(NOT(ISNUMBER(K2374)),"Taux de TVA invalide",IF(COUNTIF(p_rates,K2374)=0,"Taux de TVA hors liste (Paramètres)",IF(N(O2374)&gt;25,"Au-delà de 25 lignes : non imprimée","OK")))))))))))))</f>
        <v/>
      </c>
      <c r="O2374" s="59" t="str">
        <f>IF(A2374="","",COUNTIF($A$6:A2374,A2374))</f>
        <v/>
      </c>
      <c r="P2374" s="62" t="str">
        <f>IF(A2374="","",A2374&amp;"|"&amp;O2374)</f>
        <v/>
      </c>
    </row>
    <row r="2375">
      <c r="A2375" s="60" t="n"/>
      <c r="B2375" s="63" t="n"/>
      <c r="C2375" s="63" t="n"/>
      <c r="D2375" s="67" t="n"/>
      <c r="E2375" s="68" t="n"/>
      <c r="F2375" s="69" t="n"/>
      <c r="G2375" s="70" t="n"/>
      <c r="H2375" s="62" t="str">
        <f>IF(COUNTA(A2375:G2375)=0,"",IF(C2375&lt;&gt;"",C2375,IF(B2375="","",IFERROR(INDEX(pr_des,MATCH(B2375,pr_code,0))&amp;"",""))))</f>
        <v/>
      </c>
      <c r="I2375" s="59" t="str">
        <f>IF(B2375="","",IFERROR(INDEX(pr_unit,MATCH(B2375,pr_code,0))&amp;"",""))</f>
        <v/>
      </c>
      <c r="J2375" s="65" t="str">
        <f>IF(COUNTA(A2375:G2375)=0,"",IF(E2375&lt;&gt;"",E2375,IF(B2375="","",IFERROR(IF(INDEX(pr_price,MATCH(B2375,pr_code,0))="","",INDEX(pr_price,MATCH(B2375,pr_code,0))),""))))</f>
        <v/>
      </c>
      <c r="K2375" s="71" t="str">
        <f>IF(COUNTA(A2375:G2375)=0,"",IF(G2375&lt;&gt;"",G2375,IF(B2375="","",IFERROR(IF(INDEX(pr_rate,MATCH(B2375,pr_code,0))="","",INDEX(pr_rate,MATCH(B2375,pr_code,0))),""))))</f>
        <v/>
      </c>
      <c r="L2375" s="65" t="str">
        <f>IF(COUNTA(A2375:G2375)=0,"",IF(AND(ISNUMBER(D2375),ISNUMBER(J2375)),ROUND(D2375*J2375*(1-N(F2375)),2),0))</f>
        <v/>
      </c>
      <c r="M2375" s="62" t="str">
        <f>IF(A2375="","",IFERROR(INDEX(dv_cname,MATCH(A2375,dv_num,0))&amp;"",""))</f>
        <v/>
      </c>
      <c r="N2375" s="59" t="str">
        <f>IF(COUNTA(A2375:G2375)=0,"",IF(A2375="","N° devis manquant",IF(ISNA(MATCH(A2375,dv_num,0)),"Devis inconnu",IF(AND(B2375&lt;&gt;"",ISNA(MATCH(B2375,pr_code,0))),"Article inconnu",IF(H2375="","Désignation manquante",IF(OR(NOT(ISNUMBER(D2375)),N(D2375)&lt;=0),"Quantité invalide",IF(J2375="","Prix manquant",IF(OR(NOT(ISNUMBER(J2375)),N(J2375)&lt;0),"Prix invalide",IF(OR(AND(F2375&lt;&gt;"",NOT(ISNUMBER(F2375))),N(F2375)&lt;0,N(F2375)&gt;1),"Remise invalide",IF(K2375="","Taux de TVA manquant",IF(NOT(ISNUMBER(K2375)),"Taux de TVA invalide",IF(COUNTIF(p_rates,K2375)=0,"Taux de TVA hors liste (Paramètres)",IF(N(O2375)&gt;25,"Au-delà de 25 lignes : non imprimée","OK")))))))))))))</f>
        <v/>
      </c>
      <c r="O2375" s="59" t="str">
        <f>IF(A2375="","",COUNTIF($A$6:A2375,A2375))</f>
        <v/>
      </c>
      <c r="P2375" s="62" t="str">
        <f>IF(A2375="","",A2375&amp;"|"&amp;O2375)</f>
        <v/>
      </c>
    </row>
    <row r="2376">
      <c r="A2376" s="60" t="n"/>
      <c r="B2376" s="63" t="n"/>
      <c r="C2376" s="63" t="n"/>
      <c r="D2376" s="67" t="n"/>
      <c r="E2376" s="68" t="n"/>
      <c r="F2376" s="69" t="n"/>
      <c r="G2376" s="70" t="n"/>
      <c r="H2376" s="62" t="str">
        <f>IF(COUNTA(A2376:G2376)=0,"",IF(C2376&lt;&gt;"",C2376,IF(B2376="","",IFERROR(INDEX(pr_des,MATCH(B2376,pr_code,0))&amp;"",""))))</f>
        <v/>
      </c>
      <c r="I2376" s="59" t="str">
        <f>IF(B2376="","",IFERROR(INDEX(pr_unit,MATCH(B2376,pr_code,0))&amp;"",""))</f>
        <v/>
      </c>
      <c r="J2376" s="65" t="str">
        <f>IF(COUNTA(A2376:G2376)=0,"",IF(E2376&lt;&gt;"",E2376,IF(B2376="","",IFERROR(IF(INDEX(pr_price,MATCH(B2376,pr_code,0))="","",INDEX(pr_price,MATCH(B2376,pr_code,0))),""))))</f>
        <v/>
      </c>
      <c r="K2376" s="71" t="str">
        <f>IF(COUNTA(A2376:G2376)=0,"",IF(G2376&lt;&gt;"",G2376,IF(B2376="","",IFERROR(IF(INDEX(pr_rate,MATCH(B2376,pr_code,0))="","",INDEX(pr_rate,MATCH(B2376,pr_code,0))),""))))</f>
        <v/>
      </c>
      <c r="L2376" s="65" t="str">
        <f>IF(COUNTA(A2376:G2376)=0,"",IF(AND(ISNUMBER(D2376),ISNUMBER(J2376)),ROUND(D2376*J2376*(1-N(F2376)),2),0))</f>
        <v/>
      </c>
      <c r="M2376" s="62" t="str">
        <f>IF(A2376="","",IFERROR(INDEX(dv_cname,MATCH(A2376,dv_num,0))&amp;"",""))</f>
        <v/>
      </c>
      <c r="N2376" s="59" t="str">
        <f>IF(COUNTA(A2376:G2376)=0,"",IF(A2376="","N° devis manquant",IF(ISNA(MATCH(A2376,dv_num,0)),"Devis inconnu",IF(AND(B2376&lt;&gt;"",ISNA(MATCH(B2376,pr_code,0))),"Article inconnu",IF(H2376="","Désignation manquante",IF(OR(NOT(ISNUMBER(D2376)),N(D2376)&lt;=0),"Quantité invalide",IF(J2376="","Prix manquant",IF(OR(NOT(ISNUMBER(J2376)),N(J2376)&lt;0),"Prix invalide",IF(OR(AND(F2376&lt;&gt;"",NOT(ISNUMBER(F2376))),N(F2376)&lt;0,N(F2376)&gt;1),"Remise invalide",IF(K2376="","Taux de TVA manquant",IF(NOT(ISNUMBER(K2376)),"Taux de TVA invalide",IF(COUNTIF(p_rates,K2376)=0,"Taux de TVA hors liste (Paramètres)",IF(N(O2376)&gt;25,"Au-delà de 25 lignes : non imprimée","OK")))))))))))))</f>
        <v/>
      </c>
      <c r="O2376" s="59" t="str">
        <f>IF(A2376="","",COUNTIF($A$6:A2376,A2376))</f>
        <v/>
      </c>
      <c r="P2376" s="62" t="str">
        <f>IF(A2376="","",A2376&amp;"|"&amp;O2376)</f>
        <v/>
      </c>
    </row>
    <row r="2377">
      <c r="A2377" s="60" t="n"/>
      <c r="B2377" s="63" t="n"/>
      <c r="C2377" s="63" t="n"/>
      <c r="D2377" s="67" t="n"/>
      <c r="E2377" s="68" t="n"/>
      <c r="F2377" s="69" t="n"/>
      <c r="G2377" s="70" t="n"/>
      <c r="H2377" s="62" t="str">
        <f>IF(COUNTA(A2377:G2377)=0,"",IF(C2377&lt;&gt;"",C2377,IF(B2377="","",IFERROR(INDEX(pr_des,MATCH(B2377,pr_code,0))&amp;"",""))))</f>
        <v/>
      </c>
      <c r="I2377" s="59" t="str">
        <f>IF(B2377="","",IFERROR(INDEX(pr_unit,MATCH(B2377,pr_code,0))&amp;"",""))</f>
        <v/>
      </c>
      <c r="J2377" s="65" t="str">
        <f>IF(COUNTA(A2377:G2377)=0,"",IF(E2377&lt;&gt;"",E2377,IF(B2377="","",IFERROR(IF(INDEX(pr_price,MATCH(B2377,pr_code,0))="","",INDEX(pr_price,MATCH(B2377,pr_code,0))),""))))</f>
        <v/>
      </c>
      <c r="K2377" s="71" t="str">
        <f>IF(COUNTA(A2377:G2377)=0,"",IF(G2377&lt;&gt;"",G2377,IF(B2377="","",IFERROR(IF(INDEX(pr_rate,MATCH(B2377,pr_code,0))="","",INDEX(pr_rate,MATCH(B2377,pr_code,0))),""))))</f>
        <v/>
      </c>
      <c r="L2377" s="65" t="str">
        <f>IF(COUNTA(A2377:G2377)=0,"",IF(AND(ISNUMBER(D2377),ISNUMBER(J2377)),ROUND(D2377*J2377*(1-N(F2377)),2),0))</f>
        <v/>
      </c>
      <c r="M2377" s="62" t="str">
        <f>IF(A2377="","",IFERROR(INDEX(dv_cname,MATCH(A2377,dv_num,0))&amp;"",""))</f>
        <v/>
      </c>
      <c r="N2377" s="59" t="str">
        <f>IF(COUNTA(A2377:G2377)=0,"",IF(A2377="","N° devis manquant",IF(ISNA(MATCH(A2377,dv_num,0)),"Devis inconnu",IF(AND(B2377&lt;&gt;"",ISNA(MATCH(B2377,pr_code,0))),"Article inconnu",IF(H2377="","Désignation manquante",IF(OR(NOT(ISNUMBER(D2377)),N(D2377)&lt;=0),"Quantité invalide",IF(J2377="","Prix manquant",IF(OR(NOT(ISNUMBER(J2377)),N(J2377)&lt;0),"Prix invalide",IF(OR(AND(F2377&lt;&gt;"",NOT(ISNUMBER(F2377))),N(F2377)&lt;0,N(F2377)&gt;1),"Remise invalide",IF(K2377="","Taux de TVA manquant",IF(NOT(ISNUMBER(K2377)),"Taux de TVA invalide",IF(COUNTIF(p_rates,K2377)=0,"Taux de TVA hors liste (Paramètres)",IF(N(O2377)&gt;25,"Au-delà de 25 lignes : non imprimée","OK")))))))))))))</f>
        <v/>
      </c>
      <c r="O2377" s="59" t="str">
        <f>IF(A2377="","",COUNTIF($A$6:A2377,A2377))</f>
        <v/>
      </c>
      <c r="P2377" s="62" t="str">
        <f>IF(A2377="","",A2377&amp;"|"&amp;O2377)</f>
        <v/>
      </c>
    </row>
    <row r="2378">
      <c r="A2378" s="60" t="n"/>
      <c r="B2378" s="63" t="n"/>
      <c r="C2378" s="63" t="n"/>
      <c r="D2378" s="67" t="n"/>
      <c r="E2378" s="68" t="n"/>
      <c r="F2378" s="69" t="n"/>
      <c r="G2378" s="70" t="n"/>
      <c r="H2378" s="62" t="str">
        <f>IF(COUNTA(A2378:G2378)=0,"",IF(C2378&lt;&gt;"",C2378,IF(B2378="","",IFERROR(INDEX(pr_des,MATCH(B2378,pr_code,0))&amp;"",""))))</f>
        <v/>
      </c>
      <c r="I2378" s="59" t="str">
        <f>IF(B2378="","",IFERROR(INDEX(pr_unit,MATCH(B2378,pr_code,0))&amp;"",""))</f>
        <v/>
      </c>
      <c r="J2378" s="65" t="str">
        <f>IF(COUNTA(A2378:G2378)=0,"",IF(E2378&lt;&gt;"",E2378,IF(B2378="","",IFERROR(IF(INDEX(pr_price,MATCH(B2378,pr_code,0))="","",INDEX(pr_price,MATCH(B2378,pr_code,0))),""))))</f>
        <v/>
      </c>
      <c r="K2378" s="71" t="str">
        <f>IF(COUNTA(A2378:G2378)=0,"",IF(G2378&lt;&gt;"",G2378,IF(B2378="","",IFERROR(IF(INDEX(pr_rate,MATCH(B2378,pr_code,0))="","",INDEX(pr_rate,MATCH(B2378,pr_code,0))),""))))</f>
        <v/>
      </c>
      <c r="L2378" s="65" t="str">
        <f>IF(COUNTA(A2378:G2378)=0,"",IF(AND(ISNUMBER(D2378),ISNUMBER(J2378)),ROUND(D2378*J2378*(1-N(F2378)),2),0))</f>
        <v/>
      </c>
      <c r="M2378" s="62" t="str">
        <f>IF(A2378="","",IFERROR(INDEX(dv_cname,MATCH(A2378,dv_num,0))&amp;"",""))</f>
        <v/>
      </c>
      <c r="N2378" s="59" t="str">
        <f>IF(COUNTA(A2378:G2378)=0,"",IF(A2378="","N° devis manquant",IF(ISNA(MATCH(A2378,dv_num,0)),"Devis inconnu",IF(AND(B2378&lt;&gt;"",ISNA(MATCH(B2378,pr_code,0))),"Article inconnu",IF(H2378="","Désignation manquante",IF(OR(NOT(ISNUMBER(D2378)),N(D2378)&lt;=0),"Quantité invalide",IF(J2378="","Prix manquant",IF(OR(NOT(ISNUMBER(J2378)),N(J2378)&lt;0),"Prix invalide",IF(OR(AND(F2378&lt;&gt;"",NOT(ISNUMBER(F2378))),N(F2378)&lt;0,N(F2378)&gt;1),"Remise invalide",IF(K2378="","Taux de TVA manquant",IF(NOT(ISNUMBER(K2378)),"Taux de TVA invalide",IF(COUNTIF(p_rates,K2378)=0,"Taux de TVA hors liste (Paramètres)",IF(N(O2378)&gt;25,"Au-delà de 25 lignes : non imprimée","OK")))))))))))))</f>
        <v/>
      </c>
      <c r="O2378" s="59" t="str">
        <f>IF(A2378="","",COUNTIF($A$6:A2378,A2378))</f>
        <v/>
      </c>
      <c r="P2378" s="62" t="str">
        <f>IF(A2378="","",A2378&amp;"|"&amp;O2378)</f>
        <v/>
      </c>
    </row>
    <row r="2379">
      <c r="A2379" s="60" t="n"/>
      <c r="B2379" s="63" t="n"/>
      <c r="C2379" s="63" t="n"/>
      <c r="D2379" s="67" t="n"/>
      <c r="E2379" s="68" t="n"/>
      <c r="F2379" s="69" t="n"/>
      <c r="G2379" s="70" t="n"/>
      <c r="H2379" s="62" t="str">
        <f>IF(COUNTA(A2379:G2379)=0,"",IF(C2379&lt;&gt;"",C2379,IF(B2379="","",IFERROR(INDEX(pr_des,MATCH(B2379,pr_code,0))&amp;"",""))))</f>
        <v/>
      </c>
      <c r="I2379" s="59" t="str">
        <f>IF(B2379="","",IFERROR(INDEX(pr_unit,MATCH(B2379,pr_code,0))&amp;"",""))</f>
        <v/>
      </c>
      <c r="J2379" s="65" t="str">
        <f>IF(COUNTA(A2379:G2379)=0,"",IF(E2379&lt;&gt;"",E2379,IF(B2379="","",IFERROR(IF(INDEX(pr_price,MATCH(B2379,pr_code,0))="","",INDEX(pr_price,MATCH(B2379,pr_code,0))),""))))</f>
        <v/>
      </c>
      <c r="K2379" s="71" t="str">
        <f>IF(COUNTA(A2379:G2379)=0,"",IF(G2379&lt;&gt;"",G2379,IF(B2379="","",IFERROR(IF(INDEX(pr_rate,MATCH(B2379,pr_code,0))="","",INDEX(pr_rate,MATCH(B2379,pr_code,0))),""))))</f>
        <v/>
      </c>
      <c r="L2379" s="65" t="str">
        <f>IF(COUNTA(A2379:G2379)=0,"",IF(AND(ISNUMBER(D2379),ISNUMBER(J2379)),ROUND(D2379*J2379*(1-N(F2379)),2),0))</f>
        <v/>
      </c>
      <c r="M2379" s="62" t="str">
        <f>IF(A2379="","",IFERROR(INDEX(dv_cname,MATCH(A2379,dv_num,0))&amp;"",""))</f>
        <v/>
      </c>
      <c r="N2379" s="59" t="str">
        <f>IF(COUNTA(A2379:G2379)=0,"",IF(A2379="","N° devis manquant",IF(ISNA(MATCH(A2379,dv_num,0)),"Devis inconnu",IF(AND(B2379&lt;&gt;"",ISNA(MATCH(B2379,pr_code,0))),"Article inconnu",IF(H2379="","Désignation manquante",IF(OR(NOT(ISNUMBER(D2379)),N(D2379)&lt;=0),"Quantité invalide",IF(J2379="","Prix manquant",IF(OR(NOT(ISNUMBER(J2379)),N(J2379)&lt;0),"Prix invalide",IF(OR(AND(F2379&lt;&gt;"",NOT(ISNUMBER(F2379))),N(F2379)&lt;0,N(F2379)&gt;1),"Remise invalide",IF(K2379="","Taux de TVA manquant",IF(NOT(ISNUMBER(K2379)),"Taux de TVA invalide",IF(COUNTIF(p_rates,K2379)=0,"Taux de TVA hors liste (Paramètres)",IF(N(O2379)&gt;25,"Au-delà de 25 lignes : non imprimée","OK")))))))))))))</f>
        <v/>
      </c>
      <c r="O2379" s="59" t="str">
        <f>IF(A2379="","",COUNTIF($A$6:A2379,A2379))</f>
        <v/>
      </c>
      <c r="P2379" s="62" t="str">
        <f>IF(A2379="","",A2379&amp;"|"&amp;O2379)</f>
        <v/>
      </c>
    </row>
    <row r="2380">
      <c r="A2380" s="60" t="n"/>
      <c r="B2380" s="63" t="n"/>
      <c r="C2380" s="63" t="n"/>
      <c r="D2380" s="67" t="n"/>
      <c r="E2380" s="68" t="n"/>
      <c r="F2380" s="69" t="n"/>
      <c r="G2380" s="70" t="n"/>
      <c r="H2380" s="62" t="str">
        <f>IF(COUNTA(A2380:G2380)=0,"",IF(C2380&lt;&gt;"",C2380,IF(B2380="","",IFERROR(INDEX(pr_des,MATCH(B2380,pr_code,0))&amp;"",""))))</f>
        <v/>
      </c>
      <c r="I2380" s="59" t="str">
        <f>IF(B2380="","",IFERROR(INDEX(pr_unit,MATCH(B2380,pr_code,0))&amp;"",""))</f>
        <v/>
      </c>
      <c r="J2380" s="65" t="str">
        <f>IF(COUNTA(A2380:G2380)=0,"",IF(E2380&lt;&gt;"",E2380,IF(B2380="","",IFERROR(IF(INDEX(pr_price,MATCH(B2380,pr_code,0))="","",INDEX(pr_price,MATCH(B2380,pr_code,0))),""))))</f>
        <v/>
      </c>
      <c r="K2380" s="71" t="str">
        <f>IF(COUNTA(A2380:G2380)=0,"",IF(G2380&lt;&gt;"",G2380,IF(B2380="","",IFERROR(IF(INDEX(pr_rate,MATCH(B2380,pr_code,0))="","",INDEX(pr_rate,MATCH(B2380,pr_code,0))),""))))</f>
        <v/>
      </c>
      <c r="L2380" s="65" t="str">
        <f>IF(COUNTA(A2380:G2380)=0,"",IF(AND(ISNUMBER(D2380),ISNUMBER(J2380)),ROUND(D2380*J2380*(1-N(F2380)),2),0))</f>
        <v/>
      </c>
      <c r="M2380" s="62" t="str">
        <f>IF(A2380="","",IFERROR(INDEX(dv_cname,MATCH(A2380,dv_num,0))&amp;"",""))</f>
        <v/>
      </c>
      <c r="N2380" s="59" t="str">
        <f>IF(COUNTA(A2380:G2380)=0,"",IF(A2380="","N° devis manquant",IF(ISNA(MATCH(A2380,dv_num,0)),"Devis inconnu",IF(AND(B2380&lt;&gt;"",ISNA(MATCH(B2380,pr_code,0))),"Article inconnu",IF(H2380="","Désignation manquante",IF(OR(NOT(ISNUMBER(D2380)),N(D2380)&lt;=0),"Quantité invalide",IF(J2380="","Prix manquant",IF(OR(NOT(ISNUMBER(J2380)),N(J2380)&lt;0),"Prix invalide",IF(OR(AND(F2380&lt;&gt;"",NOT(ISNUMBER(F2380))),N(F2380)&lt;0,N(F2380)&gt;1),"Remise invalide",IF(K2380="","Taux de TVA manquant",IF(NOT(ISNUMBER(K2380)),"Taux de TVA invalide",IF(COUNTIF(p_rates,K2380)=0,"Taux de TVA hors liste (Paramètres)",IF(N(O2380)&gt;25,"Au-delà de 25 lignes : non imprimée","OK")))))))))))))</f>
        <v/>
      </c>
      <c r="O2380" s="59" t="str">
        <f>IF(A2380="","",COUNTIF($A$6:A2380,A2380))</f>
        <v/>
      </c>
      <c r="P2380" s="62" t="str">
        <f>IF(A2380="","",A2380&amp;"|"&amp;O2380)</f>
        <v/>
      </c>
    </row>
    <row r="2381">
      <c r="A2381" s="60" t="n"/>
      <c r="B2381" s="63" t="n"/>
      <c r="C2381" s="63" t="n"/>
      <c r="D2381" s="67" t="n"/>
      <c r="E2381" s="68" t="n"/>
      <c r="F2381" s="69" t="n"/>
      <c r="G2381" s="70" t="n"/>
      <c r="H2381" s="62" t="str">
        <f>IF(COUNTA(A2381:G2381)=0,"",IF(C2381&lt;&gt;"",C2381,IF(B2381="","",IFERROR(INDEX(pr_des,MATCH(B2381,pr_code,0))&amp;"",""))))</f>
        <v/>
      </c>
      <c r="I2381" s="59" t="str">
        <f>IF(B2381="","",IFERROR(INDEX(pr_unit,MATCH(B2381,pr_code,0))&amp;"",""))</f>
        <v/>
      </c>
      <c r="J2381" s="65" t="str">
        <f>IF(COUNTA(A2381:G2381)=0,"",IF(E2381&lt;&gt;"",E2381,IF(B2381="","",IFERROR(IF(INDEX(pr_price,MATCH(B2381,pr_code,0))="","",INDEX(pr_price,MATCH(B2381,pr_code,0))),""))))</f>
        <v/>
      </c>
      <c r="K2381" s="71" t="str">
        <f>IF(COUNTA(A2381:G2381)=0,"",IF(G2381&lt;&gt;"",G2381,IF(B2381="","",IFERROR(IF(INDEX(pr_rate,MATCH(B2381,pr_code,0))="","",INDEX(pr_rate,MATCH(B2381,pr_code,0))),""))))</f>
        <v/>
      </c>
      <c r="L2381" s="65" t="str">
        <f>IF(COUNTA(A2381:G2381)=0,"",IF(AND(ISNUMBER(D2381),ISNUMBER(J2381)),ROUND(D2381*J2381*(1-N(F2381)),2),0))</f>
        <v/>
      </c>
      <c r="M2381" s="62" t="str">
        <f>IF(A2381="","",IFERROR(INDEX(dv_cname,MATCH(A2381,dv_num,0))&amp;"",""))</f>
        <v/>
      </c>
      <c r="N2381" s="59" t="str">
        <f>IF(COUNTA(A2381:G2381)=0,"",IF(A2381="","N° devis manquant",IF(ISNA(MATCH(A2381,dv_num,0)),"Devis inconnu",IF(AND(B2381&lt;&gt;"",ISNA(MATCH(B2381,pr_code,0))),"Article inconnu",IF(H2381="","Désignation manquante",IF(OR(NOT(ISNUMBER(D2381)),N(D2381)&lt;=0),"Quantité invalide",IF(J2381="","Prix manquant",IF(OR(NOT(ISNUMBER(J2381)),N(J2381)&lt;0),"Prix invalide",IF(OR(AND(F2381&lt;&gt;"",NOT(ISNUMBER(F2381))),N(F2381)&lt;0,N(F2381)&gt;1),"Remise invalide",IF(K2381="","Taux de TVA manquant",IF(NOT(ISNUMBER(K2381)),"Taux de TVA invalide",IF(COUNTIF(p_rates,K2381)=0,"Taux de TVA hors liste (Paramètres)",IF(N(O2381)&gt;25,"Au-delà de 25 lignes : non imprimée","OK")))))))))))))</f>
        <v/>
      </c>
      <c r="O2381" s="59" t="str">
        <f>IF(A2381="","",COUNTIF($A$6:A2381,A2381))</f>
        <v/>
      </c>
      <c r="P2381" s="62" t="str">
        <f>IF(A2381="","",A2381&amp;"|"&amp;O2381)</f>
        <v/>
      </c>
    </row>
    <row r="2382">
      <c r="A2382" s="60" t="n"/>
      <c r="B2382" s="63" t="n"/>
      <c r="C2382" s="63" t="n"/>
      <c r="D2382" s="67" t="n"/>
      <c r="E2382" s="68" t="n"/>
      <c r="F2382" s="69" t="n"/>
      <c r="G2382" s="70" t="n"/>
      <c r="H2382" s="62" t="str">
        <f>IF(COUNTA(A2382:G2382)=0,"",IF(C2382&lt;&gt;"",C2382,IF(B2382="","",IFERROR(INDEX(pr_des,MATCH(B2382,pr_code,0))&amp;"",""))))</f>
        <v/>
      </c>
      <c r="I2382" s="59" t="str">
        <f>IF(B2382="","",IFERROR(INDEX(pr_unit,MATCH(B2382,pr_code,0))&amp;"",""))</f>
        <v/>
      </c>
      <c r="J2382" s="65" t="str">
        <f>IF(COUNTA(A2382:G2382)=0,"",IF(E2382&lt;&gt;"",E2382,IF(B2382="","",IFERROR(IF(INDEX(pr_price,MATCH(B2382,pr_code,0))="","",INDEX(pr_price,MATCH(B2382,pr_code,0))),""))))</f>
        <v/>
      </c>
      <c r="K2382" s="71" t="str">
        <f>IF(COUNTA(A2382:G2382)=0,"",IF(G2382&lt;&gt;"",G2382,IF(B2382="","",IFERROR(IF(INDEX(pr_rate,MATCH(B2382,pr_code,0))="","",INDEX(pr_rate,MATCH(B2382,pr_code,0))),""))))</f>
        <v/>
      </c>
      <c r="L2382" s="65" t="str">
        <f>IF(COUNTA(A2382:G2382)=0,"",IF(AND(ISNUMBER(D2382),ISNUMBER(J2382)),ROUND(D2382*J2382*(1-N(F2382)),2),0))</f>
        <v/>
      </c>
      <c r="M2382" s="62" t="str">
        <f>IF(A2382="","",IFERROR(INDEX(dv_cname,MATCH(A2382,dv_num,0))&amp;"",""))</f>
        <v/>
      </c>
      <c r="N2382" s="59" t="str">
        <f>IF(COUNTA(A2382:G2382)=0,"",IF(A2382="","N° devis manquant",IF(ISNA(MATCH(A2382,dv_num,0)),"Devis inconnu",IF(AND(B2382&lt;&gt;"",ISNA(MATCH(B2382,pr_code,0))),"Article inconnu",IF(H2382="","Désignation manquante",IF(OR(NOT(ISNUMBER(D2382)),N(D2382)&lt;=0),"Quantité invalide",IF(J2382="","Prix manquant",IF(OR(NOT(ISNUMBER(J2382)),N(J2382)&lt;0),"Prix invalide",IF(OR(AND(F2382&lt;&gt;"",NOT(ISNUMBER(F2382))),N(F2382)&lt;0,N(F2382)&gt;1),"Remise invalide",IF(K2382="","Taux de TVA manquant",IF(NOT(ISNUMBER(K2382)),"Taux de TVA invalide",IF(COUNTIF(p_rates,K2382)=0,"Taux de TVA hors liste (Paramètres)",IF(N(O2382)&gt;25,"Au-delà de 25 lignes : non imprimée","OK")))))))))))))</f>
        <v/>
      </c>
      <c r="O2382" s="59" t="str">
        <f>IF(A2382="","",COUNTIF($A$6:A2382,A2382))</f>
        <v/>
      </c>
      <c r="P2382" s="62" t="str">
        <f>IF(A2382="","",A2382&amp;"|"&amp;O2382)</f>
        <v/>
      </c>
    </row>
    <row r="2383">
      <c r="A2383" s="60" t="n"/>
      <c r="B2383" s="63" t="n"/>
      <c r="C2383" s="63" t="n"/>
      <c r="D2383" s="67" t="n"/>
      <c r="E2383" s="68" t="n"/>
      <c r="F2383" s="69" t="n"/>
      <c r="G2383" s="70" t="n"/>
      <c r="H2383" s="62" t="str">
        <f>IF(COUNTA(A2383:G2383)=0,"",IF(C2383&lt;&gt;"",C2383,IF(B2383="","",IFERROR(INDEX(pr_des,MATCH(B2383,pr_code,0))&amp;"",""))))</f>
        <v/>
      </c>
      <c r="I2383" s="59" t="str">
        <f>IF(B2383="","",IFERROR(INDEX(pr_unit,MATCH(B2383,pr_code,0))&amp;"",""))</f>
        <v/>
      </c>
      <c r="J2383" s="65" t="str">
        <f>IF(COUNTA(A2383:G2383)=0,"",IF(E2383&lt;&gt;"",E2383,IF(B2383="","",IFERROR(IF(INDEX(pr_price,MATCH(B2383,pr_code,0))="","",INDEX(pr_price,MATCH(B2383,pr_code,0))),""))))</f>
        <v/>
      </c>
      <c r="K2383" s="71" t="str">
        <f>IF(COUNTA(A2383:G2383)=0,"",IF(G2383&lt;&gt;"",G2383,IF(B2383="","",IFERROR(IF(INDEX(pr_rate,MATCH(B2383,pr_code,0))="","",INDEX(pr_rate,MATCH(B2383,pr_code,0))),""))))</f>
        <v/>
      </c>
      <c r="L2383" s="65" t="str">
        <f>IF(COUNTA(A2383:G2383)=0,"",IF(AND(ISNUMBER(D2383),ISNUMBER(J2383)),ROUND(D2383*J2383*(1-N(F2383)),2),0))</f>
        <v/>
      </c>
      <c r="M2383" s="62" t="str">
        <f>IF(A2383="","",IFERROR(INDEX(dv_cname,MATCH(A2383,dv_num,0))&amp;"",""))</f>
        <v/>
      </c>
      <c r="N2383" s="59" t="str">
        <f>IF(COUNTA(A2383:G2383)=0,"",IF(A2383="","N° devis manquant",IF(ISNA(MATCH(A2383,dv_num,0)),"Devis inconnu",IF(AND(B2383&lt;&gt;"",ISNA(MATCH(B2383,pr_code,0))),"Article inconnu",IF(H2383="","Désignation manquante",IF(OR(NOT(ISNUMBER(D2383)),N(D2383)&lt;=0),"Quantité invalide",IF(J2383="","Prix manquant",IF(OR(NOT(ISNUMBER(J2383)),N(J2383)&lt;0),"Prix invalide",IF(OR(AND(F2383&lt;&gt;"",NOT(ISNUMBER(F2383))),N(F2383)&lt;0,N(F2383)&gt;1),"Remise invalide",IF(K2383="","Taux de TVA manquant",IF(NOT(ISNUMBER(K2383)),"Taux de TVA invalide",IF(COUNTIF(p_rates,K2383)=0,"Taux de TVA hors liste (Paramètres)",IF(N(O2383)&gt;25,"Au-delà de 25 lignes : non imprimée","OK")))))))))))))</f>
        <v/>
      </c>
      <c r="O2383" s="59" t="str">
        <f>IF(A2383="","",COUNTIF($A$6:A2383,A2383))</f>
        <v/>
      </c>
      <c r="P2383" s="62" t="str">
        <f>IF(A2383="","",A2383&amp;"|"&amp;O2383)</f>
        <v/>
      </c>
    </row>
    <row r="2384">
      <c r="A2384" s="60" t="n"/>
      <c r="B2384" s="63" t="n"/>
      <c r="C2384" s="63" t="n"/>
      <c r="D2384" s="67" t="n"/>
      <c r="E2384" s="68" t="n"/>
      <c r="F2384" s="69" t="n"/>
      <c r="G2384" s="70" t="n"/>
      <c r="H2384" s="62" t="str">
        <f>IF(COUNTA(A2384:G2384)=0,"",IF(C2384&lt;&gt;"",C2384,IF(B2384="","",IFERROR(INDEX(pr_des,MATCH(B2384,pr_code,0))&amp;"",""))))</f>
        <v/>
      </c>
      <c r="I2384" s="59" t="str">
        <f>IF(B2384="","",IFERROR(INDEX(pr_unit,MATCH(B2384,pr_code,0))&amp;"",""))</f>
        <v/>
      </c>
      <c r="J2384" s="65" t="str">
        <f>IF(COUNTA(A2384:G2384)=0,"",IF(E2384&lt;&gt;"",E2384,IF(B2384="","",IFERROR(IF(INDEX(pr_price,MATCH(B2384,pr_code,0))="","",INDEX(pr_price,MATCH(B2384,pr_code,0))),""))))</f>
        <v/>
      </c>
      <c r="K2384" s="71" t="str">
        <f>IF(COUNTA(A2384:G2384)=0,"",IF(G2384&lt;&gt;"",G2384,IF(B2384="","",IFERROR(IF(INDEX(pr_rate,MATCH(B2384,pr_code,0))="","",INDEX(pr_rate,MATCH(B2384,pr_code,0))),""))))</f>
        <v/>
      </c>
      <c r="L2384" s="65" t="str">
        <f>IF(COUNTA(A2384:G2384)=0,"",IF(AND(ISNUMBER(D2384),ISNUMBER(J2384)),ROUND(D2384*J2384*(1-N(F2384)),2),0))</f>
        <v/>
      </c>
      <c r="M2384" s="62" t="str">
        <f>IF(A2384="","",IFERROR(INDEX(dv_cname,MATCH(A2384,dv_num,0))&amp;"",""))</f>
        <v/>
      </c>
      <c r="N2384" s="59" t="str">
        <f>IF(COUNTA(A2384:G2384)=0,"",IF(A2384="","N° devis manquant",IF(ISNA(MATCH(A2384,dv_num,0)),"Devis inconnu",IF(AND(B2384&lt;&gt;"",ISNA(MATCH(B2384,pr_code,0))),"Article inconnu",IF(H2384="","Désignation manquante",IF(OR(NOT(ISNUMBER(D2384)),N(D2384)&lt;=0),"Quantité invalide",IF(J2384="","Prix manquant",IF(OR(NOT(ISNUMBER(J2384)),N(J2384)&lt;0),"Prix invalide",IF(OR(AND(F2384&lt;&gt;"",NOT(ISNUMBER(F2384))),N(F2384)&lt;0,N(F2384)&gt;1),"Remise invalide",IF(K2384="","Taux de TVA manquant",IF(NOT(ISNUMBER(K2384)),"Taux de TVA invalide",IF(COUNTIF(p_rates,K2384)=0,"Taux de TVA hors liste (Paramètres)",IF(N(O2384)&gt;25,"Au-delà de 25 lignes : non imprimée","OK")))))))))))))</f>
        <v/>
      </c>
      <c r="O2384" s="59" t="str">
        <f>IF(A2384="","",COUNTIF($A$6:A2384,A2384))</f>
        <v/>
      </c>
      <c r="P2384" s="62" t="str">
        <f>IF(A2384="","",A2384&amp;"|"&amp;O2384)</f>
        <v/>
      </c>
    </row>
    <row r="2385">
      <c r="A2385" s="60" t="n"/>
      <c r="B2385" s="63" t="n"/>
      <c r="C2385" s="63" t="n"/>
      <c r="D2385" s="67" t="n"/>
      <c r="E2385" s="68" t="n"/>
      <c r="F2385" s="69" t="n"/>
      <c r="G2385" s="70" t="n"/>
      <c r="H2385" s="62" t="str">
        <f>IF(COUNTA(A2385:G2385)=0,"",IF(C2385&lt;&gt;"",C2385,IF(B2385="","",IFERROR(INDEX(pr_des,MATCH(B2385,pr_code,0))&amp;"",""))))</f>
        <v/>
      </c>
      <c r="I2385" s="59" t="str">
        <f>IF(B2385="","",IFERROR(INDEX(pr_unit,MATCH(B2385,pr_code,0))&amp;"",""))</f>
        <v/>
      </c>
      <c r="J2385" s="65" t="str">
        <f>IF(COUNTA(A2385:G2385)=0,"",IF(E2385&lt;&gt;"",E2385,IF(B2385="","",IFERROR(IF(INDEX(pr_price,MATCH(B2385,pr_code,0))="","",INDEX(pr_price,MATCH(B2385,pr_code,0))),""))))</f>
        <v/>
      </c>
      <c r="K2385" s="71" t="str">
        <f>IF(COUNTA(A2385:G2385)=0,"",IF(G2385&lt;&gt;"",G2385,IF(B2385="","",IFERROR(IF(INDEX(pr_rate,MATCH(B2385,pr_code,0))="","",INDEX(pr_rate,MATCH(B2385,pr_code,0))),""))))</f>
        <v/>
      </c>
      <c r="L2385" s="65" t="str">
        <f>IF(COUNTA(A2385:G2385)=0,"",IF(AND(ISNUMBER(D2385),ISNUMBER(J2385)),ROUND(D2385*J2385*(1-N(F2385)),2),0))</f>
        <v/>
      </c>
      <c r="M2385" s="62" t="str">
        <f>IF(A2385="","",IFERROR(INDEX(dv_cname,MATCH(A2385,dv_num,0))&amp;"",""))</f>
        <v/>
      </c>
      <c r="N2385" s="59" t="str">
        <f>IF(COUNTA(A2385:G2385)=0,"",IF(A2385="","N° devis manquant",IF(ISNA(MATCH(A2385,dv_num,0)),"Devis inconnu",IF(AND(B2385&lt;&gt;"",ISNA(MATCH(B2385,pr_code,0))),"Article inconnu",IF(H2385="","Désignation manquante",IF(OR(NOT(ISNUMBER(D2385)),N(D2385)&lt;=0),"Quantité invalide",IF(J2385="","Prix manquant",IF(OR(NOT(ISNUMBER(J2385)),N(J2385)&lt;0),"Prix invalide",IF(OR(AND(F2385&lt;&gt;"",NOT(ISNUMBER(F2385))),N(F2385)&lt;0,N(F2385)&gt;1),"Remise invalide",IF(K2385="","Taux de TVA manquant",IF(NOT(ISNUMBER(K2385)),"Taux de TVA invalide",IF(COUNTIF(p_rates,K2385)=0,"Taux de TVA hors liste (Paramètres)",IF(N(O2385)&gt;25,"Au-delà de 25 lignes : non imprimée","OK")))))))))))))</f>
        <v/>
      </c>
      <c r="O2385" s="59" t="str">
        <f>IF(A2385="","",COUNTIF($A$6:A2385,A2385))</f>
        <v/>
      </c>
      <c r="P2385" s="62" t="str">
        <f>IF(A2385="","",A2385&amp;"|"&amp;O2385)</f>
        <v/>
      </c>
    </row>
    <row r="2386">
      <c r="A2386" s="60" t="n"/>
      <c r="B2386" s="63" t="n"/>
      <c r="C2386" s="63" t="n"/>
      <c r="D2386" s="67" t="n"/>
      <c r="E2386" s="68" t="n"/>
      <c r="F2386" s="69" t="n"/>
      <c r="G2386" s="70" t="n"/>
      <c r="H2386" s="62" t="str">
        <f>IF(COUNTA(A2386:G2386)=0,"",IF(C2386&lt;&gt;"",C2386,IF(B2386="","",IFERROR(INDEX(pr_des,MATCH(B2386,pr_code,0))&amp;"",""))))</f>
        <v/>
      </c>
      <c r="I2386" s="59" t="str">
        <f>IF(B2386="","",IFERROR(INDEX(pr_unit,MATCH(B2386,pr_code,0))&amp;"",""))</f>
        <v/>
      </c>
      <c r="J2386" s="65" t="str">
        <f>IF(COUNTA(A2386:G2386)=0,"",IF(E2386&lt;&gt;"",E2386,IF(B2386="","",IFERROR(IF(INDEX(pr_price,MATCH(B2386,pr_code,0))="","",INDEX(pr_price,MATCH(B2386,pr_code,0))),""))))</f>
        <v/>
      </c>
      <c r="K2386" s="71" t="str">
        <f>IF(COUNTA(A2386:G2386)=0,"",IF(G2386&lt;&gt;"",G2386,IF(B2386="","",IFERROR(IF(INDEX(pr_rate,MATCH(B2386,pr_code,0))="","",INDEX(pr_rate,MATCH(B2386,pr_code,0))),""))))</f>
        <v/>
      </c>
      <c r="L2386" s="65" t="str">
        <f>IF(COUNTA(A2386:G2386)=0,"",IF(AND(ISNUMBER(D2386),ISNUMBER(J2386)),ROUND(D2386*J2386*(1-N(F2386)),2),0))</f>
        <v/>
      </c>
      <c r="M2386" s="62" t="str">
        <f>IF(A2386="","",IFERROR(INDEX(dv_cname,MATCH(A2386,dv_num,0))&amp;"",""))</f>
        <v/>
      </c>
      <c r="N2386" s="59" t="str">
        <f>IF(COUNTA(A2386:G2386)=0,"",IF(A2386="","N° devis manquant",IF(ISNA(MATCH(A2386,dv_num,0)),"Devis inconnu",IF(AND(B2386&lt;&gt;"",ISNA(MATCH(B2386,pr_code,0))),"Article inconnu",IF(H2386="","Désignation manquante",IF(OR(NOT(ISNUMBER(D2386)),N(D2386)&lt;=0),"Quantité invalide",IF(J2386="","Prix manquant",IF(OR(NOT(ISNUMBER(J2386)),N(J2386)&lt;0),"Prix invalide",IF(OR(AND(F2386&lt;&gt;"",NOT(ISNUMBER(F2386))),N(F2386)&lt;0,N(F2386)&gt;1),"Remise invalide",IF(K2386="","Taux de TVA manquant",IF(NOT(ISNUMBER(K2386)),"Taux de TVA invalide",IF(COUNTIF(p_rates,K2386)=0,"Taux de TVA hors liste (Paramètres)",IF(N(O2386)&gt;25,"Au-delà de 25 lignes : non imprimée","OK")))))))))))))</f>
        <v/>
      </c>
      <c r="O2386" s="59" t="str">
        <f>IF(A2386="","",COUNTIF($A$6:A2386,A2386))</f>
        <v/>
      </c>
      <c r="P2386" s="62" t="str">
        <f>IF(A2386="","",A2386&amp;"|"&amp;O2386)</f>
        <v/>
      </c>
    </row>
    <row r="2387">
      <c r="A2387" s="60" t="n"/>
      <c r="B2387" s="63" t="n"/>
      <c r="C2387" s="63" t="n"/>
      <c r="D2387" s="67" t="n"/>
      <c r="E2387" s="68" t="n"/>
      <c r="F2387" s="69" t="n"/>
      <c r="G2387" s="70" t="n"/>
      <c r="H2387" s="62" t="str">
        <f>IF(COUNTA(A2387:G2387)=0,"",IF(C2387&lt;&gt;"",C2387,IF(B2387="","",IFERROR(INDEX(pr_des,MATCH(B2387,pr_code,0))&amp;"",""))))</f>
        <v/>
      </c>
      <c r="I2387" s="59" t="str">
        <f>IF(B2387="","",IFERROR(INDEX(pr_unit,MATCH(B2387,pr_code,0))&amp;"",""))</f>
        <v/>
      </c>
      <c r="J2387" s="65" t="str">
        <f>IF(COUNTA(A2387:G2387)=0,"",IF(E2387&lt;&gt;"",E2387,IF(B2387="","",IFERROR(IF(INDEX(pr_price,MATCH(B2387,pr_code,0))="","",INDEX(pr_price,MATCH(B2387,pr_code,0))),""))))</f>
        <v/>
      </c>
      <c r="K2387" s="71" t="str">
        <f>IF(COUNTA(A2387:G2387)=0,"",IF(G2387&lt;&gt;"",G2387,IF(B2387="","",IFERROR(IF(INDEX(pr_rate,MATCH(B2387,pr_code,0))="","",INDEX(pr_rate,MATCH(B2387,pr_code,0))),""))))</f>
        <v/>
      </c>
      <c r="L2387" s="65" t="str">
        <f>IF(COUNTA(A2387:G2387)=0,"",IF(AND(ISNUMBER(D2387),ISNUMBER(J2387)),ROUND(D2387*J2387*(1-N(F2387)),2),0))</f>
        <v/>
      </c>
      <c r="M2387" s="62" t="str">
        <f>IF(A2387="","",IFERROR(INDEX(dv_cname,MATCH(A2387,dv_num,0))&amp;"",""))</f>
        <v/>
      </c>
      <c r="N2387" s="59" t="str">
        <f>IF(COUNTA(A2387:G2387)=0,"",IF(A2387="","N° devis manquant",IF(ISNA(MATCH(A2387,dv_num,0)),"Devis inconnu",IF(AND(B2387&lt;&gt;"",ISNA(MATCH(B2387,pr_code,0))),"Article inconnu",IF(H2387="","Désignation manquante",IF(OR(NOT(ISNUMBER(D2387)),N(D2387)&lt;=0),"Quantité invalide",IF(J2387="","Prix manquant",IF(OR(NOT(ISNUMBER(J2387)),N(J2387)&lt;0),"Prix invalide",IF(OR(AND(F2387&lt;&gt;"",NOT(ISNUMBER(F2387))),N(F2387)&lt;0,N(F2387)&gt;1),"Remise invalide",IF(K2387="","Taux de TVA manquant",IF(NOT(ISNUMBER(K2387)),"Taux de TVA invalide",IF(COUNTIF(p_rates,K2387)=0,"Taux de TVA hors liste (Paramètres)",IF(N(O2387)&gt;25,"Au-delà de 25 lignes : non imprimée","OK")))))))))))))</f>
        <v/>
      </c>
      <c r="O2387" s="59" t="str">
        <f>IF(A2387="","",COUNTIF($A$6:A2387,A2387))</f>
        <v/>
      </c>
      <c r="P2387" s="62" t="str">
        <f>IF(A2387="","",A2387&amp;"|"&amp;O2387)</f>
        <v/>
      </c>
    </row>
    <row r="2388">
      <c r="A2388" s="60" t="n"/>
      <c r="B2388" s="63" t="n"/>
      <c r="C2388" s="63" t="n"/>
      <c r="D2388" s="67" t="n"/>
      <c r="E2388" s="68" t="n"/>
      <c r="F2388" s="69" t="n"/>
      <c r="G2388" s="70" t="n"/>
      <c r="H2388" s="62" t="str">
        <f>IF(COUNTA(A2388:G2388)=0,"",IF(C2388&lt;&gt;"",C2388,IF(B2388="","",IFERROR(INDEX(pr_des,MATCH(B2388,pr_code,0))&amp;"",""))))</f>
        <v/>
      </c>
      <c r="I2388" s="59" t="str">
        <f>IF(B2388="","",IFERROR(INDEX(pr_unit,MATCH(B2388,pr_code,0))&amp;"",""))</f>
        <v/>
      </c>
      <c r="J2388" s="65" t="str">
        <f>IF(COUNTA(A2388:G2388)=0,"",IF(E2388&lt;&gt;"",E2388,IF(B2388="","",IFERROR(IF(INDEX(pr_price,MATCH(B2388,pr_code,0))="","",INDEX(pr_price,MATCH(B2388,pr_code,0))),""))))</f>
        <v/>
      </c>
      <c r="K2388" s="71" t="str">
        <f>IF(COUNTA(A2388:G2388)=0,"",IF(G2388&lt;&gt;"",G2388,IF(B2388="","",IFERROR(IF(INDEX(pr_rate,MATCH(B2388,pr_code,0))="","",INDEX(pr_rate,MATCH(B2388,pr_code,0))),""))))</f>
        <v/>
      </c>
      <c r="L2388" s="65" t="str">
        <f>IF(COUNTA(A2388:G2388)=0,"",IF(AND(ISNUMBER(D2388),ISNUMBER(J2388)),ROUND(D2388*J2388*(1-N(F2388)),2),0))</f>
        <v/>
      </c>
      <c r="M2388" s="62" t="str">
        <f>IF(A2388="","",IFERROR(INDEX(dv_cname,MATCH(A2388,dv_num,0))&amp;"",""))</f>
        <v/>
      </c>
      <c r="N2388" s="59" t="str">
        <f>IF(COUNTA(A2388:G2388)=0,"",IF(A2388="","N° devis manquant",IF(ISNA(MATCH(A2388,dv_num,0)),"Devis inconnu",IF(AND(B2388&lt;&gt;"",ISNA(MATCH(B2388,pr_code,0))),"Article inconnu",IF(H2388="","Désignation manquante",IF(OR(NOT(ISNUMBER(D2388)),N(D2388)&lt;=0),"Quantité invalide",IF(J2388="","Prix manquant",IF(OR(NOT(ISNUMBER(J2388)),N(J2388)&lt;0),"Prix invalide",IF(OR(AND(F2388&lt;&gt;"",NOT(ISNUMBER(F2388))),N(F2388)&lt;0,N(F2388)&gt;1),"Remise invalide",IF(K2388="","Taux de TVA manquant",IF(NOT(ISNUMBER(K2388)),"Taux de TVA invalide",IF(COUNTIF(p_rates,K2388)=0,"Taux de TVA hors liste (Paramètres)",IF(N(O2388)&gt;25,"Au-delà de 25 lignes : non imprimée","OK")))))))))))))</f>
        <v/>
      </c>
      <c r="O2388" s="59" t="str">
        <f>IF(A2388="","",COUNTIF($A$6:A2388,A2388))</f>
        <v/>
      </c>
      <c r="P2388" s="62" t="str">
        <f>IF(A2388="","",A2388&amp;"|"&amp;O2388)</f>
        <v/>
      </c>
    </row>
    <row r="2389">
      <c r="A2389" s="60" t="n"/>
      <c r="B2389" s="63" t="n"/>
      <c r="C2389" s="63" t="n"/>
      <c r="D2389" s="67" t="n"/>
      <c r="E2389" s="68" t="n"/>
      <c r="F2389" s="69" t="n"/>
      <c r="G2389" s="70" t="n"/>
      <c r="H2389" s="62" t="str">
        <f>IF(COUNTA(A2389:G2389)=0,"",IF(C2389&lt;&gt;"",C2389,IF(B2389="","",IFERROR(INDEX(pr_des,MATCH(B2389,pr_code,0))&amp;"",""))))</f>
        <v/>
      </c>
      <c r="I2389" s="59" t="str">
        <f>IF(B2389="","",IFERROR(INDEX(pr_unit,MATCH(B2389,pr_code,0))&amp;"",""))</f>
        <v/>
      </c>
      <c r="J2389" s="65" t="str">
        <f>IF(COUNTA(A2389:G2389)=0,"",IF(E2389&lt;&gt;"",E2389,IF(B2389="","",IFERROR(IF(INDEX(pr_price,MATCH(B2389,pr_code,0))="","",INDEX(pr_price,MATCH(B2389,pr_code,0))),""))))</f>
        <v/>
      </c>
      <c r="K2389" s="71" t="str">
        <f>IF(COUNTA(A2389:G2389)=0,"",IF(G2389&lt;&gt;"",G2389,IF(B2389="","",IFERROR(IF(INDEX(pr_rate,MATCH(B2389,pr_code,0))="","",INDEX(pr_rate,MATCH(B2389,pr_code,0))),""))))</f>
        <v/>
      </c>
      <c r="L2389" s="65" t="str">
        <f>IF(COUNTA(A2389:G2389)=0,"",IF(AND(ISNUMBER(D2389),ISNUMBER(J2389)),ROUND(D2389*J2389*(1-N(F2389)),2),0))</f>
        <v/>
      </c>
      <c r="M2389" s="62" t="str">
        <f>IF(A2389="","",IFERROR(INDEX(dv_cname,MATCH(A2389,dv_num,0))&amp;"",""))</f>
        <v/>
      </c>
      <c r="N2389" s="59" t="str">
        <f>IF(COUNTA(A2389:G2389)=0,"",IF(A2389="","N° devis manquant",IF(ISNA(MATCH(A2389,dv_num,0)),"Devis inconnu",IF(AND(B2389&lt;&gt;"",ISNA(MATCH(B2389,pr_code,0))),"Article inconnu",IF(H2389="","Désignation manquante",IF(OR(NOT(ISNUMBER(D2389)),N(D2389)&lt;=0),"Quantité invalide",IF(J2389="","Prix manquant",IF(OR(NOT(ISNUMBER(J2389)),N(J2389)&lt;0),"Prix invalide",IF(OR(AND(F2389&lt;&gt;"",NOT(ISNUMBER(F2389))),N(F2389)&lt;0,N(F2389)&gt;1),"Remise invalide",IF(K2389="","Taux de TVA manquant",IF(NOT(ISNUMBER(K2389)),"Taux de TVA invalide",IF(COUNTIF(p_rates,K2389)=0,"Taux de TVA hors liste (Paramètres)",IF(N(O2389)&gt;25,"Au-delà de 25 lignes : non imprimée","OK")))))))))))))</f>
        <v/>
      </c>
      <c r="O2389" s="59" t="str">
        <f>IF(A2389="","",COUNTIF($A$6:A2389,A2389))</f>
        <v/>
      </c>
      <c r="P2389" s="62" t="str">
        <f>IF(A2389="","",A2389&amp;"|"&amp;O2389)</f>
        <v/>
      </c>
    </row>
    <row r="2390">
      <c r="A2390" s="60" t="n"/>
      <c r="B2390" s="63" t="n"/>
      <c r="C2390" s="63" t="n"/>
      <c r="D2390" s="67" t="n"/>
      <c r="E2390" s="68" t="n"/>
      <c r="F2390" s="69" t="n"/>
      <c r="G2390" s="70" t="n"/>
      <c r="H2390" s="62" t="str">
        <f>IF(COUNTA(A2390:G2390)=0,"",IF(C2390&lt;&gt;"",C2390,IF(B2390="","",IFERROR(INDEX(pr_des,MATCH(B2390,pr_code,0))&amp;"",""))))</f>
        <v/>
      </c>
      <c r="I2390" s="59" t="str">
        <f>IF(B2390="","",IFERROR(INDEX(pr_unit,MATCH(B2390,pr_code,0))&amp;"",""))</f>
        <v/>
      </c>
      <c r="J2390" s="65" t="str">
        <f>IF(COUNTA(A2390:G2390)=0,"",IF(E2390&lt;&gt;"",E2390,IF(B2390="","",IFERROR(IF(INDEX(pr_price,MATCH(B2390,pr_code,0))="","",INDEX(pr_price,MATCH(B2390,pr_code,0))),""))))</f>
        <v/>
      </c>
      <c r="K2390" s="71" t="str">
        <f>IF(COUNTA(A2390:G2390)=0,"",IF(G2390&lt;&gt;"",G2390,IF(B2390="","",IFERROR(IF(INDEX(pr_rate,MATCH(B2390,pr_code,0))="","",INDEX(pr_rate,MATCH(B2390,pr_code,0))),""))))</f>
        <v/>
      </c>
      <c r="L2390" s="65" t="str">
        <f>IF(COUNTA(A2390:G2390)=0,"",IF(AND(ISNUMBER(D2390),ISNUMBER(J2390)),ROUND(D2390*J2390*(1-N(F2390)),2),0))</f>
        <v/>
      </c>
      <c r="M2390" s="62" t="str">
        <f>IF(A2390="","",IFERROR(INDEX(dv_cname,MATCH(A2390,dv_num,0))&amp;"",""))</f>
        <v/>
      </c>
      <c r="N2390" s="59" t="str">
        <f>IF(COUNTA(A2390:G2390)=0,"",IF(A2390="","N° devis manquant",IF(ISNA(MATCH(A2390,dv_num,0)),"Devis inconnu",IF(AND(B2390&lt;&gt;"",ISNA(MATCH(B2390,pr_code,0))),"Article inconnu",IF(H2390="","Désignation manquante",IF(OR(NOT(ISNUMBER(D2390)),N(D2390)&lt;=0),"Quantité invalide",IF(J2390="","Prix manquant",IF(OR(NOT(ISNUMBER(J2390)),N(J2390)&lt;0),"Prix invalide",IF(OR(AND(F2390&lt;&gt;"",NOT(ISNUMBER(F2390))),N(F2390)&lt;0,N(F2390)&gt;1),"Remise invalide",IF(K2390="","Taux de TVA manquant",IF(NOT(ISNUMBER(K2390)),"Taux de TVA invalide",IF(COUNTIF(p_rates,K2390)=0,"Taux de TVA hors liste (Paramètres)",IF(N(O2390)&gt;25,"Au-delà de 25 lignes : non imprimée","OK")))))))))))))</f>
        <v/>
      </c>
      <c r="O2390" s="59" t="str">
        <f>IF(A2390="","",COUNTIF($A$6:A2390,A2390))</f>
        <v/>
      </c>
      <c r="P2390" s="62" t="str">
        <f>IF(A2390="","",A2390&amp;"|"&amp;O2390)</f>
        <v/>
      </c>
    </row>
    <row r="2391">
      <c r="A2391" s="60" t="n"/>
      <c r="B2391" s="63" t="n"/>
      <c r="C2391" s="63" t="n"/>
      <c r="D2391" s="67" t="n"/>
      <c r="E2391" s="68" t="n"/>
      <c r="F2391" s="69" t="n"/>
      <c r="G2391" s="70" t="n"/>
      <c r="H2391" s="62" t="str">
        <f>IF(COUNTA(A2391:G2391)=0,"",IF(C2391&lt;&gt;"",C2391,IF(B2391="","",IFERROR(INDEX(pr_des,MATCH(B2391,pr_code,0))&amp;"",""))))</f>
        <v/>
      </c>
      <c r="I2391" s="59" t="str">
        <f>IF(B2391="","",IFERROR(INDEX(pr_unit,MATCH(B2391,pr_code,0))&amp;"",""))</f>
        <v/>
      </c>
      <c r="J2391" s="65" t="str">
        <f>IF(COUNTA(A2391:G2391)=0,"",IF(E2391&lt;&gt;"",E2391,IF(B2391="","",IFERROR(IF(INDEX(pr_price,MATCH(B2391,pr_code,0))="","",INDEX(pr_price,MATCH(B2391,pr_code,0))),""))))</f>
        <v/>
      </c>
      <c r="K2391" s="71" t="str">
        <f>IF(COUNTA(A2391:G2391)=0,"",IF(G2391&lt;&gt;"",G2391,IF(B2391="","",IFERROR(IF(INDEX(pr_rate,MATCH(B2391,pr_code,0))="","",INDEX(pr_rate,MATCH(B2391,pr_code,0))),""))))</f>
        <v/>
      </c>
      <c r="L2391" s="65" t="str">
        <f>IF(COUNTA(A2391:G2391)=0,"",IF(AND(ISNUMBER(D2391),ISNUMBER(J2391)),ROUND(D2391*J2391*(1-N(F2391)),2),0))</f>
        <v/>
      </c>
      <c r="M2391" s="62" t="str">
        <f>IF(A2391="","",IFERROR(INDEX(dv_cname,MATCH(A2391,dv_num,0))&amp;"",""))</f>
        <v/>
      </c>
      <c r="N2391" s="59" t="str">
        <f>IF(COUNTA(A2391:G2391)=0,"",IF(A2391="","N° devis manquant",IF(ISNA(MATCH(A2391,dv_num,0)),"Devis inconnu",IF(AND(B2391&lt;&gt;"",ISNA(MATCH(B2391,pr_code,0))),"Article inconnu",IF(H2391="","Désignation manquante",IF(OR(NOT(ISNUMBER(D2391)),N(D2391)&lt;=0),"Quantité invalide",IF(J2391="","Prix manquant",IF(OR(NOT(ISNUMBER(J2391)),N(J2391)&lt;0),"Prix invalide",IF(OR(AND(F2391&lt;&gt;"",NOT(ISNUMBER(F2391))),N(F2391)&lt;0,N(F2391)&gt;1),"Remise invalide",IF(K2391="","Taux de TVA manquant",IF(NOT(ISNUMBER(K2391)),"Taux de TVA invalide",IF(COUNTIF(p_rates,K2391)=0,"Taux de TVA hors liste (Paramètres)",IF(N(O2391)&gt;25,"Au-delà de 25 lignes : non imprimée","OK")))))))))))))</f>
        <v/>
      </c>
      <c r="O2391" s="59" t="str">
        <f>IF(A2391="","",COUNTIF($A$6:A2391,A2391))</f>
        <v/>
      </c>
      <c r="P2391" s="62" t="str">
        <f>IF(A2391="","",A2391&amp;"|"&amp;O2391)</f>
        <v/>
      </c>
    </row>
    <row r="2392">
      <c r="A2392" s="60" t="n"/>
      <c r="B2392" s="63" t="n"/>
      <c r="C2392" s="63" t="n"/>
      <c r="D2392" s="67" t="n"/>
      <c r="E2392" s="68" t="n"/>
      <c r="F2392" s="69" t="n"/>
      <c r="G2392" s="70" t="n"/>
      <c r="H2392" s="62" t="str">
        <f>IF(COUNTA(A2392:G2392)=0,"",IF(C2392&lt;&gt;"",C2392,IF(B2392="","",IFERROR(INDEX(pr_des,MATCH(B2392,pr_code,0))&amp;"",""))))</f>
        <v/>
      </c>
      <c r="I2392" s="59" t="str">
        <f>IF(B2392="","",IFERROR(INDEX(pr_unit,MATCH(B2392,pr_code,0))&amp;"",""))</f>
        <v/>
      </c>
      <c r="J2392" s="65" t="str">
        <f>IF(COUNTA(A2392:G2392)=0,"",IF(E2392&lt;&gt;"",E2392,IF(B2392="","",IFERROR(IF(INDEX(pr_price,MATCH(B2392,pr_code,0))="","",INDEX(pr_price,MATCH(B2392,pr_code,0))),""))))</f>
        <v/>
      </c>
      <c r="K2392" s="71" t="str">
        <f>IF(COUNTA(A2392:G2392)=0,"",IF(G2392&lt;&gt;"",G2392,IF(B2392="","",IFERROR(IF(INDEX(pr_rate,MATCH(B2392,pr_code,0))="","",INDEX(pr_rate,MATCH(B2392,pr_code,0))),""))))</f>
        <v/>
      </c>
      <c r="L2392" s="65" t="str">
        <f>IF(COUNTA(A2392:G2392)=0,"",IF(AND(ISNUMBER(D2392),ISNUMBER(J2392)),ROUND(D2392*J2392*(1-N(F2392)),2),0))</f>
        <v/>
      </c>
      <c r="M2392" s="62" t="str">
        <f>IF(A2392="","",IFERROR(INDEX(dv_cname,MATCH(A2392,dv_num,0))&amp;"",""))</f>
        <v/>
      </c>
      <c r="N2392" s="59" t="str">
        <f>IF(COUNTA(A2392:G2392)=0,"",IF(A2392="","N° devis manquant",IF(ISNA(MATCH(A2392,dv_num,0)),"Devis inconnu",IF(AND(B2392&lt;&gt;"",ISNA(MATCH(B2392,pr_code,0))),"Article inconnu",IF(H2392="","Désignation manquante",IF(OR(NOT(ISNUMBER(D2392)),N(D2392)&lt;=0),"Quantité invalide",IF(J2392="","Prix manquant",IF(OR(NOT(ISNUMBER(J2392)),N(J2392)&lt;0),"Prix invalide",IF(OR(AND(F2392&lt;&gt;"",NOT(ISNUMBER(F2392))),N(F2392)&lt;0,N(F2392)&gt;1),"Remise invalide",IF(K2392="","Taux de TVA manquant",IF(NOT(ISNUMBER(K2392)),"Taux de TVA invalide",IF(COUNTIF(p_rates,K2392)=0,"Taux de TVA hors liste (Paramètres)",IF(N(O2392)&gt;25,"Au-delà de 25 lignes : non imprimée","OK")))))))))))))</f>
        <v/>
      </c>
      <c r="O2392" s="59" t="str">
        <f>IF(A2392="","",COUNTIF($A$6:A2392,A2392))</f>
        <v/>
      </c>
      <c r="P2392" s="62" t="str">
        <f>IF(A2392="","",A2392&amp;"|"&amp;O2392)</f>
        <v/>
      </c>
    </row>
    <row r="2393">
      <c r="A2393" s="60" t="n"/>
      <c r="B2393" s="63" t="n"/>
      <c r="C2393" s="63" t="n"/>
      <c r="D2393" s="67" t="n"/>
      <c r="E2393" s="68" t="n"/>
      <c r="F2393" s="69" t="n"/>
      <c r="G2393" s="70" t="n"/>
      <c r="H2393" s="62" t="str">
        <f>IF(COUNTA(A2393:G2393)=0,"",IF(C2393&lt;&gt;"",C2393,IF(B2393="","",IFERROR(INDEX(pr_des,MATCH(B2393,pr_code,0))&amp;"",""))))</f>
        <v/>
      </c>
      <c r="I2393" s="59" t="str">
        <f>IF(B2393="","",IFERROR(INDEX(pr_unit,MATCH(B2393,pr_code,0))&amp;"",""))</f>
        <v/>
      </c>
      <c r="J2393" s="65" t="str">
        <f>IF(COUNTA(A2393:G2393)=0,"",IF(E2393&lt;&gt;"",E2393,IF(B2393="","",IFERROR(IF(INDEX(pr_price,MATCH(B2393,pr_code,0))="","",INDEX(pr_price,MATCH(B2393,pr_code,0))),""))))</f>
        <v/>
      </c>
      <c r="K2393" s="71" t="str">
        <f>IF(COUNTA(A2393:G2393)=0,"",IF(G2393&lt;&gt;"",G2393,IF(B2393="","",IFERROR(IF(INDEX(pr_rate,MATCH(B2393,pr_code,0))="","",INDEX(pr_rate,MATCH(B2393,pr_code,0))),""))))</f>
        <v/>
      </c>
      <c r="L2393" s="65" t="str">
        <f>IF(COUNTA(A2393:G2393)=0,"",IF(AND(ISNUMBER(D2393),ISNUMBER(J2393)),ROUND(D2393*J2393*(1-N(F2393)),2),0))</f>
        <v/>
      </c>
      <c r="M2393" s="62" t="str">
        <f>IF(A2393="","",IFERROR(INDEX(dv_cname,MATCH(A2393,dv_num,0))&amp;"",""))</f>
        <v/>
      </c>
      <c r="N2393" s="59" t="str">
        <f>IF(COUNTA(A2393:G2393)=0,"",IF(A2393="","N° devis manquant",IF(ISNA(MATCH(A2393,dv_num,0)),"Devis inconnu",IF(AND(B2393&lt;&gt;"",ISNA(MATCH(B2393,pr_code,0))),"Article inconnu",IF(H2393="","Désignation manquante",IF(OR(NOT(ISNUMBER(D2393)),N(D2393)&lt;=0),"Quantité invalide",IF(J2393="","Prix manquant",IF(OR(NOT(ISNUMBER(J2393)),N(J2393)&lt;0),"Prix invalide",IF(OR(AND(F2393&lt;&gt;"",NOT(ISNUMBER(F2393))),N(F2393)&lt;0,N(F2393)&gt;1),"Remise invalide",IF(K2393="","Taux de TVA manquant",IF(NOT(ISNUMBER(K2393)),"Taux de TVA invalide",IF(COUNTIF(p_rates,K2393)=0,"Taux de TVA hors liste (Paramètres)",IF(N(O2393)&gt;25,"Au-delà de 25 lignes : non imprimée","OK")))))))))))))</f>
        <v/>
      </c>
      <c r="O2393" s="59" t="str">
        <f>IF(A2393="","",COUNTIF($A$6:A2393,A2393))</f>
        <v/>
      </c>
      <c r="P2393" s="62" t="str">
        <f>IF(A2393="","",A2393&amp;"|"&amp;O2393)</f>
        <v/>
      </c>
    </row>
    <row r="2394">
      <c r="A2394" s="60" t="n"/>
      <c r="B2394" s="63" t="n"/>
      <c r="C2394" s="63" t="n"/>
      <c r="D2394" s="67" t="n"/>
      <c r="E2394" s="68" t="n"/>
      <c r="F2394" s="69" t="n"/>
      <c r="G2394" s="70" t="n"/>
      <c r="H2394" s="62" t="str">
        <f>IF(COUNTA(A2394:G2394)=0,"",IF(C2394&lt;&gt;"",C2394,IF(B2394="","",IFERROR(INDEX(pr_des,MATCH(B2394,pr_code,0))&amp;"",""))))</f>
        <v/>
      </c>
      <c r="I2394" s="59" t="str">
        <f>IF(B2394="","",IFERROR(INDEX(pr_unit,MATCH(B2394,pr_code,0))&amp;"",""))</f>
        <v/>
      </c>
      <c r="J2394" s="65" t="str">
        <f>IF(COUNTA(A2394:G2394)=0,"",IF(E2394&lt;&gt;"",E2394,IF(B2394="","",IFERROR(IF(INDEX(pr_price,MATCH(B2394,pr_code,0))="","",INDEX(pr_price,MATCH(B2394,pr_code,0))),""))))</f>
        <v/>
      </c>
      <c r="K2394" s="71" t="str">
        <f>IF(COUNTA(A2394:G2394)=0,"",IF(G2394&lt;&gt;"",G2394,IF(B2394="","",IFERROR(IF(INDEX(pr_rate,MATCH(B2394,pr_code,0))="","",INDEX(pr_rate,MATCH(B2394,pr_code,0))),""))))</f>
        <v/>
      </c>
      <c r="L2394" s="65" t="str">
        <f>IF(COUNTA(A2394:G2394)=0,"",IF(AND(ISNUMBER(D2394),ISNUMBER(J2394)),ROUND(D2394*J2394*(1-N(F2394)),2),0))</f>
        <v/>
      </c>
      <c r="M2394" s="62" t="str">
        <f>IF(A2394="","",IFERROR(INDEX(dv_cname,MATCH(A2394,dv_num,0))&amp;"",""))</f>
        <v/>
      </c>
      <c r="N2394" s="59" t="str">
        <f>IF(COUNTA(A2394:G2394)=0,"",IF(A2394="","N° devis manquant",IF(ISNA(MATCH(A2394,dv_num,0)),"Devis inconnu",IF(AND(B2394&lt;&gt;"",ISNA(MATCH(B2394,pr_code,0))),"Article inconnu",IF(H2394="","Désignation manquante",IF(OR(NOT(ISNUMBER(D2394)),N(D2394)&lt;=0),"Quantité invalide",IF(J2394="","Prix manquant",IF(OR(NOT(ISNUMBER(J2394)),N(J2394)&lt;0),"Prix invalide",IF(OR(AND(F2394&lt;&gt;"",NOT(ISNUMBER(F2394))),N(F2394)&lt;0,N(F2394)&gt;1),"Remise invalide",IF(K2394="","Taux de TVA manquant",IF(NOT(ISNUMBER(K2394)),"Taux de TVA invalide",IF(COUNTIF(p_rates,K2394)=0,"Taux de TVA hors liste (Paramètres)",IF(N(O2394)&gt;25,"Au-delà de 25 lignes : non imprimée","OK")))))))))))))</f>
        <v/>
      </c>
      <c r="O2394" s="59" t="str">
        <f>IF(A2394="","",COUNTIF($A$6:A2394,A2394))</f>
        <v/>
      </c>
      <c r="P2394" s="62" t="str">
        <f>IF(A2394="","",A2394&amp;"|"&amp;O2394)</f>
        <v/>
      </c>
    </row>
    <row r="2395">
      <c r="A2395" s="60" t="n"/>
      <c r="B2395" s="63" t="n"/>
      <c r="C2395" s="63" t="n"/>
      <c r="D2395" s="67" t="n"/>
      <c r="E2395" s="68" t="n"/>
      <c r="F2395" s="69" t="n"/>
      <c r="G2395" s="70" t="n"/>
      <c r="H2395" s="62" t="str">
        <f>IF(COUNTA(A2395:G2395)=0,"",IF(C2395&lt;&gt;"",C2395,IF(B2395="","",IFERROR(INDEX(pr_des,MATCH(B2395,pr_code,0))&amp;"",""))))</f>
        <v/>
      </c>
      <c r="I2395" s="59" t="str">
        <f>IF(B2395="","",IFERROR(INDEX(pr_unit,MATCH(B2395,pr_code,0))&amp;"",""))</f>
        <v/>
      </c>
      <c r="J2395" s="65" t="str">
        <f>IF(COUNTA(A2395:G2395)=0,"",IF(E2395&lt;&gt;"",E2395,IF(B2395="","",IFERROR(IF(INDEX(pr_price,MATCH(B2395,pr_code,0))="","",INDEX(pr_price,MATCH(B2395,pr_code,0))),""))))</f>
        <v/>
      </c>
      <c r="K2395" s="71" t="str">
        <f>IF(COUNTA(A2395:G2395)=0,"",IF(G2395&lt;&gt;"",G2395,IF(B2395="","",IFERROR(IF(INDEX(pr_rate,MATCH(B2395,pr_code,0))="","",INDEX(pr_rate,MATCH(B2395,pr_code,0))),""))))</f>
        <v/>
      </c>
      <c r="L2395" s="65" t="str">
        <f>IF(COUNTA(A2395:G2395)=0,"",IF(AND(ISNUMBER(D2395),ISNUMBER(J2395)),ROUND(D2395*J2395*(1-N(F2395)),2),0))</f>
        <v/>
      </c>
      <c r="M2395" s="62" t="str">
        <f>IF(A2395="","",IFERROR(INDEX(dv_cname,MATCH(A2395,dv_num,0))&amp;"",""))</f>
        <v/>
      </c>
      <c r="N2395" s="59" t="str">
        <f>IF(COUNTA(A2395:G2395)=0,"",IF(A2395="","N° devis manquant",IF(ISNA(MATCH(A2395,dv_num,0)),"Devis inconnu",IF(AND(B2395&lt;&gt;"",ISNA(MATCH(B2395,pr_code,0))),"Article inconnu",IF(H2395="","Désignation manquante",IF(OR(NOT(ISNUMBER(D2395)),N(D2395)&lt;=0),"Quantité invalide",IF(J2395="","Prix manquant",IF(OR(NOT(ISNUMBER(J2395)),N(J2395)&lt;0),"Prix invalide",IF(OR(AND(F2395&lt;&gt;"",NOT(ISNUMBER(F2395))),N(F2395)&lt;0,N(F2395)&gt;1),"Remise invalide",IF(K2395="","Taux de TVA manquant",IF(NOT(ISNUMBER(K2395)),"Taux de TVA invalide",IF(COUNTIF(p_rates,K2395)=0,"Taux de TVA hors liste (Paramètres)",IF(N(O2395)&gt;25,"Au-delà de 25 lignes : non imprimée","OK")))))))))))))</f>
        <v/>
      </c>
      <c r="O2395" s="59" t="str">
        <f>IF(A2395="","",COUNTIF($A$6:A2395,A2395))</f>
        <v/>
      </c>
      <c r="P2395" s="62" t="str">
        <f>IF(A2395="","",A2395&amp;"|"&amp;O2395)</f>
        <v/>
      </c>
    </row>
    <row r="2396">
      <c r="A2396" s="60" t="n"/>
      <c r="B2396" s="63" t="n"/>
      <c r="C2396" s="63" t="n"/>
      <c r="D2396" s="67" t="n"/>
      <c r="E2396" s="68" t="n"/>
      <c r="F2396" s="69" t="n"/>
      <c r="G2396" s="70" t="n"/>
      <c r="H2396" s="62" t="str">
        <f>IF(COUNTA(A2396:G2396)=0,"",IF(C2396&lt;&gt;"",C2396,IF(B2396="","",IFERROR(INDEX(pr_des,MATCH(B2396,pr_code,0))&amp;"",""))))</f>
        <v/>
      </c>
      <c r="I2396" s="59" t="str">
        <f>IF(B2396="","",IFERROR(INDEX(pr_unit,MATCH(B2396,pr_code,0))&amp;"",""))</f>
        <v/>
      </c>
      <c r="J2396" s="65" t="str">
        <f>IF(COUNTA(A2396:G2396)=0,"",IF(E2396&lt;&gt;"",E2396,IF(B2396="","",IFERROR(IF(INDEX(pr_price,MATCH(B2396,pr_code,0))="","",INDEX(pr_price,MATCH(B2396,pr_code,0))),""))))</f>
        <v/>
      </c>
      <c r="K2396" s="71" t="str">
        <f>IF(COUNTA(A2396:G2396)=0,"",IF(G2396&lt;&gt;"",G2396,IF(B2396="","",IFERROR(IF(INDEX(pr_rate,MATCH(B2396,pr_code,0))="","",INDEX(pr_rate,MATCH(B2396,pr_code,0))),""))))</f>
        <v/>
      </c>
      <c r="L2396" s="65" t="str">
        <f>IF(COUNTA(A2396:G2396)=0,"",IF(AND(ISNUMBER(D2396),ISNUMBER(J2396)),ROUND(D2396*J2396*(1-N(F2396)),2),0))</f>
        <v/>
      </c>
      <c r="M2396" s="62" t="str">
        <f>IF(A2396="","",IFERROR(INDEX(dv_cname,MATCH(A2396,dv_num,0))&amp;"",""))</f>
        <v/>
      </c>
      <c r="N2396" s="59" t="str">
        <f>IF(COUNTA(A2396:G2396)=0,"",IF(A2396="","N° devis manquant",IF(ISNA(MATCH(A2396,dv_num,0)),"Devis inconnu",IF(AND(B2396&lt;&gt;"",ISNA(MATCH(B2396,pr_code,0))),"Article inconnu",IF(H2396="","Désignation manquante",IF(OR(NOT(ISNUMBER(D2396)),N(D2396)&lt;=0),"Quantité invalide",IF(J2396="","Prix manquant",IF(OR(NOT(ISNUMBER(J2396)),N(J2396)&lt;0),"Prix invalide",IF(OR(AND(F2396&lt;&gt;"",NOT(ISNUMBER(F2396))),N(F2396)&lt;0,N(F2396)&gt;1),"Remise invalide",IF(K2396="","Taux de TVA manquant",IF(NOT(ISNUMBER(K2396)),"Taux de TVA invalide",IF(COUNTIF(p_rates,K2396)=0,"Taux de TVA hors liste (Paramètres)",IF(N(O2396)&gt;25,"Au-delà de 25 lignes : non imprimée","OK")))))))))))))</f>
        <v/>
      </c>
      <c r="O2396" s="59" t="str">
        <f>IF(A2396="","",COUNTIF($A$6:A2396,A2396))</f>
        <v/>
      </c>
      <c r="P2396" s="62" t="str">
        <f>IF(A2396="","",A2396&amp;"|"&amp;O2396)</f>
        <v/>
      </c>
    </row>
    <row r="2397">
      <c r="A2397" s="60" t="n"/>
      <c r="B2397" s="63" t="n"/>
      <c r="C2397" s="63" t="n"/>
      <c r="D2397" s="67" t="n"/>
      <c r="E2397" s="68" t="n"/>
      <c r="F2397" s="69" t="n"/>
      <c r="G2397" s="70" t="n"/>
      <c r="H2397" s="62" t="str">
        <f>IF(COUNTA(A2397:G2397)=0,"",IF(C2397&lt;&gt;"",C2397,IF(B2397="","",IFERROR(INDEX(pr_des,MATCH(B2397,pr_code,0))&amp;"",""))))</f>
        <v/>
      </c>
      <c r="I2397" s="59" t="str">
        <f>IF(B2397="","",IFERROR(INDEX(pr_unit,MATCH(B2397,pr_code,0))&amp;"",""))</f>
        <v/>
      </c>
      <c r="J2397" s="65" t="str">
        <f>IF(COUNTA(A2397:G2397)=0,"",IF(E2397&lt;&gt;"",E2397,IF(B2397="","",IFERROR(IF(INDEX(pr_price,MATCH(B2397,pr_code,0))="","",INDEX(pr_price,MATCH(B2397,pr_code,0))),""))))</f>
        <v/>
      </c>
      <c r="K2397" s="71" t="str">
        <f>IF(COUNTA(A2397:G2397)=0,"",IF(G2397&lt;&gt;"",G2397,IF(B2397="","",IFERROR(IF(INDEX(pr_rate,MATCH(B2397,pr_code,0))="","",INDEX(pr_rate,MATCH(B2397,pr_code,0))),""))))</f>
        <v/>
      </c>
      <c r="L2397" s="65" t="str">
        <f>IF(COUNTA(A2397:G2397)=0,"",IF(AND(ISNUMBER(D2397),ISNUMBER(J2397)),ROUND(D2397*J2397*(1-N(F2397)),2),0))</f>
        <v/>
      </c>
      <c r="M2397" s="62" t="str">
        <f>IF(A2397="","",IFERROR(INDEX(dv_cname,MATCH(A2397,dv_num,0))&amp;"",""))</f>
        <v/>
      </c>
      <c r="N2397" s="59" t="str">
        <f>IF(COUNTA(A2397:G2397)=0,"",IF(A2397="","N° devis manquant",IF(ISNA(MATCH(A2397,dv_num,0)),"Devis inconnu",IF(AND(B2397&lt;&gt;"",ISNA(MATCH(B2397,pr_code,0))),"Article inconnu",IF(H2397="","Désignation manquante",IF(OR(NOT(ISNUMBER(D2397)),N(D2397)&lt;=0),"Quantité invalide",IF(J2397="","Prix manquant",IF(OR(NOT(ISNUMBER(J2397)),N(J2397)&lt;0),"Prix invalide",IF(OR(AND(F2397&lt;&gt;"",NOT(ISNUMBER(F2397))),N(F2397)&lt;0,N(F2397)&gt;1),"Remise invalide",IF(K2397="","Taux de TVA manquant",IF(NOT(ISNUMBER(K2397)),"Taux de TVA invalide",IF(COUNTIF(p_rates,K2397)=0,"Taux de TVA hors liste (Paramètres)",IF(N(O2397)&gt;25,"Au-delà de 25 lignes : non imprimée","OK")))))))))))))</f>
        <v/>
      </c>
      <c r="O2397" s="59" t="str">
        <f>IF(A2397="","",COUNTIF($A$6:A2397,A2397))</f>
        <v/>
      </c>
      <c r="P2397" s="62" t="str">
        <f>IF(A2397="","",A2397&amp;"|"&amp;O2397)</f>
        <v/>
      </c>
    </row>
    <row r="2398">
      <c r="A2398" s="60" t="n"/>
      <c r="B2398" s="63" t="n"/>
      <c r="C2398" s="63" t="n"/>
      <c r="D2398" s="67" t="n"/>
      <c r="E2398" s="68" t="n"/>
      <c r="F2398" s="69" t="n"/>
      <c r="G2398" s="70" t="n"/>
      <c r="H2398" s="62" t="str">
        <f>IF(COUNTA(A2398:G2398)=0,"",IF(C2398&lt;&gt;"",C2398,IF(B2398="","",IFERROR(INDEX(pr_des,MATCH(B2398,pr_code,0))&amp;"",""))))</f>
        <v/>
      </c>
      <c r="I2398" s="59" t="str">
        <f>IF(B2398="","",IFERROR(INDEX(pr_unit,MATCH(B2398,pr_code,0))&amp;"",""))</f>
        <v/>
      </c>
      <c r="J2398" s="65" t="str">
        <f>IF(COUNTA(A2398:G2398)=0,"",IF(E2398&lt;&gt;"",E2398,IF(B2398="","",IFERROR(IF(INDEX(pr_price,MATCH(B2398,pr_code,0))="","",INDEX(pr_price,MATCH(B2398,pr_code,0))),""))))</f>
        <v/>
      </c>
      <c r="K2398" s="71" t="str">
        <f>IF(COUNTA(A2398:G2398)=0,"",IF(G2398&lt;&gt;"",G2398,IF(B2398="","",IFERROR(IF(INDEX(pr_rate,MATCH(B2398,pr_code,0))="","",INDEX(pr_rate,MATCH(B2398,pr_code,0))),""))))</f>
        <v/>
      </c>
      <c r="L2398" s="65" t="str">
        <f>IF(COUNTA(A2398:G2398)=0,"",IF(AND(ISNUMBER(D2398),ISNUMBER(J2398)),ROUND(D2398*J2398*(1-N(F2398)),2),0))</f>
        <v/>
      </c>
      <c r="M2398" s="62" t="str">
        <f>IF(A2398="","",IFERROR(INDEX(dv_cname,MATCH(A2398,dv_num,0))&amp;"",""))</f>
        <v/>
      </c>
      <c r="N2398" s="59" t="str">
        <f>IF(COUNTA(A2398:G2398)=0,"",IF(A2398="","N° devis manquant",IF(ISNA(MATCH(A2398,dv_num,0)),"Devis inconnu",IF(AND(B2398&lt;&gt;"",ISNA(MATCH(B2398,pr_code,0))),"Article inconnu",IF(H2398="","Désignation manquante",IF(OR(NOT(ISNUMBER(D2398)),N(D2398)&lt;=0),"Quantité invalide",IF(J2398="","Prix manquant",IF(OR(NOT(ISNUMBER(J2398)),N(J2398)&lt;0),"Prix invalide",IF(OR(AND(F2398&lt;&gt;"",NOT(ISNUMBER(F2398))),N(F2398)&lt;0,N(F2398)&gt;1),"Remise invalide",IF(K2398="","Taux de TVA manquant",IF(NOT(ISNUMBER(K2398)),"Taux de TVA invalide",IF(COUNTIF(p_rates,K2398)=0,"Taux de TVA hors liste (Paramètres)",IF(N(O2398)&gt;25,"Au-delà de 25 lignes : non imprimée","OK")))))))))))))</f>
        <v/>
      </c>
      <c r="O2398" s="59" t="str">
        <f>IF(A2398="","",COUNTIF($A$6:A2398,A2398))</f>
        <v/>
      </c>
      <c r="P2398" s="62" t="str">
        <f>IF(A2398="","",A2398&amp;"|"&amp;O2398)</f>
        <v/>
      </c>
    </row>
    <row r="2399">
      <c r="A2399" s="60" t="n"/>
      <c r="B2399" s="63" t="n"/>
      <c r="C2399" s="63" t="n"/>
      <c r="D2399" s="67" t="n"/>
      <c r="E2399" s="68" t="n"/>
      <c r="F2399" s="69" t="n"/>
      <c r="G2399" s="70" t="n"/>
      <c r="H2399" s="62" t="str">
        <f>IF(COUNTA(A2399:G2399)=0,"",IF(C2399&lt;&gt;"",C2399,IF(B2399="","",IFERROR(INDEX(pr_des,MATCH(B2399,pr_code,0))&amp;"",""))))</f>
        <v/>
      </c>
      <c r="I2399" s="59" t="str">
        <f>IF(B2399="","",IFERROR(INDEX(pr_unit,MATCH(B2399,pr_code,0))&amp;"",""))</f>
        <v/>
      </c>
      <c r="J2399" s="65" t="str">
        <f>IF(COUNTA(A2399:G2399)=0,"",IF(E2399&lt;&gt;"",E2399,IF(B2399="","",IFERROR(IF(INDEX(pr_price,MATCH(B2399,pr_code,0))="","",INDEX(pr_price,MATCH(B2399,pr_code,0))),""))))</f>
        <v/>
      </c>
      <c r="K2399" s="71" t="str">
        <f>IF(COUNTA(A2399:G2399)=0,"",IF(G2399&lt;&gt;"",G2399,IF(B2399="","",IFERROR(IF(INDEX(pr_rate,MATCH(B2399,pr_code,0))="","",INDEX(pr_rate,MATCH(B2399,pr_code,0))),""))))</f>
        <v/>
      </c>
      <c r="L2399" s="65" t="str">
        <f>IF(COUNTA(A2399:G2399)=0,"",IF(AND(ISNUMBER(D2399),ISNUMBER(J2399)),ROUND(D2399*J2399*(1-N(F2399)),2),0))</f>
        <v/>
      </c>
      <c r="M2399" s="62" t="str">
        <f>IF(A2399="","",IFERROR(INDEX(dv_cname,MATCH(A2399,dv_num,0))&amp;"",""))</f>
        <v/>
      </c>
      <c r="N2399" s="59" t="str">
        <f>IF(COUNTA(A2399:G2399)=0,"",IF(A2399="","N° devis manquant",IF(ISNA(MATCH(A2399,dv_num,0)),"Devis inconnu",IF(AND(B2399&lt;&gt;"",ISNA(MATCH(B2399,pr_code,0))),"Article inconnu",IF(H2399="","Désignation manquante",IF(OR(NOT(ISNUMBER(D2399)),N(D2399)&lt;=0),"Quantité invalide",IF(J2399="","Prix manquant",IF(OR(NOT(ISNUMBER(J2399)),N(J2399)&lt;0),"Prix invalide",IF(OR(AND(F2399&lt;&gt;"",NOT(ISNUMBER(F2399))),N(F2399)&lt;0,N(F2399)&gt;1),"Remise invalide",IF(K2399="","Taux de TVA manquant",IF(NOT(ISNUMBER(K2399)),"Taux de TVA invalide",IF(COUNTIF(p_rates,K2399)=0,"Taux de TVA hors liste (Paramètres)",IF(N(O2399)&gt;25,"Au-delà de 25 lignes : non imprimée","OK")))))))))))))</f>
        <v/>
      </c>
      <c r="O2399" s="59" t="str">
        <f>IF(A2399="","",COUNTIF($A$6:A2399,A2399))</f>
        <v/>
      </c>
      <c r="P2399" s="62" t="str">
        <f>IF(A2399="","",A2399&amp;"|"&amp;O2399)</f>
        <v/>
      </c>
    </row>
    <row r="2400">
      <c r="A2400" s="60" t="n"/>
      <c r="B2400" s="63" t="n"/>
      <c r="C2400" s="63" t="n"/>
      <c r="D2400" s="67" t="n"/>
      <c r="E2400" s="68" t="n"/>
      <c r="F2400" s="69" t="n"/>
      <c r="G2400" s="70" t="n"/>
      <c r="H2400" s="62" t="str">
        <f>IF(COUNTA(A2400:G2400)=0,"",IF(C2400&lt;&gt;"",C2400,IF(B2400="","",IFERROR(INDEX(pr_des,MATCH(B2400,pr_code,0))&amp;"",""))))</f>
        <v/>
      </c>
      <c r="I2400" s="59" t="str">
        <f>IF(B2400="","",IFERROR(INDEX(pr_unit,MATCH(B2400,pr_code,0))&amp;"",""))</f>
        <v/>
      </c>
      <c r="J2400" s="65" t="str">
        <f>IF(COUNTA(A2400:G2400)=0,"",IF(E2400&lt;&gt;"",E2400,IF(B2400="","",IFERROR(IF(INDEX(pr_price,MATCH(B2400,pr_code,0))="","",INDEX(pr_price,MATCH(B2400,pr_code,0))),""))))</f>
        <v/>
      </c>
      <c r="K2400" s="71" t="str">
        <f>IF(COUNTA(A2400:G2400)=0,"",IF(G2400&lt;&gt;"",G2400,IF(B2400="","",IFERROR(IF(INDEX(pr_rate,MATCH(B2400,pr_code,0))="","",INDEX(pr_rate,MATCH(B2400,pr_code,0))),""))))</f>
        <v/>
      </c>
      <c r="L2400" s="65" t="str">
        <f>IF(COUNTA(A2400:G2400)=0,"",IF(AND(ISNUMBER(D2400),ISNUMBER(J2400)),ROUND(D2400*J2400*(1-N(F2400)),2),0))</f>
        <v/>
      </c>
      <c r="M2400" s="62" t="str">
        <f>IF(A2400="","",IFERROR(INDEX(dv_cname,MATCH(A2400,dv_num,0))&amp;"",""))</f>
        <v/>
      </c>
      <c r="N2400" s="59" t="str">
        <f>IF(COUNTA(A2400:G2400)=0,"",IF(A2400="","N° devis manquant",IF(ISNA(MATCH(A2400,dv_num,0)),"Devis inconnu",IF(AND(B2400&lt;&gt;"",ISNA(MATCH(B2400,pr_code,0))),"Article inconnu",IF(H2400="","Désignation manquante",IF(OR(NOT(ISNUMBER(D2400)),N(D2400)&lt;=0),"Quantité invalide",IF(J2400="","Prix manquant",IF(OR(NOT(ISNUMBER(J2400)),N(J2400)&lt;0),"Prix invalide",IF(OR(AND(F2400&lt;&gt;"",NOT(ISNUMBER(F2400))),N(F2400)&lt;0,N(F2400)&gt;1),"Remise invalide",IF(K2400="","Taux de TVA manquant",IF(NOT(ISNUMBER(K2400)),"Taux de TVA invalide",IF(COUNTIF(p_rates,K2400)=0,"Taux de TVA hors liste (Paramètres)",IF(N(O2400)&gt;25,"Au-delà de 25 lignes : non imprimée","OK")))))))))))))</f>
        <v/>
      </c>
      <c r="O2400" s="59" t="str">
        <f>IF(A2400="","",COUNTIF($A$6:A2400,A2400))</f>
        <v/>
      </c>
      <c r="P2400" s="62" t="str">
        <f>IF(A2400="","",A2400&amp;"|"&amp;O2400)</f>
        <v/>
      </c>
    </row>
    <row r="2401">
      <c r="A2401" s="60" t="n"/>
      <c r="B2401" s="63" t="n"/>
      <c r="C2401" s="63" t="n"/>
      <c r="D2401" s="67" t="n"/>
      <c r="E2401" s="68" t="n"/>
      <c r="F2401" s="69" t="n"/>
      <c r="G2401" s="70" t="n"/>
      <c r="H2401" s="62" t="str">
        <f>IF(COUNTA(A2401:G2401)=0,"",IF(C2401&lt;&gt;"",C2401,IF(B2401="","",IFERROR(INDEX(pr_des,MATCH(B2401,pr_code,0))&amp;"",""))))</f>
        <v/>
      </c>
      <c r="I2401" s="59" t="str">
        <f>IF(B2401="","",IFERROR(INDEX(pr_unit,MATCH(B2401,pr_code,0))&amp;"",""))</f>
        <v/>
      </c>
      <c r="J2401" s="65" t="str">
        <f>IF(COUNTA(A2401:G2401)=0,"",IF(E2401&lt;&gt;"",E2401,IF(B2401="","",IFERROR(IF(INDEX(pr_price,MATCH(B2401,pr_code,0))="","",INDEX(pr_price,MATCH(B2401,pr_code,0))),""))))</f>
        <v/>
      </c>
      <c r="K2401" s="71" t="str">
        <f>IF(COUNTA(A2401:G2401)=0,"",IF(G2401&lt;&gt;"",G2401,IF(B2401="","",IFERROR(IF(INDEX(pr_rate,MATCH(B2401,pr_code,0))="","",INDEX(pr_rate,MATCH(B2401,pr_code,0))),""))))</f>
        <v/>
      </c>
      <c r="L2401" s="65" t="str">
        <f>IF(COUNTA(A2401:G2401)=0,"",IF(AND(ISNUMBER(D2401),ISNUMBER(J2401)),ROUND(D2401*J2401*(1-N(F2401)),2),0))</f>
        <v/>
      </c>
      <c r="M2401" s="62" t="str">
        <f>IF(A2401="","",IFERROR(INDEX(dv_cname,MATCH(A2401,dv_num,0))&amp;"",""))</f>
        <v/>
      </c>
      <c r="N2401" s="59" t="str">
        <f>IF(COUNTA(A2401:G2401)=0,"",IF(A2401="","N° devis manquant",IF(ISNA(MATCH(A2401,dv_num,0)),"Devis inconnu",IF(AND(B2401&lt;&gt;"",ISNA(MATCH(B2401,pr_code,0))),"Article inconnu",IF(H2401="","Désignation manquante",IF(OR(NOT(ISNUMBER(D2401)),N(D2401)&lt;=0),"Quantité invalide",IF(J2401="","Prix manquant",IF(OR(NOT(ISNUMBER(J2401)),N(J2401)&lt;0),"Prix invalide",IF(OR(AND(F2401&lt;&gt;"",NOT(ISNUMBER(F2401))),N(F2401)&lt;0,N(F2401)&gt;1),"Remise invalide",IF(K2401="","Taux de TVA manquant",IF(NOT(ISNUMBER(K2401)),"Taux de TVA invalide",IF(COUNTIF(p_rates,K2401)=0,"Taux de TVA hors liste (Paramètres)",IF(N(O2401)&gt;25,"Au-delà de 25 lignes : non imprimée","OK")))))))))))))</f>
        <v/>
      </c>
      <c r="O2401" s="59" t="str">
        <f>IF(A2401="","",COUNTIF($A$6:A2401,A2401))</f>
        <v/>
      </c>
      <c r="P2401" s="62" t="str">
        <f>IF(A2401="","",A2401&amp;"|"&amp;O2401)</f>
        <v/>
      </c>
    </row>
    <row r="2402">
      <c r="A2402" s="60" t="n"/>
      <c r="B2402" s="63" t="n"/>
      <c r="C2402" s="63" t="n"/>
      <c r="D2402" s="67" t="n"/>
      <c r="E2402" s="68" t="n"/>
      <c r="F2402" s="69" t="n"/>
      <c r="G2402" s="70" t="n"/>
      <c r="H2402" s="62" t="str">
        <f>IF(COUNTA(A2402:G2402)=0,"",IF(C2402&lt;&gt;"",C2402,IF(B2402="","",IFERROR(INDEX(pr_des,MATCH(B2402,pr_code,0))&amp;"",""))))</f>
        <v/>
      </c>
      <c r="I2402" s="59" t="str">
        <f>IF(B2402="","",IFERROR(INDEX(pr_unit,MATCH(B2402,pr_code,0))&amp;"",""))</f>
        <v/>
      </c>
      <c r="J2402" s="65" t="str">
        <f>IF(COUNTA(A2402:G2402)=0,"",IF(E2402&lt;&gt;"",E2402,IF(B2402="","",IFERROR(IF(INDEX(pr_price,MATCH(B2402,pr_code,0))="","",INDEX(pr_price,MATCH(B2402,pr_code,0))),""))))</f>
        <v/>
      </c>
      <c r="K2402" s="71" t="str">
        <f>IF(COUNTA(A2402:G2402)=0,"",IF(G2402&lt;&gt;"",G2402,IF(B2402="","",IFERROR(IF(INDEX(pr_rate,MATCH(B2402,pr_code,0))="","",INDEX(pr_rate,MATCH(B2402,pr_code,0))),""))))</f>
        <v/>
      </c>
      <c r="L2402" s="65" t="str">
        <f>IF(COUNTA(A2402:G2402)=0,"",IF(AND(ISNUMBER(D2402),ISNUMBER(J2402)),ROUND(D2402*J2402*(1-N(F2402)),2),0))</f>
        <v/>
      </c>
      <c r="M2402" s="62" t="str">
        <f>IF(A2402="","",IFERROR(INDEX(dv_cname,MATCH(A2402,dv_num,0))&amp;"",""))</f>
        <v/>
      </c>
      <c r="N2402" s="59" t="str">
        <f>IF(COUNTA(A2402:G2402)=0,"",IF(A2402="","N° devis manquant",IF(ISNA(MATCH(A2402,dv_num,0)),"Devis inconnu",IF(AND(B2402&lt;&gt;"",ISNA(MATCH(B2402,pr_code,0))),"Article inconnu",IF(H2402="","Désignation manquante",IF(OR(NOT(ISNUMBER(D2402)),N(D2402)&lt;=0),"Quantité invalide",IF(J2402="","Prix manquant",IF(OR(NOT(ISNUMBER(J2402)),N(J2402)&lt;0),"Prix invalide",IF(OR(AND(F2402&lt;&gt;"",NOT(ISNUMBER(F2402))),N(F2402)&lt;0,N(F2402)&gt;1),"Remise invalide",IF(K2402="","Taux de TVA manquant",IF(NOT(ISNUMBER(K2402)),"Taux de TVA invalide",IF(COUNTIF(p_rates,K2402)=0,"Taux de TVA hors liste (Paramètres)",IF(N(O2402)&gt;25,"Au-delà de 25 lignes : non imprimée","OK")))))))))))))</f>
        <v/>
      </c>
      <c r="O2402" s="59" t="str">
        <f>IF(A2402="","",COUNTIF($A$6:A2402,A2402))</f>
        <v/>
      </c>
      <c r="P2402" s="62" t="str">
        <f>IF(A2402="","",A2402&amp;"|"&amp;O2402)</f>
        <v/>
      </c>
    </row>
    <row r="2403">
      <c r="A2403" s="60" t="n"/>
      <c r="B2403" s="63" t="n"/>
      <c r="C2403" s="63" t="n"/>
      <c r="D2403" s="67" t="n"/>
      <c r="E2403" s="68" t="n"/>
      <c r="F2403" s="69" t="n"/>
      <c r="G2403" s="70" t="n"/>
      <c r="H2403" s="62" t="str">
        <f>IF(COUNTA(A2403:G2403)=0,"",IF(C2403&lt;&gt;"",C2403,IF(B2403="","",IFERROR(INDEX(pr_des,MATCH(B2403,pr_code,0))&amp;"",""))))</f>
        <v/>
      </c>
      <c r="I2403" s="59" t="str">
        <f>IF(B2403="","",IFERROR(INDEX(pr_unit,MATCH(B2403,pr_code,0))&amp;"",""))</f>
        <v/>
      </c>
      <c r="J2403" s="65" t="str">
        <f>IF(COUNTA(A2403:G2403)=0,"",IF(E2403&lt;&gt;"",E2403,IF(B2403="","",IFERROR(IF(INDEX(pr_price,MATCH(B2403,pr_code,0))="","",INDEX(pr_price,MATCH(B2403,pr_code,0))),""))))</f>
        <v/>
      </c>
      <c r="K2403" s="71" t="str">
        <f>IF(COUNTA(A2403:G2403)=0,"",IF(G2403&lt;&gt;"",G2403,IF(B2403="","",IFERROR(IF(INDEX(pr_rate,MATCH(B2403,pr_code,0))="","",INDEX(pr_rate,MATCH(B2403,pr_code,0))),""))))</f>
        <v/>
      </c>
      <c r="L2403" s="65" t="str">
        <f>IF(COUNTA(A2403:G2403)=0,"",IF(AND(ISNUMBER(D2403),ISNUMBER(J2403)),ROUND(D2403*J2403*(1-N(F2403)),2),0))</f>
        <v/>
      </c>
      <c r="M2403" s="62" t="str">
        <f>IF(A2403="","",IFERROR(INDEX(dv_cname,MATCH(A2403,dv_num,0))&amp;"",""))</f>
        <v/>
      </c>
      <c r="N2403" s="59" t="str">
        <f>IF(COUNTA(A2403:G2403)=0,"",IF(A2403="","N° devis manquant",IF(ISNA(MATCH(A2403,dv_num,0)),"Devis inconnu",IF(AND(B2403&lt;&gt;"",ISNA(MATCH(B2403,pr_code,0))),"Article inconnu",IF(H2403="","Désignation manquante",IF(OR(NOT(ISNUMBER(D2403)),N(D2403)&lt;=0),"Quantité invalide",IF(J2403="","Prix manquant",IF(OR(NOT(ISNUMBER(J2403)),N(J2403)&lt;0),"Prix invalide",IF(OR(AND(F2403&lt;&gt;"",NOT(ISNUMBER(F2403))),N(F2403)&lt;0,N(F2403)&gt;1),"Remise invalide",IF(K2403="","Taux de TVA manquant",IF(NOT(ISNUMBER(K2403)),"Taux de TVA invalide",IF(COUNTIF(p_rates,K2403)=0,"Taux de TVA hors liste (Paramètres)",IF(N(O2403)&gt;25,"Au-delà de 25 lignes : non imprimée","OK")))))))))))))</f>
        <v/>
      </c>
      <c r="O2403" s="59" t="str">
        <f>IF(A2403="","",COUNTIF($A$6:A2403,A2403))</f>
        <v/>
      </c>
      <c r="P2403" s="62" t="str">
        <f>IF(A2403="","",A2403&amp;"|"&amp;O2403)</f>
        <v/>
      </c>
    </row>
    <row r="2404">
      <c r="A2404" s="60" t="n"/>
      <c r="B2404" s="63" t="n"/>
      <c r="C2404" s="63" t="n"/>
      <c r="D2404" s="67" t="n"/>
      <c r="E2404" s="68" t="n"/>
      <c r="F2404" s="69" t="n"/>
      <c r="G2404" s="70" t="n"/>
      <c r="H2404" s="62" t="str">
        <f>IF(COUNTA(A2404:G2404)=0,"",IF(C2404&lt;&gt;"",C2404,IF(B2404="","",IFERROR(INDEX(pr_des,MATCH(B2404,pr_code,0))&amp;"",""))))</f>
        <v/>
      </c>
      <c r="I2404" s="59" t="str">
        <f>IF(B2404="","",IFERROR(INDEX(pr_unit,MATCH(B2404,pr_code,0))&amp;"",""))</f>
        <v/>
      </c>
      <c r="J2404" s="65" t="str">
        <f>IF(COUNTA(A2404:G2404)=0,"",IF(E2404&lt;&gt;"",E2404,IF(B2404="","",IFERROR(IF(INDEX(pr_price,MATCH(B2404,pr_code,0))="","",INDEX(pr_price,MATCH(B2404,pr_code,0))),""))))</f>
        <v/>
      </c>
      <c r="K2404" s="71" t="str">
        <f>IF(COUNTA(A2404:G2404)=0,"",IF(G2404&lt;&gt;"",G2404,IF(B2404="","",IFERROR(IF(INDEX(pr_rate,MATCH(B2404,pr_code,0))="","",INDEX(pr_rate,MATCH(B2404,pr_code,0))),""))))</f>
        <v/>
      </c>
      <c r="L2404" s="65" t="str">
        <f>IF(COUNTA(A2404:G2404)=0,"",IF(AND(ISNUMBER(D2404),ISNUMBER(J2404)),ROUND(D2404*J2404*(1-N(F2404)),2),0))</f>
        <v/>
      </c>
      <c r="M2404" s="62" t="str">
        <f>IF(A2404="","",IFERROR(INDEX(dv_cname,MATCH(A2404,dv_num,0))&amp;"",""))</f>
        <v/>
      </c>
      <c r="N2404" s="59" t="str">
        <f>IF(COUNTA(A2404:G2404)=0,"",IF(A2404="","N° devis manquant",IF(ISNA(MATCH(A2404,dv_num,0)),"Devis inconnu",IF(AND(B2404&lt;&gt;"",ISNA(MATCH(B2404,pr_code,0))),"Article inconnu",IF(H2404="","Désignation manquante",IF(OR(NOT(ISNUMBER(D2404)),N(D2404)&lt;=0),"Quantité invalide",IF(J2404="","Prix manquant",IF(OR(NOT(ISNUMBER(J2404)),N(J2404)&lt;0),"Prix invalide",IF(OR(AND(F2404&lt;&gt;"",NOT(ISNUMBER(F2404))),N(F2404)&lt;0,N(F2404)&gt;1),"Remise invalide",IF(K2404="","Taux de TVA manquant",IF(NOT(ISNUMBER(K2404)),"Taux de TVA invalide",IF(COUNTIF(p_rates,K2404)=0,"Taux de TVA hors liste (Paramètres)",IF(N(O2404)&gt;25,"Au-delà de 25 lignes : non imprimée","OK")))))))))))))</f>
        <v/>
      </c>
      <c r="O2404" s="59" t="str">
        <f>IF(A2404="","",COUNTIF($A$6:A2404,A2404))</f>
        <v/>
      </c>
      <c r="P2404" s="62" t="str">
        <f>IF(A2404="","",A2404&amp;"|"&amp;O2404)</f>
        <v/>
      </c>
    </row>
    <row r="2405">
      <c r="A2405" s="60" t="n"/>
      <c r="B2405" s="63" t="n"/>
      <c r="C2405" s="63" t="n"/>
      <c r="D2405" s="67" t="n"/>
      <c r="E2405" s="68" t="n"/>
      <c r="F2405" s="69" t="n"/>
      <c r="G2405" s="70" t="n"/>
      <c r="H2405" s="62" t="str">
        <f>IF(COUNTA(A2405:G2405)=0,"",IF(C2405&lt;&gt;"",C2405,IF(B2405="","",IFERROR(INDEX(pr_des,MATCH(B2405,pr_code,0))&amp;"",""))))</f>
        <v/>
      </c>
      <c r="I2405" s="59" t="str">
        <f>IF(B2405="","",IFERROR(INDEX(pr_unit,MATCH(B2405,pr_code,0))&amp;"",""))</f>
        <v/>
      </c>
      <c r="J2405" s="65" t="str">
        <f>IF(COUNTA(A2405:G2405)=0,"",IF(E2405&lt;&gt;"",E2405,IF(B2405="","",IFERROR(IF(INDEX(pr_price,MATCH(B2405,pr_code,0))="","",INDEX(pr_price,MATCH(B2405,pr_code,0))),""))))</f>
        <v/>
      </c>
      <c r="K2405" s="71" t="str">
        <f>IF(COUNTA(A2405:G2405)=0,"",IF(G2405&lt;&gt;"",G2405,IF(B2405="","",IFERROR(IF(INDEX(pr_rate,MATCH(B2405,pr_code,0))="","",INDEX(pr_rate,MATCH(B2405,pr_code,0))),""))))</f>
        <v/>
      </c>
      <c r="L2405" s="65" t="str">
        <f>IF(COUNTA(A2405:G2405)=0,"",IF(AND(ISNUMBER(D2405),ISNUMBER(J2405)),ROUND(D2405*J2405*(1-N(F2405)),2),0))</f>
        <v/>
      </c>
      <c r="M2405" s="62" t="str">
        <f>IF(A2405="","",IFERROR(INDEX(dv_cname,MATCH(A2405,dv_num,0))&amp;"",""))</f>
        <v/>
      </c>
      <c r="N2405" s="59" t="str">
        <f>IF(COUNTA(A2405:G2405)=0,"",IF(A2405="","N° devis manquant",IF(ISNA(MATCH(A2405,dv_num,0)),"Devis inconnu",IF(AND(B2405&lt;&gt;"",ISNA(MATCH(B2405,pr_code,0))),"Article inconnu",IF(H2405="","Désignation manquante",IF(OR(NOT(ISNUMBER(D2405)),N(D2405)&lt;=0),"Quantité invalide",IF(J2405="","Prix manquant",IF(OR(NOT(ISNUMBER(J2405)),N(J2405)&lt;0),"Prix invalide",IF(OR(AND(F2405&lt;&gt;"",NOT(ISNUMBER(F2405))),N(F2405)&lt;0,N(F2405)&gt;1),"Remise invalide",IF(K2405="","Taux de TVA manquant",IF(NOT(ISNUMBER(K2405)),"Taux de TVA invalide",IF(COUNTIF(p_rates,K2405)=0,"Taux de TVA hors liste (Paramètres)",IF(N(O2405)&gt;25,"Au-delà de 25 lignes : non imprimée","OK")))))))))))))</f>
        <v/>
      </c>
      <c r="O2405" s="59" t="str">
        <f>IF(A2405="","",COUNTIF($A$6:A2405,A2405))</f>
        <v/>
      </c>
      <c r="P2405" s="62" t="str">
        <f>IF(A2405="","",A2405&amp;"|"&amp;O2405)</f>
        <v/>
      </c>
    </row>
    <row r="2406">
      <c r="A2406" s="60" t="n"/>
      <c r="B2406" s="63" t="n"/>
      <c r="C2406" s="63" t="n"/>
      <c r="D2406" s="67" t="n"/>
      <c r="E2406" s="68" t="n"/>
      <c r="F2406" s="69" t="n"/>
      <c r="G2406" s="70" t="n"/>
      <c r="H2406" s="62" t="str">
        <f>IF(COUNTA(A2406:G2406)=0,"",IF(C2406&lt;&gt;"",C2406,IF(B2406="","",IFERROR(INDEX(pr_des,MATCH(B2406,pr_code,0))&amp;"",""))))</f>
        <v/>
      </c>
      <c r="I2406" s="59" t="str">
        <f>IF(B2406="","",IFERROR(INDEX(pr_unit,MATCH(B2406,pr_code,0))&amp;"",""))</f>
        <v/>
      </c>
      <c r="J2406" s="65" t="str">
        <f>IF(COUNTA(A2406:G2406)=0,"",IF(E2406&lt;&gt;"",E2406,IF(B2406="","",IFERROR(IF(INDEX(pr_price,MATCH(B2406,pr_code,0))="","",INDEX(pr_price,MATCH(B2406,pr_code,0))),""))))</f>
        <v/>
      </c>
      <c r="K2406" s="71" t="str">
        <f>IF(COUNTA(A2406:G2406)=0,"",IF(G2406&lt;&gt;"",G2406,IF(B2406="","",IFERROR(IF(INDEX(pr_rate,MATCH(B2406,pr_code,0))="","",INDEX(pr_rate,MATCH(B2406,pr_code,0))),""))))</f>
        <v/>
      </c>
      <c r="L2406" s="65" t="str">
        <f>IF(COUNTA(A2406:G2406)=0,"",IF(AND(ISNUMBER(D2406),ISNUMBER(J2406)),ROUND(D2406*J2406*(1-N(F2406)),2),0))</f>
        <v/>
      </c>
      <c r="M2406" s="62" t="str">
        <f>IF(A2406="","",IFERROR(INDEX(dv_cname,MATCH(A2406,dv_num,0))&amp;"",""))</f>
        <v/>
      </c>
      <c r="N2406" s="59" t="str">
        <f>IF(COUNTA(A2406:G2406)=0,"",IF(A2406="","N° devis manquant",IF(ISNA(MATCH(A2406,dv_num,0)),"Devis inconnu",IF(AND(B2406&lt;&gt;"",ISNA(MATCH(B2406,pr_code,0))),"Article inconnu",IF(H2406="","Désignation manquante",IF(OR(NOT(ISNUMBER(D2406)),N(D2406)&lt;=0),"Quantité invalide",IF(J2406="","Prix manquant",IF(OR(NOT(ISNUMBER(J2406)),N(J2406)&lt;0),"Prix invalide",IF(OR(AND(F2406&lt;&gt;"",NOT(ISNUMBER(F2406))),N(F2406)&lt;0,N(F2406)&gt;1),"Remise invalide",IF(K2406="","Taux de TVA manquant",IF(NOT(ISNUMBER(K2406)),"Taux de TVA invalide",IF(COUNTIF(p_rates,K2406)=0,"Taux de TVA hors liste (Paramètres)",IF(N(O2406)&gt;25,"Au-delà de 25 lignes : non imprimée","OK")))))))))))))</f>
        <v/>
      </c>
      <c r="O2406" s="59" t="str">
        <f>IF(A2406="","",COUNTIF($A$6:A2406,A2406))</f>
        <v/>
      </c>
      <c r="P2406" s="62" t="str">
        <f>IF(A2406="","",A2406&amp;"|"&amp;O2406)</f>
        <v/>
      </c>
    </row>
    <row r="2407">
      <c r="A2407" s="60" t="n"/>
      <c r="B2407" s="63" t="n"/>
      <c r="C2407" s="63" t="n"/>
      <c r="D2407" s="67" t="n"/>
      <c r="E2407" s="68" t="n"/>
      <c r="F2407" s="69" t="n"/>
      <c r="G2407" s="70" t="n"/>
      <c r="H2407" s="62" t="str">
        <f>IF(COUNTA(A2407:G2407)=0,"",IF(C2407&lt;&gt;"",C2407,IF(B2407="","",IFERROR(INDEX(pr_des,MATCH(B2407,pr_code,0))&amp;"",""))))</f>
        <v/>
      </c>
      <c r="I2407" s="59" t="str">
        <f>IF(B2407="","",IFERROR(INDEX(pr_unit,MATCH(B2407,pr_code,0))&amp;"",""))</f>
        <v/>
      </c>
      <c r="J2407" s="65" t="str">
        <f>IF(COUNTA(A2407:G2407)=0,"",IF(E2407&lt;&gt;"",E2407,IF(B2407="","",IFERROR(IF(INDEX(pr_price,MATCH(B2407,pr_code,0))="","",INDEX(pr_price,MATCH(B2407,pr_code,0))),""))))</f>
        <v/>
      </c>
      <c r="K2407" s="71" t="str">
        <f>IF(COUNTA(A2407:G2407)=0,"",IF(G2407&lt;&gt;"",G2407,IF(B2407="","",IFERROR(IF(INDEX(pr_rate,MATCH(B2407,pr_code,0))="","",INDEX(pr_rate,MATCH(B2407,pr_code,0))),""))))</f>
        <v/>
      </c>
      <c r="L2407" s="65" t="str">
        <f>IF(COUNTA(A2407:G2407)=0,"",IF(AND(ISNUMBER(D2407),ISNUMBER(J2407)),ROUND(D2407*J2407*(1-N(F2407)),2),0))</f>
        <v/>
      </c>
      <c r="M2407" s="62" t="str">
        <f>IF(A2407="","",IFERROR(INDEX(dv_cname,MATCH(A2407,dv_num,0))&amp;"",""))</f>
        <v/>
      </c>
      <c r="N2407" s="59" t="str">
        <f>IF(COUNTA(A2407:G2407)=0,"",IF(A2407="","N° devis manquant",IF(ISNA(MATCH(A2407,dv_num,0)),"Devis inconnu",IF(AND(B2407&lt;&gt;"",ISNA(MATCH(B2407,pr_code,0))),"Article inconnu",IF(H2407="","Désignation manquante",IF(OR(NOT(ISNUMBER(D2407)),N(D2407)&lt;=0),"Quantité invalide",IF(J2407="","Prix manquant",IF(OR(NOT(ISNUMBER(J2407)),N(J2407)&lt;0),"Prix invalide",IF(OR(AND(F2407&lt;&gt;"",NOT(ISNUMBER(F2407))),N(F2407)&lt;0,N(F2407)&gt;1),"Remise invalide",IF(K2407="","Taux de TVA manquant",IF(NOT(ISNUMBER(K2407)),"Taux de TVA invalide",IF(COUNTIF(p_rates,K2407)=0,"Taux de TVA hors liste (Paramètres)",IF(N(O2407)&gt;25,"Au-delà de 25 lignes : non imprimée","OK")))))))))))))</f>
        <v/>
      </c>
      <c r="O2407" s="59" t="str">
        <f>IF(A2407="","",COUNTIF($A$6:A2407,A2407))</f>
        <v/>
      </c>
      <c r="P2407" s="62" t="str">
        <f>IF(A2407="","",A2407&amp;"|"&amp;O2407)</f>
        <v/>
      </c>
    </row>
    <row r="2408">
      <c r="A2408" s="60" t="n"/>
      <c r="B2408" s="63" t="n"/>
      <c r="C2408" s="63" t="n"/>
      <c r="D2408" s="67" t="n"/>
      <c r="E2408" s="68" t="n"/>
      <c r="F2408" s="69" t="n"/>
      <c r="G2408" s="70" t="n"/>
      <c r="H2408" s="62" t="str">
        <f>IF(COUNTA(A2408:G2408)=0,"",IF(C2408&lt;&gt;"",C2408,IF(B2408="","",IFERROR(INDEX(pr_des,MATCH(B2408,pr_code,0))&amp;"",""))))</f>
        <v/>
      </c>
      <c r="I2408" s="59" t="str">
        <f>IF(B2408="","",IFERROR(INDEX(pr_unit,MATCH(B2408,pr_code,0))&amp;"",""))</f>
        <v/>
      </c>
      <c r="J2408" s="65" t="str">
        <f>IF(COUNTA(A2408:G2408)=0,"",IF(E2408&lt;&gt;"",E2408,IF(B2408="","",IFERROR(IF(INDEX(pr_price,MATCH(B2408,pr_code,0))="","",INDEX(pr_price,MATCH(B2408,pr_code,0))),""))))</f>
        <v/>
      </c>
      <c r="K2408" s="71" t="str">
        <f>IF(COUNTA(A2408:G2408)=0,"",IF(G2408&lt;&gt;"",G2408,IF(B2408="","",IFERROR(IF(INDEX(pr_rate,MATCH(B2408,pr_code,0))="","",INDEX(pr_rate,MATCH(B2408,pr_code,0))),""))))</f>
        <v/>
      </c>
      <c r="L2408" s="65" t="str">
        <f>IF(COUNTA(A2408:G2408)=0,"",IF(AND(ISNUMBER(D2408),ISNUMBER(J2408)),ROUND(D2408*J2408*(1-N(F2408)),2),0))</f>
        <v/>
      </c>
      <c r="M2408" s="62" t="str">
        <f>IF(A2408="","",IFERROR(INDEX(dv_cname,MATCH(A2408,dv_num,0))&amp;"",""))</f>
        <v/>
      </c>
      <c r="N2408" s="59" t="str">
        <f>IF(COUNTA(A2408:G2408)=0,"",IF(A2408="","N° devis manquant",IF(ISNA(MATCH(A2408,dv_num,0)),"Devis inconnu",IF(AND(B2408&lt;&gt;"",ISNA(MATCH(B2408,pr_code,0))),"Article inconnu",IF(H2408="","Désignation manquante",IF(OR(NOT(ISNUMBER(D2408)),N(D2408)&lt;=0),"Quantité invalide",IF(J2408="","Prix manquant",IF(OR(NOT(ISNUMBER(J2408)),N(J2408)&lt;0),"Prix invalide",IF(OR(AND(F2408&lt;&gt;"",NOT(ISNUMBER(F2408))),N(F2408)&lt;0,N(F2408)&gt;1),"Remise invalide",IF(K2408="","Taux de TVA manquant",IF(NOT(ISNUMBER(K2408)),"Taux de TVA invalide",IF(COUNTIF(p_rates,K2408)=0,"Taux de TVA hors liste (Paramètres)",IF(N(O2408)&gt;25,"Au-delà de 25 lignes : non imprimée","OK")))))))))))))</f>
        <v/>
      </c>
      <c r="O2408" s="59" t="str">
        <f>IF(A2408="","",COUNTIF($A$6:A2408,A2408))</f>
        <v/>
      </c>
      <c r="P2408" s="62" t="str">
        <f>IF(A2408="","",A2408&amp;"|"&amp;O2408)</f>
        <v/>
      </c>
    </row>
    <row r="2409">
      <c r="A2409" s="60" t="n"/>
      <c r="B2409" s="63" t="n"/>
      <c r="C2409" s="63" t="n"/>
      <c r="D2409" s="67" t="n"/>
      <c r="E2409" s="68" t="n"/>
      <c r="F2409" s="69" t="n"/>
      <c r="G2409" s="70" t="n"/>
      <c r="H2409" s="62" t="str">
        <f>IF(COUNTA(A2409:G2409)=0,"",IF(C2409&lt;&gt;"",C2409,IF(B2409="","",IFERROR(INDEX(pr_des,MATCH(B2409,pr_code,0))&amp;"",""))))</f>
        <v/>
      </c>
      <c r="I2409" s="59" t="str">
        <f>IF(B2409="","",IFERROR(INDEX(pr_unit,MATCH(B2409,pr_code,0))&amp;"",""))</f>
        <v/>
      </c>
      <c r="J2409" s="65" t="str">
        <f>IF(COUNTA(A2409:G2409)=0,"",IF(E2409&lt;&gt;"",E2409,IF(B2409="","",IFERROR(IF(INDEX(pr_price,MATCH(B2409,pr_code,0))="","",INDEX(pr_price,MATCH(B2409,pr_code,0))),""))))</f>
        <v/>
      </c>
      <c r="K2409" s="71" t="str">
        <f>IF(COUNTA(A2409:G2409)=0,"",IF(G2409&lt;&gt;"",G2409,IF(B2409="","",IFERROR(IF(INDEX(pr_rate,MATCH(B2409,pr_code,0))="","",INDEX(pr_rate,MATCH(B2409,pr_code,0))),""))))</f>
        <v/>
      </c>
      <c r="L2409" s="65" t="str">
        <f>IF(COUNTA(A2409:G2409)=0,"",IF(AND(ISNUMBER(D2409),ISNUMBER(J2409)),ROUND(D2409*J2409*(1-N(F2409)),2),0))</f>
        <v/>
      </c>
      <c r="M2409" s="62" t="str">
        <f>IF(A2409="","",IFERROR(INDEX(dv_cname,MATCH(A2409,dv_num,0))&amp;"",""))</f>
        <v/>
      </c>
      <c r="N2409" s="59" t="str">
        <f>IF(COUNTA(A2409:G2409)=0,"",IF(A2409="","N° devis manquant",IF(ISNA(MATCH(A2409,dv_num,0)),"Devis inconnu",IF(AND(B2409&lt;&gt;"",ISNA(MATCH(B2409,pr_code,0))),"Article inconnu",IF(H2409="","Désignation manquante",IF(OR(NOT(ISNUMBER(D2409)),N(D2409)&lt;=0),"Quantité invalide",IF(J2409="","Prix manquant",IF(OR(NOT(ISNUMBER(J2409)),N(J2409)&lt;0),"Prix invalide",IF(OR(AND(F2409&lt;&gt;"",NOT(ISNUMBER(F2409))),N(F2409)&lt;0,N(F2409)&gt;1),"Remise invalide",IF(K2409="","Taux de TVA manquant",IF(NOT(ISNUMBER(K2409)),"Taux de TVA invalide",IF(COUNTIF(p_rates,K2409)=0,"Taux de TVA hors liste (Paramètres)",IF(N(O2409)&gt;25,"Au-delà de 25 lignes : non imprimée","OK")))))))))))))</f>
        <v/>
      </c>
      <c r="O2409" s="59" t="str">
        <f>IF(A2409="","",COUNTIF($A$6:A2409,A2409))</f>
        <v/>
      </c>
      <c r="P2409" s="62" t="str">
        <f>IF(A2409="","",A2409&amp;"|"&amp;O2409)</f>
        <v/>
      </c>
    </row>
    <row r="2410">
      <c r="A2410" s="60" t="n"/>
      <c r="B2410" s="63" t="n"/>
      <c r="C2410" s="63" t="n"/>
      <c r="D2410" s="67" t="n"/>
      <c r="E2410" s="68" t="n"/>
      <c r="F2410" s="69" t="n"/>
      <c r="G2410" s="70" t="n"/>
      <c r="H2410" s="62" t="str">
        <f>IF(COUNTA(A2410:G2410)=0,"",IF(C2410&lt;&gt;"",C2410,IF(B2410="","",IFERROR(INDEX(pr_des,MATCH(B2410,pr_code,0))&amp;"",""))))</f>
        <v/>
      </c>
      <c r="I2410" s="59" t="str">
        <f>IF(B2410="","",IFERROR(INDEX(pr_unit,MATCH(B2410,pr_code,0))&amp;"",""))</f>
        <v/>
      </c>
      <c r="J2410" s="65" t="str">
        <f>IF(COUNTA(A2410:G2410)=0,"",IF(E2410&lt;&gt;"",E2410,IF(B2410="","",IFERROR(IF(INDEX(pr_price,MATCH(B2410,pr_code,0))="","",INDEX(pr_price,MATCH(B2410,pr_code,0))),""))))</f>
        <v/>
      </c>
      <c r="K2410" s="71" t="str">
        <f>IF(COUNTA(A2410:G2410)=0,"",IF(G2410&lt;&gt;"",G2410,IF(B2410="","",IFERROR(IF(INDEX(pr_rate,MATCH(B2410,pr_code,0))="","",INDEX(pr_rate,MATCH(B2410,pr_code,0))),""))))</f>
        <v/>
      </c>
      <c r="L2410" s="65" t="str">
        <f>IF(COUNTA(A2410:G2410)=0,"",IF(AND(ISNUMBER(D2410),ISNUMBER(J2410)),ROUND(D2410*J2410*(1-N(F2410)),2),0))</f>
        <v/>
      </c>
      <c r="M2410" s="62" t="str">
        <f>IF(A2410="","",IFERROR(INDEX(dv_cname,MATCH(A2410,dv_num,0))&amp;"",""))</f>
        <v/>
      </c>
      <c r="N2410" s="59" t="str">
        <f>IF(COUNTA(A2410:G2410)=0,"",IF(A2410="","N° devis manquant",IF(ISNA(MATCH(A2410,dv_num,0)),"Devis inconnu",IF(AND(B2410&lt;&gt;"",ISNA(MATCH(B2410,pr_code,0))),"Article inconnu",IF(H2410="","Désignation manquante",IF(OR(NOT(ISNUMBER(D2410)),N(D2410)&lt;=0),"Quantité invalide",IF(J2410="","Prix manquant",IF(OR(NOT(ISNUMBER(J2410)),N(J2410)&lt;0),"Prix invalide",IF(OR(AND(F2410&lt;&gt;"",NOT(ISNUMBER(F2410))),N(F2410)&lt;0,N(F2410)&gt;1),"Remise invalide",IF(K2410="","Taux de TVA manquant",IF(NOT(ISNUMBER(K2410)),"Taux de TVA invalide",IF(COUNTIF(p_rates,K2410)=0,"Taux de TVA hors liste (Paramètres)",IF(N(O2410)&gt;25,"Au-delà de 25 lignes : non imprimée","OK")))))))))))))</f>
        <v/>
      </c>
      <c r="O2410" s="59" t="str">
        <f>IF(A2410="","",COUNTIF($A$6:A2410,A2410))</f>
        <v/>
      </c>
      <c r="P2410" s="62" t="str">
        <f>IF(A2410="","",A2410&amp;"|"&amp;O2410)</f>
        <v/>
      </c>
    </row>
    <row r="2411">
      <c r="A2411" s="60" t="n"/>
      <c r="B2411" s="63" t="n"/>
      <c r="C2411" s="63" t="n"/>
      <c r="D2411" s="67" t="n"/>
      <c r="E2411" s="68" t="n"/>
      <c r="F2411" s="69" t="n"/>
      <c r="G2411" s="70" t="n"/>
      <c r="H2411" s="62" t="str">
        <f>IF(COUNTA(A2411:G2411)=0,"",IF(C2411&lt;&gt;"",C2411,IF(B2411="","",IFERROR(INDEX(pr_des,MATCH(B2411,pr_code,0))&amp;"",""))))</f>
        <v/>
      </c>
      <c r="I2411" s="59" t="str">
        <f>IF(B2411="","",IFERROR(INDEX(pr_unit,MATCH(B2411,pr_code,0))&amp;"",""))</f>
        <v/>
      </c>
      <c r="J2411" s="65" t="str">
        <f>IF(COUNTA(A2411:G2411)=0,"",IF(E2411&lt;&gt;"",E2411,IF(B2411="","",IFERROR(IF(INDEX(pr_price,MATCH(B2411,pr_code,0))="","",INDEX(pr_price,MATCH(B2411,pr_code,0))),""))))</f>
        <v/>
      </c>
      <c r="K2411" s="71" t="str">
        <f>IF(COUNTA(A2411:G2411)=0,"",IF(G2411&lt;&gt;"",G2411,IF(B2411="","",IFERROR(IF(INDEX(pr_rate,MATCH(B2411,pr_code,0))="","",INDEX(pr_rate,MATCH(B2411,pr_code,0))),""))))</f>
        <v/>
      </c>
      <c r="L2411" s="65" t="str">
        <f>IF(COUNTA(A2411:G2411)=0,"",IF(AND(ISNUMBER(D2411),ISNUMBER(J2411)),ROUND(D2411*J2411*(1-N(F2411)),2),0))</f>
        <v/>
      </c>
      <c r="M2411" s="62" t="str">
        <f>IF(A2411="","",IFERROR(INDEX(dv_cname,MATCH(A2411,dv_num,0))&amp;"",""))</f>
        <v/>
      </c>
      <c r="N2411" s="59" t="str">
        <f>IF(COUNTA(A2411:G2411)=0,"",IF(A2411="","N° devis manquant",IF(ISNA(MATCH(A2411,dv_num,0)),"Devis inconnu",IF(AND(B2411&lt;&gt;"",ISNA(MATCH(B2411,pr_code,0))),"Article inconnu",IF(H2411="","Désignation manquante",IF(OR(NOT(ISNUMBER(D2411)),N(D2411)&lt;=0),"Quantité invalide",IF(J2411="","Prix manquant",IF(OR(NOT(ISNUMBER(J2411)),N(J2411)&lt;0),"Prix invalide",IF(OR(AND(F2411&lt;&gt;"",NOT(ISNUMBER(F2411))),N(F2411)&lt;0,N(F2411)&gt;1),"Remise invalide",IF(K2411="","Taux de TVA manquant",IF(NOT(ISNUMBER(K2411)),"Taux de TVA invalide",IF(COUNTIF(p_rates,K2411)=0,"Taux de TVA hors liste (Paramètres)",IF(N(O2411)&gt;25,"Au-delà de 25 lignes : non imprimée","OK")))))))))))))</f>
        <v/>
      </c>
      <c r="O2411" s="59" t="str">
        <f>IF(A2411="","",COUNTIF($A$6:A2411,A2411))</f>
        <v/>
      </c>
      <c r="P2411" s="62" t="str">
        <f>IF(A2411="","",A2411&amp;"|"&amp;O2411)</f>
        <v/>
      </c>
    </row>
    <row r="2412">
      <c r="A2412" s="60" t="n"/>
      <c r="B2412" s="63" t="n"/>
      <c r="C2412" s="63" t="n"/>
      <c r="D2412" s="67" t="n"/>
      <c r="E2412" s="68" t="n"/>
      <c r="F2412" s="69" t="n"/>
      <c r="G2412" s="70" t="n"/>
      <c r="H2412" s="62" t="str">
        <f>IF(COUNTA(A2412:G2412)=0,"",IF(C2412&lt;&gt;"",C2412,IF(B2412="","",IFERROR(INDEX(pr_des,MATCH(B2412,pr_code,0))&amp;"",""))))</f>
        <v/>
      </c>
      <c r="I2412" s="59" t="str">
        <f>IF(B2412="","",IFERROR(INDEX(pr_unit,MATCH(B2412,pr_code,0))&amp;"",""))</f>
        <v/>
      </c>
      <c r="J2412" s="65" t="str">
        <f>IF(COUNTA(A2412:G2412)=0,"",IF(E2412&lt;&gt;"",E2412,IF(B2412="","",IFERROR(IF(INDEX(pr_price,MATCH(B2412,pr_code,0))="","",INDEX(pr_price,MATCH(B2412,pr_code,0))),""))))</f>
        <v/>
      </c>
      <c r="K2412" s="71" t="str">
        <f>IF(COUNTA(A2412:G2412)=0,"",IF(G2412&lt;&gt;"",G2412,IF(B2412="","",IFERROR(IF(INDEX(pr_rate,MATCH(B2412,pr_code,0))="","",INDEX(pr_rate,MATCH(B2412,pr_code,0))),""))))</f>
        <v/>
      </c>
      <c r="L2412" s="65" t="str">
        <f>IF(COUNTA(A2412:G2412)=0,"",IF(AND(ISNUMBER(D2412),ISNUMBER(J2412)),ROUND(D2412*J2412*(1-N(F2412)),2),0))</f>
        <v/>
      </c>
      <c r="M2412" s="62" t="str">
        <f>IF(A2412="","",IFERROR(INDEX(dv_cname,MATCH(A2412,dv_num,0))&amp;"",""))</f>
        <v/>
      </c>
      <c r="N2412" s="59" t="str">
        <f>IF(COUNTA(A2412:G2412)=0,"",IF(A2412="","N° devis manquant",IF(ISNA(MATCH(A2412,dv_num,0)),"Devis inconnu",IF(AND(B2412&lt;&gt;"",ISNA(MATCH(B2412,pr_code,0))),"Article inconnu",IF(H2412="","Désignation manquante",IF(OR(NOT(ISNUMBER(D2412)),N(D2412)&lt;=0),"Quantité invalide",IF(J2412="","Prix manquant",IF(OR(NOT(ISNUMBER(J2412)),N(J2412)&lt;0),"Prix invalide",IF(OR(AND(F2412&lt;&gt;"",NOT(ISNUMBER(F2412))),N(F2412)&lt;0,N(F2412)&gt;1),"Remise invalide",IF(K2412="","Taux de TVA manquant",IF(NOT(ISNUMBER(K2412)),"Taux de TVA invalide",IF(COUNTIF(p_rates,K2412)=0,"Taux de TVA hors liste (Paramètres)",IF(N(O2412)&gt;25,"Au-delà de 25 lignes : non imprimée","OK")))))))))))))</f>
        <v/>
      </c>
      <c r="O2412" s="59" t="str">
        <f>IF(A2412="","",COUNTIF($A$6:A2412,A2412))</f>
        <v/>
      </c>
      <c r="P2412" s="62" t="str">
        <f>IF(A2412="","",A2412&amp;"|"&amp;O2412)</f>
        <v/>
      </c>
    </row>
    <row r="2413">
      <c r="A2413" s="60" t="n"/>
      <c r="B2413" s="63" t="n"/>
      <c r="C2413" s="63" t="n"/>
      <c r="D2413" s="67" t="n"/>
      <c r="E2413" s="68" t="n"/>
      <c r="F2413" s="69" t="n"/>
      <c r="G2413" s="70" t="n"/>
      <c r="H2413" s="62" t="str">
        <f>IF(COUNTA(A2413:G2413)=0,"",IF(C2413&lt;&gt;"",C2413,IF(B2413="","",IFERROR(INDEX(pr_des,MATCH(B2413,pr_code,0))&amp;"",""))))</f>
        <v/>
      </c>
      <c r="I2413" s="59" t="str">
        <f>IF(B2413="","",IFERROR(INDEX(pr_unit,MATCH(B2413,pr_code,0))&amp;"",""))</f>
        <v/>
      </c>
      <c r="J2413" s="65" t="str">
        <f>IF(COUNTA(A2413:G2413)=0,"",IF(E2413&lt;&gt;"",E2413,IF(B2413="","",IFERROR(IF(INDEX(pr_price,MATCH(B2413,pr_code,0))="","",INDEX(pr_price,MATCH(B2413,pr_code,0))),""))))</f>
        <v/>
      </c>
      <c r="K2413" s="71" t="str">
        <f>IF(COUNTA(A2413:G2413)=0,"",IF(G2413&lt;&gt;"",G2413,IF(B2413="","",IFERROR(IF(INDEX(pr_rate,MATCH(B2413,pr_code,0))="","",INDEX(pr_rate,MATCH(B2413,pr_code,0))),""))))</f>
        <v/>
      </c>
      <c r="L2413" s="65" t="str">
        <f>IF(COUNTA(A2413:G2413)=0,"",IF(AND(ISNUMBER(D2413),ISNUMBER(J2413)),ROUND(D2413*J2413*(1-N(F2413)),2),0))</f>
        <v/>
      </c>
      <c r="M2413" s="62" t="str">
        <f>IF(A2413="","",IFERROR(INDEX(dv_cname,MATCH(A2413,dv_num,0))&amp;"",""))</f>
        <v/>
      </c>
      <c r="N2413" s="59" t="str">
        <f>IF(COUNTA(A2413:G2413)=0,"",IF(A2413="","N° devis manquant",IF(ISNA(MATCH(A2413,dv_num,0)),"Devis inconnu",IF(AND(B2413&lt;&gt;"",ISNA(MATCH(B2413,pr_code,0))),"Article inconnu",IF(H2413="","Désignation manquante",IF(OR(NOT(ISNUMBER(D2413)),N(D2413)&lt;=0),"Quantité invalide",IF(J2413="","Prix manquant",IF(OR(NOT(ISNUMBER(J2413)),N(J2413)&lt;0),"Prix invalide",IF(OR(AND(F2413&lt;&gt;"",NOT(ISNUMBER(F2413))),N(F2413)&lt;0,N(F2413)&gt;1),"Remise invalide",IF(K2413="","Taux de TVA manquant",IF(NOT(ISNUMBER(K2413)),"Taux de TVA invalide",IF(COUNTIF(p_rates,K2413)=0,"Taux de TVA hors liste (Paramètres)",IF(N(O2413)&gt;25,"Au-delà de 25 lignes : non imprimée","OK")))))))))))))</f>
        <v/>
      </c>
      <c r="O2413" s="59" t="str">
        <f>IF(A2413="","",COUNTIF($A$6:A2413,A2413))</f>
        <v/>
      </c>
      <c r="P2413" s="62" t="str">
        <f>IF(A2413="","",A2413&amp;"|"&amp;O2413)</f>
        <v/>
      </c>
    </row>
    <row r="2414">
      <c r="A2414" s="60" t="n"/>
      <c r="B2414" s="63" t="n"/>
      <c r="C2414" s="63" t="n"/>
      <c r="D2414" s="67" t="n"/>
      <c r="E2414" s="68" t="n"/>
      <c r="F2414" s="69" t="n"/>
      <c r="G2414" s="70" t="n"/>
      <c r="H2414" s="62" t="str">
        <f>IF(COUNTA(A2414:G2414)=0,"",IF(C2414&lt;&gt;"",C2414,IF(B2414="","",IFERROR(INDEX(pr_des,MATCH(B2414,pr_code,0))&amp;"",""))))</f>
        <v/>
      </c>
      <c r="I2414" s="59" t="str">
        <f>IF(B2414="","",IFERROR(INDEX(pr_unit,MATCH(B2414,pr_code,0))&amp;"",""))</f>
        <v/>
      </c>
      <c r="J2414" s="65" t="str">
        <f>IF(COUNTA(A2414:G2414)=0,"",IF(E2414&lt;&gt;"",E2414,IF(B2414="","",IFERROR(IF(INDEX(pr_price,MATCH(B2414,pr_code,0))="","",INDEX(pr_price,MATCH(B2414,pr_code,0))),""))))</f>
        <v/>
      </c>
      <c r="K2414" s="71" t="str">
        <f>IF(COUNTA(A2414:G2414)=0,"",IF(G2414&lt;&gt;"",G2414,IF(B2414="","",IFERROR(IF(INDEX(pr_rate,MATCH(B2414,pr_code,0))="","",INDEX(pr_rate,MATCH(B2414,pr_code,0))),""))))</f>
        <v/>
      </c>
      <c r="L2414" s="65" t="str">
        <f>IF(COUNTA(A2414:G2414)=0,"",IF(AND(ISNUMBER(D2414),ISNUMBER(J2414)),ROUND(D2414*J2414*(1-N(F2414)),2),0))</f>
        <v/>
      </c>
      <c r="M2414" s="62" t="str">
        <f>IF(A2414="","",IFERROR(INDEX(dv_cname,MATCH(A2414,dv_num,0))&amp;"",""))</f>
        <v/>
      </c>
      <c r="N2414" s="59" t="str">
        <f>IF(COUNTA(A2414:G2414)=0,"",IF(A2414="","N° devis manquant",IF(ISNA(MATCH(A2414,dv_num,0)),"Devis inconnu",IF(AND(B2414&lt;&gt;"",ISNA(MATCH(B2414,pr_code,0))),"Article inconnu",IF(H2414="","Désignation manquante",IF(OR(NOT(ISNUMBER(D2414)),N(D2414)&lt;=0),"Quantité invalide",IF(J2414="","Prix manquant",IF(OR(NOT(ISNUMBER(J2414)),N(J2414)&lt;0),"Prix invalide",IF(OR(AND(F2414&lt;&gt;"",NOT(ISNUMBER(F2414))),N(F2414)&lt;0,N(F2414)&gt;1),"Remise invalide",IF(K2414="","Taux de TVA manquant",IF(NOT(ISNUMBER(K2414)),"Taux de TVA invalide",IF(COUNTIF(p_rates,K2414)=0,"Taux de TVA hors liste (Paramètres)",IF(N(O2414)&gt;25,"Au-delà de 25 lignes : non imprimée","OK")))))))))))))</f>
        <v/>
      </c>
      <c r="O2414" s="59" t="str">
        <f>IF(A2414="","",COUNTIF($A$6:A2414,A2414))</f>
        <v/>
      </c>
      <c r="P2414" s="62" t="str">
        <f>IF(A2414="","",A2414&amp;"|"&amp;O2414)</f>
        <v/>
      </c>
    </row>
    <row r="2415">
      <c r="A2415" s="60" t="n"/>
      <c r="B2415" s="63" t="n"/>
      <c r="C2415" s="63" t="n"/>
      <c r="D2415" s="67" t="n"/>
      <c r="E2415" s="68" t="n"/>
      <c r="F2415" s="69" t="n"/>
      <c r="G2415" s="70" t="n"/>
      <c r="H2415" s="62" t="str">
        <f>IF(COUNTA(A2415:G2415)=0,"",IF(C2415&lt;&gt;"",C2415,IF(B2415="","",IFERROR(INDEX(pr_des,MATCH(B2415,pr_code,0))&amp;"",""))))</f>
        <v/>
      </c>
      <c r="I2415" s="59" t="str">
        <f>IF(B2415="","",IFERROR(INDEX(pr_unit,MATCH(B2415,pr_code,0))&amp;"",""))</f>
        <v/>
      </c>
      <c r="J2415" s="65" t="str">
        <f>IF(COUNTA(A2415:G2415)=0,"",IF(E2415&lt;&gt;"",E2415,IF(B2415="","",IFERROR(IF(INDEX(pr_price,MATCH(B2415,pr_code,0))="","",INDEX(pr_price,MATCH(B2415,pr_code,0))),""))))</f>
        <v/>
      </c>
      <c r="K2415" s="71" t="str">
        <f>IF(COUNTA(A2415:G2415)=0,"",IF(G2415&lt;&gt;"",G2415,IF(B2415="","",IFERROR(IF(INDEX(pr_rate,MATCH(B2415,pr_code,0))="","",INDEX(pr_rate,MATCH(B2415,pr_code,0))),""))))</f>
        <v/>
      </c>
      <c r="L2415" s="65" t="str">
        <f>IF(COUNTA(A2415:G2415)=0,"",IF(AND(ISNUMBER(D2415),ISNUMBER(J2415)),ROUND(D2415*J2415*(1-N(F2415)),2),0))</f>
        <v/>
      </c>
      <c r="M2415" s="62" t="str">
        <f>IF(A2415="","",IFERROR(INDEX(dv_cname,MATCH(A2415,dv_num,0))&amp;"",""))</f>
        <v/>
      </c>
      <c r="N2415" s="59" t="str">
        <f>IF(COUNTA(A2415:G2415)=0,"",IF(A2415="","N° devis manquant",IF(ISNA(MATCH(A2415,dv_num,0)),"Devis inconnu",IF(AND(B2415&lt;&gt;"",ISNA(MATCH(B2415,pr_code,0))),"Article inconnu",IF(H2415="","Désignation manquante",IF(OR(NOT(ISNUMBER(D2415)),N(D2415)&lt;=0),"Quantité invalide",IF(J2415="","Prix manquant",IF(OR(NOT(ISNUMBER(J2415)),N(J2415)&lt;0),"Prix invalide",IF(OR(AND(F2415&lt;&gt;"",NOT(ISNUMBER(F2415))),N(F2415)&lt;0,N(F2415)&gt;1),"Remise invalide",IF(K2415="","Taux de TVA manquant",IF(NOT(ISNUMBER(K2415)),"Taux de TVA invalide",IF(COUNTIF(p_rates,K2415)=0,"Taux de TVA hors liste (Paramètres)",IF(N(O2415)&gt;25,"Au-delà de 25 lignes : non imprimée","OK")))))))))))))</f>
        <v/>
      </c>
      <c r="O2415" s="59" t="str">
        <f>IF(A2415="","",COUNTIF($A$6:A2415,A2415))</f>
        <v/>
      </c>
      <c r="P2415" s="62" t="str">
        <f>IF(A2415="","",A2415&amp;"|"&amp;O2415)</f>
        <v/>
      </c>
    </row>
    <row r="2416">
      <c r="A2416" s="60" t="n"/>
      <c r="B2416" s="63" t="n"/>
      <c r="C2416" s="63" t="n"/>
      <c r="D2416" s="67" t="n"/>
      <c r="E2416" s="68" t="n"/>
      <c r="F2416" s="69" t="n"/>
      <c r="G2416" s="70" t="n"/>
      <c r="H2416" s="62" t="str">
        <f>IF(COUNTA(A2416:G2416)=0,"",IF(C2416&lt;&gt;"",C2416,IF(B2416="","",IFERROR(INDEX(pr_des,MATCH(B2416,pr_code,0))&amp;"",""))))</f>
        <v/>
      </c>
      <c r="I2416" s="59" t="str">
        <f>IF(B2416="","",IFERROR(INDEX(pr_unit,MATCH(B2416,pr_code,0))&amp;"",""))</f>
        <v/>
      </c>
      <c r="J2416" s="65" t="str">
        <f>IF(COUNTA(A2416:G2416)=0,"",IF(E2416&lt;&gt;"",E2416,IF(B2416="","",IFERROR(IF(INDEX(pr_price,MATCH(B2416,pr_code,0))="","",INDEX(pr_price,MATCH(B2416,pr_code,0))),""))))</f>
        <v/>
      </c>
      <c r="K2416" s="71" t="str">
        <f>IF(COUNTA(A2416:G2416)=0,"",IF(G2416&lt;&gt;"",G2416,IF(B2416="","",IFERROR(IF(INDEX(pr_rate,MATCH(B2416,pr_code,0))="","",INDEX(pr_rate,MATCH(B2416,pr_code,0))),""))))</f>
        <v/>
      </c>
      <c r="L2416" s="65" t="str">
        <f>IF(COUNTA(A2416:G2416)=0,"",IF(AND(ISNUMBER(D2416),ISNUMBER(J2416)),ROUND(D2416*J2416*(1-N(F2416)),2),0))</f>
        <v/>
      </c>
      <c r="M2416" s="62" t="str">
        <f>IF(A2416="","",IFERROR(INDEX(dv_cname,MATCH(A2416,dv_num,0))&amp;"",""))</f>
        <v/>
      </c>
      <c r="N2416" s="59" t="str">
        <f>IF(COUNTA(A2416:G2416)=0,"",IF(A2416="","N° devis manquant",IF(ISNA(MATCH(A2416,dv_num,0)),"Devis inconnu",IF(AND(B2416&lt;&gt;"",ISNA(MATCH(B2416,pr_code,0))),"Article inconnu",IF(H2416="","Désignation manquante",IF(OR(NOT(ISNUMBER(D2416)),N(D2416)&lt;=0),"Quantité invalide",IF(J2416="","Prix manquant",IF(OR(NOT(ISNUMBER(J2416)),N(J2416)&lt;0),"Prix invalide",IF(OR(AND(F2416&lt;&gt;"",NOT(ISNUMBER(F2416))),N(F2416)&lt;0,N(F2416)&gt;1),"Remise invalide",IF(K2416="","Taux de TVA manquant",IF(NOT(ISNUMBER(K2416)),"Taux de TVA invalide",IF(COUNTIF(p_rates,K2416)=0,"Taux de TVA hors liste (Paramètres)",IF(N(O2416)&gt;25,"Au-delà de 25 lignes : non imprimée","OK")))))))))))))</f>
        <v/>
      </c>
      <c r="O2416" s="59" t="str">
        <f>IF(A2416="","",COUNTIF($A$6:A2416,A2416))</f>
        <v/>
      </c>
      <c r="P2416" s="62" t="str">
        <f>IF(A2416="","",A2416&amp;"|"&amp;O2416)</f>
        <v/>
      </c>
    </row>
    <row r="2417">
      <c r="A2417" s="60" t="n"/>
      <c r="B2417" s="63" t="n"/>
      <c r="C2417" s="63" t="n"/>
      <c r="D2417" s="67" t="n"/>
      <c r="E2417" s="68" t="n"/>
      <c r="F2417" s="69" t="n"/>
      <c r="G2417" s="70" t="n"/>
      <c r="H2417" s="62" t="str">
        <f>IF(COUNTA(A2417:G2417)=0,"",IF(C2417&lt;&gt;"",C2417,IF(B2417="","",IFERROR(INDEX(pr_des,MATCH(B2417,pr_code,0))&amp;"",""))))</f>
        <v/>
      </c>
      <c r="I2417" s="59" t="str">
        <f>IF(B2417="","",IFERROR(INDEX(pr_unit,MATCH(B2417,pr_code,0))&amp;"",""))</f>
        <v/>
      </c>
      <c r="J2417" s="65" t="str">
        <f>IF(COUNTA(A2417:G2417)=0,"",IF(E2417&lt;&gt;"",E2417,IF(B2417="","",IFERROR(IF(INDEX(pr_price,MATCH(B2417,pr_code,0))="","",INDEX(pr_price,MATCH(B2417,pr_code,0))),""))))</f>
        <v/>
      </c>
      <c r="K2417" s="71" t="str">
        <f>IF(COUNTA(A2417:G2417)=0,"",IF(G2417&lt;&gt;"",G2417,IF(B2417="","",IFERROR(IF(INDEX(pr_rate,MATCH(B2417,pr_code,0))="","",INDEX(pr_rate,MATCH(B2417,pr_code,0))),""))))</f>
        <v/>
      </c>
      <c r="L2417" s="65" t="str">
        <f>IF(COUNTA(A2417:G2417)=0,"",IF(AND(ISNUMBER(D2417),ISNUMBER(J2417)),ROUND(D2417*J2417*(1-N(F2417)),2),0))</f>
        <v/>
      </c>
      <c r="M2417" s="62" t="str">
        <f>IF(A2417="","",IFERROR(INDEX(dv_cname,MATCH(A2417,dv_num,0))&amp;"",""))</f>
        <v/>
      </c>
      <c r="N2417" s="59" t="str">
        <f>IF(COUNTA(A2417:G2417)=0,"",IF(A2417="","N° devis manquant",IF(ISNA(MATCH(A2417,dv_num,0)),"Devis inconnu",IF(AND(B2417&lt;&gt;"",ISNA(MATCH(B2417,pr_code,0))),"Article inconnu",IF(H2417="","Désignation manquante",IF(OR(NOT(ISNUMBER(D2417)),N(D2417)&lt;=0),"Quantité invalide",IF(J2417="","Prix manquant",IF(OR(NOT(ISNUMBER(J2417)),N(J2417)&lt;0),"Prix invalide",IF(OR(AND(F2417&lt;&gt;"",NOT(ISNUMBER(F2417))),N(F2417)&lt;0,N(F2417)&gt;1),"Remise invalide",IF(K2417="","Taux de TVA manquant",IF(NOT(ISNUMBER(K2417)),"Taux de TVA invalide",IF(COUNTIF(p_rates,K2417)=0,"Taux de TVA hors liste (Paramètres)",IF(N(O2417)&gt;25,"Au-delà de 25 lignes : non imprimée","OK")))))))))))))</f>
        <v/>
      </c>
      <c r="O2417" s="59" t="str">
        <f>IF(A2417="","",COUNTIF($A$6:A2417,A2417))</f>
        <v/>
      </c>
      <c r="P2417" s="62" t="str">
        <f>IF(A2417="","",A2417&amp;"|"&amp;O2417)</f>
        <v/>
      </c>
    </row>
    <row r="2418">
      <c r="A2418" s="60" t="n"/>
      <c r="B2418" s="63" t="n"/>
      <c r="C2418" s="63" t="n"/>
      <c r="D2418" s="67" t="n"/>
      <c r="E2418" s="68" t="n"/>
      <c r="F2418" s="69" t="n"/>
      <c r="G2418" s="70" t="n"/>
      <c r="H2418" s="62" t="str">
        <f>IF(COUNTA(A2418:G2418)=0,"",IF(C2418&lt;&gt;"",C2418,IF(B2418="","",IFERROR(INDEX(pr_des,MATCH(B2418,pr_code,0))&amp;"",""))))</f>
        <v/>
      </c>
      <c r="I2418" s="59" t="str">
        <f>IF(B2418="","",IFERROR(INDEX(pr_unit,MATCH(B2418,pr_code,0))&amp;"",""))</f>
        <v/>
      </c>
      <c r="J2418" s="65" t="str">
        <f>IF(COUNTA(A2418:G2418)=0,"",IF(E2418&lt;&gt;"",E2418,IF(B2418="","",IFERROR(IF(INDEX(pr_price,MATCH(B2418,pr_code,0))="","",INDEX(pr_price,MATCH(B2418,pr_code,0))),""))))</f>
        <v/>
      </c>
      <c r="K2418" s="71" t="str">
        <f>IF(COUNTA(A2418:G2418)=0,"",IF(G2418&lt;&gt;"",G2418,IF(B2418="","",IFERROR(IF(INDEX(pr_rate,MATCH(B2418,pr_code,0))="","",INDEX(pr_rate,MATCH(B2418,pr_code,0))),""))))</f>
        <v/>
      </c>
      <c r="L2418" s="65" t="str">
        <f>IF(COUNTA(A2418:G2418)=0,"",IF(AND(ISNUMBER(D2418),ISNUMBER(J2418)),ROUND(D2418*J2418*(1-N(F2418)),2),0))</f>
        <v/>
      </c>
      <c r="M2418" s="62" t="str">
        <f>IF(A2418="","",IFERROR(INDEX(dv_cname,MATCH(A2418,dv_num,0))&amp;"",""))</f>
        <v/>
      </c>
      <c r="N2418" s="59" t="str">
        <f>IF(COUNTA(A2418:G2418)=0,"",IF(A2418="","N° devis manquant",IF(ISNA(MATCH(A2418,dv_num,0)),"Devis inconnu",IF(AND(B2418&lt;&gt;"",ISNA(MATCH(B2418,pr_code,0))),"Article inconnu",IF(H2418="","Désignation manquante",IF(OR(NOT(ISNUMBER(D2418)),N(D2418)&lt;=0),"Quantité invalide",IF(J2418="","Prix manquant",IF(OR(NOT(ISNUMBER(J2418)),N(J2418)&lt;0),"Prix invalide",IF(OR(AND(F2418&lt;&gt;"",NOT(ISNUMBER(F2418))),N(F2418)&lt;0,N(F2418)&gt;1),"Remise invalide",IF(K2418="","Taux de TVA manquant",IF(NOT(ISNUMBER(K2418)),"Taux de TVA invalide",IF(COUNTIF(p_rates,K2418)=0,"Taux de TVA hors liste (Paramètres)",IF(N(O2418)&gt;25,"Au-delà de 25 lignes : non imprimée","OK")))))))))))))</f>
        <v/>
      </c>
      <c r="O2418" s="59" t="str">
        <f>IF(A2418="","",COUNTIF($A$6:A2418,A2418))</f>
        <v/>
      </c>
      <c r="P2418" s="62" t="str">
        <f>IF(A2418="","",A2418&amp;"|"&amp;O2418)</f>
        <v/>
      </c>
    </row>
    <row r="2419">
      <c r="A2419" s="60" t="n"/>
      <c r="B2419" s="63" t="n"/>
      <c r="C2419" s="63" t="n"/>
      <c r="D2419" s="67" t="n"/>
      <c r="E2419" s="68" t="n"/>
      <c r="F2419" s="69" t="n"/>
      <c r="G2419" s="70" t="n"/>
      <c r="H2419" s="62" t="str">
        <f>IF(COUNTA(A2419:G2419)=0,"",IF(C2419&lt;&gt;"",C2419,IF(B2419="","",IFERROR(INDEX(pr_des,MATCH(B2419,pr_code,0))&amp;"",""))))</f>
        <v/>
      </c>
      <c r="I2419" s="59" t="str">
        <f>IF(B2419="","",IFERROR(INDEX(pr_unit,MATCH(B2419,pr_code,0))&amp;"",""))</f>
        <v/>
      </c>
      <c r="J2419" s="65" t="str">
        <f>IF(COUNTA(A2419:G2419)=0,"",IF(E2419&lt;&gt;"",E2419,IF(B2419="","",IFERROR(IF(INDEX(pr_price,MATCH(B2419,pr_code,0))="","",INDEX(pr_price,MATCH(B2419,pr_code,0))),""))))</f>
        <v/>
      </c>
      <c r="K2419" s="71" t="str">
        <f>IF(COUNTA(A2419:G2419)=0,"",IF(G2419&lt;&gt;"",G2419,IF(B2419="","",IFERROR(IF(INDEX(pr_rate,MATCH(B2419,pr_code,0))="","",INDEX(pr_rate,MATCH(B2419,pr_code,0))),""))))</f>
        <v/>
      </c>
      <c r="L2419" s="65" t="str">
        <f>IF(COUNTA(A2419:G2419)=0,"",IF(AND(ISNUMBER(D2419),ISNUMBER(J2419)),ROUND(D2419*J2419*(1-N(F2419)),2),0))</f>
        <v/>
      </c>
      <c r="M2419" s="62" t="str">
        <f>IF(A2419="","",IFERROR(INDEX(dv_cname,MATCH(A2419,dv_num,0))&amp;"",""))</f>
        <v/>
      </c>
      <c r="N2419" s="59" t="str">
        <f>IF(COUNTA(A2419:G2419)=0,"",IF(A2419="","N° devis manquant",IF(ISNA(MATCH(A2419,dv_num,0)),"Devis inconnu",IF(AND(B2419&lt;&gt;"",ISNA(MATCH(B2419,pr_code,0))),"Article inconnu",IF(H2419="","Désignation manquante",IF(OR(NOT(ISNUMBER(D2419)),N(D2419)&lt;=0),"Quantité invalide",IF(J2419="","Prix manquant",IF(OR(NOT(ISNUMBER(J2419)),N(J2419)&lt;0),"Prix invalide",IF(OR(AND(F2419&lt;&gt;"",NOT(ISNUMBER(F2419))),N(F2419)&lt;0,N(F2419)&gt;1),"Remise invalide",IF(K2419="","Taux de TVA manquant",IF(NOT(ISNUMBER(K2419)),"Taux de TVA invalide",IF(COUNTIF(p_rates,K2419)=0,"Taux de TVA hors liste (Paramètres)",IF(N(O2419)&gt;25,"Au-delà de 25 lignes : non imprimée","OK")))))))))))))</f>
        <v/>
      </c>
      <c r="O2419" s="59" t="str">
        <f>IF(A2419="","",COUNTIF($A$6:A2419,A2419))</f>
        <v/>
      </c>
      <c r="P2419" s="62" t="str">
        <f>IF(A2419="","",A2419&amp;"|"&amp;O2419)</f>
        <v/>
      </c>
    </row>
    <row r="2420">
      <c r="A2420" s="60" t="n"/>
      <c r="B2420" s="63" t="n"/>
      <c r="C2420" s="63" t="n"/>
      <c r="D2420" s="67" t="n"/>
      <c r="E2420" s="68" t="n"/>
      <c r="F2420" s="69" t="n"/>
      <c r="G2420" s="70" t="n"/>
      <c r="H2420" s="62" t="str">
        <f>IF(COUNTA(A2420:G2420)=0,"",IF(C2420&lt;&gt;"",C2420,IF(B2420="","",IFERROR(INDEX(pr_des,MATCH(B2420,pr_code,0))&amp;"",""))))</f>
        <v/>
      </c>
      <c r="I2420" s="59" t="str">
        <f>IF(B2420="","",IFERROR(INDEX(pr_unit,MATCH(B2420,pr_code,0))&amp;"",""))</f>
        <v/>
      </c>
      <c r="J2420" s="65" t="str">
        <f>IF(COUNTA(A2420:G2420)=0,"",IF(E2420&lt;&gt;"",E2420,IF(B2420="","",IFERROR(IF(INDEX(pr_price,MATCH(B2420,pr_code,0))="","",INDEX(pr_price,MATCH(B2420,pr_code,0))),""))))</f>
        <v/>
      </c>
      <c r="K2420" s="71" t="str">
        <f>IF(COUNTA(A2420:G2420)=0,"",IF(G2420&lt;&gt;"",G2420,IF(B2420="","",IFERROR(IF(INDEX(pr_rate,MATCH(B2420,pr_code,0))="","",INDEX(pr_rate,MATCH(B2420,pr_code,0))),""))))</f>
        <v/>
      </c>
      <c r="L2420" s="65" t="str">
        <f>IF(COUNTA(A2420:G2420)=0,"",IF(AND(ISNUMBER(D2420),ISNUMBER(J2420)),ROUND(D2420*J2420*(1-N(F2420)),2),0))</f>
        <v/>
      </c>
      <c r="M2420" s="62" t="str">
        <f>IF(A2420="","",IFERROR(INDEX(dv_cname,MATCH(A2420,dv_num,0))&amp;"",""))</f>
        <v/>
      </c>
      <c r="N2420" s="59" t="str">
        <f>IF(COUNTA(A2420:G2420)=0,"",IF(A2420="","N° devis manquant",IF(ISNA(MATCH(A2420,dv_num,0)),"Devis inconnu",IF(AND(B2420&lt;&gt;"",ISNA(MATCH(B2420,pr_code,0))),"Article inconnu",IF(H2420="","Désignation manquante",IF(OR(NOT(ISNUMBER(D2420)),N(D2420)&lt;=0),"Quantité invalide",IF(J2420="","Prix manquant",IF(OR(NOT(ISNUMBER(J2420)),N(J2420)&lt;0),"Prix invalide",IF(OR(AND(F2420&lt;&gt;"",NOT(ISNUMBER(F2420))),N(F2420)&lt;0,N(F2420)&gt;1),"Remise invalide",IF(K2420="","Taux de TVA manquant",IF(NOT(ISNUMBER(K2420)),"Taux de TVA invalide",IF(COUNTIF(p_rates,K2420)=0,"Taux de TVA hors liste (Paramètres)",IF(N(O2420)&gt;25,"Au-delà de 25 lignes : non imprimée","OK")))))))))))))</f>
        <v/>
      </c>
      <c r="O2420" s="59" t="str">
        <f>IF(A2420="","",COUNTIF($A$6:A2420,A2420))</f>
        <v/>
      </c>
      <c r="P2420" s="62" t="str">
        <f>IF(A2420="","",A2420&amp;"|"&amp;O2420)</f>
        <v/>
      </c>
    </row>
    <row r="2421">
      <c r="A2421" s="60" t="n"/>
      <c r="B2421" s="63" t="n"/>
      <c r="C2421" s="63" t="n"/>
      <c r="D2421" s="67" t="n"/>
      <c r="E2421" s="68" t="n"/>
      <c r="F2421" s="69" t="n"/>
      <c r="G2421" s="70" t="n"/>
      <c r="H2421" s="62" t="str">
        <f>IF(COUNTA(A2421:G2421)=0,"",IF(C2421&lt;&gt;"",C2421,IF(B2421="","",IFERROR(INDEX(pr_des,MATCH(B2421,pr_code,0))&amp;"",""))))</f>
        <v/>
      </c>
      <c r="I2421" s="59" t="str">
        <f>IF(B2421="","",IFERROR(INDEX(pr_unit,MATCH(B2421,pr_code,0))&amp;"",""))</f>
        <v/>
      </c>
      <c r="J2421" s="65" t="str">
        <f>IF(COUNTA(A2421:G2421)=0,"",IF(E2421&lt;&gt;"",E2421,IF(B2421="","",IFERROR(IF(INDEX(pr_price,MATCH(B2421,pr_code,0))="","",INDEX(pr_price,MATCH(B2421,pr_code,0))),""))))</f>
        <v/>
      </c>
      <c r="K2421" s="71" t="str">
        <f>IF(COUNTA(A2421:G2421)=0,"",IF(G2421&lt;&gt;"",G2421,IF(B2421="","",IFERROR(IF(INDEX(pr_rate,MATCH(B2421,pr_code,0))="","",INDEX(pr_rate,MATCH(B2421,pr_code,0))),""))))</f>
        <v/>
      </c>
      <c r="L2421" s="65" t="str">
        <f>IF(COUNTA(A2421:G2421)=0,"",IF(AND(ISNUMBER(D2421),ISNUMBER(J2421)),ROUND(D2421*J2421*(1-N(F2421)),2),0))</f>
        <v/>
      </c>
      <c r="M2421" s="62" t="str">
        <f>IF(A2421="","",IFERROR(INDEX(dv_cname,MATCH(A2421,dv_num,0))&amp;"",""))</f>
        <v/>
      </c>
      <c r="N2421" s="59" t="str">
        <f>IF(COUNTA(A2421:G2421)=0,"",IF(A2421="","N° devis manquant",IF(ISNA(MATCH(A2421,dv_num,0)),"Devis inconnu",IF(AND(B2421&lt;&gt;"",ISNA(MATCH(B2421,pr_code,0))),"Article inconnu",IF(H2421="","Désignation manquante",IF(OR(NOT(ISNUMBER(D2421)),N(D2421)&lt;=0),"Quantité invalide",IF(J2421="","Prix manquant",IF(OR(NOT(ISNUMBER(J2421)),N(J2421)&lt;0),"Prix invalide",IF(OR(AND(F2421&lt;&gt;"",NOT(ISNUMBER(F2421))),N(F2421)&lt;0,N(F2421)&gt;1),"Remise invalide",IF(K2421="","Taux de TVA manquant",IF(NOT(ISNUMBER(K2421)),"Taux de TVA invalide",IF(COUNTIF(p_rates,K2421)=0,"Taux de TVA hors liste (Paramètres)",IF(N(O2421)&gt;25,"Au-delà de 25 lignes : non imprimée","OK")))))))))))))</f>
        <v/>
      </c>
      <c r="O2421" s="59" t="str">
        <f>IF(A2421="","",COUNTIF($A$6:A2421,A2421))</f>
        <v/>
      </c>
      <c r="P2421" s="62" t="str">
        <f>IF(A2421="","",A2421&amp;"|"&amp;O2421)</f>
        <v/>
      </c>
    </row>
    <row r="2422">
      <c r="A2422" s="60" t="n"/>
      <c r="B2422" s="63" t="n"/>
      <c r="C2422" s="63" t="n"/>
      <c r="D2422" s="67" t="n"/>
      <c r="E2422" s="68" t="n"/>
      <c r="F2422" s="69" t="n"/>
      <c r="G2422" s="70" t="n"/>
      <c r="H2422" s="62" t="str">
        <f>IF(COUNTA(A2422:G2422)=0,"",IF(C2422&lt;&gt;"",C2422,IF(B2422="","",IFERROR(INDEX(pr_des,MATCH(B2422,pr_code,0))&amp;"",""))))</f>
        <v/>
      </c>
      <c r="I2422" s="59" t="str">
        <f>IF(B2422="","",IFERROR(INDEX(pr_unit,MATCH(B2422,pr_code,0))&amp;"",""))</f>
        <v/>
      </c>
      <c r="J2422" s="65" t="str">
        <f>IF(COUNTA(A2422:G2422)=0,"",IF(E2422&lt;&gt;"",E2422,IF(B2422="","",IFERROR(IF(INDEX(pr_price,MATCH(B2422,pr_code,0))="","",INDEX(pr_price,MATCH(B2422,pr_code,0))),""))))</f>
        <v/>
      </c>
      <c r="K2422" s="71" t="str">
        <f>IF(COUNTA(A2422:G2422)=0,"",IF(G2422&lt;&gt;"",G2422,IF(B2422="","",IFERROR(IF(INDEX(pr_rate,MATCH(B2422,pr_code,0))="","",INDEX(pr_rate,MATCH(B2422,pr_code,0))),""))))</f>
        <v/>
      </c>
      <c r="L2422" s="65" t="str">
        <f>IF(COUNTA(A2422:G2422)=0,"",IF(AND(ISNUMBER(D2422),ISNUMBER(J2422)),ROUND(D2422*J2422*(1-N(F2422)),2),0))</f>
        <v/>
      </c>
      <c r="M2422" s="62" t="str">
        <f>IF(A2422="","",IFERROR(INDEX(dv_cname,MATCH(A2422,dv_num,0))&amp;"",""))</f>
        <v/>
      </c>
      <c r="N2422" s="59" t="str">
        <f>IF(COUNTA(A2422:G2422)=0,"",IF(A2422="","N° devis manquant",IF(ISNA(MATCH(A2422,dv_num,0)),"Devis inconnu",IF(AND(B2422&lt;&gt;"",ISNA(MATCH(B2422,pr_code,0))),"Article inconnu",IF(H2422="","Désignation manquante",IF(OR(NOT(ISNUMBER(D2422)),N(D2422)&lt;=0),"Quantité invalide",IF(J2422="","Prix manquant",IF(OR(NOT(ISNUMBER(J2422)),N(J2422)&lt;0),"Prix invalide",IF(OR(AND(F2422&lt;&gt;"",NOT(ISNUMBER(F2422))),N(F2422)&lt;0,N(F2422)&gt;1),"Remise invalide",IF(K2422="","Taux de TVA manquant",IF(NOT(ISNUMBER(K2422)),"Taux de TVA invalide",IF(COUNTIF(p_rates,K2422)=0,"Taux de TVA hors liste (Paramètres)",IF(N(O2422)&gt;25,"Au-delà de 25 lignes : non imprimée","OK")))))))))))))</f>
        <v/>
      </c>
      <c r="O2422" s="59" t="str">
        <f>IF(A2422="","",COUNTIF($A$6:A2422,A2422))</f>
        <v/>
      </c>
      <c r="P2422" s="62" t="str">
        <f>IF(A2422="","",A2422&amp;"|"&amp;O2422)</f>
        <v/>
      </c>
    </row>
    <row r="2423">
      <c r="A2423" s="60" t="n"/>
      <c r="B2423" s="63" t="n"/>
      <c r="C2423" s="63" t="n"/>
      <c r="D2423" s="67" t="n"/>
      <c r="E2423" s="68" t="n"/>
      <c r="F2423" s="69" t="n"/>
      <c r="G2423" s="70" t="n"/>
      <c r="H2423" s="62" t="str">
        <f>IF(COUNTA(A2423:G2423)=0,"",IF(C2423&lt;&gt;"",C2423,IF(B2423="","",IFERROR(INDEX(pr_des,MATCH(B2423,pr_code,0))&amp;"",""))))</f>
        <v/>
      </c>
      <c r="I2423" s="59" t="str">
        <f>IF(B2423="","",IFERROR(INDEX(pr_unit,MATCH(B2423,pr_code,0))&amp;"",""))</f>
        <v/>
      </c>
      <c r="J2423" s="65" t="str">
        <f>IF(COUNTA(A2423:G2423)=0,"",IF(E2423&lt;&gt;"",E2423,IF(B2423="","",IFERROR(IF(INDEX(pr_price,MATCH(B2423,pr_code,0))="","",INDEX(pr_price,MATCH(B2423,pr_code,0))),""))))</f>
        <v/>
      </c>
      <c r="K2423" s="71" t="str">
        <f>IF(COUNTA(A2423:G2423)=0,"",IF(G2423&lt;&gt;"",G2423,IF(B2423="","",IFERROR(IF(INDEX(pr_rate,MATCH(B2423,pr_code,0))="","",INDEX(pr_rate,MATCH(B2423,pr_code,0))),""))))</f>
        <v/>
      </c>
      <c r="L2423" s="65" t="str">
        <f>IF(COUNTA(A2423:G2423)=0,"",IF(AND(ISNUMBER(D2423),ISNUMBER(J2423)),ROUND(D2423*J2423*(1-N(F2423)),2),0))</f>
        <v/>
      </c>
      <c r="M2423" s="62" t="str">
        <f>IF(A2423="","",IFERROR(INDEX(dv_cname,MATCH(A2423,dv_num,0))&amp;"",""))</f>
        <v/>
      </c>
      <c r="N2423" s="59" t="str">
        <f>IF(COUNTA(A2423:G2423)=0,"",IF(A2423="","N° devis manquant",IF(ISNA(MATCH(A2423,dv_num,0)),"Devis inconnu",IF(AND(B2423&lt;&gt;"",ISNA(MATCH(B2423,pr_code,0))),"Article inconnu",IF(H2423="","Désignation manquante",IF(OR(NOT(ISNUMBER(D2423)),N(D2423)&lt;=0),"Quantité invalide",IF(J2423="","Prix manquant",IF(OR(NOT(ISNUMBER(J2423)),N(J2423)&lt;0),"Prix invalide",IF(OR(AND(F2423&lt;&gt;"",NOT(ISNUMBER(F2423))),N(F2423)&lt;0,N(F2423)&gt;1),"Remise invalide",IF(K2423="","Taux de TVA manquant",IF(NOT(ISNUMBER(K2423)),"Taux de TVA invalide",IF(COUNTIF(p_rates,K2423)=0,"Taux de TVA hors liste (Paramètres)",IF(N(O2423)&gt;25,"Au-delà de 25 lignes : non imprimée","OK")))))))))))))</f>
        <v/>
      </c>
      <c r="O2423" s="59" t="str">
        <f>IF(A2423="","",COUNTIF($A$6:A2423,A2423))</f>
        <v/>
      </c>
      <c r="P2423" s="62" t="str">
        <f>IF(A2423="","",A2423&amp;"|"&amp;O2423)</f>
        <v/>
      </c>
    </row>
    <row r="2424">
      <c r="A2424" s="60" t="n"/>
      <c r="B2424" s="63" t="n"/>
      <c r="C2424" s="63" t="n"/>
      <c r="D2424" s="67" t="n"/>
      <c r="E2424" s="68" t="n"/>
      <c r="F2424" s="69" t="n"/>
      <c r="G2424" s="70" t="n"/>
      <c r="H2424" s="62" t="str">
        <f>IF(COUNTA(A2424:G2424)=0,"",IF(C2424&lt;&gt;"",C2424,IF(B2424="","",IFERROR(INDEX(pr_des,MATCH(B2424,pr_code,0))&amp;"",""))))</f>
        <v/>
      </c>
      <c r="I2424" s="59" t="str">
        <f>IF(B2424="","",IFERROR(INDEX(pr_unit,MATCH(B2424,pr_code,0))&amp;"",""))</f>
        <v/>
      </c>
      <c r="J2424" s="65" t="str">
        <f>IF(COUNTA(A2424:G2424)=0,"",IF(E2424&lt;&gt;"",E2424,IF(B2424="","",IFERROR(IF(INDEX(pr_price,MATCH(B2424,pr_code,0))="","",INDEX(pr_price,MATCH(B2424,pr_code,0))),""))))</f>
        <v/>
      </c>
      <c r="K2424" s="71" t="str">
        <f>IF(COUNTA(A2424:G2424)=0,"",IF(G2424&lt;&gt;"",G2424,IF(B2424="","",IFERROR(IF(INDEX(pr_rate,MATCH(B2424,pr_code,0))="","",INDEX(pr_rate,MATCH(B2424,pr_code,0))),""))))</f>
        <v/>
      </c>
      <c r="L2424" s="65" t="str">
        <f>IF(COUNTA(A2424:G2424)=0,"",IF(AND(ISNUMBER(D2424),ISNUMBER(J2424)),ROUND(D2424*J2424*(1-N(F2424)),2),0))</f>
        <v/>
      </c>
      <c r="M2424" s="62" t="str">
        <f>IF(A2424="","",IFERROR(INDEX(dv_cname,MATCH(A2424,dv_num,0))&amp;"",""))</f>
        <v/>
      </c>
      <c r="N2424" s="59" t="str">
        <f>IF(COUNTA(A2424:G2424)=0,"",IF(A2424="","N° devis manquant",IF(ISNA(MATCH(A2424,dv_num,0)),"Devis inconnu",IF(AND(B2424&lt;&gt;"",ISNA(MATCH(B2424,pr_code,0))),"Article inconnu",IF(H2424="","Désignation manquante",IF(OR(NOT(ISNUMBER(D2424)),N(D2424)&lt;=0),"Quantité invalide",IF(J2424="","Prix manquant",IF(OR(NOT(ISNUMBER(J2424)),N(J2424)&lt;0),"Prix invalide",IF(OR(AND(F2424&lt;&gt;"",NOT(ISNUMBER(F2424))),N(F2424)&lt;0,N(F2424)&gt;1),"Remise invalide",IF(K2424="","Taux de TVA manquant",IF(NOT(ISNUMBER(K2424)),"Taux de TVA invalide",IF(COUNTIF(p_rates,K2424)=0,"Taux de TVA hors liste (Paramètres)",IF(N(O2424)&gt;25,"Au-delà de 25 lignes : non imprimée","OK")))))))))))))</f>
        <v/>
      </c>
      <c r="O2424" s="59" t="str">
        <f>IF(A2424="","",COUNTIF($A$6:A2424,A2424))</f>
        <v/>
      </c>
      <c r="P2424" s="62" t="str">
        <f>IF(A2424="","",A2424&amp;"|"&amp;O2424)</f>
        <v/>
      </c>
    </row>
    <row r="2425">
      <c r="A2425" s="60" t="n"/>
      <c r="B2425" s="63" t="n"/>
      <c r="C2425" s="63" t="n"/>
      <c r="D2425" s="67" t="n"/>
      <c r="E2425" s="68" t="n"/>
      <c r="F2425" s="69" t="n"/>
      <c r="G2425" s="70" t="n"/>
      <c r="H2425" s="62" t="str">
        <f>IF(COUNTA(A2425:G2425)=0,"",IF(C2425&lt;&gt;"",C2425,IF(B2425="","",IFERROR(INDEX(pr_des,MATCH(B2425,pr_code,0))&amp;"",""))))</f>
        <v/>
      </c>
      <c r="I2425" s="59" t="str">
        <f>IF(B2425="","",IFERROR(INDEX(pr_unit,MATCH(B2425,pr_code,0))&amp;"",""))</f>
        <v/>
      </c>
      <c r="J2425" s="65" t="str">
        <f>IF(COUNTA(A2425:G2425)=0,"",IF(E2425&lt;&gt;"",E2425,IF(B2425="","",IFERROR(IF(INDEX(pr_price,MATCH(B2425,pr_code,0))="","",INDEX(pr_price,MATCH(B2425,pr_code,0))),""))))</f>
        <v/>
      </c>
      <c r="K2425" s="71" t="str">
        <f>IF(COUNTA(A2425:G2425)=0,"",IF(G2425&lt;&gt;"",G2425,IF(B2425="","",IFERROR(IF(INDEX(pr_rate,MATCH(B2425,pr_code,0))="","",INDEX(pr_rate,MATCH(B2425,pr_code,0))),""))))</f>
        <v/>
      </c>
      <c r="L2425" s="65" t="str">
        <f>IF(COUNTA(A2425:G2425)=0,"",IF(AND(ISNUMBER(D2425),ISNUMBER(J2425)),ROUND(D2425*J2425*(1-N(F2425)),2),0))</f>
        <v/>
      </c>
      <c r="M2425" s="62" t="str">
        <f>IF(A2425="","",IFERROR(INDEX(dv_cname,MATCH(A2425,dv_num,0))&amp;"",""))</f>
        <v/>
      </c>
      <c r="N2425" s="59" t="str">
        <f>IF(COUNTA(A2425:G2425)=0,"",IF(A2425="","N° devis manquant",IF(ISNA(MATCH(A2425,dv_num,0)),"Devis inconnu",IF(AND(B2425&lt;&gt;"",ISNA(MATCH(B2425,pr_code,0))),"Article inconnu",IF(H2425="","Désignation manquante",IF(OR(NOT(ISNUMBER(D2425)),N(D2425)&lt;=0),"Quantité invalide",IF(J2425="","Prix manquant",IF(OR(NOT(ISNUMBER(J2425)),N(J2425)&lt;0),"Prix invalide",IF(OR(AND(F2425&lt;&gt;"",NOT(ISNUMBER(F2425))),N(F2425)&lt;0,N(F2425)&gt;1),"Remise invalide",IF(K2425="","Taux de TVA manquant",IF(NOT(ISNUMBER(K2425)),"Taux de TVA invalide",IF(COUNTIF(p_rates,K2425)=0,"Taux de TVA hors liste (Paramètres)",IF(N(O2425)&gt;25,"Au-delà de 25 lignes : non imprimée","OK")))))))))))))</f>
        <v/>
      </c>
      <c r="O2425" s="59" t="str">
        <f>IF(A2425="","",COUNTIF($A$6:A2425,A2425))</f>
        <v/>
      </c>
      <c r="P2425" s="62" t="str">
        <f>IF(A2425="","",A2425&amp;"|"&amp;O2425)</f>
        <v/>
      </c>
    </row>
    <row r="2426">
      <c r="A2426" s="60" t="n"/>
      <c r="B2426" s="63" t="n"/>
      <c r="C2426" s="63" t="n"/>
      <c r="D2426" s="67" t="n"/>
      <c r="E2426" s="68" t="n"/>
      <c r="F2426" s="69" t="n"/>
      <c r="G2426" s="70" t="n"/>
      <c r="H2426" s="62" t="str">
        <f>IF(COUNTA(A2426:G2426)=0,"",IF(C2426&lt;&gt;"",C2426,IF(B2426="","",IFERROR(INDEX(pr_des,MATCH(B2426,pr_code,0))&amp;"",""))))</f>
        <v/>
      </c>
      <c r="I2426" s="59" t="str">
        <f>IF(B2426="","",IFERROR(INDEX(pr_unit,MATCH(B2426,pr_code,0))&amp;"",""))</f>
        <v/>
      </c>
      <c r="J2426" s="65" t="str">
        <f>IF(COUNTA(A2426:G2426)=0,"",IF(E2426&lt;&gt;"",E2426,IF(B2426="","",IFERROR(IF(INDEX(pr_price,MATCH(B2426,pr_code,0))="","",INDEX(pr_price,MATCH(B2426,pr_code,0))),""))))</f>
        <v/>
      </c>
      <c r="K2426" s="71" t="str">
        <f>IF(COUNTA(A2426:G2426)=0,"",IF(G2426&lt;&gt;"",G2426,IF(B2426="","",IFERROR(IF(INDEX(pr_rate,MATCH(B2426,pr_code,0))="","",INDEX(pr_rate,MATCH(B2426,pr_code,0))),""))))</f>
        <v/>
      </c>
      <c r="L2426" s="65" t="str">
        <f>IF(COUNTA(A2426:G2426)=0,"",IF(AND(ISNUMBER(D2426),ISNUMBER(J2426)),ROUND(D2426*J2426*(1-N(F2426)),2),0))</f>
        <v/>
      </c>
      <c r="M2426" s="62" t="str">
        <f>IF(A2426="","",IFERROR(INDEX(dv_cname,MATCH(A2426,dv_num,0))&amp;"",""))</f>
        <v/>
      </c>
      <c r="N2426" s="59" t="str">
        <f>IF(COUNTA(A2426:G2426)=0,"",IF(A2426="","N° devis manquant",IF(ISNA(MATCH(A2426,dv_num,0)),"Devis inconnu",IF(AND(B2426&lt;&gt;"",ISNA(MATCH(B2426,pr_code,0))),"Article inconnu",IF(H2426="","Désignation manquante",IF(OR(NOT(ISNUMBER(D2426)),N(D2426)&lt;=0),"Quantité invalide",IF(J2426="","Prix manquant",IF(OR(NOT(ISNUMBER(J2426)),N(J2426)&lt;0),"Prix invalide",IF(OR(AND(F2426&lt;&gt;"",NOT(ISNUMBER(F2426))),N(F2426)&lt;0,N(F2426)&gt;1),"Remise invalide",IF(K2426="","Taux de TVA manquant",IF(NOT(ISNUMBER(K2426)),"Taux de TVA invalide",IF(COUNTIF(p_rates,K2426)=0,"Taux de TVA hors liste (Paramètres)",IF(N(O2426)&gt;25,"Au-delà de 25 lignes : non imprimée","OK")))))))))))))</f>
        <v/>
      </c>
      <c r="O2426" s="59" t="str">
        <f>IF(A2426="","",COUNTIF($A$6:A2426,A2426))</f>
        <v/>
      </c>
      <c r="P2426" s="62" t="str">
        <f>IF(A2426="","",A2426&amp;"|"&amp;O2426)</f>
        <v/>
      </c>
    </row>
    <row r="2427">
      <c r="A2427" s="60" t="n"/>
      <c r="B2427" s="63" t="n"/>
      <c r="C2427" s="63" t="n"/>
      <c r="D2427" s="67" t="n"/>
      <c r="E2427" s="68" t="n"/>
      <c r="F2427" s="69" t="n"/>
      <c r="G2427" s="70" t="n"/>
      <c r="H2427" s="62" t="str">
        <f>IF(COUNTA(A2427:G2427)=0,"",IF(C2427&lt;&gt;"",C2427,IF(B2427="","",IFERROR(INDEX(pr_des,MATCH(B2427,pr_code,0))&amp;"",""))))</f>
        <v/>
      </c>
      <c r="I2427" s="59" t="str">
        <f>IF(B2427="","",IFERROR(INDEX(pr_unit,MATCH(B2427,pr_code,0))&amp;"",""))</f>
        <v/>
      </c>
      <c r="J2427" s="65" t="str">
        <f>IF(COUNTA(A2427:G2427)=0,"",IF(E2427&lt;&gt;"",E2427,IF(B2427="","",IFERROR(IF(INDEX(pr_price,MATCH(B2427,pr_code,0))="","",INDEX(pr_price,MATCH(B2427,pr_code,0))),""))))</f>
        <v/>
      </c>
      <c r="K2427" s="71" t="str">
        <f>IF(COUNTA(A2427:G2427)=0,"",IF(G2427&lt;&gt;"",G2427,IF(B2427="","",IFERROR(IF(INDEX(pr_rate,MATCH(B2427,pr_code,0))="","",INDEX(pr_rate,MATCH(B2427,pr_code,0))),""))))</f>
        <v/>
      </c>
      <c r="L2427" s="65" t="str">
        <f>IF(COUNTA(A2427:G2427)=0,"",IF(AND(ISNUMBER(D2427),ISNUMBER(J2427)),ROUND(D2427*J2427*(1-N(F2427)),2),0))</f>
        <v/>
      </c>
      <c r="M2427" s="62" t="str">
        <f>IF(A2427="","",IFERROR(INDEX(dv_cname,MATCH(A2427,dv_num,0))&amp;"",""))</f>
        <v/>
      </c>
      <c r="N2427" s="59" t="str">
        <f>IF(COUNTA(A2427:G2427)=0,"",IF(A2427="","N° devis manquant",IF(ISNA(MATCH(A2427,dv_num,0)),"Devis inconnu",IF(AND(B2427&lt;&gt;"",ISNA(MATCH(B2427,pr_code,0))),"Article inconnu",IF(H2427="","Désignation manquante",IF(OR(NOT(ISNUMBER(D2427)),N(D2427)&lt;=0),"Quantité invalide",IF(J2427="","Prix manquant",IF(OR(NOT(ISNUMBER(J2427)),N(J2427)&lt;0),"Prix invalide",IF(OR(AND(F2427&lt;&gt;"",NOT(ISNUMBER(F2427))),N(F2427)&lt;0,N(F2427)&gt;1),"Remise invalide",IF(K2427="","Taux de TVA manquant",IF(NOT(ISNUMBER(K2427)),"Taux de TVA invalide",IF(COUNTIF(p_rates,K2427)=0,"Taux de TVA hors liste (Paramètres)",IF(N(O2427)&gt;25,"Au-delà de 25 lignes : non imprimée","OK")))))))))))))</f>
        <v/>
      </c>
      <c r="O2427" s="59" t="str">
        <f>IF(A2427="","",COUNTIF($A$6:A2427,A2427))</f>
        <v/>
      </c>
      <c r="P2427" s="62" t="str">
        <f>IF(A2427="","",A2427&amp;"|"&amp;O2427)</f>
        <v/>
      </c>
    </row>
    <row r="2428">
      <c r="A2428" s="60" t="n"/>
      <c r="B2428" s="63" t="n"/>
      <c r="C2428" s="63" t="n"/>
      <c r="D2428" s="67" t="n"/>
      <c r="E2428" s="68" t="n"/>
      <c r="F2428" s="69" t="n"/>
      <c r="G2428" s="70" t="n"/>
      <c r="H2428" s="62" t="str">
        <f>IF(COUNTA(A2428:G2428)=0,"",IF(C2428&lt;&gt;"",C2428,IF(B2428="","",IFERROR(INDEX(pr_des,MATCH(B2428,pr_code,0))&amp;"",""))))</f>
        <v/>
      </c>
      <c r="I2428" s="59" t="str">
        <f>IF(B2428="","",IFERROR(INDEX(pr_unit,MATCH(B2428,pr_code,0))&amp;"",""))</f>
        <v/>
      </c>
      <c r="J2428" s="65" t="str">
        <f>IF(COUNTA(A2428:G2428)=0,"",IF(E2428&lt;&gt;"",E2428,IF(B2428="","",IFERROR(IF(INDEX(pr_price,MATCH(B2428,pr_code,0))="","",INDEX(pr_price,MATCH(B2428,pr_code,0))),""))))</f>
        <v/>
      </c>
      <c r="K2428" s="71" t="str">
        <f>IF(COUNTA(A2428:G2428)=0,"",IF(G2428&lt;&gt;"",G2428,IF(B2428="","",IFERROR(IF(INDEX(pr_rate,MATCH(B2428,pr_code,0))="","",INDEX(pr_rate,MATCH(B2428,pr_code,0))),""))))</f>
        <v/>
      </c>
      <c r="L2428" s="65" t="str">
        <f>IF(COUNTA(A2428:G2428)=0,"",IF(AND(ISNUMBER(D2428),ISNUMBER(J2428)),ROUND(D2428*J2428*(1-N(F2428)),2),0))</f>
        <v/>
      </c>
      <c r="M2428" s="62" t="str">
        <f>IF(A2428="","",IFERROR(INDEX(dv_cname,MATCH(A2428,dv_num,0))&amp;"",""))</f>
        <v/>
      </c>
      <c r="N2428" s="59" t="str">
        <f>IF(COUNTA(A2428:G2428)=0,"",IF(A2428="","N° devis manquant",IF(ISNA(MATCH(A2428,dv_num,0)),"Devis inconnu",IF(AND(B2428&lt;&gt;"",ISNA(MATCH(B2428,pr_code,0))),"Article inconnu",IF(H2428="","Désignation manquante",IF(OR(NOT(ISNUMBER(D2428)),N(D2428)&lt;=0),"Quantité invalide",IF(J2428="","Prix manquant",IF(OR(NOT(ISNUMBER(J2428)),N(J2428)&lt;0),"Prix invalide",IF(OR(AND(F2428&lt;&gt;"",NOT(ISNUMBER(F2428))),N(F2428)&lt;0,N(F2428)&gt;1),"Remise invalide",IF(K2428="","Taux de TVA manquant",IF(NOT(ISNUMBER(K2428)),"Taux de TVA invalide",IF(COUNTIF(p_rates,K2428)=0,"Taux de TVA hors liste (Paramètres)",IF(N(O2428)&gt;25,"Au-delà de 25 lignes : non imprimée","OK")))))))))))))</f>
        <v/>
      </c>
      <c r="O2428" s="59" t="str">
        <f>IF(A2428="","",COUNTIF($A$6:A2428,A2428))</f>
        <v/>
      </c>
      <c r="P2428" s="62" t="str">
        <f>IF(A2428="","",A2428&amp;"|"&amp;O2428)</f>
        <v/>
      </c>
    </row>
    <row r="2429">
      <c r="A2429" s="60" t="n"/>
      <c r="B2429" s="63" t="n"/>
      <c r="C2429" s="63" t="n"/>
      <c r="D2429" s="67" t="n"/>
      <c r="E2429" s="68" t="n"/>
      <c r="F2429" s="69" t="n"/>
      <c r="G2429" s="70" t="n"/>
      <c r="H2429" s="62" t="str">
        <f>IF(COUNTA(A2429:G2429)=0,"",IF(C2429&lt;&gt;"",C2429,IF(B2429="","",IFERROR(INDEX(pr_des,MATCH(B2429,pr_code,0))&amp;"",""))))</f>
        <v/>
      </c>
      <c r="I2429" s="59" t="str">
        <f>IF(B2429="","",IFERROR(INDEX(pr_unit,MATCH(B2429,pr_code,0))&amp;"",""))</f>
        <v/>
      </c>
      <c r="J2429" s="65" t="str">
        <f>IF(COUNTA(A2429:G2429)=0,"",IF(E2429&lt;&gt;"",E2429,IF(B2429="","",IFERROR(IF(INDEX(pr_price,MATCH(B2429,pr_code,0))="","",INDEX(pr_price,MATCH(B2429,pr_code,0))),""))))</f>
        <v/>
      </c>
      <c r="K2429" s="71" t="str">
        <f>IF(COUNTA(A2429:G2429)=0,"",IF(G2429&lt;&gt;"",G2429,IF(B2429="","",IFERROR(IF(INDEX(pr_rate,MATCH(B2429,pr_code,0))="","",INDEX(pr_rate,MATCH(B2429,pr_code,0))),""))))</f>
        <v/>
      </c>
      <c r="L2429" s="65" t="str">
        <f>IF(COUNTA(A2429:G2429)=0,"",IF(AND(ISNUMBER(D2429),ISNUMBER(J2429)),ROUND(D2429*J2429*(1-N(F2429)),2),0))</f>
        <v/>
      </c>
      <c r="M2429" s="62" t="str">
        <f>IF(A2429="","",IFERROR(INDEX(dv_cname,MATCH(A2429,dv_num,0))&amp;"",""))</f>
        <v/>
      </c>
      <c r="N2429" s="59" t="str">
        <f>IF(COUNTA(A2429:G2429)=0,"",IF(A2429="","N° devis manquant",IF(ISNA(MATCH(A2429,dv_num,0)),"Devis inconnu",IF(AND(B2429&lt;&gt;"",ISNA(MATCH(B2429,pr_code,0))),"Article inconnu",IF(H2429="","Désignation manquante",IF(OR(NOT(ISNUMBER(D2429)),N(D2429)&lt;=0),"Quantité invalide",IF(J2429="","Prix manquant",IF(OR(NOT(ISNUMBER(J2429)),N(J2429)&lt;0),"Prix invalide",IF(OR(AND(F2429&lt;&gt;"",NOT(ISNUMBER(F2429))),N(F2429)&lt;0,N(F2429)&gt;1),"Remise invalide",IF(K2429="","Taux de TVA manquant",IF(NOT(ISNUMBER(K2429)),"Taux de TVA invalide",IF(COUNTIF(p_rates,K2429)=0,"Taux de TVA hors liste (Paramètres)",IF(N(O2429)&gt;25,"Au-delà de 25 lignes : non imprimée","OK")))))))))))))</f>
        <v/>
      </c>
      <c r="O2429" s="59" t="str">
        <f>IF(A2429="","",COUNTIF($A$6:A2429,A2429))</f>
        <v/>
      </c>
      <c r="P2429" s="62" t="str">
        <f>IF(A2429="","",A2429&amp;"|"&amp;O2429)</f>
        <v/>
      </c>
    </row>
    <row r="2430">
      <c r="A2430" s="60" t="n"/>
      <c r="B2430" s="63" t="n"/>
      <c r="C2430" s="63" t="n"/>
      <c r="D2430" s="67" t="n"/>
      <c r="E2430" s="68" t="n"/>
      <c r="F2430" s="69" t="n"/>
      <c r="G2430" s="70" t="n"/>
      <c r="H2430" s="62" t="str">
        <f>IF(COUNTA(A2430:G2430)=0,"",IF(C2430&lt;&gt;"",C2430,IF(B2430="","",IFERROR(INDEX(pr_des,MATCH(B2430,pr_code,0))&amp;"",""))))</f>
        <v/>
      </c>
      <c r="I2430" s="59" t="str">
        <f>IF(B2430="","",IFERROR(INDEX(pr_unit,MATCH(B2430,pr_code,0))&amp;"",""))</f>
        <v/>
      </c>
      <c r="J2430" s="65" t="str">
        <f>IF(COUNTA(A2430:G2430)=0,"",IF(E2430&lt;&gt;"",E2430,IF(B2430="","",IFERROR(IF(INDEX(pr_price,MATCH(B2430,pr_code,0))="","",INDEX(pr_price,MATCH(B2430,pr_code,0))),""))))</f>
        <v/>
      </c>
      <c r="K2430" s="71" t="str">
        <f>IF(COUNTA(A2430:G2430)=0,"",IF(G2430&lt;&gt;"",G2430,IF(B2430="","",IFERROR(IF(INDEX(pr_rate,MATCH(B2430,pr_code,0))="","",INDEX(pr_rate,MATCH(B2430,pr_code,0))),""))))</f>
        <v/>
      </c>
      <c r="L2430" s="65" t="str">
        <f>IF(COUNTA(A2430:G2430)=0,"",IF(AND(ISNUMBER(D2430),ISNUMBER(J2430)),ROUND(D2430*J2430*(1-N(F2430)),2),0))</f>
        <v/>
      </c>
      <c r="M2430" s="62" t="str">
        <f>IF(A2430="","",IFERROR(INDEX(dv_cname,MATCH(A2430,dv_num,0))&amp;"",""))</f>
        <v/>
      </c>
      <c r="N2430" s="59" t="str">
        <f>IF(COUNTA(A2430:G2430)=0,"",IF(A2430="","N° devis manquant",IF(ISNA(MATCH(A2430,dv_num,0)),"Devis inconnu",IF(AND(B2430&lt;&gt;"",ISNA(MATCH(B2430,pr_code,0))),"Article inconnu",IF(H2430="","Désignation manquante",IF(OR(NOT(ISNUMBER(D2430)),N(D2430)&lt;=0),"Quantité invalide",IF(J2430="","Prix manquant",IF(OR(NOT(ISNUMBER(J2430)),N(J2430)&lt;0),"Prix invalide",IF(OR(AND(F2430&lt;&gt;"",NOT(ISNUMBER(F2430))),N(F2430)&lt;0,N(F2430)&gt;1),"Remise invalide",IF(K2430="","Taux de TVA manquant",IF(NOT(ISNUMBER(K2430)),"Taux de TVA invalide",IF(COUNTIF(p_rates,K2430)=0,"Taux de TVA hors liste (Paramètres)",IF(N(O2430)&gt;25,"Au-delà de 25 lignes : non imprimée","OK")))))))))))))</f>
        <v/>
      </c>
      <c r="O2430" s="59" t="str">
        <f>IF(A2430="","",COUNTIF($A$6:A2430,A2430))</f>
        <v/>
      </c>
      <c r="P2430" s="62" t="str">
        <f>IF(A2430="","",A2430&amp;"|"&amp;O2430)</f>
        <v/>
      </c>
    </row>
    <row r="2431">
      <c r="A2431" s="60" t="n"/>
      <c r="B2431" s="63" t="n"/>
      <c r="C2431" s="63" t="n"/>
      <c r="D2431" s="67" t="n"/>
      <c r="E2431" s="68" t="n"/>
      <c r="F2431" s="69" t="n"/>
      <c r="G2431" s="70" t="n"/>
      <c r="H2431" s="62" t="str">
        <f>IF(COUNTA(A2431:G2431)=0,"",IF(C2431&lt;&gt;"",C2431,IF(B2431="","",IFERROR(INDEX(pr_des,MATCH(B2431,pr_code,0))&amp;"",""))))</f>
        <v/>
      </c>
      <c r="I2431" s="59" t="str">
        <f>IF(B2431="","",IFERROR(INDEX(pr_unit,MATCH(B2431,pr_code,0))&amp;"",""))</f>
        <v/>
      </c>
      <c r="J2431" s="65" t="str">
        <f>IF(COUNTA(A2431:G2431)=0,"",IF(E2431&lt;&gt;"",E2431,IF(B2431="","",IFERROR(IF(INDEX(pr_price,MATCH(B2431,pr_code,0))="","",INDEX(pr_price,MATCH(B2431,pr_code,0))),""))))</f>
        <v/>
      </c>
      <c r="K2431" s="71" t="str">
        <f>IF(COUNTA(A2431:G2431)=0,"",IF(G2431&lt;&gt;"",G2431,IF(B2431="","",IFERROR(IF(INDEX(pr_rate,MATCH(B2431,pr_code,0))="","",INDEX(pr_rate,MATCH(B2431,pr_code,0))),""))))</f>
        <v/>
      </c>
      <c r="L2431" s="65" t="str">
        <f>IF(COUNTA(A2431:G2431)=0,"",IF(AND(ISNUMBER(D2431),ISNUMBER(J2431)),ROUND(D2431*J2431*(1-N(F2431)),2),0))</f>
        <v/>
      </c>
      <c r="M2431" s="62" t="str">
        <f>IF(A2431="","",IFERROR(INDEX(dv_cname,MATCH(A2431,dv_num,0))&amp;"",""))</f>
        <v/>
      </c>
      <c r="N2431" s="59" t="str">
        <f>IF(COUNTA(A2431:G2431)=0,"",IF(A2431="","N° devis manquant",IF(ISNA(MATCH(A2431,dv_num,0)),"Devis inconnu",IF(AND(B2431&lt;&gt;"",ISNA(MATCH(B2431,pr_code,0))),"Article inconnu",IF(H2431="","Désignation manquante",IF(OR(NOT(ISNUMBER(D2431)),N(D2431)&lt;=0),"Quantité invalide",IF(J2431="","Prix manquant",IF(OR(NOT(ISNUMBER(J2431)),N(J2431)&lt;0),"Prix invalide",IF(OR(AND(F2431&lt;&gt;"",NOT(ISNUMBER(F2431))),N(F2431)&lt;0,N(F2431)&gt;1),"Remise invalide",IF(K2431="","Taux de TVA manquant",IF(NOT(ISNUMBER(K2431)),"Taux de TVA invalide",IF(COUNTIF(p_rates,K2431)=0,"Taux de TVA hors liste (Paramètres)",IF(N(O2431)&gt;25,"Au-delà de 25 lignes : non imprimée","OK")))))))))))))</f>
        <v/>
      </c>
      <c r="O2431" s="59" t="str">
        <f>IF(A2431="","",COUNTIF($A$6:A2431,A2431))</f>
        <v/>
      </c>
      <c r="P2431" s="62" t="str">
        <f>IF(A2431="","",A2431&amp;"|"&amp;O2431)</f>
        <v/>
      </c>
    </row>
    <row r="2432">
      <c r="A2432" s="60" t="n"/>
      <c r="B2432" s="63" t="n"/>
      <c r="C2432" s="63" t="n"/>
      <c r="D2432" s="67" t="n"/>
      <c r="E2432" s="68" t="n"/>
      <c r="F2432" s="69" t="n"/>
      <c r="G2432" s="70" t="n"/>
      <c r="H2432" s="62" t="str">
        <f>IF(COUNTA(A2432:G2432)=0,"",IF(C2432&lt;&gt;"",C2432,IF(B2432="","",IFERROR(INDEX(pr_des,MATCH(B2432,pr_code,0))&amp;"",""))))</f>
        <v/>
      </c>
      <c r="I2432" s="59" t="str">
        <f>IF(B2432="","",IFERROR(INDEX(pr_unit,MATCH(B2432,pr_code,0))&amp;"",""))</f>
        <v/>
      </c>
      <c r="J2432" s="65" t="str">
        <f>IF(COUNTA(A2432:G2432)=0,"",IF(E2432&lt;&gt;"",E2432,IF(B2432="","",IFERROR(IF(INDEX(pr_price,MATCH(B2432,pr_code,0))="","",INDEX(pr_price,MATCH(B2432,pr_code,0))),""))))</f>
        <v/>
      </c>
      <c r="K2432" s="71" t="str">
        <f>IF(COUNTA(A2432:G2432)=0,"",IF(G2432&lt;&gt;"",G2432,IF(B2432="","",IFERROR(IF(INDEX(pr_rate,MATCH(B2432,pr_code,0))="","",INDEX(pr_rate,MATCH(B2432,pr_code,0))),""))))</f>
        <v/>
      </c>
      <c r="L2432" s="65" t="str">
        <f>IF(COUNTA(A2432:G2432)=0,"",IF(AND(ISNUMBER(D2432),ISNUMBER(J2432)),ROUND(D2432*J2432*(1-N(F2432)),2),0))</f>
        <v/>
      </c>
      <c r="M2432" s="62" t="str">
        <f>IF(A2432="","",IFERROR(INDEX(dv_cname,MATCH(A2432,dv_num,0))&amp;"",""))</f>
        <v/>
      </c>
      <c r="N2432" s="59" t="str">
        <f>IF(COUNTA(A2432:G2432)=0,"",IF(A2432="","N° devis manquant",IF(ISNA(MATCH(A2432,dv_num,0)),"Devis inconnu",IF(AND(B2432&lt;&gt;"",ISNA(MATCH(B2432,pr_code,0))),"Article inconnu",IF(H2432="","Désignation manquante",IF(OR(NOT(ISNUMBER(D2432)),N(D2432)&lt;=0),"Quantité invalide",IF(J2432="","Prix manquant",IF(OR(NOT(ISNUMBER(J2432)),N(J2432)&lt;0),"Prix invalide",IF(OR(AND(F2432&lt;&gt;"",NOT(ISNUMBER(F2432))),N(F2432)&lt;0,N(F2432)&gt;1),"Remise invalide",IF(K2432="","Taux de TVA manquant",IF(NOT(ISNUMBER(K2432)),"Taux de TVA invalide",IF(COUNTIF(p_rates,K2432)=0,"Taux de TVA hors liste (Paramètres)",IF(N(O2432)&gt;25,"Au-delà de 25 lignes : non imprimée","OK")))))))))))))</f>
        <v/>
      </c>
      <c r="O2432" s="59" t="str">
        <f>IF(A2432="","",COUNTIF($A$6:A2432,A2432))</f>
        <v/>
      </c>
      <c r="P2432" s="62" t="str">
        <f>IF(A2432="","",A2432&amp;"|"&amp;O2432)</f>
        <v/>
      </c>
    </row>
    <row r="2433">
      <c r="A2433" s="60" t="n"/>
      <c r="B2433" s="63" t="n"/>
      <c r="C2433" s="63" t="n"/>
      <c r="D2433" s="67" t="n"/>
      <c r="E2433" s="68" t="n"/>
      <c r="F2433" s="69" t="n"/>
      <c r="G2433" s="70" t="n"/>
      <c r="H2433" s="62" t="str">
        <f>IF(COUNTA(A2433:G2433)=0,"",IF(C2433&lt;&gt;"",C2433,IF(B2433="","",IFERROR(INDEX(pr_des,MATCH(B2433,pr_code,0))&amp;"",""))))</f>
        <v/>
      </c>
      <c r="I2433" s="59" t="str">
        <f>IF(B2433="","",IFERROR(INDEX(pr_unit,MATCH(B2433,pr_code,0))&amp;"",""))</f>
        <v/>
      </c>
      <c r="J2433" s="65" t="str">
        <f>IF(COUNTA(A2433:G2433)=0,"",IF(E2433&lt;&gt;"",E2433,IF(B2433="","",IFERROR(IF(INDEX(pr_price,MATCH(B2433,pr_code,0))="","",INDEX(pr_price,MATCH(B2433,pr_code,0))),""))))</f>
        <v/>
      </c>
      <c r="K2433" s="71" t="str">
        <f>IF(COUNTA(A2433:G2433)=0,"",IF(G2433&lt;&gt;"",G2433,IF(B2433="","",IFERROR(IF(INDEX(pr_rate,MATCH(B2433,pr_code,0))="","",INDEX(pr_rate,MATCH(B2433,pr_code,0))),""))))</f>
        <v/>
      </c>
      <c r="L2433" s="65" t="str">
        <f>IF(COUNTA(A2433:G2433)=0,"",IF(AND(ISNUMBER(D2433),ISNUMBER(J2433)),ROUND(D2433*J2433*(1-N(F2433)),2),0))</f>
        <v/>
      </c>
      <c r="M2433" s="62" t="str">
        <f>IF(A2433="","",IFERROR(INDEX(dv_cname,MATCH(A2433,dv_num,0))&amp;"",""))</f>
        <v/>
      </c>
      <c r="N2433" s="59" t="str">
        <f>IF(COUNTA(A2433:G2433)=0,"",IF(A2433="","N° devis manquant",IF(ISNA(MATCH(A2433,dv_num,0)),"Devis inconnu",IF(AND(B2433&lt;&gt;"",ISNA(MATCH(B2433,pr_code,0))),"Article inconnu",IF(H2433="","Désignation manquante",IF(OR(NOT(ISNUMBER(D2433)),N(D2433)&lt;=0),"Quantité invalide",IF(J2433="","Prix manquant",IF(OR(NOT(ISNUMBER(J2433)),N(J2433)&lt;0),"Prix invalide",IF(OR(AND(F2433&lt;&gt;"",NOT(ISNUMBER(F2433))),N(F2433)&lt;0,N(F2433)&gt;1),"Remise invalide",IF(K2433="","Taux de TVA manquant",IF(NOT(ISNUMBER(K2433)),"Taux de TVA invalide",IF(COUNTIF(p_rates,K2433)=0,"Taux de TVA hors liste (Paramètres)",IF(N(O2433)&gt;25,"Au-delà de 25 lignes : non imprimée","OK")))))))))))))</f>
        <v/>
      </c>
      <c r="O2433" s="59" t="str">
        <f>IF(A2433="","",COUNTIF($A$6:A2433,A2433))</f>
        <v/>
      </c>
      <c r="P2433" s="62" t="str">
        <f>IF(A2433="","",A2433&amp;"|"&amp;O2433)</f>
        <v/>
      </c>
    </row>
    <row r="2434">
      <c r="A2434" s="60" t="n"/>
      <c r="B2434" s="63" t="n"/>
      <c r="C2434" s="63" t="n"/>
      <c r="D2434" s="67" t="n"/>
      <c r="E2434" s="68" t="n"/>
      <c r="F2434" s="69" t="n"/>
      <c r="G2434" s="70" t="n"/>
      <c r="H2434" s="62" t="str">
        <f>IF(COUNTA(A2434:G2434)=0,"",IF(C2434&lt;&gt;"",C2434,IF(B2434="","",IFERROR(INDEX(pr_des,MATCH(B2434,pr_code,0))&amp;"",""))))</f>
        <v/>
      </c>
      <c r="I2434" s="59" t="str">
        <f>IF(B2434="","",IFERROR(INDEX(pr_unit,MATCH(B2434,pr_code,0))&amp;"",""))</f>
        <v/>
      </c>
      <c r="J2434" s="65" t="str">
        <f>IF(COUNTA(A2434:G2434)=0,"",IF(E2434&lt;&gt;"",E2434,IF(B2434="","",IFERROR(IF(INDEX(pr_price,MATCH(B2434,pr_code,0))="","",INDEX(pr_price,MATCH(B2434,pr_code,0))),""))))</f>
        <v/>
      </c>
      <c r="K2434" s="71" t="str">
        <f>IF(COUNTA(A2434:G2434)=0,"",IF(G2434&lt;&gt;"",G2434,IF(B2434="","",IFERROR(IF(INDEX(pr_rate,MATCH(B2434,pr_code,0))="","",INDEX(pr_rate,MATCH(B2434,pr_code,0))),""))))</f>
        <v/>
      </c>
      <c r="L2434" s="65" t="str">
        <f>IF(COUNTA(A2434:G2434)=0,"",IF(AND(ISNUMBER(D2434),ISNUMBER(J2434)),ROUND(D2434*J2434*(1-N(F2434)),2),0))</f>
        <v/>
      </c>
      <c r="M2434" s="62" t="str">
        <f>IF(A2434="","",IFERROR(INDEX(dv_cname,MATCH(A2434,dv_num,0))&amp;"",""))</f>
        <v/>
      </c>
      <c r="N2434" s="59" t="str">
        <f>IF(COUNTA(A2434:G2434)=0,"",IF(A2434="","N° devis manquant",IF(ISNA(MATCH(A2434,dv_num,0)),"Devis inconnu",IF(AND(B2434&lt;&gt;"",ISNA(MATCH(B2434,pr_code,0))),"Article inconnu",IF(H2434="","Désignation manquante",IF(OR(NOT(ISNUMBER(D2434)),N(D2434)&lt;=0),"Quantité invalide",IF(J2434="","Prix manquant",IF(OR(NOT(ISNUMBER(J2434)),N(J2434)&lt;0),"Prix invalide",IF(OR(AND(F2434&lt;&gt;"",NOT(ISNUMBER(F2434))),N(F2434)&lt;0,N(F2434)&gt;1),"Remise invalide",IF(K2434="","Taux de TVA manquant",IF(NOT(ISNUMBER(K2434)),"Taux de TVA invalide",IF(COUNTIF(p_rates,K2434)=0,"Taux de TVA hors liste (Paramètres)",IF(N(O2434)&gt;25,"Au-delà de 25 lignes : non imprimée","OK")))))))))))))</f>
        <v/>
      </c>
      <c r="O2434" s="59" t="str">
        <f>IF(A2434="","",COUNTIF($A$6:A2434,A2434))</f>
        <v/>
      </c>
      <c r="P2434" s="62" t="str">
        <f>IF(A2434="","",A2434&amp;"|"&amp;O2434)</f>
        <v/>
      </c>
    </row>
    <row r="2435">
      <c r="A2435" s="60" t="n"/>
      <c r="B2435" s="63" t="n"/>
      <c r="C2435" s="63" t="n"/>
      <c r="D2435" s="67" t="n"/>
      <c r="E2435" s="68" t="n"/>
      <c r="F2435" s="69" t="n"/>
      <c r="G2435" s="70" t="n"/>
      <c r="H2435" s="62" t="str">
        <f>IF(COUNTA(A2435:G2435)=0,"",IF(C2435&lt;&gt;"",C2435,IF(B2435="","",IFERROR(INDEX(pr_des,MATCH(B2435,pr_code,0))&amp;"",""))))</f>
        <v/>
      </c>
      <c r="I2435" s="59" t="str">
        <f>IF(B2435="","",IFERROR(INDEX(pr_unit,MATCH(B2435,pr_code,0))&amp;"",""))</f>
        <v/>
      </c>
      <c r="J2435" s="65" t="str">
        <f>IF(COUNTA(A2435:G2435)=0,"",IF(E2435&lt;&gt;"",E2435,IF(B2435="","",IFERROR(IF(INDEX(pr_price,MATCH(B2435,pr_code,0))="","",INDEX(pr_price,MATCH(B2435,pr_code,0))),""))))</f>
        <v/>
      </c>
      <c r="K2435" s="71" t="str">
        <f>IF(COUNTA(A2435:G2435)=0,"",IF(G2435&lt;&gt;"",G2435,IF(B2435="","",IFERROR(IF(INDEX(pr_rate,MATCH(B2435,pr_code,0))="","",INDEX(pr_rate,MATCH(B2435,pr_code,0))),""))))</f>
        <v/>
      </c>
      <c r="L2435" s="65" t="str">
        <f>IF(COUNTA(A2435:G2435)=0,"",IF(AND(ISNUMBER(D2435),ISNUMBER(J2435)),ROUND(D2435*J2435*(1-N(F2435)),2),0))</f>
        <v/>
      </c>
      <c r="M2435" s="62" t="str">
        <f>IF(A2435="","",IFERROR(INDEX(dv_cname,MATCH(A2435,dv_num,0))&amp;"",""))</f>
        <v/>
      </c>
      <c r="N2435" s="59" t="str">
        <f>IF(COUNTA(A2435:G2435)=0,"",IF(A2435="","N° devis manquant",IF(ISNA(MATCH(A2435,dv_num,0)),"Devis inconnu",IF(AND(B2435&lt;&gt;"",ISNA(MATCH(B2435,pr_code,0))),"Article inconnu",IF(H2435="","Désignation manquante",IF(OR(NOT(ISNUMBER(D2435)),N(D2435)&lt;=0),"Quantité invalide",IF(J2435="","Prix manquant",IF(OR(NOT(ISNUMBER(J2435)),N(J2435)&lt;0),"Prix invalide",IF(OR(AND(F2435&lt;&gt;"",NOT(ISNUMBER(F2435))),N(F2435)&lt;0,N(F2435)&gt;1),"Remise invalide",IF(K2435="","Taux de TVA manquant",IF(NOT(ISNUMBER(K2435)),"Taux de TVA invalide",IF(COUNTIF(p_rates,K2435)=0,"Taux de TVA hors liste (Paramètres)",IF(N(O2435)&gt;25,"Au-delà de 25 lignes : non imprimée","OK")))))))))))))</f>
        <v/>
      </c>
      <c r="O2435" s="59" t="str">
        <f>IF(A2435="","",COUNTIF($A$6:A2435,A2435))</f>
        <v/>
      </c>
      <c r="P2435" s="62" t="str">
        <f>IF(A2435="","",A2435&amp;"|"&amp;O2435)</f>
        <v/>
      </c>
    </row>
    <row r="2436">
      <c r="A2436" s="60" t="n"/>
      <c r="B2436" s="63" t="n"/>
      <c r="C2436" s="63" t="n"/>
      <c r="D2436" s="67" t="n"/>
      <c r="E2436" s="68" t="n"/>
      <c r="F2436" s="69" t="n"/>
      <c r="G2436" s="70" t="n"/>
      <c r="H2436" s="62" t="str">
        <f>IF(COUNTA(A2436:G2436)=0,"",IF(C2436&lt;&gt;"",C2436,IF(B2436="","",IFERROR(INDEX(pr_des,MATCH(B2436,pr_code,0))&amp;"",""))))</f>
        <v/>
      </c>
      <c r="I2436" s="59" t="str">
        <f>IF(B2436="","",IFERROR(INDEX(pr_unit,MATCH(B2436,pr_code,0))&amp;"",""))</f>
        <v/>
      </c>
      <c r="J2436" s="65" t="str">
        <f>IF(COUNTA(A2436:G2436)=0,"",IF(E2436&lt;&gt;"",E2436,IF(B2436="","",IFERROR(IF(INDEX(pr_price,MATCH(B2436,pr_code,0))="","",INDEX(pr_price,MATCH(B2436,pr_code,0))),""))))</f>
        <v/>
      </c>
      <c r="K2436" s="71" t="str">
        <f>IF(COUNTA(A2436:G2436)=0,"",IF(G2436&lt;&gt;"",G2436,IF(B2436="","",IFERROR(IF(INDEX(pr_rate,MATCH(B2436,pr_code,0))="","",INDEX(pr_rate,MATCH(B2436,pr_code,0))),""))))</f>
        <v/>
      </c>
      <c r="L2436" s="65" t="str">
        <f>IF(COUNTA(A2436:G2436)=0,"",IF(AND(ISNUMBER(D2436),ISNUMBER(J2436)),ROUND(D2436*J2436*(1-N(F2436)),2),0))</f>
        <v/>
      </c>
      <c r="M2436" s="62" t="str">
        <f>IF(A2436="","",IFERROR(INDEX(dv_cname,MATCH(A2436,dv_num,0))&amp;"",""))</f>
        <v/>
      </c>
      <c r="N2436" s="59" t="str">
        <f>IF(COUNTA(A2436:G2436)=0,"",IF(A2436="","N° devis manquant",IF(ISNA(MATCH(A2436,dv_num,0)),"Devis inconnu",IF(AND(B2436&lt;&gt;"",ISNA(MATCH(B2436,pr_code,0))),"Article inconnu",IF(H2436="","Désignation manquante",IF(OR(NOT(ISNUMBER(D2436)),N(D2436)&lt;=0),"Quantité invalide",IF(J2436="","Prix manquant",IF(OR(NOT(ISNUMBER(J2436)),N(J2436)&lt;0),"Prix invalide",IF(OR(AND(F2436&lt;&gt;"",NOT(ISNUMBER(F2436))),N(F2436)&lt;0,N(F2436)&gt;1),"Remise invalide",IF(K2436="","Taux de TVA manquant",IF(NOT(ISNUMBER(K2436)),"Taux de TVA invalide",IF(COUNTIF(p_rates,K2436)=0,"Taux de TVA hors liste (Paramètres)",IF(N(O2436)&gt;25,"Au-delà de 25 lignes : non imprimée","OK")))))))))))))</f>
        <v/>
      </c>
      <c r="O2436" s="59" t="str">
        <f>IF(A2436="","",COUNTIF($A$6:A2436,A2436))</f>
        <v/>
      </c>
      <c r="P2436" s="62" t="str">
        <f>IF(A2436="","",A2436&amp;"|"&amp;O2436)</f>
        <v/>
      </c>
    </row>
    <row r="2437">
      <c r="A2437" s="60" t="n"/>
      <c r="B2437" s="63" t="n"/>
      <c r="C2437" s="63" t="n"/>
      <c r="D2437" s="67" t="n"/>
      <c r="E2437" s="68" t="n"/>
      <c r="F2437" s="69" t="n"/>
      <c r="G2437" s="70" t="n"/>
      <c r="H2437" s="62" t="str">
        <f>IF(COUNTA(A2437:G2437)=0,"",IF(C2437&lt;&gt;"",C2437,IF(B2437="","",IFERROR(INDEX(pr_des,MATCH(B2437,pr_code,0))&amp;"",""))))</f>
        <v/>
      </c>
      <c r="I2437" s="59" t="str">
        <f>IF(B2437="","",IFERROR(INDEX(pr_unit,MATCH(B2437,pr_code,0))&amp;"",""))</f>
        <v/>
      </c>
      <c r="J2437" s="65" t="str">
        <f>IF(COUNTA(A2437:G2437)=0,"",IF(E2437&lt;&gt;"",E2437,IF(B2437="","",IFERROR(IF(INDEX(pr_price,MATCH(B2437,pr_code,0))="","",INDEX(pr_price,MATCH(B2437,pr_code,0))),""))))</f>
        <v/>
      </c>
      <c r="K2437" s="71" t="str">
        <f>IF(COUNTA(A2437:G2437)=0,"",IF(G2437&lt;&gt;"",G2437,IF(B2437="","",IFERROR(IF(INDEX(pr_rate,MATCH(B2437,pr_code,0))="","",INDEX(pr_rate,MATCH(B2437,pr_code,0))),""))))</f>
        <v/>
      </c>
      <c r="L2437" s="65" t="str">
        <f>IF(COUNTA(A2437:G2437)=0,"",IF(AND(ISNUMBER(D2437),ISNUMBER(J2437)),ROUND(D2437*J2437*(1-N(F2437)),2),0))</f>
        <v/>
      </c>
      <c r="M2437" s="62" t="str">
        <f>IF(A2437="","",IFERROR(INDEX(dv_cname,MATCH(A2437,dv_num,0))&amp;"",""))</f>
        <v/>
      </c>
      <c r="N2437" s="59" t="str">
        <f>IF(COUNTA(A2437:G2437)=0,"",IF(A2437="","N° devis manquant",IF(ISNA(MATCH(A2437,dv_num,0)),"Devis inconnu",IF(AND(B2437&lt;&gt;"",ISNA(MATCH(B2437,pr_code,0))),"Article inconnu",IF(H2437="","Désignation manquante",IF(OR(NOT(ISNUMBER(D2437)),N(D2437)&lt;=0),"Quantité invalide",IF(J2437="","Prix manquant",IF(OR(NOT(ISNUMBER(J2437)),N(J2437)&lt;0),"Prix invalide",IF(OR(AND(F2437&lt;&gt;"",NOT(ISNUMBER(F2437))),N(F2437)&lt;0,N(F2437)&gt;1),"Remise invalide",IF(K2437="","Taux de TVA manquant",IF(NOT(ISNUMBER(K2437)),"Taux de TVA invalide",IF(COUNTIF(p_rates,K2437)=0,"Taux de TVA hors liste (Paramètres)",IF(N(O2437)&gt;25,"Au-delà de 25 lignes : non imprimée","OK")))))))))))))</f>
        <v/>
      </c>
      <c r="O2437" s="59" t="str">
        <f>IF(A2437="","",COUNTIF($A$6:A2437,A2437))</f>
        <v/>
      </c>
      <c r="P2437" s="62" t="str">
        <f>IF(A2437="","",A2437&amp;"|"&amp;O2437)</f>
        <v/>
      </c>
    </row>
    <row r="2438">
      <c r="A2438" s="60" t="n"/>
      <c r="B2438" s="63" t="n"/>
      <c r="C2438" s="63" t="n"/>
      <c r="D2438" s="67" t="n"/>
      <c r="E2438" s="68" t="n"/>
      <c r="F2438" s="69" t="n"/>
      <c r="G2438" s="70" t="n"/>
      <c r="H2438" s="62" t="str">
        <f>IF(COUNTA(A2438:G2438)=0,"",IF(C2438&lt;&gt;"",C2438,IF(B2438="","",IFERROR(INDEX(pr_des,MATCH(B2438,pr_code,0))&amp;"",""))))</f>
        <v/>
      </c>
      <c r="I2438" s="59" t="str">
        <f>IF(B2438="","",IFERROR(INDEX(pr_unit,MATCH(B2438,pr_code,0))&amp;"",""))</f>
        <v/>
      </c>
      <c r="J2438" s="65" t="str">
        <f>IF(COUNTA(A2438:G2438)=0,"",IF(E2438&lt;&gt;"",E2438,IF(B2438="","",IFERROR(IF(INDEX(pr_price,MATCH(B2438,pr_code,0))="","",INDEX(pr_price,MATCH(B2438,pr_code,0))),""))))</f>
        <v/>
      </c>
      <c r="K2438" s="71" t="str">
        <f>IF(COUNTA(A2438:G2438)=0,"",IF(G2438&lt;&gt;"",G2438,IF(B2438="","",IFERROR(IF(INDEX(pr_rate,MATCH(B2438,pr_code,0))="","",INDEX(pr_rate,MATCH(B2438,pr_code,0))),""))))</f>
        <v/>
      </c>
      <c r="L2438" s="65" t="str">
        <f>IF(COUNTA(A2438:G2438)=0,"",IF(AND(ISNUMBER(D2438),ISNUMBER(J2438)),ROUND(D2438*J2438*(1-N(F2438)),2),0))</f>
        <v/>
      </c>
      <c r="M2438" s="62" t="str">
        <f>IF(A2438="","",IFERROR(INDEX(dv_cname,MATCH(A2438,dv_num,0))&amp;"",""))</f>
        <v/>
      </c>
      <c r="N2438" s="59" t="str">
        <f>IF(COUNTA(A2438:G2438)=0,"",IF(A2438="","N° devis manquant",IF(ISNA(MATCH(A2438,dv_num,0)),"Devis inconnu",IF(AND(B2438&lt;&gt;"",ISNA(MATCH(B2438,pr_code,0))),"Article inconnu",IF(H2438="","Désignation manquante",IF(OR(NOT(ISNUMBER(D2438)),N(D2438)&lt;=0),"Quantité invalide",IF(J2438="","Prix manquant",IF(OR(NOT(ISNUMBER(J2438)),N(J2438)&lt;0),"Prix invalide",IF(OR(AND(F2438&lt;&gt;"",NOT(ISNUMBER(F2438))),N(F2438)&lt;0,N(F2438)&gt;1),"Remise invalide",IF(K2438="","Taux de TVA manquant",IF(NOT(ISNUMBER(K2438)),"Taux de TVA invalide",IF(COUNTIF(p_rates,K2438)=0,"Taux de TVA hors liste (Paramètres)",IF(N(O2438)&gt;25,"Au-delà de 25 lignes : non imprimée","OK")))))))))))))</f>
        <v/>
      </c>
      <c r="O2438" s="59" t="str">
        <f>IF(A2438="","",COUNTIF($A$6:A2438,A2438))</f>
        <v/>
      </c>
      <c r="P2438" s="62" t="str">
        <f>IF(A2438="","",A2438&amp;"|"&amp;O2438)</f>
        <v/>
      </c>
    </row>
    <row r="2439">
      <c r="A2439" s="60" t="n"/>
      <c r="B2439" s="63" t="n"/>
      <c r="C2439" s="63" t="n"/>
      <c r="D2439" s="67" t="n"/>
      <c r="E2439" s="68" t="n"/>
      <c r="F2439" s="69" t="n"/>
      <c r="G2439" s="70" t="n"/>
      <c r="H2439" s="62" t="str">
        <f>IF(COUNTA(A2439:G2439)=0,"",IF(C2439&lt;&gt;"",C2439,IF(B2439="","",IFERROR(INDEX(pr_des,MATCH(B2439,pr_code,0))&amp;"",""))))</f>
        <v/>
      </c>
      <c r="I2439" s="59" t="str">
        <f>IF(B2439="","",IFERROR(INDEX(pr_unit,MATCH(B2439,pr_code,0))&amp;"",""))</f>
        <v/>
      </c>
      <c r="J2439" s="65" t="str">
        <f>IF(COUNTA(A2439:G2439)=0,"",IF(E2439&lt;&gt;"",E2439,IF(B2439="","",IFERROR(IF(INDEX(pr_price,MATCH(B2439,pr_code,0))="","",INDEX(pr_price,MATCH(B2439,pr_code,0))),""))))</f>
        <v/>
      </c>
      <c r="K2439" s="71" t="str">
        <f>IF(COUNTA(A2439:G2439)=0,"",IF(G2439&lt;&gt;"",G2439,IF(B2439="","",IFERROR(IF(INDEX(pr_rate,MATCH(B2439,pr_code,0))="","",INDEX(pr_rate,MATCH(B2439,pr_code,0))),""))))</f>
        <v/>
      </c>
      <c r="L2439" s="65" t="str">
        <f>IF(COUNTA(A2439:G2439)=0,"",IF(AND(ISNUMBER(D2439),ISNUMBER(J2439)),ROUND(D2439*J2439*(1-N(F2439)),2),0))</f>
        <v/>
      </c>
      <c r="M2439" s="62" t="str">
        <f>IF(A2439="","",IFERROR(INDEX(dv_cname,MATCH(A2439,dv_num,0))&amp;"",""))</f>
        <v/>
      </c>
      <c r="N2439" s="59" t="str">
        <f>IF(COUNTA(A2439:G2439)=0,"",IF(A2439="","N° devis manquant",IF(ISNA(MATCH(A2439,dv_num,0)),"Devis inconnu",IF(AND(B2439&lt;&gt;"",ISNA(MATCH(B2439,pr_code,0))),"Article inconnu",IF(H2439="","Désignation manquante",IF(OR(NOT(ISNUMBER(D2439)),N(D2439)&lt;=0),"Quantité invalide",IF(J2439="","Prix manquant",IF(OR(NOT(ISNUMBER(J2439)),N(J2439)&lt;0),"Prix invalide",IF(OR(AND(F2439&lt;&gt;"",NOT(ISNUMBER(F2439))),N(F2439)&lt;0,N(F2439)&gt;1),"Remise invalide",IF(K2439="","Taux de TVA manquant",IF(NOT(ISNUMBER(K2439)),"Taux de TVA invalide",IF(COUNTIF(p_rates,K2439)=0,"Taux de TVA hors liste (Paramètres)",IF(N(O2439)&gt;25,"Au-delà de 25 lignes : non imprimée","OK")))))))))))))</f>
        <v/>
      </c>
      <c r="O2439" s="59" t="str">
        <f>IF(A2439="","",COUNTIF($A$6:A2439,A2439))</f>
        <v/>
      </c>
      <c r="P2439" s="62" t="str">
        <f>IF(A2439="","",A2439&amp;"|"&amp;O2439)</f>
        <v/>
      </c>
    </row>
    <row r="2440">
      <c r="A2440" s="60" t="n"/>
      <c r="B2440" s="63" t="n"/>
      <c r="C2440" s="63" t="n"/>
      <c r="D2440" s="67" t="n"/>
      <c r="E2440" s="68" t="n"/>
      <c r="F2440" s="69" t="n"/>
      <c r="G2440" s="70" t="n"/>
      <c r="H2440" s="62" t="str">
        <f>IF(COUNTA(A2440:G2440)=0,"",IF(C2440&lt;&gt;"",C2440,IF(B2440="","",IFERROR(INDEX(pr_des,MATCH(B2440,pr_code,0))&amp;"",""))))</f>
        <v/>
      </c>
      <c r="I2440" s="59" t="str">
        <f>IF(B2440="","",IFERROR(INDEX(pr_unit,MATCH(B2440,pr_code,0))&amp;"",""))</f>
        <v/>
      </c>
      <c r="J2440" s="65" t="str">
        <f>IF(COUNTA(A2440:G2440)=0,"",IF(E2440&lt;&gt;"",E2440,IF(B2440="","",IFERROR(IF(INDEX(pr_price,MATCH(B2440,pr_code,0))="","",INDEX(pr_price,MATCH(B2440,pr_code,0))),""))))</f>
        <v/>
      </c>
      <c r="K2440" s="71" t="str">
        <f>IF(COUNTA(A2440:G2440)=0,"",IF(G2440&lt;&gt;"",G2440,IF(B2440="","",IFERROR(IF(INDEX(pr_rate,MATCH(B2440,pr_code,0))="","",INDEX(pr_rate,MATCH(B2440,pr_code,0))),""))))</f>
        <v/>
      </c>
      <c r="L2440" s="65" t="str">
        <f>IF(COUNTA(A2440:G2440)=0,"",IF(AND(ISNUMBER(D2440),ISNUMBER(J2440)),ROUND(D2440*J2440*(1-N(F2440)),2),0))</f>
        <v/>
      </c>
      <c r="M2440" s="62" t="str">
        <f>IF(A2440="","",IFERROR(INDEX(dv_cname,MATCH(A2440,dv_num,0))&amp;"",""))</f>
        <v/>
      </c>
      <c r="N2440" s="59" t="str">
        <f>IF(COUNTA(A2440:G2440)=0,"",IF(A2440="","N° devis manquant",IF(ISNA(MATCH(A2440,dv_num,0)),"Devis inconnu",IF(AND(B2440&lt;&gt;"",ISNA(MATCH(B2440,pr_code,0))),"Article inconnu",IF(H2440="","Désignation manquante",IF(OR(NOT(ISNUMBER(D2440)),N(D2440)&lt;=0),"Quantité invalide",IF(J2440="","Prix manquant",IF(OR(NOT(ISNUMBER(J2440)),N(J2440)&lt;0),"Prix invalide",IF(OR(AND(F2440&lt;&gt;"",NOT(ISNUMBER(F2440))),N(F2440)&lt;0,N(F2440)&gt;1),"Remise invalide",IF(K2440="","Taux de TVA manquant",IF(NOT(ISNUMBER(K2440)),"Taux de TVA invalide",IF(COUNTIF(p_rates,K2440)=0,"Taux de TVA hors liste (Paramètres)",IF(N(O2440)&gt;25,"Au-delà de 25 lignes : non imprimée","OK")))))))))))))</f>
        <v/>
      </c>
      <c r="O2440" s="59" t="str">
        <f>IF(A2440="","",COUNTIF($A$6:A2440,A2440))</f>
        <v/>
      </c>
      <c r="P2440" s="62" t="str">
        <f>IF(A2440="","",A2440&amp;"|"&amp;O2440)</f>
        <v/>
      </c>
    </row>
    <row r="2441">
      <c r="A2441" s="60" t="n"/>
      <c r="B2441" s="63" t="n"/>
      <c r="C2441" s="63" t="n"/>
      <c r="D2441" s="67" t="n"/>
      <c r="E2441" s="68" t="n"/>
      <c r="F2441" s="69" t="n"/>
      <c r="G2441" s="70" t="n"/>
      <c r="H2441" s="62" t="str">
        <f>IF(COUNTA(A2441:G2441)=0,"",IF(C2441&lt;&gt;"",C2441,IF(B2441="","",IFERROR(INDEX(pr_des,MATCH(B2441,pr_code,0))&amp;"",""))))</f>
        <v/>
      </c>
      <c r="I2441" s="59" t="str">
        <f>IF(B2441="","",IFERROR(INDEX(pr_unit,MATCH(B2441,pr_code,0))&amp;"",""))</f>
        <v/>
      </c>
      <c r="J2441" s="65" t="str">
        <f>IF(COUNTA(A2441:G2441)=0,"",IF(E2441&lt;&gt;"",E2441,IF(B2441="","",IFERROR(IF(INDEX(pr_price,MATCH(B2441,pr_code,0))="","",INDEX(pr_price,MATCH(B2441,pr_code,0))),""))))</f>
        <v/>
      </c>
      <c r="K2441" s="71" t="str">
        <f>IF(COUNTA(A2441:G2441)=0,"",IF(G2441&lt;&gt;"",G2441,IF(B2441="","",IFERROR(IF(INDEX(pr_rate,MATCH(B2441,pr_code,0))="","",INDEX(pr_rate,MATCH(B2441,pr_code,0))),""))))</f>
        <v/>
      </c>
      <c r="L2441" s="65" t="str">
        <f>IF(COUNTA(A2441:G2441)=0,"",IF(AND(ISNUMBER(D2441),ISNUMBER(J2441)),ROUND(D2441*J2441*(1-N(F2441)),2),0))</f>
        <v/>
      </c>
      <c r="M2441" s="62" t="str">
        <f>IF(A2441="","",IFERROR(INDEX(dv_cname,MATCH(A2441,dv_num,0))&amp;"",""))</f>
        <v/>
      </c>
      <c r="N2441" s="59" t="str">
        <f>IF(COUNTA(A2441:G2441)=0,"",IF(A2441="","N° devis manquant",IF(ISNA(MATCH(A2441,dv_num,0)),"Devis inconnu",IF(AND(B2441&lt;&gt;"",ISNA(MATCH(B2441,pr_code,0))),"Article inconnu",IF(H2441="","Désignation manquante",IF(OR(NOT(ISNUMBER(D2441)),N(D2441)&lt;=0),"Quantité invalide",IF(J2441="","Prix manquant",IF(OR(NOT(ISNUMBER(J2441)),N(J2441)&lt;0),"Prix invalide",IF(OR(AND(F2441&lt;&gt;"",NOT(ISNUMBER(F2441))),N(F2441)&lt;0,N(F2441)&gt;1),"Remise invalide",IF(K2441="","Taux de TVA manquant",IF(NOT(ISNUMBER(K2441)),"Taux de TVA invalide",IF(COUNTIF(p_rates,K2441)=0,"Taux de TVA hors liste (Paramètres)",IF(N(O2441)&gt;25,"Au-delà de 25 lignes : non imprimée","OK")))))))))))))</f>
        <v/>
      </c>
      <c r="O2441" s="59" t="str">
        <f>IF(A2441="","",COUNTIF($A$6:A2441,A2441))</f>
        <v/>
      </c>
      <c r="P2441" s="62" t="str">
        <f>IF(A2441="","",A2441&amp;"|"&amp;O2441)</f>
        <v/>
      </c>
    </row>
    <row r="2442">
      <c r="A2442" s="60" t="n"/>
      <c r="B2442" s="63" t="n"/>
      <c r="C2442" s="63" t="n"/>
      <c r="D2442" s="67" t="n"/>
      <c r="E2442" s="68" t="n"/>
      <c r="F2442" s="69" t="n"/>
      <c r="G2442" s="70" t="n"/>
      <c r="H2442" s="62" t="str">
        <f>IF(COUNTA(A2442:G2442)=0,"",IF(C2442&lt;&gt;"",C2442,IF(B2442="","",IFERROR(INDEX(pr_des,MATCH(B2442,pr_code,0))&amp;"",""))))</f>
        <v/>
      </c>
      <c r="I2442" s="59" t="str">
        <f>IF(B2442="","",IFERROR(INDEX(pr_unit,MATCH(B2442,pr_code,0))&amp;"",""))</f>
        <v/>
      </c>
      <c r="J2442" s="65" t="str">
        <f>IF(COUNTA(A2442:G2442)=0,"",IF(E2442&lt;&gt;"",E2442,IF(B2442="","",IFERROR(IF(INDEX(pr_price,MATCH(B2442,pr_code,0))="","",INDEX(pr_price,MATCH(B2442,pr_code,0))),""))))</f>
        <v/>
      </c>
      <c r="K2442" s="71" t="str">
        <f>IF(COUNTA(A2442:G2442)=0,"",IF(G2442&lt;&gt;"",G2442,IF(B2442="","",IFERROR(IF(INDEX(pr_rate,MATCH(B2442,pr_code,0))="","",INDEX(pr_rate,MATCH(B2442,pr_code,0))),""))))</f>
        <v/>
      </c>
      <c r="L2442" s="65" t="str">
        <f>IF(COUNTA(A2442:G2442)=0,"",IF(AND(ISNUMBER(D2442),ISNUMBER(J2442)),ROUND(D2442*J2442*(1-N(F2442)),2),0))</f>
        <v/>
      </c>
      <c r="M2442" s="62" t="str">
        <f>IF(A2442="","",IFERROR(INDEX(dv_cname,MATCH(A2442,dv_num,0))&amp;"",""))</f>
        <v/>
      </c>
      <c r="N2442" s="59" t="str">
        <f>IF(COUNTA(A2442:G2442)=0,"",IF(A2442="","N° devis manquant",IF(ISNA(MATCH(A2442,dv_num,0)),"Devis inconnu",IF(AND(B2442&lt;&gt;"",ISNA(MATCH(B2442,pr_code,0))),"Article inconnu",IF(H2442="","Désignation manquante",IF(OR(NOT(ISNUMBER(D2442)),N(D2442)&lt;=0),"Quantité invalide",IF(J2442="","Prix manquant",IF(OR(NOT(ISNUMBER(J2442)),N(J2442)&lt;0),"Prix invalide",IF(OR(AND(F2442&lt;&gt;"",NOT(ISNUMBER(F2442))),N(F2442)&lt;0,N(F2442)&gt;1),"Remise invalide",IF(K2442="","Taux de TVA manquant",IF(NOT(ISNUMBER(K2442)),"Taux de TVA invalide",IF(COUNTIF(p_rates,K2442)=0,"Taux de TVA hors liste (Paramètres)",IF(N(O2442)&gt;25,"Au-delà de 25 lignes : non imprimée","OK")))))))))))))</f>
        <v/>
      </c>
      <c r="O2442" s="59" t="str">
        <f>IF(A2442="","",COUNTIF($A$6:A2442,A2442))</f>
        <v/>
      </c>
      <c r="P2442" s="62" t="str">
        <f>IF(A2442="","",A2442&amp;"|"&amp;O2442)</f>
        <v/>
      </c>
    </row>
    <row r="2443">
      <c r="A2443" s="60" t="n"/>
      <c r="B2443" s="63" t="n"/>
      <c r="C2443" s="63" t="n"/>
      <c r="D2443" s="67" t="n"/>
      <c r="E2443" s="68" t="n"/>
      <c r="F2443" s="69" t="n"/>
      <c r="G2443" s="70" t="n"/>
      <c r="H2443" s="62" t="str">
        <f>IF(COUNTA(A2443:G2443)=0,"",IF(C2443&lt;&gt;"",C2443,IF(B2443="","",IFERROR(INDEX(pr_des,MATCH(B2443,pr_code,0))&amp;"",""))))</f>
        <v/>
      </c>
      <c r="I2443" s="59" t="str">
        <f>IF(B2443="","",IFERROR(INDEX(pr_unit,MATCH(B2443,pr_code,0))&amp;"",""))</f>
        <v/>
      </c>
      <c r="J2443" s="65" t="str">
        <f>IF(COUNTA(A2443:G2443)=0,"",IF(E2443&lt;&gt;"",E2443,IF(B2443="","",IFERROR(IF(INDEX(pr_price,MATCH(B2443,pr_code,0))="","",INDEX(pr_price,MATCH(B2443,pr_code,0))),""))))</f>
        <v/>
      </c>
      <c r="K2443" s="71" t="str">
        <f>IF(COUNTA(A2443:G2443)=0,"",IF(G2443&lt;&gt;"",G2443,IF(B2443="","",IFERROR(IF(INDEX(pr_rate,MATCH(B2443,pr_code,0))="","",INDEX(pr_rate,MATCH(B2443,pr_code,0))),""))))</f>
        <v/>
      </c>
      <c r="L2443" s="65" t="str">
        <f>IF(COUNTA(A2443:G2443)=0,"",IF(AND(ISNUMBER(D2443),ISNUMBER(J2443)),ROUND(D2443*J2443*(1-N(F2443)),2),0))</f>
        <v/>
      </c>
      <c r="M2443" s="62" t="str">
        <f>IF(A2443="","",IFERROR(INDEX(dv_cname,MATCH(A2443,dv_num,0))&amp;"",""))</f>
        <v/>
      </c>
      <c r="N2443" s="59" t="str">
        <f>IF(COUNTA(A2443:G2443)=0,"",IF(A2443="","N° devis manquant",IF(ISNA(MATCH(A2443,dv_num,0)),"Devis inconnu",IF(AND(B2443&lt;&gt;"",ISNA(MATCH(B2443,pr_code,0))),"Article inconnu",IF(H2443="","Désignation manquante",IF(OR(NOT(ISNUMBER(D2443)),N(D2443)&lt;=0),"Quantité invalide",IF(J2443="","Prix manquant",IF(OR(NOT(ISNUMBER(J2443)),N(J2443)&lt;0),"Prix invalide",IF(OR(AND(F2443&lt;&gt;"",NOT(ISNUMBER(F2443))),N(F2443)&lt;0,N(F2443)&gt;1),"Remise invalide",IF(K2443="","Taux de TVA manquant",IF(NOT(ISNUMBER(K2443)),"Taux de TVA invalide",IF(COUNTIF(p_rates,K2443)=0,"Taux de TVA hors liste (Paramètres)",IF(N(O2443)&gt;25,"Au-delà de 25 lignes : non imprimée","OK")))))))))))))</f>
        <v/>
      </c>
      <c r="O2443" s="59" t="str">
        <f>IF(A2443="","",COUNTIF($A$6:A2443,A2443))</f>
        <v/>
      </c>
      <c r="P2443" s="62" t="str">
        <f>IF(A2443="","",A2443&amp;"|"&amp;O2443)</f>
        <v/>
      </c>
    </row>
    <row r="2444">
      <c r="A2444" s="60" t="n"/>
      <c r="B2444" s="63" t="n"/>
      <c r="C2444" s="63" t="n"/>
      <c r="D2444" s="67" t="n"/>
      <c r="E2444" s="68" t="n"/>
      <c r="F2444" s="69" t="n"/>
      <c r="G2444" s="70" t="n"/>
      <c r="H2444" s="62" t="str">
        <f>IF(COUNTA(A2444:G2444)=0,"",IF(C2444&lt;&gt;"",C2444,IF(B2444="","",IFERROR(INDEX(pr_des,MATCH(B2444,pr_code,0))&amp;"",""))))</f>
        <v/>
      </c>
      <c r="I2444" s="59" t="str">
        <f>IF(B2444="","",IFERROR(INDEX(pr_unit,MATCH(B2444,pr_code,0))&amp;"",""))</f>
        <v/>
      </c>
      <c r="J2444" s="65" t="str">
        <f>IF(COUNTA(A2444:G2444)=0,"",IF(E2444&lt;&gt;"",E2444,IF(B2444="","",IFERROR(IF(INDEX(pr_price,MATCH(B2444,pr_code,0))="","",INDEX(pr_price,MATCH(B2444,pr_code,0))),""))))</f>
        <v/>
      </c>
      <c r="K2444" s="71" t="str">
        <f>IF(COUNTA(A2444:G2444)=0,"",IF(G2444&lt;&gt;"",G2444,IF(B2444="","",IFERROR(IF(INDEX(pr_rate,MATCH(B2444,pr_code,0))="","",INDEX(pr_rate,MATCH(B2444,pr_code,0))),""))))</f>
        <v/>
      </c>
      <c r="L2444" s="65" t="str">
        <f>IF(COUNTA(A2444:G2444)=0,"",IF(AND(ISNUMBER(D2444),ISNUMBER(J2444)),ROUND(D2444*J2444*(1-N(F2444)),2),0))</f>
        <v/>
      </c>
      <c r="M2444" s="62" t="str">
        <f>IF(A2444="","",IFERROR(INDEX(dv_cname,MATCH(A2444,dv_num,0))&amp;"",""))</f>
        <v/>
      </c>
      <c r="N2444" s="59" t="str">
        <f>IF(COUNTA(A2444:G2444)=0,"",IF(A2444="","N° devis manquant",IF(ISNA(MATCH(A2444,dv_num,0)),"Devis inconnu",IF(AND(B2444&lt;&gt;"",ISNA(MATCH(B2444,pr_code,0))),"Article inconnu",IF(H2444="","Désignation manquante",IF(OR(NOT(ISNUMBER(D2444)),N(D2444)&lt;=0),"Quantité invalide",IF(J2444="","Prix manquant",IF(OR(NOT(ISNUMBER(J2444)),N(J2444)&lt;0),"Prix invalide",IF(OR(AND(F2444&lt;&gt;"",NOT(ISNUMBER(F2444))),N(F2444)&lt;0,N(F2444)&gt;1),"Remise invalide",IF(K2444="","Taux de TVA manquant",IF(NOT(ISNUMBER(K2444)),"Taux de TVA invalide",IF(COUNTIF(p_rates,K2444)=0,"Taux de TVA hors liste (Paramètres)",IF(N(O2444)&gt;25,"Au-delà de 25 lignes : non imprimée","OK")))))))))))))</f>
        <v/>
      </c>
      <c r="O2444" s="59" t="str">
        <f>IF(A2444="","",COUNTIF($A$6:A2444,A2444))</f>
        <v/>
      </c>
      <c r="P2444" s="62" t="str">
        <f>IF(A2444="","",A2444&amp;"|"&amp;O2444)</f>
        <v/>
      </c>
    </row>
    <row r="2445">
      <c r="A2445" s="60" t="n"/>
      <c r="B2445" s="63" t="n"/>
      <c r="C2445" s="63" t="n"/>
      <c r="D2445" s="67" t="n"/>
      <c r="E2445" s="68" t="n"/>
      <c r="F2445" s="69" t="n"/>
      <c r="G2445" s="70" t="n"/>
      <c r="H2445" s="62" t="str">
        <f>IF(COUNTA(A2445:G2445)=0,"",IF(C2445&lt;&gt;"",C2445,IF(B2445="","",IFERROR(INDEX(pr_des,MATCH(B2445,pr_code,0))&amp;"",""))))</f>
        <v/>
      </c>
      <c r="I2445" s="59" t="str">
        <f>IF(B2445="","",IFERROR(INDEX(pr_unit,MATCH(B2445,pr_code,0))&amp;"",""))</f>
        <v/>
      </c>
      <c r="J2445" s="65" t="str">
        <f>IF(COUNTA(A2445:G2445)=0,"",IF(E2445&lt;&gt;"",E2445,IF(B2445="","",IFERROR(IF(INDEX(pr_price,MATCH(B2445,pr_code,0))="","",INDEX(pr_price,MATCH(B2445,pr_code,0))),""))))</f>
        <v/>
      </c>
      <c r="K2445" s="71" t="str">
        <f>IF(COUNTA(A2445:G2445)=0,"",IF(G2445&lt;&gt;"",G2445,IF(B2445="","",IFERROR(IF(INDEX(pr_rate,MATCH(B2445,pr_code,0))="","",INDEX(pr_rate,MATCH(B2445,pr_code,0))),""))))</f>
        <v/>
      </c>
      <c r="L2445" s="65" t="str">
        <f>IF(COUNTA(A2445:G2445)=0,"",IF(AND(ISNUMBER(D2445),ISNUMBER(J2445)),ROUND(D2445*J2445*(1-N(F2445)),2),0))</f>
        <v/>
      </c>
      <c r="M2445" s="62" t="str">
        <f>IF(A2445="","",IFERROR(INDEX(dv_cname,MATCH(A2445,dv_num,0))&amp;"",""))</f>
        <v/>
      </c>
      <c r="N2445" s="59" t="str">
        <f>IF(COUNTA(A2445:G2445)=0,"",IF(A2445="","N° devis manquant",IF(ISNA(MATCH(A2445,dv_num,0)),"Devis inconnu",IF(AND(B2445&lt;&gt;"",ISNA(MATCH(B2445,pr_code,0))),"Article inconnu",IF(H2445="","Désignation manquante",IF(OR(NOT(ISNUMBER(D2445)),N(D2445)&lt;=0),"Quantité invalide",IF(J2445="","Prix manquant",IF(OR(NOT(ISNUMBER(J2445)),N(J2445)&lt;0),"Prix invalide",IF(OR(AND(F2445&lt;&gt;"",NOT(ISNUMBER(F2445))),N(F2445)&lt;0,N(F2445)&gt;1),"Remise invalide",IF(K2445="","Taux de TVA manquant",IF(NOT(ISNUMBER(K2445)),"Taux de TVA invalide",IF(COUNTIF(p_rates,K2445)=0,"Taux de TVA hors liste (Paramètres)",IF(N(O2445)&gt;25,"Au-delà de 25 lignes : non imprimée","OK")))))))))))))</f>
        <v/>
      </c>
      <c r="O2445" s="59" t="str">
        <f>IF(A2445="","",COUNTIF($A$6:A2445,A2445))</f>
        <v/>
      </c>
      <c r="P2445" s="62" t="str">
        <f>IF(A2445="","",A2445&amp;"|"&amp;O2445)</f>
        <v/>
      </c>
    </row>
    <row r="2446">
      <c r="A2446" s="60" t="n"/>
      <c r="B2446" s="63" t="n"/>
      <c r="C2446" s="63" t="n"/>
      <c r="D2446" s="67" t="n"/>
      <c r="E2446" s="68" t="n"/>
      <c r="F2446" s="69" t="n"/>
      <c r="G2446" s="70" t="n"/>
      <c r="H2446" s="62" t="str">
        <f>IF(COUNTA(A2446:G2446)=0,"",IF(C2446&lt;&gt;"",C2446,IF(B2446="","",IFERROR(INDEX(pr_des,MATCH(B2446,pr_code,0))&amp;"",""))))</f>
        <v/>
      </c>
      <c r="I2446" s="59" t="str">
        <f>IF(B2446="","",IFERROR(INDEX(pr_unit,MATCH(B2446,pr_code,0))&amp;"",""))</f>
        <v/>
      </c>
      <c r="J2446" s="65" t="str">
        <f>IF(COUNTA(A2446:G2446)=0,"",IF(E2446&lt;&gt;"",E2446,IF(B2446="","",IFERROR(IF(INDEX(pr_price,MATCH(B2446,pr_code,0))="","",INDEX(pr_price,MATCH(B2446,pr_code,0))),""))))</f>
        <v/>
      </c>
      <c r="K2446" s="71" t="str">
        <f>IF(COUNTA(A2446:G2446)=0,"",IF(G2446&lt;&gt;"",G2446,IF(B2446="","",IFERROR(IF(INDEX(pr_rate,MATCH(B2446,pr_code,0))="","",INDEX(pr_rate,MATCH(B2446,pr_code,0))),""))))</f>
        <v/>
      </c>
      <c r="L2446" s="65" t="str">
        <f>IF(COUNTA(A2446:G2446)=0,"",IF(AND(ISNUMBER(D2446),ISNUMBER(J2446)),ROUND(D2446*J2446*(1-N(F2446)),2),0))</f>
        <v/>
      </c>
      <c r="M2446" s="62" t="str">
        <f>IF(A2446="","",IFERROR(INDEX(dv_cname,MATCH(A2446,dv_num,0))&amp;"",""))</f>
        <v/>
      </c>
      <c r="N2446" s="59" t="str">
        <f>IF(COUNTA(A2446:G2446)=0,"",IF(A2446="","N° devis manquant",IF(ISNA(MATCH(A2446,dv_num,0)),"Devis inconnu",IF(AND(B2446&lt;&gt;"",ISNA(MATCH(B2446,pr_code,0))),"Article inconnu",IF(H2446="","Désignation manquante",IF(OR(NOT(ISNUMBER(D2446)),N(D2446)&lt;=0),"Quantité invalide",IF(J2446="","Prix manquant",IF(OR(NOT(ISNUMBER(J2446)),N(J2446)&lt;0),"Prix invalide",IF(OR(AND(F2446&lt;&gt;"",NOT(ISNUMBER(F2446))),N(F2446)&lt;0,N(F2446)&gt;1),"Remise invalide",IF(K2446="","Taux de TVA manquant",IF(NOT(ISNUMBER(K2446)),"Taux de TVA invalide",IF(COUNTIF(p_rates,K2446)=0,"Taux de TVA hors liste (Paramètres)",IF(N(O2446)&gt;25,"Au-delà de 25 lignes : non imprimée","OK")))))))))))))</f>
        <v/>
      </c>
      <c r="O2446" s="59" t="str">
        <f>IF(A2446="","",COUNTIF($A$6:A2446,A2446))</f>
        <v/>
      </c>
      <c r="P2446" s="62" t="str">
        <f>IF(A2446="","",A2446&amp;"|"&amp;O2446)</f>
        <v/>
      </c>
    </row>
    <row r="2447">
      <c r="A2447" s="60" t="n"/>
      <c r="B2447" s="63" t="n"/>
      <c r="C2447" s="63" t="n"/>
      <c r="D2447" s="67" t="n"/>
      <c r="E2447" s="68" t="n"/>
      <c r="F2447" s="69" t="n"/>
      <c r="G2447" s="70" t="n"/>
      <c r="H2447" s="62" t="str">
        <f>IF(COUNTA(A2447:G2447)=0,"",IF(C2447&lt;&gt;"",C2447,IF(B2447="","",IFERROR(INDEX(pr_des,MATCH(B2447,pr_code,0))&amp;"",""))))</f>
        <v/>
      </c>
      <c r="I2447" s="59" t="str">
        <f>IF(B2447="","",IFERROR(INDEX(pr_unit,MATCH(B2447,pr_code,0))&amp;"",""))</f>
        <v/>
      </c>
      <c r="J2447" s="65" t="str">
        <f>IF(COUNTA(A2447:G2447)=0,"",IF(E2447&lt;&gt;"",E2447,IF(B2447="","",IFERROR(IF(INDEX(pr_price,MATCH(B2447,pr_code,0))="","",INDEX(pr_price,MATCH(B2447,pr_code,0))),""))))</f>
        <v/>
      </c>
      <c r="K2447" s="71" t="str">
        <f>IF(COUNTA(A2447:G2447)=0,"",IF(G2447&lt;&gt;"",G2447,IF(B2447="","",IFERROR(IF(INDEX(pr_rate,MATCH(B2447,pr_code,0))="","",INDEX(pr_rate,MATCH(B2447,pr_code,0))),""))))</f>
        <v/>
      </c>
      <c r="L2447" s="65" t="str">
        <f>IF(COUNTA(A2447:G2447)=0,"",IF(AND(ISNUMBER(D2447),ISNUMBER(J2447)),ROUND(D2447*J2447*(1-N(F2447)),2),0))</f>
        <v/>
      </c>
      <c r="M2447" s="62" t="str">
        <f>IF(A2447="","",IFERROR(INDEX(dv_cname,MATCH(A2447,dv_num,0))&amp;"",""))</f>
        <v/>
      </c>
      <c r="N2447" s="59" t="str">
        <f>IF(COUNTA(A2447:G2447)=0,"",IF(A2447="","N° devis manquant",IF(ISNA(MATCH(A2447,dv_num,0)),"Devis inconnu",IF(AND(B2447&lt;&gt;"",ISNA(MATCH(B2447,pr_code,0))),"Article inconnu",IF(H2447="","Désignation manquante",IF(OR(NOT(ISNUMBER(D2447)),N(D2447)&lt;=0),"Quantité invalide",IF(J2447="","Prix manquant",IF(OR(NOT(ISNUMBER(J2447)),N(J2447)&lt;0),"Prix invalide",IF(OR(AND(F2447&lt;&gt;"",NOT(ISNUMBER(F2447))),N(F2447)&lt;0,N(F2447)&gt;1),"Remise invalide",IF(K2447="","Taux de TVA manquant",IF(NOT(ISNUMBER(K2447)),"Taux de TVA invalide",IF(COUNTIF(p_rates,K2447)=0,"Taux de TVA hors liste (Paramètres)",IF(N(O2447)&gt;25,"Au-delà de 25 lignes : non imprimée","OK")))))))))))))</f>
        <v/>
      </c>
      <c r="O2447" s="59" t="str">
        <f>IF(A2447="","",COUNTIF($A$6:A2447,A2447))</f>
        <v/>
      </c>
      <c r="P2447" s="62" t="str">
        <f>IF(A2447="","",A2447&amp;"|"&amp;O2447)</f>
        <v/>
      </c>
    </row>
    <row r="2448">
      <c r="A2448" s="60" t="n"/>
      <c r="B2448" s="63" t="n"/>
      <c r="C2448" s="63" t="n"/>
      <c r="D2448" s="67" t="n"/>
      <c r="E2448" s="68" t="n"/>
      <c r="F2448" s="69" t="n"/>
      <c r="G2448" s="70" t="n"/>
      <c r="H2448" s="62" t="str">
        <f>IF(COUNTA(A2448:G2448)=0,"",IF(C2448&lt;&gt;"",C2448,IF(B2448="","",IFERROR(INDEX(pr_des,MATCH(B2448,pr_code,0))&amp;"",""))))</f>
        <v/>
      </c>
      <c r="I2448" s="59" t="str">
        <f>IF(B2448="","",IFERROR(INDEX(pr_unit,MATCH(B2448,pr_code,0))&amp;"",""))</f>
        <v/>
      </c>
      <c r="J2448" s="65" t="str">
        <f>IF(COUNTA(A2448:G2448)=0,"",IF(E2448&lt;&gt;"",E2448,IF(B2448="","",IFERROR(IF(INDEX(pr_price,MATCH(B2448,pr_code,0))="","",INDEX(pr_price,MATCH(B2448,pr_code,0))),""))))</f>
        <v/>
      </c>
      <c r="K2448" s="71" t="str">
        <f>IF(COUNTA(A2448:G2448)=0,"",IF(G2448&lt;&gt;"",G2448,IF(B2448="","",IFERROR(IF(INDEX(pr_rate,MATCH(B2448,pr_code,0))="","",INDEX(pr_rate,MATCH(B2448,pr_code,0))),""))))</f>
        <v/>
      </c>
      <c r="L2448" s="65" t="str">
        <f>IF(COUNTA(A2448:G2448)=0,"",IF(AND(ISNUMBER(D2448),ISNUMBER(J2448)),ROUND(D2448*J2448*(1-N(F2448)),2),0))</f>
        <v/>
      </c>
      <c r="M2448" s="62" t="str">
        <f>IF(A2448="","",IFERROR(INDEX(dv_cname,MATCH(A2448,dv_num,0))&amp;"",""))</f>
        <v/>
      </c>
      <c r="N2448" s="59" t="str">
        <f>IF(COUNTA(A2448:G2448)=0,"",IF(A2448="","N° devis manquant",IF(ISNA(MATCH(A2448,dv_num,0)),"Devis inconnu",IF(AND(B2448&lt;&gt;"",ISNA(MATCH(B2448,pr_code,0))),"Article inconnu",IF(H2448="","Désignation manquante",IF(OR(NOT(ISNUMBER(D2448)),N(D2448)&lt;=0),"Quantité invalide",IF(J2448="","Prix manquant",IF(OR(NOT(ISNUMBER(J2448)),N(J2448)&lt;0),"Prix invalide",IF(OR(AND(F2448&lt;&gt;"",NOT(ISNUMBER(F2448))),N(F2448)&lt;0,N(F2448)&gt;1),"Remise invalide",IF(K2448="","Taux de TVA manquant",IF(NOT(ISNUMBER(K2448)),"Taux de TVA invalide",IF(COUNTIF(p_rates,K2448)=0,"Taux de TVA hors liste (Paramètres)",IF(N(O2448)&gt;25,"Au-delà de 25 lignes : non imprimée","OK")))))))))))))</f>
        <v/>
      </c>
      <c r="O2448" s="59" t="str">
        <f>IF(A2448="","",COUNTIF($A$6:A2448,A2448))</f>
        <v/>
      </c>
      <c r="P2448" s="62" t="str">
        <f>IF(A2448="","",A2448&amp;"|"&amp;O2448)</f>
        <v/>
      </c>
    </row>
    <row r="2449">
      <c r="A2449" s="60" t="n"/>
      <c r="B2449" s="63" t="n"/>
      <c r="C2449" s="63" t="n"/>
      <c r="D2449" s="67" t="n"/>
      <c r="E2449" s="68" t="n"/>
      <c r="F2449" s="69" t="n"/>
      <c r="G2449" s="70" t="n"/>
      <c r="H2449" s="62" t="str">
        <f>IF(COUNTA(A2449:G2449)=0,"",IF(C2449&lt;&gt;"",C2449,IF(B2449="","",IFERROR(INDEX(pr_des,MATCH(B2449,pr_code,0))&amp;"",""))))</f>
        <v/>
      </c>
      <c r="I2449" s="59" t="str">
        <f>IF(B2449="","",IFERROR(INDEX(pr_unit,MATCH(B2449,pr_code,0))&amp;"",""))</f>
        <v/>
      </c>
      <c r="J2449" s="65" t="str">
        <f>IF(COUNTA(A2449:G2449)=0,"",IF(E2449&lt;&gt;"",E2449,IF(B2449="","",IFERROR(IF(INDEX(pr_price,MATCH(B2449,pr_code,0))="","",INDEX(pr_price,MATCH(B2449,pr_code,0))),""))))</f>
        <v/>
      </c>
      <c r="K2449" s="71" t="str">
        <f>IF(COUNTA(A2449:G2449)=0,"",IF(G2449&lt;&gt;"",G2449,IF(B2449="","",IFERROR(IF(INDEX(pr_rate,MATCH(B2449,pr_code,0))="","",INDEX(pr_rate,MATCH(B2449,pr_code,0))),""))))</f>
        <v/>
      </c>
      <c r="L2449" s="65" t="str">
        <f>IF(COUNTA(A2449:G2449)=0,"",IF(AND(ISNUMBER(D2449),ISNUMBER(J2449)),ROUND(D2449*J2449*(1-N(F2449)),2),0))</f>
        <v/>
      </c>
      <c r="M2449" s="62" t="str">
        <f>IF(A2449="","",IFERROR(INDEX(dv_cname,MATCH(A2449,dv_num,0))&amp;"",""))</f>
        <v/>
      </c>
      <c r="N2449" s="59" t="str">
        <f>IF(COUNTA(A2449:G2449)=0,"",IF(A2449="","N° devis manquant",IF(ISNA(MATCH(A2449,dv_num,0)),"Devis inconnu",IF(AND(B2449&lt;&gt;"",ISNA(MATCH(B2449,pr_code,0))),"Article inconnu",IF(H2449="","Désignation manquante",IF(OR(NOT(ISNUMBER(D2449)),N(D2449)&lt;=0),"Quantité invalide",IF(J2449="","Prix manquant",IF(OR(NOT(ISNUMBER(J2449)),N(J2449)&lt;0),"Prix invalide",IF(OR(AND(F2449&lt;&gt;"",NOT(ISNUMBER(F2449))),N(F2449)&lt;0,N(F2449)&gt;1),"Remise invalide",IF(K2449="","Taux de TVA manquant",IF(NOT(ISNUMBER(K2449)),"Taux de TVA invalide",IF(COUNTIF(p_rates,K2449)=0,"Taux de TVA hors liste (Paramètres)",IF(N(O2449)&gt;25,"Au-delà de 25 lignes : non imprimée","OK")))))))))))))</f>
        <v/>
      </c>
      <c r="O2449" s="59" t="str">
        <f>IF(A2449="","",COUNTIF($A$6:A2449,A2449))</f>
        <v/>
      </c>
      <c r="P2449" s="62" t="str">
        <f>IF(A2449="","",A2449&amp;"|"&amp;O2449)</f>
        <v/>
      </c>
    </row>
    <row r="2450">
      <c r="A2450" s="60" t="n"/>
      <c r="B2450" s="63" t="n"/>
      <c r="C2450" s="63" t="n"/>
      <c r="D2450" s="67" t="n"/>
      <c r="E2450" s="68" t="n"/>
      <c r="F2450" s="69" t="n"/>
      <c r="G2450" s="70" t="n"/>
      <c r="H2450" s="62" t="str">
        <f>IF(COUNTA(A2450:G2450)=0,"",IF(C2450&lt;&gt;"",C2450,IF(B2450="","",IFERROR(INDEX(pr_des,MATCH(B2450,pr_code,0))&amp;"",""))))</f>
        <v/>
      </c>
      <c r="I2450" s="59" t="str">
        <f>IF(B2450="","",IFERROR(INDEX(pr_unit,MATCH(B2450,pr_code,0))&amp;"",""))</f>
        <v/>
      </c>
      <c r="J2450" s="65" t="str">
        <f>IF(COUNTA(A2450:G2450)=0,"",IF(E2450&lt;&gt;"",E2450,IF(B2450="","",IFERROR(IF(INDEX(pr_price,MATCH(B2450,pr_code,0))="","",INDEX(pr_price,MATCH(B2450,pr_code,0))),""))))</f>
        <v/>
      </c>
      <c r="K2450" s="71" t="str">
        <f>IF(COUNTA(A2450:G2450)=0,"",IF(G2450&lt;&gt;"",G2450,IF(B2450="","",IFERROR(IF(INDEX(pr_rate,MATCH(B2450,pr_code,0))="","",INDEX(pr_rate,MATCH(B2450,pr_code,0))),""))))</f>
        <v/>
      </c>
      <c r="L2450" s="65" t="str">
        <f>IF(COUNTA(A2450:G2450)=0,"",IF(AND(ISNUMBER(D2450),ISNUMBER(J2450)),ROUND(D2450*J2450*(1-N(F2450)),2),0))</f>
        <v/>
      </c>
      <c r="M2450" s="62" t="str">
        <f>IF(A2450="","",IFERROR(INDEX(dv_cname,MATCH(A2450,dv_num,0))&amp;"",""))</f>
        <v/>
      </c>
      <c r="N2450" s="59" t="str">
        <f>IF(COUNTA(A2450:G2450)=0,"",IF(A2450="","N° devis manquant",IF(ISNA(MATCH(A2450,dv_num,0)),"Devis inconnu",IF(AND(B2450&lt;&gt;"",ISNA(MATCH(B2450,pr_code,0))),"Article inconnu",IF(H2450="","Désignation manquante",IF(OR(NOT(ISNUMBER(D2450)),N(D2450)&lt;=0),"Quantité invalide",IF(J2450="","Prix manquant",IF(OR(NOT(ISNUMBER(J2450)),N(J2450)&lt;0),"Prix invalide",IF(OR(AND(F2450&lt;&gt;"",NOT(ISNUMBER(F2450))),N(F2450)&lt;0,N(F2450)&gt;1),"Remise invalide",IF(K2450="","Taux de TVA manquant",IF(NOT(ISNUMBER(K2450)),"Taux de TVA invalide",IF(COUNTIF(p_rates,K2450)=0,"Taux de TVA hors liste (Paramètres)",IF(N(O2450)&gt;25,"Au-delà de 25 lignes : non imprimée","OK")))))))))))))</f>
        <v/>
      </c>
      <c r="O2450" s="59" t="str">
        <f>IF(A2450="","",COUNTIF($A$6:A2450,A2450))</f>
        <v/>
      </c>
      <c r="P2450" s="62" t="str">
        <f>IF(A2450="","",A2450&amp;"|"&amp;O2450)</f>
        <v/>
      </c>
    </row>
    <row r="2451">
      <c r="A2451" s="60" t="n"/>
      <c r="B2451" s="63" t="n"/>
      <c r="C2451" s="63" t="n"/>
      <c r="D2451" s="67" t="n"/>
      <c r="E2451" s="68" t="n"/>
      <c r="F2451" s="69" t="n"/>
      <c r="G2451" s="70" t="n"/>
      <c r="H2451" s="62" t="str">
        <f>IF(COUNTA(A2451:G2451)=0,"",IF(C2451&lt;&gt;"",C2451,IF(B2451="","",IFERROR(INDEX(pr_des,MATCH(B2451,pr_code,0))&amp;"",""))))</f>
        <v/>
      </c>
      <c r="I2451" s="59" t="str">
        <f>IF(B2451="","",IFERROR(INDEX(pr_unit,MATCH(B2451,pr_code,0))&amp;"",""))</f>
        <v/>
      </c>
      <c r="J2451" s="65" t="str">
        <f>IF(COUNTA(A2451:G2451)=0,"",IF(E2451&lt;&gt;"",E2451,IF(B2451="","",IFERROR(IF(INDEX(pr_price,MATCH(B2451,pr_code,0))="","",INDEX(pr_price,MATCH(B2451,pr_code,0))),""))))</f>
        <v/>
      </c>
      <c r="K2451" s="71" t="str">
        <f>IF(COUNTA(A2451:G2451)=0,"",IF(G2451&lt;&gt;"",G2451,IF(B2451="","",IFERROR(IF(INDEX(pr_rate,MATCH(B2451,pr_code,0))="","",INDEX(pr_rate,MATCH(B2451,pr_code,0))),""))))</f>
        <v/>
      </c>
      <c r="L2451" s="65" t="str">
        <f>IF(COUNTA(A2451:G2451)=0,"",IF(AND(ISNUMBER(D2451),ISNUMBER(J2451)),ROUND(D2451*J2451*(1-N(F2451)),2),0))</f>
        <v/>
      </c>
      <c r="M2451" s="62" t="str">
        <f>IF(A2451="","",IFERROR(INDEX(dv_cname,MATCH(A2451,dv_num,0))&amp;"",""))</f>
        <v/>
      </c>
      <c r="N2451" s="59" t="str">
        <f>IF(COUNTA(A2451:G2451)=0,"",IF(A2451="","N° devis manquant",IF(ISNA(MATCH(A2451,dv_num,0)),"Devis inconnu",IF(AND(B2451&lt;&gt;"",ISNA(MATCH(B2451,pr_code,0))),"Article inconnu",IF(H2451="","Désignation manquante",IF(OR(NOT(ISNUMBER(D2451)),N(D2451)&lt;=0),"Quantité invalide",IF(J2451="","Prix manquant",IF(OR(NOT(ISNUMBER(J2451)),N(J2451)&lt;0),"Prix invalide",IF(OR(AND(F2451&lt;&gt;"",NOT(ISNUMBER(F2451))),N(F2451)&lt;0,N(F2451)&gt;1),"Remise invalide",IF(K2451="","Taux de TVA manquant",IF(NOT(ISNUMBER(K2451)),"Taux de TVA invalide",IF(COUNTIF(p_rates,K2451)=0,"Taux de TVA hors liste (Paramètres)",IF(N(O2451)&gt;25,"Au-delà de 25 lignes : non imprimée","OK")))))))))))))</f>
        <v/>
      </c>
      <c r="O2451" s="59" t="str">
        <f>IF(A2451="","",COUNTIF($A$6:A2451,A2451))</f>
        <v/>
      </c>
      <c r="P2451" s="62" t="str">
        <f>IF(A2451="","",A2451&amp;"|"&amp;O2451)</f>
        <v/>
      </c>
    </row>
    <row r="2452">
      <c r="A2452" s="60" t="n"/>
      <c r="B2452" s="63" t="n"/>
      <c r="C2452" s="63" t="n"/>
      <c r="D2452" s="67" t="n"/>
      <c r="E2452" s="68" t="n"/>
      <c r="F2452" s="69" t="n"/>
      <c r="G2452" s="70" t="n"/>
      <c r="H2452" s="62" t="str">
        <f>IF(COUNTA(A2452:G2452)=0,"",IF(C2452&lt;&gt;"",C2452,IF(B2452="","",IFERROR(INDEX(pr_des,MATCH(B2452,pr_code,0))&amp;"",""))))</f>
        <v/>
      </c>
      <c r="I2452" s="59" t="str">
        <f>IF(B2452="","",IFERROR(INDEX(pr_unit,MATCH(B2452,pr_code,0))&amp;"",""))</f>
        <v/>
      </c>
      <c r="J2452" s="65" t="str">
        <f>IF(COUNTA(A2452:G2452)=0,"",IF(E2452&lt;&gt;"",E2452,IF(B2452="","",IFERROR(IF(INDEX(pr_price,MATCH(B2452,pr_code,0))="","",INDEX(pr_price,MATCH(B2452,pr_code,0))),""))))</f>
        <v/>
      </c>
      <c r="K2452" s="71" t="str">
        <f>IF(COUNTA(A2452:G2452)=0,"",IF(G2452&lt;&gt;"",G2452,IF(B2452="","",IFERROR(IF(INDEX(pr_rate,MATCH(B2452,pr_code,0))="","",INDEX(pr_rate,MATCH(B2452,pr_code,0))),""))))</f>
        <v/>
      </c>
      <c r="L2452" s="65" t="str">
        <f>IF(COUNTA(A2452:G2452)=0,"",IF(AND(ISNUMBER(D2452),ISNUMBER(J2452)),ROUND(D2452*J2452*(1-N(F2452)),2),0))</f>
        <v/>
      </c>
      <c r="M2452" s="62" t="str">
        <f>IF(A2452="","",IFERROR(INDEX(dv_cname,MATCH(A2452,dv_num,0))&amp;"",""))</f>
        <v/>
      </c>
      <c r="N2452" s="59" t="str">
        <f>IF(COUNTA(A2452:G2452)=0,"",IF(A2452="","N° devis manquant",IF(ISNA(MATCH(A2452,dv_num,0)),"Devis inconnu",IF(AND(B2452&lt;&gt;"",ISNA(MATCH(B2452,pr_code,0))),"Article inconnu",IF(H2452="","Désignation manquante",IF(OR(NOT(ISNUMBER(D2452)),N(D2452)&lt;=0),"Quantité invalide",IF(J2452="","Prix manquant",IF(OR(NOT(ISNUMBER(J2452)),N(J2452)&lt;0),"Prix invalide",IF(OR(AND(F2452&lt;&gt;"",NOT(ISNUMBER(F2452))),N(F2452)&lt;0,N(F2452)&gt;1),"Remise invalide",IF(K2452="","Taux de TVA manquant",IF(NOT(ISNUMBER(K2452)),"Taux de TVA invalide",IF(COUNTIF(p_rates,K2452)=0,"Taux de TVA hors liste (Paramètres)",IF(N(O2452)&gt;25,"Au-delà de 25 lignes : non imprimée","OK")))))))))))))</f>
        <v/>
      </c>
      <c r="O2452" s="59" t="str">
        <f>IF(A2452="","",COUNTIF($A$6:A2452,A2452))</f>
        <v/>
      </c>
      <c r="P2452" s="62" t="str">
        <f>IF(A2452="","",A2452&amp;"|"&amp;O2452)</f>
        <v/>
      </c>
    </row>
    <row r="2453">
      <c r="A2453" s="60" t="n"/>
      <c r="B2453" s="63" t="n"/>
      <c r="C2453" s="63" t="n"/>
      <c r="D2453" s="67" t="n"/>
      <c r="E2453" s="68" t="n"/>
      <c r="F2453" s="69" t="n"/>
      <c r="G2453" s="70" t="n"/>
      <c r="H2453" s="62" t="str">
        <f>IF(COUNTA(A2453:G2453)=0,"",IF(C2453&lt;&gt;"",C2453,IF(B2453="","",IFERROR(INDEX(pr_des,MATCH(B2453,pr_code,0))&amp;"",""))))</f>
        <v/>
      </c>
      <c r="I2453" s="59" t="str">
        <f>IF(B2453="","",IFERROR(INDEX(pr_unit,MATCH(B2453,pr_code,0))&amp;"",""))</f>
        <v/>
      </c>
      <c r="J2453" s="65" t="str">
        <f>IF(COUNTA(A2453:G2453)=0,"",IF(E2453&lt;&gt;"",E2453,IF(B2453="","",IFERROR(IF(INDEX(pr_price,MATCH(B2453,pr_code,0))="","",INDEX(pr_price,MATCH(B2453,pr_code,0))),""))))</f>
        <v/>
      </c>
      <c r="K2453" s="71" t="str">
        <f>IF(COUNTA(A2453:G2453)=0,"",IF(G2453&lt;&gt;"",G2453,IF(B2453="","",IFERROR(IF(INDEX(pr_rate,MATCH(B2453,pr_code,0))="","",INDEX(pr_rate,MATCH(B2453,pr_code,0))),""))))</f>
        <v/>
      </c>
      <c r="L2453" s="65" t="str">
        <f>IF(COUNTA(A2453:G2453)=0,"",IF(AND(ISNUMBER(D2453),ISNUMBER(J2453)),ROUND(D2453*J2453*(1-N(F2453)),2),0))</f>
        <v/>
      </c>
      <c r="M2453" s="62" t="str">
        <f>IF(A2453="","",IFERROR(INDEX(dv_cname,MATCH(A2453,dv_num,0))&amp;"",""))</f>
        <v/>
      </c>
      <c r="N2453" s="59" t="str">
        <f>IF(COUNTA(A2453:G2453)=0,"",IF(A2453="","N° devis manquant",IF(ISNA(MATCH(A2453,dv_num,0)),"Devis inconnu",IF(AND(B2453&lt;&gt;"",ISNA(MATCH(B2453,pr_code,0))),"Article inconnu",IF(H2453="","Désignation manquante",IF(OR(NOT(ISNUMBER(D2453)),N(D2453)&lt;=0),"Quantité invalide",IF(J2453="","Prix manquant",IF(OR(NOT(ISNUMBER(J2453)),N(J2453)&lt;0),"Prix invalide",IF(OR(AND(F2453&lt;&gt;"",NOT(ISNUMBER(F2453))),N(F2453)&lt;0,N(F2453)&gt;1),"Remise invalide",IF(K2453="","Taux de TVA manquant",IF(NOT(ISNUMBER(K2453)),"Taux de TVA invalide",IF(COUNTIF(p_rates,K2453)=0,"Taux de TVA hors liste (Paramètres)",IF(N(O2453)&gt;25,"Au-delà de 25 lignes : non imprimée","OK")))))))))))))</f>
        <v/>
      </c>
      <c r="O2453" s="59" t="str">
        <f>IF(A2453="","",COUNTIF($A$6:A2453,A2453))</f>
        <v/>
      </c>
      <c r="P2453" s="62" t="str">
        <f>IF(A2453="","",A2453&amp;"|"&amp;O2453)</f>
        <v/>
      </c>
    </row>
    <row r="2454">
      <c r="A2454" s="60" t="n"/>
      <c r="B2454" s="63" t="n"/>
      <c r="C2454" s="63" t="n"/>
      <c r="D2454" s="67" t="n"/>
      <c r="E2454" s="68" t="n"/>
      <c r="F2454" s="69" t="n"/>
      <c r="G2454" s="70" t="n"/>
      <c r="H2454" s="62" t="str">
        <f>IF(COUNTA(A2454:G2454)=0,"",IF(C2454&lt;&gt;"",C2454,IF(B2454="","",IFERROR(INDEX(pr_des,MATCH(B2454,pr_code,0))&amp;"",""))))</f>
        <v/>
      </c>
      <c r="I2454" s="59" t="str">
        <f>IF(B2454="","",IFERROR(INDEX(pr_unit,MATCH(B2454,pr_code,0))&amp;"",""))</f>
        <v/>
      </c>
      <c r="J2454" s="65" t="str">
        <f>IF(COUNTA(A2454:G2454)=0,"",IF(E2454&lt;&gt;"",E2454,IF(B2454="","",IFERROR(IF(INDEX(pr_price,MATCH(B2454,pr_code,0))="","",INDEX(pr_price,MATCH(B2454,pr_code,0))),""))))</f>
        <v/>
      </c>
      <c r="K2454" s="71" t="str">
        <f>IF(COUNTA(A2454:G2454)=0,"",IF(G2454&lt;&gt;"",G2454,IF(B2454="","",IFERROR(IF(INDEX(pr_rate,MATCH(B2454,pr_code,0))="","",INDEX(pr_rate,MATCH(B2454,pr_code,0))),""))))</f>
        <v/>
      </c>
      <c r="L2454" s="65" t="str">
        <f>IF(COUNTA(A2454:G2454)=0,"",IF(AND(ISNUMBER(D2454),ISNUMBER(J2454)),ROUND(D2454*J2454*(1-N(F2454)),2),0))</f>
        <v/>
      </c>
      <c r="M2454" s="62" t="str">
        <f>IF(A2454="","",IFERROR(INDEX(dv_cname,MATCH(A2454,dv_num,0))&amp;"",""))</f>
        <v/>
      </c>
      <c r="N2454" s="59" t="str">
        <f>IF(COUNTA(A2454:G2454)=0,"",IF(A2454="","N° devis manquant",IF(ISNA(MATCH(A2454,dv_num,0)),"Devis inconnu",IF(AND(B2454&lt;&gt;"",ISNA(MATCH(B2454,pr_code,0))),"Article inconnu",IF(H2454="","Désignation manquante",IF(OR(NOT(ISNUMBER(D2454)),N(D2454)&lt;=0),"Quantité invalide",IF(J2454="","Prix manquant",IF(OR(NOT(ISNUMBER(J2454)),N(J2454)&lt;0),"Prix invalide",IF(OR(AND(F2454&lt;&gt;"",NOT(ISNUMBER(F2454))),N(F2454)&lt;0,N(F2454)&gt;1),"Remise invalide",IF(K2454="","Taux de TVA manquant",IF(NOT(ISNUMBER(K2454)),"Taux de TVA invalide",IF(COUNTIF(p_rates,K2454)=0,"Taux de TVA hors liste (Paramètres)",IF(N(O2454)&gt;25,"Au-delà de 25 lignes : non imprimée","OK")))))))))))))</f>
        <v/>
      </c>
      <c r="O2454" s="59" t="str">
        <f>IF(A2454="","",COUNTIF($A$6:A2454,A2454))</f>
        <v/>
      </c>
      <c r="P2454" s="62" t="str">
        <f>IF(A2454="","",A2454&amp;"|"&amp;O2454)</f>
        <v/>
      </c>
    </row>
    <row r="2455">
      <c r="A2455" s="60" t="n"/>
      <c r="B2455" s="63" t="n"/>
      <c r="C2455" s="63" t="n"/>
      <c r="D2455" s="67" t="n"/>
      <c r="E2455" s="68" t="n"/>
      <c r="F2455" s="69" t="n"/>
      <c r="G2455" s="70" t="n"/>
      <c r="H2455" s="62" t="str">
        <f>IF(COUNTA(A2455:G2455)=0,"",IF(C2455&lt;&gt;"",C2455,IF(B2455="","",IFERROR(INDEX(pr_des,MATCH(B2455,pr_code,0))&amp;"",""))))</f>
        <v/>
      </c>
      <c r="I2455" s="59" t="str">
        <f>IF(B2455="","",IFERROR(INDEX(pr_unit,MATCH(B2455,pr_code,0))&amp;"",""))</f>
        <v/>
      </c>
      <c r="J2455" s="65" t="str">
        <f>IF(COUNTA(A2455:G2455)=0,"",IF(E2455&lt;&gt;"",E2455,IF(B2455="","",IFERROR(IF(INDEX(pr_price,MATCH(B2455,pr_code,0))="","",INDEX(pr_price,MATCH(B2455,pr_code,0))),""))))</f>
        <v/>
      </c>
      <c r="K2455" s="71" t="str">
        <f>IF(COUNTA(A2455:G2455)=0,"",IF(G2455&lt;&gt;"",G2455,IF(B2455="","",IFERROR(IF(INDEX(pr_rate,MATCH(B2455,pr_code,0))="","",INDEX(pr_rate,MATCH(B2455,pr_code,0))),""))))</f>
        <v/>
      </c>
      <c r="L2455" s="65" t="str">
        <f>IF(COUNTA(A2455:G2455)=0,"",IF(AND(ISNUMBER(D2455),ISNUMBER(J2455)),ROUND(D2455*J2455*(1-N(F2455)),2),0))</f>
        <v/>
      </c>
      <c r="M2455" s="62" t="str">
        <f>IF(A2455="","",IFERROR(INDEX(dv_cname,MATCH(A2455,dv_num,0))&amp;"",""))</f>
        <v/>
      </c>
      <c r="N2455" s="59" t="str">
        <f>IF(COUNTA(A2455:G2455)=0,"",IF(A2455="","N° devis manquant",IF(ISNA(MATCH(A2455,dv_num,0)),"Devis inconnu",IF(AND(B2455&lt;&gt;"",ISNA(MATCH(B2455,pr_code,0))),"Article inconnu",IF(H2455="","Désignation manquante",IF(OR(NOT(ISNUMBER(D2455)),N(D2455)&lt;=0),"Quantité invalide",IF(J2455="","Prix manquant",IF(OR(NOT(ISNUMBER(J2455)),N(J2455)&lt;0),"Prix invalide",IF(OR(AND(F2455&lt;&gt;"",NOT(ISNUMBER(F2455))),N(F2455)&lt;0,N(F2455)&gt;1),"Remise invalide",IF(K2455="","Taux de TVA manquant",IF(NOT(ISNUMBER(K2455)),"Taux de TVA invalide",IF(COUNTIF(p_rates,K2455)=0,"Taux de TVA hors liste (Paramètres)",IF(N(O2455)&gt;25,"Au-delà de 25 lignes : non imprimée","OK")))))))))))))</f>
        <v/>
      </c>
      <c r="O2455" s="59" t="str">
        <f>IF(A2455="","",COUNTIF($A$6:A2455,A2455))</f>
        <v/>
      </c>
      <c r="P2455" s="62" t="str">
        <f>IF(A2455="","",A2455&amp;"|"&amp;O2455)</f>
        <v/>
      </c>
    </row>
    <row r="2456">
      <c r="A2456" s="60" t="n"/>
      <c r="B2456" s="63" t="n"/>
      <c r="C2456" s="63" t="n"/>
      <c r="D2456" s="67" t="n"/>
      <c r="E2456" s="68" t="n"/>
      <c r="F2456" s="69" t="n"/>
      <c r="G2456" s="70" t="n"/>
      <c r="H2456" s="62" t="str">
        <f>IF(COUNTA(A2456:G2456)=0,"",IF(C2456&lt;&gt;"",C2456,IF(B2456="","",IFERROR(INDEX(pr_des,MATCH(B2456,pr_code,0))&amp;"",""))))</f>
        <v/>
      </c>
      <c r="I2456" s="59" t="str">
        <f>IF(B2456="","",IFERROR(INDEX(pr_unit,MATCH(B2456,pr_code,0))&amp;"",""))</f>
        <v/>
      </c>
      <c r="J2456" s="65" t="str">
        <f>IF(COUNTA(A2456:G2456)=0,"",IF(E2456&lt;&gt;"",E2456,IF(B2456="","",IFERROR(IF(INDEX(pr_price,MATCH(B2456,pr_code,0))="","",INDEX(pr_price,MATCH(B2456,pr_code,0))),""))))</f>
        <v/>
      </c>
      <c r="K2456" s="71" t="str">
        <f>IF(COUNTA(A2456:G2456)=0,"",IF(G2456&lt;&gt;"",G2456,IF(B2456="","",IFERROR(IF(INDEX(pr_rate,MATCH(B2456,pr_code,0))="","",INDEX(pr_rate,MATCH(B2456,pr_code,0))),""))))</f>
        <v/>
      </c>
      <c r="L2456" s="65" t="str">
        <f>IF(COUNTA(A2456:G2456)=0,"",IF(AND(ISNUMBER(D2456),ISNUMBER(J2456)),ROUND(D2456*J2456*(1-N(F2456)),2),0))</f>
        <v/>
      </c>
      <c r="M2456" s="62" t="str">
        <f>IF(A2456="","",IFERROR(INDEX(dv_cname,MATCH(A2456,dv_num,0))&amp;"",""))</f>
        <v/>
      </c>
      <c r="N2456" s="59" t="str">
        <f>IF(COUNTA(A2456:G2456)=0,"",IF(A2456="","N° devis manquant",IF(ISNA(MATCH(A2456,dv_num,0)),"Devis inconnu",IF(AND(B2456&lt;&gt;"",ISNA(MATCH(B2456,pr_code,0))),"Article inconnu",IF(H2456="","Désignation manquante",IF(OR(NOT(ISNUMBER(D2456)),N(D2456)&lt;=0),"Quantité invalide",IF(J2456="","Prix manquant",IF(OR(NOT(ISNUMBER(J2456)),N(J2456)&lt;0),"Prix invalide",IF(OR(AND(F2456&lt;&gt;"",NOT(ISNUMBER(F2456))),N(F2456)&lt;0,N(F2456)&gt;1),"Remise invalide",IF(K2456="","Taux de TVA manquant",IF(NOT(ISNUMBER(K2456)),"Taux de TVA invalide",IF(COUNTIF(p_rates,K2456)=0,"Taux de TVA hors liste (Paramètres)",IF(N(O2456)&gt;25,"Au-delà de 25 lignes : non imprimée","OK")))))))))))))</f>
        <v/>
      </c>
      <c r="O2456" s="59" t="str">
        <f>IF(A2456="","",COUNTIF($A$6:A2456,A2456))</f>
        <v/>
      </c>
      <c r="P2456" s="62" t="str">
        <f>IF(A2456="","",A2456&amp;"|"&amp;O2456)</f>
        <v/>
      </c>
    </row>
    <row r="2457">
      <c r="A2457" s="60" t="n"/>
      <c r="B2457" s="63" t="n"/>
      <c r="C2457" s="63" t="n"/>
      <c r="D2457" s="67" t="n"/>
      <c r="E2457" s="68" t="n"/>
      <c r="F2457" s="69" t="n"/>
      <c r="G2457" s="70" t="n"/>
      <c r="H2457" s="62" t="str">
        <f>IF(COUNTA(A2457:G2457)=0,"",IF(C2457&lt;&gt;"",C2457,IF(B2457="","",IFERROR(INDEX(pr_des,MATCH(B2457,pr_code,0))&amp;"",""))))</f>
        <v/>
      </c>
      <c r="I2457" s="59" t="str">
        <f>IF(B2457="","",IFERROR(INDEX(pr_unit,MATCH(B2457,pr_code,0))&amp;"",""))</f>
        <v/>
      </c>
      <c r="J2457" s="65" t="str">
        <f>IF(COUNTA(A2457:G2457)=0,"",IF(E2457&lt;&gt;"",E2457,IF(B2457="","",IFERROR(IF(INDEX(pr_price,MATCH(B2457,pr_code,0))="","",INDEX(pr_price,MATCH(B2457,pr_code,0))),""))))</f>
        <v/>
      </c>
      <c r="K2457" s="71" t="str">
        <f>IF(COUNTA(A2457:G2457)=0,"",IF(G2457&lt;&gt;"",G2457,IF(B2457="","",IFERROR(IF(INDEX(pr_rate,MATCH(B2457,pr_code,0))="","",INDEX(pr_rate,MATCH(B2457,pr_code,0))),""))))</f>
        <v/>
      </c>
      <c r="L2457" s="65" t="str">
        <f>IF(COUNTA(A2457:G2457)=0,"",IF(AND(ISNUMBER(D2457),ISNUMBER(J2457)),ROUND(D2457*J2457*(1-N(F2457)),2),0))</f>
        <v/>
      </c>
      <c r="M2457" s="62" t="str">
        <f>IF(A2457="","",IFERROR(INDEX(dv_cname,MATCH(A2457,dv_num,0))&amp;"",""))</f>
        <v/>
      </c>
      <c r="N2457" s="59" t="str">
        <f>IF(COUNTA(A2457:G2457)=0,"",IF(A2457="","N° devis manquant",IF(ISNA(MATCH(A2457,dv_num,0)),"Devis inconnu",IF(AND(B2457&lt;&gt;"",ISNA(MATCH(B2457,pr_code,0))),"Article inconnu",IF(H2457="","Désignation manquante",IF(OR(NOT(ISNUMBER(D2457)),N(D2457)&lt;=0),"Quantité invalide",IF(J2457="","Prix manquant",IF(OR(NOT(ISNUMBER(J2457)),N(J2457)&lt;0),"Prix invalide",IF(OR(AND(F2457&lt;&gt;"",NOT(ISNUMBER(F2457))),N(F2457)&lt;0,N(F2457)&gt;1),"Remise invalide",IF(K2457="","Taux de TVA manquant",IF(NOT(ISNUMBER(K2457)),"Taux de TVA invalide",IF(COUNTIF(p_rates,K2457)=0,"Taux de TVA hors liste (Paramètres)",IF(N(O2457)&gt;25,"Au-delà de 25 lignes : non imprimée","OK")))))))))))))</f>
        <v/>
      </c>
      <c r="O2457" s="59" t="str">
        <f>IF(A2457="","",COUNTIF($A$6:A2457,A2457))</f>
        <v/>
      </c>
      <c r="P2457" s="62" t="str">
        <f>IF(A2457="","",A2457&amp;"|"&amp;O2457)</f>
        <v/>
      </c>
    </row>
    <row r="2458">
      <c r="A2458" s="60" t="n"/>
      <c r="B2458" s="63" t="n"/>
      <c r="C2458" s="63" t="n"/>
      <c r="D2458" s="67" t="n"/>
      <c r="E2458" s="68" t="n"/>
      <c r="F2458" s="69" t="n"/>
      <c r="G2458" s="70" t="n"/>
      <c r="H2458" s="62" t="str">
        <f>IF(COUNTA(A2458:G2458)=0,"",IF(C2458&lt;&gt;"",C2458,IF(B2458="","",IFERROR(INDEX(pr_des,MATCH(B2458,pr_code,0))&amp;"",""))))</f>
        <v/>
      </c>
      <c r="I2458" s="59" t="str">
        <f>IF(B2458="","",IFERROR(INDEX(pr_unit,MATCH(B2458,pr_code,0))&amp;"",""))</f>
        <v/>
      </c>
      <c r="J2458" s="65" t="str">
        <f>IF(COUNTA(A2458:G2458)=0,"",IF(E2458&lt;&gt;"",E2458,IF(B2458="","",IFERROR(IF(INDEX(pr_price,MATCH(B2458,pr_code,0))="","",INDEX(pr_price,MATCH(B2458,pr_code,0))),""))))</f>
        <v/>
      </c>
      <c r="K2458" s="71" t="str">
        <f>IF(COUNTA(A2458:G2458)=0,"",IF(G2458&lt;&gt;"",G2458,IF(B2458="","",IFERROR(IF(INDEX(pr_rate,MATCH(B2458,pr_code,0))="","",INDEX(pr_rate,MATCH(B2458,pr_code,0))),""))))</f>
        <v/>
      </c>
      <c r="L2458" s="65" t="str">
        <f>IF(COUNTA(A2458:G2458)=0,"",IF(AND(ISNUMBER(D2458),ISNUMBER(J2458)),ROUND(D2458*J2458*(1-N(F2458)),2),0))</f>
        <v/>
      </c>
      <c r="M2458" s="62" t="str">
        <f>IF(A2458="","",IFERROR(INDEX(dv_cname,MATCH(A2458,dv_num,0))&amp;"",""))</f>
        <v/>
      </c>
      <c r="N2458" s="59" t="str">
        <f>IF(COUNTA(A2458:G2458)=0,"",IF(A2458="","N° devis manquant",IF(ISNA(MATCH(A2458,dv_num,0)),"Devis inconnu",IF(AND(B2458&lt;&gt;"",ISNA(MATCH(B2458,pr_code,0))),"Article inconnu",IF(H2458="","Désignation manquante",IF(OR(NOT(ISNUMBER(D2458)),N(D2458)&lt;=0),"Quantité invalide",IF(J2458="","Prix manquant",IF(OR(NOT(ISNUMBER(J2458)),N(J2458)&lt;0),"Prix invalide",IF(OR(AND(F2458&lt;&gt;"",NOT(ISNUMBER(F2458))),N(F2458)&lt;0,N(F2458)&gt;1),"Remise invalide",IF(K2458="","Taux de TVA manquant",IF(NOT(ISNUMBER(K2458)),"Taux de TVA invalide",IF(COUNTIF(p_rates,K2458)=0,"Taux de TVA hors liste (Paramètres)",IF(N(O2458)&gt;25,"Au-delà de 25 lignes : non imprimée","OK")))))))))))))</f>
        <v/>
      </c>
      <c r="O2458" s="59" t="str">
        <f>IF(A2458="","",COUNTIF($A$6:A2458,A2458))</f>
        <v/>
      </c>
      <c r="P2458" s="62" t="str">
        <f>IF(A2458="","",A2458&amp;"|"&amp;O2458)</f>
        <v/>
      </c>
    </row>
    <row r="2459">
      <c r="A2459" s="60" t="n"/>
      <c r="B2459" s="63" t="n"/>
      <c r="C2459" s="63" t="n"/>
      <c r="D2459" s="67" t="n"/>
      <c r="E2459" s="68" t="n"/>
      <c r="F2459" s="69" t="n"/>
      <c r="G2459" s="70" t="n"/>
      <c r="H2459" s="62" t="str">
        <f>IF(COUNTA(A2459:G2459)=0,"",IF(C2459&lt;&gt;"",C2459,IF(B2459="","",IFERROR(INDEX(pr_des,MATCH(B2459,pr_code,0))&amp;"",""))))</f>
        <v/>
      </c>
      <c r="I2459" s="59" t="str">
        <f>IF(B2459="","",IFERROR(INDEX(pr_unit,MATCH(B2459,pr_code,0))&amp;"",""))</f>
        <v/>
      </c>
      <c r="J2459" s="65" t="str">
        <f>IF(COUNTA(A2459:G2459)=0,"",IF(E2459&lt;&gt;"",E2459,IF(B2459="","",IFERROR(IF(INDEX(pr_price,MATCH(B2459,pr_code,0))="","",INDEX(pr_price,MATCH(B2459,pr_code,0))),""))))</f>
        <v/>
      </c>
      <c r="K2459" s="71" t="str">
        <f>IF(COUNTA(A2459:G2459)=0,"",IF(G2459&lt;&gt;"",G2459,IF(B2459="","",IFERROR(IF(INDEX(pr_rate,MATCH(B2459,pr_code,0))="","",INDEX(pr_rate,MATCH(B2459,pr_code,0))),""))))</f>
        <v/>
      </c>
      <c r="L2459" s="65" t="str">
        <f>IF(COUNTA(A2459:G2459)=0,"",IF(AND(ISNUMBER(D2459),ISNUMBER(J2459)),ROUND(D2459*J2459*(1-N(F2459)),2),0))</f>
        <v/>
      </c>
      <c r="M2459" s="62" t="str">
        <f>IF(A2459="","",IFERROR(INDEX(dv_cname,MATCH(A2459,dv_num,0))&amp;"",""))</f>
        <v/>
      </c>
      <c r="N2459" s="59" t="str">
        <f>IF(COUNTA(A2459:G2459)=0,"",IF(A2459="","N° devis manquant",IF(ISNA(MATCH(A2459,dv_num,0)),"Devis inconnu",IF(AND(B2459&lt;&gt;"",ISNA(MATCH(B2459,pr_code,0))),"Article inconnu",IF(H2459="","Désignation manquante",IF(OR(NOT(ISNUMBER(D2459)),N(D2459)&lt;=0),"Quantité invalide",IF(J2459="","Prix manquant",IF(OR(NOT(ISNUMBER(J2459)),N(J2459)&lt;0),"Prix invalide",IF(OR(AND(F2459&lt;&gt;"",NOT(ISNUMBER(F2459))),N(F2459)&lt;0,N(F2459)&gt;1),"Remise invalide",IF(K2459="","Taux de TVA manquant",IF(NOT(ISNUMBER(K2459)),"Taux de TVA invalide",IF(COUNTIF(p_rates,K2459)=0,"Taux de TVA hors liste (Paramètres)",IF(N(O2459)&gt;25,"Au-delà de 25 lignes : non imprimée","OK")))))))))))))</f>
        <v/>
      </c>
      <c r="O2459" s="59" t="str">
        <f>IF(A2459="","",COUNTIF($A$6:A2459,A2459))</f>
        <v/>
      </c>
      <c r="P2459" s="62" t="str">
        <f>IF(A2459="","",A2459&amp;"|"&amp;O2459)</f>
        <v/>
      </c>
    </row>
    <row r="2460">
      <c r="A2460" s="60" t="n"/>
      <c r="B2460" s="63" t="n"/>
      <c r="C2460" s="63" t="n"/>
      <c r="D2460" s="67" t="n"/>
      <c r="E2460" s="68" t="n"/>
      <c r="F2460" s="69" t="n"/>
      <c r="G2460" s="70" t="n"/>
      <c r="H2460" s="62" t="str">
        <f>IF(COUNTA(A2460:G2460)=0,"",IF(C2460&lt;&gt;"",C2460,IF(B2460="","",IFERROR(INDEX(pr_des,MATCH(B2460,pr_code,0))&amp;"",""))))</f>
        <v/>
      </c>
      <c r="I2460" s="59" t="str">
        <f>IF(B2460="","",IFERROR(INDEX(pr_unit,MATCH(B2460,pr_code,0))&amp;"",""))</f>
        <v/>
      </c>
      <c r="J2460" s="65" t="str">
        <f>IF(COUNTA(A2460:G2460)=0,"",IF(E2460&lt;&gt;"",E2460,IF(B2460="","",IFERROR(IF(INDEX(pr_price,MATCH(B2460,pr_code,0))="","",INDEX(pr_price,MATCH(B2460,pr_code,0))),""))))</f>
        <v/>
      </c>
      <c r="K2460" s="71" t="str">
        <f>IF(COUNTA(A2460:G2460)=0,"",IF(G2460&lt;&gt;"",G2460,IF(B2460="","",IFERROR(IF(INDEX(pr_rate,MATCH(B2460,pr_code,0))="","",INDEX(pr_rate,MATCH(B2460,pr_code,0))),""))))</f>
        <v/>
      </c>
      <c r="L2460" s="65" t="str">
        <f>IF(COUNTA(A2460:G2460)=0,"",IF(AND(ISNUMBER(D2460),ISNUMBER(J2460)),ROUND(D2460*J2460*(1-N(F2460)),2),0))</f>
        <v/>
      </c>
      <c r="M2460" s="62" t="str">
        <f>IF(A2460="","",IFERROR(INDEX(dv_cname,MATCH(A2460,dv_num,0))&amp;"",""))</f>
        <v/>
      </c>
      <c r="N2460" s="59" t="str">
        <f>IF(COUNTA(A2460:G2460)=0,"",IF(A2460="","N° devis manquant",IF(ISNA(MATCH(A2460,dv_num,0)),"Devis inconnu",IF(AND(B2460&lt;&gt;"",ISNA(MATCH(B2460,pr_code,0))),"Article inconnu",IF(H2460="","Désignation manquante",IF(OR(NOT(ISNUMBER(D2460)),N(D2460)&lt;=0),"Quantité invalide",IF(J2460="","Prix manquant",IF(OR(NOT(ISNUMBER(J2460)),N(J2460)&lt;0),"Prix invalide",IF(OR(AND(F2460&lt;&gt;"",NOT(ISNUMBER(F2460))),N(F2460)&lt;0,N(F2460)&gt;1),"Remise invalide",IF(K2460="","Taux de TVA manquant",IF(NOT(ISNUMBER(K2460)),"Taux de TVA invalide",IF(COUNTIF(p_rates,K2460)=0,"Taux de TVA hors liste (Paramètres)",IF(N(O2460)&gt;25,"Au-delà de 25 lignes : non imprimée","OK")))))))))))))</f>
        <v/>
      </c>
      <c r="O2460" s="59" t="str">
        <f>IF(A2460="","",COUNTIF($A$6:A2460,A2460))</f>
        <v/>
      </c>
      <c r="P2460" s="62" t="str">
        <f>IF(A2460="","",A2460&amp;"|"&amp;O2460)</f>
        <v/>
      </c>
    </row>
    <row r="2461">
      <c r="A2461" s="60" t="n"/>
      <c r="B2461" s="63" t="n"/>
      <c r="C2461" s="63" t="n"/>
      <c r="D2461" s="67" t="n"/>
      <c r="E2461" s="68" t="n"/>
      <c r="F2461" s="69" t="n"/>
      <c r="G2461" s="70" t="n"/>
      <c r="H2461" s="62" t="str">
        <f>IF(COUNTA(A2461:G2461)=0,"",IF(C2461&lt;&gt;"",C2461,IF(B2461="","",IFERROR(INDEX(pr_des,MATCH(B2461,pr_code,0))&amp;"",""))))</f>
        <v/>
      </c>
      <c r="I2461" s="59" t="str">
        <f>IF(B2461="","",IFERROR(INDEX(pr_unit,MATCH(B2461,pr_code,0))&amp;"",""))</f>
        <v/>
      </c>
      <c r="J2461" s="65" t="str">
        <f>IF(COUNTA(A2461:G2461)=0,"",IF(E2461&lt;&gt;"",E2461,IF(B2461="","",IFERROR(IF(INDEX(pr_price,MATCH(B2461,pr_code,0))="","",INDEX(pr_price,MATCH(B2461,pr_code,0))),""))))</f>
        <v/>
      </c>
      <c r="K2461" s="71" t="str">
        <f>IF(COUNTA(A2461:G2461)=0,"",IF(G2461&lt;&gt;"",G2461,IF(B2461="","",IFERROR(IF(INDEX(pr_rate,MATCH(B2461,pr_code,0))="","",INDEX(pr_rate,MATCH(B2461,pr_code,0))),""))))</f>
        <v/>
      </c>
      <c r="L2461" s="65" t="str">
        <f>IF(COUNTA(A2461:G2461)=0,"",IF(AND(ISNUMBER(D2461),ISNUMBER(J2461)),ROUND(D2461*J2461*(1-N(F2461)),2),0))</f>
        <v/>
      </c>
      <c r="M2461" s="62" t="str">
        <f>IF(A2461="","",IFERROR(INDEX(dv_cname,MATCH(A2461,dv_num,0))&amp;"",""))</f>
        <v/>
      </c>
      <c r="N2461" s="59" t="str">
        <f>IF(COUNTA(A2461:G2461)=0,"",IF(A2461="","N° devis manquant",IF(ISNA(MATCH(A2461,dv_num,0)),"Devis inconnu",IF(AND(B2461&lt;&gt;"",ISNA(MATCH(B2461,pr_code,0))),"Article inconnu",IF(H2461="","Désignation manquante",IF(OR(NOT(ISNUMBER(D2461)),N(D2461)&lt;=0),"Quantité invalide",IF(J2461="","Prix manquant",IF(OR(NOT(ISNUMBER(J2461)),N(J2461)&lt;0),"Prix invalide",IF(OR(AND(F2461&lt;&gt;"",NOT(ISNUMBER(F2461))),N(F2461)&lt;0,N(F2461)&gt;1),"Remise invalide",IF(K2461="","Taux de TVA manquant",IF(NOT(ISNUMBER(K2461)),"Taux de TVA invalide",IF(COUNTIF(p_rates,K2461)=0,"Taux de TVA hors liste (Paramètres)",IF(N(O2461)&gt;25,"Au-delà de 25 lignes : non imprimée","OK")))))))))))))</f>
        <v/>
      </c>
      <c r="O2461" s="59" t="str">
        <f>IF(A2461="","",COUNTIF($A$6:A2461,A2461))</f>
        <v/>
      </c>
      <c r="P2461" s="62" t="str">
        <f>IF(A2461="","",A2461&amp;"|"&amp;O2461)</f>
        <v/>
      </c>
    </row>
    <row r="2462">
      <c r="A2462" s="60" t="n"/>
      <c r="B2462" s="63" t="n"/>
      <c r="C2462" s="63" t="n"/>
      <c r="D2462" s="67" t="n"/>
      <c r="E2462" s="68" t="n"/>
      <c r="F2462" s="69" t="n"/>
      <c r="G2462" s="70" t="n"/>
      <c r="H2462" s="62" t="str">
        <f>IF(COUNTA(A2462:G2462)=0,"",IF(C2462&lt;&gt;"",C2462,IF(B2462="","",IFERROR(INDEX(pr_des,MATCH(B2462,pr_code,0))&amp;"",""))))</f>
        <v/>
      </c>
      <c r="I2462" s="59" t="str">
        <f>IF(B2462="","",IFERROR(INDEX(pr_unit,MATCH(B2462,pr_code,0))&amp;"",""))</f>
        <v/>
      </c>
      <c r="J2462" s="65" t="str">
        <f>IF(COUNTA(A2462:G2462)=0,"",IF(E2462&lt;&gt;"",E2462,IF(B2462="","",IFERROR(IF(INDEX(pr_price,MATCH(B2462,pr_code,0))="","",INDEX(pr_price,MATCH(B2462,pr_code,0))),""))))</f>
        <v/>
      </c>
      <c r="K2462" s="71" t="str">
        <f>IF(COUNTA(A2462:G2462)=0,"",IF(G2462&lt;&gt;"",G2462,IF(B2462="","",IFERROR(IF(INDEX(pr_rate,MATCH(B2462,pr_code,0))="","",INDEX(pr_rate,MATCH(B2462,pr_code,0))),""))))</f>
        <v/>
      </c>
      <c r="L2462" s="65" t="str">
        <f>IF(COUNTA(A2462:G2462)=0,"",IF(AND(ISNUMBER(D2462),ISNUMBER(J2462)),ROUND(D2462*J2462*(1-N(F2462)),2),0))</f>
        <v/>
      </c>
      <c r="M2462" s="62" t="str">
        <f>IF(A2462="","",IFERROR(INDEX(dv_cname,MATCH(A2462,dv_num,0))&amp;"",""))</f>
        <v/>
      </c>
      <c r="N2462" s="59" t="str">
        <f>IF(COUNTA(A2462:G2462)=0,"",IF(A2462="","N° devis manquant",IF(ISNA(MATCH(A2462,dv_num,0)),"Devis inconnu",IF(AND(B2462&lt;&gt;"",ISNA(MATCH(B2462,pr_code,0))),"Article inconnu",IF(H2462="","Désignation manquante",IF(OR(NOT(ISNUMBER(D2462)),N(D2462)&lt;=0),"Quantité invalide",IF(J2462="","Prix manquant",IF(OR(NOT(ISNUMBER(J2462)),N(J2462)&lt;0),"Prix invalide",IF(OR(AND(F2462&lt;&gt;"",NOT(ISNUMBER(F2462))),N(F2462)&lt;0,N(F2462)&gt;1),"Remise invalide",IF(K2462="","Taux de TVA manquant",IF(NOT(ISNUMBER(K2462)),"Taux de TVA invalide",IF(COUNTIF(p_rates,K2462)=0,"Taux de TVA hors liste (Paramètres)",IF(N(O2462)&gt;25,"Au-delà de 25 lignes : non imprimée","OK")))))))))))))</f>
        <v/>
      </c>
      <c r="O2462" s="59" t="str">
        <f>IF(A2462="","",COUNTIF($A$6:A2462,A2462))</f>
        <v/>
      </c>
      <c r="P2462" s="62" t="str">
        <f>IF(A2462="","",A2462&amp;"|"&amp;O2462)</f>
        <v/>
      </c>
    </row>
    <row r="2463">
      <c r="A2463" s="60" t="n"/>
      <c r="B2463" s="63" t="n"/>
      <c r="C2463" s="63" t="n"/>
      <c r="D2463" s="67" t="n"/>
      <c r="E2463" s="68" t="n"/>
      <c r="F2463" s="69" t="n"/>
      <c r="G2463" s="70" t="n"/>
      <c r="H2463" s="62" t="str">
        <f>IF(COUNTA(A2463:G2463)=0,"",IF(C2463&lt;&gt;"",C2463,IF(B2463="","",IFERROR(INDEX(pr_des,MATCH(B2463,pr_code,0))&amp;"",""))))</f>
        <v/>
      </c>
      <c r="I2463" s="59" t="str">
        <f>IF(B2463="","",IFERROR(INDEX(pr_unit,MATCH(B2463,pr_code,0))&amp;"",""))</f>
        <v/>
      </c>
      <c r="J2463" s="65" t="str">
        <f>IF(COUNTA(A2463:G2463)=0,"",IF(E2463&lt;&gt;"",E2463,IF(B2463="","",IFERROR(IF(INDEX(pr_price,MATCH(B2463,pr_code,0))="","",INDEX(pr_price,MATCH(B2463,pr_code,0))),""))))</f>
        <v/>
      </c>
      <c r="K2463" s="71" t="str">
        <f>IF(COUNTA(A2463:G2463)=0,"",IF(G2463&lt;&gt;"",G2463,IF(B2463="","",IFERROR(IF(INDEX(pr_rate,MATCH(B2463,pr_code,0))="","",INDEX(pr_rate,MATCH(B2463,pr_code,0))),""))))</f>
        <v/>
      </c>
      <c r="L2463" s="65" t="str">
        <f>IF(COUNTA(A2463:G2463)=0,"",IF(AND(ISNUMBER(D2463),ISNUMBER(J2463)),ROUND(D2463*J2463*(1-N(F2463)),2),0))</f>
        <v/>
      </c>
      <c r="M2463" s="62" t="str">
        <f>IF(A2463="","",IFERROR(INDEX(dv_cname,MATCH(A2463,dv_num,0))&amp;"",""))</f>
        <v/>
      </c>
      <c r="N2463" s="59" t="str">
        <f>IF(COUNTA(A2463:G2463)=0,"",IF(A2463="","N° devis manquant",IF(ISNA(MATCH(A2463,dv_num,0)),"Devis inconnu",IF(AND(B2463&lt;&gt;"",ISNA(MATCH(B2463,pr_code,0))),"Article inconnu",IF(H2463="","Désignation manquante",IF(OR(NOT(ISNUMBER(D2463)),N(D2463)&lt;=0),"Quantité invalide",IF(J2463="","Prix manquant",IF(OR(NOT(ISNUMBER(J2463)),N(J2463)&lt;0),"Prix invalide",IF(OR(AND(F2463&lt;&gt;"",NOT(ISNUMBER(F2463))),N(F2463)&lt;0,N(F2463)&gt;1),"Remise invalide",IF(K2463="","Taux de TVA manquant",IF(NOT(ISNUMBER(K2463)),"Taux de TVA invalide",IF(COUNTIF(p_rates,K2463)=0,"Taux de TVA hors liste (Paramètres)",IF(N(O2463)&gt;25,"Au-delà de 25 lignes : non imprimée","OK")))))))))))))</f>
        <v/>
      </c>
      <c r="O2463" s="59" t="str">
        <f>IF(A2463="","",COUNTIF($A$6:A2463,A2463))</f>
        <v/>
      </c>
      <c r="P2463" s="62" t="str">
        <f>IF(A2463="","",A2463&amp;"|"&amp;O2463)</f>
        <v/>
      </c>
    </row>
    <row r="2464">
      <c r="A2464" s="60" t="n"/>
      <c r="B2464" s="63" t="n"/>
      <c r="C2464" s="63" t="n"/>
      <c r="D2464" s="67" t="n"/>
      <c r="E2464" s="68" t="n"/>
      <c r="F2464" s="69" t="n"/>
      <c r="G2464" s="70" t="n"/>
      <c r="H2464" s="62" t="str">
        <f>IF(COUNTA(A2464:G2464)=0,"",IF(C2464&lt;&gt;"",C2464,IF(B2464="","",IFERROR(INDEX(pr_des,MATCH(B2464,pr_code,0))&amp;"",""))))</f>
        <v/>
      </c>
      <c r="I2464" s="59" t="str">
        <f>IF(B2464="","",IFERROR(INDEX(pr_unit,MATCH(B2464,pr_code,0))&amp;"",""))</f>
        <v/>
      </c>
      <c r="J2464" s="65" t="str">
        <f>IF(COUNTA(A2464:G2464)=0,"",IF(E2464&lt;&gt;"",E2464,IF(B2464="","",IFERROR(IF(INDEX(pr_price,MATCH(B2464,pr_code,0))="","",INDEX(pr_price,MATCH(B2464,pr_code,0))),""))))</f>
        <v/>
      </c>
      <c r="K2464" s="71" t="str">
        <f>IF(COUNTA(A2464:G2464)=0,"",IF(G2464&lt;&gt;"",G2464,IF(B2464="","",IFERROR(IF(INDEX(pr_rate,MATCH(B2464,pr_code,0))="","",INDEX(pr_rate,MATCH(B2464,pr_code,0))),""))))</f>
        <v/>
      </c>
      <c r="L2464" s="65" t="str">
        <f>IF(COUNTA(A2464:G2464)=0,"",IF(AND(ISNUMBER(D2464),ISNUMBER(J2464)),ROUND(D2464*J2464*(1-N(F2464)),2),0))</f>
        <v/>
      </c>
      <c r="M2464" s="62" t="str">
        <f>IF(A2464="","",IFERROR(INDEX(dv_cname,MATCH(A2464,dv_num,0))&amp;"",""))</f>
        <v/>
      </c>
      <c r="N2464" s="59" t="str">
        <f>IF(COUNTA(A2464:G2464)=0,"",IF(A2464="","N° devis manquant",IF(ISNA(MATCH(A2464,dv_num,0)),"Devis inconnu",IF(AND(B2464&lt;&gt;"",ISNA(MATCH(B2464,pr_code,0))),"Article inconnu",IF(H2464="","Désignation manquante",IF(OR(NOT(ISNUMBER(D2464)),N(D2464)&lt;=0),"Quantité invalide",IF(J2464="","Prix manquant",IF(OR(NOT(ISNUMBER(J2464)),N(J2464)&lt;0),"Prix invalide",IF(OR(AND(F2464&lt;&gt;"",NOT(ISNUMBER(F2464))),N(F2464)&lt;0,N(F2464)&gt;1),"Remise invalide",IF(K2464="","Taux de TVA manquant",IF(NOT(ISNUMBER(K2464)),"Taux de TVA invalide",IF(COUNTIF(p_rates,K2464)=0,"Taux de TVA hors liste (Paramètres)",IF(N(O2464)&gt;25,"Au-delà de 25 lignes : non imprimée","OK")))))))))))))</f>
        <v/>
      </c>
      <c r="O2464" s="59" t="str">
        <f>IF(A2464="","",COUNTIF($A$6:A2464,A2464))</f>
        <v/>
      </c>
      <c r="P2464" s="62" t="str">
        <f>IF(A2464="","",A2464&amp;"|"&amp;O2464)</f>
        <v/>
      </c>
    </row>
    <row r="2465">
      <c r="A2465" s="60" t="n"/>
      <c r="B2465" s="63" t="n"/>
      <c r="C2465" s="63" t="n"/>
      <c r="D2465" s="67" t="n"/>
      <c r="E2465" s="68" t="n"/>
      <c r="F2465" s="69" t="n"/>
      <c r="G2465" s="70" t="n"/>
      <c r="H2465" s="62" t="str">
        <f>IF(COUNTA(A2465:G2465)=0,"",IF(C2465&lt;&gt;"",C2465,IF(B2465="","",IFERROR(INDEX(pr_des,MATCH(B2465,pr_code,0))&amp;"",""))))</f>
        <v/>
      </c>
      <c r="I2465" s="59" t="str">
        <f>IF(B2465="","",IFERROR(INDEX(pr_unit,MATCH(B2465,pr_code,0))&amp;"",""))</f>
        <v/>
      </c>
      <c r="J2465" s="65" t="str">
        <f>IF(COUNTA(A2465:G2465)=0,"",IF(E2465&lt;&gt;"",E2465,IF(B2465="","",IFERROR(IF(INDEX(pr_price,MATCH(B2465,pr_code,0))="","",INDEX(pr_price,MATCH(B2465,pr_code,0))),""))))</f>
        <v/>
      </c>
      <c r="K2465" s="71" t="str">
        <f>IF(COUNTA(A2465:G2465)=0,"",IF(G2465&lt;&gt;"",G2465,IF(B2465="","",IFERROR(IF(INDEX(pr_rate,MATCH(B2465,pr_code,0))="","",INDEX(pr_rate,MATCH(B2465,pr_code,0))),""))))</f>
        <v/>
      </c>
      <c r="L2465" s="65" t="str">
        <f>IF(COUNTA(A2465:G2465)=0,"",IF(AND(ISNUMBER(D2465),ISNUMBER(J2465)),ROUND(D2465*J2465*(1-N(F2465)),2),0))</f>
        <v/>
      </c>
      <c r="M2465" s="62" t="str">
        <f>IF(A2465="","",IFERROR(INDEX(dv_cname,MATCH(A2465,dv_num,0))&amp;"",""))</f>
        <v/>
      </c>
      <c r="N2465" s="59" t="str">
        <f>IF(COUNTA(A2465:G2465)=0,"",IF(A2465="","N° devis manquant",IF(ISNA(MATCH(A2465,dv_num,0)),"Devis inconnu",IF(AND(B2465&lt;&gt;"",ISNA(MATCH(B2465,pr_code,0))),"Article inconnu",IF(H2465="","Désignation manquante",IF(OR(NOT(ISNUMBER(D2465)),N(D2465)&lt;=0),"Quantité invalide",IF(J2465="","Prix manquant",IF(OR(NOT(ISNUMBER(J2465)),N(J2465)&lt;0),"Prix invalide",IF(OR(AND(F2465&lt;&gt;"",NOT(ISNUMBER(F2465))),N(F2465)&lt;0,N(F2465)&gt;1),"Remise invalide",IF(K2465="","Taux de TVA manquant",IF(NOT(ISNUMBER(K2465)),"Taux de TVA invalide",IF(COUNTIF(p_rates,K2465)=0,"Taux de TVA hors liste (Paramètres)",IF(N(O2465)&gt;25,"Au-delà de 25 lignes : non imprimée","OK")))))))))))))</f>
        <v/>
      </c>
      <c r="O2465" s="59" t="str">
        <f>IF(A2465="","",COUNTIF($A$6:A2465,A2465))</f>
        <v/>
      </c>
      <c r="P2465" s="62" t="str">
        <f>IF(A2465="","",A2465&amp;"|"&amp;O2465)</f>
        <v/>
      </c>
    </row>
    <row r="2466">
      <c r="A2466" s="60" t="n"/>
      <c r="B2466" s="63" t="n"/>
      <c r="C2466" s="63" t="n"/>
      <c r="D2466" s="67" t="n"/>
      <c r="E2466" s="68" t="n"/>
      <c r="F2466" s="69" t="n"/>
      <c r="G2466" s="70" t="n"/>
      <c r="H2466" s="62" t="str">
        <f>IF(COUNTA(A2466:G2466)=0,"",IF(C2466&lt;&gt;"",C2466,IF(B2466="","",IFERROR(INDEX(pr_des,MATCH(B2466,pr_code,0))&amp;"",""))))</f>
        <v/>
      </c>
      <c r="I2466" s="59" t="str">
        <f>IF(B2466="","",IFERROR(INDEX(pr_unit,MATCH(B2466,pr_code,0))&amp;"",""))</f>
        <v/>
      </c>
      <c r="J2466" s="65" t="str">
        <f>IF(COUNTA(A2466:G2466)=0,"",IF(E2466&lt;&gt;"",E2466,IF(B2466="","",IFERROR(IF(INDEX(pr_price,MATCH(B2466,pr_code,0))="","",INDEX(pr_price,MATCH(B2466,pr_code,0))),""))))</f>
        <v/>
      </c>
      <c r="K2466" s="71" t="str">
        <f>IF(COUNTA(A2466:G2466)=0,"",IF(G2466&lt;&gt;"",G2466,IF(B2466="","",IFERROR(IF(INDEX(pr_rate,MATCH(B2466,pr_code,0))="","",INDEX(pr_rate,MATCH(B2466,pr_code,0))),""))))</f>
        <v/>
      </c>
      <c r="L2466" s="65" t="str">
        <f>IF(COUNTA(A2466:G2466)=0,"",IF(AND(ISNUMBER(D2466),ISNUMBER(J2466)),ROUND(D2466*J2466*(1-N(F2466)),2),0))</f>
        <v/>
      </c>
      <c r="M2466" s="62" t="str">
        <f>IF(A2466="","",IFERROR(INDEX(dv_cname,MATCH(A2466,dv_num,0))&amp;"",""))</f>
        <v/>
      </c>
      <c r="N2466" s="59" t="str">
        <f>IF(COUNTA(A2466:G2466)=0,"",IF(A2466="","N° devis manquant",IF(ISNA(MATCH(A2466,dv_num,0)),"Devis inconnu",IF(AND(B2466&lt;&gt;"",ISNA(MATCH(B2466,pr_code,0))),"Article inconnu",IF(H2466="","Désignation manquante",IF(OR(NOT(ISNUMBER(D2466)),N(D2466)&lt;=0),"Quantité invalide",IF(J2466="","Prix manquant",IF(OR(NOT(ISNUMBER(J2466)),N(J2466)&lt;0),"Prix invalide",IF(OR(AND(F2466&lt;&gt;"",NOT(ISNUMBER(F2466))),N(F2466)&lt;0,N(F2466)&gt;1),"Remise invalide",IF(K2466="","Taux de TVA manquant",IF(NOT(ISNUMBER(K2466)),"Taux de TVA invalide",IF(COUNTIF(p_rates,K2466)=0,"Taux de TVA hors liste (Paramètres)",IF(N(O2466)&gt;25,"Au-delà de 25 lignes : non imprimée","OK")))))))))))))</f>
        <v/>
      </c>
      <c r="O2466" s="59" t="str">
        <f>IF(A2466="","",COUNTIF($A$6:A2466,A2466))</f>
        <v/>
      </c>
      <c r="P2466" s="62" t="str">
        <f>IF(A2466="","",A2466&amp;"|"&amp;O2466)</f>
        <v/>
      </c>
    </row>
    <row r="2467">
      <c r="A2467" s="60" t="n"/>
      <c r="B2467" s="63" t="n"/>
      <c r="C2467" s="63" t="n"/>
      <c r="D2467" s="67" t="n"/>
      <c r="E2467" s="68" t="n"/>
      <c r="F2467" s="69" t="n"/>
      <c r="G2467" s="70" t="n"/>
      <c r="H2467" s="62" t="str">
        <f>IF(COUNTA(A2467:G2467)=0,"",IF(C2467&lt;&gt;"",C2467,IF(B2467="","",IFERROR(INDEX(pr_des,MATCH(B2467,pr_code,0))&amp;"",""))))</f>
        <v/>
      </c>
      <c r="I2467" s="59" t="str">
        <f>IF(B2467="","",IFERROR(INDEX(pr_unit,MATCH(B2467,pr_code,0))&amp;"",""))</f>
        <v/>
      </c>
      <c r="J2467" s="65" t="str">
        <f>IF(COUNTA(A2467:G2467)=0,"",IF(E2467&lt;&gt;"",E2467,IF(B2467="","",IFERROR(IF(INDEX(pr_price,MATCH(B2467,pr_code,0))="","",INDEX(pr_price,MATCH(B2467,pr_code,0))),""))))</f>
        <v/>
      </c>
      <c r="K2467" s="71" t="str">
        <f>IF(COUNTA(A2467:G2467)=0,"",IF(G2467&lt;&gt;"",G2467,IF(B2467="","",IFERROR(IF(INDEX(pr_rate,MATCH(B2467,pr_code,0))="","",INDEX(pr_rate,MATCH(B2467,pr_code,0))),""))))</f>
        <v/>
      </c>
      <c r="L2467" s="65" t="str">
        <f>IF(COUNTA(A2467:G2467)=0,"",IF(AND(ISNUMBER(D2467),ISNUMBER(J2467)),ROUND(D2467*J2467*(1-N(F2467)),2),0))</f>
        <v/>
      </c>
      <c r="M2467" s="62" t="str">
        <f>IF(A2467="","",IFERROR(INDEX(dv_cname,MATCH(A2467,dv_num,0))&amp;"",""))</f>
        <v/>
      </c>
      <c r="N2467" s="59" t="str">
        <f>IF(COUNTA(A2467:G2467)=0,"",IF(A2467="","N° devis manquant",IF(ISNA(MATCH(A2467,dv_num,0)),"Devis inconnu",IF(AND(B2467&lt;&gt;"",ISNA(MATCH(B2467,pr_code,0))),"Article inconnu",IF(H2467="","Désignation manquante",IF(OR(NOT(ISNUMBER(D2467)),N(D2467)&lt;=0),"Quantité invalide",IF(J2467="","Prix manquant",IF(OR(NOT(ISNUMBER(J2467)),N(J2467)&lt;0),"Prix invalide",IF(OR(AND(F2467&lt;&gt;"",NOT(ISNUMBER(F2467))),N(F2467)&lt;0,N(F2467)&gt;1),"Remise invalide",IF(K2467="","Taux de TVA manquant",IF(NOT(ISNUMBER(K2467)),"Taux de TVA invalide",IF(COUNTIF(p_rates,K2467)=0,"Taux de TVA hors liste (Paramètres)",IF(N(O2467)&gt;25,"Au-delà de 25 lignes : non imprimée","OK")))))))))))))</f>
        <v/>
      </c>
      <c r="O2467" s="59" t="str">
        <f>IF(A2467="","",COUNTIF($A$6:A2467,A2467))</f>
        <v/>
      </c>
      <c r="P2467" s="62" t="str">
        <f>IF(A2467="","",A2467&amp;"|"&amp;O2467)</f>
        <v/>
      </c>
    </row>
    <row r="2468">
      <c r="A2468" s="60" t="n"/>
      <c r="B2468" s="63" t="n"/>
      <c r="C2468" s="63" t="n"/>
      <c r="D2468" s="67" t="n"/>
      <c r="E2468" s="68" t="n"/>
      <c r="F2468" s="69" t="n"/>
      <c r="G2468" s="70" t="n"/>
      <c r="H2468" s="62" t="str">
        <f>IF(COUNTA(A2468:G2468)=0,"",IF(C2468&lt;&gt;"",C2468,IF(B2468="","",IFERROR(INDEX(pr_des,MATCH(B2468,pr_code,0))&amp;"",""))))</f>
        <v/>
      </c>
      <c r="I2468" s="59" t="str">
        <f>IF(B2468="","",IFERROR(INDEX(pr_unit,MATCH(B2468,pr_code,0))&amp;"",""))</f>
        <v/>
      </c>
      <c r="J2468" s="65" t="str">
        <f>IF(COUNTA(A2468:G2468)=0,"",IF(E2468&lt;&gt;"",E2468,IF(B2468="","",IFERROR(IF(INDEX(pr_price,MATCH(B2468,pr_code,0))="","",INDEX(pr_price,MATCH(B2468,pr_code,0))),""))))</f>
        <v/>
      </c>
      <c r="K2468" s="71" t="str">
        <f>IF(COUNTA(A2468:G2468)=0,"",IF(G2468&lt;&gt;"",G2468,IF(B2468="","",IFERROR(IF(INDEX(pr_rate,MATCH(B2468,pr_code,0))="","",INDEX(pr_rate,MATCH(B2468,pr_code,0))),""))))</f>
        <v/>
      </c>
      <c r="L2468" s="65" t="str">
        <f>IF(COUNTA(A2468:G2468)=0,"",IF(AND(ISNUMBER(D2468),ISNUMBER(J2468)),ROUND(D2468*J2468*(1-N(F2468)),2),0))</f>
        <v/>
      </c>
      <c r="M2468" s="62" t="str">
        <f>IF(A2468="","",IFERROR(INDEX(dv_cname,MATCH(A2468,dv_num,0))&amp;"",""))</f>
        <v/>
      </c>
      <c r="N2468" s="59" t="str">
        <f>IF(COUNTA(A2468:G2468)=0,"",IF(A2468="","N° devis manquant",IF(ISNA(MATCH(A2468,dv_num,0)),"Devis inconnu",IF(AND(B2468&lt;&gt;"",ISNA(MATCH(B2468,pr_code,0))),"Article inconnu",IF(H2468="","Désignation manquante",IF(OR(NOT(ISNUMBER(D2468)),N(D2468)&lt;=0),"Quantité invalide",IF(J2468="","Prix manquant",IF(OR(NOT(ISNUMBER(J2468)),N(J2468)&lt;0),"Prix invalide",IF(OR(AND(F2468&lt;&gt;"",NOT(ISNUMBER(F2468))),N(F2468)&lt;0,N(F2468)&gt;1),"Remise invalide",IF(K2468="","Taux de TVA manquant",IF(NOT(ISNUMBER(K2468)),"Taux de TVA invalide",IF(COUNTIF(p_rates,K2468)=0,"Taux de TVA hors liste (Paramètres)",IF(N(O2468)&gt;25,"Au-delà de 25 lignes : non imprimée","OK")))))))))))))</f>
        <v/>
      </c>
      <c r="O2468" s="59" t="str">
        <f>IF(A2468="","",COUNTIF($A$6:A2468,A2468))</f>
        <v/>
      </c>
      <c r="P2468" s="62" t="str">
        <f>IF(A2468="","",A2468&amp;"|"&amp;O2468)</f>
        <v/>
      </c>
    </row>
    <row r="2469">
      <c r="A2469" s="60" t="n"/>
      <c r="B2469" s="63" t="n"/>
      <c r="C2469" s="63" t="n"/>
      <c r="D2469" s="67" t="n"/>
      <c r="E2469" s="68" t="n"/>
      <c r="F2469" s="69" t="n"/>
      <c r="G2469" s="70" t="n"/>
      <c r="H2469" s="62" t="str">
        <f>IF(COUNTA(A2469:G2469)=0,"",IF(C2469&lt;&gt;"",C2469,IF(B2469="","",IFERROR(INDEX(pr_des,MATCH(B2469,pr_code,0))&amp;"",""))))</f>
        <v/>
      </c>
      <c r="I2469" s="59" t="str">
        <f>IF(B2469="","",IFERROR(INDEX(pr_unit,MATCH(B2469,pr_code,0))&amp;"",""))</f>
        <v/>
      </c>
      <c r="J2469" s="65" t="str">
        <f>IF(COUNTA(A2469:G2469)=0,"",IF(E2469&lt;&gt;"",E2469,IF(B2469="","",IFERROR(IF(INDEX(pr_price,MATCH(B2469,pr_code,0))="","",INDEX(pr_price,MATCH(B2469,pr_code,0))),""))))</f>
        <v/>
      </c>
      <c r="K2469" s="71" t="str">
        <f>IF(COUNTA(A2469:G2469)=0,"",IF(G2469&lt;&gt;"",G2469,IF(B2469="","",IFERROR(IF(INDEX(pr_rate,MATCH(B2469,pr_code,0))="","",INDEX(pr_rate,MATCH(B2469,pr_code,0))),""))))</f>
        <v/>
      </c>
      <c r="L2469" s="65" t="str">
        <f>IF(COUNTA(A2469:G2469)=0,"",IF(AND(ISNUMBER(D2469),ISNUMBER(J2469)),ROUND(D2469*J2469*(1-N(F2469)),2),0))</f>
        <v/>
      </c>
      <c r="M2469" s="62" t="str">
        <f>IF(A2469="","",IFERROR(INDEX(dv_cname,MATCH(A2469,dv_num,0))&amp;"",""))</f>
        <v/>
      </c>
      <c r="N2469" s="59" t="str">
        <f>IF(COUNTA(A2469:G2469)=0,"",IF(A2469="","N° devis manquant",IF(ISNA(MATCH(A2469,dv_num,0)),"Devis inconnu",IF(AND(B2469&lt;&gt;"",ISNA(MATCH(B2469,pr_code,0))),"Article inconnu",IF(H2469="","Désignation manquante",IF(OR(NOT(ISNUMBER(D2469)),N(D2469)&lt;=0),"Quantité invalide",IF(J2469="","Prix manquant",IF(OR(NOT(ISNUMBER(J2469)),N(J2469)&lt;0),"Prix invalide",IF(OR(AND(F2469&lt;&gt;"",NOT(ISNUMBER(F2469))),N(F2469)&lt;0,N(F2469)&gt;1),"Remise invalide",IF(K2469="","Taux de TVA manquant",IF(NOT(ISNUMBER(K2469)),"Taux de TVA invalide",IF(COUNTIF(p_rates,K2469)=0,"Taux de TVA hors liste (Paramètres)",IF(N(O2469)&gt;25,"Au-delà de 25 lignes : non imprimée","OK")))))))))))))</f>
        <v/>
      </c>
      <c r="O2469" s="59" t="str">
        <f>IF(A2469="","",COUNTIF($A$6:A2469,A2469))</f>
        <v/>
      </c>
      <c r="P2469" s="62" t="str">
        <f>IF(A2469="","",A2469&amp;"|"&amp;O2469)</f>
        <v/>
      </c>
    </row>
    <row r="2470">
      <c r="A2470" s="60" t="n"/>
      <c r="B2470" s="63" t="n"/>
      <c r="C2470" s="63" t="n"/>
      <c r="D2470" s="67" t="n"/>
      <c r="E2470" s="68" t="n"/>
      <c r="F2470" s="69" t="n"/>
      <c r="G2470" s="70" t="n"/>
      <c r="H2470" s="62" t="str">
        <f>IF(COUNTA(A2470:G2470)=0,"",IF(C2470&lt;&gt;"",C2470,IF(B2470="","",IFERROR(INDEX(pr_des,MATCH(B2470,pr_code,0))&amp;"",""))))</f>
        <v/>
      </c>
      <c r="I2470" s="59" t="str">
        <f>IF(B2470="","",IFERROR(INDEX(pr_unit,MATCH(B2470,pr_code,0))&amp;"",""))</f>
        <v/>
      </c>
      <c r="J2470" s="65" t="str">
        <f>IF(COUNTA(A2470:G2470)=0,"",IF(E2470&lt;&gt;"",E2470,IF(B2470="","",IFERROR(IF(INDEX(pr_price,MATCH(B2470,pr_code,0))="","",INDEX(pr_price,MATCH(B2470,pr_code,0))),""))))</f>
        <v/>
      </c>
      <c r="K2470" s="71" t="str">
        <f>IF(COUNTA(A2470:G2470)=0,"",IF(G2470&lt;&gt;"",G2470,IF(B2470="","",IFERROR(IF(INDEX(pr_rate,MATCH(B2470,pr_code,0))="","",INDEX(pr_rate,MATCH(B2470,pr_code,0))),""))))</f>
        <v/>
      </c>
      <c r="L2470" s="65" t="str">
        <f>IF(COUNTA(A2470:G2470)=0,"",IF(AND(ISNUMBER(D2470),ISNUMBER(J2470)),ROUND(D2470*J2470*(1-N(F2470)),2),0))</f>
        <v/>
      </c>
      <c r="M2470" s="62" t="str">
        <f>IF(A2470="","",IFERROR(INDEX(dv_cname,MATCH(A2470,dv_num,0))&amp;"",""))</f>
        <v/>
      </c>
      <c r="N2470" s="59" t="str">
        <f>IF(COUNTA(A2470:G2470)=0,"",IF(A2470="","N° devis manquant",IF(ISNA(MATCH(A2470,dv_num,0)),"Devis inconnu",IF(AND(B2470&lt;&gt;"",ISNA(MATCH(B2470,pr_code,0))),"Article inconnu",IF(H2470="","Désignation manquante",IF(OR(NOT(ISNUMBER(D2470)),N(D2470)&lt;=0),"Quantité invalide",IF(J2470="","Prix manquant",IF(OR(NOT(ISNUMBER(J2470)),N(J2470)&lt;0),"Prix invalide",IF(OR(AND(F2470&lt;&gt;"",NOT(ISNUMBER(F2470))),N(F2470)&lt;0,N(F2470)&gt;1),"Remise invalide",IF(K2470="","Taux de TVA manquant",IF(NOT(ISNUMBER(K2470)),"Taux de TVA invalide",IF(COUNTIF(p_rates,K2470)=0,"Taux de TVA hors liste (Paramètres)",IF(N(O2470)&gt;25,"Au-delà de 25 lignes : non imprimée","OK")))))))))))))</f>
        <v/>
      </c>
      <c r="O2470" s="59" t="str">
        <f>IF(A2470="","",COUNTIF($A$6:A2470,A2470))</f>
        <v/>
      </c>
      <c r="P2470" s="62" t="str">
        <f>IF(A2470="","",A2470&amp;"|"&amp;O2470)</f>
        <v/>
      </c>
    </row>
    <row r="2471">
      <c r="A2471" s="60" t="n"/>
      <c r="B2471" s="63" t="n"/>
      <c r="C2471" s="63" t="n"/>
      <c r="D2471" s="67" t="n"/>
      <c r="E2471" s="68" t="n"/>
      <c r="F2471" s="69" t="n"/>
      <c r="G2471" s="70" t="n"/>
      <c r="H2471" s="62" t="str">
        <f>IF(COUNTA(A2471:G2471)=0,"",IF(C2471&lt;&gt;"",C2471,IF(B2471="","",IFERROR(INDEX(pr_des,MATCH(B2471,pr_code,0))&amp;"",""))))</f>
        <v/>
      </c>
      <c r="I2471" s="59" t="str">
        <f>IF(B2471="","",IFERROR(INDEX(pr_unit,MATCH(B2471,pr_code,0))&amp;"",""))</f>
        <v/>
      </c>
      <c r="J2471" s="65" t="str">
        <f>IF(COUNTA(A2471:G2471)=0,"",IF(E2471&lt;&gt;"",E2471,IF(B2471="","",IFERROR(IF(INDEX(pr_price,MATCH(B2471,pr_code,0))="","",INDEX(pr_price,MATCH(B2471,pr_code,0))),""))))</f>
        <v/>
      </c>
      <c r="K2471" s="71" t="str">
        <f>IF(COUNTA(A2471:G2471)=0,"",IF(G2471&lt;&gt;"",G2471,IF(B2471="","",IFERROR(IF(INDEX(pr_rate,MATCH(B2471,pr_code,0))="","",INDEX(pr_rate,MATCH(B2471,pr_code,0))),""))))</f>
        <v/>
      </c>
      <c r="L2471" s="65" t="str">
        <f>IF(COUNTA(A2471:G2471)=0,"",IF(AND(ISNUMBER(D2471),ISNUMBER(J2471)),ROUND(D2471*J2471*(1-N(F2471)),2),0))</f>
        <v/>
      </c>
      <c r="M2471" s="62" t="str">
        <f>IF(A2471="","",IFERROR(INDEX(dv_cname,MATCH(A2471,dv_num,0))&amp;"",""))</f>
        <v/>
      </c>
      <c r="N2471" s="59" t="str">
        <f>IF(COUNTA(A2471:G2471)=0,"",IF(A2471="","N° devis manquant",IF(ISNA(MATCH(A2471,dv_num,0)),"Devis inconnu",IF(AND(B2471&lt;&gt;"",ISNA(MATCH(B2471,pr_code,0))),"Article inconnu",IF(H2471="","Désignation manquante",IF(OR(NOT(ISNUMBER(D2471)),N(D2471)&lt;=0),"Quantité invalide",IF(J2471="","Prix manquant",IF(OR(NOT(ISNUMBER(J2471)),N(J2471)&lt;0),"Prix invalide",IF(OR(AND(F2471&lt;&gt;"",NOT(ISNUMBER(F2471))),N(F2471)&lt;0,N(F2471)&gt;1),"Remise invalide",IF(K2471="","Taux de TVA manquant",IF(NOT(ISNUMBER(K2471)),"Taux de TVA invalide",IF(COUNTIF(p_rates,K2471)=0,"Taux de TVA hors liste (Paramètres)",IF(N(O2471)&gt;25,"Au-delà de 25 lignes : non imprimée","OK")))))))))))))</f>
        <v/>
      </c>
      <c r="O2471" s="59" t="str">
        <f>IF(A2471="","",COUNTIF($A$6:A2471,A2471))</f>
        <v/>
      </c>
      <c r="P2471" s="62" t="str">
        <f>IF(A2471="","",A2471&amp;"|"&amp;O2471)</f>
        <v/>
      </c>
    </row>
    <row r="2472">
      <c r="A2472" s="60" t="n"/>
      <c r="B2472" s="63" t="n"/>
      <c r="C2472" s="63" t="n"/>
      <c r="D2472" s="67" t="n"/>
      <c r="E2472" s="68" t="n"/>
      <c r="F2472" s="69" t="n"/>
      <c r="G2472" s="70" t="n"/>
      <c r="H2472" s="62" t="str">
        <f>IF(COUNTA(A2472:G2472)=0,"",IF(C2472&lt;&gt;"",C2472,IF(B2472="","",IFERROR(INDEX(pr_des,MATCH(B2472,pr_code,0))&amp;"",""))))</f>
        <v/>
      </c>
      <c r="I2472" s="59" t="str">
        <f>IF(B2472="","",IFERROR(INDEX(pr_unit,MATCH(B2472,pr_code,0))&amp;"",""))</f>
        <v/>
      </c>
      <c r="J2472" s="65" t="str">
        <f>IF(COUNTA(A2472:G2472)=0,"",IF(E2472&lt;&gt;"",E2472,IF(B2472="","",IFERROR(IF(INDEX(pr_price,MATCH(B2472,pr_code,0))="","",INDEX(pr_price,MATCH(B2472,pr_code,0))),""))))</f>
        <v/>
      </c>
      <c r="K2472" s="71" t="str">
        <f>IF(COUNTA(A2472:G2472)=0,"",IF(G2472&lt;&gt;"",G2472,IF(B2472="","",IFERROR(IF(INDEX(pr_rate,MATCH(B2472,pr_code,0))="","",INDEX(pr_rate,MATCH(B2472,pr_code,0))),""))))</f>
        <v/>
      </c>
      <c r="L2472" s="65" t="str">
        <f>IF(COUNTA(A2472:G2472)=0,"",IF(AND(ISNUMBER(D2472),ISNUMBER(J2472)),ROUND(D2472*J2472*(1-N(F2472)),2),0))</f>
        <v/>
      </c>
      <c r="M2472" s="62" t="str">
        <f>IF(A2472="","",IFERROR(INDEX(dv_cname,MATCH(A2472,dv_num,0))&amp;"",""))</f>
        <v/>
      </c>
      <c r="N2472" s="59" t="str">
        <f>IF(COUNTA(A2472:G2472)=0,"",IF(A2472="","N° devis manquant",IF(ISNA(MATCH(A2472,dv_num,0)),"Devis inconnu",IF(AND(B2472&lt;&gt;"",ISNA(MATCH(B2472,pr_code,0))),"Article inconnu",IF(H2472="","Désignation manquante",IF(OR(NOT(ISNUMBER(D2472)),N(D2472)&lt;=0),"Quantité invalide",IF(J2472="","Prix manquant",IF(OR(NOT(ISNUMBER(J2472)),N(J2472)&lt;0),"Prix invalide",IF(OR(AND(F2472&lt;&gt;"",NOT(ISNUMBER(F2472))),N(F2472)&lt;0,N(F2472)&gt;1),"Remise invalide",IF(K2472="","Taux de TVA manquant",IF(NOT(ISNUMBER(K2472)),"Taux de TVA invalide",IF(COUNTIF(p_rates,K2472)=0,"Taux de TVA hors liste (Paramètres)",IF(N(O2472)&gt;25,"Au-delà de 25 lignes : non imprimée","OK")))))))))))))</f>
        <v/>
      </c>
      <c r="O2472" s="59" t="str">
        <f>IF(A2472="","",COUNTIF($A$6:A2472,A2472))</f>
        <v/>
      </c>
      <c r="P2472" s="62" t="str">
        <f>IF(A2472="","",A2472&amp;"|"&amp;O2472)</f>
        <v/>
      </c>
    </row>
    <row r="2473">
      <c r="A2473" s="60" t="n"/>
      <c r="B2473" s="63" t="n"/>
      <c r="C2473" s="63" t="n"/>
      <c r="D2473" s="67" t="n"/>
      <c r="E2473" s="68" t="n"/>
      <c r="F2473" s="69" t="n"/>
      <c r="G2473" s="70" t="n"/>
      <c r="H2473" s="62" t="str">
        <f>IF(COUNTA(A2473:G2473)=0,"",IF(C2473&lt;&gt;"",C2473,IF(B2473="","",IFERROR(INDEX(pr_des,MATCH(B2473,pr_code,0))&amp;"",""))))</f>
        <v/>
      </c>
      <c r="I2473" s="59" t="str">
        <f>IF(B2473="","",IFERROR(INDEX(pr_unit,MATCH(B2473,pr_code,0))&amp;"",""))</f>
        <v/>
      </c>
      <c r="J2473" s="65" t="str">
        <f>IF(COUNTA(A2473:G2473)=0,"",IF(E2473&lt;&gt;"",E2473,IF(B2473="","",IFERROR(IF(INDEX(pr_price,MATCH(B2473,pr_code,0))="","",INDEX(pr_price,MATCH(B2473,pr_code,0))),""))))</f>
        <v/>
      </c>
      <c r="K2473" s="71" t="str">
        <f>IF(COUNTA(A2473:G2473)=0,"",IF(G2473&lt;&gt;"",G2473,IF(B2473="","",IFERROR(IF(INDEX(pr_rate,MATCH(B2473,pr_code,0))="","",INDEX(pr_rate,MATCH(B2473,pr_code,0))),""))))</f>
        <v/>
      </c>
      <c r="L2473" s="65" t="str">
        <f>IF(COUNTA(A2473:G2473)=0,"",IF(AND(ISNUMBER(D2473),ISNUMBER(J2473)),ROUND(D2473*J2473*(1-N(F2473)),2),0))</f>
        <v/>
      </c>
      <c r="M2473" s="62" t="str">
        <f>IF(A2473="","",IFERROR(INDEX(dv_cname,MATCH(A2473,dv_num,0))&amp;"",""))</f>
        <v/>
      </c>
      <c r="N2473" s="59" t="str">
        <f>IF(COUNTA(A2473:G2473)=0,"",IF(A2473="","N° devis manquant",IF(ISNA(MATCH(A2473,dv_num,0)),"Devis inconnu",IF(AND(B2473&lt;&gt;"",ISNA(MATCH(B2473,pr_code,0))),"Article inconnu",IF(H2473="","Désignation manquante",IF(OR(NOT(ISNUMBER(D2473)),N(D2473)&lt;=0),"Quantité invalide",IF(J2473="","Prix manquant",IF(OR(NOT(ISNUMBER(J2473)),N(J2473)&lt;0),"Prix invalide",IF(OR(AND(F2473&lt;&gt;"",NOT(ISNUMBER(F2473))),N(F2473)&lt;0,N(F2473)&gt;1),"Remise invalide",IF(K2473="","Taux de TVA manquant",IF(NOT(ISNUMBER(K2473)),"Taux de TVA invalide",IF(COUNTIF(p_rates,K2473)=0,"Taux de TVA hors liste (Paramètres)",IF(N(O2473)&gt;25,"Au-delà de 25 lignes : non imprimée","OK")))))))))))))</f>
        <v/>
      </c>
      <c r="O2473" s="59" t="str">
        <f>IF(A2473="","",COUNTIF($A$6:A2473,A2473))</f>
        <v/>
      </c>
      <c r="P2473" s="62" t="str">
        <f>IF(A2473="","",A2473&amp;"|"&amp;O2473)</f>
        <v/>
      </c>
    </row>
    <row r="2474">
      <c r="A2474" s="60" t="n"/>
      <c r="B2474" s="63" t="n"/>
      <c r="C2474" s="63" t="n"/>
      <c r="D2474" s="67" t="n"/>
      <c r="E2474" s="68" t="n"/>
      <c r="F2474" s="69" t="n"/>
      <c r="G2474" s="70" t="n"/>
      <c r="H2474" s="62" t="str">
        <f>IF(COUNTA(A2474:G2474)=0,"",IF(C2474&lt;&gt;"",C2474,IF(B2474="","",IFERROR(INDEX(pr_des,MATCH(B2474,pr_code,0))&amp;"",""))))</f>
        <v/>
      </c>
      <c r="I2474" s="59" t="str">
        <f>IF(B2474="","",IFERROR(INDEX(pr_unit,MATCH(B2474,pr_code,0))&amp;"",""))</f>
        <v/>
      </c>
      <c r="J2474" s="65" t="str">
        <f>IF(COUNTA(A2474:G2474)=0,"",IF(E2474&lt;&gt;"",E2474,IF(B2474="","",IFERROR(IF(INDEX(pr_price,MATCH(B2474,pr_code,0))="","",INDEX(pr_price,MATCH(B2474,pr_code,0))),""))))</f>
        <v/>
      </c>
      <c r="K2474" s="71" t="str">
        <f>IF(COUNTA(A2474:G2474)=0,"",IF(G2474&lt;&gt;"",G2474,IF(B2474="","",IFERROR(IF(INDEX(pr_rate,MATCH(B2474,pr_code,0))="","",INDEX(pr_rate,MATCH(B2474,pr_code,0))),""))))</f>
        <v/>
      </c>
      <c r="L2474" s="65" t="str">
        <f>IF(COUNTA(A2474:G2474)=0,"",IF(AND(ISNUMBER(D2474),ISNUMBER(J2474)),ROUND(D2474*J2474*(1-N(F2474)),2),0))</f>
        <v/>
      </c>
      <c r="M2474" s="62" t="str">
        <f>IF(A2474="","",IFERROR(INDEX(dv_cname,MATCH(A2474,dv_num,0))&amp;"",""))</f>
        <v/>
      </c>
      <c r="N2474" s="59" t="str">
        <f>IF(COUNTA(A2474:G2474)=0,"",IF(A2474="","N° devis manquant",IF(ISNA(MATCH(A2474,dv_num,0)),"Devis inconnu",IF(AND(B2474&lt;&gt;"",ISNA(MATCH(B2474,pr_code,0))),"Article inconnu",IF(H2474="","Désignation manquante",IF(OR(NOT(ISNUMBER(D2474)),N(D2474)&lt;=0),"Quantité invalide",IF(J2474="","Prix manquant",IF(OR(NOT(ISNUMBER(J2474)),N(J2474)&lt;0),"Prix invalide",IF(OR(AND(F2474&lt;&gt;"",NOT(ISNUMBER(F2474))),N(F2474)&lt;0,N(F2474)&gt;1),"Remise invalide",IF(K2474="","Taux de TVA manquant",IF(NOT(ISNUMBER(K2474)),"Taux de TVA invalide",IF(COUNTIF(p_rates,K2474)=0,"Taux de TVA hors liste (Paramètres)",IF(N(O2474)&gt;25,"Au-delà de 25 lignes : non imprimée","OK")))))))))))))</f>
        <v/>
      </c>
      <c r="O2474" s="59" t="str">
        <f>IF(A2474="","",COUNTIF($A$6:A2474,A2474))</f>
        <v/>
      </c>
      <c r="P2474" s="62" t="str">
        <f>IF(A2474="","",A2474&amp;"|"&amp;O2474)</f>
        <v/>
      </c>
    </row>
    <row r="2475">
      <c r="A2475" s="60" t="n"/>
      <c r="B2475" s="63" t="n"/>
      <c r="C2475" s="63" t="n"/>
      <c r="D2475" s="67" t="n"/>
      <c r="E2475" s="68" t="n"/>
      <c r="F2475" s="69" t="n"/>
      <c r="G2475" s="70" t="n"/>
      <c r="H2475" s="62" t="str">
        <f>IF(COUNTA(A2475:G2475)=0,"",IF(C2475&lt;&gt;"",C2475,IF(B2475="","",IFERROR(INDEX(pr_des,MATCH(B2475,pr_code,0))&amp;"",""))))</f>
        <v/>
      </c>
      <c r="I2475" s="59" t="str">
        <f>IF(B2475="","",IFERROR(INDEX(pr_unit,MATCH(B2475,pr_code,0))&amp;"",""))</f>
        <v/>
      </c>
      <c r="J2475" s="65" t="str">
        <f>IF(COUNTA(A2475:G2475)=0,"",IF(E2475&lt;&gt;"",E2475,IF(B2475="","",IFERROR(IF(INDEX(pr_price,MATCH(B2475,pr_code,0))="","",INDEX(pr_price,MATCH(B2475,pr_code,0))),""))))</f>
        <v/>
      </c>
      <c r="K2475" s="71" t="str">
        <f>IF(COUNTA(A2475:G2475)=0,"",IF(G2475&lt;&gt;"",G2475,IF(B2475="","",IFERROR(IF(INDEX(pr_rate,MATCH(B2475,pr_code,0))="","",INDEX(pr_rate,MATCH(B2475,pr_code,0))),""))))</f>
        <v/>
      </c>
      <c r="L2475" s="65" t="str">
        <f>IF(COUNTA(A2475:G2475)=0,"",IF(AND(ISNUMBER(D2475),ISNUMBER(J2475)),ROUND(D2475*J2475*(1-N(F2475)),2),0))</f>
        <v/>
      </c>
      <c r="M2475" s="62" t="str">
        <f>IF(A2475="","",IFERROR(INDEX(dv_cname,MATCH(A2475,dv_num,0))&amp;"",""))</f>
        <v/>
      </c>
      <c r="N2475" s="59" t="str">
        <f>IF(COUNTA(A2475:G2475)=0,"",IF(A2475="","N° devis manquant",IF(ISNA(MATCH(A2475,dv_num,0)),"Devis inconnu",IF(AND(B2475&lt;&gt;"",ISNA(MATCH(B2475,pr_code,0))),"Article inconnu",IF(H2475="","Désignation manquante",IF(OR(NOT(ISNUMBER(D2475)),N(D2475)&lt;=0),"Quantité invalide",IF(J2475="","Prix manquant",IF(OR(NOT(ISNUMBER(J2475)),N(J2475)&lt;0),"Prix invalide",IF(OR(AND(F2475&lt;&gt;"",NOT(ISNUMBER(F2475))),N(F2475)&lt;0,N(F2475)&gt;1),"Remise invalide",IF(K2475="","Taux de TVA manquant",IF(NOT(ISNUMBER(K2475)),"Taux de TVA invalide",IF(COUNTIF(p_rates,K2475)=0,"Taux de TVA hors liste (Paramètres)",IF(N(O2475)&gt;25,"Au-delà de 25 lignes : non imprimée","OK")))))))))))))</f>
        <v/>
      </c>
      <c r="O2475" s="59" t="str">
        <f>IF(A2475="","",COUNTIF($A$6:A2475,A2475))</f>
        <v/>
      </c>
      <c r="P2475" s="62" t="str">
        <f>IF(A2475="","",A2475&amp;"|"&amp;O2475)</f>
        <v/>
      </c>
    </row>
    <row r="2476">
      <c r="A2476" s="60" t="n"/>
      <c r="B2476" s="63" t="n"/>
      <c r="C2476" s="63" t="n"/>
      <c r="D2476" s="67" t="n"/>
      <c r="E2476" s="68" t="n"/>
      <c r="F2476" s="69" t="n"/>
      <c r="G2476" s="70" t="n"/>
      <c r="H2476" s="62" t="str">
        <f>IF(COUNTA(A2476:G2476)=0,"",IF(C2476&lt;&gt;"",C2476,IF(B2476="","",IFERROR(INDEX(pr_des,MATCH(B2476,pr_code,0))&amp;"",""))))</f>
        <v/>
      </c>
      <c r="I2476" s="59" t="str">
        <f>IF(B2476="","",IFERROR(INDEX(pr_unit,MATCH(B2476,pr_code,0))&amp;"",""))</f>
        <v/>
      </c>
      <c r="J2476" s="65" t="str">
        <f>IF(COUNTA(A2476:G2476)=0,"",IF(E2476&lt;&gt;"",E2476,IF(B2476="","",IFERROR(IF(INDEX(pr_price,MATCH(B2476,pr_code,0))="","",INDEX(pr_price,MATCH(B2476,pr_code,0))),""))))</f>
        <v/>
      </c>
      <c r="K2476" s="71" t="str">
        <f>IF(COUNTA(A2476:G2476)=0,"",IF(G2476&lt;&gt;"",G2476,IF(B2476="","",IFERROR(IF(INDEX(pr_rate,MATCH(B2476,pr_code,0))="","",INDEX(pr_rate,MATCH(B2476,pr_code,0))),""))))</f>
        <v/>
      </c>
      <c r="L2476" s="65" t="str">
        <f>IF(COUNTA(A2476:G2476)=0,"",IF(AND(ISNUMBER(D2476),ISNUMBER(J2476)),ROUND(D2476*J2476*(1-N(F2476)),2),0))</f>
        <v/>
      </c>
      <c r="M2476" s="62" t="str">
        <f>IF(A2476="","",IFERROR(INDEX(dv_cname,MATCH(A2476,dv_num,0))&amp;"",""))</f>
        <v/>
      </c>
      <c r="N2476" s="59" t="str">
        <f>IF(COUNTA(A2476:G2476)=0,"",IF(A2476="","N° devis manquant",IF(ISNA(MATCH(A2476,dv_num,0)),"Devis inconnu",IF(AND(B2476&lt;&gt;"",ISNA(MATCH(B2476,pr_code,0))),"Article inconnu",IF(H2476="","Désignation manquante",IF(OR(NOT(ISNUMBER(D2476)),N(D2476)&lt;=0),"Quantité invalide",IF(J2476="","Prix manquant",IF(OR(NOT(ISNUMBER(J2476)),N(J2476)&lt;0),"Prix invalide",IF(OR(AND(F2476&lt;&gt;"",NOT(ISNUMBER(F2476))),N(F2476)&lt;0,N(F2476)&gt;1),"Remise invalide",IF(K2476="","Taux de TVA manquant",IF(NOT(ISNUMBER(K2476)),"Taux de TVA invalide",IF(COUNTIF(p_rates,K2476)=0,"Taux de TVA hors liste (Paramètres)",IF(N(O2476)&gt;25,"Au-delà de 25 lignes : non imprimée","OK")))))))))))))</f>
        <v/>
      </c>
      <c r="O2476" s="59" t="str">
        <f>IF(A2476="","",COUNTIF($A$6:A2476,A2476))</f>
        <v/>
      </c>
      <c r="P2476" s="62" t="str">
        <f>IF(A2476="","",A2476&amp;"|"&amp;O2476)</f>
        <v/>
      </c>
    </row>
    <row r="2477">
      <c r="A2477" s="60" t="n"/>
      <c r="B2477" s="63" t="n"/>
      <c r="C2477" s="63" t="n"/>
      <c r="D2477" s="67" t="n"/>
      <c r="E2477" s="68" t="n"/>
      <c r="F2477" s="69" t="n"/>
      <c r="G2477" s="70" t="n"/>
      <c r="H2477" s="62" t="str">
        <f>IF(COUNTA(A2477:G2477)=0,"",IF(C2477&lt;&gt;"",C2477,IF(B2477="","",IFERROR(INDEX(pr_des,MATCH(B2477,pr_code,0))&amp;"",""))))</f>
        <v/>
      </c>
      <c r="I2477" s="59" t="str">
        <f>IF(B2477="","",IFERROR(INDEX(pr_unit,MATCH(B2477,pr_code,0))&amp;"",""))</f>
        <v/>
      </c>
      <c r="J2477" s="65" t="str">
        <f>IF(COUNTA(A2477:G2477)=0,"",IF(E2477&lt;&gt;"",E2477,IF(B2477="","",IFERROR(IF(INDEX(pr_price,MATCH(B2477,pr_code,0))="","",INDEX(pr_price,MATCH(B2477,pr_code,0))),""))))</f>
        <v/>
      </c>
      <c r="K2477" s="71" t="str">
        <f>IF(COUNTA(A2477:G2477)=0,"",IF(G2477&lt;&gt;"",G2477,IF(B2477="","",IFERROR(IF(INDEX(pr_rate,MATCH(B2477,pr_code,0))="","",INDEX(pr_rate,MATCH(B2477,pr_code,0))),""))))</f>
        <v/>
      </c>
      <c r="L2477" s="65" t="str">
        <f>IF(COUNTA(A2477:G2477)=0,"",IF(AND(ISNUMBER(D2477),ISNUMBER(J2477)),ROUND(D2477*J2477*(1-N(F2477)),2),0))</f>
        <v/>
      </c>
      <c r="M2477" s="62" t="str">
        <f>IF(A2477="","",IFERROR(INDEX(dv_cname,MATCH(A2477,dv_num,0))&amp;"",""))</f>
        <v/>
      </c>
      <c r="N2477" s="59" t="str">
        <f>IF(COUNTA(A2477:G2477)=0,"",IF(A2477="","N° devis manquant",IF(ISNA(MATCH(A2477,dv_num,0)),"Devis inconnu",IF(AND(B2477&lt;&gt;"",ISNA(MATCH(B2477,pr_code,0))),"Article inconnu",IF(H2477="","Désignation manquante",IF(OR(NOT(ISNUMBER(D2477)),N(D2477)&lt;=0),"Quantité invalide",IF(J2477="","Prix manquant",IF(OR(NOT(ISNUMBER(J2477)),N(J2477)&lt;0),"Prix invalide",IF(OR(AND(F2477&lt;&gt;"",NOT(ISNUMBER(F2477))),N(F2477)&lt;0,N(F2477)&gt;1),"Remise invalide",IF(K2477="","Taux de TVA manquant",IF(NOT(ISNUMBER(K2477)),"Taux de TVA invalide",IF(COUNTIF(p_rates,K2477)=0,"Taux de TVA hors liste (Paramètres)",IF(N(O2477)&gt;25,"Au-delà de 25 lignes : non imprimée","OK")))))))))))))</f>
        <v/>
      </c>
      <c r="O2477" s="59" t="str">
        <f>IF(A2477="","",COUNTIF($A$6:A2477,A2477))</f>
        <v/>
      </c>
      <c r="P2477" s="62" t="str">
        <f>IF(A2477="","",A2477&amp;"|"&amp;O2477)</f>
        <v/>
      </c>
    </row>
    <row r="2478">
      <c r="A2478" s="60" t="n"/>
      <c r="B2478" s="63" t="n"/>
      <c r="C2478" s="63" t="n"/>
      <c r="D2478" s="67" t="n"/>
      <c r="E2478" s="68" t="n"/>
      <c r="F2478" s="69" t="n"/>
      <c r="G2478" s="70" t="n"/>
      <c r="H2478" s="62" t="str">
        <f>IF(COUNTA(A2478:G2478)=0,"",IF(C2478&lt;&gt;"",C2478,IF(B2478="","",IFERROR(INDEX(pr_des,MATCH(B2478,pr_code,0))&amp;"",""))))</f>
        <v/>
      </c>
      <c r="I2478" s="59" t="str">
        <f>IF(B2478="","",IFERROR(INDEX(pr_unit,MATCH(B2478,pr_code,0))&amp;"",""))</f>
        <v/>
      </c>
      <c r="J2478" s="65" t="str">
        <f>IF(COUNTA(A2478:G2478)=0,"",IF(E2478&lt;&gt;"",E2478,IF(B2478="","",IFERROR(IF(INDEX(pr_price,MATCH(B2478,pr_code,0))="","",INDEX(pr_price,MATCH(B2478,pr_code,0))),""))))</f>
        <v/>
      </c>
      <c r="K2478" s="71" t="str">
        <f>IF(COUNTA(A2478:G2478)=0,"",IF(G2478&lt;&gt;"",G2478,IF(B2478="","",IFERROR(IF(INDEX(pr_rate,MATCH(B2478,pr_code,0))="","",INDEX(pr_rate,MATCH(B2478,pr_code,0))),""))))</f>
        <v/>
      </c>
      <c r="L2478" s="65" t="str">
        <f>IF(COUNTA(A2478:G2478)=0,"",IF(AND(ISNUMBER(D2478),ISNUMBER(J2478)),ROUND(D2478*J2478*(1-N(F2478)),2),0))</f>
        <v/>
      </c>
      <c r="M2478" s="62" t="str">
        <f>IF(A2478="","",IFERROR(INDEX(dv_cname,MATCH(A2478,dv_num,0))&amp;"",""))</f>
        <v/>
      </c>
      <c r="N2478" s="59" t="str">
        <f>IF(COUNTA(A2478:G2478)=0,"",IF(A2478="","N° devis manquant",IF(ISNA(MATCH(A2478,dv_num,0)),"Devis inconnu",IF(AND(B2478&lt;&gt;"",ISNA(MATCH(B2478,pr_code,0))),"Article inconnu",IF(H2478="","Désignation manquante",IF(OR(NOT(ISNUMBER(D2478)),N(D2478)&lt;=0),"Quantité invalide",IF(J2478="","Prix manquant",IF(OR(NOT(ISNUMBER(J2478)),N(J2478)&lt;0),"Prix invalide",IF(OR(AND(F2478&lt;&gt;"",NOT(ISNUMBER(F2478))),N(F2478)&lt;0,N(F2478)&gt;1),"Remise invalide",IF(K2478="","Taux de TVA manquant",IF(NOT(ISNUMBER(K2478)),"Taux de TVA invalide",IF(COUNTIF(p_rates,K2478)=0,"Taux de TVA hors liste (Paramètres)",IF(N(O2478)&gt;25,"Au-delà de 25 lignes : non imprimée","OK")))))))))))))</f>
        <v/>
      </c>
      <c r="O2478" s="59" t="str">
        <f>IF(A2478="","",COUNTIF($A$6:A2478,A2478))</f>
        <v/>
      </c>
      <c r="P2478" s="62" t="str">
        <f>IF(A2478="","",A2478&amp;"|"&amp;O2478)</f>
        <v/>
      </c>
    </row>
    <row r="2479">
      <c r="A2479" s="60" t="n"/>
      <c r="B2479" s="63" t="n"/>
      <c r="C2479" s="63" t="n"/>
      <c r="D2479" s="67" t="n"/>
      <c r="E2479" s="68" t="n"/>
      <c r="F2479" s="69" t="n"/>
      <c r="G2479" s="70" t="n"/>
      <c r="H2479" s="62" t="str">
        <f>IF(COUNTA(A2479:G2479)=0,"",IF(C2479&lt;&gt;"",C2479,IF(B2479="","",IFERROR(INDEX(pr_des,MATCH(B2479,pr_code,0))&amp;"",""))))</f>
        <v/>
      </c>
      <c r="I2479" s="59" t="str">
        <f>IF(B2479="","",IFERROR(INDEX(pr_unit,MATCH(B2479,pr_code,0))&amp;"",""))</f>
        <v/>
      </c>
      <c r="J2479" s="65" t="str">
        <f>IF(COUNTA(A2479:G2479)=0,"",IF(E2479&lt;&gt;"",E2479,IF(B2479="","",IFERROR(IF(INDEX(pr_price,MATCH(B2479,pr_code,0))="","",INDEX(pr_price,MATCH(B2479,pr_code,0))),""))))</f>
        <v/>
      </c>
      <c r="K2479" s="71" t="str">
        <f>IF(COUNTA(A2479:G2479)=0,"",IF(G2479&lt;&gt;"",G2479,IF(B2479="","",IFERROR(IF(INDEX(pr_rate,MATCH(B2479,pr_code,0))="","",INDEX(pr_rate,MATCH(B2479,pr_code,0))),""))))</f>
        <v/>
      </c>
      <c r="L2479" s="65" t="str">
        <f>IF(COUNTA(A2479:G2479)=0,"",IF(AND(ISNUMBER(D2479),ISNUMBER(J2479)),ROUND(D2479*J2479*(1-N(F2479)),2),0))</f>
        <v/>
      </c>
      <c r="M2479" s="62" t="str">
        <f>IF(A2479="","",IFERROR(INDEX(dv_cname,MATCH(A2479,dv_num,0))&amp;"",""))</f>
        <v/>
      </c>
      <c r="N2479" s="59" t="str">
        <f>IF(COUNTA(A2479:G2479)=0,"",IF(A2479="","N° devis manquant",IF(ISNA(MATCH(A2479,dv_num,0)),"Devis inconnu",IF(AND(B2479&lt;&gt;"",ISNA(MATCH(B2479,pr_code,0))),"Article inconnu",IF(H2479="","Désignation manquante",IF(OR(NOT(ISNUMBER(D2479)),N(D2479)&lt;=0),"Quantité invalide",IF(J2479="","Prix manquant",IF(OR(NOT(ISNUMBER(J2479)),N(J2479)&lt;0),"Prix invalide",IF(OR(AND(F2479&lt;&gt;"",NOT(ISNUMBER(F2479))),N(F2479)&lt;0,N(F2479)&gt;1),"Remise invalide",IF(K2479="","Taux de TVA manquant",IF(NOT(ISNUMBER(K2479)),"Taux de TVA invalide",IF(COUNTIF(p_rates,K2479)=0,"Taux de TVA hors liste (Paramètres)",IF(N(O2479)&gt;25,"Au-delà de 25 lignes : non imprimée","OK")))))))))))))</f>
        <v/>
      </c>
      <c r="O2479" s="59" t="str">
        <f>IF(A2479="","",COUNTIF($A$6:A2479,A2479))</f>
        <v/>
      </c>
      <c r="P2479" s="62" t="str">
        <f>IF(A2479="","",A2479&amp;"|"&amp;O2479)</f>
        <v/>
      </c>
    </row>
    <row r="2480">
      <c r="A2480" s="60" t="n"/>
      <c r="B2480" s="63" t="n"/>
      <c r="C2480" s="63" t="n"/>
      <c r="D2480" s="67" t="n"/>
      <c r="E2480" s="68" t="n"/>
      <c r="F2480" s="69" t="n"/>
      <c r="G2480" s="70" t="n"/>
      <c r="H2480" s="62" t="str">
        <f>IF(COUNTA(A2480:G2480)=0,"",IF(C2480&lt;&gt;"",C2480,IF(B2480="","",IFERROR(INDEX(pr_des,MATCH(B2480,pr_code,0))&amp;"",""))))</f>
        <v/>
      </c>
      <c r="I2480" s="59" t="str">
        <f>IF(B2480="","",IFERROR(INDEX(pr_unit,MATCH(B2480,pr_code,0))&amp;"",""))</f>
        <v/>
      </c>
      <c r="J2480" s="65" t="str">
        <f>IF(COUNTA(A2480:G2480)=0,"",IF(E2480&lt;&gt;"",E2480,IF(B2480="","",IFERROR(IF(INDEX(pr_price,MATCH(B2480,pr_code,0))="","",INDEX(pr_price,MATCH(B2480,pr_code,0))),""))))</f>
        <v/>
      </c>
      <c r="K2480" s="71" t="str">
        <f>IF(COUNTA(A2480:G2480)=0,"",IF(G2480&lt;&gt;"",G2480,IF(B2480="","",IFERROR(IF(INDEX(pr_rate,MATCH(B2480,pr_code,0))="","",INDEX(pr_rate,MATCH(B2480,pr_code,0))),""))))</f>
        <v/>
      </c>
      <c r="L2480" s="65" t="str">
        <f>IF(COUNTA(A2480:G2480)=0,"",IF(AND(ISNUMBER(D2480),ISNUMBER(J2480)),ROUND(D2480*J2480*(1-N(F2480)),2),0))</f>
        <v/>
      </c>
      <c r="M2480" s="62" t="str">
        <f>IF(A2480="","",IFERROR(INDEX(dv_cname,MATCH(A2480,dv_num,0))&amp;"",""))</f>
        <v/>
      </c>
      <c r="N2480" s="59" t="str">
        <f>IF(COUNTA(A2480:G2480)=0,"",IF(A2480="","N° devis manquant",IF(ISNA(MATCH(A2480,dv_num,0)),"Devis inconnu",IF(AND(B2480&lt;&gt;"",ISNA(MATCH(B2480,pr_code,0))),"Article inconnu",IF(H2480="","Désignation manquante",IF(OR(NOT(ISNUMBER(D2480)),N(D2480)&lt;=0),"Quantité invalide",IF(J2480="","Prix manquant",IF(OR(NOT(ISNUMBER(J2480)),N(J2480)&lt;0),"Prix invalide",IF(OR(AND(F2480&lt;&gt;"",NOT(ISNUMBER(F2480))),N(F2480)&lt;0,N(F2480)&gt;1),"Remise invalide",IF(K2480="","Taux de TVA manquant",IF(NOT(ISNUMBER(K2480)),"Taux de TVA invalide",IF(COUNTIF(p_rates,K2480)=0,"Taux de TVA hors liste (Paramètres)",IF(N(O2480)&gt;25,"Au-delà de 25 lignes : non imprimée","OK")))))))))))))</f>
        <v/>
      </c>
      <c r="O2480" s="59" t="str">
        <f>IF(A2480="","",COUNTIF($A$6:A2480,A2480))</f>
        <v/>
      </c>
      <c r="P2480" s="62" t="str">
        <f>IF(A2480="","",A2480&amp;"|"&amp;O2480)</f>
        <v/>
      </c>
    </row>
    <row r="2481">
      <c r="A2481" s="60" t="n"/>
      <c r="B2481" s="63" t="n"/>
      <c r="C2481" s="63" t="n"/>
      <c r="D2481" s="67" t="n"/>
      <c r="E2481" s="68" t="n"/>
      <c r="F2481" s="69" t="n"/>
      <c r="G2481" s="70" t="n"/>
      <c r="H2481" s="62" t="str">
        <f>IF(COUNTA(A2481:G2481)=0,"",IF(C2481&lt;&gt;"",C2481,IF(B2481="","",IFERROR(INDEX(pr_des,MATCH(B2481,pr_code,0))&amp;"",""))))</f>
        <v/>
      </c>
      <c r="I2481" s="59" t="str">
        <f>IF(B2481="","",IFERROR(INDEX(pr_unit,MATCH(B2481,pr_code,0))&amp;"",""))</f>
        <v/>
      </c>
      <c r="J2481" s="65" t="str">
        <f>IF(COUNTA(A2481:G2481)=0,"",IF(E2481&lt;&gt;"",E2481,IF(B2481="","",IFERROR(IF(INDEX(pr_price,MATCH(B2481,pr_code,0))="","",INDEX(pr_price,MATCH(B2481,pr_code,0))),""))))</f>
        <v/>
      </c>
      <c r="K2481" s="71" t="str">
        <f>IF(COUNTA(A2481:G2481)=0,"",IF(G2481&lt;&gt;"",G2481,IF(B2481="","",IFERROR(IF(INDEX(pr_rate,MATCH(B2481,pr_code,0))="","",INDEX(pr_rate,MATCH(B2481,pr_code,0))),""))))</f>
        <v/>
      </c>
      <c r="L2481" s="65" t="str">
        <f>IF(COUNTA(A2481:G2481)=0,"",IF(AND(ISNUMBER(D2481),ISNUMBER(J2481)),ROUND(D2481*J2481*(1-N(F2481)),2),0))</f>
        <v/>
      </c>
      <c r="M2481" s="62" t="str">
        <f>IF(A2481="","",IFERROR(INDEX(dv_cname,MATCH(A2481,dv_num,0))&amp;"",""))</f>
        <v/>
      </c>
      <c r="N2481" s="59" t="str">
        <f>IF(COUNTA(A2481:G2481)=0,"",IF(A2481="","N° devis manquant",IF(ISNA(MATCH(A2481,dv_num,0)),"Devis inconnu",IF(AND(B2481&lt;&gt;"",ISNA(MATCH(B2481,pr_code,0))),"Article inconnu",IF(H2481="","Désignation manquante",IF(OR(NOT(ISNUMBER(D2481)),N(D2481)&lt;=0),"Quantité invalide",IF(J2481="","Prix manquant",IF(OR(NOT(ISNUMBER(J2481)),N(J2481)&lt;0),"Prix invalide",IF(OR(AND(F2481&lt;&gt;"",NOT(ISNUMBER(F2481))),N(F2481)&lt;0,N(F2481)&gt;1),"Remise invalide",IF(K2481="","Taux de TVA manquant",IF(NOT(ISNUMBER(K2481)),"Taux de TVA invalide",IF(COUNTIF(p_rates,K2481)=0,"Taux de TVA hors liste (Paramètres)",IF(N(O2481)&gt;25,"Au-delà de 25 lignes : non imprimée","OK")))))))))))))</f>
        <v/>
      </c>
      <c r="O2481" s="59" t="str">
        <f>IF(A2481="","",COUNTIF($A$6:A2481,A2481))</f>
        <v/>
      </c>
      <c r="P2481" s="62" t="str">
        <f>IF(A2481="","",A2481&amp;"|"&amp;O2481)</f>
        <v/>
      </c>
    </row>
    <row r="2482">
      <c r="A2482" s="60" t="n"/>
      <c r="B2482" s="63" t="n"/>
      <c r="C2482" s="63" t="n"/>
      <c r="D2482" s="67" t="n"/>
      <c r="E2482" s="68" t="n"/>
      <c r="F2482" s="69" t="n"/>
      <c r="G2482" s="70" t="n"/>
      <c r="H2482" s="62" t="str">
        <f>IF(COUNTA(A2482:G2482)=0,"",IF(C2482&lt;&gt;"",C2482,IF(B2482="","",IFERROR(INDEX(pr_des,MATCH(B2482,pr_code,0))&amp;"",""))))</f>
        <v/>
      </c>
      <c r="I2482" s="59" t="str">
        <f>IF(B2482="","",IFERROR(INDEX(pr_unit,MATCH(B2482,pr_code,0))&amp;"",""))</f>
        <v/>
      </c>
      <c r="J2482" s="65" t="str">
        <f>IF(COUNTA(A2482:G2482)=0,"",IF(E2482&lt;&gt;"",E2482,IF(B2482="","",IFERROR(IF(INDEX(pr_price,MATCH(B2482,pr_code,0))="","",INDEX(pr_price,MATCH(B2482,pr_code,0))),""))))</f>
        <v/>
      </c>
      <c r="K2482" s="71" t="str">
        <f>IF(COUNTA(A2482:G2482)=0,"",IF(G2482&lt;&gt;"",G2482,IF(B2482="","",IFERROR(IF(INDEX(pr_rate,MATCH(B2482,pr_code,0))="","",INDEX(pr_rate,MATCH(B2482,pr_code,0))),""))))</f>
        <v/>
      </c>
      <c r="L2482" s="65" t="str">
        <f>IF(COUNTA(A2482:G2482)=0,"",IF(AND(ISNUMBER(D2482),ISNUMBER(J2482)),ROUND(D2482*J2482*(1-N(F2482)),2),0))</f>
        <v/>
      </c>
      <c r="M2482" s="62" t="str">
        <f>IF(A2482="","",IFERROR(INDEX(dv_cname,MATCH(A2482,dv_num,0))&amp;"",""))</f>
        <v/>
      </c>
      <c r="N2482" s="59" t="str">
        <f>IF(COUNTA(A2482:G2482)=0,"",IF(A2482="","N° devis manquant",IF(ISNA(MATCH(A2482,dv_num,0)),"Devis inconnu",IF(AND(B2482&lt;&gt;"",ISNA(MATCH(B2482,pr_code,0))),"Article inconnu",IF(H2482="","Désignation manquante",IF(OR(NOT(ISNUMBER(D2482)),N(D2482)&lt;=0),"Quantité invalide",IF(J2482="","Prix manquant",IF(OR(NOT(ISNUMBER(J2482)),N(J2482)&lt;0),"Prix invalide",IF(OR(AND(F2482&lt;&gt;"",NOT(ISNUMBER(F2482))),N(F2482)&lt;0,N(F2482)&gt;1),"Remise invalide",IF(K2482="","Taux de TVA manquant",IF(NOT(ISNUMBER(K2482)),"Taux de TVA invalide",IF(COUNTIF(p_rates,K2482)=0,"Taux de TVA hors liste (Paramètres)",IF(N(O2482)&gt;25,"Au-delà de 25 lignes : non imprimée","OK")))))))))))))</f>
        <v/>
      </c>
      <c r="O2482" s="59" t="str">
        <f>IF(A2482="","",COUNTIF($A$6:A2482,A2482))</f>
        <v/>
      </c>
      <c r="P2482" s="62" t="str">
        <f>IF(A2482="","",A2482&amp;"|"&amp;O2482)</f>
        <v/>
      </c>
    </row>
    <row r="2483">
      <c r="A2483" s="60" t="n"/>
      <c r="B2483" s="63" t="n"/>
      <c r="C2483" s="63" t="n"/>
      <c r="D2483" s="67" t="n"/>
      <c r="E2483" s="68" t="n"/>
      <c r="F2483" s="69" t="n"/>
      <c r="G2483" s="70" t="n"/>
      <c r="H2483" s="62" t="str">
        <f>IF(COUNTA(A2483:G2483)=0,"",IF(C2483&lt;&gt;"",C2483,IF(B2483="","",IFERROR(INDEX(pr_des,MATCH(B2483,pr_code,0))&amp;"",""))))</f>
        <v/>
      </c>
      <c r="I2483" s="59" t="str">
        <f>IF(B2483="","",IFERROR(INDEX(pr_unit,MATCH(B2483,pr_code,0))&amp;"",""))</f>
        <v/>
      </c>
      <c r="J2483" s="65" t="str">
        <f>IF(COUNTA(A2483:G2483)=0,"",IF(E2483&lt;&gt;"",E2483,IF(B2483="","",IFERROR(IF(INDEX(pr_price,MATCH(B2483,pr_code,0))="","",INDEX(pr_price,MATCH(B2483,pr_code,0))),""))))</f>
        <v/>
      </c>
      <c r="K2483" s="71" t="str">
        <f>IF(COUNTA(A2483:G2483)=0,"",IF(G2483&lt;&gt;"",G2483,IF(B2483="","",IFERROR(IF(INDEX(pr_rate,MATCH(B2483,pr_code,0))="","",INDEX(pr_rate,MATCH(B2483,pr_code,0))),""))))</f>
        <v/>
      </c>
      <c r="L2483" s="65" t="str">
        <f>IF(COUNTA(A2483:G2483)=0,"",IF(AND(ISNUMBER(D2483),ISNUMBER(J2483)),ROUND(D2483*J2483*(1-N(F2483)),2),0))</f>
        <v/>
      </c>
      <c r="M2483" s="62" t="str">
        <f>IF(A2483="","",IFERROR(INDEX(dv_cname,MATCH(A2483,dv_num,0))&amp;"",""))</f>
        <v/>
      </c>
      <c r="N2483" s="59" t="str">
        <f>IF(COUNTA(A2483:G2483)=0,"",IF(A2483="","N° devis manquant",IF(ISNA(MATCH(A2483,dv_num,0)),"Devis inconnu",IF(AND(B2483&lt;&gt;"",ISNA(MATCH(B2483,pr_code,0))),"Article inconnu",IF(H2483="","Désignation manquante",IF(OR(NOT(ISNUMBER(D2483)),N(D2483)&lt;=0),"Quantité invalide",IF(J2483="","Prix manquant",IF(OR(NOT(ISNUMBER(J2483)),N(J2483)&lt;0),"Prix invalide",IF(OR(AND(F2483&lt;&gt;"",NOT(ISNUMBER(F2483))),N(F2483)&lt;0,N(F2483)&gt;1),"Remise invalide",IF(K2483="","Taux de TVA manquant",IF(NOT(ISNUMBER(K2483)),"Taux de TVA invalide",IF(COUNTIF(p_rates,K2483)=0,"Taux de TVA hors liste (Paramètres)",IF(N(O2483)&gt;25,"Au-delà de 25 lignes : non imprimée","OK")))))))))))))</f>
        <v/>
      </c>
      <c r="O2483" s="59" t="str">
        <f>IF(A2483="","",COUNTIF($A$6:A2483,A2483))</f>
        <v/>
      </c>
      <c r="P2483" s="62" t="str">
        <f>IF(A2483="","",A2483&amp;"|"&amp;O2483)</f>
        <v/>
      </c>
    </row>
    <row r="2484">
      <c r="A2484" s="60" t="n"/>
      <c r="B2484" s="63" t="n"/>
      <c r="C2484" s="63" t="n"/>
      <c r="D2484" s="67" t="n"/>
      <c r="E2484" s="68" t="n"/>
      <c r="F2484" s="69" t="n"/>
      <c r="G2484" s="70" t="n"/>
      <c r="H2484" s="62" t="str">
        <f>IF(COUNTA(A2484:G2484)=0,"",IF(C2484&lt;&gt;"",C2484,IF(B2484="","",IFERROR(INDEX(pr_des,MATCH(B2484,pr_code,0))&amp;"",""))))</f>
        <v/>
      </c>
      <c r="I2484" s="59" t="str">
        <f>IF(B2484="","",IFERROR(INDEX(pr_unit,MATCH(B2484,pr_code,0))&amp;"",""))</f>
        <v/>
      </c>
      <c r="J2484" s="65" t="str">
        <f>IF(COUNTA(A2484:G2484)=0,"",IF(E2484&lt;&gt;"",E2484,IF(B2484="","",IFERROR(IF(INDEX(pr_price,MATCH(B2484,pr_code,0))="","",INDEX(pr_price,MATCH(B2484,pr_code,0))),""))))</f>
        <v/>
      </c>
      <c r="K2484" s="71" t="str">
        <f>IF(COUNTA(A2484:G2484)=0,"",IF(G2484&lt;&gt;"",G2484,IF(B2484="","",IFERROR(IF(INDEX(pr_rate,MATCH(B2484,pr_code,0))="","",INDEX(pr_rate,MATCH(B2484,pr_code,0))),""))))</f>
        <v/>
      </c>
      <c r="L2484" s="65" t="str">
        <f>IF(COUNTA(A2484:G2484)=0,"",IF(AND(ISNUMBER(D2484),ISNUMBER(J2484)),ROUND(D2484*J2484*(1-N(F2484)),2),0))</f>
        <v/>
      </c>
      <c r="M2484" s="62" t="str">
        <f>IF(A2484="","",IFERROR(INDEX(dv_cname,MATCH(A2484,dv_num,0))&amp;"",""))</f>
        <v/>
      </c>
      <c r="N2484" s="59" t="str">
        <f>IF(COUNTA(A2484:G2484)=0,"",IF(A2484="","N° devis manquant",IF(ISNA(MATCH(A2484,dv_num,0)),"Devis inconnu",IF(AND(B2484&lt;&gt;"",ISNA(MATCH(B2484,pr_code,0))),"Article inconnu",IF(H2484="","Désignation manquante",IF(OR(NOT(ISNUMBER(D2484)),N(D2484)&lt;=0),"Quantité invalide",IF(J2484="","Prix manquant",IF(OR(NOT(ISNUMBER(J2484)),N(J2484)&lt;0),"Prix invalide",IF(OR(AND(F2484&lt;&gt;"",NOT(ISNUMBER(F2484))),N(F2484)&lt;0,N(F2484)&gt;1),"Remise invalide",IF(K2484="","Taux de TVA manquant",IF(NOT(ISNUMBER(K2484)),"Taux de TVA invalide",IF(COUNTIF(p_rates,K2484)=0,"Taux de TVA hors liste (Paramètres)",IF(N(O2484)&gt;25,"Au-delà de 25 lignes : non imprimée","OK")))))))))))))</f>
        <v/>
      </c>
      <c r="O2484" s="59" t="str">
        <f>IF(A2484="","",COUNTIF($A$6:A2484,A2484))</f>
        <v/>
      </c>
      <c r="P2484" s="62" t="str">
        <f>IF(A2484="","",A2484&amp;"|"&amp;O2484)</f>
        <v/>
      </c>
    </row>
    <row r="2485">
      <c r="A2485" s="60" t="n"/>
      <c r="B2485" s="63" t="n"/>
      <c r="C2485" s="63" t="n"/>
      <c r="D2485" s="67" t="n"/>
      <c r="E2485" s="68" t="n"/>
      <c r="F2485" s="69" t="n"/>
      <c r="G2485" s="70" t="n"/>
      <c r="H2485" s="62" t="str">
        <f>IF(COUNTA(A2485:G2485)=0,"",IF(C2485&lt;&gt;"",C2485,IF(B2485="","",IFERROR(INDEX(pr_des,MATCH(B2485,pr_code,0))&amp;"",""))))</f>
        <v/>
      </c>
      <c r="I2485" s="59" t="str">
        <f>IF(B2485="","",IFERROR(INDEX(pr_unit,MATCH(B2485,pr_code,0))&amp;"",""))</f>
        <v/>
      </c>
      <c r="J2485" s="65" t="str">
        <f>IF(COUNTA(A2485:G2485)=0,"",IF(E2485&lt;&gt;"",E2485,IF(B2485="","",IFERROR(IF(INDEX(pr_price,MATCH(B2485,pr_code,0))="","",INDEX(pr_price,MATCH(B2485,pr_code,0))),""))))</f>
        <v/>
      </c>
      <c r="K2485" s="71" t="str">
        <f>IF(COUNTA(A2485:G2485)=0,"",IF(G2485&lt;&gt;"",G2485,IF(B2485="","",IFERROR(IF(INDEX(pr_rate,MATCH(B2485,pr_code,0))="","",INDEX(pr_rate,MATCH(B2485,pr_code,0))),""))))</f>
        <v/>
      </c>
      <c r="L2485" s="65" t="str">
        <f>IF(COUNTA(A2485:G2485)=0,"",IF(AND(ISNUMBER(D2485),ISNUMBER(J2485)),ROUND(D2485*J2485*(1-N(F2485)),2),0))</f>
        <v/>
      </c>
      <c r="M2485" s="62" t="str">
        <f>IF(A2485="","",IFERROR(INDEX(dv_cname,MATCH(A2485,dv_num,0))&amp;"",""))</f>
        <v/>
      </c>
      <c r="N2485" s="59" t="str">
        <f>IF(COUNTA(A2485:G2485)=0,"",IF(A2485="","N° devis manquant",IF(ISNA(MATCH(A2485,dv_num,0)),"Devis inconnu",IF(AND(B2485&lt;&gt;"",ISNA(MATCH(B2485,pr_code,0))),"Article inconnu",IF(H2485="","Désignation manquante",IF(OR(NOT(ISNUMBER(D2485)),N(D2485)&lt;=0),"Quantité invalide",IF(J2485="","Prix manquant",IF(OR(NOT(ISNUMBER(J2485)),N(J2485)&lt;0),"Prix invalide",IF(OR(AND(F2485&lt;&gt;"",NOT(ISNUMBER(F2485))),N(F2485)&lt;0,N(F2485)&gt;1),"Remise invalide",IF(K2485="","Taux de TVA manquant",IF(NOT(ISNUMBER(K2485)),"Taux de TVA invalide",IF(COUNTIF(p_rates,K2485)=0,"Taux de TVA hors liste (Paramètres)",IF(N(O2485)&gt;25,"Au-delà de 25 lignes : non imprimée","OK")))))))))))))</f>
        <v/>
      </c>
      <c r="O2485" s="59" t="str">
        <f>IF(A2485="","",COUNTIF($A$6:A2485,A2485))</f>
        <v/>
      </c>
      <c r="P2485" s="62" t="str">
        <f>IF(A2485="","",A2485&amp;"|"&amp;O2485)</f>
        <v/>
      </c>
    </row>
    <row r="2486">
      <c r="A2486" s="60" t="n"/>
      <c r="B2486" s="63" t="n"/>
      <c r="C2486" s="63" t="n"/>
      <c r="D2486" s="67" t="n"/>
      <c r="E2486" s="68" t="n"/>
      <c r="F2486" s="69" t="n"/>
      <c r="G2486" s="70" t="n"/>
      <c r="H2486" s="62" t="str">
        <f>IF(COUNTA(A2486:G2486)=0,"",IF(C2486&lt;&gt;"",C2486,IF(B2486="","",IFERROR(INDEX(pr_des,MATCH(B2486,pr_code,0))&amp;"",""))))</f>
        <v/>
      </c>
      <c r="I2486" s="59" t="str">
        <f>IF(B2486="","",IFERROR(INDEX(pr_unit,MATCH(B2486,pr_code,0))&amp;"",""))</f>
        <v/>
      </c>
      <c r="J2486" s="65" t="str">
        <f>IF(COUNTA(A2486:G2486)=0,"",IF(E2486&lt;&gt;"",E2486,IF(B2486="","",IFERROR(IF(INDEX(pr_price,MATCH(B2486,pr_code,0))="","",INDEX(pr_price,MATCH(B2486,pr_code,0))),""))))</f>
        <v/>
      </c>
      <c r="K2486" s="71" t="str">
        <f>IF(COUNTA(A2486:G2486)=0,"",IF(G2486&lt;&gt;"",G2486,IF(B2486="","",IFERROR(IF(INDEX(pr_rate,MATCH(B2486,pr_code,0))="","",INDEX(pr_rate,MATCH(B2486,pr_code,0))),""))))</f>
        <v/>
      </c>
      <c r="L2486" s="65" t="str">
        <f>IF(COUNTA(A2486:G2486)=0,"",IF(AND(ISNUMBER(D2486),ISNUMBER(J2486)),ROUND(D2486*J2486*(1-N(F2486)),2),0))</f>
        <v/>
      </c>
      <c r="M2486" s="62" t="str">
        <f>IF(A2486="","",IFERROR(INDEX(dv_cname,MATCH(A2486,dv_num,0))&amp;"",""))</f>
        <v/>
      </c>
      <c r="N2486" s="59" t="str">
        <f>IF(COUNTA(A2486:G2486)=0,"",IF(A2486="","N° devis manquant",IF(ISNA(MATCH(A2486,dv_num,0)),"Devis inconnu",IF(AND(B2486&lt;&gt;"",ISNA(MATCH(B2486,pr_code,0))),"Article inconnu",IF(H2486="","Désignation manquante",IF(OR(NOT(ISNUMBER(D2486)),N(D2486)&lt;=0),"Quantité invalide",IF(J2486="","Prix manquant",IF(OR(NOT(ISNUMBER(J2486)),N(J2486)&lt;0),"Prix invalide",IF(OR(AND(F2486&lt;&gt;"",NOT(ISNUMBER(F2486))),N(F2486)&lt;0,N(F2486)&gt;1),"Remise invalide",IF(K2486="","Taux de TVA manquant",IF(NOT(ISNUMBER(K2486)),"Taux de TVA invalide",IF(COUNTIF(p_rates,K2486)=0,"Taux de TVA hors liste (Paramètres)",IF(N(O2486)&gt;25,"Au-delà de 25 lignes : non imprimée","OK")))))))))))))</f>
        <v/>
      </c>
      <c r="O2486" s="59" t="str">
        <f>IF(A2486="","",COUNTIF($A$6:A2486,A2486))</f>
        <v/>
      </c>
      <c r="P2486" s="62" t="str">
        <f>IF(A2486="","",A2486&amp;"|"&amp;O2486)</f>
        <v/>
      </c>
    </row>
    <row r="2487">
      <c r="A2487" s="60" t="n"/>
      <c r="B2487" s="63" t="n"/>
      <c r="C2487" s="63" t="n"/>
      <c r="D2487" s="67" t="n"/>
      <c r="E2487" s="68" t="n"/>
      <c r="F2487" s="69" t="n"/>
      <c r="G2487" s="70" t="n"/>
      <c r="H2487" s="62" t="str">
        <f>IF(COUNTA(A2487:G2487)=0,"",IF(C2487&lt;&gt;"",C2487,IF(B2487="","",IFERROR(INDEX(pr_des,MATCH(B2487,pr_code,0))&amp;"",""))))</f>
        <v/>
      </c>
      <c r="I2487" s="59" t="str">
        <f>IF(B2487="","",IFERROR(INDEX(pr_unit,MATCH(B2487,pr_code,0))&amp;"",""))</f>
        <v/>
      </c>
      <c r="J2487" s="65" t="str">
        <f>IF(COUNTA(A2487:G2487)=0,"",IF(E2487&lt;&gt;"",E2487,IF(B2487="","",IFERROR(IF(INDEX(pr_price,MATCH(B2487,pr_code,0))="","",INDEX(pr_price,MATCH(B2487,pr_code,0))),""))))</f>
        <v/>
      </c>
      <c r="K2487" s="71" t="str">
        <f>IF(COUNTA(A2487:G2487)=0,"",IF(G2487&lt;&gt;"",G2487,IF(B2487="","",IFERROR(IF(INDEX(pr_rate,MATCH(B2487,pr_code,0))="","",INDEX(pr_rate,MATCH(B2487,pr_code,0))),""))))</f>
        <v/>
      </c>
      <c r="L2487" s="65" t="str">
        <f>IF(COUNTA(A2487:G2487)=0,"",IF(AND(ISNUMBER(D2487),ISNUMBER(J2487)),ROUND(D2487*J2487*(1-N(F2487)),2),0))</f>
        <v/>
      </c>
      <c r="M2487" s="62" t="str">
        <f>IF(A2487="","",IFERROR(INDEX(dv_cname,MATCH(A2487,dv_num,0))&amp;"",""))</f>
        <v/>
      </c>
      <c r="N2487" s="59" t="str">
        <f>IF(COUNTA(A2487:G2487)=0,"",IF(A2487="","N° devis manquant",IF(ISNA(MATCH(A2487,dv_num,0)),"Devis inconnu",IF(AND(B2487&lt;&gt;"",ISNA(MATCH(B2487,pr_code,0))),"Article inconnu",IF(H2487="","Désignation manquante",IF(OR(NOT(ISNUMBER(D2487)),N(D2487)&lt;=0),"Quantité invalide",IF(J2487="","Prix manquant",IF(OR(NOT(ISNUMBER(J2487)),N(J2487)&lt;0),"Prix invalide",IF(OR(AND(F2487&lt;&gt;"",NOT(ISNUMBER(F2487))),N(F2487)&lt;0,N(F2487)&gt;1),"Remise invalide",IF(K2487="","Taux de TVA manquant",IF(NOT(ISNUMBER(K2487)),"Taux de TVA invalide",IF(COUNTIF(p_rates,K2487)=0,"Taux de TVA hors liste (Paramètres)",IF(N(O2487)&gt;25,"Au-delà de 25 lignes : non imprimée","OK")))))))))))))</f>
        <v/>
      </c>
      <c r="O2487" s="59" t="str">
        <f>IF(A2487="","",COUNTIF($A$6:A2487,A2487))</f>
        <v/>
      </c>
      <c r="P2487" s="62" t="str">
        <f>IF(A2487="","",A2487&amp;"|"&amp;O2487)</f>
        <v/>
      </c>
    </row>
    <row r="2488">
      <c r="A2488" s="60" t="n"/>
      <c r="B2488" s="63" t="n"/>
      <c r="C2488" s="63" t="n"/>
      <c r="D2488" s="67" t="n"/>
      <c r="E2488" s="68" t="n"/>
      <c r="F2488" s="69" t="n"/>
      <c r="G2488" s="70" t="n"/>
      <c r="H2488" s="62" t="str">
        <f>IF(COUNTA(A2488:G2488)=0,"",IF(C2488&lt;&gt;"",C2488,IF(B2488="","",IFERROR(INDEX(pr_des,MATCH(B2488,pr_code,0))&amp;"",""))))</f>
        <v/>
      </c>
      <c r="I2488" s="59" t="str">
        <f>IF(B2488="","",IFERROR(INDEX(pr_unit,MATCH(B2488,pr_code,0))&amp;"",""))</f>
        <v/>
      </c>
      <c r="J2488" s="65" t="str">
        <f>IF(COUNTA(A2488:G2488)=0,"",IF(E2488&lt;&gt;"",E2488,IF(B2488="","",IFERROR(IF(INDEX(pr_price,MATCH(B2488,pr_code,0))="","",INDEX(pr_price,MATCH(B2488,pr_code,0))),""))))</f>
        <v/>
      </c>
      <c r="K2488" s="71" t="str">
        <f>IF(COUNTA(A2488:G2488)=0,"",IF(G2488&lt;&gt;"",G2488,IF(B2488="","",IFERROR(IF(INDEX(pr_rate,MATCH(B2488,pr_code,0))="","",INDEX(pr_rate,MATCH(B2488,pr_code,0))),""))))</f>
        <v/>
      </c>
      <c r="L2488" s="65" t="str">
        <f>IF(COUNTA(A2488:G2488)=0,"",IF(AND(ISNUMBER(D2488),ISNUMBER(J2488)),ROUND(D2488*J2488*(1-N(F2488)),2),0))</f>
        <v/>
      </c>
      <c r="M2488" s="62" t="str">
        <f>IF(A2488="","",IFERROR(INDEX(dv_cname,MATCH(A2488,dv_num,0))&amp;"",""))</f>
        <v/>
      </c>
      <c r="N2488" s="59" t="str">
        <f>IF(COUNTA(A2488:G2488)=0,"",IF(A2488="","N° devis manquant",IF(ISNA(MATCH(A2488,dv_num,0)),"Devis inconnu",IF(AND(B2488&lt;&gt;"",ISNA(MATCH(B2488,pr_code,0))),"Article inconnu",IF(H2488="","Désignation manquante",IF(OR(NOT(ISNUMBER(D2488)),N(D2488)&lt;=0),"Quantité invalide",IF(J2488="","Prix manquant",IF(OR(NOT(ISNUMBER(J2488)),N(J2488)&lt;0),"Prix invalide",IF(OR(AND(F2488&lt;&gt;"",NOT(ISNUMBER(F2488))),N(F2488)&lt;0,N(F2488)&gt;1),"Remise invalide",IF(K2488="","Taux de TVA manquant",IF(NOT(ISNUMBER(K2488)),"Taux de TVA invalide",IF(COUNTIF(p_rates,K2488)=0,"Taux de TVA hors liste (Paramètres)",IF(N(O2488)&gt;25,"Au-delà de 25 lignes : non imprimée","OK")))))))))))))</f>
        <v/>
      </c>
      <c r="O2488" s="59" t="str">
        <f>IF(A2488="","",COUNTIF($A$6:A2488,A2488))</f>
        <v/>
      </c>
      <c r="P2488" s="62" t="str">
        <f>IF(A2488="","",A2488&amp;"|"&amp;O2488)</f>
        <v/>
      </c>
    </row>
    <row r="2489">
      <c r="A2489" s="60" t="n"/>
      <c r="B2489" s="63" t="n"/>
      <c r="C2489" s="63" t="n"/>
      <c r="D2489" s="67" t="n"/>
      <c r="E2489" s="68" t="n"/>
      <c r="F2489" s="69" t="n"/>
      <c r="G2489" s="70" t="n"/>
      <c r="H2489" s="62" t="str">
        <f>IF(COUNTA(A2489:G2489)=0,"",IF(C2489&lt;&gt;"",C2489,IF(B2489="","",IFERROR(INDEX(pr_des,MATCH(B2489,pr_code,0))&amp;"",""))))</f>
        <v/>
      </c>
      <c r="I2489" s="59" t="str">
        <f>IF(B2489="","",IFERROR(INDEX(pr_unit,MATCH(B2489,pr_code,0))&amp;"",""))</f>
        <v/>
      </c>
      <c r="J2489" s="65" t="str">
        <f>IF(COUNTA(A2489:G2489)=0,"",IF(E2489&lt;&gt;"",E2489,IF(B2489="","",IFERROR(IF(INDEX(pr_price,MATCH(B2489,pr_code,0))="","",INDEX(pr_price,MATCH(B2489,pr_code,0))),""))))</f>
        <v/>
      </c>
      <c r="K2489" s="71" t="str">
        <f>IF(COUNTA(A2489:G2489)=0,"",IF(G2489&lt;&gt;"",G2489,IF(B2489="","",IFERROR(IF(INDEX(pr_rate,MATCH(B2489,pr_code,0))="","",INDEX(pr_rate,MATCH(B2489,pr_code,0))),""))))</f>
        <v/>
      </c>
      <c r="L2489" s="65" t="str">
        <f>IF(COUNTA(A2489:G2489)=0,"",IF(AND(ISNUMBER(D2489),ISNUMBER(J2489)),ROUND(D2489*J2489*(1-N(F2489)),2),0))</f>
        <v/>
      </c>
      <c r="M2489" s="62" t="str">
        <f>IF(A2489="","",IFERROR(INDEX(dv_cname,MATCH(A2489,dv_num,0))&amp;"",""))</f>
        <v/>
      </c>
      <c r="N2489" s="59" t="str">
        <f>IF(COUNTA(A2489:G2489)=0,"",IF(A2489="","N° devis manquant",IF(ISNA(MATCH(A2489,dv_num,0)),"Devis inconnu",IF(AND(B2489&lt;&gt;"",ISNA(MATCH(B2489,pr_code,0))),"Article inconnu",IF(H2489="","Désignation manquante",IF(OR(NOT(ISNUMBER(D2489)),N(D2489)&lt;=0),"Quantité invalide",IF(J2489="","Prix manquant",IF(OR(NOT(ISNUMBER(J2489)),N(J2489)&lt;0),"Prix invalide",IF(OR(AND(F2489&lt;&gt;"",NOT(ISNUMBER(F2489))),N(F2489)&lt;0,N(F2489)&gt;1),"Remise invalide",IF(K2489="","Taux de TVA manquant",IF(NOT(ISNUMBER(K2489)),"Taux de TVA invalide",IF(COUNTIF(p_rates,K2489)=0,"Taux de TVA hors liste (Paramètres)",IF(N(O2489)&gt;25,"Au-delà de 25 lignes : non imprimée","OK")))))))))))))</f>
        <v/>
      </c>
      <c r="O2489" s="59" t="str">
        <f>IF(A2489="","",COUNTIF($A$6:A2489,A2489))</f>
        <v/>
      </c>
      <c r="P2489" s="62" t="str">
        <f>IF(A2489="","",A2489&amp;"|"&amp;O2489)</f>
        <v/>
      </c>
    </row>
    <row r="2490">
      <c r="A2490" s="60" t="n"/>
      <c r="B2490" s="63" t="n"/>
      <c r="C2490" s="63" t="n"/>
      <c r="D2490" s="67" t="n"/>
      <c r="E2490" s="68" t="n"/>
      <c r="F2490" s="69" t="n"/>
      <c r="G2490" s="70" t="n"/>
      <c r="H2490" s="62" t="str">
        <f>IF(COUNTA(A2490:G2490)=0,"",IF(C2490&lt;&gt;"",C2490,IF(B2490="","",IFERROR(INDEX(pr_des,MATCH(B2490,pr_code,0))&amp;"",""))))</f>
        <v/>
      </c>
      <c r="I2490" s="59" t="str">
        <f>IF(B2490="","",IFERROR(INDEX(pr_unit,MATCH(B2490,pr_code,0))&amp;"",""))</f>
        <v/>
      </c>
      <c r="J2490" s="65" t="str">
        <f>IF(COUNTA(A2490:G2490)=0,"",IF(E2490&lt;&gt;"",E2490,IF(B2490="","",IFERROR(IF(INDEX(pr_price,MATCH(B2490,pr_code,0))="","",INDEX(pr_price,MATCH(B2490,pr_code,0))),""))))</f>
        <v/>
      </c>
      <c r="K2490" s="71" t="str">
        <f>IF(COUNTA(A2490:G2490)=0,"",IF(G2490&lt;&gt;"",G2490,IF(B2490="","",IFERROR(IF(INDEX(pr_rate,MATCH(B2490,pr_code,0))="","",INDEX(pr_rate,MATCH(B2490,pr_code,0))),""))))</f>
        <v/>
      </c>
      <c r="L2490" s="65" t="str">
        <f>IF(COUNTA(A2490:G2490)=0,"",IF(AND(ISNUMBER(D2490),ISNUMBER(J2490)),ROUND(D2490*J2490*(1-N(F2490)),2),0))</f>
        <v/>
      </c>
      <c r="M2490" s="62" t="str">
        <f>IF(A2490="","",IFERROR(INDEX(dv_cname,MATCH(A2490,dv_num,0))&amp;"",""))</f>
        <v/>
      </c>
      <c r="N2490" s="59" t="str">
        <f>IF(COUNTA(A2490:G2490)=0,"",IF(A2490="","N° devis manquant",IF(ISNA(MATCH(A2490,dv_num,0)),"Devis inconnu",IF(AND(B2490&lt;&gt;"",ISNA(MATCH(B2490,pr_code,0))),"Article inconnu",IF(H2490="","Désignation manquante",IF(OR(NOT(ISNUMBER(D2490)),N(D2490)&lt;=0),"Quantité invalide",IF(J2490="","Prix manquant",IF(OR(NOT(ISNUMBER(J2490)),N(J2490)&lt;0),"Prix invalide",IF(OR(AND(F2490&lt;&gt;"",NOT(ISNUMBER(F2490))),N(F2490)&lt;0,N(F2490)&gt;1),"Remise invalide",IF(K2490="","Taux de TVA manquant",IF(NOT(ISNUMBER(K2490)),"Taux de TVA invalide",IF(COUNTIF(p_rates,K2490)=0,"Taux de TVA hors liste (Paramètres)",IF(N(O2490)&gt;25,"Au-delà de 25 lignes : non imprimée","OK")))))))))))))</f>
        <v/>
      </c>
      <c r="O2490" s="59" t="str">
        <f>IF(A2490="","",COUNTIF($A$6:A2490,A2490))</f>
        <v/>
      </c>
      <c r="P2490" s="62" t="str">
        <f>IF(A2490="","",A2490&amp;"|"&amp;O2490)</f>
        <v/>
      </c>
    </row>
    <row r="2491">
      <c r="A2491" s="60" t="n"/>
      <c r="B2491" s="63" t="n"/>
      <c r="C2491" s="63" t="n"/>
      <c r="D2491" s="67" t="n"/>
      <c r="E2491" s="68" t="n"/>
      <c r="F2491" s="69" t="n"/>
      <c r="G2491" s="70" t="n"/>
      <c r="H2491" s="62" t="str">
        <f>IF(COUNTA(A2491:G2491)=0,"",IF(C2491&lt;&gt;"",C2491,IF(B2491="","",IFERROR(INDEX(pr_des,MATCH(B2491,pr_code,0))&amp;"",""))))</f>
        <v/>
      </c>
      <c r="I2491" s="59" t="str">
        <f>IF(B2491="","",IFERROR(INDEX(pr_unit,MATCH(B2491,pr_code,0))&amp;"",""))</f>
        <v/>
      </c>
      <c r="J2491" s="65" t="str">
        <f>IF(COUNTA(A2491:G2491)=0,"",IF(E2491&lt;&gt;"",E2491,IF(B2491="","",IFERROR(IF(INDEX(pr_price,MATCH(B2491,pr_code,0))="","",INDEX(pr_price,MATCH(B2491,pr_code,0))),""))))</f>
        <v/>
      </c>
      <c r="K2491" s="71" t="str">
        <f>IF(COUNTA(A2491:G2491)=0,"",IF(G2491&lt;&gt;"",G2491,IF(B2491="","",IFERROR(IF(INDEX(pr_rate,MATCH(B2491,pr_code,0))="","",INDEX(pr_rate,MATCH(B2491,pr_code,0))),""))))</f>
        <v/>
      </c>
      <c r="L2491" s="65" t="str">
        <f>IF(COUNTA(A2491:G2491)=0,"",IF(AND(ISNUMBER(D2491),ISNUMBER(J2491)),ROUND(D2491*J2491*(1-N(F2491)),2),0))</f>
        <v/>
      </c>
      <c r="M2491" s="62" t="str">
        <f>IF(A2491="","",IFERROR(INDEX(dv_cname,MATCH(A2491,dv_num,0))&amp;"",""))</f>
        <v/>
      </c>
      <c r="N2491" s="59" t="str">
        <f>IF(COUNTA(A2491:G2491)=0,"",IF(A2491="","N° devis manquant",IF(ISNA(MATCH(A2491,dv_num,0)),"Devis inconnu",IF(AND(B2491&lt;&gt;"",ISNA(MATCH(B2491,pr_code,0))),"Article inconnu",IF(H2491="","Désignation manquante",IF(OR(NOT(ISNUMBER(D2491)),N(D2491)&lt;=0),"Quantité invalide",IF(J2491="","Prix manquant",IF(OR(NOT(ISNUMBER(J2491)),N(J2491)&lt;0),"Prix invalide",IF(OR(AND(F2491&lt;&gt;"",NOT(ISNUMBER(F2491))),N(F2491)&lt;0,N(F2491)&gt;1),"Remise invalide",IF(K2491="","Taux de TVA manquant",IF(NOT(ISNUMBER(K2491)),"Taux de TVA invalide",IF(COUNTIF(p_rates,K2491)=0,"Taux de TVA hors liste (Paramètres)",IF(N(O2491)&gt;25,"Au-delà de 25 lignes : non imprimée","OK")))))))))))))</f>
        <v/>
      </c>
      <c r="O2491" s="59" t="str">
        <f>IF(A2491="","",COUNTIF($A$6:A2491,A2491))</f>
        <v/>
      </c>
      <c r="P2491" s="62" t="str">
        <f>IF(A2491="","",A2491&amp;"|"&amp;O2491)</f>
        <v/>
      </c>
    </row>
    <row r="2492">
      <c r="A2492" s="60" t="n"/>
      <c r="B2492" s="63" t="n"/>
      <c r="C2492" s="63" t="n"/>
      <c r="D2492" s="67" t="n"/>
      <c r="E2492" s="68" t="n"/>
      <c r="F2492" s="69" t="n"/>
      <c r="G2492" s="70" t="n"/>
      <c r="H2492" s="62" t="str">
        <f>IF(COUNTA(A2492:G2492)=0,"",IF(C2492&lt;&gt;"",C2492,IF(B2492="","",IFERROR(INDEX(pr_des,MATCH(B2492,pr_code,0))&amp;"",""))))</f>
        <v/>
      </c>
      <c r="I2492" s="59" t="str">
        <f>IF(B2492="","",IFERROR(INDEX(pr_unit,MATCH(B2492,pr_code,0))&amp;"",""))</f>
        <v/>
      </c>
      <c r="J2492" s="65" t="str">
        <f>IF(COUNTA(A2492:G2492)=0,"",IF(E2492&lt;&gt;"",E2492,IF(B2492="","",IFERROR(IF(INDEX(pr_price,MATCH(B2492,pr_code,0))="","",INDEX(pr_price,MATCH(B2492,pr_code,0))),""))))</f>
        <v/>
      </c>
      <c r="K2492" s="71" t="str">
        <f>IF(COUNTA(A2492:G2492)=0,"",IF(G2492&lt;&gt;"",G2492,IF(B2492="","",IFERROR(IF(INDEX(pr_rate,MATCH(B2492,pr_code,0))="","",INDEX(pr_rate,MATCH(B2492,pr_code,0))),""))))</f>
        <v/>
      </c>
      <c r="L2492" s="65" t="str">
        <f>IF(COUNTA(A2492:G2492)=0,"",IF(AND(ISNUMBER(D2492),ISNUMBER(J2492)),ROUND(D2492*J2492*(1-N(F2492)),2),0))</f>
        <v/>
      </c>
      <c r="M2492" s="62" t="str">
        <f>IF(A2492="","",IFERROR(INDEX(dv_cname,MATCH(A2492,dv_num,0))&amp;"",""))</f>
        <v/>
      </c>
      <c r="N2492" s="59" t="str">
        <f>IF(COUNTA(A2492:G2492)=0,"",IF(A2492="","N° devis manquant",IF(ISNA(MATCH(A2492,dv_num,0)),"Devis inconnu",IF(AND(B2492&lt;&gt;"",ISNA(MATCH(B2492,pr_code,0))),"Article inconnu",IF(H2492="","Désignation manquante",IF(OR(NOT(ISNUMBER(D2492)),N(D2492)&lt;=0),"Quantité invalide",IF(J2492="","Prix manquant",IF(OR(NOT(ISNUMBER(J2492)),N(J2492)&lt;0),"Prix invalide",IF(OR(AND(F2492&lt;&gt;"",NOT(ISNUMBER(F2492))),N(F2492)&lt;0,N(F2492)&gt;1),"Remise invalide",IF(K2492="","Taux de TVA manquant",IF(NOT(ISNUMBER(K2492)),"Taux de TVA invalide",IF(COUNTIF(p_rates,K2492)=0,"Taux de TVA hors liste (Paramètres)",IF(N(O2492)&gt;25,"Au-delà de 25 lignes : non imprimée","OK")))))))))))))</f>
        <v/>
      </c>
      <c r="O2492" s="59" t="str">
        <f>IF(A2492="","",COUNTIF($A$6:A2492,A2492))</f>
        <v/>
      </c>
      <c r="P2492" s="62" t="str">
        <f>IF(A2492="","",A2492&amp;"|"&amp;O2492)</f>
        <v/>
      </c>
    </row>
    <row r="2493">
      <c r="A2493" s="60" t="n"/>
      <c r="B2493" s="63" t="n"/>
      <c r="C2493" s="63" t="n"/>
      <c r="D2493" s="67" t="n"/>
      <c r="E2493" s="68" t="n"/>
      <c r="F2493" s="69" t="n"/>
      <c r="G2493" s="70" t="n"/>
      <c r="H2493" s="62" t="str">
        <f>IF(COUNTA(A2493:G2493)=0,"",IF(C2493&lt;&gt;"",C2493,IF(B2493="","",IFERROR(INDEX(pr_des,MATCH(B2493,pr_code,0))&amp;"",""))))</f>
        <v/>
      </c>
      <c r="I2493" s="59" t="str">
        <f>IF(B2493="","",IFERROR(INDEX(pr_unit,MATCH(B2493,pr_code,0))&amp;"",""))</f>
        <v/>
      </c>
      <c r="J2493" s="65" t="str">
        <f>IF(COUNTA(A2493:G2493)=0,"",IF(E2493&lt;&gt;"",E2493,IF(B2493="","",IFERROR(IF(INDEX(pr_price,MATCH(B2493,pr_code,0))="","",INDEX(pr_price,MATCH(B2493,pr_code,0))),""))))</f>
        <v/>
      </c>
      <c r="K2493" s="71" t="str">
        <f>IF(COUNTA(A2493:G2493)=0,"",IF(G2493&lt;&gt;"",G2493,IF(B2493="","",IFERROR(IF(INDEX(pr_rate,MATCH(B2493,pr_code,0))="","",INDEX(pr_rate,MATCH(B2493,pr_code,0))),""))))</f>
        <v/>
      </c>
      <c r="L2493" s="65" t="str">
        <f>IF(COUNTA(A2493:G2493)=0,"",IF(AND(ISNUMBER(D2493),ISNUMBER(J2493)),ROUND(D2493*J2493*(1-N(F2493)),2),0))</f>
        <v/>
      </c>
      <c r="M2493" s="62" t="str">
        <f>IF(A2493="","",IFERROR(INDEX(dv_cname,MATCH(A2493,dv_num,0))&amp;"",""))</f>
        <v/>
      </c>
      <c r="N2493" s="59" t="str">
        <f>IF(COUNTA(A2493:G2493)=0,"",IF(A2493="","N° devis manquant",IF(ISNA(MATCH(A2493,dv_num,0)),"Devis inconnu",IF(AND(B2493&lt;&gt;"",ISNA(MATCH(B2493,pr_code,0))),"Article inconnu",IF(H2493="","Désignation manquante",IF(OR(NOT(ISNUMBER(D2493)),N(D2493)&lt;=0),"Quantité invalide",IF(J2493="","Prix manquant",IF(OR(NOT(ISNUMBER(J2493)),N(J2493)&lt;0),"Prix invalide",IF(OR(AND(F2493&lt;&gt;"",NOT(ISNUMBER(F2493))),N(F2493)&lt;0,N(F2493)&gt;1),"Remise invalide",IF(K2493="","Taux de TVA manquant",IF(NOT(ISNUMBER(K2493)),"Taux de TVA invalide",IF(COUNTIF(p_rates,K2493)=0,"Taux de TVA hors liste (Paramètres)",IF(N(O2493)&gt;25,"Au-delà de 25 lignes : non imprimée","OK")))))))))))))</f>
        <v/>
      </c>
      <c r="O2493" s="59" t="str">
        <f>IF(A2493="","",COUNTIF($A$6:A2493,A2493))</f>
        <v/>
      </c>
      <c r="P2493" s="62" t="str">
        <f>IF(A2493="","",A2493&amp;"|"&amp;O2493)</f>
        <v/>
      </c>
    </row>
    <row r="2494">
      <c r="A2494" s="60" t="n"/>
      <c r="B2494" s="63" t="n"/>
      <c r="C2494" s="63" t="n"/>
      <c r="D2494" s="67" t="n"/>
      <c r="E2494" s="68" t="n"/>
      <c r="F2494" s="69" t="n"/>
      <c r="G2494" s="70" t="n"/>
      <c r="H2494" s="62" t="str">
        <f>IF(COUNTA(A2494:G2494)=0,"",IF(C2494&lt;&gt;"",C2494,IF(B2494="","",IFERROR(INDEX(pr_des,MATCH(B2494,pr_code,0))&amp;"",""))))</f>
        <v/>
      </c>
      <c r="I2494" s="59" t="str">
        <f>IF(B2494="","",IFERROR(INDEX(pr_unit,MATCH(B2494,pr_code,0))&amp;"",""))</f>
        <v/>
      </c>
      <c r="J2494" s="65" t="str">
        <f>IF(COUNTA(A2494:G2494)=0,"",IF(E2494&lt;&gt;"",E2494,IF(B2494="","",IFERROR(IF(INDEX(pr_price,MATCH(B2494,pr_code,0))="","",INDEX(pr_price,MATCH(B2494,pr_code,0))),""))))</f>
        <v/>
      </c>
      <c r="K2494" s="71" t="str">
        <f>IF(COUNTA(A2494:G2494)=0,"",IF(G2494&lt;&gt;"",G2494,IF(B2494="","",IFERROR(IF(INDEX(pr_rate,MATCH(B2494,pr_code,0))="","",INDEX(pr_rate,MATCH(B2494,pr_code,0))),""))))</f>
        <v/>
      </c>
      <c r="L2494" s="65" t="str">
        <f>IF(COUNTA(A2494:G2494)=0,"",IF(AND(ISNUMBER(D2494),ISNUMBER(J2494)),ROUND(D2494*J2494*(1-N(F2494)),2),0))</f>
        <v/>
      </c>
      <c r="M2494" s="62" t="str">
        <f>IF(A2494="","",IFERROR(INDEX(dv_cname,MATCH(A2494,dv_num,0))&amp;"",""))</f>
        <v/>
      </c>
      <c r="N2494" s="59" t="str">
        <f>IF(COUNTA(A2494:G2494)=0,"",IF(A2494="","N° devis manquant",IF(ISNA(MATCH(A2494,dv_num,0)),"Devis inconnu",IF(AND(B2494&lt;&gt;"",ISNA(MATCH(B2494,pr_code,0))),"Article inconnu",IF(H2494="","Désignation manquante",IF(OR(NOT(ISNUMBER(D2494)),N(D2494)&lt;=0),"Quantité invalide",IF(J2494="","Prix manquant",IF(OR(NOT(ISNUMBER(J2494)),N(J2494)&lt;0),"Prix invalide",IF(OR(AND(F2494&lt;&gt;"",NOT(ISNUMBER(F2494))),N(F2494)&lt;0,N(F2494)&gt;1),"Remise invalide",IF(K2494="","Taux de TVA manquant",IF(NOT(ISNUMBER(K2494)),"Taux de TVA invalide",IF(COUNTIF(p_rates,K2494)=0,"Taux de TVA hors liste (Paramètres)",IF(N(O2494)&gt;25,"Au-delà de 25 lignes : non imprimée","OK")))))))))))))</f>
        <v/>
      </c>
      <c r="O2494" s="59" t="str">
        <f>IF(A2494="","",COUNTIF($A$6:A2494,A2494))</f>
        <v/>
      </c>
      <c r="P2494" s="62" t="str">
        <f>IF(A2494="","",A2494&amp;"|"&amp;O2494)</f>
        <v/>
      </c>
    </row>
    <row r="2495">
      <c r="A2495" s="60" t="n"/>
      <c r="B2495" s="63" t="n"/>
      <c r="C2495" s="63" t="n"/>
      <c r="D2495" s="67" t="n"/>
      <c r="E2495" s="68" t="n"/>
      <c r="F2495" s="69" t="n"/>
      <c r="G2495" s="70" t="n"/>
      <c r="H2495" s="62" t="str">
        <f>IF(COUNTA(A2495:G2495)=0,"",IF(C2495&lt;&gt;"",C2495,IF(B2495="","",IFERROR(INDEX(pr_des,MATCH(B2495,pr_code,0))&amp;"",""))))</f>
        <v/>
      </c>
      <c r="I2495" s="59" t="str">
        <f>IF(B2495="","",IFERROR(INDEX(pr_unit,MATCH(B2495,pr_code,0))&amp;"",""))</f>
        <v/>
      </c>
      <c r="J2495" s="65" t="str">
        <f>IF(COUNTA(A2495:G2495)=0,"",IF(E2495&lt;&gt;"",E2495,IF(B2495="","",IFERROR(IF(INDEX(pr_price,MATCH(B2495,pr_code,0))="","",INDEX(pr_price,MATCH(B2495,pr_code,0))),""))))</f>
        <v/>
      </c>
      <c r="K2495" s="71" t="str">
        <f>IF(COUNTA(A2495:G2495)=0,"",IF(G2495&lt;&gt;"",G2495,IF(B2495="","",IFERROR(IF(INDEX(pr_rate,MATCH(B2495,pr_code,0))="","",INDEX(pr_rate,MATCH(B2495,pr_code,0))),""))))</f>
        <v/>
      </c>
      <c r="L2495" s="65" t="str">
        <f>IF(COUNTA(A2495:G2495)=0,"",IF(AND(ISNUMBER(D2495),ISNUMBER(J2495)),ROUND(D2495*J2495*(1-N(F2495)),2),0))</f>
        <v/>
      </c>
      <c r="M2495" s="62" t="str">
        <f>IF(A2495="","",IFERROR(INDEX(dv_cname,MATCH(A2495,dv_num,0))&amp;"",""))</f>
        <v/>
      </c>
      <c r="N2495" s="59" t="str">
        <f>IF(COUNTA(A2495:G2495)=0,"",IF(A2495="","N° devis manquant",IF(ISNA(MATCH(A2495,dv_num,0)),"Devis inconnu",IF(AND(B2495&lt;&gt;"",ISNA(MATCH(B2495,pr_code,0))),"Article inconnu",IF(H2495="","Désignation manquante",IF(OR(NOT(ISNUMBER(D2495)),N(D2495)&lt;=0),"Quantité invalide",IF(J2495="","Prix manquant",IF(OR(NOT(ISNUMBER(J2495)),N(J2495)&lt;0),"Prix invalide",IF(OR(AND(F2495&lt;&gt;"",NOT(ISNUMBER(F2495))),N(F2495)&lt;0,N(F2495)&gt;1),"Remise invalide",IF(K2495="","Taux de TVA manquant",IF(NOT(ISNUMBER(K2495)),"Taux de TVA invalide",IF(COUNTIF(p_rates,K2495)=0,"Taux de TVA hors liste (Paramètres)",IF(N(O2495)&gt;25,"Au-delà de 25 lignes : non imprimée","OK")))))))))))))</f>
        <v/>
      </c>
      <c r="O2495" s="59" t="str">
        <f>IF(A2495="","",COUNTIF($A$6:A2495,A2495))</f>
        <v/>
      </c>
      <c r="P2495" s="62" t="str">
        <f>IF(A2495="","",A2495&amp;"|"&amp;O2495)</f>
        <v/>
      </c>
    </row>
    <row r="2496">
      <c r="A2496" s="60" t="n"/>
      <c r="B2496" s="63" t="n"/>
      <c r="C2496" s="63" t="n"/>
      <c r="D2496" s="67" t="n"/>
      <c r="E2496" s="68" t="n"/>
      <c r="F2496" s="69" t="n"/>
      <c r="G2496" s="70" t="n"/>
      <c r="H2496" s="62" t="str">
        <f>IF(COUNTA(A2496:G2496)=0,"",IF(C2496&lt;&gt;"",C2496,IF(B2496="","",IFERROR(INDEX(pr_des,MATCH(B2496,pr_code,0))&amp;"",""))))</f>
        <v/>
      </c>
      <c r="I2496" s="59" t="str">
        <f>IF(B2496="","",IFERROR(INDEX(pr_unit,MATCH(B2496,pr_code,0))&amp;"",""))</f>
        <v/>
      </c>
      <c r="J2496" s="65" t="str">
        <f>IF(COUNTA(A2496:G2496)=0,"",IF(E2496&lt;&gt;"",E2496,IF(B2496="","",IFERROR(IF(INDEX(pr_price,MATCH(B2496,pr_code,0))="","",INDEX(pr_price,MATCH(B2496,pr_code,0))),""))))</f>
        <v/>
      </c>
      <c r="K2496" s="71" t="str">
        <f>IF(COUNTA(A2496:G2496)=0,"",IF(G2496&lt;&gt;"",G2496,IF(B2496="","",IFERROR(IF(INDEX(pr_rate,MATCH(B2496,pr_code,0))="","",INDEX(pr_rate,MATCH(B2496,pr_code,0))),""))))</f>
        <v/>
      </c>
      <c r="L2496" s="65" t="str">
        <f>IF(COUNTA(A2496:G2496)=0,"",IF(AND(ISNUMBER(D2496),ISNUMBER(J2496)),ROUND(D2496*J2496*(1-N(F2496)),2),0))</f>
        <v/>
      </c>
      <c r="M2496" s="62" t="str">
        <f>IF(A2496="","",IFERROR(INDEX(dv_cname,MATCH(A2496,dv_num,0))&amp;"",""))</f>
        <v/>
      </c>
      <c r="N2496" s="59" t="str">
        <f>IF(COUNTA(A2496:G2496)=0,"",IF(A2496="","N° devis manquant",IF(ISNA(MATCH(A2496,dv_num,0)),"Devis inconnu",IF(AND(B2496&lt;&gt;"",ISNA(MATCH(B2496,pr_code,0))),"Article inconnu",IF(H2496="","Désignation manquante",IF(OR(NOT(ISNUMBER(D2496)),N(D2496)&lt;=0),"Quantité invalide",IF(J2496="","Prix manquant",IF(OR(NOT(ISNUMBER(J2496)),N(J2496)&lt;0),"Prix invalide",IF(OR(AND(F2496&lt;&gt;"",NOT(ISNUMBER(F2496))),N(F2496)&lt;0,N(F2496)&gt;1),"Remise invalide",IF(K2496="","Taux de TVA manquant",IF(NOT(ISNUMBER(K2496)),"Taux de TVA invalide",IF(COUNTIF(p_rates,K2496)=0,"Taux de TVA hors liste (Paramètres)",IF(N(O2496)&gt;25,"Au-delà de 25 lignes : non imprimée","OK")))))))))))))</f>
        <v/>
      </c>
      <c r="O2496" s="59" t="str">
        <f>IF(A2496="","",COUNTIF($A$6:A2496,A2496))</f>
        <v/>
      </c>
      <c r="P2496" s="62" t="str">
        <f>IF(A2496="","",A2496&amp;"|"&amp;O2496)</f>
        <v/>
      </c>
    </row>
    <row r="2497">
      <c r="A2497" s="60" t="n"/>
      <c r="B2497" s="63" t="n"/>
      <c r="C2497" s="63" t="n"/>
      <c r="D2497" s="67" t="n"/>
      <c r="E2497" s="68" t="n"/>
      <c r="F2497" s="69" t="n"/>
      <c r="G2497" s="70" t="n"/>
      <c r="H2497" s="62" t="str">
        <f>IF(COUNTA(A2497:G2497)=0,"",IF(C2497&lt;&gt;"",C2497,IF(B2497="","",IFERROR(INDEX(pr_des,MATCH(B2497,pr_code,0))&amp;"",""))))</f>
        <v/>
      </c>
      <c r="I2497" s="59" t="str">
        <f>IF(B2497="","",IFERROR(INDEX(pr_unit,MATCH(B2497,pr_code,0))&amp;"",""))</f>
        <v/>
      </c>
      <c r="J2497" s="65" t="str">
        <f>IF(COUNTA(A2497:G2497)=0,"",IF(E2497&lt;&gt;"",E2497,IF(B2497="","",IFERROR(IF(INDEX(pr_price,MATCH(B2497,pr_code,0))="","",INDEX(pr_price,MATCH(B2497,pr_code,0))),""))))</f>
        <v/>
      </c>
      <c r="K2497" s="71" t="str">
        <f>IF(COUNTA(A2497:G2497)=0,"",IF(G2497&lt;&gt;"",G2497,IF(B2497="","",IFERROR(IF(INDEX(pr_rate,MATCH(B2497,pr_code,0))="","",INDEX(pr_rate,MATCH(B2497,pr_code,0))),""))))</f>
        <v/>
      </c>
      <c r="L2497" s="65" t="str">
        <f>IF(COUNTA(A2497:G2497)=0,"",IF(AND(ISNUMBER(D2497),ISNUMBER(J2497)),ROUND(D2497*J2497*(1-N(F2497)),2),0))</f>
        <v/>
      </c>
      <c r="M2497" s="62" t="str">
        <f>IF(A2497="","",IFERROR(INDEX(dv_cname,MATCH(A2497,dv_num,0))&amp;"",""))</f>
        <v/>
      </c>
      <c r="N2497" s="59" t="str">
        <f>IF(COUNTA(A2497:G2497)=0,"",IF(A2497="","N° devis manquant",IF(ISNA(MATCH(A2497,dv_num,0)),"Devis inconnu",IF(AND(B2497&lt;&gt;"",ISNA(MATCH(B2497,pr_code,0))),"Article inconnu",IF(H2497="","Désignation manquante",IF(OR(NOT(ISNUMBER(D2497)),N(D2497)&lt;=0),"Quantité invalide",IF(J2497="","Prix manquant",IF(OR(NOT(ISNUMBER(J2497)),N(J2497)&lt;0),"Prix invalide",IF(OR(AND(F2497&lt;&gt;"",NOT(ISNUMBER(F2497))),N(F2497)&lt;0,N(F2497)&gt;1),"Remise invalide",IF(K2497="","Taux de TVA manquant",IF(NOT(ISNUMBER(K2497)),"Taux de TVA invalide",IF(COUNTIF(p_rates,K2497)=0,"Taux de TVA hors liste (Paramètres)",IF(N(O2497)&gt;25,"Au-delà de 25 lignes : non imprimée","OK")))))))))))))</f>
        <v/>
      </c>
      <c r="O2497" s="59" t="str">
        <f>IF(A2497="","",COUNTIF($A$6:A2497,A2497))</f>
        <v/>
      </c>
      <c r="P2497" s="62" t="str">
        <f>IF(A2497="","",A2497&amp;"|"&amp;O2497)</f>
        <v/>
      </c>
    </row>
    <row r="2498">
      <c r="A2498" s="60" t="n"/>
      <c r="B2498" s="63" t="n"/>
      <c r="C2498" s="63" t="n"/>
      <c r="D2498" s="67" t="n"/>
      <c r="E2498" s="68" t="n"/>
      <c r="F2498" s="69" t="n"/>
      <c r="G2498" s="70" t="n"/>
      <c r="H2498" s="62" t="str">
        <f>IF(COUNTA(A2498:G2498)=0,"",IF(C2498&lt;&gt;"",C2498,IF(B2498="","",IFERROR(INDEX(pr_des,MATCH(B2498,pr_code,0))&amp;"",""))))</f>
        <v/>
      </c>
      <c r="I2498" s="59" t="str">
        <f>IF(B2498="","",IFERROR(INDEX(pr_unit,MATCH(B2498,pr_code,0))&amp;"",""))</f>
        <v/>
      </c>
      <c r="J2498" s="65" t="str">
        <f>IF(COUNTA(A2498:G2498)=0,"",IF(E2498&lt;&gt;"",E2498,IF(B2498="","",IFERROR(IF(INDEX(pr_price,MATCH(B2498,pr_code,0))="","",INDEX(pr_price,MATCH(B2498,pr_code,0))),""))))</f>
        <v/>
      </c>
      <c r="K2498" s="71" t="str">
        <f>IF(COUNTA(A2498:G2498)=0,"",IF(G2498&lt;&gt;"",G2498,IF(B2498="","",IFERROR(IF(INDEX(pr_rate,MATCH(B2498,pr_code,0))="","",INDEX(pr_rate,MATCH(B2498,pr_code,0))),""))))</f>
        <v/>
      </c>
      <c r="L2498" s="65" t="str">
        <f>IF(COUNTA(A2498:G2498)=0,"",IF(AND(ISNUMBER(D2498),ISNUMBER(J2498)),ROUND(D2498*J2498*(1-N(F2498)),2),0))</f>
        <v/>
      </c>
      <c r="M2498" s="62" t="str">
        <f>IF(A2498="","",IFERROR(INDEX(dv_cname,MATCH(A2498,dv_num,0))&amp;"",""))</f>
        <v/>
      </c>
      <c r="N2498" s="59" t="str">
        <f>IF(COUNTA(A2498:G2498)=0,"",IF(A2498="","N° devis manquant",IF(ISNA(MATCH(A2498,dv_num,0)),"Devis inconnu",IF(AND(B2498&lt;&gt;"",ISNA(MATCH(B2498,pr_code,0))),"Article inconnu",IF(H2498="","Désignation manquante",IF(OR(NOT(ISNUMBER(D2498)),N(D2498)&lt;=0),"Quantité invalide",IF(J2498="","Prix manquant",IF(OR(NOT(ISNUMBER(J2498)),N(J2498)&lt;0),"Prix invalide",IF(OR(AND(F2498&lt;&gt;"",NOT(ISNUMBER(F2498))),N(F2498)&lt;0,N(F2498)&gt;1),"Remise invalide",IF(K2498="","Taux de TVA manquant",IF(NOT(ISNUMBER(K2498)),"Taux de TVA invalide",IF(COUNTIF(p_rates,K2498)=0,"Taux de TVA hors liste (Paramètres)",IF(N(O2498)&gt;25,"Au-delà de 25 lignes : non imprimée","OK")))))))))))))</f>
        <v/>
      </c>
      <c r="O2498" s="59" t="str">
        <f>IF(A2498="","",COUNTIF($A$6:A2498,A2498))</f>
        <v/>
      </c>
      <c r="P2498" s="62" t="str">
        <f>IF(A2498="","",A2498&amp;"|"&amp;O2498)</f>
        <v/>
      </c>
    </row>
    <row r="2499">
      <c r="A2499" s="60" t="n"/>
      <c r="B2499" s="63" t="n"/>
      <c r="C2499" s="63" t="n"/>
      <c r="D2499" s="67" t="n"/>
      <c r="E2499" s="68" t="n"/>
      <c r="F2499" s="69" t="n"/>
      <c r="G2499" s="70" t="n"/>
      <c r="H2499" s="62" t="str">
        <f>IF(COUNTA(A2499:G2499)=0,"",IF(C2499&lt;&gt;"",C2499,IF(B2499="","",IFERROR(INDEX(pr_des,MATCH(B2499,pr_code,0))&amp;"",""))))</f>
        <v/>
      </c>
      <c r="I2499" s="59" t="str">
        <f>IF(B2499="","",IFERROR(INDEX(pr_unit,MATCH(B2499,pr_code,0))&amp;"",""))</f>
        <v/>
      </c>
      <c r="J2499" s="65" t="str">
        <f>IF(COUNTA(A2499:G2499)=0,"",IF(E2499&lt;&gt;"",E2499,IF(B2499="","",IFERROR(IF(INDEX(pr_price,MATCH(B2499,pr_code,0))="","",INDEX(pr_price,MATCH(B2499,pr_code,0))),""))))</f>
        <v/>
      </c>
      <c r="K2499" s="71" t="str">
        <f>IF(COUNTA(A2499:G2499)=0,"",IF(G2499&lt;&gt;"",G2499,IF(B2499="","",IFERROR(IF(INDEX(pr_rate,MATCH(B2499,pr_code,0))="","",INDEX(pr_rate,MATCH(B2499,pr_code,0))),""))))</f>
        <v/>
      </c>
      <c r="L2499" s="65" t="str">
        <f>IF(COUNTA(A2499:G2499)=0,"",IF(AND(ISNUMBER(D2499),ISNUMBER(J2499)),ROUND(D2499*J2499*(1-N(F2499)),2),0))</f>
        <v/>
      </c>
      <c r="M2499" s="62" t="str">
        <f>IF(A2499="","",IFERROR(INDEX(dv_cname,MATCH(A2499,dv_num,0))&amp;"",""))</f>
        <v/>
      </c>
      <c r="N2499" s="59" t="str">
        <f>IF(COUNTA(A2499:G2499)=0,"",IF(A2499="","N° devis manquant",IF(ISNA(MATCH(A2499,dv_num,0)),"Devis inconnu",IF(AND(B2499&lt;&gt;"",ISNA(MATCH(B2499,pr_code,0))),"Article inconnu",IF(H2499="","Désignation manquante",IF(OR(NOT(ISNUMBER(D2499)),N(D2499)&lt;=0),"Quantité invalide",IF(J2499="","Prix manquant",IF(OR(NOT(ISNUMBER(J2499)),N(J2499)&lt;0),"Prix invalide",IF(OR(AND(F2499&lt;&gt;"",NOT(ISNUMBER(F2499))),N(F2499)&lt;0,N(F2499)&gt;1),"Remise invalide",IF(K2499="","Taux de TVA manquant",IF(NOT(ISNUMBER(K2499)),"Taux de TVA invalide",IF(COUNTIF(p_rates,K2499)=0,"Taux de TVA hors liste (Paramètres)",IF(N(O2499)&gt;25,"Au-delà de 25 lignes : non imprimée","OK")))))))))))))</f>
        <v/>
      </c>
      <c r="O2499" s="59" t="str">
        <f>IF(A2499="","",COUNTIF($A$6:A2499,A2499))</f>
        <v/>
      </c>
      <c r="P2499" s="62" t="str">
        <f>IF(A2499="","",A2499&amp;"|"&amp;O2499)</f>
        <v/>
      </c>
    </row>
    <row r="2500">
      <c r="A2500" s="60" t="n"/>
      <c r="B2500" s="63" t="n"/>
      <c r="C2500" s="63" t="n"/>
      <c r="D2500" s="67" t="n"/>
      <c r="E2500" s="68" t="n"/>
      <c r="F2500" s="69" t="n"/>
      <c r="G2500" s="70" t="n"/>
      <c r="H2500" s="62" t="str">
        <f>IF(COUNTA(A2500:G2500)=0,"",IF(C2500&lt;&gt;"",C2500,IF(B2500="","",IFERROR(INDEX(pr_des,MATCH(B2500,pr_code,0))&amp;"",""))))</f>
        <v/>
      </c>
      <c r="I2500" s="59" t="str">
        <f>IF(B2500="","",IFERROR(INDEX(pr_unit,MATCH(B2500,pr_code,0))&amp;"",""))</f>
        <v/>
      </c>
      <c r="J2500" s="65" t="str">
        <f>IF(COUNTA(A2500:G2500)=0,"",IF(E2500&lt;&gt;"",E2500,IF(B2500="","",IFERROR(IF(INDEX(pr_price,MATCH(B2500,pr_code,0))="","",INDEX(pr_price,MATCH(B2500,pr_code,0))),""))))</f>
        <v/>
      </c>
      <c r="K2500" s="71" t="str">
        <f>IF(COUNTA(A2500:G2500)=0,"",IF(G2500&lt;&gt;"",G2500,IF(B2500="","",IFERROR(IF(INDEX(pr_rate,MATCH(B2500,pr_code,0))="","",INDEX(pr_rate,MATCH(B2500,pr_code,0))),""))))</f>
        <v/>
      </c>
      <c r="L2500" s="65" t="str">
        <f>IF(COUNTA(A2500:G2500)=0,"",IF(AND(ISNUMBER(D2500),ISNUMBER(J2500)),ROUND(D2500*J2500*(1-N(F2500)),2),0))</f>
        <v/>
      </c>
      <c r="M2500" s="62" t="str">
        <f>IF(A2500="","",IFERROR(INDEX(dv_cname,MATCH(A2500,dv_num,0))&amp;"",""))</f>
        <v/>
      </c>
      <c r="N2500" s="59" t="str">
        <f>IF(COUNTA(A2500:G2500)=0,"",IF(A2500="","N° devis manquant",IF(ISNA(MATCH(A2500,dv_num,0)),"Devis inconnu",IF(AND(B2500&lt;&gt;"",ISNA(MATCH(B2500,pr_code,0))),"Article inconnu",IF(H2500="","Désignation manquante",IF(OR(NOT(ISNUMBER(D2500)),N(D2500)&lt;=0),"Quantité invalide",IF(J2500="","Prix manquant",IF(OR(NOT(ISNUMBER(J2500)),N(J2500)&lt;0),"Prix invalide",IF(OR(AND(F2500&lt;&gt;"",NOT(ISNUMBER(F2500))),N(F2500)&lt;0,N(F2500)&gt;1),"Remise invalide",IF(K2500="","Taux de TVA manquant",IF(NOT(ISNUMBER(K2500)),"Taux de TVA invalide",IF(COUNTIF(p_rates,K2500)=0,"Taux de TVA hors liste (Paramètres)",IF(N(O2500)&gt;25,"Au-delà de 25 lignes : non imprimée","OK")))))))))))))</f>
        <v/>
      </c>
      <c r="O2500" s="59" t="str">
        <f>IF(A2500="","",COUNTIF($A$6:A2500,A2500))</f>
        <v/>
      </c>
      <c r="P2500" s="62" t="str">
        <f>IF(A2500="","",A2500&amp;"|"&amp;O2500)</f>
        <v/>
      </c>
    </row>
    <row r="2501">
      <c r="A2501" s="60" t="n"/>
      <c r="B2501" s="63" t="n"/>
      <c r="C2501" s="63" t="n"/>
      <c r="D2501" s="67" t="n"/>
      <c r="E2501" s="68" t="n"/>
      <c r="F2501" s="69" t="n"/>
      <c r="G2501" s="70" t="n"/>
      <c r="H2501" s="62" t="str">
        <f>IF(COUNTA(A2501:G2501)=0,"",IF(C2501&lt;&gt;"",C2501,IF(B2501="","",IFERROR(INDEX(pr_des,MATCH(B2501,pr_code,0))&amp;"",""))))</f>
        <v/>
      </c>
      <c r="I2501" s="59" t="str">
        <f>IF(B2501="","",IFERROR(INDEX(pr_unit,MATCH(B2501,pr_code,0))&amp;"",""))</f>
        <v/>
      </c>
      <c r="J2501" s="65" t="str">
        <f>IF(COUNTA(A2501:G2501)=0,"",IF(E2501&lt;&gt;"",E2501,IF(B2501="","",IFERROR(IF(INDEX(pr_price,MATCH(B2501,pr_code,0))="","",INDEX(pr_price,MATCH(B2501,pr_code,0))),""))))</f>
        <v/>
      </c>
      <c r="K2501" s="71" t="str">
        <f>IF(COUNTA(A2501:G2501)=0,"",IF(G2501&lt;&gt;"",G2501,IF(B2501="","",IFERROR(IF(INDEX(pr_rate,MATCH(B2501,pr_code,0))="","",INDEX(pr_rate,MATCH(B2501,pr_code,0))),""))))</f>
        <v/>
      </c>
      <c r="L2501" s="65" t="str">
        <f>IF(COUNTA(A2501:G2501)=0,"",IF(AND(ISNUMBER(D2501),ISNUMBER(J2501)),ROUND(D2501*J2501*(1-N(F2501)),2),0))</f>
        <v/>
      </c>
      <c r="M2501" s="62" t="str">
        <f>IF(A2501="","",IFERROR(INDEX(dv_cname,MATCH(A2501,dv_num,0))&amp;"",""))</f>
        <v/>
      </c>
      <c r="N2501" s="59" t="str">
        <f>IF(COUNTA(A2501:G2501)=0,"",IF(A2501="","N° devis manquant",IF(ISNA(MATCH(A2501,dv_num,0)),"Devis inconnu",IF(AND(B2501&lt;&gt;"",ISNA(MATCH(B2501,pr_code,0))),"Article inconnu",IF(H2501="","Désignation manquante",IF(OR(NOT(ISNUMBER(D2501)),N(D2501)&lt;=0),"Quantité invalide",IF(J2501="","Prix manquant",IF(OR(NOT(ISNUMBER(J2501)),N(J2501)&lt;0),"Prix invalide",IF(OR(AND(F2501&lt;&gt;"",NOT(ISNUMBER(F2501))),N(F2501)&lt;0,N(F2501)&gt;1),"Remise invalide",IF(K2501="","Taux de TVA manquant",IF(NOT(ISNUMBER(K2501)),"Taux de TVA invalide",IF(COUNTIF(p_rates,K2501)=0,"Taux de TVA hors liste (Paramètres)",IF(N(O2501)&gt;25,"Au-delà de 25 lignes : non imprimée","OK")))))))))))))</f>
        <v/>
      </c>
      <c r="O2501" s="59" t="str">
        <f>IF(A2501="","",COUNTIF($A$6:A2501,A2501))</f>
        <v/>
      </c>
      <c r="P2501" s="62" t="str">
        <f>IF(A2501="","",A2501&amp;"|"&amp;O2501)</f>
        <v/>
      </c>
    </row>
    <row r="2502">
      <c r="A2502" s="60" t="n"/>
      <c r="B2502" s="63" t="n"/>
      <c r="C2502" s="63" t="n"/>
      <c r="D2502" s="67" t="n"/>
      <c r="E2502" s="68" t="n"/>
      <c r="F2502" s="69" t="n"/>
      <c r="G2502" s="70" t="n"/>
      <c r="H2502" s="62" t="str">
        <f>IF(COUNTA(A2502:G2502)=0,"",IF(C2502&lt;&gt;"",C2502,IF(B2502="","",IFERROR(INDEX(pr_des,MATCH(B2502,pr_code,0))&amp;"",""))))</f>
        <v/>
      </c>
      <c r="I2502" s="59" t="str">
        <f>IF(B2502="","",IFERROR(INDEX(pr_unit,MATCH(B2502,pr_code,0))&amp;"",""))</f>
        <v/>
      </c>
      <c r="J2502" s="65" t="str">
        <f>IF(COUNTA(A2502:G2502)=0,"",IF(E2502&lt;&gt;"",E2502,IF(B2502="","",IFERROR(IF(INDEX(pr_price,MATCH(B2502,pr_code,0))="","",INDEX(pr_price,MATCH(B2502,pr_code,0))),""))))</f>
        <v/>
      </c>
      <c r="K2502" s="71" t="str">
        <f>IF(COUNTA(A2502:G2502)=0,"",IF(G2502&lt;&gt;"",G2502,IF(B2502="","",IFERROR(IF(INDEX(pr_rate,MATCH(B2502,pr_code,0))="","",INDEX(pr_rate,MATCH(B2502,pr_code,0))),""))))</f>
        <v/>
      </c>
      <c r="L2502" s="65" t="str">
        <f>IF(COUNTA(A2502:G2502)=0,"",IF(AND(ISNUMBER(D2502),ISNUMBER(J2502)),ROUND(D2502*J2502*(1-N(F2502)),2),0))</f>
        <v/>
      </c>
      <c r="M2502" s="62" t="str">
        <f>IF(A2502="","",IFERROR(INDEX(dv_cname,MATCH(A2502,dv_num,0))&amp;"",""))</f>
        <v/>
      </c>
      <c r="N2502" s="59" t="str">
        <f>IF(COUNTA(A2502:G2502)=0,"",IF(A2502="","N° devis manquant",IF(ISNA(MATCH(A2502,dv_num,0)),"Devis inconnu",IF(AND(B2502&lt;&gt;"",ISNA(MATCH(B2502,pr_code,0))),"Article inconnu",IF(H2502="","Désignation manquante",IF(OR(NOT(ISNUMBER(D2502)),N(D2502)&lt;=0),"Quantité invalide",IF(J2502="","Prix manquant",IF(OR(NOT(ISNUMBER(J2502)),N(J2502)&lt;0),"Prix invalide",IF(OR(AND(F2502&lt;&gt;"",NOT(ISNUMBER(F2502))),N(F2502)&lt;0,N(F2502)&gt;1),"Remise invalide",IF(K2502="","Taux de TVA manquant",IF(NOT(ISNUMBER(K2502)),"Taux de TVA invalide",IF(COUNTIF(p_rates,K2502)=0,"Taux de TVA hors liste (Paramètres)",IF(N(O2502)&gt;25,"Au-delà de 25 lignes : non imprimée","OK")))))))))))))</f>
        <v/>
      </c>
      <c r="O2502" s="59" t="str">
        <f>IF(A2502="","",COUNTIF($A$6:A2502,A2502))</f>
        <v/>
      </c>
      <c r="P2502" s="62" t="str">
        <f>IF(A2502="","",A2502&amp;"|"&amp;O2502)</f>
        <v/>
      </c>
    </row>
    <row r="2503">
      <c r="A2503" s="60" t="n"/>
      <c r="B2503" s="63" t="n"/>
      <c r="C2503" s="63" t="n"/>
      <c r="D2503" s="67" t="n"/>
      <c r="E2503" s="68" t="n"/>
      <c r="F2503" s="69" t="n"/>
      <c r="G2503" s="70" t="n"/>
      <c r="H2503" s="62" t="str">
        <f>IF(COUNTA(A2503:G2503)=0,"",IF(C2503&lt;&gt;"",C2503,IF(B2503="","",IFERROR(INDEX(pr_des,MATCH(B2503,pr_code,0))&amp;"",""))))</f>
        <v/>
      </c>
      <c r="I2503" s="59" t="str">
        <f>IF(B2503="","",IFERROR(INDEX(pr_unit,MATCH(B2503,pr_code,0))&amp;"",""))</f>
        <v/>
      </c>
      <c r="J2503" s="65" t="str">
        <f>IF(COUNTA(A2503:G2503)=0,"",IF(E2503&lt;&gt;"",E2503,IF(B2503="","",IFERROR(IF(INDEX(pr_price,MATCH(B2503,pr_code,0))="","",INDEX(pr_price,MATCH(B2503,pr_code,0))),""))))</f>
        <v/>
      </c>
      <c r="K2503" s="71" t="str">
        <f>IF(COUNTA(A2503:G2503)=0,"",IF(G2503&lt;&gt;"",G2503,IF(B2503="","",IFERROR(IF(INDEX(pr_rate,MATCH(B2503,pr_code,0))="","",INDEX(pr_rate,MATCH(B2503,pr_code,0))),""))))</f>
        <v/>
      </c>
      <c r="L2503" s="65" t="str">
        <f>IF(COUNTA(A2503:G2503)=0,"",IF(AND(ISNUMBER(D2503),ISNUMBER(J2503)),ROUND(D2503*J2503*(1-N(F2503)),2),0))</f>
        <v/>
      </c>
      <c r="M2503" s="62" t="str">
        <f>IF(A2503="","",IFERROR(INDEX(dv_cname,MATCH(A2503,dv_num,0))&amp;"",""))</f>
        <v/>
      </c>
      <c r="N2503" s="59" t="str">
        <f>IF(COUNTA(A2503:G2503)=0,"",IF(A2503="","N° devis manquant",IF(ISNA(MATCH(A2503,dv_num,0)),"Devis inconnu",IF(AND(B2503&lt;&gt;"",ISNA(MATCH(B2503,pr_code,0))),"Article inconnu",IF(H2503="","Désignation manquante",IF(OR(NOT(ISNUMBER(D2503)),N(D2503)&lt;=0),"Quantité invalide",IF(J2503="","Prix manquant",IF(OR(NOT(ISNUMBER(J2503)),N(J2503)&lt;0),"Prix invalide",IF(OR(AND(F2503&lt;&gt;"",NOT(ISNUMBER(F2503))),N(F2503)&lt;0,N(F2503)&gt;1),"Remise invalide",IF(K2503="","Taux de TVA manquant",IF(NOT(ISNUMBER(K2503)),"Taux de TVA invalide",IF(COUNTIF(p_rates,K2503)=0,"Taux de TVA hors liste (Paramètres)",IF(N(O2503)&gt;25,"Au-delà de 25 lignes : non imprimée","OK")))))))))))))</f>
        <v/>
      </c>
      <c r="O2503" s="59" t="str">
        <f>IF(A2503="","",COUNTIF($A$6:A2503,A2503))</f>
        <v/>
      </c>
      <c r="P2503" s="62" t="str">
        <f>IF(A2503="","",A2503&amp;"|"&amp;O2503)</f>
        <v/>
      </c>
    </row>
    <row r="2504">
      <c r="A2504" s="60" t="n"/>
      <c r="B2504" s="63" t="n"/>
      <c r="C2504" s="63" t="n"/>
      <c r="D2504" s="67" t="n"/>
      <c r="E2504" s="68" t="n"/>
      <c r="F2504" s="69" t="n"/>
      <c r="G2504" s="70" t="n"/>
      <c r="H2504" s="62" t="str">
        <f>IF(COUNTA(A2504:G2504)=0,"",IF(C2504&lt;&gt;"",C2504,IF(B2504="","",IFERROR(INDEX(pr_des,MATCH(B2504,pr_code,0))&amp;"",""))))</f>
        <v/>
      </c>
      <c r="I2504" s="59" t="str">
        <f>IF(B2504="","",IFERROR(INDEX(pr_unit,MATCH(B2504,pr_code,0))&amp;"",""))</f>
        <v/>
      </c>
      <c r="J2504" s="65" t="str">
        <f>IF(COUNTA(A2504:G2504)=0,"",IF(E2504&lt;&gt;"",E2504,IF(B2504="","",IFERROR(IF(INDEX(pr_price,MATCH(B2504,pr_code,0))="","",INDEX(pr_price,MATCH(B2504,pr_code,0))),""))))</f>
        <v/>
      </c>
      <c r="K2504" s="71" t="str">
        <f>IF(COUNTA(A2504:G2504)=0,"",IF(G2504&lt;&gt;"",G2504,IF(B2504="","",IFERROR(IF(INDEX(pr_rate,MATCH(B2504,pr_code,0))="","",INDEX(pr_rate,MATCH(B2504,pr_code,0))),""))))</f>
        <v/>
      </c>
      <c r="L2504" s="65" t="str">
        <f>IF(COUNTA(A2504:G2504)=0,"",IF(AND(ISNUMBER(D2504),ISNUMBER(J2504)),ROUND(D2504*J2504*(1-N(F2504)),2),0))</f>
        <v/>
      </c>
      <c r="M2504" s="62" t="str">
        <f>IF(A2504="","",IFERROR(INDEX(dv_cname,MATCH(A2504,dv_num,0))&amp;"",""))</f>
        <v/>
      </c>
      <c r="N2504" s="59" t="str">
        <f>IF(COUNTA(A2504:G2504)=0,"",IF(A2504="","N° devis manquant",IF(ISNA(MATCH(A2504,dv_num,0)),"Devis inconnu",IF(AND(B2504&lt;&gt;"",ISNA(MATCH(B2504,pr_code,0))),"Article inconnu",IF(H2504="","Désignation manquante",IF(OR(NOT(ISNUMBER(D2504)),N(D2504)&lt;=0),"Quantité invalide",IF(J2504="","Prix manquant",IF(OR(NOT(ISNUMBER(J2504)),N(J2504)&lt;0),"Prix invalide",IF(OR(AND(F2504&lt;&gt;"",NOT(ISNUMBER(F2504))),N(F2504)&lt;0,N(F2504)&gt;1),"Remise invalide",IF(K2504="","Taux de TVA manquant",IF(NOT(ISNUMBER(K2504)),"Taux de TVA invalide",IF(COUNTIF(p_rates,K2504)=0,"Taux de TVA hors liste (Paramètres)",IF(N(O2504)&gt;25,"Au-delà de 25 lignes : non imprimée","OK")))))))))))))</f>
        <v/>
      </c>
      <c r="O2504" s="59" t="str">
        <f>IF(A2504="","",COUNTIF($A$6:A2504,A2504))</f>
        <v/>
      </c>
      <c r="P2504" s="62" t="str">
        <f>IF(A2504="","",A2504&amp;"|"&amp;O2504)</f>
        <v/>
      </c>
    </row>
    <row r="2505">
      <c r="A2505" s="60" t="n"/>
      <c r="B2505" s="63" t="n"/>
      <c r="C2505" s="63" t="n"/>
      <c r="D2505" s="67" t="n"/>
      <c r="E2505" s="68" t="n"/>
      <c r="F2505" s="69" t="n"/>
      <c r="G2505" s="70" t="n"/>
      <c r="H2505" s="62" t="str">
        <f>IF(COUNTA(A2505:G2505)=0,"",IF(C2505&lt;&gt;"",C2505,IF(B2505="","",IFERROR(INDEX(pr_des,MATCH(B2505,pr_code,0))&amp;"",""))))</f>
        <v/>
      </c>
      <c r="I2505" s="59" t="str">
        <f>IF(B2505="","",IFERROR(INDEX(pr_unit,MATCH(B2505,pr_code,0))&amp;"",""))</f>
        <v/>
      </c>
      <c r="J2505" s="65" t="str">
        <f>IF(COUNTA(A2505:G2505)=0,"",IF(E2505&lt;&gt;"",E2505,IF(B2505="","",IFERROR(IF(INDEX(pr_price,MATCH(B2505,pr_code,0))="","",INDEX(pr_price,MATCH(B2505,pr_code,0))),""))))</f>
        <v/>
      </c>
      <c r="K2505" s="71" t="str">
        <f>IF(COUNTA(A2505:G2505)=0,"",IF(G2505&lt;&gt;"",G2505,IF(B2505="","",IFERROR(IF(INDEX(pr_rate,MATCH(B2505,pr_code,0))="","",INDEX(pr_rate,MATCH(B2505,pr_code,0))),""))))</f>
        <v/>
      </c>
      <c r="L2505" s="65" t="str">
        <f>IF(COUNTA(A2505:G2505)=0,"",IF(AND(ISNUMBER(D2505),ISNUMBER(J2505)),ROUND(D2505*J2505*(1-N(F2505)),2),0))</f>
        <v/>
      </c>
      <c r="M2505" s="62" t="str">
        <f>IF(A2505="","",IFERROR(INDEX(dv_cname,MATCH(A2505,dv_num,0))&amp;"",""))</f>
        <v/>
      </c>
      <c r="N2505" s="59" t="str">
        <f>IF(COUNTA(A2505:G2505)=0,"",IF(A2505="","N° devis manquant",IF(ISNA(MATCH(A2505,dv_num,0)),"Devis inconnu",IF(AND(B2505&lt;&gt;"",ISNA(MATCH(B2505,pr_code,0))),"Article inconnu",IF(H2505="","Désignation manquante",IF(OR(NOT(ISNUMBER(D2505)),N(D2505)&lt;=0),"Quantité invalide",IF(J2505="","Prix manquant",IF(OR(NOT(ISNUMBER(J2505)),N(J2505)&lt;0),"Prix invalide",IF(OR(AND(F2505&lt;&gt;"",NOT(ISNUMBER(F2505))),N(F2505)&lt;0,N(F2505)&gt;1),"Remise invalide",IF(K2505="","Taux de TVA manquant",IF(NOT(ISNUMBER(K2505)),"Taux de TVA invalide",IF(COUNTIF(p_rates,K2505)=0,"Taux de TVA hors liste (Paramètres)",IF(N(O2505)&gt;25,"Au-delà de 25 lignes : non imprimée","OK")))))))))))))</f>
        <v/>
      </c>
      <c r="O2505" s="59" t="str">
        <f>IF(A2505="","",COUNTIF($A$6:A2505,A2505))</f>
        <v/>
      </c>
      <c r="P2505" s="62" t="str">
        <f>IF(A2505="","",A2505&amp;"|"&amp;O2505)</f>
        <v/>
      </c>
    </row>
  </sheetData>
  <autoFilter ref="A5:N2505"/>
  <conditionalFormatting sqref="N6:N2505">
    <cfRule type="expression" priority="1" dxfId="11">
      <formula>$N6="OK"</formula>
    </cfRule>
    <cfRule type="expression" priority="2" dxfId="4">
      <formula>AND($N6&lt;&gt;"",$N6&lt;&gt;"OK")</formula>
    </cfRule>
  </conditionalFormatting>
  <conditionalFormatting sqref="E6:E2505">
    <cfRule type="expression" priority="3" dxfId="5">
      <formula>p_currency="MAD"</formula>
    </cfRule>
    <cfRule type="expression" priority="6" dxfId="6">
      <formula>p_currency="EUR"</formula>
    </cfRule>
    <cfRule type="expression" priority="9" dxfId="7">
      <formula>p_currency="USD"</formula>
    </cfRule>
  </conditionalFormatting>
  <conditionalFormatting sqref="J6:J2505">
    <cfRule type="expression" priority="4" dxfId="5">
      <formula>p_currency="MAD"</formula>
    </cfRule>
    <cfRule type="expression" priority="7" dxfId="6">
      <formula>p_currency="EUR"</formula>
    </cfRule>
    <cfRule type="expression" priority="10" dxfId="7">
      <formula>p_currency="USD"</formula>
    </cfRule>
  </conditionalFormatting>
  <conditionalFormatting sqref="L6:L2505">
    <cfRule type="expression" priority="5" dxfId="5">
      <formula>p_currency="MAD"</formula>
    </cfRule>
    <cfRule type="expression" priority="8" dxfId="6">
      <formula>p_currency="EUR"</formula>
    </cfRule>
    <cfRule type="expression" priority="11" dxfId="7">
      <formula>p_currency="USD"</formula>
    </cfRule>
  </conditionalFormatting>
  <dataValidations count="7">
    <dataValidation sqref="A6:A2505" showDropDown="0" showInputMessage="1" showErrorMessage="1" allowBlank="1" errorTitle="N° devis" error="Choisissez le numéro dans la liste (feuille « Devis »). Créez d'abord le document avec sa date et son client." promptTitle="N° devis" prompt="Choisissez le numéro dans la liste (feuille « Devis »). Créez d'abord le document avec sa date et son client." type="list">
      <formula1>=dv_num</formula1>
    </dataValidation>
    <dataValidation sqref="B6:B2505" showDropDown="0" showInputMessage="1" showErrorMessage="1" allowBlank="1" errorTitle="Article" error="Choisissez l'article (feuille « Produits et services »). Laissez vide pour une ligne libre : saisissez alors désignation, prix et TVA." promptTitle="Article" prompt="Choisissez l'article (feuille « Produits et services »). Laissez vide pour une ligne libre : saisissez alors désignation, prix et TVA." type="list">
      <formula1>=pr_code</formula1>
    </dataValidation>
    <dataValidation sqref="C6:C2505" showDropDown="0" showInputMessage="1" showErrorMessage="1" allowBlank="1" errorTitle="Désignation" error="150 caractères au maximum." promptTitle="Désignation" prompt="Facultatif : remplace la désignation de l'article sur ce document." type="textLength" operator="lessThanOrEqual">
      <formula1>150</formula1>
    </dataValidation>
    <dataValidation sqref="D6:D2505" showDropDown="0" showInputMessage="1" showErrorMessage="1" allowBlank="1" errorTitle="Quantité" error="Quantité supérieure à zéro, décimales permises (2,5 h)." promptTitle="Quantité" prompt="Quantité supérieure à zéro, décimales permises (2,5 h)." type="decimal" operator="greaterThan">
      <formula1>0</formula1>
    </dataValidation>
    <dataValidation sqref="E6:E2505" showDropDown="0" showInputMessage="1" showErrorMessage="1" allowBlank="1" errorTitle="Prix unitaire HT" error="Facultatif : remplace le prix de l'article sur cette ligne." promptTitle="Prix unitaire HT" prompt="Facultatif : remplace le prix de l'article sur cette ligne." type="decimal" operator="greaterThanOrEqual">
      <formula1>0</formula1>
    </dataValidation>
    <dataValidation sqref="F6:F2505" showDropDown="0" showInputMessage="1" showErrorMessage="1" allowBlank="1" errorTitle="Remise" error="Remise de la ligne en pourcentage, entre 0 et 100 % (tapez 5 % ou 0,05)." promptTitle="Remise" prompt="Remise de la ligne en pourcentage, entre 0 et 100 % (tapez 5 % ou 0,05)." type="decimal" operator="between">
      <formula1>0</formula1>
      <formula2>1</formula2>
    </dataValidation>
    <dataValidation sqref="G6:G2505" showDropDown="0" showInputMessage="1" showErrorMessage="1" allowBlank="1" errorTitle="TVA" error="Facultatif : remplace le taux de TVA de l'article (exemple : 0 % pour un export)." promptTitle="TVA" prompt="Facultatif : remplace le taux de TVA de l'article (exemple : 0 % pour un export)." type="list">
      <formula1>=p_rates</formula1>
    </dataValidation>
  </dataValidations>
  <hyperlinks>
    <hyperlink ref="N1" location="'Mode d''emploi'!A1"/>
  </hyperlinks>
  <printOptions horizontalCentered="1"/>
  <pageMargins left="0.4" right="0.4" top="0.5" bottom="0.5" header="0.5" footer="0.5"/>
  <pageSetup orientation="landscape" paperSize="9" fitToHeight="0" fitToWidth="1"/>
</worksheet>
</file>

<file path=xl/worksheets/sheet9.xml><?xml version="1.0" encoding="utf-8"?>
<worksheet xmlns="http://schemas.openxmlformats.org/spreadsheetml/2006/main">
  <sheetPr>
    <tabColor rgb="FFBE185D"/>
    <outlinePr summaryBelow="1" summaryRight="1"/>
    <pageSetUpPr fitToPage="1"/>
  </sheetPr>
  <dimension ref="A1:S59"/>
  <sheetViews>
    <sheetView showGridLines="0" tabSelected="0" zoomScale="100" workbookViewId="0">
      <selection activeCell="A1" sqref="A1"/>
    </sheetView>
  </sheetViews>
  <sheetFormatPr baseColWidth="8" defaultRowHeight="15"/>
  <cols>
    <col width="2" customWidth="1" min="1" max="1"/>
    <col width="12" customWidth="1" min="2" max="2"/>
    <col width="34" customWidth="1" min="3" max="3"/>
    <col width="8" customWidth="1" min="4" max="4"/>
    <col width="8" customWidth="1" min="5" max="5"/>
    <col width="13" customWidth="1" min="6" max="6"/>
    <col width="9" customWidth="1" min="7" max="7"/>
    <col width="8" customWidth="1" min="8" max="8"/>
    <col width="16" customWidth="1" min="9" max="9"/>
    <col width="2" customWidth="1" min="10" max="10"/>
    <col hidden="1" width="12" customWidth="1" min="11" max="11"/>
    <col hidden="1" width="12" customWidth="1" min="12" max="12"/>
    <col hidden="1" width="12" customWidth="1" min="13" max="13"/>
    <col hidden="1" width="12" customWidth="1" min="14" max="14"/>
    <col hidden="1" width="12" customWidth="1" min="15" max="15"/>
    <col hidden="1" width="12" customWidth="1" min="16" max="16"/>
    <col hidden="1" width="12" customWidth="1" min="17" max="17"/>
    <col hidden="1" width="12" customWidth="1" min="18" max="18"/>
    <col hidden="1" width="12" customWidth="1" min="19" max="19"/>
  </cols>
  <sheetData>
    <row r="1" ht="38" customHeight="1">
      <c r="A1" s="1" t="n"/>
      <c r="B1" s="2" t="inlineStr">
        <is>
          <t>Imprimer facture</t>
        </is>
      </c>
      <c r="C1" s="1" t="n"/>
      <c r="D1" s="1" t="n"/>
      <c r="E1" s="1" t="n"/>
      <c r="F1" s="1" t="n"/>
      <c r="G1" s="1" t="n"/>
      <c r="H1" s="1" t="n"/>
      <c r="I1" s="18" t="inlineStr">
        <is>
          <t>⌂ Mode d'emploi</t>
        </is>
      </c>
    </row>
    <row r="2" ht="22" customHeight="1">
      <c r="A2" s="3" t="n"/>
      <c r="B2" s="4" t="inlineStr">
        <is>
          <t>Choisissez le numéro, puis Fichier &gt; Imprimer ou Enregistrer en PDF (une page A4).</t>
        </is>
      </c>
      <c r="C2" s="3" t="n"/>
      <c r="D2" s="3" t="n"/>
      <c r="E2" s="3" t="n"/>
      <c r="F2" s="3" t="n"/>
      <c r="G2" s="3" t="n"/>
      <c r="H2" s="3" t="n"/>
      <c r="I2" s="3" t="n"/>
    </row>
    <row r="3" ht="22" customHeight="1">
      <c r="B3" s="80" t="inlineStr">
        <is>
          <t>Facture n°</t>
        </is>
      </c>
      <c r="C3" s="81" t="n"/>
      <c r="D3" s="82" t="str">
        <f>IF(C3="","",IF(L3="","Numéro introuvable dans « Factures »",IF(INDEX(fa_check,L3)&lt;&gt;"OK","Contrôle : "&amp;INDEX(fa_check,L3),"")))</f>
        <v/>
      </c>
      <c r="L3" t="str">
        <f>IF($C$3="","",IFERROR(MATCH($C$3,fa_num,0),""))</f>
        <v/>
      </c>
      <c r="N3">
        <f>N(INDEX(p_rates,1))</f>
        <v>0.2</v>
      </c>
      <c r="O3">
        <f>IF($L$3="",0,INDEX(fa_b1,$L$3))</f>
        <v>0.0</v>
      </c>
      <c r="P3">
        <f>IF(N($L$7)=0,0,INDEX(fa_b1,$L$7))</f>
        <v>0.0</v>
      </c>
      <c r="Q3">
        <f>ROUND(O3*N3,2)-ROUND(P3*N3,2)</f>
        <v>0.0</v>
      </c>
      <c r="R3">
        <f>IF(AND(INDEX(p_rates,1)&lt;&gt;"",OR(O3&lt;&gt;0,P3&lt;&gt;0)),COUNTIFS($R$2:R2,"&gt;0")+1,0)</f>
        <v>0.0</v>
      </c>
      <c r="S3">
        <f>SUMPRODUCT((N3:N8=0)*(R3:R8&gt;0))</f>
        <v>0.0</v>
      </c>
    </row>
    <row r="4">
      <c r="L4" t="str">
        <f>IF($L$3="","",INDEX(fa_type,$L$3))&amp;""</f>
        <v/>
      </c>
      <c r="N4">
        <f>N(INDEX(p_rates,2))</f>
        <v>0.1</v>
      </c>
      <c r="O4">
        <f>IF($L$3="",0,INDEX(fa_b2,$L$3))</f>
        <v>0.0</v>
      </c>
      <c r="P4">
        <f>IF(N($L$7)=0,0,INDEX(fa_b2,$L$7))</f>
        <v>0.0</v>
      </c>
      <c r="Q4">
        <f>ROUND(O4*N4,2)-ROUND(P4*N4,2)</f>
        <v>0.0</v>
      </c>
      <c r="R4">
        <f>IF(AND(INDEX(p_rates,2)&lt;&gt;"",OR(O4&lt;&gt;0,P4&lt;&gt;0)),COUNTIFS($R$2:R3,"&gt;0")+1,0)</f>
        <v>0.0</v>
      </c>
    </row>
    <row r="5">
      <c r="B5" s="83" t="str">
        <f>IF(p_name="","Votre entreprise",p_name)</f>
        <v>Votre entreprise</v>
      </c>
      <c r="G5" s="84" t="str">
        <f>IF(L4="Avoir","AVOIR",IF(L4="Facture d'acompte","FACTURE D'ACOMPTE","FACTURE"))</f>
        <v>FACTURE</v>
      </c>
      <c r="L5" t="str">
        <f>IF($L$3="","",INDEX(fa_src,$L$3))&amp;""</f>
        <v/>
      </c>
      <c r="N5">
        <f>N(INDEX(p_rates,3))</f>
        <v>0.0</v>
      </c>
      <c r="O5">
        <f>IF($L$3="",0,INDEX(fa_b3,$L$3))</f>
        <v>0.0</v>
      </c>
      <c r="P5">
        <f>IF(N($L$7)=0,0,INDEX(fa_b3,$L$7))</f>
        <v>0.0</v>
      </c>
      <c r="Q5">
        <f>ROUND(O5*N5,2)-ROUND(P5*N5,2)</f>
        <v>0.0</v>
      </c>
      <c r="R5">
        <f>IF(AND(INDEX(p_rates,3)&lt;&gt;"",OR(O5&lt;&gt;0,P5&lt;&gt;0)),COUNTIFS($R$2:R4,"&gt;0")+1,0)</f>
        <v>0.0</v>
      </c>
      <c r="S5">
        <f>ROUND(ABS(N(L14))*100,0)</f>
        <v>0.0</v>
      </c>
    </row>
    <row r="6">
      <c r="B6" s="85" t="str">
        <f>TRIM(p_form&amp;IF(p_capital&lt;&gt;""," au capital de "&amp;p_capital,""))</f>
        <v/>
      </c>
      <c r="G6" s="86" t="inlineStr">
        <is>
          <t>N°</t>
        </is>
      </c>
      <c r="H6" s="87" t="str">
        <f>$C$3&amp;""</f>
        <v/>
      </c>
      <c r="L6" t="str">
        <f>IF($L$3="","",INDEX(fa_devis,$L$3))&amp;""</f>
        <v/>
      </c>
      <c r="N6">
        <f>N(INDEX(p_rates,4))</f>
        <v>0.0</v>
      </c>
      <c r="O6">
        <f>IF($L$3="",0,INDEX(fa_b4,$L$3))</f>
        <v>0.0</v>
      </c>
      <c r="P6">
        <f>IF(N($L$7)=0,0,INDEX(fa_b4,$L$7))</f>
        <v>0.0</v>
      </c>
      <c r="Q6">
        <f>ROUND(O6*N6,2)-ROUND(P6*N6,2)</f>
        <v>0.0</v>
      </c>
      <c r="R6">
        <f>IF(AND(INDEX(p_rates,4)&lt;&gt;"",OR(O6&lt;&gt;0,P6&lt;&gt;0)),COUNTIFS($R$2:R5,"&gt;0")+1,0)</f>
        <v>0.0</v>
      </c>
      <c r="S6">
        <f>INT(S5/100)</f>
        <v>0.0</v>
      </c>
    </row>
    <row r="7">
      <c r="B7" s="85" t="str">
        <f>p_addr&amp;""</f>
        <v/>
      </c>
      <c r="G7" s="86" t="inlineStr">
        <is>
          <t>Date</t>
        </is>
      </c>
      <c r="H7" s="88" t="str">
        <f>IF($L$3="","",INDEX(fa_date,$L$3))</f>
        <v/>
      </c>
      <c r="L7" t="str">
        <f>IF($L$3="","",INDEX(fa_acidx,$L$3))</f>
        <v/>
      </c>
      <c r="N7">
        <f>N(INDEX(p_rates,5))</f>
        <v>0.0</v>
      </c>
      <c r="O7">
        <f>IF($L$3="",0,INDEX(fa_b5,$L$3))</f>
        <v>0.0</v>
      </c>
      <c r="P7">
        <f>IF(N($L$7)=0,0,INDEX(fa_b5,$L$7))</f>
        <v>0.0</v>
      </c>
      <c r="Q7">
        <f>ROUND(O7*N7,2)-ROUND(P7*N7,2)</f>
        <v>0.0</v>
      </c>
      <c r="R7">
        <f>IF(AND(INDEX(p_rates,5)&lt;&gt;"",OR(O7&lt;&gt;0,P7&lt;&gt;0)),COUNTIFS($R$2:R6,"&gt;0")+1,0)</f>
        <v>0.0</v>
      </c>
      <c r="S7">
        <f>S5-S6*100</f>
        <v>0.0</v>
      </c>
    </row>
    <row r="8">
      <c r="B8" s="85" t="str">
        <f>p_city&amp;""</f>
        <v/>
      </c>
      <c r="G8" s="86" t="str">
        <f>IF(L4="Avoir","Sur facture","Échéance")</f>
        <v>Échéance</v>
      </c>
      <c r="H8" s="88" t="str">
        <f>IF($L$3="","",IF(L4="Avoir",INDEX(fa_avof,$L$3)&amp;"",INDEX(fa_due,$L$3)))</f>
        <v/>
      </c>
      <c r="L8">
        <f>IF($L$3="",0,INDEX(fa_htb,$L$3))</f>
        <v>0.0</v>
      </c>
      <c r="N8">
        <f>N(INDEX(p_rates,6))</f>
        <v>0.0</v>
      </c>
      <c r="O8">
        <f>IF($L$3="",0,INDEX(fa_b6,$L$3))</f>
        <v>0.0</v>
      </c>
      <c r="P8">
        <f>IF(N($L$7)=0,0,INDEX(fa_b6,$L$7))</f>
        <v>0.0</v>
      </c>
      <c r="Q8">
        <f>ROUND(O8*N8,2)-ROUND(P8*N8,2)</f>
        <v>0.0</v>
      </c>
      <c r="R8">
        <f>IF(AND(INDEX(p_rates,6)&lt;&gt;"",OR(O8&lt;&gt;0,P8&lt;&gt;0)),COUNTIFS($R$2:R7,"&gt;0")+1,0)</f>
        <v>0.0</v>
      </c>
      <c r="S8">
        <f>INT(S6/1000000)</f>
        <v>0.0</v>
      </c>
    </row>
    <row r="9">
      <c r="B9" s="85" t="str">
        <f>MID(IF(p_tel&lt;&gt;""," • "&amp;"Tél. : "&amp;p_tel,"")&amp;IF(p_mail&lt;&gt;""," • "&amp;p_mail,""),4,300)</f>
        <v/>
      </c>
      <c r="G9" s="86" t="inlineStr">
        <is>
          <t>Votre commande</t>
        </is>
      </c>
      <c r="H9" s="87" t="str">
        <f>IF($L$3="","",INDEX(fa_po,$L$3))&amp;""</f>
        <v/>
      </c>
      <c r="L9">
        <f>IF($L$3="",0,INDEX(fa_tvab,$L$3))</f>
        <v>0.0</v>
      </c>
      <c r="S9">
        <f>INT(MOD(S6,1000000)/1000)</f>
        <v>0.0</v>
      </c>
    </row>
    <row r="10">
      <c r="B10" s="85" t="str">
        <f>IF(p_country="France",MID(IF(p_siret&lt;&gt;""," • "&amp;"SIRET : "&amp;p_siret,"")&amp;IF(p_rcs&lt;&gt;""," • "&amp;"RCS "&amp;p_rcs&amp;IF(p_siret&lt;&gt;""," "&amp;LEFT(p_siret,9),""),""),4,300),MID(IF(p_ice&lt;&gt;""," • "&amp;"ICE : "&amp;p_ice,"")&amp;IF(p_if&lt;&gt;""," • "&amp;"IF : "&amp;p_if,""),4,300))</f>
        <v/>
      </c>
      <c r="G10" s="86" t="inlineStr">
        <is>
          <t>Devis</t>
        </is>
      </c>
      <c r="H10" s="87" t="str">
        <f>L6</f>
        <v/>
      </c>
      <c r="L10">
        <f>IF(N(L7)=0,0,INDEX(fa_htb,L7))</f>
        <v>0.0</v>
      </c>
      <c r="S10">
        <f>MOD(S6,1000)</f>
        <v>0.0</v>
      </c>
    </row>
    <row r="11">
      <c r="B11" s="85" t="str">
        <f>IF(p_country="France",IF(p_tvai&lt;&gt;"","N° TVA intracommunautaire : "&amp;p_tvai,""),MID(IF(p_rc&lt;&gt;""," • "&amp;"RC : "&amp;p_rc&amp;IF(p_rcville&lt;&gt;""," ("&amp;p_rcville&amp;")",""),"")&amp;IF(p_tp&lt;&gt;""," • "&amp;"Taxe professionnelle : "&amp;p_tp,"")&amp;IF(p_cnss&lt;&gt;""," • "&amp;"CNSS : "&amp;p_cnss,""),4,300))</f>
        <v/>
      </c>
      <c r="G11" s="86" t="inlineStr">
        <is>
          <t>Code client</t>
        </is>
      </c>
      <c r="H11" s="87" t="str">
        <f>L15</f>
        <v/>
      </c>
      <c r="L11">
        <f>IF(N(L7)=0,0,INDEX(fa_tvab,L7))</f>
        <v>0.0</v>
      </c>
      <c r="S11" t="str">
        <f>IF(S8=0,"",IF(INT(S8/100)=0,"",IF(INT(S8/100)=1,"cent",INDEX(p_wtbl,INT(S8/100)+1)&amp;" cent"&amp;IF(MOD(S8,100)=0,"s","")))&amp;IF(MOD(S8,100)=0,"",IF(S8&gt;=100," ","")&amp;INDEX(p_wtbl,MOD(S8,100)+1)))</f>
        <v/>
      </c>
    </row>
    <row r="12">
      <c r="L12">
        <f>ROUND(L8-L10,2)</f>
        <v>0.0</v>
      </c>
      <c r="S12" t="str">
        <f>IF(S9=0,"",IF(INT(S9/100)=0,"",IF(INT(S9/100)=1,"cent",INDEX(p_wtbl,INT(S9/100)+1)&amp;" cent"))&amp;IF(MOD(S9,100)=0,"",IF(S9&gt;=100," ","")&amp;IF(MOD(S9,100)=80,"quatre-vingt",INDEX(p_wtbl,MOD(S9,100)+1))))</f>
        <v/>
      </c>
    </row>
    <row r="13">
      <c r="B13" s="89" t="inlineStr">
        <is>
          <t>Livraison et paiement</t>
        </is>
      </c>
      <c r="G13" s="90" t="inlineStr">
        <is>
          <t>Client</t>
        </is>
      </c>
      <c r="H13" s="91" t="n"/>
      <c r="I13" s="92" t="n"/>
      <c r="L13">
        <f>ROUND(L9-L11,2)</f>
        <v>0.0</v>
      </c>
      <c r="S13" t="str">
        <f>IF(S10=0,"",IF(INT(S10/100)=0,"",IF(INT(S10/100)=1,"cent",INDEX(p_wtbl,INT(S10/100)+1)&amp;" cent"&amp;IF(MOD(S10,100)=0,"s","")))&amp;IF(MOD(S10,100)=0,"",IF(S10&gt;=100," ","")&amp;INDEX(p_wtbl,MOD(S10,100)+1)))</f>
        <v/>
      </c>
    </row>
    <row r="14">
      <c r="B14" s="93" t="inlineStr">
        <is>
          <t>Livraison le</t>
        </is>
      </c>
      <c r="C14" s="94" t="str">
        <f>IF($L$3="","",IF(ISNUMBER(INDEX(fa_deliv,$L$3)),INDEX(fa_deliv,$L$3),""))</f>
        <v/>
      </c>
      <c r="G14" s="95" t="str">
        <f>IF($L$16="","",INDEX(cli_name,$L$16)&amp;"")</f>
        <v/>
      </c>
      <c r="H14" s="96" t="n"/>
      <c r="I14" s="97" t="n"/>
      <c r="L14">
        <f>L12+L13</f>
        <v>0.0</v>
      </c>
      <c r="S14" t="str">
        <f>IF(S7=0,"",IF(INT(S7/100)=0,"",IF(INT(S7/100)=1,"cent",INDEX(p_wtbl,INT(S7/100)+1)&amp;" cent"&amp;IF(MOD(S7,100)=0,"s","")))&amp;IF(MOD(S7,100)=0,"",IF(S7&gt;=100," ","")&amp;INDEX(p_wtbl,MOD(S7,100)+1)))</f>
        <v/>
      </c>
    </row>
    <row r="15">
      <c r="B15" s="93" t="inlineStr">
        <is>
          <t>Livrée à</t>
        </is>
      </c>
      <c r="C15" s="98" t="str">
        <f>IF($L$3="","",IF(INDEX(fa_ship,$L$3)="","Adresse du client",INDEX(fa_ship,$L$3)&amp;""))</f>
        <v/>
      </c>
      <c r="G15" s="99" t="str">
        <f>IF($L$16="","",INDEX(cli_addr,$L$16)&amp;"")</f>
        <v/>
      </c>
      <c r="H15" s="96" t="n"/>
      <c r="I15" s="97" t="n"/>
      <c r="L15" t="str">
        <f>IF($L$3="","",INDEX(fa_client,$L$3))&amp;""</f>
        <v/>
      </c>
      <c r="S15" t="str">
        <f>IF(S6=0,"zéro",TRIM(IF(S8=0,"",S11&amp;IF(S8=1," million"," millions"))&amp;IF(S9=0,""," "&amp;IF(S9=1,"mille",S12&amp;" mille"))&amp;IF(S10=0,""," "&amp;S13)))</f>
        <v>zéro</v>
      </c>
    </row>
    <row r="16">
      <c r="B16" s="93" t="inlineStr">
        <is>
          <t>Nature</t>
        </is>
      </c>
      <c r="C16" s="98" t="str">
        <f>IF($L$3="","",INDEX(fa_nature,$L$3))&amp;""</f>
        <v/>
      </c>
      <c r="G16" s="99" t="str">
        <f>IF($L$16="","",INDEX(cli_city,$L$16)&amp;"")</f>
        <v/>
      </c>
      <c r="H16" s="96" t="n"/>
      <c r="I16" s="97" t="n"/>
      <c r="L16" t="str">
        <f>IF($L$15="","",IFERROR(MATCH($L$15,cli_code,0),""))</f>
        <v/>
      </c>
      <c r="S16" t="str">
        <f>IF(S8&gt;999,"",S15&amp;" "&amp;IF(AND(S8&gt;0,S9=0,S10=0),IF(p_currency="EUR","d'","de "),"")&amp;IF(p_currency="EUR",IF(S6&gt;=2,"euros","euro"),IF(p_currency="USD",IF(S6&gt;=2,"dollars","dollar"),IF(S6&gt;=2,"dirhams","dirham")))&amp;IF(S7&gt;0," et "&amp;S14&amp;" "&amp;IF(p_currency="USD",IF(S7&gt;=2,"cents","cent"),IF(S7&gt;=2,"centimes","centime")),""))</f>
        <v>zéro dirham</v>
      </c>
    </row>
    <row r="17">
      <c r="B17" s="93" t="inlineStr">
        <is>
          <t>Paiement</t>
        </is>
      </c>
      <c r="C17" s="98" t="str">
        <f>IF($L$3="","",IF(INDEX(fa_mode,$L$3)="",p_mode&amp;"",INDEX(fa_mode,$L$3)&amp;""))</f>
        <v/>
      </c>
      <c r="G17" s="99" t="str">
        <f>IF($L$16="","",IF(OR(INDEX(cli_country,$L$16)="",INDEX(cli_country,$L$16)=p_country),"",INDEX(cli_country,$L$16)&amp;""))</f>
        <v/>
      </c>
      <c r="H17" s="96" t="n"/>
      <c r="I17" s="97" t="n"/>
      <c r="L17" t="str">
        <f>IF($L$3="","",INDEX(fa_due,$L$3)-INDEX(fa_date,$L$3))</f>
        <v/>
      </c>
    </row>
    <row r="18">
      <c r="B18" s="93" t="inlineStr">
        <is>
          <t>Conditions</t>
        </is>
      </c>
      <c r="C18" s="98" t="str">
        <f>IF(OR($L$3="",L4="Avoir"),"",IF(N(L17)=0,"Paiement comptant","Paiement à "&amp;L17&amp;" jours date de facture"))</f>
        <v/>
      </c>
      <c r="G18" s="100" t="str">
        <f>IF($L$16="","",MID(IF(INDEX(cli_ice,$L$16)&lt;&gt;""," • "&amp;"ICE : "&amp;INDEX(cli_ice,$L$16),"")&amp;IF(INDEX(cli_siren,$L$16)&lt;&gt;""," • "&amp;"SIREN : "&amp;INDEX(cli_siren,$L$16),"")&amp;IF(INDEX(cli_tvai,$L$16)&lt;&gt;""," • "&amp;"N° TVA : "&amp;INDEX(cli_tvai,$L$16),""),4,300))</f>
        <v/>
      </c>
      <c r="H18" s="101" t="n"/>
      <c r="I18" s="102" t="n"/>
      <c r="L18">
        <f>IF(L5="Facture",COUNTIF(fl_doc,$C$3),IF(L5="Devis",COUNTIF(dl_doc,L6),0))</f>
        <v>0.0</v>
      </c>
    </row>
    <row r="19">
      <c r="L19">
        <f>SUM(M21:M45)</f>
        <v>0.0</v>
      </c>
    </row>
    <row r="20" ht="24" customHeight="1">
      <c r="B20" s="103" t="inlineStr">
        <is>
          <t>Réf.</t>
        </is>
      </c>
      <c r="C20" s="103" t="inlineStr">
        <is>
          <t>Désignation</t>
        </is>
      </c>
      <c r="D20" s="103" t="inlineStr">
        <is>
          <t>Qté</t>
        </is>
      </c>
      <c r="E20" s="103" t="inlineStr">
        <is>
          <t>Unité</t>
        </is>
      </c>
      <c r="F20" s="103" t="inlineStr">
        <is>
          <t>Prix unit. HT</t>
        </is>
      </c>
      <c r="G20" s="103" t="inlineStr">
        <is>
          <t>Remise</t>
        </is>
      </c>
      <c r="H20" s="103" t="inlineStr">
        <is>
          <t>TVA</t>
        </is>
      </c>
      <c r="I20" s="103" t="inlineStr">
        <is>
          <t>Montant HT</t>
        </is>
      </c>
      <c r="L20">
        <f>ROUND(L19-SUM(I21:I45),2)</f>
        <v>0.0</v>
      </c>
    </row>
    <row r="21" ht="17" customHeight="1">
      <c r="B21" s="104" t="str">
        <f>IF($L21="","",IF($L$5="Facture",INDEX(fl_code,$L21),INDEX(dl_code,$L21))&amp;"")</f>
        <v/>
      </c>
      <c r="C21" s="105" t="str">
        <f>IF($L21="","",IF($L$5="Facture",INDEX(fl_des,$L21),INDEX(dl_des,$L21))&amp;"")</f>
        <v/>
      </c>
      <c r="D21" s="106" t="str">
        <f>IF($L21="","",IF($L$5="Facture",INDEX(fl_qty,$L21),INDEX(dl_qty,$L21)))</f>
        <v/>
      </c>
      <c r="E21" s="107" t="str">
        <f>IF($L21="","",IF($L$5="Facture",INDEX(fl_unit,$L21),INDEX(dl_unit,$L21))&amp;"")</f>
        <v/>
      </c>
      <c r="F21" s="108" t="str">
        <f>IF($L21="","",IF($L$5="Facture",INDEX(fl_pu,$L21),INDEX(dl_pu,$L21)))</f>
        <v/>
      </c>
      <c r="G21" s="109" t="str">
        <f>IF($L21="","",N(IF($L$5="Facture",INDEX(fl_disc,$L21),INDEX(dl_disc,$L21))))</f>
        <v/>
      </c>
      <c r="H21" s="110" t="str">
        <f>IF($L21="","",IF($L$5="Facture",INDEX(fl_rate,$L21),INDEX(dl_rate,$L21)))</f>
        <v/>
      </c>
      <c r="I21" s="111" t="str">
        <f>IF($L21="","",IF($L$5="Facture",INDEX(fl_ht,$L21),INDEX(dl_ht,$L21)))</f>
        <v/>
      </c>
      <c r="L21" t="str">
        <f>IF($L$5="","",IFERROR(IF($L$5="Facture",MATCH(IF($L$5="Facture",$C$3,$L$6)&amp;"|1",fl_key,0),MATCH(IF($L$5="Facture",$C$3,$L$6)&amp;"|1",dl_key,0)),""))</f>
        <v/>
      </c>
      <c r="M21">
        <f>IF($L21="",0,ROUND(N(D21)*N(F21),2))</f>
        <v>0.0</v>
      </c>
    </row>
    <row r="22" ht="17" customHeight="1">
      <c r="B22" s="112" t="str">
        <f>IF($L22="","",IF($L$5="Facture",INDEX(fl_code,$L22),INDEX(dl_code,$L22))&amp;"")</f>
        <v/>
      </c>
      <c r="C22" s="113" t="str">
        <f>IF($L22="","",IF($L$5="Facture",INDEX(fl_des,$L22),INDEX(dl_des,$L22))&amp;"")</f>
        <v/>
      </c>
      <c r="D22" s="114" t="str">
        <f>IF($L22="","",IF($L$5="Facture",INDEX(fl_qty,$L22),INDEX(dl_qty,$L22)))</f>
        <v/>
      </c>
      <c r="E22" s="115" t="str">
        <f>IF($L22="","",IF($L$5="Facture",INDEX(fl_unit,$L22),INDEX(dl_unit,$L22))&amp;"")</f>
        <v/>
      </c>
      <c r="F22" s="116" t="str">
        <f>IF($L22="","",IF($L$5="Facture",INDEX(fl_pu,$L22),INDEX(dl_pu,$L22)))</f>
        <v/>
      </c>
      <c r="G22" s="117" t="str">
        <f>IF($L22="","",N(IF($L$5="Facture",INDEX(fl_disc,$L22),INDEX(dl_disc,$L22))))</f>
        <v/>
      </c>
      <c r="H22" s="118" t="str">
        <f>IF($L22="","",IF($L$5="Facture",INDEX(fl_rate,$L22),INDEX(dl_rate,$L22)))</f>
        <v/>
      </c>
      <c r="I22" s="119" t="str">
        <f>IF($L22="","",IF($L$5="Facture",INDEX(fl_ht,$L22),INDEX(dl_ht,$L22)))</f>
        <v/>
      </c>
      <c r="L22" t="str">
        <f>IF($L$5="","",IFERROR(IF($L$5="Facture",MATCH(IF($L$5="Facture",$C$3,$L$6)&amp;"|2",fl_key,0),MATCH(IF($L$5="Facture",$C$3,$L$6)&amp;"|2",dl_key,0)),""))</f>
        <v/>
      </c>
      <c r="M22">
        <f>IF($L22="",0,ROUND(N(D22)*N(F22),2))</f>
        <v>0.0</v>
      </c>
    </row>
    <row r="23" ht="17" customHeight="1">
      <c r="B23" s="104" t="str">
        <f>IF($L23="","",IF($L$5="Facture",INDEX(fl_code,$L23),INDEX(dl_code,$L23))&amp;"")</f>
        <v/>
      </c>
      <c r="C23" s="105" t="str">
        <f>IF($L23="","",IF($L$5="Facture",INDEX(fl_des,$L23),INDEX(dl_des,$L23))&amp;"")</f>
        <v/>
      </c>
      <c r="D23" s="106" t="str">
        <f>IF($L23="","",IF($L$5="Facture",INDEX(fl_qty,$L23),INDEX(dl_qty,$L23)))</f>
        <v/>
      </c>
      <c r="E23" s="107" t="str">
        <f>IF($L23="","",IF($L$5="Facture",INDEX(fl_unit,$L23),INDEX(dl_unit,$L23))&amp;"")</f>
        <v/>
      </c>
      <c r="F23" s="108" t="str">
        <f>IF($L23="","",IF($L$5="Facture",INDEX(fl_pu,$L23),INDEX(dl_pu,$L23)))</f>
        <v/>
      </c>
      <c r="G23" s="109" t="str">
        <f>IF($L23="","",N(IF($L$5="Facture",INDEX(fl_disc,$L23),INDEX(dl_disc,$L23))))</f>
        <v/>
      </c>
      <c r="H23" s="110" t="str">
        <f>IF($L23="","",IF($L$5="Facture",INDEX(fl_rate,$L23),INDEX(dl_rate,$L23)))</f>
        <v/>
      </c>
      <c r="I23" s="111" t="str">
        <f>IF($L23="","",IF($L$5="Facture",INDEX(fl_ht,$L23),INDEX(dl_ht,$L23)))</f>
        <v/>
      </c>
      <c r="L23" t="str">
        <f>IF($L$5="","",IFERROR(IF($L$5="Facture",MATCH(IF($L$5="Facture",$C$3,$L$6)&amp;"|3",fl_key,0),MATCH(IF($L$5="Facture",$C$3,$L$6)&amp;"|3",dl_key,0)),""))</f>
        <v/>
      </c>
      <c r="M23">
        <f>IF($L23="",0,ROUND(N(D23)*N(F23),2))</f>
        <v>0.0</v>
      </c>
    </row>
    <row r="24" ht="17" customHeight="1">
      <c r="B24" s="112" t="str">
        <f>IF($L24="","",IF($L$5="Facture",INDEX(fl_code,$L24),INDEX(dl_code,$L24))&amp;"")</f>
        <v/>
      </c>
      <c r="C24" s="113" t="str">
        <f>IF($L24="","",IF($L$5="Facture",INDEX(fl_des,$L24),INDEX(dl_des,$L24))&amp;"")</f>
        <v/>
      </c>
      <c r="D24" s="114" t="str">
        <f>IF($L24="","",IF($L$5="Facture",INDEX(fl_qty,$L24),INDEX(dl_qty,$L24)))</f>
        <v/>
      </c>
      <c r="E24" s="115" t="str">
        <f>IF($L24="","",IF($L$5="Facture",INDEX(fl_unit,$L24),INDEX(dl_unit,$L24))&amp;"")</f>
        <v/>
      </c>
      <c r="F24" s="116" t="str">
        <f>IF($L24="","",IF($L$5="Facture",INDEX(fl_pu,$L24),INDEX(dl_pu,$L24)))</f>
        <v/>
      </c>
      <c r="G24" s="117" t="str">
        <f>IF($L24="","",N(IF($L$5="Facture",INDEX(fl_disc,$L24),INDEX(dl_disc,$L24))))</f>
        <v/>
      </c>
      <c r="H24" s="118" t="str">
        <f>IF($L24="","",IF($L$5="Facture",INDEX(fl_rate,$L24),INDEX(dl_rate,$L24)))</f>
        <v/>
      </c>
      <c r="I24" s="119" t="str">
        <f>IF($L24="","",IF($L$5="Facture",INDEX(fl_ht,$L24),INDEX(dl_ht,$L24)))</f>
        <v/>
      </c>
      <c r="L24" t="str">
        <f>IF($L$5="","",IFERROR(IF($L$5="Facture",MATCH(IF($L$5="Facture",$C$3,$L$6)&amp;"|4",fl_key,0),MATCH(IF($L$5="Facture",$C$3,$L$6)&amp;"|4",dl_key,0)),""))</f>
        <v/>
      </c>
      <c r="M24">
        <f>IF($L24="",0,ROUND(N(D24)*N(F24),2))</f>
        <v>0.0</v>
      </c>
    </row>
    <row r="25" ht="17" customHeight="1">
      <c r="B25" s="104" t="str">
        <f>IF($L25="","",IF($L$5="Facture",INDEX(fl_code,$L25),INDEX(dl_code,$L25))&amp;"")</f>
        <v/>
      </c>
      <c r="C25" s="105" t="str">
        <f>IF($L25="","",IF($L$5="Facture",INDEX(fl_des,$L25),INDEX(dl_des,$L25))&amp;"")</f>
        <v/>
      </c>
      <c r="D25" s="106" t="str">
        <f>IF($L25="","",IF($L$5="Facture",INDEX(fl_qty,$L25),INDEX(dl_qty,$L25)))</f>
        <v/>
      </c>
      <c r="E25" s="107" t="str">
        <f>IF($L25="","",IF($L$5="Facture",INDEX(fl_unit,$L25),INDEX(dl_unit,$L25))&amp;"")</f>
        <v/>
      </c>
      <c r="F25" s="108" t="str">
        <f>IF($L25="","",IF($L$5="Facture",INDEX(fl_pu,$L25),INDEX(dl_pu,$L25)))</f>
        <v/>
      </c>
      <c r="G25" s="109" t="str">
        <f>IF($L25="","",N(IF($L$5="Facture",INDEX(fl_disc,$L25),INDEX(dl_disc,$L25))))</f>
        <v/>
      </c>
      <c r="H25" s="110" t="str">
        <f>IF($L25="","",IF($L$5="Facture",INDEX(fl_rate,$L25),INDEX(dl_rate,$L25)))</f>
        <v/>
      </c>
      <c r="I25" s="111" t="str">
        <f>IF($L25="","",IF($L$5="Facture",INDEX(fl_ht,$L25),INDEX(dl_ht,$L25)))</f>
        <v/>
      </c>
      <c r="L25" t="str">
        <f>IF($L$5="","",IFERROR(IF($L$5="Facture",MATCH(IF($L$5="Facture",$C$3,$L$6)&amp;"|5",fl_key,0),MATCH(IF($L$5="Facture",$C$3,$L$6)&amp;"|5",dl_key,0)),""))</f>
        <v/>
      </c>
      <c r="M25">
        <f>IF($L25="",0,ROUND(N(D25)*N(F25),2))</f>
        <v>0.0</v>
      </c>
    </row>
    <row r="26" ht="17" customHeight="1">
      <c r="B26" s="112" t="str">
        <f>IF($L26="","",IF($L$5="Facture",INDEX(fl_code,$L26),INDEX(dl_code,$L26))&amp;"")</f>
        <v/>
      </c>
      <c r="C26" s="113" t="str">
        <f>IF($L26="","",IF($L$5="Facture",INDEX(fl_des,$L26),INDEX(dl_des,$L26))&amp;"")</f>
        <v/>
      </c>
      <c r="D26" s="114" t="str">
        <f>IF($L26="","",IF($L$5="Facture",INDEX(fl_qty,$L26),INDEX(dl_qty,$L26)))</f>
        <v/>
      </c>
      <c r="E26" s="115" t="str">
        <f>IF($L26="","",IF($L$5="Facture",INDEX(fl_unit,$L26),INDEX(dl_unit,$L26))&amp;"")</f>
        <v/>
      </c>
      <c r="F26" s="116" t="str">
        <f>IF($L26="","",IF($L$5="Facture",INDEX(fl_pu,$L26),INDEX(dl_pu,$L26)))</f>
        <v/>
      </c>
      <c r="G26" s="117" t="str">
        <f>IF($L26="","",N(IF($L$5="Facture",INDEX(fl_disc,$L26),INDEX(dl_disc,$L26))))</f>
        <v/>
      </c>
      <c r="H26" s="118" t="str">
        <f>IF($L26="","",IF($L$5="Facture",INDEX(fl_rate,$L26),INDEX(dl_rate,$L26)))</f>
        <v/>
      </c>
      <c r="I26" s="119" t="str">
        <f>IF($L26="","",IF($L$5="Facture",INDEX(fl_ht,$L26),INDEX(dl_ht,$L26)))</f>
        <v/>
      </c>
      <c r="L26" t="str">
        <f>IF($L$5="","",IFERROR(IF($L$5="Facture",MATCH(IF($L$5="Facture",$C$3,$L$6)&amp;"|6",fl_key,0),MATCH(IF($L$5="Facture",$C$3,$L$6)&amp;"|6",dl_key,0)),""))</f>
        <v/>
      </c>
      <c r="M26">
        <f>IF($L26="",0,ROUND(N(D26)*N(F26),2))</f>
        <v>0.0</v>
      </c>
    </row>
    <row r="27" ht="17" customHeight="1">
      <c r="B27" s="104" t="str">
        <f>IF($L27="","",IF($L$5="Facture",INDEX(fl_code,$L27),INDEX(dl_code,$L27))&amp;"")</f>
        <v/>
      </c>
      <c r="C27" s="105" t="str">
        <f>IF($L27="","",IF($L$5="Facture",INDEX(fl_des,$L27),INDEX(dl_des,$L27))&amp;"")</f>
        <v/>
      </c>
      <c r="D27" s="106" t="str">
        <f>IF($L27="","",IF($L$5="Facture",INDEX(fl_qty,$L27),INDEX(dl_qty,$L27)))</f>
        <v/>
      </c>
      <c r="E27" s="107" t="str">
        <f>IF($L27="","",IF($L$5="Facture",INDEX(fl_unit,$L27),INDEX(dl_unit,$L27))&amp;"")</f>
        <v/>
      </c>
      <c r="F27" s="108" t="str">
        <f>IF($L27="","",IF($L$5="Facture",INDEX(fl_pu,$L27),INDEX(dl_pu,$L27)))</f>
        <v/>
      </c>
      <c r="G27" s="109" t="str">
        <f>IF($L27="","",N(IF($L$5="Facture",INDEX(fl_disc,$L27),INDEX(dl_disc,$L27))))</f>
        <v/>
      </c>
      <c r="H27" s="110" t="str">
        <f>IF($L27="","",IF($L$5="Facture",INDEX(fl_rate,$L27),INDEX(dl_rate,$L27)))</f>
        <v/>
      </c>
      <c r="I27" s="111" t="str">
        <f>IF($L27="","",IF($L$5="Facture",INDEX(fl_ht,$L27),INDEX(dl_ht,$L27)))</f>
        <v/>
      </c>
      <c r="L27" t="str">
        <f>IF($L$5="","",IFERROR(IF($L$5="Facture",MATCH(IF($L$5="Facture",$C$3,$L$6)&amp;"|7",fl_key,0),MATCH(IF($L$5="Facture",$C$3,$L$6)&amp;"|7",dl_key,0)),""))</f>
        <v/>
      </c>
      <c r="M27">
        <f>IF($L27="",0,ROUND(N(D27)*N(F27),2))</f>
        <v>0.0</v>
      </c>
    </row>
    <row r="28" ht="17" customHeight="1">
      <c r="B28" s="112" t="str">
        <f>IF($L28="","",IF($L$5="Facture",INDEX(fl_code,$L28),INDEX(dl_code,$L28))&amp;"")</f>
        <v/>
      </c>
      <c r="C28" s="113" t="str">
        <f>IF($L28="","",IF($L$5="Facture",INDEX(fl_des,$L28),INDEX(dl_des,$L28))&amp;"")</f>
        <v/>
      </c>
      <c r="D28" s="114" t="str">
        <f>IF($L28="","",IF($L$5="Facture",INDEX(fl_qty,$L28),INDEX(dl_qty,$L28)))</f>
        <v/>
      </c>
      <c r="E28" s="115" t="str">
        <f>IF($L28="","",IF($L$5="Facture",INDEX(fl_unit,$L28),INDEX(dl_unit,$L28))&amp;"")</f>
        <v/>
      </c>
      <c r="F28" s="116" t="str">
        <f>IF($L28="","",IF($L$5="Facture",INDEX(fl_pu,$L28),INDEX(dl_pu,$L28)))</f>
        <v/>
      </c>
      <c r="G28" s="117" t="str">
        <f>IF($L28="","",N(IF($L$5="Facture",INDEX(fl_disc,$L28),INDEX(dl_disc,$L28))))</f>
        <v/>
      </c>
      <c r="H28" s="118" t="str">
        <f>IF($L28="","",IF($L$5="Facture",INDEX(fl_rate,$L28),INDEX(dl_rate,$L28)))</f>
        <v/>
      </c>
      <c r="I28" s="119" t="str">
        <f>IF($L28="","",IF($L$5="Facture",INDEX(fl_ht,$L28),INDEX(dl_ht,$L28)))</f>
        <v/>
      </c>
      <c r="L28" t="str">
        <f>IF($L$5="","",IFERROR(IF($L$5="Facture",MATCH(IF($L$5="Facture",$C$3,$L$6)&amp;"|8",fl_key,0),MATCH(IF($L$5="Facture",$C$3,$L$6)&amp;"|8",dl_key,0)),""))</f>
        <v/>
      </c>
      <c r="M28">
        <f>IF($L28="",0,ROUND(N(D28)*N(F28),2))</f>
        <v>0.0</v>
      </c>
    </row>
    <row r="29" ht="17" customHeight="1">
      <c r="B29" s="104" t="str">
        <f>IF($L29="","",IF($L$5="Facture",INDEX(fl_code,$L29),INDEX(dl_code,$L29))&amp;"")</f>
        <v/>
      </c>
      <c r="C29" s="105" t="str">
        <f>IF($L29="","",IF($L$5="Facture",INDEX(fl_des,$L29),INDEX(dl_des,$L29))&amp;"")</f>
        <v/>
      </c>
      <c r="D29" s="106" t="str">
        <f>IF($L29="","",IF($L$5="Facture",INDEX(fl_qty,$L29),INDEX(dl_qty,$L29)))</f>
        <v/>
      </c>
      <c r="E29" s="107" t="str">
        <f>IF($L29="","",IF($L$5="Facture",INDEX(fl_unit,$L29),INDEX(dl_unit,$L29))&amp;"")</f>
        <v/>
      </c>
      <c r="F29" s="108" t="str">
        <f>IF($L29="","",IF($L$5="Facture",INDEX(fl_pu,$L29),INDEX(dl_pu,$L29)))</f>
        <v/>
      </c>
      <c r="G29" s="109" t="str">
        <f>IF($L29="","",N(IF($L$5="Facture",INDEX(fl_disc,$L29),INDEX(dl_disc,$L29))))</f>
        <v/>
      </c>
      <c r="H29" s="110" t="str">
        <f>IF($L29="","",IF($L$5="Facture",INDEX(fl_rate,$L29),INDEX(dl_rate,$L29)))</f>
        <v/>
      </c>
      <c r="I29" s="111" t="str">
        <f>IF($L29="","",IF($L$5="Facture",INDEX(fl_ht,$L29),INDEX(dl_ht,$L29)))</f>
        <v/>
      </c>
      <c r="L29" t="str">
        <f>IF($L$5="","",IFERROR(IF($L$5="Facture",MATCH(IF($L$5="Facture",$C$3,$L$6)&amp;"|9",fl_key,0),MATCH(IF($L$5="Facture",$C$3,$L$6)&amp;"|9",dl_key,0)),""))</f>
        <v/>
      </c>
      <c r="M29">
        <f>IF($L29="",0,ROUND(N(D29)*N(F29),2))</f>
        <v>0.0</v>
      </c>
    </row>
    <row r="30" ht="17" customHeight="1">
      <c r="B30" s="112" t="str">
        <f>IF($L30="","",IF($L$5="Facture",INDEX(fl_code,$L30),INDEX(dl_code,$L30))&amp;"")</f>
        <v/>
      </c>
      <c r="C30" s="113" t="str">
        <f>IF($L30="","",IF($L$5="Facture",INDEX(fl_des,$L30),INDEX(dl_des,$L30))&amp;"")</f>
        <v/>
      </c>
      <c r="D30" s="114" t="str">
        <f>IF($L30="","",IF($L$5="Facture",INDEX(fl_qty,$L30),INDEX(dl_qty,$L30)))</f>
        <v/>
      </c>
      <c r="E30" s="115" t="str">
        <f>IF($L30="","",IF($L$5="Facture",INDEX(fl_unit,$L30),INDEX(dl_unit,$L30))&amp;"")</f>
        <v/>
      </c>
      <c r="F30" s="116" t="str">
        <f>IF($L30="","",IF($L$5="Facture",INDEX(fl_pu,$L30),INDEX(dl_pu,$L30)))</f>
        <v/>
      </c>
      <c r="G30" s="117" t="str">
        <f>IF($L30="","",N(IF($L$5="Facture",INDEX(fl_disc,$L30),INDEX(dl_disc,$L30))))</f>
        <v/>
      </c>
      <c r="H30" s="118" t="str">
        <f>IF($L30="","",IF($L$5="Facture",INDEX(fl_rate,$L30),INDEX(dl_rate,$L30)))</f>
        <v/>
      </c>
      <c r="I30" s="119" t="str">
        <f>IF($L30="","",IF($L$5="Facture",INDEX(fl_ht,$L30),INDEX(dl_ht,$L30)))</f>
        <v/>
      </c>
      <c r="L30" t="str">
        <f>IF($L$5="","",IFERROR(IF($L$5="Facture",MATCH(IF($L$5="Facture",$C$3,$L$6)&amp;"|10",fl_key,0),MATCH(IF($L$5="Facture",$C$3,$L$6)&amp;"|10",dl_key,0)),""))</f>
        <v/>
      </c>
      <c r="M30">
        <f>IF($L30="",0,ROUND(N(D30)*N(F30),2))</f>
        <v>0.0</v>
      </c>
    </row>
    <row r="31" ht="17" customHeight="1">
      <c r="B31" s="104" t="str">
        <f>IF($L31="","",IF($L$5="Facture",INDEX(fl_code,$L31),INDEX(dl_code,$L31))&amp;"")</f>
        <v/>
      </c>
      <c r="C31" s="105" t="str">
        <f>IF($L31="","",IF($L$5="Facture",INDEX(fl_des,$L31),INDEX(dl_des,$L31))&amp;"")</f>
        <v/>
      </c>
      <c r="D31" s="106" t="str">
        <f>IF($L31="","",IF($L$5="Facture",INDEX(fl_qty,$L31),INDEX(dl_qty,$L31)))</f>
        <v/>
      </c>
      <c r="E31" s="107" t="str">
        <f>IF($L31="","",IF($L$5="Facture",INDEX(fl_unit,$L31),INDEX(dl_unit,$L31))&amp;"")</f>
        <v/>
      </c>
      <c r="F31" s="108" t="str">
        <f>IF($L31="","",IF($L$5="Facture",INDEX(fl_pu,$L31),INDEX(dl_pu,$L31)))</f>
        <v/>
      </c>
      <c r="G31" s="109" t="str">
        <f>IF($L31="","",N(IF($L$5="Facture",INDEX(fl_disc,$L31),INDEX(dl_disc,$L31))))</f>
        <v/>
      </c>
      <c r="H31" s="110" t="str">
        <f>IF($L31="","",IF($L$5="Facture",INDEX(fl_rate,$L31),INDEX(dl_rate,$L31)))</f>
        <v/>
      </c>
      <c r="I31" s="111" t="str">
        <f>IF($L31="","",IF($L$5="Facture",INDEX(fl_ht,$L31),INDEX(dl_ht,$L31)))</f>
        <v/>
      </c>
      <c r="L31" t="str">
        <f>IF($L$5="","",IFERROR(IF($L$5="Facture",MATCH(IF($L$5="Facture",$C$3,$L$6)&amp;"|11",fl_key,0),MATCH(IF($L$5="Facture",$C$3,$L$6)&amp;"|11",dl_key,0)),""))</f>
        <v/>
      </c>
      <c r="M31">
        <f>IF($L31="",0,ROUND(N(D31)*N(F31),2))</f>
        <v>0.0</v>
      </c>
    </row>
    <row r="32" ht="17" customHeight="1">
      <c r="B32" s="112" t="str">
        <f>IF($L32="","",IF($L$5="Facture",INDEX(fl_code,$L32),INDEX(dl_code,$L32))&amp;"")</f>
        <v/>
      </c>
      <c r="C32" s="113" t="str">
        <f>IF($L32="","",IF($L$5="Facture",INDEX(fl_des,$L32),INDEX(dl_des,$L32))&amp;"")</f>
        <v/>
      </c>
      <c r="D32" s="114" t="str">
        <f>IF($L32="","",IF($L$5="Facture",INDEX(fl_qty,$L32),INDEX(dl_qty,$L32)))</f>
        <v/>
      </c>
      <c r="E32" s="115" t="str">
        <f>IF($L32="","",IF($L$5="Facture",INDEX(fl_unit,$L32),INDEX(dl_unit,$L32))&amp;"")</f>
        <v/>
      </c>
      <c r="F32" s="116" t="str">
        <f>IF($L32="","",IF($L$5="Facture",INDEX(fl_pu,$L32),INDEX(dl_pu,$L32)))</f>
        <v/>
      </c>
      <c r="G32" s="117" t="str">
        <f>IF($L32="","",N(IF($L$5="Facture",INDEX(fl_disc,$L32),INDEX(dl_disc,$L32))))</f>
        <v/>
      </c>
      <c r="H32" s="118" t="str">
        <f>IF($L32="","",IF($L$5="Facture",INDEX(fl_rate,$L32),INDEX(dl_rate,$L32)))</f>
        <v/>
      </c>
      <c r="I32" s="119" t="str">
        <f>IF($L32="","",IF($L$5="Facture",INDEX(fl_ht,$L32),INDEX(dl_ht,$L32)))</f>
        <v/>
      </c>
      <c r="L32" t="str">
        <f>IF($L$5="","",IFERROR(IF($L$5="Facture",MATCH(IF($L$5="Facture",$C$3,$L$6)&amp;"|12",fl_key,0),MATCH(IF($L$5="Facture",$C$3,$L$6)&amp;"|12",dl_key,0)),""))</f>
        <v/>
      </c>
      <c r="M32">
        <f>IF($L32="",0,ROUND(N(D32)*N(F32),2))</f>
        <v>0.0</v>
      </c>
    </row>
    <row r="33" ht="17" customHeight="1">
      <c r="B33" s="104" t="str">
        <f>IF($L33="","",IF($L$5="Facture",INDEX(fl_code,$L33),INDEX(dl_code,$L33))&amp;"")</f>
        <v/>
      </c>
      <c r="C33" s="105" t="str">
        <f>IF($L33="","",IF($L$5="Facture",INDEX(fl_des,$L33),INDEX(dl_des,$L33))&amp;"")</f>
        <v/>
      </c>
      <c r="D33" s="106" t="str">
        <f>IF($L33="","",IF($L$5="Facture",INDEX(fl_qty,$L33),INDEX(dl_qty,$L33)))</f>
        <v/>
      </c>
      <c r="E33" s="107" t="str">
        <f>IF($L33="","",IF($L$5="Facture",INDEX(fl_unit,$L33),INDEX(dl_unit,$L33))&amp;"")</f>
        <v/>
      </c>
      <c r="F33" s="108" t="str">
        <f>IF($L33="","",IF($L$5="Facture",INDEX(fl_pu,$L33),INDEX(dl_pu,$L33)))</f>
        <v/>
      </c>
      <c r="G33" s="109" t="str">
        <f>IF($L33="","",N(IF($L$5="Facture",INDEX(fl_disc,$L33),INDEX(dl_disc,$L33))))</f>
        <v/>
      </c>
      <c r="H33" s="110" t="str">
        <f>IF($L33="","",IF($L$5="Facture",INDEX(fl_rate,$L33),INDEX(dl_rate,$L33)))</f>
        <v/>
      </c>
      <c r="I33" s="111" t="str">
        <f>IF($L33="","",IF($L$5="Facture",INDEX(fl_ht,$L33),INDEX(dl_ht,$L33)))</f>
        <v/>
      </c>
      <c r="L33" t="str">
        <f>IF($L$5="","",IFERROR(IF($L$5="Facture",MATCH(IF($L$5="Facture",$C$3,$L$6)&amp;"|13",fl_key,0),MATCH(IF($L$5="Facture",$C$3,$L$6)&amp;"|13",dl_key,0)),""))</f>
        <v/>
      </c>
      <c r="M33">
        <f>IF($L33="",0,ROUND(N(D33)*N(F33),2))</f>
        <v>0.0</v>
      </c>
    </row>
    <row r="34" ht="17" customHeight="1">
      <c r="B34" s="112" t="str">
        <f>IF($L34="","",IF($L$5="Facture",INDEX(fl_code,$L34),INDEX(dl_code,$L34))&amp;"")</f>
        <v/>
      </c>
      <c r="C34" s="113" t="str">
        <f>IF($L34="","",IF($L$5="Facture",INDEX(fl_des,$L34),INDEX(dl_des,$L34))&amp;"")</f>
        <v/>
      </c>
      <c r="D34" s="114" t="str">
        <f>IF($L34="","",IF($L$5="Facture",INDEX(fl_qty,$L34),INDEX(dl_qty,$L34)))</f>
        <v/>
      </c>
      <c r="E34" s="115" t="str">
        <f>IF($L34="","",IF($L$5="Facture",INDEX(fl_unit,$L34),INDEX(dl_unit,$L34))&amp;"")</f>
        <v/>
      </c>
      <c r="F34" s="116" t="str">
        <f>IF($L34="","",IF($L$5="Facture",INDEX(fl_pu,$L34),INDEX(dl_pu,$L34)))</f>
        <v/>
      </c>
      <c r="G34" s="117" t="str">
        <f>IF($L34="","",N(IF($L$5="Facture",INDEX(fl_disc,$L34),INDEX(dl_disc,$L34))))</f>
        <v/>
      </c>
      <c r="H34" s="118" t="str">
        <f>IF($L34="","",IF($L$5="Facture",INDEX(fl_rate,$L34),INDEX(dl_rate,$L34)))</f>
        <v/>
      </c>
      <c r="I34" s="119" t="str">
        <f>IF($L34="","",IF($L$5="Facture",INDEX(fl_ht,$L34),INDEX(dl_ht,$L34)))</f>
        <v/>
      </c>
      <c r="L34" t="str">
        <f>IF($L$5="","",IFERROR(IF($L$5="Facture",MATCH(IF($L$5="Facture",$C$3,$L$6)&amp;"|14",fl_key,0),MATCH(IF($L$5="Facture",$C$3,$L$6)&amp;"|14",dl_key,0)),""))</f>
        <v/>
      </c>
      <c r="M34">
        <f>IF($L34="",0,ROUND(N(D34)*N(F34),2))</f>
        <v>0.0</v>
      </c>
    </row>
    <row r="35" ht="17" customHeight="1">
      <c r="B35" s="104" t="str">
        <f>IF($L35="","",IF($L$5="Facture",INDEX(fl_code,$L35),INDEX(dl_code,$L35))&amp;"")</f>
        <v/>
      </c>
      <c r="C35" s="105" t="str">
        <f>IF($L35="","",IF($L$5="Facture",INDEX(fl_des,$L35),INDEX(dl_des,$L35))&amp;"")</f>
        <v/>
      </c>
      <c r="D35" s="106" t="str">
        <f>IF($L35="","",IF($L$5="Facture",INDEX(fl_qty,$L35),INDEX(dl_qty,$L35)))</f>
        <v/>
      </c>
      <c r="E35" s="107" t="str">
        <f>IF($L35="","",IF($L$5="Facture",INDEX(fl_unit,$L35),INDEX(dl_unit,$L35))&amp;"")</f>
        <v/>
      </c>
      <c r="F35" s="108" t="str">
        <f>IF($L35="","",IF($L$5="Facture",INDEX(fl_pu,$L35),INDEX(dl_pu,$L35)))</f>
        <v/>
      </c>
      <c r="G35" s="109" t="str">
        <f>IF($L35="","",N(IF($L$5="Facture",INDEX(fl_disc,$L35),INDEX(dl_disc,$L35))))</f>
        <v/>
      </c>
      <c r="H35" s="110" t="str">
        <f>IF($L35="","",IF($L$5="Facture",INDEX(fl_rate,$L35),INDEX(dl_rate,$L35)))</f>
        <v/>
      </c>
      <c r="I35" s="111" t="str">
        <f>IF($L35="","",IF($L$5="Facture",INDEX(fl_ht,$L35),INDEX(dl_ht,$L35)))</f>
        <v/>
      </c>
      <c r="L35" t="str">
        <f>IF($L$5="","",IFERROR(IF($L$5="Facture",MATCH(IF($L$5="Facture",$C$3,$L$6)&amp;"|15",fl_key,0),MATCH(IF($L$5="Facture",$C$3,$L$6)&amp;"|15",dl_key,0)),""))</f>
        <v/>
      </c>
      <c r="M35">
        <f>IF($L35="",0,ROUND(N(D35)*N(F35),2))</f>
        <v>0.0</v>
      </c>
    </row>
    <row r="36" ht="17" customHeight="1">
      <c r="B36" s="112" t="str">
        <f>IF($L36="","",IF($L$5="Facture",INDEX(fl_code,$L36),INDEX(dl_code,$L36))&amp;"")</f>
        <v/>
      </c>
      <c r="C36" s="113" t="str">
        <f>IF($L36="","",IF($L$5="Facture",INDEX(fl_des,$L36),INDEX(dl_des,$L36))&amp;"")</f>
        <v/>
      </c>
      <c r="D36" s="114" t="str">
        <f>IF($L36="","",IF($L$5="Facture",INDEX(fl_qty,$L36),INDEX(dl_qty,$L36)))</f>
        <v/>
      </c>
      <c r="E36" s="115" t="str">
        <f>IF($L36="","",IF($L$5="Facture",INDEX(fl_unit,$L36),INDEX(dl_unit,$L36))&amp;"")</f>
        <v/>
      </c>
      <c r="F36" s="116" t="str">
        <f>IF($L36="","",IF($L$5="Facture",INDEX(fl_pu,$L36),INDEX(dl_pu,$L36)))</f>
        <v/>
      </c>
      <c r="G36" s="117" t="str">
        <f>IF($L36="","",N(IF($L$5="Facture",INDEX(fl_disc,$L36),INDEX(dl_disc,$L36))))</f>
        <v/>
      </c>
      <c r="H36" s="118" t="str">
        <f>IF($L36="","",IF($L$5="Facture",INDEX(fl_rate,$L36),INDEX(dl_rate,$L36)))</f>
        <v/>
      </c>
      <c r="I36" s="119" t="str">
        <f>IF($L36="","",IF($L$5="Facture",INDEX(fl_ht,$L36),INDEX(dl_ht,$L36)))</f>
        <v/>
      </c>
      <c r="L36" t="str">
        <f>IF($L$5="","",IFERROR(IF($L$5="Facture",MATCH(IF($L$5="Facture",$C$3,$L$6)&amp;"|16",fl_key,0),MATCH(IF($L$5="Facture",$C$3,$L$6)&amp;"|16",dl_key,0)),""))</f>
        <v/>
      </c>
      <c r="M36">
        <f>IF($L36="",0,ROUND(N(D36)*N(F36),2))</f>
        <v>0.0</v>
      </c>
    </row>
    <row r="37" ht="17" customHeight="1">
      <c r="B37" s="104" t="str">
        <f>IF($L37="","",IF($L$5="Facture",INDEX(fl_code,$L37),INDEX(dl_code,$L37))&amp;"")</f>
        <v/>
      </c>
      <c r="C37" s="105" t="str">
        <f>IF($L37="","",IF($L$5="Facture",INDEX(fl_des,$L37),INDEX(dl_des,$L37))&amp;"")</f>
        <v/>
      </c>
      <c r="D37" s="106" t="str">
        <f>IF($L37="","",IF($L$5="Facture",INDEX(fl_qty,$L37),INDEX(dl_qty,$L37)))</f>
        <v/>
      </c>
      <c r="E37" s="107" t="str">
        <f>IF($L37="","",IF($L$5="Facture",INDEX(fl_unit,$L37),INDEX(dl_unit,$L37))&amp;"")</f>
        <v/>
      </c>
      <c r="F37" s="108" t="str">
        <f>IF($L37="","",IF($L$5="Facture",INDEX(fl_pu,$L37),INDEX(dl_pu,$L37)))</f>
        <v/>
      </c>
      <c r="G37" s="109" t="str">
        <f>IF($L37="","",N(IF($L$5="Facture",INDEX(fl_disc,$L37),INDEX(dl_disc,$L37))))</f>
        <v/>
      </c>
      <c r="H37" s="110" t="str">
        <f>IF($L37="","",IF($L$5="Facture",INDEX(fl_rate,$L37),INDEX(dl_rate,$L37)))</f>
        <v/>
      </c>
      <c r="I37" s="111" t="str">
        <f>IF($L37="","",IF($L$5="Facture",INDEX(fl_ht,$L37),INDEX(dl_ht,$L37)))</f>
        <v/>
      </c>
      <c r="L37" t="str">
        <f>IF($L$5="","",IFERROR(IF($L$5="Facture",MATCH(IF($L$5="Facture",$C$3,$L$6)&amp;"|17",fl_key,0),MATCH(IF($L$5="Facture",$C$3,$L$6)&amp;"|17",dl_key,0)),""))</f>
        <v/>
      </c>
      <c r="M37">
        <f>IF($L37="",0,ROUND(N(D37)*N(F37),2))</f>
        <v>0.0</v>
      </c>
    </row>
    <row r="38" ht="17" customHeight="1">
      <c r="B38" s="112" t="str">
        <f>IF($L38="","",IF($L$5="Facture",INDEX(fl_code,$L38),INDEX(dl_code,$L38))&amp;"")</f>
        <v/>
      </c>
      <c r="C38" s="113" t="str">
        <f>IF($L38="","",IF($L$5="Facture",INDEX(fl_des,$L38),INDEX(dl_des,$L38))&amp;"")</f>
        <v/>
      </c>
      <c r="D38" s="114" t="str">
        <f>IF($L38="","",IF($L$5="Facture",INDEX(fl_qty,$L38),INDEX(dl_qty,$L38)))</f>
        <v/>
      </c>
      <c r="E38" s="115" t="str">
        <f>IF($L38="","",IF($L$5="Facture",INDEX(fl_unit,$L38),INDEX(dl_unit,$L38))&amp;"")</f>
        <v/>
      </c>
      <c r="F38" s="116" t="str">
        <f>IF($L38="","",IF($L$5="Facture",INDEX(fl_pu,$L38),INDEX(dl_pu,$L38)))</f>
        <v/>
      </c>
      <c r="G38" s="117" t="str">
        <f>IF($L38="","",N(IF($L$5="Facture",INDEX(fl_disc,$L38),INDEX(dl_disc,$L38))))</f>
        <v/>
      </c>
      <c r="H38" s="118" t="str">
        <f>IF($L38="","",IF($L$5="Facture",INDEX(fl_rate,$L38),INDEX(dl_rate,$L38)))</f>
        <v/>
      </c>
      <c r="I38" s="119" t="str">
        <f>IF($L38="","",IF($L$5="Facture",INDEX(fl_ht,$L38),INDEX(dl_ht,$L38)))</f>
        <v/>
      </c>
      <c r="L38" t="str">
        <f>IF($L$5="","",IFERROR(IF($L$5="Facture",MATCH(IF($L$5="Facture",$C$3,$L$6)&amp;"|18",fl_key,0),MATCH(IF($L$5="Facture",$C$3,$L$6)&amp;"|18",dl_key,0)),""))</f>
        <v/>
      </c>
      <c r="M38">
        <f>IF($L38="",0,ROUND(N(D38)*N(F38),2))</f>
        <v>0.0</v>
      </c>
    </row>
    <row r="39" ht="17" customHeight="1">
      <c r="B39" s="104" t="str">
        <f>IF($L39="","",IF($L$5="Facture",INDEX(fl_code,$L39),INDEX(dl_code,$L39))&amp;"")</f>
        <v/>
      </c>
      <c r="C39" s="105" t="str">
        <f>IF($L39="","",IF($L$5="Facture",INDEX(fl_des,$L39),INDEX(dl_des,$L39))&amp;"")</f>
        <v/>
      </c>
      <c r="D39" s="106" t="str">
        <f>IF($L39="","",IF($L$5="Facture",INDEX(fl_qty,$L39),INDEX(dl_qty,$L39)))</f>
        <v/>
      </c>
      <c r="E39" s="107" t="str">
        <f>IF($L39="","",IF($L$5="Facture",INDEX(fl_unit,$L39),INDEX(dl_unit,$L39))&amp;"")</f>
        <v/>
      </c>
      <c r="F39" s="108" t="str">
        <f>IF($L39="","",IF($L$5="Facture",INDEX(fl_pu,$L39),INDEX(dl_pu,$L39)))</f>
        <v/>
      </c>
      <c r="G39" s="109" t="str">
        <f>IF($L39="","",N(IF($L$5="Facture",INDEX(fl_disc,$L39),INDEX(dl_disc,$L39))))</f>
        <v/>
      </c>
      <c r="H39" s="110" t="str">
        <f>IF($L39="","",IF($L$5="Facture",INDEX(fl_rate,$L39),INDEX(dl_rate,$L39)))</f>
        <v/>
      </c>
      <c r="I39" s="111" t="str">
        <f>IF($L39="","",IF($L$5="Facture",INDEX(fl_ht,$L39),INDEX(dl_ht,$L39)))</f>
        <v/>
      </c>
      <c r="L39" t="str">
        <f>IF($L$5="","",IFERROR(IF($L$5="Facture",MATCH(IF($L$5="Facture",$C$3,$L$6)&amp;"|19",fl_key,0),MATCH(IF($L$5="Facture",$C$3,$L$6)&amp;"|19",dl_key,0)),""))</f>
        <v/>
      </c>
      <c r="M39">
        <f>IF($L39="",0,ROUND(N(D39)*N(F39),2))</f>
        <v>0.0</v>
      </c>
    </row>
    <row r="40" ht="17" customHeight="1">
      <c r="B40" s="112" t="str">
        <f>IF($L40="","",IF($L$5="Facture",INDEX(fl_code,$L40),INDEX(dl_code,$L40))&amp;"")</f>
        <v/>
      </c>
      <c r="C40" s="113" t="str">
        <f>IF($L40="","",IF($L$5="Facture",INDEX(fl_des,$L40),INDEX(dl_des,$L40))&amp;"")</f>
        <v/>
      </c>
      <c r="D40" s="114" t="str">
        <f>IF($L40="","",IF($L$5="Facture",INDEX(fl_qty,$L40),INDEX(dl_qty,$L40)))</f>
        <v/>
      </c>
      <c r="E40" s="115" t="str">
        <f>IF($L40="","",IF($L$5="Facture",INDEX(fl_unit,$L40),INDEX(dl_unit,$L40))&amp;"")</f>
        <v/>
      </c>
      <c r="F40" s="116" t="str">
        <f>IF($L40="","",IF($L$5="Facture",INDEX(fl_pu,$L40),INDEX(dl_pu,$L40)))</f>
        <v/>
      </c>
      <c r="G40" s="117" t="str">
        <f>IF($L40="","",N(IF($L$5="Facture",INDEX(fl_disc,$L40),INDEX(dl_disc,$L40))))</f>
        <v/>
      </c>
      <c r="H40" s="118" t="str">
        <f>IF($L40="","",IF($L$5="Facture",INDEX(fl_rate,$L40),INDEX(dl_rate,$L40)))</f>
        <v/>
      </c>
      <c r="I40" s="119" t="str">
        <f>IF($L40="","",IF($L$5="Facture",INDEX(fl_ht,$L40),INDEX(dl_ht,$L40)))</f>
        <v/>
      </c>
      <c r="L40" t="str">
        <f>IF($L$5="","",IFERROR(IF($L$5="Facture",MATCH(IF($L$5="Facture",$C$3,$L$6)&amp;"|20",fl_key,0),MATCH(IF($L$5="Facture",$C$3,$L$6)&amp;"|20",dl_key,0)),""))</f>
        <v/>
      </c>
      <c r="M40">
        <f>IF($L40="",0,ROUND(N(D40)*N(F40),2))</f>
        <v>0.0</v>
      </c>
    </row>
    <row r="41" ht="17" customHeight="1">
      <c r="B41" s="104" t="str">
        <f>IF($L41="","",IF($L$5="Facture",INDEX(fl_code,$L41),INDEX(dl_code,$L41))&amp;"")</f>
        <v/>
      </c>
      <c r="C41" s="105" t="str">
        <f>IF($L41="","",IF($L$5="Facture",INDEX(fl_des,$L41),INDEX(dl_des,$L41))&amp;"")</f>
        <v/>
      </c>
      <c r="D41" s="106" t="str">
        <f>IF($L41="","",IF($L$5="Facture",INDEX(fl_qty,$L41),INDEX(dl_qty,$L41)))</f>
        <v/>
      </c>
      <c r="E41" s="107" t="str">
        <f>IF($L41="","",IF($L$5="Facture",INDEX(fl_unit,$L41),INDEX(dl_unit,$L41))&amp;"")</f>
        <v/>
      </c>
      <c r="F41" s="108" t="str">
        <f>IF($L41="","",IF($L$5="Facture",INDEX(fl_pu,$L41),INDEX(dl_pu,$L41)))</f>
        <v/>
      </c>
      <c r="G41" s="109" t="str">
        <f>IF($L41="","",N(IF($L$5="Facture",INDEX(fl_disc,$L41),INDEX(dl_disc,$L41))))</f>
        <v/>
      </c>
      <c r="H41" s="110" t="str">
        <f>IF($L41="","",IF($L$5="Facture",INDEX(fl_rate,$L41),INDEX(dl_rate,$L41)))</f>
        <v/>
      </c>
      <c r="I41" s="111" t="str">
        <f>IF($L41="","",IF($L$5="Facture",INDEX(fl_ht,$L41),INDEX(dl_ht,$L41)))</f>
        <v/>
      </c>
      <c r="L41" t="str">
        <f>IF($L$5="","",IFERROR(IF($L$5="Facture",MATCH(IF($L$5="Facture",$C$3,$L$6)&amp;"|21",fl_key,0),MATCH(IF($L$5="Facture",$C$3,$L$6)&amp;"|21",dl_key,0)),""))</f>
        <v/>
      </c>
      <c r="M41">
        <f>IF($L41="",0,ROUND(N(D41)*N(F41),2))</f>
        <v>0.0</v>
      </c>
    </row>
    <row r="42" ht="17" customHeight="1">
      <c r="B42" s="112" t="str">
        <f>IF($L42="","",IF($L$5="Facture",INDEX(fl_code,$L42),INDEX(dl_code,$L42))&amp;"")</f>
        <v/>
      </c>
      <c r="C42" s="113" t="str">
        <f>IF($L42="","",IF($L$5="Facture",INDEX(fl_des,$L42),INDEX(dl_des,$L42))&amp;"")</f>
        <v/>
      </c>
      <c r="D42" s="114" t="str">
        <f>IF($L42="","",IF($L$5="Facture",INDEX(fl_qty,$L42),INDEX(dl_qty,$L42)))</f>
        <v/>
      </c>
      <c r="E42" s="115" t="str">
        <f>IF($L42="","",IF($L$5="Facture",INDEX(fl_unit,$L42),INDEX(dl_unit,$L42))&amp;"")</f>
        <v/>
      </c>
      <c r="F42" s="116" t="str">
        <f>IF($L42="","",IF($L$5="Facture",INDEX(fl_pu,$L42),INDEX(dl_pu,$L42)))</f>
        <v/>
      </c>
      <c r="G42" s="117" t="str">
        <f>IF($L42="","",N(IF($L$5="Facture",INDEX(fl_disc,$L42),INDEX(dl_disc,$L42))))</f>
        <v/>
      </c>
      <c r="H42" s="118" t="str">
        <f>IF($L42="","",IF($L$5="Facture",INDEX(fl_rate,$L42),INDEX(dl_rate,$L42)))</f>
        <v/>
      </c>
      <c r="I42" s="119" t="str">
        <f>IF($L42="","",IF($L$5="Facture",INDEX(fl_ht,$L42),INDEX(dl_ht,$L42)))</f>
        <v/>
      </c>
      <c r="L42" t="str">
        <f>IF($L$5="","",IFERROR(IF($L$5="Facture",MATCH(IF($L$5="Facture",$C$3,$L$6)&amp;"|22",fl_key,0),MATCH(IF($L$5="Facture",$C$3,$L$6)&amp;"|22",dl_key,0)),""))</f>
        <v/>
      </c>
      <c r="M42">
        <f>IF($L42="",0,ROUND(N(D42)*N(F42),2))</f>
        <v>0.0</v>
      </c>
    </row>
    <row r="43" ht="17" customHeight="1">
      <c r="B43" s="104" t="str">
        <f>IF($L43="","",IF($L$5="Facture",INDEX(fl_code,$L43),INDEX(dl_code,$L43))&amp;"")</f>
        <v/>
      </c>
      <c r="C43" s="105" t="str">
        <f>IF($L43="","",IF($L$5="Facture",INDEX(fl_des,$L43),INDEX(dl_des,$L43))&amp;"")</f>
        <v/>
      </c>
      <c r="D43" s="106" t="str">
        <f>IF($L43="","",IF($L$5="Facture",INDEX(fl_qty,$L43),INDEX(dl_qty,$L43)))</f>
        <v/>
      </c>
      <c r="E43" s="107" t="str">
        <f>IF($L43="","",IF($L$5="Facture",INDEX(fl_unit,$L43),INDEX(dl_unit,$L43))&amp;"")</f>
        <v/>
      </c>
      <c r="F43" s="108" t="str">
        <f>IF($L43="","",IF($L$5="Facture",INDEX(fl_pu,$L43),INDEX(dl_pu,$L43)))</f>
        <v/>
      </c>
      <c r="G43" s="109" t="str">
        <f>IF($L43="","",N(IF($L$5="Facture",INDEX(fl_disc,$L43),INDEX(dl_disc,$L43))))</f>
        <v/>
      </c>
      <c r="H43" s="110" t="str">
        <f>IF($L43="","",IF($L$5="Facture",INDEX(fl_rate,$L43),INDEX(dl_rate,$L43)))</f>
        <v/>
      </c>
      <c r="I43" s="111" t="str">
        <f>IF($L43="","",IF($L$5="Facture",INDEX(fl_ht,$L43),INDEX(dl_ht,$L43)))</f>
        <v/>
      </c>
      <c r="L43" t="str">
        <f>IF($L$5="","",IFERROR(IF($L$5="Facture",MATCH(IF($L$5="Facture",$C$3,$L$6)&amp;"|23",fl_key,0),MATCH(IF($L$5="Facture",$C$3,$L$6)&amp;"|23",dl_key,0)),""))</f>
        <v/>
      </c>
      <c r="M43">
        <f>IF($L43="",0,ROUND(N(D43)*N(F43),2))</f>
        <v>0.0</v>
      </c>
    </row>
    <row r="44" ht="17" customHeight="1">
      <c r="B44" s="112" t="str">
        <f>IF($L44="","",IF($L$5="Facture",INDEX(fl_code,$L44),INDEX(dl_code,$L44))&amp;"")</f>
        <v/>
      </c>
      <c r="C44" s="113" t="str">
        <f>IF($L44="","",IF($L$5="Facture",INDEX(fl_des,$L44),INDEX(dl_des,$L44))&amp;"")</f>
        <v/>
      </c>
      <c r="D44" s="114" t="str">
        <f>IF($L44="","",IF($L$5="Facture",INDEX(fl_qty,$L44),INDEX(dl_qty,$L44)))</f>
        <v/>
      </c>
      <c r="E44" s="115" t="str">
        <f>IF($L44="","",IF($L$5="Facture",INDEX(fl_unit,$L44),INDEX(dl_unit,$L44))&amp;"")</f>
        <v/>
      </c>
      <c r="F44" s="116" t="str">
        <f>IF($L44="","",IF($L$5="Facture",INDEX(fl_pu,$L44),INDEX(dl_pu,$L44)))</f>
        <v/>
      </c>
      <c r="G44" s="117" t="str">
        <f>IF($L44="","",N(IF($L$5="Facture",INDEX(fl_disc,$L44),INDEX(dl_disc,$L44))))</f>
        <v/>
      </c>
      <c r="H44" s="118" t="str">
        <f>IF($L44="","",IF($L$5="Facture",INDEX(fl_rate,$L44),INDEX(dl_rate,$L44)))</f>
        <v/>
      </c>
      <c r="I44" s="119" t="str">
        <f>IF($L44="","",IF($L$5="Facture",INDEX(fl_ht,$L44),INDEX(dl_ht,$L44)))</f>
        <v/>
      </c>
      <c r="L44" t="str">
        <f>IF($L$5="","",IFERROR(IF($L$5="Facture",MATCH(IF($L$5="Facture",$C$3,$L$6)&amp;"|24",fl_key,0),MATCH(IF($L$5="Facture",$C$3,$L$6)&amp;"|24",dl_key,0)),""))</f>
        <v/>
      </c>
      <c r="M44">
        <f>IF($L44="",0,ROUND(N(D44)*N(F44),2))</f>
        <v>0.0</v>
      </c>
    </row>
    <row r="45" ht="17" customHeight="1">
      <c r="B45" s="104" t="str">
        <f>IF($L45="","",IF($L$5="Facture",INDEX(fl_code,$L45),INDEX(dl_code,$L45))&amp;"")</f>
        <v/>
      </c>
      <c r="C45" s="105" t="str">
        <f>IF($L45="","",IF($L$5="Facture",INDEX(fl_des,$L45),INDEX(dl_des,$L45))&amp;"")</f>
        <v/>
      </c>
      <c r="D45" s="106" t="str">
        <f>IF($L45="","",IF($L$5="Facture",INDEX(fl_qty,$L45),INDEX(dl_qty,$L45)))</f>
        <v/>
      </c>
      <c r="E45" s="107" t="str">
        <f>IF($L45="","",IF($L$5="Facture",INDEX(fl_unit,$L45),INDEX(dl_unit,$L45))&amp;"")</f>
        <v/>
      </c>
      <c r="F45" s="108" t="str">
        <f>IF($L45="","",IF($L$5="Facture",INDEX(fl_pu,$L45),INDEX(dl_pu,$L45)))</f>
        <v/>
      </c>
      <c r="G45" s="109" t="str">
        <f>IF($L45="","",N(IF($L$5="Facture",INDEX(fl_disc,$L45),INDEX(dl_disc,$L45))))</f>
        <v/>
      </c>
      <c r="H45" s="110" t="str">
        <f>IF($L45="","",IF($L$5="Facture",INDEX(fl_rate,$L45),INDEX(dl_rate,$L45)))</f>
        <v/>
      </c>
      <c r="I45" s="111" t="str">
        <f>IF($L45="","",IF($L$5="Facture",INDEX(fl_ht,$L45),INDEX(dl_ht,$L45)))</f>
        <v/>
      </c>
      <c r="L45" t="str">
        <f>IF($L$5="","",IFERROR(IF($L$5="Facture",MATCH(IF($L$5="Facture",$C$3,$L$6)&amp;"|25",fl_key,0),MATCH(IF($L$5="Facture",$C$3,$L$6)&amp;"|25",dl_key,0)),""))</f>
        <v/>
      </c>
      <c r="M45">
        <f>IF($L45="",0,ROUND(N(D45)*N(F45),2))</f>
        <v>0.0</v>
      </c>
    </row>
    <row r="46">
      <c r="B46" s="120" t="str">
        <f>IF(L18&gt;25,"Ce document compte "&amp;L18&amp;" lignes : seules les 25 premières sont imprimées.","")</f>
        <v/>
      </c>
    </row>
    <row r="47">
      <c r="B47" s="89" t="inlineStr">
        <is>
          <t>Récapitulatif TVA</t>
        </is>
      </c>
      <c r="F47" s="121" t="str">
        <f>IF(L20&gt;0,"Remises accordées","")</f>
        <v/>
      </c>
      <c r="G47" s="122" t="n"/>
      <c r="H47" s="122" t="n"/>
      <c r="I47" s="123" t="str">
        <f>IF(L20&gt;0,L20,"")</f>
        <v/>
      </c>
    </row>
    <row r="48">
      <c r="B48" s="124" t="inlineStr">
        <is>
          <t>Taux</t>
        </is>
      </c>
      <c r="C48" s="124" t="inlineStr">
        <is>
          <t>Base HT</t>
        </is>
      </c>
      <c r="D48" s="124" t="inlineStr">
        <is>
          <t>TVA</t>
        </is>
      </c>
      <c r="E48" s="48" t="n"/>
      <c r="F48" s="121" t="str">
        <f>IF(N(L7)&gt;0,"Total HT des lignes","")</f>
        <v/>
      </c>
      <c r="G48" s="122" t="n"/>
      <c r="H48" s="122" t="n"/>
      <c r="I48" s="123" t="str">
        <f>IF(N(L7)&gt;0,L8,"")</f>
        <v/>
      </c>
    </row>
    <row r="49">
      <c r="B49" s="125" t="str">
        <f>IFERROR(INDEX($N$3:$N$8,MATCH(1,$R$3:$R$8,0)),"")</f>
        <v/>
      </c>
      <c r="C49" s="126" t="str">
        <f>IFERROR(INDEX($O$3:$O$8,MATCH(1,$R$3:$R$8,0))-INDEX($P$3:$P$8,MATCH(1,$R$3:$R$8,0)),"")</f>
        <v/>
      </c>
      <c r="D49" s="126" t="str">
        <f>IFERROR(INDEX($Q$3:$Q$8,MATCH(1,$R$3:$R$8,0)),"")</f>
        <v/>
      </c>
      <c r="E49" s="126" t="n"/>
      <c r="F49" s="121" t="str">
        <f>IF(N(L7)&gt;0,"Acompte "&amp;INDEX(fa_num,L7)&amp;" (HT)","")</f>
        <v/>
      </c>
      <c r="G49" s="122" t="n"/>
      <c r="H49" s="122" t="n"/>
      <c r="I49" s="123" t="str">
        <f>IF(N(L7)&gt;0,-L10,"")</f>
        <v/>
      </c>
    </row>
    <row r="50">
      <c r="B50" s="125" t="str">
        <f>IFERROR(INDEX($N$3:$N$8,MATCH(2,$R$3:$R$8,0)),"")</f>
        <v/>
      </c>
      <c r="C50" s="126" t="str">
        <f>IFERROR(INDEX($O$3:$O$8,MATCH(2,$R$3:$R$8,0))-INDEX($P$3:$P$8,MATCH(2,$R$3:$R$8,0)),"")</f>
        <v/>
      </c>
      <c r="D50" s="126" t="str">
        <f>IFERROR(INDEX($Q$3:$Q$8,MATCH(2,$R$3:$R$8,0)),"")</f>
        <v/>
      </c>
      <c r="E50" s="126" t="n"/>
      <c r="F50" s="121" t="inlineStr">
        <is>
          <t>Total HT</t>
        </is>
      </c>
      <c r="G50" s="122" t="n"/>
      <c r="H50" s="122" t="n"/>
      <c r="I50" s="123" t="str">
        <f>IF($L$3="","",L12)</f>
        <v/>
      </c>
    </row>
    <row r="51">
      <c r="B51" s="125" t="str">
        <f>IFERROR(INDEX($N$3:$N$8,MATCH(3,$R$3:$R$8,0)),"")</f>
        <v/>
      </c>
      <c r="C51" s="126" t="str">
        <f>IFERROR(INDEX($O$3:$O$8,MATCH(3,$R$3:$R$8,0))-INDEX($P$3:$P$8,MATCH(3,$R$3:$R$8,0)),"")</f>
        <v/>
      </c>
      <c r="D51" s="126" t="str">
        <f>IFERROR(INDEX($Q$3:$Q$8,MATCH(3,$R$3:$R$8,0)),"")</f>
        <v/>
      </c>
      <c r="E51" s="126" t="n"/>
      <c r="F51" s="121" t="inlineStr">
        <is>
          <t>Total TVA</t>
        </is>
      </c>
      <c r="G51" s="122" t="n"/>
      <c r="H51" s="122" t="n"/>
      <c r="I51" s="123" t="str">
        <f>IF($L$3="","",L13)</f>
        <v/>
      </c>
    </row>
    <row r="52">
      <c r="B52" s="125" t="str">
        <f>IFERROR(INDEX($N$3:$N$8,MATCH(4,$R$3:$R$8,0)),"")</f>
        <v/>
      </c>
      <c r="C52" s="126" t="str">
        <f>IFERROR(INDEX($O$3:$O$8,MATCH(4,$R$3:$R$8,0))-INDEX($P$3:$P$8,MATCH(4,$R$3:$R$8,0)),"")</f>
        <v/>
      </c>
      <c r="D52" s="126" t="str">
        <f>IFERROR(INDEX($Q$3:$Q$8,MATCH(4,$R$3:$R$8,0)),"")</f>
        <v/>
      </c>
      <c r="E52" s="126" t="n"/>
      <c r="F52" s="121" t="inlineStr">
        <is>
          <t>Total TTC</t>
        </is>
      </c>
      <c r="G52" s="122" t="n"/>
      <c r="H52" s="122" t="n"/>
      <c r="I52" s="123" t="str">
        <f>IF($L$3="","",L14)</f>
        <v/>
      </c>
    </row>
    <row r="53">
      <c r="B53" s="125" t="str">
        <f>IFERROR(INDEX($N$3:$N$8,MATCH(5,$R$3:$R$8,0)),"")</f>
        <v/>
      </c>
      <c r="C53" s="126" t="str">
        <f>IFERROR(INDEX($O$3:$O$8,MATCH(5,$R$3:$R$8,0))-INDEX($P$3:$P$8,MATCH(5,$R$3:$R$8,0)),"")</f>
        <v/>
      </c>
      <c r="D53" s="126" t="str">
        <f>IFERROR(INDEX($Q$3:$Q$8,MATCH(5,$R$3:$R$8,0)),"")</f>
        <v/>
      </c>
      <c r="E53" s="126" t="n"/>
    </row>
    <row r="54" ht="24" customHeight="1">
      <c r="B54" s="125" t="str">
        <f>IFERROR(INDEX($N$3:$N$8,MATCH(6,$R$3:$R$8,0)),"")</f>
        <v/>
      </c>
      <c r="C54" s="126" t="str">
        <f>IFERROR(INDEX($O$3:$O$8,MATCH(6,$R$3:$R$8,0))-INDEX($P$3:$P$8,MATCH(6,$R$3:$R$8,0)),"")</f>
        <v/>
      </c>
      <c r="D54" s="126" t="str">
        <f>IFERROR(INDEX($Q$3:$Q$8,MATCH(6,$R$3:$R$8,0)),"")</f>
        <v/>
      </c>
      <c r="E54" s="126" t="n"/>
      <c r="F54" s="127" t="str">
        <f>IF(L4="Avoir","MONTANT DE L'AVOIR","NET À PAYER")</f>
        <v>NET À PAYER</v>
      </c>
      <c r="G54" s="1" t="n"/>
      <c r="H54" s="1" t="n"/>
      <c r="I54" s="128" t="str">
        <f>IF($L$3="","",L14)</f>
        <v/>
      </c>
    </row>
    <row r="56" ht="28" customHeight="1">
      <c r="B56" s="129" t="str">
        <f>IF(OR(p_words&lt;&gt;"Oui",$L$3="",S16=""),"",IF(L4="Avoir","Arrêté le présent avoir à la somme de ","Arrêtée la présente facture à la somme de ")&amp;S16&amp;" TTC.")</f>
        <v/>
      </c>
    </row>
    <row r="58" ht="26" customHeight="1">
      <c r="B58" s="89" t="inlineStr">
        <is>
          <t>Règlement</t>
        </is>
      </c>
      <c r="C58" s="130" t="str">
        <f>MID(IF(p_bank&lt;&gt;""," • "&amp;"Banque : "&amp;p_bank,"")&amp;IF(p_iban&lt;&gt;""," • "&amp;"RIB / IBAN : "&amp;p_iban,"")&amp;IF(p_bic&lt;&gt;""," • "&amp;"BIC : "&amp;p_bic,""),4,300)</f>
        <v/>
      </c>
    </row>
    <row r="59" ht="40" customHeight="1">
      <c r="B59" s="131" t="str">
        <f>IF(p_country="France","En cas de retard de paiement, pénalités au taux de "&amp;p_penalty&amp;" et indemnité forfaitaire pour frais de recouvrement de 40 € (article L441-10 du Code de commerce). "&amp;p_escompte&amp;IF(p_debits="Oui"," Option pour le paiement de la taxe d'après les débits.",""),"Délais de paiement (loi 69-21) : 60 jours à compter de la date d'émission de la facture à défaut d'accord, 120 jours au maximum en cas d'accord.")&amp;IF(AND(S3&gt;0,p_exempt&lt;&gt;"")," "&amp;p_exempt,"")&amp;IF(p_footer&lt;&gt;""," "&amp;p_footer,"")</f>
        <v>Délais de paiement (loi 69-21) : 60 jours à compter de la date d'émission de la facture à défaut d'accord, 120 jours au maximum en cas d'accord.</v>
      </c>
    </row>
  </sheetData>
  <mergeCells count="42">
    <mergeCell ref="C16:E16"/>
    <mergeCell ref="B9:E9"/>
    <mergeCell ref="H10:I10"/>
    <mergeCell ref="B6:E6"/>
    <mergeCell ref="F50:H50"/>
    <mergeCell ref="G18:I18"/>
    <mergeCell ref="B59:I59"/>
    <mergeCell ref="B5:E5"/>
    <mergeCell ref="H9:I9"/>
    <mergeCell ref="G15:I15"/>
    <mergeCell ref="F47:H47"/>
    <mergeCell ref="B56:I56"/>
    <mergeCell ref="D52:E52"/>
    <mergeCell ref="H6:I6"/>
    <mergeCell ref="G14:I14"/>
    <mergeCell ref="G5:I5"/>
    <mergeCell ref="D49:E49"/>
    <mergeCell ref="B7:E7"/>
    <mergeCell ref="C17:E17"/>
    <mergeCell ref="F52:H52"/>
    <mergeCell ref="D3:I3"/>
    <mergeCell ref="F48:H48"/>
    <mergeCell ref="D48:E48"/>
    <mergeCell ref="C58:I58"/>
    <mergeCell ref="D53:E53"/>
    <mergeCell ref="H11:I11"/>
    <mergeCell ref="G16:I16"/>
    <mergeCell ref="F49:H49"/>
    <mergeCell ref="H7:I7"/>
    <mergeCell ref="C18:E18"/>
    <mergeCell ref="B11:E11"/>
    <mergeCell ref="C15:E15"/>
    <mergeCell ref="F54:H54"/>
    <mergeCell ref="C14:E14"/>
    <mergeCell ref="B8:E8"/>
    <mergeCell ref="D51:E51"/>
    <mergeCell ref="G17:I17"/>
    <mergeCell ref="D54:E54"/>
    <mergeCell ref="H8:I8"/>
    <mergeCell ref="D50:E50"/>
    <mergeCell ref="B10:E10"/>
    <mergeCell ref="F51:H51"/>
  </mergeCells>
  <conditionalFormatting sqref="F21:F45">
    <cfRule type="expression" priority="1" dxfId="5">
      <formula>p_currency="MAD"</formula>
    </cfRule>
    <cfRule type="expression" priority="16" dxfId="6">
      <formula>p_currency="EUR"</formula>
    </cfRule>
    <cfRule type="expression" priority="31" dxfId="7">
      <formula>p_currency="USD"</formula>
    </cfRule>
  </conditionalFormatting>
  <conditionalFormatting sqref="I21:I45">
    <cfRule type="expression" priority="2" dxfId="5">
      <formula>p_currency="MAD"</formula>
    </cfRule>
    <cfRule type="expression" priority="17" dxfId="6">
      <formula>p_currency="EUR"</formula>
    </cfRule>
    <cfRule type="expression" priority="32" dxfId="7">
      <formula>p_currency="USD"</formula>
    </cfRule>
  </conditionalFormatting>
  <conditionalFormatting sqref="C49:D49">
    <cfRule type="expression" priority="3" dxfId="5">
      <formula>p_currency="MAD"</formula>
    </cfRule>
    <cfRule type="expression" priority="18" dxfId="6">
      <formula>p_currency="EUR"</formula>
    </cfRule>
    <cfRule type="expression" priority="33" dxfId="7">
      <formula>p_currency="USD"</formula>
    </cfRule>
  </conditionalFormatting>
  <conditionalFormatting sqref="C50:D50">
    <cfRule type="expression" priority="4" dxfId="5">
      <formula>p_currency="MAD"</formula>
    </cfRule>
    <cfRule type="expression" priority="19" dxfId="6">
      <formula>p_currency="EUR"</formula>
    </cfRule>
    <cfRule type="expression" priority="34" dxfId="7">
      <formula>p_currency="USD"</formula>
    </cfRule>
  </conditionalFormatting>
  <conditionalFormatting sqref="C51:D51">
    <cfRule type="expression" priority="5" dxfId="5">
      <formula>p_currency="MAD"</formula>
    </cfRule>
    <cfRule type="expression" priority="20" dxfId="6">
      <formula>p_currency="EUR"</formula>
    </cfRule>
    <cfRule type="expression" priority="35" dxfId="7">
      <formula>p_currency="USD"</formula>
    </cfRule>
  </conditionalFormatting>
  <conditionalFormatting sqref="C52:D52">
    <cfRule type="expression" priority="6" dxfId="5">
      <formula>p_currency="MAD"</formula>
    </cfRule>
    <cfRule type="expression" priority="21" dxfId="6">
      <formula>p_currency="EUR"</formula>
    </cfRule>
    <cfRule type="expression" priority="36" dxfId="7">
      <formula>p_currency="USD"</formula>
    </cfRule>
  </conditionalFormatting>
  <conditionalFormatting sqref="C53:D53">
    <cfRule type="expression" priority="7" dxfId="5">
      <formula>p_currency="MAD"</formula>
    </cfRule>
    <cfRule type="expression" priority="22" dxfId="6">
      <formula>p_currency="EUR"</formula>
    </cfRule>
    <cfRule type="expression" priority="37" dxfId="7">
      <formula>p_currency="USD"</formula>
    </cfRule>
  </conditionalFormatting>
  <conditionalFormatting sqref="C54:D54">
    <cfRule type="expression" priority="8" dxfId="5">
      <formula>p_currency="MAD"</formula>
    </cfRule>
    <cfRule type="expression" priority="23" dxfId="6">
      <formula>p_currency="EUR"</formula>
    </cfRule>
    <cfRule type="expression" priority="38" dxfId="7">
      <formula>p_currency="USD"</formula>
    </cfRule>
  </conditionalFormatting>
  <conditionalFormatting sqref="I47">
    <cfRule type="expression" priority="9" dxfId="5">
      <formula>p_currency="MAD"</formula>
    </cfRule>
    <cfRule type="expression" priority="24" dxfId="6">
      <formula>p_currency="EUR"</formula>
    </cfRule>
    <cfRule type="expression" priority="39" dxfId="7">
      <formula>p_currency="USD"</formula>
    </cfRule>
  </conditionalFormatting>
  <conditionalFormatting sqref="I48">
    <cfRule type="expression" priority="10" dxfId="5">
      <formula>p_currency="MAD"</formula>
    </cfRule>
    <cfRule type="expression" priority="25" dxfId="6">
      <formula>p_currency="EUR"</formula>
    </cfRule>
    <cfRule type="expression" priority="40" dxfId="7">
      <formula>p_currency="USD"</formula>
    </cfRule>
  </conditionalFormatting>
  <conditionalFormatting sqref="I49">
    <cfRule type="expression" priority="11" dxfId="5">
      <formula>p_currency="MAD"</formula>
    </cfRule>
    <cfRule type="expression" priority="26" dxfId="6">
      <formula>p_currency="EUR"</formula>
    </cfRule>
    <cfRule type="expression" priority="41" dxfId="7">
      <formula>p_currency="USD"</formula>
    </cfRule>
  </conditionalFormatting>
  <conditionalFormatting sqref="I50">
    <cfRule type="expression" priority="12" dxfId="5">
      <formula>p_currency="MAD"</formula>
    </cfRule>
    <cfRule type="expression" priority="27" dxfId="6">
      <formula>p_currency="EUR"</formula>
    </cfRule>
    <cfRule type="expression" priority="42" dxfId="7">
      <formula>p_currency="USD"</formula>
    </cfRule>
  </conditionalFormatting>
  <conditionalFormatting sqref="I51">
    <cfRule type="expression" priority="13" dxfId="5">
      <formula>p_currency="MAD"</formula>
    </cfRule>
    <cfRule type="expression" priority="28" dxfId="6">
      <formula>p_currency="EUR"</formula>
    </cfRule>
    <cfRule type="expression" priority="43" dxfId="7">
      <formula>p_currency="USD"</formula>
    </cfRule>
  </conditionalFormatting>
  <conditionalFormatting sqref="I52">
    <cfRule type="expression" priority="14" dxfId="5">
      <formula>p_currency="MAD"</formula>
    </cfRule>
    <cfRule type="expression" priority="29" dxfId="6">
      <formula>p_currency="EUR"</formula>
    </cfRule>
    <cfRule type="expression" priority="44" dxfId="7">
      <formula>p_currency="USD"</formula>
    </cfRule>
  </conditionalFormatting>
  <conditionalFormatting sqref="I54">
    <cfRule type="expression" priority="15" dxfId="5">
      <formula>p_currency="MAD"</formula>
    </cfRule>
    <cfRule type="expression" priority="30" dxfId="6">
      <formula>p_currency="EUR"</formula>
    </cfRule>
    <cfRule type="expression" priority="45" dxfId="7">
      <formula>p_currency="USD"</formula>
    </cfRule>
  </conditionalFormatting>
  <dataValidations count="1">
    <dataValidation sqref="C3" showDropDown="0" showInputMessage="1" showErrorMessage="1" allowBlank="1" errorTitle="Numéro" error="Choisissez le numéro du document à imprimer." promptTitle="Numéro" prompt="Choisissez le numéro du document à imprimer." type="list">
      <formula1>=fa_num</formula1>
    </dataValidation>
  </dataValidations>
  <hyperlinks>
    <hyperlink ref="I1" location="'Mode d''emploi'!A1"/>
  </hyperlinks>
  <printOptions horizontalCentered="1"/>
  <pageMargins left="0.5" right="0.5" top="0.5" bottom="0.5" header="0.5" footer="0.5"/>
  <pageSetup orientation="portrait" paperSize="9" fitToHeight="1" fitToWidth="1"/>
</worksheet>
</file>

<file path=xl/worksheets/sheet10.xml><?xml version="1.0" encoding="utf-8"?>
<worksheet xmlns="http://schemas.openxmlformats.org/spreadsheetml/2006/main">
  <sheetPr>
    <tabColor rgb="FFBE185D"/>
    <outlinePr summaryBelow="1" summaryRight="1"/>
    <pageSetUpPr fitToPage="1"/>
  </sheetPr>
  <dimension ref="A1:S63"/>
  <sheetViews>
    <sheetView showGridLines="0" tabSelected="0" zoomScale="100" workbookViewId="0">
      <selection activeCell="A1" sqref="A1"/>
    </sheetView>
  </sheetViews>
  <sheetFormatPr baseColWidth="8" defaultRowHeight="15"/>
  <cols>
    <col width="2" customWidth="1" min="1" max="1"/>
    <col width="12" customWidth="1" min="2" max="2"/>
    <col width="34" customWidth="1" min="3" max="3"/>
    <col width="8" customWidth="1" min="4" max="4"/>
    <col width="8" customWidth="1" min="5" max="5"/>
    <col width="13" customWidth="1" min="6" max="6"/>
    <col width="9" customWidth="1" min="7" max="7"/>
    <col width="8" customWidth="1" min="8" max="8"/>
    <col width="16" customWidth="1" min="9" max="9"/>
    <col width="2" customWidth="1" min="10" max="10"/>
    <col hidden="1" width="12" customWidth="1" min="11" max="11"/>
    <col hidden="1" width="12" customWidth="1" min="12" max="12"/>
    <col hidden="1" width="12" customWidth="1" min="13" max="13"/>
    <col hidden="1" width="12" customWidth="1" min="14" max="14"/>
    <col hidden="1" width="12" customWidth="1" min="15" max="15"/>
    <col hidden="1" width="12" customWidth="1" min="16" max="16"/>
    <col hidden="1" width="12" customWidth="1" min="17" max="17"/>
    <col hidden="1" width="12" customWidth="1" min="18" max="18"/>
    <col hidden="1" width="12" customWidth="1" min="19" max="19"/>
  </cols>
  <sheetData>
    <row r="1" ht="38" customHeight="1">
      <c r="A1" s="1" t="n"/>
      <c r="B1" s="2" t="inlineStr">
        <is>
          <t>Imprimer devis</t>
        </is>
      </c>
      <c r="C1" s="1" t="n"/>
      <c r="D1" s="1" t="n"/>
      <c r="E1" s="1" t="n"/>
      <c r="F1" s="1" t="n"/>
      <c r="G1" s="1" t="n"/>
      <c r="H1" s="1" t="n"/>
      <c r="I1" s="18" t="inlineStr">
        <is>
          <t>⌂ Mode d'emploi</t>
        </is>
      </c>
    </row>
    <row r="2" ht="22" customHeight="1">
      <c r="A2" s="3" t="n"/>
      <c r="B2" s="4" t="inlineStr">
        <is>
          <t>Choisissez le numéro, puis Fichier &gt; Imprimer ou Enregistrer en PDF (une page A4).</t>
        </is>
      </c>
      <c r="C2" s="3" t="n"/>
      <c r="D2" s="3" t="n"/>
      <c r="E2" s="3" t="n"/>
      <c r="F2" s="3" t="n"/>
      <c r="G2" s="3" t="n"/>
      <c r="H2" s="3" t="n"/>
      <c r="I2" s="3" t="n"/>
    </row>
    <row r="3" ht="22" customHeight="1">
      <c r="B3" s="80" t="inlineStr">
        <is>
          <t>Devis n°</t>
        </is>
      </c>
      <c r="C3" s="81" t="n"/>
      <c r="D3" s="82" t="str">
        <f>IF(C3="","",IF(L3="","Numéro introuvable dans « Devis »",IF(INDEX(dv_check,L3)&lt;&gt;"OK","Contrôle : "&amp;INDEX(dv_check,L3),"")))</f>
        <v/>
      </c>
      <c r="L3" t="str">
        <f>IF($C$3="","",IFERROR(MATCH($C$3,dv_num,0),""))</f>
        <v/>
      </c>
      <c r="N3">
        <f>N(INDEX(p_rates,1))</f>
        <v>0.2</v>
      </c>
      <c r="O3">
        <f>IF(OR($L$3="",INDEX(p_rates,1)=""),0,SUMIFS(dl_ht,dl_doc,$C$3,dl_rate,INDEX(p_rates,1)))</f>
        <v>0.0</v>
      </c>
      <c r="P3">
        <f>0</f>
        <v>0.0</v>
      </c>
      <c r="Q3">
        <f>ROUND(O3*N3,2)-ROUND(P3*N3,2)</f>
        <v>0.0</v>
      </c>
      <c r="R3">
        <f>IF(AND(INDEX(p_rates,1)&lt;&gt;"",OR(O3&lt;&gt;0,P3&lt;&gt;0)),COUNTIFS($R$2:R2,"&gt;0")+1,0)</f>
        <v>0.0</v>
      </c>
      <c r="S3">
        <f>SUMPRODUCT((N3:N8=0)*(R3:R8&gt;0))</f>
        <v>0.0</v>
      </c>
    </row>
    <row r="4">
      <c r="N4">
        <f>N(INDEX(p_rates,2))</f>
        <v>0.1</v>
      </c>
      <c r="O4">
        <f>IF(OR($L$3="",INDEX(p_rates,2)=""),0,SUMIFS(dl_ht,dl_doc,$C$3,dl_rate,INDEX(p_rates,2)))</f>
        <v>0.0</v>
      </c>
      <c r="P4">
        <f>0</f>
        <v>0.0</v>
      </c>
      <c r="Q4">
        <f>ROUND(O4*N4,2)-ROUND(P4*N4,2)</f>
        <v>0.0</v>
      </c>
      <c r="R4">
        <f>IF(AND(INDEX(p_rates,2)&lt;&gt;"",OR(O4&lt;&gt;0,P4&lt;&gt;0)),COUNTIFS($R$2:R3,"&gt;0")+1,0)</f>
        <v>0.0</v>
      </c>
    </row>
    <row r="5">
      <c r="B5" s="83" t="str">
        <f>IF(p_name="","Votre entreprise",p_name)</f>
        <v>Votre entreprise</v>
      </c>
      <c r="G5" s="84" t="inlineStr">
        <is>
          <t>DEVIS</t>
        </is>
      </c>
      <c r="N5">
        <f>N(INDEX(p_rates,3))</f>
        <v>0.0</v>
      </c>
      <c r="O5">
        <f>IF(OR($L$3="",INDEX(p_rates,3)=""),0,SUMIFS(dl_ht,dl_doc,$C$3,dl_rate,INDEX(p_rates,3)))</f>
        <v>0.0</v>
      </c>
      <c r="P5">
        <f>0</f>
        <v>0.0</v>
      </c>
      <c r="Q5">
        <f>ROUND(O5*N5,2)-ROUND(P5*N5,2)</f>
        <v>0.0</v>
      </c>
      <c r="R5">
        <f>IF(AND(INDEX(p_rates,3)&lt;&gt;"",OR(O5&lt;&gt;0,P5&lt;&gt;0)),COUNTIFS($R$2:R4,"&gt;0")+1,0)</f>
        <v>0.0</v>
      </c>
      <c r="S5">
        <f>ROUND(ABS(N(L14))*100,0)</f>
        <v>0.0</v>
      </c>
    </row>
    <row r="6">
      <c r="B6" s="85" t="str">
        <f>TRIM(p_form&amp;IF(p_capital&lt;&gt;""," au capital de "&amp;p_capital,""))</f>
        <v/>
      </c>
      <c r="G6" s="86" t="inlineStr">
        <is>
          <t>N°</t>
        </is>
      </c>
      <c r="H6" s="87" t="str">
        <f>$C$3&amp;""</f>
        <v/>
      </c>
      <c r="N6">
        <f>N(INDEX(p_rates,4))</f>
        <v>0.0</v>
      </c>
      <c r="O6">
        <f>IF(OR($L$3="",INDEX(p_rates,4)=""),0,SUMIFS(dl_ht,dl_doc,$C$3,dl_rate,INDEX(p_rates,4)))</f>
        <v>0.0</v>
      </c>
      <c r="P6">
        <f>0</f>
        <v>0.0</v>
      </c>
      <c r="Q6">
        <f>ROUND(O6*N6,2)-ROUND(P6*N6,2)</f>
        <v>0.0</v>
      </c>
      <c r="R6">
        <f>IF(AND(INDEX(p_rates,4)&lt;&gt;"",OR(O6&lt;&gt;0,P6&lt;&gt;0)),COUNTIFS($R$2:R5,"&gt;0")+1,0)</f>
        <v>0.0</v>
      </c>
      <c r="S6">
        <f>INT(S5/100)</f>
        <v>0.0</v>
      </c>
    </row>
    <row r="7">
      <c r="B7" s="85" t="str">
        <f>p_addr&amp;""</f>
        <v/>
      </c>
      <c r="G7" s="86" t="inlineStr">
        <is>
          <t>Date</t>
        </is>
      </c>
      <c r="H7" s="88" t="str">
        <f>IF($L$3="","",INDEX(dv_date,$L$3))</f>
        <v/>
      </c>
      <c r="N7">
        <f>N(INDEX(p_rates,5))</f>
        <v>0.0</v>
      </c>
      <c r="O7">
        <f>IF(OR($L$3="",INDEX(p_rates,5)=""),0,SUMIFS(dl_ht,dl_doc,$C$3,dl_rate,INDEX(p_rates,5)))</f>
        <v>0.0</v>
      </c>
      <c r="P7">
        <f>0</f>
        <v>0.0</v>
      </c>
      <c r="Q7">
        <f>ROUND(O7*N7,2)-ROUND(P7*N7,2)</f>
        <v>0.0</v>
      </c>
      <c r="R7">
        <f>IF(AND(INDEX(p_rates,5)&lt;&gt;"",OR(O7&lt;&gt;0,P7&lt;&gt;0)),COUNTIFS($R$2:R6,"&gt;0")+1,0)</f>
        <v>0.0</v>
      </c>
      <c r="S7">
        <f>S5-S6*100</f>
        <v>0.0</v>
      </c>
    </row>
    <row r="8">
      <c r="B8" s="85" t="str">
        <f>p_city&amp;""</f>
        <v/>
      </c>
      <c r="G8" s="86" t="inlineStr">
        <is>
          <t>Valable jusqu'au</t>
        </is>
      </c>
      <c r="H8" s="88" t="str">
        <f>IF($L$3="","",INDEX(dv_valid,$L$3))</f>
        <v/>
      </c>
      <c r="N8">
        <f>N(INDEX(p_rates,6))</f>
        <v>0.0</v>
      </c>
      <c r="O8">
        <f>IF(OR($L$3="",INDEX(p_rates,6)=""),0,SUMIFS(dl_ht,dl_doc,$C$3,dl_rate,INDEX(p_rates,6)))</f>
        <v>0.0</v>
      </c>
      <c r="P8">
        <f>0</f>
        <v>0.0</v>
      </c>
      <c r="Q8">
        <f>ROUND(O8*N8,2)-ROUND(P8*N8,2)</f>
        <v>0.0</v>
      </c>
      <c r="R8">
        <f>IF(AND(INDEX(p_rates,6)&lt;&gt;"",OR(O8&lt;&gt;0,P8&lt;&gt;0)),COUNTIFS($R$2:R7,"&gt;0")+1,0)</f>
        <v>0.0</v>
      </c>
      <c r="S8">
        <f>INT(S6/1000000)</f>
        <v>0.0</v>
      </c>
    </row>
    <row r="9">
      <c r="B9" s="85" t="str">
        <f>MID(IF(p_tel&lt;&gt;""," • "&amp;"Tél. : "&amp;p_tel,"")&amp;IF(p_mail&lt;&gt;""," • "&amp;p_mail,""),4,300)</f>
        <v/>
      </c>
      <c r="G9" s="86" t="inlineStr">
        <is>
          <t>Code client</t>
        </is>
      </c>
      <c r="H9" s="87" t="str">
        <f>L15</f>
        <v/>
      </c>
      <c r="S9">
        <f>INT(MOD(S6,1000000)/1000)</f>
        <v>0.0</v>
      </c>
    </row>
    <row r="10">
      <c r="B10" s="85" t="str">
        <f>IF(p_country="France",MID(IF(p_siret&lt;&gt;""," • "&amp;"SIRET : "&amp;p_siret,"")&amp;IF(p_rcs&lt;&gt;""," • "&amp;"RCS "&amp;p_rcs&amp;IF(p_siret&lt;&gt;""," "&amp;LEFT(p_siret,9),""),""),4,300),MID(IF(p_ice&lt;&gt;""," • "&amp;"ICE : "&amp;p_ice,"")&amp;IF(p_if&lt;&gt;""," • "&amp;"IF : "&amp;p_if,""),4,300))</f>
        <v/>
      </c>
      <c r="S10">
        <f>MOD(S6,1000)</f>
        <v>0.0</v>
      </c>
    </row>
    <row r="11">
      <c r="B11" s="85" t="str">
        <f>IF(p_country="France",IF(p_tvai&lt;&gt;"","N° TVA intracommunautaire : "&amp;p_tvai,""),MID(IF(p_rc&lt;&gt;""," • "&amp;"RC : "&amp;p_rc&amp;IF(p_rcville&lt;&gt;""," ("&amp;p_rcville&amp;")",""),"")&amp;IF(p_tp&lt;&gt;""," • "&amp;"Taxe professionnelle : "&amp;p_tp,"")&amp;IF(p_cnss&lt;&gt;""," • "&amp;"CNSS : "&amp;p_cnss,""),4,300))</f>
        <v/>
      </c>
      <c r="S11" t="str">
        <f>IF(S8=0,"",IF(INT(S8/100)=0,"",IF(INT(S8/100)=1,"cent",INDEX(p_wtbl,INT(S8/100)+1)&amp;" cent"&amp;IF(MOD(S8,100)=0,"s","")))&amp;IF(MOD(S8,100)=0,"",IF(S8&gt;=100," ","")&amp;INDEX(p_wtbl,MOD(S8,100)+1)))</f>
        <v/>
      </c>
    </row>
    <row r="12">
      <c r="S12" t="str">
        <f>IF(S9=0,"",IF(INT(S9/100)=0,"",IF(INT(S9/100)=1,"cent",INDEX(p_wtbl,INT(S9/100)+1)&amp;" cent"))&amp;IF(MOD(S9,100)=0,"",IF(S9&gt;=100," ","")&amp;IF(MOD(S9,100)=80,"quatre-vingt",INDEX(p_wtbl,MOD(S9,100)+1))))</f>
        <v/>
      </c>
    </row>
    <row r="13">
      <c r="B13" s="89" t="inlineStr">
        <is>
          <t>Objet et conditions</t>
        </is>
      </c>
      <c r="G13" s="90" t="inlineStr">
        <is>
          <t>Client</t>
        </is>
      </c>
      <c r="H13" s="91" t="n"/>
      <c r="I13" s="92" t="n"/>
      <c r="S13" t="str">
        <f>IF(S10=0,"",IF(INT(S10/100)=0,"",IF(INT(S10/100)=1,"cent",INDEX(p_wtbl,INT(S10/100)+1)&amp;" cent"&amp;IF(MOD(S10,100)=0,"s","")))&amp;IF(MOD(S10,100)=0,"",IF(S10&gt;=100," ","")&amp;INDEX(p_wtbl,MOD(S10,100)+1)))</f>
        <v/>
      </c>
    </row>
    <row r="14">
      <c r="B14" s="93" t="inlineStr">
        <is>
          <t>Objet</t>
        </is>
      </c>
      <c r="C14" s="132" t="str">
        <f>IF($L$3="","",INDEX(dv_objet,$L$3))&amp;""</f>
        <v/>
      </c>
      <c r="G14" s="95" t="str">
        <f>IF($L$16="","",INDEX(cli_name,$L$16)&amp;"")</f>
        <v/>
      </c>
      <c r="H14" s="96" t="n"/>
      <c r="I14" s="97" t="n"/>
      <c r="L14">
        <f>IF($L$3="",0,INDEX(dv_ttc,$L$3))</f>
        <v>0.0</v>
      </c>
      <c r="S14" t="str">
        <f>IF(S7=0,"",IF(INT(S7/100)=0,"",IF(INT(S7/100)=1,"cent",INDEX(p_wtbl,INT(S7/100)+1)&amp;" cent"&amp;IF(MOD(S7,100)=0,"s","")))&amp;IF(MOD(S7,100)=0,"",IF(S7&gt;=100," ","")&amp;INDEX(p_wtbl,MOD(S7,100)+1)))</f>
        <v/>
      </c>
    </row>
    <row r="15">
      <c r="G15" s="99" t="str">
        <f>IF($L$16="","",INDEX(cli_addr,$L$16)&amp;"")</f>
        <v/>
      </c>
      <c r="H15" s="96" t="n"/>
      <c r="I15" s="97" t="n"/>
      <c r="L15" t="str">
        <f>IF($L$3="","",INDEX(dv_client,$L$3))&amp;""</f>
        <v/>
      </c>
      <c r="S15" t="str">
        <f>IF(S6=0,"zéro",TRIM(IF(S8=0,"",S11&amp;IF(S8=1," million"," millions"))&amp;IF(S9=0,""," "&amp;IF(S9=1,"mille",S12&amp;" mille"))&amp;IF(S10=0,""," "&amp;S13)))</f>
        <v>zéro</v>
      </c>
    </row>
    <row r="16">
      <c r="B16" s="93" t="inlineStr">
        <is>
          <t>Paiement</t>
        </is>
      </c>
      <c r="C16" s="98" t="str">
        <f>p_mode&amp;""</f>
        <v>Virement bancaire</v>
      </c>
      <c r="G16" s="99" t="str">
        <f>IF($L$16="","",INDEX(cli_city,$L$16)&amp;"")</f>
        <v/>
      </c>
      <c r="H16" s="96" t="n"/>
      <c r="I16" s="97" t="n"/>
      <c r="L16" t="str">
        <f>IF($L$15="","",IFERROR(MATCH($L$15,cli_code,0),""))</f>
        <v/>
      </c>
      <c r="S16" t="str">
        <f>IF(S8&gt;999,"",S15&amp;" "&amp;IF(AND(S8&gt;0,S9=0,S10=0),IF(p_currency="EUR","d'","de "),"")&amp;IF(p_currency="EUR",IF(S6&gt;=2,"euros","euro"),IF(p_currency="USD",IF(S6&gt;=2,"dollars","dollar"),IF(S6&gt;=2,"dirhams","dirham")))&amp;IF(S7&gt;0," et "&amp;S14&amp;" "&amp;IF(p_currency="USD",IF(S7&gt;=2,"cents","cent"),IF(S7&gt;=2,"centimes","centime")),""))</f>
        <v>zéro dirham</v>
      </c>
    </row>
    <row r="17">
      <c r="B17" s="93" t="inlineStr">
        <is>
          <t>Conditions</t>
        </is>
      </c>
      <c r="C17" s="98" t="str">
        <f>IF($L$3="","",IF(N(L17)=0,"Paiement comptant","Paiement à "&amp;L17&amp;" jours date de facture"))</f>
        <v/>
      </c>
      <c r="G17" s="99" t="str">
        <f>IF($L$16="","",IF(OR(INDEX(cli_country,$L$16)="",INDEX(cli_country,$L$16)=p_country),"",INDEX(cli_country,$L$16)&amp;""))</f>
        <v/>
      </c>
      <c r="H17" s="96" t="n"/>
      <c r="I17" s="97" t="n"/>
      <c r="L17">
        <f>IFERROR(IF(ISNUMBER(INDEX(cli_delay,L16)),INDEX(cli_delay,L16),N(p_delay)),N(p_delay))</f>
        <v>60.0</v>
      </c>
    </row>
    <row r="18">
      <c r="G18" s="100" t="str">
        <f>IF($L$16="","",MID(IF(INDEX(cli_ice,$L$16)&lt;&gt;""," • "&amp;"ICE : "&amp;INDEX(cli_ice,$L$16),"")&amp;IF(INDEX(cli_siren,$L$16)&lt;&gt;""," • "&amp;"SIREN : "&amp;INDEX(cli_siren,$L$16),"")&amp;IF(INDEX(cli_tvai,$L$16)&lt;&gt;""," • "&amp;"N° TVA : "&amp;INDEX(cli_tvai,$L$16),""),4,300))</f>
        <v/>
      </c>
      <c r="H18" s="101" t="n"/>
      <c r="I18" s="102" t="n"/>
      <c r="L18">
        <f>IF($L$3="",0,COUNTIF(dl_doc,$C$3))</f>
        <v>0.0</v>
      </c>
    </row>
    <row r="19">
      <c r="L19">
        <f>SUM(M21:M45)</f>
        <v>0.0</v>
      </c>
    </row>
    <row r="20" ht="24" customHeight="1">
      <c r="B20" s="103" t="inlineStr">
        <is>
          <t>Réf.</t>
        </is>
      </c>
      <c r="C20" s="103" t="inlineStr">
        <is>
          <t>Désignation</t>
        </is>
      </c>
      <c r="D20" s="103" t="inlineStr">
        <is>
          <t>Qté</t>
        </is>
      </c>
      <c r="E20" s="103" t="inlineStr">
        <is>
          <t>Unité</t>
        </is>
      </c>
      <c r="F20" s="103" t="inlineStr">
        <is>
          <t>Prix unit. HT</t>
        </is>
      </c>
      <c r="G20" s="103" t="inlineStr">
        <is>
          <t>Remise</t>
        </is>
      </c>
      <c r="H20" s="103" t="inlineStr">
        <is>
          <t>TVA</t>
        </is>
      </c>
      <c r="I20" s="103" t="inlineStr">
        <is>
          <t>Montant HT</t>
        </is>
      </c>
      <c r="L20">
        <f>ROUND(L19-SUM(I21:I45),2)</f>
        <v>0.0</v>
      </c>
    </row>
    <row r="21" ht="17" customHeight="1">
      <c r="B21" s="104" t="str">
        <f>IF($L21="","",INDEX(dl_code,$L21)&amp;"")</f>
        <v/>
      </c>
      <c r="C21" s="105" t="str">
        <f>IF($L21="","",INDEX(dl_des,$L21)&amp;"")</f>
        <v/>
      </c>
      <c r="D21" s="106" t="str">
        <f>IF($L21="","",INDEX(dl_qty,$L21))</f>
        <v/>
      </c>
      <c r="E21" s="107" t="str">
        <f>IF($L21="","",INDEX(dl_unit,$L21)&amp;"")</f>
        <v/>
      </c>
      <c r="F21" s="108" t="str">
        <f>IF($L21="","",INDEX(dl_pu,$L21))</f>
        <v/>
      </c>
      <c r="G21" s="109" t="str">
        <f>IF($L21="","",N(INDEX(dl_disc,$L21)))</f>
        <v/>
      </c>
      <c r="H21" s="110" t="str">
        <f>IF($L21="","",INDEX(dl_rate,$L21))</f>
        <v/>
      </c>
      <c r="I21" s="111" t="str">
        <f>IF($L21="","",INDEX(dl_ht,$L21))</f>
        <v/>
      </c>
      <c r="L21" t="str">
        <f>IFERROR(MATCH($C$3&amp;"|1",dl_key,0),"")</f>
        <v/>
      </c>
      <c r="M21">
        <f>IF($L21="",0,ROUND(N(D21)*N(F21),2))</f>
        <v>0.0</v>
      </c>
    </row>
    <row r="22" ht="17" customHeight="1">
      <c r="B22" s="112" t="str">
        <f>IF($L22="","",INDEX(dl_code,$L22)&amp;"")</f>
        <v/>
      </c>
      <c r="C22" s="113" t="str">
        <f>IF($L22="","",INDEX(dl_des,$L22)&amp;"")</f>
        <v/>
      </c>
      <c r="D22" s="114" t="str">
        <f>IF($L22="","",INDEX(dl_qty,$L22))</f>
        <v/>
      </c>
      <c r="E22" s="115" t="str">
        <f>IF($L22="","",INDEX(dl_unit,$L22)&amp;"")</f>
        <v/>
      </c>
      <c r="F22" s="116" t="str">
        <f>IF($L22="","",INDEX(dl_pu,$L22))</f>
        <v/>
      </c>
      <c r="G22" s="117" t="str">
        <f>IF($L22="","",N(INDEX(dl_disc,$L22)))</f>
        <v/>
      </c>
      <c r="H22" s="118" t="str">
        <f>IF($L22="","",INDEX(dl_rate,$L22))</f>
        <v/>
      </c>
      <c r="I22" s="119" t="str">
        <f>IF($L22="","",INDEX(dl_ht,$L22))</f>
        <v/>
      </c>
      <c r="L22" t="str">
        <f>IFERROR(MATCH($C$3&amp;"|2",dl_key,0),"")</f>
        <v/>
      </c>
      <c r="M22">
        <f>IF($L22="",0,ROUND(N(D22)*N(F22),2))</f>
        <v>0.0</v>
      </c>
    </row>
    <row r="23" ht="17" customHeight="1">
      <c r="B23" s="104" t="str">
        <f>IF($L23="","",INDEX(dl_code,$L23)&amp;"")</f>
        <v/>
      </c>
      <c r="C23" s="105" t="str">
        <f>IF($L23="","",INDEX(dl_des,$L23)&amp;"")</f>
        <v/>
      </c>
      <c r="D23" s="106" t="str">
        <f>IF($L23="","",INDEX(dl_qty,$L23))</f>
        <v/>
      </c>
      <c r="E23" s="107" t="str">
        <f>IF($L23="","",INDEX(dl_unit,$L23)&amp;"")</f>
        <v/>
      </c>
      <c r="F23" s="108" t="str">
        <f>IF($L23="","",INDEX(dl_pu,$L23))</f>
        <v/>
      </c>
      <c r="G23" s="109" t="str">
        <f>IF($L23="","",N(INDEX(dl_disc,$L23)))</f>
        <v/>
      </c>
      <c r="H23" s="110" t="str">
        <f>IF($L23="","",INDEX(dl_rate,$L23))</f>
        <v/>
      </c>
      <c r="I23" s="111" t="str">
        <f>IF($L23="","",INDEX(dl_ht,$L23))</f>
        <v/>
      </c>
      <c r="L23" t="str">
        <f>IFERROR(MATCH($C$3&amp;"|3",dl_key,0),"")</f>
        <v/>
      </c>
      <c r="M23">
        <f>IF($L23="",0,ROUND(N(D23)*N(F23),2))</f>
        <v>0.0</v>
      </c>
    </row>
    <row r="24" ht="17" customHeight="1">
      <c r="B24" s="112" t="str">
        <f>IF($L24="","",INDEX(dl_code,$L24)&amp;"")</f>
        <v/>
      </c>
      <c r="C24" s="113" t="str">
        <f>IF($L24="","",INDEX(dl_des,$L24)&amp;"")</f>
        <v/>
      </c>
      <c r="D24" s="114" t="str">
        <f>IF($L24="","",INDEX(dl_qty,$L24))</f>
        <v/>
      </c>
      <c r="E24" s="115" t="str">
        <f>IF($L24="","",INDEX(dl_unit,$L24)&amp;"")</f>
        <v/>
      </c>
      <c r="F24" s="116" t="str">
        <f>IF($L24="","",INDEX(dl_pu,$L24))</f>
        <v/>
      </c>
      <c r="G24" s="117" t="str">
        <f>IF($L24="","",N(INDEX(dl_disc,$L24)))</f>
        <v/>
      </c>
      <c r="H24" s="118" t="str">
        <f>IF($L24="","",INDEX(dl_rate,$L24))</f>
        <v/>
      </c>
      <c r="I24" s="119" t="str">
        <f>IF($L24="","",INDEX(dl_ht,$L24))</f>
        <v/>
      </c>
      <c r="L24" t="str">
        <f>IFERROR(MATCH($C$3&amp;"|4",dl_key,0),"")</f>
        <v/>
      </c>
      <c r="M24">
        <f>IF($L24="",0,ROUND(N(D24)*N(F24),2))</f>
        <v>0.0</v>
      </c>
    </row>
    <row r="25" ht="17" customHeight="1">
      <c r="B25" s="104" t="str">
        <f>IF($L25="","",INDEX(dl_code,$L25)&amp;"")</f>
        <v/>
      </c>
      <c r="C25" s="105" t="str">
        <f>IF($L25="","",INDEX(dl_des,$L25)&amp;"")</f>
        <v/>
      </c>
      <c r="D25" s="106" t="str">
        <f>IF($L25="","",INDEX(dl_qty,$L25))</f>
        <v/>
      </c>
      <c r="E25" s="107" t="str">
        <f>IF($L25="","",INDEX(dl_unit,$L25)&amp;"")</f>
        <v/>
      </c>
      <c r="F25" s="108" t="str">
        <f>IF($L25="","",INDEX(dl_pu,$L25))</f>
        <v/>
      </c>
      <c r="G25" s="109" t="str">
        <f>IF($L25="","",N(INDEX(dl_disc,$L25)))</f>
        <v/>
      </c>
      <c r="H25" s="110" t="str">
        <f>IF($L25="","",INDEX(dl_rate,$L25))</f>
        <v/>
      </c>
      <c r="I25" s="111" t="str">
        <f>IF($L25="","",INDEX(dl_ht,$L25))</f>
        <v/>
      </c>
      <c r="L25" t="str">
        <f>IFERROR(MATCH($C$3&amp;"|5",dl_key,0),"")</f>
        <v/>
      </c>
      <c r="M25">
        <f>IF($L25="",0,ROUND(N(D25)*N(F25),2))</f>
        <v>0.0</v>
      </c>
    </row>
    <row r="26" ht="17" customHeight="1">
      <c r="B26" s="112" t="str">
        <f>IF($L26="","",INDEX(dl_code,$L26)&amp;"")</f>
        <v/>
      </c>
      <c r="C26" s="113" t="str">
        <f>IF($L26="","",INDEX(dl_des,$L26)&amp;"")</f>
        <v/>
      </c>
      <c r="D26" s="114" t="str">
        <f>IF($L26="","",INDEX(dl_qty,$L26))</f>
        <v/>
      </c>
      <c r="E26" s="115" t="str">
        <f>IF($L26="","",INDEX(dl_unit,$L26)&amp;"")</f>
        <v/>
      </c>
      <c r="F26" s="116" t="str">
        <f>IF($L26="","",INDEX(dl_pu,$L26))</f>
        <v/>
      </c>
      <c r="G26" s="117" t="str">
        <f>IF($L26="","",N(INDEX(dl_disc,$L26)))</f>
        <v/>
      </c>
      <c r="H26" s="118" t="str">
        <f>IF($L26="","",INDEX(dl_rate,$L26))</f>
        <v/>
      </c>
      <c r="I26" s="119" t="str">
        <f>IF($L26="","",INDEX(dl_ht,$L26))</f>
        <v/>
      </c>
      <c r="L26" t="str">
        <f>IFERROR(MATCH($C$3&amp;"|6",dl_key,0),"")</f>
        <v/>
      </c>
      <c r="M26">
        <f>IF($L26="",0,ROUND(N(D26)*N(F26),2))</f>
        <v>0.0</v>
      </c>
    </row>
    <row r="27" ht="17" customHeight="1">
      <c r="B27" s="104" t="str">
        <f>IF($L27="","",INDEX(dl_code,$L27)&amp;"")</f>
        <v/>
      </c>
      <c r="C27" s="105" t="str">
        <f>IF($L27="","",INDEX(dl_des,$L27)&amp;"")</f>
        <v/>
      </c>
      <c r="D27" s="106" t="str">
        <f>IF($L27="","",INDEX(dl_qty,$L27))</f>
        <v/>
      </c>
      <c r="E27" s="107" t="str">
        <f>IF($L27="","",INDEX(dl_unit,$L27)&amp;"")</f>
        <v/>
      </c>
      <c r="F27" s="108" t="str">
        <f>IF($L27="","",INDEX(dl_pu,$L27))</f>
        <v/>
      </c>
      <c r="G27" s="109" t="str">
        <f>IF($L27="","",N(INDEX(dl_disc,$L27)))</f>
        <v/>
      </c>
      <c r="H27" s="110" t="str">
        <f>IF($L27="","",INDEX(dl_rate,$L27))</f>
        <v/>
      </c>
      <c r="I27" s="111" t="str">
        <f>IF($L27="","",INDEX(dl_ht,$L27))</f>
        <v/>
      </c>
      <c r="L27" t="str">
        <f>IFERROR(MATCH($C$3&amp;"|7",dl_key,0),"")</f>
        <v/>
      </c>
      <c r="M27">
        <f>IF($L27="",0,ROUND(N(D27)*N(F27),2))</f>
        <v>0.0</v>
      </c>
    </row>
    <row r="28" ht="17" customHeight="1">
      <c r="B28" s="112" t="str">
        <f>IF($L28="","",INDEX(dl_code,$L28)&amp;"")</f>
        <v/>
      </c>
      <c r="C28" s="113" t="str">
        <f>IF($L28="","",INDEX(dl_des,$L28)&amp;"")</f>
        <v/>
      </c>
      <c r="D28" s="114" t="str">
        <f>IF($L28="","",INDEX(dl_qty,$L28))</f>
        <v/>
      </c>
      <c r="E28" s="115" t="str">
        <f>IF($L28="","",INDEX(dl_unit,$L28)&amp;"")</f>
        <v/>
      </c>
      <c r="F28" s="116" t="str">
        <f>IF($L28="","",INDEX(dl_pu,$L28))</f>
        <v/>
      </c>
      <c r="G28" s="117" t="str">
        <f>IF($L28="","",N(INDEX(dl_disc,$L28)))</f>
        <v/>
      </c>
      <c r="H28" s="118" t="str">
        <f>IF($L28="","",INDEX(dl_rate,$L28))</f>
        <v/>
      </c>
      <c r="I28" s="119" t="str">
        <f>IF($L28="","",INDEX(dl_ht,$L28))</f>
        <v/>
      </c>
      <c r="L28" t="str">
        <f>IFERROR(MATCH($C$3&amp;"|8",dl_key,0),"")</f>
        <v/>
      </c>
      <c r="M28">
        <f>IF($L28="",0,ROUND(N(D28)*N(F28),2))</f>
        <v>0.0</v>
      </c>
    </row>
    <row r="29" ht="17" customHeight="1">
      <c r="B29" s="104" t="str">
        <f>IF($L29="","",INDEX(dl_code,$L29)&amp;"")</f>
        <v/>
      </c>
      <c r="C29" s="105" t="str">
        <f>IF($L29="","",INDEX(dl_des,$L29)&amp;"")</f>
        <v/>
      </c>
      <c r="D29" s="106" t="str">
        <f>IF($L29="","",INDEX(dl_qty,$L29))</f>
        <v/>
      </c>
      <c r="E29" s="107" t="str">
        <f>IF($L29="","",INDEX(dl_unit,$L29)&amp;"")</f>
        <v/>
      </c>
      <c r="F29" s="108" t="str">
        <f>IF($L29="","",INDEX(dl_pu,$L29))</f>
        <v/>
      </c>
      <c r="G29" s="109" t="str">
        <f>IF($L29="","",N(INDEX(dl_disc,$L29)))</f>
        <v/>
      </c>
      <c r="H29" s="110" t="str">
        <f>IF($L29="","",INDEX(dl_rate,$L29))</f>
        <v/>
      </c>
      <c r="I29" s="111" t="str">
        <f>IF($L29="","",INDEX(dl_ht,$L29))</f>
        <v/>
      </c>
      <c r="L29" t="str">
        <f>IFERROR(MATCH($C$3&amp;"|9",dl_key,0),"")</f>
        <v/>
      </c>
      <c r="M29">
        <f>IF($L29="",0,ROUND(N(D29)*N(F29),2))</f>
        <v>0.0</v>
      </c>
    </row>
    <row r="30" ht="17" customHeight="1">
      <c r="B30" s="112" t="str">
        <f>IF($L30="","",INDEX(dl_code,$L30)&amp;"")</f>
        <v/>
      </c>
      <c r="C30" s="113" t="str">
        <f>IF($L30="","",INDEX(dl_des,$L30)&amp;"")</f>
        <v/>
      </c>
      <c r="D30" s="114" t="str">
        <f>IF($L30="","",INDEX(dl_qty,$L30))</f>
        <v/>
      </c>
      <c r="E30" s="115" t="str">
        <f>IF($L30="","",INDEX(dl_unit,$L30)&amp;"")</f>
        <v/>
      </c>
      <c r="F30" s="116" t="str">
        <f>IF($L30="","",INDEX(dl_pu,$L30))</f>
        <v/>
      </c>
      <c r="G30" s="117" t="str">
        <f>IF($L30="","",N(INDEX(dl_disc,$L30)))</f>
        <v/>
      </c>
      <c r="H30" s="118" t="str">
        <f>IF($L30="","",INDEX(dl_rate,$L30))</f>
        <v/>
      </c>
      <c r="I30" s="119" t="str">
        <f>IF($L30="","",INDEX(dl_ht,$L30))</f>
        <v/>
      </c>
      <c r="L30" t="str">
        <f>IFERROR(MATCH($C$3&amp;"|10",dl_key,0),"")</f>
        <v/>
      </c>
      <c r="M30">
        <f>IF($L30="",0,ROUND(N(D30)*N(F30),2))</f>
        <v>0.0</v>
      </c>
    </row>
    <row r="31" ht="17" customHeight="1">
      <c r="B31" s="104" t="str">
        <f>IF($L31="","",INDEX(dl_code,$L31)&amp;"")</f>
        <v/>
      </c>
      <c r="C31" s="105" t="str">
        <f>IF($L31="","",INDEX(dl_des,$L31)&amp;"")</f>
        <v/>
      </c>
      <c r="D31" s="106" t="str">
        <f>IF($L31="","",INDEX(dl_qty,$L31))</f>
        <v/>
      </c>
      <c r="E31" s="107" t="str">
        <f>IF($L31="","",INDEX(dl_unit,$L31)&amp;"")</f>
        <v/>
      </c>
      <c r="F31" s="108" t="str">
        <f>IF($L31="","",INDEX(dl_pu,$L31))</f>
        <v/>
      </c>
      <c r="G31" s="109" t="str">
        <f>IF($L31="","",N(INDEX(dl_disc,$L31)))</f>
        <v/>
      </c>
      <c r="H31" s="110" t="str">
        <f>IF($L31="","",INDEX(dl_rate,$L31))</f>
        <v/>
      </c>
      <c r="I31" s="111" t="str">
        <f>IF($L31="","",INDEX(dl_ht,$L31))</f>
        <v/>
      </c>
      <c r="L31" t="str">
        <f>IFERROR(MATCH($C$3&amp;"|11",dl_key,0),"")</f>
        <v/>
      </c>
      <c r="M31">
        <f>IF($L31="",0,ROUND(N(D31)*N(F31),2))</f>
        <v>0.0</v>
      </c>
    </row>
    <row r="32" ht="17" customHeight="1">
      <c r="B32" s="112" t="str">
        <f>IF($L32="","",INDEX(dl_code,$L32)&amp;"")</f>
        <v/>
      </c>
      <c r="C32" s="113" t="str">
        <f>IF($L32="","",INDEX(dl_des,$L32)&amp;"")</f>
        <v/>
      </c>
      <c r="D32" s="114" t="str">
        <f>IF($L32="","",INDEX(dl_qty,$L32))</f>
        <v/>
      </c>
      <c r="E32" s="115" t="str">
        <f>IF($L32="","",INDEX(dl_unit,$L32)&amp;"")</f>
        <v/>
      </c>
      <c r="F32" s="116" t="str">
        <f>IF($L32="","",INDEX(dl_pu,$L32))</f>
        <v/>
      </c>
      <c r="G32" s="117" t="str">
        <f>IF($L32="","",N(INDEX(dl_disc,$L32)))</f>
        <v/>
      </c>
      <c r="H32" s="118" t="str">
        <f>IF($L32="","",INDEX(dl_rate,$L32))</f>
        <v/>
      </c>
      <c r="I32" s="119" t="str">
        <f>IF($L32="","",INDEX(dl_ht,$L32))</f>
        <v/>
      </c>
      <c r="L32" t="str">
        <f>IFERROR(MATCH($C$3&amp;"|12",dl_key,0),"")</f>
        <v/>
      </c>
      <c r="M32">
        <f>IF($L32="",0,ROUND(N(D32)*N(F32),2))</f>
        <v>0.0</v>
      </c>
    </row>
    <row r="33" ht="17" customHeight="1">
      <c r="B33" s="104" t="str">
        <f>IF($L33="","",INDEX(dl_code,$L33)&amp;"")</f>
        <v/>
      </c>
      <c r="C33" s="105" t="str">
        <f>IF($L33="","",INDEX(dl_des,$L33)&amp;"")</f>
        <v/>
      </c>
      <c r="D33" s="106" t="str">
        <f>IF($L33="","",INDEX(dl_qty,$L33))</f>
        <v/>
      </c>
      <c r="E33" s="107" t="str">
        <f>IF($L33="","",INDEX(dl_unit,$L33)&amp;"")</f>
        <v/>
      </c>
      <c r="F33" s="108" t="str">
        <f>IF($L33="","",INDEX(dl_pu,$L33))</f>
        <v/>
      </c>
      <c r="G33" s="109" t="str">
        <f>IF($L33="","",N(INDEX(dl_disc,$L33)))</f>
        <v/>
      </c>
      <c r="H33" s="110" t="str">
        <f>IF($L33="","",INDEX(dl_rate,$L33))</f>
        <v/>
      </c>
      <c r="I33" s="111" t="str">
        <f>IF($L33="","",INDEX(dl_ht,$L33))</f>
        <v/>
      </c>
      <c r="L33" t="str">
        <f>IFERROR(MATCH($C$3&amp;"|13",dl_key,0),"")</f>
        <v/>
      </c>
      <c r="M33">
        <f>IF($L33="",0,ROUND(N(D33)*N(F33),2))</f>
        <v>0.0</v>
      </c>
    </row>
    <row r="34" ht="17" customHeight="1">
      <c r="B34" s="112" t="str">
        <f>IF($L34="","",INDEX(dl_code,$L34)&amp;"")</f>
        <v/>
      </c>
      <c r="C34" s="113" t="str">
        <f>IF($L34="","",INDEX(dl_des,$L34)&amp;"")</f>
        <v/>
      </c>
      <c r="D34" s="114" t="str">
        <f>IF($L34="","",INDEX(dl_qty,$L34))</f>
        <v/>
      </c>
      <c r="E34" s="115" t="str">
        <f>IF($L34="","",INDEX(dl_unit,$L34)&amp;"")</f>
        <v/>
      </c>
      <c r="F34" s="116" t="str">
        <f>IF($L34="","",INDEX(dl_pu,$L34))</f>
        <v/>
      </c>
      <c r="G34" s="117" t="str">
        <f>IF($L34="","",N(INDEX(dl_disc,$L34)))</f>
        <v/>
      </c>
      <c r="H34" s="118" t="str">
        <f>IF($L34="","",INDEX(dl_rate,$L34))</f>
        <v/>
      </c>
      <c r="I34" s="119" t="str">
        <f>IF($L34="","",INDEX(dl_ht,$L34))</f>
        <v/>
      </c>
      <c r="L34" t="str">
        <f>IFERROR(MATCH($C$3&amp;"|14",dl_key,0),"")</f>
        <v/>
      </c>
      <c r="M34">
        <f>IF($L34="",0,ROUND(N(D34)*N(F34),2))</f>
        <v>0.0</v>
      </c>
    </row>
    <row r="35" ht="17" customHeight="1">
      <c r="B35" s="104" t="str">
        <f>IF($L35="","",INDEX(dl_code,$L35)&amp;"")</f>
        <v/>
      </c>
      <c r="C35" s="105" t="str">
        <f>IF($L35="","",INDEX(dl_des,$L35)&amp;"")</f>
        <v/>
      </c>
      <c r="D35" s="106" t="str">
        <f>IF($L35="","",INDEX(dl_qty,$L35))</f>
        <v/>
      </c>
      <c r="E35" s="107" t="str">
        <f>IF($L35="","",INDEX(dl_unit,$L35)&amp;"")</f>
        <v/>
      </c>
      <c r="F35" s="108" t="str">
        <f>IF($L35="","",INDEX(dl_pu,$L35))</f>
        <v/>
      </c>
      <c r="G35" s="109" t="str">
        <f>IF($L35="","",N(INDEX(dl_disc,$L35)))</f>
        <v/>
      </c>
      <c r="H35" s="110" t="str">
        <f>IF($L35="","",INDEX(dl_rate,$L35))</f>
        <v/>
      </c>
      <c r="I35" s="111" t="str">
        <f>IF($L35="","",INDEX(dl_ht,$L35))</f>
        <v/>
      </c>
      <c r="L35" t="str">
        <f>IFERROR(MATCH($C$3&amp;"|15",dl_key,0),"")</f>
        <v/>
      </c>
      <c r="M35">
        <f>IF($L35="",0,ROUND(N(D35)*N(F35),2))</f>
        <v>0.0</v>
      </c>
    </row>
    <row r="36" ht="17" customHeight="1">
      <c r="B36" s="112" t="str">
        <f>IF($L36="","",INDEX(dl_code,$L36)&amp;"")</f>
        <v/>
      </c>
      <c r="C36" s="113" t="str">
        <f>IF($L36="","",INDEX(dl_des,$L36)&amp;"")</f>
        <v/>
      </c>
      <c r="D36" s="114" t="str">
        <f>IF($L36="","",INDEX(dl_qty,$L36))</f>
        <v/>
      </c>
      <c r="E36" s="115" t="str">
        <f>IF($L36="","",INDEX(dl_unit,$L36)&amp;"")</f>
        <v/>
      </c>
      <c r="F36" s="116" t="str">
        <f>IF($L36="","",INDEX(dl_pu,$L36))</f>
        <v/>
      </c>
      <c r="G36" s="117" t="str">
        <f>IF($L36="","",N(INDEX(dl_disc,$L36)))</f>
        <v/>
      </c>
      <c r="H36" s="118" t="str">
        <f>IF($L36="","",INDEX(dl_rate,$L36))</f>
        <v/>
      </c>
      <c r="I36" s="119" t="str">
        <f>IF($L36="","",INDEX(dl_ht,$L36))</f>
        <v/>
      </c>
      <c r="L36" t="str">
        <f>IFERROR(MATCH($C$3&amp;"|16",dl_key,0),"")</f>
        <v/>
      </c>
      <c r="M36">
        <f>IF($L36="",0,ROUND(N(D36)*N(F36),2))</f>
        <v>0.0</v>
      </c>
    </row>
    <row r="37" ht="17" customHeight="1">
      <c r="B37" s="104" t="str">
        <f>IF($L37="","",INDEX(dl_code,$L37)&amp;"")</f>
        <v/>
      </c>
      <c r="C37" s="105" t="str">
        <f>IF($L37="","",INDEX(dl_des,$L37)&amp;"")</f>
        <v/>
      </c>
      <c r="D37" s="106" t="str">
        <f>IF($L37="","",INDEX(dl_qty,$L37))</f>
        <v/>
      </c>
      <c r="E37" s="107" t="str">
        <f>IF($L37="","",INDEX(dl_unit,$L37)&amp;"")</f>
        <v/>
      </c>
      <c r="F37" s="108" t="str">
        <f>IF($L37="","",INDEX(dl_pu,$L37))</f>
        <v/>
      </c>
      <c r="G37" s="109" t="str">
        <f>IF($L37="","",N(INDEX(dl_disc,$L37)))</f>
        <v/>
      </c>
      <c r="H37" s="110" t="str">
        <f>IF($L37="","",INDEX(dl_rate,$L37))</f>
        <v/>
      </c>
      <c r="I37" s="111" t="str">
        <f>IF($L37="","",INDEX(dl_ht,$L37))</f>
        <v/>
      </c>
      <c r="L37" t="str">
        <f>IFERROR(MATCH($C$3&amp;"|17",dl_key,0),"")</f>
        <v/>
      </c>
      <c r="M37">
        <f>IF($L37="",0,ROUND(N(D37)*N(F37),2))</f>
        <v>0.0</v>
      </c>
    </row>
    <row r="38" ht="17" customHeight="1">
      <c r="B38" s="112" t="str">
        <f>IF($L38="","",INDEX(dl_code,$L38)&amp;"")</f>
        <v/>
      </c>
      <c r="C38" s="113" t="str">
        <f>IF($L38="","",INDEX(dl_des,$L38)&amp;"")</f>
        <v/>
      </c>
      <c r="D38" s="114" t="str">
        <f>IF($L38="","",INDEX(dl_qty,$L38))</f>
        <v/>
      </c>
      <c r="E38" s="115" t="str">
        <f>IF($L38="","",INDEX(dl_unit,$L38)&amp;"")</f>
        <v/>
      </c>
      <c r="F38" s="116" t="str">
        <f>IF($L38="","",INDEX(dl_pu,$L38))</f>
        <v/>
      </c>
      <c r="G38" s="117" t="str">
        <f>IF($L38="","",N(INDEX(dl_disc,$L38)))</f>
        <v/>
      </c>
      <c r="H38" s="118" t="str">
        <f>IF($L38="","",INDEX(dl_rate,$L38))</f>
        <v/>
      </c>
      <c r="I38" s="119" t="str">
        <f>IF($L38="","",INDEX(dl_ht,$L38))</f>
        <v/>
      </c>
      <c r="L38" t="str">
        <f>IFERROR(MATCH($C$3&amp;"|18",dl_key,0),"")</f>
        <v/>
      </c>
      <c r="M38">
        <f>IF($L38="",0,ROUND(N(D38)*N(F38),2))</f>
        <v>0.0</v>
      </c>
    </row>
    <row r="39" ht="17" customHeight="1">
      <c r="B39" s="104" t="str">
        <f>IF($L39="","",INDEX(dl_code,$L39)&amp;"")</f>
        <v/>
      </c>
      <c r="C39" s="105" t="str">
        <f>IF($L39="","",INDEX(dl_des,$L39)&amp;"")</f>
        <v/>
      </c>
      <c r="D39" s="106" t="str">
        <f>IF($L39="","",INDEX(dl_qty,$L39))</f>
        <v/>
      </c>
      <c r="E39" s="107" t="str">
        <f>IF($L39="","",INDEX(dl_unit,$L39)&amp;"")</f>
        <v/>
      </c>
      <c r="F39" s="108" t="str">
        <f>IF($L39="","",INDEX(dl_pu,$L39))</f>
        <v/>
      </c>
      <c r="G39" s="109" t="str">
        <f>IF($L39="","",N(INDEX(dl_disc,$L39)))</f>
        <v/>
      </c>
      <c r="H39" s="110" t="str">
        <f>IF($L39="","",INDEX(dl_rate,$L39))</f>
        <v/>
      </c>
      <c r="I39" s="111" t="str">
        <f>IF($L39="","",INDEX(dl_ht,$L39))</f>
        <v/>
      </c>
      <c r="L39" t="str">
        <f>IFERROR(MATCH($C$3&amp;"|19",dl_key,0),"")</f>
        <v/>
      </c>
      <c r="M39">
        <f>IF($L39="",0,ROUND(N(D39)*N(F39),2))</f>
        <v>0.0</v>
      </c>
    </row>
    <row r="40" ht="17" customHeight="1">
      <c r="B40" s="112" t="str">
        <f>IF($L40="","",INDEX(dl_code,$L40)&amp;"")</f>
        <v/>
      </c>
      <c r="C40" s="113" t="str">
        <f>IF($L40="","",INDEX(dl_des,$L40)&amp;"")</f>
        <v/>
      </c>
      <c r="D40" s="114" t="str">
        <f>IF($L40="","",INDEX(dl_qty,$L40))</f>
        <v/>
      </c>
      <c r="E40" s="115" t="str">
        <f>IF($L40="","",INDEX(dl_unit,$L40)&amp;"")</f>
        <v/>
      </c>
      <c r="F40" s="116" t="str">
        <f>IF($L40="","",INDEX(dl_pu,$L40))</f>
        <v/>
      </c>
      <c r="G40" s="117" t="str">
        <f>IF($L40="","",N(INDEX(dl_disc,$L40)))</f>
        <v/>
      </c>
      <c r="H40" s="118" t="str">
        <f>IF($L40="","",INDEX(dl_rate,$L40))</f>
        <v/>
      </c>
      <c r="I40" s="119" t="str">
        <f>IF($L40="","",INDEX(dl_ht,$L40))</f>
        <v/>
      </c>
      <c r="L40" t="str">
        <f>IFERROR(MATCH($C$3&amp;"|20",dl_key,0),"")</f>
        <v/>
      </c>
      <c r="M40">
        <f>IF($L40="",0,ROUND(N(D40)*N(F40),2))</f>
        <v>0.0</v>
      </c>
    </row>
    <row r="41" ht="17" customHeight="1">
      <c r="B41" s="104" t="str">
        <f>IF($L41="","",INDEX(dl_code,$L41)&amp;"")</f>
        <v/>
      </c>
      <c r="C41" s="105" t="str">
        <f>IF($L41="","",INDEX(dl_des,$L41)&amp;"")</f>
        <v/>
      </c>
      <c r="D41" s="106" t="str">
        <f>IF($L41="","",INDEX(dl_qty,$L41))</f>
        <v/>
      </c>
      <c r="E41" s="107" t="str">
        <f>IF($L41="","",INDEX(dl_unit,$L41)&amp;"")</f>
        <v/>
      </c>
      <c r="F41" s="108" t="str">
        <f>IF($L41="","",INDEX(dl_pu,$L41))</f>
        <v/>
      </c>
      <c r="G41" s="109" t="str">
        <f>IF($L41="","",N(INDEX(dl_disc,$L41)))</f>
        <v/>
      </c>
      <c r="H41" s="110" t="str">
        <f>IF($L41="","",INDEX(dl_rate,$L41))</f>
        <v/>
      </c>
      <c r="I41" s="111" t="str">
        <f>IF($L41="","",INDEX(dl_ht,$L41))</f>
        <v/>
      </c>
      <c r="L41" t="str">
        <f>IFERROR(MATCH($C$3&amp;"|21",dl_key,0),"")</f>
        <v/>
      </c>
      <c r="M41">
        <f>IF($L41="",0,ROUND(N(D41)*N(F41),2))</f>
        <v>0.0</v>
      </c>
    </row>
    <row r="42" ht="17" customHeight="1">
      <c r="B42" s="112" t="str">
        <f>IF($L42="","",INDEX(dl_code,$L42)&amp;"")</f>
        <v/>
      </c>
      <c r="C42" s="113" t="str">
        <f>IF($L42="","",INDEX(dl_des,$L42)&amp;"")</f>
        <v/>
      </c>
      <c r="D42" s="114" t="str">
        <f>IF($L42="","",INDEX(dl_qty,$L42))</f>
        <v/>
      </c>
      <c r="E42" s="115" t="str">
        <f>IF($L42="","",INDEX(dl_unit,$L42)&amp;"")</f>
        <v/>
      </c>
      <c r="F42" s="116" t="str">
        <f>IF($L42="","",INDEX(dl_pu,$L42))</f>
        <v/>
      </c>
      <c r="G42" s="117" t="str">
        <f>IF($L42="","",N(INDEX(dl_disc,$L42)))</f>
        <v/>
      </c>
      <c r="H42" s="118" t="str">
        <f>IF($L42="","",INDEX(dl_rate,$L42))</f>
        <v/>
      </c>
      <c r="I42" s="119" t="str">
        <f>IF($L42="","",INDEX(dl_ht,$L42))</f>
        <v/>
      </c>
      <c r="L42" t="str">
        <f>IFERROR(MATCH($C$3&amp;"|22",dl_key,0),"")</f>
        <v/>
      </c>
      <c r="M42">
        <f>IF($L42="",0,ROUND(N(D42)*N(F42),2))</f>
        <v>0.0</v>
      </c>
    </row>
    <row r="43" ht="17" customHeight="1">
      <c r="B43" s="104" t="str">
        <f>IF($L43="","",INDEX(dl_code,$L43)&amp;"")</f>
        <v/>
      </c>
      <c r="C43" s="105" t="str">
        <f>IF($L43="","",INDEX(dl_des,$L43)&amp;"")</f>
        <v/>
      </c>
      <c r="D43" s="106" t="str">
        <f>IF($L43="","",INDEX(dl_qty,$L43))</f>
        <v/>
      </c>
      <c r="E43" s="107" t="str">
        <f>IF($L43="","",INDEX(dl_unit,$L43)&amp;"")</f>
        <v/>
      </c>
      <c r="F43" s="108" t="str">
        <f>IF($L43="","",INDEX(dl_pu,$L43))</f>
        <v/>
      </c>
      <c r="G43" s="109" t="str">
        <f>IF($L43="","",N(INDEX(dl_disc,$L43)))</f>
        <v/>
      </c>
      <c r="H43" s="110" t="str">
        <f>IF($L43="","",INDEX(dl_rate,$L43))</f>
        <v/>
      </c>
      <c r="I43" s="111" t="str">
        <f>IF($L43="","",INDEX(dl_ht,$L43))</f>
        <v/>
      </c>
      <c r="L43" t="str">
        <f>IFERROR(MATCH($C$3&amp;"|23",dl_key,0),"")</f>
        <v/>
      </c>
      <c r="M43">
        <f>IF($L43="",0,ROUND(N(D43)*N(F43),2))</f>
        <v>0.0</v>
      </c>
    </row>
    <row r="44" ht="17" customHeight="1">
      <c r="B44" s="112" t="str">
        <f>IF($L44="","",INDEX(dl_code,$L44)&amp;"")</f>
        <v/>
      </c>
      <c r="C44" s="113" t="str">
        <f>IF($L44="","",INDEX(dl_des,$L44)&amp;"")</f>
        <v/>
      </c>
      <c r="D44" s="114" t="str">
        <f>IF($L44="","",INDEX(dl_qty,$L44))</f>
        <v/>
      </c>
      <c r="E44" s="115" t="str">
        <f>IF($L44="","",INDEX(dl_unit,$L44)&amp;"")</f>
        <v/>
      </c>
      <c r="F44" s="116" t="str">
        <f>IF($L44="","",INDEX(dl_pu,$L44))</f>
        <v/>
      </c>
      <c r="G44" s="117" t="str">
        <f>IF($L44="","",N(INDEX(dl_disc,$L44)))</f>
        <v/>
      </c>
      <c r="H44" s="118" t="str">
        <f>IF($L44="","",INDEX(dl_rate,$L44))</f>
        <v/>
      </c>
      <c r="I44" s="119" t="str">
        <f>IF($L44="","",INDEX(dl_ht,$L44))</f>
        <v/>
      </c>
      <c r="L44" t="str">
        <f>IFERROR(MATCH($C$3&amp;"|24",dl_key,0),"")</f>
        <v/>
      </c>
      <c r="M44">
        <f>IF($L44="",0,ROUND(N(D44)*N(F44),2))</f>
        <v>0.0</v>
      </c>
    </row>
    <row r="45" ht="17" customHeight="1">
      <c r="B45" s="104" t="str">
        <f>IF($L45="","",INDEX(dl_code,$L45)&amp;"")</f>
        <v/>
      </c>
      <c r="C45" s="105" t="str">
        <f>IF($L45="","",INDEX(dl_des,$L45)&amp;"")</f>
        <v/>
      </c>
      <c r="D45" s="106" t="str">
        <f>IF($L45="","",INDEX(dl_qty,$L45))</f>
        <v/>
      </c>
      <c r="E45" s="107" t="str">
        <f>IF($L45="","",INDEX(dl_unit,$L45)&amp;"")</f>
        <v/>
      </c>
      <c r="F45" s="108" t="str">
        <f>IF($L45="","",INDEX(dl_pu,$L45))</f>
        <v/>
      </c>
      <c r="G45" s="109" t="str">
        <f>IF($L45="","",N(INDEX(dl_disc,$L45)))</f>
        <v/>
      </c>
      <c r="H45" s="110" t="str">
        <f>IF($L45="","",INDEX(dl_rate,$L45))</f>
        <v/>
      </c>
      <c r="I45" s="111" t="str">
        <f>IF($L45="","",INDEX(dl_ht,$L45))</f>
        <v/>
      </c>
      <c r="L45" t="str">
        <f>IFERROR(MATCH($C$3&amp;"|25",dl_key,0),"")</f>
        <v/>
      </c>
      <c r="M45">
        <f>IF($L45="",0,ROUND(N(D45)*N(F45),2))</f>
        <v>0.0</v>
      </c>
    </row>
    <row r="46">
      <c r="B46" s="120" t="str">
        <f>IF(L18&gt;25,"Ce devis compte "&amp;L18&amp;" lignes : seules les 25 premières sont imprimées.","")</f>
        <v/>
      </c>
    </row>
    <row r="47">
      <c r="B47" s="89" t="inlineStr">
        <is>
          <t>Récapitulatif TVA</t>
        </is>
      </c>
      <c r="F47" s="121" t="str">
        <f>IF(L20&gt;0,"Remises accordées","")</f>
        <v/>
      </c>
      <c r="G47" s="122" t="n"/>
      <c r="H47" s="122" t="n"/>
      <c r="I47" s="123" t="str">
        <f>IF(L20&gt;0,L20,"")</f>
        <v/>
      </c>
    </row>
    <row r="48">
      <c r="B48" s="124" t="inlineStr">
        <is>
          <t>Taux</t>
        </is>
      </c>
      <c r="C48" s="124" t="inlineStr">
        <is>
          <t>Base HT</t>
        </is>
      </c>
      <c r="D48" s="124" t="inlineStr">
        <is>
          <t>TVA</t>
        </is>
      </c>
      <c r="E48" s="48" t="n"/>
      <c r="F48" s="121" t="inlineStr">
        <is>
          <t>Total HT</t>
        </is>
      </c>
      <c r="G48" s="122" t="n"/>
      <c r="H48" s="122" t="n"/>
      <c r="I48" s="123" t="str">
        <f>IF($L$3="","",INDEX(dv_ht,$L$3))</f>
        <v/>
      </c>
    </row>
    <row r="49">
      <c r="B49" s="125" t="str">
        <f>IFERROR(INDEX($N$3:$N$8,MATCH(1,$R$3:$R$8,0)),"")</f>
        <v/>
      </c>
      <c r="C49" s="126" t="str">
        <f>IFERROR(INDEX($O$3:$O$8,MATCH(1,$R$3:$R$8,0))-INDEX($P$3:$P$8,MATCH(1,$R$3:$R$8,0)),"")</f>
        <v/>
      </c>
      <c r="D49" s="126" t="str">
        <f>IFERROR(INDEX($Q$3:$Q$8,MATCH(1,$R$3:$R$8,0)),"")</f>
        <v/>
      </c>
      <c r="E49" s="126" t="n"/>
      <c r="F49" s="121" t="inlineStr">
        <is>
          <t>Total TVA</t>
        </is>
      </c>
      <c r="G49" s="122" t="n"/>
      <c r="H49" s="122" t="n"/>
      <c r="I49" s="123" t="str">
        <f>IF($L$3="","",INDEX(dv_tva,$L$3))</f>
        <v/>
      </c>
    </row>
    <row r="50">
      <c r="B50" s="125" t="str">
        <f>IFERROR(INDEX($N$3:$N$8,MATCH(2,$R$3:$R$8,0)),"")</f>
        <v/>
      </c>
      <c r="C50" s="126" t="str">
        <f>IFERROR(INDEX($O$3:$O$8,MATCH(2,$R$3:$R$8,0))-INDEX($P$3:$P$8,MATCH(2,$R$3:$R$8,0)),"")</f>
        <v/>
      </c>
      <c r="D50" s="126" t="str">
        <f>IFERROR(INDEX($Q$3:$Q$8,MATCH(2,$R$3:$R$8,0)),"")</f>
        <v/>
      </c>
      <c r="E50" s="126" t="n"/>
    </row>
    <row r="51" ht="24" customHeight="1">
      <c r="B51" s="125" t="str">
        <f>IFERROR(INDEX($N$3:$N$8,MATCH(3,$R$3:$R$8,0)),"")</f>
        <v/>
      </c>
      <c r="C51" s="126" t="str">
        <f>IFERROR(INDEX($O$3:$O$8,MATCH(3,$R$3:$R$8,0))-INDEX($P$3:$P$8,MATCH(3,$R$3:$R$8,0)),"")</f>
        <v/>
      </c>
      <c r="D51" s="126" t="str">
        <f>IFERROR(INDEX($Q$3:$Q$8,MATCH(3,$R$3:$R$8,0)),"")</f>
        <v/>
      </c>
      <c r="E51" s="126" t="n"/>
      <c r="F51" s="127" t="inlineStr">
        <is>
          <t>TOTAL TTC</t>
        </is>
      </c>
      <c r="G51" s="1" t="n"/>
      <c r="H51" s="1" t="n"/>
      <c r="I51" s="128" t="str">
        <f>IF($L$3="","",L14)</f>
        <v/>
      </c>
    </row>
    <row r="52">
      <c r="B52" s="125" t="str">
        <f>IFERROR(INDEX($N$3:$N$8,MATCH(4,$R$3:$R$8,0)),"")</f>
        <v/>
      </c>
      <c r="C52" s="126" t="str">
        <f>IFERROR(INDEX($O$3:$O$8,MATCH(4,$R$3:$R$8,0))-INDEX($P$3:$P$8,MATCH(4,$R$3:$R$8,0)),"")</f>
        <v/>
      </c>
      <c r="D52" s="126" t="str">
        <f>IFERROR(INDEX($Q$3:$Q$8,MATCH(4,$R$3:$R$8,0)),"")</f>
        <v/>
      </c>
      <c r="E52" s="126" t="n"/>
    </row>
    <row r="53">
      <c r="B53" s="125" t="str">
        <f>IFERROR(INDEX($N$3:$N$8,MATCH(5,$R$3:$R$8,0)),"")</f>
        <v/>
      </c>
      <c r="C53" s="126" t="str">
        <f>IFERROR(INDEX($O$3:$O$8,MATCH(5,$R$3:$R$8,0))-INDEX($P$3:$P$8,MATCH(5,$R$3:$R$8,0)),"")</f>
        <v/>
      </c>
      <c r="D53" s="126" t="str">
        <f>IFERROR(INDEX($Q$3:$Q$8,MATCH(5,$R$3:$R$8,0)),"")</f>
        <v/>
      </c>
      <c r="E53" s="126" t="n"/>
    </row>
    <row r="54">
      <c r="B54" s="125" t="str">
        <f>IFERROR(INDEX($N$3:$N$8,MATCH(6,$R$3:$R$8,0)),"")</f>
        <v/>
      </c>
      <c r="C54" s="126" t="str">
        <f>IFERROR(INDEX($O$3:$O$8,MATCH(6,$R$3:$R$8,0))-INDEX($P$3:$P$8,MATCH(6,$R$3:$R$8,0)),"")</f>
        <v/>
      </c>
      <c r="D54" s="126" t="str">
        <f>IFERROR(INDEX($Q$3:$Q$8,MATCH(6,$R$3:$R$8,0)),"")</f>
        <v/>
      </c>
      <c r="E54" s="126" t="n"/>
    </row>
    <row r="55" ht="28" customHeight="1">
      <c r="B55" s="129" t="str">
        <f>IF(OR(p_words&lt;&gt;"Oui",$L$3="",S16=""),"","Arrêté le présent devis à la somme de "&amp;S16&amp;" TTC.")</f>
        <v/>
      </c>
    </row>
    <row r="57">
      <c r="B57" s="89" t="inlineStr">
        <is>
          <t>Règlement</t>
        </is>
      </c>
      <c r="F57" s="133" t="inlineStr">
        <is>
          <t>Bon pour accord</t>
        </is>
      </c>
      <c r="G57" s="134" t="n"/>
      <c r="H57" s="134" t="n"/>
      <c r="I57" s="135" t="n"/>
    </row>
    <row r="58">
      <c r="B58" s="136" t="str">
        <f>MID(IF(p_bank&lt;&gt;""," • "&amp;"Banque : "&amp;p_bank,"")&amp;IF(p_iban&lt;&gt;""," • "&amp;"RIB / IBAN : "&amp;p_iban,"")&amp;IF(p_bic&lt;&gt;""," • "&amp;"BIC : "&amp;p_bic,""),4,300)</f>
        <v/>
      </c>
      <c r="F58" s="137" t="n"/>
      <c r="G58" s="138" t="n"/>
      <c r="H58" s="138" t="n"/>
      <c r="I58" s="139" t="n"/>
    </row>
    <row r="59">
      <c r="F59" s="137" t="n"/>
      <c r="G59" s="138" t="n"/>
      <c r="H59" s="138" t="n"/>
      <c r="I59" s="139" t="n"/>
    </row>
    <row r="60">
      <c r="F60" s="137" t="n"/>
      <c r="G60" s="138" t="n"/>
      <c r="H60" s="138" t="n"/>
      <c r="I60" s="139" t="n"/>
    </row>
    <row r="61">
      <c r="F61" s="140" t="inlineStr">
        <is>
          <t>Date, signature et cachet du client</t>
        </is>
      </c>
      <c r="G61" s="141" t="n"/>
      <c r="H61" s="141" t="n"/>
      <c r="I61" s="142" t="n"/>
    </row>
    <row r="63" ht="26" customHeight="1">
      <c r="B63" s="131" t="str">
        <f>TRIM(IF(AND(S3&gt;0,p_exempt&lt;&gt;""),p_exempt,"")&amp;IF(p_footer&lt;&gt;""," "&amp;p_footer,""))</f>
        <v/>
      </c>
    </row>
  </sheetData>
  <mergeCells count="35">
    <mergeCell ref="C16:E16"/>
    <mergeCell ref="B9:E9"/>
    <mergeCell ref="B58:D60"/>
    <mergeCell ref="B63:I63"/>
    <mergeCell ref="B6:E6"/>
    <mergeCell ref="G18:I18"/>
    <mergeCell ref="B5:E5"/>
    <mergeCell ref="H9:I9"/>
    <mergeCell ref="G15:I15"/>
    <mergeCell ref="F47:H47"/>
    <mergeCell ref="D52:E52"/>
    <mergeCell ref="H6:I6"/>
    <mergeCell ref="G14:I14"/>
    <mergeCell ref="C14:E15"/>
    <mergeCell ref="G5:I5"/>
    <mergeCell ref="D49:E49"/>
    <mergeCell ref="B7:E7"/>
    <mergeCell ref="C17:E17"/>
    <mergeCell ref="D3:I3"/>
    <mergeCell ref="F48:H48"/>
    <mergeCell ref="D48:E48"/>
    <mergeCell ref="D53:E53"/>
    <mergeCell ref="G16:I16"/>
    <mergeCell ref="F49:H49"/>
    <mergeCell ref="H7:I7"/>
    <mergeCell ref="B11:E11"/>
    <mergeCell ref="B8:E8"/>
    <mergeCell ref="B55:I55"/>
    <mergeCell ref="D51:E51"/>
    <mergeCell ref="G17:I17"/>
    <mergeCell ref="D54:E54"/>
    <mergeCell ref="H8:I8"/>
    <mergeCell ref="D50:E50"/>
    <mergeCell ref="B10:E10"/>
    <mergeCell ref="F51:H51"/>
  </mergeCells>
  <conditionalFormatting sqref="F21:F45">
    <cfRule type="expression" priority="1" dxfId="5">
      <formula>p_currency="MAD"</formula>
    </cfRule>
    <cfRule type="expression" priority="13" dxfId="6">
      <formula>p_currency="EUR"</formula>
    </cfRule>
    <cfRule type="expression" priority="25" dxfId="7">
      <formula>p_currency="USD"</formula>
    </cfRule>
  </conditionalFormatting>
  <conditionalFormatting sqref="I21:I45">
    <cfRule type="expression" priority="2" dxfId="5">
      <formula>p_currency="MAD"</formula>
    </cfRule>
    <cfRule type="expression" priority="14" dxfId="6">
      <formula>p_currency="EUR"</formula>
    </cfRule>
    <cfRule type="expression" priority="26" dxfId="7">
      <formula>p_currency="USD"</formula>
    </cfRule>
  </conditionalFormatting>
  <conditionalFormatting sqref="C49:D49">
    <cfRule type="expression" priority="3" dxfId="5">
      <formula>p_currency="MAD"</formula>
    </cfRule>
    <cfRule type="expression" priority="15" dxfId="6">
      <formula>p_currency="EUR"</formula>
    </cfRule>
    <cfRule type="expression" priority="27" dxfId="7">
      <formula>p_currency="USD"</formula>
    </cfRule>
  </conditionalFormatting>
  <conditionalFormatting sqref="C50:D50">
    <cfRule type="expression" priority="4" dxfId="5">
      <formula>p_currency="MAD"</formula>
    </cfRule>
    <cfRule type="expression" priority="16" dxfId="6">
      <formula>p_currency="EUR"</formula>
    </cfRule>
    <cfRule type="expression" priority="28" dxfId="7">
      <formula>p_currency="USD"</formula>
    </cfRule>
  </conditionalFormatting>
  <conditionalFormatting sqref="C51:D51">
    <cfRule type="expression" priority="5" dxfId="5">
      <formula>p_currency="MAD"</formula>
    </cfRule>
    <cfRule type="expression" priority="17" dxfId="6">
      <formula>p_currency="EUR"</formula>
    </cfRule>
    <cfRule type="expression" priority="29" dxfId="7">
      <formula>p_currency="USD"</formula>
    </cfRule>
  </conditionalFormatting>
  <conditionalFormatting sqref="C52:D52">
    <cfRule type="expression" priority="6" dxfId="5">
      <formula>p_currency="MAD"</formula>
    </cfRule>
    <cfRule type="expression" priority="18" dxfId="6">
      <formula>p_currency="EUR"</formula>
    </cfRule>
    <cfRule type="expression" priority="30" dxfId="7">
      <formula>p_currency="USD"</formula>
    </cfRule>
  </conditionalFormatting>
  <conditionalFormatting sqref="C53:D53">
    <cfRule type="expression" priority="7" dxfId="5">
      <formula>p_currency="MAD"</formula>
    </cfRule>
    <cfRule type="expression" priority="19" dxfId="6">
      <formula>p_currency="EUR"</formula>
    </cfRule>
    <cfRule type="expression" priority="31" dxfId="7">
      <formula>p_currency="USD"</formula>
    </cfRule>
  </conditionalFormatting>
  <conditionalFormatting sqref="C54:D54">
    <cfRule type="expression" priority="8" dxfId="5">
      <formula>p_currency="MAD"</formula>
    </cfRule>
    <cfRule type="expression" priority="20" dxfId="6">
      <formula>p_currency="EUR"</formula>
    </cfRule>
    <cfRule type="expression" priority="32" dxfId="7">
      <formula>p_currency="USD"</formula>
    </cfRule>
  </conditionalFormatting>
  <conditionalFormatting sqref="I47">
    <cfRule type="expression" priority="9" dxfId="5">
      <formula>p_currency="MAD"</formula>
    </cfRule>
    <cfRule type="expression" priority="21" dxfId="6">
      <formula>p_currency="EUR"</formula>
    </cfRule>
    <cfRule type="expression" priority="33" dxfId="7">
      <formula>p_currency="USD"</formula>
    </cfRule>
  </conditionalFormatting>
  <conditionalFormatting sqref="I48">
    <cfRule type="expression" priority="10" dxfId="5">
      <formula>p_currency="MAD"</formula>
    </cfRule>
    <cfRule type="expression" priority="22" dxfId="6">
      <formula>p_currency="EUR"</formula>
    </cfRule>
    <cfRule type="expression" priority="34" dxfId="7">
      <formula>p_currency="USD"</formula>
    </cfRule>
  </conditionalFormatting>
  <conditionalFormatting sqref="I49">
    <cfRule type="expression" priority="11" dxfId="5">
      <formula>p_currency="MAD"</formula>
    </cfRule>
    <cfRule type="expression" priority="23" dxfId="6">
      <formula>p_currency="EUR"</formula>
    </cfRule>
    <cfRule type="expression" priority="35" dxfId="7">
      <formula>p_currency="USD"</formula>
    </cfRule>
  </conditionalFormatting>
  <conditionalFormatting sqref="I51">
    <cfRule type="expression" priority="12" dxfId="5">
      <formula>p_currency="MAD"</formula>
    </cfRule>
    <cfRule type="expression" priority="24" dxfId="6">
      <formula>p_currency="EUR"</formula>
    </cfRule>
    <cfRule type="expression" priority="36" dxfId="7">
      <formula>p_currency="USD"</formula>
    </cfRule>
  </conditionalFormatting>
  <dataValidations count="1">
    <dataValidation sqref="C3" showDropDown="0" showInputMessage="1" showErrorMessage="1" allowBlank="1" errorTitle="Numéro" error="Choisissez le numéro du document à imprimer." promptTitle="Numéro" prompt="Choisissez le numéro du document à imprimer." type="list">
      <formula1>=dv_num</formula1>
    </dataValidation>
  </dataValidations>
  <hyperlinks>
    <hyperlink ref="I1" location="'Mode d''emploi'!A1"/>
  </hyperlinks>
  <printOptions horizontalCentered="1"/>
  <pageMargins left="0.5" right="0.5" top="0.5" bottom="0.5" header="0.5" footer="0.5"/>
  <pageSetup orientation="portrait" paperSize="9" fitToHeight="1" fitToWidth="1"/>
</worksheet>
</file>

<file path=xl/worksheets/sheet11.xml><?xml version="1.0" encoding="utf-8"?>
<worksheet xmlns="http://schemas.openxmlformats.org/spreadsheetml/2006/main">
  <sheetPr>
    <tabColor rgb="FFBE185D"/>
    <outlinePr summaryBelow="1" summaryRight="1"/>
    <pageSetUpPr fitToPage="1"/>
  </sheetPr>
  <dimension ref="A1:T3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9" customWidth="1" min="1" max="1"/>
    <col width="28" customWidth="1" min="2" max="2"/>
    <col width="13" customWidth="1" min="3" max="3"/>
    <col width="30" customWidth="1" min="4" max="4"/>
    <col width="18" customWidth="1" min="5" max="5"/>
    <col width="10" customWidth="1" min="6" max="6"/>
    <col width="17" customWidth="1" min="7" max="7"/>
    <col width="12" customWidth="1" min="8" max="8"/>
    <col width="16" customWidth="1" min="9" max="9"/>
    <col width="15" customWidth="1" min="10" max="10"/>
    <col width="24" customWidth="1" min="11" max="11"/>
    <col width="15" customWidth="1" min="12" max="12"/>
    <col width="10" customWidth="1" min="13" max="13"/>
    <col width="14" customWidth="1" min="14" max="14"/>
    <col width="14" customWidth="1" min="15" max="15"/>
    <col width="30" customWidth="1" min="16" max="16"/>
    <col hidden="1" width="8" customWidth="1" min="17" max="17"/>
    <col hidden="1" width="6" customWidth="1" min="18" max="18"/>
    <col hidden="1" width="8" customWidth="1" min="19" max="19"/>
    <col hidden="1" width="6" customWidth="1" min="20" max="20"/>
  </cols>
  <sheetData>
    <row r="1" ht="38" customHeight="1">
      <c r="A1" s="2" t="inlineStr">
        <is>
          <t>Clients</t>
        </is>
      </c>
      <c r="B1" s="1" t="n"/>
      <c r="C1" s="1" t="n"/>
      <c r="D1" s="1" t="n"/>
      <c r="E1" s="1" t="n"/>
      <c r="F1" s="1" t="n"/>
      <c r="G1" s="1" t="n"/>
      <c r="H1" s="1" t="n"/>
      <c r="I1" s="1" t="n"/>
      <c r="J1" s="1" t="n"/>
      <c r="K1" s="1" t="n"/>
      <c r="L1" s="1" t="n"/>
      <c r="M1" s="1" t="n"/>
      <c r="N1" s="1" t="n"/>
      <c r="O1" s="1" t="n"/>
      <c r="P1" s="18" t="inlineStr">
        <is>
          <t>⌂ Mode d'emploi</t>
        </is>
      </c>
    </row>
    <row r="2" ht="22" customHeight="1">
      <c r="A2" s="4" t="inlineStr">
        <is>
          <t>Une ligne par client. Le code sert dans les devis et les factures. Le chiffre d'affaires et le reste dû se calculent.</t>
        </is>
      </c>
      <c r="B2" s="3" t="n"/>
      <c r="C2" s="3" t="n"/>
      <c r="D2" s="3" t="n"/>
      <c r="E2" s="3" t="n"/>
      <c r="F2" s="3" t="n"/>
      <c r="G2" s="3" t="n"/>
      <c r="H2" s="3" t="n"/>
      <c r="I2" s="3" t="n"/>
      <c r="J2" s="3" t="n"/>
      <c r="K2" s="3" t="n"/>
      <c r="L2" s="3" t="n"/>
      <c r="M2" s="3" t="n"/>
      <c r="N2" s="3" t="n"/>
      <c r="O2" s="3" t="n"/>
      <c r="P2" s="3" t="n"/>
    </row>
    <row r="3" ht="18" customHeight="1">
      <c r="N3" s="16" t="inlineStr">
        <is>
          <t>Saisie</t>
        </is>
      </c>
      <c r="O3" s="17" t="inlineStr">
        <is>
          <t>Calcul auto</t>
        </is>
      </c>
    </row>
    <row r="5" ht="34" customHeight="1">
      <c r="A5" s="43" t="inlineStr">
        <is>
          <t>Code</t>
        </is>
      </c>
      <c r="B5" s="43" t="inlineStr">
        <is>
          <t>Raison sociale ou nom</t>
        </is>
      </c>
      <c r="C5" s="43" t="inlineStr">
        <is>
          <t>Type</t>
        </is>
      </c>
      <c r="D5" s="43" t="inlineStr">
        <is>
          <t>Adresse</t>
        </is>
      </c>
      <c r="E5" s="43" t="inlineStr">
        <is>
          <t>Code postal et ville</t>
        </is>
      </c>
      <c r="F5" s="43" t="inlineStr">
        <is>
          <t>Pays</t>
        </is>
      </c>
      <c r="G5" s="43" t="inlineStr">
        <is>
          <t>ICE (Maroc)</t>
        </is>
      </c>
      <c r="H5" s="43" t="inlineStr">
        <is>
          <t>SIREN (France)</t>
        </is>
      </c>
      <c r="I5" s="43" t="inlineStr">
        <is>
          <t>N° TVA intracom.</t>
        </is>
      </c>
      <c r="J5" s="43" t="inlineStr">
        <is>
          <t>Contact</t>
        </is>
      </c>
      <c r="K5" s="43" t="inlineStr">
        <is>
          <t>E-mail</t>
        </is>
      </c>
      <c r="L5" s="43" t="inlineStr">
        <is>
          <t>Téléphone</t>
        </is>
      </c>
      <c r="M5" s="43" t="inlineStr">
        <is>
          <t>Délai (jours)</t>
        </is>
      </c>
      <c r="N5" s="43" t="inlineStr">
        <is>
          <t>CA HT facturé</t>
        </is>
      </c>
      <c r="O5" s="43" t="inlineStr">
        <is>
          <t>Reste dû</t>
        </is>
      </c>
      <c r="P5" s="43" t="inlineStr">
        <is>
          <t>Contrôle</t>
        </is>
      </c>
      <c r="Q5" s="43" t="inlineStr">
        <is>
          <t>CA année (cts)</t>
        </is>
      </c>
      <c r="R5" s="43" t="inlineStr">
        <is>
          <t>Rang CA</t>
        </is>
      </c>
      <c r="S5" s="43" t="inlineStr">
        <is>
          <t>Dû (cts)</t>
        </is>
      </c>
      <c r="T5" s="43" t="inlineStr">
        <is>
          <t>Rang dû</t>
        </is>
      </c>
    </row>
    <row r="6">
      <c r="A6" s="60" t="n"/>
      <c r="B6" s="63" t="n"/>
      <c r="C6" s="60" t="n"/>
      <c r="D6" s="63" t="n"/>
      <c r="E6" s="63" t="n"/>
      <c r="F6" s="60" t="n"/>
      <c r="G6" s="143" t="n"/>
      <c r="H6" s="143" t="n"/>
      <c r="I6" s="63" t="n"/>
      <c r="J6" s="63" t="n"/>
      <c r="K6" s="63" t="n"/>
      <c r="L6" s="63" t="n"/>
      <c r="M6" s="144" t="n"/>
      <c r="N6" s="65" t="str">
        <f>IF(A6="","",SUMIF(fa_client,A6,fa_ht))</f>
        <v/>
      </c>
      <c r="O6" s="65" t="str">
        <f>IF(A6="","",SUMIF(fa_client,A6,fa_reste))</f>
        <v/>
      </c>
      <c r="P6" s="59" t="str">
        <f>IF(COUNTA(A6:M6)=0,"",IF(A6="","Code manquant",IF(COUNTIF(cli_code,A6)&gt;1,"Code en double",IF(B6="","Nom manquant",IF(AND(p_country="Maroc",C6&lt;&gt;"Particulier",OR(F6="",F6="Maroc"),G6=""),"ICE manquant (client professionnel)",IF(AND(G6&lt;&gt;"",NOT(AND(LEN(G6&amp;"")=15,SUBSTITUTE(SUBSTITUTE(SUBSTITUTE(SUBSTITUTE(SUBSTITUTE(SUBSTITUTE(SUBSTITUTE(SUBSTITUTE(SUBSTITUTE(SUBSTITUTE(G6&amp;"","0",""),"1",""),"2",""),"3",""),"4",""),"5",""),"6",""),"7",""),"8",""),"9","")=""))),"ICE : 15 chiffres attendus",IF(AND(H6&lt;&gt;"",NOT(AND(LEN(H6&amp;"")=9,SUBSTITUTE(SUBSTITUTE(SUBSTITUTE(SUBSTITUTE(SUBSTITUTE(SUBSTITUTE(SUBSTITUTE(SUBSTITUTE(SUBSTITUTE(SUBSTITUTE(H6&amp;"","0",""),"1",""),"2",""),"3",""),"4",""),"5",""),"6",""),"7",""),"8",""),"9","")=""))),"SIREN : 9 chiffres attendus",IF(AND(M6&lt;&gt;"",OR(NOT(ISNUMBER(M6)),N(M6)&lt;0)),"Délai de paiement invalide","OK"))))))))</f>
        <v/>
      </c>
      <c r="Q6" s="62" t="str">
        <f>IF(A6="","",ROUND(SUMIFS(fa_ht,fa_client,A6,fa_year,db_year)*100,0))</f>
        <v/>
      </c>
      <c r="R6" s="62" t="str">
        <f>IF(N(Q6)&lt;=0,"",COUNTIF($Q$6:$Q$305,"&gt;"&amp;Q6)+COUNTIF($Q$6:Q6,Q6))</f>
        <v/>
      </c>
      <c r="S6" s="62" t="str">
        <f>IF(A6="","",ROUND(SUMIFS(fa_reste,fa_client,A6,fa_reste,"&gt;0")*100,0))</f>
        <v/>
      </c>
      <c r="T6" s="62" t="str">
        <f>IF(N(S6)&lt;=0,"",COUNTIF($S$6:$S$305,"&gt;"&amp;S6)+COUNTIF($S$6:S6,S6))</f>
        <v/>
      </c>
    </row>
    <row r="7">
      <c r="A7" s="60" t="n"/>
      <c r="B7" s="63" t="n"/>
      <c r="C7" s="60" t="n"/>
      <c r="D7" s="63" t="n"/>
      <c r="E7" s="63" t="n"/>
      <c r="F7" s="60" t="n"/>
      <c r="G7" s="143" t="n"/>
      <c r="H7" s="143" t="n"/>
      <c r="I7" s="63" t="n"/>
      <c r="J7" s="63" t="n"/>
      <c r="K7" s="63" t="n"/>
      <c r="L7" s="63" t="n"/>
      <c r="M7" s="144" t="n"/>
      <c r="N7" s="65" t="str">
        <f>IF(A7="","",SUMIF(fa_client,A7,fa_ht))</f>
        <v/>
      </c>
      <c r="O7" s="65" t="str">
        <f>IF(A7="","",SUMIF(fa_client,A7,fa_reste))</f>
        <v/>
      </c>
      <c r="P7" s="59" t="str">
        <f>IF(COUNTA(A7:M7)=0,"",IF(A7="","Code manquant",IF(COUNTIF(cli_code,A7)&gt;1,"Code en double",IF(B7="","Nom manquant",IF(AND(p_country="Maroc",C7&lt;&gt;"Particulier",OR(F7="",F7="Maroc"),G7=""),"ICE manquant (client professionnel)",IF(AND(G7&lt;&gt;"",NOT(AND(LEN(G7&amp;"")=15,SUBSTITUTE(SUBSTITUTE(SUBSTITUTE(SUBSTITUTE(SUBSTITUTE(SUBSTITUTE(SUBSTITUTE(SUBSTITUTE(SUBSTITUTE(SUBSTITUTE(G7&amp;"","0",""),"1",""),"2",""),"3",""),"4",""),"5",""),"6",""),"7",""),"8",""),"9","")=""))),"ICE : 15 chiffres attendus",IF(AND(H7&lt;&gt;"",NOT(AND(LEN(H7&amp;"")=9,SUBSTITUTE(SUBSTITUTE(SUBSTITUTE(SUBSTITUTE(SUBSTITUTE(SUBSTITUTE(SUBSTITUTE(SUBSTITUTE(SUBSTITUTE(SUBSTITUTE(H7&amp;"","0",""),"1",""),"2",""),"3",""),"4",""),"5",""),"6",""),"7",""),"8",""),"9","")=""))),"SIREN : 9 chiffres attendus",IF(AND(M7&lt;&gt;"",OR(NOT(ISNUMBER(M7)),N(M7)&lt;0)),"Délai de paiement invalide","OK"))))))))</f>
        <v/>
      </c>
      <c r="Q7" s="62" t="str">
        <f>IF(A7="","",ROUND(SUMIFS(fa_ht,fa_client,A7,fa_year,db_year)*100,0))</f>
        <v/>
      </c>
      <c r="R7" s="62" t="str">
        <f>IF(N(Q7)&lt;=0,"",COUNTIF($Q$6:$Q$305,"&gt;"&amp;Q7)+COUNTIF($Q$6:Q7,Q7))</f>
        <v/>
      </c>
      <c r="S7" s="62" t="str">
        <f>IF(A7="","",ROUND(SUMIFS(fa_reste,fa_client,A7,fa_reste,"&gt;0")*100,0))</f>
        <v/>
      </c>
      <c r="T7" s="62" t="str">
        <f>IF(N(S7)&lt;=0,"",COUNTIF($S$6:$S$305,"&gt;"&amp;S7)+COUNTIF($S$6:S7,S7))</f>
        <v/>
      </c>
    </row>
    <row r="8">
      <c r="A8" s="60" t="n"/>
      <c r="B8" s="63" t="n"/>
      <c r="C8" s="60" t="n"/>
      <c r="D8" s="63" t="n"/>
      <c r="E8" s="63" t="n"/>
      <c r="F8" s="60" t="n"/>
      <c r="G8" s="143" t="n"/>
      <c r="H8" s="143" t="n"/>
      <c r="I8" s="63" t="n"/>
      <c r="J8" s="63" t="n"/>
      <c r="K8" s="63" t="n"/>
      <c r="L8" s="63" t="n"/>
      <c r="M8" s="144" t="n"/>
      <c r="N8" s="65" t="str">
        <f>IF(A8="","",SUMIF(fa_client,A8,fa_ht))</f>
        <v/>
      </c>
      <c r="O8" s="65" t="str">
        <f>IF(A8="","",SUMIF(fa_client,A8,fa_reste))</f>
        <v/>
      </c>
      <c r="P8" s="59" t="str">
        <f>IF(COUNTA(A8:M8)=0,"",IF(A8="","Code manquant",IF(COUNTIF(cli_code,A8)&gt;1,"Code en double",IF(B8="","Nom manquant",IF(AND(p_country="Maroc",C8&lt;&gt;"Particulier",OR(F8="",F8="Maroc"),G8=""),"ICE manquant (client professionnel)",IF(AND(G8&lt;&gt;"",NOT(AND(LEN(G8&amp;"")=15,SUBSTITUTE(SUBSTITUTE(SUBSTITUTE(SUBSTITUTE(SUBSTITUTE(SUBSTITUTE(SUBSTITUTE(SUBSTITUTE(SUBSTITUTE(SUBSTITUTE(G8&amp;"","0",""),"1",""),"2",""),"3",""),"4",""),"5",""),"6",""),"7",""),"8",""),"9","")=""))),"ICE : 15 chiffres attendus",IF(AND(H8&lt;&gt;"",NOT(AND(LEN(H8&amp;"")=9,SUBSTITUTE(SUBSTITUTE(SUBSTITUTE(SUBSTITUTE(SUBSTITUTE(SUBSTITUTE(SUBSTITUTE(SUBSTITUTE(SUBSTITUTE(SUBSTITUTE(H8&amp;"","0",""),"1",""),"2",""),"3",""),"4",""),"5",""),"6",""),"7",""),"8",""),"9","")=""))),"SIREN : 9 chiffres attendus",IF(AND(M8&lt;&gt;"",OR(NOT(ISNUMBER(M8)),N(M8)&lt;0)),"Délai de paiement invalide","OK"))))))))</f>
        <v/>
      </c>
      <c r="Q8" s="62" t="str">
        <f>IF(A8="","",ROUND(SUMIFS(fa_ht,fa_client,A8,fa_year,db_year)*100,0))</f>
        <v/>
      </c>
      <c r="R8" s="62" t="str">
        <f>IF(N(Q8)&lt;=0,"",COUNTIF($Q$6:$Q$305,"&gt;"&amp;Q8)+COUNTIF($Q$6:Q8,Q8))</f>
        <v/>
      </c>
      <c r="S8" s="62" t="str">
        <f>IF(A8="","",ROUND(SUMIFS(fa_reste,fa_client,A8,fa_reste,"&gt;0")*100,0))</f>
        <v/>
      </c>
      <c r="T8" s="62" t="str">
        <f>IF(N(S8)&lt;=0,"",COUNTIF($S$6:$S$305,"&gt;"&amp;S8)+COUNTIF($S$6:S8,S8))</f>
        <v/>
      </c>
    </row>
    <row r="9">
      <c r="A9" s="60" t="n"/>
      <c r="B9" s="63" t="n"/>
      <c r="C9" s="60" t="n"/>
      <c r="D9" s="63" t="n"/>
      <c r="E9" s="63" t="n"/>
      <c r="F9" s="60" t="n"/>
      <c r="G9" s="143" t="n"/>
      <c r="H9" s="143" t="n"/>
      <c r="I9" s="63" t="n"/>
      <c r="J9" s="63" t="n"/>
      <c r="K9" s="63" t="n"/>
      <c r="L9" s="63" t="n"/>
      <c r="M9" s="144" t="n"/>
      <c r="N9" s="65" t="str">
        <f>IF(A9="","",SUMIF(fa_client,A9,fa_ht))</f>
        <v/>
      </c>
      <c r="O9" s="65" t="str">
        <f>IF(A9="","",SUMIF(fa_client,A9,fa_reste))</f>
        <v/>
      </c>
      <c r="P9" s="59" t="str">
        <f>IF(COUNTA(A9:M9)=0,"",IF(A9="","Code manquant",IF(COUNTIF(cli_code,A9)&gt;1,"Code en double",IF(B9="","Nom manquant",IF(AND(p_country="Maroc",C9&lt;&gt;"Particulier",OR(F9="",F9="Maroc"),G9=""),"ICE manquant (client professionnel)",IF(AND(G9&lt;&gt;"",NOT(AND(LEN(G9&amp;"")=15,SUBSTITUTE(SUBSTITUTE(SUBSTITUTE(SUBSTITUTE(SUBSTITUTE(SUBSTITUTE(SUBSTITUTE(SUBSTITUTE(SUBSTITUTE(SUBSTITUTE(G9&amp;"","0",""),"1",""),"2",""),"3",""),"4",""),"5",""),"6",""),"7",""),"8",""),"9","")=""))),"ICE : 15 chiffres attendus",IF(AND(H9&lt;&gt;"",NOT(AND(LEN(H9&amp;"")=9,SUBSTITUTE(SUBSTITUTE(SUBSTITUTE(SUBSTITUTE(SUBSTITUTE(SUBSTITUTE(SUBSTITUTE(SUBSTITUTE(SUBSTITUTE(SUBSTITUTE(H9&amp;"","0",""),"1",""),"2",""),"3",""),"4",""),"5",""),"6",""),"7",""),"8",""),"9","")=""))),"SIREN : 9 chiffres attendus",IF(AND(M9&lt;&gt;"",OR(NOT(ISNUMBER(M9)),N(M9)&lt;0)),"Délai de paiement invalide","OK"))))))))</f>
        <v/>
      </c>
      <c r="Q9" s="62" t="str">
        <f>IF(A9="","",ROUND(SUMIFS(fa_ht,fa_client,A9,fa_year,db_year)*100,0))</f>
        <v/>
      </c>
      <c r="R9" s="62" t="str">
        <f>IF(N(Q9)&lt;=0,"",COUNTIF($Q$6:$Q$305,"&gt;"&amp;Q9)+COUNTIF($Q$6:Q9,Q9))</f>
        <v/>
      </c>
      <c r="S9" s="62" t="str">
        <f>IF(A9="","",ROUND(SUMIFS(fa_reste,fa_client,A9,fa_reste,"&gt;0")*100,0))</f>
        <v/>
      </c>
      <c r="T9" s="62" t="str">
        <f>IF(N(S9)&lt;=0,"",COUNTIF($S$6:$S$305,"&gt;"&amp;S9)+COUNTIF($S$6:S9,S9))</f>
        <v/>
      </c>
    </row>
    <row r="10">
      <c r="A10" s="60" t="n"/>
      <c r="B10" s="63" t="n"/>
      <c r="C10" s="60" t="n"/>
      <c r="D10" s="63" t="n"/>
      <c r="E10" s="63" t="n"/>
      <c r="F10" s="60" t="n"/>
      <c r="G10" s="143" t="n"/>
      <c r="H10" s="143" t="n"/>
      <c r="I10" s="63" t="n"/>
      <c r="J10" s="63" t="n"/>
      <c r="K10" s="63" t="n"/>
      <c r="L10" s="63" t="n"/>
      <c r="M10" s="144" t="n"/>
      <c r="N10" s="65" t="str">
        <f>IF(A10="","",SUMIF(fa_client,A10,fa_ht))</f>
        <v/>
      </c>
      <c r="O10" s="65" t="str">
        <f>IF(A10="","",SUMIF(fa_client,A10,fa_reste))</f>
        <v/>
      </c>
      <c r="P10" s="59" t="str">
        <f>IF(COUNTA(A10:M10)=0,"",IF(A10="","Code manquant",IF(COUNTIF(cli_code,A10)&gt;1,"Code en double",IF(B10="","Nom manquant",IF(AND(p_country="Maroc",C10&lt;&gt;"Particulier",OR(F10="",F10="Maroc"),G10=""),"ICE manquant (client professionnel)",IF(AND(G10&lt;&gt;"",NOT(AND(LEN(G10&amp;"")=15,SUBSTITUTE(SUBSTITUTE(SUBSTITUTE(SUBSTITUTE(SUBSTITUTE(SUBSTITUTE(SUBSTITUTE(SUBSTITUTE(SUBSTITUTE(SUBSTITUTE(G10&amp;"","0",""),"1",""),"2",""),"3",""),"4",""),"5",""),"6",""),"7",""),"8",""),"9","")=""))),"ICE : 15 chiffres attendus",IF(AND(H10&lt;&gt;"",NOT(AND(LEN(H10&amp;"")=9,SUBSTITUTE(SUBSTITUTE(SUBSTITUTE(SUBSTITUTE(SUBSTITUTE(SUBSTITUTE(SUBSTITUTE(SUBSTITUTE(SUBSTITUTE(SUBSTITUTE(H10&amp;"","0",""),"1",""),"2",""),"3",""),"4",""),"5",""),"6",""),"7",""),"8",""),"9","")=""))),"SIREN : 9 chiffres attendus",IF(AND(M10&lt;&gt;"",OR(NOT(ISNUMBER(M10)),N(M10)&lt;0)),"Délai de paiement invalide","OK"))))))))</f>
        <v/>
      </c>
      <c r="Q10" s="62" t="str">
        <f>IF(A10="","",ROUND(SUMIFS(fa_ht,fa_client,A10,fa_year,db_year)*100,0))</f>
        <v/>
      </c>
      <c r="R10" s="62" t="str">
        <f>IF(N(Q10)&lt;=0,"",COUNTIF($Q$6:$Q$305,"&gt;"&amp;Q10)+COUNTIF($Q$6:Q10,Q10))</f>
        <v/>
      </c>
      <c r="S10" s="62" t="str">
        <f>IF(A10="","",ROUND(SUMIFS(fa_reste,fa_client,A10,fa_reste,"&gt;0")*100,0))</f>
        <v/>
      </c>
      <c r="T10" s="62" t="str">
        <f>IF(N(S10)&lt;=0,"",COUNTIF($S$6:$S$305,"&gt;"&amp;S10)+COUNTIF($S$6:S10,S10))</f>
        <v/>
      </c>
    </row>
    <row r="11">
      <c r="A11" s="60" t="n"/>
      <c r="B11" s="63" t="n"/>
      <c r="C11" s="60" t="n"/>
      <c r="D11" s="63" t="n"/>
      <c r="E11" s="63" t="n"/>
      <c r="F11" s="60" t="n"/>
      <c r="G11" s="143" t="n"/>
      <c r="H11" s="143" t="n"/>
      <c r="I11" s="63" t="n"/>
      <c r="J11" s="63" t="n"/>
      <c r="K11" s="63" t="n"/>
      <c r="L11" s="63" t="n"/>
      <c r="M11" s="144" t="n"/>
      <c r="N11" s="65" t="str">
        <f>IF(A11="","",SUMIF(fa_client,A11,fa_ht))</f>
        <v/>
      </c>
      <c r="O11" s="65" t="str">
        <f>IF(A11="","",SUMIF(fa_client,A11,fa_reste))</f>
        <v/>
      </c>
      <c r="P11" s="59" t="str">
        <f>IF(COUNTA(A11:M11)=0,"",IF(A11="","Code manquant",IF(COUNTIF(cli_code,A11)&gt;1,"Code en double",IF(B11="","Nom manquant",IF(AND(p_country="Maroc",C11&lt;&gt;"Particulier",OR(F11="",F11="Maroc"),G11=""),"ICE manquant (client professionnel)",IF(AND(G11&lt;&gt;"",NOT(AND(LEN(G11&amp;"")=15,SUBSTITUTE(SUBSTITUTE(SUBSTITUTE(SUBSTITUTE(SUBSTITUTE(SUBSTITUTE(SUBSTITUTE(SUBSTITUTE(SUBSTITUTE(SUBSTITUTE(G11&amp;"","0",""),"1",""),"2",""),"3",""),"4",""),"5",""),"6",""),"7",""),"8",""),"9","")=""))),"ICE : 15 chiffres attendus",IF(AND(H11&lt;&gt;"",NOT(AND(LEN(H11&amp;"")=9,SUBSTITUTE(SUBSTITUTE(SUBSTITUTE(SUBSTITUTE(SUBSTITUTE(SUBSTITUTE(SUBSTITUTE(SUBSTITUTE(SUBSTITUTE(SUBSTITUTE(H11&amp;"","0",""),"1",""),"2",""),"3",""),"4",""),"5",""),"6",""),"7",""),"8",""),"9","")=""))),"SIREN : 9 chiffres attendus",IF(AND(M11&lt;&gt;"",OR(NOT(ISNUMBER(M11)),N(M11)&lt;0)),"Délai de paiement invalide","OK"))))))))</f>
        <v/>
      </c>
      <c r="Q11" s="62" t="str">
        <f>IF(A11="","",ROUND(SUMIFS(fa_ht,fa_client,A11,fa_year,db_year)*100,0))</f>
        <v/>
      </c>
      <c r="R11" s="62" t="str">
        <f>IF(N(Q11)&lt;=0,"",COUNTIF($Q$6:$Q$305,"&gt;"&amp;Q11)+COUNTIF($Q$6:Q11,Q11))</f>
        <v/>
      </c>
      <c r="S11" s="62" t="str">
        <f>IF(A11="","",ROUND(SUMIFS(fa_reste,fa_client,A11,fa_reste,"&gt;0")*100,0))</f>
        <v/>
      </c>
      <c r="T11" s="62" t="str">
        <f>IF(N(S11)&lt;=0,"",COUNTIF($S$6:$S$305,"&gt;"&amp;S11)+COUNTIF($S$6:S11,S11))</f>
        <v/>
      </c>
    </row>
    <row r="12">
      <c r="A12" s="60" t="n"/>
      <c r="B12" s="63" t="n"/>
      <c r="C12" s="60" t="n"/>
      <c r="D12" s="63" t="n"/>
      <c r="E12" s="63" t="n"/>
      <c r="F12" s="60" t="n"/>
      <c r="G12" s="143" t="n"/>
      <c r="H12" s="143" t="n"/>
      <c r="I12" s="63" t="n"/>
      <c r="J12" s="63" t="n"/>
      <c r="K12" s="63" t="n"/>
      <c r="L12" s="63" t="n"/>
      <c r="M12" s="144" t="n"/>
      <c r="N12" s="65" t="str">
        <f>IF(A12="","",SUMIF(fa_client,A12,fa_ht))</f>
        <v/>
      </c>
      <c r="O12" s="65" t="str">
        <f>IF(A12="","",SUMIF(fa_client,A12,fa_reste))</f>
        <v/>
      </c>
      <c r="P12" s="59" t="str">
        <f>IF(COUNTA(A12:M12)=0,"",IF(A12="","Code manquant",IF(COUNTIF(cli_code,A12)&gt;1,"Code en double",IF(B12="","Nom manquant",IF(AND(p_country="Maroc",C12&lt;&gt;"Particulier",OR(F12="",F12="Maroc"),G12=""),"ICE manquant (client professionnel)",IF(AND(G12&lt;&gt;"",NOT(AND(LEN(G12&amp;"")=15,SUBSTITUTE(SUBSTITUTE(SUBSTITUTE(SUBSTITUTE(SUBSTITUTE(SUBSTITUTE(SUBSTITUTE(SUBSTITUTE(SUBSTITUTE(SUBSTITUTE(G12&amp;"","0",""),"1",""),"2",""),"3",""),"4",""),"5",""),"6",""),"7",""),"8",""),"9","")=""))),"ICE : 15 chiffres attendus",IF(AND(H12&lt;&gt;"",NOT(AND(LEN(H12&amp;"")=9,SUBSTITUTE(SUBSTITUTE(SUBSTITUTE(SUBSTITUTE(SUBSTITUTE(SUBSTITUTE(SUBSTITUTE(SUBSTITUTE(SUBSTITUTE(SUBSTITUTE(H12&amp;"","0",""),"1",""),"2",""),"3",""),"4",""),"5",""),"6",""),"7",""),"8",""),"9","")=""))),"SIREN : 9 chiffres attendus",IF(AND(M12&lt;&gt;"",OR(NOT(ISNUMBER(M12)),N(M12)&lt;0)),"Délai de paiement invalide","OK"))))))))</f>
        <v/>
      </c>
      <c r="Q12" s="62" t="str">
        <f>IF(A12="","",ROUND(SUMIFS(fa_ht,fa_client,A12,fa_year,db_year)*100,0))</f>
        <v/>
      </c>
      <c r="R12" s="62" t="str">
        <f>IF(N(Q12)&lt;=0,"",COUNTIF($Q$6:$Q$305,"&gt;"&amp;Q12)+COUNTIF($Q$6:Q12,Q12))</f>
        <v/>
      </c>
      <c r="S12" s="62" t="str">
        <f>IF(A12="","",ROUND(SUMIFS(fa_reste,fa_client,A12,fa_reste,"&gt;0")*100,0))</f>
        <v/>
      </c>
      <c r="T12" s="62" t="str">
        <f>IF(N(S12)&lt;=0,"",COUNTIF($S$6:$S$305,"&gt;"&amp;S12)+COUNTIF($S$6:S12,S12))</f>
        <v/>
      </c>
    </row>
    <row r="13">
      <c r="A13" s="60" t="n"/>
      <c r="B13" s="63" t="n"/>
      <c r="C13" s="60" t="n"/>
      <c r="D13" s="63" t="n"/>
      <c r="E13" s="63" t="n"/>
      <c r="F13" s="60" t="n"/>
      <c r="G13" s="143" t="n"/>
      <c r="H13" s="143" t="n"/>
      <c r="I13" s="63" t="n"/>
      <c r="J13" s="63" t="n"/>
      <c r="K13" s="63" t="n"/>
      <c r="L13" s="63" t="n"/>
      <c r="M13" s="144" t="n"/>
      <c r="N13" s="65" t="str">
        <f>IF(A13="","",SUMIF(fa_client,A13,fa_ht))</f>
        <v/>
      </c>
      <c r="O13" s="65" t="str">
        <f>IF(A13="","",SUMIF(fa_client,A13,fa_reste))</f>
        <v/>
      </c>
      <c r="P13" s="59" t="str">
        <f>IF(COUNTA(A13:M13)=0,"",IF(A13="","Code manquant",IF(COUNTIF(cli_code,A13)&gt;1,"Code en double",IF(B13="","Nom manquant",IF(AND(p_country="Maroc",C13&lt;&gt;"Particulier",OR(F13="",F13="Maroc"),G13=""),"ICE manquant (client professionnel)",IF(AND(G13&lt;&gt;"",NOT(AND(LEN(G13&amp;"")=15,SUBSTITUTE(SUBSTITUTE(SUBSTITUTE(SUBSTITUTE(SUBSTITUTE(SUBSTITUTE(SUBSTITUTE(SUBSTITUTE(SUBSTITUTE(SUBSTITUTE(G13&amp;"","0",""),"1",""),"2",""),"3",""),"4",""),"5",""),"6",""),"7",""),"8",""),"9","")=""))),"ICE : 15 chiffres attendus",IF(AND(H13&lt;&gt;"",NOT(AND(LEN(H13&amp;"")=9,SUBSTITUTE(SUBSTITUTE(SUBSTITUTE(SUBSTITUTE(SUBSTITUTE(SUBSTITUTE(SUBSTITUTE(SUBSTITUTE(SUBSTITUTE(SUBSTITUTE(H13&amp;"","0",""),"1",""),"2",""),"3",""),"4",""),"5",""),"6",""),"7",""),"8",""),"9","")=""))),"SIREN : 9 chiffres attendus",IF(AND(M13&lt;&gt;"",OR(NOT(ISNUMBER(M13)),N(M13)&lt;0)),"Délai de paiement invalide","OK"))))))))</f>
        <v/>
      </c>
      <c r="Q13" s="62" t="str">
        <f>IF(A13="","",ROUND(SUMIFS(fa_ht,fa_client,A13,fa_year,db_year)*100,0))</f>
        <v/>
      </c>
      <c r="R13" s="62" t="str">
        <f>IF(N(Q13)&lt;=0,"",COUNTIF($Q$6:$Q$305,"&gt;"&amp;Q13)+COUNTIF($Q$6:Q13,Q13))</f>
        <v/>
      </c>
      <c r="S13" s="62" t="str">
        <f>IF(A13="","",ROUND(SUMIFS(fa_reste,fa_client,A13,fa_reste,"&gt;0")*100,0))</f>
        <v/>
      </c>
      <c r="T13" s="62" t="str">
        <f>IF(N(S13)&lt;=0,"",COUNTIF($S$6:$S$305,"&gt;"&amp;S13)+COUNTIF($S$6:S13,S13))</f>
        <v/>
      </c>
    </row>
    <row r="14">
      <c r="A14" s="60" t="n"/>
      <c r="B14" s="63" t="n"/>
      <c r="C14" s="60" t="n"/>
      <c r="D14" s="63" t="n"/>
      <c r="E14" s="63" t="n"/>
      <c r="F14" s="60" t="n"/>
      <c r="G14" s="143" t="n"/>
      <c r="H14" s="143" t="n"/>
      <c r="I14" s="63" t="n"/>
      <c r="J14" s="63" t="n"/>
      <c r="K14" s="63" t="n"/>
      <c r="L14" s="63" t="n"/>
      <c r="M14" s="144" t="n"/>
      <c r="N14" s="65" t="str">
        <f>IF(A14="","",SUMIF(fa_client,A14,fa_ht))</f>
        <v/>
      </c>
      <c r="O14" s="65" t="str">
        <f>IF(A14="","",SUMIF(fa_client,A14,fa_reste))</f>
        <v/>
      </c>
      <c r="P14" s="59" t="str">
        <f>IF(COUNTA(A14:M14)=0,"",IF(A14="","Code manquant",IF(COUNTIF(cli_code,A14)&gt;1,"Code en double",IF(B14="","Nom manquant",IF(AND(p_country="Maroc",C14&lt;&gt;"Particulier",OR(F14="",F14="Maroc"),G14=""),"ICE manquant (client professionnel)",IF(AND(G14&lt;&gt;"",NOT(AND(LEN(G14&amp;"")=15,SUBSTITUTE(SUBSTITUTE(SUBSTITUTE(SUBSTITUTE(SUBSTITUTE(SUBSTITUTE(SUBSTITUTE(SUBSTITUTE(SUBSTITUTE(SUBSTITUTE(G14&amp;"","0",""),"1",""),"2",""),"3",""),"4",""),"5",""),"6",""),"7",""),"8",""),"9","")=""))),"ICE : 15 chiffres attendus",IF(AND(H14&lt;&gt;"",NOT(AND(LEN(H14&amp;"")=9,SUBSTITUTE(SUBSTITUTE(SUBSTITUTE(SUBSTITUTE(SUBSTITUTE(SUBSTITUTE(SUBSTITUTE(SUBSTITUTE(SUBSTITUTE(SUBSTITUTE(H14&amp;"","0",""),"1",""),"2",""),"3",""),"4",""),"5",""),"6",""),"7",""),"8",""),"9","")=""))),"SIREN : 9 chiffres attendus",IF(AND(M14&lt;&gt;"",OR(NOT(ISNUMBER(M14)),N(M14)&lt;0)),"Délai de paiement invalide","OK"))))))))</f>
        <v/>
      </c>
      <c r="Q14" s="62" t="str">
        <f>IF(A14="","",ROUND(SUMIFS(fa_ht,fa_client,A14,fa_year,db_year)*100,0))</f>
        <v/>
      </c>
      <c r="R14" s="62" t="str">
        <f>IF(N(Q14)&lt;=0,"",COUNTIF($Q$6:$Q$305,"&gt;"&amp;Q14)+COUNTIF($Q$6:Q14,Q14))</f>
        <v/>
      </c>
      <c r="S14" s="62" t="str">
        <f>IF(A14="","",ROUND(SUMIFS(fa_reste,fa_client,A14,fa_reste,"&gt;0")*100,0))</f>
        <v/>
      </c>
      <c r="T14" s="62" t="str">
        <f>IF(N(S14)&lt;=0,"",COUNTIF($S$6:$S$305,"&gt;"&amp;S14)+COUNTIF($S$6:S14,S14))</f>
        <v/>
      </c>
    </row>
    <row r="15">
      <c r="A15" s="60" t="n"/>
      <c r="B15" s="63" t="n"/>
      <c r="C15" s="60" t="n"/>
      <c r="D15" s="63" t="n"/>
      <c r="E15" s="63" t="n"/>
      <c r="F15" s="60" t="n"/>
      <c r="G15" s="143" t="n"/>
      <c r="H15" s="143" t="n"/>
      <c r="I15" s="63" t="n"/>
      <c r="J15" s="63" t="n"/>
      <c r="K15" s="63" t="n"/>
      <c r="L15" s="63" t="n"/>
      <c r="M15" s="144" t="n"/>
      <c r="N15" s="65" t="str">
        <f>IF(A15="","",SUMIF(fa_client,A15,fa_ht))</f>
        <v/>
      </c>
      <c r="O15" s="65" t="str">
        <f>IF(A15="","",SUMIF(fa_client,A15,fa_reste))</f>
        <v/>
      </c>
      <c r="P15" s="59" t="str">
        <f>IF(COUNTA(A15:M15)=0,"",IF(A15="","Code manquant",IF(COUNTIF(cli_code,A15)&gt;1,"Code en double",IF(B15="","Nom manquant",IF(AND(p_country="Maroc",C15&lt;&gt;"Particulier",OR(F15="",F15="Maroc"),G15=""),"ICE manquant (client professionnel)",IF(AND(G15&lt;&gt;"",NOT(AND(LEN(G15&amp;"")=15,SUBSTITUTE(SUBSTITUTE(SUBSTITUTE(SUBSTITUTE(SUBSTITUTE(SUBSTITUTE(SUBSTITUTE(SUBSTITUTE(SUBSTITUTE(SUBSTITUTE(G15&amp;"","0",""),"1",""),"2",""),"3",""),"4",""),"5",""),"6",""),"7",""),"8",""),"9","")=""))),"ICE : 15 chiffres attendus",IF(AND(H15&lt;&gt;"",NOT(AND(LEN(H15&amp;"")=9,SUBSTITUTE(SUBSTITUTE(SUBSTITUTE(SUBSTITUTE(SUBSTITUTE(SUBSTITUTE(SUBSTITUTE(SUBSTITUTE(SUBSTITUTE(SUBSTITUTE(H15&amp;"","0",""),"1",""),"2",""),"3",""),"4",""),"5",""),"6",""),"7",""),"8",""),"9","")=""))),"SIREN : 9 chiffres attendus",IF(AND(M15&lt;&gt;"",OR(NOT(ISNUMBER(M15)),N(M15)&lt;0)),"Délai de paiement invalide","OK"))))))))</f>
        <v/>
      </c>
      <c r="Q15" s="62" t="str">
        <f>IF(A15="","",ROUND(SUMIFS(fa_ht,fa_client,A15,fa_year,db_year)*100,0))</f>
        <v/>
      </c>
      <c r="R15" s="62" t="str">
        <f>IF(N(Q15)&lt;=0,"",COUNTIF($Q$6:$Q$305,"&gt;"&amp;Q15)+COUNTIF($Q$6:Q15,Q15))</f>
        <v/>
      </c>
      <c r="S15" s="62" t="str">
        <f>IF(A15="","",ROUND(SUMIFS(fa_reste,fa_client,A15,fa_reste,"&gt;0")*100,0))</f>
        <v/>
      </c>
      <c r="T15" s="62" t="str">
        <f>IF(N(S15)&lt;=0,"",COUNTIF($S$6:$S$305,"&gt;"&amp;S15)+COUNTIF($S$6:S15,S15))</f>
        <v/>
      </c>
    </row>
    <row r="16">
      <c r="A16" s="60" t="n"/>
      <c r="B16" s="63" t="n"/>
      <c r="C16" s="60" t="n"/>
      <c r="D16" s="63" t="n"/>
      <c r="E16" s="63" t="n"/>
      <c r="F16" s="60" t="n"/>
      <c r="G16" s="143" t="n"/>
      <c r="H16" s="143" t="n"/>
      <c r="I16" s="63" t="n"/>
      <c r="J16" s="63" t="n"/>
      <c r="K16" s="63" t="n"/>
      <c r="L16" s="63" t="n"/>
      <c r="M16" s="144" t="n"/>
      <c r="N16" s="65" t="str">
        <f>IF(A16="","",SUMIF(fa_client,A16,fa_ht))</f>
        <v/>
      </c>
      <c r="O16" s="65" t="str">
        <f>IF(A16="","",SUMIF(fa_client,A16,fa_reste))</f>
        <v/>
      </c>
      <c r="P16" s="59" t="str">
        <f>IF(COUNTA(A16:M16)=0,"",IF(A16="","Code manquant",IF(COUNTIF(cli_code,A16)&gt;1,"Code en double",IF(B16="","Nom manquant",IF(AND(p_country="Maroc",C16&lt;&gt;"Particulier",OR(F16="",F16="Maroc"),G16=""),"ICE manquant (client professionnel)",IF(AND(G16&lt;&gt;"",NOT(AND(LEN(G16&amp;"")=15,SUBSTITUTE(SUBSTITUTE(SUBSTITUTE(SUBSTITUTE(SUBSTITUTE(SUBSTITUTE(SUBSTITUTE(SUBSTITUTE(SUBSTITUTE(SUBSTITUTE(G16&amp;"","0",""),"1",""),"2",""),"3",""),"4",""),"5",""),"6",""),"7",""),"8",""),"9","")=""))),"ICE : 15 chiffres attendus",IF(AND(H16&lt;&gt;"",NOT(AND(LEN(H16&amp;"")=9,SUBSTITUTE(SUBSTITUTE(SUBSTITUTE(SUBSTITUTE(SUBSTITUTE(SUBSTITUTE(SUBSTITUTE(SUBSTITUTE(SUBSTITUTE(SUBSTITUTE(H16&amp;"","0",""),"1",""),"2",""),"3",""),"4",""),"5",""),"6",""),"7",""),"8",""),"9","")=""))),"SIREN : 9 chiffres attendus",IF(AND(M16&lt;&gt;"",OR(NOT(ISNUMBER(M16)),N(M16)&lt;0)),"Délai de paiement invalide","OK"))))))))</f>
        <v/>
      </c>
      <c r="Q16" s="62" t="str">
        <f>IF(A16="","",ROUND(SUMIFS(fa_ht,fa_client,A16,fa_year,db_year)*100,0))</f>
        <v/>
      </c>
      <c r="R16" s="62" t="str">
        <f>IF(N(Q16)&lt;=0,"",COUNTIF($Q$6:$Q$305,"&gt;"&amp;Q16)+COUNTIF($Q$6:Q16,Q16))</f>
        <v/>
      </c>
      <c r="S16" s="62" t="str">
        <f>IF(A16="","",ROUND(SUMIFS(fa_reste,fa_client,A16,fa_reste,"&gt;0")*100,0))</f>
        <v/>
      </c>
      <c r="T16" s="62" t="str">
        <f>IF(N(S16)&lt;=0,"",COUNTIF($S$6:$S$305,"&gt;"&amp;S16)+COUNTIF($S$6:S16,S16))</f>
        <v/>
      </c>
    </row>
    <row r="17">
      <c r="A17" s="60" t="n"/>
      <c r="B17" s="63" t="n"/>
      <c r="C17" s="60" t="n"/>
      <c r="D17" s="63" t="n"/>
      <c r="E17" s="63" t="n"/>
      <c r="F17" s="60" t="n"/>
      <c r="G17" s="143" t="n"/>
      <c r="H17" s="143" t="n"/>
      <c r="I17" s="63" t="n"/>
      <c r="J17" s="63" t="n"/>
      <c r="K17" s="63" t="n"/>
      <c r="L17" s="63" t="n"/>
      <c r="M17" s="144" t="n"/>
      <c r="N17" s="65" t="str">
        <f>IF(A17="","",SUMIF(fa_client,A17,fa_ht))</f>
        <v/>
      </c>
      <c r="O17" s="65" t="str">
        <f>IF(A17="","",SUMIF(fa_client,A17,fa_reste))</f>
        <v/>
      </c>
      <c r="P17" s="59" t="str">
        <f>IF(COUNTA(A17:M17)=0,"",IF(A17="","Code manquant",IF(COUNTIF(cli_code,A17)&gt;1,"Code en double",IF(B17="","Nom manquant",IF(AND(p_country="Maroc",C17&lt;&gt;"Particulier",OR(F17="",F17="Maroc"),G17=""),"ICE manquant (client professionnel)",IF(AND(G17&lt;&gt;"",NOT(AND(LEN(G17&amp;"")=15,SUBSTITUTE(SUBSTITUTE(SUBSTITUTE(SUBSTITUTE(SUBSTITUTE(SUBSTITUTE(SUBSTITUTE(SUBSTITUTE(SUBSTITUTE(SUBSTITUTE(G17&amp;"","0",""),"1",""),"2",""),"3",""),"4",""),"5",""),"6",""),"7",""),"8",""),"9","")=""))),"ICE : 15 chiffres attendus",IF(AND(H17&lt;&gt;"",NOT(AND(LEN(H17&amp;"")=9,SUBSTITUTE(SUBSTITUTE(SUBSTITUTE(SUBSTITUTE(SUBSTITUTE(SUBSTITUTE(SUBSTITUTE(SUBSTITUTE(SUBSTITUTE(SUBSTITUTE(H17&amp;"","0",""),"1",""),"2",""),"3",""),"4",""),"5",""),"6",""),"7",""),"8",""),"9","")=""))),"SIREN : 9 chiffres attendus",IF(AND(M17&lt;&gt;"",OR(NOT(ISNUMBER(M17)),N(M17)&lt;0)),"Délai de paiement invalide","OK"))))))))</f>
        <v/>
      </c>
      <c r="Q17" s="62" t="str">
        <f>IF(A17="","",ROUND(SUMIFS(fa_ht,fa_client,A17,fa_year,db_year)*100,0))</f>
        <v/>
      </c>
      <c r="R17" s="62" t="str">
        <f>IF(N(Q17)&lt;=0,"",COUNTIF($Q$6:$Q$305,"&gt;"&amp;Q17)+COUNTIF($Q$6:Q17,Q17))</f>
        <v/>
      </c>
      <c r="S17" s="62" t="str">
        <f>IF(A17="","",ROUND(SUMIFS(fa_reste,fa_client,A17,fa_reste,"&gt;0")*100,0))</f>
        <v/>
      </c>
      <c r="T17" s="62" t="str">
        <f>IF(N(S17)&lt;=0,"",COUNTIF($S$6:$S$305,"&gt;"&amp;S17)+COUNTIF($S$6:S17,S17))</f>
        <v/>
      </c>
    </row>
    <row r="18">
      <c r="A18" s="60" t="n"/>
      <c r="B18" s="63" t="n"/>
      <c r="C18" s="60" t="n"/>
      <c r="D18" s="63" t="n"/>
      <c r="E18" s="63" t="n"/>
      <c r="F18" s="60" t="n"/>
      <c r="G18" s="143" t="n"/>
      <c r="H18" s="143" t="n"/>
      <c r="I18" s="63" t="n"/>
      <c r="J18" s="63" t="n"/>
      <c r="K18" s="63" t="n"/>
      <c r="L18" s="63" t="n"/>
      <c r="M18" s="144" t="n"/>
      <c r="N18" s="65" t="str">
        <f>IF(A18="","",SUMIF(fa_client,A18,fa_ht))</f>
        <v/>
      </c>
      <c r="O18" s="65" t="str">
        <f>IF(A18="","",SUMIF(fa_client,A18,fa_reste))</f>
        <v/>
      </c>
      <c r="P18" s="59" t="str">
        <f>IF(COUNTA(A18:M18)=0,"",IF(A18="","Code manquant",IF(COUNTIF(cli_code,A18)&gt;1,"Code en double",IF(B18="","Nom manquant",IF(AND(p_country="Maroc",C18&lt;&gt;"Particulier",OR(F18="",F18="Maroc"),G18=""),"ICE manquant (client professionnel)",IF(AND(G18&lt;&gt;"",NOT(AND(LEN(G18&amp;"")=15,SUBSTITUTE(SUBSTITUTE(SUBSTITUTE(SUBSTITUTE(SUBSTITUTE(SUBSTITUTE(SUBSTITUTE(SUBSTITUTE(SUBSTITUTE(SUBSTITUTE(G18&amp;"","0",""),"1",""),"2",""),"3",""),"4",""),"5",""),"6",""),"7",""),"8",""),"9","")=""))),"ICE : 15 chiffres attendus",IF(AND(H18&lt;&gt;"",NOT(AND(LEN(H18&amp;"")=9,SUBSTITUTE(SUBSTITUTE(SUBSTITUTE(SUBSTITUTE(SUBSTITUTE(SUBSTITUTE(SUBSTITUTE(SUBSTITUTE(SUBSTITUTE(SUBSTITUTE(H18&amp;"","0",""),"1",""),"2",""),"3",""),"4",""),"5",""),"6",""),"7",""),"8",""),"9","")=""))),"SIREN : 9 chiffres attendus",IF(AND(M18&lt;&gt;"",OR(NOT(ISNUMBER(M18)),N(M18)&lt;0)),"Délai de paiement invalide","OK"))))))))</f>
        <v/>
      </c>
      <c r="Q18" s="62" t="str">
        <f>IF(A18="","",ROUND(SUMIFS(fa_ht,fa_client,A18,fa_year,db_year)*100,0))</f>
        <v/>
      </c>
      <c r="R18" s="62" t="str">
        <f>IF(N(Q18)&lt;=0,"",COUNTIF($Q$6:$Q$305,"&gt;"&amp;Q18)+COUNTIF($Q$6:Q18,Q18))</f>
        <v/>
      </c>
      <c r="S18" s="62" t="str">
        <f>IF(A18="","",ROUND(SUMIFS(fa_reste,fa_client,A18,fa_reste,"&gt;0")*100,0))</f>
        <v/>
      </c>
      <c r="T18" s="62" t="str">
        <f>IF(N(S18)&lt;=0,"",COUNTIF($S$6:$S$305,"&gt;"&amp;S18)+COUNTIF($S$6:S18,S18))</f>
        <v/>
      </c>
    </row>
    <row r="19">
      <c r="A19" s="60" t="n"/>
      <c r="B19" s="63" t="n"/>
      <c r="C19" s="60" t="n"/>
      <c r="D19" s="63" t="n"/>
      <c r="E19" s="63" t="n"/>
      <c r="F19" s="60" t="n"/>
      <c r="G19" s="143" t="n"/>
      <c r="H19" s="143" t="n"/>
      <c r="I19" s="63" t="n"/>
      <c r="J19" s="63" t="n"/>
      <c r="K19" s="63" t="n"/>
      <c r="L19" s="63" t="n"/>
      <c r="M19" s="144" t="n"/>
      <c r="N19" s="65" t="str">
        <f>IF(A19="","",SUMIF(fa_client,A19,fa_ht))</f>
        <v/>
      </c>
      <c r="O19" s="65" t="str">
        <f>IF(A19="","",SUMIF(fa_client,A19,fa_reste))</f>
        <v/>
      </c>
      <c r="P19" s="59" t="str">
        <f>IF(COUNTA(A19:M19)=0,"",IF(A19="","Code manquant",IF(COUNTIF(cli_code,A19)&gt;1,"Code en double",IF(B19="","Nom manquant",IF(AND(p_country="Maroc",C19&lt;&gt;"Particulier",OR(F19="",F19="Maroc"),G19=""),"ICE manquant (client professionnel)",IF(AND(G19&lt;&gt;"",NOT(AND(LEN(G19&amp;"")=15,SUBSTITUTE(SUBSTITUTE(SUBSTITUTE(SUBSTITUTE(SUBSTITUTE(SUBSTITUTE(SUBSTITUTE(SUBSTITUTE(SUBSTITUTE(SUBSTITUTE(G19&amp;"","0",""),"1",""),"2",""),"3",""),"4",""),"5",""),"6",""),"7",""),"8",""),"9","")=""))),"ICE : 15 chiffres attendus",IF(AND(H19&lt;&gt;"",NOT(AND(LEN(H19&amp;"")=9,SUBSTITUTE(SUBSTITUTE(SUBSTITUTE(SUBSTITUTE(SUBSTITUTE(SUBSTITUTE(SUBSTITUTE(SUBSTITUTE(SUBSTITUTE(SUBSTITUTE(H19&amp;"","0",""),"1",""),"2",""),"3",""),"4",""),"5",""),"6",""),"7",""),"8",""),"9","")=""))),"SIREN : 9 chiffres attendus",IF(AND(M19&lt;&gt;"",OR(NOT(ISNUMBER(M19)),N(M19)&lt;0)),"Délai de paiement invalide","OK"))))))))</f>
        <v/>
      </c>
      <c r="Q19" s="62" t="str">
        <f>IF(A19="","",ROUND(SUMIFS(fa_ht,fa_client,A19,fa_year,db_year)*100,0))</f>
        <v/>
      </c>
      <c r="R19" s="62" t="str">
        <f>IF(N(Q19)&lt;=0,"",COUNTIF($Q$6:$Q$305,"&gt;"&amp;Q19)+COUNTIF($Q$6:Q19,Q19))</f>
        <v/>
      </c>
      <c r="S19" s="62" t="str">
        <f>IF(A19="","",ROUND(SUMIFS(fa_reste,fa_client,A19,fa_reste,"&gt;0")*100,0))</f>
        <v/>
      </c>
      <c r="T19" s="62" t="str">
        <f>IF(N(S19)&lt;=0,"",COUNTIF($S$6:$S$305,"&gt;"&amp;S19)+COUNTIF($S$6:S19,S19))</f>
        <v/>
      </c>
    </row>
    <row r="20">
      <c r="A20" s="60" t="n"/>
      <c r="B20" s="63" t="n"/>
      <c r="C20" s="60" t="n"/>
      <c r="D20" s="63" t="n"/>
      <c r="E20" s="63" t="n"/>
      <c r="F20" s="60" t="n"/>
      <c r="G20" s="143" t="n"/>
      <c r="H20" s="143" t="n"/>
      <c r="I20" s="63" t="n"/>
      <c r="J20" s="63" t="n"/>
      <c r="K20" s="63" t="n"/>
      <c r="L20" s="63" t="n"/>
      <c r="M20" s="144" t="n"/>
      <c r="N20" s="65" t="str">
        <f>IF(A20="","",SUMIF(fa_client,A20,fa_ht))</f>
        <v/>
      </c>
      <c r="O20" s="65" t="str">
        <f>IF(A20="","",SUMIF(fa_client,A20,fa_reste))</f>
        <v/>
      </c>
      <c r="P20" s="59" t="str">
        <f>IF(COUNTA(A20:M20)=0,"",IF(A20="","Code manquant",IF(COUNTIF(cli_code,A20)&gt;1,"Code en double",IF(B20="","Nom manquant",IF(AND(p_country="Maroc",C20&lt;&gt;"Particulier",OR(F20="",F20="Maroc"),G20=""),"ICE manquant (client professionnel)",IF(AND(G20&lt;&gt;"",NOT(AND(LEN(G20&amp;"")=15,SUBSTITUTE(SUBSTITUTE(SUBSTITUTE(SUBSTITUTE(SUBSTITUTE(SUBSTITUTE(SUBSTITUTE(SUBSTITUTE(SUBSTITUTE(SUBSTITUTE(G20&amp;"","0",""),"1",""),"2",""),"3",""),"4",""),"5",""),"6",""),"7",""),"8",""),"9","")=""))),"ICE : 15 chiffres attendus",IF(AND(H20&lt;&gt;"",NOT(AND(LEN(H20&amp;"")=9,SUBSTITUTE(SUBSTITUTE(SUBSTITUTE(SUBSTITUTE(SUBSTITUTE(SUBSTITUTE(SUBSTITUTE(SUBSTITUTE(SUBSTITUTE(SUBSTITUTE(H20&amp;"","0",""),"1",""),"2",""),"3",""),"4",""),"5",""),"6",""),"7",""),"8",""),"9","")=""))),"SIREN : 9 chiffres attendus",IF(AND(M20&lt;&gt;"",OR(NOT(ISNUMBER(M20)),N(M20)&lt;0)),"Délai de paiement invalide","OK"))))))))</f>
        <v/>
      </c>
      <c r="Q20" s="62" t="str">
        <f>IF(A20="","",ROUND(SUMIFS(fa_ht,fa_client,A20,fa_year,db_year)*100,0))</f>
        <v/>
      </c>
      <c r="R20" s="62" t="str">
        <f>IF(N(Q20)&lt;=0,"",COUNTIF($Q$6:$Q$305,"&gt;"&amp;Q20)+COUNTIF($Q$6:Q20,Q20))</f>
        <v/>
      </c>
      <c r="S20" s="62" t="str">
        <f>IF(A20="","",ROUND(SUMIFS(fa_reste,fa_client,A20,fa_reste,"&gt;0")*100,0))</f>
        <v/>
      </c>
      <c r="T20" s="62" t="str">
        <f>IF(N(S20)&lt;=0,"",COUNTIF($S$6:$S$305,"&gt;"&amp;S20)+COUNTIF($S$6:S20,S20))</f>
        <v/>
      </c>
    </row>
    <row r="21">
      <c r="A21" s="60" t="n"/>
      <c r="B21" s="63" t="n"/>
      <c r="C21" s="60" t="n"/>
      <c r="D21" s="63" t="n"/>
      <c r="E21" s="63" t="n"/>
      <c r="F21" s="60" t="n"/>
      <c r="G21" s="143" t="n"/>
      <c r="H21" s="143" t="n"/>
      <c r="I21" s="63" t="n"/>
      <c r="J21" s="63" t="n"/>
      <c r="K21" s="63" t="n"/>
      <c r="L21" s="63" t="n"/>
      <c r="M21" s="144" t="n"/>
      <c r="N21" s="65" t="str">
        <f>IF(A21="","",SUMIF(fa_client,A21,fa_ht))</f>
        <v/>
      </c>
      <c r="O21" s="65" t="str">
        <f>IF(A21="","",SUMIF(fa_client,A21,fa_reste))</f>
        <v/>
      </c>
      <c r="P21" s="59" t="str">
        <f>IF(COUNTA(A21:M21)=0,"",IF(A21="","Code manquant",IF(COUNTIF(cli_code,A21)&gt;1,"Code en double",IF(B21="","Nom manquant",IF(AND(p_country="Maroc",C21&lt;&gt;"Particulier",OR(F21="",F21="Maroc"),G21=""),"ICE manquant (client professionnel)",IF(AND(G21&lt;&gt;"",NOT(AND(LEN(G21&amp;"")=15,SUBSTITUTE(SUBSTITUTE(SUBSTITUTE(SUBSTITUTE(SUBSTITUTE(SUBSTITUTE(SUBSTITUTE(SUBSTITUTE(SUBSTITUTE(SUBSTITUTE(G21&amp;"","0",""),"1",""),"2",""),"3",""),"4",""),"5",""),"6",""),"7",""),"8",""),"9","")=""))),"ICE : 15 chiffres attendus",IF(AND(H21&lt;&gt;"",NOT(AND(LEN(H21&amp;"")=9,SUBSTITUTE(SUBSTITUTE(SUBSTITUTE(SUBSTITUTE(SUBSTITUTE(SUBSTITUTE(SUBSTITUTE(SUBSTITUTE(SUBSTITUTE(SUBSTITUTE(H21&amp;"","0",""),"1",""),"2",""),"3",""),"4",""),"5",""),"6",""),"7",""),"8",""),"9","")=""))),"SIREN : 9 chiffres attendus",IF(AND(M21&lt;&gt;"",OR(NOT(ISNUMBER(M21)),N(M21)&lt;0)),"Délai de paiement invalide","OK"))))))))</f>
        <v/>
      </c>
      <c r="Q21" s="62" t="str">
        <f>IF(A21="","",ROUND(SUMIFS(fa_ht,fa_client,A21,fa_year,db_year)*100,0))</f>
        <v/>
      </c>
      <c r="R21" s="62" t="str">
        <f>IF(N(Q21)&lt;=0,"",COUNTIF($Q$6:$Q$305,"&gt;"&amp;Q21)+COUNTIF($Q$6:Q21,Q21))</f>
        <v/>
      </c>
      <c r="S21" s="62" t="str">
        <f>IF(A21="","",ROUND(SUMIFS(fa_reste,fa_client,A21,fa_reste,"&gt;0")*100,0))</f>
        <v/>
      </c>
      <c r="T21" s="62" t="str">
        <f>IF(N(S21)&lt;=0,"",COUNTIF($S$6:$S$305,"&gt;"&amp;S21)+COUNTIF($S$6:S21,S21))</f>
        <v/>
      </c>
    </row>
    <row r="22">
      <c r="A22" s="60" t="n"/>
      <c r="B22" s="63" t="n"/>
      <c r="C22" s="60" t="n"/>
      <c r="D22" s="63" t="n"/>
      <c r="E22" s="63" t="n"/>
      <c r="F22" s="60" t="n"/>
      <c r="G22" s="143" t="n"/>
      <c r="H22" s="143" t="n"/>
      <c r="I22" s="63" t="n"/>
      <c r="J22" s="63" t="n"/>
      <c r="K22" s="63" t="n"/>
      <c r="L22" s="63" t="n"/>
      <c r="M22" s="144" t="n"/>
      <c r="N22" s="65" t="str">
        <f>IF(A22="","",SUMIF(fa_client,A22,fa_ht))</f>
        <v/>
      </c>
      <c r="O22" s="65" t="str">
        <f>IF(A22="","",SUMIF(fa_client,A22,fa_reste))</f>
        <v/>
      </c>
      <c r="P22" s="59" t="str">
        <f>IF(COUNTA(A22:M22)=0,"",IF(A22="","Code manquant",IF(COUNTIF(cli_code,A22)&gt;1,"Code en double",IF(B22="","Nom manquant",IF(AND(p_country="Maroc",C22&lt;&gt;"Particulier",OR(F22="",F22="Maroc"),G22=""),"ICE manquant (client professionnel)",IF(AND(G22&lt;&gt;"",NOT(AND(LEN(G22&amp;"")=15,SUBSTITUTE(SUBSTITUTE(SUBSTITUTE(SUBSTITUTE(SUBSTITUTE(SUBSTITUTE(SUBSTITUTE(SUBSTITUTE(SUBSTITUTE(SUBSTITUTE(G22&amp;"","0",""),"1",""),"2",""),"3",""),"4",""),"5",""),"6",""),"7",""),"8",""),"9","")=""))),"ICE : 15 chiffres attendus",IF(AND(H22&lt;&gt;"",NOT(AND(LEN(H22&amp;"")=9,SUBSTITUTE(SUBSTITUTE(SUBSTITUTE(SUBSTITUTE(SUBSTITUTE(SUBSTITUTE(SUBSTITUTE(SUBSTITUTE(SUBSTITUTE(SUBSTITUTE(H22&amp;"","0",""),"1",""),"2",""),"3",""),"4",""),"5",""),"6",""),"7",""),"8",""),"9","")=""))),"SIREN : 9 chiffres attendus",IF(AND(M22&lt;&gt;"",OR(NOT(ISNUMBER(M22)),N(M22)&lt;0)),"Délai de paiement invalide","OK"))))))))</f>
        <v/>
      </c>
      <c r="Q22" s="62" t="str">
        <f>IF(A22="","",ROUND(SUMIFS(fa_ht,fa_client,A22,fa_year,db_year)*100,0))</f>
        <v/>
      </c>
      <c r="R22" s="62" t="str">
        <f>IF(N(Q22)&lt;=0,"",COUNTIF($Q$6:$Q$305,"&gt;"&amp;Q22)+COUNTIF($Q$6:Q22,Q22))</f>
        <v/>
      </c>
      <c r="S22" s="62" t="str">
        <f>IF(A22="","",ROUND(SUMIFS(fa_reste,fa_client,A22,fa_reste,"&gt;0")*100,0))</f>
        <v/>
      </c>
      <c r="T22" s="62" t="str">
        <f>IF(N(S22)&lt;=0,"",COUNTIF($S$6:$S$305,"&gt;"&amp;S22)+COUNTIF($S$6:S22,S22))</f>
        <v/>
      </c>
    </row>
    <row r="23">
      <c r="A23" s="60" t="n"/>
      <c r="B23" s="63" t="n"/>
      <c r="C23" s="60" t="n"/>
      <c r="D23" s="63" t="n"/>
      <c r="E23" s="63" t="n"/>
      <c r="F23" s="60" t="n"/>
      <c r="G23" s="143" t="n"/>
      <c r="H23" s="143" t="n"/>
      <c r="I23" s="63" t="n"/>
      <c r="J23" s="63" t="n"/>
      <c r="K23" s="63" t="n"/>
      <c r="L23" s="63" t="n"/>
      <c r="M23" s="144" t="n"/>
      <c r="N23" s="65" t="str">
        <f>IF(A23="","",SUMIF(fa_client,A23,fa_ht))</f>
        <v/>
      </c>
      <c r="O23" s="65" t="str">
        <f>IF(A23="","",SUMIF(fa_client,A23,fa_reste))</f>
        <v/>
      </c>
      <c r="P23" s="59" t="str">
        <f>IF(COUNTA(A23:M23)=0,"",IF(A23="","Code manquant",IF(COUNTIF(cli_code,A23)&gt;1,"Code en double",IF(B23="","Nom manquant",IF(AND(p_country="Maroc",C23&lt;&gt;"Particulier",OR(F23="",F23="Maroc"),G23=""),"ICE manquant (client professionnel)",IF(AND(G23&lt;&gt;"",NOT(AND(LEN(G23&amp;"")=15,SUBSTITUTE(SUBSTITUTE(SUBSTITUTE(SUBSTITUTE(SUBSTITUTE(SUBSTITUTE(SUBSTITUTE(SUBSTITUTE(SUBSTITUTE(SUBSTITUTE(G23&amp;"","0",""),"1",""),"2",""),"3",""),"4",""),"5",""),"6",""),"7",""),"8",""),"9","")=""))),"ICE : 15 chiffres attendus",IF(AND(H23&lt;&gt;"",NOT(AND(LEN(H23&amp;"")=9,SUBSTITUTE(SUBSTITUTE(SUBSTITUTE(SUBSTITUTE(SUBSTITUTE(SUBSTITUTE(SUBSTITUTE(SUBSTITUTE(SUBSTITUTE(SUBSTITUTE(H23&amp;"","0",""),"1",""),"2",""),"3",""),"4",""),"5",""),"6",""),"7",""),"8",""),"9","")=""))),"SIREN : 9 chiffres attendus",IF(AND(M23&lt;&gt;"",OR(NOT(ISNUMBER(M23)),N(M23)&lt;0)),"Délai de paiement invalide","OK"))))))))</f>
        <v/>
      </c>
      <c r="Q23" s="62" t="str">
        <f>IF(A23="","",ROUND(SUMIFS(fa_ht,fa_client,A23,fa_year,db_year)*100,0))</f>
        <v/>
      </c>
      <c r="R23" s="62" t="str">
        <f>IF(N(Q23)&lt;=0,"",COUNTIF($Q$6:$Q$305,"&gt;"&amp;Q23)+COUNTIF($Q$6:Q23,Q23))</f>
        <v/>
      </c>
      <c r="S23" s="62" t="str">
        <f>IF(A23="","",ROUND(SUMIFS(fa_reste,fa_client,A23,fa_reste,"&gt;0")*100,0))</f>
        <v/>
      </c>
      <c r="T23" s="62" t="str">
        <f>IF(N(S23)&lt;=0,"",COUNTIF($S$6:$S$305,"&gt;"&amp;S23)+COUNTIF($S$6:S23,S23))</f>
        <v/>
      </c>
    </row>
    <row r="24">
      <c r="A24" s="60" t="n"/>
      <c r="B24" s="63" t="n"/>
      <c r="C24" s="60" t="n"/>
      <c r="D24" s="63" t="n"/>
      <c r="E24" s="63" t="n"/>
      <c r="F24" s="60" t="n"/>
      <c r="G24" s="143" t="n"/>
      <c r="H24" s="143" t="n"/>
      <c r="I24" s="63" t="n"/>
      <c r="J24" s="63" t="n"/>
      <c r="K24" s="63" t="n"/>
      <c r="L24" s="63" t="n"/>
      <c r="M24" s="144" t="n"/>
      <c r="N24" s="65" t="str">
        <f>IF(A24="","",SUMIF(fa_client,A24,fa_ht))</f>
        <v/>
      </c>
      <c r="O24" s="65" t="str">
        <f>IF(A24="","",SUMIF(fa_client,A24,fa_reste))</f>
        <v/>
      </c>
      <c r="P24" s="59" t="str">
        <f>IF(COUNTA(A24:M24)=0,"",IF(A24="","Code manquant",IF(COUNTIF(cli_code,A24)&gt;1,"Code en double",IF(B24="","Nom manquant",IF(AND(p_country="Maroc",C24&lt;&gt;"Particulier",OR(F24="",F24="Maroc"),G24=""),"ICE manquant (client professionnel)",IF(AND(G24&lt;&gt;"",NOT(AND(LEN(G24&amp;"")=15,SUBSTITUTE(SUBSTITUTE(SUBSTITUTE(SUBSTITUTE(SUBSTITUTE(SUBSTITUTE(SUBSTITUTE(SUBSTITUTE(SUBSTITUTE(SUBSTITUTE(G24&amp;"","0",""),"1",""),"2",""),"3",""),"4",""),"5",""),"6",""),"7",""),"8",""),"9","")=""))),"ICE : 15 chiffres attendus",IF(AND(H24&lt;&gt;"",NOT(AND(LEN(H24&amp;"")=9,SUBSTITUTE(SUBSTITUTE(SUBSTITUTE(SUBSTITUTE(SUBSTITUTE(SUBSTITUTE(SUBSTITUTE(SUBSTITUTE(SUBSTITUTE(SUBSTITUTE(H24&amp;"","0",""),"1",""),"2",""),"3",""),"4",""),"5",""),"6",""),"7",""),"8",""),"9","")=""))),"SIREN : 9 chiffres attendus",IF(AND(M24&lt;&gt;"",OR(NOT(ISNUMBER(M24)),N(M24)&lt;0)),"Délai de paiement invalide","OK"))))))))</f>
        <v/>
      </c>
      <c r="Q24" s="62" t="str">
        <f>IF(A24="","",ROUND(SUMIFS(fa_ht,fa_client,A24,fa_year,db_year)*100,0))</f>
        <v/>
      </c>
      <c r="R24" s="62" t="str">
        <f>IF(N(Q24)&lt;=0,"",COUNTIF($Q$6:$Q$305,"&gt;"&amp;Q24)+COUNTIF($Q$6:Q24,Q24))</f>
        <v/>
      </c>
      <c r="S24" s="62" t="str">
        <f>IF(A24="","",ROUND(SUMIFS(fa_reste,fa_client,A24,fa_reste,"&gt;0")*100,0))</f>
        <v/>
      </c>
      <c r="T24" s="62" t="str">
        <f>IF(N(S24)&lt;=0,"",COUNTIF($S$6:$S$305,"&gt;"&amp;S24)+COUNTIF($S$6:S24,S24))</f>
        <v/>
      </c>
    </row>
    <row r="25">
      <c r="A25" s="60" t="n"/>
      <c r="B25" s="63" t="n"/>
      <c r="C25" s="60" t="n"/>
      <c r="D25" s="63" t="n"/>
      <c r="E25" s="63" t="n"/>
      <c r="F25" s="60" t="n"/>
      <c r="G25" s="143" t="n"/>
      <c r="H25" s="143" t="n"/>
      <c r="I25" s="63" t="n"/>
      <c r="J25" s="63" t="n"/>
      <c r="K25" s="63" t="n"/>
      <c r="L25" s="63" t="n"/>
      <c r="M25" s="144" t="n"/>
      <c r="N25" s="65" t="str">
        <f>IF(A25="","",SUMIF(fa_client,A25,fa_ht))</f>
        <v/>
      </c>
      <c r="O25" s="65" t="str">
        <f>IF(A25="","",SUMIF(fa_client,A25,fa_reste))</f>
        <v/>
      </c>
      <c r="P25" s="59" t="str">
        <f>IF(COUNTA(A25:M25)=0,"",IF(A25="","Code manquant",IF(COUNTIF(cli_code,A25)&gt;1,"Code en double",IF(B25="","Nom manquant",IF(AND(p_country="Maroc",C25&lt;&gt;"Particulier",OR(F25="",F25="Maroc"),G25=""),"ICE manquant (client professionnel)",IF(AND(G25&lt;&gt;"",NOT(AND(LEN(G25&amp;"")=15,SUBSTITUTE(SUBSTITUTE(SUBSTITUTE(SUBSTITUTE(SUBSTITUTE(SUBSTITUTE(SUBSTITUTE(SUBSTITUTE(SUBSTITUTE(SUBSTITUTE(G25&amp;"","0",""),"1",""),"2",""),"3",""),"4",""),"5",""),"6",""),"7",""),"8",""),"9","")=""))),"ICE : 15 chiffres attendus",IF(AND(H25&lt;&gt;"",NOT(AND(LEN(H25&amp;"")=9,SUBSTITUTE(SUBSTITUTE(SUBSTITUTE(SUBSTITUTE(SUBSTITUTE(SUBSTITUTE(SUBSTITUTE(SUBSTITUTE(SUBSTITUTE(SUBSTITUTE(H25&amp;"","0",""),"1",""),"2",""),"3",""),"4",""),"5",""),"6",""),"7",""),"8",""),"9","")=""))),"SIREN : 9 chiffres attendus",IF(AND(M25&lt;&gt;"",OR(NOT(ISNUMBER(M25)),N(M25)&lt;0)),"Délai de paiement invalide","OK"))))))))</f>
        <v/>
      </c>
      <c r="Q25" s="62" t="str">
        <f>IF(A25="","",ROUND(SUMIFS(fa_ht,fa_client,A25,fa_year,db_year)*100,0))</f>
        <v/>
      </c>
      <c r="R25" s="62" t="str">
        <f>IF(N(Q25)&lt;=0,"",COUNTIF($Q$6:$Q$305,"&gt;"&amp;Q25)+COUNTIF($Q$6:Q25,Q25))</f>
        <v/>
      </c>
      <c r="S25" s="62" t="str">
        <f>IF(A25="","",ROUND(SUMIFS(fa_reste,fa_client,A25,fa_reste,"&gt;0")*100,0))</f>
        <v/>
      </c>
      <c r="T25" s="62" t="str">
        <f>IF(N(S25)&lt;=0,"",COUNTIF($S$6:$S$305,"&gt;"&amp;S25)+COUNTIF($S$6:S25,S25))</f>
        <v/>
      </c>
    </row>
    <row r="26">
      <c r="A26" s="60" t="n"/>
      <c r="B26" s="63" t="n"/>
      <c r="C26" s="60" t="n"/>
      <c r="D26" s="63" t="n"/>
      <c r="E26" s="63" t="n"/>
      <c r="F26" s="60" t="n"/>
      <c r="G26" s="143" t="n"/>
      <c r="H26" s="143" t="n"/>
      <c r="I26" s="63" t="n"/>
      <c r="J26" s="63" t="n"/>
      <c r="K26" s="63" t="n"/>
      <c r="L26" s="63" t="n"/>
      <c r="M26" s="144" t="n"/>
      <c r="N26" s="65" t="str">
        <f>IF(A26="","",SUMIF(fa_client,A26,fa_ht))</f>
        <v/>
      </c>
      <c r="O26" s="65" t="str">
        <f>IF(A26="","",SUMIF(fa_client,A26,fa_reste))</f>
        <v/>
      </c>
      <c r="P26" s="59" t="str">
        <f>IF(COUNTA(A26:M26)=0,"",IF(A26="","Code manquant",IF(COUNTIF(cli_code,A26)&gt;1,"Code en double",IF(B26="","Nom manquant",IF(AND(p_country="Maroc",C26&lt;&gt;"Particulier",OR(F26="",F26="Maroc"),G26=""),"ICE manquant (client professionnel)",IF(AND(G26&lt;&gt;"",NOT(AND(LEN(G26&amp;"")=15,SUBSTITUTE(SUBSTITUTE(SUBSTITUTE(SUBSTITUTE(SUBSTITUTE(SUBSTITUTE(SUBSTITUTE(SUBSTITUTE(SUBSTITUTE(SUBSTITUTE(G26&amp;"","0",""),"1",""),"2",""),"3",""),"4",""),"5",""),"6",""),"7",""),"8",""),"9","")=""))),"ICE : 15 chiffres attendus",IF(AND(H26&lt;&gt;"",NOT(AND(LEN(H26&amp;"")=9,SUBSTITUTE(SUBSTITUTE(SUBSTITUTE(SUBSTITUTE(SUBSTITUTE(SUBSTITUTE(SUBSTITUTE(SUBSTITUTE(SUBSTITUTE(SUBSTITUTE(H26&amp;"","0",""),"1",""),"2",""),"3",""),"4",""),"5",""),"6",""),"7",""),"8",""),"9","")=""))),"SIREN : 9 chiffres attendus",IF(AND(M26&lt;&gt;"",OR(NOT(ISNUMBER(M26)),N(M26)&lt;0)),"Délai de paiement invalide","OK"))))))))</f>
        <v/>
      </c>
      <c r="Q26" s="62" t="str">
        <f>IF(A26="","",ROUND(SUMIFS(fa_ht,fa_client,A26,fa_year,db_year)*100,0))</f>
        <v/>
      </c>
      <c r="R26" s="62" t="str">
        <f>IF(N(Q26)&lt;=0,"",COUNTIF($Q$6:$Q$305,"&gt;"&amp;Q26)+COUNTIF($Q$6:Q26,Q26))</f>
        <v/>
      </c>
      <c r="S26" s="62" t="str">
        <f>IF(A26="","",ROUND(SUMIFS(fa_reste,fa_client,A26,fa_reste,"&gt;0")*100,0))</f>
        <v/>
      </c>
      <c r="T26" s="62" t="str">
        <f>IF(N(S26)&lt;=0,"",COUNTIF($S$6:$S$305,"&gt;"&amp;S26)+COUNTIF($S$6:S26,S26))</f>
        <v/>
      </c>
    </row>
    <row r="27">
      <c r="A27" s="60" t="n"/>
      <c r="B27" s="63" t="n"/>
      <c r="C27" s="60" t="n"/>
      <c r="D27" s="63" t="n"/>
      <c r="E27" s="63" t="n"/>
      <c r="F27" s="60" t="n"/>
      <c r="G27" s="143" t="n"/>
      <c r="H27" s="143" t="n"/>
      <c r="I27" s="63" t="n"/>
      <c r="J27" s="63" t="n"/>
      <c r="K27" s="63" t="n"/>
      <c r="L27" s="63" t="n"/>
      <c r="M27" s="144" t="n"/>
      <c r="N27" s="65" t="str">
        <f>IF(A27="","",SUMIF(fa_client,A27,fa_ht))</f>
        <v/>
      </c>
      <c r="O27" s="65" t="str">
        <f>IF(A27="","",SUMIF(fa_client,A27,fa_reste))</f>
        <v/>
      </c>
      <c r="P27" s="59" t="str">
        <f>IF(COUNTA(A27:M27)=0,"",IF(A27="","Code manquant",IF(COUNTIF(cli_code,A27)&gt;1,"Code en double",IF(B27="","Nom manquant",IF(AND(p_country="Maroc",C27&lt;&gt;"Particulier",OR(F27="",F27="Maroc"),G27=""),"ICE manquant (client professionnel)",IF(AND(G27&lt;&gt;"",NOT(AND(LEN(G27&amp;"")=15,SUBSTITUTE(SUBSTITUTE(SUBSTITUTE(SUBSTITUTE(SUBSTITUTE(SUBSTITUTE(SUBSTITUTE(SUBSTITUTE(SUBSTITUTE(SUBSTITUTE(G27&amp;"","0",""),"1",""),"2",""),"3",""),"4",""),"5",""),"6",""),"7",""),"8",""),"9","")=""))),"ICE : 15 chiffres attendus",IF(AND(H27&lt;&gt;"",NOT(AND(LEN(H27&amp;"")=9,SUBSTITUTE(SUBSTITUTE(SUBSTITUTE(SUBSTITUTE(SUBSTITUTE(SUBSTITUTE(SUBSTITUTE(SUBSTITUTE(SUBSTITUTE(SUBSTITUTE(H27&amp;"","0",""),"1",""),"2",""),"3",""),"4",""),"5",""),"6",""),"7",""),"8",""),"9","")=""))),"SIREN : 9 chiffres attendus",IF(AND(M27&lt;&gt;"",OR(NOT(ISNUMBER(M27)),N(M27)&lt;0)),"Délai de paiement invalide","OK"))))))))</f>
        <v/>
      </c>
      <c r="Q27" s="62" t="str">
        <f>IF(A27="","",ROUND(SUMIFS(fa_ht,fa_client,A27,fa_year,db_year)*100,0))</f>
        <v/>
      </c>
      <c r="R27" s="62" t="str">
        <f>IF(N(Q27)&lt;=0,"",COUNTIF($Q$6:$Q$305,"&gt;"&amp;Q27)+COUNTIF($Q$6:Q27,Q27))</f>
        <v/>
      </c>
      <c r="S27" s="62" t="str">
        <f>IF(A27="","",ROUND(SUMIFS(fa_reste,fa_client,A27,fa_reste,"&gt;0")*100,0))</f>
        <v/>
      </c>
      <c r="T27" s="62" t="str">
        <f>IF(N(S27)&lt;=0,"",COUNTIF($S$6:$S$305,"&gt;"&amp;S27)+COUNTIF($S$6:S27,S27))</f>
        <v/>
      </c>
    </row>
    <row r="28">
      <c r="A28" s="60" t="n"/>
      <c r="B28" s="63" t="n"/>
      <c r="C28" s="60" t="n"/>
      <c r="D28" s="63" t="n"/>
      <c r="E28" s="63" t="n"/>
      <c r="F28" s="60" t="n"/>
      <c r="G28" s="143" t="n"/>
      <c r="H28" s="143" t="n"/>
      <c r="I28" s="63" t="n"/>
      <c r="J28" s="63" t="n"/>
      <c r="K28" s="63" t="n"/>
      <c r="L28" s="63" t="n"/>
      <c r="M28" s="144" t="n"/>
      <c r="N28" s="65" t="str">
        <f>IF(A28="","",SUMIF(fa_client,A28,fa_ht))</f>
        <v/>
      </c>
      <c r="O28" s="65" t="str">
        <f>IF(A28="","",SUMIF(fa_client,A28,fa_reste))</f>
        <v/>
      </c>
      <c r="P28" s="59" t="str">
        <f>IF(COUNTA(A28:M28)=0,"",IF(A28="","Code manquant",IF(COUNTIF(cli_code,A28)&gt;1,"Code en double",IF(B28="","Nom manquant",IF(AND(p_country="Maroc",C28&lt;&gt;"Particulier",OR(F28="",F28="Maroc"),G28=""),"ICE manquant (client professionnel)",IF(AND(G28&lt;&gt;"",NOT(AND(LEN(G28&amp;"")=15,SUBSTITUTE(SUBSTITUTE(SUBSTITUTE(SUBSTITUTE(SUBSTITUTE(SUBSTITUTE(SUBSTITUTE(SUBSTITUTE(SUBSTITUTE(SUBSTITUTE(G28&amp;"","0",""),"1",""),"2",""),"3",""),"4",""),"5",""),"6",""),"7",""),"8",""),"9","")=""))),"ICE : 15 chiffres attendus",IF(AND(H28&lt;&gt;"",NOT(AND(LEN(H28&amp;"")=9,SUBSTITUTE(SUBSTITUTE(SUBSTITUTE(SUBSTITUTE(SUBSTITUTE(SUBSTITUTE(SUBSTITUTE(SUBSTITUTE(SUBSTITUTE(SUBSTITUTE(H28&amp;"","0",""),"1",""),"2",""),"3",""),"4",""),"5",""),"6",""),"7",""),"8",""),"9","")=""))),"SIREN : 9 chiffres attendus",IF(AND(M28&lt;&gt;"",OR(NOT(ISNUMBER(M28)),N(M28)&lt;0)),"Délai de paiement invalide","OK"))))))))</f>
        <v/>
      </c>
      <c r="Q28" s="62" t="str">
        <f>IF(A28="","",ROUND(SUMIFS(fa_ht,fa_client,A28,fa_year,db_year)*100,0))</f>
        <v/>
      </c>
      <c r="R28" s="62" t="str">
        <f>IF(N(Q28)&lt;=0,"",COUNTIF($Q$6:$Q$305,"&gt;"&amp;Q28)+COUNTIF($Q$6:Q28,Q28))</f>
        <v/>
      </c>
      <c r="S28" s="62" t="str">
        <f>IF(A28="","",ROUND(SUMIFS(fa_reste,fa_client,A28,fa_reste,"&gt;0")*100,0))</f>
        <v/>
      </c>
      <c r="T28" s="62" t="str">
        <f>IF(N(S28)&lt;=0,"",COUNTIF($S$6:$S$305,"&gt;"&amp;S28)+COUNTIF($S$6:S28,S28))</f>
        <v/>
      </c>
    </row>
    <row r="29">
      <c r="A29" s="60" t="n"/>
      <c r="B29" s="63" t="n"/>
      <c r="C29" s="60" t="n"/>
      <c r="D29" s="63" t="n"/>
      <c r="E29" s="63" t="n"/>
      <c r="F29" s="60" t="n"/>
      <c r="G29" s="143" t="n"/>
      <c r="H29" s="143" t="n"/>
      <c r="I29" s="63" t="n"/>
      <c r="J29" s="63" t="n"/>
      <c r="K29" s="63" t="n"/>
      <c r="L29" s="63" t="n"/>
      <c r="M29" s="144" t="n"/>
      <c r="N29" s="65" t="str">
        <f>IF(A29="","",SUMIF(fa_client,A29,fa_ht))</f>
        <v/>
      </c>
      <c r="O29" s="65" t="str">
        <f>IF(A29="","",SUMIF(fa_client,A29,fa_reste))</f>
        <v/>
      </c>
      <c r="P29" s="59" t="str">
        <f>IF(COUNTA(A29:M29)=0,"",IF(A29="","Code manquant",IF(COUNTIF(cli_code,A29)&gt;1,"Code en double",IF(B29="","Nom manquant",IF(AND(p_country="Maroc",C29&lt;&gt;"Particulier",OR(F29="",F29="Maroc"),G29=""),"ICE manquant (client professionnel)",IF(AND(G29&lt;&gt;"",NOT(AND(LEN(G29&amp;"")=15,SUBSTITUTE(SUBSTITUTE(SUBSTITUTE(SUBSTITUTE(SUBSTITUTE(SUBSTITUTE(SUBSTITUTE(SUBSTITUTE(SUBSTITUTE(SUBSTITUTE(G29&amp;"","0",""),"1",""),"2",""),"3",""),"4",""),"5",""),"6",""),"7",""),"8",""),"9","")=""))),"ICE : 15 chiffres attendus",IF(AND(H29&lt;&gt;"",NOT(AND(LEN(H29&amp;"")=9,SUBSTITUTE(SUBSTITUTE(SUBSTITUTE(SUBSTITUTE(SUBSTITUTE(SUBSTITUTE(SUBSTITUTE(SUBSTITUTE(SUBSTITUTE(SUBSTITUTE(H29&amp;"","0",""),"1",""),"2",""),"3",""),"4",""),"5",""),"6",""),"7",""),"8",""),"9","")=""))),"SIREN : 9 chiffres attendus",IF(AND(M29&lt;&gt;"",OR(NOT(ISNUMBER(M29)),N(M29)&lt;0)),"Délai de paiement invalide","OK"))))))))</f>
        <v/>
      </c>
      <c r="Q29" s="62" t="str">
        <f>IF(A29="","",ROUND(SUMIFS(fa_ht,fa_client,A29,fa_year,db_year)*100,0))</f>
        <v/>
      </c>
      <c r="R29" s="62" t="str">
        <f>IF(N(Q29)&lt;=0,"",COUNTIF($Q$6:$Q$305,"&gt;"&amp;Q29)+COUNTIF($Q$6:Q29,Q29))</f>
        <v/>
      </c>
      <c r="S29" s="62" t="str">
        <f>IF(A29="","",ROUND(SUMIFS(fa_reste,fa_client,A29,fa_reste,"&gt;0")*100,0))</f>
        <v/>
      </c>
      <c r="T29" s="62" t="str">
        <f>IF(N(S29)&lt;=0,"",COUNTIF($S$6:$S$305,"&gt;"&amp;S29)+COUNTIF($S$6:S29,S29))</f>
        <v/>
      </c>
    </row>
    <row r="30">
      <c r="A30" s="60" t="n"/>
      <c r="B30" s="63" t="n"/>
      <c r="C30" s="60" t="n"/>
      <c r="D30" s="63" t="n"/>
      <c r="E30" s="63" t="n"/>
      <c r="F30" s="60" t="n"/>
      <c r="G30" s="143" t="n"/>
      <c r="H30" s="143" t="n"/>
      <c r="I30" s="63" t="n"/>
      <c r="J30" s="63" t="n"/>
      <c r="K30" s="63" t="n"/>
      <c r="L30" s="63" t="n"/>
      <c r="M30" s="144" t="n"/>
      <c r="N30" s="65" t="str">
        <f>IF(A30="","",SUMIF(fa_client,A30,fa_ht))</f>
        <v/>
      </c>
      <c r="O30" s="65" t="str">
        <f>IF(A30="","",SUMIF(fa_client,A30,fa_reste))</f>
        <v/>
      </c>
      <c r="P30" s="59" t="str">
        <f>IF(COUNTA(A30:M30)=0,"",IF(A30="","Code manquant",IF(COUNTIF(cli_code,A30)&gt;1,"Code en double",IF(B30="","Nom manquant",IF(AND(p_country="Maroc",C30&lt;&gt;"Particulier",OR(F30="",F30="Maroc"),G30=""),"ICE manquant (client professionnel)",IF(AND(G30&lt;&gt;"",NOT(AND(LEN(G30&amp;"")=15,SUBSTITUTE(SUBSTITUTE(SUBSTITUTE(SUBSTITUTE(SUBSTITUTE(SUBSTITUTE(SUBSTITUTE(SUBSTITUTE(SUBSTITUTE(SUBSTITUTE(G30&amp;"","0",""),"1",""),"2",""),"3",""),"4",""),"5",""),"6",""),"7",""),"8",""),"9","")=""))),"ICE : 15 chiffres attendus",IF(AND(H30&lt;&gt;"",NOT(AND(LEN(H30&amp;"")=9,SUBSTITUTE(SUBSTITUTE(SUBSTITUTE(SUBSTITUTE(SUBSTITUTE(SUBSTITUTE(SUBSTITUTE(SUBSTITUTE(SUBSTITUTE(SUBSTITUTE(H30&amp;"","0",""),"1",""),"2",""),"3",""),"4",""),"5",""),"6",""),"7",""),"8",""),"9","")=""))),"SIREN : 9 chiffres attendus",IF(AND(M30&lt;&gt;"",OR(NOT(ISNUMBER(M30)),N(M30)&lt;0)),"Délai de paiement invalide","OK"))))))))</f>
        <v/>
      </c>
      <c r="Q30" s="62" t="str">
        <f>IF(A30="","",ROUND(SUMIFS(fa_ht,fa_client,A30,fa_year,db_year)*100,0))</f>
        <v/>
      </c>
      <c r="R30" s="62" t="str">
        <f>IF(N(Q30)&lt;=0,"",COUNTIF($Q$6:$Q$305,"&gt;"&amp;Q30)+COUNTIF($Q$6:Q30,Q30))</f>
        <v/>
      </c>
      <c r="S30" s="62" t="str">
        <f>IF(A30="","",ROUND(SUMIFS(fa_reste,fa_client,A30,fa_reste,"&gt;0")*100,0))</f>
        <v/>
      </c>
      <c r="T30" s="62" t="str">
        <f>IF(N(S30)&lt;=0,"",COUNTIF($S$6:$S$305,"&gt;"&amp;S30)+COUNTIF($S$6:S30,S30))</f>
        <v/>
      </c>
    </row>
    <row r="31">
      <c r="A31" s="60" t="n"/>
      <c r="B31" s="63" t="n"/>
      <c r="C31" s="60" t="n"/>
      <c r="D31" s="63" t="n"/>
      <c r="E31" s="63" t="n"/>
      <c r="F31" s="60" t="n"/>
      <c r="G31" s="143" t="n"/>
      <c r="H31" s="143" t="n"/>
      <c r="I31" s="63" t="n"/>
      <c r="J31" s="63" t="n"/>
      <c r="K31" s="63" t="n"/>
      <c r="L31" s="63" t="n"/>
      <c r="M31" s="144" t="n"/>
      <c r="N31" s="65" t="str">
        <f>IF(A31="","",SUMIF(fa_client,A31,fa_ht))</f>
        <v/>
      </c>
      <c r="O31" s="65" t="str">
        <f>IF(A31="","",SUMIF(fa_client,A31,fa_reste))</f>
        <v/>
      </c>
      <c r="P31" s="59" t="str">
        <f>IF(COUNTA(A31:M31)=0,"",IF(A31="","Code manquant",IF(COUNTIF(cli_code,A31)&gt;1,"Code en double",IF(B31="","Nom manquant",IF(AND(p_country="Maroc",C31&lt;&gt;"Particulier",OR(F31="",F31="Maroc"),G31=""),"ICE manquant (client professionnel)",IF(AND(G31&lt;&gt;"",NOT(AND(LEN(G31&amp;"")=15,SUBSTITUTE(SUBSTITUTE(SUBSTITUTE(SUBSTITUTE(SUBSTITUTE(SUBSTITUTE(SUBSTITUTE(SUBSTITUTE(SUBSTITUTE(SUBSTITUTE(G31&amp;"","0",""),"1",""),"2",""),"3",""),"4",""),"5",""),"6",""),"7",""),"8",""),"9","")=""))),"ICE : 15 chiffres attendus",IF(AND(H31&lt;&gt;"",NOT(AND(LEN(H31&amp;"")=9,SUBSTITUTE(SUBSTITUTE(SUBSTITUTE(SUBSTITUTE(SUBSTITUTE(SUBSTITUTE(SUBSTITUTE(SUBSTITUTE(SUBSTITUTE(SUBSTITUTE(H31&amp;"","0",""),"1",""),"2",""),"3",""),"4",""),"5",""),"6",""),"7",""),"8",""),"9","")=""))),"SIREN : 9 chiffres attendus",IF(AND(M31&lt;&gt;"",OR(NOT(ISNUMBER(M31)),N(M31)&lt;0)),"Délai de paiement invalide","OK"))))))))</f>
        <v/>
      </c>
      <c r="Q31" s="62" t="str">
        <f>IF(A31="","",ROUND(SUMIFS(fa_ht,fa_client,A31,fa_year,db_year)*100,0))</f>
        <v/>
      </c>
      <c r="R31" s="62" t="str">
        <f>IF(N(Q31)&lt;=0,"",COUNTIF($Q$6:$Q$305,"&gt;"&amp;Q31)+COUNTIF($Q$6:Q31,Q31))</f>
        <v/>
      </c>
      <c r="S31" s="62" t="str">
        <f>IF(A31="","",ROUND(SUMIFS(fa_reste,fa_client,A31,fa_reste,"&gt;0")*100,0))</f>
        <v/>
      </c>
      <c r="T31" s="62" t="str">
        <f>IF(N(S31)&lt;=0,"",COUNTIF($S$6:$S$305,"&gt;"&amp;S31)+COUNTIF($S$6:S31,S31))</f>
        <v/>
      </c>
    </row>
    <row r="32">
      <c r="A32" s="60" t="n"/>
      <c r="B32" s="63" t="n"/>
      <c r="C32" s="60" t="n"/>
      <c r="D32" s="63" t="n"/>
      <c r="E32" s="63" t="n"/>
      <c r="F32" s="60" t="n"/>
      <c r="G32" s="143" t="n"/>
      <c r="H32" s="143" t="n"/>
      <c r="I32" s="63" t="n"/>
      <c r="J32" s="63" t="n"/>
      <c r="K32" s="63" t="n"/>
      <c r="L32" s="63" t="n"/>
      <c r="M32" s="144" t="n"/>
      <c r="N32" s="65" t="str">
        <f>IF(A32="","",SUMIF(fa_client,A32,fa_ht))</f>
        <v/>
      </c>
      <c r="O32" s="65" t="str">
        <f>IF(A32="","",SUMIF(fa_client,A32,fa_reste))</f>
        <v/>
      </c>
      <c r="P32" s="59" t="str">
        <f>IF(COUNTA(A32:M32)=0,"",IF(A32="","Code manquant",IF(COUNTIF(cli_code,A32)&gt;1,"Code en double",IF(B32="","Nom manquant",IF(AND(p_country="Maroc",C32&lt;&gt;"Particulier",OR(F32="",F32="Maroc"),G32=""),"ICE manquant (client professionnel)",IF(AND(G32&lt;&gt;"",NOT(AND(LEN(G32&amp;"")=15,SUBSTITUTE(SUBSTITUTE(SUBSTITUTE(SUBSTITUTE(SUBSTITUTE(SUBSTITUTE(SUBSTITUTE(SUBSTITUTE(SUBSTITUTE(SUBSTITUTE(G32&amp;"","0",""),"1",""),"2",""),"3",""),"4",""),"5",""),"6",""),"7",""),"8",""),"9","")=""))),"ICE : 15 chiffres attendus",IF(AND(H32&lt;&gt;"",NOT(AND(LEN(H32&amp;"")=9,SUBSTITUTE(SUBSTITUTE(SUBSTITUTE(SUBSTITUTE(SUBSTITUTE(SUBSTITUTE(SUBSTITUTE(SUBSTITUTE(SUBSTITUTE(SUBSTITUTE(H32&amp;"","0",""),"1",""),"2",""),"3",""),"4",""),"5",""),"6",""),"7",""),"8",""),"9","")=""))),"SIREN : 9 chiffres attendus",IF(AND(M32&lt;&gt;"",OR(NOT(ISNUMBER(M32)),N(M32)&lt;0)),"Délai de paiement invalide","OK"))))))))</f>
        <v/>
      </c>
      <c r="Q32" s="62" t="str">
        <f>IF(A32="","",ROUND(SUMIFS(fa_ht,fa_client,A32,fa_year,db_year)*100,0))</f>
        <v/>
      </c>
      <c r="R32" s="62" t="str">
        <f>IF(N(Q32)&lt;=0,"",COUNTIF($Q$6:$Q$305,"&gt;"&amp;Q32)+COUNTIF($Q$6:Q32,Q32))</f>
        <v/>
      </c>
      <c r="S32" s="62" t="str">
        <f>IF(A32="","",ROUND(SUMIFS(fa_reste,fa_client,A32,fa_reste,"&gt;0")*100,0))</f>
        <v/>
      </c>
      <c r="T32" s="62" t="str">
        <f>IF(N(S32)&lt;=0,"",COUNTIF($S$6:$S$305,"&gt;"&amp;S32)+COUNTIF($S$6:S32,S32))</f>
        <v/>
      </c>
    </row>
    <row r="33">
      <c r="A33" s="60" t="n"/>
      <c r="B33" s="63" t="n"/>
      <c r="C33" s="60" t="n"/>
      <c r="D33" s="63" t="n"/>
      <c r="E33" s="63" t="n"/>
      <c r="F33" s="60" t="n"/>
      <c r="G33" s="143" t="n"/>
      <c r="H33" s="143" t="n"/>
      <c r="I33" s="63" t="n"/>
      <c r="J33" s="63" t="n"/>
      <c r="K33" s="63" t="n"/>
      <c r="L33" s="63" t="n"/>
      <c r="M33" s="144" t="n"/>
      <c r="N33" s="65" t="str">
        <f>IF(A33="","",SUMIF(fa_client,A33,fa_ht))</f>
        <v/>
      </c>
      <c r="O33" s="65" t="str">
        <f>IF(A33="","",SUMIF(fa_client,A33,fa_reste))</f>
        <v/>
      </c>
      <c r="P33" s="59" t="str">
        <f>IF(COUNTA(A33:M33)=0,"",IF(A33="","Code manquant",IF(COUNTIF(cli_code,A33)&gt;1,"Code en double",IF(B33="","Nom manquant",IF(AND(p_country="Maroc",C33&lt;&gt;"Particulier",OR(F33="",F33="Maroc"),G33=""),"ICE manquant (client professionnel)",IF(AND(G33&lt;&gt;"",NOT(AND(LEN(G33&amp;"")=15,SUBSTITUTE(SUBSTITUTE(SUBSTITUTE(SUBSTITUTE(SUBSTITUTE(SUBSTITUTE(SUBSTITUTE(SUBSTITUTE(SUBSTITUTE(SUBSTITUTE(G33&amp;"","0",""),"1",""),"2",""),"3",""),"4",""),"5",""),"6",""),"7",""),"8",""),"9","")=""))),"ICE : 15 chiffres attendus",IF(AND(H33&lt;&gt;"",NOT(AND(LEN(H33&amp;"")=9,SUBSTITUTE(SUBSTITUTE(SUBSTITUTE(SUBSTITUTE(SUBSTITUTE(SUBSTITUTE(SUBSTITUTE(SUBSTITUTE(SUBSTITUTE(SUBSTITUTE(H33&amp;"","0",""),"1",""),"2",""),"3",""),"4",""),"5",""),"6",""),"7",""),"8",""),"9","")=""))),"SIREN : 9 chiffres attendus",IF(AND(M33&lt;&gt;"",OR(NOT(ISNUMBER(M33)),N(M33)&lt;0)),"Délai de paiement invalide","OK"))))))))</f>
        <v/>
      </c>
      <c r="Q33" s="62" t="str">
        <f>IF(A33="","",ROUND(SUMIFS(fa_ht,fa_client,A33,fa_year,db_year)*100,0))</f>
        <v/>
      </c>
      <c r="R33" s="62" t="str">
        <f>IF(N(Q33)&lt;=0,"",COUNTIF($Q$6:$Q$305,"&gt;"&amp;Q33)+COUNTIF($Q$6:Q33,Q33))</f>
        <v/>
      </c>
      <c r="S33" s="62" t="str">
        <f>IF(A33="","",ROUND(SUMIFS(fa_reste,fa_client,A33,fa_reste,"&gt;0")*100,0))</f>
        <v/>
      </c>
      <c r="T33" s="62" t="str">
        <f>IF(N(S33)&lt;=0,"",COUNTIF($S$6:$S$305,"&gt;"&amp;S33)+COUNTIF($S$6:S33,S33))</f>
        <v/>
      </c>
    </row>
    <row r="34">
      <c r="A34" s="60" t="n"/>
      <c r="B34" s="63" t="n"/>
      <c r="C34" s="60" t="n"/>
      <c r="D34" s="63" t="n"/>
      <c r="E34" s="63" t="n"/>
      <c r="F34" s="60" t="n"/>
      <c r="G34" s="143" t="n"/>
      <c r="H34" s="143" t="n"/>
      <c r="I34" s="63" t="n"/>
      <c r="J34" s="63" t="n"/>
      <c r="K34" s="63" t="n"/>
      <c r="L34" s="63" t="n"/>
      <c r="M34" s="144" t="n"/>
      <c r="N34" s="65" t="str">
        <f>IF(A34="","",SUMIF(fa_client,A34,fa_ht))</f>
        <v/>
      </c>
      <c r="O34" s="65" t="str">
        <f>IF(A34="","",SUMIF(fa_client,A34,fa_reste))</f>
        <v/>
      </c>
      <c r="P34" s="59" t="str">
        <f>IF(COUNTA(A34:M34)=0,"",IF(A34="","Code manquant",IF(COUNTIF(cli_code,A34)&gt;1,"Code en double",IF(B34="","Nom manquant",IF(AND(p_country="Maroc",C34&lt;&gt;"Particulier",OR(F34="",F34="Maroc"),G34=""),"ICE manquant (client professionnel)",IF(AND(G34&lt;&gt;"",NOT(AND(LEN(G34&amp;"")=15,SUBSTITUTE(SUBSTITUTE(SUBSTITUTE(SUBSTITUTE(SUBSTITUTE(SUBSTITUTE(SUBSTITUTE(SUBSTITUTE(SUBSTITUTE(SUBSTITUTE(G34&amp;"","0",""),"1",""),"2",""),"3",""),"4",""),"5",""),"6",""),"7",""),"8",""),"9","")=""))),"ICE : 15 chiffres attendus",IF(AND(H34&lt;&gt;"",NOT(AND(LEN(H34&amp;"")=9,SUBSTITUTE(SUBSTITUTE(SUBSTITUTE(SUBSTITUTE(SUBSTITUTE(SUBSTITUTE(SUBSTITUTE(SUBSTITUTE(SUBSTITUTE(SUBSTITUTE(H34&amp;"","0",""),"1",""),"2",""),"3",""),"4",""),"5",""),"6",""),"7",""),"8",""),"9","")=""))),"SIREN : 9 chiffres attendus",IF(AND(M34&lt;&gt;"",OR(NOT(ISNUMBER(M34)),N(M34)&lt;0)),"Délai de paiement invalide","OK"))))))))</f>
        <v/>
      </c>
      <c r="Q34" s="62" t="str">
        <f>IF(A34="","",ROUND(SUMIFS(fa_ht,fa_client,A34,fa_year,db_year)*100,0))</f>
        <v/>
      </c>
      <c r="R34" s="62" t="str">
        <f>IF(N(Q34)&lt;=0,"",COUNTIF($Q$6:$Q$305,"&gt;"&amp;Q34)+COUNTIF($Q$6:Q34,Q34))</f>
        <v/>
      </c>
      <c r="S34" s="62" t="str">
        <f>IF(A34="","",ROUND(SUMIFS(fa_reste,fa_client,A34,fa_reste,"&gt;0")*100,0))</f>
        <v/>
      </c>
      <c r="T34" s="62" t="str">
        <f>IF(N(S34)&lt;=0,"",COUNTIF($S$6:$S$305,"&gt;"&amp;S34)+COUNTIF($S$6:S34,S34))</f>
        <v/>
      </c>
    </row>
    <row r="35">
      <c r="A35" s="60" t="n"/>
      <c r="B35" s="63" t="n"/>
      <c r="C35" s="60" t="n"/>
      <c r="D35" s="63" t="n"/>
      <c r="E35" s="63" t="n"/>
      <c r="F35" s="60" t="n"/>
      <c r="G35" s="143" t="n"/>
      <c r="H35" s="143" t="n"/>
      <c r="I35" s="63" t="n"/>
      <c r="J35" s="63" t="n"/>
      <c r="K35" s="63" t="n"/>
      <c r="L35" s="63" t="n"/>
      <c r="M35" s="144" t="n"/>
      <c r="N35" s="65" t="str">
        <f>IF(A35="","",SUMIF(fa_client,A35,fa_ht))</f>
        <v/>
      </c>
      <c r="O35" s="65" t="str">
        <f>IF(A35="","",SUMIF(fa_client,A35,fa_reste))</f>
        <v/>
      </c>
      <c r="P35" s="59" t="str">
        <f>IF(COUNTA(A35:M35)=0,"",IF(A35="","Code manquant",IF(COUNTIF(cli_code,A35)&gt;1,"Code en double",IF(B35="","Nom manquant",IF(AND(p_country="Maroc",C35&lt;&gt;"Particulier",OR(F35="",F35="Maroc"),G35=""),"ICE manquant (client professionnel)",IF(AND(G35&lt;&gt;"",NOT(AND(LEN(G35&amp;"")=15,SUBSTITUTE(SUBSTITUTE(SUBSTITUTE(SUBSTITUTE(SUBSTITUTE(SUBSTITUTE(SUBSTITUTE(SUBSTITUTE(SUBSTITUTE(SUBSTITUTE(G35&amp;"","0",""),"1",""),"2",""),"3",""),"4",""),"5",""),"6",""),"7",""),"8",""),"9","")=""))),"ICE : 15 chiffres attendus",IF(AND(H35&lt;&gt;"",NOT(AND(LEN(H35&amp;"")=9,SUBSTITUTE(SUBSTITUTE(SUBSTITUTE(SUBSTITUTE(SUBSTITUTE(SUBSTITUTE(SUBSTITUTE(SUBSTITUTE(SUBSTITUTE(SUBSTITUTE(H35&amp;"","0",""),"1",""),"2",""),"3",""),"4",""),"5",""),"6",""),"7",""),"8",""),"9","")=""))),"SIREN : 9 chiffres attendus",IF(AND(M35&lt;&gt;"",OR(NOT(ISNUMBER(M35)),N(M35)&lt;0)),"Délai de paiement invalide","OK"))))))))</f>
        <v/>
      </c>
      <c r="Q35" s="62" t="str">
        <f>IF(A35="","",ROUND(SUMIFS(fa_ht,fa_client,A35,fa_year,db_year)*100,0))</f>
        <v/>
      </c>
      <c r="R35" s="62" t="str">
        <f>IF(N(Q35)&lt;=0,"",COUNTIF($Q$6:$Q$305,"&gt;"&amp;Q35)+COUNTIF($Q$6:Q35,Q35))</f>
        <v/>
      </c>
      <c r="S35" s="62" t="str">
        <f>IF(A35="","",ROUND(SUMIFS(fa_reste,fa_client,A35,fa_reste,"&gt;0")*100,0))</f>
        <v/>
      </c>
      <c r="T35" s="62" t="str">
        <f>IF(N(S35)&lt;=0,"",COUNTIF($S$6:$S$305,"&gt;"&amp;S35)+COUNTIF($S$6:S35,S35))</f>
        <v/>
      </c>
    </row>
    <row r="36">
      <c r="A36" s="60" t="n"/>
      <c r="B36" s="63" t="n"/>
      <c r="C36" s="60" t="n"/>
      <c r="D36" s="63" t="n"/>
      <c r="E36" s="63" t="n"/>
      <c r="F36" s="60" t="n"/>
      <c r="G36" s="143" t="n"/>
      <c r="H36" s="143" t="n"/>
      <c r="I36" s="63" t="n"/>
      <c r="J36" s="63" t="n"/>
      <c r="K36" s="63" t="n"/>
      <c r="L36" s="63" t="n"/>
      <c r="M36" s="144" t="n"/>
      <c r="N36" s="65" t="str">
        <f>IF(A36="","",SUMIF(fa_client,A36,fa_ht))</f>
        <v/>
      </c>
      <c r="O36" s="65" t="str">
        <f>IF(A36="","",SUMIF(fa_client,A36,fa_reste))</f>
        <v/>
      </c>
      <c r="P36" s="59" t="str">
        <f>IF(COUNTA(A36:M36)=0,"",IF(A36="","Code manquant",IF(COUNTIF(cli_code,A36)&gt;1,"Code en double",IF(B36="","Nom manquant",IF(AND(p_country="Maroc",C36&lt;&gt;"Particulier",OR(F36="",F36="Maroc"),G36=""),"ICE manquant (client professionnel)",IF(AND(G36&lt;&gt;"",NOT(AND(LEN(G36&amp;"")=15,SUBSTITUTE(SUBSTITUTE(SUBSTITUTE(SUBSTITUTE(SUBSTITUTE(SUBSTITUTE(SUBSTITUTE(SUBSTITUTE(SUBSTITUTE(SUBSTITUTE(G36&amp;"","0",""),"1",""),"2",""),"3",""),"4",""),"5",""),"6",""),"7",""),"8",""),"9","")=""))),"ICE : 15 chiffres attendus",IF(AND(H36&lt;&gt;"",NOT(AND(LEN(H36&amp;"")=9,SUBSTITUTE(SUBSTITUTE(SUBSTITUTE(SUBSTITUTE(SUBSTITUTE(SUBSTITUTE(SUBSTITUTE(SUBSTITUTE(SUBSTITUTE(SUBSTITUTE(H36&amp;"","0",""),"1",""),"2",""),"3",""),"4",""),"5",""),"6",""),"7",""),"8",""),"9","")=""))),"SIREN : 9 chiffres attendus",IF(AND(M36&lt;&gt;"",OR(NOT(ISNUMBER(M36)),N(M36)&lt;0)),"Délai de paiement invalide","OK"))))))))</f>
        <v/>
      </c>
      <c r="Q36" s="62" t="str">
        <f>IF(A36="","",ROUND(SUMIFS(fa_ht,fa_client,A36,fa_year,db_year)*100,0))</f>
        <v/>
      </c>
      <c r="R36" s="62" t="str">
        <f>IF(N(Q36)&lt;=0,"",COUNTIF($Q$6:$Q$305,"&gt;"&amp;Q36)+COUNTIF($Q$6:Q36,Q36))</f>
        <v/>
      </c>
      <c r="S36" s="62" t="str">
        <f>IF(A36="","",ROUND(SUMIFS(fa_reste,fa_client,A36,fa_reste,"&gt;0")*100,0))</f>
        <v/>
      </c>
      <c r="T36" s="62" t="str">
        <f>IF(N(S36)&lt;=0,"",COUNTIF($S$6:$S$305,"&gt;"&amp;S36)+COUNTIF($S$6:S36,S36))</f>
        <v/>
      </c>
    </row>
    <row r="37">
      <c r="A37" s="60" t="n"/>
      <c r="B37" s="63" t="n"/>
      <c r="C37" s="60" t="n"/>
      <c r="D37" s="63" t="n"/>
      <c r="E37" s="63" t="n"/>
      <c r="F37" s="60" t="n"/>
      <c r="G37" s="143" t="n"/>
      <c r="H37" s="143" t="n"/>
      <c r="I37" s="63" t="n"/>
      <c r="J37" s="63" t="n"/>
      <c r="K37" s="63" t="n"/>
      <c r="L37" s="63" t="n"/>
      <c r="M37" s="144" t="n"/>
      <c r="N37" s="65" t="str">
        <f>IF(A37="","",SUMIF(fa_client,A37,fa_ht))</f>
        <v/>
      </c>
      <c r="O37" s="65" t="str">
        <f>IF(A37="","",SUMIF(fa_client,A37,fa_reste))</f>
        <v/>
      </c>
      <c r="P37" s="59" t="str">
        <f>IF(COUNTA(A37:M37)=0,"",IF(A37="","Code manquant",IF(COUNTIF(cli_code,A37)&gt;1,"Code en double",IF(B37="","Nom manquant",IF(AND(p_country="Maroc",C37&lt;&gt;"Particulier",OR(F37="",F37="Maroc"),G37=""),"ICE manquant (client professionnel)",IF(AND(G37&lt;&gt;"",NOT(AND(LEN(G37&amp;"")=15,SUBSTITUTE(SUBSTITUTE(SUBSTITUTE(SUBSTITUTE(SUBSTITUTE(SUBSTITUTE(SUBSTITUTE(SUBSTITUTE(SUBSTITUTE(SUBSTITUTE(G37&amp;"","0",""),"1",""),"2",""),"3",""),"4",""),"5",""),"6",""),"7",""),"8",""),"9","")=""))),"ICE : 15 chiffres attendus",IF(AND(H37&lt;&gt;"",NOT(AND(LEN(H37&amp;"")=9,SUBSTITUTE(SUBSTITUTE(SUBSTITUTE(SUBSTITUTE(SUBSTITUTE(SUBSTITUTE(SUBSTITUTE(SUBSTITUTE(SUBSTITUTE(SUBSTITUTE(H37&amp;"","0",""),"1",""),"2",""),"3",""),"4",""),"5",""),"6",""),"7",""),"8",""),"9","")=""))),"SIREN : 9 chiffres attendus",IF(AND(M37&lt;&gt;"",OR(NOT(ISNUMBER(M37)),N(M37)&lt;0)),"Délai de paiement invalide","OK"))))))))</f>
        <v/>
      </c>
      <c r="Q37" s="62" t="str">
        <f>IF(A37="","",ROUND(SUMIFS(fa_ht,fa_client,A37,fa_year,db_year)*100,0))</f>
        <v/>
      </c>
      <c r="R37" s="62" t="str">
        <f>IF(N(Q37)&lt;=0,"",COUNTIF($Q$6:$Q$305,"&gt;"&amp;Q37)+COUNTIF($Q$6:Q37,Q37))</f>
        <v/>
      </c>
      <c r="S37" s="62" t="str">
        <f>IF(A37="","",ROUND(SUMIFS(fa_reste,fa_client,A37,fa_reste,"&gt;0")*100,0))</f>
        <v/>
      </c>
      <c r="T37" s="62" t="str">
        <f>IF(N(S37)&lt;=0,"",COUNTIF($S$6:$S$305,"&gt;"&amp;S37)+COUNTIF($S$6:S37,S37))</f>
        <v/>
      </c>
    </row>
    <row r="38">
      <c r="A38" s="60" t="n"/>
      <c r="B38" s="63" t="n"/>
      <c r="C38" s="60" t="n"/>
      <c r="D38" s="63" t="n"/>
      <c r="E38" s="63" t="n"/>
      <c r="F38" s="60" t="n"/>
      <c r="G38" s="143" t="n"/>
      <c r="H38" s="143" t="n"/>
      <c r="I38" s="63" t="n"/>
      <c r="J38" s="63" t="n"/>
      <c r="K38" s="63" t="n"/>
      <c r="L38" s="63" t="n"/>
      <c r="M38" s="144" t="n"/>
      <c r="N38" s="65" t="str">
        <f>IF(A38="","",SUMIF(fa_client,A38,fa_ht))</f>
        <v/>
      </c>
      <c r="O38" s="65" t="str">
        <f>IF(A38="","",SUMIF(fa_client,A38,fa_reste))</f>
        <v/>
      </c>
      <c r="P38" s="59" t="str">
        <f>IF(COUNTA(A38:M38)=0,"",IF(A38="","Code manquant",IF(COUNTIF(cli_code,A38)&gt;1,"Code en double",IF(B38="","Nom manquant",IF(AND(p_country="Maroc",C38&lt;&gt;"Particulier",OR(F38="",F38="Maroc"),G38=""),"ICE manquant (client professionnel)",IF(AND(G38&lt;&gt;"",NOT(AND(LEN(G38&amp;"")=15,SUBSTITUTE(SUBSTITUTE(SUBSTITUTE(SUBSTITUTE(SUBSTITUTE(SUBSTITUTE(SUBSTITUTE(SUBSTITUTE(SUBSTITUTE(SUBSTITUTE(G38&amp;"","0",""),"1",""),"2",""),"3",""),"4",""),"5",""),"6",""),"7",""),"8",""),"9","")=""))),"ICE : 15 chiffres attendus",IF(AND(H38&lt;&gt;"",NOT(AND(LEN(H38&amp;"")=9,SUBSTITUTE(SUBSTITUTE(SUBSTITUTE(SUBSTITUTE(SUBSTITUTE(SUBSTITUTE(SUBSTITUTE(SUBSTITUTE(SUBSTITUTE(SUBSTITUTE(H38&amp;"","0",""),"1",""),"2",""),"3",""),"4",""),"5",""),"6",""),"7",""),"8",""),"9","")=""))),"SIREN : 9 chiffres attendus",IF(AND(M38&lt;&gt;"",OR(NOT(ISNUMBER(M38)),N(M38)&lt;0)),"Délai de paiement invalide","OK"))))))))</f>
        <v/>
      </c>
      <c r="Q38" s="62" t="str">
        <f>IF(A38="","",ROUND(SUMIFS(fa_ht,fa_client,A38,fa_year,db_year)*100,0))</f>
        <v/>
      </c>
      <c r="R38" s="62" t="str">
        <f>IF(N(Q38)&lt;=0,"",COUNTIF($Q$6:$Q$305,"&gt;"&amp;Q38)+COUNTIF($Q$6:Q38,Q38))</f>
        <v/>
      </c>
      <c r="S38" s="62" t="str">
        <f>IF(A38="","",ROUND(SUMIFS(fa_reste,fa_client,A38,fa_reste,"&gt;0")*100,0))</f>
        <v/>
      </c>
      <c r="T38" s="62" t="str">
        <f>IF(N(S38)&lt;=0,"",COUNTIF($S$6:$S$305,"&gt;"&amp;S38)+COUNTIF($S$6:S38,S38))</f>
        <v/>
      </c>
    </row>
    <row r="39">
      <c r="A39" s="60" t="n"/>
      <c r="B39" s="63" t="n"/>
      <c r="C39" s="60" t="n"/>
      <c r="D39" s="63" t="n"/>
      <c r="E39" s="63" t="n"/>
      <c r="F39" s="60" t="n"/>
      <c r="G39" s="143" t="n"/>
      <c r="H39" s="143" t="n"/>
      <c r="I39" s="63" t="n"/>
      <c r="J39" s="63" t="n"/>
      <c r="K39" s="63" t="n"/>
      <c r="L39" s="63" t="n"/>
      <c r="M39" s="144" t="n"/>
      <c r="N39" s="65" t="str">
        <f>IF(A39="","",SUMIF(fa_client,A39,fa_ht))</f>
        <v/>
      </c>
      <c r="O39" s="65" t="str">
        <f>IF(A39="","",SUMIF(fa_client,A39,fa_reste))</f>
        <v/>
      </c>
      <c r="P39" s="59" t="str">
        <f>IF(COUNTA(A39:M39)=0,"",IF(A39="","Code manquant",IF(COUNTIF(cli_code,A39)&gt;1,"Code en double",IF(B39="","Nom manquant",IF(AND(p_country="Maroc",C39&lt;&gt;"Particulier",OR(F39="",F39="Maroc"),G39=""),"ICE manquant (client professionnel)",IF(AND(G39&lt;&gt;"",NOT(AND(LEN(G39&amp;"")=15,SUBSTITUTE(SUBSTITUTE(SUBSTITUTE(SUBSTITUTE(SUBSTITUTE(SUBSTITUTE(SUBSTITUTE(SUBSTITUTE(SUBSTITUTE(SUBSTITUTE(G39&amp;"","0",""),"1",""),"2",""),"3",""),"4",""),"5",""),"6",""),"7",""),"8",""),"9","")=""))),"ICE : 15 chiffres attendus",IF(AND(H39&lt;&gt;"",NOT(AND(LEN(H39&amp;"")=9,SUBSTITUTE(SUBSTITUTE(SUBSTITUTE(SUBSTITUTE(SUBSTITUTE(SUBSTITUTE(SUBSTITUTE(SUBSTITUTE(SUBSTITUTE(SUBSTITUTE(H39&amp;"","0",""),"1",""),"2",""),"3",""),"4",""),"5",""),"6",""),"7",""),"8",""),"9","")=""))),"SIREN : 9 chiffres attendus",IF(AND(M39&lt;&gt;"",OR(NOT(ISNUMBER(M39)),N(M39)&lt;0)),"Délai de paiement invalide","OK"))))))))</f>
        <v/>
      </c>
      <c r="Q39" s="62" t="str">
        <f>IF(A39="","",ROUND(SUMIFS(fa_ht,fa_client,A39,fa_year,db_year)*100,0))</f>
        <v/>
      </c>
      <c r="R39" s="62" t="str">
        <f>IF(N(Q39)&lt;=0,"",COUNTIF($Q$6:$Q$305,"&gt;"&amp;Q39)+COUNTIF($Q$6:Q39,Q39))</f>
        <v/>
      </c>
      <c r="S39" s="62" t="str">
        <f>IF(A39="","",ROUND(SUMIFS(fa_reste,fa_client,A39,fa_reste,"&gt;0")*100,0))</f>
        <v/>
      </c>
      <c r="T39" s="62" t="str">
        <f>IF(N(S39)&lt;=0,"",COUNTIF($S$6:$S$305,"&gt;"&amp;S39)+COUNTIF($S$6:S39,S39))</f>
        <v/>
      </c>
    </row>
    <row r="40">
      <c r="A40" s="60" t="n"/>
      <c r="B40" s="63" t="n"/>
      <c r="C40" s="60" t="n"/>
      <c r="D40" s="63" t="n"/>
      <c r="E40" s="63" t="n"/>
      <c r="F40" s="60" t="n"/>
      <c r="G40" s="143" t="n"/>
      <c r="H40" s="143" t="n"/>
      <c r="I40" s="63" t="n"/>
      <c r="J40" s="63" t="n"/>
      <c r="K40" s="63" t="n"/>
      <c r="L40" s="63" t="n"/>
      <c r="M40" s="144" t="n"/>
      <c r="N40" s="65" t="str">
        <f>IF(A40="","",SUMIF(fa_client,A40,fa_ht))</f>
        <v/>
      </c>
      <c r="O40" s="65" t="str">
        <f>IF(A40="","",SUMIF(fa_client,A40,fa_reste))</f>
        <v/>
      </c>
      <c r="P40" s="59" t="str">
        <f>IF(COUNTA(A40:M40)=0,"",IF(A40="","Code manquant",IF(COUNTIF(cli_code,A40)&gt;1,"Code en double",IF(B40="","Nom manquant",IF(AND(p_country="Maroc",C40&lt;&gt;"Particulier",OR(F40="",F40="Maroc"),G40=""),"ICE manquant (client professionnel)",IF(AND(G40&lt;&gt;"",NOT(AND(LEN(G40&amp;"")=15,SUBSTITUTE(SUBSTITUTE(SUBSTITUTE(SUBSTITUTE(SUBSTITUTE(SUBSTITUTE(SUBSTITUTE(SUBSTITUTE(SUBSTITUTE(SUBSTITUTE(G40&amp;"","0",""),"1",""),"2",""),"3",""),"4",""),"5",""),"6",""),"7",""),"8",""),"9","")=""))),"ICE : 15 chiffres attendus",IF(AND(H40&lt;&gt;"",NOT(AND(LEN(H40&amp;"")=9,SUBSTITUTE(SUBSTITUTE(SUBSTITUTE(SUBSTITUTE(SUBSTITUTE(SUBSTITUTE(SUBSTITUTE(SUBSTITUTE(SUBSTITUTE(SUBSTITUTE(H40&amp;"","0",""),"1",""),"2",""),"3",""),"4",""),"5",""),"6",""),"7",""),"8",""),"9","")=""))),"SIREN : 9 chiffres attendus",IF(AND(M40&lt;&gt;"",OR(NOT(ISNUMBER(M40)),N(M40)&lt;0)),"Délai de paiement invalide","OK"))))))))</f>
        <v/>
      </c>
      <c r="Q40" s="62" t="str">
        <f>IF(A40="","",ROUND(SUMIFS(fa_ht,fa_client,A40,fa_year,db_year)*100,0))</f>
        <v/>
      </c>
      <c r="R40" s="62" t="str">
        <f>IF(N(Q40)&lt;=0,"",COUNTIF($Q$6:$Q$305,"&gt;"&amp;Q40)+COUNTIF($Q$6:Q40,Q40))</f>
        <v/>
      </c>
      <c r="S40" s="62" t="str">
        <f>IF(A40="","",ROUND(SUMIFS(fa_reste,fa_client,A40,fa_reste,"&gt;0")*100,0))</f>
        <v/>
      </c>
      <c r="T40" s="62" t="str">
        <f>IF(N(S40)&lt;=0,"",COUNTIF($S$6:$S$305,"&gt;"&amp;S40)+COUNTIF($S$6:S40,S40))</f>
        <v/>
      </c>
    </row>
    <row r="41">
      <c r="A41" s="60" t="n"/>
      <c r="B41" s="63" t="n"/>
      <c r="C41" s="60" t="n"/>
      <c r="D41" s="63" t="n"/>
      <c r="E41" s="63" t="n"/>
      <c r="F41" s="60" t="n"/>
      <c r="G41" s="143" t="n"/>
      <c r="H41" s="143" t="n"/>
      <c r="I41" s="63" t="n"/>
      <c r="J41" s="63" t="n"/>
      <c r="K41" s="63" t="n"/>
      <c r="L41" s="63" t="n"/>
      <c r="M41" s="144" t="n"/>
      <c r="N41" s="65" t="str">
        <f>IF(A41="","",SUMIF(fa_client,A41,fa_ht))</f>
        <v/>
      </c>
      <c r="O41" s="65" t="str">
        <f>IF(A41="","",SUMIF(fa_client,A41,fa_reste))</f>
        <v/>
      </c>
      <c r="P41" s="59" t="str">
        <f>IF(COUNTA(A41:M41)=0,"",IF(A41="","Code manquant",IF(COUNTIF(cli_code,A41)&gt;1,"Code en double",IF(B41="","Nom manquant",IF(AND(p_country="Maroc",C41&lt;&gt;"Particulier",OR(F41="",F41="Maroc"),G41=""),"ICE manquant (client professionnel)",IF(AND(G41&lt;&gt;"",NOT(AND(LEN(G41&amp;"")=15,SUBSTITUTE(SUBSTITUTE(SUBSTITUTE(SUBSTITUTE(SUBSTITUTE(SUBSTITUTE(SUBSTITUTE(SUBSTITUTE(SUBSTITUTE(SUBSTITUTE(G41&amp;"","0",""),"1",""),"2",""),"3",""),"4",""),"5",""),"6",""),"7",""),"8",""),"9","")=""))),"ICE : 15 chiffres attendus",IF(AND(H41&lt;&gt;"",NOT(AND(LEN(H41&amp;"")=9,SUBSTITUTE(SUBSTITUTE(SUBSTITUTE(SUBSTITUTE(SUBSTITUTE(SUBSTITUTE(SUBSTITUTE(SUBSTITUTE(SUBSTITUTE(SUBSTITUTE(H41&amp;"","0",""),"1",""),"2",""),"3",""),"4",""),"5",""),"6",""),"7",""),"8",""),"9","")=""))),"SIREN : 9 chiffres attendus",IF(AND(M41&lt;&gt;"",OR(NOT(ISNUMBER(M41)),N(M41)&lt;0)),"Délai de paiement invalide","OK"))))))))</f>
        <v/>
      </c>
      <c r="Q41" s="62" t="str">
        <f>IF(A41="","",ROUND(SUMIFS(fa_ht,fa_client,A41,fa_year,db_year)*100,0))</f>
        <v/>
      </c>
      <c r="R41" s="62" t="str">
        <f>IF(N(Q41)&lt;=0,"",COUNTIF($Q$6:$Q$305,"&gt;"&amp;Q41)+COUNTIF($Q$6:Q41,Q41))</f>
        <v/>
      </c>
      <c r="S41" s="62" t="str">
        <f>IF(A41="","",ROUND(SUMIFS(fa_reste,fa_client,A41,fa_reste,"&gt;0")*100,0))</f>
        <v/>
      </c>
      <c r="T41" s="62" t="str">
        <f>IF(N(S41)&lt;=0,"",COUNTIF($S$6:$S$305,"&gt;"&amp;S41)+COUNTIF($S$6:S41,S41))</f>
        <v/>
      </c>
    </row>
    <row r="42">
      <c r="A42" s="60" t="n"/>
      <c r="B42" s="63" t="n"/>
      <c r="C42" s="60" t="n"/>
      <c r="D42" s="63" t="n"/>
      <c r="E42" s="63" t="n"/>
      <c r="F42" s="60" t="n"/>
      <c r="G42" s="143" t="n"/>
      <c r="H42" s="143" t="n"/>
      <c r="I42" s="63" t="n"/>
      <c r="J42" s="63" t="n"/>
      <c r="K42" s="63" t="n"/>
      <c r="L42" s="63" t="n"/>
      <c r="M42" s="144" t="n"/>
      <c r="N42" s="65" t="str">
        <f>IF(A42="","",SUMIF(fa_client,A42,fa_ht))</f>
        <v/>
      </c>
      <c r="O42" s="65" t="str">
        <f>IF(A42="","",SUMIF(fa_client,A42,fa_reste))</f>
        <v/>
      </c>
      <c r="P42" s="59" t="str">
        <f>IF(COUNTA(A42:M42)=0,"",IF(A42="","Code manquant",IF(COUNTIF(cli_code,A42)&gt;1,"Code en double",IF(B42="","Nom manquant",IF(AND(p_country="Maroc",C42&lt;&gt;"Particulier",OR(F42="",F42="Maroc"),G42=""),"ICE manquant (client professionnel)",IF(AND(G42&lt;&gt;"",NOT(AND(LEN(G42&amp;"")=15,SUBSTITUTE(SUBSTITUTE(SUBSTITUTE(SUBSTITUTE(SUBSTITUTE(SUBSTITUTE(SUBSTITUTE(SUBSTITUTE(SUBSTITUTE(SUBSTITUTE(G42&amp;"","0",""),"1",""),"2",""),"3",""),"4",""),"5",""),"6",""),"7",""),"8",""),"9","")=""))),"ICE : 15 chiffres attendus",IF(AND(H42&lt;&gt;"",NOT(AND(LEN(H42&amp;"")=9,SUBSTITUTE(SUBSTITUTE(SUBSTITUTE(SUBSTITUTE(SUBSTITUTE(SUBSTITUTE(SUBSTITUTE(SUBSTITUTE(SUBSTITUTE(SUBSTITUTE(H42&amp;"","0",""),"1",""),"2",""),"3",""),"4",""),"5",""),"6",""),"7",""),"8",""),"9","")=""))),"SIREN : 9 chiffres attendus",IF(AND(M42&lt;&gt;"",OR(NOT(ISNUMBER(M42)),N(M42)&lt;0)),"Délai de paiement invalide","OK"))))))))</f>
        <v/>
      </c>
      <c r="Q42" s="62" t="str">
        <f>IF(A42="","",ROUND(SUMIFS(fa_ht,fa_client,A42,fa_year,db_year)*100,0))</f>
        <v/>
      </c>
      <c r="R42" s="62" t="str">
        <f>IF(N(Q42)&lt;=0,"",COUNTIF($Q$6:$Q$305,"&gt;"&amp;Q42)+COUNTIF($Q$6:Q42,Q42))</f>
        <v/>
      </c>
      <c r="S42" s="62" t="str">
        <f>IF(A42="","",ROUND(SUMIFS(fa_reste,fa_client,A42,fa_reste,"&gt;0")*100,0))</f>
        <v/>
      </c>
      <c r="T42" s="62" t="str">
        <f>IF(N(S42)&lt;=0,"",COUNTIF($S$6:$S$305,"&gt;"&amp;S42)+COUNTIF($S$6:S42,S42))</f>
        <v/>
      </c>
    </row>
    <row r="43">
      <c r="A43" s="60" t="n"/>
      <c r="B43" s="63" t="n"/>
      <c r="C43" s="60" t="n"/>
      <c r="D43" s="63" t="n"/>
      <c r="E43" s="63" t="n"/>
      <c r="F43" s="60" t="n"/>
      <c r="G43" s="143" t="n"/>
      <c r="H43" s="143" t="n"/>
      <c r="I43" s="63" t="n"/>
      <c r="J43" s="63" t="n"/>
      <c r="K43" s="63" t="n"/>
      <c r="L43" s="63" t="n"/>
      <c r="M43" s="144" t="n"/>
      <c r="N43" s="65" t="str">
        <f>IF(A43="","",SUMIF(fa_client,A43,fa_ht))</f>
        <v/>
      </c>
      <c r="O43" s="65" t="str">
        <f>IF(A43="","",SUMIF(fa_client,A43,fa_reste))</f>
        <v/>
      </c>
      <c r="P43" s="59" t="str">
        <f>IF(COUNTA(A43:M43)=0,"",IF(A43="","Code manquant",IF(COUNTIF(cli_code,A43)&gt;1,"Code en double",IF(B43="","Nom manquant",IF(AND(p_country="Maroc",C43&lt;&gt;"Particulier",OR(F43="",F43="Maroc"),G43=""),"ICE manquant (client professionnel)",IF(AND(G43&lt;&gt;"",NOT(AND(LEN(G43&amp;"")=15,SUBSTITUTE(SUBSTITUTE(SUBSTITUTE(SUBSTITUTE(SUBSTITUTE(SUBSTITUTE(SUBSTITUTE(SUBSTITUTE(SUBSTITUTE(SUBSTITUTE(G43&amp;"","0",""),"1",""),"2",""),"3",""),"4",""),"5",""),"6",""),"7",""),"8",""),"9","")=""))),"ICE : 15 chiffres attendus",IF(AND(H43&lt;&gt;"",NOT(AND(LEN(H43&amp;"")=9,SUBSTITUTE(SUBSTITUTE(SUBSTITUTE(SUBSTITUTE(SUBSTITUTE(SUBSTITUTE(SUBSTITUTE(SUBSTITUTE(SUBSTITUTE(SUBSTITUTE(H43&amp;"","0",""),"1",""),"2",""),"3",""),"4",""),"5",""),"6",""),"7",""),"8",""),"9","")=""))),"SIREN : 9 chiffres attendus",IF(AND(M43&lt;&gt;"",OR(NOT(ISNUMBER(M43)),N(M43)&lt;0)),"Délai de paiement invalide","OK"))))))))</f>
        <v/>
      </c>
      <c r="Q43" s="62" t="str">
        <f>IF(A43="","",ROUND(SUMIFS(fa_ht,fa_client,A43,fa_year,db_year)*100,0))</f>
        <v/>
      </c>
      <c r="R43" s="62" t="str">
        <f>IF(N(Q43)&lt;=0,"",COUNTIF($Q$6:$Q$305,"&gt;"&amp;Q43)+COUNTIF($Q$6:Q43,Q43))</f>
        <v/>
      </c>
      <c r="S43" s="62" t="str">
        <f>IF(A43="","",ROUND(SUMIFS(fa_reste,fa_client,A43,fa_reste,"&gt;0")*100,0))</f>
        <v/>
      </c>
      <c r="T43" s="62" t="str">
        <f>IF(N(S43)&lt;=0,"",COUNTIF($S$6:$S$305,"&gt;"&amp;S43)+COUNTIF($S$6:S43,S43))</f>
        <v/>
      </c>
    </row>
    <row r="44">
      <c r="A44" s="60" t="n"/>
      <c r="B44" s="63" t="n"/>
      <c r="C44" s="60" t="n"/>
      <c r="D44" s="63" t="n"/>
      <c r="E44" s="63" t="n"/>
      <c r="F44" s="60" t="n"/>
      <c r="G44" s="143" t="n"/>
      <c r="H44" s="143" t="n"/>
      <c r="I44" s="63" t="n"/>
      <c r="J44" s="63" t="n"/>
      <c r="K44" s="63" t="n"/>
      <c r="L44" s="63" t="n"/>
      <c r="M44" s="144" t="n"/>
      <c r="N44" s="65" t="str">
        <f>IF(A44="","",SUMIF(fa_client,A44,fa_ht))</f>
        <v/>
      </c>
      <c r="O44" s="65" t="str">
        <f>IF(A44="","",SUMIF(fa_client,A44,fa_reste))</f>
        <v/>
      </c>
      <c r="P44" s="59" t="str">
        <f>IF(COUNTA(A44:M44)=0,"",IF(A44="","Code manquant",IF(COUNTIF(cli_code,A44)&gt;1,"Code en double",IF(B44="","Nom manquant",IF(AND(p_country="Maroc",C44&lt;&gt;"Particulier",OR(F44="",F44="Maroc"),G44=""),"ICE manquant (client professionnel)",IF(AND(G44&lt;&gt;"",NOT(AND(LEN(G44&amp;"")=15,SUBSTITUTE(SUBSTITUTE(SUBSTITUTE(SUBSTITUTE(SUBSTITUTE(SUBSTITUTE(SUBSTITUTE(SUBSTITUTE(SUBSTITUTE(SUBSTITUTE(G44&amp;"","0",""),"1",""),"2",""),"3",""),"4",""),"5",""),"6",""),"7",""),"8",""),"9","")=""))),"ICE : 15 chiffres attendus",IF(AND(H44&lt;&gt;"",NOT(AND(LEN(H44&amp;"")=9,SUBSTITUTE(SUBSTITUTE(SUBSTITUTE(SUBSTITUTE(SUBSTITUTE(SUBSTITUTE(SUBSTITUTE(SUBSTITUTE(SUBSTITUTE(SUBSTITUTE(H44&amp;"","0",""),"1",""),"2",""),"3",""),"4",""),"5",""),"6",""),"7",""),"8",""),"9","")=""))),"SIREN : 9 chiffres attendus",IF(AND(M44&lt;&gt;"",OR(NOT(ISNUMBER(M44)),N(M44)&lt;0)),"Délai de paiement invalide","OK"))))))))</f>
        <v/>
      </c>
      <c r="Q44" s="62" t="str">
        <f>IF(A44="","",ROUND(SUMIFS(fa_ht,fa_client,A44,fa_year,db_year)*100,0))</f>
        <v/>
      </c>
      <c r="R44" s="62" t="str">
        <f>IF(N(Q44)&lt;=0,"",COUNTIF($Q$6:$Q$305,"&gt;"&amp;Q44)+COUNTIF($Q$6:Q44,Q44))</f>
        <v/>
      </c>
      <c r="S44" s="62" t="str">
        <f>IF(A44="","",ROUND(SUMIFS(fa_reste,fa_client,A44,fa_reste,"&gt;0")*100,0))</f>
        <v/>
      </c>
      <c r="T44" s="62" t="str">
        <f>IF(N(S44)&lt;=0,"",COUNTIF($S$6:$S$305,"&gt;"&amp;S44)+COUNTIF($S$6:S44,S44))</f>
        <v/>
      </c>
    </row>
    <row r="45">
      <c r="A45" s="60" t="n"/>
      <c r="B45" s="63" t="n"/>
      <c r="C45" s="60" t="n"/>
      <c r="D45" s="63" t="n"/>
      <c r="E45" s="63" t="n"/>
      <c r="F45" s="60" t="n"/>
      <c r="G45" s="143" t="n"/>
      <c r="H45" s="143" t="n"/>
      <c r="I45" s="63" t="n"/>
      <c r="J45" s="63" t="n"/>
      <c r="K45" s="63" t="n"/>
      <c r="L45" s="63" t="n"/>
      <c r="M45" s="144" t="n"/>
      <c r="N45" s="65" t="str">
        <f>IF(A45="","",SUMIF(fa_client,A45,fa_ht))</f>
        <v/>
      </c>
      <c r="O45" s="65" t="str">
        <f>IF(A45="","",SUMIF(fa_client,A45,fa_reste))</f>
        <v/>
      </c>
      <c r="P45" s="59" t="str">
        <f>IF(COUNTA(A45:M45)=0,"",IF(A45="","Code manquant",IF(COUNTIF(cli_code,A45)&gt;1,"Code en double",IF(B45="","Nom manquant",IF(AND(p_country="Maroc",C45&lt;&gt;"Particulier",OR(F45="",F45="Maroc"),G45=""),"ICE manquant (client professionnel)",IF(AND(G45&lt;&gt;"",NOT(AND(LEN(G45&amp;"")=15,SUBSTITUTE(SUBSTITUTE(SUBSTITUTE(SUBSTITUTE(SUBSTITUTE(SUBSTITUTE(SUBSTITUTE(SUBSTITUTE(SUBSTITUTE(SUBSTITUTE(G45&amp;"","0",""),"1",""),"2",""),"3",""),"4",""),"5",""),"6",""),"7",""),"8",""),"9","")=""))),"ICE : 15 chiffres attendus",IF(AND(H45&lt;&gt;"",NOT(AND(LEN(H45&amp;"")=9,SUBSTITUTE(SUBSTITUTE(SUBSTITUTE(SUBSTITUTE(SUBSTITUTE(SUBSTITUTE(SUBSTITUTE(SUBSTITUTE(SUBSTITUTE(SUBSTITUTE(H45&amp;"","0",""),"1",""),"2",""),"3",""),"4",""),"5",""),"6",""),"7",""),"8",""),"9","")=""))),"SIREN : 9 chiffres attendus",IF(AND(M45&lt;&gt;"",OR(NOT(ISNUMBER(M45)),N(M45)&lt;0)),"Délai de paiement invalide","OK"))))))))</f>
        <v/>
      </c>
      <c r="Q45" s="62" t="str">
        <f>IF(A45="","",ROUND(SUMIFS(fa_ht,fa_client,A45,fa_year,db_year)*100,0))</f>
        <v/>
      </c>
      <c r="R45" s="62" t="str">
        <f>IF(N(Q45)&lt;=0,"",COUNTIF($Q$6:$Q$305,"&gt;"&amp;Q45)+COUNTIF($Q$6:Q45,Q45))</f>
        <v/>
      </c>
      <c r="S45" s="62" t="str">
        <f>IF(A45="","",ROUND(SUMIFS(fa_reste,fa_client,A45,fa_reste,"&gt;0")*100,0))</f>
        <v/>
      </c>
      <c r="T45" s="62" t="str">
        <f>IF(N(S45)&lt;=0,"",COUNTIF($S$6:$S$305,"&gt;"&amp;S45)+COUNTIF($S$6:S45,S45))</f>
        <v/>
      </c>
    </row>
    <row r="46">
      <c r="A46" s="60" t="n"/>
      <c r="B46" s="63" t="n"/>
      <c r="C46" s="60" t="n"/>
      <c r="D46" s="63" t="n"/>
      <c r="E46" s="63" t="n"/>
      <c r="F46" s="60" t="n"/>
      <c r="G46" s="143" t="n"/>
      <c r="H46" s="143" t="n"/>
      <c r="I46" s="63" t="n"/>
      <c r="J46" s="63" t="n"/>
      <c r="K46" s="63" t="n"/>
      <c r="L46" s="63" t="n"/>
      <c r="M46" s="144" t="n"/>
      <c r="N46" s="65" t="str">
        <f>IF(A46="","",SUMIF(fa_client,A46,fa_ht))</f>
        <v/>
      </c>
      <c r="O46" s="65" t="str">
        <f>IF(A46="","",SUMIF(fa_client,A46,fa_reste))</f>
        <v/>
      </c>
      <c r="P46" s="59" t="str">
        <f>IF(COUNTA(A46:M46)=0,"",IF(A46="","Code manquant",IF(COUNTIF(cli_code,A46)&gt;1,"Code en double",IF(B46="","Nom manquant",IF(AND(p_country="Maroc",C46&lt;&gt;"Particulier",OR(F46="",F46="Maroc"),G46=""),"ICE manquant (client professionnel)",IF(AND(G46&lt;&gt;"",NOT(AND(LEN(G46&amp;"")=15,SUBSTITUTE(SUBSTITUTE(SUBSTITUTE(SUBSTITUTE(SUBSTITUTE(SUBSTITUTE(SUBSTITUTE(SUBSTITUTE(SUBSTITUTE(SUBSTITUTE(G46&amp;"","0",""),"1",""),"2",""),"3",""),"4",""),"5",""),"6",""),"7",""),"8",""),"9","")=""))),"ICE : 15 chiffres attendus",IF(AND(H46&lt;&gt;"",NOT(AND(LEN(H46&amp;"")=9,SUBSTITUTE(SUBSTITUTE(SUBSTITUTE(SUBSTITUTE(SUBSTITUTE(SUBSTITUTE(SUBSTITUTE(SUBSTITUTE(SUBSTITUTE(SUBSTITUTE(H46&amp;"","0",""),"1",""),"2",""),"3",""),"4",""),"5",""),"6",""),"7",""),"8",""),"9","")=""))),"SIREN : 9 chiffres attendus",IF(AND(M46&lt;&gt;"",OR(NOT(ISNUMBER(M46)),N(M46)&lt;0)),"Délai de paiement invalide","OK"))))))))</f>
        <v/>
      </c>
      <c r="Q46" s="62" t="str">
        <f>IF(A46="","",ROUND(SUMIFS(fa_ht,fa_client,A46,fa_year,db_year)*100,0))</f>
        <v/>
      </c>
      <c r="R46" s="62" t="str">
        <f>IF(N(Q46)&lt;=0,"",COUNTIF($Q$6:$Q$305,"&gt;"&amp;Q46)+COUNTIF($Q$6:Q46,Q46))</f>
        <v/>
      </c>
      <c r="S46" s="62" t="str">
        <f>IF(A46="","",ROUND(SUMIFS(fa_reste,fa_client,A46,fa_reste,"&gt;0")*100,0))</f>
        <v/>
      </c>
      <c r="T46" s="62" t="str">
        <f>IF(N(S46)&lt;=0,"",COUNTIF($S$6:$S$305,"&gt;"&amp;S46)+COUNTIF($S$6:S46,S46))</f>
        <v/>
      </c>
    </row>
    <row r="47">
      <c r="A47" s="60" t="n"/>
      <c r="B47" s="63" t="n"/>
      <c r="C47" s="60" t="n"/>
      <c r="D47" s="63" t="n"/>
      <c r="E47" s="63" t="n"/>
      <c r="F47" s="60" t="n"/>
      <c r="G47" s="143" t="n"/>
      <c r="H47" s="143" t="n"/>
      <c r="I47" s="63" t="n"/>
      <c r="J47" s="63" t="n"/>
      <c r="K47" s="63" t="n"/>
      <c r="L47" s="63" t="n"/>
      <c r="M47" s="144" t="n"/>
      <c r="N47" s="65" t="str">
        <f>IF(A47="","",SUMIF(fa_client,A47,fa_ht))</f>
        <v/>
      </c>
      <c r="O47" s="65" t="str">
        <f>IF(A47="","",SUMIF(fa_client,A47,fa_reste))</f>
        <v/>
      </c>
      <c r="P47" s="59" t="str">
        <f>IF(COUNTA(A47:M47)=0,"",IF(A47="","Code manquant",IF(COUNTIF(cli_code,A47)&gt;1,"Code en double",IF(B47="","Nom manquant",IF(AND(p_country="Maroc",C47&lt;&gt;"Particulier",OR(F47="",F47="Maroc"),G47=""),"ICE manquant (client professionnel)",IF(AND(G47&lt;&gt;"",NOT(AND(LEN(G47&amp;"")=15,SUBSTITUTE(SUBSTITUTE(SUBSTITUTE(SUBSTITUTE(SUBSTITUTE(SUBSTITUTE(SUBSTITUTE(SUBSTITUTE(SUBSTITUTE(SUBSTITUTE(G47&amp;"","0",""),"1",""),"2",""),"3",""),"4",""),"5",""),"6",""),"7",""),"8",""),"9","")=""))),"ICE : 15 chiffres attendus",IF(AND(H47&lt;&gt;"",NOT(AND(LEN(H47&amp;"")=9,SUBSTITUTE(SUBSTITUTE(SUBSTITUTE(SUBSTITUTE(SUBSTITUTE(SUBSTITUTE(SUBSTITUTE(SUBSTITUTE(SUBSTITUTE(SUBSTITUTE(H47&amp;"","0",""),"1",""),"2",""),"3",""),"4",""),"5",""),"6",""),"7",""),"8",""),"9","")=""))),"SIREN : 9 chiffres attendus",IF(AND(M47&lt;&gt;"",OR(NOT(ISNUMBER(M47)),N(M47)&lt;0)),"Délai de paiement invalide","OK"))))))))</f>
        <v/>
      </c>
      <c r="Q47" s="62" t="str">
        <f>IF(A47="","",ROUND(SUMIFS(fa_ht,fa_client,A47,fa_year,db_year)*100,0))</f>
        <v/>
      </c>
      <c r="R47" s="62" t="str">
        <f>IF(N(Q47)&lt;=0,"",COUNTIF($Q$6:$Q$305,"&gt;"&amp;Q47)+COUNTIF($Q$6:Q47,Q47))</f>
        <v/>
      </c>
      <c r="S47" s="62" t="str">
        <f>IF(A47="","",ROUND(SUMIFS(fa_reste,fa_client,A47,fa_reste,"&gt;0")*100,0))</f>
        <v/>
      </c>
      <c r="T47" s="62" t="str">
        <f>IF(N(S47)&lt;=0,"",COUNTIF($S$6:$S$305,"&gt;"&amp;S47)+COUNTIF($S$6:S47,S47))</f>
        <v/>
      </c>
    </row>
    <row r="48">
      <c r="A48" s="60" t="n"/>
      <c r="B48" s="63" t="n"/>
      <c r="C48" s="60" t="n"/>
      <c r="D48" s="63" t="n"/>
      <c r="E48" s="63" t="n"/>
      <c r="F48" s="60" t="n"/>
      <c r="G48" s="143" t="n"/>
      <c r="H48" s="143" t="n"/>
      <c r="I48" s="63" t="n"/>
      <c r="J48" s="63" t="n"/>
      <c r="K48" s="63" t="n"/>
      <c r="L48" s="63" t="n"/>
      <c r="M48" s="144" t="n"/>
      <c r="N48" s="65" t="str">
        <f>IF(A48="","",SUMIF(fa_client,A48,fa_ht))</f>
        <v/>
      </c>
      <c r="O48" s="65" t="str">
        <f>IF(A48="","",SUMIF(fa_client,A48,fa_reste))</f>
        <v/>
      </c>
      <c r="P48" s="59" t="str">
        <f>IF(COUNTA(A48:M48)=0,"",IF(A48="","Code manquant",IF(COUNTIF(cli_code,A48)&gt;1,"Code en double",IF(B48="","Nom manquant",IF(AND(p_country="Maroc",C48&lt;&gt;"Particulier",OR(F48="",F48="Maroc"),G48=""),"ICE manquant (client professionnel)",IF(AND(G48&lt;&gt;"",NOT(AND(LEN(G48&amp;"")=15,SUBSTITUTE(SUBSTITUTE(SUBSTITUTE(SUBSTITUTE(SUBSTITUTE(SUBSTITUTE(SUBSTITUTE(SUBSTITUTE(SUBSTITUTE(SUBSTITUTE(G48&amp;"","0",""),"1",""),"2",""),"3",""),"4",""),"5",""),"6",""),"7",""),"8",""),"9","")=""))),"ICE : 15 chiffres attendus",IF(AND(H48&lt;&gt;"",NOT(AND(LEN(H48&amp;"")=9,SUBSTITUTE(SUBSTITUTE(SUBSTITUTE(SUBSTITUTE(SUBSTITUTE(SUBSTITUTE(SUBSTITUTE(SUBSTITUTE(SUBSTITUTE(SUBSTITUTE(H48&amp;"","0",""),"1",""),"2",""),"3",""),"4",""),"5",""),"6",""),"7",""),"8",""),"9","")=""))),"SIREN : 9 chiffres attendus",IF(AND(M48&lt;&gt;"",OR(NOT(ISNUMBER(M48)),N(M48)&lt;0)),"Délai de paiement invalide","OK"))))))))</f>
        <v/>
      </c>
      <c r="Q48" s="62" t="str">
        <f>IF(A48="","",ROUND(SUMIFS(fa_ht,fa_client,A48,fa_year,db_year)*100,0))</f>
        <v/>
      </c>
      <c r="R48" s="62" t="str">
        <f>IF(N(Q48)&lt;=0,"",COUNTIF($Q$6:$Q$305,"&gt;"&amp;Q48)+COUNTIF($Q$6:Q48,Q48))</f>
        <v/>
      </c>
      <c r="S48" s="62" t="str">
        <f>IF(A48="","",ROUND(SUMIFS(fa_reste,fa_client,A48,fa_reste,"&gt;0")*100,0))</f>
        <v/>
      </c>
      <c r="T48" s="62" t="str">
        <f>IF(N(S48)&lt;=0,"",COUNTIF($S$6:$S$305,"&gt;"&amp;S48)+COUNTIF($S$6:S48,S48))</f>
        <v/>
      </c>
    </row>
    <row r="49">
      <c r="A49" s="60" t="n"/>
      <c r="B49" s="63" t="n"/>
      <c r="C49" s="60" t="n"/>
      <c r="D49" s="63" t="n"/>
      <c r="E49" s="63" t="n"/>
      <c r="F49" s="60" t="n"/>
      <c r="G49" s="143" t="n"/>
      <c r="H49" s="143" t="n"/>
      <c r="I49" s="63" t="n"/>
      <c r="J49" s="63" t="n"/>
      <c r="K49" s="63" t="n"/>
      <c r="L49" s="63" t="n"/>
      <c r="M49" s="144" t="n"/>
      <c r="N49" s="65" t="str">
        <f>IF(A49="","",SUMIF(fa_client,A49,fa_ht))</f>
        <v/>
      </c>
      <c r="O49" s="65" t="str">
        <f>IF(A49="","",SUMIF(fa_client,A49,fa_reste))</f>
        <v/>
      </c>
      <c r="P49" s="59" t="str">
        <f>IF(COUNTA(A49:M49)=0,"",IF(A49="","Code manquant",IF(COUNTIF(cli_code,A49)&gt;1,"Code en double",IF(B49="","Nom manquant",IF(AND(p_country="Maroc",C49&lt;&gt;"Particulier",OR(F49="",F49="Maroc"),G49=""),"ICE manquant (client professionnel)",IF(AND(G49&lt;&gt;"",NOT(AND(LEN(G49&amp;"")=15,SUBSTITUTE(SUBSTITUTE(SUBSTITUTE(SUBSTITUTE(SUBSTITUTE(SUBSTITUTE(SUBSTITUTE(SUBSTITUTE(SUBSTITUTE(SUBSTITUTE(G49&amp;"","0",""),"1",""),"2",""),"3",""),"4",""),"5",""),"6",""),"7",""),"8",""),"9","")=""))),"ICE : 15 chiffres attendus",IF(AND(H49&lt;&gt;"",NOT(AND(LEN(H49&amp;"")=9,SUBSTITUTE(SUBSTITUTE(SUBSTITUTE(SUBSTITUTE(SUBSTITUTE(SUBSTITUTE(SUBSTITUTE(SUBSTITUTE(SUBSTITUTE(SUBSTITUTE(H49&amp;"","0",""),"1",""),"2",""),"3",""),"4",""),"5",""),"6",""),"7",""),"8",""),"9","")=""))),"SIREN : 9 chiffres attendus",IF(AND(M49&lt;&gt;"",OR(NOT(ISNUMBER(M49)),N(M49)&lt;0)),"Délai de paiement invalide","OK"))))))))</f>
        <v/>
      </c>
      <c r="Q49" s="62" t="str">
        <f>IF(A49="","",ROUND(SUMIFS(fa_ht,fa_client,A49,fa_year,db_year)*100,0))</f>
        <v/>
      </c>
      <c r="R49" s="62" t="str">
        <f>IF(N(Q49)&lt;=0,"",COUNTIF($Q$6:$Q$305,"&gt;"&amp;Q49)+COUNTIF($Q$6:Q49,Q49))</f>
        <v/>
      </c>
      <c r="S49" s="62" t="str">
        <f>IF(A49="","",ROUND(SUMIFS(fa_reste,fa_client,A49,fa_reste,"&gt;0")*100,0))</f>
        <v/>
      </c>
      <c r="T49" s="62" t="str">
        <f>IF(N(S49)&lt;=0,"",COUNTIF($S$6:$S$305,"&gt;"&amp;S49)+COUNTIF($S$6:S49,S49))</f>
        <v/>
      </c>
    </row>
    <row r="50">
      <c r="A50" s="60" t="n"/>
      <c r="B50" s="63" t="n"/>
      <c r="C50" s="60" t="n"/>
      <c r="D50" s="63" t="n"/>
      <c r="E50" s="63" t="n"/>
      <c r="F50" s="60" t="n"/>
      <c r="G50" s="143" t="n"/>
      <c r="H50" s="143" t="n"/>
      <c r="I50" s="63" t="n"/>
      <c r="J50" s="63" t="n"/>
      <c r="K50" s="63" t="n"/>
      <c r="L50" s="63" t="n"/>
      <c r="M50" s="144" t="n"/>
      <c r="N50" s="65" t="str">
        <f>IF(A50="","",SUMIF(fa_client,A50,fa_ht))</f>
        <v/>
      </c>
      <c r="O50" s="65" t="str">
        <f>IF(A50="","",SUMIF(fa_client,A50,fa_reste))</f>
        <v/>
      </c>
      <c r="P50" s="59" t="str">
        <f>IF(COUNTA(A50:M50)=0,"",IF(A50="","Code manquant",IF(COUNTIF(cli_code,A50)&gt;1,"Code en double",IF(B50="","Nom manquant",IF(AND(p_country="Maroc",C50&lt;&gt;"Particulier",OR(F50="",F50="Maroc"),G50=""),"ICE manquant (client professionnel)",IF(AND(G50&lt;&gt;"",NOT(AND(LEN(G50&amp;"")=15,SUBSTITUTE(SUBSTITUTE(SUBSTITUTE(SUBSTITUTE(SUBSTITUTE(SUBSTITUTE(SUBSTITUTE(SUBSTITUTE(SUBSTITUTE(SUBSTITUTE(G50&amp;"","0",""),"1",""),"2",""),"3",""),"4",""),"5",""),"6",""),"7",""),"8",""),"9","")=""))),"ICE : 15 chiffres attendus",IF(AND(H50&lt;&gt;"",NOT(AND(LEN(H50&amp;"")=9,SUBSTITUTE(SUBSTITUTE(SUBSTITUTE(SUBSTITUTE(SUBSTITUTE(SUBSTITUTE(SUBSTITUTE(SUBSTITUTE(SUBSTITUTE(SUBSTITUTE(H50&amp;"","0",""),"1",""),"2",""),"3",""),"4",""),"5",""),"6",""),"7",""),"8",""),"9","")=""))),"SIREN : 9 chiffres attendus",IF(AND(M50&lt;&gt;"",OR(NOT(ISNUMBER(M50)),N(M50)&lt;0)),"Délai de paiement invalide","OK"))))))))</f>
        <v/>
      </c>
      <c r="Q50" s="62" t="str">
        <f>IF(A50="","",ROUND(SUMIFS(fa_ht,fa_client,A50,fa_year,db_year)*100,0))</f>
        <v/>
      </c>
      <c r="R50" s="62" t="str">
        <f>IF(N(Q50)&lt;=0,"",COUNTIF($Q$6:$Q$305,"&gt;"&amp;Q50)+COUNTIF($Q$6:Q50,Q50))</f>
        <v/>
      </c>
      <c r="S50" s="62" t="str">
        <f>IF(A50="","",ROUND(SUMIFS(fa_reste,fa_client,A50,fa_reste,"&gt;0")*100,0))</f>
        <v/>
      </c>
      <c r="T50" s="62" t="str">
        <f>IF(N(S50)&lt;=0,"",COUNTIF($S$6:$S$305,"&gt;"&amp;S50)+COUNTIF($S$6:S50,S50))</f>
        <v/>
      </c>
    </row>
    <row r="51">
      <c r="A51" s="60" t="n"/>
      <c r="B51" s="63" t="n"/>
      <c r="C51" s="60" t="n"/>
      <c r="D51" s="63" t="n"/>
      <c r="E51" s="63" t="n"/>
      <c r="F51" s="60" t="n"/>
      <c r="G51" s="143" t="n"/>
      <c r="H51" s="143" t="n"/>
      <c r="I51" s="63" t="n"/>
      <c r="J51" s="63" t="n"/>
      <c r="K51" s="63" t="n"/>
      <c r="L51" s="63" t="n"/>
      <c r="M51" s="144" t="n"/>
      <c r="N51" s="65" t="str">
        <f>IF(A51="","",SUMIF(fa_client,A51,fa_ht))</f>
        <v/>
      </c>
      <c r="O51" s="65" t="str">
        <f>IF(A51="","",SUMIF(fa_client,A51,fa_reste))</f>
        <v/>
      </c>
      <c r="P51" s="59" t="str">
        <f>IF(COUNTA(A51:M51)=0,"",IF(A51="","Code manquant",IF(COUNTIF(cli_code,A51)&gt;1,"Code en double",IF(B51="","Nom manquant",IF(AND(p_country="Maroc",C51&lt;&gt;"Particulier",OR(F51="",F51="Maroc"),G51=""),"ICE manquant (client professionnel)",IF(AND(G51&lt;&gt;"",NOT(AND(LEN(G51&amp;"")=15,SUBSTITUTE(SUBSTITUTE(SUBSTITUTE(SUBSTITUTE(SUBSTITUTE(SUBSTITUTE(SUBSTITUTE(SUBSTITUTE(SUBSTITUTE(SUBSTITUTE(G51&amp;"","0",""),"1",""),"2",""),"3",""),"4",""),"5",""),"6",""),"7",""),"8",""),"9","")=""))),"ICE : 15 chiffres attendus",IF(AND(H51&lt;&gt;"",NOT(AND(LEN(H51&amp;"")=9,SUBSTITUTE(SUBSTITUTE(SUBSTITUTE(SUBSTITUTE(SUBSTITUTE(SUBSTITUTE(SUBSTITUTE(SUBSTITUTE(SUBSTITUTE(SUBSTITUTE(H51&amp;"","0",""),"1",""),"2",""),"3",""),"4",""),"5",""),"6",""),"7",""),"8",""),"9","")=""))),"SIREN : 9 chiffres attendus",IF(AND(M51&lt;&gt;"",OR(NOT(ISNUMBER(M51)),N(M51)&lt;0)),"Délai de paiement invalide","OK"))))))))</f>
        <v/>
      </c>
      <c r="Q51" s="62" t="str">
        <f>IF(A51="","",ROUND(SUMIFS(fa_ht,fa_client,A51,fa_year,db_year)*100,0))</f>
        <v/>
      </c>
      <c r="R51" s="62" t="str">
        <f>IF(N(Q51)&lt;=0,"",COUNTIF($Q$6:$Q$305,"&gt;"&amp;Q51)+COUNTIF($Q$6:Q51,Q51))</f>
        <v/>
      </c>
      <c r="S51" s="62" t="str">
        <f>IF(A51="","",ROUND(SUMIFS(fa_reste,fa_client,A51,fa_reste,"&gt;0")*100,0))</f>
        <v/>
      </c>
      <c r="T51" s="62" t="str">
        <f>IF(N(S51)&lt;=0,"",COUNTIF($S$6:$S$305,"&gt;"&amp;S51)+COUNTIF($S$6:S51,S51))</f>
        <v/>
      </c>
    </row>
    <row r="52">
      <c r="A52" s="60" t="n"/>
      <c r="B52" s="63" t="n"/>
      <c r="C52" s="60" t="n"/>
      <c r="D52" s="63" t="n"/>
      <c r="E52" s="63" t="n"/>
      <c r="F52" s="60" t="n"/>
      <c r="G52" s="143" t="n"/>
      <c r="H52" s="143" t="n"/>
      <c r="I52" s="63" t="n"/>
      <c r="J52" s="63" t="n"/>
      <c r="K52" s="63" t="n"/>
      <c r="L52" s="63" t="n"/>
      <c r="M52" s="144" t="n"/>
      <c r="N52" s="65" t="str">
        <f>IF(A52="","",SUMIF(fa_client,A52,fa_ht))</f>
        <v/>
      </c>
      <c r="O52" s="65" t="str">
        <f>IF(A52="","",SUMIF(fa_client,A52,fa_reste))</f>
        <v/>
      </c>
      <c r="P52" s="59" t="str">
        <f>IF(COUNTA(A52:M52)=0,"",IF(A52="","Code manquant",IF(COUNTIF(cli_code,A52)&gt;1,"Code en double",IF(B52="","Nom manquant",IF(AND(p_country="Maroc",C52&lt;&gt;"Particulier",OR(F52="",F52="Maroc"),G52=""),"ICE manquant (client professionnel)",IF(AND(G52&lt;&gt;"",NOT(AND(LEN(G52&amp;"")=15,SUBSTITUTE(SUBSTITUTE(SUBSTITUTE(SUBSTITUTE(SUBSTITUTE(SUBSTITUTE(SUBSTITUTE(SUBSTITUTE(SUBSTITUTE(SUBSTITUTE(G52&amp;"","0",""),"1",""),"2",""),"3",""),"4",""),"5",""),"6",""),"7",""),"8",""),"9","")=""))),"ICE : 15 chiffres attendus",IF(AND(H52&lt;&gt;"",NOT(AND(LEN(H52&amp;"")=9,SUBSTITUTE(SUBSTITUTE(SUBSTITUTE(SUBSTITUTE(SUBSTITUTE(SUBSTITUTE(SUBSTITUTE(SUBSTITUTE(SUBSTITUTE(SUBSTITUTE(H52&amp;"","0",""),"1",""),"2",""),"3",""),"4",""),"5",""),"6",""),"7",""),"8",""),"9","")=""))),"SIREN : 9 chiffres attendus",IF(AND(M52&lt;&gt;"",OR(NOT(ISNUMBER(M52)),N(M52)&lt;0)),"Délai de paiement invalide","OK"))))))))</f>
        <v/>
      </c>
      <c r="Q52" s="62" t="str">
        <f>IF(A52="","",ROUND(SUMIFS(fa_ht,fa_client,A52,fa_year,db_year)*100,0))</f>
        <v/>
      </c>
      <c r="R52" s="62" t="str">
        <f>IF(N(Q52)&lt;=0,"",COUNTIF($Q$6:$Q$305,"&gt;"&amp;Q52)+COUNTIF($Q$6:Q52,Q52))</f>
        <v/>
      </c>
      <c r="S52" s="62" t="str">
        <f>IF(A52="","",ROUND(SUMIFS(fa_reste,fa_client,A52,fa_reste,"&gt;0")*100,0))</f>
        <v/>
      </c>
      <c r="T52" s="62" t="str">
        <f>IF(N(S52)&lt;=0,"",COUNTIF($S$6:$S$305,"&gt;"&amp;S52)+COUNTIF($S$6:S52,S52))</f>
        <v/>
      </c>
    </row>
    <row r="53">
      <c r="A53" s="60" t="n"/>
      <c r="B53" s="63" t="n"/>
      <c r="C53" s="60" t="n"/>
      <c r="D53" s="63" t="n"/>
      <c r="E53" s="63" t="n"/>
      <c r="F53" s="60" t="n"/>
      <c r="G53" s="143" t="n"/>
      <c r="H53" s="143" t="n"/>
      <c r="I53" s="63" t="n"/>
      <c r="J53" s="63" t="n"/>
      <c r="K53" s="63" t="n"/>
      <c r="L53" s="63" t="n"/>
      <c r="M53" s="144" t="n"/>
      <c r="N53" s="65" t="str">
        <f>IF(A53="","",SUMIF(fa_client,A53,fa_ht))</f>
        <v/>
      </c>
      <c r="O53" s="65" t="str">
        <f>IF(A53="","",SUMIF(fa_client,A53,fa_reste))</f>
        <v/>
      </c>
      <c r="P53" s="59" t="str">
        <f>IF(COUNTA(A53:M53)=0,"",IF(A53="","Code manquant",IF(COUNTIF(cli_code,A53)&gt;1,"Code en double",IF(B53="","Nom manquant",IF(AND(p_country="Maroc",C53&lt;&gt;"Particulier",OR(F53="",F53="Maroc"),G53=""),"ICE manquant (client professionnel)",IF(AND(G53&lt;&gt;"",NOT(AND(LEN(G53&amp;"")=15,SUBSTITUTE(SUBSTITUTE(SUBSTITUTE(SUBSTITUTE(SUBSTITUTE(SUBSTITUTE(SUBSTITUTE(SUBSTITUTE(SUBSTITUTE(SUBSTITUTE(G53&amp;"","0",""),"1",""),"2",""),"3",""),"4",""),"5",""),"6",""),"7",""),"8",""),"9","")=""))),"ICE : 15 chiffres attendus",IF(AND(H53&lt;&gt;"",NOT(AND(LEN(H53&amp;"")=9,SUBSTITUTE(SUBSTITUTE(SUBSTITUTE(SUBSTITUTE(SUBSTITUTE(SUBSTITUTE(SUBSTITUTE(SUBSTITUTE(SUBSTITUTE(SUBSTITUTE(H53&amp;"","0",""),"1",""),"2",""),"3",""),"4",""),"5",""),"6",""),"7",""),"8",""),"9","")=""))),"SIREN : 9 chiffres attendus",IF(AND(M53&lt;&gt;"",OR(NOT(ISNUMBER(M53)),N(M53)&lt;0)),"Délai de paiement invalide","OK"))))))))</f>
        <v/>
      </c>
      <c r="Q53" s="62" t="str">
        <f>IF(A53="","",ROUND(SUMIFS(fa_ht,fa_client,A53,fa_year,db_year)*100,0))</f>
        <v/>
      </c>
      <c r="R53" s="62" t="str">
        <f>IF(N(Q53)&lt;=0,"",COUNTIF($Q$6:$Q$305,"&gt;"&amp;Q53)+COUNTIF($Q$6:Q53,Q53))</f>
        <v/>
      </c>
      <c r="S53" s="62" t="str">
        <f>IF(A53="","",ROUND(SUMIFS(fa_reste,fa_client,A53,fa_reste,"&gt;0")*100,0))</f>
        <v/>
      </c>
      <c r="T53" s="62" t="str">
        <f>IF(N(S53)&lt;=0,"",COUNTIF($S$6:$S$305,"&gt;"&amp;S53)+COUNTIF($S$6:S53,S53))</f>
        <v/>
      </c>
    </row>
    <row r="54">
      <c r="A54" s="60" t="n"/>
      <c r="B54" s="63" t="n"/>
      <c r="C54" s="60" t="n"/>
      <c r="D54" s="63" t="n"/>
      <c r="E54" s="63" t="n"/>
      <c r="F54" s="60" t="n"/>
      <c r="G54" s="143" t="n"/>
      <c r="H54" s="143" t="n"/>
      <c r="I54" s="63" t="n"/>
      <c r="J54" s="63" t="n"/>
      <c r="K54" s="63" t="n"/>
      <c r="L54" s="63" t="n"/>
      <c r="M54" s="144" t="n"/>
      <c r="N54" s="65" t="str">
        <f>IF(A54="","",SUMIF(fa_client,A54,fa_ht))</f>
        <v/>
      </c>
      <c r="O54" s="65" t="str">
        <f>IF(A54="","",SUMIF(fa_client,A54,fa_reste))</f>
        <v/>
      </c>
      <c r="P54" s="59" t="str">
        <f>IF(COUNTA(A54:M54)=0,"",IF(A54="","Code manquant",IF(COUNTIF(cli_code,A54)&gt;1,"Code en double",IF(B54="","Nom manquant",IF(AND(p_country="Maroc",C54&lt;&gt;"Particulier",OR(F54="",F54="Maroc"),G54=""),"ICE manquant (client professionnel)",IF(AND(G54&lt;&gt;"",NOT(AND(LEN(G54&amp;"")=15,SUBSTITUTE(SUBSTITUTE(SUBSTITUTE(SUBSTITUTE(SUBSTITUTE(SUBSTITUTE(SUBSTITUTE(SUBSTITUTE(SUBSTITUTE(SUBSTITUTE(G54&amp;"","0",""),"1",""),"2",""),"3",""),"4",""),"5",""),"6",""),"7",""),"8",""),"9","")=""))),"ICE : 15 chiffres attendus",IF(AND(H54&lt;&gt;"",NOT(AND(LEN(H54&amp;"")=9,SUBSTITUTE(SUBSTITUTE(SUBSTITUTE(SUBSTITUTE(SUBSTITUTE(SUBSTITUTE(SUBSTITUTE(SUBSTITUTE(SUBSTITUTE(SUBSTITUTE(H54&amp;"","0",""),"1",""),"2",""),"3",""),"4",""),"5",""),"6",""),"7",""),"8",""),"9","")=""))),"SIREN : 9 chiffres attendus",IF(AND(M54&lt;&gt;"",OR(NOT(ISNUMBER(M54)),N(M54)&lt;0)),"Délai de paiement invalide","OK"))))))))</f>
        <v/>
      </c>
      <c r="Q54" s="62" t="str">
        <f>IF(A54="","",ROUND(SUMIFS(fa_ht,fa_client,A54,fa_year,db_year)*100,0))</f>
        <v/>
      </c>
      <c r="R54" s="62" t="str">
        <f>IF(N(Q54)&lt;=0,"",COUNTIF($Q$6:$Q$305,"&gt;"&amp;Q54)+COUNTIF($Q$6:Q54,Q54))</f>
        <v/>
      </c>
      <c r="S54" s="62" t="str">
        <f>IF(A54="","",ROUND(SUMIFS(fa_reste,fa_client,A54,fa_reste,"&gt;0")*100,0))</f>
        <v/>
      </c>
      <c r="T54" s="62" t="str">
        <f>IF(N(S54)&lt;=0,"",COUNTIF($S$6:$S$305,"&gt;"&amp;S54)+COUNTIF($S$6:S54,S54))</f>
        <v/>
      </c>
    </row>
    <row r="55">
      <c r="A55" s="60" t="n"/>
      <c r="B55" s="63" t="n"/>
      <c r="C55" s="60" t="n"/>
      <c r="D55" s="63" t="n"/>
      <c r="E55" s="63" t="n"/>
      <c r="F55" s="60" t="n"/>
      <c r="G55" s="143" t="n"/>
      <c r="H55" s="143" t="n"/>
      <c r="I55" s="63" t="n"/>
      <c r="J55" s="63" t="n"/>
      <c r="K55" s="63" t="n"/>
      <c r="L55" s="63" t="n"/>
      <c r="M55" s="144" t="n"/>
      <c r="N55" s="65" t="str">
        <f>IF(A55="","",SUMIF(fa_client,A55,fa_ht))</f>
        <v/>
      </c>
      <c r="O55" s="65" t="str">
        <f>IF(A55="","",SUMIF(fa_client,A55,fa_reste))</f>
        <v/>
      </c>
      <c r="P55" s="59" t="str">
        <f>IF(COUNTA(A55:M55)=0,"",IF(A55="","Code manquant",IF(COUNTIF(cli_code,A55)&gt;1,"Code en double",IF(B55="","Nom manquant",IF(AND(p_country="Maroc",C55&lt;&gt;"Particulier",OR(F55="",F55="Maroc"),G55=""),"ICE manquant (client professionnel)",IF(AND(G55&lt;&gt;"",NOT(AND(LEN(G55&amp;"")=15,SUBSTITUTE(SUBSTITUTE(SUBSTITUTE(SUBSTITUTE(SUBSTITUTE(SUBSTITUTE(SUBSTITUTE(SUBSTITUTE(SUBSTITUTE(SUBSTITUTE(G55&amp;"","0",""),"1",""),"2",""),"3",""),"4",""),"5",""),"6",""),"7",""),"8",""),"9","")=""))),"ICE : 15 chiffres attendus",IF(AND(H55&lt;&gt;"",NOT(AND(LEN(H55&amp;"")=9,SUBSTITUTE(SUBSTITUTE(SUBSTITUTE(SUBSTITUTE(SUBSTITUTE(SUBSTITUTE(SUBSTITUTE(SUBSTITUTE(SUBSTITUTE(SUBSTITUTE(H55&amp;"","0",""),"1",""),"2",""),"3",""),"4",""),"5",""),"6",""),"7",""),"8",""),"9","")=""))),"SIREN : 9 chiffres attendus",IF(AND(M55&lt;&gt;"",OR(NOT(ISNUMBER(M55)),N(M55)&lt;0)),"Délai de paiement invalide","OK"))))))))</f>
        <v/>
      </c>
      <c r="Q55" s="62" t="str">
        <f>IF(A55="","",ROUND(SUMIFS(fa_ht,fa_client,A55,fa_year,db_year)*100,0))</f>
        <v/>
      </c>
      <c r="R55" s="62" t="str">
        <f>IF(N(Q55)&lt;=0,"",COUNTIF($Q$6:$Q$305,"&gt;"&amp;Q55)+COUNTIF($Q$6:Q55,Q55))</f>
        <v/>
      </c>
      <c r="S55" s="62" t="str">
        <f>IF(A55="","",ROUND(SUMIFS(fa_reste,fa_client,A55,fa_reste,"&gt;0")*100,0))</f>
        <v/>
      </c>
      <c r="T55" s="62" t="str">
        <f>IF(N(S55)&lt;=0,"",COUNTIF($S$6:$S$305,"&gt;"&amp;S55)+COUNTIF($S$6:S55,S55))</f>
        <v/>
      </c>
    </row>
    <row r="56">
      <c r="A56" s="60" t="n"/>
      <c r="B56" s="63" t="n"/>
      <c r="C56" s="60" t="n"/>
      <c r="D56" s="63" t="n"/>
      <c r="E56" s="63" t="n"/>
      <c r="F56" s="60" t="n"/>
      <c r="G56" s="143" t="n"/>
      <c r="H56" s="143" t="n"/>
      <c r="I56" s="63" t="n"/>
      <c r="J56" s="63" t="n"/>
      <c r="K56" s="63" t="n"/>
      <c r="L56" s="63" t="n"/>
      <c r="M56" s="144" t="n"/>
      <c r="N56" s="65" t="str">
        <f>IF(A56="","",SUMIF(fa_client,A56,fa_ht))</f>
        <v/>
      </c>
      <c r="O56" s="65" t="str">
        <f>IF(A56="","",SUMIF(fa_client,A56,fa_reste))</f>
        <v/>
      </c>
      <c r="P56" s="59" t="str">
        <f>IF(COUNTA(A56:M56)=0,"",IF(A56="","Code manquant",IF(COUNTIF(cli_code,A56)&gt;1,"Code en double",IF(B56="","Nom manquant",IF(AND(p_country="Maroc",C56&lt;&gt;"Particulier",OR(F56="",F56="Maroc"),G56=""),"ICE manquant (client professionnel)",IF(AND(G56&lt;&gt;"",NOT(AND(LEN(G56&amp;"")=15,SUBSTITUTE(SUBSTITUTE(SUBSTITUTE(SUBSTITUTE(SUBSTITUTE(SUBSTITUTE(SUBSTITUTE(SUBSTITUTE(SUBSTITUTE(SUBSTITUTE(G56&amp;"","0",""),"1",""),"2",""),"3",""),"4",""),"5",""),"6",""),"7",""),"8",""),"9","")=""))),"ICE : 15 chiffres attendus",IF(AND(H56&lt;&gt;"",NOT(AND(LEN(H56&amp;"")=9,SUBSTITUTE(SUBSTITUTE(SUBSTITUTE(SUBSTITUTE(SUBSTITUTE(SUBSTITUTE(SUBSTITUTE(SUBSTITUTE(SUBSTITUTE(SUBSTITUTE(H56&amp;"","0",""),"1",""),"2",""),"3",""),"4",""),"5",""),"6",""),"7",""),"8",""),"9","")=""))),"SIREN : 9 chiffres attendus",IF(AND(M56&lt;&gt;"",OR(NOT(ISNUMBER(M56)),N(M56)&lt;0)),"Délai de paiement invalide","OK"))))))))</f>
        <v/>
      </c>
      <c r="Q56" s="62" t="str">
        <f>IF(A56="","",ROUND(SUMIFS(fa_ht,fa_client,A56,fa_year,db_year)*100,0))</f>
        <v/>
      </c>
      <c r="R56" s="62" t="str">
        <f>IF(N(Q56)&lt;=0,"",COUNTIF($Q$6:$Q$305,"&gt;"&amp;Q56)+COUNTIF($Q$6:Q56,Q56))</f>
        <v/>
      </c>
      <c r="S56" s="62" t="str">
        <f>IF(A56="","",ROUND(SUMIFS(fa_reste,fa_client,A56,fa_reste,"&gt;0")*100,0))</f>
        <v/>
      </c>
      <c r="T56" s="62" t="str">
        <f>IF(N(S56)&lt;=0,"",COUNTIF($S$6:$S$305,"&gt;"&amp;S56)+COUNTIF($S$6:S56,S56))</f>
        <v/>
      </c>
    </row>
    <row r="57">
      <c r="A57" s="60" t="n"/>
      <c r="B57" s="63" t="n"/>
      <c r="C57" s="60" t="n"/>
      <c r="D57" s="63" t="n"/>
      <c r="E57" s="63" t="n"/>
      <c r="F57" s="60" t="n"/>
      <c r="G57" s="143" t="n"/>
      <c r="H57" s="143" t="n"/>
      <c r="I57" s="63" t="n"/>
      <c r="J57" s="63" t="n"/>
      <c r="K57" s="63" t="n"/>
      <c r="L57" s="63" t="n"/>
      <c r="M57" s="144" t="n"/>
      <c r="N57" s="65" t="str">
        <f>IF(A57="","",SUMIF(fa_client,A57,fa_ht))</f>
        <v/>
      </c>
      <c r="O57" s="65" t="str">
        <f>IF(A57="","",SUMIF(fa_client,A57,fa_reste))</f>
        <v/>
      </c>
      <c r="P57" s="59" t="str">
        <f>IF(COUNTA(A57:M57)=0,"",IF(A57="","Code manquant",IF(COUNTIF(cli_code,A57)&gt;1,"Code en double",IF(B57="","Nom manquant",IF(AND(p_country="Maroc",C57&lt;&gt;"Particulier",OR(F57="",F57="Maroc"),G57=""),"ICE manquant (client professionnel)",IF(AND(G57&lt;&gt;"",NOT(AND(LEN(G57&amp;"")=15,SUBSTITUTE(SUBSTITUTE(SUBSTITUTE(SUBSTITUTE(SUBSTITUTE(SUBSTITUTE(SUBSTITUTE(SUBSTITUTE(SUBSTITUTE(SUBSTITUTE(G57&amp;"","0",""),"1",""),"2",""),"3",""),"4",""),"5",""),"6",""),"7",""),"8",""),"9","")=""))),"ICE : 15 chiffres attendus",IF(AND(H57&lt;&gt;"",NOT(AND(LEN(H57&amp;"")=9,SUBSTITUTE(SUBSTITUTE(SUBSTITUTE(SUBSTITUTE(SUBSTITUTE(SUBSTITUTE(SUBSTITUTE(SUBSTITUTE(SUBSTITUTE(SUBSTITUTE(H57&amp;"","0",""),"1",""),"2",""),"3",""),"4",""),"5",""),"6",""),"7",""),"8",""),"9","")=""))),"SIREN : 9 chiffres attendus",IF(AND(M57&lt;&gt;"",OR(NOT(ISNUMBER(M57)),N(M57)&lt;0)),"Délai de paiement invalide","OK"))))))))</f>
        <v/>
      </c>
      <c r="Q57" s="62" t="str">
        <f>IF(A57="","",ROUND(SUMIFS(fa_ht,fa_client,A57,fa_year,db_year)*100,0))</f>
        <v/>
      </c>
      <c r="R57" s="62" t="str">
        <f>IF(N(Q57)&lt;=0,"",COUNTIF($Q$6:$Q$305,"&gt;"&amp;Q57)+COUNTIF($Q$6:Q57,Q57))</f>
        <v/>
      </c>
      <c r="S57" s="62" t="str">
        <f>IF(A57="","",ROUND(SUMIFS(fa_reste,fa_client,A57,fa_reste,"&gt;0")*100,0))</f>
        <v/>
      </c>
      <c r="T57" s="62" t="str">
        <f>IF(N(S57)&lt;=0,"",COUNTIF($S$6:$S$305,"&gt;"&amp;S57)+COUNTIF($S$6:S57,S57))</f>
        <v/>
      </c>
    </row>
    <row r="58">
      <c r="A58" s="60" t="n"/>
      <c r="B58" s="63" t="n"/>
      <c r="C58" s="60" t="n"/>
      <c r="D58" s="63" t="n"/>
      <c r="E58" s="63" t="n"/>
      <c r="F58" s="60" t="n"/>
      <c r="G58" s="143" t="n"/>
      <c r="H58" s="143" t="n"/>
      <c r="I58" s="63" t="n"/>
      <c r="J58" s="63" t="n"/>
      <c r="K58" s="63" t="n"/>
      <c r="L58" s="63" t="n"/>
      <c r="M58" s="144" t="n"/>
      <c r="N58" s="65" t="str">
        <f>IF(A58="","",SUMIF(fa_client,A58,fa_ht))</f>
        <v/>
      </c>
      <c r="O58" s="65" t="str">
        <f>IF(A58="","",SUMIF(fa_client,A58,fa_reste))</f>
        <v/>
      </c>
      <c r="P58" s="59" t="str">
        <f>IF(COUNTA(A58:M58)=0,"",IF(A58="","Code manquant",IF(COUNTIF(cli_code,A58)&gt;1,"Code en double",IF(B58="","Nom manquant",IF(AND(p_country="Maroc",C58&lt;&gt;"Particulier",OR(F58="",F58="Maroc"),G58=""),"ICE manquant (client professionnel)",IF(AND(G58&lt;&gt;"",NOT(AND(LEN(G58&amp;"")=15,SUBSTITUTE(SUBSTITUTE(SUBSTITUTE(SUBSTITUTE(SUBSTITUTE(SUBSTITUTE(SUBSTITUTE(SUBSTITUTE(SUBSTITUTE(SUBSTITUTE(G58&amp;"","0",""),"1",""),"2",""),"3",""),"4",""),"5",""),"6",""),"7",""),"8",""),"9","")=""))),"ICE : 15 chiffres attendus",IF(AND(H58&lt;&gt;"",NOT(AND(LEN(H58&amp;"")=9,SUBSTITUTE(SUBSTITUTE(SUBSTITUTE(SUBSTITUTE(SUBSTITUTE(SUBSTITUTE(SUBSTITUTE(SUBSTITUTE(SUBSTITUTE(SUBSTITUTE(H58&amp;"","0",""),"1",""),"2",""),"3",""),"4",""),"5",""),"6",""),"7",""),"8",""),"9","")=""))),"SIREN : 9 chiffres attendus",IF(AND(M58&lt;&gt;"",OR(NOT(ISNUMBER(M58)),N(M58)&lt;0)),"Délai de paiement invalide","OK"))))))))</f>
        <v/>
      </c>
      <c r="Q58" s="62" t="str">
        <f>IF(A58="","",ROUND(SUMIFS(fa_ht,fa_client,A58,fa_year,db_year)*100,0))</f>
        <v/>
      </c>
      <c r="R58" s="62" t="str">
        <f>IF(N(Q58)&lt;=0,"",COUNTIF($Q$6:$Q$305,"&gt;"&amp;Q58)+COUNTIF($Q$6:Q58,Q58))</f>
        <v/>
      </c>
      <c r="S58" s="62" t="str">
        <f>IF(A58="","",ROUND(SUMIFS(fa_reste,fa_client,A58,fa_reste,"&gt;0")*100,0))</f>
        <v/>
      </c>
      <c r="T58" s="62" t="str">
        <f>IF(N(S58)&lt;=0,"",COUNTIF($S$6:$S$305,"&gt;"&amp;S58)+COUNTIF($S$6:S58,S58))</f>
        <v/>
      </c>
    </row>
    <row r="59">
      <c r="A59" s="60" t="n"/>
      <c r="B59" s="63" t="n"/>
      <c r="C59" s="60" t="n"/>
      <c r="D59" s="63" t="n"/>
      <c r="E59" s="63" t="n"/>
      <c r="F59" s="60" t="n"/>
      <c r="G59" s="143" t="n"/>
      <c r="H59" s="143" t="n"/>
      <c r="I59" s="63" t="n"/>
      <c r="J59" s="63" t="n"/>
      <c r="K59" s="63" t="n"/>
      <c r="L59" s="63" t="n"/>
      <c r="M59" s="144" t="n"/>
      <c r="N59" s="65" t="str">
        <f>IF(A59="","",SUMIF(fa_client,A59,fa_ht))</f>
        <v/>
      </c>
      <c r="O59" s="65" t="str">
        <f>IF(A59="","",SUMIF(fa_client,A59,fa_reste))</f>
        <v/>
      </c>
      <c r="P59" s="59" t="str">
        <f>IF(COUNTA(A59:M59)=0,"",IF(A59="","Code manquant",IF(COUNTIF(cli_code,A59)&gt;1,"Code en double",IF(B59="","Nom manquant",IF(AND(p_country="Maroc",C59&lt;&gt;"Particulier",OR(F59="",F59="Maroc"),G59=""),"ICE manquant (client professionnel)",IF(AND(G59&lt;&gt;"",NOT(AND(LEN(G59&amp;"")=15,SUBSTITUTE(SUBSTITUTE(SUBSTITUTE(SUBSTITUTE(SUBSTITUTE(SUBSTITUTE(SUBSTITUTE(SUBSTITUTE(SUBSTITUTE(SUBSTITUTE(G59&amp;"","0",""),"1",""),"2",""),"3",""),"4",""),"5",""),"6",""),"7",""),"8",""),"9","")=""))),"ICE : 15 chiffres attendus",IF(AND(H59&lt;&gt;"",NOT(AND(LEN(H59&amp;"")=9,SUBSTITUTE(SUBSTITUTE(SUBSTITUTE(SUBSTITUTE(SUBSTITUTE(SUBSTITUTE(SUBSTITUTE(SUBSTITUTE(SUBSTITUTE(SUBSTITUTE(H59&amp;"","0",""),"1",""),"2",""),"3",""),"4",""),"5",""),"6",""),"7",""),"8",""),"9","")=""))),"SIREN : 9 chiffres attendus",IF(AND(M59&lt;&gt;"",OR(NOT(ISNUMBER(M59)),N(M59)&lt;0)),"Délai de paiement invalide","OK"))))))))</f>
        <v/>
      </c>
      <c r="Q59" s="62" t="str">
        <f>IF(A59="","",ROUND(SUMIFS(fa_ht,fa_client,A59,fa_year,db_year)*100,0))</f>
        <v/>
      </c>
      <c r="R59" s="62" t="str">
        <f>IF(N(Q59)&lt;=0,"",COUNTIF($Q$6:$Q$305,"&gt;"&amp;Q59)+COUNTIF($Q$6:Q59,Q59))</f>
        <v/>
      </c>
      <c r="S59" s="62" t="str">
        <f>IF(A59="","",ROUND(SUMIFS(fa_reste,fa_client,A59,fa_reste,"&gt;0")*100,0))</f>
        <v/>
      </c>
      <c r="T59" s="62" t="str">
        <f>IF(N(S59)&lt;=0,"",COUNTIF($S$6:$S$305,"&gt;"&amp;S59)+COUNTIF($S$6:S59,S59))</f>
        <v/>
      </c>
    </row>
    <row r="60">
      <c r="A60" s="60" t="n"/>
      <c r="B60" s="63" t="n"/>
      <c r="C60" s="60" t="n"/>
      <c r="D60" s="63" t="n"/>
      <c r="E60" s="63" t="n"/>
      <c r="F60" s="60" t="n"/>
      <c r="G60" s="143" t="n"/>
      <c r="H60" s="143" t="n"/>
      <c r="I60" s="63" t="n"/>
      <c r="J60" s="63" t="n"/>
      <c r="K60" s="63" t="n"/>
      <c r="L60" s="63" t="n"/>
      <c r="M60" s="144" t="n"/>
      <c r="N60" s="65" t="str">
        <f>IF(A60="","",SUMIF(fa_client,A60,fa_ht))</f>
        <v/>
      </c>
      <c r="O60" s="65" t="str">
        <f>IF(A60="","",SUMIF(fa_client,A60,fa_reste))</f>
        <v/>
      </c>
      <c r="P60" s="59" t="str">
        <f>IF(COUNTA(A60:M60)=0,"",IF(A60="","Code manquant",IF(COUNTIF(cli_code,A60)&gt;1,"Code en double",IF(B60="","Nom manquant",IF(AND(p_country="Maroc",C60&lt;&gt;"Particulier",OR(F60="",F60="Maroc"),G60=""),"ICE manquant (client professionnel)",IF(AND(G60&lt;&gt;"",NOT(AND(LEN(G60&amp;"")=15,SUBSTITUTE(SUBSTITUTE(SUBSTITUTE(SUBSTITUTE(SUBSTITUTE(SUBSTITUTE(SUBSTITUTE(SUBSTITUTE(SUBSTITUTE(SUBSTITUTE(G60&amp;"","0",""),"1",""),"2",""),"3",""),"4",""),"5",""),"6",""),"7",""),"8",""),"9","")=""))),"ICE : 15 chiffres attendus",IF(AND(H60&lt;&gt;"",NOT(AND(LEN(H60&amp;"")=9,SUBSTITUTE(SUBSTITUTE(SUBSTITUTE(SUBSTITUTE(SUBSTITUTE(SUBSTITUTE(SUBSTITUTE(SUBSTITUTE(SUBSTITUTE(SUBSTITUTE(H60&amp;"","0",""),"1",""),"2",""),"3",""),"4",""),"5",""),"6",""),"7",""),"8",""),"9","")=""))),"SIREN : 9 chiffres attendus",IF(AND(M60&lt;&gt;"",OR(NOT(ISNUMBER(M60)),N(M60)&lt;0)),"Délai de paiement invalide","OK"))))))))</f>
        <v/>
      </c>
      <c r="Q60" s="62" t="str">
        <f>IF(A60="","",ROUND(SUMIFS(fa_ht,fa_client,A60,fa_year,db_year)*100,0))</f>
        <v/>
      </c>
      <c r="R60" s="62" t="str">
        <f>IF(N(Q60)&lt;=0,"",COUNTIF($Q$6:$Q$305,"&gt;"&amp;Q60)+COUNTIF($Q$6:Q60,Q60))</f>
        <v/>
      </c>
      <c r="S60" s="62" t="str">
        <f>IF(A60="","",ROUND(SUMIFS(fa_reste,fa_client,A60,fa_reste,"&gt;0")*100,0))</f>
        <v/>
      </c>
      <c r="T60" s="62" t="str">
        <f>IF(N(S60)&lt;=0,"",COUNTIF($S$6:$S$305,"&gt;"&amp;S60)+COUNTIF($S$6:S60,S60))</f>
        <v/>
      </c>
    </row>
    <row r="61">
      <c r="A61" s="60" t="n"/>
      <c r="B61" s="63" t="n"/>
      <c r="C61" s="60" t="n"/>
      <c r="D61" s="63" t="n"/>
      <c r="E61" s="63" t="n"/>
      <c r="F61" s="60" t="n"/>
      <c r="G61" s="143" t="n"/>
      <c r="H61" s="143" t="n"/>
      <c r="I61" s="63" t="n"/>
      <c r="J61" s="63" t="n"/>
      <c r="K61" s="63" t="n"/>
      <c r="L61" s="63" t="n"/>
      <c r="M61" s="144" t="n"/>
      <c r="N61" s="65" t="str">
        <f>IF(A61="","",SUMIF(fa_client,A61,fa_ht))</f>
        <v/>
      </c>
      <c r="O61" s="65" t="str">
        <f>IF(A61="","",SUMIF(fa_client,A61,fa_reste))</f>
        <v/>
      </c>
      <c r="P61" s="59" t="str">
        <f>IF(COUNTA(A61:M61)=0,"",IF(A61="","Code manquant",IF(COUNTIF(cli_code,A61)&gt;1,"Code en double",IF(B61="","Nom manquant",IF(AND(p_country="Maroc",C61&lt;&gt;"Particulier",OR(F61="",F61="Maroc"),G61=""),"ICE manquant (client professionnel)",IF(AND(G61&lt;&gt;"",NOT(AND(LEN(G61&amp;"")=15,SUBSTITUTE(SUBSTITUTE(SUBSTITUTE(SUBSTITUTE(SUBSTITUTE(SUBSTITUTE(SUBSTITUTE(SUBSTITUTE(SUBSTITUTE(SUBSTITUTE(G61&amp;"","0",""),"1",""),"2",""),"3",""),"4",""),"5",""),"6",""),"7",""),"8",""),"9","")=""))),"ICE : 15 chiffres attendus",IF(AND(H61&lt;&gt;"",NOT(AND(LEN(H61&amp;"")=9,SUBSTITUTE(SUBSTITUTE(SUBSTITUTE(SUBSTITUTE(SUBSTITUTE(SUBSTITUTE(SUBSTITUTE(SUBSTITUTE(SUBSTITUTE(SUBSTITUTE(H61&amp;"","0",""),"1",""),"2",""),"3",""),"4",""),"5",""),"6",""),"7",""),"8",""),"9","")=""))),"SIREN : 9 chiffres attendus",IF(AND(M61&lt;&gt;"",OR(NOT(ISNUMBER(M61)),N(M61)&lt;0)),"Délai de paiement invalide","OK"))))))))</f>
        <v/>
      </c>
      <c r="Q61" s="62" t="str">
        <f>IF(A61="","",ROUND(SUMIFS(fa_ht,fa_client,A61,fa_year,db_year)*100,0))</f>
        <v/>
      </c>
      <c r="R61" s="62" t="str">
        <f>IF(N(Q61)&lt;=0,"",COUNTIF($Q$6:$Q$305,"&gt;"&amp;Q61)+COUNTIF($Q$6:Q61,Q61))</f>
        <v/>
      </c>
      <c r="S61" s="62" t="str">
        <f>IF(A61="","",ROUND(SUMIFS(fa_reste,fa_client,A61,fa_reste,"&gt;0")*100,0))</f>
        <v/>
      </c>
      <c r="T61" s="62" t="str">
        <f>IF(N(S61)&lt;=0,"",COUNTIF($S$6:$S$305,"&gt;"&amp;S61)+COUNTIF($S$6:S61,S61))</f>
        <v/>
      </c>
    </row>
    <row r="62">
      <c r="A62" s="60" t="n"/>
      <c r="B62" s="63" t="n"/>
      <c r="C62" s="60" t="n"/>
      <c r="D62" s="63" t="n"/>
      <c r="E62" s="63" t="n"/>
      <c r="F62" s="60" t="n"/>
      <c r="G62" s="143" t="n"/>
      <c r="H62" s="143" t="n"/>
      <c r="I62" s="63" t="n"/>
      <c r="J62" s="63" t="n"/>
      <c r="K62" s="63" t="n"/>
      <c r="L62" s="63" t="n"/>
      <c r="M62" s="144" t="n"/>
      <c r="N62" s="65" t="str">
        <f>IF(A62="","",SUMIF(fa_client,A62,fa_ht))</f>
        <v/>
      </c>
      <c r="O62" s="65" t="str">
        <f>IF(A62="","",SUMIF(fa_client,A62,fa_reste))</f>
        <v/>
      </c>
      <c r="P62" s="59" t="str">
        <f>IF(COUNTA(A62:M62)=0,"",IF(A62="","Code manquant",IF(COUNTIF(cli_code,A62)&gt;1,"Code en double",IF(B62="","Nom manquant",IF(AND(p_country="Maroc",C62&lt;&gt;"Particulier",OR(F62="",F62="Maroc"),G62=""),"ICE manquant (client professionnel)",IF(AND(G62&lt;&gt;"",NOT(AND(LEN(G62&amp;"")=15,SUBSTITUTE(SUBSTITUTE(SUBSTITUTE(SUBSTITUTE(SUBSTITUTE(SUBSTITUTE(SUBSTITUTE(SUBSTITUTE(SUBSTITUTE(SUBSTITUTE(G62&amp;"","0",""),"1",""),"2",""),"3",""),"4",""),"5",""),"6",""),"7",""),"8",""),"9","")=""))),"ICE : 15 chiffres attendus",IF(AND(H62&lt;&gt;"",NOT(AND(LEN(H62&amp;"")=9,SUBSTITUTE(SUBSTITUTE(SUBSTITUTE(SUBSTITUTE(SUBSTITUTE(SUBSTITUTE(SUBSTITUTE(SUBSTITUTE(SUBSTITUTE(SUBSTITUTE(H62&amp;"","0",""),"1",""),"2",""),"3",""),"4",""),"5",""),"6",""),"7",""),"8",""),"9","")=""))),"SIREN : 9 chiffres attendus",IF(AND(M62&lt;&gt;"",OR(NOT(ISNUMBER(M62)),N(M62)&lt;0)),"Délai de paiement invalide","OK"))))))))</f>
        <v/>
      </c>
      <c r="Q62" s="62" t="str">
        <f>IF(A62="","",ROUND(SUMIFS(fa_ht,fa_client,A62,fa_year,db_year)*100,0))</f>
        <v/>
      </c>
      <c r="R62" s="62" t="str">
        <f>IF(N(Q62)&lt;=0,"",COUNTIF($Q$6:$Q$305,"&gt;"&amp;Q62)+COUNTIF($Q$6:Q62,Q62))</f>
        <v/>
      </c>
      <c r="S62" s="62" t="str">
        <f>IF(A62="","",ROUND(SUMIFS(fa_reste,fa_client,A62,fa_reste,"&gt;0")*100,0))</f>
        <v/>
      </c>
      <c r="T62" s="62" t="str">
        <f>IF(N(S62)&lt;=0,"",COUNTIF($S$6:$S$305,"&gt;"&amp;S62)+COUNTIF($S$6:S62,S62))</f>
        <v/>
      </c>
    </row>
    <row r="63">
      <c r="A63" s="60" t="n"/>
      <c r="B63" s="63" t="n"/>
      <c r="C63" s="60" t="n"/>
      <c r="D63" s="63" t="n"/>
      <c r="E63" s="63" t="n"/>
      <c r="F63" s="60" t="n"/>
      <c r="G63" s="143" t="n"/>
      <c r="H63" s="143" t="n"/>
      <c r="I63" s="63" t="n"/>
      <c r="J63" s="63" t="n"/>
      <c r="K63" s="63" t="n"/>
      <c r="L63" s="63" t="n"/>
      <c r="M63" s="144" t="n"/>
      <c r="N63" s="65" t="str">
        <f>IF(A63="","",SUMIF(fa_client,A63,fa_ht))</f>
        <v/>
      </c>
      <c r="O63" s="65" t="str">
        <f>IF(A63="","",SUMIF(fa_client,A63,fa_reste))</f>
        <v/>
      </c>
      <c r="P63" s="59" t="str">
        <f>IF(COUNTA(A63:M63)=0,"",IF(A63="","Code manquant",IF(COUNTIF(cli_code,A63)&gt;1,"Code en double",IF(B63="","Nom manquant",IF(AND(p_country="Maroc",C63&lt;&gt;"Particulier",OR(F63="",F63="Maroc"),G63=""),"ICE manquant (client professionnel)",IF(AND(G63&lt;&gt;"",NOT(AND(LEN(G63&amp;"")=15,SUBSTITUTE(SUBSTITUTE(SUBSTITUTE(SUBSTITUTE(SUBSTITUTE(SUBSTITUTE(SUBSTITUTE(SUBSTITUTE(SUBSTITUTE(SUBSTITUTE(G63&amp;"","0",""),"1",""),"2",""),"3",""),"4",""),"5",""),"6",""),"7",""),"8",""),"9","")=""))),"ICE : 15 chiffres attendus",IF(AND(H63&lt;&gt;"",NOT(AND(LEN(H63&amp;"")=9,SUBSTITUTE(SUBSTITUTE(SUBSTITUTE(SUBSTITUTE(SUBSTITUTE(SUBSTITUTE(SUBSTITUTE(SUBSTITUTE(SUBSTITUTE(SUBSTITUTE(H63&amp;"","0",""),"1",""),"2",""),"3",""),"4",""),"5",""),"6",""),"7",""),"8",""),"9","")=""))),"SIREN : 9 chiffres attendus",IF(AND(M63&lt;&gt;"",OR(NOT(ISNUMBER(M63)),N(M63)&lt;0)),"Délai de paiement invalide","OK"))))))))</f>
        <v/>
      </c>
      <c r="Q63" s="62" t="str">
        <f>IF(A63="","",ROUND(SUMIFS(fa_ht,fa_client,A63,fa_year,db_year)*100,0))</f>
        <v/>
      </c>
      <c r="R63" s="62" t="str">
        <f>IF(N(Q63)&lt;=0,"",COUNTIF($Q$6:$Q$305,"&gt;"&amp;Q63)+COUNTIF($Q$6:Q63,Q63))</f>
        <v/>
      </c>
      <c r="S63" s="62" t="str">
        <f>IF(A63="","",ROUND(SUMIFS(fa_reste,fa_client,A63,fa_reste,"&gt;0")*100,0))</f>
        <v/>
      </c>
      <c r="T63" s="62" t="str">
        <f>IF(N(S63)&lt;=0,"",COUNTIF($S$6:$S$305,"&gt;"&amp;S63)+COUNTIF($S$6:S63,S63))</f>
        <v/>
      </c>
    </row>
    <row r="64">
      <c r="A64" s="60" t="n"/>
      <c r="B64" s="63" t="n"/>
      <c r="C64" s="60" t="n"/>
      <c r="D64" s="63" t="n"/>
      <c r="E64" s="63" t="n"/>
      <c r="F64" s="60" t="n"/>
      <c r="G64" s="143" t="n"/>
      <c r="H64" s="143" t="n"/>
      <c r="I64" s="63" t="n"/>
      <c r="J64" s="63" t="n"/>
      <c r="K64" s="63" t="n"/>
      <c r="L64" s="63" t="n"/>
      <c r="M64" s="144" t="n"/>
      <c r="N64" s="65" t="str">
        <f>IF(A64="","",SUMIF(fa_client,A64,fa_ht))</f>
        <v/>
      </c>
      <c r="O64" s="65" t="str">
        <f>IF(A64="","",SUMIF(fa_client,A64,fa_reste))</f>
        <v/>
      </c>
      <c r="P64" s="59" t="str">
        <f>IF(COUNTA(A64:M64)=0,"",IF(A64="","Code manquant",IF(COUNTIF(cli_code,A64)&gt;1,"Code en double",IF(B64="","Nom manquant",IF(AND(p_country="Maroc",C64&lt;&gt;"Particulier",OR(F64="",F64="Maroc"),G64=""),"ICE manquant (client professionnel)",IF(AND(G64&lt;&gt;"",NOT(AND(LEN(G64&amp;"")=15,SUBSTITUTE(SUBSTITUTE(SUBSTITUTE(SUBSTITUTE(SUBSTITUTE(SUBSTITUTE(SUBSTITUTE(SUBSTITUTE(SUBSTITUTE(SUBSTITUTE(G64&amp;"","0",""),"1",""),"2",""),"3",""),"4",""),"5",""),"6",""),"7",""),"8",""),"9","")=""))),"ICE : 15 chiffres attendus",IF(AND(H64&lt;&gt;"",NOT(AND(LEN(H64&amp;"")=9,SUBSTITUTE(SUBSTITUTE(SUBSTITUTE(SUBSTITUTE(SUBSTITUTE(SUBSTITUTE(SUBSTITUTE(SUBSTITUTE(SUBSTITUTE(SUBSTITUTE(H64&amp;"","0",""),"1",""),"2",""),"3",""),"4",""),"5",""),"6",""),"7",""),"8",""),"9","")=""))),"SIREN : 9 chiffres attendus",IF(AND(M64&lt;&gt;"",OR(NOT(ISNUMBER(M64)),N(M64)&lt;0)),"Délai de paiement invalide","OK"))))))))</f>
        <v/>
      </c>
      <c r="Q64" s="62" t="str">
        <f>IF(A64="","",ROUND(SUMIFS(fa_ht,fa_client,A64,fa_year,db_year)*100,0))</f>
        <v/>
      </c>
      <c r="R64" s="62" t="str">
        <f>IF(N(Q64)&lt;=0,"",COUNTIF($Q$6:$Q$305,"&gt;"&amp;Q64)+COUNTIF($Q$6:Q64,Q64))</f>
        <v/>
      </c>
      <c r="S64" s="62" t="str">
        <f>IF(A64="","",ROUND(SUMIFS(fa_reste,fa_client,A64,fa_reste,"&gt;0")*100,0))</f>
        <v/>
      </c>
      <c r="T64" s="62" t="str">
        <f>IF(N(S64)&lt;=0,"",COUNTIF($S$6:$S$305,"&gt;"&amp;S64)+COUNTIF($S$6:S64,S64))</f>
        <v/>
      </c>
    </row>
    <row r="65">
      <c r="A65" s="60" t="n"/>
      <c r="B65" s="63" t="n"/>
      <c r="C65" s="60" t="n"/>
      <c r="D65" s="63" t="n"/>
      <c r="E65" s="63" t="n"/>
      <c r="F65" s="60" t="n"/>
      <c r="G65" s="143" t="n"/>
      <c r="H65" s="143" t="n"/>
      <c r="I65" s="63" t="n"/>
      <c r="J65" s="63" t="n"/>
      <c r="K65" s="63" t="n"/>
      <c r="L65" s="63" t="n"/>
      <c r="M65" s="144" t="n"/>
      <c r="N65" s="65" t="str">
        <f>IF(A65="","",SUMIF(fa_client,A65,fa_ht))</f>
        <v/>
      </c>
      <c r="O65" s="65" t="str">
        <f>IF(A65="","",SUMIF(fa_client,A65,fa_reste))</f>
        <v/>
      </c>
      <c r="P65" s="59" t="str">
        <f>IF(COUNTA(A65:M65)=0,"",IF(A65="","Code manquant",IF(COUNTIF(cli_code,A65)&gt;1,"Code en double",IF(B65="","Nom manquant",IF(AND(p_country="Maroc",C65&lt;&gt;"Particulier",OR(F65="",F65="Maroc"),G65=""),"ICE manquant (client professionnel)",IF(AND(G65&lt;&gt;"",NOT(AND(LEN(G65&amp;"")=15,SUBSTITUTE(SUBSTITUTE(SUBSTITUTE(SUBSTITUTE(SUBSTITUTE(SUBSTITUTE(SUBSTITUTE(SUBSTITUTE(SUBSTITUTE(SUBSTITUTE(G65&amp;"","0",""),"1",""),"2",""),"3",""),"4",""),"5",""),"6",""),"7",""),"8",""),"9","")=""))),"ICE : 15 chiffres attendus",IF(AND(H65&lt;&gt;"",NOT(AND(LEN(H65&amp;"")=9,SUBSTITUTE(SUBSTITUTE(SUBSTITUTE(SUBSTITUTE(SUBSTITUTE(SUBSTITUTE(SUBSTITUTE(SUBSTITUTE(SUBSTITUTE(SUBSTITUTE(H65&amp;"","0",""),"1",""),"2",""),"3",""),"4",""),"5",""),"6",""),"7",""),"8",""),"9","")=""))),"SIREN : 9 chiffres attendus",IF(AND(M65&lt;&gt;"",OR(NOT(ISNUMBER(M65)),N(M65)&lt;0)),"Délai de paiement invalide","OK"))))))))</f>
        <v/>
      </c>
      <c r="Q65" s="62" t="str">
        <f>IF(A65="","",ROUND(SUMIFS(fa_ht,fa_client,A65,fa_year,db_year)*100,0))</f>
        <v/>
      </c>
      <c r="R65" s="62" t="str">
        <f>IF(N(Q65)&lt;=0,"",COUNTIF($Q$6:$Q$305,"&gt;"&amp;Q65)+COUNTIF($Q$6:Q65,Q65))</f>
        <v/>
      </c>
      <c r="S65" s="62" t="str">
        <f>IF(A65="","",ROUND(SUMIFS(fa_reste,fa_client,A65,fa_reste,"&gt;0")*100,0))</f>
        <v/>
      </c>
      <c r="T65" s="62" t="str">
        <f>IF(N(S65)&lt;=0,"",COUNTIF($S$6:$S$305,"&gt;"&amp;S65)+COUNTIF($S$6:S65,S65))</f>
        <v/>
      </c>
    </row>
    <row r="66">
      <c r="A66" s="60" t="n"/>
      <c r="B66" s="63" t="n"/>
      <c r="C66" s="60" t="n"/>
      <c r="D66" s="63" t="n"/>
      <c r="E66" s="63" t="n"/>
      <c r="F66" s="60" t="n"/>
      <c r="G66" s="143" t="n"/>
      <c r="H66" s="143" t="n"/>
      <c r="I66" s="63" t="n"/>
      <c r="J66" s="63" t="n"/>
      <c r="K66" s="63" t="n"/>
      <c r="L66" s="63" t="n"/>
      <c r="M66" s="144" t="n"/>
      <c r="N66" s="65" t="str">
        <f>IF(A66="","",SUMIF(fa_client,A66,fa_ht))</f>
        <v/>
      </c>
      <c r="O66" s="65" t="str">
        <f>IF(A66="","",SUMIF(fa_client,A66,fa_reste))</f>
        <v/>
      </c>
      <c r="P66" s="59" t="str">
        <f>IF(COUNTA(A66:M66)=0,"",IF(A66="","Code manquant",IF(COUNTIF(cli_code,A66)&gt;1,"Code en double",IF(B66="","Nom manquant",IF(AND(p_country="Maroc",C66&lt;&gt;"Particulier",OR(F66="",F66="Maroc"),G66=""),"ICE manquant (client professionnel)",IF(AND(G66&lt;&gt;"",NOT(AND(LEN(G66&amp;"")=15,SUBSTITUTE(SUBSTITUTE(SUBSTITUTE(SUBSTITUTE(SUBSTITUTE(SUBSTITUTE(SUBSTITUTE(SUBSTITUTE(SUBSTITUTE(SUBSTITUTE(G66&amp;"","0",""),"1",""),"2",""),"3",""),"4",""),"5",""),"6",""),"7",""),"8",""),"9","")=""))),"ICE : 15 chiffres attendus",IF(AND(H66&lt;&gt;"",NOT(AND(LEN(H66&amp;"")=9,SUBSTITUTE(SUBSTITUTE(SUBSTITUTE(SUBSTITUTE(SUBSTITUTE(SUBSTITUTE(SUBSTITUTE(SUBSTITUTE(SUBSTITUTE(SUBSTITUTE(H66&amp;"","0",""),"1",""),"2",""),"3",""),"4",""),"5",""),"6",""),"7",""),"8",""),"9","")=""))),"SIREN : 9 chiffres attendus",IF(AND(M66&lt;&gt;"",OR(NOT(ISNUMBER(M66)),N(M66)&lt;0)),"Délai de paiement invalide","OK"))))))))</f>
        <v/>
      </c>
      <c r="Q66" s="62" t="str">
        <f>IF(A66="","",ROUND(SUMIFS(fa_ht,fa_client,A66,fa_year,db_year)*100,0))</f>
        <v/>
      </c>
      <c r="R66" s="62" t="str">
        <f>IF(N(Q66)&lt;=0,"",COUNTIF($Q$6:$Q$305,"&gt;"&amp;Q66)+COUNTIF($Q$6:Q66,Q66))</f>
        <v/>
      </c>
      <c r="S66" s="62" t="str">
        <f>IF(A66="","",ROUND(SUMIFS(fa_reste,fa_client,A66,fa_reste,"&gt;0")*100,0))</f>
        <v/>
      </c>
      <c r="T66" s="62" t="str">
        <f>IF(N(S66)&lt;=0,"",COUNTIF($S$6:$S$305,"&gt;"&amp;S66)+COUNTIF($S$6:S66,S66))</f>
        <v/>
      </c>
    </row>
    <row r="67">
      <c r="A67" s="60" t="n"/>
      <c r="B67" s="63" t="n"/>
      <c r="C67" s="60" t="n"/>
      <c r="D67" s="63" t="n"/>
      <c r="E67" s="63" t="n"/>
      <c r="F67" s="60" t="n"/>
      <c r="G67" s="143" t="n"/>
      <c r="H67" s="143" t="n"/>
      <c r="I67" s="63" t="n"/>
      <c r="J67" s="63" t="n"/>
      <c r="K67" s="63" t="n"/>
      <c r="L67" s="63" t="n"/>
      <c r="M67" s="144" t="n"/>
      <c r="N67" s="65" t="str">
        <f>IF(A67="","",SUMIF(fa_client,A67,fa_ht))</f>
        <v/>
      </c>
      <c r="O67" s="65" t="str">
        <f>IF(A67="","",SUMIF(fa_client,A67,fa_reste))</f>
        <v/>
      </c>
      <c r="P67" s="59" t="str">
        <f>IF(COUNTA(A67:M67)=0,"",IF(A67="","Code manquant",IF(COUNTIF(cli_code,A67)&gt;1,"Code en double",IF(B67="","Nom manquant",IF(AND(p_country="Maroc",C67&lt;&gt;"Particulier",OR(F67="",F67="Maroc"),G67=""),"ICE manquant (client professionnel)",IF(AND(G67&lt;&gt;"",NOT(AND(LEN(G67&amp;"")=15,SUBSTITUTE(SUBSTITUTE(SUBSTITUTE(SUBSTITUTE(SUBSTITUTE(SUBSTITUTE(SUBSTITUTE(SUBSTITUTE(SUBSTITUTE(SUBSTITUTE(G67&amp;"","0",""),"1",""),"2",""),"3",""),"4",""),"5",""),"6",""),"7",""),"8",""),"9","")=""))),"ICE : 15 chiffres attendus",IF(AND(H67&lt;&gt;"",NOT(AND(LEN(H67&amp;"")=9,SUBSTITUTE(SUBSTITUTE(SUBSTITUTE(SUBSTITUTE(SUBSTITUTE(SUBSTITUTE(SUBSTITUTE(SUBSTITUTE(SUBSTITUTE(SUBSTITUTE(H67&amp;"","0",""),"1",""),"2",""),"3",""),"4",""),"5",""),"6",""),"7",""),"8",""),"9","")=""))),"SIREN : 9 chiffres attendus",IF(AND(M67&lt;&gt;"",OR(NOT(ISNUMBER(M67)),N(M67)&lt;0)),"Délai de paiement invalide","OK"))))))))</f>
        <v/>
      </c>
      <c r="Q67" s="62" t="str">
        <f>IF(A67="","",ROUND(SUMIFS(fa_ht,fa_client,A67,fa_year,db_year)*100,0))</f>
        <v/>
      </c>
      <c r="R67" s="62" t="str">
        <f>IF(N(Q67)&lt;=0,"",COUNTIF($Q$6:$Q$305,"&gt;"&amp;Q67)+COUNTIF($Q$6:Q67,Q67))</f>
        <v/>
      </c>
      <c r="S67" s="62" t="str">
        <f>IF(A67="","",ROUND(SUMIFS(fa_reste,fa_client,A67,fa_reste,"&gt;0")*100,0))</f>
        <v/>
      </c>
      <c r="T67" s="62" t="str">
        <f>IF(N(S67)&lt;=0,"",COUNTIF($S$6:$S$305,"&gt;"&amp;S67)+COUNTIF($S$6:S67,S67))</f>
        <v/>
      </c>
    </row>
    <row r="68">
      <c r="A68" s="60" t="n"/>
      <c r="B68" s="63" t="n"/>
      <c r="C68" s="60" t="n"/>
      <c r="D68" s="63" t="n"/>
      <c r="E68" s="63" t="n"/>
      <c r="F68" s="60" t="n"/>
      <c r="G68" s="143" t="n"/>
      <c r="H68" s="143" t="n"/>
      <c r="I68" s="63" t="n"/>
      <c r="J68" s="63" t="n"/>
      <c r="K68" s="63" t="n"/>
      <c r="L68" s="63" t="n"/>
      <c r="M68" s="144" t="n"/>
      <c r="N68" s="65" t="str">
        <f>IF(A68="","",SUMIF(fa_client,A68,fa_ht))</f>
        <v/>
      </c>
      <c r="O68" s="65" t="str">
        <f>IF(A68="","",SUMIF(fa_client,A68,fa_reste))</f>
        <v/>
      </c>
      <c r="P68" s="59" t="str">
        <f>IF(COUNTA(A68:M68)=0,"",IF(A68="","Code manquant",IF(COUNTIF(cli_code,A68)&gt;1,"Code en double",IF(B68="","Nom manquant",IF(AND(p_country="Maroc",C68&lt;&gt;"Particulier",OR(F68="",F68="Maroc"),G68=""),"ICE manquant (client professionnel)",IF(AND(G68&lt;&gt;"",NOT(AND(LEN(G68&amp;"")=15,SUBSTITUTE(SUBSTITUTE(SUBSTITUTE(SUBSTITUTE(SUBSTITUTE(SUBSTITUTE(SUBSTITUTE(SUBSTITUTE(SUBSTITUTE(SUBSTITUTE(G68&amp;"","0",""),"1",""),"2",""),"3",""),"4",""),"5",""),"6",""),"7",""),"8",""),"9","")=""))),"ICE : 15 chiffres attendus",IF(AND(H68&lt;&gt;"",NOT(AND(LEN(H68&amp;"")=9,SUBSTITUTE(SUBSTITUTE(SUBSTITUTE(SUBSTITUTE(SUBSTITUTE(SUBSTITUTE(SUBSTITUTE(SUBSTITUTE(SUBSTITUTE(SUBSTITUTE(H68&amp;"","0",""),"1",""),"2",""),"3",""),"4",""),"5",""),"6",""),"7",""),"8",""),"9","")=""))),"SIREN : 9 chiffres attendus",IF(AND(M68&lt;&gt;"",OR(NOT(ISNUMBER(M68)),N(M68)&lt;0)),"Délai de paiement invalide","OK"))))))))</f>
        <v/>
      </c>
      <c r="Q68" s="62" t="str">
        <f>IF(A68="","",ROUND(SUMIFS(fa_ht,fa_client,A68,fa_year,db_year)*100,0))</f>
        <v/>
      </c>
      <c r="R68" s="62" t="str">
        <f>IF(N(Q68)&lt;=0,"",COUNTIF($Q$6:$Q$305,"&gt;"&amp;Q68)+COUNTIF($Q$6:Q68,Q68))</f>
        <v/>
      </c>
      <c r="S68" s="62" t="str">
        <f>IF(A68="","",ROUND(SUMIFS(fa_reste,fa_client,A68,fa_reste,"&gt;0")*100,0))</f>
        <v/>
      </c>
      <c r="T68" s="62" t="str">
        <f>IF(N(S68)&lt;=0,"",COUNTIF($S$6:$S$305,"&gt;"&amp;S68)+COUNTIF($S$6:S68,S68))</f>
        <v/>
      </c>
    </row>
    <row r="69">
      <c r="A69" s="60" t="n"/>
      <c r="B69" s="63" t="n"/>
      <c r="C69" s="60" t="n"/>
      <c r="D69" s="63" t="n"/>
      <c r="E69" s="63" t="n"/>
      <c r="F69" s="60" t="n"/>
      <c r="G69" s="143" t="n"/>
      <c r="H69" s="143" t="n"/>
      <c r="I69" s="63" t="n"/>
      <c r="J69" s="63" t="n"/>
      <c r="K69" s="63" t="n"/>
      <c r="L69" s="63" t="n"/>
      <c r="M69" s="144" t="n"/>
      <c r="N69" s="65" t="str">
        <f>IF(A69="","",SUMIF(fa_client,A69,fa_ht))</f>
        <v/>
      </c>
      <c r="O69" s="65" t="str">
        <f>IF(A69="","",SUMIF(fa_client,A69,fa_reste))</f>
        <v/>
      </c>
      <c r="P69" s="59" t="str">
        <f>IF(COUNTA(A69:M69)=0,"",IF(A69="","Code manquant",IF(COUNTIF(cli_code,A69)&gt;1,"Code en double",IF(B69="","Nom manquant",IF(AND(p_country="Maroc",C69&lt;&gt;"Particulier",OR(F69="",F69="Maroc"),G69=""),"ICE manquant (client professionnel)",IF(AND(G69&lt;&gt;"",NOT(AND(LEN(G69&amp;"")=15,SUBSTITUTE(SUBSTITUTE(SUBSTITUTE(SUBSTITUTE(SUBSTITUTE(SUBSTITUTE(SUBSTITUTE(SUBSTITUTE(SUBSTITUTE(SUBSTITUTE(G69&amp;"","0",""),"1",""),"2",""),"3",""),"4",""),"5",""),"6",""),"7",""),"8",""),"9","")=""))),"ICE : 15 chiffres attendus",IF(AND(H69&lt;&gt;"",NOT(AND(LEN(H69&amp;"")=9,SUBSTITUTE(SUBSTITUTE(SUBSTITUTE(SUBSTITUTE(SUBSTITUTE(SUBSTITUTE(SUBSTITUTE(SUBSTITUTE(SUBSTITUTE(SUBSTITUTE(H69&amp;"","0",""),"1",""),"2",""),"3",""),"4",""),"5",""),"6",""),"7",""),"8",""),"9","")=""))),"SIREN : 9 chiffres attendus",IF(AND(M69&lt;&gt;"",OR(NOT(ISNUMBER(M69)),N(M69)&lt;0)),"Délai de paiement invalide","OK"))))))))</f>
        <v/>
      </c>
      <c r="Q69" s="62" t="str">
        <f>IF(A69="","",ROUND(SUMIFS(fa_ht,fa_client,A69,fa_year,db_year)*100,0))</f>
        <v/>
      </c>
      <c r="R69" s="62" t="str">
        <f>IF(N(Q69)&lt;=0,"",COUNTIF($Q$6:$Q$305,"&gt;"&amp;Q69)+COUNTIF($Q$6:Q69,Q69))</f>
        <v/>
      </c>
      <c r="S69" s="62" t="str">
        <f>IF(A69="","",ROUND(SUMIFS(fa_reste,fa_client,A69,fa_reste,"&gt;0")*100,0))</f>
        <v/>
      </c>
      <c r="T69" s="62" t="str">
        <f>IF(N(S69)&lt;=0,"",COUNTIF($S$6:$S$305,"&gt;"&amp;S69)+COUNTIF($S$6:S69,S69))</f>
        <v/>
      </c>
    </row>
    <row r="70">
      <c r="A70" s="60" t="n"/>
      <c r="B70" s="63" t="n"/>
      <c r="C70" s="60" t="n"/>
      <c r="D70" s="63" t="n"/>
      <c r="E70" s="63" t="n"/>
      <c r="F70" s="60" t="n"/>
      <c r="G70" s="143" t="n"/>
      <c r="H70" s="143" t="n"/>
      <c r="I70" s="63" t="n"/>
      <c r="J70" s="63" t="n"/>
      <c r="K70" s="63" t="n"/>
      <c r="L70" s="63" t="n"/>
      <c r="M70" s="144" t="n"/>
      <c r="N70" s="65" t="str">
        <f>IF(A70="","",SUMIF(fa_client,A70,fa_ht))</f>
        <v/>
      </c>
      <c r="O70" s="65" t="str">
        <f>IF(A70="","",SUMIF(fa_client,A70,fa_reste))</f>
        <v/>
      </c>
      <c r="P70" s="59" t="str">
        <f>IF(COUNTA(A70:M70)=0,"",IF(A70="","Code manquant",IF(COUNTIF(cli_code,A70)&gt;1,"Code en double",IF(B70="","Nom manquant",IF(AND(p_country="Maroc",C70&lt;&gt;"Particulier",OR(F70="",F70="Maroc"),G70=""),"ICE manquant (client professionnel)",IF(AND(G70&lt;&gt;"",NOT(AND(LEN(G70&amp;"")=15,SUBSTITUTE(SUBSTITUTE(SUBSTITUTE(SUBSTITUTE(SUBSTITUTE(SUBSTITUTE(SUBSTITUTE(SUBSTITUTE(SUBSTITUTE(SUBSTITUTE(G70&amp;"","0",""),"1",""),"2",""),"3",""),"4",""),"5",""),"6",""),"7",""),"8",""),"9","")=""))),"ICE : 15 chiffres attendus",IF(AND(H70&lt;&gt;"",NOT(AND(LEN(H70&amp;"")=9,SUBSTITUTE(SUBSTITUTE(SUBSTITUTE(SUBSTITUTE(SUBSTITUTE(SUBSTITUTE(SUBSTITUTE(SUBSTITUTE(SUBSTITUTE(SUBSTITUTE(H70&amp;"","0",""),"1",""),"2",""),"3",""),"4",""),"5",""),"6",""),"7",""),"8",""),"9","")=""))),"SIREN : 9 chiffres attendus",IF(AND(M70&lt;&gt;"",OR(NOT(ISNUMBER(M70)),N(M70)&lt;0)),"Délai de paiement invalide","OK"))))))))</f>
        <v/>
      </c>
      <c r="Q70" s="62" t="str">
        <f>IF(A70="","",ROUND(SUMIFS(fa_ht,fa_client,A70,fa_year,db_year)*100,0))</f>
        <v/>
      </c>
      <c r="R70" s="62" t="str">
        <f>IF(N(Q70)&lt;=0,"",COUNTIF($Q$6:$Q$305,"&gt;"&amp;Q70)+COUNTIF($Q$6:Q70,Q70))</f>
        <v/>
      </c>
      <c r="S70" s="62" t="str">
        <f>IF(A70="","",ROUND(SUMIFS(fa_reste,fa_client,A70,fa_reste,"&gt;0")*100,0))</f>
        <v/>
      </c>
      <c r="T70" s="62" t="str">
        <f>IF(N(S70)&lt;=0,"",COUNTIF($S$6:$S$305,"&gt;"&amp;S70)+COUNTIF($S$6:S70,S70))</f>
        <v/>
      </c>
    </row>
    <row r="71">
      <c r="A71" s="60" t="n"/>
      <c r="B71" s="63" t="n"/>
      <c r="C71" s="60" t="n"/>
      <c r="D71" s="63" t="n"/>
      <c r="E71" s="63" t="n"/>
      <c r="F71" s="60" t="n"/>
      <c r="G71" s="143" t="n"/>
      <c r="H71" s="143" t="n"/>
      <c r="I71" s="63" t="n"/>
      <c r="J71" s="63" t="n"/>
      <c r="K71" s="63" t="n"/>
      <c r="L71" s="63" t="n"/>
      <c r="M71" s="144" t="n"/>
      <c r="N71" s="65" t="str">
        <f>IF(A71="","",SUMIF(fa_client,A71,fa_ht))</f>
        <v/>
      </c>
      <c r="O71" s="65" t="str">
        <f>IF(A71="","",SUMIF(fa_client,A71,fa_reste))</f>
        <v/>
      </c>
      <c r="P71" s="59" t="str">
        <f>IF(COUNTA(A71:M71)=0,"",IF(A71="","Code manquant",IF(COUNTIF(cli_code,A71)&gt;1,"Code en double",IF(B71="","Nom manquant",IF(AND(p_country="Maroc",C71&lt;&gt;"Particulier",OR(F71="",F71="Maroc"),G71=""),"ICE manquant (client professionnel)",IF(AND(G71&lt;&gt;"",NOT(AND(LEN(G71&amp;"")=15,SUBSTITUTE(SUBSTITUTE(SUBSTITUTE(SUBSTITUTE(SUBSTITUTE(SUBSTITUTE(SUBSTITUTE(SUBSTITUTE(SUBSTITUTE(SUBSTITUTE(G71&amp;"","0",""),"1",""),"2",""),"3",""),"4",""),"5",""),"6",""),"7",""),"8",""),"9","")=""))),"ICE : 15 chiffres attendus",IF(AND(H71&lt;&gt;"",NOT(AND(LEN(H71&amp;"")=9,SUBSTITUTE(SUBSTITUTE(SUBSTITUTE(SUBSTITUTE(SUBSTITUTE(SUBSTITUTE(SUBSTITUTE(SUBSTITUTE(SUBSTITUTE(SUBSTITUTE(H71&amp;"","0",""),"1",""),"2",""),"3",""),"4",""),"5",""),"6",""),"7",""),"8",""),"9","")=""))),"SIREN : 9 chiffres attendus",IF(AND(M71&lt;&gt;"",OR(NOT(ISNUMBER(M71)),N(M71)&lt;0)),"Délai de paiement invalide","OK"))))))))</f>
        <v/>
      </c>
      <c r="Q71" s="62" t="str">
        <f>IF(A71="","",ROUND(SUMIFS(fa_ht,fa_client,A71,fa_year,db_year)*100,0))</f>
        <v/>
      </c>
      <c r="R71" s="62" t="str">
        <f>IF(N(Q71)&lt;=0,"",COUNTIF($Q$6:$Q$305,"&gt;"&amp;Q71)+COUNTIF($Q$6:Q71,Q71))</f>
        <v/>
      </c>
      <c r="S71" s="62" t="str">
        <f>IF(A71="","",ROUND(SUMIFS(fa_reste,fa_client,A71,fa_reste,"&gt;0")*100,0))</f>
        <v/>
      </c>
      <c r="T71" s="62" t="str">
        <f>IF(N(S71)&lt;=0,"",COUNTIF($S$6:$S$305,"&gt;"&amp;S71)+COUNTIF($S$6:S71,S71))</f>
        <v/>
      </c>
    </row>
    <row r="72">
      <c r="A72" s="60" t="n"/>
      <c r="B72" s="63" t="n"/>
      <c r="C72" s="60" t="n"/>
      <c r="D72" s="63" t="n"/>
      <c r="E72" s="63" t="n"/>
      <c r="F72" s="60" t="n"/>
      <c r="G72" s="143" t="n"/>
      <c r="H72" s="143" t="n"/>
      <c r="I72" s="63" t="n"/>
      <c r="J72" s="63" t="n"/>
      <c r="K72" s="63" t="n"/>
      <c r="L72" s="63" t="n"/>
      <c r="M72" s="144" t="n"/>
      <c r="N72" s="65" t="str">
        <f>IF(A72="","",SUMIF(fa_client,A72,fa_ht))</f>
        <v/>
      </c>
      <c r="O72" s="65" t="str">
        <f>IF(A72="","",SUMIF(fa_client,A72,fa_reste))</f>
        <v/>
      </c>
      <c r="P72" s="59" t="str">
        <f>IF(COUNTA(A72:M72)=0,"",IF(A72="","Code manquant",IF(COUNTIF(cli_code,A72)&gt;1,"Code en double",IF(B72="","Nom manquant",IF(AND(p_country="Maroc",C72&lt;&gt;"Particulier",OR(F72="",F72="Maroc"),G72=""),"ICE manquant (client professionnel)",IF(AND(G72&lt;&gt;"",NOT(AND(LEN(G72&amp;"")=15,SUBSTITUTE(SUBSTITUTE(SUBSTITUTE(SUBSTITUTE(SUBSTITUTE(SUBSTITUTE(SUBSTITUTE(SUBSTITUTE(SUBSTITUTE(SUBSTITUTE(G72&amp;"","0",""),"1",""),"2",""),"3",""),"4",""),"5",""),"6",""),"7",""),"8",""),"9","")=""))),"ICE : 15 chiffres attendus",IF(AND(H72&lt;&gt;"",NOT(AND(LEN(H72&amp;"")=9,SUBSTITUTE(SUBSTITUTE(SUBSTITUTE(SUBSTITUTE(SUBSTITUTE(SUBSTITUTE(SUBSTITUTE(SUBSTITUTE(SUBSTITUTE(SUBSTITUTE(H72&amp;"","0",""),"1",""),"2",""),"3",""),"4",""),"5",""),"6",""),"7",""),"8",""),"9","")=""))),"SIREN : 9 chiffres attendus",IF(AND(M72&lt;&gt;"",OR(NOT(ISNUMBER(M72)),N(M72)&lt;0)),"Délai de paiement invalide","OK"))))))))</f>
        <v/>
      </c>
      <c r="Q72" s="62" t="str">
        <f>IF(A72="","",ROUND(SUMIFS(fa_ht,fa_client,A72,fa_year,db_year)*100,0))</f>
        <v/>
      </c>
      <c r="R72" s="62" t="str">
        <f>IF(N(Q72)&lt;=0,"",COUNTIF($Q$6:$Q$305,"&gt;"&amp;Q72)+COUNTIF($Q$6:Q72,Q72))</f>
        <v/>
      </c>
      <c r="S72" s="62" t="str">
        <f>IF(A72="","",ROUND(SUMIFS(fa_reste,fa_client,A72,fa_reste,"&gt;0")*100,0))</f>
        <v/>
      </c>
      <c r="T72" s="62" t="str">
        <f>IF(N(S72)&lt;=0,"",COUNTIF($S$6:$S$305,"&gt;"&amp;S72)+COUNTIF($S$6:S72,S72))</f>
        <v/>
      </c>
    </row>
    <row r="73">
      <c r="A73" s="60" t="n"/>
      <c r="B73" s="63" t="n"/>
      <c r="C73" s="60" t="n"/>
      <c r="D73" s="63" t="n"/>
      <c r="E73" s="63" t="n"/>
      <c r="F73" s="60" t="n"/>
      <c r="G73" s="143" t="n"/>
      <c r="H73" s="143" t="n"/>
      <c r="I73" s="63" t="n"/>
      <c r="J73" s="63" t="n"/>
      <c r="K73" s="63" t="n"/>
      <c r="L73" s="63" t="n"/>
      <c r="M73" s="144" t="n"/>
      <c r="N73" s="65" t="str">
        <f>IF(A73="","",SUMIF(fa_client,A73,fa_ht))</f>
        <v/>
      </c>
      <c r="O73" s="65" t="str">
        <f>IF(A73="","",SUMIF(fa_client,A73,fa_reste))</f>
        <v/>
      </c>
      <c r="P73" s="59" t="str">
        <f>IF(COUNTA(A73:M73)=0,"",IF(A73="","Code manquant",IF(COUNTIF(cli_code,A73)&gt;1,"Code en double",IF(B73="","Nom manquant",IF(AND(p_country="Maroc",C73&lt;&gt;"Particulier",OR(F73="",F73="Maroc"),G73=""),"ICE manquant (client professionnel)",IF(AND(G73&lt;&gt;"",NOT(AND(LEN(G73&amp;"")=15,SUBSTITUTE(SUBSTITUTE(SUBSTITUTE(SUBSTITUTE(SUBSTITUTE(SUBSTITUTE(SUBSTITUTE(SUBSTITUTE(SUBSTITUTE(SUBSTITUTE(G73&amp;"","0",""),"1",""),"2",""),"3",""),"4",""),"5",""),"6",""),"7",""),"8",""),"9","")=""))),"ICE : 15 chiffres attendus",IF(AND(H73&lt;&gt;"",NOT(AND(LEN(H73&amp;"")=9,SUBSTITUTE(SUBSTITUTE(SUBSTITUTE(SUBSTITUTE(SUBSTITUTE(SUBSTITUTE(SUBSTITUTE(SUBSTITUTE(SUBSTITUTE(SUBSTITUTE(H73&amp;"","0",""),"1",""),"2",""),"3",""),"4",""),"5",""),"6",""),"7",""),"8",""),"9","")=""))),"SIREN : 9 chiffres attendus",IF(AND(M73&lt;&gt;"",OR(NOT(ISNUMBER(M73)),N(M73)&lt;0)),"Délai de paiement invalide","OK"))))))))</f>
        <v/>
      </c>
      <c r="Q73" s="62" t="str">
        <f>IF(A73="","",ROUND(SUMIFS(fa_ht,fa_client,A73,fa_year,db_year)*100,0))</f>
        <v/>
      </c>
      <c r="R73" s="62" t="str">
        <f>IF(N(Q73)&lt;=0,"",COUNTIF($Q$6:$Q$305,"&gt;"&amp;Q73)+COUNTIF($Q$6:Q73,Q73))</f>
        <v/>
      </c>
      <c r="S73" s="62" t="str">
        <f>IF(A73="","",ROUND(SUMIFS(fa_reste,fa_client,A73,fa_reste,"&gt;0")*100,0))</f>
        <v/>
      </c>
      <c r="T73" s="62" t="str">
        <f>IF(N(S73)&lt;=0,"",COUNTIF($S$6:$S$305,"&gt;"&amp;S73)+COUNTIF($S$6:S73,S73))</f>
        <v/>
      </c>
    </row>
    <row r="74">
      <c r="A74" s="60" t="n"/>
      <c r="B74" s="63" t="n"/>
      <c r="C74" s="60" t="n"/>
      <c r="D74" s="63" t="n"/>
      <c r="E74" s="63" t="n"/>
      <c r="F74" s="60" t="n"/>
      <c r="G74" s="143" t="n"/>
      <c r="H74" s="143" t="n"/>
      <c r="I74" s="63" t="n"/>
      <c r="J74" s="63" t="n"/>
      <c r="K74" s="63" t="n"/>
      <c r="L74" s="63" t="n"/>
      <c r="M74" s="144" t="n"/>
      <c r="N74" s="65" t="str">
        <f>IF(A74="","",SUMIF(fa_client,A74,fa_ht))</f>
        <v/>
      </c>
      <c r="O74" s="65" t="str">
        <f>IF(A74="","",SUMIF(fa_client,A74,fa_reste))</f>
        <v/>
      </c>
      <c r="P74" s="59" t="str">
        <f>IF(COUNTA(A74:M74)=0,"",IF(A74="","Code manquant",IF(COUNTIF(cli_code,A74)&gt;1,"Code en double",IF(B74="","Nom manquant",IF(AND(p_country="Maroc",C74&lt;&gt;"Particulier",OR(F74="",F74="Maroc"),G74=""),"ICE manquant (client professionnel)",IF(AND(G74&lt;&gt;"",NOT(AND(LEN(G74&amp;"")=15,SUBSTITUTE(SUBSTITUTE(SUBSTITUTE(SUBSTITUTE(SUBSTITUTE(SUBSTITUTE(SUBSTITUTE(SUBSTITUTE(SUBSTITUTE(SUBSTITUTE(G74&amp;"","0",""),"1",""),"2",""),"3",""),"4",""),"5",""),"6",""),"7",""),"8",""),"9","")=""))),"ICE : 15 chiffres attendus",IF(AND(H74&lt;&gt;"",NOT(AND(LEN(H74&amp;"")=9,SUBSTITUTE(SUBSTITUTE(SUBSTITUTE(SUBSTITUTE(SUBSTITUTE(SUBSTITUTE(SUBSTITUTE(SUBSTITUTE(SUBSTITUTE(SUBSTITUTE(H74&amp;"","0",""),"1",""),"2",""),"3",""),"4",""),"5",""),"6",""),"7",""),"8",""),"9","")=""))),"SIREN : 9 chiffres attendus",IF(AND(M74&lt;&gt;"",OR(NOT(ISNUMBER(M74)),N(M74)&lt;0)),"Délai de paiement invalide","OK"))))))))</f>
        <v/>
      </c>
      <c r="Q74" s="62" t="str">
        <f>IF(A74="","",ROUND(SUMIFS(fa_ht,fa_client,A74,fa_year,db_year)*100,0))</f>
        <v/>
      </c>
      <c r="R74" s="62" t="str">
        <f>IF(N(Q74)&lt;=0,"",COUNTIF($Q$6:$Q$305,"&gt;"&amp;Q74)+COUNTIF($Q$6:Q74,Q74))</f>
        <v/>
      </c>
      <c r="S74" s="62" t="str">
        <f>IF(A74="","",ROUND(SUMIFS(fa_reste,fa_client,A74,fa_reste,"&gt;0")*100,0))</f>
        <v/>
      </c>
      <c r="T74" s="62" t="str">
        <f>IF(N(S74)&lt;=0,"",COUNTIF($S$6:$S$305,"&gt;"&amp;S74)+COUNTIF($S$6:S74,S74))</f>
        <v/>
      </c>
    </row>
    <row r="75">
      <c r="A75" s="60" t="n"/>
      <c r="B75" s="63" t="n"/>
      <c r="C75" s="60" t="n"/>
      <c r="D75" s="63" t="n"/>
      <c r="E75" s="63" t="n"/>
      <c r="F75" s="60" t="n"/>
      <c r="G75" s="143" t="n"/>
      <c r="H75" s="143" t="n"/>
      <c r="I75" s="63" t="n"/>
      <c r="J75" s="63" t="n"/>
      <c r="K75" s="63" t="n"/>
      <c r="L75" s="63" t="n"/>
      <c r="M75" s="144" t="n"/>
      <c r="N75" s="65" t="str">
        <f>IF(A75="","",SUMIF(fa_client,A75,fa_ht))</f>
        <v/>
      </c>
      <c r="O75" s="65" t="str">
        <f>IF(A75="","",SUMIF(fa_client,A75,fa_reste))</f>
        <v/>
      </c>
      <c r="P75" s="59" t="str">
        <f>IF(COUNTA(A75:M75)=0,"",IF(A75="","Code manquant",IF(COUNTIF(cli_code,A75)&gt;1,"Code en double",IF(B75="","Nom manquant",IF(AND(p_country="Maroc",C75&lt;&gt;"Particulier",OR(F75="",F75="Maroc"),G75=""),"ICE manquant (client professionnel)",IF(AND(G75&lt;&gt;"",NOT(AND(LEN(G75&amp;"")=15,SUBSTITUTE(SUBSTITUTE(SUBSTITUTE(SUBSTITUTE(SUBSTITUTE(SUBSTITUTE(SUBSTITUTE(SUBSTITUTE(SUBSTITUTE(SUBSTITUTE(G75&amp;"","0",""),"1",""),"2",""),"3",""),"4",""),"5",""),"6",""),"7",""),"8",""),"9","")=""))),"ICE : 15 chiffres attendus",IF(AND(H75&lt;&gt;"",NOT(AND(LEN(H75&amp;"")=9,SUBSTITUTE(SUBSTITUTE(SUBSTITUTE(SUBSTITUTE(SUBSTITUTE(SUBSTITUTE(SUBSTITUTE(SUBSTITUTE(SUBSTITUTE(SUBSTITUTE(H75&amp;"","0",""),"1",""),"2",""),"3",""),"4",""),"5",""),"6",""),"7",""),"8",""),"9","")=""))),"SIREN : 9 chiffres attendus",IF(AND(M75&lt;&gt;"",OR(NOT(ISNUMBER(M75)),N(M75)&lt;0)),"Délai de paiement invalide","OK"))))))))</f>
        <v/>
      </c>
      <c r="Q75" s="62" t="str">
        <f>IF(A75="","",ROUND(SUMIFS(fa_ht,fa_client,A75,fa_year,db_year)*100,0))</f>
        <v/>
      </c>
      <c r="R75" s="62" t="str">
        <f>IF(N(Q75)&lt;=0,"",COUNTIF($Q$6:$Q$305,"&gt;"&amp;Q75)+COUNTIF($Q$6:Q75,Q75))</f>
        <v/>
      </c>
      <c r="S75" s="62" t="str">
        <f>IF(A75="","",ROUND(SUMIFS(fa_reste,fa_client,A75,fa_reste,"&gt;0")*100,0))</f>
        <v/>
      </c>
      <c r="T75" s="62" t="str">
        <f>IF(N(S75)&lt;=0,"",COUNTIF($S$6:$S$305,"&gt;"&amp;S75)+COUNTIF($S$6:S75,S75))</f>
        <v/>
      </c>
    </row>
    <row r="76">
      <c r="A76" s="60" t="n"/>
      <c r="B76" s="63" t="n"/>
      <c r="C76" s="60" t="n"/>
      <c r="D76" s="63" t="n"/>
      <c r="E76" s="63" t="n"/>
      <c r="F76" s="60" t="n"/>
      <c r="G76" s="143" t="n"/>
      <c r="H76" s="143" t="n"/>
      <c r="I76" s="63" t="n"/>
      <c r="J76" s="63" t="n"/>
      <c r="K76" s="63" t="n"/>
      <c r="L76" s="63" t="n"/>
      <c r="M76" s="144" t="n"/>
      <c r="N76" s="65" t="str">
        <f>IF(A76="","",SUMIF(fa_client,A76,fa_ht))</f>
        <v/>
      </c>
      <c r="O76" s="65" t="str">
        <f>IF(A76="","",SUMIF(fa_client,A76,fa_reste))</f>
        <v/>
      </c>
      <c r="P76" s="59" t="str">
        <f>IF(COUNTA(A76:M76)=0,"",IF(A76="","Code manquant",IF(COUNTIF(cli_code,A76)&gt;1,"Code en double",IF(B76="","Nom manquant",IF(AND(p_country="Maroc",C76&lt;&gt;"Particulier",OR(F76="",F76="Maroc"),G76=""),"ICE manquant (client professionnel)",IF(AND(G76&lt;&gt;"",NOT(AND(LEN(G76&amp;"")=15,SUBSTITUTE(SUBSTITUTE(SUBSTITUTE(SUBSTITUTE(SUBSTITUTE(SUBSTITUTE(SUBSTITUTE(SUBSTITUTE(SUBSTITUTE(SUBSTITUTE(G76&amp;"","0",""),"1",""),"2",""),"3",""),"4",""),"5",""),"6",""),"7",""),"8",""),"9","")=""))),"ICE : 15 chiffres attendus",IF(AND(H76&lt;&gt;"",NOT(AND(LEN(H76&amp;"")=9,SUBSTITUTE(SUBSTITUTE(SUBSTITUTE(SUBSTITUTE(SUBSTITUTE(SUBSTITUTE(SUBSTITUTE(SUBSTITUTE(SUBSTITUTE(SUBSTITUTE(H76&amp;"","0",""),"1",""),"2",""),"3",""),"4",""),"5",""),"6",""),"7",""),"8",""),"9","")=""))),"SIREN : 9 chiffres attendus",IF(AND(M76&lt;&gt;"",OR(NOT(ISNUMBER(M76)),N(M76)&lt;0)),"Délai de paiement invalide","OK"))))))))</f>
        <v/>
      </c>
      <c r="Q76" s="62" t="str">
        <f>IF(A76="","",ROUND(SUMIFS(fa_ht,fa_client,A76,fa_year,db_year)*100,0))</f>
        <v/>
      </c>
      <c r="R76" s="62" t="str">
        <f>IF(N(Q76)&lt;=0,"",COUNTIF($Q$6:$Q$305,"&gt;"&amp;Q76)+COUNTIF($Q$6:Q76,Q76))</f>
        <v/>
      </c>
      <c r="S76" s="62" t="str">
        <f>IF(A76="","",ROUND(SUMIFS(fa_reste,fa_client,A76,fa_reste,"&gt;0")*100,0))</f>
        <v/>
      </c>
      <c r="T76" s="62" t="str">
        <f>IF(N(S76)&lt;=0,"",COUNTIF($S$6:$S$305,"&gt;"&amp;S76)+COUNTIF($S$6:S76,S76))</f>
        <v/>
      </c>
    </row>
    <row r="77">
      <c r="A77" s="60" t="n"/>
      <c r="B77" s="63" t="n"/>
      <c r="C77" s="60" t="n"/>
      <c r="D77" s="63" t="n"/>
      <c r="E77" s="63" t="n"/>
      <c r="F77" s="60" t="n"/>
      <c r="G77" s="143" t="n"/>
      <c r="H77" s="143" t="n"/>
      <c r="I77" s="63" t="n"/>
      <c r="J77" s="63" t="n"/>
      <c r="K77" s="63" t="n"/>
      <c r="L77" s="63" t="n"/>
      <c r="M77" s="144" t="n"/>
      <c r="N77" s="65" t="str">
        <f>IF(A77="","",SUMIF(fa_client,A77,fa_ht))</f>
        <v/>
      </c>
      <c r="O77" s="65" t="str">
        <f>IF(A77="","",SUMIF(fa_client,A77,fa_reste))</f>
        <v/>
      </c>
      <c r="P77" s="59" t="str">
        <f>IF(COUNTA(A77:M77)=0,"",IF(A77="","Code manquant",IF(COUNTIF(cli_code,A77)&gt;1,"Code en double",IF(B77="","Nom manquant",IF(AND(p_country="Maroc",C77&lt;&gt;"Particulier",OR(F77="",F77="Maroc"),G77=""),"ICE manquant (client professionnel)",IF(AND(G77&lt;&gt;"",NOT(AND(LEN(G77&amp;"")=15,SUBSTITUTE(SUBSTITUTE(SUBSTITUTE(SUBSTITUTE(SUBSTITUTE(SUBSTITUTE(SUBSTITUTE(SUBSTITUTE(SUBSTITUTE(SUBSTITUTE(G77&amp;"","0",""),"1",""),"2",""),"3",""),"4",""),"5",""),"6",""),"7",""),"8",""),"9","")=""))),"ICE : 15 chiffres attendus",IF(AND(H77&lt;&gt;"",NOT(AND(LEN(H77&amp;"")=9,SUBSTITUTE(SUBSTITUTE(SUBSTITUTE(SUBSTITUTE(SUBSTITUTE(SUBSTITUTE(SUBSTITUTE(SUBSTITUTE(SUBSTITUTE(SUBSTITUTE(H77&amp;"","0",""),"1",""),"2",""),"3",""),"4",""),"5",""),"6",""),"7",""),"8",""),"9","")=""))),"SIREN : 9 chiffres attendus",IF(AND(M77&lt;&gt;"",OR(NOT(ISNUMBER(M77)),N(M77)&lt;0)),"Délai de paiement invalide","OK"))))))))</f>
        <v/>
      </c>
      <c r="Q77" s="62" t="str">
        <f>IF(A77="","",ROUND(SUMIFS(fa_ht,fa_client,A77,fa_year,db_year)*100,0))</f>
        <v/>
      </c>
      <c r="R77" s="62" t="str">
        <f>IF(N(Q77)&lt;=0,"",COUNTIF($Q$6:$Q$305,"&gt;"&amp;Q77)+COUNTIF($Q$6:Q77,Q77))</f>
        <v/>
      </c>
      <c r="S77" s="62" t="str">
        <f>IF(A77="","",ROUND(SUMIFS(fa_reste,fa_client,A77,fa_reste,"&gt;0")*100,0))</f>
        <v/>
      </c>
      <c r="T77" s="62" t="str">
        <f>IF(N(S77)&lt;=0,"",COUNTIF($S$6:$S$305,"&gt;"&amp;S77)+COUNTIF($S$6:S77,S77))</f>
        <v/>
      </c>
    </row>
    <row r="78">
      <c r="A78" s="60" t="n"/>
      <c r="B78" s="63" t="n"/>
      <c r="C78" s="60" t="n"/>
      <c r="D78" s="63" t="n"/>
      <c r="E78" s="63" t="n"/>
      <c r="F78" s="60" t="n"/>
      <c r="G78" s="143" t="n"/>
      <c r="H78" s="143" t="n"/>
      <c r="I78" s="63" t="n"/>
      <c r="J78" s="63" t="n"/>
      <c r="K78" s="63" t="n"/>
      <c r="L78" s="63" t="n"/>
      <c r="M78" s="144" t="n"/>
      <c r="N78" s="65" t="str">
        <f>IF(A78="","",SUMIF(fa_client,A78,fa_ht))</f>
        <v/>
      </c>
      <c r="O78" s="65" t="str">
        <f>IF(A78="","",SUMIF(fa_client,A78,fa_reste))</f>
        <v/>
      </c>
      <c r="P78" s="59" t="str">
        <f>IF(COUNTA(A78:M78)=0,"",IF(A78="","Code manquant",IF(COUNTIF(cli_code,A78)&gt;1,"Code en double",IF(B78="","Nom manquant",IF(AND(p_country="Maroc",C78&lt;&gt;"Particulier",OR(F78="",F78="Maroc"),G78=""),"ICE manquant (client professionnel)",IF(AND(G78&lt;&gt;"",NOT(AND(LEN(G78&amp;"")=15,SUBSTITUTE(SUBSTITUTE(SUBSTITUTE(SUBSTITUTE(SUBSTITUTE(SUBSTITUTE(SUBSTITUTE(SUBSTITUTE(SUBSTITUTE(SUBSTITUTE(G78&amp;"","0",""),"1",""),"2",""),"3",""),"4",""),"5",""),"6",""),"7",""),"8",""),"9","")=""))),"ICE : 15 chiffres attendus",IF(AND(H78&lt;&gt;"",NOT(AND(LEN(H78&amp;"")=9,SUBSTITUTE(SUBSTITUTE(SUBSTITUTE(SUBSTITUTE(SUBSTITUTE(SUBSTITUTE(SUBSTITUTE(SUBSTITUTE(SUBSTITUTE(SUBSTITUTE(H78&amp;"","0",""),"1",""),"2",""),"3",""),"4",""),"5",""),"6",""),"7",""),"8",""),"9","")=""))),"SIREN : 9 chiffres attendus",IF(AND(M78&lt;&gt;"",OR(NOT(ISNUMBER(M78)),N(M78)&lt;0)),"Délai de paiement invalide","OK"))))))))</f>
        <v/>
      </c>
      <c r="Q78" s="62" t="str">
        <f>IF(A78="","",ROUND(SUMIFS(fa_ht,fa_client,A78,fa_year,db_year)*100,0))</f>
        <v/>
      </c>
      <c r="R78" s="62" t="str">
        <f>IF(N(Q78)&lt;=0,"",COUNTIF($Q$6:$Q$305,"&gt;"&amp;Q78)+COUNTIF($Q$6:Q78,Q78))</f>
        <v/>
      </c>
      <c r="S78" s="62" t="str">
        <f>IF(A78="","",ROUND(SUMIFS(fa_reste,fa_client,A78,fa_reste,"&gt;0")*100,0))</f>
        <v/>
      </c>
      <c r="T78" s="62" t="str">
        <f>IF(N(S78)&lt;=0,"",COUNTIF($S$6:$S$305,"&gt;"&amp;S78)+COUNTIF($S$6:S78,S78))</f>
        <v/>
      </c>
    </row>
    <row r="79">
      <c r="A79" s="60" t="n"/>
      <c r="B79" s="63" t="n"/>
      <c r="C79" s="60" t="n"/>
      <c r="D79" s="63" t="n"/>
      <c r="E79" s="63" t="n"/>
      <c r="F79" s="60" t="n"/>
      <c r="G79" s="143" t="n"/>
      <c r="H79" s="143" t="n"/>
      <c r="I79" s="63" t="n"/>
      <c r="J79" s="63" t="n"/>
      <c r="K79" s="63" t="n"/>
      <c r="L79" s="63" t="n"/>
      <c r="M79" s="144" t="n"/>
      <c r="N79" s="65" t="str">
        <f>IF(A79="","",SUMIF(fa_client,A79,fa_ht))</f>
        <v/>
      </c>
      <c r="O79" s="65" t="str">
        <f>IF(A79="","",SUMIF(fa_client,A79,fa_reste))</f>
        <v/>
      </c>
      <c r="P79" s="59" t="str">
        <f>IF(COUNTA(A79:M79)=0,"",IF(A79="","Code manquant",IF(COUNTIF(cli_code,A79)&gt;1,"Code en double",IF(B79="","Nom manquant",IF(AND(p_country="Maroc",C79&lt;&gt;"Particulier",OR(F79="",F79="Maroc"),G79=""),"ICE manquant (client professionnel)",IF(AND(G79&lt;&gt;"",NOT(AND(LEN(G79&amp;"")=15,SUBSTITUTE(SUBSTITUTE(SUBSTITUTE(SUBSTITUTE(SUBSTITUTE(SUBSTITUTE(SUBSTITUTE(SUBSTITUTE(SUBSTITUTE(SUBSTITUTE(G79&amp;"","0",""),"1",""),"2",""),"3",""),"4",""),"5",""),"6",""),"7",""),"8",""),"9","")=""))),"ICE : 15 chiffres attendus",IF(AND(H79&lt;&gt;"",NOT(AND(LEN(H79&amp;"")=9,SUBSTITUTE(SUBSTITUTE(SUBSTITUTE(SUBSTITUTE(SUBSTITUTE(SUBSTITUTE(SUBSTITUTE(SUBSTITUTE(SUBSTITUTE(SUBSTITUTE(H79&amp;"","0",""),"1",""),"2",""),"3",""),"4",""),"5",""),"6",""),"7",""),"8",""),"9","")=""))),"SIREN : 9 chiffres attendus",IF(AND(M79&lt;&gt;"",OR(NOT(ISNUMBER(M79)),N(M79)&lt;0)),"Délai de paiement invalide","OK"))))))))</f>
        <v/>
      </c>
      <c r="Q79" s="62" t="str">
        <f>IF(A79="","",ROUND(SUMIFS(fa_ht,fa_client,A79,fa_year,db_year)*100,0))</f>
        <v/>
      </c>
      <c r="R79" s="62" t="str">
        <f>IF(N(Q79)&lt;=0,"",COUNTIF($Q$6:$Q$305,"&gt;"&amp;Q79)+COUNTIF($Q$6:Q79,Q79))</f>
        <v/>
      </c>
      <c r="S79" s="62" t="str">
        <f>IF(A79="","",ROUND(SUMIFS(fa_reste,fa_client,A79,fa_reste,"&gt;0")*100,0))</f>
        <v/>
      </c>
      <c r="T79" s="62" t="str">
        <f>IF(N(S79)&lt;=0,"",COUNTIF($S$6:$S$305,"&gt;"&amp;S79)+COUNTIF($S$6:S79,S79))</f>
        <v/>
      </c>
    </row>
    <row r="80">
      <c r="A80" s="60" t="n"/>
      <c r="B80" s="63" t="n"/>
      <c r="C80" s="60" t="n"/>
      <c r="D80" s="63" t="n"/>
      <c r="E80" s="63" t="n"/>
      <c r="F80" s="60" t="n"/>
      <c r="G80" s="143" t="n"/>
      <c r="H80" s="143" t="n"/>
      <c r="I80" s="63" t="n"/>
      <c r="J80" s="63" t="n"/>
      <c r="K80" s="63" t="n"/>
      <c r="L80" s="63" t="n"/>
      <c r="M80" s="144" t="n"/>
      <c r="N80" s="65" t="str">
        <f>IF(A80="","",SUMIF(fa_client,A80,fa_ht))</f>
        <v/>
      </c>
      <c r="O80" s="65" t="str">
        <f>IF(A80="","",SUMIF(fa_client,A80,fa_reste))</f>
        <v/>
      </c>
      <c r="P80" s="59" t="str">
        <f>IF(COUNTA(A80:M80)=0,"",IF(A80="","Code manquant",IF(COUNTIF(cli_code,A80)&gt;1,"Code en double",IF(B80="","Nom manquant",IF(AND(p_country="Maroc",C80&lt;&gt;"Particulier",OR(F80="",F80="Maroc"),G80=""),"ICE manquant (client professionnel)",IF(AND(G80&lt;&gt;"",NOT(AND(LEN(G80&amp;"")=15,SUBSTITUTE(SUBSTITUTE(SUBSTITUTE(SUBSTITUTE(SUBSTITUTE(SUBSTITUTE(SUBSTITUTE(SUBSTITUTE(SUBSTITUTE(SUBSTITUTE(G80&amp;"","0",""),"1",""),"2",""),"3",""),"4",""),"5",""),"6",""),"7",""),"8",""),"9","")=""))),"ICE : 15 chiffres attendus",IF(AND(H80&lt;&gt;"",NOT(AND(LEN(H80&amp;"")=9,SUBSTITUTE(SUBSTITUTE(SUBSTITUTE(SUBSTITUTE(SUBSTITUTE(SUBSTITUTE(SUBSTITUTE(SUBSTITUTE(SUBSTITUTE(SUBSTITUTE(H80&amp;"","0",""),"1",""),"2",""),"3",""),"4",""),"5",""),"6",""),"7",""),"8",""),"9","")=""))),"SIREN : 9 chiffres attendus",IF(AND(M80&lt;&gt;"",OR(NOT(ISNUMBER(M80)),N(M80)&lt;0)),"Délai de paiement invalide","OK"))))))))</f>
        <v/>
      </c>
      <c r="Q80" s="62" t="str">
        <f>IF(A80="","",ROUND(SUMIFS(fa_ht,fa_client,A80,fa_year,db_year)*100,0))</f>
        <v/>
      </c>
      <c r="R80" s="62" t="str">
        <f>IF(N(Q80)&lt;=0,"",COUNTIF($Q$6:$Q$305,"&gt;"&amp;Q80)+COUNTIF($Q$6:Q80,Q80))</f>
        <v/>
      </c>
      <c r="S80" s="62" t="str">
        <f>IF(A80="","",ROUND(SUMIFS(fa_reste,fa_client,A80,fa_reste,"&gt;0")*100,0))</f>
        <v/>
      </c>
      <c r="T80" s="62" t="str">
        <f>IF(N(S80)&lt;=0,"",COUNTIF($S$6:$S$305,"&gt;"&amp;S80)+COUNTIF($S$6:S80,S80))</f>
        <v/>
      </c>
    </row>
    <row r="81">
      <c r="A81" s="60" t="n"/>
      <c r="B81" s="63" t="n"/>
      <c r="C81" s="60" t="n"/>
      <c r="D81" s="63" t="n"/>
      <c r="E81" s="63" t="n"/>
      <c r="F81" s="60" t="n"/>
      <c r="G81" s="143" t="n"/>
      <c r="H81" s="143" t="n"/>
      <c r="I81" s="63" t="n"/>
      <c r="J81" s="63" t="n"/>
      <c r="K81" s="63" t="n"/>
      <c r="L81" s="63" t="n"/>
      <c r="M81" s="144" t="n"/>
      <c r="N81" s="65" t="str">
        <f>IF(A81="","",SUMIF(fa_client,A81,fa_ht))</f>
        <v/>
      </c>
      <c r="O81" s="65" t="str">
        <f>IF(A81="","",SUMIF(fa_client,A81,fa_reste))</f>
        <v/>
      </c>
      <c r="P81" s="59" t="str">
        <f>IF(COUNTA(A81:M81)=0,"",IF(A81="","Code manquant",IF(COUNTIF(cli_code,A81)&gt;1,"Code en double",IF(B81="","Nom manquant",IF(AND(p_country="Maroc",C81&lt;&gt;"Particulier",OR(F81="",F81="Maroc"),G81=""),"ICE manquant (client professionnel)",IF(AND(G81&lt;&gt;"",NOT(AND(LEN(G81&amp;"")=15,SUBSTITUTE(SUBSTITUTE(SUBSTITUTE(SUBSTITUTE(SUBSTITUTE(SUBSTITUTE(SUBSTITUTE(SUBSTITUTE(SUBSTITUTE(SUBSTITUTE(G81&amp;"","0",""),"1",""),"2",""),"3",""),"4",""),"5",""),"6",""),"7",""),"8",""),"9","")=""))),"ICE : 15 chiffres attendus",IF(AND(H81&lt;&gt;"",NOT(AND(LEN(H81&amp;"")=9,SUBSTITUTE(SUBSTITUTE(SUBSTITUTE(SUBSTITUTE(SUBSTITUTE(SUBSTITUTE(SUBSTITUTE(SUBSTITUTE(SUBSTITUTE(SUBSTITUTE(H81&amp;"","0",""),"1",""),"2",""),"3",""),"4",""),"5",""),"6",""),"7",""),"8",""),"9","")=""))),"SIREN : 9 chiffres attendus",IF(AND(M81&lt;&gt;"",OR(NOT(ISNUMBER(M81)),N(M81)&lt;0)),"Délai de paiement invalide","OK"))))))))</f>
        <v/>
      </c>
      <c r="Q81" s="62" t="str">
        <f>IF(A81="","",ROUND(SUMIFS(fa_ht,fa_client,A81,fa_year,db_year)*100,0))</f>
        <v/>
      </c>
      <c r="R81" s="62" t="str">
        <f>IF(N(Q81)&lt;=0,"",COUNTIF($Q$6:$Q$305,"&gt;"&amp;Q81)+COUNTIF($Q$6:Q81,Q81))</f>
        <v/>
      </c>
      <c r="S81" s="62" t="str">
        <f>IF(A81="","",ROUND(SUMIFS(fa_reste,fa_client,A81,fa_reste,"&gt;0")*100,0))</f>
        <v/>
      </c>
      <c r="T81" s="62" t="str">
        <f>IF(N(S81)&lt;=0,"",COUNTIF($S$6:$S$305,"&gt;"&amp;S81)+COUNTIF($S$6:S81,S81))</f>
        <v/>
      </c>
    </row>
    <row r="82">
      <c r="A82" s="60" t="n"/>
      <c r="B82" s="63" t="n"/>
      <c r="C82" s="60" t="n"/>
      <c r="D82" s="63" t="n"/>
      <c r="E82" s="63" t="n"/>
      <c r="F82" s="60" t="n"/>
      <c r="G82" s="143" t="n"/>
      <c r="H82" s="143" t="n"/>
      <c r="I82" s="63" t="n"/>
      <c r="J82" s="63" t="n"/>
      <c r="K82" s="63" t="n"/>
      <c r="L82" s="63" t="n"/>
      <c r="M82" s="144" t="n"/>
      <c r="N82" s="65" t="str">
        <f>IF(A82="","",SUMIF(fa_client,A82,fa_ht))</f>
        <v/>
      </c>
      <c r="O82" s="65" t="str">
        <f>IF(A82="","",SUMIF(fa_client,A82,fa_reste))</f>
        <v/>
      </c>
      <c r="P82" s="59" t="str">
        <f>IF(COUNTA(A82:M82)=0,"",IF(A82="","Code manquant",IF(COUNTIF(cli_code,A82)&gt;1,"Code en double",IF(B82="","Nom manquant",IF(AND(p_country="Maroc",C82&lt;&gt;"Particulier",OR(F82="",F82="Maroc"),G82=""),"ICE manquant (client professionnel)",IF(AND(G82&lt;&gt;"",NOT(AND(LEN(G82&amp;"")=15,SUBSTITUTE(SUBSTITUTE(SUBSTITUTE(SUBSTITUTE(SUBSTITUTE(SUBSTITUTE(SUBSTITUTE(SUBSTITUTE(SUBSTITUTE(SUBSTITUTE(G82&amp;"","0",""),"1",""),"2",""),"3",""),"4",""),"5",""),"6",""),"7",""),"8",""),"9","")=""))),"ICE : 15 chiffres attendus",IF(AND(H82&lt;&gt;"",NOT(AND(LEN(H82&amp;"")=9,SUBSTITUTE(SUBSTITUTE(SUBSTITUTE(SUBSTITUTE(SUBSTITUTE(SUBSTITUTE(SUBSTITUTE(SUBSTITUTE(SUBSTITUTE(SUBSTITUTE(H82&amp;"","0",""),"1",""),"2",""),"3",""),"4",""),"5",""),"6",""),"7",""),"8",""),"9","")=""))),"SIREN : 9 chiffres attendus",IF(AND(M82&lt;&gt;"",OR(NOT(ISNUMBER(M82)),N(M82)&lt;0)),"Délai de paiement invalide","OK"))))))))</f>
        <v/>
      </c>
      <c r="Q82" s="62" t="str">
        <f>IF(A82="","",ROUND(SUMIFS(fa_ht,fa_client,A82,fa_year,db_year)*100,0))</f>
        <v/>
      </c>
      <c r="R82" s="62" t="str">
        <f>IF(N(Q82)&lt;=0,"",COUNTIF($Q$6:$Q$305,"&gt;"&amp;Q82)+COUNTIF($Q$6:Q82,Q82))</f>
        <v/>
      </c>
      <c r="S82" s="62" t="str">
        <f>IF(A82="","",ROUND(SUMIFS(fa_reste,fa_client,A82,fa_reste,"&gt;0")*100,0))</f>
        <v/>
      </c>
      <c r="T82" s="62" t="str">
        <f>IF(N(S82)&lt;=0,"",COUNTIF($S$6:$S$305,"&gt;"&amp;S82)+COUNTIF($S$6:S82,S82))</f>
        <v/>
      </c>
    </row>
    <row r="83">
      <c r="A83" s="60" t="n"/>
      <c r="B83" s="63" t="n"/>
      <c r="C83" s="60" t="n"/>
      <c r="D83" s="63" t="n"/>
      <c r="E83" s="63" t="n"/>
      <c r="F83" s="60" t="n"/>
      <c r="G83" s="143" t="n"/>
      <c r="H83" s="143" t="n"/>
      <c r="I83" s="63" t="n"/>
      <c r="J83" s="63" t="n"/>
      <c r="K83" s="63" t="n"/>
      <c r="L83" s="63" t="n"/>
      <c r="M83" s="144" t="n"/>
      <c r="N83" s="65" t="str">
        <f>IF(A83="","",SUMIF(fa_client,A83,fa_ht))</f>
        <v/>
      </c>
      <c r="O83" s="65" t="str">
        <f>IF(A83="","",SUMIF(fa_client,A83,fa_reste))</f>
        <v/>
      </c>
      <c r="P83" s="59" t="str">
        <f>IF(COUNTA(A83:M83)=0,"",IF(A83="","Code manquant",IF(COUNTIF(cli_code,A83)&gt;1,"Code en double",IF(B83="","Nom manquant",IF(AND(p_country="Maroc",C83&lt;&gt;"Particulier",OR(F83="",F83="Maroc"),G83=""),"ICE manquant (client professionnel)",IF(AND(G83&lt;&gt;"",NOT(AND(LEN(G83&amp;"")=15,SUBSTITUTE(SUBSTITUTE(SUBSTITUTE(SUBSTITUTE(SUBSTITUTE(SUBSTITUTE(SUBSTITUTE(SUBSTITUTE(SUBSTITUTE(SUBSTITUTE(G83&amp;"","0",""),"1",""),"2",""),"3",""),"4",""),"5",""),"6",""),"7",""),"8",""),"9","")=""))),"ICE : 15 chiffres attendus",IF(AND(H83&lt;&gt;"",NOT(AND(LEN(H83&amp;"")=9,SUBSTITUTE(SUBSTITUTE(SUBSTITUTE(SUBSTITUTE(SUBSTITUTE(SUBSTITUTE(SUBSTITUTE(SUBSTITUTE(SUBSTITUTE(SUBSTITUTE(H83&amp;"","0",""),"1",""),"2",""),"3",""),"4",""),"5",""),"6",""),"7",""),"8",""),"9","")=""))),"SIREN : 9 chiffres attendus",IF(AND(M83&lt;&gt;"",OR(NOT(ISNUMBER(M83)),N(M83)&lt;0)),"Délai de paiement invalide","OK"))))))))</f>
        <v/>
      </c>
      <c r="Q83" s="62" t="str">
        <f>IF(A83="","",ROUND(SUMIFS(fa_ht,fa_client,A83,fa_year,db_year)*100,0))</f>
        <v/>
      </c>
      <c r="R83" s="62" t="str">
        <f>IF(N(Q83)&lt;=0,"",COUNTIF($Q$6:$Q$305,"&gt;"&amp;Q83)+COUNTIF($Q$6:Q83,Q83))</f>
        <v/>
      </c>
      <c r="S83" s="62" t="str">
        <f>IF(A83="","",ROUND(SUMIFS(fa_reste,fa_client,A83,fa_reste,"&gt;0")*100,0))</f>
        <v/>
      </c>
      <c r="T83" s="62" t="str">
        <f>IF(N(S83)&lt;=0,"",COUNTIF($S$6:$S$305,"&gt;"&amp;S83)+COUNTIF($S$6:S83,S83))</f>
        <v/>
      </c>
    </row>
    <row r="84">
      <c r="A84" s="60" t="n"/>
      <c r="B84" s="63" t="n"/>
      <c r="C84" s="60" t="n"/>
      <c r="D84" s="63" t="n"/>
      <c r="E84" s="63" t="n"/>
      <c r="F84" s="60" t="n"/>
      <c r="G84" s="143" t="n"/>
      <c r="H84" s="143" t="n"/>
      <c r="I84" s="63" t="n"/>
      <c r="J84" s="63" t="n"/>
      <c r="K84" s="63" t="n"/>
      <c r="L84" s="63" t="n"/>
      <c r="M84" s="144" t="n"/>
      <c r="N84" s="65" t="str">
        <f>IF(A84="","",SUMIF(fa_client,A84,fa_ht))</f>
        <v/>
      </c>
      <c r="O84" s="65" t="str">
        <f>IF(A84="","",SUMIF(fa_client,A84,fa_reste))</f>
        <v/>
      </c>
      <c r="P84" s="59" t="str">
        <f>IF(COUNTA(A84:M84)=0,"",IF(A84="","Code manquant",IF(COUNTIF(cli_code,A84)&gt;1,"Code en double",IF(B84="","Nom manquant",IF(AND(p_country="Maroc",C84&lt;&gt;"Particulier",OR(F84="",F84="Maroc"),G84=""),"ICE manquant (client professionnel)",IF(AND(G84&lt;&gt;"",NOT(AND(LEN(G84&amp;"")=15,SUBSTITUTE(SUBSTITUTE(SUBSTITUTE(SUBSTITUTE(SUBSTITUTE(SUBSTITUTE(SUBSTITUTE(SUBSTITUTE(SUBSTITUTE(SUBSTITUTE(G84&amp;"","0",""),"1",""),"2",""),"3",""),"4",""),"5",""),"6",""),"7",""),"8",""),"9","")=""))),"ICE : 15 chiffres attendus",IF(AND(H84&lt;&gt;"",NOT(AND(LEN(H84&amp;"")=9,SUBSTITUTE(SUBSTITUTE(SUBSTITUTE(SUBSTITUTE(SUBSTITUTE(SUBSTITUTE(SUBSTITUTE(SUBSTITUTE(SUBSTITUTE(SUBSTITUTE(H84&amp;"","0",""),"1",""),"2",""),"3",""),"4",""),"5",""),"6",""),"7",""),"8",""),"9","")=""))),"SIREN : 9 chiffres attendus",IF(AND(M84&lt;&gt;"",OR(NOT(ISNUMBER(M84)),N(M84)&lt;0)),"Délai de paiement invalide","OK"))))))))</f>
        <v/>
      </c>
      <c r="Q84" s="62" t="str">
        <f>IF(A84="","",ROUND(SUMIFS(fa_ht,fa_client,A84,fa_year,db_year)*100,0))</f>
        <v/>
      </c>
      <c r="R84" s="62" t="str">
        <f>IF(N(Q84)&lt;=0,"",COUNTIF($Q$6:$Q$305,"&gt;"&amp;Q84)+COUNTIF($Q$6:Q84,Q84))</f>
        <v/>
      </c>
      <c r="S84" s="62" t="str">
        <f>IF(A84="","",ROUND(SUMIFS(fa_reste,fa_client,A84,fa_reste,"&gt;0")*100,0))</f>
        <v/>
      </c>
      <c r="T84" s="62" t="str">
        <f>IF(N(S84)&lt;=0,"",COUNTIF($S$6:$S$305,"&gt;"&amp;S84)+COUNTIF($S$6:S84,S84))</f>
        <v/>
      </c>
    </row>
    <row r="85">
      <c r="A85" s="60" t="n"/>
      <c r="B85" s="63" t="n"/>
      <c r="C85" s="60" t="n"/>
      <c r="D85" s="63" t="n"/>
      <c r="E85" s="63" t="n"/>
      <c r="F85" s="60" t="n"/>
      <c r="G85" s="143" t="n"/>
      <c r="H85" s="143" t="n"/>
      <c r="I85" s="63" t="n"/>
      <c r="J85" s="63" t="n"/>
      <c r="K85" s="63" t="n"/>
      <c r="L85" s="63" t="n"/>
      <c r="M85" s="144" t="n"/>
      <c r="N85" s="65" t="str">
        <f>IF(A85="","",SUMIF(fa_client,A85,fa_ht))</f>
        <v/>
      </c>
      <c r="O85" s="65" t="str">
        <f>IF(A85="","",SUMIF(fa_client,A85,fa_reste))</f>
        <v/>
      </c>
      <c r="P85" s="59" t="str">
        <f>IF(COUNTA(A85:M85)=0,"",IF(A85="","Code manquant",IF(COUNTIF(cli_code,A85)&gt;1,"Code en double",IF(B85="","Nom manquant",IF(AND(p_country="Maroc",C85&lt;&gt;"Particulier",OR(F85="",F85="Maroc"),G85=""),"ICE manquant (client professionnel)",IF(AND(G85&lt;&gt;"",NOT(AND(LEN(G85&amp;"")=15,SUBSTITUTE(SUBSTITUTE(SUBSTITUTE(SUBSTITUTE(SUBSTITUTE(SUBSTITUTE(SUBSTITUTE(SUBSTITUTE(SUBSTITUTE(SUBSTITUTE(G85&amp;"","0",""),"1",""),"2",""),"3",""),"4",""),"5",""),"6",""),"7",""),"8",""),"9","")=""))),"ICE : 15 chiffres attendus",IF(AND(H85&lt;&gt;"",NOT(AND(LEN(H85&amp;"")=9,SUBSTITUTE(SUBSTITUTE(SUBSTITUTE(SUBSTITUTE(SUBSTITUTE(SUBSTITUTE(SUBSTITUTE(SUBSTITUTE(SUBSTITUTE(SUBSTITUTE(H85&amp;"","0",""),"1",""),"2",""),"3",""),"4",""),"5",""),"6",""),"7",""),"8",""),"9","")=""))),"SIREN : 9 chiffres attendus",IF(AND(M85&lt;&gt;"",OR(NOT(ISNUMBER(M85)),N(M85)&lt;0)),"Délai de paiement invalide","OK"))))))))</f>
        <v/>
      </c>
      <c r="Q85" s="62" t="str">
        <f>IF(A85="","",ROUND(SUMIFS(fa_ht,fa_client,A85,fa_year,db_year)*100,0))</f>
        <v/>
      </c>
      <c r="R85" s="62" t="str">
        <f>IF(N(Q85)&lt;=0,"",COUNTIF($Q$6:$Q$305,"&gt;"&amp;Q85)+COUNTIF($Q$6:Q85,Q85))</f>
        <v/>
      </c>
      <c r="S85" s="62" t="str">
        <f>IF(A85="","",ROUND(SUMIFS(fa_reste,fa_client,A85,fa_reste,"&gt;0")*100,0))</f>
        <v/>
      </c>
      <c r="T85" s="62" t="str">
        <f>IF(N(S85)&lt;=0,"",COUNTIF($S$6:$S$305,"&gt;"&amp;S85)+COUNTIF($S$6:S85,S85))</f>
        <v/>
      </c>
    </row>
    <row r="86">
      <c r="A86" s="60" t="n"/>
      <c r="B86" s="63" t="n"/>
      <c r="C86" s="60" t="n"/>
      <c r="D86" s="63" t="n"/>
      <c r="E86" s="63" t="n"/>
      <c r="F86" s="60" t="n"/>
      <c r="G86" s="143" t="n"/>
      <c r="H86" s="143" t="n"/>
      <c r="I86" s="63" t="n"/>
      <c r="J86" s="63" t="n"/>
      <c r="K86" s="63" t="n"/>
      <c r="L86" s="63" t="n"/>
      <c r="M86" s="144" t="n"/>
      <c r="N86" s="65" t="str">
        <f>IF(A86="","",SUMIF(fa_client,A86,fa_ht))</f>
        <v/>
      </c>
      <c r="O86" s="65" t="str">
        <f>IF(A86="","",SUMIF(fa_client,A86,fa_reste))</f>
        <v/>
      </c>
      <c r="P86" s="59" t="str">
        <f>IF(COUNTA(A86:M86)=0,"",IF(A86="","Code manquant",IF(COUNTIF(cli_code,A86)&gt;1,"Code en double",IF(B86="","Nom manquant",IF(AND(p_country="Maroc",C86&lt;&gt;"Particulier",OR(F86="",F86="Maroc"),G86=""),"ICE manquant (client professionnel)",IF(AND(G86&lt;&gt;"",NOT(AND(LEN(G86&amp;"")=15,SUBSTITUTE(SUBSTITUTE(SUBSTITUTE(SUBSTITUTE(SUBSTITUTE(SUBSTITUTE(SUBSTITUTE(SUBSTITUTE(SUBSTITUTE(SUBSTITUTE(G86&amp;"","0",""),"1",""),"2",""),"3",""),"4",""),"5",""),"6",""),"7",""),"8",""),"9","")=""))),"ICE : 15 chiffres attendus",IF(AND(H86&lt;&gt;"",NOT(AND(LEN(H86&amp;"")=9,SUBSTITUTE(SUBSTITUTE(SUBSTITUTE(SUBSTITUTE(SUBSTITUTE(SUBSTITUTE(SUBSTITUTE(SUBSTITUTE(SUBSTITUTE(SUBSTITUTE(H86&amp;"","0",""),"1",""),"2",""),"3",""),"4",""),"5",""),"6",""),"7",""),"8",""),"9","")=""))),"SIREN : 9 chiffres attendus",IF(AND(M86&lt;&gt;"",OR(NOT(ISNUMBER(M86)),N(M86)&lt;0)),"Délai de paiement invalide","OK"))))))))</f>
        <v/>
      </c>
      <c r="Q86" s="62" t="str">
        <f>IF(A86="","",ROUND(SUMIFS(fa_ht,fa_client,A86,fa_year,db_year)*100,0))</f>
        <v/>
      </c>
      <c r="R86" s="62" t="str">
        <f>IF(N(Q86)&lt;=0,"",COUNTIF($Q$6:$Q$305,"&gt;"&amp;Q86)+COUNTIF($Q$6:Q86,Q86))</f>
        <v/>
      </c>
      <c r="S86" s="62" t="str">
        <f>IF(A86="","",ROUND(SUMIFS(fa_reste,fa_client,A86,fa_reste,"&gt;0")*100,0))</f>
        <v/>
      </c>
      <c r="T86" s="62" t="str">
        <f>IF(N(S86)&lt;=0,"",COUNTIF($S$6:$S$305,"&gt;"&amp;S86)+COUNTIF($S$6:S86,S86))</f>
        <v/>
      </c>
    </row>
    <row r="87">
      <c r="A87" s="60" t="n"/>
      <c r="B87" s="63" t="n"/>
      <c r="C87" s="60" t="n"/>
      <c r="D87" s="63" t="n"/>
      <c r="E87" s="63" t="n"/>
      <c r="F87" s="60" t="n"/>
      <c r="G87" s="143" t="n"/>
      <c r="H87" s="143" t="n"/>
      <c r="I87" s="63" t="n"/>
      <c r="J87" s="63" t="n"/>
      <c r="K87" s="63" t="n"/>
      <c r="L87" s="63" t="n"/>
      <c r="M87" s="144" t="n"/>
      <c r="N87" s="65" t="str">
        <f>IF(A87="","",SUMIF(fa_client,A87,fa_ht))</f>
        <v/>
      </c>
      <c r="O87" s="65" t="str">
        <f>IF(A87="","",SUMIF(fa_client,A87,fa_reste))</f>
        <v/>
      </c>
      <c r="P87" s="59" t="str">
        <f>IF(COUNTA(A87:M87)=0,"",IF(A87="","Code manquant",IF(COUNTIF(cli_code,A87)&gt;1,"Code en double",IF(B87="","Nom manquant",IF(AND(p_country="Maroc",C87&lt;&gt;"Particulier",OR(F87="",F87="Maroc"),G87=""),"ICE manquant (client professionnel)",IF(AND(G87&lt;&gt;"",NOT(AND(LEN(G87&amp;"")=15,SUBSTITUTE(SUBSTITUTE(SUBSTITUTE(SUBSTITUTE(SUBSTITUTE(SUBSTITUTE(SUBSTITUTE(SUBSTITUTE(SUBSTITUTE(SUBSTITUTE(G87&amp;"","0",""),"1",""),"2",""),"3",""),"4",""),"5",""),"6",""),"7",""),"8",""),"9","")=""))),"ICE : 15 chiffres attendus",IF(AND(H87&lt;&gt;"",NOT(AND(LEN(H87&amp;"")=9,SUBSTITUTE(SUBSTITUTE(SUBSTITUTE(SUBSTITUTE(SUBSTITUTE(SUBSTITUTE(SUBSTITUTE(SUBSTITUTE(SUBSTITUTE(SUBSTITUTE(H87&amp;"","0",""),"1",""),"2",""),"3",""),"4",""),"5",""),"6",""),"7",""),"8",""),"9","")=""))),"SIREN : 9 chiffres attendus",IF(AND(M87&lt;&gt;"",OR(NOT(ISNUMBER(M87)),N(M87)&lt;0)),"Délai de paiement invalide","OK"))))))))</f>
        <v/>
      </c>
      <c r="Q87" s="62" t="str">
        <f>IF(A87="","",ROUND(SUMIFS(fa_ht,fa_client,A87,fa_year,db_year)*100,0))</f>
        <v/>
      </c>
      <c r="R87" s="62" t="str">
        <f>IF(N(Q87)&lt;=0,"",COUNTIF($Q$6:$Q$305,"&gt;"&amp;Q87)+COUNTIF($Q$6:Q87,Q87))</f>
        <v/>
      </c>
      <c r="S87" s="62" t="str">
        <f>IF(A87="","",ROUND(SUMIFS(fa_reste,fa_client,A87,fa_reste,"&gt;0")*100,0))</f>
        <v/>
      </c>
      <c r="T87" s="62" t="str">
        <f>IF(N(S87)&lt;=0,"",COUNTIF($S$6:$S$305,"&gt;"&amp;S87)+COUNTIF($S$6:S87,S87))</f>
        <v/>
      </c>
    </row>
    <row r="88">
      <c r="A88" s="60" t="n"/>
      <c r="B88" s="63" t="n"/>
      <c r="C88" s="60" t="n"/>
      <c r="D88" s="63" t="n"/>
      <c r="E88" s="63" t="n"/>
      <c r="F88" s="60" t="n"/>
      <c r="G88" s="143" t="n"/>
      <c r="H88" s="143" t="n"/>
      <c r="I88" s="63" t="n"/>
      <c r="J88" s="63" t="n"/>
      <c r="K88" s="63" t="n"/>
      <c r="L88" s="63" t="n"/>
      <c r="M88" s="144" t="n"/>
      <c r="N88" s="65" t="str">
        <f>IF(A88="","",SUMIF(fa_client,A88,fa_ht))</f>
        <v/>
      </c>
      <c r="O88" s="65" t="str">
        <f>IF(A88="","",SUMIF(fa_client,A88,fa_reste))</f>
        <v/>
      </c>
      <c r="P88" s="59" t="str">
        <f>IF(COUNTA(A88:M88)=0,"",IF(A88="","Code manquant",IF(COUNTIF(cli_code,A88)&gt;1,"Code en double",IF(B88="","Nom manquant",IF(AND(p_country="Maroc",C88&lt;&gt;"Particulier",OR(F88="",F88="Maroc"),G88=""),"ICE manquant (client professionnel)",IF(AND(G88&lt;&gt;"",NOT(AND(LEN(G88&amp;"")=15,SUBSTITUTE(SUBSTITUTE(SUBSTITUTE(SUBSTITUTE(SUBSTITUTE(SUBSTITUTE(SUBSTITUTE(SUBSTITUTE(SUBSTITUTE(SUBSTITUTE(G88&amp;"","0",""),"1",""),"2",""),"3",""),"4",""),"5",""),"6",""),"7",""),"8",""),"9","")=""))),"ICE : 15 chiffres attendus",IF(AND(H88&lt;&gt;"",NOT(AND(LEN(H88&amp;"")=9,SUBSTITUTE(SUBSTITUTE(SUBSTITUTE(SUBSTITUTE(SUBSTITUTE(SUBSTITUTE(SUBSTITUTE(SUBSTITUTE(SUBSTITUTE(SUBSTITUTE(H88&amp;"","0",""),"1",""),"2",""),"3",""),"4",""),"5",""),"6",""),"7",""),"8",""),"9","")=""))),"SIREN : 9 chiffres attendus",IF(AND(M88&lt;&gt;"",OR(NOT(ISNUMBER(M88)),N(M88)&lt;0)),"Délai de paiement invalide","OK"))))))))</f>
        <v/>
      </c>
      <c r="Q88" s="62" t="str">
        <f>IF(A88="","",ROUND(SUMIFS(fa_ht,fa_client,A88,fa_year,db_year)*100,0))</f>
        <v/>
      </c>
      <c r="R88" s="62" t="str">
        <f>IF(N(Q88)&lt;=0,"",COUNTIF($Q$6:$Q$305,"&gt;"&amp;Q88)+COUNTIF($Q$6:Q88,Q88))</f>
        <v/>
      </c>
      <c r="S88" s="62" t="str">
        <f>IF(A88="","",ROUND(SUMIFS(fa_reste,fa_client,A88,fa_reste,"&gt;0")*100,0))</f>
        <v/>
      </c>
      <c r="T88" s="62" t="str">
        <f>IF(N(S88)&lt;=0,"",COUNTIF($S$6:$S$305,"&gt;"&amp;S88)+COUNTIF($S$6:S88,S88))</f>
        <v/>
      </c>
    </row>
    <row r="89">
      <c r="A89" s="60" t="n"/>
      <c r="B89" s="63" t="n"/>
      <c r="C89" s="60" t="n"/>
      <c r="D89" s="63" t="n"/>
      <c r="E89" s="63" t="n"/>
      <c r="F89" s="60" t="n"/>
      <c r="G89" s="143" t="n"/>
      <c r="H89" s="143" t="n"/>
      <c r="I89" s="63" t="n"/>
      <c r="J89" s="63" t="n"/>
      <c r="K89" s="63" t="n"/>
      <c r="L89" s="63" t="n"/>
      <c r="M89" s="144" t="n"/>
      <c r="N89" s="65" t="str">
        <f>IF(A89="","",SUMIF(fa_client,A89,fa_ht))</f>
        <v/>
      </c>
      <c r="O89" s="65" t="str">
        <f>IF(A89="","",SUMIF(fa_client,A89,fa_reste))</f>
        <v/>
      </c>
      <c r="P89" s="59" t="str">
        <f>IF(COUNTA(A89:M89)=0,"",IF(A89="","Code manquant",IF(COUNTIF(cli_code,A89)&gt;1,"Code en double",IF(B89="","Nom manquant",IF(AND(p_country="Maroc",C89&lt;&gt;"Particulier",OR(F89="",F89="Maroc"),G89=""),"ICE manquant (client professionnel)",IF(AND(G89&lt;&gt;"",NOT(AND(LEN(G89&amp;"")=15,SUBSTITUTE(SUBSTITUTE(SUBSTITUTE(SUBSTITUTE(SUBSTITUTE(SUBSTITUTE(SUBSTITUTE(SUBSTITUTE(SUBSTITUTE(SUBSTITUTE(G89&amp;"","0",""),"1",""),"2",""),"3",""),"4",""),"5",""),"6",""),"7",""),"8",""),"9","")=""))),"ICE : 15 chiffres attendus",IF(AND(H89&lt;&gt;"",NOT(AND(LEN(H89&amp;"")=9,SUBSTITUTE(SUBSTITUTE(SUBSTITUTE(SUBSTITUTE(SUBSTITUTE(SUBSTITUTE(SUBSTITUTE(SUBSTITUTE(SUBSTITUTE(SUBSTITUTE(H89&amp;"","0",""),"1",""),"2",""),"3",""),"4",""),"5",""),"6",""),"7",""),"8",""),"9","")=""))),"SIREN : 9 chiffres attendus",IF(AND(M89&lt;&gt;"",OR(NOT(ISNUMBER(M89)),N(M89)&lt;0)),"Délai de paiement invalide","OK"))))))))</f>
        <v/>
      </c>
      <c r="Q89" s="62" t="str">
        <f>IF(A89="","",ROUND(SUMIFS(fa_ht,fa_client,A89,fa_year,db_year)*100,0))</f>
        <v/>
      </c>
      <c r="R89" s="62" t="str">
        <f>IF(N(Q89)&lt;=0,"",COUNTIF($Q$6:$Q$305,"&gt;"&amp;Q89)+COUNTIF($Q$6:Q89,Q89))</f>
        <v/>
      </c>
      <c r="S89" s="62" t="str">
        <f>IF(A89="","",ROUND(SUMIFS(fa_reste,fa_client,A89,fa_reste,"&gt;0")*100,0))</f>
        <v/>
      </c>
      <c r="T89" s="62" t="str">
        <f>IF(N(S89)&lt;=0,"",COUNTIF($S$6:$S$305,"&gt;"&amp;S89)+COUNTIF($S$6:S89,S89))</f>
        <v/>
      </c>
    </row>
    <row r="90">
      <c r="A90" s="60" t="n"/>
      <c r="B90" s="63" t="n"/>
      <c r="C90" s="60" t="n"/>
      <c r="D90" s="63" t="n"/>
      <c r="E90" s="63" t="n"/>
      <c r="F90" s="60" t="n"/>
      <c r="G90" s="143" t="n"/>
      <c r="H90" s="143" t="n"/>
      <c r="I90" s="63" t="n"/>
      <c r="J90" s="63" t="n"/>
      <c r="K90" s="63" t="n"/>
      <c r="L90" s="63" t="n"/>
      <c r="M90" s="144" t="n"/>
      <c r="N90" s="65" t="str">
        <f>IF(A90="","",SUMIF(fa_client,A90,fa_ht))</f>
        <v/>
      </c>
      <c r="O90" s="65" t="str">
        <f>IF(A90="","",SUMIF(fa_client,A90,fa_reste))</f>
        <v/>
      </c>
      <c r="P90" s="59" t="str">
        <f>IF(COUNTA(A90:M90)=0,"",IF(A90="","Code manquant",IF(COUNTIF(cli_code,A90)&gt;1,"Code en double",IF(B90="","Nom manquant",IF(AND(p_country="Maroc",C90&lt;&gt;"Particulier",OR(F90="",F90="Maroc"),G90=""),"ICE manquant (client professionnel)",IF(AND(G90&lt;&gt;"",NOT(AND(LEN(G90&amp;"")=15,SUBSTITUTE(SUBSTITUTE(SUBSTITUTE(SUBSTITUTE(SUBSTITUTE(SUBSTITUTE(SUBSTITUTE(SUBSTITUTE(SUBSTITUTE(SUBSTITUTE(G90&amp;"","0",""),"1",""),"2",""),"3",""),"4",""),"5",""),"6",""),"7",""),"8",""),"9","")=""))),"ICE : 15 chiffres attendus",IF(AND(H90&lt;&gt;"",NOT(AND(LEN(H90&amp;"")=9,SUBSTITUTE(SUBSTITUTE(SUBSTITUTE(SUBSTITUTE(SUBSTITUTE(SUBSTITUTE(SUBSTITUTE(SUBSTITUTE(SUBSTITUTE(SUBSTITUTE(H90&amp;"","0",""),"1",""),"2",""),"3",""),"4",""),"5",""),"6",""),"7",""),"8",""),"9","")=""))),"SIREN : 9 chiffres attendus",IF(AND(M90&lt;&gt;"",OR(NOT(ISNUMBER(M90)),N(M90)&lt;0)),"Délai de paiement invalide","OK"))))))))</f>
        <v/>
      </c>
      <c r="Q90" s="62" t="str">
        <f>IF(A90="","",ROUND(SUMIFS(fa_ht,fa_client,A90,fa_year,db_year)*100,0))</f>
        <v/>
      </c>
      <c r="R90" s="62" t="str">
        <f>IF(N(Q90)&lt;=0,"",COUNTIF($Q$6:$Q$305,"&gt;"&amp;Q90)+COUNTIF($Q$6:Q90,Q90))</f>
        <v/>
      </c>
      <c r="S90" s="62" t="str">
        <f>IF(A90="","",ROUND(SUMIFS(fa_reste,fa_client,A90,fa_reste,"&gt;0")*100,0))</f>
        <v/>
      </c>
      <c r="T90" s="62" t="str">
        <f>IF(N(S90)&lt;=0,"",COUNTIF($S$6:$S$305,"&gt;"&amp;S90)+COUNTIF($S$6:S90,S90))</f>
        <v/>
      </c>
    </row>
    <row r="91">
      <c r="A91" s="60" t="n"/>
      <c r="B91" s="63" t="n"/>
      <c r="C91" s="60" t="n"/>
      <c r="D91" s="63" t="n"/>
      <c r="E91" s="63" t="n"/>
      <c r="F91" s="60" t="n"/>
      <c r="G91" s="143" t="n"/>
      <c r="H91" s="143" t="n"/>
      <c r="I91" s="63" t="n"/>
      <c r="J91" s="63" t="n"/>
      <c r="K91" s="63" t="n"/>
      <c r="L91" s="63" t="n"/>
      <c r="M91" s="144" t="n"/>
      <c r="N91" s="65" t="str">
        <f>IF(A91="","",SUMIF(fa_client,A91,fa_ht))</f>
        <v/>
      </c>
      <c r="O91" s="65" t="str">
        <f>IF(A91="","",SUMIF(fa_client,A91,fa_reste))</f>
        <v/>
      </c>
      <c r="P91" s="59" t="str">
        <f>IF(COUNTA(A91:M91)=0,"",IF(A91="","Code manquant",IF(COUNTIF(cli_code,A91)&gt;1,"Code en double",IF(B91="","Nom manquant",IF(AND(p_country="Maroc",C91&lt;&gt;"Particulier",OR(F91="",F91="Maroc"),G91=""),"ICE manquant (client professionnel)",IF(AND(G91&lt;&gt;"",NOT(AND(LEN(G91&amp;"")=15,SUBSTITUTE(SUBSTITUTE(SUBSTITUTE(SUBSTITUTE(SUBSTITUTE(SUBSTITUTE(SUBSTITUTE(SUBSTITUTE(SUBSTITUTE(SUBSTITUTE(G91&amp;"","0",""),"1",""),"2",""),"3",""),"4",""),"5",""),"6",""),"7",""),"8",""),"9","")=""))),"ICE : 15 chiffres attendus",IF(AND(H91&lt;&gt;"",NOT(AND(LEN(H91&amp;"")=9,SUBSTITUTE(SUBSTITUTE(SUBSTITUTE(SUBSTITUTE(SUBSTITUTE(SUBSTITUTE(SUBSTITUTE(SUBSTITUTE(SUBSTITUTE(SUBSTITUTE(H91&amp;"","0",""),"1",""),"2",""),"3",""),"4",""),"5",""),"6",""),"7",""),"8",""),"9","")=""))),"SIREN : 9 chiffres attendus",IF(AND(M91&lt;&gt;"",OR(NOT(ISNUMBER(M91)),N(M91)&lt;0)),"Délai de paiement invalide","OK"))))))))</f>
        <v/>
      </c>
      <c r="Q91" s="62" t="str">
        <f>IF(A91="","",ROUND(SUMIFS(fa_ht,fa_client,A91,fa_year,db_year)*100,0))</f>
        <v/>
      </c>
      <c r="R91" s="62" t="str">
        <f>IF(N(Q91)&lt;=0,"",COUNTIF($Q$6:$Q$305,"&gt;"&amp;Q91)+COUNTIF($Q$6:Q91,Q91))</f>
        <v/>
      </c>
      <c r="S91" s="62" t="str">
        <f>IF(A91="","",ROUND(SUMIFS(fa_reste,fa_client,A91,fa_reste,"&gt;0")*100,0))</f>
        <v/>
      </c>
      <c r="T91" s="62" t="str">
        <f>IF(N(S91)&lt;=0,"",COUNTIF($S$6:$S$305,"&gt;"&amp;S91)+COUNTIF($S$6:S91,S91))</f>
        <v/>
      </c>
    </row>
    <row r="92">
      <c r="A92" s="60" t="n"/>
      <c r="B92" s="63" t="n"/>
      <c r="C92" s="60" t="n"/>
      <c r="D92" s="63" t="n"/>
      <c r="E92" s="63" t="n"/>
      <c r="F92" s="60" t="n"/>
      <c r="G92" s="143" t="n"/>
      <c r="H92" s="143" t="n"/>
      <c r="I92" s="63" t="n"/>
      <c r="J92" s="63" t="n"/>
      <c r="K92" s="63" t="n"/>
      <c r="L92" s="63" t="n"/>
      <c r="M92" s="144" t="n"/>
      <c r="N92" s="65" t="str">
        <f>IF(A92="","",SUMIF(fa_client,A92,fa_ht))</f>
        <v/>
      </c>
      <c r="O92" s="65" t="str">
        <f>IF(A92="","",SUMIF(fa_client,A92,fa_reste))</f>
        <v/>
      </c>
      <c r="P92" s="59" t="str">
        <f>IF(COUNTA(A92:M92)=0,"",IF(A92="","Code manquant",IF(COUNTIF(cli_code,A92)&gt;1,"Code en double",IF(B92="","Nom manquant",IF(AND(p_country="Maroc",C92&lt;&gt;"Particulier",OR(F92="",F92="Maroc"),G92=""),"ICE manquant (client professionnel)",IF(AND(G92&lt;&gt;"",NOT(AND(LEN(G92&amp;"")=15,SUBSTITUTE(SUBSTITUTE(SUBSTITUTE(SUBSTITUTE(SUBSTITUTE(SUBSTITUTE(SUBSTITUTE(SUBSTITUTE(SUBSTITUTE(SUBSTITUTE(G92&amp;"","0",""),"1",""),"2",""),"3",""),"4",""),"5",""),"6",""),"7",""),"8",""),"9","")=""))),"ICE : 15 chiffres attendus",IF(AND(H92&lt;&gt;"",NOT(AND(LEN(H92&amp;"")=9,SUBSTITUTE(SUBSTITUTE(SUBSTITUTE(SUBSTITUTE(SUBSTITUTE(SUBSTITUTE(SUBSTITUTE(SUBSTITUTE(SUBSTITUTE(SUBSTITUTE(H92&amp;"","0",""),"1",""),"2",""),"3",""),"4",""),"5",""),"6",""),"7",""),"8",""),"9","")=""))),"SIREN : 9 chiffres attendus",IF(AND(M92&lt;&gt;"",OR(NOT(ISNUMBER(M92)),N(M92)&lt;0)),"Délai de paiement invalide","OK"))))))))</f>
        <v/>
      </c>
      <c r="Q92" s="62" t="str">
        <f>IF(A92="","",ROUND(SUMIFS(fa_ht,fa_client,A92,fa_year,db_year)*100,0))</f>
        <v/>
      </c>
      <c r="R92" s="62" t="str">
        <f>IF(N(Q92)&lt;=0,"",COUNTIF($Q$6:$Q$305,"&gt;"&amp;Q92)+COUNTIF($Q$6:Q92,Q92))</f>
        <v/>
      </c>
      <c r="S92" s="62" t="str">
        <f>IF(A92="","",ROUND(SUMIFS(fa_reste,fa_client,A92,fa_reste,"&gt;0")*100,0))</f>
        <v/>
      </c>
      <c r="T92" s="62" t="str">
        <f>IF(N(S92)&lt;=0,"",COUNTIF($S$6:$S$305,"&gt;"&amp;S92)+COUNTIF($S$6:S92,S92))</f>
        <v/>
      </c>
    </row>
    <row r="93">
      <c r="A93" s="60" t="n"/>
      <c r="B93" s="63" t="n"/>
      <c r="C93" s="60" t="n"/>
      <c r="D93" s="63" t="n"/>
      <c r="E93" s="63" t="n"/>
      <c r="F93" s="60" t="n"/>
      <c r="G93" s="143" t="n"/>
      <c r="H93" s="143" t="n"/>
      <c r="I93" s="63" t="n"/>
      <c r="J93" s="63" t="n"/>
      <c r="K93" s="63" t="n"/>
      <c r="L93" s="63" t="n"/>
      <c r="M93" s="144" t="n"/>
      <c r="N93" s="65" t="str">
        <f>IF(A93="","",SUMIF(fa_client,A93,fa_ht))</f>
        <v/>
      </c>
      <c r="O93" s="65" t="str">
        <f>IF(A93="","",SUMIF(fa_client,A93,fa_reste))</f>
        <v/>
      </c>
      <c r="P93" s="59" t="str">
        <f>IF(COUNTA(A93:M93)=0,"",IF(A93="","Code manquant",IF(COUNTIF(cli_code,A93)&gt;1,"Code en double",IF(B93="","Nom manquant",IF(AND(p_country="Maroc",C93&lt;&gt;"Particulier",OR(F93="",F93="Maroc"),G93=""),"ICE manquant (client professionnel)",IF(AND(G93&lt;&gt;"",NOT(AND(LEN(G93&amp;"")=15,SUBSTITUTE(SUBSTITUTE(SUBSTITUTE(SUBSTITUTE(SUBSTITUTE(SUBSTITUTE(SUBSTITUTE(SUBSTITUTE(SUBSTITUTE(SUBSTITUTE(G93&amp;"","0",""),"1",""),"2",""),"3",""),"4",""),"5",""),"6",""),"7",""),"8",""),"9","")=""))),"ICE : 15 chiffres attendus",IF(AND(H93&lt;&gt;"",NOT(AND(LEN(H93&amp;"")=9,SUBSTITUTE(SUBSTITUTE(SUBSTITUTE(SUBSTITUTE(SUBSTITUTE(SUBSTITUTE(SUBSTITUTE(SUBSTITUTE(SUBSTITUTE(SUBSTITUTE(H93&amp;"","0",""),"1",""),"2",""),"3",""),"4",""),"5",""),"6",""),"7",""),"8",""),"9","")=""))),"SIREN : 9 chiffres attendus",IF(AND(M93&lt;&gt;"",OR(NOT(ISNUMBER(M93)),N(M93)&lt;0)),"Délai de paiement invalide","OK"))))))))</f>
        <v/>
      </c>
      <c r="Q93" s="62" t="str">
        <f>IF(A93="","",ROUND(SUMIFS(fa_ht,fa_client,A93,fa_year,db_year)*100,0))</f>
        <v/>
      </c>
      <c r="R93" s="62" t="str">
        <f>IF(N(Q93)&lt;=0,"",COUNTIF($Q$6:$Q$305,"&gt;"&amp;Q93)+COUNTIF($Q$6:Q93,Q93))</f>
        <v/>
      </c>
      <c r="S93" s="62" t="str">
        <f>IF(A93="","",ROUND(SUMIFS(fa_reste,fa_client,A93,fa_reste,"&gt;0")*100,0))</f>
        <v/>
      </c>
      <c r="T93" s="62" t="str">
        <f>IF(N(S93)&lt;=0,"",COUNTIF($S$6:$S$305,"&gt;"&amp;S93)+COUNTIF($S$6:S93,S93))</f>
        <v/>
      </c>
    </row>
    <row r="94">
      <c r="A94" s="60" t="n"/>
      <c r="B94" s="63" t="n"/>
      <c r="C94" s="60" t="n"/>
      <c r="D94" s="63" t="n"/>
      <c r="E94" s="63" t="n"/>
      <c r="F94" s="60" t="n"/>
      <c r="G94" s="143" t="n"/>
      <c r="H94" s="143" t="n"/>
      <c r="I94" s="63" t="n"/>
      <c r="J94" s="63" t="n"/>
      <c r="K94" s="63" t="n"/>
      <c r="L94" s="63" t="n"/>
      <c r="M94" s="144" t="n"/>
      <c r="N94" s="65" t="str">
        <f>IF(A94="","",SUMIF(fa_client,A94,fa_ht))</f>
        <v/>
      </c>
      <c r="O94" s="65" t="str">
        <f>IF(A94="","",SUMIF(fa_client,A94,fa_reste))</f>
        <v/>
      </c>
      <c r="P94" s="59" t="str">
        <f>IF(COUNTA(A94:M94)=0,"",IF(A94="","Code manquant",IF(COUNTIF(cli_code,A94)&gt;1,"Code en double",IF(B94="","Nom manquant",IF(AND(p_country="Maroc",C94&lt;&gt;"Particulier",OR(F94="",F94="Maroc"),G94=""),"ICE manquant (client professionnel)",IF(AND(G94&lt;&gt;"",NOT(AND(LEN(G94&amp;"")=15,SUBSTITUTE(SUBSTITUTE(SUBSTITUTE(SUBSTITUTE(SUBSTITUTE(SUBSTITUTE(SUBSTITUTE(SUBSTITUTE(SUBSTITUTE(SUBSTITUTE(G94&amp;"","0",""),"1",""),"2",""),"3",""),"4",""),"5",""),"6",""),"7",""),"8",""),"9","")=""))),"ICE : 15 chiffres attendus",IF(AND(H94&lt;&gt;"",NOT(AND(LEN(H94&amp;"")=9,SUBSTITUTE(SUBSTITUTE(SUBSTITUTE(SUBSTITUTE(SUBSTITUTE(SUBSTITUTE(SUBSTITUTE(SUBSTITUTE(SUBSTITUTE(SUBSTITUTE(H94&amp;"","0",""),"1",""),"2",""),"3",""),"4",""),"5",""),"6",""),"7",""),"8",""),"9","")=""))),"SIREN : 9 chiffres attendus",IF(AND(M94&lt;&gt;"",OR(NOT(ISNUMBER(M94)),N(M94)&lt;0)),"Délai de paiement invalide","OK"))))))))</f>
        <v/>
      </c>
      <c r="Q94" s="62" t="str">
        <f>IF(A94="","",ROUND(SUMIFS(fa_ht,fa_client,A94,fa_year,db_year)*100,0))</f>
        <v/>
      </c>
      <c r="R94" s="62" t="str">
        <f>IF(N(Q94)&lt;=0,"",COUNTIF($Q$6:$Q$305,"&gt;"&amp;Q94)+COUNTIF($Q$6:Q94,Q94))</f>
        <v/>
      </c>
      <c r="S94" s="62" t="str">
        <f>IF(A94="","",ROUND(SUMIFS(fa_reste,fa_client,A94,fa_reste,"&gt;0")*100,0))</f>
        <v/>
      </c>
      <c r="T94" s="62" t="str">
        <f>IF(N(S94)&lt;=0,"",COUNTIF($S$6:$S$305,"&gt;"&amp;S94)+COUNTIF($S$6:S94,S94))</f>
        <v/>
      </c>
    </row>
    <row r="95">
      <c r="A95" s="60" t="n"/>
      <c r="B95" s="63" t="n"/>
      <c r="C95" s="60" t="n"/>
      <c r="D95" s="63" t="n"/>
      <c r="E95" s="63" t="n"/>
      <c r="F95" s="60" t="n"/>
      <c r="G95" s="143" t="n"/>
      <c r="H95" s="143" t="n"/>
      <c r="I95" s="63" t="n"/>
      <c r="J95" s="63" t="n"/>
      <c r="K95" s="63" t="n"/>
      <c r="L95" s="63" t="n"/>
      <c r="M95" s="144" t="n"/>
      <c r="N95" s="65" t="str">
        <f>IF(A95="","",SUMIF(fa_client,A95,fa_ht))</f>
        <v/>
      </c>
      <c r="O95" s="65" t="str">
        <f>IF(A95="","",SUMIF(fa_client,A95,fa_reste))</f>
        <v/>
      </c>
      <c r="P95" s="59" t="str">
        <f>IF(COUNTA(A95:M95)=0,"",IF(A95="","Code manquant",IF(COUNTIF(cli_code,A95)&gt;1,"Code en double",IF(B95="","Nom manquant",IF(AND(p_country="Maroc",C95&lt;&gt;"Particulier",OR(F95="",F95="Maroc"),G95=""),"ICE manquant (client professionnel)",IF(AND(G95&lt;&gt;"",NOT(AND(LEN(G95&amp;"")=15,SUBSTITUTE(SUBSTITUTE(SUBSTITUTE(SUBSTITUTE(SUBSTITUTE(SUBSTITUTE(SUBSTITUTE(SUBSTITUTE(SUBSTITUTE(SUBSTITUTE(G95&amp;"","0",""),"1",""),"2",""),"3",""),"4",""),"5",""),"6",""),"7",""),"8",""),"9","")=""))),"ICE : 15 chiffres attendus",IF(AND(H95&lt;&gt;"",NOT(AND(LEN(H95&amp;"")=9,SUBSTITUTE(SUBSTITUTE(SUBSTITUTE(SUBSTITUTE(SUBSTITUTE(SUBSTITUTE(SUBSTITUTE(SUBSTITUTE(SUBSTITUTE(SUBSTITUTE(H95&amp;"","0",""),"1",""),"2",""),"3",""),"4",""),"5",""),"6",""),"7",""),"8",""),"9","")=""))),"SIREN : 9 chiffres attendus",IF(AND(M95&lt;&gt;"",OR(NOT(ISNUMBER(M95)),N(M95)&lt;0)),"Délai de paiement invalide","OK"))))))))</f>
        <v/>
      </c>
      <c r="Q95" s="62" t="str">
        <f>IF(A95="","",ROUND(SUMIFS(fa_ht,fa_client,A95,fa_year,db_year)*100,0))</f>
        <v/>
      </c>
      <c r="R95" s="62" t="str">
        <f>IF(N(Q95)&lt;=0,"",COUNTIF($Q$6:$Q$305,"&gt;"&amp;Q95)+COUNTIF($Q$6:Q95,Q95))</f>
        <v/>
      </c>
      <c r="S95" s="62" t="str">
        <f>IF(A95="","",ROUND(SUMIFS(fa_reste,fa_client,A95,fa_reste,"&gt;0")*100,0))</f>
        <v/>
      </c>
      <c r="T95" s="62" t="str">
        <f>IF(N(S95)&lt;=0,"",COUNTIF($S$6:$S$305,"&gt;"&amp;S95)+COUNTIF($S$6:S95,S95))</f>
        <v/>
      </c>
    </row>
    <row r="96">
      <c r="A96" s="60" t="n"/>
      <c r="B96" s="63" t="n"/>
      <c r="C96" s="60" t="n"/>
      <c r="D96" s="63" t="n"/>
      <c r="E96" s="63" t="n"/>
      <c r="F96" s="60" t="n"/>
      <c r="G96" s="143" t="n"/>
      <c r="H96" s="143" t="n"/>
      <c r="I96" s="63" t="n"/>
      <c r="J96" s="63" t="n"/>
      <c r="K96" s="63" t="n"/>
      <c r="L96" s="63" t="n"/>
      <c r="M96" s="144" t="n"/>
      <c r="N96" s="65" t="str">
        <f>IF(A96="","",SUMIF(fa_client,A96,fa_ht))</f>
        <v/>
      </c>
      <c r="O96" s="65" t="str">
        <f>IF(A96="","",SUMIF(fa_client,A96,fa_reste))</f>
        <v/>
      </c>
      <c r="P96" s="59" t="str">
        <f>IF(COUNTA(A96:M96)=0,"",IF(A96="","Code manquant",IF(COUNTIF(cli_code,A96)&gt;1,"Code en double",IF(B96="","Nom manquant",IF(AND(p_country="Maroc",C96&lt;&gt;"Particulier",OR(F96="",F96="Maroc"),G96=""),"ICE manquant (client professionnel)",IF(AND(G96&lt;&gt;"",NOT(AND(LEN(G96&amp;"")=15,SUBSTITUTE(SUBSTITUTE(SUBSTITUTE(SUBSTITUTE(SUBSTITUTE(SUBSTITUTE(SUBSTITUTE(SUBSTITUTE(SUBSTITUTE(SUBSTITUTE(G96&amp;"","0",""),"1",""),"2",""),"3",""),"4",""),"5",""),"6",""),"7",""),"8",""),"9","")=""))),"ICE : 15 chiffres attendus",IF(AND(H96&lt;&gt;"",NOT(AND(LEN(H96&amp;"")=9,SUBSTITUTE(SUBSTITUTE(SUBSTITUTE(SUBSTITUTE(SUBSTITUTE(SUBSTITUTE(SUBSTITUTE(SUBSTITUTE(SUBSTITUTE(SUBSTITUTE(H96&amp;"","0",""),"1",""),"2",""),"3",""),"4",""),"5",""),"6",""),"7",""),"8",""),"9","")=""))),"SIREN : 9 chiffres attendus",IF(AND(M96&lt;&gt;"",OR(NOT(ISNUMBER(M96)),N(M96)&lt;0)),"Délai de paiement invalide","OK"))))))))</f>
        <v/>
      </c>
      <c r="Q96" s="62" t="str">
        <f>IF(A96="","",ROUND(SUMIFS(fa_ht,fa_client,A96,fa_year,db_year)*100,0))</f>
        <v/>
      </c>
      <c r="R96" s="62" t="str">
        <f>IF(N(Q96)&lt;=0,"",COUNTIF($Q$6:$Q$305,"&gt;"&amp;Q96)+COUNTIF($Q$6:Q96,Q96))</f>
        <v/>
      </c>
      <c r="S96" s="62" t="str">
        <f>IF(A96="","",ROUND(SUMIFS(fa_reste,fa_client,A96,fa_reste,"&gt;0")*100,0))</f>
        <v/>
      </c>
      <c r="T96" s="62" t="str">
        <f>IF(N(S96)&lt;=0,"",COUNTIF($S$6:$S$305,"&gt;"&amp;S96)+COUNTIF($S$6:S96,S96))</f>
        <v/>
      </c>
    </row>
    <row r="97">
      <c r="A97" s="60" t="n"/>
      <c r="B97" s="63" t="n"/>
      <c r="C97" s="60" t="n"/>
      <c r="D97" s="63" t="n"/>
      <c r="E97" s="63" t="n"/>
      <c r="F97" s="60" t="n"/>
      <c r="G97" s="143" t="n"/>
      <c r="H97" s="143" t="n"/>
      <c r="I97" s="63" t="n"/>
      <c r="J97" s="63" t="n"/>
      <c r="K97" s="63" t="n"/>
      <c r="L97" s="63" t="n"/>
      <c r="M97" s="144" t="n"/>
      <c r="N97" s="65" t="str">
        <f>IF(A97="","",SUMIF(fa_client,A97,fa_ht))</f>
        <v/>
      </c>
      <c r="O97" s="65" t="str">
        <f>IF(A97="","",SUMIF(fa_client,A97,fa_reste))</f>
        <v/>
      </c>
      <c r="P97" s="59" t="str">
        <f>IF(COUNTA(A97:M97)=0,"",IF(A97="","Code manquant",IF(COUNTIF(cli_code,A97)&gt;1,"Code en double",IF(B97="","Nom manquant",IF(AND(p_country="Maroc",C97&lt;&gt;"Particulier",OR(F97="",F97="Maroc"),G97=""),"ICE manquant (client professionnel)",IF(AND(G97&lt;&gt;"",NOT(AND(LEN(G97&amp;"")=15,SUBSTITUTE(SUBSTITUTE(SUBSTITUTE(SUBSTITUTE(SUBSTITUTE(SUBSTITUTE(SUBSTITUTE(SUBSTITUTE(SUBSTITUTE(SUBSTITUTE(G97&amp;"","0",""),"1",""),"2",""),"3",""),"4",""),"5",""),"6",""),"7",""),"8",""),"9","")=""))),"ICE : 15 chiffres attendus",IF(AND(H97&lt;&gt;"",NOT(AND(LEN(H97&amp;"")=9,SUBSTITUTE(SUBSTITUTE(SUBSTITUTE(SUBSTITUTE(SUBSTITUTE(SUBSTITUTE(SUBSTITUTE(SUBSTITUTE(SUBSTITUTE(SUBSTITUTE(H97&amp;"","0",""),"1",""),"2",""),"3",""),"4",""),"5",""),"6",""),"7",""),"8",""),"9","")=""))),"SIREN : 9 chiffres attendus",IF(AND(M97&lt;&gt;"",OR(NOT(ISNUMBER(M97)),N(M97)&lt;0)),"Délai de paiement invalide","OK"))))))))</f>
        <v/>
      </c>
      <c r="Q97" s="62" t="str">
        <f>IF(A97="","",ROUND(SUMIFS(fa_ht,fa_client,A97,fa_year,db_year)*100,0))</f>
        <v/>
      </c>
      <c r="R97" s="62" t="str">
        <f>IF(N(Q97)&lt;=0,"",COUNTIF($Q$6:$Q$305,"&gt;"&amp;Q97)+COUNTIF($Q$6:Q97,Q97))</f>
        <v/>
      </c>
      <c r="S97" s="62" t="str">
        <f>IF(A97="","",ROUND(SUMIFS(fa_reste,fa_client,A97,fa_reste,"&gt;0")*100,0))</f>
        <v/>
      </c>
      <c r="T97" s="62" t="str">
        <f>IF(N(S97)&lt;=0,"",COUNTIF($S$6:$S$305,"&gt;"&amp;S97)+COUNTIF($S$6:S97,S97))</f>
        <v/>
      </c>
    </row>
    <row r="98">
      <c r="A98" s="60" t="n"/>
      <c r="B98" s="63" t="n"/>
      <c r="C98" s="60" t="n"/>
      <c r="D98" s="63" t="n"/>
      <c r="E98" s="63" t="n"/>
      <c r="F98" s="60" t="n"/>
      <c r="G98" s="143" t="n"/>
      <c r="H98" s="143" t="n"/>
      <c r="I98" s="63" t="n"/>
      <c r="J98" s="63" t="n"/>
      <c r="K98" s="63" t="n"/>
      <c r="L98" s="63" t="n"/>
      <c r="M98" s="144" t="n"/>
      <c r="N98" s="65" t="str">
        <f>IF(A98="","",SUMIF(fa_client,A98,fa_ht))</f>
        <v/>
      </c>
      <c r="O98" s="65" t="str">
        <f>IF(A98="","",SUMIF(fa_client,A98,fa_reste))</f>
        <v/>
      </c>
      <c r="P98" s="59" t="str">
        <f>IF(COUNTA(A98:M98)=0,"",IF(A98="","Code manquant",IF(COUNTIF(cli_code,A98)&gt;1,"Code en double",IF(B98="","Nom manquant",IF(AND(p_country="Maroc",C98&lt;&gt;"Particulier",OR(F98="",F98="Maroc"),G98=""),"ICE manquant (client professionnel)",IF(AND(G98&lt;&gt;"",NOT(AND(LEN(G98&amp;"")=15,SUBSTITUTE(SUBSTITUTE(SUBSTITUTE(SUBSTITUTE(SUBSTITUTE(SUBSTITUTE(SUBSTITUTE(SUBSTITUTE(SUBSTITUTE(SUBSTITUTE(G98&amp;"","0",""),"1",""),"2",""),"3",""),"4",""),"5",""),"6",""),"7",""),"8",""),"9","")=""))),"ICE : 15 chiffres attendus",IF(AND(H98&lt;&gt;"",NOT(AND(LEN(H98&amp;"")=9,SUBSTITUTE(SUBSTITUTE(SUBSTITUTE(SUBSTITUTE(SUBSTITUTE(SUBSTITUTE(SUBSTITUTE(SUBSTITUTE(SUBSTITUTE(SUBSTITUTE(H98&amp;"","0",""),"1",""),"2",""),"3",""),"4",""),"5",""),"6",""),"7",""),"8",""),"9","")=""))),"SIREN : 9 chiffres attendus",IF(AND(M98&lt;&gt;"",OR(NOT(ISNUMBER(M98)),N(M98)&lt;0)),"Délai de paiement invalide","OK"))))))))</f>
        <v/>
      </c>
      <c r="Q98" s="62" t="str">
        <f>IF(A98="","",ROUND(SUMIFS(fa_ht,fa_client,A98,fa_year,db_year)*100,0))</f>
        <v/>
      </c>
      <c r="R98" s="62" t="str">
        <f>IF(N(Q98)&lt;=0,"",COUNTIF($Q$6:$Q$305,"&gt;"&amp;Q98)+COUNTIF($Q$6:Q98,Q98))</f>
        <v/>
      </c>
      <c r="S98" s="62" t="str">
        <f>IF(A98="","",ROUND(SUMIFS(fa_reste,fa_client,A98,fa_reste,"&gt;0")*100,0))</f>
        <v/>
      </c>
      <c r="T98" s="62" t="str">
        <f>IF(N(S98)&lt;=0,"",COUNTIF($S$6:$S$305,"&gt;"&amp;S98)+COUNTIF($S$6:S98,S98))</f>
        <v/>
      </c>
    </row>
    <row r="99">
      <c r="A99" s="60" t="n"/>
      <c r="B99" s="63" t="n"/>
      <c r="C99" s="60" t="n"/>
      <c r="D99" s="63" t="n"/>
      <c r="E99" s="63" t="n"/>
      <c r="F99" s="60" t="n"/>
      <c r="G99" s="143" t="n"/>
      <c r="H99" s="143" t="n"/>
      <c r="I99" s="63" t="n"/>
      <c r="J99" s="63" t="n"/>
      <c r="K99" s="63" t="n"/>
      <c r="L99" s="63" t="n"/>
      <c r="M99" s="144" t="n"/>
      <c r="N99" s="65" t="str">
        <f>IF(A99="","",SUMIF(fa_client,A99,fa_ht))</f>
        <v/>
      </c>
      <c r="O99" s="65" t="str">
        <f>IF(A99="","",SUMIF(fa_client,A99,fa_reste))</f>
        <v/>
      </c>
      <c r="P99" s="59" t="str">
        <f>IF(COUNTA(A99:M99)=0,"",IF(A99="","Code manquant",IF(COUNTIF(cli_code,A99)&gt;1,"Code en double",IF(B99="","Nom manquant",IF(AND(p_country="Maroc",C99&lt;&gt;"Particulier",OR(F99="",F99="Maroc"),G99=""),"ICE manquant (client professionnel)",IF(AND(G99&lt;&gt;"",NOT(AND(LEN(G99&amp;"")=15,SUBSTITUTE(SUBSTITUTE(SUBSTITUTE(SUBSTITUTE(SUBSTITUTE(SUBSTITUTE(SUBSTITUTE(SUBSTITUTE(SUBSTITUTE(SUBSTITUTE(G99&amp;"","0",""),"1",""),"2",""),"3",""),"4",""),"5",""),"6",""),"7",""),"8",""),"9","")=""))),"ICE : 15 chiffres attendus",IF(AND(H99&lt;&gt;"",NOT(AND(LEN(H99&amp;"")=9,SUBSTITUTE(SUBSTITUTE(SUBSTITUTE(SUBSTITUTE(SUBSTITUTE(SUBSTITUTE(SUBSTITUTE(SUBSTITUTE(SUBSTITUTE(SUBSTITUTE(H99&amp;"","0",""),"1",""),"2",""),"3",""),"4",""),"5",""),"6",""),"7",""),"8",""),"9","")=""))),"SIREN : 9 chiffres attendus",IF(AND(M99&lt;&gt;"",OR(NOT(ISNUMBER(M99)),N(M99)&lt;0)),"Délai de paiement invalide","OK"))))))))</f>
        <v/>
      </c>
      <c r="Q99" s="62" t="str">
        <f>IF(A99="","",ROUND(SUMIFS(fa_ht,fa_client,A99,fa_year,db_year)*100,0))</f>
        <v/>
      </c>
      <c r="R99" s="62" t="str">
        <f>IF(N(Q99)&lt;=0,"",COUNTIF($Q$6:$Q$305,"&gt;"&amp;Q99)+COUNTIF($Q$6:Q99,Q99))</f>
        <v/>
      </c>
      <c r="S99" s="62" t="str">
        <f>IF(A99="","",ROUND(SUMIFS(fa_reste,fa_client,A99,fa_reste,"&gt;0")*100,0))</f>
        <v/>
      </c>
      <c r="T99" s="62" t="str">
        <f>IF(N(S99)&lt;=0,"",COUNTIF($S$6:$S$305,"&gt;"&amp;S99)+COUNTIF($S$6:S99,S99))</f>
        <v/>
      </c>
    </row>
    <row r="100">
      <c r="A100" s="60" t="n"/>
      <c r="B100" s="63" t="n"/>
      <c r="C100" s="60" t="n"/>
      <c r="D100" s="63" t="n"/>
      <c r="E100" s="63" t="n"/>
      <c r="F100" s="60" t="n"/>
      <c r="G100" s="143" t="n"/>
      <c r="H100" s="143" t="n"/>
      <c r="I100" s="63" t="n"/>
      <c r="J100" s="63" t="n"/>
      <c r="K100" s="63" t="n"/>
      <c r="L100" s="63" t="n"/>
      <c r="M100" s="144" t="n"/>
      <c r="N100" s="65" t="str">
        <f>IF(A100="","",SUMIF(fa_client,A100,fa_ht))</f>
        <v/>
      </c>
      <c r="O100" s="65" t="str">
        <f>IF(A100="","",SUMIF(fa_client,A100,fa_reste))</f>
        <v/>
      </c>
      <c r="P100" s="59" t="str">
        <f>IF(COUNTA(A100:M100)=0,"",IF(A100="","Code manquant",IF(COUNTIF(cli_code,A100)&gt;1,"Code en double",IF(B100="","Nom manquant",IF(AND(p_country="Maroc",C100&lt;&gt;"Particulier",OR(F100="",F100="Maroc"),G100=""),"ICE manquant (client professionnel)",IF(AND(G100&lt;&gt;"",NOT(AND(LEN(G100&amp;"")=15,SUBSTITUTE(SUBSTITUTE(SUBSTITUTE(SUBSTITUTE(SUBSTITUTE(SUBSTITUTE(SUBSTITUTE(SUBSTITUTE(SUBSTITUTE(SUBSTITUTE(G100&amp;"","0",""),"1",""),"2",""),"3",""),"4",""),"5",""),"6",""),"7",""),"8",""),"9","")=""))),"ICE : 15 chiffres attendus",IF(AND(H100&lt;&gt;"",NOT(AND(LEN(H100&amp;"")=9,SUBSTITUTE(SUBSTITUTE(SUBSTITUTE(SUBSTITUTE(SUBSTITUTE(SUBSTITUTE(SUBSTITUTE(SUBSTITUTE(SUBSTITUTE(SUBSTITUTE(H100&amp;"","0",""),"1",""),"2",""),"3",""),"4",""),"5",""),"6",""),"7",""),"8",""),"9","")=""))),"SIREN : 9 chiffres attendus",IF(AND(M100&lt;&gt;"",OR(NOT(ISNUMBER(M100)),N(M100)&lt;0)),"Délai de paiement invalide","OK"))))))))</f>
        <v/>
      </c>
      <c r="Q100" s="62" t="str">
        <f>IF(A100="","",ROUND(SUMIFS(fa_ht,fa_client,A100,fa_year,db_year)*100,0))</f>
        <v/>
      </c>
      <c r="R100" s="62" t="str">
        <f>IF(N(Q100)&lt;=0,"",COUNTIF($Q$6:$Q$305,"&gt;"&amp;Q100)+COUNTIF($Q$6:Q100,Q100))</f>
        <v/>
      </c>
      <c r="S100" s="62" t="str">
        <f>IF(A100="","",ROUND(SUMIFS(fa_reste,fa_client,A100,fa_reste,"&gt;0")*100,0))</f>
        <v/>
      </c>
      <c r="T100" s="62" t="str">
        <f>IF(N(S100)&lt;=0,"",COUNTIF($S$6:$S$305,"&gt;"&amp;S100)+COUNTIF($S$6:S100,S100))</f>
        <v/>
      </c>
    </row>
    <row r="101">
      <c r="A101" s="60" t="n"/>
      <c r="B101" s="63" t="n"/>
      <c r="C101" s="60" t="n"/>
      <c r="D101" s="63" t="n"/>
      <c r="E101" s="63" t="n"/>
      <c r="F101" s="60" t="n"/>
      <c r="G101" s="143" t="n"/>
      <c r="H101" s="143" t="n"/>
      <c r="I101" s="63" t="n"/>
      <c r="J101" s="63" t="n"/>
      <c r="K101" s="63" t="n"/>
      <c r="L101" s="63" t="n"/>
      <c r="M101" s="144" t="n"/>
      <c r="N101" s="65" t="str">
        <f>IF(A101="","",SUMIF(fa_client,A101,fa_ht))</f>
        <v/>
      </c>
      <c r="O101" s="65" t="str">
        <f>IF(A101="","",SUMIF(fa_client,A101,fa_reste))</f>
        <v/>
      </c>
      <c r="P101" s="59" t="str">
        <f>IF(COUNTA(A101:M101)=0,"",IF(A101="","Code manquant",IF(COUNTIF(cli_code,A101)&gt;1,"Code en double",IF(B101="","Nom manquant",IF(AND(p_country="Maroc",C101&lt;&gt;"Particulier",OR(F101="",F101="Maroc"),G101=""),"ICE manquant (client professionnel)",IF(AND(G101&lt;&gt;"",NOT(AND(LEN(G101&amp;"")=15,SUBSTITUTE(SUBSTITUTE(SUBSTITUTE(SUBSTITUTE(SUBSTITUTE(SUBSTITUTE(SUBSTITUTE(SUBSTITUTE(SUBSTITUTE(SUBSTITUTE(G101&amp;"","0",""),"1",""),"2",""),"3",""),"4",""),"5",""),"6",""),"7",""),"8",""),"9","")=""))),"ICE : 15 chiffres attendus",IF(AND(H101&lt;&gt;"",NOT(AND(LEN(H101&amp;"")=9,SUBSTITUTE(SUBSTITUTE(SUBSTITUTE(SUBSTITUTE(SUBSTITUTE(SUBSTITUTE(SUBSTITUTE(SUBSTITUTE(SUBSTITUTE(SUBSTITUTE(H101&amp;"","0",""),"1",""),"2",""),"3",""),"4",""),"5",""),"6",""),"7",""),"8",""),"9","")=""))),"SIREN : 9 chiffres attendus",IF(AND(M101&lt;&gt;"",OR(NOT(ISNUMBER(M101)),N(M101)&lt;0)),"Délai de paiement invalide","OK"))))))))</f>
        <v/>
      </c>
      <c r="Q101" s="62" t="str">
        <f>IF(A101="","",ROUND(SUMIFS(fa_ht,fa_client,A101,fa_year,db_year)*100,0))</f>
        <v/>
      </c>
      <c r="R101" s="62" t="str">
        <f>IF(N(Q101)&lt;=0,"",COUNTIF($Q$6:$Q$305,"&gt;"&amp;Q101)+COUNTIF($Q$6:Q101,Q101))</f>
        <v/>
      </c>
      <c r="S101" s="62" t="str">
        <f>IF(A101="","",ROUND(SUMIFS(fa_reste,fa_client,A101,fa_reste,"&gt;0")*100,0))</f>
        <v/>
      </c>
      <c r="T101" s="62" t="str">
        <f>IF(N(S101)&lt;=0,"",COUNTIF($S$6:$S$305,"&gt;"&amp;S101)+COUNTIF($S$6:S101,S101))</f>
        <v/>
      </c>
    </row>
    <row r="102">
      <c r="A102" s="60" t="n"/>
      <c r="B102" s="63" t="n"/>
      <c r="C102" s="60" t="n"/>
      <c r="D102" s="63" t="n"/>
      <c r="E102" s="63" t="n"/>
      <c r="F102" s="60" t="n"/>
      <c r="G102" s="143" t="n"/>
      <c r="H102" s="143" t="n"/>
      <c r="I102" s="63" t="n"/>
      <c r="J102" s="63" t="n"/>
      <c r="K102" s="63" t="n"/>
      <c r="L102" s="63" t="n"/>
      <c r="M102" s="144" t="n"/>
      <c r="N102" s="65" t="str">
        <f>IF(A102="","",SUMIF(fa_client,A102,fa_ht))</f>
        <v/>
      </c>
      <c r="O102" s="65" t="str">
        <f>IF(A102="","",SUMIF(fa_client,A102,fa_reste))</f>
        <v/>
      </c>
      <c r="P102" s="59" t="str">
        <f>IF(COUNTA(A102:M102)=0,"",IF(A102="","Code manquant",IF(COUNTIF(cli_code,A102)&gt;1,"Code en double",IF(B102="","Nom manquant",IF(AND(p_country="Maroc",C102&lt;&gt;"Particulier",OR(F102="",F102="Maroc"),G102=""),"ICE manquant (client professionnel)",IF(AND(G102&lt;&gt;"",NOT(AND(LEN(G102&amp;"")=15,SUBSTITUTE(SUBSTITUTE(SUBSTITUTE(SUBSTITUTE(SUBSTITUTE(SUBSTITUTE(SUBSTITUTE(SUBSTITUTE(SUBSTITUTE(SUBSTITUTE(G102&amp;"","0",""),"1",""),"2",""),"3",""),"4",""),"5",""),"6",""),"7",""),"8",""),"9","")=""))),"ICE : 15 chiffres attendus",IF(AND(H102&lt;&gt;"",NOT(AND(LEN(H102&amp;"")=9,SUBSTITUTE(SUBSTITUTE(SUBSTITUTE(SUBSTITUTE(SUBSTITUTE(SUBSTITUTE(SUBSTITUTE(SUBSTITUTE(SUBSTITUTE(SUBSTITUTE(H102&amp;"","0",""),"1",""),"2",""),"3",""),"4",""),"5",""),"6",""),"7",""),"8",""),"9","")=""))),"SIREN : 9 chiffres attendus",IF(AND(M102&lt;&gt;"",OR(NOT(ISNUMBER(M102)),N(M102)&lt;0)),"Délai de paiement invalide","OK"))))))))</f>
        <v/>
      </c>
      <c r="Q102" s="62" t="str">
        <f>IF(A102="","",ROUND(SUMIFS(fa_ht,fa_client,A102,fa_year,db_year)*100,0))</f>
        <v/>
      </c>
      <c r="R102" s="62" t="str">
        <f>IF(N(Q102)&lt;=0,"",COUNTIF($Q$6:$Q$305,"&gt;"&amp;Q102)+COUNTIF($Q$6:Q102,Q102))</f>
        <v/>
      </c>
      <c r="S102" s="62" t="str">
        <f>IF(A102="","",ROUND(SUMIFS(fa_reste,fa_client,A102,fa_reste,"&gt;0")*100,0))</f>
        <v/>
      </c>
      <c r="T102" s="62" t="str">
        <f>IF(N(S102)&lt;=0,"",COUNTIF($S$6:$S$305,"&gt;"&amp;S102)+COUNTIF($S$6:S102,S102))</f>
        <v/>
      </c>
    </row>
    <row r="103">
      <c r="A103" s="60" t="n"/>
      <c r="B103" s="63" t="n"/>
      <c r="C103" s="60" t="n"/>
      <c r="D103" s="63" t="n"/>
      <c r="E103" s="63" t="n"/>
      <c r="F103" s="60" t="n"/>
      <c r="G103" s="143" t="n"/>
      <c r="H103" s="143" t="n"/>
      <c r="I103" s="63" t="n"/>
      <c r="J103" s="63" t="n"/>
      <c r="K103" s="63" t="n"/>
      <c r="L103" s="63" t="n"/>
      <c r="M103" s="144" t="n"/>
      <c r="N103" s="65" t="str">
        <f>IF(A103="","",SUMIF(fa_client,A103,fa_ht))</f>
        <v/>
      </c>
      <c r="O103" s="65" t="str">
        <f>IF(A103="","",SUMIF(fa_client,A103,fa_reste))</f>
        <v/>
      </c>
      <c r="P103" s="59" t="str">
        <f>IF(COUNTA(A103:M103)=0,"",IF(A103="","Code manquant",IF(COUNTIF(cli_code,A103)&gt;1,"Code en double",IF(B103="","Nom manquant",IF(AND(p_country="Maroc",C103&lt;&gt;"Particulier",OR(F103="",F103="Maroc"),G103=""),"ICE manquant (client professionnel)",IF(AND(G103&lt;&gt;"",NOT(AND(LEN(G103&amp;"")=15,SUBSTITUTE(SUBSTITUTE(SUBSTITUTE(SUBSTITUTE(SUBSTITUTE(SUBSTITUTE(SUBSTITUTE(SUBSTITUTE(SUBSTITUTE(SUBSTITUTE(G103&amp;"","0",""),"1",""),"2",""),"3",""),"4",""),"5",""),"6",""),"7",""),"8",""),"9","")=""))),"ICE : 15 chiffres attendus",IF(AND(H103&lt;&gt;"",NOT(AND(LEN(H103&amp;"")=9,SUBSTITUTE(SUBSTITUTE(SUBSTITUTE(SUBSTITUTE(SUBSTITUTE(SUBSTITUTE(SUBSTITUTE(SUBSTITUTE(SUBSTITUTE(SUBSTITUTE(H103&amp;"","0",""),"1",""),"2",""),"3",""),"4",""),"5",""),"6",""),"7",""),"8",""),"9","")=""))),"SIREN : 9 chiffres attendus",IF(AND(M103&lt;&gt;"",OR(NOT(ISNUMBER(M103)),N(M103)&lt;0)),"Délai de paiement invalide","OK"))))))))</f>
        <v/>
      </c>
      <c r="Q103" s="62" t="str">
        <f>IF(A103="","",ROUND(SUMIFS(fa_ht,fa_client,A103,fa_year,db_year)*100,0))</f>
        <v/>
      </c>
      <c r="R103" s="62" t="str">
        <f>IF(N(Q103)&lt;=0,"",COUNTIF($Q$6:$Q$305,"&gt;"&amp;Q103)+COUNTIF($Q$6:Q103,Q103))</f>
        <v/>
      </c>
      <c r="S103" s="62" t="str">
        <f>IF(A103="","",ROUND(SUMIFS(fa_reste,fa_client,A103,fa_reste,"&gt;0")*100,0))</f>
        <v/>
      </c>
      <c r="T103" s="62" t="str">
        <f>IF(N(S103)&lt;=0,"",COUNTIF($S$6:$S$305,"&gt;"&amp;S103)+COUNTIF($S$6:S103,S103))</f>
        <v/>
      </c>
    </row>
    <row r="104">
      <c r="A104" s="60" t="n"/>
      <c r="B104" s="63" t="n"/>
      <c r="C104" s="60" t="n"/>
      <c r="D104" s="63" t="n"/>
      <c r="E104" s="63" t="n"/>
      <c r="F104" s="60" t="n"/>
      <c r="G104" s="143" t="n"/>
      <c r="H104" s="143" t="n"/>
      <c r="I104" s="63" t="n"/>
      <c r="J104" s="63" t="n"/>
      <c r="K104" s="63" t="n"/>
      <c r="L104" s="63" t="n"/>
      <c r="M104" s="144" t="n"/>
      <c r="N104" s="65" t="str">
        <f>IF(A104="","",SUMIF(fa_client,A104,fa_ht))</f>
        <v/>
      </c>
      <c r="O104" s="65" t="str">
        <f>IF(A104="","",SUMIF(fa_client,A104,fa_reste))</f>
        <v/>
      </c>
      <c r="P104" s="59" t="str">
        <f>IF(COUNTA(A104:M104)=0,"",IF(A104="","Code manquant",IF(COUNTIF(cli_code,A104)&gt;1,"Code en double",IF(B104="","Nom manquant",IF(AND(p_country="Maroc",C104&lt;&gt;"Particulier",OR(F104="",F104="Maroc"),G104=""),"ICE manquant (client professionnel)",IF(AND(G104&lt;&gt;"",NOT(AND(LEN(G104&amp;"")=15,SUBSTITUTE(SUBSTITUTE(SUBSTITUTE(SUBSTITUTE(SUBSTITUTE(SUBSTITUTE(SUBSTITUTE(SUBSTITUTE(SUBSTITUTE(SUBSTITUTE(G104&amp;"","0",""),"1",""),"2",""),"3",""),"4",""),"5",""),"6",""),"7",""),"8",""),"9","")=""))),"ICE : 15 chiffres attendus",IF(AND(H104&lt;&gt;"",NOT(AND(LEN(H104&amp;"")=9,SUBSTITUTE(SUBSTITUTE(SUBSTITUTE(SUBSTITUTE(SUBSTITUTE(SUBSTITUTE(SUBSTITUTE(SUBSTITUTE(SUBSTITUTE(SUBSTITUTE(H104&amp;"","0",""),"1",""),"2",""),"3",""),"4",""),"5",""),"6",""),"7",""),"8",""),"9","")=""))),"SIREN : 9 chiffres attendus",IF(AND(M104&lt;&gt;"",OR(NOT(ISNUMBER(M104)),N(M104)&lt;0)),"Délai de paiement invalide","OK"))))))))</f>
        <v/>
      </c>
      <c r="Q104" s="62" t="str">
        <f>IF(A104="","",ROUND(SUMIFS(fa_ht,fa_client,A104,fa_year,db_year)*100,0))</f>
        <v/>
      </c>
      <c r="R104" s="62" t="str">
        <f>IF(N(Q104)&lt;=0,"",COUNTIF($Q$6:$Q$305,"&gt;"&amp;Q104)+COUNTIF($Q$6:Q104,Q104))</f>
        <v/>
      </c>
      <c r="S104" s="62" t="str">
        <f>IF(A104="","",ROUND(SUMIFS(fa_reste,fa_client,A104,fa_reste,"&gt;0")*100,0))</f>
        <v/>
      </c>
      <c r="T104" s="62" t="str">
        <f>IF(N(S104)&lt;=0,"",COUNTIF($S$6:$S$305,"&gt;"&amp;S104)+COUNTIF($S$6:S104,S104))</f>
        <v/>
      </c>
    </row>
    <row r="105">
      <c r="A105" s="60" t="n"/>
      <c r="B105" s="63" t="n"/>
      <c r="C105" s="60" t="n"/>
      <c r="D105" s="63" t="n"/>
      <c r="E105" s="63" t="n"/>
      <c r="F105" s="60" t="n"/>
      <c r="G105" s="143" t="n"/>
      <c r="H105" s="143" t="n"/>
      <c r="I105" s="63" t="n"/>
      <c r="J105" s="63" t="n"/>
      <c r="K105" s="63" t="n"/>
      <c r="L105" s="63" t="n"/>
      <c r="M105" s="144" t="n"/>
      <c r="N105" s="65" t="str">
        <f>IF(A105="","",SUMIF(fa_client,A105,fa_ht))</f>
        <v/>
      </c>
      <c r="O105" s="65" t="str">
        <f>IF(A105="","",SUMIF(fa_client,A105,fa_reste))</f>
        <v/>
      </c>
      <c r="P105" s="59" t="str">
        <f>IF(COUNTA(A105:M105)=0,"",IF(A105="","Code manquant",IF(COUNTIF(cli_code,A105)&gt;1,"Code en double",IF(B105="","Nom manquant",IF(AND(p_country="Maroc",C105&lt;&gt;"Particulier",OR(F105="",F105="Maroc"),G105=""),"ICE manquant (client professionnel)",IF(AND(G105&lt;&gt;"",NOT(AND(LEN(G105&amp;"")=15,SUBSTITUTE(SUBSTITUTE(SUBSTITUTE(SUBSTITUTE(SUBSTITUTE(SUBSTITUTE(SUBSTITUTE(SUBSTITUTE(SUBSTITUTE(SUBSTITUTE(G105&amp;"","0",""),"1",""),"2",""),"3",""),"4",""),"5",""),"6",""),"7",""),"8",""),"9","")=""))),"ICE : 15 chiffres attendus",IF(AND(H105&lt;&gt;"",NOT(AND(LEN(H105&amp;"")=9,SUBSTITUTE(SUBSTITUTE(SUBSTITUTE(SUBSTITUTE(SUBSTITUTE(SUBSTITUTE(SUBSTITUTE(SUBSTITUTE(SUBSTITUTE(SUBSTITUTE(H105&amp;"","0",""),"1",""),"2",""),"3",""),"4",""),"5",""),"6",""),"7",""),"8",""),"9","")=""))),"SIREN : 9 chiffres attendus",IF(AND(M105&lt;&gt;"",OR(NOT(ISNUMBER(M105)),N(M105)&lt;0)),"Délai de paiement invalide","OK"))))))))</f>
        <v/>
      </c>
      <c r="Q105" s="62" t="str">
        <f>IF(A105="","",ROUND(SUMIFS(fa_ht,fa_client,A105,fa_year,db_year)*100,0))</f>
        <v/>
      </c>
      <c r="R105" s="62" t="str">
        <f>IF(N(Q105)&lt;=0,"",COUNTIF($Q$6:$Q$305,"&gt;"&amp;Q105)+COUNTIF($Q$6:Q105,Q105))</f>
        <v/>
      </c>
      <c r="S105" s="62" t="str">
        <f>IF(A105="","",ROUND(SUMIFS(fa_reste,fa_client,A105,fa_reste,"&gt;0")*100,0))</f>
        <v/>
      </c>
      <c r="T105" s="62" t="str">
        <f>IF(N(S105)&lt;=0,"",COUNTIF($S$6:$S$305,"&gt;"&amp;S105)+COUNTIF($S$6:S105,S105))</f>
        <v/>
      </c>
    </row>
    <row r="106">
      <c r="A106" s="60" t="n"/>
      <c r="B106" s="63" t="n"/>
      <c r="C106" s="60" t="n"/>
      <c r="D106" s="63" t="n"/>
      <c r="E106" s="63" t="n"/>
      <c r="F106" s="60" t="n"/>
      <c r="G106" s="143" t="n"/>
      <c r="H106" s="143" t="n"/>
      <c r="I106" s="63" t="n"/>
      <c r="J106" s="63" t="n"/>
      <c r="K106" s="63" t="n"/>
      <c r="L106" s="63" t="n"/>
      <c r="M106" s="144" t="n"/>
      <c r="N106" s="65" t="str">
        <f>IF(A106="","",SUMIF(fa_client,A106,fa_ht))</f>
        <v/>
      </c>
      <c r="O106" s="65" t="str">
        <f>IF(A106="","",SUMIF(fa_client,A106,fa_reste))</f>
        <v/>
      </c>
      <c r="P106" s="59" t="str">
        <f>IF(COUNTA(A106:M106)=0,"",IF(A106="","Code manquant",IF(COUNTIF(cli_code,A106)&gt;1,"Code en double",IF(B106="","Nom manquant",IF(AND(p_country="Maroc",C106&lt;&gt;"Particulier",OR(F106="",F106="Maroc"),G106=""),"ICE manquant (client professionnel)",IF(AND(G106&lt;&gt;"",NOT(AND(LEN(G106&amp;"")=15,SUBSTITUTE(SUBSTITUTE(SUBSTITUTE(SUBSTITUTE(SUBSTITUTE(SUBSTITUTE(SUBSTITUTE(SUBSTITUTE(SUBSTITUTE(SUBSTITUTE(G106&amp;"","0",""),"1",""),"2",""),"3",""),"4",""),"5",""),"6",""),"7",""),"8",""),"9","")=""))),"ICE : 15 chiffres attendus",IF(AND(H106&lt;&gt;"",NOT(AND(LEN(H106&amp;"")=9,SUBSTITUTE(SUBSTITUTE(SUBSTITUTE(SUBSTITUTE(SUBSTITUTE(SUBSTITUTE(SUBSTITUTE(SUBSTITUTE(SUBSTITUTE(SUBSTITUTE(H106&amp;"","0",""),"1",""),"2",""),"3",""),"4",""),"5",""),"6",""),"7",""),"8",""),"9","")=""))),"SIREN : 9 chiffres attendus",IF(AND(M106&lt;&gt;"",OR(NOT(ISNUMBER(M106)),N(M106)&lt;0)),"Délai de paiement invalide","OK"))))))))</f>
        <v/>
      </c>
      <c r="Q106" s="62" t="str">
        <f>IF(A106="","",ROUND(SUMIFS(fa_ht,fa_client,A106,fa_year,db_year)*100,0))</f>
        <v/>
      </c>
      <c r="R106" s="62" t="str">
        <f>IF(N(Q106)&lt;=0,"",COUNTIF($Q$6:$Q$305,"&gt;"&amp;Q106)+COUNTIF($Q$6:Q106,Q106))</f>
        <v/>
      </c>
      <c r="S106" s="62" t="str">
        <f>IF(A106="","",ROUND(SUMIFS(fa_reste,fa_client,A106,fa_reste,"&gt;0")*100,0))</f>
        <v/>
      </c>
      <c r="T106" s="62" t="str">
        <f>IF(N(S106)&lt;=0,"",COUNTIF($S$6:$S$305,"&gt;"&amp;S106)+COUNTIF($S$6:S106,S106))</f>
        <v/>
      </c>
    </row>
    <row r="107">
      <c r="A107" s="60" t="n"/>
      <c r="B107" s="63" t="n"/>
      <c r="C107" s="60" t="n"/>
      <c r="D107" s="63" t="n"/>
      <c r="E107" s="63" t="n"/>
      <c r="F107" s="60" t="n"/>
      <c r="G107" s="143" t="n"/>
      <c r="H107" s="143" t="n"/>
      <c r="I107" s="63" t="n"/>
      <c r="J107" s="63" t="n"/>
      <c r="K107" s="63" t="n"/>
      <c r="L107" s="63" t="n"/>
      <c r="M107" s="144" t="n"/>
      <c r="N107" s="65" t="str">
        <f>IF(A107="","",SUMIF(fa_client,A107,fa_ht))</f>
        <v/>
      </c>
      <c r="O107" s="65" t="str">
        <f>IF(A107="","",SUMIF(fa_client,A107,fa_reste))</f>
        <v/>
      </c>
      <c r="P107" s="59" t="str">
        <f>IF(COUNTA(A107:M107)=0,"",IF(A107="","Code manquant",IF(COUNTIF(cli_code,A107)&gt;1,"Code en double",IF(B107="","Nom manquant",IF(AND(p_country="Maroc",C107&lt;&gt;"Particulier",OR(F107="",F107="Maroc"),G107=""),"ICE manquant (client professionnel)",IF(AND(G107&lt;&gt;"",NOT(AND(LEN(G107&amp;"")=15,SUBSTITUTE(SUBSTITUTE(SUBSTITUTE(SUBSTITUTE(SUBSTITUTE(SUBSTITUTE(SUBSTITUTE(SUBSTITUTE(SUBSTITUTE(SUBSTITUTE(G107&amp;"","0",""),"1",""),"2",""),"3",""),"4",""),"5",""),"6",""),"7",""),"8",""),"9","")=""))),"ICE : 15 chiffres attendus",IF(AND(H107&lt;&gt;"",NOT(AND(LEN(H107&amp;"")=9,SUBSTITUTE(SUBSTITUTE(SUBSTITUTE(SUBSTITUTE(SUBSTITUTE(SUBSTITUTE(SUBSTITUTE(SUBSTITUTE(SUBSTITUTE(SUBSTITUTE(H107&amp;"","0",""),"1",""),"2",""),"3",""),"4",""),"5",""),"6",""),"7",""),"8",""),"9","")=""))),"SIREN : 9 chiffres attendus",IF(AND(M107&lt;&gt;"",OR(NOT(ISNUMBER(M107)),N(M107)&lt;0)),"Délai de paiement invalide","OK"))))))))</f>
        <v/>
      </c>
      <c r="Q107" s="62" t="str">
        <f>IF(A107="","",ROUND(SUMIFS(fa_ht,fa_client,A107,fa_year,db_year)*100,0))</f>
        <v/>
      </c>
      <c r="R107" s="62" t="str">
        <f>IF(N(Q107)&lt;=0,"",COUNTIF($Q$6:$Q$305,"&gt;"&amp;Q107)+COUNTIF($Q$6:Q107,Q107))</f>
        <v/>
      </c>
      <c r="S107" s="62" t="str">
        <f>IF(A107="","",ROUND(SUMIFS(fa_reste,fa_client,A107,fa_reste,"&gt;0")*100,0))</f>
        <v/>
      </c>
      <c r="T107" s="62" t="str">
        <f>IF(N(S107)&lt;=0,"",COUNTIF($S$6:$S$305,"&gt;"&amp;S107)+COUNTIF($S$6:S107,S107))</f>
        <v/>
      </c>
    </row>
    <row r="108">
      <c r="A108" s="60" t="n"/>
      <c r="B108" s="63" t="n"/>
      <c r="C108" s="60" t="n"/>
      <c r="D108" s="63" t="n"/>
      <c r="E108" s="63" t="n"/>
      <c r="F108" s="60" t="n"/>
      <c r="G108" s="143" t="n"/>
      <c r="H108" s="143" t="n"/>
      <c r="I108" s="63" t="n"/>
      <c r="J108" s="63" t="n"/>
      <c r="K108" s="63" t="n"/>
      <c r="L108" s="63" t="n"/>
      <c r="M108" s="144" t="n"/>
      <c r="N108" s="65" t="str">
        <f>IF(A108="","",SUMIF(fa_client,A108,fa_ht))</f>
        <v/>
      </c>
      <c r="O108" s="65" t="str">
        <f>IF(A108="","",SUMIF(fa_client,A108,fa_reste))</f>
        <v/>
      </c>
      <c r="P108" s="59" t="str">
        <f>IF(COUNTA(A108:M108)=0,"",IF(A108="","Code manquant",IF(COUNTIF(cli_code,A108)&gt;1,"Code en double",IF(B108="","Nom manquant",IF(AND(p_country="Maroc",C108&lt;&gt;"Particulier",OR(F108="",F108="Maroc"),G108=""),"ICE manquant (client professionnel)",IF(AND(G108&lt;&gt;"",NOT(AND(LEN(G108&amp;"")=15,SUBSTITUTE(SUBSTITUTE(SUBSTITUTE(SUBSTITUTE(SUBSTITUTE(SUBSTITUTE(SUBSTITUTE(SUBSTITUTE(SUBSTITUTE(SUBSTITUTE(G108&amp;"","0",""),"1",""),"2",""),"3",""),"4",""),"5",""),"6",""),"7",""),"8",""),"9","")=""))),"ICE : 15 chiffres attendus",IF(AND(H108&lt;&gt;"",NOT(AND(LEN(H108&amp;"")=9,SUBSTITUTE(SUBSTITUTE(SUBSTITUTE(SUBSTITUTE(SUBSTITUTE(SUBSTITUTE(SUBSTITUTE(SUBSTITUTE(SUBSTITUTE(SUBSTITUTE(H108&amp;"","0",""),"1",""),"2",""),"3",""),"4",""),"5",""),"6",""),"7",""),"8",""),"9","")=""))),"SIREN : 9 chiffres attendus",IF(AND(M108&lt;&gt;"",OR(NOT(ISNUMBER(M108)),N(M108)&lt;0)),"Délai de paiement invalide","OK"))))))))</f>
        <v/>
      </c>
      <c r="Q108" s="62" t="str">
        <f>IF(A108="","",ROUND(SUMIFS(fa_ht,fa_client,A108,fa_year,db_year)*100,0))</f>
        <v/>
      </c>
      <c r="R108" s="62" t="str">
        <f>IF(N(Q108)&lt;=0,"",COUNTIF($Q$6:$Q$305,"&gt;"&amp;Q108)+COUNTIF($Q$6:Q108,Q108))</f>
        <v/>
      </c>
      <c r="S108" s="62" t="str">
        <f>IF(A108="","",ROUND(SUMIFS(fa_reste,fa_client,A108,fa_reste,"&gt;0")*100,0))</f>
        <v/>
      </c>
      <c r="T108" s="62" t="str">
        <f>IF(N(S108)&lt;=0,"",COUNTIF($S$6:$S$305,"&gt;"&amp;S108)+COUNTIF($S$6:S108,S108))</f>
        <v/>
      </c>
    </row>
    <row r="109">
      <c r="A109" s="60" t="n"/>
      <c r="B109" s="63" t="n"/>
      <c r="C109" s="60" t="n"/>
      <c r="D109" s="63" t="n"/>
      <c r="E109" s="63" t="n"/>
      <c r="F109" s="60" t="n"/>
      <c r="G109" s="143" t="n"/>
      <c r="H109" s="143" t="n"/>
      <c r="I109" s="63" t="n"/>
      <c r="J109" s="63" t="n"/>
      <c r="K109" s="63" t="n"/>
      <c r="L109" s="63" t="n"/>
      <c r="M109" s="144" t="n"/>
      <c r="N109" s="65" t="str">
        <f>IF(A109="","",SUMIF(fa_client,A109,fa_ht))</f>
        <v/>
      </c>
      <c r="O109" s="65" t="str">
        <f>IF(A109="","",SUMIF(fa_client,A109,fa_reste))</f>
        <v/>
      </c>
      <c r="P109" s="59" t="str">
        <f>IF(COUNTA(A109:M109)=0,"",IF(A109="","Code manquant",IF(COUNTIF(cli_code,A109)&gt;1,"Code en double",IF(B109="","Nom manquant",IF(AND(p_country="Maroc",C109&lt;&gt;"Particulier",OR(F109="",F109="Maroc"),G109=""),"ICE manquant (client professionnel)",IF(AND(G109&lt;&gt;"",NOT(AND(LEN(G109&amp;"")=15,SUBSTITUTE(SUBSTITUTE(SUBSTITUTE(SUBSTITUTE(SUBSTITUTE(SUBSTITUTE(SUBSTITUTE(SUBSTITUTE(SUBSTITUTE(SUBSTITUTE(G109&amp;"","0",""),"1",""),"2",""),"3",""),"4",""),"5",""),"6",""),"7",""),"8",""),"9","")=""))),"ICE : 15 chiffres attendus",IF(AND(H109&lt;&gt;"",NOT(AND(LEN(H109&amp;"")=9,SUBSTITUTE(SUBSTITUTE(SUBSTITUTE(SUBSTITUTE(SUBSTITUTE(SUBSTITUTE(SUBSTITUTE(SUBSTITUTE(SUBSTITUTE(SUBSTITUTE(H109&amp;"","0",""),"1",""),"2",""),"3",""),"4",""),"5",""),"6",""),"7",""),"8",""),"9","")=""))),"SIREN : 9 chiffres attendus",IF(AND(M109&lt;&gt;"",OR(NOT(ISNUMBER(M109)),N(M109)&lt;0)),"Délai de paiement invalide","OK"))))))))</f>
        <v/>
      </c>
      <c r="Q109" s="62" t="str">
        <f>IF(A109="","",ROUND(SUMIFS(fa_ht,fa_client,A109,fa_year,db_year)*100,0))</f>
        <v/>
      </c>
      <c r="R109" s="62" t="str">
        <f>IF(N(Q109)&lt;=0,"",COUNTIF($Q$6:$Q$305,"&gt;"&amp;Q109)+COUNTIF($Q$6:Q109,Q109))</f>
        <v/>
      </c>
      <c r="S109" s="62" t="str">
        <f>IF(A109="","",ROUND(SUMIFS(fa_reste,fa_client,A109,fa_reste,"&gt;0")*100,0))</f>
        <v/>
      </c>
      <c r="T109" s="62" t="str">
        <f>IF(N(S109)&lt;=0,"",COUNTIF($S$6:$S$305,"&gt;"&amp;S109)+COUNTIF($S$6:S109,S109))</f>
        <v/>
      </c>
    </row>
    <row r="110">
      <c r="A110" s="60" t="n"/>
      <c r="B110" s="63" t="n"/>
      <c r="C110" s="60" t="n"/>
      <c r="D110" s="63" t="n"/>
      <c r="E110" s="63" t="n"/>
      <c r="F110" s="60" t="n"/>
      <c r="G110" s="143" t="n"/>
      <c r="H110" s="143" t="n"/>
      <c r="I110" s="63" t="n"/>
      <c r="J110" s="63" t="n"/>
      <c r="K110" s="63" t="n"/>
      <c r="L110" s="63" t="n"/>
      <c r="M110" s="144" t="n"/>
      <c r="N110" s="65" t="str">
        <f>IF(A110="","",SUMIF(fa_client,A110,fa_ht))</f>
        <v/>
      </c>
      <c r="O110" s="65" t="str">
        <f>IF(A110="","",SUMIF(fa_client,A110,fa_reste))</f>
        <v/>
      </c>
      <c r="P110" s="59" t="str">
        <f>IF(COUNTA(A110:M110)=0,"",IF(A110="","Code manquant",IF(COUNTIF(cli_code,A110)&gt;1,"Code en double",IF(B110="","Nom manquant",IF(AND(p_country="Maroc",C110&lt;&gt;"Particulier",OR(F110="",F110="Maroc"),G110=""),"ICE manquant (client professionnel)",IF(AND(G110&lt;&gt;"",NOT(AND(LEN(G110&amp;"")=15,SUBSTITUTE(SUBSTITUTE(SUBSTITUTE(SUBSTITUTE(SUBSTITUTE(SUBSTITUTE(SUBSTITUTE(SUBSTITUTE(SUBSTITUTE(SUBSTITUTE(G110&amp;"","0",""),"1",""),"2",""),"3",""),"4",""),"5",""),"6",""),"7",""),"8",""),"9","")=""))),"ICE : 15 chiffres attendus",IF(AND(H110&lt;&gt;"",NOT(AND(LEN(H110&amp;"")=9,SUBSTITUTE(SUBSTITUTE(SUBSTITUTE(SUBSTITUTE(SUBSTITUTE(SUBSTITUTE(SUBSTITUTE(SUBSTITUTE(SUBSTITUTE(SUBSTITUTE(H110&amp;"","0",""),"1",""),"2",""),"3",""),"4",""),"5",""),"6",""),"7",""),"8",""),"9","")=""))),"SIREN : 9 chiffres attendus",IF(AND(M110&lt;&gt;"",OR(NOT(ISNUMBER(M110)),N(M110)&lt;0)),"Délai de paiement invalide","OK"))))))))</f>
        <v/>
      </c>
      <c r="Q110" s="62" t="str">
        <f>IF(A110="","",ROUND(SUMIFS(fa_ht,fa_client,A110,fa_year,db_year)*100,0))</f>
        <v/>
      </c>
      <c r="R110" s="62" t="str">
        <f>IF(N(Q110)&lt;=0,"",COUNTIF($Q$6:$Q$305,"&gt;"&amp;Q110)+COUNTIF($Q$6:Q110,Q110))</f>
        <v/>
      </c>
      <c r="S110" s="62" t="str">
        <f>IF(A110="","",ROUND(SUMIFS(fa_reste,fa_client,A110,fa_reste,"&gt;0")*100,0))</f>
        <v/>
      </c>
      <c r="T110" s="62" t="str">
        <f>IF(N(S110)&lt;=0,"",COUNTIF($S$6:$S$305,"&gt;"&amp;S110)+COUNTIF($S$6:S110,S110))</f>
        <v/>
      </c>
    </row>
    <row r="111">
      <c r="A111" s="60" t="n"/>
      <c r="B111" s="63" t="n"/>
      <c r="C111" s="60" t="n"/>
      <c r="D111" s="63" t="n"/>
      <c r="E111" s="63" t="n"/>
      <c r="F111" s="60" t="n"/>
      <c r="G111" s="143" t="n"/>
      <c r="H111" s="143" t="n"/>
      <c r="I111" s="63" t="n"/>
      <c r="J111" s="63" t="n"/>
      <c r="K111" s="63" t="n"/>
      <c r="L111" s="63" t="n"/>
      <c r="M111" s="144" t="n"/>
      <c r="N111" s="65" t="str">
        <f>IF(A111="","",SUMIF(fa_client,A111,fa_ht))</f>
        <v/>
      </c>
      <c r="O111" s="65" t="str">
        <f>IF(A111="","",SUMIF(fa_client,A111,fa_reste))</f>
        <v/>
      </c>
      <c r="P111" s="59" t="str">
        <f>IF(COUNTA(A111:M111)=0,"",IF(A111="","Code manquant",IF(COUNTIF(cli_code,A111)&gt;1,"Code en double",IF(B111="","Nom manquant",IF(AND(p_country="Maroc",C111&lt;&gt;"Particulier",OR(F111="",F111="Maroc"),G111=""),"ICE manquant (client professionnel)",IF(AND(G111&lt;&gt;"",NOT(AND(LEN(G111&amp;"")=15,SUBSTITUTE(SUBSTITUTE(SUBSTITUTE(SUBSTITUTE(SUBSTITUTE(SUBSTITUTE(SUBSTITUTE(SUBSTITUTE(SUBSTITUTE(SUBSTITUTE(G111&amp;"","0",""),"1",""),"2",""),"3",""),"4",""),"5",""),"6",""),"7",""),"8",""),"9","")=""))),"ICE : 15 chiffres attendus",IF(AND(H111&lt;&gt;"",NOT(AND(LEN(H111&amp;"")=9,SUBSTITUTE(SUBSTITUTE(SUBSTITUTE(SUBSTITUTE(SUBSTITUTE(SUBSTITUTE(SUBSTITUTE(SUBSTITUTE(SUBSTITUTE(SUBSTITUTE(H111&amp;"","0",""),"1",""),"2",""),"3",""),"4",""),"5",""),"6",""),"7",""),"8",""),"9","")=""))),"SIREN : 9 chiffres attendus",IF(AND(M111&lt;&gt;"",OR(NOT(ISNUMBER(M111)),N(M111)&lt;0)),"Délai de paiement invalide","OK"))))))))</f>
        <v/>
      </c>
      <c r="Q111" s="62" t="str">
        <f>IF(A111="","",ROUND(SUMIFS(fa_ht,fa_client,A111,fa_year,db_year)*100,0))</f>
        <v/>
      </c>
      <c r="R111" s="62" t="str">
        <f>IF(N(Q111)&lt;=0,"",COUNTIF($Q$6:$Q$305,"&gt;"&amp;Q111)+COUNTIF($Q$6:Q111,Q111))</f>
        <v/>
      </c>
      <c r="S111" s="62" t="str">
        <f>IF(A111="","",ROUND(SUMIFS(fa_reste,fa_client,A111,fa_reste,"&gt;0")*100,0))</f>
        <v/>
      </c>
      <c r="T111" s="62" t="str">
        <f>IF(N(S111)&lt;=0,"",COUNTIF($S$6:$S$305,"&gt;"&amp;S111)+COUNTIF($S$6:S111,S111))</f>
        <v/>
      </c>
    </row>
    <row r="112">
      <c r="A112" s="60" t="n"/>
      <c r="B112" s="63" t="n"/>
      <c r="C112" s="60" t="n"/>
      <c r="D112" s="63" t="n"/>
      <c r="E112" s="63" t="n"/>
      <c r="F112" s="60" t="n"/>
      <c r="G112" s="143" t="n"/>
      <c r="H112" s="143" t="n"/>
      <c r="I112" s="63" t="n"/>
      <c r="J112" s="63" t="n"/>
      <c r="K112" s="63" t="n"/>
      <c r="L112" s="63" t="n"/>
      <c r="M112" s="144" t="n"/>
      <c r="N112" s="65" t="str">
        <f>IF(A112="","",SUMIF(fa_client,A112,fa_ht))</f>
        <v/>
      </c>
      <c r="O112" s="65" t="str">
        <f>IF(A112="","",SUMIF(fa_client,A112,fa_reste))</f>
        <v/>
      </c>
      <c r="P112" s="59" t="str">
        <f>IF(COUNTA(A112:M112)=0,"",IF(A112="","Code manquant",IF(COUNTIF(cli_code,A112)&gt;1,"Code en double",IF(B112="","Nom manquant",IF(AND(p_country="Maroc",C112&lt;&gt;"Particulier",OR(F112="",F112="Maroc"),G112=""),"ICE manquant (client professionnel)",IF(AND(G112&lt;&gt;"",NOT(AND(LEN(G112&amp;"")=15,SUBSTITUTE(SUBSTITUTE(SUBSTITUTE(SUBSTITUTE(SUBSTITUTE(SUBSTITUTE(SUBSTITUTE(SUBSTITUTE(SUBSTITUTE(SUBSTITUTE(G112&amp;"","0",""),"1",""),"2",""),"3",""),"4",""),"5",""),"6",""),"7",""),"8",""),"9","")=""))),"ICE : 15 chiffres attendus",IF(AND(H112&lt;&gt;"",NOT(AND(LEN(H112&amp;"")=9,SUBSTITUTE(SUBSTITUTE(SUBSTITUTE(SUBSTITUTE(SUBSTITUTE(SUBSTITUTE(SUBSTITUTE(SUBSTITUTE(SUBSTITUTE(SUBSTITUTE(H112&amp;"","0",""),"1",""),"2",""),"3",""),"4",""),"5",""),"6",""),"7",""),"8",""),"9","")=""))),"SIREN : 9 chiffres attendus",IF(AND(M112&lt;&gt;"",OR(NOT(ISNUMBER(M112)),N(M112)&lt;0)),"Délai de paiement invalide","OK"))))))))</f>
        <v/>
      </c>
      <c r="Q112" s="62" t="str">
        <f>IF(A112="","",ROUND(SUMIFS(fa_ht,fa_client,A112,fa_year,db_year)*100,0))</f>
        <v/>
      </c>
      <c r="R112" s="62" t="str">
        <f>IF(N(Q112)&lt;=0,"",COUNTIF($Q$6:$Q$305,"&gt;"&amp;Q112)+COUNTIF($Q$6:Q112,Q112))</f>
        <v/>
      </c>
      <c r="S112" s="62" t="str">
        <f>IF(A112="","",ROUND(SUMIFS(fa_reste,fa_client,A112,fa_reste,"&gt;0")*100,0))</f>
        <v/>
      </c>
      <c r="T112" s="62" t="str">
        <f>IF(N(S112)&lt;=0,"",COUNTIF($S$6:$S$305,"&gt;"&amp;S112)+COUNTIF($S$6:S112,S112))</f>
        <v/>
      </c>
    </row>
    <row r="113">
      <c r="A113" s="60" t="n"/>
      <c r="B113" s="63" t="n"/>
      <c r="C113" s="60" t="n"/>
      <c r="D113" s="63" t="n"/>
      <c r="E113" s="63" t="n"/>
      <c r="F113" s="60" t="n"/>
      <c r="G113" s="143" t="n"/>
      <c r="H113" s="143" t="n"/>
      <c r="I113" s="63" t="n"/>
      <c r="J113" s="63" t="n"/>
      <c r="K113" s="63" t="n"/>
      <c r="L113" s="63" t="n"/>
      <c r="M113" s="144" t="n"/>
      <c r="N113" s="65" t="str">
        <f>IF(A113="","",SUMIF(fa_client,A113,fa_ht))</f>
        <v/>
      </c>
      <c r="O113" s="65" t="str">
        <f>IF(A113="","",SUMIF(fa_client,A113,fa_reste))</f>
        <v/>
      </c>
      <c r="P113" s="59" t="str">
        <f>IF(COUNTA(A113:M113)=0,"",IF(A113="","Code manquant",IF(COUNTIF(cli_code,A113)&gt;1,"Code en double",IF(B113="","Nom manquant",IF(AND(p_country="Maroc",C113&lt;&gt;"Particulier",OR(F113="",F113="Maroc"),G113=""),"ICE manquant (client professionnel)",IF(AND(G113&lt;&gt;"",NOT(AND(LEN(G113&amp;"")=15,SUBSTITUTE(SUBSTITUTE(SUBSTITUTE(SUBSTITUTE(SUBSTITUTE(SUBSTITUTE(SUBSTITUTE(SUBSTITUTE(SUBSTITUTE(SUBSTITUTE(G113&amp;"","0",""),"1",""),"2",""),"3",""),"4",""),"5",""),"6",""),"7",""),"8",""),"9","")=""))),"ICE : 15 chiffres attendus",IF(AND(H113&lt;&gt;"",NOT(AND(LEN(H113&amp;"")=9,SUBSTITUTE(SUBSTITUTE(SUBSTITUTE(SUBSTITUTE(SUBSTITUTE(SUBSTITUTE(SUBSTITUTE(SUBSTITUTE(SUBSTITUTE(SUBSTITUTE(H113&amp;"","0",""),"1",""),"2",""),"3",""),"4",""),"5",""),"6",""),"7",""),"8",""),"9","")=""))),"SIREN : 9 chiffres attendus",IF(AND(M113&lt;&gt;"",OR(NOT(ISNUMBER(M113)),N(M113)&lt;0)),"Délai de paiement invalide","OK"))))))))</f>
        <v/>
      </c>
      <c r="Q113" s="62" t="str">
        <f>IF(A113="","",ROUND(SUMIFS(fa_ht,fa_client,A113,fa_year,db_year)*100,0))</f>
        <v/>
      </c>
      <c r="R113" s="62" t="str">
        <f>IF(N(Q113)&lt;=0,"",COUNTIF($Q$6:$Q$305,"&gt;"&amp;Q113)+COUNTIF($Q$6:Q113,Q113))</f>
        <v/>
      </c>
      <c r="S113" s="62" t="str">
        <f>IF(A113="","",ROUND(SUMIFS(fa_reste,fa_client,A113,fa_reste,"&gt;0")*100,0))</f>
        <v/>
      </c>
      <c r="T113" s="62" t="str">
        <f>IF(N(S113)&lt;=0,"",COUNTIF($S$6:$S$305,"&gt;"&amp;S113)+COUNTIF($S$6:S113,S113))</f>
        <v/>
      </c>
    </row>
    <row r="114">
      <c r="A114" s="60" t="n"/>
      <c r="B114" s="63" t="n"/>
      <c r="C114" s="60" t="n"/>
      <c r="D114" s="63" t="n"/>
      <c r="E114" s="63" t="n"/>
      <c r="F114" s="60" t="n"/>
      <c r="G114" s="143" t="n"/>
      <c r="H114" s="143" t="n"/>
      <c r="I114" s="63" t="n"/>
      <c r="J114" s="63" t="n"/>
      <c r="K114" s="63" t="n"/>
      <c r="L114" s="63" t="n"/>
      <c r="M114" s="144" t="n"/>
      <c r="N114" s="65" t="str">
        <f>IF(A114="","",SUMIF(fa_client,A114,fa_ht))</f>
        <v/>
      </c>
      <c r="O114" s="65" t="str">
        <f>IF(A114="","",SUMIF(fa_client,A114,fa_reste))</f>
        <v/>
      </c>
      <c r="P114" s="59" t="str">
        <f>IF(COUNTA(A114:M114)=0,"",IF(A114="","Code manquant",IF(COUNTIF(cli_code,A114)&gt;1,"Code en double",IF(B114="","Nom manquant",IF(AND(p_country="Maroc",C114&lt;&gt;"Particulier",OR(F114="",F114="Maroc"),G114=""),"ICE manquant (client professionnel)",IF(AND(G114&lt;&gt;"",NOT(AND(LEN(G114&amp;"")=15,SUBSTITUTE(SUBSTITUTE(SUBSTITUTE(SUBSTITUTE(SUBSTITUTE(SUBSTITUTE(SUBSTITUTE(SUBSTITUTE(SUBSTITUTE(SUBSTITUTE(G114&amp;"","0",""),"1",""),"2",""),"3",""),"4",""),"5",""),"6",""),"7",""),"8",""),"9","")=""))),"ICE : 15 chiffres attendus",IF(AND(H114&lt;&gt;"",NOT(AND(LEN(H114&amp;"")=9,SUBSTITUTE(SUBSTITUTE(SUBSTITUTE(SUBSTITUTE(SUBSTITUTE(SUBSTITUTE(SUBSTITUTE(SUBSTITUTE(SUBSTITUTE(SUBSTITUTE(H114&amp;"","0",""),"1",""),"2",""),"3",""),"4",""),"5",""),"6",""),"7",""),"8",""),"9","")=""))),"SIREN : 9 chiffres attendus",IF(AND(M114&lt;&gt;"",OR(NOT(ISNUMBER(M114)),N(M114)&lt;0)),"Délai de paiement invalide","OK"))))))))</f>
        <v/>
      </c>
      <c r="Q114" s="62" t="str">
        <f>IF(A114="","",ROUND(SUMIFS(fa_ht,fa_client,A114,fa_year,db_year)*100,0))</f>
        <v/>
      </c>
      <c r="R114" s="62" t="str">
        <f>IF(N(Q114)&lt;=0,"",COUNTIF($Q$6:$Q$305,"&gt;"&amp;Q114)+COUNTIF($Q$6:Q114,Q114))</f>
        <v/>
      </c>
      <c r="S114" s="62" t="str">
        <f>IF(A114="","",ROUND(SUMIFS(fa_reste,fa_client,A114,fa_reste,"&gt;0")*100,0))</f>
        <v/>
      </c>
      <c r="T114" s="62" t="str">
        <f>IF(N(S114)&lt;=0,"",COUNTIF($S$6:$S$305,"&gt;"&amp;S114)+COUNTIF($S$6:S114,S114))</f>
        <v/>
      </c>
    </row>
    <row r="115">
      <c r="A115" s="60" t="n"/>
      <c r="B115" s="63" t="n"/>
      <c r="C115" s="60" t="n"/>
      <c r="D115" s="63" t="n"/>
      <c r="E115" s="63" t="n"/>
      <c r="F115" s="60" t="n"/>
      <c r="G115" s="143" t="n"/>
      <c r="H115" s="143" t="n"/>
      <c r="I115" s="63" t="n"/>
      <c r="J115" s="63" t="n"/>
      <c r="K115" s="63" t="n"/>
      <c r="L115" s="63" t="n"/>
      <c r="M115" s="144" t="n"/>
      <c r="N115" s="65" t="str">
        <f>IF(A115="","",SUMIF(fa_client,A115,fa_ht))</f>
        <v/>
      </c>
      <c r="O115" s="65" t="str">
        <f>IF(A115="","",SUMIF(fa_client,A115,fa_reste))</f>
        <v/>
      </c>
      <c r="P115" s="59" t="str">
        <f>IF(COUNTA(A115:M115)=0,"",IF(A115="","Code manquant",IF(COUNTIF(cli_code,A115)&gt;1,"Code en double",IF(B115="","Nom manquant",IF(AND(p_country="Maroc",C115&lt;&gt;"Particulier",OR(F115="",F115="Maroc"),G115=""),"ICE manquant (client professionnel)",IF(AND(G115&lt;&gt;"",NOT(AND(LEN(G115&amp;"")=15,SUBSTITUTE(SUBSTITUTE(SUBSTITUTE(SUBSTITUTE(SUBSTITUTE(SUBSTITUTE(SUBSTITUTE(SUBSTITUTE(SUBSTITUTE(SUBSTITUTE(G115&amp;"","0",""),"1",""),"2",""),"3",""),"4",""),"5",""),"6",""),"7",""),"8",""),"9","")=""))),"ICE : 15 chiffres attendus",IF(AND(H115&lt;&gt;"",NOT(AND(LEN(H115&amp;"")=9,SUBSTITUTE(SUBSTITUTE(SUBSTITUTE(SUBSTITUTE(SUBSTITUTE(SUBSTITUTE(SUBSTITUTE(SUBSTITUTE(SUBSTITUTE(SUBSTITUTE(H115&amp;"","0",""),"1",""),"2",""),"3",""),"4",""),"5",""),"6",""),"7",""),"8",""),"9","")=""))),"SIREN : 9 chiffres attendus",IF(AND(M115&lt;&gt;"",OR(NOT(ISNUMBER(M115)),N(M115)&lt;0)),"Délai de paiement invalide","OK"))))))))</f>
        <v/>
      </c>
      <c r="Q115" s="62" t="str">
        <f>IF(A115="","",ROUND(SUMIFS(fa_ht,fa_client,A115,fa_year,db_year)*100,0))</f>
        <v/>
      </c>
      <c r="R115" s="62" t="str">
        <f>IF(N(Q115)&lt;=0,"",COUNTIF($Q$6:$Q$305,"&gt;"&amp;Q115)+COUNTIF($Q$6:Q115,Q115))</f>
        <v/>
      </c>
      <c r="S115" s="62" t="str">
        <f>IF(A115="","",ROUND(SUMIFS(fa_reste,fa_client,A115,fa_reste,"&gt;0")*100,0))</f>
        <v/>
      </c>
      <c r="T115" s="62" t="str">
        <f>IF(N(S115)&lt;=0,"",COUNTIF($S$6:$S$305,"&gt;"&amp;S115)+COUNTIF($S$6:S115,S115))</f>
        <v/>
      </c>
    </row>
    <row r="116">
      <c r="A116" s="60" t="n"/>
      <c r="B116" s="63" t="n"/>
      <c r="C116" s="60" t="n"/>
      <c r="D116" s="63" t="n"/>
      <c r="E116" s="63" t="n"/>
      <c r="F116" s="60" t="n"/>
      <c r="G116" s="143" t="n"/>
      <c r="H116" s="143" t="n"/>
      <c r="I116" s="63" t="n"/>
      <c r="J116" s="63" t="n"/>
      <c r="K116" s="63" t="n"/>
      <c r="L116" s="63" t="n"/>
      <c r="M116" s="144" t="n"/>
      <c r="N116" s="65" t="str">
        <f>IF(A116="","",SUMIF(fa_client,A116,fa_ht))</f>
        <v/>
      </c>
      <c r="O116" s="65" t="str">
        <f>IF(A116="","",SUMIF(fa_client,A116,fa_reste))</f>
        <v/>
      </c>
      <c r="P116" s="59" t="str">
        <f>IF(COUNTA(A116:M116)=0,"",IF(A116="","Code manquant",IF(COUNTIF(cli_code,A116)&gt;1,"Code en double",IF(B116="","Nom manquant",IF(AND(p_country="Maroc",C116&lt;&gt;"Particulier",OR(F116="",F116="Maroc"),G116=""),"ICE manquant (client professionnel)",IF(AND(G116&lt;&gt;"",NOT(AND(LEN(G116&amp;"")=15,SUBSTITUTE(SUBSTITUTE(SUBSTITUTE(SUBSTITUTE(SUBSTITUTE(SUBSTITUTE(SUBSTITUTE(SUBSTITUTE(SUBSTITUTE(SUBSTITUTE(G116&amp;"","0",""),"1",""),"2",""),"3",""),"4",""),"5",""),"6",""),"7",""),"8",""),"9","")=""))),"ICE : 15 chiffres attendus",IF(AND(H116&lt;&gt;"",NOT(AND(LEN(H116&amp;"")=9,SUBSTITUTE(SUBSTITUTE(SUBSTITUTE(SUBSTITUTE(SUBSTITUTE(SUBSTITUTE(SUBSTITUTE(SUBSTITUTE(SUBSTITUTE(SUBSTITUTE(H116&amp;"","0",""),"1",""),"2",""),"3",""),"4",""),"5",""),"6",""),"7",""),"8",""),"9","")=""))),"SIREN : 9 chiffres attendus",IF(AND(M116&lt;&gt;"",OR(NOT(ISNUMBER(M116)),N(M116)&lt;0)),"Délai de paiement invalide","OK"))))))))</f>
        <v/>
      </c>
      <c r="Q116" s="62" t="str">
        <f>IF(A116="","",ROUND(SUMIFS(fa_ht,fa_client,A116,fa_year,db_year)*100,0))</f>
        <v/>
      </c>
      <c r="R116" s="62" t="str">
        <f>IF(N(Q116)&lt;=0,"",COUNTIF($Q$6:$Q$305,"&gt;"&amp;Q116)+COUNTIF($Q$6:Q116,Q116))</f>
        <v/>
      </c>
      <c r="S116" s="62" t="str">
        <f>IF(A116="","",ROUND(SUMIFS(fa_reste,fa_client,A116,fa_reste,"&gt;0")*100,0))</f>
        <v/>
      </c>
      <c r="T116" s="62" t="str">
        <f>IF(N(S116)&lt;=0,"",COUNTIF($S$6:$S$305,"&gt;"&amp;S116)+COUNTIF($S$6:S116,S116))</f>
        <v/>
      </c>
    </row>
    <row r="117">
      <c r="A117" s="60" t="n"/>
      <c r="B117" s="63" t="n"/>
      <c r="C117" s="60" t="n"/>
      <c r="D117" s="63" t="n"/>
      <c r="E117" s="63" t="n"/>
      <c r="F117" s="60" t="n"/>
      <c r="G117" s="143" t="n"/>
      <c r="H117" s="143" t="n"/>
      <c r="I117" s="63" t="n"/>
      <c r="J117" s="63" t="n"/>
      <c r="K117" s="63" t="n"/>
      <c r="L117" s="63" t="n"/>
      <c r="M117" s="144" t="n"/>
      <c r="N117" s="65" t="str">
        <f>IF(A117="","",SUMIF(fa_client,A117,fa_ht))</f>
        <v/>
      </c>
      <c r="O117" s="65" t="str">
        <f>IF(A117="","",SUMIF(fa_client,A117,fa_reste))</f>
        <v/>
      </c>
      <c r="P117" s="59" t="str">
        <f>IF(COUNTA(A117:M117)=0,"",IF(A117="","Code manquant",IF(COUNTIF(cli_code,A117)&gt;1,"Code en double",IF(B117="","Nom manquant",IF(AND(p_country="Maroc",C117&lt;&gt;"Particulier",OR(F117="",F117="Maroc"),G117=""),"ICE manquant (client professionnel)",IF(AND(G117&lt;&gt;"",NOT(AND(LEN(G117&amp;"")=15,SUBSTITUTE(SUBSTITUTE(SUBSTITUTE(SUBSTITUTE(SUBSTITUTE(SUBSTITUTE(SUBSTITUTE(SUBSTITUTE(SUBSTITUTE(SUBSTITUTE(G117&amp;"","0",""),"1",""),"2",""),"3",""),"4",""),"5",""),"6",""),"7",""),"8",""),"9","")=""))),"ICE : 15 chiffres attendus",IF(AND(H117&lt;&gt;"",NOT(AND(LEN(H117&amp;"")=9,SUBSTITUTE(SUBSTITUTE(SUBSTITUTE(SUBSTITUTE(SUBSTITUTE(SUBSTITUTE(SUBSTITUTE(SUBSTITUTE(SUBSTITUTE(SUBSTITUTE(H117&amp;"","0",""),"1",""),"2",""),"3",""),"4",""),"5",""),"6",""),"7",""),"8",""),"9","")=""))),"SIREN : 9 chiffres attendus",IF(AND(M117&lt;&gt;"",OR(NOT(ISNUMBER(M117)),N(M117)&lt;0)),"Délai de paiement invalide","OK"))))))))</f>
        <v/>
      </c>
      <c r="Q117" s="62" t="str">
        <f>IF(A117="","",ROUND(SUMIFS(fa_ht,fa_client,A117,fa_year,db_year)*100,0))</f>
        <v/>
      </c>
      <c r="R117" s="62" t="str">
        <f>IF(N(Q117)&lt;=0,"",COUNTIF($Q$6:$Q$305,"&gt;"&amp;Q117)+COUNTIF($Q$6:Q117,Q117))</f>
        <v/>
      </c>
      <c r="S117" s="62" t="str">
        <f>IF(A117="","",ROUND(SUMIFS(fa_reste,fa_client,A117,fa_reste,"&gt;0")*100,0))</f>
        <v/>
      </c>
      <c r="T117" s="62" t="str">
        <f>IF(N(S117)&lt;=0,"",COUNTIF($S$6:$S$305,"&gt;"&amp;S117)+COUNTIF($S$6:S117,S117))</f>
        <v/>
      </c>
    </row>
    <row r="118">
      <c r="A118" s="60" t="n"/>
      <c r="B118" s="63" t="n"/>
      <c r="C118" s="60" t="n"/>
      <c r="D118" s="63" t="n"/>
      <c r="E118" s="63" t="n"/>
      <c r="F118" s="60" t="n"/>
      <c r="G118" s="143" t="n"/>
      <c r="H118" s="143" t="n"/>
      <c r="I118" s="63" t="n"/>
      <c r="J118" s="63" t="n"/>
      <c r="K118" s="63" t="n"/>
      <c r="L118" s="63" t="n"/>
      <c r="M118" s="144" t="n"/>
      <c r="N118" s="65" t="str">
        <f>IF(A118="","",SUMIF(fa_client,A118,fa_ht))</f>
        <v/>
      </c>
      <c r="O118" s="65" t="str">
        <f>IF(A118="","",SUMIF(fa_client,A118,fa_reste))</f>
        <v/>
      </c>
      <c r="P118" s="59" t="str">
        <f>IF(COUNTA(A118:M118)=0,"",IF(A118="","Code manquant",IF(COUNTIF(cli_code,A118)&gt;1,"Code en double",IF(B118="","Nom manquant",IF(AND(p_country="Maroc",C118&lt;&gt;"Particulier",OR(F118="",F118="Maroc"),G118=""),"ICE manquant (client professionnel)",IF(AND(G118&lt;&gt;"",NOT(AND(LEN(G118&amp;"")=15,SUBSTITUTE(SUBSTITUTE(SUBSTITUTE(SUBSTITUTE(SUBSTITUTE(SUBSTITUTE(SUBSTITUTE(SUBSTITUTE(SUBSTITUTE(SUBSTITUTE(G118&amp;"","0",""),"1",""),"2",""),"3",""),"4",""),"5",""),"6",""),"7",""),"8",""),"9","")=""))),"ICE : 15 chiffres attendus",IF(AND(H118&lt;&gt;"",NOT(AND(LEN(H118&amp;"")=9,SUBSTITUTE(SUBSTITUTE(SUBSTITUTE(SUBSTITUTE(SUBSTITUTE(SUBSTITUTE(SUBSTITUTE(SUBSTITUTE(SUBSTITUTE(SUBSTITUTE(H118&amp;"","0",""),"1",""),"2",""),"3",""),"4",""),"5",""),"6",""),"7",""),"8",""),"9","")=""))),"SIREN : 9 chiffres attendus",IF(AND(M118&lt;&gt;"",OR(NOT(ISNUMBER(M118)),N(M118)&lt;0)),"Délai de paiement invalide","OK"))))))))</f>
        <v/>
      </c>
      <c r="Q118" s="62" t="str">
        <f>IF(A118="","",ROUND(SUMIFS(fa_ht,fa_client,A118,fa_year,db_year)*100,0))</f>
        <v/>
      </c>
      <c r="R118" s="62" t="str">
        <f>IF(N(Q118)&lt;=0,"",COUNTIF($Q$6:$Q$305,"&gt;"&amp;Q118)+COUNTIF($Q$6:Q118,Q118))</f>
        <v/>
      </c>
      <c r="S118" s="62" t="str">
        <f>IF(A118="","",ROUND(SUMIFS(fa_reste,fa_client,A118,fa_reste,"&gt;0")*100,0))</f>
        <v/>
      </c>
      <c r="T118" s="62" t="str">
        <f>IF(N(S118)&lt;=0,"",COUNTIF($S$6:$S$305,"&gt;"&amp;S118)+COUNTIF($S$6:S118,S118))</f>
        <v/>
      </c>
    </row>
    <row r="119">
      <c r="A119" s="60" t="n"/>
      <c r="B119" s="63" t="n"/>
      <c r="C119" s="60" t="n"/>
      <c r="D119" s="63" t="n"/>
      <c r="E119" s="63" t="n"/>
      <c r="F119" s="60" t="n"/>
      <c r="G119" s="143" t="n"/>
      <c r="H119" s="143" t="n"/>
      <c r="I119" s="63" t="n"/>
      <c r="J119" s="63" t="n"/>
      <c r="K119" s="63" t="n"/>
      <c r="L119" s="63" t="n"/>
      <c r="M119" s="144" t="n"/>
      <c r="N119" s="65" t="str">
        <f>IF(A119="","",SUMIF(fa_client,A119,fa_ht))</f>
        <v/>
      </c>
      <c r="O119" s="65" t="str">
        <f>IF(A119="","",SUMIF(fa_client,A119,fa_reste))</f>
        <v/>
      </c>
      <c r="P119" s="59" t="str">
        <f>IF(COUNTA(A119:M119)=0,"",IF(A119="","Code manquant",IF(COUNTIF(cli_code,A119)&gt;1,"Code en double",IF(B119="","Nom manquant",IF(AND(p_country="Maroc",C119&lt;&gt;"Particulier",OR(F119="",F119="Maroc"),G119=""),"ICE manquant (client professionnel)",IF(AND(G119&lt;&gt;"",NOT(AND(LEN(G119&amp;"")=15,SUBSTITUTE(SUBSTITUTE(SUBSTITUTE(SUBSTITUTE(SUBSTITUTE(SUBSTITUTE(SUBSTITUTE(SUBSTITUTE(SUBSTITUTE(SUBSTITUTE(G119&amp;"","0",""),"1",""),"2",""),"3",""),"4",""),"5",""),"6",""),"7",""),"8",""),"9","")=""))),"ICE : 15 chiffres attendus",IF(AND(H119&lt;&gt;"",NOT(AND(LEN(H119&amp;"")=9,SUBSTITUTE(SUBSTITUTE(SUBSTITUTE(SUBSTITUTE(SUBSTITUTE(SUBSTITUTE(SUBSTITUTE(SUBSTITUTE(SUBSTITUTE(SUBSTITUTE(H119&amp;"","0",""),"1",""),"2",""),"3",""),"4",""),"5",""),"6",""),"7",""),"8",""),"9","")=""))),"SIREN : 9 chiffres attendus",IF(AND(M119&lt;&gt;"",OR(NOT(ISNUMBER(M119)),N(M119)&lt;0)),"Délai de paiement invalide","OK"))))))))</f>
        <v/>
      </c>
      <c r="Q119" s="62" t="str">
        <f>IF(A119="","",ROUND(SUMIFS(fa_ht,fa_client,A119,fa_year,db_year)*100,0))</f>
        <v/>
      </c>
      <c r="R119" s="62" t="str">
        <f>IF(N(Q119)&lt;=0,"",COUNTIF($Q$6:$Q$305,"&gt;"&amp;Q119)+COUNTIF($Q$6:Q119,Q119))</f>
        <v/>
      </c>
      <c r="S119" s="62" t="str">
        <f>IF(A119="","",ROUND(SUMIFS(fa_reste,fa_client,A119,fa_reste,"&gt;0")*100,0))</f>
        <v/>
      </c>
      <c r="T119" s="62" t="str">
        <f>IF(N(S119)&lt;=0,"",COUNTIF($S$6:$S$305,"&gt;"&amp;S119)+COUNTIF($S$6:S119,S119))</f>
        <v/>
      </c>
    </row>
    <row r="120">
      <c r="A120" s="60" t="n"/>
      <c r="B120" s="63" t="n"/>
      <c r="C120" s="60" t="n"/>
      <c r="D120" s="63" t="n"/>
      <c r="E120" s="63" t="n"/>
      <c r="F120" s="60" t="n"/>
      <c r="G120" s="143" t="n"/>
      <c r="H120" s="143" t="n"/>
      <c r="I120" s="63" t="n"/>
      <c r="J120" s="63" t="n"/>
      <c r="K120" s="63" t="n"/>
      <c r="L120" s="63" t="n"/>
      <c r="M120" s="144" t="n"/>
      <c r="N120" s="65" t="str">
        <f>IF(A120="","",SUMIF(fa_client,A120,fa_ht))</f>
        <v/>
      </c>
      <c r="O120" s="65" t="str">
        <f>IF(A120="","",SUMIF(fa_client,A120,fa_reste))</f>
        <v/>
      </c>
      <c r="P120" s="59" t="str">
        <f>IF(COUNTA(A120:M120)=0,"",IF(A120="","Code manquant",IF(COUNTIF(cli_code,A120)&gt;1,"Code en double",IF(B120="","Nom manquant",IF(AND(p_country="Maroc",C120&lt;&gt;"Particulier",OR(F120="",F120="Maroc"),G120=""),"ICE manquant (client professionnel)",IF(AND(G120&lt;&gt;"",NOT(AND(LEN(G120&amp;"")=15,SUBSTITUTE(SUBSTITUTE(SUBSTITUTE(SUBSTITUTE(SUBSTITUTE(SUBSTITUTE(SUBSTITUTE(SUBSTITUTE(SUBSTITUTE(SUBSTITUTE(G120&amp;"","0",""),"1",""),"2",""),"3",""),"4",""),"5",""),"6",""),"7",""),"8",""),"9","")=""))),"ICE : 15 chiffres attendus",IF(AND(H120&lt;&gt;"",NOT(AND(LEN(H120&amp;"")=9,SUBSTITUTE(SUBSTITUTE(SUBSTITUTE(SUBSTITUTE(SUBSTITUTE(SUBSTITUTE(SUBSTITUTE(SUBSTITUTE(SUBSTITUTE(SUBSTITUTE(H120&amp;"","0",""),"1",""),"2",""),"3",""),"4",""),"5",""),"6",""),"7",""),"8",""),"9","")=""))),"SIREN : 9 chiffres attendus",IF(AND(M120&lt;&gt;"",OR(NOT(ISNUMBER(M120)),N(M120)&lt;0)),"Délai de paiement invalide","OK"))))))))</f>
        <v/>
      </c>
      <c r="Q120" s="62" t="str">
        <f>IF(A120="","",ROUND(SUMIFS(fa_ht,fa_client,A120,fa_year,db_year)*100,0))</f>
        <v/>
      </c>
      <c r="R120" s="62" t="str">
        <f>IF(N(Q120)&lt;=0,"",COUNTIF($Q$6:$Q$305,"&gt;"&amp;Q120)+COUNTIF($Q$6:Q120,Q120))</f>
        <v/>
      </c>
      <c r="S120" s="62" t="str">
        <f>IF(A120="","",ROUND(SUMIFS(fa_reste,fa_client,A120,fa_reste,"&gt;0")*100,0))</f>
        <v/>
      </c>
      <c r="T120" s="62" t="str">
        <f>IF(N(S120)&lt;=0,"",COUNTIF($S$6:$S$305,"&gt;"&amp;S120)+COUNTIF($S$6:S120,S120))</f>
        <v/>
      </c>
    </row>
    <row r="121">
      <c r="A121" s="60" t="n"/>
      <c r="B121" s="63" t="n"/>
      <c r="C121" s="60" t="n"/>
      <c r="D121" s="63" t="n"/>
      <c r="E121" s="63" t="n"/>
      <c r="F121" s="60" t="n"/>
      <c r="G121" s="143" t="n"/>
      <c r="H121" s="143" t="n"/>
      <c r="I121" s="63" t="n"/>
      <c r="J121" s="63" t="n"/>
      <c r="K121" s="63" t="n"/>
      <c r="L121" s="63" t="n"/>
      <c r="M121" s="144" t="n"/>
      <c r="N121" s="65" t="str">
        <f>IF(A121="","",SUMIF(fa_client,A121,fa_ht))</f>
        <v/>
      </c>
      <c r="O121" s="65" t="str">
        <f>IF(A121="","",SUMIF(fa_client,A121,fa_reste))</f>
        <v/>
      </c>
      <c r="P121" s="59" t="str">
        <f>IF(COUNTA(A121:M121)=0,"",IF(A121="","Code manquant",IF(COUNTIF(cli_code,A121)&gt;1,"Code en double",IF(B121="","Nom manquant",IF(AND(p_country="Maroc",C121&lt;&gt;"Particulier",OR(F121="",F121="Maroc"),G121=""),"ICE manquant (client professionnel)",IF(AND(G121&lt;&gt;"",NOT(AND(LEN(G121&amp;"")=15,SUBSTITUTE(SUBSTITUTE(SUBSTITUTE(SUBSTITUTE(SUBSTITUTE(SUBSTITUTE(SUBSTITUTE(SUBSTITUTE(SUBSTITUTE(SUBSTITUTE(G121&amp;"","0",""),"1",""),"2",""),"3",""),"4",""),"5",""),"6",""),"7",""),"8",""),"9","")=""))),"ICE : 15 chiffres attendus",IF(AND(H121&lt;&gt;"",NOT(AND(LEN(H121&amp;"")=9,SUBSTITUTE(SUBSTITUTE(SUBSTITUTE(SUBSTITUTE(SUBSTITUTE(SUBSTITUTE(SUBSTITUTE(SUBSTITUTE(SUBSTITUTE(SUBSTITUTE(H121&amp;"","0",""),"1",""),"2",""),"3",""),"4",""),"5",""),"6",""),"7",""),"8",""),"9","")=""))),"SIREN : 9 chiffres attendus",IF(AND(M121&lt;&gt;"",OR(NOT(ISNUMBER(M121)),N(M121)&lt;0)),"Délai de paiement invalide","OK"))))))))</f>
        <v/>
      </c>
      <c r="Q121" s="62" t="str">
        <f>IF(A121="","",ROUND(SUMIFS(fa_ht,fa_client,A121,fa_year,db_year)*100,0))</f>
        <v/>
      </c>
      <c r="R121" s="62" t="str">
        <f>IF(N(Q121)&lt;=0,"",COUNTIF($Q$6:$Q$305,"&gt;"&amp;Q121)+COUNTIF($Q$6:Q121,Q121))</f>
        <v/>
      </c>
      <c r="S121" s="62" t="str">
        <f>IF(A121="","",ROUND(SUMIFS(fa_reste,fa_client,A121,fa_reste,"&gt;0")*100,0))</f>
        <v/>
      </c>
      <c r="T121" s="62" t="str">
        <f>IF(N(S121)&lt;=0,"",COUNTIF($S$6:$S$305,"&gt;"&amp;S121)+COUNTIF($S$6:S121,S121))</f>
        <v/>
      </c>
    </row>
    <row r="122">
      <c r="A122" s="60" t="n"/>
      <c r="B122" s="63" t="n"/>
      <c r="C122" s="60" t="n"/>
      <c r="D122" s="63" t="n"/>
      <c r="E122" s="63" t="n"/>
      <c r="F122" s="60" t="n"/>
      <c r="G122" s="143" t="n"/>
      <c r="H122" s="143" t="n"/>
      <c r="I122" s="63" t="n"/>
      <c r="J122" s="63" t="n"/>
      <c r="K122" s="63" t="n"/>
      <c r="L122" s="63" t="n"/>
      <c r="M122" s="144" t="n"/>
      <c r="N122" s="65" t="str">
        <f>IF(A122="","",SUMIF(fa_client,A122,fa_ht))</f>
        <v/>
      </c>
      <c r="O122" s="65" t="str">
        <f>IF(A122="","",SUMIF(fa_client,A122,fa_reste))</f>
        <v/>
      </c>
      <c r="P122" s="59" t="str">
        <f>IF(COUNTA(A122:M122)=0,"",IF(A122="","Code manquant",IF(COUNTIF(cli_code,A122)&gt;1,"Code en double",IF(B122="","Nom manquant",IF(AND(p_country="Maroc",C122&lt;&gt;"Particulier",OR(F122="",F122="Maroc"),G122=""),"ICE manquant (client professionnel)",IF(AND(G122&lt;&gt;"",NOT(AND(LEN(G122&amp;"")=15,SUBSTITUTE(SUBSTITUTE(SUBSTITUTE(SUBSTITUTE(SUBSTITUTE(SUBSTITUTE(SUBSTITUTE(SUBSTITUTE(SUBSTITUTE(SUBSTITUTE(G122&amp;"","0",""),"1",""),"2",""),"3",""),"4",""),"5",""),"6",""),"7",""),"8",""),"9","")=""))),"ICE : 15 chiffres attendus",IF(AND(H122&lt;&gt;"",NOT(AND(LEN(H122&amp;"")=9,SUBSTITUTE(SUBSTITUTE(SUBSTITUTE(SUBSTITUTE(SUBSTITUTE(SUBSTITUTE(SUBSTITUTE(SUBSTITUTE(SUBSTITUTE(SUBSTITUTE(H122&amp;"","0",""),"1",""),"2",""),"3",""),"4",""),"5",""),"6",""),"7",""),"8",""),"9","")=""))),"SIREN : 9 chiffres attendus",IF(AND(M122&lt;&gt;"",OR(NOT(ISNUMBER(M122)),N(M122)&lt;0)),"Délai de paiement invalide","OK"))))))))</f>
        <v/>
      </c>
      <c r="Q122" s="62" t="str">
        <f>IF(A122="","",ROUND(SUMIFS(fa_ht,fa_client,A122,fa_year,db_year)*100,0))</f>
        <v/>
      </c>
      <c r="R122" s="62" t="str">
        <f>IF(N(Q122)&lt;=0,"",COUNTIF($Q$6:$Q$305,"&gt;"&amp;Q122)+COUNTIF($Q$6:Q122,Q122))</f>
        <v/>
      </c>
      <c r="S122" s="62" t="str">
        <f>IF(A122="","",ROUND(SUMIFS(fa_reste,fa_client,A122,fa_reste,"&gt;0")*100,0))</f>
        <v/>
      </c>
      <c r="T122" s="62" t="str">
        <f>IF(N(S122)&lt;=0,"",COUNTIF($S$6:$S$305,"&gt;"&amp;S122)+COUNTIF($S$6:S122,S122))</f>
        <v/>
      </c>
    </row>
    <row r="123">
      <c r="A123" s="60" t="n"/>
      <c r="B123" s="63" t="n"/>
      <c r="C123" s="60" t="n"/>
      <c r="D123" s="63" t="n"/>
      <c r="E123" s="63" t="n"/>
      <c r="F123" s="60" t="n"/>
      <c r="G123" s="143" t="n"/>
      <c r="H123" s="143" t="n"/>
      <c r="I123" s="63" t="n"/>
      <c r="J123" s="63" t="n"/>
      <c r="K123" s="63" t="n"/>
      <c r="L123" s="63" t="n"/>
      <c r="M123" s="144" t="n"/>
      <c r="N123" s="65" t="str">
        <f>IF(A123="","",SUMIF(fa_client,A123,fa_ht))</f>
        <v/>
      </c>
      <c r="O123" s="65" t="str">
        <f>IF(A123="","",SUMIF(fa_client,A123,fa_reste))</f>
        <v/>
      </c>
      <c r="P123" s="59" t="str">
        <f>IF(COUNTA(A123:M123)=0,"",IF(A123="","Code manquant",IF(COUNTIF(cli_code,A123)&gt;1,"Code en double",IF(B123="","Nom manquant",IF(AND(p_country="Maroc",C123&lt;&gt;"Particulier",OR(F123="",F123="Maroc"),G123=""),"ICE manquant (client professionnel)",IF(AND(G123&lt;&gt;"",NOT(AND(LEN(G123&amp;"")=15,SUBSTITUTE(SUBSTITUTE(SUBSTITUTE(SUBSTITUTE(SUBSTITUTE(SUBSTITUTE(SUBSTITUTE(SUBSTITUTE(SUBSTITUTE(SUBSTITUTE(G123&amp;"","0",""),"1",""),"2",""),"3",""),"4",""),"5",""),"6",""),"7",""),"8",""),"9","")=""))),"ICE : 15 chiffres attendus",IF(AND(H123&lt;&gt;"",NOT(AND(LEN(H123&amp;"")=9,SUBSTITUTE(SUBSTITUTE(SUBSTITUTE(SUBSTITUTE(SUBSTITUTE(SUBSTITUTE(SUBSTITUTE(SUBSTITUTE(SUBSTITUTE(SUBSTITUTE(H123&amp;"","0",""),"1",""),"2",""),"3",""),"4",""),"5",""),"6",""),"7",""),"8",""),"9","")=""))),"SIREN : 9 chiffres attendus",IF(AND(M123&lt;&gt;"",OR(NOT(ISNUMBER(M123)),N(M123)&lt;0)),"Délai de paiement invalide","OK"))))))))</f>
        <v/>
      </c>
      <c r="Q123" s="62" t="str">
        <f>IF(A123="","",ROUND(SUMIFS(fa_ht,fa_client,A123,fa_year,db_year)*100,0))</f>
        <v/>
      </c>
      <c r="R123" s="62" t="str">
        <f>IF(N(Q123)&lt;=0,"",COUNTIF($Q$6:$Q$305,"&gt;"&amp;Q123)+COUNTIF($Q$6:Q123,Q123))</f>
        <v/>
      </c>
      <c r="S123" s="62" t="str">
        <f>IF(A123="","",ROUND(SUMIFS(fa_reste,fa_client,A123,fa_reste,"&gt;0")*100,0))</f>
        <v/>
      </c>
      <c r="T123" s="62" t="str">
        <f>IF(N(S123)&lt;=0,"",COUNTIF($S$6:$S$305,"&gt;"&amp;S123)+COUNTIF($S$6:S123,S123))</f>
        <v/>
      </c>
    </row>
    <row r="124">
      <c r="A124" s="60" t="n"/>
      <c r="B124" s="63" t="n"/>
      <c r="C124" s="60" t="n"/>
      <c r="D124" s="63" t="n"/>
      <c r="E124" s="63" t="n"/>
      <c r="F124" s="60" t="n"/>
      <c r="G124" s="143" t="n"/>
      <c r="H124" s="143" t="n"/>
      <c r="I124" s="63" t="n"/>
      <c r="J124" s="63" t="n"/>
      <c r="K124" s="63" t="n"/>
      <c r="L124" s="63" t="n"/>
      <c r="M124" s="144" t="n"/>
      <c r="N124" s="65" t="str">
        <f>IF(A124="","",SUMIF(fa_client,A124,fa_ht))</f>
        <v/>
      </c>
      <c r="O124" s="65" t="str">
        <f>IF(A124="","",SUMIF(fa_client,A124,fa_reste))</f>
        <v/>
      </c>
      <c r="P124" s="59" t="str">
        <f>IF(COUNTA(A124:M124)=0,"",IF(A124="","Code manquant",IF(COUNTIF(cli_code,A124)&gt;1,"Code en double",IF(B124="","Nom manquant",IF(AND(p_country="Maroc",C124&lt;&gt;"Particulier",OR(F124="",F124="Maroc"),G124=""),"ICE manquant (client professionnel)",IF(AND(G124&lt;&gt;"",NOT(AND(LEN(G124&amp;"")=15,SUBSTITUTE(SUBSTITUTE(SUBSTITUTE(SUBSTITUTE(SUBSTITUTE(SUBSTITUTE(SUBSTITUTE(SUBSTITUTE(SUBSTITUTE(SUBSTITUTE(G124&amp;"","0",""),"1",""),"2",""),"3",""),"4",""),"5",""),"6",""),"7",""),"8",""),"9","")=""))),"ICE : 15 chiffres attendus",IF(AND(H124&lt;&gt;"",NOT(AND(LEN(H124&amp;"")=9,SUBSTITUTE(SUBSTITUTE(SUBSTITUTE(SUBSTITUTE(SUBSTITUTE(SUBSTITUTE(SUBSTITUTE(SUBSTITUTE(SUBSTITUTE(SUBSTITUTE(H124&amp;"","0",""),"1",""),"2",""),"3",""),"4",""),"5",""),"6",""),"7",""),"8",""),"9","")=""))),"SIREN : 9 chiffres attendus",IF(AND(M124&lt;&gt;"",OR(NOT(ISNUMBER(M124)),N(M124)&lt;0)),"Délai de paiement invalide","OK"))))))))</f>
        <v/>
      </c>
      <c r="Q124" s="62" t="str">
        <f>IF(A124="","",ROUND(SUMIFS(fa_ht,fa_client,A124,fa_year,db_year)*100,0))</f>
        <v/>
      </c>
      <c r="R124" s="62" t="str">
        <f>IF(N(Q124)&lt;=0,"",COUNTIF($Q$6:$Q$305,"&gt;"&amp;Q124)+COUNTIF($Q$6:Q124,Q124))</f>
        <v/>
      </c>
      <c r="S124" s="62" t="str">
        <f>IF(A124="","",ROUND(SUMIFS(fa_reste,fa_client,A124,fa_reste,"&gt;0")*100,0))</f>
        <v/>
      </c>
      <c r="T124" s="62" t="str">
        <f>IF(N(S124)&lt;=0,"",COUNTIF($S$6:$S$305,"&gt;"&amp;S124)+COUNTIF($S$6:S124,S124))</f>
        <v/>
      </c>
    </row>
    <row r="125">
      <c r="A125" s="60" t="n"/>
      <c r="B125" s="63" t="n"/>
      <c r="C125" s="60" t="n"/>
      <c r="D125" s="63" t="n"/>
      <c r="E125" s="63" t="n"/>
      <c r="F125" s="60" t="n"/>
      <c r="G125" s="143" t="n"/>
      <c r="H125" s="143" t="n"/>
      <c r="I125" s="63" t="n"/>
      <c r="J125" s="63" t="n"/>
      <c r="K125" s="63" t="n"/>
      <c r="L125" s="63" t="n"/>
      <c r="M125" s="144" t="n"/>
      <c r="N125" s="65" t="str">
        <f>IF(A125="","",SUMIF(fa_client,A125,fa_ht))</f>
        <v/>
      </c>
      <c r="O125" s="65" t="str">
        <f>IF(A125="","",SUMIF(fa_client,A125,fa_reste))</f>
        <v/>
      </c>
      <c r="P125" s="59" t="str">
        <f>IF(COUNTA(A125:M125)=0,"",IF(A125="","Code manquant",IF(COUNTIF(cli_code,A125)&gt;1,"Code en double",IF(B125="","Nom manquant",IF(AND(p_country="Maroc",C125&lt;&gt;"Particulier",OR(F125="",F125="Maroc"),G125=""),"ICE manquant (client professionnel)",IF(AND(G125&lt;&gt;"",NOT(AND(LEN(G125&amp;"")=15,SUBSTITUTE(SUBSTITUTE(SUBSTITUTE(SUBSTITUTE(SUBSTITUTE(SUBSTITUTE(SUBSTITUTE(SUBSTITUTE(SUBSTITUTE(SUBSTITUTE(G125&amp;"","0",""),"1",""),"2",""),"3",""),"4",""),"5",""),"6",""),"7",""),"8",""),"9","")=""))),"ICE : 15 chiffres attendus",IF(AND(H125&lt;&gt;"",NOT(AND(LEN(H125&amp;"")=9,SUBSTITUTE(SUBSTITUTE(SUBSTITUTE(SUBSTITUTE(SUBSTITUTE(SUBSTITUTE(SUBSTITUTE(SUBSTITUTE(SUBSTITUTE(SUBSTITUTE(H125&amp;"","0",""),"1",""),"2",""),"3",""),"4",""),"5",""),"6",""),"7",""),"8",""),"9","")=""))),"SIREN : 9 chiffres attendus",IF(AND(M125&lt;&gt;"",OR(NOT(ISNUMBER(M125)),N(M125)&lt;0)),"Délai de paiement invalide","OK"))))))))</f>
        <v/>
      </c>
      <c r="Q125" s="62" t="str">
        <f>IF(A125="","",ROUND(SUMIFS(fa_ht,fa_client,A125,fa_year,db_year)*100,0))</f>
        <v/>
      </c>
      <c r="R125" s="62" t="str">
        <f>IF(N(Q125)&lt;=0,"",COUNTIF($Q$6:$Q$305,"&gt;"&amp;Q125)+COUNTIF($Q$6:Q125,Q125))</f>
        <v/>
      </c>
      <c r="S125" s="62" t="str">
        <f>IF(A125="","",ROUND(SUMIFS(fa_reste,fa_client,A125,fa_reste,"&gt;0")*100,0))</f>
        <v/>
      </c>
      <c r="T125" s="62" t="str">
        <f>IF(N(S125)&lt;=0,"",COUNTIF($S$6:$S$305,"&gt;"&amp;S125)+COUNTIF($S$6:S125,S125))</f>
        <v/>
      </c>
    </row>
    <row r="126">
      <c r="A126" s="60" t="n"/>
      <c r="B126" s="63" t="n"/>
      <c r="C126" s="60" t="n"/>
      <c r="D126" s="63" t="n"/>
      <c r="E126" s="63" t="n"/>
      <c r="F126" s="60" t="n"/>
      <c r="G126" s="143" t="n"/>
      <c r="H126" s="143" t="n"/>
      <c r="I126" s="63" t="n"/>
      <c r="J126" s="63" t="n"/>
      <c r="K126" s="63" t="n"/>
      <c r="L126" s="63" t="n"/>
      <c r="M126" s="144" t="n"/>
      <c r="N126" s="65" t="str">
        <f>IF(A126="","",SUMIF(fa_client,A126,fa_ht))</f>
        <v/>
      </c>
      <c r="O126" s="65" t="str">
        <f>IF(A126="","",SUMIF(fa_client,A126,fa_reste))</f>
        <v/>
      </c>
      <c r="P126" s="59" t="str">
        <f>IF(COUNTA(A126:M126)=0,"",IF(A126="","Code manquant",IF(COUNTIF(cli_code,A126)&gt;1,"Code en double",IF(B126="","Nom manquant",IF(AND(p_country="Maroc",C126&lt;&gt;"Particulier",OR(F126="",F126="Maroc"),G126=""),"ICE manquant (client professionnel)",IF(AND(G126&lt;&gt;"",NOT(AND(LEN(G126&amp;"")=15,SUBSTITUTE(SUBSTITUTE(SUBSTITUTE(SUBSTITUTE(SUBSTITUTE(SUBSTITUTE(SUBSTITUTE(SUBSTITUTE(SUBSTITUTE(SUBSTITUTE(G126&amp;"","0",""),"1",""),"2",""),"3",""),"4",""),"5",""),"6",""),"7",""),"8",""),"9","")=""))),"ICE : 15 chiffres attendus",IF(AND(H126&lt;&gt;"",NOT(AND(LEN(H126&amp;"")=9,SUBSTITUTE(SUBSTITUTE(SUBSTITUTE(SUBSTITUTE(SUBSTITUTE(SUBSTITUTE(SUBSTITUTE(SUBSTITUTE(SUBSTITUTE(SUBSTITUTE(H126&amp;"","0",""),"1",""),"2",""),"3",""),"4",""),"5",""),"6",""),"7",""),"8",""),"9","")=""))),"SIREN : 9 chiffres attendus",IF(AND(M126&lt;&gt;"",OR(NOT(ISNUMBER(M126)),N(M126)&lt;0)),"Délai de paiement invalide","OK"))))))))</f>
        <v/>
      </c>
      <c r="Q126" s="62" t="str">
        <f>IF(A126="","",ROUND(SUMIFS(fa_ht,fa_client,A126,fa_year,db_year)*100,0))</f>
        <v/>
      </c>
      <c r="R126" s="62" t="str">
        <f>IF(N(Q126)&lt;=0,"",COUNTIF($Q$6:$Q$305,"&gt;"&amp;Q126)+COUNTIF($Q$6:Q126,Q126))</f>
        <v/>
      </c>
      <c r="S126" s="62" t="str">
        <f>IF(A126="","",ROUND(SUMIFS(fa_reste,fa_client,A126,fa_reste,"&gt;0")*100,0))</f>
        <v/>
      </c>
      <c r="T126" s="62" t="str">
        <f>IF(N(S126)&lt;=0,"",COUNTIF($S$6:$S$305,"&gt;"&amp;S126)+COUNTIF($S$6:S126,S126))</f>
        <v/>
      </c>
    </row>
    <row r="127">
      <c r="A127" s="60" t="n"/>
      <c r="B127" s="63" t="n"/>
      <c r="C127" s="60" t="n"/>
      <c r="D127" s="63" t="n"/>
      <c r="E127" s="63" t="n"/>
      <c r="F127" s="60" t="n"/>
      <c r="G127" s="143" t="n"/>
      <c r="H127" s="143" t="n"/>
      <c r="I127" s="63" t="n"/>
      <c r="J127" s="63" t="n"/>
      <c r="K127" s="63" t="n"/>
      <c r="L127" s="63" t="n"/>
      <c r="M127" s="144" t="n"/>
      <c r="N127" s="65" t="str">
        <f>IF(A127="","",SUMIF(fa_client,A127,fa_ht))</f>
        <v/>
      </c>
      <c r="O127" s="65" t="str">
        <f>IF(A127="","",SUMIF(fa_client,A127,fa_reste))</f>
        <v/>
      </c>
      <c r="P127" s="59" t="str">
        <f>IF(COUNTA(A127:M127)=0,"",IF(A127="","Code manquant",IF(COUNTIF(cli_code,A127)&gt;1,"Code en double",IF(B127="","Nom manquant",IF(AND(p_country="Maroc",C127&lt;&gt;"Particulier",OR(F127="",F127="Maroc"),G127=""),"ICE manquant (client professionnel)",IF(AND(G127&lt;&gt;"",NOT(AND(LEN(G127&amp;"")=15,SUBSTITUTE(SUBSTITUTE(SUBSTITUTE(SUBSTITUTE(SUBSTITUTE(SUBSTITUTE(SUBSTITUTE(SUBSTITUTE(SUBSTITUTE(SUBSTITUTE(G127&amp;"","0",""),"1",""),"2",""),"3",""),"4",""),"5",""),"6",""),"7",""),"8",""),"9","")=""))),"ICE : 15 chiffres attendus",IF(AND(H127&lt;&gt;"",NOT(AND(LEN(H127&amp;"")=9,SUBSTITUTE(SUBSTITUTE(SUBSTITUTE(SUBSTITUTE(SUBSTITUTE(SUBSTITUTE(SUBSTITUTE(SUBSTITUTE(SUBSTITUTE(SUBSTITUTE(H127&amp;"","0",""),"1",""),"2",""),"3",""),"4",""),"5",""),"6",""),"7",""),"8",""),"9","")=""))),"SIREN : 9 chiffres attendus",IF(AND(M127&lt;&gt;"",OR(NOT(ISNUMBER(M127)),N(M127)&lt;0)),"Délai de paiement invalide","OK"))))))))</f>
        <v/>
      </c>
      <c r="Q127" s="62" t="str">
        <f>IF(A127="","",ROUND(SUMIFS(fa_ht,fa_client,A127,fa_year,db_year)*100,0))</f>
        <v/>
      </c>
      <c r="R127" s="62" t="str">
        <f>IF(N(Q127)&lt;=0,"",COUNTIF($Q$6:$Q$305,"&gt;"&amp;Q127)+COUNTIF($Q$6:Q127,Q127))</f>
        <v/>
      </c>
      <c r="S127" s="62" t="str">
        <f>IF(A127="","",ROUND(SUMIFS(fa_reste,fa_client,A127,fa_reste,"&gt;0")*100,0))</f>
        <v/>
      </c>
      <c r="T127" s="62" t="str">
        <f>IF(N(S127)&lt;=0,"",COUNTIF($S$6:$S$305,"&gt;"&amp;S127)+COUNTIF($S$6:S127,S127))</f>
        <v/>
      </c>
    </row>
    <row r="128">
      <c r="A128" s="60" t="n"/>
      <c r="B128" s="63" t="n"/>
      <c r="C128" s="60" t="n"/>
      <c r="D128" s="63" t="n"/>
      <c r="E128" s="63" t="n"/>
      <c r="F128" s="60" t="n"/>
      <c r="G128" s="143" t="n"/>
      <c r="H128" s="143" t="n"/>
      <c r="I128" s="63" t="n"/>
      <c r="J128" s="63" t="n"/>
      <c r="K128" s="63" t="n"/>
      <c r="L128" s="63" t="n"/>
      <c r="M128" s="144" t="n"/>
      <c r="N128" s="65" t="str">
        <f>IF(A128="","",SUMIF(fa_client,A128,fa_ht))</f>
        <v/>
      </c>
      <c r="O128" s="65" t="str">
        <f>IF(A128="","",SUMIF(fa_client,A128,fa_reste))</f>
        <v/>
      </c>
      <c r="P128" s="59" t="str">
        <f>IF(COUNTA(A128:M128)=0,"",IF(A128="","Code manquant",IF(COUNTIF(cli_code,A128)&gt;1,"Code en double",IF(B128="","Nom manquant",IF(AND(p_country="Maroc",C128&lt;&gt;"Particulier",OR(F128="",F128="Maroc"),G128=""),"ICE manquant (client professionnel)",IF(AND(G128&lt;&gt;"",NOT(AND(LEN(G128&amp;"")=15,SUBSTITUTE(SUBSTITUTE(SUBSTITUTE(SUBSTITUTE(SUBSTITUTE(SUBSTITUTE(SUBSTITUTE(SUBSTITUTE(SUBSTITUTE(SUBSTITUTE(G128&amp;"","0",""),"1",""),"2",""),"3",""),"4",""),"5",""),"6",""),"7",""),"8",""),"9","")=""))),"ICE : 15 chiffres attendus",IF(AND(H128&lt;&gt;"",NOT(AND(LEN(H128&amp;"")=9,SUBSTITUTE(SUBSTITUTE(SUBSTITUTE(SUBSTITUTE(SUBSTITUTE(SUBSTITUTE(SUBSTITUTE(SUBSTITUTE(SUBSTITUTE(SUBSTITUTE(H128&amp;"","0",""),"1",""),"2",""),"3",""),"4",""),"5",""),"6",""),"7",""),"8",""),"9","")=""))),"SIREN : 9 chiffres attendus",IF(AND(M128&lt;&gt;"",OR(NOT(ISNUMBER(M128)),N(M128)&lt;0)),"Délai de paiement invalide","OK"))))))))</f>
        <v/>
      </c>
      <c r="Q128" s="62" t="str">
        <f>IF(A128="","",ROUND(SUMIFS(fa_ht,fa_client,A128,fa_year,db_year)*100,0))</f>
        <v/>
      </c>
      <c r="R128" s="62" t="str">
        <f>IF(N(Q128)&lt;=0,"",COUNTIF($Q$6:$Q$305,"&gt;"&amp;Q128)+COUNTIF($Q$6:Q128,Q128))</f>
        <v/>
      </c>
      <c r="S128" s="62" t="str">
        <f>IF(A128="","",ROUND(SUMIFS(fa_reste,fa_client,A128,fa_reste,"&gt;0")*100,0))</f>
        <v/>
      </c>
      <c r="T128" s="62" t="str">
        <f>IF(N(S128)&lt;=0,"",COUNTIF($S$6:$S$305,"&gt;"&amp;S128)+COUNTIF($S$6:S128,S128))</f>
        <v/>
      </c>
    </row>
    <row r="129">
      <c r="A129" s="60" t="n"/>
      <c r="B129" s="63" t="n"/>
      <c r="C129" s="60" t="n"/>
      <c r="D129" s="63" t="n"/>
      <c r="E129" s="63" t="n"/>
      <c r="F129" s="60" t="n"/>
      <c r="G129" s="143" t="n"/>
      <c r="H129" s="143" t="n"/>
      <c r="I129" s="63" t="n"/>
      <c r="J129" s="63" t="n"/>
      <c r="K129" s="63" t="n"/>
      <c r="L129" s="63" t="n"/>
      <c r="M129" s="144" t="n"/>
      <c r="N129" s="65" t="str">
        <f>IF(A129="","",SUMIF(fa_client,A129,fa_ht))</f>
        <v/>
      </c>
      <c r="O129" s="65" t="str">
        <f>IF(A129="","",SUMIF(fa_client,A129,fa_reste))</f>
        <v/>
      </c>
      <c r="P129" s="59" t="str">
        <f>IF(COUNTA(A129:M129)=0,"",IF(A129="","Code manquant",IF(COUNTIF(cli_code,A129)&gt;1,"Code en double",IF(B129="","Nom manquant",IF(AND(p_country="Maroc",C129&lt;&gt;"Particulier",OR(F129="",F129="Maroc"),G129=""),"ICE manquant (client professionnel)",IF(AND(G129&lt;&gt;"",NOT(AND(LEN(G129&amp;"")=15,SUBSTITUTE(SUBSTITUTE(SUBSTITUTE(SUBSTITUTE(SUBSTITUTE(SUBSTITUTE(SUBSTITUTE(SUBSTITUTE(SUBSTITUTE(SUBSTITUTE(G129&amp;"","0",""),"1",""),"2",""),"3",""),"4",""),"5",""),"6",""),"7",""),"8",""),"9","")=""))),"ICE : 15 chiffres attendus",IF(AND(H129&lt;&gt;"",NOT(AND(LEN(H129&amp;"")=9,SUBSTITUTE(SUBSTITUTE(SUBSTITUTE(SUBSTITUTE(SUBSTITUTE(SUBSTITUTE(SUBSTITUTE(SUBSTITUTE(SUBSTITUTE(SUBSTITUTE(H129&amp;"","0",""),"1",""),"2",""),"3",""),"4",""),"5",""),"6",""),"7",""),"8",""),"9","")=""))),"SIREN : 9 chiffres attendus",IF(AND(M129&lt;&gt;"",OR(NOT(ISNUMBER(M129)),N(M129)&lt;0)),"Délai de paiement invalide","OK"))))))))</f>
        <v/>
      </c>
      <c r="Q129" s="62" t="str">
        <f>IF(A129="","",ROUND(SUMIFS(fa_ht,fa_client,A129,fa_year,db_year)*100,0))</f>
        <v/>
      </c>
      <c r="R129" s="62" t="str">
        <f>IF(N(Q129)&lt;=0,"",COUNTIF($Q$6:$Q$305,"&gt;"&amp;Q129)+COUNTIF($Q$6:Q129,Q129))</f>
        <v/>
      </c>
      <c r="S129" s="62" t="str">
        <f>IF(A129="","",ROUND(SUMIFS(fa_reste,fa_client,A129,fa_reste,"&gt;0")*100,0))</f>
        <v/>
      </c>
      <c r="T129" s="62" t="str">
        <f>IF(N(S129)&lt;=0,"",COUNTIF($S$6:$S$305,"&gt;"&amp;S129)+COUNTIF($S$6:S129,S129))</f>
        <v/>
      </c>
    </row>
    <row r="130">
      <c r="A130" s="60" t="n"/>
      <c r="B130" s="63" t="n"/>
      <c r="C130" s="60" t="n"/>
      <c r="D130" s="63" t="n"/>
      <c r="E130" s="63" t="n"/>
      <c r="F130" s="60" t="n"/>
      <c r="G130" s="143" t="n"/>
      <c r="H130" s="143" t="n"/>
      <c r="I130" s="63" t="n"/>
      <c r="J130" s="63" t="n"/>
      <c r="K130" s="63" t="n"/>
      <c r="L130" s="63" t="n"/>
      <c r="M130" s="144" t="n"/>
      <c r="N130" s="65" t="str">
        <f>IF(A130="","",SUMIF(fa_client,A130,fa_ht))</f>
        <v/>
      </c>
      <c r="O130" s="65" t="str">
        <f>IF(A130="","",SUMIF(fa_client,A130,fa_reste))</f>
        <v/>
      </c>
      <c r="P130" s="59" t="str">
        <f>IF(COUNTA(A130:M130)=0,"",IF(A130="","Code manquant",IF(COUNTIF(cli_code,A130)&gt;1,"Code en double",IF(B130="","Nom manquant",IF(AND(p_country="Maroc",C130&lt;&gt;"Particulier",OR(F130="",F130="Maroc"),G130=""),"ICE manquant (client professionnel)",IF(AND(G130&lt;&gt;"",NOT(AND(LEN(G130&amp;"")=15,SUBSTITUTE(SUBSTITUTE(SUBSTITUTE(SUBSTITUTE(SUBSTITUTE(SUBSTITUTE(SUBSTITUTE(SUBSTITUTE(SUBSTITUTE(SUBSTITUTE(G130&amp;"","0",""),"1",""),"2",""),"3",""),"4",""),"5",""),"6",""),"7",""),"8",""),"9","")=""))),"ICE : 15 chiffres attendus",IF(AND(H130&lt;&gt;"",NOT(AND(LEN(H130&amp;"")=9,SUBSTITUTE(SUBSTITUTE(SUBSTITUTE(SUBSTITUTE(SUBSTITUTE(SUBSTITUTE(SUBSTITUTE(SUBSTITUTE(SUBSTITUTE(SUBSTITUTE(H130&amp;"","0",""),"1",""),"2",""),"3",""),"4",""),"5",""),"6",""),"7",""),"8",""),"9","")=""))),"SIREN : 9 chiffres attendus",IF(AND(M130&lt;&gt;"",OR(NOT(ISNUMBER(M130)),N(M130)&lt;0)),"Délai de paiement invalide","OK"))))))))</f>
        <v/>
      </c>
      <c r="Q130" s="62" t="str">
        <f>IF(A130="","",ROUND(SUMIFS(fa_ht,fa_client,A130,fa_year,db_year)*100,0))</f>
        <v/>
      </c>
      <c r="R130" s="62" t="str">
        <f>IF(N(Q130)&lt;=0,"",COUNTIF($Q$6:$Q$305,"&gt;"&amp;Q130)+COUNTIF($Q$6:Q130,Q130))</f>
        <v/>
      </c>
      <c r="S130" s="62" t="str">
        <f>IF(A130="","",ROUND(SUMIFS(fa_reste,fa_client,A130,fa_reste,"&gt;0")*100,0))</f>
        <v/>
      </c>
      <c r="T130" s="62" t="str">
        <f>IF(N(S130)&lt;=0,"",COUNTIF($S$6:$S$305,"&gt;"&amp;S130)+COUNTIF($S$6:S130,S130))</f>
        <v/>
      </c>
    </row>
    <row r="131">
      <c r="A131" s="60" t="n"/>
      <c r="B131" s="63" t="n"/>
      <c r="C131" s="60" t="n"/>
      <c r="D131" s="63" t="n"/>
      <c r="E131" s="63" t="n"/>
      <c r="F131" s="60" t="n"/>
      <c r="G131" s="143" t="n"/>
      <c r="H131" s="143" t="n"/>
      <c r="I131" s="63" t="n"/>
      <c r="J131" s="63" t="n"/>
      <c r="K131" s="63" t="n"/>
      <c r="L131" s="63" t="n"/>
      <c r="M131" s="144" t="n"/>
      <c r="N131" s="65" t="str">
        <f>IF(A131="","",SUMIF(fa_client,A131,fa_ht))</f>
        <v/>
      </c>
      <c r="O131" s="65" t="str">
        <f>IF(A131="","",SUMIF(fa_client,A131,fa_reste))</f>
        <v/>
      </c>
      <c r="P131" s="59" t="str">
        <f>IF(COUNTA(A131:M131)=0,"",IF(A131="","Code manquant",IF(COUNTIF(cli_code,A131)&gt;1,"Code en double",IF(B131="","Nom manquant",IF(AND(p_country="Maroc",C131&lt;&gt;"Particulier",OR(F131="",F131="Maroc"),G131=""),"ICE manquant (client professionnel)",IF(AND(G131&lt;&gt;"",NOT(AND(LEN(G131&amp;"")=15,SUBSTITUTE(SUBSTITUTE(SUBSTITUTE(SUBSTITUTE(SUBSTITUTE(SUBSTITUTE(SUBSTITUTE(SUBSTITUTE(SUBSTITUTE(SUBSTITUTE(G131&amp;"","0",""),"1",""),"2",""),"3",""),"4",""),"5",""),"6",""),"7",""),"8",""),"9","")=""))),"ICE : 15 chiffres attendus",IF(AND(H131&lt;&gt;"",NOT(AND(LEN(H131&amp;"")=9,SUBSTITUTE(SUBSTITUTE(SUBSTITUTE(SUBSTITUTE(SUBSTITUTE(SUBSTITUTE(SUBSTITUTE(SUBSTITUTE(SUBSTITUTE(SUBSTITUTE(H131&amp;"","0",""),"1",""),"2",""),"3",""),"4",""),"5",""),"6",""),"7",""),"8",""),"9","")=""))),"SIREN : 9 chiffres attendus",IF(AND(M131&lt;&gt;"",OR(NOT(ISNUMBER(M131)),N(M131)&lt;0)),"Délai de paiement invalide","OK"))))))))</f>
        <v/>
      </c>
      <c r="Q131" s="62" t="str">
        <f>IF(A131="","",ROUND(SUMIFS(fa_ht,fa_client,A131,fa_year,db_year)*100,0))</f>
        <v/>
      </c>
      <c r="R131" s="62" t="str">
        <f>IF(N(Q131)&lt;=0,"",COUNTIF($Q$6:$Q$305,"&gt;"&amp;Q131)+COUNTIF($Q$6:Q131,Q131))</f>
        <v/>
      </c>
      <c r="S131" s="62" t="str">
        <f>IF(A131="","",ROUND(SUMIFS(fa_reste,fa_client,A131,fa_reste,"&gt;0")*100,0))</f>
        <v/>
      </c>
      <c r="T131" s="62" t="str">
        <f>IF(N(S131)&lt;=0,"",COUNTIF($S$6:$S$305,"&gt;"&amp;S131)+COUNTIF($S$6:S131,S131))</f>
        <v/>
      </c>
    </row>
    <row r="132">
      <c r="A132" s="60" t="n"/>
      <c r="B132" s="63" t="n"/>
      <c r="C132" s="60" t="n"/>
      <c r="D132" s="63" t="n"/>
      <c r="E132" s="63" t="n"/>
      <c r="F132" s="60" t="n"/>
      <c r="G132" s="143" t="n"/>
      <c r="H132" s="143" t="n"/>
      <c r="I132" s="63" t="n"/>
      <c r="J132" s="63" t="n"/>
      <c r="K132" s="63" t="n"/>
      <c r="L132" s="63" t="n"/>
      <c r="M132" s="144" t="n"/>
      <c r="N132" s="65" t="str">
        <f>IF(A132="","",SUMIF(fa_client,A132,fa_ht))</f>
        <v/>
      </c>
      <c r="O132" s="65" t="str">
        <f>IF(A132="","",SUMIF(fa_client,A132,fa_reste))</f>
        <v/>
      </c>
      <c r="P132" s="59" t="str">
        <f>IF(COUNTA(A132:M132)=0,"",IF(A132="","Code manquant",IF(COUNTIF(cli_code,A132)&gt;1,"Code en double",IF(B132="","Nom manquant",IF(AND(p_country="Maroc",C132&lt;&gt;"Particulier",OR(F132="",F132="Maroc"),G132=""),"ICE manquant (client professionnel)",IF(AND(G132&lt;&gt;"",NOT(AND(LEN(G132&amp;"")=15,SUBSTITUTE(SUBSTITUTE(SUBSTITUTE(SUBSTITUTE(SUBSTITUTE(SUBSTITUTE(SUBSTITUTE(SUBSTITUTE(SUBSTITUTE(SUBSTITUTE(G132&amp;"","0",""),"1",""),"2",""),"3",""),"4",""),"5",""),"6",""),"7",""),"8",""),"9","")=""))),"ICE : 15 chiffres attendus",IF(AND(H132&lt;&gt;"",NOT(AND(LEN(H132&amp;"")=9,SUBSTITUTE(SUBSTITUTE(SUBSTITUTE(SUBSTITUTE(SUBSTITUTE(SUBSTITUTE(SUBSTITUTE(SUBSTITUTE(SUBSTITUTE(SUBSTITUTE(H132&amp;"","0",""),"1",""),"2",""),"3",""),"4",""),"5",""),"6",""),"7",""),"8",""),"9","")=""))),"SIREN : 9 chiffres attendus",IF(AND(M132&lt;&gt;"",OR(NOT(ISNUMBER(M132)),N(M132)&lt;0)),"Délai de paiement invalide","OK"))))))))</f>
        <v/>
      </c>
      <c r="Q132" s="62" t="str">
        <f>IF(A132="","",ROUND(SUMIFS(fa_ht,fa_client,A132,fa_year,db_year)*100,0))</f>
        <v/>
      </c>
      <c r="R132" s="62" t="str">
        <f>IF(N(Q132)&lt;=0,"",COUNTIF($Q$6:$Q$305,"&gt;"&amp;Q132)+COUNTIF($Q$6:Q132,Q132))</f>
        <v/>
      </c>
      <c r="S132" s="62" t="str">
        <f>IF(A132="","",ROUND(SUMIFS(fa_reste,fa_client,A132,fa_reste,"&gt;0")*100,0))</f>
        <v/>
      </c>
      <c r="T132" s="62" t="str">
        <f>IF(N(S132)&lt;=0,"",COUNTIF($S$6:$S$305,"&gt;"&amp;S132)+COUNTIF($S$6:S132,S132))</f>
        <v/>
      </c>
    </row>
    <row r="133">
      <c r="A133" s="60" t="n"/>
      <c r="B133" s="63" t="n"/>
      <c r="C133" s="60" t="n"/>
      <c r="D133" s="63" t="n"/>
      <c r="E133" s="63" t="n"/>
      <c r="F133" s="60" t="n"/>
      <c r="G133" s="143" t="n"/>
      <c r="H133" s="143" t="n"/>
      <c r="I133" s="63" t="n"/>
      <c r="J133" s="63" t="n"/>
      <c r="K133" s="63" t="n"/>
      <c r="L133" s="63" t="n"/>
      <c r="M133" s="144" t="n"/>
      <c r="N133" s="65" t="str">
        <f>IF(A133="","",SUMIF(fa_client,A133,fa_ht))</f>
        <v/>
      </c>
      <c r="O133" s="65" t="str">
        <f>IF(A133="","",SUMIF(fa_client,A133,fa_reste))</f>
        <v/>
      </c>
      <c r="P133" s="59" t="str">
        <f>IF(COUNTA(A133:M133)=0,"",IF(A133="","Code manquant",IF(COUNTIF(cli_code,A133)&gt;1,"Code en double",IF(B133="","Nom manquant",IF(AND(p_country="Maroc",C133&lt;&gt;"Particulier",OR(F133="",F133="Maroc"),G133=""),"ICE manquant (client professionnel)",IF(AND(G133&lt;&gt;"",NOT(AND(LEN(G133&amp;"")=15,SUBSTITUTE(SUBSTITUTE(SUBSTITUTE(SUBSTITUTE(SUBSTITUTE(SUBSTITUTE(SUBSTITUTE(SUBSTITUTE(SUBSTITUTE(SUBSTITUTE(G133&amp;"","0",""),"1",""),"2",""),"3",""),"4",""),"5",""),"6",""),"7",""),"8",""),"9","")=""))),"ICE : 15 chiffres attendus",IF(AND(H133&lt;&gt;"",NOT(AND(LEN(H133&amp;"")=9,SUBSTITUTE(SUBSTITUTE(SUBSTITUTE(SUBSTITUTE(SUBSTITUTE(SUBSTITUTE(SUBSTITUTE(SUBSTITUTE(SUBSTITUTE(SUBSTITUTE(H133&amp;"","0",""),"1",""),"2",""),"3",""),"4",""),"5",""),"6",""),"7",""),"8",""),"9","")=""))),"SIREN : 9 chiffres attendus",IF(AND(M133&lt;&gt;"",OR(NOT(ISNUMBER(M133)),N(M133)&lt;0)),"Délai de paiement invalide","OK"))))))))</f>
        <v/>
      </c>
      <c r="Q133" s="62" t="str">
        <f>IF(A133="","",ROUND(SUMIFS(fa_ht,fa_client,A133,fa_year,db_year)*100,0))</f>
        <v/>
      </c>
      <c r="R133" s="62" t="str">
        <f>IF(N(Q133)&lt;=0,"",COUNTIF($Q$6:$Q$305,"&gt;"&amp;Q133)+COUNTIF($Q$6:Q133,Q133))</f>
        <v/>
      </c>
      <c r="S133" s="62" t="str">
        <f>IF(A133="","",ROUND(SUMIFS(fa_reste,fa_client,A133,fa_reste,"&gt;0")*100,0))</f>
        <v/>
      </c>
      <c r="T133" s="62" t="str">
        <f>IF(N(S133)&lt;=0,"",COUNTIF($S$6:$S$305,"&gt;"&amp;S133)+COUNTIF($S$6:S133,S133))</f>
        <v/>
      </c>
    </row>
    <row r="134">
      <c r="A134" s="60" t="n"/>
      <c r="B134" s="63" t="n"/>
      <c r="C134" s="60" t="n"/>
      <c r="D134" s="63" t="n"/>
      <c r="E134" s="63" t="n"/>
      <c r="F134" s="60" t="n"/>
      <c r="G134" s="143" t="n"/>
      <c r="H134" s="143" t="n"/>
      <c r="I134" s="63" t="n"/>
      <c r="J134" s="63" t="n"/>
      <c r="K134" s="63" t="n"/>
      <c r="L134" s="63" t="n"/>
      <c r="M134" s="144" t="n"/>
      <c r="N134" s="65" t="str">
        <f>IF(A134="","",SUMIF(fa_client,A134,fa_ht))</f>
        <v/>
      </c>
      <c r="O134" s="65" t="str">
        <f>IF(A134="","",SUMIF(fa_client,A134,fa_reste))</f>
        <v/>
      </c>
      <c r="P134" s="59" t="str">
        <f>IF(COUNTA(A134:M134)=0,"",IF(A134="","Code manquant",IF(COUNTIF(cli_code,A134)&gt;1,"Code en double",IF(B134="","Nom manquant",IF(AND(p_country="Maroc",C134&lt;&gt;"Particulier",OR(F134="",F134="Maroc"),G134=""),"ICE manquant (client professionnel)",IF(AND(G134&lt;&gt;"",NOT(AND(LEN(G134&amp;"")=15,SUBSTITUTE(SUBSTITUTE(SUBSTITUTE(SUBSTITUTE(SUBSTITUTE(SUBSTITUTE(SUBSTITUTE(SUBSTITUTE(SUBSTITUTE(SUBSTITUTE(G134&amp;"","0",""),"1",""),"2",""),"3",""),"4",""),"5",""),"6",""),"7",""),"8",""),"9","")=""))),"ICE : 15 chiffres attendus",IF(AND(H134&lt;&gt;"",NOT(AND(LEN(H134&amp;"")=9,SUBSTITUTE(SUBSTITUTE(SUBSTITUTE(SUBSTITUTE(SUBSTITUTE(SUBSTITUTE(SUBSTITUTE(SUBSTITUTE(SUBSTITUTE(SUBSTITUTE(H134&amp;"","0",""),"1",""),"2",""),"3",""),"4",""),"5",""),"6",""),"7",""),"8",""),"9","")=""))),"SIREN : 9 chiffres attendus",IF(AND(M134&lt;&gt;"",OR(NOT(ISNUMBER(M134)),N(M134)&lt;0)),"Délai de paiement invalide","OK"))))))))</f>
        <v/>
      </c>
      <c r="Q134" s="62" t="str">
        <f>IF(A134="","",ROUND(SUMIFS(fa_ht,fa_client,A134,fa_year,db_year)*100,0))</f>
        <v/>
      </c>
      <c r="R134" s="62" t="str">
        <f>IF(N(Q134)&lt;=0,"",COUNTIF($Q$6:$Q$305,"&gt;"&amp;Q134)+COUNTIF($Q$6:Q134,Q134))</f>
        <v/>
      </c>
      <c r="S134" s="62" t="str">
        <f>IF(A134="","",ROUND(SUMIFS(fa_reste,fa_client,A134,fa_reste,"&gt;0")*100,0))</f>
        <v/>
      </c>
      <c r="T134" s="62" t="str">
        <f>IF(N(S134)&lt;=0,"",COUNTIF($S$6:$S$305,"&gt;"&amp;S134)+COUNTIF($S$6:S134,S134))</f>
        <v/>
      </c>
    </row>
    <row r="135">
      <c r="A135" s="60" t="n"/>
      <c r="B135" s="63" t="n"/>
      <c r="C135" s="60" t="n"/>
      <c r="D135" s="63" t="n"/>
      <c r="E135" s="63" t="n"/>
      <c r="F135" s="60" t="n"/>
      <c r="G135" s="143" t="n"/>
      <c r="H135" s="143" t="n"/>
      <c r="I135" s="63" t="n"/>
      <c r="J135" s="63" t="n"/>
      <c r="K135" s="63" t="n"/>
      <c r="L135" s="63" t="n"/>
      <c r="M135" s="144" t="n"/>
      <c r="N135" s="65" t="str">
        <f>IF(A135="","",SUMIF(fa_client,A135,fa_ht))</f>
        <v/>
      </c>
      <c r="O135" s="65" t="str">
        <f>IF(A135="","",SUMIF(fa_client,A135,fa_reste))</f>
        <v/>
      </c>
      <c r="P135" s="59" t="str">
        <f>IF(COUNTA(A135:M135)=0,"",IF(A135="","Code manquant",IF(COUNTIF(cli_code,A135)&gt;1,"Code en double",IF(B135="","Nom manquant",IF(AND(p_country="Maroc",C135&lt;&gt;"Particulier",OR(F135="",F135="Maroc"),G135=""),"ICE manquant (client professionnel)",IF(AND(G135&lt;&gt;"",NOT(AND(LEN(G135&amp;"")=15,SUBSTITUTE(SUBSTITUTE(SUBSTITUTE(SUBSTITUTE(SUBSTITUTE(SUBSTITUTE(SUBSTITUTE(SUBSTITUTE(SUBSTITUTE(SUBSTITUTE(G135&amp;"","0",""),"1",""),"2",""),"3",""),"4",""),"5",""),"6",""),"7",""),"8",""),"9","")=""))),"ICE : 15 chiffres attendus",IF(AND(H135&lt;&gt;"",NOT(AND(LEN(H135&amp;"")=9,SUBSTITUTE(SUBSTITUTE(SUBSTITUTE(SUBSTITUTE(SUBSTITUTE(SUBSTITUTE(SUBSTITUTE(SUBSTITUTE(SUBSTITUTE(SUBSTITUTE(H135&amp;"","0",""),"1",""),"2",""),"3",""),"4",""),"5",""),"6",""),"7",""),"8",""),"9","")=""))),"SIREN : 9 chiffres attendus",IF(AND(M135&lt;&gt;"",OR(NOT(ISNUMBER(M135)),N(M135)&lt;0)),"Délai de paiement invalide","OK"))))))))</f>
        <v/>
      </c>
      <c r="Q135" s="62" t="str">
        <f>IF(A135="","",ROUND(SUMIFS(fa_ht,fa_client,A135,fa_year,db_year)*100,0))</f>
        <v/>
      </c>
      <c r="R135" s="62" t="str">
        <f>IF(N(Q135)&lt;=0,"",COUNTIF($Q$6:$Q$305,"&gt;"&amp;Q135)+COUNTIF($Q$6:Q135,Q135))</f>
        <v/>
      </c>
      <c r="S135" s="62" t="str">
        <f>IF(A135="","",ROUND(SUMIFS(fa_reste,fa_client,A135,fa_reste,"&gt;0")*100,0))</f>
        <v/>
      </c>
      <c r="T135" s="62" t="str">
        <f>IF(N(S135)&lt;=0,"",COUNTIF($S$6:$S$305,"&gt;"&amp;S135)+COUNTIF($S$6:S135,S135))</f>
        <v/>
      </c>
    </row>
    <row r="136">
      <c r="A136" s="60" t="n"/>
      <c r="B136" s="63" t="n"/>
      <c r="C136" s="60" t="n"/>
      <c r="D136" s="63" t="n"/>
      <c r="E136" s="63" t="n"/>
      <c r="F136" s="60" t="n"/>
      <c r="G136" s="143" t="n"/>
      <c r="H136" s="143" t="n"/>
      <c r="I136" s="63" t="n"/>
      <c r="J136" s="63" t="n"/>
      <c r="K136" s="63" t="n"/>
      <c r="L136" s="63" t="n"/>
      <c r="M136" s="144" t="n"/>
      <c r="N136" s="65" t="str">
        <f>IF(A136="","",SUMIF(fa_client,A136,fa_ht))</f>
        <v/>
      </c>
      <c r="O136" s="65" t="str">
        <f>IF(A136="","",SUMIF(fa_client,A136,fa_reste))</f>
        <v/>
      </c>
      <c r="P136" s="59" t="str">
        <f>IF(COUNTA(A136:M136)=0,"",IF(A136="","Code manquant",IF(COUNTIF(cli_code,A136)&gt;1,"Code en double",IF(B136="","Nom manquant",IF(AND(p_country="Maroc",C136&lt;&gt;"Particulier",OR(F136="",F136="Maroc"),G136=""),"ICE manquant (client professionnel)",IF(AND(G136&lt;&gt;"",NOT(AND(LEN(G136&amp;"")=15,SUBSTITUTE(SUBSTITUTE(SUBSTITUTE(SUBSTITUTE(SUBSTITUTE(SUBSTITUTE(SUBSTITUTE(SUBSTITUTE(SUBSTITUTE(SUBSTITUTE(G136&amp;"","0",""),"1",""),"2",""),"3",""),"4",""),"5",""),"6",""),"7",""),"8",""),"9","")=""))),"ICE : 15 chiffres attendus",IF(AND(H136&lt;&gt;"",NOT(AND(LEN(H136&amp;"")=9,SUBSTITUTE(SUBSTITUTE(SUBSTITUTE(SUBSTITUTE(SUBSTITUTE(SUBSTITUTE(SUBSTITUTE(SUBSTITUTE(SUBSTITUTE(SUBSTITUTE(H136&amp;"","0",""),"1",""),"2",""),"3",""),"4",""),"5",""),"6",""),"7",""),"8",""),"9","")=""))),"SIREN : 9 chiffres attendus",IF(AND(M136&lt;&gt;"",OR(NOT(ISNUMBER(M136)),N(M136)&lt;0)),"Délai de paiement invalide","OK"))))))))</f>
        <v/>
      </c>
      <c r="Q136" s="62" t="str">
        <f>IF(A136="","",ROUND(SUMIFS(fa_ht,fa_client,A136,fa_year,db_year)*100,0))</f>
        <v/>
      </c>
      <c r="R136" s="62" t="str">
        <f>IF(N(Q136)&lt;=0,"",COUNTIF($Q$6:$Q$305,"&gt;"&amp;Q136)+COUNTIF($Q$6:Q136,Q136))</f>
        <v/>
      </c>
      <c r="S136" s="62" t="str">
        <f>IF(A136="","",ROUND(SUMIFS(fa_reste,fa_client,A136,fa_reste,"&gt;0")*100,0))</f>
        <v/>
      </c>
      <c r="T136" s="62" t="str">
        <f>IF(N(S136)&lt;=0,"",COUNTIF($S$6:$S$305,"&gt;"&amp;S136)+COUNTIF($S$6:S136,S136))</f>
        <v/>
      </c>
    </row>
    <row r="137">
      <c r="A137" s="60" t="n"/>
      <c r="B137" s="63" t="n"/>
      <c r="C137" s="60" t="n"/>
      <c r="D137" s="63" t="n"/>
      <c r="E137" s="63" t="n"/>
      <c r="F137" s="60" t="n"/>
      <c r="G137" s="143" t="n"/>
      <c r="H137" s="143" t="n"/>
      <c r="I137" s="63" t="n"/>
      <c r="J137" s="63" t="n"/>
      <c r="K137" s="63" t="n"/>
      <c r="L137" s="63" t="n"/>
      <c r="M137" s="144" t="n"/>
      <c r="N137" s="65" t="str">
        <f>IF(A137="","",SUMIF(fa_client,A137,fa_ht))</f>
        <v/>
      </c>
      <c r="O137" s="65" t="str">
        <f>IF(A137="","",SUMIF(fa_client,A137,fa_reste))</f>
        <v/>
      </c>
      <c r="P137" s="59" t="str">
        <f>IF(COUNTA(A137:M137)=0,"",IF(A137="","Code manquant",IF(COUNTIF(cli_code,A137)&gt;1,"Code en double",IF(B137="","Nom manquant",IF(AND(p_country="Maroc",C137&lt;&gt;"Particulier",OR(F137="",F137="Maroc"),G137=""),"ICE manquant (client professionnel)",IF(AND(G137&lt;&gt;"",NOT(AND(LEN(G137&amp;"")=15,SUBSTITUTE(SUBSTITUTE(SUBSTITUTE(SUBSTITUTE(SUBSTITUTE(SUBSTITUTE(SUBSTITUTE(SUBSTITUTE(SUBSTITUTE(SUBSTITUTE(G137&amp;"","0",""),"1",""),"2",""),"3",""),"4",""),"5",""),"6",""),"7",""),"8",""),"9","")=""))),"ICE : 15 chiffres attendus",IF(AND(H137&lt;&gt;"",NOT(AND(LEN(H137&amp;"")=9,SUBSTITUTE(SUBSTITUTE(SUBSTITUTE(SUBSTITUTE(SUBSTITUTE(SUBSTITUTE(SUBSTITUTE(SUBSTITUTE(SUBSTITUTE(SUBSTITUTE(H137&amp;"","0",""),"1",""),"2",""),"3",""),"4",""),"5",""),"6",""),"7",""),"8",""),"9","")=""))),"SIREN : 9 chiffres attendus",IF(AND(M137&lt;&gt;"",OR(NOT(ISNUMBER(M137)),N(M137)&lt;0)),"Délai de paiement invalide","OK"))))))))</f>
        <v/>
      </c>
      <c r="Q137" s="62" t="str">
        <f>IF(A137="","",ROUND(SUMIFS(fa_ht,fa_client,A137,fa_year,db_year)*100,0))</f>
        <v/>
      </c>
      <c r="R137" s="62" t="str">
        <f>IF(N(Q137)&lt;=0,"",COUNTIF($Q$6:$Q$305,"&gt;"&amp;Q137)+COUNTIF($Q$6:Q137,Q137))</f>
        <v/>
      </c>
      <c r="S137" s="62" t="str">
        <f>IF(A137="","",ROUND(SUMIFS(fa_reste,fa_client,A137,fa_reste,"&gt;0")*100,0))</f>
        <v/>
      </c>
      <c r="T137" s="62" t="str">
        <f>IF(N(S137)&lt;=0,"",COUNTIF($S$6:$S$305,"&gt;"&amp;S137)+COUNTIF($S$6:S137,S137))</f>
        <v/>
      </c>
    </row>
    <row r="138">
      <c r="A138" s="60" t="n"/>
      <c r="B138" s="63" t="n"/>
      <c r="C138" s="60" t="n"/>
      <c r="D138" s="63" t="n"/>
      <c r="E138" s="63" t="n"/>
      <c r="F138" s="60" t="n"/>
      <c r="G138" s="143" t="n"/>
      <c r="H138" s="143" t="n"/>
      <c r="I138" s="63" t="n"/>
      <c r="J138" s="63" t="n"/>
      <c r="K138" s="63" t="n"/>
      <c r="L138" s="63" t="n"/>
      <c r="M138" s="144" t="n"/>
      <c r="N138" s="65" t="str">
        <f>IF(A138="","",SUMIF(fa_client,A138,fa_ht))</f>
        <v/>
      </c>
      <c r="O138" s="65" t="str">
        <f>IF(A138="","",SUMIF(fa_client,A138,fa_reste))</f>
        <v/>
      </c>
      <c r="P138" s="59" t="str">
        <f>IF(COUNTA(A138:M138)=0,"",IF(A138="","Code manquant",IF(COUNTIF(cli_code,A138)&gt;1,"Code en double",IF(B138="","Nom manquant",IF(AND(p_country="Maroc",C138&lt;&gt;"Particulier",OR(F138="",F138="Maroc"),G138=""),"ICE manquant (client professionnel)",IF(AND(G138&lt;&gt;"",NOT(AND(LEN(G138&amp;"")=15,SUBSTITUTE(SUBSTITUTE(SUBSTITUTE(SUBSTITUTE(SUBSTITUTE(SUBSTITUTE(SUBSTITUTE(SUBSTITUTE(SUBSTITUTE(SUBSTITUTE(G138&amp;"","0",""),"1",""),"2",""),"3",""),"4",""),"5",""),"6",""),"7",""),"8",""),"9","")=""))),"ICE : 15 chiffres attendus",IF(AND(H138&lt;&gt;"",NOT(AND(LEN(H138&amp;"")=9,SUBSTITUTE(SUBSTITUTE(SUBSTITUTE(SUBSTITUTE(SUBSTITUTE(SUBSTITUTE(SUBSTITUTE(SUBSTITUTE(SUBSTITUTE(SUBSTITUTE(H138&amp;"","0",""),"1",""),"2",""),"3",""),"4",""),"5",""),"6",""),"7",""),"8",""),"9","")=""))),"SIREN : 9 chiffres attendus",IF(AND(M138&lt;&gt;"",OR(NOT(ISNUMBER(M138)),N(M138)&lt;0)),"Délai de paiement invalide","OK"))))))))</f>
        <v/>
      </c>
      <c r="Q138" s="62" t="str">
        <f>IF(A138="","",ROUND(SUMIFS(fa_ht,fa_client,A138,fa_year,db_year)*100,0))</f>
        <v/>
      </c>
      <c r="R138" s="62" t="str">
        <f>IF(N(Q138)&lt;=0,"",COUNTIF($Q$6:$Q$305,"&gt;"&amp;Q138)+COUNTIF($Q$6:Q138,Q138))</f>
        <v/>
      </c>
      <c r="S138" s="62" t="str">
        <f>IF(A138="","",ROUND(SUMIFS(fa_reste,fa_client,A138,fa_reste,"&gt;0")*100,0))</f>
        <v/>
      </c>
      <c r="T138" s="62" t="str">
        <f>IF(N(S138)&lt;=0,"",COUNTIF($S$6:$S$305,"&gt;"&amp;S138)+COUNTIF($S$6:S138,S138))</f>
        <v/>
      </c>
    </row>
    <row r="139">
      <c r="A139" s="60" t="n"/>
      <c r="B139" s="63" t="n"/>
      <c r="C139" s="60" t="n"/>
      <c r="D139" s="63" t="n"/>
      <c r="E139" s="63" t="n"/>
      <c r="F139" s="60" t="n"/>
      <c r="G139" s="143" t="n"/>
      <c r="H139" s="143" t="n"/>
      <c r="I139" s="63" t="n"/>
      <c r="J139" s="63" t="n"/>
      <c r="K139" s="63" t="n"/>
      <c r="L139" s="63" t="n"/>
      <c r="M139" s="144" t="n"/>
      <c r="N139" s="65" t="str">
        <f>IF(A139="","",SUMIF(fa_client,A139,fa_ht))</f>
        <v/>
      </c>
      <c r="O139" s="65" t="str">
        <f>IF(A139="","",SUMIF(fa_client,A139,fa_reste))</f>
        <v/>
      </c>
      <c r="P139" s="59" t="str">
        <f>IF(COUNTA(A139:M139)=0,"",IF(A139="","Code manquant",IF(COUNTIF(cli_code,A139)&gt;1,"Code en double",IF(B139="","Nom manquant",IF(AND(p_country="Maroc",C139&lt;&gt;"Particulier",OR(F139="",F139="Maroc"),G139=""),"ICE manquant (client professionnel)",IF(AND(G139&lt;&gt;"",NOT(AND(LEN(G139&amp;"")=15,SUBSTITUTE(SUBSTITUTE(SUBSTITUTE(SUBSTITUTE(SUBSTITUTE(SUBSTITUTE(SUBSTITUTE(SUBSTITUTE(SUBSTITUTE(SUBSTITUTE(G139&amp;"","0",""),"1",""),"2",""),"3",""),"4",""),"5",""),"6",""),"7",""),"8",""),"9","")=""))),"ICE : 15 chiffres attendus",IF(AND(H139&lt;&gt;"",NOT(AND(LEN(H139&amp;"")=9,SUBSTITUTE(SUBSTITUTE(SUBSTITUTE(SUBSTITUTE(SUBSTITUTE(SUBSTITUTE(SUBSTITUTE(SUBSTITUTE(SUBSTITUTE(SUBSTITUTE(H139&amp;"","0",""),"1",""),"2",""),"3",""),"4",""),"5",""),"6",""),"7",""),"8",""),"9","")=""))),"SIREN : 9 chiffres attendus",IF(AND(M139&lt;&gt;"",OR(NOT(ISNUMBER(M139)),N(M139)&lt;0)),"Délai de paiement invalide","OK"))))))))</f>
        <v/>
      </c>
      <c r="Q139" s="62" t="str">
        <f>IF(A139="","",ROUND(SUMIFS(fa_ht,fa_client,A139,fa_year,db_year)*100,0))</f>
        <v/>
      </c>
      <c r="R139" s="62" t="str">
        <f>IF(N(Q139)&lt;=0,"",COUNTIF($Q$6:$Q$305,"&gt;"&amp;Q139)+COUNTIF($Q$6:Q139,Q139))</f>
        <v/>
      </c>
      <c r="S139" s="62" t="str">
        <f>IF(A139="","",ROUND(SUMIFS(fa_reste,fa_client,A139,fa_reste,"&gt;0")*100,0))</f>
        <v/>
      </c>
      <c r="T139" s="62" t="str">
        <f>IF(N(S139)&lt;=0,"",COUNTIF($S$6:$S$305,"&gt;"&amp;S139)+COUNTIF($S$6:S139,S139))</f>
        <v/>
      </c>
    </row>
    <row r="140">
      <c r="A140" s="60" t="n"/>
      <c r="B140" s="63" t="n"/>
      <c r="C140" s="60" t="n"/>
      <c r="D140" s="63" t="n"/>
      <c r="E140" s="63" t="n"/>
      <c r="F140" s="60" t="n"/>
      <c r="G140" s="143" t="n"/>
      <c r="H140" s="143" t="n"/>
      <c r="I140" s="63" t="n"/>
      <c r="J140" s="63" t="n"/>
      <c r="K140" s="63" t="n"/>
      <c r="L140" s="63" t="n"/>
      <c r="M140" s="144" t="n"/>
      <c r="N140" s="65" t="str">
        <f>IF(A140="","",SUMIF(fa_client,A140,fa_ht))</f>
        <v/>
      </c>
      <c r="O140" s="65" t="str">
        <f>IF(A140="","",SUMIF(fa_client,A140,fa_reste))</f>
        <v/>
      </c>
      <c r="P140" s="59" t="str">
        <f>IF(COUNTA(A140:M140)=0,"",IF(A140="","Code manquant",IF(COUNTIF(cli_code,A140)&gt;1,"Code en double",IF(B140="","Nom manquant",IF(AND(p_country="Maroc",C140&lt;&gt;"Particulier",OR(F140="",F140="Maroc"),G140=""),"ICE manquant (client professionnel)",IF(AND(G140&lt;&gt;"",NOT(AND(LEN(G140&amp;"")=15,SUBSTITUTE(SUBSTITUTE(SUBSTITUTE(SUBSTITUTE(SUBSTITUTE(SUBSTITUTE(SUBSTITUTE(SUBSTITUTE(SUBSTITUTE(SUBSTITUTE(G140&amp;"","0",""),"1",""),"2",""),"3",""),"4",""),"5",""),"6",""),"7",""),"8",""),"9","")=""))),"ICE : 15 chiffres attendus",IF(AND(H140&lt;&gt;"",NOT(AND(LEN(H140&amp;"")=9,SUBSTITUTE(SUBSTITUTE(SUBSTITUTE(SUBSTITUTE(SUBSTITUTE(SUBSTITUTE(SUBSTITUTE(SUBSTITUTE(SUBSTITUTE(SUBSTITUTE(H140&amp;"","0",""),"1",""),"2",""),"3",""),"4",""),"5",""),"6",""),"7",""),"8",""),"9","")=""))),"SIREN : 9 chiffres attendus",IF(AND(M140&lt;&gt;"",OR(NOT(ISNUMBER(M140)),N(M140)&lt;0)),"Délai de paiement invalide","OK"))))))))</f>
        <v/>
      </c>
      <c r="Q140" s="62" t="str">
        <f>IF(A140="","",ROUND(SUMIFS(fa_ht,fa_client,A140,fa_year,db_year)*100,0))</f>
        <v/>
      </c>
      <c r="R140" s="62" t="str">
        <f>IF(N(Q140)&lt;=0,"",COUNTIF($Q$6:$Q$305,"&gt;"&amp;Q140)+COUNTIF($Q$6:Q140,Q140))</f>
        <v/>
      </c>
      <c r="S140" s="62" t="str">
        <f>IF(A140="","",ROUND(SUMIFS(fa_reste,fa_client,A140,fa_reste,"&gt;0")*100,0))</f>
        <v/>
      </c>
      <c r="T140" s="62" t="str">
        <f>IF(N(S140)&lt;=0,"",COUNTIF($S$6:$S$305,"&gt;"&amp;S140)+COUNTIF($S$6:S140,S140))</f>
        <v/>
      </c>
    </row>
    <row r="141">
      <c r="A141" s="60" t="n"/>
      <c r="B141" s="63" t="n"/>
      <c r="C141" s="60" t="n"/>
      <c r="D141" s="63" t="n"/>
      <c r="E141" s="63" t="n"/>
      <c r="F141" s="60" t="n"/>
      <c r="G141" s="143" t="n"/>
      <c r="H141" s="143" t="n"/>
      <c r="I141" s="63" t="n"/>
      <c r="J141" s="63" t="n"/>
      <c r="K141" s="63" t="n"/>
      <c r="L141" s="63" t="n"/>
      <c r="M141" s="144" t="n"/>
      <c r="N141" s="65" t="str">
        <f>IF(A141="","",SUMIF(fa_client,A141,fa_ht))</f>
        <v/>
      </c>
      <c r="O141" s="65" t="str">
        <f>IF(A141="","",SUMIF(fa_client,A141,fa_reste))</f>
        <v/>
      </c>
      <c r="P141" s="59" t="str">
        <f>IF(COUNTA(A141:M141)=0,"",IF(A141="","Code manquant",IF(COUNTIF(cli_code,A141)&gt;1,"Code en double",IF(B141="","Nom manquant",IF(AND(p_country="Maroc",C141&lt;&gt;"Particulier",OR(F141="",F141="Maroc"),G141=""),"ICE manquant (client professionnel)",IF(AND(G141&lt;&gt;"",NOT(AND(LEN(G141&amp;"")=15,SUBSTITUTE(SUBSTITUTE(SUBSTITUTE(SUBSTITUTE(SUBSTITUTE(SUBSTITUTE(SUBSTITUTE(SUBSTITUTE(SUBSTITUTE(SUBSTITUTE(G141&amp;"","0",""),"1",""),"2",""),"3",""),"4",""),"5",""),"6",""),"7",""),"8",""),"9","")=""))),"ICE : 15 chiffres attendus",IF(AND(H141&lt;&gt;"",NOT(AND(LEN(H141&amp;"")=9,SUBSTITUTE(SUBSTITUTE(SUBSTITUTE(SUBSTITUTE(SUBSTITUTE(SUBSTITUTE(SUBSTITUTE(SUBSTITUTE(SUBSTITUTE(SUBSTITUTE(H141&amp;"","0",""),"1",""),"2",""),"3",""),"4",""),"5",""),"6",""),"7",""),"8",""),"9","")=""))),"SIREN : 9 chiffres attendus",IF(AND(M141&lt;&gt;"",OR(NOT(ISNUMBER(M141)),N(M141)&lt;0)),"Délai de paiement invalide","OK"))))))))</f>
        <v/>
      </c>
      <c r="Q141" s="62" t="str">
        <f>IF(A141="","",ROUND(SUMIFS(fa_ht,fa_client,A141,fa_year,db_year)*100,0))</f>
        <v/>
      </c>
      <c r="R141" s="62" t="str">
        <f>IF(N(Q141)&lt;=0,"",COUNTIF($Q$6:$Q$305,"&gt;"&amp;Q141)+COUNTIF($Q$6:Q141,Q141))</f>
        <v/>
      </c>
      <c r="S141" s="62" t="str">
        <f>IF(A141="","",ROUND(SUMIFS(fa_reste,fa_client,A141,fa_reste,"&gt;0")*100,0))</f>
        <v/>
      </c>
      <c r="T141" s="62" t="str">
        <f>IF(N(S141)&lt;=0,"",COUNTIF($S$6:$S$305,"&gt;"&amp;S141)+COUNTIF($S$6:S141,S141))</f>
        <v/>
      </c>
    </row>
    <row r="142">
      <c r="A142" s="60" t="n"/>
      <c r="B142" s="63" t="n"/>
      <c r="C142" s="60" t="n"/>
      <c r="D142" s="63" t="n"/>
      <c r="E142" s="63" t="n"/>
      <c r="F142" s="60" t="n"/>
      <c r="G142" s="143" t="n"/>
      <c r="H142" s="143" t="n"/>
      <c r="I142" s="63" t="n"/>
      <c r="J142" s="63" t="n"/>
      <c r="K142" s="63" t="n"/>
      <c r="L142" s="63" t="n"/>
      <c r="M142" s="144" t="n"/>
      <c r="N142" s="65" t="str">
        <f>IF(A142="","",SUMIF(fa_client,A142,fa_ht))</f>
        <v/>
      </c>
      <c r="O142" s="65" t="str">
        <f>IF(A142="","",SUMIF(fa_client,A142,fa_reste))</f>
        <v/>
      </c>
      <c r="P142" s="59" t="str">
        <f>IF(COUNTA(A142:M142)=0,"",IF(A142="","Code manquant",IF(COUNTIF(cli_code,A142)&gt;1,"Code en double",IF(B142="","Nom manquant",IF(AND(p_country="Maroc",C142&lt;&gt;"Particulier",OR(F142="",F142="Maroc"),G142=""),"ICE manquant (client professionnel)",IF(AND(G142&lt;&gt;"",NOT(AND(LEN(G142&amp;"")=15,SUBSTITUTE(SUBSTITUTE(SUBSTITUTE(SUBSTITUTE(SUBSTITUTE(SUBSTITUTE(SUBSTITUTE(SUBSTITUTE(SUBSTITUTE(SUBSTITUTE(G142&amp;"","0",""),"1",""),"2",""),"3",""),"4",""),"5",""),"6",""),"7",""),"8",""),"9","")=""))),"ICE : 15 chiffres attendus",IF(AND(H142&lt;&gt;"",NOT(AND(LEN(H142&amp;"")=9,SUBSTITUTE(SUBSTITUTE(SUBSTITUTE(SUBSTITUTE(SUBSTITUTE(SUBSTITUTE(SUBSTITUTE(SUBSTITUTE(SUBSTITUTE(SUBSTITUTE(H142&amp;"","0",""),"1",""),"2",""),"3",""),"4",""),"5",""),"6",""),"7",""),"8",""),"9","")=""))),"SIREN : 9 chiffres attendus",IF(AND(M142&lt;&gt;"",OR(NOT(ISNUMBER(M142)),N(M142)&lt;0)),"Délai de paiement invalide","OK"))))))))</f>
        <v/>
      </c>
      <c r="Q142" s="62" t="str">
        <f>IF(A142="","",ROUND(SUMIFS(fa_ht,fa_client,A142,fa_year,db_year)*100,0))</f>
        <v/>
      </c>
      <c r="R142" s="62" t="str">
        <f>IF(N(Q142)&lt;=0,"",COUNTIF($Q$6:$Q$305,"&gt;"&amp;Q142)+COUNTIF($Q$6:Q142,Q142))</f>
        <v/>
      </c>
      <c r="S142" s="62" t="str">
        <f>IF(A142="","",ROUND(SUMIFS(fa_reste,fa_client,A142,fa_reste,"&gt;0")*100,0))</f>
        <v/>
      </c>
      <c r="T142" s="62" t="str">
        <f>IF(N(S142)&lt;=0,"",COUNTIF($S$6:$S$305,"&gt;"&amp;S142)+COUNTIF($S$6:S142,S142))</f>
        <v/>
      </c>
    </row>
    <row r="143">
      <c r="A143" s="60" t="n"/>
      <c r="B143" s="63" t="n"/>
      <c r="C143" s="60" t="n"/>
      <c r="D143" s="63" t="n"/>
      <c r="E143" s="63" t="n"/>
      <c r="F143" s="60" t="n"/>
      <c r="G143" s="143" t="n"/>
      <c r="H143" s="143" t="n"/>
      <c r="I143" s="63" t="n"/>
      <c r="J143" s="63" t="n"/>
      <c r="K143" s="63" t="n"/>
      <c r="L143" s="63" t="n"/>
      <c r="M143" s="144" t="n"/>
      <c r="N143" s="65" t="str">
        <f>IF(A143="","",SUMIF(fa_client,A143,fa_ht))</f>
        <v/>
      </c>
      <c r="O143" s="65" t="str">
        <f>IF(A143="","",SUMIF(fa_client,A143,fa_reste))</f>
        <v/>
      </c>
      <c r="P143" s="59" t="str">
        <f>IF(COUNTA(A143:M143)=0,"",IF(A143="","Code manquant",IF(COUNTIF(cli_code,A143)&gt;1,"Code en double",IF(B143="","Nom manquant",IF(AND(p_country="Maroc",C143&lt;&gt;"Particulier",OR(F143="",F143="Maroc"),G143=""),"ICE manquant (client professionnel)",IF(AND(G143&lt;&gt;"",NOT(AND(LEN(G143&amp;"")=15,SUBSTITUTE(SUBSTITUTE(SUBSTITUTE(SUBSTITUTE(SUBSTITUTE(SUBSTITUTE(SUBSTITUTE(SUBSTITUTE(SUBSTITUTE(SUBSTITUTE(G143&amp;"","0",""),"1",""),"2",""),"3",""),"4",""),"5",""),"6",""),"7",""),"8",""),"9","")=""))),"ICE : 15 chiffres attendus",IF(AND(H143&lt;&gt;"",NOT(AND(LEN(H143&amp;"")=9,SUBSTITUTE(SUBSTITUTE(SUBSTITUTE(SUBSTITUTE(SUBSTITUTE(SUBSTITUTE(SUBSTITUTE(SUBSTITUTE(SUBSTITUTE(SUBSTITUTE(H143&amp;"","0",""),"1",""),"2",""),"3",""),"4",""),"5",""),"6",""),"7",""),"8",""),"9","")=""))),"SIREN : 9 chiffres attendus",IF(AND(M143&lt;&gt;"",OR(NOT(ISNUMBER(M143)),N(M143)&lt;0)),"Délai de paiement invalide","OK"))))))))</f>
        <v/>
      </c>
      <c r="Q143" s="62" t="str">
        <f>IF(A143="","",ROUND(SUMIFS(fa_ht,fa_client,A143,fa_year,db_year)*100,0))</f>
        <v/>
      </c>
      <c r="R143" s="62" t="str">
        <f>IF(N(Q143)&lt;=0,"",COUNTIF($Q$6:$Q$305,"&gt;"&amp;Q143)+COUNTIF($Q$6:Q143,Q143))</f>
        <v/>
      </c>
      <c r="S143" s="62" t="str">
        <f>IF(A143="","",ROUND(SUMIFS(fa_reste,fa_client,A143,fa_reste,"&gt;0")*100,0))</f>
        <v/>
      </c>
      <c r="T143" s="62" t="str">
        <f>IF(N(S143)&lt;=0,"",COUNTIF($S$6:$S$305,"&gt;"&amp;S143)+COUNTIF($S$6:S143,S143))</f>
        <v/>
      </c>
    </row>
    <row r="144">
      <c r="A144" s="60" t="n"/>
      <c r="B144" s="63" t="n"/>
      <c r="C144" s="60" t="n"/>
      <c r="D144" s="63" t="n"/>
      <c r="E144" s="63" t="n"/>
      <c r="F144" s="60" t="n"/>
      <c r="G144" s="143" t="n"/>
      <c r="H144" s="143" t="n"/>
      <c r="I144" s="63" t="n"/>
      <c r="J144" s="63" t="n"/>
      <c r="K144" s="63" t="n"/>
      <c r="L144" s="63" t="n"/>
      <c r="M144" s="144" t="n"/>
      <c r="N144" s="65" t="str">
        <f>IF(A144="","",SUMIF(fa_client,A144,fa_ht))</f>
        <v/>
      </c>
      <c r="O144" s="65" t="str">
        <f>IF(A144="","",SUMIF(fa_client,A144,fa_reste))</f>
        <v/>
      </c>
      <c r="P144" s="59" t="str">
        <f>IF(COUNTA(A144:M144)=0,"",IF(A144="","Code manquant",IF(COUNTIF(cli_code,A144)&gt;1,"Code en double",IF(B144="","Nom manquant",IF(AND(p_country="Maroc",C144&lt;&gt;"Particulier",OR(F144="",F144="Maroc"),G144=""),"ICE manquant (client professionnel)",IF(AND(G144&lt;&gt;"",NOT(AND(LEN(G144&amp;"")=15,SUBSTITUTE(SUBSTITUTE(SUBSTITUTE(SUBSTITUTE(SUBSTITUTE(SUBSTITUTE(SUBSTITUTE(SUBSTITUTE(SUBSTITUTE(SUBSTITUTE(G144&amp;"","0",""),"1",""),"2",""),"3",""),"4",""),"5",""),"6",""),"7",""),"8",""),"9","")=""))),"ICE : 15 chiffres attendus",IF(AND(H144&lt;&gt;"",NOT(AND(LEN(H144&amp;"")=9,SUBSTITUTE(SUBSTITUTE(SUBSTITUTE(SUBSTITUTE(SUBSTITUTE(SUBSTITUTE(SUBSTITUTE(SUBSTITUTE(SUBSTITUTE(SUBSTITUTE(H144&amp;"","0",""),"1",""),"2",""),"3",""),"4",""),"5",""),"6",""),"7",""),"8",""),"9","")=""))),"SIREN : 9 chiffres attendus",IF(AND(M144&lt;&gt;"",OR(NOT(ISNUMBER(M144)),N(M144)&lt;0)),"Délai de paiement invalide","OK"))))))))</f>
        <v/>
      </c>
      <c r="Q144" s="62" t="str">
        <f>IF(A144="","",ROUND(SUMIFS(fa_ht,fa_client,A144,fa_year,db_year)*100,0))</f>
        <v/>
      </c>
      <c r="R144" s="62" t="str">
        <f>IF(N(Q144)&lt;=0,"",COUNTIF($Q$6:$Q$305,"&gt;"&amp;Q144)+COUNTIF($Q$6:Q144,Q144))</f>
        <v/>
      </c>
      <c r="S144" s="62" t="str">
        <f>IF(A144="","",ROUND(SUMIFS(fa_reste,fa_client,A144,fa_reste,"&gt;0")*100,0))</f>
        <v/>
      </c>
      <c r="T144" s="62" t="str">
        <f>IF(N(S144)&lt;=0,"",COUNTIF($S$6:$S$305,"&gt;"&amp;S144)+COUNTIF($S$6:S144,S144))</f>
        <v/>
      </c>
    </row>
    <row r="145">
      <c r="A145" s="60" t="n"/>
      <c r="B145" s="63" t="n"/>
      <c r="C145" s="60" t="n"/>
      <c r="D145" s="63" t="n"/>
      <c r="E145" s="63" t="n"/>
      <c r="F145" s="60" t="n"/>
      <c r="G145" s="143" t="n"/>
      <c r="H145" s="143" t="n"/>
      <c r="I145" s="63" t="n"/>
      <c r="J145" s="63" t="n"/>
      <c r="K145" s="63" t="n"/>
      <c r="L145" s="63" t="n"/>
      <c r="M145" s="144" t="n"/>
      <c r="N145" s="65" t="str">
        <f>IF(A145="","",SUMIF(fa_client,A145,fa_ht))</f>
        <v/>
      </c>
      <c r="O145" s="65" t="str">
        <f>IF(A145="","",SUMIF(fa_client,A145,fa_reste))</f>
        <v/>
      </c>
      <c r="P145" s="59" t="str">
        <f>IF(COUNTA(A145:M145)=0,"",IF(A145="","Code manquant",IF(COUNTIF(cli_code,A145)&gt;1,"Code en double",IF(B145="","Nom manquant",IF(AND(p_country="Maroc",C145&lt;&gt;"Particulier",OR(F145="",F145="Maroc"),G145=""),"ICE manquant (client professionnel)",IF(AND(G145&lt;&gt;"",NOT(AND(LEN(G145&amp;"")=15,SUBSTITUTE(SUBSTITUTE(SUBSTITUTE(SUBSTITUTE(SUBSTITUTE(SUBSTITUTE(SUBSTITUTE(SUBSTITUTE(SUBSTITUTE(SUBSTITUTE(G145&amp;"","0",""),"1",""),"2",""),"3",""),"4",""),"5",""),"6",""),"7",""),"8",""),"9","")=""))),"ICE : 15 chiffres attendus",IF(AND(H145&lt;&gt;"",NOT(AND(LEN(H145&amp;"")=9,SUBSTITUTE(SUBSTITUTE(SUBSTITUTE(SUBSTITUTE(SUBSTITUTE(SUBSTITUTE(SUBSTITUTE(SUBSTITUTE(SUBSTITUTE(SUBSTITUTE(H145&amp;"","0",""),"1",""),"2",""),"3",""),"4",""),"5",""),"6",""),"7",""),"8",""),"9","")=""))),"SIREN : 9 chiffres attendus",IF(AND(M145&lt;&gt;"",OR(NOT(ISNUMBER(M145)),N(M145)&lt;0)),"Délai de paiement invalide","OK"))))))))</f>
        <v/>
      </c>
      <c r="Q145" s="62" t="str">
        <f>IF(A145="","",ROUND(SUMIFS(fa_ht,fa_client,A145,fa_year,db_year)*100,0))</f>
        <v/>
      </c>
      <c r="R145" s="62" t="str">
        <f>IF(N(Q145)&lt;=0,"",COUNTIF($Q$6:$Q$305,"&gt;"&amp;Q145)+COUNTIF($Q$6:Q145,Q145))</f>
        <v/>
      </c>
      <c r="S145" s="62" t="str">
        <f>IF(A145="","",ROUND(SUMIFS(fa_reste,fa_client,A145,fa_reste,"&gt;0")*100,0))</f>
        <v/>
      </c>
      <c r="T145" s="62" t="str">
        <f>IF(N(S145)&lt;=0,"",COUNTIF($S$6:$S$305,"&gt;"&amp;S145)+COUNTIF($S$6:S145,S145))</f>
        <v/>
      </c>
    </row>
    <row r="146">
      <c r="A146" s="60" t="n"/>
      <c r="B146" s="63" t="n"/>
      <c r="C146" s="60" t="n"/>
      <c r="D146" s="63" t="n"/>
      <c r="E146" s="63" t="n"/>
      <c r="F146" s="60" t="n"/>
      <c r="G146" s="143" t="n"/>
      <c r="H146" s="143" t="n"/>
      <c r="I146" s="63" t="n"/>
      <c r="J146" s="63" t="n"/>
      <c r="K146" s="63" t="n"/>
      <c r="L146" s="63" t="n"/>
      <c r="M146" s="144" t="n"/>
      <c r="N146" s="65" t="str">
        <f>IF(A146="","",SUMIF(fa_client,A146,fa_ht))</f>
        <v/>
      </c>
      <c r="O146" s="65" t="str">
        <f>IF(A146="","",SUMIF(fa_client,A146,fa_reste))</f>
        <v/>
      </c>
      <c r="P146" s="59" t="str">
        <f>IF(COUNTA(A146:M146)=0,"",IF(A146="","Code manquant",IF(COUNTIF(cli_code,A146)&gt;1,"Code en double",IF(B146="","Nom manquant",IF(AND(p_country="Maroc",C146&lt;&gt;"Particulier",OR(F146="",F146="Maroc"),G146=""),"ICE manquant (client professionnel)",IF(AND(G146&lt;&gt;"",NOT(AND(LEN(G146&amp;"")=15,SUBSTITUTE(SUBSTITUTE(SUBSTITUTE(SUBSTITUTE(SUBSTITUTE(SUBSTITUTE(SUBSTITUTE(SUBSTITUTE(SUBSTITUTE(SUBSTITUTE(G146&amp;"","0",""),"1",""),"2",""),"3",""),"4",""),"5",""),"6",""),"7",""),"8",""),"9","")=""))),"ICE : 15 chiffres attendus",IF(AND(H146&lt;&gt;"",NOT(AND(LEN(H146&amp;"")=9,SUBSTITUTE(SUBSTITUTE(SUBSTITUTE(SUBSTITUTE(SUBSTITUTE(SUBSTITUTE(SUBSTITUTE(SUBSTITUTE(SUBSTITUTE(SUBSTITUTE(H146&amp;"","0",""),"1",""),"2",""),"3",""),"4",""),"5",""),"6",""),"7",""),"8",""),"9","")=""))),"SIREN : 9 chiffres attendus",IF(AND(M146&lt;&gt;"",OR(NOT(ISNUMBER(M146)),N(M146)&lt;0)),"Délai de paiement invalide","OK"))))))))</f>
        <v/>
      </c>
      <c r="Q146" s="62" t="str">
        <f>IF(A146="","",ROUND(SUMIFS(fa_ht,fa_client,A146,fa_year,db_year)*100,0))</f>
        <v/>
      </c>
      <c r="R146" s="62" t="str">
        <f>IF(N(Q146)&lt;=0,"",COUNTIF($Q$6:$Q$305,"&gt;"&amp;Q146)+COUNTIF($Q$6:Q146,Q146))</f>
        <v/>
      </c>
      <c r="S146" s="62" t="str">
        <f>IF(A146="","",ROUND(SUMIFS(fa_reste,fa_client,A146,fa_reste,"&gt;0")*100,0))</f>
        <v/>
      </c>
      <c r="T146" s="62" t="str">
        <f>IF(N(S146)&lt;=0,"",COUNTIF($S$6:$S$305,"&gt;"&amp;S146)+COUNTIF($S$6:S146,S146))</f>
        <v/>
      </c>
    </row>
    <row r="147">
      <c r="A147" s="60" t="n"/>
      <c r="B147" s="63" t="n"/>
      <c r="C147" s="60" t="n"/>
      <c r="D147" s="63" t="n"/>
      <c r="E147" s="63" t="n"/>
      <c r="F147" s="60" t="n"/>
      <c r="G147" s="143" t="n"/>
      <c r="H147" s="143" t="n"/>
      <c r="I147" s="63" t="n"/>
      <c r="J147" s="63" t="n"/>
      <c r="K147" s="63" t="n"/>
      <c r="L147" s="63" t="n"/>
      <c r="M147" s="144" t="n"/>
      <c r="N147" s="65" t="str">
        <f>IF(A147="","",SUMIF(fa_client,A147,fa_ht))</f>
        <v/>
      </c>
      <c r="O147" s="65" t="str">
        <f>IF(A147="","",SUMIF(fa_client,A147,fa_reste))</f>
        <v/>
      </c>
      <c r="P147" s="59" t="str">
        <f>IF(COUNTA(A147:M147)=0,"",IF(A147="","Code manquant",IF(COUNTIF(cli_code,A147)&gt;1,"Code en double",IF(B147="","Nom manquant",IF(AND(p_country="Maroc",C147&lt;&gt;"Particulier",OR(F147="",F147="Maroc"),G147=""),"ICE manquant (client professionnel)",IF(AND(G147&lt;&gt;"",NOT(AND(LEN(G147&amp;"")=15,SUBSTITUTE(SUBSTITUTE(SUBSTITUTE(SUBSTITUTE(SUBSTITUTE(SUBSTITUTE(SUBSTITUTE(SUBSTITUTE(SUBSTITUTE(SUBSTITUTE(G147&amp;"","0",""),"1",""),"2",""),"3",""),"4",""),"5",""),"6",""),"7",""),"8",""),"9","")=""))),"ICE : 15 chiffres attendus",IF(AND(H147&lt;&gt;"",NOT(AND(LEN(H147&amp;"")=9,SUBSTITUTE(SUBSTITUTE(SUBSTITUTE(SUBSTITUTE(SUBSTITUTE(SUBSTITUTE(SUBSTITUTE(SUBSTITUTE(SUBSTITUTE(SUBSTITUTE(H147&amp;"","0",""),"1",""),"2",""),"3",""),"4",""),"5",""),"6",""),"7",""),"8",""),"9","")=""))),"SIREN : 9 chiffres attendus",IF(AND(M147&lt;&gt;"",OR(NOT(ISNUMBER(M147)),N(M147)&lt;0)),"Délai de paiement invalide","OK"))))))))</f>
        <v/>
      </c>
      <c r="Q147" s="62" t="str">
        <f>IF(A147="","",ROUND(SUMIFS(fa_ht,fa_client,A147,fa_year,db_year)*100,0))</f>
        <v/>
      </c>
      <c r="R147" s="62" t="str">
        <f>IF(N(Q147)&lt;=0,"",COUNTIF($Q$6:$Q$305,"&gt;"&amp;Q147)+COUNTIF($Q$6:Q147,Q147))</f>
        <v/>
      </c>
      <c r="S147" s="62" t="str">
        <f>IF(A147="","",ROUND(SUMIFS(fa_reste,fa_client,A147,fa_reste,"&gt;0")*100,0))</f>
        <v/>
      </c>
      <c r="T147" s="62" t="str">
        <f>IF(N(S147)&lt;=0,"",COUNTIF($S$6:$S$305,"&gt;"&amp;S147)+COUNTIF($S$6:S147,S147))</f>
        <v/>
      </c>
    </row>
    <row r="148">
      <c r="A148" s="60" t="n"/>
      <c r="B148" s="63" t="n"/>
      <c r="C148" s="60" t="n"/>
      <c r="D148" s="63" t="n"/>
      <c r="E148" s="63" t="n"/>
      <c r="F148" s="60" t="n"/>
      <c r="G148" s="143" t="n"/>
      <c r="H148" s="143" t="n"/>
      <c r="I148" s="63" t="n"/>
      <c r="J148" s="63" t="n"/>
      <c r="K148" s="63" t="n"/>
      <c r="L148" s="63" t="n"/>
      <c r="M148" s="144" t="n"/>
      <c r="N148" s="65" t="str">
        <f>IF(A148="","",SUMIF(fa_client,A148,fa_ht))</f>
        <v/>
      </c>
      <c r="O148" s="65" t="str">
        <f>IF(A148="","",SUMIF(fa_client,A148,fa_reste))</f>
        <v/>
      </c>
      <c r="P148" s="59" t="str">
        <f>IF(COUNTA(A148:M148)=0,"",IF(A148="","Code manquant",IF(COUNTIF(cli_code,A148)&gt;1,"Code en double",IF(B148="","Nom manquant",IF(AND(p_country="Maroc",C148&lt;&gt;"Particulier",OR(F148="",F148="Maroc"),G148=""),"ICE manquant (client professionnel)",IF(AND(G148&lt;&gt;"",NOT(AND(LEN(G148&amp;"")=15,SUBSTITUTE(SUBSTITUTE(SUBSTITUTE(SUBSTITUTE(SUBSTITUTE(SUBSTITUTE(SUBSTITUTE(SUBSTITUTE(SUBSTITUTE(SUBSTITUTE(G148&amp;"","0",""),"1",""),"2",""),"3",""),"4",""),"5",""),"6",""),"7",""),"8",""),"9","")=""))),"ICE : 15 chiffres attendus",IF(AND(H148&lt;&gt;"",NOT(AND(LEN(H148&amp;"")=9,SUBSTITUTE(SUBSTITUTE(SUBSTITUTE(SUBSTITUTE(SUBSTITUTE(SUBSTITUTE(SUBSTITUTE(SUBSTITUTE(SUBSTITUTE(SUBSTITUTE(H148&amp;"","0",""),"1",""),"2",""),"3",""),"4",""),"5",""),"6",""),"7",""),"8",""),"9","")=""))),"SIREN : 9 chiffres attendus",IF(AND(M148&lt;&gt;"",OR(NOT(ISNUMBER(M148)),N(M148)&lt;0)),"Délai de paiement invalide","OK"))))))))</f>
        <v/>
      </c>
      <c r="Q148" s="62" t="str">
        <f>IF(A148="","",ROUND(SUMIFS(fa_ht,fa_client,A148,fa_year,db_year)*100,0))</f>
        <v/>
      </c>
      <c r="R148" s="62" t="str">
        <f>IF(N(Q148)&lt;=0,"",COUNTIF($Q$6:$Q$305,"&gt;"&amp;Q148)+COUNTIF($Q$6:Q148,Q148))</f>
        <v/>
      </c>
      <c r="S148" s="62" t="str">
        <f>IF(A148="","",ROUND(SUMIFS(fa_reste,fa_client,A148,fa_reste,"&gt;0")*100,0))</f>
        <v/>
      </c>
      <c r="T148" s="62" t="str">
        <f>IF(N(S148)&lt;=0,"",COUNTIF($S$6:$S$305,"&gt;"&amp;S148)+COUNTIF($S$6:S148,S148))</f>
        <v/>
      </c>
    </row>
    <row r="149">
      <c r="A149" s="60" t="n"/>
      <c r="B149" s="63" t="n"/>
      <c r="C149" s="60" t="n"/>
      <c r="D149" s="63" t="n"/>
      <c r="E149" s="63" t="n"/>
      <c r="F149" s="60" t="n"/>
      <c r="G149" s="143" t="n"/>
      <c r="H149" s="143" t="n"/>
      <c r="I149" s="63" t="n"/>
      <c r="J149" s="63" t="n"/>
      <c r="K149" s="63" t="n"/>
      <c r="L149" s="63" t="n"/>
      <c r="M149" s="144" t="n"/>
      <c r="N149" s="65" t="str">
        <f>IF(A149="","",SUMIF(fa_client,A149,fa_ht))</f>
        <v/>
      </c>
      <c r="O149" s="65" t="str">
        <f>IF(A149="","",SUMIF(fa_client,A149,fa_reste))</f>
        <v/>
      </c>
      <c r="P149" s="59" t="str">
        <f>IF(COUNTA(A149:M149)=0,"",IF(A149="","Code manquant",IF(COUNTIF(cli_code,A149)&gt;1,"Code en double",IF(B149="","Nom manquant",IF(AND(p_country="Maroc",C149&lt;&gt;"Particulier",OR(F149="",F149="Maroc"),G149=""),"ICE manquant (client professionnel)",IF(AND(G149&lt;&gt;"",NOT(AND(LEN(G149&amp;"")=15,SUBSTITUTE(SUBSTITUTE(SUBSTITUTE(SUBSTITUTE(SUBSTITUTE(SUBSTITUTE(SUBSTITUTE(SUBSTITUTE(SUBSTITUTE(SUBSTITUTE(G149&amp;"","0",""),"1",""),"2",""),"3",""),"4",""),"5",""),"6",""),"7",""),"8",""),"9","")=""))),"ICE : 15 chiffres attendus",IF(AND(H149&lt;&gt;"",NOT(AND(LEN(H149&amp;"")=9,SUBSTITUTE(SUBSTITUTE(SUBSTITUTE(SUBSTITUTE(SUBSTITUTE(SUBSTITUTE(SUBSTITUTE(SUBSTITUTE(SUBSTITUTE(SUBSTITUTE(H149&amp;"","0",""),"1",""),"2",""),"3",""),"4",""),"5",""),"6",""),"7",""),"8",""),"9","")=""))),"SIREN : 9 chiffres attendus",IF(AND(M149&lt;&gt;"",OR(NOT(ISNUMBER(M149)),N(M149)&lt;0)),"Délai de paiement invalide","OK"))))))))</f>
        <v/>
      </c>
      <c r="Q149" s="62" t="str">
        <f>IF(A149="","",ROUND(SUMIFS(fa_ht,fa_client,A149,fa_year,db_year)*100,0))</f>
        <v/>
      </c>
      <c r="R149" s="62" t="str">
        <f>IF(N(Q149)&lt;=0,"",COUNTIF($Q$6:$Q$305,"&gt;"&amp;Q149)+COUNTIF($Q$6:Q149,Q149))</f>
        <v/>
      </c>
      <c r="S149" s="62" t="str">
        <f>IF(A149="","",ROUND(SUMIFS(fa_reste,fa_client,A149,fa_reste,"&gt;0")*100,0))</f>
        <v/>
      </c>
      <c r="T149" s="62" t="str">
        <f>IF(N(S149)&lt;=0,"",COUNTIF($S$6:$S$305,"&gt;"&amp;S149)+COUNTIF($S$6:S149,S149))</f>
        <v/>
      </c>
    </row>
    <row r="150">
      <c r="A150" s="60" t="n"/>
      <c r="B150" s="63" t="n"/>
      <c r="C150" s="60" t="n"/>
      <c r="D150" s="63" t="n"/>
      <c r="E150" s="63" t="n"/>
      <c r="F150" s="60" t="n"/>
      <c r="G150" s="143" t="n"/>
      <c r="H150" s="143" t="n"/>
      <c r="I150" s="63" t="n"/>
      <c r="J150" s="63" t="n"/>
      <c r="K150" s="63" t="n"/>
      <c r="L150" s="63" t="n"/>
      <c r="M150" s="144" t="n"/>
      <c r="N150" s="65" t="str">
        <f>IF(A150="","",SUMIF(fa_client,A150,fa_ht))</f>
        <v/>
      </c>
      <c r="O150" s="65" t="str">
        <f>IF(A150="","",SUMIF(fa_client,A150,fa_reste))</f>
        <v/>
      </c>
      <c r="P150" s="59" t="str">
        <f>IF(COUNTA(A150:M150)=0,"",IF(A150="","Code manquant",IF(COUNTIF(cli_code,A150)&gt;1,"Code en double",IF(B150="","Nom manquant",IF(AND(p_country="Maroc",C150&lt;&gt;"Particulier",OR(F150="",F150="Maroc"),G150=""),"ICE manquant (client professionnel)",IF(AND(G150&lt;&gt;"",NOT(AND(LEN(G150&amp;"")=15,SUBSTITUTE(SUBSTITUTE(SUBSTITUTE(SUBSTITUTE(SUBSTITUTE(SUBSTITUTE(SUBSTITUTE(SUBSTITUTE(SUBSTITUTE(SUBSTITUTE(G150&amp;"","0",""),"1",""),"2",""),"3",""),"4",""),"5",""),"6",""),"7",""),"8",""),"9","")=""))),"ICE : 15 chiffres attendus",IF(AND(H150&lt;&gt;"",NOT(AND(LEN(H150&amp;"")=9,SUBSTITUTE(SUBSTITUTE(SUBSTITUTE(SUBSTITUTE(SUBSTITUTE(SUBSTITUTE(SUBSTITUTE(SUBSTITUTE(SUBSTITUTE(SUBSTITUTE(H150&amp;"","0",""),"1",""),"2",""),"3",""),"4",""),"5",""),"6",""),"7",""),"8",""),"9","")=""))),"SIREN : 9 chiffres attendus",IF(AND(M150&lt;&gt;"",OR(NOT(ISNUMBER(M150)),N(M150)&lt;0)),"Délai de paiement invalide","OK"))))))))</f>
        <v/>
      </c>
      <c r="Q150" s="62" t="str">
        <f>IF(A150="","",ROUND(SUMIFS(fa_ht,fa_client,A150,fa_year,db_year)*100,0))</f>
        <v/>
      </c>
      <c r="R150" s="62" t="str">
        <f>IF(N(Q150)&lt;=0,"",COUNTIF($Q$6:$Q$305,"&gt;"&amp;Q150)+COUNTIF($Q$6:Q150,Q150))</f>
        <v/>
      </c>
      <c r="S150" s="62" t="str">
        <f>IF(A150="","",ROUND(SUMIFS(fa_reste,fa_client,A150,fa_reste,"&gt;0")*100,0))</f>
        <v/>
      </c>
      <c r="T150" s="62" t="str">
        <f>IF(N(S150)&lt;=0,"",COUNTIF($S$6:$S$305,"&gt;"&amp;S150)+COUNTIF($S$6:S150,S150))</f>
        <v/>
      </c>
    </row>
    <row r="151">
      <c r="A151" s="60" t="n"/>
      <c r="B151" s="63" t="n"/>
      <c r="C151" s="60" t="n"/>
      <c r="D151" s="63" t="n"/>
      <c r="E151" s="63" t="n"/>
      <c r="F151" s="60" t="n"/>
      <c r="G151" s="143" t="n"/>
      <c r="H151" s="143" t="n"/>
      <c r="I151" s="63" t="n"/>
      <c r="J151" s="63" t="n"/>
      <c r="K151" s="63" t="n"/>
      <c r="L151" s="63" t="n"/>
      <c r="M151" s="144" t="n"/>
      <c r="N151" s="65" t="str">
        <f>IF(A151="","",SUMIF(fa_client,A151,fa_ht))</f>
        <v/>
      </c>
      <c r="O151" s="65" t="str">
        <f>IF(A151="","",SUMIF(fa_client,A151,fa_reste))</f>
        <v/>
      </c>
      <c r="P151" s="59" t="str">
        <f>IF(COUNTA(A151:M151)=0,"",IF(A151="","Code manquant",IF(COUNTIF(cli_code,A151)&gt;1,"Code en double",IF(B151="","Nom manquant",IF(AND(p_country="Maroc",C151&lt;&gt;"Particulier",OR(F151="",F151="Maroc"),G151=""),"ICE manquant (client professionnel)",IF(AND(G151&lt;&gt;"",NOT(AND(LEN(G151&amp;"")=15,SUBSTITUTE(SUBSTITUTE(SUBSTITUTE(SUBSTITUTE(SUBSTITUTE(SUBSTITUTE(SUBSTITUTE(SUBSTITUTE(SUBSTITUTE(SUBSTITUTE(G151&amp;"","0",""),"1",""),"2",""),"3",""),"4",""),"5",""),"6",""),"7",""),"8",""),"9","")=""))),"ICE : 15 chiffres attendus",IF(AND(H151&lt;&gt;"",NOT(AND(LEN(H151&amp;"")=9,SUBSTITUTE(SUBSTITUTE(SUBSTITUTE(SUBSTITUTE(SUBSTITUTE(SUBSTITUTE(SUBSTITUTE(SUBSTITUTE(SUBSTITUTE(SUBSTITUTE(H151&amp;"","0",""),"1",""),"2",""),"3",""),"4",""),"5",""),"6",""),"7",""),"8",""),"9","")=""))),"SIREN : 9 chiffres attendus",IF(AND(M151&lt;&gt;"",OR(NOT(ISNUMBER(M151)),N(M151)&lt;0)),"Délai de paiement invalide","OK"))))))))</f>
        <v/>
      </c>
      <c r="Q151" s="62" t="str">
        <f>IF(A151="","",ROUND(SUMIFS(fa_ht,fa_client,A151,fa_year,db_year)*100,0))</f>
        <v/>
      </c>
      <c r="R151" s="62" t="str">
        <f>IF(N(Q151)&lt;=0,"",COUNTIF($Q$6:$Q$305,"&gt;"&amp;Q151)+COUNTIF($Q$6:Q151,Q151))</f>
        <v/>
      </c>
      <c r="S151" s="62" t="str">
        <f>IF(A151="","",ROUND(SUMIFS(fa_reste,fa_client,A151,fa_reste,"&gt;0")*100,0))</f>
        <v/>
      </c>
      <c r="T151" s="62" t="str">
        <f>IF(N(S151)&lt;=0,"",COUNTIF($S$6:$S$305,"&gt;"&amp;S151)+COUNTIF($S$6:S151,S151))</f>
        <v/>
      </c>
    </row>
    <row r="152">
      <c r="A152" s="60" t="n"/>
      <c r="B152" s="63" t="n"/>
      <c r="C152" s="60" t="n"/>
      <c r="D152" s="63" t="n"/>
      <c r="E152" s="63" t="n"/>
      <c r="F152" s="60" t="n"/>
      <c r="G152" s="143" t="n"/>
      <c r="H152" s="143" t="n"/>
      <c r="I152" s="63" t="n"/>
      <c r="J152" s="63" t="n"/>
      <c r="K152" s="63" t="n"/>
      <c r="L152" s="63" t="n"/>
      <c r="M152" s="144" t="n"/>
      <c r="N152" s="65" t="str">
        <f>IF(A152="","",SUMIF(fa_client,A152,fa_ht))</f>
        <v/>
      </c>
      <c r="O152" s="65" t="str">
        <f>IF(A152="","",SUMIF(fa_client,A152,fa_reste))</f>
        <v/>
      </c>
      <c r="P152" s="59" t="str">
        <f>IF(COUNTA(A152:M152)=0,"",IF(A152="","Code manquant",IF(COUNTIF(cli_code,A152)&gt;1,"Code en double",IF(B152="","Nom manquant",IF(AND(p_country="Maroc",C152&lt;&gt;"Particulier",OR(F152="",F152="Maroc"),G152=""),"ICE manquant (client professionnel)",IF(AND(G152&lt;&gt;"",NOT(AND(LEN(G152&amp;"")=15,SUBSTITUTE(SUBSTITUTE(SUBSTITUTE(SUBSTITUTE(SUBSTITUTE(SUBSTITUTE(SUBSTITUTE(SUBSTITUTE(SUBSTITUTE(SUBSTITUTE(G152&amp;"","0",""),"1",""),"2",""),"3",""),"4",""),"5",""),"6",""),"7",""),"8",""),"9","")=""))),"ICE : 15 chiffres attendus",IF(AND(H152&lt;&gt;"",NOT(AND(LEN(H152&amp;"")=9,SUBSTITUTE(SUBSTITUTE(SUBSTITUTE(SUBSTITUTE(SUBSTITUTE(SUBSTITUTE(SUBSTITUTE(SUBSTITUTE(SUBSTITUTE(SUBSTITUTE(H152&amp;"","0",""),"1",""),"2",""),"3",""),"4",""),"5",""),"6",""),"7",""),"8",""),"9","")=""))),"SIREN : 9 chiffres attendus",IF(AND(M152&lt;&gt;"",OR(NOT(ISNUMBER(M152)),N(M152)&lt;0)),"Délai de paiement invalide","OK"))))))))</f>
        <v/>
      </c>
      <c r="Q152" s="62" t="str">
        <f>IF(A152="","",ROUND(SUMIFS(fa_ht,fa_client,A152,fa_year,db_year)*100,0))</f>
        <v/>
      </c>
      <c r="R152" s="62" t="str">
        <f>IF(N(Q152)&lt;=0,"",COUNTIF($Q$6:$Q$305,"&gt;"&amp;Q152)+COUNTIF($Q$6:Q152,Q152))</f>
        <v/>
      </c>
      <c r="S152" s="62" t="str">
        <f>IF(A152="","",ROUND(SUMIFS(fa_reste,fa_client,A152,fa_reste,"&gt;0")*100,0))</f>
        <v/>
      </c>
      <c r="T152" s="62" t="str">
        <f>IF(N(S152)&lt;=0,"",COUNTIF($S$6:$S$305,"&gt;"&amp;S152)+COUNTIF($S$6:S152,S152))</f>
        <v/>
      </c>
    </row>
    <row r="153">
      <c r="A153" s="60" t="n"/>
      <c r="B153" s="63" t="n"/>
      <c r="C153" s="60" t="n"/>
      <c r="D153" s="63" t="n"/>
      <c r="E153" s="63" t="n"/>
      <c r="F153" s="60" t="n"/>
      <c r="G153" s="143" t="n"/>
      <c r="H153" s="143" t="n"/>
      <c r="I153" s="63" t="n"/>
      <c r="J153" s="63" t="n"/>
      <c r="K153" s="63" t="n"/>
      <c r="L153" s="63" t="n"/>
      <c r="M153" s="144" t="n"/>
      <c r="N153" s="65" t="str">
        <f>IF(A153="","",SUMIF(fa_client,A153,fa_ht))</f>
        <v/>
      </c>
      <c r="O153" s="65" t="str">
        <f>IF(A153="","",SUMIF(fa_client,A153,fa_reste))</f>
        <v/>
      </c>
      <c r="P153" s="59" t="str">
        <f>IF(COUNTA(A153:M153)=0,"",IF(A153="","Code manquant",IF(COUNTIF(cli_code,A153)&gt;1,"Code en double",IF(B153="","Nom manquant",IF(AND(p_country="Maroc",C153&lt;&gt;"Particulier",OR(F153="",F153="Maroc"),G153=""),"ICE manquant (client professionnel)",IF(AND(G153&lt;&gt;"",NOT(AND(LEN(G153&amp;"")=15,SUBSTITUTE(SUBSTITUTE(SUBSTITUTE(SUBSTITUTE(SUBSTITUTE(SUBSTITUTE(SUBSTITUTE(SUBSTITUTE(SUBSTITUTE(SUBSTITUTE(G153&amp;"","0",""),"1",""),"2",""),"3",""),"4",""),"5",""),"6",""),"7",""),"8",""),"9","")=""))),"ICE : 15 chiffres attendus",IF(AND(H153&lt;&gt;"",NOT(AND(LEN(H153&amp;"")=9,SUBSTITUTE(SUBSTITUTE(SUBSTITUTE(SUBSTITUTE(SUBSTITUTE(SUBSTITUTE(SUBSTITUTE(SUBSTITUTE(SUBSTITUTE(SUBSTITUTE(H153&amp;"","0",""),"1",""),"2",""),"3",""),"4",""),"5",""),"6",""),"7",""),"8",""),"9","")=""))),"SIREN : 9 chiffres attendus",IF(AND(M153&lt;&gt;"",OR(NOT(ISNUMBER(M153)),N(M153)&lt;0)),"Délai de paiement invalide","OK"))))))))</f>
        <v/>
      </c>
      <c r="Q153" s="62" t="str">
        <f>IF(A153="","",ROUND(SUMIFS(fa_ht,fa_client,A153,fa_year,db_year)*100,0))</f>
        <v/>
      </c>
      <c r="R153" s="62" t="str">
        <f>IF(N(Q153)&lt;=0,"",COUNTIF($Q$6:$Q$305,"&gt;"&amp;Q153)+COUNTIF($Q$6:Q153,Q153))</f>
        <v/>
      </c>
      <c r="S153" s="62" t="str">
        <f>IF(A153="","",ROUND(SUMIFS(fa_reste,fa_client,A153,fa_reste,"&gt;0")*100,0))</f>
        <v/>
      </c>
      <c r="T153" s="62" t="str">
        <f>IF(N(S153)&lt;=0,"",COUNTIF($S$6:$S$305,"&gt;"&amp;S153)+COUNTIF($S$6:S153,S153))</f>
        <v/>
      </c>
    </row>
    <row r="154">
      <c r="A154" s="60" t="n"/>
      <c r="B154" s="63" t="n"/>
      <c r="C154" s="60" t="n"/>
      <c r="D154" s="63" t="n"/>
      <c r="E154" s="63" t="n"/>
      <c r="F154" s="60" t="n"/>
      <c r="G154" s="143" t="n"/>
      <c r="H154" s="143" t="n"/>
      <c r="I154" s="63" t="n"/>
      <c r="J154" s="63" t="n"/>
      <c r="K154" s="63" t="n"/>
      <c r="L154" s="63" t="n"/>
      <c r="M154" s="144" t="n"/>
      <c r="N154" s="65" t="str">
        <f>IF(A154="","",SUMIF(fa_client,A154,fa_ht))</f>
        <v/>
      </c>
      <c r="O154" s="65" t="str">
        <f>IF(A154="","",SUMIF(fa_client,A154,fa_reste))</f>
        <v/>
      </c>
      <c r="P154" s="59" t="str">
        <f>IF(COUNTA(A154:M154)=0,"",IF(A154="","Code manquant",IF(COUNTIF(cli_code,A154)&gt;1,"Code en double",IF(B154="","Nom manquant",IF(AND(p_country="Maroc",C154&lt;&gt;"Particulier",OR(F154="",F154="Maroc"),G154=""),"ICE manquant (client professionnel)",IF(AND(G154&lt;&gt;"",NOT(AND(LEN(G154&amp;"")=15,SUBSTITUTE(SUBSTITUTE(SUBSTITUTE(SUBSTITUTE(SUBSTITUTE(SUBSTITUTE(SUBSTITUTE(SUBSTITUTE(SUBSTITUTE(SUBSTITUTE(G154&amp;"","0",""),"1",""),"2",""),"3",""),"4",""),"5",""),"6",""),"7",""),"8",""),"9","")=""))),"ICE : 15 chiffres attendus",IF(AND(H154&lt;&gt;"",NOT(AND(LEN(H154&amp;"")=9,SUBSTITUTE(SUBSTITUTE(SUBSTITUTE(SUBSTITUTE(SUBSTITUTE(SUBSTITUTE(SUBSTITUTE(SUBSTITUTE(SUBSTITUTE(SUBSTITUTE(H154&amp;"","0",""),"1",""),"2",""),"3",""),"4",""),"5",""),"6",""),"7",""),"8",""),"9","")=""))),"SIREN : 9 chiffres attendus",IF(AND(M154&lt;&gt;"",OR(NOT(ISNUMBER(M154)),N(M154)&lt;0)),"Délai de paiement invalide","OK"))))))))</f>
        <v/>
      </c>
      <c r="Q154" s="62" t="str">
        <f>IF(A154="","",ROUND(SUMIFS(fa_ht,fa_client,A154,fa_year,db_year)*100,0))</f>
        <v/>
      </c>
      <c r="R154" s="62" t="str">
        <f>IF(N(Q154)&lt;=0,"",COUNTIF($Q$6:$Q$305,"&gt;"&amp;Q154)+COUNTIF($Q$6:Q154,Q154))</f>
        <v/>
      </c>
      <c r="S154" s="62" t="str">
        <f>IF(A154="","",ROUND(SUMIFS(fa_reste,fa_client,A154,fa_reste,"&gt;0")*100,0))</f>
        <v/>
      </c>
      <c r="T154" s="62" t="str">
        <f>IF(N(S154)&lt;=0,"",COUNTIF($S$6:$S$305,"&gt;"&amp;S154)+COUNTIF($S$6:S154,S154))</f>
        <v/>
      </c>
    </row>
    <row r="155">
      <c r="A155" s="60" t="n"/>
      <c r="B155" s="63" t="n"/>
      <c r="C155" s="60" t="n"/>
      <c r="D155" s="63" t="n"/>
      <c r="E155" s="63" t="n"/>
      <c r="F155" s="60" t="n"/>
      <c r="G155" s="143" t="n"/>
      <c r="H155" s="143" t="n"/>
      <c r="I155" s="63" t="n"/>
      <c r="J155" s="63" t="n"/>
      <c r="K155" s="63" t="n"/>
      <c r="L155" s="63" t="n"/>
      <c r="M155" s="144" t="n"/>
      <c r="N155" s="65" t="str">
        <f>IF(A155="","",SUMIF(fa_client,A155,fa_ht))</f>
        <v/>
      </c>
      <c r="O155" s="65" t="str">
        <f>IF(A155="","",SUMIF(fa_client,A155,fa_reste))</f>
        <v/>
      </c>
      <c r="P155" s="59" t="str">
        <f>IF(COUNTA(A155:M155)=0,"",IF(A155="","Code manquant",IF(COUNTIF(cli_code,A155)&gt;1,"Code en double",IF(B155="","Nom manquant",IF(AND(p_country="Maroc",C155&lt;&gt;"Particulier",OR(F155="",F155="Maroc"),G155=""),"ICE manquant (client professionnel)",IF(AND(G155&lt;&gt;"",NOT(AND(LEN(G155&amp;"")=15,SUBSTITUTE(SUBSTITUTE(SUBSTITUTE(SUBSTITUTE(SUBSTITUTE(SUBSTITUTE(SUBSTITUTE(SUBSTITUTE(SUBSTITUTE(SUBSTITUTE(G155&amp;"","0",""),"1",""),"2",""),"3",""),"4",""),"5",""),"6",""),"7",""),"8",""),"9","")=""))),"ICE : 15 chiffres attendus",IF(AND(H155&lt;&gt;"",NOT(AND(LEN(H155&amp;"")=9,SUBSTITUTE(SUBSTITUTE(SUBSTITUTE(SUBSTITUTE(SUBSTITUTE(SUBSTITUTE(SUBSTITUTE(SUBSTITUTE(SUBSTITUTE(SUBSTITUTE(H155&amp;"","0",""),"1",""),"2",""),"3",""),"4",""),"5",""),"6",""),"7",""),"8",""),"9","")=""))),"SIREN : 9 chiffres attendus",IF(AND(M155&lt;&gt;"",OR(NOT(ISNUMBER(M155)),N(M155)&lt;0)),"Délai de paiement invalide","OK"))))))))</f>
        <v/>
      </c>
      <c r="Q155" s="62" t="str">
        <f>IF(A155="","",ROUND(SUMIFS(fa_ht,fa_client,A155,fa_year,db_year)*100,0))</f>
        <v/>
      </c>
      <c r="R155" s="62" t="str">
        <f>IF(N(Q155)&lt;=0,"",COUNTIF($Q$6:$Q$305,"&gt;"&amp;Q155)+COUNTIF($Q$6:Q155,Q155))</f>
        <v/>
      </c>
      <c r="S155" s="62" t="str">
        <f>IF(A155="","",ROUND(SUMIFS(fa_reste,fa_client,A155,fa_reste,"&gt;0")*100,0))</f>
        <v/>
      </c>
      <c r="T155" s="62" t="str">
        <f>IF(N(S155)&lt;=0,"",COUNTIF($S$6:$S$305,"&gt;"&amp;S155)+COUNTIF($S$6:S155,S155))</f>
        <v/>
      </c>
    </row>
    <row r="156">
      <c r="A156" s="60" t="n"/>
      <c r="B156" s="63" t="n"/>
      <c r="C156" s="60" t="n"/>
      <c r="D156" s="63" t="n"/>
      <c r="E156" s="63" t="n"/>
      <c r="F156" s="60" t="n"/>
      <c r="G156" s="143" t="n"/>
      <c r="H156" s="143" t="n"/>
      <c r="I156" s="63" t="n"/>
      <c r="J156" s="63" t="n"/>
      <c r="K156" s="63" t="n"/>
      <c r="L156" s="63" t="n"/>
      <c r="M156" s="144" t="n"/>
      <c r="N156" s="65" t="str">
        <f>IF(A156="","",SUMIF(fa_client,A156,fa_ht))</f>
        <v/>
      </c>
      <c r="O156" s="65" t="str">
        <f>IF(A156="","",SUMIF(fa_client,A156,fa_reste))</f>
        <v/>
      </c>
      <c r="P156" s="59" t="str">
        <f>IF(COUNTA(A156:M156)=0,"",IF(A156="","Code manquant",IF(COUNTIF(cli_code,A156)&gt;1,"Code en double",IF(B156="","Nom manquant",IF(AND(p_country="Maroc",C156&lt;&gt;"Particulier",OR(F156="",F156="Maroc"),G156=""),"ICE manquant (client professionnel)",IF(AND(G156&lt;&gt;"",NOT(AND(LEN(G156&amp;"")=15,SUBSTITUTE(SUBSTITUTE(SUBSTITUTE(SUBSTITUTE(SUBSTITUTE(SUBSTITUTE(SUBSTITUTE(SUBSTITUTE(SUBSTITUTE(SUBSTITUTE(G156&amp;"","0",""),"1",""),"2",""),"3",""),"4",""),"5",""),"6",""),"7",""),"8",""),"9","")=""))),"ICE : 15 chiffres attendus",IF(AND(H156&lt;&gt;"",NOT(AND(LEN(H156&amp;"")=9,SUBSTITUTE(SUBSTITUTE(SUBSTITUTE(SUBSTITUTE(SUBSTITUTE(SUBSTITUTE(SUBSTITUTE(SUBSTITUTE(SUBSTITUTE(SUBSTITUTE(H156&amp;"","0",""),"1",""),"2",""),"3",""),"4",""),"5",""),"6",""),"7",""),"8",""),"9","")=""))),"SIREN : 9 chiffres attendus",IF(AND(M156&lt;&gt;"",OR(NOT(ISNUMBER(M156)),N(M156)&lt;0)),"Délai de paiement invalide","OK"))))))))</f>
        <v/>
      </c>
      <c r="Q156" s="62" t="str">
        <f>IF(A156="","",ROUND(SUMIFS(fa_ht,fa_client,A156,fa_year,db_year)*100,0))</f>
        <v/>
      </c>
      <c r="R156" s="62" t="str">
        <f>IF(N(Q156)&lt;=0,"",COUNTIF($Q$6:$Q$305,"&gt;"&amp;Q156)+COUNTIF($Q$6:Q156,Q156))</f>
        <v/>
      </c>
      <c r="S156" s="62" t="str">
        <f>IF(A156="","",ROUND(SUMIFS(fa_reste,fa_client,A156,fa_reste,"&gt;0")*100,0))</f>
        <v/>
      </c>
      <c r="T156" s="62" t="str">
        <f>IF(N(S156)&lt;=0,"",COUNTIF($S$6:$S$305,"&gt;"&amp;S156)+COUNTIF($S$6:S156,S156))</f>
        <v/>
      </c>
    </row>
    <row r="157">
      <c r="A157" s="60" t="n"/>
      <c r="B157" s="63" t="n"/>
      <c r="C157" s="60" t="n"/>
      <c r="D157" s="63" t="n"/>
      <c r="E157" s="63" t="n"/>
      <c r="F157" s="60" t="n"/>
      <c r="G157" s="143" t="n"/>
      <c r="H157" s="143" t="n"/>
      <c r="I157" s="63" t="n"/>
      <c r="J157" s="63" t="n"/>
      <c r="K157" s="63" t="n"/>
      <c r="L157" s="63" t="n"/>
      <c r="M157" s="144" t="n"/>
      <c r="N157" s="65" t="str">
        <f>IF(A157="","",SUMIF(fa_client,A157,fa_ht))</f>
        <v/>
      </c>
      <c r="O157" s="65" t="str">
        <f>IF(A157="","",SUMIF(fa_client,A157,fa_reste))</f>
        <v/>
      </c>
      <c r="P157" s="59" t="str">
        <f>IF(COUNTA(A157:M157)=0,"",IF(A157="","Code manquant",IF(COUNTIF(cli_code,A157)&gt;1,"Code en double",IF(B157="","Nom manquant",IF(AND(p_country="Maroc",C157&lt;&gt;"Particulier",OR(F157="",F157="Maroc"),G157=""),"ICE manquant (client professionnel)",IF(AND(G157&lt;&gt;"",NOT(AND(LEN(G157&amp;"")=15,SUBSTITUTE(SUBSTITUTE(SUBSTITUTE(SUBSTITUTE(SUBSTITUTE(SUBSTITUTE(SUBSTITUTE(SUBSTITUTE(SUBSTITUTE(SUBSTITUTE(G157&amp;"","0",""),"1",""),"2",""),"3",""),"4",""),"5",""),"6",""),"7",""),"8",""),"9","")=""))),"ICE : 15 chiffres attendus",IF(AND(H157&lt;&gt;"",NOT(AND(LEN(H157&amp;"")=9,SUBSTITUTE(SUBSTITUTE(SUBSTITUTE(SUBSTITUTE(SUBSTITUTE(SUBSTITUTE(SUBSTITUTE(SUBSTITUTE(SUBSTITUTE(SUBSTITUTE(H157&amp;"","0",""),"1",""),"2",""),"3",""),"4",""),"5",""),"6",""),"7",""),"8",""),"9","")=""))),"SIREN : 9 chiffres attendus",IF(AND(M157&lt;&gt;"",OR(NOT(ISNUMBER(M157)),N(M157)&lt;0)),"Délai de paiement invalide","OK"))))))))</f>
        <v/>
      </c>
      <c r="Q157" s="62" t="str">
        <f>IF(A157="","",ROUND(SUMIFS(fa_ht,fa_client,A157,fa_year,db_year)*100,0))</f>
        <v/>
      </c>
      <c r="R157" s="62" t="str">
        <f>IF(N(Q157)&lt;=0,"",COUNTIF($Q$6:$Q$305,"&gt;"&amp;Q157)+COUNTIF($Q$6:Q157,Q157))</f>
        <v/>
      </c>
      <c r="S157" s="62" t="str">
        <f>IF(A157="","",ROUND(SUMIFS(fa_reste,fa_client,A157,fa_reste,"&gt;0")*100,0))</f>
        <v/>
      </c>
      <c r="T157" s="62" t="str">
        <f>IF(N(S157)&lt;=0,"",COUNTIF($S$6:$S$305,"&gt;"&amp;S157)+COUNTIF($S$6:S157,S157))</f>
        <v/>
      </c>
    </row>
    <row r="158">
      <c r="A158" s="60" t="n"/>
      <c r="B158" s="63" t="n"/>
      <c r="C158" s="60" t="n"/>
      <c r="D158" s="63" t="n"/>
      <c r="E158" s="63" t="n"/>
      <c r="F158" s="60" t="n"/>
      <c r="G158" s="143" t="n"/>
      <c r="H158" s="143" t="n"/>
      <c r="I158" s="63" t="n"/>
      <c r="J158" s="63" t="n"/>
      <c r="K158" s="63" t="n"/>
      <c r="L158" s="63" t="n"/>
      <c r="M158" s="144" t="n"/>
      <c r="N158" s="65" t="str">
        <f>IF(A158="","",SUMIF(fa_client,A158,fa_ht))</f>
        <v/>
      </c>
      <c r="O158" s="65" t="str">
        <f>IF(A158="","",SUMIF(fa_client,A158,fa_reste))</f>
        <v/>
      </c>
      <c r="P158" s="59" t="str">
        <f>IF(COUNTA(A158:M158)=0,"",IF(A158="","Code manquant",IF(COUNTIF(cli_code,A158)&gt;1,"Code en double",IF(B158="","Nom manquant",IF(AND(p_country="Maroc",C158&lt;&gt;"Particulier",OR(F158="",F158="Maroc"),G158=""),"ICE manquant (client professionnel)",IF(AND(G158&lt;&gt;"",NOT(AND(LEN(G158&amp;"")=15,SUBSTITUTE(SUBSTITUTE(SUBSTITUTE(SUBSTITUTE(SUBSTITUTE(SUBSTITUTE(SUBSTITUTE(SUBSTITUTE(SUBSTITUTE(SUBSTITUTE(G158&amp;"","0",""),"1",""),"2",""),"3",""),"4",""),"5",""),"6",""),"7",""),"8",""),"9","")=""))),"ICE : 15 chiffres attendus",IF(AND(H158&lt;&gt;"",NOT(AND(LEN(H158&amp;"")=9,SUBSTITUTE(SUBSTITUTE(SUBSTITUTE(SUBSTITUTE(SUBSTITUTE(SUBSTITUTE(SUBSTITUTE(SUBSTITUTE(SUBSTITUTE(SUBSTITUTE(H158&amp;"","0",""),"1",""),"2",""),"3",""),"4",""),"5",""),"6",""),"7",""),"8",""),"9","")=""))),"SIREN : 9 chiffres attendus",IF(AND(M158&lt;&gt;"",OR(NOT(ISNUMBER(M158)),N(M158)&lt;0)),"Délai de paiement invalide","OK"))))))))</f>
        <v/>
      </c>
      <c r="Q158" s="62" t="str">
        <f>IF(A158="","",ROUND(SUMIFS(fa_ht,fa_client,A158,fa_year,db_year)*100,0))</f>
        <v/>
      </c>
      <c r="R158" s="62" t="str">
        <f>IF(N(Q158)&lt;=0,"",COUNTIF($Q$6:$Q$305,"&gt;"&amp;Q158)+COUNTIF($Q$6:Q158,Q158))</f>
        <v/>
      </c>
      <c r="S158" s="62" t="str">
        <f>IF(A158="","",ROUND(SUMIFS(fa_reste,fa_client,A158,fa_reste,"&gt;0")*100,0))</f>
        <v/>
      </c>
      <c r="T158" s="62" t="str">
        <f>IF(N(S158)&lt;=0,"",COUNTIF($S$6:$S$305,"&gt;"&amp;S158)+COUNTIF($S$6:S158,S158))</f>
        <v/>
      </c>
    </row>
    <row r="159">
      <c r="A159" s="60" t="n"/>
      <c r="B159" s="63" t="n"/>
      <c r="C159" s="60" t="n"/>
      <c r="D159" s="63" t="n"/>
      <c r="E159" s="63" t="n"/>
      <c r="F159" s="60" t="n"/>
      <c r="G159" s="143" t="n"/>
      <c r="H159" s="143" t="n"/>
      <c r="I159" s="63" t="n"/>
      <c r="J159" s="63" t="n"/>
      <c r="K159" s="63" t="n"/>
      <c r="L159" s="63" t="n"/>
      <c r="M159" s="144" t="n"/>
      <c r="N159" s="65" t="str">
        <f>IF(A159="","",SUMIF(fa_client,A159,fa_ht))</f>
        <v/>
      </c>
      <c r="O159" s="65" t="str">
        <f>IF(A159="","",SUMIF(fa_client,A159,fa_reste))</f>
        <v/>
      </c>
      <c r="P159" s="59" t="str">
        <f>IF(COUNTA(A159:M159)=0,"",IF(A159="","Code manquant",IF(COUNTIF(cli_code,A159)&gt;1,"Code en double",IF(B159="","Nom manquant",IF(AND(p_country="Maroc",C159&lt;&gt;"Particulier",OR(F159="",F159="Maroc"),G159=""),"ICE manquant (client professionnel)",IF(AND(G159&lt;&gt;"",NOT(AND(LEN(G159&amp;"")=15,SUBSTITUTE(SUBSTITUTE(SUBSTITUTE(SUBSTITUTE(SUBSTITUTE(SUBSTITUTE(SUBSTITUTE(SUBSTITUTE(SUBSTITUTE(SUBSTITUTE(G159&amp;"","0",""),"1",""),"2",""),"3",""),"4",""),"5",""),"6",""),"7",""),"8",""),"9","")=""))),"ICE : 15 chiffres attendus",IF(AND(H159&lt;&gt;"",NOT(AND(LEN(H159&amp;"")=9,SUBSTITUTE(SUBSTITUTE(SUBSTITUTE(SUBSTITUTE(SUBSTITUTE(SUBSTITUTE(SUBSTITUTE(SUBSTITUTE(SUBSTITUTE(SUBSTITUTE(H159&amp;"","0",""),"1",""),"2",""),"3",""),"4",""),"5",""),"6",""),"7",""),"8",""),"9","")=""))),"SIREN : 9 chiffres attendus",IF(AND(M159&lt;&gt;"",OR(NOT(ISNUMBER(M159)),N(M159)&lt;0)),"Délai de paiement invalide","OK"))))))))</f>
        <v/>
      </c>
      <c r="Q159" s="62" t="str">
        <f>IF(A159="","",ROUND(SUMIFS(fa_ht,fa_client,A159,fa_year,db_year)*100,0))</f>
        <v/>
      </c>
      <c r="R159" s="62" t="str">
        <f>IF(N(Q159)&lt;=0,"",COUNTIF($Q$6:$Q$305,"&gt;"&amp;Q159)+COUNTIF($Q$6:Q159,Q159))</f>
        <v/>
      </c>
      <c r="S159" s="62" t="str">
        <f>IF(A159="","",ROUND(SUMIFS(fa_reste,fa_client,A159,fa_reste,"&gt;0")*100,0))</f>
        <v/>
      </c>
      <c r="T159" s="62" t="str">
        <f>IF(N(S159)&lt;=0,"",COUNTIF($S$6:$S$305,"&gt;"&amp;S159)+COUNTIF($S$6:S159,S159))</f>
        <v/>
      </c>
    </row>
    <row r="160">
      <c r="A160" s="60" t="n"/>
      <c r="B160" s="63" t="n"/>
      <c r="C160" s="60" t="n"/>
      <c r="D160" s="63" t="n"/>
      <c r="E160" s="63" t="n"/>
      <c r="F160" s="60" t="n"/>
      <c r="G160" s="143" t="n"/>
      <c r="H160" s="143" t="n"/>
      <c r="I160" s="63" t="n"/>
      <c r="J160" s="63" t="n"/>
      <c r="K160" s="63" t="n"/>
      <c r="L160" s="63" t="n"/>
      <c r="M160" s="144" t="n"/>
      <c r="N160" s="65" t="str">
        <f>IF(A160="","",SUMIF(fa_client,A160,fa_ht))</f>
        <v/>
      </c>
      <c r="O160" s="65" t="str">
        <f>IF(A160="","",SUMIF(fa_client,A160,fa_reste))</f>
        <v/>
      </c>
      <c r="P160" s="59" t="str">
        <f>IF(COUNTA(A160:M160)=0,"",IF(A160="","Code manquant",IF(COUNTIF(cli_code,A160)&gt;1,"Code en double",IF(B160="","Nom manquant",IF(AND(p_country="Maroc",C160&lt;&gt;"Particulier",OR(F160="",F160="Maroc"),G160=""),"ICE manquant (client professionnel)",IF(AND(G160&lt;&gt;"",NOT(AND(LEN(G160&amp;"")=15,SUBSTITUTE(SUBSTITUTE(SUBSTITUTE(SUBSTITUTE(SUBSTITUTE(SUBSTITUTE(SUBSTITUTE(SUBSTITUTE(SUBSTITUTE(SUBSTITUTE(G160&amp;"","0",""),"1",""),"2",""),"3",""),"4",""),"5",""),"6",""),"7",""),"8",""),"9","")=""))),"ICE : 15 chiffres attendus",IF(AND(H160&lt;&gt;"",NOT(AND(LEN(H160&amp;"")=9,SUBSTITUTE(SUBSTITUTE(SUBSTITUTE(SUBSTITUTE(SUBSTITUTE(SUBSTITUTE(SUBSTITUTE(SUBSTITUTE(SUBSTITUTE(SUBSTITUTE(H160&amp;"","0",""),"1",""),"2",""),"3",""),"4",""),"5",""),"6",""),"7",""),"8",""),"9","")=""))),"SIREN : 9 chiffres attendus",IF(AND(M160&lt;&gt;"",OR(NOT(ISNUMBER(M160)),N(M160)&lt;0)),"Délai de paiement invalide","OK"))))))))</f>
        <v/>
      </c>
      <c r="Q160" s="62" t="str">
        <f>IF(A160="","",ROUND(SUMIFS(fa_ht,fa_client,A160,fa_year,db_year)*100,0))</f>
        <v/>
      </c>
      <c r="R160" s="62" t="str">
        <f>IF(N(Q160)&lt;=0,"",COUNTIF($Q$6:$Q$305,"&gt;"&amp;Q160)+COUNTIF($Q$6:Q160,Q160))</f>
        <v/>
      </c>
      <c r="S160" s="62" t="str">
        <f>IF(A160="","",ROUND(SUMIFS(fa_reste,fa_client,A160,fa_reste,"&gt;0")*100,0))</f>
        <v/>
      </c>
      <c r="T160" s="62" t="str">
        <f>IF(N(S160)&lt;=0,"",COUNTIF($S$6:$S$305,"&gt;"&amp;S160)+COUNTIF($S$6:S160,S160))</f>
        <v/>
      </c>
    </row>
    <row r="161">
      <c r="A161" s="60" t="n"/>
      <c r="B161" s="63" t="n"/>
      <c r="C161" s="60" t="n"/>
      <c r="D161" s="63" t="n"/>
      <c r="E161" s="63" t="n"/>
      <c r="F161" s="60" t="n"/>
      <c r="G161" s="143" t="n"/>
      <c r="H161" s="143" t="n"/>
      <c r="I161" s="63" t="n"/>
      <c r="J161" s="63" t="n"/>
      <c r="K161" s="63" t="n"/>
      <c r="L161" s="63" t="n"/>
      <c r="M161" s="144" t="n"/>
      <c r="N161" s="65" t="str">
        <f>IF(A161="","",SUMIF(fa_client,A161,fa_ht))</f>
        <v/>
      </c>
      <c r="O161" s="65" t="str">
        <f>IF(A161="","",SUMIF(fa_client,A161,fa_reste))</f>
        <v/>
      </c>
      <c r="P161" s="59" t="str">
        <f>IF(COUNTA(A161:M161)=0,"",IF(A161="","Code manquant",IF(COUNTIF(cli_code,A161)&gt;1,"Code en double",IF(B161="","Nom manquant",IF(AND(p_country="Maroc",C161&lt;&gt;"Particulier",OR(F161="",F161="Maroc"),G161=""),"ICE manquant (client professionnel)",IF(AND(G161&lt;&gt;"",NOT(AND(LEN(G161&amp;"")=15,SUBSTITUTE(SUBSTITUTE(SUBSTITUTE(SUBSTITUTE(SUBSTITUTE(SUBSTITUTE(SUBSTITUTE(SUBSTITUTE(SUBSTITUTE(SUBSTITUTE(G161&amp;"","0",""),"1",""),"2",""),"3",""),"4",""),"5",""),"6",""),"7",""),"8",""),"9","")=""))),"ICE : 15 chiffres attendus",IF(AND(H161&lt;&gt;"",NOT(AND(LEN(H161&amp;"")=9,SUBSTITUTE(SUBSTITUTE(SUBSTITUTE(SUBSTITUTE(SUBSTITUTE(SUBSTITUTE(SUBSTITUTE(SUBSTITUTE(SUBSTITUTE(SUBSTITUTE(H161&amp;"","0",""),"1",""),"2",""),"3",""),"4",""),"5",""),"6",""),"7",""),"8",""),"9","")=""))),"SIREN : 9 chiffres attendus",IF(AND(M161&lt;&gt;"",OR(NOT(ISNUMBER(M161)),N(M161)&lt;0)),"Délai de paiement invalide","OK"))))))))</f>
        <v/>
      </c>
      <c r="Q161" s="62" t="str">
        <f>IF(A161="","",ROUND(SUMIFS(fa_ht,fa_client,A161,fa_year,db_year)*100,0))</f>
        <v/>
      </c>
      <c r="R161" s="62" t="str">
        <f>IF(N(Q161)&lt;=0,"",COUNTIF($Q$6:$Q$305,"&gt;"&amp;Q161)+COUNTIF($Q$6:Q161,Q161))</f>
        <v/>
      </c>
      <c r="S161" s="62" t="str">
        <f>IF(A161="","",ROUND(SUMIFS(fa_reste,fa_client,A161,fa_reste,"&gt;0")*100,0))</f>
        <v/>
      </c>
      <c r="T161" s="62" t="str">
        <f>IF(N(S161)&lt;=0,"",COUNTIF($S$6:$S$305,"&gt;"&amp;S161)+COUNTIF($S$6:S161,S161))</f>
        <v/>
      </c>
    </row>
    <row r="162">
      <c r="A162" s="60" t="n"/>
      <c r="B162" s="63" t="n"/>
      <c r="C162" s="60" t="n"/>
      <c r="D162" s="63" t="n"/>
      <c r="E162" s="63" t="n"/>
      <c r="F162" s="60" t="n"/>
      <c r="G162" s="143" t="n"/>
      <c r="H162" s="143" t="n"/>
      <c r="I162" s="63" t="n"/>
      <c r="J162" s="63" t="n"/>
      <c r="K162" s="63" t="n"/>
      <c r="L162" s="63" t="n"/>
      <c r="M162" s="144" t="n"/>
      <c r="N162" s="65" t="str">
        <f>IF(A162="","",SUMIF(fa_client,A162,fa_ht))</f>
        <v/>
      </c>
      <c r="O162" s="65" t="str">
        <f>IF(A162="","",SUMIF(fa_client,A162,fa_reste))</f>
        <v/>
      </c>
      <c r="P162" s="59" t="str">
        <f>IF(COUNTA(A162:M162)=0,"",IF(A162="","Code manquant",IF(COUNTIF(cli_code,A162)&gt;1,"Code en double",IF(B162="","Nom manquant",IF(AND(p_country="Maroc",C162&lt;&gt;"Particulier",OR(F162="",F162="Maroc"),G162=""),"ICE manquant (client professionnel)",IF(AND(G162&lt;&gt;"",NOT(AND(LEN(G162&amp;"")=15,SUBSTITUTE(SUBSTITUTE(SUBSTITUTE(SUBSTITUTE(SUBSTITUTE(SUBSTITUTE(SUBSTITUTE(SUBSTITUTE(SUBSTITUTE(SUBSTITUTE(G162&amp;"","0",""),"1",""),"2",""),"3",""),"4",""),"5",""),"6",""),"7",""),"8",""),"9","")=""))),"ICE : 15 chiffres attendus",IF(AND(H162&lt;&gt;"",NOT(AND(LEN(H162&amp;"")=9,SUBSTITUTE(SUBSTITUTE(SUBSTITUTE(SUBSTITUTE(SUBSTITUTE(SUBSTITUTE(SUBSTITUTE(SUBSTITUTE(SUBSTITUTE(SUBSTITUTE(H162&amp;"","0",""),"1",""),"2",""),"3",""),"4",""),"5",""),"6",""),"7",""),"8",""),"9","")=""))),"SIREN : 9 chiffres attendus",IF(AND(M162&lt;&gt;"",OR(NOT(ISNUMBER(M162)),N(M162)&lt;0)),"Délai de paiement invalide","OK"))))))))</f>
        <v/>
      </c>
      <c r="Q162" s="62" t="str">
        <f>IF(A162="","",ROUND(SUMIFS(fa_ht,fa_client,A162,fa_year,db_year)*100,0))</f>
        <v/>
      </c>
      <c r="R162" s="62" t="str">
        <f>IF(N(Q162)&lt;=0,"",COUNTIF($Q$6:$Q$305,"&gt;"&amp;Q162)+COUNTIF($Q$6:Q162,Q162))</f>
        <v/>
      </c>
      <c r="S162" s="62" t="str">
        <f>IF(A162="","",ROUND(SUMIFS(fa_reste,fa_client,A162,fa_reste,"&gt;0")*100,0))</f>
        <v/>
      </c>
      <c r="T162" s="62" t="str">
        <f>IF(N(S162)&lt;=0,"",COUNTIF($S$6:$S$305,"&gt;"&amp;S162)+COUNTIF($S$6:S162,S162))</f>
        <v/>
      </c>
    </row>
    <row r="163">
      <c r="A163" s="60" t="n"/>
      <c r="B163" s="63" t="n"/>
      <c r="C163" s="60" t="n"/>
      <c r="D163" s="63" t="n"/>
      <c r="E163" s="63" t="n"/>
      <c r="F163" s="60" t="n"/>
      <c r="G163" s="143" t="n"/>
      <c r="H163" s="143" t="n"/>
      <c r="I163" s="63" t="n"/>
      <c r="J163" s="63" t="n"/>
      <c r="K163" s="63" t="n"/>
      <c r="L163" s="63" t="n"/>
      <c r="M163" s="144" t="n"/>
      <c r="N163" s="65" t="str">
        <f>IF(A163="","",SUMIF(fa_client,A163,fa_ht))</f>
        <v/>
      </c>
      <c r="O163" s="65" t="str">
        <f>IF(A163="","",SUMIF(fa_client,A163,fa_reste))</f>
        <v/>
      </c>
      <c r="P163" s="59" t="str">
        <f>IF(COUNTA(A163:M163)=0,"",IF(A163="","Code manquant",IF(COUNTIF(cli_code,A163)&gt;1,"Code en double",IF(B163="","Nom manquant",IF(AND(p_country="Maroc",C163&lt;&gt;"Particulier",OR(F163="",F163="Maroc"),G163=""),"ICE manquant (client professionnel)",IF(AND(G163&lt;&gt;"",NOT(AND(LEN(G163&amp;"")=15,SUBSTITUTE(SUBSTITUTE(SUBSTITUTE(SUBSTITUTE(SUBSTITUTE(SUBSTITUTE(SUBSTITUTE(SUBSTITUTE(SUBSTITUTE(SUBSTITUTE(G163&amp;"","0",""),"1",""),"2",""),"3",""),"4",""),"5",""),"6",""),"7",""),"8",""),"9","")=""))),"ICE : 15 chiffres attendus",IF(AND(H163&lt;&gt;"",NOT(AND(LEN(H163&amp;"")=9,SUBSTITUTE(SUBSTITUTE(SUBSTITUTE(SUBSTITUTE(SUBSTITUTE(SUBSTITUTE(SUBSTITUTE(SUBSTITUTE(SUBSTITUTE(SUBSTITUTE(H163&amp;"","0",""),"1",""),"2",""),"3",""),"4",""),"5",""),"6",""),"7",""),"8",""),"9","")=""))),"SIREN : 9 chiffres attendus",IF(AND(M163&lt;&gt;"",OR(NOT(ISNUMBER(M163)),N(M163)&lt;0)),"Délai de paiement invalide","OK"))))))))</f>
        <v/>
      </c>
      <c r="Q163" s="62" t="str">
        <f>IF(A163="","",ROUND(SUMIFS(fa_ht,fa_client,A163,fa_year,db_year)*100,0))</f>
        <v/>
      </c>
      <c r="R163" s="62" t="str">
        <f>IF(N(Q163)&lt;=0,"",COUNTIF($Q$6:$Q$305,"&gt;"&amp;Q163)+COUNTIF($Q$6:Q163,Q163))</f>
        <v/>
      </c>
      <c r="S163" s="62" t="str">
        <f>IF(A163="","",ROUND(SUMIFS(fa_reste,fa_client,A163,fa_reste,"&gt;0")*100,0))</f>
        <v/>
      </c>
      <c r="T163" s="62" t="str">
        <f>IF(N(S163)&lt;=0,"",COUNTIF($S$6:$S$305,"&gt;"&amp;S163)+COUNTIF($S$6:S163,S163))</f>
        <v/>
      </c>
    </row>
    <row r="164">
      <c r="A164" s="60" t="n"/>
      <c r="B164" s="63" t="n"/>
      <c r="C164" s="60" t="n"/>
      <c r="D164" s="63" t="n"/>
      <c r="E164" s="63" t="n"/>
      <c r="F164" s="60" t="n"/>
      <c r="G164" s="143" t="n"/>
      <c r="H164" s="143" t="n"/>
      <c r="I164" s="63" t="n"/>
      <c r="J164" s="63" t="n"/>
      <c r="K164" s="63" t="n"/>
      <c r="L164" s="63" t="n"/>
      <c r="M164" s="144" t="n"/>
      <c r="N164" s="65" t="str">
        <f>IF(A164="","",SUMIF(fa_client,A164,fa_ht))</f>
        <v/>
      </c>
      <c r="O164" s="65" t="str">
        <f>IF(A164="","",SUMIF(fa_client,A164,fa_reste))</f>
        <v/>
      </c>
      <c r="P164" s="59" t="str">
        <f>IF(COUNTA(A164:M164)=0,"",IF(A164="","Code manquant",IF(COUNTIF(cli_code,A164)&gt;1,"Code en double",IF(B164="","Nom manquant",IF(AND(p_country="Maroc",C164&lt;&gt;"Particulier",OR(F164="",F164="Maroc"),G164=""),"ICE manquant (client professionnel)",IF(AND(G164&lt;&gt;"",NOT(AND(LEN(G164&amp;"")=15,SUBSTITUTE(SUBSTITUTE(SUBSTITUTE(SUBSTITUTE(SUBSTITUTE(SUBSTITUTE(SUBSTITUTE(SUBSTITUTE(SUBSTITUTE(SUBSTITUTE(G164&amp;"","0",""),"1",""),"2",""),"3",""),"4",""),"5",""),"6",""),"7",""),"8",""),"9","")=""))),"ICE : 15 chiffres attendus",IF(AND(H164&lt;&gt;"",NOT(AND(LEN(H164&amp;"")=9,SUBSTITUTE(SUBSTITUTE(SUBSTITUTE(SUBSTITUTE(SUBSTITUTE(SUBSTITUTE(SUBSTITUTE(SUBSTITUTE(SUBSTITUTE(SUBSTITUTE(H164&amp;"","0",""),"1",""),"2",""),"3",""),"4",""),"5",""),"6",""),"7",""),"8",""),"9","")=""))),"SIREN : 9 chiffres attendus",IF(AND(M164&lt;&gt;"",OR(NOT(ISNUMBER(M164)),N(M164)&lt;0)),"Délai de paiement invalide","OK"))))))))</f>
        <v/>
      </c>
      <c r="Q164" s="62" t="str">
        <f>IF(A164="","",ROUND(SUMIFS(fa_ht,fa_client,A164,fa_year,db_year)*100,0))</f>
        <v/>
      </c>
      <c r="R164" s="62" t="str">
        <f>IF(N(Q164)&lt;=0,"",COUNTIF($Q$6:$Q$305,"&gt;"&amp;Q164)+COUNTIF($Q$6:Q164,Q164))</f>
        <v/>
      </c>
      <c r="S164" s="62" t="str">
        <f>IF(A164="","",ROUND(SUMIFS(fa_reste,fa_client,A164,fa_reste,"&gt;0")*100,0))</f>
        <v/>
      </c>
      <c r="T164" s="62" t="str">
        <f>IF(N(S164)&lt;=0,"",COUNTIF($S$6:$S$305,"&gt;"&amp;S164)+COUNTIF($S$6:S164,S164))</f>
        <v/>
      </c>
    </row>
    <row r="165">
      <c r="A165" s="60" t="n"/>
      <c r="B165" s="63" t="n"/>
      <c r="C165" s="60" t="n"/>
      <c r="D165" s="63" t="n"/>
      <c r="E165" s="63" t="n"/>
      <c r="F165" s="60" t="n"/>
      <c r="G165" s="143" t="n"/>
      <c r="H165" s="143" t="n"/>
      <c r="I165" s="63" t="n"/>
      <c r="J165" s="63" t="n"/>
      <c r="K165" s="63" t="n"/>
      <c r="L165" s="63" t="n"/>
      <c r="M165" s="144" t="n"/>
      <c r="N165" s="65" t="str">
        <f>IF(A165="","",SUMIF(fa_client,A165,fa_ht))</f>
        <v/>
      </c>
      <c r="O165" s="65" t="str">
        <f>IF(A165="","",SUMIF(fa_client,A165,fa_reste))</f>
        <v/>
      </c>
      <c r="P165" s="59" t="str">
        <f>IF(COUNTA(A165:M165)=0,"",IF(A165="","Code manquant",IF(COUNTIF(cli_code,A165)&gt;1,"Code en double",IF(B165="","Nom manquant",IF(AND(p_country="Maroc",C165&lt;&gt;"Particulier",OR(F165="",F165="Maroc"),G165=""),"ICE manquant (client professionnel)",IF(AND(G165&lt;&gt;"",NOT(AND(LEN(G165&amp;"")=15,SUBSTITUTE(SUBSTITUTE(SUBSTITUTE(SUBSTITUTE(SUBSTITUTE(SUBSTITUTE(SUBSTITUTE(SUBSTITUTE(SUBSTITUTE(SUBSTITUTE(G165&amp;"","0",""),"1",""),"2",""),"3",""),"4",""),"5",""),"6",""),"7",""),"8",""),"9","")=""))),"ICE : 15 chiffres attendus",IF(AND(H165&lt;&gt;"",NOT(AND(LEN(H165&amp;"")=9,SUBSTITUTE(SUBSTITUTE(SUBSTITUTE(SUBSTITUTE(SUBSTITUTE(SUBSTITUTE(SUBSTITUTE(SUBSTITUTE(SUBSTITUTE(SUBSTITUTE(H165&amp;"","0",""),"1",""),"2",""),"3",""),"4",""),"5",""),"6",""),"7",""),"8",""),"9","")=""))),"SIREN : 9 chiffres attendus",IF(AND(M165&lt;&gt;"",OR(NOT(ISNUMBER(M165)),N(M165)&lt;0)),"Délai de paiement invalide","OK"))))))))</f>
        <v/>
      </c>
      <c r="Q165" s="62" t="str">
        <f>IF(A165="","",ROUND(SUMIFS(fa_ht,fa_client,A165,fa_year,db_year)*100,0))</f>
        <v/>
      </c>
      <c r="R165" s="62" t="str">
        <f>IF(N(Q165)&lt;=0,"",COUNTIF($Q$6:$Q$305,"&gt;"&amp;Q165)+COUNTIF($Q$6:Q165,Q165))</f>
        <v/>
      </c>
      <c r="S165" s="62" t="str">
        <f>IF(A165="","",ROUND(SUMIFS(fa_reste,fa_client,A165,fa_reste,"&gt;0")*100,0))</f>
        <v/>
      </c>
      <c r="T165" s="62" t="str">
        <f>IF(N(S165)&lt;=0,"",COUNTIF($S$6:$S$305,"&gt;"&amp;S165)+COUNTIF($S$6:S165,S165))</f>
        <v/>
      </c>
    </row>
    <row r="166">
      <c r="A166" s="60" t="n"/>
      <c r="B166" s="63" t="n"/>
      <c r="C166" s="60" t="n"/>
      <c r="D166" s="63" t="n"/>
      <c r="E166" s="63" t="n"/>
      <c r="F166" s="60" t="n"/>
      <c r="G166" s="143" t="n"/>
      <c r="H166" s="143" t="n"/>
      <c r="I166" s="63" t="n"/>
      <c r="J166" s="63" t="n"/>
      <c r="K166" s="63" t="n"/>
      <c r="L166" s="63" t="n"/>
      <c r="M166" s="144" t="n"/>
      <c r="N166" s="65" t="str">
        <f>IF(A166="","",SUMIF(fa_client,A166,fa_ht))</f>
        <v/>
      </c>
      <c r="O166" s="65" t="str">
        <f>IF(A166="","",SUMIF(fa_client,A166,fa_reste))</f>
        <v/>
      </c>
      <c r="P166" s="59" t="str">
        <f>IF(COUNTA(A166:M166)=0,"",IF(A166="","Code manquant",IF(COUNTIF(cli_code,A166)&gt;1,"Code en double",IF(B166="","Nom manquant",IF(AND(p_country="Maroc",C166&lt;&gt;"Particulier",OR(F166="",F166="Maroc"),G166=""),"ICE manquant (client professionnel)",IF(AND(G166&lt;&gt;"",NOT(AND(LEN(G166&amp;"")=15,SUBSTITUTE(SUBSTITUTE(SUBSTITUTE(SUBSTITUTE(SUBSTITUTE(SUBSTITUTE(SUBSTITUTE(SUBSTITUTE(SUBSTITUTE(SUBSTITUTE(G166&amp;"","0",""),"1",""),"2",""),"3",""),"4",""),"5",""),"6",""),"7",""),"8",""),"9","")=""))),"ICE : 15 chiffres attendus",IF(AND(H166&lt;&gt;"",NOT(AND(LEN(H166&amp;"")=9,SUBSTITUTE(SUBSTITUTE(SUBSTITUTE(SUBSTITUTE(SUBSTITUTE(SUBSTITUTE(SUBSTITUTE(SUBSTITUTE(SUBSTITUTE(SUBSTITUTE(H166&amp;"","0",""),"1",""),"2",""),"3",""),"4",""),"5",""),"6",""),"7",""),"8",""),"9","")=""))),"SIREN : 9 chiffres attendus",IF(AND(M166&lt;&gt;"",OR(NOT(ISNUMBER(M166)),N(M166)&lt;0)),"Délai de paiement invalide","OK"))))))))</f>
        <v/>
      </c>
      <c r="Q166" s="62" t="str">
        <f>IF(A166="","",ROUND(SUMIFS(fa_ht,fa_client,A166,fa_year,db_year)*100,0))</f>
        <v/>
      </c>
      <c r="R166" s="62" t="str">
        <f>IF(N(Q166)&lt;=0,"",COUNTIF($Q$6:$Q$305,"&gt;"&amp;Q166)+COUNTIF($Q$6:Q166,Q166))</f>
        <v/>
      </c>
      <c r="S166" s="62" t="str">
        <f>IF(A166="","",ROUND(SUMIFS(fa_reste,fa_client,A166,fa_reste,"&gt;0")*100,0))</f>
        <v/>
      </c>
      <c r="T166" s="62" t="str">
        <f>IF(N(S166)&lt;=0,"",COUNTIF($S$6:$S$305,"&gt;"&amp;S166)+COUNTIF($S$6:S166,S166))</f>
        <v/>
      </c>
    </row>
    <row r="167">
      <c r="A167" s="60" t="n"/>
      <c r="B167" s="63" t="n"/>
      <c r="C167" s="60" t="n"/>
      <c r="D167" s="63" t="n"/>
      <c r="E167" s="63" t="n"/>
      <c r="F167" s="60" t="n"/>
      <c r="G167" s="143" t="n"/>
      <c r="H167" s="143" t="n"/>
      <c r="I167" s="63" t="n"/>
      <c r="J167" s="63" t="n"/>
      <c r="K167" s="63" t="n"/>
      <c r="L167" s="63" t="n"/>
      <c r="M167" s="144" t="n"/>
      <c r="N167" s="65" t="str">
        <f>IF(A167="","",SUMIF(fa_client,A167,fa_ht))</f>
        <v/>
      </c>
      <c r="O167" s="65" t="str">
        <f>IF(A167="","",SUMIF(fa_client,A167,fa_reste))</f>
        <v/>
      </c>
      <c r="P167" s="59" t="str">
        <f>IF(COUNTA(A167:M167)=0,"",IF(A167="","Code manquant",IF(COUNTIF(cli_code,A167)&gt;1,"Code en double",IF(B167="","Nom manquant",IF(AND(p_country="Maroc",C167&lt;&gt;"Particulier",OR(F167="",F167="Maroc"),G167=""),"ICE manquant (client professionnel)",IF(AND(G167&lt;&gt;"",NOT(AND(LEN(G167&amp;"")=15,SUBSTITUTE(SUBSTITUTE(SUBSTITUTE(SUBSTITUTE(SUBSTITUTE(SUBSTITUTE(SUBSTITUTE(SUBSTITUTE(SUBSTITUTE(SUBSTITUTE(G167&amp;"","0",""),"1",""),"2",""),"3",""),"4",""),"5",""),"6",""),"7",""),"8",""),"9","")=""))),"ICE : 15 chiffres attendus",IF(AND(H167&lt;&gt;"",NOT(AND(LEN(H167&amp;"")=9,SUBSTITUTE(SUBSTITUTE(SUBSTITUTE(SUBSTITUTE(SUBSTITUTE(SUBSTITUTE(SUBSTITUTE(SUBSTITUTE(SUBSTITUTE(SUBSTITUTE(H167&amp;"","0",""),"1",""),"2",""),"3",""),"4",""),"5",""),"6",""),"7",""),"8",""),"9","")=""))),"SIREN : 9 chiffres attendus",IF(AND(M167&lt;&gt;"",OR(NOT(ISNUMBER(M167)),N(M167)&lt;0)),"Délai de paiement invalide","OK"))))))))</f>
        <v/>
      </c>
      <c r="Q167" s="62" t="str">
        <f>IF(A167="","",ROUND(SUMIFS(fa_ht,fa_client,A167,fa_year,db_year)*100,0))</f>
        <v/>
      </c>
      <c r="R167" s="62" t="str">
        <f>IF(N(Q167)&lt;=0,"",COUNTIF($Q$6:$Q$305,"&gt;"&amp;Q167)+COUNTIF($Q$6:Q167,Q167))</f>
        <v/>
      </c>
      <c r="S167" s="62" t="str">
        <f>IF(A167="","",ROUND(SUMIFS(fa_reste,fa_client,A167,fa_reste,"&gt;0")*100,0))</f>
        <v/>
      </c>
      <c r="T167" s="62" t="str">
        <f>IF(N(S167)&lt;=0,"",COUNTIF($S$6:$S$305,"&gt;"&amp;S167)+COUNTIF($S$6:S167,S167))</f>
        <v/>
      </c>
    </row>
    <row r="168">
      <c r="A168" s="60" t="n"/>
      <c r="B168" s="63" t="n"/>
      <c r="C168" s="60" t="n"/>
      <c r="D168" s="63" t="n"/>
      <c r="E168" s="63" t="n"/>
      <c r="F168" s="60" t="n"/>
      <c r="G168" s="143" t="n"/>
      <c r="H168" s="143" t="n"/>
      <c r="I168" s="63" t="n"/>
      <c r="J168" s="63" t="n"/>
      <c r="K168" s="63" t="n"/>
      <c r="L168" s="63" t="n"/>
      <c r="M168" s="144" t="n"/>
      <c r="N168" s="65" t="str">
        <f>IF(A168="","",SUMIF(fa_client,A168,fa_ht))</f>
        <v/>
      </c>
      <c r="O168" s="65" t="str">
        <f>IF(A168="","",SUMIF(fa_client,A168,fa_reste))</f>
        <v/>
      </c>
      <c r="P168" s="59" t="str">
        <f>IF(COUNTA(A168:M168)=0,"",IF(A168="","Code manquant",IF(COUNTIF(cli_code,A168)&gt;1,"Code en double",IF(B168="","Nom manquant",IF(AND(p_country="Maroc",C168&lt;&gt;"Particulier",OR(F168="",F168="Maroc"),G168=""),"ICE manquant (client professionnel)",IF(AND(G168&lt;&gt;"",NOT(AND(LEN(G168&amp;"")=15,SUBSTITUTE(SUBSTITUTE(SUBSTITUTE(SUBSTITUTE(SUBSTITUTE(SUBSTITUTE(SUBSTITUTE(SUBSTITUTE(SUBSTITUTE(SUBSTITUTE(G168&amp;"","0",""),"1",""),"2",""),"3",""),"4",""),"5",""),"6",""),"7",""),"8",""),"9","")=""))),"ICE : 15 chiffres attendus",IF(AND(H168&lt;&gt;"",NOT(AND(LEN(H168&amp;"")=9,SUBSTITUTE(SUBSTITUTE(SUBSTITUTE(SUBSTITUTE(SUBSTITUTE(SUBSTITUTE(SUBSTITUTE(SUBSTITUTE(SUBSTITUTE(SUBSTITUTE(H168&amp;"","0",""),"1",""),"2",""),"3",""),"4",""),"5",""),"6",""),"7",""),"8",""),"9","")=""))),"SIREN : 9 chiffres attendus",IF(AND(M168&lt;&gt;"",OR(NOT(ISNUMBER(M168)),N(M168)&lt;0)),"Délai de paiement invalide","OK"))))))))</f>
        <v/>
      </c>
      <c r="Q168" s="62" t="str">
        <f>IF(A168="","",ROUND(SUMIFS(fa_ht,fa_client,A168,fa_year,db_year)*100,0))</f>
        <v/>
      </c>
      <c r="R168" s="62" t="str">
        <f>IF(N(Q168)&lt;=0,"",COUNTIF($Q$6:$Q$305,"&gt;"&amp;Q168)+COUNTIF($Q$6:Q168,Q168))</f>
        <v/>
      </c>
      <c r="S168" s="62" t="str">
        <f>IF(A168="","",ROUND(SUMIFS(fa_reste,fa_client,A168,fa_reste,"&gt;0")*100,0))</f>
        <v/>
      </c>
      <c r="T168" s="62" t="str">
        <f>IF(N(S168)&lt;=0,"",COUNTIF($S$6:$S$305,"&gt;"&amp;S168)+COUNTIF($S$6:S168,S168))</f>
        <v/>
      </c>
    </row>
    <row r="169">
      <c r="A169" s="60" t="n"/>
      <c r="B169" s="63" t="n"/>
      <c r="C169" s="60" t="n"/>
      <c r="D169" s="63" t="n"/>
      <c r="E169" s="63" t="n"/>
      <c r="F169" s="60" t="n"/>
      <c r="G169" s="143" t="n"/>
      <c r="H169" s="143" t="n"/>
      <c r="I169" s="63" t="n"/>
      <c r="J169" s="63" t="n"/>
      <c r="K169" s="63" t="n"/>
      <c r="L169" s="63" t="n"/>
      <c r="M169" s="144" t="n"/>
      <c r="N169" s="65" t="str">
        <f>IF(A169="","",SUMIF(fa_client,A169,fa_ht))</f>
        <v/>
      </c>
      <c r="O169" s="65" t="str">
        <f>IF(A169="","",SUMIF(fa_client,A169,fa_reste))</f>
        <v/>
      </c>
      <c r="P169" s="59" t="str">
        <f>IF(COUNTA(A169:M169)=0,"",IF(A169="","Code manquant",IF(COUNTIF(cli_code,A169)&gt;1,"Code en double",IF(B169="","Nom manquant",IF(AND(p_country="Maroc",C169&lt;&gt;"Particulier",OR(F169="",F169="Maroc"),G169=""),"ICE manquant (client professionnel)",IF(AND(G169&lt;&gt;"",NOT(AND(LEN(G169&amp;"")=15,SUBSTITUTE(SUBSTITUTE(SUBSTITUTE(SUBSTITUTE(SUBSTITUTE(SUBSTITUTE(SUBSTITUTE(SUBSTITUTE(SUBSTITUTE(SUBSTITUTE(G169&amp;"","0",""),"1",""),"2",""),"3",""),"4",""),"5",""),"6",""),"7",""),"8",""),"9","")=""))),"ICE : 15 chiffres attendus",IF(AND(H169&lt;&gt;"",NOT(AND(LEN(H169&amp;"")=9,SUBSTITUTE(SUBSTITUTE(SUBSTITUTE(SUBSTITUTE(SUBSTITUTE(SUBSTITUTE(SUBSTITUTE(SUBSTITUTE(SUBSTITUTE(SUBSTITUTE(H169&amp;"","0",""),"1",""),"2",""),"3",""),"4",""),"5",""),"6",""),"7",""),"8",""),"9","")=""))),"SIREN : 9 chiffres attendus",IF(AND(M169&lt;&gt;"",OR(NOT(ISNUMBER(M169)),N(M169)&lt;0)),"Délai de paiement invalide","OK"))))))))</f>
        <v/>
      </c>
      <c r="Q169" s="62" t="str">
        <f>IF(A169="","",ROUND(SUMIFS(fa_ht,fa_client,A169,fa_year,db_year)*100,0))</f>
        <v/>
      </c>
      <c r="R169" s="62" t="str">
        <f>IF(N(Q169)&lt;=0,"",COUNTIF($Q$6:$Q$305,"&gt;"&amp;Q169)+COUNTIF($Q$6:Q169,Q169))</f>
        <v/>
      </c>
      <c r="S169" s="62" t="str">
        <f>IF(A169="","",ROUND(SUMIFS(fa_reste,fa_client,A169,fa_reste,"&gt;0")*100,0))</f>
        <v/>
      </c>
      <c r="T169" s="62" t="str">
        <f>IF(N(S169)&lt;=0,"",COUNTIF($S$6:$S$305,"&gt;"&amp;S169)+COUNTIF($S$6:S169,S169))</f>
        <v/>
      </c>
    </row>
    <row r="170">
      <c r="A170" s="60" t="n"/>
      <c r="B170" s="63" t="n"/>
      <c r="C170" s="60" t="n"/>
      <c r="D170" s="63" t="n"/>
      <c r="E170" s="63" t="n"/>
      <c r="F170" s="60" t="n"/>
      <c r="G170" s="143" t="n"/>
      <c r="H170" s="143" t="n"/>
      <c r="I170" s="63" t="n"/>
      <c r="J170" s="63" t="n"/>
      <c r="K170" s="63" t="n"/>
      <c r="L170" s="63" t="n"/>
      <c r="M170" s="144" t="n"/>
      <c r="N170" s="65" t="str">
        <f>IF(A170="","",SUMIF(fa_client,A170,fa_ht))</f>
        <v/>
      </c>
      <c r="O170" s="65" t="str">
        <f>IF(A170="","",SUMIF(fa_client,A170,fa_reste))</f>
        <v/>
      </c>
      <c r="P170" s="59" t="str">
        <f>IF(COUNTA(A170:M170)=0,"",IF(A170="","Code manquant",IF(COUNTIF(cli_code,A170)&gt;1,"Code en double",IF(B170="","Nom manquant",IF(AND(p_country="Maroc",C170&lt;&gt;"Particulier",OR(F170="",F170="Maroc"),G170=""),"ICE manquant (client professionnel)",IF(AND(G170&lt;&gt;"",NOT(AND(LEN(G170&amp;"")=15,SUBSTITUTE(SUBSTITUTE(SUBSTITUTE(SUBSTITUTE(SUBSTITUTE(SUBSTITUTE(SUBSTITUTE(SUBSTITUTE(SUBSTITUTE(SUBSTITUTE(G170&amp;"","0",""),"1",""),"2",""),"3",""),"4",""),"5",""),"6",""),"7",""),"8",""),"9","")=""))),"ICE : 15 chiffres attendus",IF(AND(H170&lt;&gt;"",NOT(AND(LEN(H170&amp;"")=9,SUBSTITUTE(SUBSTITUTE(SUBSTITUTE(SUBSTITUTE(SUBSTITUTE(SUBSTITUTE(SUBSTITUTE(SUBSTITUTE(SUBSTITUTE(SUBSTITUTE(H170&amp;"","0",""),"1",""),"2",""),"3",""),"4",""),"5",""),"6",""),"7",""),"8",""),"9","")=""))),"SIREN : 9 chiffres attendus",IF(AND(M170&lt;&gt;"",OR(NOT(ISNUMBER(M170)),N(M170)&lt;0)),"Délai de paiement invalide","OK"))))))))</f>
        <v/>
      </c>
      <c r="Q170" s="62" t="str">
        <f>IF(A170="","",ROUND(SUMIFS(fa_ht,fa_client,A170,fa_year,db_year)*100,0))</f>
        <v/>
      </c>
      <c r="R170" s="62" t="str">
        <f>IF(N(Q170)&lt;=0,"",COUNTIF($Q$6:$Q$305,"&gt;"&amp;Q170)+COUNTIF($Q$6:Q170,Q170))</f>
        <v/>
      </c>
      <c r="S170" s="62" t="str">
        <f>IF(A170="","",ROUND(SUMIFS(fa_reste,fa_client,A170,fa_reste,"&gt;0")*100,0))</f>
        <v/>
      </c>
      <c r="T170" s="62" t="str">
        <f>IF(N(S170)&lt;=0,"",COUNTIF($S$6:$S$305,"&gt;"&amp;S170)+COUNTIF($S$6:S170,S170))</f>
        <v/>
      </c>
    </row>
    <row r="171">
      <c r="A171" s="60" t="n"/>
      <c r="B171" s="63" t="n"/>
      <c r="C171" s="60" t="n"/>
      <c r="D171" s="63" t="n"/>
      <c r="E171" s="63" t="n"/>
      <c r="F171" s="60" t="n"/>
      <c r="G171" s="143" t="n"/>
      <c r="H171" s="143" t="n"/>
      <c r="I171" s="63" t="n"/>
      <c r="J171" s="63" t="n"/>
      <c r="K171" s="63" t="n"/>
      <c r="L171" s="63" t="n"/>
      <c r="M171" s="144" t="n"/>
      <c r="N171" s="65" t="str">
        <f>IF(A171="","",SUMIF(fa_client,A171,fa_ht))</f>
        <v/>
      </c>
      <c r="O171" s="65" t="str">
        <f>IF(A171="","",SUMIF(fa_client,A171,fa_reste))</f>
        <v/>
      </c>
      <c r="P171" s="59" t="str">
        <f>IF(COUNTA(A171:M171)=0,"",IF(A171="","Code manquant",IF(COUNTIF(cli_code,A171)&gt;1,"Code en double",IF(B171="","Nom manquant",IF(AND(p_country="Maroc",C171&lt;&gt;"Particulier",OR(F171="",F171="Maroc"),G171=""),"ICE manquant (client professionnel)",IF(AND(G171&lt;&gt;"",NOT(AND(LEN(G171&amp;"")=15,SUBSTITUTE(SUBSTITUTE(SUBSTITUTE(SUBSTITUTE(SUBSTITUTE(SUBSTITUTE(SUBSTITUTE(SUBSTITUTE(SUBSTITUTE(SUBSTITUTE(G171&amp;"","0",""),"1",""),"2",""),"3",""),"4",""),"5",""),"6",""),"7",""),"8",""),"9","")=""))),"ICE : 15 chiffres attendus",IF(AND(H171&lt;&gt;"",NOT(AND(LEN(H171&amp;"")=9,SUBSTITUTE(SUBSTITUTE(SUBSTITUTE(SUBSTITUTE(SUBSTITUTE(SUBSTITUTE(SUBSTITUTE(SUBSTITUTE(SUBSTITUTE(SUBSTITUTE(H171&amp;"","0",""),"1",""),"2",""),"3",""),"4",""),"5",""),"6",""),"7",""),"8",""),"9","")=""))),"SIREN : 9 chiffres attendus",IF(AND(M171&lt;&gt;"",OR(NOT(ISNUMBER(M171)),N(M171)&lt;0)),"Délai de paiement invalide","OK"))))))))</f>
        <v/>
      </c>
      <c r="Q171" s="62" t="str">
        <f>IF(A171="","",ROUND(SUMIFS(fa_ht,fa_client,A171,fa_year,db_year)*100,0))</f>
        <v/>
      </c>
      <c r="R171" s="62" t="str">
        <f>IF(N(Q171)&lt;=0,"",COUNTIF($Q$6:$Q$305,"&gt;"&amp;Q171)+COUNTIF($Q$6:Q171,Q171))</f>
        <v/>
      </c>
      <c r="S171" s="62" t="str">
        <f>IF(A171="","",ROUND(SUMIFS(fa_reste,fa_client,A171,fa_reste,"&gt;0")*100,0))</f>
        <v/>
      </c>
      <c r="T171" s="62" t="str">
        <f>IF(N(S171)&lt;=0,"",COUNTIF($S$6:$S$305,"&gt;"&amp;S171)+COUNTIF($S$6:S171,S171))</f>
        <v/>
      </c>
    </row>
    <row r="172">
      <c r="A172" s="60" t="n"/>
      <c r="B172" s="63" t="n"/>
      <c r="C172" s="60" t="n"/>
      <c r="D172" s="63" t="n"/>
      <c r="E172" s="63" t="n"/>
      <c r="F172" s="60" t="n"/>
      <c r="G172" s="143" t="n"/>
      <c r="H172" s="143" t="n"/>
      <c r="I172" s="63" t="n"/>
      <c r="J172" s="63" t="n"/>
      <c r="K172" s="63" t="n"/>
      <c r="L172" s="63" t="n"/>
      <c r="M172" s="144" t="n"/>
      <c r="N172" s="65" t="str">
        <f>IF(A172="","",SUMIF(fa_client,A172,fa_ht))</f>
        <v/>
      </c>
      <c r="O172" s="65" t="str">
        <f>IF(A172="","",SUMIF(fa_client,A172,fa_reste))</f>
        <v/>
      </c>
      <c r="P172" s="59" t="str">
        <f>IF(COUNTA(A172:M172)=0,"",IF(A172="","Code manquant",IF(COUNTIF(cli_code,A172)&gt;1,"Code en double",IF(B172="","Nom manquant",IF(AND(p_country="Maroc",C172&lt;&gt;"Particulier",OR(F172="",F172="Maroc"),G172=""),"ICE manquant (client professionnel)",IF(AND(G172&lt;&gt;"",NOT(AND(LEN(G172&amp;"")=15,SUBSTITUTE(SUBSTITUTE(SUBSTITUTE(SUBSTITUTE(SUBSTITUTE(SUBSTITUTE(SUBSTITUTE(SUBSTITUTE(SUBSTITUTE(SUBSTITUTE(G172&amp;"","0",""),"1",""),"2",""),"3",""),"4",""),"5",""),"6",""),"7",""),"8",""),"9","")=""))),"ICE : 15 chiffres attendus",IF(AND(H172&lt;&gt;"",NOT(AND(LEN(H172&amp;"")=9,SUBSTITUTE(SUBSTITUTE(SUBSTITUTE(SUBSTITUTE(SUBSTITUTE(SUBSTITUTE(SUBSTITUTE(SUBSTITUTE(SUBSTITUTE(SUBSTITUTE(H172&amp;"","0",""),"1",""),"2",""),"3",""),"4",""),"5",""),"6",""),"7",""),"8",""),"9","")=""))),"SIREN : 9 chiffres attendus",IF(AND(M172&lt;&gt;"",OR(NOT(ISNUMBER(M172)),N(M172)&lt;0)),"Délai de paiement invalide","OK"))))))))</f>
        <v/>
      </c>
      <c r="Q172" s="62" t="str">
        <f>IF(A172="","",ROUND(SUMIFS(fa_ht,fa_client,A172,fa_year,db_year)*100,0))</f>
        <v/>
      </c>
      <c r="R172" s="62" t="str">
        <f>IF(N(Q172)&lt;=0,"",COUNTIF($Q$6:$Q$305,"&gt;"&amp;Q172)+COUNTIF($Q$6:Q172,Q172))</f>
        <v/>
      </c>
      <c r="S172" s="62" t="str">
        <f>IF(A172="","",ROUND(SUMIFS(fa_reste,fa_client,A172,fa_reste,"&gt;0")*100,0))</f>
        <v/>
      </c>
      <c r="T172" s="62" t="str">
        <f>IF(N(S172)&lt;=0,"",COUNTIF($S$6:$S$305,"&gt;"&amp;S172)+COUNTIF($S$6:S172,S172))</f>
        <v/>
      </c>
    </row>
    <row r="173">
      <c r="A173" s="60" t="n"/>
      <c r="B173" s="63" t="n"/>
      <c r="C173" s="60" t="n"/>
      <c r="D173" s="63" t="n"/>
      <c r="E173" s="63" t="n"/>
      <c r="F173" s="60" t="n"/>
      <c r="G173" s="143" t="n"/>
      <c r="H173" s="143" t="n"/>
      <c r="I173" s="63" t="n"/>
      <c r="J173" s="63" t="n"/>
      <c r="K173" s="63" t="n"/>
      <c r="L173" s="63" t="n"/>
      <c r="M173" s="144" t="n"/>
      <c r="N173" s="65" t="str">
        <f>IF(A173="","",SUMIF(fa_client,A173,fa_ht))</f>
        <v/>
      </c>
      <c r="O173" s="65" t="str">
        <f>IF(A173="","",SUMIF(fa_client,A173,fa_reste))</f>
        <v/>
      </c>
      <c r="P173" s="59" t="str">
        <f>IF(COUNTA(A173:M173)=0,"",IF(A173="","Code manquant",IF(COUNTIF(cli_code,A173)&gt;1,"Code en double",IF(B173="","Nom manquant",IF(AND(p_country="Maroc",C173&lt;&gt;"Particulier",OR(F173="",F173="Maroc"),G173=""),"ICE manquant (client professionnel)",IF(AND(G173&lt;&gt;"",NOT(AND(LEN(G173&amp;"")=15,SUBSTITUTE(SUBSTITUTE(SUBSTITUTE(SUBSTITUTE(SUBSTITUTE(SUBSTITUTE(SUBSTITUTE(SUBSTITUTE(SUBSTITUTE(SUBSTITUTE(G173&amp;"","0",""),"1",""),"2",""),"3",""),"4",""),"5",""),"6",""),"7",""),"8",""),"9","")=""))),"ICE : 15 chiffres attendus",IF(AND(H173&lt;&gt;"",NOT(AND(LEN(H173&amp;"")=9,SUBSTITUTE(SUBSTITUTE(SUBSTITUTE(SUBSTITUTE(SUBSTITUTE(SUBSTITUTE(SUBSTITUTE(SUBSTITUTE(SUBSTITUTE(SUBSTITUTE(H173&amp;"","0",""),"1",""),"2",""),"3",""),"4",""),"5",""),"6",""),"7",""),"8",""),"9","")=""))),"SIREN : 9 chiffres attendus",IF(AND(M173&lt;&gt;"",OR(NOT(ISNUMBER(M173)),N(M173)&lt;0)),"Délai de paiement invalide","OK"))))))))</f>
        <v/>
      </c>
      <c r="Q173" s="62" t="str">
        <f>IF(A173="","",ROUND(SUMIFS(fa_ht,fa_client,A173,fa_year,db_year)*100,0))</f>
        <v/>
      </c>
      <c r="R173" s="62" t="str">
        <f>IF(N(Q173)&lt;=0,"",COUNTIF($Q$6:$Q$305,"&gt;"&amp;Q173)+COUNTIF($Q$6:Q173,Q173))</f>
        <v/>
      </c>
      <c r="S173" s="62" t="str">
        <f>IF(A173="","",ROUND(SUMIFS(fa_reste,fa_client,A173,fa_reste,"&gt;0")*100,0))</f>
        <v/>
      </c>
      <c r="T173" s="62" t="str">
        <f>IF(N(S173)&lt;=0,"",COUNTIF($S$6:$S$305,"&gt;"&amp;S173)+COUNTIF($S$6:S173,S173))</f>
        <v/>
      </c>
    </row>
    <row r="174">
      <c r="A174" s="60" t="n"/>
      <c r="B174" s="63" t="n"/>
      <c r="C174" s="60" t="n"/>
      <c r="D174" s="63" t="n"/>
      <c r="E174" s="63" t="n"/>
      <c r="F174" s="60" t="n"/>
      <c r="G174" s="143" t="n"/>
      <c r="H174" s="143" t="n"/>
      <c r="I174" s="63" t="n"/>
      <c r="J174" s="63" t="n"/>
      <c r="K174" s="63" t="n"/>
      <c r="L174" s="63" t="n"/>
      <c r="M174" s="144" t="n"/>
      <c r="N174" s="65" t="str">
        <f>IF(A174="","",SUMIF(fa_client,A174,fa_ht))</f>
        <v/>
      </c>
      <c r="O174" s="65" t="str">
        <f>IF(A174="","",SUMIF(fa_client,A174,fa_reste))</f>
        <v/>
      </c>
      <c r="P174" s="59" t="str">
        <f>IF(COUNTA(A174:M174)=0,"",IF(A174="","Code manquant",IF(COUNTIF(cli_code,A174)&gt;1,"Code en double",IF(B174="","Nom manquant",IF(AND(p_country="Maroc",C174&lt;&gt;"Particulier",OR(F174="",F174="Maroc"),G174=""),"ICE manquant (client professionnel)",IF(AND(G174&lt;&gt;"",NOT(AND(LEN(G174&amp;"")=15,SUBSTITUTE(SUBSTITUTE(SUBSTITUTE(SUBSTITUTE(SUBSTITUTE(SUBSTITUTE(SUBSTITUTE(SUBSTITUTE(SUBSTITUTE(SUBSTITUTE(G174&amp;"","0",""),"1",""),"2",""),"3",""),"4",""),"5",""),"6",""),"7",""),"8",""),"9","")=""))),"ICE : 15 chiffres attendus",IF(AND(H174&lt;&gt;"",NOT(AND(LEN(H174&amp;"")=9,SUBSTITUTE(SUBSTITUTE(SUBSTITUTE(SUBSTITUTE(SUBSTITUTE(SUBSTITUTE(SUBSTITUTE(SUBSTITUTE(SUBSTITUTE(SUBSTITUTE(H174&amp;"","0",""),"1",""),"2",""),"3",""),"4",""),"5",""),"6",""),"7",""),"8",""),"9","")=""))),"SIREN : 9 chiffres attendus",IF(AND(M174&lt;&gt;"",OR(NOT(ISNUMBER(M174)),N(M174)&lt;0)),"Délai de paiement invalide","OK"))))))))</f>
        <v/>
      </c>
      <c r="Q174" s="62" t="str">
        <f>IF(A174="","",ROUND(SUMIFS(fa_ht,fa_client,A174,fa_year,db_year)*100,0))</f>
        <v/>
      </c>
      <c r="R174" s="62" t="str">
        <f>IF(N(Q174)&lt;=0,"",COUNTIF($Q$6:$Q$305,"&gt;"&amp;Q174)+COUNTIF($Q$6:Q174,Q174))</f>
        <v/>
      </c>
      <c r="S174" s="62" t="str">
        <f>IF(A174="","",ROUND(SUMIFS(fa_reste,fa_client,A174,fa_reste,"&gt;0")*100,0))</f>
        <v/>
      </c>
      <c r="T174" s="62" t="str">
        <f>IF(N(S174)&lt;=0,"",COUNTIF($S$6:$S$305,"&gt;"&amp;S174)+COUNTIF($S$6:S174,S174))</f>
        <v/>
      </c>
    </row>
    <row r="175">
      <c r="A175" s="60" t="n"/>
      <c r="B175" s="63" t="n"/>
      <c r="C175" s="60" t="n"/>
      <c r="D175" s="63" t="n"/>
      <c r="E175" s="63" t="n"/>
      <c r="F175" s="60" t="n"/>
      <c r="G175" s="143" t="n"/>
      <c r="H175" s="143" t="n"/>
      <c r="I175" s="63" t="n"/>
      <c r="J175" s="63" t="n"/>
      <c r="K175" s="63" t="n"/>
      <c r="L175" s="63" t="n"/>
      <c r="M175" s="144" t="n"/>
      <c r="N175" s="65" t="str">
        <f>IF(A175="","",SUMIF(fa_client,A175,fa_ht))</f>
        <v/>
      </c>
      <c r="O175" s="65" t="str">
        <f>IF(A175="","",SUMIF(fa_client,A175,fa_reste))</f>
        <v/>
      </c>
      <c r="P175" s="59" t="str">
        <f>IF(COUNTA(A175:M175)=0,"",IF(A175="","Code manquant",IF(COUNTIF(cli_code,A175)&gt;1,"Code en double",IF(B175="","Nom manquant",IF(AND(p_country="Maroc",C175&lt;&gt;"Particulier",OR(F175="",F175="Maroc"),G175=""),"ICE manquant (client professionnel)",IF(AND(G175&lt;&gt;"",NOT(AND(LEN(G175&amp;"")=15,SUBSTITUTE(SUBSTITUTE(SUBSTITUTE(SUBSTITUTE(SUBSTITUTE(SUBSTITUTE(SUBSTITUTE(SUBSTITUTE(SUBSTITUTE(SUBSTITUTE(G175&amp;"","0",""),"1",""),"2",""),"3",""),"4",""),"5",""),"6",""),"7",""),"8",""),"9","")=""))),"ICE : 15 chiffres attendus",IF(AND(H175&lt;&gt;"",NOT(AND(LEN(H175&amp;"")=9,SUBSTITUTE(SUBSTITUTE(SUBSTITUTE(SUBSTITUTE(SUBSTITUTE(SUBSTITUTE(SUBSTITUTE(SUBSTITUTE(SUBSTITUTE(SUBSTITUTE(H175&amp;"","0",""),"1",""),"2",""),"3",""),"4",""),"5",""),"6",""),"7",""),"8",""),"9","")=""))),"SIREN : 9 chiffres attendus",IF(AND(M175&lt;&gt;"",OR(NOT(ISNUMBER(M175)),N(M175)&lt;0)),"Délai de paiement invalide","OK"))))))))</f>
        <v/>
      </c>
      <c r="Q175" s="62" t="str">
        <f>IF(A175="","",ROUND(SUMIFS(fa_ht,fa_client,A175,fa_year,db_year)*100,0))</f>
        <v/>
      </c>
      <c r="R175" s="62" t="str">
        <f>IF(N(Q175)&lt;=0,"",COUNTIF($Q$6:$Q$305,"&gt;"&amp;Q175)+COUNTIF($Q$6:Q175,Q175))</f>
        <v/>
      </c>
      <c r="S175" s="62" t="str">
        <f>IF(A175="","",ROUND(SUMIFS(fa_reste,fa_client,A175,fa_reste,"&gt;0")*100,0))</f>
        <v/>
      </c>
      <c r="T175" s="62" t="str">
        <f>IF(N(S175)&lt;=0,"",COUNTIF($S$6:$S$305,"&gt;"&amp;S175)+COUNTIF($S$6:S175,S175))</f>
        <v/>
      </c>
    </row>
    <row r="176">
      <c r="A176" s="60" t="n"/>
      <c r="B176" s="63" t="n"/>
      <c r="C176" s="60" t="n"/>
      <c r="D176" s="63" t="n"/>
      <c r="E176" s="63" t="n"/>
      <c r="F176" s="60" t="n"/>
      <c r="G176" s="143" t="n"/>
      <c r="H176" s="143" t="n"/>
      <c r="I176" s="63" t="n"/>
      <c r="J176" s="63" t="n"/>
      <c r="K176" s="63" t="n"/>
      <c r="L176" s="63" t="n"/>
      <c r="M176" s="144" t="n"/>
      <c r="N176" s="65" t="str">
        <f>IF(A176="","",SUMIF(fa_client,A176,fa_ht))</f>
        <v/>
      </c>
      <c r="O176" s="65" t="str">
        <f>IF(A176="","",SUMIF(fa_client,A176,fa_reste))</f>
        <v/>
      </c>
      <c r="P176" s="59" t="str">
        <f>IF(COUNTA(A176:M176)=0,"",IF(A176="","Code manquant",IF(COUNTIF(cli_code,A176)&gt;1,"Code en double",IF(B176="","Nom manquant",IF(AND(p_country="Maroc",C176&lt;&gt;"Particulier",OR(F176="",F176="Maroc"),G176=""),"ICE manquant (client professionnel)",IF(AND(G176&lt;&gt;"",NOT(AND(LEN(G176&amp;"")=15,SUBSTITUTE(SUBSTITUTE(SUBSTITUTE(SUBSTITUTE(SUBSTITUTE(SUBSTITUTE(SUBSTITUTE(SUBSTITUTE(SUBSTITUTE(SUBSTITUTE(G176&amp;"","0",""),"1",""),"2",""),"3",""),"4",""),"5",""),"6",""),"7",""),"8",""),"9","")=""))),"ICE : 15 chiffres attendus",IF(AND(H176&lt;&gt;"",NOT(AND(LEN(H176&amp;"")=9,SUBSTITUTE(SUBSTITUTE(SUBSTITUTE(SUBSTITUTE(SUBSTITUTE(SUBSTITUTE(SUBSTITUTE(SUBSTITUTE(SUBSTITUTE(SUBSTITUTE(H176&amp;"","0",""),"1",""),"2",""),"3",""),"4",""),"5",""),"6",""),"7",""),"8",""),"9","")=""))),"SIREN : 9 chiffres attendus",IF(AND(M176&lt;&gt;"",OR(NOT(ISNUMBER(M176)),N(M176)&lt;0)),"Délai de paiement invalide","OK"))))))))</f>
        <v/>
      </c>
      <c r="Q176" s="62" t="str">
        <f>IF(A176="","",ROUND(SUMIFS(fa_ht,fa_client,A176,fa_year,db_year)*100,0))</f>
        <v/>
      </c>
      <c r="R176" s="62" t="str">
        <f>IF(N(Q176)&lt;=0,"",COUNTIF($Q$6:$Q$305,"&gt;"&amp;Q176)+COUNTIF($Q$6:Q176,Q176))</f>
        <v/>
      </c>
      <c r="S176" s="62" t="str">
        <f>IF(A176="","",ROUND(SUMIFS(fa_reste,fa_client,A176,fa_reste,"&gt;0")*100,0))</f>
        <v/>
      </c>
      <c r="T176" s="62" t="str">
        <f>IF(N(S176)&lt;=0,"",COUNTIF($S$6:$S$305,"&gt;"&amp;S176)+COUNTIF($S$6:S176,S176))</f>
        <v/>
      </c>
    </row>
    <row r="177">
      <c r="A177" s="60" t="n"/>
      <c r="B177" s="63" t="n"/>
      <c r="C177" s="60" t="n"/>
      <c r="D177" s="63" t="n"/>
      <c r="E177" s="63" t="n"/>
      <c r="F177" s="60" t="n"/>
      <c r="G177" s="143" t="n"/>
      <c r="H177" s="143" t="n"/>
      <c r="I177" s="63" t="n"/>
      <c r="J177" s="63" t="n"/>
      <c r="K177" s="63" t="n"/>
      <c r="L177" s="63" t="n"/>
      <c r="M177" s="144" t="n"/>
      <c r="N177" s="65" t="str">
        <f>IF(A177="","",SUMIF(fa_client,A177,fa_ht))</f>
        <v/>
      </c>
      <c r="O177" s="65" t="str">
        <f>IF(A177="","",SUMIF(fa_client,A177,fa_reste))</f>
        <v/>
      </c>
      <c r="P177" s="59" t="str">
        <f>IF(COUNTA(A177:M177)=0,"",IF(A177="","Code manquant",IF(COUNTIF(cli_code,A177)&gt;1,"Code en double",IF(B177="","Nom manquant",IF(AND(p_country="Maroc",C177&lt;&gt;"Particulier",OR(F177="",F177="Maroc"),G177=""),"ICE manquant (client professionnel)",IF(AND(G177&lt;&gt;"",NOT(AND(LEN(G177&amp;"")=15,SUBSTITUTE(SUBSTITUTE(SUBSTITUTE(SUBSTITUTE(SUBSTITUTE(SUBSTITUTE(SUBSTITUTE(SUBSTITUTE(SUBSTITUTE(SUBSTITUTE(G177&amp;"","0",""),"1",""),"2",""),"3",""),"4",""),"5",""),"6",""),"7",""),"8",""),"9","")=""))),"ICE : 15 chiffres attendus",IF(AND(H177&lt;&gt;"",NOT(AND(LEN(H177&amp;"")=9,SUBSTITUTE(SUBSTITUTE(SUBSTITUTE(SUBSTITUTE(SUBSTITUTE(SUBSTITUTE(SUBSTITUTE(SUBSTITUTE(SUBSTITUTE(SUBSTITUTE(H177&amp;"","0",""),"1",""),"2",""),"3",""),"4",""),"5",""),"6",""),"7",""),"8",""),"9","")=""))),"SIREN : 9 chiffres attendus",IF(AND(M177&lt;&gt;"",OR(NOT(ISNUMBER(M177)),N(M177)&lt;0)),"Délai de paiement invalide","OK"))))))))</f>
        <v/>
      </c>
      <c r="Q177" s="62" t="str">
        <f>IF(A177="","",ROUND(SUMIFS(fa_ht,fa_client,A177,fa_year,db_year)*100,0))</f>
        <v/>
      </c>
      <c r="R177" s="62" t="str">
        <f>IF(N(Q177)&lt;=0,"",COUNTIF($Q$6:$Q$305,"&gt;"&amp;Q177)+COUNTIF($Q$6:Q177,Q177))</f>
        <v/>
      </c>
      <c r="S177" s="62" t="str">
        <f>IF(A177="","",ROUND(SUMIFS(fa_reste,fa_client,A177,fa_reste,"&gt;0")*100,0))</f>
        <v/>
      </c>
      <c r="T177" s="62" t="str">
        <f>IF(N(S177)&lt;=0,"",COUNTIF($S$6:$S$305,"&gt;"&amp;S177)+COUNTIF($S$6:S177,S177))</f>
        <v/>
      </c>
    </row>
    <row r="178">
      <c r="A178" s="60" t="n"/>
      <c r="B178" s="63" t="n"/>
      <c r="C178" s="60" t="n"/>
      <c r="D178" s="63" t="n"/>
      <c r="E178" s="63" t="n"/>
      <c r="F178" s="60" t="n"/>
      <c r="G178" s="143" t="n"/>
      <c r="H178" s="143" t="n"/>
      <c r="I178" s="63" t="n"/>
      <c r="J178" s="63" t="n"/>
      <c r="K178" s="63" t="n"/>
      <c r="L178" s="63" t="n"/>
      <c r="M178" s="144" t="n"/>
      <c r="N178" s="65" t="str">
        <f>IF(A178="","",SUMIF(fa_client,A178,fa_ht))</f>
        <v/>
      </c>
      <c r="O178" s="65" t="str">
        <f>IF(A178="","",SUMIF(fa_client,A178,fa_reste))</f>
        <v/>
      </c>
      <c r="P178" s="59" t="str">
        <f>IF(COUNTA(A178:M178)=0,"",IF(A178="","Code manquant",IF(COUNTIF(cli_code,A178)&gt;1,"Code en double",IF(B178="","Nom manquant",IF(AND(p_country="Maroc",C178&lt;&gt;"Particulier",OR(F178="",F178="Maroc"),G178=""),"ICE manquant (client professionnel)",IF(AND(G178&lt;&gt;"",NOT(AND(LEN(G178&amp;"")=15,SUBSTITUTE(SUBSTITUTE(SUBSTITUTE(SUBSTITUTE(SUBSTITUTE(SUBSTITUTE(SUBSTITUTE(SUBSTITUTE(SUBSTITUTE(SUBSTITUTE(G178&amp;"","0",""),"1",""),"2",""),"3",""),"4",""),"5",""),"6",""),"7",""),"8",""),"9","")=""))),"ICE : 15 chiffres attendus",IF(AND(H178&lt;&gt;"",NOT(AND(LEN(H178&amp;"")=9,SUBSTITUTE(SUBSTITUTE(SUBSTITUTE(SUBSTITUTE(SUBSTITUTE(SUBSTITUTE(SUBSTITUTE(SUBSTITUTE(SUBSTITUTE(SUBSTITUTE(H178&amp;"","0",""),"1",""),"2",""),"3",""),"4",""),"5",""),"6",""),"7",""),"8",""),"9","")=""))),"SIREN : 9 chiffres attendus",IF(AND(M178&lt;&gt;"",OR(NOT(ISNUMBER(M178)),N(M178)&lt;0)),"Délai de paiement invalide","OK"))))))))</f>
        <v/>
      </c>
      <c r="Q178" s="62" t="str">
        <f>IF(A178="","",ROUND(SUMIFS(fa_ht,fa_client,A178,fa_year,db_year)*100,0))</f>
        <v/>
      </c>
      <c r="R178" s="62" t="str">
        <f>IF(N(Q178)&lt;=0,"",COUNTIF($Q$6:$Q$305,"&gt;"&amp;Q178)+COUNTIF($Q$6:Q178,Q178))</f>
        <v/>
      </c>
      <c r="S178" s="62" t="str">
        <f>IF(A178="","",ROUND(SUMIFS(fa_reste,fa_client,A178,fa_reste,"&gt;0")*100,0))</f>
        <v/>
      </c>
      <c r="T178" s="62" t="str">
        <f>IF(N(S178)&lt;=0,"",COUNTIF($S$6:$S$305,"&gt;"&amp;S178)+COUNTIF($S$6:S178,S178))</f>
        <v/>
      </c>
    </row>
    <row r="179">
      <c r="A179" s="60" t="n"/>
      <c r="B179" s="63" t="n"/>
      <c r="C179" s="60" t="n"/>
      <c r="D179" s="63" t="n"/>
      <c r="E179" s="63" t="n"/>
      <c r="F179" s="60" t="n"/>
      <c r="G179" s="143" t="n"/>
      <c r="H179" s="143" t="n"/>
      <c r="I179" s="63" t="n"/>
      <c r="J179" s="63" t="n"/>
      <c r="K179" s="63" t="n"/>
      <c r="L179" s="63" t="n"/>
      <c r="M179" s="144" t="n"/>
      <c r="N179" s="65" t="str">
        <f>IF(A179="","",SUMIF(fa_client,A179,fa_ht))</f>
        <v/>
      </c>
      <c r="O179" s="65" t="str">
        <f>IF(A179="","",SUMIF(fa_client,A179,fa_reste))</f>
        <v/>
      </c>
      <c r="P179" s="59" t="str">
        <f>IF(COUNTA(A179:M179)=0,"",IF(A179="","Code manquant",IF(COUNTIF(cli_code,A179)&gt;1,"Code en double",IF(B179="","Nom manquant",IF(AND(p_country="Maroc",C179&lt;&gt;"Particulier",OR(F179="",F179="Maroc"),G179=""),"ICE manquant (client professionnel)",IF(AND(G179&lt;&gt;"",NOT(AND(LEN(G179&amp;"")=15,SUBSTITUTE(SUBSTITUTE(SUBSTITUTE(SUBSTITUTE(SUBSTITUTE(SUBSTITUTE(SUBSTITUTE(SUBSTITUTE(SUBSTITUTE(SUBSTITUTE(G179&amp;"","0",""),"1",""),"2",""),"3",""),"4",""),"5",""),"6",""),"7",""),"8",""),"9","")=""))),"ICE : 15 chiffres attendus",IF(AND(H179&lt;&gt;"",NOT(AND(LEN(H179&amp;"")=9,SUBSTITUTE(SUBSTITUTE(SUBSTITUTE(SUBSTITUTE(SUBSTITUTE(SUBSTITUTE(SUBSTITUTE(SUBSTITUTE(SUBSTITUTE(SUBSTITUTE(H179&amp;"","0",""),"1",""),"2",""),"3",""),"4",""),"5",""),"6",""),"7",""),"8",""),"9","")=""))),"SIREN : 9 chiffres attendus",IF(AND(M179&lt;&gt;"",OR(NOT(ISNUMBER(M179)),N(M179)&lt;0)),"Délai de paiement invalide","OK"))))))))</f>
        <v/>
      </c>
      <c r="Q179" s="62" t="str">
        <f>IF(A179="","",ROUND(SUMIFS(fa_ht,fa_client,A179,fa_year,db_year)*100,0))</f>
        <v/>
      </c>
      <c r="R179" s="62" t="str">
        <f>IF(N(Q179)&lt;=0,"",COUNTIF($Q$6:$Q$305,"&gt;"&amp;Q179)+COUNTIF($Q$6:Q179,Q179))</f>
        <v/>
      </c>
      <c r="S179" s="62" t="str">
        <f>IF(A179="","",ROUND(SUMIFS(fa_reste,fa_client,A179,fa_reste,"&gt;0")*100,0))</f>
        <v/>
      </c>
      <c r="T179" s="62" t="str">
        <f>IF(N(S179)&lt;=0,"",COUNTIF($S$6:$S$305,"&gt;"&amp;S179)+COUNTIF($S$6:S179,S179))</f>
        <v/>
      </c>
    </row>
    <row r="180">
      <c r="A180" s="60" t="n"/>
      <c r="B180" s="63" t="n"/>
      <c r="C180" s="60" t="n"/>
      <c r="D180" s="63" t="n"/>
      <c r="E180" s="63" t="n"/>
      <c r="F180" s="60" t="n"/>
      <c r="G180" s="143" t="n"/>
      <c r="H180" s="143" t="n"/>
      <c r="I180" s="63" t="n"/>
      <c r="J180" s="63" t="n"/>
      <c r="K180" s="63" t="n"/>
      <c r="L180" s="63" t="n"/>
      <c r="M180" s="144" t="n"/>
      <c r="N180" s="65" t="str">
        <f>IF(A180="","",SUMIF(fa_client,A180,fa_ht))</f>
        <v/>
      </c>
      <c r="O180" s="65" t="str">
        <f>IF(A180="","",SUMIF(fa_client,A180,fa_reste))</f>
        <v/>
      </c>
      <c r="P180" s="59" t="str">
        <f>IF(COUNTA(A180:M180)=0,"",IF(A180="","Code manquant",IF(COUNTIF(cli_code,A180)&gt;1,"Code en double",IF(B180="","Nom manquant",IF(AND(p_country="Maroc",C180&lt;&gt;"Particulier",OR(F180="",F180="Maroc"),G180=""),"ICE manquant (client professionnel)",IF(AND(G180&lt;&gt;"",NOT(AND(LEN(G180&amp;"")=15,SUBSTITUTE(SUBSTITUTE(SUBSTITUTE(SUBSTITUTE(SUBSTITUTE(SUBSTITUTE(SUBSTITUTE(SUBSTITUTE(SUBSTITUTE(SUBSTITUTE(G180&amp;"","0",""),"1",""),"2",""),"3",""),"4",""),"5",""),"6",""),"7",""),"8",""),"9","")=""))),"ICE : 15 chiffres attendus",IF(AND(H180&lt;&gt;"",NOT(AND(LEN(H180&amp;"")=9,SUBSTITUTE(SUBSTITUTE(SUBSTITUTE(SUBSTITUTE(SUBSTITUTE(SUBSTITUTE(SUBSTITUTE(SUBSTITUTE(SUBSTITUTE(SUBSTITUTE(H180&amp;"","0",""),"1",""),"2",""),"3",""),"4",""),"5",""),"6",""),"7",""),"8",""),"9","")=""))),"SIREN : 9 chiffres attendus",IF(AND(M180&lt;&gt;"",OR(NOT(ISNUMBER(M180)),N(M180)&lt;0)),"Délai de paiement invalide","OK"))))))))</f>
        <v/>
      </c>
      <c r="Q180" s="62" t="str">
        <f>IF(A180="","",ROUND(SUMIFS(fa_ht,fa_client,A180,fa_year,db_year)*100,0))</f>
        <v/>
      </c>
      <c r="R180" s="62" t="str">
        <f>IF(N(Q180)&lt;=0,"",COUNTIF($Q$6:$Q$305,"&gt;"&amp;Q180)+COUNTIF($Q$6:Q180,Q180))</f>
        <v/>
      </c>
      <c r="S180" s="62" t="str">
        <f>IF(A180="","",ROUND(SUMIFS(fa_reste,fa_client,A180,fa_reste,"&gt;0")*100,0))</f>
        <v/>
      </c>
      <c r="T180" s="62" t="str">
        <f>IF(N(S180)&lt;=0,"",COUNTIF($S$6:$S$305,"&gt;"&amp;S180)+COUNTIF($S$6:S180,S180))</f>
        <v/>
      </c>
    </row>
    <row r="181">
      <c r="A181" s="60" t="n"/>
      <c r="B181" s="63" t="n"/>
      <c r="C181" s="60" t="n"/>
      <c r="D181" s="63" t="n"/>
      <c r="E181" s="63" t="n"/>
      <c r="F181" s="60" t="n"/>
      <c r="G181" s="143" t="n"/>
      <c r="H181" s="143" t="n"/>
      <c r="I181" s="63" t="n"/>
      <c r="J181" s="63" t="n"/>
      <c r="K181" s="63" t="n"/>
      <c r="L181" s="63" t="n"/>
      <c r="M181" s="144" t="n"/>
      <c r="N181" s="65" t="str">
        <f>IF(A181="","",SUMIF(fa_client,A181,fa_ht))</f>
        <v/>
      </c>
      <c r="O181" s="65" t="str">
        <f>IF(A181="","",SUMIF(fa_client,A181,fa_reste))</f>
        <v/>
      </c>
      <c r="P181" s="59" t="str">
        <f>IF(COUNTA(A181:M181)=0,"",IF(A181="","Code manquant",IF(COUNTIF(cli_code,A181)&gt;1,"Code en double",IF(B181="","Nom manquant",IF(AND(p_country="Maroc",C181&lt;&gt;"Particulier",OR(F181="",F181="Maroc"),G181=""),"ICE manquant (client professionnel)",IF(AND(G181&lt;&gt;"",NOT(AND(LEN(G181&amp;"")=15,SUBSTITUTE(SUBSTITUTE(SUBSTITUTE(SUBSTITUTE(SUBSTITUTE(SUBSTITUTE(SUBSTITUTE(SUBSTITUTE(SUBSTITUTE(SUBSTITUTE(G181&amp;"","0",""),"1",""),"2",""),"3",""),"4",""),"5",""),"6",""),"7",""),"8",""),"9","")=""))),"ICE : 15 chiffres attendus",IF(AND(H181&lt;&gt;"",NOT(AND(LEN(H181&amp;"")=9,SUBSTITUTE(SUBSTITUTE(SUBSTITUTE(SUBSTITUTE(SUBSTITUTE(SUBSTITUTE(SUBSTITUTE(SUBSTITUTE(SUBSTITUTE(SUBSTITUTE(H181&amp;"","0",""),"1",""),"2",""),"3",""),"4",""),"5",""),"6",""),"7",""),"8",""),"9","")=""))),"SIREN : 9 chiffres attendus",IF(AND(M181&lt;&gt;"",OR(NOT(ISNUMBER(M181)),N(M181)&lt;0)),"Délai de paiement invalide","OK"))))))))</f>
        <v/>
      </c>
      <c r="Q181" s="62" t="str">
        <f>IF(A181="","",ROUND(SUMIFS(fa_ht,fa_client,A181,fa_year,db_year)*100,0))</f>
        <v/>
      </c>
      <c r="R181" s="62" t="str">
        <f>IF(N(Q181)&lt;=0,"",COUNTIF($Q$6:$Q$305,"&gt;"&amp;Q181)+COUNTIF($Q$6:Q181,Q181))</f>
        <v/>
      </c>
      <c r="S181" s="62" t="str">
        <f>IF(A181="","",ROUND(SUMIFS(fa_reste,fa_client,A181,fa_reste,"&gt;0")*100,0))</f>
        <v/>
      </c>
      <c r="T181" s="62" t="str">
        <f>IF(N(S181)&lt;=0,"",COUNTIF($S$6:$S$305,"&gt;"&amp;S181)+COUNTIF($S$6:S181,S181))</f>
        <v/>
      </c>
    </row>
    <row r="182">
      <c r="A182" s="60" t="n"/>
      <c r="B182" s="63" t="n"/>
      <c r="C182" s="60" t="n"/>
      <c r="D182" s="63" t="n"/>
      <c r="E182" s="63" t="n"/>
      <c r="F182" s="60" t="n"/>
      <c r="G182" s="143" t="n"/>
      <c r="H182" s="143" t="n"/>
      <c r="I182" s="63" t="n"/>
      <c r="J182" s="63" t="n"/>
      <c r="K182" s="63" t="n"/>
      <c r="L182" s="63" t="n"/>
      <c r="M182" s="144" t="n"/>
      <c r="N182" s="65" t="str">
        <f>IF(A182="","",SUMIF(fa_client,A182,fa_ht))</f>
        <v/>
      </c>
      <c r="O182" s="65" t="str">
        <f>IF(A182="","",SUMIF(fa_client,A182,fa_reste))</f>
        <v/>
      </c>
      <c r="P182" s="59" t="str">
        <f>IF(COUNTA(A182:M182)=0,"",IF(A182="","Code manquant",IF(COUNTIF(cli_code,A182)&gt;1,"Code en double",IF(B182="","Nom manquant",IF(AND(p_country="Maroc",C182&lt;&gt;"Particulier",OR(F182="",F182="Maroc"),G182=""),"ICE manquant (client professionnel)",IF(AND(G182&lt;&gt;"",NOT(AND(LEN(G182&amp;"")=15,SUBSTITUTE(SUBSTITUTE(SUBSTITUTE(SUBSTITUTE(SUBSTITUTE(SUBSTITUTE(SUBSTITUTE(SUBSTITUTE(SUBSTITUTE(SUBSTITUTE(G182&amp;"","0",""),"1",""),"2",""),"3",""),"4",""),"5",""),"6",""),"7",""),"8",""),"9","")=""))),"ICE : 15 chiffres attendus",IF(AND(H182&lt;&gt;"",NOT(AND(LEN(H182&amp;"")=9,SUBSTITUTE(SUBSTITUTE(SUBSTITUTE(SUBSTITUTE(SUBSTITUTE(SUBSTITUTE(SUBSTITUTE(SUBSTITUTE(SUBSTITUTE(SUBSTITUTE(H182&amp;"","0",""),"1",""),"2",""),"3",""),"4",""),"5",""),"6",""),"7",""),"8",""),"9","")=""))),"SIREN : 9 chiffres attendus",IF(AND(M182&lt;&gt;"",OR(NOT(ISNUMBER(M182)),N(M182)&lt;0)),"Délai de paiement invalide","OK"))))))))</f>
        <v/>
      </c>
      <c r="Q182" s="62" t="str">
        <f>IF(A182="","",ROUND(SUMIFS(fa_ht,fa_client,A182,fa_year,db_year)*100,0))</f>
        <v/>
      </c>
      <c r="R182" s="62" t="str">
        <f>IF(N(Q182)&lt;=0,"",COUNTIF($Q$6:$Q$305,"&gt;"&amp;Q182)+COUNTIF($Q$6:Q182,Q182))</f>
        <v/>
      </c>
      <c r="S182" s="62" t="str">
        <f>IF(A182="","",ROUND(SUMIFS(fa_reste,fa_client,A182,fa_reste,"&gt;0")*100,0))</f>
        <v/>
      </c>
      <c r="T182" s="62" t="str">
        <f>IF(N(S182)&lt;=0,"",COUNTIF($S$6:$S$305,"&gt;"&amp;S182)+COUNTIF($S$6:S182,S182))</f>
        <v/>
      </c>
    </row>
    <row r="183">
      <c r="A183" s="60" t="n"/>
      <c r="B183" s="63" t="n"/>
      <c r="C183" s="60" t="n"/>
      <c r="D183" s="63" t="n"/>
      <c r="E183" s="63" t="n"/>
      <c r="F183" s="60" t="n"/>
      <c r="G183" s="143" t="n"/>
      <c r="H183" s="143" t="n"/>
      <c r="I183" s="63" t="n"/>
      <c r="J183" s="63" t="n"/>
      <c r="K183" s="63" t="n"/>
      <c r="L183" s="63" t="n"/>
      <c r="M183" s="144" t="n"/>
      <c r="N183" s="65" t="str">
        <f>IF(A183="","",SUMIF(fa_client,A183,fa_ht))</f>
        <v/>
      </c>
      <c r="O183" s="65" t="str">
        <f>IF(A183="","",SUMIF(fa_client,A183,fa_reste))</f>
        <v/>
      </c>
      <c r="P183" s="59" t="str">
        <f>IF(COUNTA(A183:M183)=0,"",IF(A183="","Code manquant",IF(COUNTIF(cli_code,A183)&gt;1,"Code en double",IF(B183="","Nom manquant",IF(AND(p_country="Maroc",C183&lt;&gt;"Particulier",OR(F183="",F183="Maroc"),G183=""),"ICE manquant (client professionnel)",IF(AND(G183&lt;&gt;"",NOT(AND(LEN(G183&amp;"")=15,SUBSTITUTE(SUBSTITUTE(SUBSTITUTE(SUBSTITUTE(SUBSTITUTE(SUBSTITUTE(SUBSTITUTE(SUBSTITUTE(SUBSTITUTE(SUBSTITUTE(G183&amp;"","0",""),"1",""),"2",""),"3",""),"4",""),"5",""),"6",""),"7",""),"8",""),"9","")=""))),"ICE : 15 chiffres attendus",IF(AND(H183&lt;&gt;"",NOT(AND(LEN(H183&amp;"")=9,SUBSTITUTE(SUBSTITUTE(SUBSTITUTE(SUBSTITUTE(SUBSTITUTE(SUBSTITUTE(SUBSTITUTE(SUBSTITUTE(SUBSTITUTE(SUBSTITUTE(H183&amp;"","0",""),"1",""),"2",""),"3",""),"4",""),"5",""),"6",""),"7",""),"8",""),"9","")=""))),"SIREN : 9 chiffres attendus",IF(AND(M183&lt;&gt;"",OR(NOT(ISNUMBER(M183)),N(M183)&lt;0)),"Délai de paiement invalide","OK"))))))))</f>
        <v/>
      </c>
      <c r="Q183" s="62" t="str">
        <f>IF(A183="","",ROUND(SUMIFS(fa_ht,fa_client,A183,fa_year,db_year)*100,0))</f>
        <v/>
      </c>
      <c r="R183" s="62" t="str">
        <f>IF(N(Q183)&lt;=0,"",COUNTIF($Q$6:$Q$305,"&gt;"&amp;Q183)+COUNTIF($Q$6:Q183,Q183))</f>
        <v/>
      </c>
      <c r="S183" s="62" t="str">
        <f>IF(A183="","",ROUND(SUMIFS(fa_reste,fa_client,A183,fa_reste,"&gt;0")*100,0))</f>
        <v/>
      </c>
      <c r="T183" s="62" t="str">
        <f>IF(N(S183)&lt;=0,"",COUNTIF($S$6:$S$305,"&gt;"&amp;S183)+COUNTIF($S$6:S183,S183))</f>
        <v/>
      </c>
    </row>
    <row r="184">
      <c r="A184" s="60" t="n"/>
      <c r="B184" s="63" t="n"/>
      <c r="C184" s="60" t="n"/>
      <c r="D184" s="63" t="n"/>
      <c r="E184" s="63" t="n"/>
      <c r="F184" s="60" t="n"/>
      <c r="G184" s="143" t="n"/>
      <c r="H184" s="143" t="n"/>
      <c r="I184" s="63" t="n"/>
      <c r="J184" s="63" t="n"/>
      <c r="K184" s="63" t="n"/>
      <c r="L184" s="63" t="n"/>
      <c r="M184" s="144" t="n"/>
      <c r="N184" s="65" t="str">
        <f>IF(A184="","",SUMIF(fa_client,A184,fa_ht))</f>
        <v/>
      </c>
      <c r="O184" s="65" t="str">
        <f>IF(A184="","",SUMIF(fa_client,A184,fa_reste))</f>
        <v/>
      </c>
      <c r="P184" s="59" t="str">
        <f>IF(COUNTA(A184:M184)=0,"",IF(A184="","Code manquant",IF(COUNTIF(cli_code,A184)&gt;1,"Code en double",IF(B184="","Nom manquant",IF(AND(p_country="Maroc",C184&lt;&gt;"Particulier",OR(F184="",F184="Maroc"),G184=""),"ICE manquant (client professionnel)",IF(AND(G184&lt;&gt;"",NOT(AND(LEN(G184&amp;"")=15,SUBSTITUTE(SUBSTITUTE(SUBSTITUTE(SUBSTITUTE(SUBSTITUTE(SUBSTITUTE(SUBSTITUTE(SUBSTITUTE(SUBSTITUTE(SUBSTITUTE(G184&amp;"","0",""),"1",""),"2",""),"3",""),"4",""),"5",""),"6",""),"7",""),"8",""),"9","")=""))),"ICE : 15 chiffres attendus",IF(AND(H184&lt;&gt;"",NOT(AND(LEN(H184&amp;"")=9,SUBSTITUTE(SUBSTITUTE(SUBSTITUTE(SUBSTITUTE(SUBSTITUTE(SUBSTITUTE(SUBSTITUTE(SUBSTITUTE(SUBSTITUTE(SUBSTITUTE(H184&amp;"","0",""),"1",""),"2",""),"3",""),"4",""),"5",""),"6",""),"7",""),"8",""),"9","")=""))),"SIREN : 9 chiffres attendus",IF(AND(M184&lt;&gt;"",OR(NOT(ISNUMBER(M184)),N(M184)&lt;0)),"Délai de paiement invalide","OK"))))))))</f>
        <v/>
      </c>
      <c r="Q184" s="62" t="str">
        <f>IF(A184="","",ROUND(SUMIFS(fa_ht,fa_client,A184,fa_year,db_year)*100,0))</f>
        <v/>
      </c>
      <c r="R184" s="62" t="str">
        <f>IF(N(Q184)&lt;=0,"",COUNTIF($Q$6:$Q$305,"&gt;"&amp;Q184)+COUNTIF($Q$6:Q184,Q184))</f>
        <v/>
      </c>
      <c r="S184" s="62" t="str">
        <f>IF(A184="","",ROUND(SUMIFS(fa_reste,fa_client,A184,fa_reste,"&gt;0")*100,0))</f>
        <v/>
      </c>
      <c r="T184" s="62" t="str">
        <f>IF(N(S184)&lt;=0,"",COUNTIF($S$6:$S$305,"&gt;"&amp;S184)+COUNTIF($S$6:S184,S184))</f>
        <v/>
      </c>
    </row>
    <row r="185">
      <c r="A185" s="60" t="n"/>
      <c r="B185" s="63" t="n"/>
      <c r="C185" s="60" t="n"/>
      <c r="D185" s="63" t="n"/>
      <c r="E185" s="63" t="n"/>
      <c r="F185" s="60" t="n"/>
      <c r="G185" s="143" t="n"/>
      <c r="H185" s="143" t="n"/>
      <c r="I185" s="63" t="n"/>
      <c r="J185" s="63" t="n"/>
      <c r="K185" s="63" t="n"/>
      <c r="L185" s="63" t="n"/>
      <c r="M185" s="144" t="n"/>
      <c r="N185" s="65" t="str">
        <f>IF(A185="","",SUMIF(fa_client,A185,fa_ht))</f>
        <v/>
      </c>
      <c r="O185" s="65" t="str">
        <f>IF(A185="","",SUMIF(fa_client,A185,fa_reste))</f>
        <v/>
      </c>
      <c r="P185" s="59" t="str">
        <f>IF(COUNTA(A185:M185)=0,"",IF(A185="","Code manquant",IF(COUNTIF(cli_code,A185)&gt;1,"Code en double",IF(B185="","Nom manquant",IF(AND(p_country="Maroc",C185&lt;&gt;"Particulier",OR(F185="",F185="Maroc"),G185=""),"ICE manquant (client professionnel)",IF(AND(G185&lt;&gt;"",NOT(AND(LEN(G185&amp;"")=15,SUBSTITUTE(SUBSTITUTE(SUBSTITUTE(SUBSTITUTE(SUBSTITUTE(SUBSTITUTE(SUBSTITUTE(SUBSTITUTE(SUBSTITUTE(SUBSTITUTE(G185&amp;"","0",""),"1",""),"2",""),"3",""),"4",""),"5",""),"6",""),"7",""),"8",""),"9","")=""))),"ICE : 15 chiffres attendus",IF(AND(H185&lt;&gt;"",NOT(AND(LEN(H185&amp;"")=9,SUBSTITUTE(SUBSTITUTE(SUBSTITUTE(SUBSTITUTE(SUBSTITUTE(SUBSTITUTE(SUBSTITUTE(SUBSTITUTE(SUBSTITUTE(SUBSTITUTE(H185&amp;"","0",""),"1",""),"2",""),"3",""),"4",""),"5",""),"6",""),"7",""),"8",""),"9","")=""))),"SIREN : 9 chiffres attendus",IF(AND(M185&lt;&gt;"",OR(NOT(ISNUMBER(M185)),N(M185)&lt;0)),"Délai de paiement invalide","OK"))))))))</f>
        <v/>
      </c>
      <c r="Q185" s="62" t="str">
        <f>IF(A185="","",ROUND(SUMIFS(fa_ht,fa_client,A185,fa_year,db_year)*100,0))</f>
        <v/>
      </c>
      <c r="R185" s="62" t="str">
        <f>IF(N(Q185)&lt;=0,"",COUNTIF($Q$6:$Q$305,"&gt;"&amp;Q185)+COUNTIF($Q$6:Q185,Q185))</f>
        <v/>
      </c>
      <c r="S185" s="62" t="str">
        <f>IF(A185="","",ROUND(SUMIFS(fa_reste,fa_client,A185,fa_reste,"&gt;0")*100,0))</f>
        <v/>
      </c>
      <c r="T185" s="62" t="str">
        <f>IF(N(S185)&lt;=0,"",COUNTIF($S$6:$S$305,"&gt;"&amp;S185)+COUNTIF($S$6:S185,S185))</f>
        <v/>
      </c>
    </row>
    <row r="186">
      <c r="A186" s="60" t="n"/>
      <c r="B186" s="63" t="n"/>
      <c r="C186" s="60" t="n"/>
      <c r="D186" s="63" t="n"/>
      <c r="E186" s="63" t="n"/>
      <c r="F186" s="60" t="n"/>
      <c r="G186" s="143" t="n"/>
      <c r="H186" s="143" t="n"/>
      <c r="I186" s="63" t="n"/>
      <c r="J186" s="63" t="n"/>
      <c r="K186" s="63" t="n"/>
      <c r="L186" s="63" t="n"/>
      <c r="M186" s="144" t="n"/>
      <c r="N186" s="65" t="str">
        <f>IF(A186="","",SUMIF(fa_client,A186,fa_ht))</f>
        <v/>
      </c>
      <c r="O186" s="65" t="str">
        <f>IF(A186="","",SUMIF(fa_client,A186,fa_reste))</f>
        <v/>
      </c>
      <c r="P186" s="59" t="str">
        <f>IF(COUNTA(A186:M186)=0,"",IF(A186="","Code manquant",IF(COUNTIF(cli_code,A186)&gt;1,"Code en double",IF(B186="","Nom manquant",IF(AND(p_country="Maroc",C186&lt;&gt;"Particulier",OR(F186="",F186="Maroc"),G186=""),"ICE manquant (client professionnel)",IF(AND(G186&lt;&gt;"",NOT(AND(LEN(G186&amp;"")=15,SUBSTITUTE(SUBSTITUTE(SUBSTITUTE(SUBSTITUTE(SUBSTITUTE(SUBSTITUTE(SUBSTITUTE(SUBSTITUTE(SUBSTITUTE(SUBSTITUTE(G186&amp;"","0",""),"1",""),"2",""),"3",""),"4",""),"5",""),"6",""),"7",""),"8",""),"9","")=""))),"ICE : 15 chiffres attendus",IF(AND(H186&lt;&gt;"",NOT(AND(LEN(H186&amp;"")=9,SUBSTITUTE(SUBSTITUTE(SUBSTITUTE(SUBSTITUTE(SUBSTITUTE(SUBSTITUTE(SUBSTITUTE(SUBSTITUTE(SUBSTITUTE(SUBSTITUTE(H186&amp;"","0",""),"1",""),"2",""),"3",""),"4",""),"5",""),"6",""),"7",""),"8",""),"9","")=""))),"SIREN : 9 chiffres attendus",IF(AND(M186&lt;&gt;"",OR(NOT(ISNUMBER(M186)),N(M186)&lt;0)),"Délai de paiement invalide","OK"))))))))</f>
        <v/>
      </c>
      <c r="Q186" s="62" t="str">
        <f>IF(A186="","",ROUND(SUMIFS(fa_ht,fa_client,A186,fa_year,db_year)*100,0))</f>
        <v/>
      </c>
      <c r="R186" s="62" t="str">
        <f>IF(N(Q186)&lt;=0,"",COUNTIF($Q$6:$Q$305,"&gt;"&amp;Q186)+COUNTIF($Q$6:Q186,Q186))</f>
        <v/>
      </c>
      <c r="S186" s="62" t="str">
        <f>IF(A186="","",ROUND(SUMIFS(fa_reste,fa_client,A186,fa_reste,"&gt;0")*100,0))</f>
        <v/>
      </c>
      <c r="T186" s="62" t="str">
        <f>IF(N(S186)&lt;=0,"",COUNTIF($S$6:$S$305,"&gt;"&amp;S186)+COUNTIF($S$6:S186,S186))</f>
        <v/>
      </c>
    </row>
    <row r="187">
      <c r="A187" s="60" t="n"/>
      <c r="B187" s="63" t="n"/>
      <c r="C187" s="60" t="n"/>
      <c r="D187" s="63" t="n"/>
      <c r="E187" s="63" t="n"/>
      <c r="F187" s="60" t="n"/>
      <c r="G187" s="143" t="n"/>
      <c r="H187" s="143" t="n"/>
      <c r="I187" s="63" t="n"/>
      <c r="J187" s="63" t="n"/>
      <c r="K187" s="63" t="n"/>
      <c r="L187" s="63" t="n"/>
      <c r="M187" s="144" t="n"/>
      <c r="N187" s="65" t="str">
        <f>IF(A187="","",SUMIF(fa_client,A187,fa_ht))</f>
        <v/>
      </c>
      <c r="O187" s="65" t="str">
        <f>IF(A187="","",SUMIF(fa_client,A187,fa_reste))</f>
        <v/>
      </c>
      <c r="P187" s="59" t="str">
        <f>IF(COUNTA(A187:M187)=0,"",IF(A187="","Code manquant",IF(COUNTIF(cli_code,A187)&gt;1,"Code en double",IF(B187="","Nom manquant",IF(AND(p_country="Maroc",C187&lt;&gt;"Particulier",OR(F187="",F187="Maroc"),G187=""),"ICE manquant (client professionnel)",IF(AND(G187&lt;&gt;"",NOT(AND(LEN(G187&amp;"")=15,SUBSTITUTE(SUBSTITUTE(SUBSTITUTE(SUBSTITUTE(SUBSTITUTE(SUBSTITUTE(SUBSTITUTE(SUBSTITUTE(SUBSTITUTE(SUBSTITUTE(G187&amp;"","0",""),"1",""),"2",""),"3",""),"4",""),"5",""),"6",""),"7",""),"8",""),"9","")=""))),"ICE : 15 chiffres attendus",IF(AND(H187&lt;&gt;"",NOT(AND(LEN(H187&amp;"")=9,SUBSTITUTE(SUBSTITUTE(SUBSTITUTE(SUBSTITUTE(SUBSTITUTE(SUBSTITUTE(SUBSTITUTE(SUBSTITUTE(SUBSTITUTE(SUBSTITUTE(H187&amp;"","0",""),"1",""),"2",""),"3",""),"4",""),"5",""),"6",""),"7",""),"8",""),"9","")=""))),"SIREN : 9 chiffres attendus",IF(AND(M187&lt;&gt;"",OR(NOT(ISNUMBER(M187)),N(M187)&lt;0)),"Délai de paiement invalide","OK"))))))))</f>
        <v/>
      </c>
      <c r="Q187" s="62" t="str">
        <f>IF(A187="","",ROUND(SUMIFS(fa_ht,fa_client,A187,fa_year,db_year)*100,0))</f>
        <v/>
      </c>
      <c r="R187" s="62" t="str">
        <f>IF(N(Q187)&lt;=0,"",COUNTIF($Q$6:$Q$305,"&gt;"&amp;Q187)+COUNTIF($Q$6:Q187,Q187))</f>
        <v/>
      </c>
      <c r="S187" s="62" t="str">
        <f>IF(A187="","",ROUND(SUMIFS(fa_reste,fa_client,A187,fa_reste,"&gt;0")*100,0))</f>
        <v/>
      </c>
      <c r="T187" s="62" t="str">
        <f>IF(N(S187)&lt;=0,"",COUNTIF($S$6:$S$305,"&gt;"&amp;S187)+COUNTIF($S$6:S187,S187))</f>
        <v/>
      </c>
    </row>
    <row r="188">
      <c r="A188" s="60" t="n"/>
      <c r="B188" s="63" t="n"/>
      <c r="C188" s="60" t="n"/>
      <c r="D188" s="63" t="n"/>
      <c r="E188" s="63" t="n"/>
      <c r="F188" s="60" t="n"/>
      <c r="G188" s="143" t="n"/>
      <c r="H188" s="143" t="n"/>
      <c r="I188" s="63" t="n"/>
      <c r="J188" s="63" t="n"/>
      <c r="K188" s="63" t="n"/>
      <c r="L188" s="63" t="n"/>
      <c r="M188" s="144" t="n"/>
      <c r="N188" s="65" t="str">
        <f>IF(A188="","",SUMIF(fa_client,A188,fa_ht))</f>
        <v/>
      </c>
      <c r="O188" s="65" t="str">
        <f>IF(A188="","",SUMIF(fa_client,A188,fa_reste))</f>
        <v/>
      </c>
      <c r="P188" s="59" t="str">
        <f>IF(COUNTA(A188:M188)=0,"",IF(A188="","Code manquant",IF(COUNTIF(cli_code,A188)&gt;1,"Code en double",IF(B188="","Nom manquant",IF(AND(p_country="Maroc",C188&lt;&gt;"Particulier",OR(F188="",F188="Maroc"),G188=""),"ICE manquant (client professionnel)",IF(AND(G188&lt;&gt;"",NOT(AND(LEN(G188&amp;"")=15,SUBSTITUTE(SUBSTITUTE(SUBSTITUTE(SUBSTITUTE(SUBSTITUTE(SUBSTITUTE(SUBSTITUTE(SUBSTITUTE(SUBSTITUTE(SUBSTITUTE(G188&amp;"","0",""),"1",""),"2",""),"3",""),"4",""),"5",""),"6",""),"7",""),"8",""),"9","")=""))),"ICE : 15 chiffres attendus",IF(AND(H188&lt;&gt;"",NOT(AND(LEN(H188&amp;"")=9,SUBSTITUTE(SUBSTITUTE(SUBSTITUTE(SUBSTITUTE(SUBSTITUTE(SUBSTITUTE(SUBSTITUTE(SUBSTITUTE(SUBSTITUTE(SUBSTITUTE(H188&amp;"","0",""),"1",""),"2",""),"3",""),"4",""),"5",""),"6",""),"7",""),"8",""),"9","")=""))),"SIREN : 9 chiffres attendus",IF(AND(M188&lt;&gt;"",OR(NOT(ISNUMBER(M188)),N(M188)&lt;0)),"Délai de paiement invalide","OK"))))))))</f>
        <v/>
      </c>
      <c r="Q188" s="62" t="str">
        <f>IF(A188="","",ROUND(SUMIFS(fa_ht,fa_client,A188,fa_year,db_year)*100,0))</f>
        <v/>
      </c>
      <c r="R188" s="62" t="str">
        <f>IF(N(Q188)&lt;=0,"",COUNTIF($Q$6:$Q$305,"&gt;"&amp;Q188)+COUNTIF($Q$6:Q188,Q188))</f>
        <v/>
      </c>
      <c r="S188" s="62" t="str">
        <f>IF(A188="","",ROUND(SUMIFS(fa_reste,fa_client,A188,fa_reste,"&gt;0")*100,0))</f>
        <v/>
      </c>
      <c r="T188" s="62" t="str">
        <f>IF(N(S188)&lt;=0,"",COUNTIF($S$6:$S$305,"&gt;"&amp;S188)+COUNTIF($S$6:S188,S188))</f>
        <v/>
      </c>
    </row>
    <row r="189">
      <c r="A189" s="60" t="n"/>
      <c r="B189" s="63" t="n"/>
      <c r="C189" s="60" t="n"/>
      <c r="D189" s="63" t="n"/>
      <c r="E189" s="63" t="n"/>
      <c r="F189" s="60" t="n"/>
      <c r="G189" s="143" t="n"/>
      <c r="H189" s="143" t="n"/>
      <c r="I189" s="63" t="n"/>
      <c r="J189" s="63" t="n"/>
      <c r="K189" s="63" t="n"/>
      <c r="L189" s="63" t="n"/>
      <c r="M189" s="144" t="n"/>
      <c r="N189" s="65" t="str">
        <f>IF(A189="","",SUMIF(fa_client,A189,fa_ht))</f>
        <v/>
      </c>
      <c r="O189" s="65" t="str">
        <f>IF(A189="","",SUMIF(fa_client,A189,fa_reste))</f>
        <v/>
      </c>
      <c r="P189" s="59" t="str">
        <f>IF(COUNTA(A189:M189)=0,"",IF(A189="","Code manquant",IF(COUNTIF(cli_code,A189)&gt;1,"Code en double",IF(B189="","Nom manquant",IF(AND(p_country="Maroc",C189&lt;&gt;"Particulier",OR(F189="",F189="Maroc"),G189=""),"ICE manquant (client professionnel)",IF(AND(G189&lt;&gt;"",NOT(AND(LEN(G189&amp;"")=15,SUBSTITUTE(SUBSTITUTE(SUBSTITUTE(SUBSTITUTE(SUBSTITUTE(SUBSTITUTE(SUBSTITUTE(SUBSTITUTE(SUBSTITUTE(SUBSTITUTE(G189&amp;"","0",""),"1",""),"2",""),"3",""),"4",""),"5",""),"6",""),"7",""),"8",""),"9","")=""))),"ICE : 15 chiffres attendus",IF(AND(H189&lt;&gt;"",NOT(AND(LEN(H189&amp;"")=9,SUBSTITUTE(SUBSTITUTE(SUBSTITUTE(SUBSTITUTE(SUBSTITUTE(SUBSTITUTE(SUBSTITUTE(SUBSTITUTE(SUBSTITUTE(SUBSTITUTE(H189&amp;"","0",""),"1",""),"2",""),"3",""),"4",""),"5",""),"6",""),"7",""),"8",""),"9","")=""))),"SIREN : 9 chiffres attendus",IF(AND(M189&lt;&gt;"",OR(NOT(ISNUMBER(M189)),N(M189)&lt;0)),"Délai de paiement invalide","OK"))))))))</f>
        <v/>
      </c>
      <c r="Q189" s="62" t="str">
        <f>IF(A189="","",ROUND(SUMIFS(fa_ht,fa_client,A189,fa_year,db_year)*100,0))</f>
        <v/>
      </c>
      <c r="R189" s="62" t="str">
        <f>IF(N(Q189)&lt;=0,"",COUNTIF($Q$6:$Q$305,"&gt;"&amp;Q189)+COUNTIF($Q$6:Q189,Q189))</f>
        <v/>
      </c>
      <c r="S189" s="62" t="str">
        <f>IF(A189="","",ROUND(SUMIFS(fa_reste,fa_client,A189,fa_reste,"&gt;0")*100,0))</f>
        <v/>
      </c>
      <c r="T189" s="62" t="str">
        <f>IF(N(S189)&lt;=0,"",COUNTIF($S$6:$S$305,"&gt;"&amp;S189)+COUNTIF($S$6:S189,S189))</f>
        <v/>
      </c>
    </row>
    <row r="190">
      <c r="A190" s="60" t="n"/>
      <c r="B190" s="63" t="n"/>
      <c r="C190" s="60" t="n"/>
      <c r="D190" s="63" t="n"/>
      <c r="E190" s="63" t="n"/>
      <c r="F190" s="60" t="n"/>
      <c r="G190" s="143" t="n"/>
      <c r="H190" s="143" t="n"/>
      <c r="I190" s="63" t="n"/>
      <c r="J190" s="63" t="n"/>
      <c r="K190" s="63" t="n"/>
      <c r="L190" s="63" t="n"/>
      <c r="M190" s="144" t="n"/>
      <c r="N190" s="65" t="str">
        <f>IF(A190="","",SUMIF(fa_client,A190,fa_ht))</f>
        <v/>
      </c>
      <c r="O190" s="65" t="str">
        <f>IF(A190="","",SUMIF(fa_client,A190,fa_reste))</f>
        <v/>
      </c>
      <c r="P190" s="59" t="str">
        <f>IF(COUNTA(A190:M190)=0,"",IF(A190="","Code manquant",IF(COUNTIF(cli_code,A190)&gt;1,"Code en double",IF(B190="","Nom manquant",IF(AND(p_country="Maroc",C190&lt;&gt;"Particulier",OR(F190="",F190="Maroc"),G190=""),"ICE manquant (client professionnel)",IF(AND(G190&lt;&gt;"",NOT(AND(LEN(G190&amp;"")=15,SUBSTITUTE(SUBSTITUTE(SUBSTITUTE(SUBSTITUTE(SUBSTITUTE(SUBSTITUTE(SUBSTITUTE(SUBSTITUTE(SUBSTITUTE(SUBSTITUTE(G190&amp;"","0",""),"1",""),"2",""),"3",""),"4",""),"5",""),"6",""),"7",""),"8",""),"9","")=""))),"ICE : 15 chiffres attendus",IF(AND(H190&lt;&gt;"",NOT(AND(LEN(H190&amp;"")=9,SUBSTITUTE(SUBSTITUTE(SUBSTITUTE(SUBSTITUTE(SUBSTITUTE(SUBSTITUTE(SUBSTITUTE(SUBSTITUTE(SUBSTITUTE(SUBSTITUTE(H190&amp;"","0",""),"1",""),"2",""),"3",""),"4",""),"5",""),"6",""),"7",""),"8",""),"9","")=""))),"SIREN : 9 chiffres attendus",IF(AND(M190&lt;&gt;"",OR(NOT(ISNUMBER(M190)),N(M190)&lt;0)),"Délai de paiement invalide","OK"))))))))</f>
        <v/>
      </c>
      <c r="Q190" s="62" t="str">
        <f>IF(A190="","",ROUND(SUMIFS(fa_ht,fa_client,A190,fa_year,db_year)*100,0))</f>
        <v/>
      </c>
      <c r="R190" s="62" t="str">
        <f>IF(N(Q190)&lt;=0,"",COUNTIF($Q$6:$Q$305,"&gt;"&amp;Q190)+COUNTIF($Q$6:Q190,Q190))</f>
        <v/>
      </c>
      <c r="S190" s="62" t="str">
        <f>IF(A190="","",ROUND(SUMIFS(fa_reste,fa_client,A190,fa_reste,"&gt;0")*100,0))</f>
        <v/>
      </c>
      <c r="T190" s="62" t="str">
        <f>IF(N(S190)&lt;=0,"",COUNTIF($S$6:$S$305,"&gt;"&amp;S190)+COUNTIF($S$6:S190,S190))</f>
        <v/>
      </c>
    </row>
    <row r="191">
      <c r="A191" s="60" t="n"/>
      <c r="B191" s="63" t="n"/>
      <c r="C191" s="60" t="n"/>
      <c r="D191" s="63" t="n"/>
      <c r="E191" s="63" t="n"/>
      <c r="F191" s="60" t="n"/>
      <c r="G191" s="143" t="n"/>
      <c r="H191" s="143" t="n"/>
      <c r="I191" s="63" t="n"/>
      <c r="J191" s="63" t="n"/>
      <c r="K191" s="63" t="n"/>
      <c r="L191" s="63" t="n"/>
      <c r="M191" s="144" t="n"/>
      <c r="N191" s="65" t="str">
        <f>IF(A191="","",SUMIF(fa_client,A191,fa_ht))</f>
        <v/>
      </c>
      <c r="O191" s="65" t="str">
        <f>IF(A191="","",SUMIF(fa_client,A191,fa_reste))</f>
        <v/>
      </c>
      <c r="P191" s="59" t="str">
        <f>IF(COUNTA(A191:M191)=0,"",IF(A191="","Code manquant",IF(COUNTIF(cli_code,A191)&gt;1,"Code en double",IF(B191="","Nom manquant",IF(AND(p_country="Maroc",C191&lt;&gt;"Particulier",OR(F191="",F191="Maroc"),G191=""),"ICE manquant (client professionnel)",IF(AND(G191&lt;&gt;"",NOT(AND(LEN(G191&amp;"")=15,SUBSTITUTE(SUBSTITUTE(SUBSTITUTE(SUBSTITUTE(SUBSTITUTE(SUBSTITUTE(SUBSTITUTE(SUBSTITUTE(SUBSTITUTE(SUBSTITUTE(G191&amp;"","0",""),"1",""),"2",""),"3",""),"4",""),"5",""),"6",""),"7",""),"8",""),"9","")=""))),"ICE : 15 chiffres attendus",IF(AND(H191&lt;&gt;"",NOT(AND(LEN(H191&amp;"")=9,SUBSTITUTE(SUBSTITUTE(SUBSTITUTE(SUBSTITUTE(SUBSTITUTE(SUBSTITUTE(SUBSTITUTE(SUBSTITUTE(SUBSTITUTE(SUBSTITUTE(H191&amp;"","0",""),"1",""),"2",""),"3",""),"4",""),"5",""),"6",""),"7",""),"8",""),"9","")=""))),"SIREN : 9 chiffres attendus",IF(AND(M191&lt;&gt;"",OR(NOT(ISNUMBER(M191)),N(M191)&lt;0)),"Délai de paiement invalide","OK"))))))))</f>
        <v/>
      </c>
      <c r="Q191" s="62" t="str">
        <f>IF(A191="","",ROUND(SUMIFS(fa_ht,fa_client,A191,fa_year,db_year)*100,0))</f>
        <v/>
      </c>
      <c r="R191" s="62" t="str">
        <f>IF(N(Q191)&lt;=0,"",COUNTIF($Q$6:$Q$305,"&gt;"&amp;Q191)+COUNTIF($Q$6:Q191,Q191))</f>
        <v/>
      </c>
      <c r="S191" s="62" t="str">
        <f>IF(A191="","",ROUND(SUMIFS(fa_reste,fa_client,A191,fa_reste,"&gt;0")*100,0))</f>
        <v/>
      </c>
      <c r="T191" s="62" t="str">
        <f>IF(N(S191)&lt;=0,"",COUNTIF($S$6:$S$305,"&gt;"&amp;S191)+COUNTIF($S$6:S191,S191))</f>
        <v/>
      </c>
    </row>
    <row r="192">
      <c r="A192" s="60" t="n"/>
      <c r="B192" s="63" t="n"/>
      <c r="C192" s="60" t="n"/>
      <c r="D192" s="63" t="n"/>
      <c r="E192" s="63" t="n"/>
      <c r="F192" s="60" t="n"/>
      <c r="G192" s="143" t="n"/>
      <c r="H192" s="143" t="n"/>
      <c r="I192" s="63" t="n"/>
      <c r="J192" s="63" t="n"/>
      <c r="K192" s="63" t="n"/>
      <c r="L192" s="63" t="n"/>
      <c r="M192" s="144" t="n"/>
      <c r="N192" s="65" t="str">
        <f>IF(A192="","",SUMIF(fa_client,A192,fa_ht))</f>
        <v/>
      </c>
      <c r="O192" s="65" t="str">
        <f>IF(A192="","",SUMIF(fa_client,A192,fa_reste))</f>
        <v/>
      </c>
      <c r="P192" s="59" t="str">
        <f>IF(COUNTA(A192:M192)=0,"",IF(A192="","Code manquant",IF(COUNTIF(cli_code,A192)&gt;1,"Code en double",IF(B192="","Nom manquant",IF(AND(p_country="Maroc",C192&lt;&gt;"Particulier",OR(F192="",F192="Maroc"),G192=""),"ICE manquant (client professionnel)",IF(AND(G192&lt;&gt;"",NOT(AND(LEN(G192&amp;"")=15,SUBSTITUTE(SUBSTITUTE(SUBSTITUTE(SUBSTITUTE(SUBSTITUTE(SUBSTITUTE(SUBSTITUTE(SUBSTITUTE(SUBSTITUTE(SUBSTITUTE(G192&amp;"","0",""),"1",""),"2",""),"3",""),"4",""),"5",""),"6",""),"7",""),"8",""),"9","")=""))),"ICE : 15 chiffres attendus",IF(AND(H192&lt;&gt;"",NOT(AND(LEN(H192&amp;"")=9,SUBSTITUTE(SUBSTITUTE(SUBSTITUTE(SUBSTITUTE(SUBSTITUTE(SUBSTITUTE(SUBSTITUTE(SUBSTITUTE(SUBSTITUTE(SUBSTITUTE(H192&amp;"","0",""),"1",""),"2",""),"3",""),"4",""),"5",""),"6",""),"7",""),"8",""),"9","")=""))),"SIREN : 9 chiffres attendus",IF(AND(M192&lt;&gt;"",OR(NOT(ISNUMBER(M192)),N(M192)&lt;0)),"Délai de paiement invalide","OK"))))))))</f>
        <v/>
      </c>
      <c r="Q192" s="62" t="str">
        <f>IF(A192="","",ROUND(SUMIFS(fa_ht,fa_client,A192,fa_year,db_year)*100,0))</f>
        <v/>
      </c>
      <c r="R192" s="62" t="str">
        <f>IF(N(Q192)&lt;=0,"",COUNTIF($Q$6:$Q$305,"&gt;"&amp;Q192)+COUNTIF($Q$6:Q192,Q192))</f>
        <v/>
      </c>
      <c r="S192" s="62" t="str">
        <f>IF(A192="","",ROUND(SUMIFS(fa_reste,fa_client,A192,fa_reste,"&gt;0")*100,0))</f>
        <v/>
      </c>
      <c r="T192" s="62" t="str">
        <f>IF(N(S192)&lt;=0,"",COUNTIF($S$6:$S$305,"&gt;"&amp;S192)+COUNTIF($S$6:S192,S192))</f>
        <v/>
      </c>
    </row>
    <row r="193">
      <c r="A193" s="60" t="n"/>
      <c r="B193" s="63" t="n"/>
      <c r="C193" s="60" t="n"/>
      <c r="D193" s="63" t="n"/>
      <c r="E193" s="63" t="n"/>
      <c r="F193" s="60" t="n"/>
      <c r="G193" s="143" t="n"/>
      <c r="H193" s="143" t="n"/>
      <c r="I193" s="63" t="n"/>
      <c r="J193" s="63" t="n"/>
      <c r="K193" s="63" t="n"/>
      <c r="L193" s="63" t="n"/>
      <c r="M193" s="144" t="n"/>
      <c r="N193" s="65" t="str">
        <f>IF(A193="","",SUMIF(fa_client,A193,fa_ht))</f>
        <v/>
      </c>
      <c r="O193" s="65" t="str">
        <f>IF(A193="","",SUMIF(fa_client,A193,fa_reste))</f>
        <v/>
      </c>
      <c r="P193" s="59" t="str">
        <f>IF(COUNTA(A193:M193)=0,"",IF(A193="","Code manquant",IF(COUNTIF(cli_code,A193)&gt;1,"Code en double",IF(B193="","Nom manquant",IF(AND(p_country="Maroc",C193&lt;&gt;"Particulier",OR(F193="",F193="Maroc"),G193=""),"ICE manquant (client professionnel)",IF(AND(G193&lt;&gt;"",NOT(AND(LEN(G193&amp;"")=15,SUBSTITUTE(SUBSTITUTE(SUBSTITUTE(SUBSTITUTE(SUBSTITUTE(SUBSTITUTE(SUBSTITUTE(SUBSTITUTE(SUBSTITUTE(SUBSTITUTE(G193&amp;"","0",""),"1",""),"2",""),"3",""),"4",""),"5",""),"6",""),"7",""),"8",""),"9","")=""))),"ICE : 15 chiffres attendus",IF(AND(H193&lt;&gt;"",NOT(AND(LEN(H193&amp;"")=9,SUBSTITUTE(SUBSTITUTE(SUBSTITUTE(SUBSTITUTE(SUBSTITUTE(SUBSTITUTE(SUBSTITUTE(SUBSTITUTE(SUBSTITUTE(SUBSTITUTE(H193&amp;"","0",""),"1",""),"2",""),"3",""),"4",""),"5",""),"6",""),"7",""),"8",""),"9","")=""))),"SIREN : 9 chiffres attendus",IF(AND(M193&lt;&gt;"",OR(NOT(ISNUMBER(M193)),N(M193)&lt;0)),"Délai de paiement invalide","OK"))))))))</f>
        <v/>
      </c>
      <c r="Q193" s="62" t="str">
        <f>IF(A193="","",ROUND(SUMIFS(fa_ht,fa_client,A193,fa_year,db_year)*100,0))</f>
        <v/>
      </c>
      <c r="R193" s="62" t="str">
        <f>IF(N(Q193)&lt;=0,"",COUNTIF($Q$6:$Q$305,"&gt;"&amp;Q193)+COUNTIF($Q$6:Q193,Q193))</f>
        <v/>
      </c>
      <c r="S193" s="62" t="str">
        <f>IF(A193="","",ROUND(SUMIFS(fa_reste,fa_client,A193,fa_reste,"&gt;0")*100,0))</f>
        <v/>
      </c>
      <c r="T193" s="62" t="str">
        <f>IF(N(S193)&lt;=0,"",COUNTIF($S$6:$S$305,"&gt;"&amp;S193)+COUNTIF($S$6:S193,S193))</f>
        <v/>
      </c>
    </row>
    <row r="194">
      <c r="A194" s="60" t="n"/>
      <c r="B194" s="63" t="n"/>
      <c r="C194" s="60" t="n"/>
      <c r="D194" s="63" t="n"/>
      <c r="E194" s="63" t="n"/>
      <c r="F194" s="60" t="n"/>
      <c r="G194" s="143" t="n"/>
      <c r="H194" s="143" t="n"/>
      <c r="I194" s="63" t="n"/>
      <c r="J194" s="63" t="n"/>
      <c r="K194" s="63" t="n"/>
      <c r="L194" s="63" t="n"/>
      <c r="M194" s="144" t="n"/>
      <c r="N194" s="65" t="str">
        <f>IF(A194="","",SUMIF(fa_client,A194,fa_ht))</f>
        <v/>
      </c>
      <c r="O194" s="65" t="str">
        <f>IF(A194="","",SUMIF(fa_client,A194,fa_reste))</f>
        <v/>
      </c>
      <c r="P194" s="59" t="str">
        <f>IF(COUNTA(A194:M194)=0,"",IF(A194="","Code manquant",IF(COUNTIF(cli_code,A194)&gt;1,"Code en double",IF(B194="","Nom manquant",IF(AND(p_country="Maroc",C194&lt;&gt;"Particulier",OR(F194="",F194="Maroc"),G194=""),"ICE manquant (client professionnel)",IF(AND(G194&lt;&gt;"",NOT(AND(LEN(G194&amp;"")=15,SUBSTITUTE(SUBSTITUTE(SUBSTITUTE(SUBSTITUTE(SUBSTITUTE(SUBSTITUTE(SUBSTITUTE(SUBSTITUTE(SUBSTITUTE(SUBSTITUTE(G194&amp;"","0",""),"1",""),"2",""),"3",""),"4",""),"5",""),"6",""),"7",""),"8",""),"9","")=""))),"ICE : 15 chiffres attendus",IF(AND(H194&lt;&gt;"",NOT(AND(LEN(H194&amp;"")=9,SUBSTITUTE(SUBSTITUTE(SUBSTITUTE(SUBSTITUTE(SUBSTITUTE(SUBSTITUTE(SUBSTITUTE(SUBSTITUTE(SUBSTITUTE(SUBSTITUTE(H194&amp;"","0",""),"1",""),"2",""),"3",""),"4",""),"5",""),"6",""),"7",""),"8",""),"9","")=""))),"SIREN : 9 chiffres attendus",IF(AND(M194&lt;&gt;"",OR(NOT(ISNUMBER(M194)),N(M194)&lt;0)),"Délai de paiement invalide","OK"))))))))</f>
        <v/>
      </c>
      <c r="Q194" s="62" t="str">
        <f>IF(A194="","",ROUND(SUMIFS(fa_ht,fa_client,A194,fa_year,db_year)*100,0))</f>
        <v/>
      </c>
      <c r="R194" s="62" t="str">
        <f>IF(N(Q194)&lt;=0,"",COUNTIF($Q$6:$Q$305,"&gt;"&amp;Q194)+COUNTIF($Q$6:Q194,Q194))</f>
        <v/>
      </c>
      <c r="S194" s="62" t="str">
        <f>IF(A194="","",ROUND(SUMIFS(fa_reste,fa_client,A194,fa_reste,"&gt;0")*100,0))</f>
        <v/>
      </c>
      <c r="T194" s="62" t="str">
        <f>IF(N(S194)&lt;=0,"",COUNTIF($S$6:$S$305,"&gt;"&amp;S194)+COUNTIF($S$6:S194,S194))</f>
        <v/>
      </c>
    </row>
    <row r="195">
      <c r="A195" s="60" t="n"/>
      <c r="B195" s="63" t="n"/>
      <c r="C195" s="60" t="n"/>
      <c r="D195" s="63" t="n"/>
      <c r="E195" s="63" t="n"/>
      <c r="F195" s="60" t="n"/>
      <c r="G195" s="143" t="n"/>
      <c r="H195" s="143" t="n"/>
      <c r="I195" s="63" t="n"/>
      <c r="J195" s="63" t="n"/>
      <c r="K195" s="63" t="n"/>
      <c r="L195" s="63" t="n"/>
      <c r="M195" s="144" t="n"/>
      <c r="N195" s="65" t="str">
        <f>IF(A195="","",SUMIF(fa_client,A195,fa_ht))</f>
        <v/>
      </c>
      <c r="O195" s="65" t="str">
        <f>IF(A195="","",SUMIF(fa_client,A195,fa_reste))</f>
        <v/>
      </c>
      <c r="P195" s="59" t="str">
        <f>IF(COUNTA(A195:M195)=0,"",IF(A195="","Code manquant",IF(COUNTIF(cli_code,A195)&gt;1,"Code en double",IF(B195="","Nom manquant",IF(AND(p_country="Maroc",C195&lt;&gt;"Particulier",OR(F195="",F195="Maroc"),G195=""),"ICE manquant (client professionnel)",IF(AND(G195&lt;&gt;"",NOT(AND(LEN(G195&amp;"")=15,SUBSTITUTE(SUBSTITUTE(SUBSTITUTE(SUBSTITUTE(SUBSTITUTE(SUBSTITUTE(SUBSTITUTE(SUBSTITUTE(SUBSTITUTE(SUBSTITUTE(G195&amp;"","0",""),"1",""),"2",""),"3",""),"4",""),"5",""),"6",""),"7",""),"8",""),"9","")=""))),"ICE : 15 chiffres attendus",IF(AND(H195&lt;&gt;"",NOT(AND(LEN(H195&amp;"")=9,SUBSTITUTE(SUBSTITUTE(SUBSTITUTE(SUBSTITUTE(SUBSTITUTE(SUBSTITUTE(SUBSTITUTE(SUBSTITUTE(SUBSTITUTE(SUBSTITUTE(H195&amp;"","0",""),"1",""),"2",""),"3",""),"4",""),"5",""),"6",""),"7",""),"8",""),"9","")=""))),"SIREN : 9 chiffres attendus",IF(AND(M195&lt;&gt;"",OR(NOT(ISNUMBER(M195)),N(M195)&lt;0)),"Délai de paiement invalide","OK"))))))))</f>
        <v/>
      </c>
      <c r="Q195" s="62" t="str">
        <f>IF(A195="","",ROUND(SUMIFS(fa_ht,fa_client,A195,fa_year,db_year)*100,0))</f>
        <v/>
      </c>
      <c r="R195" s="62" t="str">
        <f>IF(N(Q195)&lt;=0,"",COUNTIF($Q$6:$Q$305,"&gt;"&amp;Q195)+COUNTIF($Q$6:Q195,Q195))</f>
        <v/>
      </c>
      <c r="S195" s="62" t="str">
        <f>IF(A195="","",ROUND(SUMIFS(fa_reste,fa_client,A195,fa_reste,"&gt;0")*100,0))</f>
        <v/>
      </c>
      <c r="T195" s="62" t="str">
        <f>IF(N(S195)&lt;=0,"",COUNTIF($S$6:$S$305,"&gt;"&amp;S195)+COUNTIF($S$6:S195,S195))</f>
        <v/>
      </c>
    </row>
    <row r="196">
      <c r="A196" s="60" t="n"/>
      <c r="B196" s="63" t="n"/>
      <c r="C196" s="60" t="n"/>
      <c r="D196" s="63" t="n"/>
      <c r="E196" s="63" t="n"/>
      <c r="F196" s="60" t="n"/>
      <c r="G196" s="143" t="n"/>
      <c r="H196" s="143" t="n"/>
      <c r="I196" s="63" t="n"/>
      <c r="J196" s="63" t="n"/>
      <c r="K196" s="63" t="n"/>
      <c r="L196" s="63" t="n"/>
      <c r="M196" s="144" t="n"/>
      <c r="N196" s="65" t="str">
        <f>IF(A196="","",SUMIF(fa_client,A196,fa_ht))</f>
        <v/>
      </c>
      <c r="O196" s="65" t="str">
        <f>IF(A196="","",SUMIF(fa_client,A196,fa_reste))</f>
        <v/>
      </c>
      <c r="P196" s="59" t="str">
        <f>IF(COUNTA(A196:M196)=0,"",IF(A196="","Code manquant",IF(COUNTIF(cli_code,A196)&gt;1,"Code en double",IF(B196="","Nom manquant",IF(AND(p_country="Maroc",C196&lt;&gt;"Particulier",OR(F196="",F196="Maroc"),G196=""),"ICE manquant (client professionnel)",IF(AND(G196&lt;&gt;"",NOT(AND(LEN(G196&amp;"")=15,SUBSTITUTE(SUBSTITUTE(SUBSTITUTE(SUBSTITUTE(SUBSTITUTE(SUBSTITUTE(SUBSTITUTE(SUBSTITUTE(SUBSTITUTE(SUBSTITUTE(G196&amp;"","0",""),"1",""),"2",""),"3",""),"4",""),"5",""),"6",""),"7",""),"8",""),"9","")=""))),"ICE : 15 chiffres attendus",IF(AND(H196&lt;&gt;"",NOT(AND(LEN(H196&amp;"")=9,SUBSTITUTE(SUBSTITUTE(SUBSTITUTE(SUBSTITUTE(SUBSTITUTE(SUBSTITUTE(SUBSTITUTE(SUBSTITUTE(SUBSTITUTE(SUBSTITUTE(H196&amp;"","0",""),"1",""),"2",""),"3",""),"4",""),"5",""),"6",""),"7",""),"8",""),"9","")=""))),"SIREN : 9 chiffres attendus",IF(AND(M196&lt;&gt;"",OR(NOT(ISNUMBER(M196)),N(M196)&lt;0)),"Délai de paiement invalide","OK"))))))))</f>
        <v/>
      </c>
      <c r="Q196" s="62" t="str">
        <f>IF(A196="","",ROUND(SUMIFS(fa_ht,fa_client,A196,fa_year,db_year)*100,0))</f>
        <v/>
      </c>
      <c r="R196" s="62" t="str">
        <f>IF(N(Q196)&lt;=0,"",COUNTIF($Q$6:$Q$305,"&gt;"&amp;Q196)+COUNTIF($Q$6:Q196,Q196))</f>
        <v/>
      </c>
      <c r="S196" s="62" t="str">
        <f>IF(A196="","",ROUND(SUMIFS(fa_reste,fa_client,A196,fa_reste,"&gt;0")*100,0))</f>
        <v/>
      </c>
      <c r="T196" s="62" t="str">
        <f>IF(N(S196)&lt;=0,"",COUNTIF($S$6:$S$305,"&gt;"&amp;S196)+COUNTIF($S$6:S196,S196))</f>
        <v/>
      </c>
    </row>
    <row r="197">
      <c r="A197" s="60" t="n"/>
      <c r="B197" s="63" t="n"/>
      <c r="C197" s="60" t="n"/>
      <c r="D197" s="63" t="n"/>
      <c r="E197" s="63" t="n"/>
      <c r="F197" s="60" t="n"/>
      <c r="G197" s="143" t="n"/>
      <c r="H197" s="143" t="n"/>
      <c r="I197" s="63" t="n"/>
      <c r="J197" s="63" t="n"/>
      <c r="K197" s="63" t="n"/>
      <c r="L197" s="63" t="n"/>
      <c r="M197" s="144" t="n"/>
      <c r="N197" s="65" t="str">
        <f>IF(A197="","",SUMIF(fa_client,A197,fa_ht))</f>
        <v/>
      </c>
      <c r="O197" s="65" t="str">
        <f>IF(A197="","",SUMIF(fa_client,A197,fa_reste))</f>
        <v/>
      </c>
      <c r="P197" s="59" t="str">
        <f>IF(COUNTA(A197:M197)=0,"",IF(A197="","Code manquant",IF(COUNTIF(cli_code,A197)&gt;1,"Code en double",IF(B197="","Nom manquant",IF(AND(p_country="Maroc",C197&lt;&gt;"Particulier",OR(F197="",F197="Maroc"),G197=""),"ICE manquant (client professionnel)",IF(AND(G197&lt;&gt;"",NOT(AND(LEN(G197&amp;"")=15,SUBSTITUTE(SUBSTITUTE(SUBSTITUTE(SUBSTITUTE(SUBSTITUTE(SUBSTITUTE(SUBSTITUTE(SUBSTITUTE(SUBSTITUTE(SUBSTITUTE(G197&amp;"","0",""),"1",""),"2",""),"3",""),"4",""),"5",""),"6",""),"7",""),"8",""),"9","")=""))),"ICE : 15 chiffres attendus",IF(AND(H197&lt;&gt;"",NOT(AND(LEN(H197&amp;"")=9,SUBSTITUTE(SUBSTITUTE(SUBSTITUTE(SUBSTITUTE(SUBSTITUTE(SUBSTITUTE(SUBSTITUTE(SUBSTITUTE(SUBSTITUTE(SUBSTITUTE(H197&amp;"","0",""),"1",""),"2",""),"3",""),"4",""),"5",""),"6",""),"7",""),"8",""),"9","")=""))),"SIREN : 9 chiffres attendus",IF(AND(M197&lt;&gt;"",OR(NOT(ISNUMBER(M197)),N(M197)&lt;0)),"Délai de paiement invalide","OK"))))))))</f>
        <v/>
      </c>
      <c r="Q197" s="62" t="str">
        <f>IF(A197="","",ROUND(SUMIFS(fa_ht,fa_client,A197,fa_year,db_year)*100,0))</f>
        <v/>
      </c>
      <c r="R197" s="62" t="str">
        <f>IF(N(Q197)&lt;=0,"",COUNTIF($Q$6:$Q$305,"&gt;"&amp;Q197)+COUNTIF($Q$6:Q197,Q197))</f>
        <v/>
      </c>
      <c r="S197" s="62" t="str">
        <f>IF(A197="","",ROUND(SUMIFS(fa_reste,fa_client,A197,fa_reste,"&gt;0")*100,0))</f>
        <v/>
      </c>
      <c r="T197" s="62" t="str">
        <f>IF(N(S197)&lt;=0,"",COUNTIF($S$6:$S$305,"&gt;"&amp;S197)+COUNTIF($S$6:S197,S197))</f>
        <v/>
      </c>
    </row>
    <row r="198">
      <c r="A198" s="60" t="n"/>
      <c r="B198" s="63" t="n"/>
      <c r="C198" s="60" t="n"/>
      <c r="D198" s="63" t="n"/>
      <c r="E198" s="63" t="n"/>
      <c r="F198" s="60" t="n"/>
      <c r="G198" s="143" t="n"/>
      <c r="H198" s="143" t="n"/>
      <c r="I198" s="63" t="n"/>
      <c r="J198" s="63" t="n"/>
      <c r="K198" s="63" t="n"/>
      <c r="L198" s="63" t="n"/>
      <c r="M198" s="144" t="n"/>
      <c r="N198" s="65" t="str">
        <f>IF(A198="","",SUMIF(fa_client,A198,fa_ht))</f>
        <v/>
      </c>
      <c r="O198" s="65" t="str">
        <f>IF(A198="","",SUMIF(fa_client,A198,fa_reste))</f>
        <v/>
      </c>
      <c r="P198" s="59" t="str">
        <f>IF(COUNTA(A198:M198)=0,"",IF(A198="","Code manquant",IF(COUNTIF(cli_code,A198)&gt;1,"Code en double",IF(B198="","Nom manquant",IF(AND(p_country="Maroc",C198&lt;&gt;"Particulier",OR(F198="",F198="Maroc"),G198=""),"ICE manquant (client professionnel)",IF(AND(G198&lt;&gt;"",NOT(AND(LEN(G198&amp;"")=15,SUBSTITUTE(SUBSTITUTE(SUBSTITUTE(SUBSTITUTE(SUBSTITUTE(SUBSTITUTE(SUBSTITUTE(SUBSTITUTE(SUBSTITUTE(SUBSTITUTE(G198&amp;"","0",""),"1",""),"2",""),"3",""),"4",""),"5",""),"6",""),"7",""),"8",""),"9","")=""))),"ICE : 15 chiffres attendus",IF(AND(H198&lt;&gt;"",NOT(AND(LEN(H198&amp;"")=9,SUBSTITUTE(SUBSTITUTE(SUBSTITUTE(SUBSTITUTE(SUBSTITUTE(SUBSTITUTE(SUBSTITUTE(SUBSTITUTE(SUBSTITUTE(SUBSTITUTE(H198&amp;"","0",""),"1",""),"2",""),"3",""),"4",""),"5",""),"6",""),"7",""),"8",""),"9","")=""))),"SIREN : 9 chiffres attendus",IF(AND(M198&lt;&gt;"",OR(NOT(ISNUMBER(M198)),N(M198)&lt;0)),"Délai de paiement invalide","OK"))))))))</f>
        <v/>
      </c>
      <c r="Q198" s="62" t="str">
        <f>IF(A198="","",ROUND(SUMIFS(fa_ht,fa_client,A198,fa_year,db_year)*100,0))</f>
        <v/>
      </c>
      <c r="R198" s="62" t="str">
        <f>IF(N(Q198)&lt;=0,"",COUNTIF($Q$6:$Q$305,"&gt;"&amp;Q198)+COUNTIF($Q$6:Q198,Q198))</f>
        <v/>
      </c>
      <c r="S198" s="62" t="str">
        <f>IF(A198="","",ROUND(SUMIFS(fa_reste,fa_client,A198,fa_reste,"&gt;0")*100,0))</f>
        <v/>
      </c>
      <c r="T198" s="62" t="str">
        <f>IF(N(S198)&lt;=0,"",COUNTIF($S$6:$S$305,"&gt;"&amp;S198)+COUNTIF($S$6:S198,S198))</f>
        <v/>
      </c>
    </row>
    <row r="199">
      <c r="A199" s="60" t="n"/>
      <c r="B199" s="63" t="n"/>
      <c r="C199" s="60" t="n"/>
      <c r="D199" s="63" t="n"/>
      <c r="E199" s="63" t="n"/>
      <c r="F199" s="60" t="n"/>
      <c r="G199" s="143" t="n"/>
      <c r="H199" s="143" t="n"/>
      <c r="I199" s="63" t="n"/>
      <c r="J199" s="63" t="n"/>
      <c r="K199" s="63" t="n"/>
      <c r="L199" s="63" t="n"/>
      <c r="M199" s="144" t="n"/>
      <c r="N199" s="65" t="str">
        <f>IF(A199="","",SUMIF(fa_client,A199,fa_ht))</f>
        <v/>
      </c>
      <c r="O199" s="65" t="str">
        <f>IF(A199="","",SUMIF(fa_client,A199,fa_reste))</f>
        <v/>
      </c>
      <c r="P199" s="59" t="str">
        <f>IF(COUNTA(A199:M199)=0,"",IF(A199="","Code manquant",IF(COUNTIF(cli_code,A199)&gt;1,"Code en double",IF(B199="","Nom manquant",IF(AND(p_country="Maroc",C199&lt;&gt;"Particulier",OR(F199="",F199="Maroc"),G199=""),"ICE manquant (client professionnel)",IF(AND(G199&lt;&gt;"",NOT(AND(LEN(G199&amp;"")=15,SUBSTITUTE(SUBSTITUTE(SUBSTITUTE(SUBSTITUTE(SUBSTITUTE(SUBSTITUTE(SUBSTITUTE(SUBSTITUTE(SUBSTITUTE(SUBSTITUTE(G199&amp;"","0",""),"1",""),"2",""),"3",""),"4",""),"5",""),"6",""),"7",""),"8",""),"9","")=""))),"ICE : 15 chiffres attendus",IF(AND(H199&lt;&gt;"",NOT(AND(LEN(H199&amp;"")=9,SUBSTITUTE(SUBSTITUTE(SUBSTITUTE(SUBSTITUTE(SUBSTITUTE(SUBSTITUTE(SUBSTITUTE(SUBSTITUTE(SUBSTITUTE(SUBSTITUTE(H199&amp;"","0",""),"1",""),"2",""),"3",""),"4",""),"5",""),"6",""),"7",""),"8",""),"9","")=""))),"SIREN : 9 chiffres attendus",IF(AND(M199&lt;&gt;"",OR(NOT(ISNUMBER(M199)),N(M199)&lt;0)),"Délai de paiement invalide","OK"))))))))</f>
        <v/>
      </c>
      <c r="Q199" s="62" t="str">
        <f>IF(A199="","",ROUND(SUMIFS(fa_ht,fa_client,A199,fa_year,db_year)*100,0))</f>
        <v/>
      </c>
      <c r="R199" s="62" t="str">
        <f>IF(N(Q199)&lt;=0,"",COUNTIF($Q$6:$Q$305,"&gt;"&amp;Q199)+COUNTIF($Q$6:Q199,Q199))</f>
        <v/>
      </c>
      <c r="S199" s="62" t="str">
        <f>IF(A199="","",ROUND(SUMIFS(fa_reste,fa_client,A199,fa_reste,"&gt;0")*100,0))</f>
        <v/>
      </c>
      <c r="T199" s="62" t="str">
        <f>IF(N(S199)&lt;=0,"",COUNTIF($S$6:$S$305,"&gt;"&amp;S199)+COUNTIF($S$6:S199,S199))</f>
        <v/>
      </c>
    </row>
    <row r="200">
      <c r="A200" s="60" t="n"/>
      <c r="B200" s="63" t="n"/>
      <c r="C200" s="60" t="n"/>
      <c r="D200" s="63" t="n"/>
      <c r="E200" s="63" t="n"/>
      <c r="F200" s="60" t="n"/>
      <c r="G200" s="143" t="n"/>
      <c r="H200" s="143" t="n"/>
      <c r="I200" s="63" t="n"/>
      <c r="J200" s="63" t="n"/>
      <c r="K200" s="63" t="n"/>
      <c r="L200" s="63" t="n"/>
      <c r="M200" s="144" t="n"/>
      <c r="N200" s="65" t="str">
        <f>IF(A200="","",SUMIF(fa_client,A200,fa_ht))</f>
        <v/>
      </c>
      <c r="O200" s="65" t="str">
        <f>IF(A200="","",SUMIF(fa_client,A200,fa_reste))</f>
        <v/>
      </c>
      <c r="P200" s="59" t="str">
        <f>IF(COUNTA(A200:M200)=0,"",IF(A200="","Code manquant",IF(COUNTIF(cli_code,A200)&gt;1,"Code en double",IF(B200="","Nom manquant",IF(AND(p_country="Maroc",C200&lt;&gt;"Particulier",OR(F200="",F200="Maroc"),G200=""),"ICE manquant (client professionnel)",IF(AND(G200&lt;&gt;"",NOT(AND(LEN(G200&amp;"")=15,SUBSTITUTE(SUBSTITUTE(SUBSTITUTE(SUBSTITUTE(SUBSTITUTE(SUBSTITUTE(SUBSTITUTE(SUBSTITUTE(SUBSTITUTE(SUBSTITUTE(G200&amp;"","0",""),"1",""),"2",""),"3",""),"4",""),"5",""),"6",""),"7",""),"8",""),"9","")=""))),"ICE : 15 chiffres attendus",IF(AND(H200&lt;&gt;"",NOT(AND(LEN(H200&amp;"")=9,SUBSTITUTE(SUBSTITUTE(SUBSTITUTE(SUBSTITUTE(SUBSTITUTE(SUBSTITUTE(SUBSTITUTE(SUBSTITUTE(SUBSTITUTE(SUBSTITUTE(H200&amp;"","0",""),"1",""),"2",""),"3",""),"4",""),"5",""),"6",""),"7",""),"8",""),"9","")=""))),"SIREN : 9 chiffres attendus",IF(AND(M200&lt;&gt;"",OR(NOT(ISNUMBER(M200)),N(M200)&lt;0)),"Délai de paiement invalide","OK"))))))))</f>
        <v/>
      </c>
      <c r="Q200" s="62" t="str">
        <f>IF(A200="","",ROUND(SUMIFS(fa_ht,fa_client,A200,fa_year,db_year)*100,0))</f>
        <v/>
      </c>
      <c r="R200" s="62" t="str">
        <f>IF(N(Q200)&lt;=0,"",COUNTIF($Q$6:$Q$305,"&gt;"&amp;Q200)+COUNTIF($Q$6:Q200,Q200))</f>
        <v/>
      </c>
      <c r="S200" s="62" t="str">
        <f>IF(A200="","",ROUND(SUMIFS(fa_reste,fa_client,A200,fa_reste,"&gt;0")*100,0))</f>
        <v/>
      </c>
      <c r="T200" s="62" t="str">
        <f>IF(N(S200)&lt;=0,"",COUNTIF($S$6:$S$305,"&gt;"&amp;S200)+COUNTIF($S$6:S200,S200))</f>
        <v/>
      </c>
    </row>
    <row r="201">
      <c r="A201" s="60" t="n"/>
      <c r="B201" s="63" t="n"/>
      <c r="C201" s="60" t="n"/>
      <c r="D201" s="63" t="n"/>
      <c r="E201" s="63" t="n"/>
      <c r="F201" s="60" t="n"/>
      <c r="G201" s="143" t="n"/>
      <c r="H201" s="143" t="n"/>
      <c r="I201" s="63" t="n"/>
      <c r="J201" s="63" t="n"/>
      <c r="K201" s="63" t="n"/>
      <c r="L201" s="63" t="n"/>
      <c r="M201" s="144" t="n"/>
      <c r="N201" s="65" t="str">
        <f>IF(A201="","",SUMIF(fa_client,A201,fa_ht))</f>
        <v/>
      </c>
      <c r="O201" s="65" t="str">
        <f>IF(A201="","",SUMIF(fa_client,A201,fa_reste))</f>
        <v/>
      </c>
      <c r="P201" s="59" t="str">
        <f>IF(COUNTA(A201:M201)=0,"",IF(A201="","Code manquant",IF(COUNTIF(cli_code,A201)&gt;1,"Code en double",IF(B201="","Nom manquant",IF(AND(p_country="Maroc",C201&lt;&gt;"Particulier",OR(F201="",F201="Maroc"),G201=""),"ICE manquant (client professionnel)",IF(AND(G201&lt;&gt;"",NOT(AND(LEN(G201&amp;"")=15,SUBSTITUTE(SUBSTITUTE(SUBSTITUTE(SUBSTITUTE(SUBSTITUTE(SUBSTITUTE(SUBSTITUTE(SUBSTITUTE(SUBSTITUTE(SUBSTITUTE(G201&amp;"","0",""),"1",""),"2",""),"3",""),"4",""),"5",""),"6",""),"7",""),"8",""),"9","")=""))),"ICE : 15 chiffres attendus",IF(AND(H201&lt;&gt;"",NOT(AND(LEN(H201&amp;"")=9,SUBSTITUTE(SUBSTITUTE(SUBSTITUTE(SUBSTITUTE(SUBSTITUTE(SUBSTITUTE(SUBSTITUTE(SUBSTITUTE(SUBSTITUTE(SUBSTITUTE(H201&amp;"","0",""),"1",""),"2",""),"3",""),"4",""),"5",""),"6",""),"7",""),"8",""),"9","")=""))),"SIREN : 9 chiffres attendus",IF(AND(M201&lt;&gt;"",OR(NOT(ISNUMBER(M201)),N(M201)&lt;0)),"Délai de paiement invalide","OK"))))))))</f>
        <v/>
      </c>
      <c r="Q201" s="62" t="str">
        <f>IF(A201="","",ROUND(SUMIFS(fa_ht,fa_client,A201,fa_year,db_year)*100,0))</f>
        <v/>
      </c>
      <c r="R201" s="62" t="str">
        <f>IF(N(Q201)&lt;=0,"",COUNTIF($Q$6:$Q$305,"&gt;"&amp;Q201)+COUNTIF($Q$6:Q201,Q201))</f>
        <v/>
      </c>
      <c r="S201" s="62" t="str">
        <f>IF(A201="","",ROUND(SUMIFS(fa_reste,fa_client,A201,fa_reste,"&gt;0")*100,0))</f>
        <v/>
      </c>
      <c r="T201" s="62" t="str">
        <f>IF(N(S201)&lt;=0,"",COUNTIF($S$6:$S$305,"&gt;"&amp;S201)+COUNTIF($S$6:S201,S201))</f>
        <v/>
      </c>
    </row>
    <row r="202">
      <c r="A202" s="60" t="n"/>
      <c r="B202" s="63" t="n"/>
      <c r="C202" s="60" t="n"/>
      <c r="D202" s="63" t="n"/>
      <c r="E202" s="63" t="n"/>
      <c r="F202" s="60" t="n"/>
      <c r="G202" s="143" t="n"/>
      <c r="H202" s="143" t="n"/>
      <c r="I202" s="63" t="n"/>
      <c r="J202" s="63" t="n"/>
      <c r="K202" s="63" t="n"/>
      <c r="L202" s="63" t="n"/>
      <c r="M202" s="144" t="n"/>
      <c r="N202" s="65" t="str">
        <f>IF(A202="","",SUMIF(fa_client,A202,fa_ht))</f>
        <v/>
      </c>
      <c r="O202" s="65" t="str">
        <f>IF(A202="","",SUMIF(fa_client,A202,fa_reste))</f>
        <v/>
      </c>
      <c r="P202" s="59" t="str">
        <f>IF(COUNTA(A202:M202)=0,"",IF(A202="","Code manquant",IF(COUNTIF(cli_code,A202)&gt;1,"Code en double",IF(B202="","Nom manquant",IF(AND(p_country="Maroc",C202&lt;&gt;"Particulier",OR(F202="",F202="Maroc"),G202=""),"ICE manquant (client professionnel)",IF(AND(G202&lt;&gt;"",NOT(AND(LEN(G202&amp;"")=15,SUBSTITUTE(SUBSTITUTE(SUBSTITUTE(SUBSTITUTE(SUBSTITUTE(SUBSTITUTE(SUBSTITUTE(SUBSTITUTE(SUBSTITUTE(SUBSTITUTE(G202&amp;"","0",""),"1",""),"2",""),"3",""),"4",""),"5",""),"6",""),"7",""),"8",""),"9","")=""))),"ICE : 15 chiffres attendus",IF(AND(H202&lt;&gt;"",NOT(AND(LEN(H202&amp;"")=9,SUBSTITUTE(SUBSTITUTE(SUBSTITUTE(SUBSTITUTE(SUBSTITUTE(SUBSTITUTE(SUBSTITUTE(SUBSTITUTE(SUBSTITUTE(SUBSTITUTE(H202&amp;"","0",""),"1",""),"2",""),"3",""),"4",""),"5",""),"6",""),"7",""),"8",""),"9","")=""))),"SIREN : 9 chiffres attendus",IF(AND(M202&lt;&gt;"",OR(NOT(ISNUMBER(M202)),N(M202)&lt;0)),"Délai de paiement invalide","OK"))))))))</f>
        <v/>
      </c>
      <c r="Q202" s="62" t="str">
        <f>IF(A202="","",ROUND(SUMIFS(fa_ht,fa_client,A202,fa_year,db_year)*100,0))</f>
        <v/>
      </c>
      <c r="R202" s="62" t="str">
        <f>IF(N(Q202)&lt;=0,"",COUNTIF($Q$6:$Q$305,"&gt;"&amp;Q202)+COUNTIF($Q$6:Q202,Q202))</f>
        <v/>
      </c>
      <c r="S202" s="62" t="str">
        <f>IF(A202="","",ROUND(SUMIFS(fa_reste,fa_client,A202,fa_reste,"&gt;0")*100,0))</f>
        <v/>
      </c>
      <c r="T202" s="62" t="str">
        <f>IF(N(S202)&lt;=0,"",COUNTIF($S$6:$S$305,"&gt;"&amp;S202)+COUNTIF($S$6:S202,S202))</f>
        <v/>
      </c>
    </row>
    <row r="203">
      <c r="A203" s="60" t="n"/>
      <c r="B203" s="63" t="n"/>
      <c r="C203" s="60" t="n"/>
      <c r="D203" s="63" t="n"/>
      <c r="E203" s="63" t="n"/>
      <c r="F203" s="60" t="n"/>
      <c r="G203" s="143" t="n"/>
      <c r="H203" s="143" t="n"/>
      <c r="I203" s="63" t="n"/>
      <c r="J203" s="63" t="n"/>
      <c r="K203" s="63" t="n"/>
      <c r="L203" s="63" t="n"/>
      <c r="M203" s="144" t="n"/>
      <c r="N203" s="65" t="str">
        <f>IF(A203="","",SUMIF(fa_client,A203,fa_ht))</f>
        <v/>
      </c>
      <c r="O203" s="65" t="str">
        <f>IF(A203="","",SUMIF(fa_client,A203,fa_reste))</f>
        <v/>
      </c>
      <c r="P203" s="59" t="str">
        <f>IF(COUNTA(A203:M203)=0,"",IF(A203="","Code manquant",IF(COUNTIF(cli_code,A203)&gt;1,"Code en double",IF(B203="","Nom manquant",IF(AND(p_country="Maroc",C203&lt;&gt;"Particulier",OR(F203="",F203="Maroc"),G203=""),"ICE manquant (client professionnel)",IF(AND(G203&lt;&gt;"",NOT(AND(LEN(G203&amp;"")=15,SUBSTITUTE(SUBSTITUTE(SUBSTITUTE(SUBSTITUTE(SUBSTITUTE(SUBSTITUTE(SUBSTITUTE(SUBSTITUTE(SUBSTITUTE(SUBSTITUTE(G203&amp;"","0",""),"1",""),"2",""),"3",""),"4",""),"5",""),"6",""),"7",""),"8",""),"9","")=""))),"ICE : 15 chiffres attendus",IF(AND(H203&lt;&gt;"",NOT(AND(LEN(H203&amp;"")=9,SUBSTITUTE(SUBSTITUTE(SUBSTITUTE(SUBSTITUTE(SUBSTITUTE(SUBSTITUTE(SUBSTITUTE(SUBSTITUTE(SUBSTITUTE(SUBSTITUTE(H203&amp;"","0",""),"1",""),"2",""),"3",""),"4",""),"5",""),"6",""),"7",""),"8",""),"9","")=""))),"SIREN : 9 chiffres attendus",IF(AND(M203&lt;&gt;"",OR(NOT(ISNUMBER(M203)),N(M203)&lt;0)),"Délai de paiement invalide","OK"))))))))</f>
        <v/>
      </c>
      <c r="Q203" s="62" t="str">
        <f>IF(A203="","",ROUND(SUMIFS(fa_ht,fa_client,A203,fa_year,db_year)*100,0))</f>
        <v/>
      </c>
      <c r="R203" s="62" t="str">
        <f>IF(N(Q203)&lt;=0,"",COUNTIF($Q$6:$Q$305,"&gt;"&amp;Q203)+COUNTIF($Q$6:Q203,Q203))</f>
        <v/>
      </c>
      <c r="S203" s="62" t="str">
        <f>IF(A203="","",ROUND(SUMIFS(fa_reste,fa_client,A203,fa_reste,"&gt;0")*100,0))</f>
        <v/>
      </c>
      <c r="T203" s="62" t="str">
        <f>IF(N(S203)&lt;=0,"",COUNTIF($S$6:$S$305,"&gt;"&amp;S203)+COUNTIF($S$6:S203,S203))</f>
        <v/>
      </c>
    </row>
    <row r="204">
      <c r="A204" s="60" t="n"/>
      <c r="B204" s="63" t="n"/>
      <c r="C204" s="60" t="n"/>
      <c r="D204" s="63" t="n"/>
      <c r="E204" s="63" t="n"/>
      <c r="F204" s="60" t="n"/>
      <c r="G204" s="143" t="n"/>
      <c r="H204" s="143" t="n"/>
      <c r="I204" s="63" t="n"/>
      <c r="J204" s="63" t="n"/>
      <c r="K204" s="63" t="n"/>
      <c r="L204" s="63" t="n"/>
      <c r="M204" s="144" t="n"/>
      <c r="N204" s="65" t="str">
        <f>IF(A204="","",SUMIF(fa_client,A204,fa_ht))</f>
        <v/>
      </c>
      <c r="O204" s="65" t="str">
        <f>IF(A204="","",SUMIF(fa_client,A204,fa_reste))</f>
        <v/>
      </c>
      <c r="P204" s="59" t="str">
        <f>IF(COUNTA(A204:M204)=0,"",IF(A204="","Code manquant",IF(COUNTIF(cli_code,A204)&gt;1,"Code en double",IF(B204="","Nom manquant",IF(AND(p_country="Maroc",C204&lt;&gt;"Particulier",OR(F204="",F204="Maroc"),G204=""),"ICE manquant (client professionnel)",IF(AND(G204&lt;&gt;"",NOT(AND(LEN(G204&amp;"")=15,SUBSTITUTE(SUBSTITUTE(SUBSTITUTE(SUBSTITUTE(SUBSTITUTE(SUBSTITUTE(SUBSTITUTE(SUBSTITUTE(SUBSTITUTE(SUBSTITUTE(G204&amp;"","0",""),"1",""),"2",""),"3",""),"4",""),"5",""),"6",""),"7",""),"8",""),"9","")=""))),"ICE : 15 chiffres attendus",IF(AND(H204&lt;&gt;"",NOT(AND(LEN(H204&amp;"")=9,SUBSTITUTE(SUBSTITUTE(SUBSTITUTE(SUBSTITUTE(SUBSTITUTE(SUBSTITUTE(SUBSTITUTE(SUBSTITUTE(SUBSTITUTE(SUBSTITUTE(H204&amp;"","0",""),"1",""),"2",""),"3",""),"4",""),"5",""),"6",""),"7",""),"8",""),"9","")=""))),"SIREN : 9 chiffres attendus",IF(AND(M204&lt;&gt;"",OR(NOT(ISNUMBER(M204)),N(M204)&lt;0)),"Délai de paiement invalide","OK"))))))))</f>
        <v/>
      </c>
      <c r="Q204" s="62" t="str">
        <f>IF(A204="","",ROUND(SUMIFS(fa_ht,fa_client,A204,fa_year,db_year)*100,0))</f>
        <v/>
      </c>
      <c r="R204" s="62" t="str">
        <f>IF(N(Q204)&lt;=0,"",COUNTIF($Q$6:$Q$305,"&gt;"&amp;Q204)+COUNTIF($Q$6:Q204,Q204))</f>
        <v/>
      </c>
      <c r="S204" s="62" t="str">
        <f>IF(A204="","",ROUND(SUMIFS(fa_reste,fa_client,A204,fa_reste,"&gt;0")*100,0))</f>
        <v/>
      </c>
      <c r="T204" s="62" t="str">
        <f>IF(N(S204)&lt;=0,"",COUNTIF($S$6:$S$305,"&gt;"&amp;S204)+COUNTIF($S$6:S204,S204))</f>
        <v/>
      </c>
    </row>
    <row r="205">
      <c r="A205" s="60" t="n"/>
      <c r="B205" s="63" t="n"/>
      <c r="C205" s="60" t="n"/>
      <c r="D205" s="63" t="n"/>
      <c r="E205" s="63" t="n"/>
      <c r="F205" s="60" t="n"/>
      <c r="G205" s="143" t="n"/>
      <c r="H205" s="143" t="n"/>
      <c r="I205" s="63" t="n"/>
      <c r="J205" s="63" t="n"/>
      <c r="K205" s="63" t="n"/>
      <c r="L205" s="63" t="n"/>
      <c r="M205" s="144" t="n"/>
      <c r="N205" s="65" t="str">
        <f>IF(A205="","",SUMIF(fa_client,A205,fa_ht))</f>
        <v/>
      </c>
      <c r="O205" s="65" t="str">
        <f>IF(A205="","",SUMIF(fa_client,A205,fa_reste))</f>
        <v/>
      </c>
      <c r="P205" s="59" t="str">
        <f>IF(COUNTA(A205:M205)=0,"",IF(A205="","Code manquant",IF(COUNTIF(cli_code,A205)&gt;1,"Code en double",IF(B205="","Nom manquant",IF(AND(p_country="Maroc",C205&lt;&gt;"Particulier",OR(F205="",F205="Maroc"),G205=""),"ICE manquant (client professionnel)",IF(AND(G205&lt;&gt;"",NOT(AND(LEN(G205&amp;"")=15,SUBSTITUTE(SUBSTITUTE(SUBSTITUTE(SUBSTITUTE(SUBSTITUTE(SUBSTITUTE(SUBSTITUTE(SUBSTITUTE(SUBSTITUTE(SUBSTITUTE(G205&amp;"","0",""),"1",""),"2",""),"3",""),"4",""),"5",""),"6",""),"7",""),"8",""),"9","")=""))),"ICE : 15 chiffres attendus",IF(AND(H205&lt;&gt;"",NOT(AND(LEN(H205&amp;"")=9,SUBSTITUTE(SUBSTITUTE(SUBSTITUTE(SUBSTITUTE(SUBSTITUTE(SUBSTITUTE(SUBSTITUTE(SUBSTITUTE(SUBSTITUTE(SUBSTITUTE(H205&amp;"","0",""),"1",""),"2",""),"3",""),"4",""),"5",""),"6",""),"7",""),"8",""),"9","")=""))),"SIREN : 9 chiffres attendus",IF(AND(M205&lt;&gt;"",OR(NOT(ISNUMBER(M205)),N(M205)&lt;0)),"Délai de paiement invalide","OK"))))))))</f>
        <v/>
      </c>
      <c r="Q205" s="62" t="str">
        <f>IF(A205="","",ROUND(SUMIFS(fa_ht,fa_client,A205,fa_year,db_year)*100,0))</f>
        <v/>
      </c>
      <c r="R205" s="62" t="str">
        <f>IF(N(Q205)&lt;=0,"",COUNTIF($Q$6:$Q$305,"&gt;"&amp;Q205)+COUNTIF($Q$6:Q205,Q205))</f>
        <v/>
      </c>
      <c r="S205" s="62" t="str">
        <f>IF(A205="","",ROUND(SUMIFS(fa_reste,fa_client,A205,fa_reste,"&gt;0")*100,0))</f>
        <v/>
      </c>
      <c r="T205" s="62" t="str">
        <f>IF(N(S205)&lt;=0,"",COUNTIF($S$6:$S$305,"&gt;"&amp;S205)+COUNTIF($S$6:S205,S205))</f>
        <v/>
      </c>
    </row>
    <row r="206">
      <c r="A206" s="60" t="n"/>
      <c r="B206" s="63" t="n"/>
      <c r="C206" s="60" t="n"/>
      <c r="D206" s="63" t="n"/>
      <c r="E206" s="63" t="n"/>
      <c r="F206" s="60" t="n"/>
      <c r="G206" s="143" t="n"/>
      <c r="H206" s="143" t="n"/>
      <c r="I206" s="63" t="n"/>
      <c r="J206" s="63" t="n"/>
      <c r="K206" s="63" t="n"/>
      <c r="L206" s="63" t="n"/>
      <c r="M206" s="144" t="n"/>
      <c r="N206" s="65" t="str">
        <f>IF(A206="","",SUMIF(fa_client,A206,fa_ht))</f>
        <v/>
      </c>
      <c r="O206" s="65" t="str">
        <f>IF(A206="","",SUMIF(fa_client,A206,fa_reste))</f>
        <v/>
      </c>
      <c r="P206" s="59" t="str">
        <f>IF(COUNTA(A206:M206)=0,"",IF(A206="","Code manquant",IF(COUNTIF(cli_code,A206)&gt;1,"Code en double",IF(B206="","Nom manquant",IF(AND(p_country="Maroc",C206&lt;&gt;"Particulier",OR(F206="",F206="Maroc"),G206=""),"ICE manquant (client professionnel)",IF(AND(G206&lt;&gt;"",NOT(AND(LEN(G206&amp;"")=15,SUBSTITUTE(SUBSTITUTE(SUBSTITUTE(SUBSTITUTE(SUBSTITUTE(SUBSTITUTE(SUBSTITUTE(SUBSTITUTE(SUBSTITUTE(SUBSTITUTE(G206&amp;"","0",""),"1",""),"2",""),"3",""),"4",""),"5",""),"6",""),"7",""),"8",""),"9","")=""))),"ICE : 15 chiffres attendus",IF(AND(H206&lt;&gt;"",NOT(AND(LEN(H206&amp;"")=9,SUBSTITUTE(SUBSTITUTE(SUBSTITUTE(SUBSTITUTE(SUBSTITUTE(SUBSTITUTE(SUBSTITUTE(SUBSTITUTE(SUBSTITUTE(SUBSTITUTE(H206&amp;"","0",""),"1",""),"2",""),"3",""),"4",""),"5",""),"6",""),"7",""),"8",""),"9","")=""))),"SIREN : 9 chiffres attendus",IF(AND(M206&lt;&gt;"",OR(NOT(ISNUMBER(M206)),N(M206)&lt;0)),"Délai de paiement invalide","OK"))))))))</f>
        <v/>
      </c>
      <c r="Q206" s="62" t="str">
        <f>IF(A206="","",ROUND(SUMIFS(fa_ht,fa_client,A206,fa_year,db_year)*100,0))</f>
        <v/>
      </c>
      <c r="R206" s="62" t="str">
        <f>IF(N(Q206)&lt;=0,"",COUNTIF($Q$6:$Q$305,"&gt;"&amp;Q206)+COUNTIF($Q$6:Q206,Q206))</f>
        <v/>
      </c>
      <c r="S206" s="62" t="str">
        <f>IF(A206="","",ROUND(SUMIFS(fa_reste,fa_client,A206,fa_reste,"&gt;0")*100,0))</f>
        <v/>
      </c>
      <c r="T206" s="62" t="str">
        <f>IF(N(S206)&lt;=0,"",COUNTIF($S$6:$S$305,"&gt;"&amp;S206)+COUNTIF($S$6:S206,S206))</f>
        <v/>
      </c>
    </row>
    <row r="207">
      <c r="A207" s="60" t="n"/>
      <c r="B207" s="63" t="n"/>
      <c r="C207" s="60" t="n"/>
      <c r="D207" s="63" t="n"/>
      <c r="E207" s="63" t="n"/>
      <c r="F207" s="60" t="n"/>
      <c r="G207" s="143" t="n"/>
      <c r="H207" s="143" t="n"/>
      <c r="I207" s="63" t="n"/>
      <c r="J207" s="63" t="n"/>
      <c r="K207" s="63" t="n"/>
      <c r="L207" s="63" t="n"/>
      <c r="M207" s="144" t="n"/>
      <c r="N207" s="65" t="str">
        <f>IF(A207="","",SUMIF(fa_client,A207,fa_ht))</f>
        <v/>
      </c>
      <c r="O207" s="65" t="str">
        <f>IF(A207="","",SUMIF(fa_client,A207,fa_reste))</f>
        <v/>
      </c>
      <c r="P207" s="59" t="str">
        <f>IF(COUNTA(A207:M207)=0,"",IF(A207="","Code manquant",IF(COUNTIF(cli_code,A207)&gt;1,"Code en double",IF(B207="","Nom manquant",IF(AND(p_country="Maroc",C207&lt;&gt;"Particulier",OR(F207="",F207="Maroc"),G207=""),"ICE manquant (client professionnel)",IF(AND(G207&lt;&gt;"",NOT(AND(LEN(G207&amp;"")=15,SUBSTITUTE(SUBSTITUTE(SUBSTITUTE(SUBSTITUTE(SUBSTITUTE(SUBSTITUTE(SUBSTITUTE(SUBSTITUTE(SUBSTITUTE(SUBSTITUTE(G207&amp;"","0",""),"1",""),"2",""),"3",""),"4",""),"5",""),"6",""),"7",""),"8",""),"9","")=""))),"ICE : 15 chiffres attendus",IF(AND(H207&lt;&gt;"",NOT(AND(LEN(H207&amp;"")=9,SUBSTITUTE(SUBSTITUTE(SUBSTITUTE(SUBSTITUTE(SUBSTITUTE(SUBSTITUTE(SUBSTITUTE(SUBSTITUTE(SUBSTITUTE(SUBSTITUTE(H207&amp;"","0",""),"1",""),"2",""),"3",""),"4",""),"5",""),"6",""),"7",""),"8",""),"9","")=""))),"SIREN : 9 chiffres attendus",IF(AND(M207&lt;&gt;"",OR(NOT(ISNUMBER(M207)),N(M207)&lt;0)),"Délai de paiement invalide","OK"))))))))</f>
        <v/>
      </c>
      <c r="Q207" s="62" t="str">
        <f>IF(A207="","",ROUND(SUMIFS(fa_ht,fa_client,A207,fa_year,db_year)*100,0))</f>
        <v/>
      </c>
      <c r="R207" s="62" t="str">
        <f>IF(N(Q207)&lt;=0,"",COUNTIF($Q$6:$Q$305,"&gt;"&amp;Q207)+COUNTIF($Q$6:Q207,Q207))</f>
        <v/>
      </c>
      <c r="S207" s="62" t="str">
        <f>IF(A207="","",ROUND(SUMIFS(fa_reste,fa_client,A207,fa_reste,"&gt;0")*100,0))</f>
        <v/>
      </c>
      <c r="T207" s="62" t="str">
        <f>IF(N(S207)&lt;=0,"",COUNTIF($S$6:$S$305,"&gt;"&amp;S207)+COUNTIF($S$6:S207,S207))</f>
        <v/>
      </c>
    </row>
    <row r="208">
      <c r="A208" s="60" t="n"/>
      <c r="B208" s="63" t="n"/>
      <c r="C208" s="60" t="n"/>
      <c r="D208" s="63" t="n"/>
      <c r="E208" s="63" t="n"/>
      <c r="F208" s="60" t="n"/>
      <c r="G208" s="143" t="n"/>
      <c r="H208" s="143" t="n"/>
      <c r="I208" s="63" t="n"/>
      <c r="J208" s="63" t="n"/>
      <c r="K208" s="63" t="n"/>
      <c r="L208" s="63" t="n"/>
      <c r="M208" s="144" t="n"/>
      <c r="N208" s="65" t="str">
        <f>IF(A208="","",SUMIF(fa_client,A208,fa_ht))</f>
        <v/>
      </c>
      <c r="O208" s="65" t="str">
        <f>IF(A208="","",SUMIF(fa_client,A208,fa_reste))</f>
        <v/>
      </c>
      <c r="P208" s="59" t="str">
        <f>IF(COUNTA(A208:M208)=0,"",IF(A208="","Code manquant",IF(COUNTIF(cli_code,A208)&gt;1,"Code en double",IF(B208="","Nom manquant",IF(AND(p_country="Maroc",C208&lt;&gt;"Particulier",OR(F208="",F208="Maroc"),G208=""),"ICE manquant (client professionnel)",IF(AND(G208&lt;&gt;"",NOT(AND(LEN(G208&amp;"")=15,SUBSTITUTE(SUBSTITUTE(SUBSTITUTE(SUBSTITUTE(SUBSTITUTE(SUBSTITUTE(SUBSTITUTE(SUBSTITUTE(SUBSTITUTE(SUBSTITUTE(G208&amp;"","0",""),"1",""),"2",""),"3",""),"4",""),"5",""),"6",""),"7",""),"8",""),"9","")=""))),"ICE : 15 chiffres attendus",IF(AND(H208&lt;&gt;"",NOT(AND(LEN(H208&amp;"")=9,SUBSTITUTE(SUBSTITUTE(SUBSTITUTE(SUBSTITUTE(SUBSTITUTE(SUBSTITUTE(SUBSTITUTE(SUBSTITUTE(SUBSTITUTE(SUBSTITUTE(H208&amp;"","0",""),"1",""),"2",""),"3",""),"4",""),"5",""),"6",""),"7",""),"8",""),"9","")=""))),"SIREN : 9 chiffres attendus",IF(AND(M208&lt;&gt;"",OR(NOT(ISNUMBER(M208)),N(M208)&lt;0)),"Délai de paiement invalide","OK"))))))))</f>
        <v/>
      </c>
      <c r="Q208" s="62" t="str">
        <f>IF(A208="","",ROUND(SUMIFS(fa_ht,fa_client,A208,fa_year,db_year)*100,0))</f>
        <v/>
      </c>
      <c r="R208" s="62" t="str">
        <f>IF(N(Q208)&lt;=0,"",COUNTIF($Q$6:$Q$305,"&gt;"&amp;Q208)+COUNTIF($Q$6:Q208,Q208))</f>
        <v/>
      </c>
      <c r="S208" s="62" t="str">
        <f>IF(A208="","",ROUND(SUMIFS(fa_reste,fa_client,A208,fa_reste,"&gt;0")*100,0))</f>
        <v/>
      </c>
      <c r="T208" s="62" t="str">
        <f>IF(N(S208)&lt;=0,"",COUNTIF($S$6:$S$305,"&gt;"&amp;S208)+COUNTIF($S$6:S208,S208))</f>
        <v/>
      </c>
    </row>
    <row r="209">
      <c r="A209" s="60" t="n"/>
      <c r="B209" s="63" t="n"/>
      <c r="C209" s="60" t="n"/>
      <c r="D209" s="63" t="n"/>
      <c r="E209" s="63" t="n"/>
      <c r="F209" s="60" t="n"/>
      <c r="G209" s="143" t="n"/>
      <c r="H209" s="143" t="n"/>
      <c r="I209" s="63" t="n"/>
      <c r="J209" s="63" t="n"/>
      <c r="K209" s="63" t="n"/>
      <c r="L209" s="63" t="n"/>
      <c r="M209" s="144" t="n"/>
      <c r="N209" s="65" t="str">
        <f>IF(A209="","",SUMIF(fa_client,A209,fa_ht))</f>
        <v/>
      </c>
      <c r="O209" s="65" t="str">
        <f>IF(A209="","",SUMIF(fa_client,A209,fa_reste))</f>
        <v/>
      </c>
      <c r="P209" s="59" t="str">
        <f>IF(COUNTA(A209:M209)=0,"",IF(A209="","Code manquant",IF(COUNTIF(cli_code,A209)&gt;1,"Code en double",IF(B209="","Nom manquant",IF(AND(p_country="Maroc",C209&lt;&gt;"Particulier",OR(F209="",F209="Maroc"),G209=""),"ICE manquant (client professionnel)",IF(AND(G209&lt;&gt;"",NOT(AND(LEN(G209&amp;"")=15,SUBSTITUTE(SUBSTITUTE(SUBSTITUTE(SUBSTITUTE(SUBSTITUTE(SUBSTITUTE(SUBSTITUTE(SUBSTITUTE(SUBSTITUTE(SUBSTITUTE(G209&amp;"","0",""),"1",""),"2",""),"3",""),"4",""),"5",""),"6",""),"7",""),"8",""),"9","")=""))),"ICE : 15 chiffres attendus",IF(AND(H209&lt;&gt;"",NOT(AND(LEN(H209&amp;"")=9,SUBSTITUTE(SUBSTITUTE(SUBSTITUTE(SUBSTITUTE(SUBSTITUTE(SUBSTITUTE(SUBSTITUTE(SUBSTITUTE(SUBSTITUTE(SUBSTITUTE(H209&amp;"","0",""),"1",""),"2",""),"3",""),"4",""),"5",""),"6",""),"7",""),"8",""),"9","")=""))),"SIREN : 9 chiffres attendus",IF(AND(M209&lt;&gt;"",OR(NOT(ISNUMBER(M209)),N(M209)&lt;0)),"Délai de paiement invalide","OK"))))))))</f>
        <v/>
      </c>
      <c r="Q209" s="62" t="str">
        <f>IF(A209="","",ROUND(SUMIFS(fa_ht,fa_client,A209,fa_year,db_year)*100,0))</f>
        <v/>
      </c>
      <c r="R209" s="62" t="str">
        <f>IF(N(Q209)&lt;=0,"",COUNTIF($Q$6:$Q$305,"&gt;"&amp;Q209)+COUNTIF($Q$6:Q209,Q209))</f>
        <v/>
      </c>
      <c r="S209" s="62" t="str">
        <f>IF(A209="","",ROUND(SUMIFS(fa_reste,fa_client,A209,fa_reste,"&gt;0")*100,0))</f>
        <v/>
      </c>
      <c r="T209" s="62" t="str">
        <f>IF(N(S209)&lt;=0,"",COUNTIF($S$6:$S$305,"&gt;"&amp;S209)+COUNTIF($S$6:S209,S209))</f>
        <v/>
      </c>
    </row>
    <row r="210">
      <c r="A210" s="60" t="n"/>
      <c r="B210" s="63" t="n"/>
      <c r="C210" s="60" t="n"/>
      <c r="D210" s="63" t="n"/>
      <c r="E210" s="63" t="n"/>
      <c r="F210" s="60" t="n"/>
      <c r="G210" s="143" t="n"/>
      <c r="H210" s="143" t="n"/>
      <c r="I210" s="63" t="n"/>
      <c r="J210" s="63" t="n"/>
      <c r="K210" s="63" t="n"/>
      <c r="L210" s="63" t="n"/>
      <c r="M210" s="144" t="n"/>
      <c r="N210" s="65" t="str">
        <f>IF(A210="","",SUMIF(fa_client,A210,fa_ht))</f>
        <v/>
      </c>
      <c r="O210" s="65" t="str">
        <f>IF(A210="","",SUMIF(fa_client,A210,fa_reste))</f>
        <v/>
      </c>
      <c r="P210" s="59" t="str">
        <f>IF(COUNTA(A210:M210)=0,"",IF(A210="","Code manquant",IF(COUNTIF(cli_code,A210)&gt;1,"Code en double",IF(B210="","Nom manquant",IF(AND(p_country="Maroc",C210&lt;&gt;"Particulier",OR(F210="",F210="Maroc"),G210=""),"ICE manquant (client professionnel)",IF(AND(G210&lt;&gt;"",NOT(AND(LEN(G210&amp;"")=15,SUBSTITUTE(SUBSTITUTE(SUBSTITUTE(SUBSTITUTE(SUBSTITUTE(SUBSTITUTE(SUBSTITUTE(SUBSTITUTE(SUBSTITUTE(SUBSTITUTE(G210&amp;"","0",""),"1",""),"2",""),"3",""),"4",""),"5",""),"6",""),"7",""),"8",""),"9","")=""))),"ICE : 15 chiffres attendus",IF(AND(H210&lt;&gt;"",NOT(AND(LEN(H210&amp;"")=9,SUBSTITUTE(SUBSTITUTE(SUBSTITUTE(SUBSTITUTE(SUBSTITUTE(SUBSTITUTE(SUBSTITUTE(SUBSTITUTE(SUBSTITUTE(SUBSTITUTE(H210&amp;"","0",""),"1",""),"2",""),"3",""),"4",""),"5",""),"6",""),"7",""),"8",""),"9","")=""))),"SIREN : 9 chiffres attendus",IF(AND(M210&lt;&gt;"",OR(NOT(ISNUMBER(M210)),N(M210)&lt;0)),"Délai de paiement invalide","OK"))))))))</f>
        <v/>
      </c>
      <c r="Q210" s="62" t="str">
        <f>IF(A210="","",ROUND(SUMIFS(fa_ht,fa_client,A210,fa_year,db_year)*100,0))</f>
        <v/>
      </c>
      <c r="R210" s="62" t="str">
        <f>IF(N(Q210)&lt;=0,"",COUNTIF($Q$6:$Q$305,"&gt;"&amp;Q210)+COUNTIF($Q$6:Q210,Q210))</f>
        <v/>
      </c>
      <c r="S210" s="62" t="str">
        <f>IF(A210="","",ROUND(SUMIFS(fa_reste,fa_client,A210,fa_reste,"&gt;0")*100,0))</f>
        <v/>
      </c>
      <c r="T210" s="62" t="str">
        <f>IF(N(S210)&lt;=0,"",COUNTIF($S$6:$S$305,"&gt;"&amp;S210)+COUNTIF($S$6:S210,S210))</f>
        <v/>
      </c>
    </row>
    <row r="211">
      <c r="A211" s="60" t="n"/>
      <c r="B211" s="63" t="n"/>
      <c r="C211" s="60" t="n"/>
      <c r="D211" s="63" t="n"/>
      <c r="E211" s="63" t="n"/>
      <c r="F211" s="60" t="n"/>
      <c r="G211" s="143" t="n"/>
      <c r="H211" s="143" t="n"/>
      <c r="I211" s="63" t="n"/>
      <c r="J211" s="63" t="n"/>
      <c r="K211" s="63" t="n"/>
      <c r="L211" s="63" t="n"/>
      <c r="M211" s="144" t="n"/>
      <c r="N211" s="65" t="str">
        <f>IF(A211="","",SUMIF(fa_client,A211,fa_ht))</f>
        <v/>
      </c>
      <c r="O211" s="65" t="str">
        <f>IF(A211="","",SUMIF(fa_client,A211,fa_reste))</f>
        <v/>
      </c>
      <c r="P211" s="59" t="str">
        <f>IF(COUNTA(A211:M211)=0,"",IF(A211="","Code manquant",IF(COUNTIF(cli_code,A211)&gt;1,"Code en double",IF(B211="","Nom manquant",IF(AND(p_country="Maroc",C211&lt;&gt;"Particulier",OR(F211="",F211="Maroc"),G211=""),"ICE manquant (client professionnel)",IF(AND(G211&lt;&gt;"",NOT(AND(LEN(G211&amp;"")=15,SUBSTITUTE(SUBSTITUTE(SUBSTITUTE(SUBSTITUTE(SUBSTITUTE(SUBSTITUTE(SUBSTITUTE(SUBSTITUTE(SUBSTITUTE(SUBSTITUTE(G211&amp;"","0",""),"1",""),"2",""),"3",""),"4",""),"5",""),"6",""),"7",""),"8",""),"9","")=""))),"ICE : 15 chiffres attendus",IF(AND(H211&lt;&gt;"",NOT(AND(LEN(H211&amp;"")=9,SUBSTITUTE(SUBSTITUTE(SUBSTITUTE(SUBSTITUTE(SUBSTITUTE(SUBSTITUTE(SUBSTITUTE(SUBSTITUTE(SUBSTITUTE(SUBSTITUTE(H211&amp;"","0",""),"1",""),"2",""),"3",""),"4",""),"5",""),"6",""),"7",""),"8",""),"9","")=""))),"SIREN : 9 chiffres attendus",IF(AND(M211&lt;&gt;"",OR(NOT(ISNUMBER(M211)),N(M211)&lt;0)),"Délai de paiement invalide","OK"))))))))</f>
        <v/>
      </c>
      <c r="Q211" s="62" t="str">
        <f>IF(A211="","",ROUND(SUMIFS(fa_ht,fa_client,A211,fa_year,db_year)*100,0))</f>
        <v/>
      </c>
      <c r="R211" s="62" t="str">
        <f>IF(N(Q211)&lt;=0,"",COUNTIF($Q$6:$Q$305,"&gt;"&amp;Q211)+COUNTIF($Q$6:Q211,Q211))</f>
        <v/>
      </c>
      <c r="S211" s="62" t="str">
        <f>IF(A211="","",ROUND(SUMIFS(fa_reste,fa_client,A211,fa_reste,"&gt;0")*100,0))</f>
        <v/>
      </c>
      <c r="T211" s="62" t="str">
        <f>IF(N(S211)&lt;=0,"",COUNTIF($S$6:$S$305,"&gt;"&amp;S211)+COUNTIF($S$6:S211,S211))</f>
        <v/>
      </c>
    </row>
    <row r="212">
      <c r="A212" s="60" t="n"/>
      <c r="B212" s="63" t="n"/>
      <c r="C212" s="60" t="n"/>
      <c r="D212" s="63" t="n"/>
      <c r="E212" s="63" t="n"/>
      <c r="F212" s="60" t="n"/>
      <c r="G212" s="143" t="n"/>
      <c r="H212" s="143" t="n"/>
      <c r="I212" s="63" t="n"/>
      <c r="J212" s="63" t="n"/>
      <c r="K212" s="63" t="n"/>
      <c r="L212" s="63" t="n"/>
      <c r="M212" s="144" t="n"/>
      <c r="N212" s="65" t="str">
        <f>IF(A212="","",SUMIF(fa_client,A212,fa_ht))</f>
        <v/>
      </c>
      <c r="O212" s="65" t="str">
        <f>IF(A212="","",SUMIF(fa_client,A212,fa_reste))</f>
        <v/>
      </c>
      <c r="P212" s="59" t="str">
        <f>IF(COUNTA(A212:M212)=0,"",IF(A212="","Code manquant",IF(COUNTIF(cli_code,A212)&gt;1,"Code en double",IF(B212="","Nom manquant",IF(AND(p_country="Maroc",C212&lt;&gt;"Particulier",OR(F212="",F212="Maroc"),G212=""),"ICE manquant (client professionnel)",IF(AND(G212&lt;&gt;"",NOT(AND(LEN(G212&amp;"")=15,SUBSTITUTE(SUBSTITUTE(SUBSTITUTE(SUBSTITUTE(SUBSTITUTE(SUBSTITUTE(SUBSTITUTE(SUBSTITUTE(SUBSTITUTE(SUBSTITUTE(G212&amp;"","0",""),"1",""),"2",""),"3",""),"4",""),"5",""),"6",""),"7",""),"8",""),"9","")=""))),"ICE : 15 chiffres attendus",IF(AND(H212&lt;&gt;"",NOT(AND(LEN(H212&amp;"")=9,SUBSTITUTE(SUBSTITUTE(SUBSTITUTE(SUBSTITUTE(SUBSTITUTE(SUBSTITUTE(SUBSTITUTE(SUBSTITUTE(SUBSTITUTE(SUBSTITUTE(H212&amp;"","0",""),"1",""),"2",""),"3",""),"4",""),"5",""),"6",""),"7",""),"8",""),"9","")=""))),"SIREN : 9 chiffres attendus",IF(AND(M212&lt;&gt;"",OR(NOT(ISNUMBER(M212)),N(M212)&lt;0)),"Délai de paiement invalide","OK"))))))))</f>
        <v/>
      </c>
      <c r="Q212" s="62" t="str">
        <f>IF(A212="","",ROUND(SUMIFS(fa_ht,fa_client,A212,fa_year,db_year)*100,0))</f>
        <v/>
      </c>
      <c r="R212" s="62" t="str">
        <f>IF(N(Q212)&lt;=0,"",COUNTIF($Q$6:$Q$305,"&gt;"&amp;Q212)+COUNTIF($Q$6:Q212,Q212))</f>
        <v/>
      </c>
      <c r="S212" s="62" t="str">
        <f>IF(A212="","",ROUND(SUMIFS(fa_reste,fa_client,A212,fa_reste,"&gt;0")*100,0))</f>
        <v/>
      </c>
      <c r="T212" s="62" t="str">
        <f>IF(N(S212)&lt;=0,"",COUNTIF($S$6:$S$305,"&gt;"&amp;S212)+COUNTIF($S$6:S212,S212))</f>
        <v/>
      </c>
    </row>
    <row r="213">
      <c r="A213" s="60" t="n"/>
      <c r="B213" s="63" t="n"/>
      <c r="C213" s="60" t="n"/>
      <c r="D213" s="63" t="n"/>
      <c r="E213" s="63" t="n"/>
      <c r="F213" s="60" t="n"/>
      <c r="G213" s="143" t="n"/>
      <c r="H213" s="143" t="n"/>
      <c r="I213" s="63" t="n"/>
      <c r="J213" s="63" t="n"/>
      <c r="K213" s="63" t="n"/>
      <c r="L213" s="63" t="n"/>
      <c r="M213" s="144" t="n"/>
      <c r="N213" s="65" t="str">
        <f>IF(A213="","",SUMIF(fa_client,A213,fa_ht))</f>
        <v/>
      </c>
      <c r="O213" s="65" t="str">
        <f>IF(A213="","",SUMIF(fa_client,A213,fa_reste))</f>
        <v/>
      </c>
      <c r="P213" s="59" t="str">
        <f>IF(COUNTA(A213:M213)=0,"",IF(A213="","Code manquant",IF(COUNTIF(cli_code,A213)&gt;1,"Code en double",IF(B213="","Nom manquant",IF(AND(p_country="Maroc",C213&lt;&gt;"Particulier",OR(F213="",F213="Maroc"),G213=""),"ICE manquant (client professionnel)",IF(AND(G213&lt;&gt;"",NOT(AND(LEN(G213&amp;"")=15,SUBSTITUTE(SUBSTITUTE(SUBSTITUTE(SUBSTITUTE(SUBSTITUTE(SUBSTITUTE(SUBSTITUTE(SUBSTITUTE(SUBSTITUTE(SUBSTITUTE(G213&amp;"","0",""),"1",""),"2",""),"3",""),"4",""),"5",""),"6",""),"7",""),"8",""),"9","")=""))),"ICE : 15 chiffres attendus",IF(AND(H213&lt;&gt;"",NOT(AND(LEN(H213&amp;"")=9,SUBSTITUTE(SUBSTITUTE(SUBSTITUTE(SUBSTITUTE(SUBSTITUTE(SUBSTITUTE(SUBSTITUTE(SUBSTITUTE(SUBSTITUTE(SUBSTITUTE(H213&amp;"","0",""),"1",""),"2",""),"3",""),"4",""),"5",""),"6",""),"7",""),"8",""),"9","")=""))),"SIREN : 9 chiffres attendus",IF(AND(M213&lt;&gt;"",OR(NOT(ISNUMBER(M213)),N(M213)&lt;0)),"Délai de paiement invalide","OK"))))))))</f>
        <v/>
      </c>
      <c r="Q213" s="62" t="str">
        <f>IF(A213="","",ROUND(SUMIFS(fa_ht,fa_client,A213,fa_year,db_year)*100,0))</f>
        <v/>
      </c>
      <c r="R213" s="62" t="str">
        <f>IF(N(Q213)&lt;=0,"",COUNTIF($Q$6:$Q$305,"&gt;"&amp;Q213)+COUNTIF($Q$6:Q213,Q213))</f>
        <v/>
      </c>
      <c r="S213" s="62" t="str">
        <f>IF(A213="","",ROUND(SUMIFS(fa_reste,fa_client,A213,fa_reste,"&gt;0")*100,0))</f>
        <v/>
      </c>
      <c r="T213" s="62" t="str">
        <f>IF(N(S213)&lt;=0,"",COUNTIF($S$6:$S$305,"&gt;"&amp;S213)+COUNTIF($S$6:S213,S213))</f>
        <v/>
      </c>
    </row>
    <row r="214">
      <c r="A214" s="60" t="n"/>
      <c r="B214" s="63" t="n"/>
      <c r="C214" s="60" t="n"/>
      <c r="D214" s="63" t="n"/>
      <c r="E214" s="63" t="n"/>
      <c r="F214" s="60" t="n"/>
      <c r="G214" s="143" t="n"/>
      <c r="H214" s="143" t="n"/>
      <c r="I214" s="63" t="n"/>
      <c r="J214" s="63" t="n"/>
      <c r="K214" s="63" t="n"/>
      <c r="L214" s="63" t="n"/>
      <c r="M214" s="144" t="n"/>
      <c r="N214" s="65" t="str">
        <f>IF(A214="","",SUMIF(fa_client,A214,fa_ht))</f>
        <v/>
      </c>
      <c r="O214" s="65" t="str">
        <f>IF(A214="","",SUMIF(fa_client,A214,fa_reste))</f>
        <v/>
      </c>
      <c r="P214" s="59" t="str">
        <f>IF(COUNTA(A214:M214)=0,"",IF(A214="","Code manquant",IF(COUNTIF(cli_code,A214)&gt;1,"Code en double",IF(B214="","Nom manquant",IF(AND(p_country="Maroc",C214&lt;&gt;"Particulier",OR(F214="",F214="Maroc"),G214=""),"ICE manquant (client professionnel)",IF(AND(G214&lt;&gt;"",NOT(AND(LEN(G214&amp;"")=15,SUBSTITUTE(SUBSTITUTE(SUBSTITUTE(SUBSTITUTE(SUBSTITUTE(SUBSTITUTE(SUBSTITUTE(SUBSTITUTE(SUBSTITUTE(SUBSTITUTE(G214&amp;"","0",""),"1",""),"2",""),"3",""),"4",""),"5",""),"6",""),"7",""),"8",""),"9","")=""))),"ICE : 15 chiffres attendus",IF(AND(H214&lt;&gt;"",NOT(AND(LEN(H214&amp;"")=9,SUBSTITUTE(SUBSTITUTE(SUBSTITUTE(SUBSTITUTE(SUBSTITUTE(SUBSTITUTE(SUBSTITUTE(SUBSTITUTE(SUBSTITUTE(SUBSTITUTE(H214&amp;"","0",""),"1",""),"2",""),"3",""),"4",""),"5",""),"6",""),"7",""),"8",""),"9","")=""))),"SIREN : 9 chiffres attendus",IF(AND(M214&lt;&gt;"",OR(NOT(ISNUMBER(M214)),N(M214)&lt;0)),"Délai de paiement invalide","OK"))))))))</f>
        <v/>
      </c>
      <c r="Q214" s="62" t="str">
        <f>IF(A214="","",ROUND(SUMIFS(fa_ht,fa_client,A214,fa_year,db_year)*100,0))</f>
        <v/>
      </c>
      <c r="R214" s="62" t="str">
        <f>IF(N(Q214)&lt;=0,"",COUNTIF($Q$6:$Q$305,"&gt;"&amp;Q214)+COUNTIF($Q$6:Q214,Q214))</f>
        <v/>
      </c>
      <c r="S214" s="62" t="str">
        <f>IF(A214="","",ROUND(SUMIFS(fa_reste,fa_client,A214,fa_reste,"&gt;0")*100,0))</f>
        <v/>
      </c>
      <c r="T214" s="62" t="str">
        <f>IF(N(S214)&lt;=0,"",COUNTIF($S$6:$S$305,"&gt;"&amp;S214)+COUNTIF($S$6:S214,S214))</f>
        <v/>
      </c>
    </row>
    <row r="215">
      <c r="A215" s="60" t="n"/>
      <c r="B215" s="63" t="n"/>
      <c r="C215" s="60" t="n"/>
      <c r="D215" s="63" t="n"/>
      <c r="E215" s="63" t="n"/>
      <c r="F215" s="60" t="n"/>
      <c r="G215" s="143" t="n"/>
      <c r="H215" s="143" t="n"/>
      <c r="I215" s="63" t="n"/>
      <c r="J215" s="63" t="n"/>
      <c r="K215" s="63" t="n"/>
      <c r="L215" s="63" t="n"/>
      <c r="M215" s="144" t="n"/>
      <c r="N215" s="65" t="str">
        <f>IF(A215="","",SUMIF(fa_client,A215,fa_ht))</f>
        <v/>
      </c>
      <c r="O215" s="65" t="str">
        <f>IF(A215="","",SUMIF(fa_client,A215,fa_reste))</f>
        <v/>
      </c>
      <c r="P215" s="59" t="str">
        <f>IF(COUNTA(A215:M215)=0,"",IF(A215="","Code manquant",IF(COUNTIF(cli_code,A215)&gt;1,"Code en double",IF(B215="","Nom manquant",IF(AND(p_country="Maroc",C215&lt;&gt;"Particulier",OR(F215="",F215="Maroc"),G215=""),"ICE manquant (client professionnel)",IF(AND(G215&lt;&gt;"",NOT(AND(LEN(G215&amp;"")=15,SUBSTITUTE(SUBSTITUTE(SUBSTITUTE(SUBSTITUTE(SUBSTITUTE(SUBSTITUTE(SUBSTITUTE(SUBSTITUTE(SUBSTITUTE(SUBSTITUTE(G215&amp;"","0",""),"1",""),"2",""),"3",""),"4",""),"5",""),"6",""),"7",""),"8",""),"9","")=""))),"ICE : 15 chiffres attendus",IF(AND(H215&lt;&gt;"",NOT(AND(LEN(H215&amp;"")=9,SUBSTITUTE(SUBSTITUTE(SUBSTITUTE(SUBSTITUTE(SUBSTITUTE(SUBSTITUTE(SUBSTITUTE(SUBSTITUTE(SUBSTITUTE(SUBSTITUTE(H215&amp;"","0",""),"1",""),"2",""),"3",""),"4",""),"5",""),"6",""),"7",""),"8",""),"9","")=""))),"SIREN : 9 chiffres attendus",IF(AND(M215&lt;&gt;"",OR(NOT(ISNUMBER(M215)),N(M215)&lt;0)),"Délai de paiement invalide","OK"))))))))</f>
        <v/>
      </c>
      <c r="Q215" s="62" t="str">
        <f>IF(A215="","",ROUND(SUMIFS(fa_ht,fa_client,A215,fa_year,db_year)*100,0))</f>
        <v/>
      </c>
      <c r="R215" s="62" t="str">
        <f>IF(N(Q215)&lt;=0,"",COUNTIF($Q$6:$Q$305,"&gt;"&amp;Q215)+COUNTIF($Q$6:Q215,Q215))</f>
        <v/>
      </c>
      <c r="S215" s="62" t="str">
        <f>IF(A215="","",ROUND(SUMIFS(fa_reste,fa_client,A215,fa_reste,"&gt;0")*100,0))</f>
        <v/>
      </c>
      <c r="T215" s="62" t="str">
        <f>IF(N(S215)&lt;=0,"",COUNTIF($S$6:$S$305,"&gt;"&amp;S215)+COUNTIF($S$6:S215,S215))</f>
        <v/>
      </c>
    </row>
    <row r="216">
      <c r="A216" s="60" t="n"/>
      <c r="B216" s="63" t="n"/>
      <c r="C216" s="60" t="n"/>
      <c r="D216" s="63" t="n"/>
      <c r="E216" s="63" t="n"/>
      <c r="F216" s="60" t="n"/>
      <c r="G216" s="143" t="n"/>
      <c r="H216" s="143" t="n"/>
      <c r="I216" s="63" t="n"/>
      <c r="J216" s="63" t="n"/>
      <c r="K216" s="63" t="n"/>
      <c r="L216" s="63" t="n"/>
      <c r="M216" s="144" t="n"/>
      <c r="N216" s="65" t="str">
        <f>IF(A216="","",SUMIF(fa_client,A216,fa_ht))</f>
        <v/>
      </c>
      <c r="O216" s="65" t="str">
        <f>IF(A216="","",SUMIF(fa_client,A216,fa_reste))</f>
        <v/>
      </c>
      <c r="P216" s="59" t="str">
        <f>IF(COUNTA(A216:M216)=0,"",IF(A216="","Code manquant",IF(COUNTIF(cli_code,A216)&gt;1,"Code en double",IF(B216="","Nom manquant",IF(AND(p_country="Maroc",C216&lt;&gt;"Particulier",OR(F216="",F216="Maroc"),G216=""),"ICE manquant (client professionnel)",IF(AND(G216&lt;&gt;"",NOT(AND(LEN(G216&amp;"")=15,SUBSTITUTE(SUBSTITUTE(SUBSTITUTE(SUBSTITUTE(SUBSTITUTE(SUBSTITUTE(SUBSTITUTE(SUBSTITUTE(SUBSTITUTE(SUBSTITUTE(G216&amp;"","0",""),"1",""),"2",""),"3",""),"4",""),"5",""),"6",""),"7",""),"8",""),"9","")=""))),"ICE : 15 chiffres attendus",IF(AND(H216&lt;&gt;"",NOT(AND(LEN(H216&amp;"")=9,SUBSTITUTE(SUBSTITUTE(SUBSTITUTE(SUBSTITUTE(SUBSTITUTE(SUBSTITUTE(SUBSTITUTE(SUBSTITUTE(SUBSTITUTE(SUBSTITUTE(H216&amp;"","0",""),"1",""),"2",""),"3",""),"4",""),"5",""),"6",""),"7",""),"8",""),"9","")=""))),"SIREN : 9 chiffres attendus",IF(AND(M216&lt;&gt;"",OR(NOT(ISNUMBER(M216)),N(M216)&lt;0)),"Délai de paiement invalide","OK"))))))))</f>
        <v/>
      </c>
      <c r="Q216" s="62" t="str">
        <f>IF(A216="","",ROUND(SUMIFS(fa_ht,fa_client,A216,fa_year,db_year)*100,0))</f>
        <v/>
      </c>
      <c r="R216" s="62" t="str">
        <f>IF(N(Q216)&lt;=0,"",COUNTIF($Q$6:$Q$305,"&gt;"&amp;Q216)+COUNTIF($Q$6:Q216,Q216))</f>
        <v/>
      </c>
      <c r="S216" s="62" t="str">
        <f>IF(A216="","",ROUND(SUMIFS(fa_reste,fa_client,A216,fa_reste,"&gt;0")*100,0))</f>
        <v/>
      </c>
      <c r="T216" s="62" t="str">
        <f>IF(N(S216)&lt;=0,"",COUNTIF($S$6:$S$305,"&gt;"&amp;S216)+COUNTIF($S$6:S216,S216))</f>
        <v/>
      </c>
    </row>
    <row r="217">
      <c r="A217" s="60" t="n"/>
      <c r="B217" s="63" t="n"/>
      <c r="C217" s="60" t="n"/>
      <c r="D217" s="63" t="n"/>
      <c r="E217" s="63" t="n"/>
      <c r="F217" s="60" t="n"/>
      <c r="G217" s="143" t="n"/>
      <c r="H217" s="143" t="n"/>
      <c r="I217" s="63" t="n"/>
      <c r="J217" s="63" t="n"/>
      <c r="K217" s="63" t="n"/>
      <c r="L217" s="63" t="n"/>
      <c r="M217" s="144" t="n"/>
      <c r="N217" s="65" t="str">
        <f>IF(A217="","",SUMIF(fa_client,A217,fa_ht))</f>
        <v/>
      </c>
      <c r="O217" s="65" t="str">
        <f>IF(A217="","",SUMIF(fa_client,A217,fa_reste))</f>
        <v/>
      </c>
      <c r="P217" s="59" t="str">
        <f>IF(COUNTA(A217:M217)=0,"",IF(A217="","Code manquant",IF(COUNTIF(cli_code,A217)&gt;1,"Code en double",IF(B217="","Nom manquant",IF(AND(p_country="Maroc",C217&lt;&gt;"Particulier",OR(F217="",F217="Maroc"),G217=""),"ICE manquant (client professionnel)",IF(AND(G217&lt;&gt;"",NOT(AND(LEN(G217&amp;"")=15,SUBSTITUTE(SUBSTITUTE(SUBSTITUTE(SUBSTITUTE(SUBSTITUTE(SUBSTITUTE(SUBSTITUTE(SUBSTITUTE(SUBSTITUTE(SUBSTITUTE(G217&amp;"","0",""),"1",""),"2",""),"3",""),"4",""),"5",""),"6",""),"7",""),"8",""),"9","")=""))),"ICE : 15 chiffres attendus",IF(AND(H217&lt;&gt;"",NOT(AND(LEN(H217&amp;"")=9,SUBSTITUTE(SUBSTITUTE(SUBSTITUTE(SUBSTITUTE(SUBSTITUTE(SUBSTITUTE(SUBSTITUTE(SUBSTITUTE(SUBSTITUTE(SUBSTITUTE(H217&amp;"","0",""),"1",""),"2",""),"3",""),"4",""),"5",""),"6",""),"7",""),"8",""),"9","")=""))),"SIREN : 9 chiffres attendus",IF(AND(M217&lt;&gt;"",OR(NOT(ISNUMBER(M217)),N(M217)&lt;0)),"Délai de paiement invalide","OK"))))))))</f>
        <v/>
      </c>
      <c r="Q217" s="62" t="str">
        <f>IF(A217="","",ROUND(SUMIFS(fa_ht,fa_client,A217,fa_year,db_year)*100,0))</f>
        <v/>
      </c>
      <c r="R217" s="62" t="str">
        <f>IF(N(Q217)&lt;=0,"",COUNTIF($Q$6:$Q$305,"&gt;"&amp;Q217)+COUNTIF($Q$6:Q217,Q217))</f>
        <v/>
      </c>
      <c r="S217" s="62" t="str">
        <f>IF(A217="","",ROUND(SUMIFS(fa_reste,fa_client,A217,fa_reste,"&gt;0")*100,0))</f>
        <v/>
      </c>
      <c r="T217" s="62" t="str">
        <f>IF(N(S217)&lt;=0,"",COUNTIF($S$6:$S$305,"&gt;"&amp;S217)+COUNTIF($S$6:S217,S217))</f>
        <v/>
      </c>
    </row>
    <row r="218">
      <c r="A218" s="60" t="n"/>
      <c r="B218" s="63" t="n"/>
      <c r="C218" s="60" t="n"/>
      <c r="D218" s="63" t="n"/>
      <c r="E218" s="63" t="n"/>
      <c r="F218" s="60" t="n"/>
      <c r="G218" s="143" t="n"/>
      <c r="H218" s="143" t="n"/>
      <c r="I218" s="63" t="n"/>
      <c r="J218" s="63" t="n"/>
      <c r="K218" s="63" t="n"/>
      <c r="L218" s="63" t="n"/>
      <c r="M218" s="144" t="n"/>
      <c r="N218" s="65" t="str">
        <f>IF(A218="","",SUMIF(fa_client,A218,fa_ht))</f>
        <v/>
      </c>
      <c r="O218" s="65" t="str">
        <f>IF(A218="","",SUMIF(fa_client,A218,fa_reste))</f>
        <v/>
      </c>
      <c r="P218" s="59" t="str">
        <f>IF(COUNTA(A218:M218)=0,"",IF(A218="","Code manquant",IF(COUNTIF(cli_code,A218)&gt;1,"Code en double",IF(B218="","Nom manquant",IF(AND(p_country="Maroc",C218&lt;&gt;"Particulier",OR(F218="",F218="Maroc"),G218=""),"ICE manquant (client professionnel)",IF(AND(G218&lt;&gt;"",NOT(AND(LEN(G218&amp;"")=15,SUBSTITUTE(SUBSTITUTE(SUBSTITUTE(SUBSTITUTE(SUBSTITUTE(SUBSTITUTE(SUBSTITUTE(SUBSTITUTE(SUBSTITUTE(SUBSTITUTE(G218&amp;"","0",""),"1",""),"2",""),"3",""),"4",""),"5",""),"6",""),"7",""),"8",""),"9","")=""))),"ICE : 15 chiffres attendus",IF(AND(H218&lt;&gt;"",NOT(AND(LEN(H218&amp;"")=9,SUBSTITUTE(SUBSTITUTE(SUBSTITUTE(SUBSTITUTE(SUBSTITUTE(SUBSTITUTE(SUBSTITUTE(SUBSTITUTE(SUBSTITUTE(SUBSTITUTE(H218&amp;"","0",""),"1",""),"2",""),"3",""),"4",""),"5",""),"6",""),"7",""),"8",""),"9","")=""))),"SIREN : 9 chiffres attendus",IF(AND(M218&lt;&gt;"",OR(NOT(ISNUMBER(M218)),N(M218)&lt;0)),"Délai de paiement invalide","OK"))))))))</f>
        <v/>
      </c>
      <c r="Q218" s="62" t="str">
        <f>IF(A218="","",ROUND(SUMIFS(fa_ht,fa_client,A218,fa_year,db_year)*100,0))</f>
        <v/>
      </c>
      <c r="R218" s="62" t="str">
        <f>IF(N(Q218)&lt;=0,"",COUNTIF($Q$6:$Q$305,"&gt;"&amp;Q218)+COUNTIF($Q$6:Q218,Q218))</f>
        <v/>
      </c>
      <c r="S218" s="62" t="str">
        <f>IF(A218="","",ROUND(SUMIFS(fa_reste,fa_client,A218,fa_reste,"&gt;0")*100,0))</f>
        <v/>
      </c>
      <c r="T218" s="62" t="str">
        <f>IF(N(S218)&lt;=0,"",COUNTIF($S$6:$S$305,"&gt;"&amp;S218)+COUNTIF($S$6:S218,S218))</f>
        <v/>
      </c>
    </row>
    <row r="219">
      <c r="A219" s="60" t="n"/>
      <c r="B219" s="63" t="n"/>
      <c r="C219" s="60" t="n"/>
      <c r="D219" s="63" t="n"/>
      <c r="E219" s="63" t="n"/>
      <c r="F219" s="60" t="n"/>
      <c r="G219" s="143" t="n"/>
      <c r="H219" s="143" t="n"/>
      <c r="I219" s="63" t="n"/>
      <c r="J219" s="63" t="n"/>
      <c r="K219" s="63" t="n"/>
      <c r="L219" s="63" t="n"/>
      <c r="M219" s="144" t="n"/>
      <c r="N219" s="65" t="str">
        <f>IF(A219="","",SUMIF(fa_client,A219,fa_ht))</f>
        <v/>
      </c>
      <c r="O219" s="65" t="str">
        <f>IF(A219="","",SUMIF(fa_client,A219,fa_reste))</f>
        <v/>
      </c>
      <c r="P219" s="59" t="str">
        <f>IF(COUNTA(A219:M219)=0,"",IF(A219="","Code manquant",IF(COUNTIF(cli_code,A219)&gt;1,"Code en double",IF(B219="","Nom manquant",IF(AND(p_country="Maroc",C219&lt;&gt;"Particulier",OR(F219="",F219="Maroc"),G219=""),"ICE manquant (client professionnel)",IF(AND(G219&lt;&gt;"",NOT(AND(LEN(G219&amp;"")=15,SUBSTITUTE(SUBSTITUTE(SUBSTITUTE(SUBSTITUTE(SUBSTITUTE(SUBSTITUTE(SUBSTITUTE(SUBSTITUTE(SUBSTITUTE(SUBSTITUTE(G219&amp;"","0",""),"1",""),"2",""),"3",""),"4",""),"5",""),"6",""),"7",""),"8",""),"9","")=""))),"ICE : 15 chiffres attendus",IF(AND(H219&lt;&gt;"",NOT(AND(LEN(H219&amp;"")=9,SUBSTITUTE(SUBSTITUTE(SUBSTITUTE(SUBSTITUTE(SUBSTITUTE(SUBSTITUTE(SUBSTITUTE(SUBSTITUTE(SUBSTITUTE(SUBSTITUTE(H219&amp;"","0",""),"1",""),"2",""),"3",""),"4",""),"5",""),"6",""),"7",""),"8",""),"9","")=""))),"SIREN : 9 chiffres attendus",IF(AND(M219&lt;&gt;"",OR(NOT(ISNUMBER(M219)),N(M219)&lt;0)),"Délai de paiement invalide","OK"))))))))</f>
        <v/>
      </c>
      <c r="Q219" s="62" t="str">
        <f>IF(A219="","",ROUND(SUMIFS(fa_ht,fa_client,A219,fa_year,db_year)*100,0))</f>
        <v/>
      </c>
      <c r="R219" s="62" t="str">
        <f>IF(N(Q219)&lt;=0,"",COUNTIF($Q$6:$Q$305,"&gt;"&amp;Q219)+COUNTIF($Q$6:Q219,Q219))</f>
        <v/>
      </c>
      <c r="S219" s="62" t="str">
        <f>IF(A219="","",ROUND(SUMIFS(fa_reste,fa_client,A219,fa_reste,"&gt;0")*100,0))</f>
        <v/>
      </c>
      <c r="T219" s="62" t="str">
        <f>IF(N(S219)&lt;=0,"",COUNTIF($S$6:$S$305,"&gt;"&amp;S219)+COUNTIF($S$6:S219,S219))</f>
        <v/>
      </c>
    </row>
    <row r="220">
      <c r="A220" s="60" t="n"/>
      <c r="B220" s="63" t="n"/>
      <c r="C220" s="60" t="n"/>
      <c r="D220" s="63" t="n"/>
      <c r="E220" s="63" t="n"/>
      <c r="F220" s="60" t="n"/>
      <c r="G220" s="143" t="n"/>
      <c r="H220" s="143" t="n"/>
      <c r="I220" s="63" t="n"/>
      <c r="J220" s="63" t="n"/>
      <c r="K220" s="63" t="n"/>
      <c r="L220" s="63" t="n"/>
      <c r="M220" s="144" t="n"/>
      <c r="N220" s="65" t="str">
        <f>IF(A220="","",SUMIF(fa_client,A220,fa_ht))</f>
        <v/>
      </c>
      <c r="O220" s="65" t="str">
        <f>IF(A220="","",SUMIF(fa_client,A220,fa_reste))</f>
        <v/>
      </c>
      <c r="P220" s="59" t="str">
        <f>IF(COUNTA(A220:M220)=0,"",IF(A220="","Code manquant",IF(COUNTIF(cli_code,A220)&gt;1,"Code en double",IF(B220="","Nom manquant",IF(AND(p_country="Maroc",C220&lt;&gt;"Particulier",OR(F220="",F220="Maroc"),G220=""),"ICE manquant (client professionnel)",IF(AND(G220&lt;&gt;"",NOT(AND(LEN(G220&amp;"")=15,SUBSTITUTE(SUBSTITUTE(SUBSTITUTE(SUBSTITUTE(SUBSTITUTE(SUBSTITUTE(SUBSTITUTE(SUBSTITUTE(SUBSTITUTE(SUBSTITUTE(G220&amp;"","0",""),"1",""),"2",""),"3",""),"4",""),"5",""),"6",""),"7",""),"8",""),"9","")=""))),"ICE : 15 chiffres attendus",IF(AND(H220&lt;&gt;"",NOT(AND(LEN(H220&amp;"")=9,SUBSTITUTE(SUBSTITUTE(SUBSTITUTE(SUBSTITUTE(SUBSTITUTE(SUBSTITUTE(SUBSTITUTE(SUBSTITUTE(SUBSTITUTE(SUBSTITUTE(H220&amp;"","0",""),"1",""),"2",""),"3",""),"4",""),"5",""),"6",""),"7",""),"8",""),"9","")=""))),"SIREN : 9 chiffres attendus",IF(AND(M220&lt;&gt;"",OR(NOT(ISNUMBER(M220)),N(M220)&lt;0)),"Délai de paiement invalide","OK"))))))))</f>
        <v/>
      </c>
      <c r="Q220" s="62" t="str">
        <f>IF(A220="","",ROUND(SUMIFS(fa_ht,fa_client,A220,fa_year,db_year)*100,0))</f>
        <v/>
      </c>
      <c r="R220" s="62" t="str">
        <f>IF(N(Q220)&lt;=0,"",COUNTIF($Q$6:$Q$305,"&gt;"&amp;Q220)+COUNTIF($Q$6:Q220,Q220))</f>
        <v/>
      </c>
      <c r="S220" s="62" t="str">
        <f>IF(A220="","",ROUND(SUMIFS(fa_reste,fa_client,A220,fa_reste,"&gt;0")*100,0))</f>
        <v/>
      </c>
      <c r="T220" s="62" t="str">
        <f>IF(N(S220)&lt;=0,"",COUNTIF($S$6:$S$305,"&gt;"&amp;S220)+COUNTIF($S$6:S220,S220))</f>
        <v/>
      </c>
    </row>
    <row r="221">
      <c r="A221" s="60" t="n"/>
      <c r="B221" s="63" t="n"/>
      <c r="C221" s="60" t="n"/>
      <c r="D221" s="63" t="n"/>
      <c r="E221" s="63" t="n"/>
      <c r="F221" s="60" t="n"/>
      <c r="G221" s="143" t="n"/>
      <c r="H221" s="143" t="n"/>
      <c r="I221" s="63" t="n"/>
      <c r="J221" s="63" t="n"/>
      <c r="K221" s="63" t="n"/>
      <c r="L221" s="63" t="n"/>
      <c r="M221" s="144" t="n"/>
      <c r="N221" s="65" t="str">
        <f>IF(A221="","",SUMIF(fa_client,A221,fa_ht))</f>
        <v/>
      </c>
      <c r="O221" s="65" t="str">
        <f>IF(A221="","",SUMIF(fa_client,A221,fa_reste))</f>
        <v/>
      </c>
      <c r="P221" s="59" t="str">
        <f>IF(COUNTA(A221:M221)=0,"",IF(A221="","Code manquant",IF(COUNTIF(cli_code,A221)&gt;1,"Code en double",IF(B221="","Nom manquant",IF(AND(p_country="Maroc",C221&lt;&gt;"Particulier",OR(F221="",F221="Maroc"),G221=""),"ICE manquant (client professionnel)",IF(AND(G221&lt;&gt;"",NOT(AND(LEN(G221&amp;"")=15,SUBSTITUTE(SUBSTITUTE(SUBSTITUTE(SUBSTITUTE(SUBSTITUTE(SUBSTITUTE(SUBSTITUTE(SUBSTITUTE(SUBSTITUTE(SUBSTITUTE(G221&amp;"","0",""),"1",""),"2",""),"3",""),"4",""),"5",""),"6",""),"7",""),"8",""),"9","")=""))),"ICE : 15 chiffres attendus",IF(AND(H221&lt;&gt;"",NOT(AND(LEN(H221&amp;"")=9,SUBSTITUTE(SUBSTITUTE(SUBSTITUTE(SUBSTITUTE(SUBSTITUTE(SUBSTITUTE(SUBSTITUTE(SUBSTITUTE(SUBSTITUTE(SUBSTITUTE(H221&amp;"","0",""),"1",""),"2",""),"3",""),"4",""),"5",""),"6",""),"7",""),"8",""),"9","")=""))),"SIREN : 9 chiffres attendus",IF(AND(M221&lt;&gt;"",OR(NOT(ISNUMBER(M221)),N(M221)&lt;0)),"Délai de paiement invalide","OK"))))))))</f>
        <v/>
      </c>
      <c r="Q221" s="62" t="str">
        <f>IF(A221="","",ROUND(SUMIFS(fa_ht,fa_client,A221,fa_year,db_year)*100,0))</f>
        <v/>
      </c>
      <c r="R221" s="62" t="str">
        <f>IF(N(Q221)&lt;=0,"",COUNTIF($Q$6:$Q$305,"&gt;"&amp;Q221)+COUNTIF($Q$6:Q221,Q221))</f>
        <v/>
      </c>
      <c r="S221" s="62" t="str">
        <f>IF(A221="","",ROUND(SUMIFS(fa_reste,fa_client,A221,fa_reste,"&gt;0")*100,0))</f>
        <v/>
      </c>
      <c r="T221" s="62" t="str">
        <f>IF(N(S221)&lt;=0,"",COUNTIF($S$6:$S$305,"&gt;"&amp;S221)+COUNTIF($S$6:S221,S221))</f>
        <v/>
      </c>
    </row>
    <row r="222">
      <c r="A222" s="60" t="n"/>
      <c r="B222" s="63" t="n"/>
      <c r="C222" s="60" t="n"/>
      <c r="D222" s="63" t="n"/>
      <c r="E222" s="63" t="n"/>
      <c r="F222" s="60" t="n"/>
      <c r="G222" s="143" t="n"/>
      <c r="H222" s="143" t="n"/>
      <c r="I222" s="63" t="n"/>
      <c r="J222" s="63" t="n"/>
      <c r="K222" s="63" t="n"/>
      <c r="L222" s="63" t="n"/>
      <c r="M222" s="144" t="n"/>
      <c r="N222" s="65" t="str">
        <f>IF(A222="","",SUMIF(fa_client,A222,fa_ht))</f>
        <v/>
      </c>
      <c r="O222" s="65" t="str">
        <f>IF(A222="","",SUMIF(fa_client,A222,fa_reste))</f>
        <v/>
      </c>
      <c r="P222" s="59" t="str">
        <f>IF(COUNTA(A222:M222)=0,"",IF(A222="","Code manquant",IF(COUNTIF(cli_code,A222)&gt;1,"Code en double",IF(B222="","Nom manquant",IF(AND(p_country="Maroc",C222&lt;&gt;"Particulier",OR(F222="",F222="Maroc"),G222=""),"ICE manquant (client professionnel)",IF(AND(G222&lt;&gt;"",NOT(AND(LEN(G222&amp;"")=15,SUBSTITUTE(SUBSTITUTE(SUBSTITUTE(SUBSTITUTE(SUBSTITUTE(SUBSTITUTE(SUBSTITUTE(SUBSTITUTE(SUBSTITUTE(SUBSTITUTE(G222&amp;"","0",""),"1",""),"2",""),"3",""),"4",""),"5",""),"6",""),"7",""),"8",""),"9","")=""))),"ICE : 15 chiffres attendus",IF(AND(H222&lt;&gt;"",NOT(AND(LEN(H222&amp;"")=9,SUBSTITUTE(SUBSTITUTE(SUBSTITUTE(SUBSTITUTE(SUBSTITUTE(SUBSTITUTE(SUBSTITUTE(SUBSTITUTE(SUBSTITUTE(SUBSTITUTE(H222&amp;"","0",""),"1",""),"2",""),"3",""),"4",""),"5",""),"6",""),"7",""),"8",""),"9","")=""))),"SIREN : 9 chiffres attendus",IF(AND(M222&lt;&gt;"",OR(NOT(ISNUMBER(M222)),N(M222)&lt;0)),"Délai de paiement invalide","OK"))))))))</f>
        <v/>
      </c>
      <c r="Q222" s="62" t="str">
        <f>IF(A222="","",ROUND(SUMIFS(fa_ht,fa_client,A222,fa_year,db_year)*100,0))</f>
        <v/>
      </c>
      <c r="R222" s="62" t="str">
        <f>IF(N(Q222)&lt;=0,"",COUNTIF($Q$6:$Q$305,"&gt;"&amp;Q222)+COUNTIF($Q$6:Q222,Q222))</f>
        <v/>
      </c>
      <c r="S222" s="62" t="str">
        <f>IF(A222="","",ROUND(SUMIFS(fa_reste,fa_client,A222,fa_reste,"&gt;0")*100,0))</f>
        <v/>
      </c>
      <c r="T222" s="62" t="str">
        <f>IF(N(S222)&lt;=0,"",COUNTIF($S$6:$S$305,"&gt;"&amp;S222)+COUNTIF($S$6:S222,S222))</f>
        <v/>
      </c>
    </row>
    <row r="223">
      <c r="A223" s="60" t="n"/>
      <c r="B223" s="63" t="n"/>
      <c r="C223" s="60" t="n"/>
      <c r="D223" s="63" t="n"/>
      <c r="E223" s="63" t="n"/>
      <c r="F223" s="60" t="n"/>
      <c r="G223" s="143" t="n"/>
      <c r="H223" s="143" t="n"/>
      <c r="I223" s="63" t="n"/>
      <c r="J223" s="63" t="n"/>
      <c r="K223" s="63" t="n"/>
      <c r="L223" s="63" t="n"/>
      <c r="M223" s="144" t="n"/>
      <c r="N223" s="65" t="str">
        <f>IF(A223="","",SUMIF(fa_client,A223,fa_ht))</f>
        <v/>
      </c>
      <c r="O223" s="65" t="str">
        <f>IF(A223="","",SUMIF(fa_client,A223,fa_reste))</f>
        <v/>
      </c>
      <c r="P223" s="59" t="str">
        <f>IF(COUNTA(A223:M223)=0,"",IF(A223="","Code manquant",IF(COUNTIF(cli_code,A223)&gt;1,"Code en double",IF(B223="","Nom manquant",IF(AND(p_country="Maroc",C223&lt;&gt;"Particulier",OR(F223="",F223="Maroc"),G223=""),"ICE manquant (client professionnel)",IF(AND(G223&lt;&gt;"",NOT(AND(LEN(G223&amp;"")=15,SUBSTITUTE(SUBSTITUTE(SUBSTITUTE(SUBSTITUTE(SUBSTITUTE(SUBSTITUTE(SUBSTITUTE(SUBSTITUTE(SUBSTITUTE(SUBSTITUTE(G223&amp;"","0",""),"1",""),"2",""),"3",""),"4",""),"5",""),"6",""),"7",""),"8",""),"9","")=""))),"ICE : 15 chiffres attendus",IF(AND(H223&lt;&gt;"",NOT(AND(LEN(H223&amp;"")=9,SUBSTITUTE(SUBSTITUTE(SUBSTITUTE(SUBSTITUTE(SUBSTITUTE(SUBSTITUTE(SUBSTITUTE(SUBSTITUTE(SUBSTITUTE(SUBSTITUTE(H223&amp;"","0",""),"1",""),"2",""),"3",""),"4",""),"5",""),"6",""),"7",""),"8",""),"9","")=""))),"SIREN : 9 chiffres attendus",IF(AND(M223&lt;&gt;"",OR(NOT(ISNUMBER(M223)),N(M223)&lt;0)),"Délai de paiement invalide","OK"))))))))</f>
        <v/>
      </c>
      <c r="Q223" s="62" t="str">
        <f>IF(A223="","",ROUND(SUMIFS(fa_ht,fa_client,A223,fa_year,db_year)*100,0))</f>
        <v/>
      </c>
      <c r="R223" s="62" t="str">
        <f>IF(N(Q223)&lt;=0,"",COUNTIF($Q$6:$Q$305,"&gt;"&amp;Q223)+COUNTIF($Q$6:Q223,Q223))</f>
        <v/>
      </c>
      <c r="S223" s="62" t="str">
        <f>IF(A223="","",ROUND(SUMIFS(fa_reste,fa_client,A223,fa_reste,"&gt;0")*100,0))</f>
        <v/>
      </c>
      <c r="T223" s="62" t="str">
        <f>IF(N(S223)&lt;=0,"",COUNTIF($S$6:$S$305,"&gt;"&amp;S223)+COUNTIF($S$6:S223,S223))</f>
        <v/>
      </c>
    </row>
    <row r="224">
      <c r="A224" s="60" t="n"/>
      <c r="B224" s="63" t="n"/>
      <c r="C224" s="60" t="n"/>
      <c r="D224" s="63" t="n"/>
      <c r="E224" s="63" t="n"/>
      <c r="F224" s="60" t="n"/>
      <c r="G224" s="143" t="n"/>
      <c r="H224" s="143" t="n"/>
      <c r="I224" s="63" t="n"/>
      <c r="J224" s="63" t="n"/>
      <c r="K224" s="63" t="n"/>
      <c r="L224" s="63" t="n"/>
      <c r="M224" s="144" t="n"/>
      <c r="N224" s="65" t="str">
        <f>IF(A224="","",SUMIF(fa_client,A224,fa_ht))</f>
        <v/>
      </c>
      <c r="O224" s="65" t="str">
        <f>IF(A224="","",SUMIF(fa_client,A224,fa_reste))</f>
        <v/>
      </c>
      <c r="P224" s="59" t="str">
        <f>IF(COUNTA(A224:M224)=0,"",IF(A224="","Code manquant",IF(COUNTIF(cli_code,A224)&gt;1,"Code en double",IF(B224="","Nom manquant",IF(AND(p_country="Maroc",C224&lt;&gt;"Particulier",OR(F224="",F224="Maroc"),G224=""),"ICE manquant (client professionnel)",IF(AND(G224&lt;&gt;"",NOT(AND(LEN(G224&amp;"")=15,SUBSTITUTE(SUBSTITUTE(SUBSTITUTE(SUBSTITUTE(SUBSTITUTE(SUBSTITUTE(SUBSTITUTE(SUBSTITUTE(SUBSTITUTE(SUBSTITUTE(G224&amp;"","0",""),"1",""),"2",""),"3",""),"4",""),"5",""),"6",""),"7",""),"8",""),"9","")=""))),"ICE : 15 chiffres attendus",IF(AND(H224&lt;&gt;"",NOT(AND(LEN(H224&amp;"")=9,SUBSTITUTE(SUBSTITUTE(SUBSTITUTE(SUBSTITUTE(SUBSTITUTE(SUBSTITUTE(SUBSTITUTE(SUBSTITUTE(SUBSTITUTE(SUBSTITUTE(H224&amp;"","0",""),"1",""),"2",""),"3",""),"4",""),"5",""),"6",""),"7",""),"8",""),"9","")=""))),"SIREN : 9 chiffres attendus",IF(AND(M224&lt;&gt;"",OR(NOT(ISNUMBER(M224)),N(M224)&lt;0)),"Délai de paiement invalide","OK"))))))))</f>
        <v/>
      </c>
      <c r="Q224" s="62" t="str">
        <f>IF(A224="","",ROUND(SUMIFS(fa_ht,fa_client,A224,fa_year,db_year)*100,0))</f>
        <v/>
      </c>
      <c r="R224" s="62" t="str">
        <f>IF(N(Q224)&lt;=0,"",COUNTIF($Q$6:$Q$305,"&gt;"&amp;Q224)+COUNTIF($Q$6:Q224,Q224))</f>
        <v/>
      </c>
      <c r="S224" s="62" t="str">
        <f>IF(A224="","",ROUND(SUMIFS(fa_reste,fa_client,A224,fa_reste,"&gt;0")*100,0))</f>
        <v/>
      </c>
      <c r="T224" s="62" t="str">
        <f>IF(N(S224)&lt;=0,"",COUNTIF($S$6:$S$305,"&gt;"&amp;S224)+COUNTIF($S$6:S224,S224))</f>
        <v/>
      </c>
    </row>
    <row r="225">
      <c r="A225" s="60" t="n"/>
      <c r="B225" s="63" t="n"/>
      <c r="C225" s="60" t="n"/>
      <c r="D225" s="63" t="n"/>
      <c r="E225" s="63" t="n"/>
      <c r="F225" s="60" t="n"/>
      <c r="G225" s="143" t="n"/>
      <c r="H225" s="143" t="n"/>
      <c r="I225" s="63" t="n"/>
      <c r="J225" s="63" t="n"/>
      <c r="K225" s="63" t="n"/>
      <c r="L225" s="63" t="n"/>
      <c r="M225" s="144" t="n"/>
      <c r="N225" s="65" t="str">
        <f>IF(A225="","",SUMIF(fa_client,A225,fa_ht))</f>
        <v/>
      </c>
      <c r="O225" s="65" t="str">
        <f>IF(A225="","",SUMIF(fa_client,A225,fa_reste))</f>
        <v/>
      </c>
      <c r="P225" s="59" t="str">
        <f>IF(COUNTA(A225:M225)=0,"",IF(A225="","Code manquant",IF(COUNTIF(cli_code,A225)&gt;1,"Code en double",IF(B225="","Nom manquant",IF(AND(p_country="Maroc",C225&lt;&gt;"Particulier",OR(F225="",F225="Maroc"),G225=""),"ICE manquant (client professionnel)",IF(AND(G225&lt;&gt;"",NOT(AND(LEN(G225&amp;"")=15,SUBSTITUTE(SUBSTITUTE(SUBSTITUTE(SUBSTITUTE(SUBSTITUTE(SUBSTITUTE(SUBSTITUTE(SUBSTITUTE(SUBSTITUTE(SUBSTITUTE(G225&amp;"","0",""),"1",""),"2",""),"3",""),"4",""),"5",""),"6",""),"7",""),"8",""),"9","")=""))),"ICE : 15 chiffres attendus",IF(AND(H225&lt;&gt;"",NOT(AND(LEN(H225&amp;"")=9,SUBSTITUTE(SUBSTITUTE(SUBSTITUTE(SUBSTITUTE(SUBSTITUTE(SUBSTITUTE(SUBSTITUTE(SUBSTITUTE(SUBSTITUTE(SUBSTITUTE(H225&amp;"","0",""),"1",""),"2",""),"3",""),"4",""),"5",""),"6",""),"7",""),"8",""),"9","")=""))),"SIREN : 9 chiffres attendus",IF(AND(M225&lt;&gt;"",OR(NOT(ISNUMBER(M225)),N(M225)&lt;0)),"Délai de paiement invalide","OK"))))))))</f>
        <v/>
      </c>
      <c r="Q225" s="62" t="str">
        <f>IF(A225="","",ROUND(SUMIFS(fa_ht,fa_client,A225,fa_year,db_year)*100,0))</f>
        <v/>
      </c>
      <c r="R225" s="62" t="str">
        <f>IF(N(Q225)&lt;=0,"",COUNTIF($Q$6:$Q$305,"&gt;"&amp;Q225)+COUNTIF($Q$6:Q225,Q225))</f>
        <v/>
      </c>
      <c r="S225" s="62" t="str">
        <f>IF(A225="","",ROUND(SUMIFS(fa_reste,fa_client,A225,fa_reste,"&gt;0")*100,0))</f>
        <v/>
      </c>
      <c r="T225" s="62" t="str">
        <f>IF(N(S225)&lt;=0,"",COUNTIF($S$6:$S$305,"&gt;"&amp;S225)+COUNTIF($S$6:S225,S225))</f>
        <v/>
      </c>
    </row>
    <row r="226">
      <c r="A226" s="60" t="n"/>
      <c r="B226" s="63" t="n"/>
      <c r="C226" s="60" t="n"/>
      <c r="D226" s="63" t="n"/>
      <c r="E226" s="63" t="n"/>
      <c r="F226" s="60" t="n"/>
      <c r="G226" s="143" t="n"/>
      <c r="H226" s="143" t="n"/>
      <c r="I226" s="63" t="n"/>
      <c r="J226" s="63" t="n"/>
      <c r="K226" s="63" t="n"/>
      <c r="L226" s="63" t="n"/>
      <c r="M226" s="144" t="n"/>
      <c r="N226" s="65" t="str">
        <f>IF(A226="","",SUMIF(fa_client,A226,fa_ht))</f>
        <v/>
      </c>
      <c r="O226" s="65" t="str">
        <f>IF(A226="","",SUMIF(fa_client,A226,fa_reste))</f>
        <v/>
      </c>
      <c r="P226" s="59" t="str">
        <f>IF(COUNTA(A226:M226)=0,"",IF(A226="","Code manquant",IF(COUNTIF(cli_code,A226)&gt;1,"Code en double",IF(B226="","Nom manquant",IF(AND(p_country="Maroc",C226&lt;&gt;"Particulier",OR(F226="",F226="Maroc"),G226=""),"ICE manquant (client professionnel)",IF(AND(G226&lt;&gt;"",NOT(AND(LEN(G226&amp;"")=15,SUBSTITUTE(SUBSTITUTE(SUBSTITUTE(SUBSTITUTE(SUBSTITUTE(SUBSTITUTE(SUBSTITUTE(SUBSTITUTE(SUBSTITUTE(SUBSTITUTE(G226&amp;"","0",""),"1",""),"2",""),"3",""),"4",""),"5",""),"6",""),"7",""),"8",""),"9","")=""))),"ICE : 15 chiffres attendus",IF(AND(H226&lt;&gt;"",NOT(AND(LEN(H226&amp;"")=9,SUBSTITUTE(SUBSTITUTE(SUBSTITUTE(SUBSTITUTE(SUBSTITUTE(SUBSTITUTE(SUBSTITUTE(SUBSTITUTE(SUBSTITUTE(SUBSTITUTE(H226&amp;"","0",""),"1",""),"2",""),"3",""),"4",""),"5",""),"6",""),"7",""),"8",""),"9","")=""))),"SIREN : 9 chiffres attendus",IF(AND(M226&lt;&gt;"",OR(NOT(ISNUMBER(M226)),N(M226)&lt;0)),"Délai de paiement invalide","OK"))))))))</f>
        <v/>
      </c>
      <c r="Q226" s="62" t="str">
        <f>IF(A226="","",ROUND(SUMIFS(fa_ht,fa_client,A226,fa_year,db_year)*100,0))</f>
        <v/>
      </c>
      <c r="R226" s="62" t="str">
        <f>IF(N(Q226)&lt;=0,"",COUNTIF($Q$6:$Q$305,"&gt;"&amp;Q226)+COUNTIF($Q$6:Q226,Q226))</f>
        <v/>
      </c>
      <c r="S226" s="62" t="str">
        <f>IF(A226="","",ROUND(SUMIFS(fa_reste,fa_client,A226,fa_reste,"&gt;0")*100,0))</f>
        <v/>
      </c>
      <c r="T226" s="62" t="str">
        <f>IF(N(S226)&lt;=0,"",COUNTIF($S$6:$S$305,"&gt;"&amp;S226)+COUNTIF($S$6:S226,S226))</f>
        <v/>
      </c>
    </row>
    <row r="227">
      <c r="A227" s="60" t="n"/>
      <c r="B227" s="63" t="n"/>
      <c r="C227" s="60" t="n"/>
      <c r="D227" s="63" t="n"/>
      <c r="E227" s="63" t="n"/>
      <c r="F227" s="60" t="n"/>
      <c r="G227" s="143" t="n"/>
      <c r="H227" s="143" t="n"/>
      <c r="I227" s="63" t="n"/>
      <c r="J227" s="63" t="n"/>
      <c r="K227" s="63" t="n"/>
      <c r="L227" s="63" t="n"/>
      <c r="M227" s="144" t="n"/>
      <c r="N227" s="65" t="str">
        <f>IF(A227="","",SUMIF(fa_client,A227,fa_ht))</f>
        <v/>
      </c>
      <c r="O227" s="65" t="str">
        <f>IF(A227="","",SUMIF(fa_client,A227,fa_reste))</f>
        <v/>
      </c>
      <c r="P227" s="59" t="str">
        <f>IF(COUNTA(A227:M227)=0,"",IF(A227="","Code manquant",IF(COUNTIF(cli_code,A227)&gt;1,"Code en double",IF(B227="","Nom manquant",IF(AND(p_country="Maroc",C227&lt;&gt;"Particulier",OR(F227="",F227="Maroc"),G227=""),"ICE manquant (client professionnel)",IF(AND(G227&lt;&gt;"",NOT(AND(LEN(G227&amp;"")=15,SUBSTITUTE(SUBSTITUTE(SUBSTITUTE(SUBSTITUTE(SUBSTITUTE(SUBSTITUTE(SUBSTITUTE(SUBSTITUTE(SUBSTITUTE(SUBSTITUTE(G227&amp;"","0",""),"1",""),"2",""),"3",""),"4",""),"5",""),"6",""),"7",""),"8",""),"9","")=""))),"ICE : 15 chiffres attendus",IF(AND(H227&lt;&gt;"",NOT(AND(LEN(H227&amp;"")=9,SUBSTITUTE(SUBSTITUTE(SUBSTITUTE(SUBSTITUTE(SUBSTITUTE(SUBSTITUTE(SUBSTITUTE(SUBSTITUTE(SUBSTITUTE(SUBSTITUTE(H227&amp;"","0",""),"1",""),"2",""),"3",""),"4",""),"5",""),"6",""),"7",""),"8",""),"9","")=""))),"SIREN : 9 chiffres attendus",IF(AND(M227&lt;&gt;"",OR(NOT(ISNUMBER(M227)),N(M227)&lt;0)),"Délai de paiement invalide","OK"))))))))</f>
        <v/>
      </c>
      <c r="Q227" s="62" t="str">
        <f>IF(A227="","",ROUND(SUMIFS(fa_ht,fa_client,A227,fa_year,db_year)*100,0))</f>
        <v/>
      </c>
      <c r="R227" s="62" t="str">
        <f>IF(N(Q227)&lt;=0,"",COUNTIF($Q$6:$Q$305,"&gt;"&amp;Q227)+COUNTIF($Q$6:Q227,Q227))</f>
        <v/>
      </c>
      <c r="S227" s="62" t="str">
        <f>IF(A227="","",ROUND(SUMIFS(fa_reste,fa_client,A227,fa_reste,"&gt;0")*100,0))</f>
        <v/>
      </c>
      <c r="T227" s="62" t="str">
        <f>IF(N(S227)&lt;=0,"",COUNTIF($S$6:$S$305,"&gt;"&amp;S227)+COUNTIF($S$6:S227,S227))</f>
        <v/>
      </c>
    </row>
    <row r="228">
      <c r="A228" s="60" t="n"/>
      <c r="B228" s="63" t="n"/>
      <c r="C228" s="60" t="n"/>
      <c r="D228" s="63" t="n"/>
      <c r="E228" s="63" t="n"/>
      <c r="F228" s="60" t="n"/>
      <c r="G228" s="143" t="n"/>
      <c r="H228" s="143" t="n"/>
      <c r="I228" s="63" t="n"/>
      <c r="J228" s="63" t="n"/>
      <c r="K228" s="63" t="n"/>
      <c r="L228" s="63" t="n"/>
      <c r="M228" s="144" t="n"/>
      <c r="N228" s="65" t="str">
        <f>IF(A228="","",SUMIF(fa_client,A228,fa_ht))</f>
        <v/>
      </c>
      <c r="O228" s="65" t="str">
        <f>IF(A228="","",SUMIF(fa_client,A228,fa_reste))</f>
        <v/>
      </c>
      <c r="P228" s="59" t="str">
        <f>IF(COUNTA(A228:M228)=0,"",IF(A228="","Code manquant",IF(COUNTIF(cli_code,A228)&gt;1,"Code en double",IF(B228="","Nom manquant",IF(AND(p_country="Maroc",C228&lt;&gt;"Particulier",OR(F228="",F228="Maroc"),G228=""),"ICE manquant (client professionnel)",IF(AND(G228&lt;&gt;"",NOT(AND(LEN(G228&amp;"")=15,SUBSTITUTE(SUBSTITUTE(SUBSTITUTE(SUBSTITUTE(SUBSTITUTE(SUBSTITUTE(SUBSTITUTE(SUBSTITUTE(SUBSTITUTE(SUBSTITUTE(G228&amp;"","0",""),"1",""),"2",""),"3",""),"4",""),"5",""),"6",""),"7",""),"8",""),"9","")=""))),"ICE : 15 chiffres attendus",IF(AND(H228&lt;&gt;"",NOT(AND(LEN(H228&amp;"")=9,SUBSTITUTE(SUBSTITUTE(SUBSTITUTE(SUBSTITUTE(SUBSTITUTE(SUBSTITUTE(SUBSTITUTE(SUBSTITUTE(SUBSTITUTE(SUBSTITUTE(H228&amp;"","0",""),"1",""),"2",""),"3",""),"4",""),"5",""),"6",""),"7",""),"8",""),"9","")=""))),"SIREN : 9 chiffres attendus",IF(AND(M228&lt;&gt;"",OR(NOT(ISNUMBER(M228)),N(M228)&lt;0)),"Délai de paiement invalide","OK"))))))))</f>
        <v/>
      </c>
      <c r="Q228" s="62" t="str">
        <f>IF(A228="","",ROUND(SUMIFS(fa_ht,fa_client,A228,fa_year,db_year)*100,0))</f>
        <v/>
      </c>
      <c r="R228" s="62" t="str">
        <f>IF(N(Q228)&lt;=0,"",COUNTIF($Q$6:$Q$305,"&gt;"&amp;Q228)+COUNTIF($Q$6:Q228,Q228))</f>
        <v/>
      </c>
      <c r="S228" s="62" t="str">
        <f>IF(A228="","",ROUND(SUMIFS(fa_reste,fa_client,A228,fa_reste,"&gt;0")*100,0))</f>
        <v/>
      </c>
      <c r="T228" s="62" t="str">
        <f>IF(N(S228)&lt;=0,"",COUNTIF($S$6:$S$305,"&gt;"&amp;S228)+COUNTIF($S$6:S228,S228))</f>
        <v/>
      </c>
    </row>
    <row r="229">
      <c r="A229" s="60" t="n"/>
      <c r="B229" s="63" t="n"/>
      <c r="C229" s="60" t="n"/>
      <c r="D229" s="63" t="n"/>
      <c r="E229" s="63" t="n"/>
      <c r="F229" s="60" t="n"/>
      <c r="G229" s="143" t="n"/>
      <c r="H229" s="143" t="n"/>
      <c r="I229" s="63" t="n"/>
      <c r="J229" s="63" t="n"/>
      <c r="K229" s="63" t="n"/>
      <c r="L229" s="63" t="n"/>
      <c r="M229" s="144" t="n"/>
      <c r="N229" s="65" t="str">
        <f>IF(A229="","",SUMIF(fa_client,A229,fa_ht))</f>
        <v/>
      </c>
      <c r="O229" s="65" t="str">
        <f>IF(A229="","",SUMIF(fa_client,A229,fa_reste))</f>
        <v/>
      </c>
      <c r="P229" s="59" t="str">
        <f>IF(COUNTA(A229:M229)=0,"",IF(A229="","Code manquant",IF(COUNTIF(cli_code,A229)&gt;1,"Code en double",IF(B229="","Nom manquant",IF(AND(p_country="Maroc",C229&lt;&gt;"Particulier",OR(F229="",F229="Maroc"),G229=""),"ICE manquant (client professionnel)",IF(AND(G229&lt;&gt;"",NOT(AND(LEN(G229&amp;"")=15,SUBSTITUTE(SUBSTITUTE(SUBSTITUTE(SUBSTITUTE(SUBSTITUTE(SUBSTITUTE(SUBSTITUTE(SUBSTITUTE(SUBSTITUTE(SUBSTITUTE(G229&amp;"","0",""),"1",""),"2",""),"3",""),"4",""),"5",""),"6",""),"7",""),"8",""),"9","")=""))),"ICE : 15 chiffres attendus",IF(AND(H229&lt;&gt;"",NOT(AND(LEN(H229&amp;"")=9,SUBSTITUTE(SUBSTITUTE(SUBSTITUTE(SUBSTITUTE(SUBSTITUTE(SUBSTITUTE(SUBSTITUTE(SUBSTITUTE(SUBSTITUTE(SUBSTITUTE(H229&amp;"","0",""),"1",""),"2",""),"3",""),"4",""),"5",""),"6",""),"7",""),"8",""),"9","")=""))),"SIREN : 9 chiffres attendus",IF(AND(M229&lt;&gt;"",OR(NOT(ISNUMBER(M229)),N(M229)&lt;0)),"Délai de paiement invalide","OK"))))))))</f>
        <v/>
      </c>
      <c r="Q229" s="62" t="str">
        <f>IF(A229="","",ROUND(SUMIFS(fa_ht,fa_client,A229,fa_year,db_year)*100,0))</f>
        <v/>
      </c>
      <c r="R229" s="62" t="str">
        <f>IF(N(Q229)&lt;=0,"",COUNTIF($Q$6:$Q$305,"&gt;"&amp;Q229)+COUNTIF($Q$6:Q229,Q229))</f>
        <v/>
      </c>
      <c r="S229" s="62" t="str">
        <f>IF(A229="","",ROUND(SUMIFS(fa_reste,fa_client,A229,fa_reste,"&gt;0")*100,0))</f>
        <v/>
      </c>
      <c r="T229" s="62" t="str">
        <f>IF(N(S229)&lt;=0,"",COUNTIF($S$6:$S$305,"&gt;"&amp;S229)+COUNTIF($S$6:S229,S229))</f>
        <v/>
      </c>
    </row>
    <row r="230">
      <c r="A230" s="60" t="n"/>
      <c r="B230" s="63" t="n"/>
      <c r="C230" s="60" t="n"/>
      <c r="D230" s="63" t="n"/>
      <c r="E230" s="63" t="n"/>
      <c r="F230" s="60" t="n"/>
      <c r="G230" s="143" t="n"/>
      <c r="H230" s="143" t="n"/>
      <c r="I230" s="63" t="n"/>
      <c r="J230" s="63" t="n"/>
      <c r="K230" s="63" t="n"/>
      <c r="L230" s="63" t="n"/>
      <c r="M230" s="144" t="n"/>
      <c r="N230" s="65" t="str">
        <f>IF(A230="","",SUMIF(fa_client,A230,fa_ht))</f>
        <v/>
      </c>
      <c r="O230" s="65" t="str">
        <f>IF(A230="","",SUMIF(fa_client,A230,fa_reste))</f>
        <v/>
      </c>
      <c r="P230" s="59" t="str">
        <f>IF(COUNTA(A230:M230)=0,"",IF(A230="","Code manquant",IF(COUNTIF(cli_code,A230)&gt;1,"Code en double",IF(B230="","Nom manquant",IF(AND(p_country="Maroc",C230&lt;&gt;"Particulier",OR(F230="",F230="Maroc"),G230=""),"ICE manquant (client professionnel)",IF(AND(G230&lt;&gt;"",NOT(AND(LEN(G230&amp;"")=15,SUBSTITUTE(SUBSTITUTE(SUBSTITUTE(SUBSTITUTE(SUBSTITUTE(SUBSTITUTE(SUBSTITUTE(SUBSTITUTE(SUBSTITUTE(SUBSTITUTE(G230&amp;"","0",""),"1",""),"2",""),"3",""),"4",""),"5",""),"6",""),"7",""),"8",""),"9","")=""))),"ICE : 15 chiffres attendus",IF(AND(H230&lt;&gt;"",NOT(AND(LEN(H230&amp;"")=9,SUBSTITUTE(SUBSTITUTE(SUBSTITUTE(SUBSTITUTE(SUBSTITUTE(SUBSTITUTE(SUBSTITUTE(SUBSTITUTE(SUBSTITUTE(SUBSTITUTE(H230&amp;"","0",""),"1",""),"2",""),"3",""),"4",""),"5",""),"6",""),"7",""),"8",""),"9","")=""))),"SIREN : 9 chiffres attendus",IF(AND(M230&lt;&gt;"",OR(NOT(ISNUMBER(M230)),N(M230)&lt;0)),"Délai de paiement invalide","OK"))))))))</f>
        <v/>
      </c>
      <c r="Q230" s="62" t="str">
        <f>IF(A230="","",ROUND(SUMIFS(fa_ht,fa_client,A230,fa_year,db_year)*100,0))</f>
        <v/>
      </c>
      <c r="R230" s="62" t="str">
        <f>IF(N(Q230)&lt;=0,"",COUNTIF($Q$6:$Q$305,"&gt;"&amp;Q230)+COUNTIF($Q$6:Q230,Q230))</f>
        <v/>
      </c>
      <c r="S230" s="62" t="str">
        <f>IF(A230="","",ROUND(SUMIFS(fa_reste,fa_client,A230,fa_reste,"&gt;0")*100,0))</f>
        <v/>
      </c>
      <c r="T230" s="62" t="str">
        <f>IF(N(S230)&lt;=0,"",COUNTIF($S$6:$S$305,"&gt;"&amp;S230)+COUNTIF($S$6:S230,S230))</f>
        <v/>
      </c>
    </row>
    <row r="231">
      <c r="A231" s="60" t="n"/>
      <c r="B231" s="63" t="n"/>
      <c r="C231" s="60" t="n"/>
      <c r="D231" s="63" t="n"/>
      <c r="E231" s="63" t="n"/>
      <c r="F231" s="60" t="n"/>
      <c r="G231" s="143" t="n"/>
      <c r="H231" s="143" t="n"/>
      <c r="I231" s="63" t="n"/>
      <c r="J231" s="63" t="n"/>
      <c r="K231" s="63" t="n"/>
      <c r="L231" s="63" t="n"/>
      <c r="M231" s="144" t="n"/>
      <c r="N231" s="65" t="str">
        <f>IF(A231="","",SUMIF(fa_client,A231,fa_ht))</f>
        <v/>
      </c>
      <c r="O231" s="65" t="str">
        <f>IF(A231="","",SUMIF(fa_client,A231,fa_reste))</f>
        <v/>
      </c>
      <c r="P231" s="59" t="str">
        <f>IF(COUNTA(A231:M231)=0,"",IF(A231="","Code manquant",IF(COUNTIF(cli_code,A231)&gt;1,"Code en double",IF(B231="","Nom manquant",IF(AND(p_country="Maroc",C231&lt;&gt;"Particulier",OR(F231="",F231="Maroc"),G231=""),"ICE manquant (client professionnel)",IF(AND(G231&lt;&gt;"",NOT(AND(LEN(G231&amp;"")=15,SUBSTITUTE(SUBSTITUTE(SUBSTITUTE(SUBSTITUTE(SUBSTITUTE(SUBSTITUTE(SUBSTITUTE(SUBSTITUTE(SUBSTITUTE(SUBSTITUTE(G231&amp;"","0",""),"1",""),"2",""),"3",""),"4",""),"5",""),"6",""),"7",""),"8",""),"9","")=""))),"ICE : 15 chiffres attendus",IF(AND(H231&lt;&gt;"",NOT(AND(LEN(H231&amp;"")=9,SUBSTITUTE(SUBSTITUTE(SUBSTITUTE(SUBSTITUTE(SUBSTITUTE(SUBSTITUTE(SUBSTITUTE(SUBSTITUTE(SUBSTITUTE(SUBSTITUTE(H231&amp;"","0",""),"1",""),"2",""),"3",""),"4",""),"5",""),"6",""),"7",""),"8",""),"9","")=""))),"SIREN : 9 chiffres attendus",IF(AND(M231&lt;&gt;"",OR(NOT(ISNUMBER(M231)),N(M231)&lt;0)),"Délai de paiement invalide","OK"))))))))</f>
        <v/>
      </c>
      <c r="Q231" s="62" t="str">
        <f>IF(A231="","",ROUND(SUMIFS(fa_ht,fa_client,A231,fa_year,db_year)*100,0))</f>
        <v/>
      </c>
      <c r="R231" s="62" t="str">
        <f>IF(N(Q231)&lt;=0,"",COUNTIF($Q$6:$Q$305,"&gt;"&amp;Q231)+COUNTIF($Q$6:Q231,Q231))</f>
        <v/>
      </c>
      <c r="S231" s="62" t="str">
        <f>IF(A231="","",ROUND(SUMIFS(fa_reste,fa_client,A231,fa_reste,"&gt;0")*100,0))</f>
        <v/>
      </c>
      <c r="T231" s="62" t="str">
        <f>IF(N(S231)&lt;=0,"",COUNTIF($S$6:$S$305,"&gt;"&amp;S231)+COUNTIF($S$6:S231,S231))</f>
        <v/>
      </c>
    </row>
    <row r="232">
      <c r="A232" s="60" t="n"/>
      <c r="B232" s="63" t="n"/>
      <c r="C232" s="60" t="n"/>
      <c r="D232" s="63" t="n"/>
      <c r="E232" s="63" t="n"/>
      <c r="F232" s="60" t="n"/>
      <c r="G232" s="143" t="n"/>
      <c r="H232" s="143" t="n"/>
      <c r="I232" s="63" t="n"/>
      <c r="J232" s="63" t="n"/>
      <c r="K232" s="63" t="n"/>
      <c r="L232" s="63" t="n"/>
      <c r="M232" s="144" t="n"/>
      <c r="N232" s="65" t="str">
        <f>IF(A232="","",SUMIF(fa_client,A232,fa_ht))</f>
        <v/>
      </c>
      <c r="O232" s="65" t="str">
        <f>IF(A232="","",SUMIF(fa_client,A232,fa_reste))</f>
        <v/>
      </c>
      <c r="P232" s="59" t="str">
        <f>IF(COUNTA(A232:M232)=0,"",IF(A232="","Code manquant",IF(COUNTIF(cli_code,A232)&gt;1,"Code en double",IF(B232="","Nom manquant",IF(AND(p_country="Maroc",C232&lt;&gt;"Particulier",OR(F232="",F232="Maroc"),G232=""),"ICE manquant (client professionnel)",IF(AND(G232&lt;&gt;"",NOT(AND(LEN(G232&amp;"")=15,SUBSTITUTE(SUBSTITUTE(SUBSTITUTE(SUBSTITUTE(SUBSTITUTE(SUBSTITUTE(SUBSTITUTE(SUBSTITUTE(SUBSTITUTE(SUBSTITUTE(G232&amp;"","0",""),"1",""),"2",""),"3",""),"4",""),"5",""),"6",""),"7",""),"8",""),"9","")=""))),"ICE : 15 chiffres attendus",IF(AND(H232&lt;&gt;"",NOT(AND(LEN(H232&amp;"")=9,SUBSTITUTE(SUBSTITUTE(SUBSTITUTE(SUBSTITUTE(SUBSTITUTE(SUBSTITUTE(SUBSTITUTE(SUBSTITUTE(SUBSTITUTE(SUBSTITUTE(H232&amp;"","0",""),"1",""),"2",""),"3",""),"4",""),"5",""),"6",""),"7",""),"8",""),"9","")=""))),"SIREN : 9 chiffres attendus",IF(AND(M232&lt;&gt;"",OR(NOT(ISNUMBER(M232)),N(M232)&lt;0)),"Délai de paiement invalide","OK"))))))))</f>
        <v/>
      </c>
      <c r="Q232" s="62" t="str">
        <f>IF(A232="","",ROUND(SUMIFS(fa_ht,fa_client,A232,fa_year,db_year)*100,0))</f>
        <v/>
      </c>
      <c r="R232" s="62" t="str">
        <f>IF(N(Q232)&lt;=0,"",COUNTIF($Q$6:$Q$305,"&gt;"&amp;Q232)+COUNTIF($Q$6:Q232,Q232))</f>
        <v/>
      </c>
      <c r="S232" s="62" t="str">
        <f>IF(A232="","",ROUND(SUMIFS(fa_reste,fa_client,A232,fa_reste,"&gt;0")*100,0))</f>
        <v/>
      </c>
      <c r="T232" s="62" t="str">
        <f>IF(N(S232)&lt;=0,"",COUNTIF($S$6:$S$305,"&gt;"&amp;S232)+COUNTIF($S$6:S232,S232))</f>
        <v/>
      </c>
    </row>
    <row r="233">
      <c r="A233" s="60" t="n"/>
      <c r="B233" s="63" t="n"/>
      <c r="C233" s="60" t="n"/>
      <c r="D233" s="63" t="n"/>
      <c r="E233" s="63" t="n"/>
      <c r="F233" s="60" t="n"/>
      <c r="G233" s="143" t="n"/>
      <c r="H233" s="143" t="n"/>
      <c r="I233" s="63" t="n"/>
      <c r="J233" s="63" t="n"/>
      <c r="K233" s="63" t="n"/>
      <c r="L233" s="63" t="n"/>
      <c r="M233" s="144" t="n"/>
      <c r="N233" s="65" t="str">
        <f>IF(A233="","",SUMIF(fa_client,A233,fa_ht))</f>
        <v/>
      </c>
      <c r="O233" s="65" t="str">
        <f>IF(A233="","",SUMIF(fa_client,A233,fa_reste))</f>
        <v/>
      </c>
      <c r="P233" s="59" t="str">
        <f>IF(COUNTA(A233:M233)=0,"",IF(A233="","Code manquant",IF(COUNTIF(cli_code,A233)&gt;1,"Code en double",IF(B233="","Nom manquant",IF(AND(p_country="Maroc",C233&lt;&gt;"Particulier",OR(F233="",F233="Maroc"),G233=""),"ICE manquant (client professionnel)",IF(AND(G233&lt;&gt;"",NOT(AND(LEN(G233&amp;"")=15,SUBSTITUTE(SUBSTITUTE(SUBSTITUTE(SUBSTITUTE(SUBSTITUTE(SUBSTITUTE(SUBSTITUTE(SUBSTITUTE(SUBSTITUTE(SUBSTITUTE(G233&amp;"","0",""),"1",""),"2",""),"3",""),"4",""),"5",""),"6",""),"7",""),"8",""),"9","")=""))),"ICE : 15 chiffres attendus",IF(AND(H233&lt;&gt;"",NOT(AND(LEN(H233&amp;"")=9,SUBSTITUTE(SUBSTITUTE(SUBSTITUTE(SUBSTITUTE(SUBSTITUTE(SUBSTITUTE(SUBSTITUTE(SUBSTITUTE(SUBSTITUTE(SUBSTITUTE(H233&amp;"","0",""),"1",""),"2",""),"3",""),"4",""),"5",""),"6",""),"7",""),"8",""),"9","")=""))),"SIREN : 9 chiffres attendus",IF(AND(M233&lt;&gt;"",OR(NOT(ISNUMBER(M233)),N(M233)&lt;0)),"Délai de paiement invalide","OK"))))))))</f>
        <v/>
      </c>
      <c r="Q233" s="62" t="str">
        <f>IF(A233="","",ROUND(SUMIFS(fa_ht,fa_client,A233,fa_year,db_year)*100,0))</f>
        <v/>
      </c>
      <c r="R233" s="62" t="str">
        <f>IF(N(Q233)&lt;=0,"",COUNTIF($Q$6:$Q$305,"&gt;"&amp;Q233)+COUNTIF($Q$6:Q233,Q233))</f>
        <v/>
      </c>
      <c r="S233" s="62" t="str">
        <f>IF(A233="","",ROUND(SUMIFS(fa_reste,fa_client,A233,fa_reste,"&gt;0")*100,0))</f>
        <v/>
      </c>
      <c r="T233" s="62" t="str">
        <f>IF(N(S233)&lt;=0,"",COUNTIF($S$6:$S$305,"&gt;"&amp;S233)+COUNTIF($S$6:S233,S233))</f>
        <v/>
      </c>
    </row>
    <row r="234">
      <c r="A234" s="60" t="n"/>
      <c r="B234" s="63" t="n"/>
      <c r="C234" s="60" t="n"/>
      <c r="D234" s="63" t="n"/>
      <c r="E234" s="63" t="n"/>
      <c r="F234" s="60" t="n"/>
      <c r="G234" s="143" t="n"/>
      <c r="H234" s="143" t="n"/>
      <c r="I234" s="63" t="n"/>
      <c r="J234" s="63" t="n"/>
      <c r="K234" s="63" t="n"/>
      <c r="L234" s="63" t="n"/>
      <c r="M234" s="144" t="n"/>
      <c r="N234" s="65" t="str">
        <f>IF(A234="","",SUMIF(fa_client,A234,fa_ht))</f>
        <v/>
      </c>
      <c r="O234" s="65" t="str">
        <f>IF(A234="","",SUMIF(fa_client,A234,fa_reste))</f>
        <v/>
      </c>
      <c r="P234" s="59" t="str">
        <f>IF(COUNTA(A234:M234)=0,"",IF(A234="","Code manquant",IF(COUNTIF(cli_code,A234)&gt;1,"Code en double",IF(B234="","Nom manquant",IF(AND(p_country="Maroc",C234&lt;&gt;"Particulier",OR(F234="",F234="Maroc"),G234=""),"ICE manquant (client professionnel)",IF(AND(G234&lt;&gt;"",NOT(AND(LEN(G234&amp;"")=15,SUBSTITUTE(SUBSTITUTE(SUBSTITUTE(SUBSTITUTE(SUBSTITUTE(SUBSTITUTE(SUBSTITUTE(SUBSTITUTE(SUBSTITUTE(SUBSTITUTE(G234&amp;"","0",""),"1",""),"2",""),"3",""),"4",""),"5",""),"6",""),"7",""),"8",""),"9","")=""))),"ICE : 15 chiffres attendus",IF(AND(H234&lt;&gt;"",NOT(AND(LEN(H234&amp;"")=9,SUBSTITUTE(SUBSTITUTE(SUBSTITUTE(SUBSTITUTE(SUBSTITUTE(SUBSTITUTE(SUBSTITUTE(SUBSTITUTE(SUBSTITUTE(SUBSTITUTE(H234&amp;"","0",""),"1",""),"2",""),"3",""),"4",""),"5",""),"6",""),"7",""),"8",""),"9","")=""))),"SIREN : 9 chiffres attendus",IF(AND(M234&lt;&gt;"",OR(NOT(ISNUMBER(M234)),N(M234)&lt;0)),"Délai de paiement invalide","OK"))))))))</f>
        <v/>
      </c>
      <c r="Q234" s="62" t="str">
        <f>IF(A234="","",ROUND(SUMIFS(fa_ht,fa_client,A234,fa_year,db_year)*100,0))</f>
        <v/>
      </c>
      <c r="R234" s="62" t="str">
        <f>IF(N(Q234)&lt;=0,"",COUNTIF($Q$6:$Q$305,"&gt;"&amp;Q234)+COUNTIF($Q$6:Q234,Q234))</f>
        <v/>
      </c>
      <c r="S234" s="62" t="str">
        <f>IF(A234="","",ROUND(SUMIFS(fa_reste,fa_client,A234,fa_reste,"&gt;0")*100,0))</f>
        <v/>
      </c>
      <c r="T234" s="62" t="str">
        <f>IF(N(S234)&lt;=0,"",COUNTIF($S$6:$S$305,"&gt;"&amp;S234)+COUNTIF($S$6:S234,S234))</f>
        <v/>
      </c>
    </row>
    <row r="235">
      <c r="A235" s="60" t="n"/>
      <c r="B235" s="63" t="n"/>
      <c r="C235" s="60" t="n"/>
      <c r="D235" s="63" t="n"/>
      <c r="E235" s="63" t="n"/>
      <c r="F235" s="60" t="n"/>
      <c r="G235" s="143" t="n"/>
      <c r="H235" s="143" t="n"/>
      <c r="I235" s="63" t="n"/>
      <c r="J235" s="63" t="n"/>
      <c r="K235" s="63" t="n"/>
      <c r="L235" s="63" t="n"/>
      <c r="M235" s="144" t="n"/>
      <c r="N235" s="65" t="str">
        <f>IF(A235="","",SUMIF(fa_client,A235,fa_ht))</f>
        <v/>
      </c>
      <c r="O235" s="65" t="str">
        <f>IF(A235="","",SUMIF(fa_client,A235,fa_reste))</f>
        <v/>
      </c>
      <c r="P235" s="59" t="str">
        <f>IF(COUNTA(A235:M235)=0,"",IF(A235="","Code manquant",IF(COUNTIF(cli_code,A235)&gt;1,"Code en double",IF(B235="","Nom manquant",IF(AND(p_country="Maroc",C235&lt;&gt;"Particulier",OR(F235="",F235="Maroc"),G235=""),"ICE manquant (client professionnel)",IF(AND(G235&lt;&gt;"",NOT(AND(LEN(G235&amp;"")=15,SUBSTITUTE(SUBSTITUTE(SUBSTITUTE(SUBSTITUTE(SUBSTITUTE(SUBSTITUTE(SUBSTITUTE(SUBSTITUTE(SUBSTITUTE(SUBSTITUTE(G235&amp;"","0",""),"1",""),"2",""),"3",""),"4",""),"5",""),"6",""),"7",""),"8",""),"9","")=""))),"ICE : 15 chiffres attendus",IF(AND(H235&lt;&gt;"",NOT(AND(LEN(H235&amp;"")=9,SUBSTITUTE(SUBSTITUTE(SUBSTITUTE(SUBSTITUTE(SUBSTITUTE(SUBSTITUTE(SUBSTITUTE(SUBSTITUTE(SUBSTITUTE(SUBSTITUTE(H235&amp;"","0",""),"1",""),"2",""),"3",""),"4",""),"5",""),"6",""),"7",""),"8",""),"9","")=""))),"SIREN : 9 chiffres attendus",IF(AND(M235&lt;&gt;"",OR(NOT(ISNUMBER(M235)),N(M235)&lt;0)),"Délai de paiement invalide","OK"))))))))</f>
        <v/>
      </c>
      <c r="Q235" s="62" t="str">
        <f>IF(A235="","",ROUND(SUMIFS(fa_ht,fa_client,A235,fa_year,db_year)*100,0))</f>
        <v/>
      </c>
      <c r="R235" s="62" t="str">
        <f>IF(N(Q235)&lt;=0,"",COUNTIF($Q$6:$Q$305,"&gt;"&amp;Q235)+COUNTIF($Q$6:Q235,Q235))</f>
        <v/>
      </c>
      <c r="S235" s="62" t="str">
        <f>IF(A235="","",ROUND(SUMIFS(fa_reste,fa_client,A235,fa_reste,"&gt;0")*100,0))</f>
        <v/>
      </c>
      <c r="T235" s="62" t="str">
        <f>IF(N(S235)&lt;=0,"",COUNTIF($S$6:$S$305,"&gt;"&amp;S235)+COUNTIF($S$6:S235,S235))</f>
        <v/>
      </c>
    </row>
    <row r="236">
      <c r="A236" s="60" t="n"/>
      <c r="B236" s="63" t="n"/>
      <c r="C236" s="60" t="n"/>
      <c r="D236" s="63" t="n"/>
      <c r="E236" s="63" t="n"/>
      <c r="F236" s="60" t="n"/>
      <c r="G236" s="143" t="n"/>
      <c r="H236" s="143" t="n"/>
      <c r="I236" s="63" t="n"/>
      <c r="J236" s="63" t="n"/>
      <c r="K236" s="63" t="n"/>
      <c r="L236" s="63" t="n"/>
      <c r="M236" s="144" t="n"/>
      <c r="N236" s="65" t="str">
        <f>IF(A236="","",SUMIF(fa_client,A236,fa_ht))</f>
        <v/>
      </c>
      <c r="O236" s="65" t="str">
        <f>IF(A236="","",SUMIF(fa_client,A236,fa_reste))</f>
        <v/>
      </c>
      <c r="P236" s="59" t="str">
        <f>IF(COUNTA(A236:M236)=0,"",IF(A236="","Code manquant",IF(COUNTIF(cli_code,A236)&gt;1,"Code en double",IF(B236="","Nom manquant",IF(AND(p_country="Maroc",C236&lt;&gt;"Particulier",OR(F236="",F236="Maroc"),G236=""),"ICE manquant (client professionnel)",IF(AND(G236&lt;&gt;"",NOT(AND(LEN(G236&amp;"")=15,SUBSTITUTE(SUBSTITUTE(SUBSTITUTE(SUBSTITUTE(SUBSTITUTE(SUBSTITUTE(SUBSTITUTE(SUBSTITUTE(SUBSTITUTE(SUBSTITUTE(G236&amp;"","0",""),"1",""),"2",""),"3",""),"4",""),"5",""),"6",""),"7",""),"8",""),"9","")=""))),"ICE : 15 chiffres attendus",IF(AND(H236&lt;&gt;"",NOT(AND(LEN(H236&amp;"")=9,SUBSTITUTE(SUBSTITUTE(SUBSTITUTE(SUBSTITUTE(SUBSTITUTE(SUBSTITUTE(SUBSTITUTE(SUBSTITUTE(SUBSTITUTE(SUBSTITUTE(H236&amp;"","0",""),"1",""),"2",""),"3",""),"4",""),"5",""),"6",""),"7",""),"8",""),"9","")=""))),"SIREN : 9 chiffres attendus",IF(AND(M236&lt;&gt;"",OR(NOT(ISNUMBER(M236)),N(M236)&lt;0)),"Délai de paiement invalide","OK"))))))))</f>
        <v/>
      </c>
      <c r="Q236" s="62" t="str">
        <f>IF(A236="","",ROUND(SUMIFS(fa_ht,fa_client,A236,fa_year,db_year)*100,0))</f>
        <v/>
      </c>
      <c r="R236" s="62" t="str">
        <f>IF(N(Q236)&lt;=0,"",COUNTIF($Q$6:$Q$305,"&gt;"&amp;Q236)+COUNTIF($Q$6:Q236,Q236))</f>
        <v/>
      </c>
      <c r="S236" s="62" t="str">
        <f>IF(A236="","",ROUND(SUMIFS(fa_reste,fa_client,A236,fa_reste,"&gt;0")*100,0))</f>
        <v/>
      </c>
      <c r="T236" s="62" t="str">
        <f>IF(N(S236)&lt;=0,"",COUNTIF($S$6:$S$305,"&gt;"&amp;S236)+COUNTIF($S$6:S236,S236))</f>
        <v/>
      </c>
    </row>
    <row r="237">
      <c r="A237" s="60" t="n"/>
      <c r="B237" s="63" t="n"/>
      <c r="C237" s="60" t="n"/>
      <c r="D237" s="63" t="n"/>
      <c r="E237" s="63" t="n"/>
      <c r="F237" s="60" t="n"/>
      <c r="G237" s="143" t="n"/>
      <c r="H237" s="143" t="n"/>
      <c r="I237" s="63" t="n"/>
      <c r="J237" s="63" t="n"/>
      <c r="K237" s="63" t="n"/>
      <c r="L237" s="63" t="n"/>
      <c r="M237" s="144" t="n"/>
      <c r="N237" s="65" t="str">
        <f>IF(A237="","",SUMIF(fa_client,A237,fa_ht))</f>
        <v/>
      </c>
      <c r="O237" s="65" t="str">
        <f>IF(A237="","",SUMIF(fa_client,A237,fa_reste))</f>
        <v/>
      </c>
      <c r="P237" s="59" t="str">
        <f>IF(COUNTA(A237:M237)=0,"",IF(A237="","Code manquant",IF(COUNTIF(cli_code,A237)&gt;1,"Code en double",IF(B237="","Nom manquant",IF(AND(p_country="Maroc",C237&lt;&gt;"Particulier",OR(F237="",F237="Maroc"),G237=""),"ICE manquant (client professionnel)",IF(AND(G237&lt;&gt;"",NOT(AND(LEN(G237&amp;"")=15,SUBSTITUTE(SUBSTITUTE(SUBSTITUTE(SUBSTITUTE(SUBSTITUTE(SUBSTITUTE(SUBSTITUTE(SUBSTITUTE(SUBSTITUTE(SUBSTITUTE(G237&amp;"","0",""),"1",""),"2",""),"3",""),"4",""),"5",""),"6",""),"7",""),"8",""),"9","")=""))),"ICE : 15 chiffres attendus",IF(AND(H237&lt;&gt;"",NOT(AND(LEN(H237&amp;"")=9,SUBSTITUTE(SUBSTITUTE(SUBSTITUTE(SUBSTITUTE(SUBSTITUTE(SUBSTITUTE(SUBSTITUTE(SUBSTITUTE(SUBSTITUTE(SUBSTITUTE(H237&amp;"","0",""),"1",""),"2",""),"3",""),"4",""),"5",""),"6",""),"7",""),"8",""),"9","")=""))),"SIREN : 9 chiffres attendus",IF(AND(M237&lt;&gt;"",OR(NOT(ISNUMBER(M237)),N(M237)&lt;0)),"Délai de paiement invalide","OK"))))))))</f>
        <v/>
      </c>
      <c r="Q237" s="62" t="str">
        <f>IF(A237="","",ROUND(SUMIFS(fa_ht,fa_client,A237,fa_year,db_year)*100,0))</f>
        <v/>
      </c>
      <c r="R237" s="62" t="str">
        <f>IF(N(Q237)&lt;=0,"",COUNTIF($Q$6:$Q$305,"&gt;"&amp;Q237)+COUNTIF($Q$6:Q237,Q237))</f>
        <v/>
      </c>
      <c r="S237" s="62" t="str">
        <f>IF(A237="","",ROUND(SUMIFS(fa_reste,fa_client,A237,fa_reste,"&gt;0")*100,0))</f>
        <v/>
      </c>
      <c r="T237" s="62" t="str">
        <f>IF(N(S237)&lt;=0,"",COUNTIF($S$6:$S$305,"&gt;"&amp;S237)+COUNTIF($S$6:S237,S237))</f>
        <v/>
      </c>
    </row>
    <row r="238">
      <c r="A238" s="60" t="n"/>
      <c r="B238" s="63" t="n"/>
      <c r="C238" s="60" t="n"/>
      <c r="D238" s="63" t="n"/>
      <c r="E238" s="63" t="n"/>
      <c r="F238" s="60" t="n"/>
      <c r="G238" s="143" t="n"/>
      <c r="H238" s="143" t="n"/>
      <c r="I238" s="63" t="n"/>
      <c r="J238" s="63" t="n"/>
      <c r="K238" s="63" t="n"/>
      <c r="L238" s="63" t="n"/>
      <c r="M238" s="144" t="n"/>
      <c r="N238" s="65" t="str">
        <f>IF(A238="","",SUMIF(fa_client,A238,fa_ht))</f>
        <v/>
      </c>
      <c r="O238" s="65" t="str">
        <f>IF(A238="","",SUMIF(fa_client,A238,fa_reste))</f>
        <v/>
      </c>
      <c r="P238" s="59" t="str">
        <f>IF(COUNTA(A238:M238)=0,"",IF(A238="","Code manquant",IF(COUNTIF(cli_code,A238)&gt;1,"Code en double",IF(B238="","Nom manquant",IF(AND(p_country="Maroc",C238&lt;&gt;"Particulier",OR(F238="",F238="Maroc"),G238=""),"ICE manquant (client professionnel)",IF(AND(G238&lt;&gt;"",NOT(AND(LEN(G238&amp;"")=15,SUBSTITUTE(SUBSTITUTE(SUBSTITUTE(SUBSTITUTE(SUBSTITUTE(SUBSTITUTE(SUBSTITUTE(SUBSTITUTE(SUBSTITUTE(SUBSTITUTE(G238&amp;"","0",""),"1",""),"2",""),"3",""),"4",""),"5",""),"6",""),"7",""),"8",""),"9","")=""))),"ICE : 15 chiffres attendus",IF(AND(H238&lt;&gt;"",NOT(AND(LEN(H238&amp;"")=9,SUBSTITUTE(SUBSTITUTE(SUBSTITUTE(SUBSTITUTE(SUBSTITUTE(SUBSTITUTE(SUBSTITUTE(SUBSTITUTE(SUBSTITUTE(SUBSTITUTE(H238&amp;"","0",""),"1",""),"2",""),"3",""),"4",""),"5",""),"6",""),"7",""),"8",""),"9","")=""))),"SIREN : 9 chiffres attendus",IF(AND(M238&lt;&gt;"",OR(NOT(ISNUMBER(M238)),N(M238)&lt;0)),"Délai de paiement invalide","OK"))))))))</f>
        <v/>
      </c>
      <c r="Q238" s="62" t="str">
        <f>IF(A238="","",ROUND(SUMIFS(fa_ht,fa_client,A238,fa_year,db_year)*100,0))</f>
        <v/>
      </c>
      <c r="R238" s="62" t="str">
        <f>IF(N(Q238)&lt;=0,"",COUNTIF($Q$6:$Q$305,"&gt;"&amp;Q238)+COUNTIF($Q$6:Q238,Q238))</f>
        <v/>
      </c>
      <c r="S238" s="62" t="str">
        <f>IF(A238="","",ROUND(SUMIFS(fa_reste,fa_client,A238,fa_reste,"&gt;0")*100,0))</f>
        <v/>
      </c>
      <c r="T238" s="62" t="str">
        <f>IF(N(S238)&lt;=0,"",COUNTIF($S$6:$S$305,"&gt;"&amp;S238)+COUNTIF($S$6:S238,S238))</f>
        <v/>
      </c>
    </row>
    <row r="239">
      <c r="A239" s="60" t="n"/>
      <c r="B239" s="63" t="n"/>
      <c r="C239" s="60" t="n"/>
      <c r="D239" s="63" t="n"/>
      <c r="E239" s="63" t="n"/>
      <c r="F239" s="60" t="n"/>
      <c r="G239" s="143" t="n"/>
      <c r="H239" s="143" t="n"/>
      <c r="I239" s="63" t="n"/>
      <c r="J239" s="63" t="n"/>
      <c r="K239" s="63" t="n"/>
      <c r="L239" s="63" t="n"/>
      <c r="M239" s="144" t="n"/>
      <c r="N239" s="65" t="str">
        <f>IF(A239="","",SUMIF(fa_client,A239,fa_ht))</f>
        <v/>
      </c>
      <c r="O239" s="65" t="str">
        <f>IF(A239="","",SUMIF(fa_client,A239,fa_reste))</f>
        <v/>
      </c>
      <c r="P239" s="59" t="str">
        <f>IF(COUNTA(A239:M239)=0,"",IF(A239="","Code manquant",IF(COUNTIF(cli_code,A239)&gt;1,"Code en double",IF(B239="","Nom manquant",IF(AND(p_country="Maroc",C239&lt;&gt;"Particulier",OR(F239="",F239="Maroc"),G239=""),"ICE manquant (client professionnel)",IF(AND(G239&lt;&gt;"",NOT(AND(LEN(G239&amp;"")=15,SUBSTITUTE(SUBSTITUTE(SUBSTITUTE(SUBSTITUTE(SUBSTITUTE(SUBSTITUTE(SUBSTITUTE(SUBSTITUTE(SUBSTITUTE(SUBSTITUTE(G239&amp;"","0",""),"1",""),"2",""),"3",""),"4",""),"5",""),"6",""),"7",""),"8",""),"9","")=""))),"ICE : 15 chiffres attendus",IF(AND(H239&lt;&gt;"",NOT(AND(LEN(H239&amp;"")=9,SUBSTITUTE(SUBSTITUTE(SUBSTITUTE(SUBSTITUTE(SUBSTITUTE(SUBSTITUTE(SUBSTITUTE(SUBSTITUTE(SUBSTITUTE(SUBSTITUTE(H239&amp;"","0",""),"1",""),"2",""),"3",""),"4",""),"5",""),"6",""),"7",""),"8",""),"9","")=""))),"SIREN : 9 chiffres attendus",IF(AND(M239&lt;&gt;"",OR(NOT(ISNUMBER(M239)),N(M239)&lt;0)),"Délai de paiement invalide","OK"))))))))</f>
        <v/>
      </c>
      <c r="Q239" s="62" t="str">
        <f>IF(A239="","",ROUND(SUMIFS(fa_ht,fa_client,A239,fa_year,db_year)*100,0))</f>
        <v/>
      </c>
      <c r="R239" s="62" t="str">
        <f>IF(N(Q239)&lt;=0,"",COUNTIF($Q$6:$Q$305,"&gt;"&amp;Q239)+COUNTIF($Q$6:Q239,Q239))</f>
        <v/>
      </c>
      <c r="S239" s="62" t="str">
        <f>IF(A239="","",ROUND(SUMIFS(fa_reste,fa_client,A239,fa_reste,"&gt;0")*100,0))</f>
        <v/>
      </c>
      <c r="T239" s="62" t="str">
        <f>IF(N(S239)&lt;=0,"",COUNTIF($S$6:$S$305,"&gt;"&amp;S239)+COUNTIF($S$6:S239,S239))</f>
        <v/>
      </c>
    </row>
    <row r="240">
      <c r="A240" s="60" t="n"/>
      <c r="B240" s="63" t="n"/>
      <c r="C240" s="60" t="n"/>
      <c r="D240" s="63" t="n"/>
      <c r="E240" s="63" t="n"/>
      <c r="F240" s="60" t="n"/>
      <c r="G240" s="143" t="n"/>
      <c r="H240" s="143" t="n"/>
      <c r="I240" s="63" t="n"/>
      <c r="J240" s="63" t="n"/>
      <c r="K240" s="63" t="n"/>
      <c r="L240" s="63" t="n"/>
      <c r="M240" s="144" t="n"/>
      <c r="N240" s="65" t="str">
        <f>IF(A240="","",SUMIF(fa_client,A240,fa_ht))</f>
        <v/>
      </c>
      <c r="O240" s="65" t="str">
        <f>IF(A240="","",SUMIF(fa_client,A240,fa_reste))</f>
        <v/>
      </c>
      <c r="P240" s="59" t="str">
        <f>IF(COUNTA(A240:M240)=0,"",IF(A240="","Code manquant",IF(COUNTIF(cli_code,A240)&gt;1,"Code en double",IF(B240="","Nom manquant",IF(AND(p_country="Maroc",C240&lt;&gt;"Particulier",OR(F240="",F240="Maroc"),G240=""),"ICE manquant (client professionnel)",IF(AND(G240&lt;&gt;"",NOT(AND(LEN(G240&amp;"")=15,SUBSTITUTE(SUBSTITUTE(SUBSTITUTE(SUBSTITUTE(SUBSTITUTE(SUBSTITUTE(SUBSTITUTE(SUBSTITUTE(SUBSTITUTE(SUBSTITUTE(G240&amp;"","0",""),"1",""),"2",""),"3",""),"4",""),"5",""),"6",""),"7",""),"8",""),"9","")=""))),"ICE : 15 chiffres attendus",IF(AND(H240&lt;&gt;"",NOT(AND(LEN(H240&amp;"")=9,SUBSTITUTE(SUBSTITUTE(SUBSTITUTE(SUBSTITUTE(SUBSTITUTE(SUBSTITUTE(SUBSTITUTE(SUBSTITUTE(SUBSTITUTE(SUBSTITUTE(H240&amp;"","0",""),"1",""),"2",""),"3",""),"4",""),"5",""),"6",""),"7",""),"8",""),"9","")=""))),"SIREN : 9 chiffres attendus",IF(AND(M240&lt;&gt;"",OR(NOT(ISNUMBER(M240)),N(M240)&lt;0)),"Délai de paiement invalide","OK"))))))))</f>
        <v/>
      </c>
      <c r="Q240" s="62" t="str">
        <f>IF(A240="","",ROUND(SUMIFS(fa_ht,fa_client,A240,fa_year,db_year)*100,0))</f>
        <v/>
      </c>
      <c r="R240" s="62" t="str">
        <f>IF(N(Q240)&lt;=0,"",COUNTIF($Q$6:$Q$305,"&gt;"&amp;Q240)+COUNTIF($Q$6:Q240,Q240))</f>
        <v/>
      </c>
      <c r="S240" s="62" t="str">
        <f>IF(A240="","",ROUND(SUMIFS(fa_reste,fa_client,A240,fa_reste,"&gt;0")*100,0))</f>
        <v/>
      </c>
      <c r="T240" s="62" t="str">
        <f>IF(N(S240)&lt;=0,"",COUNTIF($S$6:$S$305,"&gt;"&amp;S240)+COUNTIF($S$6:S240,S240))</f>
        <v/>
      </c>
    </row>
    <row r="241">
      <c r="A241" s="60" t="n"/>
      <c r="B241" s="63" t="n"/>
      <c r="C241" s="60" t="n"/>
      <c r="D241" s="63" t="n"/>
      <c r="E241" s="63" t="n"/>
      <c r="F241" s="60" t="n"/>
      <c r="G241" s="143" t="n"/>
      <c r="H241" s="143" t="n"/>
      <c r="I241" s="63" t="n"/>
      <c r="J241" s="63" t="n"/>
      <c r="K241" s="63" t="n"/>
      <c r="L241" s="63" t="n"/>
      <c r="M241" s="144" t="n"/>
      <c r="N241" s="65" t="str">
        <f>IF(A241="","",SUMIF(fa_client,A241,fa_ht))</f>
        <v/>
      </c>
      <c r="O241" s="65" t="str">
        <f>IF(A241="","",SUMIF(fa_client,A241,fa_reste))</f>
        <v/>
      </c>
      <c r="P241" s="59" t="str">
        <f>IF(COUNTA(A241:M241)=0,"",IF(A241="","Code manquant",IF(COUNTIF(cli_code,A241)&gt;1,"Code en double",IF(B241="","Nom manquant",IF(AND(p_country="Maroc",C241&lt;&gt;"Particulier",OR(F241="",F241="Maroc"),G241=""),"ICE manquant (client professionnel)",IF(AND(G241&lt;&gt;"",NOT(AND(LEN(G241&amp;"")=15,SUBSTITUTE(SUBSTITUTE(SUBSTITUTE(SUBSTITUTE(SUBSTITUTE(SUBSTITUTE(SUBSTITUTE(SUBSTITUTE(SUBSTITUTE(SUBSTITUTE(G241&amp;"","0",""),"1",""),"2",""),"3",""),"4",""),"5",""),"6",""),"7",""),"8",""),"9","")=""))),"ICE : 15 chiffres attendus",IF(AND(H241&lt;&gt;"",NOT(AND(LEN(H241&amp;"")=9,SUBSTITUTE(SUBSTITUTE(SUBSTITUTE(SUBSTITUTE(SUBSTITUTE(SUBSTITUTE(SUBSTITUTE(SUBSTITUTE(SUBSTITUTE(SUBSTITUTE(H241&amp;"","0",""),"1",""),"2",""),"3",""),"4",""),"5",""),"6",""),"7",""),"8",""),"9","")=""))),"SIREN : 9 chiffres attendus",IF(AND(M241&lt;&gt;"",OR(NOT(ISNUMBER(M241)),N(M241)&lt;0)),"Délai de paiement invalide","OK"))))))))</f>
        <v/>
      </c>
      <c r="Q241" s="62" t="str">
        <f>IF(A241="","",ROUND(SUMIFS(fa_ht,fa_client,A241,fa_year,db_year)*100,0))</f>
        <v/>
      </c>
      <c r="R241" s="62" t="str">
        <f>IF(N(Q241)&lt;=0,"",COUNTIF($Q$6:$Q$305,"&gt;"&amp;Q241)+COUNTIF($Q$6:Q241,Q241))</f>
        <v/>
      </c>
      <c r="S241" s="62" t="str">
        <f>IF(A241="","",ROUND(SUMIFS(fa_reste,fa_client,A241,fa_reste,"&gt;0")*100,0))</f>
        <v/>
      </c>
      <c r="T241" s="62" t="str">
        <f>IF(N(S241)&lt;=0,"",COUNTIF($S$6:$S$305,"&gt;"&amp;S241)+COUNTIF($S$6:S241,S241))</f>
        <v/>
      </c>
    </row>
    <row r="242">
      <c r="A242" s="60" t="n"/>
      <c r="B242" s="63" t="n"/>
      <c r="C242" s="60" t="n"/>
      <c r="D242" s="63" t="n"/>
      <c r="E242" s="63" t="n"/>
      <c r="F242" s="60" t="n"/>
      <c r="G242" s="143" t="n"/>
      <c r="H242" s="143" t="n"/>
      <c r="I242" s="63" t="n"/>
      <c r="J242" s="63" t="n"/>
      <c r="K242" s="63" t="n"/>
      <c r="L242" s="63" t="n"/>
      <c r="M242" s="144" t="n"/>
      <c r="N242" s="65" t="str">
        <f>IF(A242="","",SUMIF(fa_client,A242,fa_ht))</f>
        <v/>
      </c>
      <c r="O242" s="65" t="str">
        <f>IF(A242="","",SUMIF(fa_client,A242,fa_reste))</f>
        <v/>
      </c>
      <c r="P242" s="59" t="str">
        <f>IF(COUNTA(A242:M242)=0,"",IF(A242="","Code manquant",IF(COUNTIF(cli_code,A242)&gt;1,"Code en double",IF(B242="","Nom manquant",IF(AND(p_country="Maroc",C242&lt;&gt;"Particulier",OR(F242="",F242="Maroc"),G242=""),"ICE manquant (client professionnel)",IF(AND(G242&lt;&gt;"",NOT(AND(LEN(G242&amp;"")=15,SUBSTITUTE(SUBSTITUTE(SUBSTITUTE(SUBSTITUTE(SUBSTITUTE(SUBSTITUTE(SUBSTITUTE(SUBSTITUTE(SUBSTITUTE(SUBSTITUTE(G242&amp;"","0",""),"1",""),"2",""),"3",""),"4",""),"5",""),"6",""),"7",""),"8",""),"9","")=""))),"ICE : 15 chiffres attendus",IF(AND(H242&lt;&gt;"",NOT(AND(LEN(H242&amp;"")=9,SUBSTITUTE(SUBSTITUTE(SUBSTITUTE(SUBSTITUTE(SUBSTITUTE(SUBSTITUTE(SUBSTITUTE(SUBSTITUTE(SUBSTITUTE(SUBSTITUTE(H242&amp;"","0",""),"1",""),"2",""),"3",""),"4",""),"5",""),"6",""),"7",""),"8",""),"9","")=""))),"SIREN : 9 chiffres attendus",IF(AND(M242&lt;&gt;"",OR(NOT(ISNUMBER(M242)),N(M242)&lt;0)),"Délai de paiement invalide","OK"))))))))</f>
        <v/>
      </c>
      <c r="Q242" s="62" t="str">
        <f>IF(A242="","",ROUND(SUMIFS(fa_ht,fa_client,A242,fa_year,db_year)*100,0))</f>
        <v/>
      </c>
      <c r="R242" s="62" t="str">
        <f>IF(N(Q242)&lt;=0,"",COUNTIF($Q$6:$Q$305,"&gt;"&amp;Q242)+COUNTIF($Q$6:Q242,Q242))</f>
        <v/>
      </c>
      <c r="S242" s="62" t="str">
        <f>IF(A242="","",ROUND(SUMIFS(fa_reste,fa_client,A242,fa_reste,"&gt;0")*100,0))</f>
        <v/>
      </c>
      <c r="T242" s="62" t="str">
        <f>IF(N(S242)&lt;=0,"",COUNTIF($S$6:$S$305,"&gt;"&amp;S242)+COUNTIF($S$6:S242,S242))</f>
        <v/>
      </c>
    </row>
    <row r="243">
      <c r="A243" s="60" t="n"/>
      <c r="B243" s="63" t="n"/>
      <c r="C243" s="60" t="n"/>
      <c r="D243" s="63" t="n"/>
      <c r="E243" s="63" t="n"/>
      <c r="F243" s="60" t="n"/>
      <c r="G243" s="143" t="n"/>
      <c r="H243" s="143" t="n"/>
      <c r="I243" s="63" t="n"/>
      <c r="J243" s="63" t="n"/>
      <c r="K243" s="63" t="n"/>
      <c r="L243" s="63" t="n"/>
      <c r="M243" s="144" t="n"/>
      <c r="N243" s="65" t="str">
        <f>IF(A243="","",SUMIF(fa_client,A243,fa_ht))</f>
        <v/>
      </c>
      <c r="O243" s="65" t="str">
        <f>IF(A243="","",SUMIF(fa_client,A243,fa_reste))</f>
        <v/>
      </c>
      <c r="P243" s="59" t="str">
        <f>IF(COUNTA(A243:M243)=0,"",IF(A243="","Code manquant",IF(COUNTIF(cli_code,A243)&gt;1,"Code en double",IF(B243="","Nom manquant",IF(AND(p_country="Maroc",C243&lt;&gt;"Particulier",OR(F243="",F243="Maroc"),G243=""),"ICE manquant (client professionnel)",IF(AND(G243&lt;&gt;"",NOT(AND(LEN(G243&amp;"")=15,SUBSTITUTE(SUBSTITUTE(SUBSTITUTE(SUBSTITUTE(SUBSTITUTE(SUBSTITUTE(SUBSTITUTE(SUBSTITUTE(SUBSTITUTE(SUBSTITUTE(G243&amp;"","0",""),"1",""),"2",""),"3",""),"4",""),"5",""),"6",""),"7",""),"8",""),"9","")=""))),"ICE : 15 chiffres attendus",IF(AND(H243&lt;&gt;"",NOT(AND(LEN(H243&amp;"")=9,SUBSTITUTE(SUBSTITUTE(SUBSTITUTE(SUBSTITUTE(SUBSTITUTE(SUBSTITUTE(SUBSTITUTE(SUBSTITUTE(SUBSTITUTE(SUBSTITUTE(H243&amp;"","0",""),"1",""),"2",""),"3",""),"4",""),"5",""),"6",""),"7",""),"8",""),"9","")=""))),"SIREN : 9 chiffres attendus",IF(AND(M243&lt;&gt;"",OR(NOT(ISNUMBER(M243)),N(M243)&lt;0)),"Délai de paiement invalide","OK"))))))))</f>
        <v/>
      </c>
      <c r="Q243" s="62" t="str">
        <f>IF(A243="","",ROUND(SUMIFS(fa_ht,fa_client,A243,fa_year,db_year)*100,0))</f>
        <v/>
      </c>
      <c r="R243" s="62" t="str">
        <f>IF(N(Q243)&lt;=0,"",COUNTIF($Q$6:$Q$305,"&gt;"&amp;Q243)+COUNTIF($Q$6:Q243,Q243))</f>
        <v/>
      </c>
      <c r="S243" s="62" t="str">
        <f>IF(A243="","",ROUND(SUMIFS(fa_reste,fa_client,A243,fa_reste,"&gt;0")*100,0))</f>
        <v/>
      </c>
      <c r="T243" s="62" t="str">
        <f>IF(N(S243)&lt;=0,"",COUNTIF($S$6:$S$305,"&gt;"&amp;S243)+COUNTIF($S$6:S243,S243))</f>
        <v/>
      </c>
    </row>
    <row r="244">
      <c r="A244" s="60" t="n"/>
      <c r="B244" s="63" t="n"/>
      <c r="C244" s="60" t="n"/>
      <c r="D244" s="63" t="n"/>
      <c r="E244" s="63" t="n"/>
      <c r="F244" s="60" t="n"/>
      <c r="G244" s="143" t="n"/>
      <c r="H244" s="143" t="n"/>
      <c r="I244" s="63" t="n"/>
      <c r="J244" s="63" t="n"/>
      <c r="K244" s="63" t="n"/>
      <c r="L244" s="63" t="n"/>
      <c r="M244" s="144" t="n"/>
      <c r="N244" s="65" t="str">
        <f>IF(A244="","",SUMIF(fa_client,A244,fa_ht))</f>
        <v/>
      </c>
      <c r="O244" s="65" t="str">
        <f>IF(A244="","",SUMIF(fa_client,A244,fa_reste))</f>
        <v/>
      </c>
      <c r="P244" s="59" t="str">
        <f>IF(COUNTA(A244:M244)=0,"",IF(A244="","Code manquant",IF(COUNTIF(cli_code,A244)&gt;1,"Code en double",IF(B244="","Nom manquant",IF(AND(p_country="Maroc",C244&lt;&gt;"Particulier",OR(F244="",F244="Maroc"),G244=""),"ICE manquant (client professionnel)",IF(AND(G244&lt;&gt;"",NOT(AND(LEN(G244&amp;"")=15,SUBSTITUTE(SUBSTITUTE(SUBSTITUTE(SUBSTITUTE(SUBSTITUTE(SUBSTITUTE(SUBSTITUTE(SUBSTITUTE(SUBSTITUTE(SUBSTITUTE(G244&amp;"","0",""),"1",""),"2",""),"3",""),"4",""),"5",""),"6",""),"7",""),"8",""),"9","")=""))),"ICE : 15 chiffres attendus",IF(AND(H244&lt;&gt;"",NOT(AND(LEN(H244&amp;"")=9,SUBSTITUTE(SUBSTITUTE(SUBSTITUTE(SUBSTITUTE(SUBSTITUTE(SUBSTITUTE(SUBSTITUTE(SUBSTITUTE(SUBSTITUTE(SUBSTITUTE(H244&amp;"","0",""),"1",""),"2",""),"3",""),"4",""),"5",""),"6",""),"7",""),"8",""),"9","")=""))),"SIREN : 9 chiffres attendus",IF(AND(M244&lt;&gt;"",OR(NOT(ISNUMBER(M244)),N(M244)&lt;0)),"Délai de paiement invalide","OK"))))))))</f>
        <v/>
      </c>
      <c r="Q244" s="62" t="str">
        <f>IF(A244="","",ROUND(SUMIFS(fa_ht,fa_client,A244,fa_year,db_year)*100,0))</f>
        <v/>
      </c>
      <c r="R244" s="62" t="str">
        <f>IF(N(Q244)&lt;=0,"",COUNTIF($Q$6:$Q$305,"&gt;"&amp;Q244)+COUNTIF($Q$6:Q244,Q244))</f>
        <v/>
      </c>
      <c r="S244" s="62" t="str">
        <f>IF(A244="","",ROUND(SUMIFS(fa_reste,fa_client,A244,fa_reste,"&gt;0")*100,0))</f>
        <v/>
      </c>
      <c r="T244" s="62" t="str">
        <f>IF(N(S244)&lt;=0,"",COUNTIF($S$6:$S$305,"&gt;"&amp;S244)+COUNTIF($S$6:S244,S244))</f>
        <v/>
      </c>
    </row>
    <row r="245">
      <c r="A245" s="60" t="n"/>
      <c r="B245" s="63" t="n"/>
      <c r="C245" s="60" t="n"/>
      <c r="D245" s="63" t="n"/>
      <c r="E245" s="63" t="n"/>
      <c r="F245" s="60" t="n"/>
      <c r="G245" s="143" t="n"/>
      <c r="H245" s="143" t="n"/>
      <c r="I245" s="63" t="n"/>
      <c r="J245" s="63" t="n"/>
      <c r="K245" s="63" t="n"/>
      <c r="L245" s="63" t="n"/>
      <c r="M245" s="144" t="n"/>
      <c r="N245" s="65" t="str">
        <f>IF(A245="","",SUMIF(fa_client,A245,fa_ht))</f>
        <v/>
      </c>
      <c r="O245" s="65" t="str">
        <f>IF(A245="","",SUMIF(fa_client,A245,fa_reste))</f>
        <v/>
      </c>
      <c r="P245" s="59" t="str">
        <f>IF(COUNTA(A245:M245)=0,"",IF(A245="","Code manquant",IF(COUNTIF(cli_code,A245)&gt;1,"Code en double",IF(B245="","Nom manquant",IF(AND(p_country="Maroc",C245&lt;&gt;"Particulier",OR(F245="",F245="Maroc"),G245=""),"ICE manquant (client professionnel)",IF(AND(G245&lt;&gt;"",NOT(AND(LEN(G245&amp;"")=15,SUBSTITUTE(SUBSTITUTE(SUBSTITUTE(SUBSTITUTE(SUBSTITUTE(SUBSTITUTE(SUBSTITUTE(SUBSTITUTE(SUBSTITUTE(SUBSTITUTE(G245&amp;"","0",""),"1",""),"2",""),"3",""),"4",""),"5",""),"6",""),"7",""),"8",""),"9","")=""))),"ICE : 15 chiffres attendus",IF(AND(H245&lt;&gt;"",NOT(AND(LEN(H245&amp;"")=9,SUBSTITUTE(SUBSTITUTE(SUBSTITUTE(SUBSTITUTE(SUBSTITUTE(SUBSTITUTE(SUBSTITUTE(SUBSTITUTE(SUBSTITUTE(SUBSTITUTE(H245&amp;"","0",""),"1",""),"2",""),"3",""),"4",""),"5",""),"6",""),"7",""),"8",""),"9","")=""))),"SIREN : 9 chiffres attendus",IF(AND(M245&lt;&gt;"",OR(NOT(ISNUMBER(M245)),N(M245)&lt;0)),"Délai de paiement invalide","OK"))))))))</f>
        <v/>
      </c>
      <c r="Q245" s="62" t="str">
        <f>IF(A245="","",ROUND(SUMIFS(fa_ht,fa_client,A245,fa_year,db_year)*100,0))</f>
        <v/>
      </c>
      <c r="R245" s="62" t="str">
        <f>IF(N(Q245)&lt;=0,"",COUNTIF($Q$6:$Q$305,"&gt;"&amp;Q245)+COUNTIF($Q$6:Q245,Q245))</f>
        <v/>
      </c>
      <c r="S245" s="62" t="str">
        <f>IF(A245="","",ROUND(SUMIFS(fa_reste,fa_client,A245,fa_reste,"&gt;0")*100,0))</f>
        <v/>
      </c>
      <c r="T245" s="62" t="str">
        <f>IF(N(S245)&lt;=0,"",COUNTIF($S$6:$S$305,"&gt;"&amp;S245)+COUNTIF($S$6:S245,S245))</f>
        <v/>
      </c>
    </row>
    <row r="246">
      <c r="A246" s="60" t="n"/>
      <c r="B246" s="63" t="n"/>
      <c r="C246" s="60" t="n"/>
      <c r="D246" s="63" t="n"/>
      <c r="E246" s="63" t="n"/>
      <c r="F246" s="60" t="n"/>
      <c r="G246" s="143" t="n"/>
      <c r="H246" s="143" t="n"/>
      <c r="I246" s="63" t="n"/>
      <c r="J246" s="63" t="n"/>
      <c r="K246" s="63" t="n"/>
      <c r="L246" s="63" t="n"/>
      <c r="M246" s="144" t="n"/>
      <c r="N246" s="65" t="str">
        <f>IF(A246="","",SUMIF(fa_client,A246,fa_ht))</f>
        <v/>
      </c>
      <c r="O246" s="65" t="str">
        <f>IF(A246="","",SUMIF(fa_client,A246,fa_reste))</f>
        <v/>
      </c>
      <c r="P246" s="59" t="str">
        <f>IF(COUNTA(A246:M246)=0,"",IF(A246="","Code manquant",IF(COUNTIF(cli_code,A246)&gt;1,"Code en double",IF(B246="","Nom manquant",IF(AND(p_country="Maroc",C246&lt;&gt;"Particulier",OR(F246="",F246="Maroc"),G246=""),"ICE manquant (client professionnel)",IF(AND(G246&lt;&gt;"",NOT(AND(LEN(G246&amp;"")=15,SUBSTITUTE(SUBSTITUTE(SUBSTITUTE(SUBSTITUTE(SUBSTITUTE(SUBSTITUTE(SUBSTITUTE(SUBSTITUTE(SUBSTITUTE(SUBSTITUTE(G246&amp;"","0",""),"1",""),"2",""),"3",""),"4",""),"5",""),"6",""),"7",""),"8",""),"9","")=""))),"ICE : 15 chiffres attendus",IF(AND(H246&lt;&gt;"",NOT(AND(LEN(H246&amp;"")=9,SUBSTITUTE(SUBSTITUTE(SUBSTITUTE(SUBSTITUTE(SUBSTITUTE(SUBSTITUTE(SUBSTITUTE(SUBSTITUTE(SUBSTITUTE(SUBSTITUTE(H246&amp;"","0",""),"1",""),"2",""),"3",""),"4",""),"5",""),"6",""),"7",""),"8",""),"9","")=""))),"SIREN : 9 chiffres attendus",IF(AND(M246&lt;&gt;"",OR(NOT(ISNUMBER(M246)),N(M246)&lt;0)),"Délai de paiement invalide","OK"))))))))</f>
        <v/>
      </c>
      <c r="Q246" s="62" t="str">
        <f>IF(A246="","",ROUND(SUMIFS(fa_ht,fa_client,A246,fa_year,db_year)*100,0))</f>
        <v/>
      </c>
      <c r="R246" s="62" t="str">
        <f>IF(N(Q246)&lt;=0,"",COUNTIF($Q$6:$Q$305,"&gt;"&amp;Q246)+COUNTIF($Q$6:Q246,Q246))</f>
        <v/>
      </c>
      <c r="S246" s="62" t="str">
        <f>IF(A246="","",ROUND(SUMIFS(fa_reste,fa_client,A246,fa_reste,"&gt;0")*100,0))</f>
        <v/>
      </c>
      <c r="T246" s="62" t="str">
        <f>IF(N(S246)&lt;=0,"",COUNTIF($S$6:$S$305,"&gt;"&amp;S246)+COUNTIF($S$6:S246,S246))</f>
        <v/>
      </c>
    </row>
    <row r="247">
      <c r="A247" s="60" t="n"/>
      <c r="B247" s="63" t="n"/>
      <c r="C247" s="60" t="n"/>
      <c r="D247" s="63" t="n"/>
      <c r="E247" s="63" t="n"/>
      <c r="F247" s="60" t="n"/>
      <c r="G247" s="143" t="n"/>
      <c r="H247" s="143" t="n"/>
      <c r="I247" s="63" t="n"/>
      <c r="J247" s="63" t="n"/>
      <c r="K247" s="63" t="n"/>
      <c r="L247" s="63" t="n"/>
      <c r="M247" s="144" t="n"/>
      <c r="N247" s="65" t="str">
        <f>IF(A247="","",SUMIF(fa_client,A247,fa_ht))</f>
        <v/>
      </c>
      <c r="O247" s="65" t="str">
        <f>IF(A247="","",SUMIF(fa_client,A247,fa_reste))</f>
        <v/>
      </c>
      <c r="P247" s="59" t="str">
        <f>IF(COUNTA(A247:M247)=0,"",IF(A247="","Code manquant",IF(COUNTIF(cli_code,A247)&gt;1,"Code en double",IF(B247="","Nom manquant",IF(AND(p_country="Maroc",C247&lt;&gt;"Particulier",OR(F247="",F247="Maroc"),G247=""),"ICE manquant (client professionnel)",IF(AND(G247&lt;&gt;"",NOT(AND(LEN(G247&amp;"")=15,SUBSTITUTE(SUBSTITUTE(SUBSTITUTE(SUBSTITUTE(SUBSTITUTE(SUBSTITUTE(SUBSTITUTE(SUBSTITUTE(SUBSTITUTE(SUBSTITUTE(G247&amp;"","0",""),"1",""),"2",""),"3",""),"4",""),"5",""),"6",""),"7",""),"8",""),"9","")=""))),"ICE : 15 chiffres attendus",IF(AND(H247&lt;&gt;"",NOT(AND(LEN(H247&amp;"")=9,SUBSTITUTE(SUBSTITUTE(SUBSTITUTE(SUBSTITUTE(SUBSTITUTE(SUBSTITUTE(SUBSTITUTE(SUBSTITUTE(SUBSTITUTE(SUBSTITUTE(H247&amp;"","0",""),"1",""),"2",""),"3",""),"4",""),"5",""),"6",""),"7",""),"8",""),"9","")=""))),"SIREN : 9 chiffres attendus",IF(AND(M247&lt;&gt;"",OR(NOT(ISNUMBER(M247)),N(M247)&lt;0)),"Délai de paiement invalide","OK"))))))))</f>
        <v/>
      </c>
      <c r="Q247" s="62" t="str">
        <f>IF(A247="","",ROUND(SUMIFS(fa_ht,fa_client,A247,fa_year,db_year)*100,0))</f>
        <v/>
      </c>
      <c r="R247" s="62" t="str">
        <f>IF(N(Q247)&lt;=0,"",COUNTIF($Q$6:$Q$305,"&gt;"&amp;Q247)+COUNTIF($Q$6:Q247,Q247))</f>
        <v/>
      </c>
      <c r="S247" s="62" t="str">
        <f>IF(A247="","",ROUND(SUMIFS(fa_reste,fa_client,A247,fa_reste,"&gt;0")*100,0))</f>
        <v/>
      </c>
      <c r="T247" s="62" t="str">
        <f>IF(N(S247)&lt;=0,"",COUNTIF($S$6:$S$305,"&gt;"&amp;S247)+COUNTIF($S$6:S247,S247))</f>
        <v/>
      </c>
    </row>
    <row r="248">
      <c r="A248" s="60" t="n"/>
      <c r="B248" s="63" t="n"/>
      <c r="C248" s="60" t="n"/>
      <c r="D248" s="63" t="n"/>
      <c r="E248" s="63" t="n"/>
      <c r="F248" s="60" t="n"/>
      <c r="G248" s="143" t="n"/>
      <c r="H248" s="143" t="n"/>
      <c r="I248" s="63" t="n"/>
      <c r="J248" s="63" t="n"/>
      <c r="K248" s="63" t="n"/>
      <c r="L248" s="63" t="n"/>
      <c r="M248" s="144" t="n"/>
      <c r="N248" s="65" t="str">
        <f>IF(A248="","",SUMIF(fa_client,A248,fa_ht))</f>
        <v/>
      </c>
      <c r="O248" s="65" t="str">
        <f>IF(A248="","",SUMIF(fa_client,A248,fa_reste))</f>
        <v/>
      </c>
      <c r="P248" s="59" t="str">
        <f>IF(COUNTA(A248:M248)=0,"",IF(A248="","Code manquant",IF(COUNTIF(cli_code,A248)&gt;1,"Code en double",IF(B248="","Nom manquant",IF(AND(p_country="Maroc",C248&lt;&gt;"Particulier",OR(F248="",F248="Maroc"),G248=""),"ICE manquant (client professionnel)",IF(AND(G248&lt;&gt;"",NOT(AND(LEN(G248&amp;"")=15,SUBSTITUTE(SUBSTITUTE(SUBSTITUTE(SUBSTITUTE(SUBSTITUTE(SUBSTITUTE(SUBSTITUTE(SUBSTITUTE(SUBSTITUTE(SUBSTITUTE(G248&amp;"","0",""),"1",""),"2",""),"3",""),"4",""),"5",""),"6",""),"7",""),"8",""),"9","")=""))),"ICE : 15 chiffres attendus",IF(AND(H248&lt;&gt;"",NOT(AND(LEN(H248&amp;"")=9,SUBSTITUTE(SUBSTITUTE(SUBSTITUTE(SUBSTITUTE(SUBSTITUTE(SUBSTITUTE(SUBSTITUTE(SUBSTITUTE(SUBSTITUTE(SUBSTITUTE(H248&amp;"","0",""),"1",""),"2",""),"3",""),"4",""),"5",""),"6",""),"7",""),"8",""),"9","")=""))),"SIREN : 9 chiffres attendus",IF(AND(M248&lt;&gt;"",OR(NOT(ISNUMBER(M248)),N(M248)&lt;0)),"Délai de paiement invalide","OK"))))))))</f>
        <v/>
      </c>
      <c r="Q248" s="62" t="str">
        <f>IF(A248="","",ROUND(SUMIFS(fa_ht,fa_client,A248,fa_year,db_year)*100,0))</f>
        <v/>
      </c>
      <c r="R248" s="62" t="str">
        <f>IF(N(Q248)&lt;=0,"",COUNTIF($Q$6:$Q$305,"&gt;"&amp;Q248)+COUNTIF($Q$6:Q248,Q248))</f>
        <v/>
      </c>
      <c r="S248" s="62" t="str">
        <f>IF(A248="","",ROUND(SUMIFS(fa_reste,fa_client,A248,fa_reste,"&gt;0")*100,0))</f>
        <v/>
      </c>
      <c r="T248" s="62" t="str">
        <f>IF(N(S248)&lt;=0,"",COUNTIF($S$6:$S$305,"&gt;"&amp;S248)+COUNTIF($S$6:S248,S248))</f>
        <v/>
      </c>
    </row>
    <row r="249">
      <c r="A249" s="60" t="n"/>
      <c r="B249" s="63" t="n"/>
      <c r="C249" s="60" t="n"/>
      <c r="D249" s="63" t="n"/>
      <c r="E249" s="63" t="n"/>
      <c r="F249" s="60" t="n"/>
      <c r="G249" s="143" t="n"/>
      <c r="H249" s="143" t="n"/>
      <c r="I249" s="63" t="n"/>
      <c r="J249" s="63" t="n"/>
      <c r="K249" s="63" t="n"/>
      <c r="L249" s="63" t="n"/>
      <c r="M249" s="144" t="n"/>
      <c r="N249" s="65" t="str">
        <f>IF(A249="","",SUMIF(fa_client,A249,fa_ht))</f>
        <v/>
      </c>
      <c r="O249" s="65" t="str">
        <f>IF(A249="","",SUMIF(fa_client,A249,fa_reste))</f>
        <v/>
      </c>
      <c r="P249" s="59" t="str">
        <f>IF(COUNTA(A249:M249)=0,"",IF(A249="","Code manquant",IF(COUNTIF(cli_code,A249)&gt;1,"Code en double",IF(B249="","Nom manquant",IF(AND(p_country="Maroc",C249&lt;&gt;"Particulier",OR(F249="",F249="Maroc"),G249=""),"ICE manquant (client professionnel)",IF(AND(G249&lt;&gt;"",NOT(AND(LEN(G249&amp;"")=15,SUBSTITUTE(SUBSTITUTE(SUBSTITUTE(SUBSTITUTE(SUBSTITUTE(SUBSTITUTE(SUBSTITUTE(SUBSTITUTE(SUBSTITUTE(SUBSTITUTE(G249&amp;"","0",""),"1",""),"2",""),"3",""),"4",""),"5",""),"6",""),"7",""),"8",""),"9","")=""))),"ICE : 15 chiffres attendus",IF(AND(H249&lt;&gt;"",NOT(AND(LEN(H249&amp;"")=9,SUBSTITUTE(SUBSTITUTE(SUBSTITUTE(SUBSTITUTE(SUBSTITUTE(SUBSTITUTE(SUBSTITUTE(SUBSTITUTE(SUBSTITUTE(SUBSTITUTE(H249&amp;"","0",""),"1",""),"2",""),"3",""),"4",""),"5",""),"6",""),"7",""),"8",""),"9","")=""))),"SIREN : 9 chiffres attendus",IF(AND(M249&lt;&gt;"",OR(NOT(ISNUMBER(M249)),N(M249)&lt;0)),"Délai de paiement invalide","OK"))))))))</f>
        <v/>
      </c>
      <c r="Q249" s="62" t="str">
        <f>IF(A249="","",ROUND(SUMIFS(fa_ht,fa_client,A249,fa_year,db_year)*100,0))</f>
        <v/>
      </c>
      <c r="R249" s="62" t="str">
        <f>IF(N(Q249)&lt;=0,"",COUNTIF($Q$6:$Q$305,"&gt;"&amp;Q249)+COUNTIF($Q$6:Q249,Q249))</f>
        <v/>
      </c>
      <c r="S249" s="62" t="str">
        <f>IF(A249="","",ROUND(SUMIFS(fa_reste,fa_client,A249,fa_reste,"&gt;0")*100,0))</f>
        <v/>
      </c>
      <c r="T249" s="62" t="str">
        <f>IF(N(S249)&lt;=0,"",COUNTIF($S$6:$S$305,"&gt;"&amp;S249)+COUNTIF($S$6:S249,S249))</f>
        <v/>
      </c>
    </row>
    <row r="250">
      <c r="A250" s="60" t="n"/>
      <c r="B250" s="63" t="n"/>
      <c r="C250" s="60" t="n"/>
      <c r="D250" s="63" t="n"/>
      <c r="E250" s="63" t="n"/>
      <c r="F250" s="60" t="n"/>
      <c r="G250" s="143" t="n"/>
      <c r="H250" s="143" t="n"/>
      <c r="I250" s="63" t="n"/>
      <c r="J250" s="63" t="n"/>
      <c r="K250" s="63" t="n"/>
      <c r="L250" s="63" t="n"/>
      <c r="M250" s="144" t="n"/>
      <c r="N250" s="65" t="str">
        <f>IF(A250="","",SUMIF(fa_client,A250,fa_ht))</f>
        <v/>
      </c>
      <c r="O250" s="65" t="str">
        <f>IF(A250="","",SUMIF(fa_client,A250,fa_reste))</f>
        <v/>
      </c>
      <c r="P250" s="59" t="str">
        <f>IF(COUNTA(A250:M250)=0,"",IF(A250="","Code manquant",IF(COUNTIF(cli_code,A250)&gt;1,"Code en double",IF(B250="","Nom manquant",IF(AND(p_country="Maroc",C250&lt;&gt;"Particulier",OR(F250="",F250="Maroc"),G250=""),"ICE manquant (client professionnel)",IF(AND(G250&lt;&gt;"",NOT(AND(LEN(G250&amp;"")=15,SUBSTITUTE(SUBSTITUTE(SUBSTITUTE(SUBSTITUTE(SUBSTITUTE(SUBSTITUTE(SUBSTITUTE(SUBSTITUTE(SUBSTITUTE(SUBSTITUTE(G250&amp;"","0",""),"1",""),"2",""),"3",""),"4",""),"5",""),"6",""),"7",""),"8",""),"9","")=""))),"ICE : 15 chiffres attendus",IF(AND(H250&lt;&gt;"",NOT(AND(LEN(H250&amp;"")=9,SUBSTITUTE(SUBSTITUTE(SUBSTITUTE(SUBSTITUTE(SUBSTITUTE(SUBSTITUTE(SUBSTITUTE(SUBSTITUTE(SUBSTITUTE(SUBSTITUTE(H250&amp;"","0",""),"1",""),"2",""),"3",""),"4",""),"5",""),"6",""),"7",""),"8",""),"9","")=""))),"SIREN : 9 chiffres attendus",IF(AND(M250&lt;&gt;"",OR(NOT(ISNUMBER(M250)),N(M250)&lt;0)),"Délai de paiement invalide","OK"))))))))</f>
        <v/>
      </c>
      <c r="Q250" s="62" t="str">
        <f>IF(A250="","",ROUND(SUMIFS(fa_ht,fa_client,A250,fa_year,db_year)*100,0))</f>
        <v/>
      </c>
      <c r="R250" s="62" t="str">
        <f>IF(N(Q250)&lt;=0,"",COUNTIF($Q$6:$Q$305,"&gt;"&amp;Q250)+COUNTIF($Q$6:Q250,Q250))</f>
        <v/>
      </c>
      <c r="S250" s="62" t="str">
        <f>IF(A250="","",ROUND(SUMIFS(fa_reste,fa_client,A250,fa_reste,"&gt;0")*100,0))</f>
        <v/>
      </c>
      <c r="T250" s="62" t="str">
        <f>IF(N(S250)&lt;=0,"",COUNTIF($S$6:$S$305,"&gt;"&amp;S250)+COUNTIF($S$6:S250,S250))</f>
        <v/>
      </c>
    </row>
    <row r="251">
      <c r="A251" s="60" t="n"/>
      <c r="B251" s="63" t="n"/>
      <c r="C251" s="60" t="n"/>
      <c r="D251" s="63" t="n"/>
      <c r="E251" s="63" t="n"/>
      <c r="F251" s="60" t="n"/>
      <c r="G251" s="143" t="n"/>
      <c r="H251" s="143" t="n"/>
      <c r="I251" s="63" t="n"/>
      <c r="J251" s="63" t="n"/>
      <c r="K251" s="63" t="n"/>
      <c r="L251" s="63" t="n"/>
      <c r="M251" s="144" t="n"/>
      <c r="N251" s="65" t="str">
        <f>IF(A251="","",SUMIF(fa_client,A251,fa_ht))</f>
        <v/>
      </c>
      <c r="O251" s="65" t="str">
        <f>IF(A251="","",SUMIF(fa_client,A251,fa_reste))</f>
        <v/>
      </c>
      <c r="P251" s="59" t="str">
        <f>IF(COUNTA(A251:M251)=0,"",IF(A251="","Code manquant",IF(COUNTIF(cli_code,A251)&gt;1,"Code en double",IF(B251="","Nom manquant",IF(AND(p_country="Maroc",C251&lt;&gt;"Particulier",OR(F251="",F251="Maroc"),G251=""),"ICE manquant (client professionnel)",IF(AND(G251&lt;&gt;"",NOT(AND(LEN(G251&amp;"")=15,SUBSTITUTE(SUBSTITUTE(SUBSTITUTE(SUBSTITUTE(SUBSTITUTE(SUBSTITUTE(SUBSTITUTE(SUBSTITUTE(SUBSTITUTE(SUBSTITUTE(G251&amp;"","0",""),"1",""),"2",""),"3",""),"4",""),"5",""),"6",""),"7",""),"8",""),"9","")=""))),"ICE : 15 chiffres attendus",IF(AND(H251&lt;&gt;"",NOT(AND(LEN(H251&amp;"")=9,SUBSTITUTE(SUBSTITUTE(SUBSTITUTE(SUBSTITUTE(SUBSTITUTE(SUBSTITUTE(SUBSTITUTE(SUBSTITUTE(SUBSTITUTE(SUBSTITUTE(H251&amp;"","0",""),"1",""),"2",""),"3",""),"4",""),"5",""),"6",""),"7",""),"8",""),"9","")=""))),"SIREN : 9 chiffres attendus",IF(AND(M251&lt;&gt;"",OR(NOT(ISNUMBER(M251)),N(M251)&lt;0)),"Délai de paiement invalide","OK"))))))))</f>
        <v/>
      </c>
      <c r="Q251" s="62" t="str">
        <f>IF(A251="","",ROUND(SUMIFS(fa_ht,fa_client,A251,fa_year,db_year)*100,0))</f>
        <v/>
      </c>
      <c r="R251" s="62" t="str">
        <f>IF(N(Q251)&lt;=0,"",COUNTIF($Q$6:$Q$305,"&gt;"&amp;Q251)+COUNTIF($Q$6:Q251,Q251))</f>
        <v/>
      </c>
      <c r="S251" s="62" t="str">
        <f>IF(A251="","",ROUND(SUMIFS(fa_reste,fa_client,A251,fa_reste,"&gt;0")*100,0))</f>
        <v/>
      </c>
      <c r="T251" s="62" t="str">
        <f>IF(N(S251)&lt;=0,"",COUNTIF($S$6:$S$305,"&gt;"&amp;S251)+COUNTIF($S$6:S251,S251))</f>
        <v/>
      </c>
    </row>
    <row r="252">
      <c r="A252" s="60" t="n"/>
      <c r="B252" s="63" t="n"/>
      <c r="C252" s="60" t="n"/>
      <c r="D252" s="63" t="n"/>
      <c r="E252" s="63" t="n"/>
      <c r="F252" s="60" t="n"/>
      <c r="G252" s="143" t="n"/>
      <c r="H252" s="143" t="n"/>
      <c r="I252" s="63" t="n"/>
      <c r="J252" s="63" t="n"/>
      <c r="K252" s="63" t="n"/>
      <c r="L252" s="63" t="n"/>
      <c r="M252" s="144" t="n"/>
      <c r="N252" s="65" t="str">
        <f>IF(A252="","",SUMIF(fa_client,A252,fa_ht))</f>
        <v/>
      </c>
      <c r="O252" s="65" t="str">
        <f>IF(A252="","",SUMIF(fa_client,A252,fa_reste))</f>
        <v/>
      </c>
      <c r="P252" s="59" t="str">
        <f>IF(COUNTA(A252:M252)=0,"",IF(A252="","Code manquant",IF(COUNTIF(cli_code,A252)&gt;1,"Code en double",IF(B252="","Nom manquant",IF(AND(p_country="Maroc",C252&lt;&gt;"Particulier",OR(F252="",F252="Maroc"),G252=""),"ICE manquant (client professionnel)",IF(AND(G252&lt;&gt;"",NOT(AND(LEN(G252&amp;"")=15,SUBSTITUTE(SUBSTITUTE(SUBSTITUTE(SUBSTITUTE(SUBSTITUTE(SUBSTITUTE(SUBSTITUTE(SUBSTITUTE(SUBSTITUTE(SUBSTITUTE(G252&amp;"","0",""),"1",""),"2",""),"3",""),"4",""),"5",""),"6",""),"7",""),"8",""),"9","")=""))),"ICE : 15 chiffres attendus",IF(AND(H252&lt;&gt;"",NOT(AND(LEN(H252&amp;"")=9,SUBSTITUTE(SUBSTITUTE(SUBSTITUTE(SUBSTITUTE(SUBSTITUTE(SUBSTITUTE(SUBSTITUTE(SUBSTITUTE(SUBSTITUTE(SUBSTITUTE(H252&amp;"","0",""),"1",""),"2",""),"3",""),"4",""),"5",""),"6",""),"7",""),"8",""),"9","")=""))),"SIREN : 9 chiffres attendus",IF(AND(M252&lt;&gt;"",OR(NOT(ISNUMBER(M252)),N(M252)&lt;0)),"Délai de paiement invalide","OK"))))))))</f>
        <v/>
      </c>
      <c r="Q252" s="62" t="str">
        <f>IF(A252="","",ROUND(SUMIFS(fa_ht,fa_client,A252,fa_year,db_year)*100,0))</f>
        <v/>
      </c>
      <c r="R252" s="62" t="str">
        <f>IF(N(Q252)&lt;=0,"",COUNTIF($Q$6:$Q$305,"&gt;"&amp;Q252)+COUNTIF($Q$6:Q252,Q252))</f>
        <v/>
      </c>
      <c r="S252" s="62" t="str">
        <f>IF(A252="","",ROUND(SUMIFS(fa_reste,fa_client,A252,fa_reste,"&gt;0")*100,0))</f>
        <v/>
      </c>
      <c r="T252" s="62" t="str">
        <f>IF(N(S252)&lt;=0,"",COUNTIF($S$6:$S$305,"&gt;"&amp;S252)+COUNTIF($S$6:S252,S252))</f>
        <v/>
      </c>
    </row>
    <row r="253">
      <c r="A253" s="60" t="n"/>
      <c r="B253" s="63" t="n"/>
      <c r="C253" s="60" t="n"/>
      <c r="D253" s="63" t="n"/>
      <c r="E253" s="63" t="n"/>
      <c r="F253" s="60" t="n"/>
      <c r="G253" s="143" t="n"/>
      <c r="H253" s="143" t="n"/>
      <c r="I253" s="63" t="n"/>
      <c r="J253" s="63" t="n"/>
      <c r="K253" s="63" t="n"/>
      <c r="L253" s="63" t="n"/>
      <c r="M253" s="144" t="n"/>
      <c r="N253" s="65" t="str">
        <f>IF(A253="","",SUMIF(fa_client,A253,fa_ht))</f>
        <v/>
      </c>
      <c r="O253" s="65" t="str">
        <f>IF(A253="","",SUMIF(fa_client,A253,fa_reste))</f>
        <v/>
      </c>
      <c r="P253" s="59" t="str">
        <f>IF(COUNTA(A253:M253)=0,"",IF(A253="","Code manquant",IF(COUNTIF(cli_code,A253)&gt;1,"Code en double",IF(B253="","Nom manquant",IF(AND(p_country="Maroc",C253&lt;&gt;"Particulier",OR(F253="",F253="Maroc"),G253=""),"ICE manquant (client professionnel)",IF(AND(G253&lt;&gt;"",NOT(AND(LEN(G253&amp;"")=15,SUBSTITUTE(SUBSTITUTE(SUBSTITUTE(SUBSTITUTE(SUBSTITUTE(SUBSTITUTE(SUBSTITUTE(SUBSTITUTE(SUBSTITUTE(SUBSTITUTE(G253&amp;"","0",""),"1",""),"2",""),"3",""),"4",""),"5",""),"6",""),"7",""),"8",""),"9","")=""))),"ICE : 15 chiffres attendus",IF(AND(H253&lt;&gt;"",NOT(AND(LEN(H253&amp;"")=9,SUBSTITUTE(SUBSTITUTE(SUBSTITUTE(SUBSTITUTE(SUBSTITUTE(SUBSTITUTE(SUBSTITUTE(SUBSTITUTE(SUBSTITUTE(SUBSTITUTE(H253&amp;"","0",""),"1",""),"2",""),"3",""),"4",""),"5",""),"6",""),"7",""),"8",""),"9","")=""))),"SIREN : 9 chiffres attendus",IF(AND(M253&lt;&gt;"",OR(NOT(ISNUMBER(M253)),N(M253)&lt;0)),"Délai de paiement invalide","OK"))))))))</f>
        <v/>
      </c>
      <c r="Q253" s="62" t="str">
        <f>IF(A253="","",ROUND(SUMIFS(fa_ht,fa_client,A253,fa_year,db_year)*100,0))</f>
        <v/>
      </c>
      <c r="R253" s="62" t="str">
        <f>IF(N(Q253)&lt;=0,"",COUNTIF($Q$6:$Q$305,"&gt;"&amp;Q253)+COUNTIF($Q$6:Q253,Q253))</f>
        <v/>
      </c>
      <c r="S253" s="62" t="str">
        <f>IF(A253="","",ROUND(SUMIFS(fa_reste,fa_client,A253,fa_reste,"&gt;0")*100,0))</f>
        <v/>
      </c>
      <c r="T253" s="62" t="str">
        <f>IF(N(S253)&lt;=0,"",COUNTIF($S$6:$S$305,"&gt;"&amp;S253)+COUNTIF($S$6:S253,S253))</f>
        <v/>
      </c>
    </row>
    <row r="254">
      <c r="A254" s="60" t="n"/>
      <c r="B254" s="63" t="n"/>
      <c r="C254" s="60" t="n"/>
      <c r="D254" s="63" t="n"/>
      <c r="E254" s="63" t="n"/>
      <c r="F254" s="60" t="n"/>
      <c r="G254" s="143" t="n"/>
      <c r="H254" s="143" t="n"/>
      <c r="I254" s="63" t="n"/>
      <c r="J254" s="63" t="n"/>
      <c r="K254" s="63" t="n"/>
      <c r="L254" s="63" t="n"/>
      <c r="M254" s="144" t="n"/>
      <c r="N254" s="65" t="str">
        <f>IF(A254="","",SUMIF(fa_client,A254,fa_ht))</f>
        <v/>
      </c>
      <c r="O254" s="65" t="str">
        <f>IF(A254="","",SUMIF(fa_client,A254,fa_reste))</f>
        <v/>
      </c>
      <c r="P254" s="59" t="str">
        <f>IF(COUNTA(A254:M254)=0,"",IF(A254="","Code manquant",IF(COUNTIF(cli_code,A254)&gt;1,"Code en double",IF(B254="","Nom manquant",IF(AND(p_country="Maroc",C254&lt;&gt;"Particulier",OR(F254="",F254="Maroc"),G254=""),"ICE manquant (client professionnel)",IF(AND(G254&lt;&gt;"",NOT(AND(LEN(G254&amp;"")=15,SUBSTITUTE(SUBSTITUTE(SUBSTITUTE(SUBSTITUTE(SUBSTITUTE(SUBSTITUTE(SUBSTITUTE(SUBSTITUTE(SUBSTITUTE(SUBSTITUTE(G254&amp;"","0",""),"1",""),"2",""),"3",""),"4",""),"5",""),"6",""),"7",""),"8",""),"9","")=""))),"ICE : 15 chiffres attendus",IF(AND(H254&lt;&gt;"",NOT(AND(LEN(H254&amp;"")=9,SUBSTITUTE(SUBSTITUTE(SUBSTITUTE(SUBSTITUTE(SUBSTITUTE(SUBSTITUTE(SUBSTITUTE(SUBSTITUTE(SUBSTITUTE(SUBSTITUTE(H254&amp;"","0",""),"1",""),"2",""),"3",""),"4",""),"5",""),"6",""),"7",""),"8",""),"9","")=""))),"SIREN : 9 chiffres attendus",IF(AND(M254&lt;&gt;"",OR(NOT(ISNUMBER(M254)),N(M254)&lt;0)),"Délai de paiement invalide","OK"))))))))</f>
        <v/>
      </c>
      <c r="Q254" s="62" t="str">
        <f>IF(A254="","",ROUND(SUMIFS(fa_ht,fa_client,A254,fa_year,db_year)*100,0))</f>
        <v/>
      </c>
      <c r="R254" s="62" t="str">
        <f>IF(N(Q254)&lt;=0,"",COUNTIF($Q$6:$Q$305,"&gt;"&amp;Q254)+COUNTIF($Q$6:Q254,Q254))</f>
        <v/>
      </c>
      <c r="S254" s="62" t="str">
        <f>IF(A254="","",ROUND(SUMIFS(fa_reste,fa_client,A254,fa_reste,"&gt;0")*100,0))</f>
        <v/>
      </c>
      <c r="T254" s="62" t="str">
        <f>IF(N(S254)&lt;=0,"",COUNTIF($S$6:$S$305,"&gt;"&amp;S254)+COUNTIF($S$6:S254,S254))</f>
        <v/>
      </c>
    </row>
    <row r="255">
      <c r="A255" s="60" t="n"/>
      <c r="B255" s="63" t="n"/>
      <c r="C255" s="60" t="n"/>
      <c r="D255" s="63" t="n"/>
      <c r="E255" s="63" t="n"/>
      <c r="F255" s="60" t="n"/>
      <c r="G255" s="143" t="n"/>
      <c r="H255" s="143" t="n"/>
      <c r="I255" s="63" t="n"/>
      <c r="J255" s="63" t="n"/>
      <c r="K255" s="63" t="n"/>
      <c r="L255" s="63" t="n"/>
      <c r="M255" s="144" t="n"/>
      <c r="N255" s="65" t="str">
        <f>IF(A255="","",SUMIF(fa_client,A255,fa_ht))</f>
        <v/>
      </c>
      <c r="O255" s="65" t="str">
        <f>IF(A255="","",SUMIF(fa_client,A255,fa_reste))</f>
        <v/>
      </c>
      <c r="P255" s="59" t="str">
        <f>IF(COUNTA(A255:M255)=0,"",IF(A255="","Code manquant",IF(COUNTIF(cli_code,A255)&gt;1,"Code en double",IF(B255="","Nom manquant",IF(AND(p_country="Maroc",C255&lt;&gt;"Particulier",OR(F255="",F255="Maroc"),G255=""),"ICE manquant (client professionnel)",IF(AND(G255&lt;&gt;"",NOT(AND(LEN(G255&amp;"")=15,SUBSTITUTE(SUBSTITUTE(SUBSTITUTE(SUBSTITUTE(SUBSTITUTE(SUBSTITUTE(SUBSTITUTE(SUBSTITUTE(SUBSTITUTE(SUBSTITUTE(G255&amp;"","0",""),"1",""),"2",""),"3",""),"4",""),"5",""),"6",""),"7",""),"8",""),"9","")=""))),"ICE : 15 chiffres attendus",IF(AND(H255&lt;&gt;"",NOT(AND(LEN(H255&amp;"")=9,SUBSTITUTE(SUBSTITUTE(SUBSTITUTE(SUBSTITUTE(SUBSTITUTE(SUBSTITUTE(SUBSTITUTE(SUBSTITUTE(SUBSTITUTE(SUBSTITUTE(H255&amp;"","0",""),"1",""),"2",""),"3",""),"4",""),"5",""),"6",""),"7",""),"8",""),"9","")=""))),"SIREN : 9 chiffres attendus",IF(AND(M255&lt;&gt;"",OR(NOT(ISNUMBER(M255)),N(M255)&lt;0)),"Délai de paiement invalide","OK"))))))))</f>
        <v/>
      </c>
      <c r="Q255" s="62" t="str">
        <f>IF(A255="","",ROUND(SUMIFS(fa_ht,fa_client,A255,fa_year,db_year)*100,0))</f>
        <v/>
      </c>
      <c r="R255" s="62" t="str">
        <f>IF(N(Q255)&lt;=0,"",COUNTIF($Q$6:$Q$305,"&gt;"&amp;Q255)+COUNTIF($Q$6:Q255,Q255))</f>
        <v/>
      </c>
      <c r="S255" s="62" t="str">
        <f>IF(A255="","",ROUND(SUMIFS(fa_reste,fa_client,A255,fa_reste,"&gt;0")*100,0))</f>
        <v/>
      </c>
      <c r="T255" s="62" t="str">
        <f>IF(N(S255)&lt;=0,"",COUNTIF($S$6:$S$305,"&gt;"&amp;S255)+COUNTIF($S$6:S255,S255))</f>
        <v/>
      </c>
    </row>
    <row r="256">
      <c r="A256" s="60" t="n"/>
      <c r="B256" s="63" t="n"/>
      <c r="C256" s="60" t="n"/>
      <c r="D256" s="63" t="n"/>
      <c r="E256" s="63" t="n"/>
      <c r="F256" s="60" t="n"/>
      <c r="G256" s="143" t="n"/>
      <c r="H256" s="143" t="n"/>
      <c r="I256" s="63" t="n"/>
      <c r="J256" s="63" t="n"/>
      <c r="K256" s="63" t="n"/>
      <c r="L256" s="63" t="n"/>
      <c r="M256" s="144" t="n"/>
      <c r="N256" s="65" t="str">
        <f>IF(A256="","",SUMIF(fa_client,A256,fa_ht))</f>
        <v/>
      </c>
      <c r="O256" s="65" t="str">
        <f>IF(A256="","",SUMIF(fa_client,A256,fa_reste))</f>
        <v/>
      </c>
      <c r="P256" s="59" t="str">
        <f>IF(COUNTA(A256:M256)=0,"",IF(A256="","Code manquant",IF(COUNTIF(cli_code,A256)&gt;1,"Code en double",IF(B256="","Nom manquant",IF(AND(p_country="Maroc",C256&lt;&gt;"Particulier",OR(F256="",F256="Maroc"),G256=""),"ICE manquant (client professionnel)",IF(AND(G256&lt;&gt;"",NOT(AND(LEN(G256&amp;"")=15,SUBSTITUTE(SUBSTITUTE(SUBSTITUTE(SUBSTITUTE(SUBSTITUTE(SUBSTITUTE(SUBSTITUTE(SUBSTITUTE(SUBSTITUTE(SUBSTITUTE(G256&amp;"","0",""),"1",""),"2",""),"3",""),"4",""),"5",""),"6",""),"7",""),"8",""),"9","")=""))),"ICE : 15 chiffres attendus",IF(AND(H256&lt;&gt;"",NOT(AND(LEN(H256&amp;"")=9,SUBSTITUTE(SUBSTITUTE(SUBSTITUTE(SUBSTITUTE(SUBSTITUTE(SUBSTITUTE(SUBSTITUTE(SUBSTITUTE(SUBSTITUTE(SUBSTITUTE(H256&amp;"","0",""),"1",""),"2",""),"3",""),"4",""),"5",""),"6",""),"7",""),"8",""),"9","")=""))),"SIREN : 9 chiffres attendus",IF(AND(M256&lt;&gt;"",OR(NOT(ISNUMBER(M256)),N(M256)&lt;0)),"Délai de paiement invalide","OK"))))))))</f>
        <v/>
      </c>
      <c r="Q256" s="62" t="str">
        <f>IF(A256="","",ROUND(SUMIFS(fa_ht,fa_client,A256,fa_year,db_year)*100,0))</f>
        <v/>
      </c>
      <c r="R256" s="62" t="str">
        <f>IF(N(Q256)&lt;=0,"",COUNTIF($Q$6:$Q$305,"&gt;"&amp;Q256)+COUNTIF($Q$6:Q256,Q256))</f>
        <v/>
      </c>
      <c r="S256" s="62" t="str">
        <f>IF(A256="","",ROUND(SUMIFS(fa_reste,fa_client,A256,fa_reste,"&gt;0")*100,0))</f>
        <v/>
      </c>
      <c r="T256" s="62" t="str">
        <f>IF(N(S256)&lt;=0,"",COUNTIF($S$6:$S$305,"&gt;"&amp;S256)+COUNTIF($S$6:S256,S256))</f>
        <v/>
      </c>
    </row>
    <row r="257">
      <c r="A257" s="60" t="n"/>
      <c r="B257" s="63" t="n"/>
      <c r="C257" s="60" t="n"/>
      <c r="D257" s="63" t="n"/>
      <c r="E257" s="63" t="n"/>
      <c r="F257" s="60" t="n"/>
      <c r="G257" s="143" t="n"/>
      <c r="H257" s="143" t="n"/>
      <c r="I257" s="63" t="n"/>
      <c r="J257" s="63" t="n"/>
      <c r="K257" s="63" t="n"/>
      <c r="L257" s="63" t="n"/>
      <c r="M257" s="144" t="n"/>
      <c r="N257" s="65" t="str">
        <f>IF(A257="","",SUMIF(fa_client,A257,fa_ht))</f>
        <v/>
      </c>
      <c r="O257" s="65" t="str">
        <f>IF(A257="","",SUMIF(fa_client,A257,fa_reste))</f>
        <v/>
      </c>
      <c r="P257" s="59" t="str">
        <f>IF(COUNTA(A257:M257)=0,"",IF(A257="","Code manquant",IF(COUNTIF(cli_code,A257)&gt;1,"Code en double",IF(B257="","Nom manquant",IF(AND(p_country="Maroc",C257&lt;&gt;"Particulier",OR(F257="",F257="Maroc"),G257=""),"ICE manquant (client professionnel)",IF(AND(G257&lt;&gt;"",NOT(AND(LEN(G257&amp;"")=15,SUBSTITUTE(SUBSTITUTE(SUBSTITUTE(SUBSTITUTE(SUBSTITUTE(SUBSTITUTE(SUBSTITUTE(SUBSTITUTE(SUBSTITUTE(SUBSTITUTE(G257&amp;"","0",""),"1",""),"2",""),"3",""),"4",""),"5",""),"6",""),"7",""),"8",""),"9","")=""))),"ICE : 15 chiffres attendus",IF(AND(H257&lt;&gt;"",NOT(AND(LEN(H257&amp;"")=9,SUBSTITUTE(SUBSTITUTE(SUBSTITUTE(SUBSTITUTE(SUBSTITUTE(SUBSTITUTE(SUBSTITUTE(SUBSTITUTE(SUBSTITUTE(SUBSTITUTE(H257&amp;"","0",""),"1",""),"2",""),"3",""),"4",""),"5",""),"6",""),"7",""),"8",""),"9","")=""))),"SIREN : 9 chiffres attendus",IF(AND(M257&lt;&gt;"",OR(NOT(ISNUMBER(M257)),N(M257)&lt;0)),"Délai de paiement invalide","OK"))))))))</f>
        <v/>
      </c>
      <c r="Q257" s="62" t="str">
        <f>IF(A257="","",ROUND(SUMIFS(fa_ht,fa_client,A257,fa_year,db_year)*100,0))</f>
        <v/>
      </c>
      <c r="R257" s="62" t="str">
        <f>IF(N(Q257)&lt;=0,"",COUNTIF($Q$6:$Q$305,"&gt;"&amp;Q257)+COUNTIF($Q$6:Q257,Q257))</f>
        <v/>
      </c>
      <c r="S257" s="62" t="str">
        <f>IF(A257="","",ROUND(SUMIFS(fa_reste,fa_client,A257,fa_reste,"&gt;0")*100,0))</f>
        <v/>
      </c>
      <c r="T257" s="62" t="str">
        <f>IF(N(S257)&lt;=0,"",COUNTIF($S$6:$S$305,"&gt;"&amp;S257)+COUNTIF($S$6:S257,S257))</f>
        <v/>
      </c>
    </row>
    <row r="258">
      <c r="A258" s="60" t="n"/>
      <c r="B258" s="63" t="n"/>
      <c r="C258" s="60" t="n"/>
      <c r="D258" s="63" t="n"/>
      <c r="E258" s="63" t="n"/>
      <c r="F258" s="60" t="n"/>
      <c r="G258" s="143" t="n"/>
      <c r="H258" s="143" t="n"/>
      <c r="I258" s="63" t="n"/>
      <c r="J258" s="63" t="n"/>
      <c r="K258" s="63" t="n"/>
      <c r="L258" s="63" t="n"/>
      <c r="M258" s="144" t="n"/>
      <c r="N258" s="65" t="str">
        <f>IF(A258="","",SUMIF(fa_client,A258,fa_ht))</f>
        <v/>
      </c>
      <c r="O258" s="65" t="str">
        <f>IF(A258="","",SUMIF(fa_client,A258,fa_reste))</f>
        <v/>
      </c>
      <c r="P258" s="59" t="str">
        <f>IF(COUNTA(A258:M258)=0,"",IF(A258="","Code manquant",IF(COUNTIF(cli_code,A258)&gt;1,"Code en double",IF(B258="","Nom manquant",IF(AND(p_country="Maroc",C258&lt;&gt;"Particulier",OR(F258="",F258="Maroc"),G258=""),"ICE manquant (client professionnel)",IF(AND(G258&lt;&gt;"",NOT(AND(LEN(G258&amp;"")=15,SUBSTITUTE(SUBSTITUTE(SUBSTITUTE(SUBSTITUTE(SUBSTITUTE(SUBSTITUTE(SUBSTITUTE(SUBSTITUTE(SUBSTITUTE(SUBSTITUTE(G258&amp;"","0",""),"1",""),"2",""),"3",""),"4",""),"5",""),"6",""),"7",""),"8",""),"9","")=""))),"ICE : 15 chiffres attendus",IF(AND(H258&lt;&gt;"",NOT(AND(LEN(H258&amp;"")=9,SUBSTITUTE(SUBSTITUTE(SUBSTITUTE(SUBSTITUTE(SUBSTITUTE(SUBSTITUTE(SUBSTITUTE(SUBSTITUTE(SUBSTITUTE(SUBSTITUTE(H258&amp;"","0",""),"1",""),"2",""),"3",""),"4",""),"5",""),"6",""),"7",""),"8",""),"9","")=""))),"SIREN : 9 chiffres attendus",IF(AND(M258&lt;&gt;"",OR(NOT(ISNUMBER(M258)),N(M258)&lt;0)),"Délai de paiement invalide","OK"))))))))</f>
        <v/>
      </c>
      <c r="Q258" s="62" t="str">
        <f>IF(A258="","",ROUND(SUMIFS(fa_ht,fa_client,A258,fa_year,db_year)*100,0))</f>
        <v/>
      </c>
      <c r="R258" s="62" t="str">
        <f>IF(N(Q258)&lt;=0,"",COUNTIF($Q$6:$Q$305,"&gt;"&amp;Q258)+COUNTIF($Q$6:Q258,Q258))</f>
        <v/>
      </c>
      <c r="S258" s="62" t="str">
        <f>IF(A258="","",ROUND(SUMIFS(fa_reste,fa_client,A258,fa_reste,"&gt;0")*100,0))</f>
        <v/>
      </c>
      <c r="T258" s="62" t="str">
        <f>IF(N(S258)&lt;=0,"",COUNTIF($S$6:$S$305,"&gt;"&amp;S258)+COUNTIF($S$6:S258,S258))</f>
        <v/>
      </c>
    </row>
    <row r="259">
      <c r="A259" s="60" t="n"/>
      <c r="B259" s="63" t="n"/>
      <c r="C259" s="60" t="n"/>
      <c r="D259" s="63" t="n"/>
      <c r="E259" s="63" t="n"/>
      <c r="F259" s="60" t="n"/>
      <c r="G259" s="143" t="n"/>
      <c r="H259" s="143" t="n"/>
      <c r="I259" s="63" t="n"/>
      <c r="J259" s="63" t="n"/>
      <c r="K259" s="63" t="n"/>
      <c r="L259" s="63" t="n"/>
      <c r="M259" s="144" t="n"/>
      <c r="N259" s="65" t="str">
        <f>IF(A259="","",SUMIF(fa_client,A259,fa_ht))</f>
        <v/>
      </c>
      <c r="O259" s="65" t="str">
        <f>IF(A259="","",SUMIF(fa_client,A259,fa_reste))</f>
        <v/>
      </c>
      <c r="P259" s="59" t="str">
        <f>IF(COUNTA(A259:M259)=0,"",IF(A259="","Code manquant",IF(COUNTIF(cli_code,A259)&gt;1,"Code en double",IF(B259="","Nom manquant",IF(AND(p_country="Maroc",C259&lt;&gt;"Particulier",OR(F259="",F259="Maroc"),G259=""),"ICE manquant (client professionnel)",IF(AND(G259&lt;&gt;"",NOT(AND(LEN(G259&amp;"")=15,SUBSTITUTE(SUBSTITUTE(SUBSTITUTE(SUBSTITUTE(SUBSTITUTE(SUBSTITUTE(SUBSTITUTE(SUBSTITUTE(SUBSTITUTE(SUBSTITUTE(G259&amp;"","0",""),"1",""),"2",""),"3",""),"4",""),"5",""),"6",""),"7",""),"8",""),"9","")=""))),"ICE : 15 chiffres attendus",IF(AND(H259&lt;&gt;"",NOT(AND(LEN(H259&amp;"")=9,SUBSTITUTE(SUBSTITUTE(SUBSTITUTE(SUBSTITUTE(SUBSTITUTE(SUBSTITUTE(SUBSTITUTE(SUBSTITUTE(SUBSTITUTE(SUBSTITUTE(H259&amp;"","0",""),"1",""),"2",""),"3",""),"4",""),"5",""),"6",""),"7",""),"8",""),"9","")=""))),"SIREN : 9 chiffres attendus",IF(AND(M259&lt;&gt;"",OR(NOT(ISNUMBER(M259)),N(M259)&lt;0)),"Délai de paiement invalide","OK"))))))))</f>
        <v/>
      </c>
      <c r="Q259" s="62" t="str">
        <f>IF(A259="","",ROUND(SUMIFS(fa_ht,fa_client,A259,fa_year,db_year)*100,0))</f>
        <v/>
      </c>
      <c r="R259" s="62" t="str">
        <f>IF(N(Q259)&lt;=0,"",COUNTIF($Q$6:$Q$305,"&gt;"&amp;Q259)+COUNTIF($Q$6:Q259,Q259))</f>
        <v/>
      </c>
      <c r="S259" s="62" t="str">
        <f>IF(A259="","",ROUND(SUMIFS(fa_reste,fa_client,A259,fa_reste,"&gt;0")*100,0))</f>
        <v/>
      </c>
      <c r="T259" s="62" t="str">
        <f>IF(N(S259)&lt;=0,"",COUNTIF($S$6:$S$305,"&gt;"&amp;S259)+COUNTIF($S$6:S259,S259))</f>
        <v/>
      </c>
    </row>
    <row r="260">
      <c r="A260" s="60" t="n"/>
      <c r="B260" s="63" t="n"/>
      <c r="C260" s="60" t="n"/>
      <c r="D260" s="63" t="n"/>
      <c r="E260" s="63" t="n"/>
      <c r="F260" s="60" t="n"/>
      <c r="G260" s="143" t="n"/>
      <c r="H260" s="143" t="n"/>
      <c r="I260" s="63" t="n"/>
      <c r="J260" s="63" t="n"/>
      <c r="K260" s="63" t="n"/>
      <c r="L260" s="63" t="n"/>
      <c r="M260" s="144" t="n"/>
      <c r="N260" s="65" t="str">
        <f>IF(A260="","",SUMIF(fa_client,A260,fa_ht))</f>
        <v/>
      </c>
      <c r="O260" s="65" t="str">
        <f>IF(A260="","",SUMIF(fa_client,A260,fa_reste))</f>
        <v/>
      </c>
      <c r="P260" s="59" t="str">
        <f>IF(COUNTA(A260:M260)=0,"",IF(A260="","Code manquant",IF(COUNTIF(cli_code,A260)&gt;1,"Code en double",IF(B260="","Nom manquant",IF(AND(p_country="Maroc",C260&lt;&gt;"Particulier",OR(F260="",F260="Maroc"),G260=""),"ICE manquant (client professionnel)",IF(AND(G260&lt;&gt;"",NOT(AND(LEN(G260&amp;"")=15,SUBSTITUTE(SUBSTITUTE(SUBSTITUTE(SUBSTITUTE(SUBSTITUTE(SUBSTITUTE(SUBSTITUTE(SUBSTITUTE(SUBSTITUTE(SUBSTITUTE(G260&amp;"","0",""),"1",""),"2",""),"3",""),"4",""),"5",""),"6",""),"7",""),"8",""),"9","")=""))),"ICE : 15 chiffres attendus",IF(AND(H260&lt;&gt;"",NOT(AND(LEN(H260&amp;"")=9,SUBSTITUTE(SUBSTITUTE(SUBSTITUTE(SUBSTITUTE(SUBSTITUTE(SUBSTITUTE(SUBSTITUTE(SUBSTITUTE(SUBSTITUTE(SUBSTITUTE(H260&amp;"","0",""),"1",""),"2",""),"3",""),"4",""),"5",""),"6",""),"7",""),"8",""),"9","")=""))),"SIREN : 9 chiffres attendus",IF(AND(M260&lt;&gt;"",OR(NOT(ISNUMBER(M260)),N(M260)&lt;0)),"Délai de paiement invalide","OK"))))))))</f>
        <v/>
      </c>
      <c r="Q260" s="62" t="str">
        <f>IF(A260="","",ROUND(SUMIFS(fa_ht,fa_client,A260,fa_year,db_year)*100,0))</f>
        <v/>
      </c>
      <c r="R260" s="62" t="str">
        <f>IF(N(Q260)&lt;=0,"",COUNTIF($Q$6:$Q$305,"&gt;"&amp;Q260)+COUNTIF($Q$6:Q260,Q260))</f>
        <v/>
      </c>
      <c r="S260" s="62" t="str">
        <f>IF(A260="","",ROUND(SUMIFS(fa_reste,fa_client,A260,fa_reste,"&gt;0")*100,0))</f>
        <v/>
      </c>
      <c r="T260" s="62" t="str">
        <f>IF(N(S260)&lt;=0,"",COUNTIF($S$6:$S$305,"&gt;"&amp;S260)+COUNTIF($S$6:S260,S260))</f>
        <v/>
      </c>
    </row>
    <row r="261">
      <c r="A261" s="60" t="n"/>
      <c r="B261" s="63" t="n"/>
      <c r="C261" s="60" t="n"/>
      <c r="D261" s="63" t="n"/>
      <c r="E261" s="63" t="n"/>
      <c r="F261" s="60" t="n"/>
      <c r="G261" s="143" t="n"/>
      <c r="H261" s="143" t="n"/>
      <c r="I261" s="63" t="n"/>
      <c r="J261" s="63" t="n"/>
      <c r="K261" s="63" t="n"/>
      <c r="L261" s="63" t="n"/>
      <c r="M261" s="144" t="n"/>
      <c r="N261" s="65" t="str">
        <f>IF(A261="","",SUMIF(fa_client,A261,fa_ht))</f>
        <v/>
      </c>
      <c r="O261" s="65" t="str">
        <f>IF(A261="","",SUMIF(fa_client,A261,fa_reste))</f>
        <v/>
      </c>
      <c r="P261" s="59" t="str">
        <f>IF(COUNTA(A261:M261)=0,"",IF(A261="","Code manquant",IF(COUNTIF(cli_code,A261)&gt;1,"Code en double",IF(B261="","Nom manquant",IF(AND(p_country="Maroc",C261&lt;&gt;"Particulier",OR(F261="",F261="Maroc"),G261=""),"ICE manquant (client professionnel)",IF(AND(G261&lt;&gt;"",NOT(AND(LEN(G261&amp;"")=15,SUBSTITUTE(SUBSTITUTE(SUBSTITUTE(SUBSTITUTE(SUBSTITUTE(SUBSTITUTE(SUBSTITUTE(SUBSTITUTE(SUBSTITUTE(SUBSTITUTE(G261&amp;"","0",""),"1",""),"2",""),"3",""),"4",""),"5",""),"6",""),"7",""),"8",""),"9","")=""))),"ICE : 15 chiffres attendus",IF(AND(H261&lt;&gt;"",NOT(AND(LEN(H261&amp;"")=9,SUBSTITUTE(SUBSTITUTE(SUBSTITUTE(SUBSTITUTE(SUBSTITUTE(SUBSTITUTE(SUBSTITUTE(SUBSTITUTE(SUBSTITUTE(SUBSTITUTE(H261&amp;"","0",""),"1",""),"2",""),"3",""),"4",""),"5",""),"6",""),"7",""),"8",""),"9","")=""))),"SIREN : 9 chiffres attendus",IF(AND(M261&lt;&gt;"",OR(NOT(ISNUMBER(M261)),N(M261)&lt;0)),"Délai de paiement invalide","OK"))))))))</f>
        <v/>
      </c>
      <c r="Q261" s="62" t="str">
        <f>IF(A261="","",ROUND(SUMIFS(fa_ht,fa_client,A261,fa_year,db_year)*100,0))</f>
        <v/>
      </c>
      <c r="R261" s="62" t="str">
        <f>IF(N(Q261)&lt;=0,"",COUNTIF($Q$6:$Q$305,"&gt;"&amp;Q261)+COUNTIF($Q$6:Q261,Q261))</f>
        <v/>
      </c>
      <c r="S261" s="62" t="str">
        <f>IF(A261="","",ROUND(SUMIFS(fa_reste,fa_client,A261,fa_reste,"&gt;0")*100,0))</f>
        <v/>
      </c>
      <c r="T261" s="62" t="str">
        <f>IF(N(S261)&lt;=0,"",COUNTIF($S$6:$S$305,"&gt;"&amp;S261)+COUNTIF($S$6:S261,S261))</f>
        <v/>
      </c>
    </row>
    <row r="262">
      <c r="A262" s="60" t="n"/>
      <c r="B262" s="63" t="n"/>
      <c r="C262" s="60" t="n"/>
      <c r="D262" s="63" t="n"/>
      <c r="E262" s="63" t="n"/>
      <c r="F262" s="60" t="n"/>
      <c r="G262" s="143" t="n"/>
      <c r="H262" s="143" t="n"/>
      <c r="I262" s="63" t="n"/>
      <c r="J262" s="63" t="n"/>
      <c r="K262" s="63" t="n"/>
      <c r="L262" s="63" t="n"/>
      <c r="M262" s="144" t="n"/>
      <c r="N262" s="65" t="str">
        <f>IF(A262="","",SUMIF(fa_client,A262,fa_ht))</f>
        <v/>
      </c>
      <c r="O262" s="65" t="str">
        <f>IF(A262="","",SUMIF(fa_client,A262,fa_reste))</f>
        <v/>
      </c>
      <c r="P262" s="59" t="str">
        <f>IF(COUNTA(A262:M262)=0,"",IF(A262="","Code manquant",IF(COUNTIF(cli_code,A262)&gt;1,"Code en double",IF(B262="","Nom manquant",IF(AND(p_country="Maroc",C262&lt;&gt;"Particulier",OR(F262="",F262="Maroc"),G262=""),"ICE manquant (client professionnel)",IF(AND(G262&lt;&gt;"",NOT(AND(LEN(G262&amp;"")=15,SUBSTITUTE(SUBSTITUTE(SUBSTITUTE(SUBSTITUTE(SUBSTITUTE(SUBSTITUTE(SUBSTITUTE(SUBSTITUTE(SUBSTITUTE(SUBSTITUTE(G262&amp;"","0",""),"1",""),"2",""),"3",""),"4",""),"5",""),"6",""),"7",""),"8",""),"9","")=""))),"ICE : 15 chiffres attendus",IF(AND(H262&lt;&gt;"",NOT(AND(LEN(H262&amp;"")=9,SUBSTITUTE(SUBSTITUTE(SUBSTITUTE(SUBSTITUTE(SUBSTITUTE(SUBSTITUTE(SUBSTITUTE(SUBSTITUTE(SUBSTITUTE(SUBSTITUTE(H262&amp;"","0",""),"1",""),"2",""),"3",""),"4",""),"5",""),"6",""),"7",""),"8",""),"9","")=""))),"SIREN : 9 chiffres attendus",IF(AND(M262&lt;&gt;"",OR(NOT(ISNUMBER(M262)),N(M262)&lt;0)),"Délai de paiement invalide","OK"))))))))</f>
        <v/>
      </c>
      <c r="Q262" s="62" t="str">
        <f>IF(A262="","",ROUND(SUMIFS(fa_ht,fa_client,A262,fa_year,db_year)*100,0))</f>
        <v/>
      </c>
      <c r="R262" s="62" t="str">
        <f>IF(N(Q262)&lt;=0,"",COUNTIF($Q$6:$Q$305,"&gt;"&amp;Q262)+COUNTIF($Q$6:Q262,Q262))</f>
        <v/>
      </c>
      <c r="S262" s="62" t="str">
        <f>IF(A262="","",ROUND(SUMIFS(fa_reste,fa_client,A262,fa_reste,"&gt;0")*100,0))</f>
        <v/>
      </c>
      <c r="T262" s="62" t="str">
        <f>IF(N(S262)&lt;=0,"",COUNTIF($S$6:$S$305,"&gt;"&amp;S262)+COUNTIF($S$6:S262,S262))</f>
        <v/>
      </c>
    </row>
    <row r="263">
      <c r="A263" s="60" t="n"/>
      <c r="B263" s="63" t="n"/>
      <c r="C263" s="60" t="n"/>
      <c r="D263" s="63" t="n"/>
      <c r="E263" s="63" t="n"/>
      <c r="F263" s="60" t="n"/>
      <c r="G263" s="143" t="n"/>
      <c r="H263" s="143" t="n"/>
      <c r="I263" s="63" t="n"/>
      <c r="J263" s="63" t="n"/>
      <c r="K263" s="63" t="n"/>
      <c r="L263" s="63" t="n"/>
      <c r="M263" s="144" t="n"/>
      <c r="N263" s="65" t="str">
        <f>IF(A263="","",SUMIF(fa_client,A263,fa_ht))</f>
        <v/>
      </c>
      <c r="O263" s="65" t="str">
        <f>IF(A263="","",SUMIF(fa_client,A263,fa_reste))</f>
        <v/>
      </c>
      <c r="P263" s="59" t="str">
        <f>IF(COUNTA(A263:M263)=0,"",IF(A263="","Code manquant",IF(COUNTIF(cli_code,A263)&gt;1,"Code en double",IF(B263="","Nom manquant",IF(AND(p_country="Maroc",C263&lt;&gt;"Particulier",OR(F263="",F263="Maroc"),G263=""),"ICE manquant (client professionnel)",IF(AND(G263&lt;&gt;"",NOT(AND(LEN(G263&amp;"")=15,SUBSTITUTE(SUBSTITUTE(SUBSTITUTE(SUBSTITUTE(SUBSTITUTE(SUBSTITUTE(SUBSTITUTE(SUBSTITUTE(SUBSTITUTE(SUBSTITUTE(G263&amp;"","0",""),"1",""),"2",""),"3",""),"4",""),"5",""),"6",""),"7",""),"8",""),"9","")=""))),"ICE : 15 chiffres attendus",IF(AND(H263&lt;&gt;"",NOT(AND(LEN(H263&amp;"")=9,SUBSTITUTE(SUBSTITUTE(SUBSTITUTE(SUBSTITUTE(SUBSTITUTE(SUBSTITUTE(SUBSTITUTE(SUBSTITUTE(SUBSTITUTE(SUBSTITUTE(H263&amp;"","0",""),"1",""),"2",""),"3",""),"4",""),"5",""),"6",""),"7",""),"8",""),"9","")=""))),"SIREN : 9 chiffres attendus",IF(AND(M263&lt;&gt;"",OR(NOT(ISNUMBER(M263)),N(M263)&lt;0)),"Délai de paiement invalide","OK"))))))))</f>
        <v/>
      </c>
      <c r="Q263" s="62" t="str">
        <f>IF(A263="","",ROUND(SUMIFS(fa_ht,fa_client,A263,fa_year,db_year)*100,0))</f>
        <v/>
      </c>
      <c r="R263" s="62" t="str">
        <f>IF(N(Q263)&lt;=0,"",COUNTIF($Q$6:$Q$305,"&gt;"&amp;Q263)+COUNTIF($Q$6:Q263,Q263))</f>
        <v/>
      </c>
      <c r="S263" s="62" t="str">
        <f>IF(A263="","",ROUND(SUMIFS(fa_reste,fa_client,A263,fa_reste,"&gt;0")*100,0))</f>
        <v/>
      </c>
      <c r="T263" s="62" t="str">
        <f>IF(N(S263)&lt;=0,"",COUNTIF($S$6:$S$305,"&gt;"&amp;S263)+COUNTIF($S$6:S263,S263))</f>
        <v/>
      </c>
    </row>
    <row r="264">
      <c r="A264" s="60" t="n"/>
      <c r="B264" s="63" t="n"/>
      <c r="C264" s="60" t="n"/>
      <c r="D264" s="63" t="n"/>
      <c r="E264" s="63" t="n"/>
      <c r="F264" s="60" t="n"/>
      <c r="G264" s="143" t="n"/>
      <c r="H264" s="143" t="n"/>
      <c r="I264" s="63" t="n"/>
      <c r="J264" s="63" t="n"/>
      <c r="K264" s="63" t="n"/>
      <c r="L264" s="63" t="n"/>
      <c r="M264" s="144" t="n"/>
      <c r="N264" s="65" t="str">
        <f>IF(A264="","",SUMIF(fa_client,A264,fa_ht))</f>
        <v/>
      </c>
      <c r="O264" s="65" t="str">
        <f>IF(A264="","",SUMIF(fa_client,A264,fa_reste))</f>
        <v/>
      </c>
      <c r="P264" s="59" t="str">
        <f>IF(COUNTA(A264:M264)=0,"",IF(A264="","Code manquant",IF(COUNTIF(cli_code,A264)&gt;1,"Code en double",IF(B264="","Nom manquant",IF(AND(p_country="Maroc",C264&lt;&gt;"Particulier",OR(F264="",F264="Maroc"),G264=""),"ICE manquant (client professionnel)",IF(AND(G264&lt;&gt;"",NOT(AND(LEN(G264&amp;"")=15,SUBSTITUTE(SUBSTITUTE(SUBSTITUTE(SUBSTITUTE(SUBSTITUTE(SUBSTITUTE(SUBSTITUTE(SUBSTITUTE(SUBSTITUTE(SUBSTITUTE(G264&amp;"","0",""),"1",""),"2",""),"3",""),"4",""),"5",""),"6",""),"7",""),"8",""),"9","")=""))),"ICE : 15 chiffres attendus",IF(AND(H264&lt;&gt;"",NOT(AND(LEN(H264&amp;"")=9,SUBSTITUTE(SUBSTITUTE(SUBSTITUTE(SUBSTITUTE(SUBSTITUTE(SUBSTITUTE(SUBSTITUTE(SUBSTITUTE(SUBSTITUTE(SUBSTITUTE(H264&amp;"","0",""),"1",""),"2",""),"3",""),"4",""),"5",""),"6",""),"7",""),"8",""),"9","")=""))),"SIREN : 9 chiffres attendus",IF(AND(M264&lt;&gt;"",OR(NOT(ISNUMBER(M264)),N(M264)&lt;0)),"Délai de paiement invalide","OK"))))))))</f>
        <v/>
      </c>
      <c r="Q264" s="62" t="str">
        <f>IF(A264="","",ROUND(SUMIFS(fa_ht,fa_client,A264,fa_year,db_year)*100,0))</f>
        <v/>
      </c>
      <c r="R264" s="62" t="str">
        <f>IF(N(Q264)&lt;=0,"",COUNTIF($Q$6:$Q$305,"&gt;"&amp;Q264)+COUNTIF($Q$6:Q264,Q264))</f>
        <v/>
      </c>
      <c r="S264" s="62" t="str">
        <f>IF(A264="","",ROUND(SUMIFS(fa_reste,fa_client,A264,fa_reste,"&gt;0")*100,0))</f>
        <v/>
      </c>
      <c r="T264" s="62" t="str">
        <f>IF(N(S264)&lt;=0,"",COUNTIF($S$6:$S$305,"&gt;"&amp;S264)+COUNTIF($S$6:S264,S264))</f>
        <v/>
      </c>
    </row>
    <row r="265">
      <c r="A265" s="60" t="n"/>
      <c r="B265" s="63" t="n"/>
      <c r="C265" s="60" t="n"/>
      <c r="D265" s="63" t="n"/>
      <c r="E265" s="63" t="n"/>
      <c r="F265" s="60" t="n"/>
      <c r="G265" s="143" t="n"/>
      <c r="H265" s="143" t="n"/>
      <c r="I265" s="63" t="n"/>
      <c r="J265" s="63" t="n"/>
      <c r="K265" s="63" t="n"/>
      <c r="L265" s="63" t="n"/>
      <c r="M265" s="144" t="n"/>
      <c r="N265" s="65" t="str">
        <f>IF(A265="","",SUMIF(fa_client,A265,fa_ht))</f>
        <v/>
      </c>
      <c r="O265" s="65" t="str">
        <f>IF(A265="","",SUMIF(fa_client,A265,fa_reste))</f>
        <v/>
      </c>
      <c r="P265" s="59" t="str">
        <f>IF(COUNTA(A265:M265)=0,"",IF(A265="","Code manquant",IF(COUNTIF(cli_code,A265)&gt;1,"Code en double",IF(B265="","Nom manquant",IF(AND(p_country="Maroc",C265&lt;&gt;"Particulier",OR(F265="",F265="Maroc"),G265=""),"ICE manquant (client professionnel)",IF(AND(G265&lt;&gt;"",NOT(AND(LEN(G265&amp;"")=15,SUBSTITUTE(SUBSTITUTE(SUBSTITUTE(SUBSTITUTE(SUBSTITUTE(SUBSTITUTE(SUBSTITUTE(SUBSTITUTE(SUBSTITUTE(SUBSTITUTE(G265&amp;"","0",""),"1",""),"2",""),"3",""),"4",""),"5",""),"6",""),"7",""),"8",""),"9","")=""))),"ICE : 15 chiffres attendus",IF(AND(H265&lt;&gt;"",NOT(AND(LEN(H265&amp;"")=9,SUBSTITUTE(SUBSTITUTE(SUBSTITUTE(SUBSTITUTE(SUBSTITUTE(SUBSTITUTE(SUBSTITUTE(SUBSTITUTE(SUBSTITUTE(SUBSTITUTE(H265&amp;"","0",""),"1",""),"2",""),"3",""),"4",""),"5",""),"6",""),"7",""),"8",""),"9","")=""))),"SIREN : 9 chiffres attendus",IF(AND(M265&lt;&gt;"",OR(NOT(ISNUMBER(M265)),N(M265)&lt;0)),"Délai de paiement invalide","OK"))))))))</f>
        <v/>
      </c>
      <c r="Q265" s="62" t="str">
        <f>IF(A265="","",ROUND(SUMIFS(fa_ht,fa_client,A265,fa_year,db_year)*100,0))</f>
        <v/>
      </c>
      <c r="R265" s="62" t="str">
        <f>IF(N(Q265)&lt;=0,"",COUNTIF($Q$6:$Q$305,"&gt;"&amp;Q265)+COUNTIF($Q$6:Q265,Q265))</f>
        <v/>
      </c>
      <c r="S265" s="62" t="str">
        <f>IF(A265="","",ROUND(SUMIFS(fa_reste,fa_client,A265,fa_reste,"&gt;0")*100,0))</f>
        <v/>
      </c>
      <c r="T265" s="62" t="str">
        <f>IF(N(S265)&lt;=0,"",COUNTIF($S$6:$S$305,"&gt;"&amp;S265)+COUNTIF($S$6:S265,S265))</f>
        <v/>
      </c>
    </row>
    <row r="266">
      <c r="A266" s="60" t="n"/>
      <c r="B266" s="63" t="n"/>
      <c r="C266" s="60" t="n"/>
      <c r="D266" s="63" t="n"/>
      <c r="E266" s="63" t="n"/>
      <c r="F266" s="60" t="n"/>
      <c r="G266" s="143" t="n"/>
      <c r="H266" s="143" t="n"/>
      <c r="I266" s="63" t="n"/>
      <c r="J266" s="63" t="n"/>
      <c r="K266" s="63" t="n"/>
      <c r="L266" s="63" t="n"/>
      <c r="M266" s="144" t="n"/>
      <c r="N266" s="65" t="str">
        <f>IF(A266="","",SUMIF(fa_client,A266,fa_ht))</f>
        <v/>
      </c>
      <c r="O266" s="65" t="str">
        <f>IF(A266="","",SUMIF(fa_client,A266,fa_reste))</f>
        <v/>
      </c>
      <c r="P266" s="59" t="str">
        <f>IF(COUNTA(A266:M266)=0,"",IF(A266="","Code manquant",IF(COUNTIF(cli_code,A266)&gt;1,"Code en double",IF(B266="","Nom manquant",IF(AND(p_country="Maroc",C266&lt;&gt;"Particulier",OR(F266="",F266="Maroc"),G266=""),"ICE manquant (client professionnel)",IF(AND(G266&lt;&gt;"",NOT(AND(LEN(G266&amp;"")=15,SUBSTITUTE(SUBSTITUTE(SUBSTITUTE(SUBSTITUTE(SUBSTITUTE(SUBSTITUTE(SUBSTITUTE(SUBSTITUTE(SUBSTITUTE(SUBSTITUTE(G266&amp;"","0",""),"1",""),"2",""),"3",""),"4",""),"5",""),"6",""),"7",""),"8",""),"9","")=""))),"ICE : 15 chiffres attendus",IF(AND(H266&lt;&gt;"",NOT(AND(LEN(H266&amp;"")=9,SUBSTITUTE(SUBSTITUTE(SUBSTITUTE(SUBSTITUTE(SUBSTITUTE(SUBSTITUTE(SUBSTITUTE(SUBSTITUTE(SUBSTITUTE(SUBSTITUTE(H266&amp;"","0",""),"1",""),"2",""),"3",""),"4",""),"5",""),"6",""),"7",""),"8",""),"9","")=""))),"SIREN : 9 chiffres attendus",IF(AND(M266&lt;&gt;"",OR(NOT(ISNUMBER(M266)),N(M266)&lt;0)),"Délai de paiement invalide","OK"))))))))</f>
        <v/>
      </c>
      <c r="Q266" s="62" t="str">
        <f>IF(A266="","",ROUND(SUMIFS(fa_ht,fa_client,A266,fa_year,db_year)*100,0))</f>
        <v/>
      </c>
      <c r="R266" s="62" t="str">
        <f>IF(N(Q266)&lt;=0,"",COUNTIF($Q$6:$Q$305,"&gt;"&amp;Q266)+COUNTIF($Q$6:Q266,Q266))</f>
        <v/>
      </c>
      <c r="S266" s="62" t="str">
        <f>IF(A266="","",ROUND(SUMIFS(fa_reste,fa_client,A266,fa_reste,"&gt;0")*100,0))</f>
        <v/>
      </c>
      <c r="T266" s="62" t="str">
        <f>IF(N(S266)&lt;=0,"",COUNTIF($S$6:$S$305,"&gt;"&amp;S266)+COUNTIF($S$6:S266,S266))</f>
        <v/>
      </c>
    </row>
    <row r="267">
      <c r="A267" s="60" t="n"/>
      <c r="B267" s="63" t="n"/>
      <c r="C267" s="60" t="n"/>
      <c r="D267" s="63" t="n"/>
      <c r="E267" s="63" t="n"/>
      <c r="F267" s="60" t="n"/>
      <c r="G267" s="143" t="n"/>
      <c r="H267" s="143" t="n"/>
      <c r="I267" s="63" t="n"/>
      <c r="J267" s="63" t="n"/>
      <c r="K267" s="63" t="n"/>
      <c r="L267" s="63" t="n"/>
      <c r="M267" s="144" t="n"/>
      <c r="N267" s="65" t="str">
        <f>IF(A267="","",SUMIF(fa_client,A267,fa_ht))</f>
        <v/>
      </c>
      <c r="O267" s="65" t="str">
        <f>IF(A267="","",SUMIF(fa_client,A267,fa_reste))</f>
        <v/>
      </c>
      <c r="P267" s="59" t="str">
        <f>IF(COUNTA(A267:M267)=0,"",IF(A267="","Code manquant",IF(COUNTIF(cli_code,A267)&gt;1,"Code en double",IF(B267="","Nom manquant",IF(AND(p_country="Maroc",C267&lt;&gt;"Particulier",OR(F267="",F267="Maroc"),G267=""),"ICE manquant (client professionnel)",IF(AND(G267&lt;&gt;"",NOT(AND(LEN(G267&amp;"")=15,SUBSTITUTE(SUBSTITUTE(SUBSTITUTE(SUBSTITUTE(SUBSTITUTE(SUBSTITUTE(SUBSTITUTE(SUBSTITUTE(SUBSTITUTE(SUBSTITUTE(G267&amp;"","0",""),"1",""),"2",""),"3",""),"4",""),"5",""),"6",""),"7",""),"8",""),"9","")=""))),"ICE : 15 chiffres attendus",IF(AND(H267&lt;&gt;"",NOT(AND(LEN(H267&amp;"")=9,SUBSTITUTE(SUBSTITUTE(SUBSTITUTE(SUBSTITUTE(SUBSTITUTE(SUBSTITUTE(SUBSTITUTE(SUBSTITUTE(SUBSTITUTE(SUBSTITUTE(H267&amp;"","0",""),"1",""),"2",""),"3",""),"4",""),"5",""),"6",""),"7",""),"8",""),"9","")=""))),"SIREN : 9 chiffres attendus",IF(AND(M267&lt;&gt;"",OR(NOT(ISNUMBER(M267)),N(M267)&lt;0)),"Délai de paiement invalide","OK"))))))))</f>
        <v/>
      </c>
      <c r="Q267" s="62" t="str">
        <f>IF(A267="","",ROUND(SUMIFS(fa_ht,fa_client,A267,fa_year,db_year)*100,0))</f>
        <v/>
      </c>
      <c r="R267" s="62" t="str">
        <f>IF(N(Q267)&lt;=0,"",COUNTIF($Q$6:$Q$305,"&gt;"&amp;Q267)+COUNTIF($Q$6:Q267,Q267))</f>
        <v/>
      </c>
      <c r="S267" s="62" t="str">
        <f>IF(A267="","",ROUND(SUMIFS(fa_reste,fa_client,A267,fa_reste,"&gt;0")*100,0))</f>
        <v/>
      </c>
      <c r="T267" s="62" t="str">
        <f>IF(N(S267)&lt;=0,"",COUNTIF($S$6:$S$305,"&gt;"&amp;S267)+COUNTIF($S$6:S267,S267))</f>
        <v/>
      </c>
    </row>
    <row r="268">
      <c r="A268" s="60" t="n"/>
      <c r="B268" s="63" t="n"/>
      <c r="C268" s="60" t="n"/>
      <c r="D268" s="63" t="n"/>
      <c r="E268" s="63" t="n"/>
      <c r="F268" s="60" t="n"/>
      <c r="G268" s="143" t="n"/>
      <c r="H268" s="143" t="n"/>
      <c r="I268" s="63" t="n"/>
      <c r="J268" s="63" t="n"/>
      <c r="K268" s="63" t="n"/>
      <c r="L268" s="63" t="n"/>
      <c r="M268" s="144" t="n"/>
      <c r="N268" s="65" t="str">
        <f>IF(A268="","",SUMIF(fa_client,A268,fa_ht))</f>
        <v/>
      </c>
      <c r="O268" s="65" t="str">
        <f>IF(A268="","",SUMIF(fa_client,A268,fa_reste))</f>
        <v/>
      </c>
      <c r="P268" s="59" t="str">
        <f>IF(COUNTA(A268:M268)=0,"",IF(A268="","Code manquant",IF(COUNTIF(cli_code,A268)&gt;1,"Code en double",IF(B268="","Nom manquant",IF(AND(p_country="Maroc",C268&lt;&gt;"Particulier",OR(F268="",F268="Maroc"),G268=""),"ICE manquant (client professionnel)",IF(AND(G268&lt;&gt;"",NOT(AND(LEN(G268&amp;"")=15,SUBSTITUTE(SUBSTITUTE(SUBSTITUTE(SUBSTITUTE(SUBSTITUTE(SUBSTITUTE(SUBSTITUTE(SUBSTITUTE(SUBSTITUTE(SUBSTITUTE(G268&amp;"","0",""),"1",""),"2",""),"3",""),"4",""),"5",""),"6",""),"7",""),"8",""),"9","")=""))),"ICE : 15 chiffres attendus",IF(AND(H268&lt;&gt;"",NOT(AND(LEN(H268&amp;"")=9,SUBSTITUTE(SUBSTITUTE(SUBSTITUTE(SUBSTITUTE(SUBSTITUTE(SUBSTITUTE(SUBSTITUTE(SUBSTITUTE(SUBSTITUTE(SUBSTITUTE(H268&amp;"","0",""),"1",""),"2",""),"3",""),"4",""),"5",""),"6",""),"7",""),"8",""),"9","")=""))),"SIREN : 9 chiffres attendus",IF(AND(M268&lt;&gt;"",OR(NOT(ISNUMBER(M268)),N(M268)&lt;0)),"Délai de paiement invalide","OK"))))))))</f>
        <v/>
      </c>
      <c r="Q268" s="62" t="str">
        <f>IF(A268="","",ROUND(SUMIFS(fa_ht,fa_client,A268,fa_year,db_year)*100,0))</f>
        <v/>
      </c>
      <c r="R268" s="62" t="str">
        <f>IF(N(Q268)&lt;=0,"",COUNTIF($Q$6:$Q$305,"&gt;"&amp;Q268)+COUNTIF($Q$6:Q268,Q268))</f>
        <v/>
      </c>
      <c r="S268" s="62" t="str">
        <f>IF(A268="","",ROUND(SUMIFS(fa_reste,fa_client,A268,fa_reste,"&gt;0")*100,0))</f>
        <v/>
      </c>
      <c r="T268" s="62" t="str">
        <f>IF(N(S268)&lt;=0,"",COUNTIF($S$6:$S$305,"&gt;"&amp;S268)+COUNTIF($S$6:S268,S268))</f>
        <v/>
      </c>
    </row>
    <row r="269">
      <c r="A269" s="60" t="n"/>
      <c r="B269" s="63" t="n"/>
      <c r="C269" s="60" t="n"/>
      <c r="D269" s="63" t="n"/>
      <c r="E269" s="63" t="n"/>
      <c r="F269" s="60" t="n"/>
      <c r="G269" s="143" t="n"/>
      <c r="H269" s="143" t="n"/>
      <c r="I269" s="63" t="n"/>
      <c r="J269" s="63" t="n"/>
      <c r="K269" s="63" t="n"/>
      <c r="L269" s="63" t="n"/>
      <c r="M269" s="144" t="n"/>
      <c r="N269" s="65" t="str">
        <f>IF(A269="","",SUMIF(fa_client,A269,fa_ht))</f>
        <v/>
      </c>
      <c r="O269" s="65" t="str">
        <f>IF(A269="","",SUMIF(fa_client,A269,fa_reste))</f>
        <v/>
      </c>
      <c r="P269" s="59" t="str">
        <f>IF(COUNTA(A269:M269)=0,"",IF(A269="","Code manquant",IF(COUNTIF(cli_code,A269)&gt;1,"Code en double",IF(B269="","Nom manquant",IF(AND(p_country="Maroc",C269&lt;&gt;"Particulier",OR(F269="",F269="Maroc"),G269=""),"ICE manquant (client professionnel)",IF(AND(G269&lt;&gt;"",NOT(AND(LEN(G269&amp;"")=15,SUBSTITUTE(SUBSTITUTE(SUBSTITUTE(SUBSTITUTE(SUBSTITUTE(SUBSTITUTE(SUBSTITUTE(SUBSTITUTE(SUBSTITUTE(SUBSTITUTE(G269&amp;"","0",""),"1",""),"2",""),"3",""),"4",""),"5",""),"6",""),"7",""),"8",""),"9","")=""))),"ICE : 15 chiffres attendus",IF(AND(H269&lt;&gt;"",NOT(AND(LEN(H269&amp;"")=9,SUBSTITUTE(SUBSTITUTE(SUBSTITUTE(SUBSTITUTE(SUBSTITUTE(SUBSTITUTE(SUBSTITUTE(SUBSTITUTE(SUBSTITUTE(SUBSTITUTE(H269&amp;"","0",""),"1",""),"2",""),"3",""),"4",""),"5",""),"6",""),"7",""),"8",""),"9","")=""))),"SIREN : 9 chiffres attendus",IF(AND(M269&lt;&gt;"",OR(NOT(ISNUMBER(M269)),N(M269)&lt;0)),"Délai de paiement invalide","OK"))))))))</f>
        <v/>
      </c>
      <c r="Q269" s="62" t="str">
        <f>IF(A269="","",ROUND(SUMIFS(fa_ht,fa_client,A269,fa_year,db_year)*100,0))</f>
        <v/>
      </c>
      <c r="R269" s="62" t="str">
        <f>IF(N(Q269)&lt;=0,"",COUNTIF($Q$6:$Q$305,"&gt;"&amp;Q269)+COUNTIF($Q$6:Q269,Q269))</f>
        <v/>
      </c>
      <c r="S269" s="62" t="str">
        <f>IF(A269="","",ROUND(SUMIFS(fa_reste,fa_client,A269,fa_reste,"&gt;0")*100,0))</f>
        <v/>
      </c>
      <c r="T269" s="62" t="str">
        <f>IF(N(S269)&lt;=0,"",COUNTIF($S$6:$S$305,"&gt;"&amp;S269)+COUNTIF($S$6:S269,S269))</f>
        <v/>
      </c>
    </row>
    <row r="270">
      <c r="A270" s="60" t="n"/>
      <c r="B270" s="63" t="n"/>
      <c r="C270" s="60" t="n"/>
      <c r="D270" s="63" t="n"/>
      <c r="E270" s="63" t="n"/>
      <c r="F270" s="60" t="n"/>
      <c r="G270" s="143" t="n"/>
      <c r="H270" s="143" t="n"/>
      <c r="I270" s="63" t="n"/>
      <c r="J270" s="63" t="n"/>
      <c r="K270" s="63" t="n"/>
      <c r="L270" s="63" t="n"/>
      <c r="M270" s="144" t="n"/>
      <c r="N270" s="65" t="str">
        <f>IF(A270="","",SUMIF(fa_client,A270,fa_ht))</f>
        <v/>
      </c>
      <c r="O270" s="65" t="str">
        <f>IF(A270="","",SUMIF(fa_client,A270,fa_reste))</f>
        <v/>
      </c>
      <c r="P270" s="59" t="str">
        <f>IF(COUNTA(A270:M270)=0,"",IF(A270="","Code manquant",IF(COUNTIF(cli_code,A270)&gt;1,"Code en double",IF(B270="","Nom manquant",IF(AND(p_country="Maroc",C270&lt;&gt;"Particulier",OR(F270="",F270="Maroc"),G270=""),"ICE manquant (client professionnel)",IF(AND(G270&lt;&gt;"",NOT(AND(LEN(G270&amp;"")=15,SUBSTITUTE(SUBSTITUTE(SUBSTITUTE(SUBSTITUTE(SUBSTITUTE(SUBSTITUTE(SUBSTITUTE(SUBSTITUTE(SUBSTITUTE(SUBSTITUTE(G270&amp;"","0",""),"1",""),"2",""),"3",""),"4",""),"5",""),"6",""),"7",""),"8",""),"9","")=""))),"ICE : 15 chiffres attendus",IF(AND(H270&lt;&gt;"",NOT(AND(LEN(H270&amp;"")=9,SUBSTITUTE(SUBSTITUTE(SUBSTITUTE(SUBSTITUTE(SUBSTITUTE(SUBSTITUTE(SUBSTITUTE(SUBSTITUTE(SUBSTITUTE(SUBSTITUTE(H270&amp;"","0",""),"1",""),"2",""),"3",""),"4",""),"5",""),"6",""),"7",""),"8",""),"9","")=""))),"SIREN : 9 chiffres attendus",IF(AND(M270&lt;&gt;"",OR(NOT(ISNUMBER(M270)),N(M270)&lt;0)),"Délai de paiement invalide","OK"))))))))</f>
        <v/>
      </c>
      <c r="Q270" s="62" t="str">
        <f>IF(A270="","",ROUND(SUMIFS(fa_ht,fa_client,A270,fa_year,db_year)*100,0))</f>
        <v/>
      </c>
      <c r="R270" s="62" t="str">
        <f>IF(N(Q270)&lt;=0,"",COUNTIF($Q$6:$Q$305,"&gt;"&amp;Q270)+COUNTIF($Q$6:Q270,Q270))</f>
        <v/>
      </c>
      <c r="S270" s="62" t="str">
        <f>IF(A270="","",ROUND(SUMIFS(fa_reste,fa_client,A270,fa_reste,"&gt;0")*100,0))</f>
        <v/>
      </c>
      <c r="T270" s="62" t="str">
        <f>IF(N(S270)&lt;=0,"",COUNTIF($S$6:$S$305,"&gt;"&amp;S270)+COUNTIF($S$6:S270,S270))</f>
        <v/>
      </c>
    </row>
    <row r="271">
      <c r="A271" s="60" t="n"/>
      <c r="B271" s="63" t="n"/>
      <c r="C271" s="60" t="n"/>
      <c r="D271" s="63" t="n"/>
      <c r="E271" s="63" t="n"/>
      <c r="F271" s="60" t="n"/>
      <c r="G271" s="143" t="n"/>
      <c r="H271" s="143" t="n"/>
      <c r="I271" s="63" t="n"/>
      <c r="J271" s="63" t="n"/>
      <c r="K271" s="63" t="n"/>
      <c r="L271" s="63" t="n"/>
      <c r="M271" s="144" t="n"/>
      <c r="N271" s="65" t="str">
        <f>IF(A271="","",SUMIF(fa_client,A271,fa_ht))</f>
        <v/>
      </c>
      <c r="O271" s="65" t="str">
        <f>IF(A271="","",SUMIF(fa_client,A271,fa_reste))</f>
        <v/>
      </c>
      <c r="P271" s="59" t="str">
        <f>IF(COUNTA(A271:M271)=0,"",IF(A271="","Code manquant",IF(COUNTIF(cli_code,A271)&gt;1,"Code en double",IF(B271="","Nom manquant",IF(AND(p_country="Maroc",C271&lt;&gt;"Particulier",OR(F271="",F271="Maroc"),G271=""),"ICE manquant (client professionnel)",IF(AND(G271&lt;&gt;"",NOT(AND(LEN(G271&amp;"")=15,SUBSTITUTE(SUBSTITUTE(SUBSTITUTE(SUBSTITUTE(SUBSTITUTE(SUBSTITUTE(SUBSTITUTE(SUBSTITUTE(SUBSTITUTE(SUBSTITUTE(G271&amp;"","0",""),"1",""),"2",""),"3",""),"4",""),"5",""),"6",""),"7",""),"8",""),"9","")=""))),"ICE : 15 chiffres attendus",IF(AND(H271&lt;&gt;"",NOT(AND(LEN(H271&amp;"")=9,SUBSTITUTE(SUBSTITUTE(SUBSTITUTE(SUBSTITUTE(SUBSTITUTE(SUBSTITUTE(SUBSTITUTE(SUBSTITUTE(SUBSTITUTE(SUBSTITUTE(H271&amp;"","0",""),"1",""),"2",""),"3",""),"4",""),"5",""),"6",""),"7",""),"8",""),"9","")=""))),"SIREN : 9 chiffres attendus",IF(AND(M271&lt;&gt;"",OR(NOT(ISNUMBER(M271)),N(M271)&lt;0)),"Délai de paiement invalide","OK"))))))))</f>
        <v/>
      </c>
      <c r="Q271" s="62" t="str">
        <f>IF(A271="","",ROUND(SUMIFS(fa_ht,fa_client,A271,fa_year,db_year)*100,0))</f>
        <v/>
      </c>
      <c r="R271" s="62" t="str">
        <f>IF(N(Q271)&lt;=0,"",COUNTIF($Q$6:$Q$305,"&gt;"&amp;Q271)+COUNTIF($Q$6:Q271,Q271))</f>
        <v/>
      </c>
      <c r="S271" s="62" t="str">
        <f>IF(A271="","",ROUND(SUMIFS(fa_reste,fa_client,A271,fa_reste,"&gt;0")*100,0))</f>
        <v/>
      </c>
      <c r="T271" s="62" t="str">
        <f>IF(N(S271)&lt;=0,"",COUNTIF($S$6:$S$305,"&gt;"&amp;S271)+COUNTIF($S$6:S271,S271))</f>
        <v/>
      </c>
    </row>
    <row r="272">
      <c r="A272" s="60" t="n"/>
      <c r="B272" s="63" t="n"/>
      <c r="C272" s="60" t="n"/>
      <c r="D272" s="63" t="n"/>
      <c r="E272" s="63" t="n"/>
      <c r="F272" s="60" t="n"/>
      <c r="G272" s="143" t="n"/>
      <c r="H272" s="143" t="n"/>
      <c r="I272" s="63" t="n"/>
      <c r="J272" s="63" t="n"/>
      <c r="K272" s="63" t="n"/>
      <c r="L272" s="63" t="n"/>
      <c r="M272" s="144" t="n"/>
      <c r="N272" s="65" t="str">
        <f>IF(A272="","",SUMIF(fa_client,A272,fa_ht))</f>
        <v/>
      </c>
      <c r="O272" s="65" t="str">
        <f>IF(A272="","",SUMIF(fa_client,A272,fa_reste))</f>
        <v/>
      </c>
      <c r="P272" s="59" t="str">
        <f>IF(COUNTA(A272:M272)=0,"",IF(A272="","Code manquant",IF(COUNTIF(cli_code,A272)&gt;1,"Code en double",IF(B272="","Nom manquant",IF(AND(p_country="Maroc",C272&lt;&gt;"Particulier",OR(F272="",F272="Maroc"),G272=""),"ICE manquant (client professionnel)",IF(AND(G272&lt;&gt;"",NOT(AND(LEN(G272&amp;"")=15,SUBSTITUTE(SUBSTITUTE(SUBSTITUTE(SUBSTITUTE(SUBSTITUTE(SUBSTITUTE(SUBSTITUTE(SUBSTITUTE(SUBSTITUTE(SUBSTITUTE(G272&amp;"","0",""),"1",""),"2",""),"3",""),"4",""),"5",""),"6",""),"7",""),"8",""),"9","")=""))),"ICE : 15 chiffres attendus",IF(AND(H272&lt;&gt;"",NOT(AND(LEN(H272&amp;"")=9,SUBSTITUTE(SUBSTITUTE(SUBSTITUTE(SUBSTITUTE(SUBSTITUTE(SUBSTITUTE(SUBSTITUTE(SUBSTITUTE(SUBSTITUTE(SUBSTITUTE(H272&amp;"","0",""),"1",""),"2",""),"3",""),"4",""),"5",""),"6",""),"7",""),"8",""),"9","")=""))),"SIREN : 9 chiffres attendus",IF(AND(M272&lt;&gt;"",OR(NOT(ISNUMBER(M272)),N(M272)&lt;0)),"Délai de paiement invalide","OK"))))))))</f>
        <v/>
      </c>
      <c r="Q272" s="62" t="str">
        <f>IF(A272="","",ROUND(SUMIFS(fa_ht,fa_client,A272,fa_year,db_year)*100,0))</f>
        <v/>
      </c>
      <c r="R272" s="62" t="str">
        <f>IF(N(Q272)&lt;=0,"",COUNTIF($Q$6:$Q$305,"&gt;"&amp;Q272)+COUNTIF($Q$6:Q272,Q272))</f>
        <v/>
      </c>
      <c r="S272" s="62" t="str">
        <f>IF(A272="","",ROUND(SUMIFS(fa_reste,fa_client,A272,fa_reste,"&gt;0")*100,0))</f>
        <v/>
      </c>
      <c r="T272" s="62" t="str">
        <f>IF(N(S272)&lt;=0,"",COUNTIF($S$6:$S$305,"&gt;"&amp;S272)+COUNTIF($S$6:S272,S272))</f>
        <v/>
      </c>
    </row>
    <row r="273">
      <c r="A273" s="60" t="n"/>
      <c r="B273" s="63" t="n"/>
      <c r="C273" s="60" t="n"/>
      <c r="D273" s="63" t="n"/>
      <c r="E273" s="63" t="n"/>
      <c r="F273" s="60" t="n"/>
      <c r="G273" s="143" t="n"/>
      <c r="H273" s="143" t="n"/>
      <c r="I273" s="63" t="n"/>
      <c r="J273" s="63" t="n"/>
      <c r="K273" s="63" t="n"/>
      <c r="L273" s="63" t="n"/>
      <c r="M273" s="144" t="n"/>
      <c r="N273" s="65" t="str">
        <f>IF(A273="","",SUMIF(fa_client,A273,fa_ht))</f>
        <v/>
      </c>
      <c r="O273" s="65" t="str">
        <f>IF(A273="","",SUMIF(fa_client,A273,fa_reste))</f>
        <v/>
      </c>
      <c r="P273" s="59" t="str">
        <f>IF(COUNTA(A273:M273)=0,"",IF(A273="","Code manquant",IF(COUNTIF(cli_code,A273)&gt;1,"Code en double",IF(B273="","Nom manquant",IF(AND(p_country="Maroc",C273&lt;&gt;"Particulier",OR(F273="",F273="Maroc"),G273=""),"ICE manquant (client professionnel)",IF(AND(G273&lt;&gt;"",NOT(AND(LEN(G273&amp;"")=15,SUBSTITUTE(SUBSTITUTE(SUBSTITUTE(SUBSTITUTE(SUBSTITUTE(SUBSTITUTE(SUBSTITUTE(SUBSTITUTE(SUBSTITUTE(SUBSTITUTE(G273&amp;"","0",""),"1",""),"2",""),"3",""),"4",""),"5",""),"6",""),"7",""),"8",""),"9","")=""))),"ICE : 15 chiffres attendus",IF(AND(H273&lt;&gt;"",NOT(AND(LEN(H273&amp;"")=9,SUBSTITUTE(SUBSTITUTE(SUBSTITUTE(SUBSTITUTE(SUBSTITUTE(SUBSTITUTE(SUBSTITUTE(SUBSTITUTE(SUBSTITUTE(SUBSTITUTE(H273&amp;"","0",""),"1",""),"2",""),"3",""),"4",""),"5",""),"6",""),"7",""),"8",""),"9","")=""))),"SIREN : 9 chiffres attendus",IF(AND(M273&lt;&gt;"",OR(NOT(ISNUMBER(M273)),N(M273)&lt;0)),"Délai de paiement invalide","OK"))))))))</f>
        <v/>
      </c>
      <c r="Q273" s="62" t="str">
        <f>IF(A273="","",ROUND(SUMIFS(fa_ht,fa_client,A273,fa_year,db_year)*100,0))</f>
        <v/>
      </c>
      <c r="R273" s="62" t="str">
        <f>IF(N(Q273)&lt;=0,"",COUNTIF($Q$6:$Q$305,"&gt;"&amp;Q273)+COUNTIF($Q$6:Q273,Q273))</f>
        <v/>
      </c>
      <c r="S273" s="62" t="str">
        <f>IF(A273="","",ROUND(SUMIFS(fa_reste,fa_client,A273,fa_reste,"&gt;0")*100,0))</f>
        <v/>
      </c>
      <c r="T273" s="62" t="str">
        <f>IF(N(S273)&lt;=0,"",COUNTIF($S$6:$S$305,"&gt;"&amp;S273)+COUNTIF($S$6:S273,S273))</f>
        <v/>
      </c>
    </row>
    <row r="274">
      <c r="A274" s="60" t="n"/>
      <c r="B274" s="63" t="n"/>
      <c r="C274" s="60" t="n"/>
      <c r="D274" s="63" t="n"/>
      <c r="E274" s="63" t="n"/>
      <c r="F274" s="60" t="n"/>
      <c r="G274" s="143" t="n"/>
      <c r="H274" s="143" t="n"/>
      <c r="I274" s="63" t="n"/>
      <c r="J274" s="63" t="n"/>
      <c r="K274" s="63" t="n"/>
      <c r="L274" s="63" t="n"/>
      <c r="M274" s="144" t="n"/>
      <c r="N274" s="65" t="str">
        <f>IF(A274="","",SUMIF(fa_client,A274,fa_ht))</f>
        <v/>
      </c>
      <c r="O274" s="65" t="str">
        <f>IF(A274="","",SUMIF(fa_client,A274,fa_reste))</f>
        <v/>
      </c>
      <c r="P274" s="59" t="str">
        <f>IF(COUNTA(A274:M274)=0,"",IF(A274="","Code manquant",IF(COUNTIF(cli_code,A274)&gt;1,"Code en double",IF(B274="","Nom manquant",IF(AND(p_country="Maroc",C274&lt;&gt;"Particulier",OR(F274="",F274="Maroc"),G274=""),"ICE manquant (client professionnel)",IF(AND(G274&lt;&gt;"",NOT(AND(LEN(G274&amp;"")=15,SUBSTITUTE(SUBSTITUTE(SUBSTITUTE(SUBSTITUTE(SUBSTITUTE(SUBSTITUTE(SUBSTITUTE(SUBSTITUTE(SUBSTITUTE(SUBSTITUTE(G274&amp;"","0",""),"1",""),"2",""),"3",""),"4",""),"5",""),"6",""),"7",""),"8",""),"9","")=""))),"ICE : 15 chiffres attendus",IF(AND(H274&lt;&gt;"",NOT(AND(LEN(H274&amp;"")=9,SUBSTITUTE(SUBSTITUTE(SUBSTITUTE(SUBSTITUTE(SUBSTITUTE(SUBSTITUTE(SUBSTITUTE(SUBSTITUTE(SUBSTITUTE(SUBSTITUTE(H274&amp;"","0",""),"1",""),"2",""),"3",""),"4",""),"5",""),"6",""),"7",""),"8",""),"9","")=""))),"SIREN : 9 chiffres attendus",IF(AND(M274&lt;&gt;"",OR(NOT(ISNUMBER(M274)),N(M274)&lt;0)),"Délai de paiement invalide","OK"))))))))</f>
        <v/>
      </c>
      <c r="Q274" s="62" t="str">
        <f>IF(A274="","",ROUND(SUMIFS(fa_ht,fa_client,A274,fa_year,db_year)*100,0))</f>
        <v/>
      </c>
      <c r="R274" s="62" t="str">
        <f>IF(N(Q274)&lt;=0,"",COUNTIF($Q$6:$Q$305,"&gt;"&amp;Q274)+COUNTIF($Q$6:Q274,Q274))</f>
        <v/>
      </c>
      <c r="S274" s="62" t="str">
        <f>IF(A274="","",ROUND(SUMIFS(fa_reste,fa_client,A274,fa_reste,"&gt;0")*100,0))</f>
        <v/>
      </c>
      <c r="T274" s="62" t="str">
        <f>IF(N(S274)&lt;=0,"",COUNTIF($S$6:$S$305,"&gt;"&amp;S274)+COUNTIF($S$6:S274,S274))</f>
        <v/>
      </c>
    </row>
    <row r="275">
      <c r="A275" s="60" t="n"/>
      <c r="B275" s="63" t="n"/>
      <c r="C275" s="60" t="n"/>
      <c r="D275" s="63" t="n"/>
      <c r="E275" s="63" t="n"/>
      <c r="F275" s="60" t="n"/>
      <c r="G275" s="143" t="n"/>
      <c r="H275" s="143" t="n"/>
      <c r="I275" s="63" t="n"/>
      <c r="J275" s="63" t="n"/>
      <c r="K275" s="63" t="n"/>
      <c r="L275" s="63" t="n"/>
      <c r="M275" s="144" t="n"/>
      <c r="N275" s="65" t="str">
        <f>IF(A275="","",SUMIF(fa_client,A275,fa_ht))</f>
        <v/>
      </c>
      <c r="O275" s="65" t="str">
        <f>IF(A275="","",SUMIF(fa_client,A275,fa_reste))</f>
        <v/>
      </c>
      <c r="P275" s="59" t="str">
        <f>IF(COUNTA(A275:M275)=0,"",IF(A275="","Code manquant",IF(COUNTIF(cli_code,A275)&gt;1,"Code en double",IF(B275="","Nom manquant",IF(AND(p_country="Maroc",C275&lt;&gt;"Particulier",OR(F275="",F275="Maroc"),G275=""),"ICE manquant (client professionnel)",IF(AND(G275&lt;&gt;"",NOT(AND(LEN(G275&amp;"")=15,SUBSTITUTE(SUBSTITUTE(SUBSTITUTE(SUBSTITUTE(SUBSTITUTE(SUBSTITUTE(SUBSTITUTE(SUBSTITUTE(SUBSTITUTE(SUBSTITUTE(G275&amp;"","0",""),"1",""),"2",""),"3",""),"4",""),"5",""),"6",""),"7",""),"8",""),"9","")=""))),"ICE : 15 chiffres attendus",IF(AND(H275&lt;&gt;"",NOT(AND(LEN(H275&amp;"")=9,SUBSTITUTE(SUBSTITUTE(SUBSTITUTE(SUBSTITUTE(SUBSTITUTE(SUBSTITUTE(SUBSTITUTE(SUBSTITUTE(SUBSTITUTE(SUBSTITUTE(H275&amp;"","0",""),"1",""),"2",""),"3",""),"4",""),"5",""),"6",""),"7",""),"8",""),"9","")=""))),"SIREN : 9 chiffres attendus",IF(AND(M275&lt;&gt;"",OR(NOT(ISNUMBER(M275)),N(M275)&lt;0)),"Délai de paiement invalide","OK"))))))))</f>
        <v/>
      </c>
      <c r="Q275" s="62" t="str">
        <f>IF(A275="","",ROUND(SUMIFS(fa_ht,fa_client,A275,fa_year,db_year)*100,0))</f>
        <v/>
      </c>
      <c r="R275" s="62" t="str">
        <f>IF(N(Q275)&lt;=0,"",COUNTIF($Q$6:$Q$305,"&gt;"&amp;Q275)+COUNTIF($Q$6:Q275,Q275))</f>
        <v/>
      </c>
      <c r="S275" s="62" t="str">
        <f>IF(A275="","",ROUND(SUMIFS(fa_reste,fa_client,A275,fa_reste,"&gt;0")*100,0))</f>
        <v/>
      </c>
      <c r="T275" s="62" t="str">
        <f>IF(N(S275)&lt;=0,"",COUNTIF($S$6:$S$305,"&gt;"&amp;S275)+COUNTIF($S$6:S275,S275))</f>
        <v/>
      </c>
    </row>
    <row r="276">
      <c r="A276" s="60" t="n"/>
      <c r="B276" s="63" t="n"/>
      <c r="C276" s="60" t="n"/>
      <c r="D276" s="63" t="n"/>
      <c r="E276" s="63" t="n"/>
      <c r="F276" s="60" t="n"/>
      <c r="G276" s="143" t="n"/>
      <c r="H276" s="143" t="n"/>
      <c r="I276" s="63" t="n"/>
      <c r="J276" s="63" t="n"/>
      <c r="K276" s="63" t="n"/>
      <c r="L276" s="63" t="n"/>
      <c r="M276" s="144" t="n"/>
      <c r="N276" s="65" t="str">
        <f>IF(A276="","",SUMIF(fa_client,A276,fa_ht))</f>
        <v/>
      </c>
      <c r="O276" s="65" t="str">
        <f>IF(A276="","",SUMIF(fa_client,A276,fa_reste))</f>
        <v/>
      </c>
      <c r="P276" s="59" t="str">
        <f>IF(COUNTA(A276:M276)=0,"",IF(A276="","Code manquant",IF(COUNTIF(cli_code,A276)&gt;1,"Code en double",IF(B276="","Nom manquant",IF(AND(p_country="Maroc",C276&lt;&gt;"Particulier",OR(F276="",F276="Maroc"),G276=""),"ICE manquant (client professionnel)",IF(AND(G276&lt;&gt;"",NOT(AND(LEN(G276&amp;"")=15,SUBSTITUTE(SUBSTITUTE(SUBSTITUTE(SUBSTITUTE(SUBSTITUTE(SUBSTITUTE(SUBSTITUTE(SUBSTITUTE(SUBSTITUTE(SUBSTITUTE(G276&amp;"","0",""),"1",""),"2",""),"3",""),"4",""),"5",""),"6",""),"7",""),"8",""),"9","")=""))),"ICE : 15 chiffres attendus",IF(AND(H276&lt;&gt;"",NOT(AND(LEN(H276&amp;"")=9,SUBSTITUTE(SUBSTITUTE(SUBSTITUTE(SUBSTITUTE(SUBSTITUTE(SUBSTITUTE(SUBSTITUTE(SUBSTITUTE(SUBSTITUTE(SUBSTITUTE(H276&amp;"","0",""),"1",""),"2",""),"3",""),"4",""),"5",""),"6",""),"7",""),"8",""),"9","")=""))),"SIREN : 9 chiffres attendus",IF(AND(M276&lt;&gt;"",OR(NOT(ISNUMBER(M276)),N(M276)&lt;0)),"Délai de paiement invalide","OK"))))))))</f>
        <v/>
      </c>
      <c r="Q276" s="62" t="str">
        <f>IF(A276="","",ROUND(SUMIFS(fa_ht,fa_client,A276,fa_year,db_year)*100,0))</f>
        <v/>
      </c>
      <c r="R276" s="62" t="str">
        <f>IF(N(Q276)&lt;=0,"",COUNTIF($Q$6:$Q$305,"&gt;"&amp;Q276)+COUNTIF($Q$6:Q276,Q276))</f>
        <v/>
      </c>
      <c r="S276" s="62" t="str">
        <f>IF(A276="","",ROUND(SUMIFS(fa_reste,fa_client,A276,fa_reste,"&gt;0")*100,0))</f>
        <v/>
      </c>
      <c r="T276" s="62" t="str">
        <f>IF(N(S276)&lt;=0,"",COUNTIF($S$6:$S$305,"&gt;"&amp;S276)+COUNTIF($S$6:S276,S276))</f>
        <v/>
      </c>
    </row>
    <row r="277">
      <c r="A277" s="60" t="n"/>
      <c r="B277" s="63" t="n"/>
      <c r="C277" s="60" t="n"/>
      <c r="D277" s="63" t="n"/>
      <c r="E277" s="63" t="n"/>
      <c r="F277" s="60" t="n"/>
      <c r="G277" s="143" t="n"/>
      <c r="H277" s="143" t="n"/>
      <c r="I277" s="63" t="n"/>
      <c r="J277" s="63" t="n"/>
      <c r="K277" s="63" t="n"/>
      <c r="L277" s="63" t="n"/>
      <c r="M277" s="144" t="n"/>
      <c r="N277" s="65" t="str">
        <f>IF(A277="","",SUMIF(fa_client,A277,fa_ht))</f>
        <v/>
      </c>
      <c r="O277" s="65" t="str">
        <f>IF(A277="","",SUMIF(fa_client,A277,fa_reste))</f>
        <v/>
      </c>
      <c r="P277" s="59" t="str">
        <f>IF(COUNTA(A277:M277)=0,"",IF(A277="","Code manquant",IF(COUNTIF(cli_code,A277)&gt;1,"Code en double",IF(B277="","Nom manquant",IF(AND(p_country="Maroc",C277&lt;&gt;"Particulier",OR(F277="",F277="Maroc"),G277=""),"ICE manquant (client professionnel)",IF(AND(G277&lt;&gt;"",NOT(AND(LEN(G277&amp;"")=15,SUBSTITUTE(SUBSTITUTE(SUBSTITUTE(SUBSTITUTE(SUBSTITUTE(SUBSTITUTE(SUBSTITUTE(SUBSTITUTE(SUBSTITUTE(SUBSTITUTE(G277&amp;"","0",""),"1",""),"2",""),"3",""),"4",""),"5",""),"6",""),"7",""),"8",""),"9","")=""))),"ICE : 15 chiffres attendus",IF(AND(H277&lt;&gt;"",NOT(AND(LEN(H277&amp;"")=9,SUBSTITUTE(SUBSTITUTE(SUBSTITUTE(SUBSTITUTE(SUBSTITUTE(SUBSTITUTE(SUBSTITUTE(SUBSTITUTE(SUBSTITUTE(SUBSTITUTE(H277&amp;"","0",""),"1",""),"2",""),"3",""),"4",""),"5",""),"6",""),"7",""),"8",""),"9","")=""))),"SIREN : 9 chiffres attendus",IF(AND(M277&lt;&gt;"",OR(NOT(ISNUMBER(M277)),N(M277)&lt;0)),"Délai de paiement invalide","OK"))))))))</f>
        <v/>
      </c>
      <c r="Q277" s="62" t="str">
        <f>IF(A277="","",ROUND(SUMIFS(fa_ht,fa_client,A277,fa_year,db_year)*100,0))</f>
        <v/>
      </c>
      <c r="R277" s="62" t="str">
        <f>IF(N(Q277)&lt;=0,"",COUNTIF($Q$6:$Q$305,"&gt;"&amp;Q277)+COUNTIF($Q$6:Q277,Q277))</f>
        <v/>
      </c>
      <c r="S277" s="62" t="str">
        <f>IF(A277="","",ROUND(SUMIFS(fa_reste,fa_client,A277,fa_reste,"&gt;0")*100,0))</f>
        <v/>
      </c>
      <c r="T277" s="62" t="str">
        <f>IF(N(S277)&lt;=0,"",COUNTIF($S$6:$S$305,"&gt;"&amp;S277)+COUNTIF($S$6:S277,S277))</f>
        <v/>
      </c>
    </row>
    <row r="278">
      <c r="A278" s="60" t="n"/>
      <c r="B278" s="63" t="n"/>
      <c r="C278" s="60" t="n"/>
      <c r="D278" s="63" t="n"/>
      <c r="E278" s="63" t="n"/>
      <c r="F278" s="60" t="n"/>
      <c r="G278" s="143" t="n"/>
      <c r="H278" s="143" t="n"/>
      <c r="I278" s="63" t="n"/>
      <c r="J278" s="63" t="n"/>
      <c r="K278" s="63" t="n"/>
      <c r="L278" s="63" t="n"/>
      <c r="M278" s="144" t="n"/>
      <c r="N278" s="65" t="str">
        <f>IF(A278="","",SUMIF(fa_client,A278,fa_ht))</f>
        <v/>
      </c>
      <c r="O278" s="65" t="str">
        <f>IF(A278="","",SUMIF(fa_client,A278,fa_reste))</f>
        <v/>
      </c>
      <c r="P278" s="59" t="str">
        <f>IF(COUNTA(A278:M278)=0,"",IF(A278="","Code manquant",IF(COUNTIF(cli_code,A278)&gt;1,"Code en double",IF(B278="","Nom manquant",IF(AND(p_country="Maroc",C278&lt;&gt;"Particulier",OR(F278="",F278="Maroc"),G278=""),"ICE manquant (client professionnel)",IF(AND(G278&lt;&gt;"",NOT(AND(LEN(G278&amp;"")=15,SUBSTITUTE(SUBSTITUTE(SUBSTITUTE(SUBSTITUTE(SUBSTITUTE(SUBSTITUTE(SUBSTITUTE(SUBSTITUTE(SUBSTITUTE(SUBSTITUTE(G278&amp;"","0",""),"1",""),"2",""),"3",""),"4",""),"5",""),"6",""),"7",""),"8",""),"9","")=""))),"ICE : 15 chiffres attendus",IF(AND(H278&lt;&gt;"",NOT(AND(LEN(H278&amp;"")=9,SUBSTITUTE(SUBSTITUTE(SUBSTITUTE(SUBSTITUTE(SUBSTITUTE(SUBSTITUTE(SUBSTITUTE(SUBSTITUTE(SUBSTITUTE(SUBSTITUTE(H278&amp;"","0",""),"1",""),"2",""),"3",""),"4",""),"5",""),"6",""),"7",""),"8",""),"9","")=""))),"SIREN : 9 chiffres attendus",IF(AND(M278&lt;&gt;"",OR(NOT(ISNUMBER(M278)),N(M278)&lt;0)),"Délai de paiement invalide","OK"))))))))</f>
        <v/>
      </c>
      <c r="Q278" s="62" t="str">
        <f>IF(A278="","",ROUND(SUMIFS(fa_ht,fa_client,A278,fa_year,db_year)*100,0))</f>
        <v/>
      </c>
      <c r="R278" s="62" t="str">
        <f>IF(N(Q278)&lt;=0,"",COUNTIF($Q$6:$Q$305,"&gt;"&amp;Q278)+COUNTIF($Q$6:Q278,Q278))</f>
        <v/>
      </c>
      <c r="S278" s="62" t="str">
        <f>IF(A278="","",ROUND(SUMIFS(fa_reste,fa_client,A278,fa_reste,"&gt;0")*100,0))</f>
        <v/>
      </c>
      <c r="T278" s="62" t="str">
        <f>IF(N(S278)&lt;=0,"",COUNTIF($S$6:$S$305,"&gt;"&amp;S278)+COUNTIF($S$6:S278,S278))</f>
        <v/>
      </c>
    </row>
    <row r="279">
      <c r="A279" s="60" t="n"/>
      <c r="B279" s="63" t="n"/>
      <c r="C279" s="60" t="n"/>
      <c r="D279" s="63" t="n"/>
      <c r="E279" s="63" t="n"/>
      <c r="F279" s="60" t="n"/>
      <c r="G279" s="143" t="n"/>
      <c r="H279" s="143" t="n"/>
      <c r="I279" s="63" t="n"/>
      <c r="J279" s="63" t="n"/>
      <c r="K279" s="63" t="n"/>
      <c r="L279" s="63" t="n"/>
      <c r="M279" s="144" t="n"/>
      <c r="N279" s="65" t="str">
        <f>IF(A279="","",SUMIF(fa_client,A279,fa_ht))</f>
        <v/>
      </c>
      <c r="O279" s="65" t="str">
        <f>IF(A279="","",SUMIF(fa_client,A279,fa_reste))</f>
        <v/>
      </c>
      <c r="P279" s="59" t="str">
        <f>IF(COUNTA(A279:M279)=0,"",IF(A279="","Code manquant",IF(COUNTIF(cli_code,A279)&gt;1,"Code en double",IF(B279="","Nom manquant",IF(AND(p_country="Maroc",C279&lt;&gt;"Particulier",OR(F279="",F279="Maroc"),G279=""),"ICE manquant (client professionnel)",IF(AND(G279&lt;&gt;"",NOT(AND(LEN(G279&amp;"")=15,SUBSTITUTE(SUBSTITUTE(SUBSTITUTE(SUBSTITUTE(SUBSTITUTE(SUBSTITUTE(SUBSTITUTE(SUBSTITUTE(SUBSTITUTE(SUBSTITUTE(G279&amp;"","0",""),"1",""),"2",""),"3",""),"4",""),"5",""),"6",""),"7",""),"8",""),"9","")=""))),"ICE : 15 chiffres attendus",IF(AND(H279&lt;&gt;"",NOT(AND(LEN(H279&amp;"")=9,SUBSTITUTE(SUBSTITUTE(SUBSTITUTE(SUBSTITUTE(SUBSTITUTE(SUBSTITUTE(SUBSTITUTE(SUBSTITUTE(SUBSTITUTE(SUBSTITUTE(H279&amp;"","0",""),"1",""),"2",""),"3",""),"4",""),"5",""),"6",""),"7",""),"8",""),"9","")=""))),"SIREN : 9 chiffres attendus",IF(AND(M279&lt;&gt;"",OR(NOT(ISNUMBER(M279)),N(M279)&lt;0)),"Délai de paiement invalide","OK"))))))))</f>
        <v/>
      </c>
      <c r="Q279" s="62" t="str">
        <f>IF(A279="","",ROUND(SUMIFS(fa_ht,fa_client,A279,fa_year,db_year)*100,0))</f>
        <v/>
      </c>
      <c r="R279" s="62" t="str">
        <f>IF(N(Q279)&lt;=0,"",COUNTIF($Q$6:$Q$305,"&gt;"&amp;Q279)+COUNTIF($Q$6:Q279,Q279))</f>
        <v/>
      </c>
      <c r="S279" s="62" t="str">
        <f>IF(A279="","",ROUND(SUMIFS(fa_reste,fa_client,A279,fa_reste,"&gt;0")*100,0))</f>
        <v/>
      </c>
      <c r="T279" s="62" t="str">
        <f>IF(N(S279)&lt;=0,"",COUNTIF($S$6:$S$305,"&gt;"&amp;S279)+COUNTIF($S$6:S279,S279))</f>
        <v/>
      </c>
    </row>
    <row r="280">
      <c r="A280" s="60" t="n"/>
      <c r="B280" s="63" t="n"/>
      <c r="C280" s="60" t="n"/>
      <c r="D280" s="63" t="n"/>
      <c r="E280" s="63" t="n"/>
      <c r="F280" s="60" t="n"/>
      <c r="G280" s="143" t="n"/>
      <c r="H280" s="143" t="n"/>
      <c r="I280" s="63" t="n"/>
      <c r="J280" s="63" t="n"/>
      <c r="K280" s="63" t="n"/>
      <c r="L280" s="63" t="n"/>
      <c r="M280" s="144" t="n"/>
      <c r="N280" s="65" t="str">
        <f>IF(A280="","",SUMIF(fa_client,A280,fa_ht))</f>
        <v/>
      </c>
      <c r="O280" s="65" t="str">
        <f>IF(A280="","",SUMIF(fa_client,A280,fa_reste))</f>
        <v/>
      </c>
      <c r="P280" s="59" t="str">
        <f>IF(COUNTA(A280:M280)=0,"",IF(A280="","Code manquant",IF(COUNTIF(cli_code,A280)&gt;1,"Code en double",IF(B280="","Nom manquant",IF(AND(p_country="Maroc",C280&lt;&gt;"Particulier",OR(F280="",F280="Maroc"),G280=""),"ICE manquant (client professionnel)",IF(AND(G280&lt;&gt;"",NOT(AND(LEN(G280&amp;"")=15,SUBSTITUTE(SUBSTITUTE(SUBSTITUTE(SUBSTITUTE(SUBSTITUTE(SUBSTITUTE(SUBSTITUTE(SUBSTITUTE(SUBSTITUTE(SUBSTITUTE(G280&amp;"","0",""),"1",""),"2",""),"3",""),"4",""),"5",""),"6",""),"7",""),"8",""),"9","")=""))),"ICE : 15 chiffres attendus",IF(AND(H280&lt;&gt;"",NOT(AND(LEN(H280&amp;"")=9,SUBSTITUTE(SUBSTITUTE(SUBSTITUTE(SUBSTITUTE(SUBSTITUTE(SUBSTITUTE(SUBSTITUTE(SUBSTITUTE(SUBSTITUTE(SUBSTITUTE(H280&amp;"","0",""),"1",""),"2",""),"3",""),"4",""),"5",""),"6",""),"7",""),"8",""),"9","")=""))),"SIREN : 9 chiffres attendus",IF(AND(M280&lt;&gt;"",OR(NOT(ISNUMBER(M280)),N(M280)&lt;0)),"Délai de paiement invalide","OK"))))))))</f>
        <v/>
      </c>
      <c r="Q280" s="62" t="str">
        <f>IF(A280="","",ROUND(SUMIFS(fa_ht,fa_client,A280,fa_year,db_year)*100,0))</f>
        <v/>
      </c>
      <c r="R280" s="62" t="str">
        <f>IF(N(Q280)&lt;=0,"",COUNTIF($Q$6:$Q$305,"&gt;"&amp;Q280)+COUNTIF($Q$6:Q280,Q280))</f>
        <v/>
      </c>
      <c r="S280" s="62" t="str">
        <f>IF(A280="","",ROUND(SUMIFS(fa_reste,fa_client,A280,fa_reste,"&gt;0")*100,0))</f>
        <v/>
      </c>
      <c r="T280" s="62" t="str">
        <f>IF(N(S280)&lt;=0,"",COUNTIF($S$6:$S$305,"&gt;"&amp;S280)+COUNTIF($S$6:S280,S280))</f>
        <v/>
      </c>
    </row>
    <row r="281">
      <c r="A281" s="60" t="n"/>
      <c r="B281" s="63" t="n"/>
      <c r="C281" s="60" t="n"/>
      <c r="D281" s="63" t="n"/>
      <c r="E281" s="63" t="n"/>
      <c r="F281" s="60" t="n"/>
      <c r="G281" s="143" t="n"/>
      <c r="H281" s="143" t="n"/>
      <c r="I281" s="63" t="n"/>
      <c r="J281" s="63" t="n"/>
      <c r="K281" s="63" t="n"/>
      <c r="L281" s="63" t="n"/>
      <c r="M281" s="144" t="n"/>
      <c r="N281" s="65" t="str">
        <f>IF(A281="","",SUMIF(fa_client,A281,fa_ht))</f>
        <v/>
      </c>
      <c r="O281" s="65" t="str">
        <f>IF(A281="","",SUMIF(fa_client,A281,fa_reste))</f>
        <v/>
      </c>
      <c r="P281" s="59" t="str">
        <f>IF(COUNTA(A281:M281)=0,"",IF(A281="","Code manquant",IF(COUNTIF(cli_code,A281)&gt;1,"Code en double",IF(B281="","Nom manquant",IF(AND(p_country="Maroc",C281&lt;&gt;"Particulier",OR(F281="",F281="Maroc"),G281=""),"ICE manquant (client professionnel)",IF(AND(G281&lt;&gt;"",NOT(AND(LEN(G281&amp;"")=15,SUBSTITUTE(SUBSTITUTE(SUBSTITUTE(SUBSTITUTE(SUBSTITUTE(SUBSTITUTE(SUBSTITUTE(SUBSTITUTE(SUBSTITUTE(SUBSTITUTE(G281&amp;"","0",""),"1",""),"2",""),"3",""),"4",""),"5",""),"6",""),"7",""),"8",""),"9","")=""))),"ICE : 15 chiffres attendus",IF(AND(H281&lt;&gt;"",NOT(AND(LEN(H281&amp;"")=9,SUBSTITUTE(SUBSTITUTE(SUBSTITUTE(SUBSTITUTE(SUBSTITUTE(SUBSTITUTE(SUBSTITUTE(SUBSTITUTE(SUBSTITUTE(SUBSTITUTE(H281&amp;"","0",""),"1",""),"2",""),"3",""),"4",""),"5",""),"6",""),"7",""),"8",""),"9","")=""))),"SIREN : 9 chiffres attendus",IF(AND(M281&lt;&gt;"",OR(NOT(ISNUMBER(M281)),N(M281)&lt;0)),"Délai de paiement invalide","OK"))))))))</f>
        <v/>
      </c>
      <c r="Q281" s="62" t="str">
        <f>IF(A281="","",ROUND(SUMIFS(fa_ht,fa_client,A281,fa_year,db_year)*100,0))</f>
        <v/>
      </c>
      <c r="R281" s="62" t="str">
        <f>IF(N(Q281)&lt;=0,"",COUNTIF($Q$6:$Q$305,"&gt;"&amp;Q281)+COUNTIF($Q$6:Q281,Q281))</f>
        <v/>
      </c>
      <c r="S281" s="62" t="str">
        <f>IF(A281="","",ROUND(SUMIFS(fa_reste,fa_client,A281,fa_reste,"&gt;0")*100,0))</f>
        <v/>
      </c>
      <c r="T281" s="62" t="str">
        <f>IF(N(S281)&lt;=0,"",COUNTIF($S$6:$S$305,"&gt;"&amp;S281)+COUNTIF($S$6:S281,S281))</f>
        <v/>
      </c>
    </row>
    <row r="282">
      <c r="A282" s="60" t="n"/>
      <c r="B282" s="63" t="n"/>
      <c r="C282" s="60" t="n"/>
      <c r="D282" s="63" t="n"/>
      <c r="E282" s="63" t="n"/>
      <c r="F282" s="60" t="n"/>
      <c r="G282" s="143" t="n"/>
      <c r="H282" s="143" t="n"/>
      <c r="I282" s="63" t="n"/>
      <c r="J282" s="63" t="n"/>
      <c r="K282" s="63" t="n"/>
      <c r="L282" s="63" t="n"/>
      <c r="M282" s="144" t="n"/>
      <c r="N282" s="65" t="str">
        <f>IF(A282="","",SUMIF(fa_client,A282,fa_ht))</f>
        <v/>
      </c>
      <c r="O282" s="65" t="str">
        <f>IF(A282="","",SUMIF(fa_client,A282,fa_reste))</f>
        <v/>
      </c>
      <c r="P282" s="59" t="str">
        <f>IF(COUNTA(A282:M282)=0,"",IF(A282="","Code manquant",IF(COUNTIF(cli_code,A282)&gt;1,"Code en double",IF(B282="","Nom manquant",IF(AND(p_country="Maroc",C282&lt;&gt;"Particulier",OR(F282="",F282="Maroc"),G282=""),"ICE manquant (client professionnel)",IF(AND(G282&lt;&gt;"",NOT(AND(LEN(G282&amp;"")=15,SUBSTITUTE(SUBSTITUTE(SUBSTITUTE(SUBSTITUTE(SUBSTITUTE(SUBSTITUTE(SUBSTITUTE(SUBSTITUTE(SUBSTITUTE(SUBSTITUTE(G282&amp;"","0",""),"1",""),"2",""),"3",""),"4",""),"5",""),"6",""),"7",""),"8",""),"9","")=""))),"ICE : 15 chiffres attendus",IF(AND(H282&lt;&gt;"",NOT(AND(LEN(H282&amp;"")=9,SUBSTITUTE(SUBSTITUTE(SUBSTITUTE(SUBSTITUTE(SUBSTITUTE(SUBSTITUTE(SUBSTITUTE(SUBSTITUTE(SUBSTITUTE(SUBSTITUTE(H282&amp;"","0",""),"1",""),"2",""),"3",""),"4",""),"5",""),"6",""),"7",""),"8",""),"9","")=""))),"SIREN : 9 chiffres attendus",IF(AND(M282&lt;&gt;"",OR(NOT(ISNUMBER(M282)),N(M282)&lt;0)),"Délai de paiement invalide","OK"))))))))</f>
        <v/>
      </c>
      <c r="Q282" s="62" t="str">
        <f>IF(A282="","",ROUND(SUMIFS(fa_ht,fa_client,A282,fa_year,db_year)*100,0))</f>
        <v/>
      </c>
      <c r="R282" s="62" t="str">
        <f>IF(N(Q282)&lt;=0,"",COUNTIF($Q$6:$Q$305,"&gt;"&amp;Q282)+COUNTIF($Q$6:Q282,Q282))</f>
        <v/>
      </c>
      <c r="S282" s="62" t="str">
        <f>IF(A282="","",ROUND(SUMIFS(fa_reste,fa_client,A282,fa_reste,"&gt;0")*100,0))</f>
        <v/>
      </c>
      <c r="T282" s="62" t="str">
        <f>IF(N(S282)&lt;=0,"",COUNTIF($S$6:$S$305,"&gt;"&amp;S282)+COUNTIF($S$6:S282,S282))</f>
        <v/>
      </c>
    </row>
    <row r="283">
      <c r="A283" s="60" t="n"/>
      <c r="B283" s="63" t="n"/>
      <c r="C283" s="60" t="n"/>
      <c r="D283" s="63" t="n"/>
      <c r="E283" s="63" t="n"/>
      <c r="F283" s="60" t="n"/>
      <c r="G283" s="143" t="n"/>
      <c r="H283" s="143" t="n"/>
      <c r="I283" s="63" t="n"/>
      <c r="J283" s="63" t="n"/>
      <c r="K283" s="63" t="n"/>
      <c r="L283" s="63" t="n"/>
      <c r="M283" s="144" t="n"/>
      <c r="N283" s="65" t="str">
        <f>IF(A283="","",SUMIF(fa_client,A283,fa_ht))</f>
        <v/>
      </c>
      <c r="O283" s="65" t="str">
        <f>IF(A283="","",SUMIF(fa_client,A283,fa_reste))</f>
        <v/>
      </c>
      <c r="P283" s="59" t="str">
        <f>IF(COUNTA(A283:M283)=0,"",IF(A283="","Code manquant",IF(COUNTIF(cli_code,A283)&gt;1,"Code en double",IF(B283="","Nom manquant",IF(AND(p_country="Maroc",C283&lt;&gt;"Particulier",OR(F283="",F283="Maroc"),G283=""),"ICE manquant (client professionnel)",IF(AND(G283&lt;&gt;"",NOT(AND(LEN(G283&amp;"")=15,SUBSTITUTE(SUBSTITUTE(SUBSTITUTE(SUBSTITUTE(SUBSTITUTE(SUBSTITUTE(SUBSTITUTE(SUBSTITUTE(SUBSTITUTE(SUBSTITUTE(G283&amp;"","0",""),"1",""),"2",""),"3",""),"4",""),"5",""),"6",""),"7",""),"8",""),"9","")=""))),"ICE : 15 chiffres attendus",IF(AND(H283&lt;&gt;"",NOT(AND(LEN(H283&amp;"")=9,SUBSTITUTE(SUBSTITUTE(SUBSTITUTE(SUBSTITUTE(SUBSTITUTE(SUBSTITUTE(SUBSTITUTE(SUBSTITUTE(SUBSTITUTE(SUBSTITUTE(H283&amp;"","0",""),"1",""),"2",""),"3",""),"4",""),"5",""),"6",""),"7",""),"8",""),"9","")=""))),"SIREN : 9 chiffres attendus",IF(AND(M283&lt;&gt;"",OR(NOT(ISNUMBER(M283)),N(M283)&lt;0)),"Délai de paiement invalide","OK"))))))))</f>
        <v/>
      </c>
      <c r="Q283" s="62" t="str">
        <f>IF(A283="","",ROUND(SUMIFS(fa_ht,fa_client,A283,fa_year,db_year)*100,0))</f>
        <v/>
      </c>
      <c r="R283" s="62" t="str">
        <f>IF(N(Q283)&lt;=0,"",COUNTIF($Q$6:$Q$305,"&gt;"&amp;Q283)+COUNTIF($Q$6:Q283,Q283))</f>
        <v/>
      </c>
      <c r="S283" s="62" t="str">
        <f>IF(A283="","",ROUND(SUMIFS(fa_reste,fa_client,A283,fa_reste,"&gt;0")*100,0))</f>
        <v/>
      </c>
      <c r="T283" s="62" t="str">
        <f>IF(N(S283)&lt;=0,"",COUNTIF($S$6:$S$305,"&gt;"&amp;S283)+COUNTIF($S$6:S283,S283))</f>
        <v/>
      </c>
    </row>
    <row r="284">
      <c r="A284" s="60" t="n"/>
      <c r="B284" s="63" t="n"/>
      <c r="C284" s="60" t="n"/>
      <c r="D284" s="63" t="n"/>
      <c r="E284" s="63" t="n"/>
      <c r="F284" s="60" t="n"/>
      <c r="G284" s="143" t="n"/>
      <c r="H284" s="143" t="n"/>
      <c r="I284" s="63" t="n"/>
      <c r="J284" s="63" t="n"/>
      <c r="K284" s="63" t="n"/>
      <c r="L284" s="63" t="n"/>
      <c r="M284" s="144" t="n"/>
      <c r="N284" s="65" t="str">
        <f>IF(A284="","",SUMIF(fa_client,A284,fa_ht))</f>
        <v/>
      </c>
      <c r="O284" s="65" t="str">
        <f>IF(A284="","",SUMIF(fa_client,A284,fa_reste))</f>
        <v/>
      </c>
      <c r="P284" s="59" t="str">
        <f>IF(COUNTA(A284:M284)=0,"",IF(A284="","Code manquant",IF(COUNTIF(cli_code,A284)&gt;1,"Code en double",IF(B284="","Nom manquant",IF(AND(p_country="Maroc",C284&lt;&gt;"Particulier",OR(F284="",F284="Maroc"),G284=""),"ICE manquant (client professionnel)",IF(AND(G284&lt;&gt;"",NOT(AND(LEN(G284&amp;"")=15,SUBSTITUTE(SUBSTITUTE(SUBSTITUTE(SUBSTITUTE(SUBSTITUTE(SUBSTITUTE(SUBSTITUTE(SUBSTITUTE(SUBSTITUTE(SUBSTITUTE(G284&amp;"","0",""),"1",""),"2",""),"3",""),"4",""),"5",""),"6",""),"7",""),"8",""),"9","")=""))),"ICE : 15 chiffres attendus",IF(AND(H284&lt;&gt;"",NOT(AND(LEN(H284&amp;"")=9,SUBSTITUTE(SUBSTITUTE(SUBSTITUTE(SUBSTITUTE(SUBSTITUTE(SUBSTITUTE(SUBSTITUTE(SUBSTITUTE(SUBSTITUTE(SUBSTITUTE(H284&amp;"","0",""),"1",""),"2",""),"3",""),"4",""),"5",""),"6",""),"7",""),"8",""),"9","")=""))),"SIREN : 9 chiffres attendus",IF(AND(M284&lt;&gt;"",OR(NOT(ISNUMBER(M284)),N(M284)&lt;0)),"Délai de paiement invalide","OK"))))))))</f>
        <v/>
      </c>
      <c r="Q284" s="62" t="str">
        <f>IF(A284="","",ROUND(SUMIFS(fa_ht,fa_client,A284,fa_year,db_year)*100,0))</f>
        <v/>
      </c>
      <c r="R284" s="62" t="str">
        <f>IF(N(Q284)&lt;=0,"",COUNTIF($Q$6:$Q$305,"&gt;"&amp;Q284)+COUNTIF($Q$6:Q284,Q284))</f>
        <v/>
      </c>
      <c r="S284" s="62" t="str">
        <f>IF(A284="","",ROUND(SUMIFS(fa_reste,fa_client,A284,fa_reste,"&gt;0")*100,0))</f>
        <v/>
      </c>
      <c r="T284" s="62" t="str">
        <f>IF(N(S284)&lt;=0,"",COUNTIF($S$6:$S$305,"&gt;"&amp;S284)+COUNTIF($S$6:S284,S284))</f>
        <v/>
      </c>
    </row>
    <row r="285">
      <c r="A285" s="60" t="n"/>
      <c r="B285" s="63" t="n"/>
      <c r="C285" s="60" t="n"/>
      <c r="D285" s="63" t="n"/>
      <c r="E285" s="63" t="n"/>
      <c r="F285" s="60" t="n"/>
      <c r="G285" s="143" t="n"/>
      <c r="H285" s="143" t="n"/>
      <c r="I285" s="63" t="n"/>
      <c r="J285" s="63" t="n"/>
      <c r="K285" s="63" t="n"/>
      <c r="L285" s="63" t="n"/>
      <c r="M285" s="144" t="n"/>
      <c r="N285" s="65" t="str">
        <f>IF(A285="","",SUMIF(fa_client,A285,fa_ht))</f>
        <v/>
      </c>
      <c r="O285" s="65" t="str">
        <f>IF(A285="","",SUMIF(fa_client,A285,fa_reste))</f>
        <v/>
      </c>
      <c r="P285" s="59" t="str">
        <f>IF(COUNTA(A285:M285)=0,"",IF(A285="","Code manquant",IF(COUNTIF(cli_code,A285)&gt;1,"Code en double",IF(B285="","Nom manquant",IF(AND(p_country="Maroc",C285&lt;&gt;"Particulier",OR(F285="",F285="Maroc"),G285=""),"ICE manquant (client professionnel)",IF(AND(G285&lt;&gt;"",NOT(AND(LEN(G285&amp;"")=15,SUBSTITUTE(SUBSTITUTE(SUBSTITUTE(SUBSTITUTE(SUBSTITUTE(SUBSTITUTE(SUBSTITUTE(SUBSTITUTE(SUBSTITUTE(SUBSTITUTE(G285&amp;"","0",""),"1",""),"2",""),"3",""),"4",""),"5",""),"6",""),"7",""),"8",""),"9","")=""))),"ICE : 15 chiffres attendus",IF(AND(H285&lt;&gt;"",NOT(AND(LEN(H285&amp;"")=9,SUBSTITUTE(SUBSTITUTE(SUBSTITUTE(SUBSTITUTE(SUBSTITUTE(SUBSTITUTE(SUBSTITUTE(SUBSTITUTE(SUBSTITUTE(SUBSTITUTE(H285&amp;"","0",""),"1",""),"2",""),"3",""),"4",""),"5",""),"6",""),"7",""),"8",""),"9","")=""))),"SIREN : 9 chiffres attendus",IF(AND(M285&lt;&gt;"",OR(NOT(ISNUMBER(M285)),N(M285)&lt;0)),"Délai de paiement invalide","OK"))))))))</f>
        <v/>
      </c>
      <c r="Q285" s="62" t="str">
        <f>IF(A285="","",ROUND(SUMIFS(fa_ht,fa_client,A285,fa_year,db_year)*100,0))</f>
        <v/>
      </c>
      <c r="R285" s="62" t="str">
        <f>IF(N(Q285)&lt;=0,"",COUNTIF($Q$6:$Q$305,"&gt;"&amp;Q285)+COUNTIF($Q$6:Q285,Q285))</f>
        <v/>
      </c>
      <c r="S285" s="62" t="str">
        <f>IF(A285="","",ROUND(SUMIFS(fa_reste,fa_client,A285,fa_reste,"&gt;0")*100,0))</f>
        <v/>
      </c>
      <c r="T285" s="62" t="str">
        <f>IF(N(S285)&lt;=0,"",COUNTIF($S$6:$S$305,"&gt;"&amp;S285)+COUNTIF($S$6:S285,S285))</f>
        <v/>
      </c>
    </row>
    <row r="286">
      <c r="A286" s="60" t="n"/>
      <c r="B286" s="63" t="n"/>
      <c r="C286" s="60" t="n"/>
      <c r="D286" s="63" t="n"/>
      <c r="E286" s="63" t="n"/>
      <c r="F286" s="60" t="n"/>
      <c r="G286" s="143" t="n"/>
      <c r="H286" s="143" t="n"/>
      <c r="I286" s="63" t="n"/>
      <c r="J286" s="63" t="n"/>
      <c r="K286" s="63" t="n"/>
      <c r="L286" s="63" t="n"/>
      <c r="M286" s="144" t="n"/>
      <c r="N286" s="65" t="str">
        <f>IF(A286="","",SUMIF(fa_client,A286,fa_ht))</f>
        <v/>
      </c>
      <c r="O286" s="65" t="str">
        <f>IF(A286="","",SUMIF(fa_client,A286,fa_reste))</f>
        <v/>
      </c>
      <c r="P286" s="59" t="str">
        <f>IF(COUNTA(A286:M286)=0,"",IF(A286="","Code manquant",IF(COUNTIF(cli_code,A286)&gt;1,"Code en double",IF(B286="","Nom manquant",IF(AND(p_country="Maroc",C286&lt;&gt;"Particulier",OR(F286="",F286="Maroc"),G286=""),"ICE manquant (client professionnel)",IF(AND(G286&lt;&gt;"",NOT(AND(LEN(G286&amp;"")=15,SUBSTITUTE(SUBSTITUTE(SUBSTITUTE(SUBSTITUTE(SUBSTITUTE(SUBSTITUTE(SUBSTITUTE(SUBSTITUTE(SUBSTITUTE(SUBSTITUTE(G286&amp;"","0",""),"1",""),"2",""),"3",""),"4",""),"5",""),"6",""),"7",""),"8",""),"9","")=""))),"ICE : 15 chiffres attendus",IF(AND(H286&lt;&gt;"",NOT(AND(LEN(H286&amp;"")=9,SUBSTITUTE(SUBSTITUTE(SUBSTITUTE(SUBSTITUTE(SUBSTITUTE(SUBSTITUTE(SUBSTITUTE(SUBSTITUTE(SUBSTITUTE(SUBSTITUTE(H286&amp;"","0",""),"1",""),"2",""),"3",""),"4",""),"5",""),"6",""),"7",""),"8",""),"9","")=""))),"SIREN : 9 chiffres attendus",IF(AND(M286&lt;&gt;"",OR(NOT(ISNUMBER(M286)),N(M286)&lt;0)),"Délai de paiement invalide","OK"))))))))</f>
        <v/>
      </c>
      <c r="Q286" s="62" t="str">
        <f>IF(A286="","",ROUND(SUMIFS(fa_ht,fa_client,A286,fa_year,db_year)*100,0))</f>
        <v/>
      </c>
      <c r="R286" s="62" t="str">
        <f>IF(N(Q286)&lt;=0,"",COUNTIF($Q$6:$Q$305,"&gt;"&amp;Q286)+COUNTIF($Q$6:Q286,Q286))</f>
        <v/>
      </c>
      <c r="S286" s="62" t="str">
        <f>IF(A286="","",ROUND(SUMIFS(fa_reste,fa_client,A286,fa_reste,"&gt;0")*100,0))</f>
        <v/>
      </c>
      <c r="T286" s="62" t="str">
        <f>IF(N(S286)&lt;=0,"",COUNTIF($S$6:$S$305,"&gt;"&amp;S286)+COUNTIF($S$6:S286,S286))</f>
        <v/>
      </c>
    </row>
    <row r="287">
      <c r="A287" s="60" t="n"/>
      <c r="B287" s="63" t="n"/>
      <c r="C287" s="60" t="n"/>
      <c r="D287" s="63" t="n"/>
      <c r="E287" s="63" t="n"/>
      <c r="F287" s="60" t="n"/>
      <c r="G287" s="143" t="n"/>
      <c r="H287" s="143" t="n"/>
      <c r="I287" s="63" t="n"/>
      <c r="J287" s="63" t="n"/>
      <c r="K287" s="63" t="n"/>
      <c r="L287" s="63" t="n"/>
      <c r="M287" s="144" t="n"/>
      <c r="N287" s="65" t="str">
        <f>IF(A287="","",SUMIF(fa_client,A287,fa_ht))</f>
        <v/>
      </c>
      <c r="O287" s="65" t="str">
        <f>IF(A287="","",SUMIF(fa_client,A287,fa_reste))</f>
        <v/>
      </c>
      <c r="P287" s="59" t="str">
        <f>IF(COUNTA(A287:M287)=0,"",IF(A287="","Code manquant",IF(COUNTIF(cli_code,A287)&gt;1,"Code en double",IF(B287="","Nom manquant",IF(AND(p_country="Maroc",C287&lt;&gt;"Particulier",OR(F287="",F287="Maroc"),G287=""),"ICE manquant (client professionnel)",IF(AND(G287&lt;&gt;"",NOT(AND(LEN(G287&amp;"")=15,SUBSTITUTE(SUBSTITUTE(SUBSTITUTE(SUBSTITUTE(SUBSTITUTE(SUBSTITUTE(SUBSTITUTE(SUBSTITUTE(SUBSTITUTE(SUBSTITUTE(G287&amp;"","0",""),"1",""),"2",""),"3",""),"4",""),"5",""),"6",""),"7",""),"8",""),"9","")=""))),"ICE : 15 chiffres attendus",IF(AND(H287&lt;&gt;"",NOT(AND(LEN(H287&amp;"")=9,SUBSTITUTE(SUBSTITUTE(SUBSTITUTE(SUBSTITUTE(SUBSTITUTE(SUBSTITUTE(SUBSTITUTE(SUBSTITUTE(SUBSTITUTE(SUBSTITUTE(H287&amp;"","0",""),"1",""),"2",""),"3",""),"4",""),"5",""),"6",""),"7",""),"8",""),"9","")=""))),"SIREN : 9 chiffres attendus",IF(AND(M287&lt;&gt;"",OR(NOT(ISNUMBER(M287)),N(M287)&lt;0)),"Délai de paiement invalide","OK"))))))))</f>
        <v/>
      </c>
      <c r="Q287" s="62" t="str">
        <f>IF(A287="","",ROUND(SUMIFS(fa_ht,fa_client,A287,fa_year,db_year)*100,0))</f>
        <v/>
      </c>
      <c r="R287" s="62" t="str">
        <f>IF(N(Q287)&lt;=0,"",COUNTIF($Q$6:$Q$305,"&gt;"&amp;Q287)+COUNTIF($Q$6:Q287,Q287))</f>
        <v/>
      </c>
      <c r="S287" s="62" t="str">
        <f>IF(A287="","",ROUND(SUMIFS(fa_reste,fa_client,A287,fa_reste,"&gt;0")*100,0))</f>
        <v/>
      </c>
      <c r="T287" s="62" t="str">
        <f>IF(N(S287)&lt;=0,"",COUNTIF($S$6:$S$305,"&gt;"&amp;S287)+COUNTIF($S$6:S287,S287))</f>
        <v/>
      </c>
    </row>
    <row r="288">
      <c r="A288" s="60" t="n"/>
      <c r="B288" s="63" t="n"/>
      <c r="C288" s="60" t="n"/>
      <c r="D288" s="63" t="n"/>
      <c r="E288" s="63" t="n"/>
      <c r="F288" s="60" t="n"/>
      <c r="G288" s="143" t="n"/>
      <c r="H288" s="143" t="n"/>
      <c r="I288" s="63" t="n"/>
      <c r="J288" s="63" t="n"/>
      <c r="K288" s="63" t="n"/>
      <c r="L288" s="63" t="n"/>
      <c r="M288" s="144" t="n"/>
      <c r="N288" s="65" t="str">
        <f>IF(A288="","",SUMIF(fa_client,A288,fa_ht))</f>
        <v/>
      </c>
      <c r="O288" s="65" t="str">
        <f>IF(A288="","",SUMIF(fa_client,A288,fa_reste))</f>
        <v/>
      </c>
      <c r="P288" s="59" t="str">
        <f>IF(COUNTA(A288:M288)=0,"",IF(A288="","Code manquant",IF(COUNTIF(cli_code,A288)&gt;1,"Code en double",IF(B288="","Nom manquant",IF(AND(p_country="Maroc",C288&lt;&gt;"Particulier",OR(F288="",F288="Maroc"),G288=""),"ICE manquant (client professionnel)",IF(AND(G288&lt;&gt;"",NOT(AND(LEN(G288&amp;"")=15,SUBSTITUTE(SUBSTITUTE(SUBSTITUTE(SUBSTITUTE(SUBSTITUTE(SUBSTITUTE(SUBSTITUTE(SUBSTITUTE(SUBSTITUTE(SUBSTITUTE(G288&amp;"","0",""),"1",""),"2",""),"3",""),"4",""),"5",""),"6",""),"7",""),"8",""),"9","")=""))),"ICE : 15 chiffres attendus",IF(AND(H288&lt;&gt;"",NOT(AND(LEN(H288&amp;"")=9,SUBSTITUTE(SUBSTITUTE(SUBSTITUTE(SUBSTITUTE(SUBSTITUTE(SUBSTITUTE(SUBSTITUTE(SUBSTITUTE(SUBSTITUTE(SUBSTITUTE(H288&amp;"","0",""),"1",""),"2",""),"3",""),"4",""),"5",""),"6",""),"7",""),"8",""),"9","")=""))),"SIREN : 9 chiffres attendus",IF(AND(M288&lt;&gt;"",OR(NOT(ISNUMBER(M288)),N(M288)&lt;0)),"Délai de paiement invalide","OK"))))))))</f>
        <v/>
      </c>
      <c r="Q288" s="62" t="str">
        <f>IF(A288="","",ROUND(SUMIFS(fa_ht,fa_client,A288,fa_year,db_year)*100,0))</f>
        <v/>
      </c>
      <c r="R288" s="62" t="str">
        <f>IF(N(Q288)&lt;=0,"",COUNTIF($Q$6:$Q$305,"&gt;"&amp;Q288)+COUNTIF($Q$6:Q288,Q288))</f>
        <v/>
      </c>
      <c r="S288" s="62" t="str">
        <f>IF(A288="","",ROUND(SUMIFS(fa_reste,fa_client,A288,fa_reste,"&gt;0")*100,0))</f>
        <v/>
      </c>
      <c r="T288" s="62" t="str">
        <f>IF(N(S288)&lt;=0,"",COUNTIF($S$6:$S$305,"&gt;"&amp;S288)+COUNTIF($S$6:S288,S288))</f>
        <v/>
      </c>
    </row>
    <row r="289">
      <c r="A289" s="60" t="n"/>
      <c r="B289" s="63" t="n"/>
      <c r="C289" s="60" t="n"/>
      <c r="D289" s="63" t="n"/>
      <c r="E289" s="63" t="n"/>
      <c r="F289" s="60" t="n"/>
      <c r="G289" s="143" t="n"/>
      <c r="H289" s="143" t="n"/>
      <c r="I289" s="63" t="n"/>
      <c r="J289" s="63" t="n"/>
      <c r="K289" s="63" t="n"/>
      <c r="L289" s="63" t="n"/>
      <c r="M289" s="144" t="n"/>
      <c r="N289" s="65" t="str">
        <f>IF(A289="","",SUMIF(fa_client,A289,fa_ht))</f>
        <v/>
      </c>
      <c r="O289" s="65" t="str">
        <f>IF(A289="","",SUMIF(fa_client,A289,fa_reste))</f>
        <v/>
      </c>
      <c r="P289" s="59" t="str">
        <f>IF(COUNTA(A289:M289)=0,"",IF(A289="","Code manquant",IF(COUNTIF(cli_code,A289)&gt;1,"Code en double",IF(B289="","Nom manquant",IF(AND(p_country="Maroc",C289&lt;&gt;"Particulier",OR(F289="",F289="Maroc"),G289=""),"ICE manquant (client professionnel)",IF(AND(G289&lt;&gt;"",NOT(AND(LEN(G289&amp;"")=15,SUBSTITUTE(SUBSTITUTE(SUBSTITUTE(SUBSTITUTE(SUBSTITUTE(SUBSTITUTE(SUBSTITUTE(SUBSTITUTE(SUBSTITUTE(SUBSTITUTE(G289&amp;"","0",""),"1",""),"2",""),"3",""),"4",""),"5",""),"6",""),"7",""),"8",""),"9","")=""))),"ICE : 15 chiffres attendus",IF(AND(H289&lt;&gt;"",NOT(AND(LEN(H289&amp;"")=9,SUBSTITUTE(SUBSTITUTE(SUBSTITUTE(SUBSTITUTE(SUBSTITUTE(SUBSTITUTE(SUBSTITUTE(SUBSTITUTE(SUBSTITUTE(SUBSTITUTE(H289&amp;"","0",""),"1",""),"2",""),"3",""),"4",""),"5",""),"6",""),"7",""),"8",""),"9","")=""))),"SIREN : 9 chiffres attendus",IF(AND(M289&lt;&gt;"",OR(NOT(ISNUMBER(M289)),N(M289)&lt;0)),"Délai de paiement invalide","OK"))))))))</f>
        <v/>
      </c>
      <c r="Q289" s="62" t="str">
        <f>IF(A289="","",ROUND(SUMIFS(fa_ht,fa_client,A289,fa_year,db_year)*100,0))</f>
        <v/>
      </c>
      <c r="R289" s="62" t="str">
        <f>IF(N(Q289)&lt;=0,"",COUNTIF($Q$6:$Q$305,"&gt;"&amp;Q289)+COUNTIF($Q$6:Q289,Q289))</f>
        <v/>
      </c>
      <c r="S289" s="62" t="str">
        <f>IF(A289="","",ROUND(SUMIFS(fa_reste,fa_client,A289,fa_reste,"&gt;0")*100,0))</f>
        <v/>
      </c>
      <c r="T289" s="62" t="str">
        <f>IF(N(S289)&lt;=0,"",COUNTIF($S$6:$S$305,"&gt;"&amp;S289)+COUNTIF($S$6:S289,S289))</f>
        <v/>
      </c>
    </row>
    <row r="290">
      <c r="A290" s="60" t="n"/>
      <c r="B290" s="63" t="n"/>
      <c r="C290" s="60" t="n"/>
      <c r="D290" s="63" t="n"/>
      <c r="E290" s="63" t="n"/>
      <c r="F290" s="60" t="n"/>
      <c r="G290" s="143" t="n"/>
      <c r="H290" s="143" t="n"/>
      <c r="I290" s="63" t="n"/>
      <c r="J290" s="63" t="n"/>
      <c r="K290" s="63" t="n"/>
      <c r="L290" s="63" t="n"/>
      <c r="M290" s="144" t="n"/>
      <c r="N290" s="65" t="str">
        <f>IF(A290="","",SUMIF(fa_client,A290,fa_ht))</f>
        <v/>
      </c>
      <c r="O290" s="65" t="str">
        <f>IF(A290="","",SUMIF(fa_client,A290,fa_reste))</f>
        <v/>
      </c>
      <c r="P290" s="59" t="str">
        <f>IF(COUNTA(A290:M290)=0,"",IF(A290="","Code manquant",IF(COUNTIF(cli_code,A290)&gt;1,"Code en double",IF(B290="","Nom manquant",IF(AND(p_country="Maroc",C290&lt;&gt;"Particulier",OR(F290="",F290="Maroc"),G290=""),"ICE manquant (client professionnel)",IF(AND(G290&lt;&gt;"",NOT(AND(LEN(G290&amp;"")=15,SUBSTITUTE(SUBSTITUTE(SUBSTITUTE(SUBSTITUTE(SUBSTITUTE(SUBSTITUTE(SUBSTITUTE(SUBSTITUTE(SUBSTITUTE(SUBSTITUTE(G290&amp;"","0",""),"1",""),"2",""),"3",""),"4",""),"5",""),"6",""),"7",""),"8",""),"9","")=""))),"ICE : 15 chiffres attendus",IF(AND(H290&lt;&gt;"",NOT(AND(LEN(H290&amp;"")=9,SUBSTITUTE(SUBSTITUTE(SUBSTITUTE(SUBSTITUTE(SUBSTITUTE(SUBSTITUTE(SUBSTITUTE(SUBSTITUTE(SUBSTITUTE(SUBSTITUTE(H290&amp;"","0",""),"1",""),"2",""),"3",""),"4",""),"5",""),"6",""),"7",""),"8",""),"9","")=""))),"SIREN : 9 chiffres attendus",IF(AND(M290&lt;&gt;"",OR(NOT(ISNUMBER(M290)),N(M290)&lt;0)),"Délai de paiement invalide","OK"))))))))</f>
        <v/>
      </c>
      <c r="Q290" s="62" t="str">
        <f>IF(A290="","",ROUND(SUMIFS(fa_ht,fa_client,A290,fa_year,db_year)*100,0))</f>
        <v/>
      </c>
      <c r="R290" s="62" t="str">
        <f>IF(N(Q290)&lt;=0,"",COUNTIF($Q$6:$Q$305,"&gt;"&amp;Q290)+COUNTIF($Q$6:Q290,Q290))</f>
        <v/>
      </c>
      <c r="S290" s="62" t="str">
        <f>IF(A290="","",ROUND(SUMIFS(fa_reste,fa_client,A290,fa_reste,"&gt;0")*100,0))</f>
        <v/>
      </c>
      <c r="T290" s="62" t="str">
        <f>IF(N(S290)&lt;=0,"",COUNTIF($S$6:$S$305,"&gt;"&amp;S290)+COUNTIF($S$6:S290,S290))</f>
        <v/>
      </c>
    </row>
    <row r="291">
      <c r="A291" s="60" t="n"/>
      <c r="B291" s="63" t="n"/>
      <c r="C291" s="60" t="n"/>
      <c r="D291" s="63" t="n"/>
      <c r="E291" s="63" t="n"/>
      <c r="F291" s="60" t="n"/>
      <c r="G291" s="143" t="n"/>
      <c r="H291" s="143" t="n"/>
      <c r="I291" s="63" t="n"/>
      <c r="J291" s="63" t="n"/>
      <c r="K291" s="63" t="n"/>
      <c r="L291" s="63" t="n"/>
      <c r="M291" s="144" t="n"/>
      <c r="N291" s="65" t="str">
        <f>IF(A291="","",SUMIF(fa_client,A291,fa_ht))</f>
        <v/>
      </c>
      <c r="O291" s="65" t="str">
        <f>IF(A291="","",SUMIF(fa_client,A291,fa_reste))</f>
        <v/>
      </c>
      <c r="P291" s="59" t="str">
        <f>IF(COUNTA(A291:M291)=0,"",IF(A291="","Code manquant",IF(COUNTIF(cli_code,A291)&gt;1,"Code en double",IF(B291="","Nom manquant",IF(AND(p_country="Maroc",C291&lt;&gt;"Particulier",OR(F291="",F291="Maroc"),G291=""),"ICE manquant (client professionnel)",IF(AND(G291&lt;&gt;"",NOT(AND(LEN(G291&amp;"")=15,SUBSTITUTE(SUBSTITUTE(SUBSTITUTE(SUBSTITUTE(SUBSTITUTE(SUBSTITUTE(SUBSTITUTE(SUBSTITUTE(SUBSTITUTE(SUBSTITUTE(G291&amp;"","0",""),"1",""),"2",""),"3",""),"4",""),"5",""),"6",""),"7",""),"8",""),"9","")=""))),"ICE : 15 chiffres attendus",IF(AND(H291&lt;&gt;"",NOT(AND(LEN(H291&amp;"")=9,SUBSTITUTE(SUBSTITUTE(SUBSTITUTE(SUBSTITUTE(SUBSTITUTE(SUBSTITUTE(SUBSTITUTE(SUBSTITUTE(SUBSTITUTE(SUBSTITUTE(H291&amp;"","0",""),"1",""),"2",""),"3",""),"4",""),"5",""),"6",""),"7",""),"8",""),"9","")=""))),"SIREN : 9 chiffres attendus",IF(AND(M291&lt;&gt;"",OR(NOT(ISNUMBER(M291)),N(M291)&lt;0)),"Délai de paiement invalide","OK"))))))))</f>
        <v/>
      </c>
      <c r="Q291" s="62" t="str">
        <f>IF(A291="","",ROUND(SUMIFS(fa_ht,fa_client,A291,fa_year,db_year)*100,0))</f>
        <v/>
      </c>
      <c r="R291" s="62" t="str">
        <f>IF(N(Q291)&lt;=0,"",COUNTIF($Q$6:$Q$305,"&gt;"&amp;Q291)+COUNTIF($Q$6:Q291,Q291))</f>
        <v/>
      </c>
      <c r="S291" s="62" t="str">
        <f>IF(A291="","",ROUND(SUMIFS(fa_reste,fa_client,A291,fa_reste,"&gt;0")*100,0))</f>
        <v/>
      </c>
      <c r="T291" s="62" t="str">
        <f>IF(N(S291)&lt;=0,"",COUNTIF($S$6:$S$305,"&gt;"&amp;S291)+COUNTIF($S$6:S291,S291))</f>
        <v/>
      </c>
    </row>
    <row r="292">
      <c r="A292" s="60" t="n"/>
      <c r="B292" s="63" t="n"/>
      <c r="C292" s="60" t="n"/>
      <c r="D292" s="63" t="n"/>
      <c r="E292" s="63" t="n"/>
      <c r="F292" s="60" t="n"/>
      <c r="G292" s="143" t="n"/>
      <c r="H292" s="143" t="n"/>
      <c r="I292" s="63" t="n"/>
      <c r="J292" s="63" t="n"/>
      <c r="K292" s="63" t="n"/>
      <c r="L292" s="63" t="n"/>
      <c r="M292" s="144" t="n"/>
      <c r="N292" s="65" t="str">
        <f>IF(A292="","",SUMIF(fa_client,A292,fa_ht))</f>
        <v/>
      </c>
      <c r="O292" s="65" t="str">
        <f>IF(A292="","",SUMIF(fa_client,A292,fa_reste))</f>
        <v/>
      </c>
      <c r="P292" s="59" t="str">
        <f>IF(COUNTA(A292:M292)=0,"",IF(A292="","Code manquant",IF(COUNTIF(cli_code,A292)&gt;1,"Code en double",IF(B292="","Nom manquant",IF(AND(p_country="Maroc",C292&lt;&gt;"Particulier",OR(F292="",F292="Maroc"),G292=""),"ICE manquant (client professionnel)",IF(AND(G292&lt;&gt;"",NOT(AND(LEN(G292&amp;"")=15,SUBSTITUTE(SUBSTITUTE(SUBSTITUTE(SUBSTITUTE(SUBSTITUTE(SUBSTITUTE(SUBSTITUTE(SUBSTITUTE(SUBSTITUTE(SUBSTITUTE(G292&amp;"","0",""),"1",""),"2",""),"3",""),"4",""),"5",""),"6",""),"7",""),"8",""),"9","")=""))),"ICE : 15 chiffres attendus",IF(AND(H292&lt;&gt;"",NOT(AND(LEN(H292&amp;"")=9,SUBSTITUTE(SUBSTITUTE(SUBSTITUTE(SUBSTITUTE(SUBSTITUTE(SUBSTITUTE(SUBSTITUTE(SUBSTITUTE(SUBSTITUTE(SUBSTITUTE(H292&amp;"","0",""),"1",""),"2",""),"3",""),"4",""),"5",""),"6",""),"7",""),"8",""),"9","")=""))),"SIREN : 9 chiffres attendus",IF(AND(M292&lt;&gt;"",OR(NOT(ISNUMBER(M292)),N(M292)&lt;0)),"Délai de paiement invalide","OK"))))))))</f>
        <v/>
      </c>
      <c r="Q292" s="62" t="str">
        <f>IF(A292="","",ROUND(SUMIFS(fa_ht,fa_client,A292,fa_year,db_year)*100,0))</f>
        <v/>
      </c>
      <c r="R292" s="62" t="str">
        <f>IF(N(Q292)&lt;=0,"",COUNTIF($Q$6:$Q$305,"&gt;"&amp;Q292)+COUNTIF($Q$6:Q292,Q292))</f>
        <v/>
      </c>
      <c r="S292" s="62" t="str">
        <f>IF(A292="","",ROUND(SUMIFS(fa_reste,fa_client,A292,fa_reste,"&gt;0")*100,0))</f>
        <v/>
      </c>
      <c r="T292" s="62" t="str">
        <f>IF(N(S292)&lt;=0,"",COUNTIF($S$6:$S$305,"&gt;"&amp;S292)+COUNTIF($S$6:S292,S292))</f>
        <v/>
      </c>
    </row>
    <row r="293">
      <c r="A293" s="60" t="n"/>
      <c r="B293" s="63" t="n"/>
      <c r="C293" s="60" t="n"/>
      <c r="D293" s="63" t="n"/>
      <c r="E293" s="63" t="n"/>
      <c r="F293" s="60" t="n"/>
      <c r="G293" s="143" t="n"/>
      <c r="H293" s="143" t="n"/>
      <c r="I293" s="63" t="n"/>
      <c r="J293" s="63" t="n"/>
      <c r="K293" s="63" t="n"/>
      <c r="L293" s="63" t="n"/>
      <c r="M293" s="144" t="n"/>
      <c r="N293" s="65" t="str">
        <f>IF(A293="","",SUMIF(fa_client,A293,fa_ht))</f>
        <v/>
      </c>
      <c r="O293" s="65" t="str">
        <f>IF(A293="","",SUMIF(fa_client,A293,fa_reste))</f>
        <v/>
      </c>
      <c r="P293" s="59" t="str">
        <f>IF(COUNTA(A293:M293)=0,"",IF(A293="","Code manquant",IF(COUNTIF(cli_code,A293)&gt;1,"Code en double",IF(B293="","Nom manquant",IF(AND(p_country="Maroc",C293&lt;&gt;"Particulier",OR(F293="",F293="Maroc"),G293=""),"ICE manquant (client professionnel)",IF(AND(G293&lt;&gt;"",NOT(AND(LEN(G293&amp;"")=15,SUBSTITUTE(SUBSTITUTE(SUBSTITUTE(SUBSTITUTE(SUBSTITUTE(SUBSTITUTE(SUBSTITUTE(SUBSTITUTE(SUBSTITUTE(SUBSTITUTE(G293&amp;"","0",""),"1",""),"2",""),"3",""),"4",""),"5",""),"6",""),"7",""),"8",""),"9","")=""))),"ICE : 15 chiffres attendus",IF(AND(H293&lt;&gt;"",NOT(AND(LEN(H293&amp;"")=9,SUBSTITUTE(SUBSTITUTE(SUBSTITUTE(SUBSTITUTE(SUBSTITUTE(SUBSTITUTE(SUBSTITUTE(SUBSTITUTE(SUBSTITUTE(SUBSTITUTE(H293&amp;"","0",""),"1",""),"2",""),"3",""),"4",""),"5",""),"6",""),"7",""),"8",""),"9","")=""))),"SIREN : 9 chiffres attendus",IF(AND(M293&lt;&gt;"",OR(NOT(ISNUMBER(M293)),N(M293)&lt;0)),"Délai de paiement invalide","OK"))))))))</f>
        <v/>
      </c>
      <c r="Q293" s="62" t="str">
        <f>IF(A293="","",ROUND(SUMIFS(fa_ht,fa_client,A293,fa_year,db_year)*100,0))</f>
        <v/>
      </c>
      <c r="R293" s="62" t="str">
        <f>IF(N(Q293)&lt;=0,"",COUNTIF($Q$6:$Q$305,"&gt;"&amp;Q293)+COUNTIF($Q$6:Q293,Q293))</f>
        <v/>
      </c>
      <c r="S293" s="62" t="str">
        <f>IF(A293="","",ROUND(SUMIFS(fa_reste,fa_client,A293,fa_reste,"&gt;0")*100,0))</f>
        <v/>
      </c>
      <c r="T293" s="62" t="str">
        <f>IF(N(S293)&lt;=0,"",COUNTIF($S$6:$S$305,"&gt;"&amp;S293)+COUNTIF($S$6:S293,S293))</f>
        <v/>
      </c>
    </row>
    <row r="294">
      <c r="A294" s="60" t="n"/>
      <c r="B294" s="63" t="n"/>
      <c r="C294" s="60" t="n"/>
      <c r="D294" s="63" t="n"/>
      <c r="E294" s="63" t="n"/>
      <c r="F294" s="60" t="n"/>
      <c r="G294" s="143" t="n"/>
      <c r="H294" s="143" t="n"/>
      <c r="I294" s="63" t="n"/>
      <c r="J294" s="63" t="n"/>
      <c r="K294" s="63" t="n"/>
      <c r="L294" s="63" t="n"/>
      <c r="M294" s="144" t="n"/>
      <c r="N294" s="65" t="str">
        <f>IF(A294="","",SUMIF(fa_client,A294,fa_ht))</f>
        <v/>
      </c>
      <c r="O294" s="65" t="str">
        <f>IF(A294="","",SUMIF(fa_client,A294,fa_reste))</f>
        <v/>
      </c>
      <c r="P294" s="59" t="str">
        <f>IF(COUNTA(A294:M294)=0,"",IF(A294="","Code manquant",IF(COUNTIF(cli_code,A294)&gt;1,"Code en double",IF(B294="","Nom manquant",IF(AND(p_country="Maroc",C294&lt;&gt;"Particulier",OR(F294="",F294="Maroc"),G294=""),"ICE manquant (client professionnel)",IF(AND(G294&lt;&gt;"",NOT(AND(LEN(G294&amp;"")=15,SUBSTITUTE(SUBSTITUTE(SUBSTITUTE(SUBSTITUTE(SUBSTITUTE(SUBSTITUTE(SUBSTITUTE(SUBSTITUTE(SUBSTITUTE(SUBSTITUTE(G294&amp;"","0",""),"1",""),"2",""),"3",""),"4",""),"5",""),"6",""),"7",""),"8",""),"9","")=""))),"ICE : 15 chiffres attendus",IF(AND(H294&lt;&gt;"",NOT(AND(LEN(H294&amp;"")=9,SUBSTITUTE(SUBSTITUTE(SUBSTITUTE(SUBSTITUTE(SUBSTITUTE(SUBSTITUTE(SUBSTITUTE(SUBSTITUTE(SUBSTITUTE(SUBSTITUTE(H294&amp;"","0",""),"1",""),"2",""),"3",""),"4",""),"5",""),"6",""),"7",""),"8",""),"9","")=""))),"SIREN : 9 chiffres attendus",IF(AND(M294&lt;&gt;"",OR(NOT(ISNUMBER(M294)),N(M294)&lt;0)),"Délai de paiement invalide","OK"))))))))</f>
        <v/>
      </c>
      <c r="Q294" s="62" t="str">
        <f>IF(A294="","",ROUND(SUMIFS(fa_ht,fa_client,A294,fa_year,db_year)*100,0))</f>
        <v/>
      </c>
      <c r="R294" s="62" t="str">
        <f>IF(N(Q294)&lt;=0,"",COUNTIF($Q$6:$Q$305,"&gt;"&amp;Q294)+COUNTIF($Q$6:Q294,Q294))</f>
        <v/>
      </c>
      <c r="S294" s="62" t="str">
        <f>IF(A294="","",ROUND(SUMIFS(fa_reste,fa_client,A294,fa_reste,"&gt;0")*100,0))</f>
        <v/>
      </c>
      <c r="T294" s="62" t="str">
        <f>IF(N(S294)&lt;=0,"",COUNTIF($S$6:$S$305,"&gt;"&amp;S294)+COUNTIF($S$6:S294,S294))</f>
        <v/>
      </c>
    </row>
    <row r="295">
      <c r="A295" s="60" t="n"/>
      <c r="B295" s="63" t="n"/>
      <c r="C295" s="60" t="n"/>
      <c r="D295" s="63" t="n"/>
      <c r="E295" s="63" t="n"/>
      <c r="F295" s="60" t="n"/>
      <c r="G295" s="143" t="n"/>
      <c r="H295" s="143" t="n"/>
      <c r="I295" s="63" t="n"/>
      <c r="J295" s="63" t="n"/>
      <c r="K295" s="63" t="n"/>
      <c r="L295" s="63" t="n"/>
      <c r="M295" s="144" t="n"/>
      <c r="N295" s="65" t="str">
        <f>IF(A295="","",SUMIF(fa_client,A295,fa_ht))</f>
        <v/>
      </c>
      <c r="O295" s="65" t="str">
        <f>IF(A295="","",SUMIF(fa_client,A295,fa_reste))</f>
        <v/>
      </c>
      <c r="P295" s="59" t="str">
        <f>IF(COUNTA(A295:M295)=0,"",IF(A295="","Code manquant",IF(COUNTIF(cli_code,A295)&gt;1,"Code en double",IF(B295="","Nom manquant",IF(AND(p_country="Maroc",C295&lt;&gt;"Particulier",OR(F295="",F295="Maroc"),G295=""),"ICE manquant (client professionnel)",IF(AND(G295&lt;&gt;"",NOT(AND(LEN(G295&amp;"")=15,SUBSTITUTE(SUBSTITUTE(SUBSTITUTE(SUBSTITUTE(SUBSTITUTE(SUBSTITUTE(SUBSTITUTE(SUBSTITUTE(SUBSTITUTE(SUBSTITUTE(G295&amp;"","0",""),"1",""),"2",""),"3",""),"4",""),"5",""),"6",""),"7",""),"8",""),"9","")=""))),"ICE : 15 chiffres attendus",IF(AND(H295&lt;&gt;"",NOT(AND(LEN(H295&amp;"")=9,SUBSTITUTE(SUBSTITUTE(SUBSTITUTE(SUBSTITUTE(SUBSTITUTE(SUBSTITUTE(SUBSTITUTE(SUBSTITUTE(SUBSTITUTE(SUBSTITUTE(H295&amp;"","0",""),"1",""),"2",""),"3",""),"4",""),"5",""),"6",""),"7",""),"8",""),"9","")=""))),"SIREN : 9 chiffres attendus",IF(AND(M295&lt;&gt;"",OR(NOT(ISNUMBER(M295)),N(M295)&lt;0)),"Délai de paiement invalide","OK"))))))))</f>
        <v/>
      </c>
      <c r="Q295" s="62" t="str">
        <f>IF(A295="","",ROUND(SUMIFS(fa_ht,fa_client,A295,fa_year,db_year)*100,0))</f>
        <v/>
      </c>
      <c r="R295" s="62" t="str">
        <f>IF(N(Q295)&lt;=0,"",COUNTIF($Q$6:$Q$305,"&gt;"&amp;Q295)+COUNTIF($Q$6:Q295,Q295))</f>
        <v/>
      </c>
      <c r="S295" s="62" t="str">
        <f>IF(A295="","",ROUND(SUMIFS(fa_reste,fa_client,A295,fa_reste,"&gt;0")*100,0))</f>
        <v/>
      </c>
      <c r="T295" s="62" t="str">
        <f>IF(N(S295)&lt;=0,"",COUNTIF($S$6:$S$305,"&gt;"&amp;S295)+COUNTIF($S$6:S295,S295))</f>
        <v/>
      </c>
    </row>
    <row r="296">
      <c r="A296" s="60" t="n"/>
      <c r="B296" s="63" t="n"/>
      <c r="C296" s="60" t="n"/>
      <c r="D296" s="63" t="n"/>
      <c r="E296" s="63" t="n"/>
      <c r="F296" s="60" t="n"/>
      <c r="G296" s="143" t="n"/>
      <c r="H296" s="143" t="n"/>
      <c r="I296" s="63" t="n"/>
      <c r="J296" s="63" t="n"/>
      <c r="K296" s="63" t="n"/>
      <c r="L296" s="63" t="n"/>
      <c r="M296" s="144" t="n"/>
      <c r="N296" s="65" t="str">
        <f>IF(A296="","",SUMIF(fa_client,A296,fa_ht))</f>
        <v/>
      </c>
      <c r="O296" s="65" t="str">
        <f>IF(A296="","",SUMIF(fa_client,A296,fa_reste))</f>
        <v/>
      </c>
      <c r="P296" s="59" t="str">
        <f>IF(COUNTA(A296:M296)=0,"",IF(A296="","Code manquant",IF(COUNTIF(cli_code,A296)&gt;1,"Code en double",IF(B296="","Nom manquant",IF(AND(p_country="Maroc",C296&lt;&gt;"Particulier",OR(F296="",F296="Maroc"),G296=""),"ICE manquant (client professionnel)",IF(AND(G296&lt;&gt;"",NOT(AND(LEN(G296&amp;"")=15,SUBSTITUTE(SUBSTITUTE(SUBSTITUTE(SUBSTITUTE(SUBSTITUTE(SUBSTITUTE(SUBSTITUTE(SUBSTITUTE(SUBSTITUTE(SUBSTITUTE(G296&amp;"","0",""),"1",""),"2",""),"3",""),"4",""),"5",""),"6",""),"7",""),"8",""),"9","")=""))),"ICE : 15 chiffres attendus",IF(AND(H296&lt;&gt;"",NOT(AND(LEN(H296&amp;"")=9,SUBSTITUTE(SUBSTITUTE(SUBSTITUTE(SUBSTITUTE(SUBSTITUTE(SUBSTITUTE(SUBSTITUTE(SUBSTITUTE(SUBSTITUTE(SUBSTITUTE(H296&amp;"","0",""),"1",""),"2",""),"3",""),"4",""),"5",""),"6",""),"7",""),"8",""),"9","")=""))),"SIREN : 9 chiffres attendus",IF(AND(M296&lt;&gt;"",OR(NOT(ISNUMBER(M296)),N(M296)&lt;0)),"Délai de paiement invalide","OK"))))))))</f>
        <v/>
      </c>
      <c r="Q296" s="62" t="str">
        <f>IF(A296="","",ROUND(SUMIFS(fa_ht,fa_client,A296,fa_year,db_year)*100,0))</f>
        <v/>
      </c>
      <c r="R296" s="62" t="str">
        <f>IF(N(Q296)&lt;=0,"",COUNTIF($Q$6:$Q$305,"&gt;"&amp;Q296)+COUNTIF($Q$6:Q296,Q296))</f>
        <v/>
      </c>
      <c r="S296" s="62" t="str">
        <f>IF(A296="","",ROUND(SUMIFS(fa_reste,fa_client,A296,fa_reste,"&gt;0")*100,0))</f>
        <v/>
      </c>
      <c r="T296" s="62" t="str">
        <f>IF(N(S296)&lt;=0,"",COUNTIF($S$6:$S$305,"&gt;"&amp;S296)+COUNTIF($S$6:S296,S296))</f>
        <v/>
      </c>
    </row>
    <row r="297">
      <c r="A297" s="60" t="n"/>
      <c r="B297" s="63" t="n"/>
      <c r="C297" s="60" t="n"/>
      <c r="D297" s="63" t="n"/>
      <c r="E297" s="63" t="n"/>
      <c r="F297" s="60" t="n"/>
      <c r="G297" s="143" t="n"/>
      <c r="H297" s="143" t="n"/>
      <c r="I297" s="63" t="n"/>
      <c r="J297" s="63" t="n"/>
      <c r="K297" s="63" t="n"/>
      <c r="L297" s="63" t="n"/>
      <c r="M297" s="144" t="n"/>
      <c r="N297" s="65" t="str">
        <f>IF(A297="","",SUMIF(fa_client,A297,fa_ht))</f>
        <v/>
      </c>
      <c r="O297" s="65" t="str">
        <f>IF(A297="","",SUMIF(fa_client,A297,fa_reste))</f>
        <v/>
      </c>
      <c r="P297" s="59" t="str">
        <f>IF(COUNTA(A297:M297)=0,"",IF(A297="","Code manquant",IF(COUNTIF(cli_code,A297)&gt;1,"Code en double",IF(B297="","Nom manquant",IF(AND(p_country="Maroc",C297&lt;&gt;"Particulier",OR(F297="",F297="Maroc"),G297=""),"ICE manquant (client professionnel)",IF(AND(G297&lt;&gt;"",NOT(AND(LEN(G297&amp;"")=15,SUBSTITUTE(SUBSTITUTE(SUBSTITUTE(SUBSTITUTE(SUBSTITUTE(SUBSTITUTE(SUBSTITUTE(SUBSTITUTE(SUBSTITUTE(SUBSTITUTE(G297&amp;"","0",""),"1",""),"2",""),"3",""),"4",""),"5",""),"6",""),"7",""),"8",""),"9","")=""))),"ICE : 15 chiffres attendus",IF(AND(H297&lt;&gt;"",NOT(AND(LEN(H297&amp;"")=9,SUBSTITUTE(SUBSTITUTE(SUBSTITUTE(SUBSTITUTE(SUBSTITUTE(SUBSTITUTE(SUBSTITUTE(SUBSTITUTE(SUBSTITUTE(SUBSTITUTE(H297&amp;"","0",""),"1",""),"2",""),"3",""),"4",""),"5",""),"6",""),"7",""),"8",""),"9","")=""))),"SIREN : 9 chiffres attendus",IF(AND(M297&lt;&gt;"",OR(NOT(ISNUMBER(M297)),N(M297)&lt;0)),"Délai de paiement invalide","OK"))))))))</f>
        <v/>
      </c>
      <c r="Q297" s="62" t="str">
        <f>IF(A297="","",ROUND(SUMIFS(fa_ht,fa_client,A297,fa_year,db_year)*100,0))</f>
        <v/>
      </c>
      <c r="R297" s="62" t="str">
        <f>IF(N(Q297)&lt;=0,"",COUNTIF($Q$6:$Q$305,"&gt;"&amp;Q297)+COUNTIF($Q$6:Q297,Q297))</f>
        <v/>
      </c>
      <c r="S297" s="62" t="str">
        <f>IF(A297="","",ROUND(SUMIFS(fa_reste,fa_client,A297,fa_reste,"&gt;0")*100,0))</f>
        <v/>
      </c>
      <c r="T297" s="62" t="str">
        <f>IF(N(S297)&lt;=0,"",COUNTIF($S$6:$S$305,"&gt;"&amp;S297)+COUNTIF($S$6:S297,S297))</f>
        <v/>
      </c>
    </row>
    <row r="298">
      <c r="A298" s="60" t="n"/>
      <c r="B298" s="63" t="n"/>
      <c r="C298" s="60" t="n"/>
      <c r="D298" s="63" t="n"/>
      <c r="E298" s="63" t="n"/>
      <c r="F298" s="60" t="n"/>
      <c r="G298" s="143" t="n"/>
      <c r="H298" s="143" t="n"/>
      <c r="I298" s="63" t="n"/>
      <c r="J298" s="63" t="n"/>
      <c r="K298" s="63" t="n"/>
      <c r="L298" s="63" t="n"/>
      <c r="M298" s="144" t="n"/>
      <c r="N298" s="65" t="str">
        <f>IF(A298="","",SUMIF(fa_client,A298,fa_ht))</f>
        <v/>
      </c>
      <c r="O298" s="65" t="str">
        <f>IF(A298="","",SUMIF(fa_client,A298,fa_reste))</f>
        <v/>
      </c>
      <c r="P298" s="59" t="str">
        <f>IF(COUNTA(A298:M298)=0,"",IF(A298="","Code manquant",IF(COUNTIF(cli_code,A298)&gt;1,"Code en double",IF(B298="","Nom manquant",IF(AND(p_country="Maroc",C298&lt;&gt;"Particulier",OR(F298="",F298="Maroc"),G298=""),"ICE manquant (client professionnel)",IF(AND(G298&lt;&gt;"",NOT(AND(LEN(G298&amp;"")=15,SUBSTITUTE(SUBSTITUTE(SUBSTITUTE(SUBSTITUTE(SUBSTITUTE(SUBSTITUTE(SUBSTITUTE(SUBSTITUTE(SUBSTITUTE(SUBSTITUTE(G298&amp;"","0",""),"1",""),"2",""),"3",""),"4",""),"5",""),"6",""),"7",""),"8",""),"9","")=""))),"ICE : 15 chiffres attendus",IF(AND(H298&lt;&gt;"",NOT(AND(LEN(H298&amp;"")=9,SUBSTITUTE(SUBSTITUTE(SUBSTITUTE(SUBSTITUTE(SUBSTITUTE(SUBSTITUTE(SUBSTITUTE(SUBSTITUTE(SUBSTITUTE(SUBSTITUTE(H298&amp;"","0",""),"1",""),"2",""),"3",""),"4",""),"5",""),"6",""),"7",""),"8",""),"9","")=""))),"SIREN : 9 chiffres attendus",IF(AND(M298&lt;&gt;"",OR(NOT(ISNUMBER(M298)),N(M298)&lt;0)),"Délai de paiement invalide","OK"))))))))</f>
        <v/>
      </c>
      <c r="Q298" s="62" t="str">
        <f>IF(A298="","",ROUND(SUMIFS(fa_ht,fa_client,A298,fa_year,db_year)*100,0))</f>
        <v/>
      </c>
      <c r="R298" s="62" t="str">
        <f>IF(N(Q298)&lt;=0,"",COUNTIF($Q$6:$Q$305,"&gt;"&amp;Q298)+COUNTIF($Q$6:Q298,Q298))</f>
        <v/>
      </c>
      <c r="S298" s="62" t="str">
        <f>IF(A298="","",ROUND(SUMIFS(fa_reste,fa_client,A298,fa_reste,"&gt;0")*100,0))</f>
        <v/>
      </c>
      <c r="T298" s="62" t="str">
        <f>IF(N(S298)&lt;=0,"",COUNTIF($S$6:$S$305,"&gt;"&amp;S298)+COUNTIF($S$6:S298,S298))</f>
        <v/>
      </c>
    </row>
    <row r="299">
      <c r="A299" s="60" t="n"/>
      <c r="B299" s="63" t="n"/>
      <c r="C299" s="60" t="n"/>
      <c r="D299" s="63" t="n"/>
      <c r="E299" s="63" t="n"/>
      <c r="F299" s="60" t="n"/>
      <c r="G299" s="143" t="n"/>
      <c r="H299" s="143" t="n"/>
      <c r="I299" s="63" t="n"/>
      <c r="J299" s="63" t="n"/>
      <c r="K299" s="63" t="n"/>
      <c r="L299" s="63" t="n"/>
      <c r="M299" s="144" t="n"/>
      <c r="N299" s="65" t="str">
        <f>IF(A299="","",SUMIF(fa_client,A299,fa_ht))</f>
        <v/>
      </c>
      <c r="O299" s="65" t="str">
        <f>IF(A299="","",SUMIF(fa_client,A299,fa_reste))</f>
        <v/>
      </c>
      <c r="P299" s="59" t="str">
        <f>IF(COUNTA(A299:M299)=0,"",IF(A299="","Code manquant",IF(COUNTIF(cli_code,A299)&gt;1,"Code en double",IF(B299="","Nom manquant",IF(AND(p_country="Maroc",C299&lt;&gt;"Particulier",OR(F299="",F299="Maroc"),G299=""),"ICE manquant (client professionnel)",IF(AND(G299&lt;&gt;"",NOT(AND(LEN(G299&amp;"")=15,SUBSTITUTE(SUBSTITUTE(SUBSTITUTE(SUBSTITUTE(SUBSTITUTE(SUBSTITUTE(SUBSTITUTE(SUBSTITUTE(SUBSTITUTE(SUBSTITUTE(G299&amp;"","0",""),"1",""),"2",""),"3",""),"4",""),"5",""),"6",""),"7",""),"8",""),"9","")=""))),"ICE : 15 chiffres attendus",IF(AND(H299&lt;&gt;"",NOT(AND(LEN(H299&amp;"")=9,SUBSTITUTE(SUBSTITUTE(SUBSTITUTE(SUBSTITUTE(SUBSTITUTE(SUBSTITUTE(SUBSTITUTE(SUBSTITUTE(SUBSTITUTE(SUBSTITUTE(H299&amp;"","0",""),"1",""),"2",""),"3",""),"4",""),"5",""),"6",""),"7",""),"8",""),"9","")=""))),"SIREN : 9 chiffres attendus",IF(AND(M299&lt;&gt;"",OR(NOT(ISNUMBER(M299)),N(M299)&lt;0)),"Délai de paiement invalide","OK"))))))))</f>
        <v/>
      </c>
      <c r="Q299" s="62" t="str">
        <f>IF(A299="","",ROUND(SUMIFS(fa_ht,fa_client,A299,fa_year,db_year)*100,0))</f>
        <v/>
      </c>
      <c r="R299" s="62" t="str">
        <f>IF(N(Q299)&lt;=0,"",COUNTIF($Q$6:$Q$305,"&gt;"&amp;Q299)+COUNTIF($Q$6:Q299,Q299))</f>
        <v/>
      </c>
      <c r="S299" s="62" t="str">
        <f>IF(A299="","",ROUND(SUMIFS(fa_reste,fa_client,A299,fa_reste,"&gt;0")*100,0))</f>
        <v/>
      </c>
      <c r="T299" s="62" t="str">
        <f>IF(N(S299)&lt;=0,"",COUNTIF($S$6:$S$305,"&gt;"&amp;S299)+COUNTIF($S$6:S299,S299))</f>
        <v/>
      </c>
    </row>
    <row r="300">
      <c r="A300" s="60" t="n"/>
      <c r="B300" s="63" t="n"/>
      <c r="C300" s="60" t="n"/>
      <c r="D300" s="63" t="n"/>
      <c r="E300" s="63" t="n"/>
      <c r="F300" s="60" t="n"/>
      <c r="G300" s="143" t="n"/>
      <c r="H300" s="143" t="n"/>
      <c r="I300" s="63" t="n"/>
      <c r="J300" s="63" t="n"/>
      <c r="K300" s="63" t="n"/>
      <c r="L300" s="63" t="n"/>
      <c r="M300" s="144" t="n"/>
      <c r="N300" s="65" t="str">
        <f>IF(A300="","",SUMIF(fa_client,A300,fa_ht))</f>
        <v/>
      </c>
      <c r="O300" s="65" t="str">
        <f>IF(A300="","",SUMIF(fa_client,A300,fa_reste))</f>
        <v/>
      </c>
      <c r="P300" s="59" t="str">
        <f>IF(COUNTA(A300:M300)=0,"",IF(A300="","Code manquant",IF(COUNTIF(cli_code,A300)&gt;1,"Code en double",IF(B300="","Nom manquant",IF(AND(p_country="Maroc",C300&lt;&gt;"Particulier",OR(F300="",F300="Maroc"),G300=""),"ICE manquant (client professionnel)",IF(AND(G300&lt;&gt;"",NOT(AND(LEN(G300&amp;"")=15,SUBSTITUTE(SUBSTITUTE(SUBSTITUTE(SUBSTITUTE(SUBSTITUTE(SUBSTITUTE(SUBSTITUTE(SUBSTITUTE(SUBSTITUTE(SUBSTITUTE(G300&amp;"","0",""),"1",""),"2",""),"3",""),"4",""),"5",""),"6",""),"7",""),"8",""),"9","")=""))),"ICE : 15 chiffres attendus",IF(AND(H300&lt;&gt;"",NOT(AND(LEN(H300&amp;"")=9,SUBSTITUTE(SUBSTITUTE(SUBSTITUTE(SUBSTITUTE(SUBSTITUTE(SUBSTITUTE(SUBSTITUTE(SUBSTITUTE(SUBSTITUTE(SUBSTITUTE(H300&amp;"","0",""),"1",""),"2",""),"3",""),"4",""),"5",""),"6",""),"7",""),"8",""),"9","")=""))),"SIREN : 9 chiffres attendus",IF(AND(M300&lt;&gt;"",OR(NOT(ISNUMBER(M300)),N(M300)&lt;0)),"Délai de paiement invalide","OK"))))))))</f>
        <v/>
      </c>
      <c r="Q300" s="62" t="str">
        <f>IF(A300="","",ROUND(SUMIFS(fa_ht,fa_client,A300,fa_year,db_year)*100,0))</f>
        <v/>
      </c>
      <c r="R300" s="62" t="str">
        <f>IF(N(Q300)&lt;=0,"",COUNTIF($Q$6:$Q$305,"&gt;"&amp;Q300)+COUNTIF($Q$6:Q300,Q300))</f>
        <v/>
      </c>
      <c r="S300" s="62" t="str">
        <f>IF(A300="","",ROUND(SUMIFS(fa_reste,fa_client,A300,fa_reste,"&gt;0")*100,0))</f>
        <v/>
      </c>
      <c r="T300" s="62" t="str">
        <f>IF(N(S300)&lt;=0,"",COUNTIF($S$6:$S$305,"&gt;"&amp;S300)+COUNTIF($S$6:S300,S300))</f>
        <v/>
      </c>
    </row>
    <row r="301">
      <c r="A301" s="60" t="n"/>
      <c r="B301" s="63" t="n"/>
      <c r="C301" s="60" t="n"/>
      <c r="D301" s="63" t="n"/>
      <c r="E301" s="63" t="n"/>
      <c r="F301" s="60" t="n"/>
      <c r="G301" s="143" t="n"/>
      <c r="H301" s="143" t="n"/>
      <c r="I301" s="63" t="n"/>
      <c r="J301" s="63" t="n"/>
      <c r="K301" s="63" t="n"/>
      <c r="L301" s="63" t="n"/>
      <c r="M301" s="144" t="n"/>
      <c r="N301" s="65" t="str">
        <f>IF(A301="","",SUMIF(fa_client,A301,fa_ht))</f>
        <v/>
      </c>
      <c r="O301" s="65" t="str">
        <f>IF(A301="","",SUMIF(fa_client,A301,fa_reste))</f>
        <v/>
      </c>
      <c r="P301" s="59" t="str">
        <f>IF(COUNTA(A301:M301)=0,"",IF(A301="","Code manquant",IF(COUNTIF(cli_code,A301)&gt;1,"Code en double",IF(B301="","Nom manquant",IF(AND(p_country="Maroc",C301&lt;&gt;"Particulier",OR(F301="",F301="Maroc"),G301=""),"ICE manquant (client professionnel)",IF(AND(G301&lt;&gt;"",NOT(AND(LEN(G301&amp;"")=15,SUBSTITUTE(SUBSTITUTE(SUBSTITUTE(SUBSTITUTE(SUBSTITUTE(SUBSTITUTE(SUBSTITUTE(SUBSTITUTE(SUBSTITUTE(SUBSTITUTE(G301&amp;"","0",""),"1",""),"2",""),"3",""),"4",""),"5",""),"6",""),"7",""),"8",""),"9","")=""))),"ICE : 15 chiffres attendus",IF(AND(H301&lt;&gt;"",NOT(AND(LEN(H301&amp;"")=9,SUBSTITUTE(SUBSTITUTE(SUBSTITUTE(SUBSTITUTE(SUBSTITUTE(SUBSTITUTE(SUBSTITUTE(SUBSTITUTE(SUBSTITUTE(SUBSTITUTE(H301&amp;"","0",""),"1",""),"2",""),"3",""),"4",""),"5",""),"6",""),"7",""),"8",""),"9","")=""))),"SIREN : 9 chiffres attendus",IF(AND(M301&lt;&gt;"",OR(NOT(ISNUMBER(M301)),N(M301)&lt;0)),"Délai de paiement invalide","OK"))))))))</f>
        <v/>
      </c>
      <c r="Q301" s="62" t="str">
        <f>IF(A301="","",ROUND(SUMIFS(fa_ht,fa_client,A301,fa_year,db_year)*100,0))</f>
        <v/>
      </c>
      <c r="R301" s="62" t="str">
        <f>IF(N(Q301)&lt;=0,"",COUNTIF($Q$6:$Q$305,"&gt;"&amp;Q301)+COUNTIF($Q$6:Q301,Q301))</f>
        <v/>
      </c>
      <c r="S301" s="62" t="str">
        <f>IF(A301="","",ROUND(SUMIFS(fa_reste,fa_client,A301,fa_reste,"&gt;0")*100,0))</f>
        <v/>
      </c>
      <c r="T301" s="62" t="str">
        <f>IF(N(S301)&lt;=0,"",COUNTIF($S$6:$S$305,"&gt;"&amp;S301)+COUNTIF($S$6:S301,S301))</f>
        <v/>
      </c>
    </row>
    <row r="302">
      <c r="A302" s="60" t="n"/>
      <c r="B302" s="63" t="n"/>
      <c r="C302" s="60" t="n"/>
      <c r="D302" s="63" t="n"/>
      <c r="E302" s="63" t="n"/>
      <c r="F302" s="60" t="n"/>
      <c r="G302" s="143" t="n"/>
      <c r="H302" s="143" t="n"/>
      <c r="I302" s="63" t="n"/>
      <c r="J302" s="63" t="n"/>
      <c r="K302" s="63" t="n"/>
      <c r="L302" s="63" t="n"/>
      <c r="M302" s="144" t="n"/>
      <c r="N302" s="65" t="str">
        <f>IF(A302="","",SUMIF(fa_client,A302,fa_ht))</f>
        <v/>
      </c>
      <c r="O302" s="65" t="str">
        <f>IF(A302="","",SUMIF(fa_client,A302,fa_reste))</f>
        <v/>
      </c>
      <c r="P302" s="59" t="str">
        <f>IF(COUNTA(A302:M302)=0,"",IF(A302="","Code manquant",IF(COUNTIF(cli_code,A302)&gt;1,"Code en double",IF(B302="","Nom manquant",IF(AND(p_country="Maroc",C302&lt;&gt;"Particulier",OR(F302="",F302="Maroc"),G302=""),"ICE manquant (client professionnel)",IF(AND(G302&lt;&gt;"",NOT(AND(LEN(G302&amp;"")=15,SUBSTITUTE(SUBSTITUTE(SUBSTITUTE(SUBSTITUTE(SUBSTITUTE(SUBSTITUTE(SUBSTITUTE(SUBSTITUTE(SUBSTITUTE(SUBSTITUTE(G302&amp;"","0",""),"1",""),"2",""),"3",""),"4",""),"5",""),"6",""),"7",""),"8",""),"9","")=""))),"ICE : 15 chiffres attendus",IF(AND(H302&lt;&gt;"",NOT(AND(LEN(H302&amp;"")=9,SUBSTITUTE(SUBSTITUTE(SUBSTITUTE(SUBSTITUTE(SUBSTITUTE(SUBSTITUTE(SUBSTITUTE(SUBSTITUTE(SUBSTITUTE(SUBSTITUTE(H302&amp;"","0",""),"1",""),"2",""),"3",""),"4",""),"5",""),"6",""),"7",""),"8",""),"9","")=""))),"SIREN : 9 chiffres attendus",IF(AND(M302&lt;&gt;"",OR(NOT(ISNUMBER(M302)),N(M302)&lt;0)),"Délai de paiement invalide","OK"))))))))</f>
        <v/>
      </c>
      <c r="Q302" s="62" t="str">
        <f>IF(A302="","",ROUND(SUMIFS(fa_ht,fa_client,A302,fa_year,db_year)*100,0))</f>
        <v/>
      </c>
      <c r="R302" s="62" t="str">
        <f>IF(N(Q302)&lt;=0,"",COUNTIF($Q$6:$Q$305,"&gt;"&amp;Q302)+COUNTIF($Q$6:Q302,Q302))</f>
        <v/>
      </c>
      <c r="S302" s="62" t="str">
        <f>IF(A302="","",ROUND(SUMIFS(fa_reste,fa_client,A302,fa_reste,"&gt;0")*100,0))</f>
        <v/>
      </c>
      <c r="T302" s="62" t="str">
        <f>IF(N(S302)&lt;=0,"",COUNTIF($S$6:$S$305,"&gt;"&amp;S302)+COUNTIF($S$6:S302,S302))</f>
        <v/>
      </c>
    </row>
    <row r="303">
      <c r="A303" s="60" t="n"/>
      <c r="B303" s="63" t="n"/>
      <c r="C303" s="60" t="n"/>
      <c r="D303" s="63" t="n"/>
      <c r="E303" s="63" t="n"/>
      <c r="F303" s="60" t="n"/>
      <c r="G303" s="143" t="n"/>
      <c r="H303" s="143" t="n"/>
      <c r="I303" s="63" t="n"/>
      <c r="J303" s="63" t="n"/>
      <c r="K303" s="63" t="n"/>
      <c r="L303" s="63" t="n"/>
      <c r="M303" s="144" t="n"/>
      <c r="N303" s="65" t="str">
        <f>IF(A303="","",SUMIF(fa_client,A303,fa_ht))</f>
        <v/>
      </c>
      <c r="O303" s="65" t="str">
        <f>IF(A303="","",SUMIF(fa_client,A303,fa_reste))</f>
        <v/>
      </c>
      <c r="P303" s="59" t="str">
        <f>IF(COUNTA(A303:M303)=0,"",IF(A303="","Code manquant",IF(COUNTIF(cli_code,A303)&gt;1,"Code en double",IF(B303="","Nom manquant",IF(AND(p_country="Maroc",C303&lt;&gt;"Particulier",OR(F303="",F303="Maroc"),G303=""),"ICE manquant (client professionnel)",IF(AND(G303&lt;&gt;"",NOT(AND(LEN(G303&amp;"")=15,SUBSTITUTE(SUBSTITUTE(SUBSTITUTE(SUBSTITUTE(SUBSTITUTE(SUBSTITUTE(SUBSTITUTE(SUBSTITUTE(SUBSTITUTE(SUBSTITUTE(G303&amp;"","0",""),"1",""),"2",""),"3",""),"4",""),"5",""),"6",""),"7",""),"8",""),"9","")=""))),"ICE : 15 chiffres attendus",IF(AND(H303&lt;&gt;"",NOT(AND(LEN(H303&amp;"")=9,SUBSTITUTE(SUBSTITUTE(SUBSTITUTE(SUBSTITUTE(SUBSTITUTE(SUBSTITUTE(SUBSTITUTE(SUBSTITUTE(SUBSTITUTE(SUBSTITUTE(H303&amp;"","0",""),"1",""),"2",""),"3",""),"4",""),"5",""),"6",""),"7",""),"8",""),"9","")=""))),"SIREN : 9 chiffres attendus",IF(AND(M303&lt;&gt;"",OR(NOT(ISNUMBER(M303)),N(M303)&lt;0)),"Délai de paiement invalide","OK"))))))))</f>
        <v/>
      </c>
      <c r="Q303" s="62" t="str">
        <f>IF(A303="","",ROUND(SUMIFS(fa_ht,fa_client,A303,fa_year,db_year)*100,0))</f>
        <v/>
      </c>
      <c r="R303" s="62" t="str">
        <f>IF(N(Q303)&lt;=0,"",COUNTIF($Q$6:$Q$305,"&gt;"&amp;Q303)+COUNTIF($Q$6:Q303,Q303))</f>
        <v/>
      </c>
      <c r="S303" s="62" t="str">
        <f>IF(A303="","",ROUND(SUMIFS(fa_reste,fa_client,A303,fa_reste,"&gt;0")*100,0))</f>
        <v/>
      </c>
      <c r="T303" s="62" t="str">
        <f>IF(N(S303)&lt;=0,"",COUNTIF($S$6:$S$305,"&gt;"&amp;S303)+COUNTIF($S$6:S303,S303))</f>
        <v/>
      </c>
    </row>
    <row r="304">
      <c r="A304" s="60" t="n"/>
      <c r="B304" s="63" t="n"/>
      <c r="C304" s="60" t="n"/>
      <c r="D304" s="63" t="n"/>
      <c r="E304" s="63" t="n"/>
      <c r="F304" s="60" t="n"/>
      <c r="G304" s="143" t="n"/>
      <c r="H304" s="143" t="n"/>
      <c r="I304" s="63" t="n"/>
      <c r="J304" s="63" t="n"/>
      <c r="K304" s="63" t="n"/>
      <c r="L304" s="63" t="n"/>
      <c r="M304" s="144" t="n"/>
      <c r="N304" s="65" t="str">
        <f>IF(A304="","",SUMIF(fa_client,A304,fa_ht))</f>
        <v/>
      </c>
      <c r="O304" s="65" t="str">
        <f>IF(A304="","",SUMIF(fa_client,A304,fa_reste))</f>
        <v/>
      </c>
      <c r="P304" s="59" t="str">
        <f>IF(COUNTA(A304:M304)=0,"",IF(A304="","Code manquant",IF(COUNTIF(cli_code,A304)&gt;1,"Code en double",IF(B304="","Nom manquant",IF(AND(p_country="Maroc",C304&lt;&gt;"Particulier",OR(F304="",F304="Maroc"),G304=""),"ICE manquant (client professionnel)",IF(AND(G304&lt;&gt;"",NOT(AND(LEN(G304&amp;"")=15,SUBSTITUTE(SUBSTITUTE(SUBSTITUTE(SUBSTITUTE(SUBSTITUTE(SUBSTITUTE(SUBSTITUTE(SUBSTITUTE(SUBSTITUTE(SUBSTITUTE(G304&amp;"","0",""),"1",""),"2",""),"3",""),"4",""),"5",""),"6",""),"7",""),"8",""),"9","")=""))),"ICE : 15 chiffres attendus",IF(AND(H304&lt;&gt;"",NOT(AND(LEN(H304&amp;"")=9,SUBSTITUTE(SUBSTITUTE(SUBSTITUTE(SUBSTITUTE(SUBSTITUTE(SUBSTITUTE(SUBSTITUTE(SUBSTITUTE(SUBSTITUTE(SUBSTITUTE(H304&amp;"","0",""),"1",""),"2",""),"3",""),"4",""),"5",""),"6",""),"7",""),"8",""),"9","")=""))),"SIREN : 9 chiffres attendus",IF(AND(M304&lt;&gt;"",OR(NOT(ISNUMBER(M304)),N(M304)&lt;0)),"Délai de paiement invalide","OK"))))))))</f>
        <v/>
      </c>
      <c r="Q304" s="62" t="str">
        <f>IF(A304="","",ROUND(SUMIFS(fa_ht,fa_client,A304,fa_year,db_year)*100,0))</f>
        <v/>
      </c>
      <c r="R304" s="62" t="str">
        <f>IF(N(Q304)&lt;=0,"",COUNTIF($Q$6:$Q$305,"&gt;"&amp;Q304)+COUNTIF($Q$6:Q304,Q304))</f>
        <v/>
      </c>
      <c r="S304" s="62" t="str">
        <f>IF(A304="","",ROUND(SUMIFS(fa_reste,fa_client,A304,fa_reste,"&gt;0")*100,0))</f>
        <v/>
      </c>
      <c r="T304" s="62" t="str">
        <f>IF(N(S304)&lt;=0,"",COUNTIF($S$6:$S$305,"&gt;"&amp;S304)+COUNTIF($S$6:S304,S304))</f>
        <v/>
      </c>
    </row>
    <row r="305">
      <c r="A305" s="60" t="n"/>
      <c r="B305" s="63" t="n"/>
      <c r="C305" s="60" t="n"/>
      <c r="D305" s="63" t="n"/>
      <c r="E305" s="63" t="n"/>
      <c r="F305" s="60" t="n"/>
      <c r="G305" s="143" t="n"/>
      <c r="H305" s="143" t="n"/>
      <c r="I305" s="63" t="n"/>
      <c r="J305" s="63" t="n"/>
      <c r="K305" s="63" t="n"/>
      <c r="L305" s="63" t="n"/>
      <c r="M305" s="144" t="n"/>
      <c r="N305" s="65" t="str">
        <f>IF(A305="","",SUMIF(fa_client,A305,fa_ht))</f>
        <v/>
      </c>
      <c r="O305" s="65" t="str">
        <f>IF(A305="","",SUMIF(fa_client,A305,fa_reste))</f>
        <v/>
      </c>
      <c r="P305" s="59" t="str">
        <f>IF(COUNTA(A305:M305)=0,"",IF(A305="","Code manquant",IF(COUNTIF(cli_code,A305)&gt;1,"Code en double",IF(B305="","Nom manquant",IF(AND(p_country="Maroc",C305&lt;&gt;"Particulier",OR(F305="",F305="Maroc"),G305=""),"ICE manquant (client professionnel)",IF(AND(G305&lt;&gt;"",NOT(AND(LEN(G305&amp;"")=15,SUBSTITUTE(SUBSTITUTE(SUBSTITUTE(SUBSTITUTE(SUBSTITUTE(SUBSTITUTE(SUBSTITUTE(SUBSTITUTE(SUBSTITUTE(SUBSTITUTE(G305&amp;"","0",""),"1",""),"2",""),"3",""),"4",""),"5",""),"6",""),"7",""),"8",""),"9","")=""))),"ICE : 15 chiffres attendus",IF(AND(H305&lt;&gt;"",NOT(AND(LEN(H305&amp;"")=9,SUBSTITUTE(SUBSTITUTE(SUBSTITUTE(SUBSTITUTE(SUBSTITUTE(SUBSTITUTE(SUBSTITUTE(SUBSTITUTE(SUBSTITUTE(SUBSTITUTE(H305&amp;"","0",""),"1",""),"2",""),"3",""),"4",""),"5",""),"6",""),"7",""),"8",""),"9","")=""))),"SIREN : 9 chiffres attendus",IF(AND(M305&lt;&gt;"",OR(NOT(ISNUMBER(M305)),N(M305)&lt;0)),"Délai de paiement invalide","OK"))))))))</f>
        <v/>
      </c>
      <c r="Q305" s="62" t="str">
        <f>IF(A305="","",ROUND(SUMIFS(fa_ht,fa_client,A305,fa_year,db_year)*100,0))</f>
        <v/>
      </c>
      <c r="R305" s="62" t="str">
        <f>IF(N(Q305)&lt;=0,"",COUNTIF($Q$6:$Q$305,"&gt;"&amp;Q305)+COUNTIF($Q$6:Q305,Q305))</f>
        <v/>
      </c>
      <c r="S305" s="62" t="str">
        <f>IF(A305="","",ROUND(SUMIFS(fa_reste,fa_client,A305,fa_reste,"&gt;0")*100,0))</f>
        <v/>
      </c>
      <c r="T305" s="62" t="str">
        <f>IF(N(S305)&lt;=0,"",COUNTIF($S$6:$S$305,"&gt;"&amp;S305)+COUNTIF($S$6:S305,S305))</f>
        <v/>
      </c>
    </row>
  </sheetData>
  <autoFilter ref="A5:P305"/>
  <conditionalFormatting sqref="P6:P305">
    <cfRule type="expression" priority="1" dxfId="11">
      <formula>$P6="OK"</formula>
    </cfRule>
    <cfRule type="expression" priority="2" dxfId="4">
      <formula>AND($P6&lt;&gt;"",$P6&lt;&gt;"OK")</formula>
    </cfRule>
  </conditionalFormatting>
  <conditionalFormatting sqref="N6:N305">
    <cfRule type="expression" priority="3" dxfId="5">
      <formula>p_currency="MAD"</formula>
    </cfRule>
    <cfRule type="expression" priority="5" dxfId="6">
      <formula>p_currency="EUR"</formula>
    </cfRule>
    <cfRule type="expression" priority="7" dxfId="7">
      <formula>p_currency="USD"</formula>
    </cfRule>
  </conditionalFormatting>
  <conditionalFormatting sqref="O6:O305">
    <cfRule type="expression" priority="4" dxfId="5">
      <formula>p_currency="MAD"</formula>
    </cfRule>
    <cfRule type="expression" priority="6" dxfId="6">
      <formula>p_currency="EUR"</formula>
    </cfRule>
    <cfRule type="expression" priority="8" dxfId="7">
      <formula>p_currency="USD"</formula>
    </cfRule>
  </conditionalFormatting>
  <dataValidations count="13">
    <dataValidation sqref="A6:A305" showDropDown="0" showInputMessage="1" showErrorMessage="1" allowBlank="1" errorTitle="Code client" error="20 caractères au maximum." promptTitle="Code client" prompt="Code court et unique, par exemple C001. Il sert à choisir le client dans les devis et les factures." type="textLength" operator="lessThanOrEqual">
      <formula1>20</formula1>
    </dataValidation>
    <dataValidation sqref="B6:B305" showDropDown="0" showInputMessage="1" showErrorMessage="1" allowBlank="1" errorTitle="Raison sociale" error="120 caractères au maximum." promptTitle="Raison sociale" prompt="Nom exact tel qu'il doit figurer sur la facture (raison sociale et forme)." type="textLength" operator="lessThanOrEqual">
      <formula1>120</formula1>
    </dataValidation>
    <dataValidation sqref="C6:C305" showDropDown="0" showInputMessage="1" showErrorMessage="1" allowBlank="1" errorTitle="Type" error="Professionnel (entreprise) ou Particulier. Au Maroc, l'ICE n'est exigé que pour un client professionnel." promptTitle="Type" prompt="Professionnel (entreprise) ou Particulier. Au Maroc, l'ICE n'est exigé que pour un client professionnel." type="list">
      <formula1>"Professionnel,Particulier"</formula1>
    </dataValidation>
    <dataValidation sqref="D6:D305" showDropDown="0" showInputMessage="1" showErrorMessage="1" allowBlank="1" errorTitle="Adresse" error="255 caractères au maximum." promptTitle="Adresse" prompt="Rue, numéro, zone industrielle..." type="textLength" operator="lessThanOrEqual">
      <formula1>255</formula1>
    </dataValidation>
    <dataValidation sqref="E6:E305" showDropDown="0" showInputMessage="1" showErrorMessage="1" allowBlank="1" errorTitle="Code postal et ville" error="255 caractères au maximum." promptTitle="Code postal et ville" prompt="Exemple : 20250 Casablanca." type="textLength" operator="lessThanOrEqual">
      <formula1>255</formula1>
    </dataValidation>
    <dataValidation sqref="F6:F305" showDropDown="0" showInputMessage="1" showErrorMessage="1" allowBlank="1" errorTitle="Pays" error="255 caractères au maximum." promptTitle="Pays" prompt="Laissez vide ou Maroc pour un client marocain. Écrivez le pays d'un client étranger." type="textLength" operator="lessThanOrEqual">
      <formula1>255</formula1>
    </dataValidation>
    <dataValidation sqref="I6:I305" showDropDown="0" showInputMessage="1" showErrorMessage="1" allowBlank="1" errorTitle="N° TVA intracom." error="255 caractères au maximum." promptTitle="N° TVA intracom." prompt="Client européen : FR + 11 chiffres en France." type="textLength" operator="lessThanOrEqual">
      <formula1>255</formula1>
    </dataValidation>
    <dataValidation sqref="J6:J305" showDropDown="0" showInputMessage="1" showErrorMessage="1" allowBlank="1" errorTitle="Contact" error="255 caractères au maximum." promptTitle="Contact" prompt="Personne à qui adresser les devis et les relances." type="textLength" operator="lessThanOrEqual">
      <formula1>255</formula1>
    </dataValidation>
    <dataValidation sqref="K6:K305" showDropDown="0" showInputMessage="1" showErrorMessage="1" allowBlank="1" errorTitle="E-mail" error="255 caractères au maximum." promptTitle="E-mail" prompt="Adresse des factures et des relances." type="textLength" operator="lessThanOrEqual">
      <formula1>255</formula1>
    </dataValidation>
    <dataValidation sqref="L6:L305" showDropDown="0" showInputMessage="1" showErrorMessage="1" allowBlank="1" errorTitle="Téléphone" error="255 caractères au maximum." promptTitle="Téléphone" prompt="Pour les relances par téléphone." type="textLength" operator="lessThanOrEqual">
      <formula1>255</formula1>
    </dataValidation>
    <dataValidation sqref="G6:G305" showDropDown="0" showInputMessage="1" showErrorMessage="1" allowBlank="1" errorTitle="ICE" error="15 caractères au maximum." promptTitle="ICE" prompt="Identifiant commun de l'entreprise du client : 15 chiffres, sans espace." type="textLength" operator="lessThanOrEqual">
      <formula1>15</formula1>
    </dataValidation>
    <dataValidation sqref="H6:H305" showDropDown="0" showInputMessage="1" showErrorMessage="1" allowBlank="1" errorTitle="SIREN" error="9 caractères au maximum." promptTitle="SIREN" prompt="Client français : 9 chiffres (le début du SIRET). Obligatoire sur les factures des PME à partir de septembre 2027." type="textLength" operator="lessThanOrEqual">
      <formula1>9</formula1>
    </dataValidation>
    <dataValidation sqref="M6:M305" showDropDown="0" showInputMessage="1" showErrorMessage="1" allowBlank="1" errorTitle="Délai de paiement" error="Jours entre la facture et l'échéance pour ce client (0 = comptant). Vide = délai par défaut des Paramètres." promptTitle="Délai de paiement" prompt="Jours entre la facture et l'échéance pour ce client (0 = comptant). Vide = délai par défaut des Paramètres." type="whole" operator="between">
      <formula1>0</formula1>
      <formula2>365</formula2>
    </dataValidation>
  </dataValidations>
  <hyperlinks>
    <hyperlink ref="P1" location="'Mode d''emploi'!A1"/>
  </hyperlinks>
  <printOptions horizontalCentered="1"/>
  <pageMargins left="0.4" right="0.4" top="0.5" bottom="0.5" header="0.5" footer="0.5"/>
  <pageSetup orientation="landscape" paperSize="9" fitToHeight="0" fitToWidth="1"/>
</worksheet>
</file>

<file path=xl/worksheets/sheet12.xml><?xml version="1.0" encoding="utf-8"?>
<worksheet xmlns="http://schemas.openxmlformats.org/spreadsheetml/2006/main">
  <sheetPr>
    <tabColor rgb="FFBE185D"/>
    <outlinePr summaryBelow="1" summaryRight="1"/>
    <pageSetUpPr fitToPage="1"/>
  </sheetPr>
  <dimension ref="A1:G5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4" customWidth="1" min="1" max="1"/>
    <col width="36" customWidth="1" min="2" max="2"/>
    <col width="10" customWidth="1" min="3" max="3"/>
    <col width="10" customWidth="1" min="4" max="4"/>
    <col width="15" customWidth="1" min="5" max="5"/>
    <col width="11" customWidth="1" min="6" max="6"/>
    <col width="32" customWidth="1" min="7" max="7"/>
  </cols>
  <sheetData>
    <row r="1" ht="38" customHeight="1">
      <c r="A1" s="2" t="inlineStr">
        <is>
          <t>Produits et services</t>
        </is>
      </c>
      <c r="B1" s="1" t="n"/>
      <c r="C1" s="1" t="n"/>
      <c r="D1" s="1" t="n"/>
      <c r="E1" s="1" t="n"/>
      <c r="F1" s="1" t="n"/>
      <c r="G1" s="18" t="inlineStr">
        <is>
          <t>⌂ Mode d'emploi</t>
        </is>
      </c>
    </row>
    <row r="2" ht="22" customHeight="1">
      <c r="A2" s="4" t="inlineStr">
        <is>
          <t>Vos articles et prestations. Le prix HT et le taux de TVA se recopient dans les devis et les factures.</t>
        </is>
      </c>
      <c r="B2" s="3" t="n"/>
      <c r="C2" s="3" t="n"/>
      <c r="D2" s="3" t="n"/>
      <c r="E2" s="3" t="n"/>
      <c r="F2" s="3" t="n"/>
      <c r="G2" s="3" t="n"/>
    </row>
    <row r="3" ht="18" customHeight="1">
      <c r="E3" s="16" t="inlineStr">
        <is>
          <t>Saisie</t>
        </is>
      </c>
      <c r="F3" s="17" t="inlineStr">
        <is>
          <t>Calcul auto</t>
        </is>
      </c>
    </row>
    <row r="5" ht="34" customHeight="1">
      <c r="A5" s="43" t="inlineStr">
        <is>
          <t>Code</t>
        </is>
      </c>
      <c r="B5" s="43" t="inlineStr">
        <is>
          <t>Désignation</t>
        </is>
      </c>
      <c r="C5" s="43" t="inlineStr">
        <is>
          <t>Type</t>
        </is>
      </c>
      <c r="D5" s="43" t="inlineStr">
        <is>
          <t>Unité</t>
        </is>
      </c>
      <c r="E5" s="43" t="inlineStr">
        <is>
          <t>Prix unitaire HT</t>
        </is>
      </c>
      <c r="F5" s="43" t="inlineStr">
        <is>
          <t>Taux de TVA</t>
        </is>
      </c>
      <c r="G5" s="43" t="inlineStr">
        <is>
          <t>Contrôle</t>
        </is>
      </c>
    </row>
    <row r="6">
      <c r="A6" s="145" t="n"/>
      <c r="B6" s="63" t="n"/>
      <c r="C6" s="60" t="n"/>
      <c r="D6" s="60" t="n"/>
      <c r="E6" s="68" t="n"/>
      <c r="F6" s="70" t="n"/>
      <c r="G6" s="59" t="str">
        <f>IF(COUNTA(A6:F6)=0,"",IF(A6="","Code manquant",IF(COUNTIF(pr_code,A6)&gt;1,"Code en double",IF(B6="","Désignation manquante",IF(AND(E6&lt;&gt;"",OR(NOT(ISNUMBER(E6)),N(E6)&lt;0)),"Prix invalide",IF(AND(F6&lt;&gt;"",NOT(ISNUMBER(F6))),"Taux de TVA invalide",IF(AND(F6&lt;&gt;"",COUNTIF(p_rates,F6)=0),"Taux de TVA hors liste (Paramètres)","OK")))))))</f>
        <v/>
      </c>
    </row>
    <row r="7">
      <c r="A7" s="145" t="n"/>
      <c r="B7" s="63" t="n"/>
      <c r="C7" s="60" t="n"/>
      <c r="D7" s="60" t="n"/>
      <c r="E7" s="68" t="n"/>
      <c r="F7" s="70" t="n"/>
      <c r="G7" s="59" t="str">
        <f>IF(COUNTA(A7:F7)=0,"",IF(A7="","Code manquant",IF(COUNTIF(pr_code,A7)&gt;1,"Code en double",IF(B7="","Désignation manquante",IF(AND(E7&lt;&gt;"",OR(NOT(ISNUMBER(E7)),N(E7)&lt;0)),"Prix invalide",IF(AND(F7&lt;&gt;"",NOT(ISNUMBER(F7))),"Taux de TVA invalide",IF(AND(F7&lt;&gt;"",COUNTIF(p_rates,F7)=0),"Taux de TVA hors liste (Paramètres)","OK")))))))</f>
        <v/>
      </c>
    </row>
    <row r="8">
      <c r="A8" s="145" t="n"/>
      <c r="B8" s="63" t="n"/>
      <c r="C8" s="60" t="n"/>
      <c r="D8" s="60" t="n"/>
      <c r="E8" s="68" t="n"/>
      <c r="F8" s="70" t="n"/>
      <c r="G8" s="59" t="str">
        <f>IF(COUNTA(A8:F8)=0,"",IF(A8="","Code manquant",IF(COUNTIF(pr_code,A8)&gt;1,"Code en double",IF(B8="","Désignation manquante",IF(AND(E8&lt;&gt;"",OR(NOT(ISNUMBER(E8)),N(E8)&lt;0)),"Prix invalide",IF(AND(F8&lt;&gt;"",NOT(ISNUMBER(F8))),"Taux de TVA invalide",IF(AND(F8&lt;&gt;"",COUNTIF(p_rates,F8)=0),"Taux de TVA hors liste (Paramètres)","OK")))))))</f>
        <v/>
      </c>
    </row>
    <row r="9">
      <c r="A9" s="145" t="n"/>
      <c r="B9" s="63" t="n"/>
      <c r="C9" s="60" t="n"/>
      <c r="D9" s="60" t="n"/>
      <c r="E9" s="68" t="n"/>
      <c r="F9" s="70" t="n"/>
      <c r="G9" s="59" t="str">
        <f>IF(COUNTA(A9:F9)=0,"",IF(A9="","Code manquant",IF(COUNTIF(pr_code,A9)&gt;1,"Code en double",IF(B9="","Désignation manquante",IF(AND(E9&lt;&gt;"",OR(NOT(ISNUMBER(E9)),N(E9)&lt;0)),"Prix invalide",IF(AND(F9&lt;&gt;"",NOT(ISNUMBER(F9))),"Taux de TVA invalide",IF(AND(F9&lt;&gt;"",COUNTIF(p_rates,F9)=0),"Taux de TVA hors liste (Paramètres)","OK")))))))</f>
        <v/>
      </c>
    </row>
    <row r="10">
      <c r="A10" s="145" t="n"/>
      <c r="B10" s="63" t="n"/>
      <c r="C10" s="60" t="n"/>
      <c r="D10" s="60" t="n"/>
      <c r="E10" s="68" t="n"/>
      <c r="F10" s="70" t="n"/>
      <c r="G10" s="59" t="str">
        <f>IF(COUNTA(A10:F10)=0,"",IF(A10="","Code manquant",IF(COUNTIF(pr_code,A10)&gt;1,"Code en double",IF(B10="","Désignation manquante",IF(AND(E10&lt;&gt;"",OR(NOT(ISNUMBER(E10)),N(E10)&lt;0)),"Prix invalide",IF(AND(F10&lt;&gt;"",NOT(ISNUMBER(F10))),"Taux de TVA invalide",IF(AND(F10&lt;&gt;"",COUNTIF(p_rates,F10)=0),"Taux de TVA hors liste (Paramètres)","OK")))))))</f>
        <v/>
      </c>
    </row>
    <row r="11">
      <c r="A11" s="145" t="n"/>
      <c r="B11" s="63" t="n"/>
      <c r="C11" s="60" t="n"/>
      <c r="D11" s="60" t="n"/>
      <c r="E11" s="68" t="n"/>
      <c r="F11" s="70" t="n"/>
      <c r="G11" s="59" t="str">
        <f>IF(COUNTA(A11:F11)=0,"",IF(A11="","Code manquant",IF(COUNTIF(pr_code,A11)&gt;1,"Code en double",IF(B11="","Désignation manquante",IF(AND(E11&lt;&gt;"",OR(NOT(ISNUMBER(E11)),N(E11)&lt;0)),"Prix invalide",IF(AND(F11&lt;&gt;"",NOT(ISNUMBER(F11))),"Taux de TVA invalide",IF(AND(F11&lt;&gt;"",COUNTIF(p_rates,F11)=0),"Taux de TVA hors liste (Paramètres)","OK")))))))</f>
        <v/>
      </c>
    </row>
    <row r="12">
      <c r="A12" s="145" t="n"/>
      <c r="B12" s="63" t="n"/>
      <c r="C12" s="60" t="n"/>
      <c r="D12" s="60" t="n"/>
      <c r="E12" s="68" t="n"/>
      <c r="F12" s="70" t="n"/>
      <c r="G12" s="59" t="str">
        <f>IF(COUNTA(A12:F12)=0,"",IF(A12="","Code manquant",IF(COUNTIF(pr_code,A12)&gt;1,"Code en double",IF(B12="","Désignation manquante",IF(AND(E12&lt;&gt;"",OR(NOT(ISNUMBER(E12)),N(E12)&lt;0)),"Prix invalide",IF(AND(F12&lt;&gt;"",NOT(ISNUMBER(F12))),"Taux de TVA invalide",IF(AND(F12&lt;&gt;"",COUNTIF(p_rates,F12)=0),"Taux de TVA hors liste (Paramètres)","OK")))))))</f>
        <v/>
      </c>
    </row>
    <row r="13">
      <c r="A13" s="145" t="n"/>
      <c r="B13" s="63" t="n"/>
      <c r="C13" s="60" t="n"/>
      <c r="D13" s="60" t="n"/>
      <c r="E13" s="68" t="n"/>
      <c r="F13" s="70" t="n"/>
      <c r="G13" s="59" t="str">
        <f>IF(COUNTA(A13:F13)=0,"",IF(A13="","Code manquant",IF(COUNTIF(pr_code,A13)&gt;1,"Code en double",IF(B13="","Désignation manquante",IF(AND(E13&lt;&gt;"",OR(NOT(ISNUMBER(E13)),N(E13)&lt;0)),"Prix invalide",IF(AND(F13&lt;&gt;"",NOT(ISNUMBER(F13))),"Taux de TVA invalide",IF(AND(F13&lt;&gt;"",COUNTIF(p_rates,F13)=0),"Taux de TVA hors liste (Paramètres)","OK")))))))</f>
        <v/>
      </c>
    </row>
    <row r="14">
      <c r="A14" s="145" t="n"/>
      <c r="B14" s="63" t="n"/>
      <c r="C14" s="60" t="n"/>
      <c r="D14" s="60" t="n"/>
      <c r="E14" s="68" t="n"/>
      <c r="F14" s="70" t="n"/>
      <c r="G14" s="59" t="str">
        <f>IF(COUNTA(A14:F14)=0,"",IF(A14="","Code manquant",IF(COUNTIF(pr_code,A14)&gt;1,"Code en double",IF(B14="","Désignation manquante",IF(AND(E14&lt;&gt;"",OR(NOT(ISNUMBER(E14)),N(E14)&lt;0)),"Prix invalide",IF(AND(F14&lt;&gt;"",NOT(ISNUMBER(F14))),"Taux de TVA invalide",IF(AND(F14&lt;&gt;"",COUNTIF(p_rates,F14)=0),"Taux de TVA hors liste (Paramètres)","OK")))))))</f>
        <v/>
      </c>
    </row>
    <row r="15">
      <c r="A15" s="145" t="n"/>
      <c r="B15" s="63" t="n"/>
      <c r="C15" s="60" t="n"/>
      <c r="D15" s="60" t="n"/>
      <c r="E15" s="68" t="n"/>
      <c r="F15" s="70" t="n"/>
      <c r="G15" s="59" t="str">
        <f>IF(COUNTA(A15:F15)=0,"",IF(A15="","Code manquant",IF(COUNTIF(pr_code,A15)&gt;1,"Code en double",IF(B15="","Désignation manquante",IF(AND(E15&lt;&gt;"",OR(NOT(ISNUMBER(E15)),N(E15)&lt;0)),"Prix invalide",IF(AND(F15&lt;&gt;"",NOT(ISNUMBER(F15))),"Taux de TVA invalide",IF(AND(F15&lt;&gt;"",COUNTIF(p_rates,F15)=0),"Taux de TVA hors liste (Paramètres)","OK")))))))</f>
        <v/>
      </c>
    </row>
    <row r="16">
      <c r="A16" s="145" t="n"/>
      <c r="B16" s="63" t="n"/>
      <c r="C16" s="60" t="n"/>
      <c r="D16" s="60" t="n"/>
      <c r="E16" s="68" t="n"/>
      <c r="F16" s="70" t="n"/>
      <c r="G16" s="59" t="str">
        <f>IF(COUNTA(A16:F16)=0,"",IF(A16="","Code manquant",IF(COUNTIF(pr_code,A16)&gt;1,"Code en double",IF(B16="","Désignation manquante",IF(AND(E16&lt;&gt;"",OR(NOT(ISNUMBER(E16)),N(E16)&lt;0)),"Prix invalide",IF(AND(F16&lt;&gt;"",NOT(ISNUMBER(F16))),"Taux de TVA invalide",IF(AND(F16&lt;&gt;"",COUNTIF(p_rates,F16)=0),"Taux de TVA hors liste (Paramètres)","OK")))))))</f>
        <v/>
      </c>
    </row>
    <row r="17">
      <c r="A17" s="145" t="n"/>
      <c r="B17" s="63" t="n"/>
      <c r="C17" s="60" t="n"/>
      <c r="D17" s="60" t="n"/>
      <c r="E17" s="68" t="n"/>
      <c r="F17" s="70" t="n"/>
      <c r="G17" s="59" t="str">
        <f>IF(COUNTA(A17:F17)=0,"",IF(A17="","Code manquant",IF(COUNTIF(pr_code,A17)&gt;1,"Code en double",IF(B17="","Désignation manquante",IF(AND(E17&lt;&gt;"",OR(NOT(ISNUMBER(E17)),N(E17)&lt;0)),"Prix invalide",IF(AND(F17&lt;&gt;"",NOT(ISNUMBER(F17))),"Taux de TVA invalide",IF(AND(F17&lt;&gt;"",COUNTIF(p_rates,F17)=0),"Taux de TVA hors liste (Paramètres)","OK")))))))</f>
        <v/>
      </c>
    </row>
    <row r="18">
      <c r="A18" s="145" t="n"/>
      <c r="B18" s="63" t="n"/>
      <c r="C18" s="60" t="n"/>
      <c r="D18" s="60" t="n"/>
      <c r="E18" s="68" t="n"/>
      <c r="F18" s="70" t="n"/>
      <c r="G18" s="59" t="str">
        <f>IF(COUNTA(A18:F18)=0,"",IF(A18="","Code manquant",IF(COUNTIF(pr_code,A18)&gt;1,"Code en double",IF(B18="","Désignation manquante",IF(AND(E18&lt;&gt;"",OR(NOT(ISNUMBER(E18)),N(E18)&lt;0)),"Prix invalide",IF(AND(F18&lt;&gt;"",NOT(ISNUMBER(F18))),"Taux de TVA invalide",IF(AND(F18&lt;&gt;"",COUNTIF(p_rates,F18)=0),"Taux de TVA hors liste (Paramètres)","OK")))))))</f>
        <v/>
      </c>
    </row>
    <row r="19">
      <c r="A19" s="145" t="n"/>
      <c r="B19" s="63" t="n"/>
      <c r="C19" s="60" t="n"/>
      <c r="D19" s="60" t="n"/>
      <c r="E19" s="68" t="n"/>
      <c r="F19" s="70" t="n"/>
      <c r="G19" s="59" t="str">
        <f>IF(COUNTA(A19:F19)=0,"",IF(A19="","Code manquant",IF(COUNTIF(pr_code,A19)&gt;1,"Code en double",IF(B19="","Désignation manquante",IF(AND(E19&lt;&gt;"",OR(NOT(ISNUMBER(E19)),N(E19)&lt;0)),"Prix invalide",IF(AND(F19&lt;&gt;"",NOT(ISNUMBER(F19))),"Taux de TVA invalide",IF(AND(F19&lt;&gt;"",COUNTIF(p_rates,F19)=0),"Taux de TVA hors liste (Paramètres)","OK")))))))</f>
        <v/>
      </c>
    </row>
    <row r="20">
      <c r="A20" s="145" t="n"/>
      <c r="B20" s="63" t="n"/>
      <c r="C20" s="60" t="n"/>
      <c r="D20" s="60" t="n"/>
      <c r="E20" s="68" t="n"/>
      <c r="F20" s="70" t="n"/>
      <c r="G20" s="59" t="str">
        <f>IF(COUNTA(A20:F20)=0,"",IF(A20="","Code manquant",IF(COUNTIF(pr_code,A20)&gt;1,"Code en double",IF(B20="","Désignation manquante",IF(AND(E20&lt;&gt;"",OR(NOT(ISNUMBER(E20)),N(E20)&lt;0)),"Prix invalide",IF(AND(F20&lt;&gt;"",NOT(ISNUMBER(F20))),"Taux de TVA invalide",IF(AND(F20&lt;&gt;"",COUNTIF(p_rates,F20)=0),"Taux de TVA hors liste (Paramètres)","OK")))))))</f>
        <v/>
      </c>
    </row>
    <row r="21">
      <c r="A21" s="145" t="n"/>
      <c r="B21" s="63" t="n"/>
      <c r="C21" s="60" t="n"/>
      <c r="D21" s="60" t="n"/>
      <c r="E21" s="68" t="n"/>
      <c r="F21" s="70" t="n"/>
      <c r="G21" s="59" t="str">
        <f>IF(COUNTA(A21:F21)=0,"",IF(A21="","Code manquant",IF(COUNTIF(pr_code,A21)&gt;1,"Code en double",IF(B21="","Désignation manquante",IF(AND(E21&lt;&gt;"",OR(NOT(ISNUMBER(E21)),N(E21)&lt;0)),"Prix invalide",IF(AND(F21&lt;&gt;"",NOT(ISNUMBER(F21))),"Taux de TVA invalide",IF(AND(F21&lt;&gt;"",COUNTIF(p_rates,F21)=0),"Taux de TVA hors liste (Paramètres)","OK")))))))</f>
        <v/>
      </c>
    </row>
    <row r="22">
      <c r="A22" s="145" t="n"/>
      <c r="B22" s="63" t="n"/>
      <c r="C22" s="60" t="n"/>
      <c r="D22" s="60" t="n"/>
      <c r="E22" s="68" t="n"/>
      <c r="F22" s="70" t="n"/>
      <c r="G22" s="59" t="str">
        <f>IF(COUNTA(A22:F22)=0,"",IF(A22="","Code manquant",IF(COUNTIF(pr_code,A22)&gt;1,"Code en double",IF(B22="","Désignation manquante",IF(AND(E22&lt;&gt;"",OR(NOT(ISNUMBER(E22)),N(E22)&lt;0)),"Prix invalide",IF(AND(F22&lt;&gt;"",NOT(ISNUMBER(F22))),"Taux de TVA invalide",IF(AND(F22&lt;&gt;"",COUNTIF(p_rates,F22)=0),"Taux de TVA hors liste (Paramètres)","OK")))))))</f>
        <v/>
      </c>
    </row>
    <row r="23">
      <c r="A23" s="145" t="n"/>
      <c r="B23" s="63" t="n"/>
      <c r="C23" s="60" t="n"/>
      <c r="D23" s="60" t="n"/>
      <c r="E23" s="68" t="n"/>
      <c r="F23" s="70" t="n"/>
      <c r="G23" s="59" t="str">
        <f>IF(COUNTA(A23:F23)=0,"",IF(A23="","Code manquant",IF(COUNTIF(pr_code,A23)&gt;1,"Code en double",IF(B23="","Désignation manquante",IF(AND(E23&lt;&gt;"",OR(NOT(ISNUMBER(E23)),N(E23)&lt;0)),"Prix invalide",IF(AND(F23&lt;&gt;"",NOT(ISNUMBER(F23))),"Taux de TVA invalide",IF(AND(F23&lt;&gt;"",COUNTIF(p_rates,F23)=0),"Taux de TVA hors liste (Paramètres)","OK")))))))</f>
        <v/>
      </c>
    </row>
    <row r="24">
      <c r="A24" s="145" t="n"/>
      <c r="B24" s="63" t="n"/>
      <c r="C24" s="60" t="n"/>
      <c r="D24" s="60" t="n"/>
      <c r="E24" s="68" t="n"/>
      <c r="F24" s="70" t="n"/>
      <c r="G24" s="59" t="str">
        <f>IF(COUNTA(A24:F24)=0,"",IF(A24="","Code manquant",IF(COUNTIF(pr_code,A24)&gt;1,"Code en double",IF(B24="","Désignation manquante",IF(AND(E24&lt;&gt;"",OR(NOT(ISNUMBER(E24)),N(E24)&lt;0)),"Prix invalide",IF(AND(F24&lt;&gt;"",NOT(ISNUMBER(F24))),"Taux de TVA invalide",IF(AND(F24&lt;&gt;"",COUNTIF(p_rates,F24)=0),"Taux de TVA hors liste (Paramètres)","OK")))))))</f>
        <v/>
      </c>
    </row>
    <row r="25">
      <c r="A25" s="145" t="n"/>
      <c r="B25" s="63" t="n"/>
      <c r="C25" s="60" t="n"/>
      <c r="D25" s="60" t="n"/>
      <c r="E25" s="68" t="n"/>
      <c r="F25" s="70" t="n"/>
      <c r="G25" s="59" t="str">
        <f>IF(COUNTA(A25:F25)=0,"",IF(A25="","Code manquant",IF(COUNTIF(pr_code,A25)&gt;1,"Code en double",IF(B25="","Désignation manquante",IF(AND(E25&lt;&gt;"",OR(NOT(ISNUMBER(E25)),N(E25)&lt;0)),"Prix invalide",IF(AND(F25&lt;&gt;"",NOT(ISNUMBER(F25))),"Taux de TVA invalide",IF(AND(F25&lt;&gt;"",COUNTIF(p_rates,F25)=0),"Taux de TVA hors liste (Paramètres)","OK")))))))</f>
        <v/>
      </c>
    </row>
    <row r="26">
      <c r="A26" s="145" t="n"/>
      <c r="B26" s="63" t="n"/>
      <c r="C26" s="60" t="n"/>
      <c r="D26" s="60" t="n"/>
      <c r="E26" s="68" t="n"/>
      <c r="F26" s="70" t="n"/>
      <c r="G26" s="59" t="str">
        <f>IF(COUNTA(A26:F26)=0,"",IF(A26="","Code manquant",IF(COUNTIF(pr_code,A26)&gt;1,"Code en double",IF(B26="","Désignation manquante",IF(AND(E26&lt;&gt;"",OR(NOT(ISNUMBER(E26)),N(E26)&lt;0)),"Prix invalide",IF(AND(F26&lt;&gt;"",NOT(ISNUMBER(F26))),"Taux de TVA invalide",IF(AND(F26&lt;&gt;"",COUNTIF(p_rates,F26)=0),"Taux de TVA hors liste (Paramètres)","OK")))))))</f>
        <v/>
      </c>
    </row>
    <row r="27">
      <c r="A27" s="145" t="n"/>
      <c r="B27" s="63" t="n"/>
      <c r="C27" s="60" t="n"/>
      <c r="D27" s="60" t="n"/>
      <c r="E27" s="68" t="n"/>
      <c r="F27" s="70" t="n"/>
      <c r="G27" s="59" t="str">
        <f>IF(COUNTA(A27:F27)=0,"",IF(A27="","Code manquant",IF(COUNTIF(pr_code,A27)&gt;1,"Code en double",IF(B27="","Désignation manquante",IF(AND(E27&lt;&gt;"",OR(NOT(ISNUMBER(E27)),N(E27)&lt;0)),"Prix invalide",IF(AND(F27&lt;&gt;"",NOT(ISNUMBER(F27))),"Taux de TVA invalide",IF(AND(F27&lt;&gt;"",COUNTIF(p_rates,F27)=0),"Taux de TVA hors liste (Paramètres)","OK")))))))</f>
        <v/>
      </c>
    </row>
    <row r="28">
      <c r="A28" s="145" t="n"/>
      <c r="B28" s="63" t="n"/>
      <c r="C28" s="60" t="n"/>
      <c r="D28" s="60" t="n"/>
      <c r="E28" s="68" t="n"/>
      <c r="F28" s="70" t="n"/>
      <c r="G28" s="59" t="str">
        <f>IF(COUNTA(A28:F28)=0,"",IF(A28="","Code manquant",IF(COUNTIF(pr_code,A28)&gt;1,"Code en double",IF(B28="","Désignation manquante",IF(AND(E28&lt;&gt;"",OR(NOT(ISNUMBER(E28)),N(E28)&lt;0)),"Prix invalide",IF(AND(F28&lt;&gt;"",NOT(ISNUMBER(F28))),"Taux de TVA invalide",IF(AND(F28&lt;&gt;"",COUNTIF(p_rates,F28)=0),"Taux de TVA hors liste (Paramètres)","OK")))))))</f>
        <v/>
      </c>
    </row>
    <row r="29">
      <c r="A29" s="145" t="n"/>
      <c r="B29" s="63" t="n"/>
      <c r="C29" s="60" t="n"/>
      <c r="D29" s="60" t="n"/>
      <c r="E29" s="68" t="n"/>
      <c r="F29" s="70" t="n"/>
      <c r="G29" s="59" t="str">
        <f>IF(COUNTA(A29:F29)=0,"",IF(A29="","Code manquant",IF(COUNTIF(pr_code,A29)&gt;1,"Code en double",IF(B29="","Désignation manquante",IF(AND(E29&lt;&gt;"",OR(NOT(ISNUMBER(E29)),N(E29)&lt;0)),"Prix invalide",IF(AND(F29&lt;&gt;"",NOT(ISNUMBER(F29))),"Taux de TVA invalide",IF(AND(F29&lt;&gt;"",COUNTIF(p_rates,F29)=0),"Taux de TVA hors liste (Paramètres)","OK")))))))</f>
        <v/>
      </c>
    </row>
    <row r="30">
      <c r="A30" s="145" t="n"/>
      <c r="B30" s="63" t="n"/>
      <c r="C30" s="60" t="n"/>
      <c r="D30" s="60" t="n"/>
      <c r="E30" s="68" t="n"/>
      <c r="F30" s="70" t="n"/>
      <c r="G30" s="59" t="str">
        <f>IF(COUNTA(A30:F30)=0,"",IF(A30="","Code manquant",IF(COUNTIF(pr_code,A30)&gt;1,"Code en double",IF(B30="","Désignation manquante",IF(AND(E30&lt;&gt;"",OR(NOT(ISNUMBER(E30)),N(E30)&lt;0)),"Prix invalide",IF(AND(F30&lt;&gt;"",NOT(ISNUMBER(F30))),"Taux de TVA invalide",IF(AND(F30&lt;&gt;"",COUNTIF(p_rates,F30)=0),"Taux de TVA hors liste (Paramètres)","OK")))))))</f>
        <v/>
      </c>
    </row>
    <row r="31">
      <c r="A31" s="145" t="n"/>
      <c r="B31" s="63" t="n"/>
      <c r="C31" s="60" t="n"/>
      <c r="D31" s="60" t="n"/>
      <c r="E31" s="68" t="n"/>
      <c r="F31" s="70" t="n"/>
      <c r="G31" s="59" t="str">
        <f>IF(COUNTA(A31:F31)=0,"",IF(A31="","Code manquant",IF(COUNTIF(pr_code,A31)&gt;1,"Code en double",IF(B31="","Désignation manquante",IF(AND(E31&lt;&gt;"",OR(NOT(ISNUMBER(E31)),N(E31)&lt;0)),"Prix invalide",IF(AND(F31&lt;&gt;"",NOT(ISNUMBER(F31))),"Taux de TVA invalide",IF(AND(F31&lt;&gt;"",COUNTIF(p_rates,F31)=0),"Taux de TVA hors liste (Paramètres)","OK")))))))</f>
        <v/>
      </c>
    </row>
    <row r="32">
      <c r="A32" s="145" t="n"/>
      <c r="B32" s="63" t="n"/>
      <c r="C32" s="60" t="n"/>
      <c r="D32" s="60" t="n"/>
      <c r="E32" s="68" t="n"/>
      <c r="F32" s="70" t="n"/>
      <c r="G32" s="59" t="str">
        <f>IF(COUNTA(A32:F32)=0,"",IF(A32="","Code manquant",IF(COUNTIF(pr_code,A32)&gt;1,"Code en double",IF(B32="","Désignation manquante",IF(AND(E32&lt;&gt;"",OR(NOT(ISNUMBER(E32)),N(E32)&lt;0)),"Prix invalide",IF(AND(F32&lt;&gt;"",NOT(ISNUMBER(F32))),"Taux de TVA invalide",IF(AND(F32&lt;&gt;"",COUNTIF(p_rates,F32)=0),"Taux de TVA hors liste (Paramètres)","OK")))))))</f>
        <v/>
      </c>
    </row>
    <row r="33">
      <c r="A33" s="145" t="n"/>
      <c r="B33" s="63" t="n"/>
      <c r="C33" s="60" t="n"/>
      <c r="D33" s="60" t="n"/>
      <c r="E33" s="68" t="n"/>
      <c r="F33" s="70" t="n"/>
      <c r="G33" s="59" t="str">
        <f>IF(COUNTA(A33:F33)=0,"",IF(A33="","Code manquant",IF(COUNTIF(pr_code,A33)&gt;1,"Code en double",IF(B33="","Désignation manquante",IF(AND(E33&lt;&gt;"",OR(NOT(ISNUMBER(E33)),N(E33)&lt;0)),"Prix invalide",IF(AND(F33&lt;&gt;"",NOT(ISNUMBER(F33))),"Taux de TVA invalide",IF(AND(F33&lt;&gt;"",COUNTIF(p_rates,F33)=0),"Taux de TVA hors liste (Paramètres)","OK")))))))</f>
        <v/>
      </c>
    </row>
    <row r="34">
      <c r="A34" s="145" t="n"/>
      <c r="B34" s="63" t="n"/>
      <c r="C34" s="60" t="n"/>
      <c r="D34" s="60" t="n"/>
      <c r="E34" s="68" t="n"/>
      <c r="F34" s="70" t="n"/>
      <c r="G34" s="59" t="str">
        <f>IF(COUNTA(A34:F34)=0,"",IF(A34="","Code manquant",IF(COUNTIF(pr_code,A34)&gt;1,"Code en double",IF(B34="","Désignation manquante",IF(AND(E34&lt;&gt;"",OR(NOT(ISNUMBER(E34)),N(E34)&lt;0)),"Prix invalide",IF(AND(F34&lt;&gt;"",NOT(ISNUMBER(F34))),"Taux de TVA invalide",IF(AND(F34&lt;&gt;"",COUNTIF(p_rates,F34)=0),"Taux de TVA hors liste (Paramètres)","OK")))))))</f>
        <v/>
      </c>
    </row>
    <row r="35">
      <c r="A35" s="145" t="n"/>
      <c r="B35" s="63" t="n"/>
      <c r="C35" s="60" t="n"/>
      <c r="D35" s="60" t="n"/>
      <c r="E35" s="68" t="n"/>
      <c r="F35" s="70" t="n"/>
      <c r="G35" s="59" t="str">
        <f>IF(COUNTA(A35:F35)=0,"",IF(A35="","Code manquant",IF(COUNTIF(pr_code,A35)&gt;1,"Code en double",IF(B35="","Désignation manquante",IF(AND(E35&lt;&gt;"",OR(NOT(ISNUMBER(E35)),N(E35)&lt;0)),"Prix invalide",IF(AND(F35&lt;&gt;"",NOT(ISNUMBER(F35))),"Taux de TVA invalide",IF(AND(F35&lt;&gt;"",COUNTIF(p_rates,F35)=0),"Taux de TVA hors liste (Paramètres)","OK")))))))</f>
        <v/>
      </c>
    </row>
    <row r="36">
      <c r="A36" s="145" t="n"/>
      <c r="B36" s="63" t="n"/>
      <c r="C36" s="60" t="n"/>
      <c r="D36" s="60" t="n"/>
      <c r="E36" s="68" t="n"/>
      <c r="F36" s="70" t="n"/>
      <c r="G36" s="59" t="str">
        <f>IF(COUNTA(A36:F36)=0,"",IF(A36="","Code manquant",IF(COUNTIF(pr_code,A36)&gt;1,"Code en double",IF(B36="","Désignation manquante",IF(AND(E36&lt;&gt;"",OR(NOT(ISNUMBER(E36)),N(E36)&lt;0)),"Prix invalide",IF(AND(F36&lt;&gt;"",NOT(ISNUMBER(F36))),"Taux de TVA invalide",IF(AND(F36&lt;&gt;"",COUNTIF(p_rates,F36)=0),"Taux de TVA hors liste (Paramètres)","OK")))))))</f>
        <v/>
      </c>
    </row>
    <row r="37">
      <c r="A37" s="145" t="n"/>
      <c r="B37" s="63" t="n"/>
      <c r="C37" s="60" t="n"/>
      <c r="D37" s="60" t="n"/>
      <c r="E37" s="68" t="n"/>
      <c r="F37" s="70" t="n"/>
      <c r="G37" s="59" t="str">
        <f>IF(COUNTA(A37:F37)=0,"",IF(A37="","Code manquant",IF(COUNTIF(pr_code,A37)&gt;1,"Code en double",IF(B37="","Désignation manquante",IF(AND(E37&lt;&gt;"",OR(NOT(ISNUMBER(E37)),N(E37)&lt;0)),"Prix invalide",IF(AND(F37&lt;&gt;"",NOT(ISNUMBER(F37))),"Taux de TVA invalide",IF(AND(F37&lt;&gt;"",COUNTIF(p_rates,F37)=0),"Taux de TVA hors liste (Paramètres)","OK")))))))</f>
        <v/>
      </c>
    </row>
    <row r="38">
      <c r="A38" s="145" t="n"/>
      <c r="B38" s="63" t="n"/>
      <c r="C38" s="60" t="n"/>
      <c r="D38" s="60" t="n"/>
      <c r="E38" s="68" t="n"/>
      <c r="F38" s="70" t="n"/>
      <c r="G38" s="59" t="str">
        <f>IF(COUNTA(A38:F38)=0,"",IF(A38="","Code manquant",IF(COUNTIF(pr_code,A38)&gt;1,"Code en double",IF(B38="","Désignation manquante",IF(AND(E38&lt;&gt;"",OR(NOT(ISNUMBER(E38)),N(E38)&lt;0)),"Prix invalide",IF(AND(F38&lt;&gt;"",NOT(ISNUMBER(F38))),"Taux de TVA invalide",IF(AND(F38&lt;&gt;"",COUNTIF(p_rates,F38)=0),"Taux de TVA hors liste (Paramètres)","OK")))))))</f>
        <v/>
      </c>
    </row>
    <row r="39">
      <c r="A39" s="145" t="n"/>
      <c r="B39" s="63" t="n"/>
      <c r="C39" s="60" t="n"/>
      <c r="D39" s="60" t="n"/>
      <c r="E39" s="68" t="n"/>
      <c r="F39" s="70" t="n"/>
      <c r="G39" s="59" t="str">
        <f>IF(COUNTA(A39:F39)=0,"",IF(A39="","Code manquant",IF(COUNTIF(pr_code,A39)&gt;1,"Code en double",IF(B39="","Désignation manquante",IF(AND(E39&lt;&gt;"",OR(NOT(ISNUMBER(E39)),N(E39)&lt;0)),"Prix invalide",IF(AND(F39&lt;&gt;"",NOT(ISNUMBER(F39))),"Taux de TVA invalide",IF(AND(F39&lt;&gt;"",COUNTIF(p_rates,F39)=0),"Taux de TVA hors liste (Paramètres)","OK")))))))</f>
        <v/>
      </c>
    </row>
    <row r="40">
      <c r="A40" s="145" t="n"/>
      <c r="B40" s="63" t="n"/>
      <c r="C40" s="60" t="n"/>
      <c r="D40" s="60" t="n"/>
      <c r="E40" s="68" t="n"/>
      <c r="F40" s="70" t="n"/>
      <c r="G40" s="59" t="str">
        <f>IF(COUNTA(A40:F40)=0,"",IF(A40="","Code manquant",IF(COUNTIF(pr_code,A40)&gt;1,"Code en double",IF(B40="","Désignation manquante",IF(AND(E40&lt;&gt;"",OR(NOT(ISNUMBER(E40)),N(E40)&lt;0)),"Prix invalide",IF(AND(F40&lt;&gt;"",NOT(ISNUMBER(F40))),"Taux de TVA invalide",IF(AND(F40&lt;&gt;"",COUNTIF(p_rates,F40)=0),"Taux de TVA hors liste (Paramètres)","OK")))))))</f>
        <v/>
      </c>
    </row>
    <row r="41">
      <c r="A41" s="145" t="n"/>
      <c r="B41" s="63" t="n"/>
      <c r="C41" s="60" t="n"/>
      <c r="D41" s="60" t="n"/>
      <c r="E41" s="68" t="n"/>
      <c r="F41" s="70" t="n"/>
      <c r="G41" s="59" t="str">
        <f>IF(COUNTA(A41:F41)=0,"",IF(A41="","Code manquant",IF(COUNTIF(pr_code,A41)&gt;1,"Code en double",IF(B41="","Désignation manquante",IF(AND(E41&lt;&gt;"",OR(NOT(ISNUMBER(E41)),N(E41)&lt;0)),"Prix invalide",IF(AND(F41&lt;&gt;"",NOT(ISNUMBER(F41))),"Taux de TVA invalide",IF(AND(F41&lt;&gt;"",COUNTIF(p_rates,F41)=0),"Taux de TVA hors liste (Paramètres)","OK")))))))</f>
        <v/>
      </c>
    </row>
    <row r="42">
      <c r="A42" s="145" t="n"/>
      <c r="B42" s="63" t="n"/>
      <c r="C42" s="60" t="n"/>
      <c r="D42" s="60" t="n"/>
      <c r="E42" s="68" t="n"/>
      <c r="F42" s="70" t="n"/>
      <c r="G42" s="59" t="str">
        <f>IF(COUNTA(A42:F42)=0,"",IF(A42="","Code manquant",IF(COUNTIF(pr_code,A42)&gt;1,"Code en double",IF(B42="","Désignation manquante",IF(AND(E42&lt;&gt;"",OR(NOT(ISNUMBER(E42)),N(E42)&lt;0)),"Prix invalide",IF(AND(F42&lt;&gt;"",NOT(ISNUMBER(F42))),"Taux de TVA invalide",IF(AND(F42&lt;&gt;"",COUNTIF(p_rates,F42)=0),"Taux de TVA hors liste (Paramètres)","OK")))))))</f>
        <v/>
      </c>
    </row>
    <row r="43">
      <c r="A43" s="145" t="n"/>
      <c r="B43" s="63" t="n"/>
      <c r="C43" s="60" t="n"/>
      <c r="D43" s="60" t="n"/>
      <c r="E43" s="68" t="n"/>
      <c r="F43" s="70" t="n"/>
      <c r="G43" s="59" t="str">
        <f>IF(COUNTA(A43:F43)=0,"",IF(A43="","Code manquant",IF(COUNTIF(pr_code,A43)&gt;1,"Code en double",IF(B43="","Désignation manquante",IF(AND(E43&lt;&gt;"",OR(NOT(ISNUMBER(E43)),N(E43)&lt;0)),"Prix invalide",IF(AND(F43&lt;&gt;"",NOT(ISNUMBER(F43))),"Taux de TVA invalide",IF(AND(F43&lt;&gt;"",COUNTIF(p_rates,F43)=0),"Taux de TVA hors liste (Paramètres)","OK")))))))</f>
        <v/>
      </c>
    </row>
    <row r="44">
      <c r="A44" s="145" t="n"/>
      <c r="B44" s="63" t="n"/>
      <c r="C44" s="60" t="n"/>
      <c r="D44" s="60" t="n"/>
      <c r="E44" s="68" t="n"/>
      <c r="F44" s="70" t="n"/>
      <c r="G44" s="59" t="str">
        <f>IF(COUNTA(A44:F44)=0,"",IF(A44="","Code manquant",IF(COUNTIF(pr_code,A44)&gt;1,"Code en double",IF(B44="","Désignation manquante",IF(AND(E44&lt;&gt;"",OR(NOT(ISNUMBER(E44)),N(E44)&lt;0)),"Prix invalide",IF(AND(F44&lt;&gt;"",NOT(ISNUMBER(F44))),"Taux de TVA invalide",IF(AND(F44&lt;&gt;"",COUNTIF(p_rates,F44)=0),"Taux de TVA hors liste (Paramètres)","OK")))))))</f>
        <v/>
      </c>
    </row>
    <row r="45">
      <c r="A45" s="145" t="n"/>
      <c r="B45" s="63" t="n"/>
      <c r="C45" s="60" t="n"/>
      <c r="D45" s="60" t="n"/>
      <c r="E45" s="68" t="n"/>
      <c r="F45" s="70" t="n"/>
      <c r="G45" s="59" t="str">
        <f>IF(COUNTA(A45:F45)=0,"",IF(A45="","Code manquant",IF(COUNTIF(pr_code,A45)&gt;1,"Code en double",IF(B45="","Désignation manquante",IF(AND(E45&lt;&gt;"",OR(NOT(ISNUMBER(E45)),N(E45)&lt;0)),"Prix invalide",IF(AND(F45&lt;&gt;"",NOT(ISNUMBER(F45))),"Taux de TVA invalide",IF(AND(F45&lt;&gt;"",COUNTIF(p_rates,F45)=0),"Taux de TVA hors liste (Paramètres)","OK")))))))</f>
        <v/>
      </c>
    </row>
    <row r="46">
      <c r="A46" s="145" t="n"/>
      <c r="B46" s="63" t="n"/>
      <c r="C46" s="60" t="n"/>
      <c r="D46" s="60" t="n"/>
      <c r="E46" s="68" t="n"/>
      <c r="F46" s="70" t="n"/>
      <c r="G46" s="59" t="str">
        <f>IF(COUNTA(A46:F46)=0,"",IF(A46="","Code manquant",IF(COUNTIF(pr_code,A46)&gt;1,"Code en double",IF(B46="","Désignation manquante",IF(AND(E46&lt;&gt;"",OR(NOT(ISNUMBER(E46)),N(E46)&lt;0)),"Prix invalide",IF(AND(F46&lt;&gt;"",NOT(ISNUMBER(F46))),"Taux de TVA invalide",IF(AND(F46&lt;&gt;"",COUNTIF(p_rates,F46)=0),"Taux de TVA hors liste (Paramètres)","OK")))))))</f>
        <v/>
      </c>
    </row>
    <row r="47">
      <c r="A47" s="145" t="n"/>
      <c r="B47" s="63" t="n"/>
      <c r="C47" s="60" t="n"/>
      <c r="D47" s="60" t="n"/>
      <c r="E47" s="68" t="n"/>
      <c r="F47" s="70" t="n"/>
      <c r="G47" s="59" t="str">
        <f>IF(COUNTA(A47:F47)=0,"",IF(A47="","Code manquant",IF(COUNTIF(pr_code,A47)&gt;1,"Code en double",IF(B47="","Désignation manquante",IF(AND(E47&lt;&gt;"",OR(NOT(ISNUMBER(E47)),N(E47)&lt;0)),"Prix invalide",IF(AND(F47&lt;&gt;"",NOT(ISNUMBER(F47))),"Taux de TVA invalide",IF(AND(F47&lt;&gt;"",COUNTIF(p_rates,F47)=0),"Taux de TVA hors liste (Paramètres)","OK")))))))</f>
        <v/>
      </c>
    </row>
    <row r="48">
      <c r="A48" s="145" t="n"/>
      <c r="B48" s="63" t="n"/>
      <c r="C48" s="60" t="n"/>
      <c r="D48" s="60" t="n"/>
      <c r="E48" s="68" t="n"/>
      <c r="F48" s="70" t="n"/>
      <c r="G48" s="59" t="str">
        <f>IF(COUNTA(A48:F48)=0,"",IF(A48="","Code manquant",IF(COUNTIF(pr_code,A48)&gt;1,"Code en double",IF(B48="","Désignation manquante",IF(AND(E48&lt;&gt;"",OR(NOT(ISNUMBER(E48)),N(E48)&lt;0)),"Prix invalide",IF(AND(F48&lt;&gt;"",NOT(ISNUMBER(F48))),"Taux de TVA invalide",IF(AND(F48&lt;&gt;"",COUNTIF(p_rates,F48)=0),"Taux de TVA hors liste (Paramètres)","OK")))))))</f>
        <v/>
      </c>
    </row>
    <row r="49">
      <c r="A49" s="145" t="n"/>
      <c r="B49" s="63" t="n"/>
      <c r="C49" s="60" t="n"/>
      <c r="D49" s="60" t="n"/>
      <c r="E49" s="68" t="n"/>
      <c r="F49" s="70" t="n"/>
      <c r="G49" s="59" t="str">
        <f>IF(COUNTA(A49:F49)=0,"",IF(A49="","Code manquant",IF(COUNTIF(pr_code,A49)&gt;1,"Code en double",IF(B49="","Désignation manquante",IF(AND(E49&lt;&gt;"",OR(NOT(ISNUMBER(E49)),N(E49)&lt;0)),"Prix invalide",IF(AND(F49&lt;&gt;"",NOT(ISNUMBER(F49))),"Taux de TVA invalide",IF(AND(F49&lt;&gt;"",COUNTIF(p_rates,F49)=0),"Taux de TVA hors liste (Paramètres)","OK")))))))</f>
        <v/>
      </c>
    </row>
    <row r="50">
      <c r="A50" s="145" t="n"/>
      <c r="B50" s="63" t="n"/>
      <c r="C50" s="60" t="n"/>
      <c r="D50" s="60" t="n"/>
      <c r="E50" s="68" t="n"/>
      <c r="F50" s="70" t="n"/>
      <c r="G50" s="59" t="str">
        <f>IF(COUNTA(A50:F50)=0,"",IF(A50="","Code manquant",IF(COUNTIF(pr_code,A50)&gt;1,"Code en double",IF(B50="","Désignation manquante",IF(AND(E50&lt;&gt;"",OR(NOT(ISNUMBER(E50)),N(E50)&lt;0)),"Prix invalide",IF(AND(F50&lt;&gt;"",NOT(ISNUMBER(F50))),"Taux de TVA invalide",IF(AND(F50&lt;&gt;"",COUNTIF(p_rates,F50)=0),"Taux de TVA hors liste (Paramètres)","OK")))))))</f>
        <v/>
      </c>
    </row>
    <row r="51">
      <c r="A51" s="145" t="n"/>
      <c r="B51" s="63" t="n"/>
      <c r="C51" s="60" t="n"/>
      <c r="D51" s="60" t="n"/>
      <c r="E51" s="68" t="n"/>
      <c r="F51" s="70" t="n"/>
      <c r="G51" s="59" t="str">
        <f>IF(COUNTA(A51:F51)=0,"",IF(A51="","Code manquant",IF(COUNTIF(pr_code,A51)&gt;1,"Code en double",IF(B51="","Désignation manquante",IF(AND(E51&lt;&gt;"",OR(NOT(ISNUMBER(E51)),N(E51)&lt;0)),"Prix invalide",IF(AND(F51&lt;&gt;"",NOT(ISNUMBER(F51))),"Taux de TVA invalide",IF(AND(F51&lt;&gt;"",COUNTIF(p_rates,F51)=0),"Taux de TVA hors liste (Paramètres)","OK")))))))</f>
        <v/>
      </c>
    </row>
    <row r="52">
      <c r="A52" s="145" t="n"/>
      <c r="B52" s="63" t="n"/>
      <c r="C52" s="60" t="n"/>
      <c r="D52" s="60" t="n"/>
      <c r="E52" s="68" t="n"/>
      <c r="F52" s="70" t="n"/>
      <c r="G52" s="59" t="str">
        <f>IF(COUNTA(A52:F52)=0,"",IF(A52="","Code manquant",IF(COUNTIF(pr_code,A52)&gt;1,"Code en double",IF(B52="","Désignation manquante",IF(AND(E52&lt;&gt;"",OR(NOT(ISNUMBER(E52)),N(E52)&lt;0)),"Prix invalide",IF(AND(F52&lt;&gt;"",NOT(ISNUMBER(F52))),"Taux de TVA invalide",IF(AND(F52&lt;&gt;"",COUNTIF(p_rates,F52)=0),"Taux de TVA hors liste (Paramètres)","OK")))))))</f>
        <v/>
      </c>
    </row>
    <row r="53">
      <c r="A53" s="145" t="n"/>
      <c r="B53" s="63" t="n"/>
      <c r="C53" s="60" t="n"/>
      <c r="D53" s="60" t="n"/>
      <c r="E53" s="68" t="n"/>
      <c r="F53" s="70" t="n"/>
      <c r="G53" s="59" t="str">
        <f>IF(COUNTA(A53:F53)=0,"",IF(A53="","Code manquant",IF(COUNTIF(pr_code,A53)&gt;1,"Code en double",IF(B53="","Désignation manquante",IF(AND(E53&lt;&gt;"",OR(NOT(ISNUMBER(E53)),N(E53)&lt;0)),"Prix invalide",IF(AND(F53&lt;&gt;"",NOT(ISNUMBER(F53))),"Taux de TVA invalide",IF(AND(F53&lt;&gt;"",COUNTIF(p_rates,F53)=0),"Taux de TVA hors liste (Paramètres)","OK")))))))</f>
        <v/>
      </c>
    </row>
    <row r="54">
      <c r="A54" s="145" t="n"/>
      <c r="B54" s="63" t="n"/>
      <c r="C54" s="60" t="n"/>
      <c r="D54" s="60" t="n"/>
      <c r="E54" s="68" t="n"/>
      <c r="F54" s="70" t="n"/>
      <c r="G54" s="59" t="str">
        <f>IF(COUNTA(A54:F54)=0,"",IF(A54="","Code manquant",IF(COUNTIF(pr_code,A54)&gt;1,"Code en double",IF(B54="","Désignation manquante",IF(AND(E54&lt;&gt;"",OR(NOT(ISNUMBER(E54)),N(E54)&lt;0)),"Prix invalide",IF(AND(F54&lt;&gt;"",NOT(ISNUMBER(F54))),"Taux de TVA invalide",IF(AND(F54&lt;&gt;"",COUNTIF(p_rates,F54)=0),"Taux de TVA hors liste (Paramètres)","OK")))))))</f>
        <v/>
      </c>
    </row>
    <row r="55">
      <c r="A55" s="145" t="n"/>
      <c r="B55" s="63" t="n"/>
      <c r="C55" s="60" t="n"/>
      <c r="D55" s="60" t="n"/>
      <c r="E55" s="68" t="n"/>
      <c r="F55" s="70" t="n"/>
      <c r="G55" s="59" t="str">
        <f>IF(COUNTA(A55:F55)=0,"",IF(A55="","Code manquant",IF(COUNTIF(pr_code,A55)&gt;1,"Code en double",IF(B55="","Désignation manquante",IF(AND(E55&lt;&gt;"",OR(NOT(ISNUMBER(E55)),N(E55)&lt;0)),"Prix invalide",IF(AND(F55&lt;&gt;"",NOT(ISNUMBER(F55))),"Taux de TVA invalide",IF(AND(F55&lt;&gt;"",COUNTIF(p_rates,F55)=0),"Taux de TVA hors liste (Paramètres)","OK")))))))</f>
        <v/>
      </c>
    </row>
    <row r="56">
      <c r="A56" s="145" t="n"/>
      <c r="B56" s="63" t="n"/>
      <c r="C56" s="60" t="n"/>
      <c r="D56" s="60" t="n"/>
      <c r="E56" s="68" t="n"/>
      <c r="F56" s="70" t="n"/>
      <c r="G56" s="59" t="str">
        <f>IF(COUNTA(A56:F56)=0,"",IF(A56="","Code manquant",IF(COUNTIF(pr_code,A56)&gt;1,"Code en double",IF(B56="","Désignation manquante",IF(AND(E56&lt;&gt;"",OR(NOT(ISNUMBER(E56)),N(E56)&lt;0)),"Prix invalide",IF(AND(F56&lt;&gt;"",NOT(ISNUMBER(F56))),"Taux de TVA invalide",IF(AND(F56&lt;&gt;"",COUNTIF(p_rates,F56)=0),"Taux de TVA hors liste (Paramètres)","OK")))))))</f>
        <v/>
      </c>
    </row>
    <row r="57">
      <c r="A57" s="145" t="n"/>
      <c r="B57" s="63" t="n"/>
      <c r="C57" s="60" t="n"/>
      <c r="D57" s="60" t="n"/>
      <c r="E57" s="68" t="n"/>
      <c r="F57" s="70" t="n"/>
      <c r="G57" s="59" t="str">
        <f>IF(COUNTA(A57:F57)=0,"",IF(A57="","Code manquant",IF(COUNTIF(pr_code,A57)&gt;1,"Code en double",IF(B57="","Désignation manquante",IF(AND(E57&lt;&gt;"",OR(NOT(ISNUMBER(E57)),N(E57)&lt;0)),"Prix invalide",IF(AND(F57&lt;&gt;"",NOT(ISNUMBER(F57))),"Taux de TVA invalide",IF(AND(F57&lt;&gt;"",COUNTIF(p_rates,F57)=0),"Taux de TVA hors liste (Paramètres)","OK")))))))</f>
        <v/>
      </c>
    </row>
    <row r="58">
      <c r="A58" s="145" t="n"/>
      <c r="B58" s="63" t="n"/>
      <c r="C58" s="60" t="n"/>
      <c r="D58" s="60" t="n"/>
      <c r="E58" s="68" t="n"/>
      <c r="F58" s="70" t="n"/>
      <c r="G58" s="59" t="str">
        <f>IF(COUNTA(A58:F58)=0,"",IF(A58="","Code manquant",IF(COUNTIF(pr_code,A58)&gt;1,"Code en double",IF(B58="","Désignation manquante",IF(AND(E58&lt;&gt;"",OR(NOT(ISNUMBER(E58)),N(E58)&lt;0)),"Prix invalide",IF(AND(F58&lt;&gt;"",NOT(ISNUMBER(F58))),"Taux de TVA invalide",IF(AND(F58&lt;&gt;"",COUNTIF(p_rates,F58)=0),"Taux de TVA hors liste (Paramètres)","OK")))))))</f>
        <v/>
      </c>
    </row>
    <row r="59">
      <c r="A59" s="145" t="n"/>
      <c r="B59" s="63" t="n"/>
      <c r="C59" s="60" t="n"/>
      <c r="D59" s="60" t="n"/>
      <c r="E59" s="68" t="n"/>
      <c r="F59" s="70" t="n"/>
      <c r="G59" s="59" t="str">
        <f>IF(COUNTA(A59:F59)=0,"",IF(A59="","Code manquant",IF(COUNTIF(pr_code,A59)&gt;1,"Code en double",IF(B59="","Désignation manquante",IF(AND(E59&lt;&gt;"",OR(NOT(ISNUMBER(E59)),N(E59)&lt;0)),"Prix invalide",IF(AND(F59&lt;&gt;"",NOT(ISNUMBER(F59))),"Taux de TVA invalide",IF(AND(F59&lt;&gt;"",COUNTIF(p_rates,F59)=0),"Taux de TVA hors liste (Paramètres)","OK")))))))</f>
        <v/>
      </c>
    </row>
    <row r="60">
      <c r="A60" s="145" t="n"/>
      <c r="B60" s="63" t="n"/>
      <c r="C60" s="60" t="n"/>
      <c r="D60" s="60" t="n"/>
      <c r="E60" s="68" t="n"/>
      <c r="F60" s="70" t="n"/>
      <c r="G60" s="59" t="str">
        <f>IF(COUNTA(A60:F60)=0,"",IF(A60="","Code manquant",IF(COUNTIF(pr_code,A60)&gt;1,"Code en double",IF(B60="","Désignation manquante",IF(AND(E60&lt;&gt;"",OR(NOT(ISNUMBER(E60)),N(E60)&lt;0)),"Prix invalide",IF(AND(F60&lt;&gt;"",NOT(ISNUMBER(F60))),"Taux de TVA invalide",IF(AND(F60&lt;&gt;"",COUNTIF(p_rates,F60)=0),"Taux de TVA hors liste (Paramètres)","OK")))))))</f>
        <v/>
      </c>
    </row>
    <row r="61">
      <c r="A61" s="145" t="n"/>
      <c r="B61" s="63" t="n"/>
      <c r="C61" s="60" t="n"/>
      <c r="D61" s="60" t="n"/>
      <c r="E61" s="68" t="n"/>
      <c r="F61" s="70" t="n"/>
      <c r="G61" s="59" t="str">
        <f>IF(COUNTA(A61:F61)=0,"",IF(A61="","Code manquant",IF(COUNTIF(pr_code,A61)&gt;1,"Code en double",IF(B61="","Désignation manquante",IF(AND(E61&lt;&gt;"",OR(NOT(ISNUMBER(E61)),N(E61)&lt;0)),"Prix invalide",IF(AND(F61&lt;&gt;"",NOT(ISNUMBER(F61))),"Taux de TVA invalide",IF(AND(F61&lt;&gt;"",COUNTIF(p_rates,F61)=0),"Taux de TVA hors liste (Paramètres)","OK")))))))</f>
        <v/>
      </c>
    </row>
    <row r="62">
      <c r="A62" s="145" t="n"/>
      <c r="B62" s="63" t="n"/>
      <c r="C62" s="60" t="n"/>
      <c r="D62" s="60" t="n"/>
      <c r="E62" s="68" t="n"/>
      <c r="F62" s="70" t="n"/>
      <c r="G62" s="59" t="str">
        <f>IF(COUNTA(A62:F62)=0,"",IF(A62="","Code manquant",IF(COUNTIF(pr_code,A62)&gt;1,"Code en double",IF(B62="","Désignation manquante",IF(AND(E62&lt;&gt;"",OR(NOT(ISNUMBER(E62)),N(E62)&lt;0)),"Prix invalide",IF(AND(F62&lt;&gt;"",NOT(ISNUMBER(F62))),"Taux de TVA invalide",IF(AND(F62&lt;&gt;"",COUNTIF(p_rates,F62)=0),"Taux de TVA hors liste (Paramètres)","OK")))))))</f>
        <v/>
      </c>
    </row>
    <row r="63">
      <c r="A63" s="145" t="n"/>
      <c r="B63" s="63" t="n"/>
      <c r="C63" s="60" t="n"/>
      <c r="D63" s="60" t="n"/>
      <c r="E63" s="68" t="n"/>
      <c r="F63" s="70" t="n"/>
      <c r="G63" s="59" t="str">
        <f>IF(COUNTA(A63:F63)=0,"",IF(A63="","Code manquant",IF(COUNTIF(pr_code,A63)&gt;1,"Code en double",IF(B63="","Désignation manquante",IF(AND(E63&lt;&gt;"",OR(NOT(ISNUMBER(E63)),N(E63)&lt;0)),"Prix invalide",IF(AND(F63&lt;&gt;"",NOT(ISNUMBER(F63))),"Taux de TVA invalide",IF(AND(F63&lt;&gt;"",COUNTIF(p_rates,F63)=0),"Taux de TVA hors liste (Paramètres)","OK")))))))</f>
        <v/>
      </c>
    </row>
    <row r="64">
      <c r="A64" s="145" t="n"/>
      <c r="B64" s="63" t="n"/>
      <c r="C64" s="60" t="n"/>
      <c r="D64" s="60" t="n"/>
      <c r="E64" s="68" t="n"/>
      <c r="F64" s="70" t="n"/>
      <c r="G64" s="59" t="str">
        <f>IF(COUNTA(A64:F64)=0,"",IF(A64="","Code manquant",IF(COUNTIF(pr_code,A64)&gt;1,"Code en double",IF(B64="","Désignation manquante",IF(AND(E64&lt;&gt;"",OR(NOT(ISNUMBER(E64)),N(E64)&lt;0)),"Prix invalide",IF(AND(F64&lt;&gt;"",NOT(ISNUMBER(F64))),"Taux de TVA invalide",IF(AND(F64&lt;&gt;"",COUNTIF(p_rates,F64)=0),"Taux de TVA hors liste (Paramètres)","OK")))))))</f>
        <v/>
      </c>
    </row>
    <row r="65">
      <c r="A65" s="145" t="n"/>
      <c r="B65" s="63" t="n"/>
      <c r="C65" s="60" t="n"/>
      <c r="D65" s="60" t="n"/>
      <c r="E65" s="68" t="n"/>
      <c r="F65" s="70" t="n"/>
      <c r="G65" s="59" t="str">
        <f>IF(COUNTA(A65:F65)=0,"",IF(A65="","Code manquant",IF(COUNTIF(pr_code,A65)&gt;1,"Code en double",IF(B65="","Désignation manquante",IF(AND(E65&lt;&gt;"",OR(NOT(ISNUMBER(E65)),N(E65)&lt;0)),"Prix invalide",IF(AND(F65&lt;&gt;"",NOT(ISNUMBER(F65))),"Taux de TVA invalide",IF(AND(F65&lt;&gt;"",COUNTIF(p_rates,F65)=0),"Taux de TVA hors liste (Paramètres)","OK")))))))</f>
        <v/>
      </c>
    </row>
    <row r="66">
      <c r="A66" s="145" t="n"/>
      <c r="B66" s="63" t="n"/>
      <c r="C66" s="60" t="n"/>
      <c r="D66" s="60" t="n"/>
      <c r="E66" s="68" t="n"/>
      <c r="F66" s="70" t="n"/>
      <c r="G66" s="59" t="str">
        <f>IF(COUNTA(A66:F66)=0,"",IF(A66="","Code manquant",IF(COUNTIF(pr_code,A66)&gt;1,"Code en double",IF(B66="","Désignation manquante",IF(AND(E66&lt;&gt;"",OR(NOT(ISNUMBER(E66)),N(E66)&lt;0)),"Prix invalide",IF(AND(F66&lt;&gt;"",NOT(ISNUMBER(F66))),"Taux de TVA invalide",IF(AND(F66&lt;&gt;"",COUNTIF(p_rates,F66)=0),"Taux de TVA hors liste (Paramètres)","OK")))))))</f>
        <v/>
      </c>
    </row>
    <row r="67">
      <c r="A67" s="145" t="n"/>
      <c r="B67" s="63" t="n"/>
      <c r="C67" s="60" t="n"/>
      <c r="D67" s="60" t="n"/>
      <c r="E67" s="68" t="n"/>
      <c r="F67" s="70" t="n"/>
      <c r="G67" s="59" t="str">
        <f>IF(COUNTA(A67:F67)=0,"",IF(A67="","Code manquant",IF(COUNTIF(pr_code,A67)&gt;1,"Code en double",IF(B67="","Désignation manquante",IF(AND(E67&lt;&gt;"",OR(NOT(ISNUMBER(E67)),N(E67)&lt;0)),"Prix invalide",IF(AND(F67&lt;&gt;"",NOT(ISNUMBER(F67))),"Taux de TVA invalide",IF(AND(F67&lt;&gt;"",COUNTIF(p_rates,F67)=0),"Taux de TVA hors liste (Paramètres)","OK")))))))</f>
        <v/>
      </c>
    </row>
    <row r="68">
      <c r="A68" s="145" t="n"/>
      <c r="B68" s="63" t="n"/>
      <c r="C68" s="60" t="n"/>
      <c r="D68" s="60" t="n"/>
      <c r="E68" s="68" t="n"/>
      <c r="F68" s="70" t="n"/>
      <c r="G68" s="59" t="str">
        <f>IF(COUNTA(A68:F68)=0,"",IF(A68="","Code manquant",IF(COUNTIF(pr_code,A68)&gt;1,"Code en double",IF(B68="","Désignation manquante",IF(AND(E68&lt;&gt;"",OR(NOT(ISNUMBER(E68)),N(E68)&lt;0)),"Prix invalide",IF(AND(F68&lt;&gt;"",NOT(ISNUMBER(F68))),"Taux de TVA invalide",IF(AND(F68&lt;&gt;"",COUNTIF(p_rates,F68)=0),"Taux de TVA hors liste (Paramètres)","OK")))))))</f>
        <v/>
      </c>
    </row>
    <row r="69">
      <c r="A69" s="145" t="n"/>
      <c r="B69" s="63" t="n"/>
      <c r="C69" s="60" t="n"/>
      <c r="D69" s="60" t="n"/>
      <c r="E69" s="68" t="n"/>
      <c r="F69" s="70" t="n"/>
      <c r="G69" s="59" t="str">
        <f>IF(COUNTA(A69:F69)=0,"",IF(A69="","Code manquant",IF(COUNTIF(pr_code,A69)&gt;1,"Code en double",IF(B69="","Désignation manquante",IF(AND(E69&lt;&gt;"",OR(NOT(ISNUMBER(E69)),N(E69)&lt;0)),"Prix invalide",IF(AND(F69&lt;&gt;"",NOT(ISNUMBER(F69))),"Taux de TVA invalide",IF(AND(F69&lt;&gt;"",COUNTIF(p_rates,F69)=0),"Taux de TVA hors liste (Paramètres)","OK")))))))</f>
        <v/>
      </c>
    </row>
    <row r="70">
      <c r="A70" s="145" t="n"/>
      <c r="B70" s="63" t="n"/>
      <c r="C70" s="60" t="n"/>
      <c r="D70" s="60" t="n"/>
      <c r="E70" s="68" t="n"/>
      <c r="F70" s="70" t="n"/>
      <c r="G70" s="59" t="str">
        <f>IF(COUNTA(A70:F70)=0,"",IF(A70="","Code manquant",IF(COUNTIF(pr_code,A70)&gt;1,"Code en double",IF(B70="","Désignation manquante",IF(AND(E70&lt;&gt;"",OR(NOT(ISNUMBER(E70)),N(E70)&lt;0)),"Prix invalide",IF(AND(F70&lt;&gt;"",NOT(ISNUMBER(F70))),"Taux de TVA invalide",IF(AND(F70&lt;&gt;"",COUNTIF(p_rates,F70)=0),"Taux de TVA hors liste (Paramètres)","OK")))))))</f>
        <v/>
      </c>
    </row>
    <row r="71">
      <c r="A71" s="145" t="n"/>
      <c r="B71" s="63" t="n"/>
      <c r="C71" s="60" t="n"/>
      <c r="D71" s="60" t="n"/>
      <c r="E71" s="68" t="n"/>
      <c r="F71" s="70" t="n"/>
      <c r="G71" s="59" t="str">
        <f>IF(COUNTA(A71:F71)=0,"",IF(A71="","Code manquant",IF(COUNTIF(pr_code,A71)&gt;1,"Code en double",IF(B71="","Désignation manquante",IF(AND(E71&lt;&gt;"",OR(NOT(ISNUMBER(E71)),N(E71)&lt;0)),"Prix invalide",IF(AND(F71&lt;&gt;"",NOT(ISNUMBER(F71))),"Taux de TVA invalide",IF(AND(F71&lt;&gt;"",COUNTIF(p_rates,F71)=0),"Taux de TVA hors liste (Paramètres)","OK")))))))</f>
        <v/>
      </c>
    </row>
    <row r="72">
      <c r="A72" s="145" t="n"/>
      <c r="B72" s="63" t="n"/>
      <c r="C72" s="60" t="n"/>
      <c r="D72" s="60" t="n"/>
      <c r="E72" s="68" t="n"/>
      <c r="F72" s="70" t="n"/>
      <c r="G72" s="59" t="str">
        <f>IF(COUNTA(A72:F72)=0,"",IF(A72="","Code manquant",IF(COUNTIF(pr_code,A72)&gt;1,"Code en double",IF(B72="","Désignation manquante",IF(AND(E72&lt;&gt;"",OR(NOT(ISNUMBER(E72)),N(E72)&lt;0)),"Prix invalide",IF(AND(F72&lt;&gt;"",NOT(ISNUMBER(F72))),"Taux de TVA invalide",IF(AND(F72&lt;&gt;"",COUNTIF(p_rates,F72)=0),"Taux de TVA hors liste (Paramètres)","OK")))))))</f>
        <v/>
      </c>
    </row>
    <row r="73">
      <c r="A73" s="145" t="n"/>
      <c r="B73" s="63" t="n"/>
      <c r="C73" s="60" t="n"/>
      <c r="D73" s="60" t="n"/>
      <c r="E73" s="68" t="n"/>
      <c r="F73" s="70" t="n"/>
      <c r="G73" s="59" t="str">
        <f>IF(COUNTA(A73:F73)=0,"",IF(A73="","Code manquant",IF(COUNTIF(pr_code,A73)&gt;1,"Code en double",IF(B73="","Désignation manquante",IF(AND(E73&lt;&gt;"",OR(NOT(ISNUMBER(E73)),N(E73)&lt;0)),"Prix invalide",IF(AND(F73&lt;&gt;"",NOT(ISNUMBER(F73))),"Taux de TVA invalide",IF(AND(F73&lt;&gt;"",COUNTIF(p_rates,F73)=0),"Taux de TVA hors liste (Paramètres)","OK")))))))</f>
        <v/>
      </c>
    </row>
    <row r="74">
      <c r="A74" s="145" t="n"/>
      <c r="B74" s="63" t="n"/>
      <c r="C74" s="60" t="n"/>
      <c r="D74" s="60" t="n"/>
      <c r="E74" s="68" t="n"/>
      <c r="F74" s="70" t="n"/>
      <c r="G74" s="59" t="str">
        <f>IF(COUNTA(A74:F74)=0,"",IF(A74="","Code manquant",IF(COUNTIF(pr_code,A74)&gt;1,"Code en double",IF(B74="","Désignation manquante",IF(AND(E74&lt;&gt;"",OR(NOT(ISNUMBER(E74)),N(E74)&lt;0)),"Prix invalide",IF(AND(F74&lt;&gt;"",NOT(ISNUMBER(F74))),"Taux de TVA invalide",IF(AND(F74&lt;&gt;"",COUNTIF(p_rates,F74)=0),"Taux de TVA hors liste (Paramètres)","OK")))))))</f>
        <v/>
      </c>
    </row>
    <row r="75">
      <c r="A75" s="145" t="n"/>
      <c r="B75" s="63" t="n"/>
      <c r="C75" s="60" t="n"/>
      <c r="D75" s="60" t="n"/>
      <c r="E75" s="68" t="n"/>
      <c r="F75" s="70" t="n"/>
      <c r="G75" s="59" t="str">
        <f>IF(COUNTA(A75:F75)=0,"",IF(A75="","Code manquant",IF(COUNTIF(pr_code,A75)&gt;1,"Code en double",IF(B75="","Désignation manquante",IF(AND(E75&lt;&gt;"",OR(NOT(ISNUMBER(E75)),N(E75)&lt;0)),"Prix invalide",IF(AND(F75&lt;&gt;"",NOT(ISNUMBER(F75))),"Taux de TVA invalide",IF(AND(F75&lt;&gt;"",COUNTIF(p_rates,F75)=0),"Taux de TVA hors liste (Paramètres)","OK")))))))</f>
        <v/>
      </c>
    </row>
    <row r="76">
      <c r="A76" s="145" t="n"/>
      <c r="B76" s="63" t="n"/>
      <c r="C76" s="60" t="n"/>
      <c r="D76" s="60" t="n"/>
      <c r="E76" s="68" t="n"/>
      <c r="F76" s="70" t="n"/>
      <c r="G76" s="59" t="str">
        <f>IF(COUNTA(A76:F76)=0,"",IF(A76="","Code manquant",IF(COUNTIF(pr_code,A76)&gt;1,"Code en double",IF(B76="","Désignation manquante",IF(AND(E76&lt;&gt;"",OR(NOT(ISNUMBER(E76)),N(E76)&lt;0)),"Prix invalide",IF(AND(F76&lt;&gt;"",NOT(ISNUMBER(F76))),"Taux de TVA invalide",IF(AND(F76&lt;&gt;"",COUNTIF(p_rates,F76)=0),"Taux de TVA hors liste (Paramètres)","OK")))))))</f>
        <v/>
      </c>
    </row>
    <row r="77">
      <c r="A77" s="145" t="n"/>
      <c r="B77" s="63" t="n"/>
      <c r="C77" s="60" t="n"/>
      <c r="D77" s="60" t="n"/>
      <c r="E77" s="68" t="n"/>
      <c r="F77" s="70" t="n"/>
      <c r="G77" s="59" t="str">
        <f>IF(COUNTA(A77:F77)=0,"",IF(A77="","Code manquant",IF(COUNTIF(pr_code,A77)&gt;1,"Code en double",IF(B77="","Désignation manquante",IF(AND(E77&lt;&gt;"",OR(NOT(ISNUMBER(E77)),N(E77)&lt;0)),"Prix invalide",IF(AND(F77&lt;&gt;"",NOT(ISNUMBER(F77))),"Taux de TVA invalide",IF(AND(F77&lt;&gt;"",COUNTIF(p_rates,F77)=0),"Taux de TVA hors liste (Paramètres)","OK")))))))</f>
        <v/>
      </c>
    </row>
    <row r="78">
      <c r="A78" s="145" t="n"/>
      <c r="B78" s="63" t="n"/>
      <c r="C78" s="60" t="n"/>
      <c r="D78" s="60" t="n"/>
      <c r="E78" s="68" t="n"/>
      <c r="F78" s="70" t="n"/>
      <c r="G78" s="59" t="str">
        <f>IF(COUNTA(A78:F78)=0,"",IF(A78="","Code manquant",IF(COUNTIF(pr_code,A78)&gt;1,"Code en double",IF(B78="","Désignation manquante",IF(AND(E78&lt;&gt;"",OR(NOT(ISNUMBER(E78)),N(E78)&lt;0)),"Prix invalide",IF(AND(F78&lt;&gt;"",NOT(ISNUMBER(F78))),"Taux de TVA invalide",IF(AND(F78&lt;&gt;"",COUNTIF(p_rates,F78)=0),"Taux de TVA hors liste (Paramètres)","OK")))))))</f>
        <v/>
      </c>
    </row>
    <row r="79">
      <c r="A79" s="145" t="n"/>
      <c r="B79" s="63" t="n"/>
      <c r="C79" s="60" t="n"/>
      <c r="D79" s="60" t="n"/>
      <c r="E79" s="68" t="n"/>
      <c r="F79" s="70" t="n"/>
      <c r="G79" s="59" t="str">
        <f>IF(COUNTA(A79:F79)=0,"",IF(A79="","Code manquant",IF(COUNTIF(pr_code,A79)&gt;1,"Code en double",IF(B79="","Désignation manquante",IF(AND(E79&lt;&gt;"",OR(NOT(ISNUMBER(E79)),N(E79)&lt;0)),"Prix invalide",IF(AND(F79&lt;&gt;"",NOT(ISNUMBER(F79))),"Taux de TVA invalide",IF(AND(F79&lt;&gt;"",COUNTIF(p_rates,F79)=0),"Taux de TVA hors liste (Paramètres)","OK")))))))</f>
        <v/>
      </c>
    </row>
    <row r="80">
      <c r="A80" s="145" t="n"/>
      <c r="B80" s="63" t="n"/>
      <c r="C80" s="60" t="n"/>
      <c r="D80" s="60" t="n"/>
      <c r="E80" s="68" t="n"/>
      <c r="F80" s="70" t="n"/>
      <c r="G80" s="59" t="str">
        <f>IF(COUNTA(A80:F80)=0,"",IF(A80="","Code manquant",IF(COUNTIF(pr_code,A80)&gt;1,"Code en double",IF(B80="","Désignation manquante",IF(AND(E80&lt;&gt;"",OR(NOT(ISNUMBER(E80)),N(E80)&lt;0)),"Prix invalide",IF(AND(F80&lt;&gt;"",NOT(ISNUMBER(F80))),"Taux de TVA invalide",IF(AND(F80&lt;&gt;"",COUNTIF(p_rates,F80)=0),"Taux de TVA hors liste (Paramètres)","OK")))))))</f>
        <v/>
      </c>
    </row>
    <row r="81">
      <c r="A81" s="145" t="n"/>
      <c r="B81" s="63" t="n"/>
      <c r="C81" s="60" t="n"/>
      <c r="D81" s="60" t="n"/>
      <c r="E81" s="68" t="n"/>
      <c r="F81" s="70" t="n"/>
      <c r="G81" s="59" t="str">
        <f>IF(COUNTA(A81:F81)=0,"",IF(A81="","Code manquant",IF(COUNTIF(pr_code,A81)&gt;1,"Code en double",IF(B81="","Désignation manquante",IF(AND(E81&lt;&gt;"",OR(NOT(ISNUMBER(E81)),N(E81)&lt;0)),"Prix invalide",IF(AND(F81&lt;&gt;"",NOT(ISNUMBER(F81))),"Taux de TVA invalide",IF(AND(F81&lt;&gt;"",COUNTIF(p_rates,F81)=0),"Taux de TVA hors liste (Paramètres)","OK")))))))</f>
        <v/>
      </c>
    </row>
    <row r="82">
      <c r="A82" s="145" t="n"/>
      <c r="B82" s="63" t="n"/>
      <c r="C82" s="60" t="n"/>
      <c r="D82" s="60" t="n"/>
      <c r="E82" s="68" t="n"/>
      <c r="F82" s="70" t="n"/>
      <c r="G82" s="59" t="str">
        <f>IF(COUNTA(A82:F82)=0,"",IF(A82="","Code manquant",IF(COUNTIF(pr_code,A82)&gt;1,"Code en double",IF(B82="","Désignation manquante",IF(AND(E82&lt;&gt;"",OR(NOT(ISNUMBER(E82)),N(E82)&lt;0)),"Prix invalide",IF(AND(F82&lt;&gt;"",NOT(ISNUMBER(F82))),"Taux de TVA invalide",IF(AND(F82&lt;&gt;"",COUNTIF(p_rates,F82)=0),"Taux de TVA hors liste (Paramètres)","OK")))))))</f>
        <v/>
      </c>
    </row>
    <row r="83">
      <c r="A83" s="145" t="n"/>
      <c r="B83" s="63" t="n"/>
      <c r="C83" s="60" t="n"/>
      <c r="D83" s="60" t="n"/>
      <c r="E83" s="68" t="n"/>
      <c r="F83" s="70" t="n"/>
      <c r="G83" s="59" t="str">
        <f>IF(COUNTA(A83:F83)=0,"",IF(A83="","Code manquant",IF(COUNTIF(pr_code,A83)&gt;1,"Code en double",IF(B83="","Désignation manquante",IF(AND(E83&lt;&gt;"",OR(NOT(ISNUMBER(E83)),N(E83)&lt;0)),"Prix invalide",IF(AND(F83&lt;&gt;"",NOT(ISNUMBER(F83))),"Taux de TVA invalide",IF(AND(F83&lt;&gt;"",COUNTIF(p_rates,F83)=0),"Taux de TVA hors liste (Paramètres)","OK")))))))</f>
        <v/>
      </c>
    </row>
    <row r="84">
      <c r="A84" s="145" t="n"/>
      <c r="B84" s="63" t="n"/>
      <c r="C84" s="60" t="n"/>
      <c r="D84" s="60" t="n"/>
      <c r="E84" s="68" t="n"/>
      <c r="F84" s="70" t="n"/>
      <c r="G84" s="59" t="str">
        <f>IF(COUNTA(A84:F84)=0,"",IF(A84="","Code manquant",IF(COUNTIF(pr_code,A84)&gt;1,"Code en double",IF(B84="","Désignation manquante",IF(AND(E84&lt;&gt;"",OR(NOT(ISNUMBER(E84)),N(E84)&lt;0)),"Prix invalide",IF(AND(F84&lt;&gt;"",NOT(ISNUMBER(F84))),"Taux de TVA invalide",IF(AND(F84&lt;&gt;"",COUNTIF(p_rates,F84)=0),"Taux de TVA hors liste (Paramètres)","OK")))))))</f>
        <v/>
      </c>
    </row>
    <row r="85">
      <c r="A85" s="145" t="n"/>
      <c r="B85" s="63" t="n"/>
      <c r="C85" s="60" t="n"/>
      <c r="D85" s="60" t="n"/>
      <c r="E85" s="68" t="n"/>
      <c r="F85" s="70" t="n"/>
      <c r="G85" s="59" t="str">
        <f>IF(COUNTA(A85:F85)=0,"",IF(A85="","Code manquant",IF(COUNTIF(pr_code,A85)&gt;1,"Code en double",IF(B85="","Désignation manquante",IF(AND(E85&lt;&gt;"",OR(NOT(ISNUMBER(E85)),N(E85)&lt;0)),"Prix invalide",IF(AND(F85&lt;&gt;"",NOT(ISNUMBER(F85))),"Taux de TVA invalide",IF(AND(F85&lt;&gt;"",COUNTIF(p_rates,F85)=0),"Taux de TVA hors liste (Paramètres)","OK")))))))</f>
        <v/>
      </c>
    </row>
    <row r="86">
      <c r="A86" s="145" t="n"/>
      <c r="B86" s="63" t="n"/>
      <c r="C86" s="60" t="n"/>
      <c r="D86" s="60" t="n"/>
      <c r="E86" s="68" t="n"/>
      <c r="F86" s="70" t="n"/>
      <c r="G86" s="59" t="str">
        <f>IF(COUNTA(A86:F86)=0,"",IF(A86="","Code manquant",IF(COUNTIF(pr_code,A86)&gt;1,"Code en double",IF(B86="","Désignation manquante",IF(AND(E86&lt;&gt;"",OR(NOT(ISNUMBER(E86)),N(E86)&lt;0)),"Prix invalide",IF(AND(F86&lt;&gt;"",NOT(ISNUMBER(F86))),"Taux de TVA invalide",IF(AND(F86&lt;&gt;"",COUNTIF(p_rates,F86)=0),"Taux de TVA hors liste (Paramètres)","OK")))))))</f>
        <v/>
      </c>
    </row>
    <row r="87">
      <c r="A87" s="145" t="n"/>
      <c r="B87" s="63" t="n"/>
      <c r="C87" s="60" t="n"/>
      <c r="D87" s="60" t="n"/>
      <c r="E87" s="68" t="n"/>
      <c r="F87" s="70" t="n"/>
      <c r="G87" s="59" t="str">
        <f>IF(COUNTA(A87:F87)=0,"",IF(A87="","Code manquant",IF(COUNTIF(pr_code,A87)&gt;1,"Code en double",IF(B87="","Désignation manquante",IF(AND(E87&lt;&gt;"",OR(NOT(ISNUMBER(E87)),N(E87)&lt;0)),"Prix invalide",IF(AND(F87&lt;&gt;"",NOT(ISNUMBER(F87))),"Taux de TVA invalide",IF(AND(F87&lt;&gt;"",COUNTIF(p_rates,F87)=0),"Taux de TVA hors liste (Paramètres)","OK")))))))</f>
        <v/>
      </c>
    </row>
    <row r="88">
      <c r="A88" s="145" t="n"/>
      <c r="B88" s="63" t="n"/>
      <c r="C88" s="60" t="n"/>
      <c r="D88" s="60" t="n"/>
      <c r="E88" s="68" t="n"/>
      <c r="F88" s="70" t="n"/>
      <c r="G88" s="59" t="str">
        <f>IF(COUNTA(A88:F88)=0,"",IF(A88="","Code manquant",IF(COUNTIF(pr_code,A88)&gt;1,"Code en double",IF(B88="","Désignation manquante",IF(AND(E88&lt;&gt;"",OR(NOT(ISNUMBER(E88)),N(E88)&lt;0)),"Prix invalide",IF(AND(F88&lt;&gt;"",NOT(ISNUMBER(F88))),"Taux de TVA invalide",IF(AND(F88&lt;&gt;"",COUNTIF(p_rates,F88)=0),"Taux de TVA hors liste (Paramètres)","OK")))))))</f>
        <v/>
      </c>
    </row>
    <row r="89">
      <c r="A89" s="145" t="n"/>
      <c r="B89" s="63" t="n"/>
      <c r="C89" s="60" t="n"/>
      <c r="D89" s="60" t="n"/>
      <c r="E89" s="68" t="n"/>
      <c r="F89" s="70" t="n"/>
      <c r="G89" s="59" t="str">
        <f>IF(COUNTA(A89:F89)=0,"",IF(A89="","Code manquant",IF(COUNTIF(pr_code,A89)&gt;1,"Code en double",IF(B89="","Désignation manquante",IF(AND(E89&lt;&gt;"",OR(NOT(ISNUMBER(E89)),N(E89)&lt;0)),"Prix invalide",IF(AND(F89&lt;&gt;"",NOT(ISNUMBER(F89))),"Taux de TVA invalide",IF(AND(F89&lt;&gt;"",COUNTIF(p_rates,F89)=0),"Taux de TVA hors liste (Paramètres)","OK")))))))</f>
        <v/>
      </c>
    </row>
    <row r="90">
      <c r="A90" s="145" t="n"/>
      <c r="B90" s="63" t="n"/>
      <c r="C90" s="60" t="n"/>
      <c r="D90" s="60" t="n"/>
      <c r="E90" s="68" t="n"/>
      <c r="F90" s="70" t="n"/>
      <c r="G90" s="59" t="str">
        <f>IF(COUNTA(A90:F90)=0,"",IF(A90="","Code manquant",IF(COUNTIF(pr_code,A90)&gt;1,"Code en double",IF(B90="","Désignation manquante",IF(AND(E90&lt;&gt;"",OR(NOT(ISNUMBER(E90)),N(E90)&lt;0)),"Prix invalide",IF(AND(F90&lt;&gt;"",NOT(ISNUMBER(F90))),"Taux de TVA invalide",IF(AND(F90&lt;&gt;"",COUNTIF(p_rates,F90)=0),"Taux de TVA hors liste (Paramètres)","OK")))))))</f>
        <v/>
      </c>
    </row>
    <row r="91">
      <c r="A91" s="145" t="n"/>
      <c r="B91" s="63" t="n"/>
      <c r="C91" s="60" t="n"/>
      <c r="D91" s="60" t="n"/>
      <c r="E91" s="68" t="n"/>
      <c r="F91" s="70" t="n"/>
      <c r="G91" s="59" t="str">
        <f>IF(COUNTA(A91:F91)=0,"",IF(A91="","Code manquant",IF(COUNTIF(pr_code,A91)&gt;1,"Code en double",IF(B91="","Désignation manquante",IF(AND(E91&lt;&gt;"",OR(NOT(ISNUMBER(E91)),N(E91)&lt;0)),"Prix invalide",IF(AND(F91&lt;&gt;"",NOT(ISNUMBER(F91))),"Taux de TVA invalide",IF(AND(F91&lt;&gt;"",COUNTIF(p_rates,F91)=0),"Taux de TVA hors liste (Paramètres)","OK")))))))</f>
        <v/>
      </c>
    </row>
    <row r="92">
      <c r="A92" s="145" t="n"/>
      <c r="B92" s="63" t="n"/>
      <c r="C92" s="60" t="n"/>
      <c r="D92" s="60" t="n"/>
      <c r="E92" s="68" t="n"/>
      <c r="F92" s="70" t="n"/>
      <c r="G92" s="59" t="str">
        <f>IF(COUNTA(A92:F92)=0,"",IF(A92="","Code manquant",IF(COUNTIF(pr_code,A92)&gt;1,"Code en double",IF(B92="","Désignation manquante",IF(AND(E92&lt;&gt;"",OR(NOT(ISNUMBER(E92)),N(E92)&lt;0)),"Prix invalide",IF(AND(F92&lt;&gt;"",NOT(ISNUMBER(F92))),"Taux de TVA invalide",IF(AND(F92&lt;&gt;"",COUNTIF(p_rates,F92)=0),"Taux de TVA hors liste (Paramètres)","OK")))))))</f>
        <v/>
      </c>
    </row>
    <row r="93">
      <c r="A93" s="145" t="n"/>
      <c r="B93" s="63" t="n"/>
      <c r="C93" s="60" t="n"/>
      <c r="D93" s="60" t="n"/>
      <c r="E93" s="68" t="n"/>
      <c r="F93" s="70" t="n"/>
      <c r="G93" s="59" t="str">
        <f>IF(COUNTA(A93:F93)=0,"",IF(A93="","Code manquant",IF(COUNTIF(pr_code,A93)&gt;1,"Code en double",IF(B93="","Désignation manquante",IF(AND(E93&lt;&gt;"",OR(NOT(ISNUMBER(E93)),N(E93)&lt;0)),"Prix invalide",IF(AND(F93&lt;&gt;"",NOT(ISNUMBER(F93))),"Taux de TVA invalide",IF(AND(F93&lt;&gt;"",COUNTIF(p_rates,F93)=0),"Taux de TVA hors liste (Paramètres)","OK")))))))</f>
        <v/>
      </c>
    </row>
    <row r="94">
      <c r="A94" s="145" t="n"/>
      <c r="B94" s="63" t="n"/>
      <c r="C94" s="60" t="n"/>
      <c r="D94" s="60" t="n"/>
      <c r="E94" s="68" t="n"/>
      <c r="F94" s="70" t="n"/>
      <c r="G94" s="59" t="str">
        <f>IF(COUNTA(A94:F94)=0,"",IF(A94="","Code manquant",IF(COUNTIF(pr_code,A94)&gt;1,"Code en double",IF(B94="","Désignation manquante",IF(AND(E94&lt;&gt;"",OR(NOT(ISNUMBER(E94)),N(E94)&lt;0)),"Prix invalide",IF(AND(F94&lt;&gt;"",NOT(ISNUMBER(F94))),"Taux de TVA invalide",IF(AND(F94&lt;&gt;"",COUNTIF(p_rates,F94)=0),"Taux de TVA hors liste (Paramètres)","OK")))))))</f>
        <v/>
      </c>
    </row>
    <row r="95">
      <c r="A95" s="145" t="n"/>
      <c r="B95" s="63" t="n"/>
      <c r="C95" s="60" t="n"/>
      <c r="D95" s="60" t="n"/>
      <c r="E95" s="68" t="n"/>
      <c r="F95" s="70" t="n"/>
      <c r="G95" s="59" t="str">
        <f>IF(COUNTA(A95:F95)=0,"",IF(A95="","Code manquant",IF(COUNTIF(pr_code,A95)&gt;1,"Code en double",IF(B95="","Désignation manquante",IF(AND(E95&lt;&gt;"",OR(NOT(ISNUMBER(E95)),N(E95)&lt;0)),"Prix invalide",IF(AND(F95&lt;&gt;"",NOT(ISNUMBER(F95))),"Taux de TVA invalide",IF(AND(F95&lt;&gt;"",COUNTIF(p_rates,F95)=0),"Taux de TVA hors liste (Paramètres)","OK")))))))</f>
        <v/>
      </c>
    </row>
    <row r="96">
      <c r="A96" s="145" t="n"/>
      <c r="B96" s="63" t="n"/>
      <c r="C96" s="60" t="n"/>
      <c r="D96" s="60" t="n"/>
      <c r="E96" s="68" t="n"/>
      <c r="F96" s="70" t="n"/>
      <c r="G96" s="59" t="str">
        <f>IF(COUNTA(A96:F96)=0,"",IF(A96="","Code manquant",IF(COUNTIF(pr_code,A96)&gt;1,"Code en double",IF(B96="","Désignation manquante",IF(AND(E96&lt;&gt;"",OR(NOT(ISNUMBER(E96)),N(E96)&lt;0)),"Prix invalide",IF(AND(F96&lt;&gt;"",NOT(ISNUMBER(F96))),"Taux de TVA invalide",IF(AND(F96&lt;&gt;"",COUNTIF(p_rates,F96)=0),"Taux de TVA hors liste (Paramètres)","OK")))))))</f>
        <v/>
      </c>
    </row>
    <row r="97">
      <c r="A97" s="145" t="n"/>
      <c r="B97" s="63" t="n"/>
      <c r="C97" s="60" t="n"/>
      <c r="D97" s="60" t="n"/>
      <c r="E97" s="68" t="n"/>
      <c r="F97" s="70" t="n"/>
      <c r="G97" s="59" t="str">
        <f>IF(COUNTA(A97:F97)=0,"",IF(A97="","Code manquant",IF(COUNTIF(pr_code,A97)&gt;1,"Code en double",IF(B97="","Désignation manquante",IF(AND(E97&lt;&gt;"",OR(NOT(ISNUMBER(E97)),N(E97)&lt;0)),"Prix invalide",IF(AND(F97&lt;&gt;"",NOT(ISNUMBER(F97))),"Taux de TVA invalide",IF(AND(F97&lt;&gt;"",COUNTIF(p_rates,F97)=0),"Taux de TVA hors liste (Paramètres)","OK")))))))</f>
        <v/>
      </c>
    </row>
    <row r="98">
      <c r="A98" s="145" t="n"/>
      <c r="B98" s="63" t="n"/>
      <c r="C98" s="60" t="n"/>
      <c r="D98" s="60" t="n"/>
      <c r="E98" s="68" t="n"/>
      <c r="F98" s="70" t="n"/>
      <c r="G98" s="59" t="str">
        <f>IF(COUNTA(A98:F98)=0,"",IF(A98="","Code manquant",IF(COUNTIF(pr_code,A98)&gt;1,"Code en double",IF(B98="","Désignation manquante",IF(AND(E98&lt;&gt;"",OR(NOT(ISNUMBER(E98)),N(E98)&lt;0)),"Prix invalide",IF(AND(F98&lt;&gt;"",NOT(ISNUMBER(F98))),"Taux de TVA invalide",IF(AND(F98&lt;&gt;"",COUNTIF(p_rates,F98)=0),"Taux de TVA hors liste (Paramètres)","OK")))))))</f>
        <v/>
      </c>
    </row>
    <row r="99">
      <c r="A99" s="145" t="n"/>
      <c r="B99" s="63" t="n"/>
      <c r="C99" s="60" t="n"/>
      <c r="D99" s="60" t="n"/>
      <c r="E99" s="68" t="n"/>
      <c r="F99" s="70" t="n"/>
      <c r="G99" s="59" t="str">
        <f>IF(COUNTA(A99:F99)=0,"",IF(A99="","Code manquant",IF(COUNTIF(pr_code,A99)&gt;1,"Code en double",IF(B99="","Désignation manquante",IF(AND(E99&lt;&gt;"",OR(NOT(ISNUMBER(E99)),N(E99)&lt;0)),"Prix invalide",IF(AND(F99&lt;&gt;"",NOT(ISNUMBER(F99))),"Taux de TVA invalide",IF(AND(F99&lt;&gt;"",COUNTIF(p_rates,F99)=0),"Taux de TVA hors liste (Paramètres)","OK")))))))</f>
        <v/>
      </c>
    </row>
    <row r="100">
      <c r="A100" s="145" t="n"/>
      <c r="B100" s="63" t="n"/>
      <c r="C100" s="60" t="n"/>
      <c r="D100" s="60" t="n"/>
      <c r="E100" s="68" t="n"/>
      <c r="F100" s="70" t="n"/>
      <c r="G100" s="59" t="str">
        <f>IF(COUNTA(A100:F100)=0,"",IF(A100="","Code manquant",IF(COUNTIF(pr_code,A100)&gt;1,"Code en double",IF(B100="","Désignation manquante",IF(AND(E100&lt;&gt;"",OR(NOT(ISNUMBER(E100)),N(E100)&lt;0)),"Prix invalide",IF(AND(F100&lt;&gt;"",NOT(ISNUMBER(F100))),"Taux de TVA invalide",IF(AND(F100&lt;&gt;"",COUNTIF(p_rates,F100)=0),"Taux de TVA hors liste (Paramètres)","OK")))))))</f>
        <v/>
      </c>
    </row>
    <row r="101">
      <c r="A101" s="145" t="n"/>
      <c r="B101" s="63" t="n"/>
      <c r="C101" s="60" t="n"/>
      <c r="D101" s="60" t="n"/>
      <c r="E101" s="68" t="n"/>
      <c r="F101" s="70" t="n"/>
      <c r="G101" s="59" t="str">
        <f>IF(COUNTA(A101:F101)=0,"",IF(A101="","Code manquant",IF(COUNTIF(pr_code,A101)&gt;1,"Code en double",IF(B101="","Désignation manquante",IF(AND(E101&lt;&gt;"",OR(NOT(ISNUMBER(E101)),N(E101)&lt;0)),"Prix invalide",IF(AND(F101&lt;&gt;"",NOT(ISNUMBER(F101))),"Taux de TVA invalide",IF(AND(F101&lt;&gt;"",COUNTIF(p_rates,F101)=0),"Taux de TVA hors liste (Paramètres)","OK")))))))</f>
        <v/>
      </c>
    </row>
    <row r="102">
      <c r="A102" s="145" t="n"/>
      <c r="B102" s="63" t="n"/>
      <c r="C102" s="60" t="n"/>
      <c r="D102" s="60" t="n"/>
      <c r="E102" s="68" t="n"/>
      <c r="F102" s="70" t="n"/>
      <c r="G102" s="59" t="str">
        <f>IF(COUNTA(A102:F102)=0,"",IF(A102="","Code manquant",IF(COUNTIF(pr_code,A102)&gt;1,"Code en double",IF(B102="","Désignation manquante",IF(AND(E102&lt;&gt;"",OR(NOT(ISNUMBER(E102)),N(E102)&lt;0)),"Prix invalide",IF(AND(F102&lt;&gt;"",NOT(ISNUMBER(F102))),"Taux de TVA invalide",IF(AND(F102&lt;&gt;"",COUNTIF(p_rates,F102)=0),"Taux de TVA hors liste (Paramètres)","OK")))))))</f>
        <v/>
      </c>
    </row>
    <row r="103">
      <c r="A103" s="145" t="n"/>
      <c r="B103" s="63" t="n"/>
      <c r="C103" s="60" t="n"/>
      <c r="D103" s="60" t="n"/>
      <c r="E103" s="68" t="n"/>
      <c r="F103" s="70" t="n"/>
      <c r="G103" s="59" t="str">
        <f>IF(COUNTA(A103:F103)=0,"",IF(A103="","Code manquant",IF(COUNTIF(pr_code,A103)&gt;1,"Code en double",IF(B103="","Désignation manquante",IF(AND(E103&lt;&gt;"",OR(NOT(ISNUMBER(E103)),N(E103)&lt;0)),"Prix invalide",IF(AND(F103&lt;&gt;"",NOT(ISNUMBER(F103))),"Taux de TVA invalide",IF(AND(F103&lt;&gt;"",COUNTIF(p_rates,F103)=0),"Taux de TVA hors liste (Paramètres)","OK")))))))</f>
        <v/>
      </c>
    </row>
    <row r="104">
      <c r="A104" s="145" t="n"/>
      <c r="B104" s="63" t="n"/>
      <c r="C104" s="60" t="n"/>
      <c r="D104" s="60" t="n"/>
      <c r="E104" s="68" t="n"/>
      <c r="F104" s="70" t="n"/>
      <c r="G104" s="59" t="str">
        <f>IF(COUNTA(A104:F104)=0,"",IF(A104="","Code manquant",IF(COUNTIF(pr_code,A104)&gt;1,"Code en double",IF(B104="","Désignation manquante",IF(AND(E104&lt;&gt;"",OR(NOT(ISNUMBER(E104)),N(E104)&lt;0)),"Prix invalide",IF(AND(F104&lt;&gt;"",NOT(ISNUMBER(F104))),"Taux de TVA invalide",IF(AND(F104&lt;&gt;"",COUNTIF(p_rates,F104)=0),"Taux de TVA hors liste (Paramètres)","OK")))))))</f>
        <v/>
      </c>
    </row>
    <row r="105">
      <c r="A105" s="145" t="n"/>
      <c r="B105" s="63" t="n"/>
      <c r="C105" s="60" t="n"/>
      <c r="D105" s="60" t="n"/>
      <c r="E105" s="68" t="n"/>
      <c r="F105" s="70" t="n"/>
      <c r="G105" s="59" t="str">
        <f>IF(COUNTA(A105:F105)=0,"",IF(A105="","Code manquant",IF(COUNTIF(pr_code,A105)&gt;1,"Code en double",IF(B105="","Désignation manquante",IF(AND(E105&lt;&gt;"",OR(NOT(ISNUMBER(E105)),N(E105)&lt;0)),"Prix invalide",IF(AND(F105&lt;&gt;"",NOT(ISNUMBER(F105))),"Taux de TVA invalide",IF(AND(F105&lt;&gt;"",COUNTIF(p_rates,F105)=0),"Taux de TVA hors liste (Paramètres)","OK")))))))</f>
        <v/>
      </c>
    </row>
    <row r="106">
      <c r="A106" s="145" t="n"/>
      <c r="B106" s="63" t="n"/>
      <c r="C106" s="60" t="n"/>
      <c r="D106" s="60" t="n"/>
      <c r="E106" s="68" t="n"/>
      <c r="F106" s="70" t="n"/>
      <c r="G106" s="59" t="str">
        <f>IF(COUNTA(A106:F106)=0,"",IF(A106="","Code manquant",IF(COUNTIF(pr_code,A106)&gt;1,"Code en double",IF(B106="","Désignation manquante",IF(AND(E106&lt;&gt;"",OR(NOT(ISNUMBER(E106)),N(E106)&lt;0)),"Prix invalide",IF(AND(F106&lt;&gt;"",NOT(ISNUMBER(F106))),"Taux de TVA invalide",IF(AND(F106&lt;&gt;"",COUNTIF(p_rates,F106)=0),"Taux de TVA hors liste (Paramètres)","OK")))))))</f>
        <v/>
      </c>
    </row>
    <row r="107">
      <c r="A107" s="145" t="n"/>
      <c r="B107" s="63" t="n"/>
      <c r="C107" s="60" t="n"/>
      <c r="D107" s="60" t="n"/>
      <c r="E107" s="68" t="n"/>
      <c r="F107" s="70" t="n"/>
      <c r="G107" s="59" t="str">
        <f>IF(COUNTA(A107:F107)=0,"",IF(A107="","Code manquant",IF(COUNTIF(pr_code,A107)&gt;1,"Code en double",IF(B107="","Désignation manquante",IF(AND(E107&lt;&gt;"",OR(NOT(ISNUMBER(E107)),N(E107)&lt;0)),"Prix invalide",IF(AND(F107&lt;&gt;"",NOT(ISNUMBER(F107))),"Taux de TVA invalide",IF(AND(F107&lt;&gt;"",COUNTIF(p_rates,F107)=0),"Taux de TVA hors liste (Paramètres)","OK")))))))</f>
        <v/>
      </c>
    </row>
    <row r="108">
      <c r="A108" s="145" t="n"/>
      <c r="B108" s="63" t="n"/>
      <c r="C108" s="60" t="n"/>
      <c r="D108" s="60" t="n"/>
      <c r="E108" s="68" t="n"/>
      <c r="F108" s="70" t="n"/>
      <c r="G108" s="59" t="str">
        <f>IF(COUNTA(A108:F108)=0,"",IF(A108="","Code manquant",IF(COUNTIF(pr_code,A108)&gt;1,"Code en double",IF(B108="","Désignation manquante",IF(AND(E108&lt;&gt;"",OR(NOT(ISNUMBER(E108)),N(E108)&lt;0)),"Prix invalide",IF(AND(F108&lt;&gt;"",NOT(ISNUMBER(F108))),"Taux de TVA invalide",IF(AND(F108&lt;&gt;"",COUNTIF(p_rates,F108)=0),"Taux de TVA hors liste (Paramètres)","OK")))))))</f>
        <v/>
      </c>
    </row>
    <row r="109">
      <c r="A109" s="145" t="n"/>
      <c r="B109" s="63" t="n"/>
      <c r="C109" s="60" t="n"/>
      <c r="D109" s="60" t="n"/>
      <c r="E109" s="68" t="n"/>
      <c r="F109" s="70" t="n"/>
      <c r="G109" s="59" t="str">
        <f>IF(COUNTA(A109:F109)=0,"",IF(A109="","Code manquant",IF(COUNTIF(pr_code,A109)&gt;1,"Code en double",IF(B109="","Désignation manquante",IF(AND(E109&lt;&gt;"",OR(NOT(ISNUMBER(E109)),N(E109)&lt;0)),"Prix invalide",IF(AND(F109&lt;&gt;"",NOT(ISNUMBER(F109))),"Taux de TVA invalide",IF(AND(F109&lt;&gt;"",COUNTIF(p_rates,F109)=0),"Taux de TVA hors liste (Paramètres)","OK")))))))</f>
        <v/>
      </c>
    </row>
    <row r="110">
      <c r="A110" s="145" t="n"/>
      <c r="B110" s="63" t="n"/>
      <c r="C110" s="60" t="n"/>
      <c r="D110" s="60" t="n"/>
      <c r="E110" s="68" t="n"/>
      <c r="F110" s="70" t="n"/>
      <c r="G110" s="59" t="str">
        <f>IF(COUNTA(A110:F110)=0,"",IF(A110="","Code manquant",IF(COUNTIF(pr_code,A110)&gt;1,"Code en double",IF(B110="","Désignation manquante",IF(AND(E110&lt;&gt;"",OR(NOT(ISNUMBER(E110)),N(E110)&lt;0)),"Prix invalide",IF(AND(F110&lt;&gt;"",NOT(ISNUMBER(F110))),"Taux de TVA invalide",IF(AND(F110&lt;&gt;"",COUNTIF(p_rates,F110)=0),"Taux de TVA hors liste (Paramètres)","OK")))))))</f>
        <v/>
      </c>
    </row>
    <row r="111">
      <c r="A111" s="145" t="n"/>
      <c r="B111" s="63" t="n"/>
      <c r="C111" s="60" t="n"/>
      <c r="D111" s="60" t="n"/>
      <c r="E111" s="68" t="n"/>
      <c r="F111" s="70" t="n"/>
      <c r="G111" s="59" t="str">
        <f>IF(COUNTA(A111:F111)=0,"",IF(A111="","Code manquant",IF(COUNTIF(pr_code,A111)&gt;1,"Code en double",IF(B111="","Désignation manquante",IF(AND(E111&lt;&gt;"",OR(NOT(ISNUMBER(E111)),N(E111)&lt;0)),"Prix invalide",IF(AND(F111&lt;&gt;"",NOT(ISNUMBER(F111))),"Taux de TVA invalide",IF(AND(F111&lt;&gt;"",COUNTIF(p_rates,F111)=0),"Taux de TVA hors liste (Paramètres)","OK")))))))</f>
        <v/>
      </c>
    </row>
    <row r="112">
      <c r="A112" s="145" t="n"/>
      <c r="B112" s="63" t="n"/>
      <c r="C112" s="60" t="n"/>
      <c r="D112" s="60" t="n"/>
      <c r="E112" s="68" t="n"/>
      <c r="F112" s="70" t="n"/>
      <c r="G112" s="59" t="str">
        <f>IF(COUNTA(A112:F112)=0,"",IF(A112="","Code manquant",IF(COUNTIF(pr_code,A112)&gt;1,"Code en double",IF(B112="","Désignation manquante",IF(AND(E112&lt;&gt;"",OR(NOT(ISNUMBER(E112)),N(E112)&lt;0)),"Prix invalide",IF(AND(F112&lt;&gt;"",NOT(ISNUMBER(F112))),"Taux de TVA invalide",IF(AND(F112&lt;&gt;"",COUNTIF(p_rates,F112)=0),"Taux de TVA hors liste (Paramètres)","OK")))))))</f>
        <v/>
      </c>
    </row>
    <row r="113">
      <c r="A113" s="145" t="n"/>
      <c r="B113" s="63" t="n"/>
      <c r="C113" s="60" t="n"/>
      <c r="D113" s="60" t="n"/>
      <c r="E113" s="68" t="n"/>
      <c r="F113" s="70" t="n"/>
      <c r="G113" s="59" t="str">
        <f>IF(COUNTA(A113:F113)=0,"",IF(A113="","Code manquant",IF(COUNTIF(pr_code,A113)&gt;1,"Code en double",IF(B113="","Désignation manquante",IF(AND(E113&lt;&gt;"",OR(NOT(ISNUMBER(E113)),N(E113)&lt;0)),"Prix invalide",IF(AND(F113&lt;&gt;"",NOT(ISNUMBER(F113))),"Taux de TVA invalide",IF(AND(F113&lt;&gt;"",COUNTIF(p_rates,F113)=0),"Taux de TVA hors liste (Paramètres)","OK")))))))</f>
        <v/>
      </c>
    </row>
    <row r="114">
      <c r="A114" s="145" t="n"/>
      <c r="B114" s="63" t="n"/>
      <c r="C114" s="60" t="n"/>
      <c r="D114" s="60" t="n"/>
      <c r="E114" s="68" t="n"/>
      <c r="F114" s="70" t="n"/>
      <c r="G114" s="59" t="str">
        <f>IF(COUNTA(A114:F114)=0,"",IF(A114="","Code manquant",IF(COUNTIF(pr_code,A114)&gt;1,"Code en double",IF(B114="","Désignation manquante",IF(AND(E114&lt;&gt;"",OR(NOT(ISNUMBER(E114)),N(E114)&lt;0)),"Prix invalide",IF(AND(F114&lt;&gt;"",NOT(ISNUMBER(F114))),"Taux de TVA invalide",IF(AND(F114&lt;&gt;"",COUNTIF(p_rates,F114)=0),"Taux de TVA hors liste (Paramètres)","OK")))))))</f>
        <v/>
      </c>
    </row>
    <row r="115">
      <c r="A115" s="145" t="n"/>
      <c r="B115" s="63" t="n"/>
      <c r="C115" s="60" t="n"/>
      <c r="D115" s="60" t="n"/>
      <c r="E115" s="68" t="n"/>
      <c r="F115" s="70" t="n"/>
      <c r="G115" s="59" t="str">
        <f>IF(COUNTA(A115:F115)=0,"",IF(A115="","Code manquant",IF(COUNTIF(pr_code,A115)&gt;1,"Code en double",IF(B115="","Désignation manquante",IF(AND(E115&lt;&gt;"",OR(NOT(ISNUMBER(E115)),N(E115)&lt;0)),"Prix invalide",IF(AND(F115&lt;&gt;"",NOT(ISNUMBER(F115))),"Taux de TVA invalide",IF(AND(F115&lt;&gt;"",COUNTIF(p_rates,F115)=0),"Taux de TVA hors liste (Paramètres)","OK")))))))</f>
        <v/>
      </c>
    </row>
    <row r="116">
      <c r="A116" s="145" t="n"/>
      <c r="B116" s="63" t="n"/>
      <c r="C116" s="60" t="n"/>
      <c r="D116" s="60" t="n"/>
      <c r="E116" s="68" t="n"/>
      <c r="F116" s="70" t="n"/>
      <c r="G116" s="59" t="str">
        <f>IF(COUNTA(A116:F116)=0,"",IF(A116="","Code manquant",IF(COUNTIF(pr_code,A116)&gt;1,"Code en double",IF(B116="","Désignation manquante",IF(AND(E116&lt;&gt;"",OR(NOT(ISNUMBER(E116)),N(E116)&lt;0)),"Prix invalide",IF(AND(F116&lt;&gt;"",NOT(ISNUMBER(F116))),"Taux de TVA invalide",IF(AND(F116&lt;&gt;"",COUNTIF(p_rates,F116)=0),"Taux de TVA hors liste (Paramètres)","OK")))))))</f>
        <v/>
      </c>
    </row>
    <row r="117">
      <c r="A117" s="145" t="n"/>
      <c r="B117" s="63" t="n"/>
      <c r="C117" s="60" t="n"/>
      <c r="D117" s="60" t="n"/>
      <c r="E117" s="68" t="n"/>
      <c r="F117" s="70" t="n"/>
      <c r="G117" s="59" t="str">
        <f>IF(COUNTA(A117:F117)=0,"",IF(A117="","Code manquant",IF(COUNTIF(pr_code,A117)&gt;1,"Code en double",IF(B117="","Désignation manquante",IF(AND(E117&lt;&gt;"",OR(NOT(ISNUMBER(E117)),N(E117)&lt;0)),"Prix invalide",IF(AND(F117&lt;&gt;"",NOT(ISNUMBER(F117))),"Taux de TVA invalide",IF(AND(F117&lt;&gt;"",COUNTIF(p_rates,F117)=0),"Taux de TVA hors liste (Paramètres)","OK")))))))</f>
        <v/>
      </c>
    </row>
    <row r="118">
      <c r="A118" s="145" t="n"/>
      <c r="B118" s="63" t="n"/>
      <c r="C118" s="60" t="n"/>
      <c r="D118" s="60" t="n"/>
      <c r="E118" s="68" t="n"/>
      <c r="F118" s="70" t="n"/>
      <c r="G118" s="59" t="str">
        <f>IF(COUNTA(A118:F118)=0,"",IF(A118="","Code manquant",IF(COUNTIF(pr_code,A118)&gt;1,"Code en double",IF(B118="","Désignation manquante",IF(AND(E118&lt;&gt;"",OR(NOT(ISNUMBER(E118)),N(E118)&lt;0)),"Prix invalide",IF(AND(F118&lt;&gt;"",NOT(ISNUMBER(F118))),"Taux de TVA invalide",IF(AND(F118&lt;&gt;"",COUNTIF(p_rates,F118)=0),"Taux de TVA hors liste (Paramètres)","OK")))))))</f>
        <v/>
      </c>
    </row>
    <row r="119">
      <c r="A119" s="145" t="n"/>
      <c r="B119" s="63" t="n"/>
      <c r="C119" s="60" t="n"/>
      <c r="D119" s="60" t="n"/>
      <c r="E119" s="68" t="n"/>
      <c r="F119" s="70" t="n"/>
      <c r="G119" s="59" t="str">
        <f>IF(COUNTA(A119:F119)=0,"",IF(A119="","Code manquant",IF(COUNTIF(pr_code,A119)&gt;1,"Code en double",IF(B119="","Désignation manquante",IF(AND(E119&lt;&gt;"",OR(NOT(ISNUMBER(E119)),N(E119)&lt;0)),"Prix invalide",IF(AND(F119&lt;&gt;"",NOT(ISNUMBER(F119))),"Taux de TVA invalide",IF(AND(F119&lt;&gt;"",COUNTIF(p_rates,F119)=0),"Taux de TVA hors liste (Paramètres)","OK")))))))</f>
        <v/>
      </c>
    </row>
    <row r="120">
      <c r="A120" s="145" t="n"/>
      <c r="B120" s="63" t="n"/>
      <c r="C120" s="60" t="n"/>
      <c r="D120" s="60" t="n"/>
      <c r="E120" s="68" t="n"/>
      <c r="F120" s="70" t="n"/>
      <c r="G120" s="59" t="str">
        <f>IF(COUNTA(A120:F120)=0,"",IF(A120="","Code manquant",IF(COUNTIF(pr_code,A120)&gt;1,"Code en double",IF(B120="","Désignation manquante",IF(AND(E120&lt;&gt;"",OR(NOT(ISNUMBER(E120)),N(E120)&lt;0)),"Prix invalide",IF(AND(F120&lt;&gt;"",NOT(ISNUMBER(F120))),"Taux de TVA invalide",IF(AND(F120&lt;&gt;"",COUNTIF(p_rates,F120)=0),"Taux de TVA hors liste (Paramètres)","OK")))))))</f>
        <v/>
      </c>
    </row>
    <row r="121">
      <c r="A121" s="145" t="n"/>
      <c r="B121" s="63" t="n"/>
      <c r="C121" s="60" t="n"/>
      <c r="D121" s="60" t="n"/>
      <c r="E121" s="68" t="n"/>
      <c r="F121" s="70" t="n"/>
      <c r="G121" s="59" t="str">
        <f>IF(COUNTA(A121:F121)=0,"",IF(A121="","Code manquant",IF(COUNTIF(pr_code,A121)&gt;1,"Code en double",IF(B121="","Désignation manquante",IF(AND(E121&lt;&gt;"",OR(NOT(ISNUMBER(E121)),N(E121)&lt;0)),"Prix invalide",IF(AND(F121&lt;&gt;"",NOT(ISNUMBER(F121))),"Taux de TVA invalide",IF(AND(F121&lt;&gt;"",COUNTIF(p_rates,F121)=0),"Taux de TVA hors liste (Paramètres)","OK")))))))</f>
        <v/>
      </c>
    </row>
    <row r="122">
      <c r="A122" s="145" t="n"/>
      <c r="B122" s="63" t="n"/>
      <c r="C122" s="60" t="n"/>
      <c r="D122" s="60" t="n"/>
      <c r="E122" s="68" t="n"/>
      <c r="F122" s="70" t="n"/>
      <c r="G122" s="59" t="str">
        <f>IF(COUNTA(A122:F122)=0,"",IF(A122="","Code manquant",IF(COUNTIF(pr_code,A122)&gt;1,"Code en double",IF(B122="","Désignation manquante",IF(AND(E122&lt;&gt;"",OR(NOT(ISNUMBER(E122)),N(E122)&lt;0)),"Prix invalide",IF(AND(F122&lt;&gt;"",NOT(ISNUMBER(F122))),"Taux de TVA invalide",IF(AND(F122&lt;&gt;"",COUNTIF(p_rates,F122)=0),"Taux de TVA hors liste (Paramètres)","OK")))))))</f>
        <v/>
      </c>
    </row>
    <row r="123">
      <c r="A123" s="145" t="n"/>
      <c r="B123" s="63" t="n"/>
      <c r="C123" s="60" t="n"/>
      <c r="D123" s="60" t="n"/>
      <c r="E123" s="68" t="n"/>
      <c r="F123" s="70" t="n"/>
      <c r="G123" s="59" t="str">
        <f>IF(COUNTA(A123:F123)=0,"",IF(A123="","Code manquant",IF(COUNTIF(pr_code,A123)&gt;1,"Code en double",IF(B123="","Désignation manquante",IF(AND(E123&lt;&gt;"",OR(NOT(ISNUMBER(E123)),N(E123)&lt;0)),"Prix invalide",IF(AND(F123&lt;&gt;"",NOT(ISNUMBER(F123))),"Taux de TVA invalide",IF(AND(F123&lt;&gt;"",COUNTIF(p_rates,F123)=0),"Taux de TVA hors liste (Paramètres)","OK")))))))</f>
        <v/>
      </c>
    </row>
    <row r="124">
      <c r="A124" s="145" t="n"/>
      <c r="B124" s="63" t="n"/>
      <c r="C124" s="60" t="n"/>
      <c r="D124" s="60" t="n"/>
      <c r="E124" s="68" t="n"/>
      <c r="F124" s="70" t="n"/>
      <c r="G124" s="59" t="str">
        <f>IF(COUNTA(A124:F124)=0,"",IF(A124="","Code manquant",IF(COUNTIF(pr_code,A124)&gt;1,"Code en double",IF(B124="","Désignation manquante",IF(AND(E124&lt;&gt;"",OR(NOT(ISNUMBER(E124)),N(E124)&lt;0)),"Prix invalide",IF(AND(F124&lt;&gt;"",NOT(ISNUMBER(F124))),"Taux de TVA invalide",IF(AND(F124&lt;&gt;"",COUNTIF(p_rates,F124)=0),"Taux de TVA hors liste (Paramètres)","OK")))))))</f>
        <v/>
      </c>
    </row>
    <row r="125">
      <c r="A125" s="145" t="n"/>
      <c r="B125" s="63" t="n"/>
      <c r="C125" s="60" t="n"/>
      <c r="D125" s="60" t="n"/>
      <c r="E125" s="68" t="n"/>
      <c r="F125" s="70" t="n"/>
      <c r="G125" s="59" t="str">
        <f>IF(COUNTA(A125:F125)=0,"",IF(A125="","Code manquant",IF(COUNTIF(pr_code,A125)&gt;1,"Code en double",IF(B125="","Désignation manquante",IF(AND(E125&lt;&gt;"",OR(NOT(ISNUMBER(E125)),N(E125)&lt;0)),"Prix invalide",IF(AND(F125&lt;&gt;"",NOT(ISNUMBER(F125))),"Taux de TVA invalide",IF(AND(F125&lt;&gt;"",COUNTIF(p_rates,F125)=0),"Taux de TVA hors liste (Paramètres)","OK")))))))</f>
        <v/>
      </c>
    </row>
    <row r="126">
      <c r="A126" s="145" t="n"/>
      <c r="B126" s="63" t="n"/>
      <c r="C126" s="60" t="n"/>
      <c r="D126" s="60" t="n"/>
      <c r="E126" s="68" t="n"/>
      <c r="F126" s="70" t="n"/>
      <c r="G126" s="59" t="str">
        <f>IF(COUNTA(A126:F126)=0,"",IF(A126="","Code manquant",IF(COUNTIF(pr_code,A126)&gt;1,"Code en double",IF(B126="","Désignation manquante",IF(AND(E126&lt;&gt;"",OR(NOT(ISNUMBER(E126)),N(E126)&lt;0)),"Prix invalide",IF(AND(F126&lt;&gt;"",NOT(ISNUMBER(F126))),"Taux de TVA invalide",IF(AND(F126&lt;&gt;"",COUNTIF(p_rates,F126)=0),"Taux de TVA hors liste (Paramètres)","OK")))))))</f>
        <v/>
      </c>
    </row>
    <row r="127">
      <c r="A127" s="145" t="n"/>
      <c r="B127" s="63" t="n"/>
      <c r="C127" s="60" t="n"/>
      <c r="D127" s="60" t="n"/>
      <c r="E127" s="68" t="n"/>
      <c r="F127" s="70" t="n"/>
      <c r="G127" s="59" t="str">
        <f>IF(COUNTA(A127:F127)=0,"",IF(A127="","Code manquant",IF(COUNTIF(pr_code,A127)&gt;1,"Code en double",IF(B127="","Désignation manquante",IF(AND(E127&lt;&gt;"",OR(NOT(ISNUMBER(E127)),N(E127)&lt;0)),"Prix invalide",IF(AND(F127&lt;&gt;"",NOT(ISNUMBER(F127))),"Taux de TVA invalide",IF(AND(F127&lt;&gt;"",COUNTIF(p_rates,F127)=0),"Taux de TVA hors liste (Paramètres)","OK")))))))</f>
        <v/>
      </c>
    </row>
    <row r="128">
      <c r="A128" s="145" t="n"/>
      <c r="B128" s="63" t="n"/>
      <c r="C128" s="60" t="n"/>
      <c r="D128" s="60" t="n"/>
      <c r="E128" s="68" t="n"/>
      <c r="F128" s="70" t="n"/>
      <c r="G128" s="59" t="str">
        <f>IF(COUNTA(A128:F128)=0,"",IF(A128="","Code manquant",IF(COUNTIF(pr_code,A128)&gt;1,"Code en double",IF(B128="","Désignation manquante",IF(AND(E128&lt;&gt;"",OR(NOT(ISNUMBER(E128)),N(E128)&lt;0)),"Prix invalide",IF(AND(F128&lt;&gt;"",NOT(ISNUMBER(F128))),"Taux de TVA invalide",IF(AND(F128&lt;&gt;"",COUNTIF(p_rates,F128)=0),"Taux de TVA hors liste (Paramètres)","OK")))))))</f>
        <v/>
      </c>
    </row>
    <row r="129">
      <c r="A129" s="145" t="n"/>
      <c r="B129" s="63" t="n"/>
      <c r="C129" s="60" t="n"/>
      <c r="D129" s="60" t="n"/>
      <c r="E129" s="68" t="n"/>
      <c r="F129" s="70" t="n"/>
      <c r="G129" s="59" t="str">
        <f>IF(COUNTA(A129:F129)=0,"",IF(A129="","Code manquant",IF(COUNTIF(pr_code,A129)&gt;1,"Code en double",IF(B129="","Désignation manquante",IF(AND(E129&lt;&gt;"",OR(NOT(ISNUMBER(E129)),N(E129)&lt;0)),"Prix invalide",IF(AND(F129&lt;&gt;"",NOT(ISNUMBER(F129))),"Taux de TVA invalide",IF(AND(F129&lt;&gt;"",COUNTIF(p_rates,F129)=0),"Taux de TVA hors liste (Paramètres)","OK")))))))</f>
        <v/>
      </c>
    </row>
    <row r="130">
      <c r="A130" s="145" t="n"/>
      <c r="B130" s="63" t="n"/>
      <c r="C130" s="60" t="n"/>
      <c r="D130" s="60" t="n"/>
      <c r="E130" s="68" t="n"/>
      <c r="F130" s="70" t="n"/>
      <c r="G130" s="59" t="str">
        <f>IF(COUNTA(A130:F130)=0,"",IF(A130="","Code manquant",IF(COUNTIF(pr_code,A130)&gt;1,"Code en double",IF(B130="","Désignation manquante",IF(AND(E130&lt;&gt;"",OR(NOT(ISNUMBER(E130)),N(E130)&lt;0)),"Prix invalide",IF(AND(F130&lt;&gt;"",NOT(ISNUMBER(F130))),"Taux de TVA invalide",IF(AND(F130&lt;&gt;"",COUNTIF(p_rates,F130)=0),"Taux de TVA hors liste (Paramètres)","OK")))))))</f>
        <v/>
      </c>
    </row>
    <row r="131">
      <c r="A131" s="145" t="n"/>
      <c r="B131" s="63" t="n"/>
      <c r="C131" s="60" t="n"/>
      <c r="D131" s="60" t="n"/>
      <c r="E131" s="68" t="n"/>
      <c r="F131" s="70" t="n"/>
      <c r="G131" s="59" t="str">
        <f>IF(COUNTA(A131:F131)=0,"",IF(A131="","Code manquant",IF(COUNTIF(pr_code,A131)&gt;1,"Code en double",IF(B131="","Désignation manquante",IF(AND(E131&lt;&gt;"",OR(NOT(ISNUMBER(E131)),N(E131)&lt;0)),"Prix invalide",IF(AND(F131&lt;&gt;"",NOT(ISNUMBER(F131))),"Taux de TVA invalide",IF(AND(F131&lt;&gt;"",COUNTIF(p_rates,F131)=0),"Taux de TVA hors liste (Paramètres)","OK")))))))</f>
        <v/>
      </c>
    </row>
    <row r="132">
      <c r="A132" s="145" t="n"/>
      <c r="B132" s="63" t="n"/>
      <c r="C132" s="60" t="n"/>
      <c r="D132" s="60" t="n"/>
      <c r="E132" s="68" t="n"/>
      <c r="F132" s="70" t="n"/>
      <c r="G132" s="59" t="str">
        <f>IF(COUNTA(A132:F132)=0,"",IF(A132="","Code manquant",IF(COUNTIF(pr_code,A132)&gt;1,"Code en double",IF(B132="","Désignation manquante",IF(AND(E132&lt;&gt;"",OR(NOT(ISNUMBER(E132)),N(E132)&lt;0)),"Prix invalide",IF(AND(F132&lt;&gt;"",NOT(ISNUMBER(F132))),"Taux de TVA invalide",IF(AND(F132&lt;&gt;"",COUNTIF(p_rates,F132)=0),"Taux de TVA hors liste (Paramètres)","OK")))))))</f>
        <v/>
      </c>
    </row>
    <row r="133">
      <c r="A133" s="145" t="n"/>
      <c r="B133" s="63" t="n"/>
      <c r="C133" s="60" t="n"/>
      <c r="D133" s="60" t="n"/>
      <c r="E133" s="68" t="n"/>
      <c r="F133" s="70" t="n"/>
      <c r="G133" s="59" t="str">
        <f>IF(COUNTA(A133:F133)=0,"",IF(A133="","Code manquant",IF(COUNTIF(pr_code,A133)&gt;1,"Code en double",IF(B133="","Désignation manquante",IF(AND(E133&lt;&gt;"",OR(NOT(ISNUMBER(E133)),N(E133)&lt;0)),"Prix invalide",IF(AND(F133&lt;&gt;"",NOT(ISNUMBER(F133))),"Taux de TVA invalide",IF(AND(F133&lt;&gt;"",COUNTIF(p_rates,F133)=0),"Taux de TVA hors liste (Paramètres)","OK")))))))</f>
        <v/>
      </c>
    </row>
    <row r="134">
      <c r="A134" s="145" t="n"/>
      <c r="B134" s="63" t="n"/>
      <c r="C134" s="60" t="n"/>
      <c r="D134" s="60" t="n"/>
      <c r="E134" s="68" t="n"/>
      <c r="F134" s="70" t="n"/>
      <c r="G134" s="59" t="str">
        <f>IF(COUNTA(A134:F134)=0,"",IF(A134="","Code manquant",IF(COUNTIF(pr_code,A134)&gt;1,"Code en double",IF(B134="","Désignation manquante",IF(AND(E134&lt;&gt;"",OR(NOT(ISNUMBER(E134)),N(E134)&lt;0)),"Prix invalide",IF(AND(F134&lt;&gt;"",NOT(ISNUMBER(F134))),"Taux de TVA invalide",IF(AND(F134&lt;&gt;"",COUNTIF(p_rates,F134)=0),"Taux de TVA hors liste (Paramètres)","OK")))))))</f>
        <v/>
      </c>
    </row>
    <row r="135">
      <c r="A135" s="145" t="n"/>
      <c r="B135" s="63" t="n"/>
      <c r="C135" s="60" t="n"/>
      <c r="D135" s="60" t="n"/>
      <c r="E135" s="68" t="n"/>
      <c r="F135" s="70" t="n"/>
      <c r="G135" s="59" t="str">
        <f>IF(COUNTA(A135:F135)=0,"",IF(A135="","Code manquant",IF(COUNTIF(pr_code,A135)&gt;1,"Code en double",IF(B135="","Désignation manquante",IF(AND(E135&lt;&gt;"",OR(NOT(ISNUMBER(E135)),N(E135)&lt;0)),"Prix invalide",IF(AND(F135&lt;&gt;"",NOT(ISNUMBER(F135))),"Taux de TVA invalide",IF(AND(F135&lt;&gt;"",COUNTIF(p_rates,F135)=0),"Taux de TVA hors liste (Paramètres)","OK")))))))</f>
        <v/>
      </c>
    </row>
    <row r="136">
      <c r="A136" s="145" t="n"/>
      <c r="B136" s="63" t="n"/>
      <c r="C136" s="60" t="n"/>
      <c r="D136" s="60" t="n"/>
      <c r="E136" s="68" t="n"/>
      <c r="F136" s="70" t="n"/>
      <c r="G136" s="59" t="str">
        <f>IF(COUNTA(A136:F136)=0,"",IF(A136="","Code manquant",IF(COUNTIF(pr_code,A136)&gt;1,"Code en double",IF(B136="","Désignation manquante",IF(AND(E136&lt;&gt;"",OR(NOT(ISNUMBER(E136)),N(E136)&lt;0)),"Prix invalide",IF(AND(F136&lt;&gt;"",NOT(ISNUMBER(F136))),"Taux de TVA invalide",IF(AND(F136&lt;&gt;"",COUNTIF(p_rates,F136)=0),"Taux de TVA hors liste (Paramètres)","OK")))))))</f>
        <v/>
      </c>
    </row>
    <row r="137">
      <c r="A137" s="145" t="n"/>
      <c r="B137" s="63" t="n"/>
      <c r="C137" s="60" t="n"/>
      <c r="D137" s="60" t="n"/>
      <c r="E137" s="68" t="n"/>
      <c r="F137" s="70" t="n"/>
      <c r="G137" s="59" t="str">
        <f>IF(COUNTA(A137:F137)=0,"",IF(A137="","Code manquant",IF(COUNTIF(pr_code,A137)&gt;1,"Code en double",IF(B137="","Désignation manquante",IF(AND(E137&lt;&gt;"",OR(NOT(ISNUMBER(E137)),N(E137)&lt;0)),"Prix invalide",IF(AND(F137&lt;&gt;"",NOT(ISNUMBER(F137))),"Taux de TVA invalide",IF(AND(F137&lt;&gt;"",COUNTIF(p_rates,F137)=0),"Taux de TVA hors liste (Paramètres)","OK")))))))</f>
        <v/>
      </c>
    </row>
    <row r="138">
      <c r="A138" s="145" t="n"/>
      <c r="B138" s="63" t="n"/>
      <c r="C138" s="60" t="n"/>
      <c r="D138" s="60" t="n"/>
      <c r="E138" s="68" t="n"/>
      <c r="F138" s="70" t="n"/>
      <c r="G138" s="59" t="str">
        <f>IF(COUNTA(A138:F138)=0,"",IF(A138="","Code manquant",IF(COUNTIF(pr_code,A138)&gt;1,"Code en double",IF(B138="","Désignation manquante",IF(AND(E138&lt;&gt;"",OR(NOT(ISNUMBER(E138)),N(E138)&lt;0)),"Prix invalide",IF(AND(F138&lt;&gt;"",NOT(ISNUMBER(F138))),"Taux de TVA invalide",IF(AND(F138&lt;&gt;"",COUNTIF(p_rates,F138)=0),"Taux de TVA hors liste (Paramètres)","OK")))))))</f>
        <v/>
      </c>
    </row>
    <row r="139">
      <c r="A139" s="145" t="n"/>
      <c r="B139" s="63" t="n"/>
      <c r="C139" s="60" t="n"/>
      <c r="D139" s="60" t="n"/>
      <c r="E139" s="68" t="n"/>
      <c r="F139" s="70" t="n"/>
      <c r="G139" s="59" t="str">
        <f>IF(COUNTA(A139:F139)=0,"",IF(A139="","Code manquant",IF(COUNTIF(pr_code,A139)&gt;1,"Code en double",IF(B139="","Désignation manquante",IF(AND(E139&lt;&gt;"",OR(NOT(ISNUMBER(E139)),N(E139)&lt;0)),"Prix invalide",IF(AND(F139&lt;&gt;"",NOT(ISNUMBER(F139))),"Taux de TVA invalide",IF(AND(F139&lt;&gt;"",COUNTIF(p_rates,F139)=0),"Taux de TVA hors liste (Paramètres)","OK")))))))</f>
        <v/>
      </c>
    </row>
    <row r="140">
      <c r="A140" s="145" t="n"/>
      <c r="B140" s="63" t="n"/>
      <c r="C140" s="60" t="n"/>
      <c r="D140" s="60" t="n"/>
      <c r="E140" s="68" t="n"/>
      <c r="F140" s="70" t="n"/>
      <c r="G140" s="59" t="str">
        <f>IF(COUNTA(A140:F140)=0,"",IF(A140="","Code manquant",IF(COUNTIF(pr_code,A140)&gt;1,"Code en double",IF(B140="","Désignation manquante",IF(AND(E140&lt;&gt;"",OR(NOT(ISNUMBER(E140)),N(E140)&lt;0)),"Prix invalide",IF(AND(F140&lt;&gt;"",NOT(ISNUMBER(F140))),"Taux de TVA invalide",IF(AND(F140&lt;&gt;"",COUNTIF(p_rates,F140)=0),"Taux de TVA hors liste (Paramètres)","OK")))))))</f>
        <v/>
      </c>
    </row>
    <row r="141">
      <c r="A141" s="145" t="n"/>
      <c r="B141" s="63" t="n"/>
      <c r="C141" s="60" t="n"/>
      <c r="D141" s="60" t="n"/>
      <c r="E141" s="68" t="n"/>
      <c r="F141" s="70" t="n"/>
      <c r="G141" s="59" t="str">
        <f>IF(COUNTA(A141:F141)=0,"",IF(A141="","Code manquant",IF(COUNTIF(pr_code,A141)&gt;1,"Code en double",IF(B141="","Désignation manquante",IF(AND(E141&lt;&gt;"",OR(NOT(ISNUMBER(E141)),N(E141)&lt;0)),"Prix invalide",IF(AND(F141&lt;&gt;"",NOT(ISNUMBER(F141))),"Taux de TVA invalide",IF(AND(F141&lt;&gt;"",COUNTIF(p_rates,F141)=0),"Taux de TVA hors liste (Paramètres)","OK")))))))</f>
        <v/>
      </c>
    </row>
    <row r="142">
      <c r="A142" s="145" t="n"/>
      <c r="B142" s="63" t="n"/>
      <c r="C142" s="60" t="n"/>
      <c r="D142" s="60" t="n"/>
      <c r="E142" s="68" t="n"/>
      <c r="F142" s="70" t="n"/>
      <c r="G142" s="59" t="str">
        <f>IF(COUNTA(A142:F142)=0,"",IF(A142="","Code manquant",IF(COUNTIF(pr_code,A142)&gt;1,"Code en double",IF(B142="","Désignation manquante",IF(AND(E142&lt;&gt;"",OR(NOT(ISNUMBER(E142)),N(E142)&lt;0)),"Prix invalide",IF(AND(F142&lt;&gt;"",NOT(ISNUMBER(F142))),"Taux de TVA invalide",IF(AND(F142&lt;&gt;"",COUNTIF(p_rates,F142)=0),"Taux de TVA hors liste (Paramètres)","OK")))))))</f>
        <v/>
      </c>
    </row>
    <row r="143">
      <c r="A143" s="145" t="n"/>
      <c r="B143" s="63" t="n"/>
      <c r="C143" s="60" t="n"/>
      <c r="D143" s="60" t="n"/>
      <c r="E143" s="68" t="n"/>
      <c r="F143" s="70" t="n"/>
      <c r="G143" s="59" t="str">
        <f>IF(COUNTA(A143:F143)=0,"",IF(A143="","Code manquant",IF(COUNTIF(pr_code,A143)&gt;1,"Code en double",IF(B143="","Désignation manquante",IF(AND(E143&lt;&gt;"",OR(NOT(ISNUMBER(E143)),N(E143)&lt;0)),"Prix invalide",IF(AND(F143&lt;&gt;"",NOT(ISNUMBER(F143))),"Taux de TVA invalide",IF(AND(F143&lt;&gt;"",COUNTIF(p_rates,F143)=0),"Taux de TVA hors liste (Paramètres)","OK")))))))</f>
        <v/>
      </c>
    </row>
    <row r="144">
      <c r="A144" s="145" t="n"/>
      <c r="B144" s="63" t="n"/>
      <c r="C144" s="60" t="n"/>
      <c r="D144" s="60" t="n"/>
      <c r="E144" s="68" t="n"/>
      <c r="F144" s="70" t="n"/>
      <c r="G144" s="59" t="str">
        <f>IF(COUNTA(A144:F144)=0,"",IF(A144="","Code manquant",IF(COUNTIF(pr_code,A144)&gt;1,"Code en double",IF(B144="","Désignation manquante",IF(AND(E144&lt;&gt;"",OR(NOT(ISNUMBER(E144)),N(E144)&lt;0)),"Prix invalide",IF(AND(F144&lt;&gt;"",NOT(ISNUMBER(F144))),"Taux de TVA invalide",IF(AND(F144&lt;&gt;"",COUNTIF(p_rates,F144)=0),"Taux de TVA hors liste (Paramètres)","OK")))))))</f>
        <v/>
      </c>
    </row>
    <row r="145">
      <c r="A145" s="145" t="n"/>
      <c r="B145" s="63" t="n"/>
      <c r="C145" s="60" t="n"/>
      <c r="D145" s="60" t="n"/>
      <c r="E145" s="68" t="n"/>
      <c r="F145" s="70" t="n"/>
      <c r="G145" s="59" t="str">
        <f>IF(COUNTA(A145:F145)=0,"",IF(A145="","Code manquant",IF(COUNTIF(pr_code,A145)&gt;1,"Code en double",IF(B145="","Désignation manquante",IF(AND(E145&lt;&gt;"",OR(NOT(ISNUMBER(E145)),N(E145)&lt;0)),"Prix invalide",IF(AND(F145&lt;&gt;"",NOT(ISNUMBER(F145))),"Taux de TVA invalide",IF(AND(F145&lt;&gt;"",COUNTIF(p_rates,F145)=0),"Taux de TVA hors liste (Paramètres)","OK")))))))</f>
        <v/>
      </c>
    </row>
    <row r="146">
      <c r="A146" s="145" t="n"/>
      <c r="B146" s="63" t="n"/>
      <c r="C146" s="60" t="n"/>
      <c r="D146" s="60" t="n"/>
      <c r="E146" s="68" t="n"/>
      <c r="F146" s="70" t="n"/>
      <c r="G146" s="59" t="str">
        <f>IF(COUNTA(A146:F146)=0,"",IF(A146="","Code manquant",IF(COUNTIF(pr_code,A146)&gt;1,"Code en double",IF(B146="","Désignation manquante",IF(AND(E146&lt;&gt;"",OR(NOT(ISNUMBER(E146)),N(E146)&lt;0)),"Prix invalide",IF(AND(F146&lt;&gt;"",NOT(ISNUMBER(F146))),"Taux de TVA invalide",IF(AND(F146&lt;&gt;"",COUNTIF(p_rates,F146)=0),"Taux de TVA hors liste (Paramètres)","OK")))))))</f>
        <v/>
      </c>
    </row>
    <row r="147">
      <c r="A147" s="145" t="n"/>
      <c r="B147" s="63" t="n"/>
      <c r="C147" s="60" t="n"/>
      <c r="D147" s="60" t="n"/>
      <c r="E147" s="68" t="n"/>
      <c r="F147" s="70" t="n"/>
      <c r="G147" s="59" t="str">
        <f>IF(COUNTA(A147:F147)=0,"",IF(A147="","Code manquant",IF(COUNTIF(pr_code,A147)&gt;1,"Code en double",IF(B147="","Désignation manquante",IF(AND(E147&lt;&gt;"",OR(NOT(ISNUMBER(E147)),N(E147)&lt;0)),"Prix invalide",IF(AND(F147&lt;&gt;"",NOT(ISNUMBER(F147))),"Taux de TVA invalide",IF(AND(F147&lt;&gt;"",COUNTIF(p_rates,F147)=0),"Taux de TVA hors liste (Paramètres)","OK")))))))</f>
        <v/>
      </c>
    </row>
    <row r="148">
      <c r="A148" s="145" t="n"/>
      <c r="B148" s="63" t="n"/>
      <c r="C148" s="60" t="n"/>
      <c r="D148" s="60" t="n"/>
      <c r="E148" s="68" t="n"/>
      <c r="F148" s="70" t="n"/>
      <c r="G148" s="59" t="str">
        <f>IF(COUNTA(A148:F148)=0,"",IF(A148="","Code manquant",IF(COUNTIF(pr_code,A148)&gt;1,"Code en double",IF(B148="","Désignation manquante",IF(AND(E148&lt;&gt;"",OR(NOT(ISNUMBER(E148)),N(E148)&lt;0)),"Prix invalide",IF(AND(F148&lt;&gt;"",NOT(ISNUMBER(F148))),"Taux de TVA invalide",IF(AND(F148&lt;&gt;"",COUNTIF(p_rates,F148)=0),"Taux de TVA hors liste (Paramètres)","OK")))))))</f>
        <v/>
      </c>
    </row>
    <row r="149">
      <c r="A149" s="145" t="n"/>
      <c r="B149" s="63" t="n"/>
      <c r="C149" s="60" t="n"/>
      <c r="D149" s="60" t="n"/>
      <c r="E149" s="68" t="n"/>
      <c r="F149" s="70" t="n"/>
      <c r="G149" s="59" t="str">
        <f>IF(COUNTA(A149:F149)=0,"",IF(A149="","Code manquant",IF(COUNTIF(pr_code,A149)&gt;1,"Code en double",IF(B149="","Désignation manquante",IF(AND(E149&lt;&gt;"",OR(NOT(ISNUMBER(E149)),N(E149)&lt;0)),"Prix invalide",IF(AND(F149&lt;&gt;"",NOT(ISNUMBER(F149))),"Taux de TVA invalide",IF(AND(F149&lt;&gt;"",COUNTIF(p_rates,F149)=0),"Taux de TVA hors liste (Paramètres)","OK")))))))</f>
        <v/>
      </c>
    </row>
    <row r="150">
      <c r="A150" s="145" t="n"/>
      <c r="B150" s="63" t="n"/>
      <c r="C150" s="60" t="n"/>
      <c r="D150" s="60" t="n"/>
      <c r="E150" s="68" t="n"/>
      <c r="F150" s="70" t="n"/>
      <c r="G150" s="59" t="str">
        <f>IF(COUNTA(A150:F150)=0,"",IF(A150="","Code manquant",IF(COUNTIF(pr_code,A150)&gt;1,"Code en double",IF(B150="","Désignation manquante",IF(AND(E150&lt;&gt;"",OR(NOT(ISNUMBER(E150)),N(E150)&lt;0)),"Prix invalide",IF(AND(F150&lt;&gt;"",NOT(ISNUMBER(F150))),"Taux de TVA invalide",IF(AND(F150&lt;&gt;"",COUNTIF(p_rates,F150)=0),"Taux de TVA hors liste (Paramètres)","OK")))))))</f>
        <v/>
      </c>
    </row>
    <row r="151">
      <c r="A151" s="145" t="n"/>
      <c r="B151" s="63" t="n"/>
      <c r="C151" s="60" t="n"/>
      <c r="D151" s="60" t="n"/>
      <c r="E151" s="68" t="n"/>
      <c r="F151" s="70" t="n"/>
      <c r="G151" s="59" t="str">
        <f>IF(COUNTA(A151:F151)=0,"",IF(A151="","Code manquant",IF(COUNTIF(pr_code,A151)&gt;1,"Code en double",IF(B151="","Désignation manquante",IF(AND(E151&lt;&gt;"",OR(NOT(ISNUMBER(E151)),N(E151)&lt;0)),"Prix invalide",IF(AND(F151&lt;&gt;"",NOT(ISNUMBER(F151))),"Taux de TVA invalide",IF(AND(F151&lt;&gt;"",COUNTIF(p_rates,F151)=0),"Taux de TVA hors liste (Paramètres)","OK")))))))</f>
        <v/>
      </c>
    </row>
    <row r="152">
      <c r="A152" s="145" t="n"/>
      <c r="B152" s="63" t="n"/>
      <c r="C152" s="60" t="n"/>
      <c r="D152" s="60" t="n"/>
      <c r="E152" s="68" t="n"/>
      <c r="F152" s="70" t="n"/>
      <c r="G152" s="59" t="str">
        <f>IF(COUNTA(A152:F152)=0,"",IF(A152="","Code manquant",IF(COUNTIF(pr_code,A152)&gt;1,"Code en double",IF(B152="","Désignation manquante",IF(AND(E152&lt;&gt;"",OR(NOT(ISNUMBER(E152)),N(E152)&lt;0)),"Prix invalide",IF(AND(F152&lt;&gt;"",NOT(ISNUMBER(F152))),"Taux de TVA invalide",IF(AND(F152&lt;&gt;"",COUNTIF(p_rates,F152)=0),"Taux de TVA hors liste (Paramètres)","OK")))))))</f>
        <v/>
      </c>
    </row>
    <row r="153">
      <c r="A153" s="145" t="n"/>
      <c r="B153" s="63" t="n"/>
      <c r="C153" s="60" t="n"/>
      <c r="D153" s="60" t="n"/>
      <c r="E153" s="68" t="n"/>
      <c r="F153" s="70" t="n"/>
      <c r="G153" s="59" t="str">
        <f>IF(COUNTA(A153:F153)=0,"",IF(A153="","Code manquant",IF(COUNTIF(pr_code,A153)&gt;1,"Code en double",IF(B153="","Désignation manquante",IF(AND(E153&lt;&gt;"",OR(NOT(ISNUMBER(E153)),N(E153)&lt;0)),"Prix invalide",IF(AND(F153&lt;&gt;"",NOT(ISNUMBER(F153))),"Taux de TVA invalide",IF(AND(F153&lt;&gt;"",COUNTIF(p_rates,F153)=0),"Taux de TVA hors liste (Paramètres)","OK")))))))</f>
        <v/>
      </c>
    </row>
    <row r="154">
      <c r="A154" s="145" t="n"/>
      <c r="B154" s="63" t="n"/>
      <c r="C154" s="60" t="n"/>
      <c r="D154" s="60" t="n"/>
      <c r="E154" s="68" t="n"/>
      <c r="F154" s="70" t="n"/>
      <c r="G154" s="59" t="str">
        <f>IF(COUNTA(A154:F154)=0,"",IF(A154="","Code manquant",IF(COUNTIF(pr_code,A154)&gt;1,"Code en double",IF(B154="","Désignation manquante",IF(AND(E154&lt;&gt;"",OR(NOT(ISNUMBER(E154)),N(E154)&lt;0)),"Prix invalide",IF(AND(F154&lt;&gt;"",NOT(ISNUMBER(F154))),"Taux de TVA invalide",IF(AND(F154&lt;&gt;"",COUNTIF(p_rates,F154)=0),"Taux de TVA hors liste (Paramètres)","OK")))))))</f>
        <v/>
      </c>
    </row>
    <row r="155">
      <c r="A155" s="145" t="n"/>
      <c r="B155" s="63" t="n"/>
      <c r="C155" s="60" t="n"/>
      <c r="D155" s="60" t="n"/>
      <c r="E155" s="68" t="n"/>
      <c r="F155" s="70" t="n"/>
      <c r="G155" s="59" t="str">
        <f>IF(COUNTA(A155:F155)=0,"",IF(A155="","Code manquant",IF(COUNTIF(pr_code,A155)&gt;1,"Code en double",IF(B155="","Désignation manquante",IF(AND(E155&lt;&gt;"",OR(NOT(ISNUMBER(E155)),N(E155)&lt;0)),"Prix invalide",IF(AND(F155&lt;&gt;"",NOT(ISNUMBER(F155))),"Taux de TVA invalide",IF(AND(F155&lt;&gt;"",COUNTIF(p_rates,F155)=0),"Taux de TVA hors liste (Paramètres)","OK")))))))</f>
        <v/>
      </c>
    </row>
    <row r="156">
      <c r="A156" s="145" t="n"/>
      <c r="B156" s="63" t="n"/>
      <c r="C156" s="60" t="n"/>
      <c r="D156" s="60" t="n"/>
      <c r="E156" s="68" t="n"/>
      <c r="F156" s="70" t="n"/>
      <c r="G156" s="59" t="str">
        <f>IF(COUNTA(A156:F156)=0,"",IF(A156="","Code manquant",IF(COUNTIF(pr_code,A156)&gt;1,"Code en double",IF(B156="","Désignation manquante",IF(AND(E156&lt;&gt;"",OR(NOT(ISNUMBER(E156)),N(E156)&lt;0)),"Prix invalide",IF(AND(F156&lt;&gt;"",NOT(ISNUMBER(F156))),"Taux de TVA invalide",IF(AND(F156&lt;&gt;"",COUNTIF(p_rates,F156)=0),"Taux de TVA hors liste (Paramètres)","OK")))))))</f>
        <v/>
      </c>
    </row>
    <row r="157">
      <c r="A157" s="145" t="n"/>
      <c r="B157" s="63" t="n"/>
      <c r="C157" s="60" t="n"/>
      <c r="D157" s="60" t="n"/>
      <c r="E157" s="68" t="n"/>
      <c r="F157" s="70" t="n"/>
      <c r="G157" s="59" t="str">
        <f>IF(COUNTA(A157:F157)=0,"",IF(A157="","Code manquant",IF(COUNTIF(pr_code,A157)&gt;1,"Code en double",IF(B157="","Désignation manquante",IF(AND(E157&lt;&gt;"",OR(NOT(ISNUMBER(E157)),N(E157)&lt;0)),"Prix invalide",IF(AND(F157&lt;&gt;"",NOT(ISNUMBER(F157))),"Taux de TVA invalide",IF(AND(F157&lt;&gt;"",COUNTIF(p_rates,F157)=0),"Taux de TVA hors liste (Paramètres)","OK")))))))</f>
        <v/>
      </c>
    </row>
    <row r="158">
      <c r="A158" s="145" t="n"/>
      <c r="B158" s="63" t="n"/>
      <c r="C158" s="60" t="n"/>
      <c r="D158" s="60" t="n"/>
      <c r="E158" s="68" t="n"/>
      <c r="F158" s="70" t="n"/>
      <c r="G158" s="59" t="str">
        <f>IF(COUNTA(A158:F158)=0,"",IF(A158="","Code manquant",IF(COUNTIF(pr_code,A158)&gt;1,"Code en double",IF(B158="","Désignation manquante",IF(AND(E158&lt;&gt;"",OR(NOT(ISNUMBER(E158)),N(E158)&lt;0)),"Prix invalide",IF(AND(F158&lt;&gt;"",NOT(ISNUMBER(F158))),"Taux de TVA invalide",IF(AND(F158&lt;&gt;"",COUNTIF(p_rates,F158)=0),"Taux de TVA hors liste (Paramètres)","OK")))))))</f>
        <v/>
      </c>
    </row>
    <row r="159">
      <c r="A159" s="145" t="n"/>
      <c r="B159" s="63" t="n"/>
      <c r="C159" s="60" t="n"/>
      <c r="D159" s="60" t="n"/>
      <c r="E159" s="68" t="n"/>
      <c r="F159" s="70" t="n"/>
      <c r="G159" s="59" t="str">
        <f>IF(COUNTA(A159:F159)=0,"",IF(A159="","Code manquant",IF(COUNTIF(pr_code,A159)&gt;1,"Code en double",IF(B159="","Désignation manquante",IF(AND(E159&lt;&gt;"",OR(NOT(ISNUMBER(E159)),N(E159)&lt;0)),"Prix invalide",IF(AND(F159&lt;&gt;"",NOT(ISNUMBER(F159))),"Taux de TVA invalide",IF(AND(F159&lt;&gt;"",COUNTIF(p_rates,F159)=0),"Taux de TVA hors liste (Paramètres)","OK")))))))</f>
        <v/>
      </c>
    </row>
    <row r="160">
      <c r="A160" s="145" t="n"/>
      <c r="B160" s="63" t="n"/>
      <c r="C160" s="60" t="n"/>
      <c r="D160" s="60" t="n"/>
      <c r="E160" s="68" t="n"/>
      <c r="F160" s="70" t="n"/>
      <c r="G160" s="59" t="str">
        <f>IF(COUNTA(A160:F160)=0,"",IF(A160="","Code manquant",IF(COUNTIF(pr_code,A160)&gt;1,"Code en double",IF(B160="","Désignation manquante",IF(AND(E160&lt;&gt;"",OR(NOT(ISNUMBER(E160)),N(E160)&lt;0)),"Prix invalide",IF(AND(F160&lt;&gt;"",NOT(ISNUMBER(F160))),"Taux de TVA invalide",IF(AND(F160&lt;&gt;"",COUNTIF(p_rates,F160)=0),"Taux de TVA hors liste (Paramètres)","OK")))))))</f>
        <v/>
      </c>
    </row>
    <row r="161">
      <c r="A161" s="145" t="n"/>
      <c r="B161" s="63" t="n"/>
      <c r="C161" s="60" t="n"/>
      <c r="D161" s="60" t="n"/>
      <c r="E161" s="68" t="n"/>
      <c r="F161" s="70" t="n"/>
      <c r="G161" s="59" t="str">
        <f>IF(COUNTA(A161:F161)=0,"",IF(A161="","Code manquant",IF(COUNTIF(pr_code,A161)&gt;1,"Code en double",IF(B161="","Désignation manquante",IF(AND(E161&lt;&gt;"",OR(NOT(ISNUMBER(E161)),N(E161)&lt;0)),"Prix invalide",IF(AND(F161&lt;&gt;"",NOT(ISNUMBER(F161))),"Taux de TVA invalide",IF(AND(F161&lt;&gt;"",COUNTIF(p_rates,F161)=0),"Taux de TVA hors liste (Paramètres)","OK")))))))</f>
        <v/>
      </c>
    </row>
    <row r="162">
      <c r="A162" s="145" t="n"/>
      <c r="B162" s="63" t="n"/>
      <c r="C162" s="60" t="n"/>
      <c r="D162" s="60" t="n"/>
      <c r="E162" s="68" t="n"/>
      <c r="F162" s="70" t="n"/>
      <c r="G162" s="59" t="str">
        <f>IF(COUNTA(A162:F162)=0,"",IF(A162="","Code manquant",IF(COUNTIF(pr_code,A162)&gt;1,"Code en double",IF(B162="","Désignation manquante",IF(AND(E162&lt;&gt;"",OR(NOT(ISNUMBER(E162)),N(E162)&lt;0)),"Prix invalide",IF(AND(F162&lt;&gt;"",NOT(ISNUMBER(F162))),"Taux de TVA invalide",IF(AND(F162&lt;&gt;"",COUNTIF(p_rates,F162)=0),"Taux de TVA hors liste (Paramètres)","OK")))))))</f>
        <v/>
      </c>
    </row>
    <row r="163">
      <c r="A163" s="145" t="n"/>
      <c r="B163" s="63" t="n"/>
      <c r="C163" s="60" t="n"/>
      <c r="D163" s="60" t="n"/>
      <c r="E163" s="68" t="n"/>
      <c r="F163" s="70" t="n"/>
      <c r="G163" s="59" t="str">
        <f>IF(COUNTA(A163:F163)=0,"",IF(A163="","Code manquant",IF(COUNTIF(pr_code,A163)&gt;1,"Code en double",IF(B163="","Désignation manquante",IF(AND(E163&lt;&gt;"",OR(NOT(ISNUMBER(E163)),N(E163)&lt;0)),"Prix invalide",IF(AND(F163&lt;&gt;"",NOT(ISNUMBER(F163))),"Taux de TVA invalide",IF(AND(F163&lt;&gt;"",COUNTIF(p_rates,F163)=0),"Taux de TVA hors liste (Paramètres)","OK")))))))</f>
        <v/>
      </c>
    </row>
    <row r="164">
      <c r="A164" s="145" t="n"/>
      <c r="B164" s="63" t="n"/>
      <c r="C164" s="60" t="n"/>
      <c r="D164" s="60" t="n"/>
      <c r="E164" s="68" t="n"/>
      <c r="F164" s="70" t="n"/>
      <c r="G164" s="59" t="str">
        <f>IF(COUNTA(A164:F164)=0,"",IF(A164="","Code manquant",IF(COUNTIF(pr_code,A164)&gt;1,"Code en double",IF(B164="","Désignation manquante",IF(AND(E164&lt;&gt;"",OR(NOT(ISNUMBER(E164)),N(E164)&lt;0)),"Prix invalide",IF(AND(F164&lt;&gt;"",NOT(ISNUMBER(F164))),"Taux de TVA invalide",IF(AND(F164&lt;&gt;"",COUNTIF(p_rates,F164)=0),"Taux de TVA hors liste (Paramètres)","OK")))))))</f>
        <v/>
      </c>
    </row>
    <row r="165">
      <c r="A165" s="145" t="n"/>
      <c r="B165" s="63" t="n"/>
      <c r="C165" s="60" t="n"/>
      <c r="D165" s="60" t="n"/>
      <c r="E165" s="68" t="n"/>
      <c r="F165" s="70" t="n"/>
      <c r="G165" s="59" t="str">
        <f>IF(COUNTA(A165:F165)=0,"",IF(A165="","Code manquant",IF(COUNTIF(pr_code,A165)&gt;1,"Code en double",IF(B165="","Désignation manquante",IF(AND(E165&lt;&gt;"",OR(NOT(ISNUMBER(E165)),N(E165)&lt;0)),"Prix invalide",IF(AND(F165&lt;&gt;"",NOT(ISNUMBER(F165))),"Taux de TVA invalide",IF(AND(F165&lt;&gt;"",COUNTIF(p_rates,F165)=0),"Taux de TVA hors liste (Paramètres)","OK")))))))</f>
        <v/>
      </c>
    </row>
    <row r="166">
      <c r="A166" s="145" t="n"/>
      <c r="B166" s="63" t="n"/>
      <c r="C166" s="60" t="n"/>
      <c r="D166" s="60" t="n"/>
      <c r="E166" s="68" t="n"/>
      <c r="F166" s="70" t="n"/>
      <c r="G166" s="59" t="str">
        <f>IF(COUNTA(A166:F166)=0,"",IF(A166="","Code manquant",IF(COUNTIF(pr_code,A166)&gt;1,"Code en double",IF(B166="","Désignation manquante",IF(AND(E166&lt;&gt;"",OR(NOT(ISNUMBER(E166)),N(E166)&lt;0)),"Prix invalide",IF(AND(F166&lt;&gt;"",NOT(ISNUMBER(F166))),"Taux de TVA invalide",IF(AND(F166&lt;&gt;"",COUNTIF(p_rates,F166)=0),"Taux de TVA hors liste (Paramètres)","OK")))))))</f>
        <v/>
      </c>
    </row>
    <row r="167">
      <c r="A167" s="145" t="n"/>
      <c r="B167" s="63" t="n"/>
      <c r="C167" s="60" t="n"/>
      <c r="D167" s="60" t="n"/>
      <c r="E167" s="68" t="n"/>
      <c r="F167" s="70" t="n"/>
      <c r="G167" s="59" t="str">
        <f>IF(COUNTA(A167:F167)=0,"",IF(A167="","Code manquant",IF(COUNTIF(pr_code,A167)&gt;1,"Code en double",IF(B167="","Désignation manquante",IF(AND(E167&lt;&gt;"",OR(NOT(ISNUMBER(E167)),N(E167)&lt;0)),"Prix invalide",IF(AND(F167&lt;&gt;"",NOT(ISNUMBER(F167))),"Taux de TVA invalide",IF(AND(F167&lt;&gt;"",COUNTIF(p_rates,F167)=0),"Taux de TVA hors liste (Paramètres)","OK")))))))</f>
        <v/>
      </c>
    </row>
    <row r="168">
      <c r="A168" s="145" t="n"/>
      <c r="B168" s="63" t="n"/>
      <c r="C168" s="60" t="n"/>
      <c r="D168" s="60" t="n"/>
      <c r="E168" s="68" t="n"/>
      <c r="F168" s="70" t="n"/>
      <c r="G168" s="59" t="str">
        <f>IF(COUNTA(A168:F168)=0,"",IF(A168="","Code manquant",IF(COUNTIF(pr_code,A168)&gt;1,"Code en double",IF(B168="","Désignation manquante",IF(AND(E168&lt;&gt;"",OR(NOT(ISNUMBER(E168)),N(E168)&lt;0)),"Prix invalide",IF(AND(F168&lt;&gt;"",NOT(ISNUMBER(F168))),"Taux de TVA invalide",IF(AND(F168&lt;&gt;"",COUNTIF(p_rates,F168)=0),"Taux de TVA hors liste (Paramètres)","OK")))))))</f>
        <v/>
      </c>
    </row>
    <row r="169">
      <c r="A169" s="145" t="n"/>
      <c r="B169" s="63" t="n"/>
      <c r="C169" s="60" t="n"/>
      <c r="D169" s="60" t="n"/>
      <c r="E169" s="68" t="n"/>
      <c r="F169" s="70" t="n"/>
      <c r="G169" s="59" t="str">
        <f>IF(COUNTA(A169:F169)=0,"",IF(A169="","Code manquant",IF(COUNTIF(pr_code,A169)&gt;1,"Code en double",IF(B169="","Désignation manquante",IF(AND(E169&lt;&gt;"",OR(NOT(ISNUMBER(E169)),N(E169)&lt;0)),"Prix invalide",IF(AND(F169&lt;&gt;"",NOT(ISNUMBER(F169))),"Taux de TVA invalide",IF(AND(F169&lt;&gt;"",COUNTIF(p_rates,F169)=0),"Taux de TVA hors liste (Paramètres)","OK")))))))</f>
        <v/>
      </c>
    </row>
    <row r="170">
      <c r="A170" s="145" t="n"/>
      <c r="B170" s="63" t="n"/>
      <c r="C170" s="60" t="n"/>
      <c r="D170" s="60" t="n"/>
      <c r="E170" s="68" t="n"/>
      <c r="F170" s="70" t="n"/>
      <c r="G170" s="59" t="str">
        <f>IF(COUNTA(A170:F170)=0,"",IF(A170="","Code manquant",IF(COUNTIF(pr_code,A170)&gt;1,"Code en double",IF(B170="","Désignation manquante",IF(AND(E170&lt;&gt;"",OR(NOT(ISNUMBER(E170)),N(E170)&lt;0)),"Prix invalide",IF(AND(F170&lt;&gt;"",NOT(ISNUMBER(F170))),"Taux de TVA invalide",IF(AND(F170&lt;&gt;"",COUNTIF(p_rates,F170)=0),"Taux de TVA hors liste (Paramètres)","OK")))))))</f>
        <v/>
      </c>
    </row>
    <row r="171">
      <c r="A171" s="145" t="n"/>
      <c r="B171" s="63" t="n"/>
      <c r="C171" s="60" t="n"/>
      <c r="D171" s="60" t="n"/>
      <c r="E171" s="68" t="n"/>
      <c r="F171" s="70" t="n"/>
      <c r="G171" s="59" t="str">
        <f>IF(COUNTA(A171:F171)=0,"",IF(A171="","Code manquant",IF(COUNTIF(pr_code,A171)&gt;1,"Code en double",IF(B171="","Désignation manquante",IF(AND(E171&lt;&gt;"",OR(NOT(ISNUMBER(E171)),N(E171)&lt;0)),"Prix invalide",IF(AND(F171&lt;&gt;"",NOT(ISNUMBER(F171))),"Taux de TVA invalide",IF(AND(F171&lt;&gt;"",COUNTIF(p_rates,F171)=0),"Taux de TVA hors liste (Paramètres)","OK")))))))</f>
        <v/>
      </c>
    </row>
    <row r="172">
      <c r="A172" s="145" t="n"/>
      <c r="B172" s="63" t="n"/>
      <c r="C172" s="60" t="n"/>
      <c r="D172" s="60" t="n"/>
      <c r="E172" s="68" t="n"/>
      <c r="F172" s="70" t="n"/>
      <c r="G172" s="59" t="str">
        <f>IF(COUNTA(A172:F172)=0,"",IF(A172="","Code manquant",IF(COUNTIF(pr_code,A172)&gt;1,"Code en double",IF(B172="","Désignation manquante",IF(AND(E172&lt;&gt;"",OR(NOT(ISNUMBER(E172)),N(E172)&lt;0)),"Prix invalide",IF(AND(F172&lt;&gt;"",NOT(ISNUMBER(F172))),"Taux de TVA invalide",IF(AND(F172&lt;&gt;"",COUNTIF(p_rates,F172)=0),"Taux de TVA hors liste (Paramètres)","OK")))))))</f>
        <v/>
      </c>
    </row>
    <row r="173">
      <c r="A173" s="145" t="n"/>
      <c r="B173" s="63" t="n"/>
      <c r="C173" s="60" t="n"/>
      <c r="D173" s="60" t="n"/>
      <c r="E173" s="68" t="n"/>
      <c r="F173" s="70" t="n"/>
      <c r="G173" s="59" t="str">
        <f>IF(COUNTA(A173:F173)=0,"",IF(A173="","Code manquant",IF(COUNTIF(pr_code,A173)&gt;1,"Code en double",IF(B173="","Désignation manquante",IF(AND(E173&lt;&gt;"",OR(NOT(ISNUMBER(E173)),N(E173)&lt;0)),"Prix invalide",IF(AND(F173&lt;&gt;"",NOT(ISNUMBER(F173))),"Taux de TVA invalide",IF(AND(F173&lt;&gt;"",COUNTIF(p_rates,F173)=0),"Taux de TVA hors liste (Paramètres)","OK")))))))</f>
        <v/>
      </c>
    </row>
    <row r="174">
      <c r="A174" s="145" t="n"/>
      <c r="B174" s="63" t="n"/>
      <c r="C174" s="60" t="n"/>
      <c r="D174" s="60" t="n"/>
      <c r="E174" s="68" t="n"/>
      <c r="F174" s="70" t="n"/>
      <c r="G174" s="59" t="str">
        <f>IF(COUNTA(A174:F174)=0,"",IF(A174="","Code manquant",IF(COUNTIF(pr_code,A174)&gt;1,"Code en double",IF(B174="","Désignation manquante",IF(AND(E174&lt;&gt;"",OR(NOT(ISNUMBER(E174)),N(E174)&lt;0)),"Prix invalide",IF(AND(F174&lt;&gt;"",NOT(ISNUMBER(F174))),"Taux de TVA invalide",IF(AND(F174&lt;&gt;"",COUNTIF(p_rates,F174)=0),"Taux de TVA hors liste (Paramètres)","OK")))))))</f>
        <v/>
      </c>
    </row>
    <row r="175">
      <c r="A175" s="145" t="n"/>
      <c r="B175" s="63" t="n"/>
      <c r="C175" s="60" t="n"/>
      <c r="D175" s="60" t="n"/>
      <c r="E175" s="68" t="n"/>
      <c r="F175" s="70" t="n"/>
      <c r="G175" s="59" t="str">
        <f>IF(COUNTA(A175:F175)=0,"",IF(A175="","Code manquant",IF(COUNTIF(pr_code,A175)&gt;1,"Code en double",IF(B175="","Désignation manquante",IF(AND(E175&lt;&gt;"",OR(NOT(ISNUMBER(E175)),N(E175)&lt;0)),"Prix invalide",IF(AND(F175&lt;&gt;"",NOT(ISNUMBER(F175))),"Taux de TVA invalide",IF(AND(F175&lt;&gt;"",COUNTIF(p_rates,F175)=0),"Taux de TVA hors liste (Paramètres)","OK")))))))</f>
        <v/>
      </c>
    </row>
    <row r="176">
      <c r="A176" s="145" t="n"/>
      <c r="B176" s="63" t="n"/>
      <c r="C176" s="60" t="n"/>
      <c r="D176" s="60" t="n"/>
      <c r="E176" s="68" t="n"/>
      <c r="F176" s="70" t="n"/>
      <c r="G176" s="59" t="str">
        <f>IF(COUNTA(A176:F176)=0,"",IF(A176="","Code manquant",IF(COUNTIF(pr_code,A176)&gt;1,"Code en double",IF(B176="","Désignation manquante",IF(AND(E176&lt;&gt;"",OR(NOT(ISNUMBER(E176)),N(E176)&lt;0)),"Prix invalide",IF(AND(F176&lt;&gt;"",NOT(ISNUMBER(F176))),"Taux de TVA invalide",IF(AND(F176&lt;&gt;"",COUNTIF(p_rates,F176)=0),"Taux de TVA hors liste (Paramètres)","OK")))))))</f>
        <v/>
      </c>
    </row>
    <row r="177">
      <c r="A177" s="145" t="n"/>
      <c r="B177" s="63" t="n"/>
      <c r="C177" s="60" t="n"/>
      <c r="D177" s="60" t="n"/>
      <c r="E177" s="68" t="n"/>
      <c r="F177" s="70" t="n"/>
      <c r="G177" s="59" t="str">
        <f>IF(COUNTA(A177:F177)=0,"",IF(A177="","Code manquant",IF(COUNTIF(pr_code,A177)&gt;1,"Code en double",IF(B177="","Désignation manquante",IF(AND(E177&lt;&gt;"",OR(NOT(ISNUMBER(E177)),N(E177)&lt;0)),"Prix invalide",IF(AND(F177&lt;&gt;"",NOT(ISNUMBER(F177))),"Taux de TVA invalide",IF(AND(F177&lt;&gt;"",COUNTIF(p_rates,F177)=0),"Taux de TVA hors liste (Paramètres)","OK")))))))</f>
        <v/>
      </c>
    </row>
    <row r="178">
      <c r="A178" s="145" t="n"/>
      <c r="B178" s="63" t="n"/>
      <c r="C178" s="60" t="n"/>
      <c r="D178" s="60" t="n"/>
      <c r="E178" s="68" t="n"/>
      <c r="F178" s="70" t="n"/>
      <c r="G178" s="59" t="str">
        <f>IF(COUNTA(A178:F178)=0,"",IF(A178="","Code manquant",IF(COUNTIF(pr_code,A178)&gt;1,"Code en double",IF(B178="","Désignation manquante",IF(AND(E178&lt;&gt;"",OR(NOT(ISNUMBER(E178)),N(E178)&lt;0)),"Prix invalide",IF(AND(F178&lt;&gt;"",NOT(ISNUMBER(F178))),"Taux de TVA invalide",IF(AND(F178&lt;&gt;"",COUNTIF(p_rates,F178)=0),"Taux de TVA hors liste (Paramètres)","OK")))))))</f>
        <v/>
      </c>
    </row>
    <row r="179">
      <c r="A179" s="145" t="n"/>
      <c r="B179" s="63" t="n"/>
      <c r="C179" s="60" t="n"/>
      <c r="D179" s="60" t="n"/>
      <c r="E179" s="68" t="n"/>
      <c r="F179" s="70" t="n"/>
      <c r="G179" s="59" t="str">
        <f>IF(COUNTA(A179:F179)=0,"",IF(A179="","Code manquant",IF(COUNTIF(pr_code,A179)&gt;1,"Code en double",IF(B179="","Désignation manquante",IF(AND(E179&lt;&gt;"",OR(NOT(ISNUMBER(E179)),N(E179)&lt;0)),"Prix invalide",IF(AND(F179&lt;&gt;"",NOT(ISNUMBER(F179))),"Taux de TVA invalide",IF(AND(F179&lt;&gt;"",COUNTIF(p_rates,F179)=0),"Taux de TVA hors liste (Paramètres)","OK")))))))</f>
        <v/>
      </c>
    </row>
    <row r="180">
      <c r="A180" s="145" t="n"/>
      <c r="B180" s="63" t="n"/>
      <c r="C180" s="60" t="n"/>
      <c r="D180" s="60" t="n"/>
      <c r="E180" s="68" t="n"/>
      <c r="F180" s="70" t="n"/>
      <c r="G180" s="59" t="str">
        <f>IF(COUNTA(A180:F180)=0,"",IF(A180="","Code manquant",IF(COUNTIF(pr_code,A180)&gt;1,"Code en double",IF(B180="","Désignation manquante",IF(AND(E180&lt;&gt;"",OR(NOT(ISNUMBER(E180)),N(E180)&lt;0)),"Prix invalide",IF(AND(F180&lt;&gt;"",NOT(ISNUMBER(F180))),"Taux de TVA invalide",IF(AND(F180&lt;&gt;"",COUNTIF(p_rates,F180)=0),"Taux de TVA hors liste (Paramètres)","OK")))))))</f>
        <v/>
      </c>
    </row>
    <row r="181">
      <c r="A181" s="145" t="n"/>
      <c r="B181" s="63" t="n"/>
      <c r="C181" s="60" t="n"/>
      <c r="D181" s="60" t="n"/>
      <c r="E181" s="68" t="n"/>
      <c r="F181" s="70" t="n"/>
      <c r="G181" s="59" t="str">
        <f>IF(COUNTA(A181:F181)=0,"",IF(A181="","Code manquant",IF(COUNTIF(pr_code,A181)&gt;1,"Code en double",IF(B181="","Désignation manquante",IF(AND(E181&lt;&gt;"",OR(NOT(ISNUMBER(E181)),N(E181)&lt;0)),"Prix invalide",IF(AND(F181&lt;&gt;"",NOT(ISNUMBER(F181))),"Taux de TVA invalide",IF(AND(F181&lt;&gt;"",COUNTIF(p_rates,F181)=0),"Taux de TVA hors liste (Paramètres)","OK")))))))</f>
        <v/>
      </c>
    </row>
    <row r="182">
      <c r="A182" s="145" t="n"/>
      <c r="B182" s="63" t="n"/>
      <c r="C182" s="60" t="n"/>
      <c r="D182" s="60" t="n"/>
      <c r="E182" s="68" t="n"/>
      <c r="F182" s="70" t="n"/>
      <c r="G182" s="59" t="str">
        <f>IF(COUNTA(A182:F182)=0,"",IF(A182="","Code manquant",IF(COUNTIF(pr_code,A182)&gt;1,"Code en double",IF(B182="","Désignation manquante",IF(AND(E182&lt;&gt;"",OR(NOT(ISNUMBER(E182)),N(E182)&lt;0)),"Prix invalide",IF(AND(F182&lt;&gt;"",NOT(ISNUMBER(F182))),"Taux de TVA invalide",IF(AND(F182&lt;&gt;"",COUNTIF(p_rates,F182)=0),"Taux de TVA hors liste (Paramètres)","OK")))))))</f>
        <v/>
      </c>
    </row>
    <row r="183">
      <c r="A183" s="145" t="n"/>
      <c r="B183" s="63" t="n"/>
      <c r="C183" s="60" t="n"/>
      <c r="D183" s="60" t="n"/>
      <c r="E183" s="68" t="n"/>
      <c r="F183" s="70" t="n"/>
      <c r="G183" s="59" t="str">
        <f>IF(COUNTA(A183:F183)=0,"",IF(A183="","Code manquant",IF(COUNTIF(pr_code,A183)&gt;1,"Code en double",IF(B183="","Désignation manquante",IF(AND(E183&lt;&gt;"",OR(NOT(ISNUMBER(E183)),N(E183)&lt;0)),"Prix invalide",IF(AND(F183&lt;&gt;"",NOT(ISNUMBER(F183))),"Taux de TVA invalide",IF(AND(F183&lt;&gt;"",COUNTIF(p_rates,F183)=0),"Taux de TVA hors liste (Paramètres)","OK")))))))</f>
        <v/>
      </c>
    </row>
    <row r="184">
      <c r="A184" s="145" t="n"/>
      <c r="B184" s="63" t="n"/>
      <c r="C184" s="60" t="n"/>
      <c r="D184" s="60" t="n"/>
      <c r="E184" s="68" t="n"/>
      <c r="F184" s="70" t="n"/>
      <c r="G184" s="59" t="str">
        <f>IF(COUNTA(A184:F184)=0,"",IF(A184="","Code manquant",IF(COUNTIF(pr_code,A184)&gt;1,"Code en double",IF(B184="","Désignation manquante",IF(AND(E184&lt;&gt;"",OR(NOT(ISNUMBER(E184)),N(E184)&lt;0)),"Prix invalide",IF(AND(F184&lt;&gt;"",NOT(ISNUMBER(F184))),"Taux de TVA invalide",IF(AND(F184&lt;&gt;"",COUNTIF(p_rates,F184)=0),"Taux de TVA hors liste (Paramètres)","OK")))))))</f>
        <v/>
      </c>
    </row>
    <row r="185">
      <c r="A185" s="145" t="n"/>
      <c r="B185" s="63" t="n"/>
      <c r="C185" s="60" t="n"/>
      <c r="D185" s="60" t="n"/>
      <c r="E185" s="68" t="n"/>
      <c r="F185" s="70" t="n"/>
      <c r="G185" s="59" t="str">
        <f>IF(COUNTA(A185:F185)=0,"",IF(A185="","Code manquant",IF(COUNTIF(pr_code,A185)&gt;1,"Code en double",IF(B185="","Désignation manquante",IF(AND(E185&lt;&gt;"",OR(NOT(ISNUMBER(E185)),N(E185)&lt;0)),"Prix invalide",IF(AND(F185&lt;&gt;"",NOT(ISNUMBER(F185))),"Taux de TVA invalide",IF(AND(F185&lt;&gt;"",COUNTIF(p_rates,F185)=0),"Taux de TVA hors liste (Paramètres)","OK")))))))</f>
        <v/>
      </c>
    </row>
    <row r="186">
      <c r="A186" s="145" t="n"/>
      <c r="B186" s="63" t="n"/>
      <c r="C186" s="60" t="n"/>
      <c r="D186" s="60" t="n"/>
      <c r="E186" s="68" t="n"/>
      <c r="F186" s="70" t="n"/>
      <c r="G186" s="59" t="str">
        <f>IF(COUNTA(A186:F186)=0,"",IF(A186="","Code manquant",IF(COUNTIF(pr_code,A186)&gt;1,"Code en double",IF(B186="","Désignation manquante",IF(AND(E186&lt;&gt;"",OR(NOT(ISNUMBER(E186)),N(E186)&lt;0)),"Prix invalide",IF(AND(F186&lt;&gt;"",NOT(ISNUMBER(F186))),"Taux de TVA invalide",IF(AND(F186&lt;&gt;"",COUNTIF(p_rates,F186)=0),"Taux de TVA hors liste (Paramètres)","OK")))))))</f>
        <v/>
      </c>
    </row>
    <row r="187">
      <c r="A187" s="145" t="n"/>
      <c r="B187" s="63" t="n"/>
      <c r="C187" s="60" t="n"/>
      <c r="D187" s="60" t="n"/>
      <c r="E187" s="68" t="n"/>
      <c r="F187" s="70" t="n"/>
      <c r="G187" s="59" t="str">
        <f>IF(COUNTA(A187:F187)=0,"",IF(A187="","Code manquant",IF(COUNTIF(pr_code,A187)&gt;1,"Code en double",IF(B187="","Désignation manquante",IF(AND(E187&lt;&gt;"",OR(NOT(ISNUMBER(E187)),N(E187)&lt;0)),"Prix invalide",IF(AND(F187&lt;&gt;"",NOT(ISNUMBER(F187))),"Taux de TVA invalide",IF(AND(F187&lt;&gt;"",COUNTIF(p_rates,F187)=0),"Taux de TVA hors liste (Paramètres)","OK")))))))</f>
        <v/>
      </c>
    </row>
    <row r="188">
      <c r="A188" s="145" t="n"/>
      <c r="B188" s="63" t="n"/>
      <c r="C188" s="60" t="n"/>
      <c r="D188" s="60" t="n"/>
      <c r="E188" s="68" t="n"/>
      <c r="F188" s="70" t="n"/>
      <c r="G188" s="59" t="str">
        <f>IF(COUNTA(A188:F188)=0,"",IF(A188="","Code manquant",IF(COUNTIF(pr_code,A188)&gt;1,"Code en double",IF(B188="","Désignation manquante",IF(AND(E188&lt;&gt;"",OR(NOT(ISNUMBER(E188)),N(E188)&lt;0)),"Prix invalide",IF(AND(F188&lt;&gt;"",NOT(ISNUMBER(F188))),"Taux de TVA invalide",IF(AND(F188&lt;&gt;"",COUNTIF(p_rates,F188)=0),"Taux de TVA hors liste (Paramètres)","OK")))))))</f>
        <v/>
      </c>
    </row>
    <row r="189">
      <c r="A189" s="145" t="n"/>
      <c r="B189" s="63" t="n"/>
      <c r="C189" s="60" t="n"/>
      <c r="D189" s="60" t="n"/>
      <c r="E189" s="68" t="n"/>
      <c r="F189" s="70" t="n"/>
      <c r="G189" s="59" t="str">
        <f>IF(COUNTA(A189:F189)=0,"",IF(A189="","Code manquant",IF(COUNTIF(pr_code,A189)&gt;1,"Code en double",IF(B189="","Désignation manquante",IF(AND(E189&lt;&gt;"",OR(NOT(ISNUMBER(E189)),N(E189)&lt;0)),"Prix invalide",IF(AND(F189&lt;&gt;"",NOT(ISNUMBER(F189))),"Taux de TVA invalide",IF(AND(F189&lt;&gt;"",COUNTIF(p_rates,F189)=0),"Taux de TVA hors liste (Paramètres)","OK")))))))</f>
        <v/>
      </c>
    </row>
    <row r="190">
      <c r="A190" s="145" t="n"/>
      <c r="B190" s="63" t="n"/>
      <c r="C190" s="60" t="n"/>
      <c r="D190" s="60" t="n"/>
      <c r="E190" s="68" t="n"/>
      <c r="F190" s="70" t="n"/>
      <c r="G190" s="59" t="str">
        <f>IF(COUNTA(A190:F190)=0,"",IF(A190="","Code manquant",IF(COUNTIF(pr_code,A190)&gt;1,"Code en double",IF(B190="","Désignation manquante",IF(AND(E190&lt;&gt;"",OR(NOT(ISNUMBER(E190)),N(E190)&lt;0)),"Prix invalide",IF(AND(F190&lt;&gt;"",NOT(ISNUMBER(F190))),"Taux de TVA invalide",IF(AND(F190&lt;&gt;"",COUNTIF(p_rates,F190)=0),"Taux de TVA hors liste (Paramètres)","OK")))))))</f>
        <v/>
      </c>
    </row>
    <row r="191">
      <c r="A191" s="145" t="n"/>
      <c r="B191" s="63" t="n"/>
      <c r="C191" s="60" t="n"/>
      <c r="D191" s="60" t="n"/>
      <c r="E191" s="68" t="n"/>
      <c r="F191" s="70" t="n"/>
      <c r="G191" s="59" t="str">
        <f>IF(COUNTA(A191:F191)=0,"",IF(A191="","Code manquant",IF(COUNTIF(pr_code,A191)&gt;1,"Code en double",IF(B191="","Désignation manquante",IF(AND(E191&lt;&gt;"",OR(NOT(ISNUMBER(E191)),N(E191)&lt;0)),"Prix invalide",IF(AND(F191&lt;&gt;"",NOT(ISNUMBER(F191))),"Taux de TVA invalide",IF(AND(F191&lt;&gt;"",COUNTIF(p_rates,F191)=0),"Taux de TVA hors liste (Paramètres)","OK")))))))</f>
        <v/>
      </c>
    </row>
    <row r="192">
      <c r="A192" s="145" t="n"/>
      <c r="B192" s="63" t="n"/>
      <c r="C192" s="60" t="n"/>
      <c r="D192" s="60" t="n"/>
      <c r="E192" s="68" t="n"/>
      <c r="F192" s="70" t="n"/>
      <c r="G192" s="59" t="str">
        <f>IF(COUNTA(A192:F192)=0,"",IF(A192="","Code manquant",IF(COUNTIF(pr_code,A192)&gt;1,"Code en double",IF(B192="","Désignation manquante",IF(AND(E192&lt;&gt;"",OR(NOT(ISNUMBER(E192)),N(E192)&lt;0)),"Prix invalide",IF(AND(F192&lt;&gt;"",NOT(ISNUMBER(F192))),"Taux de TVA invalide",IF(AND(F192&lt;&gt;"",COUNTIF(p_rates,F192)=0),"Taux de TVA hors liste (Paramètres)","OK")))))))</f>
        <v/>
      </c>
    </row>
    <row r="193">
      <c r="A193" s="145" t="n"/>
      <c r="B193" s="63" t="n"/>
      <c r="C193" s="60" t="n"/>
      <c r="D193" s="60" t="n"/>
      <c r="E193" s="68" t="n"/>
      <c r="F193" s="70" t="n"/>
      <c r="G193" s="59" t="str">
        <f>IF(COUNTA(A193:F193)=0,"",IF(A193="","Code manquant",IF(COUNTIF(pr_code,A193)&gt;1,"Code en double",IF(B193="","Désignation manquante",IF(AND(E193&lt;&gt;"",OR(NOT(ISNUMBER(E193)),N(E193)&lt;0)),"Prix invalide",IF(AND(F193&lt;&gt;"",NOT(ISNUMBER(F193))),"Taux de TVA invalide",IF(AND(F193&lt;&gt;"",COUNTIF(p_rates,F193)=0),"Taux de TVA hors liste (Paramètres)","OK")))))))</f>
        <v/>
      </c>
    </row>
    <row r="194">
      <c r="A194" s="145" t="n"/>
      <c r="B194" s="63" t="n"/>
      <c r="C194" s="60" t="n"/>
      <c r="D194" s="60" t="n"/>
      <c r="E194" s="68" t="n"/>
      <c r="F194" s="70" t="n"/>
      <c r="G194" s="59" t="str">
        <f>IF(COUNTA(A194:F194)=0,"",IF(A194="","Code manquant",IF(COUNTIF(pr_code,A194)&gt;1,"Code en double",IF(B194="","Désignation manquante",IF(AND(E194&lt;&gt;"",OR(NOT(ISNUMBER(E194)),N(E194)&lt;0)),"Prix invalide",IF(AND(F194&lt;&gt;"",NOT(ISNUMBER(F194))),"Taux de TVA invalide",IF(AND(F194&lt;&gt;"",COUNTIF(p_rates,F194)=0),"Taux de TVA hors liste (Paramètres)","OK")))))))</f>
        <v/>
      </c>
    </row>
    <row r="195">
      <c r="A195" s="145" t="n"/>
      <c r="B195" s="63" t="n"/>
      <c r="C195" s="60" t="n"/>
      <c r="D195" s="60" t="n"/>
      <c r="E195" s="68" t="n"/>
      <c r="F195" s="70" t="n"/>
      <c r="G195" s="59" t="str">
        <f>IF(COUNTA(A195:F195)=0,"",IF(A195="","Code manquant",IF(COUNTIF(pr_code,A195)&gt;1,"Code en double",IF(B195="","Désignation manquante",IF(AND(E195&lt;&gt;"",OR(NOT(ISNUMBER(E195)),N(E195)&lt;0)),"Prix invalide",IF(AND(F195&lt;&gt;"",NOT(ISNUMBER(F195))),"Taux de TVA invalide",IF(AND(F195&lt;&gt;"",COUNTIF(p_rates,F195)=0),"Taux de TVA hors liste (Paramètres)","OK")))))))</f>
        <v/>
      </c>
    </row>
    <row r="196">
      <c r="A196" s="145" t="n"/>
      <c r="B196" s="63" t="n"/>
      <c r="C196" s="60" t="n"/>
      <c r="D196" s="60" t="n"/>
      <c r="E196" s="68" t="n"/>
      <c r="F196" s="70" t="n"/>
      <c r="G196" s="59" t="str">
        <f>IF(COUNTA(A196:F196)=0,"",IF(A196="","Code manquant",IF(COUNTIF(pr_code,A196)&gt;1,"Code en double",IF(B196="","Désignation manquante",IF(AND(E196&lt;&gt;"",OR(NOT(ISNUMBER(E196)),N(E196)&lt;0)),"Prix invalide",IF(AND(F196&lt;&gt;"",NOT(ISNUMBER(F196))),"Taux de TVA invalide",IF(AND(F196&lt;&gt;"",COUNTIF(p_rates,F196)=0),"Taux de TVA hors liste (Paramètres)","OK")))))))</f>
        <v/>
      </c>
    </row>
    <row r="197">
      <c r="A197" s="145" t="n"/>
      <c r="B197" s="63" t="n"/>
      <c r="C197" s="60" t="n"/>
      <c r="D197" s="60" t="n"/>
      <c r="E197" s="68" t="n"/>
      <c r="F197" s="70" t="n"/>
      <c r="G197" s="59" t="str">
        <f>IF(COUNTA(A197:F197)=0,"",IF(A197="","Code manquant",IF(COUNTIF(pr_code,A197)&gt;1,"Code en double",IF(B197="","Désignation manquante",IF(AND(E197&lt;&gt;"",OR(NOT(ISNUMBER(E197)),N(E197)&lt;0)),"Prix invalide",IF(AND(F197&lt;&gt;"",NOT(ISNUMBER(F197))),"Taux de TVA invalide",IF(AND(F197&lt;&gt;"",COUNTIF(p_rates,F197)=0),"Taux de TVA hors liste (Paramètres)","OK")))))))</f>
        <v/>
      </c>
    </row>
    <row r="198">
      <c r="A198" s="145" t="n"/>
      <c r="B198" s="63" t="n"/>
      <c r="C198" s="60" t="n"/>
      <c r="D198" s="60" t="n"/>
      <c r="E198" s="68" t="n"/>
      <c r="F198" s="70" t="n"/>
      <c r="G198" s="59" t="str">
        <f>IF(COUNTA(A198:F198)=0,"",IF(A198="","Code manquant",IF(COUNTIF(pr_code,A198)&gt;1,"Code en double",IF(B198="","Désignation manquante",IF(AND(E198&lt;&gt;"",OR(NOT(ISNUMBER(E198)),N(E198)&lt;0)),"Prix invalide",IF(AND(F198&lt;&gt;"",NOT(ISNUMBER(F198))),"Taux de TVA invalide",IF(AND(F198&lt;&gt;"",COUNTIF(p_rates,F198)=0),"Taux de TVA hors liste (Paramètres)","OK")))))))</f>
        <v/>
      </c>
    </row>
    <row r="199">
      <c r="A199" s="145" t="n"/>
      <c r="B199" s="63" t="n"/>
      <c r="C199" s="60" t="n"/>
      <c r="D199" s="60" t="n"/>
      <c r="E199" s="68" t="n"/>
      <c r="F199" s="70" t="n"/>
      <c r="G199" s="59" t="str">
        <f>IF(COUNTA(A199:F199)=0,"",IF(A199="","Code manquant",IF(COUNTIF(pr_code,A199)&gt;1,"Code en double",IF(B199="","Désignation manquante",IF(AND(E199&lt;&gt;"",OR(NOT(ISNUMBER(E199)),N(E199)&lt;0)),"Prix invalide",IF(AND(F199&lt;&gt;"",NOT(ISNUMBER(F199))),"Taux de TVA invalide",IF(AND(F199&lt;&gt;"",COUNTIF(p_rates,F199)=0),"Taux de TVA hors liste (Paramètres)","OK")))))))</f>
        <v/>
      </c>
    </row>
    <row r="200">
      <c r="A200" s="145" t="n"/>
      <c r="B200" s="63" t="n"/>
      <c r="C200" s="60" t="n"/>
      <c r="D200" s="60" t="n"/>
      <c r="E200" s="68" t="n"/>
      <c r="F200" s="70" t="n"/>
      <c r="G200" s="59" t="str">
        <f>IF(COUNTA(A200:F200)=0,"",IF(A200="","Code manquant",IF(COUNTIF(pr_code,A200)&gt;1,"Code en double",IF(B200="","Désignation manquante",IF(AND(E200&lt;&gt;"",OR(NOT(ISNUMBER(E200)),N(E200)&lt;0)),"Prix invalide",IF(AND(F200&lt;&gt;"",NOT(ISNUMBER(F200))),"Taux de TVA invalide",IF(AND(F200&lt;&gt;"",COUNTIF(p_rates,F200)=0),"Taux de TVA hors liste (Paramètres)","OK")))))))</f>
        <v/>
      </c>
    </row>
    <row r="201">
      <c r="A201" s="145" t="n"/>
      <c r="B201" s="63" t="n"/>
      <c r="C201" s="60" t="n"/>
      <c r="D201" s="60" t="n"/>
      <c r="E201" s="68" t="n"/>
      <c r="F201" s="70" t="n"/>
      <c r="G201" s="59" t="str">
        <f>IF(COUNTA(A201:F201)=0,"",IF(A201="","Code manquant",IF(COUNTIF(pr_code,A201)&gt;1,"Code en double",IF(B201="","Désignation manquante",IF(AND(E201&lt;&gt;"",OR(NOT(ISNUMBER(E201)),N(E201)&lt;0)),"Prix invalide",IF(AND(F201&lt;&gt;"",NOT(ISNUMBER(F201))),"Taux de TVA invalide",IF(AND(F201&lt;&gt;"",COUNTIF(p_rates,F201)=0),"Taux de TVA hors liste (Paramètres)","OK")))))))</f>
        <v/>
      </c>
    </row>
    <row r="202">
      <c r="A202" s="145" t="n"/>
      <c r="B202" s="63" t="n"/>
      <c r="C202" s="60" t="n"/>
      <c r="D202" s="60" t="n"/>
      <c r="E202" s="68" t="n"/>
      <c r="F202" s="70" t="n"/>
      <c r="G202" s="59" t="str">
        <f>IF(COUNTA(A202:F202)=0,"",IF(A202="","Code manquant",IF(COUNTIF(pr_code,A202)&gt;1,"Code en double",IF(B202="","Désignation manquante",IF(AND(E202&lt;&gt;"",OR(NOT(ISNUMBER(E202)),N(E202)&lt;0)),"Prix invalide",IF(AND(F202&lt;&gt;"",NOT(ISNUMBER(F202))),"Taux de TVA invalide",IF(AND(F202&lt;&gt;"",COUNTIF(p_rates,F202)=0),"Taux de TVA hors liste (Paramètres)","OK")))))))</f>
        <v/>
      </c>
    </row>
    <row r="203">
      <c r="A203" s="145" t="n"/>
      <c r="B203" s="63" t="n"/>
      <c r="C203" s="60" t="n"/>
      <c r="D203" s="60" t="n"/>
      <c r="E203" s="68" t="n"/>
      <c r="F203" s="70" t="n"/>
      <c r="G203" s="59" t="str">
        <f>IF(COUNTA(A203:F203)=0,"",IF(A203="","Code manquant",IF(COUNTIF(pr_code,A203)&gt;1,"Code en double",IF(B203="","Désignation manquante",IF(AND(E203&lt;&gt;"",OR(NOT(ISNUMBER(E203)),N(E203)&lt;0)),"Prix invalide",IF(AND(F203&lt;&gt;"",NOT(ISNUMBER(F203))),"Taux de TVA invalide",IF(AND(F203&lt;&gt;"",COUNTIF(p_rates,F203)=0),"Taux de TVA hors liste (Paramètres)","OK")))))))</f>
        <v/>
      </c>
    </row>
    <row r="204">
      <c r="A204" s="145" t="n"/>
      <c r="B204" s="63" t="n"/>
      <c r="C204" s="60" t="n"/>
      <c r="D204" s="60" t="n"/>
      <c r="E204" s="68" t="n"/>
      <c r="F204" s="70" t="n"/>
      <c r="G204" s="59" t="str">
        <f>IF(COUNTA(A204:F204)=0,"",IF(A204="","Code manquant",IF(COUNTIF(pr_code,A204)&gt;1,"Code en double",IF(B204="","Désignation manquante",IF(AND(E204&lt;&gt;"",OR(NOT(ISNUMBER(E204)),N(E204)&lt;0)),"Prix invalide",IF(AND(F204&lt;&gt;"",NOT(ISNUMBER(F204))),"Taux de TVA invalide",IF(AND(F204&lt;&gt;"",COUNTIF(p_rates,F204)=0),"Taux de TVA hors liste (Paramètres)","OK")))))))</f>
        <v/>
      </c>
    </row>
    <row r="205">
      <c r="A205" s="145" t="n"/>
      <c r="B205" s="63" t="n"/>
      <c r="C205" s="60" t="n"/>
      <c r="D205" s="60" t="n"/>
      <c r="E205" s="68" t="n"/>
      <c r="F205" s="70" t="n"/>
      <c r="G205" s="59" t="str">
        <f>IF(COUNTA(A205:F205)=0,"",IF(A205="","Code manquant",IF(COUNTIF(pr_code,A205)&gt;1,"Code en double",IF(B205="","Désignation manquante",IF(AND(E205&lt;&gt;"",OR(NOT(ISNUMBER(E205)),N(E205)&lt;0)),"Prix invalide",IF(AND(F205&lt;&gt;"",NOT(ISNUMBER(F205))),"Taux de TVA invalide",IF(AND(F205&lt;&gt;"",COUNTIF(p_rates,F205)=0),"Taux de TVA hors liste (Paramètres)","OK")))))))</f>
        <v/>
      </c>
    </row>
    <row r="206">
      <c r="A206" s="145" t="n"/>
      <c r="B206" s="63" t="n"/>
      <c r="C206" s="60" t="n"/>
      <c r="D206" s="60" t="n"/>
      <c r="E206" s="68" t="n"/>
      <c r="F206" s="70" t="n"/>
      <c r="G206" s="59" t="str">
        <f>IF(COUNTA(A206:F206)=0,"",IF(A206="","Code manquant",IF(COUNTIF(pr_code,A206)&gt;1,"Code en double",IF(B206="","Désignation manquante",IF(AND(E206&lt;&gt;"",OR(NOT(ISNUMBER(E206)),N(E206)&lt;0)),"Prix invalide",IF(AND(F206&lt;&gt;"",NOT(ISNUMBER(F206))),"Taux de TVA invalide",IF(AND(F206&lt;&gt;"",COUNTIF(p_rates,F206)=0),"Taux de TVA hors liste (Paramètres)","OK")))))))</f>
        <v/>
      </c>
    </row>
    <row r="207">
      <c r="A207" s="145" t="n"/>
      <c r="B207" s="63" t="n"/>
      <c r="C207" s="60" t="n"/>
      <c r="D207" s="60" t="n"/>
      <c r="E207" s="68" t="n"/>
      <c r="F207" s="70" t="n"/>
      <c r="G207" s="59" t="str">
        <f>IF(COUNTA(A207:F207)=0,"",IF(A207="","Code manquant",IF(COUNTIF(pr_code,A207)&gt;1,"Code en double",IF(B207="","Désignation manquante",IF(AND(E207&lt;&gt;"",OR(NOT(ISNUMBER(E207)),N(E207)&lt;0)),"Prix invalide",IF(AND(F207&lt;&gt;"",NOT(ISNUMBER(F207))),"Taux de TVA invalide",IF(AND(F207&lt;&gt;"",COUNTIF(p_rates,F207)=0),"Taux de TVA hors liste (Paramètres)","OK")))))))</f>
        <v/>
      </c>
    </row>
    <row r="208">
      <c r="A208" s="145" t="n"/>
      <c r="B208" s="63" t="n"/>
      <c r="C208" s="60" t="n"/>
      <c r="D208" s="60" t="n"/>
      <c r="E208" s="68" t="n"/>
      <c r="F208" s="70" t="n"/>
      <c r="G208" s="59" t="str">
        <f>IF(COUNTA(A208:F208)=0,"",IF(A208="","Code manquant",IF(COUNTIF(pr_code,A208)&gt;1,"Code en double",IF(B208="","Désignation manquante",IF(AND(E208&lt;&gt;"",OR(NOT(ISNUMBER(E208)),N(E208)&lt;0)),"Prix invalide",IF(AND(F208&lt;&gt;"",NOT(ISNUMBER(F208))),"Taux de TVA invalide",IF(AND(F208&lt;&gt;"",COUNTIF(p_rates,F208)=0),"Taux de TVA hors liste (Paramètres)","OK")))))))</f>
        <v/>
      </c>
    </row>
    <row r="209">
      <c r="A209" s="145" t="n"/>
      <c r="B209" s="63" t="n"/>
      <c r="C209" s="60" t="n"/>
      <c r="D209" s="60" t="n"/>
      <c r="E209" s="68" t="n"/>
      <c r="F209" s="70" t="n"/>
      <c r="G209" s="59" t="str">
        <f>IF(COUNTA(A209:F209)=0,"",IF(A209="","Code manquant",IF(COUNTIF(pr_code,A209)&gt;1,"Code en double",IF(B209="","Désignation manquante",IF(AND(E209&lt;&gt;"",OR(NOT(ISNUMBER(E209)),N(E209)&lt;0)),"Prix invalide",IF(AND(F209&lt;&gt;"",NOT(ISNUMBER(F209))),"Taux de TVA invalide",IF(AND(F209&lt;&gt;"",COUNTIF(p_rates,F209)=0),"Taux de TVA hors liste (Paramètres)","OK")))))))</f>
        <v/>
      </c>
    </row>
    <row r="210">
      <c r="A210" s="145" t="n"/>
      <c r="B210" s="63" t="n"/>
      <c r="C210" s="60" t="n"/>
      <c r="D210" s="60" t="n"/>
      <c r="E210" s="68" t="n"/>
      <c r="F210" s="70" t="n"/>
      <c r="G210" s="59" t="str">
        <f>IF(COUNTA(A210:F210)=0,"",IF(A210="","Code manquant",IF(COUNTIF(pr_code,A210)&gt;1,"Code en double",IF(B210="","Désignation manquante",IF(AND(E210&lt;&gt;"",OR(NOT(ISNUMBER(E210)),N(E210)&lt;0)),"Prix invalide",IF(AND(F210&lt;&gt;"",NOT(ISNUMBER(F210))),"Taux de TVA invalide",IF(AND(F210&lt;&gt;"",COUNTIF(p_rates,F210)=0),"Taux de TVA hors liste (Paramètres)","OK")))))))</f>
        <v/>
      </c>
    </row>
    <row r="211">
      <c r="A211" s="145" t="n"/>
      <c r="B211" s="63" t="n"/>
      <c r="C211" s="60" t="n"/>
      <c r="D211" s="60" t="n"/>
      <c r="E211" s="68" t="n"/>
      <c r="F211" s="70" t="n"/>
      <c r="G211" s="59" t="str">
        <f>IF(COUNTA(A211:F211)=0,"",IF(A211="","Code manquant",IF(COUNTIF(pr_code,A211)&gt;1,"Code en double",IF(B211="","Désignation manquante",IF(AND(E211&lt;&gt;"",OR(NOT(ISNUMBER(E211)),N(E211)&lt;0)),"Prix invalide",IF(AND(F211&lt;&gt;"",NOT(ISNUMBER(F211))),"Taux de TVA invalide",IF(AND(F211&lt;&gt;"",COUNTIF(p_rates,F211)=0),"Taux de TVA hors liste (Paramètres)","OK")))))))</f>
        <v/>
      </c>
    </row>
    <row r="212">
      <c r="A212" s="145" t="n"/>
      <c r="B212" s="63" t="n"/>
      <c r="C212" s="60" t="n"/>
      <c r="D212" s="60" t="n"/>
      <c r="E212" s="68" t="n"/>
      <c r="F212" s="70" t="n"/>
      <c r="G212" s="59" t="str">
        <f>IF(COUNTA(A212:F212)=0,"",IF(A212="","Code manquant",IF(COUNTIF(pr_code,A212)&gt;1,"Code en double",IF(B212="","Désignation manquante",IF(AND(E212&lt;&gt;"",OR(NOT(ISNUMBER(E212)),N(E212)&lt;0)),"Prix invalide",IF(AND(F212&lt;&gt;"",NOT(ISNUMBER(F212))),"Taux de TVA invalide",IF(AND(F212&lt;&gt;"",COUNTIF(p_rates,F212)=0),"Taux de TVA hors liste (Paramètres)","OK")))))))</f>
        <v/>
      </c>
    </row>
    <row r="213">
      <c r="A213" s="145" t="n"/>
      <c r="B213" s="63" t="n"/>
      <c r="C213" s="60" t="n"/>
      <c r="D213" s="60" t="n"/>
      <c r="E213" s="68" t="n"/>
      <c r="F213" s="70" t="n"/>
      <c r="G213" s="59" t="str">
        <f>IF(COUNTA(A213:F213)=0,"",IF(A213="","Code manquant",IF(COUNTIF(pr_code,A213)&gt;1,"Code en double",IF(B213="","Désignation manquante",IF(AND(E213&lt;&gt;"",OR(NOT(ISNUMBER(E213)),N(E213)&lt;0)),"Prix invalide",IF(AND(F213&lt;&gt;"",NOT(ISNUMBER(F213))),"Taux de TVA invalide",IF(AND(F213&lt;&gt;"",COUNTIF(p_rates,F213)=0),"Taux de TVA hors liste (Paramètres)","OK")))))))</f>
        <v/>
      </c>
    </row>
    <row r="214">
      <c r="A214" s="145" t="n"/>
      <c r="B214" s="63" t="n"/>
      <c r="C214" s="60" t="n"/>
      <c r="D214" s="60" t="n"/>
      <c r="E214" s="68" t="n"/>
      <c r="F214" s="70" t="n"/>
      <c r="G214" s="59" t="str">
        <f>IF(COUNTA(A214:F214)=0,"",IF(A214="","Code manquant",IF(COUNTIF(pr_code,A214)&gt;1,"Code en double",IF(B214="","Désignation manquante",IF(AND(E214&lt;&gt;"",OR(NOT(ISNUMBER(E214)),N(E214)&lt;0)),"Prix invalide",IF(AND(F214&lt;&gt;"",NOT(ISNUMBER(F214))),"Taux de TVA invalide",IF(AND(F214&lt;&gt;"",COUNTIF(p_rates,F214)=0),"Taux de TVA hors liste (Paramètres)","OK")))))))</f>
        <v/>
      </c>
    </row>
    <row r="215">
      <c r="A215" s="145" t="n"/>
      <c r="B215" s="63" t="n"/>
      <c r="C215" s="60" t="n"/>
      <c r="D215" s="60" t="n"/>
      <c r="E215" s="68" t="n"/>
      <c r="F215" s="70" t="n"/>
      <c r="G215" s="59" t="str">
        <f>IF(COUNTA(A215:F215)=0,"",IF(A215="","Code manquant",IF(COUNTIF(pr_code,A215)&gt;1,"Code en double",IF(B215="","Désignation manquante",IF(AND(E215&lt;&gt;"",OR(NOT(ISNUMBER(E215)),N(E215)&lt;0)),"Prix invalide",IF(AND(F215&lt;&gt;"",NOT(ISNUMBER(F215))),"Taux de TVA invalide",IF(AND(F215&lt;&gt;"",COUNTIF(p_rates,F215)=0),"Taux de TVA hors liste (Paramètres)","OK")))))))</f>
        <v/>
      </c>
    </row>
    <row r="216">
      <c r="A216" s="145" t="n"/>
      <c r="B216" s="63" t="n"/>
      <c r="C216" s="60" t="n"/>
      <c r="D216" s="60" t="n"/>
      <c r="E216" s="68" t="n"/>
      <c r="F216" s="70" t="n"/>
      <c r="G216" s="59" t="str">
        <f>IF(COUNTA(A216:F216)=0,"",IF(A216="","Code manquant",IF(COUNTIF(pr_code,A216)&gt;1,"Code en double",IF(B216="","Désignation manquante",IF(AND(E216&lt;&gt;"",OR(NOT(ISNUMBER(E216)),N(E216)&lt;0)),"Prix invalide",IF(AND(F216&lt;&gt;"",NOT(ISNUMBER(F216))),"Taux de TVA invalide",IF(AND(F216&lt;&gt;"",COUNTIF(p_rates,F216)=0),"Taux de TVA hors liste (Paramètres)","OK")))))))</f>
        <v/>
      </c>
    </row>
    <row r="217">
      <c r="A217" s="145" t="n"/>
      <c r="B217" s="63" t="n"/>
      <c r="C217" s="60" t="n"/>
      <c r="D217" s="60" t="n"/>
      <c r="E217" s="68" t="n"/>
      <c r="F217" s="70" t="n"/>
      <c r="G217" s="59" t="str">
        <f>IF(COUNTA(A217:F217)=0,"",IF(A217="","Code manquant",IF(COUNTIF(pr_code,A217)&gt;1,"Code en double",IF(B217="","Désignation manquante",IF(AND(E217&lt;&gt;"",OR(NOT(ISNUMBER(E217)),N(E217)&lt;0)),"Prix invalide",IF(AND(F217&lt;&gt;"",NOT(ISNUMBER(F217))),"Taux de TVA invalide",IF(AND(F217&lt;&gt;"",COUNTIF(p_rates,F217)=0),"Taux de TVA hors liste (Paramètres)","OK")))))))</f>
        <v/>
      </c>
    </row>
    <row r="218">
      <c r="A218" s="145" t="n"/>
      <c r="B218" s="63" t="n"/>
      <c r="C218" s="60" t="n"/>
      <c r="D218" s="60" t="n"/>
      <c r="E218" s="68" t="n"/>
      <c r="F218" s="70" t="n"/>
      <c r="G218" s="59" t="str">
        <f>IF(COUNTA(A218:F218)=0,"",IF(A218="","Code manquant",IF(COUNTIF(pr_code,A218)&gt;1,"Code en double",IF(B218="","Désignation manquante",IF(AND(E218&lt;&gt;"",OR(NOT(ISNUMBER(E218)),N(E218)&lt;0)),"Prix invalide",IF(AND(F218&lt;&gt;"",NOT(ISNUMBER(F218))),"Taux de TVA invalide",IF(AND(F218&lt;&gt;"",COUNTIF(p_rates,F218)=0),"Taux de TVA hors liste (Paramètres)","OK")))))))</f>
        <v/>
      </c>
    </row>
    <row r="219">
      <c r="A219" s="145" t="n"/>
      <c r="B219" s="63" t="n"/>
      <c r="C219" s="60" t="n"/>
      <c r="D219" s="60" t="n"/>
      <c r="E219" s="68" t="n"/>
      <c r="F219" s="70" t="n"/>
      <c r="G219" s="59" t="str">
        <f>IF(COUNTA(A219:F219)=0,"",IF(A219="","Code manquant",IF(COUNTIF(pr_code,A219)&gt;1,"Code en double",IF(B219="","Désignation manquante",IF(AND(E219&lt;&gt;"",OR(NOT(ISNUMBER(E219)),N(E219)&lt;0)),"Prix invalide",IF(AND(F219&lt;&gt;"",NOT(ISNUMBER(F219))),"Taux de TVA invalide",IF(AND(F219&lt;&gt;"",COUNTIF(p_rates,F219)=0),"Taux de TVA hors liste (Paramètres)","OK")))))))</f>
        <v/>
      </c>
    </row>
    <row r="220">
      <c r="A220" s="145" t="n"/>
      <c r="B220" s="63" t="n"/>
      <c r="C220" s="60" t="n"/>
      <c r="D220" s="60" t="n"/>
      <c r="E220" s="68" t="n"/>
      <c r="F220" s="70" t="n"/>
      <c r="G220" s="59" t="str">
        <f>IF(COUNTA(A220:F220)=0,"",IF(A220="","Code manquant",IF(COUNTIF(pr_code,A220)&gt;1,"Code en double",IF(B220="","Désignation manquante",IF(AND(E220&lt;&gt;"",OR(NOT(ISNUMBER(E220)),N(E220)&lt;0)),"Prix invalide",IF(AND(F220&lt;&gt;"",NOT(ISNUMBER(F220))),"Taux de TVA invalide",IF(AND(F220&lt;&gt;"",COUNTIF(p_rates,F220)=0),"Taux de TVA hors liste (Paramètres)","OK")))))))</f>
        <v/>
      </c>
    </row>
    <row r="221">
      <c r="A221" s="145" t="n"/>
      <c r="B221" s="63" t="n"/>
      <c r="C221" s="60" t="n"/>
      <c r="D221" s="60" t="n"/>
      <c r="E221" s="68" t="n"/>
      <c r="F221" s="70" t="n"/>
      <c r="G221" s="59" t="str">
        <f>IF(COUNTA(A221:F221)=0,"",IF(A221="","Code manquant",IF(COUNTIF(pr_code,A221)&gt;1,"Code en double",IF(B221="","Désignation manquante",IF(AND(E221&lt;&gt;"",OR(NOT(ISNUMBER(E221)),N(E221)&lt;0)),"Prix invalide",IF(AND(F221&lt;&gt;"",NOT(ISNUMBER(F221))),"Taux de TVA invalide",IF(AND(F221&lt;&gt;"",COUNTIF(p_rates,F221)=0),"Taux de TVA hors liste (Paramètres)","OK")))))))</f>
        <v/>
      </c>
    </row>
    <row r="222">
      <c r="A222" s="145" t="n"/>
      <c r="B222" s="63" t="n"/>
      <c r="C222" s="60" t="n"/>
      <c r="D222" s="60" t="n"/>
      <c r="E222" s="68" t="n"/>
      <c r="F222" s="70" t="n"/>
      <c r="G222" s="59" t="str">
        <f>IF(COUNTA(A222:F222)=0,"",IF(A222="","Code manquant",IF(COUNTIF(pr_code,A222)&gt;1,"Code en double",IF(B222="","Désignation manquante",IF(AND(E222&lt;&gt;"",OR(NOT(ISNUMBER(E222)),N(E222)&lt;0)),"Prix invalide",IF(AND(F222&lt;&gt;"",NOT(ISNUMBER(F222))),"Taux de TVA invalide",IF(AND(F222&lt;&gt;"",COUNTIF(p_rates,F222)=0),"Taux de TVA hors liste (Paramètres)","OK")))))))</f>
        <v/>
      </c>
    </row>
    <row r="223">
      <c r="A223" s="145" t="n"/>
      <c r="B223" s="63" t="n"/>
      <c r="C223" s="60" t="n"/>
      <c r="D223" s="60" t="n"/>
      <c r="E223" s="68" t="n"/>
      <c r="F223" s="70" t="n"/>
      <c r="G223" s="59" t="str">
        <f>IF(COUNTA(A223:F223)=0,"",IF(A223="","Code manquant",IF(COUNTIF(pr_code,A223)&gt;1,"Code en double",IF(B223="","Désignation manquante",IF(AND(E223&lt;&gt;"",OR(NOT(ISNUMBER(E223)),N(E223)&lt;0)),"Prix invalide",IF(AND(F223&lt;&gt;"",NOT(ISNUMBER(F223))),"Taux de TVA invalide",IF(AND(F223&lt;&gt;"",COUNTIF(p_rates,F223)=0),"Taux de TVA hors liste (Paramètres)","OK")))))))</f>
        <v/>
      </c>
    </row>
    <row r="224">
      <c r="A224" s="145" t="n"/>
      <c r="B224" s="63" t="n"/>
      <c r="C224" s="60" t="n"/>
      <c r="D224" s="60" t="n"/>
      <c r="E224" s="68" t="n"/>
      <c r="F224" s="70" t="n"/>
      <c r="G224" s="59" t="str">
        <f>IF(COUNTA(A224:F224)=0,"",IF(A224="","Code manquant",IF(COUNTIF(pr_code,A224)&gt;1,"Code en double",IF(B224="","Désignation manquante",IF(AND(E224&lt;&gt;"",OR(NOT(ISNUMBER(E224)),N(E224)&lt;0)),"Prix invalide",IF(AND(F224&lt;&gt;"",NOT(ISNUMBER(F224))),"Taux de TVA invalide",IF(AND(F224&lt;&gt;"",COUNTIF(p_rates,F224)=0),"Taux de TVA hors liste (Paramètres)","OK")))))))</f>
        <v/>
      </c>
    </row>
    <row r="225">
      <c r="A225" s="145" t="n"/>
      <c r="B225" s="63" t="n"/>
      <c r="C225" s="60" t="n"/>
      <c r="D225" s="60" t="n"/>
      <c r="E225" s="68" t="n"/>
      <c r="F225" s="70" t="n"/>
      <c r="G225" s="59" t="str">
        <f>IF(COUNTA(A225:F225)=0,"",IF(A225="","Code manquant",IF(COUNTIF(pr_code,A225)&gt;1,"Code en double",IF(B225="","Désignation manquante",IF(AND(E225&lt;&gt;"",OR(NOT(ISNUMBER(E225)),N(E225)&lt;0)),"Prix invalide",IF(AND(F225&lt;&gt;"",NOT(ISNUMBER(F225))),"Taux de TVA invalide",IF(AND(F225&lt;&gt;"",COUNTIF(p_rates,F225)=0),"Taux de TVA hors liste (Paramètres)","OK")))))))</f>
        <v/>
      </c>
    </row>
    <row r="226">
      <c r="A226" s="145" t="n"/>
      <c r="B226" s="63" t="n"/>
      <c r="C226" s="60" t="n"/>
      <c r="D226" s="60" t="n"/>
      <c r="E226" s="68" t="n"/>
      <c r="F226" s="70" t="n"/>
      <c r="G226" s="59" t="str">
        <f>IF(COUNTA(A226:F226)=0,"",IF(A226="","Code manquant",IF(COUNTIF(pr_code,A226)&gt;1,"Code en double",IF(B226="","Désignation manquante",IF(AND(E226&lt;&gt;"",OR(NOT(ISNUMBER(E226)),N(E226)&lt;0)),"Prix invalide",IF(AND(F226&lt;&gt;"",NOT(ISNUMBER(F226))),"Taux de TVA invalide",IF(AND(F226&lt;&gt;"",COUNTIF(p_rates,F226)=0),"Taux de TVA hors liste (Paramètres)","OK")))))))</f>
        <v/>
      </c>
    </row>
    <row r="227">
      <c r="A227" s="145" t="n"/>
      <c r="B227" s="63" t="n"/>
      <c r="C227" s="60" t="n"/>
      <c r="D227" s="60" t="n"/>
      <c r="E227" s="68" t="n"/>
      <c r="F227" s="70" t="n"/>
      <c r="G227" s="59" t="str">
        <f>IF(COUNTA(A227:F227)=0,"",IF(A227="","Code manquant",IF(COUNTIF(pr_code,A227)&gt;1,"Code en double",IF(B227="","Désignation manquante",IF(AND(E227&lt;&gt;"",OR(NOT(ISNUMBER(E227)),N(E227)&lt;0)),"Prix invalide",IF(AND(F227&lt;&gt;"",NOT(ISNUMBER(F227))),"Taux de TVA invalide",IF(AND(F227&lt;&gt;"",COUNTIF(p_rates,F227)=0),"Taux de TVA hors liste (Paramètres)","OK")))))))</f>
        <v/>
      </c>
    </row>
    <row r="228">
      <c r="A228" s="145" t="n"/>
      <c r="B228" s="63" t="n"/>
      <c r="C228" s="60" t="n"/>
      <c r="D228" s="60" t="n"/>
      <c r="E228" s="68" t="n"/>
      <c r="F228" s="70" t="n"/>
      <c r="G228" s="59" t="str">
        <f>IF(COUNTA(A228:F228)=0,"",IF(A228="","Code manquant",IF(COUNTIF(pr_code,A228)&gt;1,"Code en double",IF(B228="","Désignation manquante",IF(AND(E228&lt;&gt;"",OR(NOT(ISNUMBER(E228)),N(E228)&lt;0)),"Prix invalide",IF(AND(F228&lt;&gt;"",NOT(ISNUMBER(F228))),"Taux de TVA invalide",IF(AND(F228&lt;&gt;"",COUNTIF(p_rates,F228)=0),"Taux de TVA hors liste (Paramètres)","OK")))))))</f>
        <v/>
      </c>
    </row>
    <row r="229">
      <c r="A229" s="145" t="n"/>
      <c r="B229" s="63" t="n"/>
      <c r="C229" s="60" t="n"/>
      <c r="D229" s="60" t="n"/>
      <c r="E229" s="68" t="n"/>
      <c r="F229" s="70" t="n"/>
      <c r="G229" s="59" t="str">
        <f>IF(COUNTA(A229:F229)=0,"",IF(A229="","Code manquant",IF(COUNTIF(pr_code,A229)&gt;1,"Code en double",IF(B229="","Désignation manquante",IF(AND(E229&lt;&gt;"",OR(NOT(ISNUMBER(E229)),N(E229)&lt;0)),"Prix invalide",IF(AND(F229&lt;&gt;"",NOT(ISNUMBER(F229))),"Taux de TVA invalide",IF(AND(F229&lt;&gt;"",COUNTIF(p_rates,F229)=0),"Taux de TVA hors liste (Paramètres)","OK")))))))</f>
        <v/>
      </c>
    </row>
    <row r="230">
      <c r="A230" s="145" t="n"/>
      <c r="B230" s="63" t="n"/>
      <c r="C230" s="60" t="n"/>
      <c r="D230" s="60" t="n"/>
      <c r="E230" s="68" t="n"/>
      <c r="F230" s="70" t="n"/>
      <c r="G230" s="59" t="str">
        <f>IF(COUNTA(A230:F230)=0,"",IF(A230="","Code manquant",IF(COUNTIF(pr_code,A230)&gt;1,"Code en double",IF(B230="","Désignation manquante",IF(AND(E230&lt;&gt;"",OR(NOT(ISNUMBER(E230)),N(E230)&lt;0)),"Prix invalide",IF(AND(F230&lt;&gt;"",NOT(ISNUMBER(F230))),"Taux de TVA invalide",IF(AND(F230&lt;&gt;"",COUNTIF(p_rates,F230)=0),"Taux de TVA hors liste (Paramètres)","OK")))))))</f>
        <v/>
      </c>
    </row>
    <row r="231">
      <c r="A231" s="145" t="n"/>
      <c r="B231" s="63" t="n"/>
      <c r="C231" s="60" t="n"/>
      <c r="D231" s="60" t="n"/>
      <c r="E231" s="68" t="n"/>
      <c r="F231" s="70" t="n"/>
      <c r="G231" s="59" t="str">
        <f>IF(COUNTA(A231:F231)=0,"",IF(A231="","Code manquant",IF(COUNTIF(pr_code,A231)&gt;1,"Code en double",IF(B231="","Désignation manquante",IF(AND(E231&lt;&gt;"",OR(NOT(ISNUMBER(E231)),N(E231)&lt;0)),"Prix invalide",IF(AND(F231&lt;&gt;"",NOT(ISNUMBER(F231))),"Taux de TVA invalide",IF(AND(F231&lt;&gt;"",COUNTIF(p_rates,F231)=0),"Taux de TVA hors liste (Paramètres)","OK")))))))</f>
        <v/>
      </c>
    </row>
    <row r="232">
      <c r="A232" s="145" t="n"/>
      <c r="B232" s="63" t="n"/>
      <c r="C232" s="60" t="n"/>
      <c r="D232" s="60" t="n"/>
      <c r="E232" s="68" t="n"/>
      <c r="F232" s="70" t="n"/>
      <c r="G232" s="59" t="str">
        <f>IF(COUNTA(A232:F232)=0,"",IF(A232="","Code manquant",IF(COUNTIF(pr_code,A232)&gt;1,"Code en double",IF(B232="","Désignation manquante",IF(AND(E232&lt;&gt;"",OR(NOT(ISNUMBER(E232)),N(E232)&lt;0)),"Prix invalide",IF(AND(F232&lt;&gt;"",NOT(ISNUMBER(F232))),"Taux de TVA invalide",IF(AND(F232&lt;&gt;"",COUNTIF(p_rates,F232)=0),"Taux de TVA hors liste (Paramètres)","OK")))))))</f>
        <v/>
      </c>
    </row>
    <row r="233">
      <c r="A233" s="145" t="n"/>
      <c r="B233" s="63" t="n"/>
      <c r="C233" s="60" t="n"/>
      <c r="D233" s="60" t="n"/>
      <c r="E233" s="68" t="n"/>
      <c r="F233" s="70" t="n"/>
      <c r="G233" s="59" t="str">
        <f>IF(COUNTA(A233:F233)=0,"",IF(A233="","Code manquant",IF(COUNTIF(pr_code,A233)&gt;1,"Code en double",IF(B233="","Désignation manquante",IF(AND(E233&lt;&gt;"",OR(NOT(ISNUMBER(E233)),N(E233)&lt;0)),"Prix invalide",IF(AND(F233&lt;&gt;"",NOT(ISNUMBER(F233))),"Taux de TVA invalide",IF(AND(F233&lt;&gt;"",COUNTIF(p_rates,F233)=0),"Taux de TVA hors liste (Paramètres)","OK")))))))</f>
        <v/>
      </c>
    </row>
    <row r="234">
      <c r="A234" s="145" t="n"/>
      <c r="B234" s="63" t="n"/>
      <c r="C234" s="60" t="n"/>
      <c r="D234" s="60" t="n"/>
      <c r="E234" s="68" t="n"/>
      <c r="F234" s="70" t="n"/>
      <c r="G234" s="59" t="str">
        <f>IF(COUNTA(A234:F234)=0,"",IF(A234="","Code manquant",IF(COUNTIF(pr_code,A234)&gt;1,"Code en double",IF(B234="","Désignation manquante",IF(AND(E234&lt;&gt;"",OR(NOT(ISNUMBER(E234)),N(E234)&lt;0)),"Prix invalide",IF(AND(F234&lt;&gt;"",NOT(ISNUMBER(F234))),"Taux de TVA invalide",IF(AND(F234&lt;&gt;"",COUNTIF(p_rates,F234)=0),"Taux de TVA hors liste (Paramètres)","OK")))))))</f>
        <v/>
      </c>
    </row>
    <row r="235">
      <c r="A235" s="145" t="n"/>
      <c r="B235" s="63" t="n"/>
      <c r="C235" s="60" t="n"/>
      <c r="D235" s="60" t="n"/>
      <c r="E235" s="68" t="n"/>
      <c r="F235" s="70" t="n"/>
      <c r="G235" s="59" t="str">
        <f>IF(COUNTA(A235:F235)=0,"",IF(A235="","Code manquant",IF(COUNTIF(pr_code,A235)&gt;1,"Code en double",IF(B235="","Désignation manquante",IF(AND(E235&lt;&gt;"",OR(NOT(ISNUMBER(E235)),N(E235)&lt;0)),"Prix invalide",IF(AND(F235&lt;&gt;"",NOT(ISNUMBER(F235))),"Taux de TVA invalide",IF(AND(F235&lt;&gt;"",COUNTIF(p_rates,F235)=0),"Taux de TVA hors liste (Paramètres)","OK")))))))</f>
        <v/>
      </c>
    </row>
    <row r="236">
      <c r="A236" s="145" t="n"/>
      <c r="B236" s="63" t="n"/>
      <c r="C236" s="60" t="n"/>
      <c r="D236" s="60" t="n"/>
      <c r="E236" s="68" t="n"/>
      <c r="F236" s="70" t="n"/>
      <c r="G236" s="59" t="str">
        <f>IF(COUNTA(A236:F236)=0,"",IF(A236="","Code manquant",IF(COUNTIF(pr_code,A236)&gt;1,"Code en double",IF(B236="","Désignation manquante",IF(AND(E236&lt;&gt;"",OR(NOT(ISNUMBER(E236)),N(E236)&lt;0)),"Prix invalide",IF(AND(F236&lt;&gt;"",NOT(ISNUMBER(F236))),"Taux de TVA invalide",IF(AND(F236&lt;&gt;"",COUNTIF(p_rates,F236)=0),"Taux de TVA hors liste (Paramètres)","OK")))))))</f>
        <v/>
      </c>
    </row>
    <row r="237">
      <c r="A237" s="145" t="n"/>
      <c r="B237" s="63" t="n"/>
      <c r="C237" s="60" t="n"/>
      <c r="D237" s="60" t="n"/>
      <c r="E237" s="68" t="n"/>
      <c r="F237" s="70" t="n"/>
      <c r="G237" s="59" t="str">
        <f>IF(COUNTA(A237:F237)=0,"",IF(A237="","Code manquant",IF(COUNTIF(pr_code,A237)&gt;1,"Code en double",IF(B237="","Désignation manquante",IF(AND(E237&lt;&gt;"",OR(NOT(ISNUMBER(E237)),N(E237)&lt;0)),"Prix invalide",IF(AND(F237&lt;&gt;"",NOT(ISNUMBER(F237))),"Taux de TVA invalide",IF(AND(F237&lt;&gt;"",COUNTIF(p_rates,F237)=0),"Taux de TVA hors liste (Paramètres)","OK")))))))</f>
        <v/>
      </c>
    </row>
    <row r="238">
      <c r="A238" s="145" t="n"/>
      <c r="B238" s="63" t="n"/>
      <c r="C238" s="60" t="n"/>
      <c r="D238" s="60" t="n"/>
      <c r="E238" s="68" t="n"/>
      <c r="F238" s="70" t="n"/>
      <c r="G238" s="59" t="str">
        <f>IF(COUNTA(A238:F238)=0,"",IF(A238="","Code manquant",IF(COUNTIF(pr_code,A238)&gt;1,"Code en double",IF(B238="","Désignation manquante",IF(AND(E238&lt;&gt;"",OR(NOT(ISNUMBER(E238)),N(E238)&lt;0)),"Prix invalide",IF(AND(F238&lt;&gt;"",NOT(ISNUMBER(F238))),"Taux de TVA invalide",IF(AND(F238&lt;&gt;"",COUNTIF(p_rates,F238)=0),"Taux de TVA hors liste (Paramètres)","OK")))))))</f>
        <v/>
      </c>
    </row>
    <row r="239">
      <c r="A239" s="145" t="n"/>
      <c r="B239" s="63" t="n"/>
      <c r="C239" s="60" t="n"/>
      <c r="D239" s="60" t="n"/>
      <c r="E239" s="68" t="n"/>
      <c r="F239" s="70" t="n"/>
      <c r="G239" s="59" t="str">
        <f>IF(COUNTA(A239:F239)=0,"",IF(A239="","Code manquant",IF(COUNTIF(pr_code,A239)&gt;1,"Code en double",IF(B239="","Désignation manquante",IF(AND(E239&lt;&gt;"",OR(NOT(ISNUMBER(E239)),N(E239)&lt;0)),"Prix invalide",IF(AND(F239&lt;&gt;"",NOT(ISNUMBER(F239))),"Taux de TVA invalide",IF(AND(F239&lt;&gt;"",COUNTIF(p_rates,F239)=0),"Taux de TVA hors liste (Paramètres)","OK")))))))</f>
        <v/>
      </c>
    </row>
    <row r="240">
      <c r="A240" s="145" t="n"/>
      <c r="B240" s="63" t="n"/>
      <c r="C240" s="60" t="n"/>
      <c r="D240" s="60" t="n"/>
      <c r="E240" s="68" t="n"/>
      <c r="F240" s="70" t="n"/>
      <c r="G240" s="59" t="str">
        <f>IF(COUNTA(A240:F240)=0,"",IF(A240="","Code manquant",IF(COUNTIF(pr_code,A240)&gt;1,"Code en double",IF(B240="","Désignation manquante",IF(AND(E240&lt;&gt;"",OR(NOT(ISNUMBER(E240)),N(E240)&lt;0)),"Prix invalide",IF(AND(F240&lt;&gt;"",NOT(ISNUMBER(F240))),"Taux de TVA invalide",IF(AND(F240&lt;&gt;"",COUNTIF(p_rates,F240)=0),"Taux de TVA hors liste (Paramètres)","OK")))))))</f>
        <v/>
      </c>
    </row>
    <row r="241">
      <c r="A241" s="145" t="n"/>
      <c r="B241" s="63" t="n"/>
      <c r="C241" s="60" t="n"/>
      <c r="D241" s="60" t="n"/>
      <c r="E241" s="68" t="n"/>
      <c r="F241" s="70" t="n"/>
      <c r="G241" s="59" t="str">
        <f>IF(COUNTA(A241:F241)=0,"",IF(A241="","Code manquant",IF(COUNTIF(pr_code,A241)&gt;1,"Code en double",IF(B241="","Désignation manquante",IF(AND(E241&lt;&gt;"",OR(NOT(ISNUMBER(E241)),N(E241)&lt;0)),"Prix invalide",IF(AND(F241&lt;&gt;"",NOT(ISNUMBER(F241))),"Taux de TVA invalide",IF(AND(F241&lt;&gt;"",COUNTIF(p_rates,F241)=0),"Taux de TVA hors liste (Paramètres)","OK")))))))</f>
        <v/>
      </c>
    </row>
    <row r="242">
      <c r="A242" s="145" t="n"/>
      <c r="B242" s="63" t="n"/>
      <c r="C242" s="60" t="n"/>
      <c r="D242" s="60" t="n"/>
      <c r="E242" s="68" t="n"/>
      <c r="F242" s="70" t="n"/>
      <c r="G242" s="59" t="str">
        <f>IF(COUNTA(A242:F242)=0,"",IF(A242="","Code manquant",IF(COUNTIF(pr_code,A242)&gt;1,"Code en double",IF(B242="","Désignation manquante",IF(AND(E242&lt;&gt;"",OR(NOT(ISNUMBER(E242)),N(E242)&lt;0)),"Prix invalide",IF(AND(F242&lt;&gt;"",NOT(ISNUMBER(F242))),"Taux de TVA invalide",IF(AND(F242&lt;&gt;"",COUNTIF(p_rates,F242)=0),"Taux de TVA hors liste (Paramètres)","OK")))))))</f>
        <v/>
      </c>
    </row>
    <row r="243">
      <c r="A243" s="145" t="n"/>
      <c r="B243" s="63" t="n"/>
      <c r="C243" s="60" t="n"/>
      <c r="D243" s="60" t="n"/>
      <c r="E243" s="68" t="n"/>
      <c r="F243" s="70" t="n"/>
      <c r="G243" s="59" t="str">
        <f>IF(COUNTA(A243:F243)=0,"",IF(A243="","Code manquant",IF(COUNTIF(pr_code,A243)&gt;1,"Code en double",IF(B243="","Désignation manquante",IF(AND(E243&lt;&gt;"",OR(NOT(ISNUMBER(E243)),N(E243)&lt;0)),"Prix invalide",IF(AND(F243&lt;&gt;"",NOT(ISNUMBER(F243))),"Taux de TVA invalide",IF(AND(F243&lt;&gt;"",COUNTIF(p_rates,F243)=0),"Taux de TVA hors liste (Paramètres)","OK")))))))</f>
        <v/>
      </c>
    </row>
    <row r="244">
      <c r="A244" s="145" t="n"/>
      <c r="B244" s="63" t="n"/>
      <c r="C244" s="60" t="n"/>
      <c r="D244" s="60" t="n"/>
      <c r="E244" s="68" t="n"/>
      <c r="F244" s="70" t="n"/>
      <c r="G244" s="59" t="str">
        <f>IF(COUNTA(A244:F244)=0,"",IF(A244="","Code manquant",IF(COUNTIF(pr_code,A244)&gt;1,"Code en double",IF(B244="","Désignation manquante",IF(AND(E244&lt;&gt;"",OR(NOT(ISNUMBER(E244)),N(E244)&lt;0)),"Prix invalide",IF(AND(F244&lt;&gt;"",NOT(ISNUMBER(F244))),"Taux de TVA invalide",IF(AND(F244&lt;&gt;"",COUNTIF(p_rates,F244)=0),"Taux de TVA hors liste (Paramètres)","OK")))))))</f>
        <v/>
      </c>
    </row>
    <row r="245">
      <c r="A245" s="145" t="n"/>
      <c r="B245" s="63" t="n"/>
      <c r="C245" s="60" t="n"/>
      <c r="D245" s="60" t="n"/>
      <c r="E245" s="68" t="n"/>
      <c r="F245" s="70" t="n"/>
      <c r="G245" s="59" t="str">
        <f>IF(COUNTA(A245:F245)=0,"",IF(A245="","Code manquant",IF(COUNTIF(pr_code,A245)&gt;1,"Code en double",IF(B245="","Désignation manquante",IF(AND(E245&lt;&gt;"",OR(NOT(ISNUMBER(E245)),N(E245)&lt;0)),"Prix invalide",IF(AND(F245&lt;&gt;"",NOT(ISNUMBER(F245))),"Taux de TVA invalide",IF(AND(F245&lt;&gt;"",COUNTIF(p_rates,F245)=0),"Taux de TVA hors liste (Paramètres)","OK")))))))</f>
        <v/>
      </c>
    </row>
    <row r="246">
      <c r="A246" s="145" t="n"/>
      <c r="B246" s="63" t="n"/>
      <c r="C246" s="60" t="n"/>
      <c r="D246" s="60" t="n"/>
      <c r="E246" s="68" t="n"/>
      <c r="F246" s="70" t="n"/>
      <c r="G246" s="59" t="str">
        <f>IF(COUNTA(A246:F246)=0,"",IF(A246="","Code manquant",IF(COUNTIF(pr_code,A246)&gt;1,"Code en double",IF(B246="","Désignation manquante",IF(AND(E246&lt;&gt;"",OR(NOT(ISNUMBER(E246)),N(E246)&lt;0)),"Prix invalide",IF(AND(F246&lt;&gt;"",NOT(ISNUMBER(F246))),"Taux de TVA invalide",IF(AND(F246&lt;&gt;"",COUNTIF(p_rates,F246)=0),"Taux de TVA hors liste (Paramètres)","OK")))))))</f>
        <v/>
      </c>
    </row>
    <row r="247">
      <c r="A247" s="145" t="n"/>
      <c r="B247" s="63" t="n"/>
      <c r="C247" s="60" t="n"/>
      <c r="D247" s="60" t="n"/>
      <c r="E247" s="68" t="n"/>
      <c r="F247" s="70" t="n"/>
      <c r="G247" s="59" t="str">
        <f>IF(COUNTA(A247:F247)=0,"",IF(A247="","Code manquant",IF(COUNTIF(pr_code,A247)&gt;1,"Code en double",IF(B247="","Désignation manquante",IF(AND(E247&lt;&gt;"",OR(NOT(ISNUMBER(E247)),N(E247)&lt;0)),"Prix invalide",IF(AND(F247&lt;&gt;"",NOT(ISNUMBER(F247))),"Taux de TVA invalide",IF(AND(F247&lt;&gt;"",COUNTIF(p_rates,F247)=0),"Taux de TVA hors liste (Paramètres)","OK")))))))</f>
        <v/>
      </c>
    </row>
    <row r="248">
      <c r="A248" s="145" t="n"/>
      <c r="B248" s="63" t="n"/>
      <c r="C248" s="60" t="n"/>
      <c r="D248" s="60" t="n"/>
      <c r="E248" s="68" t="n"/>
      <c r="F248" s="70" t="n"/>
      <c r="G248" s="59" t="str">
        <f>IF(COUNTA(A248:F248)=0,"",IF(A248="","Code manquant",IF(COUNTIF(pr_code,A248)&gt;1,"Code en double",IF(B248="","Désignation manquante",IF(AND(E248&lt;&gt;"",OR(NOT(ISNUMBER(E248)),N(E248)&lt;0)),"Prix invalide",IF(AND(F248&lt;&gt;"",NOT(ISNUMBER(F248))),"Taux de TVA invalide",IF(AND(F248&lt;&gt;"",COUNTIF(p_rates,F248)=0),"Taux de TVA hors liste (Paramètres)","OK")))))))</f>
        <v/>
      </c>
    </row>
    <row r="249">
      <c r="A249" s="145" t="n"/>
      <c r="B249" s="63" t="n"/>
      <c r="C249" s="60" t="n"/>
      <c r="D249" s="60" t="n"/>
      <c r="E249" s="68" t="n"/>
      <c r="F249" s="70" t="n"/>
      <c r="G249" s="59" t="str">
        <f>IF(COUNTA(A249:F249)=0,"",IF(A249="","Code manquant",IF(COUNTIF(pr_code,A249)&gt;1,"Code en double",IF(B249="","Désignation manquante",IF(AND(E249&lt;&gt;"",OR(NOT(ISNUMBER(E249)),N(E249)&lt;0)),"Prix invalide",IF(AND(F249&lt;&gt;"",NOT(ISNUMBER(F249))),"Taux de TVA invalide",IF(AND(F249&lt;&gt;"",COUNTIF(p_rates,F249)=0),"Taux de TVA hors liste (Paramètres)","OK")))))))</f>
        <v/>
      </c>
    </row>
    <row r="250">
      <c r="A250" s="145" t="n"/>
      <c r="B250" s="63" t="n"/>
      <c r="C250" s="60" t="n"/>
      <c r="D250" s="60" t="n"/>
      <c r="E250" s="68" t="n"/>
      <c r="F250" s="70" t="n"/>
      <c r="G250" s="59" t="str">
        <f>IF(COUNTA(A250:F250)=0,"",IF(A250="","Code manquant",IF(COUNTIF(pr_code,A250)&gt;1,"Code en double",IF(B250="","Désignation manquante",IF(AND(E250&lt;&gt;"",OR(NOT(ISNUMBER(E250)),N(E250)&lt;0)),"Prix invalide",IF(AND(F250&lt;&gt;"",NOT(ISNUMBER(F250))),"Taux de TVA invalide",IF(AND(F250&lt;&gt;"",COUNTIF(p_rates,F250)=0),"Taux de TVA hors liste (Paramètres)","OK")))))))</f>
        <v/>
      </c>
    </row>
    <row r="251">
      <c r="A251" s="145" t="n"/>
      <c r="B251" s="63" t="n"/>
      <c r="C251" s="60" t="n"/>
      <c r="D251" s="60" t="n"/>
      <c r="E251" s="68" t="n"/>
      <c r="F251" s="70" t="n"/>
      <c r="G251" s="59" t="str">
        <f>IF(COUNTA(A251:F251)=0,"",IF(A251="","Code manquant",IF(COUNTIF(pr_code,A251)&gt;1,"Code en double",IF(B251="","Désignation manquante",IF(AND(E251&lt;&gt;"",OR(NOT(ISNUMBER(E251)),N(E251)&lt;0)),"Prix invalide",IF(AND(F251&lt;&gt;"",NOT(ISNUMBER(F251))),"Taux de TVA invalide",IF(AND(F251&lt;&gt;"",COUNTIF(p_rates,F251)=0),"Taux de TVA hors liste (Paramètres)","OK")))))))</f>
        <v/>
      </c>
    </row>
    <row r="252">
      <c r="A252" s="145" t="n"/>
      <c r="B252" s="63" t="n"/>
      <c r="C252" s="60" t="n"/>
      <c r="D252" s="60" t="n"/>
      <c r="E252" s="68" t="n"/>
      <c r="F252" s="70" t="n"/>
      <c r="G252" s="59" t="str">
        <f>IF(COUNTA(A252:F252)=0,"",IF(A252="","Code manquant",IF(COUNTIF(pr_code,A252)&gt;1,"Code en double",IF(B252="","Désignation manquante",IF(AND(E252&lt;&gt;"",OR(NOT(ISNUMBER(E252)),N(E252)&lt;0)),"Prix invalide",IF(AND(F252&lt;&gt;"",NOT(ISNUMBER(F252))),"Taux de TVA invalide",IF(AND(F252&lt;&gt;"",COUNTIF(p_rates,F252)=0),"Taux de TVA hors liste (Paramètres)","OK")))))))</f>
        <v/>
      </c>
    </row>
    <row r="253">
      <c r="A253" s="145" t="n"/>
      <c r="B253" s="63" t="n"/>
      <c r="C253" s="60" t="n"/>
      <c r="D253" s="60" t="n"/>
      <c r="E253" s="68" t="n"/>
      <c r="F253" s="70" t="n"/>
      <c r="G253" s="59" t="str">
        <f>IF(COUNTA(A253:F253)=0,"",IF(A253="","Code manquant",IF(COUNTIF(pr_code,A253)&gt;1,"Code en double",IF(B253="","Désignation manquante",IF(AND(E253&lt;&gt;"",OR(NOT(ISNUMBER(E253)),N(E253)&lt;0)),"Prix invalide",IF(AND(F253&lt;&gt;"",NOT(ISNUMBER(F253))),"Taux de TVA invalide",IF(AND(F253&lt;&gt;"",COUNTIF(p_rates,F253)=0),"Taux de TVA hors liste (Paramètres)","OK")))))))</f>
        <v/>
      </c>
    </row>
    <row r="254">
      <c r="A254" s="145" t="n"/>
      <c r="B254" s="63" t="n"/>
      <c r="C254" s="60" t="n"/>
      <c r="D254" s="60" t="n"/>
      <c r="E254" s="68" t="n"/>
      <c r="F254" s="70" t="n"/>
      <c r="G254" s="59" t="str">
        <f>IF(COUNTA(A254:F254)=0,"",IF(A254="","Code manquant",IF(COUNTIF(pr_code,A254)&gt;1,"Code en double",IF(B254="","Désignation manquante",IF(AND(E254&lt;&gt;"",OR(NOT(ISNUMBER(E254)),N(E254)&lt;0)),"Prix invalide",IF(AND(F254&lt;&gt;"",NOT(ISNUMBER(F254))),"Taux de TVA invalide",IF(AND(F254&lt;&gt;"",COUNTIF(p_rates,F254)=0),"Taux de TVA hors liste (Paramètres)","OK")))))))</f>
        <v/>
      </c>
    </row>
    <row r="255">
      <c r="A255" s="145" t="n"/>
      <c r="B255" s="63" t="n"/>
      <c r="C255" s="60" t="n"/>
      <c r="D255" s="60" t="n"/>
      <c r="E255" s="68" t="n"/>
      <c r="F255" s="70" t="n"/>
      <c r="G255" s="59" t="str">
        <f>IF(COUNTA(A255:F255)=0,"",IF(A255="","Code manquant",IF(COUNTIF(pr_code,A255)&gt;1,"Code en double",IF(B255="","Désignation manquante",IF(AND(E255&lt;&gt;"",OR(NOT(ISNUMBER(E255)),N(E255)&lt;0)),"Prix invalide",IF(AND(F255&lt;&gt;"",NOT(ISNUMBER(F255))),"Taux de TVA invalide",IF(AND(F255&lt;&gt;"",COUNTIF(p_rates,F255)=0),"Taux de TVA hors liste (Paramètres)","OK")))))))</f>
        <v/>
      </c>
    </row>
    <row r="256">
      <c r="A256" s="145" t="n"/>
      <c r="B256" s="63" t="n"/>
      <c r="C256" s="60" t="n"/>
      <c r="D256" s="60" t="n"/>
      <c r="E256" s="68" t="n"/>
      <c r="F256" s="70" t="n"/>
      <c r="G256" s="59" t="str">
        <f>IF(COUNTA(A256:F256)=0,"",IF(A256="","Code manquant",IF(COUNTIF(pr_code,A256)&gt;1,"Code en double",IF(B256="","Désignation manquante",IF(AND(E256&lt;&gt;"",OR(NOT(ISNUMBER(E256)),N(E256)&lt;0)),"Prix invalide",IF(AND(F256&lt;&gt;"",NOT(ISNUMBER(F256))),"Taux de TVA invalide",IF(AND(F256&lt;&gt;"",COUNTIF(p_rates,F256)=0),"Taux de TVA hors liste (Paramètres)","OK")))))))</f>
        <v/>
      </c>
    </row>
    <row r="257">
      <c r="A257" s="145" t="n"/>
      <c r="B257" s="63" t="n"/>
      <c r="C257" s="60" t="n"/>
      <c r="D257" s="60" t="n"/>
      <c r="E257" s="68" t="n"/>
      <c r="F257" s="70" t="n"/>
      <c r="G257" s="59" t="str">
        <f>IF(COUNTA(A257:F257)=0,"",IF(A257="","Code manquant",IF(COUNTIF(pr_code,A257)&gt;1,"Code en double",IF(B257="","Désignation manquante",IF(AND(E257&lt;&gt;"",OR(NOT(ISNUMBER(E257)),N(E257)&lt;0)),"Prix invalide",IF(AND(F257&lt;&gt;"",NOT(ISNUMBER(F257))),"Taux de TVA invalide",IF(AND(F257&lt;&gt;"",COUNTIF(p_rates,F257)=0),"Taux de TVA hors liste (Paramètres)","OK")))))))</f>
        <v/>
      </c>
    </row>
    <row r="258">
      <c r="A258" s="145" t="n"/>
      <c r="B258" s="63" t="n"/>
      <c r="C258" s="60" t="n"/>
      <c r="D258" s="60" t="n"/>
      <c r="E258" s="68" t="n"/>
      <c r="F258" s="70" t="n"/>
      <c r="G258" s="59" t="str">
        <f>IF(COUNTA(A258:F258)=0,"",IF(A258="","Code manquant",IF(COUNTIF(pr_code,A258)&gt;1,"Code en double",IF(B258="","Désignation manquante",IF(AND(E258&lt;&gt;"",OR(NOT(ISNUMBER(E258)),N(E258)&lt;0)),"Prix invalide",IF(AND(F258&lt;&gt;"",NOT(ISNUMBER(F258))),"Taux de TVA invalide",IF(AND(F258&lt;&gt;"",COUNTIF(p_rates,F258)=0),"Taux de TVA hors liste (Paramètres)","OK")))))))</f>
        <v/>
      </c>
    </row>
    <row r="259">
      <c r="A259" s="145" t="n"/>
      <c r="B259" s="63" t="n"/>
      <c r="C259" s="60" t="n"/>
      <c r="D259" s="60" t="n"/>
      <c r="E259" s="68" t="n"/>
      <c r="F259" s="70" t="n"/>
      <c r="G259" s="59" t="str">
        <f>IF(COUNTA(A259:F259)=0,"",IF(A259="","Code manquant",IF(COUNTIF(pr_code,A259)&gt;1,"Code en double",IF(B259="","Désignation manquante",IF(AND(E259&lt;&gt;"",OR(NOT(ISNUMBER(E259)),N(E259)&lt;0)),"Prix invalide",IF(AND(F259&lt;&gt;"",NOT(ISNUMBER(F259))),"Taux de TVA invalide",IF(AND(F259&lt;&gt;"",COUNTIF(p_rates,F259)=0),"Taux de TVA hors liste (Paramètres)","OK")))))))</f>
        <v/>
      </c>
    </row>
    <row r="260">
      <c r="A260" s="145" t="n"/>
      <c r="B260" s="63" t="n"/>
      <c r="C260" s="60" t="n"/>
      <c r="D260" s="60" t="n"/>
      <c r="E260" s="68" t="n"/>
      <c r="F260" s="70" t="n"/>
      <c r="G260" s="59" t="str">
        <f>IF(COUNTA(A260:F260)=0,"",IF(A260="","Code manquant",IF(COUNTIF(pr_code,A260)&gt;1,"Code en double",IF(B260="","Désignation manquante",IF(AND(E260&lt;&gt;"",OR(NOT(ISNUMBER(E260)),N(E260)&lt;0)),"Prix invalide",IF(AND(F260&lt;&gt;"",NOT(ISNUMBER(F260))),"Taux de TVA invalide",IF(AND(F260&lt;&gt;"",COUNTIF(p_rates,F260)=0),"Taux de TVA hors liste (Paramètres)","OK")))))))</f>
        <v/>
      </c>
    </row>
    <row r="261">
      <c r="A261" s="145" t="n"/>
      <c r="B261" s="63" t="n"/>
      <c r="C261" s="60" t="n"/>
      <c r="D261" s="60" t="n"/>
      <c r="E261" s="68" t="n"/>
      <c r="F261" s="70" t="n"/>
      <c r="G261" s="59" t="str">
        <f>IF(COUNTA(A261:F261)=0,"",IF(A261="","Code manquant",IF(COUNTIF(pr_code,A261)&gt;1,"Code en double",IF(B261="","Désignation manquante",IF(AND(E261&lt;&gt;"",OR(NOT(ISNUMBER(E261)),N(E261)&lt;0)),"Prix invalide",IF(AND(F261&lt;&gt;"",NOT(ISNUMBER(F261))),"Taux de TVA invalide",IF(AND(F261&lt;&gt;"",COUNTIF(p_rates,F261)=0),"Taux de TVA hors liste (Paramètres)","OK")))))))</f>
        <v/>
      </c>
    </row>
    <row r="262">
      <c r="A262" s="145" t="n"/>
      <c r="B262" s="63" t="n"/>
      <c r="C262" s="60" t="n"/>
      <c r="D262" s="60" t="n"/>
      <c r="E262" s="68" t="n"/>
      <c r="F262" s="70" t="n"/>
      <c r="G262" s="59" t="str">
        <f>IF(COUNTA(A262:F262)=0,"",IF(A262="","Code manquant",IF(COUNTIF(pr_code,A262)&gt;1,"Code en double",IF(B262="","Désignation manquante",IF(AND(E262&lt;&gt;"",OR(NOT(ISNUMBER(E262)),N(E262)&lt;0)),"Prix invalide",IF(AND(F262&lt;&gt;"",NOT(ISNUMBER(F262))),"Taux de TVA invalide",IF(AND(F262&lt;&gt;"",COUNTIF(p_rates,F262)=0),"Taux de TVA hors liste (Paramètres)","OK")))))))</f>
        <v/>
      </c>
    </row>
    <row r="263">
      <c r="A263" s="145" t="n"/>
      <c r="B263" s="63" t="n"/>
      <c r="C263" s="60" t="n"/>
      <c r="D263" s="60" t="n"/>
      <c r="E263" s="68" t="n"/>
      <c r="F263" s="70" t="n"/>
      <c r="G263" s="59" t="str">
        <f>IF(COUNTA(A263:F263)=0,"",IF(A263="","Code manquant",IF(COUNTIF(pr_code,A263)&gt;1,"Code en double",IF(B263="","Désignation manquante",IF(AND(E263&lt;&gt;"",OR(NOT(ISNUMBER(E263)),N(E263)&lt;0)),"Prix invalide",IF(AND(F263&lt;&gt;"",NOT(ISNUMBER(F263))),"Taux de TVA invalide",IF(AND(F263&lt;&gt;"",COUNTIF(p_rates,F263)=0),"Taux de TVA hors liste (Paramètres)","OK")))))))</f>
        <v/>
      </c>
    </row>
    <row r="264">
      <c r="A264" s="145" t="n"/>
      <c r="B264" s="63" t="n"/>
      <c r="C264" s="60" t="n"/>
      <c r="D264" s="60" t="n"/>
      <c r="E264" s="68" t="n"/>
      <c r="F264" s="70" t="n"/>
      <c r="G264" s="59" t="str">
        <f>IF(COUNTA(A264:F264)=0,"",IF(A264="","Code manquant",IF(COUNTIF(pr_code,A264)&gt;1,"Code en double",IF(B264="","Désignation manquante",IF(AND(E264&lt;&gt;"",OR(NOT(ISNUMBER(E264)),N(E264)&lt;0)),"Prix invalide",IF(AND(F264&lt;&gt;"",NOT(ISNUMBER(F264))),"Taux de TVA invalide",IF(AND(F264&lt;&gt;"",COUNTIF(p_rates,F264)=0),"Taux de TVA hors liste (Paramètres)","OK")))))))</f>
        <v/>
      </c>
    </row>
    <row r="265">
      <c r="A265" s="145" t="n"/>
      <c r="B265" s="63" t="n"/>
      <c r="C265" s="60" t="n"/>
      <c r="D265" s="60" t="n"/>
      <c r="E265" s="68" t="n"/>
      <c r="F265" s="70" t="n"/>
      <c r="G265" s="59" t="str">
        <f>IF(COUNTA(A265:F265)=0,"",IF(A265="","Code manquant",IF(COUNTIF(pr_code,A265)&gt;1,"Code en double",IF(B265="","Désignation manquante",IF(AND(E265&lt;&gt;"",OR(NOT(ISNUMBER(E265)),N(E265)&lt;0)),"Prix invalide",IF(AND(F265&lt;&gt;"",NOT(ISNUMBER(F265))),"Taux de TVA invalide",IF(AND(F265&lt;&gt;"",COUNTIF(p_rates,F265)=0),"Taux de TVA hors liste (Paramètres)","OK")))))))</f>
        <v/>
      </c>
    </row>
    <row r="266">
      <c r="A266" s="145" t="n"/>
      <c r="B266" s="63" t="n"/>
      <c r="C266" s="60" t="n"/>
      <c r="D266" s="60" t="n"/>
      <c r="E266" s="68" t="n"/>
      <c r="F266" s="70" t="n"/>
      <c r="G266" s="59" t="str">
        <f>IF(COUNTA(A266:F266)=0,"",IF(A266="","Code manquant",IF(COUNTIF(pr_code,A266)&gt;1,"Code en double",IF(B266="","Désignation manquante",IF(AND(E266&lt;&gt;"",OR(NOT(ISNUMBER(E266)),N(E266)&lt;0)),"Prix invalide",IF(AND(F266&lt;&gt;"",NOT(ISNUMBER(F266))),"Taux de TVA invalide",IF(AND(F266&lt;&gt;"",COUNTIF(p_rates,F266)=0),"Taux de TVA hors liste (Paramètres)","OK")))))))</f>
        <v/>
      </c>
    </row>
    <row r="267">
      <c r="A267" s="145" t="n"/>
      <c r="B267" s="63" t="n"/>
      <c r="C267" s="60" t="n"/>
      <c r="D267" s="60" t="n"/>
      <c r="E267" s="68" t="n"/>
      <c r="F267" s="70" t="n"/>
      <c r="G267" s="59" t="str">
        <f>IF(COUNTA(A267:F267)=0,"",IF(A267="","Code manquant",IF(COUNTIF(pr_code,A267)&gt;1,"Code en double",IF(B267="","Désignation manquante",IF(AND(E267&lt;&gt;"",OR(NOT(ISNUMBER(E267)),N(E267)&lt;0)),"Prix invalide",IF(AND(F267&lt;&gt;"",NOT(ISNUMBER(F267))),"Taux de TVA invalide",IF(AND(F267&lt;&gt;"",COUNTIF(p_rates,F267)=0),"Taux de TVA hors liste (Paramètres)","OK")))))))</f>
        <v/>
      </c>
    </row>
    <row r="268">
      <c r="A268" s="145" t="n"/>
      <c r="B268" s="63" t="n"/>
      <c r="C268" s="60" t="n"/>
      <c r="D268" s="60" t="n"/>
      <c r="E268" s="68" t="n"/>
      <c r="F268" s="70" t="n"/>
      <c r="G268" s="59" t="str">
        <f>IF(COUNTA(A268:F268)=0,"",IF(A268="","Code manquant",IF(COUNTIF(pr_code,A268)&gt;1,"Code en double",IF(B268="","Désignation manquante",IF(AND(E268&lt;&gt;"",OR(NOT(ISNUMBER(E268)),N(E268)&lt;0)),"Prix invalide",IF(AND(F268&lt;&gt;"",NOT(ISNUMBER(F268))),"Taux de TVA invalide",IF(AND(F268&lt;&gt;"",COUNTIF(p_rates,F268)=0),"Taux de TVA hors liste (Paramètres)","OK")))))))</f>
        <v/>
      </c>
    </row>
    <row r="269">
      <c r="A269" s="145" t="n"/>
      <c r="B269" s="63" t="n"/>
      <c r="C269" s="60" t="n"/>
      <c r="D269" s="60" t="n"/>
      <c r="E269" s="68" t="n"/>
      <c r="F269" s="70" t="n"/>
      <c r="G269" s="59" t="str">
        <f>IF(COUNTA(A269:F269)=0,"",IF(A269="","Code manquant",IF(COUNTIF(pr_code,A269)&gt;1,"Code en double",IF(B269="","Désignation manquante",IF(AND(E269&lt;&gt;"",OR(NOT(ISNUMBER(E269)),N(E269)&lt;0)),"Prix invalide",IF(AND(F269&lt;&gt;"",NOT(ISNUMBER(F269))),"Taux de TVA invalide",IF(AND(F269&lt;&gt;"",COUNTIF(p_rates,F269)=0),"Taux de TVA hors liste (Paramètres)","OK")))))))</f>
        <v/>
      </c>
    </row>
    <row r="270">
      <c r="A270" s="145" t="n"/>
      <c r="B270" s="63" t="n"/>
      <c r="C270" s="60" t="n"/>
      <c r="D270" s="60" t="n"/>
      <c r="E270" s="68" t="n"/>
      <c r="F270" s="70" t="n"/>
      <c r="G270" s="59" t="str">
        <f>IF(COUNTA(A270:F270)=0,"",IF(A270="","Code manquant",IF(COUNTIF(pr_code,A270)&gt;1,"Code en double",IF(B270="","Désignation manquante",IF(AND(E270&lt;&gt;"",OR(NOT(ISNUMBER(E270)),N(E270)&lt;0)),"Prix invalide",IF(AND(F270&lt;&gt;"",NOT(ISNUMBER(F270))),"Taux de TVA invalide",IF(AND(F270&lt;&gt;"",COUNTIF(p_rates,F270)=0),"Taux de TVA hors liste (Paramètres)","OK")))))))</f>
        <v/>
      </c>
    </row>
    <row r="271">
      <c r="A271" s="145" t="n"/>
      <c r="B271" s="63" t="n"/>
      <c r="C271" s="60" t="n"/>
      <c r="D271" s="60" t="n"/>
      <c r="E271" s="68" t="n"/>
      <c r="F271" s="70" t="n"/>
      <c r="G271" s="59" t="str">
        <f>IF(COUNTA(A271:F271)=0,"",IF(A271="","Code manquant",IF(COUNTIF(pr_code,A271)&gt;1,"Code en double",IF(B271="","Désignation manquante",IF(AND(E271&lt;&gt;"",OR(NOT(ISNUMBER(E271)),N(E271)&lt;0)),"Prix invalide",IF(AND(F271&lt;&gt;"",NOT(ISNUMBER(F271))),"Taux de TVA invalide",IF(AND(F271&lt;&gt;"",COUNTIF(p_rates,F271)=0),"Taux de TVA hors liste (Paramètres)","OK")))))))</f>
        <v/>
      </c>
    </row>
    <row r="272">
      <c r="A272" s="145" t="n"/>
      <c r="B272" s="63" t="n"/>
      <c r="C272" s="60" t="n"/>
      <c r="D272" s="60" t="n"/>
      <c r="E272" s="68" t="n"/>
      <c r="F272" s="70" t="n"/>
      <c r="G272" s="59" t="str">
        <f>IF(COUNTA(A272:F272)=0,"",IF(A272="","Code manquant",IF(COUNTIF(pr_code,A272)&gt;1,"Code en double",IF(B272="","Désignation manquante",IF(AND(E272&lt;&gt;"",OR(NOT(ISNUMBER(E272)),N(E272)&lt;0)),"Prix invalide",IF(AND(F272&lt;&gt;"",NOT(ISNUMBER(F272))),"Taux de TVA invalide",IF(AND(F272&lt;&gt;"",COUNTIF(p_rates,F272)=0),"Taux de TVA hors liste (Paramètres)","OK")))))))</f>
        <v/>
      </c>
    </row>
    <row r="273">
      <c r="A273" s="145" t="n"/>
      <c r="B273" s="63" t="n"/>
      <c r="C273" s="60" t="n"/>
      <c r="D273" s="60" t="n"/>
      <c r="E273" s="68" t="n"/>
      <c r="F273" s="70" t="n"/>
      <c r="G273" s="59" t="str">
        <f>IF(COUNTA(A273:F273)=0,"",IF(A273="","Code manquant",IF(COUNTIF(pr_code,A273)&gt;1,"Code en double",IF(B273="","Désignation manquante",IF(AND(E273&lt;&gt;"",OR(NOT(ISNUMBER(E273)),N(E273)&lt;0)),"Prix invalide",IF(AND(F273&lt;&gt;"",NOT(ISNUMBER(F273))),"Taux de TVA invalide",IF(AND(F273&lt;&gt;"",COUNTIF(p_rates,F273)=0),"Taux de TVA hors liste (Paramètres)","OK")))))))</f>
        <v/>
      </c>
    </row>
    <row r="274">
      <c r="A274" s="145" t="n"/>
      <c r="B274" s="63" t="n"/>
      <c r="C274" s="60" t="n"/>
      <c r="D274" s="60" t="n"/>
      <c r="E274" s="68" t="n"/>
      <c r="F274" s="70" t="n"/>
      <c r="G274" s="59" t="str">
        <f>IF(COUNTA(A274:F274)=0,"",IF(A274="","Code manquant",IF(COUNTIF(pr_code,A274)&gt;1,"Code en double",IF(B274="","Désignation manquante",IF(AND(E274&lt;&gt;"",OR(NOT(ISNUMBER(E274)),N(E274)&lt;0)),"Prix invalide",IF(AND(F274&lt;&gt;"",NOT(ISNUMBER(F274))),"Taux de TVA invalide",IF(AND(F274&lt;&gt;"",COUNTIF(p_rates,F274)=0),"Taux de TVA hors liste (Paramètres)","OK")))))))</f>
        <v/>
      </c>
    </row>
    <row r="275">
      <c r="A275" s="145" t="n"/>
      <c r="B275" s="63" t="n"/>
      <c r="C275" s="60" t="n"/>
      <c r="D275" s="60" t="n"/>
      <c r="E275" s="68" t="n"/>
      <c r="F275" s="70" t="n"/>
      <c r="G275" s="59" t="str">
        <f>IF(COUNTA(A275:F275)=0,"",IF(A275="","Code manquant",IF(COUNTIF(pr_code,A275)&gt;1,"Code en double",IF(B275="","Désignation manquante",IF(AND(E275&lt;&gt;"",OR(NOT(ISNUMBER(E275)),N(E275)&lt;0)),"Prix invalide",IF(AND(F275&lt;&gt;"",NOT(ISNUMBER(F275))),"Taux de TVA invalide",IF(AND(F275&lt;&gt;"",COUNTIF(p_rates,F275)=0),"Taux de TVA hors liste (Paramètres)","OK")))))))</f>
        <v/>
      </c>
    </row>
    <row r="276">
      <c r="A276" s="145" t="n"/>
      <c r="B276" s="63" t="n"/>
      <c r="C276" s="60" t="n"/>
      <c r="D276" s="60" t="n"/>
      <c r="E276" s="68" t="n"/>
      <c r="F276" s="70" t="n"/>
      <c r="G276" s="59" t="str">
        <f>IF(COUNTA(A276:F276)=0,"",IF(A276="","Code manquant",IF(COUNTIF(pr_code,A276)&gt;1,"Code en double",IF(B276="","Désignation manquante",IF(AND(E276&lt;&gt;"",OR(NOT(ISNUMBER(E276)),N(E276)&lt;0)),"Prix invalide",IF(AND(F276&lt;&gt;"",NOT(ISNUMBER(F276))),"Taux de TVA invalide",IF(AND(F276&lt;&gt;"",COUNTIF(p_rates,F276)=0),"Taux de TVA hors liste (Paramètres)","OK")))))))</f>
        <v/>
      </c>
    </row>
    <row r="277">
      <c r="A277" s="145" t="n"/>
      <c r="B277" s="63" t="n"/>
      <c r="C277" s="60" t="n"/>
      <c r="D277" s="60" t="n"/>
      <c r="E277" s="68" t="n"/>
      <c r="F277" s="70" t="n"/>
      <c r="G277" s="59" t="str">
        <f>IF(COUNTA(A277:F277)=0,"",IF(A277="","Code manquant",IF(COUNTIF(pr_code,A277)&gt;1,"Code en double",IF(B277="","Désignation manquante",IF(AND(E277&lt;&gt;"",OR(NOT(ISNUMBER(E277)),N(E277)&lt;0)),"Prix invalide",IF(AND(F277&lt;&gt;"",NOT(ISNUMBER(F277))),"Taux de TVA invalide",IF(AND(F277&lt;&gt;"",COUNTIF(p_rates,F277)=0),"Taux de TVA hors liste (Paramètres)","OK")))))))</f>
        <v/>
      </c>
    </row>
    <row r="278">
      <c r="A278" s="145" t="n"/>
      <c r="B278" s="63" t="n"/>
      <c r="C278" s="60" t="n"/>
      <c r="D278" s="60" t="n"/>
      <c r="E278" s="68" t="n"/>
      <c r="F278" s="70" t="n"/>
      <c r="G278" s="59" t="str">
        <f>IF(COUNTA(A278:F278)=0,"",IF(A278="","Code manquant",IF(COUNTIF(pr_code,A278)&gt;1,"Code en double",IF(B278="","Désignation manquante",IF(AND(E278&lt;&gt;"",OR(NOT(ISNUMBER(E278)),N(E278)&lt;0)),"Prix invalide",IF(AND(F278&lt;&gt;"",NOT(ISNUMBER(F278))),"Taux de TVA invalide",IF(AND(F278&lt;&gt;"",COUNTIF(p_rates,F278)=0),"Taux de TVA hors liste (Paramètres)","OK")))))))</f>
        <v/>
      </c>
    </row>
    <row r="279">
      <c r="A279" s="145" t="n"/>
      <c r="B279" s="63" t="n"/>
      <c r="C279" s="60" t="n"/>
      <c r="D279" s="60" t="n"/>
      <c r="E279" s="68" t="n"/>
      <c r="F279" s="70" t="n"/>
      <c r="G279" s="59" t="str">
        <f>IF(COUNTA(A279:F279)=0,"",IF(A279="","Code manquant",IF(COUNTIF(pr_code,A279)&gt;1,"Code en double",IF(B279="","Désignation manquante",IF(AND(E279&lt;&gt;"",OR(NOT(ISNUMBER(E279)),N(E279)&lt;0)),"Prix invalide",IF(AND(F279&lt;&gt;"",NOT(ISNUMBER(F279))),"Taux de TVA invalide",IF(AND(F279&lt;&gt;"",COUNTIF(p_rates,F279)=0),"Taux de TVA hors liste (Paramètres)","OK")))))))</f>
        <v/>
      </c>
    </row>
    <row r="280">
      <c r="A280" s="145" t="n"/>
      <c r="B280" s="63" t="n"/>
      <c r="C280" s="60" t="n"/>
      <c r="D280" s="60" t="n"/>
      <c r="E280" s="68" t="n"/>
      <c r="F280" s="70" t="n"/>
      <c r="G280" s="59" t="str">
        <f>IF(COUNTA(A280:F280)=0,"",IF(A280="","Code manquant",IF(COUNTIF(pr_code,A280)&gt;1,"Code en double",IF(B280="","Désignation manquante",IF(AND(E280&lt;&gt;"",OR(NOT(ISNUMBER(E280)),N(E280)&lt;0)),"Prix invalide",IF(AND(F280&lt;&gt;"",NOT(ISNUMBER(F280))),"Taux de TVA invalide",IF(AND(F280&lt;&gt;"",COUNTIF(p_rates,F280)=0),"Taux de TVA hors liste (Paramètres)","OK")))))))</f>
        <v/>
      </c>
    </row>
    <row r="281">
      <c r="A281" s="145" t="n"/>
      <c r="B281" s="63" t="n"/>
      <c r="C281" s="60" t="n"/>
      <c r="D281" s="60" t="n"/>
      <c r="E281" s="68" t="n"/>
      <c r="F281" s="70" t="n"/>
      <c r="G281" s="59" t="str">
        <f>IF(COUNTA(A281:F281)=0,"",IF(A281="","Code manquant",IF(COUNTIF(pr_code,A281)&gt;1,"Code en double",IF(B281="","Désignation manquante",IF(AND(E281&lt;&gt;"",OR(NOT(ISNUMBER(E281)),N(E281)&lt;0)),"Prix invalide",IF(AND(F281&lt;&gt;"",NOT(ISNUMBER(F281))),"Taux de TVA invalide",IF(AND(F281&lt;&gt;"",COUNTIF(p_rates,F281)=0),"Taux de TVA hors liste (Paramètres)","OK")))))))</f>
        <v/>
      </c>
    </row>
    <row r="282">
      <c r="A282" s="145" t="n"/>
      <c r="B282" s="63" t="n"/>
      <c r="C282" s="60" t="n"/>
      <c r="D282" s="60" t="n"/>
      <c r="E282" s="68" t="n"/>
      <c r="F282" s="70" t="n"/>
      <c r="G282" s="59" t="str">
        <f>IF(COUNTA(A282:F282)=0,"",IF(A282="","Code manquant",IF(COUNTIF(pr_code,A282)&gt;1,"Code en double",IF(B282="","Désignation manquante",IF(AND(E282&lt;&gt;"",OR(NOT(ISNUMBER(E282)),N(E282)&lt;0)),"Prix invalide",IF(AND(F282&lt;&gt;"",NOT(ISNUMBER(F282))),"Taux de TVA invalide",IF(AND(F282&lt;&gt;"",COUNTIF(p_rates,F282)=0),"Taux de TVA hors liste (Paramètres)","OK")))))))</f>
        <v/>
      </c>
    </row>
    <row r="283">
      <c r="A283" s="145" t="n"/>
      <c r="B283" s="63" t="n"/>
      <c r="C283" s="60" t="n"/>
      <c r="D283" s="60" t="n"/>
      <c r="E283" s="68" t="n"/>
      <c r="F283" s="70" t="n"/>
      <c r="G283" s="59" t="str">
        <f>IF(COUNTA(A283:F283)=0,"",IF(A283="","Code manquant",IF(COUNTIF(pr_code,A283)&gt;1,"Code en double",IF(B283="","Désignation manquante",IF(AND(E283&lt;&gt;"",OR(NOT(ISNUMBER(E283)),N(E283)&lt;0)),"Prix invalide",IF(AND(F283&lt;&gt;"",NOT(ISNUMBER(F283))),"Taux de TVA invalide",IF(AND(F283&lt;&gt;"",COUNTIF(p_rates,F283)=0),"Taux de TVA hors liste (Paramètres)","OK")))))))</f>
        <v/>
      </c>
    </row>
    <row r="284">
      <c r="A284" s="145" t="n"/>
      <c r="B284" s="63" t="n"/>
      <c r="C284" s="60" t="n"/>
      <c r="D284" s="60" t="n"/>
      <c r="E284" s="68" t="n"/>
      <c r="F284" s="70" t="n"/>
      <c r="G284" s="59" t="str">
        <f>IF(COUNTA(A284:F284)=0,"",IF(A284="","Code manquant",IF(COUNTIF(pr_code,A284)&gt;1,"Code en double",IF(B284="","Désignation manquante",IF(AND(E284&lt;&gt;"",OR(NOT(ISNUMBER(E284)),N(E284)&lt;0)),"Prix invalide",IF(AND(F284&lt;&gt;"",NOT(ISNUMBER(F284))),"Taux de TVA invalide",IF(AND(F284&lt;&gt;"",COUNTIF(p_rates,F284)=0),"Taux de TVA hors liste (Paramètres)","OK")))))))</f>
        <v/>
      </c>
    </row>
    <row r="285">
      <c r="A285" s="145" t="n"/>
      <c r="B285" s="63" t="n"/>
      <c r="C285" s="60" t="n"/>
      <c r="D285" s="60" t="n"/>
      <c r="E285" s="68" t="n"/>
      <c r="F285" s="70" t="n"/>
      <c r="G285" s="59" t="str">
        <f>IF(COUNTA(A285:F285)=0,"",IF(A285="","Code manquant",IF(COUNTIF(pr_code,A285)&gt;1,"Code en double",IF(B285="","Désignation manquante",IF(AND(E285&lt;&gt;"",OR(NOT(ISNUMBER(E285)),N(E285)&lt;0)),"Prix invalide",IF(AND(F285&lt;&gt;"",NOT(ISNUMBER(F285))),"Taux de TVA invalide",IF(AND(F285&lt;&gt;"",COUNTIF(p_rates,F285)=0),"Taux de TVA hors liste (Paramètres)","OK")))))))</f>
        <v/>
      </c>
    </row>
    <row r="286">
      <c r="A286" s="145" t="n"/>
      <c r="B286" s="63" t="n"/>
      <c r="C286" s="60" t="n"/>
      <c r="D286" s="60" t="n"/>
      <c r="E286" s="68" t="n"/>
      <c r="F286" s="70" t="n"/>
      <c r="G286" s="59" t="str">
        <f>IF(COUNTA(A286:F286)=0,"",IF(A286="","Code manquant",IF(COUNTIF(pr_code,A286)&gt;1,"Code en double",IF(B286="","Désignation manquante",IF(AND(E286&lt;&gt;"",OR(NOT(ISNUMBER(E286)),N(E286)&lt;0)),"Prix invalide",IF(AND(F286&lt;&gt;"",NOT(ISNUMBER(F286))),"Taux de TVA invalide",IF(AND(F286&lt;&gt;"",COUNTIF(p_rates,F286)=0),"Taux de TVA hors liste (Paramètres)","OK")))))))</f>
        <v/>
      </c>
    </row>
    <row r="287">
      <c r="A287" s="145" t="n"/>
      <c r="B287" s="63" t="n"/>
      <c r="C287" s="60" t="n"/>
      <c r="D287" s="60" t="n"/>
      <c r="E287" s="68" t="n"/>
      <c r="F287" s="70" t="n"/>
      <c r="G287" s="59" t="str">
        <f>IF(COUNTA(A287:F287)=0,"",IF(A287="","Code manquant",IF(COUNTIF(pr_code,A287)&gt;1,"Code en double",IF(B287="","Désignation manquante",IF(AND(E287&lt;&gt;"",OR(NOT(ISNUMBER(E287)),N(E287)&lt;0)),"Prix invalide",IF(AND(F287&lt;&gt;"",NOT(ISNUMBER(F287))),"Taux de TVA invalide",IF(AND(F287&lt;&gt;"",COUNTIF(p_rates,F287)=0),"Taux de TVA hors liste (Paramètres)","OK")))))))</f>
        <v/>
      </c>
    </row>
    <row r="288">
      <c r="A288" s="145" t="n"/>
      <c r="B288" s="63" t="n"/>
      <c r="C288" s="60" t="n"/>
      <c r="D288" s="60" t="n"/>
      <c r="E288" s="68" t="n"/>
      <c r="F288" s="70" t="n"/>
      <c r="G288" s="59" t="str">
        <f>IF(COUNTA(A288:F288)=0,"",IF(A288="","Code manquant",IF(COUNTIF(pr_code,A288)&gt;1,"Code en double",IF(B288="","Désignation manquante",IF(AND(E288&lt;&gt;"",OR(NOT(ISNUMBER(E288)),N(E288)&lt;0)),"Prix invalide",IF(AND(F288&lt;&gt;"",NOT(ISNUMBER(F288))),"Taux de TVA invalide",IF(AND(F288&lt;&gt;"",COUNTIF(p_rates,F288)=0),"Taux de TVA hors liste (Paramètres)","OK")))))))</f>
        <v/>
      </c>
    </row>
    <row r="289">
      <c r="A289" s="145" t="n"/>
      <c r="B289" s="63" t="n"/>
      <c r="C289" s="60" t="n"/>
      <c r="D289" s="60" t="n"/>
      <c r="E289" s="68" t="n"/>
      <c r="F289" s="70" t="n"/>
      <c r="G289" s="59" t="str">
        <f>IF(COUNTA(A289:F289)=0,"",IF(A289="","Code manquant",IF(COUNTIF(pr_code,A289)&gt;1,"Code en double",IF(B289="","Désignation manquante",IF(AND(E289&lt;&gt;"",OR(NOT(ISNUMBER(E289)),N(E289)&lt;0)),"Prix invalide",IF(AND(F289&lt;&gt;"",NOT(ISNUMBER(F289))),"Taux de TVA invalide",IF(AND(F289&lt;&gt;"",COUNTIF(p_rates,F289)=0),"Taux de TVA hors liste (Paramètres)","OK")))))))</f>
        <v/>
      </c>
    </row>
    <row r="290">
      <c r="A290" s="145" t="n"/>
      <c r="B290" s="63" t="n"/>
      <c r="C290" s="60" t="n"/>
      <c r="D290" s="60" t="n"/>
      <c r="E290" s="68" t="n"/>
      <c r="F290" s="70" t="n"/>
      <c r="G290" s="59" t="str">
        <f>IF(COUNTA(A290:F290)=0,"",IF(A290="","Code manquant",IF(COUNTIF(pr_code,A290)&gt;1,"Code en double",IF(B290="","Désignation manquante",IF(AND(E290&lt;&gt;"",OR(NOT(ISNUMBER(E290)),N(E290)&lt;0)),"Prix invalide",IF(AND(F290&lt;&gt;"",NOT(ISNUMBER(F290))),"Taux de TVA invalide",IF(AND(F290&lt;&gt;"",COUNTIF(p_rates,F290)=0),"Taux de TVA hors liste (Paramètres)","OK")))))))</f>
        <v/>
      </c>
    </row>
    <row r="291">
      <c r="A291" s="145" t="n"/>
      <c r="B291" s="63" t="n"/>
      <c r="C291" s="60" t="n"/>
      <c r="D291" s="60" t="n"/>
      <c r="E291" s="68" t="n"/>
      <c r="F291" s="70" t="n"/>
      <c r="G291" s="59" t="str">
        <f>IF(COUNTA(A291:F291)=0,"",IF(A291="","Code manquant",IF(COUNTIF(pr_code,A291)&gt;1,"Code en double",IF(B291="","Désignation manquante",IF(AND(E291&lt;&gt;"",OR(NOT(ISNUMBER(E291)),N(E291)&lt;0)),"Prix invalide",IF(AND(F291&lt;&gt;"",NOT(ISNUMBER(F291))),"Taux de TVA invalide",IF(AND(F291&lt;&gt;"",COUNTIF(p_rates,F291)=0),"Taux de TVA hors liste (Paramètres)","OK")))))))</f>
        <v/>
      </c>
    </row>
    <row r="292">
      <c r="A292" s="145" t="n"/>
      <c r="B292" s="63" t="n"/>
      <c r="C292" s="60" t="n"/>
      <c r="D292" s="60" t="n"/>
      <c r="E292" s="68" t="n"/>
      <c r="F292" s="70" t="n"/>
      <c r="G292" s="59" t="str">
        <f>IF(COUNTA(A292:F292)=0,"",IF(A292="","Code manquant",IF(COUNTIF(pr_code,A292)&gt;1,"Code en double",IF(B292="","Désignation manquante",IF(AND(E292&lt;&gt;"",OR(NOT(ISNUMBER(E292)),N(E292)&lt;0)),"Prix invalide",IF(AND(F292&lt;&gt;"",NOT(ISNUMBER(F292))),"Taux de TVA invalide",IF(AND(F292&lt;&gt;"",COUNTIF(p_rates,F292)=0),"Taux de TVA hors liste (Paramètres)","OK")))))))</f>
        <v/>
      </c>
    </row>
    <row r="293">
      <c r="A293" s="145" t="n"/>
      <c r="B293" s="63" t="n"/>
      <c r="C293" s="60" t="n"/>
      <c r="D293" s="60" t="n"/>
      <c r="E293" s="68" t="n"/>
      <c r="F293" s="70" t="n"/>
      <c r="G293" s="59" t="str">
        <f>IF(COUNTA(A293:F293)=0,"",IF(A293="","Code manquant",IF(COUNTIF(pr_code,A293)&gt;1,"Code en double",IF(B293="","Désignation manquante",IF(AND(E293&lt;&gt;"",OR(NOT(ISNUMBER(E293)),N(E293)&lt;0)),"Prix invalide",IF(AND(F293&lt;&gt;"",NOT(ISNUMBER(F293))),"Taux de TVA invalide",IF(AND(F293&lt;&gt;"",COUNTIF(p_rates,F293)=0),"Taux de TVA hors liste (Paramètres)","OK")))))))</f>
        <v/>
      </c>
    </row>
    <row r="294">
      <c r="A294" s="145" t="n"/>
      <c r="B294" s="63" t="n"/>
      <c r="C294" s="60" t="n"/>
      <c r="D294" s="60" t="n"/>
      <c r="E294" s="68" t="n"/>
      <c r="F294" s="70" t="n"/>
      <c r="G294" s="59" t="str">
        <f>IF(COUNTA(A294:F294)=0,"",IF(A294="","Code manquant",IF(COUNTIF(pr_code,A294)&gt;1,"Code en double",IF(B294="","Désignation manquante",IF(AND(E294&lt;&gt;"",OR(NOT(ISNUMBER(E294)),N(E294)&lt;0)),"Prix invalide",IF(AND(F294&lt;&gt;"",NOT(ISNUMBER(F294))),"Taux de TVA invalide",IF(AND(F294&lt;&gt;"",COUNTIF(p_rates,F294)=0),"Taux de TVA hors liste (Paramètres)","OK")))))))</f>
        <v/>
      </c>
    </row>
    <row r="295">
      <c r="A295" s="145" t="n"/>
      <c r="B295" s="63" t="n"/>
      <c r="C295" s="60" t="n"/>
      <c r="D295" s="60" t="n"/>
      <c r="E295" s="68" t="n"/>
      <c r="F295" s="70" t="n"/>
      <c r="G295" s="59" t="str">
        <f>IF(COUNTA(A295:F295)=0,"",IF(A295="","Code manquant",IF(COUNTIF(pr_code,A295)&gt;1,"Code en double",IF(B295="","Désignation manquante",IF(AND(E295&lt;&gt;"",OR(NOT(ISNUMBER(E295)),N(E295)&lt;0)),"Prix invalide",IF(AND(F295&lt;&gt;"",NOT(ISNUMBER(F295))),"Taux de TVA invalide",IF(AND(F295&lt;&gt;"",COUNTIF(p_rates,F295)=0),"Taux de TVA hors liste (Paramètres)","OK")))))))</f>
        <v/>
      </c>
    </row>
    <row r="296">
      <c r="A296" s="145" t="n"/>
      <c r="B296" s="63" t="n"/>
      <c r="C296" s="60" t="n"/>
      <c r="D296" s="60" t="n"/>
      <c r="E296" s="68" t="n"/>
      <c r="F296" s="70" t="n"/>
      <c r="G296" s="59" t="str">
        <f>IF(COUNTA(A296:F296)=0,"",IF(A296="","Code manquant",IF(COUNTIF(pr_code,A296)&gt;1,"Code en double",IF(B296="","Désignation manquante",IF(AND(E296&lt;&gt;"",OR(NOT(ISNUMBER(E296)),N(E296)&lt;0)),"Prix invalide",IF(AND(F296&lt;&gt;"",NOT(ISNUMBER(F296))),"Taux de TVA invalide",IF(AND(F296&lt;&gt;"",COUNTIF(p_rates,F296)=0),"Taux de TVA hors liste (Paramètres)","OK")))))))</f>
        <v/>
      </c>
    </row>
    <row r="297">
      <c r="A297" s="145" t="n"/>
      <c r="B297" s="63" t="n"/>
      <c r="C297" s="60" t="n"/>
      <c r="D297" s="60" t="n"/>
      <c r="E297" s="68" t="n"/>
      <c r="F297" s="70" t="n"/>
      <c r="G297" s="59" t="str">
        <f>IF(COUNTA(A297:F297)=0,"",IF(A297="","Code manquant",IF(COUNTIF(pr_code,A297)&gt;1,"Code en double",IF(B297="","Désignation manquante",IF(AND(E297&lt;&gt;"",OR(NOT(ISNUMBER(E297)),N(E297)&lt;0)),"Prix invalide",IF(AND(F297&lt;&gt;"",NOT(ISNUMBER(F297))),"Taux de TVA invalide",IF(AND(F297&lt;&gt;"",COUNTIF(p_rates,F297)=0),"Taux de TVA hors liste (Paramètres)","OK")))))))</f>
        <v/>
      </c>
    </row>
    <row r="298">
      <c r="A298" s="145" t="n"/>
      <c r="B298" s="63" t="n"/>
      <c r="C298" s="60" t="n"/>
      <c r="D298" s="60" t="n"/>
      <c r="E298" s="68" t="n"/>
      <c r="F298" s="70" t="n"/>
      <c r="G298" s="59" t="str">
        <f>IF(COUNTA(A298:F298)=0,"",IF(A298="","Code manquant",IF(COUNTIF(pr_code,A298)&gt;1,"Code en double",IF(B298="","Désignation manquante",IF(AND(E298&lt;&gt;"",OR(NOT(ISNUMBER(E298)),N(E298)&lt;0)),"Prix invalide",IF(AND(F298&lt;&gt;"",NOT(ISNUMBER(F298))),"Taux de TVA invalide",IF(AND(F298&lt;&gt;"",COUNTIF(p_rates,F298)=0),"Taux de TVA hors liste (Paramètres)","OK")))))))</f>
        <v/>
      </c>
    </row>
    <row r="299">
      <c r="A299" s="145" t="n"/>
      <c r="B299" s="63" t="n"/>
      <c r="C299" s="60" t="n"/>
      <c r="D299" s="60" t="n"/>
      <c r="E299" s="68" t="n"/>
      <c r="F299" s="70" t="n"/>
      <c r="G299" s="59" t="str">
        <f>IF(COUNTA(A299:F299)=0,"",IF(A299="","Code manquant",IF(COUNTIF(pr_code,A299)&gt;1,"Code en double",IF(B299="","Désignation manquante",IF(AND(E299&lt;&gt;"",OR(NOT(ISNUMBER(E299)),N(E299)&lt;0)),"Prix invalide",IF(AND(F299&lt;&gt;"",NOT(ISNUMBER(F299))),"Taux de TVA invalide",IF(AND(F299&lt;&gt;"",COUNTIF(p_rates,F299)=0),"Taux de TVA hors liste (Paramètres)","OK")))))))</f>
        <v/>
      </c>
    </row>
    <row r="300">
      <c r="A300" s="145" t="n"/>
      <c r="B300" s="63" t="n"/>
      <c r="C300" s="60" t="n"/>
      <c r="D300" s="60" t="n"/>
      <c r="E300" s="68" t="n"/>
      <c r="F300" s="70" t="n"/>
      <c r="G300" s="59" t="str">
        <f>IF(COUNTA(A300:F300)=0,"",IF(A300="","Code manquant",IF(COUNTIF(pr_code,A300)&gt;1,"Code en double",IF(B300="","Désignation manquante",IF(AND(E300&lt;&gt;"",OR(NOT(ISNUMBER(E300)),N(E300)&lt;0)),"Prix invalide",IF(AND(F300&lt;&gt;"",NOT(ISNUMBER(F300))),"Taux de TVA invalide",IF(AND(F300&lt;&gt;"",COUNTIF(p_rates,F300)=0),"Taux de TVA hors liste (Paramètres)","OK")))))))</f>
        <v/>
      </c>
    </row>
    <row r="301">
      <c r="A301" s="145" t="n"/>
      <c r="B301" s="63" t="n"/>
      <c r="C301" s="60" t="n"/>
      <c r="D301" s="60" t="n"/>
      <c r="E301" s="68" t="n"/>
      <c r="F301" s="70" t="n"/>
      <c r="G301" s="59" t="str">
        <f>IF(COUNTA(A301:F301)=0,"",IF(A301="","Code manquant",IF(COUNTIF(pr_code,A301)&gt;1,"Code en double",IF(B301="","Désignation manquante",IF(AND(E301&lt;&gt;"",OR(NOT(ISNUMBER(E301)),N(E301)&lt;0)),"Prix invalide",IF(AND(F301&lt;&gt;"",NOT(ISNUMBER(F301))),"Taux de TVA invalide",IF(AND(F301&lt;&gt;"",COUNTIF(p_rates,F301)=0),"Taux de TVA hors liste (Paramètres)","OK")))))))</f>
        <v/>
      </c>
    </row>
    <row r="302">
      <c r="A302" s="145" t="n"/>
      <c r="B302" s="63" t="n"/>
      <c r="C302" s="60" t="n"/>
      <c r="D302" s="60" t="n"/>
      <c r="E302" s="68" t="n"/>
      <c r="F302" s="70" t="n"/>
      <c r="G302" s="59" t="str">
        <f>IF(COUNTA(A302:F302)=0,"",IF(A302="","Code manquant",IF(COUNTIF(pr_code,A302)&gt;1,"Code en double",IF(B302="","Désignation manquante",IF(AND(E302&lt;&gt;"",OR(NOT(ISNUMBER(E302)),N(E302)&lt;0)),"Prix invalide",IF(AND(F302&lt;&gt;"",NOT(ISNUMBER(F302))),"Taux de TVA invalide",IF(AND(F302&lt;&gt;"",COUNTIF(p_rates,F302)=0),"Taux de TVA hors liste (Paramètres)","OK")))))))</f>
        <v/>
      </c>
    </row>
    <row r="303">
      <c r="A303" s="145" t="n"/>
      <c r="B303" s="63" t="n"/>
      <c r="C303" s="60" t="n"/>
      <c r="D303" s="60" t="n"/>
      <c r="E303" s="68" t="n"/>
      <c r="F303" s="70" t="n"/>
      <c r="G303" s="59" t="str">
        <f>IF(COUNTA(A303:F303)=0,"",IF(A303="","Code manquant",IF(COUNTIF(pr_code,A303)&gt;1,"Code en double",IF(B303="","Désignation manquante",IF(AND(E303&lt;&gt;"",OR(NOT(ISNUMBER(E303)),N(E303)&lt;0)),"Prix invalide",IF(AND(F303&lt;&gt;"",NOT(ISNUMBER(F303))),"Taux de TVA invalide",IF(AND(F303&lt;&gt;"",COUNTIF(p_rates,F303)=0),"Taux de TVA hors liste (Paramètres)","OK")))))))</f>
        <v/>
      </c>
    </row>
    <row r="304">
      <c r="A304" s="145" t="n"/>
      <c r="B304" s="63" t="n"/>
      <c r="C304" s="60" t="n"/>
      <c r="D304" s="60" t="n"/>
      <c r="E304" s="68" t="n"/>
      <c r="F304" s="70" t="n"/>
      <c r="G304" s="59" t="str">
        <f>IF(COUNTA(A304:F304)=0,"",IF(A304="","Code manquant",IF(COUNTIF(pr_code,A304)&gt;1,"Code en double",IF(B304="","Désignation manquante",IF(AND(E304&lt;&gt;"",OR(NOT(ISNUMBER(E304)),N(E304)&lt;0)),"Prix invalide",IF(AND(F304&lt;&gt;"",NOT(ISNUMBER(F304))),"Taux de TVA invalide",IF(AND(F304&lt;&gt;"",COUNTIF(p_rates,F304)=0),"Taux de TVA hors liste (Paramètres)","OK")))))))</f>
        <v/>
      </c>
    </row>
    <row r="305">
      <c r="A305" s="145" t="n"/>
      <c r="B305" s="63" t="n"/>
      <c r="C305" s="60" t="n"/>
      <c r="D305" s="60" t="n"/>
      <c r="E305" s="68" t="n"/>
      <c r="F305" s="70" t="n"/>
      <c r="G305" s="59" t="str">
        <f>IF(COUNTA(A305:F305)=0,"",IF(A305="","Code manquant",IF(COUNTIF(pr_code,A305)&gt;1,"Code en double",IF(B305="","Désignation manquante",IF(AND(E305&lt;&gt;"",OR(NOT(ISNUMBER(E305)),N(E305)&lt;0)),"Prix invalide",IF(AND(F305&lt;&gt;"",NOT(ISNUMBER(F305))),"Taux de TVA invalide",IF(AND(F305&lt;&gt;"",COUNTIF(p_rates,F305)=0),"Taux de TVA hors liste (Paramètres)","OK")))))))</f>
        <v/>
      </c>
    </row>
    <row r="306">
      <c r="A306" s="145" t="n"/>
      <c r="B306" s="63" t="n"/>
      <c r="C306" s="60" t="n"/>
      <c r="D306" s="60" t="n"/>
      <c r="E306" s="68" t="n"/>
      <c r="F306" s="70" t="n"/>
      <c r="G306" s="59" t="str">
        <f>IF(COUNTA(A306:F306)=0,"",IF(A306="","Code manquant",IF(COUNTIF(pr_code,A306)&gt;1,"Code en double",IF(B306="","Désignation manquante",IF(AND(E306&lt;&gt;"",OR(NOT(ISNUMBER(E306)),N(E306)&lt;0)),"Prix invalide",IF(AND(F306&lt;&gt;"",NOT(ISNUMBER(F306))),"Taux de TVA invalide",IF(AND(F306&lt;&gt;"",COUNTIF(p_rates,F306)=0),"Taux de TVA hors liste (Paramètres)","OK")))))))</f>
        <v/>
      </c>
    </row>
    <row r="307">
      <c r="A307" s="145" t="n"/>
      <c r="B307" s="63" t="n"/>
      <c r="C307" s="60" t="n"/>
      <c r="D307" s="60" t="n"/>
      <c r="E307" s="68" t="n"/>
      <c r="F307" s="70" t="n"/>
      <c r="G307" s="59" t="str">
        <f>IF(COUNTA(A307:F307)=0,"",IF(A307="","Code manquant",IF(COUNTIF(pr_code,A307)&gt;1,"Code en double",IF(B307="","Désignation manquante",IF(AND(E307&lt;&gt;"",OR(NOT(ISNUMBER(E307)),N(E307)&lt;0)),"Prix invalide",IF(AND(F307&lt;&gt;"",NOT(ISNUMBER(F307))),"Taux de TVA invalide",IF(AND(F307&lt;&gt;"",COUNTIF(p_rates,F307)=0),"Taux de TVA hors liste (Paramètres)","OK")))))))</f>
        <v/>
      </c>
    </row>
    <row r="308">
      <c r="A308" s="145" t="n"/>
      <c r="B308" s="63" t="n"/>
      <c r="C308" s="60" t="n"/>
      <c r="D308" s="60" t="n"/>
      <c r="E308" s="68" t="n"/>
      <c r="F308" s="70" t="n"/>
      <c r="G308" s="59" t="str">
        <f>IF(COUNTA(A308:F308)=0,"",IF(A308="","Code manquant",IF(COUNTIF(pr_code,A308)&gt;1,"Code en double",IF(B308="","Désignation manquante",IF(AND(E308&lt;&gt;"",OR(NOT(ISNUMBER(E308)),N(E308)&lt;0)),"Prix invalide",IF(AND(F308&lt;&gt;"",NOT(ISNUMBER(F308))),"Taux de TVA invalide",IF(AND(F308&lt;&gt;"",COUNTIF(p_rates,F308)=0),"Taux de TVA hors liste (Paramètres)","OK")))))))</f>
        <v/>
      </c>
    </row>
    <row r="309">
      <c r="A309" s="145" t="n"/>
      <c r="B309" s="63" t="n"/>
      <c r="C309" s="60" t="n"/>
      <c r="D309" s="60" t="n"/>
      <c r="E309" s="68" t="n"/>
      <c r="F309" s="70" t="n"/>
      <c r="G309" s="59" t="str">
        <f>IF(COUNTA(A309:F309)=0,"",IF(A309="","Code manquant",IF(COUNTIF(pr_code,A309)&gt;1,"Code en double",IF(B309="","Désignation manquante",IF(AND(E309&lt;&gt;"",OR(NOT(ISNUMBER(E309)),N(E309)&lt;0)),"Prix invalide",IF(AND(F309&lt;&gt;"",NOT(ISNUMBER(F309))),"Taux de TVA invalide",IF(AND(F309&lt;&gt;"",COUNTIF(p_rates,F309)=0),"Taux de TVA hors liste (Paramètres)","OK")))))))</f>
        <v/>
      </c>
    </row>
    <row r="310">
      <c r="A310" s="145" t="n"/>
      <c r="B310" s="63" t="n"/>
      <c r="C310" s="60" t="n"/>
      <c r="D310" s="60" t="n"/>
      <c r="E310" s="68" t="n"/>
      <c r="F310" s="70" t="n"/>
      <c r="G310" s="59" t="str">
        <f>IF(COUNTA(A310:F310)=0,"",IF(A310="","Code manquant",IF(COUNTIF(pr_code,A310)&gt;1,"Code en double",IF(B310="","Désignation manquante",IF(AND(E310&lt;&gt;"",OR(NOT(ISNUMBER(E310)),N(E310)&lt;0)),"Prix invalide",IF(AND(F310&lt;&gt;"",NOT(ISNUMBER(F310))),"Taux de TVA invalide",IF(AND(F310&lt;&gt;"",COUNTIF(p_rates,F310)=0),"Taux de TVA hors liste (Paramètres)","OK")))))))</f>
        <v/>
      </c>
    </row>
    <row r="311">
      <c r="A311" s="145" t="n"/>
      <c r="B311" s="63" t="n"/>
      <c r="C311" s="60" t="n"/>
      <c r="D311" s="60" t="n"/>
      <c r="E311" s="68" t="n"/>
      <c r="F311" s="70" t="n"/>
      <c r="G311" s="59" t="str">
        <f>IF(COUNTA(A311:F311)=0,"",IF(A311="","Code manquant",IF(COUNTIF(pr_code,A311)&gt;1,"Code en double",IF(B311="","Désignation manquante",IF(AND(E311&lt;&gt;"",OR(NOT(ISNUMBER(E311)),N(E311)&lt;0)),"Prix invalide",IF(AND(F311&lt;&gt;"",NOT(ISNUMBER(F311))),"Taux de TVA invalide",IF(AND(F311&lt;&gt;"",COUNTIF(p_rates,F311)=0),"Taux de TVA hors liste (Paramètres)","OK")))))))</f>
        <v/>
      </c>
    </row>
    <row r="312">
      <c r="A312" s="145" t="n"/>
      <c r="B312" s="63" t="n"/>
      <c r="C312" s="60" t="n"/>
      <c r="D312" s="60" t="n"/>
      <c r="E312" s="68" t="n"/>
      <c r="F312" s="70" t="n"/>
      <c r="G312" s="59" t="str">
        <f>IF(COUNTA(A312:F312)=0,"",IF(A312="","Code manquant",IF(COUNTIF(pr_code,A312)&gt;1,"Code en double",IF(B312="","Désignation manquante",IF(AND(E312&lt;&gt;"",OR(NOT(ISNUMBER(E312)),N(E312)&lt;0)),"Prix invalide",IF(AND(F312&lt;&gt;"",NOT(ISNUMBER(F312))),"Taux de TVA invalide",IF(AND(F312&lt;&gt;"",COUNTIF(p_rates,F312)=0),"Taux de TVA hors liste (Paramètres)","OK")))))))</f>
        <v/>
      </c>
    </row>
    <row r="313">
      <c r="A313" s="145" t="n"/>
      <c r="B313" s="63" t="n"/>
      <c r="C313" s="60" t="n"/>
      <c r="D313" s="60" t="n"/>
      <c r="E313" s="68" t="n"/>
      <c r="F313" s="70" t="n"/>
      <c r="G313" s="59" t="str">
        <f>IF(COUNTA(A313:F313)=0,"",IF(A313="","Code manquant",IF(COUNTIF(pr_code,A313)&gt;1,"Code en double",IF(B313="","Désignation manquante",IF(AND(E313&lt;&gt;"",OR(NOT(ISNUMBER(E313)),N(E313)&lt;0)),"Prix invalide",IF(AND(F313&lt;&gt;"",NOT(ISNUMBER(F313))),"Taux de TVA invalide",IF(AND(F313&lt;&gt;"",COUNTIF(p_rates,F313)=0),"Taux de TVA hors liste (Paramètres)","OK")))))))</f>
        <v/>
      </c>
    </row>
    <row r="314">
      <c r="A314" s="145" t="n"/>
      <c r="B314" s="63" t="n"/>
      <c r="C314" s="60" t="n"/>
      <c r="D314" s="60" t="n"/>
      <c r="E314" s="68" t="n"/>
      <c r="F314" s="70" t="n"/>
      <c r="G314" s="59" t="str">
        <f>IF(COUNTA(A314:F314)=0,"",IF(A314="","Code manquant",IF(COUNTIF(pr_code,A314)&gt;1,"Code en double",IF(B314="","Désignation manquante",IF(AND(E314&lt;&gt;"",OR(NOT(ISNUMBER(E314)),N(E314)&lt;0)),"Prix invalide",IF(AND(F314&lt;&gt;"",NOT(ISNUMBER(F314))),"Taux de TVA invalide",IF(AND(F314&lt;&gt;"",COUNTIF(p_rates,F314)=0),"Taux de TVA hors liste (Paramètres)","OK")))))))</f>
        <v/>
      </c>
    </row>
    <row r="315">
      <c r="A315" s="145" t="n"/>
      <c r="B315" s="63" t="n"/>
      <c r="C315" s="60" t="n"/>
      <c r="D315" s="60" t="n"/>
      <c r="E315" s="68" t="n"/>
      <c r="F315" s="70" t="n"/>
      <c r="G315" s="59" t="str">
        <f>IF(COUNTA(A315:F315)=0,"",IF(A315="","Code manquant",IF(COUNTIF(pr_code,A315)&gt;1,"Code en double",IF(B315="","Désignation manquante",IF(AND(E315&lt;&gt;"",OR(NOT(ISNUMBER(E315)),N(E315)&lt;0)),"Prix invalide",IF(AND(F315&lt;&gt;"",NOT(ISNUMBER(F315))),"Taux de TVA invalide",IF(AND(F315&lt;&gt;"",COUNTIF(p_rates,F315)=0),"Taux de TVA hors liste (Paramètres)","OK")))))))</f>
        <v/>
      </c>
    </row>
    <row r="316">
      <c r="A316" s="145" t="n"/>
      <c r="B316" s="63" t="n"/>
      <c r="C316" s="60" t="n"/>
      <c r="D316" s="60" t="n"/>
      <c r="E316" s="68" t="n"/>
      <c r="F316" s="70" t="n"/>
      <c r="G316" s="59" t="str">
        <f>IF(COUNTA(A316:F316)=0,"",IF(A316="","Code manquant",IF(COUNTIF(pr_code,A316)&gt;1,"Code en double",IF(B316="","Désignation manquante",IF(AND(E316&lt;&gt;"",OR(NOT(ISNUMBER(E316)),N(E316)&lt;0)),"Prix invalide",IF(AND(F316&lt;&gt;"",NOT(ISNUMBER(F316))),"Taux de TVA invalide",IF(AND(F316&lt;&gt;"",COUNTIF(p_rates,F316)=0),"Taux de TVA hors liste (Paramètres)","OK")))))))</f>
        <v/>
      </c>
    </row>
    <row r="317">
      <c r="A317" s="145" t="n"/>
      <c r="B317" s="63" t="n"/>
      <c r="C317" s="60" t="n"/>
      <c r="D317" s="60" t="n"/>
      <c r="E317" s="68" t="n"/>
      <c r="F317" s="70" t="n"/>
      <c r="G317" s="59" t="str">
        <f>IF(COUNTA(A317:F317)=0,"",IF(A317="","Code manquant",IF(COUNTIF(pr_code,A317)&gt;1,"Code en double",IF(B317="","Désignation manquante",IF(AND(E317&lt;&gt;"",OR(NOT(ISNUMBER(E317)),N(E317)&lt;0)),"Prix invalide",IF(AND(F317&lt;&gt;"",NOT(ISNUMBER(F317))),"Taux de TVA invalide",IF(AND(F317&lt;&gt;"",COUNTIF(p_rates,F317)=0),"Taux de TVA hors liste (Paramètres)","OK")))))))</f>
        <v/>
      </c>
    </row>
    <row r="318">
      <c r="A318" s="145" t="n"/>
      <c r="B318" s="63" t="n"/>
      <c r="C318" s="60" t="n"/>
      <c r="D318" s="60" t="n"/>
      <c r="E318" s="68" t="n"/>
      <c r="F318" s="70" t="n"/>
      <c r="G318" s="59" t="str">
        <f>IF(COUNTA(A318:F318)=0,"",IF(A318="","Code manquant",IF(COUNTIF(pr_code,A318)&gt;1,"Code en double",IF(B318="","Désignation manquante",IF(AND(E318&lt;&gt;"",OR(NOT(ISNUMBER(E318)),N(E318)&lt;0)),"Prix invalide",IF(AND(F318&lt;&gt;"",NOT(ISNUMBER(F318))),"Taux de TVA invalide",IF(AND(F318&lt;&gt;"",COUNTIF(p_rates,F318)=0),"Taux de TVA hors liste (Paramètres)","OK")))))))</f>
        <v/>
      </c>
    </row>
    <row r="319">
      <c r="A319" s="145" t="n"/>
      <c r="B319" s="63" t="n"/>
      <c r="C319" s="60" t="n"/>
      <c r="D319" s="60" t="n"/>
      <c r="E319" s="68" t="n"/>
      <c r="F319" s="70" t="n"/>
      <c r="G319" s="59" t="str">
        <f>IF(COUNTA(A319:F319)=0,"",IF(A319="","Code manquant",IF(COUNTIF(pr_code,A319)&gt;1,"Code en double",IF(B319="","Désignation manquante",IF(AND(E319&lt;&gt;"",OR(NOT(ISNUMBER(E319)),N(E319)&lt;0)),"Prix invalide",IF(AND(F319&lt;&gt;"",NOT(ISNUMBER(F319))),"Taux de TVA invalide",IF(AND(F319&lt;&gt;"",COUNTIF(p_rates,F319)=0),"Taux de TVA hors liste (Paramètres)","OK")))))))</f>
        <v/>
      </c>
    </row>
    <row r="320">
      <c r="A320" s="145" t="n"/>
      <c r="B320" s="63" t="n"/>
      <c r="C320" s="60" t="n"/>
      <c r="D320" s="60" t="n"/>
      <c r="E320" s="68" t="n"/>
      <c r="F320" s="70" t="n"/>
      <c r="G320" s="59" t="str">
        <f>IF(COUNTA(A320:F320)=0,"",IF(A320="","Code manquant",IF(COUNTIF(pr_code,A320)&gt;1,"Code en double",IF(B320="","Désignation manquante",IF(AND(E320&lt;&gt;"",OR(NOT(ISNUMBER(E320)),N(E320)&lt;0)),"Prix invalide",IF(AND(F320&lt;&gt;"",NOT(ISNUMBER(F320))),"Taux de TVA invalide",IF(AND(F320&lt;&gt;"",COUNTIF(p_rates,F320)=0),"Taux de TVA hors liste (Paramètres)","OK")))))))</f>
        <v/>
      </c>
    </row>
    <row r="321">
      <c r="A321" s="145" t="n"/>
      <c r="B321" s="63" t="n"/>
      <c r="C321" s="60" t="n"/>
      <c r="D321" s="60" t="n"/>
      <c r="E321" s="68" t="n"/>
      <c r="F321" s="70" t="n"/>
      <c r="G321" s="59" t="str">
        <f>IF(COUNTA(A321:F321)=0,"",IF(A321="","Code manquant",IF(COUNTIF(pr_code,A321)&gt;1,"Code en double",IF(B321="","Désignation manquante",IF(AND(E321&lt;&gt;"",OR(NOT(ISNUMBER(E321)),N(E321)&lt;0)),"Prix invalide",IF(AND(F321&lt;&gt;"",NOT(ISNUMBER(F321))),"Taux de TVA invalide",IF(AND(F321&lt;&gt;"",COUNTIF(p_rates,F321)=0),"Taux de TVA hors liste (Paramètres)","OK")))))))</f>
        <v/>
      </c>
    </row>
    <row r="322">
      <c r="A322" s="145" t="n"/>
      <c r="B322" s="63" t="n"/>
      <c r="C322" s="60" t="n"/>
      <c r="D322" s="60" t="n"/>
      <c r="E322" s="68" t="n"/>
      <c r="F322" s="70" t="n"/>
      <c r="G322" s="59" t="str">
        <f>IF(COUNTA(A322:F322)=0,"",IF(A322="","Code manquant",IF(COUNTIF(pr_code,A322)&gt;1,"Code en double",IF(B322="","Désignation manquante",IF(AND(E322&lt;&gt;"",OR(NOT(ISNUMBER(E322)),N(E322)&lt;0)),"Prix invalide",IF(AND(F322&lt;&gt;"",NOT(ISNUMBER(F322))),"Taux de TVA invalide",IF(AND(F322&lt;&gt;"",COUNTIF(p_rates,F322)=0),"Taux de TVA hors liste (Paramètres)","OK")))))))</f>
        <v/>
      </c>
    </row>
    <row r="323">
      <c r="A323" s="145" t="n"/>
      <c r="B323" s="63" t="n"/>
      <c r="C323" s="60" t="n"/>
      <c r="D323" s="60" t="n"/>
      <c r="E323" s="68" t="n"/>
      <c r="F323" s="70" t="n"/>
      <c r="G323" s="59" t="str">
        <f>IF(COUNTA(A323:F323)=0,"",IF(A323="","Code manquant",IF(COUNTIF(pr_code,A323)&gt;1,"Code en double",IF(B323="","Désignation manquante",IF(AND(E323&lt;&gt;"",OR(NOT(ISNUMBER(E323)),N(E323)&lt;0)),"Prix invalide",IF(AND(F323&lt;&gt;"",NOT(ISNUMBER(F323))),"Taux de TVA invalide",IF(AND(F323&lt;&gt;"",COUNTIF(p_rates,F323)=0),"Taux de TVA hors liste (Paramètres)","OK")))))))</f>
        <v/>
      </c>
    </row>
    <row r="324">
      <c r="A324" s="145" t="n"/>
      <c r="B324" s="63" t="n"/>
      <c r="C324" s="60" t="n"/>
      <c r="D324" s="60" t="n"/>
      <c r="E324" s="68" t="n"/>
      <c r="F324" s="70" t="n"/>
      <c r="G324" s="59" t="str">
        <f>IF(COUNTA(A324:F324)=0,"",IF(A324="","Code manquant",IF(COUNTIF(pr_code,A324)&gt;1,"Code en double",IF(B324="","Désignation manquante",IF(AND(E324&lt;&gt;"",OR(NOT(ISNUMBER(E324)),N(E324)&lt;0)),"Prix invalide",IF(AND(F324&lt;&gt;"",NOT(ISNUMBER(F324))),"Taux de TVA invalide",IF(AND(F324&lt;&gt;"",COUNTIF(p_rates,F324)=0),"Taux de TVA hors liste (Paramètres)","OK")))))))</f>
        <v/>
      </c>
    </row>
    <row r="325">
      <c r="A325" s="145" t="n"/>
      <c r="B325" s="63" t="n"/>
      <c r="C325" s="60" t="n"/>
      <c r="D325" s="60" t="n"/>
      <c r="E325" s="68" t="n"/>
      <c r="F325" s="70" t="n"/>
      <c r="G325" s="59" t="str">
        <f>IF(COUNTA(A325:F325)=0,"",IF(A325="","Code manquant",IF(COUNTIF(pr_code,A325)&gt;1,"Code en double",IF(B325="","Désignation manquante",IF(AND(E325&lt;&gt;"",OR(NOT(ISNUMBER(E325)),N(E325)&lt;0)),"Prix invalide",IF(AND(F325&lt;&gt;"",NOT(ISNUMBER(F325))),"Taux de TVA invalide",IF(AND(F325&lt;&gt;"",COUNTIF(p_rates,F325)=0),"Taux de TVA hors liste (Paramètres)","OK")))))))</f>
        <v/>
      </c>
    </row>
    <row r="326">
      <c r="A326" s="145" t="n"/>
      <c r="B326" s="63" t="n"/>
      <c r="C326" s="60" t="n"/>
      <c r="D326" s="60" t="n"/>
      <c r="E326" s="68" t="n"/>
      <c r="F326" s="70" t="n"/>
      <c r="G326" s="59" t="str">
        <f>IF(COUNTA(A326:F326)=0,"",IF(A326="","Code manquant",IF(COUNTIF(pr_code,A326)&gt;1,"Code en double",IF(B326="","Désignation manquante",IF(AND(E326&lt;&gt;"",OR(NOT(ISNUMBER(E326)),N(E326)&lt;0)),"Prix invalide",IF(AND(F326&lt;&gt;"",NOT(ISNUMBER(F326))),"Taux de TVA invalide",IF(AND(F326&lt;&gt;"",COUNTIF(p_rates,F326)=0),"Taux de TVA hors liste (Paramètres)","OK")))))))</f>
        <v/>
      </c>
    </row>
    <row r="327">
      <c r="A327" s="145" t="n"/>
      <c r="B327" s="63" t="n"/>
      <c r="C327" s="60" t="n"/>
      <c r="D327" s="60" t="n"/>
      <c r="E327" s="68" t="n"/>
      <c r="F327" s="70" t="n"/>
      <c r="G327" s="59" t="str">
        <f>IF(COUNTA(A327:F327)=0,"",IF(A327="","Code manquant",IF(COUNTIF(pr_code,A327)&gt;1,"Code en double",IF(B327="","Désignation manquante",IF(AND(E327&lt;&gt;"",OR(NOT(ISNUMBER(E327)),N(E327)&lt;0)),"Prix invalide",IF(AND(F327&lt;&gt;"",NOT(ISNUMBER(F327))),"Taux de TVA invalide",IF(AND(F327&lt;&gt;"",COUNTIF(p_rates,F327)=0),"Taux de TVA hors liste (Paramètres)","OK")))))))</f>
        <v/>
      </c>
    </row>
    <row r="328">
      <c r="A328" s="145" t="n"/>
      <c r="B328" s="63" t="n"/>
      <c r="C328" s="60" t="n"/>
      <c r="D328" s="60" t="n"/>
      <c r="E328" s="68" t="n"/>
      <c r="F328" s="70" t="n"/>
      <c r="G328" s="59" t="str">
        <f>IF(COUNTA(A328:F328)=0,"",IF(A328="","Code manquant",IF(COUNTIF(pr_code,A328)&gt;1,"Code en double",IF(B328="","Désignation manquante",IF(AND(E328&lt;&gt;"",OR(NOT(ISNUMBER(E328)),N(E328)&lt;0)),"Prix invalide",IF(AND(F328&lt;&gt;"",NOT(ISNUMBER(F328))),"Taux de TVA invalide",IF(AND(F328&lt;&gt;"",COUNTIF(p_rates,F328)=0),"Taux de TVA hors liste (Paramètres)","OK")))))))</f>
        <v/>
      </c>
    </row>
    <row r="329">
      <c r="A329" s="145" t="n"/>
      <c r="B329" s="63" t="n"/>
      <c r="C329" s="60" t="n"/>
      <c r="D329" s="60" t="n"/>
      <c r="E329" s="68" t="n"/>
      <c r="F329" s="70" t="n"/>
      <c r="G329" s="59" t="str">
        <f>IF(COUNTA(A329:F329)=0,"",IF(A329="","Code manquant",IF(COUNTIF(pr_code,A329)&gt;1,"Code en double",IF(B329="","Désignation manquante",IF(AND(E329&lt;&gt;"",OR(NOT(ISNUMBER(E329)),N(E329)&lt;0)),"Prix invalide",IF(AND(F329&lt;&gt;"",NOT(ISNUMBER(F329))),"Taux de TVA invalide",IF(AND(F329&lt;&gt;"",COUNTIF(p_rates,F329)=0),"Taux de TVA hors liste (Paramètres)","OK")))))))</f>
        <v/>
      </c>
    </row>
    <row r="330">
      <c r="A330" s="145" t="n"/>
      <c r="B330" s="63" t="n"/>
      <c r="C330" s="60" t="n"/>
      <c r="D330" s="60" t="n"/>
      <c r="E330" s="68" t="n"/>
      <c r="F330" s="70" t="n"/>
      <c r="G330" s="59" t="str">
        <f>IF(COUNTA(A330:F330)=0,"",IF(A330="","Code manquant",IF(COUNTIF(pr_code,A330)&gt;1,"Code en double",IF(B330="","Désignation manquante",IF(AND(E330&lt;&gt;"",OR(NOT(ISNUMBER(E330)),N(E330)&lt;0)),"Prix invalide",IF(AND(F330&lt;&gt;"",NOT(ISNUMBER(F330))),"Taux de TVA invalide",IF(AND(F330&lt;&gt;"",COUNTIF(p_rates,F330)=0),"Taux de TVA hors liste (Paramètres)","OK")))))))</f>
        <v/>
      </c>
    </row>
    <row r="331">
      <c r="A331" s="145" t="n"/>
      <c r="B331" s="63" t="n"/>
      <c r="C331" s="60" t="n"/>
      <c r="D331" s="60" t="n"/>
      <c r="E331" s="68" t="n"/>
      <c r="F331" s="70" t="n"/>
      <c r="G331" s="59" t="str">
        <f>IF(COUNTA(A331:F331)=0,"",IF(A331="","Code manquant",IF(COUNTIF(pr_code,A331)&gt;1,"Code en double",IF(B331="","Désignation manquante",IF(AND(E331&lt;&gt;"",OR(NOT(ISNUMBER(E331)),N(E331)&lt;0)),"Prix invalide",IF(AND(F331&lt;&gt;"",NOT(ISNUMBER(F331))),"Taux de TVA invalide",IF(AND(F331&lt;&gt;"",COUNTIF(p_rates,F331)=0),"Taux de TVA hors liste (Paramètres)","OK")))))))</f>
        <v/>
      </c>
    </row>
    <row r="332">
      <c r="A332" s="145" t="n"/>
      <c r="B332" s="63" t="n"/>
      <c r="C332" s="60" t="n"/>
      <c r="D332" s="60" t="n"/>
      <c r="E332" s="68" t="n"/>
      <c r="F332" s="70" t="n"/>
      <c r="G332" s="59" t="str">
        <f>IF(COUNTA(A332:F332)=0,"",IF(A332="","Code manquant",IF(COUNTIF(pr_code,A332)&gt;1,"Code en double",IF(B332="","Désignation manquante",IF(AND(E332&lt;&gt;"",OR(NOT(ISNUMBER(E332)),N(E332)&lt;0)),"Prix invalide",IF(AND(F332&lt;&gt;"",NOT(ISNUMBER(F332))),"Taux de TVA invalide",IF(AND(F332&lt;&gt;"",COUNTIF(p_rates,F332)=0),"Taux de TVA hors liste (Paramètres)","OK")))))))</f>
        <v/>
      </c>
    </row>
    <row r="333">
      <c r="A333" s="145" t="n"/>
      <c r="B333" s="63" t="n"/>
      <c r="C333" s="60" t="n"/>
      <c r="D333" s="60" t="n"/>
      <c r="E333" s="68" t="n"/>
      <c r="F333" s="70" t="n"/>
      <c r="G333" s="59" t="str">
        <f>IF(COUNTA(A333:F333)=0,"",IF(A333="","Code manquant",IF(COUNTIF(pr_code,A333)&gt;1,"Code en double",IF(B333="","Désignation manquante",IF(AND(E333&lt;&gt;"",OR(NOT(ISNUMBER(E333)),N(E333)&lt;0)),"Prix invalide",IF(AND(F333&lt;&gt;"",NOT(ISNUMBER(F333))),"Taux de TVA invalide",IF(AND(F333&lt;&gt;"",COUNTIF(p_rates,F333)=0),"Taux de TVA hors liste (Paramètres)","OK")))))))</f>
        <v/>
      </c>
    </row>
    <row r="334">
      <c r="A334" s="145" t="n"/>
      <c r="B334" s="63" t="n"/>
      <c r="C334" s="60" t="n"/>
      <c r="D334" s="60" t="n"/>
      <c r="E334" s="68" t="n"/>
      <c r="F334" s="70" t="n"/>
      <c r="G334" s="59" t="str">
        <f>IF(COUNTA(A334:F334)=0,"",IF(A334="","Code manquant",IF(COUNTIF(pr_code,A334)&gt;1,"Code en double",IF(B334="","Désignation manquante",IF(AND(E334&lt;&gt;"",OR(NOT(ISNUMBER(E334)),N(E334)&lt;0)),"Prix invalide",IF(AND(F334&lt;&gt;"",NOT(ISNUMBER(F334))),"Taux de TVA invalide",IF(AND(F334&lt;&gt;"",COUNTIF(p_rates,F334)=0),"Taux de TVA hors liste (Paramètres)","OK")))))))</f>
        <v/>
      </c>
    </row>
    <row r="335">
      <c r="A335" s="145" t="n"/>
      <c r="B335" s="63" t="n"/>
      <c r="C335" s="60" t="n"/>
      <c r="D335" s="60" t="n"/>
      <c r="E335" s="68" t="n"/>
      <c r="F335" s="70" t="n"/>
      <c r="G335" s="59" t="str">
        <f>IF(COUNTA(A335:F335)=0,"",IF(A335="","Code manquant",IF(COUNTIF(pr_code,A335)&gt;1,"Code en double",IF(B335="","Désignation manquante",IF(AND(E335&lt;&gt;"",OR(NOT(ISNUMBER(E335)),N(E335)&lt;0)),"Prix invalide",IF(AND(F335&lt;&gt;"",NOT(ISNUMBER(F335))),"Taux de TVA invalide",IF(AND(F335&lt;&gt;"",COUNTIF(p_rates,F335)=0),"Taux de TVA hors liste (Paramètres)","OK")))))))</f>
        <v/>
      </c>
    </row>
    <row r="336">
      <c r="A336" s="145" t="n"/>
      <c r="B336" s="63" t="n"/>
      <c r="C336" s="60" t="n"/>
      <c r="D336" s="60" t="n"/>
      <c r="E336" s="68" t="n"/>
      <c r="F336" s="70" t="n"/>
      <c r="G336" s="59" t="str">
        <f>IF(COUNTA(A336:F336)=0,"",IF(A336="","Code manquant",IF(COUNTIF(pr_code,A336)&gt;1,"Code en double",IF(B336="","Désignation manquante",IF(AND(E336&lt;&gt;"",OR(NOT(ISNUMBER(E336)),N(E336)&lt;0)),"Prix invalide",IF(AND(F336&lt;&gt;"",NOT(ISNUMBER(F336))),"Taux de TVA invalide",IF(AND(F336&lt;&gt;"",COUNTIF(p_rates,F336)=0),"Taux de TVA hors liste (Paramètres)","OK")))))))</f>
        <v/>
      </c>
    </row>
    <row r="337">
      <c r="A337" s="145" t="n"/>
      <c r="B337" s="63" t="n"/>
      <c r="C337" s="60" t="n"/>
      <c r="D337" s="60" t="n"/>
      <c r="E337" s="68" t="n"/>
      <c r="F337" s="70" t="n"/>
      <c r="G337" s="59" t="str">
        <f>IF(COUNTA(A337:F337)=0,"",IF(A337="","Code manquant",IF(COUNTIF(pr_code,A337)&gt;1,"Code en double",IF(B337="","Désignation manquante",IF(AND(E337&lt;&gt;"",OR(NOT(ISNUMBER(E337)),N(E337)&lt;0)),"Prix invalide",IF(AND(F337&lt;&gt;"",NOT(ISNUMBER(F337))),"Taux de TVA invalide",IF(AND(F337&lt;&gt;"",COUNTIF(p_rates,F337)=0),"Taux de TVA hors liste (Paramètres)","OK")))))))</f>
        <v/>
      </c>
    </row>
    <row r="338">
      <c r="A338" s="145" t="n"/>
      <c r="B338" s="63" t="n"/>
      <c r="C338" s="60" t="n"/>
      <c r="D338" s="60" t="n"/>
      <c r="E338" s="68" t="n"/>
      <c r="F338" s="70" t="n"/>
      <c r="G338" s="59" t="str">
        <f>IF(COUNTA(A338:F338)=0,"",IF(A338="","Code manquant",IF(COUNTIF(pr_code,A338)&gt;1,"Code en double",IF(B338="","Désignation manquante",IF(AND(E338&lt;&gt;"",OR(NOT(ISNUMBER(E338)),N(E338)&lt;0)),"Prix invalide",IF(AND(F338&lt;&gt;"",NOT(ISNUMBER(F338))),"Taux de TVA invalide",IF(AND(F338&lt;&gt;"",COUNTIF(p_rates,F338)=0),"Taux de TVA hors liste (Paramètres)","OK")))))))</f>
        <v/>
      </c>
    </row>
    <row r="339">
      <c r="A339" s="145" t="n"/>
      <c r="B339" s="63" t="n"/>
      <c r="C339" s="60" t="n"/>
      <c r="D339" s="60" t="n"/>
      <c r="E339" s="68" t="n"/>
      <c r="F339" s="70" t="n"/>
      <c r="G339" s="59" t="str">
        <f>IF(COUNTA(A339:F339)=0,"",IF(A339="","Code manquant",IF(COUNTIF(pr_code,A339)&gt;1,"Code en double",IF(B339="","Désignation manquante",IF(AND(E339&lt;&gt;"",OR(NOT(ISNUMBER(E339)),N(E339)&lt;0)),"Prix invalide",IF(AND(F339&lt;&gt;"",NOT(ISNUMBER(F339))),"Taux de TVA invalide",IF(AND(F339&lt;&gt;"",COUNTIF(p_rates,F339)=0),"Taux de TVA hors liste (Paramètres)","OK")))))))</f>
        <v/>
      </c>
    </row>
    <row r="340">
      <c r="A340" s="145" t="n"/>
      <c r="B340" s="63" t="n"/>
      <c r="C340" s="60" t="n"/>
      <c r="D340" s="60" t="n"/>
      <c r="E340" s="68" t="n"/>
      <c r="F340" s="70" t="n"/>
      <c r="G340" s="59" t="str">
        <f>IF(COUNTA(A340:F340)=0,"",IF(A340="","Code manquant",IF(COUNTIF(pr_code,A340)&gt;1,"Code en double",IF(B340="","Désignation manquante",IF(AND(E340&lt;&gt;"",OR(NOT(ISNUMBER(E340)),N(E340)&lt;0)),"Prix invalide",IF(AND(F340&lt;&gt;"",NOT(ISNUMBER(F340))),"Taux de TVA invalide",IF(AND(F340&lt;&gt;"",COUNTIF(p_rates,F340)=0),"Taux de TVA hors liste (Paramètres)","OK")))))))</f>
        <v/>
      </c>
    </row>
    <row r="341">
      <c r="A341" s="145" t="n"/>
      <c r="B341" s="63" t="n"/>
      <c r="C341" s="60" t="n"/>
      <c r="D341" s="60" t="n"/>
      <c r="E341" s="68" t="n"/>
      <c r="F341" s="70" t="n"/>
      <c r="G341" s="59" t="str">
        <f>IF(COUNTA(A341:F341)=0,"",IF(A341="","Code manquant",IF(COUNTIF(pr_code,A341)&gt;1,"Code en double",IF(B341="","Désignation manquante",IF(AND(E341&lt;&gt;"",OR(NOT(ISNUMBER(E341)),N(E341)&lt;0)),"Prix invalide",IF(AND(F341&lt;&gt;"",NOT(ISNUMBER(F341))),"Taux de TVA invalide",IF(AND(F341&lt;&gt;"",COUNTIF(p_rates,F341)=0),"Taux de TVA hors liste (Paramètres)","OK")))))))</f>
        <v/>
      </c>
    </row>
    <row r="342">
      <c r="A342" s="145" t="n"/>
      <c r="B342" s="63" t="n"/>
      <c r="C342" s="60" t="n"/>
      <c r="D342" s="60" t="n"/>
      <c r="E342" s="68" t="n"/>
      <c r="F342" s="70" t="n"/>
      <c r="G342" s="59" t="str">
        <f>IF(COUNTA(A342:F342)=0,"",IF(A342="","Code manquant",IF(COUNTIF(pr_code,A342)&gt;1,"Code en double",IF(B342="","Désignation manquante",IF(AND(E342&lt;&gt;"",OR(NOT(ISNUMBER(E342)),N(E342)&lt;0)),"Prix invalide",IF(AND(F342&lt;&gt;"",NOT(ISNUMBER(F342))),"Taux de TVA invalide",IF(AND(F342&lt;&gt;"",COUNTIF(p_rates,F342)=0),"Taux de TVA hors liste (Paramètres)","OK")))))))</f>
        <v/>
      </c>
    </row>
    <row r="343">
      <c r="A343" s="145" t="n"/>
      <c r="B343" s="63" t="n"/>
      <c r="C343" s="60" t="n"/>
      <c r="D343" s="60" t="n"/>
      <c r="E343" s="68" t="n"/>
      <c r="F343" s="70" t="n"/>
      <c r="G343" s="59" t="str">
        <f>IF(COUNTA(A343:F343)=0,"",IF(A343="","Code manquant",IF(COUNTIF(pr_code,A343)&gt;1,"Code en double",IF(B343="","Désignation manquante",IF(AND(E343&lt;&gt;"",OR(NOT(ISNUMBER(E343)),N(E343)&lt;0)),"Prix invalide",IF(AND(F343&lt;&gt;"",NOT(ISNUMBER(F343))),"Taux de TVA invalide",IF(AND(F343&lt;&gt;"",COUNTIF(p_rates,F343)=0),"Taux de TVA hors liste (Paramètres)","OK")))))))</f>
        <v/>
      </c>
    </row>
    <row r="344">
      <c r="A344" s="145" t="n"/>
      <c r="B344" s="63" t="n"/>
      <c r="C344" s="60" t="n"/>
      <c r="D344" s="60" t="n"/>
      <c r="E344" s="68" t="n"/>
      <c r="F344" s="70" t="n"/>
      <c r="G344" s="59" t="str">
        <f>IF(COUNTA(A344:F344)=0,"",IF(A344="","Code manquant",IF(COUNTIF(pr_code,A344)&gt;1,"Code en double",IF(B344="","Désignation manquante",IF(AND(E344&lt;&gt;"",OR(NOT(ISNUMBER(E344)),N(E344)&lt;0)),"Prix invalide",IF(AND(F344&lt;&gt;"",NOT(ISNUMBER(F344))),"Taux de TVA invalide",IF(AND(F344&lt;&gt;"",COUNTIF(p_rates,F344)=0),"Taux de TVA hors liste (Paramètres)","OK")))))))</f>
        <v/>
      </c>
    </row>
    <row r="345">
      <c r="A345" s="145" t="n"/>
      <c r="B345" s="63" t="n"/>
      <c r="C345" s="60" t="n"/>
      <c r="D345" s="60" t="n"/>
      <c r="E345" s="68" t="n"/>
      <c r="F345" s="70" t="n"/>
      <c r="G345" s="59" t="str">
        <f>IF(COUNTA(A345:F345)=0,"",IF(A345="","Code manquant",IF(COUNTIF(pr_code,A345)&gt;1,"Code en double",IF(B345="","Désignation manquante",IF(AND(E345&lt;&gt;"",OR(NOT(ISNUMBER(E345)),N(E345)&lt;0)),"Prix invalide",IF(AND(F345&lt;&gt;"",NOT(ISNUMBER(F345))),"Taux de TVA invalide",IF(AND(F345&lt;&gt;"",COUNTIF(p_rates,F345)=0),"Taux de TVA hors liste (Paramètres)","OK")))))))</f>
        <v/>
      </c>
    </row>
    <row r="346">
      <c r="A346" s="145" t="n"/>
      <c r="B346" s="63" t="n"/>
      <c r="C346" s="60" t="n"/>
      <c r="D346" s="60" t="n"/>
      <c r="E346" s="68" t="n"/>
      <c r="F346" s="70" t="n"/>
      <c r="G346" s="59" t="str">
        <f>IF(COUNTA(A346:F346)=0,"",IF(A346="","Code manquant",IF(COUNTIF(pr_code,A346)&gt;1,"Code en double",IF(B346="","Désignation manquante",IF(AND(E346&lt;&gt;"",OR(NOT(ISNUMBER(E346)),N(E346)&lt;0)),"Prix invalide",IF(AND(F346&lt;&gt;"",NOT(ISNUMBER(F346))),"Taux de TVA invalide",IF(AND(F346&lt;&gt;"",COUNTIF(p_rates,F346)=0),"Taux de TVA hors liste (Paramètres)","OK")))))))</f>
        <v/>
      </c>
    </row>
    <row r="347">
      <c r="A347" s="145" t="n"/>
      <c r="B347" s="63" t="n"/>
      <c r="C347" s="60" t="n"/>
      <c r="D347" s="60" t="n"/>
      <c r="E347" s="68" t="n"/>
      <c r="F347" s="70" t="n"/>
      <c r="G347" s="59" t="str">
        <f>IF(COUNTA(A347:F347)=0,"",IF(A347="","Code manquant",IF(COUNTIF(pr_code,A347)&gt;1,"Code en double",IF(B347="","Désignation manquante",IF(AND(E347&lt;&gt;"",OR(NOT(ISNUMBER(E347)),N(E347)&lt;0)),"Prix invalide",IF(AND(F347&lt;&gt;"",NOT(ISNUMBER(F347))),"Taux de TVA invalide",IF(AND(F347&lt;&gt;"",COUNTIF(p_rates,F347)=0),"Taux de TVA hors liste (Paramètres)","OK")))))))</f>
        <v/>
      </c>
    </row>
    <row r="348">
      <c r="A348" s="145" t="n"/>
      <c r="B348" s="63" t="n"/>
      <c r="C348" s="60" t="n"/>
      <c r="D348" s="60" t="n"/>
      <c r="E348" s="68" t="n"/>
      <c r="F348" s="70" t="n"/>
      <c r="G348" s="59" t="str">
        <f>IF(COUNTA(A348:F348)=0,"",IF(A348="","Code manquant",IF(COUNTIF(pr_code,A348)&gt;1,"Code en double",IF(B348="","Désignation manquante",IF(AND(E348&lt;&gt;"",OR(NOT(ISNUMBER(E348)),N(E348)&lt;0)),"Prix invalide",IF(AND(F348&lt;&gt;"",NOT(ISNUMBER(F348))),"Taux de TVA invalide",IF(AND(F348&lt;&gt;"",COUNTIF(p_rates,F348)=0),"Taux de TVA hors liste (Paramètres)","OK")))))))</f>
        <v/>
      </c>
    </row>
    <row r="349">
      <c r="A349" s="145" t="n"/>
      <c r="B349" s="63" t="n"/>
      <c r="C349" s="60" t="n"/>
      <c r="D349" s="60" t="n"/>
      <c r="E349" s="68" t="n"/>
      <c r="F349" s="70" t="n"/>
      <c r="G349" s="59" t="str">
        <f>IF(COUNTA(A349:F349)=0,"",IF(A349="","Code manquant",IF(COUNTIF(pr_code,A349)&gt;1,"Code en double",IF(B349="","Désignation manquante",IF(AND(E349&lt;&gt;"",OR(NOT(ISNUMBER(E349)),N(E349)&lt;0)),"Prix invalide",IF(AND(F349&lt;&gt;"",NOT(ISNUMBER(F349))),"Taux de TVA invalide",IF(AND(F349&lt;&gt;"",COUNTIF(p_rates,F349)=0),"Taux de TVA hors liste (Paramètres)","OK")))))))</f>
        <v/>
      </c>
    </row>
    <row r="350">
      <c r="A350" s="145" t="n"/>
      <c r="B350" s="63" t="n"/>
      <c r="C350" s="60" t="n"/>
      <c r="D350" s="60" t="n"/>
      <c r="E350" s="68" t="n"/>
      <c r="F350" s="70" t="n"/>
      <c r="G350" s="59" t="str">
        <f>IF(COUNTA(A350:F350)=0,"",IF(A350="","Code manquant",IF(COUNTIF(pr_code,A350)&gt;1,"Code en double",IF(B350="","Désignation manquante",IF(AND(E350&lt;&gt;"",OR(NOT(ISNUMBER(E350)),N(E350)&lt;0)),"Prix invalide",IF(AND(F350&lt;&gt;"",NOT(ISNUMBER(F350))),"Taux de TVA invalide",IF(AND(F350&lt;&gt;"",COUNTIF(p_rates,F350)=0),"Taux de TVA hors liste (Paramètres)","OK")))))))</f>
        <v/>
      </c>
    </row>
    <row r="351">
      <c r="A351" s="145" t="n"/>
      <c r="B351" s="63" t="n"/>
      <c r="C351" s="60" t="n"/>
      <c r="D351" s="60" t="n"/>
      <c r="E351" s="68" t="n"/>
      <c r="F351" s="70" t="n"/>
      <c r="G351" s="59" t="str">
        <f>IF(COUNTA(A351:F351)=0,"",IF(A351="","Code manquant",IF(COUNTIF(pr_code,A351)&gt;1,"Code en double",IF(B351="","Désignation manquante",IF(AND(E351&lt;&gt;"",OR(NOT(ISNUMBER(E351)),N(E351)&lt;0)),"Prix invalide",IF(AND(F351&lt;&gt;"",NOT(ISNUMBER(F351))),"Taux de TVA invalide",IF(AND(F351&lt;&gt;"",COUNTIF(p_rates,F351)=0),"Taux de TVA hors liste (Paramètres)","OK")))))))</f>
        <v/>
      </c>
    </row>
    <row r="352">
      <c r="A352" s="145" t="n"/>
      <c r="B352" s="63" t="n"/>
      <c r="C352" s="60" t="n"/>
      <c r="D352" s="60" t="n"/>
      <c r="E352" s="68" t="n"/>
      <c r="F352" s="70" t="n"/>
      <c r="G352" s="59" t="str">
        <f>IF(COUNTA(A352:F352)=0,"",IF(A352="","Code manquant",IF(COUNTIF(pr_code,A352)&gt;1,"Code en double",IF(B352="","Désignation manquante",IF(AND(E352&lt;&gt;"",OR(NOT(ISNUMBER(E352)),N(E352)&lt;0)),"Prix invalide",IF(AND(F352&lt;&gt;"",NOT(ISNUMBER(F352))),"Taux de TVA invalide",IF(AND(F352&lt;&gt;"",COUNTIF(p_rates,F352)=0),"Taux de TVA hors liste (Paramètres)","OK")))))))</f>
        <v/>
      </c>
    </row>
    <row r="353">
      <c r="A353" s="145" t="n"/>
      <c r="B353" s="63" t="n"/>
      <c r="C353" s="60" t="n"/>
      <c r="D353" s="60" t="n"/>
      <c r="E353" s="68" t="n"/>
      <c r="F353" s="70" t="n"/>
      <c r="G353" s="59" t="str">
        <f>IF(COUNTA(A353:F353)=0,"",IF(A353="","Code manquant",IF(COUNTIF(pr_code,A353)&gt;1,"Code en double",IF(B353="","Désignation manquante",IF(AND(E353&lt;&gt;"",OR(NOT(ISNUMBER(E353)),N(E353)&lt;0)),"Prix invalide",IF(AND(F353&lt;&gt;"",NOT(ISNUMBER(F353))),"Taux de TVA invalide",IF(AND(F353&lt;&gt;"",COUNTIF(p_rates,F353)=0),"Taux de TVA hors liste (Paramètres)","OK")))))))</f>
        <v/>
      </c>
    </row>
    <row r="354">
      <c r="A354" s="145" t="n"/>
      <c r="B354" s="63" t="n"/>
      <c r="C354" s="60" t="n"/>
      <c r="D354" s="60" t="n"/>
      <c r="E354" s="68" t="n"/>
      <c r="F354" s="70" t="n"/>
      <c r="G354" s="59" t="str">
        <f>IF(COUNTA(A354:F354)=0,"",IF(A354="","Code manquant",IF(COUNTIF(pr_code,A354)&gt;1,"Code en double",IF(B354="","Désignation manquante",IF(AND(E354&lt;&gt;"",OR(NOT(ISNUMBER(E354)),N(E354)&lt;0)),"Prix invalide",IF(AND(F354&lt;&gt;"",NOT(ISNUMBER(F354))),"Taux de TVA invalide",IF(AND(F354&lt;&gt;"",COUNTIF(p_rates,F354)=0),"Taux de TVA hors liste (Paramètres)","OK")))))))</f>
        <v/>
      </c>
    </row>
    <row r="355">
      <c r="A355" s="145" t="n"/>
      <c r="B355" s="63" t="n"/>
      <c r="C355" s="60" t="n"/>
      <c r="D355" s="60" t="n"/>
      <c r="E355" s="68" t="n"/>
      <c r="F355" s="70" t="n"/>
      <c r="G355" s="59" t="str">
        <f>IF(COUNTA(A355:F355)=0,"",IF(A355="","Code manquant",IF(COUNTIF(pr_code,A355)&gt;1,"Code en double",IF(B355="","Désignation manquante",IF(AND(E355&lt;&gt;"",OR(NOT(ISNUMBER(E355)),N(E355)&lt;0)),"Prix invalide",IF(AND(F355&lt;&gt;"",NOT(ISNUMBER(F355))),"Taux de TVA invalide",IF(AND(F355&lt;&gt;"",COUNTIF(p_rates,F355)=0),"Taux de TVA hors liste (Paramètres)","OK")))))))</f>
        <v/>
      </c>
    </row>
    <row r="356">
      <c r="A356" s="145" t="n"/>
      <c r="B356" s="63" t="n"/>
      <c r="C356" s="60" t="n"/>
      <c r="D356" s="60" t="n"/>
      <c r="E356" s="68" t="n"/>
      <c r="F356" s="70" t="n"/>
      <c r="G356" s="59" t="str">
        <f>IF(COUNTA(A356:F356)=0,"",IF(A356="","Code manquant",IF(COUNTIF(pr_code,A356)&gt;1,"Code en double",IF(B356="","Désignation manquante",IF(AND(E356&lt;&gt;"",OR(NOT(ISNUMBER(E356)),N(E356)&lt;0)),"Prix invalide",IF(AND(F356&lt;&gt;"",NOT(ISNUMBER(F356))),"Taux de TVA invalide",IF(AND(F356&lt;&gt;"",COUNTIF(p_rates,F356)=0),"Taux de TVA hors liste (Paramètres)","OK")))))))</f>
        <v/>
      </c>
    </row>
    <row r="357">
      <c r="A357" s="145" t="n"/>
      <c r="B357" s="63" t="n"/>
      <c r="C357" s="60" t="n"/>
      <c r="D357" s="60" t="n"/>
      <c r="E357" s="68" t="n"/>
      <c r="F357" s="70" t="n"/>
      <c r="G357" s="59" t="str">
        <f>IF(COUNTA(A357:F357)=0,"",IF(A357="","Code manquant",IF(COUNTIF(pr_code,A357)&gt;1,"Code en double",IF(B357="","Désignation manquante",IF(AND(E357&lt;&gt;"",OR(NOT(ISNUMBER(E357)),N(E357)&lt;0)),"Prix invalide",IF(AND(F357&lt;&gt;"",NOT(ISNUMBER(F357))),"Taux de TVA invalide",IF(AND(F357&lt;&gt;"",COUNTIF(p_rates,F357)=0),"Taux de TVA hors liste (Paramètres)","OK")))))))</f>
        <v/>
      </c>
    </row>
    <row r="358">
      <c r="A358" s="145" t="n"/>
      <c r="B358" s="63" t="n"/>
      <c r="C358" s="60" t="n"/>
      <c r="D358" s="60" t="n"/>
      <c r="E358" s="68" t="n"/>
      <c r="F358" s="70" t="n"/>
      <c r="G358" s="59" t="str">
        <f>IF(COUNTA(A358:F358)=0,"",IF(A358="","Code manquant",IF(COUNTIF(pr_code,A358)&gt;1,"Code en double",IF(B358="","Désignation manquante",IF(AND(E358&lt;&gt;"",OR(NOT(ISNUMBER(E358)),N(E358)&lt;0)),"Prix invalide",IF(AND(F358&lt;&gt;"",NOT(ISNUMBER(F358))),"Taux de TVA invalide",IF(AND(F358&lt;&gt;"",COUNTIF(p_rates,F358)=0),"Taux de TVA hors liste (Paramètres)","OK")))))))</f>
        <v/>
      </c>
    </row>
    <row r="359">
      <c r="A359" s="145" t="n"/>
      <c r="B359" s="63" t="n"/>
      <c r="C359" s="60" t="n"/>
      <c r="D359" s="60" t="n"/>
      <c r="E359" s="68" t="n"/>
      <c r="F359" s="70" t="n"/>
      <c r="G359" s="59" t="str">
        <f>IF(COUNTA(A359:F359)=0,"",IF(A359="","Code manquant",IF(COUNTIF(pr_code,A359)&gt;1,"Code en double",IF(B359="","Désignation manquante",IF(AND(E359&lt;&gt;"",OR(NOT(ISNUMBER(E359)),N(E359)&lt;0)),"Prix invalide",IF(AND(F359&lt;&gt;"",NOT(ISNUMBER(F359))),"Taux de TVA invalide",IF(AND(F359&lt;&gt;"",COUNTIF(p_rates,F359)=0),"Taux de TVA hors liste (Paramètres)","OK")))))))</f>
        <v/>
      </c>
    </row>
    <row r="360">
      <c r="A360" s="145" t="n"/>
      <c r="B360" s="63" t="n"/>
      <c r="C360" s="60" t="n"/>
      <c r="D360" s="60" t="n"/>
      <c r="E360" s="68" t="n"/>
      <c r="F360" s="70" t="n"/>
      <c r="G360" s="59" t="str">
        <f>IF(COUNTA(A360:F360)=0,"",IF(A360="","Code manquant",IF(COUNTIF(pr_code,A360)&gt;1,"Code en double",IF(B360="","Désignation manquante",IF(AND(E360&lt;&gt;"",OR(NOT(ISNUMBER(E360)),N(E360)&lt;0)),"Prix invalide",IF(AND(F360&lt;&gt;"",NOT(ISNUMBER(F360))),"Taux de TVA invalide",IF(AND(F360&lt;&gt;"",COUNTIF(p_rates,F360)=0),"Taux de TVA hors liste (Paramètres)","OK")))))))</f>
        <v/>
      </c>
    </row>
    <row r="361">
      <c r="A361" s="145" t="n"/>
      <c r="B361" s="63" t="n"/>
      <c r="C361" s="60" t="n"/>
      <c r="D361" s="60" t="n"/>
      <c r="E361" s="68" t="n"/>
      <c r="F361" s="70" t="n"/>
      <c r="G361" s="59" t="str">
        <f>IF(COUNTA(A361:F361)=0,"",IF(A361="","Code manquant",IF(COUNTIF(pr_code,A361)&gt;1,"Code en double",IF(B361="","Désignation manquante",IF(AND(E361&lt;&gt;"",OR(NOT(ISNUMBER(E361)),N(E361)&lt;0)),"Prix invalide",IF(AND(F361&lt;&gt;"",NOT(ISNUMBER(F361))),"Taux de TVA invalide",IF(AND(F361&lt;&gt;"",COUNTIF(p_rates,F361)=0),"Taux de TVA hors liste (Paramètres)","OK")))))))</f>
        <v/>
      </c>
    </row>
    <row r="362">
      <c r="A362" s="145" t="n"/>
      <c r="B362" s="63" t="n"/>
      <c r="C362" s="60" t="n"/>
      <c r="D362" s="60" t="n"/>
      <c r="E362" s="68" t="n"/>
      <c r="F362" s="70" t="n"/>
      <c r="G362" s="59" t="str">
        <f>IF(COUNTA(A362:F362)=0,"",IF(A362="","Code manquant",IF(COUNTIF(pr_code,A362)&gt;1,"Code en double",IF(B362="","Désignation manquante",IF(AND(E362&lt;&gt;"",OR(NOT(ISNUMBER(E362)),N(E362)&lt;0)),"Prix invalide",IF(AND(F362&lt;&gt;"",NOT(ISNUMBER(F362))),"Taux de TVA invalide",IF(AND(F362&lt;&gt;"",COUNTIF(p_rates,F362)=0),"Taux de TVA hors liste (Paramètres)","OK")))))))</f>
        <v/>
      </c>
    </row>
    <row r="363">
      <c r="A363" s="145" t="n"/>
      <c r="B363" s="63" t="n"/>
      <c r="C363" s="60" t="n"/>
      <c r="D363" s="60" t="n"/>
      <c r="E363" s="68" t="n"/>
      <c r="F363" s="70" t="n"/>
      <c r="G363" s="59" t="str">
        <f>IF(COUNTA(A363:F363)=0,"",IF(A363="","Code manquant",IF(COUNTIF(pr_code,A363)&gt;1,"Code en double",IF(B363="","Désignation manquante",IF(AND(E363&lt;&gt;"",OR(NOT(ISNUMBER(E363)),N(E363)&lt;0)),"Prix invalide",IF(AND(F363&lt;&gt;"",NOT(ISNUMBER(F363))),"Taux de TVA invalide",IF(AND(F363&lt;&gt;"",COUNTIF(p_rates,F363)=0),"Taux de TVA hors liste (Paramètres)","OK")))))))</f>
        <v/>
      </c>
    </row>
    <row r="364">
      <c r="A364" s="145" t="n"/>
      <c r="B364" s="63" t="n"/>
      <c r="C364" s="60" t="n"/>
      <c r="D364" s="60" t="n"/>
      <c r="E364" s="68" t="n"/>
      <c r="F364" s="70" t="n"/>
      <c r="G364" s="59" t="str">
        <f>IF(COUNTA(A364:F364)=0,"",IF(A364="","Code manquant",IF(COUNTIF(pr_code,A364)&gt;1,"Code en double",IF(B364="","Désignation manquante",IF(AND(E364&lt;&gt;"",OR(NOT(ISNUMBER(E364)),N(E364)&lt;0)),"Prix invalide",IF(AND(F364&lt;&gt;"",NOT(ISNUMBER(F364))),"Taux de TVA invalide",IF(AND(F364&lt;&gt;"",COUNTIF(p_rates,F364)=0),"Taux de TVA hors liste (Paramètres)","OK")))))))</f>
        <v/>
      </c>
    </row>
    <row r="365">
      <c r="A365" s="145" t="n"/>
      <c r="B365" s="63" t="n"/>
      <c r="C365" s="60" t="n"/>
      <c r="D365" s="60" t="n"/>
      <c r="E365" s="68" t="n"/>
      <c r="F365" s="70" t="n"/>
      <c r="G365" s="59" t="str">
        <f>IF(COUNTA(A365:F365)=0,"",IF(A365="","Code manquant",IF(COUNTIF(pr_code,A365)&gt;1,"Code en double",IF(B365="","Désignation manquante",IF(AND(E365&lt;&gt;"",OR(NOT(ISNUMBER(E365)),N(E365)&lt;0)),"Prix invalide",IF(AND(F365&lt;&gt;"",NOT(ISNUMBER(F365))),"Taux de TVA invalide",IF(AND(F365&lt;&gt;"",COUNTIF(p_rates,F365)=0),"Taux de TVA hors liste (Paramètres)","OK")))))))</f>
        <v/>
      </c>
    </row>
    <row r="366">
      <c r="A366" s="145" t="n"/>
      <c r="B366" s="63" t="n"/>
      <c r="C366" s="60" t="n"/>
      <c r="D366" s="60" t="n"/>
      <c r="E366" s="68" t="n"/>
      <c r="F366" s="70" t="n"/>
      <c r="G366" s="59" t="str">
        <f>IF(COUNTA(A366:F366)=0,"",IF(A366="","Code manquant",IF(COUNTIF(pr_code,A366)&gt;1,"Code en double",IF(B366="","Désignation manquante",IF(AND(E366&lt;&gt;"",OR(NOT(ISNUMBER(E366)),N(E366)&lt;0)),"Prix invalide",IF(AND(F366&lt;&gt;"",NOT(ISNUMBER(F366))),"Taux de TVA invalide",IF(AND(F366&lt;&gt;"",COUNTIF(p_rates,F366)=0),"Taux de TVA hors liste (Paramètres)","OK")))))))</f>
        <v/>
      </c>
    </row>
    <row r="367">
      <c r="A367" s="145" t="n"/>
      <c r="B367" s="63" t="n"/>
      <c r="C367" s="60" t="n"/>
      <c r="D367" s="60" t="n"/>
      <c r="E367" s="68" t="n"/>
      <c r="F367" s="70" t="n"/>
      <c r="G367" s="59" t="str">
        <f>IF(COUNTA(A367:F367)=0,"",IF(A367="","Code manquant",IF(COUNTIF(pr_code,A367)&gt;1,"Code en double",IF(B367="","Désignation manquante",IF(AND(E367&lt;&gt;"",OR(NOT(ISNUMBER(E367)),N(E367)&lt;0)),"Prix invalide",IF(AND(F367&lt;&gt;"",NOT(ISNUMBER(F367))),"Taux de TVA invalide",IF(AND(F367&lt;&gt;"",COUNTIF(p_rates,F367)=0),"Taux de TVA hors liste (Paramètres)","OK")))))))</f>
        <v/>
      </c>
    </row>
    <row r="368">
      <c r="A368" s="145" t="n"/>
      <c r="B368" s="63" t="n"/>
      <c r="C368" s="60" t="n"/>
      <c r="D368" s="60" t="n"/>
      <c r="E368" s="68" t="n"/>
      <c r="F368" s="70" t="n"/>
      <c r="G368" s="59" t="str">
        <f>IF(COUNTA(A368:F368)=0,"",IF(A368="","Code manquant",IF(COUNTIF(pr_code,A368)&gt;1,"Code en double",IF(B368="","Désignation manquante",IF(AND(E368&lt;&gt;"",OR(NOT(ISNUMBER(E368)),N(E368)&lt;0)),"Prix invalide",IF(AND(F368&lt;&gt;"",NOT(ISNUMBER(F368))),"Taux de TVA invalide",IF(AND(F368&lt;&gt;"",COUNTIF(p_rates,F368)=0),"Taux de TVA hors liste (Paramètres)","OK")))))))</f>
        <v/>
      </c>
    </row>
    <row r="369">
      <c r="A369" s="145" t="n"/>
      <c r="B369" s="63" t="n"/>
      <c r="C369" s="60" t="n"/>
      <c r="D369" s="60" t="n"/>
      <c r="E369" s="68" t="n"/>
      <c r="F369" s="70" t="n"/>
      <c r="G369" s="59" t="str">
        <f>IF(COUNTA(A369:F369)=0,"",IF(A369="","Code manquant",IF(COUNTIF(pr_code,A369)&gt;1,"Code en double",IF(B369="","Désignation manquante",IF(AND(E369&lt;&gt;"",OR(NOT(ISNUMBER(E369)),N(E369)&lt;0)),"Prix invalide",IF(AND(F369&lt;&gt;"",NOT(ISNUMBER(F369))),"Taux de TVA invalide",IF(AND(F369&lt;&gt;"",COUNTIF(p_rates,F369)=0),"Taux de TVA hors liste (Paramètres)","OK")))))))</f>
        <v/>
      </c>
    </row>
    <row r="370">
      <c r="A370" s="145" t="n"/>
      <c r="B370" s="63" t="n"/>
      <c r="C370" s="60" t="n"/>
      <c r="D370" s="60" t="n"/>
      <c r="E370" s="68" t="n"/>
      <c r="F370" s="70" t="n"/>
      <c r="G370" s="59" t="str">
        <f>IF(COUNTA(A370:F370)=0,"",IF(A370="","Code manquant",IF(COUNTIF(pr_code,A370)&gt;1,"Code en double",IF(B370="","Désignation manquante",IF(AND(E370&lt;&gt;"",OR(NOT(ISNUMBER(E370)),N(E370)&lt;0)),"Prix invalide",IF(AND(F370&lt;&gt;"",NOT(ISNUMBER(F370))),"Taux de TVA invalide",IF(AND(F370&lt;&gt;"",COUNTIF(p_rates,F370)=0),"Taux de TVA hors liste (Paramètres)","OK")))))))</f>
        <v/>
      </c>
    </row>
    <row r="371">
      <c r="A371" s="145" t="n"/>
      <c r="B371" s="63" t="n"/>
      <c r="C371" s="60" t="n"/>
      <c r="D371" s="60" t="n"/>
      <c r="E371" s="68" t="n"/>
      <c r="F371" s="70" t="n"/>
      <c r="G371" s="59" t="str">
        <f>IF(COUNTA(A371:F371)=0,"",IF(A371="","Code manquant",IF(COUNTIF(pr_code,A371)&gt;1,"Code en double",IF(B371="","Désignation manquante",IF(AND(E371&lt;&gt;"",OR(NOT(ISNUMBER(E371)),N(E371)&lt;0)),"Prix invalide",IF(AND(F371&lt;&gt;"",NOT(ISNUMBER(F371))),"Taux de TVA invalide",IF(AND(F371&lt;&gt;"",COUNTIF(p_rates,F371)=0),"Taux de TVA hors liste (Paramètres)","OK")))))))</f>
        <v/>
      </c>
    </row>
    <row r="372">
      <c r="A372" s="145" t="n"/>
      <c r="B372" s="63" t="n"/>
      <c r="C372" s="60" t="n"/>
      <c r="D372" s="60" t="n"/>
      <c r="E372" s="68" t="n"/>
      <c r="F372" s="70" t="n"/>
      <c r="G372" s="59" t="str">
        <f>IF(COUNTA(A372:F372)=0,"",IF(A372="","Code manquant",IF(COUNTIF(pr_code,A372)&gt;1,"Code en double",IF(B372="","Désignation manquante",IF(AND(E372&lt;&gt;"",OR(NOT(ISNUMBER(E372)),N(E372)&lt;0)),"Prix invalide",IF(AND(F372&lt;&gt;"",NOT(ISNUMBER(F372))),"Taux de TVA invalide",IF(AND(F372&lt;&gt;"",COUNTIF(p_rates,F372)=0),"Taux de TVA hors liste (Paramètres)","OK")))))))</f>
        <v/>
      </c>
    </row>
    <row r="373">
      <c r="A373" s="145" t="n"/>
      <c r="B373" s="63" t="n"/>
      <c r="C373" s="60" t="n"/>
      <c r="D373" s="60" t="n"/>
      <c r="E373" s="68" t="n"/>
      <c r="F373" s="70" t="n"/>
      <c r="G373" s="59" t="str">
        <f>IF(COUNTA(A373:F373)=0,"",IF(A373="","Code manquant",IF(COUNTIF(pr_code,A373)&gt;1,"Code en double",IF(B373="","Désignation manquante",IF(AND(E373&lt;&gt;"",OR(NOT(ISNUMBER(E373)),N(E373)&lt;0)),"Prix invalide",IF(AND(F373&lt;&gt;"",NOT(ISNUMBER(F373))),"Taux de TVA invalide",IF(AND(F373&lt;&gt;"",COUNTIF(p_rates,F373)=0),"Taux de TVA hors liste (Paramètres)","OK")))))))</f>
        <v/>
      </c>
    </row>
    <row r="374">
      <c r="A374" s="145" t="n"/>
      <c r="B374" s="63" t="n"/>
      <c r="C374" s="60" t="n"/>
      <c r="D374" s="60" t="n"/>
      <c r="E374" s="68" t="n"/>
      <c r="F374" s="70" t="n"/>
      <c r="G374" s="59" t="str">
        <f>IF(COUNTA(A374:F374)=0,"",IF(A374="","Code manquant",IF(COUNTIF(pr_code,A374)&gt;1,"Code en double",IF(B374="","Désignation manquante",IF(AND(E374&lt;&gt;"",OR(NOT(ISNUMBER(E374)),N(E374)&lt;0)),"Prix invalide",IF(AND(F374&lt;&gt;"",NOT(ISNUMBER(F374))),"Taux de TVA invalide",IF(AND(F374&lt;&gt;"",COUNTIF(p_rates,F374)=0),"Taux de TVA hors liste (Paramètres)","OK")))))))</f>
        <v/>
      </c>
    </row>
    <row r="375">
      <c r="A375" s="145" t="n"/>
      <c r="B375" s="63" t="n"/>
      <c r="C375" s="60" t="n"/>
      <c r="D375" s="60" t="n"/>
      <c r="E375" s="68" t="n"/>
      <c r="F375" s="70" t="n"/>
      <c r="G375" s="59" t="str">
        <f>IF(COUNTA(A375:F375)=0,"",IF(A375="","Code manquant",IF(COUNTIF(pr_code,A375)&gt;1,"Code en double",IF(B375="","Désignation manquante",IF(AND(E375&lt;&gt;"",OR(NOT(ISNUMBER(E375)),N(E375)&lt;0)),"Prix invalide",IF(AND(F375&lt;&gt;"",NOT(ISNUMBER(F375))),"Taux de TVA invalide",IF(AND(F375&lt;&gt;"",COUNTIF(p_rates,F375)=0),"Taux de TVA hors liste (Paramètres)","OK")))))))</f>
        <v/>
      </c>
    </row>
    <row r="376">
      <c r="A376" s="145" t="n"/>
      <c r="B376" s="63" t="n"/>
      <c r="C376" s="60" t="n"/>
      <c r="D376" s="60" t="n"/>
      <c r="E376" s="68" t="n"/>
      <c r="F376" s="70" t="n"/>
      <c r="G376" s="59" t="str">
        <f>IF(COUNTA(A376:F376)=0,"",IF(A376="","Code manquant",IF(COUNTIF(pr_code,A376)&gt;1,"Code en double",IF(B376="","Désignation manquante",IF(AND(E376&lt;&gt;"",OR(NOT(ISNUMBER(E376)),N(E376)&lt;0)),"Prix invalide",IF(AND(F376&lt;&gt;"",NOT(ISNUMBER(F376))),"Taux de TVA invalide",IF(AND(F376&lt;&gt;"",COUNTIF(p_rates,F376)=0),"Taux de TVA hors liste (Paramètres)","OK")))))))</f>
        <v/>
      </c>
    </row>
    <row r="377">
      <c r="A377" s="145" t="n"/>
      <c r="B377" s="63" t="n"/>
      <c r="C377" s="60" t="n"/>
      <c r="D377" s="60" t="n"/>
      <c r="E377" s="68" t="n"/>
      <c r="F377" s="70" t="n"/>
      <c r="G377" s="59" t="str">
        <f>IF(COUNTA(A377:F377)=0,"",IF(A377="","Code manquant",IF(COUNTIF(pr_code,A377)&gt;1,"Code en double",IF(B377="","Désignation manquante",IF(AND(E377&lt;&gt;"",OR(NOT(ISNUMBER(E377)),N(E377)&lt;0)),"Prix invalide",IF(AND(F377&lt;&gt;"",NOT(ISNUMBER(F377))),"Taux de TVA invalide",IF(AND(F377&lt;&gt;"",COUNTIF(p_rates,F377)=0),"Taux de TVA hors liste (Paramètres)","OK")))))))</f>
        <v/>
      </c>
    </row>
    <row r="378">
      <c r="A378" s="145" t="n"/>
      <c r="B378" s="63" t="n"/>
      <c r="C378" s="60" t="n"/>
      <c r="D378" s="60" t="n"/>
      <c r="E378" s="68" t="n"/>
      <c r="F378" s="70" t="n"/>
      <c r="G378" s="59" t="str">
        <f>IF(COUNTA(A378:F378)=0,"",IF(A378="","Code manquant",IF(COUNTIF(pr_code,A378)&gt;1,"Code en double",IF(B378="","Désignation manquante",IF(AND(E378&lt;&gt;"",OR(NOT(ISNUMBER(E378)),N(E378)&lt;0)),"Prix invalide",IF(AND(F378&lt;&gt;"",NOT(ISNUMBER(F378))),"Taux de TVA invalide",IF(AND(F378&lt;&gt;"",COUNTIF(p_rates,F378)=0),"Taux de TVA hors liste (Paramètres)","OK")))))))</f>
        <v/>
      </c>
    </row>
    <row r="379">
      <c r="A379" s="145" t="n"/>
      <c r="B379" s="63" t="n"/>
      <c r="C379" s="60" t="n"/>
      <c r="D379" s="60" t="n"/>
      <c r="E379" s="68" t="n"/>
      <c r="F379" s="70" t="n"/>
      <c r="G379" s="59" t="str">
        <f>IF(COUNTA(A379:F379)=0,"",IF(A379="","Code manquant",IF(COUNTIF(pr_code,A379)&gt;1,"Code en double",IF(B379="","Désignation manquante",IF(AND(E379&lt;&gt;"",OR(NOT(ISNUMBER(E379)),N(E379)&lt;0)),"Prix invalide",IF(AND(F379&lt;&gt;"",NOT(ISNUMBER(F379))),"Taux de TVA invalide",IF(AND(F379&lt;&gt;"",COUNTIF(p_rates,F379)=0),"Taux de TVA hors liste (Paramètres)","OK")))))))</f>
        <v/>
      </c>
    </row>
    <row r="380">
      <c r="A380" s="145" t="n"/>
      <c r="B380" s="63" t="n"/>
      <c r="C380" s="60" t="n"/>
      <c r="D380" s="60" t="n"/>
      <c r="E380" s="68" t="n"/>
      <c r="F380" s="70" t="n"/>
      <c r="G380" s="59" t="str">
        <f>IF(COUNTA(A380:F380)=0,"",IF(A380="","Code manquant",IF(COUNTIF(pr_code,A380)&gt;1,"Code en double",IF(B380="","Désignation manquante",IF(AND(E380&lt;&gt;"",OR(NOT(ISNUMBER(E380)),N(E380)&lt;0)),"Prix invalide",IF(AND(F380&lt;&gt;"",NOT(ISNUMBER(F380))),"Taux de TVA invalide",IF(AND(F380&lt;&gt;"",COUNTIF(p_rates,F380)=0),"Taux de TVA hors liste (Paramètres)","OK")))))))</f>
        <v/>
      </c>
    </row>
    <row r="381">
      <c r="A381" s="145" t="n"/>
      <c r="B381" s="63" t="n"/>
      <c r="C381" s="60" t="n"/>
      <c r="D381" s="60" t="n"/>
      <c r="E381" s="68" t="n"/>
      <c r="F381" s="70" t="n"/>
      <c r="G381" s="59" t="str">
        <f>IF(COUNTA(A381:F381)=0,"",IF(A381="","Code manquant",IF(COUNTIF(pr_code,A381)&gt;1,"Code en double",IF(B381="","Désignation manquante",IF(AND(E381&lt;&gt;"",OR(NOT(ISNUMBER(E381)),N(E381)&lt;0)),"Prix invalide",IF(AND(F381&lt;&gt;"",NOT(ISNUMBER(F381))),"Taux de TVA invalide",IF(AND(F381&lt;&gt;"",COUNTIF(p_rates,F381)=0),"Taux de TVA hors liste (Paramètres)","OK")))))))</f>
        <v/>
      </c>
    </row>
    <row r="382">
      <c r="A382" s="145" t="n"/>
      <c r="B382" s="63" t="n"/>
      <c r="C382" s="60" t="n"/>
      <c r="D382" s="60" t="n"/>
      <c r="E382" s="68" t="n"/>
      <c r="F382" s="70" t="n"/>
      <c r="G382" s="59" t="str">
        <f>IF(COUNTA(A382:F382)=0,"",IF(A382="","Code manquant",IF(COUNTIF(pr_code,A382)&gt;1,"Code en double",IF(B382="","Désignation manquante",IF(AND(E382&lt;&gt;"",OR(NOT(ISNUMBER(E382)),N(E382)&lt;0)),"Prix invalide",IF(AND(F382&lt;&gt;"",NOT(ISNUMBER(F382))),"Taux de TVA invalide",IF(AND(F382&lt;&gt;"",COUNTIF(p_rates,F382)=0),"Taux de TVA hors liste (Paramètres)","OK")))))))</f>
        <v/>
      </c>
    </row>
    <row r="383">
      <c r="A383" s="145" t="n"/>
      <c r="B383" s="63" t="n"/>
      <c r="C383" s="60" t="n"/>
      <c r="D383" s="60" t="n"/>
      <c r="E383" s="68" t="n"/>
      <c r="F383" s="70" t="n"/>
      <c r="G383" s="59" t="str">
        <f>IF(COUNTA(A383:F383)=0,"",IF(A383="","Code manquant",IF(COUNTIF(pr_code,A383)&gt;1,"Code en double",IF(B383="","Désignation manquante",IF(AND(E383&lt;&gt;"",OR(NOT(ISNUMBER(E383)),N(E383)&lt;0)),"Prix invalide",IF(AND(F383&lt;&gt;"",NOT(ISNUMBER(F383))),"Taux de TVA invalide",IF(AND(F383&lt;&gt;"",COUNTIF(p_rates,F383)=0),"Taux de TVA hors liste (Paramètres)","OK")))))))</f>
        <v/>
      </c>
    </row>
    <row r="384">
      <c r="A384" s="145" t="n"/>
      <c r="B384" s="63" t="n"/>
      <c r="C384" s="60" t="n"/>
      <c r="D384" s="60" t="n"/>
      <c r="E384" s="68" t="n"/>
      <c r="F384" s="70" t="n"/>
      <c r="G384" s="59" t="str">
        <f>IF(COUNTA(A384:F384)=0,"",IF(A384="","Code manquant",IF(COUNTIF(pr_code,A384)&gt;1,"Code en double",IF(B384="","Désignation manquante",IF(AND(E384&lt;&gt;"",OR(NOT(ISNUMBER(E384)),N(E384)&lt;0)),"Prix invalide",IF(AND(F384&lt;&gt;"",NOT(ISNUMBER(F384))),"Taux de TVA invalide",IF(AND(F384&lt;&gt;"",COUNTIF(p_rates,F384)=0),"Taux de TVA hors liste (Paramètres)","OK")))))))</f>
        <v/>
      </c>
    </row>
    <row r="385">
      <c r="A385" s="145" t="n"/>
      <c r="B385" s="63" t="n"/>
      <c r="C385" s="60" t="n"/>
      <c r="D385" s="60" t="n"/>
      <c r="E385" s="68" t="n"/>
      <c r="F385" s="70" t="n"/>
      <c r="G385" s="59" t="str">
        <f>IF(COUNTA(A385:F385)=0,"",IF(A385="","Code manquant",IF(COUNTIF(pr_code,A385)&gt;1,"Code en double",IF(B385="","Désignation manquante",IF(AND(E385&lt;&gt;"",OR(NOT(ISNUMBER(E385)),N(E385)&lt;0)),"Prix invalide",IF(AND(F385&lt;&gt;"",NOT(ISNUMBER(F385))),"Taux de TVA invalide",IF(AND(F385&lt;&gt;"",COUNTIF(p_rates,F385)=0),"Taux de TVA hors liste (Paramètres)","OK")))))))</f>
        <v/>
      </c>
    </row>
    <row r="386">
      <c r="A386" s="145" t="n"/>
      <c r="B386" s="63" t="n"/>
      <c r="C386" s="60" t="n"/>
      <c r="D386" s="60" t="n"/>
      <c r="E386" s="68" t="n"/>
      <c r="F386" s="70" t="n"/>
      <c r="G386" s="59" t="str">
        <f>IF(COUNTA(A386:F386)=0,"",IF(A386="","Code manquant",IF(COUNTIF(pr_code,A386)&gt;1,"Code en double",IF(B386="","Désignation manquante",IF(AND(E386&lt;&gt;"",OR(NOT(ISNUMBER(E386)),N(E386)&lt;0)),"Prix invalide",IF(AND(F386&lt;&gt;"",NOT(ISNUMBER(F386))),"Taux de TVA invalide",IF(AND(F386&lt;&gt;"",COUNTIF(p_rates,F386)=0),"Taux de TVA hors liste (Paramètres)","OK")))))))</f>
        <v/>
      </c>
    </row>
    <row r="387">
      <c r="A387" s="145" t="n"/>
      <c r="B387" s="63" t="n"/>
      <c r="C387" s="60" t="n"/>
      <c r="D387" s="60" t="n"/>
      <c r="E387" s="68" t="n"/>
      <c r="F387" s="70" t="n"/>
      <c r="G387" s="59" t="str">
        <f>IF(COUNTA(A387:F387)=0,"",IF(A387="","Code manquant",IF(COUNTIF(pr_code,A387)&gt;1,"Code en double",IF(B387="","Désignation manquante",IF(AND(E387&lt;&gt;"",OR(NOT(ISNUMBER(E387)),N(E387)&lt;0)),"Prix invalide",IF(AND(F387&lt;&gt;"",NOT(ISNUMBER(F387))),"Taux de TVA invalide",IF(AND(F387&lt;&gt;"",COUNTIF(p_rates,F387)=0),"Taux de TVA hors liste (Paramètres)","OK")))))))</f>
        <v/>
      </c>
    </row>
    <row r="388">
      <c r="A388" s="145" t="n"/>
      <c r="B388" s="63" t="n"/>
      <c r="C388" s="60" t="n"/>
      <c r="D388" s="60" t="n"/>
      <c r="E388" s="68" t="n"/>
      <c r="F388" s="70" t="n"/>
      <c r="G388" s="59" t="str">
        <f>IF(COUNTA(A388:F388)=0,"",IF(A388="","Code manquant",IF(COUNTIF(pr_code,A388)&gt;1,"Code en double",IF(B388="","Désignation manquante",IF(AND(E388&lt;&gt;"",OR(NOT(ISNUMBER(E388)),N(E388)&lt;0)),"Prix invalide",IF(AND(F388&lt;&gt;"",NOT(ISNUMBER(F388))),"Taux de TVA invalide",IF(AND(F388&lt;&gt;"",COUNTIF(p_rates,F388)=0),"Taux de TVA hors liste (Paramètres)","OK")))))))</f>
        <v/>
      </c>
    </row>
    <row r="389">
      <c r="A389" s="145" t="n"/>
      <c r="B389" s="63" t="n"/>
      <c r="C389" s="60" t="n"/>
      <c r="D389" s="60" t="n"/>
      <c r="E389" s="68" t="n"/>
      <c r="F389" s="70" t="n"/>
      <c r="G389" s="59" t="str">
        <f>IF(COUNTA(A389:F389)=0,"",IF(A389="","Code manquant",IF(COUNTIF(pr_code,A389)&gt;1,"Code en double",IF(B389="","Désignation manquante",IF(AND(E389&lt;&gt;"",OR(NOT(ISNUMBER(E389)),N(E389)&lt;0)),"Prix invalide",IF(AND(F389&lt;&gt;"",NOT(ISNUMBER(F389))),"Taux de TVA invalide",IF(AND(F389&lt;&gt;"",COUNTIF(p_rates,F389)=0),"Taux de TVA hors liste (Paramètres)","OK")))))))</f>
        <v/>
      </c>
    </row>
    <row r="390">
      <c r="A390" s="145" t="n"/>
      <c r="B390" s="63" t="n"/>
      <c r="C390" s="60" t="n"/>
      <c r="D390" s="60" t="n"/>
      <c r="E390" s="68" t="n"/>
      <c r="F390" s="70" t="n"/>
      <c r="G390" s="59" t="str">
        <f>IF(COUNTA(A390:F390)=0,"",IF(A390="","Code manquant",IF(COUNTIF(pr_code,A390)&gt;1,"Code en double",IF(B390="","Désignation manquante",IF(AND(E390&lt;&gt;"",OR(NOT(ISNUMBER(E390)),N(E390)&lt;0)),"Prix invalide",IF(AND(F390&lt;&gt;"",NOT(ISNUMBER(F390))),"Taux de TVA invalide",IF(AND(F390&lt;&gt;"",COUNTIF(p_rates,F390)=0),"Taux de TVA hors liste (Paramètres)","OK")))))))</f>
        <v/>
      </c>
    </row>
    <row r="391">
      <c r="A391" s="145" t="n"/>
      <c r="B391" s="63" t="n"/>
      <c r="C391" s="60" t="n"/>
      <c r="D391" s="60" t="n"/>
      <c r="E391" s="68" t="n"/>
      <c r="F391" s="70" t="n"/>
      <c r="G391" s="59" t="str">
        <f>IF(COUNTA(A391:F391)=0,"",IF(A391="","Code manquant",IF(COUNTIF(pr_code,A391)&gt;1,"Code en double",IF(B391="","Désignation manquante",IF(AND(E391&lt;&gt;"",OR(NOT(ISNUMBER(E391)),N(E391)&lt;0)),"Prix invalide",IF(AND(F391&lt;&gt;"",NOT(ISNUMBER(F391))),"Taux de TVA invalide",IF(AND(F391&lt;&gt;"",COUNTIF(p_rates,F391)=0),"Taux de TVA hors liste (Paramètres)","OK")))))))</f>
        <v/>
      </c>
    </row>
    <row r="392">
      <c r="A392" s="145" t="n"/>
      <c r="B392" s="63" t="n"/>
      <c r="C392" s="60" t="n"/>
      <c r="D392" s="60" t="n"/>
      <c r="E392" s="68" t="n"/>
      <c r="F392" s="70" t="n"/>
      <c r="G392" s="59" t="str">
        <f>IF(COUNTA(A392:F392)=0,"",IF(A392="","Code manquant",IF(COUNTIF(pr_code,A392)&gt;1,"Code en double",IF(B392="","Désignation manquante",IF(AND(E392&lt;&gt;"",OR(NOT(ISNUMBER(E392)),N(E392)&lt;0)),"Prix invalide",IF(AND(F392&lt;&gt;"",NOT(ISNUMBER(F392))),"Taux de TVA invalide",IF(AND(F392&lt;&gt;"",COUNTIF(p_rates,F392)=0),"Taux de TVA hors liste (Paramètres)","OK")))))))</f>
        <v/>
      </c>
    </row>
    <row r="393">
      <c r="A393" s="145" t="n"/>
      <c r="B393" s="63" t="n"/>
      <c r="C393" s="60" t="n"/>
      <c r="D393" s="60" t="n"/>
      <c r="E393" s="68" t="n"/>
      <c r="F393" s="70" t="n"/>
      <c r="G393" s="59" t="str">
        <f>IF(COUNTA(A393:F393)=0,"",IF(A393="","Code manquant",IF(COUNTIF(pr_code,A393)&gt;1,"Code en double",IF(B393="","Désignation manquante",IF(AND(E393&lt;&gt;"",OR(NOT(ISNUMBER(E393)),N(E393)&lt;0)),"Prix invalide",IF(AND(F393&lt;&gt;"",NOT(ISNUMBER(F393))),"Taux de TVA invalide",IF(AND(F393&lt;&gt;"",COUNTIF(p_rates,F393)=0),"Taux de TVA hors liste (Paramètres)","OK")))))))</f>
        <v/>
      </c>
    </row>
    <row r="394">
      <c r="A394" s="145" t="n"/>
      <c r="B394" s="63" t="n"/>
      <c r="C394" s="60" t="n"/>
      <c r="D394" s="60" t="n"/>
      <c r="E394" s="68" t="n"/>
      <c r="F394" s="70" t="n"/>
      <c r="G394" s="59" t="str">
        <f>IF(COUNTA(A394:F394)=0,"",IF(A394="","Code manquant",IF(COUNTIF(pr_code,A394)&gt;1,"Code en double",IF(B394="","Désignation manquante",IF(AND(E394&lt;&gt;"",OR(NOT(ISNUMBER(E394)),N(E394)&lt;0)),"Prix invalide",IF(AND(F394&lt;&gt;"",NOT(ISNUMBER(F394))),"Taux de TVA invalide",IF(AND(F394&lt;&gt;"",COUNTIF(p_rates,F394)=0),"Taux de TVA hors liste (Paramètres)","OK")))))))</f>
        <v/>
      </c>
    </row>
    <row r="395">
      <c r="A395" s="145" t="n"/>
      <c r="B395" s="63" t="n"/>
      <c r="C395" s="60" t="n"/>
      <c r="D395" s="60" t="n"/>
      <c r="E395" s="68" t="n"/>
      <c r="F395" s="70" t="n"/>
      <c r="G395" s="59" t="str">
        <f>IF(COUNTA(A395:F395)=0,"",IF(A395="","Code manquant",IF(COUNTIF(pr_code,A395)&gt;1,"Code en double",IF(B395="","Désignation manquante",IF(AND(E395&lt;&gt;"",OR(NOT(ISNUMBER(E395)),N(E395)&lt;0)),"Prix invalide",IF(AND(F395&lt;&gt;"",NOT(ISNUMBER(F395))),"Taux de TVA invalide",IF(AND(F395&lt;&gt;"",COUNTIF(p_rates,F395)=0),"Taux de TVA hors liste (Paramètres)","OK")))))))</f>
        <v/>
      </c>
    </row>
    <row r="396">
      <c r="A396" s="145" t="n"/>
      <c r="B396" s="63" t="n"/>
      <c r="C396" s="60" t="n"/>
      <c r="D396" s="60" t="n"/>
      <c r="E396" s="68" t="n"/>
      <c r="F396" s="70" t="n"/>
      <c r="G396" s="59" t="str">
        <f>IF(COUNTA(A396:F396)=0,"",IF(A396="","Code manquant",IF(COUNTIF(pr_code,A396)&gt;1,"Code en double",IF(B396="","Désignation manquante",IF(AND(E396&lt;&gt;"",OR(NOT(ISNUMBER(E396)),N(E396)&lt;0)),"Prix invalide",IF(AND(F396&lt;&gt;"",NOT(ISNUMBER(F396))),"Taux de TVA invalide",IF(AND(F396&lt;&gt;"",COUNTIF(p_rates,F396)=0),"Taux de TVA hors liste (Paramètres)","OK")))))))</f>
        <v/>
      </c>
    </row>
    <row r="397">
      <c r="A397" s="145" t="n"/>
      <c r="B397" s="63" t="n"/>
      <c r="C397" s="60" t="n"/>
      <c r="D397" s="60" t="n"/>
      <c r="E397" s="68" t="n"/>
      <c r="F397" s="70" t="n"/>
      <c r="G397" s="59" t="str">
        <f>IF(COUNTA(A397:F397)=0,"",IF(A397="","Code manquant",IF(COUNTIF(pr_code,A397)&gt;1,"Code en double",IF(B397="","Désignation manquante",IF(AND(E397&lt;&gt;"",OR(NOT(ISNUMBER(E397)),N(E397)&lt;0)),"Prix invalide",IF(AND(F397&lt;&gt;"",NOT(ISNUMBER(F397))),"Taux de TVA invalide",IF(AND(F397&lt;&gt;"",COUNTIF(p_rates,F397)=0),"Taux de TVA hors liste (Paramètres)","OK")))))))</f>
        <v/>
      </c>
    </row>
    <row r="398">
      <c r="A398" s="145" t="n"/>
      <c r="B398" s="63" t="n"/>
      <c r="C398" s="60" t="n"/>
      <c r="D398" s="60" t="n"/>
      <c r="E398" s="68" t="n"/>
      <c r="F398" s="70" t="n"/>
      <c r="G398" s="59" t="str">
        <f>IF(COUNTA(A398:F398)=0,"",IF(A398="","Code manquant",IF(COUNTIF(pr_code,A398)&gt;1,"Code en double",IF(B398="","Désignation manquante",IF(AND(E398&lt;&gt;"",OR(NOT(ISNUMBER(E398)),N(E398)&lt;0)),"Prix invalide",IF(AND(F398&lt;&gt;"",NOT(ISNUMBER(F398))),"Taux de TVA invalide",IF(AND(F398&lt;&gt;"",COUNTIF(p_rates,F398)=0),"Taux de TVA hors liste (Paramètres)","OK")))))))</f>
        <v/>
      </c>
    </row>
    <row r="399">
      <c r="A399" s="145" t="n"/>
      <c r="B399" s="63" t="n"/>
      <c r="C399" s="60" t="n"/>
      <c r="D399" s="60" t="n"/>
      <c r="E399" s="68" t="n"/>
      <c r="F399" s="70" t="n"/>
      <c r="G399" s="59" t="str">
        <f>IF(COUNTA(A399:F399)=0,"",IF(A399="","Code manquant",IF(COUNTIF(pr_code,A399)&gt;1,"Code en double",IF(B399="","Désignation manquante",IF(AND(E399&lt;&gt;"",OR(NOT(ISNUMBER(E399)),N(E399)&lt;0)),"Prix invalide",IF(AND(F399&lt;&gt;"",NOT(ISNUMBER(F399))),"Taux de TVA invalide",IF(AND(F399&lt;&gt;"",COUNTIF(p_rates,F399)=0),"Taux de TVA hors liste (Paramètres)","OK")))))))</f>
        <v/>
      </c>
    </row>
    <row r="400">
      <c r="A400" s="145" t="n"/>
      <c r="B400" s="63" t="n"/>
      <c r="C400" s="60" t="n"/>
      <c r="D400" s="60" t="n"/>
      <c r="E400" s="68" t="n"/>
      <c r="F400" s="70" t="n"/>
      <c r="G400" s="59" t="str">
        <f>IF(COUNTA(A400:F400)=0,"",IF(A400="","Code manquant",IF(COUNTIF(pr_code,A400)&gt;1,"Code en double",IF(B400="","Désignation manquante",IF(AND(E400&lt;&gt;"",OR(NOT(ISNUMBER(E400)),N(E400)&lt;0)),"Prix invalide",IF(AND(F400&lt;&gt;"",NOT(ISNUMBER(F400))),"Taux de TVA invalide",IF(AND(F400&lt;&gt;"",COUNTIF(p_rates,F400)=0),"Taux de TVA hors liste (Paramètres)","OK")))))))</f>
        <v/>
      </c>
    </row>
    <row r="401">
      <c r="A401" s="145" t="n"/>
      <c r="B401" s="63" t="n"/>
      <c r="C401" s="60" t="n"/>
      <c r="D401" s="60" t="n"/>
      <c r="E401" s="68" t="n"/>
      <c r="F401" s="70" t="n"/>
      <c r="G401" s="59" t="str">
        <f>IF(COUNTA(A401:F401)=0,"",IF(A401="","Code manquant",IF(COUNTIF(pr_code,A401)&gt;1,"Code en double",IF(B401="","Désignation manquante",IF(AND(E401&lt;&gt;"",OR(NOT(ISNUMBER(E401)),N(E401)&lt;0)),"Prix invalide",IF(AND(F401&lt;&gt;"",NOT(ISNUMBER(F401))),"Taux de TVA invalide",IF(AND(F401&lt;&gt;"",COUNTIF(p_rates,F401)=0),"Taux de TVA hors liste (Paramètres)","OK")))))))</f>
        <v/>
      </c>
    </row>
    <row r="402">
      <c r="A402" s="145" t="n"/>
      <c r="B402" s="63" t="n"/>
      <c r="C402" s="60" t="n"/>
      <c r="D402" s="60" t="n"/>
      <c r="E402" s="68" t="n"/>
      <c r="F402" s="70" t="n"/>
      <c r="G402" s="59" t="str">
        <f>IF(COUNTA(A402:F402)=0,"",IF(A402="","Code manquant",IF(COUNTIF(pr_code,A402)&gt;1,"Code en double",IF(B402="","Désignation manquante",IF(AND(E402&lt;&gt;"",OR(NOT(ISNUMBER(E402)),N(E402)&lt;0)),"Prix invalide",IF(AND(F402&lt;&gt;"",NOT(ISNUMBER(F402))),"Taux de TVA invalide",IF(AND(F402&lt;&gt;"",COUNTIF(p_rates,F402)=0),"Taux de TVA hors liste (Paramètres)","OK")))))))</f>
        <v/>
      </c>
    </row>
    <row r="403">
      <c r="A403" s="145" t="n"/>
      <c r="B403" s="63" t="n"/>
      <c r="C403" s="60" t="n"/>
      <c r="D403" s="60" t="n"/>
      <c r="E403" s="68" t="n"/>
      <c r="F403" s="70" t="n"/>
      <c r="G403" s="59" t="str">
        <f>IF(COUNTA(A403:F403)=0,"",IF(A403="","Code manquant",IF(COUNTIF(pr_code,A403)&gt;1,"Code en double",IF(B403="","Désignation manquante",IF(AND(E403&lt;&gt;"",OR(NOT(ISNUMBER(E403)),N(E403)&lt;0)),"Prix invalide",IF(AND(F403&lt;&gt;"",NOT(ISNUMBER(F403))),"Taux de TVA invalide",IF(AND(F403&lt;&gt;"",COUNTIF(p_rates,F403)=0),"Taux de TVA hors liste (Paramètres)","OK")))))))</f>
        <v/>
      </c>
    </row>
    <row r="404">
      <c r="A404" s="145" t="n"/>
      <c r="B404" s="63" t="n"/>
      <c r="C404" s="60" t="n"/>
      <c r="D404" s="60" t="n"/>
      <c r="E404" s="68" t="n"/>
      <c r="F404" s="70" t="n"/>
      <c r="G404" s="59" t="str">
        <f>IF(COUNTA(A404:F404)=0,"",IF(A404="","Code manquant",IF(COUNTIF(pr_code,A404)&gt;1,"Code en double",IF(B404="","Désignation manquante",IF(AND(E404&lt;&gt;"",OR(NOT(ISNUMBER(E404)),N(E404)&lt;0)),"Prix invalide",IF(AND(F404&lt;&gt;"",NOT(ISNUMBER(F404))),"Taux de TVA invalide",IF(AND(F404&lt;&gt;"",COUNTIF(p_rates,F404)=0),"Taux de TVA hors liste (Paramètres)","OK")))))))</f>
        <v/>
      </c>
    </row>
    <row r="405">
      <c r="A405" s="145" t="n"/>
      <c r="B405" s="63" t="n"/>
      <c r="C405" s="60" t="n"/>
      <c r="D405" s="60" t="n"/>
      <c r="E405" s="68" t="n"/>
      <c r="F405" s="70" t="n"/>
      <c r="G405" s="59" t="str">
        <f>IF(COUNTA(A405:F405)=0,"",IF(A405="","Code manquant",IF(COUNTIF(pr_code,A405)&gt;1,"Code en double",IF(B405="","Désignation manquante",IF(AND(E405&lt;&gt;"",OR(NOT(ISNUMBER(E405)),N(E405)&lt;0)),"Prix invalide",IF(AND(F405&lt;&gt;"",NOT(ISNUMBER(F405))),"Taux de TVA invalide",IF(AND(F405&lt;&gt;"",COUNTIF(p_rates,F405)=0),"Taux de TVA hors liste (Paramètres)","OK")))))))</f>
        <v/>
      </c>
    </row>
    <row r="406">
      <c r="A406" s="145" t="n"/>
      <c r="B406" s="63" t="n"/>
      <c r="C406" s="60" t="n"/>
      <c r="D406" s="60" t="n"/>
      <c r="E406" s="68" t="n"/>
      <c r="F406" s="70" t="n"/>
      <c r="G406" s="59" t="str">
        <f>IF(COUNTA(A406:F406)=0,"",IF(A406="","Code manquant",IF(COUNTIF(pr_code,A406)&gt;1,"Code en double",IF(B406="","Désignation manquante",IF(AND(E406&lt;&gt;"",OR(NOT(ISNUMBER(E406)),N(E406)&lt;0)),"Prix invalide",IF(AND(F406&lt;&gt;"",NOT(ISNUMBER(F406))),"Taux de TVA invalide",IF(AND(F406&lt;&gt;"",COUNTIF(p_rates,F406)=0),"Taux de TVA hors liste (Paramètres)","OK")))))))</f>
        <v/>
      </c>
    </row>
    <row r="407">
      <c r="A407" s="145" t="n"/>
      <c r="B407" s="63" t="n"/>
      <c r="C407" s="60" t="n"/>
      <c r="D407" s="60" t="n"/>
      <c r="E407" s="68" t="n"/>
      <c r="F407" s="70" t="n"/>
      <c r="G407" s="59" t="str">
        <f>IF(COUNTA(A407:F407)=0,"",IF(A407="","Code manquant",IF(COUNTIF(pr_code,A407)&gt;1,"Code en double",IF(B407="","Désignation manquante",IF(AND(E407&lt;&gt;"",OR(NOT(ISNUMBER(E407)),N(E407)&lt;0)),"Prix invalide",IF(AND(F407&lt;&gt;"",NOT(ISNUMBER(F407))),"Taux de TVA invalide",IF(AND(F407&lt;&gt;"",COUNTIF(p_rates,F407)=0),"Taux de TVA hors liste (Paramètres)","OK")))))))</f>
        <v/>
      </c>
    </row>
    <row r="408">
      <c r="A408" s="145" t="n"/>
      <c r="B408" s="63" t="n"/>
      <c r="C408" s="60" t="n"/>
      <c r="D408" s="60" t="n"/>
      <c r="E408" s="68" t="n"/>
      <c r="F408" s="70" t="n"/>
      <c r="G408" s="59" t="str">
        <f>IF(COUNTA(A408:F408)=0,"",IF(A408="","Code manquant",IF(COUNTIF(pr_code,A408)&gt;1,"Code en double",IF(B408="","Désignation manquante",IF(AND(E408&lt;&gt;"",OR(NOT(ISNUMBER(E408)),N(E408)&lt;0)),"Prix invalide",IF(AND(F408&lt;&gt;"",NOT(ISNUMBER(F408))),"Taux de TVA invalide",IF(AND(F408&lt;&gt;"",COUNTIF(p_rates,F408)=0),"Taux de TVA hors liste (Paramètres)","OK")))))))</f>
        <v/>
      </c>
    </row>
    <row r="409">
      <c r="A409" s="145" t="n"/>
      <c r="B409" s="63" t="n"/>
      <c r="C409" s="60" t="n"/>
      <c r="D409" s="60" t="n"/>
      <c r="E409" s="68" t="n"/>
      <c r="F409" s="70" t="n"/>
      <c r="G409" s="59" t="str">
        <f>IF(COUNTA(A409:F409)=0,"",IF(A409="","Code manquant",IF(COUNTIF(pr_code,A409)&gt;1,"Code en double",IF(B409="","Désignation manquante",IF(AND(E409&lt;&gt;"",OR(NOT(ISNUMBER(E409)),N(E409)&lt;0)),"Prix invalide",IF(AND(F409&lt;&gt;"",NOT(ISNUMBER(F409))),"Taux de TVA invalide",IF(AND(F409&lt;&gt;"",COUNTIF(p_rates,F409)=0),"Taux de TVA hors liste (Paramètres)","OK")))))))</f>
        <v/>
      </c>
    </row>
    <row r="410">
      <c r="A410" s="145" t="n"/>
      <c r="B410" s="63" t="n"/>
      <c r="C410" s="60" t="n"/>
      <c r="D410" s="60" t="n"/>
      <c r="E410" s="68" t="n"/>
      <c r="F410" s="70" t="n"/>
      <c r="G410" s="59" t="str">
        <f>IF(COUNTA(A410:F410)=0,"",IF(A410="","Code manquant",IF(COUNTIF(pr_code,A410)&gt;1,"Code en double",IF(B410="","Désignation manquante",IF(AND(E410&lt;&gt;"",OR(NOT(ISNUMBER(E410)),N(E410)&lt;0)),"Prix invalide",IF(AND(F410&lt;&gt;"",NOT(ISNUMBER(F410))),"Taux de TVA invalide",IF(AND(F410&lt;&gt;"",COUNTIF(p_rates,F410)=0),"Taux de TVA hors liste (Paramètres)","OK")))))))</f>
        <v/>
      </c>
    </row>
    <row r="411">
      <c r="A411" s="145" t="n"/>
      <c r="B411" s="63" t="n"/>
      <c r="C411" s="60" t="n"/>
      <c r="D411" s="60" t="n"/>
      <c r="E411" s="68" t="n"/>
      <c r="F411" s="70" t="n"/>
      <c r="G411" s="59" t="str">
        <f>IF(COUNTA(A411:F411)=0,"",IF(A411="","Code manquant",IF(COUNTIF(pr_code,A411)&gt;1,"Code en double",IF(B411="","Désignation manquante",IF(AND(E411&lt;&gt;"",OR(NOT(ISNUMBER(E411)),N(E411)&lt;0)),"Prix invalide",IF(AND(F411&lt;&gt;"",NOT(ISNUMBER(F411))),"Taux de TVA invalide",IF(AND(F411&lt;&gt;"",COUNTIF(p_rates,F411)=0),"Taux de TVA hors liste (Paramètres)","OK")))))))</f>
        <v/>
      </c>
    </row>
    <row r="412">
      <c r="A412" s="145" t="n"/>
      <c r="B412" s="63" t="n"/>
      <c r="C412" s="60" t="n"/>
      <c r="D412" s="60" t="n"/>
      <c r="E412" s="68" t="n"/>
      <c r="F412" s="70" t="n"/>
      <c r="G412" s="59" t="str">
        <f>IF(COUNTA(A412:F412)=0,"",IF(A412="","Code manquant",IF(COUNTIF(pr_code,A412)&gt;1,"Code en double",IF(B412="","Désignation manquante",IF(AND(E412&lt;&gt;"",OR(NOT(ISNUMBER(E412)),N(E412)&lt;0)),"Prix invalide",IF(AND(F412&lt;&gt;"",NOT(ISNUMBER(F412))),"Taux de TVA invalide",IF(AND(F412&lt;&gt;"",COUNTIF(p_rates,F412)=0),"Taux de TVA hors liste (Paramètres)","OK")))))))</f>
        <v/>
      </c>
    </row>
    <row r="413">
      <c r="A413" s="145" t="n"/>
      <c r="B413" s="63" t="n"/>
      <c r="C413" s="60" t="n"/>
      <c r="D413" s="60" t="n"/>
      <c r="E413" s="68" t="n"/>
      <c r="F413" s="70" t="n"/>
      <c r="G413" s="59" t="str">
        <f>IF(COUNTA(A413:F413)=0,"",IF(A413="","Code manquant",IF(COUNTIF(pr_code,A413)&gt;1,"Code en double",IF(B413="","Désignation manquante",IF(AND(E413&lt;&gt;"",OR(NOT(ISNUMBER(E413)),N(E413)&lt;0)),"Prix invalide",IF(AND(F413&lt;&gt;"",NOT(ISNUMBER(F413))),"Taux de TVA invalide",IF(AND(F413&lt;&gt;"",COUNTIF(p_rates,F413)=0),"Taux de TVA hors liste (Paramètres)","OK")))))))</f>
        <v/>
      </c>
    </row>
    <row r="414">
      <c r="A414" s="145" t="n"/>
      <c r="B414" s="63" t="n"/>
      <c r="C414" s="60" t="n"/>
      <c r="D414" s="60" t="n"/>
      <c r="E414" s="68" t="n"/>
      <c r="F414" s="70" t="n"/>
      <c r="G414" s="59" t="str">
        <f>IF(COUNTA(A414:F414)=0,"",IF(A414="","Code manquant",IF(COUNTIF(pr_code,A414)&gt;1,"Code en double",IF(B414="","Désignation manquante",IF(AND(E414&lt;&gt;"",OR(NOT(ISNUMBER(E414)),N(E414)&lt;0)),"Prix invalide",IF(AND(F414&lt;&gt;"",NOT(ISNUMBER(F414))),"Taux de TVA invalide",IF(AND(F414&lt;&gt;"",COUNTIF(p_rates,F414)=0),"Taux de TVA hors liste (Paramètres)","OK")))))))</f>
        <v/>
      </c>
    </row>
    <row r="415">
      <c r="A415" s="145" t="n"/>
      <c r="B415" s="63" t="n"/>
      <c r="C415" s="60" t="n"/>
      <c r="D415" s="60" t="n"/>
      <c r="E415" s="68" t="n"/>
      <c r="F415" s="70" t="n"/>
      <c r="G415" s="59" t="str">
        <f>IF(COUNTA(A415:F415)=0,"",IF(A415="","Code manquant",IF(COUNTIF(pr_code,A415)&gt;1,"Code en double",IF(B415="","Désignation manquante",IF(AND(E415&lt;&gt;"",OR(NOT(ISNUMBER(E415)),N(E415)&lt;0)),"Prix invalide",IF(AND(F415&lt;&gt;"",NOT(ISNUMBER(F415))),"Taux de TVA invalide",IF(AND(F415&lt;&gt;"",COUNTIF(p_rates,F415)=0),"Taux de TVA hors liste (Paramètres)","OK")))))))</f>
        <v/>
      </c>
    </row>
    <row r="416">
      <c r="A416" s="145" t="n"/>
      <c r="B416" s="63" t="n"/>
      <c r="C416" s="60" t="n"/>
      <c r="D416" s="60" t="n"/>
      <c r="E416" s="68" t="n"/>
      <c r="F416" s="70" t="n"/>
      <c r="G416" s="59" t="str">
        <f>IF(COUNTA(A416:F416)=0,"",IF(A416="","Code manquant",IF(COUNTIF(pr_code,A416)&gt;1,"Code en double",IF(B416="","Désignation manquante",IF(AND(E416&lt;&gt;"",OR(NOT(ISNUMBER(E416)),N(E416)&lt;0)),"Prix invalide",IF(AND(F416&lt;&gt;"",NOT(ISNUMBER(F416))),"Taux de TVA invalide",IF(AND(F416&lt;&gt;"",COUNTIF(p_rates,F416)=0),"Taux de TVA hors liste (Paramètres)","OK")))))))</f>
        <v/>
      </c>
    </row>
    <row r="417">
      <c r="A417" s="145" t="n"/>
      <c r="B417" s="63" t="n"/>
      <c r="C417" s="60" t="n"/>
      <c r="D417" s="60" t="n"/>
      <c r="E417" s="68" t="n"/>
      <c r="F417" s="70" t="n"/>
      <c r="G417" s="59" t="str">
        <f>IF(COUNTA(A417:F417)=0,"",IF(A417="","Code manquant",IF(COUNTIF(pr_code,A417)&gt;1,"Code en double",IF(B417="","Désignation manquante",IF(AND(E417&lt;&gt;"",OR(NOT(ISNUMBER(E417)),N(E417)&lt;0)),"Prix invalide",IF(AND(F417&lt;&gt;"",NOT(ISNUMBER(F417))),"Taux de TVA invalide",IF(AND(F417&lt;&gt;"",COUNTIF(p_rates,F417)=0),"Taux de TVA hors liste (Paramètres)","OK")))))))</f>
        <v/>
      </c>
    </row>
    <row r="418">
      <c r="A418" s="145" t="n"/>
      <c r="B418" s="63" t="n"/>
      <c r="C418" s="60" t="n"/>
      <c r="D418" s="60" t="n"/>
      <c r="E418" s="68" t="n"/>
      <c r="F418" s="70" t="n"/>
      <c r="G418" s="59" t="str">
        <f>IF(COUNTA(A418:F418)=0,"",IF(A418="","Code manquant",IF(COUNTIF(pr_code,A418)&gt;1,"Code en double",IF(B418="","Désignation manquante",IF(AND(E418&lt;&gt;"",OR(NOT(ISNUMBER(E418)),N(E418)&lt;0)),"Prix invalide",IF(AND(F418&lt;&gt;"",NOT(ISNUMBER(F418))),"Taux de TVA invalide",IF(AND(F418&lt;&gt;"",COUNTIF(p_rates,F418)=0),"Taux de TVA hors liste (Paramètres)","OK")))))))</f>
        <v/>
      </c>
    </row>
    <row r="419">
      <c r="A419" s="145" t="n"/>
      <c r="B419" s="63" t="n"/>
      <c r="C419" s="60" t="n"/>
      <c r="D419" s="60" t="n"/>
      <c r="E419" s="68" t="n"/>
      <c r="F419" s="70" t="n"/>
      <c r="G419" s="59" t="str">
        <f>IF(COUNTA(A419:F419)=0,"",IF(A419="","Code manquant",IF(COUNTIF(pr_code,A419)&gt;1,"Code en double",IF(B419="","Désignation manquante",IF(AND(E419&lt;&gt;"",OR(NOT(ISNUMBER(E419)),N(E419)&lt;0)),"Prix invalide",IF(AND(F419&lt;&gt;"",NOT(ISNUMBER(F419))),"Taux de TVA invalide",IF(AND(F419&lt;&gt;"",COUNTIF(p_rates,F419)=0),"Taux de TVA hors liste (Paramètres)","OK")))))))</f>
        <v/>
      </c>
    </row>
    <row r="420">
      <c r="A420" s="145" t="n"/>
      <c r="B420" s="63" t="n"/>
      <c r="C420" s="60" t="n"/>
      <c r="D420" s="60" t="n"/>
      <c r="E420" s="68" t="n"/>
      <c r="F420" s="70" t="n"/>
      <c r="G420" s="59" t="str">
        <f>IF(COUNTA(A420:F420)=0,"",IF(A420="","Code manquant",IF(COUNTIF(pr_code,A420)&gt;1,"Code en double",IF(B420="","Désignation manquante",IF(AND(E420&lt;&gt;"",OR(NOT(ISNUMBER(E420)),N(E420)&lt;0)),"Prix invalide",IF(AND(F420&lt;&gt;"",NOT(ISNUMBER(F420))),"Taux de TVA invalide",IF(AND(F420&lt;&gt;"",COUNTIF(p_rates,F420)=0),"Taux de TVA hors liste (Paramètres)","OK")))))))</f>
        <v/>
      </c>
    </row>
    <row r="421">
      <c r="A421" s="145" t="n"/>
      <c r="B421" s="63" t="n"/>
      <c r="C421" s="60" t="n"/>
      <c r="D421" s="60" t="n"/>
      <c r="E421" s="68" t="n"/>
      <c r="F421" s="70" t="n"/>
      <c r="G421" s="59" t="str">
        <f>IF(COUNTA(A421:F421)=0,"",IF(A421="","Code manquant",IF(COUNTIF(pr_code,A421)&gt;1,"Code en double",IF(B421="","Désignation manquante",IF(AND(E421&lt;&gt;"",OR(NOT(ISNUMBER(E421)),N(E421)&lt;0)),"Prix invalide",IF(AND(F421&lt;&gt;"",NOT(ISNUMBER(F421))),"Taux de TVA invalide",IF(AND(F421&lt;&gt;"",COUNTIF(p_rates,F421)=0),"Taux de TVA hors liste (Paramètres)","OK")))))))</f>
        <v/>
      </c>
    </row>
    <row r="422">
      <c r="A422" s="145" t="n"/>
      <c r="B422" s="63" t="n"/>
      <c r="C422" s="60" t="n"/>
      <c r="D422" s="60" t="n"/>
      <c r="E422" s="68" t="n"/>
      <c r="F422" s="70" t="n"/>
      <c r="G422" s="59" t="str">
        <f>IF(COUNTA(A422:F422)=0,"",IF(A422="","Code manquant",IF(COUNTIF(pr_code,A422)&gt;1,"Code en double",IF(B422="","Désignation manquante",IF(AND(E422&lt;&gt;"",OR(NOT(ISNUMBER(E422)),N(E422)&lt;0)),"Prix invalide",IF(AND(F422&lt;&gt;"",NOT(ISNUMBER(F422))),"Taux de TVA invalide",IF(AND(F422&lt;&gt;"",COUNTIF(p_rates,F422)=0),"Taux de TVA hors liste (Paramètres)","OK")))))))</f>
        <v/>
      </c>
    </row>
    <row r="423">
      <c r="A423" s="145" t="n"/>
      <c r="B423" s="63" t="n"/>
      <c r="C423" s="60" t="n"/>
      <c r="D423" s="60" t="n"/>
      <c r="E423" s="68" t="n"/>
      <c r="F423" s="70" t="n"/>
      <c r="G423" s="59" t="str">
        <f>IF(COUNTA(A423:F423)=0,"",IF(A423="","Code manquant",IF(COUNTIF(pr_code,A423)&gt;1,"Code en double",IF(B423="","Désignation manquante",IF(AND(E423&lt;&gt;"",OR(NOT(ISNUMBER(E423)),N(E423)&lt;0)),"Prix invalide",IF(AND(F423&lt;&gt;"",NOT(ISNUMBER(F423))),"Taux de TVA invalide",IF(AND(F423&lt;&gt;"",COUNTIF(p_rates,F423)=0),"Taux de TVA hors liste (Paramètres)","OK")))))))</f>
        <v/>
      </c>
    </row>
    <row r="424">
      <c r="A424" s="145" t="n"/>
      <c r="B424" s="63" t="n"/>
      <c r="C424" s="60" t="n"/>
      <c r="D424" s="60" t="n"/>
      <c r="E424" s="68" t="n"/>
      <c r="F424" s="70" t="n"/>
      <c r="G424" s="59" t="str">
        <f>IF(COUNTA(A424:F424)=0,"",IF(A424="","Code manquant",IF(COUNTIF(pr_code,A424)&gt;1,"Code en double",IF(B424="","Désignation manquante",IF(AND(E424&lt;&gt;"",OR(NOT(ISNUMBER(E424)),N(E424)&lt;0)),"Prix invalide",IF(AND(F424&lt;&gt;"",NOT(ISNUMBER(F424))),"Taux de TVA invalide",IF(AND(F424&lt;&gt;"",COUNTIF(p_rates,F424)=0),"Taux de TVA hors liste (Paramètres)","OK")))))))</f>
        <v/>
      </c>
    </row>
    <row r="425">
      <c r="A425" s="145" t="n"/>
      <c r="B425" s="63" t="n"/>
      <c r="C425" s="60" t="n"/>
      <c r="D425" s="60" t="n"/>
      <c r="E425" s="68" t="n"/>
      <c r="F425" s="70" t="n"/>
      <c r="G425" s="59" t="str">
        <f>IF(COUNTA(A425:F425)=0,"",IF(A425="","Code manquant",IF(COUNTIF(pr_code,A425)&gt;1,"Code en double",IF(B425="","Désignation manquante",IF(AND(E425&lt;&gt;"",OR(NOT(ISNUMBER(E425)),N(E425)&lt;0)),"Prix invalide",IF(AND(F425&lt;&gt;"",NOT(ISNUMBER(F425))),"Taux de TVA invalide",IF(AND(F425&lt;&gt;"",COUNTIF(p_rates,F425)=0),"Taux de TVA hors liste (Paramètres)","OK")))))))</f>
        <v/>
      </c>
    </row>
    <row r="426">
      <c r="A426" s="145" t="n"/>
      <c r="B426" s="63" t="n"/>
      <c r="C426" s="60" t="n"/>
      <c r="D426" s="60" t="n"/>
      <c r="E426" s="68" t="n"/>
      <c r="F426" s="70" t="n"/>
      <c r="G426" s="59" t="str">
        <f>IF(COUNTA(A426:F426)=0,"",IF(A426="","Code manquant",IF(COUNTIF(pr_code,A426)&gt;1,"Code en double",IF(B426="","Désignation manquante",IF(AND(E426&lt;&gt;"",OR(NOT(ISNUMBER(E426)),N(E426)&lt;0)),"Prix invalide",IF(AND(F426&lt;&gt;"",NOT(ISNUMBER(F426))),"Taux de TVA invalide",IF(AND(F426&lt;&gt;"",COUNTIF(p_rates,F426)=0),"Taux de TVA hors liste (Paramètres)","OK")))))))</f>
        <v/>
      </c>
    </row>
    <row r="427">
      <c r="A427" s="145" t="n"/>
      <c r="B427" s="63" t="n"/>
      <c r="C427" s="60" t="n"/>
      <c r="D427" s="60" t="n"/>
      <c r="E427" s="68" t="n"/>
      <c r="F427" s="70" t="n"/>
      <c r="G427" s="59" t="str">
        <f>IF(COUNTA(A427:F427)=0,"",IF(A427="","Code manquant",IF(COUNTIF(pr_code,A427)&gt;1,"Code en double",IF(B427="","Désignation manquante",IF(AND(E427&lt;&gt;"",OR(NOT(ISNUMBER(E427)),N(E427)&lt;0)),"Prix invalide",IF(AND(F427&lt;&gt;"",NOT(ISNUMBER(F427))),"Taux de TVA invalide",IF(AND(F427&lt;&gt;"",COUNTIF(p_rates,F427)=0),"Taux de TVA hors liste (Paramètres)","OK")))))))</f>
        <v/>
      </c>
    </row>
    <row r="428">
      <c r="A428" s="145" t="n"/>
      <c r="B428" s="63" t="n"/>
      <c r="C428" s="60" t="n"/>
      <c r="D428" s="60" t="n"/>
      <c r="E428" s="68" t="n"/>
      <c r="F428" s="70" t="n"/>
      <c r="G428" s="59" t="str">
        <f>IF(COUNTA(A428:F428)=0,"",IF(A428="","Code manquant",IF(COUNTIF(pr_code,A428)&gt;1,"Code en double",IF(B428="","Désignation manquante",IF(AND(E428&lt;&gt;"",OR(NOT(ISNUMBER(E428)),N(E428)&lt;0)),"Prix invalide",IF(AND(F428&lt;&gt;"",NOT(ISNUMBER(F428))),"Taux de TVA invalide",IF(AND(F428&lt;&gt;"",COUNTIF(p_rates,F428)=0),"Taux de TVA hors liste (Paramètres)","OK")))))))</f>
        <v/>
      </c>
    </row>
    <row r="429">
      <c r="A429" s="145" t="n"/>
      <c r="B429" s="63" t="n"/>
      <c r="C429" s="60" t="n"/>
      <c r="D429" s="60" t="n"/>
      <c r="E429" s="68" t="n"/>
      <c r="F429" s="70" t="n"/>
      <c r="G429" s="59" t="str">
        <f>IF(COUNTA(A429:F429)=0,"",IF(A429="","Code manquant",IF(COUNTIF(pr_code,A429)&gt;1,"Code en double",IF(B429="","Désignation manquante",IF(AND(E429&lt;&gt;"",OR(NOT(ISNUMBER(E429)),N(E429)&lt;0)),"Prix invalide",IF(AND(F429&lt;&gt;"",NOT(ISNUMBER(F429))),"Taux de TVA invalide",IF(AND(F429&lt;&gt;"",COUNTIF(p_rates,F429)=0),"Taux de TVA hors liste (Paramètres)","OK")))))))</f>
        <v/>
      </c>
    </row>
    <row r="430">
      <c r="A430" s="145" t="n"/>
      <c r="B430" s="63" t="n"/>
      <c r="C430" s="60" t="n"/>
      <c r="D430" s="60" t="n"/>
      <c r="E430" s="68" t="n"/>
      <c r="F430" s="70" t="n"/>
      <c r="G430" s="59" t="str">
        <f>IF(COUNTA(A430:F430)=0,"",IF(A430="","Code manquant",IF(COUNTIF(pr_code,A430)&gt;1,"Code en double",IF(B430="","Désignation manquante",IF(AND(E430&lt;&gt;"",OR(NOT(ISNUMBER(E430)),N(E430)&lt;0)),"Prix invalide",IF(AND(F430&lt;&gt;"",NOT(ISNUMBER(F430))),"Taux de TVA invalide",IF(AND(F430&lt;&gt;"",COUNTIF(p_rates,F430)=0),"Taux de TVA hors liste (Paramètres)","OK")))))))</f>
        <v/>
      </c>
    </row>
    <row r="431">
      <c r="A431" s="145" t="n"/>
      <c r="B431" s="63" t="n"/>
      <c r="C431" s="60" t="n"/>
      <c r="D431" s="60" t="n"/>
      <c r="E431" s="68" t="n"/>
      <c r="F431" s="70" t="n"/>
      <c r="G431" s="59" t="str">
        <f>IF(COUNTA(A431:F431)=0,"",IF(A431="","Code manquant",IF(COUNTIF(pr_code,A431)&gt;1,"Code en double",IF(B431="","Désignation manquante",IF(AND(E431&lt;&gt;"",OR(NOT(ISNUMBER(E431)),N(E431)&lt;0)),"Prix invalide",IF(AND(F431&lt;&gt;"",NOT(ISNUMBER(F431))),"Taux de TVA invalide",IF(AND(F431&lt;&gt;"",COUNTIF(p_rates,F431)=0),"Taux de TVA hors liste (Paramètres)","OK")))))))</f>
        <v/>
      </c>
    </row>
    <row r="432">
      <c r="A432" s="145" t="n"/>
      <c r="B432" s="63" t="n"/>
      <c r="C432" s="60" t="n"/>
      <c r="D432" s="60" t="n"/>
      <c r="E432" s="68" t="n"/>
      <c r="F432" s="70" t="n"/>
      <c r="G432" s="59" t="str">
        <f>IF(COUNTA(A432:F432)=0,"",IF(A432="","Code manquant",IF(COUNTIF(pr_code,A432)&gt;1,"Code en double",IF(B432="","Désignation manquante",IF(AND(E432&lt;&gt;"",OR(NOT(ISNUMBER(E432)),N(E432)&lt;0)),"Prix invalide",IF(AND(F432&lt;&gt;"",NOT(ISNUMBER(F432))),"Taux de TVA invalide",IF(AND(F432&lt;&gt;"",COUNTIF(p_rates,F432)=0),"Taux de TVA hors liste (Paramètres)","OK")))))))</f>
        <v/>
      </c>
    </row>
    <row r="433">
      <c r="A433" s="145" t="n"/>
      <c r="B433" s="63" t="n"/>
      <c r="C433" s="60" t="n"/>
      <c r="D433" s="60" t="n"/>
      <c r="E433" s="68" t="n"/>
      <c r="F433" s="70" t="n"/>
      <c r="G433" s="59" t="str">
        <f>IF(COUNTA(A433:F433)=0,"",IF(A433="","Code manquant",IF(COUNTIF(pr_code,A433)&gt;1,"Code en double",IF(B433="","Désignation manquante",IF(AND(E433&lt;&gt;"",OR(NOT(ISNUMBER(E433)),N(E433)&lt;0)),"Prix invalide",IF(AND(F433&lt;&gt;"",NOT(ISNUMBER(F433))),"Taux de TVA invalide",IF(AND(F433&lt;&gt;"",COUNTIF(p_rates,F433)=0),"Taux de TVA hors liste (Paramètres)","OK")))))))</f>
        <v/>
      </c>
    </row>
    <row r="434">
      <c r="A434" s="145" t="n"/>
      <c r="B434" s="63" t="n"/>
      <c r="C434" s="60" t="n"/>
      <c r="D434" s="60" t="n"/>
      <c r="E434" s="68" t="n"/>
      <c r="F434" s="70" t="n"/>
      <c r="G434" s="59" t="str">
        <f>IF(COUNTA(A434:F434)=0,"",IF(A434="","Code manquant",IF(COUNTIF(pr_code,A434)&gt;1,"Code en double",IF(B434="","Désignation manquante",IF(AND(E434&lt;&gt;"",OR(NOT(ISNUMBER(E434)),N(E434)&lt;0)),"Prix invalide",IF(AND(F434&lt;&gt;"",NOT(ISNUMBER(F434))),"Taux de TVA invalide",IF(AND(F434&lt;&gt;"",COUNTIF(p_rates,F434)=0),"Taux de TVA hors liste (Paramètres)","OK")))))))</f>
        <v/>
      </c>
    </row>
    <row r="435">
      <c r="A435" s="145" t="n"/>
      <c r="B435" s="63" t="n"/>
      <c r="C435" s="60" t="n"/>
      <c r="D435" s="60" t="n"/>
      <c r="E435" s="68" t="n"/>
      <c r="F435" s="70" t="n"/>
      <c r="G435" s="59" t="str">
        <f>IF(COUNTA(A435:F435)=0,"",IF(A435="","Code manquant",IF(COUNTIF(pr_code,A435)&gt;1,"Code en double",IF(B435="","Désignation manquante",IF(AND(E435&lt;&gt;"",OR(NOT(ISNUMBER(E435)),N(E435)&lt;0)),"Prix invalide",IF(AND(F435&lt;&gt;"",NOT(ISNUMBER(F435))),"Taux de TVA invalide",IF(AND(F435&lt;&gt;"",COUNTIF(p_rates,F435)=0),"Taux de TVA hors liste (Paramètres)","OK")))))))</f>
        <v/>
      </c>
    </row>
    <row r="436">
      <c r="A436" s="145" t="n"/>
      <c r="B436" s="63" t="n"/>
      <c r="C436" s="60" t="n"/>
      <c r="D436" s="60" t="n"/>
      <c r="E436" s="68" t="n"/>
      <c r="F436" s="70" t="n"/>
      <c r="G436" s="59" t="str">
        <f>IF(COUNTA(A436:F436)=0,"",IF(A436="","Code manquant",IF(COUNTIF(pr_code,A436)&gt;1,"Code en double",IF(B436="","Désignation manquante",IF(AND(E436&lt;&gt;"",OR(NOT(ISNUMBER(E436)),N(E436)&lt;0)),"Prix invalide",IF(AND(F436&lt;&gt;"",NOT(ISNUMBER(F436))),"Taux de TVA invalide",IF(AND(F436&lt;&gt;"",COUNTIF(p_rates,F436)=0),"Taux de TVA hors liste (Paramètres)","OK")))))))</f>
        <v/>
      </c>
    </row>
    <row r="437">
      <c r="A437" s="145" t="n"/>
      <c r="B437" s="63" t="n"/>
      <c r="C437" s="60" t="n"/>
      <c r="D437" s="60" t="n"/>
      <c r="E437" s="68" t="n"/>
      <c r="F437" s="70" t="n"/>
      <c r="G437" s="59" t="str">
        <f>IF(COUNTA(A437:F437)=0,"",IF(A437="","Code manquant",IF(COUNTIF(pr_code,A437)&gt;1,"Code en double",IF(B437="","Désignation manquante",IF(AND(E437&lt;&gt;"",OR(NOT(ISNUMBER(E437)),N(E437)&lt;0)),"Prix invalide",IF(AND(F437&lt;&gt;"",NOT(ISNUMBER(F437))),"Taux de TVA invalide",IF(AND(F437&lt;&gt;"",COUNTIF(p_rates,F437)=0),"Taux de TVA hors liste (Paramètres)","OK")))))))</f>
        <v/>
      </c>
    </row>
    <row r="438">
      <c r="A438" s="145" t="n"/>
      <c r="B438" s="63" t="n"/>
      <c r="C438" s="60" t="n"/>
      <c r="D438" s="60" t="n"/>
      <c r="E438" s="68" t="n"/>
      <c r="F438" s="70" t="n"/>
      <c r="G438" s="59" t="str">
        <f>IF(COUNTA(A438:F438)=0,"",IF(A438="","Code manquant",IF(COUNTIF(pr_code,A438)&gt;1,"Code en double",IF(B438="","Désignation manquante",IF(AND(E438&lt;&gt;"",OR(NOT(ISNUMBER(E438)),N(E438)&lt;0)),"Prix invalide",IF(AND(F438&lt;&gt;"",NOT(ISNUMBER(F438))),"Taux de TVA invalide",IF(AND(F438&lt;&gt;"",COUNTIF(p_rates,F438)=0),"Taux de TVA hors liste (Paramètres)","OK")))))))</f>
        <v/>
      </c>
    </row>
    <row r="439">
      <c r="A439" s="145" t="n"/>
      <c r="B439" s="63" t="n"/>
      <c r="C439" s="60" t="n"/>
      <c r="D439" s="60" t="n"/>
      <c r="E439" s="68" t="n"/>
      <c r="F439" s="70" t="n"/>
      <c r="G439" s="59" t="str">
        <f>IF(COUNTA(A439:F439)=0,"",IF(A439="","Code manquant",IF(COUNTIF(pr_code,A439)&gt;1,"Code en double",IF(B439="","Désignation manquante",IF(AND(E439&lt;&gt;"",OR(NOT(ISNUMBER(E439)),N(E439)&lt;0)),"Prix invalide",IF(AND(F439&lt;&gt;"",NOT(ISNUMBER(F439))),"Taux de TVA invalide",IF(AND(F439&lt;&gt;"",COUNTIF(p_rates,F439)=0),"Taux de TVA hors liste (Paramètres)","OK")))))))</f>
        <v/>
      </c>
    </row>
    <row r="440">
      <c r="A440" s="145" t="n"/>
      <c r="B440" s="63" t="n"/>
      <c r="C440" s="60" t="n"/>
      <c r="D440" s="60" t="n"/>
      <c r="E440" s="68" t="n"/>
      <c r="F440" s="70" t="n"/>
      <c r="G440" s="59" t="str">
        <f>IF(COUNTA(A440:F440)=0,"",IF(A440="","Code manquant",IF(COUNTIF(pr_code,A440)&gt;1,"Code en double",IF(B440="","Désignation manquante",IF(AND(E440&lt;&gt;"",OR(NOT(ISNUMBER(E440)),N(E440)&lt;0)),"Prix invalide",IF(AND(F440&lt;&gt;"",NOT(ISNUMBER(F440))),"Taux de TVA invalide",IF(AND(F440&lt;&gt;"",COUNTIF(p_rates,F440)=0),"Taux de TVA hors liste (Paramètres)","OK")))))))</f>
        <v/>
      </c>
    </row>
    <row r="441">
      <c r="A441" s="145" t="n"/>
      <c r="B441" s="63" t="n"/>
      <c r="C441" s="60" t="n"/>
      <c r="D441" s="60" t="n"/>
      <c r="E441" s="68" t="n"/>
      <c r="F441" s="70" t="n"/>
      <c r="G441" s="59" t="str">
        <f>IF(COUNTA(A441:F441)=0,"",IF(A441="","Code manquant",IF(COUNTIF(pr_code,A441)&gt;1,"Code en double",IF(B441="","Désignation manquante",IF(AND(E441&lt;&gt;"",OR(NOT(ISNUMBER(E441)),N(E441)&lt;0)),"Prix invalide",IF(AND(F441&lt;&gt;"",NOT(ISNUMBER(F441))),"Taux de TVA invalide",IF(AND(F441&lt;&gt;"",COUNTIF(p_rates,F441)=0),"Taux de TVA hors liste (Paramètres)","OK")))))))</f>
        <v/>
      </c>
    </row>
    <row r="442">
      <c r="A442" s="145" t="n"/>
      <c r="B442" s="63" t="n"/>
      <c r="C442" s="60" t="n"/>
      <c r="D442" s="60" t="n"/>
      <c r="E442" s="68" t="n"/>
      <c r="F442" s="70" t="n"/>
      <c r="G442" s="59" t="str">
        <f>IF(COUNTA(A442:F442)=0,"",IF(A442="","Code manquant",IF(COUNTIF(pr_code,A442)&gt;1,"Code en double",IF(B442="","Désignation manquante",IF(AND(E442&lt;&gt;"",OR(NOT(ISNUMBER(E442)),N(E442)&lt;0)),"Prix invalide",IF(AND(F442&lt;&gt;"",NOT(ISNUMBER(F442))),"Taux de TVA invalide",IF(AND(F442&lt;&gt;"",COUNTIF(p_rates,F442)=0),"Taux de TVA hors liste (Paramètres)","OK")))))))</f>
        <v/>
      </c>
    </row>
    <row r="443">
      <c r="A443" s="145" t="n"/>
      <c r="B443" s="63" t="n"/>
      <c r="C443" s="60" t="n"/>
      <c r="D443" s="60" t="n"/>
      <c r="E443" s="68" t="n"/>
      <c r="F443" s="70" t="n"/>
      <c r="G443" s="59" t="str">
        <f>IF(COUNTA(A443:F443)=0,"",IF(A443="","Code manquant",IF(COUNTIF(pr_code,A443)&gt;1,"Code en double",IF(B443="","Désignation manquante",IF(AND(E443&lt;&gt;"",OR(NOT(ISNUMBER(E443)),N(E443)&lt;0)),"Prix invalide",IF(AND(F443&lt;&gt;"",NOT(ISNUMBER(F443))),"Taux de TVA invalide",IF(AND(F443&lt;&gt;"",COUNTIF(p_rates,F443)=0),"Taux de TVA hors liste (Paramètres)","OK")))))))</f>
        <v/>
      </c>
    </row>
    <row r="444">
      <c r="A444" s="145" t="n"/>
      <c r="B444" s="63" t="n"/>
      <c r="C444" s="60" t="n"/>
      <c r="D444" s="60" t="n"/>
      <c r="E444" s="68" t="n"/>
      <c r="F444" s="70" t="n"/>
      <c r="G444" s="59" t="str">
        <f>IF(COUNTA(A444:F444)=0,"",IF(A444="","Code manquant",IF(COUNTIF(pr_code,A444)&gt;1,"Code en double",IF(B444="","Désignation manquante",IF(AND(E444&lt;&gt;"",OR(NOT(ISNUMBER(E444)),N(E444)&lt;0)),"Prix invalide",IF(AND(F444&lt;&gt;"",NOT(ISNUMBER(F444))),"Taux de TVA invalide",IF(AND(F444&lt;&gt;"",COUNTIF(p_rates,F444)=0),"Taux de TVA hors liste (Paramètres)","OK")))))))</f>
        <v/>
      </c>
    </row>
    <row r="445">
      <c r="A445" s="145" t="n"/>
      <c r="B445" s="63" t="n"/>
      <c r="C445" s="60" t="n"/>
      <c r="D445" s="60" t="n"/>
      <c r="E445" s="68" t="n"/>
      <c r="F445" s="70" t="n"/>
      <c r="G445" s="59" t="str">
        <f>IF(COUNTA(A445:F445)=0,"",IF(A445="","Code manquant",IF(COUNTIF(pr_code,A445)&gt;1,"Code en double",IF(B445="","Désignation manquante",IF(AND(E445&lt;&gt;"",OR(NOT(ISNUMBER(E445)),N(E445)&lt;0)),"Prix invalide",IF(AND(F445&lt;&gt;"",NOT(ISNUMBER(F445))),"Taux de TVA invalide",IF(AND(F445&lt;&gt;"",COUNTIF(p_rates,F445)=0),"Taux de TVA hors liste (Paramètres)","OK")))))))</f>
        <v/>
      </c>
    </row>
    <row r="446">
      <c r="A446" s="145" t="n"/>
      <c r="B446" s="63" t="n"/>
      <c r="C446" s="60" t="n"/>
      <c r="D446" s="60" t="n"/>
      <c r="E446" s="68" t="n"/>
      <c r="F446" s="70" t="n"/>
      <c r="G446" s="59" t="str">
        <f>IF(COUNTA(A446:F446)=0,"",IF(A446="","Code manquant",IF(COUNTIF(pr_code,A446)&gt;1,"Code en double",IF(B446="","Désignation manquante",IF(AND(E446&lt;&gt;"",OR(NOT(ISNUMBER(E446)),N(E446)&lt;0)),"Prix invalide",IF(AND(F446&lt;&gt;"",NOT(ISNUMBER(F446))),"Taux de TVA invalide",IF(AND(F446&lt;&gt;"",COUNTIF(p_rates,F446)=0),"Taux de TVA hors liste (Paramètres)","OK")))))))</f>
        <v/>
      </c>
    </row>
    <row r="447">
      <c r="A447" s="145" t="n"/>
      <c r="B447" s="63" t="n"/>
      <c r="C447" s="60" t="n"/>
      <c r="D447" s="60" t="n"/>
      <c r="E447" s="68" t="n"/>
      <c r="F447" s="70" t="n"/>
      <c r="G447" s="59" t="str">
        <f>IF(COUNTA(A447:F447)=0,"",IF(A447="","Code manquant",IF(COUNTIF(pr_code,A447)&gt;1,"Code en double",IF(B447="","Désignation manquante",IF(AND(E447&lt;&gt;"",OR(NOT(ISNUMBER(E447)),N(E447)&lt;0)),"Prix invalide",IF(AND(F447&lt;&gt;"",NOT(ISNUMBER(F447))),"Taux de TVA invalide",IF(AND(F447&lt;&gt;"",COUNTIF(p_rates,F447)=0),"Taux de TVA hors liste (Paramètres)","OK")))))))</f>
        <v/>
      </c>
    </row>
    <row r="448">
      <c r="A448" s="145" t="n"/>
      <c r="B448" s="63" t="n"/>
      <c r="C448" s="60" t="n"/>
      <c r="D448" s="60" t="n"/>
      <c r="E448" s="68" t="n"/>
      <c r="F448" s="70" t="n"/>
      <c r="G448" s="59" t="str">
        <f>IF(COUNTA(A448:F448)=0,"",IF(A448="","Code manquant",IF(COUNTIF(pr_code,A448)&gt;1,"Code en double",IF(B448="","Désignation manquante",IF(AND(E448&lt;&gt;"",OR(NOT(ISNUMBER(E448)),N(E448)&lt;0)),"Prix invalide",IF(AND(F448&lt;&gt;"",NOT(ISNUMBER(F448))),"Taux de TVA invalide",IF(AND(F448&lt;&gt;"",COUNTIF(p_rates,F448)=0),"Taux de TVA hors liste (Paramètres)","OK")))))))</f>
        <v/>
      </c>
    </row>
    <row r="449">
      <c r="A449" s="145" t="n"/>
      <c r="B449" s="63" t="n"/>
      <c r="C449" s="60" t="n"/>
      <c r="D449" s="60" t="n"/>
      <c r="E449" s="68" t="n"/>
      <c r="F449" s="70" t="n"/>
      <c r="G449" s="59" t="str">
        <f>IF(COUNTA(A449:F449)=0,"",IF(A449="","Code manquant",IF(COUNTIF(pr_code,A449)&gt;1,"Code en double",IF(B449="","Désignation manquante",IF(AND(E449&lt;&gt;"",OR(NOT(ISNUMBER(E449)),N(E449)&lt;0)),"Prix invalide",IF(AND(F449&lt;&gt;"",NOT(ISNUMBER(F449))),"Taux de TVA invalide",IF(AND(F449&lt;&gt;"",COUNTIF(p_rates,F449)=0),"Taux de TVA hors liste (Paramètres)","OK")))))))</f>
        <v/>
      </c>
    </row>
    <row r="450">
      <c r="A450" s="145" t="n"/>
      <c r="B450" s="63" t="n"/>
      <c r="C450" s="60" t="n"/>
      <c r="D450" s="60" t="n"/>
      <c r="E450" s="68" t="n"/>
      <c r="F450" s="70" t="n"/>
      <c r="G450" s="59" t="str">
        <f>IF(COUNTA(A450:F450)=0,"",IF(A450="","Code manquant",IF(COUNTIF(pr_code,A450)&gt;1,"Code en double",IF(B450="","Désignation manquante",IF(AND(E450&lt;&gt;"",OR(NOT(ISNUMBER(E450)),N(E450)&lt;0)),"Prix invalide",IF(AND(F450&lt;&gt;"",NOT(ISNUMBER(F450))),"Taux de TVA invalide",IF(AND(F450&lt;&gt;"",COUNTIF(p_rates,F450)=0),"Taux de TVA hors liste (Paramètres)","OK")))))))</f>
        <v/>
      </c>
    </row>
    <row r="451">
      <c r="A451" s="145" t="n"/>
      <c r="B451" s="63" t="n"/>
      <c r="C451" s="60" t="n"/>
      <c r="D451" s="60" t="n"/>
      <c r="E451" s="68" t="n"/>
      <c r="F451" s="70" t="n"/>
      <c r="G451" s="59" t="str">
        <f>IF(COUNTA(A451:F451)=0,"",IF(A451="","Code manquant",IF(COUNTIF(pr_code,A451)&gt;1,"Code en double",IF(B451="","Désignation manquante",IF(AND(E451&lt;&gt;"",OR(NOT(ISNUMBER(E451)),N(E451)&lt;0)),"Prix invalide",IF(AND(F451&lt;&gt;"",NOT(ISNUMBER(F451))),"Taux de TVA invalide",IF(AND(F451&lt;&gt;"",COUNTIF(p_rates,F451)=0),"Taux de TVA hors liste (Paramètres)","OK")))))))</f>
        <v/>
      </c>
    </row>
    <row r="452">
      <c r="A452" s="145" t="n"/>
      <c r="B452" s="63" t="n"/>
      <c r="C452" s="60" t="n"/>
      <c r="D452" s="60" t="n"/>
      <c r="E452" s="68" t="n"/>
      <c r="F452" s="70" t="n"/>
      <c r="G452" s="59" t="str">
        <f>IF(COUNTA(A452:F452)=0,"",IF(A452="","Code manquant",IF(COUNTIF(pr_code,A452)&gt;1,"Code en double",IF(B452="","Désignation manquante",IF(AND(E452&lt;&gt;"",OR(NOT(ISNUMBER(E452)),N(E452)&lt;0)),"Prix invalide",IF(AND(F452&lt;&gt;"",NOT(ISNUMBER(F452))),"Taux de TVA invalide",IF(AND(F452&lt;&gt;"",COUNTIF(p_rates,F452)=0),"Taux de TVA hors liste (Paramètres)","OK")))))))</f>
        <v/>
      </c>
    </row>
    <row r="453">
      <c r="A453" s="145" t="n"/>
      <c r="B453" s="63" t="n"/>
      <c r="C453" s="60" t="n"/>
      <c r="D453" s="60" t="n"/>
      <c r="E453" s="68" t="n"/>
      <c r="F453" s="70" t="n"/>
      <c r="G453" s="59" t="str">
        <f>IF(COUNTA(A453:F453)=0,"",IF(A453="","Code manquant",IF(COUNTIF(pr_code,A453)&gt;1,"Code en double",IF(B453="","Désignation manquante",IF(AND(E453&lt;&gt;"",OR(NOT(ISNUMBER(E453)),N(E453)&lt;0)),"Prix invalide",IF(AND(F453&lt;&gt;"",NOT(ISNUMBER(F453))),"Taux de TVA invalide",IF(AND(F453&lt;&gt;"",COUNTIF(p_rates,F453)=0),"Taux de TVA hors liste (Paramètres)","OK")))))))</f>
        <v/>
      </c>
    </row>
    <row r="454">
      <c r="A454" s="145" t="n"/>
      <c r="B454" s="63" t="n"/>
      <c r="C454" s="60" t="n"/>
      <c r="D454" s="60" t="n"/>
      <c r="E454" s="68" t="n"/>
      <c r="F454" s="70" t="n"/>
      <c r="G454" s="59" t="str">
        <f>IF(COUNTA(A454:F454)=0,"",IF(A454="","Code manquant",IF(COUNTIF(pr_code,A454)&gt;1,"Code en double",IF(B454="","Désignation manquante",IF(AND(E454&lt;&gt;"",OR(NOT(ISNUMBER(E454)),N(E454)&lt;0)),"Prix invalide",IF(AND(F454&lt;&gt;"",NOT(ISNUMBER(F454))),"Taux de TVA invalide",IF(AND(F454&lt;&gt;"",COUNTIF(p_rates,F454)=0),"Taux de TVA hors liste (Paramètres)","OK")))))))</f>
        <v/>
      </c>
    </row>
    <row r="455">
      <c r="A455" s="145" t="n"/>
      <c r="B455" s="63" t="n"/>
      <c r="C455" s="60" t="n"/>
      <c r="D455" s="60" t="n"/>
      <c r="E455" s="68" t="n"/>
      <c r="F455" s="70" t="n"/>
      <c r="G455" s="59" t="str">
        <f>IF(COUNTA(A455:F455)=0,"",IF(A455="","Code manquant",IF(COUNTIF(pr_code,A455)&gt;1,"Code en double",IF(B455="","Désignation manquante",IF(AND(E455&lt;&gt;"",OR(NOT(ISNUMBER(E455)),N(E455)&lt;0)),"Prix invalide",IF(AND(F455&lt;&gt;"",NOT(ISNUMBER(F455))),"Taux de TVA invalide",IF(AND(F455&lt;&gt;"",COUNTIF(p_rates,F455)=0),"Taux de TVA hors liste (Paramètres)","OK")))))))</f>
        <v/>
      </c>
    </row>
    <row r="456">
      <c r="A456" s="145" t="n"/>
      <c r="B456" s="63" t="n"/>
      <c r="C456" s="60" t="n"/>
      <c r="D456" s="60" t="n"/>
      <c r="E456" s="68" t="n"/>
      <c r="F456" s="70" t="n"/>
      <c r="G456" s="59" t="str">
        <f>IF(COUNTA(A456:F456)=0,"",IF(A456="","Code manquant",IF(COUNTIF(pr_code,A456)&gt;1,"Code en double",IF(B456="","Désignation manquante",IF(AND(E456&lt;&gt;"",OR(NOT(ISNUMBER(E456)),N(E456)&lt;0)),"Prix invalide",IF(AND(F456&lt;&gt;"",NOT(ISNUMBER(F456))),"Taux de TVA invalide",IF(AND(F456&lt;&gt;"",COUNTIF(p_rates,F456)=0),"Taux de TVA hors liste (Paramètres)","OK")))))))</f>
        <v/>
      </c>
    </row>
    <row r="457">
      <c r="A457" s="145" t="n"/>
      <c r="B457" s="63" t="n"/>
      <c r="C457" s="60" t="n"/>
      <c r="D457" s="60" t="n"/>
      <c r="E457" s="68" t="n"/>
      <c r="F457" s="70" t="n"/>
      <c r="G457" s="59" t="str">
        <f>IF(COUNTA(A457:F457)=0,"",IF(A457="","Code manquant",IF(COUNTIF(pr_code,A457)&gt;1,"Code en double",IF(B457="","Désignation manquante",IF(AND(E457&lt;&gt;"",OR(NOT(ISNUMBER(E457)),N(E457)&lt;0)),"Prix invalide",IF(AND(F457&lt;&gt;"",NOT(ISNUMBER(F457))),"Taux de TVA invalide",IF(AND(F457&lt;&gt;"",COUNTIF(p_rates,F457)=0),"Taux de TVA hors liste (Paramètres)","OK")))))))</f>
        <v/>
      </c>
    </row>
    <row r="458">
      <c r="A458" s="145" t="n"/>
      <c r="B458" s="63" t="n"/>
      <c r="C458" s="60" t="n"/>
      <c r="D458" s="60" t="n"/>
      <c r="E458" s="68" t="n"/>
      <c r="F458" s="70" t="n"/>
      <c r="G458" s="59" t="str">
        <f>IF(COUNTA(A458:F458)=0,"",IF(A458="","Code manquant",IF(COUNTIF(pr_code,A458)&gt;1,"Code en double",IF(B458="","Désignation manquante",IF(AND(E458&lt;&gt;"",OR(NOT(ISNUMBER(E458)),N(E458)&lt;0)),"Prix invalide",IF(AND(F458&lt;&gt;"",NOT(ISNUMBER(F458))),"Taux de TVA invalide",IF(AND(F458&lt;&gt;"",COUNTIF(p_rates,F458)=0),"Taux de TVA hors liste (Paramètres)","OK")))))))</f>
        <v/>
      </c>
    </row>
    <row r="459">
      <c r="A459" s="145" t="n"/>
      <c r="B459" s="63" t="n"/>
      <c r="C459" s="60" t="n"/>
      <c r="D459" s="60" t="n"/>
      <c r="E459" s="68" t="n"/>
      <c r="F459" s="70" t="n"/>
      <c r="G459" s="59" t="str">
        <f>IF(COUNTA(A459:F459)=0,"",IF(A459="","Code manquant",IF(COUNTIF(pr_code,A459)&gt;1,"Code en double",IF(B459="","Désignation manquante",IF(AND(E459&lt;&gt;"",OR(NOT(ISNUMBER(E459)),N(E459)&lt;0)),"Prix invalide",IF(AND(F459&lt;&gt;"",NOT(ISNUMBER(F459))),"Taux de TVA invalide",IF(AND(F459&lt;&gt;"",COUNTIF(p_rates,F459)=0),"Taux de TVA hors liste (Paramètres)","OK")))))))</f>
        <v/>
      </c>
    </row>
    <row r="460">
      <c r="A460" s="145" t="n"/>
      <c r="B460" s="63" t="n"/>
      <c r="C460" s="60" t="n"/>
      <c r="D460" s="60" t="n"/>
      <c r="E460" s="68" t="n"/>
      <c r="F460" s="70" t="n"/>
      <c r="G460" s="59" t="str">
        <f>IF(COUNTA(A460:F460)=0,"",IF(A460="","Code manquant",IF(COUNTIF(pr_code,A460)&gt;1,"Code en double",IF(B460="","Désignation manquante",IF(AND(E460&lt;&gt;"",OR(NOT(ISNUMBER(E460)),N(E460)&lt;0)),"Prix invalide",IF(AND(F460&lt;&gt;"",NOT(ISNUMBER(F460))),"Taux de TVA invalide",IF(AND(F460&lt;&gt;"",COUNTIF(p_rates,F460)=0),"Taux de TVA hors liste (Paramètres)","OK")))))))</f>
        <v/>
      </c>
    </row>
    <row r="461">
      <c r="A461" s="145" t="n"/>
      <c r="B461" s="63" t="n"/>
      <c r="C461" s="60" t="n"/>
      <c r="D461" s="60" t="n"/>
      <c r="E461" s="68" t="n"/>
      <c r="F461" s="70" t="n"/>
      <c r="G461" s="59" t="str">
        <f>IF(COUNTA(A461:F461)=0,"",IF(A461="","Code manquant",IF(COUNTIF(pr_code,A461)&gt;1,"Code en double",IF(B461="","Désignation manquante",IF(AND(E461&lt;&gt;"",OR(NOT(ISNUMBER(E461)),N(E461)&lt;0)),"Prix invalide",IF(AND(F461&lt;&gt;"",NOT(ISNUMBER(F461))),"Taux de TVA invalide",IF(AND(F461&lt;&gt;"",COUNTIF(p_rates,F461)=0),"Taux de TVA hors liste (Paramètres)","OK")))))))</f>
        <v/>
      </c>
    </row>
    <row r="462">
      <c r="A462" s="145" t="n"/>
      <c r="B462" s="63" t="n"/>
      <c r="C462" s="60" t="n"/>
      <c r="D462" s="60" t="n"/>
      <c r="E462" s="68" t="n"/>
      <c r="F462" s="70" t="n"/>
      <c r="G462" s="59" t="str">
        <f>IF(COUNTA(A462:F462)=0,"",IF(A462="","Code manquant",IF(COUNTIF(pr_code,A462)&gt;1,"Code en double",IF(B462="","Désignation manquante",IF(AND(E462&lt;&gt;"",OR(NOT(ISNUMBER(E462)),N(E462)&lt;0)),"Prix invalide",IF(AND(F462&lt;&gt;"",NOT(ISNUMBER(F462))),"Taux de TVA invalide",IF(AND(F462&lt;&gt;"",COUNTIF(p_rates,F462)=0),"Taux de TVA hors liste (Paramètres)","OK")))))))</f>
        <v/>
      </c>
    </row>
    <row r="463">
      <c r="A463" s="145" t="n"/>
      <c r="B463" s="63" t="n"/>
      <c r="C463" s="60" t="n"/>
      <c r="D463" s="60" t="n"/>
      <c r="E463" s="68" t="n"/>
      <c r="F463" s="70" t="n"/>
      <c r="G463" s="59" t="str">
        <f>IF(COUNTA(A463:F463)=0,"",IF(A463="","Code manquant",IF(COUNTIF(pr_code,A463)&gt;1,"Code en double",IF(B463="","Désignation manquante",IF(AND(E463&lt;&gt;"",OR(NOT(ISNUMBER(E463)),N(E463)&lt;0)),"Prix invalide",IF(AND(F463&lt;&gt;"",NOT(ISNUMBER(F463))),"Taux de TVA invalide",IF(AND(F463&lt;&gt;"",COUNTIF(p_rates,F463)=0),"Taux de TVA hors liste (Paramètres)","OK")))))))</f>
        <v/>
      </c>
    </row>
    <row r="464">
      <c r="A464" s="145" t="n"/>
      <c r="B464" s="63" t="n"/>
      <c r="C464" s="60" t="n"/>
      <c r="D464" s="60" t="n"/>
      <c r="E464" s="68" t="n"/>
      <c r="F464" s="70" t="n"/>
      <c r="G464" s="59" t="str">
        <f>IF(COUNTA(A464:F464)=0,"",IF(A464="","Code manquant",IF(COUNTIF(pr_code,A464)&gt;1,"Code en double",IF(B464="","Désignation manquante",IF(AND(E464&lt;&gt;"",OR(NOT(ISNUMBER(E464)),N(E464)&lt;0)),"Prix invalide",IF(AND(F464&lt;&gt;"",NOT(ISNUMBER(F464))),"Taux de TVA invalide",IF(AND(F464&lt;&gt;"",COUNTIF(p_rates,F464)=0),"Taux de TVA hors liste (Paramètres)","OK")))))))</f>
        <v/>
      </c>
    </row>
    <row r="465">
      <c r="A465" s="145" t="n"/>
      <c r="B465" s="63" t="n"/>
      <c r="C465" s="60" t="n"/>
      <c r="D465" s="60" t="n"/>
      <c r="E465" s="68" t="n"/>
      <c r="F465" s="70" t="n"/>
      <c r="G465" s="59" t="str">
        <f>IF(COUNTA(A465:F465)=0,"",IF(A465="","Code manquant",IF(COUNTIF(pr_code,A465)&gt;1,"Code en double",IF(B465="","Désignation manquante",IF(AND(E465&lt;&gt;"",OR(NOT(ISNUMBER(E465)),N(E465)&lt;0)),"Prix invalide",IF(AND(F465&lt;&gt;"",NOT(ISNUMBER(F465))),"Taux de TVA invalide",IF(AND(F465&lt;&gt;"",COUNTIF(p_rates,F465)=0),"Taux de TVA hors liste (Paramètres)","OK")))))))</f>
        <v/>
      </c>
    </row>
    <row r="466">
      <c r="A466" s="145" t="n"/>
      <c r="B466" s="63" t="n"/>
      <c r="C466" s="60" t="n"/>
      <c r="D466" s="60" t="n"/>
      <c r="E466" s="68" t="n"/>
      <c r="F466" s="70" t="n"/>
      <c r="G466" s="59" t="str">
        <f>IF(COUNTA(A466:F466)=0,"",IF(A466="","Code manquant",IF(COUNTIF(pr_code,A466)&gt;1,"Code en double",IF(B466="","Désignation manquante",IF(AND(E466&lt;&gt;"",OR(NOT(ISNUMBER(E466)),N(E466)&lt;0)),"Prix invalide",IF(AND(F466&lt;&gt;"",NOT(ISNUMBER(F466))),"Taux de TVA invalide",IF(AND(F466&lt;&gt;"",COUNTIF(p_rates,F466)=0),"Taux de TVA hors liste (Paramètres)","OK")))))))</f>
        <v/>
      </c>
    </row>
    <row r="467">
      <c r="A467" s="145" t="n"/>
      <c r="B467" s="63" t="n"/>
      <c r="C467" s="60" t="n"/>
      <c r="D467" s="60" t="n"/>
      <c r="E467" s="68" t="n"/>
      <c r="F467" s="70" t="n"/>
      <c r="G467" s="59" t="str">
        <f>IF(COUNTA(A467:F467)=0,"",IF(A467="","Code manquant",IF(COUNTIF(pr_code,A467)&gt;1,"Code en double",IF(B467="","Désignation manquante",IF(AND(E467&lt;&gt;"",OR(NOT(ISNUMBER(E467)),N(E467)&lt;0)),"Prix invalide",IF(AND(F467&lt;&gt;"",NOT(ISNUMBER(F467))),"Taux de TVA invalide",IF(AND(F467&lt;&gt;"",COUNTIF(p_rates,F467)=0),"Taux de TVA hors liste (Paramètres)","OK")))))))</f>
        <v/>
      </c>
    </row>
    <row r="468">
      <c r="A468" s="145" t="n"/>
      <c r="B468" s="63" t="n"/>
      <c r="C468" s="60" t="n"/>
      <c r="D468" s="60" t="n"/>
      <c r="E468" s="68" t="n"/>
      <c r="F468" s="70" t="n"/>
      <c r="G468" s="59" t="str">
        <f>IF(COUNTA(A468:F468)=0,"",IF(A468="","Code manquant",IF(COUNTIF(pr_code,A468)&gt;1,"Code en double",IF(B468="","Désignation manquante",IF(AND(E468&lt;&gt;"",OR(NOT(ISNUMBER(E468)),N(E468)&lt;0)),"Prix invalide",IF(AND(F468&lt;&gt;"",NOT(ISNUMBER(F468))),"Taux de TVA invalide",IF(AND(F468&lt;&gt;"",COUNTIF(p_rates,F468)=0),"Taux de TVA hors liste (Paramètres)","OK")))))))</f>
        <v/>
      </c>
    </row>
    <row r="469">
      <c r="A469" s="145" t="n"/>
      <c r="B469" s="63" t="n"/>
      <c r="C469" s="60" t="n"/>
      <c r="D469" s="60" t="n"/>
      <c r="E469" s="68" t="n"/>
      <c r="F469" s="70" t="n"/>
      <c r="G469" s="59" t="str">
        <f>IF(COUNTA(A469:F469)=0,"",IF(A469="","Code manquant",IF(COUNTIF(pr_code,A469)&gt;1,"Code en double",IF(B469="","Désignation manquante",IF(AND(E469&lt;&gt;"",OR(NOT(ISNUMBER(E469)),N(E469)&lt;0)),"Prix invalide",IF(AND(F469&lt;&gt;"",NOT(ISNUMBER(F469))),"Taux de TVA invalide",IF(AND(F469&lt;&gt;"",COUNTIF(p_rates,F469)=0),"Taux de TVA hors liste (Paramètres)","OK")))))))</f>
        <v/>
      </c>
    </row>
    <row r="470">
      <c r="A470" s="145" t="n"/>
      <c r="B470" s="63" t="n"/>
      <c r="C470" s="60" t="n"/>
      <c r="D470" s="60" t="n"/>
      <c r="E470" s="68" t="n"/>
      <c r="F470" s="70" t="n"/>
      <c r="G470" s="59" t="str">
        <f>IF(COUNTA(A470:F470)=0,"",IF(A470="","Code manquant",IF(COUNTIF(pr_code,A470)&gt;1,"Code en double",IF(B470="","Désignation manquante",IF(AND(E470&lt;&gt;"",OR(NOT(ISNUMBER(E470)),N(E470)&lt;0)),"Prix invalide",IF(AND(F470&lt;&gt;"",NOT(ISNUMBER(F470))),"Taux de TVA invalide",IF(AND(F470&lt;&gt;"",COUNTIF(p_rates,F470)=0),"Taux de TVA hors liste (Paramètres)","OK")))))))</f>
        <v/>
      </c>
    </row>
    <row r="471">
      <c r="A471" s="145" t="n"/>
      <c r="B471" s="63" t="n"/>
      <c r="C471" s="60" t="n"/>
      <c r="D471" s="60" t="n"/>
      <c r="E471" s="68" t="n"/>
      <c r="F471" s="70" t="n"/>
      <c r="G471" s="59" t="str">
        <f>IF(COUNTA(A471:F471)=0,"",IF(A471="","Code manquant",IF(COUNTIF(pr_code,A471)&gt;1,"Code en double",IF(B471="","Désignation manquante",IF(AND(E471&lt;&gt;"",OR(NOT(ISNUMBER(E471)),N(E471)&lt;0)),"Prix invalide",IF(AND(F471&lt;&gt;"",NOT(ISNUMBER(F471))),"Taux de TVA invalide",IF(AND(F471&lt;&gt;"",COUNTIF(p_rates,F471)=0),"Taux de TVA hors liste (Paramètres)","OK")))))))</f>
        <v/>
      </c>
    </row>
    <row r="472">
      <c r="A472" s="145" t="n"/>
      <c r="B472" s="63" t="n"/>
      <c r="C472" s="60" t="n"/>
      <c r="D472" s="60" t="n"/>
      <c r="E472" s="68" t="n"/>
      <c r="F472" s="70" t="n"/>
      <c r="G472" s="59" t="str">
        <f>IF(COUNTA(A472:F472)=0,"",IF(A472="","Code manquant",IF(COUNTIF(pr_code,A472)&gt;1,"Code en double",IF(B472="","Désignation manquante",IF(AND(E472&lt;&gt;"",OR(NOT(ISNUMBER(E472)),N(E472)&lt;0)),"Prix invalide",IF(AND(F472&lt;&gt;"",NOT(ISNUMBER(F472))),"Taux de TVA invalide",IF(AND(F472&lt;&gt;"",COUNTIF(p_rates,F472)=0),"Taux de TVA hors liste (Paramètres)","OK")))))))</f>
        <v/>
      </c>
    </row>
    <row r="473">
      <c r="A473" s="145" t="n"/>
      <c r="B473" s="63" t="n"/>
      <c r="C473" s="60" t="n"/>
      <c r="D473" s="60" t="n"/>
      <c r="E473" s="68" t="n"/>
      <c r="F473" s="70" t="n"/>
      <c r="G473" s="59" t="str">
        <f>IF(COUNTA(A473:F473)=0,"",IF(A473="","Code manquant",IF(COUNTIF(pr_code,A473)&gt;1,"Code en double",IF(B473="","Désignation manquante",IF(AND(E473&lt;&gt;"",OR(NOT(ISNUMBER(E473)),N(E473)&lt;0)),"Prix invalide",IF(AND(F473&lt;&gt;"",NOT(ISNUMBER(F473))),"Taux de TVA invalide",IF(AND(F473&lt;&gt;"",COUNTIF(p_rates,F473)=0),"Taux de TVA hors liste (Paramètres)","OK")))))))</f>
        <v/>
      </c>
    </row>
    <row r="474">
      <c r="A474" s="145" t="n"/>
      <c r="B474" s="63" t="n"/>
      <c r="C474" s="60" t="n"/>
      <c r="D474" s="60" t="n"/>
      <c r="E474" s="68" t="n"/>
      <c r="F474" s="70" t="n"/>
      <c r="G474" s="59" t="str">
        <f>IF(COUNTA(A474:F474)=0,"",IF(A474="","Code manquant",IF(COUNTIF(pr_code,A474)&gt;1,"Code en double",IF(B474="","Désignation manquante",IF(AND(E474&lt;&gt;"",OR(NOT(ISNUMBER(E474)),N(E474)&lt;0)),"Prix invalide",IF(AND(F474&lt;&gt;"",NOT(ISNUMBER(F474))),"Taux de TVA invalide",IF(AND(F474&lt;&gt;"",COUNTIF(p_rates,F474)=0),"Taux de TVA hors liste (Paramètres)","OK")))))))</f>
        <v/>
      </c>
    </row>
    <row r="475">
      <c r="A475" s="145" t="n"/>
      <c r="B475" s="63" t="n"/>
      <c r="C475" s="60" t="n"/>
      <c r="D475" s="60" t="n"/>
      <c r="E475" s="68" t="n"/>
      <c r="F475" s="70" t="n"/>
      <c r="G475" s="59" t="str">
        <f>IF(COUNTA(A475:F475)=0,"",IF(A475="","Code manquant",IF(COUNTIF(pr_code,A475)&gt;1,"Code en double",IF(B475="","Désignation manquante",IF(AND(E475&lt;&gt;"",OR(NOT(ISNUMBER(E475)),N(E475)&lt;0)),"Prix invalide",IF(AND(F475&lt;&gt;"",NOT(ISNUMBER(F475))),"Taux de TVA invalide",IF(AND(F475&lt;&gt;"",COUNTIF(p_rates,F475)=0),"Taux de TVA hors liste (Paramètres)","OK")))))))</f>
        <v/>
      </c>
    </row>
    <row r="476">
      <c r="A476" s="145" t="n"/>
      <c r="B476" s="63" t="n"/>
      <c r="C476" s="60" t="n"/>
      <c r="D476" s="60" t="n"/>
      <c r="E476" s="68" t="n"/>
      <c r="F476" s="70" t="n"/>
      <c r="G476" s="59" t="str">
        <f>IF(COUNTA(A476:F476)=0,"",IF(A476="","Code manquant",IF(COUNTIF(pr_code,A476)&gt;1,"Code en double",IF(B476="","Désignation manquante",IF(AND(E476&lt;&gt;"",OR(NOT(ISNUMBER(E476)),N(E476)&lt;0)),"Prix invalide",IF(AND(F476&lt;&gt;"",NOT(ISNUMBER(F476))),"Taux de TVA invalide",IF(AND(F476&lt;&gt;"",COUNTIF(p_rates,F476)=0),"Taux de TVA hors liste (Paramètres)","OK")))))))</f>
        <v/>
      </c>
    </row>
    <row r="477">
      <c r="A477" s="145" t="n"/>
      <c r="B477" s="63" t="n"/>
      <c r="C477" s="60" t="n"/>
      <c r="D477" s="60" t="n"/>
      <c r="E477" s="68" t="n"/>
      <c r="F477" s="70" t="n"/>
      <c r="G477" s="59" t="str">
        <f>IF(COUNTA(A477:F477)=0,"",IF(A477="","Code manquant",IF(COUNTIF(pr_code,A477)&gt;1,"Code en double",IF(B477="","Désignation manquante",IF(AND(E477&lt;&gt;"",OR(NOT(ISNUMBER(E477)),N(E477)&lt;0)),"Prix invalide",IF(AND(F477&lt;&gt;"",NOT(ISNUMBER(F477))),"Taux de TVA invalide",IF(AND(F477&lt;&gt;"",COUNTIF(p_rates,F477)=0),"Taux de TVA hors liste (Paramètres)","OK")))))))</f>
        <v/>
      </c>
    </row>
    <row r="478">
      <c r="A478" s="145" t="n"/>
      <c r="B478" s="63" t="n"/>
      <c r="C478" s="60" t="n"/>
      <c r="D478" s="60" t="n"/>
      <c r="E478" s="68" t="n"/>
      <c r="F478" s="70" t="n"/>
      <c r="G478" s="59" t="str">
        <f>IF(COUNTA(A478:F478)=0,"",IF(A478="","Code manquant",IF(COUNTIF(pr_code,A478)&gt;1,"Code en double",IF(B478="","Désignation manquante",IF(AND(E478&lt;&gt;"",OR(NOT(ISNUMBER(E478)),N(E478)&lt;0)),"Prix invalide",IF(AND(F478&lt;&gt;"",NOT(ISNUMBER(F478))),"Taux de TVA invalide",IF(AND(F478&lt;&gt;"",COUNTIF(p_rates,F478)=0),"Taux de TVA hors liste (Paramètres)","OK")))))))</f>
        <v/>
      </c>
    </row>
    <row r="479">
      <c r="A479" s="145" t="n"/>
      <c r="B479" s="63" t="n"/>
      <c r="C479" s="60" t="n"/>
      <c r="D479" s="60" t="n"/>
      <c r="E479" s="68" t="n"/>
      <c r="F479" s="70" t="n"/>
      <c r="G479" s="59" t="str">
        <f>IF(COUNTA(A479:F479)=0,"",IF(A479="","Code manquant",IF(COUNTIF(pr_code,A479)&gt;1,"Code en double",IF(B479="","Désignation manquante",IF(AND(E479&lt;&gt;"",OR(NOT(ISNUMBER(E479)),N(E479)&lt;0)),"Prix invalide",IF(AND(F479&lt;&gt;"",NOT(ISNUMBER(F479))),"Taux de TVA invalide",IF(AND(F479&lt;&gt;"",COUNTIF(p_rates,F479)=0),"Taux de TVA hors liste (Paramètres)","OK")))))))</f>
        <v/>
      </c>
    </row>
    <row r="480">
      <c r="A480" s="145" t="n"/>
      <c r="B480" s="63" t="n"/>
      <c r="C480" s="60" t="n"/>
      <c r="D480" s="60" t="n"/>
      <c r="E480" s="68" t="n"/>
      <c r="F480" s="70" t="n"/>
      <c r="G480" s="59" t="str">
        <f>IF(COUNTA(A480:F480)=0,"",IF(A480="","Code manquant",IF(COUNTIF(pr_code,A480)&gt;1,"Code en double",IF(B480="","Désignation manquante",IF(AND(E480&lt;&gt;"",OR(NOT(ISNUMBER(E480)),N(E480)&lt;0)),"Prix invalide",IF(AND(F480&lt;&gt;"",NOT(ISNUMBER(F480))),"Taux de TVA invalide",IF(AND(F480&lt;&gt;"",COUNTIF(p_rates,F480)=0),"Taux de TVA hors liste (Paramètres)","OK")))))))</f>
        <v/>
      </c>
    </row>
    <row r="481">
      <c r="A481" s="145" t="n"/>
      <c r="B481" s="63" t="n"/>
      <c r="C481" s="60" t="n"/>
      <c r="D481" s="60" t="n"/>
      <c r="E481" s="68" t="n"/>
      <c r="F481" s="70" t="n"/>
      <c r="G481" s="59" t="str">
        <f>IF(COUNTA(A481:F481)=0,"",IF(A481="","Code manquant",IF(COUNTIF(pr_code,A481)&gt;1,"Code en double",IF(B481="","Désignation manquante",IF(AND(E481&lt;&gt;"",OR(NOT(ISNUMBER(E481)),N(E481)&lt;0)),"Prix invalide",IF(AND(F481&lt;&gt;"",NOT(ISNUMBER(F481))),"Taux de TVA invalide",IF(AND(F481&lt;&gt;"",COUNTIF(p_rates,F481)=0),"Taux de TVA hors liste (Paramètres)","OK")))))))</f>
        <v/>
      </c>
    </row>
    <row r="482">
      <c r="A482" s="145" t="n"/>
      <c r="B482" s="63" t="n"/>
      <c r="C482" s="60" t="n"/>
      <c r="D482" s="60" t="n"/>
      <c r="E482" s="68" t="n"/>
      <c r="F482" s="70" t="n"/>
      <c r="G482" s="59" t="str">
        <f>IF(COUNTA(A482:F482)=0,"",IF(A482="","Code manquant",IF(COUNTIF(pr_code,A482)&gt;1,"Code en double",IF(B482="","Désignation manquante",IF(AND(E482&lt;&gt;"",OR(NOT(ISNUMBER(E482)),N(E482)&lt;0)),"Prix invalide",IF(AND(F482&lt;&gt;"",NOT(ISNUMBER(F482))),"Taux de TVA invalide",IF(AND(F482&lt;&gt;"",COUNTIF(p_rates,F482)=0),"Taux de TVA hors liste (Paramètres)","OK")))))))</f>
        <v/>
      </c>
    </row>
    <row r="483">
      <c r="A483" s="145" t="n"/>
      <c r="B483" s="63" t="n"/>
      <c r="C483" s="60" t="n"/>
      <c r="D483" s="60" t="n"/>
      <c r="E483" s="68" t="n"/>
      <c r="F483" s="70" t="n"/>
      <c r="G483" s="59" t="str">
        <f>IF(COUNTA(A483:F483)=0,"",IF(A483="","Code manquant",IF(COUNTIF(pr_code,A483)&gt;1,"Code en double",IF(B483="","Désignation manquante",IF(AND(E483&lt;&gt;"",OR(NOT(ISNUMBER(E483)),N(E483)&lt;0)),"Prix invalide",IF(AND(F483&lt;&gt;"",NOT(ISNUMBER(F483))),"Taux de TVA invalide",IF(AND(F483&lt;&gt;"",COUNTIF(p_rates,F483)=0),"Taux de TVA hors liste (Paramètres)","OK")))))))</f>
        <v/>
      </c>
    </row>
    <row r="484">
      <c r="A484" s="145" t="n"/>
      <c r="B484" s="63" t="n"/>
      <c r="C484" s="60" t="n"/>
      <c r="D484" s="60" t="n"/>
      <c r="E484" s="68" t="n"/>
      <c r="F484" s="70" t="n"/>
      <c r="G484" s="59" t="str">
        <f>IF(COUNTA(A484:F484)=0,"",IF(A484="","Code manquant",IF(COUNTIF(pr_code,A484)&gt;1,"Code en double",IF(B484="","Désignation manquante",IF(AND(E484&lt;&gt;"",OR(NOT(ISNUMBER(E484)),N(E484)&lt;0)),"Prix invalide",IF(AND(F484&lt;&gt;"",NOT(ISNUMBER(F484))),"Taux de TVA invalide",IF(AND(F484&lt;&gt;"",COUNTIF(p_rates,F484)=0),"Taux de TVA hors liste (Paramètres)","OK")))))))</f>
        <v/>
      </c>
    </row>
    <row r="485">
      <c r="A485" s="145" t="n"/>
      <c r="B485" s="63" t="n"/>
      <c r="C485" s="60" t="n"/>
      <c r="D485" s="60" t="n"/>
      <c r="E485" s="68" t="n"/>
      <c r="F485" s="70" t="n"/>
      <c r="G485" s="59" t="str">
        <f>IF(COUNTA(A485:F485)=0,"",IF(A485="","Code manquant",IF(COUNTIF(pr_code,A485)&gt;1,"Code en double",IF(B485="","Désignation manquante",IF(AND(E485&lt;&gt;"",OR(NOT(ISNUMBER(E485)),N(E485)&lt;0)),"Prix invalide",IF(AND(F485&lt;&gt;"",NOT(ISNUMBER(F485))),"Taux de TVA invalide",IF(AND(F485&lt;&gt;"",COUNTIF(p_rates,F485)=0),"Taux de TVA hors liste (Paramètres)","OK")))))))</f>
        <v/>
      </c>
    </row>
    <row r="486">
      <c r="A486" s="145" t="n"/>
      <c r="B486" s="63" t="n"/>
      <c r="C486" s="60" t="n"/>
      <c r="D486" s="60" t="n"/>
      <c r="E486" s="68" t="n"/>
      <c r="F486" s="70" t="n"/>
      <c r="G486" s="59" t="str">
        <f>IF(COUNTA(A486:F486)=0,"",IF(A486="","Code manquant",IF(COUNTIF(pr_code,A486)&gt;1,"Code en double",IF(B486="","Désignation manquante",IF(AND(E486&lt;&gt;"",OR(NOT(ISNUMBER(E486)),N(E486)&lt;0)),"Prix invalide",IF(AND(F486&lt;&gt;"",NOT(ISNUMBER(F486))),"Taux de TVA invalide",IF(AND(F486&lt;&gt;"",COUNTIF(p_rates,F486)=0),"Taux de TVA hors liste (Paramètres)","OK")))))))</f>
        <v/>
      </c>
    </row>
    <row r="487">
      <c r="A487" s="145" t="n"/>
      <c r="B487" s="63" t="n"/>
      <c r="C487" s="60" t="n"/>
      <c r="D487" s="60" t="n"/>
      <c r="E487" s="68" t="n"/>
      <c r="F487" s="70" t="n"/>
      <c r="G487" s="59" t="str">
        <f>IF(COUNTA(A487:F487)=0,"",IF(A487="","Code manquant",IF(COUNTIF(pr_code,A487)&gt;1,"Code en double",IF(B487="","Désignation manquante",IF(AND(E487&lt;&gt;"",OR(NOT(ISNUMBER(E487)),N(E487)&lt;0)),"Prix invalide",IF(AND(F487&lt;&gt;"",NOT(ISNUMBER(F487))),"Taux de TVA invalide",IF(AND(F487&lt;&gt;"",COUNTIF(p_rates,F487)=0),"Taux de TVA hors liste (Paramètres)","OK")))))))</f>
        <v/>
      </c>
    </row>
    <row r="488">
      <c r="A488" s="145" t="n"/>
      <c r="B488" s="63" t="n"/>
      <c r="C488" s="60" t="n"/>
      <c r="D488" s="60" t="n"/>
      <c r="E488" s="68" t="n"/>
      <c r="F488" s="70" t="n"/>
      <c r="G488" s="59" t="str">
        <f>IF(COUNTA(A488:F488)=0,"",IF(A488="","Code manquant",IF(COUNTIF(pr_code,A488)&gt;1,"Code en double",IF(B488="","Désignation manquante",IF(AND(E488&lt;&gt;"",OR(NOT(ISNUMBER(E488)),N(E488)&lt;0)),"Prix invalide",IF(AND(F488&lt;&gt;"",NOT(ISNUMBER(F488))),"Taux de TVA invalide",IF(AND(F488&lt;&gt;"",COUNTIF(p_rates,F488)=0),"Taux de TVA hors liste (Paramètres)","OK")))))))</f>
        <v/>
      </c>
    </row>
    <row r="489">
      <c r="A489" s="145" t="n"/>
      <c r="B489" s="63" t="n"/>
      <c r="C489" s="60" t="n"/>
      <c r="D489" s="60" t="n"/>
      <c r="E489" s="68" t="n"/>
      <c r="F489" s="70" t="n"/>
      <c r="G489" s="59" t="str">
        <f>IF(COUNTA(A489:F489)=0,"",IF(A489="","Code manquant",IF(COUNTIF(pr_code,A489)&gt;1,"Code en double",IF(B489="","Désignation manquante",IF(AND(E489&lt;&gt;"",OR(NOT(ISNUMBER(E489)),N(E489)&lt;0)),"Prix invalide",IF(AND(F489&lt;&gt;"",NOT(ISNUMBER(F489))),"Taux de TVA invalide",IF(AND(F489&lt;&gt;"",COUNTIF(p_rates,F489)=0),"Taux de TVA hors liste (Paramètres)","OK")))))))</f>
        <v/>
      </c>
    </row>
    <row r="490">
      <c r="A490" s="145" t="n"/>
      <c r="B490" s="63" t="n"/>
      <c r="C490" s="60" t="n"/>
      <c r="D490" s="60" t="n"/>
      <c r="E490" s="68" t="n"/>
      <c r="F490" s="70" t="n"/>
      <c r="G490" s="59" t="str">
        <f>IF(COUNTA(A490:F490)=0,"",IF(A490="","Code manquant",IF(COUNTIF(pr_code,A490)&gt;1,"Code en double",IF(B490="","Désignation manquante",IF(AND(E490&lt;&gt;"",OR(NOT(ISNUMBER(E490)),N(E490)&lt;0)),"Prix invalide",IF(AND(F490&lt;&gt;"",NOT(ISNUMBER(F490))),"Taux de TVA invalide",IF(AND(F490&lt;&gt;"",COUNTIF(p_rates,F490)=0),"Taux de TVA hors liste (Paramètres)","OK")))))))</f>
        <v/>
      </c>
    </row>
    <row r="491">
      <c r="A491" s="145" t="n"/>
      <c r="B491" s="63" t="n"/>
      <c r="C491" s="60" t="n"/>
      <c r="D491" s="60" t="n"/>
      <c r="E491" s="68" t="n"/>
      <c r="F491" s="70" t="n"/>
      <c r="G491" s="59" t="str">
        <f>IF(COUNTA(A491:F491)=0,"",IF(A491="","Code manquant",IF(COUNTIF(pr_code,A491)&gt;1,"Code en double",IF(B491="","Désignation manquante",IF(AND(E491&lt;&gt;"",OR(NOT(ISNUMBER(E491)),N(E491)&lt;0)),"Prix invalide",IF(AND(F491&lt;&gt;"",NOT(ISNUMBER(F491))),"Taux de TVA invalide",IF(AND(F491&lt;&gt;"",COUNTIF(p_rates,F491)=0),"Taux de TVA hors liste (Paramètres)","OK")))))))</f>
        <v/>
      </c>
    </row>
    <row r="492">
      <c r="A492" s="145" t="n"/>
      <c r="B492" s="63" t="n"/>
      <c r="C492" s="60" t="n"/>
      <c r="D492" s="60" t="n"/>
      <c r="E492" s="68" t="n"/>
      <c r="F492" s="70" t="n"/>
      <c r="G492" s="59" t="str">
        <f>IF(COUNTA(A492:F492)=0,"",IF(A492="","Code manquant",IF(COUNTIF(pr_code,A492)&gt;1,"Code en double",IF(B492="","Désignation manquante",IF(AND(E492&lt;&gt;"",OR(NOT(ISNUMBER(E492)),N(E492)&lt;0)),"Prix invalide",IF(AND(F492&lt;&gt;"",NOT(ISNUMBER(F492))),"Taux de TVA invalide",IF(AND(F492&lt;&gt;"",COUNTIF(p_rates,F492)=0),"Taux de TVA hors liste (Paramètres)","OK")))))))</f>
        <v/>
      </c>
    </row>
    <row r="493">
      <c r="A493" s="145" t="n"/>
      <c r="B493" s="63" t="n"/>
      <c r="C493" s="60" t="n"/>
      <c r="D493" s="60" t="n"/>
      <c r="E493" s="68" t="n"/>
      <c r="F493" s="70" t="n"/>
      <c r="G493" s="59" t="str">
        <f>IF(COUNTA(A493:F493)=0,"",IF(A493="","Code manquant",IF(COUNTIF(pr_code,A493)&gt;1,"Code en double",IF(B493="","Désignation manquante",IF(AND(E493&lt;&gt;"",OR(NOT(ISNUMBER(E493)),N(E493)&lt;0)),"Prix invalide",IF(AND(F493&lt;&gt;"",NOT(ISNUMBER(F493))),"Taux de TVA invalide",IF(AND(F493&lt;&gt;"",COUNTIF(p_rates,F493)=0),"Taux de TVA hors liste (Paramètres)","OK")))))))</f>
        <v/>
      </c>
    </row>
    <row r="494">
      <c r="A494" s="145" t="n"/>
      <c r="B494" s="63" t="n"/>
      <c r="C494" s="60" t="n"/>
      <c r="D494" s="60" t="n"/>
      <c r="E494" s="68" t="n"/>
      <c r="F494" s="70" t="n"/>
      <c r="G494" s="59" t="str">
        <f>IF(COUNTA(A494:F494)=0,"",IF(A494="","Code manquant",IF(COUNTIF(pr_code,A494)&gt;1,"Code en double",IF(B494="","Désignation manquante",IF(AND(E494&lt;&gt;"",OR(NOT(ISNUMBER(E494)),N(E494)&lt;0)),"Prix invalide",IF(AND(F494&lt;&gt;"",NOT(ISNUMBER(F494))),"Taux de TVA invalide",IF(AND(F494&lt;&gt;"",COUNTIF(p_rates,F494)=0),"Taux de TVA hors liste (Paramètres)","OK")))))))</f>
        <v/>
      </c>
    </row>
    <row r="495">
      <c r="A495" s="145" t="n"/>
      <c r="B495" s="63" t="n"/>
      <c r="C495" s="60" t="n"/>
      <c r="D495" s="60" t="n"/>
      <c r="E495" s="68" t="n"/>
      <c r="F495" s="70" t="n"/>
      <c r="G495" s="59" t="str">
        <f>IF(COUNTA(A495:F495)=0,"",IF(A495="","Code manquant",IF(COUNTIF(pr_code,A495)&gt;1,"Code en double",IF(B495="","Désignation manquante",IF(AND(E495&lt;&gt;"",OR(NOT(ISNUMBER(E495)),N(E495)&lt;0)),"Prix invalide",IF(AND(F495&lt;&gt;"",NOT(ISNUMBER(F495))),"Taux de TVA invalide",IF(AND(F495&lt;&gt;"",COUNTIF(p_rates,F495)=0),"Taux de TVA hors liste (Paramètres)","OK")))))))</f>
        <v/>
      </c>
    </row>
    <row r="496">
      <c r="A496" s="145" t="n"/>
      <c r="B496" s="63" t="n"/>
      <c r="C496" s="60" t="n"/>
      <c r="D496" s="60" t="n"/>
      <c r="E496" s="68" t="n"/>
      <c r="F496" s="70" t="n"/>
      <c r="G496" s="59" t="str">
        <f>IF(COUNTA(A496:F496)=0,"",IF(A496="","Code manquant",IF(COUNTIF(pr_code,A496)&gt;1,"Code en double",IF(B496="","Désignation manquante",IF(AND(E496&lt;&gt;"",OR(NOT(ISNUMBER(E496)),N(E496)&lt;0)),"Prix invalide",IF(AND(F496&lt;&gt;"",NOT(ISNUMBER(F496))),"Taux de TVA invalide",IF(AND(F496&lt;&gt;"",COUNTIF(p_rates,F496)=0),"Taux de TVA hors liste (Paramètres)","OK")))))))</f>
        <v/>
      </c>
    </row>
    <row r="497">
      <c r="A497" s="145" t="n"/>
      <c r="B497" s="63" t="n"/>
      <c r="C497" s="60" t="n"/>
      <c r="D497" s="60" t="n"/>
      <c r="E497" s="68" t="n"/>
      <c r="F497" s="70" t="n"/>
      <c r="G497" s="59" t="str">
        <f>IF(COUNTA(A497:F497)=0,"",IF(A497="","Code manquant",IF(COUNTIF(pr_code,A497)&gt;1,"Code en double",IF(B497="","Désignation manquante",IF(AND(E497&lt;&gt;"",OR(NOT(ISNUMBER(E497)),N(E497)&lt;0)),"Prix invalide",IF(AND(F497&lt;&gt;"",NOT(ISNUMBER(F497))),"Taux de TVA invalide",IF(AND(F497&lt;&gt;"",COUNTIF(p_rates,F497)=0),"Taux de TVA hors liste (Paramètres)","OK")))))))</f>
        <v/>
      </c>
    </row>
    <row r="498">
      <c r="A498" s="145" t="n"/>
      <c r="B498" s="63" t="n"/>
      <c r="C498" s="60" t="n"/>
      <c r="D498" s="60" t="n"/>
      <c r="E498" s="68" t="n"/>
      <c r="F498" s="70" t="n"/>
      <c r="G498" s="59" t="str">
        <f>IF(COUNTA(A498:F498)=0,"",IF(A498="","Code manquant",IF(COUNTIF(pr_code,A498)&gt;1,"Code en double",IF(B498="","Désignation manquante",IF(AND(E498&lt;&gt;"",OR(NOT(ISNUMBER(E498)),N(E498)&lt;0)),"Prix invalide",IF(AND(F498&lt;&gt;"",NOT(ISNUMBER(F498))),"Taux de TVA invalide",IF(AND(F498&lt;&gt;"",COUNTIF(p_rates,F498)=0),"Taux de TVA hors liste (Paramètres)","OK")))))))</f>
        <v/>
      </c>
    </row>
    <row r="499">
      <c r="A499" s="145" t="n"/>
      <c r="B499" s="63" t="n"/>
      <c r="C499" s="60" t="n"/>
      <c r="D499" s="60" t="n"/>
      <c r="E499" s="68" t="n"/>
      <c r="F499" s="70" t="n"/>
      <c r="G499" s="59" t="str">
        <f>IF(COUNTA(A499:F499)=0,"",IF(A499="","Code manquant",IF(COUNTIF(pr_code,A499)&gt;1,"Code en double",IF(B499="","Désignation manquante",IF(AND(E499&lt;&gt;"",OR(NOT(ISNUMBER(E499)),N(E499)&lt;0)),"Prix invalide",IF(AND(F499&lt;&gt;"",NOT(ISNUMBER(F499))),"Taux de TVA invalide",IF(AND(F499&lt;&gt;"",COUNTIF(p_rates,F499)=0),"Taux de TVA hors liste (Paramètres)","OK")))))))</f>
        <v/>
      </c>
    </row>
    <row r="500">
      <c r="A500" s="145" t="n"/>
      <c r="B500" s="63" t="n"/>
      <c r="C500" s="60" t="n"/>
      <c r="D500" s="60" t="n"/>
      <c r="E500" s="68" t="n"/>
      <c r="F500" s="70" t="n"/>
      <c r="G500" s="59" t="str">
        <f>IF(COUNTA(A500:F500)=0,"",IF(A500="","Code manquant",IF(COUNTIF(pr_code,A500)&gt;1,"Code en double",IF(B500="","Désignation manquante",IF(AND(E500&lt;&gt;"",OR(NOT(ISNUMBER(E500)),N(E500)&lt;0)),"Prix invalide",IF(AND(F500&lt;&gt;"",NOT(ISNUMBER(F500))),"Taux de TVA invalide",IF(AND(F500&lt;&gt;"",COUNTIF(p_rates,F500)=0),"Taux de TVA hors liste (Paramètres)","OK")))))))</f>
        <v/>
      </c>
    </row>
    <row r="501">
      <c r="A501" s="145" t="n"/>
      <c r="B501" s="63" t="n"/>
      <c r="C501" s="60" t="n"/>
      <c r="D501" s="60" t="n"/>
      <c r="E501" s="68" t="n"/>
      <c r="F501" s="70" t="n"/>
      <c r="G501" s="59" t="str">
        <f>IF(COUNTA(A501:F501)=0,"",IF(A501="","Code manquant",IF(COUNTIF(pr_code,A501)&gt;1,"Code en double",IF(B501="","Désignation manquante",IF(AND(E501&lt;&gt;"",OR(NOT(ISNUMBER(E501)),N(E501)&lt;0)),"Prix invalide",IF(AND(F501&lt;&gt;"",NOT(ISNUMBER(F501))),"Taux de TVA invalide",IF(AND(F501&lt;&gt;"",COUNTIF(p_rates,F501)=0),"Taux de TVA hors liste (Paramètres)","OK")))))))</f>
        <v/>
      </c>
    </row>
    <row r="502">
      <c r="A502" s="145" t="n"/>
      <c r="B502" s="63" t="n"/>
      <c r="C502" s="60" t="n"/>
      <c r="D502" s="60" t="n"/>
      <c r="E502" s="68" t="n"/>
      <c r="F502" s="70" t="n"/>
      <c r="G502" s="59" t="str">
        <f>IF(COUNTA(A502:F502)=0,"",IF(A502="","Code manquant",IF(COUNTIF(pr_code,A502)&gt;1,"Code en double",IF(B502="","Désignation manquante",IF(AND(E502&lt;&gt;"",OR(NOT(ISNUMBER(E502)),N(E502)&lt;0)),"Prix invalide",IF(AND(F502&lt;&gt;"",NOT(ISNUMBER(F502))),"Taux de TVA invalide",IF(AND(F502&lt;&gt;"",COUNTIF(p_rates,F502)=0),"Taux de TVA hors liste (Paramètres)","OK")))))))</f>
        <v/>
      </c>
    </row>
    <row r="503">
      <c r="A503" s="145" t="n"/>
      <c r="B503" s="63" t="n"/>
      <c r="C503" s="60" t="n"/>
      <c r="D503" s="60" t="n"/>
      <c r="E503" s="68" t="n"/>
      <c r="F503" s="70" t="n"/>
      <c r="G503" s="59" t="str">
        <f>IF(COUNTA(A503:F503)=0,"",IF(A503="","Code manquant",IF(COUNTIF(pr_code,A503)&gt;1,"Code en double",IF(B503="","Désignation manquante",IF(AND(E503&lt;&gt;"",OR(NOT(ISNUMBER(E503)),N(E503)&lt;0)),"Prix invalide",IF(AND(F503&lt;&gt;"",NOT(ISNUMBER(F503))),"Taux de TVA invalide",IF(AND(F503&lt;&gt;"",COUNTIF(p_rates,F503)=0),"Taux de TVA hors liste (Paramètres)","OK")))))))</f>
        <v/>
      </c>
    </row>
    <row r="504">
      <c r="A504" s="145" t="n"/>
      <c r="B504" s="63" t="n"/>
      <c r="C504" s="60" t="n"/>
      <c r="D504" s="60" t="n"/>
      <c r="E504" s="68" t="n"/>
      <c r="F504" s="70" t="n"/>
      <c r="G504" s="59" t="str">
        <f>IF(COUNTA(A504:F504)=0,"",IF(A504="","Code manquant",IF(COUNTIF(pr_code,A504)&gt;1,"Code en double",IF(B504="","Désignation manquante",IF(AND(E504&lt;&gt;"",OR(NOT(ISNUMBER(E504)),N(E504)&lt;0)),"Prix invalide",IF(AND(F504&lt;&gt;"",NOT(ISNUMBER(F504))),"Taux de TVA invalide",IF(AND(F504&lt;&gt;"",COUNTIF(p_rates,F504)=0),"Taux de TVA hors liste (Paramètres)","OK")))))))</f>
        <v/>
      </c>
    </row>
    <row r="505">
      <c r="A505" s="145" t="n"/>
      <c r="B505" s="63" t="n"/>
      <c r="C505" s="60" t="n"/>
      <c r="D505" s="60" t="n"/>
      <c r="E505" s="68" t="n"/>
      <c r="F505" s="70" t="n"/>
      <c r="G505" s="59" t="str">
        <f>IF(COUNTA(A505:F505)=0,"",IF(A505="","Code manquant",IF(COUNTIF(pr_code,A505)&gt;1,"Code en double",IF(B505="","Désignation manquante",IF(AND(E505&lt;&gt;"",OR(NOT(ISNUMBER(E505)),N(E505)&lt;0)),"Prix invalide",IF(AND(F505&lt;&gt;"",NOT(ISNUMBER(F505))),"Taux de TVA invalide",IF(AND(F505&lt;&gt;"",COUNTIF(p_rates,F505)=0),"Taux de TVA hors liste (Paramètres)","OK")))))))</f>
        <v/>
      </c>
    </row>
  </sheetData>
  <autoFilter ref="A5:G505"/>
  <conditionalFormatting sqref="G6:G505">
    <cfRule type="expression" priority="1" dxfId="11">
      <formula>$G6="OK"</formula>
    </cfRule>
    <cfRule type="expression" priority="2" dxfId="4">
      <formula>AND($G6&lt;&gt;"",$G6&lt;&gt;"OK")</formula>
    </cfRule>
  </conditionalFormatting>
  <conditionalFormatting sqref="E6:E505">
    <cfRule type="expression" priority="3" dxfId="5">
      <formula>p_currency="MAD"</formula>
    </cfRule>
    <cfRule type="expression" priority="4" dxfId="6">
      <formula>p_currency="EUR"</formula>
    </cfRule>
    <cfRule type="expression" priority="5" dxfId="7">
      <formula>p_currency="USD"</formula>
    </cfRule>
  </conditionalFormatting>
  <dataValidations count="6">
    <dataValidation sqref="A6:A505" showDropDown="0" showInputMessage="1" showErrorMessage="1" allowBlank="1" errorTitle="Code article" error="30 caractères au maximum." promptTitle="Code article" prompt="Code court et unique, par exemple SUP-MOT-01." type="textLength" operator="lessThanOrEqual">
      <formula1>30</formula1>
    </dataValidation>
    <dataValidation sqref="B6:B505" showDropDown="0" showInputMessage="1" showErrorMessage="1" allowBlank="1" errorTitle="Désignation" error="120 caractères au maximum." promptTitle="Désignation" prompt="Texte imprimé sur les devis et les factures." type="textLength" operator="lessThanOrEqual">
      <formula1>120</formula1>
    </dataValidation>
    <dataValidation sqref="C6:C505" showDropDown="0" showInputMessage="1" showErrorMessage="1" allowBlank="1" errorTitle="Type" error="Bien (pièce, matière) ou Service (heure, forfait, transport)." promptTitle="Type" prompt="Bien (pièce, matière) ou Service (heure, forfait, transport)." type="list">
      <formula1>"Bien,Service"</formula1>
    </dataValidation>
    <dataValidation sqref="D6:D505" showDropDown="0" showInputMessage="1" showErrorMessage="1" allowBlank="1" errorTitle="Unité" error="12 caractères au maximum." promptTitle="Unité" prompt="Exemples : pièce, kg, m, h, forfait." type="textLength" operator="lessThanOrEqual">
      <formula1>12</formula1>
    </dataValidation>
    <dataValidation sqref="E6:E505" showDropDown="0" showInputMessage="1" showErrorMessage="1" allowBlank="1" errorTitle="Prix unitaire HT" error="Prix de vente hors taxes d'une unité. Vide si le prix change à chaque devis." promptTitle="Prix unitaire HT" prompt="Prix de vente hors taxes d'une unité. Vide si le prix change à chaque devis." type="decimal" operator="greaterThanOrEqual">
      <formula1>0</formula1>
    </dataValidation>
    <dataValidation sqref="F6:F505" showDropDown="0" showInputMessage="1" showErrorMessage="1" allowBlank="1" errorTitle="Taux de TVA" error="Choisissez un taux de la liste des Paramètres." promptTitle="Taux de TVA" prompt="Choisissez un taux de la liste des Paramètres." type="list">
      <formula1>=p_rates</formula1>
    </dataValidation>
  </dataValidations>
  <hyperlinks>
    <hyperlink ref="G1" location="'Mode d''emploi'!A1"/>
  </hyperlinks>
  <printOptions horizontalCentered="1"/>
  <pageMargins left="0.4" right="0.4" top="0.5" bottom="0.5" header="0.5" footer="0.5"/>
  <pageSetup orientation="landscape" paperSize="9" fitToHeight="0" fitToWidth="1"/>
</worksheet>
</file>

<file path=xl/worksheets/sheet13.xml><?xml version="1.0" encoding="utf-8"?>
<worksheet xmlns="http://schemas.openxmlformats.org/spreadsheetml/2006/main">
  <sheetPr>
    <tabColor rgb="FF94A3B8"/>
    <outlinePr summaryBelow="1" summaryRight="1"/>
    <pageSetUpPr fitToPage="1"/>
  </sheetPr>
  <dimension ref="A1:Z105"/>
  <sheetViews>
    <sheetView showGridLines="0" tabSelected="0" zoomScale="100" workbookViewId="0">
      <pane ySplit="3" topLeftCell="A4" activePane="bottomLeft" state="frozen"/>
      <selection pane="bottomLeft" activeCell="A1" sqref="A1"/>
    </sheetView>
  </sheetViews>
  <sheetFormatPr baseColWidth="8" defaultRowHeight="15"/>
  <cols>
    <col width="40" customWidth="1" min="1" max="1"/>
    <col width="36" customWidth="1" min="2" max="2"/>
    <col width="3" customWidth="1" min="3" max="3"/>
    <col width="13" customWidth="1" min="4" max="4"/>
    <col width="13" customWidth="1" min="5" max="5"/>
    <col width="13" customWidth="1" min="6" max="6"/>
    <col width="3" customWidth="1" min="7" max="7"/>
    <col width="44" customWidth="1" min="8" max="8"/>
    <col hidden="1" width="13" customWidth="1" min="26" max="26"/>
  </cols>
  <sheetData>
    <row r="1" ht="38" customHeight="1">
      <c r="A1" s="2" t="inlineStr">
        <is>
          <t>Paramètres</t>
        </is>
      </c>
      <c r="B1" s="1" t="n"/>
      <c r="C1" s="1" t="n"/>
      <c r="D1" s="1" t="n"/>
      <c r="E1" s="1" t="n"/>
      <c r="F1" s="1" t="n"/>
      <c r="G1" s="1" t="n"/>
      <c r="H1" s="18" t="inlineStr">
        <is>
          <t>⌂ Mode d'emploi</t>
        </is>
      </c>
    </row>
    <row r="2" ht="22" customHeight="1">
      <c r="A2" s="4" t="inlineStr">
        <is>
          <t>Identité de l'entreprise, mentions légales, numérotation et taux de TVA. Les cellules blanches sont à remplir.</t>
        </is>
      </c>
      <c r="B2" s="3" t="n"/>
      <c r="C2" s="3" t="n"/>
      <c r="D2" s="3" t="n"/>
      <c r="E2" s="3" t="n"/>
      <c r="F2" s="3" t="n"/>
      <c r="G2" s="3" t="n"/>
      <c r="H2" s="3" t="n"/>
    </row>
    <row r="3" ht="18" customHeight="1"/>
    <row r="4" ht="22" customHeight="1">
      <c r="A4" s="5" t="inlineStr">
        <is>
          <t>Votre entreprise</t>
        </is>
      </c>
      <c r="B4" s="6" t="n"/>
    </row>
    <row r="5" ht="30" customHeight="1">
      <c r="A5" s="146" t="inlineStr">
        <is>
          <t>Pays</t>
        </is>
      </c>
      <c r="B5" s="147" t="inlineStr">
        <is>
          <t>Maroc</t>
        </is>
      </c>
      <c r="D5" s="43" t="inlineStr">
        <is>
          <t>TVA Maroc</t>
        </is>
      </c>
      <c r="E5" s="43" t="inlineStr">
        <is>
          <t>TVA France</t>
        </is>
      </c>
      <c r="F5" s="43" t="inlineStr">
        <is>
          <t>Taux utilisés</t>
        </is>
      </c>
      <c r="H5" s="148" t="inlineStr">
        <is>
          <t>Le pays choisit ce qui s'imprime. Maroc : ICE, IF, RC, taxe professionnelle, CNSS s'il est rempli, et le rappel des délais de la loi 69-21. France : SIRET, RCS, n° de TVA, pénalités de retard et indemnité forfaitaire de 40 €.</t>
        </is>
      </c>
      <c r="Z5" t="inlineStr">
        <is>
          <t>Nombres en lettres (ne pas modifier)</t>
        </is>
      </c>
    </row>
    <row r="6">
      <c r="A6" s="146" t="inlineStr">
        <is>
          <t>Devise</t>
        </is>
      </c>
      <c r="B6" s="149" t="inlineStr">
        <is>
          <t>MAD</t>
        </is>
      </c>
      <c r="D6" s="150" t="n">
        <v>0.2</v>
      </c>
      <c r="E6" s="150" t="n">
        <v>0.2</v>
      </c>
      <c r="F6" s="151">
        <f>IF(p_country="France",IF(E6="","",E6),IF(D6="","",D6))</f>
        <v>0.2</v>
      </c>
      <c r="Z6" t="inlineStr"/>
    </row>
    <row r="7">
      <c r="A7" s="146" t="inlineStr">
        <is>
          <t>Raison sociale</t>
        </is>
      </c>
      <c r="B7" s="147" t="n"/>
      <c r="D7" s="150" t="n">
        <v>0.1</v>
      </c>
      <c r="E7" s="150" t="n">
        <v>0.1</v>
      </c>
      <c r="F7" s="151">
        <f>IF(p_country="France",IF(E7="","",E7),IF(D7="","",D7))</f>
        <v>0.1</v>
      </c>
      <c r="Z7" t="inlineStr">
        <is>
          <t>un</t>
        </is>
      </c>
    </row>
    <row r="8">
      <c r="A8" s="146" t="inlineStr">
        <is>
          <t>Forme juridique (SARL, SA, SAS...)</t>
        </is>
      </c>
      <c r="B8" s="147" t="n"/>
      <c r="D8" s="150" t="n">
        <v>0</v>
      </c>
      <c r="E8" s="150" t="n">
        <v>0.055</v>
      </c>
      <c r="F8" s="151">
        <f>IF(p_country="France",IF(E8="","",E8),IF(D8="","",D8))</f>
        <v>0.0</v>
      </c>
      <c r="Z8" t="inlineStr">
        <is>
          <t>deux</t>
        </is>
      </c>
    </row>
    <row r="9">
      <c r="A9" s="146" t="inlineStr">
        <is>
          <t>Capital social, tel qu'il doit s'imprimer</t>
        </is>
      </c>
      <c r="B9" s="147" t="n"/>
      <c r="D9" s="150" t="n"/>
      <c r="E9" s="150" t="n">
        <v>0.021</v>
      </c>
      <c r="F9" s="151" t="str">
        <f>IF(p_country="France",IF(E9="","",E9),IF(D9="","",D9))</f>
        <v/>
      </c>
      <c r="Z9" t="inlineStr">
        <is>
          <t>trois</t>
        </is>
      </c>
    </row>
    <row r="10">
      <c r="A10" s="146" t="inlineStr">
        <is>
          <t>Adresse</t>
        </is>
      </c>
      <c r="B10" s="147" t="n"/>
      <c r="D10" s="150" t="n"/>
      <c r="E10" s="150" t="n">
        <v>0</v>
      </c>
      <c r="F10" s="151" t="str">
        <f>IF(p_country="France",IF(E10="","",E10),IF(D10="","",D10))</f>
        <v/>
      </c>
      <c r="Z10" t="inlineStr">
        <is>
          <t>quatre</t>
        </is>
      </c>
    </row>
    <row r="11">
      <c r="A11" s="146" t="inlineStr">
        <is>
          <t>Code postal et ville</t>
        </is>
      </c>
      <c r="B11" s="147" t="n"/>
      <c r="D11" s="150" t="n"/>
      <c r="E11" s="150" t="n"/>
      <c r="F11" s="151" t="str">
        <f>IF(p_country="France",IF(E11="","",E11),IF(D11="","",D11))</f>
        <v/>
      </c>
      <c r="Z11" t="inlineStr">
        <is>
          <t>cinq</t>
        </is>
      </c>
    </row>
    <row r="12">
      <c r="A12" s="146" t="inlineStr">
        <is>
          <t>Téléphone</t>
        </is>
      </c>
      <c r="B12" s="147" t="n"/>
      <c r="H12" s="148" t="inlineStr">
        <is>
          <t>Saisissez l'ICE, le SIRET et le RIB sans espace parasite : ces cases sont au format texte pour garder les zéros du début.</t>
        </is>
      </c>
      <c r="Z12" t="inlineStr">
        <is>
          <t>six</t>
        </is>
      </c>
    </row>
    <row r="13">
      <c r="A13" s="146" t="inlineStr">
        <is>
          <t>E-mail</t>
        </is>
      </c>
      <c r="B13" s="147" t="n"/>
      <c r="D13" s="148" t="inlineStr">
        <is>
          <t>Maroc : depuis le 1er janvier 2026, l'article 99 du CGI ne prévoit plus que 20 % et 10 % ; les taux de 7 % et 14 % ont disparu. Ajoutez-les seulement pour refaire un document ancien. France : 20 %, 10 %, 5,5 % et 2,1 %. Le taux 0 % sert aux opérations exonérées (export) : complétez alors la mention d'exonération.</t>
        </is>
      </c>
      <c r="Z13" t="inlineStr">
        <is>
          <t>sept</t>
        </is>
      </c>
    </row>
    <row r="14">
      <c r="Z14" t="inlineStr">
        <is>
          <t>huit</t>
        </is>
      </c>
    </row>
    <row r="15" ht="22" customHeight="1">
      <c r="A15" s="5" t="inlineStr">
        <is>
          <t>Identifiants légaux au Maroc</t>
        </is>
      </c>
      <c r="B15" s="6" t="n"/>
      <c r="Z15" t="inlineStr">
        <is>
          <t>neuf</t>
        </is>
      </c>
    </row>
    <row r="16">
      <c r="A16" s="146" t="inlineStr">
        <is>
          <t>ICE (15 chiffres)</t>
        </is>
      </c>
      <c r="B16" s="152" t="n"/>
      <c r="Z16" t="inlineStr">
        <is>
          <t>dix</t>
        </is>
      </c>
    </row>
    <row r="17">
      <c r="A17" s="146" t="inlineStr">
        <is>
          <t>Identifiant fiscal (IF)</t>
        </is>
      </c>
      <c r="B17" s="152" t="n"/>
      <c r="Z17" t="inlineStr">
        <is>
          <t>onze</t>
        </is>
      </c>
    </row>
    <row r="18">
      <c r="A18" s="146" t="inlineStr">
        <is>
          <t>Registre de commerce (RC) : numéro</t>
        </is>
      </c>
      <c r="B18" s="152" t="n"/>
      <c r="Z18" t="inlineStr">
        <is>
          <t>douze</t>
        </is>
      </c>
    </row>
    <row r="19">
      <c r="A19" s="146" t="inlineStr">
        <is>
          <t>RC : ville du tribunal</t>
        </is>
      </c>
      <c r="B19" s="147" t="n"/>
      <c r="Z19" t="inlineStr">
        <is>
          <t>treize</t>
        </is>
      </c>
    </row>
    <row r="20">
      <c r="A20" s="146" t="inlineStr">
        <is>
          <t>Taxe professionnelle (patente)</t>
        </is>
      </c>
      <c r="B20" s="152" t="n"/>
      <c r="Z20" t="inlineStr">
        <is>
          <t>quatorze</t>
        </is>
      </c>
    </row>
    <row r="21">
      <c r="A21" s="146" t="inlineStr">
        <is>
          <t>CNSS (facultatif)</t>
        </is>
      </c>
      <c r="B21" s="152" t="n"/>
      <c r="Z21" t="inlineStr">
        <is>
          <t>quinze</t>
        </is>
      </c>
    </row>
    <row r="22">
      <c r="Z22" t="inlineStr">
        <is>
          <t>seize</t>
        </is>
      </c>
    </row>
    <row r="23" ht="22" customHeight="1">
      <c r="A23" s="5" t="inlineStr">
        <is>
          <t>Identifiants légaux en France</t>
        </is>
      </c>
      <c r="B23" s="6" t="n"/>
      <c r="Z23" t="inlineStr">
        <is>
          <t>dix-sept</t>
        </is>
      </c>
    </row>
    <row r="24">
      <c r="A24" s="146" t="inlineStr">
        <is>
          <t>SIRET (14 chiffres)</t>
        </is>
      </c>
      <c r="B24" s="152" t="n"/>
      <c r="Z24" t="inlineStr">
        <is>
          <t>dix-huit</t>
        </is>
      </c>
    </row>
    <row r="25">
      <c r="A25" s="146" t="inlineStr">
        <is>
          <t>RCS : ville du greffe</t>
        </is>
      </c>
      <c r="B25" s="147" t="n"/>
      <c r="Z25" t="inlineStr">
        <is>
          <t>dix-neuf</t>
        </is>
      </c>
    </row>
    <row r="26">
      <c r="A26" s="146" t="inlineStr">
        <is>
          <t>N° de TVA intracommunautaire</t>
        </is>
      </c>
      <c r="B26" s="152" t="n"/>
      <c r="Z26" t="inlineStr">
        <is>
          <t>vingt</t>
        </is>
      </c>
    </row>
    <row r="27">
      <c r="Z27" t="inlineStr">
        <is>
          <t>vingt et un</t>
        </is>
      </c>
    </row>
    <row r="28" ht="22" customHeight="1">
      <c r="A28" s="5" t="inlineStr">
        <is>
          <t>Banque (imprimée sur les factures)</t>
        </is>
      </c>
      <c r="B28" s="6" t="n"/>
      <c r="Z28" t="inlineStr">
        <is>
          <t>vingt-deux</t>
        </is>
      </c>
    </row>
    <row r="29">
      <c r="A29" s="146" t="inlineStr">
        <is>
          <t>Banque</t>
        </is>
      </c>
      <c r="B29" s="147" t="n"/>
      <c r="Z29" t="inlineStr">
        <is>
          <t>vingt-trois</t>
        </is>
      </c>
    </row>
    <row r="30">
      <c r="A30" s="146" t="inlineStr">
        <is>
          <t>RIB ou IBAN</t>
        </is>
      </c>
      <c r="B30" s="152" t="n"/>
      <c r="Z30" t="inlineStr">
        <is>
          <t>vingt-quatre</t>
        </is>
      </c>
    </row>
    <row r="31">
      <c r="A31" s="146" t="inlineStr">
        <is>
          <t>BIC / SWIFT</t>
        </is>
      </c>
      <c r="B31" s="147" t="n"/>
      <c r="Z31" t="inlineStr">
        <is>
          <t>vingt-cinq</t>
        </is>
      </c>
    </row>
    <row r="32">
      <c r="Z32" t="inlineStr">
        <is>
          <t>vingt-six</t>
        </is>
      </c>
    </row>
    <row r="33" ht="22" customHeight="1">
      <c r="A33" s="5" t="inlineStr">
        <is>
          <t>Numérotation et délais</t>
        </is>
      </c>
      <c r="B33" s="6" t="n"/>
      <c r="Z33" t="inlineStr">
        <is>
          <t>vingt-sept</t>
        </is>
      </c>
    </row>
    <row r="34">
      <c r="A34" s="146" t="inlineStr">
        <is>
          <t>Préfixe des devis</t>
        </is>
      </c>
      <c r="B34" s="147" t="inlineStr">
        <is>
          <t>DV</t>
        </is>
      </c>
      <c r="Z34" t="inlineStr">
        <is>
          <t>vingt-huit</t>
        </is>
      </c>
    </row>
    <row r="35">
      <c r="A35" s="146" t="inlineStr">
        <is>
          <t>Préfixe des factures</t>
        </is>
      </c>
      <c r="B35" s="147" t="inlineStr">
        <is>
          <t>FA</t>
        </is>
      </c>
      <c r="Z35" t="inlineStr">
        <is>
          <t>vingt-neuf</t>
        </is>
      </c>
    </row>
    <row r="36">
      <c r="A36" s="146" t="inlineStr">
        <is>
          <t>Préfixe des factures d'acompte</t>
        </is>
      </c>
      <c r="B36" s="147" t="inlineStr">
        <is>
          <t>FA</t>
        </is>
      </c>
      <c r="Z36" t="inlineStr">
        <is>
          <t>trente</t>
        </is>
      </c>
    </row>
    <row r="37">
      <c r="A37" s="146" t="inlineStr">
        <is>
          <t>Préfixe des avoirs</t>
        </is>
      </c>
      <c r="B37" s="147" t="inlineStr">
        <is>
          <t>AV</t>
        </is>
      </c>
      <c r="Z37" t="inlineStr">
        <is>
          <t>trente et un</t>
        </is>
      </c>
    </row>
    <row r="38">
      <c r="A38" s="146" t="inlineStr">
        <is>
          <t>Validité d'un devis (jours)</t>
        </is>
      </c>
      <c r="B38" s="147" t="n">
        <v>30</v>
      </c>
      <c r="Z38" t="inlineStr">
        <is>
          <t>trente-deux</t>
        </is>
      </c>
    </row>
    <row r="39">
      <c r="A39" s="146" t="inlineStr">
        <is>
          <t>Délai de paiement par défaut (jours)</t>
        </is>
      </c>
      <c r="B39" s="147" t="n">
        <v>60</v>
      </c>
      <c r="Z39" t="inlineStr">
        <is>
          <t>trente-trois</t>
        </is>
      </c>
    </row>
    <row r="40">
      <c r="A40" s="146" t="inlineStr">
        <is>
          <t>Mode de paiement par défaut</t>
        </is>
      </c>
      <c r="B40" s="147" t="inlineStr">
        <is>
          <t>Virement bancaire</t>
        </is>
      </c>
      <c r="Z40" t="inlineStr">
        <is>
          <t>trente-quatre</t>
        </is>
      </c>
    </row>
    <row r="41">
      <c r="A41" s="146" t="inlineStr">
        <is>
          <t>Date d'analyse (vide = aujourd'hui)</t>
        </is>
      </c>
      <c r="B41" s="153" t="n"/>
      <c r="Z41" t="inlineStr">
        <is>
          <t>trente-cinq</t>
        </is>
      </c>
    </row>
    <row r="42">
      <c r="Z42" t="inlineStr">
        <is>
          <t>trente-six</t>
        </is>
      </c>
    </row>
    <row r="43" ht="22" customHeight="1">
      <c r="A43" s="5" t="inlineStr">
        <is>
          <t>Mentions et options d'impression</t>
        </is>
      </c>
      <c r="B43" s="6" t="n"/>
      <c r="Z43" t="inlineStr">
        <is>
          <t>trente-sept</t>
        </is>
      </c>
    </row>
    <row r="44">
      <c r="A44" s="146" t="inlineStr">
        <is>
          <t>Pénalités de retard (France)</t>
        </is>
      </c>
      <c r="B44" s="147" t="inlineStr">
        <is>
          <t>trois fois le taux d'intérêt légal</t>
        </is>
      </c>
      <c r="Z44" t="inlineStr">
        <is>
          <t>trente-huit</t>
        </is>
      </c>
    </row>
    <row r="45">
      <c r="A45" s="146" t="inlineStr">
        <is>
          <t>Escompte (France)</t>
        </is>
      </c>
      <c r="B45" s="147" t="inlineStr">
        <is>
          <t>Pas d'escompte pour paiement anticipé.</t>
        </is>
      </c>
      <c r="Z45" t="inlineStr">
        <is>
          <t>trente-neuf</t>
        </is>
      </c>
    </row>
    <row r="46">
      <c r="A46" s="146" t="inlineStr">
        <is>
          <t>Option TVA sur les débits (France)</t>
        </is>
      </c>
      <c r="B46" s="147" t="inlineStr">
        <is>
          <t>Non</t>
        </is>
      </c>
      <c r="Z46" t="inlineStr">
        <is>
          <t>quarante</t>
        </is>
      </c>
    </row>
    <row r="47">
      <c r="A47" s="146" t="inlineStr">
        <is>
          <t>Mention d'exonération de TVA (lignes à 0 %)</t>
        </is>
      </c>
      <c r="B47" s="147" t="n"/>
      <c r="Z47" t="inlineStr">
        <is>
          <t>quarante et un</t>
        </is>
      </c>
    </row>
    <row r="48">
      <c r="A48" s="146" t="inlineStr">
        <is>
          <t>Texte libre en pied de facture</t>
        </is>
      </c>
      <c r="B48" s="147" t="n"/>
      <c r="Z48" t="inlineStr">
        <is>
          <t>quarante-deux</t>
        </is>
      </c>
    </row>
    <row r="49">
      <c r="A49" s="146" t="inlineStr">
        <is>
          <t>Écrire le montant en lettres</t>
        </is>
      </c>
      <c r="B49" s="147" t="inlineStr">
        <is>
          <t>Oui</t>
        </is>
      </c>
      <c r="Z49" t="inlineStr">
        <is>
          <t>quarante-trois</t>
        </is>
      </c>
    </row>
    <row r="50">
      <c r="Z50" t="inlineStr">
        <is>
          <t>quarante-quatre</t>
        </is>
      </c>
    </row>
    <row r="51" ht="22" customHeight="1">
      <c r="A51" s="5" t="inlineStr">
        <is>
          <t>Valeurs utilisées par les formules</t>
        </is>
      </c>
      <c r="B51" s="6" t="n"/>
      <c r="Z51" t="inlineStr">
        <is>
          <t>quarante-cinq</t>
        </is>
      </c>
    </row>
    <row r="52">
      <c r="A52" s="154" t="inlineStr">
        <is>
          <t>Date d'analyse retenue</t>
        </is>
      </c>
      <c r="B52" s="155">
        <f>IF(ISNUMBER(p_asof_in),p_asof_in,TODAY())</f>
        <v>46331.0</v>
      </c>
      <c r="Z52" t="inlineStr">
        <is>
          <t>quarante-six</t>
        </is>
      </c>
    </row>
    <row r="53">
      <c r="A53" s="154" t="inlineStr">
        <is>
          <t>Année affichée sur le tableau de bord</t>
        </is>
      </c>
      <c r="B53" s="156">
        <f>IF(ISNUMBER(db_year_in),db_year_in,YEAR(p_asof))</f>
        <v>2026.0</v>
      </c>
      <c r="Z53" t="inlineStr">
        <is>
          <t>quarante-sept</t>
        </is>
      </c>
    </row>
    <row r="54">
      <c r="A54" s="154" t="inlineStr">
        <is>
          <t>Contrôle des paramètres</t>
        </is>
      </c>
      <c r="B54" s="157" t="str">
        <f>IF(p_name="","Raison sociale manquante",IF(AND(p_country="Maroc",p_ice=""),"ICE de l'entreprise manquant",IF(AND(p_country="Maroc",NOT(AND(LEN(p_ice&amp;"")=15,SUBSTITUTE(SUBSTITUTE(SUBSTITUTE(SUBSTITUTE(SUBSTITUTE(SUBSTITUTE(SUBSTITUTE(SUBSTITUTE(SUBSTITUTE(SUBSTITUTE(p_ice&amp;"","0",""),"1",""),"2",""),"3",""),"4",""),"5",""),"6",""),"7",""),"8",""),"9","")=""))),"ICE : 15 chiffres attendus",IF(AND(p_country="France",p_siret=""),"SIRET manquant",IF(AND(p_country="France",NOT(AND(LEN(p_siret&amp;"")=14,SUBSTITUTE(SUBSTITUTE(SUBSTITUTE(SUBSTITUTE(SUBSTITUTE(SUBSTITUTE(SUBSTITUTE(SUBSTITUTE(SUBSTITUTE(SUBSTITUTE(p_siret&amp;"","0",""),"1",""),"2",""),"3",""),"4",""),"5",""),"6",""),"7",""),"8",""),"9","")=""))),"SIRET : 14 chiffres attendus",IF(OR(p_pdv="",p_pfa="",p_pac="",p_pav=""),"Préfixe manquant",IF(SUMPRODUCT((F6:F11&lt;&gt;"")*(COUNTIF(F6:F11,F6:F11)&gt;1))&gt;0,"Taux de TVA en double",IF(COUNT(F6:F11)=0,"Aucun taux de TVA","OK"))))))))</f>
        <v>Raison sociale manquante</v>
      </c>
      <c r="Z54" t="inlineStr">
        <is>
          <t>quarante-huit</t>
        </is>
      </c>
    </row>
    <row r="55">
      <c r="Z55" t="inlineStr">
        <is>
          <t>quarante-neuf</t>
        </is>
      </c>
    </row>
    <row r="56">
      <c r="Z56" t="inlineStr">
        <is>
          <t>cinquante</t>
        </is>
      </c>
    </row>
    <row r="57">
      <c r="Z57" t="inlineStr">
        <is>
          <t>cinquante et un</t>
        </is>
      </c>
    </row>
    <row r="58">
      <c r="Z58" t="inlineStr">
        <is>
          <t>cinquante-deux</t>
        </is>
      </c>
    </row>
    <row r="59">
      <c r="Z59" t="inlineStr">
        <is>
          <t>cinquante-trois</t>
        </is>
      </c>
    </row>
    <row r="60">
      <c r="Z60" t="inlineStr">
        <is>
          <t>cinquante-quatre</t>
        </is>
      </c>
    </row>
    <row r="61">
      <c r="Z61" t="inlineStr">
        <is>
          <t>cinquante-cinq</t>
        </is>
      </c>
    </row>
    <row r="62">
      <c r="Z62" t="inlineStr">
        <is>
          <t>cinquante-six</t>
        </is>
      </c>
    </row>
    <row r="63">
      <c r="Z63" t="inlineStr">
        <is>
          <t>cinquante-sept</t>
        </is>
      </c>
    </row>
    <row r="64">
      <c r="Z64" t="inlineStr">
        <is>
          <t>cinquante-huit</t>
        </is>
      </c>
    </row>
    <row r="65">
      <c r="Z65" t="inlineStr">
        <is>
          <t>cinquante-neuf</t>
        </is>
      </c>
    </row>
    <row r="66">
      <c r="Z66" t="inlineStr">
        <is>
          <t>soixante</t>
        </is>
      </c>
    </row>
    <row r="67">
      <c r="Z67" t="inlineStr">
        <is>
          <t>soixante et un</t>
        </is>
      </c>
    </row>
    <row r="68">
      <c r="Z68" t="inlineStr">
        <is>
          <t>soixante-deux</t>
        </is>
      </c>
    </row>
    <row r="69">
      <c r="Z69" t="inlineStr">
        <is>
          <t>soixante-trois</t>
        </is>
      </c>
    </row>
    <row r="70">
      <c r="Z70" t="inlineStr">
        <is>
          <t>soixante-quatre</t>
        </is>
      </c>
    </row>
    <row r="71">
      <c r="Z71" t="inlineStr">
        <is>
          <t>soixante-cinq</t>
        </is>
      </c>
    </row>
    <row r="72">
      <c r="Z72" t="inlineStr">
        <is>
          <t>soixante-six</t>
        </is>
      </c>
    </row>
    <row r="73">
      <c r="Z73" t="inlineStr">
        <is>
          <t>soixante-sept</t>
        </is>
      </c>
    </row>
    <row r="74">
      <c r="Z74" t="inlineStr">
        <is>
          <t>soixante-huit</t>
        </is>
      </c>
    </row>
    <row r="75">
      <c r="Z75" t="inlineStr">
        <is>
          <t>soixante-neuf</t>
        </is>
      </c>
    </row>
    <row r="76">
      <c r="Z76" t="inlineStr">
        <is>
          <t>soixante-dix</t>
        </is>
      </c>
    </row>
    <row r="77">
      <c r="Z77" t="inlineStr">
        <is>
          <t>soixante et onze</t>
        </is>
      </c>
    </row>
    <row r="78">
      <c r="Z78" t="inlineStr">
        <is>
          <t>soixante-douze</t>
        </is>
      </c>
    </row>
    <row r="79">
      <c r="Z79" t="inlineStr">
        <is>
          <t>soixante-treize</t>
        </is>
      </c>
    </row>
    <row r="80">
      <c r="Z80" t="inlineStr">
        <is>
          <t>soixante-quatorze</t>
        </is>
      </c>
    </row>
    <row r="81">
      <c r="Z81" t="inlineStr">
        <is>
          <t>soixante-quinze</t>
        </is>
      </c>
    </row>
    <row r="82">
      <c r="Z82" t="inlineStr">
        <is>
          <t>soixante-seize</t>
        </is>
      </c>
    </row>
    <row r="83">
      <c r="Z83" t="inlineStr">
        <is>
          <t>soixante-dix-sept</t>
        </is>
      </c>
    </row>
    <row r="84">
      <c r="Z84" t="inlineStr">
        <is>
          <t>soixante-dix-huit</t>
        </is>
      </c>
    </row>
    <row r="85">
      <c r="Z85" t="inlineStr">
        <is>
          <t>soixante-dix-neuf</t>
        </is>
      </c>
    </row>
    <row r="86">
      <c r="Z86" t="inlineStr">
        <is>
          <t>quatre-vingts</t>
        </is>
      </c>
    </row>
    <row r="87">
      <c r="Z87" t="inlineStr">
        <is>
          <t>quatre-vingt-un</t>
        </is>
      </c>
    </row>
    <row r="88">
      <c r="Z88" t="inlineStr">
        <is>
          <t>quatre-vingt-deux</t>
        </is>
      </c>
    </row>
    <row r="89">
      <c r="Z89" t="inlineStr">
        <is>
          <t>quatre-vingt-trois</t>
        </is>
      </c>
    </row>
    <row r="90">
      <c r="Z90" t="inlineStr">
        <is>
          <t>quatre-vingt-quatre</t>
        </is>
      </c>
    </row>
    <row r="91">
      <c r="Z91" t="inlineStr">
        <is>
          <t>quatre-vingt-cinq</t>
        </is>
      </c>
    </row>
    <row r="92">
      <c r="Z92" t="inlineStr">
        <is>
          <t>quatre-vingt-six</t>
        </is>
      </c>
    </row>
    <row r="93">
      <c r="Z93" t="inlineStr">
        <is>
          <t>quatre-vingt-sept</t>
        </is>
      </c>
    </row>
    <row r="94">
      <c r="Z94" t="inlineStr">
        <is>
          <t>quatre-vingt-huit</t>
        </is>
      </c>
    </row>
    <row r="95">
      <c r="Z95" t="inlineStr">
        <is>
          <t>quatre-vingt-neuf</t>
        </is>
      </c>
    </row>
    <row r="96">
      <c r="Z96" t="inlineStr">
        <is>
          <t>quatre-vingt-dix</t>
        </is>
      </c>
    </row>
    <row r="97">
      <c r="Z97" t="inlineStr">
        <is>
          <t>quatre-vingt-onze</t>
        </is>
      </c>
    </row>
    <row r="98">
      <c r="Z98" t="inlineStr">
        <is>
          <t>quatre-vingt-douze</t>
        </is>
      </c>
    </row>
    <row r="99">
      <c r="Z99" t="inlineStr">
        <is>
          <t>quatre-vingt-treize</t>
        </is>
      </c>
    </row>
    <row r="100">
      <c r="Z100" t="inlineStr">
        <is>
          <t>quatre-vingt-quatorze</t>
        </is>
      </c>
    </row>
    <row r="101">
      <c r="Z101" t="inlineStr">
        <is>
          <t>quatre-vingt-quinze</t>
        </is>
      </c>
    </row>
    <row r="102">
      <c r="Z102" t="inlineStr">
        <is>
          <t>quatre-vingt-seize</t>
        </is>
      </c>
    </row>
    <row r="103">
      <c r="Z103" t="inlineStr">
        <is>
          <t>quatre-vingt-dix-sept</t>
        </is>
      </c>
    </row>
    <row r="104">
      <c r="Z104" t="inlineStr">
        <is>
          <t>quatre-vingt-dix-huit</t>
        </is>
      </c>
    </row>
    <row r="105">
      <c r="Z105" t="inlineStr">
        <is>
          <t>quatre-vingt-dix-neuf</t>
        </is>
      </c>
    </row>
  </sheetData>
  <mergeCells count="3">
    <mergeCell ref="H5:H10"/>
    <mergeCell ref="H12:H15"/>
    <mergeCell ref="D13:F21"/>
  </mergeCells>
  <conditionalFormatting sqref="B54">
    <cfRule type="expression" priority="1" dxfId="11">
      <formula>$B54="OK"</formula>
    </cfRule>
    <cfRule type="expression" priority="2" dxfId="4">
      <formula>AND($B54&lt;&gt;"",$B54&lt;&gt;"OK")</formula>
    </cfRule>
  </conditionalFormatting>
  <dataValidations count="36">
    <dataValidation sqref="B6" showDropDown="0" showInputMessage="1" showErrorMessage="1" allowBlank="1" errorTitle="Devise" error="Choisissez MAD (dirham), EUR (euro) ou USD (dollar). Tous les montants du classeur changent de format." promptTitle="Devise" prompt="Choisissez MAD (dirham), EUR (euro) ou USD (dollar). Tous les montants du classeur changent de format." type="list">
      <formula1>"MAD,EUR,USD"</formula1>
    </dataValidation>
    <dataValidation sqref="B5" showDropDown="0" showInputMessage="1" showErrorMessage="1" allowBlank="1" errorTitle="Pays" error="Maroc ou France : choisit les identifiants et les mentions légales imprimés sur les devis et les factures." promptTitle="Pays" prompt="Maroc ou France : choisit les identifiants et les mentions légales imprimés sur les devis et les factures." type="list">
      <formula1>"Maroc,France"</formula1>
    </dataValidation>
    <dataValidation sqref="B46" showDropDown="0" showInputMessage="1" showErrorMessage="1" allowBlank="1" errorTitle="TVA sur les débits" error="Oui seulement si vous avez opté pour le paiement de la TVA d'après les débits (prestations de services, France)." promptTitle="TVA sur les débits" prompt="Oui seulement si vous avez opté pour le paiement de la TVA d'après les débits (prestations de services, France)." type="list">
      <formula1>"Oui,Non"</formula1>
    </dataValidation>
    <dataValidation sqref="B49" showDropDown="0" showInputMessage="1" showErrorMessage="1" allowBlank="1" errorTitle="Montant en lettres" error="Oui pour imprimer « Arrêtée la présente facture à la somme de... »." promptTitle="Montant en lettres" prompt="Oui pour imprimer « Arrêtée la présente facture à la somme de... »." type="list">
      <formula1>"Oui,Non"</formula1>
    </dataValidation>
    <dataValidation sqref="B40" showDropDown="0" showInputMessage="1" showErrorMessage="1" allowBlank="1" errorTitle="Mode de paiement" error="Mode imprimé quand la facture n'en précise pas." promptTitle="Mode de paiement" prompt="Mode imprimé quand la facture n'en précise pas." type="list">
      <formula1>"Virement,Chèque,Effet de commerce,Espèces,Carte bancaire,Prélèvement,Compensation"</formula1>
    </dataValidation>
    <dataValidation sqref="B38" showDropDown="0" showInputMessage="1" showErrorMessage="1" allowBlank="1" errorTitle="Validité" error="Nombre de jours pendant lesquels un devis reste valable (30 en général)." promptTitle="Validité" prompt="Nombre de jours pendant lesquels un devis reste valable (30 en général)." type="whole" operator="between">
      <formula1>0</formula1>
      <formula2>365</formula2>
    </dataValidation>
    <dataValidation sqref="B39" showDropDown="0" showInputMessage="1" showErrorMessage="1" allowBlank="1" errorTitle="Délai de paiement" error="Jours entre la date de facture et l'échéance, quand le client n'a pas de délai propre. Maroc : 60 jours sans accord, 120 au maximum (loi 69-21). France : 60 jours au maximum." promptTitle="Délai de paiement" prompt="Jours entre la date de facture et l'échéance, quand le client n'a pas de délai propre. Maroc : 60 jours sans accord, 120 au maximum (loi 69-21). France : 60 jours au maximum." type="whole" operator="between">
      <formula1>0</formula1>
      <formula2>365</formula2>
    </dataValidation>
    <dataValidation sqref="B41" showDropDown="0" showInputMessage="1" showErrorMessage="1" allowBlank="1" errorTitle="Date d'analyse" error="Date à laquelle on calcule les retards. Laissez vide pour utiliser la date du jour." promptTitle="Date d'analyse" prompt="Date à laquelle on calcule les retards. Laissez vide pour utiliser la date du jour." type="date" operator="between">
      <formula1>36526</formula1>
      <formula2>73051</formula2>
    </dataValidation>
    <dataValidation sqref="B7" showDropDown="0" showInputMessage="1" showErrorMessage="1" allowBlank="1" errorTitle="Raison sociale" error="255 caractères au maximum." promptTitle="Raison sociale" prompt="Raison sociale. Texte libre, imprimé tel quel." type="textLength" operator="lessThanOrEqual">
      <formula1>255</formula1>
    </dataValidation>
    <dataValidation sqref="B8" showDropDown="0" showInputMessage="1" showErrorMessage="1" allowBlank="1" errorTitle="Forme juridique (SARL, SA, SAS.." error="255 caractères au maximum." promptTitle="Forme juridique (SARL, SA, SAS.." prompt="Forme juridique (SARL, SA, SAS...). Texte libre, imprimé tel quel." type="textLength" operator="lessThanOrEqual">
      <formula1>255</formula1>
    </dataValidation>
    <dataValidation sqref="B9" showDropDown="0" showInputMessage="1" showErrorMessage="1" allowBlank="1" errorTitle="Capital social, tel qu'il doit s" error="255 caractères au maximum." promptTitle="Capital social, tel qu'il doit s" prompt="Capital social, tel qu'il doit s'imprimer. Texte libre, imprimé tel quel." type="textLength" operator="lessThanOrEqual">
      <formula1>255</formula1>
    </dataValidation>
    <dataValidation sqref="B10" showDropDown="0" showInputMessage="1" showErrorMessage="1" allowBlank="1" errorTitle="Adresse" error="255 caractères au maximum." promptTitle="Adresse" prompt="Adresse. Texte libre, imprimé tel quel." type="textLength" operator="lessThanOrEqual">
      <formula1>255</formula1>
    </dataValidation>
    <dataValidation sqref="B11" showDropDown="0" showInputMessage="1" showErrorMessage="1" allowBlank="1" errorTitle="Code postal et ville" error="255 caractères au maximum." promptTitle="Code postal et ville" prompt="Code postal et ville. Texte libre, imprimé tel quel." type="textLength" operator="lessThanOrEqual">
      <formula1>255</formula1>
    </dataValidation>
    <dataValidation sqref="B12" showDropDown="0" showInputMessage="1" showErrorMessage="1" allowBlank="1" errorTitle="Téléphone" error="255 caractères au maximum." promptTitle="Téléphone" prompt="Téléphone. Texte libre, imprimé tel quel." type="textLength" operator="lessThanOrEqual">
      <formula1>255</formula1>
    </dataValidation>
    <dataValidation sqref="B13" showDropDown="0" showInputMessage="1" showErrorMessage="1" allowBlank="1" errorTitle="E-mail" error="255 caractères au maximum." promptTitle="E-mail" prompt="E-mail. Texte libre, imprimé tel quel." type="textLength" operator="lessThanOrEqual">
      <formula1>255</formula1>
    </dataValidation>
    <dataValidation sqref="B17" showDropDown="0" showInputMessage="1" showErrorMessage="1" allowBlank="1" errorTitle="Identifiant fiscal (IF)" error="255 caractères au maximum." promptTitle="Identifiant fiscal (IF)" prompt="Identifiant fiscal (IF). Texte libre, imprimé tel quel." type="textLength" operator="lessThanOrEqual">
      <formula1>255</formula1>
    </dataValidation>
    <dataValidation sqref="B18" showDropDown="0" showInputMessage="1" showErrorMessage="1" allowBlank="1" errorTitle="Registre de commerce (RC) : numé" error="255 caractères au maximum." promptTitle="Registre de commerce (RC) : numé" prompt="Registre de commerce (RC) : numéro. Texte libre, imprimé tel quel." type="textLength" operator="lessThanOrEqual">
      <formula1>255</formula1>
    </dataValidation>
    <dataValidation sqref="B19" showDropDown="0" showInputMessage="1" showErrorMessage="1" allowBlank="1" errorTitle="RC : ville du tribunal" error="255 caractères au maximum." promptTitle="RC : ville du tribunal" prompt="RC : ville du tribunal. Texte libre, imprimé tel quel." type="textLength" operator="lessThanOrEqual">
      <formula1>255</formula1>
    </dataValidation>
    <dataValidation sqref="B20" showDropDown="0" showInputMessage="1" showErrorMessage="1" allowBlank="1" errorTitle="Taxe professionnelle (patente)" error="255 caractères au maximum." promptTitle="Taxe professionnelle (patente)" prompt="Taxe professionnelle (patente). Texte libre, imprimé tel quel." type="textLength" operator="lessThanOrEqual">
      <formula1>255</formula1>
    </dataValidation>
    <dataValidation sqref="B21" showDropDown="0" showInputMessage="1" showErrorMessage="1" allowBlank="1" errorTitle="CNSS (facultatif)" error="255 caractères au maximum." promptTitle="CNSS (facultatif)" prompt="CNSS (facultatif). Texte libre, imprimé tel quel." type="textLength" operator="lessThanOrEqual">
      <formula1>255</formula1>
    </dataValidation>
    <dataValidation sqref="B25" showDropDown="0" showInputMessage="1" showErrorMessage="1" allowBlank="1" errorTitle="RCS : ville du greffe" error="255 caractères au maximum." promptTitle="RCS : ville du greffe" prompt="RCS : ville du greffe. Texte libre, imprimé tel quel." type="textLength" operator="lessThanOrEqual">
      <formula1>255</formula1>
    </dataValidation>
    <dataValidation sqref="B26" showDropDown="0" showInputMessage="1" showErrorMessage="1" allowBlank="1" errorTitle="N° de TVA intracommunautaire" error="255 caractères au maximum." promptTitle="N° de TVA intracommunautaire" prompt="N° de TVA intracommunautaire. Texte libre, imprimé tel quel." type="textLength" operator="lessThanOrEqual">
      <formula1>255</formula1>
    </dataValidation>
    <dataValidation sqref="B29" showDropDown="0" showInputMessage="1" showErrorMessage="1" allowBlank="1" errorTitle="Banque" error="255 caractères au maximum." promptTitle="Banque" prompt="Banque. Texte libre, imprimé tel quel." type="textLength" operator="lessThanOrEqual">
      <formula1>255</formula1>
    </dataValidation>
    <dataValidation sqref="B30" showDropDown="0" showInputMessage="1" showErrorMessage="1" allowBlank="1" errorTitle="RIB ou IBAN" error="255 caractères au maximum." promptTitle="RIB ou IBAN" prompt="RIB ou IBAN. Texte libre, imprimé tel quel." type="textLength" operator="lessThanOrEqual">
      <formula1>255</formula1>
    </dataValidation>
    <dataValidation sqref="B31" showDropDown="0" showInputMessage="1" showErrorMessage="1" allowBlank="1" errorTitle="BIC / SWIFT" error="255 caractères au maximum." promptTitle="BIC / SWIFT" prompt="BIC / SWIFT. Texte libre, imprimé tel quel." type="textLength" operator="lessThanOrEqual">
      <formula1>255</formula1>
    </dataValidation>
    <dataValidation sqref="B44" showDropDown="0" showInputMessage="1" showErrorMessage="1" allowBlank="1" errorTitle="Pénalités de retard (France)" error="255 caractères au maximum." promptTitle="Pénalités de retard (France)" prompt="Pénalités de retard (France). Texte libre, imprimé tel quel." type="textLength" operator="lessThanOrEqual">
      <formula1>255</formula1>
    </dataValidation>
    <dataValidation sqref="B45" showDropDown="0" showInputMessage="1" showErrorMessage="1" allowBlank="1" errorTitle="Escompte (France)" error="255 caractères au maximum." promptTitle="Escompte (France)" prompt="Escompte (France). Texte libre, imprimé tel quel." type="textLength" operator="lessThanOrEqual">
      <formula1>255</formula1>
    </dataValidation>
    <dataValidation sqref="B47" showDropDown="0" showInputMessage="1" showErrorMessage="1" allowBlank="1" errorTitle="Mention d'exonération de TVA (li" error="255 caractères au maximum." promptTitle="Mention d'exonération de TVA (li" prompt="Mention d'exonération de TVA (lignes à 0 %). Texte libre, imprimé tel quel." type="textLength" operator="lessThanOrEqual">
      <formula1>255</formula1>
    </dataValidation>
    <dataValidation sqref="B48" showDropDown="0" showInputMessage="1" showErrorMessage="1" allowBlank="1" errorTitle="Texte libre en pied de facture" error="255 caractères au maximum." promptTitle="Texte libre en pied de facture" prompt="Texte libre en pied de facture. Texte libre, imprimé tel quel." type="textLength" operator="lessThanOrEqual">
      <formula1>255</formula1>
    </dataValidation>
    <dataValidation sqref="B16" showDropDown="0" showInputMessage="1" showErrorMessage="1" allowBlank="1" errorTitle="ICE" error="15 caractères au maximum." promptTitle="ICE" prompt="Identifiant commun de l'entreprise : 15 chiffres, sans espace." type="textLength" operator="lessThanOrEqual">
      <formula1>15</formula1>
    </dataValidation>
    <dataValidation sqref="B24" showDropDown="0" showInputMessage="1" showErrorMessage="1" allowBlank="1" errorTitle="SIRET" error="14 caractères au maximum." promptTitle="SIRET" prompt="14 chiffres, sans espace. Les 9 premiers forment le SIREN." type="textLength" operator="lessThanOrEqual">
      <formula1>14</formula1>
    </dataValidation>
    <dataValidation sqref="B34" showDropDown="0" showInputMessage="1" showErrorMessage="1" allowBlank="1" errorTitle="Préfixe" error="6 caractères au maximum." promptTitle="Préfixe" prompt="Lettres placées devant le numéro (FA, DV, AV). Donnez le même préfixe à deux types pour qu'ils partagent un compteur." type="textLength" operator="lessThanOrEqual">
      <formula1>6</formula1>
    </dataValidation>
    <dataValidation sqref="B35" showDropDown="0" showInputMessage="1" showErrorMessage="1" allowBlank="1" errorTitle="Préfixe" error="6 caractères au maximum." promptTitle="Préfixe" prompt="Lettres placées devant le numéro (FA, DV, AV). Donnez le même préfixe à deux types pour qu'ils partagent un compteur." type="textLength" operator="lessThanOrEqual">
      <formula1>6</formula1>
    </dataValidation>
    <dataValidation sqref="B36" showDropDown="0" showInputMessage="1" showErrorMessage="1" allowBlank="1" errorTitle="Préfixe" error="6 caractères au maximum." promptTitle="Préfixe" prompt="Lettres placées devant le numéro (FA, DV, AV). Donnez le même préfixe à deux types pour qu'ils partagent un compteur." type="textLength" operator="lessThanOrEqual">
      <formula1>6</formula1>
    </dataValidation>
    <dataValidation sqref="B37" showDropDown="0" showInputMessage="1" showErrorMessage="1" allowBlank="1" errorTitle="Préfixe" error="6 caractères au maximum." promptTitle="Préfixe" prompt="Lettres placées devant le numéro (FA, DV, AV). Donnez le même préfixe à deux types pour qu'ils partagent un compteur." type="textLength" operator="lessThanOrEqual">
      <formula1>6</formula1>
    </dataValidation>
    <dataValidation sqref="D6:E11" showDropDown="0" showInputMessage="1" showErrorMessage="1" allowBlank="1" errorTitle="Taux de TVA" error="Taux en pourcentage : tapez 20 % ou 0,2. Laissez vide les cases inutiles." promptTitle="Taux de TVA" prompt="Taux en pourcentage : tapez 20 % ou 0,2. Laissez vide les cases inutiles." type="decimal" operator="between">
      <formula1>0</formula1>
      <formula2>1</formula2>
    </dataValidation>
  </dataValidations>
  <hyperlinks>
    <hyperlink ref="H1" location="'Mode d''emploi'!A1"/>
  </hyperlinks>
  <printOptions horizontalCentered="1"/>
  <pageMargins left="0.4" right="0.4" top="0.5" bottom="0.5" header="0.5" footer="0.5"/>
  <pageSetup orientation="portrait" paperSize="9" fitToHeight="0" fitToWidth="1"/>
</worksheet>
</file>

<file path=xl/worksheets/sheet14.xml><?xml version="1.0" encoding="utf-8"?>
<worksheet xmlns="http://schemas.openxmlformats.org/spreadsheetml/2006/main">
  <sheetPr>
    <tabColor rgb="FF2563EB"/>
    <outlinePr summaryBelow="1" summaryRight="1"/>
    <pageSetUpPr fitToPage="1"/>
  </sheetPr>
  <dimension ref="A1:F79"/>
  <sheetViews>
    <sheetView showGridLines="0" tabSelected="0" workbookViewId="0">
      <selection activeCell="A1" sqref="A1"/>
    </sheetView>
  </sheetViews>
  <sheetFormatPr baseColWidth="8" defaultRowHeight="15"/>
  <cols>
    <col width="3" customWidth="1" min="1" max="1"/>
    <col width="30" customWidth="1" min="2" max="2"/>
    <col width="36" customWidth="1" min="3" max="3"/>
    <col width="40" customWidth="1" min="4" max="4"/>
    <col width="16" customWidth="1" min="5" max="5"/>
    <col width="3" customWidth="1" min="6" max="6"/>
  </cols>
  <sheetData>
    <row r="1">
      <c r="A1" s="158" t="n"/>
      <c r="B1" s="158" t="n"/>
      <c r="C1" s="158" t="n"/>
      <c r="D1" s="158" t="n"/>
      <c r="E1" s="158" t="n"/>
      <c r="F1" s="158" t="n"/>
    </row>
    <row r="2" ht="34" customHeight="1">
      <c r="A2" s="158" t="n"/>
      <c r="B2" s="159" t="inlineStr">
        <is>
          <t>Qualis ERP</t>
        </is>
      </c>
      <c r="C2" s="160" t="n"/>
      <c r="D2" s="160" t="n"/>
      <c r="E2" s="160" t="n"/>
      <c r="F2" s="158" t="n"/>
    </row>
    <row r="3">
      <c r="A3" s="158" t="n"/>
      <c r="B3" s="161" t="inlineStr">
        <is>
          <t>Devis, commandes, factures et relances dans le même outil que la production et le stock.</t>
        </is>
      </c>
      <c r="F3" s="158" t="n"/>
    </row>
    <row r="4" ht="46" customHeight="1">
      <c r="A4" s="158" t="n"/>
      <c r="B4" s="162" t="inlineStr">
        <is>
          <t>Ce fichier tient les devis, les factures, les acomptes, les avoirs et les relances d'une petite entreprise. Voici ce qu'il ne peut pas faire, ce que Qualis ERP fait à la place, et ce que vous payez, ou pas.</t>
        </is>
      </c>
      <c r="F4" s="158" t="n"/>
    </row>
    <row r="5">
      <c r="A5" s="158" t="n"/>
      <c r="B5" s="158" t="n"/>
      <c r="C5" s="158" t="n"/>
      <c r="D5" s="158" t="n"/>
      <c r="E5" s="158" t="n"/>
      <c r="F5" s="158" t="n"/>
    </row>
    <row r="6" ht="22" customHeight="1">
      <c r="A6" s="158" t="n"/>
      <c r="B6" s="163" t="inlineStr">
        <is>
          <t>Ce que ce fichier fait bien</t>
        </is>
      </c>
      <c r="C6" s="164" t="n"/>
      <c r="D6" s="164" t="n"/>
      <c r="E6" s="164" t="n"/>
      <c r="F6" s="158" t="n"/>
    </row>
    <row r="7" ht="30" customHeight="1">
      <c r="A7" s="158" t="n"/>
      <c r="B7" s="165" t="inlineStr">
        <is>
          <t>✓  Il numérote les devis, les factures et les avoirs par série et par année, et transforme un devis en facture sans ressaisie.</t>
        </is>
      </c>
      <c r="F7" s="158" t="n"/>
    </row>
    <row r="8" ht="30" customHeight="1">
      <c r="A8" s="158" t="n"/>
      <c r="B8" s="165" t="inlineStr">
        <is>
          <t>✓  Il imprime les mentions légales du Maroc ou de la France, la TVA par taux, l'acompte déduit HT et TVA, et le montant en lettres.</t>
        </is>
      </c>
      <c r="F8" s="158" t="n"/>
    </row>
    <row r="9" ht="18" customHeight="1">
      <c r="A9" s="158" t="n"/>
      <c r="B9" s="165" t="inlineStr">
        <is>
          <t>✓  Il classe les impayés par tranche de retard et dit quelle relance faire. Gratuit, sans macro.</t>
        </is>
      </c>
      <c r="F9" s="158" t="n"/>
    </row>
    <row r="10">
      <c r="A10" s="158" t="n"/>
      <c r="B10" s="158" t="n"/>
      <c r="C10" s="158" t="n"/>
      <c r="D10" s="158" t="n"/>
      <c r="E10" s="158" t="n"/>
      <c r="F10" s="158" t="n"/>
    </row>
    <row r="11" ht="22" customHeight="1">
      <c r="A11" s="158" t="n"/>
      <c r="B11" s="163" t="inlineStr">
        <is>
          <t>Là où un tableur atteint ses limites</t>
        </is>
      </c>
      <c r="C11" s="164" t="n"/>
      <c r="D11" s="164" t="n"/>
      <c r="E11" s="164" t="n"/>
      <c r="F11" s="158" t="n"/>
    </row>
    <row r="12" ht="30" customHeight="1">
      <c r="A12" s="158" t="n"/>
      <c r="B12" s="166" t="inlineStr">
        <is>
          <t>•  Le numéro est une formule : supprimer ou insérer une ligne change les numéros suivants, et rien n'empêche de modifier une facture déjà envoyée.</t>
        </is>
      </c>
      <c r="F12" s="158" t="n"/>
    </row>
    <row r="13" ht="18" customHeight="1">
      <c r="A13" s="158" t="n"/>
      <c r="B13" s="166" t="inlineStr">
        <is>
          <t>•  Les relances partent à la main : le fichier dit qui relancer, il n'envoie rien.</t>
        </is>
      </c>
      <c r="F13" s="158" t="n"/>
    </row>
    <row r="14" ht="18" customHeight="1">
      <c r="A14" s="158" t="n"/>
      <c r="B14" s="166" t="inlineStr">
        <is>
          <t>•  Une seule personne saisit à la fois, sans trace de qui a changé un montant ou une date.</t>
        </is>
      </c>
      <c r="F14" s="158" t="n"/>
    </row>
    <row r="15" ht="30" customHeight="1">
      <c r="A15" s="158" t="n"/>
      <c r="B15" s="166" t="inlineStr">
        <is>
          <t>•  La facture n'est reliée ni à la commande, ni à la livraison, ni au stock : une livraison non facturée ne se voit pas.</t>
        </is>
      </c>
      <c r="F15" s="158" t="n"/>
    </row>
    <row r="16">
      <c r="A16" s="158" t="n"/>
      <c r="B16" s="158" t="n"/>
      <c r="C16" s="158" t="n"/>
      <c r="D16" s="158" t="n"/>
      <c r="E16" s="158" t="n"/>
      <c r="F16" s="158" t="n"/>
    </row>
    <row r="17" ht="22" customHeight="1">
      <c r="A17" s="158" t="n"/>
      <c r="B17" s="163" t="inlineStr">
        <is>
          <t>Ce fichier et Qualis ERP, côte à côte</t>
        </is>
      </c>
      <c r="C17" s="164" t="n"/>
      <c r="D17" s="164" t="n"/>
      <c r="E17" s="164" t="n"/>
      <c r="F17" s="158" t="n"/>
    </row>
    <row r="18" ht="22" customHeight="1">
      <c r="A18" s="158" t="n"/>
      <c r="B18" s="167" t="inlineStr"/>
      <c r="C18" s="168" t="inlineStr">
        <is>
          <t>Ce fichier Excel</t>
        </is>
      </c>
      <c r="D18" s="169" t="inlineStr">
        <is>
          <t>Qualis ERP</t>
        </is>
      </c>
      <c r="E18" s="169" t="inlineStr">
        <is>
          <t>Offre</t>
        </is>
      </c>
      <c r="F18" s="158" t="n"/>
    </row>
    <row r="19" ht="32" customHeight="1">
      <c r="A19" s="158" t="n"/>
      <c r="B19" s="170" t="inlineStr">
        <is>
          <t>Numérotation</t>
        </is>
      </c>
      <c r="C19" s="171" t="inlineStr">
        <is>
          <t>Formule, par série et par année</t>
        </is>
      </c>
      <c r="D19" s="172" t="inlineStr">
        <is>
          <t>Numéro attribué à la finalisation, sans trou ; une facture finalisée se corrige par un avoir</t>
        </is>
      </c>
      <c r="E19" s="173" t="inlineStr">
        <is>
          <t>Complete</t>
        </is>
      </c>
      <c r="F19" s="158" t="n"/>
    </row>
    <row r="20" ht="32" customHeight="1">
      <c r="A20" s="158" t="n"/>
      <c r="B20" s="170" t="inlineStr">
        <is>
          <t>Devis</t>
        </is>
      </c>
      <c r="C20" s="171" t="inlineStr">
        <is>
          <t>Devis imprimable, repris par la facture</t>
        </is>
      </c>
      <c r="D20" s="172" t="inlineStr">
        <is>
          <t>Validité, passage automatique en expiré, conversion en commande client puis facture</t>
        </is>
      </c>
      <c r="E20" s="173" t="inlineStr">
        <is>
          <t>Complete</t>
        </is>
      </c>
      <c r="F20" s="158" t="n"/>
    </row>
    <row r="21" ht="32" customHeight="1">
      <c r="A21" s="158" t="n"/>
      <c r="B21" s="170" t="inlineStr">
        <is>
          <t>Acomptes et avoirs</t>
        </is>
      </c>
      <c r="C21" s="171" t="inlineStr">
        <is>
          <t>Un acompte déduit par facture, HT et TVA</t>
        </is>
      </c>
      <c r="D21" s="172" t="inlineStr">
        <is>
          <t>Factures d'acompte déduites taux par taux sur la facture de solde, avoirs</t>
        </is>
      </c>
      <c r="E21" s="173" t="inlineStr">
        <is>
          <t>Complete</t>
        </is>
      </c>
      <c r="F21" s="158" t="n"/>
    </row>
    <row r="22" ht="32" customHeight="1">
      <c r="A22" s="158" t="n"/>
      <c r="B22" s="170" t="inlineStr">
        <is>
          <t>Impayés</t>
        </is>
      </c>
      <c r="C22" s="171" t="inlineStr">
        <is>
          <t>Tranches de retard et relance suggérée</t>
        </is>
      </c>
      <c r="D22" s="172" t="inlineStr">
        <is>
          <t>Balance âgée en direct, relances automatiques par niveaux</t>
        </is>
      </c>
      <c r="E22" s="173" t="inlineStr">
        <is>
          <t>Complete</t>
        </is>
      </c>
      <c r="F22" s="158" t="n"/>
    </row>
    <row r="23" ht="32" customHeight="1">
      <c r="A23" s="158" t="n"/>
      <c r="B23" s="170" t="inlineStr">
        <is>
          <t>Mentions Maroc</t>
        </is>
      </c>
      <c r="C23" s="171" t="inlineStr">
        <is>
          <t>ICE, IF, RC, taxe professionnelle, montant en lettres</t>
        </is>
      </c>
      <c r="D23" s="172" t="inlineStr">
        <is>
          <t>ICE vendeur et client imprimés ; IF et taxe professionnelle enregistrés, pas encore imprimés ; pas de montant en lettres</t>
        </is>
      </c>
      <c r="E23" s="173" t="inlineStr">
        <is>
          <t>Complete</t>
        </is>
      </c>
      <c r="F23" s="158" t="n"/>
    </row>
    <row r="24" ht="32" customHeight="1">
      <c r="A24" s="158" t="n"/>
      <c r="B24" s="170" t="inlineStr">
        <is>
          <t>Clients et articles</t>
        </is>
      </c>
      <c r="C24" s="171" t="inlineStr">
        <is>
          <t>Listes dans le fichier</t>
        </is>
      </c>
      <c r="D24" s="172" t="inlineStr">
        <is>
          <t>Fiches partagées, ICE contrôlé à 15 chiffres, import CSV</t>
        </is>
      </c>
      <c r="E24" s="174" t="inlineStr">
        <is>
          <t>Start (gratuit)</t>
        </is>
      </c>
      <c r="F24" s="158" t="n"/>
    </row>
    <row r="25" ht="32" customHeight="1">
      <c r="A25" s="158" t="n"/>
      <c r="B25" s="170" t="inlineStr">
        <is>
          <t>Historique</t>
        </is>
      </c>
      <c r="C25" s="171" t="inlineStr">
        <is>
          <t>Non</t>
        </is>
      </c>
      <c r="D25" s="172" t="inlineStr">
        <is>
          <t>Journal d'audit : qui a modifié quoi, et quand</t>
        </is>
      </c>
      <c r="E25" s="174" t="inlineStr">
        <is>
          <t>Start (gratuit)</t>
        </is>
      </c>
      <c r="F25" s="158" t="n"/>
    </row>
    <row r="26">
      <c r="A26" s="158" t="n"/>
      <c r="B26" s="158" t="n"/>
      <c r="C26" s="158" t="n"/>
      <c r="D26" s="158" t="n"/>
      <c r="E26" s="158" t="n"/>
      <c r="F26" s="158" t="n"/>
    </row>
    <row r="27" ht="22" customHeight="1">
      <c r="A27" s="158" t="n"/>
      <c r="B27" s="163" t="inlineStr">
        <is>
          <t>Pourquoi Qualis Start est gratuit, et le reste</t>
        </is>
      </c>
      <c r="C27" s="164" t="n"/>
      <c r="D27" s="164" t="n"/>
      <c r="E27" s="164" t="n"/>
      <c r="F27" s="158" t="n"/>
    </row>
    <row r="28" ht="30" customHeight="1">
      <c r="A28" s="158" t="n"/>
      <c r="B28" s="166" t="inlineStr">
        <is>
          <t>→  Qualis Start est gratuit à vie, sans carte bancaire et sans limite d'utilisateurs : articles, unités, entrepôts, emplacements, stock en temps réel, lots et numéros de série, clients, fournisseurs, personnel, tâches.</t>
        </is>
      </c>
      <c r="F28" s="158" t="n"/>
    </row>
    <row r="29" ht="30" customHeight="1">
      <c r="A29" s="158" t="n"/>
      <c r="B29" s="166" t="inlineStr">
        <is>
          <t>→  Nous le donnons parce que les clients, les articles et le stock sont la base de tout le reste : une entreprise qui les tient dans Qualis ajoute la facturation le jour où elle en a besoin, sans ressaisir ses fiches.</t>
        </is>
      </c>
      <c r="F29" s="158" t="n"/>
    </row>
    <row r="30" ht="30" customHeight="1">
      <c r="A30" s="158" t="n"/>
      <c r="B30" s="166" t="inlineStr">
        <is>
          <t>→  Les modules de production, d'achat, de vente, de facturation, de qualité et de maintenance font partie de Qualis Complete, payé par siège bureau, au mois ou à l'année, à prix public. Les opérateurs d'atelier ont un siège moins cher.</t>
        </is>
      </c>
      <c r="F30" s="158" t="n"/>
    </row>
    <row r="31">
      <c r="A31" s="158" t="n"/>
      <c r="B31" s="158" t="n"/>
      <c r="C31" s="158" t="n"/>
      <c r="D31" s="158" t="n"/>
      <c r="E31" s="158" t="n"/>
      <c r="F31" s="158" t="n"/>
    </row>
    <row r="32" ht="22" customHeight="1">
      <c r="A32" s="158" t="n"/>
      <c r="B32" s="163" t="inlineStr">
        <is>
          <t>Passer du fichier à Qualis ERP</t>
        </is>
      </c>
      <c r="C32" s="164" t="n"/>
      <c r="D32" s="164" t="n"/>
      <c r="E32" s="164" t="n"/>
      <c r="F32" s="158" t="n"/>
    </row>
    <row r="33" ht="18" customHeight="1">
      <c r="A33" s="158" t="n"/>
      <c r="B33" s="166" t="inlineStr">
        <is>
          <t xml:space="preserve">  1.  Créez un compte gratuit sur qualis-erp.com, en deux minutes, sans carte bancaire.</t>
        </is>
      </c>
      <c r="F33" s="158" t="n"/>
    </row>
    <row r="34" ht="30" customHeight="1">
      <c r="A34" s="158" t="n"/>
      <c r="B34" s="166" t="inlineStr">
        <is>
          <t xml:space="preserve">  2.  Importez vos clients et vos articles depuis les feuilles « Clients » et « Produits et services » avec les modèles CSV de Qualis ERP.</t>
        </is>
      </c>
      <c r="F34" s="158" t="n"/>
    </row>
    <row r="35" ht="30" customHeight="1">
      <c r="A35" s="158" t="n"/>
      <c r="B35" s="166" t="inlineStr">
        <is>
          <t xml:space="preserve">  3.  Tenez clients, articles et stock dans Qualis Start. Pour émettre devis, commandes et factures dans le même outil, ajoutez Qualis Complete.</t>
        </is>
      </c>
      <c r="F35" s="158" t="n"/>
    </row>
    <row r="36">
      <c r="A36" s="158" t="n"/>
      <c r="B36" s="158" t="n"/>
      <c r="C36" s="158" t="n"/>
      <c r="D36" s="158" t="n"/>
      <c r="E36" s="158" t="n"/>
      <c r="F36" s="158" t="n"/>
    </row>
    <row r="37" ht="38" customHeight="1">
      <c r="A37" s="158" t="n"/>
      <c r="B37" s="175" t="inlineStr">
        <is>
          <t>Créer un compte Qualis ERP gratuit  →</t>
        </is>
      </c>
      <c r="C37" s="176" t="n"/>
      <c r="D37" s="177" t="inlineStr">
        <is>
          <t>Voir les tarifs publics</t>
        </is>
      </c>
      <c r="E37" s="178" t="inlineStr">
        <is>
          <t>qualis-erp.com</t>
        </is>
      </c>
      <c r="F37" s="158" t="n"/>
    </row>
    <row r="38">
      <c r="A38" s="158" t="n"/>
      <c r="B38" s="158" t="n"/>
      <c r="C38" s="158" t="n"/>
      <c r="D38" s="158" t="n"/>
      <c r="E38" s="158" t="n"/>
      <c r="F38" s="158" t="n"/>
    </row>
    <row r="39" ht="40" customHeight="1">
      <c r="A39" s="158" t="n"/>
      <c r="B39" s="179" t="inlineStr">
        <is>
          <t>Qualis ERP est un ERP industriel en ligne, en français, pour les PME qui fabriquent sur stock ou à la commande. Édité par BERRYNOON SARLAU, Casablanca.</t>
        </is>
      </c>
      <c r="F39" s="158" t="n"/>
    </row>
    <row r="40">
      <c r="A40" s="158" t="n"/>
      <c r="B40" s="158" t="n"/>
      <c r="C40" s="158" t="n"/>
      <c r="D40" s="158" t="n"/>
      <c r="E40" s="158" t="n"/>
      <c r="F40" s="158" t="n"/>
    </row>
    <row r="41">
      <c r="A41" s="158" t="n"/>
      <c r="B41" s="158" t="n"/>
      <c r="C41" s="158" t="n"/>
      <c r="D41" s="158" t="n"/>
      <c r="E41" s="158" t="n"/>
      <c r="F41" s="158" t="n"/>
    </row>
    <row r="42">
      <c r="A42" s="158" t="n"/>
      <c r="B42" s="158" t="n"/>
      <c r="C42" s="158" t="n"/>
      <c r="D42" s="158" t="n"/>
      <c r="E42" s="158" t="n"/>
      <c r="F42" s="158" t="n"/>
    </row>
    <row r="43">
      <c r="A43" s="158" t="n"/>
      <c r="B43" s="158" t="n"/>
      <c r="C43" s="158" t="n"/>
      <c r="D43" s="158" t="n"/>
      <c r="E43" s="158" t="n"/>
      <c r="F43" s="158" t="n"/>
    </row>
    <row r="44">
      <c r="A44" s="158" t="n"/>
      <c r="B44" s="158" t="n"/>
      <c r="C44" s="158" t="n"/>
      <c r="D44" s="158" t="n"/>
      <c r="E44" s="158" t="n"/>
      <c r="F44" s="158" t="n"/>
    </row>
    <row r="45">
      <c r="A45" s="158" t="n"/>
      <c r="B45" s="158" t="n"/>
      <c r="C45" s="158" t="n"/>
      <c r="D45" s="158" t="n"/>
      <c r="E45" s="158" t="n"/>
      <c r="F45" s="158" t="n"/>
    </row>
    <row r="46">
      <c r="A46" s="158" t="n"/>
      <c r="B46" s="158" t="n"/>
      <c r="C46" s="158" t="n"/>
      <c r="D46" s="158" t="n"/>
      <c r="E46" s="158" t="n"/>
      <c r="F46" s="158" t="n"/>
    </row>
    <row r="47">
      <c r="A47" s="158" t="n"/>
      <c r="B47" s="158" t="n"/>
      <c r="C47" s="158" t="n"/>
      <c r="D47" s="158" t="n"/>
      <c r="E47" s="158" t="n"/>
      <c r="F47" s="158" t="n"/>
    </row>
    <row r="48">
      <c r="A48" s="158" t="n"/>
      <c r="B48" s="158" t="n"/>
      <c r="C48" s="158" t="n"/>
      <c r="D48" s="158" t="n"/>
      <c r="E48" s="158" t="n"/>
      <c r="F48" s="158" t="n"/>
    </row>
    <row r="49">
      <c r="A49" s="158" t="n"/>
      <c r="B49" s="158" t="n"/>
      <c r="C49" s="158" t="n"/>
      <c r="D49" s="158" t="n"/>
      <c r="E49" s="158" t="n"/>
      <c r="F49" s="158" t="n"/>
    </row>
    <row r="50">
      <c r="A50" s="158" t="n"/>
      <c r="B50" s="158" t="n"/>
      <c r="C50" s="158" t="n"/>
      <c r="D50" s="158" t="n"/>
      <c r="E50" s="158" t="n"/>
      <c r="F50" s="158" t="n"/>
    </row>
    <row r="51">
      <c r="A51" s="158" t="n"/>
      <c r="B51" s="158" t="n"/>
      <c r="C51" s="158" t="n"/>
      <c r="D51" s="158" t="n"/>
      <c r="E51" s="158" t="n"/>
      <c r="F51" s="158" t="n"/>
    </row>
    <row r="52">
      <c r="A52" s="158" t="n"/>
      <c r="B52" s="158" t="n"/>
      <c r="C52" s="158" t="n"/>
      <c r="D52" s="158" t="n"/>
      <c r="E52" s="158" t="n"/>
      <c r="F52" s="158" t="n"/>
    </row>
    <row r="53">
      <c r="A53" s="158" t="n"/>
      <c r="B53" s="158" t="n"/>
      <c r="C53" s="158" t="n"/>
      <c r="D53" s="158" t="n"/>
      <c r="E53" s="158" t="n"/>
      <c r="F53" s="158" t="n"/>
    </row>
    <row r="54">
      <c r="A54" s="158" t="n"/>
      <c r="B54" s="158" t="n"/>
      <c r="C54" s="158" t="n"/>
      <c r="D54" s="158" t="n"/>
      <c r="E54" s="158" t="n"/>
      <c r="F54" s="158" t="n"/>
    </row>
    <row r="55">
      <c r="A55" s="158" t="n"/>
      <c r="B55" s="158" t="n"/>
      <c r="C55" s="158" t="n"/>
      <c r="D55" s="158" t="n"/>
      <c r="E55" s="158" t="n"/>
      <c r="F55" s="158" t="n"/>
    </row>
    <row r="56">
      <c r="A56" s="158" t="n"/>
      <c r="B56" s="158" t="n"/>
      <c r="C56" s="158" t="n"/>
      <c r="D56" s="158" t="n"/>
      <c r="E56" s="158" t="n"/>
      <c r="F56" s="158" t="n"/>
    </row>
    <row r="57">
      <c r="A57" s="158" t="n"/>
      <c r="B57" s="158" t="n"/>
      <c r="C57" s="158" t="n"/>
      <c r="D57" s="158" t="n"/>
      <c r="E57" s="158" t="n"/>
      <c r="F57" s="158" t="n"/>
    </row>
    <row r="58">
      <c r="A58" s="158" t="n"/>
      <c r="B58" s="158" t="n"/>
      <c r="C58" s="158" t="n"/>
      <c r="D58" s="158" t="n"/>
      <c r="E58" s="158" t="n"/>
      <c r="F58" s="158" t="n"/>
    </row>
    <row r="59">
      <c r="A59" s="158" t="n"/>
      <c r="B59" s="158" t="n"/>
      <c r="C59" s="158" t="n"/>
      <c r="D59" s="158" t="n"/>
      <c r="E59" s="158" t="n"/>
      <c r="F59" s="158" t="n"/>
    </row>
    <row r="60">
      <c r="A60" s="158" t="n"/>
      <c r="B60" s="158" t="n"/>
      <c r="C60" s="158" t="n"/>
      <c r="D60" s="158" t="n"/>
      <c r="E60" s="158" t="n"/>
      <c r="F60" s="158" t="n"/>
    </row>
    <row r="61">
      <c r="A61" s="158" t="n"/>
      <c r="B61" s="158" t="n"/>
      <c r="C61" s="158" t="n"/>
      <c r="D61" s="158" t="n"/>
      <c r="E61" s="158" t="n"/>
      <c r="F61" s="158" t="n"/>
    </row>
    <row r="62">
      <c r="A62" s="158" t="n"/>
      <c r="B62" s="158" t="n"/>
      <c r="C62" s="158" t="n"/>
      <c r="D62" s="158" t="n"/>
      <c r="E62" s="158" t="n"/>
      <c r="F62" s="158" t="n"/>
    </row>
    <row r="63">
      <c r="A63" s="158" t="n"/>
      <c r="B63" s="158" t="n"/>
      <c r="C63" s="158" t="n"/>
      <c r="D63" s="158" t="n"/>
      <c r="E63" s="158" t="n"/>
      <c r="F63" s="158" t="n"/>
    </row>
    <row r="64">
      <c r="A64" s="158" t="n"/>
      <c r="B64" s="158" t="n"/>
      <c r="C64" s="158" t="n"/>
      <c r="D64" s="158" t="n"/>
      <c r="E64" s="158" t="n"/>
      <c r="F64" s="158" t="n"/>
    </row>
    <row r="65">
      <c r="A65" s="158" t="n"/>
      <c r="B65" s="158" t="n"/>
      <c r="C65" s="158" t="n"/>
      <c r="D65" s="158" t="n"/>
      <c r="E65" s="158" t="n"/>
      <c r="F65" s="158" t="n"/>
    </row>
    <row r="66">
      <c r="A66" s="158" t="n"/>
      <c r="B66" s="158" t="n"/>
      <c r="C66" s="158" t="n"/>
      <c r="D66" s="158" t="n"/>
      <c r="E66" s="158" t="n"/>
      <c r="F66" s="158" t="n"/>
    </row>
    <row r="67">
      <c r="A67" s="158" t="n"/>
      <c r="B67" s="158" t="n"/>
      <c r="C67" s="158" t="n"/>
      <c r="D67" s="158" t="n"/>
      <c r="E67" s="158" t="n"/>
      <c r="F67" s="158" t="n"/>
    </row>
    <row r="68">
      <c r="A68" s="158" t="n"/>
      <c r="B68" s="158" t="n"/>
      <c r="C68" s="158" t="n"/>
      <c r="D68" s="158" t="n"/>
      <c r="E68" s="158" t="n"/>
      <c r="F68" s="158" t="n"/>
    </row>
    <row r="69">
      <c r="A69" s="158" t="n"/>
      <c r="B69" s="158" t="n"/>
      <c r="C69" s="158" t="n"/>
      <c r="D69" s="158" t="n"/>
      <c r="E69" s="158" t="n"/>
      <c r="F69" s="158" t="n"/>
    </row>
    <row r="70">
      <c r="A70" s="158" t="n"/>
      <c r="B70" s="158" t="n"/>
      <c r="C70" s="158" t="n"/>
      <c r="D70" s="158" t="n"/>
      <c r="E70" s="158" t="n"/>
      <c r="F70" s="158" t="n"/>
    </row>
    <row r="71">
      <c r="A71" s="158" t="n"/>
      <c r="B71" s="158" t="n"/>
      <c r="C71" s="158" t="n"/>
      <c r="D71" s="158" t="n"/>
      <c r="E71" s="158" t="n"/>
      <c r="F71" s="158" t="n"/>
    </row>
    <row r="72">
      <c r="A72" s="158" t="n"/>
      <c r="B72" s="158" t="n"/>
      <c r="C72" s="158" t="n"/>
      <c r="D72" s="158" t="n"/>
      <c r="E72" s="158" t="n"/>
      <c r="F72" s="158" t="n"/>
    </row>
    <row r="73">
      <c r="A73" s="158" t="n"/>
      <c r="B73" s="158" t="n"/>
      <c r="C73" s="158" t="n"/>
      <c r="D73" s="158" t="n"/>
      <c r="E73" s="158" t="n"/>
      <c r="F73" s="158" t="n"/>
    </row>
    <row r="74">
      <c r="A74" s="158" t="n"/>
      <c r="B74" s="158" t="n"/>
      <c r="C74" s="158" t="n"/>
      <c r="D74" s="158" t="n"/>
      <c r="E74" s="158" t="n"/>
      <c r="F74" s="158" t="n"/>
    </row>
    <row r="75">
      <c r="A75" s="158" t="n"/>
      <c r="B75" s="158" t="n"/>
      <c r="C75" s="158" t="n"/>
      <c r="D75" s="158" t="n"/>
      <c r="E75" s="158" t="n"/>
      <c r="F75" s="158" t="n"/>
    </row>
    <row r="76">
      <c r="A76" s="158" t="n"/>
      <c r="B76" s="158" t="n"/>
      <c r="C76" s="158" t="n"/>
      <c r="D76" s="158" t="n"/>
      <c r="E76" s="158" t="n"/>
      <c r="F76" s="158" t="n"/>
    </row>
    <row r="77">
      <c r="A77" s="158" t="n"/>
      <c r="B77" s="158" t="n"/>
      <c r="C77" s="158" t="n"/>
      <c r="D77" s="158" t="n"/>
      <c r="E77" s="158" t="n"/>
      <c r="F77" s="158" t="n"/>
    </row>
    <row r="78">
      <c r="A78" s="158" t="n"/>
      <c r="B78" s="158" t="n"/>
      <c r="C78" s="158" t="n"/>
      <c r="D78" s="158" t="n"/>
      <c r="E78" s="158" t="n"/>
      <c r="F78" s="158" t="n"/>
    </row>
    <row r="79">
      <c r="A79" s="158" t="n"/>
      <c r="B79" s="158" t="n"/>
      <c r="C79" s="158" t="n"/>
      <c r="D79" s="158" t="n"/>
      <c r="E79" s="158" t="n"/>
      <c r="F79" s="158" t="n"/>
    </row>
  </sheetData>
  <mergeCells count="17">
    <mergeCell ref="B9:E9"/>
    <mergeCell ref="B8:E8"/>
    <mergeCell ref="B35:E35"/>
    <mergeCell ref="B4:E4"/>
    <mergeCell ref="B12:E12"/>
    <mergeCell ref="B13:E13"/>
    <mergeCell ref="B37:C37"/>
    <mergeCell ref="B30:E30"/>
    <mergeCell ref="B15:E15"/>
    <mergeCell ref="B7:E7"/>
    <mergeCell ref="B29:E29"/>
    <mergeCell ref="B33:E33"/>
    <mergeCell ref="B3:E3"/>
    <mergeCell ref="B39:E39"/>
    <mergeCell ref="B34:E34"/>
    <mergeCell ref="B28:E28"/>
    <mergeCell ref="B14:E14"/>
  </mergeCells>
  <hyperlinks>
    <hyperlink xmlns:r="http://schemas.openxmlformats.org/officeDocument/2006/relationships" ref="B37" r:id="rId1"/>
    <hyperlink xmlns:r="http://schemas.openxmlformats.org/officeDocument/2006/relationships" ref="D37" r:id="rId2"/>
    <hyperlink xmlns:r="http://schemas.openxmlformats.org/officeDocument/2006/relationships" ref="E37" r:id="rId3"/>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Modèle gratuit</dc:creator>
  <dc:title xmlns:dc="http://purl.org/dc/elements/1.1/">Devis et facture Excel</dc:title>
  <dc:subject xmlns:dc="http://purl.org/dc/elements/1.1/">Modèle gratuit de devis et de facture avec suivi des paiements</dc:subject>
  <dc:language xmlns:dc="http://purl.org/dc/elements/1.1/">fr-FR</dc:language>
  <dcterms:created xmlns:dcterms="http://purl.org/dc/terms/" xmlns:xsi="http://www.w3.org/2001/XMLSchema-instance" xsi:type="dcterms:W3CDTF">2026-11-05T22:08:49Z</dcterms:created>
  <dcterms:modified xmlns:dcterms="http://purl.org/dc/terms/" xmlns:xsi="http://www.w3.org/2001/XMLSchema-instance" xsi:type="dcterms:W3CDTF">2026-11-05T22:09:08Z</dcterms:modified>
  <cp:keywords>devis excel, facture excel, facture maroc, suivi des impayés, relance client, balance âgée</cp:keywords>
</cp:coreProperties>
</file>